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and Overview" sheetId="1" r:id="rId5"/>
    <sheet state="visible" name="School Data" sheetId="2" r:id="rId6"/>
    <sheet state="hidden" name="Sheet11" sheetId="3" r:id="rId7"/>
    <sheet state="hidden" name="Sheet7" sheetId="4" r:id="rId8"/>
    <sheet state="visible" name="Enrollment data" sheetId="5" r:id="rId9"/>
    <sheet state="visible" name="Open items" sheetId="6" r:id="rId10"/>
    <sheet state="hidden" name="enrollment data 8-13" sheetId="7" r:id="rId11"/>
    <sheet state="hidden" name="Sheet10" sheetId="8" r:id="rId12"/>
    <sheet state="hidden" name="Copy of School Data" sheetId="9" r:id="rId13"/>
    <sheet state="hidden" name="Worksheet for Possible New Disp" sheetId="10" r:id="rId14"/>
    <sheet state="hidden" name="GoodGuard - Security Staffing" sheetId="11" r:id="rId15"/>
  </sheets>
  <definedNames>
    <definedName hidden="1" localSheetId="4" name="_xlnm._FilterDatabase">'Enrollment data'!$A$1:$X$5212</definedName>
    <definedName hidden="1" localSheetId="10" name="_xlnm._FilterDatabase">'GoodGuard - Security Staffing'!$A$1:$N$28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tc={013542ef-0e23-4ef8-b982-df8ecc530654}</author>
    <author>tc={07ff2202-6995-42ce-b2a7-2f7b49108ad0}</author>
    <author>tc={08052614-7da6-44ad-8ad3-498ef4668fcb}</author>
    <author>tc={2560de88-8c22-4f95-8d44-18e96e74655b}</author>
    <author>tc={2c462af9-d008-447b-b6dc-684c6358b633}</author>
    <author>tc={3089c418-f07c-4f7d-8ebf-f075393b28f9}</author>
    <author>tc={4519ae07-0201-4121-b280-5cfabda6e25c}</author>
    <author>tc={53882fc2-7cd7-4135-b4ed-82d04269e4b7}</author>
    <author>tc={571bdc2e-efb8-4101-829d-25e3096a27f7}</author>
    <author>tc={72e6b59d-043f-4a8f-9377-2addbbb9fc31}</author>
    <author>tc={8a95f77d-a859-43fa-9002-be9822102752}</author>
    <author>tc={90d73f3f-cf4e-4635-a82c-69411af9cb68}</author>
    <author>tc={a93b9a2f-5648-416b-b888-80782eaa7561}</author>
    <author>tc={ad45a85a-60c9-44df-ae05-311c2129e47b}</author>
    <author>tc={b8e82a6b-5781-4bd2-9a59-0ed2f6173fc0}</author>
    <author>tc={bf68cd6d-b8e1-47f9-a13c-dbc841f53f1e}</author>
    <author>tc={d0198fa3-843e-4c46-90e8-a4ef8da01bf3}</author>
    <author>tc={d076dd6c-2128-4214-be6a-cfcf963ad2b4}</author>
    <author>tc={d0ef62a3-2a91-4f48-baec-bf3b4754e489}</author>
    <author>tc={e3c000e3-0703-40ff-b2bb-3211601a6e1c}</author>
    <author>tc={e9211a88-691e-4e2a-8fab-9355b579f56c}</author>
    <author>tc={f18f3446-1607-44ac-8405-d970ff5c0bc8}</author>
    <author>tc={f4d393fd-f109-4003-b41e-879826da351e}</author>
    <author>tc={f83e7131-3b9b-40c4-9cfb-fc5061ef78a2}</author>
    <author>tc={fdde8feb-1c1f-4856-af00-8f40f4fa141d}</author>
  </authors>
  <commentList>
    <comment authorId="0" xr:uid="{013542ef-0e23-4ef8-b982-df8ecc530654}" ref="A6">
      <text>
        <t xml:space="preserve">[Threaded comment]
 Your version of Excel allows you to read this threaded comment; however, any edits to it will get removed if the file is opened in a newer version of Excel. Learn more: https://go.microsoft.com/fwlink/?linkid=870924
Comment:
	@jan.dejager@trilogy.com @andrew.jordan@trilogy.com this tab is out of date, do we need it?
</t>
      </text>
    </comment>
    <comment authorId="1" xr:uid="{07ff2202-6995-42ce-b2a7-2f7b49108ad0}" ref="A1">
      <text>
        <t xml:space="preserve">[Threaded comment]
 Your version of Excel allows you to read this threaded comment; however, any edits to it will get removed if the file is opened in a newer version of Excel. Learn more: https://go.microsoft.com/fwlink/?linkid=870924
Comment:
	@andrew.jordan@trilogy.com - do you have a definition for these school models, i.e. White Glove, Guidepost, etc.
Is there a defined list of specifications that go into each from the buildout team?
Reply:
	Not yet. I have asked Tasha to put that together because this is a distinction some in marketing/admissions currently have but we do not have any operational distinction currently.
Reply:
	??
Marked as resolved
</t>
      </text>
    </comment>
    <comment authorId="2" xr:uid="{08052614-7da6-44ad-8ad3-498ef4668fcb}" ref="A1">
      <text>
        <t xml:space="preserve">[Threaded comment]
 Your version of Excel allows you to read this threaded comment; however, any edits to it will get removed if the file is opened in a newer version of Excel. Learn more: https://go.microsoft.com/fwlink/?linkid=870924
Comment:
	@amelia.baldwin@alpha.school - are you able to complete the outstandings in this row?
Reply:
	Completed
</t>
      </text>
    </comment>
    <comment authorId="3" xr:uid="{2560de88-8c22-4f95-8d44-18e96e74655b}" ref="A1">
      <text>
        <t xml:space="preserve">[Threaded comment]
 Your version of Excel allows you to read this threaded comment; however, any edits to it will get removed if the file is opened in a newer version of Excel. Learn more: https://go.microsoft.com/fwlink/?linkid=870924
Comment:
	Hiring
Reply:
	Order canceled
</t>
      </text>
    </comment>
    <comment authorId="4" xr:uid="{2c462af9-d008-447b-b6dc-684c6358b633}" ref="A1">
      <text>
        <t xml:space="preserve">[Threaded comment]
 Your version of Excel allows you to read this threaded comment; however, any edits to it will get removed if the file is opened in a newer version of Excel. Learn more: https://go.microsoft.com/fwlink/?linkid=870924
Comment:
	@amelia.baldwin@alpha.school this is invalid, being told that there's no site planned and not opening
</t>
      </text>
    </comment>
    <comment authorId="5" xr:uid="{3089c418-f07c-4f7d-8ebf-f075393b28f9}" ref="A1">
      <text>
        <t xml:space="preserve">[Threaded comment]
 Your version of Excel allows you to read this threaded comment; however, any edits to it will get removed if the file is opened in a newer version of Excel. Learn more: https://go.microsoft.com/fwlink/?linkid=870924
Comment:
	Where are you pulling these from? And how can I get access to knowing future cities as early as possible, so I can do staffing?
Reply:
	@donnie.yee@trilogy.com has same question/visibility challenge. I will work to develop a process where the moment something is "known/speculated" to notify key people so that backend work can be prep, especially those with long lead times (hiring, hardware procurement, etc)
cc
@amelia.baldwin@alpha.school
Reply:
	Removed, visibility on potential future sites should come from Marketing (who can develop a separate API/tracker), not this sheet.
</t>
      </text>
    </comment>
    <comment authorId="6" xr:uid="{4519ae07-0201-4121-b280-5cfabda6e25c}" ref="A1">
      <text>
        <t xml:space="preserve">[Threaded comment]
 Your version of Excel allows you to read this threaded comment; however, any edits to it will get removed if the file is opened in a newer version of Excel. Learn more: https://go.microsoft.com/fwlink/?linkid=870924
Comment:
	Once location is cleared and we get the go ahead, we will announce official address and enroll students. Opening date will likely be before December 2025 but TBD based on enrollment. @arthur@trilogy.com
Assigned to arthur@trilogy.com
</t>
      </text>
    </comment>
    <comment authorId="7" xr:uid="{53882fc2-7cd7-4135-b4ed-82d04269e4b7}" ref="A1">
      <text>
        <t xml:space="preserve">[Threaded comment]
 Your version of Excel allows you to read this threaded comment; however, any edits to it will get removed if the file is opened in a newer version of Excel. Learn more: https://go.microsoft.com/fwlink/?linkid=870924
Comment:
	@jan.dejager@trilogy.com - what does "leased: ind" mean?
fyi
@arthur@trilogy.com
Reply:
	corrected to Leased
</t>
      </text>
    </comment>
    <comment authorId="8" xr:uid="{571bdc2e-efb8-4101-829d-25e3096a27f7}" ref="A1">
      <text>
        <t xml:space="preserve">[Threaded comment]
 Your version of Excel allows you to read this threaded comment; however, any edits to it will get removed if the file is opened in a newer version of Excel. Learn more: https://go.microsoft.com/fwlink/?linkid=870924
Comment:
	@jan.dejager@trilogy.com - let's get all these blanks completed
Reply:
	@david.harpur@trilogy.com @arthur@trilogy.com - can I check with Neeraj/AP on this - not getting any detail to populate here
Reply:
	@jan.dejager@trilogy.com still open?
</t>
      </text>
    </comment>
    <comment authorId="9" xr:uid="{72e6b59d-043f-4a8f-9377-2addbbb9fc31}" ref="A1">
      <text>
        <t xml:space="preserve">[Threaded comment]
 Your version of Excel allows you to read this threaded comment; however, any edits to it will get removed if the file is opened in a newer version of Excel. Learn more: https://go.microsoft.com/fwlink/?linkid=870924
Comment:
	@arthur@trilogy.com why is this in here? Did nobody clean out an old entry?
Reply:
	yep, guessing that's what happened.  feel free to fix
</t>
      </text>
    </comment>
    <comment authorId="10" xr:uid="{8a95f77d-a859-43fa-9002-be9822102752}" ref="A1">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PK4-5 can that just be PK-5?
Assigned to amelia.baldwin@2hourlearning.com
</t>
      </text>
    </comment>
    <comment authorId="11" xr:uid="{90d73f3f-cf4e-4635-a82c-69411af9cb68}" ref="A1">
      <text>
        <t xml:space="preserve">[Threaded comment]
 Your version of Excel allows you to read this threaded comment; however, any edits to it will get removed if the file is opened in a newer version of Excel. Learn more: https://go.microsoft.com/fwlink/?linkid=870924
Comment:
	@jan.dejager@trilogy.com @amelia.baldwin@2hourlearning.com - why do we need this row in this table?
fyi
@arthur@trilogy.com
Reply:
	Unknown
Reply:
	OK, deleting it
</t>
      </text>
    </comment>
    <comment authorId="12" xr:uid="{a93b9a2f-5648-416b-b888-80782eaa7561}" ref="A1">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@arthur@trilogy.com @jan.dejager@trilogy.com - can we delete this row?
Reply:
	Yes
</t>
      </text>
    </comment>
    <comment authorId="13" xr:uid="{ad45a85a-60c9-44df-ae05-311c2129e47b}" ref="A1">
      <text>
        <t xml:space="preserve">[Threaded comment]
 Your version of Excel allows you to read this threaded comment; however, any edits to it will get removed if the file is opened in a newer version of Excel. Learn more: https://go.microsoft.com/fwlink/?linkid=870924
Comment:
	MP to get back to Amelia on this name
</t>
      </text>
    </comment>
    <comment authorId="14" xr:uid="{b8e82a6b-5781-4bd2-9a59-0ed2f6173fc0}" ref="A1">
      <text>
        <t xml:space="preserve">[Threaded comment]
 Your version of Excel allows you to read this threaded comment; however, any edits to it will get removed if the file is opened in a newer version of Excel. Learn more: https://go.microsoft.com/fwlink/?linkid=870924
Comment:
	new company formed today - Alpha School 95630, LLC - no EIN as disregarded entity under 2HR Learning, Inc.
Reply:
	thanks
</t>
      </text>
    </comment>
    <comment authorId="15" xr:uid="{bf68cd6d-b8e1-47f9-a13c-dbc841f53f1e}" ref="A1">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@arthur@trilogy.com @jan.dejager@trilogy.com - why do we need this row?
Reply:
	to be honest - i don't know why we need any of section 8 in here except maybe row 25
shouldn't the rest just link to an org chart?
Reply:
	@bernhard.baernthaler@trilogy.com - can we get a view-only link to Rippling?
Reply:
	There's no view access to this per se as Rippling considers this sensitive information. You should all already have third party access to Rippling though and be able to view the org chart here after logging in: https://app.rippling.com/org-chart/diagram
I added Arthur, DavidH, AndrewJ on Jun 13th after we had a brief email thread on this.
Jan, you yourself should already have access from back when you started and took over some permissions from DavidC.
I can resend the invites though. Let me know.
</t>
      </text>
    </comment>
    <comment authorId="16" xr:uid="{d0198fa3-843e-4c46-90e8-a4ef8da01bf3}" ref="A1">
      <text>
        <t xml:space="preserve">[Threaded comment]
 Your version of Excel allows you to read this threaded comment; however, any edits to it will get removed if the file is opened in a newer version of Excel. Learn more: https://go.microsoft.com/fwlink/?linkid=870924
Comment:
	?
Reply:
	@amelia.baldwin@alpha.school - you have an open question here
</t>
      </text>
    </comment>
    <comment authorId="17" xr:uid="{d076dd6c-2128-4214-be6a-cfcf963ad2b4}" ref="A1">
      <text>
        <t xml:space="preserve">[Threaded comment]
 Your version of Excel allows you to read this threaded comment; however, any edits to it will get removed if the file is opened in a newer version of Excel. Learn more: https://go.microsoft.com/fwlink/?linkid=870924
Comment:
	@jan.dejager@trilogy.com - ?
Reply:
	updated
</t>
      </text>
    </comment>
    <comment authorId="18" xr:uid="{d0ef62a3-2a91-4f48-baec-bf3b4754e489}" ref="A1">
      <text>
        <t xml:space="preserve">[Threaded comment]
 Your version of Excel allows you to read this threaded comment; however, any edits to it will get removed if the file is opened in a newer version of Excel. Learn more: https://go.microsoft.com/fwlink/?linkid=870924
Comment:
	@donnie.yee@trilogy.com is this complete and accurate?
Assigned to donnie.yee@trilogy.com
Reply:
	Can be more broad / catch all, and I can filter/route to the right people. Unless there is a separate place to report software/tech issues.
</t>
      </text>
    </comment>
    <comment authorId="19" xr:uid="{e3c000e3-0703-40ff-b2bb-3211601a6e1c}" ref="A1">
      <text>
        <t xml:space="preserve">[Threaded comment]
 Your version of Excel allows you to read this threaded comment; however, any edits to it will get removed if the file is opened in a newer version of Excel. Learn more: https://go.microsoft.com/fwlink/?linkid=870924
Comment:
	@joe.marone@alpha.school Could you share a current enrollment number?
Assigned to joe.marone@alpha.school
</t>
      </text>
    </comment>
    <comment authorId="20" xr:uid="{e9211a88-691e-4e2a-8fab-9355b579f56c}" ref="A1">
      <text>
        <t xml:space="preserve">[Threaded comment]
 Your version of Excel allows you to read this threaded comment; however, any edits to it will get removed if the file is opened in a newer version of Excel. Learn more: https://go.microsoft.com/fwlink/?linkid=870924
Comment:
	Opening TBD - Not Fall necessarily.
</t>
      </text>
    </comment>
    <comment authorId="21" xr:uid="{f18f3446-1607-44ac-8405-d970ff5c0bc8}" ref="A1">
      <text>
        <t xml:space="preserve">[Threaded comment]
 Your version of Excel allows you to read this threaded comment; however, any edits to it will get removed if the file is opened in a newer version of Excel. Learn more: https://go.microsoft.com/fwlink/?linkid=870924
Comment:
	We have told families TBD with no date expectation. Opening date will be based on securing location, announcing and enrolling families. TBD @arthur@trilogy.com
Assigned to arthur@trilogy.com
</t>
      </text>
    </comment>
    <comment authorId="22" xr:uid="{f4d393fd-f109-4003-b41e-879826da351e}" ref="A1">
      <text>
        <t xml:space="preserve">[Threaded comment]
 Your version of Excel allows you to read this threaded comment; however, any edits to it will get removed if the file is opened in a newer version of Excel. Learn more: https://go.microsoft.com/fwlink/?linkid=870924
Comment:
	new company formed today - Alpha School 77025, LLC - no EIN as disregarded entity under 2HR Learning, Inc.
Reply:
	thanks
</t>
      </text>
    </comment>
    <comment authorId="23" xr:uid="{f83e7131-3b9b-40c4-9cfb-fc5061ef78a2}" ref="A1">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 Joe's tuition doc says $45k here. @david.harpur@trilogy.com
Reply:
	I will update. This school has been cancelled to open. @arthur@trilogy.com
</t>
      </text>
    </comment>
    <comment authorId="24" xr:uid="{fdde8feb-1c1f-4856-af00-8f40f4fa141d}" ref="A1">
      <text>
        <t xml:space="preserve">[Threaded comment]
 Your version of Excel allows you to read this threaded comment; however, any edits to it will get removed if the file is opened in a newer version of Excel. Learn more: https://go.microsoft.com/fwlink/?linkid=870924
Comment:
	@donnie.yee@trilogy.com pls add your cell here for major issues.
Assigned to donnie.yee@trilogy.com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tc={00c10dca-8e53-42d8-80e3-35247363135e}</author>
    <author>tc={05183b3d-a87b-4bb0-aa05-208a8ac604d1}</author>
    <author>tc={05940eba-824f-4bab-ae71-45a9a6a15673}</author>
    <author>tc={063381c8-80d2-4325-9d6d-7ced3743d382}</author>
    <author>tc={0931e0ee-860a-45ac-8670-e6091ad76b9a}</author>
    <author>tc={097ec805-7a60-4305-b73f-96fdb1481538}</author>
    <author>tc={0a111deb-87cf-4dd5-8151-2394765242b2}</author>
    <author>tc={0c0e057b-0d76-4dde-a415-6b69d618fa16}</author>
    <author>tc={0d63873b-4aae-44ab-83d9-ab8943ef3d53}</author>
    <author>tc={0f05141f-36d1-4bbe-8f6f-5b2ca021c458}</author>
    <author>tc={10f8c10c-e6e2-489b-b4f8-a86ac83d5d71}</author>
    <author>tc={1322be19-98e1-460d-90ba-4800605d0cac}</author>
    <author>tc={13eea062-4533-4c82-8f50-fc93909ccaf2}</author>
    <author>tc={141bc4f6-393d-4df7-b9c5-d88a625c7755}</author>
    <author>tc={1431c42b-d6ac-4619-a301-8f0316415db0}</author>
    <author>tc={15a2c33f-f14f-49f8-9fae-94c73afa55a1}</author>
    <author>tc={15ecaf12-afbc-4361-a386-0bf5d31ea86b}</author>
    <author>tc={17b91208-fc1a-4a98-ad1a-37d21b3f2225}</author>
    <author>tc={193d6338-ae8c-401a-913c-8f7a28eab3ba}</author>
    <author>tc={1b5df0cf-05a5-414c-a601-bd2bab7ef367}</author>
    <author>tc={1c9cdd73-1fc2-436b-a1c9-dafe3411ec09}</author>
    <author>tc={1d110628-d48e-4dd4-b7cc-53f0c96e2b90}</author>
    <author>tc={1e72feae-1c56-41ff-8328-be6e959ae490}</author>
    <author>tc={1f0f40b3-d424-48c4-8b3e-d02529ed61ff}</author>
    <author>tc={2069ded8-39ac-46c0-9af5-d4c923a34389}</author>
    <author>tc={208d2935-bad2-47ec-8839-871c43515466}</author>
    <author>tc={23f1981a-0818-44ae-9f53-5dcef237c35a}</author>
    <author>tc={2434dbd4-7436-40ef-80cf-9894c90dca72}</author>
    <author>tc={245f4cd7-da2e-402b-917b-9e218aa441a2}</author>
    <author>tc={255cd776-1269-402c-9eee-3aca6308e9fa}</author>
    <author>tc={290ac8f2-6e2b-49d0-a647-7894d2030929}</author>
    <author>tc={2926d893-f833-4893-b1ab-e718dc425f6b}</author>
    <author>tc={2a878132-0efa-4b6f-815f-e9aa245de824}</author>
    <author>tc={2ac3cd84-1d13-40f6-9e44-33d46e70f06d}</author>
    <author>tc={2ad4f553-d93d-4b4e-b6b1-e2b3a962df68}</author>
    <author>tc={2ca041eb-940a-4149-88da-0eff8a5aa360}</author>
    <author>tc={2ce35d20-1f1d-46cb-8baa-667bd709342b}</author>
    <author>tc={2ce7a3c5-bc54-45f7-a70e-7ea8b8df0025}</author>
    <author>tc={2e1a5256-a4b5-4676-b821-b9af8eb30023}</author>
    <author>tc={2efbef2e-2bb0-476f-b311-9bc35ea5cd40}</author>
    <author>tc={310c3801-7ffa-4023-8c48-2ef7ed6c4d2a}</author>
    <author>tc={31716e4a-9b7c-475b-9d6d-a62b2cb06cd7}</author>
    <author>tc={317c55a9-a474-41c7-9987-9861950f4f55}</author>
    <author>tc={3184834c-3215-420e-994c-459426d47459}</author>
    <author>tc={3187a479-a0b4-4041-b4f6-e4a9367a3918}</author>
    <author>tc={31aaaec2-54ed-45a3-ba8a-932915fadc47}</author>
    <author>tc={33a63ffd-d2a2-442e-9985-52a3df2f1a1e}</author>
    <author>tc={34f0c760-0995-4c44-bc32-9cc9818ada1f}</author>
    <author>tc={3565e35e-7678-458a-8c8d-62019401bb05}</author>
    <author>tc={36472e0d-eb94-437f-9894-e1c7cb1ca4da}</author>
    <author>tc={377eaac5-6746-4c0e-805f-26551b0d6bb0}</author>
    <author>tc={37b21d81-381d-4bd2-9913-d9e77904161a}</author>
    <author>tc={37d274e9-d877-4515-99c7-1e663dc7c466}</author>
    <author>tc={383ff75b-732d-4674-9308-754dba73eba9}</author>
    <author>tc={386aa4b3-fe39-4ce4-aa32-92a6e174ad1a}</author>
    <author>tc={38b63f7b-3711-4db7-ad8f-bf6b9f117611}</author>
    <author>tc={39757fed-f6fa-4c35-8a9b-c55b13db81bd}</author>
    <author>tc={3a3ea649-9092-4998-9e9a-d0e5422a913a}</author>
    <author>tc={3a8d3842-1753-4661-b5cc-be0d3e2da0f5}</author>
    <author>tc={3d418a9a-a266-44cf-9d7e-b5af6b8b9477}</author>
    <author>tc={3de5be23-a7cb-4f0c-9176-d78051596be1}</author>
    <author>tc={409f4e1b-d7bb-4684-a5fc-6c522032fd17}</author>
    <author>tc={40b287c1-22ca-41fc-b882-471b3957a8af}</author>
    <author>tc={40cf0b42-b6cd-4310-a08d-fa5600cac836}</author>
    <author>tc={4260c57a-6e5e-4b23-8f78-c82f7f288313}</author>
    <author>tc={42cbbc8f-7d41-4293-b9bf-c324637b4175}</author>
    <author>tc={46aaacc9-b6dd-4186-9dd6-c0b290e66e00}</author>
    <author>tc={475a5a21-1ac5-4cb4-8ee8-0f55d041d5ec}</author>
    <author>tc={486bbdf1-179d-4806-9e62-3d1686e04e44}</author>
    <author>tc={4af53236-83ab-4833-a80e-95a042d2b83d}</author>
    <author>tc={4b8a0c39-c751-4d34-b032-78d3c7e48523}</author>
    <author>tc={4bef3ad7-fc09-46fb-b9a1-e61b73ec7903}</author>
    <author>tc={4c0e678a-65dc-4f96-adeb-2f143f6094ac}</author>
    <author>tc={4d19a34b-629b-4a23-bce1-c333f2d42429}</author>
    <author>tc={4fceabdd-cd79-4c12-8495-dbaff04660ed}</author>
    <author>tc={5438054f-0d18-448f-94f2-abf8383e0010}</author>
    <author>tc={54e67815-2660-4562-ad82-690b92398137}</author>
    <author>tc={56fcd80f-5965-43d2-b8c2-4d55c5332f0e}</author>
    <author>tc={594aabbf-3a42-43f5-92bb-bd6fda3471b1}</author>
    <author>tc={5a737cf5-cdd2-497e-bf90-655f34eef2db}</author>
    <author>tc={5c14198b-fb68-4489-a255-c6016766c7ae}</author>
    <author>tc={60784977-77bc-4742-b73e-8bf5c1cd11d9}</author>
    <author>tc={60d0bbf4-ebfe-4309-9cb5-7c2ab734b634}</author>
    <author>tc={62fef76f-c4ae-48d8-b29f-3113ab2350ab}</author>
    <author>tc={642d2bf5-bbc2-41e8-966b-16673926a8fb}</author>
    <author>tc={6558430a-ef67-4bdd-bc88-e41915ed4fa3}</author>
    <author>tc={656ee0ea-0ff0-45e0-8c4a-87cce18a974f}</author>
    <author>tc={6664cad8-2733-479f-9da8-17b001f51caf}</author>
    <author>tc={6825f18b-5f4e-4a39-9399-06153f226538}</author>
    <author>tc={69ca4216-7304-44d7-81a7-6fdd07404840}</author>
    <author>tc={6b1e5337-450c-4898-b79e-5492f0ccb02d}</author>
    <author>tc={6b259c5d-19b2-4c50-9327-c34d10149bc7}</author>
    <author>tc={6c03622c-e239-4066-9343-3b37d16db302}</author>
    <author>tc={6c92b8d5-8668-4652-b332-bb0452f09777}</author>
    <author>tc={6daf3cd0-adc0-4688-9e82-3472f2c9d56f}</author>
    <author>tc={702ff778-e1a0-4be8-92cb-627bd58eb1b9}</author>
    <author>tc={70dc5a2d-ee16-4707-b69a-f2707c65d5c6}</author>
    <author>tc={70f88698-fd2a-4e16-a1b7-aeae96ed8cf3}</author>
    <author>tc={71b3efed-012b-4f4a-bd07-09d28916a14b}</author>
    <author>tc={724b3ca2-dae3-4dc1-8c17-0af655986f3d}</author>
    <author>tc={751e73cf-3225-45b4-824b-58ceaa128cfb}</author>
    <author>tc={7648ce4a-c899-4a39-b7ca-dda1055a3a9c}</author>
    <author>tc={778f17fd-a647-4e3e-831c-c953cf3b3f89}</author>
    <author>tc={77c93c85-95f5-4f05-ad51-8613918d18f9}</author>
    <author>tc={78ae65a0-b310-4daa-ad9a-7726621fe40a}</author>
    <author>tc={7a0954f6-64f8-4cc6-926b-8068a28e04fb}</author>
    <author>tc={7a17ca25-54fc-487e-a5f3-552986942afd}</author>
    <author>tc={7a6b4155-caf4-4f5f-b29b-cf1ec925c59f}</author>
    <author>tc={7a7da18b-453c-477a-8396-5a55b9388bbf}</author>
    <author>tc={7aafabf9-001c-4c5d-90b6-62f9c8ec3635}</author>
    <author>tc={7af1c342-0665-4438-bbf2-18b3bca3f2a3}</author>
    <author>tc={7ca18091-4245-4d4e-a35f-7bf701c3444a}</author>
    <author>tc={7d0dcc33-790a-41cd-ae2f-3ac6f3f6250b}</author>
    <author>tc={7ddf9d08-54d1-4ede-b423-a2d174826701}</author>
    <author>tc={801cd840-64b3-4e3c-9142-3ddf4e5884d8}</author>
    <author>tc={8049ccc9-1bae-4ddf-9f59-3082705eb289}</author>
    <author>tc={810edec4-e139-4b41-bc46-92b29103117c}</author>
    <author>tc={81bb8868-b8f7-42df-959a-bc5727e79366}</author>
    <author>tc={851d3dd3-6833-4a44-abcc-dc9b9e4d3f7e}</author>
    <author>tc={853800f7-2000-44a0-b160-2c51708ca00f}</author>
    <author>tc={855bc60d-7c5c-4748-8d8e-06ceec83a355}</author>
    <author>tc={865ff2e9-6d7e-40f6-9f84-2a83978a566b}</author>
    <author>tc={8957fec5-404f-4bbc-9478-13eceb291e26}</author>
    <author>tc={89829cf3-8ef8-41f8-a466-3dc812c4aefe}</author>
    <author>tc={8993246a-8e5e-49dc-a6db-bf9452c0ace1}</author>
    <author>tc={8aaeeea1-4c2f-4370-9d4d-f8a40b7ca7f0}</author>
    <author>tc={8f9444f8-3736-4272-ba5c-e9fd654c60cb}</author>
    <author>tc={8fa74a14-25d9-438a-8c4b-68881cf5e87b}</author>
    <author>tc={914057e7-118a-479d-a430-55e7fd8a6c63}</author>
    <author>tc={925044c6-34e1-47cb-b130-8525afb10a67}</author>
    <author>tc={9265ac4f-43ae-4175-93e1-d393752300c7}</author>
    <author>tc={92c02275-f193-4593-aac1-fd2708712f50}</author>
    <author>tc={93df3916-506c-4eb3-b18c-333fa4890397}</author>
    <author>tc={941c58b1-68d2-4b3f-8e31-0aff0f019829}</author>
    <author>tc={942ff914-604f-48db-98f5-137d56f12379}</author>
    <author>tc={9463916c-1339-4f05-92e9-2ae7ca4ccf29}</author>
    <author>tc={96bf0c3b-f1ef-48e9-80e1-b28889ff1990}</author>
    <author>tc={97d9a9de-64e3-4f1f-a535-fa3585315cd8}</author>
    <author>tc={98a81c80-4d1e-4339-b6c5-f56850dd61f8}</author>
    <author>tc={98d8ce0e-c41f-40c5-8706-ef0579b4409c}</author>
    <author>tc={98f62d33-4fe9-4e94-a1a7-73682f893cad}</author>
    <author>tc={99d469bc-fcb0-4835-82f1-99afe33b57fc}</author>
    <author>tc={9a711c7f-2fe1-48c6-9dfb-adc961179232}</author>
    <author>tc={9a97ac84-e6e1-4f11-9a5e-fc4beb9a176a}</author>
    <author>tc={9b67e6d8-e401-4c6b-902f-cd874925fa0f}</author>
    <author>tc={9c23f34c-74ed-4309-a940-f9fb46341204}</author>
    <author>tc={9c732a7d-4a1d-4119-ab27-bba64e9aaa55}</author>
    <author>tc={9e577065-47d4-493b-a64f-e56bbb40d981}</author>
    <author>tc={9f546a37-3989-435c-a930-3a0f47c1fa57}</author>
    <author>tc={9f7fef6a-7e03-4d93-a108-a1e56be6bc38}</author>
    <author>tc={a049c459-b3cd-4c76-b491-5eb7c7ef69f9}</author>
    <author>tc={a0e362cb-ad37-4ead-b037-3b5322ba5349}</author>
    <author>tc={a18cca1b-9a1f-4790-9c1d-9b38efa645bb}</author>
    <author>tc={a1b441a6-9da6-4f44-b5df-f182682f682f}</author>
    <author>tc={a3019027-dd23-4a29-b000-4ba88ac476e7}</author>
    <author>tc={a5631fca-3269-4a4a-ac67-841063c4e931}</author>
    <author>tc={a877152c-1e64-47a2-83ea-ac9a484a9280}</author>
    <author>tc={a95a1523-23b6-417a-8a91-34fd960191f2}</author>
    <author>tc={a9abb08a-cdc3-46e2-841f-af71940bd978}</author>
    <author>tc={aa2a676e-09db-4641-96ea-4d3cb12d9c1a}</author>
    <author>tc={abd463a9-eda3-4e58-a6bc-dd23ae762954}</author>
    <author>tc={ac11f6fc-ff51-4db6-8725-c7e1e9f90946}</author>
    <author>tc={ac7b5234-bc70-4011-8bd2-750b35bfcdd2}</author>
    <author>tc={acc75c89-ee8f-4fb9-a231-4de522f31238}</author>
    <author>tc={ad1b4022-afb6-4bca-9692-035af99e3061}</author>
    <author>tc={aff9220c-8623-45ff-8eeb-3ba223041b03}</author>
    <author>tc={b1629dd1-5d36-4d5d-8c73-19fea32bfba5}</author>
    <author>tc={b16970d6-ee8e-4695-aaaf-18905f5b8d56}</author>
    <author>tc={b19172d8-3e55-47a1-a273-0e4d1e898611}</author>
    <author>tc={b475ddf6-d424-48cf-b634-b1aa833430d0}</author>
    <author>tc={b4dd8eef-68ba-4839-bb76-7716fe4f2059}</author>
    <author>tc={b4e52235-6f30-4443-bc05-2eb46d921de0}</author>
    <author>tc={b6777de3-d8ad-440c-b7f6-97586c7418e3}</author>
    <author>tc={bbf8fc3e-fb51-4bae-a599-d06ac1eca760}</author>
    <author>tc={bc29fd14-64ae-44d6-8d3c-28a3810391e6}</author>
    <author>tc={be0d7f25-0f69-4adc-9592-c61c7ffe7801}</author>
    <author>tc={be6d4691-8dc7-48ee-a50f-aa17d578aaa6}</author>
    <author>tc={beb3ce81-ae46-4702-a991-cafb50550346}</author>
    <author>tc={c1692356-8087-4935-9f41-5855d9601f1d}</author>
    <author>tc={c1b866b1-7d7b-4750-b0ce-060afb9adca2}</author>
    <author>tc={c22bf06b-deff-4179-863c-4ea7850d0ba6}</author>
    <author>tc={c2a2e181-f584-4355-9091-8db36b3f07c2}</author>
    <author>tc={c32524d8-245b-42af-9b34-cbcb67a5ef46}</author>
    <author>tc={c3256dda-87b0-4788-95ae-23b23f8cc141}</author>
    <author>tc={c4f6bc76-3589-4853-a036-c74d08caeb08}</author>
    <author>tc={c58765c9-fa69-4e4c-8326-32fa6035bca6}</author>
    <author>tc={c5e41987-45de-4b90-bc24-f6baf60d16ef}</author>
    <author>tc={c7347c2a-89a0-4d12-9d58-95a48b6fc17d}</author>
    <author>tc={c7418463-e300-44c1-a07d-6c188501aef6}</author>
    <author>tc={c77500f4-37c6-4d88-a9c6-b7d25d2c0969}</author>
    <author>tc={c77e8466-dcc2-49f4-8053-8b575d81db47}</author>
    <author>tc={c8c43a64-e3bd-407a-a26f-5c691167724a}</author>
    <author>tc={cb5c1358-c630-4ca5-aa48-4747704b8f7b}</author>
    <author>tc={cd5498e9-4ef2-404f-abed-ec3e867f25c7}</author>
    <author>tc={cd5f4d26-613b-496f-9fd7-0968158932b5}</author>
    <author>tc={cddb522b-9a9a-4f36-a83c-05807e32d4ae}</author>
    <author>tc={ce16fedc-8c02-459d-a94f-d5294a0ddf43}</author>
    <author>tc={cf326078-523f-4e09-92e5-9573d71a20f9}</author>
    <author>tc={cf8f9ed1-9c75-4bfd-be5d-6f4891faa6ca}</author>
    <author>tc={d18317e9-6699-4fe2-9022-6c269a7dcabe}</author>
    <author>tc={d2f46a69-078c-44a3-9700-ccc501d90b4b}</author>
    <author>tc={d40f719b-1cbb-400b-935c-e3c3a3937e7d}</author>
    <author>tc={d40f85b0-89d0-47cb-b92f-61ad259a5238}</author>
    <author>tc={d50ef862-e439-4e87-b383-703e22559317}</author>
    <author>tc={d66e9732-764b-40ee-a26b-8b91acf38bff}</author>
    <author>tc={d7410927-a49d-445a-b7c9-dc17d5b38aa4}</author>
    <author>tc={d75b544e-89a4-497a-b0e8-ebe1d4100c94}</author>
    <author>tc={d7676c27-eaf7-4c68-85a3-2b9dac4bf40b}</author>
    <author>tc={d8f6e416-82f9-4625-925d-dbe6913e2fc3}</author>
    <author>tc={d949b309-96b2-4e79-a6b5-0cb93031c89c}</author>
    <author>tc={d9b87c28-9e57-4afa-a99b-bf89465f14b0}</author>
    <author>tc={d9d4a297-a3df-4946-b12b-78281bd121ed}</author>
    <author>tc={daff9982-c018-494f-aa4a-1ac5d8a5011f}</author>
    <author>tc={db5da91e-0407-4a5c-8502-47c96c45dba4}</author>
    <author>tc={dbd64a04-68b1-4ed3-bc61-9d2a601d8343}</author>
    <author>tc={dc0a3277-c642-44c8-8083-1256af69849a}</author>
    <author>tc={de8f96d5-904b-485a-954b-8cd10bd362b0}</author>
    <author>tc={deb6be90-9a6e-412e-9b20-242b8bf63ca5}</author>
    <author>tc={df9d27cf-1473-4d6a-880b-9766e5c3c52d}</author>
    <author>tc={dfac81c7-b26e-49ca-9d06-317797cd833f}</author>
    <author>tc={e036f244-b92e-4bca-a62b-ac5750209ec8}</author>
    <author>tc={e06250d8-725d-4328-9b45-a3184e75c7a0}</author>
    <author>tc={e104a721-4e09-44e2-856c-cf1adb9a10e8}</author>
    <author>tc={e2abc837-116e-4745-9b6e-a3c1b8814429}</author>
    <author>tc={e30573ba-08fd-4e80-8d6e-c98fe5692958}</author>
    <author>tc={e3f55b10-61fd-4a86-800a-4cdc712e2d31}</author>
    <author>tc={e5747000-d3b0-406b-aea9-3df4ded08da8}</author>
    <author>tc={e58c4e05-6206-4fac-a3cf-f1af67c2b6eb}</author>
    <author>tc={e609e89f-b798-4b2b-8967-940e45ecb242}</author>
    <author>tc={e624c7b3-91a1-423d-9ba5-fac9f514d443}</author>
    <author>tc={e646a619-3bcb-4162-86e8-9c177b2ce9f6}</author>
    <author>tc={e6fbe79f-4128-4472-baf0-0162b2ac32ac}</author>
    <author>tc={e7c698e2-b6bd-4804-a0bf-787cf51ea184}</author>
    <author>tc={ea95a154-3ae3-4d5c-a3c7-25e22365527f}</author>
    <author>tc={ea9abd3c-0cf4-4e00-af20-7bdd263b0845}</author>
    <author>tc={ead949b5-033b-4ab6-9483-4aed726d4471}</author>
    <author>tc={ecfc455d-2dfc-4c8b-ac32-d16f98a8005b}</author>
    <author>tc={ededb455-60d7-4733-9a8b-326e73d9893d}</author>
    <author>tc={ee07572b-028f-4e38-be82-94616b5c57c8}</author>
    <author>tc={f1201ac2-c125-4d68-bee7-2ee60b70b697}</author>
    <author>tc={f1d6d766-2522-4884-b9ca-a64f1256b280}</author>
    <author>tc={f22d05d9-2f37-4b67-9a50-69b16a38f160}</author>
    <author>tc={f23d0450-12a6-4c61-9dce-88756b4bba51}</author>
    <author>tc={f3286be8-4cec-452d-8fb1-c9c5030b889b}</author>
    <author>tc={f3730a39-0d79-4079-bdc4-6379fd01063f}</author>
    <author>tc={f5ab23a8-2743-4679-acb4-c1b068e8b37f}</author>
    <author>tc={f5f71b6d-834b-4bc6-975c-1fe9d8948bc4}</author>
    <author>tc={f662f434-7385-41e3-a91e-fcf311f3baa1}</author>
    <author>tc={f6eae160-7545-456f-a680-563c90d7d3a3}</author>
    <author>tc={f822075e-4bdf-4100-a921-78a600be8234}</author>
    <author>tc={f857b2f0-7582-4c89-ac06-edf1d9461bfe}</author>
    <author>tc={f866534b-e9c3-431d-9b07-a6b18e21114b}</author>
    <author>tc={f89554fd-a20e-4683-a47c-42baa31ca674}</author>
    <author>tc={f8d506c4-0786-4aa4-b97f-826956d344d0}</author>
    <author>tc={fa582fec-189b-4d50-baae-b160dc6dccd4}</author>
    <author>tc={fa6badc5-6544-46b2-8dc6-a809cb2685d7}</author>
    <author>tc={fa9563cd-a61d-43d8-9383-a838c03d79d2}</author>
    <author>tc={faad44f1-20d3-440e-9827-7e7879c966a9}</author>
    <author>tc={fd3ee22e-ac75-49dc-ad87-cfbddc31c3bc}</author>
    <author>tc={fd893752-8b87-4bb5-964a-31cb35bcc8f5}</author>
    <author>tc={fd9c0856-ed7a-45f3-a8a0-cbb6658332cc}</author>
    <author>tc={fdd0db9b-f05e-48cd-98ea-877ba148e34e}</author>
    <author>tc={ff89dfcd-8dcf-48ae-b5b6-9c682c00f98c}</author>
  </authors>
  <commentList>
    <comment authorId="0" xr:uid="{00c10dca-8e53-42d8-80e3-35247363135e}" ref="AL26">
      <text>
        <t xml:space="preserve">[Threaded comment]
 Your version of Excel allows you to read this threaded comment; however, any edits to it will get removed if the file is opened in a newer version of Excel. Learn more: https://go.microsoft.com/fwlink/?linkid=870924
Comment:
	Alpha Anywhere is not a school. It is curriculum software for homeschool families. The online private school is Novatio (led by Ivy Xu).
</t>
      </text>
    </comment>
    <comment authorId="1" xr:uid="{05183b3d-a87b-4bb0-aa05-208a8ac604d1}" ref="D28">
      <text>
        <t xml:space="preserve">[Threaded comment]
 Your version of Excel allows you to read this threaded comment; however, any edits to it will get removed if the file is opened in a newer version of Excel. Learn more: https://go.microsoft.com/fwlink/?linkid=870924
Comment:
	@jan.dejager@trilogy.com - we needed a separate company EIN for Stripe.  It is 	41-4151325
Assigned to jan.dejager@trilogy.com
</t>
      </text>
    </comment>
    <comment authorId="2" xr:uid="{05940eba-824f-4bab-ae71-45a9a6a15673}" ref="A38">
      <text>
        <t xml:space="preserve">[Threaded comment]
 Your version of Excel allows you to read this threaded comment; however, any edits to it will get removed if the file is opened in a newer version of Excel. Learn more: https://go.microsoft.com/fwlink/?linkid=870924
Comment:
	@joshua.rockers@trilogy.com can you pls fill out this row (current state and where we are hiring) and link to the tiering spreadsheet in this cell? @andrew.jordan@trilogy.com
Assigned to joshua.rockers@trilogy.com
Reply:
	Yes, I will address this now.
Reply:
	Update complete
Reply:
	I added more rows here for security tier and contact info. @joshua.rockers@trilogy.com pls put the data here and then I don't think we need the security staffing tab, and this should link to our security tier definitions, not teh random cost spreadsheet that is out of date?
</t>
      </text>
    </comment>
    <comment authorId="3" xr:uid="{063381c8-80d2-4325-9d6d-7ced3743d382}" ref="F32">
      <text>
        <t xml:space="preserve">[Threaded comment]
 Your version of Excel allows you to read this threaded comment; however, any edits to it will get removed if the file is opened in a newer version of Excel. Learn more: https://go.microsoft.com/fwlink/?linkid=870924
Comment:
	Hiring ADOP (combined with Novas)
</t>
      </text>
    </comment>
    <comment authorId="4" xr:uid="{0931e0ee-860a-45ac-8670-e6091ad76b9a}" ref="AC18">
      <text>
        <t xml:space="preserve">[Threaded comment]
 Your version of Excel allows you to read this threaded comment; however, any edits to it will get removed if the file is opened in a newer version of Excel. Learn more: https://go.microsoft.com/fwlink/?linkid=870924
Comment:
	K-8
</t>
      </text>
    </comment>
    <comment authorId="5" xr:uid="{097ec805-7a60-4305-b73f-96fdb1481538}" ref="N13">
      <text>
        <t xml:space="preserve">[Threaded comment]
 Your version of Excel allows you to read this threaded comment; however, any edits to it will get removed if the file is opened in a newer version of Excel. Learn more: https://go.microsoft.com/fwlink/?linkid=870924
Comment:
	@jan.dejager@trilogy.com - can we clean this up?
Reply:
	updated
</t>
      </text>
    </comment>
    <comment authorId="6" xr:uid="{0a111deb-87cf-4dd5-8151-2394765242b2}" ref="P28">
      <text>
        <t xml:space="preserve">[Threaded comment]
 Your version of Excel allows you to read this threaded comment; however, any edits to it will get removed if the file is opened in a newer version of Excel. Learn more: https://go.microsoft.com/fwlink/?linkid=870924
Comment:
	disregarded entity under 2HR Learning, Inc. and has not had reason to request its own EIN so disclosing 2HR Learning, Inc. EIN
</t>
      </text>
    </comment>
    <comment authorId="7" xr:uid="{0c0e057b-0d76-4dde-a415-6b69d618fa16}" ref="K13">
      <text>
        <t xml:space="preserve">[Threaded comment]
 Your version of Excel allows you to read this threaded comment; however, any edits to it will get removed if the file is opened in a newer version of Excel. Learn more: https://go.microsoft.com/fwlink/?linkid=870924
Comment:
	@andrew.jordan@trilogy.com $500 deposit for Nova schools?
Assigned to andrew.jordan@trilogy.com
Reply:
	This does not make sense here in the FF discount row. We can add another line for deposit if required.
@andrew.jordan@trilogy.com @amelia.baldwin@2hourlearning.com - please clarify
</t>
      </text>
    </comment>
    <comment authorId="8" xr:uid="{0d63873b-4aae-44ab-83d9-ab8943ef3d53}" ref="A34">
      <text>
        <t xml:space="preserve">[Threaded comment]
 Your version of Excel allows you to read this threaded comment; however, any edits to it will get removed if the file is opened in a newer version of Excel. Learn more: https://go.microsoft.com/fwlink/?linkid=870924
Comment:
	@andrew.jordan@trilogy.com can you pls fill out these 2 rows here w/ CC and Ops Lead?  I'll then take that and we want to publish out to Guides (and even Parents)
Assigned to andrew.jordan@trilogy.com
Reply:
	should have name, e-mail, cell
Reply:
	@andrew.jordan@trilogy.com why isn't campus coordinator filled out?  Isn't that the first escalation point for facilities?
</t>
      </text>
    </comment>
    <comment authorId="9" xr:uid="{0f05141f-36d1-4bbe-8f6f-5b2ca021c458}" ref="T22">
      <text>
        <t xml:space="preserve">[Threaded comment]
 Your version of Excel allows you to read this threaded comment; however, any edits to it will get removed if the file is opened in a newer version of Excel. Learn more: https://go.microsoft.com/fwlink/?linkid=870924
Comment:
	@donnie.yee@trilogy.com also here
</t>
      </text>
    </comment>
    <comment authorId="10" xr:uid="{10f8c10c-e6e2-489b-b4f8-a86ac83d5d71}" ref="U18">
      <text>
        <t xml:space="preserve">[Threaded comment]
 Your version of Excel allows you to read this threaded comment; however, any edits to it will get removed if the file is opened in a newer version of Excel. Learn more: https://go.microsoft.com/fwlink/?linkid=870924
Comment:
	@donnie.yee@trilogy.com this should now be K-12. 
@tasha.arnold@2hourlearning.com @tasha.arnold@alpha.school pls confirm.
Assigned to donnie.yee@trilogy.com
</t>
      </text>
    </comment>
    <comment authorId="11" xr:uid="{1322be19-98e1-460d-90ba-4800605d0cac}" ref="Y21">
      <text>
        <t xml:space="preserve">[Threaded comment]
 Your version of Excel allows you to read this threaded comment; however, any edits to it will get removed if the file is opened in a newer version of Excel. Learn more: https://go.microsoft.com/fwlink/?linkid=870924
Comment:
	TBD as soon as anyone is enrolled. @arthur@trilogy.com
Assigned to arthur@trilogy.com
</t>
      </text>
    </comment>
    <comment authorId="12" xr:uid="{13eea062-4533-4c82-8f50-fc93909ccaf2}" ref="Y18">
      <text>
        <t xml:space="preserve">[Threaded comment]
 Your version of Excel allows you to read this threaded comment; however, any edits to it will get removed if the file is opened in a newer version of Excel. Learn more: https://go.microsoft.com/fwlink/?linkid=870924
Comment:
	@arthur@trilogy.com @donnie.yee@trilogy.com @jan.dejager@trilogy.com @dmitry.bakaev@trilogy.com Raleigh is now K-5 from being K-3
</t>
      </text>
    </comment>
    <comment authorId="13" xr:uid="{141bc4f6-393d-4df7-b9c5-d88a625c7755}" ref="W21">
      <text>
        <t xml:space="preserve">[Threaded comment]
 Your version of Excel allows you to read this threaded comment; however, any edits to it will get removed if the file is opened in a newer version of Excel. Learn more: https://go.microsoft.com/fwlink/?linkid=870924
Comment:
	@rachel.goodlad@alpha.school i show one enrollment -- is there a threshold?
Assigned to rachel.goodlad@alpha.school
Reply:
	@jeremy.williams@alpha.school
Reply:
	That is a future enrollment, not for this fall.
1 total reaction
Arthur Michel reacted with 👍 at 2025-08-13 16:22 PM
</t>
      </text>
    </comment>
    <comment authorId="14" xr:uid="{1431c42b-d6ac-4619-a301-8f0316415db0}" ref="V20">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this changed to Sep 3.
Assigned to amelia.baldwin@2hourlearning.com
</t>
      </text>
    </comment>
    <comment authorId="15" xr:uid="{15a2c33f-f14f-49f8-9fae-94c73afa55a1}" ref="Z27">
      <text>
        <t xml:space="preserve">[Threaded comment]
 Your version of Excel allows you to read this threaded comment; however, any edits to it will get removed if the file is opened in a newer version of Excel. Learn more: https://go.microsoft.com/fwlink/?linkid=870924
Comment:
	Alpha School 33624, LLC recently created
</t>
      </text>
    </comment>
    <comment authorId="16" xr:uid="{15ecaf12-afbc-4361-a386-0bf5d31ea86b}" ref="N9">
      <text>
        <t xml:space="preserve">[Threaded comment]
 Your version of Excel allows you to read this threaded comment; however, any edits to it will get removed if the file is opened in a newer version of Excel. Learn more: https://go.microsoft.com/fwlink/?linkid=870924
Comment:
	Will there be lunch in 26/27? Need to know for re-enrollment. If so, what is the cost? $100? @donnie.yee@trilogy.com @jim.liu@trilogy.com
Reply:
	Question for @randall.grant@trilogy.com for montessorium. Cost would still be the same $200 for now unless finance updates it
Reply:
	As per HoS, there will be no lunch service offered in 26/27.  Families not interested.
</t>
      </text>
    </comment>
    <comment authorId="17" xr:uid="{17b91208-fc1a-4a98-ad1a-37d21b3f2225}" ref="AH8">
      <text>
        <t xml:space="preserve">[Threaded comment]
 Your version of Excel allows you to read this threaded comment; however, any edits to it will get removed if the file is opened in a newer version of Excel. Learn more: https://go.microsoft.com/fwlink/?linkid=870924
Comment:
	$50,000
</t>
      </text>
    </comment>
    <comment authorId="18" xr:uid="{193d6338-ae8c-401a-913c-8f7a28eab3ba}" ref="A46">
      <text>
        <t xml:space="preserve">[Threaded comment]
 Your version of Excel allows you to read this threaded comment; however, any edits to it will get removed if the file is opened in a newer version of Excel. Learn more: https://go.microsoft.com/fwlink/?linkid=870924
Comment:
	@jc.fischer@trilogy.com thinking good to put info about the lease -- e.g. what year out of how many years are we in?
Assigned to jc.fischer@trilogy.com
Reply:
	reminder on this pls @jc.fischer@trilogy.com
Reply:
	My team has been gathering them from Zack. Will input here.
Reply:
	@jc.fischer@trilogy.com ping on this who can fill this out?-- e.g. CO2 hearing from @andrew.jordan@trilogy.com @austin.ray@trilogy.com that our lease is up end of 2026?
Reply:
	RE team. I can get my team to go into the leases and extract the info. we might have some in Wrike already.
Reply:
	Yes. we have most in Wrike. can we give @andrea.ewalefo@trilogy.com access to this sheet to edit and input them for each school we have?
Reply:
	yep - done
Reply:
	Confirming I am putting the termination date of each lease and any option exercise date info in this field
Reply:
	@andrew.jordan@trilogy.com @austin.ray@trilogy.com do y'all have the CO2 lease? It's not in the school's google folder
Reply:
	No. I’ve been trying to track it down hence ARTIE’s ask!!
Reply:
	Found it in an old email thread. Just forwarded to JC and Andrea
Reply:
	@arthur@trilogy.com and @jc.fischer@trilogy.com all expiration dates have been entered for leases I have. All 2026 expiration dates have been highlighted red.
Reply:
	I thought we had info for things like Alpha High School we have been discussing? Lots is missing @jc.fischer@trilogy.com @andrew.jordan@trilogy.com
Reply:
	@andrea.ewalefo@trilogy.com ?
Reply:
	I still do not have Alpha High School lease. The email andrew sent did not have it attached, and I'm waiting for him to send the attachment
Reply:
	@arthur@trilogy.com Alpha High School and Alpha Boston have been added.
</t>
      </text>
    </comment>
    <comment authorId="19" xr:uid="{1b5df0cf-05a5-414c-a601-bd2bab7ef367}" ref="AH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20" xr:uid="{1c9cdd73-1fc2-436b-a1c9-dafe3411ec09}" ref="Y19">
      <text>
        <t xml:space="preserve">[Threaded comment]
 Your version of Excel allows you to read this threaded comment; however, any edits to it will get removed if the file is opened in a newer version of Excel. Learn more: https://go.microsoft.com/fwlink/?linkid=870924
Comment:
	@donnie.yee@trilogy.com @dmitry.bakaev@trilogy.com Pushed to Fall
</t>
      </text>
    </comment>
    <comment authorId="21" xr:uid="{1d110628-d48e-4dd4-b7cc-53f0c96e2b90}" ref="A21">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@tasha.arnold@alpha.school can we pls get some clarity into what is actually opening tomorrow and in Sept please?
Assigned to amelia.baldwin@2hourlearning.com
Reply:
	Options would be August 13th, Sept 3rd, some date in between, or TBD
Reply:
	@rachel.goodlad@alpha.school
</t>
      </text>
    </comment>
    <comment authorId="22" xr:uid="{1e72feae-1c56-41ff-8328-be6e959ae490}" ref="F28">
      <text>
        <t xml:space="preserve">[Threaded comment]
 Your version of Excel allows you to read this threaded comment; however, any edits to it will get removed if the file is opened in a newer version of Excel. Learn more: https://go.microsoft.com/fwlink/?linkid=870924
Comment:
	@brian.baucher@trilogy.com - EIN required for Stripe please
Reply:
	will request tomorrow.  You can only make one request per day per responsible officer (AndyP) and we already requested for Alpha School 78701 today.
Reply:
	Okay noted thanks
</t>
      </text>
    </comment>
    <comment authorId="23" xr:uid="{1f0f40b3-d424-48c4-8b3e-d02529ed61ff}" ref="K12">
      <text>
        <t xml:space="preserve">[Threaded comment]
 Your version of Excel allows you to read this threaded comment; however, any edits to it will get removed if the file is opened in a newer version of Excel. Learn more: https://go.microsoft.com/fwlink/?linkid=870924
Comment:
	@jan.dejager@trilogy.com Need to confirm
Assigned to jan.dejager@trilogy.com
Reply:
	@jan.dejager@trilogy.com good here?
Reply:
	Yes - consistent with other $15k tuition campuses
</t>
      </text>
    </comment>
    <comment authorId="24" xr:uid="{2069ded8-39ac-46c0-9af5-d4c923a34389}" ref="J12">
      <text>
        <t xml:space="preserve">[Threaded comment]
 Your version of Excel allows you to read this threaded comment; however, any edits to it will get removed if the file is opened in a newer version of Excel. Learn more: https://go.microsoft.com/fwlink/?linkid=870924
Comment:
	@jan.dejager@trilogy.com Need to confirm
Assigned to jan.dejager@trilogy.com
Reply:
	Amelia, where did you get this initially? I can then follow up from the source. For both Nova schools.
Reply:
	Valenta had a $500 deposit
</t>
      </text>
    </comment>
    <comment authorId="25" xr:uid="{208d2935-bad2-47ec-8839-871c43515466}" ref="AE23">
      <text>
        <t xml:space="preserve">[Threaded comment]
 Your version of Excel allows you to read this threaded comment; however, any edits to it will get removed if the file is opened in a newer version of Excel. Learn more: https://go.microsoft.com/fwlink/?linkid=870924
Comment:
	3002 Main St, Santa Monica, CA 90405
</t>
      </text>
    </comment>
    <comment authorId="26" xr:uid="{23f1981a-0818-44ae-9f53-5dcef237c35a}" ref="J32">
      <text>
        <t xml:space="preserve">[Threaded comment]
 Your version of Excel allows you to read this threaded comment; however, any edits to it will get removed if the file is opened in a newer version of Excel. Learn more: https://go.microsoft.com/fwlink/?linkid=870924
Comment:
	Hiring ADOP
Reply:
	UPDATE: Morgan Swain
</t>
      </text>
    </comment>
    <comment authorId="27" xr:uid="{2434dbd4-7436-40ef-80cf-9894c90dca72}" ref="J2">
      <text>
        <t xml:space="preserve">[Threaded comment]
 Your version of Excel allows you to read this threaded comment; however, any edits to it will get removed if the file is opened in a newer version of Excel. Learn more: https://go.microsoft.com/fwlink/?linkid=870924
Comment:
	@andrew.jordan@trilogy.com @arthur@trilogy.com Has this name officially changed to Nova Academy.  There is a parent meeting on Friday and marking is building out materials...
Assigned to andrew.jordan@trilogy.com
Reply:
	@donnie.yee@trilogy.com
Reply:
	What are the comms to the families. If we do not want to confirm a name yet, we can say that.
Reply:
	@amelia.baldwin@2hourlearning.com @donnie.yee@trilogy.com @jan.dejager@trilogy.com - what is o/s here?
Reply:
	Officially Nova Academy per Stef. That decision was made over the weekend.
</t>
      </text>
    </comment>
    <comment authorId="28" xr:uid="{245f4cd7-da2e-402b-917b-9e218aa441a2}" ref="T32">
      <text>
        <t xml:space="preserve">[Threaded comment]
 Your version of Excel allows you to read this threaded comment; however, any edits to it will get removed if the file is opened in a newer version of Excel. Learn more: https://go.microsoft.com/fwlink/?linkid=870924
Comment:
	@heather.lother@crossover.com hire an aDoP
Assigned to heather.lother@crossover.com
Reply:
	Confirmed
Reply:
	@jan.dejager@trilogy.com - please update to (Hiring ADOP)
Reassigned to jan.dejager@trilogy.com
Reply:
	updated
</t>
      </text>
    </comment>
    <comment authorId="29" xr:uid="{255cd776-1269-402c-9eee-3aca6308e9fa}" ref="F28">
      <text>
        <t xml:space="preserve">[Threaded comment]
 Your version of Excel allows you to read this threaded comment; however, any edits to it will get removed if the file is opened in a newer version of Excel. Learn more: https://go.microsoft.com/fwlink/?linkid=870924
Comment:
	@jan.dejager@trilogy.com - Please update to:
87-3012777
Disregarded entity under 2HR Learning, Inc. and has not had reason to request its own EIN so disclosing 2HR Learning, Inc. EIN
87-3012777
Assigned to jan.dejager@trilogy.com
</t>
      </text>
    </comment>
    <comment authorId="30" xr:uid="{290ac8f2-6e2b-49d0-a647-7894d2030929}" ref="K9">
      <text>
        <t xml:space="preserve">[Threaded comment]
 Your version of Excel allows you to read this threaded comment; however, any edits to it will get removed if the file is opened in a newer version of Excel. Learn more: https://go.microsoft.com/fwlink/?linkid=870924
Comment:
	Lunch not offered at Bastrop as per Kathy Ledesma
</t>
      </text>
    </comment>
    <comment authorId="31" xr:uid="{2926d893-f833-4893-b1ab-e718dc425f6b}" ref="V18">
      <text>
        <t xml:space="preserve">[Threaded comment]
 Your version of Excel allows you to read this threaded comment; however, any edits to it will get removed if the file is opened in a newer version of Excel. Learn more: https://go.microsoft.com/fwlink/?linkid=870924
Comment:
	@donnie.yee@trilogy.com @arthur@trilogy.com  Updated to K-5
</t>
      </text>
    </comment>
    <comment authorId="32" xr:uid="{2a878132-0efa-4b6f-815f-e9aa245de824}" ref="AA37">
      <text>
        <t xml:space="preserve">[Threaded comment]
 Your version of Excel allows you to read this threaded comment; however, any edits to it will get removed if the file is opened in a newer version of Excel. Learn more: https://go.microsoft.com/fwlink/?linkid=870924
Comment:
	@andrew.jordan@trilogy.com @samuel.andrerson@trilogy.com FYSA
</t>
      </text>
    </comment>
    <comment authorId="33" xr:uid="{2ac3cd84-1d13-40f6-9e44-33d46e70f06d}" ref="AE18">
      <text>
        <t xml:space="preserve">[Threaded comment]
 Your version of Excel allows you to read this threaded comment; however, any edits to it will get removed if the file is opened in a newer version of Excel. Learn more: https://go.microsoft.com/fwlink/?linkid=870924
Comment:
	K-8
</t>
      </text>
    </comment>
    <comment authorId="34" xr:uid="{2ad4f553-d93d-4b4e-b6b1-e2b3a962df68}" ref="AL15">
      <text>
        <t xml:space="preserve">[Threaded comment]
 Your version of Excel allows you to read this threaded comment; however, any edits to it will get removed if the file is opened in a newer version of Excel. Learn more: https://go.microsoft.com/fwlink/?linkid=870924
Comment:
	Alpha staff receive 30% off. @arthur@trilogy.com @jan.dejager@trilogy.com We need to identify this in policy as immediate family and any other pertinent details.
Assigned to jan.dejager@trilogy.com
Reply:
	@joe.marone@2hourlearning.com - do you have knowledge/detail on this discount?
Reply:
	This is pending approval.
Reply:
	Understood - thank you
Reply:
	MP told me this in a meeting with her on Wednesday @joe.marone@alpha.school it was approved for communication to a staff member. @jan.dejager@trilogy.com
Reply:
	@joe.marone@alpha.school Any adjustments to this?
Reassigned to joe.marone@alpha.school
Reply:
	Confirmed with MP that employees receive 30% off. @jan.dejager@trilogy.com
Reply:
	@jan.dejager@trilogy.com is this updated?
Reply:
	active employee 30% approved
</t>
      </text>
    </comment>
    <comment authorId="35" xr:uid="{2ca041eb-940a-4149-88da-0eff8a5aa360}" ref="J13">
      <text>
        <t xml:space="preserve">[Threaded comment]
 Your version of Excel allows you to read this threaded comment; however, any edits to it will get removed if the file is opened in a newer version of Excel. Learn more: https://go.microsoft.com/fwlink/?linkid=870924
Comment:
	@andrew.jordan@trilogy.com $500 deposit for Nova schools?
Assigned to andrew.jordan@trilogy.com
Reply:
	I have no insight on this one. If that is the case, this probably needs to be communicated to the Lead Guide so she can communicate that to parents.
Reply:
	Where did we end up on this? @jan.dejager@trilogy.com?
Reply:
	As Nova Bastrop (Valenta) was always on $500k and both Nova schools are low cost model schools, it would make sense to keep both on the $500 for new students
cc @david.harpur@trilogy.com
Reply:
	@arthur@trilogy.com Patricio from NovaA just told me that they have a green light to enroll new students this year.  The listing on here shows no new students for 25/26. Could you confirm?
Reassigned to arthur@trilogy.com
Reply:
	MP confirmed no admissions for Austin.
Reply:
	thanks, agree.
</t>
      </text>
    </comment>
    <comment authorId="36" xr:uid="{2ce35d20-1f1d-46cb-8baa-667bd709342b}" ref="R31">
      <text>
        <t xml:space="preserve">[Threaded comment]
 Your version of Excel allows you to read this threaded comment; however, any edits to it will get removed if the file is opened in a newer version of Excel. Learn more: https://go.microsoft.com/fwlink/?linkid=870924
Comment:
	@tasha.arnold@alpha.school should you be on these others as HoS or some other role? They are just blank right now. @amelia.baldwin@2hourlearning.com fyi
Assigned to tasha.arnold@2hourlearning.com
Reply:
	I'm head of Expansion schools, so you can put me down, but the Dean of Parents serve as the main point of contact for the school.
</t>
      </text>
    </comment>
    <comment authorId="37" xr:uid="{2ce7a3c5-bc54-45f7-a70e-7ea8b8df0025}" ref="X28">
      <text>
        <t xml:space="preserve">[Threaded comment]
 Your version of Excel allows you to read this threaded comment; however, any edits to it will get removed if the file is opened in a newer version of Excel. Learn more: https://go.microsoft.com/fwlink/?linkid=870924
Comment:
	disregarded entity under 2HR Learning, Inc. and has not had reason to request its own EIN so disclosing 2HR Learning, Inc. EIN
</t>
      </text>
    </comment>
    <comment authorId="38" xr:uid="{2e1a5256-a4b5-4676-b821-b9af8eb30023}" ref="J28">
      <text>
        <t xml:space="preserve">[Threaded comment]
 Your version of Excel allows you to read this threaded comment; however, any edits to it will get removed if the file is opened in a newer version of Excel. Learn more: https://go.microsoft.com/fwlink/?linkid=870924
Comment:
	disregarded entity under 2HR Learning, Inc. and has not had reason to request its own EIN so disclosing 2HR Learning, Inc. EIN
</t>
      </text>
    </comment>
    <comment authorId="39" xr:uid="{2efbef2e-2bb0-476f-b311-9bc35ea5cd40}" ref="M13">
      <text>
        <t xml:space="preserve">[Threaded comment]
 Your version of Excel allows you to read this threaded comment; however, any edits to it will get removed if the file is opened in a newer version of Excel. Learn more: https://go.microsoft.com/fwlink/?linkid=870924
Comment:
	Has this been confirmed that it is not going to be offered? I thought WP was getting the 10k FF as well. @jan.dejager@trilogy.com
</t>
      </text>
    </comment>
    <comment authorId="40" xr:uid="{310c3801-7ffa-4023-8c48-2ef7ed6c4d2a}" ref="Q27">
      <text>
        <t xml:space="preserve">[Threaded comment]
 Your version of Excel allows you to read this threaded comment; however, any edits to it will get removed if the file is opened in a newer version of Excel. Learn more: https://go.microsoft.com/fwlink/?linkid=870924
Comment:
	new company formed today - Alpha School 94123, LLC - no EIN as disregarded entity under 2HR Learning, Inc.
Reply:
	thanks
</t>
      </text>
    </comment>
    <comment authorId="41" xr:uid="{31716e4a-9b7c-475b-9d6d-a62b2cb06cd7}" ref="AL14">
      <text>
        <t xml:space="preserve">[Threaded comment]
 Your version of Excel allows you to read this threaded comment; however, any edits to it will get removed if the file is opened in a newer version of Excel. Learn more: https://go.microsoft.com/fwlink/?linkid=870924
Comment:
	Need to confirm
Reply:
	This is pending approval.
Reply:
	Hi Joe - has this been decided?
Reply:
	Not yet. We are w/ Andy today and it is on the agenda. Will update here once confirmed.
Reply:
	@joe.marone@alpha.school Any updates on this?
Reply:
	@joe.marone@alpha.school ?
Reply:
	5% approved
</t>
      </text>
    </comment>
    <comment authorId="42" xr:uid="{317c55a9-a474-41c7-9987-9861950f4f55}" ref="M24">
      <text>
        <t xml:space="preserve">[Threaded comment]
 Your version of Excel allows you to read this threaded comment; however, any edits to it will get removed if the file is opened in a newer version of Excel. Learn more: https://go.microsoft.com/fwlink/?linkid=870924
Comment:
	@andrew.jordan@trilogy.com @zack.lamb@2hourlearning.com @jc.fischer@trilogy.com didn't we want to fill all of this out based on our conversation today? I would also make sure we document our assumptions in the capacity formula doc so we remember what we did.
Assigned to andrew.jordan@trilogy.com
Reply:
	Updated except for the numbers that I am waiting on for finance. Need to order matterport for Brownsville as well.
</t>
      </text>
    </comment>
    <comment authorId="43" xr:uid="{3184834c-3215-420e-994c-459426d47459}" ref="AC34">
      <text>
        <t xml:space="preserve">[Threaded comment]
 Your version of Excel allows you to read this threaded comment; however, any edits to it will get removed if the file is opened in a newer version of Excel. Learn more: https://go.microsoft.com/fwlink/?linkid=870924
Comment:
	Hiring
</t>
      </text>
    </comment>
    <comment authorId="44" xr:uid="{3187a479-a0b4-4041-b4f6-e4a9367a3918}" ref="AA18">
      <text>
        <t xml:space="preserve">[Threaded comment]
 Your version of Excel allows you to read this threaded comment; however, any edits to it will get removed if the file is opened in a newer version of Excel. Learn more: https://go.microsoft.com/fwlink/?linkid=870924
Comment:
	this is now K-8 @donnie.yee@trilogy.com @arthur@trilogy.com @dmitry.bakaev@trilogy.com
</t>
      </text>
    </comment>
    <comment authorId="45" xr:uid="{31aaaec2-54ed-45a3-ba8a-932915fadc47}" ref="H33">
      <text>
        <t xml:space="preserve">[Threaded comment]
 Your version of Excel allows you to read this threaded comment; however, any edits to it will get removed if the file is opened in a newer version of Excel. Learn more: https://go.microsoft.com/fwlink/?linkid=870924
Comment:
	How are you differentiating who is HG vs LG? @arthur@trilogy.com
Reply:
	I am not -- I don't know who originally dropped in this info.  Or if helpful to have both head and lead guides noted (or maybe just the HG if there are both)?  Will defer to your judgement.
Reply:
	Good to also define the difference here? https://docs.google.com/spreadsheets/d/1cAIUE2L0EKu5CzzBh7DA2BLdW_pcvC7CWCssgR5qlmc/edit?gid=1287715525#gid=1287715525
Reply:
	@stefanie.baduria@alpha.school does it look right now?
Reply:
	Yes!
1 total reaction
Arthur Michel reacted with 👍 at 2025-09-11 20:28 PM
</t>
      </text>
    </comment>
    <comment authorId="46" xr:uid="{33a63ffd-d2a2-442e-9985-52a3df2f1a1e}" ref="M8">
      <text>
        <t xml:space="preserve">[Threaded comment]
 Your version of Excel allows you to read this threaded comment; however, any edits to it will get removed if the file is opened in a newer version of Excel. Learn more: https://go.microsoft.com/fwlink/?linkid=870924
Comment:
	Bryan says tuition set with Neeraj. Questions from Bryan - Will this location receive FF for first 25? Do Hog Heaven members get a specialized rate? Note: HH will be co-marketing because they have incentive to increase enrollment numbers as well b/c we pay a certain amount per kid per year. @jan.dejager@trilogy.com
Reply:
	@david.harpur@trilogy.com @arthur@trilogy.com - should I check with Neeraj on this - I am not aware of FF or special HH rate
Reply:
	Waypoint has a parent event this week. Can we get information to if this location has 25 FF? @arthur@trilogy.com
Reply:
	@neeraj.gupta@trilogy.com @david.harpur@trilogy.com do you know pls?
Reply:
	Their model is $30k.  Their model did not have a discount for anybody for any purpose.
</t>
      </text>
    </comment>
    <comment authorId="47" xr:uid="{34f0c760-0995-4c44-bc32-9cc9818ada1f}" ref="AD19">
      <text>
        <t xml:space="preserve">[Threaded comment]
 Your version of Excel allows you to read this threaded comment; however, any edits to it will get removed if the file is opened in a newer version of Excel. Learn more: https://go.microsoft.com/fwlink/?linkid=870924
Comment:
	@jc.fischer@trilogy.com @anrew
are these opening date planned accurate?  If so can we fill out the detail for the ones this year?
Assigned to jc.fischer@trilogy.com
Reply:
	They're accurate now. We're not giving more detail until we pass inspections and the only remaining work is in our hands.
</t>
      </text>
    </comment>
    <comment authorId="48" xr:uid="{3565e35e-7678-458a-8c8d-62019401bb05}" ref="M13">
      <text>
        <t xml:space="preserve">[Threaded comment]
 Your version of Excel allows you to read this threaded comment; however, any edits to it will get removed if the file is opened in a newer version of Excel. Learn more: https://go.microsoft.com/fwlink/?linkid=870924
Comment:
	@arthur@trilogy.com @jan.dejager@trilogy.com Is there FF for Waypoint? They have a family info session on July 11.
Assigned to arthur@trilogy.com
Reply:
	@jan.dejager@trilogy.com - ?
Reply:
	Confirmed in cell L6 and on email that the model does not have the FF discount
</t>
      </text>
    </comment>
    <comment authorId="49" xr:uid="{36472e0d-eb94-437f-9894-e1c7cb1ca4da}" ref="AG34">
      <text>
        <t xml:space="preserve">[Threaded comment]
 Your version of Excel allows you to read this threaded comment; however, any edits to it will get removed if the file is opened in a newer version of Excel. Learn more: https://go.microsoft.com/fwlink/?linkid=870924
Comment:
	Hiring
</t>
      </text>
    </comment>
    <comment authorId="50" xr:uid="{377eaac5-6746-4c0e-805f-26551b0d6bb0}" ref="Z32">
      <text>
        <t xml:space="preserve">[Threaded comment]
 Your version of Excel allows you to read this threaded comment; however, any edits to it will get removed if the file is opened in a newer version of Excel. Learn more: https://go.microsoft.com/fwlink/?linkid=870924
Comment:
	Hiring
</t>
      </text>
    </comment>
    <comment authorId="51" xr:uid="{37b21d81-381d-4bd2-9913-d9e77904161a}" ref="I13">
      <text>
        <t xml:space="preserve">[Threaded comment]
 Your version of Excel allows you to read this threaded comment; however, any edits to it will get removed if the file is opened in a newer version of Excel. Learn more: https://go.microsoft.com/fwlink/?linkid=870924
Comment:
	@arthur@trilogy.com @donnie.yee@trilogy.com @jan.dejager@trilogy.com @david.harpur@trilogy.com 
Does this expire this year as a good faith for ESAs for 26-27 or is it up to 50 even if this takes us into next year being a family's initial year (ESA or not)
Reply:
	the expiry applied on nova, not on GT
however, if someone is eligible for an ESA - it makes more sense to leverage that than use up our $10k scholarship quota
Reply:
	@david.harpur@trilogy.com Could you clarify - the cell has "Applied for one year". Are you saying that the 10k credit is actually for more than one year? And if so, for how long? My understanding is that it was a good faith credit until ESAs were available.
Reply:
	Moving to email for cleaner communication--&gt;
</t>
      </text>
    </comment>
    <comment authorId="52" xr:uid="{37d274e9-d877-4515-99c7-1e663dc7c466}" ref="K32">
      <text>
        <t xml:space="preserve">[Threaded comment]
 Your version of Excel allows you to read this threaded comment; however, any edits to it will get removed if the file is opened in a newer version of Excel. Learn more: https://go.microsoft.com/fwlink/?linkid=870924
Comment:
	Hiring ADOP
Reply:
	UPDATE: Morgan Swain
</t>
      </text>
    </comment>
    <comment authorId="53" xr:uid="{383ff75b-732d-4674-9308-754dba73eba9}" ref="X21">
      <text>
        <t xml:space="preserve">[Threaded comment]
 Your version of Excel allows you to read this threaded comment; however, any edits to it will get removed if the file is opened in a newer version of Excel. Learn more: https://go.microsoft.com/fwlink/?linkid=870924
Comment:
	TBD as soon as anyone is enrolled. @arthur@trilogy.com
Assigned to arthur@trilogy.com
</t>
      </text>
    </comment>
    <comment authorId="54" xr:uid="{386aa4b3-fe39-4ce4-aa32-92a6e174ad1a}" ref="I13">
      <text>
        <t xml:space="preserve">[Threaded comment]
 Your version of Excel allows you to read this threaded comment; however, any edits to it will get removed if the file is opened in a newer version of Excel. Learn more: https://go.microsoft.com/fwlink/?linkid=870924
Comment:
	@cathrina.carmen@trilogy.com - as discussed
</t>
      </text>
    </comment>
    <comment authorId="55" xr:uid="{38b63f7b-3711-4db7-ad8f-bf6b9f117611}" ref="AM28">
      <text>
        <t xml:space="preserve">[Threaded comment]
 Your version of Excel allows you to read this threaded comment; however, any edits to it will get removed if the file is opened in a newer version of Excel. Learn more: https://go.microsoft.com/fwlink/?linkid=870924
Comment:
	entity has its own EIN (required for banking purposes). It is a disregarded entity under 2HR Learning Inc and will 2HR Learning's EIN for income tax purposes - 87-3012777)
</t>
      </text>
    </comment>
    <comment authorId="56" xr:uid="{39757fed-f6fa-4c35-8a9b-c55b13db81bd}" ref="M27">
      <text>
        <t xml:space="preserve">[Threaded comment]
 Your version of Excel allows you to read this threaded comment; however, any edits to it will get removed if the file is opened in a newer version of Excel. Learn more: https://go.microsoft.com/fwlink/?linkid=870924
Comment:
	@jan.dejager@trilogy.com - we need to complete the "blanks" and "TBDs"?
Reply:
	new company formed today - Waypoint Academy 78620, LLC - no EIN as disregarded entity
Reply:
	thanks
</t>
      </text>
    </comment>
    <comment authorId="57" xr:uid="{3a3ea649-9092-4998-9e9a-d0e5422a913a}" ref="R32">
      <text>
        <t xml:space="preserve">[Threaded comment]
 Your version of Excel allows you to read this threaded comment; however, any edits to it will get removed if the file is opened in a newer version of Excel. Learn more: https://go.microsoft.com/fwlink/?linkid=870924
Comment:
	Stephanie Dean
</t>
      </text>
    </comment>
    <comment authorId="58" xr:uid="{3a8d3842-1753-4661-b5cc-be0d3e2da0f5}" ref="Z21">
      <text>
        <t xml:space="preserve">[Threaded comment]
 Your version of Excel allows you to read this threaded comment; however, any edits to it will get removed if the file is opened in a newer version of Excel. Learn more: https://go.microsoft.com/fwlink/?linkid=870924
Comment:
	December 2025 OR TBD if we get location secured earlier. Similar to Houston. We will open as soon as we have a studnet enrolled once location is annoucned. @arthur@trilogy.com
Assigned to arthur@trilogy.com
</t>
      </text>
    </comment>
    <comment authorId="59" xr:uid="{3d418a9a-a266-44cf-9d7e-b5af6b8b9477}" ref="F34">
      <text>
        <t xml:space="preserve">[Threaded comment]
 Your version of Excel allows you to read this threaded comment; however, any edits to it will get removed if the file is opened in a newer version of Excel. Learn more: https://go.microsoft.com/fwlink/?linkid=870924
Comment:
	@stefanie.baduria@alpha.school @andrew.jordan@trilogy.com added this caveat per the gchat thread.  Do we also note that for Shannon on the Alphas?
Assigned to stefanie.baduria@alpha.school
Reply:
	yes - and shannon also assists/supports the sister school $25K, $30k models.
So it could be
tuition &gt;=$25k is shannon
tuition &lt;=$15k is kat
Reply:
	thx, clarified!
</t>
      </text>
    </comment>
    <comment authorId="60" xr:uid="{3de5be23-a7cb-4f0c-9176-d78051596be1}" ref="V34">
      <text>
        <t xml:space="preserve">[Threaded comment]
 Your version of Excel allows you to read this threaded comment; however, any edits to it will get removed if the file is opened in a newer version of Excel. Learn more: https://go.microsoft.com/fwlink/?linkid=870924
Comment:
	Jackie Chan started 11/10
Reply:
	@shannon.peifer@alpha.school can you pls update this one and others as I see you are in here?
Reply:
	Marked as resolved
Reply:
	I just requested editing access.
Re-opened
Reply:
	provided
Reply:
	Marked as resolved
Reply:
	Re-opened
Reply:
	Marked as resolved
Reply:
	Re-opened
Reply:
	Marked as resolved
Reply:
	Re-opened
</t>
      </text>
    </comment>
    <comment authorId="61" xr:uid="{409f4e1b-d7bb-4684-a5fc-6c522032fd17}" ref="H28">
      <text>
        <t xml:space="preserve">[Threaded comment]
 Your version of Excel allows you to read this threaded comment; however, any edits to it will get removed if the file is opened in a newer version of Excel. Learn more: https://go.microsoft.com/fwlink/?linkid=870924
Comment:
	entity has its own EIN (required for banking purposes). It is a disregarded entity under 2HR Learning Inc and will 2HR Learning's EIN for income tax purposes - 87-3012777)
</t>
      </text>
    </comment>
    <comment authorId="62" xr:uid="{40b287c1-22ca-41fc-b882-471b3957a8af}" ref="V20">
      <text>
        <t xml:space="preserve">[Threaded comment]
 Your version of Excel allows you to read this threaded comment; however, any edits to it will get removed if the file is opened in a newer version of Excel. Learn more: https://go.microsoft.com/fwlink/?linkid=870924
Comment:
	this should be CalA.
Reply:
	Updated
</t>
      </text>
    </comment>
    <comment authorId="63" xr:uid="{40cf0b42-b6cd-4310-a08d-fa5600cac836}" ref="U21">
      <text>
        <t xml:space="preserve">[Threaded comment]
 Your version of Excel allows you to read this threaded comment; however, any edits to it will get removed if the file is opened in a newer version of Excel. Learn more: https://go.microsoft.com/fwlink/?linkid=870924
Comment:
	@rachel.goodlad@alpha.school what about this one, waypoint, and nextgen pls?
Assigned to rachel.goodlad@alpha.school
Reply:
	I filled out based on what i know, but pls confirmr.
</t>
      </text>
    </comment>
    <comment authorId="64" xr:uid="{4260c57a-6e5e-4b23-8f78-c82f7f288313}" ref="AC2">
      <text>
        <t xml:space="preserve">[Threaded comment]
 Your version of Excel allows you to read this threaded comment; however, any edits to it will get removed if the file is opened in a newer version of Excel. Learn more: https://go.microsoft.com/fwlink/?linkid=870924
Comment:
	@donnie.yee@trilogy.com @dmitry.bakaev@trilogy.com @jan.dejager@trilogy.com @arthur@trilogy.com Notice from billing...
</t>
      </text>
    </comment>
    <comment authorId="65" xr:uid="{42cbbc8f-7d41-4293-b9bf-c324637b4175}" ref="S32">
      <text>
        <t xml:space="preserve">[Threaded comment]
 Your version of Excel allows you to read this threaded comment; however, any edits to it will get removed if the file is opened in a newer version of Excel. Learn more: https://go.microsoft.com/fwlink/?linkid=870924
Comment:
	Hired. Andy Gibson, started Sept. 22.
</t>
      </text>
    </comment>
    <comment authorId="66" xr:uid="{46aaacc9-b6dd-4186-9dd6-c0b290e66e00}" ref="W13">
      <text>
        <t xml:space="preserve">[Threaded comment]
 Your version of Excel allows you to read this threaded comment; however, any edits to it will get removed if the file is opened in a newer version of Excel. Learn more: https://go.microsoft.com/fwlink/?linkid=870924
Comment:
	@arthur@trilogy.com @jan.dejager@trilogy.com @dmitry.bakaev@trilogy.com @donnie.yee@trilogy.com 
FF increased to 20k.
Reply:
	Thanks Amelia - this is only for Chantilly, correct? Dmitry - will you build it into the SIS/Chargify automation? thanks
Reply:
	Yes, only Chantilly
Reply:
	Do families who enrolled before the 20k get 20k moving forward into 26/27? Is their current credit also supposed to increase? @jan.dejager@trilogy.com @david.harpur@trilogy.com
Reply:
	@amelia.baldwin@alpha.school - the families who are enrolled have signed contracts for $10k FF. I would not automatically move them up to $20k, no. 
What was the decision when it changed from $10k to $20k - did it stipulate whether it was for new families or for all?
Reply:
	I am not aware of anything relating to the decision.  The information was shared on Jan 7. Based on your response, we could then state that any deposits from 1/7/26 and after are 20k.
</t>
      </text>
    </comment>
    <comment authorId="67" xr:uid="{475a5a21-1ac5-4cb4-8ee8-0f55d041d5ec}" ref="I33">
      <text>
        <t xml:space="preserve">[Threaded comment]
 Your version of Excel allows you to read this threaded comment; however, any edits to it will get removed if the file is opened in a newer version of Excel. Learn more: https://go.microsoft.com/fwlink/?linkid=870924
Comment:
	@stefanie.baduria@alpha.school so based on the other comment, none of the others but Braden should be Head Guides?  All of the other HGs should be LGs?
Assigned to stefanie.baduria@alpha.school
Reply:
	Correct. Lead guide comp band. And managing guides, not lead guides - like Braden is
Reply:
	But then why does guide ladder say this for LG?  Perhaps should say "to an entire or multiple levels"?
"Lead Guides can deliver the 3 commitments to an entire level, coach guides to provide emotional and motivational support and hold high standards, and implement the Alpha system in a new location."
Reply:
	Unless you meant that Lead Guides are one per campus?
Reply:
	I'll update that sheet. It's an old one I haven't referenced in awhile - but I'll make it accurate.
</t>
      </text>
    </comment>
    <comment authorId="68" xr:uid="{486bbdf1-179d-4806-9e62-3d1686e04e44}" ref="E28">
      <text>
        <t xml:space="preserve">[Threaded comment]
 Your version of Excel allows you to read this threaded comment; however, any edits to it will get removed if the file is opened in a newer version of Excel. Learn more: https://go.microsoft.com/fwlink/?linkid=870924
Comment:
	entity has its own EIN (required for banking purposes). It is a disregarded entity under 2HR Learning Inc and will 2HR Learning's EIN for income tax purposes - 87-3012777)
</t>
      </text>
    </comment>
    <comment authorId="69" xr:uid="{4af53236-83ab-4833-a80e-95a042d2b83d}" ref="V27">
      <text>
        <t xml:space="preserve">[Threaded comment]
 Your version of Excel allows you to read this threaded comment; however, any edits to it will get removed if the file is opened in a newer version of Excel. Learn more: https://go.microsoft.com/fwlink/?linkid=870924
Comment:
	@jan.dejager@trilogy.com - Alpha School 92610, LLC has been created.  No EIN as disregarded entity
Assigned to jan.dejager@trilogy.com
</t>
      </text>
    </comment>
    <comment authorId="70" xr:uid="{4b8a0c39-c751-4d34-b032-78d3c7e48523}" ref="K33">
      <text>
        <t xml:space="preserve">[Threaded comment]
 Your version of Excel allows you to read this threaded comment; however, any edits to it will get removed if the file is opened in a newer version of Excel. Learn more: https://go.microsoft.com/fwlink/?linkid=870924
Comment:
	Is this confirmed? or is this Ashley Storms? @andrew.jordan@trilogy.com
Assigned to andrew.jordan@trilogy.com
Reply:
	Ashley Storms.
</t>
      </text>
    </comment>
    <comment authorId="71" xr:uid="{4bef3ad7-fc09-46fb-b9a1-e61b73ec7903}" ref="P24">
      <text>
        <t xml:space="preserve">[Threaded comment]
 Your version of Excel allows you to read this threaded comment; however, any edits to it will get removed if the file is opened in a newer version of Excel. Learn more: https://go.microsoft.com/fwlink/?linkid=870924
Comment:
	@jc.fischer@trilogy.com 
Has the reduction from 25 -&gt; 18 been confirmed yet - I will need to update the financials.
Thanks
Reply:
	Yes
</t>
      </text>
    </comment>
    <comment authorId="72" xr:uid="{4c0e678a-65dc-4f96-adeb-2f143f6094ac}" ref="B6">
      <text>
        <t xml:space="preserve">[Threaded comment]
 Your version of Excel allows you to read this threaded comment; however, any edits to it will get removed if the file is opened in a newer version of Excel. Learn more: https://go.microsoft.com/fwlink/?linkid=870924
Comment:
	@jan.dejager@trilogy.com - this row is not correct. @ludel.mier@trilogy.com can provide the details of the owned properties (owned via 5Y or other controlled entity)
Reply:
	@ludel.mier@trilogy.com - updated based on our records - please confirm
Reply:
	thanks
</t>
      </text>
    </comment>
    <comment authorId="73" xr:uid="{4d19a34b-629b-4a23-bce1-c333f2d42429}" ref="B2">
      <text>
        <t xml:space="preserve">[Threaded comment]
 Your version of Excel allows you to read this threaded comment; however, any edits to it will get removed if the file is opened in a newer version of Excel. Learn more: https://go.microsoft.com/fwlink/?linkid=870924
Comment:
	Most guidepost locations will only be K-3
@arthur@trilogy.com
Reply:
	presume this is a decision by Joe/MacKenzie?
Reply:
	Yes
Reply:
	These grade levels are how GP opening locations are set for next year.
Reply:
	@amelia.baldwin@2hourlearning.com @jan.dejager@trilogy.com - is there an action o/s here or can we close this comment?
Reply:
	We can close
</t>
      </text>
    </comment>
    <comment authorId="74" xr:uid="{4fceabdd-cd79-4c12-8495-dbaff04660ed}" ref="C6">
      <text>
        <t xml:space="preserve">[Threaded comment]
 Your version of Excel allows you to read this threaded comment; however, any edits to it will get removed if the file is opened in a newer version of Excel. Learn more: https://go.microsoft.com/fwlink/?linkid=870924
Comment:
	@andrew.jordan@trilogy.com shouldn't this be what is in column E as CO2?
Assigned to andrew.jordan@trilogy.com
Reply:
	Hi pls confirm @andrew.jordan@trilogy.com @jan.dejager@trilogy.com
Reply:
	And why do we need this split from PK4-5? @amelia.baldwin@2hourlearning.com ?
Reply:
	Lease question: Spyglass K-8 is leased from 5Y.
Austin High School CO2 is leased from CR IV Industrial, LP
Reply:
	Alpha School Austin and Alpha High School are operating in the same building. They have different Lead Guides. 
School staff treat the MS (Col D) and HS (Col E) as separate.
Reply:
	I would combine and just list the different grade levels and school leaders.
Reply:
	Combined as proposed
</t>
      </text>
    </comment>
    <comment authorId="75" xr:uid="{5438054f-0d18-448f-94f2-abf8383e0010}" ref="S28">
      <text>
        <t xml:space="preserve">[Threaded comment]
 Your version of Excel allows you to read this threaded comment; however, any edits to it will get removed if the file is opened in a newer version of Excel. Learn more: https://go.microsoft.com/fwlink/?linkid=870924
Comment:
	disregarded entity under 2HR Learning, Inc. and has not had reason to request its own EIN so disclosing 2HR Learning, Inc. EIN
</t>
      </text>
    </comment>
    <comment authorId="76" xr:uid="{54e67815-2660-4562-ad82-690b92398137}" ref="W18">
      <text>
        <t xml:space="preserve">[Threaded comment]
 Your version of Excel allows you to read this threaded comment; however, any edits to it will get removed if the file is opened in a newer version of Excel. Learn more: https://go.microsoft.com/fwlink/?linkid=870924
Comment:
	@arthur@trilogy.com Updated to K-5
</t>
      </text>
    </comment>
    <comment authorId="77" xr:uid="{56fcd80f-5965-43d2-b8c2-4d55c5332f0e}" ref="AD18">
      <text>
        <t xml:space="preserve">[Threaded comment]
 Your version of Excel allows you to read this threaded comment; however, any edits to it will get removed if the file is opened in a newer version of Excel. Learn more: https://go.microsoft.com/fwlink/?linkid=870924
Comment:
	K-8
</t>
      </text>
    </comment>
    <comment authorId="78" xr:uid="{594aabbf-3a42-43f5-92bb-bd6fda3471b1}" ref="AC27">
      <text>
        <t xml:space="preserve">[Threaded comment]
 Your version of Excel allows you to read this threaded comment; however, any edits to it will get removed if the file is opened in a newer version of Excel. Learn more: https://go.microsoft.com/fwlink/?linkid=870924
Comment:
	To set students up for enrollment next year, we are needing the legal entity for PA and other schools as well. Thank you- @arthur@trilogy.com @andrew.jordan@trilogy.com @jan.dejager@trilogy.com @david.harpur@trilogy.com (FYI: @cory.shelton@alpha.school)
Reply:
	Added: 
Dorado, Chicago, Palo Alto, Piedmont, Santa Monica
Reply:
	Thank you!
</t>
      </text>
    </comment>
    <comment authorId="79" xr:uid="{5a737cf5-cdd2-497e-bf90-655f34eef2db}" ref="J9">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@david.harpur@trilogy.com @jan.dejager@trilogy.com why this one and Valenta not at 100/month?
Assigned to amelia.baldwin@2hourlearning.com
Reply:
	Do we know if lunch is being offered?
Reply:
	@andrew.jordan@trilogy.com @jan.dejager@trilogy.com can you find out?  And why wouldn't we provide at GT?
Reassigned to andrew.jordan@trilogy.com
Reply:
	And sister campuses (Next gen, TSA, etc.)
Reply:
	Valenta currently isn’t offering lunch. TSA asked about lunch this week. My suggestion is to standardize. All budget schools should offer lunch at $100 and all alpha + sister schools should offer lunch at $200.
Reply:
	I’ll find out about Arete
Reply:
	@jan.dejager@trilogy.com @andrew.jordan@trilogy.com @donnie.yee@trilogy.com - is this still open?
Reply:
	Andy P's decision was to standardize across all schools. Specialty budget schools' target will be $100/month. All others will be $200/month. Getting quotes now to determine viability of that target.
1 total reaction
Amelia Baldwin reacted with 👍 at 2025-07-14 22:35 PM
Reply:
	@jan.dejager@trilogy.com - can you ensure this is updated in this sheet?
Reply:
	updated
</t>
      </text>
    </comment>
    <comment authorId="80" xr:uid="{5c14198b-fb68-4489-a255-c6016766c7ae}" ref="B9">
      <text>
        <t xml:space="preserve">[Threaded comment]
 Your version of Excel allows you to read this threaded comment; however, any edits to it will get removed if the file is opened in a newer version of Excel. Learn more: https://go.microsoft.com/fwlink/?linkid=870924
Comment:
	@arthur@trilogy.com @david.harpur@trilogy.com @jan.dejager@trilogy.com I added a link here with the lunch offering details that were shared.
</t>
      </text>
    </comment>
    <comment authorId="81" xr:uid="{60784977-77bc-4742-b73e-8bf5c1cd11d9}" ref="AE34">
      <text>
        <t xml:space="preserve">[Threaded comment]
 Your version of Excel allows you to read this threaded comment; however, any edits to it will get removed if the file is opened in a newer version of Excel. Learn more: https://go.microsoft.com/fwlink/?linkid=870924
Comment:
	Hiring
Reply:
	Sarah Moore
</t>
      </text>
    </comment>
    <comment authorId="82" xr:uid="{60d0bbf4-ebfe-4309-9cb5-7c2ab734b634}" ref="U28">
      <text>
        <t xml:space="preserve">[Threaded comment]
 Your version of Excel allows you to read this threaded comment; however, any edits to it will get removed if the file is opened in a newer version of Excel. Learn more: https://go.microsoft.com/fwlink/?linkid=870924
Comment:
	disregarded entity under 2HR Learning, Inc. and has not had reason to request its own EIN so disclosing 2HR Learning, Inc. EIN
</t>
      </text>
    </comment>
    <comment authorId="83" xr:uid="{62fef76f-c4ae-48d8-b29f-3113ab2350ab}" ref="AL33">
      <text>
        <t xml:space="preserve">[Threaded comment]
 Your version of Excel allows you to read this threaded comment; however, any edits to it will get removed if the file is opened in a newer version of Excel. Learn more: https://go.microsoft.com/fwlink/?linkid=870924
Comment:
	not 100% certain on the breakdown of the staff here either -- but Phil Perkins is a Lead guide for Alpha Anywhere. Perhaps Joe goes in row 30?
Reply:
	Updated
</t>
      </text>
    </comment>
    <comment authorId="84" xr:uid="{642d2bf5-bbc2-41e8-966b-16673926a8fb}" ref="N34">
      <text>
        <t xml:space="preserve">[Threaded comment]
 Your version of Excel allows you to read this threaded comment; however, any edits to it will get removed if the file is opened in a newer version of Excel. Learn more: https://go.microsoft.com/fwlink/?linkid=870924
Comment:
	To increase speed-to-hire here, we'd like to advertise this separately targeting Montessori. Can we use the Montessorium brand publicly?
Reply:
	It's here - i don't see why not? Want to ping Laura Mazer to confirm? https://montessorium.com/
Reply:
	Is Montessorium part of ESW or still separate? (matters for LinkedIn)
</t>
      </text>
    </comment>
    <comment authorId="85" xr:uid="{6558430a-ef67-4bdd-bc88-e41915ed4fa3}" ref="H9">
      <text>
        <t xml:space="preserve">[Threaded comment]
 Your version of Excel allows you to read this threaded comment; however, any edits to it will get removed if the file is opened in a newer version of Excel. Learn more: https://go.microsoft.com/fwlink/?linkid=870924
Comment:
	@andrew.jordan@trilogy.com @jim.liu@trilogy.com these are still TBD?
Reply:
	@jim.liu@trilogy.com I believe all Austin schools will have sifted, correct Jim? If so, can you update accordingly?
Reply:
	All except Nova Bastrop.
</t>
      </text>
    </comment>
    <comment authorId="86" xr:uid="{656ee0ea-0ff0-45e0-8c4a-87cce18a974f}" ref="AC8">
      <text>
        <t xml:space="preserve">[Threaded comment]
 Your version of Excel allows you to read this threaded comment; however, any edits to it will get removed if the file is opened in a newer version of Excel. Learn more: https://go.microsoft.com/fwlink/?linkid=870924
Comment:
	$65,000
</t>
      </text>
    </comment>
    <comment authorId="87" xr:uid="{6664cad8-2733-479f-9da8-17b001f51caf}" ref="AJ8">
      <text>
        <t xml:space="preserve">[Threaded comment]
 Your version of Excel allows you to read this threaded comment; however, any edits to it will get removed if the file is opened in a newer version of Excel. Learn more: https://go.microsoft.com/fwlink/?linkid=870924
Comment:
	$65k
</t>
      </text>
    </comment>
    <comment authorId="88" xr:uid="{6825f18b-5f4e-4a39-9399-06153f226538}" ref="AH19">
      <text>
        <t xml:space="preserve">[Threaded comment]
 Your version of Excel allows you to read this threaded comment; however, any edits to it will get removed if the file is opened in a newer version of Excel. Learn more: https://go.microsoft.com/fwlink/?linkid=870924
Comment:
	2026?
Reply:
	Don't know. The lessor walked the lease. May have a backup.
</t>
      </text>
    </comment>
    <comment authorId="89" xr:uid="{69ca4216-7304-44d7-81a7-6fdd07404840}" ref="V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90" xr:uid="{6b1e5337-450c-4898-b79e-5492f0ccb02d}" ref="K27">
      <text>
        <t xml:space="preserve">[Threaded comment]
 Your version of Excel allows you to read this threaded comment; however, any edits to it will get removed if the file is opened in a newer version of Excel. Learn more: https://go.microsoft.com/fwlink/?linkid=870924
Comment:
	@jan.dejager@trilogy.com - I believe that Arete Academy 78602, LLC is the legal entity for Nova Academy Bastrop.  In order to run a vending machine, it needed to obtain an EIN.  Its EIN is 41-3611349
Assigned to jan.dejager@trilogy.com
</t>
      </text>
    </comment>
    <comment authorId="91" xr:uid="{6b259c5d-19b2-4c50-9327-c34d10149bc7}" ref="O24">
      <text>
        <t xml:space="preserve">[Threaded comment]
 Your version of Excel allows you to read this threaded comment; however, any edits to it will get removed if the file is opened in a newer version of Excel. Learn more: https://go.microsoft.com/fwlink/?linkid=870924
Comment:
	@andrew.jordan@trilogy.com 
I note on Stefanie B's HC roster sheet that "They're getting a second building" - does the 38 here include same?
@david.harpur@trilogy.com
Reply:
	38 includes the additional space
Reply:
	@andrew.jordan@trilogy.com @jc.fischer@trilogy.com there's a lot of "verification in progress" on these?
Reply:
	yes, there is. because I don't trust any numbers before I started. my team is doing one per day until caught up.
</t>
      </text>
    </comment>
    <comment authorId="92" xr:uid="{6c03622c-e239-4066-9343-3b37d16db302}" ref="H2">
      <text>
        <t xml:space="preserve">[Threaded comment]
 Your version of Excel allows you to read this threaded comment; however, any edits to it will get removed if the file is opened in a newer version of Excel. Learn more: https://go.microsoft.com/fwlink/?linkid=870924
Comment:
	Aren't there 10+ new TSA locations?
</t>
      </text>
    </comment>
    <comment authorId="93" xr:uid="{6c92b8d5-8668-4652-b332-bb0452f09777}" ref="O21">
      <text>
        <t xml:space="preserve">[Threaded comment]
 Your version of Excel allows you to read this threaded comment; however, any edits to it will get removed if the file is opened in a newer version of Excel. Learn more: https://go.microsoft.com/fwlink/?linkid=870924
Comment:
	August 13 @arthur@trilogy.com
Assigned to arthur@trilogy.com
</t>
      </text>
    </comment>
    <comment authorId="94" xr:uid="{6daf3cd0-adc0-4688-9e82-3472f2c9d56f}" ref="P21">
      <text>
        <t xml:space="preserve">[Threaded comment]
 Your version of Excel allows you to read this threaded comment; however, any edits to it will get removed if the file is opened in a newer version of Excel. Learn more: https://go.microsoft.com/fwlink/?linkid=870924
Comment:
	August 13 @arthur@trilogy.com
Assigned to arthur@trilogy.com
</t>
      </text>
    </comment>
    <comment authorId="95" xr:uid="{702ff778-e1a0-4be8-92cb-627bd58eb1b9}" ref="B37">
      <text>
        <t xml:space="preserve">[Threaded comment]
 Your version of Excel allows you to read this threaded comment; however, any edits to it will get removed if the file is opened in a newer version of Excel. Learn more: https://go.microsoft.com/fwlink/?linkid=870924
Comment:
	@andrew.jordan@trilogy.com @joshua.rockers@trilogy.com where is this pls?
Reply:
	The security framework (with Security Tiers) is now linked. I am finalizing an 'Addendum' to the framework with revisions to the security tiers as a result of M. Greer's audit.
Reply:
	Security tier addendum is ready for review, now revised with M. Greer Audit findings.  The Security 'Quality Bar' will correspond to the revised 'Security Measures' for each tier, outlined in the Addendum.
Reply:
	this needs to be updated - https://docs.google.com/document/d/1hpP_D-Rdc1BKQ2IDYmE9uA-zD-e7Ej4SUTCLSehWRpU/edit?tab=t.0#heading=h.8xa6f28qvfz
</t>
      </text>
    </comment>
    <comment authorId="96" xr:uid="{70dc5a2d-ee16-4707-b69a-f2707c65d5c6}" ref="P32">
      <text>
        <t xml:space="preserve">[Threaded comment]
 Your version of Excel allows you to read this threaded comment; however, any edits to it will get removed if the file is opened in a newer version of Excel. Learn more: https://go.microsoft.com/fwlink/?linkid=870924
Comment:
	Andy GIBSON (temp)
Hiring ADOP
</t>
      </text>
    </comment>
    <comment authorId="97" xr:uid="{70f88698-fd2a-4e16-a1b7-aeae96ed8cf3}" ref="C2">
      <text>
        <t xml:space="preserve">[Threaded comment]
 Your version of Excel allows you to read this threaded comment; however, any edits to it will get removed if the file is opened in a newer version of Excel. Learn more: https://go.microsoft.com/fwlink/?linkid=870924
Comment:
	@jan.dejager@trilogy.com - this needs to be broken out into two line.  Alpha downtown Austin and Alpha Spyglass
Assigned to jan.dejager@trilogy.com
Reply:
	it looks like column D is downtown, so address just needs to be updated to only by Spyglass
</t>
      </text>
    </comment>
    <comment authorId="98" xr:uid="{71b3efed-012b-4f4a-bd07-09d28916a14b}" ref="AM42">
      <text>
        <t xml:space="preserve">[Threaded comment]
 Your version of Excel allows you to read this threaded comment; however, any edits to it will get removed if the file is opened in a newer version of Excel. Learn more: https://go.microsoft.com/fwlink/?linkid=870924
Comment:
	@robbie.forrest@trilogy.com @jc.fischer@trilogy.com @andrew.jordan@trilogy.com who can fill out acres and other fields for Carrollton please?
Assigned to robbie.forrest@trilogy.com
Reply:
	checking the lease, site plan docs
</t>
      </text>
    </comment>
    <comment authorId="99" xr:uid="{724b3ca2-dae3-4dc1-8c17-0af655986f3d}" ref="S34">
      <text>
        <t xml:space="preserve">[Threaded comment]
 Your version of Excel allows you to read this threaded comment; however, any edits to it will get removed if the file is opened in a newer version of Excel. Learn more: https://go.microsoft.com/fwlink/?linkid=870924
Comment:
	May Dobbs starts 11.17.25
@may.dobbs@alpha.school
</t>
      </text>
    </comment>
    <comment authorId="100" xr:uid="{751e73cf-3225-45b4-824b-58ceaa128cfb}" ref="A34">
      <text>
        <t xml:space="preserve">[Threaded comment]
 Your version of Excel allows you to read this threaded comment; however, any edits to it will get removed if the file is opened in a newer version of Excel. Learn more: https://go.microsoft.com/fwlink/?linkid=870924
Comment:
	@heather.lother@crossover.com can you pls indicate which are CC vs CC/Admissions hybrids? And I think some more are hired and starting? @andrew.jordan@trilogy.com
Assigned to heather.lother@crossover.com
</t>
      </text>
    </comment>
    <comment authorId="101" xr:uid="{7648ce4a-c899-4a39-b7ca-dda1055a3a9c}" ref="AF32">
      <text>
        <t xml:space="preserve">[Threaded comment]
 Your version of Excel allows you to read this threaded comment; however, any edits to it will get removed if the file is opened in a newer version of Excel. Learn more: https://go.microsoft.com/fwlink/?linkid=870924
Comment:
	Hiring ADOP
Reply:
	Hired: Kevin Corken; start date: 3.9.2026
Please Update
</t>
      </text>
    </comment>
    <comment authorId="102" xr:uid="{778f17fd-a647-4e3e-831c-c953cf3b3f89}" ref="B8">
      <text>
        <t xml:space="preserve">[Threaded comment]
 Your version of Excel allows you to read this threaded comment; however, any edits to it will get removed if the file is opened in a newer version of Excel. Learn more: https://go.microsoft.com/fwlink/?linkid=870924
Comment:
	@jan.dejager@trilogy.com @arthur@trilogy.com @david.harpur@trilogy.com
Reply:
	let's take this out of here and put it in the workflowy as an open questions/investigation. i added to the open items list in the alpha tuition workflowy
</t>
      </text>
    </comment>
    <comment authorId="103" xr:uid="{77c93c85-95f5-4f05-ad51-8613918d18f9}" ref="W32">
      <text>
        <t xml:space="preserve">[Threaded comment]
 Your version of Excel allows you to read this threaded comment; however, any edits to it will get removed if the file is opened in a newer version of Excel. Learn more: https://go.microsoft.com/fwlink/?linkid=870924
Comment:
	Shannon Guse hired.
Reply:
	Please update -- Shannon Guse hired; started Dec. 2025
Reply:
	ADoP?
Reply:
	Please update 
Remove Shannon
New text: Hiring ADOP
Reply:
	New text: Graham Salzer hired, start date TBD
</t>
      </text>
    </comment>
    <comment authorId="104" xr:uid="{78ae65a0-b310-4daa-ad9a-7726621fe40a}" ref="E13">
      <text>
        <t xml:space="preserve">[Threaded comment]
 Your version of Excel allows you to read this threaded comment; however, any edits to it will get removed if the file is opened in a newer version of Excel. Learn more: https://go.microsoft.com/fwlink/?linkid=870924
Comment:
	MP 6.18.15 Meeting with Artie, Debby, Amelia: 
If paid deposit by 8/15/25, they may start any time 25/26.
Some select people are moving in the pipeline and wanting 26/27 SY, they receive the 10k FF. (3 families)
Deposit paid by 8/15/25 by anyone for 25/26 or 26/27 enrollment.
Lizette and Nuroni are the only ones with siblings who would also receive the FF. Debby will provide the whole list. These families also need to make this deposit. 
If not in the pipeline, then deadline is 8/15/25 for 10k FF. 
@arthur@trilogy.com
</t>
      </text>
    </comment>
    <comment authorId="105" xr:uid="{7a0954f6-64f8-4cc6-926b-8068a28e04fb}" ref="T13">
      <text>
        <t xml:space="preserve">[Threaded comment]
 Your version of Excel allows you to read this threaded comment; however, any edits to it will get removed if the file is opened in a newer version of Excel. Learn more: https://go.microsoft.com/fwlink/?linkid=870924
Comment:
	@tasha.arnold@2hourlearning.com so we are done w/ founding family discounts at NYC, correct?
Assigned to tasha.arnold@2hourlearning.com
Reply:
	Technically, the next student to enroll and begin school would receive the final founding family discount. We do have a child scheduled to start in April; however, the discount applies to the next student who joins prior to that date. Based on current interest, I expect we will have a new student enrolling within the next week, at which point all founding family discounts will be allocated.
</t>
      </text>
    </comment>
    <comment authorId="106" xr:uid="{7a17ca25-54fc-487e-a5f3-552986942afd}" ref="R21">
      <text>
        <t xml:space="preserve">[Threaded comment]
 Your version of Excel allows you to read this threaded comment; however, any edits to it will get removed if the file is opened in a newer version of Excel. Learn more: https://go.microsoft.com/fwlink/?linkid=870924
Comment:
	August 13 @arthur@trilogy.com
Assigned to arthur@trilogy.com
</t>
      </text>
    </comment>
    <comment authorId="107" xr:uid="{7a6b4155-caf4-4f5f-b29b-cf1ec925c59f}" ref="D28">
      <text>
        <t xml:space="preserve">[Threaded comment]
 Your version of Excel allows you to read this threaded comment; however, any edits to it will get removed if the file is opened in a newer version of Excel. Learn more: https://go.microsoft.com/fwlink/?linkid=870924
Comment:
	@jan.dejager@trilogy.com - Please update to:
87-3012777
Disregarded entity under 2HR Learning, Inc. and has not had reason to request its own EIN so disclosing 2HR Learning, Inc. EIN
87-3012777
Assigned to jan.dejager@trilogy.com
</t>
      </text>
    </comment>
    <comment authorId="108" xr:uid="{7a7da18b-453c-477a-8396-5a55b9388bbf}" ref="Z23">
      <text>
        <t xml:space="preserve">[Threaded comment]
 Your version of Excel allows you to read this threaded comment; however, any edits to it will get removed if the file is opened in a newer version of Excel. Learn more: https://go.microsoft.com/fwlink/?linkid=870924
Comment:
	@rachel.goodlad@alpha.school This address is listed.  Should this state Not Public Yet or No Location?
Assigned to rachel.goodlad@alpha.school
Reply:
	not public yet
</t>
      </text>
    </comment>
    <comment authorId="109" xr:uid="{7aafabf9-001c-4c5d-90b6-62f9c8ec3635}" ref="Z28">
      <text>
        <t xml:space="preserve">[Threaded comment]
 Your version of Excel allows you to read this threaded comment; however, any edits to it will get removed if the file is opened in a newer version of Excel. Learn more: https://go.microsoft.com/fwlink/?linkid=870924
Comment:
	No EIN as disregarded entity under 2HR Learning, Inc.
</t>
      </text>
    </comment>
    <comment authorId="110" xr:uid="{7af1c342-0665-4438-bbf2-18b3bca3f2a3}" ref="C22">
      <text>
        <t xml:space="preserve">[Threaded comment]
 Your version of Excel allows you to read this threaded comment; however, any edits to it will get removed if the file is opened in a newer version of Excel. Learn more: https://go.microsoft.com/fwlink/?linkid=870924
Comment:
	@donnie.yee@trilogy.com your new formula doesn't look to be working here
Reply:
	@donnie.yee@trilogy.com when you have a moment.
Reply:
	Broken when the school names changed; updated.
</t>
      </text>
    </comment>
    <comment authorId="111" xr:uid="{7ca18091-4245-4d4e-a35f-7bf701c3444a}" ref="B33">
      <text>
        <t xml:space="preserve">[Threaded comment]
 Your version of Excel allows you to read this threaded comment; however, any edits to it will get removed if the file is opened in a newer version of Excel. Learn more: https://go.microsoft.com/fwlink/?linkid=870924
Comment:
	@andrew.jordan@trilogy.com Could you check for accuracy the assigned leaders for location's assigned names in this row that I have highlighted? Could you also clarify the remaining as either Head of Schools or Head Guides?
Assigned to andrew.jordan@trilogy.com
Reply:
	@andrew.jordan@trilogy.com all good here?
Reply:
	@andrew.jordan@trilogy.com
Reply:
	Updated based on my knowledge. I was having trouble with Rippling but I edited here.
Reply:
	Braden is over Spyglass and CO2 but Chris Locke and Taylor Sweeney are over HS and MS respectively at CO2.
I have little insight into naming conventions as they seem to shift every time I try and find out (Lead vs Head guide)
Reply:
	I went through and made updates
</t>
      </text>
    </comment>
    <comment authorId="112" xr:uid="{7d0dcc33-790a-41cd-ae2f-3ac6f3f6250b}" ref="N33">
      <text>
        <t xml:space="preserve">[Threaded comment]
 Your version of Excel allows you to read this threaded comment; however, any edits to it will get removed if the file is opened in a newer version of Excel. Learn more: https://go.microsoft.com/fwlink/?linkid=870924
Comment:
	Laura's 'Lead Guide' is Anna Smiley
</t>
      </text>
    </comment>
    <comment authorId="113" xr:uid="{7ddf9d08-54d1-4ede-b423-a2d174826701}" ref="O3">
      <text>
        <t xml:space="preserve">[Threaded comment]
 Your version of Excel allows you to read this threaded comment; however, any edits to it will get removed if the file is opened in a newer version of Excel. Learn more: https://go.microsoft.com/fwlink/?linkid=870924
Comment:
	@jan.dejager@trilogy.com - isn't this arizona?
Reply:
	Yes
https://alpha.school/scottsdale/
Updated
</t>
      </text>
    </comment>
    <comment authorId="114" xr:uid="{801cd840-64b3-4e3c-9142-3ddf4e5884d8}" ref="W21">
      <text>
        <t xml:space="preserve">[Threaded comment]
 Your version of Excel allows you to read this threaded comment; however, any edits to it will get removed if the file is opened in a newer version of Excel. Learn more: https://go.microsoft.com/fwlink/?linkid=870924
Comment:
	@andrew.jordan@trilogy.com where did these Oct 13th come from vs previously "when someone is enrolled"?
Assigned to andrew.jordan@trilogy.com
</t>
      </text>
    </comment>
    <comment authorId="115" xr:uid="{8049ccc9-1bae-4ddf-9f59-3082705eb289}" ref="U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116" xr:uid="{810edec4-e139-4b41-bc46-92b29103117c}" ref="U34">
      <text>
        <t xml:space="preserve">[Threaded comment]
 Your version of Excel allows you to read this threaded comment; however, any edits to it will get removed if the file is opened in a newer version of Excel. Learn more: https://go.microsoft.com/fwlink/?linkid=870924
Comment:
	Pending hire. Still needs to take PCCAT &amp; finalize onboarding. (Cody Hartley)
Reply:
	@heather.lother@crossover.com good to put info here now? @andrew.jordan@trilogy.com
Reply:
	No. Cody's insisting on a campus visit pre-PCCAT and Jordan is weighing pulling the offer and send to someone else (Kele).
</t>
      </text>
    </comment>
    <comment authorId="117" xr:uid="{81bb8868-b8f7-42df-959a-bc5727e79366}" ref="X19">
      <text>
        <t xml:space="preserve">[Threaded comment]
 Your version of Excel allows you to read this threaded comment; however, any edits to it will get removed if the file is opened in a newer version of Excel. Learn more: https://go.microsoft.com/fwlink/?linkid=870924
Comment:
	@donnie.yee@trilogy.com @arthur@trilogy.com @jan.dejager@trilogy.com
Assigned to donnie.yee@trilogy.com
Reply:
	@dmitry.bakaev@trilogy.com @gautam.manohar@trilogy.com
Reply:
	Moved this change down to row 20
</t>
      </text>
    </comment>
    <comment authorId="118" xr:uid="{851d3dd3-6833-4a44-abcc-dc9b9e4d3f7e}" ref="B47">
      <text>
        <t xml:space="preserve">[Threaded comment]
 Your version of Excel allows you to read this threaded comment; however, any edits to it will get removed if the file is opened in a newer version of Excel. Learn more: https://go.microsoft.com/fwlink/?linkid=870924
Comment:
	Can we add Alpha IoT network.  Password is SmartThings@Alpha
</t>
      </text>
    </comment>
    <comment authorId="119" xr:uid="{853800f7-2000-44a0-b160-2c51708ca00f}" ref="Y21">
      <text>
        <t xml:space="preserve">[Threaded comment]
 Your version of Excel allows you to read this threaded comment; however, any edits to it will get removed if the file is opened in a newer version of Excel. Learn more: https://go.microsoft.com/fwlink/?linkid=870924
Comment:
	@andrew.jordan@trilogy.com pls update
Reply:
	@andrew.jordan@trilogy.com @jc.fischer@trilogy.com ?
Reply:
	What's the question?
Reply:
	Status wasn’t updated in November. If now accurate; good to resolve.
</t>
      </text>
    </comment>
    <comment authorId="120" xr:uid="{855bc60d-7c5c-4748-8d8e-06ceec83a355}" ref="AE19">
      <text>
        <t xml:space="preserve">[Threaded comment]
 Your version of Excel allows you to read this threaded comment; however, any edits to it will get removed if the file is opened in a newer version of Excel. Learn more: https://go.microsoft.com/fwlink/?linkid=870924
Comment:
	@jc.fischer@trilogy.com @andrew.jordan@trilogy.com - the insurers are asking about an opening date. PLease advise
</t>
      </text>
    </comment>
    <comment authorId="121" xr:uid="{865ff2e9-6d7e-40f6-9f84-2a83978a566b}" ref="O32">
      <text>
        <t xml:space="preserve">[Threaded comment]
 Your version of Excel allows you to read this threaded comment; however, any edits to it will get removed if the file is opened in a newer version of Excel. Learn more: https://go.microsoft.com/fwlink/?linkid=870924
Comment:
	No longer hiring - Crystal fills this slot.
</t>
      </text>
    </comment>
    <comment authorId="122" xr:uid="{8957fec5-404f-4bbc-9478-13eceb291e26}" ref="S32">
      <text>
        <t xml:space="preserve">[Threaded comment]
 Your version of Excel allows you to read this threaded comment; however, any edits to it will get removed if the file is opened in a newer version of Excel. Learn more: https://go.microsoft.com/fwlink/?linkid=870924
Comment:
	Andy's last name is GIBSON. Can you correct?
Reply:
	Tasha to confirm - Crystal is focused exclusively on AZ and should be removed from this cell.
</t>
      </text>
    </comment>
    <comment authorId="123" xr:uid="{89829cf3-8ef8-41f8-a466-3dc812c4aefe}" ref="J33">
      <text>
        <t xml:space="preserve">[Threaded comment]
 Your version of Excel allows you to read this threaded comment; however, any edits to it will get removed if the file is opened in a newer version of Excel. Learn more: https://go.microsoft.com/fwlink/?linkid=870924
Comment:
	Is this confirmed? or is this Malu? @andrew.jordan@trilogy.com
Assigned to andrew.jordan@trilogy.com
Reply:
	Malu
Reply:
	@arthur@trilogy.com @donnie.yee@trilogy.com @jan.dejager@trilogy.com Do you know how these names were assigned in here, as many are inaccurate? This raised my concern with the accuracy of information eventually being shared within this document.  As we all know, we will need to be conscious of the accuracy of what is entered in finality in here.
Reply:
	From Stef's HC planning/hiring doc.
</t>
      </text>
    </comment>
    <comment authorId="124" xr:uid="{8993246a-8e5e-49dc-a6db-bf9452c0ace1}" ref="Y34">
      <text>
        <t xml:space="preserve">[Threaded comment]
 Your version of Excel allows you to read this threaded comment; however, any edits to it will get removed if the file is opened in a newer version of Excel. Learn more: https://go.microsoft.com/fwlink/?linkid=870924
Comment:
	@andrew.jordan@trilogy.com - we were told not to hire for this CC role yet. Confirming this is still accurate given the cell contents?
Assigned to andrew.jordan@trilogy.com
</t>
      </text>
    </comment>
    <comment authorId="125" xr:uid="{8aaeeea1-4c2f-4370-9d4d-f8a40b7ca7f0}" ref="AG8">
      <text>
        <t xml:space="preserve">[Threaded comment]
 Your version of Excel allows you to read this threaded comment; however, any edits to it will get removed if the file is opened in a newer version of Excel. Learn more: https://go.microsoft.com/fwlink/?linkid=870924
Comment:
	$40,000
</t>
      </text>
    </comment>
    <comment authorId="126" xr:uid="{8f9444f8-3736-4272-ba5c-e9fd654c60cb}" ref="A28">
      <text>
        <t xml:space="preserve">[Threaded comment]
 Your version of Excel allows you to read this threaded comment; however, any edits to it will get removed if the file is opened in a newer version of Excel. Learn more: https://go.microsoft.com/fwlink/?linkid=870924
Comment:
	@brian.baucher@trilogy.com - can you please complete this row and row 28, thanks
fyi
@jan.dejager@trilogy.com 
@arthur@trilogy.com 
@amelia.baldwin@2hourlearning.com
Reply:
	updated for those that are in existence now.  I believe a number of these schools do not yet have legal entities associated with them.
Reply:
	why? and are those clearly marked?
Reply:
	No legal entities have been created yet. I have not been involved in this process. @jack.abolt@trilogy.com had been creating when Andy request (https://docs.google.com/spreadsheets/d/1BZGvvcJuuqqvYugIxYKiCYNkRTSYJ64g4HezaGR2d1Y/edit?gid=401999180#gid=401999180). I believe @tina.erales@jonesspross.com may be involved going forward with the creation of the for-profit entities.
</t>
      </text>
    </comment>
    <comment authorId="127" xr:uid="{8fa74a14-25d9-438a-8c4b-68881cf5e87b}" ref="L8">
      <text>
        <t xml:space="preserve">[Threaded comment]
 Your version of Excel allows you to read this threaded comment; however, any edits to it will get removed if the file is opened in a newer version of Excel. Learn more: https://go.microsoft.com/fwlink/?linkid=870924
Comment:
	@jan.dejager@trilogy.com @david.harpur@trilogy.com 
Please confirm: max. 20 scholarships
$10k each
max. 1 year
grades 3-5 only
families w/ AGI under $150k
I saw this in the Next Gen channel. How are we gathering information of their AGI in order to qualify them?
Reply:
	confirmed
</t>
      </text>
    </comment>
    <comment authorId="128" xr:uid="{914057e7-118a-479d-a430-55e7fd8a6c63}" ref="J8">
      <text>
        <t xml:space="preserve">[Threaded comment]
 Your version of Excel allows you to read this threaded comment; however, any edits to it will get removed if the file is opened in a newer version of Excel. Learn more: https://go.microsoft.com/fwlink/?linkid=870924
Comment:
	Per MP, no new students enrolled for 25/26, only existing students at $0.
Reply:
	added this in cell G9, resolving this comment
</t>
      </text>
    </comment>
    <comment authorId="129" xr:uid="{925044c6-34e1-47cb-b130-8525afb10a67}" ref="AJ18">
      <text>
        <t xml:space="preserve">[Threaded comment]
 Your version of Excel allows you to read this threaded comment; however, any edits to it will get removed if the file is opened in a newer version of Excel. Learn more: https://go.microsoft.com/fwlink/?linkid=870924
Comment:
	K-8
</t>
      </text>
    </comment>
    <comment authorId="130" xr:uid="{9265ac4f-43ae-4175-93e1-d393752300c7}" ref="S18">
      <text>
        <t xml:space="preserve">[Threaded comment]
 Your version of Excel allows you to read this threaded comment; however, any edits to it will get removed if the file is opened in a newer version of Excel. Learn more: https://go.microsoft.com/fwlink/?linkid=870924
Comment:
	Currently under review to go K-5
Reply:
	@donnie.yee@trilogy.com @jan.dejager@trilogy.com @dmitry.bakaev@trilogy.com Plano is now a K-5.
</t>
      </text>
    </comment>
    <comment authorId="131" xr:uid="{92c02275-f193-4593-aac1-fd2708712f50}" ref="R24">
      <text>
        <t xml:space="preserve">[Threaded comment]
 Your version of Excel allows you to read this threaded comment; however, any edits to it will get removed if the file is opened in a newer version of Excel. Learn more: https://go.microsoft.com/fwlink/?linkid=870924
Comment:
	@andrew.jordan@trilogy.com
Is this correct?
Should this be 25?
fyi @david.harpur@trilogy.com
Reply:
	15 is correct for now until we get additional space in January.
Reply:
	@jc.fischer@trilogy.com 
Can you please confirm if the capacity will move to 25 in Jan? If so, will there be any additional CapEx / lease cost to move from 15-&gt;25?
thanks
Reply:
	Can't confirm yet. In process.
Reply:
	ETA?
Reply:
	How important is it? I've got my team adding ~3 schools/week. I view this as one of the lowest priority items we need done vs actually getting schools open, but can adjust.
Reply:
	i have no idea of the work involved in calculating the capacity for a location (e.g. 1 hr vs 1 day vs 1 wk)
but we need the capacity # for financial modelling
Reply:
	when do you need it? which schools do you care about in order?
Reply:
	the importance will help me prioritize us. it's irrelevant how long it takes to do each school (it differs depending on how good the site plans and other data stored up from when these opened actually is)
Reply:
	sure, david mcg will provide
Reply:
	@jc.fischer@trilogy.com 
I've emailed you the prioritised list. The most urgent would be the new schools without any capacity numbers:
Piedmont
Palo Alto
Santa Monica
Followed by those noted as pending verification - I've sent you the current order.
</t>
      </text>
    </comment>
    <comment authorId="132" xr:uid="{93df3916-506c-4eb3-b18c-333fa4890397}" ref="X34">
      <text>
        <t xml:space="preserve">[Threaded comment]
 Your version of Excel allows you to read this threaded comment; however, any edits to it will get removed if the file is opened in a newer version of Excel. Learn more: https://go.microsoft.com/fwlink/?linkid=870924
Comment:
	Jenna York start date 11/17
</t>
      </text>
    </comment>
    <comment authorId="133" xr:uid="{941c58b1-68d2-4b3f-8e31-0aff0f019829}" ref="W38">
      <text>
        <t xml:space="preserve">[Threaded comment]
 Your version of Excel allows you to read this threaded comment; however, any edits to it will get removed if the file is opened in a newer version of Excel. Learn more: https://go.microsoft.com/fwlink/?linkid=870924
Comment:
	@andrew.jordan@trilogy.com @joshua.rockers@trilogy.com who approved this hiring?  This goes against our tiering right?
Assigned to andrew.jordan@trilogy.com
</t>
      </text>
    </comment>
    <comment authorId="134" xr:uid="{942ff914-604f-48db-98f5-137d56f12379}" ref="Z28">
      <text>
        <t xml:space="preserve">[Threaded comment]
 Your version of Excel allows you to read this threaded comment; however, any edits to it will get removed if the file is opened in a newer version of Excel. Learn more: https://go.microsoft.com/fwlink/?linkid=870924
Comment:
	@jan.dejager@trilogy.com - 
No EIN as disregarded entity under 2HR Learning, Inc.
Assigned to jan.dejager@trilogy.com
</t>
      </text>
    </comment>
    <comment authorId="135" xr:uid="{9463916c-1339-4f05-92e9-2ae7ca4ccf29}" ref="U32">
      <text>
        <t xml:space="preserve">[Threaded comment]
 Your version of Excel allows you to read this threaded comment; however, any edits to it will get removed if the file is opened in a newer version of Excel. Learn more: https://go.microsoft.com/fwlink/?linkid=870924
Comment:
	Hiring an aDoP @heather.lother@crossover.com
Assigned to heather.lother@crossover.com
</t>
      </text>
    </comment>
    <comment authorId="136" xr:uid="{96bf0c3b-f1ef-48e9-80e1-b28889ff1990}" ref="C23">
      <text>
        <t xml:space="preserve">[Threaded comment]
 Your version of Excel allows you to read this threaded comment; however, any edits to it will get removed if the file is opened in a newer version of Excel. Learn more: https://go.microsoft.com/fwlink/?linkid=870924
Comment:
	@dmitry.bakaev@trilogy.com @amelia.baldwin@2hourlearning.com if it's actually 200 colorado for pk-5, and 201 colorado for 6-8, perhaps we go back to having separate columns?  I thought they were both 200.
Assigned to dmitry.bakaev@trilogy.com
Reply:
	6-8 is 201 Colorado. K-8 is 1201 Spyglass. 6-12 are in the same building with different leadership within that building.
</t>
      </text>
    </comment>
    <comment authorId="137" xr:uid="{97d9a9de-64e3-4f1f-a535-fa3585315cd8}" ref="AF2">
      <text>
        <t xml:space="preserve">[Threaded comment]
 Your version of Excel allows you to read this threaded comment; however, any edits to it will get removed if the file is opened in a newer version of Excel. Learn more: https://go.microsoft.com/fwlink/?linkid=870924
Comment:
	@donnie.yee@trilogy.com @arthur@trilogy.com @dmitry.bakaev@trilogy.com New location, not replacing Houston.
</t>
      </text>
    </comment>
    <comment authorId="138" xr:uid="{98a81c80-4d1e-4339-b6c5-f56850dd61f8}" ref="C23">
      <text>
        <t xml:space="preserve">[Threaded comment]
 Your version of Excel allows you to read this threaded comment; however, any edits to it will get removed if the file is opened in a newer version of Excel. Learn more: https://go.microsoft.com/fwlink/?linkid=870924
Comment:
	@jan.dejager@trilogy.com 
Spyglass location is in entity Alpha School 78746, LLC and Colorado St location is at Alpha School 78741, LLC.
Assigned to jan.dejager@trilogy.com
</t>
      </text>
    </comment>
    <comment authorId="139" xr:uid="{98d8ce0e-c41f-40c5-8706-ef0579b4409c}" ref="T8">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https://docs.google.com/spreadsheets/d/1NuGTuqSjg2yaa4g530cgVIK1Wh_WN6vP-VXIj0G-3SY/edit?gid=1832517803#gid=1832517803&amp;range=A19
@arthur@trilogy.com @david.harpur@trilogy.com - points that need clarifying based on previous understanding vs the sheet above shared on email.
1. NYC: We had this as $65k base minus $10k FF discount in 2025/26 for first 25, and $75k base from 2026/27 onwards. The sheet above implies $75k base for 2025/26. 
2. We had SB at $50k base - the sheet has it at $75k
cc @amelia.baldwin@alpha.school
Reply:
	#1 - $75k, less $10k for founding families
#2 - move SB to $75k (we need to update the model also for that)
Reply:
	@david.harpur@trilogy.com Clarifying question: SB is currently at 13 enrolled with 6 offers sent and 17 who have applied.  The FF is agreed for the first 25 students. Currently, the school has been shared as 65k per year. When/how/with who does this go into effect with? 
cc: @arthur@trilogy.com @jan.dejager@trilogy.com
Reply:
	I have just noted in this document that it states after the first 25 for SB and NY. I have included this detail in NY &amp; SB cells 3.1
https://docs.google.com/spreadsheets/d/1NuGTuqSjg2yaa4g530cgVIK1Wh_WN6vP-VXIj0G-3SY/edit?gid=1832517803#gid=1832517803&amp;range=A20
@david.harpur@trilogy.com @jan.dejager@trilogy.com @arthur@trilogy.com
Reply:
	Amelia- what have we communicated exactly to parents re SB?
#1 - standard fees are $75k/yr, but there is a $10k discount for the first 25 founding families (so they are at $65k/yr)
or
#2 - standard fees are $65k/yr, but there is a $10k discount for the first 25 founding families (so they are at $55k/yr)?
or
#3 - something else?
and "yes" - the founding family discount applies to the first 25 families.
Reply:
	@amelia.baldwin@alpha.school - follow-up on SB tuition communicated to parents.
Reply:
	SB started at 50k with 10k FF discount. NY started at 65k with 10k FF. This was stated as the rate for the first 25 students enrolled. Students are in SIS with this rate listed. @jan.dejager@trilogy.com
Reply:
	@andy.price@trilogy.com - fyi
</t>
      </text>
    </comment>
    <comment authorId="140" xr:uid="{98f62d33-4fe9-4e94-a1a7-73682f893cad}" ref="I28">
      <text>
        <t xml:space="preserve">[Threaded comment]
 Your version of Excel allows you to read this threaded comment; however, any edits to it will get removed if the file is opened in a newer version of Excel. Learn more: https://go.microsoft.com/fwlink/?linkid=870924
Comment:
	entity has its own EIN (required for banking purposes). It is a disregarded entity under 2HR Learning Inc and will 2HR Learning's EIN for income tax purposes - 87-3012777)
</t>
      </text>
    </comment>
    <comment authorId="141" xr:uid="{99d469bc-fcb0-4835-82f1-99afe33b57fc}" ref="N27">
      <text>
        <t xml:space="preserve">[Threaded comment]
 Your version of Excel allows you to read this threaded comment; however, any edits to it will get removed if the file is opened in a newer version of Excel. Learn more: https://go.microsoft.com/fwlink/?linkid=870924
Comment:
	@jan.dejager@trilogy.com - Montessorium School 78613, LLC
</t>
      </text>
    </comment>
    <comment authorId="142" xr:uid="{9a711c7f-2fe1-48c6-9dfb-adc961179232}" ref="AJ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143" xr:uid="{9a97ac84-e6e1-4f11-9a5e-fc4beb9a176a}" ref="Q32">
      <text>
        <t xml:space="preserve">[Threaded comment]
 Your version of Excel allows you to read this threaded comment; however, any edits to it will get removed if the file is opened in a newer version of Excel. Learn more: https://go.microsoft.com/fwlink/?linkid=870924
Comment:
	Hiring
Reply:
	@jan.dejager@trilogy.com - plz update to (Hiring ADOP)
Reply:
	updated
</t>
      </text>
    </comment>
    <comment authorId="144" xr:uid="{9b67e6d8-e401-4c6b-902f-cd874925fa0f}" ref="G2">
      <text>
        <t xml:space="preserve">[Threaded comment]
 Your version of Excel allows you to read this threaded comment; however, any edits to it will get removed if the file is opened in a newer version of Excel. Learn more: https://go.microsoft.com/fwlink/?linkid=870924
Comment:
	@dmitry.bakaev@trilogy.com @donnie.yee@trilogy.com @jan.dejager@trilogy.com @arthur@trilogy.com New school added beginning Fall 2026
Reply:
	should we change naming standard to have the high school location name at the end? e.g. should Alpha High School be Alpha High School Austin then? @dmitry.bakaev@trilogy.com @jc.fischer@trilogy.com
1 total reaction
Amelia Baldwin reacted with 👍 at 2026-01-31 01:52 AM
Reply:
	With no site, why would we track this differently than Alpha School Brownsville? Miami is K-12 and is just Alpha School Miami.
Reply:
	I had heard that this high school location was being considered to be in a different location (like Austin). If that is not the case, then there may be no need to separate designation on this sheet.
</t>
      </text>
    </comment>
    <comment authorId="145" xr:uid="{9c23f34c-74ed-4309-a940-f9fb46341204}" ref="D32">
      <text>
        <t xml:space="preserve">[Threaded comment]
 Your version of Excel allows you to read this threaded comment; however, any edits to it will get removed if the file is opened in a newer version of Excel. Learn more: https://go.microsoft.com/fwlink/?linkid=870924
Comment:
	Hiring
</t>
      </text>
    </comment>
    <comment authorId="146" xr:uid="{9c732a7d-4a1d-4119-ab27-bba64e9aaa55}" ref="T27">
      <text>
        <t xml:space="preserve">[Threaded comment]
 Your version of Excel allows you to read this threaded comment; however, any edits to it will get removed if the file is opened in a newer version of Excel. Learn more: https://go.microsoft.com/fwlink/?linkid=870924
Comment:
	@jan.dejager@trilogy.com - Alpha Anywhere Center, LLC
</t>
      </text>
    </comment>
    <comment authorId="147" xr:uid="{9e577065-47d4-493b-a64f-e56bbb40d981}" ref="B20">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I updated this for clarity with real dates
Assigned to amelia.baldwin@2hourlearning.com
</t>
      </text>
    </comment>
    <comment authorId="148" xr:uid="{9f546a37-3989-435c-a930-3a0f47c1fa57}" ref="AD34">
      <text>
        <t xml:space="preserve">[Threaded comment]
 Your version of Excel allows you to read this threaded comment; however, any edits to it will get removed if the file is opened in a newer version of Excel. Learn more: https://go.microsoft.com/fwlink/?linkid=870924
Comment:
	Hiring
</t>
      </text>
    </comment>
    <comment authorId="149" xr:uid="{9f7fef6a-7e03-4d93-a108-a1e56be6bc38}" ref="B20">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can we put exact dates in here pls?
Assigned to amelia.baldwin@2hourlearning.com
Reply:
	Oh actually why do we have this and 7. as well? Just saw that row. @david.harpur@trilogy.com @jan.dejager@trilogy.com
Reply:
	killed the other row and the link here has the exact dates by school
</t>
      </text>
    </comment>
    <comment authorId="150" xr:uid="{a049c459-b3cd-4c76-b491-5eb7c7ef69f9}" ref="F32">
      <text>
        <t xml:space="preserve">[Threaded comment]
 Your version of Excel allows you to read this threaded comment; however, any edits to it will get removed if the file is opened in a newer version of Excel. Learn more: https://go.microsoft.com/fwlink/?linkid=870924
Comment:
	UPDATE: Morgan Swain
</t>
      </text>
    </comment>
    <comment authorId="151" xr:uid="{a0e362cb-ad37-4ead-b037-3b5322ba5349}" ref="J9">
      <text>
        <t xml:space="preserve">[Threaded comment]
 Your version of Excel allows you to read this threaded comment; however, any edits to it will get removed if the file is opened in a newer version of Excel. Learn more: https://go.microsoft.com/fwlink/?linkid=870924
Comment:
	@arthur@trilogy.com MP said no charge for lunch this year.  Are you able to confirm from your conversation with her?
Assigned to arthur@trilogy.com
Reply:
	Marked as done
Reply:
	Yes, this is confirmed. We will cover this year.
Re-opened
Reply:
	Marked as done
Reply:
	Re-opened
</t>
      </text>
    </comment>
    <comment authorId="152" xr:uid="{a18cca1b-9a1f-4790-9c1d-9b38efa645bb}" ref="AB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153" xr:uid="{a1b441a6-9da6-4f44-b5df-f182682f682f}" ref="O9">
      <text>
        <t xml:space="preserve">[Threaded comment]
 Your version of Excel allows you to read this threaded comment; however, any edits to it will get removed if the file is opened in a newer version of Excel. Learn more: https://go.microsoft.com/fwlink/?linkid=870924
Comment:
	@jan.dejager@trilogy.com @arthur@trilogy.com With this having been shared to families as being included, what is the planned method of communication for signing up for lunch as the enrolled families were not given this option. Also, is this amount more expense to provide in other locations, such as NYC?
Reply:
	We are keeping it at $200 for all (except Valenta, etc) - will adjust in year 2 as appropriate
Reply:
	Is Valenta (now Arete Bastrop) planned to have lunch next year? And same for Arete Austin?
</t>
      </text>
    </comment>
    <comment authorId="154" xr:uid="{a3019027-dd23-4a29-b000-4ba88ac476e7}" ref="AD8">
      <text>
        <t xml:space="preserve">[Threaded comment]
 Your version of Excel allows you to read this threaded comment; however, any edits to it will get removed if the file is opened in a newer version of Excel. Learn more: https://go.microsoft.com/fwlink/?linkid=870924
Comment:
	$75,000
</t>
      </text>
    </comment>
    <comment authorId="155" xr:uid="{a5631fca-3269-4a4a-ac67-841063c4e931}" ref="AD32">
      <text>
        <t xml:space="preserve">[Threaded comment]
 Your version of Excel allows you to read this threaded comment; however, any edits to it will get removed if the file is opened in a newer version of Excel. Learn more: https://go.microsoft.com/fwlink/?linkid=870924
Comment:
	Hiring
</t>
      </text>
    </comment>
    <comment authorId="156" xr:uid="{a877152c-1e64-47a2-83ea-ac9a484a9280}" ref="A34">
      <text>
        <t xml:space="preserve">[Threaded comment]
 Your version of Excel allows you to read this threaded comment; however, any edits to it will get removed if the file is opened in a newer version of Excel. Learn more: https://go.microsoft.com/fwlink/?linkid=870924
Comment:
	@andrew.jordan@trilogy.com @amelia.baldwin@2hourlearning.com shouldn't this also indicate which ones are hybrids?
Reply:
	@heather.lother@crossover.com as many of these are now CC/Admissions hybrids, who in the interview process is vetting for admissions?
Reply:
	Either the ADOP, DOP, or HOS assigned to the campus.
Reply:
	Yes they should. I do not know which ones were hired via which pipeline. If @heather.lother@crossover.com can get that to me I can update. 
As per the Admissions interview, we discussed this in the CC chat. Path should be 
1) Shannon or Kathrine (based on site)
2) ADoP (or DoP if ADoP not presnet or HoS if neither are present)
3) COO P2 (Andrew Jordan)
</t>
      </text>
    </comment>
    <comment authorId="157" xr:uid="{a95a1523-23b6-417a-8a91-34fd960191f2}" ref="A24">
      <text>
        <t xml:space="preserve">[Threaded comment]
 Your version of Excel allows you to read this threaded comment; however, any edits to it will get removed if the file is opened in a newer version of Excel. Learn more: https://go.microsoft.com/fwlink/?linkid=870924
Comment:
	@andrew.jordan@trilogy.com - can P2 please populate capacity per address?
Reply:
	@andrew.jordan@trilogy.com nothing here?
Reply:
	@andrew.jordan@trilogy.com
</t>
      </text>
    </comment>
    <comment authorId="158" xr:uid="{a9abb08a-cdc3-46e2-841f-af71940bd978}" ref="X32">
      <text>
        <t xml:space="preserve">[Threaded comment]
 Your version of Excel allows you to read this threaded comment; however, any edits to it will get removed if the file is opened in a newer version of Excel. Learn more: https://go.microsoft.com/fwlink/?linkid=870924
Comment:
	Clifford Smith hired. Started 1.13.26.
</t>
      </text>
    </comment>
    <comment authorId="159" xr:uid="{aa2a676e-09db-4641-96ea-4d3cb12d9c1a}" ref="T22">
      <text>
        <t xml:space="preserve">[Threaded comment]
 Your version of Excel allows you to read this threaded comment; however, any edits to it will get removed if the file is opened in a newer version of Excel. Learn more: https://go.microsoft.com/fwlink/?linkid=870924
Comment:
	@donnie.yee@trilogy.com @dmitry.bakaev@trilogy.com really 37 for NYC at this point?  Or is that counting future enrollments?
Assigned to donnie.yee@trilogy.com
Reply:
	fyi @patrick.francia@trilogy.com
Reassigned to patrick.francia@trilogy.com
</t>
      </text>
    </comment>
    <comment authorId="160" xr:uid="{abd463a9-eda3-4e58-a6bc-dd23ae762954}" ref="AI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161" xr:uid="{ac11f6fc-ff51-4db6-8725-c7e1e9f90946}" ref="T2">
      <text>
        <t xml:space="preserve">[Threaded comment]
 Your version of Excel allows you to read this threaded comment; however, any edits to it will get removed if the file is opened in a newer version of Excel. Learn more: https://go.microsoft.com/fwlink/?linkid=870924
Comment:
	@dmitry.bakaev@trilogy.com @amelia.baldwin@2hourlearning.com looks like this is now Alpha New York City on marketing sites?
Assigned to dmitry.bakaev@trilogy.com
Reply:
	And looks like it's Alpha New York (no city) in quicksight?
Reply:
	@dmitry.bakaev@trilogy.com This is new to me in QS as well.
</t>
      </text>
    </comment>
    <comment authorId="162" xr:uid="{ac7b5234-bc70-4011-8bd2-750b35bfcdd2}" ref="AD2">
      <text>
        <t xml:space="preserve">[Threaded comment]
 Your version of Excel allows you to read this threaded comment; however, any edits to it will get removed if the file is opened in a newer version of Excel. Learn more: https://go.microsoft.com/fwlink/?linkid=870924
Comment:
	@amelia.baldwin@alpha.school @jan.dejager@trilogy.com @dmitry.bakaev@alpha.school 
New site confirmed from school ops/real estate team
1 total reaction
Amelia Baldwin reacted with 👀 at 2025-10-20 22:13 PM
Assigned to amelia.baldwin@alpha.school
</t>
      </text>
    </comment>
    <comment authorId="163" xr:uid="{acc75c89-ee8f-4fb9-a231-4de522f31238}" ref="C27">
      <text>
        <t xml:space="preserve">[Threaded comment]
 Your version of Excel allows you to read this threaded comment; however, any edits to it will get removed if the file is opened in a newer version of Excel. Learn more: https://go.microsoft.com/fwlink/?linkid=870924
Comment:
	@jan.dejager@trilogy.com - this should be updated to Alpha School 78746, LLC
Assigned to jan.dejager@trilogy.com
</t>
      </text>
    </comment>
    <comment authorId="164" xr:uid="{ad1b4022-afb6-4bca-9692-035af99e3061}" ref="AC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165" xr:uid="{aff9220c-8623-45ff-8eeb-3ba223041b03}" ref="AJ23">
      <text>
        <t xml:space="preserve">[Threaded comment]
 Your version of Excel allows you to read this threaded comment; however, any edits to it will get removed if the file is opened in a newer version of Excel. Learn more: https://go.microsoft.com/fwlink/?linkid=870924
Comment:
	300 Cambridge St, Boston, MA 02114
</t>
      </text>
    </comment>
    <comment authorId="166" xr:uid="{b1629dd1-5d36-4d5d-8c73-19fea32bfba5}" ref="Q28">
      <text>
        <t xml:space="preserve">[Threaded comment]
 Your version of Excel allows you to read this threaded comment; however, any edits to it will get removed if the file is opened in a newer version of Excel. Learn more: https://go.microsoft.com/fwlink/?linkid=870924
Comment:
	@jan.dejager@trilogy.com - this entity needed to obtain an EIN.  It is: 41-3229390
Assigned to jan.dejager@trilogy.com
</t>
      </text>
    </comment>
    <comment authorId="167" xr:uid="{b16970d6-ee8e-4695-aaaf-18905f5b8d56}" ref="K9">
      <text>
        <t xml:space="preserve">[Threaded comment]
 Your version of Excel allows you to read this threaded comment; however, any edits to it will get removed if the file is opened in a newer version of Excel. Learn more: https://go.microsoft.com/fwlink/?linkid=870924
Comment:
	Will there be lunch in 26/27? Need to know for re-enrollment. If so, what is the cost? $100? @donnie.yee@trilogy.com  @jim.liu@trilogy.com
</t>
      </text>
    </comment>
    <comment authorId="168" xr:uid="{b19172d8-3e55-47a1-a273-0e4d1e898611}" ref="K2">
      <text>
        <t xml:space="preserve">[Threaded comment]
 Your version of Excel allows you to read this threaded comment; however, any edits to it will get removed if the file is opened in a newer version of Excel. Learn more: https://go.microsoft.com/fwlink/?linkid=870924
Comment:
	With TexasPrep/Nova changing from Arete, does Valenta still keep Arete Bastrop or is it changing? @arthur@trilogy.com @donnie.yee@trilogy.com
Reply:
	@jan.dejager@trilogy.com @donnie.yee@trilogy.com - this has changed. please update
Reply:
	This will be Nova Academy - Bastrop
</t>
      </text>
    </comment>
    <comment authorId="169" xr:uid="{b475ddf6-d424-48cf-b634-b1aa833430d0}" ref="V9">
      <text>
        <t xml:space="preserve">[Threaded comment]
 Your version of Excel allows you to read this threaded comment; however, any edits to it will get removed if the file is opened in a newer version of Excel. Learn more: https://go.microsoft.com/fwlink/?linkid=870924
Comment:
	Lunch not offered until enrollment numbers increase as per Tasha
</t>
      </text>
    </comment>
    <comment authorId="170" xr:uid="{b4dd8eef-68ba-4839-bb76-7716fe4f2059}" ref="AM35">
      <text>
        <t xml:space="preserve">[Threaded comment]
 Your version of Excel allows you to read this threaded comment; however, any edits to it will get removed if the file is opened in a newer version of Excel. Learn more: https://go.microsoft.com/fwlink/?linkid=870924
Comment:
	@andrew.jordan@trilogy.com is this Kevin?
Assigned to andrew.jordan@trilogy.com
Reply:
	yes
</t>
      </text>
    </comment>
    <comment authorId="171" xr:uid="{b4e52235-6f30-4443-bc05-2eb46d921de0}" ref="K2">
      <text>
        <t xml:space="preserve">[Threaded comment]
 Your version of Excel allows you to read this threaded comment; however, any edits to it will get removed if the file is opened in a newer version of Excel. Learn more: https://go.microsoft.com/fwlink/?linkid=870924
Comment:
	@arthur.michel@trilogy.com should this be Nova Academy Bastrop and Nova Academy Austin to align with the naming convention used with other campuses?
Reply:
	Sounds good to me but @amelia.baldwin@2hourlearning.com @jeremy.williams@alpha.school call
</t>
      </text>
    </comment>
    <comment authorId="172" xr:uid="{b6777de3-d8ad-440c-b7f6-97586c7418e3}" ref="C22">
      <text>
        <t xml:space="preserve">[Threaded comment]
 Your version of Excel allows you to read this threaded comment; however, any edits to it will get removed if the file is opened in a newer version of Excel. Learn more: https://go.microsoft.com/fwlink/?linkid=870924
Comment:
	@andrew.jordan@trilogy.com can you split this out?
Reply:
	Split out by grade level?
Reply:
	@arthur@trilogy.com is this pk-8 or PK-5?
Reply:
	Marked as resolved
Reply:
	6-8 is actually at Alpha High
Re-opened
Reply:
	I don't know what you mean. Looking for enrollments by PK-G5 vs G6-8 as they are in different buildings. maybe @dmitry.bakaev@trilogy.com would know how to pull this out of the quicksight.
Reply:
	It's 150 across both buildings.  See QuickSight-&gt;Enrollment tab.  Column 8.
We are working to split it out.  The SIS doesn't split them out to keep aligned with Timeback.
Reply:
	Do we know the capacity of each building?
</t>
      </text>
    </comment>
    <comment authorId="173" xr:uid="{bbf8fc3e-fb51-4bae-a599-d06ac1eca760}" ref="P32">
      <text>
        <t xml:space="preserve">[Threaded comment]
 Your version of Excel allows you to read this threaded comment; however, any edits to it will get removed if the file is opened in a newer version of Excel. Learn more: https://go.microsoft.com/fwlink/?linkid=870924
Comment:
	Hired Andy Gibson, started Sept. 22.
</t>
      </text>
    </comment>
    <comment authorId="174" xr:uid="{bc29fd14-64ae-44d6-8d3c-28a3810391e6}" ref="Y28">
      <text>
        <t xml:space="preserve">[Threaded comment]
 Your version of Excel allows you to read this threaded comment; however, any edits to it will get removed if the file is opened in a newer version of Excel. Learn more: https://go.microsoft.com/fwlink/?linkid=870924
Comment:
	disregarded entity under 2HR Learning, Inc. and has not had reason to request its own EIN so disclosing 2HR Learning, Inc. EIN
</t>
      </text>
    </comment>
    <comment authorId="175" xr:uid="{be0d7f25-0f69-4adc-9592-c61c7ffe7801}" ref="L13">
      <text>
        <t xml:space="preserve">[Threaded comment]
 Your version of Excel allows you to read this threaded comment; however, any edits to it will get removed if the file is opened in a newer version of Excel. Learn more: https://go.microsoft.com/fwlink/?linkid=870924
Comment:
	How is NG qualifying AGI?
</t>
      </text>
    </comment>
    <comment authorId="176" xr:uid="{be6d4691-8dc7-48ee-a50f-aa17d578aaa6}" ref="AJ2">
      <text>
        <t xml:space="preserve">[Threaded comment]
 Your version of Excel allows you to read this threaded comment; however, any edits to it will get removed if the file is opened in a newer version of Excel. Learn more: https://go.microsoft.com/fwlink/?linkid=870924
Comment:
	@donnie.yee@trilogy.com @dmitry.bakaev@trilogy.com
</t>
      </text>
    </comment>
    <comment authorId="177" xr:uid="{beb3ce81-ae46-4702-a991-cafb50550346}" ref="W34">
      <text>
        <t xml:space="preserve">[Threaded comment]
 Your version of Excel allows you to read this threaded comment; however, any edits to it will get removed if the file is opened in a newer version of Excel. Learn more: https://go.microsoft.com/fwlink/?linkid=870924
Comment:
	Needs to be employed by GP and complete addtl background check &amp; TB test.
Reply:
	@jan.dejager@trilogy.com - special requirements do exist for Chantilly. Please update.
Reply:
	updated
</t>
      </text>
    </comment>
    <comment authorId="178" xr:uid="{c1692356-8087-4935-9f41-5855d9601f1d}" ref="AE32">
      <text>
        <t xml:space="preserve">[Threaded comment]
 Your version of Excel allows you to read this threaded comment; however, any edits to it will get removed if the file is opened in a newer version of Excel. Learn more: https://go.microsoft.com/fwlink/?linkid=870924
Comment:
	Hiring
Reply:
	Kellie Mowll
Reply:
	ADOP = Kellie Mowll. Start date 3.2.2026 -- please update.
</t>
      </text>
    </comment>
    <comment authorId="179" xr:uid="{c1b866b1-7d7b-4750-b0ce-060afb9adca2}" ref="J18">
      <text>
        <t xml:space="preserve">[Threaded comment]
 Your version of Excel allows you to read this threaded comment; however, any edits to it will get removed if the file is opened in a newer version of Excel. Learn more: https://go.microsoft.com/fwlink/?linkid=870924
Comment:
	@andrew.jordan@trilogy.com Are these grade levels correct?
Assigned to andrew.jordan@trilogy.com
Reply:
	@donnie.yee@trilogy.com
Reply:
	who is closing this out?
@jan.dejager@trilogy.com 
@arthur@trilogy.com
Reply:
	@amelia.baldwin@alpha.school - K-6 is correct. Also confirmed to Stef's HC hiring plan
</t>
      </text>
    </comment>
    <comment authorId="180" xr:uid="{c22bf06b-deff-4179-863c-4ea7850d0ba6}" ref="L28">
      <text>
        <t xml:space="preserve">[Threaded comment]
 Your version of Excel allows you to read this threaded comment; however, any edits to it will get removed if the file is opened in a newer version of Excel. Learn more: https://go.microsoft.com/fwlink/?linkid=870924
Comment:
	disregarded  entity under 2HR Learning, Inc. and has not had reason to request its own EIN so disclosing 2HR Learning, Inc. EIN
</t>
      </text>
    </comment>
    <comment authorId="181" xr:uid="{c2a2e181-f584-4355-9091-8db36b3f07c2}" ref="R27">
      <text>
        <t xml:space="preserve">[Threaded comment]
 Your version of Excel allows you to read this threaded comment; however, any edits to it will get removed if the file is opened in a newer version of Excel. Learn more: https://go.microsoft.com/fwlink/?linkid=870924
Comment:
	@jan.dejager@trilogy.com - I believe that Alpha School 33418, LLC was created last week (I haven't been provided a formation document yet but believe it is in existence).  No EIN as a disregarded entity
Assigned to jan.dejager@trilogy.com
</t>
      </text>
    </comment>
    <comment authorId="182" xr:uid="{c32524d8-245b-42af-9b34-cbcb67a5ef46}" ref="K8">
      <text>
        <t xml:space="preserve">[Threaded comment]
 Your version of Excel allows you to read this threaded comment; however, any edits to it will get removed if the file is opened in a newer version of Excel. Learn more: https://go.microsoft.com/fwlink/?linkid=870924
Comment:
	From MP 6.18.25: 25/36 year: $15k
But we are giving a $10k credit for this year only. After that people can use an ESA credit for $10k or pay $15k if you don’t have an ESA.
</t>
      </text>
    </comment>
    <comment authorId="183" xr:uid="{c3256dda-87b0-4788-95ae-23b23f8cc141}" ref="C28">
      <text>
        <t xml:space="preserve">[Threaded comment]
 Your version of Excel allows you to read this threaded comment; however, any edits to it will get removed if the file is opened in a newer version of Excel. Learn more: https://go.microsoft.com/fwlink/?linkid=870924
Comment:
	@jan.dejager@trilogy.com - Please update to:
87-3012777
Disregarded entity under 2HR Learning, Inc. and has not had reason to request its own EIN so disclosing 2HR Learning, Inc. EIN
87-3012777
Assigned to jan.dejager@trilogy.com
</t>
      </text>
    </comment>
    <comment authorId="184" xr:uid="{c4f6bc76-3589-4853-a036-c74d08caeb08}" ref="O27">
      <text>
        <t xml:space="preserve">[Threaded comment]
 Your version of Excel allows you to read this threaded comment; however, any edits to it will get removed if the file is opened in a newer version of Excel. Learn more: https://go.microsoft.com/fwlink/?linkid=870924
Comment:
	new company formed today - Alpha School 85255, LLC - no EIN as disregarded entity under 2HR Learning, Inc.
Reply:
	thanks
</t>
      </text>
    </comment>
    <comment authorId="185" xr:uid="{c58765c9-fa69-4e4c-8326-32fa6035bca6}" ref="U32">
      <text>
        <t xml:space="preserve">[Threaded comment]
 Your version of Excel allows you to read this threaded comment; however, any edits to it will get removed if the file is opened in a newer version of Excel. Learn more: https://go.microsoft.com/fwlink/?linkid=870924
Comment:
	Hiring ADOP so Scott can focus on LF.
Reply:
	@jan.dejager@trilogy.com - please update to (Hiring ADOP) under Scott.
Reply:
	updated
</t>
      </text>
    </comment>
    <comment authorId="186" xr:uid="{c5e41987-45de-4b90-bc24-f6baf60d16ef}" ref="AC24">
      <text>
        <t xml:space="preserve">[Threaded comment]
 Your version of Excel allows you to read this threaded comment; however, any edits to it will get removed if the file is opened in a newer version of Excel. Learn more: https://go.microsoft.com/fwlink/?linkid=870924
Comment:
	@jr.houston@trilogy.com do we have capacity for Palo Alto?
Reply:
	@patrick.francia@trilogy.com
Reply:
	25 is the minimum designation, I believe this school has capacity for more but Patrick or @brandon.gee@trilogy.com should confirm
Reply:
	Built for 25, but max student capacity according to building code is 47.
Reply:
	could you update the cell
Reply:
	I have comment only access
Reply:
	Same.
Reply:
	I put it in the cell. We have a wrike database with all these answers. Who needs access?
</t>
      </text>
    </comment>
    <comment authorId="187" xr:uid="{c7347c2a-89a0-4d12-9d58-95a48b6fc17d}" ref="AG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188" xr:uid="{c7418463-e300-44c1-a07d-6c188501aef6}" ref="F27">
      <text>
        <t xml:space="preserve">[Threaded comment]
 Your version of Excel allows you to read this threaded comment; however, any edits to it will get removed if the file is opened in a newer version of Excel. Learn more: https://go.microsoft.com/fwlink/?linkid=870924
Comment:
	@jan.dejager@trilogy.com - this should be updated to Alpha School 78521, LLC
Assigned to jan.dejager@trilogy.com
</t>
      </text>
    </comment>
    <comment authorId="189" xr:uid="{c77500f4-37c6-4d88-a9c6-b7d25d2c0969}" ref="T7">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we would need to define what this means first -- does Admissions/Marketing have a view?
Assigned to amelia.baldwin@2hourlearning.com
Reply:
	Jan will be developing the descriptors for each of these models.
Reply:
	@jan.dejager@trilogy.com - ??
Reply:
	??
</t>
      </text>
    </comment>
    <comment authorId="190" xr:uid="{c77e8466-dcc2-49f4-8053-8b575d81db47}" ref="R18">
      <text>
        <t xml:space="preserve">[Threaded comment]
 Your version of Excel allows you to read this threaded comment; however, any edits to it will get removed if the file is opened in a newer version of Excel. Learn more: https://go.microsoft.com/fwlink/?linkid=870924
Comment:
	@jan.dejager@trilogy.com Palm Beach is K-5
Reply:
	@donnie.yee@trilogy.com
</t>
      </text>
    </comment>
    <comment authorId="191" xr:uid="{c8c43a64-e3bd-407a-a26f-5c691167724a}" ref="D27">
      <text>
        <t xml:space="preserve">[Threaded comment]
 Your version of Excel allows you to read this threaded comment; however, any edits to it will get removed if the file is opened in a newer version of Excel. Learn more: https://go.microsoft.com/fwlink/?linkid=870924
Comment:
	@jan.dejager@trilogy.com - this should be updated to Alpha School 78701, LLC
Assigned to jan.dejager@trilogy.com
</t>
      </text>
    </comment>
    <comment authorId="192" xr:uid="{cb5c1358-c630-4ca5-aa48-4747704b8f7b}" ref="F9">
      <text>
        <t xml:space="preserve">[Threaded comment]
 Your version of Excel allows you to read this threaded comment; however, any edits to it will get removed if the file is opened in a newer version of Excel. Learn more: https://go.microsoft.com/fwlink/?linkid=870924
Comment:
	Brownsville has said that their legacy students don't pay for lunch. Is this accurate and is that for just this year? @andrew.jordan@trilogy.com @jan.dejager@trilogy.com
Reply:
	I have no insight into that one, unfortunately.
Reply:
	@arthur@trilogy.com Are you able to answer this?
Reply:
	@jan.dejager@trilogy.com pls advise. I’m also getting the same question as Brownsville on Nova Austin from Mackenzie. Last year did we cover lunch, and should we continue this year? @david.harpur@trilogy.com
Reply:
	Brownsville: Legacy students did not pay for lunch last year. New students beginning SY 2024 who opt to avail of the lunch program were charged $100/month. We should continue with this approach
Reply:
	@arthur@trilogy.com - we didn't run texas prep last yr, we only funded it
i will reach out to the former accountant and see if we can get an answer
but for now, i think we should default to $100/mth
Reply:
	"Brownsville: Legacy students did not pay for lunch last year. New students beginning SY 2024 who opt to avail of the lunch program were charged $100/month. We should continue with this approach"
@arthur@trilogy.com - can we continue with this approach - i.e legacy families will not pay lunch until they leave school, but new students will be charged the $100/month fee?
</t>
      </text>
    </comment>
    <comment authorId="193" xr:uid="{cd5498e9-4ef2-404f-abed-ec3e867f25c7}" ref="Q32">
      <text>
        <t xml:space="preserve">[Threaded comment]
 Your version of Excel allows you to read this threaded comment; however, any edits to it will get removed if the file is opened in a newer version of Excel. Learn more: https://go.microsoft.com/fwlink/?linkid=870924
Comment:
	David Allen-Hughes, starting week of 1.19.26.
</t>
      </text>
    </comment>
    <comment authorId="194" xr:uid="{cd5f4d26-613b-496f-9fd7-0968158932b5}" ref="J8">
      <text>
        <t xml:space="preserve">[Threaded comment]
 Your version of Excel allows you to read this threaded comment; however, any edits to it will get removed if the file is opened in a newer version of Excel. Learn more: https://go.microsoft.com/fwlink/?linkid=870924
Comment:
	Hearing different info here @jan.dejager@trilogy.com @arthur@trilogy.com
Reply:
	what diff info have you heard and from who?
Reply:
	AndrewJ stated: "Joe is providing scholarships to all kids for the first year. Goal will be to get everything setup to accept vouchers starting next year."
Can this be confirmed with AP/Joe?
Reply:
	MP directed me to @arthur@trilogy.com for final information relating to school tuition, etc.  Do we have an final update on this?
Reply:
	$0 for 2025/26 for the existing families.  We'll have to figure something out as we didn't get the charter for after.  Are you currently marketing for new students?
Reply:
	Here is information that was shared with me from the Lead Guide at the school but I have not heard Ops verification yet: "Tuition SY25-26 = fully subsidized for former TX Prep families. $5k for externally admitted/new families (that's a $10k discount in good faith that they'd use $10k voucher next SY.") Questions: 1. Is the quoted information about accurate? 2. Will the current families always have $0 tuition or only the first year?
Reply:
	@donnie.yee@trilogy.com
Reply:
	Also, with $0 tuition, I am confirming that it is $0 deposit?
Reply:
	For the $0 families (grandfathered) we will not charge them a deposit (unless we have a policy that requires a nominal deposit to claim their spot/reserve a device).
Reply:
	Are new families $5k with a deposit or no deposit?
</t>
      </text>
    </comment>
    <comment authorId="195" xr:uid="{cddb522b-9a9a-4f36-a83c-05807e32d4ae}" ref="B35">
      <text>
        <t xml:space="preserve">[Threaded comment]
 Your version of Excel allows you to read this threaded comment; however, any edits to it will get removed if the file is opened in a newer version of Excel. Learn more: https://go.microsoft.com/fwlink/?linkid=870924
Comment:
	@andrew.jordan@trilogy.com wouldn't the newest campuses have someone else assigned until they get to "sustain"?
Assigned to andrew.jordan@trilogy.com
Reply:
	Still missing some phone numbers but the emails and DRIs are up to date
</t>
      </text>
    </comment>
    <comment authorId="196" xr:uid="{ce16fedc-8c02-459d-a94f-d5294a0ddf43}" ref="V21">
      <text>
        <t xml:space="preserve">[Threaded comment]
 Your version of Excel allows you to read this threaded comment; however, any edits to it will get removed if the file is opened in a newer version of Excel. Learn more: https://go.microsoft.com/fwlink/?linkid=870924
Comment:
	TBD as soon as anyone is enrolled. @arthur@trilogy.com
Assigned to arthur@trilogy.com
</t>
      </text>
    </comment>
    <comment authorId="197" xr:uid="{cf326078-523f-4e09-92e5-9573d71a20f9}" ref="B9">
      <text>
        <t xml:space="preserve">[Threaded comment]
 Your version of Excel allows you to read this threaded comment; however, any edits to it will get removed if the file is opened in a newer version of Excel. Learn more: https://go.microsoft.com/fwlink/?linkid=870924
Comment:
	@jan.dejager@trilogy.com @david.harpur@trilogy.com @andrew.jordan@trilogy.com open question on whether we should only offer once a certain number of students are enrolled?
Assigned to jan.dejager@trilogy.com
Reply:
	How does this apply for each model? sports academy vs Alpha vs Low Cost vs sister campus
Reply:
	we need to start writing down proposals, not questions
we should write down our proposal if different from the "default" in the specific col for that school
</t>
      </text>
    </comment>
    <comment authorId="198" xr:uid="{cf8f9ed1-9c75-4bfd-be5d-6f4891faa6ca}" ref="X18">
      <text>
        <t xml:space="preserve">[Threaded comment]
 Your version of Excel allows you to read this threaded comment; however, any edits to it will get removed if the file is opened in a newer version of Excel. Learn more: https://go.microsoft.com/fwlink/?linkid=870924
Comment:
	Updated fro K-3 to K-5 @donnie.yee@trilogy.com @jan.dejager@trilogy.com
</t>
      </text>
    </comment>
    <comment authorId="199" xr:uid="{d18317e9-6699-4fe2-9022-6c269a7dcabe}" ref="AA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200" xr:uid="{d2f46a69-078c-44a3-9700-ccc501d90b4b}" ref="Y27">
      <text>
        <t xml:space="preserve">[Threaded comment]
 Your version of Excel allows you to read this threaded comment; however, any edits to it will get removed if the file is opened in a newer version of Excel. Learn more: https://go.microsoft.com/fwlink/?linkid=870924
Comment:
	I think Raleigh will be in a different entity (28212 was Charlotte).
Reply:
	@jan.dejager@trilogy.com - ?
Reply:
	new company formed today - Alpha School 27614, LLC - no EIN as disregarded entity under 2HR Learning, Inc.
Reply:
	thanks
</t>
      </text>
    </comment>
    <comment authorId="201" xr:uid="{d40f719b-1cbb-400b-935c-e3c3a3937e7d}" ref="AH23">
      <text>
        <t xml:space="preserve">[Threaded comment]
 Your version of Excel allows you to read this threaded comment; however, any edits to it will get removed if the file is opened in a newer version of Excel. Learn more: https://go.microsoft.com/fwlink/?linkid=870924
Comment:
	Vela, 150 Lake St S, Kirkland, WA 98033
</t>
      </text>
    </comment>
    <comment authorId="202" xr:uid="{d40f85b0-89d0-47cb-b92f-61ad259a5238}" ref="P34">
      <text>
        <t xml:space="preserve">[Threaded comment]
 Your version of Excel allows you to read this threaded comment; however, any edits to it will get removed if the file is opened in a newer version of Excel. Learn more: https://go.microsoft.com/fwlink/?linkid=870924
Comment:
	Michaela Bosco start date 11/17
Reply:
	@andrew.jordan@trilogy.com another one
Reply:
	Marked as resolved
Reply:
	@shannon.peifer@alpha.school these fell through?
Re-opened
</t>
      </text>
    </comment>
    <comment authorId="203" xr:uid="{d50ef862-e439-4e87-b383-703e22559317}" ref="AB2">
      <text>
        <t xml:space="preserve">[Threaded comment]
 Your version of Excel allows you to read this threaded comment; however, any edits to it will get removed if the file is opened in a newer version of Excel. Learn more: https://go.microsoft.com/fwlink/?linkid=870924
Comment:
	@jc.fischer@trilogy.com @amelia.baldwin@2hourlearning.com this should be "Alpha School Chicago" i think?
Reply:
	For Ops, yes, I believe so.  Otherwise, our comms from Marketing is that it is Alpha [Location].
</t>
      </text>
    </comment>
    <comment authorId="204" xr:uid="{d66e9732-764b-40ee-a26b-8b91acf38bff}" ref="T28">
      <text>
        <t xml:space="preserve">[Threaded comment]
 Your version of Excel allows you to read this threaded comment; however, any edits to it will get removed if the file is opened in a newer version of Excel. Learn more: https://go.microsoft.com/fwlink/?linkid=870924
Comment:
	@brian.baucher@trilogy.com @jan.dejager@trilogy.com - nothing here?
Reply:
	I am not aware of an entity created in New York yet. @jack.abolt@trilogy.com / @tina.erales@jonesspross.com - have either of you created an entity in New York?
Reply:
	NY has a nonstandard process for creating entities that operate private schools. Before the entity can be formed, the education department must give its consent. Robbie Forrest and Greg Foote have been working with Cooley on the consent request (the “21-item checklist”).
Reply:
	@jan.dejager@trilogy.com - any update here?
Reply:
	Entity not created yet. Robbie/Greg still working with NY Edu Dept as referred to above
Reply:
	Are all these legal entities and EINs up to date @jan.dejager@trilogy.com and @brian.baucher@trilogy.com ?
Reply:
	Palm Beach and Lake Forest have been created.  Added comments on those ones.  Neither have EINs as disregarded entities (they use 2HR Learning, Inc's EIN: 87-3012777)
Reply:
	@brian.baucher@trilogy.com Please add Entity names for Palm Beach and Lake Forest
Reply:
	@jan.dejager@trilogy.com - added comments for you.  I do not have edit access
</t>
      </text>
    </comment>
    <comment authorId="205" xr:uid="{d7410927-a49d-445a-b7c9-dc17d5b38aa4}" ref="T38">
      <text>
        <t xml:space="preserve">[Threaded comment]
 Your version of Excel allows you to read this threaded comment; however, any edits to it will get removed if the file is opened in a newer version of Excel. Learn more: https://go.microsoft.com/fwlink/?linkid=870924
Comment:
	@andrew.jordan@trilogy.com @kevin.kongslie@trilogy.com can this be updated?
Reply:
	@arthur@trilogy.com I updated to reflect our current position. We're going to add a 4th guard to the rotation (also armed) so we have more backup options, as well as more transportation monitor options as enrollment increases.
Reply:
	On any given day, we'll have at least two armed guards plus a third guard on campus, with a fourth as backup.
</t>
      </text>
    </comment>
    <comment authorId="206" xr:uid="{d75b544e-89a4-497a-b0e8-ebe1d4100c94}" ref="B7">
      <text>
        <t xml:space="preserve">[Threaded comment]
 Your version of Excel allows you to read this threaded comment; however, any edits to it will get removed if the file is opened in a newer version of Excel. Learn more: https://go.microsoft.com/fwlink/?linkid=870924
Comment:
	@jan.dejager@trilogy.com - can we fill out this row?
fyi
@arthur@trilogy.com
Reply:
	updated
Reply:
	what do all these mean - e.g. Speciality Budget? Speciality Standard?
also, embed a link on each to the actual school financial model g-sheet
Reply:
	@jan.dejager@trilogy.com @andrew.jordan@trilogy.com - i resolved some of the other comments on this row, but we need to address this and have definitions for each "model" in this row?
fyi
@arthur@trilogy.com
Reply:
	@andrew.jordan@trilogy.com - created wf here for input on definitions
Reply:
	is this still open?
Reply:
	- Models have been updated for each school. 
- Workflowy has been linked to Neeraj's models.
Outstanding: 
Definitions for 
- "Outdoor Academy" school
- "Montessorium" school
@andrew.jordan@trilogy.com - do you have guidance on these?
</t>
      </text>
    </comment>
    <comment authorId="207" xr:uid="{d7676c27-eaf7-4c68-85a3-2b9dac4bf40b}" ref="Q34">
      <text>
        <t xml:space="preserve">[Threaded comment]
 Your version of Excel allows you to read this threaded comment; however, any edits to it will get removed if the file is opened in a newer version of Excel. Learn more: https://go.microsoft.com/fwlink/?linkid=870924
Comment:
	Maria.Mejia begins 12/1/25
@maria.mejia@alpha.school
</t>
      </text>
    </comment>
    <comment authorId="208" xr:uid="{d8f6e416-82f9-4625-925d-dbe6913e2fc3}" ref="F7">
      <text>
        <t xml:space="preserve">[Threaded comment]
 Your version of Excel allows you to read this threaded comment; however, any edits to it will get removed if the file is opened in a newer version of Excel. Learn more: https://go.microsoft.com/fwlink/?linkid=870924
Comment:
	@stefanie.baduria@alpha.school I changed this here.
Reply:
	ya BTX is technically budgeted like an Alpha, I believe, but Paige likes to run it lean, like a low cost model bc it does charge less tuition and she's bullish to prove our model in the low cost environment (so she can build a school for gigafactory workers' kids, for example)
</t>
      </text>
    </comment>
    <comment authorId="209" xr:uid="{d949b309-96b2-4e79-a6b5-0cb93031c89c}" ref="AM2">
      <text>
        <t xml:space="preserve">[Threaded comment]
 Your version of Excel allows you to read this threaded comment; however, any edits to it will get removed if the file is opened in a newer version of Excel. Learn more: https://go.microsoft.com/fwlink/?linkid=870924
Comment:
	@arthur@trilogy.com @amelia.baldwin@alpha.school Is this not a TSA and we want to just call it Carrollton?
Reply:
	I can understand how this is confusing. This actually references an old "Alpha' school that was Carollton that was closed. Now a TSA Microschool is in Carollton.  This cell can be hidden.
</t>
      </text>
    </comment>
    <comment authorId="210" xr:uid="{d9b87c28-9e57-4afa-a99b-bf89465f14b0}" ref="Q21">
      <text>
        <t xml:space="preserve">[Threaded comment]
 Your version of Excel allows you to read this threaded comment; however, any edits to it will get removed if the file is opened in a newer version of Excel. Learn more: https://go.microsoft.com/fwlink/?linkid=870924
Comment:
	@arthur@trilogy.com August 13
Assigned to arthur@trilogy.com
</t>
      </text>
    </comment>
    <comment authorId="211" xr:uid="{d9d4a297-a3df-4946-b12b-78281bd121ed}" ref="AC23">
      <text>
        <t xml:space="preserve">[Threaded comment]
 Your version of Excel allows you to read this threaded comment; however, any edits to it will get removed if the file is opened in a newer version of Excel. Learn more: https://go.microsoft.com/fwlink/?linkid=870924
Comment:
	4260 El Camino Real, Palo Alto, CA 94306
</t>
      </text>
    </comment>
    <comment authorId="212" xr:uid="{daff9982-c018-494f-aa4a-1ac5d8a5011f}" ref="B20">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 do we have a calendar showing the session dates?
fyi
@arthur@trilogy.com
Reply:
	Calendar A: https://drive.google.com/file/d/1TTF65zOSSZB0KvIDp7w-6MnU9TQjCdky/view?usp=sharing and Calendar B: https://drive.google.com/file/d/1g13e1Rum6K-XAc92n4TOGY8GJw62p09p/view?usp=drive_link
</t>
      </text>
    </comment>
    <comment authorId="213" xr:uid="{db5da91e-0407-4a5c-8502-47c96c45dba4}" ref="K13">
      <text>
        <t xml:space="preserve">[Threaded comment]
 Your version of Excel allows you to read this threaded comment; however, any edits to it will get removed if the file is opened in a newer version of Excel. Learn more: https://go.microsoft.com/fwlink/?linkid=870924
Comment:
	Need to confirm @jan.dejager@trilogy.com
Assigned to jan.dejager@trilogy.com
Reply:
	@jan.dejager@trilogy.com @david.harpur@trilogy.com ?
Reply:
	who had the idea of the $10k discount?
Reply:
	Any discounts decisions came from Joe or MP.
</t>
      </text>
    </comment>
    <comment authorId="214" xr:uid="{dbd64a04-68b1-4ed3-bc61-9d2a601d8343}" ref="V28">
      <text>
        <t xml:space="preserve">[Threaded comment]
 Your version of Excel allows you to read this threaded comment; however, any edits to it will get removed if the file is opened in a newer version of Excel. Learn more: https://go.microsoft.com/fwlink/?linkid=870924
Comment:
	@jan.dejager@trilogy.com - this entity needed an EIN.  It is 41-3319776
Assigned to jan.dejager@trilogy.com
</t>
      </text>
    </comment>
    <comment authorId="215" xr:uid="{dc0a3277-c642-44c8-8083-1256af69849a}" ref="B33">
      <text>
        <t xml:space="preserve">[Threaded comment]
 Your version of Excel allows you to read this threaded comment; however, any edits to it will get removed if the file is opened in a newer version of Excel. Learn more: https://go.microsoft.com/fwlink/?linkid=870924
Comment:
	I believe the items linked in here should be ones that are accessible to the audience this will be shared with. It was my understanding that this spreadsheet would be shared with all locations and admissions staff. Multiple requests will come in for access to this Rippling Org Chart, which will not be permitted for those requesters. I suggest removing this Rippling link and linking to an accessible org chart that will need to be created.  @david.harpur@trilogy.com @jan.dejager@trilogy.com @arthur@trilogy.com
Reply:
	we can't we just make rippling accessible to the entire edu team?
rather than maintaining two org charts
Reply:
	My concern was the private information accessible in this visibility.  Potentially I am unclear on viewing privileges and settings for accessible information for everyone with the organization. In Rippling, each employee can be selected and personal information is visible. For non-leadership staff, I would not think this access to information was unnecessary. (Note: As it stands, this org chart is not up to date.)
Reply:
	Ben confirmed that we can limit access rights to an extent in Rippling to make sure view-only has the appropriate limitations.
I will share this sheet with him once you are happy - he will then create the users in Rippling:
https://docs.google.com/spreadsheets/d/14FhVqS1_Azr0fXfs55LeaRmUTr3MZNPIIzjhV4FaXks/edit?gid=0#gid=0
Reply:
	can this comment be closed out?
Reply:
	This lists the Head of School or Lead Guide. As agreed the other detail will not be here. Comment can be closed
</t>
      </text>
    </comment>
    <comment authorId="216" xr:uid="{de8f96d5-904b-485a-954b-8cd10bd362b0}" ref="AG23">
      <text>
        <t xml:space="preserve">[Threaded comment]
 Your version of Excel allows you to read this threaded comment; however, any edits to it will get removed if the file is opened in a newer version of Excel. Learn more: https://go.microsoft.com/fwlink/?linkid=870924
Comment:
	1169 Canton St, Roswell, GA 30075
</t>
      </text>
    </comment>
    <comment authorId="217" xr:uid="{deb6be90-9a6e-412e-9b20-242b8bf63ca5}" ref="AG18">
      <text>
        <t xml:space="preserve">[Threaded comment]
 Your version of Excel allows you to read this threaded comment; however, any edits to it will get removed if the file is opened in a newer version of Excel. Learn more: https://go.microsoft.com/fwlink/?linkid=870924
Comment:
	K-8
</t>
      </text>
    </comment>
    <comment authorId="218" xr:uid="{df9d27cf-1473-4d6a-880b-9766e5c3c52d}" ref="G32">
      <text>
        <t xml:space="preserve">[Threaded comment]
 Your version of Excel allows you to read this threaded comment; however, any edits to it will get removed if the file is opened in a newer version of Excel. Learn more: https://go.microsoft.com/fwlink/?linkid=870924
Comment:
	@heather.mcmahan@2hourlearning.com - will the BTX ADOP cover both campuses + Novas?
Assigned to heather.mcmahan@2hourlearning.com
</t>
      </text>
    </comment>
    <comment authorId="219" xr:uid="{dfac81c7-b26e-49ca-9d06-317797cd833f}" ref="O34">
      <text>
        <t xml:space="preserve">[Threaded comment]
 Your version of Excel allows you to read this threaded comment; however, any edits to it will get removed if the file is opened in a newer version of Excel. Learn more: https://go.microsoft.com/fwlink/?linkid=870924
Comment:
	@patrick.francia@trilogy.com can you track down her contact info?
Assigned to patrick.francia@trilogy.com
Reply:
	Comment only permissions - her company email is not set yet. Phone number is (503) 943-9317
Reply:
	tetiana.pierson@alpha.school
</t>
      </text>
    </comment>
    <comment authorId="220" xr:uid="{e036f244-b92e-4bca-a62b-ac5750209ec8}" ref="B14">
      <text>
        <t xml:space="preserve">[Threaded comment]
 Your version of Excel allows you to read this threaded comment; however, any edits to it will get removed if the file is opened in a newer version of Excel. Learn more: https://go.microsoft.com/fwlink/?linkid=870924
Comment:
	@amelia.baldwin@2hourlearning.com @jan.dejager@trilogy.com this is confusing.  Should be something like, Annual Tuition is reduced by 5% for each additional child enrolled. The Sibling Discount is applied to each younger student and is only applicable when more than one child in the same family is enrolled during the same School Year.
Assigned to amelia.baldwin@2hourlearning.com
Reply:
	updated
</t>
      </text>
    </comment>
    <comment authorId="221" xr:uid="{e06250d8-725d-4328-9b45-a3184e75c7a0}" ref="V27">
      <text>
        <t xml:space="preserve">[Threaded comment]
 Your version of Excel allows you to read this threaded comment; however, any edits to it will get removed if the file is opened in a newer version of Excel. Learn more: https://go.microsoft.com/fwlink/?linkid=870924
Comment:
	@jan.dejager@trilogy.com - Alpha School 92610, LLC
Assigned to jan.dejager@trilogy.com
</t>
      </text>
    </comment>
    <comment authorId="222" xr:uid="{e104a721-4e09-44e2-856c-cf1adb9a10e8}" ref="X21">
      <text>
        <t xml:space="preserve">[Threaded comment]
 Your version of Excel allows you to read this threaded comment; however, any edits to it will get removed if the file is opened in a newer version of Excel. Learn more: https://go.microsoft.com/fwlink/?linkid=870924
Comment:
	@jeremy.williams@2hourlearning.com just confirming this opening date for Charlotte please? Oct 13th? @andrew.jordan@trilogy.com
Assigned to jeremy.williams@2hourlearning.com
Reply:
	Will know after shadow day today
Reply:
	great, thanks.
</t>
      </text>
    </comment>
    <comment authorId="223" xr:uid="{e2abc837-116e-4745-9b6e-a3c1b8814429}" ref="AI21">
      <text>
        <t xml:space="preserve">[Threaded comment]
 Your version of Excel allows you to read this threaded comment; however, any edits to it will get removed if the file is opened in a newer version of Excel. Learn more: https://go.microsoft.com/fwlink/?linkid=870924
Comment:
	@jc.fischer@trilogy.com - this is Oct. 2026, right?
Reply:
	yes
Reply:
	Marked as resolved
</t>
      </text>
    </comment>
    <comment authorId="224" xr:uid="{e30573ba-08fd-4e80-8d6e-c98fe5692958}" ref="G32">
      <text>
        <t xml:space="preserve">[Threaded comment]
 Your version of Excel allows you to read this threaded comment; however, any edits to it will get removed if the file is opened in a newer version of Excel. Learn more: https://go.microsoft.com/fwlink/?linkid=870924
Comment:
	Hiring ADOP (will also cover BTX and both Novas)
Reply:
	UPDATE: Morgan Swain
</t>
      </text>
    </comment>
    <comment authorId="225" xr:uid="{e3f55b10-61fd-4a86-800a-4cdc712e2d31}" ref="U8">
      <text>
        <t xml:space="preserve">[Threaded comment]
 Your version of Excel allows you to read this threaded comment; however, any edits to it will get removed if the file is opened in a newer version of Excel. Learn more: https://go.microsoft.com/fwlink/?linkid=870924
Comment:
	Listed as $75k here
https://docs.google.com/spreadsheets/d/1NuGTuqSjg2yaa4g530cgVIK1Wh_WN6vP-VXIj0G-3SY/edit?gid=1832517803#gid=1832517803&amp;range=A20
Reply:
	SB started at 50k with 10k FF discount. NY started at 65k with 10k FF. This was stated as the rate for the first 25 students enrolled. Students are in SIS with this rate listed. @jan.dejager@trilogy.com
</t>
      </text>
    </comment>
    <comment authorId="226" xr:uid="{e5747000-d3b0-406b-aea9-3df4ded08da8}" ref="A36">
      <text>
        <t xml:space="preserve">[Threaded comment]
 Your version of Excel allows you to read this threaded comment; however, any edits to it will get removed if the file is opened in a newer version of Excel. Learn more: https://go.microsoft.com/fwlink/?linkid=870924
Comment:
	@andrew.jordan@trilogy.com @tasha.arnold@2hourlearning.com I added a new row so we can indicate the Admissions lead per campus and made some updates to the other roles as things are evolving.
Assigned to andrew.jordan@trilogy.com
</t>
      </text>
    </comment>
    <comment authorId="227" xr:uid="{e58c4e05-6206-4fac-a3cf-f1af67c2b6eb}" ref="C32">
      <text>
        <t xml:space="preserve">[Threaded comment]
 Your version of Excel allows you to read this threaded comment; however, any edits to it will get removed if the file is opened in a newer version of Excel. Learn more: https://go.microsoft.com/fwlink/?linkid=870924
Comment:
	Hiring
</t>
      </text>
    </comment>
    <comment authorId="228" xr:uid="{e609e89f-b798-4b2b-8967-940e45ecb242}" ref="W32">
      <text>
        <t xml:space="preserve">[Threaded comment]
 Your version of Excel allows you to read this threaded comment; however, any edits to it will get removed if the file is opened in a newer version of Excel. Learn more: https://go.microsoft.com/fwlink/?linkid=870924
Comment:
	Hiring ADOP
Reply:
	@jan.dejager@trilogy.com - please update
Reply:
	updated
</t>
      </text>
    </comment>
    <comment authorId="229" xr:uid="{e624c7b3-91a1-423d-9ba5-fac9f514d443}" ref="T35">
      <text>
        <t xml:space="preserve">[Threaded comment]
 Your version of Excel allows you to read this threaded comment; however, any edits to it will get removed if the file is opened in a newer version of Excel. Learn more: https://go.microsoft.com/fwlink/?linkid=870924
Comment:
	@andrew.jordan@trilogy.com this one not complete
Reply:
	Was waiting on his number. Just added.
</t>
      </text>
    </comment>
    <comment authorId="230" xr:uid="{e646a619-3bcb-4162-86e8-9c177b2ce9f6}" ref="S34">
      <text>
        <t xml:space="preserve">[Threaded comment]
 Your version of Excel allows you to read this threaded comment; however, any edits to it will get removed if the file is opened in a newer version of Excel. Learn more: https://go.microsoft.com/fwlink/?linkid=870924
Comment:
	May Dobbs start date 11/17
Reply:
	@andrew.jordan@trilogy.com pls update
</t>
      </text>
    </comment>
    <comment authorId="231" xr:uid="{e6fbe79f-4128-4472-baf0-0162b2ac32ac}" ref="E32">
      <text>
        <t xml:space="preserve">[Threaded comment]
 Your version of Excel allows you to read this threaded comment; however, any edits to it will get removed if the file is opened in a newer version of Excel. Learn more: https://go.microsoft.com/fwlink/?linkid=870924
Comment:
	This is Morgan Petek
</t>
      </text>
    </comment>
    <comment authorId="232" xr:uid="{e7c698e2-b6bd-4804-a0bf-787cf51ea184}" ref="J15">
      <text>
        <t xml:space="preserve">[Threaded comment]
 Your version of Excel allows you to read this threaded comment; however, any edits to it will get removed if the file is opened in a newer version of Excel. Learn more: https://go.microsoft.com/fwlink/?linkid=870924
Comment:
	"Joe is providing scholarships to all kids for the first year. Goal will be to get everything setup to accept vouchers starting next year."
Following up to get clarity
cc @amelia.baldwin@alpha.school
</t>
      </text>
    </comment>
    <comment authorId="233" xr:uid="{ea95a154-3ae3-4d5c-a3c7-25e22365527f}" ref="N28">
      <text>
        <t xml:space="preserve">[Threaded comment]
 Your version of Excel allows you to read this threaded comment; however, any edits to it will get removed if the file is opened in a newer version of Excel. Learn more: https://go.microsoft.com/fwlink/?linkid=870924
Comment:
	@jan.dejager@trilogy.com - 
No EIN as disregarded entity under 2HR Learning, Inc.
Assigned to jan.dejager@trilogy.com
</t>
      </text>
    </comment>
    <comment authorId="234" xr:uid="{ea9abd3c-0cf4-4e00-af20-7bdd263b0845}" ref="AH18">
      <text>
        <t xml:space="preserve">[Threaded comment]
 Your version of Excel allows you to read this threaded comment; however, any edits to it will get removed if the file is opened in a newer version of Excel. Learn more: https://go.microsoft.com/fwlink/?linkid=870924
Comment:
	K-8
</t>
      </text>
    </comment>
    <comment authorId="235" xr:uid="{ead949b5-033b-4ab6-9483-4aed726d4471}" ref="N18">
      <text>
        <t xml:space="preserve">[Threaded comment]
 Your version of Excel allows you to read this threaded comment; however, any edits to it will get removed if the file is opened in a newer version of Excel. Learn more: https://go.microsoft.com/fwlink/?linkid=870924
Comment:
	Montessorium is K-6, not 1-6
</t>
      </text>
    </comment>
    <comment authorId="236" xr:uid="{ecfc455d-2dfc-4c8b-ac32-d16f98a8005b}" ref="Q32">
      <text>
        <t xml:space="preserve">[Threaded comment]
 Your version of Excel allows you to read this threaded comment; however, any edits to it will get removed if the file is opened in a newer version of Excel. Learn more: https://go.microsoft.com/fwlink/?linkid=870924
Comment:
	Please update
David is gone - remove
new text: Hiring ADOP
</t>
      </text>
    </comment>
    <comment authorId="237" xr:uid="{ededb455-60d7-4733-9a8b-326e73d9893d}" ref="I18">
      <text>
        <t xml:space="preserve">[Threaded comment]
 Your version of Excel allows you to read this threaded comment; however, any edits to it will get removed if the file is opened in a newer version of Excel. Learn more: https://go.microsoft.com/fwlink/?linkid=870924
Comment:
	Hoping/planning to open PreK in January. @arthur@trilogy.com @donnie.yee@trilogy.com @dmitry.bakaev@trilogy.com @andrew.jordan@trilogy.com
Reply:
	Should we update (systems, site, application, Google, Niche, etc) to PK now or wait until Jan?
Reply:
	Let’s wait. GT is awaiting guide hiring and other components. This note was more of a heads up. I will be sure to note when/if it is official to update.
</t>
      </text>
    </comment>
    <comment authorId="238" xr:uid="{ee07572b-028f-4e38-be82-94616b5c57c8}" ref="D33">
      <text>
        <t xml:space="preserve">[Threaded comment]
 Your version of Excel allows you to read this threaded comment; however, any edits to it will get removed if the file is opened in a newer version of Excel. Learn more: https://go.microsoft.com/fwlink/?linkid=870924
Comment:
	@stefanie.baduria@alpha.school can you pls review this row for completeness and accuracy (and anything else you see)?
Assigned to stefanie.baduria@alpha.school
Reply:
	I think Chloe Belvin is Lead Guide (at least of AlphaX)?
</t>
      </text>
    </comment>
    <comment authorId="239" xr:uid="{f1201ac2-c125-4d68-bee7-2ee60b70b697}" ref="K13">
      <text>
        <t xml:space="preserve">[Threaded comment]
 Your version of Excel allows you to read this threaded comment; however, any edits to it will get removed if the file is opened in a newer version of Excel. Learn more: https://go.microsoft.com/fwlink/?linkid=870924
Comment:
	@david.harpur@trilogy.com @brian.baucher@trilogy.com There are two Valenta schools in Bastrop. One is a private school, the other a charter school that is seeking approval from the state. Valenta Academy is the charter school nonprofit entity. Tuition will be free. Only the private school charges tuition (or accepts ESA vouchers). I don’t know which entity operates the private school, but it is different from the charter nonprofit.
Reply:
	@jan.dejager@trilogy.com - can we address this?
Reply:
	Marked as resolved
Reply:
	is this resolved?
Re-opened
Reply:
	yes
Reply:
	No FF.  ESA can be used.
</t>
      </text>
    </comment>
    <comment authorId="240" xr:uid="{f1d6d766-2522-4884-b9ca-a64f1256b280}" ref="W21">
      <text>
        <t xml:space="preserve">[Threaded comment]
 Your version of Excel allows you to read this threaded comment; however, any edits to it will get removed if the file is opened in a newer version of Excel. Learn more: https://go.microsoft.com/fwlink/?linkid=870924
Comment:
	TBD as soon as anyone is enrolled. @arthur@trilogy.com
Assigned to arthur@trilogy.com
</t>
      </text>
    </comment>
    <comment authorId="241" xr:uid="{f22d05d9-2f37-4b67-9a50-69b16a38f160}" ref="AE2">
      <text>
        <t xml:space="preserve">[Threaded comment]
 Your version of Excel allows you to read this threaded comment; however, any edits to it will get removed if the file is opened in a newer version of Excel. Learn more: https://go.microsoft.com/fwlink/?linkid=870924
Comment:
	@donnie.yee@trilogy.com @dmitry.bakaev@trilogy.com @jan.dejager@trilogy.com @arthur@trilogy.com confirmed by @andrew.jordan@trilogy.com
Reply:
	@jc.fischer@trilogy.com @andrew.jordan@trilogy.com how are we determining what goes on this data sheet now?  Some are on here and not on the marketing site; https://alpha.school/locations/
Reply:
	Every time a school gets passed to P2, we inform P3 and Amelia. they can put it on the website whenever they want. once P2 has it, we are confident it will open.
Reply:
	Updated answer: we tell Rachel G and P3 about a school when we are confident it will open, at all, ever. Then as we gain fidelity on other info we add it in.
</t>
      </text>
    </comment>
    <comment authorId="242" xr:uid="{f23d0450-12a6-4c61-9dce-88756b4bba51}" ref="Y33">
      <text>
        <t xml:space="preserve">[Threaded comment]
 Your version of Excel allows you to read this threaded comment; however, any edits to it will get removed if the file is opened in a newer version of Excel. Learn more: https://go.microsoft.com/fwlink/?linkid=870924
Comment:
	LG being onboarded: Courtney Fenner
</t>
      </text>
    </comment>
    <comment authorId="243" xr:uid="{f3286be8-4cec-452d-8fb1-c9c5030b889b}" ref="S21">
      <text>
        <t xml:space="preserve">[Threaded comment]
 Your version of Excel allows you to read this threaded comment; however, any edits to it will get removed if the file is opened in a newer version of Excel. Learn more: https://go.microsoft.com/fwlink/?linkid=870924
Comment:
	August 13 @arthur@trilogy.com
Assigned to arthur@trilogy.com
</t>
      </text>
    </comment>
    <comment authorId="244" xr:uid="{f3730a39-0d79-4079-bdc4-6379fd01063f}" ref="AE8">
      <text>
        <t xml:space="preserve">[Threaded comment]
 Your version of Excel allows you to read this threaded comment; however, any edits to it will get removed if the file is opened in a newer version of Excel. Learn more: https://go.microsoft.com/fwlink/?linkid=870924
Comment:
	$50,000
</t>
      </text>
    </comment>
    <comment authorId="245" xr:uid="{f5ab23a8-2743-4679-acb4-c1b068e8b37f}" ref="F24">
      <text>
        <t xml:space="preserve">[Threaded comment]
 Your version of Excel allows you to read this threaded comment; however, any edits to it will get removed if the file is opened in a newer version of Excel. Learn more: https://go.microsoft.com/fwlink/?linkid=870924
Comment:
	@greg.foote@trilogy.com @jc.fischer@trilogy.com this is coming up with Heather today. She’s being told it’s 44 and they need new space as a result?
Assigned to greg.foote@trilogy.com
Reply:
	There's no matterport/floor plan. Want to get it?
There is 4471 gross (44 is the cap) and 3300 net learning (55 is the cap) from months ago. 
The calc is "the lesser of 60/student net learning or 100 gross/student."
Reply:
	I thought we were supposed to have matterport and floor plans for every school as part of our process? Yes we should pls
Reply:
	Ok then why showing 55 here? Should be 44 right?
Reply:
	well that school was built and opened beforehand. is this autho
Marked as done
Reply:
	authorization to go reimport all schools?
Re-opened
Reply:
	because I am trying to get a floorplan to actually validate it before I say it was wrong based on numbers someone remembers vs a floor plan we did our calc on
Reply:
	Yes approved
</t>
      </text>
    </comment>
    <comment authorId="246" xr:uid="{f5f71b6d-834b-4bc6-975c-1fe9d8948bc4}" ref="A38">
      <text>
        <t xml:space="preserve">[Threaded comment]
 Your version of Excel allows you to read this threaded comment; however, any edits to it will get removed if the file is opened in a newer version of Excel. Learn more: https://go.microsoft.com/fwlink/?linkid=870924
Comment:
	@andrew.jordan@trilogy.com can this row be updated with the latest status?
Assigned to andrew.jordan@trilogy.com
Reply:
	@jake.petersen@trilogy.com Can you update 13.1, 13.2, and 13.3 with the latest information?
Reassigned to jake.petersen@trilogy.com
Reply:
	Updated
</t>
      </text>
    </comment>
    <comment authorId="247" xr:uid="{f662f434-7385-41e3-a91e-fcf311f3baa1}" ref="B22">
      <text>
        <t xml:space="preserve">[Threaded comment]
 Your version of Excel allows you to read this threaded comment; however, any edits to it will get removed if the file is opened in a newer version of Excel. Learn more: https://go.microsoft.com/fwlink/?linkid=870924
Comment:
	@amelia.baldwin@alpha.school @jan.dejager@trilogy.com i automated this field based on the SIS data. given there will be discrepancies on how the data is read, i would say this is 99% accurate.
for your reference, if a student is marked as enrolled in a specific campus, then it will show up here.
sites with 0 will need to be verified because it's possible the campus is not mapped
Reply:
	Pending Review will mean that they have paid their deposit and started their forms. Enrolled will mean that all forms are completed.  Some forms have a 30 day grace period from the first day of attendance.
Reply:
	I understand, this data only shows enrolled for simplicity.
</t>
      </text>
    </comment>
    <comment authorId="248" xr:uid="{f6eae160-7545-456f-a680-563c90d7d3a3}" ref="A11">
      <text>
        <t xml:space="preserve">[Threaded comment]
 Your version of Excel allows you to read this threaded comment; however, any edits to it will get removed if the file is opened in a newer version of Excel. Learn more: https://go.microsoft.com/fwlink/?linkid=870924
Comment:
	What is this row to reference? @jan.dejager@trilogy.com
Reply:
	It is meant as a Header for the discounts 1-5 listed below. I have renumbered it to be clearer
</t>
      </text>
    </comment>
    <comment authorId="249" xr:uid="{f822075e-4bdf-4100-a921-78a600be8234}" ref="R27">
      <text>
        <t xml:space="preserve">[Threaded comment]
 Your version of Excel allows you to read this threaded comment; however, any edits to it will get removed if the file is opened in a newer version of Excel. Learn more: https://go.microsoft.com/fwlink/?linkid=870924
Comment:
	@jan.dejager@trilogy.com Alpha School 33418, LLC (please note I do not have edit access)
Assigned to jan.dejager@trilogy.com
Reply:
	Thanks!
</t>
      </text>
    </comment>
    <comment authorId="250" xr:uid="{f857b2f0-7582-4c89-ac06-edf1d9461bfe}" ref="E9">
      <text>
        <t xml:space="preserve">[Threaded comment]
 Your version of Excel allows you to read this threaded comment; however, any edits to it will get removed if the file is opened in a newer version of Excel. Learn more: https://go.microsoft.com/fwlink/?linkid=870924
Comment:
	@jan.dejager@trilogy.com @arthur@trilogy.com It was my understanding that this was included in Miami last year. Is this confirmed to be changing for the 25/26 school year?
Reply:
	The goal is to be consistent across the schools but should discuss if there's a reason not to be here.
Reply:
	updated as per email trail
</t>
      </text>
    </comment>
    <comment authorId="251" xr:uid="{f866534b-e9c3-431d-9b07-a6b18e21114b}" ref="I9">
      <text>
        <t xml:space="preserve">[Threaded comment]
 Your version of Excel allows you to read this threaded comment; however, any edits to it will get removed if the file is opened in a newer version of Excel. Learn more: https://go.microsoft.com/fwlink/?linkid=870924
Comment:
	@andrew.jordan@trilogy.com GT/TA/NextGen/Waypoint are noted as planned to have lunch at $200. Is this accurate?
Assigned to andrew.jordan@trilogy.com
Reply:
	Note from Andrew: " believe that is the intent. I am working to firm that up in the next couple of days"
Reply:
	@andrew.jordan@trilogy.com can you pls clean up these comments?
</t>
      </text>
    </comment>
    <comment authorId="252" xr:uid="{f89554fd-a20e-4683-a47c-42baa31ca674}" ref="AL27">
      <text>
        <t xml:space="preserve">[Threaded comment]
 Your version of Excel allows you to read this threaded comment; however, any edits to it will get removed if the file is opened in a newer version of Excel. Learn more: https://go.microsoft.com/fwlink/?linkid=870924
Comment:
	Alpha Anywhere is sold by local distributors in ESA states (e.g., 2hr Learning FL, Inc.).
</t>
      </text>
    </comment>
    <comment authorId="253" xr:uid="{f8d506c4-0786-4aa4-b97f-826956d344d0}" ref="V9">
      <text>
        <t xml:space="preserve">[Threaded comment]
 Your version of Excel allows you to read this threaded comment; however, any edits to it will get removed if the file is opened in a newer version of Excel. Learn more: https://go.microsoft.com/fwlink/?linkid=870924
Comment:
	@jim.liu@trilogy.com - is this correct? any reason for this?
@amelia.baldwin@alpha.school @andrew.jordan@trilogy.com
Reply:
	This was decided with Tasha, since we only had one student enrolled at the time. Is there a request to now offer lunch?
</t>
      </text>
    </comment>
    <comment authorId="254" xr:uid="{fa582fec-189b-4d50-baae-b160dc6dccd4}" ref="AG23">
      <text>
        <t xml:space="preserve">[Threaded comment]
 Your version of Excel allows you to read this threaded comment; however, any edits to it will get removed if the file is opened in a newer version of Excel. Learn more: https://go.microsoft.com/fwlink/?linkid=870924
Comment:
	Needs to be updated: 1169 Canton St, Suite 2, Roswell, GA 30075
</t>
      </text>
    </comment>
    <comment authorId="255" xr:uid="{fa6badc5-6544-46b2-8dc6-a809cb2685d7}" ref="AD23">
      <text>
        <t xml:space="preserve">[Threaded comment]
 Your version of Excel allows you to read this threaded comment; however, any edits to it will get removed if the file is opened in a newer version of Excel. Learn more: https://go.microsoft.com/fwlink/?linkid=870924
Comment:
	5201 Park Blvd, Piedmont, CA 94611
</t>
      </text>
    </comment>
    <comment authorId="256" xr:uid="{fa9563cd-a61d-43d8-9383-a838c03d79d2}" ref="X27">
      <text>
        <t xml:space="preserve">[Threaded comment]
 Your version of Excel allows you to read this threaded comment; however, any edits to it will get removed if the file is opened in a newer version of Excel. Learn more: https://go.microsoft.com/fwlink/?linkid=870924
Comment:
	This entity recently changed its name to Alpha School 28269, LLC.
Reply:
	thanks! updated
</t>
      </text>
    </comment>
    <comment authorId="257" xr:uid="{faad44f1-20d3-440e-9827-7e7879c966a9}" ref="Z19">
      <text>
        <t xml:space="preserve">[Threaded comment]
 Your version of Excel allows you to read this threaded comment; however, any edits to it will get removed if the file is opened in a newer version of Excel. Learn more: https://go.microsoft.com/fwlink/?linkid=870924
Comment:
	@amelia.baldwin@alpha.school this is invalid - roof needs to be repaired and not ready for January
Assigned to amelia.baldwin@alpha.school
Reply:
	Maybe March
</t>
      </text>
    </comment>
    <comment authorId="258" xr:uid="{fd3ee22e-ac75-49dc-ad87-cfbddc31c3bc}" ref="D32">
      <text>
        <t xml:space="preserve">[Threaded comment]
 Your version of Excel allows you to read this threaded comment; however, any edits to it will get removed if the file is opened in a newer version of Excel. Learn more: https://go.microsoft.com/fwlink/?linkid=870924
Comment:
	Hiring ADOP
Reply:
	Marked as resolved
Reply:
	ADOP: Robin Nguyen (start date 1/26)
Re-opened
Reply:
	Please update
Hired: Robin Nguyen, start date 2.2.26
</t>
      </text>
    </comment>
    <comment authorId="259" xr:uid="{fd893752-8b87-4bb5-964a-31cb35bcc8f5}" ref="I32">
      <text>
        <t xml:space="preserve">[Threaded comment]
 Your version of Excel allows you to read this threaded comment; however, any edits to it will get removed if the file is opened in a newer version of Excel. Learn more: https://go.microsoft.com/fwlink/?linkid=870924
Comment:
	Hiring ADOP
</t>
      </text>
    </comment>
    <comment authorId="260" xr:uid="{fd9c0856-ed7a-45f3-a8a0-cbb6658332cc}" ref="C33">
      <text>
        <t xml:space="preserve">[Threaded comment]
 Your version of Excel allows you to read this threaded comment; however, any edits to it will get removed if the file is opened in a newer version of Excel. Learn more: https://go.microsoft.com/fwlink/?linkid=870924
Comment:
	Braden=Head Guide Alpha Austin PreK-8.
Then there are Lead Guides per level.
Reply:
	Updated.  So yeah, maybe only Head Guides on this sheet and the Lead Guide if they don't exist (yet)?
1 total reaction
Stefanie Baduria reacted with 👍 at 2025-09-08 18:08 PM
</t>
      </text>
    </comment>
    <comment authorId="261" xr:uid="{fdd0db9b-f05e-48cd-98ea-877ba148e34e}" ref="W27">
      <text>
        <t xml:space="preserve">[Threaded comment]
 Your version of Excel allows you to read this threaded comment; however, any edits to it will get removed if the file is opened in a newer version of Excel. Learn more: https://go.microsoft.com/fwlink/?linkid=870924
Comment:
	new company formed today - Alpha School 20151, LLC - no EIN as disregarded entity under 2HR Learning, Inc.
Reply:
	thanks
</t>
      </text>
    </comment>
    <comment authorId="262" xr:uid="{ff89dfcd-8dcf-48ae-b5b6-9c682c00f98c}" ref="U24">
      <text>
        <t xml:space="preserve">[Threaded comment]
 Your version of Excel allows you to read this threaded comment; however, any edits to it will get removed if the file is opened in a newer version of Excel. Learn more: https://go.microsoft.com/fwlink/?linkid=870924
Comment:
	@jc.fischer@trilogy.com are these capacity numbers correct? I was told that Santa Barbara is 45, NYC is 125 (not 123), SF is 60 (not 45)
CC: @tasha.arnold@alpha.school
Reply:
	SF is 68. I'm currently having my team reassess each floorplan and provide correct calcs, a couple a week in between more urgent needs
Reply:
	who is telling you capacity?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Report Data
Report: A&amp;D Master Roster 24-25
Field: Enrollment__c.Full_Student_ID__c</t>
      </text>
    </comment>
    <comment authorId="0" ref="B1">
      <text>
        <t xml:space="preserve">Salesforce Report Data
Report: A&amp;D Master Roster 24-25
Field: Enrollment__c.Campus_ID__c</t>
      </text>
    </comment>
    <comment authorId="0" ref="C1">
      <text>
        <t xml:space="preserve">Salesforce Report Data
Report: A&amp;D Master Roster 24-25
Field: Contact.Student_ID__c</t>
      </text>
    </comment>
    <comment authorId="0" ref="D1">
      <text>
        <t xml:space="preserve">Salesforce Report Data
Report: A&amp;D Master Roster 24-25
Field: FIRST_NAME</t>
      </text>
    </comment>
    <comment authorId="0" ref="E1">
      <text>
        <t xml:space="preserve">Salesforce Report Data
Report: A&amp;D Master Roster 24-25
Field: Contact.Preferred_Name__c</t>
      </text>
    </comment>
    <comment authorId="0" ref="F1">
      <text>
        <t xml:space="preserve">Salesforce Report Data
Report: A&amp;D Master Roster 24-25
Field: LAST_NAME</t>
      </text>
    </comment>
    <comment authorId="0" ref="G1">
      <text>
        <t xml:space="preserve">Salesforce Report Data
Report: A&amp;D Master Roster 24-25
Field: Contact.Date_of_Birth__c</t>
      </text>
    </comment>
    <comment authorId="0" ref="H1">
      <text>
        <t xml:space="preserve">Salesforce Report Data
Report: A&amp;D Master Roster 24-25
Field: Contact.Gender__c</t>
      </text>
    </comment>
    <comment authorId="0" ref="I1">
      <text>
        <t xml:space="preserve">Salesforce Report Data
Report: A&amp;D Master Roster 24-25
Field: Contact.Current_Level__c</t>
      </text>
    </comment>
    <comment authorId="0" ref="J1">
      <text>
        <t xml:space="preserve">Salesforce Report Data
Report: A&amp;D Master Roster 24-25
Field: Contact.Current_Grade_Level__c</t>
      </text>
    </comment>
    <comment authorId="0" ref="K1">
      <text>
        <t xml:space="preserve">Salesforce Report Data
Report: A&amp;D Master Roster 24-25
Field: Contact.Student_Alpha_Email__c</t>
      </text>
    </comment>
    <comment authorId="0" ref="L1">
      <text>
        <t xml:space="preserve">Salesforce Report Data
Report: A&amp;D Master Roster 24-25
Field: Enrollment__c.Campus__c</t>
      </text>
    </comment>
    <comment authorId="0" ref="M1">
      <text>
        <t xml:space="preserve">Salesforce Report Data
Report: A&amp;D Master Roster 24-25
Field: Contact.Student_Group__c</t>
      </text>
    </comment>
    <comment authorId="0" ref="N1">
      <text>
        <t xml:space="preserve">Salesforce Report Data
Report: A&amp;D Master Roster 24-25
Field: Contact.Withdraw_Date__c</t>
      </text>
    </comment>
    <comment authorId="0" ref="O1">
      <text>
        <t xml:space="preserve">Salesforce Report Data
Report: A&amp;D Master Roster 24-25
Field: Contact.Student_Profile_URL__c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tc={0c7dfd21-baee-4d01-9a24-3d13f2866420}</author>
  </authors>
  <commentList>
    <comment authorId="0" xr:uid="{0c7dfd21-baee-4d01-9a24-3d13f2866420}" ref="D4">
      <text>
        <t xml:space="preserve">[Threaded comment]
 Your version of Excel allows you to read this threaded comment; however, any edits to it will get removed if the file is opened in a newer version of Excel. Learn more: https://go.microsoft.com/fwlink/?linkid=870924
Comment:
	@amelia.baldwin@alpha.school - what was the outcome here?
Reply:
	The expansion school team communicated this to families. From my knowledge, it was received with no issue from families.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Salesforce Report Data
Report: A&amp;D Master Roster 24-25
Field: Enrollment__c.Campus__c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tc={e1f68cb4-8ab2-45fa-84b6-64801230fe78}</author>
  </authors>
  <commentList>
    <comment authorId="0" xr:uid="{e1f68cb4-8ab2-45fa-84b6-64801230fe78}" ref="A1">
      <text>
        <t xml:space="preserve">[Threaded comment]
 Your version of Excel allows you to read this threaded comment; however, any edits to it will get removed if the file is opened in a newer version of Excel. Learn more: https://go.microsoft.com/fwlink/?linkid=870924
Comment:
	@amelia.baldwin@alpha.school - copying and hiding org detail here for now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tc={37ad6112-e285-41ac-92f2-1937b3252728}</author>
  </authors>
  <commentList>
    <comment authorId="0" xr:uid="{37ad6112-e285-41ac-92f2-1937b3252728}" ref="A26">
      <text>
        <t xml:space="preserve">[Threaded comment]
 Your version of Excel allows you to read this threaded comment; however, any edits to it will get removed if the file is opened in a newer version of Excel. Learn more: https://go.microsoft.com/fwlink/?linkid=870924
Comment:
	@joshua.rockers@trilogy.com is this tab up to date as well?  Shouldn't columns K show where we are looking to hire?
Assigned to joshua.rockers@trilogy.com
Reply:
	Or instead should we just store the guard names in the school data sheet?
Reply:
	Added 'Hiring Status' column
Reply:
	Added guard names to 'School Data' tab
</t>
      </text>
    </comment>
  </commentList>
</comments>
</file>

<file path=xl/sharedStrings.xml><?xml version="1.0" encoding="utf-8"?>
<sst xmlns="http://schemas.openxmlformats.org/spreadsheetml/2006/main" count="3261" uniqueCount="972">
  <si>
    <t>This sheet is updated periodically from DRIs that would be the source of information.</t>
  </si>
  <si>
    <t>To update information, comment on the cell with the requested changes and tag Amelia Baldwin Jan De Jager</t>
  </si>
  <si>
    <t>Changes requests will be confirmed into the sheet.</t>
  </si>
  <si>
    <t>Last known update</t>
  </si>
  <si>
    <t>Hidden</t>
  </si>
  <si>
    <t>Alpha School Austin</t>
  </si>
  <si>
    <t>Alpha High School</t>
  </si>
  <si>
    <t>Alpha School Miami</t>
  </si>
  <si>
    <t>Alpha School Brownsville</t>
  </si>
  <si>
    <t>Texas Sports Academy</t>
  </si>
  <si>
    <t>GT School</t>
  </si>
  <si>
    <t>Nova Academy Austin</t>
  </si>
  <si>
    <t>Nova Academy Bastrop</t>
  </si>
  <si>
    <t>NextGen Academy</t>
  </si>
  <si>
    <t>Waypoint Academy</t>
  </si>
  <si>
    <t>Montessorium Cedar Park</t>
  </si>
  <si>
    <t>Alpha School Scottsdale</t>
  </si>
  <si>
    <t>Alpha School Fort Worth</t>
  </si>
  <si>
    <t>Alpha School San Francisco</t>
  </si>
  <si>
    <t>Alpha School Palm Beach</t>
  </si>
  <si>
    <t>Alpha School Plano</t>
  </si>
  <si>
    <t>Alpha Anywhere Center</t>
  </si>
  <si>
    <t>Alpha School Santa Barbara</t>
  </si>
  <si>
    <t>Alpha School Lake Forest</t>
  </si>
  <si>
    <t>Alpha School Chantilly</t>
  </si>
  <si>
    <t>Alpha School Charlotte</t>
  </si>
  <si>
    <t>Alpha School Raleigh</t>
  </si>
  <si>
    <t>Alpha School Tampa</t>
  </si>
  <si>
    <t>Alpha School Dorado</t>
  </si>
  <si>
    <t>Alpha School Palo Alto</t>
  </si>
  <si>
    <t>Alpha School Piedmont</t>
  </si>
  <si>
    <t>Alpha School Santa Monica</t>
  </si>
  <si>
    <t>Alpha School Roswell</t>
  </si>
  <si>
    <t>Alpha School Kirkland</t>
  </si>
  <si>
    <t>Single-user 2hr learning</t>
  </si>
  <si>
    <t>jackie</t>
  </si>
  <si>
    <t>Default</t>
  </si>
  <si>
    <t>Alpha High School Austin</t>
  </si>
  <si>
    <t>Alpha High School Brownsville</t>
  </si>
  <si>
    <t>Alpha New York</t>
  </si>
  <si>
    <t>Alpha School Orange County</t>
  </si>
  <si>
    <t>Alpha School Chicago</t>
  </si>
  <si>
    <t>Alpha School East Bay</t>
  </si>
  <si>
    <t>Alpha School The Woodlands</t>
  </si>
  <si>
    <t>Alpha School Atlanta</t>
  </si>
  <si>
    <t>Alpha School Bradley Hills</t>
  </si>
  <si>
    <t>Alpha School Boston</t>
  </si>
  <si>
    <t>-</t>
  </si>
  <si>
    <t>Alpha Anywhere</t>
  </si>
  <si>
    <t>Carrollton</t>
  </si>
  <si>
    <t>Who to contact to confirm data</t>
  </si>
  <si>
    <t>State Details</t>
  </si>
  <si>
    <t>Texas</t>
  </si>
  <si>
    <t>Florida</t>
  </si>
  <si>
    <t>Arizona</t>
  </si>
  <si>
    <t>California</t>
  </si>
  <si>
    <r>
      <rPr>
        <rFont val="Arial"/>
        <b val="0"/>
        <i/>
        <color rgb="FFFFFFFF"/>
        <sz val="8.0"/>
      </rPr>
      <t xml:space="preserve">(branded as "Alpha" for now)
</t>
    </r>
    <r>
      <rPr>
        <rFont val="Arial"/>
        <b/>
        <color rgb="FFFFFFFF"/>
        <sz val="8.0"/>
      </rPr>
      <t>New York</t>
    </r>
  </si>
  <si>
    <t>Virginia</t>
  </si>
  <si>
    <t>North Carolina</t>
  </si>
  <si>
    <t>Puerto Rico</t>
  </si>
  <si>
    <t>Illinois</t>
  </si>
  <si>
    <t>Georgia</t>
  </si>
  <si>
    <t>Washington</t>
  </si>
  <si>
    <t>Maryland</t>
  </si>
  <si>
    <t>Boston</t>
  </si>
  <si>
    <t xml:space="preserve">Online </t>
  </si>
  <si>
    <t>Location</t>
  </si>
  <si>
    <t>Austin</t>
  </si>
  <si>
    <t>Miami</t>
  </si>
  <si>
    <t>Brownsville</t>
  </si>
  <si>
    <t>Georgetown</t>
  </si>
  <si>
    <t>Bastrop</t>
  </si>
  <si>
    <t>Dripping Springs</t>
  </si>
  <si>
    <t>Brushy Creek / Cedar Park</t>
  </si>
  <si>
    <t>Scottsdale</t>
  </si>
  <si>
    <t>Fort Worth</t>
  </si>
  <si>
    <t>San Francisco</t>
  </si>
  <si>
    <t>Palm Beach</t>
  </si>
  <si>
    <t>Plano</t>
  </si>
  <si>
    <t>New York</t>
  </si>
  <si>
    <t>Santa Barbara</t>
  </si>
  <si>
    <t>Lake Forest</t>
  </si>
  <si>
    <t>Chantilly</t>
  </si>
  <si>
    <t>Charlotte</t>
  </si>
  <si>
    <t>Raleigh</t>
  </si>
  <si>
    <t>Tampa</t>
  </si>
  <si>
    <t>Dorado</t>
  </si>
  <si>
    <t>Chicago</t>
  </si>
  <si>
    <t>Palo Alto</t>
  </si>
  <si>
    <t>Piedmont</t>
  </si>
  <si>
    <t>Santa Monica</t>
  </si>
  <si>
    <t>The Woodlands/Houston</t>
  </si>
  <si>
    <t>Roswell (Atlanta)</t>
  </si>
  <si>
    <t>Kirkland (Seattle)</t>
  </si>
  <si>
    <t>Bethseda</t>
  </si>
  <si>
    <t>Massachusetts</t>
  </si>
  <si>
    <t>Carolton</t>
  </si>
  <si>
    <t>location on website?</t>
  </si>
  <si>
    <t>https://alpha.school/locations/</t>
  </si>
  <si>
    <t>Per Default</t>
  </si>
  <si>
    <t>No</t>
  </si>
  <si>
    <t xml:space="preserve"> </t>
  </si>
  <si>
    <t>https://gt.school/</t>
  </si>
  <si>
    <t>https://novaacademy.school/</t>
  </si>
  <si>
    <t>https://nextgenacademy.school/</t>
  </si>
  <si>
    <t>https://waypointacademy.school/</t>
  </si>
  <si>
    <t>https://montessorium.com/</t>
  </si>
  <si>
    <t>Yes - location announced soon</t>
  </si>
  <si>
    <t>https://sportsacademy.school/locations</t>
  </si>
  <si>
    <t>=&gt; Location Type</t>
  </si>
  <si>
    <t>Leased from 5Y (controlled enity)</t>
  </si>
  <si>
    <t>Leased from 3rd party</t>
  </si>
  <si>
    <t>Owned by LOE</t>
  </si>
  <si>
    <t>TBD</t>
  </si>
  <si>
    <t>Leased from 3rd party
(Guidepost)</t>
  </si>
  <si>
    <t>=&gt; School Model (Proposed Idea)</t>
  </si>
  <si>
    <t>Alpha Growth</t>
  </si>
  <si>
    <t>Low Cost Model</t>
  </si>
  <si>
    <t>Sports Academy</t>
  </si>
  <si>
    <t>Gifted and Talented</t>
  </si>
  <si>
    <t>eSports</t>
  </si>
  <si>
    <t>Outdoor Academy</t>
  </si>
  <si>
    <t>Montessorium</t>
  </si>
  <si>
    <t>Alpha Microschool</t>
  </si>
  <si>
    <t>Not a 'school' - homeschool curriculum</t>
  </si>
  <si>
    <t>1. Tuition List Price</t>
  </si>
  <si>
    <t>=&gt; Tuition per Student per Year</t>
  </si>
  <si>
    <t>$10,000
Space X Subsidy: $5,000</t>
  </si>
  <si>
    <t>Tuition will be the current amount (varies by family, but &lt; 25k) for SY25/26
Tuition will be 25k for SY26/27 and beyond</t>
  </si>
  <si>
    <t>$65,000
increasing to $75,000/yr at some point (not publicly announced yet)</t>
  </si>
  <si>
    <t>$50,000
increasing to $75,000/yr at some point (not publicly announced yet)</t>
  </si>
  <si>
    <t>$10,000/year for 2HL</t>
  </si>
  <si>
    <t>2. Lunch</t>
  </si>
  <si>
    <r>
      <rPr>
        <rFont val="Arial"/>
        <sz val="8.0"/>
      </rPr>
      <t xml:space="preserve">=&gt; </t>
    </r>
    <r>
      <rPr>
        <rFont val="Arial"/>
        <color rgb="FF1155CC"/>
        <sz val="8.0"/>
        <u/>
      </rPr>
      <t>Lunch is offered at all schools</t>
    </r>
    <r>
      <rPr>
        <rFont val="Arial"/>
        <sz val="8.0"/>
      </rPr>
      <t xml:space="preserve">
=&gt; The default pricing is $200/month</t>
    </r>
  </si>
  <si>
    <t>2025/26: Included in tuition
From SY2026/27 Per Default</t>
  </si>
  <si>
    <t>Legacy students: Included in tuition
New students: $100/month</t>
  </si>
  <si>
    <t>Included/No charge - 25/26
$100/month beginning in 26/27</t>
  </si>
  <si>
    <t>Not offered for 25/26</t>
  </si>
  <si>
    <t>Not offered for 25/26
Not offered for 26/27</t>
  </si>
  <si>
    <t>N/a</t>
  </si>
  <si>
    <t>2.1 Lunch Vendor</t>
  </si>
  <si>
    <t>Sifted</t>
  </si>
  <si>
    <t>Fresh Dining Food</t>
  </si>
  <si>
    <t>Nellie's Cakes Catering</t>
  </si>
  <si>
    <t>N/A</t>
  </si>
  <si>
    <t>Urban Phoenix</t>
  </si>
  <si>
    <t>Moses SK Catering</t>
  </si>
  <si>
    <t>Made You Hungry Catering</t>
  </si>
  <si>
    <t>30 Acres Catering</t>
  </si>
  <si>
    <t>Taste Catering</t>
  </si>
  <si>
    <t>3. Discounts / Financial Aid</t>
  </si>
  <si>
    <t xml:space="preserve">    3.1 Deposit</t>
  </si>
  <si>
    <t>=&gt; The default pricing is $1,000, refundable</t>
  </si>
  <si>
    <t>$500 deposit</t>
  </si>
  <si>
    <t xml:space="preserve">    3.2 Founding family discount</t>
  </si>
  <si>
    <t>- First 25 students enrolled have $10k/yr tuition credit for 5 years from school opening year</t>
  </si>
  <si>
    <r>
      <rPr>
        <rFont val="Arial"/>
        <color rgb="FF1155CC"/>
        <sz val="8.0"/>
        <u/>
      </rPr>
      <t xml:space="preserve">- Eligible to all students with paid deposits by 8/15/2025 
</t>
    </r>
    <r>
      <rPr>
        <rFont val="Arial"/>
        <color rgb="FF000000"/>
        <sz val="8.0"/>
      </rPr>
      <t>Families who enroll by August 15, 2025, receive a $10,000 tuition credit per year per student.
Applicable for SY 2024/25 and 2025/26 only
New family members enrolling after August 15, 2025 will not receive the FF tuition credit.
The $10k discount applies every year through the 2028-29 school year (first year not offered would be 2029-2030 for clarity) for students that enrolled by August 15, 2025</t>
    </r>
  </si>
  <si>
    <r>
      <rPr>
        <rFont val="Arial"/>
        <color theme="1"/>
        <sz val="8.0"/>
      </rPr>
      <t>$10k eligible up to first 50 students enrolled. Applied for one year. (</t>
    </r>
    <r>
      <rPr>
        <rFont val="Arial"/>
        <i/>
        <color theme="1"/>
        <sz val="8.0"/>
      </rPr>
      <t>Families receive ten, $1,000 credits)</t>
    </r>
  </si>
  <si>
    <t>Joe is providing scholarships to all kids for the first year. Goal will be to get everything setup to accept vouchers starting next year.
Per MP, no new students enrolled for 25/26, only existing students at $0.</t>
  </si>
  <si>
    <t>25-26 $10,000 tuition credit in good faith for ESA vouchers</t>
  </si>
  <si>
    <t>20 scholarships @ $10k each
max. 1 year
grades 3-5 only
families w/ AGI under $150k</t>
  </si>
  <si>
    <t>Proposed on 10/14: Up to $8,000 off tuition per year (for up to 3 years, max $10,000 per year)
In exchange, families agree to:
Provide 2 qualified referrals per year (families who apply to Waypoint)
Host one small dinner or gathering per year (Waypoint will support logistics, materials, and representation)
Receive an additional $1,000 off for each referred family that enrolls at Waypoint
Re-evaluated every year</t>
  </si>
  <si>
    <t>No FF tuition credit</t>
  </si>
  <si>
    <t>$20,000, if deposited 1/7/26 and after.
Deposits before this time are $10,000</t>
  </si>
  <si>
    <t>Active Employee 30% discount</t>
  </si>
  <si>
    <t xml:space="preserve">    3.3 Sibling discount</t>
  </si>
  <si>
    <t>- Annual Tuition is reduced by 5% for each additional child enrolled. 
- The Sibling Discount is applied to each younger student and is only applicable when more than one child in the same family is enrolled during the same School Year.
- not applied for student 1</t>
  </si>
  <si>
    <t xml:space="preserve">    3.4 Merit Scholarships</t>
  </si>
  <si>
    <t>- limited and merit-based
- awarded to students who are outstanding academically/personally and Highly engaged in ambassadorship or significant school promotion efforts 
- all nominations must go through MacKenzie</t>
  </si>
  <si>
    <t xml:space="preserve">    3.5 Need-Based Financial Aid</t>
  </si>
  <si>
    <t>- An aid pool is only available when the school is operating at +$10k profit/student
- Anything else is an exception that needs to be approved by Joe/Mackenzie + Andy</t>
  </si>
  <si>
    <t xml:space="preserve">    3.6 Referral Credit</t>
  </si>
  <si>
    <t>Referring Family: $1,000 tuition credit for one year per enrolled student referred.
New Family: $1,000 tuition credit for one year per student upon enrollment.</t>
  </si>
  <si>
    <t>4. Grade Levels</t>
  </si>
  <si>
    <t>n/a</t>
  </si>
  <si>
    <t>Split
PK–5
6-8</t>
  </si>
  <si>
    <t>9–12</t>
  </si>
  <si>
    <t>K–10</t>
  </si>
  <si>
    <t>PK–8</t>
  </si>
  <si>
    <t>Grades 9-10 to start and will age up as students grow</t>
  </si>
  <si>
    <t>K-8</t>
  </si>
  <si>
    <t>Current: '5-8 
25/26 adding in 3 &amp; 4</t>
  </si>
  <si>
    <t>K-6
Remains K-6 in 26/27</t>
  </si>
  <si>
    <t>K-5</t>
  </si>
  <si>
    <t>K-9</t>
  </si>
  <si>
    <t>K-6</t>
  </si>
  <si>
    <t>5. Opening Year Planned</t>
  </si>
  <si>
    <t>Branded Alpha 2018 (added Middle School)</t>
  </si>
  <si>
    <r>
      <rPr>
        <rFont val="Arial"/>
        <color theme="1"/>
        <sz val="8.0"/>
      </rPr>
      <t xml:space="preserve">2022 </t>
    </r>
    <r>
      <rPr>
        <rFont val="Arial"/>
        <color theme="1"/>
        <sz val="8.0"/>
      </rPr>
      <t>(technically 2020)</t>
    </r>
  </si>
  <si>
    <t>Fall 2026</t>
  </si>
  <si>
    <t>Fall 2025</t>
  </si>
  <si>
    <t>Winter 2025</t>
  </si>
  <si>
    <t>Spring 2025</t>
  </si>
  <si>
    <t>Winter 2025/2026</t>
  </si>
  <si>
    <t>NA</t>
  </si>
  <si>
    <t>Winter 2026</t>
  </si>
  <si>
    <t>5.1 Calendar</t>
  </si>
  <si>
    <r>
      <rPr>
        <rFont val="Arial"/>
        <color rgb="FF1155CC"/>
        <sz val="8.0"/>
        <u/>
      </rPr>
      <t xml:space="preserve">Default: Calendar A (Aug 13 - Jun 5)
Other Option: Calendar B (Sep 3 - Jun 19)
</t>
    </r>
    <r>
      <rPr>
        <rFont val="Arial"/>
        <sz val="8.0"/>
      </rPr>
      <t xml:space="preserve">Calendar A: https://drive.google.com/file/d/1TTF65zOSSZB0KvIDp7w-6MnU9TQjCdky/view?usp=sharing
 and Calendar B: </t>
    </r>
    <r>
      <rPr>
        <rFont val="Arial"/>
        <color rgb="FF1155CC"/>
        <sz val="8.0"/>
        <u/>
      </rPr>
      <t>https://drive.google.com/file/d/1g13e1Rum6K-XAc92n4TOGY8GJw62p09p/view?usp=drive_link</t>
    </r>
  </si>
  <si>
    <t>Calendar B</t>
  </si>
  <si>
    <t>Year Round</t>
  </si>
  <si>
    <t>5.2 Latest Opening Date
(as of 11/29)</t>
  </si>
  <si>
    <t>Aug 13, Sep 3, some date in between, or TBD</t>
  </si>
  <si>
    <t>Ready as soon as anyone is enrolled</t>
  </si>
  <si>
    <t>Jan 26, 2026
Fence and fence mounted sign completed 11/18.
CO still pending</t>
  </si>
  <si>
    <t>Nov 2026 - We have told families TBD with no date expectation. Opening date will be based on securing location, announcing and enrolling families.</t>
  </si>
  <si>
    <t>Opening TBD</t>
  </si>
  <si>
    <t>TBD - need regulatory approval from school committee. When we know more, we'll share</t>
  </si>
  <si>
    <t xml:space="preserve">5.3 Confirmed Enrollments </t>
  </si>
  <si>
    <t>From Enrollment Dashboard</t>
  </si>
  <si>
    <t xml:space="preserve">santa </t>
  </si>
  <si>
    <t>6. Address</t>
  </si>
  <si>
    <t>PK-G5: 1201 Spyglass Dr, Austin, TX 78746
G6-8: 201 Colorado St, Austin, TX 78701</t>
  </si>
  <si>
    <t>201 Colorado St, Austin, TX 78701</t>
  </si>
  <si>
    <t>8000 SW 56th St, Miami, FL 33155</t>
  </si>
  <si>
    <t>591 N. Central Ave, Brownsville, TX 78521</t>
  </si>
  <si>
    <t>Hopeful to use current location (591 N Central) and secure a new location for our prek-5 but still scouting</t>
  </si>
  <si>
    <t>4402 Hudson Bend Rd, Austin, TX 78734</t>
  </si>
  <si>
    <t>2351 Westinghouse Rd, Georgetown, TX 78626</t>
  </si>
  <si>
    <t>7540 Ed Bluestein Road, Austin, Texas 78723</t>
  </si>
  <si>
    <t>Bastrop Fitness Project
303 M.L.K. Junior Dr, Bastrop, TX 78602</t>
  </si>
  <si>
    <t>13915 US-183, Austin, TX 78717</t>
  </si>
  <si>
    <t>24905 Ranch Rd 12, Dripping Springs, TX 78620</t>
  </si>
  <si>
    <t>3017 Polar Lane, Cedar Park, TX 78613</t>
  </si>
  <si>
    <t>20624 N 76th St, Scottsdale, AZ 85255</t>
  </si>
  <si>
    <t>3300 Bryant Irvin Rd, Fort Worth, TX 76109</t>
  </si>
  <si>
    <t>3741 Buchanan St, San Francisco, CA 94123</t>
  </si>
  <si>
    <t>353 Hiatt Drive, Palm Beach Gardens, FL 33418</t>
  </si>
  <si>
    <t>7220 Independence Pkwy, Plano, TX 75025</t>
  </si>
  <si>
    <t>180 Maiden Ln, New York, NY 10038</t>
  </si>
  <si>
    <t>27 E Cota St, Santa Barbara, CA 93101</t>
  </si>
  <si>
    <t>26462 Towne Centre Dr, Foothill Ranch, CA 92610</t>
  </si>
  <si>
    <t>4550 Walney Rd, Chantilly, VA 20151</t>
  </si>
  <si>
    <t>4755 Prosperity Church Rd, Charlotte, NC 28269</t>
  </si>
  <si>
    <t>12600 Spruce Tree Way, Raleigh, NC 27614</t>
  </si>
  <si>
    <t>Not Public Yet</t>
  </si>
  <si>
    <t>13.8km, Carr. PR-693
Vega Alta, PR 00692</t>
  </si>
  <si>
    <t>350 East South Water Street, Chicago, IL 60601</t>
  </si>
  <si>
    <t>4260 El Camino Real, Palo Alto, CA 94306</t>
  </si>
  <si>
    <t>5201 Park Blvd, Piedmont, CA 94611</t>
  </si>
  <si>
    <t>3002 Main St, Santa Monica, CA 90405</t>
  </si>
  <si>
    <t>1169 Canton St, Roswell, GA 30075</t>
  </si>
  <si>
    <t>Vela, 150 Lake St S, Kirkland, WA 98033</t>
  </si>
  <si>
    <t>7108 Bradley Boulevard, Bethesda, Maryland 20817</t>
  </si>
  <si>
    <t>300 Cambridge St, Boston, MA 02114</t>
  </si>
  <si>
    <t>Online</t>
  </si>
  <si>
    <t>2205 E Hebron Pkwy Carrollton, TX 75010</t>
  </si>
  <si>
    <t>6.1 Address Capacity</t>
  </si>
  <si>
    <r>
      <rPr>
        <rFont val="Arial"/>
        <color rgb="FF1155CC"/>
        <sz val="8.0"/>
        <u/>
      </rPr>
      <t>111</t>
    </r>
    <r>
      <rPr>
        <rFont val="Arial"/>
        <sz val="8.0"/>
      </rPr>
      <t xml:space="preserve"> (when all phases of construction complete)</t>
    </r>
  </si>
  <si>
    <t>55*
(verification in progress)</t>
  </si>
  <si>
    <t>80 (verification in progress)</t>
  </si>
  <si>
    <t>250* (verification in progress)
Current capacity is 25. Can Add capacity quickly</t>
  </si>
  <si>
    <t>25 (verification in progress)</t>
  </si>
  <si>
    <t>123 + 59 separate / 190 combined (GFA limit on one but NLA on other so you get more than sum when combined)</t>
  </si>
  <si>
    <t>40 (verification in progress)</t>
  </si>
  <si>
    <t>J.C. Fischer - P1</t>
  </si>
  <si>
    <t>6.2 Address County</t>
  </si>
  <si>
    <t>Travis</t>
  </si>
  <si>
    <t>Miami-Dade</t>
  </si>
  <si>
    <t>Cameron</t>
  </si>
  <si>
    <t>Williamson</t>
  </si>
  <si>
    <t>Hays</t>
  </si>
  <si>
    <t>Maricopa</t>
  </si>
  <si>
    <t>Tarrant</t>
  </si>
  <si>
    <t>San Francisco City-County</t>
  </si>
  <si>
    <t>Collin</t>
  </si>
  <si>
    <t>Orange</t>
  </si>
  <si>
    <t>Fairfax</t>
  </si>
  <si>
    <t>Mecklenburg</t>
  </si>
  <si>
    <t>Wake</t>
  </si>
  <si>
    <t>Hillsborough</t>
  </si>
  <si>
    <t>7. Accreditations</t>
  </si>
  <si>
    <t>Yes, Cognia</t>
  </si>
  <si>
    <t>PK-G5: Per Default
G6-8: Cognia 7-12 happened in 2019
NCAA (pending)</t>
  </si>
  <si>
    <t>Yes,Cognia 7-12 happened in 2019
NCAA (pending)</t>
  </si>
  <si>
    <t>Stephanie Ross Checking</t>
  </si>
  <si>
    <t>Chris Locke - Cognia</t>
  </si>
  <si>
    <t>8. Legal Entity</t>
  </si>
  <si>
    <t>Alpha School 78746, LLC</t>
  </si>
  <si>
    <t>Alpha School 78701, LLC</t>
  </si>
  <si>
    <t>Alpha School 33155, LLC</t>
  </si>
  <si>
    <t>Alpha School 78521, LLC</t>
  </si>
  <si>
    <t>Sports Academy 78734, LLC</t>
  </si>
  <si>
    <t>GT.school 78626, LLC</t>
  </si>
  <si>
    <t>2HL School 78723, LLC</t>
  </si>
  <si>
    <t>Arete Academy 78602, LLC</t>
  </si>
  <si>
    <t>Esports Academy, LLC</t>
  </si>
  <si>
    <t>Waypoint Academy 78620, LLC</t>
  </si>
  <si>
    <t>Montessorium School 78613, LLC</t>
  </si>
  <si>
    <t>Alpha School 85255, LLC</t>
  </si>
  <si>
    <t>Alpha School 76109, LLC</t>
  </si>
  <si>
    <t>Alpha School 94123, LLC</t>
  </si>
  <si>
    <t>Alpha School 33418, LLC</t>
  </si>
  <si>
    <t>Alpha School 75025, LLC</t>
  </si>
  <si>
    <t>Alpha Anywhere Center, LLC</t>
  </si>
  <si>
    <t>Alpha School 93101, LLC</t>
  </si>
  <si>
    <t>Alpha School 92610, LLC</t>
  </si>
  <si>
    <t>Alpha School 20151, LLC</t>
  </si>
  <si>
    <t>Alpha School 28269, LLC</t>
  </si>
  <si>
    <t>Alpha School 27614, LLC</t>
  </si>
  <si>
    <t xml:space="preserve">Alpha School 33624, LLC recently created
</t>
  </si>
  <si>
    <t>ALPHA SCHOOL 00692, LLC</t>
  </si>
  <si>
    <t>Alpha School 60601, LLC</t>
  </si>
  <si>
    <t>Alpha School 94306, LLC</t>
  </si>
  <si>
    <t>Alpha School 94611, LLC</t>
  </si>
  <si>
    <t>Alpha School 90405, LLC</t>
  </si>
  <si>
    <t>Sold by local distributors in ESA states (e.g., 2hr Learning FL, Inc.)</t>
  </si>
  <si>
    <t>Sports Academy 75010, LLC</t>
  </si>
  <si>
    <t>9. EIN</t>
  </si>
  <si>
    <t>87-3012777
Disregarded entity under 2HR Learning, Inc. and has not had reason to request its own EIN so disclosing 2HR Learning, Inc. EIN
87-3012777</t>
  </si>
  <si>
    <t>39-2343436
Entity has its own EIN (required for banking purposes). It is a disregarded entity under 2HR Learning Inc and will 2HR Learning's EIN for income tax purposes - 87-3012777</t>
  </si>
  <si>
    <t>87-3012777
Disregarded entity under 2HR Learning, Inc. and has not had reason to request its own EIN so disclosing 2HR Learning, Inc. EIN</t>
  </si>
  <si>
    <t>39-2389535
Entity has its own EIN (required for banking purposes). It is a disregarded entity under 2HR Learning Inc and will 2HR Learning's EIN for income tax purposes - 87-3012777</t>
  </si>
  <si>
    <t>39-2364421
Entity has its own EIN (required for banking purposes). It is a disregarded entity under 2HR Learning Inc and will 2HR Learning's EIN for income tax purposes - 87-3012777</t>
  </si>
  <si>
    <t>41-3611349</t>
  </si>
  <si>
    <t>87-3012777
Disregarded  entity under 2HR Learning, Inc. and has not had reason to request its own EIN so disclosing 2HR Learning, Inc. EIN</t>
  </si>
  <si>
    <t>No EIN as disregarded entity under 2HR Learning, Inc.</t>
  </si>
  <si>
    <t>87-3012777</t>
  </si>
  <si>
    <t>39-2435433
Entity has its own EIN (required for banking purposes). It is a disregarded entity under 2HR Learning Inc and will 2HR Learning's EIN for income tax purposes - 87-3012777</t>
  </si>
  <si>
    <t>10. NOTES</t>
  </si>
  <si>
    <t>(prev. Texas Prep, Nu Academy, Arete Austin)</t>
  </si>
  <si>
    <t>(prev. Valenta)</t>
  </si>
  <si>
    <t>11. External Scholarships</t>
  </si>
  <si>
    <t>Step Up: Rejected
FES-UA: reject</t>
  </si>
  <si>
    <t>STO: Accepted</t>
  </si>
  <si>
    <t>NCSEAA ESA+ - reject
Requires appointment of CPA for independent review</t>
  </si>
  <si>
    <t>12.1 Head of School</t>
  </si>
  <si>
    <t>Heather McMahan (HoS)</t>
  </si>
  <si>
    <t>Chris Locke (HoS)</t>
  </si>
  <si>
    <t>Tasha Arnold (HoS)</t>
  </si>
  <si>
    <t>Paige Fults (HoS)</t>
  </si>
  <si>
    <t>Chris Locke (HoS)?</t>
  </si>
  <si>
    <t>Dr. Laura Mazer (HoS)</t>
  </si>
  <si>
    <t>Jeremy Williams (DoP until Launch)</t>
  </si>
  <si>
    <t>12.15 Dean of Parents / Associate DoP</t>
  </si>
  <si>
    <t>Heather McMahan (DoP)</t>
  </si>
  <si>
    <t>Hiring ADoP</t>
  </si>
  <si>
    <t>Allyson Dudich (ADoP)</t>
  </si>
  <si>
    <t>Crystal Dorsey (DoP)</t>
  </si>
  <si>
    <t>Andy Gibson (DoP)
Hiring (ADoP)</t>
  </si>
  <si>
    <t>David Allen-Hughes</t>
  </si>
  <si>
    <t>Kirsten Berg (ADoP)</t>
  </si>
  <si>
    <t>Andy Gibson (ADoP)</t>
  </si>
  <si>
    <t>Hiring ADOP</t>
  </si>
  <si>
    <t>Scott Cody (ADoP)</t>
  </si>
  <si>
    <t>Shannon Guse (ADoP)</t>
  </si>
  <si>
    <t>Cifford Smith (ADoP)</t>
  </si>
  <si>
    <t>Stephanie Dean (ADoP)</t>
  </si>
  <si>
    <t>Hiring</t>
  </si>
  <si>
    <t>Kellie Mowll. Start date 3.2.2026</t>
  </si>
  <si>
    <t>Joe Marone</t>
  </si>
  <si>
    <t>12.2 Head Guide (Lead Guide if no HG)</t>
  </si>
  <si>
    <t>Org chart</t>
  </si>
  <si>
    <t>PK-8: Braden Pomerantz (HG)</t>
  </si>
  <si>
    <t>Chris Locke (LG HS)
Chloe Belvin (LG Alpha X)</t>
  </si>
  <si>
    <t>Josh Lezmi (HG)</t>
  </si>
  <si>
    <t>Morgan Swain (LG)</t>
  </si>
  <si>
    <t>Paige Fults? or Morgan Swain?</t>
  </si>
  <si>
    <t>Kelvin Childress (LG)</t>
  </si>
  <si>
    <t>Crystal Cybulski (LG)</t>
  </si>
  <si>
    <t>Malu Delgado (LG)</t>
  </si>
  <si>
    <t>Ashley Storms (LG)</t>
  </si>
  <si>
    <t>Beau Sydes (LG)</t>
  </si>
  <si>
    <t>Bryan Gordon (LG)</t>
  </si>
  <si>
    <t>Dr. Matt Bateman, Director of Academics
Anna Smiley (LG)</t>
  </si>
  <si>
    <t>Matt Shenker (LG)</t>
  </si>
  <si>
    <t>Samantha DePalo (LG)</t>
  </si>
  <si>
    <t>Carson Lehmann (LG)</t>
  </si>
  <si>
    <t>Allie Bradian (LG)</t>
  </si>
  <si>
    <t>Vanessa Watson (LG)</t>
  </si>
  <si>
    <t>Ben Gordon-Sniffen (LG)</t>
  </si>
  <si>
    <t>Drew Casebier (LG)</t>
  </si>
  <si>
    <t>Alexis Wilson (LG)</t>
  </si>
  <si>
    <t>Linnie Kazer (LG)</t>
  </si>
  <si>
    <t>Timothy Berry (LG)</t>
  </si>
  <si>
    <t>Courtney Fenner (LG)</t>
  </si>
  <si>
    <t>David Beaton (LG)</t>
  </si>
  <si>
    <t>Phil Perkins (LG)</t>
  </si>
  <si>
    <t>12.3 Facilities - Campus Coordinator or CC / Admissions Hybrid</t>
  </si>
  <si>
    <r>
      <rPr>
        <rFont val="Arial"/>
        <color theme="1"/>
        <sz val="8.0"/>
      </rPr>
      <t xml:space="preserve">Shannon Peifer (CC)
shannon.peifer@alpha.school
(813) 389-0593
</t>
    </r>
    <r>
      <rPr>
        <rFont val="Arial"/>
        <i/>
        <color rgb="FF980000"/>
        <sz val="8.0"/>
      </rPr>
      <t xml:space="preserve">(also lead for </t>
    </r>
    <r>
      <rPr>
        <rFont val="Arial"/>
        <b/>
        <i/>
        <color rgb="FF980000"/>
        <sz val="8.0"/>
      </rPr>
      <t>$25k+ schools</t>
    </r>
    <r>
      <rPr>
        <rFont val="Arial"/>
        <i/>
        <color rgb="FF980000"/>
        <sz val="8.0"/>
      </rPr>
      <t>)</t>
    </r>
  </si>
  <si>
    <t>Ian Huggins
ian.huggins@alpha.school
start date 12.8.25
(512) 240-2694</t>
  </si>
  <si>
    <t>Need to hire CC
Must be fluent in Spanish
Phone TBD</t>
  </si>
  <si>
    <r>
      <rPr>
        <rFont val="Arial"/>
        <color theme="1"/>
        <sz val="8.0"/>
      </rPr>
      <t xml:space="preserve">Kathrine Ledesma
kathrine.ledesma@alpha.school
(956) 230-6648
</t>
    </r>
    <r>
      <rPr>
        <rFont val="Arial"/>
        <i/>
        <color rgb="FF980000"/>
        <sz val="8.0"/>
      </rPr>
      <t xml:space="preserve">(Hybrid-Admissions, also lead for </t>
    </r>
    <r>
      <rPr>
        <rFont val="Arial"/>
        <b/>
        <i/>
        <color rgb="FF980000"/>
        <sz val="8.0"/>
      </rPr>
      <t>&lt;$25k schools</t>
    </r>
    <r>
      <rPr>
        <rFont val="Arial"/>
        <i/>
        <color rgb="FF980000"/>
        <sz val="8.0"/>
      </rPr>
      <t>)</t>
    </r>
  </si>
  <si>
    <t>Cyndie Jensen
cyndie.jensen@sportsacademy.school
(512) 387-1295</t>
  </si>
  <si>
    <t>Keith Wong 
keith.wong@2hourlearning.com
(972) 375-1622</t>
  </si>
  <si>
    <t>Hiring CC
(512) 686-8580</t>
  </si>
  <si>
    <t>Not Yet
(512) 360-8502</t>
  </si>
  <si>
    <t>Christopher Ahrens
christopher.ahrens@esports.school
(571) 645-9825</t>
  </si>
  <si>
    <t>Natasha Lince
natasha.lince@alpha.school
(956) 292-5092</t>
  </si>
  <si>
    <t>Hiring CC/Admissions
Montessori Background Highly Desired
(512) 686-7923</t>
  </si>
  <si>
    <t>Tetiana Vozniuk
tetiana.pierson@alpha.school
(503) 943-9317</t>
  </si>
  <si>
    <t>Michaela Bosco (11/17 start date)
michaela.bosco@alpha.school
(817) 330-9327</t>
  </si>
  <si>
    <t>Maria Mejia
maria.mejia@alpha.school
(415) 286-5034</t>
  </si>
  <si>
    <t>Hiring CC/Admissions
No Special Requirements
(561) 203-5791</t>
  </si>
  <si>
    <t>May Dobbs (11/17 start date)
may.dobbs@alpha.school
(972) 246-8783</t>
  </si>
  <si>
    <t>Julianne Braime (start date 11/24)
(646) 363-6678</t>
  </si>
  <si>
    <t>Kele Mkpado
kelechi.mkpado@alpha.school
(805) 500-6972</t>
  </si>
  <si>
    <t>Jackie Chan
jackie.chan@alpha.school
(949) 229-1238</t>
  </si>
  <si>
    <t>Hiring CC/Admissions
Special Requirements: Needs to be employed by GP and complete addtl background check &amp; TB test.
(703) 348-7385</t>
  </si>
  <si>
    <t>Jenna York
jenna.york@alpha.school
(704) 247-7355</t>
  </si>
  <si>
    <t>Baile Grant bailiemustard@gmail.com
2/2/26 Start Date
(919) 213-0133</t>
  </si>
  <si>
    <t>Not Yet
(813) 388-8473</t>
  </si>
  <si>
    <t>Not Yet</t>
  </si>
  <si>
    <t xml:space="preserve">12.4 Campus Readiness - Ops Lead </t>
  </si>
  <si>
    <t>EDU Roles RACI &amp; Escalation Matrix</t>
  </si>
  <si>
    <t xml:space="preserve">Aaron Crute 
aaron.crute@trilogy.com      
(404) 449-5043     </t>
  </si>
  <si>
    <t>Tara Stephenson
tara.stephenson@trilogy.com
(704) 974-1413</t>
  </si>
  <si>
    <t>Randall Grant randall.grant@trilogy.com      
(850) 212-6957</t>
  </si>
  <si>
    <t>Sam Anderson
sam.anderson@trilogy.com
(317) 753 - 9863
Paternity Leave Coverage: Kevin Kongslie</t>
  </si>
  <si>
    <t>Sam Anderson
sam.anderson@trilogy.com
(317) 753 - 9863
Paternity Leave Coverage: Randall Grant</t>
  </si>
  <si>
    <t>Jake Petersen
jake.petersen@trilogy.com 
(712) 309-1377</t>
  </si>
  <si>
    <t>Kevin Kongslie
kevin.kongslie@trilogy.com
(609) 933-6838</t>
  </si>
  <si>
    <t>JR Houston
jr.houston@trilogy.com
(321) 890 - 5650</t>
  </si>
  <si>
    <t>12.5 Admissions Lead</t>
  </si>
  <si>
    <t>Cara Wilkinson (AD)</t>
  </si>
  <si>
    <t xml:space="preserve">Bianca De La Riva (AD)
bianca.delariva@alpha.school </t>
  </si>
  <si>
    <t>Kathrine Ledesma (CC)
kathrine.ledesma@alpha.school</t>
  </si>
  <si>
    <t xml:space="preserve">Kathrine Ledesma (CC)
kathrine.ledesma@alpha.school
</t>
  </si>
  <si>
    <t>Amelia Dansby (AD)</t>
  </si>
  <si>
    <t>Kim Rodriguez (ADoP)</t>
  </si>
  <si>
    <t>Laura Mazer (HoS)</t>
  </si>
  <si>
    <t>Alyssa Duncan (AD)</t>
  </si>
  <si>
    <t>Nancy Wisniewski Torvund (AD)</t>
  </si>
  <si>
    <t>Nancy Torvund - Admission Director
Zara Raheem - Admissions Associate
zara.raheem@alpha.school
(646 ) 732-8244</t>
  </si>
  <si>
    <t>Clifford Smith (ADoP)</t>
  </si>
  <si>
    <t>Morgan Petek (ADoP)</t>
  </si>
  <si>
    <t>13.1 Security Tier</t>
  </si>
  <si>
    <t>Security Tiering Work Unit</t>
  </si>
  <si>
    <t>Tier 2</t>
  </si>
  <si>
    <t>Tier 1</t>
  </si>
  <si>
    <t>Tier 3</t>
  </si>
  <si>
    <t>13.2 Guard Status</t>
  </si>
  <si>
    <t>Armed: 1
Unarmed: 0</t>
  </si>
  <si>
    <t>Armed: 2
Unarmed: 1</t>
  </si>
  <si>
    <r>
      <rPr>
        <rFont val="Arial"/>
        <color theme="1"/>
        <sz val="8.0"/>
      </rPr>
      <t>Armed: 2 
Unarmed: 0</t>
    </r>
    <r>
      <rPr>
        <rFont val="Arial"/>
        <i/>
        <color theme="1"/>
        <sz val="8.0"/>
      </rPr>
      <t xml:space="preserve"> 
</t>
    </r>
    <r>
      <rPr>
        <rFont val="Arial"/>
        <color rgb="FFCC0000"/>
        <sz val="8.0"/>
      </rPr>
      <t>3rd Guard pending</t>
    </r>
  </si>
  <si>
    <t>Armed: 0
Unarmed: 1</t>
  </si>
  <si>
    <t xml:space="preserve">Armed: 0
Unarmed: 1
</t>
  </si>
  <si>
    <r>
      <rPr>
        <rFont val="Arial"/>
        <color theme="1"/>
        <sz val="8.0"/>
      </rPr>
      <t>Armed: 3
Unarmed: 0</t>
    </r>
    <r>
      <rPr>
        <rFont val="Arial"/>
        <b/>
        <i/>
        <color theme="1"/>
        <sz val="8.0"/>
      </rPr>
      <t xml:space="preserve">
</t>
    </r>
    <r>
      <rPr>
        <rFont val="Arial"/>
        <i/>
        <color theme="1"/>
        <sz val="8.0"/>
      </rPr>
      <t>Norely Castaño &amp; Sugey Castillo &amp; Rodney Velez (Armed)</t>
    </r>
  </si>
  <si>
    <t>Armed: 0
Unarmed: 2</t>
  </si>
  <si>
    <t>13.3 Guard Contact Info</t>
  </si>
  <si>
    <t>Primary:
Dan Emerson - (716) 220-4927
Secondary (Backup): 
Josh Folmer - (512) 809-5494</t>
  </si>
  <si>
    <t>Primary: 
Jamison Adler - (608) 440-4619
Secondary (Backup): 
Lloyd Carroll - (559) 273-1100</t>
  </si>
  <si>
    <t>Frank Mason (Armed) - (347) 714 0691
 Angel Bello (UA) - (786) 239-0256
Malcolm Styles (Armed) - (305) 582-3828</t>
  </si>
  <si>
    <t>Manuel Mancha - 956-266-8635</t>
  </si>
  <si>
    <t>Rodrick Piper - (512) 968 2875
Samuel Santana - (737) 291 2810</t>
  </si>
  <si>
    <t>Jesus Menchaca - (737) 389-4071</t>
  </si>
  <si>
    <t>Robert Peterson (UA) - (904) 762-6915</t>
  </si>
  <si>
    <t>Donald Thomas (UA) - (817) 899 2058</t>
  </si>
  <si>
    <t>Akwame Muhammad</t>
  </si>
  <si>
    <t>Norely Castaño (Armed) - (347) 675-5288‬
Sugey Castillo - (718) 838-4043
Rodney Velez (929) 391-0537</t>
  </si>
  <si>
    <t>Avraam Berezin (UA): (818) 421-3947
Chris Kahler (UA): (805) 819-8462</t>
  </si>
  <si>
    <t>Rashad Talwed: 571-275-9486</t>
  </si>
  <si>
    <t>Jon Evans (214) 440-9118</t>
  </si>
  <si>
    <t>14. Facilities Quality Bar</t>
  </si>
  <si>
    <t>Debby Lichtner</t>
  </si>
  <si>
    <t>Cyndie Jensen</t>
  </si>
  <si>
    <t>Steve Weir</t>
  </si>
  <si>
    <t>15.1 Number of Buildings</t>
  </si>
  <si>
    <r>
      <rPr>
        <rFont val="Arial"/>
        <color theme="1"/>
        <sz val="8.0"/>
      </rPr>
      <t xml:space="preserve">3 
</t>
    </r>
    <r>
      <rPr>
        <rFont val="Arial"/>
        <i/>
        <color theme="1"/>
        <sz val="8.0"/>
      </rPr>
      <t>(1 school, 2 storage buildings)</t>
    </r>
  </si>
  <si>
    <r>
      <rPr>
        <rFont val="Arial"/>
        <color theme="1"/>
        <sz val="8.0"/>
      </rPr>
      <t xml:space="preserve">4
</t>
    </r>
    <r>
      <rPr>
        <rFont val="Arial"/>
        <i/>
        <color theme="1"/>
        <sz val="8.0"/>
      </rPr>
      <t>(1 school building, 3 temp portable buildings - per lease)</t>
    </r>
  </si>
  <si>
    <r>
      <rPr>
        <rFont val="Arial"/>
        <color theme="1"/>
        <sz val="8.0"/>
      </rPr>
      <t xml:space="preserve">3 
</t>
    </r>
    <r>
      <rPr>
        <rFont val="Arial"/>
        <i/>
        <color theme="1"/>
        <sz val="8.0"/>
      </rPr>
      <t>(2 yurts, 1 storage shed)</t>
    </r>
  </si>
  <si>
    <t>NA - Location Needed</t>
  </si>
  <si>
    <t xml:space="preserve">15.2 Square Footage of Property </t>
  </si>
  <si>
    <r>
      <rPr>
        <rFont val="Arial"/>
        <color theme="1"/>
        <sz val="8.0"/>
      </rPr>
      <t xml:space="preserve">69,822 sq ft 
</t>
    </r>
    <r>
      <rPr>
        <rFont val="Arial"/>
        <i/>
        <color theme="1"/>
        <sz val="8.0"/>
      </rPr>
      <t>(1.6029 acres per deed)</t>
    </r>
  </si>
  <si>
    <r>
      <rPr>
        <rFont val="Arial"/>
        <color theme="1"/>
        <sz val="8.0"/>
      </rPr>
      <t xml:space="preserve">69,696 sq ft
</t>
    </r>
    <r>
      <rPr>
        <rFont val="Arial"/>
        <i/>
        <color theme="1"/>
        <sz val="8.0"/>
      </rPr>
      <t>(1.6 acre per LoopNet)</t>
    </r>
  </si>
  <si>
    <r>
      <rPr>
        <rFont val="Arial"/>
        <color theme="1"/>
        <sz val="8.0"/>
      </rPr>
      <t xml:space="preserve">65,340 sq ft
</t>
    </r>
    <r>
      <rPr>
        <rFont val="Arial"/>
        <i/>
        <color theme="1"/>
        <sz val="8.0"/>
      </rPr>
      <t>(1.5 acres per lease)</t>
    </r>
  </si>
  <si>
    <r>
      <rPr>
        <rFont val="Arial"/>
        <color theme="1"/>
        <sz val="8.0"/>
      </rPr>
      <t xml:space="preserve">0.343 Acres
</t>
    </r>
    <r>
      <rPr>
        <rFont val="Arial"/>
        <i/>
        <color theme="1"/>
        <sz val="8.0"/>
      </rPr>
      <t>(per tax records)</t>
    </r>
  </si>
  <si>
    <r>
      <rPr>
        <rFont val="Arial"/>
        <color theme="1"/>
        <sz val="8.0"/>
      </rPr>
      <t xml:space="preserve">124,582 sq ft 
</t>
    </r>
    <r>
      <rPr>
        <rFont val="Arial"/>
        <i/>
        <color theme="1"/>
        <sz val="8.0"/>
      </rPr>
      <t>(2.86 acres per site plans)</t>
    </r>
  </si>
  <si>
    <t>3.3 acres per LoopNet</t>
  </si>
  <si>
    <t>2.71 acres per LoopNet</t>
  </si>
  <si>
    <r>
      <rPr>
        <rFont val="Arial"/>
        <color theme="1"/>
        <sz val="8.0"/>
      </rPr>
      <t xml:space="preserve">10,457 sq ft
</t>
    </r>
    <r>
      <rPr>
        <rFont val="Arial"/>
        <i/>
        <color theme="1"/>
        <sz val="8.0"/>
      </rPr>
      <t>(per lease)</t>
    </r>
  </si>
  <si>
    <t>1.1 acres per LoopNet</t>
  </si>
  <si>
    <r>
      <rPr>
        <rFont val="Arial"/>
        <color theme="1"/>
        <sz val="8.0"/>
      </rPr>
      <t xml:space="preserve">588,060 sq ft
</t>
    </r>
    <r>
      <rPr>
        <rFont val="Arial"/>
        <i/>
        <color theme="1"/>
        <sz val="8.0"/>
      </rPr>
      <t>(13.5 acres per lease)</t>
    </r>
  </si>
  <si>
    <t xml:space="preserve">        1.23 Acres per LoopNet</t>
  </si>
  <si>
    <r>
      <rPr>
        <rFont val="Arial"/>
        <color theme="1"/>
        <sz val="8.0"/>
      </rPr>
      <t xml:space="preserve">174,240 sq ft
</t>
    </r>
    <r>
      <rPr>
        <rFont val="Arial"/>
        <i/>
        <color theme="1"/>
        <sz val="8.0"/>
      </rPr>
      <t>(4 Acre per Loop Net)</t>
    </r>
  </si>
  <si>
    <r>
      <rPr>
        <rFont val="Arial"/>
        <color theme="1"/>
        <sz val="8.0"/>
      </rPr>
      <t xml:space="preserve">470,801 sq ft
</t>
    </r>
    <r>
      <rPr>
        <rFont val="Arial"/>
        <i/>
        <color theme="1"/>
        <sz val="8.0"/>
      </rPr>
      <t>(10.808 acres per site plan)</t>
    </r>
  </si>
  <si>
    <r>
      <rPr>
        <rFont val="Arial"/>
        <color theme="1"/>
        <sz val="8.0"/>
      </rPr>
      <t xml:space="preserve">9,699 sq ft
</t>
    </r>
    <r>
      <rPr>
        <rFont val="Arial"/>
        <i/>
        <color theme="1"/>
        <sz val="8.0"/>
      </rPr>
      <t>(per LoopNet)</t>
    </r>
  </si>
  <si>
    <r>
      <rPr>
        <rFont val="Arial"/>
        <color theme="1"/>
        <sz val="8.0"/>
      </rPr>
      <t xml:space="preserve">64,904 sq ft
</t>
    </r>
    <r>
      <rPr>
        <rFont val="Arial"/>
        <i/>
        <color theme="1"/>
        <sz val="8.0"/>
      </rPr>
      <t>(1.49 acre per LoopNet)</t>
    </r>
  </si>
  <si>
    <r>
      <rPr>
        <rFont val="Arial"/>
        <color theme="1"/>
        <sz val="8.0"/>
      </rPr>
      <t xml:space="preserve">89,734 sq ft
</t>
    </r>
    <r>
      <rPr>
        <rFont val="Arial"/>
        <i/>
        <color theme="1"/>
        <sz val="8.0"/>
      </rPr>
      <t>(2.06 Acre per LoopNet)</t>
    </r>
  </si>
  <si>
    <r>
      <rPr>
        <rFont val="Arial"/>
        <color theme="1"/>
        <sz val="8.0"/>
      </rPr>
      <t xml:space="preserve">1,200,000 sq ft
</t>
    </r>
    <r>
      <rPr>
        <rFont val="Arial"/>
        <i/>
        <color theme="1"/>
        <sz val="8.0"/>
      </rPr>
      <t>(Per LoopNet)</t>
    </r>
  </si>
  <si>
    <t>0.81 AC per LoopNet</t>
  </si>
  <si>
    <t>1.26 AC per LoopNet</t>
  </si>
  <si>
    <r>
      <rPr>
        <rFont val="Arial"/>
        <color theme="1"/>
        <sz val="8.0"/>
      </rPr>
      <t xml:space="preserve">154,638 sq ft
</t>
    </r>
    <r>
      <rPr>
        <rFont val="Arial"/>
        <i/>
        <color theme="1"/>
        <sz val="8.0"/>
      </rPr>
      <t>(3.55 Acres per LoopNet)</t>
    </r>
  </si>
  <si>
    <t xml:space="preserve">	4.67 Acres per LoopNet</t>
  </si>
  <si>
    <t xml:space="preserve">        1.45 Acres per LoopNet</t>
  </si>
  <si>
    <t>15.3 Square Footage of Buildings</t>
  </si>
  <si>
    <t>20,047 sq ft</t>
  </si>
  <si>
    <t>22,000 sq ft (per lease)</t>
  </si>
  <si>
    <t>30,000 sq ft</t>
  </si>
  <si>
    <r>
      <rPr>
        <rFont val="Arial"/>
        <color theme="1"/>
        <sz val="8.0"/>
      </rPr>
      <t xml:space="preserve">4417 sq ft
</t>
    </r>
    <r>
      <rPr>
        <rFont val="Arial"/>
        <i/>
        <color theme="1"/>
        <sz val="8.0"/>
      </rPr>
      <t>(Tax Records)</t>
    </r>
  </si>
  <si>
    <t>18,000 sq ft</t>
  </si>
  <si>
    <t>12,664 sq ft</t>
  </si>
  <si>
    <t>8,261 sq ft</t>
  </si>
  <si>
    <t>680 sq ft</t>
  </si>
  <si>
    <t>5,569 sq ft</t>
  </si>
  <si>
    <r>
      <rPr>
        <rFont val="Arial"/>
        <color theme="1"/>
        <sz val="8.0"/>
      </rPr>
      <t xml:space="preserve">748 sq ft
</t>
    </r>
    <r>
      <rPr>
        <rFont val="Arial"/>
        <i/>
        <color theme="1"/>
        <sz val="8.0"/>
      </rPr>
      <t>(2 x 314 sq ft +1 x 120 sq ft)</t>
    </r>
  </si>
  <si>
    <t>14,462 sq ft
(whole building per LoopNet)</t>
  </si>
  <si>
    <t>20600 sq ft 
(per LoopNet)</t>
  </si>
  <si>
    <t>1,320 sq ft</t>
  </si>
  <si>
    <t>8,099 sq ft</t>
  </si>
  <si>
    <t>13,000 sq ft
(whole building per LoopNet)</t>
  </si>
  <si>
    <t>2,002 sq ft</t>
  </si>
  <si>
    <t>15,350 sq ft</t>
  </si>
  <si>
    <t>13,820 sq ft</t>
  </si>
  <si>
    <t>6,124 sq ft</t>
  </si>
  <si>
    <t>24,820 sq ft</t>
  </si>
  <si>
    <t>17,018 sq ft
(whole building)</t>
  </si>
  <si>
    <t>1,480 sq ft</t>
  </si>
  <si>
    <t>15.4 Additional Attributes (Fields, Playscapes)</t>
  </si>
  <si>
    <t>1 playscape</t>
  </si>
  <si>
    <t>1 playscape
1 field</t>
  </si>
  <si>
    <t>2 fields 
1 court</t>
  </si>
  <si>
    <t>1 field: 1,415 sq ft
3 playscapes:
Playscape 1: 545 sq ft
Playscape 2: 2,673 sq ft
Playscape 3: 1,275 sq ft
(per landscape design)</t>
  </si>
  <si>
    <t>1 playcape
1 field</t>
  </si>
  <si>
    <t>1 field</t>
  </si>
  <si>
    <t>1 playscape
1 basketball court
1 field</t>
  </si>
  <si>
    <t>1 playscape
2 fields</t>
  </si>
  <si>
    <t>2 playscapes
1 field</t>
  </si>
  <si>
    <t>2 Playscapes</t>
  </si>
  <si>
    <t>15.5 Wheelchair Accessibility</t>
  </si>
  <si>
    <t>Yes</t>
  </si>
  <si>
    <t>Yes for main campus buildings, but no elevator for upper floors or basement</t>
  </si>
  <si>
    <t>Yes for main campus via back ramp. Has an upstairs that isn't accessible</t>
  </si>
  <si>
    <t>Not wheelchair accessible</t>
  </si>
  <si>
    <t>JR Houston</t>
  </si>
  <si>
    <t>Not wheelchair accessible. Our unit is in the basement level</t>
  </si>
  <si>
    <t>New School Patrick Francia</t>
  </si>
  <si>
    <t>Patrick Francia</t>
  </si>
  <si>
    <t>15.6 Lease Details</t>
  </si>
  <si>
    <t>Aug 1, 2029. If LL grants renewal option (18mo before expiration), we must give written notice at least 12 months before expiration date. Can renew for 5 more years.</t>
  </si>
  <si>
    <t>Own</t>
  </si>
  <si>
    <t>July 1, 2028. Right to negotiation a Renewal Option at any time</t>
  </si>
  <si>
    <t>GP - ongoing</t>
  </si>
  <si>
    <t>June 30, 2026. Right to negotiate Renewal Option at any time</t>
  </si>
  <si>
    <t>July 14, 2030. Option to renew must be provided at least 9 months and less than 12 months prior to expiration date.</t>
  </si>
  <si>
    <t>2035. Last day of calendar month immediately following the 10th anniversary of the Rent Commencement date (unclear when this is based on lease, but lease was signed June 5, 2025). Option to renew 5 more years with at least 12 months' notice.</t>
  </si>
  <si>
    <t>July 20, 2026. Renewal is available upon written mutual agreement at least 90 days prior to expiration.</t>
  </si>
  <si>
    <t>July 31, 2027. Option to renew for one year with at least 90 days' notice.</t>
  </si>
  <si>
    <t xml:space="preserve">July 31, 2027. Option to extend for another 12 months with at least 3 months' notice. </t>
  </si>
  <si>
    <t>July 31, 2027. Option to renew up to 5 more years with at least 90 days' notice</t>
  </si>
  <si>
    <t xml:space="preserve">Estimated to be Nov 3, 2027. 24 months after Commencement Date, which was not explicitly stated, but implied to be 7 days after execution of the lease which was Oct 27, 2025. Two options to extend for 12 months each with at least 3 months' notice. </t>
  </si>
  <si>
    <t xml:space="preserve">July 31, 2027. Option to renew for 1 more year with at least 90 days' notice. </t>
  </si>
  <si>
    <t>16.1 WiFI passwords (Network name - Password)</t>
  </si>
  <si>
    <t>AlphaStaff - StaffSecure@Alpha
AlphaStudent - StudyHard@Alpha
AlphaGuest - Welcome@Alpha</t>
  </si>
  <si>
    <t>TSA Staff - StaffSecure@TSA
TSA Student - StudyHard@TSA
TSA Guest - Welcome@TSA</t>
  </si>
  <si>
    <t>GT Staff - StaffSecure@GT
GT Student - StudyHard@GT
GT Guest - Welcome@GT</t>
  </si>
  <si>
    <t>Nova Staff - StaffSecure@Nova
Nova Student - StudyHard@Nova
Nova Guest - Welcome@Nova</t>
  </si>
  <si>
    <t>Waypoint Staff	  StaffSecure@Waypoint
Waypoint Student - StudyHard@Waypoint
Waypoint Guest - Welcome@Waypoint</t>
  </si>
  <si>
    <t xml:space="preserve">Square Footage of Property </t>
  </si>
  <si>
    <t>Number of Buildings</t>
  </si>
  <si>
    <t>Square Footage of Buildings</t>
  </si>
  <si>
    <t>Additional Attributes (Fields, Playscapes)</t>
  </si>
  <si>
    <r>
      <rPr>
        <rFont val="Arial"/>
        <color theme="1"/>
        <sz val="8.0"/>
      </rPr>
      <t xml:space="preserve">69,822 sq ft 
</t>
    </r>
    <r>
      <rPr>
        <rFont val="Arial"/>
        <i/>
        <color theme="1"/>
        <sz val="8.0"/>
      </rPr>
      <t>(1.6029 acres per deed)</t>
    </r>
  </si>
  <si>
    <r>
      <rPr>
        <rFont val="Arial"/>
        <color theme="1"/>
        <sz val="8.0"/>
      </rPr>
      <t xml:space="preserve">69,696 sq ft
</t>
    </r>
    <r>
      <rPr>
        <rFont val="Arial"/>
        <i/>
        <color theme="1"/>
        <sz val="8.0"/>
      </rPr>
      <t>(1.6 acre per LoopNet)</t>
    </r>
  </si>
  <si>
    <r>
      <rPr>
        <rFont val="Arial"/>
        <color theme="1"/>
        <sz val="8.0"/>
      </rPr>
      <t xml:space="preserve">65,340 sq ft
</t>
    </r>
    <r>
      <rPr>
        <rFont val="Arial"/>
        <i/>
        <color theme="1"/>
        <sz val="8.0"/>
      </rPr>
      <t>(1.5 acres per lease)</t>
    </r>
  </si>
  <si>
    <r>
      <rPr>
        <rFont val="Arial"/>
        <color theme="1"/>
        <sz val="8.0"/>
      </rPr>
      <t xml:space="preserve">3 
</t>
    </r>
    <r>
      <rPr>
        <rFont val="Arial"/>
        <i/>
        <color theme="1"/>
        <sz val="8.0"/>
      </rPr>
      <t>(1 school, 2 storage buildings)</t>
    </r>
  </si>
  <si>
    <r>
      <rPr>
        <rFont val="Arial"/>
        <color theme="1"/>
        <sz val="8.0"/>
      </rPr>
      <t xml:space="preserve">0.343 Acres
</t>
    </r>
    <r>
      <rPr>
        <rFont val="Arial"/>
        <i/>
        <color theme="1"/>
        <sz val="8.0"/>
      </rPr>
      <t>(per tax records)</t>
    </r>
  </si>
  <si>
    <r>
      <rPr>
        <rFont val="Arial"/>
        <color theme="1"/>
        <sz val="8.0"/>
      </rPr>
      <t xml:space="preserve">4417 sq ft
</t>
    </r>
    <r>
      <rPr>
        <rFont val="Arial"/>
        <i/>
        <color theme="1"/>
        <sz val="8.0"/>
      </rPr>
      <t>(Tax Records)</t>
    </r>
  </si>
  <si>
    <r>
      <rPr>
        <rFont val="Arial"/>
        <color theme="1"/>
        <sz val="8.0"/>
      </rPr>
      <t xml:space="preserve">124,582 sq ft 
</t>
    </r>
    <r>
      <rPr>
        <rFont val="Arial"/>
        <i/>
        <color theme="1"/>
        <sz val="8.0"/>
      </rPr>
      <t>(2.86 acres per site plans)</t>
    </r>
  </si>
  <si>
    <r>
      <rPr>
        <rFont val="Arial"/>
        <color theme="1"/>
        <sz val="8.0"/>
      </rPr>
      <t xml:space="preserve">4
</t>
    </r>
    <r>
      <rPr>
        <rFont val="Arial"/>
        <i/>
        <color theme="1"/>
        <sz val="8.0"/>
      </rPr>
      <t>(1 school building, 3 temp portable buildings - per lease)</t>
    </r>
  </si>
  <si>
    <r>
      <rPr>
        <rFont val="Arial"/>
        <color theme="1"/>
        <sz val="8.0"/>
      </rPr>
      <t xml:space="preserve">10,457 sq ft
</t>
    </r>
    <r>
      <rPr>
        <rFont val="Arial"/>
        <i/>
        <color theme="1"/>
        <sz val="8.0"/>
      </rPr>
      <t>(per lease)</t>
    </r>
  </si>
  <si>
    <r>
      <rPr>
        <rFont val="Arial"/>
        <color theme="1"/>
        <sz val="8.0"/>
      </rPr>
      <t xml:space="preserve">588,060 sq ft
</t>
    </r>
    <r>
      <rPr>
        <rFont val="Arial"/>
        <i/>
        <color theme="1"/>
        <sz val="8.0"/>
      </rPr>
      <t>(13.5 acres per lease)</t>
    </r>
  </si>
  <si>
    <r>
      <rPr>
        <rFont val="Arial"/>
        <color theme="1"/>
        <sz val="8.0"/>
      </rPr>
      <t xml:space="preserve">3 
</t>
    </r>
    <r>
      <rPr>
        <rFont val="Arial"/>
        <i/>
        <color theme="1"/>
        <sz val="8.0"/>
      </rPr>
      <t>(2 yurts, 1 storage shed)</t>
    </r>
  </si>
  <si>
    <r>
      <rPr>
        <rFont val="Arial"/>
        <color theme="1"/>
        <sz val="8.0"/>
      </rPr>
      <t xml:space="preserve">748 sq ft
</t>
    </r>
    <r>
      <rPr>
        <rFont val="Arial"/>
        <i/>
        <color theme="1"/>
        <sz val="8.0"/>
      </rPr>
      <t>(2 x 314 sq ft +1 x 120 sq ft)</t>
    </r>
  </si>
  <si>
    <r>
      <rPr>
        <rFont val="Arial"/>
        <color theme="1"/>
        <sz val="8.0"/>
      </rPr>
      <t xml:space="preserve">174,240 sq ft
</t>
    </r>
    <r>
      <rPr>
        <rFont val="Arial"/>
        <i/>
        <color theme="1"/>
        <sz val="8.0"/>
      </rPr>
      <t>(4 Acre per Loop Net)</t>
    </r>
  </si>
  <si>
    <r>
      <rPr>
        <rFont val="Arial"/>
        <color theme="1"/>
        <sz val="8.0"/>
      </rPr>
      <t xml:space="preserve">470,801 sq ft
</t>
    </r>
    <r>
      <rPr>
        <rFont val="Arial"/>
        <i/>
        <color theme="1"/>
        <sz val="8.0"/>
      </rPr>
      <t>(10.808 acres per site plan)</t>
    </r>
  </si>
  <si>
    <r>
      <rPr>
        <rFont val="Arial"/>
        <color theme="1"/>
        <sz val="8.0"/>
      </rPr>
      <t xml:space="preserve">9,699 sq ft
</t>
    </r>
    <r>
      <rPr>
        <rFont val="Arial"/>
        <i/>
        <color theme="1"/>
        <sz val="8.0"/>
      </rPr>
      <t>(per LoopNet)</t>
    </r>
  </si>
  <si>
    <r>
      <rPr>
        <rFont val="Arial"/>
        <color theme="1"/>
        <sz val="8.0"/>
      </rPr>
      <t xml:space="preserve">64,904 sq ft
</t>
    </r>
    <r>
      <rPr>
        <rFont val="Arial"/>
        <i/>
        <color theme="1"/>
        <sz val="8.0"/>
      </rPr>
      <t>(1.49 acre per LoopNet)</t>
    </r>
  </si>
  <si>
    <r>
      <rPr>
        <rFont val="Arial"/>
        <color theme="1"/>
        <sz val="8.0"/>
      </rPr>
      <t xml:space="preserve">89,734 sq ft
</t>
    </r>
    <r>
      <rPr>
        <rFont val="Arial"/>
        <i/>
        <color theme="1"/>
        <sz val="8.0"/>
      </rPr>
      <t>(2.06 Acre per LoopNet)</t>
    </r>
  </si>
  <si>
    <r>
      <rPr>
        <rFont val="Arial"/>
        <color theme="1"/>
        <sz val="8.0"/>
      </rPr>
      <t xml:space="preserve">1,200,000 sq ft
</t>
    </r>
    <r>
      <rPr>
        <rFont val="Arial"/>
        <i/>
        <color theme="1"/>
        <sz val="8.0"/>
      </rPr>
      <t>(Per LoopNet)</t>
    </r>
  </si>
  <si>
    <r>
      <rPr>
        <rFont val="Arial"/>
        <color theme="1"/>
        <sz val="8.0"/>
      </rPr>
      <t xml:space="preserve">154,638 sq ft
</t>
    </r>
    <r>
      <rPr>
        <rFont val="Arial"/>
        <i/>
        <color theme="1"/>
        <sz val="8.0"/>
      </rPr>
      <t>(3.55 Acres per LoopNet)</t>
    </r>
  </si>
  <si>
    <t>Alpha School Houston</t>
  </si>
  <si>
    <t>Houston</t>
  </si>
  <si>
    <t>Location not cleared</t>
  </si>
  <si>
    <t>Zone: 52,000 sq ft
D1: 1,500 sq ft</t>
  </si>
  <si>
    <t>Alpha School Orlando</t>
  </si>
  <si>
    <t>Orlando</t>
  </si>
  <si>
    <t>PK-G5: 1201 Spyglass Dr, Austin, TX 78746
G6-8: 200 Colorado St, Austin, TX 78701</t>
  </si>
  <si>
    <t>591 N. Central Ave, Brownsville, TX</t>
  </si>
  <si>
    <t>Dripipng Springs</t>
  </si>
  <si>
    <t xml:space="preserve">24905 Ranch Rd 12, Dripping Springs, TX 78620
</t>
  </si>
  <si>
    <t>Alpha School New York</t>
  </si>
  <si>
    <t>5252 Ehrlich Rd, Tampa, FL 33624</t>
  </si>
  <si>
    <t>Full Student ID</t>
  </si>
  <si>
    <t>Campus ID</t>
  </si>
  <si>
    <t>Student ID</t>
  </si>
  <si>
    <t>First Name</t>
  </si>
  <si>
    <t>Preferred Name</t>
  </si>
  <si>
    <t>Last Name</t>
  </si>
  <si>
    <t>Date of Birth</t>
  </si>
  <si>
    <t>Gender</t>
  </si>
  <si>
    <t>Current Level</t>
  </si>
  <si>
    <t>Current Grade Level</t>
  </si>
  <si>
    <t>Student Alpha Email</t>
  </si>
  <si>
    <t>Campus</t>
  </si>
  <si>
    <t>Student Group</t>
  </si>
  <si>
    <t>Withdraw Date</t>
  </si>
  <si>
    <t>Student Portfolio URL</t>
  </si>
  <si>
    <t>Full Name</t>
  </si>
  <si>
    <t>Level</t>
  </si>
  <si>
    <t>Level Value</t>
  </si>
  <si>
    <t>Advisor</t>
  </si>
  <si>
    <t>Advisor Email</t>
  </si>
  <si>
    <t>Grade</t>
  </si>
  <si>
    <t>Language</t>
  </si>
  <si>
    <t>Map Accomodations</t>
  </si>
  <si>
    <t>Admission Status</t>
  </si>
  <si>
    <t>#</t>
  </si>
  <si>
    <t>Comment</t>
  </si>
  <si>
    <t>Notes</t>
  </si>
  <si>
    <t>Arete Academy</t>
  </si>
  <si>
    <t>Confirm Tuition/Scholarships for yr 1 and 2</t>
  </si>
  <si>
    <t>Amelia has emailed MP for this response</t>
  </si>
  <si>
    <t>Microschools: lunch</t>
  </si>
  <si>
    <t>Advertised as "including lunch". Agree on way forward and communication to families already enrolled</t>
  </si>
  <si>
    <t>This has been completed. - Amelia</t>
  </si>
  <si>
    <t>Waypoint and Westlake</t>
  </si>
  <si>
    <t>Edu Team - Rippling</t>
  </si>
  <si>
    <t>2nd tab</t>
  </si>
  <si>
    <t>Program</t>
  </si>
  <si>
    <t>1. Enrolled 2024-2025</t>
  </si>
  <si>
    <t>2. Graduating</t>
  </si>
  <si>
    <t>3. Re-Enrollment Declined</t>
  </si>
  <si>
    <t>4. Pending Re-Enrollment</t>
  </si>
  <si>
    <t>5. Re-Enrolling for next year</t>
  </si>
  <si>
    <t>6. New Students</t>
  </si>
  <si>
    <t>7. Confirmed Future Enrollment</t>
  </si>
  <si>
    <t>Delta</t>
  </si>
  <si>
    <t>Opening Date</t>
  </si>
  <si>
    <t>Total</t>
  </si>
  <si>
    <t>Austin K-8</t>
  </si>
  <si>
    <t>Acton Academy West Austin</t>
  </si>
  <si>
    <t>Alpha Miami</t>
  </si>
  <si>
    <t>Alpha Fort Worth</t>
  </si>
  <si>
    <t>Brownsville K-8</t>
  </si>
  <si>
    <t>Strata</t>
  </si>
  <si>
    <t>Alpha Miami Summer School 2025</t>
  </si>
  <si>
    <t>GT School: Georgetown TX</t>
  </si>
  <si>
    <t>Alpha New York City</t>
  </si>
  <si>
    <t>Alpha Santa Barbara</t>
  </si>
  <si>
    <t>NextGen Afterschool Tutoring Austin</t>
  </si>
  <si>
    <t>Alpha Scottsdale</t>
  </si>
  <si>
    <t>Alpha SF</t>
  </si>
  <si>
    <t>Alpha Tampa</t>
  </si>
  <si>
    <t>Alpha West Palm Beach</t>
  </si>
  <si>
    <t>Centner Academy</t>
  </si>
  <si>
    <t>Colearn Academy</t>
  </si>
  <si>
    <t>Development Sandbox _test_</t>
  </si>
  <si>
    <t>Esports Academy: Austin</t>
  </si>
  <si>
    <t>German - Texan Heritage Society</t>
  </si>
  <si>
    <t>Guide School</t>
  </si>
  <si>
    <t>Havruta Learning Pod: Austin TX</t>
  </si>
  <si>
    <t>High School SAT Prep</t>
  </si>
  <si>
    <t>Irvington High School</t>
  </si>
  <si>
    <t>ISEE Prep</t>
  </si>
  <si>
    <t>Kairos Learning Solutions</t>
  </si>
  <si>
    <t>Learn and Earn Poland</t>
  </si>
  <si>
    <t>Alpha School Bethesda</t>
  </si>
  <si>
    <t>Limitless Education - Malawi</t>
  </si>
  <si>
    <t>Alpha School Malibu</t>
  </si>
  <si>
    <t>Lipscomb Academy Accelerate</t>
  </si>
  <si>
    <t>Alpha School Puerto Rico</t>
  </si>
  <si>
    <t>Living Water Elementary</t>
  </si>
  <si>
    <t>Alpha Folsom</t>
  </si>
  <si>
    <t>Carrolton</t>
  </si>
  <si>
    <t>Novatio</t>
  </si>
  <si>
    <t>One Hope Academy</t>
  </si>
  <si>
    <t>School In The Hills</t>
  </si>
  <si>
    <t>Sports Academy: Lakeway</t>
  </si>
  <si>
    <t>The Magellan International School</t>
  </si>
  <si>
    <t>The St. James Performance Academy</t>
  </si>
  <si>
    <t>Unbound Academy</t>
  </si>
  <si>
    <t>Vita High School</t>
  </si>
  <si>
    <t>Details</t>
  </si>
  <si>
    <t>Alpha Austin (PK4–5)</t>
  </si>
  <si>
    <t>Alpha Austin (6-8)</t>
  </si>
  <si>
    <t>Alpha Austin High School (9–12)</t>
  </si>
  <si>
    <t>Alpha Brownsville</t>
  </si>
  <si>
    <r>
      <rPr>
        <rFont val="Arial"/>
        <b/>
        <color rgb="FFFFFFFF"/>
        <sz val="8.0"/>
      </rPr>
      <t xml:space="preserve">Arete Academy (ah-ret-ee) 
</t>
    </r>
    <r>
      <rPr>
        <rFont val="Arial"/>
        <b/>
        <i/>
        <color rgb="FFFFFFFF"/>
        <sz val="6.0"/>
      </rPr>
      <t>(prev. Texas Prep, Nu Academy)</t>
    </r>
  </si>
  <si>
    <t>GT</t>
  </si>
  <si>
    <t>TSA</t>
  </si>
  <si>
    <t>Next Gen</t>
  </si>
  <si>
    <t xml:space="preserve">Valenta </t>
  </si>
  <si>
    <t>WayPoint Academy</t>
  </si>
  <si>
    <t>Westlake</t>
  </si>
  <si>
    <t>Alpha Bethesda</t>
  </si>
  <si>
    <t>Alpha Charlotte</t>
  </si>
  <si>
    <t>Alpha Chantilly</t>
  </si>
  <si>
    <t>Alpha Lake Forest</t>
  </si>
  <si>
    <t>Alpha Palm Beach</t>
  </si>
  <si>
    <t>Alpha Plano</t>
  </si>
  <si>
    <t>Alpha Puerto Rico</t>
  </si>
  <si>
    <t>Alpha Raleigh</t>
  </si>
  <si>
    <t>Alpha Houston</t>
  </si>
  <si>
    <t>Alpha Malibu</t>
  </si>
  <si>
    <t>Alpha Orlando</t>
  </si>
  <si>
    <t>Bronwsville</t>
  </si>
  <si>
    <t>Bethesda</t>
  </si>
  <si>
    <t>Folsom</t>
  </si>
  <si>
    <t>Malibu</t>
  </si>
  <si>
    <t>Confirmed as of 6/18/25
Approval from Andy and MacKenzie required before initial share</t>
  </si>
  <si>
    <t>Leased: Ind</t>
  </si>
  <si>
    <t>Guidepost</t>
  </si>
  <si>
    <t>Athletic Facility: CERA</t>
  </si>
  <si>
    <t>=&gt; School Model</t>
  </si>
  <si>
    <t>Standard</t>
  </si>
  <si>
    <t>Budget</t>
  </si>
  <si>
    <t xml:space="preserve">Specialty Budget </t>
  </si>
  <si>
    <t>Specialty Standard</t>
  </si>
  <si>
    <t>Specialty Sports Academy</t>
  </si>
  <si>
    <t xml:space="preserve">Specialty Standard </t>
  </si>
  <si>
    <t>Specialty Budget or Specialty Standard</t>
  </si>
  <si>
    <t>White Glove Model</t>
  </si>
  <si>
    <t>High-end Microschool</t>
  </si>
  <si>
    <t>Standard Microschool</t>
  </si>
  <si>
    <t>Previous School - No Longer Open</t>
  </si>
  <si>
    <t>1. Tuition</t>
  </si>
  <si>
    <t>$15,000/year - Private 24/25 &amp; 25/26
  Expected Charter Status 26/27</t>
  </si>
  <si>
    <t>$65,000/yr
(planning to take to 75k but not publicly announced yet)</t>
  </si>
  <si>
    <t>$50,000/yr
(planning to take to 75k but not publicly announced yet)</t>
  </si>
  <si>
    <t>=&gt; Lunch is offered at all schools
=&gt; Lunch should breakeven (revenue = cost)
=&gt; The default pricing is $200/month</t>
  </si>
  <si>
    <t>$100/month</t>
  </si>
  <si>
    <t>If provided, $200/month</t>
  </si>
  <si>
    <t xml:space="preserve">    3.1 Founding family discount</t>
  </si>
  <si>
    <t xml:space="preserve">- Eligible to all students with paid deposits by 8/15/2025 </t>
  </si>
  <si>
    <t>Joe is providing scholarships to all kids for the first year. Goal will be to get everything setup to accept vouchers starting next year.</t>
  </si>
  <si>
    <t>$10k eligible up to first 50 students enrolled. Applied for one year.</t>
  </si>
  <si>
    <t>-10k credit for 25/26 only
-Beginning 26/27, enrollees can use an ESA credit for 10k or pay 15k if you don't have an ESA</t>
  </si>
  <si>
    <t xml:space="preserve">    3.2 Sibling discount</t>
  </si>
  <si>
    <t>- Annual Tuition is reduced by 5% for each additional child enrolled. 
- The Sibling Discount is applied to each younger student and is only applicable when more than one child in the same family is enrolled during the same School Year.
- not applied for sibling 1</t>
  </si>
  <si>
    <t xml:space="preserve">    3.3 Merit Scholarships</t>
  </si>
  <si>
    <t xml:space="preserve">    3.4 Need-Based Financial Aid</t>
  </si>
  <si>
    <t xml:space="preserve">    3.5 Referral Credit</t>
  </si>
  <si>
    <t>PK4–5</t>
  </si>
  <si>
    <t>K–12</t>
  </si>
  <si>
    <t>K-3</t>
  </si>
  <si>
    <t>5. Opening Year</t>
  </si>
  <si>
    <r>
      <rPr>
        <rFont val="Arial"/>
        <color theme="1"/>
        <sz val="8.0"/>
      </rPr>
      <t xml:space="preserve">2022 </t>
    </r>
    <r>
      <rPr>
        <rFont val="Arial"/>
        <color theme="1"/>
        <sz val="8.0"/>
      </rPr>
      <t>(technically 2020)</t>
    </r>
  </si>
  <si>
    <t>Opening Fall 2025</t>
  </si>
  <si>
    <t>Opening Fall 2026</t>
  </si>
  <si>
    <t>Opening Fall 2027</t>
  </si>
  <si>
    <t>1201 Spyglass Dr, Austin, TX 78746</t>
  </si>
  <si>
    <t>200 Colorado St, Austin, TX 78701</t>
  </si>
  <si>
    <t>303 M.L.K. junior Dr, Bastrop, TX 78602</t>
  </si>
  <si>
    <t>180 Maiden Ln, New York, NY</t>
  </si>
  <si>
    <t>7. 2025-2026 Start and End Dates</t>
  </si>
  <si>
    <t>School Start and End Date</t>
  </si>
  <si>
    <t>8. School Leadership</t>
  </si>
  <si>
    <t xml:space="preserve">    8.1 Head of School</t>
  </si>
  <si>
    <t>Chris Locke</t>
  </si>
  <si>
    <t>Paige Fults</t>
  </si>
  <si>
    <t>Alex Kiser - Primary</t>
  </si>
  <si>
    <t>Tasha Arnold</t>
  </si>
  <si>
    <t>Lead: Joe Marone</t>
  </si>
  <si>
    <t xml:space="preserve">    8.2 Dean of Parents</t>
  </si>
  <si>
    <t>Tim Eyerman</t>
  </si>
  <si>
    <t>Jeremy Williams</t>
  </si>
  <si>
    <t xml:space="preserve">    8.3 Lead Guide</t>
  </si>
  <si>
    <t>Chloe Belvin</t>
  </si>
  <si>
    <t xml:space="preserve">Malu Delgado </t>
  </si>
  <si>
    <t>Braden Pomerantz</t>
  </si>
  <si>
    <t>Beau Sydes</t>
  </si>
  <si>
    <t>Ashley Storms</t>
  </si>
  <si>
    <t>Bryan Gordon</t>
  </si>
  <si>
    <t>Ben Gordon-Sniffen</t>
  </si>
  <si>
    <t>Drew Casebier</t>
  </si>
  <si>
    <t>Sam DePalo</t>
  </si>
  <si>
    <t>Matt Schenker</t>
  </si>
  <si>
    <t>Christina Romero</t>
  </si>
  <si>
    <t>Eric Salgado</t>
  </si>
  <si>
    <t>David Beaton</t>
  </si>
  <si>
    <t xml:space="preserve">    8.4 Campus Coordinator</t>
  </si>
  <si>
    <t>Shannon</t>
  </si>
  <si>
    <t>Nate</t>
  </si>
  <si>
    <t>Kathrine Ledesma</t>
  </si>
  <si>
    <t>To be hired</t>
  </si>
  <si>
    <t xml:space="preserve">    8.5 Admissions Director</t>
  </si>
  <si>
    <t>Amelia Baldwin</t>
  </si>
  <si>
    <t>Jamal Gross</t>
  </si>
  <si>
    <t xml:space="preserve">    8.6 Admissions Associate</t>
  </si>
  <si>
    <t>Julia Grant</t>
  </si>
  <si>
    <t>Amelia Dansby</t>
  </si>
  <si>
    <t xml:space="preserve">    8.7  Admissions Email Address</t>
  </si>
  <si>
    <t>admissions.austin@alpha.school</t>
  </si>
  <si>
    <t>admissions.austinhigh@alpha.school</t>
  </si>
  <si>
    <t>admissions.brownsville@alpha.school</t>
  </si>
  <si>
    <t>admissions.miami@alpha.school</t>
  </si>
  <si>
    <t>admissions@sportsacademy.school</t>
  </si>
  <si>
    <t>admissions@nextgenacademy.school</t>
  </si>
  <si>
    <t>admissions.newyork@alpha.school</t>
  </si>
  <si>
    <t>admissions.santabarbara@alpha.school</t>
  </si>
  <si>
    <t>admissions.charlotte@alpha.school</t>
  </si>
  <si>
    <t>admissions.chantilly@alpha.school</t>
  </si>
  <si>
    <t>admissions.folsom@alpha.school</t>
  </si>
  <si>
    <t>admissions.fortworth@alpha.school</t>
  </si>
  <si>
    <t>admissions.lakeforest@alpha.school</t>
  </si>
  <si>
    <t>admissions.westpalmbeach@alpha.school</t>
  </si>
  <si>
    <t>admissions.plano@alpha.school</t>
  </si>
  <si>
    <t>admissions.raleigh@alpha.school</t>
  </si>
  <si>
    <t>admissions.scottsdale@alpha.school</t>
  </si>
  <si>
    <t>admissions.orlando@alpha.school</t>
  </si>
  <si>
    <t>admissions.tampa@alpha.school</t>
  </si>
  <si>
    <t>13. Accreditations</t>
  </si>
  <si>
    <t>14. Legal Entity</t>
  </si>
  <si>
    <t>Legacy of Education, Inc. dba Alpha</t>
  </si>
  <si>
    <t>Alpha 33155, LLC</t>
  </si>
  <si>
    <t>Valenta Academy</t>
  </si>
  <si>
    <t>Alpha School 28212, LLC</t>
  </si>
  <si>
    <t>15. EIN</t>
  </si>
  <si>
    <t>81-3550377</t>
  </si>
  <si>
    <t>39-2343436</t>
  </si>
  <si>
    <t>39-2364421</t>
  </si>
  <si>
    <t>39-2389535</t>
  </si>
  <si>
    <t>33-1820502</t>
  </si>
  <si>
    <t>39-2435433</t>
  </si>
  <si>
    <t>ALL Campuses</t>
  </si>
  <si>
    <r>
      <rPr>
        <rFont val="Arial"/>
        <b/>
        <color rgb="FFFFFFFF"/>
        <sz val="8.0"/>
      </rPr>
      <t xml:space="preserve">Arete Academy (ah-ret-ee) 
</t>
    </r>
    <r>
      <rPr>
        <rFont val="Arial"/>
        <b/>
        <i/>
        <color rgb="FFFFFFFF"/>
        <sz val="6.0"/>
      </rPr>
      <t>(prev. Texas Prep, Nu Academy)</t>
    </r>
  </si>
  <si>
    <t>Austin, Texas</t>
  </si>
  <si>
    <t>Georgetown, Texas</t>
  </si>
  <si>
    <t>Bastrop, Texas</t>
  </si>
  <si>
    <t>Sports Academy Model</t>
  </si>
  <si>
    <t>From MP: Need to determine tuition COLA increase each year</t>
  </si>
  <si>
    <t>$40,000/year</t>
  </si>
  <si>
    <t>$10,000/year</t>
  </si>
  <si>
    <t>$50,000/year</t>
  </si>
  <si>
    <t>$15,000/year</t>
  </si>
  <si>
    <t>$25,000/year</t>
  </si>
  <si>
    <t>$30,000/year</t>
  </si>
  <si>
    <t xml:space="preserve">$40,000/year </t>
  </si>
  <si>
    <t xml:space="preserve">$65,000/year </t>
  </si>
  <si>
    <t>$45,000/year</t>
  </si>
  <si>
    <t>Undecided</t>
  </si>
  <si>
    <t>$75,000/year</t>
  </si>
  <si>
    <t>$200/month</t>
  </si>
  <si>
    <t>2025/26: Included in tuition
From SY2026/27 $200/month</t>
  </si>
  <si>
    <t>- First 25 students enrolled have $10k/yr discount</t>
  </si>
  <si>
    <t>- $10,000/year for 5 years starting SY 2024/25
- Eligible until 8/15/2025 
- Runs for 5 years - up to and including 2028/29</t>
  </si>
  <si>
    <t>- $10k credit for first 50 students that enroll
- discount ends once the first 50 students received this credit</t>
  </si>
  <si>
    <t>-10k credit for 25/26 only
-Beginning 26/27, enrollees can use an ESA credit for 10k or pay 15k if you don't have an ESA</t>
  </si>
  <si>
    <t>- $10k per year for 2025/26 - 2029/30
- Eligible: first 25 students that enroll</t>
  </si>
  <si>
    <t xml:space="preserve">- First 25 at 65k-10k FF
- $10k per year for 2025/26 - 2029/30
- Eligible: first 25 students that enroll
</t>
  </si>
  <si>
    <t>- First 25 at 50k-10k FF
- $10k per year for 2025/26 - 2029/30
- Eligible: first 25 students that enroll</t>
  </si>
  <si>
    <t>- 5% discount for sibling 2 and beyond
- not applied for sibling 1</t>
  </si>
  <si>
    <t>Refer "All Campuses"</t>
  </si>
  <si>
    <t xml:space="preserve">    3.3 Scholarships</t>
  </si>
  <si>
    <t xml:space="preserve">    3.4 Financial Aid</t>
  </si>
  <si>
    <r>
      <rPr>
        <rFont val="Arial"/>
        <color theme="1"/>
        <sz val="8.0"/>
      </rPr>
      <t xml:space="preserve">2022 </t>
    </r>
    <r>
      <rPr>
        <rFont val="Arial"/>
        <color theme="1"/>
        <sz val="8.0"/>
      </rPr>
      <t>(technically 2020)</t>
    </r>
  </si>
  <si>
    <t>9 currently at school so have 41 left</t>
  </si>
  <si>
    <t>3300 Bryant Irvin Rd, Fort Worth, TX</t>
  </si>
  <si>
    <t>8.1 Head of School</t>
  </si>
  <si>
    <t>8.2 Dean of Parents</t>
  </si>
  <si>
    <t>8.3 Lead Guide (has been mentioned as Principal)</t>
  </si>
  <si>
    <t>Susanna</t>
  </si>
  <si>
    <t>8.3 Director of K-8</t>
  </si>
  <si>
    <t>Stef Baduria</t>
  </si>
  <si>
    <t>8.4 Campus Coordinator</t>
  </si>
  <si>
    <t>8.5 Admissions Director</t>
  </si>
  <si>
    <t>8.6 Admissions Coordinator</t>
  </si>
  <si>
    <t>8.6.a. Admissions Email Address</t>
  </si>
  <si>
    <t>8.7 Shadow Day Coordinator</t>
  </si>
  <si>
    <t>School Name</t>
  </si>
  <si>
    <t>New / Existing</t>
  </si>
  <si>
    <t>Legal Entity</t>
  </si>
  <si>
    <t>Address</t>
  </si>
  <si>
    <t>City</t>
  </si>
  <si>
    <t>State</t>
  </si>
  <si>
    <t>ZIP</t>
  </si>
  <si>
    <t>Security Tier</t>
  </si>
  <si>
    <t>Armed</t>
  </si>
  <si>
    <t>Unarmed</t>
  </si>
  <si>
    <t># of Guards</t>
  </si>
  <si>
    <t>Hiring Status</t>
  </si>
  <si>
    <t>Contact Name</t>
  </si>
  <si>
    <t>Contact Info</t>
  </si>
  <si>
    <t>Assigned Guard Name</t>
  </si>
  <si>
    <t>Assigned Guard Phone</t>
  </si>
  <si>
    <t>Assigned Guard Email</t>
  </si>
  <si>
    <t>Existing</t>
  </si>
  <si>
    <t>2hr Learning Inc.</t>
  </si>
  <si>
    <t>8000 SW 56th Street</t>
  </si>
  <si>
    <t>FL</t>
  </si>
  <si>
    <t>Valenta</t>
  </si>
  <si>
    <t>303 MLK Junior Dr.</t>
  </si>
  <si>
    <t>TX</t>
  </si>
  <si>
    <t>NextGen</t>
  </si>
  <si>
    <t>13915 US 183</t>
  </si>
  <si>
    <t>2351 Westinghouse Road</t>
  </si>
  <si>
    <t>Irvington</t>
  </si>
  <si>
    <t>New</t>
  </si>
  <si>
    <t>41800 Blacow Rd</t>
  </si>
  <si>
    <t>Fremont</t>
  </si>
  <si>
    <t>CA</t>
  </si>
  <si>
    <t>Waypoint Academy (Hog Heaven)</t>
  </si>
  <si>
    <t>24905 Ranch Rd 12</t>
  </si>
  <si>
    <t>Outdoor</t>
  </si>
  <si>
    <t>4402 Hudson Bend Road</t>
  </si>
  <si>
    <t>Hiring 1 armed guard</t>
  </si>
  <si>
    <t>Shannon Peifer</t>
  </si>
  <si>
    <t xml:space="preserve">shannon.peifer@alpha.school </t>
  </si>
  <si>
    <r>
      <rPr>
        <rFont val="Arial"/>
        <strike/>
        <color theme="1"/>
      </rPr>
      <t xml:space="preserve">Carolina Santana </t>
    </r>
    <r>
      <rPr>
        <rFont val="Arial"/>
        <color theme="1"/>
      </rPr>
      <t xml:space="preserve">&amp; Samuel Santana
Rodrick Piper (as of 9/30 - restaffed from CO2) </t>
    </r>
  </si>
  <si>
    <r>
      <rPr>
        <rFont val="Arial"/>
        <strike/>
        <color theme="1"/>
      </rPr>
      <t>Carolina: (512) 879-7917</t>
    </r>
    <r>
      <rPr>
        <rFont val="Arial"/>
        <color theme="1"/>
      </rPr>
      <t xml:space="preserve">
Samuel: (737) 291-2810</t>
    </r>
  </si>
  <si>
    <t>Arete (Texas Prep)</t>
  </si>
  <si>
    <t>7540 Ed Bluestein Road</t>
  </si>
  <si>
    <t>591 North Central Avenue</t>
  </si>
  <si>
    <t>NEED Guard? (Tier 2 in legacy sheet)</t>
  </si>
  <si>
    <t>Morgan Swain</t>
  </si>
  <si>
    <t>morgan.swain@alpha.school</t>
  </si>
  <si>
    <t>Brownsville Pre-School</t>
  </si>
  <si>
    <t>501 E Ringgold Street #5</t>
  </si>
  <si>
    <t>Spyglass</t>
  </si>
  <si>
    <t>1201 Spyglass Drive</t>
  </si>
  <si>
    <t>Hiring 1 armed guard (ex-Austin PD)</t>
  </si>
  <si>
    <r>
      <rPr>
        <rFont val="Arial"/>
        <strike/>
        <color theme="1"/>
      </rPr>
      <t xml:space="preserve">Devonne Washington (armed)
</t>
    </r>
    <r>
      <rPr>
        <rFont val="Arial"/>
        <color theme="1"/>
      </rPr>
      <t xml:space="preserve">Restaffed with Watchmen Protective Services </t>
    </r>
  </si>
  <si>
    <t>(512) 937 0425</t>
  </si>
  <si>
    <t>CO2</t>
  </si>
  <si>
    <t>201 Colorado Street</t>
  </si>
  <si>
    <t>Erika Kottwitz</t>
  </si>
  <si>
    <t>erika.kottwitz@alpha.school</t>
  </si>
  <si>
    <r>
      <rPr>
        <rFont val="Arial"/>
        <strike/>
        <color theme="1"/>
      </rPr>
      <t xml:space="preserve">Rodrick Piper (armed)
</t>
    </r>
    <r>
      <rPr>
        <rFont val="Arial"/>
        <color theme="1"/>
      </rPr>
      <t xml:space="preserve">Restaffed with Watchmen Protective Services </t>
    </r>
  </si>
  <si>
    <t>Rodrick: 512 968 2875</t>
  </si>
  <si>
    <t>Chantilly Guidepost</t>
  </si>
  <si>
    <t>4550 Walney Rd</t>
  </si>
  <si>
    <t>VA</t>
  </si>
  <si>
    <r>
      <rPr>
        <rFont val="Arial"/>
        <color theme="1"/>
      </rPr>
      <t xml:space="preserve">Hiring 1 armed guard </t>
    </r>
    <r>
      <rPr>
        <rFont val="Arial"/>
        <i/>
        <color rgb="FFFF0000"/>
      </rPr>
      <t>(Moving to tier 2?)</t>
    </r>
  </si>
  <si>
    <t>Foothill Ranch Guidepost</t>
  </si>
  <si>
    <t>26462 Towne Centre Dr</t>
  </si>
  <si>
    <t>Foothill Ranch</t>
  </si>
  <si>
    <t>North Scottsdale Guidepost</t>
  </si>
  <si>
    <t>20624 N 76th St</t>
  </si>
  <si>
    <t>AZ</t>
  </si>
  <si>
    <t>Prosperity Guidepost</t>
  </si>
  <si>
    <t>4755 Prosperity Church Rd</t>
  </si>
  <si>
    <t>NC</t>
  </si>
  <si>
    <t>Spruce Tree Guidepost</t>
  </si>
  <si>
    <t>12600 Spruce Tree Way</t>
  </si>
  <si>
    <t>Alpha NY (Maiden)</t>
  </si>
  <si>
    <t>180 Maiden Lane</t>
  </si>
  <si>
    <t>New York City</t>
  </si>
  <si>
    <t>NY</t>
  </si>
  <si>
    <t>ben.gordonsniffen@alpha.school</t>
  </si>
  <si>
    <t>Norely Castaño &amp; Mohammad El-Dirany</t>
  </si>
  <si>
    <t xml:space="preserve">Norely: (347) 675-5288‬
</t>
  </si>
  <si>
    <t>CERA</t>
  </si>
  <si>
    <t>3300 Bryant Irvin Rd</t>
  </si>
  <si>
    <t>Samantha Depalo</t>
  </si>
  <si>
    <t>samantha.depalo@alpha.school</t>
  </si>
  <si>
    <t>Donald Thomas</t>
  </si>
  <si>
    <t>(817) 899-2058</t>
  </si>
  <si>
    <t>Cota (Santa Barbara)</t>
  </si>
  <si>
    <t>27 E Cota St</t>
  </si>
  <si>
    <t>drew.casebier@alpha.school</t>
  </si>
  <si>
    <t>Avraam Bererzin &amp; Nicolas Desales</t>
  </si>
  <si>
    <t>Avraam: (818) 421-3947
Nicolas: (805) 819-8462</t>
  </si>
  <si>
    <t>Ehrlich</t>
  </si>
  <si>
    <t>5252 Ehrlich Rd</t>
  </si>
  <si>
    <t>Legacy</t>
  </si>
  <si>
    <t>7220 Independence Pkwy</t>
  </si>
  <si>
    <t>Oxbridge</t>
  </si>
  <si>
    <t>3151 N Military Trl</t>
  </si>
  <si>
    <t>West Palm Beach</t>
  </si>
  <si>
    <t>Zone</t>
  </si>
  <si>
    <t>10371 Stella Link Rd</t>
  </si>
  <si>
    <r>
      <rPr>
        <rFont val="Arial"/>
        <color theme="1"/>
      </rPr>
      <t xml:space="preserve">Hiring 1 armed guard </t>
    </r>
    <r>
      <rPr>
        <rFont val="Arial"/>
        <i/>
        <color rgb="FFFF0000"/>
      </rPr>
      <t>(Moving to tier 2?)</t>
    </r>
  </si>
  <si>
    <t xml:space="preserve">Maria Mejia </t>
  </si>
  <si>
    <t xml:space="preserve">maria.mejia@alpha.school </t>
  </si>
  <si>
    <t>Frank Mason
Angel Bello (UA)
Pedro Lopez (UA)</t>
  </si>
  <si>
    <t>Frank Mason: (347) 714 0691</t>
  </si>
  <si>
    <t>Texas Sports Academy - Carrollton</t>
  </si>
  <si>
    <t>2205 E Hebron Pkwy</t>
  </si>
  <si>
    <t>Guard hired?  (Not yet open)</t>
  </si>
  <si>
    <t>Lamar Cannon</t>
  </si>
  <si>
    <t>lamar.cannon@superbuilders.school</t>
  </si>
  <si>
    <r>
      <rPr>
        <rFont val="Arial"/>
        <color theme="1"/>
      </rPr>
      <t xml:space="preserve">Jon Evans </t>
    </r>
    <r>
      <rPr>
        <rFont val="Arial"/>
        <i/>
        <color rgb="FFFF0000"/>
      </rPr>
      <t>(Confirmed? - Not yet open)</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</si>
</sst>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quot;$&quot;#,##0"/>
    <numFmt numFmtId="166" formatCode="m-d"/>
    <numFmt numFmtId="167" formatCode="mmm d"/>
    <numFmt numFmtId="168" formatCode="mmm d, yyyy"/>
  </numFmts>
  <fonts count="39">
    <font>
      <sz val="10.0"/>
      <color rgb="FF000000"/>
      <name val="Arial"/>
      <scheme val="minor"/>
    </font>
    <font>
      <color theme="1"/>
      <name val="Arial"/>
      <scheme val="minor"/>
    </font>
    <font>
      <u/>
      <color theme="1"/>
      <name val="Arial"/>
      <scheme val="minor"/>
    </font>
    <font>
      <b/>
      <sz val="8.0"/>
      <color rgb="FFFFFFFF"/>
      <name val="Arial"/>
    </font>
    <font>
      <b/>
      <sz val="8.0"/>
      <color theme="1"/>
      <name val="Arial"/>
    </font>
    <font>
      <b/>
      <sz val="8.0"/>
      <color rgb="FF000000"/>
      <name val="Arial"/>
    </font>
    <font>
      <sz val="8.0"/>
      <color theme="1"/>
      <name val="Arial"/>
    </font>
    <font>
      <u/>
      <sz val="8.0"/>
      <color rgb="FF0000FF"/>
      <name val="Arial"/>
    </font>
    <font>
      <sz val="8.0"/>
      <color rgb="FF000000"/>
      <name val="Arial"/>
    </font>
    <font>
      <u/>
      <sz val="8.0"/>
      <color rgb="FF0000FF"/>
      <name val="Arial"/>
    </font>
    <font>
      <u/>
      <sz val="8.0"/>
      <color rgb="FF1155CC"/>
      <name val="Arial"/>
    </font>
    <font>
      <u/>
      <sz val="8.0"/>
      <color rgb="FF0000FF"/>
      <name val="Arial"/>
    </font>
    <font>
      <i/>
      <sz val="8.0"/>
      <color rgb="FFFFFFFF"/>
      <name val="Arial"/>
    </font>
    <font>
      <u/>
      <sz val="8.0"/>
      <color rgb="FF0000FF"/>
      <name val="Arial"/>
    </font>
    <font>
      <u/>
      <sz val="8.0"/>
      <color theme="1"/>
      <name val="Arial"/>
    </font>
    <font>
      <u/>
      <sz val="8.0"/>
      <color rgb="FF0000FF"/>
      <name val="Arial"/>
    </font>
    <font>
      <sz val="8.0"/>
      <color rgb="FFEA4335"/>
      <name val="Arial"/>
    </font>
    <font>
      <u/>
      <sz val="8.0"/>
      <color theme="1"/>
      <name val="Arial"/>
    </font>
    <font>
      <u/>
      <sz val="8.0"/>
      <color theme="1"/>
      <name val="Arial"/>
    </font>
    <font>
      <b/>
      <color theme="1"/>
      <name val="Arial"/>
    </font>
    <font>
      <u/>
      <color rgb="FF0000FF"/>
    </font>
    <font>
      <sz val="9.0"/>
      <color theme="1"/>
      <name val="Calibri"/>
    </font>
    <font>
      <sz val="9.0"/>
      <color rgb="FFFFFFFF"/>
      <name val="Calibri"/>
    </font>
    <font>
      <u/>
      <sz val="9.0"/>
      <color theme="1"/>
      <name val="Calibri"/>
    </font>
    <font>
      <color theme="1"/>
      <name val="Arial"/>
    </font>
    <font>
      <b/>
      <color rgb="FFFFFFFF"/>
      <name val="Arial"/>
    </font>
    <font>
      <color rgb="FF212121"/>
      <name val="Arial"/>
    </font>
    <font>
      <b/>
      <color rgb="FF212121"/>
      <name val="Arial"/>
    </font>
    <font>
      <sz val="8.0"/>
      <color rgb="FF00FF00"/>
      <name val="Arial"/>
    </font>
    <font>
      <u/>
      <sz val="8.0"/>
      <color rgb="FF0000FF"/>
      <name val="Arial"/>
    </font>
    <font/>
    <font>
      <sz val="7.0"/>
      <color theme="1"/>
      <name val="Arial"/>
    </font>
    <font>
      <sz val="7.0"/>
      <color theme="1"/>
      <name val="Arial"/>
      <scheme val="minor"/>
    </font>
    <font>
      <sz val="7.0"/>
      <color rgb="FF000000"/>
      <name val="Arial"/>
      <scheme val="minor"/>
    </font>
    <font>
      <sz val="8.0"/>
      <color rgb="FFFFFFFF"/>
      <name val="Arial"/>
    </font>
    <font>
      <u/>
      <sz val="8.0"/>
      <color rgb="FF1155CC"/>
      <name val="Arial"/>
    </font>
    <font>
      <u/>
      <sz val="8.0"/>
      <color rgb="FF1155CC"/>
      <name val="Arial"/>
    </font>
    <font>
      <i/>
      <color rgb="FFFF0000"/>
      <name val="Arial"/>
    </font>
    <font>
      <strike/>
      <color theme="1"/>
      <name val="Arial"/>
    </font>
  </fonts>
  <fills count="30">
    <fill>
      <patternFill patternType="none"/>
    </fill>
    <fill>
      <patternFill patternType="lightGray"/>
    </fill>
    <fill>
      <patternFill patternType="solid">
        <fgColor rgb="FF000000"/>
        <bgColor rgb="FF000000"/>
      </patternFill>
    </fill>
    <fill>
      <patternFill patternType="solid">
        <fgColor rgb="FF274E13"/>
        <bgColor rgb="FF274E13"/>
      </patternFill>
    </fill>
    <fill>
      <patternFill patternType="solid">
        <fgColor rgb="FFE6B8AF"/>
        <bgColor rgb="FFE6B8AF"/>
      </patternFill>
    </fill>
    <fill>
      <patternFill patternType="solid">
        <fgColor rgb="FFB45F06"/>
        <bgColor rgb="FFB45F06"/>
      </patternFill>
    </fill>
    <fill>
      <patternFill patternType="solid">
        <fgColor rgb="FF351C75"/>
        <bgColor rgb="FF351C75"/>
      </patternFill>
    </fill>
    <fill>
      <patternFill patternType="solid">
        <fgColor rgb="FF134F5C"/>
        <bgColor rgb="FF134F5C"/>
      </patternFill>
    </fill>
    <fill>
      <patternFill patternType="solid">
        <fgColor rgb="FF0B5394"/>
        <bgColor rgb="FF0B5394"/>
      </patternFill>
    </fill>
    <fill>
      <patternFill patternType="solid">
        <fgColor rgb="FFCCCCCC"/>
        <bgColor rgb="FFCCCCCC"/>
      </patternFill>
    </fill>
    <fill>
      <patternFill patternType="solid">
        <fgColor rgb="FFEFEFEF"/>
        <bgColor rgb="FFEFEFEF"/>
      </patternFill>
    </fill>
    <fill>
      <patternFill patternType="solid">
        <fgColor rgb="FFFFFFFF"/>
        <bgColor rgb="FFFFFFFF"/>
      </patternFill>
    </fill>
    <fill>
      <patternFill patternType="solid">
        <fgColor rgb="FF999999"/>
        <bgColor rgb="FF999999"/>
      </patternFill>
    </fill>
    <fill>
      <patternFill patternType="solid">
        <fgColor rgb="FF666666"/>
        <bgColor rgb="FF666666"/>
      </patternFill>
    </fill>
    <fill>
      <patternFill patternType="solid">
        <fgColor rgb="FF8E7CC3"/>
        <bgColor rgb="FF8E7CC3"/>
      </patternFill>
    </fill>
    <fill>
      <patternFill patternType="solid">
        <fgColor rgb="FFF4CCCC"/>
        <bgColor rgb="FFF4CCCC"/>
      </patternFill>
    </fill>
    <fill>
      <patternFill patternType="solid">
        <fgColor rgb="FF38761D"/>
        <bgColor rgb="FF38761D"/>
      </patternFill>
    </fill>
    <fill>
      <patternFill patternType="solid">
        <fgColor rgb="FFFFF2CC"/>
        <bgColor rgb="FFFFF2CC"/>
      </patternFill>
    </fill>
    <fill>
      <patternFill patternType="solid">
        <fgColor rgb="FF9FC5E8"/>
        <bgColor rgb="FF9FC5E8"/>
      </patternFill>
    </fill>
    <fill>
      <patternFill patternType="solid">
        <fgColor theme="6"/>
        <bgColor theme="6"/>
      </patternFill>
    </fill>
    <fill>
      <patternFill patternType="solid">
        <fgColor rgb="FFFF0000"/>
        <bgColor rgb="FFFF0000"/>
      </patternFill>
    </fill>
    <fill>
      <patternFill patternType="solid">
        <fgColor rgb="FFE06666"/>
        <bgColor rgb="FFE06666"/>
      </patternFill>
    </fill>
    <fill>
      <patternFill patternType="solid">
        <fgColor rgb="FF073763"/>
        <bgColor rgb="FF073763"/>
      </patternFill>
    </fill>
    <fill>
      <patternFill patternType="solid">
        <fgColor rgb="FFFFFF00"/>
        <bgColor rgb="FFFFFF00"/>
      </patternFill>
    </fill>
    <fill>
      <patternFill patternType="solid">
        <fgColor rgb="FFFCE5CD"/>
        <bgColor rgb="FFFCE5CD"/>
      </patternFill>
    </fill>
    <fill>
      <patternFill patternType="solid">
        <fgColor rgb="FFF6F6F6"/>
        <bgColor rgb="FFF6F6F6"/>
      </patternFill>
    </fill>
    <fill>
      <patternFill patternType="solid">
        <fgColor rgb="FF5B0F00"/>
        <bgColor rgb="FF5B0F00"/>
      </patternFill>
    </fill>
    <fill>
      <patternFill patternType="solid">
        <fgColor rgb="FFC9DAF8"/>
        <bgColor rgb="FFC9DAF8"/>
      </patternFill>
    </fill>
    <fill>
      <patternFill patternType="solid">
        <fgColor rgb="FFF3F3F3"/>
        <bgColor rgb="FFF3F3F3"/>
      </patternFill>
    </fill>
    <fill>
      <patternFill patternType="solid">
        <fgColor rgb="FFD9EAD3"/>
        <bgColor rgb="FFD9EAD3"/>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D4D4D4"/>
      </left>
      <right style="thin">
        <color rgb="FFD4D4D4"/>
      </right>
      <top style="thin">
        <color rgb="FFD4D4D4"/>
      </top>
      <bottom style="thin">
        <color rgb="FFD4D4D4"/>
      </bottom>
    </border>
    <border>
      <left style="thin">
        <color rgb="FFD4D4D4"/>
      </left>
      <right style="thin">
        <color rgb="FFD4D4D4"/>
      </right>
      <top style="thin">
        <color rgb="FFD4D4D4"/>
      </top>
    </border>
    <border>
      <left style="thin">
        <color rgb="FF000000"/>
      </left>
      <right style="thin">
        <color rgb="FFD4D4D4"/>
      </right>
      <top style="thin">
        <color rgb="FF000000"/>
      </top>
      <bottom style="thin">
        <color rgb="FF000000"/>
      </bottom>
    </border>
    <border>
      <left style="thin">
        <color rgb="FFD4D4D4"/>
      </left>
      <right style="thin">
        <color rgb="FFD4D4D4"/>
      </right>
      <top style="thin">
        <color rgb="FF000000"/>
      </top>
      <bottom style="thin">
        <color rgb="FF000000"/>
      </bottom>
    </border>
    <border>
      <left style="thin">
        <color rgb="FFD4D4D4"/>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EFEFEF"/>
      </right>
      <bottom style="thin">
        <color rgb="FFCCCCCC"/>
      </bottom>
    </border>
    <border>
      <left style="thin">
        <color rgb="FFEFEFEF"/>
      </left>
      <right style="thin">
        <color rgb="FFEFEFEF"/>
      </right>
      <bottom style="thin">
        <color rgb="FFCCCCCC"/>
      </bottom>
    </border>
    <border>
      <left style="thin">
        <color rgb="FFEFEFEF"/>
      </left>
      <bottom style="thin">
        <color rgb="FFCCCCCC"/>
      </bottom>
    </border>
    <border>
      <left style="thin">
        <color rgb="FFEFEFEF"/>
      </left>
    </border>
    <border>
      <left style="thin">
        <color rgb="FFEFEFEF"/>
      </left>
      <right style="thin">
        <color rgb="FFEFEFEF"/>
      </right>
    </border>
    <border>
      <left style="thin">
        <color rgb="FF000000"/>
      </left>
      <right style="thin">
        <color rgb="FFEFEFEF"/>
      </right>
      <top style="thin">
        <color rgb="FFCCCCCC"/>
      </top>
      <bottom style="thin">
        <color rgb="FFCCCCCC"/>
      </bottom>
    </border>
    <border>
      <left style="thin">
        <color rgb="FFEFEFEF"/>
      </left>
      <right style="thin">
        <color rgb="FFEFEFEF"/>
      </right>
      <top style="thin">
        <color rgb="FFCCCCCC"/>
      </top>
      <bottom style="thin">
        <color rgb="FFCCCCCC"/>
      </bottom>
    </border>
    <border>
      <left style="thin">
        <color rgb="FFEFEFEF"/>
      </left>
      <top style="thin">
        <color rgb="FFCCCCCC"/>
      </top>
      <bottom style="thin">
        <color rgb="FFCCCCCC"/>
      </bottom>
    </border>
    <border>
      <left style="thin">
        <color rgb="FF000000"/>
      </left>
      <right style="thin">
        <color rgb="FFEFEFEF"/>
      </right>
      <top style="thin">
        <color rgb="FFCCCCCC"/>
      </top>
    </border>
    <border>
      <left style="thin">
        <color rgb="FFEFEFEF"/>
      </left>
      <right style="thin">
        <color rgb="FFEFEFEF"/>
      </right>
      <top style="thin">
        <color rgb="FFCCCCCC"/>
      </top>
    </border>
    <border>
      <left style="thin">
        <color rgb="FFEFEFEF"/>
      </left>
      <top style="thin">
        <color rgb="FFCCCCCC"/>
      </top>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2" fontId="3" numFmtId="0" xfId="0" applyAlignment="1" applyFill="1" applyFont="1">
      <alignment horizontal="left" readingOrder="0" shrinkToFit="0" vertical="center" wrapText="1"/>
    </xf>
    <xf borderId="0" fillId="2" fontId="3" numFmtId="0" xfId="0" applyAlignment="1" applyFont="1">
      <alignment horizontal="center" readingOrder="0" shrinkToFit="0" vertical="center" wrapText="1"/>
    </xf>
    <xf borderId="0" fillId="0" fontId="1" numFmtId="0" xfId="0" applyFont="1"/>
    <xf borderId="1" fillId="3" fontId="3" numFmtId="0" xfId="0" applyAlignment="1" applyBorder="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1" fillId="2" fontId="3" numFmtId="0" xfId="0" applyAlignment="1" applyBorder="1" applyFont="1">
      <alignment horizontal="left" readingOrder="0" shrinkToFit="0" vertical="center" wrapText="1"/>
    </xf>
    <xf borderId="1" fillId="2" fontId="3" numFmtId="0" xfId="0" applyAlignment="1" applyBorder="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quotePrefix="1" borderId="1" fillId="2" fontId="5" numFmtId="0" xfId="0" applyAlignment="1" applyBorder="1" applyFont="1">
      <alignment horizontal="center" readingOrder="0" shrinkToFit="0" vertical="center" wrapText="1"/>
    </xf>
    <xf borderId="1" fillId="7" fontId="3" numFmtId="0" xfId="0" applyAlignment="1" applyBorder="1" applyFill="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2" fontId="6"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quotePrefix="1" borderId="1" fillId="2" fontId="6" numFmtId="0" xfId="0" applyAlignment="1" applyBorder="1" applyFont="1">
      <alignment horizontal="center" readingOrder="0" shrinkToFit="0" vertical="center" wrapText="1"/>
    </xf>
    <xf borderId="1" fillId="8" fontId="3" numFmtId="0" xfId="0" applyAlignment="1" applyBorder="1" applyFill="1" applyFont="1">
      <alignment horizontal="left" readingOrder="0" shrinkToFit="0" vertical="center" wrapText="1"/>
    </xf>
    <xf borderId="1" fillId="0" fontId="7" numFmtId="0" xfId="0" applyAlignment="1" applyBorder="1" applyFont="1">
      <alignment horizontal="center" readingOrder="0" shrinkToFit="0" vertical="center" wrapText="1"/>
    </xf>
    <xf borderId="1" fillId="9" fontId="6"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10" fontId="6" numFmtId="0" xfId="0" applyAlignment="1" applyBorder="1" applyFill="1" applyFont="1">
      <alignment horizontal="center" readingOrder="0" shrinkToFit="0" vertical="center" wrapText="1"/>
    </xf>
    <xf quotePrefix="1" borderId="1" fillId="8" fontId="3" numFmtId="0" xfId="0" applyAlignment="1" applyBorder="1" applyFont="1">
      <alignment horizontal="left" readingOrder="0" shrinkToFit="0" vertical="center" wrapText="1"/>
    </xf>
    <xf quotePrefix="1" borderId="1" fillId="0" fontId="6" numFmtId="0" xfId="0" applyAlignment="1" applyBorder="1" applyFont="1">
      <alignment horizontal="center" readingOrder="0" shrinkToFit="0" vertical="center" wrapText="1"/>
    </xf>
    <xf quotePrefix="1" borderId="1" fillId="0" fontId="10" numFmtId="0" xfId="0" applyAlignment="1" applyBorder="1" applyFont="1">
      <alignment horizontal="center" readingOrder="0" shrinkToFit="0" vertical="center" wrapText="1"/>
    </xf>
    <xf borderId="1" fillId="0" fontId="6" numFmtId="165" xfId="0" applyAlignment="1" applyBorder="1" applyFont="1" applyNumberFormat="1">
      <alignment horizontal="center" readingOrder="0" shrinkToFit="0" vertical="center" wrapText="1"/>
    </xf>
    <xf quotePrefix="1" borderId="1" fillId="0" fontId="6" numFmtId="165" xfId="0" applyAlignment="1" applyBorder="1" applyFont="1" applyNumberFormat="1">
      <alignment horizontal="center" readingOrder="0" shrinkToFit="0" vertical="center" wrapText="1"/>
    </xf>
    <xf quotePrefix="1" borderId="1" fillId="0" fontId="11"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11" fontId="6" numFmtId="0" xfId="0" applyAlignment="1" applyBorder="1" applyFill="1" applyFont="1">
      <alignment horizontal="center" readingOrder="0" shrinkToFit="0" vertical="center" wrapText="1"/>
    </xf>
    <xf quotePrefix="1" borderId="1" fillId="12" fontId="6" numFmtId="0" xfId="0" applyAlignment="1" applyBorder="1" applyFill="1" applyFont="1">
      <alignment horizontal="center" readingOrder="0" shrinkToFit="0" vertical="center" wrapText="1"/>
    </xf>
    <xf borderId="1" fillId="12" fontId="6" numFmtId="0" xfId="0" applyAlignment="1" applyBorder="1" applyFont="1">
      <alignment horizontal="center" readingOrder="0" shrinkToFit="0" vertical="center" wrapText="1"/>
    </xf>
    <xf quotePrefix="1" borderId="1" fillId="12" fontId="6" numFmtId="0" xfId="0" applyAlignment="1" applyBorder="1" applyFont="1">
      <alignment horizontal="center" shrinkToFit="0" vertical="center" wrapText="1"/>
    </xf>
    <xf borderId="1" fillId="8" fontId="12" numFmtId="0" xfId="0" applyAlignment="1" applyBorder="1" applyFont="1">
      <alignment horizontal="left" readingOrder="0" shrinkToFit="0" vertical="center" wrapText="1"/>
    </xf>
    <xf borderId="1" fillId="13" fontId="6" numFmtId="0" xfId="0" applyAlignment="1" applyBorder="1" applyFill="1" applyFont="1">
      <alignment horizontal="center" readingOrder="0" shrinkToFit="0" vertical="center" wrapText="1"/>
    </xf>
    <xf quotePrefix="1" borderId="1" fillId="9" fontId="6" numFmtId="0" xfId="0" applyAlignment="1" applyBorder="1" applyFont="1">
      <alignment horizontal="center" readingOrder="0" shrinkToFit="0" vertical="center" wrapText="1"/>
    </xf>
    <xf borderId="1" fillId="0" fontId="6" numFmtId="0" xfId="0" applyAlignment="1" applyBorder="1" applyFont="1">
      <alignment horizontal="center" readingOrder="0" vertical="center"/>
    </xf>
    <xf borderId="1" fillId="0" fontId="6"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1" fillId="0" fontId="6" numFmtId="166" xfId="0" applyAlignment="1" applyBorder="1" applyFont="1" applyNumberFormat="1">
      <alignment horizontal="center" readingOrder="0" shrinkToFit="0" vertical="center" wrapText="1"/>
    </xf>
    <xf borderId="1" fillId="14" fontId="3" numFmtId="0" xfId="0" applyAlignment="1" applyBorder="1" applyFill="1" applyFont="1">
      <alignment horizontal="left" readingOrder="0" shrinkToFit="0" vertical="center" wrapText="1"/>
    </xf>
    <xf borderId="1" fillId="0" fontId="6" numFmtId="167" xfId="0" applyAlignment="1" applyBorder="1" applyFont="1" applyNumberFormat="1">
      <alignment horizontal="center" readingOrder="0" shrinkToFit="0" vertical="center" wrapText="1"/>
    </xf>
    <xf borderId="2" fillId="0" fontId="6" numFmtId="167" xfId="0" applyAlignment="1" applyBorder="1" applyFont="1" applyNumberFormat="1">
      <alignment horizontal="center" readingOrder="0" shrinkToFit="0" vertical="center" wrapText="1"/>
    </xf>
    <xf borderId="1" fillId="15" fontId="6" numFmtId="0" xfId="0" applyAlignment="1" applyBorder="1" applyFill="1" applyFont="1">
      <alignment horizontal="center" readingOrder="0" shrinkToFit="0" vertical="center" wrapText="1"/>
    </xf>
    <xf borderId="1" fillId="15" fontId="6" numFmtId="167" xfId="0" applyAlignment="1" applyBorder="1" applyFont="1" applyNumberFormat="1">
      <alignment horizontal="center" readingOrder="0" shrinkToFit="0" vertical="center" wrapText="1"/>
    </xf>
    <xf quotePrefix="1" borderId="1" fillId="2" fontId="6" numFmtId="0" xfId="0" applyAlignment="1" applyBorder="1" applyFont="1">
      <alignment horizontal="center" shrinkToFit="0" wrapText="1"/>
    </xf>
    <xf borderId="2" fillId="0" fontId="13" numFmtId="0" xfId="0" applyAlignment="1" applyBorder="1" applyFont="1">
      <alignment horizontal="center" readingOrder="0" shrinkToFit="0" vertical="center" wrapText="1"/>
    </xf>
    <xf borderId="1" fillId="16" fontId="3" numFmtId="0" xfId="0" applyAlignment="1" applyBorder="1" applyFill="1" applyFont="1">
      <alignment horizontal="left" readingOrder="0" shrinkToFit="0" vertical="center" wrapText="1"/>
    </xf>
    <xf borderId="0" fillId="16" fontId="3"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1" fillId="17" fontId="6" numFmtId="0" xfId="0" applyAlignment="1" applyBorder="1" applyFill="1" applyFont="1">
      <alignment horizontal="center" readingOrder="0" shrinkToFit="0" vertical="center" wrapText="1"/>
    </xf>
    <xf borderId="0" fillId="0" fontId="14"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11" fontId="6"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1" fillId="11" fontId="8" numFmtId="0" xfId="0" applyAlignment="1" applyBorder="1" applyFont="1">
      <alignment horizontal="center" readingOrder="0" shrinkToFit="0" vertical="center" wrapText="1"/>
    </xf>
    <xf borderId="1" fillId="11" fontId="8" numFmtId="0" xfId="0" applyAlignment="1" applyBorder="1" applyFont="1">
      <alignment horizontal="center" readingOrder="0" shrinkToFit="0" vertical="center" wrapText="1"/>
    </xf>
    <xf borderId="1" fillId="11" fontId="6" numFmtId="3" xfId="0" applyAlignment="1" applyBorder="1" applyFont="1" applyNumberFormat="1">
      <alignment horizontal="center" readingOrder="0" shrinkToFit="0" vertical="center" wrapText="1"/>
    </xf>
    <xf borderId="2" fillId="8" fontId="3" numFmtId="0" xfId="0" applyAlignment="1" applyBorder="1" applyFont="1">
      <alignment horizontal="left" readingOrder="0" shrinkToFit="0" vertical="center" wrapText="1"/>
    </xf>
    <xf borderId="0" fillId="8" fontId="3" numFmtId="0" xfId="0" applyAlignment="1" applyFont="1">
      <alignment horizontal="left" readingOrder="0" shrinkToFit="0" vertical="center" wrapText="1"/>
    </xf>
    <xf borderId="1" fillId="0" fontId="17" numFmtId="0" xfId="0" applyAlignment="1" applyBorder="1" applyFont="1">
      <alignment horizontal="center" shrinkToFit="0" vertical="center" wrapText="1"/>
    </xf>
    <xf borderId="1" fillId="18" fontId="18" numFmtId="0" xfId="0" applyAlignment="1" applyBorder="1" applyFill="1" applyFont="1">
      <alignment horizontal="center" shrinkToFit="0" vertical="center" wrapText="1"/>
    </xf>
    <xf borderId="1" fillId="19" fontId="6" numFmtId="168" xfId="0" applyAlignment="1" applyBorder="1" applyFill="1" applyFont="1" applyNumberFormat="1">
      <alignment horizontal="center" readingOrder="0" shrinkToFit="0" vertical="center" wrapText="1"/>
    </xf>
    <xf borderId="1" fillId="11" fontId="6" numFmtId="164" xfId="0" applyAlignment="1" applyBorder="1" applyFont="1" applyNumberFormat="1">
      <alignment horizontal="center" readingOrder="0" shrinkToFit="0" vertical="center" wrapText="1"/>
    </xf>
    <xf borderId="1" fillId="20" fontId="6" numFmtId="164" xfId="0" applyAlignment="1" applyBorder="1" applyFill="1" applyFont="1" applyNumberFormat="1">
      <alignment horizontal="center" readingOrder="0" shrinkToFit="0" vertical="center" wrapText="1"/>
    </xf>
    <xf borderId="1" fillId="20" fontId="6" numFmtId="0" xfId="0" applyAlignment="1" applyBorder="1" applyFont="1">
      <alignment horizontal="center" readingOrder="0" shrinkToFit="0" vertical="center" wrapText="1"/>
    </xf>
    <xf borderId="1" fillId="19" fontId="6" numFmtId="164" xfId="0" applyAlignment="1" applyBorder="1" applyFont="1" applyNumberFormat="1">
      <alignment horizontal="center" readingOrder="0" shrinkToFit="0" vertical="center" wrapText="1"/>
    </xf>
    <xf borderId="1" fillId="19" fontId="6" numFmtId="0" xfId="0" applyAlignment="1" applyBorder="1" applyFont="1">
      <alignment horizontal="center" readingOrder="0" shrinkToFit="0" vertical="center" wrapText="1"/>
    </xf>
    <xf borderId="0" fillId="0" fontId="6" numFmtId="0" xfId="0" applyAlignment="1" applyFont="1">
      <alignment horizontal="center" readingOrder="0" shrinkToFit="0" wrapText="1"/>
    </xf>
    <xf borderId="1" fillId="0" fontId="6" numFmtId="0" xfId="0" applyAlignment="1" applyBorder="1" applyFont="1">
      <alignment horizontal="center" readingOrder="0" shrinkToFit="0" wrapText="1"/>
    </xf>
    <xf borderId="1" fillId="0" fontId="6" numFmtId="0" xfId="0" applyAlignment="1" applyBorder="1" applyFont="1">
      <alignment horizontal="center" shrinkToFit="0" wrapText="1"/>
    </xf>
    <xf borderId="1" fillId="18" fontId="6" numFmtId="0" xfId="0" applyAlignment="1" applyBorder="1" applyFont="1">
      <alignment horizontal="center" shrinkToFit="0" wrapText="1"/>
    </xf>
    <xf borderId="0" fillId="11" fontId="6" numFmtId="3" xfId="0" applyAlignment="1" applyFont="1" applyNumberFormat="1">
      <alignment horizontal="center" readingOrder="0" shrinkToFit="0" vertical="center" wrapText="1"/>
    </xf>
    <xf borderId="1" fillId="7" fontId="3" numFmtId="0" xfId="0" applyAlignment="1" applyBorder="1" applyFont="1">
      <alignment horizontal="center" shrinkToFit="0" vertical="center" wrapText="1"/>
    </xf>
    <xf borderId="1" fillId="21" fontId="3" numFmtId="0" xfId="0" applyAlignment="1" applyBorder="1" applyFill="1" applyFont="1">
      <alignment horizontal="center" readingOrder="0" shrinkToFit="0" vertical="center" wrapText="1"/>
    </xf>
    <xf borderId="1" fillId="4" fontId="3" numFmtId="0" xfId="0" applyAlignment="1" applyBorder="1" applyFont="1">
      <alignment horizontal="center" readingOrder="0" shrinkToFit="0" vertical="center" wrapText="1"/>
    </xf>
    <xf borderId="0" fillId="0" fontId="19" numFmtId="0" xfId="0" applyAlignment="1" applyFont="1">
      <alignment vertical="bottom"/>
    </xf>
    <xf borderId="0" fillId="11" fontId="19" numFmtId="0" xfId="0" applyAlignment="1" applyFont="1">
      <alignment vertical="bottom"/>
    </xf>
    <xf borderId="0" fillId="11" fontId="19" numFmtId="49" xfId="0" applyAlignment="1" applyFont="1" applyNumberFormat="1">
      <alignment vertical="bottom"/>
    </xf>
    <xf borderId="0" fillId="11" fontId="19" numFmtId="1" xfId="0" applyAlignment="1" applyFont="1" applyNumberFormat="1">
      <alignment vertical="bottom"/>
    </xf>
    <xf borderId="0" fillId="0" fontId="20" numFmtId="0" xfId="0" applyFont="1"/>
    <xf borderId="0" fillId="0" fontId="21" numFmtId="0" xfId="0" applyAlignment="1" applyFont="1">
      <alignment horizontal="center"/>
    </xf>
    <xf borderId="0" fillId="0" fontId="21" numFmtId="0" xfId="0" applyFont="1"/>
    <xf borderId="0" fillId="22" fontId="22" numFmtId="0" xfId="0" applyAlignment="1" applyFill="1" applyFont="1">
      <alignment horizontal="center" readingOrder="0"/>
    </xf>
    <xf borderId="0" fillId="0" fontId="21" numFmtId="0" xfId="0" applyAlignment="1" applyFont="1">
      <alignment horizontal="center" readingOrder="0"/>
    </xf>
    <xf borderId="0" fillId="0" fontId="21" numFmtId="0" xfId="0" applyAlignment="1" applyFont="1">
      <alignment readingOrder="0"/>
    </xf>
    <xf borderId="0" fillId="0" fontId="23" numFmtId="0" xfId="0" applyAlignment="1" applyFont="1">
      <alignment readingOrder="0"/>
    </xf>
    <xf borderId="0" fillId="23" fontId="19" numFmtId="0" xfId="0" applyAlignment="1" applyFill="1" applyFont="1">
      <alignment shrinkToFit="0" wrapText="1"/>
    </xf>
    <xf borderId="0" fillId="0" fontId="24" numFmtId="0" xfId="0" applyAlignment="1" applyFont="1">
      <alignment vertical="bottom"/>
    </xf>
    <xf borderId="0" fillId="0" fontId="24" numFmtId="0" xfId="0" applyAlignment="1" applyFont="1">
      <alignment horizontal="center" vertical="bottom"/>
    </xf>
    <xf borderId="0" fillId="0" fontId="25" numFmtId="0" xfId="0" applyAlignment="1" applyFont="1">
      <alignment horizontal="right" shrinkToFit="0" wrapText="1"/>
    </xf>
    <xf borderId="3" fillId="22" fontId="25" numFmtId="0" xfId="0" applyAlignment="1" applyBorder="1" applyFont="1">
      <alignment shrinkToFit="0" wrapText="1"/>
    </xf>
    <xf borderId="3" fillId="22" fontId="25" numFmtId="0" xfId="0" applyAlignment="1" applyBorder="1" applyFont="1">
      <alignment horizontal="center" shrinkToFit="0" wrapText="1"/>
    </xf>
    <xf borderId="0" fillId="22" fontId="25" numFmtId="0" xfId="0" applyAlignment="1" applyFont="1">
      <alignment shrinkToFit="0" wrapText="1"/>
    </xf>
    <xf borderId="3" fillId="11" fontId="26" numFmtId="0" xfId="0" applyAlignment="1" applyBorder="1" applyFont="1">
      <alignment vertical="top"/>
    </xf>
    <xf borderId="3" fillId="11" fontId="26" numFmtId="0" xfId="0" applyAlignment="1" applyBorder="1" applyFont="1">
      <alignment horizontal="center" vertical="bottom"/>
    </xf>
    <xf borderId="3" fillId="11" fontId="24" numFmtId="0" xfId="0" applyAlignment="1" applyBorder="1" applyFont="1">
      <alignment vertical="bottom"/>
    </xf>
    <xf borderId="0" fillId="0" fontId="24" numFmtId="0" xfId="0" applyAlignment="1" applyFont="1">
      <alignment horizontal="center" vertical="bottom"/>
    </xf>
    <xf borderId="0" fillId="17" fontId="24" numFmtId="0" xfId="0" applyAlignment="1" applyFont="1">
      <alignment vertical="bottom"/>
    </xf>
    <xf borderId="3" fillId="17" fontId="26" numFmtId="0" xfId="0" applyAlignment="1" applyBorder="1" applyFont="1">
      <alignment horizontal="center" readingOrder="0" vertical="bottom"/>
    </xf>
    <xf borderId="0" fillId="24" fontId="24" numFmtId="0" xfId="0" applyAlignment="1" applyFill="1" applyFont="1">
      <alignment horizontal="center" readingOrder="0" vertical="bottom"/>
    </xf>
    <xf borderId="3" fillId="11" fontId="26" numFmtId="0" xfId="0" applyAlignment="1" applyBorder="1" applyFont="1">
      <alignment horizontal="center" readingOrder="0" vertical="bottom"/>
    </xf>
    <xf borderId="3" fillId="17" fontId="26" numFmtId="0" xfId="0" applyAlignment="1" applyBorder="1" applyFont="1">
      <alignment horizontal="center" vertical="bottom"/>
    </xf>
    <xf borderId="3" fillId="11" fontId="26" numFmtId="0" xfId="0" applyAlignment="1" applyBorder="1" applyFont="1">
      <alignment readingOrder="0" vertical="top"/>
    </xf>
    <xf borderId="3" fillId="11" fontId="27" numFmtId="0" xfId="0" applyAlignment="1" applyBorder="1" applyFont="1">
      <alignment horizontal="center" readingOrder="0" vertical="bottom"/>
    </xf>
    <xf borderId="3" fillId="17" fontId="27" numFmtId="0" xfId="0" applyAlignment="1" applyBorder="1" applyFont="1">
      <alignment horizontal="center" readingOrder="0" vertical="bottom"/>
    </xf>
    <xf borderId="4" fillId="11" fontId="26" numFmtId="0" xfId="0" applyAlignment="1" applyBorder="1" applyFont="1">
      <alignment vertical="top"/>
    </xf>
    <xf borderId="5" fillId="25" fontId="27" numFmtId="0" xfId="0" applyAlignment="1" applyBorder="1" applyFill="1" applyFont="1">
      <alignment vertical="top"/>
    </xf>
    <xf borderId="6" fillId="25" fontId="27" numFmtId="0" xfId="0" applyAlignment="1" applyBorder="1" applyFont="1">
      <alignment horizontal="center" vertical="bottom"/>
    </xf>
    <xf borderId="7" fillId="25" fontId="27" numFmtId="0" xfId="0" applyAlignment="1" applyBorder="1" applyFont="1">
      <alignment horizontal="center" vertical="bottom"/>
    </xf>
    <xf borderId="8" fillId="25" fontId="24" numFmtId="0" xfId="0" applyAlignment="1" applyBorder="1" applyFont="1">
      <alignment vertical="bottom"/>
    </xf>
    <xf borderId="0" fillId="0" fontId="1" numFmtId="0" xfId="0" applyAlignment="1" applyFont="1">
      <alignment horizontal="center"/>
    </xf>
    <xf borderId="1" fillId="2" fontId="5" numFmtId="0" xfId="0" applyAlignment="1" applyBorder="1" applyFont="1">
      <alignment horizontal="center" readingOrder="0" shrinkToFit="0" vertical="center" wrapText="1"/>
    </xf>
    <xf borderId="1" fillId="4" fontId="3" numFmtId="0" xfId="0" applyAlignment="1" applyBorder="1" applyFont="1">
      <alignment horizontal="center" shrinkToFit="0" vertical="center" wrapText="1"/>
    </xf>
    <xf borderId="1" fillId="26" fontId="3" numFmtId="0" xfId="0" applyAlignment="1" applyBorder="1" applyFill="1" applyFont="1">
      <alignment horizontal="center" readingOrder="0" shrinkToFit="0" vertical="center" wrapText="1"/>
    </xf>
    <xf borderId="1" fillId="0" fontId="6" numFmtId="0" xfId="0" applyAlignment="1" applyBorder="1" applyFont="1">
      <alignment horizontal="left" readingOrder="0" shrinkToFit="0" vertical="center" wrapText="1"/>
    </xf>
    <xf borderId="1" fillId="7" fontId="6" numFmtId="0" xfId="0" applyAlignment="1" applyBorder="1" applyFont="1">
      <alignment horizontal="center" readingOrder="0" shrinkToFit="0" vertical="center" wrapText="1"/>
    </xf>
    <xf borderId="1" fillId="2" fontId="6" numFmtId="0" xfId="0" applyAlignment="1" applyBorder="1" applyFont="1">
      <alignment horizontal="left" readingOrder="0" shrinkToFit="0" vertical="center" wrapText="1"/>
    </xf>
    <xf borderId="1" fillId="8" fontId="28" numFmtId="0" xfId="0" applyAlignment="1" applyBorder="1" applyFont="1">
      <alignment horizontal="left" readingOrder="0" shrinkToFit="0" vertical="center" wrapText="1"/>
    </xf>
    <xf quotePrefix="1" borderId="1" fillId="0" fontId="6" numFmtId="0" xfId="0" applyAlignment="1" applyBorder="1" applyFont="1">
      <alignment horizontal="left" readingOrder="0" shrinkToFit="0" vertical="center" wrapText="1"/>
    </xf>
    <xf quotePrefix="1" borderId="1" fillId="12" fontId="6" numFmtId="0" xfId="0" applyAlignment="1" applyBorder="1" applyFont="1">
      <alignment horizontal="left" readingOrder="0" shrinkToFit="0" vertical="center" wrapText="1"/>
    </xf>
    <xf borderId="1" fillId="0" fontId="6" numFmtId="0" xfId="0" applyAlignment="1" applyBorder="1" applyFont="1">
      <alignment horizontal="center" vertical="center"/>
    </xf>
    <xf borderId="1" fillId="0" fontId="29" numFmtId="0" xfId="0" applyAlignment="1" applyBorder="1" applyFont="1">
      <alignment horizontal="left" readingOrder="0" shrinkToFit="0" vertical="center" wrapText="1"/>
    </xf>
    <xf borderId="1" fillId="0" fontId="6" numFmtId="0" xfId="0" applyAlignment="1" applyBorder="1" applyFont="1">
      <alignment horizontal="center" shrinkToFit="0" vertical="center" wrapText="1"/>
    </xf>
    <xf borderId="1" fillId="18" fontId="24" numFmtId="0" xfId="0" applyAlignment="1" applyBorder="1" applyFont="1">
      <alignment vertical="center"/>
    </xf>
    <xf borderId="2" fillId="0" fontId="6" numFmtId="0" xfId="0" applyAlignment="1" applyBorder="1" applyFont="1">
      <alignment horizontal="center" shrinkToFit="0" vertical="center" wrapText="1"/>
    </xf>
    <xf borderId="9" fillId="0" fontId="30" numFmtId="0" xfId="0" applyBorder="1" applyFont="1"/>
    <xf borderId="1" fillId="0" fontId="31" numFmtId="0" xfId="0" applyAlignment="1" applyBorder="1" applyFont="1">
      <alignment horizontal="left" readingOrder="0" shrinkToFit="0" vertical="center" wrapText="1"/>
    </xf>
    <xf borderId="1" fillId="0" fontId="31" numFmtId="0" xfId="0" applyAlignment="1" applyBorder="1" applyFont="1">
      <alignment horizontal="center" readingOrder="0" shrinkToFit="0" vertical="center" wrapText="1"/>
    </xf>
    <xf borderId="1" fillId="0" fontId="32" numFmtId="0" xfId="0" applyAlignment="1" applyBorder="1" applyFont="1">
      <alignment readingOrder="0" shrinkToFit="0" vertical="center" wrapText="1"/>
    </xf>
    <xf borderId="1" fillId="0" fontId="31" numFmtId="0" xfId="0" applyAlignment="1" applyBorder="1" applyFont="1">
      <alignment horizontal="center" shrinkToFit="0" vertical="center" wrapText="1"/>
    </xf>
    <xf borderId="1" fillId="0" fontId="33" numFmtId="0" xfId="0" applyAlignment="1" applyBorder="1" applyFont="1">
      <alignment readingOrder="0" shrinkToFit="0" vertical="center" wrapText="1"/>
    </xf>
    <xf borderId="1" fillId="7" fontId="3" numFmtId="0" xfId="0" applyAlignment="1" applyBorder="1" applyFont="1">
      <alignment horizontal="center" shrinkToFit="0" wrapText="1"/>
    </xf>
    <xf borderId="0" fillId="0" fontId="6" numFmtId="0" xfId="0" applyAlignment="1" applyFont="1">
      <alignment horizontal="center" vertical="center"/>
    </xf>
    <xf borderId="1" fillId="8" fontId="28" numFmtId="0" xfId="0" applyAlignment="1" applyBorder="1" applyFont="1">
      <alignment horizontal="center" readingOrder="0" shrinkToFit="0" vertical="center" wrapText="1"/>
    </xf>
    <xf borderId="1" fillId="18" fontId="24" numFmtId="0" xfId="0" applyBorder="1" applyFont="1"/>
    <xf borderId="1" fillId="8" fontId="34" numFmtId="0" xfId="0" applyAlignment="1" applyBorder="1" applyFont="1">
      <alignment horizontal="center" readingOrder="0" shrinkToFit="0" vertical="center" wrapText="1"/>
    </xf>
    <xf quotePrefix="1" borderId="1" fillId="12" fontId="6" numFmtId="0" xfId="0" applyAlignment="1" applyBorder="1" applyFont="1">
      <alignment horizontal="center" shrinkToFit="0" wrapText="1"/>
    </xf>
    <xf borderId="1" fillId="0" fontId="35" numFmtId="0" xfId="0" applyAlignment="1" applyBorder="1" applyFont="1">
      <alignment horizontal="center" shrinkToFit="0" wrapText="1"/>
    </xf>
    <xf borderId="1" fillId="18" fontId="24" numFmtId="0" xfId="0" applyBorder="1" applyFont="1"/>
    <xf borderId="1" fillId="0" fontId="36" numFmtId="0" xfId="0" applyAlignment="1" applyBorder="1" applyFont="1">
      <alignment horizontal="center" shrinkToFit="0" wrapText="1"/>
    </xf>
    <xf borderId="2" fillId="0" fontId="6" numFmtId="0" xfId="0" applyAlignment="1" applyBorder="1" applyFont="1">
      <alignment horizontal="center" shrinkToFit="0" wrapText="1"/>
    </xf>
    <xf borderId="0" fillId="8" fontId="6" numFmtId="0" xfId="0" applyAlignment="1" applyFont="1">
      <alignment horizontal="center" vertical="center"/>
    </xf>
    <xf borderId="0" fillId="0" fontId="24" numFmtId="0" xfId="0" applyFont="1"/>
    <xf borderId="1" fillId="27" fontId="19" numFmtId="0" xfId="0" applyAlignment="1" applyBorder="1" applyFill="1" applyFont="1">
      <alignment horizontal="center" shrinkToFit="0" vertical="center" wrapText="1"/>
    </xf>
    <xf borderId="1" fillId="27" fontId="19" numFmtId="0" xfId="0" applyAlignment="1" applyBorder="1" applyFont="1">
      <alignment horizontal="center" readingOrder="0" shrinkToFit="0" vertical="center" wrapText="1"/>
    </xf>
    <xf borderId="1" fillId="27" fontId="24" numFmtId="0" xfId="0" applyAlignment="1" applyBorder="1" applyFont="1">
      <alignment horizontal="center" readingOrder="0" shrinkToFit="0" vertical="center" wrapText="1"/>
    </xf>
    <xf borderId="1" fillId="27" fontId="24" numFmtId="0" xfId="0" applyAlignment="1" applyBorder="1" applyFont="1">
      <alignment horizontal="center" shrinkToFit="0" vertical="center" wrapText="1"/>
    </xf>
    <xf borderId="10" fillId="11" fontId="24" numFmtId="0" xfId="0" applyAlignment="1" applyBorder="1" applyFont="1">
      <alignment shrinkToFit="0" vertical="center" wrapText="0"/>
    </xf>
    <xf borderId="11" fillId="11" fontId="24" numFmtId="0" xfId="0" applyAlignment="1" applyBorder="1" applyFont="1">
      <alignment horizontal="center" readingOrder="0" shrinkToFit="0" vertical="center" wrapText="0"/>
    </xf>
    <xf borderId="11" fillId="11" fontId="24" numFmtId="0" xfId="0" applyAlignment="1" applyBorder="1" applyFont="1">
      <alignment readingOrder="0" shrinkToFit="0" vertical="center" wrapText="0"/>
    </xf>
    <xf borderId="12" fillId="11" fontId="24" numFmtId="0" xfId="0" applyAlignment="1" applyBorder="1" applyFont="1">
      <alignment horizontal="center" readingOrder="0" shrinkToFit="0" vertical="center" wrapText="0"/>
    </xf>
    <xf borderId="13" fillId="11" fontId="24" numFmtId="0" xfId="0" applyAlignment="1" applyBorder="1" applyFont="1">
      <alignment shrinkToFit="0" vertical="center" wrapText="0"/>
    </xf>
    <xf borderId="14" fillId="11" fontId="24" numFmtId="0" xfId="0" applyAlignment="1" applyBorder="1" applyFont="1">
      <alignment shrinkToFit="0" vertical="center" wrapText="0"/>
    </xf>
    <xf borderId="15" fillId="28" fontId="24" numFmtId="0" xfId="0" applyAlignment="1" applyBorder="1" applyFill="1" applyFont="1">
      <alignment shrinkToFit="0" vertical="center" wrapText="0"/>
    </xf>
    <xf borderId="11" fillId="28" fontId="24" numFmtId="0" xfId="0" applyAlignment="1" applyBorder="1" applyFont="1">
      <alignment horizontal="center" readingOrder="0" shrinkToFit="0" vertical="center" wrapText="0"/>
    </xf>
    <xf borderId="11" fillId="28" fontId="24" numFmtId="0" xfId="0" applyAlignment="1" applyBorder="1" applyFont="1">
      <alignment readingOrder="0" shrinkToFit="0" vertical="center" wrapText="0"/>
    </xf>
    <xf borderId="16" fillId="28" fontId="24" numFmtId="0" xfId="0" applyAlignment="1" applyBorder="1" applyFont="1">
      <alignment readingOrder="0" shrinkToFit="0" vertical="center" wrapText="0"/>
    </xf>
    <xf borderId="16" fillId="28" fontId="24" numFmtId="0" xfId="0" applyAlignment="1" applyBorder="1" applyFont="1">
      <alignment horizontal="center" readingOrder="0" shrinkToFit="0" vertical="center" wrapText="0"/>
    </xf>
    <xf borderId="17" fillId="28" fontId="24" numFmtId="0" xfId="0" applyAlignment="1" applyBorder="1" applyFont="1">
      <alignment horizontal="center" readingOrder="0" shrinkToFit="0" vertical="center" wrapText="0"/>
    </xf>
    <xf borderId="13" fillId="28" fontId="24" numFmtId="0" xfId="0" applyAlignment="1" applyBorder="1" applyFont="1">
      <alignment shrinkToFit="0" vertical="center" wrapText="0"/>
    </xf>
    <xf borderId="14" fillId="28" fontId="24" numFmtId="0" xfId="0" applyAlignment="1" applyBorder="1" applyFont="1">
      <alignment shrinkToFit="0" vertical="center" wrapText="0"/>
    </xf>
    <xf borderId="15" fillId="11" fontId="24" numFmtId="0" xfId="0" applyAlignment="1" applyBorder="1" applyFont="1">
      <alignment shrinkToFit="0" vertical="center" wrapText="0"/>
    </xf>
    <xf borderId="16" fillId="11" fontId="24" numFmtId="0" xfId="0" applyAlignment="1" applyBorder="1" applyFont="1">
      <alignment readingOrder="0" shrinkToFit="0" vertical="center" wrapText="0"/>
    </xf>
    <xf borderId="16" fillId="11" fontId="24" numFmtId="0" xfId="0" applyAlignment="1" applyBorder="1" applyFont="1">
      <alignment horizontal="center" readingOrder="0" shrinkToFit="0" vertical="center" wrapText="0"/>
    </xf>
    <xf borderId="17" fillId="11" fontId="24" numFmtId="0" xfId="0" applyAlignment="1" applyBorder="1" applyFont="1">
      <alignment horizontal="center" readingOrder="0" shrinkToFit="0" vertical="center" wrapText="0"/>
    </xf>
    <xf borderId="18" fillId="28" fontId="24" numFmtId="0" xfId="0" applyAlignment="1" applyBorder="1" applyFont="1">
      <alignment shrinkToFit="0" vertical="center" wrapText="0"/>
    </xf>
    <xf borderId="14" fillId="28" fontId="24" numFmtId="0" xfId="0" applyAlignment="1" applyBorder="1" applyFont="1">
      <alignment horizontal="center" readingOrder="0" shrinkToFit="0" vertical="center" wrapText="0"/>
    </xf>
    <xf borderId="14" fillId="28" fontId="24" numFmtId="0" xfId="0" applyAlignment="1" applyBorder="1" applyFont="1">
      <alignment readingOrder="0" shrinkToFit="0" vertical="center" wrapText="0"/>
    </xf>
    <xf borderId="19" fillId="28" fontId="24" numFmtId="0" xfId="0" applyAlignment="1" applyBorder="1" applyFont="1">
      <alignment readingOrder="0" shrinkToFit="0" vertical="center" wrapText="0"/>
    </xf>
    <xf borderId="19" fillId="28" fontId="24" numFmtId="0" xfId="0" applyAlignment="1" applyBorder="1" applyFont="1">
      <alignment horizontal="center" readingOrder="0" shrinkToFit="0" vertical="center" wrapText="0"/>
    </xf>
    <xf borderId="20" fillId="28" fontId="24" numFmtId="0" xfId="0" applyAlignment="1" applyBorder="1" applyFont="1">
      <alignment horizontal="center" readingOrder="0" shrinkToFit="0" vertical="center" wrapText="0"/>
    </xf>
    <xf borderId="1" fillId="29" fontId="19" numFmtId="0" xfId="0" applyAlignment="1" applyBorder="1" applyFill="1" applyFont="1">
      <alignment shrinkToFit="0" vertical="center" wrapText="0"/>
    </xf>
    <xf borderId="1" fillId="29" fontId="24" numFmtId="0" xfId="0" applyAlignment="1" applyBorder="1" applyFont="1">
      <alignment horizontal="center" readingOrder="0" shrinkToFit="0" vertical="center" wrapText="0"/>
    </xf>
    <xf borderId="1" fillId="29" fontId="24" numFmtId="0" xfId="0" applyAlignment="1" applyBorder="1" applyFont="1">
      <alignment readingOrder="0" shrinkToFit="0" vertical="center" wrapText="0"/>
    </xf>
    <xf borderId="1" fillId="29" fontId="24" numFmtId="0" xfId="0" applyAlignment="1" applyBorder="1" applyFont="1">
      <alignment shrinkToFit="0" vertical="center" wrapText="0"/>
    </xf>
    <xf borderId="1" fillId="28" fontId="24" numFmtId="0" xfId="0" applyAlignment="1" applyBorder="1" applyFont="1">
      <alignment shrinkToFit="0" vertical="center" wrapText="0"/>
    </xf>
    <xf borderId="1" fillId="28" fontId="24" numFmtId="0" xfId="0" applyAlignment="1" applyBorder="1" applyFont="1">
      <alignment horizontal="center" readingOrder="0" shrinkToFit="0" vertical="center" wrapText="0"/>
    </xf>
    <xf borderId="1" fillId="28" fontId="24" numFmtId="0" xfId="0" applyAlignment="1" applyBorder="1" applyFont="1">
      <alignment readingOrder="0" shrinkToFit="0" vertical="center" wrapText="0"/>
    </xf>
    <xf borderId="1" fillId="11" fontId="24" numFmtId="0" xfId="0" applyAlignment="1" applyBorder="1" applyFont="1">
      <alignment shrinkToFit="0" vertical="center" wrapText="0"/>
    </xf>
    <xf borderId="1" fillId="11" fontId="24" numFmtId="0" xfId="0" applyAlignment="1" applyBorder="1" applyFont="1">
      <alignment horizontal="center" readingOrder="0" shrinkToFit="0" vertical="center" wrapText="0"/>
    </xf>
    <xf borderId="1" fillId="11" fontId="24" numFmtId="0" xfId="0" applyAlignment="1" applyBorder="1" applyFont="1">
      <alignment readingOrder="0" shrinkToFit="0" vertical="center" wrapText="0"/>
    </xf>
    <xf borderId="1" fillId="11" fontId="37" numFmtId="0" xfId="0" applyAlignment="1" applyBorder="1" applyFont="1">
      <alignment readingOrder="0" shrinkToFit="0" vertical="center" wrapText="0"/>
    </xf>
    <xf borderId="1" fillId="28" fontId="37" numFmtId="0" xfId="0" applyAlignment="1" applyBorder="1" applyFont="1">
      <alignment readingOrder="0" shrinkToFit="0" vertical="center" wrapText="0"/>
    </xf>
    <xf borderId="1" fillId="29" fontId="38" numFmtId="0" xfId="0" applyAlignment="1" applyBorder="1" applyFont="1">
      <alignment readingOrder="0" shrinkToFit="0" vertical="center" wrapText="0"/>
    </xf>
    <xf borderId="1" fillId="29" fontId="19" numFmtId="0" xfId="0" applyAlignment="1" applyBorder="1" applyFont="1">
      <alignment readingOrder="0" shrinkToFit="0" vertical="center" wrapText="0"/>
    </xf>
    <xf borderId="1" fillId="11" fontId="24" numFmtId="0" xfId="0" applyAlignment="1" applyBorder="1" applyFont="1">
      <alignment shrinkToFit="0" vertical="center" wrapText="0"/>
    </xf>
    <xf borderId="1" fillId="11" fontId="24" numFmtId="0" xfId="0" applyAlignment="1" applyBorder="1" applyFont="1">
      <alignment horizontal="center" shrinkToFit="0" vertical="center" wrapText="0"/>
    </xf>
    <xf borderId="1" fillId="29" fontId="24" numFmtId="0" xfId="0" applyAlignment="1" applyBorder="1" applyFont="1">
      <alignment horizontal="center" shrinkToFit="0" vertical="center" wrapText="0"/>
    </xf>
    <xf borderId="1" fillId="29" fontId="24" numFmtId="0" xfId="0" applyAlignment="1" applyBorder="1" applyFont="1">
      <alignment shrinkToFit="0" vertical="center" wrapText="0"/>
    </xf>
    <xf borderId="1" fillId="29" fontId="37" numFmtId="0" xfId="0" applyAlignment="1" applyBorder="1" applyFont="1">
      <alignment readingOrder="0" shrinkToFit="0" vertical="center" wrapText="0"/>
    </xf>
    <xf borderId="0" fillId="0" fontId="24" numFmtId="0" xfId="0" applyAlignment="1" applyFont="1">
      <alignment shrinkToFit="0" vertical="center" wrapText="0"/>
    </xf>
    <xf borderId="0" fillId="0" fontId="24" numFmtId="0" xfId="0" applyAlignment="1" applyFont="1">
      <alignment horizontal="center" shrinkToFit="0" vertical="center" wrapText="0"/>
    </xf>
  </cellXfs>
  <cellStyles count="1">
    <cellStyle xfId="0" name="Normal" builtinId="0"/>
  </cellStyles>
  <dxfs count="4">
    <dxf>
      <font/>
      <fill>
        <patternFill patternType="solid">
          <fgColor rgb="FF9FC5E8"/>
          <bgColor rgb="FF9FC5E8"/>
        </patternFill>
      </fill>
      <border/>
    </dxf>
    <dxf>
      <font/>
      <fill>
        <patternFill patternType="solid">
          <fgColor rgb="FFFFF2CC"/>
          <bgColor rgb="FFFFF2CC"/>
        </patternFill>
      </fill>
      <border/>
    </dxf>
    <dxf>
      <font/>
      <fill>
        <patternFill patternType="solid">
          <fgColor rgb="FFFFFF00"/>
          <bgColor rgb="FFFFFF00"/>
        </patternFill>
      </fill>
      <border/>
    </dxf>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8f1ab33-4e37-48cd-848b-31569d52baa0}">
    <Anchor>
      <Comment id="{fdde8feb-1c1f-4856-af00-8f40f4fa141d}"/>
    </Anchor>
    <History>
      <Event time="2025-08-27T04:10:11.00" id="{59d24199-a13d-4819-a7d0-94c36655058a}">
        <Attribution userId="placeholder@email.com" userName="Arthur Michel" userProvider="google-sheets"/>
        <Anchor>
          <Comment id="{fdde8feb-1c1f-4856-af00-8f40f4fa141d}"/>
        </Anchor>
        <Create/>
      </Event>
      <Event time="2025-08-27T04:10:11.00" id="{ac19f7ab-617c-4c10-88b1-5a71c1ce33b5}">
        <Attribution userId="placeholder@email.com" userName="Arthur Michel" userProvider="google-sheets"/>
        <Anchor>
          <Comment id="{fdde8feb-1c1f-4856-af00-8f40f4fa141d}"/>
        </Anchor>
        <Assign userId="donnie.yee@trilogy.com" userName="donnie.yee@trilogy.com" userProvider="google-sheets"/>
      </Event>
    </History>
  </Task>
  <Task id="{bf054523-8e0f-49ee-af7b-f08c18b747f5}">
    <Anchor>
      <Comment id="{d0ef62a3-2a91-4f48-baec-bf3b4754e489}"/>
    </Anchor>
    <History>
      <Event time="2025-08-27T04:09:40.00" id="{52a48a1d-de49-4634-b728-a27ac656544e}">
        <Attribution userId="placeholder@email.com" userName="Arthur Michel" userProvider="google-sheets"/>
        <Anchor>
          <Comment id="{d0ef62a3-2a91-4f48-baec-bf3b4754e489}"/>
        </Anchor>
        <Create/>
      </Event>
      <Event time="2025-08-27T04:09:40.00" id="{664ce397-bbae-4923-bda8-fefbc9a8e22b}">
        <Attribution userId="placeholder@email.com" userName="Arthur Michel" userProvider="google-sheets"/>
        <Anchor>
          <Comment id="{d0ef62a3-2a91-4f48-baec-bf3b4754e489}"/>
        </Anchor>
        <Assign userId="donnie.yee@trilogy.com" userName="donnie.yee@trilogy.com" userProvider="google-sheets"/>
      </Event>
    </History>
  </Task>
  <Task id="{7fbf433c-dad3-42be-8c96-ea666c73dd43}">
    <Anchor>
      <Comment id="{e3c000e3-0703-40ff-b2bb-3211601a6e1c}"/>
    </Anchor>
    <History>
      <Event time="2025-08-22T11:27:22.00" id="{bb07297b-ff8b-4636-8611-056c95496d84}">
        <Attribution userId="placeholder@email.com" userName="Amelia Baldwin" userProvider="google-sheets"/>
        <Anchor>
          <Comment id="{e3c000e3-0703-40ff-b2bb-3211601a6e1c}"/>
        </Anchor>
        <Create/>
      </Event>
      <Event time="2025-08-22T11:27:22.00" id="{0b249458-6284-412c-90a9-568655a6a923}">
        <Attribution userId="placeholder@email.com" userName="Amelia Baldwin" userProvider="google-sheets"/>
        <Anchor>
          <Comment id="{e3c000e3-0703-40ff-b2bb-3211601a6e1c}"/>
        </Anchor>
        <Assign userId="joe.marone@alpha.school" userName="joe.marone@alpha.school" userProvider="google-sheets"/>
      </Event>
    </History>
  </Task>
  <Task id="{e587696f-e022-4a63-8fa5-c1d3261ed5af}">
    <Anchor>
      <Comment id="{8a95f77d-a859-43fa-9002-be9822102752}"/>
    </Anchor>
    <History>
      <Event time="2025-08-19T12:27:47.00" id="{3f67ae2d-700b-4f9f-9c56-3e01bb4a1c11}">
        <Attribution userId="placeholder@email.com" userName="Arthur Michel" userProvider="google-sheets"/>
        <Anchor>
          <Comment id="{8a95f77d-a859-43fa-9002-be9822102752}"/>
        </Anchor>
        <Create/>
      </Event>
      <Event time="2025-08-19T12:27:47.00" id="{385afca6-0cd2-4cb5-9bd9-6689d97ac704}">
        <Attribution userId="placeholder@email.com" userName="Arthur Michel" userProvider="google-sheets"/>
        <Anchor>
          <Comment id="{8a95f77d-a859-43fa-9002-be9822102752}"/>
        </Anchor>
        <Assign userId="amelia.baldwin@2hourlearning.com" userName="amelia.baldwin@2hourlearning.com" userProvider="google-sheets"/>
      </Event>
    </History>
  </Task>
  <Task id="{b1534ef4-67d4-42ac-9a97-63780bd7a46b}">
    <Anchor>
      <Comment id="{4519ae07-0201-4121-b280-5cfabda6e25c}"/>
    </Anchor>
    <History>
      <Event time="2025-08-12T15:58:57.00" id="{a943f84e-5189-4953-bcfd-0cb6e0aeada8}">
        <Attribution userId="placeholder@email.com" userName="Rachel Goodlad" userProvider="google-sheets"/>
        <Anchor>
          <Comment id="{4519ae07-0201-4121-b280-5cfabda6e25c}"/>
        </Anchor>
        <Create/>
      </Event>
      <Event time="2025-08-12T15:58:57.00" id="{bdaf588d-0802-4a98-b0a1-2560a8c4ed18}">
        <Attribution userId="placeholder@email.com" userName="Rachel Goodlad" userProvider="google-sheets"/>
        <Anchor>
          <Comment id="{4519ae07-0201-4121-b280-5cfabda6e25c}"/>
        </Anchor>
        <Assign userId="arthur@trilogy.com" userName="arthur@trilogy.com" userProvider="google-sheets"/>
      </Event>
    </History>
  </Task>
  <Task id="{4735ee00-a539-47bd-9f75-3857c9cbeb51}">
    <Anchor>
      <Comment id="{f18f3446-1607-44ac-8405-d970ff5c0bc8}"/>
    </Anchor>
    <History>
      <Event time="2025-08-12T15:59:50.00" id="{67c87fe6-30cc-4216-bdb8-01b46f7f5938}">
        <Attribution userId="placeholder@email.com" userName="Rachel Goodlad" userProvider="google-sheets"/>
        <Anchor>
          <Comment id="{f18f3446-1607-44ac-8405-d970ff5c0bc8}"/>
        </Anchor>
        <Create/>
      </Event>
      <Event time="2025-08-12T15:59:50.00" id="{2c0616a1-183b-4fcc-bdaa-7c2617c92d70}">
        <Attribution userId="placeholder@email.com" userName="Rachel Goodlad" userProvider="google-sheets"/>
        <Anchor>
          <Comment id="{f18f3446-1607-44ac-8405-d970ff5c0bc8}"/>
        </Anchor>
        <Assign userId="arthur@trilogy.com" userName="arthur@trilogy.com" userProvider="google-sheets"/>
      </Event>
    </History>
  </Task>
</Tasks>
</file>

<file path=xl/documenttasks/documenttask2.xml><?xml version="1.0" encoding="utf-8"?>
<Tasks xmlns="http://schemas.microsoft.com/office/tasks/2019/documenttasks">
  <Task id="{17992363-dcc8-4532-9e24-936f63af8abc}">
    <Anchor>
      <Comment id="{9e577065-47d4-493b-a64f-e56bbb40d981}"/>
    </Anchor>
    <History>
      <Event time="2025-07-29T15:37:34.00" id="{9c7f984e-5c6d-4f0f-bd92-71ff546a4dcf}">
        <Attribution userId="placeholder@email.com" userName="Arthur Michel" userProvider="google-sheets"/>
        <Anchor>
          <Comment id="{9e577065-47d4-493b-a64f-e56bbb40d981}"/>
        </Anchor>
        <Create/>
      </Event>
      <Event time="2025-07-29T15:37:34.00" id="{fe1f0807-24f2-4fd0-ae2c-42b20a0010a2}">
        <Attribution userId="placeholder@email.com" userName="Arthur Michel" userProvider="google-sheets"/>
        <Anchor>
          <Comment id="{9e577065-47d4-493b-a64f-e56bbb40d981}"/>
        </Anchor>
        <Assign userId="amelia.baldwin@2hourlearning.com" userName="amelia.baldwin@2hourlearning.com" userProvider="google-sheets"/>
      </Event>
    </History>
  </Task>
  <Task id="{0a9cd0be-f903-451b-8a5d-bc6996414562}">
    <Anchor>
      <Comment id="{89829cf3-8ef8-41f8-a466-3dc812c4aefe}"/>
    </Anchor>
    <History>
      <Event time="2025-07-18T15:07:19.00" id="{6cbfa97c-5c19-4177-bc35-cafebb0830ec}">
        <Attribution userId="placeholder@email.com" userName="Amelia Baldwin" userProvider="google-sheets"/>
        <Anchor>
          <Comment id="{89829cf3-8ef8-41f8-a466-3dc812c4aefe}"/>
        </Anchor>
        <Create/>
      </Event>
      <Event time="2025-07-18T15:07:19.00" id="{28cb679f-8c9b-42cb-a005-980513f4268c}">
        <Attribution userId="placeholder@email.com" userName="Amelia Baldwin" userProvider="google-sheets"/>
        <Anchor>
          <Comment id="{89829cf3-8ef8-41f8-a466-3dc812c4aefe}"/>
        </Anchor>
        <Assign userId="andrew.jordan@trilogy.com" userName="andrew.jordan@trilogy.com" userProvider="google-sheets"/>
      </Event>
    </History>
  </Task>
  <Task id="{5f44d49f-fc72-48f8-91dd-ec0d0d15f38e}">
    <Anchor>
      <Comment id="{193d6338-ae8c-401a-913c-8f7a28eab3ba}"/>
    </Anchor>
    <History>
      <Event time="2025-10-02T03:22:49.00" id="{aaee3cfe-5701-468c-9739-8aeed9339150}">
        <Attribution userId="placeholder@email.com" userName="Arthur Michel" userProvider="google-sheets"/>
        <Anchor>
          <Comment id="{193d6338-ae8c-401a-913c-8f7a28eab3ba}"/>
        </Anchor>
        <Create/>
      </Event>
      <Event time="2025-10-02T03:22:49.00" id="{81f2ebfa-d547-49ad-a31c-c05a254dc883}">
        <Attribution userId="placeholder@email.com" userName="Arthur Michel" userProvider="google-sheets"/>
        <Anchor>
          <Comment id="{193d6338-ae8c-401a-913c-8f7a28eab3ba}"/>
        </Anchor>
        <Assign userId="jc.fischer@trilogy.com" userName="jc.fischer@trilogy.com" userProvider="google-sheets"/>
      </Event>
    </History>
  </Task>
  <Task id="{a19fb3ad-e980-4c64-a54a-7016abffbef6}">
    <Anchor>
      <Comment id="{4b8a0c39-c751-4d34-b032-78d3c7e48523}"/>
    </Anchor>
    <History>
      <Event time="2025-07-18T15:07:33.00" id="{a3ca1bf3-dd6a-47dc-8168-01b32a9583df}">
        <Attribution userId="placeholder@email.com" userName="Amelia Baldwin" userProvider="google-sheets"/>
        <Anchor>
          <Comment id="{4b8a0c39-c751-4d34-b032-78d3c7e48523}"/>
        </Anchor>
        <Create/>
      </Event>
      <Event time="2025-07-18T15:07:33.00" id="{a59b2873-7c7b-49c1-9981-657d421e5c18}">
        <Attribution userId="placeholder@email.com" userName="Amelia Baldwin" userProvider="google-sheets"/>
        <Anchor>
          <Comment id="{4b8a0c39-c751-4d34-b032-78d3c7e48523}"/>
        </Anchor>
        <Assign userId="andrew.jordan@trilogy.com" userName="andrew.jordan@trilogy.com" userProvider="google-sheets"/>
      </Event>
    </History>
  </Task>
  <Task id="{8e1651c2-4085-4abc-a676-031d9b754d62}">
    <Anchor>
      <Comment id="{8993246a-8e5e-49dc-a6db-bf9452c0ace1}"/>
    </Anchor>
    <History>
      <Event time="2025-10-21T17:33:20.00" id="{87e32aab-472b-4b80-b4df-32bb9258d4c7}">
        <Attribution userId="placeholder@email.com" userName="Heather Lother" userProvider="google-sheets"/>
        <Anchor>
          <Comment id="{8993246a-8e5e-49dc-a6db-bf9452c0ace1}"/>
        </Anchor>
        <Create/>
      </Event>
      <Event time="2025-10-21T17:33:20.00" id="{b7d3bf87-0632-4409-8d0b-cf12a224f386}">
        <Attribution userId="placeholder@email.com" userName="Heather Lother" userProvider="google-sheets"/>
        <Anchor>
          <Comment id="{8993246a-8e5e-49dc-a6db-bf9452c0ace1}"/>
        </Anchor>
        <Assign userId="andrew.jordan@trilogy.com" userName="andrew.jordan@trilogy.com" userProvider="google-sheets"/>
      </Event>
    </History>
  </Task>
  <Task id="{e8272429-b7a4-4a65-b371-594a73e0eb59}">
    <Anchor>
      <Comment id="{e5747000-d3b0-406b-aea9-3df4ded08da8}"/>
    </Anchor>
    <History>
      <Event time="2025-11-16T17:31:33.00" id="{684f15ef-6297-4551-9fc5-6c2939f6011c}">
        <Attribution userId="placeholder@email.com" userName="Arthur Michel" userProvider="google-sheets"/>
        <Anchor>
          <Comment id="{e5747000-d3b0-406b-aea9-3df4ded08da8}"/>
        </Anchor>
        <Create/>
      </Event>
      <Event time="2025-11-16T17:31:33.00" id="{c72ae86c-fb7a-4a13-ad70-9ef2fc15d93d}">
        <Attribution userId="placeholder@email.com" userName="Arthur Michel" userProvider="google-sheets"/>
        <Anchor>
          <Comment id="{e5747000-d3b0-406b-aea9-3df4ded08da8}"/>
        </Anchor>
        <Assign userId="andrew.jordan@trilogy.com" userName="andrew.jordan@trilogy.com" userProvider="google-sheets"/>
      </Event>
    </History>
  </Task>
  <Task id="{a4a95979-6973-47f5-876e-93683c8ec53d}">
    <Anchor>
      <Comment id="{df9d27cf-1473-4d6a-880b-9766e5c3c52d}"/>
    </Anchor>
    <History>
      <Event time="2026-01-19T19:53:58.00" id="{93357b99-1dae-4cfa-a480-fcd47701a4b0}">
        <Attribution userId="placeholder@email.com" userName="Heather Lother" userProvider="google-sheets"/>
        <Anchor>
          <Comment id="{df9d27cf-1473-4d6a-880b-9766e5c3c52d}"/>
        </Anchor>
        <Create/>
      </Event>
      <Event time="2026-01-19T19:53:58.00" id="{305d80c2-1778-430f-b13e-ba6dd6073db7}">
        <Attribution userId="placeholder@email.com" userName="Heather Lother" userProvider="google-sheets"/>
        <Anchor>
          <Comment id="{df9d27cf-1473-4d6a-880b-9766e5c3c52d}"/>
        </Anchor>
        <Assign userId="heather.mcmahan@2hourlearning.com" userName="heather.mcmahan@2hourlearning.com" userProvider="google-sheets"/>
      </Event>
    </History>
  </Task>
  <Task id="{d7d801a3-77b8-4bbb-b272-4b3b7f5533a9}">
    <Anchor>
      <Comment id="{96bf0c3b-f1ef-48e9-80e1-b28889ff1990}"/>
    </Anchor>
    <History>
      <Event time="2025-08-25T00:41:28.00" id="{c06772bc-7538-424f-9b14-c9ed4ad3e10f}">
        <Attribution userId="placeholder@email.com" userName="Arthur Michel" userProvider="google-sheets"/>
        <Anchor>
          <Comment id="{96bf0c3b-f1ef-48e9-80e1-b28889ff1990}"/>
        </Anchor>
        <Create/>
      </Event>
      <Event time="2025-08-25T00:41:28.00" id="{9a3b5cfe-39f1-4bbb-9a08-a2fcca0b57b0}">
        <Attribution userId="placeholder@email.com" userName="Arthur Michel" userProvider="google-sheets"/>
        <Anchor>
          <Comment id="{96bf0c3b-f1ef-48e9-80e1-b28889ff1990}"/>
        </Anchor>
        <Assign userId="dmitry.bakaev@trilogy.com" userName="dmitry.bakaev@trilogy.com" userProvider="google-sheets"/>
      </Event>
    </History>
  </Task>
  <Task id="{b6e935e8-fa5a-473c-92e6-d9124555d7ad}">
    <Anchor>
      <Comment id="{aa2a676e-09db-4641-96ea-4d3cb12d9c1a}"/>
    </Anchor>
    <History>
      <Event time="2025-12-10T21:57:03.00" id="{a47103cc-3dba-436e-8515-5b675e7d4b91}">
        <Attribution userId="placeholder@email.com" userName="Arthur Michel" userProvider="google-sheets"/>
        <Anchor>
          <Comment id="{32fd9822-43dd-454e-80a2-18ffaf090b7a}"/>
        </Anchor>
        <Create/>
      </Event>
      <Event time="2025-12-10T21:57:03.00" id="{9a8f72eb-348d-4e8a-b122-f0f356bf5148}">
        <Attribution userId="placeholder@email.com" userName="Arthur Michel" userProvider="google-sheets"/>
        <Anchor>
          <Comment id="{32fd9822-43dd-454e-80a2-18ffaf090b7a}"/>
        </Anchor>
        <Assign userId="patrick.francia@trilogy.com" userName="patrick.francia@trilogy.com" userProvider="google-sheets"/>
      </Event>
    </History>
  </Task>
  <Task id="{f6dd4612-3356-4056-ac2c-4b6be86e184c}">
    <Anchor>
      <Comment id="{cf326078-523f-4e09-92e5-9573d71a20f9}"/>
    </Anchor>
    <History>
      <Event time="2025-06-27T13:32:07.00" id="{a82a2966-61ce-45fb-977d-5ff7668b370a}">
        <Attribution userId="placeholder@email.com" userName="Arthur Michel" userProvider="google-sheets"/>
        <Anchor>
          <Comment id="{cf326078-523f-4e09-92e5-9573d71a20f9}"/>
        </Anchor>
        <Create/>
      </Event>
      <Event time="2025-06-27T13:32:07.00" id="{4408c9a5-a8bb-4b8a-8bcd-507cb083b849}">
        <Attribution userId="placeholder@email.com" userName="Arthur Michel" userProvider="google-sheets"/>
        <Anchor>
          <Comment id="{cf326078-523f-4e09-92e5-9573d71a20f9}"/>
        </Anchor>
        <Assign userId="jan.dejager@trilogy.com" userName="jan.dejager@trilogy.com" userProvider="google-sheets"/>
      </Event>
    </History>
  </Task>
  <Task id="{c298364a-c8d4-4044-b03f-cbd67a77ded0}">
    <Anchor>
      <Comment id="{2ce35d20-1f1d-46cb-8baa-667bd709342b}"/>
    </Anchor>
    <History>
      <Event time="2025-09-22T19:16:52.00" id="{e09c203a-d47a-405f-ba94-bf911fba76d3}">
        <Attribution userId="placeholder@email.com" userName="Arthur Michel" userProvider="google-sheets"/>
        <Anchor>
          <Comment id="{2ce35d20-1f1d-46cb-8baa-667bd709342b}"/>
        </Anchor>
        <Create/>
      </Event>
      <Event time="2025-09-22T19:16:52.00" id="{2bf36492-71de-4cda-a431-5dd7731bf919}">
        <Attribution userId="placeholder@email.com" userName="Arthur Michel" userProvider="google-sheets"/>
        <Anchor>
          <Comment id="{2ce35d20-1f1d-46cb-8baa-667bd709342b}"/>
        </Anchor>
        <Assign userId="tasha.arnold@2hourlearning.com" userName="tasha.arnold@2hourlearning.com" userProvider="google-sheets"/>
      </Event>
    </History>
  </Task>
  <Task id="{ee559a80-f9cb-48b8-80a5-b33beab2d1d8}">
    <Anchor>
      <Comment id="{9f7fef6a-7e03-4d93-a108-a1e56be6bc38}"/>
    </Anchor>
    <History>
      <Event time="2025-07-16T19:16:12.00" id="{f4f1df23-3603-4ac3-86f3-f054304b7422}">
        <Attribution userId="placeholder@email.com" userName="Arthur Michel" userProvider="google-sheets"/>
        <Anchor>
          <Comment id="{9f7fef6a-7e03-4d93-a108-a1e56be6bc38}"/>
        </Anchor>
        <Create/>
      </Event>
      <Event time="2025-07-16T19:16:12.00" id="{a749d9de-8bc6-4227-bdb0-1490a3b2de4c}">
        <Attribution userId="placeholder@email.com" userName="Arthur Michel" userProvider="google-sheets"/>
        <Anchor>
          <Comment id="{9f7fef6a-7e03-4d93-a108-a1e56be6bc38}"/>
        </Anchor>
        <Assign userId="amelia.baldwin@2hourlearning.com" userName="amelia.baldwin@2hourlearning.com" userProvider="google-sheets"/>
      </Event>
    </History>
  </Task>
  <Task id="{3a21cc1c-df48-4500-9936-f0db1a74fc10}">
    <Anchor>
      <Comment id="{05940eba-824f-4bab-ae71-45a9a6a15673}"/>
    </Anchor>
    <History>
      <Event time="2025-09-23T14:13:43.00" id="{81dc5175-8fef-46f1-8ff1-7d3758885ec2}">
        <Attribution userId="placeholder@email.com" userName="Arthur Michel" userProvider="google-sheets"/>
        <Anchor>
          <Comment id="{05940eba-824f-4bab-ae71-45a9a6a15673}"/>
        </Anchor>
        <Create/>
      </Event>
      <Event time="2025-09-23T14:13:43.00" id="{e4b3df55-49c6-4820-a4b6-0883182a74c8}">
        <Attribution userId="placeholder@email.com" userName="Arthur Michel" userProvider="google-sheets"/>
        <Anchor>
          <Comment id="{05940eba-824f-4bab-ae71-45a9a6a15673}"/>
        </Anchor>
        <Assign userId="joshua.rockers@trilogy.com" userName="joshua.rockers@trilogy.com" userProvider="google-sheets"/>
      </Event>
    </History>
  </Task>
  <Task id="{c48b02b0-021c-4b4f-aa99-a28713e3ffa1}">
    <Anchor>
      <Comment id="{f866534b-e9c3-431d-9b07-a6b18e21114b}"/>
    </Anchor>
    <History>
      <Event time="2025-07-21T00:55:16.00" id="{32727ea4-dfe2-4eb2-a320-835f632c9c1f}">
        <Attribution userId="placeholder@email.com" userName="Amelia Baldwin" userProvider="google-sheets"/>
        <Anchor>
          <Comment id="{f866534b-e9c3-431d-9b07-a6b18e21114b}"/>
        </Anchor>
        <Create/>
      </Event>
      <Event time="2025-07-21T00:55:16.00" id="{0063a992-5038-4e43-a398-a4e4d65ea631}">
        <Attribution userId="placeholder@email.com" userName="Amelia Baldwin" userProvider="google-sheets"/>
        <Anchor>
          <Comment id="{f866534b-e9c3-431d-9b07-a6b18e21114b}"/>
        </Anchor>
        <Assign userId="andrew.jordan@trilogy.com" userName="andrew.jordan@trilogy.com" userProvider="google-sheets"/>
      </Event>
    </History>
  </Task>
  <Task id="{4bd14935-a013-4dab-89a9-a6b2ea902a1d}">
    <Anchor>
      <Comment id="{2ad4f553-d93d-4b4e-b6b1-e2b3a962df68}"/>
    </Anchor>
    <History>
      <Event time="2025-07-24T15:17:42.00" id="{54ca6535-48a4-472d-baf7-d79c6a40d4ac}">
        <Attribution userId="placeholder@email.com" userName="Amelia Baldwin" userProvider="google-sheets"/>
        <Anchor>
          <Comment id="{31e70b33-1d84-4651-b3ed-cca76393408d}"/>
        </Anchor>
        <Create/>
      </Event>
      <Event time="2025-07-24T15:17:42.00" id="{b8863cf6-3390-4fad-b2ca-79a3f4fb9d1d}">
        <Attribution userId="placeholder@email.com" userName="Amelia Baldwin" userProvider="google-sheets"/>
        <Anchor>
          <Comment id="{31e70b33-1d84-4651-b3ed-cca76393408d}"/>
        </Anchor>
        <Assign userId="joe.marone@alpha.school" userName="joe.marone@alpha.school" userProvider="google-sheets"/>
      </Event>
    </History>
  </Task>
  <Task id="{f70d1904-a193-4aa4-98d8-10dbd01a5e37}">
    <Anchor>
      <Comment id="{acc75c89-ee8f-4fb9-a231-4de522f31238}"/>
    </Anchor>
    <History>
      <Event time="2025-11-06T11:30:32.00" id="{d0d54c26-57f7-4e61-bc8b-5223ef76c26e}">
        <Attribution userId="placeholder@email.com" userName="Brian Baucher" userProvider="google-sheets"/>
        <Anchor>
          <Comment id="{acc75c89-ee8f-4fb9-a231-4de522f31238}"/>
        </Anchor>
        <Create/>
      </Event>
      <Event time="2025-11-06T11:30:32.00" id="{528b42ec-5612-4785-912b-c33b27dbda8d}">
        <Attribution userId="placeholder@email.com" userName="Brian Baucher" userProvider="google-sheets"/>
        <Anchor>
          <Comment id="{acc75c89-ee8f-4fb9-a231-4de522f31238}"/>
        </Anchor>
        <Assign userId="jan.dejager@trilogy.com" userName="jan.dejager@trilogy.com" userProvider="google-sheets"/>
      </Event>
    </History>
  </Task>
  <Task id="{89f2a81a-8329-4256-90cf-2854c853aab3}">
    <Anchor>
      <Comment id="{c8c43a64-e3bd-407a-a26f-5c691167724a}"/>
    </Anchor>
    <History>
      <Event time="2025-11-06T11:30:45.00" id="{518da8dd-00a1-4623-8ba4-f296985a2bca}">
        <Attribution userId="placeholder@email.com" userName="Brian Baucher" userProvider="google-sheets"/>
        <Anchor>
          <Comment id="{c8c43a64-e3bd-407a-a26f-5c691167724a}"/>
        </Anchor>
        <Create/>
      </Event>
      <Event time="2025-11-06T11:30:45.00" id="{fc9d0c91-adda-41db-bf14-ebce864c8d4a}">
        <Attribution userId="placeholder@email.com" userName="Brian Baucher" userProvider="google-sheets"/>
        <Anchor>
          <Comment id="{c8c43a64-e3bd-407a-a26f-5c691167724a}"/>
        </Anchor>
        <Assign userId="jan.dejager@trilogy.com" userName="jan.dejager@trilogy.com" userProvider="google-sheets"/>
      </Event>
    </History>
  </Task>
  <Task id="{088e35d5-7f8e-4b9d-bd87-8ac73443578b}">
    <Anchor>
      <Comment id="{34f0c760-0995-4c44-bc32-9cc9818ada1f}"/>
    </Anchor>
    <History>
      <Event time="2025-11-29T20:46:24.00" id="{d986bb58-ecb9-40c4-91ad-498065bf5a75}">
        <Attribution userId="placeholder@email.com" userName="Arthur Michel" userProvider="google-sheets"/>
        <Anchor>
          <Comment id="{34f0c760-0995-4c44-bc32-9cc9818ada1f}"/>
        </Anchor>
        <Create/>
      </Event>
      <Event time="2025-11-29T20:46:24.00" id="{b7ec1e4d-c0d4-4fc0-86a1-3ebb470d0146}">
        <Attribution userId="placeholder@email.com" userName="Arthur Michel" userProvider="google-sheets"/>
        <Anchor>
          <Comment id="{34f0c760-0995-4c44-bc32-9cc9818ada1f}"/>
        </Anchor>
        <Assign userId="jc.fischer@trilogy.com" userName="jc.fischer@trilogy.com" userProvider="google-sheets"/>
      </Event>
    </History>
  </Task>
  <Task id="{8696cb26-fa5c-445f-9d64-109ddba58d06}">
    <Anchor>
      <Comment id="{c7418463-e300-44c1-a07d-6c188501aef6}"/>
    </Anchor>
    <History>
      <Event time="2025-11-06T11:31:04.00" id="{ef50811f-9375-4477-99e9-4a54d4e44ec4}">
        <Attribution userId="placeholder@email.com" userName="Brian Baucher" userProvider="google-sheets"/>
        <Anchor>
          <Comment id="{c7418463-e300-44c1-a07d-6c188501aef6}"/>
        </Anchor>
        <Create/>
      </Event>
      <Event time="2025-11-06T11:31:04.00" id="{359f9ea9-7b03-4d97-873e-9c3495d2de63}">
        <Attribution userId="placeholder@email.com" userName="Brian Baucher" userProvider="google-sheets"/>
        <Anchor>
          <Comment id="{c7418463-e300-44c1-a07d-6c188501aef6}"/>
        </Anchor>
        <Assign userId="jan.dejager@trilogy.com" userName="jan.dejager@trilogy.com" userProvider="google-sheets"/>
      </Event>
    </History>
  </Task>
  <Task id="{2b02830f-bff4-4648-a4d9-8bb4602c189b}">
    <Anchor>
      <Comment id="{9463916c-1339-4f05-92e9-2ae7ca4ccf29}"/>
    </Anchor>
    <History>
      <Event time="2025-09-15T19:41:39.00" id="{66803d72-b598-4067-a94f-ea9f4b0b4d8f}">
        <Attribution userId="placeholder@email.com" userName="Tasha Arnold" userProvider="google-sheets"/>
        <Anchor>
          <Comment id="{9463916c-1339-4f05-92e9-2ae7ca4ccf29}"/>
        </Anchor>
        <Create/>
      </Event>
      <Event time="2025-09-15T19:41:39.00" id="{a1cd23bb-64fa-420e-b370-d0c130f943c2}">
        <Attribution userId="placeholder@email.com" userName="Tasha Arnold" userProvider="google-sheets"/>
        <Anchor>
          <Comment id="{9463916c-1339-4f05-92e9-2ae7ca4ccf29}"/>
        </Anchor>
        <Assign userId="heather.lother@crossover.com" userName="heather.lother@crossover.com" userProvider="google-sheets"/>
      </Event>
    </History>
  </Task>
  <Task id="{11017c9a-40ae-4f67-8c86-304ea5467022}">
    <Anchor>
      <Comment id="{942ff914-604f-48db-98f5-137d56f12379}"/>
    </Anchor>
    <History>
      <Event time="2025-08-27T14:25:32.00" id="{23f7ec71-f5c9-41e1-a2ae-dbc4c3d6c63c}">
        <Attribution userId="placeholder@email.com" userName="Brian Baucher" userProvider="google-sheets"/>
        <Anchor>
          <Comment id="{942ff914-604f-48db-98f5-137d56f12379}"/>
        </Anchor>
        <Create/>
      </Event>
      <Event time="2025-08-27T14:25:32.00" id="{af9823af-b595-4b45-84f2-0bce8f0ad622}">
        <Attribution userId="placeholder@email.com" userName="Brian Baucher" userProvider="google-sheets"/>
        <Anchor>
          <Comment id="{942ff914-604f-48db-98f5-137d56f12379}"/>
        </Anchor>
        <Assign userId="jan.dejager@trilogy.com" userName="jan.dejager@trilogy.com" userProvider="google-sheets"/>
      </Event>
    </History>
  </Task>
  <Task id="{9f6adfcb-c70f-4f9e-ac23-801356b8d8e1}">
    <Anchor>
      <Comment id="{f5f71b6d-834b-4bc6-975c-1fe9d8948bc4}"/>
    </Anchor>
    <History>
      <Event time="2025-12-19T16:46:51.00" id="{9fb5f5ae-e8d7-4527-b906-c452e7b92028}">
        <Attribution userId="placeholder@email.com" userName="Sam Anderson" userProvider="google-sheets"/>
        <Anchor>
          <Comment id="{56300f47-3c23-4106-a23f-cb738aecda5b}"/>
        </Anchor>
        <Create/>
      </Event>
      <Event time="2025-12-19T16:46:51.00" id="{9924362d-dfb0-4cae-a80e-ad39db7bd7fd}">
        <Attribution userId="placeholder@email.com" userName="Sam Anderson" userProvider="google-sheets"/>
        <Anchor>
          <Comment id="{56300f47-3c23-4106-a23f-cb738aecda5b}"/>
        </Anchor>
        <Assign userId="jake.petersen@trilogy.com" userName="jake.petersen@trilogy.com" userProvider="google-sheets"/>
      </Event>
    </History>
  </Task>
  <Task id="{80ff1910-53ce-4ce9-86bf-3b3285dc2313}">
    <Anchor>
      <Comment id="{a0e362cb-ad37-4ead-b037-3b5322ba5349}"/>
    </Anchor>
    <History>
      <Event time="2025-08-20T20:58:34.00" id="{502791bc-ce6e-4af9-b3cc-ae7226714f78}">
        <Attribution userId="placeholder@email.com" userName="Amelia Baldwin" userProvider="google-sheets"/>
        <Anchor>
          <Comment id="{a0e362cb-ad37-4ead-b037-3b5322ba5349}"/>
        </Anchor>
        <Create/>
      </Event>
      <Event time="2025-08-20T20:58:34.00" id="{1f0d4914-5f93-415a-a190-949ce73bee15}">
        <Attribution userId="placeholder@email.com" userName="Amelia Baldwin" userProvider="google-sheets"/>
        <Anchor>
          <Comment id="{a0e362cb-ad37-4ead-b037-3b5322ba5349}"/>
        </Anchor>
        <Assign userId="arthur@trilogy.com" userName="arthur@trilogy.com" userProvider="google-sheets"/>
      </Event>
    </History>
  </Task>
  <Task id="{1f0a67b2-759e-43b5-ad3c-119deb6e1ad7}">
    <Anchor>
      <Comment id="{ea95a154-3ae3-4d5c-a3c7-25e22365527f}"/>
    </Anchor>
    <History>
      <Event time="2025-08-27T14:25:18.00" id="{0e236759-cdd6-40d5-a8dd-14358c4bbeee}">
        <Attribution userId="placeholder@email.com" userName="Brian Baucher" userProvider="google-sheets"/>
        <Anchor>
          <Comment id="{ea95a154-3ae3-4d5c-a3c7-25e22365527f}"/>
        </Anchor>
        <Create/>
      </Event>
      <Event time="2025-08-27T14:25:18.00" id="{9d211ee7-fb23-4d6b-949e-3b898657af7a}">
        <Attribution userId="placeholder@email.com" userName="Brian Baucher" userProvider="google-sheets"/>
        <Anchor>
          <Comment id="{ea95a154-3ae3-4d5c-a3c7-25e22365527f}"/>
        </Anchor>
        <Assign userId="jan.dejager@trilogy.com" userName="jan.dejager@trilogy.com" userProvider="google-sheets"/>
      </Event>
    </History>
  </Task>
  <Task id="{bbc8f694-922a-4293-a7c7-278396a575db}">
    <Anchor>
      <Comment id="{941c58b1-68d2-4b3f-8e31-0aff0f019829}"/>
    </Anchor>
    <History>
      <Event time="2025-09-29T17:22:24.00" id="{659e55b2-5b28-4b69-8ddb-97a4749fab0b}">
        <Attribution userId="placeholder@email.com" userName="Arthur Michel" userProvider="google-sheets"/>
        <Anchor>
          <Comment id="{941c58b1-68d2-4b3f-8e31-0aff0f019829}"/>
        </Anchor>
        <Create/>
      </Event>
      <Event time="2025-09-29T17:22:24.00" id="{7f33b620-3cc6-4a42-b06a-3c2d8ad4f46f}">
        <Attribution userId="placeholder@email.com" userName="Arthur Michel" userProvider="google-sheets"/>
        <Anchor>
          <Comment id="{941c58b1-68d2-4b3f-8e31-0aff0f019829}"/>
        </Anchor>
        <Assign userId="andrew.jordan@trilogy.com" userName="andrew.jordan@trilogy.com" userProvider="google-sheets"/>
      </Event>
    </History>
  </Task>
  <Task id="{1f1a2b2f-d19a-4242-944f-575808742990}">
    <Anchor>
      <Comment id="{cddb522b-9a9a-4f36-a83c-05807e32d4ae}"/>
    </Anchor>
    <History>
      <Event time="2025-08-26T02:34:19.00" id="{6c95f474-6d48-41a0-be5e-4d208572a2ee}">
        <Attribution userId="placeholder@email.com" userName="Arthur Michel" userProvider="google-sheets"/>
        <Anchor>
          <Comment id="{cddb522b-9a9a-4f36-a83c-05807e32d4ae}"/>
        </Anchor>
        <Create/>
      </Event>
      <Event time="2025-08-26T02:34:19.00" id="{e9f0a80a-41c0-4ea4-b180-a1443a01963f}">
        <Attribution userId="placeholder@email.com" userName="Arthur Michel" userProvider="google-sheets"/>
        <Anchor>
          <Comment id="{cddb522b-9a9a-4f36-a83c-05807e32d4ae}"/>
        </Anchor>
        <Assign userId="andrew.jordan@trilogy.com" userName="andrew.jordan@trilogy.com" userProvider="google-sheets"/>
      </Event>
    </History>
  </Task>
  <Task id="{8d2d9022-7632-489e-b2d9-19b116fbe76a}">
    <Anchor>
      <Comment id="{f5ab23a8-2743-4679-acb4-c1b068e8b37f}"/>
    </Anchor>
    <History>
      <Event time="2025-12-11T18:14:43.00" id="{0576ac5e-0163-4c75-a37b-1ac655f3e191}">
        <Attribution userId="placeholder@email.com" userName="Arthur Michel" userProvider="google-sheets"/>
        <Anchor>
          <Comment id="{f5ab23a8-2743-4679-acb4-c1b068e8b37f}"/>
        </Anchor>
        <Create/>
      </Event>
      <Event time="2025-12-11T18:14:43.00" id="{b3740929-350b-4114-beb1-48891973a8fe}">
        <Attribution userId="placeholder@email.com" userName="Arthur Michel" userProvider="google-sheets"/>
        <Anchor>
          <Comment id="{f5ab23a8-2743-4679-acb4-c1b068e8b37f}"/>
        </Anchor>
        <Assign userId="greg.foote@trilogy.com" userName="greg.foote@trilogy.com" userProvider="google-sheets"/>
      </Event>
    </History>
  </Task>
  <Task id="{e5224b4b-338c-4a8b-a5c1-0ed56dad9b0a}">
    <Anchor>
      <Comment id="{317c55a9-a474-41c7-9987-9861950f4f55}"/>
    </Anchor>
    <History>
      <Event time="2025-09-17T00:02:55.00" id="{c6b6365d-3169-4bca-bf1f-2afe5a2d44ea}">
        <Attribution userId="placeholder@email.com" userName="Arthur Michel" userProvider="google-sheets"/>
        <Anchor>
          <Comment id="{317c55a9-a474-41c7-9987-9861950f4f55}"/>
        </Anchor>
        <Create/>
      </Event>
      <Event time="2025-09-17T00:02:55.00" id="{0b65b48b-2934-4d74-a9ae-5bb6c47e0d7c}">
        <Attribution userId="placeholder@email.com" userName="Arthur Michel" userProvider="google-sheets"/>
        <Anchor>
          <Comment id="{317c55a9-a474-41c7-9987-9861950f4f55}"/>
        </Anchor>
        <Assign userId="andrew.jordan@trilogy.com" userName="andrew.jordan@trilogy.com" userProvider="google-sheets"/>
      </Event>
    </History>
  </Task>
  <Task id="{42d2ecaf-f063-4f5d-814a-8bb401f5e14a}">
    <Anchor>
      <Comment id="{e06250d8-725d-4328-9b45-a3184e75c7a0}"/>
    </Anchor>
    <History>
      <Event time="2025-08-27T14:22:25.00" id="{3350dc75-6833-4975-8ee7-c330e560946b}">
        <Attribution userId="placeholder@email.com" userName="Brian Baucher" userProvider="google-sheets"/>
        <Anchor>
          <Comment id="{e06250d8-725d-4328-9b45-a3184e75c7a0}"/>
        </Anchor>
        <Create/>
      </Event>
      <Event time="2025-08-27T14:22:25.00" id="{4124467c-874c-4217-8646-89c1cce80347}">
        <Attribution userId="placeholder@email.com" userName="Brian Baucher" userProvider="google-sheets"/>
        <Anchor>
          <Comment id="{e06250d8-725d-4328-9b45-a3184e75c7a0}"/>
        </Anchor>
        <Assign userId="jan.dejager@trilogy.com" userName="jan.dejager@trilogy.com" userProvider="google-sheets"/>
      </Event>
    </History>
  </Task>
  <Task id="{980db1ba-2473-478e-b1a0-e0d9a10b2a87}">
    <Anchor>
      <Comment id="{05183b3d-a87b-4bb0-aa05-208a8ac604d1}"/>
    </Anchor>
    <History>
      <Event time="2026-02-09T17:19:32.00" id="{a8d8e04d-7933-4a92-a3bd-1b578d7be356}">
        <Attribution userId="placeholder@email.com" userName="Brian Baucher" userProvider="google-sheets"/>
        <Anchor>
          <Comment id="{05183b3d-a87b-4bb0-aa05-208a8ac604d1}"/>
        </Anchor>
        <Create/>
      </Event>
      <Event time="2026-02-09T17:19:32.00" id="{7b576ba8-c774-4154-b477-ac7e90c8238d}">
        <Attribution userId="placeholder@email.com" userName="Brian Baucher" userProvider="google-sheets"/>
        <Anchor>
          <Comment id="{05183b3d-a87b-4bb0-aa05-208a8ac604d1}"/>
        </Anchor>
        <Assign userId="jan.dejager@trilogy.com" userName="jan.dejager@trilogy.com" userProvider="google-sheets"/>
      </Event>
    </History>
  </Task>
  <Task id="{527cd9a4-b778-4d7a-b72f-2c230e0ac748}">
    <Anchor>
      <Comment id="{5a737cf5-cdd2-497e-bf90-655f34eef2db}"/>
    </Anchor>
    <History>
      <Event time="2025-06-27T13:33:26.00" id="{b5e55295-dc23-416f-91bf-7bb1a1aeff4e}">
        <Attribution userId="placeholder@email.com" userName="Arthur Michel" userProvider="google-sheets"/>
        <Anchor>
          <Comment id="{57fccec0-50ae-4216-8721-c03f1bc07eeb}"/>
        </Anchor>
        <Create/>
      </Event>
      <Event time="2025-06-27T13:33:26.00" id="{730075ae-5472-46c3-9049-f25ebaf8d0c5}">
        <Attribution userId="placeholder@email.com" userName="Arthur Michel" userProvider="google-sheets"/>
        <Anchor>
          <Comment id="{57fccec0-50ae-4216-8721-c03f1bc07eeb}"/>
        </Anchor>
        <Assign userId="andrew.jordan@trilogy.com" userName="andrew.jordan@trilogy.com" userProvider="google-sheets"/>
      </Event>
    </History>
  </Task>
  <Task id="{2d928bbb-f2e6-47d0-9a3e-75ca34048b46}">
    <Anchor>
      <Comment id="{f822075e-4bdf-4100-a921-78a600be8234}"/>
    </Anchor>
    <History>
      <Event time="2025-08-27T14:21:30.00" id="{ce9b4999-e835-4adb-b2fe-ffee63ce7895}">
        <Attribution userId="placeholder@email.com" userName="Brian Baucher" userProvider="google-sheets"/>
        <Anchor>
          <Comment id="{f822075e-4bdf-4100-a921-78a600be8234}"/>
        </Anchor>
        <Create/>
      </Event>
      <Event time="2025-08-27T14:21:30.00" id="{17f62223-b93a-4370-81e0-0beae9543e3d}">
        <Attribution userId="placeholder@email.com" userName="Brian Baucher" userProvider="google-sheets"/>
        <Anchor>
          <Comment id="{f822075e-4bdf-4100-a921-78a600be8234}"/>
        </Anchor>
        <Assign userId="jan.dejager@trilogy.com" userName="jan.dejager@trilogy.com" userProvider="google-sheets"/>
      </Event>
    </History>
  </Task>
  <Task id="{499a6751-4f3c-47c1-a9df-802efde2e0d1}">
    <Anchor>
      <Comment id="{1431c42b-d6ac-4619-a301-8f0316415db0}"/>
    </Anchor>
    <History>
      <Event time="2025-08-23T13:00:34.00" id="{9184ffed-f56f-4377-a4f8-a04f060a994b}">
        <Attribution userId="placeholder@email.com" userName="Zara Raheem" userProvider="google-sheets"/>
        <Anchor>
          <Comment id="{1431c42b-d6ac-4619-a301-8f0316415db0}"/>
        </Anchor>
        <Create/>
      </Event>
      <Event time="2025-08-23T13:00:34.00" id="{f870a92d-d777-4051-b2ac-5c37057c3c1c}">
        <Attribution userId="placeholder@email.com" userName="Zara Raheem" userProvider="google-sheets"/>
        <Anchor>
          <Comment id="{1431c42b-d6ac-4619-a301-8f0316415db0}"/>
        </Anchor>
        <Assign userId="amelia.baldwin@2hourlearning.com" userName="amelia.baldwin@2hourlearning.com" userProvider="google-sheets"/>
      </Event>
    </History>
  </Task>
  <Task id="{fc36875e-105d-49bd-8f0a-a6c92b7ecb04}">
    <Anchor>
      <Comment id="{7ca18091-4245-4d4e-a35f-7bf701c3444a}"/>
    </Anchor>
    <History>
      <Event time="2025-07-18T20:37:48.00" id="{c9736d6c-4757-45d3-955a-1e1d6ec77394}">
        <Attribution userId="placeholder@email.com" userName="Amelia Baldwin" userProvider="google-sheets"/>
        <Anchor>
          <Comment id="{7ca18091-4245-4d4e-a35f-7bf701c3444a}"/>
        </Anchor>
        <Create/>
      </Event>
      <Event time="2025-07-18T20:37:48.00" id="{ada1a04e-4adc-4b3d-85e9-0d7614064306}">
        <Attribution userId="placeholder@email.com" userName="Amelia Baldwin" userProvider="google-sheets"/>
        <Anchor>
          <Comment id="{7ca18091-4245-4d4e-a35f-7bf701c3444a}"/>
        </Anchor>
        <Assign userId="andrew.jordan@trilogy.com" userName="andrew.jordan@trilogy.com" userProvider="google-sheets"/>
      </Event>
    </History>
  </Task>
  <Task id="{cd9a5974-5f7f-4208-b5c4-621e06880528}">
    <Anchor>
      <Comment id="{e104a721-4e09-44e2-856c-cf1adb9a10e8}"/>
    </Anchor>
    <History>
      <Event time="2025-10-02T15:21:02.00" id="{5a134f8e-abf6-4c74-9bcb-0e8d2df23f0a}">
        <Attribution userId="placeholder@email.com" userName="Arthur Michel" userProvider="google-sheets"/>
        <Anchor>
          <Comment id="{e104a721-4e09-44e2-856c-cf1adb9a10e8}"/>
        </Anchor>
        <Create/>
      </Event>
      <Event time="2025-10-02T15:21:02.00" id="{63bbe825-e579-41f9-a3bf-d60540706791}">
        <Attribution userId="placeholder@email.com" userName="Arthur Michel" userProvider="google-sheets"/>
        <Anchor>
          <Comment id="{e104a721-4e09-44e2-856c-cf1adb9a10e8}"/>
        </Anchor>
        <Assign userId="jeremy.williams@2hourlearning.com" userName="jeremy.williams@2hourlearning.com" userProvider="google-sheets"/>
      </Event>
    </History>
  </Task>
  <Task id="{946d8d8e-5cf3-4c9c-a78f-c7cfc98071ea}">
    <Anchor>
      <Comment id="{2ca041eb-940a-4149-88da-0eff8a5aa360}"/>
    </Anchor>
    <History>
      <Event time="2025-08-26T15:50:35.00" id="{62363294-411a-477b-9c4e-5eec4dacbf1f}">
        <Attribution userId="placeholder@email.com" userName="Amelia Baldwin" userProvider="google-sheets"/>
        <Anchor>
          <Comment id="{4785d1ec-f1ef-4a1b-ae61-03ac58adc882}"/>
        </Anchor>
        <Create/>
      </Event>
      <Event time="2025-08-26T15:50:35.00" id="{9bd39703-f028-4698-b658-6a8f54b9e36b}">
        <Attribution userId="placeholder@email.com" userName="Amelia Baldwin" userProvider="google-sheets"/>
        <Anchor>
          <Comment id="{4785d1ec-f1ef-4a1b-ae61-03ac58adc882}"/>
        </Anchor>
        <Assign userId="arthur@trilogy.com" userName="arthur@trilogy.com" userProvider="google-sheets"/>
      </Event>
    </History>
  </Task>
  <Task id="{69b53bbb-fb99-49f9-9d20-4b9d8cd32e4e}">
    <Anchor>
      <Comment id="{0c0e057b-0d76-4dde-a415-6b69d618fa16}"/>
    </Anchor>
    <History>
      <Event time="2025-07-21T18:59:43.00" id="{6caae527-7c4a-4c94-8cef-7b08eb6caabb}">
        <Attribution userId="placeholder@email.com" userName="Amelia Baldwin" userProvider="google-sheets"/>
        <Anchor>
          <Comment id="{0c0e057b-0d76-4dde-a415-6b69d618fa16}"/>
        </Anchor>
        <Create/>
      </Event>
      <Event time="2025-07-21T18:59:43.00" id="{955280fe-5836-40b3-b60e-58d42f060749}">
        <Attribution userId="placeholder@email.com" userName="Amelia Baldwin" userProvider="google-sheets"/>
        <Anchor>
          <Comment id="{0c0e057b-0d76-4dde-a415-6b69d618fa16}"/>
        </Anchor>
        <Assign userId="andrew.jordan@trilogy.com" userName="andrew.jordan@trilogy.com" userProvider="google-sheets"/>
      </Event>
    </History>
  </Task>
  <Task id="{5526f6fa-d9fe-42a1-b793-dfa255422fe8}">
    <Anchor>
      <Comment id="{ac11f6fc-ff51-4db6-8725-c7e1e9f90946}"/>
    </Anchor>
    <History>
      <Event time="2026-01-30T18:06:32.00" id="{cb9fcb45-0378-4b64-b0dd-e3448935100d}">
        <Attribution userId="placeholder@email.com" userName="Arthur Michel" userProvider="google-sheets"/>
        <Anchor>
          <Comment id="{ac11f6fc-ff51-4db6-8725-c7e1e9f90946}"/>
        </Anchor>
        <Create/>
      </Event>
      <Event time="2026-01-30T18:06:32.00" id="{90ee0413-7d65-428f-acc3-d7f4b0e3c3ef}">
        <Attribution userId="placeholder@email.com" userName="Arthur Michel" userProvider="google-sheets"/>
        <Anchor>
          <Comment id="{ac11f6fc-ff51-4db6-8725-c7e1e9f90946}"/>
        </Anchor>
        <Assign userId="dmitry.bakaev@trilogy.com" userName="dmitry.bakaev@trilogy.com" userProvider="google-sheets"/>
      </Event>
    </History>
  </Task>
  <Task id="{653d8466-9153-413e-b3f0-7565e51e1803}">
    <Anchor>
      <Comment id="{3d418a9a-a266-44cf-9d7e-b5af6b8b9477}"/>
    </Anchor>
    <History>
      <Event time="2025-09-12T19:47:38.00" id="{1b266807-4589-4e62-ac74-f03cb8e74b72}">
        <Attribution userId="placeholder@email.com" userName="Arthur Michel" userProvider="google-sheets"/>
        <Anchor>
          <Comment id="{3d418a9a-a266-44cf-9d7e-b5af6b8b9477}"/>
        </Anchor>
        <Create/>
      </Event>
      <Event time="2025-09-12T19:47:38.00" id="{c78c1ae0-03d3-47ea-ba61-07bc87171aab}">
        <Attribution userId="placeholder@email.com" userName="Arthur Michel" userProvider="google-sheets"/>
        <Anchor>
          <Comment id="{3d418a9a-a266-44cf-9d7e-b5af6b8b9477}"/>
        </Anchor>
        <Assign userId="stefanie.baduria@alpha.school" userName="stefanie.baduria@alpha.school" userProvider="google-sheets"/>
      </Event>
    </History>
  </Task>
  <Task id="{19a477ed-443d-47be-a039-027a51111015}">
    <Anchor>
      <Comment id="{b1629dd1-5d36-4d5d-8c73-19fea32bfba5}"/>
    </Anchor>
    <History>
      <Event time="2026-01-14T19:40:32.00" id="{14783545-455a-4e2d-aeeb-80203dd865ef}">
        <Attribution userId="placeholder@email.com" userName="Brian Baucher" userProvider="google-sheets"/>
        <Anchor>
          <Comment id="{b1629dd1-5d36-4d5d-8c73-19fea32bfba5}"/>
        </Anchor>
        <Create/>
      </Event>
      <Event time="2026-01-14T19:40:32.00" id="{4b1cca05-9c5b-460a-b836-af1f1282bb31}">
        <Attribution userId="placeholder@email.com" userName="Brian Baucher" userProvider="google-sheets"/>
        <Anchor>
          <Comment id="{b1629dd1-5d36-4d5d-8c73-19fea32bfba5}"/>
        </Anchor>
        <Assign userId="jan.dejager@trilogy.com" userName="jan.dejager@trilogy.com" userProvider="google-sheets"/>
      </Event>
    </History>
  </Task>
  <Task id="{b1480b4b-80e6-4449-97a2-6cfa114ab4ca}">
    <Anchor>
      <Comment id="{141bc4f6-393d-4df7-b9c5-d88a625c7755}"/>
    </Anchor>
    <History>
      <Event time="2025-08-12T17:40:49.00" id="{365b3bf4-5a1f-4380-bce3-e7ff55dc8477}">
        <Attribution userId="placeholder@email.com" userName="Arthur Michel" userProvider="google-sheets"/>
        <Anchor>
          <Comment id="{141bc4f6-393d-4df7-b9c5-d88a625c7755}"/>
        </Anchor>
        <Create/>
      </Event>
      <Event time="2025-08-12T17:40:49.00" id="{fce2420f-5099-415c-a7f4-56e58348ddd2}">
        <Attribution userId="placeholder@email.com" userName="Arthur Michel" userProvider="google-sheets"/>
        <Anchor>
          <Comment id="{141bc4f6-393d-4df7-b9c5-d88a625c7755}"/>
        </Anchor>
        <Assign userId="rachel.goodlad@alpha.school" userName="rachel.goodlad@alpha.school" userProvider="google-sheets"/>
      </Event>
    </History>
  </Task>
  <Task id="{76c7c84f-92dc-40d9-a035-09b571a454cb}">
    <Anchor>
      <Comment id="{dbd64a04-68b1-4ed3-bc61-9d2a601d8343}"/>
    </Anchor>
    <History>
      <Event time="2026-01-14T19:41:13.00" id="{2849e6d1-2d55-444c-9831-dc642ea99f2d}">
        <Attribution userId="placeholder@email.com" userName="Brian Baucher" userProvider="google-sheets"/>
        <Anchor>
          <Comment id="{dbd64a04-68b1-4ed3-bc61-9d2a601d8343}"/>
        </Anchor>
        <Create/>
      </Event>
      <Event time="2026-01-14T19:41:13.00" id="{7060c969-9029-411f-89b9-6d7c39ef8a24}">
        <Attribution userId="placeholder@email.com" userName="Brian Baucher" userProvider="google-sheets"/>
        <Anchor>
          <Comment id="{dbd64a04-68b1-4ed3-bc61-9d2a601d8343}"/>
        </Anchor>
        <Assign userId="jan.dejager@trilogy.com" userName="jan.dejager@trilogy.com" userProvider="google-sheets"/>
      </Event>
    </History>
  </Task>
  <Task id="{72fc7363-8765-4ff4-9651-f089aeac5162}">
    <Anchor>
      <Comment id="{6b1e5337-450c-4898-b79e-5492f0ccb02d}"/>
    </Anchor>
    <History>
      <Event time="2026-01-14T19:39:14.00" id="{beec45a4-2335-4b54-aa71-1b6f9f8be66a}">
        <Attribution userId="placeholder@email.com" userName="Brian Baucher" userProvider="google-sheets"/>
        <Anchor>
          <Comment id="{6b1e5337-450c-4898-b79e-5492f0ccb02d}"/>
        </Anchor>
        <Create/>
      </Event>
      <Event time="2026-01-14T19:39:14.00" id="{00bea029-f314-4396-8d9f-17e360c35adc}">
        <Attribution userId="placeholder@email.com" userName="Brian Baucher" userProvider="google-sheets"/>
        <Anchor>
          <Comment id="{6b1e5337-450c-4898-b79e-5492f0ccb02d}"/>
        </Anchor>
        <Assign userId="jan.dejager@trilogy.com" userName="jan.dejager@trilogy.com" userProvider="google-sheets"/>
      </Event>
    </History>
  </Task>
  <Task id="{c84b5c79-69af-482a-bf15-4c11194fea79}">
    <Anchor>
      <Comment id="{10f8c10c-e6e2-489b-b4f8-a86ac83d5d71}"/>
    </Anchor>
    <History>
      <Event time="2025-11-24T18:17:44.00" id="{f6164c9f-7d2c-479f-aa8a-71743969fe51}">
        <Attribution userId="placeholder@email.com" userName="Dmitry Bakaev" userProvider="google-sheets"/>
        <Anchor>
          <Comment id="{10f8c10c-e6e2-489b-b4f8-a86ac83d5d71}"/>
        </Anchor>
        <Create/>
      </Event>
      <Event time="2025-11-24T18:17:44.00" id="{147edf31-d51f-4fbe-b496-817f73aebd30}">
        <Attribution userId="placeholder@email.com" userName="Dmitry Bakaev" userProvider="google-sheets"/>
        <Anchor>
          <Comment id="{10f8c10c-e6e2-489b-b4f8-a86ac83d5d71}"/>
        </Anchor>
        <Assign userId="donnie.yee@trilogy.com" userName="donnie.yee@trilogy.com" userProvider="google-sheets"/>
      </Event>
    </History>
  </Task>
  <Task id="{78ba075b-1bc9-495c-aefb-2298144f1cf8}">
    <Anchor>
      <Comment id="{71b3efed-012b-4f4a-bd07-09d28916a14b}"/>
    </Anchor>
    <History>
      <Event time="2025-11-10T22:29:58.00" id="{9346904d-9a4e-4337-ab45-8cc32795ac3a}">
        <Attribution userId="placeholder@email.com" userName="Arthur Michel" userProvider="google-sheets"/>
        <Anchor>
          <Comment id="{71b3efed-012b-4f4a-bd07-09d28916a14b}"/>
        </Anchor>
        <Create/>
      </Event>
      <Event time="2025-11-10T22:29:58.00" id="{04241b9d-de31-41c5-b96b-cf6e60f6825e}">
        <Attribution userId="placeholder@email.com" userName="Arthur Michel" userProvider="google-sheets"/>
        <Anchor>
          <Comment id="{71b3efed-012b-4f4a-bd07-09d28916a14b}"/>
        </Anchor>
        <Assign userId="robbie.forrest@trilogy.com" userName="robbie.forrest@trilogy.com" userProvider="google-sheets"/>
      </Event>
    </History>
  </Task>
  <Task id="{cb958310-a11f-43ee-8336-e9e5ad2e9447}">
    <Anchor>
      <Comment id="{70f88698-fd2a-4e16-a1b7-aeae96ed8cf3}"/>
    </Anchor>
    <History>
      <Event time="2025-11-06T11:29:25.00" id="{c425691c-6a5c-4a3e-a9db-2314ba2dbb9d}">
        <Attribution userId="placeholder@email.com" userName="Brian Baucher" userProvider="google-sheets"/>
        <Anchor>
          <Comment id="{70f88698-fd2a-4e16-a1b7-aeae96ed8cf3}"/>
        </Anchor>
        <Create/>
      </Event>
      <Event time="2025-11-06T11:29:25.00" id="{fe383a77-ec46-466b-b825-8020cdda4fba}">
        <Attribution userId="placeholder@email.com" userName="Brian Baucher" userProvider="google-sheets"/>
        <Anchor>
          <Comment id="{70f88698-fd2a-4e16-a1b7-aeae96ed8cf3}"/>
        </Anchor>
        <Assign userId="jan.dejager@trilogy.com" userName="jan.dejager@trilogy.com" userProvider="google-sheets"/>
      </Event>
    </History>
  </Task>
  <Task id="{77d5effc-4001-46f9-936c-01295c21865c}">
    <Anchor>
      <Comment id="{ac7b5234-bc70-4011-8bd2-750b35bfcdd2}"/>
    </Anchor>
    <History>
      <Event time="2025-10-20T14:36:45.00" id="{c433d647-609d-4a0b-adb6-89cbd65fd3d1}">
        <Attribution userId="placeholder@email.com" userName="Donnie Yee" userProvider="google-sheets"/>
        <Anchor>
          <Comment id="{ac7b5234-bc70-4011-8bd2-750b35bfcdd2}"/>
        </Anchor>
        <Create/>
      </Event>
      <Event time="2025-10-20T14:36:45.00" id="{93bf0bd5-90c6-460f-9914-c9395d7f0e03}">
        <Attribution userId="placeholder@email.com" userName="Donnie Yee" userProvider="google-sheets"/>
        <Anchor>
          <Comment id="{ac7b5234-bc70-4011-8bd2-750b35bfcdd2}"/>
        </Anchor>
        <Assign userId="amelia.baldwin@alpha.school" userName="amelia.baldwin@alpha.school" userProvider="google-sheets"/>
      </Event>
    </History>
  </Task>
  <Task id="{80ada932-c8e3-45a1-a90e-1482130ca32e}">
    <Anchor>
      <Comment id="{255cd776-1269-402c-9eee-3aca6308e9fa}"/>
    </Anchor>
    <History>
      <Event time="2025-11-06T11:32:52.00" id="{dcff8e7b-3945-4f9a-9921-4433e85da8a7}">
        <Attribution userId="placeholder@email.com" userName="Brian Baucher" userProvider="google-sheets"/>
        <Anchor>
          <Comment id="{255cd776-1269-402c-9eee-3aca6308e9fa}"/>
        </Anchor>
        <Create/>
      </Event>
      <Event time="2025-11-06T11:32:52.00" id="{5c2ed1c0-2fcb-40db-9f84-6bf880cb6291}">
        <Attribution userId="placeholder@email.com" userName="Brian Baucher" userProvider="google-sheets"/>
        <Anchor>
          <Comment id="{255cd776-1269-402c-9eee-3aca6308e9fa}"/>
        </Anchor>
        <Assign userId="jan.dejager@trilogy.com" userName="jan.dejager@trilogy.com" userProvider="google-sheets"/>
      </Event>
    </History>
  </Task>
  <Task id="{55210401-ed5f-4163-bbd7-c6a002e01133}">
    <Anchor>
      <Comment id="{c3256dda-87b0-4788-95ae-23b23f8cc141}"/>
    </Anchor>
    <History>
      <Event time="2025-11-06T11:32:59.00" id="{e353c368-c8d7-45fa-89fd-7632aa59237e}">
        <Attribution userId="placeholder@email.com" userName="Brian Baucher" userProvider="google-sheets"/>
        <Anchor>
          <Comment id="{c3256dda-87b0-4788-95ae-23b23f8cc141}"/>
        </Anchor>
        <Create/>
      </Event>
      <Event time="2025-11-06T11:32:59.00" id="{70bc217f-4503-4ee0-944d-503c8b6cd8f3}">
        <Attribution userId="placeholder@email.com" userName="Brian Baucher" userProvider="google-sheets"/>
        <Anchor>
          <Comment id="{c3256dda-87b0-4788-95ae-23b23f8cc141}"/>
        </Anchor>
        <Assign userId="jan.dejager@trilogy.com" userName="jan.dejager@trilogy.com" userProvider="google-sheets"/>
      </Event>
    </History>
  </Task>
  <Task id="{3de44a37-0b51-45f9-a38b-3b7a341505dc}">
    <Anchor>
      <Comment id="{7a6b4155-caf4-4f5f-b29b-cf1ec925c59f}"/>
    </Anchor>
    <History>
      <Event time="2025-11-06T11:33:09.00" id="{b3f211b3-cdd9-4296-997b-48fa2609e712}">
        <Attribution userId="placeholder@email.com" userName="Brian Baucher" userProvider="google-sheets"/>
        <Anchor>
          <Comment id="{7a6b4155-caf4-4f5f-b29b-cf1ec925c59f}"/>
        </Anchor>
        <Create/>
      </Event>
      <Event time="2025-11-06T11:33:09.00" id="{0b7db89c-7805-4c8b-bf1f-038b1c29bdc2}">
        <Attribution userId="placeholder@email.com" userName="Brian Baucher" userProvider="google-sheets"/>
        <Anchor>
          <Comment id="{7a6b4155-caf4-4f5f-b29b-cf1ec925c59f}"/>
        </Anchor>
        <Assign userId="jan.dejager@trilogy.com" userName="jan.dejager@trilogy.com" userProvider="google-sheets"/>
      </Event>
    </History>
  </Task>
  <Task id="{083a15b5-55e7-4c8d-9628-2c1ecc434b3c}">
    <Anchor>
      <Comment id="{98a81c80-4d1e-4339-b6c5-f56850dd61f8}"/>
    </Anchor>
    <History>
      <Event time="2025-11-06T11:34:20.00" id="{889c0f97-9fa8-4b2d-80b8-1ebe9789f919}">
        <Attribution userId="placeholder@email.com" userName="Brian Baucher" userProvider="google-sheets"/>
        <Anchor>
          <Comment id="{98a81c80-4d1e-4339-b6c5-f56850dd61f8}"/>
        </Anchor>
        <Create/>
      </Event>
      <Event time="2025-11-06T11:34:20.00" id="{257c1a77-bcc1-4eaa-9fdc-fd3a43ade16a}">
        <Attribution userId="placeholder@email.com" userName="Brian Baucher" userProvider="google-sheets"/>
        <Anchor>
          <Comment id="{98a81c80-4d1e-4339-b6c5-f56850dd61f8}"/>
        </Anchor>
        <Assign userId="jan.dejager@trilogy.com" userName="jan.dejager@trilogy.com" userProvider="google-sheets"/>
      </Event>
    </History>
  </Task>
  <Task id="{5224afb2-1447-4168-be8c-55a5a638544f}">
    <Anchor>
      <Comment id="{40cf0b42-b6cd-4310-a08d-fa5600cac836}"/>
    </Anchor>
    <History>
      <Event time="2025-08-12T17:30:04.00" id="{092b2819-d395-4db6-8018-20317bf546f6}">
        <Attribution userId="placeholder@email.com" userName="Arthur Michel" userProvider="google-sheets"/>
        <Anchor>
          <Comment id="{40cf0b42-b6cd-4310-a08d-fa5600cac836}"/>
        </Anchor>
        <Create/>
      </Event>
      <Event time="2025-08-12T17:30:04.00" id="{ef37c94a-cf68-469f-b9a9-1098eb5e0910}">
        <Attribution userId="placeholder@email.com" userName="Arthur Michel" userProvider="google-sheets"/>
        <Anchor>
          <Comment id="{40cf0b42-b6cd-4310-a08d-fa5600cac836}"/>
        </Anchor>
        <Assign userId="rachel.goodlad@alpha.school" userName="rachel.goodlad@alpha.school" userProvider="google-sheets"/>
      </Event>
    </History>
  </Task>
  <Task id="{a83fff74-70fb-4bcd-b5e4-1831a8dc22bd}">
    <Anchor>
      <Comment id="{f3286be8-4cec-452d-8fb1-c9c5030b889b}"/>
    </Anchor>
    <History>
      <Event time="2025-08-12T16:05:06.00" id="{9e6e848e-1916-46c4-ae4e-1c8f2e51b12c}">
        <Attribution userId="placeholder@email.com" userName="Rachel Goodlad" userProvider="google-sheets"/>
        <Anchor>
          <Comment id="{f3286be8-4cec-452d-8fb1-c9c5030b889b}"/>
        </Anchor>
        <Create/>
      </Event>
      <Event time="2025-08-12T16:05:06.00" id="{3b924e75-fe8b-4708-a485-b7d388e4ff21}">
        <Attribution userId="placeholder@email.com" userName="Rachel Goodlad" userProvider="google-sheets"/>
        <Anchor>
          <Comment id="{f3286be8-4cec-452d-8fb1-c9c5030b889b}"/>
        </Anchor>
        <Assign userId="arthur@trilogy.com" userName="arthur@trilogy.com" userProvider="google-sheets"/>
      </Event>
    </History>
  </Task>
  <Task id="{20281329-0a9a-47d3-9bb6-b3a1e12bd517}">
    <Anchor>
      <Comment id="{d9b87c28-9e57-4afa-a99b-bf89465f14b0}"/>
    </Anchor>
    <History>
      <Event time="2025-08-12T15:55:37.00" id="{a749198e-ab64-4a8d-a18f-e671b7181004}">
        <Attribution userId="placeholder@email.com" userName="Rachel Goodlad" userProvider="google-sheets"/>
        <Anchor>
          <Comment id="{d9b87c28-9e57-4afa-a99b-bf89465f14b0}"/>
        </Anchor>
        <Create/>
      </Event>
      <Event time="2025-08-12T15:55:37.00" id="{00d1771c-5d3d-44aa-b68e-447a55064e01}">
        <Attribution userId="placeholder@email.com" userName="Rachel Goodlad" userProvider="google-sheets"/>
        <Anchor>
          <Comment id="{d9b87c28-9e57-4afa-a99b-bf89465f14b0}"/>
        </Anchor>
        <Assign userId="arthur@trilogy.com" userName="arthur@trilogy.com" userProvider="google-sheets"/>
      </Event>
    </History>
  </Task>
  <Task id="{f82cf243-bca2-46c6-814e-771e9d5b6c76}">
    <Anchor>
      <Comment id="{1322be19-98e1-460d-90ba-4800605d0cac}"/>
    </Anchor>
    <History>
      <Event time="2025-08-12T15:57:10.00" id="{882073ff-e066-4391-a839-4004eb927768}">
        <Attribution userId="placeholder@email.com" userName="Rachel Goodlad" userProvider="google-sheets"/>
        <Anchor>
          <Comment id="{1322be19-98e1-460d-90ba-4800605d0cac}"/>
        </Anchor>
        <Create/>
      </Event>
      <Event time="2025-08-12T15:57:10.00" id="{f07544ef-e3f1-4108-95e4-673af487a26d}">
        <Attribution userId="placeholder@email.com" userName="Rachel Goodlad" userProvider="google-sheets"/>
        <Anchor>
          <Comment id="{1322be19-98e1-460d-90ba-4800605d0cac}"/>
        </Anchor>
        <Assign userId="arthur@trilogy.com" userName="arthur@trilogy.com" userProvider="google-sheets"/>
      </Event>
    </History>
  </Task>
  <Task id="{31869f7f-cb8f-482a-98a2-e9972ce3b979}">
    <Anchor>
      <Comment id="{6c92b8d5-8668-4652-b332-bb0452f09777}"/>
    </Anchor>
    <History>
      <Event time="2025-08-12T15:57:23.00" id="{61c5926e-5e19-4e3d-aaba-d3c0206741f7}">
        <Attribution userId="placeholder@email.com" userName="Rachel Goodlad" userProvider="google-sheets"/>
        <Anchor>
          <Comment id="{6c92b8d5-8668-4652-b332-bb0452f09777}"/>
        </Anchor>
        <Create/>
      </Event>
      <Event time="2025-08-12T15:57:23.00" id="{348bf11e-b367-4285-ad7d-eff3e310859e}">
        <Attribution userId="placeholder@email.com" userName="Rachel Goodlad" userProvider="google-sheets"/>
        <Anchor>
          <Comment id="{6c92b8d5-8668-4652-b332-bb0452f09777}"/>
        </Anchor>
        <Assign userId="arthur@trilogy.com" userName="arthur@trilogy.com" userProvider="google-sheets"/>
      </Event>
    </History>
  </Task>
  <Task id="{f0fbe8a3-b379-426f-9f70-845ef4e0cc53}">
    <Anchor>
      <Comment id="{3a8d3842-1753-4661-b5cc-be0d3e2da0f5}"/>
    </Anchor>
    <History>
      <Event time="2025-08-12T16:00:32.00" id="{f4afccff-4007-4872-b41d-f18123e9132f}">
        <Attribution userId="placeholder@email.com" userName="Rachel Goodlad" userProvider="google-sheets"/>
        <Anchor>
          <Comment id="{3a8d3842-1753-4661-b5cc-be0d3e2da0f5}"/>
        </Anchor>
        <Create/>
      </Event>
      <Event time="2025-08-12T16:00:32.00" id="{81b3cf24-078b-4815-9a14-88b63a67a32f}">
        <Attribution userId="placeholder@email.com" userName="Rachel Goodlad" userProvider="google-sheets"/>
        <Anchor>
          <Comment id="{3a8d3842-1753-4661-b5cc-be0d3e2da0f5}"/>
        </Anchor>
        <Assign userId="arthur@trilogy.com" userName="arthur@trilogy.com" userProvider="google-sheets"/>
      </Event>
    </History>
  </Task>
  <Task id="{a07c2f43-afab-4319-9fda-1dc677ae454f}">
    <Anchor>
      <Comment id="{faad44f1-20d3-440e-9827-7e7879c966a9}"/>
    </Anchor>
    <History>
      <Event time="2025-10-20T14:33:46.00" id="{ac827a98-c881-44eb-9917-b8002ca75d36}">
        <Attribution userId="placeholder@email.com" userName="Donnie Yee" userProvider="google-sheets"/>
        <Anchor>
          <Comment id="{faad44f1-20d3-440e-9827-7e7879c966a9}"/>
        </Anchor>
        <Create/>
      </Event>
      <Event time="2025-10-20T14:33:46.00" id="{e0bdf62e-9d4d-419f-880f-fc92f322300a}">
        <Attribution userId="placeholder@email.com" userName="Donnie Yee" userProvider="google-sheets"/>
        <Anchor>
          <Comment id="{faad44f1-20d3-440e-9827-7e7879c966a9}"/>
        </Anchor>
        <Assign userId="amelia.baldwin@alpha.school" userName="amelia.baldwin@alpha.school" userProvider="google-sheets"/>
      </Event>
    </History>
  </Task>
  <Task id="{bbc6d08f-40a7-4abf-ac5e-f1f0c1153ecc}">
    <Anchor>
      <Comment id="{b4dd8eef-68ba-4839-bb76-7716fe4f2059}"/>
    </Anchor>
    <History>
      <Event time="2025-10-14T17:54:24.00" id="{23f08cb5-4c0b-4628-b26b-b307eff4f314}">
        <Attribution userId="placeholder@email.com" userName="Arthur Michel" userProvider="google-sheets"/>
        <Anchor>
          <Comment id="{b4dd8eef-68ba-4839-bb76-7716fe4f2059}"/>
        </Anchor>
        <Create/>
      </Event>
      <Event time="2025-10-14T17:54:24.00" id="{cc43ac12-a4f6-4603-92d2-f93e364d06da}">
        <Attribution userId="placeholder@email.com" userName="Arthur Michel" userProvider="google-sheets"/>
        <Anchor>
          <Comment id="{b4dd8eef-68ba-4839-bb76-7716fe4f2059}"/>
        </Anchor>
        <Assign userId="andrew.jordan@trilogy.com" userName="andrew.jordan@trilogy.com" userProvider="google-sheets"/>
      </Event>
    </History>
  </Task>
  <Task id="{b791cab3-c512-4c98-9e62-d6f424c16861}">
    <Anchor>
      <Comment id="{801cd840-64b3-4e3c-9142-3ddf4e5884d8}"/>
    </Anchor>
    <History>
      <Event time="2025-09-11T03:31:49.00" id="{507b8d1d-5a13-4b70-9024-b5ae735a7639}">
        <Attribution userId="placeholder@email.com" userName="Arthur Michel" userProvider="google-sheets"/>
        <Anchor>
          <Comment id="{801cd840-64b3-4e3c-9142-3ddf4e5884d8}"/>
        </Anchor>
        <Create/>
      </Event>
      <Event time="2025-09-11T03:31:49.00" id="{917acb56-5e1e-4677-8a5f-5b64e7757b88}">
        <Attribution userId="placeholder@email.com" userName="Arthur Michel" userProvider="google-sheets"/>
        <Anchor>
          <Comment id="{801cd840-64b3-4e3c-9142-3ddf4e5884d8}"/>
        </Anchor>
        <Assign userId="andrew.jordan@trilogy.com" userName="andrew.jordan@trilogy.com" userProvider="google-sheets"/>
      </Event>
    </History>
  </Task>
  <Task id="{90ceae20-e3dd-46af-924f-e5ca1196ae34}">
    <Anchor>
      <Comment id="{c77500f4-37c6-4d88-a9c6-b7d25d2c0969}"/>
    </Anchor>
    <History>
      <Event time="2025-06-25T15:39:18.00" id="{f6cb674e-d5d1-4652-9f16-33b8058dd366}">
        <Attribution userId="placeholder@email.com" userName="Arthur Michel" userProvider="google-sheets"/>
        <Anchor>
          <Comment id="{c77500f4-37c6-4d88-a9c6-b7d25d2c0969}"/>
        </Anchor>
        <Create/>
      </Event>
      <Event time="2025-06-25T15:39:18.00" id="{c946833d-651e-4add-8203-040eca6bf33e}">
        <Attribution userId="placeholder@email.com" userName="Arthur Michel" userProvider="google-sheets"/>
        <Anchor>
          <Comment id="{c77500f4-37c6-4d88-a9c6-b7d25d2c0969}"/>
        </Anchor>
        <Assign userId="amelia.baldwin@2hourlearning.com" userName="amelia.baldwin@2hourlearning.com" userProvider="google-sheets"/>
      </Event>
    </History>
  </Task>
  <Task id="{e8c4039f-505d-41b7-8c81-45b3eec08c68}">
    <Anchor>
      <Comment id="{e036f244-b92e-4bca-a62b-ac5750209ec8}"/>
    </Anchor>
    <History>
      <Event time="2025-06-18T21:39:17.00" id="{c0f782b8-6e94-4dcf-aaa2-6c1c65676b0e}">
        <Attribution userId="placeholder@email.com" userName="Arthur Michel" userProvider="google-sheets"/>
        <Anchor>
          <Comment id="{e036f244-b92e-4bca-a62b-ac5750209ec8}"/>
        </Anchor>
        <Create/>
      </Event>
      <Event time="2025-06-18T21:39:17.00" id="{bc447b09-e603-47a0-ac14-e8284278086c}">
        <Attribution userId="placeholder@email.com" userName="Arthur Michel" userProvider="google-sheets"/>
        <Anchor>
          <Comment id="{e036f244-b92e-4bca-a62b-ac5750209ec8}"/>
        </Anchor>
        <Assign userId="amelia.baldwin@2hourlearning.com" userName="amelia.baldwin@2hourlearning.com" userProvider="google-sheets"/>
      </Event>
    </History>
  </Task>
  <Task id="{765d646a-1e36-42fb-971b-18fd9fcb8f35}">
    <Anchor>
      <Comment id="{7a17ca25-54fc-487e-a5f3-552986942afd}"/>
    </Anchor>
    <History>
      <Event time="2025-08-12T15:56:46.00" id="{4b4e2e59-99d5-4c08-a162-8705fb175f36}">
        <Attribution userId="placeholder@email.com" userName="Rachel Goodlad" userProvider="google-sheets"/>
        <Anchor>
          <Comment id="{7a17ca25-54fc-487e-a5f3-552986942afd}"/>
        </Anchor>
        <Create/>
      </Event>
      <Event time="2025-08-12T15:56:46.00" id="{a2208d2e-4106-4f96-8085-5e9f908d4fba}">
        <Attribution userId="placeholder@email.com" userName="Rachel Goodlad" userProvider="google-sheets"/>
        <Anchor>
          <Comment id="{7a17ca25-54fc-487e-a5f3-552986942afd}"/>
        </Anchor>
        <Assign userId="arthur@trilogy.com" userName="arthur@trilogy.com" userProvider="google-sheets"/>
      </Event>
    </History>
  </Task>
  <Task id="{b5a26d0b-6b7b-4246-92ac-05f966e8fd13}">
    <Anchor>
      <Comment id="{c1b866b1-7d7b-4750-b0ce-060afb9adca2}"/>
    </Anchor>
    <History>
      <Event time="2025-07-09T15:41:14.00" id="{474e9b0f-76b2-4dde-a5c1-640d3c0a9588}">
        <Attribution userId="placeholder@email.com" userName="Amelia Baldwin" userProvider="google-sheets"/>
        <Anchor>
          <Comment id="{c1b866b1-7d7b-4750-b0ce-060afb9adca2}"/>
        </Anchor>
        <Create/>
      </Event>
      <Event time="2025-07-09T15:41:14.00" id="{1da704df-a5c6-4c9f-a68a-dd1642ab261e}">
        <Attribution userId="placeholder@email.com" userName="Amelia Baldwin" userProvider="google-sheets"/>
        <Anchor>
          <Comment id="{c1b866b1-7d7b-4750-b0ce-060afb9adca2}"/>
        </Anchor>
        <Assign userId="andrew.jordan@trilogy.com" userName="andrew.jordan@trilogy.com" userProvider="google-sheets"/>
      </Event>
    </History>
  </Task>
  <Task id="{70b4e449-f7e3-4b39-bfa9-33c1d65c267b}">
    <Anchor>
      <Comment id="{ce16fedc-8c02-459d-a94f-d5294a0ddf43}"/>
    </Anchor>
    <History>
      <Event time="2025-08-12T15:56:36.00" id="{7cb516ed-d499-4c82-97cf-638670018da3}">
        <Attribution userId="placeholder@email.com" userName="Rachel Goodlad" userProvider="google-sheets"/>
        <Anchor>
          <Comment id="{ce16fedc-8c02-459d-a94f-d5294a0ddf43}"/>
        </Anchor>
        <Create/>
      </Event>
      <Event time="2025-08-12T15:56:36.00" id="{bee58338-de0a-4b94-b08b-17b4cd9e08b7}">
        <Attribution userId="placeholder@email.com" userName="Rachel Goodlad" userProvider="google-sheets"/>
        <Anchor>
          <Comment id="{ce16fedc-8c02-459d-a94f-d5294a0ddf43}"/>
        </Anchor>
        <Assign userId="arthur@trilogy.com" userName="arthur@trilogy.com" userProvider="google-sheets"/>
      </Event>
    </History>
  </Task>
  <Task id="{436f93c3-dda8-4143-895d-2f0460721a69}">
    <Anchor>
      <Comment id="{f1d6d766-2522-4884-b9ca-a64f1256b280}"/>
    </Anchor>
    <History>
      <Event time="2025-08-12T15:56:16.00" id="{ca19860d-a773-4f9a-ad2f-eb2d4cfc1471}">
        <Attribution userId="placeholder@email.com" userName="Rachel Goodlad" userProvider="google-sheets"/>
        <Anchor>
          <Comment id="{f1d6d766-2522-4884-b9ca-a64f1256b280}"/>
        </Anchor>
        <Create/>
      </Event>
      <Event time="2025-08-12T15:56:16.00" id="{fcbac123-edcb-42f9-9f29-877d431cce36}">
        <Attribution userId="placeholder@email.com" userName="Rachel Goodlad" userProvider="google-sheets"/>
        <Anchor>
          <Comment id="{f1d6d766-2522-4884-b9ca-a64f1256b280}"/>
        </Anchor>
        <Assign userId="arthur@trilogy.com" userName="arthur@trilogy.com" userProvider="google-sheets"/>
      </Event>
    </History>
  </Task>
  <Task id="{7dd9be9b-cd7d-433d-ad78-d42d52534897}">
    <Anchor>
      <Comment id="{6daf3cd0-adc0-4688-9e82-3472f2c9d56f}"/>
    </Anchor>
    <History>
      <Event time="2025-08-12T15:56:27.00" id="{1694bd17-e461-4324-8a7a-02a4fa356b4e}">
        <Attribution userId="placeholder@email.com" userName="Rachel Goodlad" userProvider="google-sheets"/>
        <Anchor>
          <Comment id="{6daf3cd0-adc0-4688-9e82-3472f2c9d56f}"/>
        </Anchor>
        <Create/>
      </Event>
      <Event time="2025-08-12T15:56:27.00" id="{0320f623-084e-44f0-8126-42bcdbb713d7}">
        <Attribution userId="placeholder@email.com" userName="Rachel Goodlad" userProvider="google-sheets"/>
        <Anchor>
          <Comment id="{6daf3cd0-adc0-4688-9e82-3472f2c9d56f}"/>
        </Anchor>
        <Assign userId="arthur@trilogy.com" userName="arthur@trilogy.com" userProvider="google-sheets"/>
      </Event>
    </History>
  </Task>
  <Task id="{c5efc99c-dbb5-4575-9682-e3766145ecd7}">
    <Anchor>
      <Comment id="{7a0954f6-64f8-4cc6-926b-8068a28e04fb}"/>
    </Anchor>
    <History>
      <Event time="2025-11-09T03:50:10.00" id="{03392b79-89e5-414c-b260-a5c059e9350e}">
        <Attribution userId="placeholder@email.com" userName="Arthur Michel" userProvider="google-sheets"/>
        <Anchor>
          <Comment id="{7a0954f6-64f8-4cc6-926b-8068a28e04fb}"/>
        </Anchor>
        <Create/>
      </Event>
      <Event time="2025-11-09T03:50:10.00" id="{065016cf-d409-42f5-a4b3-862e5b3b7bcf}">
        <Attribution userId="placeholder@email.com" userName="Arthur Michel" userProvider="google-sheets"/>
        <Anchor>
          <Comment id="{7a0954f6-64f8-4cc6-926b-8068a28e04fb}"/>
        </Anchor>
        <Assign userId="tasha.arnold@2hourlearning.com" userName="tasha.arnold@2hourlearning.com" userProvider="google-sheets"/>
      </Event>
    </History>
  </Task>
  <Task id="{b5e4310b-3ef8-4b17-9485-9ef8648fde31}">
    <Anchor>
      <Comment id="{383ff75b-732d-4674-9308-754dba73eba9}"/>
    </Anchor>
    <History>
      <Event time="2025-08-12T15:55:58.00" id="{6aa51a96-4dce-4dea-8e97-12e0b4ac1a2a}">
        <Attribution userId="placeholder@email.com" userName="Rachel Goodlad" userProvider="google-sheets"/>
        <Anchor>
          <Comment id="{383ff75b-732d-4674-9308-754dba73eba9}"/>
        </Anchor>
        <Create/>
      </Event>
      <Event time="2025-08-12T15:55:58.00" id="{92dc0ff6-4ba3-4726-80c7-37580bd2ab12}">
        <Attribution userId="placeholder@email.com" userName="Rachel Goodlad" userProvider="google-sheets"/>
        <Anchor>
          <Comment id="{383ff75b-732d-4674-9308-754dba73eba9}"/>
        </Anchor>
        <Assign userId="arthur@trilogy.com" userName="arthur@trilogy.com" userProvider="google-sheets"/>
      </Event>
    </History>
  </Task>
  <Task id="{bfafcad8-f5ca-4f73-bd59-e643ff06dd1c}">
    <Anchor>
      <Comment id="{1d110628-d48e-4dd4-b7cc-53f0c96e2b90}"/>
    </Anchor>
    <History>
      <Event time="2025-08-12T14:48:58.00" id="{c6098b55-40a6-4258-b759-ec4df5bbe1c2}">
        <Attribution userId="placeholder@email.com" userName="Arthur Michel" userProvider="google-sheets"/>
        <Anchor>
          <Comment id="{1d110628-d48e-4dd4-b7cc-53f0c96e2b90}"/>
        </Anchor>
        <Create/>
      </Event>
      <Event time="2025-08-12T14:48:58.00" id="{1a426070-b178-4d45-ada7-6144f81a710f}">
        <Attribution userId="placeholder@email.com" userName="Arthur Michel" userProvider="google-sheets"/>
        <Anchor>
          <Comment id="{1d110628-d48e-4dd4-b7cc-53f0c96e2b90}"/>
        </Anchor>
        <Assign userId="amelia.baldwin@2hourlearning.com" userName="amelia.baldwin@2hourlearning.com" userProvider="google-sheets"/>
      </Event>
    </History>
  </Task>
  <Task id="{292aa511-e89c-4e3d-9352-709e07b2da47}">
    <Anchor>
      <Comment id="{2434dbd4-7436-40ef-80cf-9894c90dca72}"/>
    </Anchor>
    <History>
      <Event time="2025-07-09T15:36:46.00" id="{268cae44-a373-467f-a28b-4d7acb8ba9ce}">
        <Attribution userId="placeholder@email.com" userName="Amelia Baldwin" userProvider="google-sheets"/>
        <Anchor>
          <Comment id="{2434dbd4-7436-40ef-80cf-9894c90dca72}"/>
        </Anchor>
        <Create/>
      </Event>
      <Event time="2025-07-09T15:36:46.00" id="{37176304-c2bd-4ba9-b770-b148cfbb0bb1}">
        <Attribution userId="placeholder@email.com" userName="Amelia Baldwin" userProvider="google-sheets"/>
        <Anchor>
          <Comment id="{2434dbd4-7436-40ef-80cf-9894c90dca72}"/>
        </Anchor>
        <Assign userId="andrew.jordan@trilogy.com" userName="andrew.jordan@trilogy.com" userProvider="google-sheets"/>
      </Event>
    </History>
  </Task>
  <Task id="{c7949b1a-53eb-42d9-881f-16c464357619}">
    <Anchor>
      <Comment id="{81bb8868-b8f7-42df-959a-bc5727e79366}"/>
    </Anchor>
    <History>
      <Event time="2025-09-26T10:27:00.00" id="{803d8d90-5b84-4a43-b16f-c18b1b898951}">
        <Attribution userId="placeholder@email.com" userName="Amelia Baldwin" userProvider="google-sheets"/>
        <Anchor>
          <Comment id="{81bb8868-b8f7-42df-959a-bc5727e79366}"/>
        </Anchor>
        <Create/>
      </Event>
      <Event time="2025-09-26T10:27:00.00" id="{0d4af3a5-f13e-461f-88cc-1ee0a913caa9}">
        <Attribution userId="placeholder@email.com" userName="Amelia Baldwin" userProvider="google-sheets"/>
        <Anchor>
          <Comment id="{81bb8868-b8f7-42df-959a-bc5727e79366}"/>
        </Anchor>
        <Assign userId="donnie.yee@trilogy.com" userName="donnie.yee@trilogy.com" userProvider="google-sheets"/>
      </Event>
    </History>
  </Task>
  <Task id="{057ba293-3796-42dd-a33f-abed0e779adc}">
    <Anchor>
      <Comment id="{4fceabdd-cd79-4c12-8495-dbaff04660ed}"/>
    </Anchor>
    <History>
      <Event time="2025-08-13T16:25:34.00" id="{6bdba647-f186-4f94-987a-df31a28fa316}">
        <Attribution userId="placeholder@email.com" userName="Arthur Michel" userProvider="google-sheets"/>
        <Anchor>
          <Comment id="{4fceabdd-cd79-4c12-8495-dbaff04660ed}"/>
        </Anchor>
        <Create/>
      </Event>
      <Event time="2025-08-13T16:25:34.00" id="{a447c699-4fb6-435e-a1a2-d144050e59b7}">
        <Attribution userId="placeholder@email.com" userName="Arthur Michel" userProvider="google-sheets"/>
        <Anchor>
          <Comment id="{4fceabdd-cd79-4c12-8495-dbaff04660ed}"/>
        </Anchor>
        <Assign userId="andrew.jordan@trilogy.com" userName="andrew.jordan@trilogy.com" userProvider="google-sheets"/>
      </Event>
    </History>
  </Task>
  <Task id="{a33e2bc7-0e38-4ee3-906b-a17d241501af}">
    <Anchor>
      <Comment id="{1f0f40b3-d424-48c4-8b3e-d02529ed61ff}"/>
    </Anchor>
    <History>
      <Event time="2025-07-24T14:38:46.00" id="{e8395078-68c7-4638-bd5a-cf5eb53b270b}">
        <Attribution userId="placeholder@email.com" userName="Amelia Baldwin" userProvider="google-sheets"/>
        <Anchor>
          <Comment id="{1f0f40b3-d424-48c4-8b3e-d02529ed61ff}"/>
        </Anchor>
        <Create/>
      </Event>
      <Event time="2025-07-24T14:38:46.00" id="{669a6dde-ab2b-4343-845a-131ee78736d8}">
        <Attribution userId="placeholder@email.com" userName="Amelia Baldwin" userProvider="google-sheets"/>
        <Anchor>
          <Comment id="{1f0f40b3-d424-48c4-8b3e-d02529ed61ff}"/>
        </Anchor>
        <Assign userId="jan.dejager@trilogy.com" userName="jan.dejager@trilogy.com" userProvider="google-sheets"/>
      </Event>
    </History>
  </Task>
  <Task id="{0475949b-bc1a-4cc4-94ad-324f150f78a4}">
    <Anchor>
      <Comment id="{dfac81c7-b26e-49ca-9d06-317797cd833f}"/>
    </Anchor>
    <History>
      <Event time="2025-09-09T18:52:01.00" id="{6a6ec7a7-0164-4e29-b02d-d4f3b4e6c34c}">
        <Attribution userId="placeholder@email.com" userName="Andrew Jordan" userProvider="google-sheets"/>
        <Anchor>
          <Comment id="{dfac81c7-b26e-49ca-9d06-317797cd833f}"/>
        </Anchor>
        <Create/>
      </Event>
      <Event time="2025-09-09T18:52:01.00" id="{3dd80715-6001-419b-a82a-4cba7bfb49f4}">
        <Attribution userId="placeholder@email.com" userName="Andrew Jordan" userProvider="google-sheets"/>
        <Anchor>
          <Comment id="{dfac81c7-b26e-49ca-9d06-317797cd833f}"/>
        </Anchor>
        <Assign userId="patrick.francia@trilogy.com" userName="patrick.francia@trilogy.com" userProvider="google-sheets"/>
      </Event>
    </History>
  </Task>
  <Task id="{7409ee24-9d93-47d9-8c3a-29da40245a9b}">
    <Anchor>
      <Comment id="{751e73cf-3225-45b4-824b-58ceaa128cfb}"/>
    </Anchor>
    <History>
      <Event time="2025-09-08T22:33:56.00" id="{0ecb2006-d565-40cc-adc6-cbfed3526691}">
        <Attribution userId="placeholder@email.com" userName="Arthur Michel" userProvider="google-sheets"/>
        <Anchor>
          <Comment id="{751e73cf-3225-45b4-824b-58ceaa128cfb}"/>
        </Anchor>
        <Create/>
      </Event>
      <Event time="2025-09-08T22:33:56.00" id="{503c9888-d390-4886-a21d-421b79aed38b}">
        <Attribution userId="placeholder@email.com" userName="Arthur Michel" userProvider="google-sheets"/>
        <Anchor>
          <Comment id="{751e73cf-3225-45b4-824b-58ceaa128cfb}"/>
        </Anchor>
        <Assign userId="heather.lother@crossover.com" userName="heather.lother@crossover.com" userProvider="google-sheets"/>
      </Event>
    </History>
  </Task>
  <Task id="{c7ac09fa-c4b9-46e7-8ed9-26f958d152a8}">
    <Anchor>
      <Comment id="{db5da91e-0407-4a5c-8502-47c96c45dba4}"/>
    </Anchor>
    <History>
      <Event time="2025-07-24T14:38:14.00" id="{cece2530-46fc-4d86-bfd1-a8b99dd03fda}">
        <Attribution userId="placeholder@email.com" userName="Amelia Baldwin" userProvider="google-sheets"/>
        <Anchor>
          <Comment id="{db5da91e-0407-4a5c-8502-47c96c45dba4}"/>
        </Anchor>
        <Create/>
      </Event>
      <Event time="2025-07-24T14:38:14.00" id="{9674b8ce-6a69-4669-9336-1961eb9e9db6}">
        <Attribution userId="placeholder@email.com" userName="Amelia Baldwin" userProvider="google-sheets"/>
        <Anchor>
          <Comment id="{db5da91e-0407-4a5c-8502-47c96c45dba4}"/>
        </Anchor>
        <Assign userId="jan.dejager@trilogy.com" userName="jan.dejager@trilogy.com" userProvider="google-sheets"/>
      </Event>
    </History>
  </Task>
  <Task id="{daf4ca81-04a9-4053-8593-34a165b0cd33}">
    <Anchor>
      <Comment id="{ee07572b-028f-4e38-be82-94616b5c57c8}"/>
    </Anchor>
    <History>
      <Event time="2025-09-08T13:31:23.00" id="{f2f22e2d-725e-477f-8896-d87b87e679d2}">
        <Attribution userId="placeholder@email.com" userName="Arthur Michel" userProvider="google-sheets"/>
        <Anchor>
          <Comment id="{ee07572b-028f-4e38-be82-94616b5c57c8}"/>
        </Anchor>
        <Create/>
      </Event>
      <Event time="2025-09-08T13:31:23.00" id="{e77c906c-2fc6-4011-a477-38053698f299}">
        <Attribution userId="placeholder@email.com" userName="Arthur Michel" userProvider="google-sheets"/>
        <Anchor>
          <Comment id="{ee07572b-028f-4e38-be82-94616b5c57c8}"/>
        </Anchor>
        <Assign userId="stefanie.baduria@alpha.school" userName="stefanie.baduria@alpha.school" userProvider="google-sheets"/>
      </Event>
    </History>
  </Task>
  <Task id="{3daea36e-8393-43ad-a4f0-830bcb1e79dc}">
    <Anchor>
      <Comment id="{475a5a21-1ac5-4cb4-8ee8-0f55d041d5ec}"/>
    </Anchor>
    <History>
      <Event time="2025-09-08T21:52:19.00" id="{824896b7-0369-446c-bae4-c3716a0f4b99}">
        <Attribution userId="placeholder@email.com" userName="Arthur Michel" userProvider="google-sheets"/>
        <Anchor>
          <Comment id="{475a5a21-1ac5-4cb4-8ee8-0f55d041d5ec}"/>
        </Anchor>
        <Create/>
      </Event>
      <Event time="2025-09-08T21:52:19.00" id="{c3c120e4-ee64-4611-8c40-8ecb27298924}">
        <Attribution userId="placeholder@email.com" userName="Arthur Michel" userProvider="google-sheets"/>
        <Anchor>
          <Comment id="{475a5a21-1ac5-4cb4-8ee8-0f55d041d5ec}"/>
        </Anchor>
        <Assign userId="stefanie.baduria@alpha.school" userName="stefanie.baduria@alpha.school" userProvider="google-sheets"/>
      </Event>
    </History>
  </Task>
  <Task id="{44b4f13e-2ec2-417a-a590-c5bc3ea33a04}">
    <Anchor>
      <Comment id="{0d63873b-4aae-44ab-83d9-ab8943ef3d53}"/>
    </Anchor>
    <History>
      <Event time="2025-08-23T21:04:01.00" id="{82189fe0-fbee-49a4-8a18-855c355c06e3}">
        <Attribution userId="placeholder@email.com" userName="Arthur Michel" userProvider="google-sheets"/>
        <Anchor>
          <Comment id="{0d63873b-4aae-44ab-83d9-ab8943ef3d53}"/>
        </Anchor>
        <Create/>
      </Event>
      <Event time="2025-08-23T21:04:01.00" id="{15b3d8c6-4dfa-48fe-a987-69965b56f47b}">
        <Attribution userId="placeholder@email.com" userName="Arthur Michel" userProvider="google-sheets"/>
        <Anchor>
          <Comment id="{0d63873b-4aae-44ab-83d9-ab8943ef3d53}"/>
        </Anchor>
        <Assign userId="andrew.jordan@trilogy.com" userName="andrew.jordan@trilogy.com" userProvider="google-sheets"/>
      </Event>
    </History>
  </Task>
  <Task id="{d25010c6-dee5-4abb-b9be-16a23cbc5139}">
    <Anchor>
      <Comment id="{2069ded8-39ac-46c0-9af5-d4c923a34389}"/>
    </Anchor>
    <History>
      <Event time="2025-07-24T14:39:04.00" id="{0ec1ad51-45ed-40e1-a087-5aa2a7e2f130}">
        <Attribution userId="placeholder@email.com" userName="Amelia Baldwin" userProvider="google-sheets"/>
        <Anchor>
          <Comment id="{2069ded8-39ac-46c0-9af5-d4c923a34389}"/>
        </Anchor>
        <Create/>
      </Event>
      <Event time="2025-07-24T14:39:04.00" id="{50b893c0-5d2d-4faa-8283-6248e8b0bc2a}">
        <Attribution userId="placeholder@email.com" userName="Amelia Baldwin" userProvider="google-sheets"/>
        <Anchor>
          <Comment id="{2069ded8-39ac-46c0-9af5-d4c923a34389}"/>
        </Anchor>
        <Assign userId="jan.dejager@trilogy.com" userName="jan.dejager@trilogy.com" userProvider="google-sheets"/>
      </Event>
    </History>
  </Task>
  <Task id="{b9daf93a-1444-47f6-a0ca-2f8955d214a2}">
    <Anchor>
      <Comment id="{3565e35e-7678-458a-8c8d-62019401bb05}"/>
    </Anchor>
    <History>
      <Event time="2025-07-09T15:45:57.00" id="{e4f823f9-e0e8-4ef7-b86c-c2b387216ac1}">
        <Attribution userId="placeholder@email.com" userName="Amelia Baldwin" userProvider="google-sheets"/>
        <Anchor>
          <Comment id="{3565e35e-7678-458a-8c8d-62019401bb05}"/>
        </Anchor>
        <Create/>
      </Event>
      <Event time="2025-07-09T15:45:57.00" id="{ee92934f-1453-486f-a512-d09ce5725e13}">
        <Attribution userId="placeholder@email.com" userName="Amelia Baldwin" userProvider="google-sheets"/>
        <Anchor>
          <Comment id="{3565e35e-7678-458a-8c8d-62019401bb05}"/>
        </Anchor>
        <Assign userId="arthur@trilogy.com" userName="arthur@trilogy.com" userProvider="google-sheets"/>
      </Event>
    </History>
  </Task>
  <Task id="{ed94fca2-2619-4627-9516-c67f9f7ddddb}">
    <Anchor>
      <Comment id="{4af53236-83ab-4833-a80e-95a042d2b83d}"/>
    </Anchor>
    <History>
      <Event time="2025-08-13T18:37:17.00" id="{dbaaacc2-df80-4b7a-911a-deb418873e71}">
        <Attribution userId="placeholder@email.com" userName="Brian Baucher" userProvider="google-sheets"/>
        <Anchor>
          <Comment id="{4af53236-83ab-4833-a80e-95a042d2b83d}"/>
        </Anchor>
        <Create/>
      </Event>
      <Event time="2025-08-13T18:37:17.00" id="{315074b5-3db8-42e0-afd3-f8d7adc8facf}">
        <Attribution userId="placeholder@email.com" userName="Brian Baucher" userProvider="google-sheets"/>
        <Anchor>
          <Comment id="{4af53236-83ab-4833-a80e-95a042d2b83d}"/>
        </Anchor>
        <Assign userId="jan.dejager@trilogy.com" userName="jan.dejager@trilogy.com" userProvider="google-sheets"/>
      </Event>
    </History>
  </Task>
  <Task id="{3138c6a2-a87b-47e1-83fc-33bac04465e6}">
    <Anchor>
      <Comment id="{245f4cd7-da2e-402b-917b-9e218aa441a2}"/>
    </Anchor>
    <History>
      <Event time="2025-10-07T16:31:51.00" id="{29956cd8-90ef-4234-81d0-c909d8b164b9}">
        <Attribution userId="placeholder@email.com" userName="Heather Lother" userProvider="google-sheets"/>
        <Anchor>
          <Comment id="{73839f47-ceb4-4a11-a75e-77b2120a2c34}"/>
        </Anchor>
        <Create/>
      </Event>
      <Event time="2025-10-07T16:31:51.00" id="{a2a682a7-ea8d-41db-b094-772112e7d892}">
        <Attribution userId="placeholder@email.com" userName="Heather Lother" userProvider="google-sheets"/>
        <Anchor>
          <Comment id="{73839f47-ceb4-4a11-a75e-77b2120a2c34}"/>
        </Anchor>
        <Assign userId="jan.dejager@trilogy.com" userName="jan.dejager@trilogy.com" userProvider="google-sheets"/>
      </Event>
    </History>
  </Task>
  <Task id="{75dfbae4-7ff6-42fe-a123-66475a116968}">
    <Anchor>
      <Comment id="{c2a2e181-f584-4355-9091-8db36b3f07c2}"/>
    </Anchor>
    <History>
      <Event time="2025-08-13T18:35:12.00" id="{60997a8f-5038-4a6c-bf64-c4738036090d}">
        <Attribution userId="placeholder@email.com" userName="Brian Baucher" userProvider="google-sheets"/>
        <Anchor>
          <Comment id="{c2a2e181-f584-4355-9091-8db36b3f07c2}"/>
        </Anchor>
        <Create/>
      </Event>
      <Event time="2025-08-13T18:35:12.00" id="{060eb4b3-0616-45a7-99fd-6e38345de1c2}">
        <Attribution userId="placeholder@email.com" userName="Brian Baucher" userProvider="google-sheets"/>
        <Anchor>
          <Comment id="{c2a2e181-f584-4355-9091-8db36b3f07c2}"/>
        </Anchor>
        <Assign userId="jan.dejager@trilogy.com" userName="jan.dejager@trilogy.com" userProvider="google-sheets"/>
      </Event>
    </History>
  </Task>
  <Task id="{c2281579-d047-47b3-80b2-357dcc97915b}">
    <Anchor>
      <Comment id="{7a7da18b-453c-477a-8396-5a55b9388bbf}"/>
    </Anchor>
    <History>
      <Event time="2025-08-29T20:20:56.00" id="{6743198c-f5f7-4ac6-a96c-d2c921a00fa4}">
        <Attribution userId="placeholder@email.com" userName="Amelia Baldwin" userProvider="google-sheets"/>
        <Anchor>
          <Comment id="{7a7da18b-453c-477a-8396-5a55b9388bbf}"/>
        </Anchor>
        <Create/>
      </Event>
      <Event time="2025-08-29T20:20:56.00" id="{50b4072f-edb9-46da-99ac-a8e3ffa7a2eb}">
        <Attribution userId="placeholder@email.com" userName="Amelia Baldwin" userProvider="google-sheets"/>
        <Anchor>
          <Comment id="{7a7da18b-453c-477a-8396-5a55b9388bbf}"/>
        </Anchor>
        <Assign userId="rachel.goodlad@alpha.school" userName="rachel.goodlad@alpha.school"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7769fc0c-58c7-4b0a-b217-72542b4be0bb}">
    <Anchor>
      <Comment id="{37ad6112-e285-41ac-92f2-1937b3252728}"/>
    </Anchor>
    <History>
      <Event time="2025-09-24T01:10:02.00" id="{7f8e876f-262f-4224-b2dc-261f44f9acdf}">
        <Attribution userId="placeholder@email.com" userName="Arthur Michel" userProvider="google-sheets"/>
        <Anchor>
          <Comment id="{37ad6112-e285-41ac-92f2-1937b3252728}"/>
        </Anchor>
        <Create/>
      </Event>
      <Event time="2025-09-24T01:10:02.00" id="{c9c6a9d5-6ad9-4d84-8626-38a549494bfe}">
        <Attribution userId="placeholder@email.com" userName="Arthur Michel" userProvider="google-sheets"/>
        <Anchor>
          <Comment id="{37ad6112-e285-41ac-92f2-1937b3252728}"/>
        </Anchor>
        <Assign userId="joshua.rockers@trilogy.com" userName="joshua.rockers@trilogy.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ck.abolt@trilogy.com" id="{e46e3bfd-9f13-4312-b3cf-a84d46dbf1d8}" userId="jack.abolt@trilogy.com" providerId="google-sheets"/>
  <x18tc:person displayName="jeremy.williams@alpha.school" id="{95e6c85d-9bfa-409c-8c91-1255c1073296}" userId="jeremy.williams@alpha.school" providerId="google-sheets"/>
  <x18tc:person displayName="austin.ray@trilogy.com" id="{225e38b3-07d9-437a-bca8-c2c2b6ba2684}" userId="austin.ray@trilogy.com" providerId="google-sheets"/>
  <x18tc:person displayName="neeraj.gupta@trilogy.com" id="{81aaf11f-139b-4989-8bb4-8440255e407f}" userId="neeraj.gupta@trilogy.com" providerId="google-sheets"/>
  <x18tc:person displayName="Jim Liu" id="{4e173aab-5741-4b0d-9988-4b92b8b0b67b}" providerId="google-sheets"/>
  <x18tc:person displayName="greg.foote@trilogy.com" id="{5cc5aeb8-ba9d-4660-8c1a-50b19e6deb45}" userId="greg.foote@trilogy.com" providerId="google-sheets"/>
  <x18tc:person displayName="Stefanie Baduria" id="{62b87bdf-f3d1-47d1-823b-4967c0fe4d61}" providerId="google-sheets"/>
  <x18tc:person displayName="tasha.arnold@2hourlearning.com" id="{8b715740-267c-4990-9265-d87ed3660357}" userId="tasha.arnold@2hourlearning.com" providerId="google-sheets"/>
  <x18tc:person displayName="Andrew Jordan" id="{7eb13349-0232-4341-b092-fb43a44a63cc}" providerId="google-sheets"/>
  <x18tc:person displayName="Joe Marone" id="{0ee31150-bdf9-45ab-92bb-ec17e462b803}" providerId="google-sheets"/>
  <x18tc:person displayName="maria.mejia@alpha.school" id="{bb964201-a869-4386-ba59-581b22e6bd12}" userId="maria.mejia@alpha.school" providerId="google-sheets"/>
  <x18tc:person displayName="Andrea Ewalefo" id="{a0228242-398a-4263-8d98-00e836381de4}" providerId="google-sheets"/>
  <x18tc:person displayName="jan.dejager@trilogy.com" id="{110becb3-6830-4fb5-b6ef-24fb9f29c861}" userId="jan.dejager@trilogy.com" providerId="google-sheets"/>
  <x18tc:person displayName="jr.houston@trilogy.com" id="{e622cd7d-7d0b-44e2-b02c-e3f3e3d189f8}" userId="jr.houston@trilogy.com" providerId="google-sheets"/>
  <x18tc:person displayName="cathrina.carmen@trilogy.com" id="{868164e6-d80f-4ba4-9b07-2073922b2f49}" userId="cathrina.carmen@trilogy.com" providerId="google-sheets"/>
  <x18tc:person displayName="dmitry.bakaev@alpha.school" id="{61ed0cf0-c2ca-47fd-8399-5d40475998a9}" userId="dmitry.bakaev@alpha.school" providerId="google-sheets"/>
  <x18tc:person displayName="JR Houston" id="{7820e791-5943-4f6e-baf1-153e740ed679}" providerId="google-sheets"/>
  <x18tc:person displayName="Jeremy Williams" id="{9daa4ad6-ef95-4a0e-b4bb-3d29b0ee99a2}" providerId="google-sheets"/>
  <x18tc:person displayName="randall.grant@trilogy.com" id="{9742ff45-2cda-4cfc-81e3-8e6a9ec9d23c}" userId="randall.grant@trilogy.com" providerId="google-sheets"/>
  <x18tc:person displayName="joshua.rockers@trilogy.com" id="{ef469d49-2be3-4bba-b1a1-51abddb1b250}" userId="joshua.rockers@trilogy.com" providerId="google-sheets"/>
  <x18tc:person displayName="Donnie Yee" id="{0262a5cd-6f3a-4703-b808-bc0987862b5e}" providerId="google-sheets"/>
  <x18tc:person displayName="Jan De Jager" id="{5495796c-803e-4d04-839b-a9c969210ec0}" providerId="google-sheets"/>
  <x18tc:person displayName="may.dobbs@alpha.school" id="{f0811f29-b031-4944-bac7-2af1636c7f5b}" userId="may.dobbs@alpha.school" providerId="google-sheets"/>
  <x18tc:person displayName="donnie.yee@trilogy.com" id="{89c5b50c-ba7f-4dc2-ac4a-2d16e711229b}" userId="donnie.yee@trilogy.com" providerId="google-sheets"/>
  <x18tc:person displayName="tasha.arnold@alpha.school" id="{1d6d7079-e654-41a8-aeea-04d4f964b2f7}" userId="tasha.arnold@alpha.school" providerId="google-sheets"/>
  <x18tc:person displayName="amelia.baldwin@alpha.school" id="{ceabeb41-7692-4dc7-a25b-b6f20b2fe9d3}" userId="amelia.baldwin@alpha.school" providerId="google-sheets"/>
  <x18tc:person displayName="brian.baucher@trilogy.com" id="{53e62665-d5ac-4ea0-8a2a-442e7dc7d89c}" userId="brian.baucher@trilogy.com" providerId="google-sheets"/>
  <x18tc:person displayName="david.harpur@trilogy.com" id="{9ecbeea8-b78f-49ff-a39c-eac4a37185dc}" userId="david.harpur@trilogy.com" providerId="google-sheets"/>
  <x18tc:person displayName="heather.mcmahan@2hourlearning.com" id="{cea450a1-c866-4562-b3dd-955ff153c914}" userId="heather.mcmahan@2hourlearning.com" providerId="google-sheets"/>
  <x18tc:person displayName="gautam.manohar@trilogy.com" id="{f11b0ee4-ce5f-40b9-be1b-2c9d3af71bd7}" userId="gautam.manohar@trilogy.com" providerId="google-sheets"/>
  <x18tc:person displayName="amelia.baldwin@2hourlearning.com" id="{26c64a12-5973-456f-9f23-4c2c69dc7a7f}" userId="amelia.baldwin@2hourlearning.com" providerId="google-sheets"/>
  <x18tc:person displayName="jim.liu@trilogy.com" id="{d69d0368-751d-4acf-a49e-f96cc4f843c0}" userId="jim.liu@trilogy.com" providerId="google-sheets"/>
  <x18tc:person displayName="andy.price@trilogy.com" id="{21113a98-5968-43f5-b11e-0a69f444a490}" userId="andy.price@trilogy.com" providerId="google-sheets"/>
  <x18tc:person displayName="Randall Grant" id="{228c6931-f87f-4525-a9b6-286d8abe489a}" providerId="google-sheets"/>
  <x18tc:person displayName="Bernhard Baernthaler (Ben)" id="{6e3390ad-b284-4d7f-927e-86f853cc41d2}" providerId="google-sheets"/>
  <x18tc:person displayName="andrea.ewalefo@trilogy.com" id="{a9af41c0-5bf9-4d24-9679-4040b2296852}" userId="andrea.ewalefo@trilogy.com" providerId="google-sheets"/>
  <x18tc:person displayName="joe.marone@alpha.school" id="{44009fb6-cd81-4af0-a73f-b732ae701b0e}" userId="joe.marone@alpha.school" providerId="google-sheets"/>
  <x18tc:person displayName="rachel.goodlad@alpha.school" id="{29d2406b-30bf-43b3-87b9-fe87b6d13e6a}" userId="rachel.goodlad@alpha.school" providerId="google-sheets"/>
  <x18tc:person displayName="ludel.mier@trilogy.com" id="{03cc7136-df99-4ccb-8526-3f9798f7bb9a}" userId="ludel.mier@trilogy.com" providerId="google-sheets"/>
  <x18tc:person displayName="shannon.peifer@alpha.school" id="{a253f597-90de-4104-8df0-9f387f3766ef}" userId="shannon.peifer@alpha.school" providerId="google-sheets"/>
  <x18tc:person displayName="arthur@trilogy.com" id="{57259500-5a14-4ba4-b843-32512c7c5aa7}" userId="arthur@trilogy.com" providerId="google-sheets"/>
  <x18tc:person displayName="Heather Lother" id="{4406f311-3a54-4798-954a-6309e28792a4}" providerId="google-sheets"/>
  <x18tc:person displayName="Rachel Goodlad" id="{f256d1d9-3ce3-477e-8d2e-d8deca504061}" providerId="google-sheets"/>
  <x18tc:person displayName="Jack Abolt" id="{e2ed396f-1980-4917-9227-7155178975f6}" providerId="google-sheets"/>
  <x18tc:person displayName="Tasha Arnold" id="{f0cc1384-fa8c-48e3-9ff1-d01dc70f9d16}" providerId="google-sheets"/>
  <x18tc:person displayName="David McGowan" id="{2c6a2ee1-977f-4ec0-bf64-a380d414b166}" providerId="google-sheets"/>
  <x18tc:person displayName="jc.fischer@trilogy.com" id="{a85e4ea7-c011-42a5-a6be-4cb6fa744464}" userId="jc.fischer@trilogy.com" providerId="google-sheets"/>
  <x18tc:person displayName="bernhard.baernthaler@trilogy.com" id="{3439899d-94dd-4b3d-94f2-60ce5db90e61}" userId="bernhard.baernthaler@trilogy.com" providerId="google-sheets"/>
  <x18tc:person displayName="andrew.jordan@trilogy.com" id="{416700c4-395c-4dab-9a17-b66b9d2466b9}" userId="andrew.jordan@trilogy.com" providerId="google-sheets"/>
  <x18tc:person displayName="Sam Anderson" id="{4c11c253-f586-4eeb-9624-6736a7d63a76}" providerId="google-sheets"/>
  <x18tc:person displayName="Arthur Michel" id="{e0f9e752-4c1c-4cde-b844-7ddef95e704e}" providerId="google-sheets"/>
  <x18tc:person displayName="cory.shelton@alpha.school" id="{25a0850a-a2a1-4d92-a6d4-015e7aaa20ac}" userId="cory.shelton@alpha.school" providerId="google-sheets"/>
  <x18tc:person displayName="Patrick Francia" id="{209a287d-7e6b-468e-b172-ce1a4a14f86a}" providerId="google-sheets"/>
  <x18tc:person displayName="robbie.forrest@trilogy.com" id="{ae7a58e5-1b85-439a-9ddb-65f7f86eb409}" userId="robbie.forrest@trilogy.com" providerId="google-sheets"/>
  <x18tc:person displayName="Parthsarthi (Parth)" id="{dbe65a33-770c-470c-a9e1-7e91e5d977fa}" providerId="google-sheets"/>
  <x18tc:person displayName="joe.marone@2hourlearning.com" id="{e47c394d-ca07-4fb1-8dc3-744ab0f2b6e9}" userId="joe.marone@2hourlearning.com" providerId="google-sheets"/>
  <x18tc:person displayName="patrick.francia@trilogy.com" id="{23ae3bc8-0a72-4458-9992-814b38a63ce9}" userId="patrick.francia@trilogy.com" providerId="google-sheets"/>
  <x18tc:person displayName="stefanie.baduria@alpha.school" id="{957ab0aa-4a5a-4047-ba5d-6ecbe7f477b2}" userId="stefanie.baduria@alpha.school" providerId="google-sheets"/>
  <x18tc:person displayName="dmitry.bakaev@trilogy.com" id="{0511c2dd-e4a6-4511-b1b6-b40f169ad9e9}" userId="dmitry.bakaev@trilogy.com" providerId="google-sheets"/>
  <x18tc:person displayName="Neeraj Gupta" id="{bd2d1284-c68b-446a-9933-a836997f422e}" providerId="google-sheets"/>
  <x18tc:person displayName="Zara Raheem" id="{7493441f-94cd-4187-9a6a-935397cb697c}" providerId="google-sheets"/>
  <x18tc:person displayName="kevin.kongslie@trilogy.com" id="{99fed3ae-d9fc-4499-a140-d5f416feee78}" userId="kevin.kongslie@trilogy.com" providerId="google-sheets"/>
  <x18tc:person displayName="Kevin Kongslie" id="{4c5eb507-591d-445a-8363-fda7c8c32862}" providerId="google-sheets"/>
  <x18tc:person displayName="heather.lother@crossover.com" id="{6ae5b66f-f600-48d7-8f4d-e68e56c9d730}" userId="heather.lother@crossover.com" providerId="google-sheets"/>
  <x18tc:person displayName="JC Fischer" id="{41a06bdc-7b6e-4d7d-8077-bb4d2d59df4d}" providerId="google-sheets"/>
  <x18tc:person displayName="Austin Ray" id="{75226794-c312-4b5b-ba6e-814bf24e6e96}" providerId="google-sheets"/>
  <x18tc:person displayName="David Harpur" id="{ca9de7f2-f71e-484f-a07d-306d53649393}" providerId="google-sheets"/>
  <x18tc:person displayName="arthur.michel@trilogy.com" id="{f7b44fcc-ffbd-46b3-8b52-56446e17f131}" userId="arthur.michel@trilogy.com" providerId="google-sheets"/>
  <x18tc:person displayName="Brian Baucher" id="{a9cf6e79-9751-4017-90e6-a3b2941f1187}" providerId="google-sheets"/>
  <x18tc:person displayName="Jake Petersen" id="{d0a8bdc4-5af0-4bd9-b4e2-82011e68e053}" providerId="google-sheets"/>
  <x18tc:person displayName="Joshua Rockers" id="{5902432c-927b-43a4-9eb1-4925ad387d53}" providerId="google-sheets"/>
  <x18tc:person displayName="Dmitry Bakaev" id="{aee94e66-a8d2-4d37-bd5e-8046ee94023d}" providerId="google-sheets"/>
  <x18tc:person displayName="Rachel Goodlad" id="{05e04ec8-2dbd-4951-b6b2-725339344122}" providerId="google-sheets"/>
  <x18tc:person displayName="Amelia Baldwin" id="{298ce18e-383d-4b63-9127-423ce6718bdb}" providerId="google-sheets"/>
  <x18tc:person displayName="zack.lamb@2hourlearning.com" id="{f8e572d5-b4b6-45c3-8580-232b6ef83e7a}" userId="zack.lamb@2hourlearning.com" providerId="google-sheets"/>
  <x18tc:person displayName="jeremy.williams@2hourlearning.com" id="{f50af096-9d93-4657-a6df-d08c4a57841b}" userId="jeremy.williams@2hourlearning.com" providerId="google-sheets"/>
  <x18tc:person displayName="brandon.gee@trilogy.com" id="{6d880a15-7ac9-4406-942a-449c394d73ee}" userId="brandon.gee@trilogy.com" providerId="google-sheets"/>
  <x18tc:person displayName="tina.erales@jonesspross.com" id="{05fc1dd0-873d-4b95-aa54-77f1d0348477}" userId="tina.erales@jonesspross.com" providerId="google-sheets"/>
  <x18tc:person displayName="Joe Marone" id="{0599344a-1de4-40af-8426-fb0ff1ca2f71}" providerId="google-sheets"/>
  <x18tc:person displayName="jake.petersen@trilogy.com" id="{5ab5edeb-29c9-461b-afbf-5e86ce18ef6f}" userId="jake.petersen@trilogy.com" providerId="google-sheets"/>
  <x18tc:person displayName="samuel.andrerson@trilogy.com" id="{5db744c2-1590-408e-91da-9c9b3a16bab8}" userId="samuel.andrerson@trilogy.com" providerId="google-sheets"/>
  <x18tc:person displayName="Shannon Peifer" id="{3a2edfa2-4108-4b35-a45e-f092ee237dc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27T04:10:11.00" personId="{e0f9e752-4c1c-4cde-b844-7ddef95e704e}" id="{fdde8feb-1c1f-4856-af00-8f40f4fa141d}" done="1">
    <x18tc:text xml:space="preserve">@donnie.yee@trilogy.com pls add your cell here for major issues.
Assigned to donnie.yee@trilogy.com</x18tc:text>
    <x18tc:mentions>
      <x18tc:mention mentionpersonId="{89c5b50c-ba7f-4dc2-ac4a-2d16e711229b}" mentionId="{774177d6-594b-445a-bcb8-342cdc73fb91}" startIndex="0" length="23"/>
    </x18tc:mentions>
  </x18tc:threadedComment>
  <x18tc:threadedComment ref="A1" dT="2025-08-27T04:09:40.00" personId="{e0f9e752-4c1c-4cde-b844-7ddef95e704e}" id="{d0ef62a3-2a91-4f48-baec-bf3b4754e489}" done="1">
    <x18tc:text xml:space="preserve">@donnie.yee@trilogy.com is this complete and accurate?
Assigned to donnie.yee@trilogy.com</x18tc:text>
    <x18tc:mentions>
      <x18tc:mention mentionpersonId="{89c5b50c-ba7f-4dc2-ac4a-2d16e711229b}" mentionId="{03ae79dd-6a1f-4480-a722-a367f1586b2c}" startIndex="0" length="23"/>
    </x18tc:mentions>
  </x18tc:threadedComment>
  <x18tc:threadedComment ref="A1" dT="2025-08-27T15:46:53.00" personId="{0262a5cd-6f3a-4703-b808-bc0987862b5e}" id="{4f478347-0a2c-4cf4-9695-b98e3ed322f5}" parentId="{d0ef62a3-2a91-4f48-baec-bf3b4754e489}">
    <x18tc:text xml:space="preserve">Can be more broad / catch all, and I can filter/route to the right people. Unless there is a separate place to report software/tech issues.</x18tc:text>
  </x18tc:threadedComment>
  <x18tc:threadedComment ref="A1" dT="2025-08-22T11:27:22.00" personId="{298ce18e-383d-4b63-9127-423ce6718bdb}" id="{e3c000e3-0703-40ff-b2bb-3211601a6e1c}" done="0">
    <x18tc:text xml:space="preserve">@joe.marone@alpha.school Could you share a current enrollment number?
Assigned to joe.marone@alpha.school</x18tc:text>
    <x18tc:mentions>
      <x18tc:mention mentionpersonId="{44009fb6-cd81-4af0-a73f-b732ae701b0e}" mentionId="{ab94c163-4d15-4e51-9fc1-d782b2781bd2}" startIndex="0" length="24"/>
    </x18tc:mentions>
  </x18tc:threadedComment>
  <x18tc:threadedComment ref="A1" dT="2025-06-27T15:37:31.00" personId="{ca9de7f2-f71e-484f-a07d-306d53649393}" id="{a93b9a2f-5648-416b-b888-80782eaa7561}" done="1">
    <x18tc:text xml:space="preserve">@amelia.baldwin@2hourlearning.com @arthur@trilogy.com @jan.dejager@trilogy.com - can we delete this row?</x18tc:text>
    <x18tc:mentions>
      <x18tc:mention mentionpersonId="{26c64a12-5973-456f-9f23-4c2c69dc7a7f}" mentionId="{968edde3-11ef-4798-9d23-112eb9aa53be}" startIndex="0" length="33"/>
      <x18tc:mention mentionpersonId="{57259500-5a14-4ba4-b843-32512c7c5aa7}" mentionId="{42bb4248-53ce-4d19-86e6-fc3fc5097362}" startIndex="34" length="19"/>
      <x18tc:mention mentionpersonId="{110becb3-6830-4fb5-b6ef-24fb9f29c861}" mentionId="{1aec799d-c019-4348-a2d0-83705d09b8d0}" startIndex="54" length="24"/>
    </x18tc:mentions>
  </x18tc:threadedComment>
  <x18tc:threadedComment ref="A1" dT="2025-06-30T12:02:55.00" personId="{5495796c-803e-4d04-839b-a9c969210ec0}" id="{cccc4f50-f0aa-40fa-b518-ef934251c0fe}" parentId="{a93b9a2f-5648-416b-b888-80782eaa7561}">
    <x18tc:text xml:space="preserve">Yes</x18tc:text>
  </x18tc:threadedComment>
  <x18tc:threadedComment ref="A1" dT="2025-07-16T15:13:48.00" personId="{ca9de7f2-f71e-484f-a07d-306d53649393}" id="{571bdc2e-efb8-4101-829d-25e3096a27f7}" done="1">
    <x18tc:text xml:space="preserve">@jan.dejager@trilogy.com - let's get all these blanks completed</x18tc:text>
    <x18tc:mentions>
      <x18tc:mention mentionpersonId="{110becb3-6830-4fb5-b6ef-24fb9f29c861}" mentionId="{7b39e4cf-59d9-4177-a645-a06c8094723a}" startIndex="0" length="24"/>
    </x18tc:mentions>
  </x18tc:threadedComment>
  <x18tc:threadedComment ref="A1" dT="2025-07-18T12:21:12.00" personId="{5495796c-803e-4d04-839b-a9c969210ec0}" id="{3e175577-aac1-43ea-a95f-aa7dbf2e8d86}" parentId="{571bdc2e-efb8-4101-829d-25e3096a27f7}">
    <x18tc:text xml:space="preserve">@david.harpur@trilogy.com @arthur@trilogy.com - can I check with Neeraj/AP on this - not getting any detail to populate here</x18tc:text>
    <x18tc:mentions>
      <x18tc:mention mentionpersonId="{9ecbeea8-b78f-49ff-a39c-eac4a37185dc}" mentionId="{1bee3bc5-4991-4d10-b3f1-81fbb4b2559a}" startIndex="0" length="25"/>
      <x18tc:mention mentionpersonId="{57259500-5a14-4ba4-b843-32512c7c5aa7}" mentionId="{09984bd6-a863-43c7-85ad-b10840c8cbe1}" startIndex="26" length="19"/>
    </x18tc:mentions>
  </x18tc:threadedComment>
  <x18tc:threadedComment ref="A1" dT="2025-08-19T12:26:16.00" personId="{e0f9e752-4c1c-4cde-b844-7ddef95e704e}" id="{ac7a2793-1142-40b3-9c12-12dfc25816b9}" parentId="{571bdc2e-efb8-4101-829d-25e3096a27f7}">
    <x18tc:text xml:space="preserve">@jan.dejager@trilogy.com still open?</x18tc:text>
    <x18tc:mentions>
      <x18tc:mention mentionpersonId="{110becb3-6830-4fb5-b6ef-24fb9f29c861}" mentionId="{4dc029db-db33-4f8d-b8ed-2331f05147ea}" startIndex="0" length="24"/>
    </x18tc:mentions>
  </x18tc:threadedComment>
  <x18tc:threadedComment ref="A1" dT="2025-09-08T17:50:13.00" personId="{62b87bdf-f3d1-47d1-823b-4967c0fe4d61}" id="{3089c418-f07c-4f7d-8ebf-f075393b28f9}" done="0">
    <x18tc:text xml:space="preserve">Where are you pulling these from? And how can I get access to knowing future cities as early as possible, so I can do staffing?</x18tc:text>
  </x18tc:threadedComment>
  <x18tc:threadedComment ref="A1" dT="2025-09-10T15:28:26.00" personId="{0262a5cd-6f3a-4703-b808-bc0987862b5e}" id="{317d778f-24b3-47f2-bd3f-85e9f0e49bce}" parentId="{3089c418-f07c-4f7d-8ebf-f075393b28f9}">
    <x18tc:text xml:space="preserve">@donnie.yee@trilogy.com has same question/visibility challenge. I will work to develop a process where the moment something is "known/speculated" to notify key people so that backend work can be prep, especially those with long lead times (hiring, hardware procurement, etc)
cc
@amelia.baldwin@alpha.school</x18tc:text>
    <x18tc:mentions>
      <x18tc:mention mentionpersonId="{89c5b50c-ba7f-4dc2-ac4a-2d16e711229b}" mentionId="{d595c21f-1671-424c-8e7c-d001c7256698}" startIndex="0" length="23"/>
      <x18tc:mention mentionpersonId="{ceabeb41-7692-4dc7-a25b-b6f20b2fe9d3}" mentionId="{9e3f28cb-ef08-48ff-b44d-7e52956bd756}" startIndex="279" length="28"/>
    </x18tc:mentions>
  </x18tc:threadedComment>
  <x18tc:threadedComment ref="A1" dT="2025-09-11T01:27:41.00" personId="{e0f9e752-4c1c-4cde-b844-7ddef95e704e}" id="{026eb946-d63f-4ab5-aa72-d3f01f4083de}" parentId="{3089c418-f07c-4f7d-8ebf-f075393b28f9}">
    <x18tc:text xml:space="preserve">Removed, visibility on potential future sites should come from Marketing (who can develop a separate API/tracker), not this sheet.</x18tc:text>
  </x18tc:threadedComment>
  <x18tc:threadedComment ref="A1" dT="2025-06-18T20:39:38.00" personId="{298ce18e-383d-4b63-9127-423ce6718bdb}" id="{ad45a85a-60c9-44df-ae05-311c2129e47b}" done="1">
    <x18tc:text xml:space="preserve">MP to get back to Amelia on this name</x18tc:text>
  </x18tc:threadedComment>
  <x18tc:threadedComment ref="A1" dT="2025-07-15T14:51:45.00" personId="{ca9de7f2-f71e-484f-a07d-306d53649393}" id="{d076dd6c-2128-4214-be6a-cfcf963ad2b4}" done="1">
    <x18tc:text xml:space="preserve">@jan.dejager@trilogy.com - ?</x18tc:text>
    <x18tc:mentions>
      <x18tc:mention mentionpersonId="{110becb3-6830-4fb5-b6ef-24fb9f29c861}" mentionId="{9d626dae-62dd-4a36-b967-598cebc710e0}" startIndex="0" length="24"/>
    </x18tc:mentions>
  </x18tc:threadedComment>
  <x18tc:threadedComment ref="A1" dT="2025-07-16T13:48:17.00" personId="{5495796c-803e-4d04-839b-a9c969210ec0}" id="{32c75647-a99e-40f8-8ecf-292d8f87c9ac}" parentId="{d076dd6c-2128-4214-be6a-cfcf963ad2b4}">
    <x18tc:text xml:space="preserve">updated</x18tc:text>
  </x18tc:threadedComment>
  <x18tc:threadedComment ref="A1" dT="2025-07-02T17:21:17.00" personId="{ca9de7f2-f71e-484f-a07d-306d53649393}" id="{53882fc2-7cd7-4135-b4ed-82d04269e4b7}" done="1">
    <x18tc:text xml:space="preserve">@jan.dejager@trilogy.com - what does "leased: ind" mean?
fyi
@arthur@trilogy.com</x18tc:text>
    <x18tc:mentions>
      <x18tc:mention mentionpersonId="{110becb3-6830-4fb5-b6ef-24fb9f29c861}" mentionId="{a348ce5b-0620-4ead-941a-f6cf5147cdb3}" startIndex="0" length="24"/>
      <x18tc:mention mentionpersonId="{57259500-5a14-4ba4-b843-32512c7c5aa7}" mentionId="{b8a31998-3c4c-4e14-8256-6e4cfc5cdb26}" startIndex="62" length="19"/>
    </x18tc:mentions>
  </x18tc:threadedComment>
  <x18tc:threadedComment ref="A1" dT="2025-07-14T13:31:04.00" personId="{5495796c-803e-4d04-839b-a9c969210ec0}" id="{65fc1d9c-6ee7-4b57-854a-da1ed2684483}" parentId="{53882fc2-7cd7-4135-b4ed-82d04269e4b7}">
    <x18tc:text xml:space="preserve">corrected to Leased</x18tc:text>
  </x18tc:threadedComment>
  <x18tc:threadedComment ref="A6" dT="2025-09-29T17:36:47.00" personId="{e0f9e752-4c1c-4cde-b844-7ddef95e704e}" id="{013542ef-0e23-4ef8-b982-df8ecc530654}" done="1">
    <x18tc:text xml:space="preserve">@jan.dejager@trilogy.com @andrew.jordan@trilogy.com this tab is out of date, do we need it?</x18tc:text>
    <x18tc:mentions>
      <x18tc:mention mentionpersonId="{110becb3-6830-4fb5-b6ef-24fb9f29c861}" mentionId="{e38583f6-caa2-4356-957c-89438e37b170}" startIndex="0" length="24"/>
      <x18tc:mention mentionpersonId="{416700c4-395c-4dab-9a17-b66b9d2466b9}" mentionId="{69c65258-ed4f-4f72-82c9-92d6ffb79162}" startIndex="25" length="26"/>
    </x18tc:mentions>
  </x18tc:threadedComment>
  <x18tc:threadedComment ref="A1" dT="2025-09-11T20:18:45.00" personId="{4406f311-3a54-4798-954a-6309e28792a4}" id="{2560de88-8c22-4f95-8d44-18e96e74655b}" done="0">
    <x18tc:text xml:space="preserve">Hiring</x18tc:text>
  </x18tc:threadedComment>
  <x18tc:threadedComment ref="A1" dT="2025-10-07T02:10:27.00" personId="{4406f311-3a54-4798-954a-6309e28792a4}" id="{d2d1372c-d598-41e9-bb7b-bb643ee781f3}" parentId="{2560de88-8c22-4f95-8d44-18e96e74655b}">
    <x18tc:text xml:space="preserve">Order canceled</x18tc:text>
  </x18tc:threadedComment>
  <x18tc:threadedComment ref="A1" dT="2025-07-01T16:01:53.00" personId="{5495796c-803e-4d04-839b-a9c969210ec0}" id="{08052614-7da6-44ad-8ad3-498ef4668fcb}" done="1">
    <x18tc:text xml:space="preserve">@amelia.baldwin@alpha.school - are you able to complete the outstandings in this row?</x18tc:text>
    <x18tc:mentions>
      <x18tc:mention mentionpersonId="{ceabeb41-7692-4dc7-a25b-b6f20b2fe9d3}" mentionId="{ade5a63d-97f2-4bb7-8a7d-42bed3293e47}" startIndex="0" length="28"/>
    </x18tc:mentions>
  </x18tc:threadedComment>
  <x18tc:threadedComment ref="A1" dT="2025-07-01T16:12:48.00" personId="{298ce18e-383d-4b63-9127-423ce6718bdb}" id="{b3013c22-203d-4079-b0af-a01cdf79ba2b}" parentId="{08052614-7da6-44ad-8ad3-498ef4668fcb}">
    <x18tc:text xml:space="preserve">Completed</x18tc:text>
  </x18tc:threadedComment>
  <x18tc:threadedComment ref="A1" dT="2025-06-28T15:14:12.00" personId="{298ce18e-383d-4b63-9127-423ce6718bdb}" id="{d0198fa3-843e-4c46-90e8-a4ef8da01bf3}" done="1">
    <x18tc:text xml:space="preserve">?</x18tc:text>
  </x18tc:threadedComment>
  <x18tc:threadedComment ref="A1" dT="2025-06-30T11:42:13.00" personId="{5495796c-803e-4d04-839b-a9c969210ec0}" id="{666cebfb-9d9f-4f1b-98d7-dcf46863b81c}" parentId="{d0198fa3-843e-4c46-90e8-a4ef8da01bf3}">
    <x18tc:text xml:space="preserve">@amelia.baldwin@alpha.school - you have an open question here</x18tc:text>
    <x18tc:mentions>
      <x18tc:mention mentionpersonId="{ceabeb41-7692-4dc7-a25b-b6f20b2fe9d3}" mentionId="{acac41b8-9806-40f8-bace-cebc6a363ebe}" startIndex="0" length="28"/>
    </x18tc:mentions>
  </x18tc:threadedComment>
  <x18tc:threadedComment ref="A1" dT="2026-01-14T18:26:42.00" personId="{41a06bdc-7b6e-4d7d-8077-bb4d2d59df4d}" id="{72e6b59d-043f-4a8f-9377-2addbbb9fc31}" done="0">
    <x18tc:text xml:space="preserve">@arthur@trilogy.com why is this in here? Did nobody clean out an old entry?</x18tc:text>
    <x18tc:mentions>
      <x18tc:mention mentionpersonId="{57259500-5a14-4ba4-b843-32512c7c5aa7}" mentionId="{73116066-5ab4-44c2-a3ec-15f6f7f387ea}" startIndex="0" length="19"/>
    </x18tc:mentions>
  </x18tc:threadedComment>
  <x18tc:threadedComment ref="A1" dT="2026-01-14T18:32:41.00" personId="{e0f9e752-4c1c-4cde-b844-7ddef95e704e}" id="{af5937f9-dc6e-461f-8bb9-f8b5df076ca2}" parentId="{72e6b59d-043f-4a8f-9377-2addbbb9fc31}">
    <x18tc:text xml:space="preserve">yep, guessing that's what happened.  feel free to fix</x18tc:text>
  </x18tc:threadedComment>
  <x18tc:threadedComment ref="A1" dT="2025-08-01T22:39:15.00" personId="{f256d1d9-3ce3-477e-8d2e-d8deca504061}" id="{e9211a88-691e-4e2a-8fab-9355b579f56c}" done="1">
    <x18tc:text xml:space="preserve">Opening TBD - Not Fall necessarily.</x18tc:text>
  </x18tc:threadedComment>
  <x18tc:threadedComment ref="A1" dT="2025-08-19T12:27:47.00" personId="{e0f9e752-4c1c-4cde-b844-7ddef95e704e}" id="{8a95f77d-a859-43fa-9002-be9822102752}" done="1">
    <x18tc:text xml:space="preserve">@amelia.baldwin@2hourlearning.com PK4-5 can that just be PK-5?
Assigned to amelia.baldwin@2hourlearning.com</x18tc:text>
    <x18tc:mentions>
      <x18tc:mention mentionpersonId="{26c64a12-5973-456f-9f23-4c2c69dc7a7f}" mentionId="{d0aedf98-f80c-457f-98a2-4a53e99470dc}" startIndex="0" length="33"/>
    </x18tc:mentions>
  </x18tc:threadedComment>
  <x18tc:threadedComment ref="A1" dT="2025-07-08T14:55:04.00" personId="{5495796c-803e-4d04-839b-a9c969210ec0}" id="{07ff2202-6995-42ce-b2a7-2f7b49108ad0}" done="1">
    <x18tc:text xml:space="preserve">@andrew.jordan@trilogy.com - do you have a definition for these school models, i.e. White Glove, Guidepost, etc.
Is there a defined list of specifications that go into each from the buildout team?</x18tc:text>
    <x18tc:mentions>
      <x18tc:mention mentionpersonId="{416700c4-395c-4dab-9a17-b66b9d2466b9}" mentionId="{d59e3f97-5a43-470d-9b8f-595b1079de9a}" startIndex="0" length="26"/>
    </x18tc:mentions>
  </x18tc:threadedComment>
  <x18tc:threadedComment ref="A1" dT="2025-07-08T22:38:06.00" personId="{7eb13349-0232-4341-b092-fb43a44a63cc}" id="{ec3f9895-f294-480d-a26f-a20b72484595}" parentId="{07ff2202-6995-42ce-b2a7-2f7b49108ad0}">
    <x18tc:text xml:space="preserve">Not yet. I have asked Tasha to put that together because this is a distinction some in marketing/admissions currently have but we do not have any operational distinction currently.</x18tc:text>
  </x18tc:threadedComment>
  <x18tc:threadedComment ref="A1" dT="2025-07-15T14:36:37.00" personId="{ca9de7f2-f71e-484f-a07d-306d53649393}" id="{161543f8-8b94-4ddc-965b-e27c219311e3}" parentId="{07ff2202-6995-42ce-b2a7-2f7b49108ad0}">
    <x18tc:text xml:space="preserve">??
Marked as resolved</x18tc:text>
  </x18tc:threadedComment>
  <x18tc:threadedComment ref="A1" dT="2025-08-12T15:58:57.00" personId="{05e04ec8-2dbd-4951-b6b2-725339344122}" id="{4519ae07-0201-4121-b280-5cfabda6e25c}" done="1">
    <x18tc:text xml:space="preserve">Once location is cleared and we get the go ahead, we will announce official address and enroll students. Opening date will likely be before December 2025 but TBD based on enrollment. @arthur@trilogy.com
Assigned to arthur@trilogy.com</x18tc:text>
    <x18tc:mentions>
      <x18tc:mention mentionpersonId="{57259500-5a14-4ba4-b843-32512c7c5aa7}" mentionId="{111a0fb0-2db9-4b67-bf04-253c5ebf2ec7}" startIndex="183" length="19"/>
    </x18tc:mentions>
  </x18tc:threadedComment>
  <x18tc:threadedComment ref="A1" dT="2025-10-20T14:33:03.00" personId="{0262a5cd-6f3a-4703-b808-bc0987862b5e}" id="{2c462af9-d008-447b-b6dc-684c6358b633}" done="1">
    <x18tc:text xml:space="preserve">@amelia.baldwin@alpha.school this is invalid, being told that there's no site planned and not opening</x18tc:text>
    <x18tc:mentions>
      <x18tc:mention mentionpersonId="{ceabeb41-7692-4dc7-a25b-b6f20b2fe9d3}" mentionId="{39652c03-1a95-40ea-99cc-edc6b091216f}" startIndex="0" length="28"/>
    </x18tc:mentions>
  </x18tc:threadedComment>
  <x18tc:threadedComment ref="A1" dT="2025-08-12T15:59:50.00" personId="{05e04ec8-2dbd-4951-b6b2-725339344122}" id="{f18f3446-1607-44ac-8405-d970ff5c0bc8}" done="1">
    <x18tc:text xml:space="preserve">We have told families TBD with no date expectation. Opening date will be based on securing location, announcing and enrolling families. TBD @arthur@trilogy.com
Assigned to arthur@trilogy.com</x18tc:text>
    <x18tc:mentions>
      <x18tc:mention mentionpersonId="{57259500-5a14-4ba4-b843-32512c7c5aa7}" mentionId="{0b356ebc-da8a-4191-b8ea-73a84fb71a57}" startIndex="140" length="19"/>
    </x18tc:mentions>
  </x18tc:threadedComment>
  <x18tc:threadedComment ref="A1" dT="2025-07-26T01:42:24.00" personId="{e0f9e752-4c1c-4cde-b844-7ddef95e704e}" id="{f83e7131-3b9b-40c4-9cfb-fc5061ef78a2}" done="1">
    <x18tc:text xml:space="preserve">@amelia.baldwin@2hourlearning.com - Joe's tuition doc says $45k here. @david.harpur@trilogy.com</x18tc:text>
    <x18tc:mentions>
      <x18tc:mention mentionpersonId="{26c64a12-5973-456f-9f23-4c2c69dc7a7f}" mentionId="{5be041d5-074f-441f-a3ca-cf8518a81f1d}" startIndex="0" length="33"/>
      <x18tc:mention mentionpersonId="{9ecbeea8-b78f-49ff-a39c-eac4a37185dc}" mentionId="{9523693f-5fe3-4923-8c6b-b8beb30ba902}" startIndex="70" length="25"/>
    </x18tc:mentions>
  </x18tc:threadedComment>
  <x18tc:threadedComment ref="A1" dT="2025-07-26T10:13:36.00" personId="{298ce18e-383d-4b63-9127-423ce6718bdb}" id="{11110eb7-8805-4a38-9d8f-15780c3bded6}" parentId="{f83e7131-3b9b-40c4-9cfb-fc5061ef78a2}">
    <x18tc:text xml:space="preserve">I will update. This school has been cancelled to open. @arthur@trilogy.com</x18tc:text>
    <x18tc:mentions>
      <x18tc:mention mentionpersonId="{57259500-5a14-4ba4-b843-32512c7c5aa7}" mentionId="{e79414cf-257a-48a2-b61c-26602d2fd1bb}" startIndex="55" length="19"/>
    </x18tc:mentions>
  </x18tc:threadedComment>
  <x18tc:threadedComment ref="A1" dT="2025-07-15T14:57:51.00" personId="{ca9de7f2-f71e-484f-a07d-306d53649393}" id="{90d73f3f-cf4e-4635-a82c-69411af9cb68}" done="1">
    <x18tc:text xml:space="preserve">@jan.dejager@trilogy.com @amelia.baldwin@2hourlearning.com - why do we need this row in this table?
fyi
@arthur@trilogy.com</x18tc:text>
    <x18tc:mentions>
      <x18tc:mention mentionpersonId="{110becb3-6830-4fb5-b6ef-24fb9f29c861}" mentionId="{34e8709e-ef29-4dfd-80ef-718c1fe0ab15}" startIndex="0" length="24"/>
      <x18tc:mention mentionpersonId="{26c64a12-5973-456f-9f23-4c2c69dc7a7f}" mentionId="{2d77a0d9-bf26-43cb-945a-d1c951b6cd2f}" startIndex="25" length="33"/>
      <x18tc:mention mentionpersonId="{57259500-5a14-4ba4-b843-32512c7c5aa7}" mentionId="{b491e858-a144-433f-b7ac-fa50e0a08f90}" startIndex="105" length="19"/>
    </x18tc:mentions>
  </x18tc:threadedComment>
  <x18tc:threadedComment ref="A1" dT="2025-07-15T15:51:19.00" personId="{298ce18e-383d-4b63-9127-423ce6718bdb}" id="{73ebf2c9-a775-45e8-9e9f-69e519f7ccab}" parentId="{90d73f3f-cf4e-4635-a82c-69411af9cb68}">
    <x18tc:text xml:space="preserve">Unknown</x18tc:text>
  </x18tc:threadedComment>
  <x18tc:threadedComment ref="A1" dT="2025-07-15T16:51:38.00" personId="{ca9de7f2-f71e-484f-a07d-306d53649393}" id="{9211b71d-8c41-424a-afcd-200e4adbc244}" parentId="{90d73f3f-cf4e-4635-a82c-69411af9cb68}">
    <x18tc:text xml:space="preserve">OK, deleting it</x18tc:text>
  </x18tc:threadedComment>
  <x18tc:threadedComment ref="A1" dT="2025-07-15T15:14:12.00" personId="{a9cf6e79-9751-4017-90e6-a3b2941f1187}" id="{f4d393fd-f109-4003-b41e-879826da351e}" done="1">
    <x18tc:text xml:space="preserve">new company formed today - Alpha School 77025, LLC - no EIN as disregarded entity under 2HR Learning, Inc.</x18tc:text>
  </x18tc:threadedComment>
  <x18tc:threadedComment ref="A1" dT="2025-07-15T15:25:39.00" personId="{ca9de7f2-f71e-484f-a07d-306d53649393}" id="{43778a81-fbc7-4fb3-b01a-12ea9fbb7026}" parentId="{f4d393fd-f109-4003-b41e-879826da351e}">
    <x18tc:text xml:space="preserve">thanks</x18tc:text>
  </x18tc:threadedComment>
  <x18tc:threadedComment ref="A1" dT="2025-07-15T15:07:20.00" personId="{a9cf6e79-9751-4017-90e6-a3b2941f1187}" id="{b8e82a6b-5781-4bd2-9a59-0ed2f6173fc0}" done="1">
    <x18tc:text xml:space="preserve">new company formed today - Alpha School 95630, LLC - no EIN as disregarded entity under 2HR Learning, Inc.</x18tc:text>
  </x18tc:threadedComment>
  <x18tc:threadedComment ref="A1" dT="2025-07-15T15:26:06.00" personId="{ca9de7f2-f71e-484f-a07d-306d53649393}" id="{ea778dee-a7cb-41cc-a10f-2cea712732d2}" parentId="{b8e82a6b-5781-4bd2-9a59-0ed2f6173fc0}">
    <x18tc:text xml:space="preserve">thanks</x18tc:text>
  </x18tc:threadedComment>
  <x18tc:threadedComment ref="A1" dT="2025-06-27T15:35:35.00" personId="{ca9de7f2-f71e-484f-a07d-306d53649393}" id="{bf68cd6d-b8e1-47f9-a13c-dbc841f53f1e}" done="1">
    <x18tc:text xml:space="preserve">@amelia.baldwin@2hourlearning.com @arthur@trilogy.com @jan.dejager@trilogy.com - why do we need this row?</x18tc:text>
    <x18tc:mentions>
      <x18tc:mention mentionpersonId="{26c64a12-5973-456f-9f23-4c2c69dc7a7f}" mentionId="{bfe0dd38-c9fc-4c2b-8963-2814c1d2b274}" startIndex="0" length="33"/>
      <x18tc:mention mentionpersonId="{57259500-5a14-4ba4-b843-32512c7c5aa7}" mentionId="{946c7257-f568-4aa5-9735-f0820941a36b}" startIndex="34" length="19"/>
      <x18tc:mention mentionpersonId="{110becb3-6830-4fb5-b6ef-24fb9f29c861}" mentionId="{1afe13de-2b0e-45ae-8c81-6eafc5b7cdc6}" startIndex="54" length="24"/>
    </x18tc:mentions>
  </x18tc:threadedComment>
  <x18tc:threadedComment ref="A1" dT="2025-06-27T15:36:18.00" personId="{ca9de7f2-f71e-484f-a07d-306d53649393}" id="{32d48808-05b9-4f5d-b6a5-97e6d0a49a5f}" parentId="{bf68cd6d-b8e1-47f9-a13c-dbc841f53f1e}">
    <x18tc:text xml:space="preserve">to be honest - i don't know why we need any of section 8 in here except maybe row 25
shouldn't the rest just link to an org chart?</x18tc:text>
  </x18tc:threadedComment>
  <x18tc:threadedComment ref="A1" dT="2025-06-30T12:14:53.00" personId="{5495796c-803e-4d04-839b-a9c969210ec0}" id="{920b66f8-caf8-46a9-b147-4eaa23bf1791}" parentId="{bf68cd6d-b8e1-47f9-a13c-dbc841f53f1e}">
    <x18tc:text xml:space="preserve">@bernhard.baernthaler@trilogy.com - can we get a view-only link to Rippling?</x18tc:text>
    <x18tc:mentions>
      <x18tc:mention mentionpersonId="{3439899d-94dd-4b3d-94f2-60ce5db90e61}" mentionId="{b9abec48-49cb-4891-a5ed-305e84d9b010}" startIndex="0" length="33"/>
    </x18tc:mentions>
  </x18tc:threadedComment>
  <x18tc:threadedComment ref="A1" dT="2025-06-30T13:07:32.00" personId="{6e3390ad-b284-4d7f-927e-86f853cc41d2}" id="{c94589d9-8d91-4e6f-86ad-86f1b6724a88}" parentId="{bf68cd6d-b8e1-47f9-a13c-dbc841f53f1e}">
    <x18tc:text xml:space="preserve">There's no view access to this per se as Rippling considers this sensitive information. You should all already have third party access to Rippling though and be able to view the org chart here after logging in: https://app.rippling.com/org-chart/diagram
I added Arthur, DavidH, AndrewJ on Jun 13th after we had a brief email thread on this.
Jan, you yourself should already have access from back when you started and took over some permissions from DavidC.
I can resend the invites though. Let me know.</x18tc:text>
    <x18tc:extLst>
      <ext uri="{F7C98A9C-CBB3-438F-8F68-D28B6AF4A901}">
        <xltc2:checksum/>
        <xltc2:hyperlink startIndex="211" length="42" url="https://app.rippling.com/org-chart/diagram"/>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5-07-29T15:37:34.00" personId="{e0f9e752-4c1c-4cde-b844-7ddef95e704e}" id="{9e577065-47d4-493b-a64f-e56bbb40d981}" done="1">
    <x18tc:text xml:space="preserve">@amelia.baldwin@2hourlearning.com I updated this for clarity with real dates
Assigned to amelia.baldwin@2hourlearning.com</x18tc:text>
    <x18tc:mentions>
      <x18tc:mention mentionpersonId="{26c64a12-5973-456f-9f23-4c2c69dc7a7f}" mentionId="{7543e6c2-a9ec-4612-a4f3-61759d131d30}" startIndex="0" length="33"/>
    </x18tc:mentions>
  </x18tc:threadedComment>
  <x18tc:threadedComment ref="J33" dT="2025-07-18T15:07:19.00" personId="{298ce18e-383d-4b63-9127-423ce6718bdb}" id="{89829cf3-8ef8-41f8-a466-3dc812c4aefe}" done="1">
    <x18tc:text xml:space="preserve">Is this confirmed? or is this Malu? @andrew.jordan@trilogy.com
Assigned to andrew.jordan@trilogy.com</x18tc:text>
    <x18tc:mentions>
      <x18tc:mention mentionpersonId="{416700c4-395c-4dab-9a17-b66b9d2466b9}" mentionId="{4a0e647b-7f78-4a70-9930-c6f7acf430d5}" startIndex="36" length="26"/>
    </x18tc:mentions>
  </x18tc:threadedComment>
  <x18tc:threadedComment ref="J33" dT="2025-07-18T19:30:20.00" personId="{7eb13349-0232-4341-b092-fb43a44a63cc}" id="{b8844171-b306-489e-81de-40d449dc118b}" parentId="{89829cf3-8ef8-41f8-a466-3dc812c4aefe}">
    <x18tc:text xml:space="preserve">Malu</x18tc:text>
  </x18tc:threadedComment>
  <x18tc:threadedComment ref="J33" dT="2025-07-18T20:35:36.00" personId="{298ce18e-383d-4b63-9127-423ce6718bdb}" id="{1d2da769-64e8-4825-9f75-c16750caed32}" parentId="{89829cf3-8ef8-41f8-a466-3dc812c4aefe}">
    <x18tc:text xml:space="preserve">@arthur@trilogy.com @donnie.yee@trilogy.com @jan.dejager@trilogy.com Do you know how these names were assigned in here, as many are inaccurate? This raised my concern with the accuracy of information eventually being shared within this document.  As we all know, we will need to be conscious of the accuracy of what is entered in finality in here.</x18tc:text>
    <x18tc:mentions>
      <x18tc:mention mentionpersonId="{57259500-5a14-4ba4-b843-32512c7c5aa7}" mentionId="{1e108b8b-a269-4550-baaf-b523c9b47379}" startIndex="0" length="19"/>
      <x18tc:mention mentionpersonId="{89c5b50c-ba7f-4dc2-ac4a-2d16e711229b}" mentionId="{37c58232-5560-472b-b8ad-000c64cc8c46}" startIndex="20" length="23"/>
      <x18tc:mention mentionpersonId="{110becb3-6830-4fb5-b6ef-24fb9f29c861}" mentionId="{66453ee5-77ea-4efb-b623-404274f2de79}" startIndex="44" length="24"/>
    </x18tc:mentions>
  </x18tc:threadedComment>
  <x18tc:threadedComment ref="J33" dT="2025-07-22T07:48:27.00" personId="{5495796c-803e-4d04-839b-a9c969210ec0}" id="{eb9fa725-dc08-4aec-938a-991690b627f0}" parentId="{89829cf3-8ef8-41f8-a466-3dc812c4aefe}">
    <x18tc:text xml:space="preserve">From Stef's HC planning/hiring doc.</x18tc:text>
  </x18tc:threadedComment>
  <x18tc:threadedComment ref="I28" dT="2025-06-27T15:50:44.00" personId="{a9cf6e79-9751-4017-90e6-a3b2941f1187}" id="{98f62d33-4fe9-4e94-a1a7-73682f893cad}" done="1">
    <x18tc:text xml:space="preserve">entity has its own EIN (required for banking purposes). It is a disregarded entity under 2HR Learning Inc and will 2HR Learning's EIN for income tax purposes - 87-3012777)</x18tc:text>
  </x18tc:threadedComment>
  <x18tc:threadedComment ref="A46" dT="2025-10-02T03:22:49.00" personId="{e0f9e752-4c1c-4cde-b844-7ddef95e704e}" id="{193d6338-ae8c-401a-913c-8f7a28eab3ba}" done="0">
    <x18tc:text xml:space="preserve">@jc.fischer@trilogy.com thinking good to put info about the lease -- e.g. what year out of how many years are we in?
Assigned to jc.fischer@trilogy.com</x18tc:text>
    <x18tc:mentions>
      <x18tc:mention mentionpersonId="{a85e4ea7-c011-42a5-a6be-4cb6fa744464}" mentionId="{860082db-0106-458d-ac12-85f457922e62}" startIndex="0" length="23"/>
    </x18tc:mentions>
  </x18tc:threadedComment>
  <x18tc:threadedComment ref="A46" dT="2025-11-08T03:59:17.00" personId="{e0f9e752-4c1c-4cde-b844-7ddef95e704e}" id="{d7d1d694-2e19-409c-93c5-380f571ca5c1}" parentId="{193d6338-ae8c-401a-913c-8f7a28eab3ba}">
    <x18tc:text xml:space="preserve">reminder on this pls @jc.fischer@trilogy.com</x18tc:text>
    <x18tc:mentions>
      <x18tc:mention mentionpersonId="{a85e4ea7-c011-42a5-a6be-4cb6fa744464}" mentionId="{566bb37f-8f7d-407d-9715-44c90075a1f3}" startIndex="21" length="23"/>
    </x18tc:mentions>
  </x18tc:threadedComment>
  <x18tc:threadedComment ref="A46" dT="2025-11-08T04:28:20.00" personId="{41a06bdc-7b6e-4d7d-8077-bb4d2d59df4d}" id="{1edfeed0-1ac3-4755-a4cc-3d401973ebab}" parentId="{193d6338-ae8c-401a-913c-8f7a28eab3ba}">
    <x18tc:text xml:space="preserve">My team has been gathering them from Zack. Will input here.</x18tc:text>
  </x18tc:threadedComment>
  <x18tc:threadedComment ref="A46" dT="2025-12-04T23:18:19.00" personId="{e0f9e752-4c1c-4cde-b844-7ddef95e704e}" id="{2af6bc3c-7452-4b77-8dec-d7df4216a587}" parentId="{193d6338-ae8c-401a-913c-8f7a28eab3ba}">
    <x18tc:text xml:space="preserve">@jc.fischer@trilogy.com ping on this who can fill this out?-- e.g. CO2 hearing from @andrew.jordan@trilogy.com @austin.ray@trilogy.com that our lease is up end of 2026?</x18tc:text>
    <x18tc:mentions>
      <x18tc:mention mentionpersonId="{a85e4ea7-c011-42a5-a6be-4cb6fa744464}" mentionId="{b2b7d5e8-d5af-4aa5-82c2-21af62d44b4e}" startIndex="0" length="23"/>
      <x18tc:mention mentionpersonId="{416700c4-395c-4dab-9a17-b66b9d2466b9}" mentionId="{fee94b62-f224-4bdf-ab62-d3da849aa466}" startIndex="84" length="26"/>
      <x18tc:mention mentionpersonId="{225e38b3-07d9-437a-bca8-c2c2b6ba2684}" mentionId="{06f71ec8-8770-4e5f-8676-3cc5fdc9755c}" startIndex="111" length="23"/>
    </x18tc:mentions>
  </x18tc:threadedComment>
  <x18tc:threadedComment ref="A46" dT="2025-12-04T23:24:21.00" personId="{41a06bdc-7b6e-4d7d-8077-bb4d2d59df4d}" id="{03ddf012-8434-4e3d-a2fd-21ac798b6803}" parentId="{193d6338-ae8c-401a-913c-8f7a28eab3ba}">
    <x18tc:text xml:space="preserve">RE team. I can get my team to go into the leases and extract the info. we might have some in Wrike already.</x18tc:text>
  </x18tc:threadedComment>
  <x18tc:threadedComment ref="A46" dT="2025-12-04T23:43:13.00" personId="{41a06bdc-7b6e-4d7d-8077-bb4d2d59df4d}" id="{55a9cc6d-f1ff-4144-878c-6d660babdf22}" parentId="{193d6338-ae8c-401a-913c-8f7a28eab3ba}">
    <x18tc:text xml:space="preserve">Yes. we have most in Wrike. can we give @andrea.ewalefo@trilogy.com access to this sheet to edit and input them for each school we have?</x18tc:text>
    <x18tc:mentions>
      <x18tc:mention mentionpersonId="{a9af41c0-5bf9-4d24-9679-4040b2296852}" mentionId="{36b3d9d7-2e6d-4a9f-a1d5-053cf0c794e5}" startIndex="40" length="27"/>
    </x18tc:mentions>
  </x18tc:threadedComment>
  <x18tc:threadedComment ref="A46" dT="2025-12-04T23:53:05.00" personId="{e0f9e752-4c1c-4cde-b844-7ddef95e704e}" id="{c4ff0da7-9fbe-4b80-914c-049498aaca30}" parentId="{193d6338-ae8c-401a-913c-8f7a28eab3ba}">
    <x18tc:text xml:space="preserve">yep - done</x18tc:text>
  </x18tc:threadedComment>
  <x18tc:threadedComment ref="A46" dT="2025-12-04T23:59:32.00" personId="{a0228242-398a-4263-8d98-00e836381de4}" id="{3673f4bd-1652-4983-89e9-32bd84d80af7}" parentId="{193d6338-ae8c-401a-913c-8f7a28eab3ba}">
    <x18tc:text xml:space="preserve">Confirming I am putting the termination date of each lease and any option exercise date info in this field</x18tc:text>
  </x18tc:threadedComment>
  <x18tc:threadedComment ref="A46" dT="2025-12-05T00:08:23.00" personId="{a0228242-398a-4263-8d98-00e836381de4}" id="{802abc61-0997-49a7-9f4f-7ca80a09c05b}" parentId="{193d6338-ae8c-401a-913c-8f7a28eab3ba}">
    <x18tc:text xml:space="preserve">@andrew.jordan@trilogy.com @austin.ray@trilogy.com do y'all have the CO2 lease? It's not in the school's google folder</x18tc:text>
    <x18tc:mentions>
      <x18tc:mention mentionpersonId="{416700c4-395c-4dab-9a17-b66b9d2466b9}" mentionId="{ba4bed3e-293c-4dbe-9c74-ccec43e9ff2e}" startIndex="0" length="26"/>
      <x18tc:mention mentionpersonId="{225e38b3-07d9-437a-bca8-c2c2b6ba2684}" mentionId="{65528d55-dbb1-4ee4-898f-bc04ba2f688e}" startIndex="27" length="23"/>
    </x18tc:mentions>
  </x18tc:threadedComment>
  <x18tc:threadedComment ref="A46" dT="2025-12-05T00:10:43.00" personId="{75226794-c312-4b5b-ba6e-814bf24e6e96}" id="{9f9b0a1e-4376-474a-a10c-d2040f2011dd}" parentId="{193d6338-ae8c-401a-913c-8f7a28eab3ba}">
    <x18tc:text xml:space="preserve">No. I’ve been trying to track it down hence ARTIE’s ask!!</x18tc:text>
  </x18tc:threadedComment>
  <x18tc:threadedComment ref="A46" dT="2025-12-05T00:26:33.00" personId="{7eb13349-0232-4341-b092-fb43a44a63cc}" id="{e6f5a3e7-23fa-43a1-8184-12588bf1fccf}" parentId="{193d6338-ae8c-401a-913c-8f7a28eab3ba}">
    <x18tc:text xml:space="preserve">Found it in an old email thread. Just forwarded to JC and Andrea</x18tc:text>
  </x18tc:threadedComment>
  <x18tc:threadedComment ref="A46" dT="2025-12-06T05:33:07.00" personId="{a0228242-398a-4263-8d98-00e836381de4}" id="{702d88c5-217c-4fd9-8483-eaabc092e458}" parentId="{193d6338-ae8c-401a-913c-8f7a28eab3ba}">
    <x18tc:text xml:space="preserve">@arthur@trilogy.com and @jc.fischer@trilogy.com all expiration dates have been entered for leases I have. All 2026 expiration dates have been highlighted red.</x18tc:text>
    <x18tc:mentions>
      <x18tc:mention mentionpersonId="{57259500-5a14-4ba4-b843-32512c7c5aa7}" mentionId="{35e999b2-da7b-4d25-a7ad-493fc7f2e512}" startIndex="0" length="19"/>
      <x18tc:mention mentionpersonId="{a85e4ea7-c011-42a5-a6be-4cb6fa744464}" mentionId="{2ddfebd4-300c-4791-8f39-e8214eec6584}" startIndex="24" length="23"/>
    </x18tc:mentions>
  </x18tc:threadedComment>
  <x18tc:threadedComment ref="A46" dT="2025-12-08T22:59:12.00" personId="{e0f9e752-4c1c-4cde-b844-7ddef95e704e}" id="{7bff8027-6ac1-4914-a67f-135b705b6643}" parentId="{193d6338-ae8c-401a-913c-8f7a28eab3ba}">
    <x18tc:text xml:space="preserve">I thought we had info for things like Alpha High School we have been discussing? Lots is missing @jc.fischer@trilogy.com @andrew.jordan@trilogy.com</x18tc:text>
    <x18tc:mentions>
      <x18tc:mention mentionpersonId="{a85e4ea7-c011-42a5-a6be-4cb6fa744464}" mentionId="{acd6bfc6-5b4d-493c-aea7-92c8ed5e9e91}" startIndex="97" length="23"/>
      <x18tc:mention mentionpersonId="{416700c4-395c-4dab-9a17-b66b9d2466b9}" mentionId="{cf16269b-4497-4c37-96bd-b5ee9889e948}" startIndex="121" length="26"/>
    </x18tc:mentions>
  </x18tc:threadedComment>
  <x18tc:threadedComment ref="A46" dT="2025-12-09T16:29:35.00" personId="{e0f9e752-4c1c-4cde-b844-7ddef95e704e}" id="{069d44db-eb08-4d54-a760-4c16734c716e}" parentId="{193d6338-ae8c-401a-913c-8f7a28eab3ba}">
    <x18tc:text xml:space="preserve">@andrea.ewalefo@trilogy.com ?</x18tc:text>
    <x18tc:mentions>
      <x18tc:mention mentionpersonId="{a9af41c0-5bf9-4d24-9679-4040b2296852}" mentionId="{8f0a81e3-87f5-41b1-ab13-2244f56f6b14}" startIndex="0" length="27"/>
    </x18tc:mentions>
  </x18tc:threadedComment>
  <x18tc:threadedComment ref="A46" dT="2025-12-09T16:45:48.00" personId="{a0228242-398a-4263-8d98-00e836381de4}" id="{d3bd7f9c-683c-4457-8ab6-fbb65fbe8f87}" parentId="{193d6338-ae8c-401a-913c-8f7a28eab3ba}">
    <x18tc:text xml:space="preserve">I still do not have Alpha High School lease. The email andrew sent did not have it attached, and I'm waiting for him to send the attachment</x18tc:text>
  </x18tc:threadedComment>
  <x18tc:threadedComment ref="A46" dT="2025-12-17T05:57:41.00" personId="{a0228242-398a-4263-8d98-00e836381de4}" id="{fc319abf-abdf-42f8-adb5-956dced8ac31}" parentId="{193d6338-ae8c-401a-913c-8f7a28eab3ba}">
    <x18tc:text xml:space="preserve">@arthur@trilogy.com Alpha High School and Alpha Boston have been added.</x18tc:text>
    <x18tc:mentions>
      <x18tc:mention mentionpersonId="{57259500-5a14-4ba4-b843-32512c7c5aa7}" mentionId="{b652d8c2-9302-4d01-b454-8be29c1fcf42}" startIndex="0" length="19"/>
    </x18tc:mentions>
  </x18tc:threadedComment>
  <x18tc:threadedComment ref="K33" dT="2025-07-18T15:07:33.00" personId="{298ce18e-383d-4b63-9127-423ce6718bdb}" id="{4b8a0c39-c751-4d34-b032-78d3c7e48523}" done="1">
    <x18tc:text xml:space="preserve">Is this confirmed? or is this Ashley Storms? @andrew.jordan@trilogy.com
Assigned to andrew.jordan@trilogy.com</x18tc:text>
    <x18tc:mentions>
      <x18tc:mention mentionpersonId="{416700c4-395c-4dab-9a17-b66b9d2466b9}" mentionId="{fb4176c1-fcc8-44be-bf7b-e9b23ff91ed0}" startIndex="45" length="26"/>
    </x18tc:mentions>
  </x18tc:threadedComment>
  <x18tc:threadedComment ref="K33" dT="2025-07-18T19:30:05.00" personId="{7eb13349-0232-4341-b092-fb43a44a63cc}" id="{856058b1-9e44-4476-b1bd-46d12c23d5ec}" parentId="{4b8a0c39-c751-4d34-b032-78d3c7e48523}">
    <x18tc:text xml:space="preserve">Ashley Storms.</x18tc:text>
  </x18tc:threadedComment>
  <x18tc:threadedComment ref="Y34" dT="2025-10-21T17:33:20.00" personId="{4406f311-3a54-4798-954a-6309e28792a4}" id="{8993246a-8e5e-49dc-a6db-bf9452c0ace1}" done="1">
    <x18tc:text xml:space="preserve">@andrew.jordan@trilogy.com - we were told not to hire for this CC role yet. Confirming this is still accurate given the cell contents?
Assigned to andrew.jordan@trilogy.com</x18tc:text>
    <x18tc:mentions>
      <x18tc:mention mentionpersonId="{416700c4-395c-4dab-9a17-b66b9d2466b9}" mentionId="{a2e0fda9-c7af-414b-90b1-c8e05e1a60d8}" startIndex="0" length="26"/>
    </x18tc:mentions>
  </x18tc:threadedComment>
  <x18tc:threadedComment ref="H28" dT="2025-06-27T15:51:12.00" personId="{a9cf6e79-9751-4017-90e6-a3b2941f1187}" id="{409f4e1b-d7bb-4684-a5fc-6c522032fd17}" done="1">
    <x18tc:text xml:space="preserve">entity has its own EIN (required for banking purposes). It is a disregarded entity under 2HR Learning Inc and will 2HR Learning's EIN for income tax purposes - 87-3012777)</x18tc:text>
  </x18tc:threadedComment>
  <x18tc:threadedComment ref="AF2" dT="2025-10-28T19:13:35.00" personId="{298ce18e-383d-4b63-9127-423ce6718bdb}" id="{97d9a9de-64e3-4f1f-a535-fa3585315cd8}" done="1">
    <x18tc:text xml:space="preserve">@donnie.yee@trilogy.com @arthur@trilogy.com @dmitry.bakaev@trilogy.com New location, not replacing Houston.</x18tc:text>
    <x18tc:mentions>
      <x18tc:mention mentionpersonId="{89c5b50c-ba7f-4dc2-ac4a-2d16e711229b}" mentionId="{5378e3bb-1dd9-4ebc-b8bc-de7b54c8274e}" startIndex="0" length="23"/>
      <x18tc:mention mentionpersonId="{57259500-5a14-4ba4-b843-32512c7c5aa7}" mentionId="{8cd240d4-e2b2-480a-a012-8406c21519c4}" startIndex="24" length="19"/>
      <x18tc:mention mentionpersonId="{0511c2dd-e4a6-4511-b1b6-b40f169ad9e9}" mentionId="{6986b040-294f-41c9-8860-e7f0fbbfb2d0}" startIndex="44" length="26"/>
    </x18tc:mentions>
  </x18tc:threadedComment>
  <x18tc:threadedComment ref="T28" dT="2025-07-01T03:06:42.00" personId="{ca9de7f2-f71e-484f-a07d-306d53649393}" id="{d66e9732-764b-40ee-a26b-8b91acf38bff}" done="1">
    <x18tc:text xml:space="preserve">@brian.baucher@trilogy.com @jan.dejager@trilogy.com - nothing here?</x18tc:text>
    <x18tc:mentions>
      <x18tc:mention mentionpersonId="{53e62665-d5ac-4ea0-8a2a-442e7dc7d89c}" mentionId="{96da6267-4173-4471-931a-e98141e5e381}" startIndex="0" length="26"/>
      <x18tc:mention mentionpersonId="{110becb3-6830-4fb5-b6ef-24fb9f29c861}" mentionId="{90b44f78-af53-4f33-8998-4f7eaca4efb0}" startIndex="27" length="24"/>
    </x18tc:mentions>
  </x18tc:threadedComment>
  <x18tc:threadedComment ref="T28" dT="2025-07-01T12:16:22.00" personId="{a9cf6e79-9751-4017-90e6-a3b2941f1187}" id="{9ee6ef3f-a0b0-4f68-a5c3-1e97050b4983}" parentId="{d66e9732-764b-40ee-a26b-8b91acf38bff}">
    <x18tc:text xml:space="preserve">I am not aware of an entity created in New York yet. @jack.abolt@trilogy.com / @tina.erales@jonesspross.com - have either of you created an entity in New York?</x18tc:text>
    <x18tc:mentions>
      <x18tc:mention mentionpersonId="{e46e3bfd-9f13-4312-b3cf-a84d46dbf1d8}" mentionId="{46f9ba6a-27ac-4389-9056-91b7420eb515}" startIndex="53" length="23"/>
      <x18tc:mention mentionpersonId="{05fc1dd0-873d-4b95-aa54-77f1d0348477}" mentionId="{c4f583a9-c1d6-4f0e-ace6-4eea26cd7cf5}" startIndex="79" length="28"/>
    </x18tc:mentions>
  </x18tc:threadedComment>
  <x18tc:threadedComment ref="T28" dT="2025-07-01T12:38:08.00" personId="{e2ed396f-1980-4917-9227-7155178975f6}" id="{fa356a25-fee1-4e46-9c70-c78534be7980}" parentId="{d66e9732-764b-40ee-a26b-8b91acf38bff}">
    <x18tc:text xml:space="preserve">NY has a nonstandard process for creating entities that operate private schools. Before the entity can be formed, the education department must give its consent. Robbie Forrest and Greg Foote have been working with Cooley on the consent request (the “21-item checklist”).</x18tc:text>
  </x18tc:threadedComment>
  <x18tc:threadedComment ref="T28" dT="2025-07-15T14:58:40.00" personId="{ca9de7f2-f71e-484f-a07d-306d53649393}" id="{663f04f3-fe28-4790-aa9e-5d9df23e0cec}" parentId="{d66e9732-764b-40ee-a26b-8b91acf38bff}">
    <x18tc:text xml:space="preserve">@jan.dejager@trilogy.com - any update here?</x18tc:text>
    <x18tc:mentions>
      <x18tc:mention mentionpersonId="{110becb3-6830-4fb5-b6ef-24fb9f29c861}" mentionId="{a06f343a-965a-4b56-a454-ef99086ecae4}" startIndex="0" length="24"/>
    </x18tc:mentions>
  </x18tc:threadedComment>
  <x18tc:threadedComment ref="T28" dT="2025-07-16T14:40:05.00" personId="{5495796c-803e-4d04-839b-a9c969210ec0}" id="{84211411-3118-4665-9e87-3fb9cb530db9}" parentId="{d66e9732-764b-40ee-a26b-8b91acf38bff}">
    <x18tc:text xml:space="preserve">Entity not created yet. Robbie/Greg still working with NY Edu Dept as referred to above</x18tc:text>
  </x18tc:threadedComment>
  <x18tc:threadedComment ref="T28" dT="2025-08-13T16:27:03.00" personId="{e0f9e752-4c1c-4cde-b844-7ddef95e704e}" id="{864ac362-5820-470b-aecf-c4c51d33cf11}" parentId="{d66e9732-764b-40ee-a26b-8b91acf38bff}">
    <x18tc:text xml:space="preserve">Are all these legal entities and EINs up to date @jan.dejager@trilogy.com and @brian.baucher@trilogy.com ?</x18tc:text>
    <x18tc:mentions>
      <x18tc:mention mentionpersonId="{110becb3-6830-4fb5-b6ef-24fb9f29c861}" mentionId="{2917e135-aa71-4057-b41d-fe9ce78d546e}" startIndex="49" length="24"/>
      <x18tc:mention mentionpersonId="{53e62665-d5ac-4ea0-8a2a-442e7dc7d89c}" mentionId="{9a91bc93-936a-455a-afec-08a58503e54e}" startIndex="78" length="26"/>
    </x18tc:mentions>
  </x18tc:threadedComment>
  <x18tc:threadedComment ref="T28" dT="2025-08-13T18:42:15.00" personId="{a9cf6e79-9751-4017-90e6-a3b2941f1187}" id="{4a6f7bf2-e5e8-4bfc-acaa-7c838c44d13f}" parentId="{d66e9732-764b-40ee-a26b-8b91acf38bff}">
    <x18tc:text xml:space="preserve">Palm Beach and Lake Forest have been created.  Added comments on those ones.  Neither have EINs as disregarded entities (they use 2HR Learning, Inc's EIN: 87-3012777)</x18tc:text>
  </x18tc:threadedComment>
  <x18tc:threadedComment ref="T28" dT="2025-08-27T14:14:39.00" personId="{5495796c-803e-4d04-839b-a9c969210ec0}" id="{9975760c-8335-4af8-903a-9d1af399f149}" parentId="{d66e9732-764b-40ee-a26b-8b91acf38bff}">
    <x18tc:text xml:space="preserve">@brian.baucher@trilogy.com Please add Entity names for Palm Beach and Lake Forest</x18tc:text>
    <x18tc:mentions>
      <x18tc:mention mentionpersonId="{53e62665-d5ac-4ea0-8a2a-442e7dc7d89c}" mentionId="{72590b93-0789-4861-a7b8-86cd0d72d1ad}" startIndex="0" length="26"/>
    </x18tc:mentions>
  </x18tc:threadedComment>
  <x18tc:threadedComment ref="T28" dT="2025-08-27T14:26:10.00" personId="{a9cf6e79-9751-4017-90e6-a3b2941f1187}" id="{4d9760b6-62ea-4ee7-b02d-5e7dbd153696}" parentId="{d66e9732-764b-40ee-a26b-8b91acf38bff}">
    <x18tc:text xml:space="preserve">@jan.dejager@trilogy.com - added comments for you.  I do not have edit access</x18tc:text>
    <x18tc:mentions>
      <x18tc:mention mentionpersonId="{110becb3-6830-4fb5-b6ef-24fb9f29c861}" mentionId="{57801921-0ae6-4cd8-a256-89c28429b6d9}" startIndex="0" length="24"/>
    </x18tc:mentions>
  </x18tc:threadedComment>
  <x18tc:threadedComment ref="L28" dT="2025-06-27T15:53:45.00" personId="{a9cf6e79-9751-4017-90e6-a3b2941f1187}" id="{c22bf06b-deff-4179-863c-4ea7850d0ba6}" done="1">
    <x18tc:text xml:space="preserve">disregarded  entity under 2HR Learning, Inc. and has not had reason to request its own EIN so disclosing 2HR Learning, Inc. EIN</x18tc:text>
  </x18tc:threadedComment>
  <x18tc:threadedComment ref="R18" dT="2025-10-15T20:46:42.00" personId="{aee94e66-a8d2-4d37-bd5e-8046ee94023d}" id="{c77e8466-dcc2-49f4-8053-8b575d81db47}" done="1">
    <x18tc:text xml:space="preserve">@jan.dejager@trilogy.com Palm Beach is K-5</x18tc:text>
    <x18tc:mentions>
      <x18tc:mention mentionpersonId="{110becb3-6830-4fb5-b6ef-24fb9f29c861}" mentionId="{4fb4f1c1-8a24-4a41-98f5-c1a1f230eb98}" startIndex="0" length="24"/>
    </x18tc:mentions>
  </x18tc:threadedComment>
  <x18tc:threadedComment ref="R18" dT="2025-10-15T20:53:52.00" personId="{298ce18e-383d-4b63-9127-423ce6718bdb}" id="{d4c53c22-888e-439a-9d28-df1c2b6721da}" parentId="{c77e8466-dcc2-49f4-8053-8b575d81db47}">
    <x18tc:text xml:space="preserve">@donnie.yee@trilogy.com</x18tc:text>
    <x18tc:mentions>
      <x18tc:mention mentionpersonId="{89c5b50c-ba7f-4dc2-ac4a-2d16e711229b}" mentionId="{e08516f7-0bad-4422-970e-189c4db30fb4}" startIndex="0" length="23"/>
    </x18tc:mentions>
  </x18tc:threadedComment>
  <x18tc:threadedComment ref="I32" dT="2026-01-19T19:54:15.00" personId="{4406f311-3a54-4798-954a-6309e28792a4}" id="{fd893752-8b87-4bb5-964a-31cb35bcc8f5}" done="0">
    <x18tc:text xml:space="preserve">Hiring ADOP</x18tc:text>
  </x18tc:threadedComment>
  <x18tc:threadedComment ref="Y27" dT="2025-07-01T12:53:08.00" personId="{e2ed396f-1980-4917-9227-7155178975f6}" id="{d2f46a69-078c-44a3-9700-ccc501d90b4b}" done="1">
    <x18tc:text xml:space="preserve">I think Raleigh will be in a different entity (28212 was Charlotte).</x18tc:text>
  </x18tc:threadedComment>
  <x18tc:threadedComment ref="Y27" dT="2025-07-15T14:53:44.00" personId="{ca9de7f2-f71e-484f-a07d-306d53649393}" id="{67a7b903-53d7-4ead-9181-69f617efb3b3}" parentId="{d2f46a69-078c-44a3-9700-ccc501d90b4b}">
    <x18tc:text xml:space="preserve">@jan.dejager@trilogy.com - ?</x18tc:text>
    <x18tc:mentions>
      <x18tc:mention mentionpersonId="{110becb3-6830-4fb5-b6ef-24fb9f29c861}" mentionId="{836e801c-de27-4eb2-92d2-333a7d31bba1}" startIndex="0" length="24"/>
    </x18tc:mentions>
  </x18tc:threadedComment>
  <x18tc:threadedComment ref="Y27" dT="2025-07-15T15:15:02.00" personId="{a9cf6e79-9751-4017-90e6-a3b2941f1187}" id="{9edf9b57-9c4e-4076-970f-411f0ef39d7f}" parentId="{d2f46a69-078c-44a3-9700-ccc501d90b4b}">
    <x18tc:text xml:space="preserve">new company formed today - Alpha School 27614, LLC - no EIN as disregarded entity under 2HR Learning, Inc.</x18tc:text>
  </x18tc:threadedComment>
  <x18tc:threadedComment ref="Y27" dT="2025-07-15T15:24:55.00" personId="{ca9de7f2-f71e-484f-a07d-306d53649393}" id="{c842b3e1-f30b-4459-ba34-ee1b585469cb}" parentId="{d2f46a69-078c-44a3-9700-ccc501d90b4b}">
    <x18tc:text xml:space="preserve">thanks</x18tc:text>
  </x18tc:threadedComment>
  <x18tc:threadedComment ref="A36" dT="2025-11-16T17:31:33.00" personId="{e0f9e752-4c1c-4cde-b844-7ddef95e704e}" id="{e5747000-d3b0-406b-aea9-3df4ded08da8}" done="0">
    <x18tc:text xml:space="preserve">@andrew.jordan@trilogy.com @tasha.arnold@2hourlearning.com I added a new row so we can indicate the Admissions lead per campus and made some updates to the other roles as things are evolving.
Assigned to andrew.jordan@trilogy.com</x18tc:text>
    <x18tc:mentions>
      <x18tc:mention mentionpersonId="{416700c4-395c-4dab-9a17-b66b9d2466b9}" mentionId="{584e2077-60b5-480c-9e92-795368fb2b35}" startIndex="0" length="26"/>
      <x18tc:mention mentionpersonId="{8b715740-267c-4990-9265-d87ed3660357}" mentionId="{dc988cb7-257a-47ec-a506-87ca21d92c9c}" startIndex="27" length="31"/>
    </x18tc:mentions>
  </x18tc:threadedComment>
  <x18tc:threadedComment ref="V18" dT="2025-09-04T14:15:37.00" personId="{298ce18e-383d-4b63-9127-423ce6718bdb}" id="{2926d893-f833-4893-b1ab-e718dc425f6b}" done="1">
    <x18tc:text xml:space="preserve">@donnie.yee@trilogy.com @arthur@trilogy.com  Updated to K-5</x18tc:text>
    <x18tc:mentions>
      <x18tc:mention mentionpersonId="{89c5b50c-ba7f-4dc2-ac4a-2d16e711229b}" mentionId="{0c0b1b4a-991c-4023-958e-b502710c3407}" startIndex="0" length="23"/>
      <x18tc:mention mentionpersonId="{57259500-5a14-4ba4-b843-32512c7c5aa7}" mentionId="{c2bc0e23-3114-4a8e-b30c-e4f24940ed74}" startIndex="24" length="19"/>
    </x18tc:mentions>
  </x18tc:threadedComment>
  <x18tc:threadedComment ref="AL27" dT="2025-07-01T12:54:52.00" personId="{e2ed396f-1980-4917-9227-7155178975f6}" id="{f89554fd-a20e-4683-a47c-42baa31ca674}" done="1">
    <x18tc:text xml:space="preserve">Alpha Anywhere is sold by local distributors in ESA states (e.g., 2hr Learning FL, Inc.).</x18tc:text>
  </x18tc:threadedComment>
  <x18tc:threadedComment ref="Y19" dT="2025-12-15T16:43:34.00" personId="{298ce18e-383d-4b63-9127-423ce6718bdb}" id="{1c9cdd73-1fc2-436b-a1c9-dafe3411ec09}" done="0">
    <x18tc:text xml:space="preserve">@donnie.yee@trilogy.com @dmitry.bakaev@trilogy.com Pushed to Fall</x18tc:text>
    <x18tc:mentions>
      <x18tc:mention mentionpersonId="{89c5b50c-ba7f-4dc2-ac4a-2d16e711229b}" mentionId="{cf293d4b-e430-4bb9-aab6-eac21fa456b8}" startIndex="0" length="23"/>
      <x18tc:mention mentionpersonId="{0511c2dd-e4a6-4511-b1b6-b40f169ad9e9}" mentionId="{80fd240e-7ab4-4f24-aa5e-ce3ccd4206e7}" startIndex="24" length="26"/>
    </x18tc:mentions>
  </x18tc:threadedComment>
  <x18tc:threadedComment ref="E28" dT="2025-06-27T15:46:47.00" personId="{a9cf6e79-9751-4017-90e6-a3b2941f1187}" id="{486bbdf1-179d-4806-9e62-3d1686e04e44}" done="1">
    <x18tc:text xml:space="preserve">entity has its own EIN (required for banking purposes). It is a disregarded entity under 2HR Learning Inc and will 2HR Learning's EIN for income tax purposes - 87-3012777)</x18tc:text>
  </x18tc:threadedComment>
  <x18tc:threadedComment ref="N9" dT="2026-01-29T17:32:09.00" personId="{298ce18e-383d-4b63-9127-423ce6718bdb}" id="{15ecaf12-afbc-4361-a386-0bf5d31ea86b}" done="1">
    <x18tc:text xml:space="preserve">Will there be lunch in 26/27? Need to know for re-enrollment. If so, what is the cost? $100? @donnie.yee@trilogy.com @jim.liu@trilogy.com</x18tc:text>
    <x18tc:mentions>
      <x18tc:mention mentionpersonId="{89c5b50c-ba7f-4dc2-ac4a-2d16e711229b}" mentionId="{8fa92971-c42e-48aa-9c20-f67489bdff72}" startIndex="93" length="23"/>
      <x18tc:mention mentionpersonId="{d69d0368-751d-4acf-a49e-f96cc4f843c0}" mentionId="{0e1a43e5-0cd4-4d79-8bf5-90973292a9eb}" startIndex="117" length="20"/>
    </x18tc:mentions>
  </x18tc:threadedComment>
  <x18tc:threadedComment ref="N9" dT="2026-01-29T18:15:52.00" personId="{4e173aab-5741-4b0d-9988-4b92b8b0b67b}" id="{ccf5ec0a-d0dd-4285-b374-152cd9da6dcf}" parentId="{15ecaf12-afbc-4361-a386-0bf5d31ea86b}">
    <x18tc:text xml:space="preserve">Question for @randall.grant@trilogy.com for montessorium. Cost would still be the same $200 for now unless finance updates it</x18tc:text>
    <x18tc:mentions>
      <x18tc:mention mentionpersonId="{9742ff45-2cda-4cfc-81e3-8e6a9ec9d23c}" mentionId="{2cb0c36e-5980-4c79-b879-54499c91c00a}" startIndex="13" length="26"/>
    </x18tc:mentions>
  </x18tc:threadedComment>
  <x18tc:threadedComment ref="N9" dT="2026-02-03T13:46:39.00" personId="{228c6931-f87f-4525-a9b6-286d8abe489a}" id="{5dedc3ab-89e6-44e4-8e9f-fb265ef3d08f}" parentId="{15ecaf12-afbc-4361-a386-0bf5d31ea86b}">
    <x18tc:text xml:space="preserve">As per HoS, there will be no lunch service offered in 26/27.  Families not interested.</x18tc:text>
  </x18tc:threadedComment>
  <x18tc:threadedComment ref="F32" dT="2026-01-19T19:53:12.00" personId="{4406f311-3a54-4798-954a-6309e28792a4}" id="{063381c8-80d2-4325-9d6d-7ced3743d382}" done="1">
    <x18tc:text xml:space="preserve">Hiring ADOP (combined with Novas)</x18tc:text>
  </x18tc:threadedComment>
  <x18tc:threadedComment ref="A24" dT="2025-09-03T15:29:48.00" personId="{5495796c-803e-4d04-839b-a9c969210ec0}" id="{a95a1523-23b6-417a-8a91-34fd960191f2}" done="1">
    <x18tc:text xml:space="preserve">@andrew.jordan@trilogy.com - can P2 please populate capacity per address?</x18tc:text>
    <x18tc:mentions>
      <x18tc:mention mentionpersonId="{416700c4-395c-4dab-9a17-b66b9d2466b9}" mentionId="{379cee50-c8c0-4b67-8ba9-cd0686927f48}" startIndex="0" length="26"/>
    </x18tc:mentions>
  </x18tc:threadedComment>
  <x18tc:threadedComment ref="A24" dT="2025-09-08T13:09:20.00" personId="{e0f9e752-4c1c-4cde-b844-7ddef95e704e}" id="{6d12d2d1-f588-4a54-ae73-6a090069f003}" parentId="{a95a1523-23b6-417a-8a91-34fd960191f2}">
    <x18tc:text xml:space="preserve">@andrew.jordan@trilogy.com nothing here?</x18tc:text>
    <x18tc:mentions>
      <x18tc:mention mentionpersonId="{416700c4-395c-4dab-9a17-b66b9d2466b9}" mentionId="{24d61134-60df-404d-8eb3-f25e9a873eaa}" startIndex="0" length="26"/>
    </x18tc:mentions>
  </x18tc:threadedComment>
  <x18tc:threadedComment ref="A24" dT="2025-09-11T01:28:44.00" personId="{e0f9e752-4c1c-4cde-b844-7ddef95e704e}" id="{d91dc472-a214-4752-9e2f-7f01ed442c4b}" parentId="{a95a1523-23b6-417a-8a91-34fd960191f2}">
    <x18tc:text xml:space="preserve">@andrew.jordan@trilogy.com</x18tc:text>
    <x18tc:mentions>
      <x18tc:mention mentionpersonId="{416700c4-395c-4dab-9a17-b66b9d2466b9}" mentionId="{8abe23b4-e0a0-4dcc-8e83-b07c92d6fc84}" startIndex="0" length="26"/>
    </x18tc:mentions>
  </x18tc:threadedComment>
  <x18tc:threadedComment ref="K9" dT="2026-01-29T17:31:18.00" personId="{298ce18e-383d-4b63-9127-423ce6718bdb}" id="{b16970d6-ee8e-4695-aaaf-18905f5b8d56}" done="0">
    <x18tc:text xml:space="preserve">Will there be lunch in 26/27? Need to know for re-enrollment. If so, what is the cost? $100? @donnie.yee@trilogy.com  @jim.liu@trilogy.com</x18tc:text>
    <x18tc:mentions>
      <x18tc:mention mentionpersonId="{89c5b50c-ba7f-4dc2-ac4a-2d16e711229b}" mentionId="{d00c630d-87f9-493f-bb63-077855f03fba}" startIndex="93" length="23"/>
      <x18tc:mention mentionpersonId="{d69d0368-751d-4acf-a49e-f96cc4f843c0}" mentionId="{1c7ea774-aa1f-40cd-bc41-f7ca4c99e1a1}" startIndex="118" length="20"/>
    </x18tc:mentions>
  </x18tc:threadedComment>
  <x18tc:threadedComment ref="AC2" dT="2025-10-17T20:23:22.00" personId="{298ce18e-383d-4b63-9127-423ce6718bdb}" id="{4260c57a-6e5e-4b23-8f78-c82f7f288313}" done="1">
    <x18tc:text xml:space="preserve">@donnie.yee@trilogy.com @dmitry.bakaev@trilogy.com @jan.dejager@trilogy.com @arthur@trilogy.com Notice from billing...</x18tc:text>
    <x18tc:mentions>
      <x18tc:mention mentionpersonId="{89c5b50c-ba7f-4dc2-ac4a-2d16e711229b}" mentionId="{d548133c-5c55-465c-9d92-c604039d5ff5}" startIndex="0" length="23"/>
      <x18tc:mention mentionpersonId="{0511c2dd-e4a6-4511-b1b6-b40f169ad9e9}" mentionId="{bf05f797-99e8-433f-b36e-7438da9048fb}" startIndex="24" length="26"/>
      <x18tc:mention mentionpersonId="{110becb3-6830-4fb5-b6ef-24fb9f29c861}" mentionId="{dcd8b91e-4a48-4208-9f94-b2d9358e0744}" startIndex="51" length="24"/>
      <x18tc:mention mentionpersonId="{57259500-5a14-4ba4-b843-32512c7c5aa7}" mentionId="{596f4693-ef94-4b65-9b42-9fb78736ffae}" startIndex="76" length="19"/>
    </x18tc:mentions>
  </x18tc:threadedComment>
  <x18tc:threadedComment ref="G32" dT="2026-01-19T19:53:58.00" personId="{4406f311-3a54-4798-954a-6309e28792a4}" id="{df9d27cf-1473-4d6a-880b-9766e5c3c52d}" done="1">
    <x18tc:text xml:space="preserve">@heather.mcmahan@2hourlearning.com - will the BTX ADOP cover both campuses + Novas?
Assigned to heather.mcmahan@2hourlearning.com</x18tc:text>
    <x18tc:mentions>
      <x18tc:mention mentionpersonId="{cea450a1-c866-4562-b3dd-955ff153c914}" mentionId="{5443f508-826e-4f18-bdcc-b3eabfa5677c}" startIndex="0" length="34"/>
    </x18tc:mentions>
  </x18tc:threadedComment>
  <x18tc:threadedComment ref="X27" dT="2025-07-01T12:50:28.00" personId="{e2ed396f-1980-4917-9227-7155178975f6}" id="{fa9563cd-a61d-43d8-9383-a838c03d79d2}" done="1">
    <x18tc:text xml:space="preserve">This entity recently changed its name to Alpha School 28269, LLC.</x18tc:text>
  </x18tc:threadedComment>
  <x18tc:threadedComment ref="X27" dT="2025-07-03T10:49:37.00" personId="{a9cf6e79-9751-4017-90e6-a3b2941f1187}" id="{dbea46e1-67e5-4588-b560-49dd12cbb152}" parentId="{fa9563cd-a61d-43d8-9383-a838c03d79d2}">
    <x18tc:text xml:space="preserve">thanks! updated</x18tc:text>
  </x18tc:threadedComment>
  <x18tc:threadedComment ref="B20" dT="2025-10-07T19:35:38.00" personId="{ca9de7f2-f71e-484f-a07d-306d53649393}" id="{daff9982-c018-494f-aa4a-1ac5d8a5011f}" done="1">
    <x18tc:text xml:space="preserve">@amelia.baldwin@2hourlearning.com - do we have a calendar showing the session dates?
fyi
@arthur@trilogy.com</x18tc:text>
    <x18tc:mentions>
      <x18tc:mention mentionpersonId="{26c64a12-5973-456f-9f23-4c2c69dc7a7f}" mentionId="{61eaf255-03c7-4b3c-b3f0-5935e29fb448}" startIndex="0" length="33"/>
      <x18tc:mention mentionpersonId="{57259500-5a14-4ba4-b843-32512c7c5aa7}" mentionId="{32469a6f-b08f-425a-8587-94e72ec5e307}" startIndex="90" length="19"/>
    </x18tc:mentions>
  </x18tc:threadedComment>
  <x18tc:threadedComment ref="B20" dT="2025-10-07T19:48:18.00" personId="{298ce18e-383d-4b63-9127-423ce6718bdb}" id="{109e75e8-c66c-4a12-84ec-818ef9ccfd61}" parentId="{daff9982-c018-494f-aa4a-1ac5d8a5011f}">
    <x18tc:text xml:space="preserve">Calendar A: https://drive.google.com/file/d/1TTF65zOSSZB0KvIDp7w-6MnU9TQjCdky/view?usp=sharing and Calendar B: https://drive.google.com/file/d/1g13e1Rum6K-XAc92n4TOGY8GJw62p09p/view?usp=drive_link</x18tc:text>
    <x18tc:extLst>
      <ext uri="{F7C98A9C-CBB3-438F-8F68-D28B6AF4A901}">
        <xltc2:checksum/>
        <xltc2:hyperlink startIndex="12" length="82" url="https://drive.google.com/file/d/1TTF65zOSSZB0KvIDp7w-6MnU9TQjCdky/view?usp=sharing"/>
        <xltc2:hyperlink startIndex="111" length="85" url="https://drive.google.com/file/d/1g13e1Rum6K-XAc92n4TOGY8GJw62p09p/view?usp=drive_link"/>
      </ext>
    </x18tc:extLst>
  </x18tc:threadedComment>
  <x18tc:threadedComment ref="Q32" dT="2026-01-19T19:56:27.00" personId="{4406f311-3a54-4798-954a-6309e28792a4}" id="{cd5498e9-4ef2-404f-abed-ec3e867f25c7}" done="1">
    <x18tc:text xml:space="preserve">David Allen-Hughes, starting week of 1.19.26.</x18tc:text>
  </x18tc:threadedComment>
  <x18tc:threadedComment ref="X18" dT="2025-09-22T14:41:21.00" personId="{298ce18e-383d-4b63-9127-423ce6718bdb}" id="{cf8f9ed1-9c75-4bfd-be5d-6f4891faa6ca}" done="1">
    <x18tc:text xml:space="preserve">Updated fro K-3 to K-5 @donnie.yee@trilogy.com @jan.dejager@trilogy.com</x18tc:text>
    <x18tc:mentions>
      <x18tc:mention mentionpersonId="{89c5b50c-ba7f-4dc2-ac4a-2d16e711229b}" mentionId="{0d29c8bc-b1bb-4524-8aeb-06c287db1e6f}" startIndex="23" length="23"/>
      <x18tc:mention mentionpersonId="{110becb3-6830-4fb5-b6ef-24fb9f29c861}" mentionId="{7aaafa8c-ccc1-4700-9f00-267b9eaf3586}" startIndex="47" length="24"/>
    </x18tc:mentions>
  </x18tc:threadedComment>
  <x18tc:threadedComment ref="R32" dT="2025-09-15T19:40:17.00" personId="{f0cc1384-fa8c-48e3-9ff1-d01dc70f9d16}" id="{3a3ea649-9092-4998-9e9a-d0e5422a913a}" done="1">
    <x18tc:text xml:space="preserve">Stephanie Dean</x18tc:text>
  </x18tc:threadedComment>
  <x18tc:threadedComment ref="J32" dT="2026-01-19T19:54:20.00" personId="{4406f311-3a54-4798-954a-6309e28792a4}" id="{23f1981a-0818-44ae-9f53-5dcef237c35a}" done="0">
    <x18tc:text xml:space="preserve">Hiring ADOP</x18tc:text>
  </x18tc:threadedComment>
  <x18tc:threadedComment ref="J32" dT="2026-02-10T15:46:41.00" personId="{4406f311-3a54-4798-954a-6309e28792a4}" id="{e2d4097d-ee86-49c9-b76b-661754a8ef57}" parentId="{23f1981a-0818-44ae-9f53-5dcef237c35a}">
    <x18tc:text xml:space="preserve">UPDATE: Morgan Swain</x18tc:text>
  </x18tc:threadedComment>
  <x18tc:threadedComment ref="C23" dT="2025-08-25T00:41:28.00" personId="{e0f9e752-4c1c-4cde-b844-7ddef95e704e}" id="{96bf0c3b-f1ef-48e9-80e1-b28889ff1990}" done="1">
    <x18tc:text xml:space="preserve">@dmitry.bakaev@trilogy.com @amelia.baldwin@2hourlearning.com if it's actually 200 colorado for pk-5, and 201 colorado for 6-8, perhaps we go back to having separate columns?  I thought they were both 200.
Assigned to dmitry.bakaev@trilogy.com</x18tc:text>
    <x18tc:mentions>
      <x18tc:mention mentionpersonId="{0511c2dd-e4a6-4511-b1b6-b40f169ad9e9}" mentionId="{ccd771c5-3258-40b1-865f-2d1f7897de3d}" startIndex="0" length="26"/>
      <x18tc:mention mentionpersonId="{26c64a12-5973-456f-9f23-4c2c69dc7a7f}" mentionId="{84018bcb-173e-44d6-b003-ecb4d8a4c888}" startIndex="27" length="33"/>
    </x18tc:mentions>
  </x18tc:threadedComment>
  <x18tc:threadedComment ref="C23" dT="2025-08-25T21:47:50.00" personId="{298ce18e-383d-4b63-9127-423ce6718bdb}" id="{b69baa8c-5740-4ff0-b246-ca051dc7575c}" parentId="{96bf0c3b-f1ef-48e9-80e1-b28889ff1990}">
    <x18tc:text xml:space="preserve">6-8 is 201 Colorado. K-8 is 1201 Spyglass. 6-12 are in the same building with different leadership within that building.</x18tc:text>
  </x18tc:threadedComment>
  <x18tc:threadedComment ref="K32" dT="2026-01-19T19:54:23.00" personId="{4406f311-3a54-4798-954a-6309e28792a4}" id="{37d274e9-d877-4515-99c7-1e663dc7c466}" done="0">
    <x18tc:text xml:space="preserve">Hiring ADOP</x18tc:text>
  </x18tc:threadedComment>
  <x18tc:threadedComment ref="K32" dT="2026-02-10T15:46:45.00" personId="{4406f311-3a54-4798-954a-6309e28792a4}" id="{5c3f5c8a-d266-4ef2-9526-01c743098227}" parentId="{37d274e9-d877-4515-99c7-1e663dc7c466}">
    <x18tc:text xml:space="preserve">UPDATE: Morgan Swain</x18tc:text>
  </x18tc:threadedComment>
  <x18tc:threadedComment ref="R24" dT="2025-09-26T13:33:57.00" personId="{2c6a2ee1-977f-4ec0-bf64-a380d414b166}" id="{92c02275-f193-4593-aac1-fd2708712f50}" done="0">
    <x18tc:text xml:space="preserve">@andrew.jordan@trilogy.com
Is this correct?
Should this be 25?
fyi @david.harpur@trilogy.com</x18tc:text>
    <x18tc:mentions>
      <x18tc:mention mentionpersonId="{416700c4-395c-4dab-9a17-b66b9d2466b9}" mentionId="{c60a6709-9c61-403d-b59b-ce8971e58b53}" startIndex="0" length="26"/>
      <x18tc:mention mentionpersonId="{9ecbeea8-b78f-49ff-a39c-eac4a37185dc}" mentionId="{27324e8c-04e2-4570-977f-cd0d7558d781}" startIndex="70" length="25"/>
    </x18tc:mentions>
  </x18tc:threadedComment>
  <x18tc:threadedComment ref="R24" dT="2025-09-29T19:27:13.00" personId="{7eb13349-0232-4341-b092-fb43a44a63cc}" id="{c8702769-c12b-4b2d-b52a-7ac62eb48d1c}" parentId="{92c02275-f193-4593-aac1-fd2708712f50}">
    <x18tc:text xml:space="preserve">15 is correct for now until we get additional space in January.</x18tc:text>
  </x18tc:threadedComment>
  <x18tc:threadedComment ref="R24" dT="2025-11-20T09:41:24.00" personId="{2c6a2ee1-977f-4ec0-bf64-a380d414b166}" id="{8193a738-1fc7-4287-bdd6-27ee412d99d1}" parentId="{92c02275-f193-4593-aac1-fd2708712f50}">
    <x18tc:text xml:space="preserve">@jc.fischer@trilogy.com 
Can you please confirm if the capacity will move to 25 in Jan? If so, will there be any additional CapEx / lease cost to move from 15-&gt;25?
thanks</x18tc:text>
    <x18tc:mentions>
      <x18tc:mention mentionpersonId="{a85e4ea7-c011-42a5-a6be-4cb6fa744464}" mentionId="{2bab34d6-2f45-46c0-89d7-2cf27ab241d0}" startIndex="0" length="23"/>
    </x18tc:mentions>
  </x18tc:threadedComment>
  <x18tc:threadedComment ref="R24" dT="2025-11-20T11:03:07.00" personId="{41a06bdc-7b6e-4d7d-8077-bb4d2d59df4d}" id="{de97ca7b-9f66-49e1-8702-0992e8c1b1dd}" parentId="{92c02275-f193-4593-aac1-fd2708712f50}">
    <x18tc:text xml:space="preserve">Can't confirm yet. In process.</x18tc:text>
  </x18tc:threadedComment>
  <x18tc:threadedComment ref="R24" dT="2025-11-20T11:10:20.00" personId="{ca9de7f2-f71e-484f-a07d-306d53649393}" id="{76e57570-7b08-439f-b1b3-922a2a1e5c57}" parentId="{92c02275-f193-4593-aac1-fd2708712f50}">
    <x18tc:text xml:space="preserve">ETA?</x18tc:text>
  </x18tc:threadedComment>
  <x18tc:threadedComment ref="R24" dT="2025-11-20T11:17:00.00" personId="{41a06bdc-7b6e-4d7d-8077-bb4d2d59df4d}" id="{9038cab2-822c-4ce6-9e74-b65db2faabc4}" parentId="{92c02275-f193-4593-aac1-fd2708712f50}">
    <x18tc:text xml:space="preserve">How important is it? I've got my team adding ~3 schools/week. I view this as one of the lowest priority items we need done vs actually getting schools open, but can adjust.</x18tc:text>
  </x18tc:threadedComment>
  <x18tc:threadedComment ref="R24" dT="2025-11-20T11:26:29.00" personId="{ca9de7f2-f71e-484f-a07d-306d53649393}" id="{16966592-74ff-40c8-b29e-366a96c0f9de}" parentId="{92c02275-f193-4593-aac1-fd2708712f50}">
    <x18tc:text xml:space="preserve">i have no idea of the work involved in calculating the capacity for a location (e.g. 1 hr vs 1 day vs 1 wk)
but we need the capacity # for financial modelling</x18tc:text>
  </x18tc:threadedComment>
  <x18tc:threadedComment ref="R24" dT="2025-11-20T11:27:16.00" personId="{41a06bdc-7b6e-4d7d-8077-bb4d2d59df4d}" id="{90cb114c-ef0f-4afa-8410-c7f2e65ad9c3}" parentId="{92c02275-f193-4593-aac1-fd2708712f50}">
    <x18tc:text xml:space="preserve">when do you need it? which schools do you care about in order?</x18tc:text>
  </x18tc:threadedComment>
  <x18tc:threadedComment ref="R24" dT="2025-11-20T11:28:36.00" personId="{41a06bdc-7b6e-4d7d-8077-bb4d2d59df4d}" id="{2b9a033c-d190-4cc9-aa31-0bea41fb9d00}" parentId="{92c02275-f193-4593-aac1-fd2708712f50}">
    <x18tc:text xml:space="preserve">the importance will help me prioritize us. it's irrelevant how long it takes to do each school (it differs depending on how good the site plans and other data stored up from when these opened actually is)</x18tc:text>
  </x18tc:threadedComment>
  <x18tc:threadedComment ref="R24" dT="2025-11-20T11:29:06.00" personId="{ca9de7f2-f71e-484f-a07d-306d53649393}" id="{5e4f07b3-9a32-4874-a1df-01eb01f3df1b}" parentId="{92c02275-f193-4593-aac1-fd2708712f50}">
    <x18tc:text xml:space="preserve">sure, david mcg will provide</x18tc:text>
  </x18tc:threadedComment>
  <x18tc:threadedComment ref="R24" dT="2025-11-25T18:39:13.00" personId="{2c6a2ee1-977f-4ec0-bf64-a380d414b166}" id="{1ec4ce40-129d-4a91-976d-a001ce289be7}" parentId="{92c02275-f193-4593-aac1-fd2708712f50}">
    <x18tc:text xml:space="preserve">@jc.fischer@trilogy.com 
I've emailed you the prioritised list. The most urgent would be the new schools without any capacity numbers:
Piedmont
Palo Alto
Santa Monica
Followed by those noted as pending verification - I've sent you the current order.</x18tc:text>
    <x18tc:mentions>
      <x18tc:mention mentionpersonId="{a85e4ea7-c011-42a5-a6be-4cb6fa744464}" mentionId="{0bbf66bc-eab2-4ec6-8270-15c86199771f}" startIndex="0" length="23"/>
    </x18tc:mentions>
  </x18tc:threadedComment>
  <x18tc:threadedComment ref="T22" dT="2025-12-10T21:56:49.00" personId="{e0f9e752-4c1c-4cde-b844-7ddef95e704e}" id="{aa2a676e-09db-4641-96ea-4d3cb12d9c1a}" done="0">
    <x18tc:text xml:space="preserve">@donnie.yee@trilogy.com @dmitry.bakaev@trilogy.com really 37 for NYC at this point?  Or is that counting future enrollments?
Assigned to donnie.yee@trilogy.com</x18tc:text>
    <x18tc:mentions>
      <x18tc:mention mentionpersonId="{89c5b50c-ba7f-4dc2-ac4a-2d16e711229b}" mentionId="{c4b021f9-ccf9-4a0d-9687-a0562c8ef211}" startIndex="0" length="23"/>
      <x18tc:mention mentionpersonId="{0511c2dd-e4a6-4511-b1b6-b40f169ad9e9}" mentionId="{861d3a43-1913-47e1-bfcd-2792b079b2af}" startIndex="24" length="26"/>
    </x18tc:mentions>
  </x18tc:threadedComment>
  <x18tc:threadedComment ref="T22" dT="2025-12-10T21:57:03.00" personId="{e0f9e752-4c1c-4cde-b844-7ddef95e704e}" id="{32fd9822-43dd-454e-80a2-18ffaf090b7a}" parentId="{aa2a676e-09db-4641-96ea-4d3cb12d9c1a}">
    <x18tc:text xml:space="preserve">fyi @patrick.francia@trilogy.com
Reassigned to patrick.francia@trilogy.com</x18tc:text>
    <x18tc:mentions>
      <x18tc:mention mentionpersonId="{23ae3bc8-0a72-4458-9992-814b38a63ce9}" mentionId="{2df0b493-91b3-40b5-8f30-0bdab92a0a66}" startIndex="4" length="28"/>
    </x18tc:mentions>
  </x18tc:threadedComment>
  <x18tc:threadedComment ref="B9" dT="2025-06-27T13:32:07.00" personId="{e0f9e752-4c1c-4cde-b844-7ddef95e704e}" id="{cf326078-523f-4e09-92e5-9573d71a20f9}" done="1">
    <x18tc:text xml:space="preserve">@jan.dejager@trilogy.com @david.harpur@trilogy.com @andrew.jordan@trilogy.com open question on whether we should only offer once a certain number of students are enrolled?
Assigned to jan.dejager@trilogy.com</x18tc:text>
    <x18tc:mentions>
      <x18tc:mention mentionpersonId="{110becb3-6830-4fb5-b6ef-24fb9f29c861}" mentionId="{c6fb3661-4b60-430f-a49d-f38a0b07a0df}" startIndex="0" length="24"/>
      <x18tc:mention mentionpersonId="{9ecbeea8-b78f-49ff-a39c-eac4a37185dc}" mentionId="{597cdf70-ec22-47d2-8a6a-726c4610243c}" startIndex="25" length="25"/>
      <x18tc:mention mentionpersonId="{416700c4-395c-4dab-9a17-b66b9d2466b9}" mentionId="{a70601d0-6c33-4ac8-97b3-3ef6c017d74a}" startIndex="51" length="26"/>
    </x18tc:mentions>
  </x18tc:threadedComment>
  <x18tc:threadedComment ref="B9" dT="2025-06-27T13:34:55.00" personId="{298ce18e-383d-4b63-9127-423ce6718bdb}" id="{48af2944-cc12-4201-8997-4d4c4c65241f}" parentId="{cf326078-523f-4e09-92e5-9573d71a20f9}">
    <x18tc:text xml:space="preserve">How does this apply for each model? sports academy vs Alpha vs Low Cost vs sister campus</x18tc:text>
  </x18tc:threadedComment>
  <x18tc:threadedComment ref="B9" dT="2025-06-27T15:07:09.00" personId="{ca9de7f2-f71e-484f-a07d-306d53649393}" id="{790ce7ae-5614-44ff-a21e-a272ced4f1e2}" parentId="{cf326078-523f-4e09-92e5-9573d71a20f9}">
    <x18tc:text xml:space="preserve">we need to start writing down proposals, not questions
we should write down our proposal if different from the "default" in the specific col for that school</x18tc:text>
  </x18tc:threadedComment>
  <x18tc:threadedComment ref="A34" dT="2025-09-22T18:39:31.00" personId="{e0f9e752-4c1c-4cde-b844-7ddef95e704e}" id="{a877152c-1e64-47a2-83ea-ac9a484a9280}" done="0">
    <x18tc:text xml:space="preserve">@andrew.jordan@trilogy.com @amelia.baldwin@2hourlearning.com shouldn't this also indicate which ones are hybrids?</x18tc:text>
    <x18tc:mentions>
      <x18tc:mention mentionpersonId="{416700c4-395c-4dab-9a17-b66b9d2466b9}" mentionId="{807da3d6-aed8-4cf7-81b8-0be812156a57}" startIndex="0" length="26"/>
      <x18tc:mention mentionpersonId="{26c64a12-5973-456f-9f23-4c2c69dc7a7f}" mentionId="{bb62ab94-024f-4947-994c-138235da484d}" startIndex="27" length="33"/>
    </x18tc:mentions>
  </x18tc:threadedComment>
  <x18tc:threadedComment ref="A34" dT="2025-09-22T18:56:38.00" personId="{e0f9e752-4c1c-4cde-b844-7ddef95e704e}" id="{2261d5dd-501d-47bf-bc2f-7cf84ce936dd}" parentId="{a877152c-1e64-47a2-83ea-ac9a484a9280}">
    <x18tc:text xml:space="preserve">@heather.lother@crossover.com as many of these are now CC/Admissions hybrids, who in the interview process is vetting for admissions?</x18tc:text>
    <x18tc:mentions>
      <x18tc:mention mentionpersonId="{6ae5b66f-f600-48d7-8f4d-e68e56c9d730}" mentionId="{ba5f6e6d-f6da-4660-a261-f6dc15ddef5e}" startIndex="0" length="29"/>
    </x18tc:mentions>
  </x18tc:threadedComment>
  <x18tc:threadedComment ref="A34" dT="2025-09-22T18:58:48.00" personId="{4406f311-3a54-4798-954a-6309e28792a4}" id="{a005e189-a558-418b-9351-f7d0980851f2}" parentId="{a877152c-1e64-47a2-83ea-ac9a484a9280}">
    <x18tc:text xml:space="preserve">Either the ADOP, DOP, or HOS assigned to the campus.</x18tc:text>
  </x18tc:threadedComment>
  <x18tc:threadedComment ref="A34" dT="2025-09-22T19:00:02.00" personId="{7eb13349-0232-4341-b092-fb43a44a63cc}" id="{c7de925c-845c-40bd-a603-fd88d7fca51f}" parentId="{a877152c-1e64-47a2-83ea-ac9a484a9280}">
    <x18tc:text xml:space="preserve">Yes they should. I do not know which ones were hired via which pipeline. If @heather.lother@crossover.com can get that to me I can update. 
As per the Admissions interview, we discussed this in the CC chat. Path should be 
1) Shannon or Kathrine (based on site)
2) ADoP (or DoP if ADoP not presnet or HoS if neither are present)
3) COO P2 (Andrew Jordan)</x18tc:text>
    <x18tc:mentions>
      <x18tc:mention mentionpersonId="{6ae5b66f-f600-48d7-8f4d-e68e56c9d730}" mentionId="{b1ad8815-39bc-4659-986d-b785c8769285}" startIndex="76" length="29"/>
    </x18tc:mentions>
  </x18tc:threadedComment>
  <x18tc:threadedComment ref="U32" dT="2025-09-26T14:51:54.00" personId="{4406f311-3a54-4798-954a-6309e28792a4}" id="{c58765c9-fa69-4e4c-8326-32fa6035bca6}" done="1">
    <x18tc:text xml:space="preserve">Hiring ADOP so Scott can focus on LF.</x18tc:text>
  </x18tc:threadedComment>
  <x18tc:threadedComment ref="U32" dT="2025-10-07T16:32:09.00" personId="{4406f311-3a54-4798-954a-6309e28792a4}" id="{fe30a12d-06b8-450c-93b2-332d3d86db32}" parentId="{c58765c9-fa69-4e4c-8326-32fa6035bca6}">
    <x18tc:text xml:space="preserve">@jan.dejager@trilogy.com - please update to (Hiring ADOP) under Scott.</x18tc:text>
    <x18tc:mentions>
      <x18tc:mention mentionpersonId="{110becb3-6830-4fb5-b6ef-24fb9f29c861}" mentionId="{1803dff6-268f-4795-b856-0391ae1816bb}" startIndex="0" length="24"/>
    </x18tc:mentions>
  </x18tc:threadedComment>
  <x18tc:threadedComment ref="U32" dT="2025-10-08T08:58:31.00" personId="{5495796c-803e-4d04-839b-a9c969210ec0}" id="{c7ff5d71-e158-404e-b3aa-f92d40119896}" parentId="{c58765c9-fa69-4e4c-8326-32fa6035bca6}">
    <x18tc:text xml:space="preserve">updated</x18tc:text>
  </x18tc:threadedComment>
  <x18tc:threadedComment ref="AG32" dT="2026-01-19T19:59:08.00" personId="{4406f311-3a54-4798-954a-6309e28792a4}" id="{c7347c2a-89a0-4d12-9d58-95a48b6fc17d}" done="1">
    <x18tc:text xml:space="preserve">Hiring ADOP</x18tc:text>
  </x18tc:threadedComment>
  <x18tc:threadedComment ref="O9" dT="2025-06-18T19:34:22.00" personId="{298ce18e-383d-4b63-9127-423ce6718bdb}" id="{a1b441a6-9da6-4f44-b5df-f182682f682f}" done="1">
    <x18tc:text xml:space="preserve">@jan.dejager@trilogy.com @arthur@trilogy.com With this having been shared to families as being included, what is the planned method of communication for signing up for lunch as the enrolled families were not given this option. Also, is this amount more expense to provide in other locations, such as NYC?</x18tc:text>
    <x18tc:mentions>
      <x18tc:mention mentionpersonId="{110becb3-6830-4fb5-b6ef-24fb9f29c861}" mentionId="{e93a6e2b-a4e1-4336-ac8a-8c6d678f944f}" startIndex="0" length="24"/>
      <x18tc:mention mentionpersonId="{57259500-5a14-4ba4-b843-32512c7c5aa7}" mentionId="{ffda174d-8f36-42e7-9e7b-3c5fc9475767}" startIndex="25" length="19"/>
    </x18tc:mentions>
  </x18tc:threadedComment>
  <x18tc:threadedComment ref="O9" dT="2025-07-01T15:25:06.00" personId="{5495796c-803e-4d04-839b-a9c969210ec0}" id="{65eee0d0-6b64-478c-840e-b6ca6c187141}" parentId="{a1b441a6-9da6-4f44-b5df-f182682f682f}">
    <x18tc:text xml:space="preserve">We are keeping it at $200 for all (except Valenta, etc) - will adjust in year 2 as appropriate</x18tc:text>
  </x18tc:threadedComment>
  <x18tc:threadedComment ref="O9" dT="2025-07-02T14:04:54.00" personId="{298ce18e-383d-4b63-9127-423ce6718bdb}" id="{14f43f90-93a1-4c86-9fda-777c02e7203f}" parentId="{a1b441a6-9da6-4f44-b5df-f182682f682f}">
    <x18tc:text xml:space="preserve">Is Valenta (now Arete Bastrop) planned to have lunch next year? And same for Arete Austin?</x18tc:text>
  </x18tc:threadedComment>
  <x18tc:threadedComment ref="AL33" dT="2025-09-08T17:49:13.00" personId="{62b87bdf-f3d1-47d1-823b-4967c0fe4d61}" id="{62fef76f-c4ae-48d8-b29f-3113ab2350ab}" done="1">
    <x18tc:text xml:space="preserve">not 100% certain on the breakdown of the staff here either -- but Phil Perkins is a Lead guide for Alpha Anywhere. Perhaps Joe goes in row 30?</x18tc:text>
  </x18tc:threadedComment>
  <x18tc:threadedComment ref="AL33" dT="2025-09-11T01:28:08.00" personId="{e0f9e752-4c1c-4cde-b844-7ddef95e704e}" id="{0138768f-01c7-43db-90f8-b69e36a17812}" parentId="{62fef76f-c4ae-48d8-b29f-3113ab2350ab}">
    <x18tc:text xml:space="preserve">Updated</x18tc:text>
  </x18tc:threadedComment>
  <x18tc:threadedComment ref="B7" dT="2025-06-26T14:40:15.00" personId="{ca9de7f2-f71e-484f-a07d-306d53649393}" id="{d75b544e-89a4-497a-b0e8-ebe1d4100c94}" done="0">
    <x18tc:text xml:space="preserve">@jan.dejager@trilogy.com - can we fill out this row?
fyi
@arthur@trilogy.com</x18tc:text>
    <x18tc:mentions>
      <x18tc:mention mentionpersonId="{110becb3-6830-4fb5-b6ef-24fb9f29c861}" mentionId="{6eabae8b-cbb9-478a-b802-88097a6b33ad}" startIndex="0" length="24"/>
      <x18tc:mention mentionpersonId="{57259500-5a14-4ba4-b843-32512c7c5aa7}" mentionId="{17753d23-3e7b-4cd5-a591-44ca09a77fa8}" startIndex="58" length="19"/>
    </x18tc:mentions>
  </x18tc:threadedComment>
  <x18tc:threadedComment ref="B7" dT="2025-07-01T15:15:30.00" personId="{5495796c-803e-4d04-839b-a9c969210ec0}" id="{879b930d-5dfe-43ba-87eb-d3ccdfe16fae}" parentId="{d75b544e-89a4-497a-b0e8-ebe1d4100c94}">
    <x18tc:text xml:space="preserve">updated</x18tc:text>
  </x18tc:threadedComment>
  <x18tc:threadedComment ref="B7" dT="2025-07-14T13:44:42.00" personId="{ca9de7f2-f71e-484f-a07d-306d53649393}" id="{2472db15-a2b4-49c3-a926-7918eb4b2a3c}" parentId="{d75b544e-89a4-497a-b0e8-ebe1d4100c94}">
    <x18tc:text xml:space="preserve">what do all these mean - e.g. Speciality Budget? Speciality Standard?
also, embed a link on each to the actual school financial model g-sheet</x18tc:text>
  </x18tc:threadedComment>
  <x18tc:threadedComment ref="B7" dT="2025-07-15T14:37:23.00" personId="{ca9de7f2-f71e-484f-a07d-306d53649393}" id="{8ea515b9-c056-4f44-8ed7-3cbc72f53c62}" parentId="{d75b544e-89a4-497a-b0e8-ebe1d4100c94}">
    <x18tc:text xml:space="preserve">@jan.dejager@trilogy.com @andrew.jordan@trilogy.com - i resolved some of the other comments on this row, but we need to address this and have definitions for each "model" in this row?
fyi
@arthur@trilogy.com</x18tc:text>
    <x18tc:mentions>
      <x18tc:mention mentionpersonId="{110becb3-6830-4fb5-b6ef-24fb9f29c861}" mentionId="{fab26c2a-f8de-4aa6-8e99-858c91d5fc3f}" startIndex="0" length="24"/>
      <x18tc:mention mentionpersonId="{416700c4-395c-4dab-9a17-b66b9d2466b9}" mentionId="{a3bbff6c-0709-40f7-b154-ffdb16cd4f74}" startIndex="25" length="26"/>
      <x18tc:mention mentionpersonId="{57259500-5a14-4ba4-b843-32512c7c5aa7}" mentionId="{33e82b0c-3fcf-42ab-883d-51c96dd77b7d}" startIndex="189" length="19"/>
    </x18tc:mentions>
  </x18tc:threadedComment>
  <x18tc:threadedComment ref="B7" dT="2025-07-18T12:20:17.00" personId="{5495796c-803e-4d04-839b-a9c969210ec0}" id="{6bcce82b-0e52-419b-aa69-49bb84e6148d}" parentId="{d75b544e-89a4-497a-b0e8-ebe1d4100c94}">
    <x18tc:text xml:space="preserve">@andrew.jordan@trilogy.com - created wf here for input on definitions</x18tc:text>
    <x18tc:mentions>
      <x18tc:mention mentionpersonId="{416700c4-395c-4dab-9a17-b66b9d2466b9}" mentionId="{0c0b450d-efd2-4af2-a53b-e33fb918bfcc}" startIndex="0" length="26"/>
    </x18tc:mentions>
  </x18tc:threadedComment>
  <x18tc:threadedComment ref="B7" dT="2025-07-21T11:11:58.00" personId="{ca9de7f2-f71e-484f-a07d-306d53649393}" id="{8301174a-431b-4374-b69f-912708afadcf}" parentId="{d75b544e-89a4-497a-b0e8-ebe1d4100c94}">
    <x18tc:text xml:space="preserve">is this still open?</x18tc:text>
  </x18tc:threadedComment>
  <x18tc:threadedComment ref="B7" dT="2025-07-22T07:46:40.00" personId="{5495796c-803e-4d04-839b-a9c969210ec0}" id="{69b1e4ea-4a2a-4282-b3f8-a9b797709fe6}" parentId="{d75b544e-89a4-497a-b0e8-ebe1d4100c94}">
    <x18tc:text xml:space="preserve">- Models have been updated for each school. 
- Workflowy has been linked to Neeraj's models.
Outstanding: 
Definitions for 
- "Outdoor Academy" school
- "Montessorium" school
@andrew.jordan@trilogy.com - do you have guidance on these?</x18tc:text>
    <x18tc:mentions>
      <x18tc:mention mentionpersonId="{416700c4-395c-4dab-9a17-b66b9d2466b9}" mentionId="{bd943f4d-1499-41f1-bb39-d5210fbcc7bd}" startIndex="177" length="26"/>
    </x18tc:mentions>
  </x18tc:threadedComment>
  <x18tc:threadedComment ref="R31" dT="2025-09-22T19:16:52.00" personId="{e0f9e752-4c1c-4cde-b844-7ddef95e704e}" id="{2ce35d20-1f1d-46cb-8baa-667bd709342b}" done="1">
    <x18tc:text xml:space="preserve">@tasha.arnold@alpha.school should you be on these others as HoS or some other role? They are just blank right now. @amelia.baldwin@2hourlearning.com fyi
Assigned to tasha.arnold@2hourlearning.com</x18tc:text>
    <x18tc:mentions>
      <x18tc:mention mentionpersonId="{1d6d7079-e654-41a8-aeea-04d4f964b2f7}" mentionId="{c853bc8d-990e-4f2d-a0f0-6b360b3271ed}" startIndex="0" length="26"/>
      <x18tc:mention mentionpersonId="{26c64a12-5973-456f-9f23-4c2c69dc7a7f}" mentionId="{4c731872-f8b8-4b75-8919-df6c7147ba27}" startIndex="115" length="33"/>
    </x18tc:mentions>
  </x18tc:threadedComment>
  <x18tc:threadedComment ref="R31" dT="2025-09-22T19:36:13.00" personId="{f0cc1384-fa8c-48e3-9ff1-d01dc70f9d16}" id="{bd1b0188-02ec-4e0c-a15b-4c3b045b9bc4}" parentId="{2ce35d20-1f1d-46cb-8baa-667bd709342b}">
    <x18tc:text xml:space="preserve">I'm head of Expansion schools, so you can put me down, but the Dean of Parents serve as the main point of contact for the school.</x18tc:text>
  </x18tc:threadedComment>
  <x18tc:threadedComment ref="W32" dT="2025-10-07T02:04:51.00" personId="{4406f311-3a54-4798-954a-6309e28792a4}" id="{e609e89f-b798-4b2b-8967-940e45ecb242}" done="1">
    <x18tc:text xml:space="preserve">Hiring ADOP</x18tc:text>
  </x18tc:threadedComment>
  <x18tc:threadedComment ref="W32" dT="2025-10-07T16:32:22.00" personId="{4406f311-3a54-4798-954a-6309e28792a4}" id="{ee69c58f-61a7-4a16-8b50-db27788b03e9}" parentId="{e609e89f-b798-4b2b-8967-940e45ecb242}">
    <x18tc:text xml:space="preserve">@jan.dejager@trilogy.com - please update</x18tc:text>
    <x18tc:mentions>
      <x18tc:mention mentionpersonId="{110becb3-6830-4fb5-b6ef-24fb9f29c861}" mentionId="{f74a3c60-bca6-4470-9456-e643fdf1ecb3}" startIndex="0" length="24"/>
    </x18tc:mentions>
  </x18tc:threadedComment>
  <x18tc:threadedComment ref="W32" dT="2025-10-08T08:58:11.00" personId="{5495796c-803e-4d04-839b-a9c969210ec0}" id="{4f52b71f-91a0-4b4d-8e37-e365148b6dca}" parentId="{e609e89f-b798-4b2b-8967-940e45ecb242}">
    <x18tc:text xml:space="preserve">updated</x18tc:text>
  </x18tc:threadedComment>
  <x18tc:threadedComment ref="AC32" dT="2026-01-19T19:59:01.00" personId="{4406f311-3a54-4798-954a-6309e28792a4}" id="{ad1b4022-afb6-4bca-9692-035af99e3061}" done="1">
    <x18tc:text xml:space="preserve">Hiring ADOP</x18tc:text>
  </x18tc:threadedComment>
  <x18tc:threadedComment ref="A28" dT="2025-06-27T15:37:14.00" personId="{ca9de7f2-f71e-484f-a07d-306d53649393}" id="{8f9444f8-3736-4272-ba5c-e9fd654c60cb}" done="1">
    <x18tc:text xml:space="preserve">@brian.baucher@trilogy.com - can you please complete this row and row 28, thanks
fyi
@jan.dejager@trilogy.com 
@arthur@trilogy.com 
@amelia.baldwin@2hourlearning.com</x18tc:text>
    <x18tc:mentions>
      <x18tc:mention mentionpersonId="{53e62665-d5ac-4ea0-8a2a-442e7dc7d89c}" mentionId="{9b1bef95-6c77-4157-a72d-1e25202a576b}" startIndex="0" length="26"/>
      <x18tc:mention mentionpersonId="{110becb3-6830-4fb5-b6ef-24fb9f29c861}" mentionId="{112c5154-13a6-436f-8d01-1e1292e85137}" startIndex="86" length="24"/>
      <x18tc:mention mentionpersonId="{57259500-5a14-4ba4-b843-32512c7c5aa7}" mentionId="{ca2c97c5-8570-4b8d-b49c-7ec505b4103e}" startIndex="112" length="19"/>
      <x18tc:mention mentionpersonId="{26c64a12-5973-456f-9f23-4c2c69dc7a7f}" mentionId="{ef14e726-5c73-4190-b63b-9ae8a3c54d0f}" startIndex="133" length="33"/>
    </x18tc:mentions>
  </x18tc:threadedComment>
  <x18tc:threadedComment ref="A28" dT="2025-06-30T19:07:10.00" personId="{a9cf6e79-9751-4017-90e6-a3b2941f1187}" id="{3d6ff847-30f4-44f8-9d14-003ec092ae65}" parentId="{8f9444f8-3736-4272-ba5c-e9fd654c60cb}">
    <x18tc:text xml:space="preserve">updated for those that are in existence now.  I believe a number of these schools do not yet have legal entities associated with them.</x18tc:text>
  </x18tc:threadedComment>
  <x18tc:threadedComment ref="A28" dT="2025-07-01T03:07:01.00" personId="{ca9de7f2-f71e-484f-a07d-306d53649393}" id="{d452964b-0981-4a4c-9595-50090d618ae6}" parentId="{8f9444f8-3736-4272-ba5c-e9fd654c60cb}">
    <x18tc:text xml:space="preserve">why? and are those clearly marked?</x18tc:text>
  </x18tc:threadedComment>
  <x18tc:threadedComment ref="A28" dT="2025-07-01T12:18:51.00" personId="{a9cf6e79-9751-4017-90e6-a3b2941f1187}" id="{9cdd618b-0ab0-4c13-8c57-0ab5ee4b6c13}" parentId="{8f9444f8-3736-4272-ba5c-e9fd654c60cb}">
    <x18tc:text xml:space="preserve">No legal entities have been created yet. I have not been involved in this process. @jack.abolt@trilogy.com had been creating when Andy request (https://docs.google.com/spreadsheets/d/1BZGvvcJuuqqvYugIxYKiCYNkRTSYJ64g4HezaGR2d1Y/edit?gid=401999180#gid=401999180). I believe @tina.erales@jonesspross.com may be involved going forward with the creation of the for-profit entities.</x18tc:text>
    <x18tc:mentions>
      <x18tc:mention mentionpersonId="{e46e3bfd-9f13-4312-b3cf-a84d46dbf1d8}" mentionId="{33453bea-b88f-4125-a509-57e5e297dc93}" startIndex="83" length="23"/>
      <x18tc:mention mentionpersonId="{05fc1dd0-873d-4b95-aa54-77f1d0348477}" mentionId="{0b7a26ef-7e06-4373-89a6-f27c0a938b59}" startIndex="273" length="28"/>
    </x18tc:mentions>
    <x18tc:extLst>
      <ext uri="{F7C98A9C-CBB3-438F-8F68-D28B6AF4A901}">
        <xltc2:checksum/>
        <xltc2:hyperlink startIndex="144" length="116" url="https://docs.google.com/spreadsheets/d/1BZGvvcJuuqqvYugIxYKiCYNkRTSYJ64g4HezaGR2d1Y/edit?gid=401999180#gid=401999180"/>
      </ext>
    </x18tc:extLst>
  </x18tc:threadedComment>
  <x18tc:threadedComment ref="X32" dT="2026-01-19T19:58:43.00" personId="{4406f311-3a54-4798-954a-6309e28792a4}" id="{a9abb08a-cdc3-46e2-841f-af71940bd978}" done="1">
    <x18tc:text xml:space="preserve">Clifford Smith hired. Started 1.13.26.</x18tc:text>
  </x18tc:threadedComment>
  <x18tc:threadedComment ref="Y21" dT="2025-11-19T15:38:50.00" personId="{e0f9e752-4c1c-4cde-b844-7ddef95e704e}" id="{853800f7-2000-44a0-b160-2c51708ca00f}" done="0">
    <x18tc:text xml:space="preserve">@andrew.jordan@trilogy.com pls update</x18tc:text>
    <x18tc:mentions>
      <x18tc:mention mentionpersonId="{416700c4-395c-4dab-9a17-b66b9d2466b9}" mentionId="{50b1234d-a1ed-44d1-bbfa-528bb54a06c7}" startIndex="0" length="26"/>
    </x18tc:mentions>
  </x18tc:threadedComment>
  <x18tc:threadedComment ref="Y21" dT="2025-11-29T20:39:44.00" personId="{e0f9e752-4c1c-4cde-b844-7ddef95e704e}" id="{34f645be-5069-4ec5-8a93-cf89a16a2386}" parentId="{853800f7-2000-44a0-b160-2c51708ca00f}">
    <x18tc:text xml:space="preserve">@andrew.jordan@trilogy.com @jc.fischer@trilogy.com ?</x18tc:text>
    <x18tc:mentions>
      <x18tc:mention mentionpersonId="{416700c4-395c-4dab-9a17-b66b9d2466b9}" mentionId="{677324cd-d7da-4ac2-a4a1-9acbb2044929}" startIndex="0" length="26"/>
      <x18tc:mention mentionpersonId="{a85e4ea7-c011-42a5-a6be-4cb6fa744464}" mentionId="{e85cb384-7cb0-4eb3-bb7b-1e8f384d15ad}" startIndex="27" length="23"/>
    </x18tc:mentions>
  </x18tc:threadedComment>
  <x18tc:threadedComment ref="Y21" dT="2025-12-11T18:23:08.00" personId="{41a06bdc-7b6e-4d7d-8077-bb4d2d59df4d}" id="{68595802-6c7e-4fcf-aeba-d2f037ef3335}" parentId="{853800f7-2000-44a0-b160-2c51708ca00f}">
    <x18tc:text xml:space="preserve">What's the question?</x18tc:text>
  </x18tc:threadedComment>
  <x18tc:threadedComment ref="Y21" dT="2025-12-11T18:37:03.00" personId="{e0f9e752-4c1c-4cde-b844-7ddef95e704e}" id="{004ed765-8ef6-484b-b8ca-d0bf2607bf78}" parentId="{853800f7-2000-44a0-b160-2c51708ca00f}">
    <x18tc:text xml:space="preserve">Status wasn’t updated in November. If now accurate; good to resolve.</x18tc:text>
  </x18tc:threadedComment>
  <x18tc:threadedComment ref="B20" dT="2025-07-16T19:16:12.00" personId="{e0f9e752-4c1c-4cde-b844-7ddef95e704e}" id="{9f7fef6a-7e03-4d93-a108-a1e56be6bc38}" done="1">
    <x18tc:text xml:space="preserve">@amelia.baldwin@2hourlearning.com can we put exact dates in here pls?
Assigned to amelia.baldwin@2hourlearning.com</x18tc:text>
    <x18tc:mentions>
      <x18tc:mention mentionpersonId="{26c64a12-5973-456f-9f23-4c2c69dc7a7f}" mentionId="{a5207d22-5d80-4d96-b080-f99cb80958a5}" startIndex="0" length="33"/>
    </x18tc:mentions>
  </x18tc:threadedComment>
  <x18tc:threadedComment ref="B20" dT="2025-07-16T19:16:58.00" personId="{e0f9e752-4c1c-4cde-b844-7ddef95e704e}" id="{b4b5e376-4d59-4f80-a0e5-90e65c467a7e}" parentId="{9f7fef6a-7e03-4d93-a108-a1e56be6bc38}">
    <x18tc:text xml:space="preserve">Oh actually why do we have this and 7. as well? Just saw that row. @david.harpur@trilogy.com @jan.dejager@trilogy.com</x18tc:text>
    <x18tc:mentions>
      <x18tc:mention mentionpersonId="{9ecbeea8-b78f-49ff-a39c-eac4a37185dc}" mentionId="{d48e17bb-a54d-427d-b317-1cbb2ad5c6d9}" startIndex="67" length="25"/>
      <x18tc:mention mentionpersonId="{110becb3-6830-4fb5-b6ef-24fb9f29c861}" mentionId="{a322ba1d-2737-45bb-b596-6c56722a7707}" startIndex="93" length="24"/>
    </x18tc:mentions>
  </x18tc:threadedComment>
  <x18tc:threadedComment ref="B20" dT="2025-07-17T18:00:54.00" personId="{ca9de7f2-f71e-484f-a07d-306d53649393}" id="{76518b0b-1d26-46b4-862d-cc3c087aabdd}" parentId="{9f7fef6a-7e03-4d93-a108-a1e56be6bc38}">
    <x18tc:text xml:space="preserve">killed the other row and the link here has the exact dates by school</x18tc:text>
  </x18tc:threadedComment>
  <x18tc:threadedComment ref="AE2" dT="2025-10-17T20:08:49.00" personId="{298ce18e-383d-4b63-9127-423ce6718bdb}" id="{f22d05d9-2f37-4b67-9a50-69b16a38f160}" done="1">
    <x18tc:text xml:space="preserve">@donnie.yee@trilogy.com @dmitry.bakaev@trilogy.com @jan.dejager@trilogy.com @arthur@trilogy.com confirmed by @andrew.jordan@trilogy.com</x18tc:text>
    <x18tc:mentions>
      <x18tc:mention mentionpersonId="{89c5b50c-ba7f-4dc2-ac4a-2d16e711229b}" mentionId="{3b000b6e-6056-4a2b-9eec-f1e8b64d7727}" startIndex="0" length="23"/>
      <x18tc:mention mentionpersonId="{0511c2dd-e4a6-4511-b1b6-b40f169ad9e9}" mentionId="{fbff8a1e-9b9f-4a1f-a578-52f6bddb6466}" startIndex="24" length="26"/>
      <x18tc:mention mentionpersonId="{110becb3-6830-4fb5-b6ef-24fb9f29c861}" mentionId="{c816a07c-6687-4443-aa36-0883b5ea9963}" startIndex="51" length="24"/>
      <x18tc:mention mentionpersonId="{57259500-5a14-4ba4-b843-32512c7c5aa7}" mentionId="{12b524d7-538f-4074-a086-691ee172cd36}" startIndex="76" length="19"/>
      <x18tc:mention mentionpersonId="{416700c4-395c-4dab-9a17-b66b9d2466b9}" mentionId="{1acde936-7654-4a0f-9956-30bcf2110f4c}" startIndex="109" length="26"/>
    </x18tc:mentions>
  </x18tc:threadedComment>
  <x18tc:threadedComment ref="AE2" dT="2025-11-29T20:59:57.00" personId="{e0f9e752-4c1c-4cde-b844-7ddef95e704e}" id="{8de78161-3873-419e-9990-cda4a30cf462}" parentId="{f22d05d9-2f37-4b67-9a50-69b16a38f160}">
    <x18tc:text xml:space="preserve">@jc.fischer@trilogy.com @andrew.jordan@trilogy.com how are we determining what goes on this data sheet now?  Some are on here and not on the marketing site; https://alpha.school/locations/</x18tc:text>
    <x18tc:mentions>
      <x18tc:mention mentionpersonId="{a85e4ea7-c011-42a5-a6be-4cb6fa744464}" mentionId="{37b380b4-5d51-483e-8420-26084a5dd263}" startIndex="0" length="23"/>
      <x18tc:mention mentionpersonId="{416700c4-395c-4dab-9a17-b66b9d2466b9}" mentionId="{3a3e5904-649b-4240-837d-46938548271a}" startIndex="24" length="26"/>
    </x18tc:mentions>
    <x18tc:extLst>
      <ext uri="{F7C98A9C-CBB3-438F-8F68-D28B6AF4A901}">
        <xltc2:checksum/>
        <xltc2:hyperlink startIndex="157" length="31" url="https://alpha.school/locations/"/>
      </ext>
    </x18tc:extLst>
  </x18tc:threadedComment>
  <x18tc:threadedComment ref="AE2" dT="2025-11-29T21:04:30.00" personId="{41a06bdc-7b6e-4d7d-8077-bb4d2d59df4d}" id="{1c05501a-187f-46be-9290-176acc83fac6}" parentId="{f22d05d9-2f37-4b67-9a50-69b16a38f160}">
    <x18tc:text xml:space="preserve">Every time a school gets passed to P2, we inform P3 and Amelia. they can put it on the website whenever they want. once P2 has it, we are confident it will open.</x18tc:text>
  </x18tc:threadedComment>
  <x18tc:threadedComment ref="AE2" dT="2025-12-11T18:24:30.00" personId="{41a06bdc-7b6e-4d7d-8077-bb4d2d59df4d}" id="{44aefa2a-7c76-4424-ab93-d8b22bf34f7a}" parentId="{f22d05d9-2f37-4b67-9a50-69b16a38f160}">
    <x18tc:text xml:space="preserve">Updated answer: we tell Rachel G and P3 about a school when we are confident it will open, at all, ever. Then as we gain fidelity on other info we add it in.</x18tc:text>
  </x18tc:threadedComment>
  <x18tc:threadedComment ref="Y33" dT="2025-09-08T17:39:30.00" personId="{62b87bdf-f3d1-47d1-823b-4967c0fe4d61}" id="{f23d0450-12a6-4c61-9dce-88756b4bba51}" done="1">
    <x18tc:text xml:space="preserve">LG being onboarded: Courtney Fenner</x18tc:text>
  </x18tc:threadedComment>
  <x18tc:threadedComment ref="U32" dT="2026-01-19T19:57:00.00" personId="{4406f311-3a54-4798-954a-6309e28792a4}" id="{8049ccc9-1bae-4ddf-9f59-3082705eb289}" done="1">
    <x18tc:text xml:space="preserve">Hiring ADOP</x18tc:text>
  </x18tc:threadedComment>
  <x18tc:threadedComment ref="AL14" dT="2025-07-18T01:37:52.00" personId="{298ce18e-383d-4b63-9127-423ce6718bdb}" id="{31716e4a-9b7c-475b-9d6d-a62b2cb06cd7}" done="1">
    <x18tc:text xml:space="preserve">Need to confirm</x18tc:text>
  </x18tc:threadedComment>
  <x18tc:threadedComment ref="AL14" dT="2025-07-18T13:13:31.00" personId="{0ee31150-bdf9-45ab-92bb-ec17e462b803}" id="{bfe149a0-3482-4da9-aff2-cd00febd277f}" parentId="{31716e4a-9b7c-475b-9d6d-a62b2cb06cd7}">
    <x18tc:text xml:space="preserve">This is pending approval.</x18tc:text>
  </x18tc:threadedComment>
  <x18tc:threadedComment ref="AL14" dT="2025-07-22T07:42:49.00" personId="{5495796c-803e-4d04-839b-a9c969210ec0}" id="{7a5efa0a-4935-4560-9f5d-a2681927604b}" parentId="{31716e4a-9b7c-475b-9d6d-a62b2cb06cd7}">
    <x18tc:text xml:space="preserve">Hi Joe - has this been decided?</x18tc:text>
  </x18tc:threadedComment>
  <x18tc:threadedComment ref="AL14" dT="2025-07-22T08:49:19.00" personId="{0ee31150-bdf9-45ab-92bb-ec17e462b803}" id="{a64ad795-79c9-43f6-91ba-3be8c01d6fc0}" parentId="{31716e4a-9b7c-475b-9d6d-a62b2cb06cd7}">
    <x18tc:text xml:space="preserve">Not yet. We are w/ Andy today and it is on the agenda. Will update here once confirmed.</x18tc:text>
  </x18tc:threadedComment>
  <x18tc:threadedComment ref="AL14" dT="2025-07-24T15:17:22.00" personId="{298ce18e-383d-4b63-9127-423ce6718bdb}" id="{b6d0a827-4e76-48c8-abce-156af853b394}" parentId="{31716e4a-9b7c-475b-9d6d-a62b2cb06cd7}">
    <x18tc:text xml:space="preserve">@joe.marone@alpha.school Any updates on this?</x18tc:text>
    <x18tc:mentions>
      <x18tc:mention mentionpersonId="{44009fb6-cd81-4af0-a73f-b732ae701b0e}" mentionId="{6a8513ac-315e-4f06-aa6f-2a9359417b7a}" startIndex="0" length="24"/>
    </x18tc:mentions>
  </x18tc:threadedComment>
  <x18tc:threadedComment ref="AL14" dT="2025-08-19T12:26:05.00" personId="{e0f9e752-4c1c-4cde-b844-7ddef95e704e}" id="{445d9ff8-90e7-4625-92b8-82de16fd72eb}" parentId="{31716e4a-9b7c-475b-9d6d-a62b2cb06cd7}">
    <x18tc:text xml:space="preserve">@joe.marone@alpha.school ?</x18tc:text>
    <x18tc:mentions>
      <x18tc:mention mentionpersonId="{44009fb6-cd81-4af0-a73f-b732ae701b0e}" mentionId="{c0226936-97e4-486c-988d-5f080db06d1f}" startIndex="0" length="24"/>
    </x18tc:mentions>
  </x18tc:threadedComment>
  <x18tc:threadedComment ref="AL14" dT="2025-08-19T13:34:58.00" personId="{0599344a-1de4-40af-8426-fb0ff1ca2f71}" id="{4038d8b3-b474-4102-875e-3041e428119e}" parentId="{31716e4a-9b7c-475b-9d6d-a62b2cb06cd7}">
    <x18tc:text xml:space="preserve">5% approved</x18tc:text>
  </x18tc:threadedComment>
  <x18tc:threadedComment ref="K2" dT="2025-07-09T16:04:32.00" personId="{298ce18e-383d-4b63-9127-423ce6718bdb}" id="{b19172d8-3e55-47a1-a273-0e4d1e898611}" done="1">
    <x18tc:text xml:space="preserve">With TexasPrep/Nova changing from Arete, does Valenta still keep Arete Bastrop or is it changing? @arthur@trilogy.com @donnie.yee@trilogy.com</x18tc:text>
    <x18tc:mentions>
      <x18tc:mention mentionpersonId="{57259500-5a14-4ba4-b843-32512c7c5aa7}" mentionId="{a8989757-b5c5-462c-9c6d-d6401c27087a}" startIndex="98" length="19"/>
      <x18tc:mention mentionpersonId="{89c5b50c-ba7f-4dc2-ac4a-2d16e711229b}" mentionId="{59741776-e28e-4f82-ad20-6353ff18bee1}" startIndex="118" length="23"/>
    </x18tc:mentions>
  </x18tc:threadedComment>
  <x18tc:threadedComment ref="K2" dT="2025-07-14T13:41:18.00" personId="{ca9de7f2-f71e-484f-a07d-306d53649393}" id="{4d5f212d-c820-497f-be78-d842b602ba64}" parentId="{b19172d8-3e55-47a1-a273-0e4d1e898611}">
    <x18tc:text xml:space="preserve">@jan.dejager@trilogy.com @donnie.yee@trilogy.com - this has changed. please update</x18tc:text>
    <x18tc:mentions>
      <x18tc:mention mentionpersonId="{110becb3-6830-4fb5-b6ef-24fb9f29c861}" mentionId="{0bff511f-9384-4e80-ae8e-bb2c9c3ef450}" startIndex="0" length="24"/>
      <x18tc:mention mentionpersonId="{89c5b50c-ba7f-4dc2-ac4a-2d16e711229b}" mentionId="{de6ef896-8f03-4dcb-baa8-01aee8092c5b}" startIndex="25" length="23"/>
    </x18tc:mentions>
  </x18tc:threadedComment>
  <x18tc:threadedComment ref="K2" dT="2025-07-14T13:52:10.00" personId="{7eb13349-0232-4341-b092-fb43a44a63cc}" id="{885001e0-a9b8-43fd-9bc3-0a4beb4989a1}" parentId="{b19172d8-3e55-47a1-a273-0e4d1e898611}">
    <x18tc:text xml:space="preserve">This will be Nova Academy - Bastrop</x18tc:text>
  </x18tc:threadedComment>
  <x18tc:threadedComment ref="N33" dT="2025-09-08T17:41:22.00" personId="{62b87bdf-f3d1-47d1-823b-4967c0fe4d61}" id="{7d0dcc33-790a-41cd-ae2f-3ac6f3f6250b}" done="1">
    <x18tc:text xml:space="preserve">Laura's 'Lead Guide' is Anna Smiley</x18tc:text>
  </x18tc:threadedComment>
  <x18tc:threadedComment ref="A38" dT="2025-09-23T14:13:43.00" personId="{e0f9e752-4c1c-4cde-b844-7ddef95e704e}" id="{05940eba-824f-4bab-ae71-45a9a6a15673}" done="1">
    <x18tc:text xml:space="preserve">@joshua.rockers@trilogy.com can you pls fill out this row (current state and where we are hiring) and link to the tiering spreadsheet in this cell? @andrew.jordan@trilogy.com
Assigned to joshua.rockers@trilogy.com</x18tc:text>
    <x18tc:mentions>
      <x18tc:mention mentionpersonId="{ef469d49-2be3-4bba-b1a1-51abddb1b250}" mentionId="{a4a5dd69-c742-429c-bba9-4d2c0f328dc2}" startIndex="0" length="27"/>
      <x18tc:mention mentionpersonId="{416700c4-395c-4dab-9a17-b66b9d2466b9}" mentionId="{2ed4b8cb-8dea-4f5b-9ade-586286687ecc}" startIndex="148" length="26"/>
    </x18tc:mentions>
  </x18tc:threadedComment>
  <x18tc:threadedComment ref="A38" dT="2025-09-23T20:35:08.00" personId="{5902432c-927b-43a4-9eb1-4925ad387d53}" id="{bc19fa98-2c0c-4659-92b9-15688f70dcbb}" parentId="{05940eba-824f-4bab-ae71-45a9a6a15673}">
    <x18tc:text xml:space="preserve">Yes, I will address this now.</x18tc:text>
  </x18tc:threadedComment>
  <x18tc:threadedComment ref="A38" dT="2025-09-23T23:08:52.00" personId="{5902432c-927b-43a4-9eb1-4925ad387d53}" id="{26a5f210-d6cb-401d-ba6b-e999b58ec052}" parentId="{05940eba-824f-4bab-ae71-45a9a6a15673}">
    <x18tc:text xml:space="preserve">Update complete</x18tc:text>
  </x18tc:threadedComment>
  <x18tc:threadedComment ref="A38" dT="2025-09-29T17:25:45.00" personId="{e0f9e752-4c1c-4cde-b844-7ddef95e704e}" id="{76bb792a-2759-40d5-944c-26b7dd4d3a29}" parentId="{05940eba-824f-4bab-ae71-45a9a6a15673}">
    <x18tc:text xml:space="preserve">I added more rows here for security tier and contact info. @joshua.rockers@trilogy.com pls put the data here and then I don't think we need the security staffing tab, and this should link to our security tier definitions, not teh random cost spreadsheet that is out of date?</x18tc:text>
    <x18tc:mentions>
      <x18tc:mention mentionpersonId="{ef469d49-2be3-4bba-b1a1-51abddb1b250}" mentionId="{928740a3-0899-4ea5-9e85-4b7eaf09d40e}" startIndex="59" length="27"/>
    </x18tc:mentions>
  </x18tc:threadedComment>
  <x18tc:threadedComment ref="H33" dT="2025-09-08T17:38:04.00" personId="{62b87bdf-f3d1-47d1-823b-4967c0fe4d61}" id="{31aaaec2-54ed-45a3-ba8a-932915fadc47}" done="1">
    <x18tc:text xml:space="preserve">How are you differentiating who is HG vs LG? @arthur@trilogy.com</x18tc:text>
    <x18tc:mentions>
      <x18tc:mention mentionpersonId="{57259500-5a14-4ba4-b843-32512c7c5aa7}" mentionId="{6be304f8-926a-4848-8f48-ef41273e9a00}" startIndex="45" length="19"/>
    </x18tc:mentions>
  </x18tc:threadedComment>
  <x18tc:threadedComment ref="H33" dT="2025-09-08T17:46:21.00" personId="{e0f9e752-4c1c-4cde-b844-7ddef95e704e}" id="{099691d9-6736-41d7-b31c-6163c69d7e02}" parentId="{31aaaec2-54ed-45a3-ba8a-932915fadc47}">
    <x18tc:text xml:space="preserve">I am not -- I don't know who originally dropped in this info.  Or if helpful to have both head and lead guides noted (or maybe just the HG if there are both)?  Will defer to your judgement.</x18tc:text>
  </x18tc:threadedComment>
  <x18tc:threadedComment ref="H33" dT="2025-09-08T17:46:40.00" personId="{e0f9e752-4c1c-4cde-b844-7ddef95e704e}" id="{38295ede-a629-4aef-b228-19ce7cd23758}" parentId="{31aaaec2-54ed-45a3-ba8a-932915fadc47}">
    <x18tc:text xml:space="preserve">Good to also define the difference here? https://docs.google.com/spreadsheets/d/1cAIUE2L0EKu5CzzBh7DA2BLdW_pcvC7CWCssgR5qlmc/edit?gid=1287715525#gid=1287715525</x18tc:text>
    <x18tc:extLst>
      <ext uri="{F7C98A9C-CBB3-438F-8F68-D28B6AF4A901}">
        <xltc2:checksum/>
        <xltc2:hyperlink startIndex="41" length="118" url="https://docs.google.com/spreadsheets/d/1cAIUE2L0EKu5CzzBh7DA2BLdW_pcvC7CWCssgR5qlmc/edit?gid=1287715525#gid=1287715525"/>
      </ext>
    </x18tc:extLst>
  </x18tc:threadedComment>
  <x18tc:threadedComment ref="H33" dT="2025-09-11T01:28:31.00" personId="{e0f9e752-4c1c-4cde-b844-7ddef95e704e}" id="{f573a766-92d6-4add-8275-294cd78e1cab}" parentId="{31aaaec2-54ed-45a3-ba8a-932915fadc47}">
    <x18tc:text xml:space="preserve">@stefanie.baduria@alpha.school does it look right now?</x18tc:text>
    <x18tc:mentions>
      <x18tc:mention mentionpersonId="{957ab0aa-4a5a-4047-ba5d-6ecbe7f477b2}" mentionId="{24acfee0-e330-406a-aa7e-d67dac434a91}" startIndex="0" length="30"/>
    </x18tc:mentions>
  </x18tc:threadedComment>
  <x18tc:threadedComment ref="H33" dT="2025-09-11T20:22:47.00" personId="{62b87bdf-f3d1-47d1-823b-4967c0fe4d61}" id="{ac4dbe42-d66c-4d16-95a0-e52113f417fa}" parentId="{31aaaec2-54ed-45a3-ba8a-932915fadc47}">
    <x18tc:text xml:space="preserve">Yes!
1 total reaction
Arthur Michel reacted with 👍 at 2025-09-11 20:28 PM</x18tc:text>
  </x18tc:threadedComment>
  <x18tc:threadedComment ref="I9" dT="2025-07-21T00:55:16.00" personId="{298ce18e-383d-4b63-9127-423ce6718bdb}" id="{f866534b-e9c3-431d-9b07-a6b18e21114b}" done="1">
    <x18tc:text xml:space="preserve">@andrew.jordan@trilogy.com GT/TA/NextGen/Waypoint are noted as planned to have lunch at $200. Is this accurate?
Assigned to andrew.jordan@trilogy.com</x18tc:text>
    <x18tc:mentions>
      <x18tc:mention mentionpersonId="{416700c4-395c-4dab-9a17-b66b9d2466b9}" mentionId="{44af5090-72de-4250-be19-add19a4a13db}" startIndex="0" length="26"/>
    </x18tc:mentions>
  </x18tc:threadedComment>
  <x18tc:threadedComment ref="I9" dT="2025-07-24T14:39:32.00" personId="{298ce18e-383d-4b63-9127-423ce6718bdb}" id="{1f278589-8ca1-4ef8-973c-296a7a419296}" parentId="{f866534b-e9c3-431d-9b07-a6b18e21114b}">
    <x18tc:text xml:space="preserve">Note from Andrew: " believe that is the intent. I am working to firm that up in the next couple of days"</x18tc:text>
  </x18tc:threadedComment>
  <x18tc:threadedComment ref="I9" dT="2025-08-19T12:24:57.00" personId="{e0f9e752-4c1c-4cde-b844-7ddef95e704e}" id="{a62dcd36-4de8-401c-91c9-6a9967efb510}" parentId="{f866534b-e9c3-431d-9b07-a6b18e21114b}">
    <x18tc:text xml:space="preserve">@andrew.jordan@trilogy.com can you pls clean up these comments?</x18tc:text>
    <x18tc:mentions>
      <x18tc:mention mentionpersonId="{416700c4-395c-4dab-9a17-b66b9d2466b9}" mentionId="{4d9f1ea8-28f8-4fec-a997-dd1cd4890efe}" startIndex="0" length="26"/>
    </x18tc:mentions>
  </x18tc:threadedComment>
  <x18tc:threadedComment ref="AL15" dT="2025-07-18T01:38:53.00" personId="{298ce18e-383d-4b63-9127-423ce6718bdb}" id="{2ad4f553-d93d-4b4e-b6b1-e2b3a962df68}" done="1">
    <x18tc:text xml:space="preserve">Alpha staff receive 30% off. @arthur@trilogy.com @jan.dejager@trilogy.com We need to identify this in policy as immediate family and any other pertinent details.
Assigned to jan.dejager@trilogy.com</x18tc:text>
    <x18tc:mentions>
      <x18tc:mention mentionpersonId="{57259500-5a14-4ba4-b843-32512c7c5aa7}" mentionId="{f30e56c0-704e-4c25-9044-25819c2b7243}" startIndex="29" length="19"/>
      <x18tc:mention mentionpersonId="{110becb3-6830-4fb5-b6ef-24fb9f29c861}" mentionId="{54a7a001-9512-4d0f-aa7e-3facab853dfb}" startIndex="49" length="24"/>
    </x18tc:mentions>
  </x18tc:threadedComment>
  <x18tc:threadedComment ref="AL15" dT="2025-07-18T12:16:50.00" personId="{5495796c-803e-4d04-839b-a9c969210ec0}" id="{37a134ca-9f04-4241-ae41-ebc3de2807c1}" parentId="{2ad4f553-d93d-4b4e-b6b1-e2b3a962df68}">
    <x18tc:text xml:space="preserve">@joe.marone@2hourlearning.com - do you have knowledge/detail on this discount?</x18tc:text>
    <x18tc:mentions>
      <x18tc:mention mentionpersonId="{e47c394d-ca07-4fb1-8dc3-744ab0f2b6e9}" mentionId="{f083b71b-6c4b-46f8-9211-3afa7e903cad}" startIndex="0" length="29"/>
    </x18tc:mentions>
  </x18tc:threadedComment>
  <x18tc:threadedComment ref="AL15" dT="2025-07-18T13:13:54.00" personId="{0ee31150-bdf9-45ab-92bb-ec17e462b803}" id="{a1990b03-e4a7-4347-b2b8-34da7e6d5f3f}" parentId="{2ad4f553-d93d-4b4e-b6b1-e2b3a962df68}">
    <x18tc:text xml:space="preserve">This is pending approval.</x18tc:text>
  </x18tc:threadedComment>
  <x18tc:threadedComment ref="AL15" dT="2025-07-18T13:14:58.00" personId="{5495796c-803e-4d04-839b-a9c969210ec0}" id="{72b09fb2-0c00-412a-9e07-6c65e1b6fd44}" parentId="{2ad4f553-d93d-4b4e-b6b1-e2b3a962df68}">
    <x18tc:text xml:space="preserve">Understood - thank you</x18tc:text>
  </x18tc:threadedComment>
  <x18tc:threadedComment ref="AL15" dT="2025-07-18T15:03:06.00" personId="{298ce18e-383d-4b63-9127-423ce6718bdb}" id="{9826aa4b-41a6-4f26-904c-7e469f3f90cc}" parentId="{2ad4f553-d93d-4b4e-b6b1-e2b3a962df68}">
    <x18tc:text xml:space="preserve">MP told me this in a meeting with her on Wednesday @joe.marone@alpha.school it was approved for communication to a staff member. @jan.dejager@trilogy.com</x18tc:text>
    <x18tc:mentions>
      <x18tc:mention mentionpersonId="{44009fb6-cd81-4af0-a73f-b732ae701b0e}" mentionId="{daaac8dc-2368-4fff-b43b-61ed4a6d060d}" startIndex="51" length="24"/>
      <x18tc:mention mentionpersonId="{110becb3-6830-4fb5-b6ef-24fb9f29c861}" mentionId="{e749491a-d59a-46b3-bf1d-06db33cc60a8}" startIndex="129" length="24"/>
    </x18tc:mentions>
  </x18tc:threadedComment>
  <x18tc:threadedComment ref="AL15" dT="2025-07-24T15:17:42.00" personId="{298ce18e-383d-4b63-9127-423ce6718bdb}" id="{31e70b33-1d84-4651-b3ed-cca76393408d}" parentId="{2ad4f553-d93d-4b4e-b6b1-e2b3a962df68}">
    <x18tc:text xml:space="preserve">@joe.marone@alpha.school Any adjustments to this?
Reassigned to joe.marone@alpha.school</x18tc:text>
    <x18tc:mentions>
      <x18tc:mention mentionpersonId="{44009fb6-cd81-4af0-a73f-b732ae701b0e}" mentionId="{c3f09a79-892d-409b-99a4-7bd8936ec440}" startIndex="0" length="24"/>
    </x18tc:mentions>
  </x18tc:threadedComment>
  <x18tc:threadedComment ref="AL15" dT="2025-08-15T15:42:01.00" personId="{298ce18e-383d-4b63-9127-423ce6718bdb}" id="{b8ae9f21-5f99-4b2b-9f05-e6a470784747}" parentId="{2ad4f553-d93d-4b4e-b6b1-e2b3a962df68}">
    <x18tc:text xml:space="preserve">Confirmed with MP that employees receive 30% off. @jan.dejager@trilogy.com</x18tc:text>
    <x18tc:mentions>
      <x18tc:mention mentionpersonId="{110becb3-6830-4fb5-b6ef-24fb9f29c861}" mentionId="{2bdfc526-3f55-443e-9883-17cfd18f507c}" startIndex="50" length="24"/>
    </x18tc:mentions>
  </x18tc:threadedComment>
  <x18tc:threadedComment ref="AL15" dT="2025-08-19T12:25:23.00" personId="{e0f9e752-4c1c-4cde-b844-7ddef95e704e}" id="{8122d529-21f1-4ceb-b819-256cc15d2df8}" parentId="{2ad4f553-d93d-4b4e-b6b1-e2b3a962df68}">
    <x18tc:text xml:space="preserve">@jan.dejager@trilogy.com is this updated?</x18tc:text>
    <x18tc:mentions>
      <x18tc:mention mentionpersonId="{110becb3-6830-4fb5-b6ef-24fb9f29c861}" mentionId="{c4c7999f-5eb3-4e37-9b65-ee579504c418}" startIndex="0" length="24"/>
    </x18tc:mentions>
  </x18tc:threadedComment>
  <x18tc:threadedComment ref="AL15" dT="2025-08-19T13:35:32.00" personId="{0599344a-1de4-40af-8426-fb0ff1ca2f71}" id="{8fdf3e41-544d-4b69-8e73-9034e02ebc8e}" parentId="{2ad4f553-d93d-4b4e-b6b1-e2b3a962df68}">
    <x18tc:text xml:space="preserve">active employee 30% approved</x18tc:text>
  </x18tc:threadedComment>
  <x18tc:threadedComment ref="N13" dT="2025-07-15T14:45:09.00" personId="{ca9de7f2-f71e-484f-a07d-306d53649393}" id="{097ec805-7a60-4305-b73f-96fdb1481538}" done="1">
    <x18tc:text xml:space="preserve">@jan.dejager@trilogy.com - can we clean this up?</x18tc:text>
    <x18tc:mentions>
      <x18tc:mention mentionpersonId="{110becb3-6830-4fb5-b6ef-24fb9f29c861}" mentionId="{7a4171ec-bf7e-402e-8b3b-6cd2562e5156}" startIndex="0" length="24"/>
    </x18tc:mentions>
  </x18tc:threadedComment>
  <x18tc:threadedComment ref="N13" dT="2025-07-16T13:41:43.00" personId="{5495796c-803e-4d04-839b-a9c969210ec0}" id="{a4d6e95e-4e5a-45d7-a7c2-138ddbc77828}" parentId="{097ec805-7a60-4305-b73f-96fdb1481538}">
    <x18tc:text xml:space="preserve">updated</x18tc:text>
  </x18tc:threadedComment>
  <x18tc:threadedComment ref="W34" dT="2025-09-11T19:37:39.00" personId="{4406f311-3a54-4798-954a-6309e28792a4}" id="{beb3ce81-ae46-4702-a991-cafb50550346}" done="1">
    <x18tc:text xml:space="preserve">Needs to be employed by GP and complete addtl background check &amp; TB test.</x18tc:text>
  </x18tc:threadedComment>
  <x18tc:threadedComment ref="W34" dT="2025-10-07T16:32:48.00" personId="{4406f311-3a54-4798-954a-6309e28792a4}" id="{e2117a6c-e524-40b6-be4e-8a6995361eff}" parentId="{beb3ce81-ae46-4702-a991-cafb50550346}">
    <x18tc:text xml:space="preserve">@jan.dejager@trilogy.com - special requirements do exist for Chantilly. Please update.</x18tc:text>
    <x18tc:mentions>
      <x18tc:mention mentionpersonId="{110becb3-6830-4fb5-b6ef-24fb9f29c861}" mentionId="{8eb446c6-efc0-4991-83fc-88fd6e5b690d}" startIndex="0" length="24"/>
    </x18tc:mentions>
  </x18tc:threadedComment>
  <x18tc:threadedComment ref="W34" dT="2025-10-08T08:56:47.00" personId="{5495796c-803e-4d04-839b-a9c969210ec0}" id="{0b5c4dc9-2c8c-4d4f-ab73-c2404fa127a5}" parentId="{beb3ce81-ae46-4702-a991-cafb50550346}">
    <x18tc:text xml:space="preserve">updated</x18tc:text>
  </x18tc:threadedComment>
  <x18tc:threadedComment ref="E32" dT="2026-02-03T15:47:22.00" personId="{4406f311-3a54-4798-954a-6309e28792a4}" id="{e6fbe79f-4128-4472-baf0-0162b2ac32ac}" done="0">
    <x18tc:text xml:space="preserve">This is Morgan Petek</x18tc:text>
  </x18tc:threadedComment>
  <x18tc:threadedComment ref="K8" dT="2025-06-18T20:30:10.00" personId="{298ce18e-383d-4b63-9127-423ce6718bdb}" id="{c32524d8-245b-42af-9b34-cbcb67a5ef46}" done="1">
    <x18tc:text xml:space="preserve">From MP 6.18.25: 25/36 year: $15k
But we are giving a $10k credit for this year only. After that people can use an ESA credit for $10k or pay $15k if you don’t have an ESA.</x18tc:text>
  </x18tc:threadedComment>
  <x18tc:threadedComment ref="F28" dT="2026-02-09T18:36:01.00" personId="{5495796c-803e-4d04-839b-a9c969210ec0}" id="{1e72feae-1c56-41ff-8328-be6e959ae490}" done="0">
    <x18tc:text xml:space="preserve">@brian.baucher@trilogy.com - EIN required for Stripe please</x18tc:text>
    <x18tc:mentions>
      <x18tc:mention mentionpersonId="{53e62665-d5ac-4ea0-8a2a-442e7dc7d89c}" mentionId="{c6c2f1b3-bc16-45db-b56c-df014b93b58f}" startIndex="0" length="26"/>
    </x18tc:mentions>
  </x18tc:threadedComment>
  <x18tc:threadedComment ref="F28" dT="2026-02-09T18:51:29.00" personId="{a9cf6e79-9751-4017-90e6-a3b2941f1187}" id="{8ef935da-6b92-45e0-a029-41c3765cff25}" parentId="{1e72feae-1c56-41ff-8328-be6e959ae490}">
    <x18tc:text xml:space="preserve">will request tomorrow.  You can only make one request per day per responsible officer (AndyP) and we already requested for Alpha School 78701 today.</x18tc:text>
  </x18tc:threadedComment>
  <x18tc:threadedComment ref="F28" dT="2026-02-09T18:52:17.00" personId="{5495796c-803e-4d04-839b-a9c969210ec0}" id="{4d95e1a9-fd38-4ab1-9b50-0ca046596d3b}" parentId="{1e72feae-1c56-41ff-8328-be6e959ae490}">
    <x18tc:text xml:space="preserve">Okay noted thanks</x18tc:text>
  </x18tc:threadedComment>
  <x18tc:threadedComment ref="C27" dT="2025-11-06T11:30:32.00" personId="{a9cf6e79-9751-4017-90e6-a3b2941f1187}" id="{acc75c89-ee8f-4fb9-a231-4de522f31238}" done="1">
    <x18tc:text xml:space="preserve">@jan.dejager@trilogy.com - this should be updated to Alpha School 78746, LLC
Assigned to jan.dejager@trilogy.com</x18tc:text>
    <x18tc:mentions>
      <x18tc:mention mentionpersonId="{110becb3-6830-4fb5-b6ef-24fb9f29c861}" mentionId="{5fb926e8-0cfa-481b-9d21-3afdeb31c46f}" startIndex="0" length="24"/>
    </x18tc:mentions>
  </x18tc:threadedComment>
  <x18tc:threadedComment ref="D27" dT="2025-11-06T11:30:45.00" personId="{a9cf6e79-9751-4017-90e6-a3b2941f1187}" id="{c8c43a64-e3bd-407a-a26f-5c691167724a}" done="1">
    <x18tc:text xml:space="preserve">@jan.dejager@trilogy.com - this should be updated to Alpha School 78701, LLC
Assigned to jan.dejager@trilogy.com</x18tc:text>
    <x18tc:mentions>
      <x18tc:mention mentionpersonId="{110becb3-6830-4fb5-b6ef-24fb9f29c861}" mentionId="{dc9157b0-73ba-4eb3-b493-777870f30bb6}" startIndex="0" length="24"/>
    </x18tc:mentions>
  </x18tc:threadedComment>
  <x18tc:threadedComment ref="AD19" dT="2025-11-29T20:46:24.00" personId="{e0f9e752-4c1c-4cde-b844-7ddef95e704e}" id="{34f0c760-0995-4c44-bc32-9cc9818ada1f}" done="1">
    <x18tc:text xml:space="preserve">@jc.fischer@trilogy.com @anrew
are these opening date planned accurate?  If so can we fill out the detail for the ones this year?
Assigned to jc.fischer@trilogy.com</x18tc:text>
    <x18tc:mentions>
      <x18tc:mention mentionpersonId="{a85e4ea7-c011-42a5-a6be-4cb6fa744464}" mentionId="{85b246a7-709f-4b19-8ce5-dfa98e03e103}" startIndex="0" length="23"/>
    </x18tc:mentions>
  </x18tc:threadedComment>
  <x18tc:threadedComment ref="AD19" dT="2025-12-11T18:22:47.00" personId="{41a06bdc-7b6e-4d7d-8077-bb4d2d59df4d}" id="{532ec6d3-6128-4eb6-8ede-3a0981009e67}" parentId="{34f0c760-0995-4c44-bc32-9cc9818ada1f}">
    <x18tc:text xml:space="preserve">They're accurate now. We're not giving more detail until we pass inspections and the only remaining work is in our hands.</x18tc:text>
  </x18tc:threadedComment>
  <x18tc:threadedComment ref="AE19" dT="2026-02-02T11:26:46.00" personId="{5495796c-803e-4d04-839b-a9c969210ec0}" id="{855bc60d-7c5c-4748-8d8e-06ceec83a355}" done="0">
    <x18tc:text xml:space="preserve">@jc.fischer@trilogy.com @andrew.jordan@trilogy.com - the insurers are asking about an opening date. PLease advise</x18tc:text>
    <x18tc:mentions>
      <x18tc:mention mentionpersonId="{a85e4ea7-c011-42a5-a6be-4cb6fa744464}" mentionId="{809de948-0b9a-4fb9-bad6-a1c55bf08aae}" startIndex="0" length="23"/>
      <x18tc:mention mentionpersonId="{416700c4-395c-4dab-9a17-b66b9d2466b9}" mentionId="{0c840fa3-6f19-478d-aa05-5ea5713e6db5}" startIndex="24" length="26"/>
    </x18tc:mentions>
  </x18tc:threadedComment>
  <x18tc:threadedComment ref="AE23" dT="2025-12-08T12:48:12.00" personId="{dbe65a33-770c-470c-a9e1-7e91e5d977fa}" id="{208d2935-bad2-47ec-8839-871c43515466}" done="1">
    <x18tc:text xml:space="preserve">3002 Main St, Santa Monica, CA 90405</x18tc:text>
  </x18tc:threadedComment>
  <x18tc:threadedComment ref="F27" dT="2025-11-06T11:31:04.00" personId="{a9cf6e79-9751-4017-90e6-a3b2941f1187}" id="{c7418463-e300-44c1-a07d-6c188501aef6}" done="1">
    <x18tc:text xml:space="preserve">@jan.dejager@trilogy.com - this should be updated to Alpha School 78521, LLC
Assigned to jan.dejager@trilogy.com</x18tc:text>
    <x18tc:mentions>
      <x18tc:mention mentionpersonId="{110becb3-6830-4fb5-b6ef-24fb9f29c861}" mentionId="{47101f99-dca8-4e31-b677-f0e38e4c819b}" startIndex="0" length="24"/>
    </x18tc:mentions>
  </x18tc:threadedComment>
  <x18tc:threadedComment ref="AJ23" dT="2025-12-09T17:11:37.00" personId="{dbe65a33-770c-470c-a9e1-7e91e5d977fa}" id="{aff9220c-8623-45ff-8eeb-3ba223041b03}" done="1">
    <x18tc:text xml:space="preserve">300 Cambridge St, Boston, MA 02114</x18tc:text>
  </x18tc:threadedComment>
  <x18tc:threadedComment ref="AB32" dT="2026-02-02T18:06:06.00" personId="{4406f311-3a54-4798-954a-6309e28792a4}" id="{a18cca1b-9a1f-4790-9c1d-9b38efa645bb}" done="0">
    <x18tc:text xml:space="preserve">Hiring ADOP</x18tc:text>
  </x18tc:threadedComment>
  <x18tc:threadedComment ref="U32" dT="2025-09-15T19:41:39.00" personId="{f0cc1384-fa8c-48e3-9ff1-d01dc70f9d16}" id="{9463916c-1339-4f05-92e9-2ae7ca4ccf29}" done="1">
    <x18tc:text xml:space="preserve">Hiring an aDoP @heather.lother@crossover.com
Assigned to heather.lother@crossover.com</x18tc:text>
    <x18tc:mentions>
      <x18tc:mention mentionpersonId="{6ae5b66f-f600-48d7-8f4d-e68e56c9d730}" mentionId="{a44c21ef-73ae-4325-9208-c1b0fe4fc992}" startIndex="15" length="29"/>
    </x18tc:mentions>
  </x18tc:threadedComment>
  <x18tc:threadedComment ref="I18" dT="2025-10-02T20:34:15.00" personId="{298ce18e-383d-4b63-9127-423ce6718bdb}" id="{ededb455-60d7-4733-9a8b-326e73d9893d}" done="0">
    <x18tc:text xml:space="preserve">Hoping/planning to open PreK in January. @arthur@trilogy.com @donnie.yee@trilogy.com @dmitry.bakaev@trilogy.com @andrew.jordan@trilogy.com</x18tc:text>
    <x18tc:mentions>
      <x18tc:mention mentionpersonId="{57259500-5a14-4ba4-b843-32512c7c5aa7}" mentionId="{efc6bf19-6f7e-49d7-b8e1-984114129060}" startIndex="41" length="19"/>
      <x18tc:mention mentionpersonId="{89c5b50c-ba7f-4dc2-ac4a-2d16e711229b}" mentionId="{d68c68cd-f9d9-4fd1-91b5-1bf1927de50b}" startIndex="61" length="23"/>
      <x18tc:mention mentionpersonId="{0511c2dd-e4a6-4511-b1b6-b40f169ad9e9}" mentionId="{de0ba0ef-578a-4123-b2dc-0fcf4b0ca6da}" startIndex="85" length="26"/>
      <x18tc:mention mentionpersonId="{416700c4-395c-4dab-9a17-b66b9d2466b9}" mentionId="{0d94be99-3656-46a0-96c5-00fda5d36ee1}" startIndex="112" length="26"/>
    </x18tc:mentions>
  </x18tc:threadedComment>
  <x18tc:threadedComment ref="I18" dT="2025-10-02T20:38:34.00" personId="{aee94e66-a8d2-4d37-bd5e-8046ee94023d}" id="{568be5d6-0b40-4d2b-9800-df9f5eda9657}" parentId="{ededb455-60d7-4733-9a8b-326e73d9893d}">
    <x18tc:text xml:space="preserve">Should we update (systems, site, application, Google, Niche, etc) to PK now or wait until Jan?</x18tc:text>
  </x18tc:threadedComment>
  <x18tc:threadedComment ref="I18" dT="2025-10-03T00:38:18.00" personId="{298ce18e-383d-4b63-9127-423ce6718bdb}" id="{83ed7e4f-dade-4da3-9cfc-8798eedc2ecd}" parentId="{ededb455-60d7-4733-9a8b-326e73d9893d}">
    <x18tc:text xml:space="preserve">Let’s wait. GT is awaiting guide hiring and other components. This note was more of a heads up. I will be sure to note when/if it is official to update.</x18tc:text>
  </x18tc:threadedComment>
  <x18tc:threadedComment ref="AM2" dT="2026-01-30T16:29:50.00" personId="{41a06bdc-7b6e-4d7d-8077-bb4d2d59df4d}" id="{d949b309-96b2-4e79-a6b5-0cb93031c89c}" done="0">
    <x18tc:text xml:space="preserve">@arthur@trilogy.com @amelia.baldwin@alpha.school Is this not a TSA and we want to just call it Carrollton?</x18tc:text>
    <x18tc:mentions>
      <x18tc:mention mentionpersonId="{57259500-5a14-4ba4-b843-32512c7c5aa7}" mentionId="{af5175af-4792-4f5e-b0cf-986179911afe}" startIndex="0" length="19"/>
      <x18tc:mention mentionpersonId="{ceabeb41-7692-4dc7-a25b-b6f20b2fe9d3}" mentionId="{68f20d83-ee33-46ff-9434-4906a61d4841}" startIndex="20" length="28"/>
    </x18tc:mentions>
  </x18tc:threadedComment>
  <x18tc:threadedComment ref="AM2" dT="2026-01-31T01:47:45.00" personId="{298ce18e-383d-4b63-9127-423ce6718bdb}" id="{751e9323-f0da-4bd6-bde7-6c407aef0332}" parentId="{d949b309-96b2-4e79-a6b5-0cb93031c89c}">
    <x18tc:text xml:space="preserve">I can understand how this is confusing. This actually references an old "Alpha' school that was Carollton that was closed. Now a TSA Microschool is in Carollton.  This cell can be hidden.</x18tc:text>
  </x18tc:threadedComment>
  <x18tc:threadedComment ref="C32" dT="2025-09-25T18:46:06.00" personId="{4406f311-3a54-4798-954a-6309e28792a4}" id="{e58c4e05-6206-4fac-a3cf-f1af67c2b6eb}" done="1">
    <x18tc:text xml:space="preserve">Hiring</x18tc:text>
  </x18tc:threadedComment>
  <x18tc:threadedComment ref="D32" dT="2025-09-25T18:46:14.00" personId="{4406f311-3a54-4798-954a-6309e28792a4}" id="{9c23f34c-74ed-4309-a940-f9fb46341204}" done="1">
    <x18tc:text xml:space="preserve">Hiring</x18tc:text>
  </x18tc:threadedComment>
  <x18tc:threadedComment ref="AG18" dT="2025-12-08T12:44:39.00" personId="{dbe65a33-770c-470c-a9e1-7e91e5d977fa}" id="{deb6be90-9a6e-412e-9b20-242b8bf63ca5}" done="0">
    <x18tc:text xml:space="preserve">K-8</x18tc:text>
  </x18tc:threadedComment>
  <x18tc:threadedComment ref="T38" dT="2025-11-03T22:44:40.00" personId="{e0f9e752-4c1c-4cde-b844-7ddef95e704e}" id="{d7410927-a49d-445a-b7c9-dc17d5b38aa4}" done="1">
    <x18tc:text xml:space="preserve">@andrew.jordan@trilogy.com @kevin.kongslie@trilogy.com can this be updated?</x18tc:text>
    <x18tc:mentions>
      <x18tc:mention mentionpersonId="{416700c4-395c-4dab-9a17-b66b9d2466b9}" mentionId="{7dc294db-0710-4095-a4fb-9b88b48eeac2}" startIndex="0" length="26"/>
      <x18tc:mention mentionpersonId="{99fed3ae-d9fc-4499-a140-d5f416feee78}" mentionId="{b434db19-c1f2-4e73-9436-fda1a80804fe}" startIndex="27" length="27"/>
    </x18tc:mentions>
  </x18tc:threadedComment>
  <x18tc:threadedComment ref="T38" dT="2025-11-04T13:35:24.00" personId="{4c5eb507-591d-445a-8363-fda7c8c32862}" id="{7d4348a7-af68-446f-99fc-53fbe4bb587d}" parentId="{d7410927-a49d-445a-b7c9-dc17d5b38aa4}">
    <x18tc:text xml:space="preserve">@arthur@trilogy.com I updated to reflect our current position. We're going to add a 4th guard to the rotation (also armed) so we have more backup options, as well as more transportation monitor options as enrollment increases.</x18tc:text>
    <x18tc:mentions>
      <x18tc:mention mentionpersonId="{57259500-5a14-4ba4-b843-32512c7c5aa7}" mentionId="{b4fd6b80-0a3d-46d4-b913-fab9a85f964c}" startIndex="0" length="19"/>
    </x18tc:mentions>
  </x18tc:threadedComment>
  <x18tc:threadedComment ref="T38" dT="2025-11-04T13:36:04.00" personId="{4c5eb507-591d-445a-8363-fda7c8c32862}" id="{44501091-de88-414d-aff3-15921cdb52ff}" parentId="{d7410927-a49d-445a-b7c9-dc17d5b38aa4}">
    <x18tc:text xml:space="preserve">On any given day, we'll have at least two armed guards plus a third guard on campus, with a fourth as backup.</x18tc:text>
  </x18tc:threadedComment>
  <x18tc:threadedComment ref="Z28" dT="2025-08-27T14:25:32.00" personId="{a9cf6e79-9751-4017-90e6-a3b2941f1187}" id="{942ff914-604f-48db-98f5-137d56f12379}" done="1">
    <x18tc:text xml:space="preserve">@jan.dejager@trilogy.com - 
No EIN as disregarded entity under 2HR Learning, Inc.
Assigned to jan.dejager@trilogy.com</x18tc:text>
    <x18tc:mentions>
      <x18tc:mention mentionpersonId="{110becb3-6830-4fb5-b6ef-24fb9f29c861}" mentionId="{6a22ae1f-94dd-4add-a9f8-31a105d2db40}" startIndex="0" length="24"/>
    </x18tc:mentions>
  </x18tc:threadedComment>
  <x18tc:threadedComment ref="AD18" dT="2025-12-08T12:44:34.00" personId="{dbe65a33-770c-470c-a9e1-7e91e5d977fa}" id="{56fcd80f-5965-43d2-b8c2-4d55c5332f0e}" done="0">
    <x18tc:text xml:space="preserve">K-8</x18tc:text>
  </x18tc:threadedComment>
  <x18tc:threadedComment ref="K9" dT="2025-08-19T13:20:29.00" personId="{4e173aab-5741-4b0d-9988-4b92b8b0b67b}" id="{290ac8f2-6e2b-49d0-a647-7894d2030929}" done="1">
    <x18tc:text xml:space="preserve">Lunch not offered at Bastrop as per Kathy Ledesma</x18tc:text>
  </x18tc:threadedComment>
  <x18tc:threadedComment ref="AH18" dT="2025-12-08T12:44:47.00" personId="{dbe65a33-770c-470c-a9e1-7e91e5d977fa}" id="{ea9abd3c-0cf4-4e00-af20-7bdd263b0845}" done="0">
    <x18tc:text xml:space="preserve">K-8</x18tc:text>
  </x18tc:threadedComment>
  <x18tc:threadedComment ref="AE18" dT="2025-12-08T12:44:43.00" personId="{dbe65a33-770c-470c-a9e1-7e91e5d977fa}" id="{2ac3cd84-1d13-40f6-9e44-33d46e70f06d}" done="0">
    <x18tc:text xml:space="preserve">K-8</x18tc:text>
  </x18tc:threadedComment>
  <x18tc:threadedComment ref="A38" dT="2025-11-03T22:44:56.00" personId="{e0f9e752-4c1c-4cde-b844-7ddef95e704e}" id="{f5f71b6d-834b-4bc6-975c-1fe9d8948bc4}" done="1">
    <x18tc:text xml:space="preserve">@andrew.jordan@trilogy.com can this row be updated with the latest status?
Assigned to andrew.jordan@trilogy.com</x18tc:text>
    <x18tc:mentions>
      <x18tc:mention mentionpersonId="{416700c4-395c-4dab-9a17-b66b9d2466b9}" mentionId="{4f20d654-f4d8-47a8-94af-5482f93e6446}" startIndex="0" length="26"/>
    </x18tc:mentions>
  </x18tc:threadedComment>
  <x18tc:threadedComment ref="A38" dT="2025-12-19T16:46:51.00" personId="{4c11c253-f586-4eeb-9624-6736a7d63a76}" id="{56300f47-3c23-4106-a23f-cb738aecda5b}" parentId="{f5f71b6d-834b-4bc6-975c-1fe9d8948bc4}">
    <x18tc:text xml:space="preserve">@jake.petersen@trilogy.com Can you update 13.1, 13.2, and 13.3 with the latest information?
Reassigned to jake.petersen@trilogy.com</x18tc:text>
    <x18tc:mentions>
      <x18tc:mention mentionpersonId="{5ab5edeb-29c9-461b-afbf-5e86ce18ef6f}" mentionId="{79829105-7274-46b4-b840-a6d04587e906}" startIndex="0" length="26"/>
    </x18tc:mentions>
  </x18tc:threadedComment>
  <x18tc:threadedComment ref="A38" dT="2025-12-22T02:24:29.00" personId="{d0a8bdc4-5af0-4bd9-b4e2-82011e68e053}" id="{457b4385-2f8e-4ebe-9753-04d53ff13aff}" parentId="{f5f71b6d-834b-4bc6-975c-1fe9d8948bc4}">
    <x18tc:text xml:space="preserve">Updated</x18tc:text>
  </x18tc:threadedComment>
  <x18tc:threadedComment ref="W18" dT="2025-08-25T17:15:54.00" personId="{298ce18e-383d-4b63-9127-423ce6718bdb}" id="{54e67815-2660-4562-ad82-690b92398137}" done="1">
    <x18tc:text xml:space="preserve">@arthur@trilogy.com Updated to K-5</x18tc:text>
    <x18tc:mentions>
      <x18tc:mention mentionpersonId="{57259500-5a14-4ba4-b843-32512c7c5aa7}" mentionId="{2a81e68a-f73d-4e59-ad09-f14b2bd4359a}" startIndex="0" length="19"/>
    </x18tc:mentions>
  </x18tc:threadedComment>
  <x18tc:threadedComment ref="J9" dT="2025-08-20T20:58:34.00" personId="{298ce18e-383d-4b63-9127-423ce6718bdb}" id="{a0e362cb-ad37-4ead-b037-3b5322ba5349}" done="1">
    <x18tc:text xml:space="preserve">@arthur@trilogy.com MP said no charge for lunch this year.  Are you able to confirm from your conversation with her?
Assigned to arthur@trilogy.com</x18tc:text>
    <x18tc:mentions>
      <x18tc:mention mentionpersonId="{57259500-5a14-4ba4-b843-32512c7c5aa7}" mentionId="{4f332d68-c656-45bf-b2cf-05e7516347a1}" startIndex="0" length="19"/>
    </x18tc:mentions>
  </x18tc:threadedComment>
  <x18tc:threadedComment ref="J9" dT="2025-08-22T11:18:07.00" personId="{298ce18e-383d-4b63-9127-423ce6718bdb}" id="{09253132-488b-4c8f-b1ed-e6414b772b70}" parentId="{a0e362cb-ad37-4ead-b037-3b5322ba5349}">
    <x18tc:text xml:space="preserve">Marked as done</x18tc:text>
  </x18tc:threadedComment>
  <x18tc:threadedComment ref="J9" dT="2025-08-22T11:47:40.00" personId="{e0f9e752-4c1c-4cde-b844-7ddef95e704e}" id="{01e63da2-7ab8-4767-a7cf-3642c3017caa}" parentId="{a0e362cb-ad37-4ead-b037-3b5322ba5349}">
    <x18tc:text xml:space="preserve">Yes, this is confirmed. We will cover this year.
Re-opened</x18tc:text>
  </x18tc:threadedComment>
  <x18tc:threadedComment ref="J9" dT="2025-08-22T11:47:51.00" personId="{e0f9e752-4c1c-4cde-b844-7ddef95e704e}" id="{1a268d5d-2027-489e-b09c-9142ae65ce34}" parentId="{a0e362cb-ad37-4ead-b037-3b5322ba5349}">
    <x18tc:text xml:space="preserve">Marked as done</x18tc:text>
  </x18tc:threadedComment>
  <x18tc:threadedComment ref="J9" dT="2025-08-22T11:47:52.00" personId="{e0f9e752-4c1c-4cde-b844-7ddef95e704e}" id="{0edcfcaf-4b60-4061-9929-c440221d6507}" parentId="{a0e362cb-ad37-4ead-b037-3b5322ba5349}">
    <x18tc:text xml:space="preserve">Re-opened</x18tc:text>
  </x18tc:threadedComment>
  <x18tc:threadedComment ref="AD34" dT="2025-12-03T02:24:37.00" personId="{4406f311-3a54-4798-954a-6309e28792a4}" id="{9f546a37-3989-435c-a930-3a0f47c1fa57}" done="0">
    <x18tc:text xml:space="preserve">Hiring</x18tc:text>
  </x18tc:threadedComment>
  <x18tc:threadedComment ref="AH23" dT="2025-12-08T12:48:21.00" personId="{dbe65a33-770c-470c-a9e1-7e91e5d977fa}" id="{d40f719b-1cbb-400b-935c-e3c3a3937e7d}" done="1">
    <x18tc:text xml:space="preserve">Vela, 150 Lake St S, Kirkland, WA 98033</x18tc:text>
  </x18tc:threadedComment>
  <x18tc:threadedComment ref="AC34" dT="2025-12-03T02:24:33.00" personId="{4406f311-3a54-4798-954a-6309e28792a4}" id="{3184834c-3215-420e-994c-459426d47459}" done="1">
    <x18tc:text xml:space="preserve">Hiring</x18tc:text>
  </x18tc:threadedComment>
  <x18tc:threadedComment ref="AC18" dT="2025-12-08T12:44:28.00" personId="{dbe65a33-770c-470c-a9e1-7e91e5d977fa}" id="{0931e0ee-860a-45ac-8670-e6091ad76b9a}" done="0">
    <x18tc:text xml:space="preserve">K-8</x18tc:text>
  </x18tc:threadedComment>
  <x18tc:threadedComment ref="AE34" dT="2025-12-03T02:25:03.00" personId="{4406f311-3a54-4798-954a-6309e28792a4}" id="{60784977-77bc-4742-b73e-8bf5c1cd11d9}" done="0">
    <x18tc:text xml:space="preserve">Hiring</x18tc:text>
  </x18tc:threadedComment>
  <x18tc:threadedComment ref="AE34" dT="2026-01-04T20:44:49.00" personId="{4406f311-3a54-4798-954a-6309e28792a4}" id="{87bcefaa-3f62-4c33-b31b-e201f6e6ca97}" parentId="{60784977-77bc-4742-b73e-8bf5c1cd11d9}">
    <x18tc:text xml:space="preserve">Sarah Moore</x18tc:text>
  </x18tc:threadedComment>
  <x18tc:threadedComment ref="V9" dT="2025-08-19T13:23:07.00" personId="{4e173aab-5741-4b0d-9988-4b92b8b0b67b}" id="{b475ddf6-d424-48cf-b634-b1aa833430d0}" done="1">
    <x18tc:text xml:space="preserve">Lunch not offered until enrollment numbers increase as per Tasha</x18tc:text>
  </x18tc:threadedComment>
  <x18tc:threadedComment ref="AG23" dT="2026-01-12T15:27:36.00" personId="{7820e791-5943-4f6e-baf1-153e740ed679}" id="{fa582fec-189b-4d50-baae-b160dc6dccd4}" done="0">
    <x18tc:text xml:space="preserve">Needs to be updated: 1169 Canton St, Suite 2, Roswell, GA 30075</x18tc:text>
  </x18tc:threadedComment>
  <x18tc:threadedComment ref="AG34" dT="2025-12-03T02:24:42.00" personId="{4406f311-3a54-4798-954a-6309e28792a4}" id="{36472e0d-eb94-437f-9894-e1c7cb1ca4da}" done="0">
    <x18tc:text xml:space="preserve">Hiring</x18tc:text>
  </x18tc:threadedComment>
  <x18tc:threadedComment ref="N28" dT="2025-08-27T14:25:18.00" personId="{a9cf6e79-9751-4017-90e6-a3b2941f1187}" id="{ea95a154-3ae3-4d5c-a3c7-25e22365527f}" done="1">
    <x18tc:text xml:space="preserve">@jan.dejager@trilogy.com - 
No EIN as disregarded entity under 2HR Learning, Inc.
Assigned to jan.dejager@trilogy.com</x18tc:text>
    <x18tc:mentions>
      <x18tc:mention mentionpersonId="{110becb3-6830-4fb5-b6ef-24fb9f29c861}" mentionId="{a5d7294c-7194-4eac-a7cc-8be73c3c1df3}" startIndex="0" length="24"/>
    </x18tc:mentions>
  </x18tc:threadedComment>
  <x18tc:threadedComment ref="A11" dT="2025-06-17T18:43:49.00" personId="{298ce18e-383d-4b63-9127-423ce6718bdb}" id="{f6eae160-7545-456f-a680-563c90d7d3a3}" done="1">
    <x18tc:text xml:space="preserve">What is this row to reference? @jan.dejager@trilogy.com</x18tc:text>
    <x18tc:mentions>
      <x18tc:mention mentionpersonId="{110becb3-6830-4fb5-b6ef-24fb9f29c861}" mentionId="{34876079-520f-4822-80ef-dec865c04198}" startIndex="31" length="24"/>
    </x18tc:mentions>
  </x18tc:threadedComment>
  <x18tc:threadedComment ref="A11" dT="2025-06-18T06:26:44.00" personId="{5495796c-803e-4d04-839b-a9c969210ec0}" id="{61e277bf-f79a-414e-8374-d309768018bf}" parentId="{f6eae160-7545-456f-a680-563c90d7d3a3}">
    <x18tc:text xml:space="preserve">It is meant as a Header for the discounts 1-5 listed below. I have renumbered it to be clearer</x18tc:text>
  </x18tc:threadedComment>
  <x18tc:threadedComment ref="M8" dT="2025-06-23T21:25:55.00" personId="{298ce18e-383d-4b63-9127-423ce6718bdb}" id="{33a63ffd-d2a2-442e-9985-52a3df2f1a1e}" done="1">
    <x18tc:text xml:space="preserve">Bryan says tuition set with Neeraj. Questions from Bryan - Will this location receive FF for first 25? Do Hog Heaven members get a specialized rate? Note: HH will be co-marketing because they have incentive to increase enrollment numbers as well b/c we pay a certain amount per kid per year. @jan.dejager@trilogy.com</x18tc:text>
    <x18tc:mentions>
      <x18tc:mention mentionpersonId="{110becb3-6830-4fb5-b6ef-24fb9f29c861}" mentionId="{6da01c96-3f4a-4090-aa9f-ac63c21e203c}" startIndex="292" length="24"/>
    </x18tc:mentions>
  </x18tc:threadedComment>
  <x18tc:threadedComment ref="M8" dT="2025-07-01T15:19:57.00" personId="{5495796c-803e-4d04-839b-a9c969210ec0}" id="{36a2a372-59fc-4115-b14d-cd3fec15610c}" parentId="{33a63ffd-d2a2-442e-9985-52a3df2f1a1e}">
    <x18tc:text xml:space="preserve">@david.harpur@trilogy.com @arthur@trilogy.com - should I check with Neeraj on this - I am not aware of FF or special HH rate</x18tc:text>
    <x18tc:mentions>
      <x18tc:mention mentionpersonId="{9ecbeea8-b78f-49ff-a39c-eac4a37185dc}" mentionId="{829a40a1-b5b4-4509-9855-a7bba4ce34f8}" startIndex="0" length="25"/>
      <x18tc:mention mentionpersonId="{57259500-5a14-4ba4-b843-32512c7c5aa7}" mentionId="{21a69dc7-ae5a-4e56-9e37-ab44a560c584}" startIndex="26" length="19"/>
    </x18tc:mentions>
  </x18tc:threadedComment>
  <x18tc:threadedComment ref="M8" dT="2025-07-08T09:57:40.00" personId="{298ce18e-383d-4b63-9127-423ce6718bdb}" id="{e59b87a3-efd7-4dfb-b47b-a920658cce6c}" parentId="{33a63ffd-d2a2-442e-9985-52a3df2f1a1e}">
    <x18tc:text xml:space="preserve">Waypoint has a parent event this week. Can we get information to if this location has 25 FF? @arthur@trilogy.com</x18tc:text>
    <x18tc:mentions>
      <x18tc:mention mentionpersonId="{57259500-5a14-4ba4-b843-32512c7c5aa7}" mentionId="{3abc53c0-dbca-48be-a420-a96e2c844e03}" startIndex="93" length="19"/>
    </x18tc:mentions>
  </x18tc:threadedComment>
  <x18tc:threadedComment ref="M8" dT="2025-07-14T00:05:05.00" personId="{e0f9e752-4c1c-4cde-b844-7ddef95e704e}" id="{e7f9d5b5-22bc-45eb-8da9-7edae2627ddb}" parentId="{33a63ffd-d2a2-442e-9985-52a3df2f1a1e}">
    <x18tc:text xml:space="preserve">@neeraj.gupta@trilogy.com @david.harpur@trilogy.com do you know pls?</x18tc:text>
    <x18tc:mentions>
      <x18tc:mention mentionpersonId="{81aaf11f-139b-4989-8bb4-8440255e407f}" mentionId="{58aab556-8b43-4a0d-8984-027aa4794025}" startIndex="0" length="25"/>
      <x18tc:mention mentionpersonId="{9ecbeea8-b78f-49ff-a39c-eac4a37185dc}" mentionId="{6f67fad7-a3cb-432f-9c63-c1cb68158701}" startIndex="26" length="25"/>
    </x18tc:mentions>
  </x18tc:threadedComment>
  <x18tc:threadedComment ref="M8" dT="2025-07-14T00:20:12.00" personId="{bd2d1284-c68b-446a-9933-a836997f422e}" id="{0ecc0f02-14ba-4eda-908e-265bc3f15ec8}" parentId="{33a63ffd-d2a2-442e-9985-52a3df2f1a1e}">
    <x18tc:text xml:space="preserve">Their model is $30k.  Their model did not have a discount for anybody for any purpose.</x18tc:text>
  </x18tc:threadedComment>
  <x18tc:threadedComment ref="N34" dT="2025-09-11T20:02:15.00" personId="{4406f311-3a54-4798-954a-6309e28792a4}" id="{642d2bf5-bbc2-41e8-966b-16673926a8fb}" done="1">
    <x18tc:text xml:space="preserve">To increase speed-to-hire here, we'd like to advertise this separately targeting Montessori. Can we use the Montessorium brand publicly?</x18tc:text>
  </x18tc:threadedComment>
  <x18tc:threadedComment ref="N34" dT="2025-09-22T17:46:51.00" personId="{e0f9e752-4c1c-4cde-b844-7ddef95e704e}" id="{b3f49cab-dca3-4424-9bd3-a04b6a7eac97}" parentId="{642d2bf5-bbc2-41e8-966b-16673926a8fb}">
    <x18tc:text xml:space="preserve">It's here - i don't see why not? Want to ping Laura Mazer to confirm? https://montessorium.com/</x18tc:text>
    <x18tc:extLst>
      <ext uri="{F7C98A9C-CBB3-438F-8F68-D28B6AF4A901}">
        <xltc2:checksum/>
        <xltc2:hyperlink startIndex="70" length="25" url="https://montessorium.com/"/>
      </ext>
    </x18tc:extLst>
  </x18tc:threadedComment>
  <x18tc:threadedComment ref="N34" dT="2025-09-22T17:48:40.00" personId="{4406f311-3a54-4798-954a-6309e28792a4}" id="{c20952ae-4868-4959-af2f-6dc3f04881ea}" parentId="{642d2bf5-bbc2-41e8-966b-16673926a8fb}">
    <x18tc:text xml:space="preserve">Is Montessorium part of ESW or still separate? (matters for LinkedIn)</x18tc:text>
  </x18tc:threadedComment>
  <x18tc:threadedComment ref="AH8" dT="2025-12-08T12:46:40.00" personId="{dbe65a33-770c-470c-a9e1-7e91e5d977fa}" id="{17b91208-fc1a-4a98-ad1a-37d21b3f2225}" done="1">
    <x18tc:text xml:space="preserve">$50,000</x18tc:text>
  </x18tc:threadedComment>
  <x18tc:threadedComment ref="AE8" dT="2025-12-08T12:46:32.00" personId="{dbe65a33-770c-470c-a9e1-7e91e5d977fa}" id="{f3730a39-0d79-4079-bdc4-6379fd01063f}" done="1">
    <x18tc:text xml:space="preserve">$50,000</x18tc:text>
  </x18tc:threadedComment>
  <x18tc:threadedComment ref="AB2" dT="2026-01-30T18:43:01.00" personId="{e0f9e752-4c1c-4cde-b844-7ddef95e704e}" id="{d50ef862-e439-4e87-b383-703e22559317}" done="1">
    <x18tc:text xml:space="preserve">@jc.fischer@trilogy.com @amelia.baldwin@2hourlearning.com this should be "Alpha School Chicago" i think?</x18tc:text>
    <x18tc:mentions>
      <x18tc:mention mentionpersonId="{a85e4ea7-c011-42a5-a6be-4cb6fa744464}" mentionId="{e2a4a6cf-a9ac-4372-81fa-9d5835754ec0}" startIndex="0" length="23"/>
      <x18tc:mention mentionpersonId="{26c64a12-5973-456f-9f23-4c2c69dc7a7f}" mentionId="{b306dc76-cb86-4856-a1d6-768e9515a351}" startIndex="24" length="33"/>
    </x18tc:mentions>
  </x18tc:threadedComment>
  <x18tc:threadedComment ref="AB2" dT="2026-01-31T01:43:51.00" personId="{298ce18e-383d-4b63-9127-423ce6718bdb}" id="{95d39be3-da67-4915-87e8-e7ff6572e56e}" parentId="{d50ef862-e439-4e87-b383-703e22559317}">
    <x18tc:text xml:space="preserve">For Ops, yes, I believe so.  Otherwise, our comms from Marketing is that it is Alpha [Location].</x18tc:text>
  </x18tc:threadedComment>
  <x18tc:threadedComment ref="AD23" dT="2025-12-08T12:47:44.00" personId="{dbe65a33-770c-470c-a9e1-7e91e5d977fa}" id="{fa6badc5-6544-46b2-8dc6-a809cb2685d7}" done="1">
    <x18tc:text xml:space="preserve">5201 Park Blvd, Piedmont, CA 94611</x18tc:text>
  </x18tc:threadedComment>
  <x18tc:threadedComment ref="AJ32" dT="2026-02-02T18:05:57.00" personId="{4406f311-3a54-4798-954a-6309e28792a4}" id="{9a711c7f-2fe1-48c6-9dfb-adc961179232}" done="0">
    <x18tc:text xml:space="preserve">Hiring ADOP</x18tc:text>
  </x18tc:threadedComment>
  <x18tc:threadedComment ref="U34" dT="2025-09-11T19:52:04.00" personId="{4406f311-3a54-4798-954a-6309e28792a4}" id="{810edec4-e139-4b41-bc46-92b29103117c}" done="1">
    <x18tc:text xml:space="preserve">Pending hire. Still needs to take PCCAT &amp; finalize onboarding. (Cody Hartley)</x18tc:text>
  </x18tc:threadedComment>
  <x18tc:threadedComment ref="U34" dT="2025-09-22T17:45:55.00" personId="{e0f9e752-4c1c-4cde-b844-7ddef95e704e}" id="{c6dc4924-5b8c-4b28-b95d-28aba3dad4b9}" parentId="{810edec4-e139-4b41-bc46-92b29103117c}">
    <x18tc:text xml:space="preserve">@heather.lother@crossover.com good to put info here now? @andrew.jordan@trilogy.com</x18tc:text>
    <x18tc:mentions>
      <x18tc:mention mentionpersonId="{6ae5b66f-f600-48d7-8f4d-e68e56c9d730}" mentionId="{fccdda3d-0f3b-49c6-83a8-4e81e9d8c3f6}" startIndex="0" length="29"/>
      <x18tc:mention mentionpersonId="{416700c4-395c-4dab-9a17-b66b9d2466b9}" mentionId="{adb2eb57-c655-42d1-92bd-3d6f2edf3467}" startIndex="57" length="26"/>
    </x18tc:mentions>
  </x18tc:threadedComment>
  <x18tc:threadedComment ref="U34" dT="2025-09-22T17:56:23.00" personId="{4406f311-3a54-4798-954a-6309e28792a4}" id="{411e5868-8326-4753-9583-6826b1ebdcbd}" parentId="{810edec4-e139-4b41-bc46-92b29103117c}">
    <x18tc:text xml:space="preserve">No. Cody's insisting on a campus visit pre-PCCAT and Jordan is weighing pulling the offer and send to someone else (Kele).</x18tc:text>
  </x18tc:threadedComment>
  <x18tc:threadedComment ref="AC23" dT="2025-12-08T12:47:34.00" personId="{dbe65a33-770c-470c-a9e1-7e91e5d977fa}" id="{d9d4a297-a3df-4946-b12b-78281bd121ed}" done="1">
    <x18tc:text xml:space="preserve">4260 El Camino Real, Palo Alto, CA 94306</x18tc:text>
  </x18tc:threadedComment>
  <x18tc:threadedComment ref="AL26" dT="2025-07-01T12:56:06.00" personId="{e2ed396f-1980-4917-9227-7155178975f6}" id="{00c10dca-8e53-42d8-80e3-35247363135e}" done="1">
    <x18tc:text xml:space="preserve">Alpha Anywhere is not a school. It is curriculum software for homeschool families. The online private school is Novatio (led by Ivy Xu).</x18tc:text>
  </x18tc:threadedComment>
  <x18tc:threadedComment ref="AI32" dT="2026-01-19T19:59:56.00" personId="{4406f311-3a54-4798-954a-6309e28792a4}" id="{abd463a9-eda3-4e58-a6bc-dd23ae762954}" done="0">
    <x18tc:text xml:space="preserve">Hiring ADOP</x18tc:text>
  </x18tc:threadedComment>
  <x18tc:threadedComment ref="AD8" dT="2025-12-08T12:45:43.00" personId="{dbe65a33-770c-470c-a9e1-7e91e5d977fa}" id="{a3019027-dd23-4a29-b000-4ba88ac476e7}" done="1">
    <x18tc:text xml:space="preserve">$75,000</x18tc:text>
  </x18tc:threadedComment>
  <x18tc:threadedComment ref="W38" dT="2025-09-29T17:22:24.00" personId="{e0f9e752-4c1c-4cde-b844-7ddef95e704e}" id="{941c58b1-68d2-4b3f-8e31-0aff0f019829}" done="1">
    <x18tc:text xml:space="preserve">@andrew.jordan@trilogy.com @joshua.rockers@trilogy.com who approved this hiring?  This goes against our tiering right?
Assigned to andrew.jordan@trilogy.com</x18tc:text>
    <x18tc:mentions>
      <x18tc:mention mentionpersonId="{416700c4-395c-4dab-9a17-b66b9d2466b9}" mentionId="{ff0348da-130f-4036-951f-4e48186dd654}" startIndex="0" length="26"/>
      <x18tc:mention mentionpersonId="{ef469d49-2be3-4bba-b1a1-51abddb1b250}" mentionId="{5f4365e6-f231-4d8d-bfd1-29935518af57}" startIndex="27" length="27"/>
    </x18tc:mentions>
  </x18tc:threadedComment>
  <x18tc:threadedComment ref="B35" dT="2025-08-26T02:34:19.00" personId="{e0f9e752-4c1c-4cde-b844-7ddef95e704e}" id="{cddb522b-9a9a-4f36-a83c-05807e32d4ae}" done="1">
    <x18tc:text xml:space="preserve">@andrew.jordan@trilogy.com wouldn't the newest campuses have someone else assigned until they get to "sustain"?
Assigned to andrew.jordan@trilogy.com</x18tc:text>
    <x18tc:mentions>
      <x18tc:mention mentionpersonId="{416700c4-395c-4dab-9a17-b66b9d2466b9}" mentionId="{7c2bed58-e9af-4d2c-ac94-4e6e6a2f4889}" startIndex="0" length="26"/>
    </x18tc:mentions>
  </x18tc:threadedComment>
  <x18tc:threadedComment ref="B35" dT="2025-08-26T04:15:44.00" personId="{7eb13349-0232-4341-b092-fb43a44a63cc}" id="{299aa3e0-435d-4a57-b6a6-9dcdcbc73ede}" parentId="{cddb522b-9a9a-4f36-a83c-05807e32d4ae}">
    <x18tc:text xml:space="preserve">Still missing some phone numbers but the emails and DRIs are up to date</x18tc:text>
  </x18tc:threadedComment>
  <x18tc:threadedComment ref="F24" dT="2025-12-11T18:14:43.00" personId="{e0f9e752-4c1c-4cde-b844-7ddef95e704e}" id="{f5ab23a8-2743-4679-acb4-c1b068e8b37f}" done="0">
    <x18tc:text xml:space="preserve">@greg.foote@trilogy.com @jc.fischer@trilogy.com this is coming up with Heather today. She’s being told it’s 44 and they need new space as a result?
Assigned to greg.foote@trilogy.com</x18tc:text>
    <x18tc:mentions>
      <x18tc:mention mentionpersonId="{5cc5aeb8-ba9d-4660-8c1a-50b19e6deb45}" mentionId="{018e77ea-7e92-4870-a352-b877f87e914e}" startIndex="0" length="23"/>
      <x18tc:mention mentionpersonId="{a85e4ea7-c011-42a5-a6be-4cb6fa744464}" mentionId="{010c3708-696f-4cd7-a655-c4102d947623}" startIndex="24" length="23"/>
    </x18tc:mentions>
  </x18tc:threadedComment>
  <x18tc:threadedComment ref="F24" dT="2025-12-11T18:19:47.00" personId="{41a06bdc-7b6e-4d7d-8077-bb4d2d59df4d}" id="{2e01c87c-625b-479c-a906-115d6ccc911e}" parentId="{f5ab23a8-2743-4679-acb4-c1b068e8b37f}">
    <x18tc:text xml:space="preserve">There's no matterport/floor plan. Want to get it?
There is 4471 gross (44 is the cap) and 3300 net learning (55 is the cap) from months ago. 
The calc is "the lesser of 60/student net learning or 100 gross/student."</x18tc:text>
  </x18tc:threadedComment>
  <x18tc:threadedComment ref="F24" dT="2025-12-11T18:35:35.00" personId="{e0f9e752-4c1c-4cde-b844-7ddef95e704e}" id="{40a166a9-94bd-480c-ba09-e74a5185f308}" parentId="{f5ab23a8-2743-4679-acb4-c1b068e8b37f}">
    <x18tc:text xml:space="preserve">I thought we were supposed to have matterport and floor plans for every school as part of our process? Yes we should pls</x18tc:text>
  </x18tc:threadedComment>
  <x18tc:threadedComment ref="F24" dT="2025-12-11T18:36:04.00" personId="{e0f9e752-4c1c-4cde-b844-7ddef95e704e}" id="{43cf50b5-c6f6-4b24-b775-ecbb6253679e}" parentId="{f5ab23a8-2743-4679-acb4-c1b068e8b37f}">
    <x18tc:text xml:space="preserve">Ok then why showing 55 here? Should be 44 right?</x18tc:text>
  </x18tc:threadedComment>
  <x18tc:threadedComment ref="F24" dT="2025-12-11T18:36:08.00" personId="{41a06bdc-7b6e-4d7d-8077-bb4d2d59df4d}" id="{5938afa1-ae2b-4952-9a4a-20ebc27f53d0}" parentId="{f5ab23a8-2743-4679-acb4-c1b068e8b37f}">
    <x18tc:text xml:space="preserve">well that school was built and opened beforehand. is this autho
Marked as done</x18tc:text>
  </x18tc:threadedComment>
  <x18tc:threadedComment ref="F24" dT="2025-12-11T18:36:32.00" personId="{41a06bdc-7b6e-4d7d-8077-bb4d2d59df4d}" id="{6b447e59-6064-48e6-a488-66405a5b4ad4}" parentId="{f5ab23a8-2743-4679-acb4-c1b068e8b37f}">
    <x18tc:text xml:space="preserve">authorization to go reimport all schools?
Re-opened</x18tc:text>
  </x18tc:threadedComment>
  <x18tc:threadedComment ref="F24" dT="2025-12-11T18:37:32.00" personId="{41a06bdc-7b6e-4d7d-8077-bb4d2d59df4d}" id="{2b79996e-a24f-4bd4-9ef2-d7bfb1135de7}" parentId="{f5ab23a8-2743-4679-acb4-c1b068e8b37f}">
    <x18tc:text xml:space="preserve">because I am trying to get a floorplan to actually validate it before I say it was wrong based on numbers someone remembers vs a floor plan we did our calc on</x18tc:text>
  </x18tc:threadedComment>
  <x18tc:threadedComment ref="F24" dT="2025-12-11T19:01:36.00" personId="{e0f9e752-4c1c-4cde-b844-7ddef95e704e}" id="{f9e3ab9d-7374-43fa-9ad9-373768824052}" parentId="{f5ab23a8-2743-4679-acb4-c1b068e8b37f}">
    <x18tc:text xml:space="preserve">Yes approved</x18tc:text>
  </x18tc:threadedComment>
  <x18tc:threadedComment ref="Z32" dT="2025-09-11T20:18:41.00" personId="{4406f311-3a54-4798-954a-6309e28792a4}" id="{377eaac5-6746-4c0e-805f-26551b0d6bb0}" done="0">
    <x18tc:text xml:space="preserve">Hiring</x18tc:text>
  </x18tc:threadedComment>
  <x18tc:threadedComment ref="AA32" dT="2026-01-19T20:00:00.00" personId="{4406f311-3a54-4798-954a-6309e28792a4}" id="{d18317e9-6699-4fe2-9022-6c269a7dcabe}" done="0">
    <x18tc:text xml:space="preserve">Hiring ADOP</x18tc:text>
  </x18tc:threadedComment>
  <x18tc:threadedComment ref="AC8" dT="2025-12-08T12:45:29.00" personId="{dbe65a33-770c-470c-a9e1-7e91e5d977fa}" id="{656ee0ea-0ff0-45e0-8c4a-87cce18a974f}" done="1">
    <x18tc:text xml:space="preserve">$65,000</x18tc:text>
  </x18tc:threadedComment>
  <x18tc:threadedComment ref="M24" dT="2025-09-17T00:02:55.00" personId="{e0f9e752-4c1c-4cde-b844-7ddef95e704e}" id="{317c55a9-a474-41c7-9987-9861950f4f55}" done="0">
    <x18tc:text xml:space="preserve">@andrew.jordan@trilogy.com @zack.lamb@2hourlearning.com @jc.fischer@trilogy.com didn't we want to fill all of this out based on our conversation today? I would also make sure we document our assumptions in the capacity formula doc so we remember what we did.
Assigned to andrew.jordan@trilogy.com</x18tc:text>
    <x18tc:mentions>
      <x18tc:mention mentionpersonId="{416700c4-395c-4dab-9a17-b66b9d2466b9}" mentionId="{3cbab663-ff51-407f-9058-6977b5ded846}" startIndex="0" length="26"/>
      <x18tc:mention mentionpersonId="{f8e572d5-b4b6-45c3-8580-232b6ef83e7a}" mentionId="{17bdbcb4-12a9-4649-8e4e-9fc7bfe5402d}" startIndex="27" length="28"/>
      <x18tc:mention mentionpersonId="{a85e4ea7-c011-42a5-a6be-4cb6fa744464}" mentionId="{4b06b1af-4e3e-485c-bc93-39be55c2cc80}" startIndex="56" length="23"/>
    </x18tc:mentions>
  </x18tc:threadedComment>
  <x18tc:threadedComment ref="M24" dT="2025-09-17T02:41:29.00" personId="{7eb13349-0232-4341-b092-fb43a44a63cc}" id="{ed5057c9-4b83-4be3-af21-598e4e7978de}" parentId="{317c55a9-a474-41c7-9987-9861950f4f55}">
    <x18tc:text xml:space="preserve">Updated except for the numbers that I am waiting on for finance. Need to order matterport for Brownsville as well.</x18tc:text>
  </x18tc:threadedComment>
  <x18tc:threadedComment ref="F7" dT="2025-09-12T19:45:44.00" personId="{e0f9e752-4c1c-4cde-b844-7ddef95e704e}" id="{d8f6e416-82f9-4625-925d-dbe6913e2fc3}" done="0">
    <x18tc:text xml:space="preserve">@stefanie.baduria@alpha.school I changed this here.</x18tc:text>
    <x18tc:mentions>
      <x18tc:mention mentionpersonId="{957ab0aa-4a5a-4047-ba5d-6ecbe7f477b2}" mentionId="{c943e907-c9d1-4e01-b555-ef74f97002b9}" startIndex="0" length="30"/>
    </x18tc:mentions>
  </x18tc:threadedComment>
  <x18tc:threadedComment ref="F7" dT="2025-09-12T19:55:35.00" personId="{62b87bdf-f3d1-47d1-823b-4967c0fe4d61}" id="{81780a03-d4ce-4bfe-bef5-852a81eb8deb}" parentId="{d8f6e416-82f9-4625-925d-dbe6913e2fc3}">
    <x18tc:text xml:space="preserve">ya BTX is technically budgeted like an Alpha, I believe, but Paige likes to run it lean, like a low cost model bc it does charge less tuition and she's bullish to prove our model in the low cost environment (so she can build a school for gigafactory workers' kids, for example)</x18tc:text>
  </x18tc:threadedComment>
  <x18tc:threadedComment ref="K13" dT="2025-07-01T12:48:24.00" personId="{e2ed396f-1980-4917-9227-7155178975f6}" id="{f1201ac2-c125-4d68-bee7-2ee60b70b697}" done="1">
    <x18tc:text xml:space="preserve">@david.harpur@trilogy.com @brian.baucher@trilogy.com There are two Valenta schools in Bastrop. One is a private school, the other a charter school that is seeking approval from the state. Valenta Academy is the charter school nonprofit entity. Tuition will be free. Only the private school charges tuition (or accepts ESA vouchers). I don’t know which entity operates the private school, but it is different from the charter nonprofit.</x18tc:text>
    <x18tc:mentions>
      <x18tc:mention mentionpersonId="{9ecbeea8-b78f-49ff-a39c-eac4a37185dc}" mentionId="{e0c4db47-0aa3-4121-9396-091538e44c99}" startIndex="0" length="25"/>
      <x18tc:mention mentionpersonId="{53e62665-d5ac-4ea0-8a2a-442e7dc7d89c}" mentionId="{0ff94ba4-adfd-4177-81b0-a6c3322af840}" startIndex="26" length="26"/>
    </x18tc:mentions>
  </x18tc:threadedComment>
  <x18tc:threadedComment ref="K13" dT="2025-07-15T14:40:58.00" personId="{ca9de7f2-f71e-484f-a07d-306d53649393}" id="{f5b39ce5-b94e-4877-80d8-be5dd79aebb8}" parentId="{f1201ac2-c125-4d68-bee7-2ee60b70b697}">
    <x18tc:text xml:space="preserve">@jan.dejager@trilogy.com - can we address this?</x18tc:text>
    <x18tc:mentions>
      <x18tc:mention mentionpersonId="{110becb3-6830-4fb5-b6ef-24fb9f29c861}" mentionId="{11971d99-db6d-478f-b178-b6a20a131a40}" startIndex="0" length="24"/>
    </x18tc:mentions>
  </x18tc:threadedComment>
  <x18tc:threadedComment ref="K13" dT="2025-07-16T15:42:36.00" personId="{298ce18e-383d-4b63-9127-423ce6718bdb}" id="{faedcfa6-5857-46ee-b187-5a1410235522}" parentId="{f1201ac2-c125-4d68-bee7-2ee60b70b697}">
    <x18tc:text xml:space="preserve">Marked as resolved</x18tc:text>
  </x18tc:threadedComment>
  <x18tc:threadedComment ref="K13" dT="2025-07-16T15:50:06.00" personId="{ca9de7f2-f71e-484f-a07d-306d53649393}" id="{0ac66b3b-a7d8-4254-8464-413960c1bcfb}" parentId="{f1201ac2-c125-4d68-bee7-2ee60b70b697}">
    <x18tc:text xml:space="preserve">is this resolved?
Re-opened</x18tc:text>
  </x18tc:threadedComment>
  <x18tc:threadedComment ref="K13" dT="2025-07-16T16:21:28.00" personId="{298ce18e-383d-4b63-9127-423ce6718bdb}" id="{3203b6f4-a052-466e-aa47-60eec6737791}" parentId="{f1201ac2-c125-4d68-bee7-2ee60b70b697}">
    <x18tc:text xml:space="preserve">yes</x18tc:text>
  </x18tc:threadedComment>
  <x18tc:threadedComment ref="K13" dT="2025-07-16T16:22:31.00" personId="{298ce18e-383d-4b63-9127-423ce6718bdb}" id="{0bb9eb79-d6f8-423f-a8c4-0538e4e18d49}" parentId="{f1201ac2-c125-4d68-bee7-2ee60b70b697}">
    <x18tc:text xml:space="preserve">No FF.  ESA can be used.</x18tc:text>
  </x18tc:threadedComment>
  <x18tc:threadedComment ref="AA37" dT="2026-02-09T16:25:39.00" personId="{d0a8bdc4-5af0-4bd9-b4e2-82011e68e053}" id="{2a878132-0efa-4b6f-815f-e9aa245de824}" done="0">
    <x18tc:text xml:space="preserve">@andrew.jordan@trilogy.com @samuel.andrerson@trilogy.com FYSA</x18tc:text>
    <x18tc:mentions>
      <x18tc:mention mentionpersonId="{416700c4-395c-4dab-9a17-b66b9d2466b9}" mentionId="{c70c590e-da22-40b9-becc-3ca867e04596}" startIndex="0" length="26"/>
      <x18tc:mention mentionpersonId="{5db744c2-1590-408e-91da-9c9b3a16bab8}" mentionId="{0c727167-fad7-4c08-8842-0b637ef9741a}" startIndex="27" length="29"/>
    </x18tc:mentions>
  </x18tc:threadedComment>
  <x18tc:threadedComment ref="AF32" dT="2026-01-19T20:00:20.00" personId="{4406f311-3a54-4798-954a-6309e28792a4}" id="{7648ce4a-c899-4a39-b7ca-dda1055a3a9c}" done="0">
    <x18tc:text xml:space="preserve">Hiring ADOP</x18tc:text>
  </x18tc:threadedComment>
  <x18tc:threadedComment ref="AF32" dT="2026-02-02T18:01:22.00" personId="{4406f311-3a54-4798-954a-6309e28792a4}" id="{9c139025-d077-4af1-94e0-6c0e0d1bc2e6}" parentId="{7648ce4a-c899-4a39-b7ca-dda1055a3a9c}">
    <x18tc:text xml:space="preserve">Hired: Kevin Corken; start date: 3.9.2026
Please Update</x18tc:text>
  </x18tc:threadedComment>
  <x18tc:threadedComment ref="M13" dT="2025-07-01T18:21:06.00" personId="{298ce18e-383d-4b63-9127-423ce6718bdb}" id="{2efbef2e-2bb0-476f-b311-9bc35ea5cd40}" done="1">
    <x18tc:text xml:space="preserve">Has this been confirmed that it is not going to be offered? I thought WP was getting the 10k FF as well. @jan.dejager@trilogy.com</x18tc:text>
    <x18tc:mentions>
      <x18tc:mention mentionpersonId="{110becb3-6830-4fb5-b6ef-24fb9f29c861}" mentionId="{d988468d-b2a0-4fcb-8c72-4c16d94c6a62}" startIndex="105" length="24"/>
    </x18tc:mentions>
  </x18tc:threadedComment>
  <x18tc:threadedComment ref="AG8" dT="2025-12-08T12:46:02.00" personId="{dbe65a33-770c-470c-a9e1-7e91e5d977fa}" id="{8aaeeea1-4c2f-4370-9d4d-f8a40b7ca7f0}" done="1">
    <x18tc:text xml:space="preserve">$40,000</x18tc:text>
  </x18tc:threadedComment>
  <x18tc:threadedComment ref="AA18" dT="2025-11-06T15:36:52.00" personId="{298ce18e-383d-4b63-9127-423ce6718bdb}" id="{3187a479-a0b4-4041-b4f6-e4a9367a3918}" done="1">
    <x18tc:text xml:space="preserve">this is now K-8 @donnie.yee@trilogy.com @arthur@trilogy.com @dmitry.bakaev@trilogy.com</x18tc:text>
    <x18tc:mentions>
      <x18tc:mention mentionpersonId="{89c5b50c-ba7f-4dc2-ac4a-2d16e711229b}" mentionId="{297d1b3a-1372-4704-bbb7-ead0a10f6d4f}" startIndex="16" length="23"/>
      <x18tc:mention mentionpersonId="{57259500-5a14-4ba4-b843-32512c7c5aa7}" mentionId="{122819eb-b717-412d-9ae3-c42aaa70d6ec}" startIndex="40" length="19"/>
      <x18tc:mention mentionpersonId="{0511c2dd-e4a6-4511-b1b6-b40f169ad9e9}" mentionId="{bf37fc0d-3264-4cbd-9bb0-ae3c4fa5b325}" startIndex="60" length="26"/>
    </x18tc:mentions>
  </x18tc:threadedComment>
  <x18tc:threadedComment ref="Q32" dT="2025-09-11T20:18:00.00" personId="{4406f311-3a54-4798-954a-6309e28792a4}" id="{9a97ac84-e6e1-4f11-9a5e-fc4beb9a176a}" done="1">
    <x18tc:text xml:space="preserve">Hiring</x18tc:text>
  </x18tc:threadedComment>
  <x18tc:threadedComment ref="Q32" dT="2025-10-07T16:31:37.00" personId="{4406f311-3a54-4798-954a-6309e28792a4}" id="{ef13e0fc-91db-46ba-84bf-ee9f0124f3ac}" parentId="{9a97ac84-e6e1-4f11-9a5e-fc4beb9a176a}">
    <x18tc:text xml:space="preserve">@jan.dejager@trilogy.com - plz update to (Hiring ADOP)</x18tc:text>
    <x18tc:mentions>
      <x18tc:mention mentionpersonId="{110becb3-6830-4fb5-b6ef-24fb9f29c861}" mentionId="{7e343811-0a9c-49de-b4be-6747ac8848c7}" startIndex="0" length="24"/>
    </x18tc:mentions>
  </x18tc:threadedComment>
  <x18tc:threadedComment ref="Q32" dT="2025-10-08T08:59:31.00" personId="{5495796c-803e-4d04-839b-a9c969210ec0}" id="{3ea10d51-a2b4-46d8-acb1-0002e4f3d269}" parentId="{9a97ac84-e6e1-4f11-9a5e-fc4beb9a176a}">
    <x18tc:text xml:space="preserve">updated</x18tc:text>
  </x18tc:threadedComment>
  <x18tc:threadedComment ref="V27" dT="2025-08-27T14:22:25.00" personId="{a9cf6e79-9751-4017-90e6-a3b2941f1187}" id="{e06250d8-725d-4328-9b45-a3184e75c7a0}" done="1">
    <x18tc:text xml:space="preserve">@jan.dejager@trilogy.com - Alpha School 92610, LLC
Assigned to jan.dejager@trilogy.com</x18tc:text>
    <x18tc:mentions>
      <x18tc:mention mentionpersonId="{110becb3-6830-4fb5-b6ef-24fb9f29c861}" mentionId="{cd29bdc2-187a-464d-8d9b-a3299c497f4d}" startIndex="0" length="24"/>
    </x18tc:mentions>
  </x18tc:threadedComment>
  <x18tc:threadedComment ref="N27" dT="2025-08-27T14:23:02.00" personId="{a9cf6e79-9751-4017-90e6-a3b2941f1187}" id="{99d469bc-fcb0-4835-82f1-99afe33b57fc}" done="1">
    <x18tc:text xml:space="preserve">@jan.dejager@trilogy.com - Montessorium School 78613, LLC</x18tc:text>
    <x18tc:mentions>
      <x18tc:mention mentionpersonId="{110becb3-6830-4fb5-b6ef-24fb9f29c861}" mentionId="{682ce475-8364-4497-ab84-4a3f27a22f3c}" startIndex="0" length="24"/>
    </x18tc:mentions>
  </x18tc:threadedComment>
  <x18tc:threadedComment ref="AH32" dT="2026-01-19T19:59:44.00" personId="{4406f311-3a54-4798-954a-6309e28792a4}" id="{1b5df0cf-05a5-414c-a601-bd2bab7ef367}" done="1">
    <x18tc:text xml:space="preserve">Hiring ADOP</x18tc:text>
  </x18tc:threadedComment>
  <x18tc:threadedComment ref="Q32" dT="2026-02-02T18:04:40.00" personId="{4406f311-3a54-4798-954a-6309e28792a4}" id="{ecfc455d-2dfc-4c8b-ac32-d16f98a8005b}" done="0">
    <x18tc:text xml:space="preserve">Please update
David is gone - remove
new text: Hiring ADOP</x18tc:text>
  </x18tc:threadedComment>
  <x18tc:threadedComment ref="D28" dT="2026-02-09T17:19:32.00" personId="{a9cf6e79-9751-4017-90e6-a3b2941f1187}" id="{05183b3d-a87b-4bb0-aa05-208a8ac604d1}" done="0">
    <x18tc:text xml:space="preserve">@jan.dejager@trilogy.com - we needed a separate company EIN for Stripe.  It is 	41-4151325
Assigned to jan.dejager@trilogy.com</x18tc:text>
    <x18tc:mentions>
      <x18tc:mention mentionpersonId="{110becb3-6830-4fb5-b6ef-24fb9f29c861}" mentionId="{a30852c3-7cd2-42aa-9d29-8d44cbd965ad}" startIndex="0" length="24"/>
    </x18tc:mentions>
  </x18tc:threadedComment>
  <x18tc:threadedComment ref="J9" dT="2025-06-19T21:50:53.00" personId="{e0f9e752-4c1c-4cde-b844-7ddef95e704e}" id="{5a737cf5-cdd2-497e-bf90-655f34eef2db}" done="1">
    <x18tc:text xml:space="preserve">@amelia.baldwin@2hourlearning.com @david.harpur@trilogy.com @jan.dejager@trilogy.com why this one and Valenta not at 100/month?
Assigned to amelia.baldwin@2hourlearning.com</x18tc:text>
    <x18tc:mentions>
      <x18tc:mention mentionpersonId="{26c64a12-5973-456f-9f23-4c2c69dc7a7f}" mentionId="{cfcf7fe3-f0ec-4342-9335-fe77c24943ab}" startIndex="0" length="33"/>
      <x18tc:mention mentionpersonId="{9ecbeea8-b78f-49ff-a39c-eac4a37185dc}" mentionId="{122801a0-a437-4c18-9561-9224f023f9f7}" startIndex="34" length="25"/>
      <x18tc:mention mentionpersonId="{110becb3-6830-4fb5-b6ef-24fb9f29c861}" mentionId="{b8954987-bdbd-4789-8796-1056562429ff}" startIndex="60" length="24"/>
    </x18tc:mentions>
  </x18tc:threadedComment>
  <x18tc:threadedComment ref="J9" dT="2025-06-23T22:30:00.00" personId="{298ce18e-383d-4b63-9127-423ce6718bdb}" id="{0495dd43-3e18-4412-9feb-1d9f97d2dc54}" parentId="{5a737cf5-cdd2-497e-bf90-655f34eef2db}">
    <x18tc:text xml:space="preserve">Do we know if lunch is being offered?</x18tc:text>
  </x18tc:threadedComment>
  <x18tc:threadedComment ref="J9" dT="2025-06-27T13:33:26.00" personId="{e0f9e752-4c1c-4cde-b844-7ddef95e704e}" id="{57fccec0-50ae-4216-8721-c03f1bc07eeb}" parentId="{5a737cf5-cdd2-497e-bf90-655f34eef2db}">
    <x18tc:text xml:space="preserve">@andrew.jordan@trilogy.com @jan.dejager@trilogy.com can you find out?  And why wouldn't we provide at GT?
Reassigned to andrew.jordan@trilogy.com</x18tc:text>
    <x18tc:mentions>
      <x18tc:mention mentionpersonId="{416700c4-395c-4dab-9a17-b66b9d2466b9}" mentionId="{fbf592de-20c9-47b2-8780-db8a5565b59f}" startIndex="0" length="26"/>
      <x18tc:mention mentionpersonId="{110becb3-6830-4fb5-b6ef-24fb9f29c861}" mentionId="{3f978c3d-d237-4bf6-a51e-210ec541ea80}" startIndex="27" length="24"/>
    </x18tc:mentions>
  </x18tc:threadedComment>
  <x18tc:threadedComment ref="J9" dT="2025-06-27T13:50:59.00" personId="{298ce18e-383d-4b63-9127-423ce6718bdb}" id="{604cafcc-e7c3-4d23-b970-ee01469fa758}" parentId="{5a737cf5-cdd2-497e-bf90-655f34eef2db}">
    <x18tc:text xml:space="preserve">And sister campuses (Next gen, TSA, etc.)</x18tc:text>
  </x18tc:threadedComment>
  <x18tc:threadedComment ref="J9" dT="2025-06-27T14:19:11.00" personId="{7eb13349-0232-4341-b092-fb43a44a63cc}" id="{9c9915a2-4c93-4dc8-a90a-04a87b0a6b8f}" parentId="{5a737cf5-cdd2-497e-bf90-655f34eef2db}">
    <x18tc:text xml:space="preserve">Valenta currently isn’t offering lunch. TSA asked about lunch this week. My suggestion is to standardize. All budget schools should offer lunch at $100 and all alpha + sister schools should offer lunch at $200.</x18tc:text>
  </x18tc:threadedComment>
  <x18tc:threadedComment ref="J9" dT="2025-06-27T14:23:02.00" personId="{7eb13349-0232-4341-b092-fb43a44a63cc}" id="{b1037572-541f-4c99-a94b-809e05935cf3}" parentId="{5a737cf5-cdd2-497e-bf90-655f34eef2db}">
    <x18tc:text xml:space="preserve">I’ll find out about Arete</x18tc:text>
  </x18tc:threadedComment>
  <x18tc:threadedComment ref="J9" dT="2025-07-14T13:46:08.00" personId="{ca9de7f2-f71e-484f-a07d-306d53649393}" id="{e86a7b09-7546-4221-9e60-644dc349b3d6}" parentId="{5a737cf5-cdd2-497e-bf90-655f34eef2db}">
    <x18tc:text xml:space="preserve">@jan.dejager@trilogy.com @andrew.jordan@trilogy.com @donnie.yee@trilogy.com - is this still open?</x18tc:text>
    <x18tc:mentions>
      <x18tc:mention mentionpersonId="{110becb3-6830-4fb5-b6ef-24fb9f29c861}" mentionId="{403c58db-ee67-44d6-b856-624111d08753}" startIndex="0" length="24"/>
      <x18tc:mention mentionpersonId="{416700c4-395c-4dab-9a17-b66b9d2466b9}" mentionId="{88bc72cc-6868-46c6-8891-553fe1477d54}" startIndex="25" length="26"/>
      <x18tc:mention mentionpersonId="{89c5b50c-ba7f-4dc2-ac4a-2d16e711229b}" mentionId="{8717cc42-3cbe-45b3-ad84-c59e8cd4702f}" startIndex="52" length="23"/>
    </x18tc:mentions>
  </x18tc:threadedComment>
  <x18tc:threadedComment ref="J9" dT="2025-07-14T13:54:16.00" personId="{7eb13349-0232-4341-b092-fb43a44a63cc}" id="{285e94ba-e1e1-4211-9fc5-23a4af138ae6}" parentId="{5a737cf5-cdd2-497e-bf90-655f34eef2db}">
    <x18tc:text xml:space="preserve">Andy P's decision was to standardize across all schools. Specialty budget schools' target will be $100/month. All others will be $200/month. Getting quotes now to determine viability of that target.
1 total reaction
Amelia Baldwin reacted with 👍 at 2025-07-14 22:35 PM</x18tc:text>
  </x18tc:threadedComment>
  <x18tc:threadedComment ref="J9" dT="2025-07-15T14:38:34.00" personId="{ca9de7f2-f71e-484f-a07d-306d53649393}" id="{7ea6fc51-e1e1-43db-80f6-4065349569a5}" parentId="{5a737cf5-cdd2-497e-bf90-655f34eef2db}">
    <x18tc:text xml:space="preserve">@jan.dejager@trilogy.com - can you ensure this is updated in this sheet?</x18tc:text>
    <x18tc:mentions>
      <x18tc:mention mentionpersonId="{110becb3-6830-4fb5-b6ef-24fb9f29c861}" mentionId="{14e748f9-5c61-4e04-8c18-eae6b3dadeec}" startIndex="0" length="24"/>
    </x18tc:mentions>
  </x18tc:threadedComment>
  <x18tc:threadedComment ref="J9" dT="2025-07-16T14:29:27.00" personId="{5495796c-803e-4d04-839b-a9c969210ec0}" id="{89dcc8cb-7934-4f4f-9d0d-09deef502349}" parentId="{5a737cf5-cdd2-497e-bf90-655f34eef2db}">
    <x18tc:text xml:space="preserve">updated</x18tc:text>
  </x18tc:threadedComment>
  <x18tc:threadedComment ref="AG23" dT="2025-12-08T12:47:50.00" personId="{dbe65a33-770c-470c-a9e1-7e91e5d977fa}" id="{de8f96d5-904b-485a-954b-8cd10bd362b0}" done="1">
    <x18tc:text xml:space="preserve">1169 Canton St, Roswell, GA 30075</x18tc:text>
  </x18tc:threadedComment>
  <x18tc:threadedComment ref="B33" dT="2025-07-01T16:17:44.00" personId="{298ce18e-383d-4b63-9127-423ce6718bdb}" id="{dc0a3277-c642-44c8-8083-1256af69849a}" done="1">
    <x18tc:text xml:space="preserve">I believe the items linked in here should be ones that are accessible to the audience this will be shared with. It was my understanding that this spreadsheet would be shared with all locations and admissions staff. Multiple requests will come in for access to this Rippling Org Chart, which will not be permitted for those requesters. I suggest removing this Rippling link and linking to an accessible org chart that will need to be created.  @david.harpur@trilogy.com @jan.dejager@trilogy.com @arthur@trilogy.com</x18tc:text>
    <x18tc:mentions>
      <x18tc:mention mentionpersonId="{9ecbeea8-b78f-49ff-a39c-eac4a37185dc}" mentionId="{c43e5a36-f7e1-4828-9f93-ca6c147331c6}" startIndex="443" length="25"/>
      <x18tc:mention mentionpersonId="{110becb3-6830-4fb5-b6ef-24fb9f29c861}" mentionId="{ee42f1da-b60c-473c-9008-b3bc60bf1503}" startIndex="469" length="24"/>
      <x18tc:mention mentionpersonId="{57259500-5a14-4ba4-b843-32512c7c5aa7}" mentionId="{eba3a6b1-7052-4c98-b07f-b550c6e98bab}" startIndex="494" length="19"/>
    </x18tc:mentions>
  </x18tc:threadedComment>
  <x18tc:threadedComment ref="B33" dT="2025-07-02T12:16:26.00" personId="{ca9de7f2-f71e-484f-a07d-306d53649393}" id="{129db23e-42da-486c-8ecf-95b047420fee}" parentId="{dc0a3277-c642-44c8-8083-1256af69849a}">
    <x18tc:text xml:space="preserve">we can't we just make rippling accessible to the entire edu team?
rather than maintaining two org charts</x18tc:text>
  </x18tc:threadedComment>
  <x18tc:threadedComment ref="B33" dT="2025-07-02T12:53:35.00" personId="{298ce18e-383d-4b63-9127-423ce6718bdb}" id="{1e8afc63-c11a-4693-b228-def65dee6b6e}" parentId="{dc0a3277-c642-44c8-8083-1256af69849a}">
    <x18tc:text xml:space="preserve">My concern was the private information accessible in this visibility.  Potentially I am unclear on viewing privileges and settings for accessible information for everyone with the organization. In Rippling, each employee can be selected and personal information is visible. For non-leadership staff, I would not think this access to information was unnecessary. (Note: As it stands, this org chart is not up to date.)</x18tc:text>
  </x18tc:threadedComment>
  <x18tc:threadedComment ref="B33" dT="2025-07-02T12:55:28.00" personId="{5495796c-803e-4d04-839b-a9c969210ec0}" id="{bcbcb1ae-e514-44bc-bf16-12636fa2c503}" parentId="{dc0a3277-c642-44c8-8083-1256af69849a}">
    <x18tc:text xml:space="preserve">Ben confirmed that we can limit access rights to an extent in Rippling to make sure view-only has the appropriate limitations.
I will share this sheet with him once you are happy - he will then create the users in Rippling:
https://docs.google.com/spreadsheets/d/14FhVqS1_Azr0fXfs55LeaRmUTr3MZNPIIzjhV4FaXks/edit?gid=0#gid=0</x18tc:text>
    <x18tc:extLst>
      <ext uri="{F7C98A9C-CBB3-438F-8F68-D28B6AF4A901}">
        <xltc2:checksum/>
        <xltc2:hyperlink startIndex="225" length="100" url="https://docs.google.com/spreadsheets/d/14FhVqS1_Azr0fXfs55LeaRmUTr3MZNPIIzjhV4FaXks/edit?gid=0#gid=0"/>
      </ext>
    </x18tc:extLst>
  </x18tc:threadedComment>
  <x18tc:threadedComment ref="B33" dT="2025-07-15T14:52:15.00" personId="{ca9de7f2-f71e-484f-a07d-306d53649393}" id="{c9f299a1-db7d-4c48-a45a-71accb13ff9e}" parentId="{dc0a3277-c642-44c8-8083-1256af69849a}">
    <x18tc:text xml:space="preserve">can this comment be closed out?</x18tc:text>
  </x18tc:threadedComment>
  <x18tc:threadedComment ref="B33" dT="2025-07-16T14:12:12.00" personId="{5495796c-803e-4d04-839b-a9c969210ec0}" id="{b50e4a63-cdee-4a88-aa6a-926c81050bf8}" parentId="{dc0a3277-c642-44c8-8083-1256af69849a}">
    <x18tc:text xml:space="preserve">This lists the Head of School or Lead Guide. As agreed the other detail will not be here. Comment can be closed</x18tc:text>
  </x18tc:threadedComment>
  <x18tc:threadedComment ref="K2" dT="2025-08-19T20:39:23.00" personId="{aee94e66-a8d2-4d37-bd5e-8046ee94023d}" id="{b4e52235-6f30-4443-bc05-2eb46d921de0}" done="1">
    <x18tc:text xml:space="preserve">@arthur.michel@trilogy.com should this be Nova Academy Bastrop and Nova Academy Austin to align with the naming convention used with other campuses?</x18tc:text>
    <x18tc:mentions>
      <x18tc:mention mentionpersonId="{f7b44fcc-ffbd-46b3-8b52-56446e17f131}" mentionId="{f123a5a2-1911-4a33-97af-3d904fc05ad8}" startIndex="0" length="26"/>
    </x18tc:mentions>
  </x18tc:threadedComment>
  <x18tc:threadedComment ref="K2" dT="2025-08-19T20:54:01.00" personId="{e0f9e752-4c1c-4cde-b844-7ddef95e704e}" id="{c99d3f9a-4ea4-429b-8ed0-796d143c7ab3}" parentId="{b4e52235-6f30-4443-bc05-2eb46d921de0}">
    <x18tc:text xml:space="preserve">Sounds good to me but @amelia.baldwin@2hourlearning.com @jeremy.williams@alpha.school call</x18tc:text>
    <x18tc:mentions>
      <x18tc:mention mentionpersonId="{26c64a12-5973-456f-9f23-4c2c69dc7a7f}" mentionId="{742931f8-5529-4f16-8056-cbecd2991df8}" startIndex="22" length="33"/>
      <x18tc:mention mentionpersonId="{95e6c85d-9bfa-409c-8c91-1255c1073296}" mentionId="{0264b2a3-5b7a-4ac8-b2bb-8286f20e2878}" startIndex="56" length="29"/>
    </x18tc:mentions>
  </x18tc:threadedComment>
  <x18tc:threadedComment ref="R27" dT="2025-08-27T14:21:30.00" personId="{a9cf6e79-9751-4017-90e6-a3b2941f1187}" id="{f822075e-4bdf-4100-a921-78a600be8234}" done="1">
    <x18tc:text xml:space="preserve">@jan.dejager@trilogy.com Alpha School 33418, LLC (please note I do not have edit access)
Assigned to jan.dejager@trilogy.com</x18tc:text>
    <x18tc:mentions>
      <x18tc:mention mentionpersonId="{110becb3-6830-4fb5-b6ef-24fb9f29c861}" mentionId="{54ea3b0d-daa5-445a-b295-207291bb3090}" startIndex="0" length="24"/>
    </x18tc:mentions>
  </x18tc:threadedComment>
  <x18tc:threadedComment ref="R27" dT="2025-08-27T14:28:13.00" personId="{5495796c-803e-4d04-839b-a9c969210ec0}" id="{53106e7c-590f-4e96-8b57-fb6dba6ca105}" parentId="{f822075e-4bdf-4100-a921-78a600be8234}">
    <x18tc:text xml:space="preserve">Thanks!</x18tc:text>
  </x18tc:threadedComment>
  <x18tc:threadedComment ref="E9" dT="2025-06-18T19:33:31.00" personId="{298ce18e-383d-4b63-9127-423ce6718bdb}" id="{f857b2f0-7582-4c89-ac06-edf1d9461bfe}" done="1">
    <x18tc:text xml:space="preserve">@jan.dejager@trilogy.com @arthur@trilogy.com It was my understanding that this was included in Miami last year. Is this confirmed to be changing for the 25/26 school year?</x18tc:text>
    <x18tc:mentions>
      <x18tc:mention mentionpersonId="{110becb3-6830-4fb5-b6ef-24fb9f29c861}" mentionId="{04ad6486-e9a5-4a39-b6e0-9cd6b7562d33}" startIndex="0" length="24"/>
      <x18tc:mention mentionpersonId="{57259500-5a14-4ba4-b843-32512c7c5aa7}" mentionId="{fe14219b-2e44-4897-8824-9d2f7c0c0a7e}" startIndex="25" length="19"/>
    </x18tc:mentions>
  </x18tc:threadedComment>
  <x18tc:threadedComment ref="E9" dT="2025-06-18T20:54:02.00" personId="{e0f9e752-4c1c-4cde-b844-7ddef95e704e}" id="{f6271897-5979-4715-bd58-7d672dafb31f}" parentId="{f857b2f0-7582-4c89-ac06-edf1d9461bfe}">
    <x18tc:text xml:space="preserve">The goal is to be consistent across the schools but should discuss if there's a reason not to be here.</x18tc:text>
  </x18tc:threadedComment>
  <x18tc:threadedComment ref="E9" dT="2025-06-23T06:03:51.00" personId="{5495796c-803e-4d04-839b-a9c969210ec0}" id="{eb92393c-08f3-4381-9264-90c6f8cce697}" parentId="{f857b2f0-7582-4c89-ac06-edf1d9461bfe}">
    <x18tc:text xml:space="preserve">updated as per email trail</x18tc:text>
  </x18tc:threadedComment>
  <x18tc:threadedComment ref="V20" dT="2025-08-23T13:00:34.00" personId="{7493441f-94cd-4187-9a6a-935397cb697c}" id="{1431c42b-d6ac-4619-a301-8f0316415db0}" done="1">
    <x18tc:text xml:space="preserve">@amelia.baldwin@2hourlearning.com this changed to Sep 3.
Assigned to amelia.baldwin@2hourlearning.com</x18tc:text>
    <x18tc:mentions>
      <x18tc:mention mentionpersonId="{26c64a12-5973-456f-9f23-4c2c69dc7a7f}" mentionId="{0e6b048d-732c-4765-8756-4f71f7191ba3}" startIndex="0" length="33"/>
    </x18tc:mentions>
  </x18tc:threadedComment>
  <x18tc:threadedComment ref="T27" dT="2025-08-27T14:21:51.00" personId="{a9cf6e79-9751-4017-90e6-a3b2941f1187}" id="{9c732a7d-4a1d-4119-ab27-bba64e9aaa55}" done="1">
    <x18tc:text xml:space="preserve">@jan.dejager@trilogy.com - Alpha Anywhere Center, LLC</x18tc:text>
    <x18tc:mentions>
      <x18tc:mention mentionpersonId="{110becb3-6830-4fb5-b6ef-24fb9f29c861}" mentionId="{9deaa13b-9fd2-4363-b035-7354abfa68f5}" startIndex="0" length="24"/>
    </x18tc:mentions>
  </x18tc:threadedComment>
  <x18tc:threadedComment ref="B22" dT="2025-08-27T16:12:40.00" personId="{0262a5cd-6f3a-4703-b808-bc0987862b5e}" id="{f662f434-7385-41e3-a91e-fcf311f3baa1}" done="1">
    <x18tc:text xml:space="preserve">@amelia.baldwin@alpha.school @jan.dejager@trilogy.com i automated this field based on the SIS data. given there will be discrepancies on how the data is read, i would say this is 99% accurate.
for your reference, if a student is marked as enrolled in a specific campus, then it will show up here.
sites with 0 will need to be verified because it's possible the campus is not mapped</x18tc:text>
    <x18tc:mentions>
      <x18tc:mention mentionpersonId="{ceabeb41-7692-4dc7-a25b-b6f20b2fe9d3}" mentionId="{526536fe-54ba-472d-9459-541cb5a961b0}" startIndex="0" length="28"/>
      <x18tc:mention mentionpersonId="{110becb3-6830-4fb5-b6ef-24fb9f29c861}" mentionId="{97991822-5923-42b5-9ea8-d51323fa629b}" startIndex="29" length="24"/>
    </x18tc:mentions>
  </x18tc:threadedComment>
  <x18tc:threadedComment ref="B22" dT="2025-08-29T22:25:32.00" personId="{298ce18e-383d-4b63-9127-423ce6718bdb}" id="{9b154f6c-ea71-456a-9db4-2407e0e94996}" parentId="{f662f434-7385-41e3-a91e-fcf311f3baa1}">
    <x18tc:text xml:space="preserve">Pending Review will mean that they have paid their deposit and started their forms. Enrolled will mean that all forms are completed.  Some forms have a 30 day grace period from the first day of attendance.</x18tc:text>
  </x18tc:threadedComment>
  <x18tc:threadedComment ref="B22" dT="2025-09-02T17:50:59.00" personId="{0262a5cd-6f3a-4703-b808-bc0987862b5e}" id="{c04b51c6-55cf-45c8-934c-60f730e5f729}" parentId="{f662f434-7385-41e3-a91e-fcf311f3baa1}">
    <x18tc:text xml:space="preserve">I understand, this data only shows enrolled for simplicity.</x18tc:text>
  </x18tc:threadedComment>
  <x18tc:threadedComment ref="B33" dT="2025-07-18T20:37:48.00" personId="{298ce18e-383d-4b63-9127-423ce6718bdb}" id="{7ca18091-4245-4d4e-a35f-7bf701c3444a}" done="1">
    <x18tc:text xml:space="preserve">@andrew.jordan@trilogy.com Could you check for accuracy the assigned leaders for location's assigned names in this row that I have highlighted? Could you also clarify the remaining as either Head of Schools or Head Guides?
Assigned to andrew.jordan@trilogy.com</x18tc:text>
    <x18tc:mentions>
      <x18tc:mention mentionpersonId="{416700c4-395c-4dab-9a17-b66b9d2466b9}" mentionId="{28325b0a-04e1-4c20-8f61-5cc69babb709}" startIndex="0" length="26"/>
    </x18tc:mentions>
  </x18tc:threadedComment>
  <x18tc:threadedComment ref="B33" dT="2025-08-12T15:14:53.00" personId="{e0f9e752-4c1c-4cde-b844-7ddef95e704e}" id="{f27fe5ad-3d09-4353-a78c-c8192b421f71}" parentId="{7ca18091-4245-4d4e-a35f-7bf701c3444a}">
    <x18tc:text xml:space="preserve">@andrew.jordan@trilogy.com all good here?</x18tc:text>
    <x18tc:mentions>
      <x18tc:mention mentionpersonId="{416700c4-395c-4dab-9a17-b66b9d2466b9}" mentionId="{c1d75c01-b16c-4066-94d6-d854a8c9073f}" startIndex="0" length="26"/>
    </x18tc:mentions>
  </x18tc:threadedComment>
  <x18tc:threadedComment ref="B33" dT="2025-08-19T12:25:08.00" personId="{e0f9e752-4c1c-4cde-b844-7ddef95e704e}" id="{86672059-b2fa-423c-8da3-9f93698358bc}" parentId="{7ca18091-4245-4d4e-a35f-7bf701c3444a}">
    <x18tc:text xml:space="preserve">@andrew.jordan@trilogy.com</x18tc:text>
    <x18tc:mentions>
      <x18tc:mention mentionpersonId="{416700c4-395c-4dab-9a17-b66b9d2466b9}" mentionId="{1bfc7a64-030c-4eb7-b9ae-0315eb1e92a1}" startIndex="0" length="26"/>
    </x18tc:mentions>
  </x18tc:threadedComment>
  <x18tc:threadedComment ref="B33" dT="2025-08-19T12:50:37.00" personId="{7eb13349-0232-4341-b092-fb43a44a63cc}" id="{3c1f6b0e-30a8-4694-b70c-69bcdddf959d}" parentId="{7ca18091-4245-4d4e-a35f-7bf701c3444a}">
    <x18tc:text xml:space="preserve">Updated based on my knowledge. I was having trouble with Rippling but I edited here.</x18tc:text>
  </x18tc:threadedComment>
  <x18tc:threadedComment ref="B33" dT="2025-08-19T12:52:11.00" personId="{7eb13349-0232-4341-b092-fb43a44a63cc}" id="{32eaae0a-95a4-4a7d-a72d-aadf988cd0e7}" parentId="{7ca18091-4245-4d4e-a35f-7bf701c3444a}">
    <x18tc:text xml:space="preserve">Braden is over Spyglass and CO2 but Chris Locke and Taylor Sweeney are over HS and MS respectively at CO2.
I have little insight into naming conventions as they seem to shift every time I try and find out (Lead vs Head guide)</x18tc:text>
  </x18tc:threadedComment>
  <x18tc:threadedComment ref="B33" dT="2025-08-22T11:25:02.00" personId="{298ce18e-383d-4b63-9127-423ce6718bdb}" id="{aecef7ef-795e-4b90-958d-4316a1652f2e}" parentId="{7ca18091-4245-4d4e-a35f-7bf701c3444a}">
    <x18tc:text xml:space="preserve">I went through and made updates</x18tc:text>
  </x18tc:threadedComment>
  <x18tc:threadedComment ref="X21" dT="2025-10-02T15:21:02.00" personId="{e0f9e752-4c1c-4cde-b844-7ddef95e704e}" id="{e104a721-4e09-44e2-856c-cf1adb9a10e8}" done="1">
    <x18tc:text xml:space="preserve">@jeremy.williams@2hourlearning.com just confirming this opening date for Charlotte please? Oct 13th? @andrew.jordan@trilogy.com
Assigned to jeremy.williams@2hourlearning.com</x18tc:text>
    <x18tc:mentions>
      <x18tc:mention mentionpersonId="{f50af096-9d93-4657-a6df-d08c4a57841b}" mentionId="{fe2d57e4-bcce-4f94-9bc5-30c8680f4a6e}" startIndex="0" length="34"/>
      <x18tc:mention mentionpersonId="{416700c4-395c-4dab-9a17-b66b9d2466b9}" mentionId="{43439d44-e8f6-4e94-bdeb-2d0f1bc958d2}" startIndex="101" length="26"/>
    </x18tc:mentions>
  </x18tc:threadedComment>
  <x18tc:threadedComment ref="X21" dT="2025-10-02T15:21:38.00" personId="{9daa4ad6-ef95-4a0e-b4bb-3d29b0ee99a2}" id="{ceb721c7-4aae-477e-9195-25fc99bf10c8}" parentId="{e104a721-4e09-44e2-856c-cf1adb9a10e8}">
    <x18tc:text xml:space="preserve">Will know after shadow day today</x18tc:text>
  </x18tc:threadedComment>
  <x18tc:threadedComment ref="X21" dT="2025-10-02T15:36:42.00" personId="{e0f9e752-4c1c-4cde-b844-7ddef95e704e}" id="{ace22218-fdd4-4305-8809-25176926b5f5}" parentId="{e104a721-4e09-44e2-856c-cf1adb9a10e8}">
    <x18tc:text xml:space="preserve">great, thanks.</x18tc:text>
  </x18tc:threadedComment>
  <x18tc:threadedComment ref="J13" dT="2025-07-21T19:00:00.00" personId="{298ce18e-383d-4b63-9127-423ce6718bdb}" id="{2ca041eb-940a-4149-88da-0eff8a5aa360}" done="1">
    <x18tc:text xml:space="preserve">@andrew.jordan@trilogy.com $500 deposit for Nova schools?
Assigned to andrew.jordan@trilogy.com</x18tc:text>
    <x18tc:mentions>
      <x18tc:mention mentionpersonId="{416700c4-395c-4dab-9a17-b66b9d2466b9}" mentionId="{83d3ef65-8ae2-4a19-a1ed-e2f9f5ecf2e1}" startIndex="0" length="26"/>
    </x18tc:mentions>
  </x18tc:threadedComment>
  <x18tc:threadedComment ref="J13" dT="2025-07-22T14:21:09.00" personId="{7eb13349-0232-4341-b092-fb43a44a63cc}" id="{f83a0b86-1fd4-4b88-aacc-db6ff6d8dbf8}" parentId="{2ca041eb-940a-4149-88da-0eff8a5aa360}">
    <x18tc:text xml:space="preserve">I have no insight on this one. If that is the case, this probably needs to be communicated to the Lead Guide so she can communicate that to parents.</x18tc:text>
  </x18tc:threadedComment>
  <x18tc:threadedComment ref="J13" dT="2025-07-28T20:35:51.00" personId="{e0f9e752-4c1c-4cde-b844-7ddef95e704e}" id="{63ee533c-4d7a-4bbb-b869-cb628cfe20dd}" parentId="{2ca041eb-940a-4149-88da-0eff8a5aa360}">
    <x18tc:text xml:space="preserve">Where did we end up on this? @jan.dejager@trilogy.com?</x18tc:text>
    <x18tc:mentions>
      <x18tc:mention mentionpersonId="{110becb3-6830-4fb5-b6ef-24fb9f29c861}" mentionId="{939a64b4-f690-40bd-857b-f56fe96e00b9}" startIndex="29" length="24"/>
    </x18tc:mentions>
  </x18tc:threadedComment>
  <x18tc:threadedComment ref="J13" dT="2025-07-30T06:43:30.00" personId="{5495796c-803e-4d04-839b-a9c969210ec0}" id="{612b11f8-c006-49a9-811f-ab65bcae9a8f}" parentId="{2ca041eb-940a-4149-88da-0eff8a5aa360}">
    <x18tc:text xml:space="preserve">As Nova Bastrop (Valenta) was always on $500k and both Nova schools are low cost model schools, it would make sense to keep both on the $500 for new students
cc @david.harpur@trilogy.com</x18tc:text>
    <x18tc:mentions>
      <x18tc:mention mentionpersonId="{9ecbeea8-b78f-49ff-a39c-eac4a37185dc}" mentionId="{3a58b0f5-eda5-41e8-bf92-146202311c67}" startIndex="162" length="25"/>
    </x18tc:mentions>
  </x18tc:threadedComment>
  <x18tc:threadedComment ref="J13" dT="2025-08-26T15:50:35.00" personId="{298ce18e-383d-4b63-9127-423ce6718bdb}" id="{4785d1ec-f1ef-4a1b-ae61-03ac58adc882}" parentId="{2ca041eb-940a-4149-88da-0eff8a5aa360}">
    <x18tc:text xml:space="preserve">@arthur@trilogy.com Patricio from NovaA just told me that they have a green light to enroll new students this year.  The listing on here shows no new students for 25/26. Could you confirm?
Reassigned to arthur@trilogy.com</x18tc:text>
    <x18tc:mentions>
      <x18tc:mention mentionpersonId="{57259500-5a14-4ba4-b843-32512c7c5aa7}" mentionId="{2a52f3cf-2844-47d2-80e3-b14855b9a6ae}" startIndex="0" length="19"/>
    </x18tc:mentions>
  </x18tc:threadedComment>
  <x18tc:threadedComment ref="J13" dT="2025-08-28T15:44:46.00" personId="{298ce18e-383d-4b63-9127-423ce6718bdb}" id="{c8905546-1946-4e4e-9abe-c7e30584519c}" parentId="{2ca041eb-940a-4149-88da-0eff8a5aa360}">
    <x18tc:text xml:space="preserve">MP confirmed no admissions for Austin.</x18tc:text>
  </x18tc:threadedComment>
  <x18tc:threadedComment ref="J13" dT="2025-08-28T20:07:36.00" personId="{e0f9e752-4c1c-4cde-b844-7ddef95e704e}" id="{8bb06726-f179-4028-80a7-6bb6df43868f}" parentId="{2ca041eb-940a-4149-88da-0eff8a5aa360}">
    <x18tc:text xml:space="preserve">thanks, agree.</x18tc:text>
  </x18tc:threadedComment>
  <x18tc:threadedComment ref="L13" dT="2025-07-02T15:25:07.00" personId="{298ce18e-383d-4b63-9127-423ce6718bdb}" id="{be0d7f25-0f69-4adc-9592-c61c7ffe7801}" done="1">
    <x18tc:text xml:space="preserve">How is NG qualifying AGI?</x18tc:text>
  </x18tc:threadedComment>
  <x18tc:threadedComment ref="K13" dT="2025-07-21T18:59:43.00" personId="{298ce18e-383d-4b63-9127-423ce6718bdb}" id="{0c0e057b-0d76-4dde-a415-6b69d618fa16}" done="1">
    <x18tc:text xml:space="preserve">@andrew.jordan@trilogy.com $500 deposit for Nova schools?
Assigned to andrew.jordan@trilogy.com</x18tc:text>
    <x18tc:mentions>
      <x18tc:mention mentionpersonId="{416700c4-395c-4dab-9a17-b66b9d2466b9}" mentionId="{35834001-b71e-4469-b318-36acb1cdf90b}" startIndex="0" length="26"/>
    </x18tc:mentions>
  </x18tc:threadedComment>
  <x18tc:threadedComment ref="K13" dT="2025-07-23T06:25:20.00" personId="{5495796c-803e-4d04-839b-a9c969210ec0}" id="{56e134d3-017a-4553-992e-4869b7bc259c}" parentId="{0c0e057b-0d76-4dde-a415-6b69d618fa16}">
    <x18tc:text xml:space="preserve">This does not make sense here in the FF discount row. We can add another line for deposit if required.
@andrew.jordan@trilogy.com @amelia.baldwin@2hourlearning.com - please clarify</x18tc:text>
    <x18tc:mentions>
      <x18tc:mention mentionpersonId="{416700c4-395c-4dab-9a17-b66b9d2466b9}" mentionId="{16919bd6-4aa6-4ce8-9d88-d9b8cb6d5225}" startIndex="104" length="26"/>
      <x18tc:mention mentionpersonId="{26c64a12-5973-456f-9f23-4c2c69dc7a7f}" mentionId="{e9b57d92-f700-479a-9ece-b29cac7aca60}" startIndex="131" length="33"/>
    </x18tc:mentions>
  </x18tc:threadedComment>
  <x18tc:threadedComment ref="G2" dT="2025-10-15T15:05:25.00" personId="{298ce18e-383d-4b63-9127-423ce6718bdb}" id="{9b67e6d8-e401-4c6b-902f-cd874925fa0f}" done="0">
    <x18tc:text xml:space="preserve">@dmitry.bakaev@trilogy.com @donnie.yee@trilogy.com @jan.dejager@trilogy.com @arthur@trilogy.com New school added beginning Fall 2026</x18tc:text>
    <x18tc:mentions>
      <x18tc:mention mentionpersonId="{0511c2dd-e4a6-4511-b1b6-b40f169ad9e9}" mentionId="{786e3664-3836-45de-8f9b-9fd2d8cea9c6}" startIndex="0" length="26"/>
      <x18tc:mention mentionpersonId="{89c5b50c-ba7f-4dc2-ac4a-2d16e711229b}" mentionId="{f3db12ef-dd7a-4994-8c45-923d0c5548ce}" startIndex="27" length="23"/>
      <x18tc:mention mentionpersonId="{110becb3-6830-4fb5-b6ef-24fb9f29c861}" mentionId="{9194dace-fc04-4f5e-890f-8566126385ec}" startIndex="51" length="24"/>
      <x18tc:mention mentionpersonId="{57259500-5a14-4ba4-b843-32512c7c5aa7}" mentionId="{6d718792-5a3f-47ab-a272-4938b732d923}" startIndex="76" length="19"/>
    </x18tc:mentions>
  </x18tc:threadedComment>
  <x18tc:threadedComment ref="G2" dT="2026-01-30T15:42:37.00" personId="{e0f9e752-4c1c-4cde-b844-7ddef95e704e}" id="{1c0dd89f-252d-461b-ad00-da331b38b1b7}" parentId="{9b67e6d8-e401-4c6b-902f-cd874925fa0f}">
    <x18tc:text xml:space="preserve">should we change naming standard to have the high school location name at the end? e.g. should Alpha High School be Alpha High School Austin then? @dmitry.bakaev@trilogy.com @jc.fischer@trilogy.com
1 total reaction
Amelia Baldwin reacted with 👍 at 2026-01-31 01:52 AM</x18tc:text>
    <x18tc:mentions>
      <x18tc:mention mentionpersonId="{0511c2dd-e4a6-4511-b1b6-b40f169ad9e9}" mentionId="{11663fc8-25f5-4f46-b626-481ffb74bf43}" startIndex="147" length="26"/>
      <x18tc:mention mentionpersonId="{a85e4ea7-c011-42a5-a6be-4cb6fa744464}" mentionId="{040c12c0-88b5-4fb0-99c5-80ce1d3fcf79}" startIndex="174" length="23"/>
    </x18tc:mentions>
  </x18tc:threadedComment>
  <x18tc:threadedComment ref="G2" dT="2026-01-30T15:52:32.00" personId="{41a06bdc-7b6e-4d7d-8077-bb4d2d59df4d}" id="{561d36a4-479e-456c-bbd2-56654b8b74ea}" parentId="{9b67e6d8-e401-4c6b-902f-cd874925fa0f}">
    <x18tc:text xml:space="preserve">With no site, why would we track this differently than Alpha School Brownsville? Miami is K-12 and is just Alpha School Miami.</x18tc:text>
  </x18tc:threadedComment>
  <x18tc:threadedComment ref="G2" dT="2026-01-31T01:51:52.00" personId="{298ce18e-383d-4b63-9127-423ce6718bdb}" id="{f7b9249c-52ef-4542-a95f-72c294afa4c4}" parentId="{9b67e6d8-e401-4c6b-902f-cd874925fa0f}">
    <x18tc:text xml:space="preserve">I had heard that this high school location was being considered to be in a different location (like Austin). If that is not the case, then there may be no need to separate designation on this sheet.</x18tc:text>
  </x18tc:threadedComment>
  <x18tc:threadedComment ref="V9" dT="2025-08-27T15:50:09.00" personId="{5495796c-803e-4d04-839b-a9c969210ec0}" id="{f8d506c4-0786-4aa4-b97f-826956d344d0}" done="1">
    <x18tc:text xml:space="preserve">@jim.liu@trilogy.com - is this correct? any reason for this?
@amelia.baldwin@alpha.school @andrew.jordan@trilogy.com</x18tc:text>
    <x18tc:mentions>
      <x18tc:mention mentionpersonId="{d69d0368-751d-4acf-a49e-f96cc4f843c0}" mentionId="{c1e98b63-c9e2-40ce-97c1-0918055fe6a4}" startIndex="0" length="20"/>
      <x18tc:mention mentionpersonId="{ceabeb41-7692-4dc7-a25b-b6f20b2fe9d3}" mentionId="{8239dfca-accb-4ac3-abb7-f1e4832af990}" startIndex="61" length="28"/>
      <x18tc:mention mentionpersonId="{416700c4-395c-4dab-9a17-b66b9d2466b9}" mentionId="{7f188f21-41eb-4f45-a761-7aaf87958069}" startIndex="90" length="26"/>
    </x18tc:mentions>
  </x18tc:threadedComment>
  <x18tc:threadedComment ref="V9" dT="2025-08-27T16:10:53.00" personId="{4e173aab-5741-4b0d-9988-4b92b8b0b67b}" id="{4706ac4a-b870-47a9-aaa2-354dfee21bfd}" parentId="{f8d506c4-0786-4aa4-b97f-826956d344d0}">
    <x18tc:text xml:space="preserve">This was decided with Tasha, since we only had one student enrolled at the time. Is there a request to now offer lunch?</x18tc:text>
  </x18tc:threadedComment>
  <x18tc:threadedComment ref="T2" dT="2026-01-30T18:06:32.00" personId="{e0f9e752-4c1c-4cde-b844-7ddef95e704e}" id="{ac11f6fc-ff51-4db6-8725-c7e1e9f90946}" done="0">
    <x18tc:text xml:space="preserve">@dmitry.bakaev@trilogy.com @amelia.baldwin@2hourlearning.com looks like this is now Alpha New York City on marketing sites?
Assigned to dmitry.bakaev@trilogy.com</x18tc:text>
    <x18tc:mentions>
      <x18tc:mention mentionpersonId="{0511c2dd-e4a6-4511-b1b6-b40f169ad9e9}" mentionId="{95cd3fba-8a8d-4ca0-be5f-17f2a5baeb70}" startIndex="0" length="26"/>
      <x18tc:mention mentionpersonId="{26c64a12-5973-456f-9f23-4c2c69dc7a7f}" mentionId="{48b63243-f419-47a3-b83d-ab4c92f40d42}" startIndex="27" length="33"/>
    </x18tc:mentions>
  </x18tc:threadedComment>
  <x18tc:threadedComment ref="T2" dT="2026-01-30T18:12:39.00" personId="{e0f9e752-4c1c-4cde-b844-7ddef95e704e}" id="{09021f68-19d6-4a41-b7ae-7aa97daab25c}" parentId="{ac11f6fc-ff51-4db6-8725-c7e1e9f90946}">
    <x18tc:text xml:space="preserve">And looks like it's Alpha New York (no city) in quicksight?</x18tc:text>
  </x18tc:threadedComment>
  <x18tc:threadedComment ref="T2" dT="2026-01-31T01:45:28.00" personId="{298ce18e-383d-4b63-9127-423ce6718bdb}" id="{2b2c2079-662a-47bb-acd0-9570fcbe208b}" parentId="{ac11f6fc-ff51-4db6-8725-c7e1e9f90946}">
    <x18tc:text xml:space="preserve">@dmitry.bakaev@trilogy.com This is new to me in QS as well.</x18tc:text>
    <x18tc:mentions>
      <x18tc:mention mentionpersonId="{0511c2dd-e4a6-4511-b1b6-b40f169ad9e9}" mentionId="{78b97560-a3db-4db3-88fe-8f4ef165df71}" startIndex="0" length="26"/>
    </x18tc:mentions>
  </x18tc:threadedComment>
  <x18tc:threadedComment ref="N18" dT="2025-09-29T17:53:11.00" personId="{298ce18e-383d-4b63-9127-423ce6718bdb}" id="{ead949b5-033b-4ab6-9483-4aed726d4471}" done="1">
    <x18tc:text xml:space="preserve">Montessorium is K-6, not 1-6</x18tc:text>
  </x18tc:threadedComment>
  <x18tc:threadedComment ref="B2" dT="2025-06-19T15:51:06.00" personId="{298ce18e-383d-4b63-9127-423ce6718bdb}" id="{4d19a34b-629b-4a23-bce1-c333f2d42429}" done="1">
    <x18tc:text xml:space="preserve">Most guidepost locations will only be K-3
@arthur@trilogy.com</x18tc:text>
    <x18tc:mentions>
      <x18tc:mention mentionpersonId="{57259500-5a14-4ba4-b843-32512c7c5aa7}" mentionId="{f715b957-65e3-4184-8a2e-8811714f6f38}" startIndex="43" length="19"/>
    </x18tc:mentions>
  </x18tc:threadedComment>
  <x18tc:threadedComment ref="B2" dT="2025-06-27T14:35:15.00" personId="{ca9de7f2-f71e-484f-a07d-306d53649393}" id="{963c0b9e-284a-4055-9cf4-ea58f3935e68}" parentId="{4d19a34b-629b-4a23-bce1-c333f2d42429}">
    <x18tc:text xml:space="preserve">presume this is a decision by Joe/MacKenzie?</x18tc:text>
  </x18tc:threadedComment>
  <x18tc:threadedComment ref="B2" dT="2025-06-27T14:46:07.00" personId="{298ce18e-383d-4b63-9127-423ce6718bdb}" id="{216a88ef-8edb-4afe-87ab-20eb8bd183d5}" parentId="{4d19a34b-629b-4a23-bce1-c333f2d42429}">
    <x18tc:text xml:space="preserve">Yes</x18tc:text>
  </x18tc:threadedComment>
  <x18tc:threadedComment ref="B2" dT="2025-06-27T14:47:30.00" personId="{298ce18e-383d-4b63-9127-423ce6718bdb}" id="{f9c5d4ef-366f-44fa-8ef4-efc5f33376d5}" parentId="{4d19a34b-629b-4a23-bce1-c333f2d42429}">
    <x18tc:text xml:space="preserve">These grade levels are how GP opening locations are set for next year.</x18tc:text>
  </x18tc:threadedComment>
  <x18tc:threadedComment ref="B2" dT="2025-07-14T13:38:21.00" personId="{ca9de7f2-f71e-484f-a07d-306d53649393}" id="{6b593984-8284-4c5b-ac7d-9c52b6a13338}" parentId="{4d19a34b-629b-4a23-bce1-c333f2d42429}">
    <x18tc:text xml:space="preserve">@amelia.baldwin@2hourlearning.com @jan.dejager@trilogy.com - is there an action o/s here or can we close this comment?</x18tc:text>
    <x18tc:mentions>
      <x18tc:mention mentionpersonId="{26c64a12-5973-456f-9f23-4c2c69dc7a7f}" mentionId="{3dc7f72c-5a6c-4267-b865-cad5ab6d5fe6}" startIndex="0" length="33"/>
      <x18tc:mention mentionpersonId="{110becb3-6830-4fb5-b6ef-24fb9f29c861}" mentionId="{45b2e23f-7fa1-4276-ac89-43efd7a45eff}" startIndex="34" length="24"/>
    </x18tc:mentions>
  </x18tc:threadedComment>
  <x18tc:threadedComment ref="B2" dT="2025-07-14T22:35:54.00" personId="{298ce18e-383d-4b63-9127-423ce6718bdb}" id="{647fa95c-1c0b-4e7a-a221-d527ccde1e10}" parentId="{4d19a34b-629b-4a23-bce1-c333f2d42429}">
    <x18tc:text xml:space="preserve">We can close</x18tc:text>
  </x18tc:threadedComment>
  <x18tc:threadedComment ref="O24" dT="2025-09-29T17:55:35.00" personId="{2c6a2ee1-977f-4ec0-bf64-a380d414b166}" id="{6b259c5d-19b2-4c50-9327-c34d10149bc7}" done="1">
    <x18tc:text xml:space="preserve">@andrew.jordan@trilogy.com 
I note on Stefanie B's HC roster sheet that "They're getting a second building" - does the 38 here include same?
@david.harpur@trilogy.com</x18tc:text>
    <x18tc:mentions>
      <x18tc:mention mentionpersonId="{416700c4-395c-4dab-9a17-b66b9d2466b9}" mentionId="{b361d63a-03cf-4092-b502-46b5b3629f41}" startIndex="0" length="26"/>
      <x18tc:mention mentionpersonId="{9ecbeea8-b78f-49ff-a39c-eac4a37185dc}" mentionId="{bd83c0bf-13e4-44bb-b741-1402d37ffbe4}" startIndex="143" length="25"/>
    </x18tc:mentions>
  </x18tc:threadedComment>
  <x18tc:threadedComment ref="O24" dT="2025-09-29T19:26:44.00" personId="{7eb13349-0232-4341-b092-fb43a44a63cc}" id="{ca7acbb5-d50d-44de-8d11-e932a558a742}" parentId="{6b259c5d-19b2-4c50-9327-c34d10149bc7}">
    <x18tc:text xml:space="preserve">38 includes the additional space</x18tc:text>
  </x18tc:threadedComment>
  <x18tc:threadedComment ref="O24" dT="2025-11-29T20:40:08.00" personId="{e0f9e752-4c1c-4cde-b844-7ddef95e704e}" id="{53c58b68-e52c-4207-a0c1-257d40c90ed8}" parentId="{6b259c5d-19b2-4c50-9327-c34d10149bc7}">
    <x18tc:text xml:space="preserve">@andrew.jordan@trilogy.com @jc.fischer@trilogy.com there's a lot of "verification in progress" on these?</x18tc:text>
    <x18tc:mentions>
      <x18tc:mention mentionpersonId="{416700c4-395c-4dab-9a17-b66b9d2466b9}" mentionId="{61dab8c5-fbe8-4c01-8dca-e5bd35e53268}" startIndex="0" length="26"/>
      <x18tc:mention mentionpersonId="{a85e4ea7-c011-42a5-a6be-4cb6fa744464}" mentionId="{061b39ec-103b-4369-9fc6-3403f5b3e8aa}" startIndex="27" length="23"/>
    </x18tc:mentions>
  </x18tc:threadedComment>
  <x18tc:threadedComment ref="O24" dT="2025-11-29T21:05:37.00" personId="{41a06bdc-7b6e-4d7d-8077-bb4d2d59df4d}" id="{1bd1df86-6070-48ca-a0ee-604a082360bb}" parentId="{6b259c5d-19b2-4c50-9327-c34d10149bc7}">
    <x18tc:text xml:space="preserve">yes, there is. because I don't trust any numbers before I started. my team is doing one per day until caught up.</x18tc:text>
  </x18tc:threadedComment>
  <x18tc:threadedComment ref="B8" dT="2025-06-19T15:44:08.00" personId="{298ce18e-383d-4b63-9127-423ce6718bdb}" id="{778f17fd-a647-4e3e-831c-c953cf3b3f89}" done="1">
    <x18tc:text xml:space="preserve">@jan.dejager@trilogy.com @arthur@trilogy.com @david.harpur@trilogy.com</x18tc:text>
    <x18tc:mentions>
      <x18tc:mention mentionpersonId="{110becb3-6830-4fb5-b6ef-24fb9f29c861}" mentionId="{453452dc-950a-45c5-a9ed-df2325593da7}" startIndex="0" length="24"/>
      <x18tc:mention mentionpersonId="{57259500-5a14-4ba4-b843-32512c7c5aa7}" mentionId="{6a40e5c4-80b1-4b95-aa4e-e971f367db40}" startIndex="25" length="19"/>
      <x18tc:mention mentionpersonId="{9ecbeea8-b78f-49ff-a39c-eac4a37185dc}" mentionId="{35dca965-0583-4f02-bbe3-6b5a91c897c4}" startIndex="45" length="25"/>
    </x18tc:mentions>
  </x18tc:threadedComment>
  <x18tc:threadedComment ref="B8" dT="2025-06-27T15:04:37.00" personId="{ca9de7f2-f71e-484f-a07d-306d53649393}" id="{44cd1960-c581-4f20-87f7-690fa0ea8f24}" parentId="{778f17fd-a647-4e3e-831c-c953cf3b3f89}">
    <x18tc:text xml:space="preserve">let's take this out of here and put it in the workflowy as an open questions/investigation. i added to the open items list in the alpha tuition workflowy</x18tc:text>
  </x18tc:threadedComment>
  <x18tc:threadedComment ref="F34" dT="2025-09-12T19:47:38.00" personId="{e0f9e752-4c1c-4cde-b844-7ddef95e704e}" id="{3d418a9a-a266-44cf-9d7e-b5af6b8b9477}" done="1">
    <x18tc:text xml:space="preserve">@stefanie.baduria@alpha.school @andrew.jordan@trilogy.com added this caveat per the gchat thread.  Do we also note that for Shannon on the Alphas?
Assigned to stefanie.baduria@alpha.school</x18tc:text>
    <x18tc:mentions>
      <x18tc:mention mentionpersonId="{957ab0aa-4a5a-4047-ba5d-6ecbe7f477b2}" mentionId="{58d50ba3-caa7-48df-9217-00c724e76110}" startIndex="0" length="30"/>
      <x18tc:mention mentionpersonId="{416700c4-395c-4dab-9a17-b66b9d2466b9}" mentionId="{c57a7ee9-1934-4105-be0b-42aeb53e5234}" startIndex="31" length="26"/>
    </x18tc:mentions>
  </x18tc:threadedComment>
  <x18tc:threadedComment ref="F34" dT="2025-09-12T19:56:45.00" personId="{62b87bdf-f3d1-47d1-823b-4967c0fe4d61}" id="{bb204b7e-4db6-46c9-a68b-e88587a2aabe}" parentId="{3d418a9a-a266-44cf-9d7e-b5af6b8b9477}">
    <x18tc:text xml:space="preserve">yes - and shannon also assists/supports the sister school $25K, $30k models.
So it could be
tuition &gt;=$25k is shannon
tuition &lt;=$15k is kat</x18tc:text>
  </x18tc:threadedComment>
  <x18tc:threadedComment ref="F34" dT="2025-09-23T21:08:52.00" personId="{e0f9e752-4c1c-4cde-b844-7ddef95e704e}" id="{8645210c-08f2-4585-adc8-94a13bfa779f}" parentId="{3d418a9a-a266-44cf-9d7e-b5af6b8b9477}">
    <x18tc:text xml:space="preserve">thx, clarified!</x18tc:text>
  </x18tc:threadedComment>
  <x18tc:threadedComment ref="Q28" dT="2026-01-14T19:40:32.00" personId="{a9cf6e79-9751-4017-90e6-a3b2941f1187}" id="{b1629dd1-5d36-4d5d-8c73-19fea32bfba5}" done="0">
    <x18tc:text xml:space="preserve">@jan.dejager@trilogy.com - this entity needed to obtain an EIN.  It is: 41-3229390
Assigned to jan.dejager@trilogy.com</x18tc:text>
    <x18tc:mentions>
      <x18tc:mention mentionpersonId="{110becb3-6830-4fb5-b6ef-24fb9f29c861}" mentionId="{22391778-691c-485b-86a9-0fb6e6d6eec4}" startIndex="0" length="24"/>
    </x18tc:mentions>
  </x18tc:threadedComment>
  <x18tc:threadedComment ref="W21" dT="2025-08-12T17:40:49.00" personId="{e0f9e752-4c1c-4cde-b844-7ddef95e704e}" id="{141bc4f6-393d-4df7-b9c5-d88a625c7755}" done="1">
    <x18tc:text xml:space="preserve">@rachel.goodlad@alpha.school i show one enrollment -- is there a threshold?
Assigned to rachel.goodlad@alpha.school</x18tc:text>
    <x18tc:mentions>
      <x18tc:mention mentionpersonId="{29d2406b-30bf-43b3-87b9-fe87b6d13e6a}" mentionId="{5d77166b-128d-4441-94f5-aa0de5dbeb9b}" startIndex="0" length="28"/>
    </x18tc:mentions>
  </x18tc:threadedComment>
  <x18tc:threadedComment ref="W21" dT="2025-08-12T18:59:25.00" personId="{e0f9e752-4c1c-4cde-b844-7ddef95e704e}" id="{d4a392e1-7e34-4c5a-bf26-035c509c1b5c}" parentId="{141bc4f6-393d-4df7-b9c5-d88a625c7755}">
    <x18tc:text xml:space="preserve">@jeremy.williams@alpha.school</x18tc:text>
    <x18tc:mentions>
      <x18tc:mention mentionpersonId="{95e6c85d-9bfa-409c-8c91-1255c1073296}" mentionId="{20066692-ce7a-4fb5-9379-ce8a1d8fca5e}" startIndex="0" length="29"/>
    </x18tc:mentions>
  </x18tc:threadedComment>
  <x18tc:threadedComment ref="W21" dT="2025-08-12T21:05:51.00" personId="{f256d1d9-3ce3-477e-8d2e-d8deca504061}" id="{fc73111b-e77a-4890-a66a-79a332600e61}" parentId="{141bc4f6-393d-4df7-b9c5-d88a625c7755}">
    <x18tc:text xml:space="preserve">That is a future enrollment, not for this fall.
1 total reaction
Arthur Michel reacted with 👍 at 2025-08-13 16:22 PM</x18tc:text>
  </x18tc:threadedComment>
  <x18tc:threadedComment ref="I13" dT="2026-01-14T18:02:31.00" personId="{298ce18e-383d-4b63-9127-423ce6718bdb}" id="{37b21d81-381d-4bd2-9913-d9e77904161a}" done="1">
    <x18tc:text xml:space="preserve">@arthur@trilogy.com @donnie.yee@trilogy.com @jan.dejager@trilogy.com @david.harpur@trilogy.com 
Does this expire this year as a good faith for ESAs for 26-27 or is it up to 50 even if this takes us into next year being a family's initial year (ESA or not)</x18tc:text>
    <x18tc:mentions>
      <x18tc:mention mentionpersonId="{57259500-5a14-4ba4-b843-32512c7c5aa7}" mentionId="{5dc52d1b-fe53-4650-bb50-455e6dd65a92}" startIndex="0" length="19"/>
      <x18tc:mention mentionpersonId="{89c5b50c-ba7f-4dc2-ac4a-2d16e711229b}" mentionId="{41158fa5-72b1-4391-b9a9-a797fdf32a30}" startIndex="20" length="23"/>
      <x18tc:mention mentionpersonId="{110becb3-6830-4fb5-b6ef-24fb9f29c861}" mentionId="{cbccdf5b-788e-4bed-9ba8-5794ecc3310b}" startIndex="44" length="24"/>
      <x18tc:mention mentionpersonId="{9ecbeea8-b78f-49ff-a39c-eac4a37185dc}" mentionId="{15352325-c360-4fb6-8bea-8b86ca62f810}" startIndex="69" length="25"/>
    </x18tc:mentions>
  </x18tc:threadedComment>
  <x18tc:threadedComment ref="I13" dT="2026-01-16T15:23:29.00" personId="{ca9de7f2-f71e-484f-a07d-306d53649393}" id="{a7666fa4-8653-459e-b684-291a8a786694}" parentId="{37b21d81-381d-4bd2-9913-d9e77904161a}">
    <x18tc:text xml:space="preserve">the expiry applied on nova, not on GT
however, if someone is eligible for an ESA - it makes more sense to leverage that than use up our $10k scholarship quota</x18tc:text>
  </x18tc:threadedComment>
  <x18tc:threadedComment ref="I13" dT="2026-01-16T19:49:57.00" personId="{298ce18e-383d-4b63-9127-423ce6718bdb}" id="{ec6338cf-0f51-48f4-a19c-a4aff43c3c7e}" parentId="{37b21d81-381d-4bd2-9913-d9e77904161a}">
    <x18tc:text xml:space="preserve">@david.harpur@trilogy.com Could you clarify - the cell has "Applied for one year". Are you saying that the 10k credit is actually for more than one year? And if so, for how long? My understanding is that it was a good faith credit until ESAs were available.</x18tc:text>
    <x18tc:mentions>
      <x18tc:mention mentionpersonId="{9ecbeea8-b78f-49ff-a39c-eac4a37185dc}" mentionId="{c8dee657-c65a-4f8a-8c7a-ff77d6b5ea82}" startIndex="0" length="25"/>
    </x18tc:mentions>
  </x18tc:threadedComment>
  <x18tc:threadedComment ref="I13" dT="2026-01-16T19:55:11.00" personId="{298ce18e-383d-4b63-9127-423ce6718bdb}" id="{49e31fbc-6cf4-4257-aa29-8a572799e516}" parentId="{37b21d81-381d-4bd2-9913-d9e77904161a}">
    <x18tc:text xml:space="preserve">Moving to email for cleaner communication--&gt;</x18tc:text>
  </x18tc:threadedComment>
  <x18tc:threadedComment ref="V28" dT="2026-01-14T19:41:13.00" personId="{a9cf6e79-9751-4017-90e6-a3b2941f1187}" id="{dbd64a04-68b1-4ed3-bc61-9d2a601d8343}" done="0">
    <x18tc:text xml:space="preserve">@jan.dejager@trilogy.com - this entity needed an EIN.  It is 41-3319776
Assigned to jan.dejager@trilogy.com</x18tc:text>
    <x18tc:mentions>
      <x18tc:mention mentionpersonId="{110becb3-6830-4fb5-b6ef-24fb9f29c861}" mentionId="{75f70c2c-c1f4-42e6-8dc3-107ec38cf40b}" startIndex="0" length="24"/>
    </x18tc:mentions>
  </x18tc:threadedComment>
  <x18tc:threadedComment ref="AJ2" dT="2025-12-11T16:34:12.00" personId="{298ce18e-383d-4b63-9127-423ce6718bdb}" id="{be6d4691-8dc7-48ee-a50f-aa17d578aaa6}" done="0">
    <x18tc:text xml:space="preserve">@donnie.yee@trilogy.com @dmitry.bakaev@trilogy.com</x18tc:text>
    <x18tc:mentions>
      <x18tc:mention mentionpersonId="{89c5b50c-ba7f-4dc2-ac4a-2d16e711229b}" mentionId="{bbe5e367-a035-4cae-a353-fdb8ac6fe6a6}" startIndex="0" length="23"/>
      <x18tc:mention mentionpersonId="{0511c2dd-e4a6-4511-b1b6-b40f169ad9e9}" mentionId="{40335905-696f-41ff-9947-365e243ce3b0}" startIndex="24" length="26"/>
    </x18tc:mentions>
  </x18tc:threadedComment>
  <x18tc:threadedComment ref="AJ8" dT="2025-12-09T18:26:24.00" personId="{dbe65a33-770c-470c-a9e1-7e91e5d977fa}" id="{6664cad8-2733-479f-9da8-17b001f51caf}" done="1">
    <x18tc:text xml:space="preserve">$65k</x18tc:text>
  </x18tc:threadedComment>
  <x18tc:threadedComment ref="K27" dT="2026-01-14T19:39:14.00" personId="{a9cf6e79-9751-4017-90e6-a3b2941f1187}" id="{6b1e5337-450c-4898-b79e-5492f0ccb02d}" done="0">
    <x18tc:text xml:space="preserve">@jan.dejager@trilogy.com - I believe that Arete Academy 78602, LLC is the legal entity for Nova Academy Bastrop.  In order to run a vending machine, it needed to obtain an EIN.  Its EIN is 41-3611349
Assigned to jan.dejager@trilogy.com</x18tc:text>
    <x18tc:mentions>
      <x18tc:mention mentionpersonId="{110becb3-6830-4fb5-b6ef-24fb9f29c861}" mentionId="{ce6f262a-2ba0-4b83-8c74-818268fba2bb}" startIndex="0" length="24"/>
    </x18tc:mentions>
  </x18tc:threadedComment>
  <x18tc:threadedComment ref="B47" dT="2026-01-13T15:00:00.00" personId="{228c6931-f87f-4525-a9b6-286d8abe489a}" id="{851d3dd3-6833-4a44-abcc-dc9b9e4d3f7e}" done="0">
    <x18tc:text xml:space="preserve">Can we add Alpha IoT network.  Password is SmartThings@Alpha</x18tc:text>
  </x18tc:threadedComment>
  <x18tc:threadedComment ref="AJ18" dT="2025-12-09T18:26:40.00" personId="{dbe65a33-770c-470c-a9e1-7e91e5d977fa}" id="{925044c6-34e1-47cb-b130-8525afb10a67}" done="1">
    <x18tc:text xml:space="preserve">K-8</x18tc:text>
  </x18tc:threadedComment>
  <x18tc:threadedComment ref="S18" dT="2025-09-12T12:46:21.00" personId="{298ce18e-383d-4b63-9127-423ce6718bdb}" id="{9265ac4f-43ae-4175-93e1-d393752300c7}" done="1">
    <x18tc:text xml:space="preserve">Currently under review to go K-5</x18tc:text>
  </x18tc:threadedComment>
  <x18tc:threadedComment ref="S18" dT="2025-09-17T15:06:18.00" personId="{298ce18e-383d-4b63-9127-423ce6718bdb}" id="{1c2698b7-3850-4f94-8a56-b5819913bf56}" parentId="{9265ac4f-43ae-4175-93e1-d393752300c7}">
    <x18tc:text xml:space="preserve">@donnie.yee@trilogy.com @jan.dejager@trilogy.com @dmitry.bakaev@trilogy.com Plano is now a K-5.</x18tc:text>
    <x18tc:mentions>
      <x18tc:mention mentionpersonId="{89c5b50c-ba7f-4dc2-ac4a-2d16e711229b}" mentionId="{243a2334-e2a9-47a4-80ac-184edb891659}" startIndex="0" length="23"/>
      <x18tc:mention mentionpersonId="{110becb3-6830-4fb5-b6ef-24fb9f29c861}" mentionId="{0d80fbb7-fc3c-45cb-817c-15bc82c5931c}" startIndex="24" length="24"/>
      <x18tc:mention mentionpersonId="{0511c2dd-e4a6-4511-b1b6-b40f169ad9e9}" mentionId="{13e60465-9895-4226-b0e2-459a126ff062}" startIndex="49" length="26"/>
    </x18tc:mentions>
  </x18tc:threadedComment>
  <x18tc:threadedComment ref="AC27" dT="2026-02-08T17:27:26.00" personId="{298ce18e-383d-4b63-9127-423ce6718bdb}" id="{594aabbf-3a42-43f5-92bb-bd6fda3471b1}" done="1">
    <x18tc:text xml:space="preserve">To set students up for enrollment next year, we are needing the legal entity for PA and other schools as well. Thank you- @arthur@trilogy.com @andrew.jordan@trilogy.com @jan.dejager@trilogy.com @david.harpur@trilogy.com (FYI: @cory.shelton@alpha.school)</x18tc:text>
    <x18tc:mentions>
      <x18tc:mention mentionpersonId="{57259500-5a14-4ba4-b843-32512c7c5aa7}" mentionId="{872e9fc6-4373-4816-bd7e-4aed7db49631}" startIndex="122" length="19"/>
      <x18tc:mention mentionpersonId="{416700c4-395c-4dab-9a17-b66b9d2466b9}" mentionId="{0ac7d64d-bd48-4e45-bbb7-f6e9f8bf6fef}" startIndex="142" length="26"/>
      <x18tc:mention mentionpersonId="{110becb3-6830-4fb5-b6ef-24fb9f29c861}" mentionId="{513b3897-3c61-424c-b460-d4dfdc18d798}" startIndex="169" length="24"/>
      <x18tc:mention mentionpersonId="{9ecbeea8-b78f-49ff-a39c-eac4a37185dc}" mentionId="{4d44f61c-fe9b-43ed-9f57-e170652bfefc}" startIndex="194" length="25"/>
      <x18tc:mention mentionpersonId="{25a0850a-a2a1-4d92-a6d4-015e7aaa20ac}" mentionId="{70d3a495-7c78-4be2-8f7a-5f2850547275}" startIndex="226" length="26"/>
    </x18tc:mentions>
  </x18tc:threadedComment>
  <x18tc:threadedComment ref="AC27" dT="2026-02-09T19:05:49.00" personId="{5495796c-803e-4d04-839b-a9c969210ec0}" id="{96a08f8b-fe14-4a7f-be92-6ac6c738c157}" parentId="{594aabbf-3a42-43f5-92bb-bd6fda3471b1}">
    <x18tc:text xml:space="preserve">Added: 
Dorado, Chicago, Palo Alto, Piedmont, Santa Monica</x18tc:text>
  </x18tc:threadedComment>
  <x18tc:threadedComment ref="AC27" dT="2026-02-09T19:22:17.00" personId="{298ce18e-383d-4b63-9127-423ce6718bdb}" id="{54d24ff4-12d4-49b7-984c-4c11254192e9}" parentId="{594aabbf-3a42-43f5-92bb-bd6fda3471b1}">
    <x18tc:text xml:space="preserve">Thank you!</x18tc:text>
  </x18tc:threadedComment>
  <x18tc:threadedComment ref="U18" dT="2025-11-24T18:17:44.00" personId="{aee94e66-a8d2-4d37-bd5e-8046ee94023d}" id="{10f8c10c-e6e2-489b-b4f8-a86ac83d5d71}" done="0">
    <x18tc:text xml:space="preserve">@donnie.yee@trilogy.com this should now be K-12. 
@tasha.arnold@2hourlearning.com @tasha.arnold@alpha.school pls confirm.
Assigned to donnie.yee@trilogy.com</x18tc:text>
    <x18tc:mentions>
      <x18tc:mention mentionpersonId="{89c5b50c-ba7f-4dc2-ac4a-2d16e711229b}" mentionId="{fb9c623f-d358-4d4e-9460-51dbdd756841}" startIndex="0" length="23"/>
      <x18tc:mention mentionpersonId="{8b715740-267c-4990-9265-d87ed3660357}" mentionId="{6346076d-bdd9-4c47-a15f-687be68f04a3}" startIndex="51" length="31"/>
      <x18tc:mention mentionpersonId="{1d6d7079-e654-41a8-aeea-04d4f964b2f7}" mentionId="{508b775d-2d68-4770-b19f-180162c5aae8}" startIndex="83" length="26"/>
    </x18tc:mentions>
  </x18tc:threadedComment>
  <x18tc:threadedComment ref="B6" dT="2025-07-14T13:43:36.00" personId="{ca9de7f2-f71e-484f-a07d-306d53649393}" id="{4c0e678a-65dc-4f96-adeb-2f143f6094ac}" done="1">
    <x18tc:text xml:space="preserve">@jan.dejager@trilogy.com - this row is not correct. @ludel.mier@trilogy.com can provide the details of the owned properties (owned via 5Y or other controlled entity)</x18tc:text>
    <x18tc:mentions>
      <x18tc:mention mentionpersonId="{110becb3-6830-4fb5-b6ef-24fb9f29c861}" mentionId="{0053ba54-d050-4b58-bc1d-3b17318e1032}" startIndex="0" length="24"/>
      <x18tc:mention mentionpersonId="{03cc7136-df99-4ccb-8526-3f9798f7bb9a}" mentionId="{d51e23e2-42d6-4883-b2f1-c599b0664b1b}" startIndex="52" length="23"/>
    </x18tc:mentions>
  </x18tc:threadedComment>
  <x18tc:threadedComment ref="B6" dT="2025-07-16T14:19:15.00" personId="{5495796c-803e-4d04-839b-a9c969210ec0}" id="{5d684a45-e783-4be2-bd78-5df1b30258b2}" parentId="{4c0e678a-65dc-4f96-adeb-2f143f6094ac}">
    <x18tc:text xml:space="preserve">@ludel.mier@trilogy.com - updated based on our records - please confirm</x18tc:text>
    <x18tc:mentions>
      <x18tc:mention mentionpersonId="{03cc7136-df99-4ccb-8526-3f9798f7bb9a}" mentionId="{e3af784a-6378-47ac-b85b-a6f5dd97c0a0}" startIndex="0" length="23"/>
    </x18tc:mentions>
  </x18tc:threadedComment>
  <x18tc:threadedComment ref="B6" dT="2025-07-16T15:01:38.00" personId="{ca9de7f2-f71e-484f-a07d-306d53649393}" id="{d88afbae-24e2-4a75-9bed-0b17cd8e1144}" parentId="{4c0e678a-65dc-4f96-adeb-2f143f6094ac}">
    <x18tc:text xml:space="preserve">thanks</x18tc:text>
  </x18tc:threadedComment>
  <x18tc:threadedComment ref="AM42" dT="2025-11-10T22:29:58.00" personId="{e0f9e752-4c1c-4cde-b844-7ddef95e704e}" id="{71b3efed-012b-4f4a-bd07-09d28916a14b}" done="0">
    <x18tc:text xml:space="preserve">@robbie.forrest@trilogy.com @jc.fischer@trilogy.com @andrew.jordan@trilogy.com who can fill out acres and other fields for Carrollton please?
Assigned to robbie.forrest@trilogy.com</x18tc:text>
    <x18tc:mentions>
      <x18tc:mention mentionpersonId="{ae7a58e5-1b85-439a-9ddb-65f7f86eb409}" mentionId="{bc023bfb-a32f-451f-bbd2-c348b9534bb7}" startIndex="0" length="27"/>
      <x18tc:mention mentionpersonId="{a85e4ea7-c011-42a5-a6be-4cb6fa744464}" mentionId="{f44b4b96-ec07-4764-9f4a-71f041400c68}" startIndex="28" length="23"/>
      <x18tc:mention mentionpersonId="{416700c4-395c-4dab-9a17-b66b9d2466b9}" mentionId="{0788c643-4a6c-4f98-a172-2f57fd0d9424}" startIndex="52" length="26"/>
    </x18tc:mentions>
  </x18tc:threadedComment>
  <x18tc:threadedComment ref="AM42" dT="2025-11-10T22:55:33.00" personId="{41a06bdc-7b6e-4d7d-8077-bb4d2d59df4d}" id="{b1e5986c-d40e-4f5d-bd1f-ced4581313c0}" parentId="{71b3efed-012b-4f4a-bd07-09d28916a14b}">
    <x18tc:text xml:space="preserve">checking the lease, site plan docs</x18tc:text>
  </x18tc:threadedComment>
  <x18tc:threadedComment ref="C2" dT="2025-11-06T11:29:25.00" personId="{a9cf6e79-9751-4017-90e6-a3b2941f1187}" id="{70f88698-fd2a-4e16-a1b7-aeae96ed8cf3}" done="1">
    <x18tc:text xml:space="preserve">@jan.dejager@trilogy.com - this needs to be broken out into two line.  Alpha downtown Austin and Alpha Spyglass
Assigned to jan.dejager@trilogy.com</x18tc:text>
    <x18tc:mentions>
      <x18tc:mention mentionpersonId="{110becb3-6830-4fb5-b6ef-24fb9f29c861}" mentionId="{bd7b3481-1eec-4288-9f8b-5331224ad53c}" startIndex="0" length="24"/>
    </x18tc:mentions>
  </x18tc:threadedComment>
  <x18tc:threadedComment ref="C2" dT="2025-11-06T11:30:00.00" personId="{a9cf6e79-9751-4017-90e6-a3b2941f1187}" id="{60c69979-0e50-407e-830d-990c43627a04}" parentId="{70f88698-fd2a-4e16-a1b7-aeae96ed8cf3}">
    <x18tc:text xml:space="preserve">it looks like column D is downtown, so address just needs to be updated to only by Spyglass</x18tc:text>
  </x18tc:threadedComment>
  <x18tc:threadedComment ref="AE32" dT="2025-12-03T02:24:17.00" personId="{4406f311-3a54-4798-954a-6309e28792a4}" id="{c1692356-8087-4935-9f41-5855d9601f1d}" done="1">
    <x18tc:text xml:space="preserve">Hiring</x18tc:text>
  </x18tc:threadedComment>
  <x18tc:threadedComment ref="AE32" dT="2026-01-04T20:44:54.00" personId="{4406f311-3a54-4798-954a-6309e28792a4}" id="{b56d7168-67cb-4559-902f-50f046f1649a}" parentId="{c1692356-8087-4935-9f41-5855d9601f1d}">
    <x18tc:text xml:space="preserve">Kellie Mowll</x18tc:text>
  </x18tc:threadedComment>
  <x18tc:threadedComment ref="AE32" dT="2026-01-19T19:59:40.00" personId="{4406f311-3a54-4798-954a-6309e28792a4}" id="{90ecf921-4e59-4c42-a178-ba1b6cab1bbc}" parentId="{c1692356-8087-4935-9f41-5855d9601f1d}">
    <x18tc:text xml:space="preserve">ADOP = Kellie Mowll. Start date 3.2.2026 -- please update.</x18tc:text>
  </x18tc:threadedComment>
  <x18tc:threadedComment ref="AD2" dT="2025-10-20T14:36:45.00" personId="{0262a5cd-6f3a-4703-b808-bc0987862b5e}" id="{ac7b5234-bc70-4011-8bd2-750b35bfcdd2}" done="1">
    <x18tc:text xml:space="preserve">@amelia.baldwin@alpha.school @jan.dejager@trilogy.com @dmitry.bakaev@alpha.school 
New site confirmed from school ops/real estate team
1 total reaction
Amelia Baldwin reacted with 👀 at 2025-10-20 22:13 PM
Assigned to amelia.baldwin@alpha.school</x18tc:text>
    <x18tc:mentions>
      <x18tc:mention mentionpersonId="{ceabeb41-7692-4dc7-a25b-b6f20b2fe9d3}" mentionId="{a2a13d60-850d-43d1-b8da-2180f70ecf28}" startIndex="0" length="28"/>
      <x18tc:mention mentionpersonId="{110becb3-6830-4fb5-b6ef-24fb9f29c861}" mentionId="{6ece838d-6fb6-4d60-908f-03f0dc9e9801}" startIndex="29" length="24"/>
      <x18tc:mention mentionpersonId="{61ed0cf0-c2ca-47fd-8399-5d40475998a9}" mentionId="{3c447775-85c6-4d5b-b4df-af17b70afd78}" startIndex="54" length="27"/>
    </x18tc:mentions>
  </x18tc:threadedComment>
  <x18tc:threadedComment ref="J8" dT="2025-06-24T21:25:55.00" personId="{298ce18e-383d-4b63-9127-423ce6718bdb}" id="{cd5f4d26-613b-496f-9fd7-0968158932b5}" done="1">
    <x18tc:text xml:space="preserve">Hearing different info here @jan.dejager@trilogy.com @arthur@trilogy.com</x18tc:text>
    <x18tc:mentions>
      <x18tc:mention mentionpersonId="{110becb3-6830-4fb5-b6ef-24fb9f29c861}" mentionId="{0e049264-6520-4915-b219-93e2e5ab4af4}" startIndex="28" length="24"/>
      <x18tc:mention mentionpersonId="{57259500-5a14-4ba4-b843-32512c7c5aa7}" mentionId="{777f8ee5-f289-405c-b2cd-ec9c6bc89539}" startIndex="53" length="19"/>
    </x18tc:mentions>
  </x18tc:threadedComment>
  <x18tc:threadedComment ref="J8" dT="2025-06-27T15:19:34.00" personId="{ca9de7f2-f71e-484f-a07d-306d53649393}" id="{6690df18-635f-4d3e-8d7f-cec38411ae04}" parentId="{cd5f4d26-613b-496f-9fd7-0968158932b5}">
    <x18tc:text xml:space="preserve">what diff info have you heard and from who?</x18tc:text>
  </x18tc:threadedComment>
  <x18tc:threadedComment ref="J8" dT="2025-07-01T15:16:23.00" personId="{5495796c-803e-4d04-839b-a9c969210ec0}" id="{c77985e1-7b88-42dd-8b8e-0ac716d76c2a}" parentId="{cd5f4d26-613b-496f-9fd7-0968158932b5}">
    <x18tc:text xml:space="preserve">AndrewJ stated: "Joe is providing scholarships to all kids for the first year. Goal will be to get everything setup to accept vouchers starting next year."
Can this be confirmed with AP/Joe?</x18tc:text>
  </x18tc:threadedComment>
  <x18tc:threadedComment ref="J8" dT="2025-07-07T11:24:41.00" personId="{298ce18e-383d-4b63-9127-423ce6718bdb}" id="{96233208-87d6-4900-b4af-15c9cf36aaf1}" parentId="{cd5f4d26-613b-496f-9fd7-0968158932b5}">
    <x18tc:text xml:space="preserve">MP directed me to @arthur@trilogy.com for final information relating to school tuition, etc.  Do we have an final update on this?</x18tc:text>
    <x18tc:mentions>
      <x18tc:mention mentionpersonId="{57259500-5a14-4ba4-b843-32512c7c5aa7}" mentionId="{4ba30b7a-5266-48a4-b25f-282b3b7d7700}" startIndex="18" length="19"/>
    </x18tc:mentions>
  </x18tc:threadedComment>
  <x18tc:threadedComment ref="J8" dT="2025-07-09T00:33:58.00" personId="{e0f9e752-4c1c-4cde-b844-7ddef95e704e}" id="{74ffe3f3-9883-440e-8880-8344101caa92}" parentId="{cd5f4d26-613b-496f-9fd7-0968158932b5}">
    <x18tc:text xml:space="preserve">$0 for 2025/26 for the existing families.  We'll have to figure something out as we didn't get the charter for after.  Are you currently marketing for new students?</x18tc:text>
  </x18tc:threadedComment>
  <x18tc:threadedComment ref="J8" dT="2025-07-09T15:39:51.00" personId="{298ce18e-383d-4b63-9127-423ce6718bdb}" id="{6b900e24-c1f3-4450-971a-6a119db1cb79}" parentId="{cd5f4d26-613b-496f-9fd7-0968158932b5}">
    <x18tc:text xml:space="preserve">Here is information that was shared with me from the Lead Guide at the school but I have not heard Ops verification yet: "Tuition SY25-26 = fully subsidized for former TX Prep families. $5k for externally admitted/new families (that's a $10k discount in good faith that they'd use $10k voucher next SY.") Questions: 1. Is the quoted information about accurate? 2. Will the current families always have $0 tuition or only the first year?</x18tc:text>
  </x18tc:threadedComment>
  <x18tc:threadedComment ref="J8" dT="2025-07-09T16:04:53.00" personId="{298ce18e-383d-4b63-9127-423ce6718bdb}" id="{48c73354-1e5a-400e-9da5-8efc0f430ea6}" parentId="{cd5f4d26-613b-496f-9fd7-0968158932b5}">
    <x18tc:text xml:space="preserve">@donnie.yee@trilogy.com</x18tc:text>
    <x18tc:mentions>
      <x18tc:mention mentionpersonId="{89c5b50c-ba7f-4dc2-ac4a-2d16e711229b}" mentionId="{e77e6309-dd30-4a80-972b-23c5d1cab020}" startIndex="0" length="23"/>
    </x18tc:mentions>
  </x18tc:threadedComment>
  <x18tc:threadedComment ref="J8" dT="2025-07-11T09:38:36.00" personId="{298ce18e-383d-4b63-9127-423ce6718bdb}" id="{939fd2f6-655d-4e34-80dd-13c5496e19be}" parentId="{cd5f4d26-613b-496f-9fd7-0968158932b5}">
    <x18tc:text xml:space="preserve">Also, with $0 tuition, I am confirming that it is $0 deposit?</x18tc:text>
  </x18tc:threadedComment>
  <x18tc:threadedComment ref="J8" dT="2025-07-11T13:09:41.00" personId="{0262a5cd-6f3a-4703-b808-bc0987862b5e}" id="{adc64513-bea9-4a51-ba10-4602f1a7596c}" parentId="{cd5f4d26-613b-496f-9fd7-0968158932b5}">
    <x18tc:text xml:space="preserve">For the $0 families (grandfathered) we will not charge them a deposit (unless we have a policy that requires a nominal deposit to claim their spot/reserve a device).</x18tc:text>
  </x18tc:threadedComment>
  <x18tc:threadedComment ref="J8" dT="2025-07-11T14:33:41.00" personId="{298ce18e-383d-4b63-9127-423ce6718bdb}" id="{9a8ef2b2-aecc-4f3e-bfdf-d35197fbc8a8}" parentId="{cd5f4d26-613b-496f-9fd7-0968158932b5}">
    <x18tc:text xml:space="preserve">Are new families $5k with a deposit or no deposit?</x18tc:text>
  </x18tc:threadedComment>
  <x18tc:threadedComment ref="AD32" dT="2025-12-03T02:24:12.00" personId="{4406f311-3a54-4798-954a-6309e28792a4}" id="{a5631fca-3269-4a4a-ac67-841063c4e931}" done="1">
    <x18tc:text xml:space="preserve">Hiring</x18tc:text>
  </x18tc:threadedComment>
  <x18tc:threadedComment ref="F28" dT="2025-11-06T11:32:52.00" personId="{a9cf6e79-9751-4017-90e6-a3b2941f1187}" id="{255cd776-1269-402c-9eee-3aca6308e9fa}" done="1">
    <x18tc:text xml:space="preserve">@jan.dejager@trilogy.com - Please update to:
87-3012777
Disregarded entity under 2HR Learning, Inc. and has not had reason to request its own EIN so disclosing 2HR Learning, Inc. EIN
87-3012777
Assigned to jan.dejager@trilogy.com</x18tc:text>
    <x18tc:mentions>
      <x18tc:mention mentionpersonId="{110becb3-6830-4fb5-b6ef-24fb9f29c861}" mentionId="{c5183ec0-8e84-4294-ae15-8885012a3681}" startIndex="0" length="24"/>
    </x18tc:mentions>
  </x18tc:threadedComment>
  <x18tc:threadedComment ref="J28" dT="2025-06-30T15:48:14.00" personId="{a9cf6e79-9751-4017-90e6-a3b2941f1187}" id="{2e1a5256-a4b5-4676-b821-b9af8eb30023}" done="1">
    <x18tc:text xml:space="preserve">disregarded entity under 2HR Learning, Inc. and has not had reason to request its own EIN so disclosing 2HR Learning, Inc. EIN</x18tc:text>
  </x18tc:threadedComment>
  <x18tc:threadedComment ref="C28" dT="2025-11-06T11:32:59.00" personId="{a9cf6e79-9751-4017-90e6-a3b2941f1187}" id="{c3256dda-87b0-4788-95ae-23b23f8cc141}" done="1">
    <x18tc:text xml:space="preserve">@jan.dejager@trilogy.com - Please update to:
87-3012777
Disregarded entity under 2HR Learning, Inc. and has not had reason to request its own EIN so disclosing 2HR Learning, Inc. EIN
87-3012777
Assigned to jan.dejager@trilogy.com</x18tc:text>
    <x18tc:mentions>
      <x18tc:mention mentionpersonId="{110becb3-6830-4fb5-b6ef-24fb9f29c861}" mentionId="{b07db9d1-4169-4dd1-bc00-9d553a912bc0}" startIndex="0" length="24"/>
    </x18tc:mentions>
  </x18tc:threadedComment>
  <x18tc:threadedComment ref="U8" dT="2025-06-19T07:13:21.00" personId="{5495796c-803e-4d04-839b-a9c969210ec0}" id="{e3f55b10-61fd-4a86-800a-4cdc712e2d31}" done="1">
    <x18tc:text xml:space="preserve">Listed as $75k here
https://docs.google.com/spreadsheets/d/1NuGTuqSjg2yaa4g530cgVIK1Wh_WN6vP-VXIj0G-3SY/edit?gid=1832517803#gid=1832517803&amp;range=A20</x18tc:text>
    <x18tc:extLst>
      <ext uri="{F7C98A9C-CBB3-438F-8F68-D28B6AF4A901}">
        <xltc2:checksum/>
        <xltc2:hyperlink startIndex="20" length="128" url="https://docs.google.com/spreadsheets/d/1NuGTuqSjg2yaa4g530cgVIK1Wh_WN6vP-VXIj0G-3SY/edit?gid=1832517803#gid=1832517803&amp;range=A20"/>
      </ext>
    </x18tc:extLst>
  </x18tc:threadedComment>
  <x18tc:threadedComment ref="U8" dT="2025-06-23T19:36:46.00" personId="{298ce18e-383d-4b63-9127-423ce6718bdb}" id="{0f2f2e4a-b063-4d3a-8d12-652f205d5a4a}" parentId="{e3f55b10-61fd-4a86-800a-4cdc712e2d31}">
    <x18tc:text xml:space="preserve">SB started at 50k with 10k FF discount. NY started at 65k with 10k FF. This was stated as the rate for the first 25 students enrolled. Students are in SIS with this rate listed. @jan.dejager@trilogy.com</x18tc:text>
    <x18tc:mentions>
      <x18tc:mention mentionpersonId="{110becb3-6830-4fb5-b6ef-24fb9f29c861}" mentionId="{6460aba9-346b-4ee1-a49a-494a07b52c07}" startIndex="178" length="24"/>
    </x18tc:mentions>
  </x18tc:threadedComment>
  <x18tc:threadedComment ref="D28" dT="2025-11-06T11:33:09.00" personId="{a9cf6e79-9751-4017-90e6-a3b2941f1187}" id="{7a6b4155-caf4-4f5f-b29b-cf1ec925c59f}" done="1">
    <x18tc:text xml:space="preserve">@jan.dejager@trilogy.com - Please update to:
87-3012777
Disregarded entity under 2HR Learning, Inc. and has not had reason to request its own EIN so disclosing 2HR Learning, Inc. EIN
87-3012777
Assigned to jan.dejager@trilogy.com</x18tc:text>
    <x18tc:mentions>
      <x18tc:mention mentionpersonId="{110becb3-6830-4fb5-b6ef-24fb9f29c861}" mentionId="{a5accbb4-9a9a-41f8-82e9-1146b1e089b8}" startIndex="0" length="24"/>
    </x18tc:mentions>
  </x18tc:threadedComment>
  <x18tc:threadedComment ref="T8" dT="2025-06-19T07:12:53.00" personId="{5495796c-803e-4d04-839b-a9c969210ec0}" id="{98d8ce0e-c41f-40c5-8706-ef0579b4409c}" done="1">
    <x18tc:text xml:space="preserve">https://docs.google.com/spreadsheets/d/1NuGTuqSjg2yaa4g530cgVIK1Wh_WN6vP-VXIj0G-3SY/edit?gid=1832517803#gid=1832517803&amp;range=A19
@arthur@trilogy.com @david.harpur@trilogy.com - points that need clarifying based on previous understanding vs the sheet above shared on email.
1. NYC: We had this as $65k base minus $10k FF discount in 2025/26 for first 25, and $75k base from 2026/27 onwards. The sheet above implies $75k base for 2025/26. 
2. We had SB at $50k base - the sheet has it at $75k
cc @amelia.baldwin@alpha.school</x18tc:text>
    <x18tc:mentions>
      <x18tc:mention mentionpersonId="{57259500-5a14-4ba4-b843-32512c7c5aa7}" mentionId="{6f132310-87dc-431c-a6a2-a98693865f6d}" startIndex="130" length="19"/>
      <x18tc:mention mentionpersonId="{9ecbeea8-b78f-49ff-a39c-eac4a37185dc}" mentionId="{8bad04d2-1d45-4e67-9be8-27458b332af3}" startIndex="150" length="25"/>
      <x18tc:mention mentionpersonId="{ceabeb41-7692-4dc7-a25b-b6f20b2fe9d3}" mentionId="{ebb3fd28-f1e3-4597-83b3-d63458ef8c4a}" startIndex="497" length="28"/>
    </x18tc:mentions>
    <x18tc:extLst>
      <ext uri="{F7C98A9C-CBB3-438F-8F68-D28B6AF4A901}">
        <xltc2:checksum/>
        <xltc2:hyperlink startIndex="0" length="128" url="https://docs.google.com/spreadsheets/d/1NuGTuqSjg2yaa4g530cgVIK1Wh_WN6vP-VXIj0G-3SY/edit?gid=1832517803#gid=1832517803&amp;range=A19"/>
      </ext>
    </x18tc:extLst>
  </x18tc:threadedComment>
  <x18tc:threadedComment ref="T8" dT="2025-06-19T09:58:27.00" personId="{ca9de7f2-f71e-484f-a07d-306d53649393}" id="{d20d6a49-981c-49c8-ac74-7872fd277695}" parentId="{98d8ce0e-c41f-40c5-8706-ef0579b4409c}">
    <x18tc:text xml:space="preserve">#1 - $75k, less $10k for founding families
#2 - move SB to $75k (we need to update the model also for that)</x18tc:text>
  </x18tc:threadedComment>
  <x18tc:threadedComment ref="T8" dT="2025-06-19T11:25:39.00" personId="{298ce18e-383d-4b63-9127-423ce6718bdb}" id="{cce88ab2-fbc6-4159-b48c-ccd556221c9b}" parentId="{98d8ce0e-c41f-40c5-8706-ef0579b4409c}">
    <x18tc:text xml:space="preserve">@david.harpur@trilogy.com Clarifying question: SB is currently at 13 enrolled with 6 offers sent and 17 who have applied.  The FF is agreed for the first 25 students. Currently, the school has been shared as 65k per year. When/how/with who does this go into effect with? 
cc: @arthur@trilogy.com @jan.dejager@trilogy.com</x18tc:text>
    <x18tc:mentions>
      <x18tc:mention mentionpersonId="{9ecbeea8-b78f-49ff-a39c-eac4a37185dc}" mentionId="{b0421a10-9687-4fa1-b0e6-31de6b7630b6}" startIndex="0" length="25"/>
      <x18tc:mention mentionpersonId="{57259500-5a14-4ba4-b843-32512c7c5aa7}" mentionId="{45714e84-c418-45d2-b2ac-1657dc152b3c}" startIndex="277" length="19"/>
      <x18tc:mention mentionpersonId="{110becb3-6830-4fb5-b6ef-24fb9f29c861}" mentionId="{97b79b62-ba37-46d0-9211-3358299b6750}" startIndex="297" length="24"/>
    </x18tc:mentions>
  </x18tc:threadedComment>
  <x18tc:threadedComment ref="T8" dT="2025-06-19T11:28:50.00" personId="{298ce18e-383d-4b63-9127-423ce6718bdb}" id="{d9d7853e-8701-4373-98d5-1281c35034fb}" parentId="{98d8ce0e-c41f-40c5-8706-ef0579b4409c}">
    <x18tc:text xml:space="preserve">I have just noted in this document that it states after the first 25 for SB and NY. I have included this detail in NY &amp; SB cells 3.1
https://docs.google.com/spreadsheets/d/1NuGTuqSjg2yaa4g530cgVIK1Wh_WN6vP-VXIj0G-3SY/edit?gid=1832517803#gid=1832517803&amp;range=A20
@david.harpur@trilogy.com @jan.dejager@trilogy.com @arthur@trilogy.com</x18tc:text>
    <x18tc:mentions>
      <x18tc:mention mentionpersonId="{9ecbeea8-b78f-49ff-a39c-eac4a37185dc}" mentionId="{51635653-00ee-4231-9a32-2af69ac2b5be}" startIndex="264" length="25"/>
      <x18tc:mention mentionpersonId="{110becb3-6830-4fb5-b6ef-24fb9f29c861}" mentionId="{9e2f9721-f85d-41b4-a1b1-11771f567298}" startIndex="290" length="24"/>
      <x18tc:mention mentionpersonId="{57259500-5a14-4ba4-b843-32512c7c5aa7}" mentionId="{55db9e56-4fa4-42e0-b935-5ce1871dd50e}" startIndex="315" length="19"/>
    </x18tc:mentions>
    <x18tc:extLst>
      <ext uri="{F7C98A9C-CBB3-438F-8F68-D28B6AF4A901}">
        <xltc2:checksum/>
        <xltc2:hyperlink startIndex="134" length="128" url="https://docs.google.com/spreadsheets/d/1NuGTuqSjg2yaa4g530cgVIK1Wh_WN6vP-VXIj0G-3SY/edit?gid=1832517803#gid=1832517803&amp;range=A20"/>
      </ext>
    </x18tc:extLst>
  </x18tc:threadedComment>
  <x18tc:threadedComment ref="T8" dT="2025-06-19T11:40:42.00" personId="{ca9de7f2-f71e-484f-a07d-306d53649393}" id="{473c0db3-838f-4d10-9c26-97c32ae9d025}" parentId="{98d8ce0e-c41f-40c5-8706-ef0579b4409c}">
    <x18tc:text xml:space="preserve">Amelia- what have we communicated exactly to parents re SB?
#1 - standard fees are $75k/yr, but there is a $10k discount for the first 25 founding families (so they are at $65k/yr)
or
#2 - standard fees are $65k/yr, but there is a $10k discount for the first 25 founding families (so they are at $55k/yr)?
or
#3 - something else?
and "yes" - the founding family discount applies to the first 25 families.</x18tc:text>
  </x18tc:threadedComment>
  <x18tc:threadedComment ref="T8" dT="2025-06-23T07:28:23.00" personId="{5495796c-803e-4d04-839b-a9c969210ec0}" id="{3c565d68-53c1-4dc4-a6d5-ce84c04fa232}" parentId="{98d8ce0e-c41f-40c5-8706-ef0579b4409c}">
    <x18tc:text xml:space="preserve">@amelia.baldwin@alpha.school - follow-up on SB tuition communicated to parents.</x18tc:text>
    <x18tc:mentions>
      <x18tc:mention mentionpersonId="{ceabeb41-7692-4dc7-a25b-b6f20b2fe9d3}" mentionId="{f2f21652-8c70-4e49-83b5-d3408a83ccda}" startIndex="0" length="28"/>
    </x18tc:mentions>
  </x18tc:threadedComment>
  <x18tc:threadedComment ref="T8" dT="2025-06-23T18:29:14.00" personId="{298ce18e-383d-4b63-9127-423ce6718bdb}" id="{c1b18360-818b-405d-946e-b0a64fec87ae}" parentId="{98d8ce0e-c41f-40c5-8706-ef0579b4409c}">
    <x18tc:text xml:space="preserve">SB started at 50k with 10k FF discount. NY started at 65k with 10k FF. This was stated as the rate for the first 25 students enrolled. Students are in SIS with this rate listed. @jan.dejager@trilogy.com</x18tc:text>
    <x18tc:mentions>
      <x18tc:mention mentionpersonId="{110becb3-6830-4fb5-b6ef-24fb9f29c861}" mentionId="{3eb34fdf-680e-405c-9157-d974cb6037eb}" startIndex="178" length="24"/>
    </x18tc:mentions>
  </x18tc:threadedComment>
  <x18tc:threadedComment ref="T8" dT="2025-06-24T00:42:17.00" personId="{ca9de7f2-f71e-484f-a07d-306d53649393}" id="{c97e17a8-f9d2-4a49-aa64-0dc9512712f7}" parentId="{98d8ce0e-c41f-40c5-8706-ef0579b4409c}">
    <x18tc:text xml:space="preserve">@andy.price@trilogy.com - fyi</x18tc:text>
    <x18tc:mentions>
      <x18tc:mention mentionpersonId="{21113a98-5968-43f5-b11e-0a69f444a490}" mentionId="{6368ac95-2815-42a3-a4a8-6f60f1a1d651}" startIndex="0" length="23"/>
    </x18tc:mentions>
  </x18tc:threadedComment>
  <x18tc:threadedComment ref="C23" dT="2025-11-06T11:34:20.00" personId="{a9cf6e79-9751-4017-90e6-a3b2941f1187}" id="{98a81c80-4d1e-4339-b6c5-f56850dd61f8}" done="1">
    <x18tc:text xml:space="preserve">@jan.dejager@trilogy.com 
Spyglass location is in entity Alpha School 78746, LLC and Colorado St location is at Alpha School 78741, LLC.
Assigned to jan.dejager@trilogy.com</x18tc:text>
    <x18tc:mentions>
      <x18tc:mention mentionpersonId="{110becb3-6830-4fb5-b6ef-24fb9f29c861}" mentionId="{fcafe450-c324-41f6-b4dd-2f1274fe4b8b}" startIndex="0" length="24"/>
    </x18tc:mentions>
  </x18tc:threadedComment>
  <x18tc:threadedComment ref="U21" dT="2025-08-12T17:30:04.00" personId="{e0f9e752-4c1c-4cde-b844-7ddef95e704e}" id="{40cf0b42-b6cd-4310-a08d-fa5600cac836}" done="1">
    <x18tc:text xml:space="preserve">@rachel.goodlad@alpha.school what about this one, waypoint, and nextgen pls?
Assigned to rachel.goodlad@alpha.school</x18tc:text>
    <x18tc:mentions>
      <x18tc:mention mentionpersonId="{29d2406b-30bf-43b3-87b9-fe87b6d13e6a}" mentionId="{b6c937e5-4106-4f91-8bbc-9044a85f79aa}" startIndex="0" length="28"/>
    </x18tc:mentions>
  </x18tc:threadedComment>
  <x18tc:threadedComment ref="U21" dT="2025-08-12T17:42:51.00" personId="{e0f9e752-4c1c-4cde-b844-7ddef95e704e}" id="{fc222324-2a8e-4f6b-9fcf-56a232fc9f31}" parentId="{40cf0b42-b6cd-4310-a08d-fa5600cac836}">
    <x18tc:text xml:space="preserve">I filled out based on what i know, but pls confirmr.</x18tc:text>
  </x18tc:threadedComment>
  <x18tc:threadedComment ref="S21" dT="2025-08-12T16:05:06.00" personId="{05e04ec8-2dbd-4951-b6b2-725339344122}" id="{f3286be8-4cec-452d-8fb1-c9c5030b889b}" done="1">
    <x18tc:text xml:space="preserve">August 13 @arthur@trilogy.com
Assigned to arthur@trilogy.com</x18tc:text>
    <x18tc:mentions>
      <x18tc:mention mentionpersonId="{57259500-5a14-4ba4-b843-32512c7c5aa7}" mentionId="{a3d4ae95-0380-46dd-9844-949c02f700e1}" startIndex="10" length="19"/>
    </x18tc:mentions>
  </x18tc:threadedComment>
  <x18tc:threadedComment ref="H2" dT="2026-01-07T22:00:11.00" personId="{4406f311-3a54-4798-954a-6309e28792a4}" id="{6c03622c-e239-4066-9343-3b37d16db302}" done="0">
    <x18tc:text xml:space="preserve">Aren't there 10+ new TSA locations?</x18tc:text>
  </x18tc:threadedComment>
  <x18tc:threadedComment ref="I13" dT="2025-06-23T18:37:30.00" personId="{5495796c-803e-4d04-839b-a9c969210ec0}" id="{386aa4b3-fe39-4ce4-aa32-92a6e174ad1a}" done="1">
    <x18tc:text xml:space="preserve">@cathrina.carmen@trilogy.com - as discussed</x18tc:text>
    <x18tc:mentions>
      <x18tc:mention mentionpersonId="{868164e6-d80f-4ba4-9b07-2073922b2f49}" mentionId="{549c02ee-dd9f-459a-9c1d-da6309fa1dc6}" startIndex="0" length="28"/>
    </x18tc:mentions>
  </x18tc:threadedComment>
  <x18tc:threadedComment ref="J15" dT="2025-06-19T06:38:18.00" personId="{5495796c-803e-4d04-839b-a9c969210ec0}" id="{e7c698e2-b6bd-4804-a0bf-787cf51ea184}" done="1">
    <x18tc:text xml:space="preserve">"Joe is providing scholarships to all kids for the first year. Goal will be to get everything setup to accept vouchers starting next year."
Following up to get clarity
cc @amelia.baldwin@alpha.school</x18tc:text>
    <x18tc:mentions>
      <x18tc:mention mentionpersonId="{ceabeb41-7692-4dc7-a25b-b6f20b2fe9d3}" mentionId="{a90448ff-a052-4a3d-bc84-6f3469bcb420}" startIndex="173" length="28"/>
    </x18tc:mentions>
  </x18tc:threadedComment>
  <x18tc:threadedComment ref="Q21" dT="2025-08-12T15:55:37.00" personId="{05e04ec8-2dbd-4951-b6b2-725339344122}" id="{d9b87c28-9e57-4afa-a99b-bf89465f14b0}" done="1">
    <x18tc:text xml:space="preserve">@arthur@trilogy.com August 13
Assigned to arthur@trilogy.com</x18tc:text>
    <x18tc:mentions>
      <x18tc:mention mentionpersonId="{57259500-5a14-4ba4-b843-32512c7c5aa7}" mentionId="{f31ba74c-ad23-4887-8e65-558682031a42}" startIndex="0" length="19"/>
    </x18tc:mentions>
  </x18tc:threadedComment>
  <x18tc:threadedComment ref="C22" dT="2025-09-01T17:21:04.00" personId="{e0f9e752-4c1c-4cde-b844-7ddef95e704e}" id="{7af1c342-0665-4438-bbf2-18b3bca3f2a3}" done="1">
    <x18tc:text xml:space="preserve">@donnie.yee@trilogy.com your new formula doesn't look to be working here</x18tc:text>
    <x18tc:mentions>
      <x18tc:mention mentionpersonId="{89c5b50c-ba7f-4dc2-ac4a-2d16e711229b}" mentionId="{fd0ac883-3980-44d8-a0a3-b21a2ececaa9}" startIndex="0" length="23"/>
    </x18tc:mentions>
  </x18tc:threadedComment>
  <x18tc:threadedComment ref="C22" dT="2025-09-02T17:37:53.00" personId="{e0f9e752-4c1c-4cde-b844-7ddef95e704e}" id="{df199fd8-ebaf-4af4-91a2-3af4efd844b0}" parentId="{7af1c342-0665-4438-bbf2-18b3bca3f2a3}">
    <x18tc:text xml:space="preserve">@donnie.yee@trilogy.com when you have a moment.</x18tc:text>
    <x18tc:mentions>
      <x18tc:mention mentionpersonId="{89c5b50c-ba7f-4dc2-ac4a-2d16e711229b}" mentionId="{3dbf0e1d-692c-4253-b4a9-0eea850b33a5}" startIndex="0" length="23"/>
    </x18tc:mentions>
  </x18tc:threadedComment>
  <x18tc:threadedComment ref="C22" dT="2025-09-02T17:46:55.00" personId="{0262a5cd-6f3a-4703-b808-bc0987862b5e}" id="{118f325a-3702-4e0f-8559-c57e56123377}" parentId="{7af1c342-0665-4438-bbf2-18b3bca3f2a3}">
    <x18tc:text xml:space="preserve">Broken when the school names changed; updated.</x18tc:text>
  </x18tc:threadedComment>
  <x18tc:threadedComment ref="W13" dT="2026-01-07T19:05:05.00" personId="{298ce18e-383d-4b63-9127-423ce6718bdb}" id="{46aaacc9-b6dd-4186-9dd6-c0b290e66e00}" done="0">
    <x18tc:text xml:space="preserve">@arthur@trilogy.com @jan.dejager@trilogy.com @dmitry.bakaev@trilogy.com @donnie.yee@trilogy.com 
FF increased to 20k.</x18tc:text>
    <x18tc:mentions>
      <x18tc:mention mentionpersonId="{57259500-5a14-4ba4-b843-32512c7c5aa7}" mentionId="{e26a1c23-b046-4b4a-b487-5b16a885eab0}" startIndex="0" length="19"/>
      <x18tc:mention mentionpersonId="{110becb3-6830-4fb5-b6ef-24fb9f29c861}" mentionId="{72ff891d-d618-40c4-8e7b-4e8e224d4290}" startIndex="20" length="24"/>
      <x18tc:mention mentionpersonId="{0511c2dd-e4a6-4511-b1b6-b40f169ad9e9}" mentionId="{1b3e1c68-0104-4f8f-9f3f-734cebab9c43}" startIndex="45" length="26"/>
      <x18tc:mention mentionpersonId="{89c5b50c-ba7f-4dc2-ac4a-2d16e711229b}" mentionId="{8509e3b5-eb85-4bc5-94f2-4b365ba77940}" startIndex="72" length="23"/>
    </x18tc:mentions>
  </x18tc:threadedComment>
  <x18tc:threadedComment ref="W13" dT="2026-01-07T19:21:21.00" personId="{5495796c-803e-4d04-839b-a9c969210ec0}" id="{a4c279e0-6bb9-4956-be87-f87667bb0e2e}" parentId="{46aaacc9-b6dd-4186-9dd6-c0b290e66e00}">
    <x18tc:text xml:space="preserve">Thanks Amelia - this is only for Chantilly, correct? Dmitry - will you build it into the SIS/Chargify automation? thanks</x18tc:text>
  </x18tc:threadedComment>
  <x18tc:threadedComment ref="W13" dT="2026-01-07T20:32:33.00" personId="{298ce18e-383d-4b63-9127-423ce6718bdb}" id="{af34d876-2275-4532-887e-372a6a207d0c}" parentId="{46aaacc9-b6dd-4186-9dd6-c0b290e66e00}">
    <x18tc:text xml:space="preserve">Yes, only Chantilly</x18tc:text>
  </x18tc:threadedComment>
  <x18tc:threadedComment ref="W13" dT="2026-02-08T23:49:34.00" personId="{298ce18e-383d-4b63-9127-423ce6718bdb}" id="{95d739f3-e497-4813-bd46-16449459c9fc}" parentId="{46aaacc9-b6dd-4186-9dd6-c0b290e66e00}">
    <x18tc:text xml:space="preserve">Do families who enrolled before the 20k get 20k moving forward into 26/27? Is their current credit also supposed to increase? @jan.dejager@trilogy.com @david.harpur@trilogy.com</x18tc:text>
    <x18tc:mentions>
      <x18tc:mention mentionpersonId="{110becb3-6830-4fb5-b6ef-24fb9f29c861}" mentionId="{3d640444-d65b-4639-9a44-908c61ef142b}" startIndex="126" length="24"/>
      <x18tc:mention mentionpersonId="{9ecbeea8-b78f-49ff-a39c-eac4a37185dc}" mentionId="{35ef4d0b-5d7b-46d8-8f1f-6ac39ee6195a}" startIndex="151" length="25"/>
    </x18tc:mentions>
  </x18tc:threadedComment>
  <x18tc:threadedComment ref="W13" dT="2026-02-09T16:57:21.00" personId="{5495796c-803e-4d04-839b-a9c969210ec0}" id="{0a0d6e75-0c29-485c-a3e6-1ddb53591db0}" parentId="{46aaacc9-b6dd-4186-9dd6-c0b290e66e00}">
    <x18tc:text xml:space="preserve">@amelia.baldwin@alpha.school - the families who are enrolled have signed contracts for $10k FF. I would not automatically move them up to $20k, no. 
What was the decision when it changed from $10k to $20k - did it stipulate whether it was for new families or for all?</x18tc:text>
    <x18tc:mentions>
      <x18tc:mention mentionpersonId="{ceabeb41-7692-4dc7-a25b-b6f20b2fe9d3}" mentionId="{e82440f0-e943-4aa0-b528-a16eb8d55235}" startIndex="0" length="28"/>
    </x18tc:mentions>
  </x18tc:threadedComment>
  <x18tc:threadedComment ref="W13" dT="2026-02-09T17:19:54.00" personId="{298ce18e-383d-4b63-9127-423ce6718bdb}" id="{08209b53-60e6-4b85-b4fb-371928483604}" parentId="{46aaacc9-b6dd-4186-9dd6-c0b290e66e00}">
    <x18tc:text xml:space="preserve">I am not aware of anything relating to the decision.  The information was shared on Jan 7. Based on your response, we could then state that any deposits from 1/7/26 and after are 20k.</x18tc:text>
  </x18tc:threadedComment>
  <x18tc:threadedComment ref="F32" dT="2026-02-10T15:47:00.00" personId="{4406f311-3a54-4798-954a-6309e28792a4}" id="{a049c459-b3cd-4c76-b491-5eb7c7ef69f9}" done="0">
    <x18tc:text xml:space="preserve">UPDATE: Morgan Swain</x18tc:text>
  </x18tc:threadedComment>
  <x18tc:threadedComment ref="T22" dT="2025-09-01T17:21:23.00" personId="{e0f9e752-4c1c-4cde-b844-7ddef95e704e}" id="{0f05141f-36d1-4bbe-8f6f-5b2ca021c458}" done="1">
    <x18tc:text xml:space="preserve">@donnie.yee@trilogy.com also here</x18tc:text>
    <x18tc:mentions>
      <x18tc:mention mentionpersonId="{89c5b50c-ba7f-4dc2-ac4a-2d16e711229b}" mentionId="{2d1df494-814e-432a-a704-264dadffb505}" startIndex="0" length="23"/>
    </x18tc:mentions>
  </x18tc:threadedComment>
  <x18tc:threadedComment ref="H9" dT="2025-08-19T12:31:39.00" personId="{e0f9e752-4c1c-4cde-b844-7ddef95e704e}" id="{6558430a-ef67-4bdd-bc88-e41915ed4fa3}" done="1">
    <x18tc:text xml:space="preserve">@andrew.jordan@trilogy.com @jim.liu@trilogy.com these are still TBD?</x18tc:text>
    <x18tc:mentions>
      <x18tc:mention mentionpersonId="{416700c4-395c-4dab-9a17-b66b9d2466b9}" mentionId="{6d500eba-cd1d-4add-b852-cdafc40c6e2c}" startIndex="0" length="26"/>
      <x18tc:mention mentionpersonId="{d69d0368-751d-4acf-a49e-f96cc4f843c0}" mentionId="{5d70cdd3-9540-429d-8f96-257d133d1075}" startIndex="27" length="20"/>
    </x18tc:mentions>
  </x18tc:threadedComment>
  <x18tc:threadedComment ref="H9" dT="2025-08-19T12:53:08.00" personId="{7eb13349-0232-4341-b092-fb43a44a63cc}" id="{6d764c63-b8d9-4420-b42d-e8f7782efca9}" parentId="{6558430a-ef67-4bdd-bc88-e41915ed4fa3}">
    <x18tc:text xml:space="preserve">@jim.liu@trilogy.com I believe all Austin schools will have sifted, correct Jim? If so, can you update accordingly?</x18tc:text>
    <x18tc:mentions>
      <x18tc:mention mentionpersonId="{d69d0368-751d-4acf-a49e-f96cc4f843c0}" mentionId="{74b6fdde-51c2-4537-92a1-ba9e7305b22e}" startIndex="0" length="20"/>
    </x18tc:mentions>
  </x18tc:threadedComment>
  <x18tc:threadedComment ref="H9" dT="2025-08-19T13:21:18.00" personId="{4e173aab-5741-4b0d-9988-4b92b8b0b67b}" id="{5916dccd-290f-4438-93e3-8ebfd5fbad83}" parentId="{6558430a-ef67-4bdd-bc88-e41915ed4fa3}">
    <x18tc:text xml:space="preserve">All except Nova Bastrop.</x18tc:text>
  </x18tc:threadedComment>
  <x18tc:threadedComment ref="V32" dT="2026-02-10T15:47:59.00" personId="{4406f311-3a54-4798-954a-6309e28792a4}" id="{69ca4216-7304-44d7-81a7-6fdd07404840}" done="0">
    <x18tc:text xml:space="preserve">Hiring ADOP</x18tc:text>
  </x18tc:threadedComment>
  <x18tc:threadedComment ref="Y21" dT="2025-08-12T15:57:10.00" personId="{05e04ec8-2dbd-4951-b6b2-725339344122}" id="{1322be19-98e1-460d-90ba-4800605d0cac}" done="1">
    <x18tc:text xml:space="preserve">TBD as soon as anyone is enrolled. @arthur@trilogy.com
Assigned to arthur@trilogy.com</x18tc:text>
    <x18tc:mentions>
      <x18tc:mention mentionpersonId="{57259500-5a14-4ba4-b843-32512c7c5aa7}" mentionId="{6ffe6071-a506-426e-9285-7f6a79f28268}" startIndex="35" length="19"/>
    </x18tc:mentions>
  </x18tc:threadedComment>
  <x18tc:threadedComment ref="J8" dT="2025-07-13T22:43:01.00" personId="{298ce18e-383d-4b63-9127-423ce6718bdb}" id="{914057e7-118a-479d-a430-55e7fd8a6c63}" done="1">
    <x18tc:text xml:space="preserve">Per MP, no new students enrolled for 25/26, only existing students at $0.</x18tc:text>
  </x18tc:threadedComment>
  <x18tc:threadedComment ref="J8" dT="2025-07-14T13:45:40.00" personId="{ca9de7f2-f71e-484f-a07d-306d53649393}" id="{f28845d2-4679-4404-94f7-f161b65dab8f}" parentId="{914057e7-118a-479d-a430-55e7fd8a6c63}">
    <x18tc:text xml:space="preserve">added this in cell G9, resolving this comment</x18tc:text>
  </x18tc:threadedComment>
  <x18tc:threadedComment ref="O21" dT="2025-08-12T15:57:23.00" personId="{05e04ec8-2dbd-4951-b6b2-725339344122}" id="{6c92b8d5-8668-4652-b332-bb0452f09777}" done="1">
    <x18tc:text xml:space="preserve">August 13 @arthur@trilogy.com
Assigned to arthur@trilogy.com</x18tc:text>
    <x18tc:mentions>
      <x18tc:mention mentionpersonId="{57259500-5a14-4ba4-b843-32512c7c5aa7}" mentionId="{5a6bfd6e-c82d-453b-8add-80f363b40c5b}" startIndex="10" length="19"/>
    </x18tc:mentions>
  </x18tc:threadedComment>
  <x18tc:threadedComment ref="Z21" dT="2025-08-12T16:00:32.00" personId="{05e04ec8-2dbd-4951-b6b2-725339344122}" id="{3a8d3842-1753-4661-b5cc-be0d3e2da0f5}" done="1">
    <x18tc:text xml:space="preserve">December 2025 OR TBD if we get location secured earlier. Similar to Houston. We will open as soon as we have a studnet enrolled once location is annoucned. @arthur@trilogy.com
Assigned to arthur@trilogy.com</x18tc:text>
    <x18tc:mentions>
      <x18tc:mention mentionpersonId="{57259500-5a14-4ba4-b843-32512c7c5aa7}" mentionId="{2577711c-7203-4741-96ee-0e1f00ef0e06}" startIndex="156" length="19"/>
    </x18tc:mentions>
  </x18tc:threadedComment>
  <x18tc:threadedComment ref="Z19" dT="2025-10-20T14:33:46.00" personId="{0262a5cd-6f3a-4703-b808-bc0987862b5e}" id="{faad44f1-20d3-440e-9827-7e7879c966a9}" done="1">
    <x18tc:text xml:space="preserve">@amelia.baldwin@alpha.school this is invalid - roof needs to be repaired and not ready for January
Assigned to amelia.baldwin@alpha.school</x18tc:text>
    <x18tc:mentions>
      <x18tc:mention mentionpersonId="{ceabeb41-7692-4dc7-a25b-b6f20b2fe9d3}" mentionId="{d0643c0a-0f7c-4fcd-a41f-ebb78d9b5024}" startIndex="0" length="28"/>
    </x18tc:mentions>
  </x18tc:threadedComment>
  <x18tc:threadedComment ref="Z19" dT="2025-10-20T14:33:54.00" personId="{0262a5cd-6f3a-4703-b808-bc0987862b5e}" id="{9166f92b-3848-40bb-8b76-25d3b8b81db7}" parentId="{faad44f1-20d3-440e-9827-7e7879c966a9}">
    <x18tc:text xml:space="preserve">Maybe March</x18tc:text>
  </x18tc:threadedComment>
  <x18tc:threadedComment ref="AM35" dT="2025-10-14T17:54:24.00" personId="{e0f9e752-4c1c-4cde-b844-7ddef95e704e}" id="{b4dd8eef-68ba-4839-bb76-7716fe4f2059}" done="1">
    <x18tc:text xml:space="preserve">@andrew.jordan@trilogy.com is this Kevin?
Assigned to andrew.jordan@trilogy.com</x18tc:text>
    <x18tc:mentions>
      <x18tc:mention mentionpersonId="{416700c4-395c-4dab-9a17-b66b9d2466b9}" mentionId="{50cfc783-bdfd-4dad-b807-86517335c409}" startIndex="0" length="26"/>
    </x18tc:mentions>
  </x18tc:threadedComment>
  <x18tc:threadedComment ref="AM35" dT="2025-10-14T19:22:21.00" personId="{7eb13349-0232-4341-b092-fb43a44a63cc}" id="{7432849c-7286-462c-bd48-ef4e935230ac}" parentId="{b4dd8eef-68ba-4839-bb76-7716fe4f2059}">
    <x18tc:text xml:space="preserve">yes</x18tc:text>
  </x18tc:threadedComment>
  <x18tc:threadedComment ref="W21" dT="2025-09-11T03:31:49.00" personId="{e0f9e752-4c1c-4cde-b844-7ddef95e704e}" id="{801cd840-64b3-4e3c-9142-3ddf4e5884d8}" done="1">
    <x18tc:text xml:space="preserve">@andrew.jordan@trilogy.com where did these Oct 13th come from vs previously "when someone is enrolled"?
Assigned to andrew.jordan@trilogy.com</x18tc:text>
    <x18tc:mentions>
      <x18tc:mention mentionpersonId="{416700c4-395c-4dab-9a17-b66b9d2466b9}" mentionId="{b6cc5b0a-7698-4e7f-889d-6f8a04ac6d43}" startIndex="0" length="26"/>
    </x18tc:mentions>
  </x18tc:threadedComment>
  <x18tc:threadedComment ref="S32" dT="2025-12-03T02:21:42.00" personId="{4406f311-3a54-4798-954a-6309e28792a4}" id="{8957fec5-404f-4bbc-9478-13eceb291e26}" done="1">
    <x18tc:text xml:space="preserve">Andy's last name is GIBSON. Can you correct?</x18tc:text>
  </x18tc:threadedComment>
  <x18tc:threadedComment ref="S32" dT="2026-01-05T21:57:41.00" personId="{4406f311-3a54-4798-954a-6309e28792a4}" id="{38e55b51-c2eb-4e2a-9b2d-f5ae1b297dac}" parentId="{8957fec5-404f-4bbc-9478-13eceb291e26}">
    <x18tc:text xml:space="preserve">Tasha to confirm - Crystal is focused exclusively on AZ and should be removed from this cell.</x18tc:text>
  </x18tc:threadedComment>
  <x18tc:threadedComment ref="G32" dT="2026-01-27T20:35:21.00" personId="{4406f311-3a54-4798-954a-6309e28792a4}" id="{e30573ba-08fd-4e80-8d6e-c98fe5692958}" done="0">
    <x18tc:text xml:space="preserve">Hiring ADOP (will also cover BTX and both Novas)</x18tc:text>
  </x18tc:threadedComment>
  <x18tc:threadedComment ref="G32" dT="2026-02-10T15:46:49.00" personId="{4406f311-3a54-4798-954a-6309e28792a4}" id="{6ba3a1f1-50cf-46ac-a959-710c9d88354d}" parentId="{e30573ba-08fd-4e80-8d6e-c98fe5692958}">
    <x18tc:text xml:space="preserve">UPDATE: Morgan Swain</x18tc:text>
  </x18tc:threadedComment>
  <x18tc:threadedComment ref="AC24" dT="2026-01-12T14:47:06.00" personId="{aee94e66-a8d2-4d37-bd5e-8046ee94023d}" id="{c5e41987-45de-4b90-bc24-f6baf60d16ef}" done="0">
    <x18tc:text xml:space="preserve">@jr.houston@trilogy.com do we have capacity for Palo Alto?</x18tc:text>
    <x18tc:mentions>
      <x18tc:mention mentionpersonId="{e622cd7d-7d0b-44e2-b02c-e3f3e3d189f8}" mentionId="{3a678041-86c0-454e-9902-0417e5f38ffe}" startIndex="0" length="23"/>
    </x18tc:mentions>
  </x18tc:threadedComment>
  <x18tc:threadedComment ref="AC24" dT="2026-01-12T14:47:53.00" personId="{7820e791-5943-4f6e-baf1-153e740ed679}" id="{1e1edfed-ea71-4c08-a4de-4f9dba439024}" parentId="{c5e41987-45de-4b90-bc24-f6baf60d16ef}">
    <x18tc:text xml:space="preserve">@patrick.francia@trilogy.com</x18tc:text>
    <x18tc:mentions>
      <x18tc:mention mentionpersonId="{23ae3bc8-0a72-4458-9992-814b38a63ce9}" mentionId="{5f9942a1-0ac6-4e66-a747-a9d3c773ef71}" startIndex="0" length="28"/>
    </x18tc:mentions>
  </x18tc:threadedComment>
  <x18tc:threadedComment ref="AC24" dT="2026-01-12T14:51:07.00" personId="{7820e791-5943-4f6e-baf1-153e740ed679}" id="{adca9e8f-f314-4f61-9893-c317a92fa955}" parentId="{c5e41987-45de-4b90-bc24-f6baf60d16ef}">
    <x18tc:text xml:space="preserve">25 is the minimum designation, I believe this school has capacity for more but Patrick or @brandon.gee@trilogy.com should confirm</x18tc:text>
    <x18tc:mentions>
      <x18tc:mention mentionpersonId="{6d880a15-7ac9-4406-942a-449c394d73ee}" mentionId="{b73b645d-ad35-4694-b03a-50f4bac25b7b}" startIndex="90" length="24"/>
    </x18tc:mentions>
  </x18tc:threadedComment>
  <x18tc:threadedComment ref="AC24" dT="2026-01-12T19:18:39.00" personId="{209a287d-7e6b-468e-b172-ce1a4a14f86a}" id="{dc03a7c1-5e4a-4ea2-be1c-91669d1dc60f}" parentId="{c5e41987-45de-4b90-bc24-f6baf60d16ef}">
    <x18tc:text xml:space="preserve">Built for 25, but max student capacity according to building code is 47.</x18tc:text>
  </x18tc:threadedComment>
  <x18tc:threadedComment ref="AC24" dT="2026-01-13T16:30:27.00" personId="{aee94e66-a8d2-4d37-bd5e-8046ee94023d}" id="{02e61799-ed9a-4485-8545-ba4c4ec9bf3e}" parentId="{c5e41987-45de-4b90-bc24-f6baf60d16ef}">
    <x18tc:text xml:space="preserve">could you update the cell</x18tc:text>
  </x18tc:threadedComment>
  <x18tc:threadedComment ref="AC24" dT="2026-01-13T16:33:45.00" personId="{7820e791-5943-4f6e-baf1-153e740ed679}" id="{978dace7-e096-40ca-b590-bc8a068c2a8a}" parentId="{c5e41987-45de-4b90-bc24-f6baf60d16ef}">
    <x18tc:text xml:space="preserve">I have comment only access</x18tc:text>
  </x18tc:threadedComment>
  <x18tc:threadedComment ref="AC24" dT="2026-01-13T17:51:49.00" personId="{209a287d-7e6b-468e-b172-ce1a4a14f86a}" id="{ec7b0997-e3aa-44de-8862-5b5bb52ae4f1}" parentId="{c5e41987-45de-4b90-bc24-f6baf60d16ef}">
    <x18tc:text xml:space="preserve">Same.</x18tc:text>
  </x18tc:threadedComment>
  <x18tc:threadedComment ref="AC24" dT="2026-01-14T18:25:33.00" personId="{41a06bdc-7b6e-4d7d-8077-bb4d2d59df4d}" id="{212598a0-dbb4-48e1-8829-72efb711255a}" parentId="{c5e41987-45de-4b90-bc24-f6baf60d16ef}">
    <x18tc:text xml:space="preserve">I put it in the cell. We have a wrike database with all these answers. Who needs access?</x18tc:text>
  </x18tc:threadedComment>
  <x18tc:threadedComment ref="T7" dT="2025-06-25T15:39:18.00" personId="{e0f9e752-4c1c-4cde-b844-7ddef95e704e}" id="{c77500f4-37c6-4d88-a9c6-b7d25d2c0969}" done="1">
    <x18tc:text xml:space="preserve">@amelia.baldwin@2hourlearning.com we would need to define what this means first -- does Admissions/Marketing have a view?
Assigned to amelia.baldwin@2hourlearning.com</x18tc:text>
    <x18tc:mentions>
      <x18tc:mention mentionpersonId="{26c64a12-5973-456f-9f23-4c2c69dc7a7f}" mentionId="{c80f7b22-59b2-46c2-84c3-4d31795b5387}" startIndex="0" length="33"/>
    </x18tc:mentions>
  </x18tc:threadedComment>
  <x18tc:threadedComment ref="T7" dT="2025-07-02T15:32:33.00" personId="{298ce18e-383d-4b63-9127-423ce6718bdb}" id="{747d9c38-08c8-4bde-83fa-959ab3cd721b}" parentId="{c77500f4-37c6-4d88-a9c6-b7d25d2c0969}">
    <x18tc:text xml:space="preserve">Jan will be developing the descriptors for each of these models.</x18tc:text>
  </x18tc:threadedComment>
  <x18tc:threadedComment ref="T7" dT="2025-07-02T17:18:35.00" personId="{ca9de7f2-f71e-484f-a07d-306d53649393}" id="{d55ef161-b21b-4dae-bd79-b32d6d41ddc8}" parentId="{c77500f4-37c6-4d88-a9c6-b7d25d2c0969}">
    <x18tc:text xml:space="preserve">@jan.dejager@trilogy.com - ??</x18tc:text>
    <x18tc:mentions>
      <x18tc:mention mentionpersonId="{110becb3-6830-4fb5-b6ef-24fb9f29c861}" mentionId="{e5680354-167d-4f84-bb40-75090000c9be}" startIndex="0" length="24"/>
    </x18tc:mentions>
  </x18tc:threadedComment>
  <x18tc:threadedComment ref="T7" dT="2025-07-15T14:36:20.00" personId="{ca9de7f2-f71e-484f-a07d-306d53649393}" id="{7d35ea4a-f081-4eae-8ec4-e2e47fca8a73}" parentId="{c77500f4-37c6-4d88-a9c6-b7d25d2c0969}">
    <x18tc:text xml:space="preserve">??</x18tc:text>
  </x18tc:threadedComment>
  <x18tc:threadedComment ref="Q27" dT="2025-07-15T15:12:30.00" personId="{a9cf6e79-9751-4017-90e6-a3b2941f1187}" id="{310c3801-7ffa-4023-8c48-2ef7ed6c4d2a}" done="1">
    <x18tc:text xml:space="preserve">new company formed today - Alpha School 94123, LLC - no EIN as disregarded entity under 2HR Learning, Inc.</x18tc:text>
  </x18tc:threadedComment>
  <x18tc:threadedComment ref="Q27" dT="2025-07-15T15:26:39.00" personId="{ca9de7f2-f71e-484f-a07d-306d53649393}" id="{fe232233-1406-44ea-8d23-f67ee0f2b2aa}" parentId="{310c3801-7ffa-4023-8c48-2ef7ed6c4d2a}">
    <x18tc:text xml:space="preserve">thanks</x18tc:text>
  </x18tc:threadedComment>
  <x18tc:threadedComment ref="B14" dT="2025-06-18T21:39:17.00" personId="{e0f9e752-4c1c-4cde-b844-7ddef95e704e}" id="{e036f244-b92e-4bca-a62b-ac5750209ec8}" done="1">
    <x18tc:text xml:space="preserve">@amelia.baldwin@2hourlearning.com @jan.dejager@trilogy.com this is confusing.  Should be something like, Annual Tuition is reduced by 5% for each additional child enrolled. The Sibling Discount is applied to each younger student and is only applicable when more than one child in the same family is enrolled during the same School Year.
Assigned to amelia.baldwin@2hourlearning.com</x18tc:text>
    <x18tc:mentions>
      <x18tc:mention mentionpersonId="{26c64a12-5973-456f-9f23-4c2c69dc7a7f}" mentionId="{cd115d07-118d-4acb-a1cd-666c26767f3e}" startIndex="0" length="33"/>
      <x18tc:mention mentionpersonId="{110becb3-6830-4fb5-b6ef-24fb9f29c861}" mentionId="{54c0e7cd-253b-494d-94ca-85aacb21aabd}" startIndex="34" length="24"/>
    </x18tc:mentions>
  </x18tc:threadedComment>
  <x18tc:threadedComment ref="B14" dT="2025-06-30T11:01:41.00" personId="{5495796c-803e-4d04-839b-a9c969210ec0}" id="{aae720b6-dc88-4a78-8791-0320465f0a5e}" parentId="{e036f244-b92e-4bca-a62b-ac5750209ec8}">
    <x18tc:text xml:space="preserve">updated</x18tc:text>
  </x18tc:threadedComment>
  <x18tc:threadedComment ref="P32" dT="2025-10-24T15:54:50.00" personId="{4406f311-3a54-4798-954a-6309e28792a4}" id="{bbf8fc3e-fb51-4bae-a599-d06ac1eca760}" done="1">
    <x18tc:text xml:space="preserve">Hired Andy Gibson, started Sept. 22.</x18tc:text>
  </x18tc:threadedComment>
  <x18tc:threadedComment ref="L8" dT="2025-06-30T23:39:00.00" personId="{298ce18e-383d-4b63-9127-423ce6718bdb}" id="{8fa74a14-25d9-438a-8c4b-68881cf5e87b}" done="1">
    <x18tc:text xml:space="preserve">@jan.dejager@trilogy.com @david.harpur@trilogy.com 
Please confirm: max. 20 scholarships
$10k each
max. 1 year
grades 3-5 only
families w/ AGI under $150k
I saw this in the Next Gen channel. How are we gathering information of their AGI in order to qualify them?</x18tc:text>
    <x18tc:mentions>
      <x18tc:mention mentionpersonId="{110becb3-6830-4fb5-b6ef-24fb9f29c861}" mentionId="{9df973a5-5592-44ac-a012-7fb0c4a11094}" startIndex="0" length="24"/>
      <x18tc:mention mentionpersonId="{9ecbeea8-b78f-49ff-a39c-eac4a37185dc}" mentionId="{1eafd27e-5678-4f9f-9af1-436332eadbd2}" startIndex="25" length="25"/>
    </x18tc:mentions>
  </x18tc:threadedComment>
  <x18tc:threadedComment ref="L8" dT="2025-07-01T10:36:26.00" personId="{ca9de7f2-f71e-484f-a07d-306d53649393}" id="{d820c610-3dcc-4eb1-af00-7d4f184551cd}" parentId="{8fa74a14-25d9-438a-8c4b-68881cf5e87b}">
    <x18tc:text xml:space="preserve">confirmed</x18tc:text>
  </x18tc:threadedComment>
  <x18tc:threadedComment ref="R21" dT="2025-08-12T15:56:46.00" personId="{05e04ec8-2dbd-4951-b6b2-725339344122}" id="{7a17ca25-54fc-487e-a5f3-552986942afd}" done="1">
    <x18tc:text xml:space="preserve">August 13 @arthur@trilogy.com
Assigned to arthur@trilogy.com</x18tc:text>
    <x18tc:mentions>
      <x18tc:mention mentionpersonId="{57259500-5a14-4ba4-b843-32512c7c5aa7}" mentionId="{4115fb47-9b38-47b5-a979-85e9a027bb2e}" startIndex="10" length="19"/>
    </x18tc:mentions>
  </x18tc:threadedComment>
  <x18tc:threadedComment ref="U24" dT="2025-11-09T22:37:50.00" personId="{aee94e66-a8d2-4d37-bd5e-8046ee94023d}" id="{ff89dfcd-8dcf-48ae-b5b6-9c682c00f98c}" done="1">
    <x18tc:text xml:space="preserve">@jc.fischer@trilogy.com are these capacity numbers correct? I was told that Santa Barbara is 45, NYC is 125 (not 123), SF is 60 (not 45)
CC: @tasha.arnold@alpha.school</x18tc:text>
    <x18tc:mentions>
      <x18tc:mention mentionpersonId="{a85e4ea7-c011-42a5-a6be-4cb6fa744464}" mentionId="{47621a99-e5ce-4a81-8364-68f384f1bbef}" startIndex="0" length="23"/>
      <x18tc:mention mentionpersonId="{1d6d7079-e654-41a8-aeea-04d4f964b2f7}" mentionId="{1c5fa868-669d-4639-b9b9-470785a71b7f}" startIndex="142" length="26"/>
    </x18tc:mentions>
  </x18tc:threadedComment>
  <x18tc:threadedComment ref="U24" dT="2025-11-09T23:14:54.00" personId="{41a06bdc-7b6e-4d7d-8077-bb4d2d59df4d}" id="{87e60eec-1290-42f1-8c4d-519465936ad2}" parentId="{ff89dfcd-8dcf-48ae-b5b6-9c682c00f98c}">
    <x18tc:text xml:space="preserve">SF is 68. I'm currently having my team reassess each floorplan and provide correct calcs, a couple a week in between more urgent needs</x18tc:text>
  </x18tc:threadedComment>
  <x18tc:threadedComment ref="U24" dT="2025-11-09T23:15:14.00" personId="{41a06bdc-7b6e-4d7d-8077-bb4d2d59df4d}" id="{6c6c7323-feab-4013-bfa1-b494c4d3b8ec}" parentId="{ff89dfcd-8dcf-48ae-b5b6-9c682c00f98c}">
    <x18tc:text xml:space="preserve">who is telling you capacity?</x18tc:text>
  </x18tc:threadedComment>
  <x18tc:threadedComment ref="J18" dT="2025-07-09T15:41:14.00" personId="{298ce18e-383d-4b63-9127-423ce6718bdb}" id="{c1b866b1-7d7b-4750-b0ce-060afb9adca2}" done="1">
    <x18tc:text xml:space="preserve">@andrew.jordan@trilogy.com Are these grade levels correct?
Assigned to andrew.jordan@trilogy.com</x18tc:text>
    <x18tc:mentions>
      <x18tc:mention mentionpersonId="{416700c4-395c-4dab-9a17-b66b9d2466b9}" mentionId="{faa51e42-f346-4955-be2d-e9cd6b3a1e7e}" startIndex="0" length="26"/>
    </x18tc:mentions>
  </x18tc:threadedComment>
  <x18tc:threadedComment ref="J18" dT="2025-07-09T16:06:22.00" personId="{298ce18e-383d-4b63-9127-423ce6718bdb}" id="{8c29281f-5032-4fbc-a300-1236421dba6e}" parentId="{c1b866b1-7d7b-4750-b0ce-060afb9adca2}">
    <x18tc:text xml:space="preserve">@donnie.yee@trilogy.com</x18tc:text>
    <x18tc:mentions>
      <x18tc:mention mentionpersonId="{89c5b50c-ba7f-4dc2-ac4a-2d16e711229b}" mentionId="{edb5bc49-6653-4d2e-8c6b-046d1f264983}" startIndex="0" length="23"/>
    </x18tc:mentions>
  </x18tc:threadedComment>
  <x18tc:threadedComment ref="J18" dT="2025-07-15T14:48:52.00" personId="{ca9de7f2-f71e-484f-a07d-306d53649393}" id="{42bf58b3-9803-44ad-9c7f-5bec9659d240}" parentId="{c1b866b1-7d7b-4750-b0ce-060afb9adca2}">
    <x18tc:text xml:space="preserve">who is closing this out?
@jan.dejager@trilogy.com 
@arthur@trilogy.com</x18tc:text>
    <x18tc:mentions>
      <x18tc:mention mentionpersonId="{110becb3-6830-4fb5-b6ef-24fb9f29c861}" mentionId="{7dee3cbf-18e7-478a-b0dd-046054f7a4b1}" startIndex="26" length="24"/>
      <x18tc:mention mentionpersonId="{57259500-5a14-4ba4-b843-32512c7c5aa7}" mentionId="{a9f32eae-11f9-4713-bd39-fe9c6a308eec}" startIndex="52" length="19"/>
    </x18tc:mentions>
  </x18tc:threadedComment>
  <x18tc:threadedComment ref="J18" dT="2025-07-16T14:24:59.00" personId="{5495796c-803e-4d04-839b-a9c969210ec0}" id="{2695f32d-88d9-439a-838b-d0f139fdeb52}" parentId="{c1b866b1-7d7b-4750-b0ce-060afb9adca2}">
    <x18tc:text xml:space="preserve">@amelia.baldwin@alpha.school - K-6 is correct. Also confirmed to Stef's HC hiring plan</x18tc:text>
    <x18tc:mentions>
      <x18tc:mention mentionpersonId="{ceabeb41-7692-4dc7-a25b-b6f20b2fe9d3}" mentionId="{2d3f5c05-020e-4d58-951a-e9c95e2b52ac}" startIndex="0" length="28"/>
    </x18tc:mentions>
  </x18tc:threadedComment>
  <x18tc:threadedComment ref="S34" dT="2025-11-17T16:20:23.00" personId="{3a2edfa2-4108-4b35-a45e-f092ee237dcb}" id="{724b3ca2-dae3-4dc1-8c17-0af655986f3d}" done="1">
    <x18tc:text xml:space="preserve">May Dobbs starts 11.17.25
@may.dobbs@alpha.school</x18tc:text>
    <x18tc:mentions>
      <x18tc:mention mentionpersonId="{f0811f29-b031-4944-bac7-2af1636c7f5b}" mentionId="{a5ec0e23-4818-425f-b093-e4643f80155d}" startIndex="26" length="23"/>
    </x18tc:mentions>
  </x18tc:threadedComment>
  <x18tc:threadedComment ref="F9" dT="2025-08-13T21:09:27.00" personId="{298ce18e-383d-4b63-9127-423ce6718bdb}" id="{cb5c1358-c630-4ca5-aa48-4747704b8f7b}" done="0">
    <x18tc:text xml:space="preserve">Brownsville has said that their legacy students don't pay for lunch. Is this accurate and is that for just this year? @andrew.jordan@trilogy.com @jan.dejager@trilogy.com</x18tc:text>
    <x18tc:mentions>
      <x18tc:mention mentionpersonId="{416700c4-395c-4dab-9a17-b66b9d2466b9}" mentionId="{1f3f3c93-9112-464a-9293-0ed74afe8c28}" startIndex="118" length="26"/>
      <x18tc:mention mentionpersonId="{110becb3-6830-4fb5-b6ef-24fb9f29c861}" mentionId="{7400d25f-21ac-48f4-9230-579a31764be3}" startIndex="145" length="24"/>
    </x18tc:mentions>
  </x18tc:threadedComment>
  <x18tc:threadedComment ref="F9" dT="2025-08-13T22:06:32.00" personId="{7eb13349-0232-4341-b092-fb43a44a63cc}" id="{ab784748-f500-4e17-a1b0-e7f3f78778be}" parentId="{cb5c1358-c630-4ca5-aa48-4747704b8f7b}">
    <x18tc:text xml:space="preserve">I have no insight into that one, unfortunately.</x18tc:text>
  </x18tc:threadedComment>
  <x18tc:threadedComment ref="F9" dT="2025-08-15T17:02:53.00" personId="{298ce18e-383d-4b63-9127-423ce6718bdb}" id="{99e26941-fc54-4f77-9c93-a36f2cf728bb}" parentId="{cb5c1358-c630-4ca5-aa48-4747704b8f7b}">
    <x18tc:text xml:space="preserve">@arthur@trilogy.com Are you able to answer this?</x18tc:text>
    <x18tc:mentions>
      <x18tc:mention mentionpersonId="{57259500-5a14-4ba4-b843-32512c7c5aa7}" mentionId="{957f8a4d-433c-44d6-9176-07311cd5cc58}" startIndex="0" length="19"/>
    </x18tc:mentions>
  </x18tc:threadedComment>
  <x18tc:threadedComment ref="F9" dT="2025-08-18T19:56:42.00" personId="{e0f9e752-4c1c-4cde-b844-7ddef95e704e}" id="{495e5a79-ed26-4b91-aee4-df69d90bce0e}" parentId="{cb5c1358-c630-4ca5-aa48-4747704b8f7b}">
    <x18tc:text xml:space="preserve">@jan.dejager@trilogy.com pls advise. I’m also getting the same question as Brownsville on Nova Austin from Mackenzie. Last year did we cover lunch, and should we continue this year? @david.harpur@trilogy.com</x18tc:text>
    <x18tc:mentions>
      <x18tc:mention mentionpersonId="{110becb3-6830-4fb5-b6ef-24fb9f29c861}" mentionId="{ed820363-6e59-4a3e-b0bc-af6b26ebc40b}" startIndex="0" length="24"/>
      <x18tc:mention mentionpersonId="{9ecbeea8-b78f-49ff-a39c-eac4a37185dc}" mentionId="{84e25c4b-6394-47e0-be55-951bac3f4b6b}" startIndex="182" length="25"/>
    </x18tc:mentions>
  </x18tc:threadedComment>
  <x18tc:threadedComment ref="F9" dT="2025-08-19T07:45:41.00" personId="{5495796c-803e-4d04-839b-a9c969210ec0}" id="{f6e76d21-ba87-4b3b-8a6c-b39fc772efd0}" parentId="{cb5c1358-c630-4ca5-aa48-4747704b8f7b}">
    <x18tc:text xml:space="preserve">Brownsville: Legacy students did not pay for lunch last year. New students beginning SY 2024 who opt to avail of the lunch program were charged $100/month. We should continue with this approach</x18tc:text>
  </x18tc:threadedComment>
  <x18tc:threadedComment ref="F9" dT="2025-08-19T09:45:07.00" personId="{ca9de7f2-f71e-484f-a07d-306d53649393}" id="{ae81d34a-3d29-4f18-868b-88c47dffb831}" parentId="{cb5c1358-c630-4ca5-aa48-4747704b8f7b}">
    <x18tc:text xml:space="preserve">@arthur@trilogy.com - we didn't run texas prep last yr, we only funded it
i will reach out to the former accountant and see if we can get an answer
but for now, i think we should default to $100/mth</x18tc:text>
    <x18tc:mentions>
      <x18tc:mention mentionpersonId="{57259500-5a14-4ba4-b843-32512c7c5aa7}" mentionId="{7d793832-39b7-4c59-bfd1-8e5706ec72f5}" startIndex="0" length="19"/>
    </x18tc:mentions>
  </x18tc:threadedComment>
  <x18tc:threadedComment ref="F9" dT="2025-08-27T14:10:33.00" personId="{5495796c-803e-4d04-839b-a9c969210ec0}" id="{fce3ae44-4d0e-438f-b7c9-6b36f1e75e73}" parentId="{cb5c1358-c630-4ca5-aa48-4747704b8f7b}">
    <x18tc:text xml:space="preserve">"Brownsville: Legacy students did not pay for lunch last year. New students beginning SY 2024 who opt to avail of the lunch program were charged $100/month. We should continue with this approach"
@arthur@trilogy.com - can we continue with this approach - i.e legacy families will not pay lunch until they leave school, but new students will be charged the $100/month fee?</x18tc:text>
    <x18tc:mentions>
      <x18tc:mention mentionpersonId="{57259500-5a14-4ba4-b843-32512c7c5aa7}" mentionId="{bbb248c2-c268-47ff-9075-f87fde3b7dde}" startIndex="197" length="19"/>
    </x18tc:mentions>
  </x18tc:threadedComment>
  <x18tc:threadedComment ref="Q34" dT="2025-11-17T16:19:15.00" personId="{3a2edfa2-4108-4b35-a45e-f092ee237dcb}" id="{d7676c27-eaf7-4c68-85a3-2b9dac4bf40b}" done="1">
    <x18tc:text xml:space="preserve">Maria.Mejia begins 12/1/25
@maria.mejia@alpha.school</x18tc:text>
    <x18tc:mentions>
      <x18tc:mention mentionpersonId="{bb964201-a869-4386-ba59-581b22e6bd12}" mentionId="{a0708a21-bc53-41bd-b131-2e72878da103}" startIndex="27" length="25"/>
    </x18tc:mentions>
  </x18tc:threadedComment>
  <x18tc:threadedComment ref="V21" dT="2025-08-12T15:56:36.00" personId="{05e04ec8-2dbd-4951-b6b2-725339344122}" id="{ce16fedc-8c02-459d-a94f-d5294a0ddf43}" done="1">
    <x18tc:text xml:space="preserve">TBD as soon as anyone is enrolled. @arthur@trilogy.com
Assigned to arthur@trilogy.com</x18tc:text>
    <x18tc:mentions>
      <x18tc:mention mentionpersonId="{57259500-5a14-4ba4-b843-32512c7c5aa7}" mentionId="{d6b4235b-39f3-4c4b-9f37-dcd953166554}" startIndex="35" length="19"/>
    </x18tc:mentions>
  </x18tc:threadedComment>
  <x18tc:threadedComment ref="M27" dT="2025-07-15T14:53:22.00" personId="{ca9de7f2-f71e-484f-a07d-306d53649393}" id="{39757fed-f6fa-4c35-8a9b-c55b13db81bd}" done="1">
    <x18tc:text xml:space="preserve">@jan.dejager@trilogy.com - we need to complete the "blanks" and "TBDs"?</x18tc:text>
    <x18tc:mentions>
      <x18tc:mention mentionpersonId="{110becb3-6830-4fb5-b6ef-24fb9f29c861}" mentionId="{9409042d-aaa1-4478-9aea-7eb32c93c76a}" startIndex="0" length="24"/>
    </x18tc:mentions>
  </x18tc:threadedComment>
  <x18tc:threadedComment ref="M27" dT="2025-07-15T15:05:59.00" personId="{a9cf6e79-9751-4017-90e6-a3b2941f1187}" id="{041efa64-cf94-4637-880b-46ef0c5dc199}" parentId="{39757fed-f6fa-4c35-8a9b-c55b13db81bd}">
    <x18tc:text xml:space="preserve">new company formed today - Waypoint Academy 78620, LLC - no EIN as disregarded entity</x18tc:text>
  </x18tc:threadedComment>
  <x18tc:threadedComment ref="M27" dT="2025-07-15T15:23:52.00" personId="{ca9de7f2-f71e-484f-a07d-306d53649393}" id="{7984d21b-0f06-401e-be86-460abc9f9716}" parentId="{39757fed-f6fa-4c35-8a9b-c55b13db81bd}">
    <x18tc:text xml:space="preserve">thanks</x18tc:text>
  </x18tc:threadedComment>
  <x18tc:threadedComment ref="AI21" dT="2025-12-11T03:49:34.00" personId="{4406f311-3a54-4798-954a-6309e28792a4}" id="{e2abc837-116e-4745-9b6e-a3c1b8814429}" done="1">
    <x18tc:text xml:space="preserve">@jc.fischer@trilogy.com - this is Oct. 2026, right?</x18tc:text>
    <x18tc:mentions>
      <x18tc:mention mentionpersonId="{a85e4ea7-c011-42a5-a6be-4cb6fa744464}" mentionId="{d9987797-938e-47e7-8898-9a4a8915e317}" startIndex="0" length="23"/>
    </x18tc:mentions>
  </x18tc:threadedComment>
  <x18tc:threadedComment ref="AI21" dT="2025-12-11T18:24:59.00" personId="{41a06bdc-7b6e-4d7d-8077-bb4d2d59df4d}" id="{479fb57a-81dd-4f14-87ac-d98474c87624}" parentId="{e2abc837-116e-4745-9b6e-a3c1b8814429}">
    <x18tc:text xml:space="preserve">yes</x18tc:text>
  </x18tc:threadedComment>
  <x18tc:threadedComment ref="AI21" dT="2025-12-11T18:25:01.00" personId="{41a06bdc-7b6e-4d7d-8077-bb4d2d59df4d}" id="{54e954e4-20f4-4cb9-90c8-a09613de2131}" parentId="{e2abc837-116e-4745-9b6e-a3c1b8814429}">
    <x18tc:text xml:space="preserve">Marked as resolved</x18tc:text>
  </x18tc:threadedComment>
  <x18tc:threadedComment ref="S34" dT="2025-11-12T16:33:24.00" personId="{3a2edfa2-4108-4b35-a45e-f092ee237dcb}" id="{e646a619-3bcb-4162-86e8-9c177b2ce9f6}" done="1">
    <x18tc:text xml:space="preserve">May Dobbs start date 11/17</x18tc:text>
  </x18tc:threadedComment>
  <x18tc:threadedComment ref="S34" dT="2025-11-16T17:31:55.00" personId="{e0f9e752-4c1c-4cde-b844-7ddef95e704e}" id="{282361cf-e5e5-4271-bb45-78b1232394a4}" parentId="{e646a619-3bcb-4162-86e8-9c177b2ce9f6}">
    <x18tc:text xml:space="preserve">@andrew.jordan@trilogy.com pls update</x18tc:text>
    <x18tc:mentions>
      <x18tc:mention mentionpersonId="{416700c4-395c-4dab-9a17-b66b9d2466b9}" mentionId="{ad924354-6f7e-4619-bdb5-c24eaf0316ed}" startIndex="0" length="26"/>
    </x18tc:mentions>
  </x18tc:threadedComment>
  <x18tc:threadedComment ref="W21" dT="2025-08-12T15:56:16.00" personId="{05e04ec8-2dbd-4951-b6b2-725339344122}" id="{f1d6d766-2522-4884-b9ca-a64f1256b280}" done="1">
    <x18tc:text xml:space="preserve">TBD as soon as anyone is enrolled. @arthur@trilogy.com
Assigned to arthur@trilogy.com</x18tc:text>
    <x18tc:mentions>
      <x18tc:mention mentionpersonId="{57259500-5a14-4ba4-b843-32512c7c5aa7}" mentionId="{0489c198-2e30-44cd-9992-00d85e71921e}" startIndex="35" length="19"/>
    </x18tc:mentions>
  </x18tc:threadedComment>
  <x18tc:threadedComment ref="B37" dT="2025-09-29T20:11:29.00" personId="{e0f9e752-4c1c-4cde-b844-7ddef95e704e}" id="{702ff778-e1a0-4be8-92cb-627bd58eb1b9}" done="0">
    <x18tc:text xml:space="preserve">@andrew.jordan@trilogy.com @joshua.rockers@trilogy.com where is this pls?</x18tc:text>
    <x18tc:mentions>
      <x18tc:mention mentionpersonId="{416700c4-395c-4dab-9a17-b66b9d2466b9}" mentionId="{bebd7827-bc3d-44a2-8c80-938219c56096}" startIndex="0" length="26"/>
      <x18tc:mention mentionpersonId="{ef469d49-2be3-4bba-b1a1-51abddb1b250}" mentionId="{ecc9cf9c-a8bb-4e1e-bea0-20fab8cb22f9}" startIndex="27" length="27"/>
    </x18tc:mentions>
  </x18tc:threadedComment>
  <x18tc:threadedComment ref="B37" dT="2025-09-29T20:25:32.00" personId="{5902432c-927b-43a4-9eb1-4925ad387d53}" id="{5de4224d-46d1-40c3-8903-4c202871b10d}" parentId="{702ff778-e1a0-4be8-92cb-627bd58eb1b9}">
    <x18tc:text xml:space="preserve">The security framework (with Security Tiers) is now linked. I am finalizing an 'Addendum' to the framework with revisions to the security tiers as a result of M. Greer's audit.</x18tc:text>
  </x18tc:threadedComment>
  <x18tc:threadedComment ref="B37" dT="2025-09-29T22:30:02.00" personId="{5902432c-927b-43a4-9eb1-4925ad387d53}" id="{d3c5d879-926a-40e3-923c-613d348cce4f}" parentId="{702ff778-e1a0-4be8-92cb-627bd58eb1b9}">
    <x18tc:text xml:space="preserve">Security tier addendum is ready for review, now revised with M. Greer Audit findings.  The Security 'Quality Bar' will correspond to the revised 'Security Measures' for each tier, outlined in the Addendum.</x18tc:text>
  </x18tc:threadedComment>
  <x18tc:threadedComment ref="B37" dT="2025-12-01T19:19:45.00" personId="{d0a8bdc4-5af0-4bd9-b4e2-82011e68e053}" id="{69adee2c-6681-477a-88fe-27c07de94976}" parentId="{702ff778-e1a0-4be8-92cb-627bd58eb1b9}">
    <x18tc:text xml:space="preserve">this needs to be updated - https://docs.google.com/document/d/1hpP_D-Rdc1BKQ2IDYmE9uA-zD-e7Ej4SUTCLSehWRpU/edit?tab=t.0#heading=h.8xa6f28qvfz</x18tc:text>
    <x18tc:extLst>
      <ext uri="{F7C98A9C-CBB3-438F-8F68-D28B6AF4A901}">
        <xltc2:checksum/>
        <xltc2:hyperlink startIndex="27" length="114" url="https://docs.google.com/document/d/1hpP_D-Rdc1BKQ2IDYmE9uA-zD-e7Ej4SUTCLSehWRpU/edit?tab=t.0#heading=h.8xa6f28qvfz"/>
      </ext>
    </x18tc:extLst>
  </x18tc:threadedComment>
  <x18tc:threadedComment ref="E13" dT="2025-06-18T21:16:52.00" personId="{298ce18e-383d-4b63-9127-423ce6718bdb}" id="{78ae65a0-b310-4daa-ad9a-7726621fe40a}" done="1">
    <x18tc:text xml:space="preserve">MP 6.18.15 Meeting with Artie, Debby, Amelia: 
If paid deposit by 8/15/25, they may start any time 25/26.
Some select people are moving in the pipeline and wanting 26/27 SY, they receive the 10k FF. (3 families)
Deposit paid by 8/15/25 by anyone for 25/26 or 26/27 enrollment.
Lizette and Nuroni are the only ones with siblings who would also receive the FF. Debby will provide the whole list. These families also need to make this deposit. 
If not in the pipeline, then deadline is 8/15/25 for 10k FF. 
@arthur@trilogy.com</x18tc:text>
    <x18tc:mentions>
      <x18tc:mention mentionpersonId="{57259500-5a14-4ba4-b843-32512c7c5aa7}" mentionId="{ba54dfba-f726-4a6d-ac42-0547c4c3042a}" startIndex="510" length="19"/>
    </x18tc:mentions>
  </x18tc:threadedComment>
  <x18tc:threadedComment ref="X34" dT="2025-11-12T16:32:58.00" personId="{3a2edfa2-4108-4b35-a45e-f092ee237dcb}" id="{93df3916-506c-4eb3-b18c-333fa4890397}" done="1">
    <x18tc:text xml:space="preserve">Jenna York start date 11/17</x18tc:text>
  </x18tc:threadedComment>
  <x18tc:threadedComment ref="P21" dT="2025-08-12T15:56:27.00" personId="{05e04ec8-2dbd-4951-b6b2-725339344122}" id="{6daf3cd0-adc0-4688-9e82-3472f2c9d56f}" done="1">
    <x18tc:text xml:space="preserve">August 13 @arthur@trilogy.com
Assigned to arthur@trilogy.com</x18tc:text>
    <x18tc:mentions>
      <x18tc:mention mentionpersonId="{57259500-5a14-4ba4-b843-32512c7c5aa7}" mentionId="{0774bb51-5979-4646-96f1-ec7f2bc80e51}" startIndex="10" length="19"/>
    </x18tc:mentions>
  </x18tc:threadedComment>
  <x18tc:threadedComment ref="C22" dT="2025-09-15T17:33:51.00" personId="{e0f9e752-4c1c-4cde-b844-7ddef95e704e}" id="{b6777de3-d8ad-440c-b7f6-97586c7418e3}" done="1">
    <x18tc:text xml:space="preserve">@andrew.jordan@trilogy.com can you split this out?</x18tc:text>
    <x18tc:mentions>
      <x18tc:mention mentionpersonId="{416700c4-395c-4dab-9a17-b66b9d2466b9}" mentionId="{150224f7-19b1-4d51-99a9-c1a8f98cabf8}" startIndex="0" length="26"/>
    </x18tc:mentions>
  </x18tc:threadedComment>
  <x18tc:threadedComment ref="C22" dT="2025-09-15T18:01:04.00" personId="{7eb13349-0232-4341-b092-fb43a44a63cc}" id="{4da56796-8be5-460e-81bc-96b611598ee7}" parentId="{b6777de3-d8ad-440c-b7f6-97586c7418e3}">
    <x18tc:text xml:space="preserve">Split out by grade level?</x18tc:text>
  </x18tc:threadedComment>
  <x18tc:threadedComment ref="C22" dT="2025-09-15T18:56:52.00" personId="{7eb13349-0232-4341-b092-fb43a44a63cc}" id="{11a827ff-b956-473d-b65d-5c1ed7896422}" parentId="{b6777de3-d8ad-440c-b7f6-97586c7418e3}">
    <x18tc:text xml:space="preserve">@arthur@trilogy.com is this pk-8 or PK-5?</x18tc:text>
    <x18tc:mentions>
      <x18tc:mention mentionpersonId="{57259500-5a14-4ba4-b843-32512c7c5aa7}" mentionId="{4fabdfc2-f5bb-449d-8e5d-28ac992e7020}" startIndex="0" length="19"/>
    </x18tc:mentions>
  </x18tc:threadedComment>
  <x18tc:threadedComment ref="C22" dT="2025-09-15T18:56:54.00" personId="{7eb13349-0232-4341-b092-fb43a44a63cc}" id="{44b2e376-dfe4-42ed-aa13-07004769f7a5}" parentId="{b6777de3-d8ad-440c-b7f6-97586c7418e3}">
    <x18tc:text xml:space="preserve">Marked as resolved</x18tc:text>
  </x18tc:threadedComment>
  <x18tc:threadedComment ref="C22" dT="2025-09-15T18:58:03.00" personId="{7eb13349-0232-4341-b092-fb43a44a63cc}" id="{1c9daf07-6974-45ac-b214-36c860fe2c0c}" parentId="{b6777de3-d8ad-440c-b7f6-97586c7418e3}">
    <x18tc:text xml:space="preserve">6-8 is actually at Alpha High
Re-opened</x18tc:text>
  </x18tc:threadedComment>
  <x18tc:threadedComment ref="C22" dT="2025-09-15T19:21:42.00" personId="{e0f9e752-4c1c-4cde-b844-7ddef95e704e}" id="{d909e276-48c3-4bf1-8abb-6fc5b4151949}" parentId="{b6777de3-d8ad-440c-b7f6-97586c7418e3}">
    <x18tc:text xml:space="preserve">I don't know what you mean. Looking for enrollments by PK-G5 vs G6-8 as they are in different buildings. maybe @dmitry.bakaev@trilogy.com would know how to pull this out of the quicksight.</x18tc:text>
    <x18tc:mentions>
      <x18tc:mention mentionpersonId="{0511c2dd-e4a6-4511-b1b6-b40f169ad9e9}" mentionId="{69b4ba50-9dd9-4213-a5ba-454ef9f477d9}" startIndex="111" length="26"/>
    </x18tc:mentions>
  </x18tc:threadedComment>
  <x18tc:threadedComment ref="C22" dT="2025-09-22T02:46:10.00" personId="{aee94e66-a8d2-4d37-bd5e-8046ee94023d}" id="{a2d97012-6c27-4ba7-ada5-bd9dc5219262}" parentId="{b6777de3-d8ad-440c-b7f6-97586c7418e3}">
    <x18tc:text xml:space="preserve">It's 150 across both buildings.  See QuickSight-&gt;Enrollment tab.  Column 8.
We are working to split it out.  The SIS doesn't split them out to keep aligned with Timeback.</x18tc:text>
  </x18tc:threadedComment>
  <x18tc:threadedComment ref="C22" dT="2025-09-22T02:46:50.00" personId="{aee94e66-a8d2-4d37-bd5e-8046ee94023d}" id="{ca8feb53-3c8f-4aae-9a2e-7632012eb9a6}" parentId="{b6777de3-d8ad-440c-b7f6-97586c7418e3}">
    <x18tc:text xml:space="preserve">Do we know the capacity of each building?</x18tc:text>
  </x18tc:threadedComment>
  <x18tc:threadedComment ref="V34" dT="2025-11-12T16:32:18.00" personId="{3a2edfa2-4108-4b35-a45e-f092ee237dcb}" id="{3de5be23-a7cb-4f0c-9176-d78051596be1}" done="1">
    <x18tc:text xml:space="preserve">Jackie Chan started 11/10</x18tc:text>
  </x18tc:threadedComment>
  <x18tc:threadedComment ref="V34" dT="2025-11-16T18:09:50.00" personId="{e0f9e752-4c1c-4cde-b844-7ddef95e704e}" id="{9b1f1d25-3511-4778-a93f-74d5b3e00a33}" parentId="{3de5be23-a7cb-4f0c-9176-d78051596be1}">
    <x18tc:text xml:space="preserve">@shannon.peifer@alpha.school can you pls update this one and others as I see you are in here?</x18tc:text>
    <x18tc:mentions>
      <x18tc:mention mentionpersonId="{a253f597-90de-4104-8df0-9f387f3766ef}" mentionId="{5bc72ee3-450b-459e-8312-99ab5e7c4af1}" startIndex="0" length="28"/>
    </x18tc:mentions>
  </x18tc:threadedComment>
  <x18tc:threadedComment ref="V34" dT="2025-11-17T16:10:16.00" personId="{3a2edfa2-4108-4b35-a45e-f092ee237dcb}" id="{f213143b-2996-48fa-8a04-146b6881d5bc}" parentId="{3de5be23-a7cb-4f0c-9176-d78051596be1}">
    <x18tc:text xml:space="preserve">Marked as resolved</x18tc:text>
  </x18tc:threadedComment>
  <x18tc:threadedComment ref="V34" dT="2025-11-17T16:16:07.00" personId="{3a2edfa2-4108-4b35-a45e-f092ee237dcb}" id="{b00f9ba7-4bce-4a96-bc16-f91eff6c6d89}" parentId="{3de5be23-a7cb-4f0c-9176-d78051596be1}">
    <x18tc:text xml:space="preserve">I just requested editing access.
Re-opened</x18tc:text>
  </x18tc:threadedComment>
  <x18tc:threadedComment ref="V34" dT="2025-11-17T16:26:28.00" personId="{e0f9e752-4c1c-4cde-b844-7ddef95e704e}" id="{6e14fe1e-6a05-4c96-95ed-16de69f131c9}" parentId="{3de5be23-a7cb-4f0c-9176-d78051596be1}">
    <x18tc:text xml:space="preserve">provided</x18tc:text>
  </x18tc:threadedComment>
  <x18tc:threadedComment ref="V34" dT="2025-11-17T19:49:10.00" personId="{3a2edfa2-4108-4b35-a45e-f092ee237dcb}" id="{0d92cd47-0b59-4eed-b409-3df18a828c4f}" parentId="{3de5be23-a7cb-4f0c-9176-d78051596be1}">
    <x18tc:text xml:space="preserve">Marked as resolved</x18tc:text>
  </x18tc:threadedComment>
  <x18tc:threadedComment ref="V34" dT="2025-11-17T19:58:22.00" personId="{3a2edfa2-4108-4b35-a45e-f092ee237dcb}" id="{dc7272b2-b626-483c-9af2-18b8e21fca8f}" parentId="{3de5be23-a7cb-4f0c-9176-d78051596be1}">
    <x18tc:text xml:space="preserve">Re-opened</x18tc:text>
  </x18tc:threadedComment>
  <x18tc:threadedComment ref="V34" dT="2025-11-17T19:58:27.00" personId="{3a2edfa2-4108-4b35-a45e-f092ee237dcb}" id="{efb868f7-131c-47c1-a1b7-b21f058eb9fc}" parentId="{3de5be23-a7cb-4f0c-9176-d78051596be1}">
    <x18tc:text xml:space="preserve">Marked as resolved</x18tc:text>
  </x18tc:threadedComment>
  <x18tc:threadedComment ref="V34" dT="2025-11-17T19:58:28.00" personId="{3a2edfa2-4108-4b35-a45e-f092ee237dcb}" id="{106bb343-4529-4cef-b1d5-891cbe7ea890}" parentId="{3de5be23-a7cb-4f0c-9176-d78051596be1}">
    <x18tc:text xml:space="preserve">Re-opened</x18tc:text>
  </x18tc:threadedComment>
  <x18tc:threadedComment ref="V34" dT="2025-11-17T19:58:30.00" personId="{3a2edfa2-4108-4b35-a45e-f092ee237dcb}" id="{0b1b7d36-7b57-4366-b0b9-0826dcf692e5}" parentId="{3de5be23-a7cb-4f0c-9176-d78051596be1}">
    <x18tc:text xml:space="preserve">Marked as resolved</x18tc:text>
  </x18tc:threadedComment>
  <x18tc:threadedComment ref="V34" dT="2025-11-17T19:58:32.00" personId="{3a2edfa2-4108-4b35-a45e-f092ee237dcb}" id="{6598c338-120d-4ddd-8c95-9782184f483a}" parentId="{3de5be23-a7cb-4f0c-9176-d78051596be1}">
    <x18tc:text xml:space="preserve">Re-opened</x18tc:text>
  </x18tc:threadedComment>
  <x18tc:threadedComment ref="T35" dT="2025-08-27T02:42:12.00" personId="{e0f9e752-4c1c-4cde-b844-7ddef95e704e}" id="{e624c7b3-91a1-423d-9ba5-fac9f514d443}" done="1">
    <x18tc:text xml:space="preserve">@andrew.jordan@trilogy.com this one not complete</x18tc:text>
    <x18tc:mentions>
      <x18tc:mention mentionpersonId="{416700c4-395c-4dab-9a17-b66b9d2466b9}" mentionId="{92284342-d65d-4345-93cc-68db55adbe78}" startIndex="0" length="26"/>
    </x18tc:mentions>
  </x18tc:threadedComment>
  <x18tc:threadedComment ref="T35" dT="2025-08-27T13:55:51.00" personId="{7eb13349-0232-4341-b092-fb43a44a63cc}" id="{bbf66d7e-0931-41f5-9ba7-9e742534426a}" parentId="{e624c7b3-91a1-423d-9ba5-fac9f514d443}">
    <x18tc:text xml:space="preserve">Was waiting on his number. Just added.</x18tc:text>
  </x18tc:threadedComment>
  <x18tc:threadedComment ref="O3" dT="2025-07-16T11:58:47.00" personId="{ca9de7f2-f71e-484f-a07d-306d53649393}" id="{7ddf9d08-54d1-4ede-b423-a2d174826701}" done="1">
    <x18tc:text xml:space="preserve">@jan.dejager@trilogy.com - isn't this arizona?</x18tc:text>
    <x18tc:mentions>
      <x18tc:mention mentionpersonId="{110becb3-6830-4fb5-b6ef-24fb9f29c861}" mentionId="{e9ccbf5e-3419-4c31-b44e-d843c23b1c0f}" startIndex="0" length="24"/>
    </x18tc:mentions>
  </x18tc:threadedComment>
  <x18tc:threadedComment ref="O3" dT="2025-07-16T13:32:31.00" personId="{5495796c-803e-4d04-839b-a9c969210ec0}" id="{06556e9a-6a08-483e-bded-f13609ca49ad}" parentId="{7ddf9d08-54d1-4ede-b423-a2d174826701}">
    <x18tc:text xml:space="preserve">Yes
https://alpha.school/scottsdale/
Updated</x18tc:text>
    <x18tc:extLst>
      <ext uri="{F7C98A9C-CBB3-438F-8F68-D28B6AF4A901}">
        <xltc2:checksum/>
        <xltc2:hyperlink startIndex="4" length="32" url="https://alpha.school/scottsdale/"/>
      </ext>
    </x18tc:extLst>
  </x18tc:threadedComment>
  <x18tc:threadedComment ref="T13" dT="2025-11-09T03:50:10.00" personId="{e0f9e752-4c1c-4cde-b844-7ddef95e704e}" id="{7a0954f6-64f8-4cc6-926b-8068a28e04fb}" done="0">
    <x18tc:text xml:space="preserve">@tasha.arnold@2hourlearning.com so we are done w/ founding family discounts at NYC, correct?
Assigned to tasha.arnold@2hourlearning.com</x18tc:text>
    <x18tc:mentions>
      <x18tc:mention mentionpersonId="{8b715740-267c-4990-9265-d87ed3660357}" mentionId="{4ff18503-41ff-493b-83d3-f717c3db77e7}" startIndex="0" length="31"/>
    </x18tc:mentions>
  </x18tc:threadedComment>
  <x18tc:threadedComment ref="T13" dT="2025-11-09T16:56:49.00" personId="{f0cc1384-fa8c-48e3-9ff1-d01dc70f9d16}" id="{20a34422-8c7d-4438-9974-a012fc303080}" parentId="{7a0954f6-64f8-4cc6-926b-8068a28e04fb}">
    <x18tc:text xml:space="preserve">Technically, the next student to enroll and begin school would receive the final founding family discount. We do have a child scheduled to start in April; however, the discount applies to the next student who joins prior to that date. Based on current interest, I expect we will have a new student enrolling within the next week, at which point all founding family discounts will be allocated.</x18tc:text>
  </x18tc:threadedComment>
  <x18tc:threadedComment ref="X21" dT="2025-08-12T15:55:58.00" personId="{05e04ec8-2dbd-4951-b6b2-725339344122}" id="{383ff75b-732d-4674-9308-754dba73eba9}" done="1">
    <x18tc:text xml:space="preserve">TBD as soon as anyone is enrolled. @arthur@trilogy.com
Assigned to arthur@trilogy.com</x18tc:text>
    <x18tc:mentions>
      <x18tc:mention mentionpersonId="{57259500-5a14-4ba4-b843-32512c7c5aa7}" mentionId="{60867f37-6a1b-45e0-adbb-3c34f51436b1}" startIndex="35" length="19"/>
    </x18tc:mentions>
  </x18tc:threadedComment>
  <x18tc:threadedComment ref="S32" dT="2025-10-24T15:54:37.00" personId="{4406f311-3a54-4798-954a-6309e28792a4}" id="{42cbbc8f-7d41-4293-b9bf-c324637b4175}" done="1">
    <x18tc:text xml:space="preserve">Hired. Andy Gibson, started Sept. 22.</x18tc:text>
  </x18tc:threadedComment>
  <x18tc:threadedComment ref="A21" dT="2025-08-12T14:48:58.00" personId="{e0f9e752-4c1c-4cde-b844-7ddef95e704e}" id="{1d110628-d48e-4dd4-b7cc-53f0c96e2b90}" done="1">
    <x18tc:text xml:space="preserve">@amelia.baldwin@2hourlearning.com @tasha.arnold@alpha.school can we pls get some clarity into what is actually opening tomorrow and in Sept please?
Assigned to amelia.baldwin@2hourlearning.com</x18tc:text>
    <x18tc:mentions>
      <x18tc:mention mentionpersonId="{26c64a12-5973-456f-9f23-4c2c69dc7a7f}" mentionId="{94f962d2-044d-4235-adc3-350f3aa313bf}" startIndex="0" length="33"/>
      <x18tc:mention mentionpersonId="{1d6d7079-e654-41a8-aeea-04d4f964b2f7}" mentionId="{cf2fc1a4-16a3-4424-b7bc-8cbf7beedcc4}" startIndex="34" length="26"/>
    </x18tc:mentions>
  </x18tc:threadedComment>
  <x18tc:threadedComment ref="A21" dT="2025-08-12T14:52:12.00" personId="{e0f9e752-4c1c-4cde-b844-7ddef95e704e}" id="{eb3b8916-7d63-4627-82ce-0245f091ad2d}" parentId="{1d110628-d48e-4dd4-b7cc-53f0c96e2b90}">
    <x18tc:text xml:space="preserve">Options would be August 13th, Sept 3rd, some date in between, or TBD</x18tc:text>
  </x18tc:threadedComment>
  <x18tc:threadedComment ref="A21" dT="2025-08-12T15:32:01.00" personId="{e0f9e752-4c1c-4cde-b844-7ddef95e704e}" id="{f8da54be-3f54-459f-9486-b2180f756167}" parentId="{1d110628-d48e-4dd4-b7cc-53f0c96e2b90}">
    <x18tc:text xml:space="preserve">@rachel.goodlad@alpha.school</x18tc:text>
    <x18tc:mentions>
      <x18tc:mention mentionpersonId="{29d2406b-30bf-43b3-87b9-fe87b6d13e6a}" mentionId="{995c2ce8-72c8-4bac-b335-28cd78e70337}" startIndex="0" length="28"/>
    </x18tc:mentions>
  </x18tc:threadedComment>
  <x18tc:threadedComment ref="D32" dT="2026-01-19T19:52:56.00" personId="{4406f311-3a54-4798-954a-6309e28792a4}" id="{fd3ee22e-ac75-49dc-ad87-cfbddc31c3bc}" done="0">
    <x18tc:text xml:space="preserve">Hiring ADOP</x18tc:text>
  </x18tc:threadedComment>
  <x18tc:threadedComment ref="D32" dT="2026-01-21T20:53:34.00" personId="{e0f9e752-4c1c-4cde-b844-7ddef95e704e}" id="{745769d8-0066-4e7f-905d-386269f41c15}" parentId="{fd3ee22e-ac75-49dc-ad87-cfbddc31c3bc}">
    <x18tc:text xml:space="preserve">Marked as resolved</x18tc:text>
  </x18tc:threadedComment>
  <x18tc:threadedComment ref="D32" dT="2026-01-21T20:54:36.00" personId="{4406f311-3a54-4798-954a-6309e28792a4}" id="{e1b63e70-bf67-462e-b2a1-6215403fc295}" parentId="{fd3ee22e-ac75-49dc-ad87-cfbddc31c3bc}">
    <x18tc:text xml:space="preserve">ADOP: Robin Nguyen (start date 1/26)
Re-opened</x18tc:text>
  </x18tc:threadedComment>
  <x18tc:threadedComment ref="D32" dT="2026-02-02T18:03:07.00" personId="{4406f311-3a54-4798-954a-6309e28792a4}" id="{20ce46ef-1c9b-4b9c-9a56-504914c3d9a2}" parentId="{fd3ee22e-ac75-49dc-ad87-cfbddc31c3bc}">
    <x18tc:text xml:space="preserve">Please update
Hired: Robin Nguyen, start date 2.2.26</x18tc:text>
  </x18tc:threadedComment>
  <x18tc:threadedComment ref="J2" dT="2025-07-09T15:36:46.00" personId="{298ce18e-383d-4b63-9127-423ce6718bdb}" id="{2434dbd4-7436-40ef-80cf-9894c90dca72}" done="1">
    <x18tc:text xml:space="preserve">@andrew.jordan@trilogy.com @arthur@trilogy.com Has this name officially changed to Nova Academy.  There is a parent meeting on Friday and marking is building out materials...
Assigned to andrew.jordan@trilogy.com</x18tc:text>
    <x18tc:mentions>
      <x18tc:mention mentionpersonId="{416700c4-395c-4dab-9a17-b66b9d2466b9}" mentionId="{63f09f48-6726-4634-936f-70f27d4c4a8e}" startIndex="0" length="26"/>
      <x18tc:mention mentionpersonId="{57259500-5a14-4ba4-b843-32512c7c5aa7}" mentionId="{c2913aeb-8e5c-4990-a2ce-2e137d7c08ed}" startIndex="27" length="19"/>
    </x18tc:mentions>
  </x18tc:threadedComment>
  <x18tc:threadedComment ref="J2" dT="2025-07-09T16:04:47.00" personId="{298ce18e-383d-4b63-9127-423ce6718bdb}" id="{c665401a-e63d-4692-af02-9033e09055da}" parentId="{2434dbd4-7436-40ef-80cf-9894c90dca72}">
    <x18tc:text xml:space="preserve">@donnie.yee@trilogy.com</x18tc:text>
    <x18tc:mentions>
      <x18tc:mention mentionpersonId="{89c5b50c-ba7f-4dc2-ac4a-2d16e711229b}" mentionId="{c526e33c-2fdb-450b-8d0f-637aa78fd270}" startIndex="0" length="23"/>
    </x18tc:mentions>
  </x18tc:threadedComment>
  <x18tc:threadedComment ref="J2" dT="2025-07-09T16:12:23.00" personId="{298ce18e-383d-4b63-9127-423ce6718bdb}" id="{f0a7cf91-1a92-4203-9846-854d6177086b}" parentId="{2434dbd4-7436-40ef-80cf-9894c90dca72}">
    <x18tc:text xml:space="preserve">What are the comms to the families. If we do not want to confirm a name yet, we can say that.</x18tc:text>
  </x18tc:threadedComment>
  <x18tc:threadedComment ref="J2" dT="2025-07-14T13:39:38.00" personId="{ca9de7f2-f71e-484f-a07d-306d53649393}" id="{4c7489a5-1e8c-4c2e-9a7f-c0f302310cf4}" parentId="{2434dbd4-7436-40ef-80cf-9894c90dca72}">
    <x18tc:text xml:space="preserve">@amelia.baldwin@2hourlearning.com @donnie.yee@trilogy.com @jan.dejager@trilogy.com - what is o/s here?</x18tc:text>
    <x18tc:mentions>
      <x18tc:mention mentionpersonId="{26c64a12-5973-456f-9f23-4c2c69dc7a7f}" mentionId="{fc7d46dd-ab91-49c7-9ff5-80424c27d921}" startIndex="0" length="33"/>
      <x18tc:mention mentionpersonId="{89c5b50c-ba7f-4dc2-ac4a-2d16e711229b}" mentionId="{19894d6b-db00-4ae7-bf8f-ed621cd0245d}" startIndex="34" length="23"/>
      <x18tc:mention mentionpersonId="{110becb3-6830-4fb5-b6ef-24fb9f29c861}" mentionId="{dfa7982f-feea-4754-b5bf-4e8af483852e}" startIndex="58" length="24"/>
    </x18tc:mentions>
  </x18tc:threadedComment>
  <x18tc:threadedComment ref="J2" dT="2025-07-14T13:51:23.00" personId="{7eb13349-0232-4341-b092-fb43a44a63cc}" id="{d1564a2d-b068-4fe4-9a4f-4f6240316fd9}" parentId="{2434dbd4-7436-40ef-80cf-9894c90dca72}">
    <x18tc:text xml:space="preserve">Officially Nova Academy per Stef. That decision was made over the weekend.</x18tc:text>
  </x18tc:threadedComment>
  <x18tc:threadedComment ref="O27" dT="2025-07-15T15:10:51.00" personId="{a9cf6e79-9751-4017-90e6-a3b2941f1187}" id="{c4f6bc76-3589-4853-a036-c74d08caeb08}" done="1">
    <x18tc:text xml:space="preserve">new company formed today - Alpha School 85255, LLC - no EIN as disregarded entity under 2HR Learning, Inc.</x18tc:text>
  </x18tc:threadedComment>
  <x18tc:threadedComment ref="O27" dT="2025-07-15T15:25:23.00" personId="{ca9de7f2-f71e-484f-a07d-306d53649393}" id="{26220908-d3bd-4f05-9597-ee76644119d0}" parentId="{c4f6bc76-3589-4853-a036-c74d08caeb08}">
    <x18tc:text xml:space="preserve">thanks</x18tc:text>
  </x18tc:threadedComment>
  <x18tc:threadedComment ref="X19" dT="2025-09-26T10:27:00.00" personId="{298ce18e-383d-4b63-9127-423ce6718bdb}" id="{81bb8868-b8f7-42df-959a-bc5727e79366}" done="1">
    <x18tc:text xml:space="preserve">@donnie.yee@trilogy.com @arthur@trilogy.com @jan.dejager@trilogy.com
Assigned to donnie.yee@trilogy.com</x18tc:text>
    <x18tc:mentions>
      <x18tc:mention mentionpersonId="{89c5b50c-ba7f-4dc2-ac4a-2d16e711229b}" mentionId="{86e1b857-d15c-4b98-87a5-e8600dbda9c1}" startIndex="0" length="23"/>
      <x18tc:mention mentionpersonId="{57259500-5a14-4ba4-b843-32512c7c5aa7}" mentionId="{52918d75-ce46-4060-9039-f5eda49a11c1}" startIndex="24" length="19"/>
      <x18tc:mention mentionpersonId="{110becb3-6830-4fb5-b6ef-24fb9f29c861}" mentionId="{71fbf9b4-71a1-4b12-a6e9-87704f42caf6}" startIndex="44" length="24"/>
    </x18tc:mentions>
  </x18tc:threadedComment>
  <x18tc:threadedComment ref="X19" dT="2025-09-26T11:25:55.00" personId="{5495796c-803e-4d04-839b-a9c969210ec0}" id="{fc3554d8-4da1-42e2-8533-da09ce16cd97}" parentId="{81bb8868-b8f7-42df-959a-bc5727e79366}">
    <x18tc:text xml:space="preserve">@dmitry.bakaev@trilogy.com @gautam.manohar@trilogy.com</x18tc:text>
    <x18tc:mentions>
      <x18tc:mention mentionpersonId="{0511c2dd-e4a6-4511-b1b6-b40f169ad9e9}" mentionId="{037f1d92-b614-4745-94e3-0c0b389c7fc9}" startIndex="0" length="26"/>
      <x18tc:mention mentionpersonId="{f11b0ee4-ce5f-40b9-be1b-2c9d3af71bd7}" mentionId="{7da8a4f2-f988-4a41-8d3e-60ec7e89c1fe}" startIndex="27" length="27"/>
    </x18tc:mentions>
  </x18tc:threadedComment>
  <x18tc:threadedComment ref="X19" dT="2025-09-26T13:04:47.00" personId="{e0f9e752-4c1c-4cde-b844-7ddef95e704e}" id="{0ff32da9-4cd5-4504-85a1-d7683907e70e}" parentId="{81bb8868-b8f7-42df-959a-bc5727e79366}">
    <x18tc:text xml:space="preserve">Moved this change down to row 20</x18tc:text>
  </x18tc:threadedComment>
  <x18tc:threadedComment ref="W27" dT="2025-07-15T15:11:40.00" personId="{a9cf6e79-9751-4017-90e6-a3b2941f1187}" id="{fdd0db9b-f05e-48cd-98ea-877ba148e34e}" done="1">
    <x18tc:text xml:space="preserve">new company formed today - Alpha School 20151, LLC - no EIN as disregarded entity under 2HR Learning, Inc.</x18tc:text>
  </x18tc:threadedComment>
  <x18tc:threadedComment ref="W27" dT="2025-07-15T15:24:31.00" personId="{ca9de7f2-f71e-484f-a07d-306d53649393}" id="{7cd1a213-97f8-4493-97de-86dfe595fb09}" parentId="{fdd0db9b-f05e-48cd-98ea-877ba148e34e}">
    <x18tc:text xml:space="preserve">thanks</x18tc:text>
  </x18tc:threadedComment>
  <x18tc:threadedComment ref="C6" dT="2025-08-13T16:25:34.00" personId="{e0f9e752-4c1c-4cde-b844-7ddef95e704e}" id="{4fceabdd-cd79-4c12-8495-dbaff04660ed}" done="1">
    <x18tc:text xml:space="preserve">@andrew.jordan@trilogy.com shouldn't this be what is in column E as CO2?
Assigned to andrew.jordan@trilogy.com</x18tc:text>
    <x18tc:mentions>
      <x18tc:mention mentionpersonId="{416700c4-395c-4dab-9a17-b66b9d2466b9}" mentionId="{9445c87a-bf6f-43e4-986d-ab4b7a861e35}" startIndex="0" length="26"/>
    </x18tc:mentions>
  </x18tc:threadedComment>
  <x18tc:threadedComment ref="C6" dT="2025-08-19T12:02:18.00" personId="{e0f9e752-4c1c-4cde-b844-7ddef95e704e}" id="{e51e2c84-6d5e-425b-ba72-bf9737110103}" parentId="{4fceabdd-cd79-4c12-8495-dbaff04660ed}">
    <x18tc:text xml:space="preserve">Hi pls confirm @andrew.jordan@trilogy.com @jan.dejager@trilogy.com</x18tc:text>
    <x18tc:mentions>
      <x18tc:mention mentionpersonId="{416700c4-395c-4dab-9a17-b66b9d2466b9}" mentionId="{985c6c29-0d88-455c-a3ff-e0a15c0b6e12}" startIndex="15" length="26"/>
      <x18tc:mention mentionpersonId="{110becb3-6830-4fb5-b6ef-24fb9f29c861}" mentionId="{99ef252f-5ab7-4b55-9ab3-d05f4ac4ba47}" startIndex="42" length="24"/>
    </x18tc:mentions>
  </x18tc:threadedComment>
  <x18tc:threadedComment ref="C6" dT="2025-08-19T12:02:41.00" personId="{e0f9e752-4c1c-4cde-b844-7ddef95e704e}" id="{23c6f07c-ae9d-429b-904b-c2a2883dce9b}" parentId="{4fceabdd-cd79-4c12-8495-dbaff04660ed}">
    <x18tc:text xml:space="preserve">And why do we need this split from PK4-5? @amelia.baldwin@2hourlearning.com ?</x18tc:text>
    <x18tc:mentions>
      <x18tc:mention mentionpersonId="{26c64a12-5973-456f-9f23-4c2c69dc7a7f}" mentionId="{58064766-3ba7-4358-bc66-dd1dfdcd6460}" startIndex="42" length="33"/>
    </x18tc:mentions>
  </x18tc:threadedComment>
  <x18tc:threadedComment ref="C6" dT="2025-08-19T12:15:46.00" personId="{5495796c-803e-4d04-839b-a9c969210ec0}" id="{169eed73-886c-4deb-8eb4-202d444cce92}" parentId="{4fceabdd-cd79-4c12-8495-dbaff04660ed}">
    <x18tc:text xml:space="preserve">Lease question: Spyglass K-8 is leased from 5Y.
Austin High School CO2 is leased from CR IV Industrial, LP</x18tc:text>
  </x18tc:threadedComment>
  <x18tc:threadedComment ref="C6" dT="2025-08-19T12:31:08.00" personId="{7eb13349-0232-4341-b092-fb43a44a63cc}" id="{b1c63581-b838-418e-8b6a-a96af457a9b7}" parentId="{4fceabdd-cd79-4c12-8495-dbaff04660ed}">
    <x18tc:text xml:space="preserve">Alpha School Austin and Alpha High School are operating in the same building. They have different Lead Guides. 
School staff treat the MS (Col D) and HS (Col E) as separate.</x18tc:text>
  </x18tc:threadedComment>
  <x18tc:threadedComment ref="C6" dT="2025-08-19T12:55:38.00" personId="{7eb13349-0232-4341-b092-fb43a44a63cc}" id="{35d894c6-627a-4ef1-a94b-94545941abc6}" parentId="{4fceabdd-cd79-4c12-8495-dbaff04660ed}">
    <x18tc:text xml:space="preserve">I would combine and just list the different grade levels and school leaders.</x18tc:text>
  </x18tc:threadedComment>
  <x18tc:threadedComment ref="C6" dT="2025-08-21T11:20:30.00" personId="{5495796c-803e-4d04-839b-a9c969210ec0}" id="{bb7f3050-765b-4031-8381-e715eb180521}" parentId="{4fceabdd-cd79-4c12-8495-dbaff04660ed}">
    <x18tc:text xml:space="preserve">Combined as proposed</x18tc:text>
  </x18tc:threadedComment>
  <x18tc:threadedComment ref="K12" dT="2025-07-24T14:38:46.00" personId="{298ce18e-383d-4b63-9127-423ce6718bdb}" id="{1f0f40b3-d424-48c4-8b3e-d02529ed61ff}" done="1">
    <x18tc:text xml:space="preserve">@jan.dejager@trilogy.com Need to confirm
Assigned to jan.dejager@trilogy.com</x18tc:text>
    <x18tc:mentions>
      <x18tc:mention mentionpersonId="{110becb3-6830-4fb5-b6ef-24fb9f29c861}" mentionId="{419eaad6-a4c9-4b82-96f9-fe0030e7a655}" startIndex="0" length="24"/>
    </x18tc:mentions>
  </x18tc:threadedComment>
  <x18tc:threadedComment ref="K12" dT="2025-08-21T16:59:47.00" personId="{e0f9e752-4c1c-4cde-b844-7ddef95e704e}" id="{24180306-cfb4-4116-b7e0-4244b90340f1}" parentId="{1f0f40b3-d424-48c4-8b3e-d02529ed61ff}">
    <x18tc:text xml:space="preserve">@jan.dejager@trilogy.com good here?</x18tc:text>
    <x18tc:mentions>
      <x18tc:mention mentionpersonId="{110becb3-6830-4fb5-b6ef-24fb9f29c861}" mentionId="{4eb00364-c31f-425e-8e69-d36c801bf702}" startIndex="0" length="24"/>
    </x18tc:mentions>
  </x18tc:threadedComment>
  <x18tc:threadedComment ref="K12" dT="2025-08-21T17:24:55.00" personId="{5495796c-803e-4d04-839b-a9c969210ec0}" id="{c8ee13ed-3718-42b1-9f98-6a32a56f91b7}" parentId="{1f0f40b3-d424-48c4-8b3e-d02529ed61ff}">
    <x18tc:text xml:space="preserve">Yes - consistent with other $15k tuition campuses</x18tc:text>
  </x18tc:threadedComment>
  <x18tc:threadedComment ref="O34" dT="2025-09-09T18:52:01.00" personId="{7eb13349-0232-4341-b092-fb43a44a63cc}" id="{dfac81c7-b26e-49ca-9d06-317797cd833f}" done="1">
    <x18tc:text xml:space="preserve">@patrick.francia@trilogy.com can you track down her contact info?
Assigned to patrick.francia@trilogy.com</x18tc:text>
    <x18tc:mentions>
      <x18tc:mention mentionpersonId="{23ae3bc8-0a72-4458-9992-814b38a63ce9}" mentionId="{052bda70-fde5-448a-af4c-066aba37d5f3}" startIndex="0" length="28"/>
    </x18tc:mentions>
  </x18tc:threadedComment>
  <x18tc:threadedComment ref="O34" dT="2025-09-09T19:17:35.00" personId="{209a287d-7e6b-468e-b172-ce1a4a14f86a}" id="{2c4d4a8e-2249-4adf-a18a-64846f87e35e}" parentId="{dfac81c7-b26e-49ca-9d06-317797cd833f}">
    <x18tc:text xml:space="preserve">Comment only permissions - her company email is not set yet. Phone number is (503) 943-9317</x18tc:text>
  </x18tc:threadedComment>
  <x18tc:threadedComment ref="O34" dT="2025-09-10T19:26:45.00" personId="{209a287d-7e6b-468e-b172-ce1a4a14f86a}" id="{57fb7d97-5b3e-4095-846e-b53621c97d04}" parentId="{dfac81c7-b26e-49ca-9d06-317797cd833f}">
    <x18tc:text xml:space="preserve">tetiana.pierson@alpha.school</x18tc:text>
  </x18tc:threadedComment>
  <x18tc:threadedComment ref="A34" dT="2025-09-08T22:33:56.00" personId="{e0f9e752-4c1c-4cde-b844-7ddef95e704e}" id="{751e73cf-3225-45b4-824b-58ceaa128cfb}" done="1">
    <x18tc:text xml:space="preserve">@heather.lother@crossover.com can you pls indicate which are CC vs CC/Admissions hybrids? And I think some more are hired and starting? @andrew.jordan@trilogy.com
Assigned to heather.lother@crossover.com</x18tc:text>
    <x18tc:mentions>
      <x18tc:mention mentionpersonId="{6ae5b66f-f600-48d7-8f4d-e68e56c9d730}" mentionId="{08fb34a8-1a8e-454b-8aaa-2f646d0d5635}" startIndex="0" length="29"/>
      <x18tc:mention mentionpersonId="{416700c4-395c-4dab-9a17-b66b9d2466b9}" mentionId="{42639104-f8eb-42eb-93b7-c64ea4639444}" startIndex="136" length="26"/>
    </x18tc:mentions>
  </x18tc:threadedComment>
  <x18tc:threadedComment ref="K13" dT="2025-07-24T14:38:14.00" personId="{298ce18e-383d-4b63-9127-423ce6718bdb}" id="{db5da91e-0407-4a5c-8502-47c96c45dba4}" done="1">
    <x18tc:text xml:space="preserve">Need to confirm @jan.dejager@trilogy.com
Assigned to jan.dejager@trilogy.com</x18tc:text>
    <x18tc:mentions>
      <x18tc:mention mentionpersonId="{110becb3-6830-4fb5-b6ef-24fb9f29c861}" mentionId="{0608d62c-4a77-46d4-bd2f-827ece3fd6d7}" startIndex="16" length="24"/>
    </x18tc:mentions>
  </x18tc:threadedComment>
  <x18tc:threadedComment ref="K13" dT="2025-07-28T20:35:32.00" personId="{e0f9e752-4c1c-4cde-b844-7ddef95e704e}" id="{2cd6996f-2bef-4b11-a8d7-e06d7456ad33}" parentId="{db5da91e-0407-4a5c-8502-47c96c45dba4}">
    <x18tc:text xml:space="preserve">@jan.dejager@trilogy.com @david.harpur@trilogy.com ?</x18tc:text>
    <x18tc:mentions>
      <x18tc:mention mentionpersonId="{110becb3-6830-4fb5-b6ef-24fb9f29c861}" mentionId="{493e3e47-dfc2-41a6-ae14-b86587af083a}" startIndex="0" length="24"/>
      <x18tc:mention mentionpersonId="{9ecbeea8-b78f-49ff-a39c-eac4a37185dc}" mentionId="{d831a465-2fab-4981-93e6-f72989c8864e}" startIndex="25" length="25"/>
    </x18tc:mentions>
  </x18tc:threadedComment>
  <x18tc:threadedComment ref="K13" dT="2025-07-29T08:39:03.00" personId="{ca9de7f2-f71e-484f-a07d-306d53649393}" id="{b184a3ea-88bb-4b06-a58f-f75004abb1b4}" parentId="{db5da91e-0407-4a5c-8502-47c96c45dba4}">
    <x18tc:text xml:space="preserve">who had the idea of the $10k discount?</x18tc:text>
  </x18tc:threadedComment>
  <x18tc:threadedComment ref="K13" dT="2025-08-20T20:59:56.00" personId="{298ce18e-383d-4b63-9127-423ce6718bdb}" id="{8da078ec-f02b-4447-ac6d-16f701c1b9f0}" parentId="{db5da91e-0407-4a5c-8502-47c96c45dba4}">
    <x18tc:text xml:space="preserve">Any discounts decisions came from Joe or MP.</x18tc:text>
  </x18tc:threadedComment>
  <x18tc:threadedComment ref="D33" dT="2025-09-08T13:31:23.00" personId="{e0f9e752-4c1c-4cde-b844-7ddef95e704e}" id="{ee07572b-028f-4e38-be82-94616b5c57c8}" done="1">
    <x18tc:text xml:space="preserve">@stefanie.baduria@alpha.school can you pls review this row for completeness and accuracy (and anything else you see)?
Assigned to stefanie.baduria@alpha.school</x18tc:text>
    <x18tc:mentions>
      <x18tc:mention mentionpersonId="{957ab0aa-4a5a-4047-ba5d-6ecbe7f477b2}" mentionId="{ae23ff4c-f94d-40fa-a301-1b7673bbbf9c}" startIndex="0" length="30"/>
    </x18tc:mentions>
  </x18tc:threadedComment>
  <x18tc:threadedComment ref="D33" dT="2025-09-08T17:37:10.00" personId="{62b87bdf-f3d1-47d1-823b-4967c0fe4d61}" id="{03c700e3-27d7-464d-a65c-dc7205dbeb10}" parentId="{ee07572b-028f-4e38-be82-94616b5c57c8}">
    <x18tc:text xml:space="preserve">I think Chloe Belvin is Lead Guide (at least of AlphaX)?</x18tc:text>
  </x18tc:threadedComment>
  <x18tc:threadedComment ref="V20" dT="2025-09-10T17:11:02.00" personId="{62b87bdf-f3d1-47d1-823b-4967c0fe4d61}" id="{40b287c1-22ca-41fc-b882-471b3957a8af}" done="1">
    <x18tc:text xml:space="preserve">this should be CalA.</x18tc:text>
  </x18tc:threadedComment>
  <x18tc:threadedComment ref="V20" dT="2025-09-11T01:23:57.00" personId="{e0f9e752-4c1c-4cde-b844-7ddef95e704e}" id="{d100123a-3c13-43df-895e-7033e1334f32}" parentId="{40b287c1-22ca-41fc-b882-471b3957a8af}">
    <x18tc:text xml:space="preserve">Updated</x18tc:text>
  </x18tc:threadedComment>
  <x18tc:threadedComment ref="I33" dT="2025-09-08T21:52:19.00" personId="{e0f9e752-4c1c-4cde-b844-7ddef95e704e}" id="{475a5a21-1ac5-4cb4-8ee8-0f55d041d5ec}" done="1">
    <x18tc:text xml:space="preserve">@stefanie.baduria@alpha.school so based on the other comment, none of the others but Braden should be Head Guides?  All of the other HGs should be LGs?
Assigned to stefanie.baduria@alpha.school</x18tc:text>
    <x18tc:mentions>
      <x18tc:mention mentionpersonId="{957ab0aa-4a5a-4047-ba5d-6ecbe7f477b2}" mentionId="{d9214481-1204-4ad5-97ef-973931deae38}" startIndex="0" length="30"/>
    </x18tc:mentions>
  </x18tc:threadedComment>
  <x18tc:threadedComment ref="I33" dT="2025-09-08T21:53:54.00" personId="{62b87bdf-f3d1-47d1-823b-4967c0fe4d61}" id="{f8bdd8e4-2c1e-4c09-a640-24f13594d74c}" parentId="{475a5a21-1ac5-4cb4-8ee8-0f55d041d5ec}">
    <x18tc:text xml:space="preserve">Correct. Lead guide comp band. And managing guides, not lead guides - like Braden is</x18tc:text>
  </x18tc:threadedComment>
  <x18tc:threadedComment ref="I33" dT="2025-09-08T21:59:36.00" personId="{e0f9e752-4c1c-4cde-b844-7ddef95e704e}" id="{694eba9d-2294-4fd1-8338-fc2fb1c4c2e1}" parentId="{475a5a21-1ac5-4cb4-8ee8-0f55d041d5ec}">
    <x18tc:text xml:space="preserve">But then why does guide ladder say this for LG?  Perhaps should say "to an entire or multiple levels"?
"Lead Guides can deliver the 3 commitments to an entire level, coach guides to provide emotional and motivational support and hold high standards, and implement the Alpha system in a new location."</x18tc:text>
  </x18tc:threadedComment>
  <x18tc:threadedComment ref="I33" dT="2025-09-08T22:00:35.00" personId="{e0f9e752-4c1c-4cde-b844-7ddef95e704e}" id="{051935c2-3843-47d7-b178-035d3f069e39}" parentId="{475a5a21-1ac5-4cb4-8ee8-0f55d041d5ec}">
    <x18tc:text xml:space="preserve">Unless you meant that Lead Guides are one per campus?</x18tc:text>
  </x18tc:threadedComment>
  <x18tc:threadedComment ref="I33" dT="2025-09-09T01:57:02.00" personId="{62b87bdf-f3d1-47d1-823b-4967c0fe4d61}" id="{acbb6123-7821-441e-91a0-2eebf7648715}" parentId="{475a5a21-1ac5-4cb4-8ee8-0f55d041d5ec}">
    <x18tc:text xml:space="preserve">I'll update that sheet. It's an old one I haven't referenced in awhile - but I'll make it accurate.</x18tc:text>
  </x18tc:threadedComment>
  <x18tc:threadedComment ref="A34" dT="2025-08-23T21:04:01.00" personId="{e0f9e752-4c1c-4cde-b844-7ddef95e704e}" id="{0d63873b-4aae-44ab-83d9-ab8943ef3d53}" done="1">
    <x18tc:text xml:space="preserve">@andrew.jordan@trilogy.com can you pls fill out these 2 rows here w/ CC and Ops Lead?  I'll then take that and we want to publish out to Guides (and even Parents)
Assigned to andrew.jordan@trilogy.com</x18tc:text>
    <x18tc:mentions>
      <x18tc:mention mentionpersonId="{416700c4-395c-4dab-9a17-b66b9d2466b9}" mentionId="{91701faa-4d95-4a19-bdda-4d2fadda4a0f}" startIndex="0" length="26"/>
    </x18tc:mentions>
  </x18tc:threadedComment>
  <x18tc:threadedComment ref="A34" dT="2025-08-23T21:05:44.00" personId="{e0f9e752-4c1c-4cde-b844-7ddef95e704e}" id="{0fa1881d-8ccd-4aa1-b93c-4e33f4ca6872}" parentId="{0d63873b-4aae-44ab-83d9-ab8943ef3d53}">
    <x18tc:text xml:space="preserve">should have name, e-mail, cell</x18tc:text>
  </x18tc:threadedComment>
  <x18tc:threadedComment ref="A34" dT="2025-08-27T04:45:30.00" personId="{e0f9e752-4c1c-4cde-b844-7ddef95e704e}" id="{7cbde331-dde1-40dd-b7c3-6c2012b6ca70}" parentId="{0d63873b-4aae-44ab-83d9-ab8943ef3d53}">
    <x18tc:text xml:space="preserve">@andrew.jordan@trilogy.com why isn't campus coordinator filled out?  Isn't that the first escalation point for facilities?</x18tc:text>
    <x18tc:mentions>
      <x18tc:mention mentionpersonId="{416700c4-395c-4dab-9a17-b66b9d2466b9}" mentionId="{be750206-3030-452b-8b57-41aca94d6e3e}" startIndex="0" length="26"/>
    </x18tc:mentions>
  </x18tc:threadedComment>
  <x18tc:threadedComment ref="P32" dT="2025-12-08T21:42:13.00" personId="{4406f311-3a54-4798-954a-6309e28792a4}" id="{70dc5a2d-ee16-4707-b69a-f2707c65d5c6}" done="1">
    <x18tc:text xml:space="preserve">Andy GIBSON (temp)
Hiring ADOP</x18tc:text>
  </x18tc:threadedComment>
  <x18tc:threadedComment ref="Z27" dT="2025-07-25T11:10:55.00" personId="{a9cf6e79-9751-4017-90e6-a3b2941f1187}" id="{15a2c33f-f14f-49f8-9fae-94c73afa55a1}" done="1">
    <x18tc:text xml:space="preserve">Alpha School 33624, LLC recently created</x18tc:text>
  </x18tc:threadedComment>
  <x18tc:threadedComment ref="J12" dT="2025-07-24T14:39:04.00" personId="{298ce18e-383d-4b63-9127-423ce6718bdb}" id="{2069ded8-39ac-46c0-9af5-d4c923a34389}" done="1">
    <x18tc:text xml:space="preserve">@jan.dejager@trilogy.com Need to confirm
Assigned to jan.dejager@trilogy.com</x18tc:text>
    <x18tc:mentions>
      <x18tc:mention mentionpersonId="{110becb3-6830-4fb5-b6ef-24fb9f29c861}" mentionId="{de00dfdc-93cc-4003-8714-f5451c27724e}" startIndex="0" length="24"/>
    </x18tc:mentions>
  </x18tc:threadedComment>
  <x18tc:threadedComment ref="J12" dT="2025-07-29T08:48:24.00" personId="{5495796c-803e-4d04-839b-a9c969210ec0}" id="{4f9e8ee8-2b5e-4cc9-a2e3-62c1b8d0d58b}" parentId="{2069ded8-39ac-46c0-9af5-d4c923a34389}">
    <x18tc:text xml:space="preserve">Amelia, where did you get this initially? I can then follow up from the source. For both Nova schools.</x18tc:text>
  </x18tc:threadedComment>
  <x18tc:threadedComment ref="J12" dT="2025-07-30T02:03:43.00" personId="{298ce18e-383d-4b63-9127-423ce6718bdb}" id="{ae1b56b3-ca15-4ce3-8b5b-f965e6a3498c}" parentId="{2069ded8-39ac-46c0-9af5-d4c923a34389}">
    <x18tc:text xml:space="preserve">Valenta had a $500 deposit</x18tc:text>
  </x18tc:threadedComment>
  <x18tc:threadedComment ref="U28" dT="2025-06-27T16:04:52.00" personId="{a9cf6e79-9751-4017-90e6-a3b2941f1187}" id="{60d0bbf4-ebfe-4309-9cb5-7c2ab734b634}" done="1">
    <x18tc:text xml:space="preserve">disregarded entity under 2HR Learning, Inc. and has not had reason to request its own EIN so disclosing 2HR Learning, Inc. EIN</x18tc:text>
  </x18tc:threadedComment>
  <x18tc:threadedComment ref="Z28" dT="2025-07-25T11:11:09.00" personId="{a9cf6e79-9751-4017-90e6-a3b2941f1187}" id="{7aafabf9-001c-4c5d-90b6-62f9c8ec3635}" done="1">
    <x18tc:text xml:space="preserve">No EIN as disregarded entity under 2HR Learning, Inc.</x18tc:text>
  </x18tc:threadedComment>
  <x18tc:threadedComment ref="P28" dT="2025-06-27T16:06:53.00" personId="{a9cf6e79-9751-4017-90e6-a3b2941f1187}" id="{0a111deb-87cf-4dd5-8151-2394765242b2}" done="1">
    <x18tc:text xml:space="preserve">disregarded entity under 2HR Learning, Inc. and has not had reason to request its own EIN so disclosing 2HR Learning, Inc. EIN</x18tc:text>
  </x18tc:threadedComment>
  <x18tc:threadedComment ref="W32" dT="2025-12-03T22:19:05.00" personId="{4406f311-3a54-4798-954a-6309e28792a4}" id="{77c93c85-95f5-4f05-ad51-8613918d18f9}" done="0">
    <x18tc:text xml:space="preserve">Shannon Guse hired.</x18tc:text>
  </x18tc:threadedComment>
  <x18tc:threadedComment ref="W32" dT="2026-01-19T19:58:09.00" personId="{4406f311-3a54-4798-954a-6309e28792a4}" id="{273864d7-ee58-44f6-b985-5682976e532c}" parentId="{77c93c85-95f5-4f05-ad51-8613918d18f9}">
    <x18tc:text xml:space="preserve">Please update -- Shannon Guse hired; started Dec. 2025</x18tc:text>
  </x18tc:threadedComment>
  <x18tc:threadedComment ref="W32" dT="2026-01-21T20:51:29.00" personId="{e0f9e752-4c1c-4cde-b844-7ddef95e704e}" id="{80ec03f3-6fee-4228-ab54-38189cf1f578}" parentId="{77c93c85-95f5-4f05-ad51-8613918d18f9}">
    <x18tc:text xml:space="preserve">ADoP?</x18tc:text>
  </x18tc:threadedComment>
  <x18tc:threadedComment ref="W32" dT="2026-02-02T18:05:15.00" personId="{4406f311-3a54-4798-954a-6309e28792a4}" id="{a4e9e30d-b341-44d5-8402-437d0cb24dfa}" parentId="{77c93c85-95f5-4f05-ad51-8613918d18f9}">
    <x18tc:text xml:space="preserve">Please update 
Remove Shannon
New text: Hiring ADOP</x18tc:text>
  </x18tc:threadedComment>
  <x18tc:threadedComment ref="W32" dT="2026-02-04T21:51:35.00" personId="{4406f311-3a54-4798-954a-6309e28792a4}" id="{1acc4c48-64e8-45b1-a297-594a28f48b6a}" parentId="{77c93c85-95f5-4f05-ad51-8613918d18f9}">
    <x18tc:text xml:space="preserve">New text: Graham Salzer hired, start date TBD</x18tc:text>
  </x18tc:threadedComment>
  <x18tc:threadedComment ref="S28" dT="2025-06-27T16:08:26.00" personId="{a9cf6e79-9751-4017-90e6-a3b2941f1187}" id="{5438054f-0d18-448f-94f2-abf8383e0010}" done="1">
    <x18tc:text xml:space="preserve">disregarded entity under 2HR Learning, Inc. and has not had reason to request its own EIN so disclosing 2HR Learning, Inc. EIN</x18tc:text>
  </x18tc:threadedComment>
  <x18tc:threadedComment ref="M13" dT="2025-07-09T15:45:57.00" personId="{298ce18e-383d-4b63-9127-423ce6718bdb}" id="{3565e35e-7678-458a-8c8d-62019401bb05}" done="1">
    <x18tc:text xml:space="preserve">@arthur@trilogy.com @jan.dejager@trilogy.com Is there FF for Waypoint? They have a family info session on July 11.
Assigned to arthur@trilogy.com</x18tc:text>
    <x18tc:mentions>
      <x18tc:mention mentionpersonId="{57259500-5a14-4ba4-b843-32512c7c5aa7}" mentionId="{c3e48bbc-4cb5-48ea-9311-a4d7479f8979}" startIndex="0" length="19"/>
      <x18tc:mention mentionpersonId="{110becb3-6830-4fb5-b6ef-24fb9f29c861}" mentionId="{66d60fa3-0704-450f-a6ab-a2704343fbac}" startIndex="20" length="24"/>
    </x18tc:mentions>
  </x18tc:threadedComment>
  <x18tc:threadedComment ref="M13" dT="2025-07-15T14:44:46.00" personId="{ca9de7f2-f71e-484f-a07d-306d53649393}" id="{19d99ec5-a2ca-4729-9261-659b91e5fe11}" parentId="{3565e35e-7678-458a-8c8d-62019401bb05}">
    <x18tc:text xml:space="preserve">@jan.dejager@trilogy.com - ?</x18tc:text>
    <x18tc:mentions>
      <x18tc:mention mentionpersonId="{110becb3-6830-4fb5-b6ef-24fb9f29c861}" mentionId="{cafd8f67-b6e2-4b59-a031-3766db1d8bed}" startIndex="0" length="24"/>
    </x18tc:mentions>
  </x18tc:threadedComment>
  <x18tc:threadedComment ref="M13" dT="2025-07-15T14:47:25.00" personId="{5495796c-803e-4d04-839b-a9c969210ec0}" id="{5f44f33a-eab7-4174-8f16-7ff349252142}" parentId="{3565e35e-7678-458a-8c8d-62019401bb05}">
    <x18tc:text xml:space="preserve">Confirmed in cell L6 and on email that the model does not have the FF discount</x18tc:text>
  </x18tc:threadedComment>
  <x18tc:threadedComment ref="V27" dT="2025-08-13T18:37:17.00" personId="{a9cf6e79-9751-4017-90e6-a3b2941f1187}" id="{4af53236-83ab-4833-a80e-95a042d2b83d}" done="1">
    <x18tc:text xml:space="preserve">@jan.dejager@trilogy.com - Alpha School 92610, LLC has been created.  No EIN as disregarded entity
Assigned to jan.dejager@trilogy.com</x18tc:text>
    <x18tc:mentions>
      <x18tc:mention mentionpersonId="{110becb3-6830-4fb5-b6ef-24fb9f29c861}" mentionId="{b18552e3-b055-46b7-ac1b-5b8de89d4b3b}" startIndex="0" length="24"/>
    </x18tc:mentions>
  </x18tc:threadedComment>
  <x18tc:threadedComment ref="B9" dT="2025-08-04T14:01:40.00" personId="{298ce18e-383d-4b63-9127-423ce6718bdb}" id="{5c14198b-fb68-4489-a255-c6016766c7ae}" done="1">
    <x18tc:text xml:space="preserve">@arthur@trilogy.com @david.harpur@trilogy.com @jan.dejager@trilogy.com I added a link here with the lunch offering details that were shared.</x18tc:text>
    <x18tc:mentions>
      <x18tc:mention mentionpersonId="{57259500-5a14-4ba4-b843-32512c7c5aa7}" mentionId="{25262dc0-0961-4987-a1f4-042d32abb4dd}" startIndex="0" length="19"/>
      <x18tc:mention mentionpersonId="{9ecbeea8-b78f-49ff-a39c-eac4a37185dc}" mentionId="{99b8278e-578a-450a-ac88-dc69eaddc8dc}" startIndex="20" length="25"/>
      <x18tc:mention mentionpersonId="{110becb3-6830-4fb5-b6ef-24fb9f29c861}" mentionId="{2f9b4606-356b-47aa-b4d6-7389d1dc0120}" startIndex="46" length="24"/>
    </x18tc:mentions>
  </x18tc:threadedComment>
  <x18tc:threadedComment ref="T32" dT="2025-09-15T19:41:18.00" personId="{f0cc1384-fa8c-48e3-9ff1-d01dc70f9d16}" id="{245f4cd7-da2e-402b-917b-9e218aa441a2}" done="1">
    <x18tc:text xml:space="preserve">@heather.lother@crossover.com hire an aDoP
Assigned to heather.lother@crossover.com</x18tc:text>
    <x18tc:mentions>
      <x18tc:mention mentionpersonId="{6ae5b66f-f600-48d7-8f4d-e68e56c9d730}" mentionId="{80da220c-b343-4165-b80e-d22c923bbd5f}" startIndex="0" length="29"/>
    </x18tc:mentions>
  </x18tc:threadedComment>
  <x18tc:threadedComment ref="T32" dT="2025-09-15T20:13:16.00" personId="{4406f311-3a54-4798-954a-6309e28792a4}" id="{5ba93084-f6bf-42da-9a28-cab0fbbdf1da}" parentId="{245f4cd7-da2e-402b-917b-9e218aa441a2}">
    <x18tc:text xml:space="preserve">Confirmed</x18tc:text>
  </x18tc:threadedComment>
  <x18tc:threadedComment ref="T32" dT="2025-10-07T16:31:51.00" personId="{4406f311-3a54-4798-954a-6309e28792a4}" id="{73839f47-ceb4-4a11-a75e-77b2120a2c34}" parentId="{245f4cd7-da2e-402b-917b-9e218aa441a2}">
    <x18tc:text xml:space="preserve">@jan.dejager@trilogy.com - please update to (Hiring ADOP)
Reassigned to jan.dejager@trilogy.com</x18tc:text>
    <x18tc:mentions>
      <x18tc:mention mentionpersonId="{110becb3-6830-4fb5-b6ef-24fb9f29c861}" mentionId="{f312f16b-29f6-40b8-9836-94cc96e5c093}" startIndex="0" length="24"/>
    </x18tc:mentions>
  </x18tc:threadedComment>
  <x18tc:threadedComment ref="T32" dT="2025-10-08T08:59:05.00" personId="{5495796c-803e-4d04-839b-a9c969210ec0}" id="{619dd898-b95e-4898-bc93-3589fc61f67d}" parentId="{245f4cd7-da2e-402b-917b-9e218aa441a2}">
    <x18tc:text xml:space="preserve">updated</x18tc:text>
  </x18tc:threadedComment>
  <x18tc:threadedComment ref="O32" dT="2025-12-03T22:18:40.00" personId="{4406f311-3a54-4798-954a-6309e28792a4}" id="{865ff2e9-6d7e-40f6-9f84-2a83978a566b}" done="1">
    <x18tc:text xml:space="preserve">No longer hiring - Crystal fills this slot.</x18tc:text>
  </x18tc:threadedComment>
  <x18tc:threadedComment ref="Y28" dT="2025-06-27T16:13:34.00" personId="{a9cf6e79-9751-4017-90e6-a3b2941f1187}" id="{bc29fd14-64ae-44d6-8d3c-28a3810391e6}" done="1">
    <x18tc:text xml:space="preserve">disregarded entity under 2HR Learning, Inc. and has not had reason to request its own EIN so disclosing 2HR Learning, Inc. EIN</x18tc:text>
  </x18tc:threadedComment>
  <x18tc:threadedComment ref="R27" dT="2025-08-13T18:35:12.00" personId="{a9cf6e79-9751-4017-90e6-a3b2941f1187}" id="{c2a2e181-f584-4355-9091-8db36b3f07c2}" done="1">
    <x18tc:text xml:space="preserve">@jan.dejager@trilogy.com - I believe that Alpha School 33418, LLC was created last week (I haven't been provided a formation document yet but believe it is in existence).  No EIN as a disregarded entity
Assigned to jan.dejager@trilogy.com</x18tc:text>
    <x18tc:mentions>
      <x18tc:mention mentionpersonId="{110becb3-6830-4fb5-b6ef-24fb9f29c861}" mentionId="{6afc7d79-9e61-47d1-894c-823b37474f84}" startIndex="0" length="24"/>
    </x18tc:mentions>
  </x18tc:threadedComment>
  <x18tc:threadedComment ref="AM28" dT="2025-06-27T15:55:25.00" personId="{a9cf6e79-9751-4017-90e6-a3b2941f1187}" id="{38b63f7b-3711-4db7-ad8f-bf6b9f117611}" done="1">
    <x18tc:text xml:space="preserve">entity has its own EIN (required for banking purposes). It is a disregarded entity under 2HR Learning Inc and will 2HR Learning's EIN for income tax purposes - 87-3012777)</x18tc:text>
  </x18tc:threadedComment>
  <x18tc:threadedComment ref="P24" dT="2025-11-20T09:39:35.00" personId="{2c6a2ee1-977f-4ec0-bf64-a380d414b166}" id="{4bef3ad7-fc09-46fb-b9a1-e61b73ec7903}" done="1">
    <x18tc:text xml:space="preserve">@jc.fischer@trilogy.com 
Has the reduction from 25 -&gt; 18 been confirmed yet - I will need to update the financials.
Thanks</x18tc:text>
    <x18tc:mentions>
      <x18tc:mention mentionpersonId="{a85e4ea7-c011-42a5-a6be-4cb6fa744464}" mentionId="{89596b9e-f923-421c-9963-cfcc60f5da2f}" startIndex="0" length="23"/>
    </x18tc:mentions>
  </x18tc:threadedComment>
  <x18tc:threadedComment ref="P24" dT="2025-11-20T11:02:08.00" personId="{41a06bdc-7b6e-4d7d-8077-bb4d2d59df4d}" id="{3767db6c-46c8-4a9f-96a8-629ac5feda5e}" parentId="{4bef3ad7-fc09-46fb-b9a1-e61b73ec7903}">
    <x18tc:text xml:space="preserve">Yes</x18tc:text>
  </x18tc:threadedComment>
  <x18tc:threadedComment ref="Z23" dT="2025-08-29T20:20:56.00" personId="{298ce18e-383d-4b63-9127-423ce6718bdb}" id="{7a7da18b-453c-477a-8396-5a55b9388bbf}" done="1">
    <x18tc:text xml:space="preserve">@rachel.goodlad@alpha.school This address is listed.  Should this state Not Public Yet or No Location?
Assigned to rachel.goodlad@alpha.school</x18tc:text>
    <x18tc:mentions>
      <x18tc:mention mentionpersonId="{29d2406b-30bf-43b3-87b9-fe87b6d13e6a}" mentionId="{297c825c-e180-4290-8752-80b2ec7f483d}" startIndex="0" length="28"/>
    </x18tc:mentions>
  </x18tc:threadedComment>
  <x18tc:threadedComment ref="Z23" dT="2025-08-29T21:18:09.00" personId="{f256d1d9-3ce3-477e-8d2e-d8deca504061}" id="{ca47efef-a203-4061-af1c-0e168f8d0107}" parentId="{7a7da18b-453c-477a-8396-5a55b9388bbf}">
    <x18tc:text xml:space="preserve">not public yet</x18tc:text>
  </x18tc:threadedComment>
  <x18tc:threadedComment ref="Y18" dT="2025-09-30T16:38:40.00" personId="{298ce18e-383d-4b63-9127-423ce6718bdb}" id="{13eea062-4533-4c82-8f50-fc93909ccaf2}" done="1">
    <x18tc:text xml:space="preserve">@arthur@trilogy.com @donnie.yee@trilogy.com @jan.dejager@trilogy.com @dmitry.bakaev@trilogy.com Raleigh is now K-5 from being K-3</x18tc:text>
    <x18tc:mentions>
      <x18tc:mention mentionpersonId="{57259500-5a14-4ba4-b843-32512c7c5aa7}" mentionId="{feebfdc4-599b-4885-a6b2-f7060f252789}" startIndex="0" length="19"/>
      <x18tc:mention mentionpersonId="{89c5b50c-ba7f-4dc2-ac4a-2d16e711229b}" mentionId="{e692b2d2-9030-4412-9628-256b4cd297a7}" startIndex="20" length="23"/>
      <x18tc:mention mentionpersonId="{110becb3-6830-4fb5-b6ef-24fb9f29c861}" mentionId="{8a29f359-16f4-4284-b43b-3b3289f30bfb}" startIndex="44" length="24"/>
      <x18tc:mention mentionpersonId="{0511c2dd-e4a6-4511-b1b6-b40f169ad9e9}" mentionId="{f8206fbf-5a08-4d8b-a3f0-12f9c0406d3b}" startIndex="69" length="26"/>
    </x18tc:mentions>
  </x18tc:threadedComment>
  <x18tc:threadedComment ref="P34" dT="2025-11-12T16:33:44.00" personId="{3a2edfa2-4108-4b35-a45e-f092ee237dcb}" id="{d40f85b0-89d0-47cb-b92f-61ad259a5238}" done="1">
    <x18tc:text xml:space="preserve">Michaela Bosco start date 11/17</x18tc:text>
  </x18tc:threadedComment>
  <x18tc:threadedComment ref="P34" dT="2025-11-16T17:32:02.00" personId="{e0f9e752-4c1c-4cde-b844-7ddef95e704e}" id="{5f0bbb15-f38e-4db2-b4aa-eabfcf240ebe}" parentId="{d40f85b0-89d0-47cb-b92f-61ad259a5238}">
    <x18tc:text xml:space="preserve">@andrew.jordan@trilogy.com another one</x18tc:text>
    <x18tc:mentions>
      <x18tc:mention mentionpersonId="{416700c4-395c-4dab-9a17-b66b9d2466b9}" mentionId="{040e9322-120c-42b3-a02a-75d7fe8e891a}" startIndex="0" length="26"/>
    </x18tc:mentions>
  </x18tc:threadedComment>
  <x18tc:threadedComment ref="P34" dT="2025-11-16T17:58:08.00" personId="{3a2edfa2-4108-4b35-a45e-f092ee237dcb}" id="{ef5bfbe3-2d82-4d37-8b54-fe0ce4db37a7}" parentId="{d40f85b0-89d0-47cb-b92f-61ad259a5238}">
    <x18tc:text xml:space="preserve">Marked as resolved</x18tc:text>
  </x18tc:threadedComment>
  <x18tc:threadedComment ref="P34" dT="2025-11-16T18:09:27.00" personId="{e0f9e752-4c1c-4cde-b844-7ddef95e704e}" id="{6dd3d08a-efe1-4545-b8e5-298ab697ae31}" parentId="{d40f85b0-89d0-47cb-b92f-61ad259a5238}">
    <x18tc:text xml:space="preserve">@shannon.peifer@alpha.school these fell through?
Re-opened</x18tc:text>
    <x18tc:mentions>
      <x18tc:mention mentionpersonId="{a253f597-90de-4104-8df0-9f387f3766ef}" mentionId="{e7328bab-5629-48a9-ae8a-2da84194b21b}" startIndex="0" length="28"/>
    </x18tc:mentions>
  </x18tc:threadedComment>
  <x18tc:threadedComment ref="C33" dT="2025-09-08T16:59:11.00" personId="{62b87bdf-f3d1-47d1-823b-4967c0fe4d61}" id="{fd9c0856-ed7a-45f3-a8a0-cbb6658332cc}" done="1">
    <x18tc:text xml:space="preserve">Braden=Head Guide Alpha Austin PreK-8.
Then there are Lead Guides per level.</x18tc:text>
  </x18tc:threadedComment>
  <x18tc:threadedComment ref="C33" dT="2025-09-08T17:47:56.00" personId="{e0f9e752-4c1c-4cde-b844-7ddef95e704e}" id="{92cff84a-f4ad-4d64-a4c5-5e669e5cdaae}" parentId="{fd9c0856-ed7a-45f3-a8a0-cbb6658332cc}">
    <x18tc:text xml:space="preserve">Updated.  So yeah, maybe only Head Guides on this sheet and the Lead Guide if they don't exist (yet)?
1 total reaction
Stefanie Baduria reacted with 👍 at 2025-09-08 18:08 PM</x18tc:text>
  </x18tc:threadedComment>
  <x18tc:threadedComment ref="AH19" dT="2025-12-03T22:34:43.00" personId="{4406f311-3a54-4798-954a-6309e28792a4}" id="{6825f18b-5f4e-4a39-9399-06153f226538}" done="0">
    <x18tc:text xml:space="preserve">2026?</x18tc:text>
  </x18tc:threadedComment>
  <x18tc:threadedComment ref="AH19" dT="2025-12-11T18:20:43.00" personId="{41a06bdc-7b6e-4d7d-8077-bb4d2d59df4d}" id="{bdae1c80-54bb-4561-b489-044bdb55e046}" parentId="{6825f18b-5f4e-4a39-9399-06153f226538}">
    <x18tc:text xml:space="preserve">Don't know. The lessor walked the lease. May have a backup.</x18tc:text>
  </x18tc:threadedComment>
  <x18tc:threadedComment ref="X28" dT="2025-06-27T16:03:31.00" personId="{a9cf6e79-9751-4017-90e6-a3b2941f1187}" id="{2ce7a3c5-bc54-45f7-a70e-7ea8b8df0025}" done="1">
    <x18tc:text xml:space="preserve">disregarded entity under 2HR Learning, Inc. and has not had reason to request its own EIN so disclosing 2HR Learning, Inc. EIN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5-07-01T15:20:56.00" personId="{5495796c-803e-4d04-839b-a9c969210ec0}" id="{0c7dfd21-baee-4d01-9a24-3d13f2866420}" done="1">
    <x18tc:text xml:space="preserve">@amelia.baldwin@alpha.school - what was the outcome here?</x18tc:text>
    <x18tc:mentions>
      <x18tc:mention mentionpersonId="{ceabeb41-7692-4dc7-a25b-b6f20b2fe9d3}" mentionId="{8cf8d1b3-17e6-47e0-b459-35221fd009db}" startIndex="0" length="28"/>
    </x18tc:mentions>
  </x18tc:threadedComment>
  <x18tc:threadedComment ref="D4" dT="2025-07-02T14:04:05.00" personId="{298ce18e-383d-4b63-9127-423ce6718bdb}" id="{5274490c-e467-46aa-a75e-55e6fc047fbe}" parentId="{0c7dfd21-baee-4d01-9a24-3d13f2866420}">
    <x18tc:text xml:space="preserve">The expansion school team communicated this to families. From my knowledge, it was received with no issue from families.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7-01T15:02:55.00" personId="{5495796c-803e-4d04-839b-a9c969210ec0}" id="{e1f68cb4-8ab2-45fa-84b6-64801230fe78}" done="1">
    <x18tc:text xml:space="preserve">@amelia.baldwin@alpha.school - copying and hiding org detail here for now</x18tc:text>
    <x18tc:mentions>
      <x18tc:mention mentionpersonId="{ceabeb41-7692-4dc7-a25b-b6f20b2fe9d3}" mentionId="{8df487f0-9c52-4718-b9f5-a4301da3b885}" startIndex="0" length="28"/>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6" dT="2025-09-24T01:10:02.00" personId="{e0f9e752-4c1c-4cde-b844-7ddef95e704e}" id="{37ad6112-e285-41ac-92f2-1937b3252728}" done="0">
    <x18tc:text xml:space="preserve">@joshua.rockers@trilogy.com is this tab up to date as well?  Shouldn't columns K show where we are looking to hire?
Assigned to joshua.rockers@trilogy.com</x18tc:text>
    <x18tc:mentions>
      <x18tc:mention mentionpersonId="{ef469d49-2be3-4bba-b1a1-51abddb1b250}" mentionId="{281d8839-85dd-46d4-a53f-04b6ebcc0c27}" startIndex="0" length="27"/>
    </x18tc:mentions>
  </x18tc:threadedComment>
  <x18tc:threadedComment ref="A26" dT="2025-09-24T01:10:38.00" personId="{e0f9e752-4c1c-4cde-b844-7ddef95e704e}" id="{b3088418-bd2c-458b-9973-85f9612df9fc}" parentId="{37ad6112-e285-41ac-92f2-1937b3252728}">
    <x18tc:text xml:space="preserve">Or instead should we just store the guard names in the school data sheet?</x18tc:text>
  </x18tc:threadedComment>
  <x18tc:threadedComment ref="A26" dT="2025-09-24T02:51:45.00" personId="{5902432c-927b-43a4-9eb1-4925ad387d53}" id="{782b5831-22ea-455b-81ff-489a6b5fbf2e}" parentId="{37ad6112-e285-41ac-92f2-1937b3252728}">
    <x18tc:text xml:space="preserve">Added 'Hiring Status' column</x18tc:text>
  </x18tc:threadedComment>
  <x18tc:threadedComment ref="A26" dT="2025-09-24T02:51:59.00" personId="{5902432c-927b-43a4-9eb1-4925ad387d53}" id="{bc84e646-4cad-45e5-be49-d5f257b916e2}" parentId="{37ad6112-e285-41ac-92f2-1937b3252728}">
    <x18tc:text xml:space="preserve">Added guard names to 'School Data' tab</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amelia.baldwin@alpha.school"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vmlDrawing" Target="../drawings/vmlDrawing2.vml"/><Relationship Id="rId20" Type="http://schemas.openxmlformats.org/officeDocument/2006/relationships/hyperlink" Target="https://docs.google.com/spreadsheets/d/17o5JgH0mbQqYOBiHYMnpodQI5LmbyzN1DYXxnMsJJhE/edit?gid=0" TargetMode="External"/><Relationship Id="rId22" Type="http://schemas.openxmlformats.org/officeDocument/2006/relationships/hyperlink" Target="https://docs.google.com/spreadsheets/d/15XBwRInkumudFzpMlLut3bYWJhukp-2AJsEfNJpyjhQ/edit?gid=806594124" TargetMode="External"/><Relationship Id="rId21" Type="http://schemas.openxmlformats.org/officeDocument/2006/relationships/hyperlink" Target="https://docs.google.com/spreadsheets/d/1xpKaUQjug9KiMamukJU9LmTFW-6q7ezjDJGNmZ3-540/edit?gid=1847654074" TargetMode="External"/><Relationship Id="rId24" Type="http://schemas.openxmlformats.org/officeDocument/2006/relationships/hyperlink" Target="https://docs.google.com/spreadsheets/d/1W6d4SjMIXpuvj7H6lG8-BYu-XEe3EigsGniCmv4vFw4/edit?gid=0" TargetMode="External"/><Relationship Id="rId23" Type="http://schemas.openxmlformats.org/officeDocument/2006/relationships/hyperlink" Target="https://docs.google.com/spreadsheets/d/1IUNgKkwajPCrZFKCmDdnDYzek6bN2Ijr3C6kNHgP1pY/edit?gid=0"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alpha.school/locations/" TargetMode="External"/><Relationship Id="rId9" Type="http://schemas.openxmlformats.org/officeDocument/2006/relationships/hyperlink" Target="https://waypointacademy.school/" TargetMode="External"/><Relationship Id="rId26" Type="http://schemas.openxmlformats.org/officeDocument/2006/relationships/hyperlink" Target="https://docs.google.com/spreadsheets/d/1GQyorISgMKCcdRksKC1U7VuJX3kEd8qSW26VwKkjtX4/edit?gid=806594124" TargetMode="External"/><Relationship Id="rId25" Type="http://schemas.openxmlformats.org/officeDocument/2006/relationships/hyperlink" Target="https://docs.google.com/spreadsheets/d/1lAHAQScRL_POTgVWyC02g3Jzk40V91klPRzyC1XRhDY/edit?gid=0" TargetMode="External"/><Relationship Id="rId28" Type="http://schemas.openxmlformats.org/officeDocument/2006/relationships/hyperlink" Target="https://docs.google.com/spreadsheets/d/1-eGFQCTUGY0Gl0w8oREXv4oGu49xjedf-tl4u_76E5U/edit?gid=1965684630" TargetMode="External"/><Relationship Id="rId27" Type="http://schemas.openxmlformats.org/officeDocument/2006/relationships/hyperlink" Target="https://docs.google.com/spreadsheets/d/17UYHpRYj51YYz10aYmGkb0n8pcy348Vgm76HjfTMlMU/edit?gid=806594124" TargetMode="External"/><Relationship Id="rId5" Type="http://schemas.openxmlformats.org/officeDocument/2006/relationships/hyperlink" Target="https://gt.school/" TargetMode="External"/><Relationship Id="rId6" Type="http://schemas.openxmlformats.org/officeDocument/2006/relationships/hyperlink" Target="https://novaacademy.school/" TargetMode="External"/><Relationship Id="rId29" Type="http://schemas.openxmlformats.org/officeDocument/2006/relationships/hyperlink" Target="https://app.rippling.com/org-chart/diagram" TargetMode="External"/><Relationship Id="rId7" Type="http://schemas.openxmlformats.org/officeDocument/2006/relationships/hyperlink" Target="https://novaacademy.school/" TargetMode="External"/><Relationship Id="rId8" Type="http://schemas.openxmlformats.org/officeDocument/2006/relationships/hyperlink" Target="https://nextgenacademy.school/" TargetMode="External"/><Relationship Id="rId31" Type="http://schemas.openxmlformats.org/officeDocument/2006/relationships/hyperlink" Target="https://docs.google.com/document/d/1MOF69Th0iTNXkSlG2jg05Msx0DkW8b12/edit?usp=sharing&amp;ouid=110563252277090649617&amp;rtpof=true&amp;sd=true" TargetMode="External"/><Relationship Id="rId30" Type="http://schemas.openxmlformats.org/officeDocument/2006/relationships/hyperlink" Target="https://docs.google.com/spreadsheets/d/1cAIUE2L0EKu5CzzBh7DA2BLdW_pcvC7CWCssgR5qlmc/edit?gid=328583383" TargetMode="External"/><Relationship Id="rId11" Type="http://schemas.openxmlformats.org/officeDocument/2006/relationships/hyperlink" Target="https://sportsacademy.school/locations" TargetMode="External"/><Relationship Id="rId33" Type="http://schemas.openxmlformats.org/officeDocument/2006/relationships/hyperlink" Target="mailto:jr.houston@trilogy.com" TargetMode="External"/><Relationship Id="rId10" Type="http://schemas.openxmlformats.org/officeDocument/2006/relationships/hyperlink" Target="https://montessorium.com/" TargetMode="External"/><Relationship Id="rId32" Type="http://schemas.openxmlformats.org/officeDocument/2006/relationships/hyperlink" Target="mailto:jr.houston@trilogy.com" TargetMode="External"/><Relationship Id="rId13" Type="http://schemas.openxmlformats.org/officeDocument/2006/relationships/hyperlink" Target="https://docs.google.com/document/d/10kxIg-JCYpuEVci6kreRVmbKyly9xKk-iY6dVr6W130/edit?tab=t.0" TargetMode="External"/><Relationship Id="rId35" Type="http://schemas.openxmlformats.org/officeDocument/2006/relationships/hyperlink" Target="mailto:patrick.francia@trilogy.com" TargetMode="External"/><Relationship Id="rId12" Type="http://schemas.openxmlformats.org/officeDocument/2006/relationships/hyperlink" Target="https://workflowy.com/s/definitions-school-m/FZFawGfSrFYrm5Yo" TargetMode="External"/><Relationship Id="rId34" Type="http://schemas.openxmlformats.org/officeDocument/2006/relationships/hyperlink" Target="mailto:patrick.francia@trilogy.com" TargetMode="External"/><Relationship Id="rId15" Type="http://schemas.openxmlformats.org/officeDocument/2006/relationships/hyperlink" Target="https://docs.google.com/spreadsheets/d/1vtPaXCN4KYo5LiCeFSCwxNi7miMdfHaDADxBIs_rSd0/edit?gid=32753868" TargetMode="External"/><Relationship Id="rId37" Type="http://schemas.openxmlformats.org/officeDocument/2006/relationships/hyperlink" Target="mailto:patrick.francia@trilogy.com" TargetMode="External"/><Relationship Id="rId14" Type="http://schemas.openxmlformats.org/officeDocument/2006/relationships/hyperlink" Target="http://pk-5/" TargetMode="External"/><Relationship Id="rId36" Type="http://schemas.openxmlformats.org/officeDocument/2006/relationships/hyperlink" Target="mailto:patrick.francia@trilogy.com" TargetMode="External"/><Relationship Id="rId17" Type="http://schemas.openxmlformats.org/officeDocument/2006/relationships/hyperlink" Target="https://docs.google.com/spreadsheets/d/1QwwasaPGgbfHfTxo_Z-l67jk7dRnMIGrRO8QRP3xyEI/edit?gid=1071725122" TargetMode="External"/><Relationship Id="rId39" Type="http://schemas.openxmlformats.org/officeDocument/2006/relationships/drawing" Target="../drawings/drawing2.xml"/><Relationship Id="rId16" Type="http://schemas.openxmlformats.org/officeDocument/2006/relationships/hyperlink" Target="https://docs.google.com/spreadsheets/d/14kY2xwXdOvnV4phxHz8X2B5r3kMXvAXEdvqw0QtlvFU/edit?gid=1071725122" TargetMode="External"/><Relationship Id="rId38" Type="http://schemas.openxmlformats.org/officeDocument/2006/relationships/hyperlink" Target="mailto:patrick.francia@trilogy.com" TargetMode="External"/><Relationship Id="rId19" Type="http://schemas.openxmlformats.org/officeDocument/2006/relationships/hyperlink" Target="https://docs.google.com/spreadsheets/d/1ryPK59-FDJATJ4ir8GCQI40IzijtyNr1mR4ople8QSQ/edit?gid=1071725122" TargetMode="External"/><Relationship Id="rId18" Type="http://schemas.openxmlformats.org/officeDocument/2006/relationships/hyperlink" Target="https://docs.google.com/spreadsheets/d/1Vwvds1FroTk1RtMi-c57dH-WutBfftC2lyYF5IxxXkE/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5251" Type="http://schemas.openxmlformats.org/officeDocument/2006/relationships/hyperlink" Target="https://drive.google.com/drive/folders/10T2cTQHqEJZqE-st6uFKPoI?usp=share_link" TargetMode="External"/><Relationship Id="rId5252" Type="http://schemas.openxmlformats.org/officeDocument/2006/relationships/hyperlink" Target="https://drive.google.com/drive/folders/10T2cTQHqEJZqE-st6uFKPoI?usp=share_link" TargetMode="External"/><Relationship Id="rId5250" Type="http://schemas.openxmlformats.org/officeDocument/2006/relationships/hyperlink" Target="https://drive.google.com/drive/folders/10T2cTQHqEJZqE-st6uFKPoI?usp=share_link" TargetMode="External"/><Relationship Id="rId5255" Type="http://schemas.openxmlformats.org/officeDocument/2006/relationships/hyperlink" Target="https://drive.google.com/drive/folders/10T2cTQHqEJZqE-st6uFKPoI?usp=share_link" TargetMode="External"/><Relationship Id="rId5256" Type="http://schemas.openxmlformats.org/officeDocument/2006/relationships/hyperlink" Target="https://drive.google.com/drive/folders/10T2cTQHqEJZqE-st6uFKPoI?usp=share_link" TargetMode="External"/><Relationship Id="rId5253" Type="http://schemas.openxmlformats.org/officeDocument/2006/relationships/hyperlink" Target="https://drive.google.com/drive/folders/10T2cTQHqEJZqE-st6uFKPoI?usp=share_link" TargetMode="External"/><Relationship Id="rId5254" Type="http://schemas.openxmlformats.org/officeDocument/2006/relationships/hyperlink" Target="https://drive.google.com/drive/folders/10T2cTQHqEJZqE-st6uFKPoI?usp=share_link" TargetMode="External"/><Relationship Id="rId5259" Type="http://schemas.openxmlformats.org/officeDocument/2006/relationships/hyperlink" Target="https://drive.google.com/drive/folders/10T2cTQHqEJZqE-st6uFKPoI?usp=share_link" TargetMode="External"/><Relationship Id="rId5257" Type="http://schemas.openxmlformats.org/officeDocument/2006/relationships/hyperlink" Target="https://drive.google.com/drive/folders/10T2cTQHqEJZqE-st6uFKPoI?usp=share_link" TargetMode="External"/><Relationship Id="rId5258" Type="http://schemas.openxmlformats.org/officeDocument/2006/relationships/hyperlink" Target="https://drive.google.com/drive/folders/10T2cTQHqEJZqE-st6uFKPoI?usp=share_link" TargetMode="External"/><Relationship Id="rId5240" Type="http://schemas.openxmlformats.org/officeDocument/2006/relationships/hyperlink" Target="https://drive.google.com/drive/folders/10T2cTQHqEJZqE-st6uFKPoI?usp=share_link" TargetMode="External"/><Relationship Id="rId5241" Type="http://schemas.openxmlformats.org/officeDocument/2006/relationships/hyperlink" Target="https://drive.google.com/drive/folders/10T2cTQHqEJZqE-st6uFKPoI?usp=share_link" TargetMode="External"/><Relationship Id="rId5244" Type="http://schemas.openxmlformats.org/officeDocument/2006/relationships/hyperlink" Target="https://drive.google.com/drive/folders/10T2cTQHqEJZqE-st6uFKPoI?usp=share_link" TargetMode="External"/><Relationship Id="rId5245" Type="http://schemas.openxmlformats.org/officeDocument/2006/relationships/hyperlink" Target="https://drive.google.com/drive/folders/10T2cTQHqEJZqE-st6uFKPoI?usp=share_link" TargetMode="External"/><Relationship Id="rId5242" Type="http://schemas.openxmlformats.org/officeDocument/2006/relationships/hyperlink" Target="https://drive.google.com/drive/folders/10T2cTQHqEJZqE-st6uFKPoI?usp=share_link" TargetMode="External"/><Relationship Id="rId5243" Type="http://schemas.openxmlformats.org/officeDocument/2006/relationships/hyperlink" Target="https://drive.google.com/drive/folders/10T2cTQHqEJZqE-st6uFKPoI?usp=share_link" TargetMode="External"/><Relationship Id="rId5248" Type="http://schemas.openxmlformats.org/officeDocument/2006/relationships/hyperlink" Target="https://drive.google.com/drive/folders/10T2cTQHqEJZqE-st6uFKPoI?usp=share_link" TargetMode="External"/><Relationship Id="rId5249" Type="http://schemas.openxmlformats.org/officeDocument/2006/relationships/hyperlink" Target="https://drive.google.com/drive/folders/10T2cTQHqEJZqE-st6uFKPoI?usp=share_link" TargetMode="External"/><Relationship Id="rId5246" Type="http://schemas.openxmlformats.org/officeDocument/2006/relationships/hyperlink" Target="https://drive.google.com/drive/folders/10T2cTQHqEJZqE-st6uFKPoI?usp=share_link" TargetMode="External"/><Relationship Id="rId5247" Type="http://schemas.openxmlformats.org/officeDocument/2006/relationships/hyperlink" Target="https://drive.google.com/drive/folders/10T2cTQHqEJZqE-st6uFKPoI?usp=share_link" TargetMode="External"/><Relationship Id="rId5270" Type="http://schemas.openxmlformats.org/officeDocument/2006/relationships/hyperlink" Target="https://drive.google.com/drive/folders/10T2cTQHqEJZqE-st6uFKPoI?usp=share_link" TargetMode="External"/><Relationship Id="rId5273" Type="http://schemas.openxmlformats.org/officeDocument/2006/relationships/hyperlink" Target="https://drive.google.com/drive/folders/10T2cTQHqEJZqE-st6uFKPoI?usp=share_link" TargetMode="External"/><Relationship Id="rId5274" Type="http://schemas.openxmlformats.org/officeDocument/2006/relationships/hyperlink" Target="https://drive.google.com/drive/folders/10T2cTQHqEJZqE-st6uFKPoI?usp=share_link" TargetMode="External"/><Relationship Id="rId5271" Type="http://schemas.openxmlformats.org/officeDocument/2006/relationships/hyperlink" Target="https://drive.google.com/drive/folders/10T2cTQHqEJZqE-st6uFKPoI?usp=share_link" TargetMode="External"/><Relationship Id="rId5272" Type="http://schemas.openxmlformats.org/officeDocument/2006/relationships/hyperlink" Target="https://drive.google.com/drive/folders/10T2cTQHqEJZqE-st6uFKPoI?usp=share_link" TargetMode="External"/><Relationship Id="rId5277" Type="http://schemas.openxmlformats.org/officeDocument/2006/relationships/hyperlink" Target="https://drive.google.com/drive/folders/10T2cTQHqEJZqE-st6uFKPoI?usp=share_link" TargetMode="External"/><Relationship Id="rId5278" Type="http://schemas.openxmlformats.org/officeDocument/2006/relationships/hyperlink" Target="https://drive.google.com/drive/folders/10T2cTQHqEJZqE-st6uFKPoI?usp=share_link" TargetMode="External"/><Relationship Id="rId5275" Type="http://schemas.openxmlformats.org/officeDocument/2006/relationships/hyperlink" Target="https://drive.google.com/drive/folders/10T2cTQHqEJZqE-st6uFKPoI?usp=share_link" TargetMode="External"/><Relationship Id="rId5276" Type="http://schemas.openxmlformats.org/officeDocument/2006/relationships/hyperlink" Target="https://drive.google.com/drive/folders/10T2cTQHqEJZqE-st6uFKPoI?usp=share_link" TargetMode="External"/><Relationship Id="rId5279" Type="http://schemas.openxmlformats.org/officeDocument/2006/relationships/hyperlink" Target="https://drive.google.com/drive/folders/10T2cTQHqEJZqE-st6uFKPoI?usp=share_link" TargetMode="External"/><Relationship Id="rId5262" Type="http://schemas.openxmlformats.org/officeDocument/2006/relationships/hyperlink" Target="https://drive.google.com/drive/folders/10T2cTQHqEJZqE-st6uFKPoI?usp=share_link" TargetMode="External"/><Relationship Id="rId5263" Type="http://schemas.openxmlformats.org/officeDocument/2006/relationships/hyperlink" Target="https://drive.google.com/drive/folders/10T2cTQHqEJZqE-st6uFKPoI?usp=share_link" TargetMode="External"/><Relationship Id="rId5260" Type="http://schemas.openxmlformats.org/officeDocument/2006/relationships/hyperlink" Target="https://drive.google.com/drive/folders/10T2cTQHqEJZqE-st6uFKPoI?usp=share_link" TargetMode="External"/><Relationship Id="rId5261" Type="http://schemas.openxmlformats.org/officeDocument/2006/relationships/hyperlink" Target="https://drive.google.com/drive/folders/10T2cTQHqEJZqE-st6uFKPoI?usp=share_link" TargetMode="External"/><Relationship Id="rId5266" Type="http://schemas.openxmlformats.org/officeDocument/2006/relationships/hyperlink" Target="https://drive.google.com/drive/folders/10T2cTQHqEJZqE-st6uFKPoI?usp=share_link" TargetMode="External"/><Relationship Id="rId5267" Type="http://schemas.openxmlformats.org/officeDocument/2006/relationships/hyperlink" Target="https://drive.google.com/drive/folders/10T2cTQHqEJZqE-st6uFKPoI?usp=share_link" TargetMode="External"/><Relationship Id="rId5264" Type="http://schemas.openxmlformats.org/officeDocument/2006/relationships/hyperlink" Target="https://drive.google.com/drive/folders/10T2cTQHqEJZqE-st6uFKPoI?usp=share_link" TargetMode="External"/><Relationship Id="rId5265" Type="http://schemas.openxmlformats.org/officeDocument/2006/relationships/hyperlink" Target="https://drive.google.com/drive/folders/10T2cTQHqEJZqE-st6uFKPoI?usp=share_link" TargetMode="External"/><Relationship Id="rId5268" Type="http://schemas.openxmlformats.org/officeDocument/2006/relationships/hyperlink" Target="https://drive.google.com/drive/folders/10T2cTQHqEJZqE-st6uFKPoI?usp=share_link" TargetMode="External"/><Relationship Id="rId5269" Type="http://schemas.openxmlformats.org/officeDocument/2006/relationships/hyperlink" Target="https://drive.google.com/drive/folders/10T2cTQHqEJZqE-st6uFKPoI?usp=share_link" TargetMode="External"/><Relationship Id="rId5219" Type="http://schemas.openxmlformats.org/officeDocument/2006/relationships/hyperlink" Target="https://drive.google.com/drive/folders/10T2cTQHqEJZqE-st6uFKPoI?usp=share_link" TargetMode="External"/><Relationship Id="rId5217" Type="http://schemas.openxmlformats.org/officeDocument/2006/relationships/hyperlink" Target="https://drive.google.com/drive/folders/10T2cTQHqEJZqE-st6uFKPoI?usp=share_link" TargetMode="External"/><Relationship Id="rId5218" Type="http://schemas.openxmlformats.org/officeDocument/2006/relationships/hyperlink" Target="https://drive.google.com/drive/folders/10T2cTQHqEJZqE-st6uFKPoI?usp=share_link" TargetMode="External"/><Relationship Id="rId392" Type="http://schemas.openxmlformats.org/officeDocument/2006/relationships/hyperlink" Target="https://drive.google.com/drive/folders/10T2cTQHqEJZqE-st6uFKPoI?usp=share_link" TargetMode="External"/><Relationship Id="rId391" Type="http://schemas.openxmlformats.org/officeDocument/2006/relationships/hyperlink" Target="https://drive.google.com/drive/folders/10T2cTQHqEJZqE-st6uFKPoI?usp=share_link" TargetMode="External"/><Relationship Id="rId390" Type="http://schemas.openxmlformats.org/officeDocument/2006/relationships/hyperlink" Target="https://drive.google.com/drive/folders/10T2cTQHqEJZqE-st6uFKPoI?usp=share_link" TargetMode="External"/><Relationship Id="rId2180" Type="http://schemas.openxmlformats.org/officeDocument/2006/relationships/hyperlink" Target="https://drive.google.com/drive/folders/10T2cTQHqEJZqE-st6uFKPoI?usp=share_link" TargetMode="External"/><Relationship Id="rId2181" Type="http://schemas.openxmlformats.org/officeDocument/2006/relationships/hyperlink" Target="https://drive.google.com/drive/folders/10T2cTQHqEJZqE-st6uFKPoI?usp=share_link" TargetMode="External"/><Relationship Id="rId2182" Type="http://schemas.openxmlformats.org/officeDocument/2006/relationships/hyperlink" Target="https://drive.google.com/drive/folders/10T2cTQHqEJZqE-st6uFKPoI?usp=share_link" TargetMode="External"/><Relationship Id="rId2183" Type="http://schemas.openxmlformats.org/officeDocument/2006/relationships/hyperlink" Target="https://drive.google.com/drive/folders/10T2cTQHqEJZqE-st6uFKPoI?usp=share_link" TargetMode="External"/><Relationship Id="rId385" Type="http://schemas.openxmlformats.org/officeDocument/2006/relationships/hyperlink" Target="https://drive.google.com/drive/folders/10T2cTQHqEJZqE-st6uFKPoI?usp=share_link" TargetMode="External"/><Relationship Id="rId2184" Type="http://schemas.openxmlformats.org/officeDocument/2006/relationships/hyperlink" Target="https://drive.google.com/drive/folders/10T2cTQHqEJZqE-st6uFKPoI?usp=share_link" TargetMode="External"/><Relationship Id="rId5211" Type="http://schemas.openxmlformats.org/officeDocument/2006/relationships/hyperlink" Target="https://drive.google.com/drive/folders/10T2cTQHqEJZqE-st6uFKPoI?usp=share_link" TargetMode="External"/><Relationship Id="rId384" Type="http://schemas.openxmlformats.org/officeDocument/2006/relationships/hyperlink" Target="https://drive.google.com/drive/folders/10T2cTQHqEJZqE-st6uFKPoI?usp=share_link" TargetMode="External"/><Relationship Id="rId2185" Type="http://schemas.openxmlformats.org/officeDocument/2006/relationships/hyperlink" Target="https://drive.google.com/drive/folders/10T2cTQHqEJZqE-st6uFKPoI?usp=share_link" TargetMode="External"/><Relationship Id="rId5212" Type="http://schemas.openxmlformats.org/officeDocument/2006/relationships/hyperlink" Target="https://drive.google.com/drive/folders/10T2cTQHqEJZqE-st6uFKPoI?usp=share_link" TargetMode="External"/><Relationship Id="rId383" Type="http://schemas.openxmlformats.org/officeDocument/2006/relationships/hyperlink" Target="https://drive.google.com/drive/folders/10T2cTQHqEJZqE-st6uFKPoI?usp=share_link" TargetMode="External"/><Relationship Id="rId2186" Type="http://schemas.openxmlformats.org/officeDocument/2006/relationships/hyperlink" Target="https://drive.google.com/drive/folders/10T2cTQHqEJZqE-st6uFKPoI?usp=share_link" TargetMode="External"/><Relationship Id="rId382" Type="http://schemas.openxmlformats.org/officeDocument/2006/relationships/hyperlink" Target="https://drive.google.com/drive/folders/10T2cTQHqEJZqE-st6uFKPoI?usp=share_link" TargetMode="External"/><Relationship Id="rId2187" Type="http://schemas.openxmlformats.org/officeDocument/2006/relationships/hyperlink" Target="https://drive.google.com/drive/folders/10T2cTQHqEJZqE-st6uFKPoI?usp=share_link" TargetMode="External"/><Relationship Id="rId5210" Type="http://schemas.openxmlformats.org/officeDocument/2006/relationships/hyperlink" Target="https://drive.google.com/drive/folders/10T2cTQHqEJZqE-st6uFKPoI?usp=share_link" TargetMode="External"/><Relationship Id="rId389" Type="http://schemas.openxmlformats.org/officeDocument/2006/relationships/hyperlink" Target="https://drive.google.com/drive/folders/10T2cTQHqEJZqE-st6uFKPoI?usp=share_link" TargetMode="External"/><Relationship Id="rId2188" Type="http://schemas.openxmlformats.org/officeDocument/2006/relationships/hyperlink" Target="https://drive.google.com/drive/folders/10T2cTQHqEJZqE-st6uFKPoI?usp=share_link" TargetMode="External"/><Relationship Id="rId5215" Type="http://schemas.openxmlformats.org/officeDocument/2006/relationships/hyperlink" Target="https://drive.google.com/drive/folders/10T2cTQHqEJZqE-st6uFKPoI?usp=share_link" TargetMode="External"/><Relationship Id="rId388" Type="http://schemas.openxmlformats.org/officeDocument/2006/relationships/hyperlink" Target="https://drive.google.com/drive/folders/10T2cTQHqEJZqE-st6uFKPoI?usp=share_link" TargetMode="External"/><Relationship Id="rId2189" Type="http://schemas.openxmlformats.org/officeDocument/2006/relationships/hyperlink" Target="https://drive.google.com/drive/folders/10T2cTQHqEJZqE-st6uFKPoI?usp=share_link" TargetMode="External"/><Relationship Id="rId5216" Type="http://schemas.openxmlformats.org/officeDocument/2006/relationships/hyperlink" Target="https://drive.google.com/drive/folders/10T2cTQHqEJZqE-st6uFKPoI?usp=share_link" TargetMode="External"/><Relationship Id="rId387" Type="http://schemas.openxmlformats.org/officeDocument/2006/relationships/hyperlink" Target="https://drive.google.com/drive/folders/10T2cTQHqEJZqE-st6uFKPoI?usp=share_link" TargetMode="External"/><Relationship Id="rId5213" Type="http://schemas.openxmlformats.org/officeDocument/2006/relationships/hyperlink" Target="https://drive.google.com/drive/folders/10T2cTQHqEJZqE-st6uFKPoI?usp=share_link" TargetMode="External"/><Relationship Id="rId386" Type="http://schemas.openxmlformats.org/officeDocument/2006/relationships/hyperlink" Target="https://drive.google.com/drive/folders/10T2cTQHqEJZqE-st6uFKPoI?usp=share_link" TargetMode="External"/><Relationship Id="rId5214" Type="http://schemas.openxmlformats.org/officeDocument/2006/relationships/hyperlink" Target="https://drive.google.com/drive/folders/10T2cTQHqEJZqE-st6uFKPoI?usp=share_link" TargetMode="External"/><Relationship Id="rId5208" Type="http://schemas.openxmlformats.org/officeDocument/2006/relationships/hyperlink" Target="https://drive.google.com/drive/folders/10T2cTQHqEJZqE-st6uFKPoI?usp=share_link" TargetMode="External"/><Relationship Id="rId5209" Type="http://schemas.openxmlformats.org/officeDocument/2006/relationships/hyperlink" Target="https://drive.google.com/drive/folders/10T2cTQHqEJZqE-st6uFKPoI?usp=share_link" TargetMode="External"/><Relationship Id="rId5206" Type="http://schemas.openxmlformats.org/officeDocument/2006/relationships/hyperlink" Target="https://drive.google.com/drive/folders/10T2cTQHqEJZqE-st6uFKPoI?usp=share_link" TargetMode="External"/><Relationship Id="rId5207" Type="http://schemas.openxmlformats.org/officeDocument/2006/relationships/hyperlink" Target="https://drive.google.com/drive/folders/10T2cTQHqEJZqE-st6uFKPoI?usp=share_link" TargetMode="External"/><Relationship Id="rId381" Type="http://schemas.openxmlformats.org/officeDocument/2006/relationships/hyperlink" Target="https://drive.google.com/drive/folders/10T2cTQHqEJZqE-st6uFKPoI?usp=share_link" TargetMode="External"/><Relationship Id="rId380" Type="http://schemas.openxmlformats.org/officeDocument/2006/relationships/hyperlink" Target="https://drive.google.com/drive/folders/10T2cTQHqEJZqE-st6uFKPoI?usp=share_link" TargetMode="External"/><Relationship Id="rId379" Type="http://schemas.openxmlformats.org/officeDocument/2006/relationships/hyperlink" Target="https://drive.google.com/drive/folders/10T2cTQHqEJZqE-st6uFKPoI?usp=share_link" TargetMode="External"/><Relationship Id="rId2170" Type="http://schemas.openxmlformats.org/officeDocument/2006/relationships/hyperlink" Target="https://drive.google.com/drive/folders/10T2cTQHqEJZqE-st6uFKPoI?usp=share_link" TargetMode="External"/><Relationship Id="rId2171" Type="http://schemas.openxmlformats.org/officeDocument/2006/relationships/hyperlink" Target="https://drive.google.com/drive/folders/10T2cTQHqEJZqE-st6uFKPoI?usp=share_link" TargetMode="External"/><Relationship Id="rId2172" Type="http://schemas.openxmlformats.org/officeDocument/2006/relationships/hyperlink" Target="https://drive.google.com/drive/folders/10T2cTQHqEJZqE-st6uFKPoI?usp=share_link" TargetMode="External"/><Relationship Id="rId374" Type="http://schemas.openxmlformats.org/officeDocument/2006/relationships/hyperlink" Target="https://drive.google.com/drive/folders/10T2cTQHqEJZqE-st6uFKPoI?usp=share_link" TargetMode="External"/><Relationship Id="rId2173" Type="http://schemas.openxmlformats.org/officeDocument/2006/relationships/hyperlink" Target="https://drive.google.com/drive/folders/10T2cTQHqEJZqE-st6uFKPoI?usp=share_link" TargetMode="External"/><Relationship Id="rId5200" Type="http://schemas.openxmlformats.org/officeDocument/2006/relationships/hyperlink" Target="https://drive.google.com/drive/folders/10T2cTQHqEJZqE-st6uFKPoI?usp=share_link" TargetMode="External"/><Relationship Id="rId373" Type="http://schemas.openxmlformats.org/officeDocument/2006/relationships/hyperlink" Target="https://drive.google.com/drive/folders/10T2cTQHqEJZqE-st6uFKPoI?usp=share_link" TargetMode="External"/><Relationship Id="rId2174" Type="http://schemas.openxmlformats.org/officeDocument/2006/relationships/hyperlink" Target="https://drive.google.com/drive/folders/10T2cTQHqEJZqE-st6uFKPoI?usp=share_link" TargetMode="External"/><Relationship Id="rId5201" Type="http://schemas.openxmlformats.org/officeDocument/2006/relationships/hyperlink" Target="https://drive.google.com/drive/folders/10T2cTQHqEJZqE-st6uFKPoI?usp=share_link" TargetMode="External"/><Relationship Id="rId372" Type="http://schemas.openxmlformats.org/officeDocument/2006/relationships/hyperlink" Target="https://drive.google.com/drive/folders/10T2cTQHqEJZqE-st6uFKPoI?usp=share_link" TargetMode="External"/><Relationship Id="rId2175" Type="http://schemas.openxmlformats.org/officeDocument/2006/relationships/hyperlink" Target="https://drive.google.com/drive/folders/10T2cTQHqEJZqE-st6uFKPoI?usp=share_link" TargetMode="External"/><Relationship Id="rId371" Type="http://schemas.openxmlformats.org/officeDocument/2006/relationships/hyperlink" Target="https://drive.google.com/drive/folders/10T2cTQHqEJZqE-st6uFKPoI?usp=share_link" TargetMode="External"/><Relationship Id="rId2176" Type="http://schemas.openxmlformats.org/officeDocument/2006/relationships/hyperlink" Target="https://drive.google.com/drive/folders/10T2cTQHqEJZqE-st6uFKPoI?usp=share_link" TargetMode="External"/><Relationship Id="rId378" Type="http://schemas.openxmlformats.org/officeDocument/2006/relationships/hyperlink" Target="https://drive.google.com/drive/folders/10T2cTQHqEJZqE-st6uFKPoI?usp=share_link" TargetMode="External"/><Relationship Id="rId2177" Type="http://schemas.openxmlformats.org/officeDocument/2006/relationships/hyperlink" Target="https://drive.google.com/drive/folders/10T2cTQHqEJZqE-st6uFKPoI?usp=share_link" TargetMode="External"/><Relationship Id="rId5204" Type="http://schemas.openxmlformats.org/officeDocument/2006/relationships/hyperlink" Target="https://drive.google.com/drive/folders/10T2cTQHqEJZqE-st6uFKPoI?usp=share_link" TargetMode="External"/><Relationship Id="rId377" Type="http://schemas.openxmlformats.org/officeDocument/2006/relationships/hyperlink" Target="https://drive.google.com/drive/folders/10T2cTQHqEJZqE-st6uFKPoI?usp=share_link" TargetMode="External"/><Relationship Id="rId2178" Type="http://schemas.openxmlformats.org/officeDocument/2006/relationships/hyperlink" Target="https://drive.google.com/drive/folders/10T2cTQHqEJZqE-st6uFKPoI?usp=share_link" TargetMode="External"/><Relationship Id="rId5205" Type="http://schemas.openxmlformats.org/officeDocument/2006/relationships/hyperlink" Target="https://drive.google.com/drive/folders/10T2cTQHqEJZqE-st6uFKPoI?usp=share_link" TargetMode="External"/><Relationship Id="rId376" Type="http://schemas.openxmlformats.org/officeDocument/2006/relationships/hyperlink" Target="https://drive.google.com/drive/folders/10T2cTQHqEJZqE-st6uFKPoI?usp=share_link" TargetMode="External"/><Relationship Id="rId2179" Type="http://schemas.openxmlformats.org/officeDocument/2006/relationships/hyperlink" Target="https://drive.google.com/drive/folders/10T2cTQHqEJZqE-st6uFKPoI?usp=share_link" TargetMode="External"/><Relationship Id="rId5202" Type="http://schemas.openxmlformats.org/officeDocument/2006/relationships/hyperlink" Target="https://drive.google.com/drive/folders/10T2cTQHqEJZqE-st6uFKPoI?usp=share_link" TargetMode="External"/><Relationship Id="rId375" Type="http://schemas.openxmlformats.org/officeDocument/2006/relationships/hyperlink" Target="https://drive.google.com/drive/folders/10T2cTQHqEJZqE-st6uFKPoI?usp=share_link" TargetMode="External"/><Relationship Id="rId5203" Type="http://schemas.openxmlformats.org/officeDocument/2006/relationships/hyperlink" Target="https://drive.google.com/drive/folders/10T2cTQHqEJZqE-st6uFKPoI?usp=share_link" TargetMode="External"/><Relationship Id="rId5239" Type="http://schemas.openxmlformats.org/officeDocument/2006/relationships/hyperlink" Target="https://drive.google.com/drive/folders/10T2cTQHqEJZqE-st6uFKPoI?usp=share_link" TargetMode="External"/><Relationship Id="rId5230" Type="http://schemas.openxmlformats.org/officeDocument/2006/relationships/hyperlink" Target="https://drive.google.com/drive/folders/10T2cTQHqEJZqE-st6uFKPoI?usp=share_link" TargetMode="External"/><Relationship Id="rId5233" Type="http://schemas.openxmlformats.org/officeDocument/2006/relationships/hyperlink" Target="https://drive.google.com/drive/folders/10T2cTQHqEJZqE-st6uFKPoI?usp=share_link" TargetMode="External"/><Relationship Id="rId5234" Type="http://schemas.openxmlformats.org/officeDocument/2006/relationships/hyperlink" Target="https://drive.google.com/drive/folders/10T2cTQHqEJZqE-st6uFKPoI?usp=share_link" TargetMode="External"/><Relationship Id="rId5231" Type="http://schemas.openxmlformats.org/officeDocument/2006/relationships/hyperlink" Target="https://drive.google.com/drive/folders/10T2cTQHqEJZqE-st6uFKPoI?usp=share_link" TargetMode="External"/><Relationship Id="rId5232" Type="http://schemas.openxmlformats.org/officeDocument/2006/relationships/hyperlink" Target="https://drive.google.com/drive/folders/10T2cTQHqEJZqE-st6uFKPoI?usp=share_link" TargetMode="External"/><Relationship Id="rId5237" Type="http://schemas.openxmlformats.org/officeDocument/2006/relationships/hyperlink" Target="https://drive.google.com/drive/folders/10T2cTQHqEJZqE-st6uFKPoI?usp=share_link" TargetMode="External"/><Relationship Id="rId5238" Type="http://schemas.openxmlformats.org/officeDocument/2006/relationships/hyperlink" Target="https://drive.google.com/drive/folders/10T2cTQHqEJZqE-st6uFKPoI?usp=share_link" TargetMode="External"/><Relationship Id="rId5235" Type="http://schemas.openxmlformats.org/officeDocument/2006/relationships/hyperlink" Target="https://drive.google.com/drive/folders/10T2cTQHqEJZqE-st6uFKPoI?usp=share_link" TargetMode="External"/><Relationship Id="rId5236" Type="http://schemas.openxmlformats.org/officeDocument/2006/relationships/hyperlink" Target="https://drive.google.com/drive/folders/10T2cTQHqEJZqE-st6uFKPoI?usp=share_link" TargetMode="External"/><Relationship Id="rId5228" Type="http://schemas.openxmlformats.org/officeDocument/2006/relationships/hyperlink" Target="https://drive.google.com/drive/folders/10T2cTQHqEJZqE-st6uFKPoI?usp=share_link" TargetMode="External"/><Relationship Id="rId5229" Type="http://schemas.openxmlformats.org/officeDocument/2006/relationships/hyperlink" Target="https://drive.google.com/drive/folders/10T2cTQHqEJZqE-st6uFKPoI?usp=share_link" TargetMode="External"/><Relationship Id="rId2190" Type="http://schemas.openxmlformats.org/officeDocument/2006/relationships/hyperlink" Target="https://drive.google.com/drive/folders/10T2cTQHqEJZqE-st6uFKPoI?usp=share_link" TargetMode="External"/><Relationship Id="rId2191" Type="http://schemas.openxmlformats.org/officeDocument/2006/relationships/hyperlink" Target="https://drive.google.com/drive/folders/10T2cTQHqEJZqE-st6uFKPoI?usp=share_link" TargetMode="External"/><Relationship Id="rId2192" Type="http://schemas.openxmlformats.org/officeDocument/2006/relationships/hyperlink" Target="https://drive.google.com/drive/folders/10T2cTQHqEJZqE-st6uFKPoI?usp=share_link" TargetMode="External"/><Relationship Id="rId2193" Type="http://schemas.openxmlformats.org/officeDocument/2006/relationships/hyperlink" Target="https://drive.google.com/drive/folders/10T2cTQHqEJZqE-st6uFKPoI?usp=share_link" TargetMode="External"/><Relationship Id="rId2194" Type="http://schemas.openxmlformats.org/officeDocument/2006/relationships/hyperlink" Target="https://drive.google.com/drive/folders/10T2cTQHqEJZqE-st6uFKPoI?usp=share_link" TargetMode="External"/><Relationship Id="rId396" Type="http://schemas.openxmlformats.org/officeDocument/2006/relationships/hyperlink" Target="https://drive.google.com/drive/folders/10T2cTQHqEJZqE-st6uFKPoI?usp=share_link" TargetMode="External"/><Relationship Id="rId2195" Type="http://schemas.openxmlformats.org/officeDocument/2006/relationships/hyperlink" Target="https://drive.google.com/drive/folders/10T2cTQHqEJZqE-st6uFKPoI?usp=share_link" TargetMode="External"/><Relationship Id="rId5222" Type="http://schemas.openxmlformats.org/officeDocument/2006/relationships/hyperlink" Target="https://drive.google.com/drive/folders/10T2cTQHqEJZqE-st6uFKPoI?usp=share_link" TargetMode="External"/><Relationship Id="rId395" Type="http://schemas.openxmlformats.org/officeDocument/2006/relationships/hyperlink" Target="https://drive.google.com/drive/folders/10T2cTQHqEJZqE-st6uFKPoI?usp=share_link" TargetMode="External"/><Relationship Id="rId2196" Type="http://schemas.openxmlformats.org/officeDocument/2006/relationships/hyperlink" Target="https://drive.google.com/drive/folders/10T2cTQHqEJZqE-st6uFKPoI?usp=share_link" TargetMode="External"/><Relationship Id="rId5223" Type="http://schemas.openxmlformats.org/officeDocument/2006/relationships/hyperlink" Target="https://drive.google.com/drive/folders/10T2cTQHqEJZqE-st6uFKPoI?usp=share_link" TargetMode="External"/><Relationship Id="rId394" Type="http://schemas.openxmlformats.org/officeDocument/2006/relationships/hyperlink" Target="https://drive.google.com/drive/folders/10T2cTQHqEJZqE-st6uFKPoI?usp=share_link" TargetMode="External"/><Relationship Id="rId2197" Type="http://schemas.openxmlformats.org/officeDocument/2006/relationships/hyperlink" Target="https://drive.google.com/drive/folders/10T2cTQHqEJZqE-st6uFKPoI?usp=share_link" TargetMode="External"/><Relationship Id="rId5220" Type="http://schemas.openxmlformats.org/officeDocument/2006/relationships/hyperlink" Target="https://drive.google.com/drive/folders/10T2cTQHqEJZqE-st6uFKPoI?usp=share_link" TargetMode="External"/><Relationship Id="rId393" Type="http://schemas.openxmlformats.org/officeDocument/2006/relationships/hyperlink" Target="https://drive.google.com/drive/folders/10T2cTQHqEJZqE-st6uFKPoI?usp=share_link" TargetMode="External"/><Relationship Id="rId2198" Type="http://schemas.openxmlformats.org/officeDocument/2006/relationships/hyperlink" Target="https://drive.google.com/drive/folders/10T2cTQHqEJZqE-st6uFKPoI?usp=share_link" TargetMode="External"/><Relationship Id="rId5221" Type="http://schemas.openxmlformats.org/officeDocument/2006/relationships/hyperlink" Target="https://drive.google.com/drive/folders/10T2cTQHqEJZqE-st6uFKPoI?usp=share_link" TargetMode="External"/><Relationship Id="rId2199" Type="http://schemas.openxmlformats.org/officeDocument/2006/relationships/hyperlink" Target="https://drive.google.com/drive/folders/10T2cTQHqEJZqE-st6uFKPoI?usp=share_link" TargetMode="External"/><Relationship Id="rId5226" Type="http://schemas.openxmlformats.org/officeDocument/2006/relationships/hyperlink" Target="https://drive.google.com/drive/folders/10T2cTQHqEJZqE-st6uFKPoI?usp=share_link" TargetMode="External"/><Relationship Id="rId399" Type="http://schemas.openxmlformats.org/officeDocument/2006/relationships/hyperlink" Target="https://drive.google.com/drive/folders/10T2cTQHqEJZqE-st6uFKPoI?usp=share_link" TargetMode="External"/><Relationship Id="rId5227" Type="http://schemas.openxmlformats.org/officeDocument/2006/relationships/hyperlink" Target="https://drive.google.com/drive/folders/10T2cTQHqEJZqE-st6uFKPoI?usp=share_link" TargetMode="External"/><Relationship Id="rId398" Type="http://schemas.openxmlformats.org/officeDocument/2006/relationships/hyperlink" Target="https://drive.google.com/drive/folders/10T2cTQHqEJZqE-st6uFKPoI?usp=share_link" TargetMode="External"/><Relationship Id="rId5224" Type="http://schemas.openxmlformats.org/officeDocument/2006/relationships/hyperlink" Target="https://drive.google.com/drive/folders/10T2cTQHqEJZqE-st6uFKPoI?usp=share_link" TargetMode="External"/><Relationship Id="rId397" Type="http://schemas.openxmlformats.org/officeDocument/2006/relationships/hyperlink" Target="https://drive.google.com/drive/folders/10T2cTQHqEJZqE-st6uFKPoI?usp=share_link" TargetMode="External"/><Relationship Id="rId5225" Type="http://schemas.openxmlformats.org/officeDocument/2006/relationships/hyperlink" Target="https://drive.google.com/drive/folders/10T2cTQHqEJZqE-st6uFKPoI?usp=share_link" TargetMode="External"/><Relationship Id="rId1730" Type="http://schemas.openxmlformats.org/officeDocument/2006/relationships/hyperlink" Target="https://drive.google.com/drive/folders/10T2cTQHqEJZqE-st6uFKPoI?usp=share_link" TargetMode="External"/><Relationship Id="rId1731" Type="http://schemas.openxmlformats.org/officeDocument/2006/relationships/hyperlink" Target="https://drive.google.com/drive/folders/10T2cTQHqEJZqE-st6uFKPoI?usp=share_link" TargetMode="External"/><Relationship Id="rId1732" Type="http://schemas.openxmlformats.org/officeDocument/2006/relationships/hyperlink" Target="https://drive.google.com/drive/folders/10T2cTQHqEJZqE-st6uFKPoI?usp=share_link" TargetMode="External"/><Relationship Id="rId1733" Type="http://schemas.openxmlformats.org/officeDocument/2006/relationships/hyperlink" Target="https://drive.google.com/drive/folders/10T2cTQHqEJZqE-st6uFKPoI?usp=share_link" TargetMode="External"/><Relationship Id="rId1734" Type="http://schemas.openxmlformats.org/officeDocument/2006/relationships/hyperlink" Target="https://drive.google.com/drive/folders/10T2cTQHqEJZqE-st6uFKPoI?usp=share_link" TargetMode="External"/><Relationship Id="rId1735" Type="http://schemas.openxmlformats.org/officeDocument/2006/relationships/hyperlink" Target="https://drive.google.com/drive/folders/10T2cTQHqEJZqE-st6uFKPoI?usp=share_link" TargetMode="External"/><Relationship Id="rId1736" Type="http://schemas.openxmlformats.org/officeDocument/2006/relationships/hyperlink" Target="https://drive.google.com/drive/folders/10T2cTQHqEJZqE-st6uFKPoI?usp=share_link" TargetMode="External"/><Relationship Id="rId1737" Type="http://schemas.openxmlformats.org/officeDocument/2006/relationships/hyperlink" Target="https://drive.google.com/drive/folders/10T2cTQHqEJZqE-st6uFKPoI?usp=share_link" TargetMode="External"/><Relationship Id="rId1738" Type="http://schemas.openxmlformats.org/officeDocument/2006/relationships/hyperlink" Target="https://drive.google.com/drive/folders/10T2cTQHqEJZqE-st6uFKPoI?usp=share_link" TargetMode="External"/><Relationship Id="rId1739" Type="http://schemas.openxmlformats.org/officeDocument/2006/relationships/hyperlink" Target="https://drive.google.com/drive/folders/10T2cTQHqEJZqE-st6uFKPoI?usp=share_link" TargetMode="External"/><Relationship Id="rId1720" Type="http://schemas.openxmlformats.org/officeDocument/2006/relationships/hyperlink" Target="https://drive.google.com/drive/folders/10T2cTQHqEJZqE-st6uFKPoI?usp=share_link" TargetMode="External"/><Relationship Id="rId1721" Type="http://schemas.openxmlformats.org/officeDocument/2006/relationships/hyperlink" Target="https://drive.google.com/drive/folders/10T2cTQHqEJZqE-st6uFKPoI?usp=share_link" TargetMode="External"/><Relationship Id="rId1722" Type="http://schemas.openxmlformats.org/officeDocument/2006/relationships/hyperlink" Target="https://drive.google.com/drive/folders/10T2cTQHqEJZqE-st6uFKPoI?usp=share_link" TargetMode="External"/><Relationship Id="rId1723" Type="http://schemas.openxmlformats.org/officeDocument/2006/relationships/hyperlink" Target="https://drive.google.com/drive/folders/10T2cTQHqEJZqE-st6uFKPoI?usp=share_link" TargetMode="External"/><Relationship Id="rId1724" Type="http://schemas.openxmlformats.org/officeDocument/2006/relationships/hyperlink" Target="https://drive.google.com/drive/folders/10T2cTQHqEJZqE-st6uFKPoI?usp=share_link" TargetMode="External"/><Relationship Id="rId1725" Type="http://schemas.openxmlformats.org/officeDocument/2006/relationships/hyperlink" Target="https://drive.google.com/drive/folders/10T2cTQHqEJZqE-st6uFKPoI?usp=share_link" TargetMode="External"/><Relationship Id="rId1726" Type="http://schemas.openxmlformats.org/officeDocument/2006/relationships/hyperlink" Target="https://drive.google.com/drive/folders/10T2cTQHqEJZqE-st6uFKPoI?usp=share_link" TargetMode="External"/><Relationship Id="rId1727" Type="http://schemas.openxmlformats.org/officeDocument/2006/relationships/hyperlink" Target="https://drive.google.com/drive/folders/10T2cTQHqEJZqE-st6uFKPoI?usp=share_link" TargetMode="External"/><Relationship Id="rId1728" Type="http://schemas.openxmlformats.org/officeDocument/2006/relationships/hyperlink" Target="https://drive.google.com/drive/folders/10T2cTQHqEJZqE-st6uFKPoI?usp=share_link" TargetMode="External"/><Relationship Id="rId1729" Type="http://schemas.openxmlformats.org/officeDocument/2006/relationships/hyperlink" Target="https://drive.google.com/drive/folders/10T2cTQHqEJZqE-st6uFKPoI?usp=share_link" TargetMode="External"/><Relationship Id="rId1752" Type="http://schemas.openxmlformats.org/officeDocument/2006/relationships/hyperlink" Target="https://drive.google.com/drive/folders/10T2cTQHqEJZqE-st6uFKPoI?usp=share_link" TargetMode="External"/><Relationship Id="rId1753" Type="http://schemas.openxmlformats.org/officeDocument/2006/relationships/hyperlink" Target="https://drive.google.com/drive/folders/10T2cTQHqEJZqE-st6uFKPoI?usp=share_link" TargetMode="External"/><Relationship Id="rId1754" Type="http://schemas.openxmlformats.org/officeDocument/2006/relationships/hyperlink" Target="https://drive.google.com/drive/folders/10T2cTQHqEJZqE-st6uFKPoI?usp=share_link" TargetMode="External"/><Relationship Id="rId1755" Type="http://schemas.openxmlformats.org/officeDocument/2006/relationships/hyperlink" Target="https://drive.google.com/drive/folders/10T2cTQHqEJZqE-st6uFKPoI?usp=share_link" TargetMode="External"/><Relationship Id="rId1756" Type="http://schemas.openxmlformats.org/officeDocument/2006/relationships/hyperlink" Target="https://drive.google.com/drive/folders/10T2cTQHqEJZqE-st6uFKPoI?usp=share_link" TargetMode="External"/><Relationship Id="rId1757" Type="http://schemas.openxmlformats.org/officeDocument/2006/relationships/hyperlink" Target="https://drive.google.com/drive/folders/10T2cTQHqEJZqE-st6uFKPoI?usp=share_link" TargetMode="External"/><Relationship Id="rId1758" Type="http://schemas.openxmlformats.org/officeDocument/2006/relationships/hyperlink" Target="https://drive.google.com/drive/folders/10T2cTQHqEJZqE-st6uFKPoI?usp=share_link" TargetMode="External"/><Relationship Id="rId1759" Type="http://schemas.openxmlformats.org/officeDocument/2006/relationships/hyperlink" Target="https://drive.google.com/drive/folders/10T2cTQHqEJZqE-st6uFKPoI?usp=share_link" TargetMode="External"/><Relationship Id="rId1750" Type="http://schemas.openxmlformats.org/officeDocument/2006/relationships/hyperlink" Target="https://drive.google.com/drive/folders/10T2cTQHqEJZqE-st6uFKPoI?usp=share_link" TargetMode="External"/><Relationship Id="rId1751" Type="http://schemas.openxmlformats.org/officeDocument/2006/relationships/hyperlink" Target="https://drive.google.com/drive/folders/10T2cTQHqEJZqE-st6uFKPoI?usp=share_link" TargetMode="External"/><Relationship Id="rId1741" Type="http://schemas.openxmlformats.org/officeDocument/2006/relationships/hyperlink" Target="https://drive.google.com/drive/folders/10T2cTQHqEJZqE-st6uFKPoI?usp=share_link" TargetMode="External"/><Relationship Id="rId1742" Type="http://schemas.openxmlformats.org/officeDocument/2006/relationships/hyperlink" Target="https://drive.google.com/drive/folders/10T2cTQHqEJZqE-st6uFKPoI?usp=share_link" TargetMode="External"/><Relationship Id="rId1743" Type="http://schemas.openxmlformats.org/officeDocument/2006/relationships/hyperlink" Target="https://drive.google.com/drive/folders/10T2cTQHqEJZqE-st6uFKPoI?usp=share_link" TargetMode="External"/><Relationship Id="rId1744" Type="http://schemas.openxmlformats.org/officeDocument/2006/relationships/hyperlink" Target="https://drive.google.com/drive/folders/10T2cTQHqEJZqE-st6uFKPoI?usp=share_link" TargetMode="External"/><Relationship Id="rId1745" Type="http://schemas.openxmlformats.org/officeDocument/2006/relationships/hyperlink" Target="https://drive.google.com/drive/folders/10T2cTQHqEJZqE-st6uFKPoI?usp=share_link" TargetMode="External"/><Relationship Id="rId1746" Type="http://schemas.openxmlformats.org/officeDocument/2006/relationships/hyperlink" Target="https://drive.google.com/drive/folders/10T2cTQHqEJZqE-st6uFKPoI?usp=share_link" TargetMode="External"/><Relationship Id="rId1747" Type="http://schemas.openxmlformats.org/officeDocument/2006/relationships/hyperlink" Target="https://drive.google.com/drive/folders/10T2cTQHqEJZqE-st6uFKPoI?usp=share_link" TargetMode="External"/><Relationship Id="rId1748" Type="http://schemas.openxmlformats.org/officeDocument/2006/relationships/hyperlink" Target="https://drive.google.com/drive/folders/10T2cTQHqEJZqE-st6uFKPoI?usp=share_link" TargetMode="External"/><Relationship Id="rId1749" Type="http://schemas.openxmlformats.org/officeDocument/2006/relationships/hyperlink" Target="https://drive.google.com/drive/folders/10T2cTQHqEJZqE-st6uFKPoI?usp=share_link" TargetMode="External"/><Relationship Id="rId1740" Type="http://schemas.openxmlformats.org/officeDocument/2006/relationships/hyperlink" Target="https://drive.google.com/drive/folders/10T2cTQHqEJZqE-st6uFKPoI?usp=share_link" TargetMode="External"/><Relationship Id="rId5291" Type="http://schemas.openxmlformats.org/officeDocument/2006/relationships/hyperlink" Target="https://drive.google.com/drive/folders/10T2cTQHqEJZqE-st6uFKPoI?usp=share_link" TargetMode="External"/><Relationship Id="rId5292" Type="http://schemas.openxmlformats.org/officeDocument/2006/relationships/hyperlink" Target="https://drive.google.com/drive/folders/10T2cTQHqEJZqE-st6uFKPoI?usp=share_link" TargetMode="External"/><Relationship Id="rId5290" Type="http://schemas.openxmlformats.org/officeDocument/2006/relationships/hyperlink" Target="https://drive.google.com/drive/folders/10T2cTQHqEJZqE-st6uFKPoI?usp=share_link" TargetMode="External"/><Relationship Id="rId5295" Type="http://schemas.openxmlformats.org/officeDocument/2006/relationships/hyperlink" Target="https://drive.google.com/drive/folders/10T2cTQHqEJZqE-st6uFKPoI?usp=share_link" TargetMode="External"/><Relationship Id="rId5296" Type="http://schemas.openxmlformats.org/officeDocument/2006/relationships/hyperlink" Target="https://drive.google.com/drive/folders/10T2cTQHqEJZqE-st6uFKPoI?usp=share_link" TargetMode="External"/><Relationship Id="rId5293" Type="http://schemas.openxmlformats.org/officeDocument/2006/relationships/hyperlink" Target="https://drive.google.com/drive/folders/10T2cTQHqEJZqE-st6uFKPoI?usp=share_link" TargetMode="External"/><Relationship Id="rId5294" Type="http://schemas.openxmlformats.org/officeDocument/2006/relationships/hyperlink" Target="https://drive.google.com/drive/folders/10T2cTQHqEJZqE-st6uFKPoI?usp=share_link" TargetMode="External"/><Relationship Id="rId5299" Type="http://schemas.openxmlformats.org/officeDocument/2006/relationships/hyperlink" Target="https://drive.google.com/drive/folders/10T2cTQHqEJZqE-st6uFKPoI?usp=share_link" TargetMode="External"/><Relationship Id="rId5297" Type="http://schemas.openxmlformats.org/officeDocument/2006/relationships/hyperlink" Target="https://drive.google.com/drive/folders/10T2cTQHqEJZqE-st6uFKPoI?usp=share_link" TargetMode="External"/><Relationship Id="rId5298" Type="http://schemas.openxmlformats.org/officeDocument/2006/relationships/hyperlink" Target="https://drive.google.com/drive/folders/10T2cTQHqEJZqE-st6uFKPoI?usp=share_link" TargetMode="External"/><Relationship Id="rId5280" Type="http://schemas.openxmlformats.org/officeDocument/2006/relationships/hyperlink" Target="https://drive.google.com/drive/folders/10T2cTQHqEJZqE-st6uFKPoI?usp=share_link" TargetMode="External"/><Relationship Id="rId5281" Type="http://schemas.openxmlformats.org/officeDocument/2006/relationships/hyperlink" Target="https://drive.google.com/drive/folders/10T2cTQHqEJZqE-st6uFKPoI?usp=share_link" TargetMode="External"/><Relationship Id="rId5284" Type="http://schemas.openxmlformats.org/officeDocument/2006/relationships/hyperlink" Target="https://drive.google.com/drive/folders/10T2cTQHqEJZqE-st6uFKPoI?usp=share_link" TargetMode="External"/><Relationship Id="rId5285" Type="http://schemas.openxmlformats.org/officeDocument/2006/relationships/hyperlink" Target="https://drive.google.com/drive/folders/10T2cTQHqEJZqE-st6uFKPoI?usp=share_link" TargetMode="External"/><Relationship Id="rId5282" Type="http://schemas.openxmlformats.org/officeDocument/2006/relationships/hyperlink" Target="https://drive.google.com/drive/folders/10T2cTQHqEJZqE-st6uFKPoI?usp=share_link" TargetMode="External"/><Relationship Id="rId5283" Type="http://schemas.openxmlformats.org/officeDocument/2006/relationships/hyperlink" Target="https://drive.google.com/drive/folders/10T2cTQHqEJZqE-st6uFKPoI?usp=share_link" TargetMode="External"/><Relationship Id="rId5288" Type="http://schemas.openxmlformats.org/officeDocument/2006/relationships/hyperlink" Target="https://drive.google.com/drive/folders/10T2cTQHqEJZqE-st6uFKPoI?usp=share_link" TargetMode="External"/><Relationship Id="rId5289" Type="http://schemas.openxmlformats.org/officeDocument/2006/relationships/hyperlink" Target="https://drive.google.com/drive/folders/10T2cTQHqEJZqE-st6uFKPoI?usp=share_link" TargetMode="External"/><Relationship Id="rId5286" Type="http://schemas.openxmlformats.org/officeDocument/2006/relationships/hyperlink" Target="https://drive.google.com/drive/folders/10T2cTQHqEJZqE-st6uFKPoI?usp=share_link" TargetMode="External"/><Relationship Id="rId5287" Type="http://schemas.openxmlformats.org/officeDocument/2006/relationships/hyperlink" Target="https://drive.google.com/drive/folders/10T2cTQHqEJZqE-st6uFKPoI?usp=share_link" TargetMode="External"/><Relationship Id="rId1710" Type="http://schemas.openxmlformats.org/officeDocument/2006/relationships/hyperlink" Target="https://drive.google.com/drive/folders/10T2cTQHqEJZqE-st6uFKPoI?usp=share_link" TargetMode="External"/><Relationship Id="rId1711" Type="http://schemas.openxmlformats.org/officeDocument/2006/relationships/hyperlink" Target="https://drive.google.com/drive/folders/10T2cTQHqEJZqE-st6uFKPoI?usp=share_link" TargetMode="External"/><Relationship Id="rId1712" Type="http://schemas.openxmlformats.org/officeDocument/2006/relationships/hyperlink" Target="https://drive.google.com/drive/folders/10T2cTQHqEJZqE-st6uFKPoI?usp=share_link" TargetMode="External"/><Relationship Id="rId1713" Type="http://schemas.openxmlformats.org/officeDocument/2006/relationships/hyperlink" Target="https://drive.google.com/drive/folders/10T2cTQHqEJZqE-st6uFKPoI?usp=share_link" TargetMode="External"/><Relationship Id="rId1714" Type="http://schemas.openxmlformats.org/officeDocument/2006/relationships/hyperlink" Target="https://drive.google.com/drive/folders/10T2cTQHqEJZqE-st6uFKPoI?usp=share_link" TargetMode="External"/><Relationship Id="rId1715" Type="http://schemas.openxmlformats.org/officeDocument/2006/relationships/hyperlink" Target="https://drive.google.com/drive/folders/10T2cTQHqEJZqE-st6uFKPoI?usp=share_link" TargetMode="External"/><Relationship Id="rId1716" Type="http://schemas.openxmlformats.org/officeDocument/2006/relationships/hyperlink" Target="https://drive.google.com/drive/folders/10T2cTQHqEJZqE-st6uFKPoI?usp=share_link" TargetMode="External"/><Relationship Id="rId1717" Type="http://schemas.openxmlformats.org/officeDocument/2006/relationships/hyperlink" Target="https://drive.google.com/drive/folders/10T2cTQHqEJZqE-st6uFKPoI?usp=share_link" TargetMode="External"/><Relationship Id="rId1718" Type="http://schemas.openxmlformats.org/officeDocument/2006/relationships/hyperlink" Target="https://drive.google.com/drive/folders/10T2cTQHqEJZqE-st6uFKPoI?usp=share_link" TargetMode="External"/><Relationship Id="rId1719" Type="http://schemas.openxmlformats.org/officeDocument/2006/relationships/hyperlink" Target="https://drive.google.com/drive/folders/10T2cTQHqEJZqE-st6uFKPoI?usp=share_link" TargetMode="External"/><Relationship Id="rId1700" Type="http://schemas.openxmlformats.org/officeDocument/2006/relationships/hyperlink" Target="https://drive.google.com/drive/folders/10T2cTQHqEJZqE-st6uFKPoI?usp=share_link" TargetMode="External"/><Relationship Id="rId1701" Type="http://schemas.openxmlformats.org/officeDocument/2006/relationships/hyperlink" Target="https://drive.google.com/drive/folders/10T2cTQHqEJZqE-st6uFKPoI?usp=share_link" TargetMode="External"/><Relationship Id="rId1702" Type="http://schemas.openxmlformats.org/officeDocument/2006/relationships/hyperlink" Target="https://drive.google.com/drive/folders/10T2cTQHqEJZqE-st6uFKPoI?usp=share_link" TargetMode="External"/><Relationship Id="rId1703" Type="http://schemas.openxmlformats.org/officeDocument/2006/relationships/hyperlink" Target="https://drive.google.com/drive/folders/10T2cTQHqEJZqE-st6uFKPoI?usp=share_link" TargetMode="External"/><Relationship Id="rId1704" Type="http://schemas.openxmlformats.org/officeDocument/2006/relationships/hyperlink" Target="https://drive.google.com/drive/folders/10T2cTQHqEJZqE-st6uFKPoI?usp=share_link" TargetMode="External"/><Relationship Id="rId1705" Type="http://schemas.openxmlformats.org/officeDocument/2006/relationships/hyperlink" Target="https://drive.google.com/drive/folders/10T2cTQHqEJZqE-st6uFKPoI?usp=share_link" TargetMode="External"/><Relationship Id="rId1706" Type="http://schemas.openxmlformats.org/officeDocument/2006/relationships/hyperlink" Target="https://drive.google.com/drive/folders/10T2cTQHqEJZqE-st6uFKPoI?usp=share_link" TargetMode="External"/><Relationship Id="rId1707" Type="http://schemas.openxmlformats.org/officeDocument/2006/relationships/hyperlink" Target="https://drive.google.com/drive/folders/10T2cTQHqEJZqE-st6uFKPoI?usp=share_link" TargetMode="External"/><Relationship Id="rId1708" Type="http://schemas.openxmlformats.org/officeDocument/2006/relationships/hyperlink" Target="https://drive.google.com/drive/folders/10T2cTQHqEJZqE-st6uFKPoI?usp=share_link" TargetMode="External"/><Relationship Id="rId1709" Type="http://schemas.openxmlformats.org/officeDocument/2006/relationships/hyperlink" Target="https://drive.google.com/drive/folders/10T2cTQHqEJZqE-st6uFKPoI?usp=share_link" TargetMode="External"/><Relationship Id="rId40" Type="http://schemas.openxmlformats.org/officeDocument/2006/relationships/hyperlink" Target="https://drive.google.com/drive/folders/10T2cTQHqEJZqE-st6uFKPoI?usp=share_link" TargetMode="External"/><Relationship Id="rId3513" Type="http://schemas.openxmlformats.org/officeDocument/2006/relationships/hyperlink" Target="https://drive.google.com/drive/folders/10T2cTQHqEJZqE-st6uFKPoI?usp=share_link" TargetMode="External"/><Relationship Id="rId4844" Type="http://schemas.openxmlformats.org/officeDocument/2006/relationships/hyperlink" Target="https://drive.google.com/drive/folders/10T2cTQHqEJZqE-st6uFKPoI?usp=share_link" TargetMode="External"/><Relationship Id="rId3512" Type="http://schemas.openxmlformats.org/officeDocument/2006/relationships/hyperlink" Target="https://drive.google.com/drive/folders/10T2cTQHqEJZqE-st6uFKPoI?usp=share_link" TargetMode="External"/><Relationship Id="rId4843" Type="http://schemas.openxmlformats.org/officeDocument/2006/relationships/hyperlink" Target="https://drive.google.com/drive/folders/10T2cTQHqEJZqE-st6uFKPoI?usp=share_link" TargetMode="External"/><Relationship Id="rId42" Type="http://schemas.openxmlformats.org/officeDocument/2006/relationships/hyperlink" Target="https://drive.google.com/drive/folders/10T2cTQHqEJZqE-st6uFKPoI?usp=share_link" TargetMode="External"/><Relationship Id="rId3515" Type="http://schemas.openxmlformats.org/officeDocument/2006/relationships/hyperlink" Target="https://drive.google.com/drive/folders/10T2cTQHqEJZqE-st6uFKPoI?usp=share_link" TargetMode="External"/><Relationship Id="rId4846" Type="http://schemas.openxmlformats.org/officeDocument/2006/relationships/hyperlink" Target="https://drive.google.com/drive/folders/10T2cTQHqEJZqE-st6uFKPoI?usp=share_link" TargetMode="External"/><Relationship Id="rId41" Type="http://schemas.openxmlformats.org/officeDocument/2006/relationships/hyperlink" Target="https://drive.google.com/drive/folders/10T2cTQHqEJZqE-st6uFKPoI?usp=share_link" TargetMode="External"/><Relationship Id="rId3514" Type="http://schemas.openxmlformats.org/officeDocument/2006/relationships/hyperlink" Target="https://drive.google.com/drive/folders/10T2cTQHqEJZqE-st6uFKPoI?usp=share_link" TargetMode="External"/><Relationship Id="rId4845" Type="http://schemas.openxmlformats.org/officeDocument/2006/relationships/hyperlink" Target="https://drive.google.com/drive/folders/10T2cTQHqEJZqE-st6uFKPoI?usp=share_link" TargetMode="External"/><Relationship Id="rId44" Type="http://schemas.openxmlformats.org/officeDocument/2006/relationships/hyperlink" Target="https://drive.google.com/drive/folders/10T2cTQHqEJZqE-st6uFKPoI?usp=share_link" TargetMode="External"/><Relationship Id="rId3517" Type="http://schemas.openxmlformats.org/officeDocument/2006/relationships/hyperlink" Target="https://drive.google.com/drive/folders/10T2cTQHqEJZqE-st6uFKPoI?usp=share_link" TargetMode="External"/><Relationship Id="rId4848" Type="http://schemas.openxmlformats.org/officeDocument/2006/relationships/hyperlink" Target="https://drive.google.com/drive/folders/10T2cTQHqEJZqE-st6uFKPoI?usp=share_link" TargetMode="External"/><Relationship Id="rId43" Type="http://schemas.openxmlformats.org/officeDocument/2006/relationships/hyperlink" Target="https://drive.google.com/drive/folders/10T2cTQHqEJZqE-st6uFKPoI?usp=share_link" TargetMode="External"/><Relationship Id="rId3516" Type="http://schemas.openxmlformats.org/officeDocument/2006/relationships/hyperlink" Target="https://drive.google.com/drive/folders/10T2cTQHqEJZqE-st6uFKPoI?usp=share_link" TargetMode="External"/><Relationship Id="rId4847" Type="http://schemas.openxmlformats.org/officeDocument/2006/relationships/hyperlink" Target="https://drive.google.com/drive/folders/10T2cTQHqEJZqE-st6uFKPoI?usp=share_link" TargetMode="External"/><Relationship Id="rId46" Type="http://schemas.openxmlformats.org/officeDocument/2006/relationships/hyperlink" Target="https://drive.google.com/drive/folders/10T2cTQHqEJZqE-st6uFKPoI?usp=share_link" TargetMode="External"/><Relationship Id="rId3519" Type="http://schemas.openxmlformats.org/officeDocument/2006/relationships/hyperlink" Target="https://drive.google.com/drive/folders/10T2cTQHqEJZqE-st6uFKPoI?usp=share_link" TargetMode="External"/><Relationship Id="rId45" Type="http://schemas.openxmlformats.org/officeDocument/2006/relationships/hyperlink" Target="https://drive.google.com/drive/folders/10T2cTQHqEJZqE-st6uFKPoI?usp=share_link" TargetMode="External"/><Relationship Id="rId3518" Type="http://schemas.openxmlformats.org/officeDocument/2006/relationships/hyperlink" Target="https://drive.google.com/drive/folders/10T2cTQHqEJZqE-st6uFKPoI?usp=share_link" TargetMode="External"/><Relationship Id="rId4849" Type="http://schemas.openxmlformats.org/officeDocument/2006/relationships/hyperlink" Target="https://drive.google.com/drive/folders/10T2cTQHqEJZqE-st6uFKPoI?usp=share_link" TargetMode="External"/><Relationship Id="rId48" Type="http://schemas.openxmlformats.org/officeDocument/2006/relationships/hyperlink" Target="https://drive.google.com/drive/folders/10T2cTQHqEJZqE-st6uFKPoI?usp=share_link" TargetMode="External"/><Relationship Id="rId47" Type="http://schemas.openxmlformats.org/officeDocument/2006/relationships/hyperlink" Target="https://drive.google.com/drive/folders/10T2cTQHqEJZqE-st6uFKPoI?usp=share_link" TargetMode="External"/><Relationship Id="rId49" Type="http://schemas.openxmlformats.org/officeDocument/2006/relationships/hyperlink" Target="https://drive.google.com/drive/folders/10T2cTQHqEJZqE-st6uFKPoI?usp=share_link" TargetMode="External"/><Relationship Id="rId4840" Type="http://schemas.openxmlformats.org/officeDocument/2006/relationships/hyperlink" Target="https://drive.google.com/drive/folders/10T2cTQHqEJZqE-st6uFKPoI?usp=share_link" TargetMode="External"/><Relationship Id="rId3511" Type="http://schemas.openxmlformats.org/officeDocument/2006/relationships/hyperlink" Target="https://drive.google.com/drive/folders/10T2cTQHqEJZqE-st6uFKPoI?usp=share_link" TargetMode="External"/><Relationship Id="rId4842" Type="http://schemas.openxmlformats.org/officeDocument/2006/relationships/hyperlink" Target="https://drive.google.com/drive/folders/10T2cTQHqEJZqE-st6uFKPoI?usp=share_link" TargetMode="External"/><Relationship Id="rId3510" Type="http://schemas.openxmlformats.org/officeDocument/2006/relationships/hyperlink" Target="https://drive.google.com/drive/folders/10T2cTQHqEJZqE-st6uFKPoI?usp=share_link" TargetMode="External"/><Relationship Id="rId4841" Type="http://schemas.openxmlformats.org/officeDocument/2006/relationships/hyperlink" Target="https://drive.google.com/drive/folders/10T2cTQHqEJZqE-st6uFKPoI?usp=share_link" TargetMode="External"/><Relationship Id="rId3502" Type="http://schemas.openxmlformats.org/officeDocument/2006/relationships/hyperlink" Target="https://drive.google.com/drive/folders/10T2cTQHqEJZqE-st6uFKPoI?usp=share_link" TargetMode="External"/><Relationship Id="rId4833" Type="http://schemas.openxmlformats.org/officeDocument/2006/relationships/hyperlink" Target="https://drive.google.com/drive/folders/10T2cTQHqEJZqE-st6uFKPoI?usp=share_link" TargetMode="External"/><Relationship Id="rId3501" Type="http://schemas.openxmlformats.org/officeDocument/2006/relationships/hyperlink" Target="https://drive.google.com/drive/folders/10T2cTQHqEJZqE-st6uFKPoI?usp=share_link" TargetMode="External"/><Relationship Id="rId4832" Type="http://schemas.openxmlformats.org/officeDocument/2006/relationships/hyperlink" Target="https://drive.google.com/drive/folders/10T2cTQHqEJZqE-st6uFKPoI?usp=share_link" TargetMode="External"/><Relationship Id="rId31" Type="http://schemas.openxmlformats.org/officeDocument/2006/relationships/hyperlink" Target="https://drive.google.com/drive/folders/10T2cTQHqEJZqE-st6uFKPoI?usp=share_link" TargetMode="External"/><Relationship Id="rId3504" Type="http://schemas.openxmlformats.org/officeDocument/2006/relationships/hyperlink" Target="https://drive.google.com/drive/folders/10T2cTQHqEJZqE-st6uFKPoI?usp=share_link" TargetMode="External"/><Relationship Id="rId4835" Type="http://schemas.openxmlformats.org/officeDocument/2006/relationships/hyperlink" Target="https://drive.google.com/drive/folders/10T2cTQHqEJZqE-st6uFKPoI?usp=share_link" TargetMode="External"/><Relationship Id="rId30" Type="http://schemas.openxmlformats.org/officeDocument/2006/relationships/hyperlink" Target="https://drive.google.com/drive/folders/10T2cTQHqEJZqE-st6uFKPoI?usp=share_link" TargetMode="External"/><Relationship Id="rId3503" Type="http://schemas.openxmlformats.org/officeDocument/2006/relationships/hyperlink" Target="https://drive.google.com/drive/folders/10T2cTQHqEJZqE-st6uFKPoI?usp=share_link" TargetMode="External"/><Relationship Id="rId4834" Type="http://schemas.openxmlformats.org/officeDocument/2006/relationships/hyperlink" Target="https://drive.google.com/drive/folders/10T2cTQHqEJZqE-st6uFKPoI?usp=share_link" TargetMode="External"/><Relationship Id="rId33" Type="http://schemas.openxmlformats.org/officeDocument/2006/relationships/hyperlink" Target="https://drive.google.com/drive/folders/10T2cTQHqEJZqE-st6uFKPoI?usp=share_link" TargetMode="External"/><Relationship Id="rId3506" Type="http://schemas.openxmlformats.org/officeDocument/2006/relationships/hyperlink" Target="https://drive.google.com/drive/folders/10T2cTQHqEJZqE-st6uFKPoI?usp=share_link" TargetMode="External"/><Relationship Id="rId4837" Type="http://schemas.openxmlformats.org/officeDocument/2006/relationships/hyperlink" Target="https://drive.google.com/drive/folders/10T2cTQHqEJZqE-st6uFKPoI?usp=share_link" TargetMode="External"/><Relationship Id="rId32" Type="http://schemas.openxmlformats.org/officeDocument/2006/relationships/hyperlink" Target="https://drive.google.com/drive/folders/10T2cTQHqEJZqE-st6uFKPoI?usp=share_link" TargetMode="External"/><Relationship Id="rId3505" Type="http://schemas.openxmlformats.org/officeDocument/2006/relationships/hyperlink" Target="https://drive.google.com/drive/folders/10T2cTQHqEJZqE-st6uFKPoI?usp=share_link" TargetMode="External"/><Relationship Id="rId4836" Type="http://schemas.openxmlformats.org/officeDocument/2006/relationships/hyperlink" Target="https://drive.google.com/drive/folders/10T2cTQHqEJZqE-st6uFKPoI?usp=share_link" TargetMode="External"/><Relationship Id="rId35" Type="http://schemas.openxmlformats.org/officeDocument/2006/relationships/hyperlink" Target="https://drive.google.com/drive/folders/10T2cTQHqEJZqE-st6uFKPoI?usp=share_link" TargetMode="External"/><Relationship Id="rId3508" Type="http://schemas.openxmlformats.org/officeDocument/2006/relationships/hyperlink" Target="https://drive.google.com/drive/folders/10T2cTQHqEJZqE-st6uFKPoI?usp=share_link" TargetMode="External"/><Relationship Id="rId4839" Type="http://schemas.openxmlformats.org/officeDocument/2006/relationships/hyperlink" Target="https://drive.google.com/drive/folders/10T2cTQHqEJZqE-st6uFKPoI?usp=share_link" TargetMode="External"/><Relationship Id="rId34" Type="http://schemas.openxmlformats.org/officeDocument/2006/relationships/hyperlink" Target="https://drive.google.com/drive/folders/10T2cTQHqEJZqE-st6uFKPoI?usp=share_link" TargetMode="External"/><Relationship Id="rId3507" Type="http://schemas.openxmlformats.org/officeDocument/2006/relationships/hyperlink" Target="https://drive.google.com/drive/folders/10T2cTQHqEJZqE-st6uFKPoI?usp=share_link" TargetMode="External"/><Relationship Id="rId4838" Type="http://schemas.openxmlformats.org/officeDocument/2006/relationships/hyperlink" Target="https://drive.google.com/drive/folders/10T2cTQHqEJZqE-st6uFKPoI?usp=share_link" TargetMode="External"/><Relationship Id="rId3509" Type="http://schemas.openxmlformats.org/officeDocument/2006/relationships/hyperlink" Target="https://drive.google.com/drive/folders/10T2cTQHqEJZqE-st6uFKPoI?usp=share_link" TargetMode="External"/><Relationship Id="rId37" Type="http://schemas.openxmlformats.org/officeDocument/2006/relationships/hyperlink" Target="https://drive.google.com/drive/folders/10T2cTQHqEJZqE-st6uFKPoI?usp=share_link" TargetMode="External"/><Relationship Id="rId36" Type="http://schemas.openxmlformats.org/officeDocument/2006/relationships/hyperlink" Target="https://drive.google.com/drive/folders/10T2cTQHqEJZqE-st6uFKPoI?usp=share_link" TargetMode="External"/><Relationship Id="rId39" Type="http://schemas.openxmlformats.org/officeDocument/2006/relationships/hyperlink" Target="https://drive.google.com/drive/folders/10T2cTQHqEJZqE-st6uFKPoI?usp=share_link" TargetMode="External"/><Relationship Id="rId38" Type="http://schemas.openxmlformats.org/officeDocument/2006/relationships/hyperlink" Target="https://drive.google.com/drive/folders/10T2cTQHqEJZqE-st6uFKPoI?usp=share_link" TargetMode="External"/><Relationship Id="rId3500" Type="http://schemas.openxmlformats.org/officeDocument/2006/relationships/hyperlink" Target="https://drive.google.com/drive/folders/10T2cTQHqEJZqE-st6uFKPoI?usp=share_link" TargetMode="External"/><Relationship Id="rId4831" Type="http://schemas.openxmlformats.org/officeDocument/2006/relationships/hyperlink" Target="https://drive.google.com/drive/folders/10T2cTQHqEJZqE-st6uFKPoI?usp=share_link" TargetMode="External"/><Relationship Id="rId4830" Type="http://schemas.openxmlformats.org/officeDocument/2006/relationships/hyperlink" Target="https://drive.google.com/drive/folders/10T2cTQHqEJZqE-st6uFKPoI?usp=share_link" TargetMode="External"/><Relationship Id="rId2203" Type="http://schemas.openxmlformats.org/officeDocument/2006/relationships/hyperlink" Target="https://drive.google.com/drive/folders/10T2cTQHqEJZqE-st6uFKPoI?usp=share_link" TargetMode="External"/><Relationship Id="rId3535" Type="http://schemas.openxmlformats.org/officeDocument/2006/relationships/hyperlink" Target="https://drive.google.com/drive/folders/10T2cTQHqEJZqE-st6uFKPoI?usp=share_link" TargetMode="External"/><Relationship Id="rId4866" Type="http://schemas.openxmlformats.org/officeDocument/2006/relationships/hyperlink" Target="https://drive.google.com/drive/folders/10T2cTQHqEJZqE-st6uFKPoI?usp=share_link" TargetMode="External"/><Relationship Id="rId2204" Type="http://schemas.openxmlformats.org/officeDocument/2006/relationships/hyperlink" Target="https://drive.google.com/drive/folders/10T2cTQHqEJZqE-st6uFKPoI?usp=share_link" TargetMode="External"/><Relationship Id="rId3534" Type="http://schemas.openxmlformats.org/officeDocument/2006/relationships/hyperlink" Target="https://drive.google.com/drive/folders/10T2cTQHqEJZqE-st6uFKPoI?usp=share_link" TargetMode="External"/><Relationship Id="rId4865" Type="http://schemas.openxmlformats.org/officeDocument/2006/relationships/hyperlink" Target="https://drive.google.com/drive/folders/10T2cTQHqEJZqE-st6uFKPoI?usp=share_link" TargetMode="External"/><Relationship Id="rId20" Type="http://schemas.openxmlformats.org/officeDocument/2006/relationships/hyperlink" Target="https://drive.google.com/drive/folders/10T2cTQHqEJZqE-st6uFKPoI?usp=share_link" TargetMode="External"/><Relationship Id="rId2205" Type="http://schemas.openxmlformats.org/officeDocument/2006/relationships/hyperlink" Target="https://drive.google.com/drive/folders/10T2cTQHqEJZqE-st6uFKPoI?usp=share_link" TargetMode="External"/><Relationship Id="rId3537" Type="http://schemas.openxmlformats.org/officeDocument/2006/relationships/hyperlink" Target="https://drive.google.com/drive/folders/10T2cTQHqEJZqE-st6uFKPoI?usp=share_link" TargetMode="External"/><Relationship Id="rId4868" Type="http://schemas.openxmlformats.org/officeDocument/2006/relationships/hyperlink" Target="https://drive.google.com/drive/folders/10T2cTQHqEJZqE-st6uFKPoI?usp=share_link" TargetMode="External"/><Relationship Id="rId2206" Type="http://schemas.openxmlformats.org/officeDocument/2006/relationships/hyperlink" Target="https://drive.google.com/drive/folders/10T2cTQHqEJZqE-st6uFKPoI?usp=share_link" TargetMode="External"/><Relationship Id="rId3536" Type="http://schemas.openxmlformats.org/officeDocument/2006/relationships/hyperlink" Target="https://drive.google.com/drive/folders/10T2cTQHqEJZqE-st6uFKPoI?usp=share_link" TargetMode="External"/><Relationship Id="rId4867" Type="http://schemas.openxmlformats.org/officeDocument/2006/relationships/hyperlink" Target="https://drive.google.com/drive/folders/10T2cTQHqEJZqE-st6uFKPoI?usp=share_link" TargetMode="External"/><Relationship Id="rId22" Type="http://schemas.openxmlformats.org/officeDocument/2006/relationships/hyperlink" Target="https://drive.google.com/drive/folders/10T2cTQHqEJZqE-st6uFKPoI?usp=share_link" TargetMode="External"/><Relationship Id="rId2207" Type="http://schemas.openxmlformats.org/officeDocument/2006/relationships/hyperlink" Target="https://drive.google.com/drive/folders/10T2cTQHqEJZqE-st6uFKPoI?usp=share_link" TargetMode="External"/><Relationship Id="rId3539" Type="http://schemas.openxmlformats.org/officeDocument/2006/relationships/hyperlink" Target="https://drive.google.com/drive/folders/10T2cTQHqEJZqE-st6uFKPoI?usp=share_link" TargetMode="External"/><Relationship Id="rId21" Type="http://schemas.openxmlformats.org/officeDocument/2006/relationships/hyperlink" Target="https://drive.google.com/drive/folders/10T2cTQHqEJZqE-st6uFKPoI?usp=share_link" TargetMode="External"/><Relationship Id="rId2208" Type="http://schemas.openxmlformats.org/officeDocument/2006/relationships/hyperlink" Target="https://drive.google.com/drive/folders/10T2cTQHqEJZqE-st6uFKPoI?usp=share_link" TargetMode="External"/><Relationship Id="rId3538" Type="http://schemas.openxmlformats.org/officeDocument/2006/relationships/hyperlink" Target="https://drive.google.com/drive/folders/10T2cTQHqEJZqE-st6uFKPoI?usp=share_link" TargetMode="External"/><Relationship Id="rId4869" Type="http://schemas.openxmlformats.org/officeDocument/2006/relationships/hyperlink" Target="https://drive.google.com/drive/folders/10T2cTQHqEJZqE-st6uFKPoI?usp=share_link" TargetMode="External"/><Relationship Id="rId24" Type="http://schemas.openxmlformats.org/officeDocument/2006/relationships/hyperlink" Target="https://drive.google.com/drive/folders/10T2cTQHqEJZqE-st6uFKPoI?usp=share_link" TargetMode="External"/><Relationship Id="rId2209" Type="http://schemas.openxmlformats.org/officeDocument/2006/relationships/hyperlink" Target="https://drive.google.com/drive/folders/10T2cTQHqEJZqE-st6uFKPoI?usp=share_link" TargetMode="External"/><Relationship Id="rId23" Type="http://schemas.openxmlformats.org/officeDocument/2006/relationships/hyperlink" Target="https://drive.google.com/drive/folders/10T2cTQHqEJZqE-st6uFKPoI?usp=share_link" TargetMode="External"/><Relationship Id="rId26" Type="http://schemas.openxmlformats.org/officeDocument/2006/relationships/hyperlink" Target="https://drive.google.com/drive/folders/10T2cTQHqEJZqE-st6uFKPoI?usp=share_link" TargetMode="External"/><Relationship Id="rId25" Type="http://schemas.openxmlformats.org/officeDocument/2006/relationships/hyperlink" Target="https://drive.google.com/drive/folders/10T2cTQHqEJZqE-st6uFKPoI?usp=share_link" TargetMode="External"/><Relationship Id="rId28" Type="http://schemas.openxmlformats.org/officeDocument/2006/relationships/hyperlink" Target="https://drive.google.com/drive/folders/10T2cTQHqEJZqE-st6uFKPoI?usp=share_link" TargetMode="External"/><Relationship Id="rId4860" Type="http://schemas.openxmlformats.org/officeDocument/2006/relationships/hyperlink" Target="https://drive.google.com/drive/folders/10T2cTQHqEJZqE-st6uFKPoI?usp=share_link" TargetMode="External"/><Relationship Id="rId27" Type="http://schemas.openxmlformats.org/officeDocument/2006/relationships/hyperlink" Target="https://drive.google.com/drive/folders/10T2cTQHqEJZqE-st6uFKPoI?usp=share_link" TargetMode="External"/><Relationship Id="rId3531" Type="http://schemas.openxmlformats.org/officeDocument/2006/relationships/hyperlink" Target="https://drive.google.com/drive/folders/10T2cTQHqEJZqE-st6uFKPoI?usp=share_link" TargetMode="External"/><Relationship Id="rId4862" Type="http://schemas.openxmlformats.org/officeDocument/2006/relationships/hyperlink" Target="https://drive.google.com/drive/folders/10T2cTQHqEJZqE-st6uFKPoI?usp=share_link" TargetMode="External"/><Relationship Id="rId29" Type="http://schemas.openxmlformats.org/officeDocument/2006/relationships/hyperlink" Target="https://drive.google.com/drive/folders/10T2cTQHqEJZqE-st6uFKPoI?usp=share_link" TargetMode="External"/><Relationship Id="rId2200" Type="http://schemas.openxmlformats.org/officeDocument/2006/relationships/hyperlink" Target="https://drive.google.com/drive/folders/10T2cTQHqEJZqE-st6uFKPoI?usp=share_link" TargetMode="External"/><Relationship Id="rId3530" Type="http://schemas.openxmlformats.org/officeDocument/2006/relationships/hyperlink" Target="https://drive.google.com/drive/folders/10T2cTQHqEJZqE-st6uFKPoI?usp=share_link" TargetMode="External"/><Relationship Id="rId4861" Type="http://schemas.openxmlformats.org/officeDocument/2006/relationships/hyperlink" Target="https://drive.google.com/drive/folders/10T2cTQHqEJZqE-st6uFKPoI?usp=share_link" TargetMode="External"/><Relationship Id="rId2201" Type="http://schemas.openxmlformats.org/officeDocument/2006/relationships/hyperlink" Target="https://drive.google.com/drive/folders/10T2cTQHqEJZqE-st6uFKPoI?usp=share_link" TargetMode="External"/><Relationship Id="rId3533" Type="http://schemas.openxmlformats.org/officeDocument/2006/relationships/hyperlink" Target="https://drive.google.com/drive/folders/10T2cTQHqEJZqE-st6uFKPoI?usp=share_link" TargetMode="External"/><Relationship Id="rId4864" Type="http://schemas.openxmlformats.org/officeDocument/2006/relationships/hyperlink" Target="https://drive.google.com/drive/folders/10T2cTQHqEJZqE-st6uFKPoI?usp=share_link" TargetMode="External"/><Relationship Id="rId2202" Type="http://schemas.openxmlformats.org/officeDocument/2006/relationships/hyperlink" Target="https://drive.google.com/drive/folders/10T2cTQHqEJZqE-st6uFKPoI?usp=share_link" TargetMode="External"/><Relationship Id="rId3532" Type="http://schemas.openxmlformats.org/officeDocument/2006/relationships/hyperlink" Target="https://drive.google.com/drive/folders/10T2cTQHqEJZqE-st6uFKPoI?usp=share_link" TargetMode="External"/><Relationship Id="rId4863" Type="http://schemas.openxmlformats.org/officeDocument/2006/relationships/hyperlink" Target="https://drive.google.com/drive/folders/10T2cTQHqEJZqE-st6uFKPoI?usp=share_link" TargetMode="External"/><Relationship Id="rId3524" Type="http://schemas.openxmlformats.org/officeDocument/2006/relationships/hyperlink" Target="https://drive.google.com/drive/folders/10T2cTQHqEJZqE-st6uFKPoI?usp=share_link" TargetMode="External"/><Relationship Id="rId4855" Type="http://schemas.openxmlformats.org/officeDocument/2006/relationships/hyperlink" Target="https://drive.google.com/drive/folders/10T2cTQHqEJZqE-st6uFKPoI?usp=share_link" TargetMode="External"/><Relationship Id="rId3523" Type="http://schemas.openxmlformats.org/officeDocument/2006/relationships/hyperlink" Target="https://drive.google.com/drive/folders/10T2cTQHqEJZqE-st6uFKPoI?usp=share_link" TargetMode="External"/><Relationship Id="rId4854" Type="http://schemas.openxmlformats.org/officeDocument/2006/relationships/hyperlink" Target="https://drive.google.com/drive/folders/10T2cTQHqEJZqE-st6uFKPoI?usp=share_link" TargetMode="External"/><Relationship Id="rId3526" Type="http://schemas.openxmlformats.org/officeDocument/2006/relationships/hyperlink" Target="https://drive.google.com/drive/folders/10T2cTQHqEJZqE-st6uFKPoI?usp=share_link" TargetMode="External"/><Relationship Id="rId4857" Type="http://schemas.openxmlformats.org/officeDocument/2006/relationships/hyperlink" Target="https://drive.google.com/drive/folders/10T2cTQHqEJZqE-st6uFKPoI?usp=share_link" TargetMode="External"/><Relationship Id="rId3525" Type="http://schemas.openxmlformats.org/officeDocument/2006/relationships/hyperlink" Target="https://drive.google.com/drive/folders/10T2cTQHqEJZqE-st6uFKPoI?usp=share_link" TargetMode="External"/><Relationship Id="rId4856" Type="http://schemas.openxmlformats.org/officeDocument/2006/relationships/hyperlink" Target="https://drive.google.com/drive/folders/10T2cTQHqEJZqE-st6uFKPoI?usp=share_link" TargetMode="External"/><Relationship Id="rId11" Type="http://schemas.openxmlformats.org/officeDocument/2006/relationships/hyperlink" Target="https://drive.google.com/drive/folders/10T2cTQHqEJZqE-st6uFKPoI?usp=share_link" TargetMode="External"/><Relationship Id="rId3528" Type="http://schemas.openxmlformats.org/officeDocument/2006/relationships/hyperlink" Target="https://drive.google.com/drive/folders/10T2cTQHqEJZqE-st6uFKPoI?usp=share_link" TargetMode="External"/><Relationship Id="rId4859" Type="http://schemas.openxmlformats.org/officeDocument/2006/relationships/hyperlink" Target="https://drive.google.com/drive/folders/10T2cTQHqEJZqE-st6uFKPoI?usp=share_link" TargetMode="External"/><Relationship Id="rId10" Type="http://schemas.openxmlformats.org/officeDocument/2006/relationships/hyperlink" Target="https://drive.google.com/drive/folders/10T2cTQHqEJZqE-st6uFKPoI?usp=share_link" TargetMode="External"/><Relationship Id="rId3527" Type="http://schemas.openxmlformats.org/officeDocument/2006/relationships/hyperlink" Target="https://drive.google.com/drive/folders/10T2cTQHqEJZqE-st6uFKPoI?usp=share_link" TargetMode="External"/><Relationship Id="rId4858" Type="http://schemas.openxmlformats.org/officeDocument/2006/relationships/hyperlink" Target="https://drive.google.com/drive/folders/10T2cTQHqEJZqE-st6uFKPoI?usp=share_link" TargetMode="External"/><Relationship Id="rId13" Type="http://schemas.openxmlformats.org/officeDocument/2006/relationships/hyperlink" Target="https://drive.google.com/drive/folders/10T2cTQHqEJZqE-st6uFKPoI?usp=share_link" TargetMode="External"/><Relationship Id="rId12" Type="http://schemas.openxmlformats.org/officeDocument/2006/relationships/hyperlink" Target="https://drive.google.com/drive/folders/10T2cTQHqEJZqE-st6uFKPoI?usp=share_link" TargetMode="External"/><Relationship Id="rId3529" Type="http://schemas.openxmlformats.org/officeDocument/2006/relationships/hyperlink" Target="https://drive.google.com/drive/folders/10T2cTQHqEJZqE-st6uFKPoI?usp=share_link" TargetMode="External"/><Relationship Id="rId15" Type="http://schemas.openxmlformats.org/officeDocument/2006/relationships/hyperlink" Target="https://drive.google.com/drive/folders/10T2cTQHqEJZqE-st6uFKPoI?usp=share_link" TargetMode="External"/><Relationship Id="rId14" Type="http://schemas.openxmlformats.org/officeDocument/2006/relationships/hyperlink" Target="https://drive.google.com/drive/folders/10T2cTQHqEJZqE-st6uFKPoI?usp=share_link" TargetMode="External"/><Relationship Id="rId17" Type="http://schemas.openxmlformats.org/officeDocument/2006/relationships/hyperlink" Target="https://drive.google.com/drive/folders/10T2cTQHqEJZqE-st6uFKPoI?usp=share_link" TargetMode="External"/><Relationship Id="rId16" Type="http://schemas.openxmlformats.org/officeDocument/2006/relationships/hyperlink" Target="https://drive.google.com/drive/folders/10T2cTQHqEJZqE-st6uFKPoI?usp=share_link" TargetMode="External"/><Relationship Id="rId19" Type="http://schemas.openxmlformats.org/officeDocument/2006/relationships/hyperlink" Target="https://drive.google.com/drive/folders/10T2cTQHqEJZqE-st6uFKPoI?usp=share_link" TargetMode="External"/><Relationship Id="rId3520" Type="http://schemas.openxmlformats.org/officeDocument/2006/relationships/hyperlink" Target="https://drive.google.com/drive/folders/10T2cTQHqEJZqE-st6uFKPoI?usp=share_link" TargetMode="External"/><Relationship Id="rId4851" Type="http://schemas.openxmlformats.org/officeDocument/2006/relationships/hyperlink" Target="https://drive.google.com/drive/folders/10T2cTQHqEJZqE-st6uFKPoI?usp=share_link" TargetMode="External"/><Relationship Id="rId18" Type="http://schemas.openxmlformats.org/officeDocument/2006/relationships/hyperlink" Target="https://drive.google.com/drive/folders/10T2cTQHqEJZqE-st6uFKPoI?usp=share_link" TargetMode="External"/><Relationship Id="rId4850" Type="http://schemas.openxmlformats.org/officeDocument/2006/relationships/hyperlink" Target="https://drive.google.com/drive/folders/10T2cTQHqEJZqE-st6uFKPoI?usp=share_link" TargetMode="External"/><Relationship Id="rId3522" Type="http://schemas.openxmlformats.org/officeDocument/2006/relationships/hyperlink" Target="https://drive.google.com/drive/folders/10T2cTQHqEJZqE-st6uFKPoI?usp=share_link" TargetMode="External"/><Relationship Id="rId4853" Type="http://schemas.openxmlformats.org/officeDocument/2006/relationships/hyperlink" Target="https://drive.google.com/drive/folders/10T2cTQHqEJZqE-st6uFKPoI?usp=share_link" TargetMode="External"/><Relationship Id="rId3521" Type="http://schemas.openxmlformats.org/officeDocument/2006/relationships/hyperlink" Target="https://drive.google.com/drive/folders/10T2cTQHqEJZqE-st6uFKPoI?usp=share_link" TargetMode="External"/><Relationship Id="rId4852" Type="http://schemas.openxmlformats.org/officeDocument/2006/relationships/hyperlink" Target="https://drive.google.com/drive/folders/10T2cTQHqEJZqE-st6uFKPoI?usp=share_link" TargetMode="External"/><Relationship Id="rId84" Type="http://schemas.openxmlformats.org/officeDocument/2006/relationships/hyperlink" Target="https://drive.google.com/drive/folders/10T2cTQHqEJZqE-st6uFKPoI?usp=share_link" TargetMode="External"/><Relationship Id="rId1774" Type="http://schemas.openxmlformats.org/officeDocument/2006/relationships/hyperlink" Target="https://drive.google.com/drive/folders/10T2cTQHqEJZqE-st6uFKPoI?usp=share_link" TargetMode="External"/><Relationship Id="rId4800" Type="http://schemas.openxmlformats.org/officeDocument/2006/relationships/hyperlink" Target="https://drive.google.com/drive/folders/10T2cTQHqEJZqE-st6uFKPoI?usp=share_link" TargetMode="External"/><Relationship Id="rId83" Type="http://schemas.openxmlformats.org/officeDocument/2006/relationships/hyperlink" Target="https://drive.google.com/drive/folders/10T2cTQHqEJZqE-st6uFKPoI?usp=share_link" TargetMode="External"/><Relationship Id="rId1775" Type="http://schemas.openxmlformats.org/officeDocument/2006/relationships/hyperlink" Target="https://drive.google.com/drive/folders/10T2cTQHqEJZqE-st6uFKPoI?usp=share_link" TargetMode="External"/><Relationship Id="rId86" Type="http://schemas.openxmlformats.org/officeDocument/2006/relationships/hyperlink" Target="https://drive.google.com/drive/folders/10T2cTQHqEJZqE-st6uFKPoI?usp=share_link" TargetMode="External"/><Relationship Id="rId1776" Type="http://schemas.openxmlformats.org/officeDocument/2006/relationships/hyperlink" Target="https://drive.google.com/drive/folders/10T2cTQHqEJZqE-st6uFKPoI?usp=share_link" TargetMode="External"/><Relationship Id="rId4802" Type="http://schemas.openxmlformats.org/officeDocument/2006/relationships/hyperlink" Target="https://drive.google.com/drive/folders/10T2cTQHqEJZqE-st6uFKPoI?usp=share_link" TargetMode="External"/><Relationship Id="rId85" Type="http://schemas.openxmlformats.org/officeDocument/2006/relationships/hyperlink" Target="https://drive.google.com/drive/folders/10T2cTQHqEJZqE-st6uFKPoI?usp=share_link" TargetMode="External"/><Relationship Id="rId1777" Type="http://schemas.openxmlformats.org/officeDocument/2006/relationships/hyperlink" Target="https://drive.google.com/drive/folders/10T2cTQHqEJZqE-st6uFKPoI?usp=share_link" TargetMode="External"/><Relationship Id="rId4801" Type="http://schemas.openxmlformats.org/officeDocument/2006/relationships/hyperlink" Target="https://drive.google.com/drive/folders/10T2cTQHqEJZqE-st6uFKPoI?usp=share_link" TargetMode="External"/><Relationship Id="rId88" Type="http://schemas.openxmlformats.org/officeDocument/2006/relationships/hyperlink" Target="https://drive.google.com/drive/folders/10T2cTQHqEJZqE-st6uFKPoI?usp=share_link" TargetMode="External"/><Relationship Id="rId1778" Type="http://schemas.openxmlformats.org/officeDocument/2006/relationships/hyperlink" Target="https://drive.google.com/drive/folders/10T2cTQHqEJZqE-st6uFKPoI?usp=share_link" TargetMode="External"/><Relationship Id="rId4804" Type="http://schemas.openxmlformats.org/officeDocument/2006/relationships/hyperlink" Target="https://drive.google.com/drive/folders/10T2cTQHqEJZqE-st6uFKPoI?usp=share_link" TargetMode="External"/><Relationship Id="rId87" Type="http://schemas.openxmlformats.org/officeDocument/2006/relationships/hyperlink" Target="https://drive.google.com/drive/folders/10T2cTQHqEJZqE-st6uFKPoI?usp=share_link" TargetMode="External"/><Relationship Id="rId1779" Type="http://schemas.openxmlformats.org/officeDocument/2006/relationships/hyperlink" Target="https://drive.google.com/drive/folders/10T2cTQHqEJZqE-st6uFKPoI?usp=share_link" TargetMode="External"/><Relationship Id="rId4803" Type="http://schemas.openxmlformats.org/officeDocument/2006/relationships/hyperlink" Target="https://drive.google.com/drive/folders/10T2cTQHqEJZqE-st6uFKPoI?usp=share_link" TargetMode="External"/><Relationship Id="rId4806" Type="http://schemas.openxmlformats.org/officeDocument/2006/relationships/hyperlink" Target="https://drive.google.com/drive/folders/10T2cTQHqEJZqE-st6uFKPoI?usp=share_link" TargetMode="External"/><Relationship Id="rId89" Type="http://schemas.openxmlformats.org/officeDocument/2006/relationships/hyperlink" Target="https://drive.google.com/drive/folders/10T2cTQHqEJZqE-st6uFKPoI?usp=share_link" TargetMode="External"/><Relationship Id="rId4805" Type="http://schemas.openxmlformats.org/officeDocument/2006/relationships/hyperlink" Target="https://drive.google.com/drive/folders/10T2cTQHqEJZqE-st6uFKPoI?usp=share_link" TargetMode="External"/><Relationship Id="rId4808" Type="http://schemas.openxmlformats.org/officeDocument/2006/relationships/hyperlink" Target="https://drive.google.com/drive/folders/10T2cTQHqEJZqE-st6uFKPoI?usp=share_link" TargetMode="External"/><Relationship Id="rId4807" Type="http://schemas.openxmlformats.org/officeDocument/2006/relationships/hyperlink" Target="https://drive.google.com/drive/folders/10T2cTQHqEJZqE-st6uFKPoI?usp=share_link" TargetMode="External"/><Relationship Id="rId4809" Type="http://schemas.openxmlformats.org/officeDocument/2006/relationships/hyperlink" Target="https://drive.google.com/drive/folders/10T2cTQHqEJZqE-st6uFKPoI?usp=share_link" TargetMode="External"/><Relationship Id="rId80" Type="http://schemas.openxmlformats.org/officeDocument/2006/relationships/hyperlink" Target="https://drive.google.com/drive/folders/10T2cTQHqEJZqE-st6uFKPoI?usp=share_link" TargetMode="External"/><Relationship Id="rId82" Type="http://schemas.openxmlformats.org/officeDocument/2006/relationships/hyperlink" Target="https://drive.google.com/drive/folders/10T2cTQHqEJZqE-st6uFKPoI?usp=share_link" TargetMode="External"/><Relationship Id="rId81" Type="http://schemas.openxmlformats.org/officeDocument/2006/relationships/hyperlink" Target="https://drive.google.com/drive/folders/10T2cTQHqEJZqE-st6uFKPoI?usp=share_link" TargetMode="External"/><Relationship Id="rId1770" Type="http://schemas.openxmlformats.org/officeDocument/2006/relationships/hyperlink" Target="https://drive.google.com/drive/folders/10T2cTQHqEJZqE-st6uFKPoI?usp=share_link" TargetMode="External"/><Relationship Id="rId1771" Type="http://schemas.openxmlformats.org/officeDocument/2006/relationships/hyperlink" Target="https://drive.google.com/drive/folders/10T2cTQHqEJZqE-st6uFKPoI?usp=share_link" TargetMode="External"/><Relationship Id="rId1772" Type="http://schemas.openxmlformats.org/officeDocument/2006/relationships/hyperlink" Target="https://drive.google.com/drive/folders/10T2cTQHqEJZqE-st6uFKPoI?usp=share_link" TargetMode="External"/><Relationship Id="rId1773" Type="http://schemas.openxmlformats.org/officeDocument/2006/relationships/hyperlink" Target="https://drive.google.com/drive/folders/10T2cTQHqEJZqE-st6uFKPoI?usp=share_link" TargetMode="External"/><Relationship Id="rId73" Type="http://schemas.openxmlformats.org/officeDocument/2006/relationships/hyperlink" Target="https://drive.google.com/drive/folders/10T2cTQHqEJZqE-st6uFKPoI?usp=share_link" TargetMode="External"/><Relationship Id="rId1763" Type="http://schemas.openxmlformats.org/officeDocument/2006/relationships/hyperlink" Target="https://drive.google.com/drive/folders/10T2cTQHqEJZqE-st6uFKPoI?usp=share_link" TargetMode="External"/><Relationship Id="rId72" Type="http://schemas.openxmlformats.org/officeDocument/2006/relationships/hyperlink" Target="https://drive.google.com/drive/folders/10T2cTQHqEJZqE-st6uFKPoI?usp=share_link" TargetMode="External"/><Relationship Id="rId1764" Type="http://schemas.openxmlformats.org/officeDocument/2006/relationships/hyperlink" Target="https://drive.google.com/drive/folders/10T2cTQHqEJZqE-st6uFKPoI?usp=share_link" TargetMode="External"/><Relationship Id="rId75" Type="http://schemas.openxmlformats.org/officeDocument/2006/relationships/hyperlink" Target="https://drive.google.com/drive/folders/10T2cTQHqEJZqE-st6uFKPoI?usp=share_link" TargetMode="External"/><Relationship Id="rId1765" Type="http://schemas.openxmlformats.org/officeDocument/2006/relationships/hyperlink" Target="https://drive.google.com/drive/folders/10T2cTQHqEJZqE-st6uFKPoI?usp=share_link" TargetMode="External"/><Relationship Id="rId74" Type="http://schemas.openxmlformats.org/officeDocument/2006/relationships/hyperlink" Target="https://drive.google.com/drive/folders/10T2cTQHqEJZqE-st6uFKPoI?usp=share_link" TargetMode="External"/><Relationship Id="rId1766" Type="http://schemas.openxmlformats.org/officeDocument/2006/relationships/hyperlink" Target="https://drive.google.com/drive/folders/10T2cTQHqEJZqE-st6uFKPoI?usp=share_link" TargetMode="External"/><Relationship Id="rId77" Type="http://schemas.openxmlformats.org/officeDocument/2006/relationships/hyperlink" Target="https://drive.google.com/drive/folders/10T2cTQHqEJZqE-st6uFKPoI?usp=share_link" TargetMode="External"/><Relationship Id="rId1767" Type="http://schemas.openxmlformats.org/officeDocument/2006/relationships/hyperlink" Target="https://drive.google.com/drive/folders/10T2cTQHqEJZqE-st6uFKPoI?usp=share_link" TargetMode="External"/><Relationship Id="rId76" Type="http://schemas.openxmlformats.org/officeDocument/2006/relationships/hyperlink" Target="https://drive.google.com/drive/folders/10T2cTQHqEJZqE-st6uFKPoI?usp=share_link" TargetMode="External"/><Relationship Id="rId1768" Type="http://schemas.openxmlformats.org/officeDocument/2006/relationships/hyperlink" Target="https://drive.google.com/drive/folders/10T2cTQHqEJZqE-st6uFKPoI?usp=share_link" TargetMode="External"/><Relationship Id="rId79" Type="http://schemas.openxmlformats.org/officeDocument/2006/relationships/hyperlink" Target="https://drive.google.com/drive/folders/10T2cTQHqEJZqE-st6uFKPoI?usp=share_link" TargetMode="External"/><Relationship Id="rId1769" Type="http://schemas.openxmlformats.org/officeDocument/2006/relationships/hyperlink" Target="https://drive.google.com/drive/folders/10T2cTQHqEJZqE-st6uFKPoI?usp=share_link" TargetMode="External"/><Relationship Id="rId78" Type="http://schemas.openxmlformats.org/officeDocument/2006/relationships/hyperlink" Target="https://drive.google.com/drive/folders/10T2cTQHqEJZqE-st6uFKPoI?usp=share_link" TargetMode="External"/><Relationship Id="rId71" Type="http://schemas.openxmlformats.org/officeDocument/2006/relationships/hyperlink" Target="https://drive.google.com/drive/folders/10T2cTQHqEJZqE-st6uFKPoI?usp=share_link" TargetMode="External"/><Relationship Id="rId70" Type="http://schemas.openxmlformats.org/officeDocument/2006/relationships/hyperlink" Target="https://drive.google.com/drive/folders/10T2cTQHqEJZqE-st6uFKPoI?usp=share_link" TargetMode="External"/><Relationship Id="rId1760" Type="http://schemas.openxmlformats.org/officeDocument/2006/relationships/hyperlink" Target="https://drive.google.com/drive/folders/10T2cTQHqEJZqE-st6uFKPoI?usp=share_link" TargetMode="External"/><Relationship Id="rId1761" Type="http://schemas.openxmlformats.org/officeDocument/2006/relationships/hyperlink" Target="https://drive.google.com/drive/folders/10T2cTQHqEJZqE-st6uFKPoI?usp=share_link" TargetMode="External"/><Relationship Id="rId1762" Type="http://schemas.openxmlformats.org/officeDocument/2006/relationships/hyperlink" Target="https://drive.google.com/drive/folders/10T2cTQHqEJZqE-st6uFKPoI?usp=share_link" TargetMode="External"/><Relationship Id="rId62" Type="http://schemas.openxmlformats.org/officeDocument/2006/relationships/hyperlink" Target="https://drive.google.com/drive/folders/10T2cTQHqEJZqE-st6uFKPoI?usp=share_link" TargetMode="External"/><Relationship Id="rId1796" Type="http://schemas.openxmlformats.org/officeDocument/2006/relationships/hyperlink" Target="https://drive.google.com/drive/folders/10T2cTQHqEJZqE-st6uFKPoI?usp=share_link" TargetMode="External"/><Relationship Id="rId4822" Type="http://schemas.openxmlformats.org/officeDocument/2006/relationships/hyperlink" Target="https://drive.google.com/drive/folders/10T2cTQHqEJZqE-st6uFKPoI?usp=share_link" TargetMode="External"/><Relationship Id="rId61" Type="http://schemas.openxmlformats.org/officeDocument/2006/relationships/hyperlink" Target="https://drive.google.com/drive/folders/10T2cTQHqEJZqE-st6uFKPoI?usp=share_link" TargetMode="External"/><Relationship Id="rId1797" Type="http://schemas.openxmlformats.org/officeDocument/2006/relationships/hyperlink" Target="https://drive.google.com/drive/folders/10T2cTQHqEJZqE-st6uFKPoI?usp=share_link" TargetMode="External"/><Relationship Id="rId4821" Type="http://schemas.openxmlformats.org/officeDocument/2006/relationships/hyperlink" Target="https://drive.google.com/drive/folders/10T2cTQHqEJZqE-st6uFKPoI?usp=share_link" TargetMode="External"/><Relationship Id="rId64" Type="http://schemas.openxmlformats.org/officeDocument/2006/relationships/hyperlink" Target="https://drive.google.com/drive/folders/10T2cTQHqEJZqE-st6uFKPoI?usp=share_link" TargetMode="External"/><Relationship Id="rId1798" Type="http://schemas.openxmlformats.org/officeDocument/2006/relationships/hyperlink" Target="https://drive.google.com/drive/folders/10T2cTQHqEJZqE-st6uFKPoI?usp=share_link" TargetMode="External"/><Relationship Id="rId4824" Type="http://schemas.openxmlformats.org/officeDocument/2006/relationships/hyperlink" Target="https://drive.google.com/drive/folders/10T2cTQHqEJZqE-st6uFKPoI?usp=share_link" TargetMode="External"/><Relationship Id="rId63" Type="http://schemas.openxmlformats.org/officeDocument/2006/relationships/hyperlink" Target="https://drive.google.com/drive/folders/10T2cTQHqEJZqE-st6uFKPoI?usp=share_link" TargetMode="External"/><Relationship Id="rId1799" Type="http://schemas.openxmlformats.org/officeDocument/2006/relationships/hyperlink" Target="https://drive.google.com/drive/folders/10T2cTQHqEJZqE-st6uFKPoI?usp=share_link" TargetMode="External"/><Relationship Id="rId4823" Type="http://schemas.openxmlformats.org/officeDocument/2006/relationships/hyperlink" Target="https://drive.google.com/drive/folders/10T2cTQHqEJZqE-st6uFKPoI?usp=share_link" TargetMode="External"/><Relationship Id="rId66" Type="http://schemas.openxmlformats.org/officeDocument/2006/relationships/hyperlink" Target="https://drive.google.com/drive/folders/10T2cTQHqEJZqE-st6uFKPoI?usp=share_link" TargetMode="External"/><Relationship Id="rId4826" Type="http://schemas.openxmlformats.org/officeDocument/2006/relationships/hyperlink" Target="https://drive.google.com/drive/folders/10T2cTQHqEJZqE-st6uFKPoI?usp=share_link" TargetMode="External"/><Relationship Id="rId65" Type="http://schemas.openxmlformats.org/officeDocument/2006/relationships/hyperlink" Target="https://drive.google.com/drive/folders/10T2cTQHqEJZqE-st6uFKPoI?usp=share_link" TargetMode="External"/><Relationship Id="rId4825" Type="http://schemas.openxmlformats.org/officeDocument/2006/relationships/hyperlink" Target="https://drive.google.com/drive/folders/10T2cTQHqEJZqE-st6uFKPoI?usp=share_link" TargetMode="External"/><Relationship Id="rId68" Type="http://schemas.openxmlformats.org/officeDocument/2006/relationships/hyperlink" Target="https://drive.google.com/drive/folders/10T2cTQHqEJZqE-st6uFKPoI?usp=share_link" TargetMode="External"/><Relationship Id="rId4828" Type="http://schemas.openxmlformats.org/officeDocument/2006/relationships/hyperlink" Target="https://drive.google.com/drive/folders/10T2cTQHqEJZqE-st6uFKPoI?usp=share_link" TargetMode="External"/><Relationship Id="rId67" Type="http://schemas.openxmlformats.org/officeDocument/2006/relationships/hyperlink" Target="https://drive.google.com/drive/folders/10T2cTQHqEJZqE-st6uFKPoI?usp=share_link" TargetMode="External"/><Relationship Id="rId4827" Type="http://schemas.openxmlformats.org/officeDocument/2006/relationships/hyperlink" Target="https://drive.google.com/drive/folders/10T2cTQHqEJZqE-st6uFKPoI?usp=share_link" TargetMode="External"/><Relationship Id="rId4829" Type="http://schemas.openxmlformats.org/officeDocument/2006/relationships/hyperlink" Target="https://drive.google.com/drive/folders/10T2cTQHqEJZqE-st6uFKPoI?usp=share_link" TargetMode="External"/><Relationship Id="rId60" Type="http://schemas.openxmlformats.org/officeDocument/2006/relationships/hyperlink" Target="https://drive.google.com/drive/folders/10T2cTQHqEJZqE-st6uFKPoI?usp=share_link" TargetMode="External"/><Relationship Id="rId69" Type="http://schemas.openxmlformats.org/officeDocument/2006/relationships/hyperlink" Target="https://drive.google.com/drive/folders/10T2cTQHqEJZqE-st6uFKPoI?usp=share_link" TargetMode="External"/><Relationship Id="rId1790" Type="http://schemas.openxmlformats.org/officeDocument/2006/relationships/hyperlink" Target="https://drive.google.com/drive/folders/10T2cTQHqEJZqE-st6uFKPoI?usp=share_link" TargetMode="External"/><Relationship Id="rId1791" Type="http://schemas.openxmlformats.org/officeDocument/2006/relationships/hyperlink" Target="https://drive.google.com/drive/folders/10T2cTQHqEJZqE-st6uFKPoI?usp=share_link" TargetMode="External"/><Relationship Id="rId1792" Type="http://schemas.openxmlformats.org/officeDocument/2006/relationships/hyperlink" Target="https://drive.google.com/drive/folders/10T2cTQHqEJZqE-st6uFKPoI?usp=share_link" TargetMode="External"/><Relationship Id="rId1793" Type="http://schemas.openxmlformats.org/officeDocument/2006/relationships/hyperlink" Target="https://drive.google.com/drive/folders/10T2cTQHqEJZqE-st6uFKPoI?usp=share_link" TargetMode="External"/><Relationship Id="rId1794" Type="http://schemas.openxmlformats.org/officeDocument/2006/relationships/hyperlink" Target="https://drive.google.com/drive/folders/10T2cTQHqEJZqE-st6uFKPoI?usp=share_link" TargetMode="External"/><Relationship Id="rId4820" Type="http://schemas.openxmlformats.org/officeDocument/2006/relationships/hyperlink" Target="https://drive.google.com/drive/folders/10T2cTQHqEJZqE-st6uFKPoI?usp=share_link" TargetMode="External"/><Relationship Id="rId1795" Type="http://schemas.openxmlformats.org/officeDocument/2006/relationships/hyperlink" Target="https://drive.google.com/drive/folders/10T2cTQHqEJZqE-st6uFKPoI?usp=share_link" TargetMode="External"/><Relationship Id="rId51" Type="http://schemas.openxmlformats.org/officeDocument/2006/relationships/hyperlink" Target="https://drive.google.com/drive/folders/10T2cTQHqEJZqE-st6uFKPoI?usp=share_link" TargetMode="External"/><Relationship Id="rId1785" Type="http://schemas.openxmlformats.org/officeDocument/2006/relationships/hyperlink" Target="https://drive.google.com/drive/folders/10T2cTQHqEJZqE-st6uFKPoI?usp=share_link" TargetMode="External"/><Relationship Id="rId4811" Type="http://schemas.openxmlformats.org/officeDocument/2006/relationships/hyperlink" Target="https://drive.google.com/drive/folders/10T2cTQHqEJZqE-st6uFKPoI?usp=share_link" TargetMode="External"/><Relationship Id="rId50" Type="http://schemas.openxmlformats.org/officeDocument/2006/relationships/hyperlink" Target="https://drive.google.com/drive/folders/10T2cTQHqEJZqE-st6uFKPoI?usp=share_link" TargetMode="External"/><Relationship Id="rId1786" Type="http://schemas.openxmlformats.org/officeDocument/2006/relationships/hyperlink" Target="https://drive.google.com/drive/folders/10T2cTQHqEJZqE-st6uFKPoI?usp=share_link" TargetMode="External"/><Relationship Id="rId4810" Type="http://schemas.openxmlformats.org/officeDocument/2006/relationships/hyperlink" Target="https://drive.google.com/drive/folders/10T2cTQHqEJZqE-st6uFKPoI?usp=share_link" TargetMode="External"/><Relationship Id="rId53" Type="http://schemas.openxmlformats.org/officeDocument/2006/relationships/hyperlink" Target="https://drive.google.com/drive/folders/10T2cTQHqEJZqE-st6uFKPoI?usp=share_link" TargetMode="External"/><Relationship Id="rId1787" Type="http://schemas.openxmlformats.org/officeDocument/2006/relationships/hyperlink" Target="https://drive.google.com/drive/folders/10T2cTQHqEJZqE-st6uFKPoI?usp=share_link" TargetMode="External"/><Relationship Id="rId4813" Type="http://schemas.openxmlformats.org/officeDocument/2006/relationships/hyperlink" Target="https://drive.google.com/drive/folders/10T2cTQHqEJZqE-st6uFKPoI?usp=share_link" TargetMode="External"/><Relationship Id="rId52" Type="http://schemas.openxmlformats.org/officeDocument/2006/relationships/hyperlink" Target="https://drive.google.com/drive/folders/10T2cTQHqEJZqE-st6uFKPoI?usp=share_link" TargetMode="External"/><Relationship Id="rId1788" Type="http://schemas.openxmlformats.org/officeDocument/2006/relationships/hyperlink" Target="https://drive.google.com/drive/folders/10T2cTQHqEJZqE-st6uFKPoI?usp=share_link" TargetMode="External"/><Relationship Id="rId4812" Type="http://schemas.openxmlformats.org/officeDocument/2006/relationships/hyperlink" Target="https://drive.google.com/drive/folders/10T2cTQHqEJZqE-st6uFKPoI?usp=share_link" TargetMode="External"/><Relationship Id="rId55" Type="http://schemas.openxmlformats.org/officeDocument/2006/relationships/hyperlink" Target="https://drive.google.com/drive/folders/10T2cTQHqEJZqE-st6uFKPoI?usp=share_link" TargetMode="External"/><Relationship Id="rId1789" Type="http://schemas.openxmlformats.org/officeDocument/2006/relationships/hyperlink" Target="https://drive.google.com/drive/folders/10T2cTQHqEJZqE-st6uFKPoI?usp=share_link" TargetMode="External"/><Relationship Id="rId4815" Type="http://schemas.openxmlformats.org/officeDocument/2006/relationships/hyperlink" Target="https://drive.google.com/drive/folders/10T2cTQHqEJZqE-st6uFKPoI?usp=share_link" TargetMode="External"/><Relationship Id="rId54" Type="http://schemas.openxmlformats.org/officeDocument/2006/relationships/hyperlink" Target="https://drive.google.com/drive/folders/10T2cTQHqEJZqE-st6uFKPoI?usp=share_link" TargetMode="External"/><Relationship Id="rId4814" Type="http://schemas.openxmlformats.org/officeDocument/2006/relationships/hyperlink" Target="https://drive.google.com/drive/folders/10T2cTQHqEJZqE-st6uFKPoI?usp=share_link" TargetMode="External"/><Relationship Id="rId57" Type="http://schemas.openxmlformats.org/officeDocument/2006/relationships/hyperlink" Target="https://drive.google.com/drive/folders/10T2cTQHqEJZqE-st6uFKPoI?usp=share_link" TargetMode="External"/><Relationship Id="rId4817" Type="http://schemas.openxmlformats.org/officeDocument/2006/relationships/hyperlink" Target="https://drive.google.com/drive/folders/10T2cTQHqEJZqE-st6uFKPoI?usp=share_link" TargetMode="External"/><Relationship Id="rId56" Type="http://schemas.openxmlformats.org/officeDocument/2006/relationships/hyperlink" Target="https://drive.google.com/drive/folders/10T2cTQHqEJZqE-st6uFKPoI?usp=share_link" TargetMode="External"/><Relationship Id="rId4816" Type="http://schemas.openxmlformats.org/officeDocument/2006/relationships/hyperlink" Target="https://drive.google.com/drive/folders/10T2cTQHqEJZqE-st6uFKPoI?usp=share_link" TargetMode="External"/><Relationship Id="rId4819" Type="http://schemas.openxmlformats.org/officeDocument/2006/relationships/hyperlink" Target="https://drive.google.com/drive/folders/10T2cTQHqEJZqE-st6uFKPoI?usp=share_link" TargetMode="External"/><Relationship Id="rId4818" Type="http://schemas.openxmlformats.org/officeDocument/2006/relationships/hyperlink" Target="https://drive.google.com/drive/folders/10T2cTQHqEJZqE-st6uFKPoI?usp=share_link" TargetMode="External"/><Relationship Id="rId59" Type="http://schemas.openxmlformats.org/officeDocument/2006/relationships/hyperlink" Target="https://drive.google.com/drive/folders/10T2cTQHqEJZqE-st6uFKPoI?usp=share_link" TargetMode="External"/><Relationship Id="rId58" Type="http://schemas.openxmlformats.org/officeDocument/2006/relationships/hyperlink" Target="https://drive.google.com/drive/folders/10T2cTQHqEJZqE-st6uFKPoI?usp=share_link" TargetMode="External"/><Relationship Id="rId1780" Type="http://schemas.openxmlformats.org/officeDocument/2006/relationships/hyperlink" Target="https://drive.google.com/drive/folders/10T2cTQHqEJZqE-st6uFKPoI?usp=share_link" TargetMode="External"/><Relationship Id="rId1781" Type="http://schemas.openxmlformats.org/officeDocument/2006/relationships/hyperlink" Target="https://drive.google.com/drive/folders/10T2cTQHqEJZqE-st6uFKPoI?usp=share_link" TargetMode="External"/><Relationship Id="rId1782" Type="http://schemas.openxmlformats.org/officeDocument/2006/relationships/hyperlink" Target="https://drive.google.com/drive/folders/10T2cTQHqEJZqE-st6uFKPoI?usp=share_link" TargetMode="External"/><Relationship Id="rId1783" Type="http://schemas.openxmlformats.org/officeDocument/2006/relationships/hyperlink" Target="https://drive.google.com/drive/folders/10T2cTQHqEJZqE-st6uFKPoI?usp=share_link" TargetMode="External"/><Relationship Id="rId1784" Type="http://schemas.openxmlformats.org/officeDocument/2006/relationships/hyperlink" Target="https://drive.google.com/drive/folders/10T2cTQHqEJZqE-st6uFKPoI?usp=share_link" TargetMode="External"/><Relationship Id="rId2269" Type="http://schemas.openxmlformats.org/officeDocument/2006/relationships/hyperlink" Target="https://drive.google.com/drive/folders/10T2cTQHqEJZqE-st6uFKPoI?usp=share_link" TargetMode="External"/><Relationship Id="rId349" Type="http://schemas.openxmlformats.org/officeDocument/2006/relationships/hyperlink" Target="https://drive.google.com/drive/folders/10T2cTQHqEJZqE-st6uFKPoI?usp=share_link" TargetMode="External"/><Relationship Id="rId348" Type="http://schemas.openxmlformats.org/officeDocument/2006/relationships/hyperlink" Target="https://drive.google.com/drive/folders/10T2cTQHqEJZqE-st6uFKPoI?usp=share_link" TargetMode="External"/><Relationship Id="rId347" Type="http://schemas.openxmlformats.org/officeDocument/2006/relationships/hyperlink" Target="https://drive.google.com/drive/folders/10T2cTQHqEJZqE-st6uFKPoI?usp=share_link" TargetMode="External"/><Relationship Id="rId346" Type="http://schemas.openxmlformats.org/officeDocument/2006/relationships/hyperlink" Target="https://drive.google.com/drive/folders/10T2cTQHqEJZqE-st6uFKPoI?usp=share_link" TargetMode="External"/><Relationship Id="rId3591" Type="http://schemas.openxmlformats.org/officeDocument/2006/relationships/hyperlink" Target="https://drive.google.com/drive/folders/10T2cTQHqEJZqE-st6uFKPoI?usp=share_link" TargetMode="External"/><Relationship Id="rId2260" Type="http://schemas.openxmlformats.org/officeDocument/2006/relationships/hyperlink" Target="https://drive.google.com/drive/folders/10T2cTQHqEJZqE-st6uFKPoI?usp=share_link" TargetMode="External"/><Relationship Id="rId3590" Type="http://schemas.openxmlformats.org/officeDocument/2006/relationships/hyperlink" Target="https://drive.google.com/drive/folders/10T2cTQHqEJZqE-st6uFKPoI?usp=share_link" TargetMode="External"/><Relationship Id="rId341" Type="http://schemas.openxmlformats.org/officeDocument/2006/relationships/hyperlink" Target="https://drive.google.com/drive/folders/10T2cTQHqEJZqE-st6uFKPoI?usp=share_link" TargetMode="External"/><Relationship Id="rId2261" Type="http://schemas.openxmlformats.org/officeDocument/2006/relationships/hyperlink" Target="https://drive.google.com/drive/folders/10T2cTQHqEJZqE-st6uFKPoI?usp=share_link" TargetMode="External"/><Relationship Id="rId3593" Type="http://schemas.openxmlformats.org/officeDocument/2006/relationships/hyperlink" Target="https://drive.google.com/drive/folders/10T2cTQHqEJZqE-st6uFKPoI?usp=share_link" TargetMode="External"/><Relationship Id="rId340" Type="http://schemas.openxmlformats.org/officeDocument/2006/relationships/hyperlink" Target="https://drive.google.com/drive/folders/10T2cTQHqEJZqE-st6uFKPoI?usp=share_link" TargetMode="External"/><Relationship Id="rId2262" Type="http://schemas.openxmlformats.org/officeDocument/2006/relationships/hyperlink" Target="https://drive.google.com/drive/folders/10T2cTQHqEJZqE-st6uFKPoI?usp=share_link" TargetMode="External"/><Relationship Id="rId3592" Type="http://schemas.openxmlformats.org/officeDocument/2006/relationships/hyperlink" Target="https://drive.google.com/drive/folders/10T2cTQHqEJZqE-st6uFKPoI?usp=share_link" TargetMode="External"/><Relationship Id="rId2263" Type="http://schemas.openxmlformats.org/officeDocument/2006/relationships/hyperlink" Target="https://drive.google.com/drive/folders/10T2cTQHqEJZqE-st6uFKPoI?usp=share_link" TargetMode="External"/><Relationship Id="rId3595" Type="http://schemas.openxmlformats.org/officeDocument/2006/relationships/hyperlink" Target="https://drive.google.com/drive/folders/10T2cTQHqEJZqE-st6uFKPoI?usp=share_link" TargetMode="External"/><Relationship Id="rId2264" Type="http://schemas.openxmlformats.org/officeDocument/2006/relationships/hyperlink" Target="https://drive.google.com/drive/folders/10T2cTQHqEJZqE-st6uFKPoI?usp=share_link" TargetMode="External"/><Relationship Id="rId3594" Type="http://schemas.openxmlformats.org/officeDocument/2006/relationships/hyperlink" Target="https://drive.google.com/drive/folders/10T2cTQHqEJZqE-st6uFKPoI?usp=share_link" TargetMode="External"/><Relationship Id="rId345" Type="http://schemas.openxmlformats.org/officeDocument/2006/relationships/hyperlink" Target="https://drive.google.com/drive/folders/10T2cTQHqEJZqE-st6uFKPoI?usp=share_link" TargetMode="External"/><Relationship Id="rId2265" Type="http://schemas.openxmlformats.org/officeDocument/2006/relationships/hyperlink" Target="https://drive.google.com/drive/folders/10T2cTQHqEJZqE-st6uFKPoI?usp=share_link" TargetMode="External"/><Relationship Id="rId3597" Type="http://schemas.openxmlformats.org/officeDocument/2006/relationships/hyperlink" Target="https://drive.google.com/drive/folders/10T2cTQHqEJZqE-st6uFKPoI?usp=share_link" TargetMode="External"/><Relationship Id="rId344" Type="http://schemas.openxmlformats.org/officeDocument/2006/relationships/hyperlink" Target="https://drive.google.com/drive/folders/10T2cTQHqEJZqE-st6uFKPoI?usp=share_link" TargetMode="External"/><Relationship Id="rId2266" Type="http://schemas.openxmlformats.org/officeDocument/2006/relationships/hyperlink" Target="https://drive.google.com/drive/folders/10T2cTQHqEJZqE-st6uFKPoI?usp=share_link" TargetMode="External"/><Relationship Id="rId3596" Type="http://schemas.openxmlformats.org/officeDocument/2006/relationships/hyperlink" Target="https://drive.google.com/drive/folders/10T2cTQHqEJZqE-st6uFKPoI?usp=share_link" TargetMode="External"/><Relationship Id="rId343" Type="http://schemas.openxmlformats.org/officeDocument/2006/relationships/hyperlink" Target="https://drive.google.com/drive/folders/10T2cTQHqEJZqE-st6uFKPoI?usp=share_link" TargetMode="External"/><Relationship Id="rId2267" Type="http://schemas.openxmlformats.org/officeDocument/2006/relationships/hyperlink" Target="https://drive.google.com/drive/folders/10T2cTQHqEJZqE-st6uFKPoI?usp=share_link" TargetMode="External"/><Relationship Id="rId3599" Type="http://schemas.openxmlformats.org/officeDocument/2006/relationships/hyperlink" Target="https://drive.google.com/drive/folders/10T2cTQHqEJZqE-st6uFKPoI?usp=share_link" TargetMode="External"/><Relationship Id="rId342" Type="http://schemas.openxmlformats.org/officeDocument/2006/relationships/hyperlink" Target="https://drive.google.com/drive/folders/10T2cTQHqEJZqE-st6uFKPoI?usp=share_link" TargetMode="External"/><Relationship Id="rId2268" Type="http://schemas.openxmlformats.org/officeDocument/2006/relationships/hyperlink" Target="https://drive.google.com/drive/folders/10T2cTQHqEJZqE-st6uFKPoI?usp=share_link" TargetMode="External"/><Relationship Id="rId3598" Type="http://schemas.openxmlformats.org/officeDocument/2006/relationships/hyperlink" Target="https://drive.google.com/drive/folders/10T2cTQHqEJZqE-st6uFKPoI?usp=share_link" TargetMode="External"/><Relationship Id="rId2258" Type="http://schemas.openxmlformats.org/officeDocument/2006/relationships/hyperlink" Target="https://drive.google.com/drive/folders/10T2cTQHqEJZqE-st6uFKPoI?usp=share_link" TargetMode="External"/><Relationship Id="rId2259" Type="http://schemas.openxmlformats.org/officeDocument/2006/relationships/hyperlink" Target="https://drive.google.com/drive/folders/10T2cTQHqEJZqE-st6uFKPoI?usp=share_link" TargetMode="External"/><Relationship Id="rId3589" Type="http://schemas.openxmlformats.org/officeDocument/2006/relationships/hyperlink" Target="https://drive.google.com/drive/folders/10T2cTQHqEJZqE-st6uFKPoI?usp=share_link" TargetMode="External"/><Relationship Id="rId338" Type="http://schemas.openxmlformats.org/officeDocument/2006/relationships/hyperlink" Target="https://drive.google.com/drive/folders/10T2cTQHqEJZqE-st6uFKPoI?usp=share_link" TargetMode="External"/><Relationship Id="rId337" Type="http://schemas.openxmlformats.org/officeDocument/2006/relationships/hyperlink" Target="https://drive.google.com/drive/folders/10T2cTQHqEJZqE-st6uFKPoI?usp=share_link" TargetMode="External"/><Relationship Id="rId336" Type="http://schemas.openxmlformats.org/officeDocument/2006/relationships/hyperlink" Target="https://drive.google.com/drive/folders/10T2cTQHqEJZqE-st6uFKPoI?usp=share_link" TargetMode="External"/><Relationship Id="rId335" Type="http://schemas.openxmlformats.org/officeDocument/2006/relationships/hyperlink" Target="https://drive.google.com/drive/folders/10T2cTQHqEJZqE-st6uFKPoI?usp=share_link" TargetMode="External"/><Relationship Id="rId3580" Type="http://schemas.openxmlformats.org/officeDocument/2006/relationships/hyperlink" Target="https://drive.google.com/drive/folders/10T2cTQHqEJZqE-st6uFKPoI?usp=share_link" TargetMode="External"/><Relationship Id="rId339" Type="http://schemas.openxmlformats.org/officeDocument/2006/relationships/hyperlink" Target="https://drive.google.com/drive/folders/10T2cTQHqEJZqE-st6uFKPoI?usp=share_link" TargetMode="External"/><Relationship Id="rId330" Type="http://schemas.openxmlformats.org/officeDocument/2006/relationships/hyperlink" Target="https://drive.google.com/drive/folders/10T2cTQHqEJZqE-st6uFKPoI?usp=share_link" TargetMode="External"/><Relationship Id="rId2250" Type="http://schemas.openxmlformats.org/officeDocument/2006/relationships/hyperlink" Target="https://drive.google.com/drive/folders/10T2cTQHqEJZqE-st6uFKPoI?usp=share_link" TargetMode="External"/><Relationship Id="rId3582" Type="http://schemas.openxmlformats.org/officeDocument/2006/relationships/hyperlink" Target="https://drive.google.com/drive/folders/10T2cTQHqEJZqE-st6uFKPoI?usp=share_link" TargetMode="External"/><Relationship Id="rId2251" Type="http://schemas.openxmlformats.org/officeDocument/2006/relationships/hyperlink" Target="https://drive.google.com/drive/folders/10T2cTQHqEJZqE-st6uFKPoI?usp=share_link" TargetMode="External"/><Relationship Id="rId3581" Type="http://schemas.openxmlformats.org/officeDocument/2006/relationships/hyperlink" Target="https://drive.google.com/drive/folders/10T2cTQHqEJZqE-st6uFKPoI?usp=share_link" TargetMode="External"/><Relationship Id="rId2252" Type="http://schemas.openxmlformats.org/officeDocument/2006/relationships/hyperlink" Target="https://drive.google.com/drive/folders/10T2cTQHqEJZqE-st6uFKPoI?usp=share_link" TargetMode="External"/><Relationship Id="rId3584" Type="http://schemas.openxmlformats.org/officeDocument/2006/relationships/hyperlink" Target="https://drive.google.com/drive/folders/10T2cTQHqEJZqE-st6uFKPoI?usp=share_link" TargetMode="External"/><Relationship Id="rId2253" Type="http://schemas.openxmlformats.org/officeDocument/2006/relationships/hyperlink" Target="https://drive.google.com/drive/folders/10T2cTQHqEJZqE-st6uFKPoI?usp=share_link" TargetMode="External"/><Relationship Id="rId3583" Type="http://schemas.openxmlformats.org/officeDocument/2006/relationships/hyperlink" Target="https://drive.google.com/drive/folders/10T2cTQHqEJZqE-st6uFKPoI?usp=share_link" TargetMode="External"/><Relationship Id="rId334" Type="http://schemas.openxmlformats.org/officeDocument/2006/relationships/hyperlink" Target="https://drive.google.com/drive/folders/10T2cTQHqEJZqE-st6uFKPoI?usp=share_link" TargetMode="External"/><Relationship Id="rId2254" Type="http://schemas.openxmlformats.org/officeDocument/2006/relationships/hyperlink" Target="https://drive.google.com/drive/folders/10T2cTQHqEJZqE-st6uFKPoI?usp=share_link" TargetMode="External"/><Relationship Id="rId3586" Type="http://schemas.openxmlformats.org/officeDocument/2006/relationships/hyperlink" Target="https://drive.google.com/drive/folders/10T2cTQHqEJZqE-st6uFKPoI?usp=share_link" TargetMode="External"/><Relationship Id="rId333" Type="http://schemas.openxmlformats.org/officeDocument/2006/relationships/hyperlink" Target="https://drive.google.com/drive/folders/10T2cTQHqEJZqE-st6uFKPoI?usp=share_link" TargetMode="External"/><Relationship Id="rId2255" Type="http://schemas.openxmlformats.org/officeDocument/2006/relationships/hyperlink" Target="https://drive.google.com/drive/folders/10T2cTQHqEJZqE-st6uFKPoI?usp=share_link" TargetMode="External"/><Relationship Id="rId3585" Type="http://schemas.openxmlformats.org/officeDocument/2006/relationships/hyperlink" Target="https://drive.google.com/drive/folders/10T2cTQHqEJZqE-st6uFKPoI?usp=share_link" TargetMode="External"/><Relationship Id="rId332" Type="http://schemas.openxmlformats.org/officeDocument/2006/relationships/hyperlink" Target="https://drive.google.com/drive/folders/10T2cTQHqEJZqE-st6uFKPoI?usp=share_link" TargetMode="External"/><Relationship Id="rId2256" Type="http://schemas.openxmlformats.org/officeDocument/2006/relationships/hyperlink" Target="https://drive.google.com/drive/folders/10T2cTQHqEJZqE-st6uFKPoI?usp=share_link" TargetMode="External"/><Relationship Id="rId3588" Type="http://schemas.openxmlformats.org/officeDocument/2006/relationships/hyperlink" Target="https://drive.google.com/drive/folders/10T2cTQHqEJZqE-st6uFKPoI?usp=share_link" TargetMode="External"/><Relationship Id="rId331" Type="http://schemas.openxmlformats.org/officeDocument/2006/relationships/hyperlink" Target="https://drive.google.com/drive/folders/10T2cTQHqEJZqE-st6uFKPoI?usp=share_link" TargetMode="External"/><Relationship Id="rId2257" Type="http://schemas.openxmlformats.org/officeDocument/2006/relationships/hyperlink" Target="https://drive.google.com/drive/folders/10T2cTQHqEJZqE-st6uFKPoI?usp=share_link" TargetMode="External"/><Relationship Id="rId3587" Type="http://schemas.openxmlformats.org/officeDocument/2006/relationships/hyperlink" Target="https://drive.google.com/drive/folders/10T2cTQHqEJZqE-st6uFKPoI?usp=share_link" TargetMode="External"/><Relationship Id="rId5318" Type="http://schemas.openxmlformats.org/officeDocument/2006/relationships/hyperlink" Target="https://drive.google.com/drive/folders/10T2cTQHqEJZqE-st6uFKPoI?usp=share_link" TargetMode="External"/><Relationship Id="rId5319" Type="http://schemas.openxmlformats.org/officeDocument/2006/relationships/hyperlink" Target="https://drive.google.com/drive/folders/10T2cTQHqEJZqE-st6uFKPoI?usp=share_link" TargetMode="External"/><Relationship Id="rId5316" Type="http://schemas.openxmlformats.org/officeDocument/2006/relationships/hyperlink" Target="https://drive.google.com/drive/folders/10T2cTQHqEJZqE-st6uFKPoI?usp=share_link" TargetMode="External"/><Relationship Id="rId5317" Type="http://schemas.openxmlformats.org/officeDocument/2006/relationships/hyperlink" Target="https://drive.google.com/drive/folders/10T2cTQHqEJZqE-st6uFKPoI?usp=share_link" TargetMode="External"/><Relationship Id="rId370" Type="http://schemas.openxmlformats.org/officeDocument/2006/relationships/hyperlink" Target="https://drive.google.com/drive/folders/10T2cTQHqEJZqE-st6uFKPoI?usp=share_link" TargetMode="External"/><Relationship Id="rId369" Type="http://schemas.openxmlformats.org/officeDocument/2006/relationships/hyperlink" Target="https://drive.google.com/drive/folders/10T2cTQHqEJZqE-st6uFKPoI?usp=share_link" TargetMode="External"/><Relationship Id="rId368" Type="http://schemas.openxmlformats.org/officeDocument/2006/relationships/hyperlink" Target="https://drive.google.com/drive/folders/10T2cTQHqEJZqE-st6uFKPoI?usp=share_link" TargetMode="External"/><Relationship Id="rId2280" Type="http://schemas.openxmlformats.org/officeDocument/2006/relationships/hyperlink" Target="https://drive.google.com/drive/folders/10T2cTQHqEJZqE-st6uFKPoI?usp=share_link" TargetMode="External"/><Relationship Id="rId2281" Type="http://schemas.openxmlformats.org/officeDocument/2006/relationships/hyperlink" Target="https://drive.google.com/drive/folders/10T2cTQHqEJZqE-st6uFKPoI?usp=share_link" TargetMode="External"/><Relationship Id="rId2282" Type="http://schemas.openxmlformats.org/officeDocument/2006/relationships/hyperlink" Target="https://drive.google.com/drive/folders/10T2cTQHqEJZqE-st6uFKPoI?usp=share_link" TargetMode="External"/><Relationship Id="rId363" Type="http://schemas.openxmlformats.org/officeDocument/2006/relationships/hyperlink" Target="https://drive.google.com/drive/folders/10T2cTQHqEJZqE-st6uFKPoI?usp=share_link" TargetMode="External"/><Relationship Id="rId2283" Type="http://schemas.openxmlformats.org/officeDocument/2006/relationships/hyperlink" Target="https://drive.google.com/drive/folders/10T2cTQHqEJZqE-st6uFKPoI?usp=share_link" TargetMode="External"/><Relationship Id="rId5310" Type="http://schemas.openxmlformats.org/officeDocument/2006/relationships/hyperlink" Target="https://drive.google.com/drive/folders/10T2cTQHqEJZqE-st6uFKPoI?usp=share_link" TargetMode="External"/><Relationship Id="rId362" Type="http://schemas.openxmlformats.org/officeDocument/2006/relationships/hyperlink" Target="https://drive.google.com/drive/folders/10T2cTQHqEJZqE-st6uFKPoI?usp=share_link" TargetMode="External"/><Relationship Id="rId2284" Type="http://schemas.openxmlformats.org/officeDocument/2006/relationships/hyperlink" Target="https://drive.google.com/drive/folders/10T2cTQHqEJZqE-st6uFKPoI?usp=share_link" TargetMode="External"/><Relationship Id="rId5311" Type="http://schemas.openxmlformats.org/officeDocument/2006/relationships/hyperlink" Target="https://drive.google.com/drive/folders/10T2cTQHqEJZqE-st6uFKPoI?usp=share_link" TargetMode="External"/><Relationship Id="rId361" Type="http://schemas.openxmlformats.org/officeDocument/2006/relationships/hyperlink" Target="https://drive.google.com/drive/folders/10T2cTQHqEJZqE-st6uFKPoI?usp=share_link" TargetMode="External"/><Relationship Id="rId2285" Type="http://schemas.openxmlformats.org/officeDocument/2006/relationships/hyperlink" Target="https://drive.google.com/drive/folders/10T2cTQHqEJZqE-st6uFKPoI?usp=share_link" TargetMode="External"/><Relationship Id="rId360" Type="http://schemas.openxmlformats.org/officeDocument/2006/relationships/hyperlink" Target="https://drive.google.com/drive/folders/10T2cTQHqEJZqE-st6uFKPoI?usp=share_link" TargetMode="External"/><Relationship Id="rId2286" Type="http://schemas.openxmlformats.org/officeDocument/2006/relationships/hyperlink" Target="https://drive.google.com/drive/folders/10T2cTQHqEJZqE-st6uFKPoI?usp=share_link" TargetMode="External"/><Relationship Id="rId367" Type="http://schemas.openxmlformats.org/officeDocument/2006/relationships/hyperlink" Target="https://drive.google.com/drive/folders/10T2cTQHqEJZqE-st6uFKPoI?usp=share_link" TargetMode="External"/><Relationship Id="rId2287" Type="http://schemas.openxmlformats.org/officeDocument/2006/relationships/hyperlink" Target="https://drive.google.com/drive/folders/10T2cTQHqEJZqE-st6uFKPoI?usp=share_link" TargetMode="External"/><Relationship Id="rId5314" Type="http://schemas.openxmlformats.org/officeDocument/2006/relationships/hyperlink" Target="https://drive.google.com/drive/folders/10T2cTQHqEJZqE-st6uFKPoI?usp=share_link" TargetMode="External"/><Relationship Id="rId366" Type="http://schemas.openxmlformats.org/officeDocument/2006/relationships/hyperlink" Target="https://drive.google.com/drive/folders/10T2cTQHqEJZqE-st6uFKPoI?usp=share_link" TargetMode="External"/><Relationship Id="rId2288" Type="http://schemas.openxmlformats.org/officeDocument/2006/relationships/hyperlink" Target="https://drive.google.com/drive/folders/10T2cTQHqEJZqE-st6uFKPoI?usp=share_link" TargetMode="External"/><Relationship Id="rId5315" Type="http://schemas.openxmlformats.org/officeDocument/2006/relationships/hyperlink" Target="https://drive.google.com/drive/folders/10T2cTQHqEJZqE-st6uFKPoI?usp=share_link" TargetMode="External"/><Relationship Id="rId365" Type="http://schemas.openxmlformats.org/officeDocument/2006/relationships/hyperlink" Target="https://drive.google.com/drive/folders/10T2cTQHqEJZqE-st6uFKPoI?usp=share_link" TargetMode="External"/><Relationship Id="rId2289" Type="http://schemas.openxmlformats.org/officeDocument/2006/relationships/hyperlink" Target="https://drive.google.com/drive/folders/10T2cTQHqEJZqE-st6uFKPoI?usp=share_link" TargetMode="External"/><Relationship Id="rId5312" Type="http://schemas.openxmlformats.org/officeDocument/2006/relationships/hyperlink" Target="https://drive.google.com/drive/folders/10T2cTQHqEJZqE-st6uFKPoI?usp=share_link" TargetMode="External"/><Relationship Id="rId364" Type="http://schemas.openxmlformats.org/officeDocument/2006/relationships/hyperlink" Target="https://drive.google.com/drive/folders/10T2cTQHqEJZqE-st6uFKPoI?usp=share_link" TargetMode="External"/><Relationship Id="rId5313" Type="http://schemas.openxmlformats.org/officeDocument/2006/relationships/hyperlink" Target="https://drive.google.com/drive/folders/10T2cTQHqEJZqE-st6uFKPoI?usp=share_link" TargetMode="External"/><Relationship Id="rId95" Type="http://schemas.openxmlformats.org/officeDocument/2006/relationships/hyperlink" Target="https://drive.google.com/drive/folders/10T2cTQHqEJZqE-st6uFKPoI?usp=share_link" TargetMode="External"/><Relationship Id="rId5307" Type="http://schemas.openxmlformats.org/officeDocument/2006/relationships/hyperlink" Target="https://drive.google.com/drive/folders/10T2cTQHqEJZqE-st6uFKPoI?usp=share_link" TargetMode="External"/><Relationship Id="rId94" Type="http://schemas.openxmlformats.org/officeDocument/2006/relationships/hyperlink" Target="https://drive.google.com/drive/folders/10T2cTQHqEJZqE-st6uFKPoI?usp=share_link" TargetMode="External"/><Relationship Id="rId5308" Type="http://schemas.openxmlformats.org/officeDocument/2006/relationships/hyperlink" Target="https://drive.google.com/drive/folders/10T2cTQHqEJZqE-st6uFKPoI?usp=share_link" TargetMode="External"/><Relationship Id="rId97" Type="http://schemas.openxmlformats.org/officeDocument/2006/relationships/hyperlink" Target="https://drive.google.com/drive/folders/10T2cTQHqEJZqE-st6uFKPoI?usp=share_link" TargetMode="External"/><Relationship Id="rId5305" Type="http://schemas.openxmlformats.org/officeDocument/2006/relationships/hyperlink" Target="https://drive.google.com/drive/folders/10T2cTQHqEJZqE-st6uFKPoI?usp=share_link" TargetMode="External"/><Relationship Id="rId96" Type="http://schemas.openxmlformats.org/officeDocument/2006/relationships/hyperlink" Target="https://drive.google.com/drive/folders/10T2cTQHqEJZqE-st6uFKPoI?usp=share_link" TargetMode="External"/><Relationship Id="rId5306" Type="http://schemas.openxmlformats.org/officeDocument/2006/relationships/hyperlink" Target="https://drive.google.com/drive/folders/10T2cTQHqEJZqE-st6uFKPoI?usp=share_link" TargetMode="External"/><Relationship Id="rId99" Type="http://schemas.openxmlformats.org/officeDocument/2006/relationships/hyperlink" Target="https://drive.google.com/drive/folders/10T2cTQHqEJZqE-st6uFKPoI?usp=share_link" TargetMode="External"/><Relationship Id="rId98" Type="http://schemas.openxmlformats.org/officeDocument/2006/relationships/hyperlink" Target="https://drive.google.com/drive/folders/10T2cTQHqEJZqE-st6uFKPoI?usp=share_link" TargetMode="External"/><Relationship Id="rId5309" Type="http://schemas.openxmlformats.org/officeDocument/2006/relationships/hyperlink" Target="https://drive.google.com/drive/folders/10T2cTQHqEJZqE-st6uFKPoI?usp=share_link" TargetMode="External"/><Relationship Id="rId91" Type="http://schemas.openxmlformats.org/officeDocument/2006/relationships/hyperlink" Target="https://drive.google.com/drive/folders/10T2cTQHqEJZqE-st6uFKPoI?usp=share_link" TargetMode="External"/><Relationship Id="rId90" Type="http://schemas.openxmlformats.org/officeDocument/2006/relationships/hyperlink" Target="https://drive.google.com/drive/folders/10T2cTQHqEJZqE-st6uFKPoI?usp=share_link" TargetMode="External"/><Relationship Id="rId93" Type="http://schemas.openxmlformats.org/officeDocument/2006/relationships/hyperlink" Target="https://drive.google.com/drive/folders/10T2cTQHqEJZqE-st6uFKPoI?usp=share_link" TargetMode="External"/><Relationship Id="rId92" Type="http://schemas.openxmlformats.org/officeDocument/2006/relationships/hyperlink" Target="https://drive.google.com/drive/folders/10T2cTQHqEJZqE-st6uFKPoI?usp=share_link" TargetMode="External"/><Relationship Id="rId359" Type="http://schemas.openxmlformats.org/officeDocument/2006/relationships/hyperlink" Target="https://drive.google.com/drive/folders/10T2cTQHqEJZqE-st6uFKPoI?usp=share_link" TargetMode="External"/><Relationship Id="rId358" Type="http://schemas.openxmlformats.org/officeDocument/2006/relationships/hyperlink" Target="https://drive.google.com/drive/folders/10T2cTQHqEJZqE-st6uFKPoI?usp=share_link" TargetMode="External"/><Relationship Id="rId357" Type="http://schemas.openxmlformats.org/officeDocument/2006/relationships/hyperlink" Target="https://drive.google.com/drive/folders/10T2cTQHqEJZqE-st6uFKPoI?usp=share_link" TargetMode="External"/><Relationship Id="rId2270" Type="http://schemas.openxmlformats.org/officeDocument/2006/relationships/hyperlink" Target="https://drive.google.com/drive/folders/10T2cTQHqEJZqE-st6uFKPoI?usp=share_link" TargetMode="External"/><Relationship Id="rId2271" Type="http://schemas.openxmlformats.org/officeDocument/2006/relationships/hyperlink" Target="https://drive.google.com/drive/folders/10T2cTQHqEJZqE-st6uFKPoI?usp=share_link" TargetMode="External"/><Relationship Id="rId352" Type="http://schemas.openxmlformats.org/officeDocument/2006/relationships/hyperlink" Target="https://drive.google.com/drive/folders/10T2cTQHqEJZqE-st6uFKPoI?usp=share_link" TargetMode="External"/><Relationship Id="rId2272" Type="http://schemas.openxmlformats.org/officeDocument/2006/relationships/hyperlink" Target="https://drive.google.com/drive/folders/10T2cTQHqEJZqE-st6uFKPoI?usp=share_link" TargetMode="External"/><Relationship Id="rId351" Type="http://schemas.openxmlformats.org/officeDocument/2006/relationships/hyperlink" Target="https://drive.google.com/drive/folders/10T2cTQHqEJZqE-st6uFKPoI?usp=share_link" TargetMode="External"/><Relationship Id="rId2273" Type="http://schemas.openxmlformats.org/officeDocument/2006/relationships/hyperlink" Target="https://drive.google.com/drive/folders/10T2cTQHqEJZqE-st6uFKPoI?usp=share_link" TargetMode="External"/><Relationship Id="rId5300" Type="http://schemas.openxmlformats.org/officeDocument/2006/relationships/hyperlink" Target="https://drive.google.com/drive/folders/10T2cTQHqEJZqE-st6uFKPoI?usp=share_link" TargetMode="External"/><Relationship Id="rId350" Type="http://schemas.openxmlformats.org/officeDocument/2006/relationships/hyperlink" Target="https://drive.google.com/drive/folders/10T2cTQHqEJZqE-st6uFKPoI?usp=share_link" TargetMode="External"/><Relationship Id="rId2274" Type="http://schemas.openxmlformats.org/officeDocument/2006/relationships/hyperlink" Target="https://drive.google.com/drive/folders/10T2cTQHqEJZqE-st6uFKPoI?usp=share_link" TargetMode="External"/><Relationship Id="rId2275" Type="http://schemas.openxmlformats.org/officeDocument/2006/relationships/hyperlink" Target="https://drive.google.com/drive/folders/10T2cTQHqEJZqE-st6uFKPoI?usp=share_link" TargetMode="External"/><Relationship Id="rId356" Type="http://schemas.openxmlformats.org/officeDocument/2006/relationships/hyperlink" Target="https://drive.google.com/drive/folders/10T2cTQHqEJZqE-st6uFKPoI?usp=share_link" TargetMode="External"/><Relationship Id="rId2276" Type="http://schemas.openxmlformats.org/officeDocument/2006/relationships/hyperlink" Target="https://drive.google.com/drive/folders/10T2cTQHqEJZqE-st6uFKPoI?usp=share_link" TargetMode="External"/><Relationship Id="rId5303" Type="http://schemas.openxmlformats.org/officeDocument/2006/relationships/hyperlink" Target="https://drive.google.com/drive/folders/10T2cTQHqEJZqE-st6uFKPoI?usp=share_link" TargetMode="External"/><Relationship Id="rId355" Type="http://schemas.openxmlformats.org/officeDocument/2006/relationships/hyperlink" Target="https://drive.google.com/drive/folders/10T2cTQHqEJZqE-st6uFKPoI?usp=share_link" TargetMode="External"/><Relationship Id="rId2277" Type="http://schemas.openxmlformats.org/officeDocument/2006/relationships/hyperlink" Target="https://drive.google.com/drive/folders/10T2cTQHqEJZqE-st6uFKPoI?usp=share_link" TargetMode="External"/><Relationship Id="rId5304" Type="http://schemas.openxmlformats.org/officeDocument/2006/relationships/hyperlink" Target="https://drive.google.com/drive/folders/10T2cTQHqEJZqE-st6uFKPoI?usp=share_link" TargetMode="External"/><Relationship Id="rId354" Type="http://schemas.openxmlformats.org/officeDocument/2006/relationships/hyperlink" Target="https://drive.google.com/drive/folders/10T2cTQHqEJZqE-st6uFKPoI?usp=share_link" TargetMode="External"/><Relationship Id="rId2278" Type="http://schemas.openxmlformats.org/officeDocument/2006/relationships/hyperlink" Target="https://drive.google.com/drive/folders/10T2cTQHqEJZqE-st6uFKPoI?usp=share_link" TargetMode="External"/><Relationship Id="rId5301" Type="http://schemas.openxmlformats.org/officeDocument/2006/relationships/hyperlink" Target="https://drive.google.com/drive/folders/10T2cTQHqEJZqE-st6uFKPoI?usp=share_link" TargetMode="External"/><Relationship Id="rId353" Type="http://schemas.openxmlformats.org/officeDocument/2006/relationships/hyperlink" Target="https://drive.google.com/drive/folders/10T2cTQHqEJZqE-st6uFKPoI?usp=share_link" TargetMode="External"/><Relationship Id="rId2279" Type="http://schemas.openxmlformats.org/officeDocument/2006/relationships/hyperlink" Target="https://drive.google.com/drive/folders/10T2cTQHqEJZqE-st6uFKPoI?usp=share_link" TargetMode="External"/><Relationship Id="rId5302" Type="http://schemas.openxmlformats.org/officeDocument/2006/relationships/hyperlink" Target="https://drive.google.com/drive/folders/10T2cTQHqEJZqE-st6uFKPoI?usp=share_link" TargetMode="External"/><Relationship Id="rId2225" Type="http://schemas.openxmlformats.org/officeDocument/2006/relationships/hyperlink" Target="https://drive.google.com/drive/folders/10T2cTQHqEJZqE-st6uFKPoI?usp=share_link" TargetMode="External"/><Relationship Id="rId3557" Type="http://schemas.openxmlformats.org/officeDocument/2006/relationships/hyperlink" Target="https://drive.google.com/drive/folders/10T2cTQHqEJZqE-st6uFKPoI?usp=share_link" TargetMode="External"/><Relationship Id="rId4888" Type="http://schemas.openxmlformats.org/officeDocument/2006/relationships/hyperlink" Target="https://drive.google.com/drive/folders/10T2cTQHqEJZqE-st6uFKPoI?usp=share_link" TargetMode="External"/><Relationship Id="rId2226" Type="http://schemas.openxmlformats.org/officeDocument/2006/relationships/hyperlink" Target="https://drive.google.com/drive/folders/10T2cTQHqEJZqE-st6uFKPoI?usp=share_link" TargetMode="External"/><Relationship Id="rId3556" Type="http://schemas.openxmlformats.org/officeDocument/2006/relationships/hyperlink" Target="https://drive.google.com/drive/folders/10T2cTQHqEJZqE-st6uFKPoI?usp=share_link" TargetMode="External"/><Relationship Id="rId4887" Type="http://schemas.openxmlformats.org/officeDocument/2006/relationships/hyperlink" Target="https://drive.google.com/drive/folders/10T2cTQHqEJZqE-st6uFKPoI?usp=share_link" TargetMode="External"/><Relationship Id="rId2227" Type="http://schemas.openxmlformats.org/officeDocument/2006/relationships/hyperlink" Target="https://drive.google.com/drive/folders/10T2cTQHqEJZqE-st6uFKPoI?usp=share_link" TargetMode="External"/><Relationship Id="rId3559" Type="http://schemas.openxmlformats.org/officeDocument/2006/relationships/hyperlink" Target="https://drive.google.com/drive/folders/10T2cTQHqEJZqE-st6uFKPoI?usp=share_link" TargetMode="External"/><Relationship Id="rId2228" Type="http://schemas.openxmlformats.org/officeDocument/2006/relationships/hyperlink" Target="https://drive.google.com/drive/folders/10T2cTQHqEJZqE-st6uFKPoI?usp=share_link" TargetMode="External"/><Relationship Id="rId3558" Type="http://schemas.openxmlformats.org/officeDocument/2006/relationships/hyperlink" Target="https://drive.google.com/drive/folders/10T2cTQHqEJZqE-st6uFKPoI?usp=share_link" TargetMode="External"/><Relationship Id="rId4889" Type="http://schemas.openxmlformats.org/officeDocument/2006/relationships/hyperlink" Target="https://drive.google.com/drive/folders/10T2cTQHqEJZqE-st6uFKPoI?usp=share_link" TargetMode="External"/><Relationship Id="rId2229" Type="http://schemas.openxmlformats.org/officeDocument/2006/relationships/hyperlink" Target="https://drive.google.com/drive/folders/10T2cTQHqEJZqE-st6uFKPoI?usp=share_link" TargetMode="External"/><Relationship Id="rId305" Type="http://schemas.openxmlformats.org/officeDocument/2006/relationships/hyperlink" Target="https://drive.google.com/drive/folders/10T2cTQHqEJZqE-st6uFKPoI?usp=share_link" TargetMode="External"/><Relationship Id="rId304" Type="http://schemas.openxmlformats.org/officeDocument/2006/relationships/hyperlink" Target="https://drive.google.com/drive/folders/10T2cTQHqEJZqE-st6uFKPoI?usp=share_link" TargetMode="External"/><Relationship Id="rId303" Type="http://schemas.openxmlformats.org/officeDocument/2006/relationships/hyperlink" Target="https://drive.google.com/drive/folders/10T2cTQHqEJZqE-st6uFKPoI?usp=share_link" TargetMode="External"/><Relationship Id="rId302" Type="http://schemas.openxmlformats.org/officeDocument/2006/relationships/hyperlink" Target="https://drive.google.com/drive/folders/10T2cTQHqEJZqE-st6uFKPoI?usp=share_link" TargetMode="External"/><Relationship Id="rId309" Type="http://schemas.openxmlformats.org/officeDocument/2006/relationships/hyperlink" Target="https://drive.google.com/drive/folders/10T2cTQHqEJZqE-st6uFKPoI?usp=share_link" TargetMode="External"/><Relationship Id="rId308" Type="http://schemas.openxmlformats.org/officeDocument/2006/relationships/hyperlink" Target="https://drive.google.com/drive/folders/10T2cTQHqEJZqE-st6uFKPoI?usp=share_link" TargetMode="External"/><Relationship Id="rId307" Type="http://schemas.openxmlformats.org/officeDocument/2006/relationships/hyperlink" Target="https://drive.google.com/drive/folders/10T2cTQHqEJZqE-st6uFKPoI?usp=share_link" TargetMode="External"/><Relationship Id="rId306" Type="http://schemas.openxmlformats.org/officeDocument/2006/relationships/hyperlink" Target="https://drive.google.com/drive/folders/10T2cTQHqEJZqE-st6uFKPoI?usp=share_link" TargetMode="External"/><Relationship Id="rId4880" Type="http://schemas.openxmlformats.org/officeDocument/2006/relationships/hyperlink" Target="https://drive.google.com/drive/folders/10T2cTQHqEJZqE-st6uFKPoI?usp=share_link" TargetMode="External"/><Relationship Id="rId3551" Type="http://schemas.openxmlformats.org/officeDocument/2006/relationships/hyperlink" Target="https://drive.google.com/drive/folders/10T2cTQHqEJZqE-st6uFKPoI?usp=share_link" TargetMode="External"/><Relationship Id="rId4882" Type="http://schemas.openxmlformats.org/officeDocument/2006/relationships/hyperlink" Target="https://drive.google.com/drive/folders/10T2cTQHqEJZqE-st6uFKPoI?usp=share_link" TargetMode="External"/><Relationship Id="rId2220" Type="http://schemas.openxmlformats.org/officeDocument/2006/relationships/hyperlink" Target="https://drive.google.com/drive/folders/10T2cTQHqEJZqE-st6uFKPoI?usp=share_link" TargetMode="External"/><Relationship Id="rId3550" Type="http://schemas.openxmlformats.org/officeDocument/2006/relationships/hyperlink" Target="https://drive.google.com/drive/folders/10T2cTQHqEJZqE-st6uFKPoI?usp=share_link" TargetMode="External"/><Relationship Id="rId4881" Type="http://schemas.openxmlformats.org/officeDocument/2006/relationships/hyperlink" Target="https://drive.google.com/drive/folders/10T2cTQHqEJZqE-st6uFKPoI?usp=share_link" TargetMode="External"/><Relationship Id="rId301" Type="http://schemas.openxmlformats.org/officeDocument/2006/relationships/hyperlink" Target="https://drive.google.com/drive/folders/10T2cTQHqEJZqE-st6uFKPoI?usp=share_link" TargetMode="External"/><Relationship Id="rId2221" Type="http://schemas.openxmlformats.org/officeDocument/2006/relationships/hyperlink" Target="https://drive.google.com/drive/folders/10T2cTQHqEJZqE-st6uFKPoI?usp=share_link" TargetMode="External"/><Relationship Id="rId3553" Type="http://schemas.openxmlformats.org/officeDocument/2006/relationships/hyperlink" Target="https://drive.google.com/drive/folders/10T2cTQHqEJZqE-st6uFKPoI?usp=share_link" TargetMode="External"/><Relationship Id="rId4884" Type="http://schemas.openxmlformats.org/officeDocument/2006/relationships/hyperlink" Target="https://drive.google.com/drive/folders/10T2cTQHqEJZqE-st6uFKPoI?usp=share_link" TargetMode="External"/><Relationship Id="rId300" Type="http://schemas.openxmlformats.org/officeDocument/2006/relationships/hyperlink" Target="https://drive.google.com/drive/folders/10T2cTQHqEJZqE-st6uFKPoI?usp=share_link" TargetMode="External"/><Relationship Id="rId2222" Type="http://schemas.openxmlformats.org/officeDocument/2006/relationships/hyperlink" Target="https://drive.google.com/drive/folders/10T2cTQHqEJZqE-st6uFKPoI?usp=share_link" TargetMode="External"/><Relationship Id="rId3552" Type="http://schemas.openxmlformats.org/officeDocument/2006/relationships/hyperlink" Target="https://drive.google.com/drive/folders/10T2cTQHqEJZqE-st6uFKPoI?usp=share_link" TargetMode="External"/><Relationship Id="rId4883" Type="http://schemas.openxmlformats.org/officeDocument/2006/relationships/hyperlink" Target="https://drive.google.com/drive/folders/10T2cTQHqEJZqE-st6uFKPoI?usp=share_link" TargetMode="External"/><Relationship Id="rId2223" Type="http://schemas.openxmlformats.org/officeDocument/2006/relationships/hyperlink" Target="https://drive.google.com/drive/folders/10T2cTQHqEJZqE-st6uFKPoI?usp=share_link" TargetMode="External"/><Relationship Id="rId3555" Type="http://schemas.openxmlformats.org/officeDocument/2006/relationships/hyperlink" Target="https://drive.google.com/drive/folders/10T2cTQHqEJZqE-st6uFKPoI?usp=share_link" TargetMode="External"/><Relationship Id="rId4886" Type="http://schemas.openxmlformats.org/officeDocument/2006/relationships/hyperlink" Target="https://drive.google.com/drive/folders/10T2cTQHqEJZqE-st6uFKPoI?usp=share_link" TargetMode="External"/><Relationship Id="rId2224" Type="http://schemas.openxmlformats.org/officeDocument/2006/relationships/hyperlink" Target="https://drive.google.com/drive/folders/10T2cTQHqEJZqE-st6uFKPoI?usp=share_link" TargetMode="External"/><Relationship Id="rId3554" Type="http://schemas.openxmlformats.org/officeDocument/2006/relationships/hyperlink" Target="https://drive.google.com/drive/folders/10T2cTQHqEJZqE-st6uFKPoI?usp=share_link" TargetMode="External"/><Relationship Id="rId4885" Type="http://schemas.openxmlformats.org/officeDocument/2006/relationships/hyperlink" Target="https://drive.google.com/drive/folders/10T2cTQHqEJZqE-st6uFKPoI?usp=share_link" TargetMode="External"/><Relationship Id="rId2214" Type="http://schemas.openxmlformats.org/officeDocument/2006/relationships/hyperlink" Target="https://drive.google.com/drive/folders/10T2cTQHqEJZqE-st6uFKPoI?usp=share_link" TargetMode="External"/><Relationship Id="rId3546" Type="http://schemas.openxmlformats.org/officeDocument/2006/relationships/hyperlink" Target="https://drive.google.com/drive/folders/10T2cTQHqEJZqE-st6uFKPoI?usp=share_link" TargetMode="External"/><Relationship Id="rId4877" Type="http://schemas.openxmlformats.org/officeDocument/2006/relationships/hyperlink" Target="https://drive.google.com/drive/folders/10T2cTQHqEJZqE-st6uFKPoI?usp=share_link" TargetMode="External"/><Relationship Id="rId2215" Type="http://schemas.openxmlformats.org/officeDocument/2006/relationships/hyperlink" Target="https://drive.google.com/drive/folders/10T2cTQHqEJZqE-st6uFKPoI?usp=share_link" TargetMode="External"/><Relationship Id="rId3545" Type="http://schemas.openxmlformats.org/officeDocument/2006/relationships/hyperlink" Target="https://drive.google.com/drive/folders/10T2cTQHqEJZqE-st6uFKPoI?usp=share_link" TargetMode="External"/><Relationship Id="rId4876" Type="http://schemas.openxmlformats.org/officeDocument/2006/relationships/hyperlink" Target="https://drive.google.com/drive/folders/10T2cTQHqEJZqE-st6uFKPoI?usp=share_link" TargetMode="External"/><Relationship Id="rId2216" Type="http://schemas.openxmlformats.org/officeDocument/2006/relationships/hyperlink" Target="https://drive.google.com/drive/folders/10T2cTQHqEJZqE-st6uFKPoI?usp=share_link" TargetMode="External"/><Relationship Id="rId3548" Type="http://schemas.openxmlformats.org/officeDocument/2006/relationships/hyperlink" Target="https://drive.google.com/drive/folders/10T2cTQHqEJZqE-st6uFKPoI?usp=share_link" TargetMode="External"/><Relationship Id="rId4879" Type="http://schemas.openxmlformats.org/officeDocument/2006/relationships/hyperlink" Target="https://drive.google.com/drive/folders/10T2cTQHqEJZqE-st6uFKPoI?usp=share_link" TargetMode="External"/><Relationship Id="rId2217" Type="http://schemas.openxmlformats.org/officeDocument/2006/relationships/hyperlink" Target="https://drive.google.com/drive/folders/10T2cTQHqEJZqE-st6uFKPoI?usp=share_link" TargetMode="External"/><Relationship Id="rId3547" Type="http://schemas.openxmlformats.org/officeDocument/2006/relationships/hyperlink" Target="https://drive.google.com/drive/folders/10T2cTQHqEJZqE-st6uFKPoI?usp=share_link" TargetMode="External"/><Relationship Id="rId4878" Type="http://schemas.openxmlformats.org/officeDocument/2006/relationships/hyperlink" Target="https://drive.google.com/drive/folders/10T2cTQHqEJZqE-st6uFKPoI?usp=share_link" TargetMode="External"/><Relationship Id="rId2218" Type="http://schemas.openxmlformats.org/officeDocument/2006/relationships/hyperlink" Target="https://drive.google.com/drive/folders/10T2cTQHqEJZqE-st6uFKPoI?usp=share_link" TargetMode="External"/><Relationship Id="rId2219" Type="http://schemas.openxmlformats.org/officeDocument/2006/relationships/hyperlink" Target="https://drive.google.com/drive/folders/10T2cTQHqEJZqE-st6uFKPoI?usp=share_link" TargetMode="External"/><Relationship Id="rId3549" Type="http://schemas.openxmlformats.org/officeDocument/2006/relationships/hyperlink" Target="https://drive.google.com/drive/folders/10T2cTQHqEJZqE-st6uFKPoI?usp=share_link" TargetMode="External"/><Relationship Id="rId3540" Type="http://schemas.openxmlformats.org/officeDocument/2006/relationships/hyperlink" Target="https://drive.google.com/drive/folders/10T2cTQHqEJZqE-st6uFKPoI?usp=share_link" TargetMode="External"/><Relationship Id="rId4871" Type="http://schemas.openxmlformats.org/officeDocument/2006/relationships/hyperlink" Target="https://drive.google.com/drive/folders/10T2cTQHqEJZqE-st6uFKPoI?usp=share_link" TargetMode="External"/><Relationship Id="rId4870" Type="http://schemas.openxmlformats.org/officeDocument/2006/relationships/hyperlink" Target="https://drive.google.com/drive/folders/10T2cTQHqEJZqE-st6uFKPoI?usp=share_link" TargetMode="External"/><Relationship Id="rId2210" Type="http://schemas.openxmlformats.org/officeDocument/2006/relationships/hyperlink" Target="https://drive.google.com/drive/folders/10T2cTQHqEJZqE-st6uFKPoI?usp=share_link" TargetMode="External"/><Relationship Id="rId3542" Type="http://schemas.openxmlformats.org/officeDocument/2006/relationships/hyperlink" Target="https://drive.google.com/drive/folders/10T2cTQHqEJZqE-st6uFKPoI?usp=share_link" TargetMode="External"/><Relationship Id="rId4873" Type="http://schemas.openxmlformats.org/officeDocument/2006/relationships/hyperlink" Target="https://drive.google.com/drive/folders/10T2cTQHqEJZqE-st6uFKPoI?usp=share_link" TargetMode="External"/><Relationship Id="rId2211" Type="http://schemas.openxmlformats.org/officeDocument/2006/relationships/hyperlink" Target="https://drive.google.com/drive/folders/10T2cTQHqEJZqE-st6uFKPoI?usp=share_link" TargetMode="External"/><Relationship Id="rId3541" Type="http://schemas.openxmlformats.org/officeDocument/2006/relationships/hyperlink" Target="https://drive.google.com/drive/folders/10T2cTQHqEJZqE-st6uFKPoI?usp=share_link" TargetMode="External"/><Relationship Id="rId4872" Type="http://schemas.openxmlformats.org/officeDocument/2006/relationships/hyperlink" Target="https://drive.google.com/drive/folders/10T2cTQHqEJZqE-st6uFKPoI?usp=share_link" TargetMode="External"/><Relationship Id="rId2212" Type="http://schemas.openxmlformats.org/officeDocument/2006/relationships/hyperlink" Target="https://drive.google.com/drive/folders/10T2cTQHqEJZqE-st6uFKPoI?usp=share_link" TargetMode="External"/><Relationship Id="rId3544" Type="http://schemas.openxmlformats.org/officeDocument/2006/relationships/hyperlink" Target="https://drive.google.com/drive/folders/10T2cTQHqEJZqE-st6uFKPoI?usp=share_link" TargetMode="External"/><Relationship Id="rId4875" Type="http://schemas.openxmlformats.org/officeDocument/2006/relationships/hyperlink" Target="https://drive.google.com/drive/folders/10T2cTQHqEJZqE-st6uFKPoI?usp=share_link" TargetMode="External"/><Relationship Id="rId2213" Type="http://schemas.openxmlformats.org/officeDocument/2006/relationships/hyperlink" Target="https://drive.google.com/drive/folders/10T2cTQHqEJZqE-st6uFKPoI?usp=share_link" TargetMode="External"/><Relationship Id="rId3543" Type="http://schemas.openxmlformats.org/officeDocument/2006/relationships/hyperlink" Target="https://drive.google.com/drive/folders/10T2cTQHqEJZqE-st6uFKPoI?usp=share_link" TargetMode="External"/><Relationship Id="rId4874" Type="http://schemas.openxmlformats.org/officeDocument/2006/relationships/hyperlink" Target="https://drive.google.com/drive/folders/10T2cTQHqEJZqE-st6uFKPoI?usp=share_link" TargetMode="External"/><Relationship Id="rId2247" Type="http://schemas.openxmlformats.org/officeDocument/2006/relationships/hyperlink" Target="https://drive.google.com/drive/folders/10T2cTQHqEJZqE-st6uFKPoI?usp=share_link" TargetMode="External"/><Relationship Id="rId3579" Type="http://schemas.openxmlformats.org/officeDocument/2006/relationships/hyperlink" Target="https://drive.google.com/drive/folders/10T2cTQHqEJZqE-st6uFKPoI?usp=share_link" TargetMode="External"/><Relationship Id="rId2248" Type="http://schemas.openxmlformats.org/officeDocument/2006/relationships/hyperlink" Target="https://drive.google.com/drive/folders/10T2cTQHqEJZqE-st6uFKPoI?usp=share_link" TargetMode="External"/><Relationship Id="rId3578" Type="http://schemas.openxmlformats.org/officeDocument/2006/relationships/hyperlink" Target="https://drive.google.com/drive/folders/10T2cTQHqEJZqE-st6uFKPoI?usp=share_link" TargetMode="External"/><Relationship Id="rId2249" Type="http://schemas.openxmlformats.org/officeDocument/2006/relationships/hyperlink" Target="https://drive.google.com/drive/folders/10T2cTQHqEJZqE-st6uFKPoI?usp=share_link" TargetMode="External"/><Relationship Id="rId327" Type="http://schemas.openxmlformats.org/officeDocument/2006/relationships/hyperlink" Target="https://drive.google.com/drive/folders/10T2cTQHqEJZqE-st6uFKPoI?usp=share_link" TargetMode="External"/><Relationship Id="rId326" Type="http://schemas.openxmlformats.org/officeDocument/2006/relationships/hyperlink" Target="https://drive.google.com/drive/folders/10T2cTQHqEJZqE-st6uFKPoI?usp=share_link" TargetMode="External"/><Relationship Id="rId325" Type="http://schemas.openxmlformats.org/officeDocument/2006/relationships/hyperlink" Target="https://drive.google.com/drive/folders/10T2cTQHqEJZqE-st6uFKPoI?usp=share_link" TargetMode="External"/><Relationship Id="rId324" Type="http://schemas.openxmlformats.org/officeDocument/2006/relationships/hyperlink" Target="https://drive.google.com/drive/folders/10T2cTQHqEJZqE-st6uFKPoI?usp=share_link" TargetMode="External"/><Relationship Id="rId329" Type="http://schemas.openxmlformats.org/officeDocument/2006/relationships/hyperlink" Target="https://drive.google.com/drive/folders/10T2cTQHqEJZqE-st6uFKPoI?usp=share_link" TargetMode="External"/><Relationship Id="rId328" Type="http://schemas.openxmlformats.org/officeDocument/2006/relationships/hyperlink" Target="https://drive.google.com/drive/folders/10T2cTQHqEJZqE-st6uFKPoI?usp=share_link" TargetMode="External"/><Relationship Id="rId3571" Type="http://schemas.openxmlformats.org/officeDocument/2006/relationships/hyperlink" Target="https://drive.google.com/drive/folders/10T2cTQHqEJZqE-st6uFKPoI?usp=share_link" TargetMode="External"/><Relationship Id="rId2240" Type="http://schemas.openxmlformats.org/officeDocument/2006/relationships/hyperlink" Target="https://drive.google.com/drive/folders/10T2cTQHqEJZqE-st6uFKPoI?usp=share_link" TargetMode="External"/><Relationship Id="rId3570" Type="http://schemas.openxmlformats.org/officeDocument/2006/relationships/hyperlink" Target="https://drive.google.com/drive/folders/10T2cTQHqEJZqE-st6uFKPoI?usp=share_link" TargetMode="External"/><Relationship Id="rId2241" Type="http://schemas.openxmlformats.org/officeDocument/2006/relationships/hyperlink" Target="https://drive.google.com/drive/folders/10T2cTQHqEJZqE-st6uFKPoI?usp=share_link" TargetMode="External"/><Relationship Id="rId3573" Type="http://schemas.openxmlformats.org/officeDocument/2006/relationships/hyperlink" Target="https://drive.google.com/drive/folders/10T2cTQHqEJZqE-st6uFKPoI?usp=share_link" TargetMode="External"/><Relationship Id="rId2242" Type="http://schemas.openxmlformats.org/officeDocument/2006/relationships/hyperlink" Target="https://drive.google.com/drive/folders/10T2cTQHqEJZqE-st6uFKPoI?usp=share_link" TargetMode="External"/><Relationship Id="rId3572" Type="http://schemas.openxmlformats.org/officeDocument/2006/relationships/hyperlink" Target="https://drive.google.com/drive/folders/10T2cTQHqEJZqE-st6uFKPoI?usp=share_link" TargetMode="External"/><Relationship Id="rId323" Type="http://schemas.openxmlformats.org/officeDocument/2006/relationships/hyperlink" Target="https://drive.google.com/drive/folders/10T2cTQHqEJZqE-st6uFKPoI?usp=share_link" TargetMode="External"/><Relationship Id="rId2243" Type="http://schemas.openxmlformats.org/officeDocument/2006/relationships/hyperlink" Target="https://drive.google.com/drive/folders/10T2cTQHqEJZqE-st6uFKPoI?usp=share_link" TargetMode="External"/><Relationship Id="rId3575" Type="http://schemas.openxmlformats.org/officeDocument/2006/relationships/hyperlink" Target="https://drive.google.com/drive/folders/10T2cTQHqEJZqE-st6uFKPoI?usp=share_link" TargetMode="External"/><Relationship Id="rId322" Type="http://schemas.openxmlformats.org/officeDocument/2006/relationships/hyperlink" Target="https://drive.google.com/drive/folders/10T2cTQHqEJZqE-st6uFKPoI?usp=share_link" TargetMode="External"/><Relationship Id="rId2244" Type="http://schemas.openxmlformats.org/officeDocument/2006/relationships/hyperlink" Target="https://drive.google.com/drive/folders/10T2cTQHqEJZqE-st6uFKPoI?usp=share_link" TargetMode="External"/><Relationship Id="rId3574" Type="http://schemas.openxmlformats.org/officeDocument/2006/relationships/hyperlink" Target="https://drive.google.com/drive/folders/10T2cTQHqEJZqE-st6uFKPoI?usp=share_link" TargetMode="External"/><Relationship Id="rId321" Type="http://schemas.openxmlformats.org/officeDocument/2006/relationships/hyperlink" Target="https://drive.google.com/drive/folders/10T2cTQHqEJZqE-st6uFKPoI?usp=share_link" TargetMode="External"/><Relationship Id="rId2245" Type="http://schemas.openxmlformats.org/officeDocument/2006/relationships/hyperlink" Target="https://drive.google.com/drive/folders/10T2cTQHqEJZqE-st6uFKPoI?usp=share_link" TargetMode="External"/><Relationship Id="rId3577" Type="http://schemas.openxmlformats.org/officeDocument/2006/relationships/hyperlink" Target="https://drive.google.com/drive/folders/10T2cTQHqEJZqE-st6uFKPoI?usp=share_link" TargetMode="External"/><Relationship Id="rId320" Type="http://schemas.openxmlformats.org/officeDocument/2006/relationships/hyperlink" Target="https://drive.google.com/drive/folders/10T2cTQHqEJZqE-st6uFKPoI?usp=share_link" TargetMode="External"/><Relationship Id="rId2246" Type="http://schemas.openxmlformats.org/officeDocument/2006/relationships/hyperlink" Target="https://drive.google.com/drive/folders/10T2cTQHqEJZqE-st6uFKPoI?usp=share_link" TargetMode="External"/><Relationship Id="rId3576" Type="http://schemas.openxmlformats.org/officeDocument/2006/relationships/hyperlink" Target="https://drive.google.com/drive/folders/10T2cTQHqEJZqE-st6uFKPoI?usp=share_link" TargetMode="External"/><Relationship Id="rId2236" Type="http://schemas.openxmlformats.org/officeDocument/2006/relationships/hyperlink" Target="https://drive.google.com/drive/folders/10T2cTQHqEJZqE-st6uFKPoI?usp=share_link" TargetMode="External"/><Relationship Id="rId3568" Type="http://schemas.openxmlformats.org/officeDocument/2006/relationships/hyperlink" Target="https://drive.google.com/drive/folders/10T2cTQHqEJZqE-st6uFKPoI?usp=share_link" TargetMode="External"/><Relationship Id="rId4899" Type="http://schemas.openxmlformats.org/officeDocument/2006/relationships/hyperlink" Target="https://drive.google.com/drive/folders/10T2cTQHqEJZqE-st6uFKPoI?usp=share_link" TargetMode="External"/><Relationship Id="rId2237" Type="http://schemas.openxmlformats.org/officeDocument/2006/relationships/hyperlink" Target="https://drive.google.com/drive/folders/10T2cTQHqEJZqE-st6uFKPoI?usp=share_link" TargetMode="External"/><Relationship Id="rId3567" Type="http://schemas.openxmlformats.org/officeDocument/2006/relationships/hyperlink" Target="https://drive.google.com/drive/folders/10T2cTQHqEJZqE-st6uFKPoI?usp=share_link" TargetMode="External"/><Relationship Id="rId4898" Type="http://schemas.openxmlformats.org/officeDocument/2006/relationships/hyperlink" Target="https://drive.google.com/drive/folders/10T2cTQHqEJZqE-st6uFKPoI?usp=share_link" TargetMode="External"/><Relationship Id="rId2238" Type="http://schemas.openxmlformats.org/officeDocument/2006/relationships/hyperlink" Target="https://drive.google.com/drive/folders/10T2cTQHqEJZqE-st6uFKPoI?usp=share_link" TargetMode="External"/><Relationship Id="rId2239" Type="http://schemas.openxmlformats.org/officeDocument/2006/relationships/hyperlink" Target="https://drive.google.com/drive/folders/10T2cTQHqEJZqE-st6uFKPoI?usp=share_link" TargetMode="External"/><Relationship Id="rId3569" Type="http://schemas.openxmlformats.org/officeDocument/2006/relationships/hyperlink" Target="https://drive.google.com/drive/folders/10T2cTQHqEJZqE-st6uFKPoI?usp=share_link" TargetMode="External"/><Relationship Id="rId316" Type="http://schemas.openxmlformats.org/officeDocument/2006/relationships/hyperlink" Target="https://drive.google.com/drive/folders/10T2cTQHqEJZqE-st6uFKPoI?usp=share_link" TargetMode="External"/><Relationship Id="rId315" Type="http://schemas.openxmlformats.org/officeDocument/2006/relationships/hyperlink" Target="https://drive.google.com/drive/folders/10T2cTQHqEJZqE-st6uFKPoI?usp=share_link" TargetMode="External"/><Relationship Id="rId314" Type="http://schemas.openxmlformats.org/officeDocument/2006/relationships/hyperlink" Target="https://drive.google.com/drive/folders/10T2cTQHqEJZqE-st6uFKPoI?usp=share_link" TargetMode="External"/><Relationship Id="rId313" Type="http://schemas.openxmlformats.org/officeDocument/2006/relationships/hyperlink" Target="https://drive.google.com/drive/folders/10T2cTQHqEJZqE-st6uFKPoI?usp=share_link" TargetMode="External"/><Relationship Id="rId319" Type="http://schemas.openxmlformats.org/officeDocument/2006/relationships/hyperlink" Target="https://drive.google.com/drive/folders/10T2cTQHqEJZqE-st6uFKPoI?usp=share_link" TargetMode="External"/><Relationship Id="rId318" Type="http://schemas.openxmlformats.org/officeDocument/2006/relationships/hyperlink" Target="https://drive.google.com/drive/folders/10T2cTQHqEJZqE-st6uFKPoI?usp=share_link" TargetMode="External"/><Relationship Id="rId317" Type="http://schemas.openxmlformats.org/officeDocument/2006/relationships/hyperlink" Target="https://drive.google.com/drive/folders/10T2cTQHqEJZqE-st6uFKPoI?usp=share_link" TargetMode="External"/><Relationship Id="rId3560" Type="http://schemas.openxmlformats.org/officeDocument/2006/relationships/hyperlink" Target="https://drive.google.com/drive/folders/10T2cTQHqEJZqE-st6uFKPoI?usp=share_link" TargetMode="External"/><Relationship Id="rId4891" Type="http://schemas.openxmlformats.org/officeDocument/2006/relationships/hyperlink" Target="https://drive.google.com/drive/folders/10T2cTQHqEJZqE-st6uFKPoI?usp=share_link" TargetMode="External"/><Relationship Id="rId4890" Type="http://schemas.openxmlformats.org/officeDocument/2006/relationships/hyperlink" Target="https://drive.google.com/drive/folders/10T2cTQHqEJZqE-st6uFKPoI?usp=share_link" TargetMode="External"/><Relationship Id="rId2230" Type="http://schemas.openxmlformats.org/officeDocument/2006/relationships/hyperlink" Target="https://drive.google.com/drive/folders/10T2cTQHqEJZqE-st6uFKPoI?usp=share_link" TargetMode="External"/><Relationship Id="rId3562" Type="http://schemas.openxmlformats.org/officeDocument/2006/relationships/hyperlink" Target="https://drive.google.com/drive/folders/10T2cTQHqEJZqE-st6uFKPoI?usp=share_link" TargetMode="External"/><Relationship Id="rId4893" Type="http://schemas.openxmlformats.org/officeDocument/2006/relationships/hyperlink" Target="https://drive.google.com/drive/folders/10T2cTQHqEJZqE-st6uFKPoI?usp=share_link" TargetMode="External"/><Relationship Id="rId2231" Type="http://schemas.openxmlformats.org/officeDocument/2006/relationships/hyperlink" Target="https://drive.google.com/drive/folders/10T2cTQHqEJZqE-st6uFKPoI?usp=share_link" TargetMode="External"/><Relationship Id="rId3561" Type="http://schemas.openxmlformats.org/officeDocument/2006/relationships/hyperlink" Target="https://drive.google.com/drive/folders/10T2cTQHqEJZqE-st6uFKPoI?usp=share_link" TargetMode="External"/><Relationship Id="rId4892" Type="http://schemas.openxmlformats.org/officeDocument/2006/relationships/hyperlink" Target="https://drive.google.com/drive/folders/10T2cTQHqEJZqE-st6uFKPoI?usp=share_link" TargetMode="External"/><Relationship Id="rId312" Type="http://schemas.openxmlformats.org/officeDocument/2006/relationships/hyperlink" Target="https://drive.google.com/drive/folders/10T2cTQHqEJZqE-st6uFKPoI?usp=share_link" TargetMode="External"/><Relationship Id="rId2232" Type="http://schemas.openxmlformats.org/officeDocument/2006/relationships/hyperlink" Target="https://drive.google.com/drive/folders/10T2cTQHqEJZqE-st6uFKPoI?usp=share_link" TargetMode="External"/><Relationship Id="rId3564" Type="http://schemas.openxmlformats.org/officeDocument/2006/relationships/hyperlink" Target="https://drive.google.com/drive/folders/10T2cTQHqEJZqE-st6uFKPoI?usp=share_link" TargetMode="External"/><Relationship Id="rId4895" Type="http://schemas.openxmlformats.org/officeDocument/2006/relationships/hyperlink" Target="https://drive.google.com/drive/folders/10T2cTQHqEJZqE-st6uFKPoI?usp=share_link" TargetMode="External"/><Relationship Id="rId311" Type="http://schemas.openxmlformats.org/officeDocument/2006/relationships/hyperlink" Target="https://drive.google.com/drive/folders/10T2cTQHqEJZqE-st6uFKPoI?usp=share_link" TargetMode="External"/><Relationship Id="rId2233" Type="http://schemas.openxmlformats.org/officeDocument/2006/relationships/hyperlink" Target="https://drive.google.com/drive/folders/10T2cTQHqEJZqE-st6uFKPoI?usp=share_link" TargetMode="External"/><Relationship Id="rId3563" Type="http://schemas.openxmlformats.org/officeDocument/2006/relationships/hyperlink" Target="https://drive.google.com/drive/folders/10T2cTQHqEJZqE-st6uFKPoI?usp=share_link" TargetMode="External"/><Relationship Id="rId4894" Type="http://schemas.openxmlformats.org/officeDocument/2006/relationships/hyperlink" Target="https://drive.google.com/drive/folders/10T2cTQHqEJZqE-st6uFKPoI?usp=share_link" TargetMode="External"/><Relationship Id="rId310" Type="http://schemas.openxmlformats.org/officeDocument/2006/relationships/hyperlink" Target="https://drive.google.com/drive/folders/10T2cTQHqEJZqE-st6uFKPoI?usp=share_link" TargetMode="External"/><Relationship Id="rId2234" Type="http://schemas.openxmlformats.org/officeDocument/2006/relationships/hyperlink" Target="https://drive.google.com/drive/folders/10T2cTQHqEJZqE-st6uFKPoI?usp=share_link" TargetMode="External"/><Relationship Id="rId3566" Type="http://schemas.openxmlformats.org/officeDocument/2006/relationships/hyperlink" Target="https://drive.google.com/drive/folders/10T2cTQHqEJZqE-st6uFKPoI?usp=share_link" TargetMode="External"/><Relationship Id="rId4897" Type="http://schemas.openxmlformats.org/officeDocument/2006/relationships/hyperlink" Target="https://drive.google.com/drive/folders/10T2cTQHqEJZqE-st6uFKPoI?usp=share_link" TargetMode="External"/><Relationship Id="rId2235" Type="http://schemas.openxmlformats.org/officeDocument/2006/relationships/hyperlink" Target="https://drive.google.com/drive/folders/10T2cTQHqEJZqE-st6uFKPoI?usp=share_link" TargetMode="External"/><Relationship Id="rId3565" Type="http://schemas.openxmlformats.org/officeDocument/2006/relationships/hyperlink" Target="https://drive.google.com/drive/folders/10T2cTQHqEJZqE-st6uFKPoI?usp=share_link" TargetMode="External"/><Relationship Id="rId4896" Type="http://schemas.openxmlformats.org/officeDocument/2006/relationships/hyperlink" Target="https://drive.google.com/drive/folders/10T2cTQHqEJZqE-st6uFKPoI?usp=share_link" TargetMode="External"/><Relationship Id="rId4040" Type="http://schemas.openxmlformats.org/officeDocument/2006/relationships/hyperlink" Target="https://drive.google.com/drive/folders/10T2cTQHqEJZqE-st6uFKPoI?usp=share_link" TargetMode="External"/><Relationship Id="rId5372" Type="http://schemas.openxmlformats.org/officeDocument/2006/relationships/hyperlink" Target="https://drive.google.com/drive/folders/10T2cTQHqEJZqE-st6uFKPoI?usp=share_link" TargetMode="External"/><Relationship Id="rId5373" Type="http://schemas.openxmlformats.org/officeDocument/2006/relationships/hyperlink" Target="https://drive.google.com/drive/folders/10T2cTQHqEJZqE-st6uFKPoI?usp=share_link" TargetMode="External"/><Relationship Id="rId4042" Type="http://schemas.openxmlformats.org/officeDocument/2006/relationships/hyperlink" Target="https://drive.google.com/drive/folders/10T2cTQHqEJZqE-st6uFKPoI?usp=share_link" TargetMode="External"/><Relationship Id="rId5370" Type="http://schemas.openxmlformats.org/officeDocument/2006/relationships/hyperlink" Target="https://drive.google.com/drive/folders/10T2cTQHqEJZqE-st6uFKPoI?usp=share_link" TargetMode="External"/><Relationship Id="rId4041" Type="http://schemas.openxmlformats.org/officeDocument/2006/relationships/hyperlink" Target="https://drive.google.com/drive/folders/10T2cTQHqEJZqE-st6uFKPoI?usp=share_link" TargetMode="External"/><Relationship Id="rId5371" Type="http://schemas.openxmlformats.org/officeDocument/2006/relationships/hyperlink" Target="https://drive.google.com/drive/folders/10T2cTQHqEJZqE-st6uFKPoI?usp=share_link" TargetMode="External"/><Relationship Id="rId4044" Type="http://schemas.openxmlformats.org/officeDocument/2006/relationships/hyperlink" Target="https://drive.google.com/drive/folders/10T2cTQHqEJZqE-st6uFKPoI?usp=share_link" TargetMode="External"/><Relationship Id="rId5376" Type="http://schemas.openxmlformats.org/officeDocument/2006/relationships/hyperlink" Target="https://drive.google.com/drive/folders/10T2cTQHqEJZqE-st6uFKPoI?usp=share_link" TargetMode="External"/><Relationship Id="rId4043" Type="http://schemas.openxmlformats.org/officeDocument/2006/relationships/hyperlink" Target="https://drive.google.com/drive/folders/10T2cTQHqEJZqE-st6uFKPoI?usp=share_link" TargetMode="External"/><Relationship Id="rId5377" Type="http://schemas.openxmlformats.org/officeDocument/2006/relationships/hyperlink" Target="https://drive.google.com/drive/folders/10T2cTQHqEJZqE-st6uFKPoI?usp=share_link" TargetMode="External"/><Relationship Id="rId4046" Type="http://schemas.openxmlformats.org/officeDocument/2006/relationships/hyperlink" Target="https://drive.google.com/drive/folders/10T2cTQHqEJZqE-st6uFKPoI?usp=share_link" TargetMode="External"/><Relationship Id="rId5374" Type="http://schemas.openxmlformats.org/officeDocument/2006/relationships/hyperlink" Target="https://drive.google.com/drive/folders/10T2cTQHqEJZqE-st6uFKPoI?usp=share_link" TargetMode="External"/><Relationship Id="rId4045" Type="http://schemas.openxmlformats.org/officeDocument/2006/relationships/hyperlink" Target="https://drive.google.com/drive/folders/10T2cTQHqEJZqE-st6uFKPoI?usp=share_link" TargetMode="External"/><Relationship Id="rId5375" Type="http://schemas.openxmlformats.org/officeDocument/2006/relationships/hyperlink" Target="https://drive.google.com/drive/folders/10T2cTQHqEJZqE-st6uFKPoI?usp=share_link" TargetMode="External"/><Relationship Id="rId4048" Type="http://schemas.openxmlformats.org/officeDocument/2006/relationships/hyperlink" Target="https://drive.google.com/drive/folders/10T2cTQHqEJZqE-st6uFKPoI?usp=share_link" TargetMode="External"/><Relationship Id="rId4047" Type="http://schemas.openxmlformats.org/officeDocument/2006/relationships/hyperlink" Target="https://drive.google.com/drive/folders/10T2cTQHqEJZqE-st6uFKPoI?usp=share_link" TargetMode="External"/><Relationship Id="rId5378" Type="http://schemas.openxmlformats.org/officeDocument/2006/relationships/hyperlink" Target="https://drive.google.com/drive/folders/10T2cTQHqEJZqE-st6uFKPoI?usp=share_link" TargetMode="External"/><Relationship Id="rId4049" Type="http://schemas.openxmlformats.org/officeDocument/2006/relationships/hyperlink" Target="https://drive.google.com/drive/folders/10T2cTQHqEJZqE-st6uFKPoI?usp=share_link" TargetMode="External"/><Relationship Id="rId5379" Type="http://schemas.openxmlformats.org/officeDocument/2006/relationships/hyperlink" Target="https://drive.google.com/drive/folders/10T2cTQHqEJZqE-st6uFKPoI?usp=share_link" TargetMode="External"/><Relationship Id="rId5361" Type="http://schemas.openxmlformats.org/officeDocument/2006/relationships/hyperlink" Target="https://drive.google.com/drive/folders/10T2cTQHqEJZqE-st6uFKPoI?usp=share_link" TargetMode="External"/><Relationship Id="rId5362" Type="http://schemas.openxmlformats.org/officeDocument/2006/relationships/hyperlink" Target="https://drive.google.com/drive/folders/10T2cTQHqEJZqE-st6uFKPoI?usp=share_link" TargetMode="External"/><Relationship Id="rId4031" Type="http://schemas.openxmlformats.org/officeDocument/2006/relationships/hyperlink" Target="https://drive.google.com/drive/folders/10T2cTQHqEJZqE-st6uFKPoI?usp=share_link" TargetMode="External"/><Relationship Id="rId4030" Type="http://schemas.openxmlformats.org/officeDocument/2006/relationships/hyperlink" Target="https://drive.google.com/drive/folders/10T2cTQHqEJZqE-st6uFKPoI?usp=share_link" TargetMode="External"/><Relationship Id="rId5360" Type="http://schemas.openxmlformats.org/officeDocument/2006/relationships/hyperlink" Target="https://drive.google.com/drive/folders/10T2cTQHqEJZqE-st6uFKPoI?usp=share_link" TargetMode="External"/><Relationship Id="rId297" Type="http://schemas.openxmlformats.org/officeDocument/2006/relationships/hyperlink" Target="https://drive.google.com/drive/folders/10T2cTQHqEJZqE-st6uFKPoI?usp=share_link" TargetMode="External"/><Relationship Id="rId4033" Type="http://schemas.openxmlformats.org/officeDocument/2006/relationships/hyperlink" Target="https://drive.google.com/drive/folders/10T2cTQHqEJZqE-st6uFKPoI?usp=share_link" TargetMode="External"/><Relationship Id="rId5365" Type="http://schemas.openxmlformats.org/officeDocument/2006/relationships/hyperlink" Target="https://drive.google.com/drive/folders/10T2cTQHqEJZqE-st6uFKPoI?usp=share_link" TargetMode="External"/><Relationship Id="rId296" Type="http://schemas.openxmlformats.org/officeDocument/2006/relationships/hyperlink" Target="https://drive.google.com/drive/folders/10T2cTQHqEJZqE-st6uFKPoI?usp=share_link" TargetMode="External"/><Relationship Id="rId4032" Type="http://schemas.openxmlformats.org/officeDocument/2006/relationships/hyperlink" Target="https://drive.google.com/drive/folders/10T2cTQHqEJZqE-st6uFKPoI?usp=share_link" TargetMode="External"/><Relationship Id="rId5366" Type="http://schemas.openxmlformats.org/officeDocument/2006/relationships/hyperlink" Target="https://drive.google.com/drive/folders/10T2cTQHqEJZqE-st6uFKPoI?usp=share_link" TargetMode="External"/><Relationship Id="rId295" Type="http://schemas.openxmlformats.org/officeDocument/2006/relationships/hyperlink" Target="https://drive.google.com/drive/folders/10T2cTQHqEJZqE-st6uFKPoI?usp=share_link" TargetMode="External"/><Relationship Id="rId4035" Type="http://schemas.openxmlformats.org/officeDocument/2006/relationships/hyperlink" Target="https://drive.google.com/drive/folders/10T2cTQHqEJZqE-st6uFKPoI?usp=share_link" TargetMode="External"/><Relationship Id="rId5363" Type="http://schemas.openxmlformats.org/officeDocument/2006/relationships/hyperlink" Target="https://drive.google.com/drive/folders/10T2cTQHqEJZqE-st6uFKPoI?usp=share_link" TargetMode="External"/><Relationship Id="rId294" Type="http://schemas.openxmlformats.org/officeDocument/2006/relationships/hyperlink" Target="https://drive.google.com/drive/folders/10T2cTQHqEJZqE-st6uFKPoI?usp=share_link" TargetMode="External"/><Relationship Id="rId4034" Type="http://schemas.openxmlformats.org/officeDocument/2006/relationships/hyperlink" Target="https://drive.google.com/drive/folders/10T2cTQHqEJZqE-st6uFKPoI?usp=share_link" TargetMode="External"/><Relationship Id="rId5364" Type="http://schemas.openxmlformats.org/officeDocument/2006/relationships/hyperlink" Target="https://drive.google.com/drive/folders/10T2cTQHqEJZqE-st6uFKPoI?usp=share_link" TargetMode="External"/><Relationship Id="rId4037" Type="http://schemas.openxmlformats.org/officeDocument/2006/relationships/hyperlink" Target="https://drive.google.com/drive/folders/10T2cTQHqEJZqE-st6uFKPoI?usp=share_link" TargetMode="External"/><Relationship Id="rId5369" Type="http://schemas.openxmlformats.org/officeDocument/2006/relationships/hyperlink" Target="https://drive.google.com/drive/folders/10T2cTQHqEJZqE-st6uFKPoI?usp=share_link" TargetMode="External"/><Relationship Id="rId4036" Type="http://schemas.openxmlformats.org/officeDocument/2006/relationships/hyperlink" Target="https://drive.google.com/drive/folders/10T2cTQHqEJZqE-st6uFKPoI?usp=share_link" TargetMode="External"/><Relationship Id="rId299" Type="http://schemas.openxmlformats.org/officeDocument/2006/relationships/hyperlink" Target="https://drive.google.com/drive/folders/10T2cTQHqEJZqE-st6uFKPoI?usp=share_link" TargetMode="External"/><Relationship Id="rId4039" Type="http://schemas.openxmlformats.org/officeDocument/2006/relationships/hyperlink" Target="https://drive.google.com/drive/folders/10T2cTQHqEJZqE-st6uFKPoI?usp=share_link" TargetMode="External"/><Relationship Id="rId5367" Type="http://schemas.openxmlformats.org/officeDocument/2006/relationships/hyperlink" Target="https://drive.google.com/drive/folders/10T2cTQHqEJZqE-st6uFKPoI?usp=share_link" TargetMode="External"/><Relationship Id="rId298" Type="http://schemas.openxmlformats.org/officeDocument/2006/relationships/hyperlink" Target="https://drive.google.com/drive/folders/10T2cTQHqEJZqE-st6uFKPoI?usp=share_link" TargetMode="External"/><Relationship Id="rId4038" Type="http://schemas.openxmlformats.org/officeDocument/2006/relationships/hyperlink" Target="https://drive.google.com/drive/folders/10T2cTQHqEJZqE-st6uFKPoI?usp=share_link" TargetMode="External"/><Relationship Id="rId5368" Type="http://schemas.openxmlformats.org/officeDocument/2006/relationships/hyperlink" Target="https://drive.google.com/drive/folders/10T2cTQHqEJZqE-st6uFKPoI?usp=share_link" TargetMode="External"/><Relationship Id="rId5390" Type="http://schemas.openxmlformats.org/officeDocument/2006/relationships/hyperlink" Target="https://drive.google.com/drive/folders/10T2cTQHqEJZqE-st6uFKPoI?usp=share_link" TargetMode="External"/><Relationship Id="rId5391" Type="http://schemas.openxmlformats.org/officeDocument/2006/relationships/hyperlink" Target="https://drive.google.com/drive/folders/10T2cTQHqEJZqE-st6uFKPoI?usp=share_link" TargetMode="External"/><Relationship Id="rId4060" Type="http://schemas.openxmlformats.org/officeDocument/2006/relationships/hyperlink" Target="https://drive.google.com/drive/folders/10T2cTQHqEJZqE-st6uFKPoI?usp=share_link" TargetMode="External"/><Relationship Id="rId4062" Type="http://schemas.openxmlformats.org/officeDocument/2006/relationships/hyperlink" Target="https://drive.google.com/drive/folders/10T2cTQHqEJZqE-st6uFKPoI?usp=share_link" TargetMode="External"/><Relationship Id="rId5394" Type="http://schemas.openxmlformats.org/officeDocument/2006/relationships/hyperlink" Target="https://drive.google.com/drive/folders/10T2cTQHqEJZqE-st6uFKPoI?usp=share_link" TargetMode="External"/><Relationship Id="rId4061" Type="http://schemas.openxmlformats.org/officeDocument/2006/relationships/hyperlink" Target="https://drive.google.com/drive/folders/10T2cTQHqEJZqE-st6uFKPoI?usp=share_link" TargetMode="External"/><Relationship Id="rId5395" Type="http://schemas.openxmlformats.org/officeDocument/2006/relationships/hyperlink" Target="https://drive.google.com/drive/folders/10T2cTQHqEJZqE-st6uFKPoI?usp=share_link" TargetMode="External"/><Relationship Id="rId4064" Type="http://schemas.openxmlformats.org/officeDocument/2006/relationships/hyperlink" Target="https://drive.google.com/drive/folders/10T2cTQHqEJZqE-st6uFKPoI?usp=share_link" TargetMode="External"/><Relationship Id="rId5392" Type="http://schemas.openxmlformats.org/officeDocument/2006/relationships/hyperlink" Target="https://drive.google.com/drive/folders/10T2cTQHqEJZqE-st6uFKPoI?usp=share_link" TargetMode="External"/><Relationship Id="rId4063" Type="http://schemas.openxmlformats.org/officeDocument/2006/relationships/hyperlink" Target="https://drive.google.com/drive/folders/10T2cTQHqEJZqE-st6uFKPoI?usp=share_link" TargetMode="External"/><Relationship Id="rId5393" Type="http://schemas.openxmlformats.org/officeDocument/2006/relationships/hyperlink" Target="https://drive.google.com/drive/folders/10T2cTQHqEJZqE-st6uFKPoI?usp=share_link" TargetMode="External"/><Relationship Id="rId4066" Type="http://schemas.openxmlformats.org/officeDocument/2006/relationships/hyperlink" Target="https://drive.google.com/drive/folders/10T2cTQHqEJZqE-st6uFKPoI?usp=share_link" TargetMode="External"/><Relationship Id="rId5398" Type="http://schemas.openxmlformats.org/officeDocument/2006/relationships/hyperlink" Target="https://drive.google.com/drive/folders/10T2cTQHqEJZqE-st6uFKPoI?usp=share_link" TargetMode="External"/><Relationship Id="rId4065" Type="http://schemas.openxmlformats.org/officeDocument/2006/relationships/hyperlink" Target="https://drive.google.com/drive/folders/10T2cTQHqEJZqE-st6uFKPoI?usp=share_link" TargetMode="External"/><Relationship Id="rId5399" Type="http://schemas.openxmlformats.org/officeDocument/2006/relationships/hyperlink" Target="https://drive.google.com/drive/folders/10T2cTQHqEJZqE-st6uFKPoI?usp=share_link" TargetMode="External"/><Relationship Id="rId4068" Type="http://schemas.openxmlformats.org/officeDocument/2006/relationships/hyperlink" Target="https://drive.google.com/drive/folders/10T2cTQHqEJZqE-st6uFKPoI?usp=share_link" TargetMode="External"/><Relationship Id="rId5396" Type="http://schemas.openxmlformats.org/officeDocument/2006/relationships/hyperlink" Target="https://drive.google.com/drive/folders/10T2cTQHqEJZqE-st6uFKPoI?usp=share_link" TargetMode="External"/><Relationship Id="rId4067" Type="http://schemas.openxmlformats.org/officeDocument/2006/relationships/hyperlink" Target="https://drive.google.com/drive/folders/10T2cTQHqEJZqE-st6uFKPoI?usp=share_link" TargetMode="External"/><Relationship Id="rId5397" Type="http://schemas.openxmlformats.org/officeDocument/2006/relationships/hyperlink" Target="https://drive.google.com/drive/folders/10T2cTQHqEJZqE-st6uFKPoI?usp=share_link" TargetMode="External"/><Relationship Id="rId4069" Type="http://schemas.openxmlformats.org/officeDocument/2006/relationships/hyperlink" Target="https://drive.google.com/drive/folders/10T2cTQHqEJZqE-st6uFKPoI?usp=share_link" TargetMode="External"/><Relationship Id="rId5380" Type="http://schemas.openxmlformats.org/officeDocument/2006/relationships/hyperlink" Target="https://drive.google.com/drive/folders/10T2cTQHqEJZqE-st6uFKPoI?usp=share_link" TargetMode="External"/><Relationship Id="rId4051" Type="http://schemas.openxmlformats.org/officeDocument/2006/relationships/hyperlink" Target="https://drive.google.com/drive/folders/10T2cTQHqEJZqE-st6uFKPoI?usp=share_link" TargetMode="External"/><Relationship Id="rId5383" Type="http://schemas.openxmlformats.org/officeDocument/2006/relationships/hyperlink" Target="https://drive.google.com/drive/folders/10T2cTQHqEJZqE-st6uFKPoI?usp=share_link" TargetMode="External"/><Relationship Id="rId4050" Type="http://schemas.openxmlformats.org/officeDocument/2006/relationships/hyperlink" Target="https://drive.google.com/drive/folders/10T2cTQHqEJZqE-st6uFKPoI?usp=share_link" TargetMode="External"/><Relationship Id="rId5384" Type="http://schemas.openxmlformats.org/officeDocument/2006/relationships/hyperlink" Target="https://drive.google.com/drive/folders/10T2cTQHqEJZqE-st6uFKPoI?usp=share_link" TargetMode="External"/><Relationship Id="rId4053" Type="http://schemas.openxmlformats.org/officeDocument/2006/relationships/hyperlink" Target="https://drive.google.com/drive/folders/10T2cTQHqEJZqE-st6uFKPoI?usp=share_link" TargetMode="External"/><Relationship Id="rId5381" Type="http://schemas.openxmlformats.org/officeDocument/2006/relationships/hyperlink" Target="https://drive.google.com/drive/folders/10T2cTQHqEJZqE-st6uFKPoI?usp=share_link" TargetMode="External"/><Relationship Id="rId4052" Type="http://schemas.openxmlformats.org/officeDocument/2006/relationships/hyperlink" Target="https://drive.google.com/drive/folders/10T2cTQHqEJZqE-st6uFKPoI?usp=share_link" TargetMode="External"/><Relationship Id="rId5382" Type="http://schemas.openxmlformats.org/officeDocument/2006/relationships/hyperlink" Target="https://drive.google.com/drive/folders/10T2cTQHqEJZqE-st6uFKPoI?usp=share_link" TargetMode="External"/><Relationship Id="rId4055" Type="http://schemas.openxmlformats.org/officeDocument/2006/relationships/hyperlink" Target="https://drive.google.com/drive/folders/10T2cTQHqEJZqE-st6uFKPoI?usp=share_link" TargetMode="External"/><Relationship Id="rId5387" Type="http://schemas.openxmlformats.org/officeDocument/2006/relationships/hyperlink" Target="https://drive.google.com/drive/folders/10T2cTQHqEJZqE-st6uFKPoI?usp=share_link" TargetMode="External"/><Relationship Id="rId4054" Type="http://schemas.openxmlformats.org/officeDocument/2006/relationships/hyperlink" Target="https://drive.google.com/drive/folders/10T2cTQHqEJZqE-st6uFKPoI?usp=share_link" TargetMode="External"/><Relationship Id="rId5388" Type="http://schemas.openxmlformats.org/officeDocument/2006/relationships/hyperlink" Target="https://drive.google.com/drive/folders/10T2cTQHqEJZqE-st6uFKPoI?usp=share_link" TargetMode="External"/><Relationship Id="rId4057" Type="http://schemas.openxmlformats.org/officeDocument/2006/relationships/hyperlink" Target="https://drive.google.com/drive/folders/10T2cTQHqEJZqE-st6uFKPoI?usp=share_link" TargetMode="External"/><Relationship Id="rId5385" Type="http://schemas.openxmlformats.org/officeDocument/2006/relationships/hyperlink" Target="https://drive.google.com/drive/folders/10T2cTQHqEJZqE-st6uFKPoI?usp=share_link" TargetMode="External"/><Relationship Id="rId4056" Type="http://schemas.openxmlformats.org/officeDocument/2006/relationships/hyperlink" Target="https://drive.google.com/drive/folders/10T2cTQHqEJZqE-st6uFKPoI?usp=share_link" TargetMode="External"/><Relationship Id="rId5386" Type="http://schemas.openxmlformats.org/officeDocument/2006/relationships/hyperlink" Target="https://drive.google.com/drive/folders/10T2cTQHqEJZqE-st6uFKPoI?usp=share_link" TargetMode="External"/><Relationship Id="rId4059" Type="http://schemas.openxmlformats.org/officeDocument/2006/relationships/hyperlink" Target="https://drive.google.com/drive/folders/10T2cTQHqEJZqE-st6uFKPoI?usp=share_link" TargetMode="External"/><Relationship Id="rId4058" Type="http://schemas.openxmlformats.org/officeDocument/2006/relationships/hyperlink" Target="https://drive.google.com/drive/folders/10T2cTQHqEJZqE-st6uFKPoI?usp=share_link" TargetMode="External"/><Relationship Id="rId5389" Type="http://schemas.openxmlformats.org/officeDocument/2006/relationships/hyperlink" Target="https://drive.google.com/drive/folders/10T2cTQHqEJZqE-st6uFKPoI?usp=share_link" TargetMode="External"/><Relationship Id="rId4008" Type="http://schemas.openxmlformats.org/officeDocument/2006/relationships/hyperlink" Target="https://drive.google.com/drive/folders/10T2cTQHqEJZqE-st6uFKPoI?usp=share_link" TargetMode="External"/><Relationship Id="rId4007" Type="http://schemas.openxmlformats.org/officeDocument/2006/relationships/hyperlink" Target="https://drive.google.com/drive/folders/10T2cTQHqEJZqE-st6uFKPoI?usp=share_link" TargetMode="External"/><Relationship Id="rId5338" Type="http://schemas.openxmlformats.org/officeDocument/2006/relationships/hyperlink" Target="https://drive.google.com/drive/folders/10T2cTQHqEJZqE-st6uFKPoI?usp=share_link" TargetMode="External"/><Relationship Id="rId4009" Type="http://schemas.openxmlformats.org/officeDocument/2006/relationships/hyperlink" Target="https://drive.google.com/drive/folders/10T2cTQHqEJZqE-st6uFKPoI?usp=share_link" TargetMode="External"/><Relationship Id="rId5339" Type="http://schemas.openxmlformats.org/officeDocument/2006/relationships/hyperlink" Target="https://drive.google.com/drive/folders/10T2cTQHqEJZqE-st6uFKPoI?usp=share_link" TargetMode="External"/><Relationship Id="rId271" Type="http://schemas.openxmlformats.org/officeDocument/2006/relationships/hyperlink" Target="https://drive.google.com/drive/folders/10T2cTQHqEJZqE-st6uFKPoI?usp=share_link" TargetMode="External"/><Relationship Id="rId270" Type="http://schemas.openxmlformats.org/officeDocument/2006/relationships/hyperlink" Target="https://drive.google.com/drive/folders/10T2cTQHqEJZqE-st6uFKPoI?usp=share_link" TargetMode="External"/><Relationship Id="rId269" Type="http://schemas.openxmlformats.org/officeDocument/2006/relationships/hyperlink" Target="https://drive.google.com/drive/folders/10T2cTQHqEJZqE-st6uFKPoI?usp=share_link" TargetMode="External"/><Relationship Id="rId264" Type="http://schemas.openxmlformats.org/officeDocument/2006/relationships/hyperlink" Target="https://drive.google.com/drive/folders/10T2cTQHqEJZqE-st6uFKPoI?usp=share_link" TargetMode="External"/><Relationship Id="rId4000" Type="http://schemas.openxmlformats.org/officeDocument/2006/relationships/hyperlink" Target="https://drive.google.com/drive/folders/10T2cTQHqEJZqE-st6uFKPoI?usp=share_link" TargetMode="External"/><Relationship Id="rId5332" Type="http://schemas.openxmlformats.org/officeDocument/2006/relationships/hyperlink" Target="https://drive.google.com/drive/folders/10T2cTQHqEJZqE-st6uFKPoI?usp=share_link" TargetMode="External"/><Relationship Id="rId263" Type="http://schemas.openxmlformats.org/officeDocument/2006/relationships/hyperlink" Target="https://drive.google.com/drive/folders/10T2cTQHqEJZqE-st6uFKPoI?usp=share_link" TargetMode="External"/><Relationship Id="rId5333" Type="http://schemas.openxmlformats.org/officeDocument/2006/relationships/hyperlink" Target="https://drive.google.com/drive/folders/10T2cTQHqEJZqE-st6uFKPoI?usp=share_link" TargetMode="External"/><Relationship Id="rId262" Type="http://schemas.openxmlformats.org/officeDocument/2006/relationships/hyperlink" Target="https://drive.google.com/drive/folders/10T2cTQHqEJZqE-st6uFKPoI?usp=share_link" TargetMode="External"/><Relationship Id="rId4002" Type="http://schemas.openxmlformats.org/officeDocument/2006/relationships/hyperlink" Target="https://drive.google.com/drive/folders/10T2cTQHqEJZqE-st6uFKPoI?usp=share_link" TargetMode="External"/><Relationship Id="rId5330" Type="http://schemas.openxmlformats.org/officeDocument/2006/relationships/hyperlink" Target="https://drive.google.com/drive/folders/10T2cTQHqEJZqE-st6uFKPoI?usp=share_link" TargetMode="External"/><Relationship Id="rId261" Type="http://schemas.openxmlformats.org/officeDocument/2006/relationships/hyperlink" Target="https://drive.google.com/drive/folders/10T2cTQHqEJZqE-st6uFKPoI?usp=share_link" TargetMode="External"/><Relationship Id="rId4001" Type="http://schemas.openxmlformats.org/officeDocument/2006/relationships/hyperlink" Target="https://drive.google.com/drive/folders/10T2cTQHqEJZqE-st6uFKPoI?usp=share_link" TargetMode="External"/><Relationship Id="rId5331" Type="http://schemas.openxmlformats.org/officeDocument/2006/relationships/hyperlink" Target="https://drive.google.com/drive/folders/10T2cTQHqEJZqE-st6uFKPoI?usp=share_link" TargetMode="External"/><Relationship Id="rId268" Type="http://schemas.openxmlformats.org/officeDocument/2006/relationships/hyperlink" Target="https://drive.google.com/drive/folders/10T2cTQHqEJZqE-st6uFKPoI?usp=share_link" TargetMode="External"/><Relationship Id="rId4004" Type="http://schemas.openxmlformats.org/officeDocument/2006/relationships/hyperlink" Target="https://drive.google.com/drive/folders/10T2cTQHqEJZqE-st6uFKPoI?usp=share_link" TargetMode="External"/><Relationship Id="rId5336" Type="http://schemas.openxmlformats.org/officeDocument/2006/relationships/hyperlink" Target="https://drive.google.com/drive/folders/10T2cTQHqEJZqE-st6uFKPoI?usp=share_link" TargetMode="External"/><Relationship Id="rId267" Type="http://schemas.openxmlformats.org/officeDocument/2006/relationships/hyperlink" Target="https://drive.google.com/drive/folders/10T2cTQHqEJZqE-st6uFKPoI?usp=share_link" TargetMode="External"/><Relationship Id="rId4003" Type="http://schemas.openxmlformats.org/officeDocument/2006/relationships/hyperlink" Target="https://drive.google.com/drive/folders/10T2cTQHqEJZqE-st6uFKPoI?usp=share_link" TargetMode="External"/><Relationship Id="rId5337" Type="http://schemas.openxmlformats.org/officeDocument/2006/relationships/hyperlink" Target="https://drive.google.com/drive/folders/10T2cTQHqEJZqE-st6uFKPoI?usp=share_link" TargetMode="External"/><Relationship Id="rId266" Type="http://schemas.openxmlformats.org/officeDocument/2006/relationships/hyperlink" Target="https://drive.google.com/drive/folders/10T2cTQHqEJZqE-st6uFKPoI?usp=share_link" TargetMode="External"/><Relationship Id="rId4006" Type="http://schemas.openxmlformats.org/officeDocument/2006/relationships/hyperlink" Target="https://drive.google.com/drive/folders/10T2cTQHqEJZqE-st6uFKPoI?usp=share_link" TargetMode="External"/><Relationship Id="rId5334" Type="http://schemas.openxmlformats.org/officeDocument/2006/relationships/hyperlink" Target="https://drive.google.com/drive/folders/10T2cTQHqEJZqE-st6uFKPoI?usp=share_link" TargetMode="External"/><Relationship Id="rId265" Type="http://schemas.openxmlformats.org/officeDocument/2006/relationships/hyperlink" Target="https://drive.google.com/drive/folders/10T2cTQHqEJZqE-st6uFKPoI?usp=share_link" TargetMode="External"/><Relationship Id="rId4005" Type="http://schemas.openxmlformats.org/officeDocument/2006/relationships/hyperlink" Target="https://drive.google.com/drive/folders/10T2cTQHqEJZqE-st6uFKPoI?usp=share_link" TargetMode="External"/><Relationship Id="rId5335" Type="http://schemas.openxmlformats.org/officeDocument/2006/relationships/hyperlink" Target="https://drive.google.com/drive/folders/10T2cTQHqEJZqE-st6uFKPoI?usp=share_link" TargetMode="External"/><Relationship Id="rId5329" Type="http://schemas.openxmlformats.org/officeDocument/2006/relationships/hyperlink" Target="https://drive.google.com/drive/folders/10T2cTQHqEJZqE-st6uFKPoI?usp=share_link" TargetMode="External"/><Relationship Id="rId5327" Type="http://schemas.openxmlformats.org/officeDocument/2006/relationships/hyperlink" Target="https://drive.google.com/drive/folders/10T2cTQHqEJZqE-st6uFKPoI?usp=share_link" TargetMode="External"/><Relationship Id="rId5328" Type="http://schemas.openxmlformats.org/officeDocument/2006/relationships/hyperlink" Target="https://drive.google.com/drive/folders/10T2cTQHqEJZqE-st6uFKPoI?usp=share_link" TargetMode="External"/><Relationship Id="rId260" Type="http://schemas.openxmlformats.org/officeDocument/2006/relationships/hyperlink" Target="https://drive.google.com/drive/folders/10T2cTQHqEJZqE-st6uFKPoI?usp=share_link" TargetMode="External"/><Relationship Id="rId259" Type="http://schemas.openxmlformats.org/officeDocument/2006/relationships/hyperlink" Target="https://drive.google.com/drive/folders/10T2cTQHqEJZqE-st6uFKPoI?usp=share_link" TargetMode="External"/><Relationship Id="rId258" Type="http://schemas.openxmlformats.org/officeDocument/2006/relationships/hyperlink" Target="https://drive.google.com/drive/folders/10T2cTQHqEJZqE-st6uFKPoI?usp=share_link" TargetMode="External"/><Relationship Id="rId2290" Type="http://schemas.openxmlformats.org/officeDocument/2006/relationships/hyperlink" Target="https://drive.google.com/drive/folders/10T2cTQHqEJZqE-st6uFKPoI?usp=share_link" TargetMode="External"/><Relationship Id="rId2291" Type="http://schemas.openxmlformats.org/officeDocument/2006/relationships/hyperlink" Target="https://drive.google.com/drive/folders/10T2cTQHqEJZqE-st6uFKPoI?usp=share_link" TargetMode="External"/><Relationship Id="rId2292" Type="http://schemas.openxmlformats.org/officeDocument/2006/relationships/hyperlink" Target="https://drive.google.com/drive/folders/10T2cTQHqEJZqE-st6uFKPoI?usp=share_link" TargetMode="External"/><Relationship Id="rId2293" Type="http://schemas.openxmlformats.org/officeDocument/2006/relationships/hyperlink" Target="https://drive.google.com/drive/folders/10T2cTQHqEJZqE-st6uFKPoI?usp=share_link" TargetMode="External"/><Relationship Id="rId253" Type="http://schemas.openxmlformats.org/officeDocument/2006/relationships/hyperlink" Target="https://drive.google.com/drive/folders/10T2cTQHqEJZqE-st6uFKPoI?usp=share_link" TargetMode="External"/><Relationship Id="rId2294" Type="http://schemas.openxmlformats.org/officeDocument/2006/relationships/hyperlink" Target="https://drive.google.com/drive/folders/10T2cTQHqEJZqE-st6uFKPoI?usp=share_link" TargetMode="External"/><Relationship Id="rId5321" Type="http://schemas.openxmlformats.org/officeDocument/2006/relationships/hyperlink" Target="https://drive.google.com/drive/folders/10T2cTQHqEJZqE-st6uFKPoI?usp=share_link" TargetMode="External"/><Relationship Id="rId252" Type="http://schemas.openxmlformats.org/officeDocument/2006/relationships/hyperlink" Target="https://drive.google.com/drive/folders/10T2cTQHqEJZqE-st6uFKPoI?usp=share_link" TargetMode="External"/><Relationship Id="rId2295" Type="http://schemas.openxmlformats.org/officeDocument/2006/relationships/hyperlink" Target="https://drive.google.com/drive/folders/10T2cTQHqEJZqE-st6uFKPoI?usp=share_link" TargetMode="External"/><Relationship Id="rId5322" Type="http://schemas.openxmlformats.org/officeDocument/2006/relationships/hyperlink" Target="https://drive.google.com/drive/folders/10T2cTQHqEJZqE-st6uFKPoI?usp=share_link" TargetMode="External"/><Relationship Id="rId251" Type="http://schemas.openxmlformats.org/officeDocument/2006/relationships/hyperlink" Target="https://drive.google.com/drive/folders/10T2cTQHqEJZqE-st6uFKPoI?usp=share_link" TargetMode="External"/><Relationship Id="rId2296" Type="http://schemas.openxmlformats.org/officeDocument/2006/relationships/hyperlink" Target="https://drive.google.com/drive/folders/10T2cTQHqEJZqE-st6uFKPoI?usp=share_link" TargetMode="External"/><Relationship Id="rId250" Type="http://schemas.openxmlformats.org/officeDocument/2006/relationships/hyperlink" Target="https://drive.google.com/drive/folders/10T2cTQHqEJZqE-st6uFKPoI?usp=share_link" TargetMode="External"/><Relationship Id="rId2297" Type="http://schemas.openxmlformats.org/officeDocument/2006/relationships/hyperlink" Target="https://drive.google.com/drive/folders/10T2cTQHqEJZqE-st6uFKPoI?usp=share_link" TargetMode="External"/><Relationship Id="rId5320" Type="http://schemas.openxmlformats.org/officeDocument/2006/relationships/hyperlink" Target="https://drive.google.com/drive/folders/10T2cTQHqEJZqE-st6uFKPoI?usp=share_link" TargetMode="External"/><Relationship Id="rId257" Type="http://schemas.openxmlformats.org/officeDocument/2006/relationships/hyperlink" Target="https://drive.google.com/drive/folders/10T2cTQHqEJZqE-st6uFKPoI?usp=share_link" TargetMode="External"/><Relationship Id="rId2298" Type="http://schemas.openxmlformats.org/officeDocument/2006/relationships/hyperlink" Target="https://drive.google.com/drive/folders/10T2cTQHqEJZqE-st6uFKPoI?usp=share_link" TargetMode="External"/><Relationship Id="rId5325" Type="http://schemas.openxmlformats.org/officeDocument/2006/relationships/hyperlink" Target="https://drive.google.com/drive/folders/10T2cTQHqEJZqE-st6uFKPoI?usp=share_link" TargetMode="External"/><Relationship Id="rId256" Type="http://schemas.openxmlformats.org/officeDocument/2006/relationships/hyperlink" Target="https://drive.google.com/drive/folders/10T2cTQHqEJZqE-st6uFKPoI?usp=share_link" TargetMode="External"/><Relationship Id="rId2299" Type="http://schemas.openxmlformats.org/officeDocument/2006/relationships/hyperlink" Target="https://drive.google.com/drive/folders/10T2cTQHqEJZqE-st6uFKPoI?usp=share_link" TargetMode="External"/><Relationship Id="rId5326" Type="http://schemas.openxmlformats.org/officeDocument/2006/relationships/hyperlink" Target="https://drive.google.com/drive/folders/10T2cTQHqEJZqE-st6uFKPoI?usp=share_link" TargetMode="External"/><Relationship Id="rId255" Type="http://schemas.openxmlformats.org/officeDocument/2006/relationships/hyperlink" Target="https://drive.google.com/drive/folders/10T2cTQHqEJZqE-st6uFKPoI?usp=share_link" TargetMode="External"/><Relationship Id="rId5323" Type="http://schemas.openxmlformats.org/officeDocument/2006/relationships/hyperlink" Target="https://drive.google.com/drive/folders/10T2cTQHqEJZqE-st6uFKPoI?usp=share_link" TargetMode="External"/><Relationship Id="rId254" Type="http://schemas.openxmlformats.org/officeDocument/2006/relationships/hyperlink" Target="https://drive.google.com/drive/folders/10T2cTQHqEJZqE-st6uFKPoI?usp=share_link" TargetMode="External"/><Relationship Id="rId5324" Type="http://schemas.openxmlformats.org/officeDocument/2006/relationships/hyperlink" Target="https://drive.google.com/drive/folders/10T2cTQHqEJZqE-st6uFKPoI?usp=share_link" TargetMode="External"/><Relationship Id="rId4029" Type="http://schemas.openxmlformats.org/officeDocument/2006/relationships/hyperlink" Target="https://drive.google.com/drive/folders/10T2cTQHqEJZqE-st6uFKPoI?usp=share_link" TargetMode="External"/><Relationship Id="rId293" Type="http://schemas.openxmlformats.org/officeDocument/2006/relationships/hyperlink" Target="https://drive.google.com/drive/folders/10T2cTQHqEJZqE-st6uFKPoI?usp=share_link" TargetMode="External"/><Relationship Id="rId292" Type="http://schemas.openxmlformats.org/officeDocument/2006/relationships/hyperlink" Target="https://drive.google.com/drive/folders/10T2cTQHqEJZqE-st6uFKPoI?usp=share_link" TargetMode="External"/><Relationship Id="rId291" Type="http://schemas.openxmlformats.org/officeDocument/2006/relationships/hyperlink" Target="https://drive.google.com/drive/folders/10T2cTQHqEJZqE-st6uFKPoI?usp=share_link" TargetMode="External"/><Relationship Id="rId290" Type="http://schemas.openxmlformats.org/officeDocument/2006/relationships/hyperlink" Target="https://drive.google.com/drive/folders/10T2cTQHqEJZqE-st6uFKPoI?usp=share_link" TargetMode="External"/><Relationship Id="rId5350" Type="http://schemas.openxmlformats.org/officeDocument/2006/relationships/hyperlink" Target="https://drive.google.com/drive/folders/10T2cTQHqEJZqE-st6uFKPoI?usp=share_link" TargetMode="External"/><Relationship Id="rId5351" Type="http://schemas.openxmlformats.org/officeDocument/2006/relationships/hyperlink" Target="https://drive.google.com/drive/folders/10T2cTQHqEJZqE-st6uFKPoI?usp=share_link" TargetMode="External"/><Relationship Id="rId4020" Type="http://schemas.openxmlformats.org/officeDocument/2006/relationships/hyperlink" Target="https://drive.google.com/drive/folders/10T2cTQHqEJZqE-st6uFKPoI?usp=share_link" TargetMode="External"/><Relationship Id="rId286" Type="http://schemas.openxmlformats.org/officeDocument/2006/relationships/hyperlink" Target="https://drive.google.com/drive/folders/10T2cTQHqEJZqE-st6uFKPoI?usp=share_link" TargetMode="External"/><Relationship Id="rId4022" Type="http://schemas.openxmlformats.org/officeDocument/2006/relationships/hyperlink" Target="https://drive.google.com/drive/folders/10T2cTQHqEJZqE-st6uFKPoI?usp=share_link" TargetMode="External"/><Relationship Id="rId5354" Type="http://schemas.openxmlformats.org/officeDocument/2006/relationships/hyperlink" Target="https://drive.google.com/drive/folders/10T2cTQHqEJZqE-st6uFKPoI?usp=share_link" TargetMode="External"/><Relationship Id="rId285" Type="http://schemas.openxmlformats.org/officeDocument/2006/relationships/hyperlink" Target="https://drive.google.com/drive/folders/10T2cTQHqEJZqE-st6uFKPoI?usp=share_link" TargetMode="External"/><Relationship Id="rId4021" Type="http://schemas.openxmlformats.org/officeDocument/2006/relationships/hyperlink" Target="https://drive.google.com/drive/folders/10T2cTQHqEJZqE-st6uFKPoI?usp=share_link" TargetMode="External"/><Relationship Id="rId5355" Type="http://schemas.openxmlformats.org/officeDocument/2006/relationships/hyperlink" Target="https://drive.google.com/drive/folders/10T2cTQHqEJZqE-st6uFKPoI?usp=share_link" TargetMode="External"/><Relationship Id="rId284" Type="http://schemas.openxmlformats.org/officeDocument/2006/relationships/hyperlink" Target="https://drive.google.com/drive/folders/10T2cTQHqEJZqE-st6uFKPoI?usp=share_link" TargetMode="External"/><Relationship Id="rId4024" Type="http://schemas.openxmlformats.org/officeDocument/2006/relationships/hyperlink" Target="https://drive.google.com/drive/folders/10T2cTQHqEJZqE-st6uFKPoI?usp=share_link" TargetMode="External"/><Relationship Id="rId5352" Type="http://schemas.openxmlformats.org/officeDocument/2006/relationships/hyperlink" Target="https://drive.google.com/drive/folders/10T2cTQHqEJZqE-st6uFKPoI?usp=share_link" TargetMode="External"/><Relationship Id="rId283" Type="http://schemas.openxmlformats.org/officeDocument/2006/relationships/hyperlink" Target="https://drive.google.com/drive/folders/10T2cTQHqEJZqE-st6uFKPoI?usp=share_link" TargetMode="External"/><Relationship Id="rId4023" Type="http://schemas.openxmlformats.org/officeDocument/2006/relationships/hyperlink" Target="https://drive.google.com/drive/folders/10T2cTQHqEJZqE-st6uFKPoI?usp=share_link" TargetMode="External"/><Relationship Id="rId5353" Type="http://schemas.openxmlformats.org/officeDocument/2006/relationships/hyperlink" Target="https://drive.google.com/drive/folders/10T2cTQHqEJZqE-st6uFKPoI?usp=share_link" TargetMode="External"/><Relationship Id="rId4026" Type="http://schemas.openxmlformats.org/officeDocument/2006/relationships/hyperlink" Target="https://drive.google.com/drive/folders/10T2cTQHqEJZqE-st6uFKPoI?usp=share_link" TargetMode="External"/><Relationship Id="rId5358" Type="http://schemas.openxmlformats.org/officeDocument/2006/relationships/hyperlink" Target="https://drive.google.com/drive/folders/10T2cTQHqEJZqE-st6uFKPoI?usp=share_link" TargetMode="External"/><Relationship Id="rId289" Type="http://schemas.openxmlformats.org/officeDocument/2006/relationships/hyperlink" Target="https://drive.google.com/drive/folders/10T2cTQHqEJZqE-st6uFKPoI?usp=share_link" TargetMode="External"/><Relationship Id="rId4025" Type="http://schemas.openxmlformats.org/officeDocument/2006/relationships/hyperlink" Target="https://drive.google.com/drive/folders/10T2cTQHqEJZqE-st6uFKPoI?usp=share_link" TargetMode="External"/><Relationship Id="rId5359" Type="http://schemas.openxmlformats.org/officeDocument/2006/relationships/hyperlink" Target="https://drive.google.com/drive/folders/10T2cTQHqEJZqE-st6uFKPoI?usp=share_link" TargetMode="External"/><Relationship Id="rId288" Type="http://schemas.openxmlformats.org/officeDocument/2006/relationships/hyperlink" Target="https://drive.google.com/drive/folders/10T2cTQHqEJZqE-st6uFKPoI?usp=share_link" TargetMode="External"/><Relationship Id="rId4028" Type="http://schemas.openxmlformats.org/officeDocument/2006/relationships/hyperlink" Target="https://drive.google.com/drive/folders/10T2cTQHqEJZqE-st6uFKPoI?usp=share_link" TargetMode="External"/><Relationship Id="rId5356" Type="http://schemas.openxmlformats.org/officeDocument/2006/relationships/hyperlink" Target="https://drive.google.com/drive/folders/10T2cTQHqEJZqE-st6uFKPoI?usp=share_link" TargetMode="External"/><Relationship Id="rId287" Type="http://schemas.openxmlformats.org/officeDocument/2006/relationships/hyperlink" Target="https://drive.google.com/drive/folders/10T2cTQHqEJZqE-st6uFKPoI?usp=share_link" TargetMode="External"/><Relationship Id="rId4027" Type="http://schemas.openxmlformats.org/officeDocument/2006/relationships/hyperlink" Target="https://drive.google.com/drive/folders/10T2cTQHqEJZqE-st6uFKPoI?usp=share_link" TargetMode="External"/><Relationship Id="rId5357" Type="http://schemas.openxmlformats.org/officeDocument/2006/relationships/hyperlink" Target="https://drive.google.com/drive/folders/10T2cTQHqEJZqE-st6uFKPoI?usp=share_link" TargetMode="External"/><Relationship Id="rId4019" Type="http://schemas.openxmlformats.org/officeDocument/2006/relationships/hyperlink" Target="https://drive.google.com/drive/folders/10T2cTQHqEJZqE-st6uFKPoI?usp=share_link" TargetMode="External"/><Relationship Id="rId4018" Type="http://schemas.openxmlformats.org/officeDocument/2006/relationships/hyperlink" Target="https://drive.google.com/drive/folders/10T2cTQHqEJZqE-st6uFKPoI?usp=share_link" TargetMode="External"/><Relationship Id="rId5349" Type="http://schemas.openxmlformats.org/officeDocument/2006/relationships/hyperlink" Target="https://drive.google.com/drive/folders/10T2cTQHqEJZqE-st6uFKPoI?usp=share_link" TargetMode="External"/><Relationship Id="rId282" Type="http://schemas.openxmlformats.org/officeDocument/2006/relationships/hyperlink" Target="https://drive.google.com/drive/folders/10T2cTQHqEJZqE-st6uFKPoI?usp=share_link" TargetMode="External"/><Relationship Id="rId281" Type="http://schemas.openxmlformats.org/officeDocument/2006/relationships/hyperlink" Target="https://drive.google.com/drive/folders/10T2cTQHqEJZqE-st6uFKPoI?usp=share_link" TargetMode="External"/><Relationship Id="rId280" Type="http://schemas.openxmlformats.org/officeDocument/2006/relationships/hyperlink" Target="https://drive.google.com/drive/folders/10T2cTQHqEJZqE-st6uFKPoI?usp=share_link" TargetMode="External"/><Relationship Id="rId5340" Type="http://schemas.openxmlformats.org/officeDocument/2006/relationships/hyperlink" Target="https://drive.google.com/drive/folders/10T2cTQHqEJZqE-st6uFKPoI?usp=share_link" TargetMode="External"/><Relationship Id="rId275" Type="http://schemas.openxmlformats.org/officeDocument/2006/relationships/hyperlink" Target="https://drive.google.com/drive/folders/10T2cTQHqEJZqE-st6uFKPoI?usp=share_link" TargetMode="External"/><Relationship Id="rId4011" Type="http://schemas.openxmlformats.org/officeDocument/2006/relationships/hyperlink" Target="https://drive.google.com/drive/folders/10T2cTQHqEJZqE-st6uFKPoI?usp=share_link" TargetMode="External"/><Relationship Id="rId5343" Type="http://schemas.openxmlformats.org/officeDocument/2006/relationships/hyperlink" Target="https://drive.google.com/drive/folders/10T2cTQHqEJZqE-st6uFKPoI?usp=share_link" TargetMode="External"/><Relationship Id="rId274" Type="http://schemas.openxmlformats.org/officeDocument/2006/relationships/hyperlink" Target="https://drive.google.com/drive/folders/10T2cTQHqEJZqE-st6uFKPoI?usp=share_link" TargetMode="External"/><Relationship Id="rId4010" Type="http://schemas.openxmlformats.org/officeDocument/2006/relationships/hyperlink" Target="https://drive.google.com/drive/folders/10T2cTQHqEJZqE-st6uFKPoI?usp=share_link" TargetMode="External"/><Relationship Id="rId5344" Type="http://schemas.openxmlformats.org/officeDocument/2006/relationships/hyperlink" Target="https://drive.google.com/drive/folders/10T2cTQHqEJZqE-st6uFKPoI?usp=share_link" TargetMode="External"/><Relationship Id="rId273" Type="http://schemas.openxmlformats.org/officeDocument/2006/relationships/hyperlink" Target="https://drive.google.com/drive/folders/10T2cTQHqEJZqE-st6uFKPoI?usp=share_link" TargetMode="External"/><Relationship Id="rId4013" Type="http://schemas.openxmlformats.org/officeDocument/2006/relationships/hyperlink" Target="https://drive.google.com/drive/folders/10T2cTQHqEJZqE-st6uFKPoI?usp=share_link" TargetMode="External"/><Relationship Id="rId5341" Type="http://schemas.openxmlformats.org/officeDocument/2006/relationships/hyperlink" Target="https://drive.google.com/drive/folders/10T2cTQHqEJZqE-st6uFKPoI?usp=share_link" TargetMode="External"/><Relationship Id="rId272" Type="http://schemas.openxmlformats.org/officeDocument/2006/relationships/hyperlink" Target="https://drive.google.com/drive/folders/10T2cTQHqEJZqE-st6uFKPoI?usp=share_link" TargetMode="External"/><Relationship Id="rId4012" Type="http://schemas.openxmlformats.org/officeDocument/2006/relationships/hyperlink" Target="https://drive.google.com/drive/folders/10T2cTQHqEJZqE-st6uFKPoI?usp=share_link" TargetMode="External"/><Relationship Id="rId5342" Type="http://schemas.openxmlformats.org/officeDocument/2006/relationships/hyperlink" Target="https://drive.google.com/drive/folders/10T2cTQHqEJZqE-st6uFKPoI?usp=share_link" TargetMode="External"/><Relationship Id="rId279" Type="http://schemas.openxmlformats.org/officeDocument/2006/relationships/hyperlink" Target="https://drive.google.com/drive/folders/10T2cTQHqEJZqE-st6uFKPoI?usp=share_link" TargetMode="External"/><Relationship Id="rId4015" Type="http://schemas.openxmlformats.org/officeDocument/2006/relationships/hyperlink" Target="https://drive.google.com/drive/folders/10T2cTQHqEJZqE-st6uFKPoI?usp=share_link" TargetMode="External"/><Relationship Id="rId5347" Type="http://schemas.openxmlformats.org/officeDocument/2006/relationships/hyperlink" Target="https://drive.google.com/drive/folders/10T2cTQHqEJZqE-st6uFKPoI?usp=share_link" TargetMode="External"/><Relationship Id="rId278" Type="http://schemas.openxmlformats.org/officeDocument/2006/relationships/hyperlink" Target="https://drive.google.com/drive/folders/10T2cTQHqEJZqE-st6uFKPoI?usp=share_link" TargetMode="External"/><Relationship Id="rId4014" Type="http://schemas.openxmlformats.org/officeDocument/2006/relationships/hyperlink" Target="https://drive.google.com/drive/folders/10T2cTQHqEJZqE-st6uFKPoI?usp=share_link" TargetMode="External"/><Relationship Id="rId5348" Type="http://schemas.openxmlformats.org/officeDocument/2006/relationships/hyperlink" Target="https://drive.google.com/drive/folders/10T2cTQHqEJZqE-st6uFKPoI?usp=share_link" TargetMode="External"/><Relationship Id="rId277" Type="http://schemas.openxmlformats.org/officeDocument/2006/relationships/hyperlink" Target="https://drive.google.com/drive/folders/10T2cTQHqEJZqE-st6uFKPoI?usp=share_link" TargetMode="External"/><Relationship Id="rId4017" Type="http://schemas.openxmlformats.org/officeDocument/2006/relationships/hyperlink" Target="https://drive.google.com/drive/folders/10T2cTQHqEJZqE-st6uFKPoI?usp=share_link" TargetMode="External"/><Relationship Id="rId5345" Type="http://schemas.openxmlformats.org/officeDocument/2006/relationships/hyperlink" Target="https://drive.google.com/drive/folders/10T2cTQHqEJZqE-st6uFKPoI?usp=share_link" TargetMode="External"/><Relationship Id="rId276" Type="http://schemas.openxmlformats.org/officeDocument/2006/relationships/hyperlink" Target="https://drive.google.com/drive/folders/10T2cTQHqEJZqE-st6uFKPoI?usp=share_link" TargetMode="External"/><Relationship Id="rId4016" Type="http://schemas.openxmlformats.org/officeDocument/2006/relationships/hyperlink" Target="https://drive.google.com/drive/folders/10T2cTQHqEJZqE-st6uFKPoI?usp=share_link" TargetMode="External"/><Relationship Id="rId5346" Type="http://schemas.openxmlformats.org/officeDocument/2006/relationships/hyperlink" Target="https://drive.google.com/drive/folders/10T2cTQHqEJZqE-st6uFKPoI?usp=share_link" TargetMode="External"/><Relationship Id="rId1851" Type="http://schemas.openxmlformats.org/officeDocument/2006/relationships/hyperlink" Target="https://drive.google.com/drive/folders/10T2cTQHqEJZqE-st6uFKPoI?usp=share_link" TargetMode="External"/><Relationship Id="rId1852" Type="http://schemas.openxmlformats.org/officeDocument/2006/relationships/hyperlink" Target="https://drive.google.com/drive/folders/10T2cTQHqEJZqE-st6uFKPoI?usp=share_link" TargetMode="External"/><Relationship Id="rId1853" Type="http://schemas.openxmlformats.org/officeDocument/2006/relationships/hyperlink" Target="https://drive.google.com/drive/folders/10T2cTQHqEJZqE-st6uFKPoI?usp=share_link" TargetMode="External"/><Relationship Id="rId1854" Type="http://schemas.openxmlformats.org/officeDocument/2006/relationships/hyperlink" Target="https://drive.google.com/drive/folders/10T2cTQHqEJZqE-st6uFKPoI?usp=share_link" TargetMode="External"/><Relationship Id="rId1855" Type="http://schemas.openxmlformats.org/officeDocument/2006/relationships/hyperlink" Target="https://drive.google.com/drive/folders/10T2cTQHqEJZqE-st6uFKPoI?usp=share_link" TargetMode="External"/><Relationship Id="rId1856" Type="http://schemas.openxmlformats.org/officeDocument/2006/relationships/hyperlink" Target="https://drive.google.com/drive/folders/10T2cTQHqEJZqE-st6uFKPoI?usp=share_link" TargetMode="External"/><Relationship Id="rId1857" Type="http://schemas.openxmlformats.org/officeDocument/2006/relationships/hyperlink" Target="https://drive.google.com/drive/folders/10T2cTQHqEJZqE-st6uFKPoI?usp=share_link" TargetMode="External"/><Relationship Id="rId1858" Type="http://schemas.openxmlformats.org/officeDocument/2006/relationships/hyperlink" Target="https://drive.google.com/drive/folders/10T2cTQHqEJZqE-st6uFKPoI?usp=share_link" TargetMode="External"/><Relationship Id="rId1859" Type="http://schemas.openxmlformats.org/officeDocument/2006/relationships/hyperlink" Target="https://drive.google.com/drive/folders/10T2cTQHqEJZqE-st6uFKPoI?usp=share_link" TargetMode="External"/><Relationship Id="rId1850" Type="http://schemas.openxmlformats.org/officeDocument/2006/relationships/hyperlink" Target="https://drive.google.com/drive/folders/10T2cTQHqEJZqE-st6uFKPoI?usp=share_link" TargetMode="External"/><Relationship Id="rId1840" Type="http://schemas.openxmlformats.org/officeDocument/2006/relationships/hyperlink" Target="https://drive.google.com/drive/folders/10T2cTQHqEJZqE-st6uFKPoI?usp=share_link" TargetMode="External"/><Relationship Id="rId1841" Type="http://schemas.openxmlformats.org/officeDocument/2006/relationships/hyperlink" Target="https://drive.google.com/drive/folders/10T2cTQHqEJZqE-st6uFKPoI?usp=share_link" TargetMode="External"/><Relationship Id="rId1842" Type="http://schemas.openxmlformats.org/officeDocument/2006/relationships/hyperlink" Target="https://drive.google.com/drive/folders/10T2cTQHqEJZqE-st6uFKPoI?usp=share_link" TargetMode="External"/><Relationship Id="rId1843" Type="http://schemas.openxmlformats.org/officeDocument/2006/relationships/hyperlink" Target="https://drive.google.com/drive/folders/10T2cTQHqEJZqE-st6uFKPoI?usp=share_link" TargetMode="External"/><Relationship Id="rId1844" Type="http://schemas.openxmlformats.org/officeDocument/2006/relationships/hyperlink" Target="https://drive.google.com/drive/folders/10T2cTQHqEJZqE-st6uFKPoI?usp=share_link" TargetMode="External"/><Relationship Id="rId1845" Type="http://schemas.openxmlformats.org/officeDocument/2006/relationships/hyperlink" Target="https://drive.google.com/drive/folders/10T2cTQHqEJZqE-st6uFKPoI?usp=share_link" TargetMode="External"/><Relationship Id="rId1846" Type="http://schemas.openxmlformats.org/officeDocument/2006/relationships/hyperlink" Target="https://drive.google.com/drive/folders/10T2cTQHqEJZqE-st6uFKPoI?usp=share_link" TargetMode="External"/><Relationship Id="rId1847" Type="http://schemas.openxmlformats.org/officeDocument/2006/relationships/hyperlink" Target="https://drive.google.com/drive/folders/10T2cTQHqEJZqE-st6uFKPoI?usp=share_link" TargetMode="External"/><Relationship Id="rId1848" Type="http://schemas.openxmlformats.org/officeDocument/2006/relationships/hyperlink" Target="https://drive.google.com/drive/folders/10T2cTQHqEJZqE-st6uFKPoI?usp=share_link" TargetMode="External"/><Relationship Id="rId1849" Type="http://schemas.openxmlformats.org/officeDocument/2006/relationships/hyperlink" Target="https://drive.google.com/drive/folders/10T2cTQHqEJZqE-st6uFKPoI?usp=share_link" TargetMode="External"/><Relationship Id="rId1873" Type="http://schemas.openxmlformats.org/officeDocument/2006/relationships/hyperlink" Target="https://drive.google.com/drive/folders/10T2cTQHqEJZqE-st6uFKPoI?usp=share_link" TargetMode="External"/><Relationship Id="rId1874" Type="http://schemas.openxmlformats.org/officeDocument/2006/relationships/hyperlink" Target="https://drive.google.com/drive/folders/10T2cTQHqEJZqE-st6uFKPoI?usp=share_link" TargetMode="External"/><Relationship Id="rId1875" Type="http://schemas.openxmlformats.org/officeDocument/2006/relationships/hyperlink" Target="https://drive.google.com/drive/folders/10T2cTQHqEJZqE-st6uFKPoI?usp=share_link" TargetMode="External"/><Relationship Id="rId4901" Type="http://schemas.openxmlformats.org/officeDocument/2006/relationships/hyperlink" Target="https://drive.google.com/drive/folders/10T2cTQHqEJZqE-st6uFKPoI?usp=share_link" TargetMode="External"/><Relationship Id="rId1876" Type="http://schemas.openxmlformats.org/officeDocument/2006/relationships/hyperlink" Target="https://drive.google.com/drive/folders/10T2cTQHqEJZqE-st6uFKPoI?usp=share_link" TargetMode="External"/><Relationship Id="rId4900" Type="http://schemas.openxmlformats.org/officeDocument/2006/relationships/hyperlink" Target="https://drive.google.com/drive/folders/10T2cTQHqEJZqE-st6uFKPoI?usp=share_link" TargetMode="External"/><Relationship Id="rId1877" Type="http://schemas.openxmlformats.org/officeDocument/2006/relationships/hyperlink" Target="https://drive.google.com/drive/folders/10T2cTQHqEJZqE-st6uFKPoI?usp=share_link" TargetMode="External"/><Relationship Id="rId4903" Type="http://schemas.openxmlformats.org/officeDocument/2006/relationships/hyperlink" Target="https://drive.google.com/drive/folders/10T2cTQHqEJZqE-st6uFKPoI?usp=share_link" TargetMode="External"/><Relationship Id="rId1878" Type="http://schemas.openxmlformats.org/officeDocument/2006/relationships/hyperlink" Target="https://drive.google.com/drive/folders/10T2cTQHqEJZqE-st6uFKPoI?usp=share_link" TargetMode="External"/><Relationship Id="rId4902" Type="http://schemas.openxmlformats.org/officeDocument/2006/relationships/hyperlink" Target="https://drive.google.com/drive/folders/10T2cTQHqEJZqE-st6uFKPoI?usp=share_link" TargetMode="External"/><Relationship Id="rId1879" Type="http://schemas.openxmlformats.org/officeDocument/2006/relationships/hyperlink" Target="https://drive.google.com/drive/folders/10T2cTQHqEJZqE-st6uFKPoI?usp=share_link" TargetMode="External"/><Relationship Id="rId4905" Type="http://schemas.openxmlformats.org/officeDocument/2006/relationships/hyperlink" Target="https://drive.google.com/drive/folders/10T2cTQHqEJZqE-st6uFKPoI?usp=share_link" TargetMode="External"/><Relationship Id="rId4904" Type="http://schemas.openxmlformats.org/officeDocument/2006/relationships/hyperlink" Target="https://drive.google.com/drive/folders/10T2cTQHqEJZqE-st6uFKPoI?usp=share_link" TargetMode="External"/><Relationship Id="rId4907" Type="http://schemas.openxmlformats.org/officeDocument/2006/relationships/hyperlink" Target="https://drive.google.com/drive/folders/10T2cTQHqEJZqE-st6uFKPoI?usp=share_link" TargetMode="External"/><Relationship Id="rId4906" Type="http://schemas.openxmlformats.org/officeDocument/2006/relationships/hyperlink" Target="https://drive.google.com/drive/folders/10T2cTQHqEJZqE-st6uFKPoI?usp=share_link" TargetMode="External"/><Relationship Id="rId4909" Type="http://schemas.openxmlformats.org/officeDocument/2006/relationships/hyperlink" Target="https://drive.google.com/drive/folders/10T2cTQHqEJZqE-st6uFKPoI?usp=share_link" TargetMode="External"/><Relationship Id="rId4908" Type="http://schemas.openxmlformats.org/officeDocument/2006/relationships/hyperlink" Target="https://drive.google.com/drive/folders/10T2cTQHqEJZqE-st6uFKPoI?usp=share_link" TargetMode="External"/><Relationship Id="rId1870" Type="http://schemas.openxmlformats.org/officeDocument/2006/relationships/hyperlink" Target="https://drive.google.com/drive/folders/10T2cTQHqEJZqE-st6uFKPoI?usp=share_link" TargetMode="External"/><Relationship Id="rId1871" Type="http://schemas.openxmlformats.org/officeDocument/2006/relationships/hyperlink" Target="https://drive.google.com/drive/folders/10T2cTQHqEJZqE-st6uFKPoI?usp=share_link" TargetMode="External"/><Relationship Id="rId1872" Type="http://schemas.openxmlformats.org/officeDocument/2006/relationships/hyperlink" Target="https://drive.google.com/drive/folders/10T2cTQHqEJZqE-st6uFKPoI?usp=share_link" TargetMode="External"/><Relationship Id="rId1862" Type="http://schemas.openxmlformats.org/officeDocument/2006/relationships/hyperlink" Target="https://drive.google.com/drive/folders/10T2cTQHqEJZqE-st6uFKPoI?usp=share_link" TargetMode="External"/><Relationship Id="rId1863" Type="http://schemas.openxmlformats.org/officeDocument/2006/relationships/hyperlink" Target="https://drive.google.com/drive/folders/10T2cTQHqEJZqE-st6uFKPoI?usp=share_link" TargetMode="External"/><Relationship Id="rId1864" Type="http://schemas.openxmlformats.org/officeDocument/2006/relationships/hyperlink" Target="https://drive.google.com/drive/folders/10T2cTQHqEJZqE-st6uFKPoI?usp=share_link" TargetMode="External"/><Relationship Id="rId1865" Type="http://schemas.openxmlformats.org/officeDocument/2006/relationships/hyperlink" Target="https://drive.google.com/drive/folders/10T2cTQHqEJZqE-st6uFKPoI?usp=share_link" TargetMode="External"/><Relationship Id="rId1866" Type="http://schemas.openxmlformats.org/officeDocument/2006/relationships/hyperlink" Target="https://drive.google.com/drive/folders/10T2cTQHqEJZqE-st6uFKPoI?usp=share_link" TargetMode="External"/><Relationship Id="rId1867" Type="http://schemas.openxmlformats.org/officeDocument/2006/relationships/hyperlink" Target="https://drive.google.com/drive/folders/10T2cTQHqEJZqE-st6uFKPoI?usp=share_link" TargetMode="External"/><Relationship Id="rId1868" Type="http://schemas.openxmlformats.org/officeDocument/2006/relationships/hyperlink" Target="https://drive.google.com/drive/folders/10T2cTQHqEJZqE-st6uFKPoI?usp=share_link" TargetMode="External"/><Relationship Id="rId1869" Type="http://schemas.openxmlformats.org/officeDocument/2006/relationships/hyperlink" Target="https://drive.google.com/drive/folders/10T2cTQHqEJZqE-st6uFKPoI?usp=share_link" TargetMode="External"/><Relationship Id="rId1860" Type="http://schemas.openxmlformats.org/officeDocument/2006/relationships/hyperlink" Target="https://drive.google.com/drive/folders/10T2cTQHqEJZqE-st6uFKPoI?usp=share_link" TargetMode="External"/><Relationship Id="rId1861" Type="http://schemas.openxmlformats.org/officeDocument/2006/relationships/hyperlink" Target="https://drive.google.com/drive/folders/10T2cTQHqEJZqE-st6uFKPoI?usp=share_link" TargetMode="External"/><Relationship Id="rId1810" Type="http://schemas.openxmlformats.org/officeDocument/2006/relationships/hyperlink" Target="https://drive.google.com/drive/folders/10T2cTQHqEJZqE-st6uFKPoI?usp=share_link" TargetMode="External"/><Relationship Id="rId1811" Type="http://schemas.openxmlformats.org/officeDocument/2006/relationships/hyperlink" Target="https://drive.google.com/drive/folders/10T2cTQHqEJZqE-st6uFKPoI?usp=share_link" TargetMode="External"/><Relationship Id="rId1812" Type="http://schemas.openxmlformats.org/officeDocument/2006/relationships/hyperlink" Target="https://drive.google.com/drive/folders/10T2cTQHqEJZqE-st6uFKPoI?usp=share_link" TargetMode="External"/><Relationship Id="rId1813" Type="http://schemas.openxmlformats.org/officeDocument/2006/relationships/hyperlink" Target="https://drive.google.com/drive/folders/10T2cTQHqEJZqE-st6uFKPoI?usp=share_link" TargetMode="External"/><Relationship Id="rId1814" Type="http://schemas.openxmlformats.org/officeDocument/2006/relationships/hyperlink" Target="https://drive.google.com/drive/folders/10T2cTQHqEJZqE-st6uFKPoI?usp=share_link" TargetMode="External"/><Relationship Id="rId1815" Type="http://schemas.openxmlformats.org/officeDocument/2006/relationships/hyperlink" Target="https://drive.google.com/drive/folders/10T2cTQHqEJZqE-st6uFKPoI?usp=share_link" TargetMode="External"/><Relationship Id="rId1816" Type="http://schemas.openxmlformats.org/officeDocument/2006/relationships/hyperlink" Target="https://drive.google.com/drive/folders/10T2cTQHqEJZqE-st6uFKPoI?usp=share_link" TargetMode="External"/><Relationship Id="rId1817" Type="http://schemas.openxmlformats.org/officeDocument/2006/relationships/hyperlink" Target="https://drive.google.com/drive/folders/10T2cTQHqEJZqE-st6uFKPoI?usp=share_link" TargetMode="External"/><Relationship Id="rId1818" Type="http://schemas.openxmlformats.org/officeDocument/2006/relationships/hyperlink" Target="https://drive.google.com/drive/folders/10T2cTQHqEJZqE-st6uFKPoI?usp=share_link" TargetMode="External"/><Relationship Id="rId1819" Type="http://schemas.openxmlformats.org/officeDocument/2006/relationships/hyperlink" Target="https://drive.google.com/drive/folders/10T2cTQHqEJZqE-st6uFKPoI?usp=share_link" TargetMode="External"/><Relationship Id="rId4080" Type="http://schemas.openxmlformats.org/officeDocument/2006/relationships/hyperlink" Target="https://drive.google.com/drive/folders/10T2cTQHqEJZqE-st6uFKPoI?usp=share_link" TargetMode="External"/><Relationship Id="rId4082" Type="http://schemas.openxmlformats.org/officeDocument/2006/relationships/hyperlink" Target="https://drive.google.com/drive/folders/10T2cTQHqEJZqE-st6uFKPoI?usp=share_link" TargetMode="External"/><Relationship Id="rId4081" Type="http://schemas.openxmlformats.org/officeDocument/2006/relationships/hyperlink" Target="https://drive.google.com/drive/folders/10T2cTQHqEJZqE-st6uFKPoI?usp=share_link" TargetMode="External"/><Relationship Id="rId4084" Type="http://schemas.openxmlformats.org/officeDocument/2006/relationships/hyperlink" Target="https://drive.google.com/drive/folders/10T2cTQHqEJZqE-st6uFKPoI?usp=share_link" TargetMode="External"/><Relationship Id="rId4083" Type="http://schemas.openxmlformats.org/officeDocument/2006/relationships/hyperlink" Target="https://drive.google.com/drive/folders/10T2cTQHqEJZqE-st6uFKPoI?usp=share_link" TargetMode="External"/><Relationship Id="rId4086" Type="http://schemas.openxmlformats.org/officeDocument/2006/relationships/hyperlink" Target="https://drive.google.com/drive/folders/10T2cTQHqEJZqE-st6uFKPoI?usp=share_link" TargetMode="External"/><Relationship Id="rId4085" Type="http://schemas.openxmlformats.org/officeDocument/2006/relationships/hyperlink" Target="https://drive.google.com/drive/folders/10T2cTQHqEJZqE-st6uFKPoI?usp=share_link" TargetMode="External"/><Relationship Id="rId4088" Type="http://schemas.openxmlformats.org/officeDocument/2006/relationships/hyperlink" Target="https://drive.google.com/drive/folders/10T2cTQHqEJZqE-st6uFKPoI?usp=share_link" TargetMode="External"/><Relationship Id="rId4087" Type="http://schemas.openxmlformats.org/officeDocument/2006/relationships/hyperlink" Target="https://drive.google.com/drive/folders/10T2cTQHqEJZqE-st6uFKPoI?usp=share_link" TargetMode="External"/><Relationship Id="rId4089" Type="http://schemas.openxmlformats.org/officeDocument/2006/relationships/hyperlink" Target="https://drive.google.com/drive/folders/10T2cTQHqEJZqE-st6uFKPoI?usp=share_link" TargetMode="External"/><Relationship Id="rId1800" Type="http://schemas.openxmlformats.org/officeDocument/2006/relationships/hyperlink" Target="https://drive.google.com/drive/folders/10T2cTQHqEJZqE-st6uFKPoI?usp=share_link" TargetMode="External"/><Relationship Id="rId1801" Type="http://schemas.openxmlformats.org/officeDocument/2006/relationships/hyperlink" Target="https://drive.google.com/drive/folders/10T2cTQHqEJZqE-st6uFKPoI?usp=share_link" TargetMode="External"/><Relationship Id="rId1802" Type="http://schemas.openxmlformats.org/officeDocument/2006/relationships/hyperlink" Target="https://drive.google.com/drive/folders/10T2cTQHqEJZqE-st6uFKPoI?usp=share_link" TargetMode="External"/><Relationship Id="rId1803" Type="http://schemas.openxmlformats.org/officeDocument/2006/relationships/hyperlink" Target="https://drive.google.com/drive/folders/10T2cTQHqEJZqE-st6uFKPoI?usp=share_link" TargetMode="External"/><Relationship Id="rId1804" Type="http://schemas.openxmlformats.org/officeDocument/2006/relationships/hyperlink" Target="https://drive.google.com/drive/folders/10T2cTQHqEJZqE-st6uFKPoI?usp=share_link" TargetMode="External"/><Relationship Id="rId1805" Type="http://schemas.openxmlformats.org/officeDocument/2006/relationships/hyperlink" Target="https://drive.google.com/drive/folders/10T2cTQHqEJZqE-st6uFKPoI?usp=share_link" TargetMode="External"/><Relationship Id="rId1806" Type="http://schemas.openxmlformats.org/officeDocument/2006/relationships/hyperlink" Target="https://drive.google.com/drive/folders/10T2cTQHqEJZqE-st6uFKPoI?usp=share_link" TargetMode="External"/><Relationship Id="rId1807" Type="http://schemas.openxmlformats.org/officeDocument/2006/relationships/hyperlink" Target="https://drive.google.com/drive/folders/10T2cTQHqEJZqE-st6uFKPoI?usp=share_link" TargetMode="External"/><Relationship Id="rId1808" Type="http://schemas.openxmlformats.org/officeDocument/2006/relationships/hyperlink" Target="https://drive.google.com/drive/folders/10T2cTQHqEJZqE-st6uFKPoI?usp=share_link" TargetMode="External"/><Relationship Id="rId1809" Type="http://schemas.openxmlformats.org/officeDocument/2006/relationships/hyperlink" Target="https://drive.google.com/drive/folders/10T2cTQHqEJZqE-st6uFKPoI?usp=share_link" TargetMode="External"/><Relationship Id="rId4071" Type="http://schemas.openxmlformats.org/officeDocument/2006/relationships/hyperlink" Target="https://drive.google.com/drive/folders/10T2cTQHqEJZqE-st6uFKPoI?usp=share_link" TargetMode="External"/><Relationship Id="rId4070" Type="http://schemas.openxmlformats.org/officeDocument/2006/relationships/hyperlink" Target="https://drive.google.com/drive/folders/10T2cTQHqEJZqE-st6uFKPoI?usp=share_link" TargetMode="External"/><Relationship Id="rId4073" Type="http://schemas.openxmlformats.org/officeDocument/2006/relationships/hyperlink" Target="https://drive.google.com/drive/folders/10T2cTQHqEJZqE-st6uFKPoI?usp=share_link" TargetMode="External"/><Relationship Id="rId4072" Type="http://schemas.openxmlformats.org/officeDocument/2006/relationships/hyperlink" Target="https://drive.google.com/drive/folders/10T2cTQHqEJZqE-st6uFKPoI?usp=share_link" TargetMode="External"/><Relationship Id="rId4075" Type="http://schemas.openxmlformats.org/officeDocument/2006/relationships/hyperlink" Target="https://drive.google.com/drive/folders/10T2cTQHqEJZqE-st6uFKPoI?usp=share_link" TargetMode="External"/><Relationship Id="rId4074" Type="http://schemas.openxmlformats.org/officeDocument/2006/relationships/hyperlink" Target="https://drive.google.com/drive/folders/10T2cTQHqEJZqE-st6uFKPoI?usp=share_link" TargetMode="External"/><Relationship Id="rId4077" Type="http://schemas.openxmlformats.org/officeDocument/2006/relationships/hyperlink" Target="https://drive.google.com/drive/folders/10T2cTQHqEJZqE-st6uFKPoI?usp=share_link" TargetMode="External"/><Relationship Id="rId4076" Type="http://schemas.openxmlformats.org/officeDocument/2006/relationships/hyperlink" Target="https://drive.google.com/drive/folders/10T2cTQHqEJZqE-st6uFKPoI?usp=share_link" TargetMode="External"/><Relationship Id="rId4079" Type="http://schemas.openxmlformats.org/officeDocument/2006/relationships/hyperlink" Target="https://drive.google.com/drive/folders/10T2cTQHqEJZqE-st6uFKPoI?usp=share_link" TargetMode="External"/><Relationship Id="rId4078" Type="http://schemas.openxmlformats.org/officeDocument/2006/relationships/hyperlink" Target="https://drive.google.com/drive/folders/10T2cTQHqEJZqE-st6uFKPoI?usp=share_link" TargetMode="External"/><Relationship Id="rId1830" Type="http://schemas.openxmlformats.org/officeDocument/2006/relationships/hyperlink" Target="https://drive.google.com/drive/folders/10T2cTQHqEJZqE-st6uFKPoI?usp=share_link" TargetMode="External"/><Relationship Id="rId1831" Type="http://schemas.openxmlformats.org/officeDocument/2006/relationships/hyperlink" Target="https://drive.google.com/drive/folders/10T2cTQHqEJZqE-st6uFKPoI?usp=share_link" TargetMode="External"/><Relationship Id="rId1832" Type="http://schemas.openxmlformats.org/officeDocument/2006/relationships/hyperlink" Target="https://drive.google.com/drive/folders/10T2cTQHqEJZqE-st6uFKPoI?usp=share_link" TargetMode="External"/><Relationship Id="rId1833" Type="http://schemas.openxmlformats.org/officeDocument/2006/relationships/hyperlink" Target="https://drive.google.com/drive/folders/10T2cTQHqEJZqE-st6uFKPoI?usp=share_link" TargetMode="External"/><Relationship Id="rId1834" Type="http://schemas.openxmlformats.org/officeDocument/2006/relationships/hyperlink" Target="https://drive.google.com/drive/folders/10T2cTQHqEJZqE-st6uFKPoI?usp=share_link" TargetMode="External"/><Relationship Id="rId1835" Type="http://schemas.openxmlformats.org/officeDocument/2006/relationships/hyperlink" Target="https://drive.google.com/drive/folders/10T2cTQHqEJZqE-st6uFKPoI?usp=share_link" TargetMode="External"/><Relationship Id="rId1836" Type="http://schemas.openxmlformats.org/officeDocument/2006/relationships/hyperlink" Target="https://drive.google.com/drive/folders/10T2cTQHqEJZqE-st6uFKPoI?usp=share_link" TargetMode="External"/><Relationship Id="rId1837" Type="http://schemas.openxmlformats.org/officeDocument/2006/relationships/hyperlink" Target="https://drive.google.com/drive/folders/10T2cTQHqEJZqE-st6uFKPoI?usp=share_link" TargetMode="External"/><Relationship Id="rId1838" Type="http://schemas.openxmlformats.org/officeDocument/2006/relationships/hyperlink" Target="https://drive.google.com/drive/folders/10T2cTQHqEJZqE-st6uFKPoI?usp=share_link" TargetMode="External"/><Relationship Id="rId1839" Type="http://schemas.openxmlformats.org/officeDocument/2006/relationships/hyperlink" Target="https://drive.google.com/drive/folders/10T2cTQHqEJZqE-st6uFKPoI?usp=share_link" TargetMode="External"/><Relationship Id="rId1820" Type="http://schemas.openxmlformats.org/officeDocument/2006/relationships/hyperlink" Target="https://drive.google.com/drive/folders/10T2cTQHqEJZqE-st6uFKPoI?usp=share_link" TargetMode="External"/><Relationship Id="rId1821" Type="http://schemas.openxmlformats.org/officeDocument/2006/relationships/hyperlink" Target="https://drive.google.com/drive/folders/10T2cTQHqEJZqE-st6uFKPoI?usp=share_link" TargetMode="External"/><Relationship Id="rId1822" Type="http://schemas.openxmlformats.org/officeDocument/2006/relationships/hyperlink" Target="https://drive.google.com/drive/folders/10T2cTQHqEJZqE-st6uFKPoI?usp=share_link" TargetMode="External"/><Relationship Id="rId1823" Type="http://schemas.openxmlformats.org/officeDocument/2006/relationships/hyperlink" Target="https://drive.google.com/drive/folders/10T2cTQHqEJZqE-st6uFKPoI?usp=share_link" TargetMode="External"/><Relationship Id="rId1824" Type="http://schemas.openxmlformats.org/officeDocument/2006/relationships/hyperlink" Target="https://drive.google.com/drive/folders/10T2cTQHqEJZqE-st6uFKPoI?usp=share_link" TargetMode="External"/><Relationship Id="rId1825" Type="http://schemas.openxmlformats.org/officeDocument/2006/relationships/hyperlink" Target="https://drive.google.com/drive/folders/10T2cTQHqEJZqE-st6uFKPoI?usp=share_link" TargetMode="External"/><Relationship Id="rId1826" Type="http://schemas.openxmlformats.org/officeDocument/2006/relationships/hyperlink" Target="https://drive.google.com/drive/folders/10T2cTQHqEJZqE-st6uFKPoI?usp=share_link" TargetMode="External"/><Relationship Id="rId1827" Type="http://schemas.openxmlformats.org/officeDocument/2006/relationships/hyperlink" Target="https://drive.google.com/drive/folders/10T2cTQHqEJZqE-st6uFKPoI?usp=share_link" TargetMode="External"/><Relationship Id="rId1828" Type="http://schemas.openxmlformats.org/officeDocument/2006/relationships/hyperlink" Target="https://drive.google.com/drive/folders/10T2cTQHqEJZqE-st6uFKPoI?usp=share_link" TargetMode="External"/><Relationship Id="rId1829" Type="http://schemas.openxmlformats.org/officeDocument/2006/relationships/hyperlink" Target="https://drive.google.com/drive/folders/10T2cTQHqEJZqE-st6uFKPoI?usp=share_link" TargetMode="External"/><Relationship Id="rId4091" Type="http://schemas.openxmlformats.org/officeDocument/2006/relationships/hyperlink" Target="https://drive.google.com/drive/folders/10T2cTQHqEJZqE-st6uFKPoI?usp=share_link" TargetMode="External"/><Relationship Id="rId4090" Type="http://schemas.openxmlformats.org/officeDocument/2006/relationships/hyperlink" Target="https://drive.google.com/drive/folders/10T2cTQHqEJZqE-st6uFKPoI?usp=share_link" TargetMode="External"/><Relationship Id="rId4093" Type="http://schemas.openxmlformats.org/officeDocument/2006/relationships/hyperlink" Target="https://drive.google.com/drive/folders/10T2cTQHqEJZqE-st6uFKPoI?usp=share_link" TargetMode="External"/><Relationship Id="rId4092" Type="http://schemas.openxmlformats.org/officeDocument/2006/relationships/hyperlink" Target="https://drive.google.com/drive/folders/10T2cTQHqEJZqE-st6uFKPoI?usp=share_link" TargetMode="External"/><Relationship Id="rId4095" Type="http://schemas.openxmlformats.org/officeDocument/2006/relationships/hyperlink" Target="https://drive.google.com/drive/folders/10T2cTQHqEJZqE-st6uFKPoI?usp=share_link" TargetMode="External"/><Relationship Id="rId4094" Type="http://schemas.openxmlformats.org/officeDocument/2006/relationships/hyperlink" Target="https://drive.google.com/drive/folders/10T2cTQHqEJZqE-st6uFKPoI?usp=share_link" TargetMode="External"/><Relationship Id="rId4097" Type="http://schemas.openxmlformats.org/officeDocument/2006/relationships/hyperlink" Target="https://drive.google.com/drive/folders/10T2cTQHqEJZqE-st6uFKPoI?usp=share_link" TargetMode="External"/><Relationship Id="rId4096" Type="http://schemas.openxmlformats.org/officeDocument/2006/relationships/hyperlink" Target="https://drive.google.com/drive/folders/10T2cTQHqEJZqE-st6uFKPoI?usp=share_link" TargetMode="External"/><Relationship Id="rId4099" Type="http://schemas.openxmlformats.org/officeDocument/2006/relationships/hyperlink" Target="https://drive.google.com/drive/folders/10T2cTQHqEJZqE-st6uFKPoI?usp=share_link" TargetMode="External"/><Relationship Id="rId4098" Type="http://schemas.openxmlformats.org/officeDocument/2006/relationships/hyperlink" Target="https://drive.google.com/drive/folders/10T2cTQHqEJZqE-st6uFKPoI?usp=share_link" TargetMode="External"/><Relationship Id="rId2302" Type="http://schemas.openxmlformats.org/officeDocument/2006/relationships/hyperlink" Target="https://drive.google.com/drive/folders/10T2cTQHqEJZqE-st6uFKPoI?usp=share_link" TargetMode="External"/><Relationship Id="rId3634" Type="http://schemas.openxmlformats.org/officeDocument/2006/relationships/hyperlink" Target="https://drive.google.com/drive/folders/10T2cTQHqEJZqE-st6uFKPoI?usp=share_link" TargetMode="External"/><Relationship Id="rId4965" Type="http://schemas.openxmlformats.org/officeDocument/2006/relationships/hyperlink" Target="https://drive.google.com/drive/folders/10T2cTQHqEJZqE-st6uFKPoI?usp=share_link" TargetMode="External"/><Relationship Id="rId2303" Type="http://schemas.openxmlformats.org/officeDocument/2006/relationships/hyperlink" Target="https://drive.google.com/drive/folders/10T2cTQHqEJZqE-st6uFKPoI?usp=share_link" TargetMode="External"/><Relationship Id="rId3633" Type="http://schemas.openxmlformats.org/officeDocument/2006/relationships/hyperlink" Target="https://drive.google.com/drive/folders/10T2cTQHqEJZqE-st6uFKPoI?usp=share_link" TargetMode="External"/><Relationship Id="rId4964" Type="http://schemas.openxmlformats.org/officeDocument/2006/relationships/hyperlink" Target="https://drive.google.com/drive/folders/10T2cTQHqEJZqE-st6uFKPoI?usp=share_link" TargetMode="External"/><Relationship Id="rId2304" Type="http://schemas.openxmlformats.org/officeDocument/2006/relationships/hyperlink" Target="https://drive.google.com/drive/folders/10T2cTQHqEJZqE-st6uFKPoI?usp=share_link" TargetMode="External"/><Relationship Id="rId3636" Type="http://schemas.openxmlformats.org/officeDocument/2006/relationships/hyperlink" Target="https://drive.google.com/drive/folders/10T2cTQHqEJZqE-st6uFKPoI?usp=share_link" TargetMode="External"/><Relationship Id="rId4967" Type="http://schemas.openxmlformats.org/officeDocument/2006/relationships/hyperlink" Target="https://drive.google.com/drive/folders/10T2cTQHqEJZqE-st6uFKPoI?usp=share_link" TargetMode="External"/><Relationship Id="rId2305" Type="http://schemas.openxmlformats.org/officeDocument/2006/relationships/hyperlink" Target="https://drive.google.com/drive/folders/10T2cTQHqEJZqE-st6uFKPoI?usp=share_link" TargetMode="External"/><Relationship Id="rId3635" Type="http://schemas.openxmlformats.org/officeDocument/2006/relationships/hyperlink" Target="https://drive.google.com/drive/folders/10T2cTQHqEJZqE-st6uFKPoI?usp=share_link" TargetMode="External"/><Relationship Id="rId4966" Type="http://schemas.openxmlformats.org/officeDocument/2006/relationships/hyperlink" Target="https://drive.google.com/drive/folders/10T2cTQHqEJZqE-st6uFKPoI?usp=share_link" TargetMode="External"/><Relationship Id="rId2306" Type="http://schemas.openxmlformats.org/officeDocument/2006/relationships/hyperlink" Target="https://drive.google.com/drive/folders/10T2cTQHqEJZqE-st6uFKPoI?usp=share_link" TargetMode="External"/><Relationship Id="rId3638" Type="http://schemas.openxmlformats.org/officeDocument/2006/relationships/hyperlink" Target="https://drive.google.com/drive/folders/10T2cTQHqEJZqE-st6uFKPoI?usp=share_link" TargetMode="External"/><Relationship Id="rId4969" Type="http://schemas.openxmlformats.org/officeDocument/2006/relationships/hyperlink" Target="https://drive.google.com/drive/folders/10T2cTQHqEJZqE-st6uFKPoI?usp=share_link" TargetMode="External"/><Relationship Id="rId2307" Type="http://schemas.openxmlformats.org/officeDocument/2006/relationships/hyperlink" Target="https://drive.google.com/drive/folders/10T2cTQHqEJZqE-st6uFKPoI?usp=share_link" TargetMode="External"/><Relationship Id="rId3637" Type="http://schemas.openxmlformats.org/officeDocument/2006/relationships/hyperlink" Target="https://drive.google.com/drive/folders/10T2cTQHqEJZqE-st6uFKPoI?usp=share_link" TargetMode="External"/><Relationship Id="rId4968" Type="http://schemas.openxmlformats.org/officeDocument/2006/relationships/hyperlink" Target="https://drive.google.com/drive/folders/10T2cTQHqEJZqE-st6uFKPoI?usp=share_link" TargetMode="External"/><Relationship Id="rId2308" Type="http://schemas.openxmlformats.org/officeDocument/2006/relationships/hyperlink" Target="https://drive.google.com/drive/folders/10T2cTQHqEJZqE-st6uFKPoI?usp=share_link" TargetMode="External"/><Relationship Id="rId2309" Type="http://schemas.openxmlformats.org/officeDocument/2006/relationships/hyperlink" Target="https://drive.google.com/drive/folders/10T2cTQHqEJZqE-st6uFKPoI?usp=share_link" TargetMode="External"/><Relationship Id="rId3639" Type="http://schemas.openxmlformats.org/officeDocument/2006/relationships/hyperlink" Target="https://drive.google.com/drive/folders/10T2cTQHqEJZqE-st6uFKPoI?usp=share_link" TargetMode="External"/><Relationship Id="rId3630" Type="http://schemas.openxmlformats.org/officeDocument/2006/relationships/hyperlink" Target="https://drive.google.com/drive/folders/10T2cTQHqEJZqE-st6uFKPoI?usp=share_link" TargetMode="External"/><Relationship Id="rId4961" Type="http://schemas.openxmlformats.org/officeDocument/2006/relationships/hyperlink" Target="https://drive.google.com/drive/folders/10T2cTQHqEJZqE-st6uFKPoI?usp=share_link" TargetMode="External"/><Relationship Id="rId4960" Type="http://schemas.openxmlformats.org/officeDocument/2006/relationships/hyperlink" Target="https://drive.google.com/drive/folders/10T2cTQHqEJZqE-st6uFKPoI?usp=share_link" TargetMode="External"/><Relationship Id="rId2300" Type="http://schemas.openxmlformats.org/officeDocument/2006/relationships/hyperlink" Target="https://drive.google.com/drive/folders/10T2cTQHqEJZqE-st6uFKPoI?usp=share_link" TargetMode="External"/><Relationship Id="rId3632" Type="http://schemas.openxmlformats.org/officeDocument/2006/relationships/hyperlink" Target="https://drive.google.com/drive/folders/10T2cTQHqEJZqE-st6uFKPoI?usp=share_link" TargetMode="External"/><Relationship Id="rId4963" Type="http://schemas.openxmlformats.org/officeDocument/2006/relationships/hyperlink" Target="https://drive.google.com/drive/folders/10T2cTQHqEJZqE-st6uFKPoI?usp=share_link" TargetMode="External"/><Relationship Id="rId2301" Type="http://schemas.openxmlformats.org/officeDocument/2006/relationships/hyperlink" Target="https://drive.google.com/drive/folders/10T2cTQHqEJZqE-st6uFKPoI?usp=share_link" TargetMode="External"/><Relationship Id="rId3631" Type="http://schemas.openxmlformats.org/officeDocument/2006/relationships/hyperlink" Target="https://drive.google.com/drive/folders/10T2cTQHqEJZqE-st6uFKPoI?usp=share_link" TargetMode="External"/><Relationship Id="rId4962" Type="http://schemas.openxmlformats.org/officeDocument/2006/relationships/hyperlink" Target="https://drive.google.com/drive/folders/10T2cTQHqEJZqE-st6uFKPoI?usp=share_link" TargetMode="External"/><Relationship Id="rId3623" Type="http://schemas.openxmlformats.org/officeDocument/2006/relationships/hyperlink" Target="https://drive.google.com/drive/folders/10T2cTQHqEJZqE-st6uFKPoI?usp=share_link" TargetMode="External"/><Relationship Id="rId4954" Type="http://schemas.openxmlformats.org/officeDocument/2006/relationships/hyperlink" Target="https://drive.google.com/drive/folders/10T2cTQHqEJZqE-st6uFKPoI?usp=share_link" TargetMode="External"/><Relationship Id="rId3622" Type="http://schemas.openxmlformats.org/officeDocument/2006/relationships/hyperlink" Target="https://drive.google.com/drive/folders/10T2cTQHqEJZqE-st6uFKPoI?usp=share_link" TargetMode="External"/><Relationship Id="rId4953" Type="http://schemas.openxmlformats.org/officeDocument/2006/relationships/hyperlink" Target="https://drive.google.com/drive/folders/10T2cTQHqEJZqE-st6uFKPoI?usp=share_link" TargetMode="External"/><Relationship Id="rId3625" Type="http://schemas.openxmlformats.org/officeDocument/2006/relationships/hyperlink" Target="https://drive.google.com/drive/folders/10T2cTQHqEJZqE-st6uFKPoI?usp=share_link" TargetMode="External"/><Relationship Id="rId4956" Type="http://schemas.openxmlformats.org/officeDocument/2006/relationships/hyperlink" Target="https://drive.google.com/drive/folders/10T2cTQHqEJZqE-st6uFKPoI?usp=share_link" TargetMode="External"/><Relationship Id="rId3624" Type="http://schemas.openxmlformats.org/officeDocument/2006/relationships/hyperlink" Target="https://drive.google.com/drive/folders/10T2cTQHqEJZqE-st6uFKPoI?usp=share_link" TargetMode="External"/><Relationship Id="rId4955" Type="http://schemas.openxmlformats.org/officeDocument/2006/relationships/hyperlink" Target="https://drive.google.com/drive/folders/10T2cTQHqEJZqE-st6uFKPoI?usp=share_link" TargetMode="External"/><Relationship Id="rId3627" Type="http://schemas.openxmlformats.org/officeDocument/2006/relationships/hyperlink" Target="https://drive.google.com/drive/folders/10T2cTQHqEJZqE-st6uFKPoI?usp=share_link" TargetMode="External"/><Relationship Id="rId4958" Type="http://schemas.openxmlformats.org/officeDocument/2006/relationships/hyperlink" Target="https://drive.google.com/drive/folders/10T2cTQHqEJZqE-st6uFKPoI?usp=share_link" TargetMode="External"/><Relationship Id="rId3626" Type="http://schemas.openxmlformats.org/officeDocument/2006/relationships/hyperlink" Target="https://drive.google.com/drive/folders/10T2cTQHqEJZqE-st6uFKPoI?usp=share_link" TargetMode="External"/><Relationship Id="rId4957" Type="http://schemas.openxmlformats.org/officeDocument/2006/relationships/hyperlink" Target="https://drive.google.com/drive/folders/10T2cTQHqEJZqE-st6uFKPoI?usp=share_link" TargetMode="External"/><Relationship Id="rId3629" Type="http://schemas.openxmlformats.org/officeDocument/2006/relationships/hyperlink" Target="https://drive.google.com/drive/folders/10T2cTQHqEJZqE-st6uFKPoI?usp=share_link" TargetMode="External"/><Relationship Id="rId3628" Type="http://schemas.openxmlformats.org/officeDocument/2006/relationships/hyperlink" Target="https://drive.google.com/drive/folders/10T2cTQHqEJZqE-st6uFKPoI?usp=share_link" TargetMode="External"/><Relationship Id="rId4959" Type="http://schemas.openxmlformats.org/officeDocument/2006/relationships/hyperlink" Target="https://drive.google.com/drive/folders/10T2cTQHqEJZqE-st6uFKPoI?usp=share_link" TargetMode="External"/><Relationship Id="rId4950" Type="http://schemas.openxmlformats.org/officeDocument/2006/relationships/hyperlink" Target="https://drive.google.com/drive/folders/10T2cTQHqEJZqE-st6uFKPoI?usp=share_link" TargetMode="External"/><Relationship Id="rId3621" Type="http://schemas.openxmlformats.org/officeDocument/2006/relationships/hyperlink" Target="https://drive.google.com/drive/folders/10T2cTQHqEJZqE-st6uFKPoI?usp=share_link" TargetMode="External"/><Relationship Id="rId4952" Type="http://schemas.openxmlformats.org/officeDocument/2006/relationships/hyperlink" Target="https://drive.google.com/drive/folders/10T2cTQHqEJZqE-st6uFKPoI?usp=share_link" TargetMode="External"/><Relationship Id="rId3620" Type="http://schemas.openxmlformats.org/officeDocument/2006/relationships/hyperlink" Target="https://drive.google.com/drive/folders/10T2cTQHqEJZqE-st6uFKPoI?usp=share_link" TargetMode="External"/><Relationship Id="rId4951" Type="http://schemas.openxmlformats.org/officeDocument/2006/relationships/hyperlink" Target="https://drive.google.com/drive/folders/10T2cTQHqEJZqE-st6uFKPoI?usp=share_link" TargetMode="External"/><Relationship Id="rId2324" Type="http://schemas.openxmlformats.org/officeDocument/2006/relationships/hyperlink" Target="https://drive.google.com/drive/folders/10T2cTQHqEJZqE-st6uFKPoI?usp=share_link" TargetMode="External"/><Relationship Id="rId3656" Type="http://schemas.openxmlformats.org/officeDocument/2006/relationships/hyperlink" Target="https://drive.google.com/drive/folders/10T2cTQHqEJZqE-st6uFKPoI?usp=share_link" TargetMode="External"/><Relationship Id="rId4987" Type="http://schemas.openxmlformats.org/officeDocument/2006/relationships/hyperlink" Target="https://drive.google.com/drive/folders/10T2cTQHqEJZqE-st6uFKPoI?usp=share_link" TargetMode="External"/><Relationship Id="rId2325" Type="http://schemas.openxmlformats.org/officeDocument/2006/relationships/hyperlink" Target="https://drive.google.com/drive/folders/10T2cTQHqEJZqE-st6uFKPoI?usp=share_link" TargetMode="External"/><Relationship Id="rId3655" Type="http://schemas.openxmlformats.org/officeDocument/2006/relationships/hyperlink" Target="https://drive.google.com/drive/folders/10T2cTQHqEJZqE-st6uFKPoI?usp=share_link" TargetMode="External"/><Relationship Id="rId4986" Type="http://schemas.openxmlformats.org/officeDocument/2006/relationships/hyperlink" Target="https://drive.google.com/drive/folders/10T2cTQHqEJZqE-st6uFKPoI?usp=share_link" TargetMode="External"/><Relationship Id="rId2326" Type="http://schemas.openxmlformats.org/officeDocument/2006/relationships/hyperlink" Target="https://drive.google.com/drive/folders/10T2cTQHqEJZqE-st6uFKPoI?usp=share_link" TargetMode="External"/><Relationship Id="rId3658" Type="http://schemas.openxmlformats.org/officeDocument/2006/relationships/hyperlink" Target="https://drive.google.com/drive/folders/10T2cTQHqEJZqE-st6uFKPoI?usp=share_link" TargetMode="External"/><Relationship Id="rId4989" Type="http://schemas.openxmlformats.org/officeDocument/2006/relationships/hyperlink" Target="https://drive.google.com/drive/folders/10T2cTQHqEJZqE-st6uFKPoI?usp=share_link" TargetMode="External"/><Relationship Id="rId2327" Type="http://schemas.openxmlformats.org/officeDocument/2006/relationships/hyperlink" Target="https://drive.google.com/drive/folders/10T2cTQHqEJZqE-st6uFKPoI?usp=share_link" TargetMode="External"/><Relationship Id="rId3657" Type="http://schemas.openxmlformats.org/officeDocument/2006/relationships/hyperlink" Target="https://drive.google.com/drive/folders/10T2cTQHqEJZqE-st6uFKPoI?usp=share_link" TargetMode="External"/><Relationship Id="rId4988" Type="http://schemas.openxmlformats.org/officeDocument/2006/relationships/hyperlink" Target="https://drive.google.com/drive/folders/10T2cTQHqEJZqE-st6uFKPoI?usp=share_link" TargetMode="External"/><Relationship Id="rId2328" Type="http://schemas.openxmlformats.org/officeDocument/2006/relationships/hyperlink" Target="https://drive.google.com/drive/folders/10T2cTQHqEJZqE-st6uFKPoI?usp=share_link" TargetMode="External"/><Relationship Id="rId2329" Type="http://schemas.openxmlformats.org/officeDocument/2006/relationships/hyperlink" Target="https://drive.google.com/drive/folders/10T2cTQHqEJZqE-st6uFKPoI?usp=share_link" TargetMode="External"/><Relationship Id="rId3659" Type="http://schemas.openxmlformats.org/officeDocument/2006/relationships/hyperlink" Target="https://drive.google.com/drive/folders/10T2cTQHqEJZqE-st6uFKPoI?usp=share_link" TargetMode="External"/><Relationship Id="rId3650" Type="http://schemas.openxmlformats.org/officeDocument/2006/relationships/hyperlink" Target="https://drive.google.com/drive/folders/10T2cTQHqEJZqE-st6uFKPoI?usp=share_link" TargetMode="External"/><Relationship Id="rId4981" Type="http://schemas.openxmlformats.org/officeDocument/2006/relationships/hyperlink" Target="https://drive.google.com/drive/folders/10T2cTQHqEJZqE-st6uFKPoI?usp=share_link" TargetMode="External"/><Relationship Id="rId4980" Type="http://schemas.openxmlformats.org/officeDocument/2006/relationships/hyperlink" Target="https://drive.google.com/drive/folders/10T2cTQHqEJZqE-st6uFKPoI?usp=share_link" TargetMode="External"/><Relationship Id="rId2320" Type="http://schemas.openxmlformats.org/officeDocument/2006/relationships/hyperlink" Target="https://drive.google.com/drive/folders/10T2cTQHqEJZqE-st6uFKPoI?usp=share_link" TargetMode="External"/><Relationship Id="rId3652" Type="http://schemas.openxmlformats.org/officeDocument/2006/relationships/hyperlink" Target="https://drive.google.com/drive/folders/10T2cTQHqEJZqE-st6uFKPoI?usp=share_link" TargetMode="External"/><Relationship Id="rId4983" Type="http://schemas.openxmlformats.org/officeDocument/2006/relationships/hyperlink" Target="https://drive.google.com/drive/folders/10T2cTQHqEJZqE-st6uFKPoI?usp=share_link" TargetMode="External"/><Relationship Id="rId2321" Type="http://schemas.openxmlformats.org/officeDocument/2006/relationships/hyperlink" Target="https://drive.google.com/drive/folders/10T2cTQHqEJZqE-st6uFKPoI?usp=share_link" TargetMode="External"/><Relationship Id="rId3651" Type="http://schemas.openxmlformats.org/officeDocument/2006/relationships/hyperlink" Target="https://drive.google.com/drive/folders/10T2cTQHqEJZqE-st6uFKPoI?usp=share_link" TargetMode="External"/><Relationship Id="rId4982" Type="http://schemas.openxmlformats.org/officeDocument/2006/relationships/hyperlink" Target="https://drive.google.com/drive/folders/10T2cTQHqEJZqE-st6uFKPoI?usp=share_link" TargetMode="External"/><Relationship Id="rId2322" Type="http://schemas.openxmlformats.org/officeDocument/2006/relationships/hyperlink" Target="https://drive.google.com/drive/folders/10T2cTQHqEJZqE-st6uFKPoI?usp=share_link" TargetMode="External"/><Relationship Id="rId3654" Type="http://schemas.openxmlformats.org/officeDocument/2006/relationships/hyperlink" Target="https://drive.google.com/drive/folders/10T2cTQHqEJZqE-st6uFKPoI?usp=share_link" TargetMode="External"/><Relationship Id="rId4985" Type="http://schemas.openxmlformats.org/officeDocument/2006/relationships/hyperlink" Target="https://drive.google.com/drive/folders/10T2cTQHqEJZqE-st6uFKPoI?usp=share_link" TargetMode="External"/><Relationship Id="rId2323" Type="http://schemas.openxmlformats.org/officeDocument/2006/relationships/hyperlink" Target="https://drive.google.com/drive/folders/10T2cTQHqEJZqE-st6uFKPoI?usp=share_link" TargetMode="External"/><Relationship Id="rId3653" Type="http://schemas.openxmlformats.org/officeDocument/2006/relationships/hyperlink" Target="https://drive.google.com/drive/folders/10T2cTQHqEJZqE-st6uFKPoI?usp=share_link" TargetMode="External"/><Relationship Id="rId4984" Type="http://schemas.openxmlformats.org/officeDocument/2006/relationships/hyperlink" Target="https://drive.google.com/drive/folders/10T2cTQHqEJZqE-st6uFKPoI?usp=share_link" TargetMode="External"/><Relationship Id="rId2313" Type="http://schemas.openxmlformats.org/officeDocument/2006/relationships/hyperlink" Target="https://drive.google.com/drive/folders/10T2cTQHqEJZqE-st6uFKPoI?usp=share_link" TargetMode="External"/><Relationship Id="rId3645" Type="http://schemas.openxmlformats.org/officeDocument/2006/relationships/hyperlink" Target="https://drive.google.com/drive/folders/10T2cTQHqEJZqE-st6uFKPoI?usp=share_link" TargetMode="External"/><Relationship Id="rId4976" Type="http://schemas.openxmlformats.org/officeDocument/2006/relationships/hyperlink" Target="https://drive.google.com/drive/folders/10T2cTQHqEJZqE-st6uFKPoI?usp=share_link" TargetMode="External"/><Relationship Id="rId2314" Type="http://schemas.openxmlformats.org/officeDocument/2006/relationships/hyperlink" Target="https://drive.google.com/drive/folders/10T2cTQHqEJZqE-st6uFKPoI?usp=share_link" TargetMode="External"/><Relationship Id="rId3644" Type="http://schemas.openxmlformats.org/officeDocument/2006/relationships/hyperlink" Target="https://drive.google.com/drive/folders/10T2cTQHqEJZqE-st6uFKPoI?usp=share_link" TargetMode="External"/><Relationship Id="rId4975" Type="http://schemas.openxmlformats.org/officeDocument/2006/relationships/hyperlink" Target="https://drive.google.com/drive/folders/10T2cTQHqEJZqE-st6uFKPoI?usp=share_link" TargetMode="External"/><Relationship Id="rId2315" Type="http://schemas.openxmlformats.org/officeDocument/2006/relationships/hyperlink" Target="https://drive.google.com/drive/folders/10T2cTQHqEJZqE-st6uFKPoI?usp=share_link" TargetMode="External"/><Relationship Id="rId3647" Type="http://schemas.openxmlformats.org/officeDocument/2006/relationships/hyperlink" Target="https://drive.google.com/drive/folders/10T2cTQHqEJZqE-st6uFKPoI?usp=share_link" TargetMode="External"/><Relationship Id="rId4978" Type="http://schemas.openxmlformats.org/officeDocument/2006/relationships/hyperlink" Target="https://drive.google.com/drive/folders/10T2cTQHqEJZqE-st6uFKPoI?usp=share_link" TargetMode="External"/><Relationship Id="rId2316" Type="http://schemas.openxmlformats.org/officeDocument/2006/relationships/hyperlink" Target="https://drive.google.com/drive/folders/10T2cTQHqEJZqE-st6uFKPoI?usp=share_link" TargetMode="External"/><Relationship Id="rId3646" Type="http://schemas.openxmlformats.org/officeDocument/2006/relationships/hyperlink" Target="https://drive.google.com/drive/folders/10T2cTQHqEJZqE-st6uFKPoI?usp=share_link" TargetMode="External"/><Relationship Id="rId4977" Type="http://schemas.openxmlformats.org/officeDocument/2006/relationships/hyperlink" Target="https://drive.google.com/drive/folders/10T2cTQHqEJZqE-st6uFKPoI?usp=share_link" TargetMode="External"/><Relationship Id="rId2317" Type="http://schemas.openxmlformats.org/officeDocument/2006/relationships/hyperlink" Target="https://drive.google.com/drive/folders/10T2cTQHqEJZqE-st6uFKPoI?usp=share_link" TargetMode="External"/><Relationship Id="rId3649" Type="http://schemas.openxmlformats.org/officeDocument/2006/relationships/hyperlink" Target="https://drive.google.com/drive/folders/10T2cTQHqEJZqE-st6uFKPoI?usp=share_link" TargetMode="External"/><Relationship Id="rId2318" Type="http://schemas.openxmlformats.org/officeDocument/2006/relationships/hyperlink" Target="https://drive.google.com/drive/folders/10T2cTQHqEJZqE-st6uFKPoI?usp=share_link" TargetMode="External"/><Relationship Id="rId3648" Type="http://schemas.openxmlformats.org/officeDocument/2006/relationships/hyperlink" Target="https://drive.google.com/drive/folders/10T2cTQHqEJZqE-st6uFKPoI?usp=share_link" TargetMode="External"/><Relationship Id="rId4979" Type="http://schemas.openxmlformats.org/officeDocument/2006/relationships/hyperlink" Target="https://drive.google.com/drive/folders/10T2cTQHqEJZqE-st6uFKPoI?usp=share_link" TargetMode="External"/><Relationship Id="rId2319" Type="http://schemas.openxmlformats.org/officeDocument/2006/relationships/hyperlink" Target="https://drive.google.com/drive/folders/10T2cTQHqEJZqE-st6uFKPoI?usp=share_link" TargetMode="External"/><Relationship Id="rId4970" Type="http://schemas.openxmlformats.org/officeDocument/2006/relationships/hyperlink" Target="https://drive.google.com/drive/folders/10T2cTQHqEJZqE-st6uFKPoI?usp=share_link" TargetMode="External"/><Relationship Id="rId3641" Type="http://schemas.openxmlformats.org/officeDocument/2006/relationships/hyperlink" Target="https://drive.google.com/drive/folders/10T2cTQHqEJZqE-st6uFKPoI?usp=share_link" TargetMode="External"/><Relationship Id="rId4972" Type="http://schemas.openxmlformats.org/officeDocument/2006/relationships/hyperlink" Target="https://drive.google.com/drive/folders/10T2cTQHqEJZqE-st6uFKPoI?usp=share_link" TargetMode="External"/><Relationship Id="rId2310" Type="http://schemas.openxmlformats.org/officeDocument/2006/relationships/hyperlink" Target="https://drive.google.com/drive/folders/10T2cTQHqEJZqE-st6uFKPoI?usp=share_link" TargetMode="External"/><Relationship Id="rId3640" Type="http://schemas.openxmlformats.org/officeDocument/2006/relationships/hyperlink" Target="https://drive.google.com/drive/folders/10T2cTQHqEJZqE-st6uFKPoI?usp=share_link" TargetMode="External"/><Relationship Id="rId4971" Type="http://schemas.openxmlformats.org/officeDocument/2006/relationships/hyperlink" Target="https://drive.google.com/drive/folders/10T2cTQHqEJZqE-st6uFKPoI?usp=share_link" TargetMode="External"/><Relationship Id="rId2311" Type="http://schemas.openxmlformats.org/officeDocument/2006/relationships/hyperlink" Target="https://drive.google.com/drive/folders/10T2cTQHqEJZqE-st6uFKPoI?usp=share_link" TargetMode="External"/><Relationship Id="rId3643" Type="http://schemas.openxmlformats.org/officeDocument/2006/relationships/hyperlink" Target="https://drive.google.com/drive/folders/10T2cTQHqEJZqE-st6uFKPoI?usp=share_link" TargetMode="External"/><Relationship Id="rId4974" Type="http://schemas.openxmlformats.org/officeDocument/2006/relationships/hyperlink" Target="https://drive.google.com/drive/folders/10T2cTQHqEJZqE-st6uFKPoI?usp=share_link" TargetMode="External"/><Relationship Id="rId2312" Type="http://schemas.openxmlformats.org/officeDocument/2006/relationships/hyperlink" Target="https://drive.google.com/drive/folders/10T2cTQHqEJZqE-st6uFKPoI?usp=share_link" TargetMode="External"/><Relationship Id="rId3642" Type="http://schemas.openxmlformats.org/officeDocument/2006/relationships/hyperlink" Target="https://drive.google.com/drive/folders/10T2cTQHqEJZqE-st6uFKPoI?usp=share_link" TargetMode="External"/><Relationship Id="rId4973" Type="http://schemas.openxmlformats.org/officeDocument/2006/relationships/hyperlink" Target="https://drive.google.com/drive/folders/10T2cTQHqEJZqE-st6uFKPoI?usp=share_link" TargetMode="External"/><Relationship Id="rId1895" Type="http://schemas.openxmlformats.org/officeDocument/2006/relationships/hyperlink" Target="https://drive.google.com/drive/folders/10T2cTQHqEJZqE-st6uFKPoI?usp=share_link" TargetMode="External"/><Relationship Id="rId4921" Type="http://schemas.openxmlformats.org/officeDocument/2006/relationships/hyperlink" Target="https://drive.google.com/drive/folders/10T2cTQHqEJZqE-st6uFKPoI?usp=share_link" TargetMode="External"/><Relationship Id="rId1896" Type="http://schemas.openxmlformats.org/officeDocument/2006/relationships/hyperlink" Target="https://drive.google.com/drive/folders/10T2cTQHqEJZqE-st6uFKPoI?usp=share_link" TargetMode="External"/><Relationship Id="rId4920" Type="http://schemas.openxmlformats.org/officeDocument/2006/relationships/hyperlink" Target="https://drive.google.com/drive/folders/10T2cTQHqEJZqE-st6uFKPoI?usp=share_link" TargetMode="External"/><Relationship Id="rId1897" Type="http://schemas.openxmlformats.org/officeDocument/2006/relationships/hyperlink" Target="https://drive.google.com/drive/folders/10T2cTQHqEJZqE-st6uFKPoI?usp=share_link" TargetMode="External"/><Relationship Id="rId4923" Type="http://schemas.openxmlformats.org/officeDocument/2006/relationships/hyperlink" Target="https://drive.google.com/drive/folders/10T2cTQHqEJZqE-st6uFKPoI?usp=share_link" TargetMode="External"/><Relationship Id="rId1898" Type="http://schemas.openxmlformats.org/officeDocument/2006/relationships/hyperlink" Target="https://drive.google.com/drive/folders/10T2cTQHqEJZqE-st6uFKPoI?usp=share_link" TargetMode="External"/><Relationship Id="rId4922" Type="http://schemas.openxmlformats.org/officeDocument/2006/relationships/hyperlink" Target="https://drive.google.com/drive/folders/10T2cTQHqEJZqE-st6uFKPoI?usp=share_link" TargetMode="External"/><Relationship Id="rId1899" Type="http://schemas.openxmlformats.org/officeDocument/2006/relationships/hyperlink" Target="https://drive.google.com/drive/folders/10T2cTQHqEJZqE-st6uFKPoI?usp=share_link" TargetMode="External"/><Relationship Id="rId4925" Type="http://schemas.openxmlformats.org/officeDocument/2006/relationships/hyperlink" Target="https://drive.google.com/drive/folders/10T2cTQHqEJZqE-st6uFKPoI?usp=share_link" TargetMode="External"/><Relationship Id="rId4924" Type="http://schemas.openxmlformats.org/officeDocument/2006/relationships/hyperlink" Target="https://drive.google.com/drive/folders/10T2cTQHqEJZqE-st6uFKPoI?usp=share_link" TargetMode="External"/><Relationship Id="rId4927" Type="http://schemas.openxmlformats.org/officeDocument/2006/relationships/hyperlink" Target="https://drive.google.com/drive/folders/10T2cTQHqEJZqE-st6uFKPoI?usp=share_link" TargetMode="External"/><Relationship Id="rId4926" Type="http://schemas.openxmlformats.org/officeDocument/2006/relationships/hyperlink" Target="https://drive.google.com/drive/folders/10T2cTQHqEJZqE-st6uFKPoI?usp=share_link" TargetMode="External"/><Relationship Id="rId4929" Type="http://schemas.openxmlformats.org/officeDocument/2006/relationships/hyperlink" Target="https://drive.google.com/drive/folders/10T2cTQHqEJZqE-st6uFKPoI?usp=share_link" TargetMode="External"/><Relationship Id="rId4928" Type="http://schemas.openxmlformats.org/officeDocument/2006/relationships/hyperlink" Target="https://drive.google.com/drive/folders/10T2cTQHqEJZqE-st6uFKPoI?usp=share_link" TargetMode="External"/><Relationship Id="rId1890" Type="http://schemas.openxmlformats.org/officeDocument/2006/relationships/hyperlink" Target="https://drive.google.com/drive/folders/10T2cTQHqEJZqE-st6uFKPoI?usp=share_link" TargetMode="External"/><Relationship Id="rId1891" Type="http://schemas.openxmlformats.org/officeDocument/2006/relationships/hyperlink" Target="https://drive.google.com/drive/folders/10T2cTQHqEJZqE-st6uFKPoI?usp=share_link" TargetMode="External"/><Relationship Id="rId1892" Type="http://schemas.openxmlformats.org/officeDocument/2006/relationships/hyperlink" Target="https://drive.google.com/drive/folders/10T2cTQHqEJZqE-st6uFKPoI?usp=share_link" TargetMode="External"/><Relationship Id="rId1893" Type="http://schemas.openxmlformats.org/officeDocument/2006/relationships/hyperlink" Target="https://drive.google.com/drive/folders/10T2cTQHqEJZqE-st6uFKPoI?usp=share_link" TargetMode="External"/><Relationship Id="rId1894" Type="http://schemas.openxmlformats.org/officeDocument/2006/relationships/hyperlink" Target="https://drive.google.com/drive/folders/10T2cTQHqEJZqE-st6uFKPoI?usp=share_link" TargetMode="External"/><Relationship Id="rId1884" Type="http://schemas.openxmlformats.org/officeDocument/2006/relationships/hyperlink" Target="https://drive.google.com/drive/folders/10T2cTQHqEJZqE-st6uFKPoI?usp=share_link" TargetMode="External"/><Relationship Id="rId4910" Type="http://schemas.openxmlformats.org/officeDocument/2006/relationships/hyperlink" Target="https://drive.google.com/drive/folders/10T2cTQHqEJZqE-st6uFKPoI?usp=share_link" TargetMode="External"/><Relationship Id="rId1885" Type="http://schemas.openxmlformats.org/officeDocument/2006/relationships/hyperlink" Target="https://drive.google.com/drive/folders/10T2cTQHqEJZqE-st6uFKPoI?usp=share_link" TargetMode="External"/><Relationship Id="rId1886" Type="http://schemas.openxmlformats.org/officeDocument/2006/relationships/hyperlink" Target="https://drive.google.com/drive/folders/10T2cTQHqEJZqE-st6uFKPoI?usp=share_link" TargetMode="External"/><Relationship Id="rId4912" Type="http://schemas.openxmlformats.org/officeDocument/2006/relationships/hyperlink" Target="https://drive.google.com/drive/folders/10T2cTQHqEJZqE-st6uFKPoI?usp=share_link" TargetMode="External"/><Relationship Id="rId1887" Type="http://schemas.openxmlformats.org/officeDocument/2006/relationships/hyperlink" Target="https://drive.google.com/drive/folders/10T2cTQHqEJZqE-st6uFKPoI?usp=share_link" TargetMode="External"/><Relationship Id="rId4911" Type="http://schemas.openxmlformats.org/officeDocument/2006/relationships/hyperlink" Target="https://drive.google.com/drive/folders/10T2cTQHqEJZqE-st6uFKPoI?usp=share_link" TargetMode="External"/><Relationship Id="rId1888" Type="http://schemas.openxmlformats.org/officeDocument/2006/relationships/hyperlink" Target="https://drive.google.com/drive/folders/10T2cTQHqEJZqE-st6uFKPoI?usp=share_link" TargetMode="External"/><Relationship Id="rId4914" Type="http://schemas.openxmlformats.org/officeDocument/2006/relationships/hyperlink" Target="https://drive.google.com/drive/folders/10T2cTQHqEJZqE-st6uFKPoI?usp=share_link" TargetMode="External"/><Relationship Id="rId1889" Type="http://schemas.openxmlformats.org/officeDocument/2006/relationships/hyperlink" Target="https://drive.google.com/drive/folders/10T2cTQHqEJZqE-st6uFKPoI?usp=share_link" TargetMode="External"/><Relationship Id="rId4913" Type="http://schemas.openxmlformats.org/officeDocument/2006/relationships/hyperlink" Target="https://drive.google.com/drive/folders/10T2cTQHqEJZqE-st6uFKPoI?usp=share_link" TargetMode="External"/><Relationship Id="rId4916" Type="http://schemas.openxmlformats.org/officeDocument/2006/relationships/hyperlink" Target="https://drive.google.com/drive/folders/10T2cTQHqEJZqE-st6uFKPoI?usp=share_link" TargetMode="External"/><Relationship Id="rId4915" Type="http://schemas.openxmlformats.org/officeDocument/2006/relationships/hyperlink" Target="https://drive.google.com/drive/folders/10T2cTQHqEJZqE-st6uFKPoI?usp=share_link" TargetMode="External"/><Relationship Id="rId4918" Type="http://schemas.openxmlformats.org/officeDocument/2006/relationships/hyperlink" Target="https://drive.google.com/drive/folders/10T2cTQHqEJZqE-st6uFKPoI?usp=share_link" TargetMode="External"/><Relationship Id="rId4917" Type="http://schemas.openxmlformats.org/officeDocument/2006/relationships/hyperlink" Target="https://drive.google.com/drive/folders/10T2cTQHqEJZqE-st6uFKPoI?usp=share_link" TargetMode="External"/><Relationship Id="rId4919" Type="http://schemas.openxmlformats.org/officeDocument/2006/relationships/hyperlink" Target="https://drive.google.com/drive/folders/10T2cTQHqEJZqE-st6uFKPoI?usp=share_link" TargetMode="External"/><Relationship Id="rId1880" Type="http://schemas.openxmlformats.org/officeDocument/2006/relationships/hyperlink" Target="https://drive.google.com/drive/folders/10T2cTQHqEJZqE-st6uFKPoI?usp=share_link" TargetMode="External"/><Relationship Id="rId1881" Type="http://schemas.openxmlformats.org/officeDocument/2006/relationships/hyperlink" Target="https://drive.google.com/drive/folders/10T2cTQHqEJZqE-st6uFKPoI?usp=share_link" TargetMode="External"/><Relationship Id="rId1882" Type="http://schemas.openxmlformats.org/officeDocument/2006/relationships/hyperlink" Target="https://drive.google.com/drive/folders/10T2cTQHqEJZqE-st6uFKPoI?usp=share_link" TargetMode="External"/><Relationship Id="rId1883" Type="http://schemas.openxmlformats.org/officeDocument/2006/relationships/hyperlink" Target="https://drive.google.com/drive/folders/10T2cTQHqEJZqE-st6uFKPoI?usp=share_link" TargetMode="External"/><Relationship Id="rId3612" Type="http://schemas.openxmlformats.org/officeDocument/2006/relationships/hyperlink" Target="https://drive.google.com/drive/folders/10T2cTQHqEJZqE-st6uFKPoI?usp=share_link" TargetMode="External"/><Relationship Id="rId4943" Type="http://schemas.openxmlformats.org/officeDocument/2006/relationships/hyperlink" Target="https://drive.google.com/drive/folders/10T2cTQHqEJZqE-st6uFKPoI?usp=share_link" TargetMode="External"/><Relationship Id="rId3611" Type="http://schemas.openxmlformats.org/officeDocument/2006/relationships/hyperlink" Target="https://drive.google.com/drive/folders/10T2cTQHqEJZqE-st6uFKPoI?usp=share_link" TargetMode="External"/><Relationship Id="rId4942" Type="http://schemas.openxmlformats.org/officeDocument/2006/relationships/hyperlink" Target="https://drive.google.com/drive/folders/10T2cTQHqEJZqE-st6uFKPoI?usp=share_link" TargetMode="External"/><Relationship Id="rId3614" Type="http://schemas.openxmlformats.org/officeDocument/2006/relationships/hyperlink" Target="https://drive.google.com/drive/folders/10T2cTQHqEJZqE-st6uFKPoI?usp=share_link" TargetMode="External"/><Relationship Id="rId4945" Type="http://schemas.openxmlformats.org/officeDocument/2006/relationships/hyperlink" Target="https://drive.google.com/drive/folders/10T2cTQHqEJZqE-st6uFKPoI?usp=share_link" TargetMode="External"/><Relationship Id="rId3613" Type="http://schemas.openxmlformats.org/officeDocument/2006/relationships/hyperlink" Target="https://drive.google.com/drive/folders/10T2cTQHqEJZqE-st6uFKPoI?usp=share_link" TargetMode="External"/><Relationship Id="rId4944" Type="http://schemas.openxmlformats.org/officeDocument/2006/relationships/hyperlink" Target="https://drive.google.com/drive/folders/10T2cTQHqEJZqE-st6uFKPoI?usp=share_link" TargetMode="External"/><Relationship Id="rId3616" Type="http://schemas.openxmlformats.org/officeDocument/2006/relationships/hyperlink" Target="https://drive.google.com/drive/folders/10T2cTQHqEJZqE-st6uFKPoI?usp=share_link" TargetMode="External"/><Relationship Id="rId4947" Type="http://schemas.openxmlformats.org/officeDocument/2006/relationships/hyperlink" Target="https://drive.google.com/drive/folders/10T2cTQHqEJZqE-st6uFKPoI?usp=share_link" TargetMode="External"/><Relationship Id="rId3615" Type="http://schemas.openxmlformats.org/officeDocument/2006/relationships/hyperlink" Target="https://drive.google.com/drive/folders/10T2cTQHqEJZqE-st6uFKPoI?usp=share_link" TargetMode="External"/><Relationship Id="rId4946" Type="http://schemas.openxmlformats.org/officeDocument/2006/relationships/hyperlink" Target="https://drive.google.com/drive/folders/10T2cTQHqEJZqE-st6uFKPoI?usp=share_link" TargetMode="External"/><Relationship Id="rId3618" Type="http://schemas.openxmlformats.org/officeDocument/2006/relationships/hyperlink" Target="https://drive.google.com/drive/folders/10T2cTQHqEJZqE-st6uFKPoI?usp=share_link" TargetMode="External"/><Relationship Id="rId4949" Type="http://schemas.openxmlformats.org/officeDocument/2006/relationships/hyperlink" Target="https://drive.google.com/drive/folders/10T2cTQHqEJZqE-st6uFKPoI?usp=share_link" TargetMode="External"/><Relationship Id="rId3617" Type="http://schemas.openxmlformats.org/officeDocument/2006/relationships/hyperlink" Target="https://drive.google.com/drive/folders/10T2cTQHqEJZqE-st6uFKPoI?usp=share_link" TargetMode="External"/><Relationship Id="rId4948" Type="http://schemas.openxmlformats.org/officeDocument/2006/relationships/hyperlink" Target="https://drive.google.com/drive/folders/10T2cTQHqEJZqE-st6uFKPoI?usp=share_link" TargetMode="External"/><Relationship Id="rId3619" Type="http://schemas.openxmlformats.org/officeDocument/2006/relationships/hyperlink" Target="https://drive.google.com/drive/folders/10T2cTQHqEJZqE-st6uFKPoI?usp=share_link" TargetMode="External"/><Relationship Id="rId3610" Type="http://schemas.openxmlformats.org/officeDocument/2006/relationships/hyperlink" Target="https://drive.google.com/drive/folders/10T2cTQHqEJZqE-st6uFKPoI?usp=share_link" TargetMode="External"/><Relationship Id="rId4941" Type="http://schemas.openxmlformats.org/officeDocument/2006/relationships/hyperlink" Target="https://drive.google.com/drive/folders/10T2cTQHqEJZqE-st6uFKPoI?usp=share_link" TargetMode="External"/><Relationship Id="rId4940" Type="http://schemas.openxmlformats.org/officeDocument/2006/relationships/hyperlink" Target="https://drive.google.com/drive/folders/10T2cTQHqEJZqE-st6uFKPoI?usp=share_link" TargetMode="External"/><Relationship Id="rId3601" Type="http://schemas.openxmlformats.org/officeDocument/2006/relationships/hyperlink" Target="https://drive.google.com/drive/folders/10T2cTQHqEJZqE-st6uFKPoI?usp=share_link" TargetMode="External"/><Relationship Id="rId4932" Type="http://schemas.openxmlformats.org/officeDocument/2006/relationships/hyperlink" Target="https://drive.google.com/drive/folders/10T2cTQHqEJZqE-st6uFKPoI?usp=share_link" TargetMode="External"/><Relationship Id="rId3600" Type="http://schemas.openxmlformats.org/officeDocument/2006/relationships/hyperlink" Target="https://drive.google.com/drive/folders/10T2cTQHqEJZqE-st6uFKPoI?usp=share_link" TargetMode="External"/><Relationship Id="rId4931" Type="http://schemas.openxmlformats.org/officeDocument/2006/relationships/hyperlink" Target="https://drive.google.com/drive/folders/10T2cTQHqEJZqE-st6uFKPoI?usp=share_link" TargetMode="External"/><Relationship Id="rId3603" Type="http://schemas.openxmlformats.org/officeDocument/2006/relationships/hyperlink" Target="https://drive.google.com/drive/folders/10T2cTQHqEJZqE-st6uFKPoI?usp=share_link" TargetMode="External"/><Relationship Id="rId4934" Type="http://schemas.openxmlformats.org/officeDocument/2006/relationships/hyperlink" Target="https://drive.google.com/drive/folders/10T2cTQHqEJZqE-st6uFKPoI?usp=share_link" TargetMode="External"/><Relationship Id="rId3602" Type="http://schemas.openxmlformats.org/officeDocument/2006/relationships/hyperlink" Target="https://drive.google.com/drive/folders/10T2cTQHqEJZqE-st6uFKPoI?usp=share_link" TargetMode="External"/><Relationship Id="rId4933" Type="http://schemas.openxmlformats.org/officeDocument/2006/relationships/hyperlink" Target="https://drive.google.com/drive/folders/10T2cTQHqEJZqE-st6uFKPoI?usp=share_link" TargetMode="External"/><Relationship Id="rId3605" Type="http://schemas.openxmlformats.org/officeDocument/2006/relationships/hyperlink" Target="https://drive.google.com/drive/folders/10T2cTQHqEJZqE-st6uFKPoI?usp=share_link" TargetMode="External"/><Relationship Id="rId4936" Type="http://schemas.openxmlformats.org/officeDocument/2006/relationships/hyperlink" Target="https://drive.google.com/drive/folders/10T2cTQHqEJZqE-st6uFKPoI?usp=share_link" TargetMode="External"/><Relationship Id="rId3604" Type="http://schemas.openxmlformats.org/officeDocument/2006/relationships/hyperlink" Target="https://drive.google.com/drive/folders/10T2cTQHqEJZqE-st6uFKPoI?usp=share_link" TargetMode="External"/><Relationship Id="rId4935" Type="http://schemas.openxmlformats.org/officeDocument/2006/relationships/hyperlink" Target="https://drive.google.com/drive/folders/10T2cTQHqEJZqE-st6uFKPoI?usp=share_link" TargetMode="External"/><Relationship Id="rId3607" Type="http://schemas.openxmlformats.org/officeDocument/2006/relationships/hyperlink" Target="https://drive.google.com/drive/folders/10T2cTQHqEJZqE-st6uFKPoI?usp=share_link" TargetMode="External"/><Relationship Id="rId4938" Type="http://schemas.openxmlformats.org/officeDocument/2006/relationships/hyperlink" Target="https://drive.google.com/drive/folders/10T2cTQHqEJZqE-st6uFKPoI?usp=share_link" TargetMode="External"/><Relationship Id="rId3606" Type="http://schemas.openxmlformats.org/officeDocument/2006/relationships/hyperlink" Target="https://drive.google.com/drive/folders/10T2cTQHqEJZqE-st6uFKPoI?usp=share_link" TargetMode="External"/><Relationship Id="rId4937" Type="http://schemas.openxmlformats.org/officeDocument/2006/relationships/hyperlink" Target="https://drive.google.com/drive/folders/10T2cTQHqEJZqE-st6uFKPoI?usp=share_link" TargetMode="External"/><Relationship Id="rId3609" Type="http://schemas.openxmlformats.org/officeDocument/2006/relationships/hyperlink" Target="https://drive.google.com/drive/folders/10T2cTQHqEJZqE-st6uFKPoI?usp=share_link" TargetMode="External"/><Relationship Id="rId3608" Type="http://schemas.openxmlformats.org/officeDocument/2006/relationships/hyperlink" Target="https://drive.google.com/drive/folders/10T2cTQHqEJZqE-st6uFKPoI?usp=share_link" TargetMode="External"/><Relationship Id="rId4939" Type="http://schemas.openxmlformats.org/officeDocument/2006/relationships/hyperlink" Target="https://drive.google.com/drive/folders/10T2cTQHqEJZqE-st6uFKPoI?usp=share_link" TargetMode="External"/><Relationship Id="rId4930" Type="http://schemas.openxmlformats.org/officeDocument/2006/relationships/hyperlink" Target="https://drive.google.com/drive/folders/10T2cTQHqEJZqE-st6uFKPoI?usp=share_link" TargetMode="External"/><Relationship Id="rId1059" Type="http://schemas.openxmlformats.org/officeDocument/2006/relationships/hyperlink" Target="https://drive.google.com/drive/folders/10T2cTQHqEJZqE-st6uFKPoI?usp=share_link" TargetMode="External"/><Relationship Id="rId5417" Type="http://schemas.openxmlformats.org/officeDocument/2006/relationships/hyperlink" Target="https://drive.google.com/drive/folders/10T2cTQHqEJZqE-st6uFKPoI?usp=share_link" TargetMode="External"/><Relationship Id="rId5418" Type="http://schemas.openxmlformats.org/officeDocument/2006/relationships/hyperlink" Target="https://drive.google.com/drive/folders/10T2cTQHqEJZqE-st6uFKPoI?usp=share_link" TargetMode="External"/><Relationship Id="rId5415" Type="http://schemas.openxmlformats.org/officeDocument/2006/relationships/hyperlink" Target="https://drive.google.com/drive/folders/10T2cTQHqEJZqE-st6uFKPoI?usp=share_link" TargetMode="External"/><Relationship Id="rId5416" Type="http://schemas.openxmlformats.org/officeDocument/2006/relationships/hyperlink" Target="https://drive.google.com/drive/folders/10T2cTQHqEJZqE-st6uFKPoI?usp=share_link" TargetMode="External"/><Relationship Id="rId5419" Type="http://schemas.openxmlformats.org/officeDocument/2006/relationships/hyperlink" Target="https://drive.google.com/drive/folders/10T2cTQHqEJZqE-st6uFKPoI?usp=share_link" TargetMode="External"/><Relationship Id="rId228" Type="http://schemas.openxmlformats.org/officeDocument/2006/relationships/hyperlink" Target="https://drive.google.com/drive/folders/10T2cTQHqEJZqE-st6uFKPoI?usp=share_link" TargetMode="External"/><Relationship Id="rId227" Type="http://schemas.openxmlformats.org/officeDocument/2006/relationships/hyperlink" Target="https://drive.google.com/drive/folders/10T2cTQHqEJZqE-st6uFKPoI?usp=share_link" TargetMode="External"/><Relationship Id="rId226" Type="http://schemas.openxmlformats.org/officeDocument/2006/relationships/hyperlink" Target="https://drive.google.com/drive/folders/10T2cTQHqEJZqE-st6uFKPoI?usp=share_link" TargetMode="External"/><Relationship Id="rId225" Type="http://schemas.openxmlformats.org/officeDocument/2006/relationships/hyperlink" Target="https://drive.google.com/drive/folders/10T2cTQHqEJZqE-st6uFKPoI?usp=share_link" TargetMode="External"/><Relationship Id="rId2380" Type="http://schemas.openxmlformats.org/officeDocument/2006/relationships/hyperlink" Target="https://drive.google.com/drive/folders/10T2cTQHqEJZqE-st6uFKPoI?usp=share_link" TargetMode="External"/><Relationship Id="rId229" Type="http://schemas.openxmlformats.org/officeDocument/2006/relationships/hyperlink" Target="https://drive.google.com/drive/folders/10T2cTQHqEJZqE-st6uFKPoI?usp=share_link" TargetMode="External"/><Relationship Id="rId1050" Type="http://schemas.openxmlformats.org/officeDocument/2006/relationships/hyperlink" Target="https://drive.google.com/drive/folders/10T2cTQHqEJZqE-st6uFKPoI?usp=share_link" TargetMode="External"/><Relationship Id="rId2381" Type="http://schemas.openxmlformats.org/officeDocument/2006/relationships/hyperlink" Target="https://drive.google.com/drive/folders/10T2cTQHqEJZqE-st6uFKPoI?usp=share_link" TargetMode="External"/><Relationship Id="rId220" Type="http://schemas.openxmlformats.org/officeDocument/2006/relationships/hyperlink" Target="https://drive.google.com/drive/folders/10T2cTQHqEJZqE-st6uFKPoI?usp=share_link" TargetMode="External"/><Relationship Id="rId1051" Type="http://schemas.openxmlformats.org/officeDocument/2006/relationships/hyperlink" Target="https://drive.google.com/drive/folders/10T2cTQHqEJZqE-st6uFKPoI?usp=share_link" TargetMode="External"/><Relationship Id="rId2382" Type="http://schemas.openxmlformats.org/officeDocument/2006/relationships/hyperlink" Target="https://drive.google.com/drive/folders/10T2cTQHqEJZqE-st6uFKPoI?usp=share_link" TargetMode="External"/><Relationship Id="rId1052" Type="http://schemas.openxmlformats.org/officeDocument/2006/relationships/hyperlink" Target="https://drive.google.com/drive/folders/10T2cTQHqEJZqE-st6uFKPoI?usp=share_link" TargetMode="External"/><Relationship Id="rId2383" Type="http://schemas.openxmlformats.org/officeDocument/2006/relationships/hyperlink" Target="https://drive.google.com/drive/folders/10T2cTQHqEJZqE-st6uFKPoI?usp=share_link" TargetMode="External"/><Relationship Id="rId5410" Type="http://schemas.openxmlformats.org/officeDocument/2006/relationships/hyperlink" Target="https://drive.google.com/drive/folders/10T2cTQHqEJZqE-st6uFKPoI?usp=share_link" TargetMode="External"/><Relationship Id="rId1053" Type="http://schemas.openxmlformats.org/officeDocument/2006/relationships/hyperlink" Target="https://drive.google.com/drive/folders/10T2cTQHqEJZqE-st6uFKPoI?usp=share_link" TargetMode="External"/><Relationship Id="rId2384" Type="http://schemas.openxmlformats.org/officeDocument/2006/relationships/hyperlink" Target="https://drive.google.com/drive/folders/10T2cTQHqEJZqE-st6uFKPoI?usp=share_link" TargetMode="External"/><Relationship Id="rId1054" Type="http://schemas.openxmlformats.org/officeDocument/2006/relationships/hyperlink" Target="https://drive.google.com/drive/folders/10T2cTQHqEJZqE-st6uFKPoI?usp=share_link" TargetMode="External"/><Relationship Id="rId2385" Type="http://schemas.openxmlformats.org/officeDocument/2006/relationships/hyperlink" Target="https://drive.google.com/drive/folders/10T2cTQHqEJZqE-st6uFKPoI?usp=share_link" TargetMode="External"/><Relationship Id="rId224" Type="http://schemas.openxmlformats.org/officeDocument/2006/relationships/hyperlink" Target="https://drive.google.com/drive/folders/10T2cTQHqEJZqE-st6uFKPoI?usp=share_link" TargetMode="External"/><Relationship Id="rId1055" Type="http://schemas.openxmlformats.org/officeDocument/2006/relationships/hyperlink" Target="https://drive.google.com/drive/folders/10T2cTQHqEJZqE-st6uFKPoI?usp=share_link" TargetMode="External"/><Relationship Id="rId2386" Type="http://schemas.openxmlformats.org/officeDocument/2006/relationships/hyperlink" Target="https://drive.google.com/drive/folders/10T2cTQHqEJZqE-st6uFKPoI?usp=share_link" TargetMode="External"/><Relationship Id="rId5413" Type="http://schemas.openxmlformats.org/officeDocument/2006/relationships/hyperlink" Target="https://drive.google.com/drive/folders/10T2cTQHqEJZqE-st6uFKPoI?usp=share_link" TargetMode="External"/><Relationship Id="rId223" Type="http://schemas.openxmlformats.org/officeDocument/2006/relationships/hyperlink" Target="https://drive.google.com/drive/folders/10T2cTQHqEJZqE-st6uFKPoI?usp=share_link" TargetMode="External"/><Relationship Id="rId1056" Type="http://schemas.openxmlformats.org/officeDocument/2006/relationships/hyperlink" Target="https://drive.google.com/drive/folders/10T2cTQHqEJZqE-st6uFKPoI?usp=share_link" TargetMode="External"/><Relationship Id="rId2387" Type="http://schemas.openxmlformats.org/officeDocument/2006/relationships/hyperlink" Target="https://drive.google.com/drive/folders/10T2cTQHqEJZqE-st6uFKPoI?usp=share_link" TargetMode="External"/><Relationship Id="rId5414" Type="http://schemas.openxmlformats.org/officeDocument/2006/relationships/hyperlink" Target="https://drive.google.com/drive/folders/10T2cTQHqEJZqE-st6uFKPoI?usp=share_link" TargetMode="External"/><Relationship Id="rId222" Type="http://schemas.openxmlformats.org/officeDocument/2006/relationships/hyperlink" Target="https://drive.google.com/drive/folders/10T2cTQHqEJZqE-st6uFKPoI?usp=share_link" TargetMode="External"/><Relationship Id="rId1057" Type="http://schemas.openxmlformats.org/officeDocument/2006/relationships/hyperlink" Target="https://drive.google.com/drive/folders/10T2cTQHqEJZqE-st6uFKPoI?usp=share_link" TargetMode="External"/><Relationship Id="rId2388" Type="http://schemas.openxmlformats.org/officeDocument/2006/relationships/hyperlink" Target="https://drive.google.com/drive/folders/10T2cTQHqEJZqE-st6uFKPoI?usp=share_link" TargetMode="External"/><Relationship Id="rId5411" Type="http://schemas.openxmlformats.org/officeDocument/2006/relationships/hyperlink" Target="https://drive.google.com/drive/folders/10T2cTQHqEJZqE-st6uFKPoI?usp=share_link" TargetMode="External"/><Relationship Id="rId221" Type="http://schemas.openxmlformats.org/officeDocument/2006/relationships/hyperlink" Target="https://drive.google.com/drive/folders/10T2cTQHqEJZqE-st6uFKPoI?usp=share_link" TargetMode="External"/><Relationship Id="rId1058" Type="http://schemas.openxmlformats.org/officeDocument/2006/relationships/hyperlink" Target="https://drive.google.com/drive/folders/10T2cTQHqEJZqE-st6uFKPoI?usp=share_link" TargetMode="External"/><Relationship Id="rId2389" Type="http://schemas.openxmlformats.org/officeDocument/2006/relationships/hyperlink" Target="https://drive.google.com/drive/folders/10T2cTQHqEJZqE-st6uFKPoI?usp=share_link" TargetMode="External"/><Relationship Id="rId5412" Type="http://schemas.openxmlformats.org/officeDocument/2006/relationships/hyperlink" Target="https://drive.google.com/drive/folders/10T2cTQHqEJZqE-st6uFKPoI?usp=share_link" TargetMode="External"/><Relationship Id="rId1048" Type="http://schemas.openxmlformats.org/officeDocument/2006/relationships/hyperlink" Target="https://drive.google.com/drive/folders/10T2cTQHqEJZqE-st6uFKPoI?usp=share_link" TargetMode="External"/><Relationship Id="rId2379" Type="http://schemas.openxmlformats.org/officeDocument/2006/relationships/hyperlink" Target="https://drive.google.com/drive/folders/10T2cTQHqEJZqE-st6uFKPoI?usp=share_link" TargetMode="External"/><Relationship Id="rId5406" Type="http://schemas.openxmlformats.org/officeDocument/2006/relationships/hyperlink" Target="https://drive.google.com/drive/folders/10T2cTQHqEJZqE-st6uFKPoI?usp=share_link" TargetMode="External"/><Relationship Id="rId1049" Type="http://schemas.openxmlformats.org/officeDocument/2006/relationships/hyperlink" Target="https://drive.google.com/drive/folders/10T2cTQHqEJZqE-st6uFKPoI?usp=share_link" TargetMode="External"/><Relationship Id="rId5407" Type="http://schemas.openxmlformats.org/officeDocument/2006/relationships/hyperlink" Target="https://drive.google.com/drive/folders/10T2cTQHqEJZqE-st6uFKPoI?usp=share_link" TargetMode="External"/><Relationship Id="rId5404" Type="http://schemas.openxmlformats.org/officeDocument/2006/relationships/hyperlink" Target="https://drive.google.com/drive/folders/10T2cTQHqEJZqE-st6uFKPoI?usp=share_link" TargetMode="External"/><Relationship Id="rId5405" Type="http://schemas.openxmlformats.org/officeDocument/2006/relationships/hyperlink" Target="https://drive.google.com/drive/folders/10T2cTQHqEJZqE-st6uFKPoI?usp=share_link" TargetMode="External"/><Relationship Id="rId5408" Type="http://schemas.openxmlformats.org/officeDocument/2006/relationships/hyperlink" Target="https://drive.google.com/drive/folders/10T2cTQHqEJZqE-st6uFKPoI?usp=share_link" TargetMode="External"/><Relationship Id="rId5409" Type="http://schemas.openxmlformats.org/officeDocument/2006/relationships/hyperlink" Target="https://drive.google.com/drive/folders/10T2cTQHqEJZqE-st6uFKPoI?usp=share_link" TargetMode="External"/><Relationship Id="rId217" Type="http://schemas.openxmlformats.org/officeDocument/2006/relationships/hyperlink" Target="https://drive.google.com/drive/folders/10T2cTQHqEJZqE-st6uFKPoI?usp=share_link" TargetMode="External"/><Relationship Id="rId216" Type="http://schemas.openxmlformats.org/officeDocument/2006/relationships/hyperlink" Target="https://drive.google.com/drive/folders/10T2cTQHqEJZqE-st6uFKPoI?usp=share_link" TargetMode="External"/><Relationship Id="rId215" Type="http://schemas.openxmlformats.org/officeDocument/2006/relationships/hyperlink" Target="https://drive.google.com/drive/folders/10T2cTQHqEJZqE-st6uFKPoI?usp=share_link" TargetMode="External"/><Relationship Id="rId214" Type="http://schemas.openxmlformats.org/officeDocument/2006/relationships/hyperlink" Target="https://drive.google.com/drive/folders/10T2cTQHqEJZqE-st6uFKPoI?usp=share_link" TargetMode="External"/><Relationship Id="rId219" Type="http://schemas.openxmlformats.org/officeDocument/2006/relationships/hyperlink" Target="https://drive.google.com/drive/folders/10T2cTQHqEJZqE-st6uFKPoI?usp=share_link" TargetMode="External"/><Relationship Id="rId218" Type="http://schemas.openxmlformats.org/officeDocument/2006/relationships/hyperlink" Target="https://drive.google.com/drive/folders/10T2cTQHqEJZqE-st6uFKPoI?usp=share_link" TargetMode="External"/><Relationship Id="rId2370" Type="http://schemas.openxmlformats.org/officeDocument/2006/relationships/hyperlink" Target="https://drive.google.com/drive/folders/10T2cTQHqEJZqE-st6uFKPoI?usp=share_link" TargetMode="External"/><Relationship Id="rId1040" Type="http://schemas.openxmlformats.org/officeDocument/2006/relationships/hyperlink" Target="https://drive.google.com/drive/folders/10T2cTQHqEJZqE-st6uFKPoI?usp=share_link" TargetMode="External"/><Relationship Id="rId2371" Type="http://schemas.openxmlformats.org/officeDocument/2006/relationships/hyperlink" Target="https://drive.google.com/drive/folders/10T2cTQHqEJZqE-st6uFKPoI?usp=share_link" TargetMode="External"/><Relationship Id="rId1041" Type="http://schemas.openxmlformats.org/officeDocument/2006/relationships/hyperlink" Target="https://drive.google.com/drive/folders/10T2cTQHqEJZqE-st6uFKPoI?usp=share_link" TargetMode="External"/><Relationship Id="rId2372" Type="http://schemas.openxmlformats.org/officeDocument/2006/relationships/hyperlink" Target="https://drive.google.com/drive/folders/10T2cTQHqEJZqE-st6uFKPoI?usp=share_link" TargetMode="External"/><Relationship Id="rId1042" Type="http://schemas.openxmlformats.org/officeDocument/2006/relationships/hyperlink" Target="https://drive.google.com/drive/folders/10T2cTQHqEJZqE-st6uFKPoI?usp=share_link" TargetMode="External"/><Relationship Id="rId2373" Type="http://schemas.openxmlformats.org/officeDocument/2006/relationships/hyperlink" Target="https://drive.google.com/drive/folders/10T2cTQHqEJZqE-st6uFKPoI?usp=share_link" TargetMode="External"/><Relationship Id="rId1043" Type="http://schemas.openxmlformats.org/officeDocument/2006/relationships/hyperlink" Target="https://drive.google.com/drive/folders/10T2cTQHqEJZqE-st6uFKPoI?usp=share_link" TargetMode="External"/><Relationship Id="rId2374" Type="http://schemas.openxmlformats.org/officeDocument/2006/relationships/hyperlink" Target="https://drive.google.com/drive/folders/10T2cTQHqEJZqE-st6uFKPoI?usp=share_link" TargetMode="External"/><Relationship Id="rId213" Type="http://schemas.openxmlformats.org/officeDocument/2006/relationships/hyperlink" Target="https://drive.google.com/drive/folders/10T2cTQHqEJZqE-st6uFKPoI?usp=share_link" TargetMode="External"/><Relationship Id="rId1044" Type="http://schemas.openxmlformats.org/officeDocument/2006/relationships/hyperlink" Target="https://drive.google.com/drive/folders/10T2cTQHqEJZqE-st6uFKPoI?usp=share_link" TargetMode="External"/><Relationship Id="rId2375" Type="http://schemas.openxmlformats.org/officeDocument/2006/relationships/hyperlink" Target="https://drive.google.com/drive/folders/10T2cTQHqEJZqE-st6uFKPoI?usp=share_link" TargetMode="External"/><Relationship Id="rId5402" Type="http://schemas.openxmlformats.org/officeDocument/2006/relationships/hyperlink" Target="https://drive.google.com/drive/folders/10T2cTQHqEJZqE-st6uFKPoI?usp=share_link" TargetMode="External"/><Relationship Id="rId212" Type="http://schemas.openxmlformats.org/officeDocument/2006/relationships/hyperlink" Target="https://drive.google.com/drive/folders/10T2cTQHqEJZqE-st6uFKPoI?usp=share_link" TargetMode="External"/><Relationship Id="rId1045" Type="http://schemas.openxmlformats.org/officeDocument/2006/relationships/hyperlink" Target="https://drive.google.com/drive/folders/10T2cTQHqEJZqE-st6uFKPoI?usp=share_link" TargetMode="External"/><Relationship Id="rId2376" Type="http://schemas.openxmlformats.org/officeDocument/2006/relationships/hyperlink" Target="https://drive.google.com/drive/folders/10T2cTQHqEJZqE-st6uFKPoI?usp=share_link" TargetMode="External"/><Relationship Id="rId5403" Type="http://schemas.openxmlformats.org/officeDocument/2006/relationships/hyperlink" Target="https://drive.google.com/drive/folders/10T2cTQHqEJZqE-st6uFKPoI?usp=share_link" TargetMode="External"/><Relationship Id="rId211" Type="http://schemas.openxmlformats.org/officeDocument/2006/relationships/hyperlink" Target="https://drive.google.com/drive/folders/10T2cTQHqEJZqE-st6uFKPoI?usp=share_link" TargetMode="External"/><Relationship Id="rId1046" Type="http://schemas.openxmlformats.org/officeDocument/2006/relationships/hyperlink" Target="https://drive.google.com/drive/folders/10T2cTQHqEJZqE-st6uFKPoI?usp=share_link" TargetMode="External"/><Relationship Id="rId2377" Type="http://schemas.openxmlformats.org/officeDocument/2006/relationships/hyperlink" Target="https://drive.google.com/drive/folders/10T2cTQHqEJZqE-st6uFKPoI?usp=share_link" TargetMode="External"/><Relationship Id="rId5400" Type="http://schemas.openxmlformats.org/officeDocument/2006/relationships/hyperlink" Target="https://drive.google.com/drive/folders/10T2cTQHqEJZqE-st6uFKPoI?usp=share_link" TargetMode="External"/><Relationship Id="rId210" Type="http://schemas.openxmlformats.org/officeDocument/2006/relationships/hyperlink" Target="https://drive.google.com/drive/folders/10T2cTQHqEJZqE-st6uFKPoI?usp=share_link" TargetMode="External"/><Relationship Id="rId1047" Type="http://schemas.openxmlformats.org/officeDocument/2006/relationships/hyperlink" Target="https://drive.google.com/drive/folders/10T2cTQHqEJZqE-st6uFKPoI?usp=share_link" TargetMode="External"/><Relationship Id="rId2378" Type="http://schemas.openxmlformats.org/officeDocument/2006/relationships/hyperlink" Target="https://drive.google.com/drive/folders/10T2cTQHqEJZqE-st6uFKPoI?usp=share_link" TargetMode="External"/><Relationship Id="rId5401" Type="http://schemas.openxmlformats.org/officeDocument/2006/relationships/hyperlink" Target="https://drive.google.com/drive/folders/10T2cTQHqEJZqE-st6uFKPoI?usp=share_link" TargetMode="External"/><Relationship Id="rId4107" Type="http://schemas.openxmlformats.org/officeDocument/2006/relationships/hyperlink" Target="https://drive.google.com/drive/folders/10T2cTQHqEJZqE-st6uFKPoI?usp=share_link" TargetMode="External"/><Relationship Id="rId5439" Type="http://schemas.openxmlformats.org/officeDocument/2006/relationships/hyperlink" Target="https://drive.google.com/drive/folders/10T2cTQHqEJZqE-st6uFKPoI?usp=share_link" TargetMode="External"/><Relationship Id="rId4106" Type="http://schemas.openxmlformats.org/officeDocument/2006/relationships/hyperlink" Target="https://drive.google.com/drive/folders/10T2cTQHqEJZqE-st6uFKPoI?usp=share_link" TargetMode="External"/><Relationship Id="rId4109" Type="http://schemas.openxmlformats.org/officeDocument/2006/relationships/hyperlink" Target="https://drive.google.com/drive/folders/10T2cTQHqEJZqE-st6uFKPoI?usp=share_link" TargetMode="External"/><Relationship Id="rId5437" Type="http://schemas.openxmlformats.org/officeDocument/2006/relationships/hyperlink" Target="https://drive.google.com/drive/folders/10T2cTQHqEJZqE-st6uFKPoI?usp=share_link" TargetMode="External"/><Relationship Id="rId4108" Type="http://schemas.openxmlformats.org/officeDocument/2006/relationships/hyperlink" Target="https://drive.google.com/drive/folders/10T2cTQHqEJZqE-st6uFKPoI?usp=share_link" TargetMode="External"/><Relationship Id="rId5438" Type="http://schemas.openxmlformats.org/officeDocument/2006/relationships/hyperlink" Target="https://drive.google.com/drive/folders/10T2cTQHqEJZqE-st6uFKPoI?usp=share_link" TargetMode="External"/><Relationship Id="rId249" Type="http://schemas.openxmlformats.org/officeDocument/2006/relationships/hyperlink" Target="https://drive.google.com/drive/folders/10T2cTQHqEJZqE-st6uFKPoI?usp=share_link" TargetMode="External"/><Relationship Id="rId248" Type="http://schemas.openxmlformats.org/officeDocument/2006/relationships/hyperlink" Target="https://drive.google.com/drive/folders/10T2cTQHqEJZqE-st6uFKPoI?usp=share_link" TargetMode="External"/><Relationship Id="rId247" Type="http://schemas.openxmlformats.org/officeDocument/2006/relationships/hyperlink" Target="https://drive.google.com/drive/folders/10T2cTQHqEJZqE-st6uFKPoI?usp=share_link" TargetMode="External"/><Relationship Id="rId1070" Type="http://schemas.openxmlformats.org/officeDocument/2006/relationships/hyperlink" Target="https://drive.google.com/drive/folders/10T2cTQHqEJZqE-st6uFKPoI?usp=share_link" TargetMode="External"/><Relationship Id="rId1071" Type="http://schemas.openxmlformats.org/officeDocument/2006/relationships/hyperlink" Target="https://drive.google.com/drive/folders/10T2cTQHqEJZqE-st6uFKPoI?usp=share_link" TargetMode="External"/><Relationship Id="rId1072" Type="http://schemas.openxmlformats.org/officeDocument/2006/relationships/hyperlink" Target="https://drive.google.com/drive/folders/10T2cTQHqEJZqE-st6uFKPoI?usp=share_link" TargetMode="External"/><Relationship Id="rId242" Type="http://schemas.openxmlformats.org/officeDocument/2006/relationships/hyperlink" Target="https://drive.google.com/drive/folders/10T2cTQHqEJZqE-st6uFKPoI?usp=share_link" TargetMode="External"/><Relationship Id="rId1073" Type="http://schemas.openxmlformats.org/officeDocument/2006/relationships/hyperlink" Target="https://drive.google.com/drive/folders/10T2cTQHqEJZqE-st6uFKPoI?usp=share_link" TargetMode="External"/><Relationship Id="rId5431" Type="http://schemas.openxmlformats.org/officeDocument/2006/relationships/hyperlink" Target="https://drive.google.com/drive/folders/10T2cTQHqEJZqE-st6uFKPoI?usp=share_link" TargetMode="External"/><Relationship Id="rId241" Type="http://schemas.openxmlformats.org/officeDocument/2006/relationships/hyperlink" Target="https://drive.google.com/drive/folders/10T2cTQHqEJZqE-st6uFKPoI?usp=share_link" TargetMode="External"/><Relationship Id="rId1074" Type="http://schemas.openxmlformats.org/officeDocument/2006/relationships/hyperlink" Target="https://drive.google.com/drive/folders/10T2cTQHqEJZqE-st6uFKPoI?usp=share_link" TargetMode="External"/><Relationship Id="rId5432" Type="http://schemas.openxmlformats.org/officeDocument/2006/relationships/hyperlink" Target="https://drive.google.com/drive/folders/10T2cTQHqEJZqE-st6uFKPoI?usp=share_link" TargetMode="External"/><Relationship Id="rId240" Type="http://schemas.openxmlformats.org/officeDocument/2006/relationships/hyperlink" Target="https://drive.google.com/drive/folders/10T2cTQHqEJZqE-st6uFKPoI?usp=share_link" TargetMode="External"/><Relationship Id="rId1075" Type="http://schemas.openxmlformats.org/officeDocument/2006/relationships/hyperlink" Target="https://drive.google.com/drive/folders/10T2cTQHqEJZqE-st6uFKPoI?usp=share_link" TargetMode="External"/><Relationship Id="rId4101" Type="http://schemas.openxmlformats.org/officeDocument/2006/relationships/hyperlink" Target="https://drive.google.com/drive/folders/10T2cTQHqEJZqE-st6uFKPoI?usp=share_link" TargetMode="External"/><Relationship Id="rId1076" Type="http://schemas.openxmlformats.org/officeDocument/2006/relationships/hyperlink" Target="https://drive.google.com/drive/folders/10T2cTQHqEJZqE-st6uFKPoI?usp=share_link" TargetMode="External"/><Relationship Id="rId4100" Type="http://schemas.openxmlformats.org/officeDocument/2006/relationships/hyperlink" Target="https://drive.google.com/drive/folders/10T2cTQHqEJZqE-st6uFKPoI?usp=share_link" TargetMode="External"/><Relationship Id="rId5430" Type="http://schemas.openxmlformats.org/officeDocument/2006/relationships/hyperlink" Target="https://drive.google.com/drive/folders/10T2cTQHqEJZqE-st6uFKPoI?usp=share_link" TargetMode="External"/><Relationship Id="rId246" Type="http://schemas.openxmlformats.org/officeDocument/2006/relationships/hyperlink" Target="https://drive.google.com/drive/folders/10T2cTQHqEJZqE-st6uFKPoI?usp=share_link" TargetMode="External"/><Relationship Id="rId1077" Type="http://schemas.openxmlformats.org/officeDocument/2006/relationships/hyperlink" Target="https://drive.google.com/drive/folders/10T2cTQHqEJZqE-st6uFKPoI?usp=share_link" TargetMode="External"/><Relationship Id="rId4103" Type="http://schemas.openxmlformats.org/officeDocument/2006/relationships/hyperlink" Target="https://drive.google.com/drive/folders/10T2cTQHqEJZqE-st6uFKPoI?usp=share_link" TargetMode="External"/><Relationship Id="rId5435" Type="http://schemas.openxmlformats.org/officeDocument/2006/relationships/hyperlink" Target="https://drive.google.com/drive/folders/10T2cTQHqEJZqE-st6uFKPoI?usp=share_link" TargetMode="External"/><Relationship Id="rId245" Type="http://schemas.openxmlformats.org/officeDocument/2006/relationships/hyperlink" Target="https://drive.google.com/drive/folders/10T2cTQHqEJZqE-st6uFKPoI?usp=share_link" TargetMode="External"/><Relationship Id="rId1078" Type="http://schemas.openxmlformats.org/officeDocument/2006/relationships/hyperlink" Target="https://drive.google.com/drive/folders/10T2cTQHqEJZqE-st6uFKPoI?usp=share_link" TargetMode="External"/><Relationship Id="rId4102" Type="http://schemas.openxmlformats.org/officeDocument/2006/relationships/hyperlink" Target="https://drive.google.com/drive/folders/10T2cTQHqEJZqE-st6uFKPoI?usp=share_link" TargetMode="External"/><Relationship Id="rId5436" Type="http://schemas.openxmlformats.org/officeDocument/2006/relationships/hyperlink" Target="https://drive.google.com/drive/folders/10T2cTQHqEJZqE-st6uFKPoI?usp=share_link" TargetMode="External"/><Relationship Id="rId244" Type="http://schemas.openxmlformats.org/officeDocument/2006/relationships/hyperlink" Target="https://drive.google.com/drive/folders/10T2cTQHqEJZqE-st6uFKPoI?usp=share_link" TargetMode="External"/><Relationship Id="rId1079" Type="http://schemas.openxmlformats.org/officeDocument/2006/relationships/hyperlink" Target="https://drive.google.com/drive/folders/10T2cTQHqEJZqE-st6uFKPoI?usp=share_link" TargetMode="External"/><Relationship Id="rId4105" Type="http://schemas.openxmlformats.org/officeDocument/2006/relationships/hyperlink" Target="https://drive.google.com/drive/folders/10T2cTQHqEJZqE-st6uFKPoI?usp=share_link" TargetMode="External"/><Relationship Id="rId5433" Type="http://schemas.openxmlformats.org/officeDocument/2006/relationships/hyperlink" Target="https://drive.google.com/drive/folders/10T2cTQHqEJZqE-st6uFKPoI?usp=share_link" TargetMode="External"/><Relationship Id="rId243" Type="http://schemas.openxmlformats.org/officeDocument/2006/relationships/hyperlink" Target="https://drive.google.com/drive/folders/10T2cTQHqEJZqE-st6uFKPoI?usp=share_link" TargetMode="External"/><Relationship Id="rId4104" Type="http://schemas.openxmlformats.org/officeDocument/2006/relationships/hyperlink" Target="https://drive.google.com/drive/folders/10T2cTQHqEJZqE-st6uFKPoI?usp=share_link" TargetMode="External"/><Relationship Id="rId5434" Type="http://schemas.openxmlformats.org/officeDocument/2006/relationships/hyperlink" Target="https://drive.google.com/drive/folders/10T2cTQHqEJZqE-st6uFKPoI?usp=share_link" TargetMode="External"/><Relationship Id="rId5428" Type="http://schemas.openxmlformats.org/officeDocument/2006/relationships/hyperlink" Target="https://drive.google.com/drive/folders/10T2cTQHqEJZqE-st6uFKPoI?usp=share_link" TargetMode="External"/><Relationship Id="rId5429" Type="http://schemas.openxmlformats.org/officeDocument/2006/relationships/hyperlink" Target="https://drive.google.com/drive/folders/10T2cTQHqEJZqE-st6uFKPoI?usp=share_link" TargetMode="External"/><Relationship Id="rId5426" Type="http://schemas.openxmlformats.org/officeDocument/2006/relationships/hyperlink" Target="https://drive.google.com/drive/folders/10T2cTQHqEJZqE-st6uFKPoI?usp=share_link" TargetMode="External"/><Relationship Id="rId5427" Type="http://schemas.openxmlformats.org/officeDocument/2006/relationships/hyperlink" Target="https://drive.google.com/drive/folders/10T2cTQHqEJZqE-st6uFKPoI?usp=share_link" TargetMode="External"/><Relationship Id="rId239" Type="http://schemas.openxmlformats.org/officeDocument/2006/relationships/hyperlink" Target="https://drive.google.com/drive/folders/10T2cTQHqEJZqE-st6uFKPoI?usp=share_link" TargetMode="External"/><Relationship Id="rId238" Type="http://schemas.openxmlformats.org/officeDocument/2006/relationships/hyperlink" Target="https://drive.google.com/drive/folders/10T2cTQHqEJZqE-st6uFKPoI?usp=share_link" TargetMode="External"/><Relationship Id="rId237" Type="http://schemas.openxmlformats.org/officeDocument/2006/relationships/hyperlink" Target="https://drive.google.com/drive/folders/10T2cTQHqEJZqE-st6uFKPoI?usp=share_link" TargetMode="External"/><Relationship Id="rId236" Type="http://schemas.openxmlformats.org/officeDocument/2006/relationships/hyperlink" Target="https://drive.google.com/drive/folders/10T2cTQHqEJZqE-st6uFKPoI?usp=share_link" TargetMode="External"/><Relationship Id="rId2390" Type="http://schemas.openxmlformats.org/officeDocument/2006/relationships/hyperlink" Target="https://drive.google.com/drive/folders/10T2cTQHqEJZqE-st6uFKPoI?usp=share_link" TargetMode="External"/><Relationship Id="rId1060" Type="http://schemas.openxmlformats.org/officeDocument/2006/relationships/hyperlink" Target="https://drive.google.com/drive/folders/10T2cTQHqEJZqE-st6uFKPoI?usp=share_link" TargetMode="External"/><Relationship Id="rId2391" Type="http://schemas.openxmlformats.org/officeDocument/2006/relationships/hyperlink" Target="https://drive.google.com/drive/folders/10T2cTQHqEJZqE-st6uFKPoI?usp=share_link" TargetMode="External"/><Relationship Id="rId1061" Type="http://schemas.openxmlformats.org/officeDocument/2006/relationships/hyperlink" Target="https://drive.google.com/drive/folders/10T2cTQHqEJZqE-st6uFKPoI?usp=share_link" TargetMode="External"/><Relationship Id="rId2392" Type="http://schemas.openxmlformats.org/officeDocument/2006/relationships/hyperlink" Target="https://drive.google.com/drive/folders/10T2cTQHqEJZqE-st6uFKPoI?usp=share_link" TargetMode="External"/><Relationship Id="rId231" Type="http://schemas.openxmlformats.org/officeDocument/2006/relationships/hyperlink" Target="https://drive.google.com/drive/folders/10T2cTQHqEJZqE-st6uFKPoI?usp=share_link" TargetMode="External"/><Relationship Id="rId1062" Type="http://schemas.openxmlformats.org/officeDocument/2006/relationships/hyperlink" Target="https://drive.google.com/drive/folders/10T2cTQHqEJZqE-st6uFKPoI?usp=share_link" TargetMode="External"/><Relationship Id="rId2393" Type="http://schemas.openxmlformats.org/officeDocument/2006/relationships/hyperlink" Target="https://drive.google.com/drive/folders/10T2cTQHqEJZqE-st6uFKPoI?usp=share_link" TargetMode="External"/><Relationship Id="rId5420" Type="http://schemas.openxmlformats.org/officeDocument/2006/relationships/hyperlink" Target="https://drive.google.com/drive/folders/10T2cTQHqEJZqE-st6uFKPoI?usp=share_link" TargetMode="External"/><Relationship Id="rId230" Type="http://schemas.openxmlformats.org/officeDocument/2006/relationships/hyperlink" Target="https://drive.google.com/drive/folders/10T2cTQHqEJZqE-st6uFKPoI?usp=share_link" TargetMode="External"/><Relationship Id="rId1063" Type="http://schemas.openxmlformats.org/officeDocument/2006/relationships/hyperlink" Target="https://drive.google.com/drive/folders/10T2cTQHqEJZqE-st6uFKPoI?usp=share_link" TargetMode="External"/><Relationship Id="rId2394" Type="http://schemas.openxmlformats.org/officeDocument/2006/relationships/hyperlink" Target="https://drive.google.com/drive/folders/10T2cTQHqEJZqE-st6uFKPoI?usp=share_link" TargetMode="External"/><Relationship Id="rId5421" Type="http://schemas.openxmlformats.org/officeDocument/2006/relationships/hyperlink" Target="https://drive.google.com/drive/folders/10T2cTQHqEJZqE-st6uFKPoI?usp=share_link" TargetMode="External"/><Relationship Id="rId1064" Type="http://schemas.openxmlformats.org/officeDocument/2006/relationships/hyperlink" Target="https://drive.google.com/drive/folders/10T2cTQHqEJZqE-st6uFKPoI?usp=share_link" TargetMode="External"/><Relationship Id="rId2395" Type="http://schemas.openxmlformats.org/officeDocument/2006/relationships/hyperlink" Target="https://drive.google.com/drive/folders/10T2cTQHqEJZqE-st6uFKPoI?usp=share_link" TargetMode="External"/><Relationship Id="rId1065" Type="http://schemas.openxmlformats.org/officeDocument/2006/relationships/hyperlink" Target="https://drive.google.com/drive/folders/10T2cTQHqEJZqE-st6uFKPoI?usp=share_link" TargetMode="External"/><Relationship Id="rId2396" Type="http://schemas.openxmlformats.org/officeDocument/2006/relationships/hyperlink" Target="https://drive.google.com/drive/folders/10T2cTQHqEJZqE-st6uFKPoI?usp=share_link" TargetMode="External"/><Relationship Id="rId235" Type="http://schemas.openxmlformats.org/officeDocument/2006/relationships/hyperlink" Target="https://drive.google.com/drive/folders/10T2cTQHqEJZqE-st6uFKPoI?usp=share_link" TargetMode="External"/><Relationship Id="rId1066" Type="http://schemas.openxmlformats.org/officeDocument/2006/relationships/hyperlink" Target="https://drive.google.com/drive/folders/10T2cTQHqEJZqE-st6uFKPoI?usp=share_link" TargetMode="External"/><Relationship Id="rId2397" Type="http://schemas.openxmlformats.org/officeDocument/2006/relationships/hyperlink" Target="https://drive.google.com/drive/folders/10T2cTQHqEJZqE-st6uFKPoI?usp=share_link" TargetMode="External"/><Relationship Id="rId5424" Type="http://schemas.openxmlformats.org/officeDocument/2006/relationships/hyperlink" Target="https://drive.google.com/drive/folders/10T2cTQHqEJZqE-st6uFKPoI?usp=share_link" TargetMode="External"/><Relationship Id="rId234" Type="http://schemas.openxmlformats.org/officeDocument/2006/relationships/hyperlink" Target="https://drive.google.com/drive/folders/10T2cTQHqEJZqE-st6uFKPoI?usp=share_link" TargetMode="External"/><Relationship Id="rId1067" Type="http://schemas.openxmlformats.org/officeDocument/2006/relationships/hyperlink" Target="https://drive.google.com/drive/folders/10T2cTQHqEJZqE-st6uFKPoI?usp=share_link" TargetMode="External"/><Relationship Id="rId2398" Type="http://schemas.openxmlformats.org/officeDocument/2006/relationships/hyperlink" Target="https://drive.google.com/drive/folders/10T2cTQHqEJZqE-st6uFKPoI?usp=share_link" TargetMode="External"/><Relationship Id="rId5425" Type="http://schemas.openxmlformats.org/officeDocument/2006/relationships/hyperlink" Target="https://drive.google.com/drive/folders/10T2cTQHqEJZqE-st6uFKPoI?usp=share_link" TargetMode="External"/><Relationship Id="rId233" Type="http://schemas.openxmlformats.org/officeDocument/2006/relationships/hyperlink" Target="https://drive.google.com/drive/folders/10T2cTQHqEJZqE-st6uFKPoI?usp=share_link" TargetMode="External"/><Relationship Id="rId1068" Type="http://schemas.openxmlformats.org/officeDocument/2006/relationships/hyperlink" Target="https://drive.google.com/drive/folders/10T2cTQHqEJZqE-st6uFKPoI?usp=share_link" TargetMode="External"/><Relationship Id="rId2399" Type="http://schemas.openxmlformats.org/officeDocument/2006/relationships/hyperlink" Target="https://drive.google.com/drive/folders/10T2cTQHqEJZqE-st6uFKPoI?usp=share_link" TargetMode="External"/><Relationship Id="rId5422" Type="http://schemas.openxmlformats.org/officeDocument/2006/relationships/hyperlink" Target="https://drive.google.com/drive/folders/10T2cTQHqEJZqE-st6uFKPoI?usp=share_link" TargetMode="External"/><Relationship Id="rId232" Type="http://schemas.openxmlformats.org/officeDocument/2006/relationships/hyperlink" Target="https://drive.google.com/drive/folders/10T2cTQHqEJZqE-st6uFKPoI?usp=share_link" TargetMode="External"/><Relationship Id="rId1069" Type="http://schemas.openxmlformats.org/officeDocument/2006/relationships/hyperlink" Target="https://drive.google.com/drive/folders/10T2cTQHqEJZqE-st6uFKPoI?usp=share_link" TargetMode="External"/><Relationship Id="rId5423" Type="http://schemas.openxmlformats.org/officeDocument/2006/relationships/hyperlink" Target="https://drive.google.com/drive/folders/10T2cTQHqEJZqE-st6uFKPoI?usp=share_link" TargetMode="External"/><Relationship Id="rId1015" Type="http://schemas.openxmlformats.org/officeDocument/2006/relationships/hyperlink" Target="https://drive.google.com/drive/folders/10T2cTQHqEJZqE-st6uFKPoI?usp=share_link" TargetMode="External"/><Relationship Id="rId2346" Type="http://schemas.openxmlformats.org/officeDocument/2006/relationships/hyperlink" Target="https://drive.google.com/drive/folders/10T2cTQHqEJZqE-st6uFKPoI?usp=share_link" TargetMode="External"/><Relationship Id="rId3678" Type="http://schemas.openxmlformats.org/officeDocument/2006/relationships/hyperlink" Target="https://drive.google.com/drive/folders/10T2cTQHqEJZqE-st6uFKPoI?usp=share_link" TargetMode="External"/><Relationship Id="rId1016" Type="http://schemas.openxmlformats.org/officeDocument/2006/relationships/hyperlink" Target="https://drive.google.com/drive/folders/10T2cTQHqEJZqE-st6uFKPoI?usp=share_link" TargetMode="External"/><Relationship Id="rId2347" Type="http://schemas.openxmlformats.org/officeDocument/2006/relationships/hyperlink" Target="https://drive.google.com/drive/folders/10T2cTQHqEJZqE-st6uFKPoI?usp=share_link" TargetMode="External"/><Relationship Id="rId3677" Type="http://schemas.openxmlformats.org/officeDocument/2006/relationships/hyperlink" Target="https://drive.google.com/drive/folders/10T2cTQHqEJZqE-st6uFKPoI?usp=share_link" TargetMode="External"/><Relationship Id="rId1017" Type="http://schemas.openxmlformats.org/officeDocument/2006/relationships/hyperlink" Target="https://drive.google.com/drive/folders/10T2cTQHqEJZqE-st6uFKPoI?usp=share_link" TargetMode="External"/><Relationship Id="rId2348" Type="http://schemas.openxmlformats.org/officeDocument/2006/relationships/hyperlink" Target="https://drive.google.com/drive/folders/10T2cTQHqEJZqE-st6uFKPoI?usp=share_link" TargetMode="External"/><Relationship Id="rId1018" Type="http://schemas.openxmlformats.org/officeDocument/2006/relationships/hyperlink" Target="https://drive.google.com/drive/folders/10T2cTQHqEJZqE-st6uFKPoI?usp=share_link" TargetMode="External"/><Relationship Id="rId2349" Type="http://schemas.openxmlformats.org/officeDocument/2006/relationships/hyperlink" Target="https://drive.google.com/drive/folders/10T2cTQHqEJZqE-st6uFKPoI?usp=share_link" TargetMode="External"/><Relationship Id="rId3679" Type="http://schemas.openxmlformats.org/officeDocument/2006/relationships/hyperlink" Target="https://drive.google.com/drive/folders/10T2cTQHqEJZqE-st6uFKPoI?usp=share_link" TargetMode="External"/><Relationship Id="rId1019" Type="http://schemas.openxmlformats.org/officeDocument/2006/relationships/hyperlink" Target="https://drive.google.com/drive/folders/10T2cTQHqEJZqE-st6uFKPoI?usp=share_link" TargetMode="External"/><Relationship Id="rId3670" Type="http://schemas.openxmlformats.org/officeDocument/2006/relationships/hyperlink" Target="https://drive.google.com/drive/folders/10T2cTQHqEJZqE-st6uFKPoI?usp=share_link" TargetMode="External"/><Relationship Id="rId2340" Type="http://schemas.openxmlformats.org/officeDocument/2006/relationships/hyperlink" Target="https://drive.google.com/drive/folders/10T2cTQHqEJZqE-st6uFKPoI?usp=share_link" TargetMode="External"/><Relationship Id="rId3672" Type="http://schemas.openxmlformats.org/officeDocument/2006/relationships/hyperlink" Target="https://drive.google.com/drive/folders/10T2cTQHqEJZqE-st6uFKPoI?usp=share_link" TargetMode="External"/><Relationship Id="rId1010" Type="http://schemas.openxmlformats.org/officeDocument/2006/relationships/hyperlink" Target="https://drive.google.com/drive/folders/10T2cTQHqEJZqE-st6uFKPoI?usp=share_link" TargetMode="External"/><Relationship Id="rId2341" Type="http://schemas.openxmlformats.org/officeDocument/2006/relationships/hyperlink" Target="https://drive.google.com/drive/folders/10T2cTQHqEJZqE-st6uFKPoI?usp=share_link" TargetMode="External"/><Relationship Id="rId3671" Type="http://schemas.openxmlformats.org/officeDocument/2006/relationships/hyperlink" Target="https://drive.google.com/drive/folders/10T2cTQHqEJZqE-st6uFKPoI?usp=share_link" TargetMode="External"/><Relationship Id="rId1011" Type="http://schemas.openxmlformats.org/officeDocument/2006/relationships/hyperlink" Target="https://drive.google.com/drive/folders/10T2cTQHqEJZqE-st6uFKPoI?usp=share_link" TargetMode="External"/><Relationship Id="rId2342" Type="http://schemas.openxmlformats.org/officeDocument/2006/relationships/hyperlink" Target="https://drive.google.com/drive/folders/10T2cTQHqEJZqE-st6uFKPoI?usp=share_link" TargetMode="External"/><Relationship Id="rId3674" Type="http://schemas.openxmlformats.org/officeDocument/2006/relationships/hyperlink" Target="https://drive.google.com/drive/folders/10T2cTQHqEJZqE-st6uFKPoI?usp=share_link" TargetMode="External"/><Relationship Id="rId1012" Type="http://schemas.openxmlformats.org/officeDocument/2006/relationships/hyperlink" Target="https://drive.google.com/drive/folders/10T2cTQHqEJZqE-st6uFKPoI?usp=share_link" TargetMode="External"/><Relationship Id="rId2343" Type="http://schemas.openxmlformats.org/officeDocument/2006/relationships/hyperlink" Target="https://drive.google.com/drive/folders/10T2cTQHqEJZqE-st6uFKPoI?usp=share_link" TargetMode="External"/><Relationship Id="rId3673" Type="http://schemas.openxmlformats.org/officeDocument/2006/relationships/hyperlink" Target="https://drive.google.com/drive/folders/10T2cTQHqEJZqE-st6uFKPoI?usp=share_link" TargetMode="External"/><Relationship Id="rId1013" Type="http://schemas.openxmlformats.org/officeDocument/2006/relationships/hyperlink" Target="https://drive.google.com/drive/folders/10T2cTQHqEJZqE-st6uFKPoI?usp=share_link" TargetMode="External"/><Relationship Id="rId2344" Type="http://schemas.openxmlformats.org/officeDocument/2006/relationships/hyperlink" Target="https://drive.google.com/drive/folders/10T2cTQHqEJZqE-st6uFKPoI?usp=share_link" TargetMode="External"/><Relationship Id="rId3676" Type="http://schemas.openxmlformats.org/officeDocument/2006/relationships/hyperlink" Target="https://drive.google.com/drive/folders/10T2cTQHqEJZqE-st6uFKPoI?usp=share_link" TargetMode="External"/><Relationship Id="rId1014" Type="http://schemas.openxmlformats.org/officeDocument/2006/relationships/hyperlink" Target="https://drive.google.com/drive/folders/10T2cTQHqEJZqE-st6uFKPoI?usp=share_link" TargetMode="External"/><Relationship Id="rId2345" Type="http://schemas.openxmlformats.org/officeDocument/2006/relationships/hyperlink" Target="https://drive.google.com/drive/folders/10T2cTQHqEJZqE-st6uFKPoI?usp=share_link" TargetMode="External"/><Relationship Id="rId3675" Type="http://schemas.openxmlformats.org/officeDocument/2006/relationships/hyperlink" Target="https://drive.google.com/drive/folders/10T2cTQHqEJZqE-st6uFKPoI?usp=share_link" TargetMode="External"/><Relationship Id="rId1004" Type="http://schemas.openxmlformats.org/officeDocument/2006/relationships/hyperlink" Target="https://drive.google.com/drive/folders/10T2cTQHqEJZqE-st6uFKPoI?usp=share_link" TargetMode="External"/><Relationship Id="rId2335" Type="http://schemas.openxmlformats.org/officeDocument/2006/relationships/hyperlink" Target="https://drive.google.com/drive/folders/10T2cTQHqEJZqE-st6uFKPoI?usp=share_link" TargetMode="External"/><Relationship Id="rId3667" Type="http://schemas.openxmlformats.org/officeDocument/2006/relationships/hyperlink" Target="https://drive.google.com/drive/folders/10T2cTQHqEJZqE-st6uFKPoI?usp=share_link" TargetMode="External"/><Relationship Id="rId4998" Type="http://schemas.openxmlformats.org/officeDocument/2006/relationships/hyperlink" Target="https://drive.google.com/drive/folders/10T2cTQHqEJZqE-st6uFKPoI?usp=share_link" TargetMode="External"/><Relationship Id="rId1005" Type="http://schemas.openxmlformats.org/officeDocument/2006/relationships/hyperlink" Target="https://drive.google.com/drive/folders/10T2cTQHqEJZqE-st6uFKPoI?usp=share_link" TargetMode="External"/><Relationship Id="rId2336" Type="http://schemas.openxmlformats.org/officeDocument/2006/relationships/hyperlink" Target="https://drive.google.com/drive/folders/10T2cTQHqEJZqE-st6uFKPoI?usp=share_link" TargetMode="External"/><Relationship Id="rId3666" Type="http://schemas.openxmlformats.org/officeDocument/2006/relationships/hyperlink" Target="https://drive.google.com/drive/folders/10T2cTQHqEJZqE-st6uFKPoI?usp=share_link" TargetMode="External"/><Relationship Id="rId4997" Type="http://schemas.openxmlformats.org/officeDocument/2006/relationships/hyperlink" Target="https://drive.google.com/drive/folders/10T2cTQHqEJZqE-st6uFKPoI?usp=share_link" TargetMode="External"/><Relationship Id="rId1006" Type="http://schemas.openxmlformats.org/officeDocument/2006/relationships/hyperlink" Target="https://drive.google.com/drive/folders/10T2cTQHqEJZqE-st6uFKPoI?usp=share_link" TargetMode="External"/><Relationship Id="rId2337" Type="http://schemas.openxmlformats.org/officeDocument/2006/relationships/hyperlink" Target="https://drive.google.com/drive/folders/10T2cTQHqEJZqE-st6uFKPoI?usp=share_link" TargetMode="External"/><Relationship Id="rId3669" Type="http://schemas.openxmlformats.org/officeDocument/2006/relationships/hyperlink" Target="https://drive.google.com/drive/folders/10T2cTQHqEJZqE-st6uFKPoI?usp=share_link" TargetMode="External"/><Relationship Id="rId1007" Type="http://schemas.openxmlformats.org/officeDocument/2006/relationships/hyperlink" Target="https://drive.google.com/drive/folders/10T2cTQHqEJZqE-st6uFKPoI?usp=share_link" TargetMode="External"/><Relationship Id="rId2338" Type="http://schemas.openxmlformats.org/officeDocument/2006/relationships/hyperlink" Target="https://drive.google.com/drive/folders/10T2cTQHqEJZqE-st6uFKPoI?usp=share_link" TargetMode="External"/><Relationship Id="rId3668" Type="http://schemas.openxmlformats.org/officeDocument/2006/relationships/hyperlink" Target="https://drive.google.com/drive/folders/10T2cTQHqEJZqE-st6uFKPoI?usp=share_link" TargetMode="External"/><Relationship Id="rId4999" Type="http://schemas.openxmlformats.org/officeDocument/2006/relationships/hyperlink" Target="https://drive.google.com/drive/folders/10T2cTQHqEJZqE-st6uFKPoI?usp=share_link" TargetMode="External"/><Relationship Id="rId1008" Type="http://schemas.openxmlformats.org/officeDocument/2006/relationships/hyperlink" Target="https://drive.google.com/drive/folders/10T2cTQHqEJZqE-st6uFKPoI?usp=share_link" TargetMode="External"/><Relationship Id="rId2339" Type="http://schemas.openxmlformats.org/officeDocument/2006/relationships/hyperlink" Target="https://drive.google.com/drive/folders/10T2cTQHqEJZqE-st6uFKPoI?usp=share_link" TargetMode="External"/><Relationship Id="rId1009" Type="http://schemas.openxmlformats.org/officeDocument/2006/relationships/hyperlink" Target="https://drive.google.com/drive/folders/10T2cTQHqEJZqE-st6uFKPoI?usp=share_link" TargetMode="External"/><Relationship Id="rId4990" Type="http://schemas.openxmlformats.org/officeDocument/2006/relationships/hyperlink" Target="https://drive.google.com/drive/folders/10T2cTQHqEJZqE-st6uFKPoI?usp=share_link" TargetMode="External"/><Relationship Id="rId3661" Type="http://schemas.openxmlformats.org/officeDocument/2006/relationships/hyperlink" Target="https://drive.google.com/drive/folders/10T2cTQHqEJZqE-st6uFKPoI?usp=share_link" TargetMode="External"/><Relationship Id="rId4992" Type="http://schemas.openxmlformats.org/officeDocument/2006/relationships/hyperlink" Target="https://drive.google.com/drive/folders/10T2cTQHqEJZqE-st6uFKPoI?usp=share_link" TargetMode="External"/><Relationship Id="rId2330" Type="http://schemas.openxmlformats.org/officeDocument/2006/relationships/hyperlink" Target="https://drive.google.com/drive/folders/10T2cTQHqEJZqE-st6uFKPoI?usp=share_link" TargetMode="External"/><Relationship Id="rId3660" Type="http://schemas.openxmlformats.org/officeDocument/2006/relationships/hyperlink" Target="https://drive.google.com/drive/folders/10T2cTQHqEJZqE-st6uFKPoI?usp=share_link" TargetMode="External"/><Relationship Id="rId4991" Type="http://schemas.openxmlformats.org/officeDocument/2006/relationships/hyperlink" Target="https://drive.google.com/drive/folders/10T2cTQHqEJZqE-st6uFKPoI?usp=share_link" TargetMode="External"/><Relationship Id="rId1000" Type="http://schemas.openxmlformats.org/officeDocument/2006/relationships/hyperlink" Target="https://drive.google.com/drive/folders/10T2cTQHqEJZqE-st6uFKPoI?usp=share_link" TargetMode="External"/><Relationship Id="rId2331" Type="http://schemas.openxmlformats.org/officeDocument/2006/relationships/hyperlink" Target="https://drive.google.com/drive/folders/10T2cTQHqEJZqE-st6uFKPoI?usp=share_link" TargetMode="External"/><Relationship Id="rId3663" Type="http://schemas.openxmlformats.org/officeDocument/2006/relationships/hyperlink" Target="https://drive.google.com/drive/folders/10T2cTQHqEJZqE-st6uFKPoI?usp=share_link" TargetMode="External"/><Relationship Id="rId4994" Type="http://schemas.openxmlformats.org/officeDocument/2006/relationships/hyperlink" Target="https://drive.google.com/drive/folders/10T2cTQHqEJZqE-st6uFKPoI?usp=share_link" TargetMode="External"/><Relationship Id="rId1001" Type="http://schemas.openxmlformats.org/officeDocument/2006/relationships/hyperlink" Target="https://drive.google.com/drive/folders/10T2cTQHqEJZqE-st6uFKPoI?usp=share_link" TargetMode="External"/><Relationship Id="rId2332" Type="http://schemas.openxmlformats.org/officeDocument/2006/relationships/hyperlink" Target="https://drive.google.com/drive/folders/10T2cTQHqEJZqE-st6uFKPoI?usp=share_link" TargetMode="External"/><Relationship Id="rId3662" Type="http://schemas.openxmlformats.org/officeDocument/2006/relationships/hyperlink" Target="https://drive.google.com/drive/folders/10T2cTQHqEJZqE-st6uFKPoI?usp=share_link" TargetMode="External"/><Relationship Id="rId4993" Type="http://schemas.openxmlformats.org/officeDocument/2006/relationships/hyperlink" Target="https://drive.google.com/drive/folders/10T2cTQHqEJZqE-st6uFKPoI?usp=share_link" TargetMode="External"/><Relationship Id="rId1002" Type="http://schemas.openxmlformats.org/officeDocument/2006/relationships/hyperlink" Target="https://drive.google.com/drive/folders/10T2cTQHqEJZqE-st6uFKPoI?usp=share_link" TargetMode="External"/><Relationship Id="rId2333" Type="http://schemas.openxmlformats.org/officeDocument/2006/relationships/hyperlink" Target="https://drive.google.com/drive/folders/10T2cTQHqEJZqE-st6uFKPoI?usp=share_link" TargetMode="External"/><Relationship Id="rId3665" Type="http://schemas.openxmlformats.org/officeDocument/2006/relationships/hyperlink" Target="https://drive.google.com/drive/folders/10T2cTQHqEJZqE-st6uFKPoI?usp=share_link" TargetMode="External"/><Relationship Id="rId4996" Type="http://schemas.openxmlformats.org/officeDocument/2006/relationships/hyperlink" Target="https://drive.google.com/drive/folders/10T2cTQHqEJZqE-st6uFKPoI?usp=share_link" TargetMode="External"/><Relationship Id="rId1003" Type="http://schemas.openxmlformats.org/officeDocument/2006/relationships/hyperlink" Target="https://drive.google.com/drive/folders/10T2cTQHqEJZqE-st6uFKPoI?usp=share_link" TargetMode="External"/><Relationship Id="rId2334" Type="http://schemas.openxmlformats.org/officeDocument/2006/relationships/hyperlink" Target="https://drive.google.com/drive/folders/10T2cTQHqEJZqE-st6uFKPoI?usp=share_link" TargetMode="External"/><Relationship Id="rId3664" Type="http://schemas.openxmlformats.org/officeDocument/2006/relationships/hyperlink" Target="https://drive.google.com/drive/folders/10T2cTQHqEJZqE-st6uFKPoI?usp=share_link" TargetMode="External"/><Relationship Id="rId4995" Type="http://schemas.openxmlformats.org/officeDocument/2006/relationships/hyperlink" Target="https://drive.google.com/drive/folders/10T2cTQHqEJZqE-st6uFKPoI?usp=share_link" TargetMode="External"/><Relationship Id="rId1037" Type="http://schemas.openxmlformats.org/officeDocument/2006/relationships/hyperlink" Target="https://drive.google.com/drive/folders/10T2cTQHqEJZqE-st6uFKPoI?usp=share_link" TargetMode="External"/><Relationship Id="rId2368" Type="http://schemas.openxmlformats.org/officeDocument/2006/relationships/hyperlink" Target="https://drive.google.com/drive/folders/10T2cTQHqEJZqE-st6uFKPoI?usp=share_link" TargetMode="External"/><Relationship Id="rId1038" Type="http://schemas.openxmlformats.org/officeDocument/2006/relationships/hyperlink" Target="https://drive.google.com/drive/folders/10T2cTQHqEJZqE-st6uFKPoI?usp=share_link" TargetMode="External"/><Relationship Id="rId2369" Type="http://schemas.openxmlformats.org/officeDocument/2006/relationships/hyperlink" Target="https://drive.google.com/drive/folders/10T2cTQHqEJZqE-st6uFKPoI?usp=share_link" TargetMode="External"/><Relationship Id="rId3699" Type="http://schemas.openxmlformats.org/officeDocument/2006/relationships/hyperlink" Target="https://drive.google.com/drive/folders/10T2cTQHqEJZqE-st6uFKPoI?usp=share_link" TargetMode="External"/><Relationship Id="rId1039" Type="http://schemas.openxmlformats.org/officeDocument/2006/relationships/hyperlink" Target="https://drive.google.com/drive/folders/10T2cTQHqEJZqE-st6uFKPoI?usp=share_link" TargetMode="External"/><Relationship Id="rId206" Type="http://schemas.openxmlformats.org/officeDocument/2006/relationships/hyperlink" Target="https://drive.google.com/drive/folders/10T2cTQHqEJZqE-st6uFKPoI?usp=share_link" TargetMode="External"/><Relationship Id="rId205" Type="http://schemas.openxmlformats.org/officeDocument/2006/relationships/hyperlink" Target="https://drive.google.com/drive/folders/10T2cTQHqEJZqE-st6uFKPoI?usp=share_link" TargetMode="External"/><Relationship Id="rId204" Type="http://schemas.openxmlformats.org/officeDocument/2006/relationships/hyperlink" Target="https://drive.google.com/drive/folders/10T2cTQHqEJZqE-st6uFKPoI?usp=share_link" TargetMode="External"/><Relationship Id="rId203" Type="http://schemas.openxmlformats.org/officeDocument/2006/relationships/hyperlink" Target="https://drive.google.com/drive/folders/10T2cTQHqEJZqE-st6uFKPoI?usp=share_link" TargetMode="External"/><Relationship Id="rId209" Type="http://schemas.openxmlformats.org/officeDocument/2006/relationships/hyperlink" Target="https://drive.google.com/drive/folders/10T2cTQHqEJZqE-st6uFKPoI?usp=share_link" TargetMode="External"/><Relationship Id="rId208" Type="http://schemas.openxmlformats.org/officeDocument/2006/relationships/hyperlink" Target="https://drive.google.com/drive/folders/10T2cTQHqEJZqE-st6uFKPoI?usp=share_link" TargetMode="External"/><Relationship Id="rId3690" Type="http://schemas.openxmlformats.org/officeDocument/2006/relationships/hyperlink" Target="https://drive.google.com/drive/folders/10T2cTQHqEJZqE-st6uFKPoI?usp=share_link" TargetMode="External"/><Relationship Id="rId207" Type="http://schemas.openxmlformats.org/officeDocument/2006/relationships/hyperlink" Target="https://drive.google.com/drive/folders/10T2cTQHqEJZqE-st6uFKPoI?usp=share_link" TargetMode="External"/><Relationship Id="rId2360" Type="http://schemas.openxmlformats.org/officeDocument/2006/relationships/hyperlink" Target="https://drive.google.com/drive/folders/10T2cTQHqEJZqE-st6uFKPoI?usp=share_link" TargetMode="External"/><Relationship Id="rId3692" Type="http://schemas.openxmlformats.org/officeDocument/2006/relationships/hyperlink" Target="https://drive.google.com/drive/folders/10T2cTQHqEJZqE-st6uFKPoI?usp=share_link" TargetMode="External"/><Relationship Id="rId1030" Type="http://schemas.openxmlformats.org/officeDocument/2006/relationships/hyperlink" Target="https://drive.google.com/drive/folders/10T2cTQHqEJZqE-st6uFKPoI?usp=share_link" TargetMode="External"/><Relationship Id="rId2361" Type="http://schemas.openxmlformats.org/officeDocument/2006/relationships/hyperlink" Target="https://drive.google.com/drive/folders/10T2cTQHqEJZqE-st6uFKPoI?usp=share_link" TargetMode="External"/><Relationship Id="rId3691" Type="http://schemas.openxmlformats.org/officeDocument/2006/relationships/hyperlink" Target="https://drive.google.com/drive/folders/10T2cTQHqEJZqE-st6uFKPoI?usp=share_link" TargetMode="External"/><Relationship Id="rId1031" Type="http://schemas.openxmlformats.org/officeDocument/2006/relationships/hyperlink" Target="https://drive.google.com/drive/folders/10T2cTQHqEJZqE-st6uFKPoI?usp=share_link" TargetMode="External"/><Relationship Id="rId2362" Type="http://schemas.openxmlformats.org/officeDocument/2006/relationships/hyperlink" Target="https://drive.google.com/drive/folders/10T2cTQHqEJZqE-st6uFKPoI?usp=share_link" TargetMode="External"/><Relationship Id="rId3694" Type="http://schemas.openxmlformats.org/officeDocument/2006/relationships/hyperlink" Target="https://drive.google.com/drive/folders/10T2cTQHqEJZqE-st6uFKPoI?usp=share_link" TargetMode="External"/><Relationship Id="rId1032" Type="http://schemas.openxmlformats.org/officeDocument/2006/relationships/hyperlink" Target="https://drive.google.com/drive/folders/10T2cTQHqEJZqE-st6uFKPoI?usp=share_link" TargetMode="External"/><Relationship Id="rId2363" Type="http://schemas.openxmlformats.org/officeDocument/2006/relationships/hyperlink" Target="https://drive.google.com/drive/folders/10T2cTQHqEJZqE-st6uFKPoI?usp=share_link" TargetMode="External"/><Relationship Id="rId3693" Type="http://schemas.openxmlformats.org/officeDocument/2006/relationships/hyperlink" Target="https://drive.google.com/drive/folders/10T2cTQHqEJZqE-st6uFKPoI?usp=share_link" TargetMode="External"/><Relationship Id="rId202" Type="http://schemas.openxmlformats.org/officeDocument/2006/relationships/hyperlink" Target="https://drive.google.com/drive/folders/10T2cTQHqEJZqE-st6uFKPoI?usp=share_link" TargetMode="External"/><Relationship Id="rId1033" Type="http://schemas.openxmlformats.org/officeDocument/2006/relationships/hyperlink" Target="https://drive.google.com/drive/folders/10T2cTQHqEJZqE-st6uFKPoI?usp=share_link" TargetMode="External"/><Relationship Id="rId2364" Type="http://schemas.openxmlformats.org/officeDocument/2006/relationships/hyperlink" Target="https://drive.google.com/drive/folders/10T2cTQHqEJZqE-st6uFKPoI?usp=share_link" TargetMode="External"/><Relationship Id="rId3696" Type="http://schemas.openxmlformats.org/officeDocument/2006/relationships/hyperlink" Target="https://drive.google.com/drive/folders/10T2cTQHqEJZqE-st6uFKPoI?usp=share_link" TargetMode="External"/><Relationship Id="rId201" Type="http://schemas.openxmlformats.org/officeDocument/2006/relationships/hyperlink" Target="https://drive.google.com/drive/folders/10T2cTQHqEJZqE-st6uFKPoI?usp=share_link" TargetMode="External"/><Relationship Id="rId1034" Type="http://schemas.openxmlformats.org/officeDocument/2006/relationships/hyperlink" Target="https://drive.google.com/drive/folders/10T2cTQHqEJZqE-st6uFKPoI?usp=share_link" TargetMode="External"/><Relationship Id="rId2365" Type="http://schemas.openxmlformats.org/officeDocument/2006/relationships/hyperlink" Target="https://drive.google.com/drive/folders/10T2cTQHqEJZqE-st6uFKPoI?usp=share_link" TargetMode="External"/><Relationship Id="rId3695" Type="http://schemas.openxmlformats.org/officeDocument/2006/relationships/hyperlink" Target="https://drive.google.com/drive/folders/10T2cTQHqEJZqE-st6uFKPoI?usp=share_link" TargetMode="External"/><Relationship Id="rId200" Type="http://schemas.openxmlformats.org/officeDocument/2006/relationships/hyperlink" Target="https://drive.google.com/drive/folders/10T2cTQHqEJZqE-st6uFKPoI?usp=share_link" TargetMode="External"/><Relationship Id="rId1035" Type="http://schemas.openxmlformats.org/officeDocument/2006/relationships/hyperlink" Target="https://drive.google.com/drive/folders/10T2cTQHqEJZqE-st6uFKPoI?usp=share_link" TargetMode="External"/><Relationship Id="rId2366" Type="http://schemas.openxmlformats.org/officeDocument/2006/relationships/hyperlink" Target="https://drive.google.com/drive/folders/10T2cTQHqEJZqE-st6uFKPoI?usp=share_link" TargetMode="External"/><Relationship Id="rId3698" Type="http://schemas.openxmlformats.org/officeDocument/2006/relationships/hyperlink" Target="https://drive.google.com/drive/folders/10T2cTQHqEJZqE-st6uFKPoI?usp=share_link" TargetMode="External"/><Relationship Id="rId1036" Type="http://schemas.openxmlformats.org/officeDocument/2006/relationships/hyperlink" Target="https://drive.google.com/drive/folders/10T2cTQHqEJZqE-st6uFKPoI?usp=share_link" TargetMode="External"/><Relationship Id="rId2367" Type="http://schemas.openxmlformats.org/officeDocument/2006/relationships/hyperlink" Target="https://drive.google.com/drive/folders/10T2cTQHqEJZqE-st6uFKPoI?usp=share_link" TargetMode="External"/><Relationship Id="rId3697" Type="http://schemas.openxmlformats.org/officeDocument/2006/relationships/hyperlink" Target="https://drive.google.com/drive/folders/10T2cTQHqEJZqE-st6uFKPoI?usp=share_link" TargetMode="External"/><Relationship Id="rId1026" Type="http://schemas.openxmlformats.org/officeDocument/2006/relationships/hyperlink" Target="https://drive.google.com/drive/folders/10T2cTQHqEJZqE-st6uFKPoI?usp=share_link" TargetMode="External"/><Relationship Id="rId2357" Type="http://schemas.openxmlformats.org/officeDocument/2006/relationships/hyperlink" Target="https://drive.google.com/drive/folders/10T2cTQHqEJZqE-st6uFKPoI?usp=share_link" TargetMode="External"/><Relationship Id="rId3689" Type="http://schemas.openxmlformats.org/officeDocument/2006/relationships/hyperlink" Target="https://drive.google.com/drive/folders/10T2cTQHqEJZqE-st6uFKPoI?usp=share_link" TargetMode="External"/><Relationship Id="rId1027" Type="http://schemas.openxmlformats.org/officeDocument/2006/relationships/hyperlink" Target="https://drive.google.com/drive/folders/10T2cTQHqEJZqE-st6uFKPoI?usp=share_link" TargetMode="External"/><Relationship Id="rId2358" Type="http://schemas.openxmlformats.org/officeDocument/2006/relationships/hyperlink" Target="https://drive.google.com/drive/folders/10T2cTQHqEJZqE-st6uFKPoI?usp=share_link" TargetMode="External"/><Relationship Id="rId3688" Type="http://schemas.openxmlformats.org/officeDocument/2006/relationships/hyperlink" Target="https://drive.google.com/drive/folders/10T2cTQHqEJZqE-st6uFKPoI?usp=share_link" TargetMode="External"/><Relationship Id="rId1028" Type="http://schemas.openxmlformats.org/officeDocument/2006/relationships/hyperlink" Target="https://drive.google.com/drive/folders/10T2cTQHqEJZqE-st6uFKPoI?usp=share_link" TargetMode="External"/><Relationship Id="rId2359" Type="http://schemas.openxmlformats.org/officeDocument/2006/relationships/hyperlink" Target="https://drive.google.com/drive/folders/10T2cTQHqEJZqE-st6uFKPoI?usp=share_link" TargetMode="External"/><Relationship Id="rId1029" Type="http://schemas.openxmlformats.org/officeDocument/2006/relationships/hyperlink" Target="https://drive.google.com/drive/folders/10T2cTQHqEJZqE-st6uFKPoI?usp=share_link" TargetMode="External"/><Relationship Id="rId3681" Type="http://schemas.openxmlformats.org/officeDocument/2006/relationships/hyperlink" Target="https://drive.google.com/drive/folders/10T2cTQHqEJZqE-st6uFKPoI?usp=share_link" TargetMode="External"/><Relationship Id="rId2350" Type="http://schemas.openxmlformats.org/officeDocument/2006/relationships/hyperlink" Target="https://drive.google.com/drive/folders/10T2cTQHqEJZqE-st6uFKPoI?usp=share_link" TargetMode="External"/><Relationship Id="rId3680" Type="http://schemas.openxmlformats.org/officeDocument/2006/relationships/hyperlink" Target="https://drive.google.com/drive/folders/10T2cTQHqEJZqE-st6uFKPoI?usp=share_link" TargetMode="External"/><Relationship Id="rId1020" Type="http://schemas.openxmlformats.org/officeDocument/2006/relationships/hyperlink" Target="https://drive.google.com/drive/folders/10T2cTQHqEJZqE-st6uFKPoI?usp=share_link" TargetMode="External"/><Relationship Id="rId2351" Type="http://schemas.openxmlformats.org/officeDocument/2006/relationships/hyperlink" Target="https://drive.google.com/drive/folders/10T2cTQHqEJZqE-st6uFKPoI?usp=share_link" TargetMode="External"/><Relationship Id="rId3683" Type="http://schemas.openxmlformats.org/officeDocument/2006/relationships/hyperlink" Target="https://drive.google.com/drive/folders/10T2cTQHqEJZqE-st6uFKPoI?usp=share_link" TargetMode="External"/><Relationship Id="rId1021" Type="http://schemas.openxmlformats.org/officeDocument/2006/relationships/hyperlink" Target="https://drive.google.com/drive/folders/10T2cTQHqEJZqE-st6uFKPoI?usp=share_link" TargetMode="External"/><Relationship Id="rId2352" Type="http://schemas.openxmlformats.org/officeDocument/2006/relationships/hyperlink" Target="https://drive.google.com/drive/folders/10T2cTQHqEJZqE-st6uFKPoI?usp=share_link" TargetMode="External"/><Relationship Id="rId3682" Type="http://schemas.openxmlformats.org/officeDocument/2006/relationships/hyperlink" Target="https://drive.google.com/drive/folders/10T2cTQHqEJZqE-st6uFKPoI?usp=share_link" TargetMode="External"/><Relationship Id="rId1022" Type="http://schemas.openxmlformats.org/officeDocument/2006/relationships/hyperlink" Target="https://drive.google.com/drive/folders/10T2cTQHqEJZqE-st6uFKPoI?usp=share_link" TargetMode="External"/><Relationship Id="rId2353" Type="http://schemas.openxmlformats.org/officeDocument/2006/relationships/hyperlink" Target="https://drive.google.com/drive/folders/10T2cTQHqEJZqE-st6uFKPoI?usp=share_link" TargetMode="External"/><Relationship Id="rId3685" Type="http://schemas.openxmlformats.org/officeDocument/2006/relationships/hyperlink" Target="https://drive.google.com/drive/folders/10T2cTQHqEJZqE-st6uFKPoI?usp=share_link" TargetMode="External"/><Relationship Id="rId1023" Type="http://schemas.openxmlformats.org/officeDocument/2006/relationships/hyperlink" Target="https://drive.google.com/drive/folders/10T2cTQHqEJZqE-st6uFKPoI?usp=share_link" TargetMode="External"/><Relationship Id="rId2354" Type="http://schemas.openxmlformats.org/officeDocument/2006/relationships/hyperlink" Target="https://drive.google.com/drive/folders/10T2cTQHqEJZqE-st6uFKPoI?usp=share_link" TargetMode="External"/><Relationship Id="rId3684" Type="http://schemas.openxmlformats.org/officeDocument/2006/relationships/hyperlink" Target="https://drive.google.com/drive/folders/10T2cTQHqEJZqE-st6uFKPoI?usp=share_link" TargetMode="External"/><Relationship Id="rId1024" Type="http://schemas.openxmlformats.org/officeDocument/2006/relationships/hyperlink" Target="https://drive.google.com/drive/folders/10T2cTQHqEJZqE-st6uFKPoI?usp=share_link" TargetMode="External"/><Relationship Id="rId2355" Type="http://schemas.openxmlformats.org/officeDocument/2006/relationships/hyperlink" Target="https://drive.google.com/drive/folders/10T2cTQHqEJZqE-st6uFKPoI?usp=share_link" TargetMode="External"/><Relationship Id="rId3687" Type="http://schemas.openxmlformats.org/officeDocument/2006/relationships/hyperlink" Target="https://drive.google.com/drive/folders/10T2cTQHqEJZqE-st6uFKPoI?usp=share_link" TargetMode="External"/><Relationship Id="rId1025" Type="http://schemas.openxmlformats.org/officeDocument/2006/relationships/hyperlink" Target="https://drive.google.com/drive/folders/10T2cTQHqEJZqE-st6uFKPoI?usp=share_link" TargetMode="External"/><Relationship Id="rId2356" Type="http://schemas.openxmlformats.org/officeDocument/2006/relationships/hyperlink" Target="https://drive.google.com/drive/folders/10T2cTQHqEJZqE-st6uFKPoI?usp=share_link" TargetMode="External"/><Relationship Id="rId3686" Type="http://schemas.openxmlformats.org/officeDocument/2006/relationships/hyperlink" Target="https://drive.google.com/drive/folders/10T2cTQHqEJZqE-st6uFKPoI?usp=share_link" TargetMode="External"/><Relationship Id="rId5490" Type="http://schemas.openxmlformats.org/officeDocument/2006/relationships/hyperlink" Target="https://drive.google.com/drive/folders/10T2cTQHqEJZqE-st6uFKPoI?usp=share_link" TargetMode="External"/><Relationship Id="rId4161" Type="http://schemas.openxmlformats.org/officeDocument/2006/relationships/hyperlink" Target="https://drive.google.com/drive/folders/10T2cTQHqEJZqE-st6uFKPoI?usp=share_link" TargetMode="External"/><Relationship Id="rId5493" Type="http://schemas.openxmlformats.org/officeDocument/2006/relationships/hyperlink" Target="https://drive.google.com/drive/folders/10T2cTQHqEJZqE-st6uFKPoI?usp=share_link" TargetMode="External"/><Relationship Id="rId4160" Type="http://schemas.openxmlformats.org/officeDocument/2006/relationships/hyperlink" Target="https://drive.google.com/drive/folders/10T2cTQHqEJZqE-st6uFKPoI?usp=share_link" TargetMode="External"/><Relationship Id="rId5494" Type="http://schemas.openxmlformats.org/officeDocument/2006/relationships/hyperlink" Target="https://drive.google.com/drive/folders/10T2cTQHqEJZqE-st6uFKPoI?usp=share_link" TargetMode="External"/><Relationship Id="rId4163" Type="http://schemas.openxmlformats.org/officeDocument/2006/relationships/hyperlink" Target="https://drive.google.com/drive/folders/10T2cTQHqEJZqE-st6uFKPoI?usp=share_link" TargetMode="External"/><Relationship Id="rId5491" Type="http://schemas.openxmlformats.org/officeDocument/2006/relationships/hyperlink" Target="https://drive.google.com/drive/folders/10T2cTQHqEJZqE-st6uFKPoI?usp=share_link" TargetMode="External"/><Relationship Id="rId4162" Type="http://schemas.openxmlformats.org/officeDocument/2006/relationships/hyperlink" Target="https://drive.google.com/drive/folders/10T2cTQHqEJZqE-st6uFKPoI?usp=share_link" TargetMode="External"/><Relationship Id="rId5492" Type="http://schemas.openxmlformats.org/officeDocument/2006/relationships/hyperlink" Target="https://drive.google.com/drive/folders/10T2cTQHqEJZqE-st6uFKPoI?usp=share_link" TargetMode="External"/><Relationship Id="rId4165" Type="http://schemas.openxmlformats.org/officeDocument/2006/relationships/hyperlink" Target="https://drive.google.com/drive/folders/10T2cTQHqEJZqE-st6uFKPoI?usp=share_link" TargetMode="External"/><Relationship Id="rId5497" Type="http://schemas.openxmlformats.org/officeDocument/2006/relationships/hyperlink" Target="https://drive.google.com/drive/folders/10T2cTQHqEJZqE-st6uFKPoI?usp=share_link" TargetMode="External"/><Relationship Id="rId4164" Type="http://schemas.openxmlformats.org/officeDocument/2006/relationships/hyperlink" Target="https://drive.google.com/drive/folders/10T2cTQHqEJZqE-st6uFKPoI?usp=share_link" TargetMode="External"/><Relationship Id="rId5498" Type="http://schemas.openxmlformats.org/officeDocument/2006/relationships/hyperlink" Target="https://drive.google.com/drive/folders/10T2cTQHqEJZqE-st6uFKPoI?usp=share_link" TargetMode="External"/><Relationship Id="rId4167" Type="http://schemas.openxmlformats.org/officeDocument/2006/relationships/hyperlink" Target="https://drive.google.com/drive/folders/10T2cTQHqEJZqE-st6uFKPoI?usp=share_link" TargetMode="External"/><Relationship Id="rId5495" Type="http://schemas.openxmlformats.org/officeDocument/2006/relationships/hyperlink" Target="https://drive.google.com/drive/folders/10T2cTQHqEJZqE-st6uFKPoI?usp=share_link" TargetMode="External"/><Relationship Id="rId4166" Type="http://schemas.openxmlformats.org/officeDocument/2006/relationships/hyperlink" Target="https://drive.google.com/drive/folders/10T2cTQHqEJZqE-st6uFKPoI?usp=share_link" TargetMode="External"/><Relationship Id="rId5496" Type="http://schemas.openxmlformats.org/officeDocument/2006/relationships/hyperlink" Target="https://drive.google.com/drive/folders/10T2cTQHqEJZqE-st6uFKPoI?usp=share_link" TargetMode="External"/><Relationship Id="rId4169" Type="http://schemas.openxmlformats.org/officeDocument/2006/relationships/hyperlink" Target="https://drive.google.com/drive/folders/10T2cTQHqEJZqE-st6uFKPoI?usp=share_link" TargetMode="External"/><Relationship Id="rId4168" Type="http://schemas.openxmlformats.org/officeDocument/2006/relationships/hyperlink" Target="https://drive.google.com/drive/folders/10T2cTQHqEJZqE-st6uFKPoI?usp=share_link" TargetMode="External"/><Relationship Id="rId5499" Type="http://schemas.openxmlformats.org/officeDocument/2006/relationships/hyperlink" Target="https://drive.google.com/drive/folders/10T2cTQHqEJZqE-st6uFKPoI?usp=share_link" TargetMode="External"/><Relationship Id="rId4150" Type="http://schemas.openxmlformats.org/officeDocument/2006/relationships/hyperlink" Target="https://drive.google.com/drive/folders/10T2cTQHqEJZqE-st6uFKPoI?usp=share_link" TargetMode="External"/><Relationship Id="rId5482" Type="http://schemas.openxmlformats.org/officeDocument/2006/relationships/hyperlink" Target="https://drive.google.com/drive/folders/10T2cTQHqEJZqE-st6uFKPoI?usp=share_link" TargetMode="External"/><Relationship Id="rId5483" Type="http://schemas.openxmlformats.org/officeDocument/2006/relationships/hyperlink" Target="https://drive.google.com/drive/folders/10T2cTQHqEJZqE-st6uFKPoI?usp=share_link" TargetMode="External"/><Relationship Id="rId4152" Type="http://schemas.openxmlformats.org/officeDocument/2006/relationships/hyperlink" Target="https://drive.google.com/drive/folders/10T2cTQHqEJZqE-st6uFKPoI?usp=share_link" TargetMode="External"/><Relationship Id="rId5480" Type="http://schemas.openxmlformats.org/officeDocument/2006/relationships/hyperlink" Target="https://drive.google.com/drive/folders/10T2cTQHqEJZqE-st6uFKPoI?usp=share_link" TargetMode="External"/><Relationship Id="rId4151" Type="http://schemas.openxmlformats.org/officeDocument/2006/relationships/hyperlink" Target="https://drive.google.com/drive/folders/10T2cTQHqEJZqE-st6uFKPoI?usp=share_link" TargetMode="External"/><Relationship Id="rId5481" Type="http://schemas.openxmlformats.org/officeDocument/2006/relationships/hyperlink" Target="https://drive.google.com/drive/folders/10T2cTQHqEJZqE-st6uFKPoI?usp=share_link" TargetMode="External"/><Relationship Id="rId4154" Type="http://schemas.openxmlformats.org/officeDocument/2006/relationships/hyperlink" Target="https://drive.google.com/drive/folders/10T2cTQHqEJZqE-st6uFKPoI?usp=share_link" TargetMode="External"/><Relationship Id="rId5486" Type="http://schemas.openxmlformats.org/officeDocument/2006/relationships/hyperlink" Target="https://drive.google.com/drive/folders/10T2cTQHqEJZqE-st6uFKPoI?usp=share_link" TargetMode="External"/><Relationship Id="rId4153" Type="http://schemas.openxmlformats.org/officeDocument/2006/relationships/hyperlink" Target="https://drive.google.com/drive/folders/10T2cTQHqEJZqE-st6uFKPoI?usp=share_link" TargetMode="External"/><Relationship Id="rId5487" Type="http://schemas.openxmlformats.org/officeDocument/2006/relationships/hyperlink" Target="https://drive.google.com/drive/folders/10T2cTQHqEJZqE-st6uFKPoI?usp=share_link" TargetMode="External"/><Relationship Id="rId4156" Type="http://schemas.openxmlformats.org/officeDocument/2006/relationships/hyperlink" Target="https://drive.google.com/drive/folders/10T2cTQHqEJZqE-st6uFKPoI?usp=share_link" TargetMode="External"/><Relationship Id="rId5484" Type="http://schemas.openxmlformats.org/officeDocument/2006/relationships/hyperlink" Target="https://drive.google.com/drive/folders/10T2cTQHqEJZqE-st6uFKPoI?usp=share_link" TargetMode="External"/><Relationship Id="rId4155" Type="http://schemas.openxmlformats.org/officeDocument/2006/relationships/hyperlink" Target="https://drive.google.com/drive/folders/10T2cTQHqEJZqE-st6uFKPoI?usp=share_link" TargetMode="External"/><Relationship Id="rId5485" Type="http://schemas.openxmlformats.org/officeDocument/2006/relationships/hyperlink" Target="https://drive.google.com/drive/folders/10T2cTQHqEJZqE-st6uFKPoI?usp=share_link" TargetMode="External"/><Relationship Id="rId4158" Type="http://schemas.openxmlformats.org/officeDocument/2006/relationships/hyperlink" Target="https://drive.google.com/drive/folders/10T2cTQHqEJZqE-st6uFKPoI?usp=share_link" TargetMode="External"/><Relationship Id="rId4157" Type="http://schemas.openxmlformats.org/officeDocument/2006/relationships/hyperlink" Target="https://drive.google.com/drive/folders/10T2cTQHqEJZqE-st6uFKPoI?usp=share_link" TargetMode="External"/><Relationship Id="rId5488" Type="http://schemas.openxmlformats.org/officeDocument/2006/relationships/hyperlink" Target="https://drive.google.com/drive/folders/10T2cTQHqEJZqE-st6uFKPoI?usp=share_link" TargetMode="External"/><Relationship Id="rId4159" Type="http://schemas.openxmlformats.org/officeDocument/2006/relationships/hyperlink" Target="https://drive.google.com/drive/folders/10T2cTQHqEJZqE-st6uFKPoI?usp=share_link" TargetMode="External"/><Relationship Id="rId5489" Type="http://schemas.openxmlformats.org/officeDocument/2006/relationships/hyperlink" Target="https://drive.google.com/drive/folders/10T2cTQHqEJZqE-st6uFKPoI?usp=share_link" TargetMode="External"/><Relationship Id="rId1910" Type="http://schemas.openxmlformats.org/officeDocument/2006/relationships/hyperlink" Target="https://drive.google.com/drive/folders/10T2cTQHqEJZqE-st6uFKPoI?usp=share_link" TargetMode="External"/><Relationship Id="rId1911" Type="http://schemas.openxmlformats.org/officeDocument/2006/relationships/hyperlink" Target="https://drive.google.com/drive/folders/10T2cTQHqEJZqE-st6uFKPoI?usp=share_link" TargetMode="External"/><Relationship Id="rId1912" Type="http://schemas.openxmlformats.org/officeDocument/2006/relationships/hyperlink" Target="https://drive.google.com/drive/folders/10T2cTQHqEJZqE-st6uFKPoI?usp=share_link" TargetMode="External"/><Relationship Id="rId1913" Type="http://schemas.openxmlformats.org/officeDocument/2006/relationships/hyperlink" Target="https://drive.google.com/drive/folders/10T2cTQHqEJZqE-st6uFKPoI?usp=share_link" TargetMode="External"/><Relationship Id="rId1914" Type="http://schemas.openxmlformats.org/officeDocument/2006/relationships/hyperlink" Target="https://drive.google.com/drive/folders/10T2cTQHqEJZqE-st6uFKPoI?usp=share_link" TargetMode="External"/><Relationship Id="rId1915" Type="http://schemas.openxmlformats.org/officeDocument/2006/relationships/hyperlink" Target="https://drive.google.com/drive/folders/10T2cTQHqEJZqE-st6uFKPoI?usp=share_link" TargetMode="External"/><Relationship Id="rId1916" Type="http://schemas.openxmlformats.org/officeDocument/2006/relationships/hyperlink" Target="https://drive.google.com/drive/folders/10T2cTQHqEJZqE-st6uFKPoI?usp=share_link" TargetMode="External"/><Relationship Id="rId1917" Type="http://schemas.openxmlformats.org/officeDocument/2006/relationships/hyperlink" Target="https://drive.google.com/drive/folders/10T2cTQHqEJZqE-st6uFKPoI?usp=share_link" TargetMode="External"/><Relationship Id="rId1918" Type="http://schemas.openxmlformats.org/officeDocument/2006/relationships/hyperlink" Target="https://drive.google.com/drive/folders/10T2cTQHqEJZqE-st6uFKPoI?usp=share_link" TargetMode="External"/><Relationship Id="rId1919" Type="http://schemas.openxmlformats.org/officeDocument/2006/relationships/hyperlink" Target="https://drive.google.com/drive/folders/10T2cTQHqEJZqE-st6uFKPoI?usp=share_link" TargetMode="External"/><Relationship Id="rId4181" Type="http://schemas.openxmlformats.org/officeDocument/2006/relationships/hyperlink" Target="https://drive.google.com/drive/folders/10T2cTQHqEJZqE-st6uFKPoI?usp=share_link" TargetMode="External"/><Relationship Id="rId4180" Type="http://schemas.openxmlformats.org/officeDocument/2006/relationships/hyperlink" Target="https://drive.google.com/drive/folders/10T2cTQHqEJZqE-st6uFKPoI?usp=share_link" TargetMode="External"/><Relationship Id="rId4183" Type="http://schemas.openxmlformats.org/officeDocument/2006/relationships/hyperlink" Target="https://drive.google.com/drive/folders/10T2cTQHqEJZqE-st6uFKPoI?usp=share_link" TargetMode="External"/><Relationship Id="rId4182" Type="http://schemas.openxmlformats.org/officeDocument/2006/relationships/hyperlink" Target="https://drive.google.com/drive/folders/10T2cTQHqEJZqE-st6uFKPoI?usp=share_link" TargetMode="External"/><Relationship Id="rId4185" Type="http://schemas.openxmlformats.org/officeDocument/2006/relationships/hyperlink" Target="https://drive.google.com/drive/folders/10T2cTQHqEJZqE-st6uFKPoI?usp=share_link" TargetMode="External"/><Relationship Id="rId4184" Type="http://schemas.openxmlformats.org/officeDocument/2006/relationships/hyperlink" Target="https://drive.google.com/drive/folders/10T2cTQHqEJZqE-st6uFKPoI?usp=share_link" TargetMode="External"/><Relationship Id="rId4187" Type="http://schemas.openxmlformats.org/officeDocument/2006/relationships/hyperlink" Target="https://drive.google.com/drive/folders/10T2cTQHqEJZqE-st6uFKPoI?usp=share_link" TargetMode="External"/><Relationship Id="rId4186" Type="http://schemas.openxmlformats.org/officeDocument/2006/relationships/hyperlink" Target="https://drive.google.com/drive/folders/10T2cTQHqEJZqE-st6uFKPoI?usp=share_link" TargetMode="External"/><Relationship Id="rId4189" Type="http://schemas.openxmlformats.org/officeDocument/2006/relationships/hyperlink" Target="https://drive.google.com/drive/folders/10T2cTQHqEJZqE-st6uFKPoI?usp=share_link" TargetMode="External"/><Relationship Id="rId4188" Type="http://schemas.openxmlformats.org/officeDocument/2006/relationships/hyperlink" Target="https://drive.google.com/drive/folders/10T2cTQHqEJZqE-st6uFKPoI?usp=share_link" TargetMode="External"/><Relationship Id="rId1900" Type="http://schemas.openxmlformats.org/officeDocument/2006/relationships/hyperlink" Target="https://drive.google.com/drive/folders/10T2cTQHqEJZqE-st6uFKPoI?usp=share_link" TargetMode="External"/><Relationship Id="rId1901" Type="http://schemas.openxmlformats.org/officeDocument/2006/relationships/hyperlink" Target="https://drive.google.com/drive/folders/10T2cTQHqEJZqE-st6uFKPoI?usp=share_link" TargetMode="External"/><Relationship Id="rId1902" Type="http://schemas.openxmlformats.org/officeDocument/2006/relationships/hyperlink" Target="https://drive.google.com/drive/folders/10T2cTQHqEJZqE-st6uFKPoI?usp=share_link" TargetMode="External"/><Relationship Id="rId1903" Type="http://schemas.openxmlformats.org/officeDocument/2006/relationships/hyperlink" Target="https://drive.google.com/drive/folders/10T2cTQHqEJZqE-st6uFKPoI?usp=share_link" TargetMode="External"/><Relationship Id="rId1904" Type="http://schemas.openxmlformats.org/officeDocument/2006/relationships/hyperlink" Target="https://drive.google.com/drive/folders/10T2cTQHqEJZqE-st6uFKPoI?usp=share_link" TargetMode="External"/><Relationship Id="rId1905" Type="http://schemas.openxmlformats.org/officeDocument/2006/relationships/hyperlink" Target="https://drive.google.com/drive/folders/10T2cTQHqEJZqE-st6uFKPoI?usp=share_link" TargetMode="External"/><Relationship Id="rId1906" Type="http://schemas.openxmlformats.org/officeDocument/2006/relationships/hyperlink" Target="https://drive.google.com/drive/folders/10T2cTQHqEJZqE-st6uFKPoI?usp=share_link" TargetMode="External"/><Relationship Id="rId1907" Type="http://schemas.openxmlformats.org/officeDocument/2006/relationships/hyperlink" Target="https://drive.google.com/drive/folders/10T2cTQHqEJZqE-st6uFKPoI?usp=share_link" TargetMode="External"/><Relationship Id="rId1908" Type="http://schemas.openxmlformats.org/officeDocument/2006/relationships/hyperlink" Target="https://drive.google.com/drive/folders/10T2cTQHqEJZqE-st6uFKPoI?usp=share_link" TargetMode="External"/><Relationship Id="rId1909" Type="http://schemas.openxmlformats.org/officeDocument/2006/relationships/hyperlink" Target="https://drive.google.com/drive/folders/10T2cTQHqEJZqE-st6uFKPoI?usp=share_link" TargetMode="External"/><Relationship Id="rId4170" Type="http://schemas.openxmlformats.org/officeDocument/2006/relationships/hyperlink" Target="https://drive.google.com/drive/folders/10T2cTQHqEJZqE-st6uFKPoI?usp=share_link" TargetMode="External"/><Relationship Id="rId4172" Type="http://schemas.openxmlformats.org/officeDocument/2006/relationships/hyperlink" Target="https://drive.google.com/drive/folders/10T2cTQHqEJZqE-st6uFKPoI?usp=share_link" TargetMode="External"/><Relationship Id="rId4171" Type="http://schemas.openxmlformats.org/officeDocument/2006/relationships/hyperlink" Target="https://drive.google.com/drive/folders/10T2cTQHqEJZqE-st6uFKPoI?usp=share_link" TargetMode="External"/><Relationship Id="rId4174" Type="http://schemas.openxmlformats.org/officeDocument/2006/relationships/hyperlink" Target="https://drive.google.com/drive/folders/10T2cTQHqEJZqE-st6uFKPoI?usp=share_link" TargetMode="External"/><Relationship Id="rId4173" Type="http://schemas.openxmlformats.org/officeDocument/2006/relationships/hyperlink" Target="https://drive.google.com/drive/folders/10T2cTQHqEJZqE-st6uFKPoI?usp=share_link" TargetMode="External"/><Relationship Id="rId4176" Type="http://schemas.openxmlformats.org/officeDocument/2006/relationships/hyperlink" Target="https://drive.google.com/drive/folders/10T2cTQHqEJZqE-st6uFKPoI?usp=share_link" TargetMode="External"/><Relationship Id="rId4175" Type="http://schemas.openxmlformats.org/officeDocument/2006/relationships/hyperlink" Target="https://drive.google.com/drive/folders/10T2cTQHqEJZqE-st6uFKPoI?usp=share_link" TargetMode="External"/><Relationship Id="rId4178" Type="http://schemas.openxmlformats.org/officeDocument/2006/relationships/hyperlink" Target="https://drive.google.com/drive/folders/10T2cTQHqEJZqE-st6uFKPoI?usp=share_link" TargetMode="External"/><Relationship Id="rId4177" Type="http://schemas.openxmlformats.org/officeDocument/2006/relationships/hyperlink" Target="https://drive.google.com/drive/folders/10T2cTQHqEJZqE-st6uFKPoI?usp=share_link" TargetMode="External"/><Relationship Id="rId4179" Type="http://schemas.openxmlformats.org/officeDocument/2006/relationships/hyperlink" Target="https://drive.google.com/drive/folders/10T2cTQHqEJZqE-st6uFKPoI?usp=share_link" TargetMode="External"/><Relationship Id="rId4129" Type="http://schemas.openxmlformats.org/officeDocument/2006/relationships/hyperlink" Target="https://drive.google.com/drive/folders/10T2cTQHqEJZqE-st6uFKPoI?usp=share_link" TargetMode="External"/><Relationship Id="rId4128" Type="http://schemas.openxmlformats.org/officeDocument/2006/relationships/hyperlink" Target="https://drive.google.com/drive/folders/10T2cTQHqEJZqE-st6uFKPoI?usp=share_link" TargetMode="External"/><Relationship Id="rId5459" Type="http://schemas.openxmlformats.org/officeDocument/2006/relationships/hyperlink" Target="https://drive.google.com/drive/folders/10T2cTQHqEJZqE-st6uFKPoI?usp=share_link" TargetMode="External"/><Relationship Id="rId1090" Type="http://schemas.openxmlformats.org/officeDocument/2006/relationships/hyperlink" Target="https://drive.google.com/drive/folders/10T2cTQHqEJZqE-st6uFKPoI?usp=share_link" TargetMode="External"/><Relationship Id="rId1091" Type="http://schemas.openxmlformats.org/officeDocument/2006/relationships/hyperlink" Target="https://drive.google.com/drive/folders/10T2cTQHqEJZqE-st6uFKPoI?usp=share_link" TargetMode="External"/><Relationship Id="rId1092" Type="http://schemas.openxmlformats.org/officeDocument/2006/relationships/hyperlink" Target="https://drive.google.com/drive/folders/10T2cTQHqEJZqE-st6uFKPoI?usp=share_link" TargetMode="External"/><Relationship Id="rId5450" Type="http://schemas.openxmlformats.org/officeDocument/2006/relationships/hyperlink" Target="https://drive.google.com/drive/folders/10T2cTQHqEJZqE-st6uFKPoI?usp=share_link" TargetMode="External"/><Relationship Id="rId1093" Type="http://schemas.openxmlformats.org/officeDocument/2006/relationships/hyperlink" Target="https://drive.google.com/drive/folders/10T2cTQHqEJZqE-st6uFKPoI?usp=share_link" TargetMode="External"/><Relationship Id="rId1094" Type="http://schemas.openxmlformats.org/officeDocument/2006/relationships/hyperlink" Target="https://drive.google.com/drive/folders/10T2cTQHqEJZqE-st6uFKPoI?usp=share_link" TargetMode="External"/><Relationship Id="rId1095" Type="http://schemas.openxmlformats.org/officeDocument/2006/relationships/hyperlink" Target="https://drive.google.com/drive/folders/10T2cTQHqEJZqE-st6uFKPoI?usp=share_link" TargetMode="External"/><Relationship Id="rId4121" Type="http://schemas.openxmlformats.org/officeDocument/2006/relationships/hyperlink" Target="https://drive.google.com/drive/folders/10T2cTQHqEJZqE-st6uFKPoI?usp=share_link" TargetMode="External"/><Relationship Id="rId5453" Type="http://schemas.openxmlformats.org/officeDocument/2006/relationships/hyperlink" Target="https://drive.google.com/drive/folders/10T2cTQHqEJZqE-st6uFKPoI?usp=share_link" TargetMode="External"/><Relationship Id="rId1096" Type="http://schemas.openxmlformats.org/officeDocument/2006/relationships/hyperlink" Target="https://drive.google.com/drive/folders/10T2cTQHqEJZqE-st6uFKPoI?usp=share_link" TargetMode="External"/><Relationship Id="rId4120" Type="http://schemas.openxmlformats.org/officeDocument/2006/relationships/hyperlink" Target="https://drive.google.com/drive/folders/10T2cTQHqEJZqE-st6uFKPoI?usp=share_link" TargetMode="External"/><Relationship Id="rId5454" Type="http://schemas.openxmlformats.org/officeDocument/2006/relationships/hyperlink" Target="https://drive.google.com/drive/folders/10T2cTQHqEJZqE-st6uFKPoI?usp=share_link" TargetMode="External"/><Relationship Id="rId1097" Type="http://schemas.openxmlformats.org/officeDocument/2006/relationships/hyperlink" Target="https://drive.google.com/drive/folders/10T2cTQHqEJZqE-st6uFKPoI?usp=share_link" TargetMode="External"/><Relationship Id="rId4123" Type="http://schemas.openxmlformats.org/officeDocument/2006/relationships/hyperlink" Target="https://drive.google.com/drive/folders/10T2cTQHqEJZqE-st6uFKPoI?usp=share_link" TargetMode="External"/><Relationship Id="rId5451" Type="http://schemas.openxmlformats.org/officeDocument/2006/relationships/hyperlink" Target="https://drive.google.com/drive/folders/10T2cTQHqEJZqE-st6uFKPoI?usp=share_link" TargetMode="External"/><Relationship Id="rId1098" Type="http://schemas.openxmlformats.org/officeDocument/2006/relationships/hyperlink" Target="https://drive.google.com/drive/folders/10T2cTQHqEJZqE-st6uFKPoI?usp=share_link" TargetMode="External"/><Relationship Id="rId4122" Type="http://schemas.openxmlformats.org/officeDocument/2006/relationships/hyperlink" Target="https://drive.google.com/drive/folders/10T2cTQHqEJZqE-st6uFKPoI?usp=share_link" TargetMode="External"/><Relationship Id="rId5452" Type="http://schemas.openxmlformats.org/officeDocument/2006/relationships/hyperlink" Target="https://drive.google.com/drive/folders/10T2cTQHqEJZqE-st6uFKPoI?usp=share_link" TargetMode="External"/><Relationship Id="rId1099" Type="http://schemas.openxmlformats.org/officeDocument/2006/relationships/hyperlink" Target="https://drive.google.com/drive/folders/10T2cTQHqEJZqE-st6uFKPoI?usp=share_link" TargetMode="External"/><Relationship Id="rId4125" Type="http://schemas.openxmlformats.org/officeDocument/2006/relationships/hyperlink" Target="https://drive.google.com/drive/folders/10T2cTQHqEJZqE-st6uFKPoI?usp=share_link" TargetMode="External"/><Relationship Id="rId5457" Type="http://schemas.openxmlformats.org/officeDocument/2006/relationships/hyperlink" Target="https://drive.google.com/drive/folders/10T2cTQHqEJZqE-st6uFKPoI?usp=share_link" TargetMode="External"/><Relationship Id="rId4124" Type="http://schemas.openxmlformats.org/officeDocument/2006/relationships/hyperlink" Target="https://drive.google.com/drive/folders/10T2cTQHqEJZqE-st6uFKPoI?usp=share_link" TargetMode="External"/><Relationship Id="rId5458" Type="http://schemas.openxmlformats.org/officeDocument/2006/relationships/hyperlink" Target="https://drive.google.com/drive/folders/10T2cTQHqEJZqE-st6uFKPoI?usp=share_link" TargetMode="External"/><Relationship Id="rId4127" Type="http://schemas.openxmlformats.org/officeDocument/2006/relationships/hyperlink" Target="https://drive.google.com/drive/folders/10T2cTQHqEJZqE-st6uFKPoI?usp=share_link" TargetMode="External"/><Relationship Id="rId5455" Type="http://schemas.openxmlformats.org/officeDocument/2006/relationships/hyperlink" Target="https://drive.google.com/drive/folders/10T2cTQHqEJZqE-st6uFKPoI?usp=share_link" TargetMode="External"/><Relationship Id="rId4126" Type="http://schemas.openxmlformats.org/officeDocument/2006/relationships/hyperlink" Target="https://drive.google.com/drive/folders/10T2cTQHqEJZqE-st6uFKPoI?usp=share_link" TargetMode="External"/><Relationship Id="rId5456" Type="http://schemas.openxmlformats.org/officeDocument/2006/relationships/hyperlink" Target="https://drive.google.com/drive/folders/10T2cTQHqEJZqE-st6uFKPoI?usp=share_link" TargetMode="External"/><Relationship Id="rId4118" Type="http://schemas.openxmlformats.org/officeDocument/2006/relationships/hyperlink" Target="https://drive.google.com/drive/folders/10T2cTQHqEJZqE-st6uFKPoI?usp=share_link" TargetMode="External"/><Relationship Id="rId4117" Type="http://schemas.openxmlformats.org/officeDocument/2006/relationships/hyperlink" Target="https://drive.google.com/drive/folders/10T2cTQHqEJZqE-st6uFKPoI?usp=share_link" TargetMode="External"/><Relationship Id="rId5448" Type="http://schemas.openxmlformats.org/officeDocument/2006/relationships/hyperlink" Target="https://drive.google.com/drive/folders/10T2cTQHqEJZqE-st6uFKPoI?usp=share_link" TargetMode="External"/><Relationship Id="rId4119" Type="http://schemas.openxmlformats.org/officeDocument/2006/relationships/hyperlink" Target="https://drive.google.com/drive/folders/10T2cTQHqEJZqE-st6uFKPoI?usp=share_link" TargetMode="External"/><Relationship Id="rId5449" Type="http://schemas.openxmlformats.org/officeDocument/2006/relationships/hyperlink" Target="https://drive.google.com/drive/folders/10T2cTQHqEJZqE-st6uFKPoI?usp=share_link" TargetMode="External"/><Relationship Id="rId1080" Type="http://schemas.openxmlformats.org/officeDocument/2006/relationships/hyperlink" Target="https://drive.google.com/drive/folders/10T2cTQHqEJZqE-st6uFKPoI?usp=share_link" TargetMode="External"/><Relationship Id="rId1081" Type="http://schemas.openxmlformats.org/officeDocument/2006/relationships/hyperlink" Target="https://drive.google.com/drive/folders/10T2cTQHqEJZqE-st6uFKPoI?usp=share_link" TargetMode="External"/><Relationship Id="rId1082" Type="http://schemas.openxmlformats.org/officeDocument/2006/relationships/hyperlink" Target="https://drive.google.com/drive/folders/10T2cTQHqEJZqE-st6uFKPoI?usp=share_link" TargetMode="External"/><Relationship Id="rId1083" Type="http://schemas.openxmlformats.org/officeDocument/2006/relationships/hyperlink" Target="https://drive.google.com/drive/folders/10T2cTQHqEJZqE-st6uFKPoI?usp=share_link" TargetMode="External"/><Relationship Id="rId1084" Type="http://schemas.openxmlformats.org/officeDocument/2006/relationships/hyperlink" Target="https://drive.google.com/drive/folders/10T2cTQHqEJZqE-st6uFKPoI?usp=share_link" TargetMode="External"/><Relationship Id="rId4110" Type="http://schemas.openxmlformats.org/officeDocument/2006/relationships/hyperlink" Target="https://drive.google.com/drive/folders/10T2cTQHqEJZqE-st6uFKPoI?usp=share_link" TargetMode="External"/><Relationship Id="rId5442" Type="http://schemas.openxmlformats.org/officeDocument/2006/relationships/hyperlink" Target="https://drive.google.com/drive/folders/10T2cTQHqEJZqE-st6uFKPoI?usp=share_link" TargetMode="External"/><Relationship Id="rId1085" Type="http://schemas.openxmlformats.org/officeDocument/2006/relationships/hyperlink" Target="https://drive.google.com/drive/folders/10T2cTQHqEJZqE-st6uFKPoI?usp=share_link" TargetMode="External"/><Relationship Id="rId5443" Type="http://schemas.openxmlformats.org/officeDocument/2006/relationships/hyperlink" Target="https://drive.google.com/drive/folders/10T2cTQHqEJZqE-st6uFKPoI?usp=share_link" TargetMode="External"/><Relationship Id="rId1086" Type="http://schemas.openxmlformats.org/officeDocument/2006/relationships/hyperlink" Target="https://drive.google.com/drive/folders/10T2cTQHqEJZqE-st6uFKPoI?usp=share_link" TargetMode="External"/><Relationship Id="rId4112" Type="http://schemas.openxmlformats.org/officeDocument/2006/relationships/hyperlink" Target="https://drive.google.com/drive/folders/10T2cTQHqEJZqE-st6uFKPoI?usp=share_link" TargetMode="External"/><Relationship Id="rId5440" Type="http://schemas.openxmlformats.org/officeDocument/2006/relationships/hyperlink" Target="https://drive.google.com/drive/folders/10T2cTQHqEJZqE-st6uFKPoI?usp=share_link" TargetMode="External"/><Relationship Id="rId1087" Type="http://schemas.openxmlformats.org/officeDocument/2006/relationships/hyperlink" Target="https://drive.google.com/drive/folders/10T2cTQHqEJZqE-st6uFKPoI?usp=share_link" TargetMode="External"/><Relationship Id="rId4111" Type="http://schemas.openxmlformats.org/officeDocument/2006/relationships/hyperlink" Target="https://drive.google.com/drive/folders/10T2cTQHqEJZqE-st6uFKPoI?usp=share_link" TargetMode="External"/><Relationship Id="rId5441" Type="http://schemas.openxmlformats.org/officeDocument/2006/relationships/hyperlink" Target="https://drive.google.com/drive/folders/10T2cTQHqEJZqE-st6uFKPoI?usp=share_link" TargetMode="External"/><Relationship Id="rId1088" Type="http://schemas.openxmlformats.org/officeDocument/2006/relationships/hyperlink" Target="https://drive.google.com/drive/folders/10T2cTQHqEJZqE-st6uFKPoI?usp=share_link" TargetMode="External"/><Relationship Id="rId4114" Type="http://schemas.openxmlformats.org/officeDocument/2006/relationships/hyperlink" Target="https://drive.google.com/drive/folders/10T2cTQHqEJZqE-st6uFKPoI?usp=share_link" TargetMode="External"/><Relationship Id="rId5446" Type="http://schemas.openxmlformats.org/officeDocument/2006/relationships/hyperlink" Target="https://drive.google.com/drive/folders/10T2cTQHqEJZqE-st6uFKPoI?usp=share_link" TargetMode="External"/><Relationship Id="rId1089" Type="http://schemas.openxmlformats.org/officeDocument/2006/relationships/hyperlink" Target="https://drive.google.com/drive/folders/10T2cTQHqEJZqE-st6uFKPoI?usp=share_link" TargetMode="External"/><Relationship Id="rId4113" Type="http://schemas.openxmlformats.org/officeDocument/2006/relationships/hyperlink" Target="https://drive.google.com/drive/folders/10T2cTQHqEJZqE-st6uFKPoI?usp=share_link" TargetMode="External"/><Relationship Id="rId5447" Type="http://schemas.openxmlformats.org/officeDocument/2006/relationships/hyperlink" Target="https://drive.google.com/drive/folders/10T2cTQHqEJZqE-st6uFKPoI?usp=share_link" TargetMode="External"/><Relationship Id="rId4116" Type="http://schemas.openxmlformats.org/officeDocument/2006/relationships/hyperlink" Target="https://drive.google.com/drive/folders/10T2cTQHqEJZqE-st6uFKPoI?usp=share_link" TargetMode="External"/><Relationship Id="rId5444" Type="http://schemas.openxmlformats.org/officeDocument/2006/relationships/hyperlink" Target="https://drive.google.com/drive/folders/10T2cTQHqEJZqE-st6uFKPoI?usp=share_link" TargetMode="External"/><Relationship Id="rId4115" Type="http://schemas.openxmlformats.org/officeDocument/2006/relationships/hyperlink" Target="https://drive.google.com/drive/folders/10T2cTQHqEJZqE-st6uFKPoI?usp=share_link" TargetMode="External"/><Relationship Id="rId5445" Type="http://schemas.openxmlformats.org/officeDocument/2006/relationships/hyperlink" Target="https://drive.google.com/drive/folders/10T2cTQHqEJZqE-st6uFKPoI?usp=share_link" TargetMode="External"/><Relationship Id="rId5471" Type="http://schemas.openxmlformats.org/officeDocument/2006/relationships/hyperlink" Target="https://drive.google.com/drive/folders/10T2cTQHqEJZqE-st6uFKPoI?usp=share_link" TargetMode="External"/><Relationship Id="rId5472" Type="http://schemas.openxmlformats.org/officeDocument/2006/relationships/hyperlink" Target="https://drive.google.com/drive/folders/10T2cTQHqEJZqE-st6uFKPoI?usp=share_link" TargetMode="External"/><Relationship Id="rId4141" Type="http://schemas.openxmlformats.org/officeDocument/2006/relationships/hyperlink" Target="https://drive.google.com/drive/folders/10T2cTQHqEJZqE-st6uFKPoI?usp=share_link" TargetMode="External"/><Relationship Id="rId4140" Type="http://schemas.openxmlformats.org/officeDocument/2006/relationships/hyperlink" Target="https://drive.google.com/drive/folders/10T2cTQHqEJZqE-st6uFKPoI?usp=share_link" TargetMode="External"/><Relationship Id="rId5470" Type="http://schemas.openxmlformats.org/officeDocument/2006/relationships/hyperlink" Target="https://drive.google.com/drive/folders/10T2cTQHqEJZqE-st6uFKPoI?usp=share_link" TargetMode="External"/><Relationship Id="rId4143" Type="http://schemas.openxmlformats.org/officeDocument/2006/relationships/hyperlink" Target="https://drive.google.com/drive/folders/10T2cTQHqEJZqE-st6uFKPoI?usp=share_link" TargetMode="External"/><Relationship Id="rId5475" Type="http://schemas.openxmlformats.org/officeDocument/2006/relationships/hyperlink" Target="https://drive.google.com/drive/folders/10T2cTQHqEJZqE-st6uFKPoI?usp=share_link" TargetMode="External"/><Relationship Id="rId4142" Type="http://schemas.openxmlformats.org/officeDocument/2006/relationships/hyperlink" Target="https://drive.google.com/drive/folders/10T2cTQHqEJZqE-st6uFKPoI?usp=share_link" TargetMode="External"/><Relationship Id="rId5476" Type="http://schemas.openxmlformats.org/officeDocument/2006/relationships/hyperlink" Target="https://drive.google.com/drive/folders/10T2cTQHqEJZqE-st6uFKPoI?usp=share_link" TargetMode="External"/><Relationship Id="rId4145" Type="http://schemas.openxmlformats.org/officeDocument/2006/relationships/hyperlink" Target="https://drive.google.com/drive/folders/10T2cTQHqEJZqE-st6uFKPoI?usp=share_link" TargetMode="External"/><Relationship Id="rId5473" Type="http://schemas.openxmlformats.org/officeDocument/2006/relationships/hyperlink" Target="https://drive.google.com/drive/folders/10T2cTQHqEJZqE-st6uFKPoI?usp=share_link" TargetMode="External"/><Relationship Id="rId4144" Type="http://schemas.openxmlformats.org/officeDocument/2006/relationships/hyperlink" Target="https://drive.google.com/drive/folders/10T2cTQHqEJZqE-st6uFKPoI?usp=share_link" TargetMode="External"/><Relationship Id="rId5474" Type="http://schemas.openxmlformats.org/officeDocument/2006/relationships/hyperlink" Target="https://drive.google.com/drive/folders/10T2cTQHqEJZqE-st6uFKPoI?usp=share_link" TargetMode="External"/><Relationship Id="rId4147" Type="http://schemas.openxmlformats.org/officeDocument/2006/relationships/hyperlink" Target="https://drive.google.com/drive/folders/10T2cTQHqEJZqE-st6uFKPoI?usp=share_link" TargetMode="External"/><Relationship Id="rId5479" Type="http://schemas.openxmlformats.org/officeDocument/2006/relationships/hyperlink" Target="https://drive.google.com/drive/folders/10T2cTQHqEJZqE-st6uFKPoI?usp=share_link" TargetMode="External"/><Relationship Id="rId4146" Type="http://schemas.openxmlformats.org/officeDocument/2006/relationships/hyperlink" Target="https://drive.google.com/drive/folders/10T2cTQHqEJZqE-st6uFKPoI?usp=share_link" TargetMode="External"/><Relationship Id="rId4149" Type="http://schemas.openxmlformats.org/officeDocument/2006/relationships/hyperlink" Target="https://drive.google.com/drive/folders/10T2cTQHqEJZqE-st6uFKPoI?usp=share_link" TargetMode="External"/><Relationship Id="rId5477" Type="http://schemas.openxmlformats.org/officeDocument/2006/relationships/hyperlink" Target="https://drive.google.com/drive/folders/10T2cTQHqEJZqE-st6uFKPoI?usp=share_link" TargetMode="External"/><Relationship Id="rId4148" Type="http://schemas.openxmlformats.org/officeDocument/2006/relationships/hyperlink" Target="https://drive.google.com/drive/folders/10T2cTQHqEJZqE-st6uFKPoI?usp=share_link" TargetMode="External"/><Relationship Id="rId5478" Type="http://schemas.openxmlformats.org/officeDocument/2006/relationships/hyperlink" Target="https://drive.google.com/drive/folders/10T2cTQHqEJZqE-st6uFKPoI?usp=share_link" TargetMode="External"/><Relationship Id="rId4139" Type="http://schemas.openxmlformats.org/officeDocument/2006/relationships/hyperlink" Target="https://drive.google.com/drive/folders/10T2cTQHqEJZqE-st6uFKPoI?usp=share_link" TargetMode="External"/><Relationship Id="rId5460" Type="http://schemas.openxmlformats.org/officeDocument/2006/relationships/hyperlink" Target="https://drive.google.com/drive/folders/10T2cTQHqEJZqE-st6uFKPoI?usp=share_link" TargetMode="External"/><Relationship Id="rId5461" Type="http://schemas.openxmlformats.org/officeDocument/2006/relationships/hyperlink" Target="https://drive.google.com/drive/folders/10T2cTQHqEJZqE-st6uFKPoI?usp=share_link" TargetMode="External"/><Relationship Id="rId4130" Type="http://schemas.openxmlformats.org/officeDocument/2006/relationships/hyperlink" Target="https://drive.google.com/drive/folders/10T2cTQHqEJZqE-st6uFKPoI?usp=share_link" TargetMode="External"/><Relationship Id="rId4132" Type="http://schemas.openxmlformats.org/officeDocument/2006/relationships/hyperlink" Target="https://drive.google.com/drive/folders/10T2cTQHqEJZqE-st6uFKPoI?usp=share_link" TargetMode="External"/><Relationship Id="rId5464" Type="http://schemas.openxmlformats.org/officeDocument/2006/relationships/hyperlink" Target="https://drive.google.com/drive/folders/10T2cTQHqEJZqE-st6uFKPoI?usp=share_link" TargetMode="External"/><Relationship Id="rId4131" Type="http://schemas.openxmlformats.org/officeDocument/2006/relationships/hyperlink" Target="https://drive.google.com/drive/folders/10T2cTQHqEJZqE-st6uFKPoI?usp=share_link" TargetMode="External"/><Relationship Id="rId5465" Type="http://schemas.openxmlformats.org/officeDocument/2006/relationships/hyperlink" Target="https://drive.google.com/drive/folders/10T2cTQHqEJZqE-st6uFKPoI?usp=share_link" TargetMode="External"/><Relationship Id="rId4134" Type="http://schemas.openxmlformats.org/officeDocument/2006/relationships/hyperlink" Target="https://drive.google.com/drive/folders/10T2cTQHqEJZqE-st6uFKPoI?usp=share_link" TargetMode="External"/><Relationship Id="rId5462" Type="http://schemas.openxmlformats.org/officeDocument/2006/relationships/hyperlink" Target="https://drive.google.com/drive/folders/10T2cTQHqEJZqE-st6uFKPoI?usp=share_link" TargetMode="External"/><Relationship Id="rId4133" Type="http://schemas.openxmlformats.org/officeDocument/2006/relationships/hyperlink" Target="https://drive.google.com/drive/folders/10T2cTQHqEJZqE-st6uFKPoI?usp=share_link" TargetMode="External"/><Relationship Id="rId5463" Type="http://schemas.openxmlformats.org/officeDocument/2006/relationships/hyperlink" Target="https://drive.google.com/drive/folders/10T2cTQHqEJZqE-st6uFKPoI?usp=share_link" TargetMode="External"/><Relationship Id="rId4136" Type="http://schemas.openxmlformats.org/officeDocument/2006/relationships/hyperlink" Target="https://drive.google.com/drive/folders/10T2cTQHqEJZqE-st6uFKPoI?usp=share_link" TargetMode="External"/><Relationship Id="rId5468" Type="http://schemas.openxmlformats.org/officeDocument/2006/relationships/hyperlink" Target="https://drive.google.com/drive/folders/10T2cTQHqEJZqE-st6uFKPoI?usp=share_link" TargetMode="External"/><Relationship Id="rId4135" Type="http://schemas.openxmlformats.org/officeDocument/2006/relationships/hyperlink" Target="https://drive.google.com/drive/folders/10T2cTQHqEJZqE-st6uFKPoI?usp=share_link" TargetMode="External"/><Relationship Id="rId5469" Type="http://schemas.openxmlformats.org/officeDocument/2006/relationships/hyperlink" Target="https://drive.google.com/drive/folders/10T2cTQHqEJZqE-st6uFKPoI?usp=share_link" TargetMode="External"/><Relationship Id="rId4138" Type="http://schemas.openxmlformats.org/officeDocument/2006/relationships/hyperlink" Target="https://drive.google.com/drive/folders/10T2cTQHqEJZqE-st6uFKPoI?usp=share_link" TargetMode="External"/><Relationship Id="rId5466" Type="http://schemas.openxmlformats.org/officeDocument/2006/relationships/hyperlink" Target="https://drive.google.com/drive/folders/10T2cTQHqEJZqE-st6uFKPoI?usp=share_link" TargetMode="External"/><Relationship Id="rId4137" Type="http://schemas.openxmlformats.org/officeDocument/2006/relationships/hyperlink" Target="https://drive.google.com/drive/folders/10T2cTQHqEJZqE-st6uFKPoI?usp=share_link" TargetMode="External"/><Relationship Id="rId5467" Type="http://schemas.openxmlformats.org/officeDocument/2006/relationships/hyperlink" Target="https://drive.google.com/drive/folders/10T2cTQHqEJZqE-st6uFKPoI?usp=share_link" TargetMode="External"/><Relationship Id="rId1972" Type="http://schemas.openxmlformats.org/officeDocument/2006/relationships/hyperlink" Target="https://drive.google.com/drive/folders/10T2cTQHqEJZqE-st6uFKPoI?usp=share_link" TargetMode="External"/><Relationship Id="rId1973" Type="http://schemas.openxmlformats.org/officeDocument/2006/relationships/hyperlink" Target="https://drive.google.com/drive/folders/10T2cTQHqEJZqE-st6uFKPoI?usp=share_link" TargetMode="External"/><Relationship Id="rId1974" Type="http://schemas.openxmlformats.org/officeDocument/2006/relationships/hyperlink" Target="https://drive.google.com/drive/folders/10T2cTQHqEJZqE-st6uFKPoI?usp=share_link" TargetMode="External"/><Relationship Id="rId1975" Type="http://schemas.openxmlformats.org/officeDocument/2006/relationships/hyperlink" Target="https://drive.google.com/drive/folders/10T2cTQHqEJZqE-st6uFKPoI?usp=share_link" TargetMode="External"/><Relationship Id="rId1976" Type="http://schemas.openxmlformats.org/officeDocument/2006/relationships/hyperlink" Target="https://drive.google.com/drive/folders/10T2cTQHqEJZqE-st6uFKPoI?usp=share_link" TargetMode="External"/><Relationship Id="rId1977" Type="http://schemas.openxmlformats.org/officeDocument/2006/relationships/hyperlink" Target="https://drive.google.com/drive/folders/10T2cTQHqEJZqE-st6uFKPoI?usp=share_link" TargetMode="External"/><Relationship Id="rId1978" Type="http://schemas.openxmlformats.org/officeDocument/2006/relationships/hyperlink" Target="https://drive.google.com/drive/folders/10T2cTQHqEJZqE-st6uFKPoI?usp=share_link" TargetMode="External"/><Relationship Id="rId1979" Type="http://schemas.openxmlformats.org/officeDocument/2006/relationships/hyperlink" Target="https://drive.google.com/drive/folders/10T2cTQHqEJZqE-st6uFKPoI?usp=share_link" TargetMode="External"/><Relationship Id="rId1970" Type="http://schemas.openxmlformats.org/officeDocument/2006/relationships/hyperlink" Target="https://drive.google.com/drive/folders/10T2cTQHqEJZqE-st6uFKPoI?usp=share_link" TargetMode="External"/><Relationship Id="rId1971" Type="http://schemas.openxmlformats.org/officeDocument/2006/relationships/hyperlink" Target="https://drive.google.com/drive/folders/10T2cTQHqEJZqE-st6uFKPoI?usp=share_link" TargetMode="External"/><Relationship Id="rId1961" Type="http://schemas.openxmlformats.org/officeDocument/2006/relationships/hyperlink" Target="https://drive.google.com/drive/folders/10T2cTQHqEJZqE-st6uFKPoI?usp=share_link" TargetMode="External"/><Relationship Id="rId1962" Type="http://schemas.openxmlformats.org/officeDocument/2006/relationships/hyperlink" Target="https://drive.google.com/drive/folders/10T2cTQHqEJZqE-st6uFKPoI?usp=share_link" TargetMode="External"/><Relationship Id="rId1963" Type="http://schemas.openxmlformats.org/officeDocument/2006/relationships/hyperlink" Target="https://drive.google.com/drive/folders/10T2cTQHqEJZqE-st6uFKPoI?usp=share_link" TargetMode="External"/><Relationship Id="rId1964" Type="http://schemas.openxmlformats.org/officeDocument/2006/relationships/hyperlink" Target="https://drive.google.com/drive/folders/10T2cTQHqEJZqE-st6uFKPoI?usp=share_link" TargetMode="External"/><Relationship Id="rId1965" Type="http://schemas.openxmlformats.org/officeDocument/2006/relationships/hyperlink" Target="https://drive.google.com/drive/folders/10T2cTQHqEJZqE-st6uFKPoI?usp=share_link" TargetMode="External"/><Relationship Id="rId1966" Type="http://schemas.openxmlformats.org/officeDocument/2006/relationships/hyperlink" Target="https://drive.google.com/drive/folders/10T2cTQHqEJZqE-st6uFKPoI?usp=share_link" TargetMode="External"/><Relationship Id="rId1967" Type="http://schemas.openxmlformats.org/officeDocument/2006/relationships/hyperlink" Target="https://drive.google.com/drive/folders/10T2cTQHqEJZqE-st6uFKPoI?usp=share_link" TargetMode="External"/><Relationship Id="rId1968" Type="http://schemas.openxmlformats.org/officeDocument/2006/relationships/hyperlink" Target="https://drive.google.com/drive/folders/10T2cTQHqEJZqE-st6uFKPoI?usp=share_link" TargetMode="External"/><Relationship Id="rId1969" Type="http://schemas.openxmlformats.org/officeDocument/2006/relationships/hyperlink" Target="https://drive.google.com/drive/folders/10T2cTQHqEJZqE-st6uFKPoI?usp=share_link" TargetMode="External"/><Relationship Id="rId1960" Type="http://schemas.openxmlformats.org/officeDocument/2006/relationships/hyperlink" Target="https://drive.google.com/drive/folders/10T2cTQHqEJZqE-st6uFKPoI?usp=share_link" TargetMode="External"/><Relationship Id="rId1994" Type="http://schemas.openxmlformats.org/officeDocument/2006/relationships/hyperlink" Target="https://drive.google.com/drive/folders/10T2cTQHqEJZqE-st6uFKPoI?usp=share_link" TargetMode="External"/><Relationship Id="rId1995" Type="http://schemas.openxmlformats.org/officeDocument/2006/relationships/hyperlink" Target="https://drive.google.com/drive/folders/10T2cTQHqEJZqE-st6uFKPoI?usp=share_link" TargetMode="External"/><Relationship Id="rId1996" Type="http://schemas.openxmlformats.org/officeDocument/2006/relationships/hyperlink" Target="https://drive.google.com/drive/folders/10T2cTQHqEJZqE-st6uFKPoI?usp=share_link" TargetMode="External"/><Relationship Id="rId1997" Type="http://schemas.openxmlformats.org/officeDocument/2006/relationships/hyperlink" Target="https://drive.google.com/drive/folders/10T2cTQHqEJZqE-st6uFKPoI?usp=share_link" TargetMode="External"/><Relationship Id="rId1998" Type="http://schemas.openxmlformats.org/officeDocument/2006/relationships/hyperlink" Target="https://drive.google.com/drive/folders/10T2cTQHqEJZqE-st6uFKPoI?usp=share_link" TargetMode="External"/><Relationship Id="rId1999" Type="http://schemas.openxmlformats.org/officeDocument/2006/relationships/hyperlink" Target="https://drive.google.com/drive/folders/10T2cTQHqEJZqE-st6uFKPoI?usp=share_link" TargetMode="External"/><Relationship Id="rId1990" Type="http://schemas.openxmlformats.org/officeDocument/2006/relationships/hyperlink" Target="https://drive.google.com/drive/folders/10T2cTQHqEJZqE-st6uFKPoI?usp=share_link" TargetMode="External"/><Relationship Id="rId1991" Type="http://schemas.openxmlformats.org/officeDocument/2006/relationships/hyperlink" Target="https://drive.google.com/drive/folders/10T2cTQHqEJZqE-st6uFKPoI?usp=share_link" TargetMode="External"/><Relationship Id="rId1992" Type="http://schemas.openxmlformats.org/officeDocument/2006/relationships/hyperlink" Target="https://drive.google.com/drive/folders/10T2cTQHqEJZqE-st6uFKPoI?usp=share_link" TargetMode="External"/><Relationship Id="rId1993" Type="http://schemas.openxmlformats.org/officeDocument/2006/relationships/hyperlink" Target="https://drive.google.com/drive/folders/10T2cTQHqEJZqE-st6uFKPoI?usp=share_link" TargetMode="External"/><Relationship Id="rId1983" Type="http://schemas.openxmlformats.org/officeDocument/2006/relationships/hyperlink" Target="https://drive.google.com/drive/folders/10T2cTQHqEJZqE-st6uFKPoI?usp=share_link" TargetMode="External"/><Relationship Id="rId1984" Type="http://schemas.openxmlformats.org/officeDocument/2006/relationships/hyperlink" Target="https://drive.google.com/drive/folders/10T2cTQHqEJZqE-st6uFKPoI?usp=share_link" TargetMode="External"/><Relationship Id="rId1985" Type="http://schemas.openxmlformats.org/officeDocument/2006/relationships/hyperlink" Target="https://drive.google.com/drive/folders/10T2cTQHqEJZqE-st6uFKPoI?usp=share_link" TargetMode="External"/><Relationship Id="rId1986" Type="http://schemas.openxmlformats.org/officeDocument/2006/relationships/hyperlink" Target="https://drive.google.com/drive/folders/10T2cTQHqEJZqE-st6uFKPoI?usp=share_link" TargetMode="External"/><Relationship Id="rId1987" Type="http://schemas.openxmlformats.org/officeDocument/2006/relationships/hyperlink" Target="https://drive.google.com/drive/folders/10T2cTQHqEJZqE-st6uFKPoI?usp=share_link" TargetMode="External"/><Relationship Id="rId1988" Type="http://schemas.openxmlformats.org/officeDocument/2006/relationships/hyperlink" Target="https://drive.google.com/drive/folders/10T2cTQHqEJZqE-st6uFKPoI?usp=share_link" TargetMode="External"/><Relationship Id="rId1989" Type="http://schemas.openxmlformats.org/officeDocument/2006/relationships/hyperlink" Target="https://drive.google.com/drive/folders/10T2cTQHqEJZqE-st6uFKPoI?usp=share_link" TargetMode="External"/><Relationship Id="rId1980" Type="http://schemas.openxmlformats.org/officeDocument/2006/relationships/hyperlink" Target="https://drive.google.com/drive/folders/10T2cTQHqEJZqE-st6uFKPoI?usp=share_link" TargetMode="External"/><Relationship Id="rId1981" Type="http://schemas.openxmlformats.org/officeDocument/2006/relationships/hyperlink" Target="https://drive.google.com/drive/folders/10T2cTQHqEJZqE-st6uFKPoI?usp=share_link" TargetMode="External"/><Relationship Id="rId1982" Type="http://schemas.openxmlformats.org/officeDocument/2006/relationships/hyperlink" Target="https://drive.google.com/drive/folders/10T2cTQHqEJZqE-st6uFKPoI?usp=share_link" TargetMode="External"/><Relationship Id="rId1930" Type="http://schemas.openxmlformats.org/officeDocument/2006/relationships/hyperlink" Target="https://drive.google.com/drive/folders/10T2cTQHqEJZqE-st6uFKPoI?usp=share_link" TargetMode="External"/><Relationship Id="rId1931" Type="http://schemas.openxmlformats.org/officeDocument/2006/relationships/hyperlink" Target="https://drive.google.com/drive/folders/10T2cTQHqEJZqE-st6uFKPoI?usp=share_link" TargetMode="External"/><Relationship Id="rId1932" Type="http://schemas.openxmlformats.org/officeDocument/2006/relationships/hyperlink" Target="https://drive.google.com/drive/folders/10T2cTQHqEJZqE-st6uFKPoI?usp=share_link" TargetMode="External"/><Relationship Id="rId1933" Type="http://schemas.openxmlformats.org/officeDocument/2006/relationships/hyperlink" Target="https://drive.google.com/drive/folders/10T2cTQHqEJZqE-st6uFKPoI?usp=share_link" TargetMode="External"/><Relationship Id="rId1934" Type="http://schemas.openxmlformats.org/officeDocument/2006/relationships/hyperlink" Target="https://drive.google.com/drive/folders/10T2cTQHqEJZqE-st6uFKPoI?usp=share_link" TargetMode="External"/><Relationship Id="rId1935" Type="http://schemas.openxmlformats.org/officeDocument/2006/relationships/hyperlink" Target="https://drive.google.com/drive/folders/10T2cTQHqEJZqE-st6uFKPoI?usp=share_link" TargetMode="External"/><Relationship Id="rId1936" Type="http://schemas.openxmlformats.org/officeDocument/2006/relationships/hyperlink" Target="https://drive.google.com/drive/folders/10T2cTQHqEJZqE-st6uFKPoI?usp=share_link" TargetMode="External"/><Relationship Id="rId1937" Type="http://schemas.openxmlformats.org/officeDocument/2006/relationships/hyperlink" Target="https://drive.google.com/drive/folders/10T2cTQHqEJZqE-st6uFKPoI?usp=share_link" TargetMode="External"/><Relationship Id="rId1938" Type="http://schemas.openxmlformats.org/officeDocument/2006/relationships/hyperlink" Target="https://drive.google.com/drive/folders/10T2cTQHqEJZqE-st6uFKPoI?usp=share_link" TargetMode="External"/><Relationship Id="rId1939" Type="http://schemas.openxmlformats.org/officeDocument/2006/relationships/hyperlink" Target="https://drive.google.com/drive/folders/10T2cTQHqEJZqE-st6uFKPoI?usp=share_link" TargetMode="External"/><Relationship Id="rId1920" Type="http://schemas.openxmlformats.org/officeDocument/2006/relationships/hyperlink" Target="https://drive.google.com/drive/folders/10T2cTQHqEJZqE-st6uFKPoI?usp=share_link" TargetMode="External"/><Relationship Id="rId1921" Type="http://schemas.openxmlformats.org/officeDocument/2006/relationships/hyperlink" Target="https://drive.google.com/drive/folders/10T2cTQHqEJZqE-st6uFKPoI?usp=share_link" TargetMode="External"/><Relationship Id="rId1922" Type="http://schemas.openxmlformats.org/officeDocument/2006/relationships/hyperlink" Target="https://drive.google.com/drive/folders/10T2cTQHqEJZqE-st6uFKPoI?usp=share_link" TargetMode="External"/><Relationship Id="rId1923" Type="http://schemas.openxmlformats.org/officeDocument/2006/relationships/hyperlink" Target="https://drive.google.com/drive/folders/10T2cTQHqEJZqE-st6uFKPoI?usp=share_link" TargetMode="External"/><Relationship Id="rId1924" Type="http://schemas.openxmlformats.org/officeDocument/2006/relationships/hyperlink" Target="https://drive.google.com/drive/folders/10T2cTQHqEJZqE-st6uFKPoI?usp=share_link" TargetMode="External"/><Relationship Id="rId1925" Type="http://schemas.openxmlformats.org/officeDocument/2006/relationships/hyperlink" Target="https://drive.google.com/drive/folders/10T2cTQHqEJZqE-st6uFKPoI?usp=share_link" TargetMode="External"/><Relationship Id="rId1926" Type="http://schemas.openxmlformats.org/officeDocument/2006/relationships/hyperlink" Target="https://drive.google.com/drive/folders/10T2cTQHqEJZqE-st6uFKPoI?usp=share_link" TargetMode="External"/><Relationship Id="rId1927" Type="http://schemas.openxmlformats.org/officeDocument/2006/relationships/hyperlink" Target="https://drive.google.com/drive/folders/10T2cTQHqEJZqE-st6uFKPoI?usp=share_link" TargetMode="External"/><Relationship Id="rId1928" Type="http://schemas.openxmlformats.org/officeDocument/2006/relationships/hyperlink" Target="https://drive.google.com/drive/folders/10T2cTQHqEJZqE-st6uFKPoI?usp=share_link" TargetMode="External"/><Relationship Id="rId1929" Type="http://schemas.openxmlformats.org/officeDocument/2006/relationships/hyperlink" Target="https://drive.google.com/drive/folders/10T2cTQHqEJZqE-st6uFKPoI?usp=share_link" TargetMode="External"/><Relationship Id="rId4190" Type="http://schemas.openxmlformats.org/officeDocument/2006/relationships/hyperlink" Target="https://drive.google.com/drive/folders/10T2cTQHqEJZqE-st6uFKPoI?usp=share_link" TargetMode="External"/><Relationship Id="rId4192" Type="http://schemas.openxmlformats.org/officeDocument/2006/relationships/hyperlink" Target="https://drive.google.com/drive/folders/10T2cTQHqEJZqE-st6uFKPoI?usp=share_link" TargetMode="External"/><Relationship Id="rId4191" Type="http://schemas.openxmlformats.org/officeDocument/2006/relationships/hyperlink" Target="https://drive.google.com/drive/folders/10T2cTQHqEJZqE-st6uFKPoI?usp=share_link" TargetMode="External"/><Relationship Id="rId4194" Type="http://schemas.openxmlformats.org/officeDocument/2006/relationships/hyperlink" Target="https://drive.google.com/drive/folders/10T2cTQHqEJZqE-st6uFKPoI?usp=share_link" TargetMode="External"/><Relationship Id="rId4193" Type="http://schemas.openxmlformats.org/officeDocument/2006/relationships/hyperlink" Target="https://drive.google.com/drive/folders/10T2cTQHqEJZqE-st6uFKPoI?usp=share_link" TargetMode="External"/><Relationship Id="rId4196" Type="http://schemas.openxmlformats.org/officeDocument/2006/relationships/hyperlink" Target="https://drive.google.com/drive/folders/10T2cTQHqEJZqE-st6uFKPoI?usp=share_link" TargetMode="External"/><Relationship Id="rId4195" Type="http://schemas.openxmlformats.org/officeDocument/2006/relationships/hyperlink" Target="https://drive.google.com/drive/folders/10T2cTQHqEJZqE-st6uFKPoI?usp=share_link" TargetMode="External"/><Relationship Id="rId4198" Type="http://schemas.openxmlformats.org/officeDocument/2006/relationships/hyperlink" Target="https://drive.google.com/drive/folders/10T2cTQHqEJZqE-st6uFKPoI?usp=share_link" TargetMode="External"/><Relationship Id="rId4197" Type="http://schemas.openxmlformats.org/officeDocument/2006/relationships/hyperlink" Target="https://drive.google.com/drive/folders/10T2cTQHqEJZqE-st6uFKPoI?usp=share_link" TargetMode="External"/><Relationship Id="rId4199" Type="http://schemas.openxmlformats.org/officeDocument/2006/relationships/hyperlink" Target="https://drive.google.com/drive/folders/10T2cTQHqEJZqE-st6uFKPoI?usp=share_link" TargetMode="External"/><Relationship Id="rId1950" Type="http://schemas.openxmlformats.org/officeDocument/2006/relationships/hyperlink" Target="https://drive.google.com/drive/folders/10T2cTQHqEJZqE-st6uFKPoI?usp=share_link" TargetMode="External"/><Relationship Id="rId1951" Type="http://schemas.openxmlformats.org/officeDocument/2006/relationships/hyperlink" Target="https://drive.google.com/drive/folders/10T2cTQHqEJZqE-st6uFKPoI?usp=share_link" TargetMode="External"/><Relationship Id="rId1952" Type="http://schemas.openxmlformats.org/officeDocument/2006/relationships/hyperlink" Target="https://drive.google.com/drive/folders/10T2cTQHqEJZqE-st6uFKPoI?usp=share_link" TargetMode="External"/><Relationship Id="rId1953" Type="http://schemas.openxmlformats.org/officeDocument/2006/relationships/hyperlink" Target="https://drive.google.com/drive/folders/10T2cTQHqEJZqE-st6uFKPoI?usp=share_link" TargetMode="External"/><Relationship Id="rId1954" Type="http://schemas.openxmlformats.org/officeDocument/2006/relationships/hyperlink" Target="https://drive.google.com/drive/folders/10T2cTQHqEJZqE-st6uFKPoI?usp=share_link" TargetMode="External"/><Relationship Id="rId1955" Type="http://schemas.openxmlformats.org/officeDocument/2006/relationships/hyperlink" Target="https://drive.google.com/drive/folders/10T2cTQHqEJZqE-st6uFKPoI?usp=share_link" TargetMode="External"/><Relationship Id="rId1956" Type="http://schemas.openxmlformats.org/officeDocument/2006/relationships/hyperlink" Target="https://drive.google.com/drive/folders/10T2cTQHqEJZqE-st6uFKPoI?usp=share_link" TargetMode="External"/><Relationship Id="rId1957" Type="http://schemas.openxmlformats.org/officeDocument/2006/relationships/hyperlink" Target="https://drive.google.com/drive/folders/10T2cTQHqEJZqE-st6uFKPoI?usp=share_link" TargetMode="External"/><Relationship Id="rId1958" Type="http://schemas.openxmlformats.org/officeDocument/2006/relationships/hyperlink" Target="https://drive.google.com/drive/folders/10T2cTQHqEJZqE-st6uFKPoI?usp=share_link" TargetMode="External"/><Relationship Id="rId1959" Type="http://schemas.openxmlformats.org/officeDocument/2006/relationships/hyperlink" Target="https://drive.google.com/drive/folders/10T2cTQHqEJZqE-st6uFKPoI?usp=share_link" TargetMode="External"/><Relationship Id="rId1940" Type="http://schemas.openxmlformats.org/officeDocument/2006/relationships/hyperlink" Target="https://drive.google.com/drive/folders/10T2cTQHqEJZqE-st6uFKPoI?usp=share_link" TargetMode="External"/><Relationship Id="rId1941" Type="http://schemas.openxmlformats.org/officeDocument/2006/relationships/hyperlink" Target="https://drive.google.com/drive/folders/10T2cTQHqEJZqE-st6uFKPoI?usp=share_link" TargetMode="External"/><Relationship Id="rId1942" Type="http://schemas.openxmlformats.org/officeDocument/2006/relationships/hyperlink" Target="https://drive.google.com/drive/folders/10T2cTQHqEJZqE-st6uFKPoI?usp=share_link" TargetMode="External"/><Relationship Id="rId1943" Type="http://schemas.openxmlformats.org/officeDocument/2006/relationships/hyperlink" Target="https://drive.google.com/drive/folders/10T2cTQHqEJZqE-st6uFKPoI?usp=share_link" TargetMode="External"/><Relationship Id="rId1944" Type="http://schemas.openxmlformats.org/officeDocument/2006/relationships/hyperlink" Target="https://drive.google.com/drive/folders/10T2cTQHqEJZqE-st6uFKPoI?usp=share_link" TargetMode="External"/><Relationship Id="rId1945" Type="http://schemas.openxmlformats.org/officeDocument/2006/relationships/hyperlink" Target="https://drive.google.com/drive/folders/10T2cTQHqEJZqE-st6uFKPoI?usp=share_link" TargetMode="External"/><Relationship Id="rId1946" Type="http://schemas.openxmlformats.org/officeDocument/2006/relationships/hyperlink" Target="https://drive.google.com/drive/folders/10T2cTQHqEJZqE-st6uFKPoI?usp=share_link" TargetMode="External"/><Relationship Id="rId1947" Type="http://schemas.openxmlformats.org/officeDocument/2006/relationships/hyperlink" Target="https://drive.google.com/drive/folders/10T2cTQHqEJZqE-st6uFKPoI?usp=share_link" TargetMode="External"/><Relationship Id="rId1948" Type="http://schemas.openxmlformats.org/officeDocument/2006/relationships/hyperlink" Target="https://drive.google.com/drive/folders/10T2cTQHqEJZqE-st6uFKPoI?usp=share_link" TargetMode="External"/><Relationship Id="rId1949" Type="http://schemas.openxmlformats.org/officeDocument/2006/relationships/hyperlink" Target="https://drive.google.com/drive/folders/10T2cTQHqEJZqE-st6uFKPoI?usp=share_link" TargetMode="External"/><Relationship Id="rId2423" Type="http://schemas.openxmlformats.org/officeDocument/2006/relationships/hyperlink" Target="https://drive.google.com/drive/folders/10T2cTQHqEJZqE-st6uFKPoI?usp=share_link" TargetMode="External"/><Relationship Id="rId3755" Type="http://schemas.openxmlformats.org/officeDocument/2006/relationships/hyperlink" Target="https://drive.google.com/drive/folders/10T2cTQHqEJZqE-st6uFKPoI?usp=share_link" TargetMode="External"/><Relationship Id="rId2424" Type="http://schemas.openxmlformats.org/officeDocument/2006/relationships/hyperlink" Target="https://drive.google.com/drive/folders/10T2cTQHqEJZqE-st6uFKPoI?usp=share_link" TargetMode="External"/><Relationship Id="rId3754" Type="http://schemas.openxmlformats.org/officeDocument/2006/relationships/hyperlink" Target="https://drive.google.com/drive/folders/10T2cTQHqEJZqE-st6uFKPoI?usp=share_link" TargetMode="External"/><Relationship Id="rId2425" Type="http://schemas.openxmlformats.org/officeDocument/2006/relationships/hyperlink" Target="https://drive.google.com/drive/folders/10T2cTQHqEJZqE-st6uFKPoI?usp=share_link" TargetMode="External"/><Relationship Id="rId3757" Type="http://schemas.openxmlformats.org/officeDocument/2006/relationships/hyperlink" Target="https://drive.google.com/drive/folders/10T2cTQHqEJZqE-st6uFKPoI?usp=share_link" TargetMode="External"/><Relationship Id="rId2426" Type="http://schemas.openxmlformats.org/officeDocument/2006/relationships/hyperlink" Target="https://drive.google.com/drive/folders/10T2cTQHqEJZqE-st6uFKPoI?usp=share_link" TargetMode="External"/><Relationship Id="rId3756" Type="http://schemas.openxmlformats.org/officeDocument/2006/relationships/hyperlink" Target="https://drive.google.com/drive/folders/10T2cTQHqEJZqE-st6uFKPoI?usp=share_link" TargetMode="External"/><Relationship Id="rId2427" Type="http://schemas.openxmlformats.org/officeDocument/2006/relationships/hyperlink" Target="https://drive.google.com/drive/folders/10T2cTQHqEJZqE-st6uFKPoI?usp=share_link" TargetMode="External"/><Relationship Id="rId3759" Type="http://schemas.openxmlformats.org/officeDocument/2006/relationships/hyperlink" Target="https://drive.google.com/drive/folders/10T2cTQHqEJZqE-st6uFKPoI?usp=share_link" TargetMode="External"/><Relationship Id="rId2428" Type="http://schemas.openxmlformats.org/officeDocument/2006/relationships/hyperlink" Target="https://drive.google.com/drive/folders/10T2cTQHqEJZqE-st6uFKPoI?usp=share_link" TargetMode="External"/><Relationship Id="rId3758" Type="http://schemas.openxmlformats.org/officeDocument/2006/relationships/hyperlink" Target="https://drive.google.com/drive/folders/10T2cTQHqEJZqE-st6uFKPoI?usp=share_link" TargetMode="External"/><Relationship Id="rId2429" Type="http://schemas.openxmlformats.org/officeDocument/2006/relationships/hyperlink" Target="https://drive.google.com/drive/folders/10T2cTQHqEJZqE-st6uFKPoI?usp=share_link" TargetMode="External"/><Relationship Id="rId509" Type="http://schemas.openxmlformats.org/officeDocument/2006/relationships/hyperlink" Target="https://drive.google.com/drive/folders/10T2cTQHqEJZqE-st6uFKPoI?usp=share_link" TargetMode="External"/><Relationship Id="rId508" Type="http://schemas.openxmlformats.org/officeDocument/2006/relationships/hyperlink" Target="https://drive.google.com/drive/folders/10T2cTQHqEJZqE-st6uFKPoI?usp=share_link" TargetMode="External"/><Relationship Id="rId503" Type="http://schemas.openxmlformats.org/officeDocument/2006/relationships/hyperlink" Target="https://drive.google.com/drive/folders/10T2cTQHqEJZqE-st6uFKPoI?usp=share_link" TargetMode="External"/><Relationship Id="rId502" Type="http://schemas.openxmlformats.org/officeDocument/2006/relationships/hyperlink" Target="https://drive.google.com/drive/folders/10T2cTQHqEJZqE-st6uFKPoI?usp=share_link" TargetMode="External"/><Relationship Id="rId501" Type="http://schemas.openxmlformats.org/officeDocument/2006/relationships/hyperlink" Target="https://drive.google.com/drive/folders/10T2cTQHqEJZqE-st6uFKPoI?usp=share_link" TargetMode="External"/><Relationship Id="rId500" Type="http://schemas.openxmlformats.org/officeDocument/2006/relationships/hyperlink" Target="https://drive.google.com/drive/folders/10T2cTQHqEJZqE-st6uFKPoI?usp=share_link" TargetMode="External"/><Relationship Id="rId507" Type="http://schemas.openxmlformats.org/officeDocument/2006/relationships/hyperlink" Target="https://drive.google.com/drive/folders/10T2cTQHqEJZqE-st6uFKPoI?usp=share_link" TargetMode="External"/><Relationship Id="rId506" Type="http://schemas.openxmlformats.org/officeDocument/2006/relationships/hyperlink" Target="https://drive.google.com/drive/folders/10T2cTQHqEJZqE-st6uFKPoI?usp=share_link" TargetMode="External"/><Relationship Id="rId505" Type="http://schemas.openxmlformats.org/officeDocument/2006/relationships/hyperlink" Target="https://drive.google.com/drive/folders/10T2cTQHqEJZqE-st6uFKPoI?usp=share_link" TargetMode="External"/><Relationship Id="rId504" Type="http://schemas.openxmlformats.org/officeDocument/2006/relationships/hyperlink" Target="https://drive.google.com/drive/folders/10T2cTQHqEJZqE-st6uFKPoI?usp=share_link" TargetMode="External"/><Relationship Id="rId3751" Type="http://schemas.openxmlformats.org/officeDocument/2006/relationships/hyperlink" Target="https://drive.google.com/drive/folders/10T2cTQHqEJZqE-st6uFKPoI?usp=share_link" TargetMode="External"/><Relationship Id="rId2420" Type="http://schemas.openxmlformats.org/officeDocument/2006/relationships/hyperlink" Target="https://drive.google.com/drive/folders/10T2cTQHqEJZqE-st6uFKPoI?usp=share_link" TargetMode="External"/><Relationship Id="rId3750" Type="http://schemas.openxmlformats.org/officeDocument/2006/relationships/hyperlink" Target="https://drive.google.com/drive/folders/10T2cTQHqEJZqE-st6uFKPoI?usp=share_link" TargetMode="External"/><Relationship Id="rId2421" Type="http://schemas.openxmlformats.org/officeDocument/2006/relationships/hyperlink" Target="https://drive.google.com/drive/folders/10T2cTQHqEJZqE-st6uFKPoI?usp=share_link" TargetMode="External"/><Relationship Id="rId3753" Type="http://schemas.openxmlformats.org/officeDocument/2006/relationships/hyperlink" Target="https://drive.google.com/drive/folders/10T2cTQHqEJZqE-st6uFKPoI?usp=share_link" TargetMode="External"/><Relationship Id="rId2422" Type="http://schemas.openxmlformats.org/officeDocument/2006/relationships/hyperlink" Target="https://drive.google.com/drive/folders/10T2cTQHqEJZqE-st6uFKPoI?usp=share_link" TargetMode="External"/><Relationship Id="rId3752" Type="http://schemas.openxmlformats.org/officeDocument/2006/relationships/hyperlink" Target="https://drive.google.com/drive/folders/10T2cTQHqEJZqE-st6uFKPoI?usp=share_link" TargetMode="External"/><Relationship Id="rId2412" Type="http://schemas.openxmlformats.org/officeDocument/2006/relationships/hyperlink" Target="https://drive.google.com/drive/folders/10T2cTQHqEJZqE-st6uFKPoI?usp=share_link" TargetMode="External"/><Relationship Id="rId3744" Type="http://schemas.openxmlformats.org/officeDocument/2006/relationships/hyperlink" Target="https://drive.google.com/drive/folders/10T2cTQHqEJZqE-st6uFKPoI?usp=share_link" TargetMode="External"/><Relationship Id="rId2413" Type="http://schemas.openxmlformats.org/officeDocument/2006/relationships/hyperlink" Target="https://drive.google.com/drive/folders/10T2cTQHqEJZqE-st6uFKPoI?usp=share_link" TargetMode="External"/><Relationship Id="rId3743" Type="http://schemas.openxmlformats.org/officeDocument/2006/relationships/hyperlink" Target="https://drive.google.com/drive/folders/10T2cTQHqEJZqE-st6uFKPoI?usp=share_link" TargetMode="External"/><Relationship Id="rId2414" Type="http://schemas.openxmlformats.org/officeDocument/2006/relationships/hyperlink" Target="https://drive.google.com/drive/folders/10T2cTQHqEJZqE-st6uFKPoI?usp=share_link" TargetMode="External"/><Relationship Id="rId3746" Type="http://schemas.openxmlformats.org/officeDocument/2006/relationships/hyperlink" Target="https://drive.google.com/drive/folders/10T2cTQHqEJZqE-st6uFKPoI?usp=share_link" TargetMode="External"/><Relationship Id="rId2415" Type="http://schemas.openxmlformats.org/officeDocument/2006/relationships/hyperlink" Target="https://drive.google.com/drive/folders/10T2cTQHqEJZqE-st6uFKPoI?usp=share_link" TargetMode="External"/><Relationship Id="rId3745" Type="http://schemas.openxmlformats.org/officeDocument/2006/relationships/hyperlink" Target="https://drive.google.com/drive/folders/10T2cTQHqEJZqE-st6uFKPoI?usp=share_link" TargetMode="External"/><Relationship Id="rId2416" Type="http://schemas.openxmlformats.org/officeDocument/2006/relationships/hyperlink" Target="https://drive.google.com/drive/folders/10T2cTQHqEJZqE-st6uFKPoI?usp=share_link" TargetMode="External"/><Relationship Id="rId3748" Type="http://schemas.openxmlformats.org/officeDocument/2006/relationships/hyperlink" Target="https://drive.google.com/drive/folders/10T2cTQHqEJZqE-st6uFKPoI?usp=share_link" TargetMode="External"/><Relationship Id="rId2417" Type="http://schemas.openxmlformats.org/officeDocument/2006/relationships/hyperlink" Target="https://drive.google.com/drive/folders/10T2cTQHqEJZqE-st6uFKPoI?usp=share_link" TargetMode="External"/><Relationship Id="rId3747" Type="http://schemas.openxmlformats.org/officeDocument/2006/relationships/hyperlink" Target="https://drive.google.com/drive/folders/10T2cTQHqEJZqE-st6uFKPoI?usp=share_link" TargetMode="External"/><Relationship Id="rId2418" Type="http://schemas.openxmlformats.org/officeDocument/2006/relationships/hyperlink" Target="https://drive.google.com/drive/folders/10T2cTQHqEJZqE-st6uFKPoI?usp=share_link" TargetMode="External"/><Relationship Id="rId2419" Type="http://schemas.openxmlformats.org/officeDocument/2006/relationships/hyperlink" Target="https://drive.google.com/drive/folders/10T2cTQHqEJZqE-st6uFKPoI?usp=share_link" TargetMode="External"/><Relationship Id="rId3749" Type="http://schemas.openxmlformats.org/officeDocument/2006/relationships/hyperlink" Target="https://drive.google.com/drive/folders/10T2cTQHqEJZqE-st6uFKPoI?usp=share_link" TargetMode="External"/><Relationship Id="rId3740" Type="http://schemas.openxmlformats.org/officeDocument/2006/relationships/hyperlink" Target="https://drive.google.com/drive/folders/10T2cTQHqEJZqE-st6uFKPoI?usp=share_link" TargetMode="External"/><Relationship Id="rId2410" Type="http://schemas.openxmlformats.org/officeDocument/2006/relationships/hyperlink" Target="https://drive.google.com/drive/folders/10T2cTQHqEJZqE-st6uFKPoI?usp=share_link" TargetMode="External"/><Relationship Id="rId3742" Type="http://schemas.openxmlformats.org/officeDocument/2006/relationships/hyperlink" Target="https://drive.google.com/drive/folders/10T2cTQHqEJZqE-st6uFKPoI?usp=share_link" TargetMode="External"/><Relationship Id="rId2411" Type="http://schemas.openxmlformats.org/officeDocument/2006/relationships/hyperlink" Target="https://drive.google.com/drive/folders/10T2cTQHqEJZqE-st6uFKPoI?usp=share_link" TargetMode="External"/><Relationship Id="rId3741" Type="http://schemas.openxmlformats.org/officeDocument/2006/relationships/hyperlink" Target="https://drive.google.com/drive/folders/10T2cTQHqEJZqE-st6uFKPoI?usp=share_link" TargetMode="External"/><Relationship Id="rId1114" Type="http://schemas.openxmlformats.org/officeDocument/2006/relationships/hyperlink" Target="https://drive.google.com/drive/folders/10T2cTQHqEJZqE-st6uFKPoI?usp=share_link" TargetMode="External"/><Relationship Id="rId2445" Type="http://schemas.openxmlformats.org/officeDocument/2006/relationships/hyperlink" Target="https://drive.google.com/drive/folders/10T2cTQHqEJZqE-st6uFKPoI?usp=share_link" TargetMode="External"/><Relationship Id="rId3777" Type="http://schemas.openxmlformats.org/officeDocument/2006/relationships/hyperlink" Target="https://drive.google.com/drive/folders/10T2cTQHqEJZqE-st6uFKPoI?usp=share_link" TargetMode="External"/><Relationship Id="rId1115" Type="http://schemas.openxmlformats.org/officeDocument/2006/relationships/hyperlink" Target="https://drive.google.com/drive/folders/10T2cTQHqEJZqE-st6uFKPoI?usp=share_link" TargetMode="External"/><Relationship Id="rId2446" Type="http://schemas.openxmlformats.org/officeDocument/2006/relationships/hyperlink" Target="https://drive.google.com/drive/folders/10T2cTQHqEJZqE-st6uFKPoI?usp=share_link" TargetMode="External"/><Relationship Id="rId3776" Type="http://schemas.openxmlformats.org/officeDocument/2006/relationships/hyperlink" Target="https://drive.google.com/drive/folders/10T2cTQHqEJZqE-st6uFKPoI?usp=share_link" TargetMode="External"/><Relationship Id="rId1116" Type="http://schemas.openxmlformats.org/officeDocument/2006/relationships/hyperlink" Target="https://drive.google.com/drive/folders/10T2cTQHqEJZqE-st6uFKPoI?usp=share_link" TargetMode="External"/><Relationship Id="rId2447" Type="http://schemas.openxmlformats.org/officeDocument/2006/relationships/hyperlink" Target="https://drive.google.com/drive/folders/10T2cTQHqEJZqE-st6uFKPoI?usp=share_link" TargetMode="External"/><Relationship Id="rId3779" Type="http://schemas.openxmlformats.org/officeDocument/2006/relationships/hyperlink" Target="https://drive.google.com/drive/folders/10T2cTQHqEJZqE-st6uFKPoI?usp=share_link" TargetMode="External"/><Relationship Id="rId1117" Type="http://schemas.openxmlformats.org/officeDocument/2006/relationships/hyperlink" Target="https://drive.google.com/drive/folders/10T2cTQHqEJZqE-st6uFKPoI?usp=share_link" TargetMode="External"/><Relationship Id="rId2448" Type="http://schemas.openxmlformats.org/officeDocument/2006/relationships/hyperlink" Target="https://drive.google.com/drive/folders/10T2cTQHqEJZqE-st6uFKPoI?usp=share_link" TargetMode="External"/><Relationship Id="rId3778" Type="http://schemas.openxmlformats.org/officeDocument/2006/relationships/hyperlink" Target="https://drive.google.com/drive/folders/10T2cTQHqEJZqE-st6uFKPoI?usp=share_link" TargetMode="External"/><Relationship Id="rId1118" Type="http://schemas.openxmlformats.org/officeDocument/2006/relationships/hyperlink" Target="https://drive.google.com/drive/folders/10T2cTQHqEJZqE-st6uFKPoI?usp=share_link" TargetMode="External"/><Relationship Id="rId2449" Type="http://schemas.openxmlformats.org/officeDocument/2006/relationships/hyperlink" Target="https://drive.google.com/drive/folders/10T2cTQHqEJZqE-st6uFKPoI?usp=share_link" TargetMode="External"/><Relationship Id="rId1119" Type="http://schemas.openxmlformats.org/officeDocument/2006/relationships/hyperlink" Target="https://drive.google.com/drive/folders/10T2cTQHqEJZqE-st6uFKPoI?usp=share_link" TargetMode="External"/><Relationship Id="rId525" Type="http://schemas.openxmlformats.org/officeDocument/2006/relationships/hyperlink" Target="https://drive.google.com/drive/folders/10T2cTQHqEJZqE-st6uFKPoI?usp=share_link" TargetMode="External"/><Relationship Id="rId524" Type="http://schemas.openxmlformats.org/officeDocument/2006/relationships/hyperlink" Target="https://drive.google.com/drive/folders/10T2cTQHqEJZqE-st6uFKPoI?usp=share_link" TargetMode="External"/><Relationship Id="rId523" Type="http://schemas.openxmlformats.org/officeDocument/2006/relationships/hyperlink" Target="https://drive.google.com/drive/folders/10T2cTQHqEJZqE-st6uFKPoI?usp=share_link" TargetMode="External"/><Relationship Id="rId522" Type="http://schemas.openxmlformats.org/officeDocument/2006/relationships/hyperlink" Target="https://drive.google.com/drive/folders/10T2cTQHqEJZqE-st6uFKPoI?usp=share_link" TargetMode="External"/><Relationship Id="rId529" Type="http://schemas.openxmlformats.org/officeDocument/2006/relationships/hyperlink" Target="https://drive.google.com/drive/folders/10T2cTQHqEJZqE-st6uFKPoI?usp=share_link" TargetMode="External"/><Relationship Id="rId528" Type="http://schemas.openxmlformats.org/officeDocument/2006/relationships/hyperlink" Target="https://drive.google.com/drive/folders/10T2cTQHqEJZqE-st6uFKPoI?usp=share_link" TargetMode="External"/><Relationship Id="rId527" Type="http://schemas.openxmlformats.org/officeDocument/2006/relationships/hyperlink" Target="https://drive.google.com/drive/folders/10T2cTQHqEJZqE-st6uFKPoI?usp=share_link" TargetMode="External"/><Relationship Id="rId526" Type="http://schemas.openxmlformats.org/officeDocument/2006/relationships/hyperlink" Target="https://drive.google.com/drive/folders/10T2cTQHqEJZqE-st6uFKPoI?usp=share_link" TargetMode="External"/><Relationship Id="rId3771" Type="http://schemas.openxmlformats.org/officeDocument/2006/relationships/hyperlink" Target="https://drive.google.com/drive/folders/10T2cTQHqEJZqE-st6uFKPoI?usp=share_link" TargetMode="External"/><Relationship Id="rId2440" Type="http://schemas.openxmlformats.org/officeDocument/2006/relationships/hyperlink" Target="https://drive.google.com/drive/folders/10T2cTQHqEJZqE-st6uFKPoI?usp=share_link" TargetMode="External"/><Relationship Id="rId3770" Type="http://schemas.openxmlformats.org/officeDocument/2006/relationships/hyperlink" Target="https://drive.google.com/drive/folders/10T2cTQHqEJZqE-st6uFKPoI?usp=share_link" TargetMode="External"/><Relationship Id="rId521" Type="http://schemas.openxmlformats.org/officeDocument/2006/relationships/hyperlink" Target="https://drive.google.com/drive/folders/10T2cTQHqEJZqE-st6uFKPoI?usp=share_link" TargetMode="External"/><Relationship Id="rId1110" Type="http://schemas.openxmlformats.org/officeDocument/2006/relationships/hyperlink" Target="https://drive.google.com/drive/folders/10T2cTQHqEJZqE-st6uFKPoI?usp=share_link" TargetMode="External"/><Relationship Id="rId2441" Type="http://schemas.openxmlformats.org/officeDocument/2006/relationships/hyperlink" Target="https://drive.google.com/drive/folders/10T2cTQHqEJZqE-st6uFKPoI?usp=share_link" TargetMode="External"/><Relationship Id="rId3773" Type="http://schemas.openxmlformats.org/officeDocument/2006/relationships/hyperlink" Target="https://drive.google.com/drive/folders/10T2cTQHqEJZqE-st6uFKPoI?usp=share_link" TargetMode="External"/><Relationship Id="rId520" Type="http://schemas.openxmlformats.org/officeDocument/2006/relationships/hyperlink" Target="https://drive.google.com/drive/folders/10T2cTQHqEJZqE-st6uFKPoI?usp=share_link" TargetMode="External"/><Relationship Id="rId1111" Type="http://schemas.openxmlformats.org/officeDocument/2006/relationships/hyperlink" Target="https://drive.google.com/drive/folders/10T2cTQHqEJZqE-st6uFKPoI?usp=share_link" TargetMode="External"/><Relationship Id="rId2442" Type="http://schemas.openxmlformats.org/officeDocument/2006/relationships/hyperlink" Target="https://drive.google.com/drive/folders/10T2cTQHqEJZqE-st6uFKPoI?usp=share_link" TargetMode="External"/><Relationship Id="rId3772" Type="http://schemas.openxmlformats.org/officeDocument/2006/relationships/hyperlink" Target="https://drive.google.com/drive/folders/10T2cTQHqEJZqE-st6uFKPoI?usp=share_link" TargetMode="External"/><Relationship Id="rId1112" Type="http://schemas.openxmlformats.org/officeDocument/2006/relationships/hyperlink" Target="https://drive.google.com/drive/folders/10T2cTQHqEJZqE-st6uFKPoI?usp=share_link" TargetMode="External"/><Relationship Id="rId2443" Type="http://schemas.openxmlformats.org/officeDocument/2006/relationships/hyperlink" Target="https://drive.google.com/drive/folders/10T2cTQHqEJZqE-st6uFKPoI?usp=share_link" TargetMode="External"/><Relationship Id="rId3775" Type="http://schemas.openxmlformats.org/officeDocument/2006/relationships/hyperlink" Target="https://drive.google.com/drive/folders/10T2cTQHqEJZqE-st6uFKPoI?usp=share_link" TargetMode="External"/><Relationship Id="rId1113" Type="http://schemas.openxmlformats.org/officeDocument/2006/relationships/hyperlink" Target="https://drive.google.com/drive/folders/10T2cTQHqEJZqE-st6uFKPoI?usp=share_link" TargetMode="External"/><Relationship Id="rId2444" Type="http://schemas.openxmlformats.org/officeDocument/2006/relationships/hyperlink" Target="https://drive.google.com/drive/folders/10T2cTQHqEJZqE-st6uFKPoI?usp=share_link" TargetMode="External"/><Relationship Id="rId3774" Type="http://schemas.openxmlformats.org/officeDocument/2006/relationships/hyperlink" Target="https://drive.google.com/drive/folders/10T2cTQHqEJZqE-st6uFKPoI?usp=share_link" TargetMode="External"/><Relationship Id="rId1103" Type="http://schemas.openxmlformats.org/officeDocument/2006/relationships/hyperlink" Target="https://drive.google.com/drive/folders/10T2cTQHqEJZqE-st6uFKPoI?usp=share_link" TargetMode="External"/><Relationship Id="rId2434" Type="http://schemas.openxmlformats.org/officeDocument/2006/relationships/hyperlink" Target="https://drive.google.com/drive/folders/10T2cTQHqEJZqE-st6uFKPoI?usp=share_link" TargetMode="External"/><Relationship Id="rId3766" Type="http://schemas.openxmlformats.org/officeDocument/2006/relationships/hyperlink" Target="https://drive.google.com/drive/folders/10T2cTQHqEJZqE-st6uFKPoI?usp=share_link" TargetMode="External"/><Relationship Id="rId1104" Type="http://schemas.openxmlformats.org/officeDocument/2006/relationships/hyperlink" Target="https://drive.google.com/drive/folders/10T2cTQHqEJZqE-st6uFKPoI?usp=share_link" TargetMode="External"/><Relationship Id="rId2435" Type="http://schemas.openxmlformats.org/officeDocument/2006/relationships/hyperlink" Target="https://drive.google.com/drive/folders/10T2cTQHqEJZqE-st6uFKPoI?usp=share_link" TargetMode="External"/><Relationship Id="rId3765" Type="http://schemas.openxmlformats.org/officeDocument/2006/relationships/hyperlink" Target="https://drive.google.com/drive/folders/10T2cTQHqEJZqE-st6uFKPoI?usp=share_link" TargetMode="External"/><Relationship Id="rId1105" Type="http://schemas.openxmlformats.org/officeDocument/2006/relationships/hyperlink" Target="https://drive.google.com/drive/folders/10T2cTQHqEJZqE-st6uFKPoI?usp=share_link" TargetMode="External"/><Relationship Id="rId2436" Type="http://schemas.openxmlformats.org/officeDocument/2006/relationships/hyperlink" Target="https://drive.google.com/drive/folders/10T2cTQHqEJZqE-st6uFKPoI?usp=share_link" TargetMode="External"/><Relationship Id="rId3768" Type="http://schemas.openxmlformats.org/officeDocument/2006/relationships/hyperlink" Target="https://drive.google.com/drive/folders/10T2cTQHqEJZqE-st6uFKPoI?usp=share_link" TargetMode="External"/><Relationship Id="rId1106" Type="http://schemas.openxmlformats.org/officeDocument/2006/relationships/hyperlink" Target="https://drive.google.com/drive/folders/10T2cTQHqEJZqE-st6uFKPoI?usp=share_link" TargetMode="External"/><Relationship Id="rId2437" Type="http://schemas.openxmlformats.org/officeDocument/2006/relationships/hyperlink" Target="https://drive.google.com/drive/folders/10T2cTQHqEJZqE-st6uFKPoI?usp=share_link" TargetMode="External"/><Relationship Id="rId3767" Type="http://schemas.openxmlformats.org/officeDocument/2006/relationships/hyperlink" Target="https://drive.google.com/drive/folders/10T2cTQHqEJZqE-st6uFKPoI?usp=share_link" TargetMode="External"/><Relationship Id="rId1107" Type="http://schemas.openxmlformats.org/officeDocument/2006/relationships/hyperlink" Target="https://drive.google.com/drive/folders/10T2cTQHqEJZqE-st6uFKPoI?usp=share_link" TargetMode="External"/><Relationship Id="rId2438" Type="http://schemas.openxmlformats.org/officeDocument/2006/relationships/hyperlink" Target="https://drive.google.com/drive/folders/10T2cTQHqEJZqE-st6uFKPoI?usp=share_link" TargetMode="External"/><Relationship Id="rId1108" Type="http://schemas.openxmlformats.org/officeDocument/2006/relationships/hyperlink" Target="https://drive.google.com/drive/folders/10T2cTQHqEJZqE-st6uFKPoI?usp=share_link" TargetMode="External"/><Relationship Id="rId2439" Type="http://schemas.openxmlformats.org/officeDocument/2006/relationships/hyperlink" Target="https://drive.google.com/drive/folders/10T2cTQHqEJZqE-st6uFKPoI?usp=share_link" TargetMode="External"/><Relationship Id="rId3769" Type="http://schemas.openxmlformats.org/officeDocument/2006/relationships/hyperlink" Target="https://drive.google.com/drive/folders/10T2cTQHqEJZqE-st6uFKPoI?usp=share_link" TargetMode="External"/><Relationship Id="rId1109" Type="http://schemas.openxmlformats.org/officeDocument/2006/relationships/hyperlink" Target="https://drive.google.com/drive/folders/10T2cTQHqEJZqE-st6uFKPoI?usp=share_link" TargetMode="External"/><Relationship Id="rId519" Type="http://schemas.openxmlformats.org/officeDocument/2006/relationships/hyperlink" Target="https://drive.google.com/drive/folders/10T2cTQHqEJZqE-st6uFKPoI?usp=share_link" TargetMode="External"/><Relationship Id="rId514" Type="http://schemas.openxmlformats.org/officeDocument/2006/relationships/hyperlink" Target="https://drive.google.com/drive/folders/10T2cTQHqEJZqE-st6uFKPoI?usp=share_link" TargetMode="External"/><Relationship Id="rId513" Type="http://schemas.openxmlformats.org/officeDocument/2006/relationships/hyperlink" Target="https://drive.google.com/drive/folders/10T2cTQHqEJZqE-st6uFKPoI?usp=share_link" TargetMode="External"/><Relationship Id="rId512" Type="http://schemas.openxmlformats.org/officeDocument/2006/relationships/hyperlink" Target="https://drive.google.com/drive/folders/10T2cTQHqEJZqE-st6uFKPoI?usp=share_link" TargetMode="External"/><Relationship Id="rId511" Type="http://schemas.openxmlformats.org/officeDocument/2006/relationships/hyperlink" Target="https://drive.google.com/drive/folders/10T2cTQHqEJZqE-st6uFKPoI?usp=share_link" TargetMode="External"/><Relationship Id="rId518" Type="http://schemas.openxmlformats.org/officeDocument/2006/relationships/hyperlink" Target="https://drive.google.com/drive/folders/10T2cTQHqEJZqE-st6uFKPoI?usp=share_link" TargetMode="External"/><Relationship Id="rId517" Type="http://schemas.openxmlformats.org/officeDocument/2006/relationships/hyperlink" Target="https://drive.google.com/drive/folders/10T2cTQHqEJZqE-st6uFKPoI?usp=share_link" TargetMode="External"/><Relationship Id="rId516" Type="http://schemas.openxmlformats.org/officeDocument/2006/relationships/hyperlink" Target="https://drive.google.com/drive/folders/10T2cTQHqEJZqE-st6uFKPoI?usp=share_link" TargetMode="External"/><Relationship Id="rId515" Type="http://schemas.openxmlformats.org/officeDocument/2006/relationships/hyperlink" Target="https://drive.google.com/drive/folders/10T2cTQHqEJZqE-st6uFKPoI?usp=share_link" TargetMode="External"/><Relationship Id="rId3760" Type="http://schemas.openxmlformats.org/officeDocument/2006/relationships/hyperlink" Target="https://drive.google.com/drive/folders/10T2cTQHqEJZqE-st6uFKPoI?usp=share_link" TargetMode="External"/><Relationship Id="rId510" Type="http://schemas.openxmlformats.org/officeDocument/2006/relationships/hyperlink" Target="https://drive.google.com/drive/folders/10T2cTQHqEJZqE-st6uFKPoI?usp=share_link" TargetMode="External"/><Relationship Id="rId2430" Type="http://schemas.openxmlformats.org/officeDocument/2006/relationships/hyperlink" Target="https://drive.google.com/drive/folders/10T2cTQHqEJZqE-st6uFKPoI?usp=share_link" TargetMode="External"/><Relationship Id="rId3762" Type="http://schemas.openxmlformats.org/officeDocument/2006/relationships/hyperlink" Target="https://drive.google.com/drive/folders/10T2cTQHqEJZqE-st6uFKPoI?usp=share_link" TargetMode="External"/><Relationship Id="rId1100" Type="http://schemas.openxmlformats.org/officeDocument/2006/relationships/hyperlink" Target="https://drive.google.com/drive/folders/10T2cTQHqEJZqE-st6uFKPoI?usp=share_link" TargetMode="External"/><Relationship Id="rId2431" Type="http://schemas.openxmlformats.org/officeDocument/2006/relationships/hyperlink" Target="https://drive.google.com/drive/folders/10T2cTQHqEJZqE-st6uFKPoI?usp=share_link" TargetMode="External"/><Relationship Id="rId3761" Type="http://schemas.openxmlformats.org/officeDocument/2006/relationships/hyperlink" Target="https://drive.google.com/drive/folders/10T2cTQHqEJZqE-st6uFKPoI?usp=share_link" TargetMode="External"/><Relationship Id="rId1101" Type="http://schemas.openxmlformats.org/officeDocument/2006/relationships/hyperlink" Target="https://drive.google.com/drive/folders/10T2cTQHqEJZqE-st6uFKPoI?usp=share_link" TargetMode="External"/><Relationship Id="rId2432" Type="http://schemas.openxmlformats.org/officeDocument/2006/relationships/hyperlink" Target="https://drive.google.com/drive/folders/10T2cTQHqEJZqE-st6uFKPoI?usp=share_link" TargetMode="External"/><Relationship Id="rId3764" Type="http://schemas.openxmlformats.org/officeDocument/2006/relationships/hyperlink" Target="https://drive.google.com/drive/folders/10T2cTQHqEJZqE-st6uFKPoI?usp=share_link" TargetMode="External"/><Relationship Id="rId1102" Type="http://schemas.openxmlformats.org/officeDocument/2006/relationships/hyperlink" Target="https://drive.google.com/drive/folders/10T2cTQHqEJZqE-st6uFKPoI?usp=share_link" TargetMode="External"/><Relationship Id="rId2433" Type="http://schemas.openxmlformats.org/officeDocument/2006/relationships/hyperlink" Target="https://drive.google.com/drive/folders/10T2cTQHqEJZqE-st6uFKPoI?usp=share_link" TargetMode="External"/><Relationship Id="rId3763" Type="http://schemas.openxmlformats.org/officeDocument/2006/relationships/hyperlink" Target="https://drive.google.com/drive/folders/10T2cTQHqEJZqE-st6uFKPoI?usp=share_link" TargetMode="External"/><Relationship Id="rId3711" Type="http://schemas.openxmlformats.org/officeDocument/2006/relationships/hyperlink" Target="https://drive.google.com/drive/folders/10T2cTQHqEJZqE-st6uFKPoI?usp=share_link" TargetMode="External"/><Relationship Id="rId3710" Type="http://schemas.openxmlformats.org/officeDocument/2006/relationships/hyperlink" Target="https://drive.google.com/drive/folders/10T2cTQHqEJZqE-st6uFKPoI?usp=share_link" TargetMode="External"/><Relationship Id="rId3713" Type="http://schemas.openxmlformats.org/officeDocument/2006/relationships/hyperlink" Target="https://drive.google.com/drive/folders/10T2cTQHqEJZqE-st6uFKPoI?usp=share_link" TargetMode="External"/><Relationship Id="rId3712" Type="http://schemas.openxmlformats.org/officeDocument/2006/relationships/hyperlink" Target="https://drive.google.com/drive/folders/10T2cTQHqEJZqE-st6uFKPoI?usp=share_link" TargetMode="External"/><Relationship Id="rId3715" Type="http://schemas.openxmlformats.org/officeDocument/2006/relationships/hyperlink" Target="https://drive.google.com/drive/folders/10T2cTQHqEJZqE-st6uFKPoI?usp=share_link" TargetMode="External"/><Relationship Id="rId3714" Type="http://schemas.openxmlformats.org/officeDocument/2006/relationships/hyperlink" Target="https://drive.google.com/drive/folders/10T2cTQHqEJZqE-st6uFKPoI?usp=share_link" TargetMode="External"/><Relationship Id="rId3717" Type="http://schemas.openxmlformats.org/officeDocument/2006/relationships/hyperlink" Target="https://drive.google.com/drive/folders/10T2cTQHqEJZqE-st6uFKPoI?usp=share_link" TargetMode="External"/><Relationship Id="rId3716" Type="http://schemas.openxmlformats.org/officeDocument/2006/relationships/hyperlink" Target="https://drive.google.com/drive/folders/10T2cTQHqEJZqE-st6uFKPoI?usp=share_link" TargetMode="External"/><Relationship Id="rId3719" Type="http://schemas.openxmlformats.org/officeDocument/2006/relationships/hyperlink" Target="https://drive.google.com/drive/folders/10T2cTQHqEJZqE-st6uFKPoI?usp=share_link" TargetMode="External"/><Relationship Id="rId3718" Type="http://schemas.openxmlformats.org/officeDocument/2006/relationships/hyperlink" Target="https://drive.google.com/drive/folders/10T2cTQHqEJZqE-st6uFKPoI?usp=share_link" TargetMode="External"/><Relationship Id="rId3700" Type="http://schemas.openxmlformats.org/officeDocument/2006/relationships/hyperlink" Target="https://drive.google.com/drive/folders/10T2cTQHqEJZqE-st6uFKPoI?usp=share_link" TargetMode="External"/><Relationship Id="rId3702" Type="http://schemas.openxmlformats.org/officeDocument/2006/relationships/hyperlink" Target="https://drive.google.com/drive/folders/10T2cTQHqEJZqE-st6uFKPoI?usp=share_link" TargetMode="External"/><Relationship Id="rId3701" Type="http://schemas.openxmlformats.org/officeDocument/2006/relationships/hyperlink" Target="https://drive.google.com/drive/folders/10T2cTQHqEJZqE-st6uFKPoI?usp=share_link" TargetMode="External"/><Relationship Id="rId3704" Type="http://schemas.openxmlformats.org/officeDocument/2006/relationships/hyperlink" Target="https://drive.google.com/drive/folders/10T2cTQHqEJZqE-st6uFKPoI?usp=share_link" TargetMode="External"/><Relationship Id="rId3703" Type="http://schemas.openxmlformats.org/officeDocument/2006/relationships/hyperlink" Target="https://drive.google.com/drive/folders/10T2cTQHqEJZqE-st6uFKPoI?usp=share_link" TargetMode="External"/><Relationship Id="rId3706" Type="http://schemas.openxmlformats.org/officeDocument/2006/relationships/hyperlink" Target="https://drive.google.com/drive/folders/10T2cTQHqEJZqE-st6uFKPoI?usp=share_link" TargetMode="External"/><Relationship Id="rId3705" Type="http://schemas.openxmlformats.org/officeDocument/2006/relationships/hyperlink" Target="https://drive.google.com/drive/folders/10T2cTQHqEJZqE-st6uFKPoI?usp=share_link" TargetMode="External"/><Relationship Id="rId3708" Type="http://schemas.openxmlformats.org/officeDocument/2006/relationships/hyperlink" Target="https://drive.google.com/drive/folders/10T2cTQHqEJZqE-st6uFKPoI?usp=share_link" TargetMode="External"/><Relationship Id="rId3707" Type="http://schemas.openxmlformats.org/officeDocument/2006/relationships/hyperlink" Target="https://drive.google.com/drive/folders/10T2cTQHqEJZqE-st6uFKPoI?usp=share_link" TargetMode="External"/><Relationship Id="rId3709" Type="http://schemas.openxmlformats.org/officeDocument/2006/relationships/hyperlink" Target="https://drive.google.com/drive/folders/10T2cTQHqEJZqE-st6uFKPoI?usp=share_link" TargetMode="External"/><Relationship Id="rId2401" Type="http://schemas.openxmlformats.org/officeDocument/2006/relationships/hyperlink" Target="https://drive.google.com/drive/folders/10T2cTQHqEJZqE-st6uFKPoI?usp=share_link" TargetMode="External"/><Relationship Id="rId3733" Type="http://schemas.openxmlformats.org/officeDocument/2006/relationships/hyperlink" Target="https://drive.google.com/drive/folders/10T2cTQHqEJZqE-st6uFKPoI?usp=share_link" TargetMode="External"/><Relationship Id="rId2402" Type="http://schemas.openxmlformats.org/officeDocument/2006/relationships/hyperlink" Target="https://drive.google.com/drive/folders/10T2cTQHqEJZqE-st6uFKPoI?usp=share_link" TargetMode="External"/><Relationship Id="rId3732" Type="http://schemas.openxmlformats.org/officeDocument/2006/relationships/hyperlink" Target="https://drive.google.com/drive/folders/10T2cTQHqEJZqE-st6uFKPoI?usp=share_link" TargetMode="External"/><Relationship Id="rId2403" Type="http://schemas.openxmlformats.org/officeDocument/2006/relationships/hyperlink" Target="https://drive.google.com/drive/folders/10T2cTQHqEJZqE-st6uFKPoI?usp=share_link" TargetMode="External"/><Relationship Id="rId3735" Type="http://schemas.openxmlformats.org/officeDocument/2006/relationships/hyperlink" Target="https://drive.google.com/drive/folders/10T2cTQHqEJZqE-st6uFKPoI?usp=share_link" TargetMode="External"/><Relationship Id="rId2404" Type="http://schemas.openxmlformats.org/officeDocument/2006/relationships/hyperlink" Target="https://drive.google.com/drive/folders/10T2cTQHqEJZqE-st6uFKPoI?usp=share_link" TargetMode="External"/><Relationship Id="rId3734" Type="http://schemas.openxmlformats.org/officeDocument/2006/relationships/hyperlink" Target="https://drive.google.com/drive/folders/10T2cTQHqEJZqE-st6uFKPoI?usp=share_link" TargetMode="External"/><Relationship Id="rId2405" Type="http://schemas.openxmlformats.org/officeDocument/2006/relationships/hyperlink" Target="https://drive.google.com/drive/folders/10T2cTQHqEJZqE-st6uFKPoI?usp=share_link" TargetMode="External"/><Relationship Id="rId3737" Type="http://schemas.openxmlformats.org/officeDocument/2006/relationships/hyperlink" Target="https://drive.google.com/drive/folders/10T2cTQHqEJZqE-st6uFKPoI?usp=share_link" TargetMode="External"/><Relationship Id="rId2406" Type="http://schemas.openxmlformats.org/officeDocument/2006/relationships/hyperlink" Target="https://drive.google.com/drive/folders/10T2cTQHqEJZqE-st6uFKPoI?usp=share_link" TargetMode="External"/><Relationship Id="rId3736" Type="http://schemas.openxmlformats.org/officeDocument/2006/relationships/hyperlink" Target="https://drive.google.com/drive/folders/10T2cTQHqEJZqE-st6uFKPoI?usp=share_link" TargetMode="External"/><Relationship Id="rId2407" Type="http://schemas.openxmlformats.org/officeDocument/2006/relationships/hyperlink" Target="https://drive.google.com/drive/folders/10T2cTQHqEJZqE-st6uFKPoI?usp=share_link" TargetMode="External"/><Relationship Id="rId3739" Type="http://schemas.openxmlformats.org/officeDocument/2006/relationships/hyperlink" Target="https://drive.google.com/drive/folders/10T2cTQHqEJZqE-st6uFKPoI?usp=share_link" TargetMode="External"/><Relationship Id="rId2408" Type="http://schemas.openxmlformats.org/officeDocument/2006/relationships/hyperlink" Target="https://drive.google.com/drive/folders/10T2cTQHqEJZqE-st6uFKPoI?usp=share_link" TargetMode="External"/><Relationship Id="rId3738" Type="http://schemas.openxmlformats.org/officeDocument/2006/relationships/hyperlink" Target="https://drive.google.com/drive/folders/10T2cTQHqEJZqE-st6uFKPoI?usp=share_link" TargetMode="External"/><Relationship Id="rId2409" Type="http://schemas.openxmlformats.org/officeDocument/2006/relationships/hyperlink" Target="https://drive.google.com/drive/folders/10T2cTQHqEJZqE-st6uFKPoI?usp=share_link" TargetMode="External"/><Relationship Id="rId3731" Type="http://schemas.openxmlformats.org/officeDocument/2006/relationships/hyperlink" Target="https://drive.google.com/drive/folders/10T2cTQHqEJZqE-st6uFKPoI?usp=share_link" TargetMode="External"/><Relationship Id="rId2400" Type="http://schemas.openxmlformats.org/officeDocument/2006/relationships/hyperlink" Target="https://drive.google.com/drive/folders/10T2cTQHqEJZqE-st6uFKPoI?usp=share_link" TargetMode="External"/><Relationship Id="rId3730" Type="http://schemas.openxmlformats.org/officeDocument/2006/relationships/hyperlink" Target="https://drive.google.com/drive/folders/10T2cTQHqEJZqE-st6uFKPoI?usp=share_link" TargetMode="External"/><Relationship Id="rId3722" Type="http://schemas.openxmlformats.org/officeDocument/2006/relationships/hyperlink" Target="https://drive.google.com/drive/folders/10T2cTQHqEJZqE-st6uFKPoI?usp=share_link" TargetMode="External"/><Relationship Id="rId3721" Type="http://schemas.openxmlformats.org/officeDocument/2006/relationships/hyperlink" Target="https://drive.google.com/drive/folders/10T2cTQHqEJZqE-st6uFKPoI?usp=share_link" TargetMode="External"/><Relationship Id="rId3724" Type="http://schemas.openxmlformats.org/officeDocument/2006/relationships/hyperlink" Target="https://drive.google.com/drive/folders/10T2cTQHqEJZqE-st6uFKPoI?usp=share_link" TargetMode="External"/><Relationship Id="rId3723" Type="http://schemas.openxmlformats.org/officeDocument/2006/relationships/hyperlink" Target="https://drive.google.com/drive/folders/10T2cTQHqEJZqE-st6uFKPoI?usp=share_link" TargetMode="External"/><Relationship Id="rId3726" Type="http://schemas.openxmlformats.org/officeDocument/2006/relationships/hyperlink" Target="https://drive.google.com/drive/folders/10T2cTQHqEJZqE-st6uFKPoI?usp=share_link" TargetMode="External"/><Relationship Id="rId3725" Type="http://schemas.openxmlformats.org/officeDocument/2006/relationships/hyperlink" Target="https://drive.google.com/drive/folders/10T2cTQHqEJZqE-st6uFKPoI?usp=share_link" TargetMode="External"/><Relationship Id="rId3728" Type="http://schemas.openxmlformats.org/officeDocument/2006/relationships/hyperlink" Target="https://drive.google.com/drive/folders/10T2cTQHqEJZqE-st6uFKPoI?usp=share_link" TargetMode="External"/><Relationship Id="rId3727" Type="http://schemas.openxmlformats.org/officeDocument/2006/relationships/hyperlink" Target="https://drive.google.com/drive/folders/10T2cTQHqEJZqE-st6uFKPoI?usp=share_link" TargetMode="External"/><Relationship Id="rId3729" Type="http://schemas.openxmlformats.org/officeDocument/2006/relationships/hyperlink" Target="https://drive.google.com/drive/folders/10T2cTQHqEJZqE-st6uFKPoI?usp=share_link" TargetMode="External"/><Relationship Id="rId3720" Type="http://schemas.openxmlformats.org/officeDocument/2006/relationships/hyperlink" Target="https://drive.google.com/drive/folders/10T2cTQHqEJZqE-st6uFKPoI?usp=share_link" TargetMode="External"/><Relationship Id="rId4206" Type="http://schemas.openxmlformats.org/officeDocument/2006/relationships/hyperlink" Target="https://drive.google.com/drive/folders/10T2cTQHqEJZqE-st6uFKPoI?usp=share_link" TargetMode="External"/><Relationship Id="rId5538" Type="http://schemas.openxmlformats.org/officeDocument/2006/relationships/hyperlink" Target="https://drive.google.com/drive/folders/10T2cTQHqEJZqE-st6uFKPoI?usp=share_link" TargetMode="External"/><Relationship Id="rId4205" Type="http://schemas.openxmlformats.org/officeDocument/2006/relationships/hyperlink" Target="https://drive.google.com/drive/folders/10T2cTQHqEJZqE-st6uFKPoI?usp=share_link" TargetMode="External"/><Relationship Id="rId5539" Type="http://schemas.openxmlformats.org/officeDocument/2006/relationships/hyperlink" Target="https://drive.google.com/drive/folders/10T2cTQHqEJZqE-st6uFKPoI?usp=share_link" TargetMode="External"/><Relationship Id="rId4208" Type="http://schemas.openxmlformats.org/officeDocument/2006/relationships/hyperlink" Target="https://drive.google.com/drive/folders/10T2cTQHqEJZqE-st6uFKPoI?usp=share_link" TargetMode="External"/><Relationship Id="rId5536" Type="http://schemas.openxmlformats.org/officeDocument/2006/relationships/hyperlink" Target="https://drive.google.com/drive/folders/10T2cTQHqEJZqE-st6uFKPoI?usp=share_link" TargetMode="External"/><Relationship Id="rId4207" Type="http://schemas.openxmlformats.org/officeDocument/2006/relationships/hyperlink" Target="https://drive.google.com/drive/folders/10T2cTQHqEJZqE-st6uFKPoI?usp=share_link" TargetMode="External"/><Relationship Id="rId5537" Type="http://schemas.openxmlformats.org/officeDocument/2006/relationships/hyperlink" Target="https://drive.google.com/drive/folders/10T2cTQHqEJZqE-st6uFKPoI?usp=share_link" TargetMode="External"/><Relationship Id="rId590" Type="http://schemas.openxmlformats.org/officeDocument/2006/relationships/hyperlink" Target="https://drive.google.com/drive/folders/10T2cTQHqEJZqE-st6uFKPoI?usp=share_link" TargetMode="External"/><Relationship Id="rId4209" Type="http://schemas.openxmlformats.org/officeDocument/2006/relationships/hyperlink" Target="https://drive.google.com/drive/folders/10T2cTQHqEJZqE-st6uFKPoI?usp=share_link" TargetMode="External"/><Relationship Id="rId589" Type="http://schemas.openxmlformats.org/officeDocument/2006/relationships/hyperlink" Target="https://drive.google.com/drive/folders/10T2cTQHqEJZqE-st6uFKPoI?usp=share_link" TargetMode="External"/><Relationship Id="rId588" Type="http://schemas.openxmlformats.org/officeDocument/2006/relationships/hyperlink" Target="https://drive.google.com/drive/folders/10T2cTQHqEJZqE-st6uFKPoI?usp=share_link" TargetMode="External"/><Relationship Id="rId1170" Type="http://schemas.openxmlformats.org/officeDocument/2006/relationships/hyperlink" Target="https://drive.google.com/drive/folders/10T2cTQHqEJZqE-st6uFKPoI?usp=share_link" TargetMode="External"/><Relationship Id="rId1171" Type="http://schemas.openxmlformats.org/officeDocument/2006/relationships/hyperlink" Target="https://drive.google.com/drive/folders/10T2cTQHqEJZqE-st6uFKPoI?usp=share_link" TargetMode="External"/><Relationship Id="rId583" Type="http://schemas.openxmlformats.org/officeDocument/2006/relationships/hyperlink" Target="https://drive.google.com/drive/folders/10T2cTQHqEJZqE-st6uFKPoI?usp=share_link" TargetMode="External"/><Relationship Id="rId1172" Type="http://schemas.openxmlformats.org/officeDocument/2006/relationships/hyperlink" Target="https://drive.google.com/drive/folders/10T2cTQHqEJZqE-st6uFKPoI?usp=share_link" TargetMode="External"/><Relationship Id="rId5530" Type="http://schemas.openxmlformats.org/officeDocument/2006/relationships/hyperlink" Target="https://drive.google.com/drive/folders/10T2cTQHqEJZqE-st6uFKPoI?usp=share_link" TargetMode="External"/><Relationship Id="rId582" Type="http://schemas.openxmlformats.org/officeDocument/2006/relationships/hyperlink" Target="https://drive.google.com/drive/folders/10T2cTQHqEJZqE-st6uFKPoI?usp=share_link" TargetMode="External"/><Relationship Id="rId1173" Type="http://schemas.openxmlformats.org/officeDocument/2006/relationships/hyperlink" Target="https://drive.google.com/drive/folders/10T2cTQHqEJZqE-st6uFKPoI?usp=share_link" TargetMode="External"/><Relationship Id="rId5531" Type="http://schemas.openxmlformats.org/officeDocument/2006/relationships/hyperlink" Target="https://drive.google.com/drive/folders/10T2cTQHqEJZqE-st6uFKPoI?usp=share_link" TargetMode="External"/><Relationship Id="rId581" Type="http://schemas.openxmlformats.org/officeDocument/2006/relationships/hyperlink" Target="https://drive.google.com/drive/folders/10T2cTQHqEJZqE-st6uFKPoI?usp=share_link" TargetMode="External"/><Relationship Id="rId1174" Type="http://schemas.openxmlformats.org/officeDocument/2006/relationships/hyperlink" Target="https://drive.google.com/drive/folders/10T2cTQHqEJZqE-st6uFKPoI?usp=share_link" TargetMode="External"/><Relationship Id="rId4200" Type="http://schemas.openxmlformats.org/officeDocument/2006/relationships/hyperlink" Target="https://drive.google.com/drive/folders/10T2cTQHqEJZqE-st6uFKPoI?usp=share_link" TargetMode="External"/><Relationship Id="rId580" Type="http://schemas.openxmlformats.org/officeDocument/2006/relationships/hyperlink" Target="https://drive.google.com/drive/folders/10T2cTQHqEJZqE-st6uFKPoI?usp=share_link" TargetMode="External"/><Relationship Id="rId1175" Type="http://schemas.openxmlformats.org/officeDocument/2006/relationships/hyperlink" Target="https://drive.google.com/drive/folders/10T2cTQHqEJZqE-st6uFKPoI?usp=share_link" TargetMode="External"/><Relationship Id="rId587" Type="http://schemas.openxmlformats.org/officeDocument/2006/relationships/hyperlink" Target="https://drive.google.com/drive/folders/10T2cTQHqEJZqE-st6uFKPoI?usp=share_link" TargetMode="External"/><Relationship Id="rId1176" Type="http://schemas.openxmlformats.org/officeDocument/2006/relationships/hyperlink" Target="https://drive.google.com/drive/folders/10T2cTQHqEJZqE-st6uFKPoI?usp=share_link" TargetMode="External"/><Relationship Id="rId4202" Type="http://schemas.openxmlformats.org/officeDocument/2006/relationships/hyperlink" Target="https://drive.google.com/drive/folders/10T2cTQHqEJZqE-st6uFKPoI?usp=share_link" TargetMode="External"/><Relationship Id="rId5534" Type="http://schemas.openxmlformats.org/officeDocument/2006/relationships/hyperlink" Target="https://drive.google.com/drive/folders/10T2cTQHqEJZqE-st6uFKPoI?usp=share_link" TargetMode="External"/><Relationship Id="rId586" Type="http://schemas.openxmlformats.org/officeDocument/2006/relationships/hyperlink" Target="https://drive.google.com/drive/folders/10T2cTQHqEJZqE-st6uFKPoI?usp=share_link" TargetMode="External"/><Relationship Id="rId1177" Type="http://schemas.openxmlformats.org/officeDocument/2006/relationships/hyperlink" Target="https://drive.google.com/drive/folders/10T2cTQHqEJZqE-st6uFKPoI?usp=share_link" TargetMode="External"/><Relationship Id="rId4201" Type="http://schemas.openxmlformats.org/officeDocument/2006/relationships/hyperlink" Target="https://drive.google.com/drive/folders/10T2cTQHqEJZqE-st6uFKPoI?usp=share_link" TargetMode="External"/><Relationship Id="rId5535" Type="http://schemas.openxmlformats.org/officeDocument/2006/relationships/hyperlink" Target="https://drive.google.com/drive/folders/10T2cTQHqEJZqE-st6uFKPoI?usp=share_link" TargetMode="External"/><Relationship Id="rId585" Type="http://schemas.openxmlformats.org/officeDocument/2006/relationships/hyperlink" Target="https://drive.google.com/drive/folders/10T2cTQHqEJZqE-st6uFKPoI?usp=share_link" TargetMode="External"/><Relationship Id="rId1178" Type="http://schemas.openxmlformats.org/officeDocument/2006/relationships/hyperlink" Target="https://drive.google.com/drive/folders/10T2cTQHqEJZqE-st6uFKPoI?usp=share_link" TargetMode="External"/><Relationship Id="rId4204" Type="http://schemas.openxmlformats.org/officeDocument/2006/relationships/hyperlink" Target="https://drive.google.com/drive/folders/10T2cTQHqEJZqE-st6uFKPoI?usp=share_link" TargetMode="External"/><Relationship Id="rId5532" Type="http://schemas.openxmlformats.org/officeDocument/2006/relationships/hyperlink" Target="https://drive.google.com/drive/folders/10T2cTQHqEJZqE-st6uFKPoI?usp=share_link" TargetMode="External"/><Relationship Id="rId584" Type="http://schemas.openxmlformats.org/officeDocument/2006/relationships/hyperlink" Target="https://drive.google.com/drive/folders/10T2cTQHqEJZqE-st6uFKPoI?usp=share_link" TargetMode="External"/><Relationship Id="rId1179" Type="http://schemas.openxmlformats.org/officeDocument/2006/relationships/hyperlink" Target="https://drive.google.com/drive/folders/10T2cTQHqEJZqE-st6uFKPoI?usp=share_link" TargetMode="External"/><Relationship Id="rId4203" Type="http://schemas.openxmlformats.org/officeDocument/2006/relationships/hyperlink" Target="https://drive.google.com/drive/folders/10T2cTQHqEJZqE-st6uFKPoI?usp=share_link" TargetMode="External"/><Relationship Id="rId5533" Type="http://schemas.openxmlformats.org/officeDocument/2006/relationships/hyperlink" Target="https://drive.google.com/drive/folders/10T2cTQHqEJZqE-st6uFKPoI?usp=share_link" TargetMode="External"/><Relationship Id="rId1169" Type="http://schemas.openxmlformats.org/officeDocument/2006/relationships/hyperlink" Target="https://drive.google.com/drive/folders/10T2cTQHqEJZqE-st6uFKPoI?usp=share_link" TargetMode="External"/><Relationship Id="rId5527" Type="http://schemas.openxmlformats.org/officeDocument/2006/relationships/hyperlink" Target="https://drive.google.com/drive/folders/10T2cTQHqEJZqE-st6uFKPoI?usp=share_link" TargetMode="External"/><Relationship Id="rId5528" Type="http://schemas.openxmlformats.org/officeDocument/2006/relationships/hyperlink" Target="https://drive.google.com/drive/folders/10T2cTQHqEJZqE-st6uFKPoI?usp=share_link" TargetMode="External"/><Relationship Id="rId5525" Type="http://schemas.openxmlformats.org/officeDocument/2006/relationships/hyperlink" Target="https://drive.google.com/drive/folders/10T2cTQHqEJZqE-st6uFKPoI?usp=share_link" TargetMode="External"/><Relationship Id="rId5526" Type="http://schemas.openxmlformats.org/officeDocument/2006/relationships/hyperlink" Target="https://drive.google.com/drive/folders/10T2cTQHqEJZqE-st6uFKPoI?usp=share_link" TargetMode="External"/><Relationship Id="rId5529" Type="http://schemas.openxmlformats.org/officeDocument/2006/relationships/hyperlink" Target="https://drive.google.com/drive/folders/10T2cTQHqEJZqE-st6uFKPoI?usp=share_link" TargetMode="External"/><Relationship Id="rId579" Type="http://schemas.openxmlformats.org/officeDocument/2006/relationships/hyperlink" Target="https://drive.google.com/drive/folders/10T2cTQHqEJZqE-st6uFKPoI?usp=share_link" TargetMode="External"/><Relationship Id="rId578" Type="http://schemas.openxmlformats.org/officeDocument/2006/relationships/hyperlink" Target="https://drive.google.com/drive/folders/10T2cTQHqEJZqE-st6uFKPoI?usp=share_link" TargetMode="External"/><Relationship Id="rId577" Type="http://schemas.openxmlformats.org/officeDocument/2006/relationships/hyperlink" Target="https://drive.google.com/drive/folders/10T2cTQHqEJZqE-st6uFKPoI?usp=share_link" TargetMode="External"/><Relationship Id="rId2490" Type="http://schemas.openxmlformats.org/officeDocument/2006/relationships/hyperlink" Target="https://drive.google.com/drive/folders/10T2cTQHqEJZqE-st6uFKPoI?usp=share_link" TargetMode="External"/><Relationship Id="rId1160" Type="http://schemas.openxmlformats.org/officeDocument/2006/relationships/hyperlink" Target="https://drive.google.com/drive/folders/10T2cTQHqEJZqE-st6uFKPoI?usp=share_link" TargetMode="External"/><Relationship Id="rId2491" Type="http://schemas.openxmlformats.org/officeDocument/2006/relationships/hyperlink" Target="https://drive.google.com/drive/folders/10T2cTQHqEJZqE-st6uFKPoI?usp=share_link" TargetMode="External"/><Relationship Id="rId572" Type="http://schemas.openxmlformats.org/officeDocument/2006/relationships/hyperlink" Target="https://drive.google.com/drive/folders/10T2cTQHqEJZqE-st6uFKPoI?usp=share_link" TargetMode="External"/><Relationship Id="rId1161" Type="http://schemas.openxmlformats.org/officeDocument/2006/relationships/hyperlink" Target="https://drive.google.com/drive/folders/10T2cTQHqEJZqE-st6uFKPoI?usp=share_link" TargetMode="External"/><Relationship Id="rId2492" Type="http://schemas.openxmlformats.org/officeDocument/2006/relationships/hyperlink" Target="https://drive.google.com/drive/folders/10T2cTQHqEJZqE-st6uFKPoI?usp=share_link" TargetMode="External"/><Relationship Id="rId571" Type="http://schemas.openxmlformats.org/officeDocument/2006/relationships/hyperlink" Target="https://drive.google.com/drive/folders/10T2cTQHqEJZqE-st6uFKPoI?usp=share_link" TargetMode="External"/><Relationship Id="rId1162" Type="http://schemas.openxmlformats.org/officeDocument/2006/relationships/hyperlink" Target="https://drive.google.com/drive/folders/10T2cTQHqEJZqE-st6uFKPoI?usp=share_link" TargetMode="External"/><Relationship Id="rId2493" Type="http://schemas.openxmlformats.org/officeDocument/2006/relationships/hyperlink" Target="https://drive.google.com/drive/folders/10T2cTQHqEJZqE-st6uFKPoI?usp=share_link" TargetMode="External"/><Relationship Id="rId5520" Type="http://schemas.openxmlformats.org/officeDocument/2006/relationships/hyperlink" Target="https://drive.google.com/drive/folders/10T2cTQHqEJZqE-st6uFKPoI?usp=share_link" TargetMode="External"/><Relationship Id="rId570" Type="http://schemas.openxmlformats.org/officeDocument/2006/relationships/hyperlink" Target="https://drive.google.com/drive/folders/10T2cTQHqEJZqE-st6uFKPoI?usp=share_link" TargetMode="External"/><Relationship Id="rId1163" Type="http://schemas.openxmlformats.org/officeDocument/2006/relationships/hyperlink" Target="https://drive.google.com/drive/folders/10T2cTQHqEJZqE-st6uFKPoI?usp=share_link" TargetMode="External"/><Relationship Id="rId2494" Type="http://schemas.openxmlformats.org/officeDocument/2006/relationships/hyperlink" Target="https://drive.google.com/drive/folders/10T2cTQHqEJZqE-st6uFKPoI?usp=share_link" TargetMode="External"/><Relationship Id="rId1164" Type="http://schemas.openxmlformats.org/officeDocument/2006/relationships/hyperlink" Target="https://drive.google.com/drive/folders/10T2cTQHqEJZqE-st6uFKPoI?usp=share_link" TargetMode="External"/><Relationship Id="rId2495" Type="http://schemas.openxmlformats.org/officeDocument/2006/relationships/hyperlink" Target="https://drive.google.com/drive/folders/10T2cTQHqEJZqE-st6uFKPoI?usp=share_link" TargetMode="External"/><Relationship Id="rId576" Type="http://schemas.openxmlformats.org/officeDocument/2006/relationships/hyperlink" Target="https://drive.google.com/drive/folders/10T2cTQHqEJZqE-st6uFKPoI?usp=share_link" TargetMode="External"/><Relationship Id="rId1165" Type="http://schemas.openxmlformats.org/officeDocument/2006/relationships/hyperlink" Target="https://drive.google.com/drive/folders/10T2cTQHqEJZqE-st6uFKPoI?usp=share_link" TargetMode="External"/><Relationship Id="rId2496" Type="http://schemas.openxmlformats.org/officeDocument/2006/relationships/hyperlink" Target="https://drive.google.com/drive/folders/10T2cTQHqEJZqE-st6uFKPoI?usp=share_link" TargetMode="External"/><Relationship Id="rId5523" Type="http://schemas.openxmlformats.org/officeDocument/2006/relationships/hyperlink" Target="https://drive.google.com/drive/folders/10T2cTQHqEJZqE-st6uFKPoI?usp=share_link" TargetMode="External"/><Relationship Id="rId575" Type="http://schemas.openxmlformats.org/officeDocument/2006/relationships/hyperlink" Target="https://drive.google.com/drive/folders/10T2cTQHqEJZqE-st6uFKPoI?usp=share_link" TargetMode="External"/><Relationship Id="rId1166" Type="http://schemas.openxmlformats.org/officeDocument/2006/relationships/hyperlink" Target="https://drive.google.com/drive/folders/10T2cTQHqEJZqE-st6uFKPoI?usp=share_link" TargetMode="External"/><Relationship Id="rId2497" Type="http://schemas.openxmlformats.org/officeDocument/2006/relationships/hyperlink" Target="https://drive.google.com/drive/folders/10T2cTQHqEJZqE-st6uFKPoI?usp=share_link" TargetMode="External"/><Relationship Id="rId5524" Type="http://schemas.openxmlformats.org/officeDocument/2006/relationships/hyperlink" Target="https://drive.google.com/drive/folders/10T2cTQHqEJZqE-st6uFKPoI?usp=share_link" TargetMode="External"/><Relationship Id="rId574" Type="http://schemas.openxmlformats.org/officeDocument/2006/relationships/hyperlink" Target="https://drive.google.com/drive/folders/10T2cTQHqEJZqE-st6uFKPoI?usp=share_link" TargetMode="External"/><Relationship Id="rId1167" Type="http://schemas.openxmlformats.org/officeDocument/2006/relationships/hyperlink" Target="https://drive.google.com/drive/folders/10T2cTQHqEJZqE-st6uFKPoI?usp=share_link" TargetMode="External"/><Relationship Id="rId2498" Type="http://schemas.openxmlformats.org/officeDocument/2006/relationships/hyperlink" Target="https://drive.google.com/drive/folders/10T2cTQHqEJZqE-st6uFKPoI?usp=share_link" TargetMode="External"/><Relationship Id="rId5521" Type="http://schemas.openxmlformats.org/officeDocument/2006/relationships/hyperlink" Target="https://drive.google.com/drive/folders/10T2cTQHqEJZqE-st6uFKPoI?usp=share_link" TargetMode="External"/><Relationship Id="rId573" Type="http://schemas.openxmlformats.org/officeDocument/2006/relationships/hyperlink" Target="https://drive.google.com/drive/folders/10T2cTQHqEJZqE-st6uFKPoI?usp=share_link" TargetMode="External"/><Relationship Id="rId1168" Type="http://schemas.openxmlformats.org/officeDocument/2006/relationships/hyperlink" Target="https://drive.google.com/drive/folders/10T2cTQHqEJZqE-st6uFKPoI?usp=share_link" TargetMode="External"/><Relationship Id="rId2499" Type="http://schemas.openxmlformats.org/officeDocument/2006/relationships/hyperlink" Target="https://drive.google.com/drive/folders/10T2cTQHqEJZqE-st6uFKPoI?usp=share_link" TargetMode="External"/><Relationship Id="rId5522" Type="http://schemas.openxmlformats.org/officeDocument/2006/relationships/hyperlink" Target="https://drive.google.com/drive/folders/10T2cTQHqEJZqE-st6uFKPoI?usp=share_link" TargetMode="External"/><Relationship Id="rId4228" Type="http://schemas.openxmlformats.org/officeDocument/2006/relationships/hyperlink" Target="https://drive.google.com/drive/folders/10T2cTQHqEJZqE-st6uFKPoI?usp=share_link" TargetMode="External"/><Relationship Id="rId4227" Type="http://schemas.openxmlformats.org/officeDocument/2006/relationships/hyperlink" Target="https://drive.google.com/drive/folders/10T2cTQHqEJZqE-st6uFKPoI?usp=share_link" TargetMode="External"/><Relationship Id="rId5558" Type="http://schemas.openxmlformats.org/officeDocument/2006/relationships/hyperlink" Target="https://drive.google.com/drive/folders/10T2cTQHqEJZqE-st6uFKPoI?usp=share_link" TargetMode="External"/><Relationship Id="rId4229" Type="http://schemas.openxmlformats.org/officeDocument/2006/relationships/hyperlink" Target="https://drive.google.com/drive/folders/10T2cTQHqEJZqE-st6uFKPoI?usp=share_link" TargetMode="External"/><Relationship Id="rId5559" Type="http://schemas.openxmlformats.org/officeDocument/2006/relationships/hyperlink" Target="https://drive.google.com/drive/folders/10T2cTQHqEJZqE-st6uFKPoI?usp=share_link" TargetMode="External"/><Relationship Id="rId1190" Type="http://schemas.openxmlformats.org/officeDocument/2006/relationships/hyperlink" Target="https://drive.google.com/drive/folders/10T2cTQHqEJZqE-st6uFKPoI?usp=share_link" TargetMode="External"/><Relationship Id="rId1191" Type="http://schemas.openxmlformats.org/officeDocument/2006/relationships/hyperlink" Target="https://drive.google.com/drive/folders/10T2cTQHqEJZqE-st6uFKPoI?usp=share_link" TargetMode="External"/><Relationship Id="rId1192" Type="http://schemas.openxmlformats.org/officeDocument/2006/relationships/hyperlink" Target="https://drive.google.com/drive/folders/10T2cTQHqEJZqE-st6uFKPoI?usp=share_link" TargetMode="External"/><Relationship Id="rId1193" Type="http://schemas.openxmlformats.org/officeDocument/2006/relationships/hyperlink" Target="https://drive.google.com/drive/folders/10T2cTQHqEJZqE-st6uFKPoI?usp=share_link" TargetMode="External"/><Relationship Id="rId1194" Type="http://schemas.openxmlformats.org/officeDocument/2006/relationships/hyperlink" Target="https://drive.google.com/drive/folders/10T2cTQHqEJZqE-st6uFKPoI?usp=share_link" TargetMode="External"/><Relationship Id="rId4220" Type="http://schemas.openxmlformats.org/officeDocument/2006/relationships/hyperlink" Target="https://drive.google.com/drive/folders/10T2cTQHqEJZqE-st6uFKPoI?usp=share_link" TargetMode="External"/><Relationship Id="rId5552" Type="http://schemas.openxmlformats.org/officeDocument/2006/relationships/hyperlink" Target="https://drive.google.com/drive/folders/10T2cTQHqEJZqE-st6uFKPoI?usp=share_link" TargetMode="External"/><Relationship Id="rId1195" Type="http://schemas.openxmlformats.org/officeDocument/2006/relationships/hyperlink" Target="https://drive.google.com/drive/folders/10T2cTQHqEJZqE-st6uFKPoI?usp=share_link" TargetMode="External"/><Relationship Id="rId5553" Type="http://schemas.openxmlformats.org/officeDocument/2006/relationships/hyperlink" Target="https://drive.google.com/drive/folders/10T2cTQHqEJZqE-st6uFKPoI?usp=share_link" TargetMode="External"/><Relationship Id="rId1196" Type="http://schemas.openxmlformats.org/officeDocument/2006/relationships/hyperlink" Target="https://drive.google.com/drive/folders/10T2cTQHqEJZqE-st6uFKPoI?usp=share_link" TargetMode="External"/><Relationship Id="rId4222" Type="http://schemas.openxmlformats.org/officeDocument/2006/relationships/hyperlink" Target="https://drive.google.com/drive/folders/10T2cTQHqEJZqE-st6uFKPoI?usp=share_link" TargetMode="External"/><Relationship Id="rId5550" Type="http://schemas.openxmlformats.org/officeDocument/2006/relationships/hyperlink" Target="https://drive.google.com/drive/folders/10T2cTQHqEJZqE-st6uFKPoI?usp=share_link" TargetMode="External"/><Relationship Id="rId1197" Type="http://schemas.openxmlformats.org/officeDocument/2006/relationships/hyperlink" Target="https://drive.google.com/drive/folders/10T2cTQHqEJZqE-st6uFKPoI?usp=share_link" TargetMode="External"/><Relationship Id="rId4221" Type="http://schemas.openxmlformats.org/officeDocument/2006/relationships/hyperlink" Target="https://drive.google.com/drive/folders/10T2cTQHqEJZqE-st6uFKPoI?usp=share_link" TargetMode="External"/><Relationship Id="rId5551" Type="http://schemas.openxmlformats.org/officeDocument/2006/relationships/hyperlink" Target="https://drive.google.com/drive/folders/10T2cTQHqEJZqE-st6uFKPoI?usp=share_link" TargetMode="External"/><Relationship Id="rId1198" Type="http://schemas.openxmlformats.org/officeDocument/2006/relationships/hyperlink" Target="https://drive.google.com/drive/folders/10T2cTQHqEJZqE-st6uFKPoI?usp=share_link" TargetMode="External"/><Relationship Id="rId4224" Type="http://schemas.openxmlformats.org/officeDocument/2006/relationships/hyperlink" Target="https://drive.google.com/drive/folders/10T2cTQHqEJZqE-st6uFKPoI?usp=share_link" TargetMode="External"/><Relationship Id="rId5556" Type="http://schemas.openxmlformats.org/officeDocument/2006/relationships/hyperlink" Target="https://drive.google.com/drive/folders/10T2cTQHqEJZqE-st6uFKPoI?usp=share_link" TargetMode="External"/><Relationship Id="rId1199" Type="http://schemas.openxmlformats.org/officeDocument/2006/relationships/hyperlink" Target="https://drive.google.com/drive/folders/10T2cTQHqEJZqE-st6uFKPoI?usp=share_link" TargetMode="External"/><Relationship Id="rId4223" Type="http://schemas.openxmlformats.org/officeDocument/2006/relationships/hyperlink" Target="https://drive.google.com/drive/folders/10T2cTQHqEJZqE-st6uFKPoI?usp=share_link" TargetMode="External"/><Relationship Id="rId5557" Type="http://schemas.openxmlformats.org/officeDocument/2006/relationships/hyperlink" Target="https://drive.google.com/drive/folders/10T2cTQHqEJZqE-st6uFKPoI?usp=share_link" TargetMode="External"/><Relationship Id="rId4226" Type="http://schemas.openxmlformats.org/officeDocument/2006/relationships/hyperlink" Target="https://drive.google.com/drive/folders/10T2cTQHqEJZqE-st6uFKPoI?usp=share_link" TargetMode="External"/><Relationship Id="rId5554" Type="http://schemas.openxmlformats.org/officeDocument/2006/relationships/hyperlink" Target="https://drive.google.com/drive/folders/10T2cTQHqEJZqE-st6uFKPoI?usp=share_link" TargetMode="External"/><Relationship Id="rId4225" Type="http://schemas.openxmlformats.org/officeDocument/2006/relationships/hyperlink" Target="https://drive.google.com/drive/folders/10T2cTQHqEJZqE-st6uFKPoI?usp=share_link" TargetMode="External"/><Relationship Id="rId5555" Type="http://schemas.openxmlformats.org/officeDocument/2006/relationships/hyperlink" Target="https://drive.google.com/drive/folders/10T2cTQHqEJZqE-st6uFKPoI?usp=share_link" TargetMode="External"/><Relationship Id="rId4217" Type="http://schemas.openxmlformats.org/officeDocument/2006/relationships/hyperlink" Target="https://drive.google.com/drive/folders/10T2cTQHqEJZqE-st6uFKPoI?usp=share_link" TargetMode="External"/><Relationship Id="rId5549" Type="http://schemas.openxmlformats.org/officeDocument/2006/relationships/hyperlink" Target="https://drive.google.com/drive/folders/10T2cTQHqEJZqE-st6uFKPoI?usp=share_link" TargetMode="External"/><Relationship Id="rId4216" Type="http://schemas.openxmlformats.org/officeDocument/2006/relationships/hyperlink" Target="https://drive.google.com/drive/folders/10T2cTQHqEJZqE-st6uFKPoI?usp=share_link" TargetMode="External"/><Relationship Id="rId4219" Type="http://schemas.openxmlformats.org/officeDocument/2006/relationships/hyperlink" Target="https://drive.google.com/drive/folders/10T2cTQHqEJZqE-st6uFKPoI?usp=share_link" TargetMode="External"/><Relationship Id="rId5547" Type="http://schemas.openxmlformats.org/officeDocument/2006/relationships/hyperlink" Target="https://drive.google.com/drive/folders/10T2cTQHqEJZqE-st6uFKPoI?usp=share_link" TargetMode="External"/><Relationship Id="rId4218" Type="http://schemas.openxmlformats.org/officeDocument/2006/relationships/hyperlink" Target="https://drive.google.com/drive/folders/10T2cTQHqEJZqE-st6uFKPoI?usp=share_link" TargetMode="External"/><Relationship Id="rId5548" Type="http://schemas.openxmlformats.org/officeDocument/2006/relationships/hyperlink" Target="https://drive.google.com/drive/folders/10T2cTQHqEJZqE-st6uFKPoI?usp=share_link" TargetMode="External"/><Relationship Id="rId599" Type="http://schemas.openxmlformats.org/officeDocument/2006/relationships/hyperlink" Target="https://drive.google.com/drive/folders/10T2cTQHqEJZqE-st6uFKPoI?usp=share_link" TargetMode="External"/><Relationship Id="rId1180" Type="http://schemas.openxmlformats.org/officeDocument/2006/relationships/hyperlink" Target="https://drive.google.com/drive/folders/10T2cTQHqEJZqE-st6uFKPoI?usp=share_link" TargetMode="External"/><Relationship Id="rId1181" Type="http://schemas.openxmlformats.org/officeDocument/2006/relationships/hyperlink" Target="https://drive.google.com/drive/folders/10T2cTQHqEJZqE-st6uFKPoI?usp=share_link" TargetMode="External"/><Relationship Id="rId1182" Type="http://schemas.openxmlformats.org/officeDocument/2006/relationships/hyperlink" Target="https://drive.google.com/drive/folders/10T2cTQHqEJZqE-st6uFKPoI?usp=share_link" TargetMode="External"/><Relationship Id="rId594" Type="http://schemas.openxmlformats.org/officeDocument/2006/relationships/hyperlink" Target="https://drive.google.com/drive/folders/10T2cTQHqEJZqE-st6uFKPoI?usp=share_link" TargetMode="External"/><Relationship Id="rId1183" Type="http://schemas.openxmlformats.org/officeDocument/2006/relationships/hyperlink" Target="https://drive.google.com/drive/folders/10T2cTQHqEJZqE-st6uFKPoI?usp=share_link" TargetMode="External"/><Relationship Id="rId5541" Type="http://schemas.openxmlformats.org/officeDocument/2006/relationships/hyperlink" Target="https://drive.google.com/drive/folders/10T2cTQHqEJZqE-st6uFKPoI?usp=share_link" TargetMode="External"/><Relationship Id="rId593" Type="http://schemas.openxmlformats.org/officeDocument/2006/relationships/hyperlink" Target="https://drive.google.com/drive/folders/10T2cTQHqEJZqE-st6uFKPoI?usp=share_link" TargetMode="External"/><Relationship Id="rId1184" Type="http://schemas.openxmlformats.org/officeDocument/2006/relationships/hyperlink" Target="https://drive.google.com/drive/folders/10T2cTQHqEJZqE-st6uFKPoI?usp=share_link" TargetMode="External"/><Relationship Id="rId5542" Type="http://schemas.openxmlformats.org/officeDocument/2006/relationships/hyperlink" Target="https://drive.google.com/drive/folders/10T2cTQHqEJZqE-st6uFKPoI?usp=share_link" TargetMode="External"/><Relationship Id="rId592" Type="http://schemas.openxmlformats.org/officeDocument/2006/relationships/hyperlink" Target="https://drive.google.com/drive/folders/10T2cTQHqEJZqE-st6uFKPoI?usp=share_link" TargetMode="External"/><Relationship Id="rId1185" Type="http://schemas.openxmlformats.org/officeDocument/2006/relationships/hyperlink" Target="https://drive.google.com/drive/folders/10T2cTQHqEJZqE-st6uFKPoI?usp=share_link" TargetMode="External"/><Relationship Id="rId4211" Type="http://schemas.openxmlformats.org/officeDocument/2006/relationships/hyperlink" Target="https://drive.google.com/drive/folders/10T2cTQHqEJZqE-st6uFKPoI?usp=share_link" TargetMode="External"/><Relationship Id="rId591" Type="http://schemas.openxmlformats.org/officeDocument/2006/relationships/hyperlink" Target="https://drive.google.com/drive/folders/10T2cTQHqEJZqE-st6uFKPoI?usp=share_link" TargetMode="External"/><Relationship Id="rId1186" Type="http://schemas.openxmlformats.org/officeDocument/2006/relationships/hyperlink" Target="https://drive.google.com/drive/folders/10T2cTQHqEJZqE-st6uFKPoI?usp=share_link" TargetMode="External"/><Relationship Id="rId4210" Type="http://schemas.openxmlformats.org/officeDocument/2006/relationships/hyperlink" Target="https://drive.google.com/drive/folders/10T2cTQHqEJZqE-st6uFKPoI?usp=share_link" TargetMode="External"/><Relationship Id="rId5540" Type="http://schemas.openxmlformats.org/officeDocument/2006/relationships/hyperlink" Target="https://drive.google.com/drive/folders/10T2cTQHqEJZqE-st6uFKPoI?usp=share_link" TargetMode="External"/><Relationship Id="rId598" Type="http://schemas.openxmlformats.org/officeDocument/2006/relationships/hyperlink" Target="https://drive.google.com/drive/folders/10T2cTQHqEJZqE-st6uFKPoI?usp=share_link" TargetMode="External"/><Relationship Id="rId1187" Type="http://schemas.openxmlformats.org/officeDocument/2006/relationships/hyperlink" Target="https://drive.google.com/drive/folders/10T2cTQHqEJZqE-st6uFKPoI?usp=share_link" TargetMode="External"/><Relationship Id="rId4213" Type="http://schemas.openxmlformats.org/officeDocument/2006/relationships/hyperlink" Target="https://drive.google.com/drive/folders/10T2cTQHqEJZqE-st6uFKPoI?usp=share_link" TargetMode="External"/><Relationship Id="rId5545" Type="http://schemas.openxmlformats.org/officeDocument/2006/relationships/hyperlink" Target="https://drive.google.com/drive/folders/10T2cTQHqEJZqE-st6uFKPoI?usp=share_link" TargetMode="External"/><Relationship Id="rId597" Type="http://schemas.openxmlformats.org/officeDocument/2006/relationships/hyperlink" Target="https://drive.google.com/drive/folders/10T2cTQHqEJZqE-st6uFKPoI?usp=share_link" TargetMode="External"/><Relationship Id="rId1188" Type="http://schemas.openxmlformats.org/officeDocument/2006/relationships/hyperlink" Target="https://drive.google.com/drive/folders/10T2cTQHqEJZqE-st6uFKPoI?usp=share_link" TargetMode="External"/><Relationship Id="rId4212" Type="http://schemas.openxmlformats.org/officeDocument/2006/relationships/hyperlink" Target="https://drive.google.com/drive/folders/10T2cTQHqEJZqE-st6uFKPoI?usp=share_link" TargetMode="External"/><Relationship Id="rId5546" Type="http://schemas.openxmlformats.org/officeDocument/2006/relationships/hyperlink" Target="https://drive.google.com/drive/folders/10T2cTQHqEJZqE-st6uFKPoI?usp=share_link" TargetMode="External"/><Relationship Id="rId596" Type="http://schemas.openxmlformats.org/officeDocument/2006/relationships/hyperlink" Target="https://drive.google.com/drive/folders/10T2cTQHqEJZqE-st6uFKPoI?usp=share_link" TargetMode="External"/><Relationship Id="rId1189" Type="http://schemas.openxmlformats.org/officeDocument/2006/relationships/hyperlink" Target="https://drive.google.com/drive/folders/10T2cTQHqEJZqE-st6uFKPoI?usp=share_link" TargetMode="External"/><Relationship Id="rId4215" Type="http://schemas.openxmlformats.org/officeDocument/2006/relationships/hyperlink" Target="https://drive.google.com/drive/folders/10T2cTQHqEJZqE-st6uFKPoI?usp=share_link" TargetMode="External"/><Relationship Id="rId5543" Type="http://schemas.openxmlformats.org/officeDocument/2006/relationships/hyperlink" Target="https://drive.google.com/drive/folders/10T2cTQHqEJZqE-st6uFKPoI?usp=share_link" TargetMode="External"/><Relationship Id="rId595" Type="http://schemas.openxmlformats.org/officeDocument/2006/relationships/hyperlink" Target="https://drive.google.com/drive/folders/10T2cTQHqEJZqE-st6uFKPoI?usp=share_link" TargetMode="External"/><Relationship Id="rId4214" Type="http://schemas.openxmlformats.org/officeDocument/2006/relationships/hyperlink" Target="https://drive.google.com/drive/folders/10T2cTQHqEJZqE-st6uFKPoI?usp=share_link" TargetMode="External"/><Relationship Id="rId5544" Type="http://schemas.openxmlformats.org/officeDocument/2006/relationships/hyperlink" Target="https://drive.google.com/drive/folders/10T2cTQHqEJZqE-st6uFKPoI?usp=share_link" TargetMode="External"/><Relationship Id="rId1136" Type="http://schemas.openxmlformats.org/officeDocument/2006/relationships/hyperlink" Target="https://drive.google.com/drive/folders/10T2cTQHqEJZqE-st6uFKPoI?usp=share_link" TargetMode="External"/><Relationship Id="rId2467" Type="http://schemas.openxmlformats.org/officeDocument/2006/relationships/hyperlink" Target="https://drive.google.com/drive/folders/10T2cTQHqEJZqE-st6uFKPoI?usp=share_link" TargetMode="External"/><Relationship Id="rId3799" Type="http://schemas.openxmlformats.org/officeDocument/2006/relationships/hyperlink" Target="https://drive.google.com/drive/folders/10T2cTQHqEJZqE-st6uFKPoI?usp=share_link" TargetMode="External"/><Relationship Id="rId1137" Type="http://schemas.openxmlformats.org/officeDocument/2006/relationships/hyperlink" Target="https://drive.google.com/drive/folders/10T2cTQHqEJZqE-st6uFKPoI?usp=share_link" TargetMode="External"/><Relationship Id="rId2468" Type="http://schemas.openxmlformats.org/officeDocument/2006/relationships/hyperlink" Target="https://drive.google.com/drive/folders/10T2cTQHqEJZqE-st6uFKPoI?usp=share_link" TargetMode="External"/><Relationship Id="rId3798" Type="http://schemas.openxmlformats.org/officeDocument/2006/relationships/hyperlink" Target="https://drive.google.com/drive/folders/10T2cTQHqEJZqE-st6uFKPoI?usp=share_link" TargetMode="External"/><Relationship Id="rId1138" Type="http://schemas.openxmlformats.org/officeDocument/2006/relationships/hyperlink" Target="https://drive.google.com/drive/folders/10T2cTQHqEJZqE-st6uFKPoI?usp=share_link" TargetMode="External"/><Relationship Id="rId2469" Type="http://schemas.openxmlformats.org/officeDocument/2006/relationships/hyperlink" Target="https://drive.google.com/drive/folders/10T2cTQHqEJZqE-st6uFKPoI?usp=share_link" TargetMode="External"/><Relationship Id="rId1139" Type="http://schemas.openxmlformats.org/officeDocument/2006/relationships/hyperlink" Target="https://drive.google.com/drive/folders/10T2cTQHqEJZqE-st6uFKPoI?usp=share_link" TargetMode="External"/><Relationship Id="rId547" Type="http://schemas.openxmlformats.org/officeDocument/2006/relationships/hyperlink" Target="https://drive.google.com/drive/folders/10T2cTQHqEJZqE-st6uFKPoI?usp=share_link" TargetMode="External"/><Relationship Id="rId546" Type="http://schemas.openxmlformats.org/officeDocument/2006/relationships/hyperlink" Target="https://drive.google.com/drive/folders/10T2cTQHqEJZqE-st6uFKPoI?usp=share_link" TargetMode="External"/><Relationship Id="rId545" Type="http://schemas.openxmlformats.org/officeDocument/2006/relationships/hyperlink" Target="https://drive.google.com/drive/folders/10T2cTQHqEJZqE-st6uFKPoI?usp=share_link" TargetMode="External"/><Relationship Id="rId544" Type="http://schemas.openxmlformats.org/officeDocument/2006/relationships/hyperlink" Target="https://drive.google.com/drive/folders/10T2cTQHqEJZqE-st6uFKPoI?usp=share_link" TargetMode="External"/><Relationship Id="rId549" Type="http://schemas.openxmlformats.org/officeDocument/2006/relationships/hyperlink" Target="https://drive.google.com/drive/folders/10T2cTQHqEJZqE-st6uFKPoI?usp=share_link" TargetMode="External"/><Relationship Id="rId548" Type="http://schemas.openxmlformats.org/officeDocument/2006/relationships/hyperlink" Target="https://drive.google.com/drive/folders/10T2cTQHqEJZqE-st6uFKPoI?usp=share_link" TargetMode="External"/><Relationship Id="rId3791" Type="http://schemas.openxmlformats.org/officeDocument/2006/relationships/hyperlink" Target="https://drive.google.com/drive/folders/10T2cTQHqEJZqE-st6uFKPoI?usp=share_link" TargetMode="External"/><Relationship Id="rId2460" Type="http://schemas.openxmlformats.org/officeDocument/2006/relationships/hyperlink" Target="https://drive.google.com/drive/folders/10T2cTQHqEJZqE-st6uFKPoI?usp=share_link" TargetMode="External"/><Relationship Id="rId3790" Type="http://schemas.openxmlformats.org/officeDocument/2006/relationships/hyperlink" Target="https://drive.google.com/drive/folders/10T2cTQHqEJZqE-st6uFKPoI?usp=share_link" TargetMode="External"/><Relationship Id="rId1130" Type="http://schemas.openxmlformats.org/officeDocument/2006/relationships/hyperlink" Target="https://drive.google.com/drive/folders/10T2cTQHqEJZqE-st6uFKPoI?usp=share_link" TargetMode="External"/><Relationship Id="rId2461" Type="http://schemas.openxmlformats.org/officeDocument/2006/relationships/hyperlink" Target="https://drive.google.com/drive/folders/10T2cTQHqEJZqE-st6uFKPoI?usp=share_link" TargetMode="External"/><Relationship Id="rId3793" Type="http://schemas.openxmlformats.org/officeDocument/2006/relationships/hyperlink" Target="https://drive.google.com/drive/folders/10T2cTQHqEJZqE-st6uFKPoI?usp=share_link" TargetMode="External"/><Relationship Id="rId1131" Type="http://schemas.openxmlformats.org/officeDocument/2006/relationships/hyperlink" Target="https://drive.google.com/drive/folders/10T2cTQHqEJZqE-st6uFKPoI?usp=share_link" TargetMode="External"/><Relationship Id="rId2462" Type="http://schemas.openxmlformats.org/officeDocument/2006/relationships/hyperlink" Target="https://drive.google.com/drive/folders/10T2cTQHqEJZqE-st6uFKPoI?usp=share_link" TargetMode="External"/><Relationship Id="rId3792" Type="http://schemas.openxmlformats.org/officeDocument/2006/relationships/hyperlink" Target="https://drive.google.com/drive/folders/10T2cTQHqEJZqE-st6uFKPoI?usp=share_link" TargetMode="External"/><Relationship Id="rId543" Type="http://schemas.openxmlformats.org/officeDocument/2006/relationships/hyperlink" Target="https://drive.google.com/drive/folders/10T2cTQHqEJZqE-st6uFKPoI?usp=share_link" TargetMode="External"/><Relationship Id="rId1132" Type="http://schemas.openxmlformats.org/officeDocument/2006/relationships/hyperlink" Target="https://drive.google.com/drive/folders/10T2cTQHqEJZqE-st6uFKPoI?usp=share_link" TargetMode="External"/><Relationship Id="rId2463" Type="http://schemas.openxmlformats.org/officeDocument/2006/relationships/hyperlink" Target="https://drive.google.com/drive/folders/10T2cTQHqEJZqE-st6uFKPoI?usp=share_link" TargetMode="External"/><Relationship Id="rId3795" Type="http://schemas.openxmlformats.org/officeDocument/2006/relationships/hyperlink" Target="https://drive.google.com/drive/folders/10T2cTQHqEJZqE-st6uFKPoI?usp=share_link" TargetMode="External"/><Relationship Id="rId542" Type="http://schemas.openxmlformats.org/officeDocument/2006/relationships/hyperlink" Target="https://drive.google.com/drive/folders/10T2cTQHqEJZqE-st6uFKPoI?usp=share_link" TargetMode="External"/><Relationship Id="rId1133" Type="http://schemas.openxmlformats.org/officeDocument/2006/relationships/hyperlink" Target="https://drive.google.com/drive/folders/10T2cTQHqEJZqE-st6uFKPoI?usp=share_link" TargetMode="External"/><Relationship Id="rId2464" Type="http://schemas.openxmlformats.org/officeDocument/2006/relationships/hyperlink" Target="https://drive.google.com/drive/folders/10T2cTQHqEJZqE-st6uFKPoI?usp=share_link" TargetMode="External"/><Relationship Id="rId3794" Type="http://schemas.openxmlformats.org/officeDocument/2006/relationships/hyperlink" Target="https://drive.google.com/drive/folders/10T2cTQHqEJZqE-st6uFKPoI?usp=share_link" TargetMode="External"/><Relationship Id="rId541" Type="http://schemas.openxmlformats.org/officeDocument/2006/relationships/hyperlink" Target="https://drive.google.com/drive/folders/10T2cTQHqEJZqE-st6uFKPoI?usp=share_link" TargetMode="External"/><Relationship Id="rId1134" Type="http://schemas.openxmlformats.org/officeDocument/2006/relationships/hyperlink" Target="https://drive.google.com/drive/folders/10T2cTQHqEJZqE-st6uFKPoI?usp=share_link" TargetMode="External"/><Relationship Id="rId2465" Type="http://schemas.openxmlformats.org/officeDocument/2006/relationships/hyperlink" Target="https://drive.google.com/drive/folders/10T2cTQHqEJZqE-st6uFKPoI?usp=share_link" TargetMode="External"/><Relationship Id="rId3797" Type="http://schemas.openxmlformats.org/officeDocument/2006/relationships/hyperlink" Target="https://drive.google.com/drive/folders/10T2cTQHqEJZqE-st6uFKPoI?usp=share_link" TargetMode="External"/><Relationship Id="rId540" Type="http://schemas.openxmlformats.org/officeDocument/2006/relationships/hyperlink" Target="https://drive.google.com/drive/folders/10T2cTQHqEJZqE-st6uFKPoI?usp=share_link" TargetMode="External"/><Relationship Id="rId1135" Type="http://schemas.openxmlformats.org/officeDocument/2006/relationships/hyperlink" Target="https://drive.google.com/drive/folders/10T2cTQHqEJZqE-st6uFKPoI?usp=share_link" TargetMode="External"/><Relationship Id="rId2466" Type="http://schemas.openxmlformats.org/officeDocument/2006/relationships/hyperlink" Target="https://drive.google.com/drive/folders/10T2cTQHqEJZqE-st6uFKPoI?usp=share_link" TargetMode="External"/><Relationship Id="rId3796" Type="http://schemas.openxmlformats.org/officeDocument/2006/relationships/hyperlink" Target="https://drive.google.com/drive/folders/10T2cTQHqEJZqE-st6uFKPoI?usp=share_link" TargetMode="External"/><Relationship Id="rId1125" Type="http://schemas.openxmlformats.org/officeDocument/2006/relationships/hyperlink" Target="https://drive.google.com/drive/folders/10T2cTQHqEJZqE-st6uFKPoI?usp=share_link" TargetMode="External"/><Relationship Id="rId2456" Type="http://schemas.openxmlformats.org/officeDocument/2006/relationships/hyperlink" Target="https://drive.google.com/drive/folders/10T2cTQHqEJZqE-st6uFKPoI?usp=share_link" TargetMode="External"/><Relationship Id="rId3788" Type="http://schemas.openxmlformats.org/officeDocument/2006/relationships/hyperlink" Target="https://drive.google.com/drive/folders/10T2cTQHqEJZqE-st6uFKPoI?usp=share_link" TargetMode="External"/><Relationship Id="rId1126" Type="http://schemas.openxmlformats.org/officeDocument/2006/relationships/hyperlink" Target="https://drive.google.com/drive/folders/10T2cTQHqEJZqE-st6uFKPoI?usp=share_link" TargetMode="External"/><Relationship Id="rId2457" Type="http://schemas.openxmlformats.org/officeDocument/2006/relationships/hyperlink" Target="https://drive.google.com/drive/folders/10T2cTQHqEJZqE-st6uFKPoI?usp=share_link" TargetMode="External"/><Relationship Id="rId3787" Type="http://schemas.openxmlformats.org/officeDocument/2006/relationships/hyperlink" Target="https://drive.google.com/drive/folders/10T2cTQHqEJZqE-st6uFKPoI?usp=share_link" TargetMode="External"/><Relationship Id="rId1127" Type="http://schemas.openxmlformats.org/officeDocument/2006/relationships/hyperlink" Target="https://drive.google.com/drive/folders/10T2cTQHqEJZqE-st6uFKPoI?usp=share_link" TargetMode="External"/><Relationship Id="rId2458" Type="http://schemas.openxmlformats.org/officeDocument/2006/relationships/hyperlink" Target="https://drive.google.com/drive/folders/10T2cTQHqEJZqE-st6uFKPoI?usp=share_link" TargetMode="External"/><Relationship Id="rId1128" Type="http://schemas.openxmlformats.org/officeDocument/2006/relationships/hyperlink" Target="https://drive.google.com/drive/folders/10T2cTQHqEJZqE-st6uFKPoI?usp=share_link" TargetMode="External"/><Relationship Id="rId2459" Type="http://schemas.openxmlformats.org/officeDocument/2006/relationships/hyperlink" Target="https://drive.google.com/drive/folders/10T2cTQHqEJZqE-st6uFKPoI?usp=share_link" TargetMode="External"/><Relationship Id="rId3789" Type="http://schemas.openxmlformats.org/officeDocument/2006/relationships/hyperlink" Target="https://drive.google.com/drive/folders/10T2cTQHqEJZqE-st6uFKPoI?usp=share_link" TargetMode="External"/><Relationship Id="rId1129" Type="http://schemas.openxmlformats.org/officeDocument/2006/relationships/hyperlink" Target="https://drive.google.com/drive/folders/10T2cTQHqEJZqE-st6uFKPoI?usp=share_link" TargetMode="External"/><Relationship Id="rId536" Type="http://schemas.openxmlformats.org/officeDocument/2006/relationships/hyperlink" Target="https://drive.google.com/drive/folders/10T2cTQHqEJZqE-st6uFKPoI?usp=share_link" TargetMode="External"/><Relationship Id="rId535" Type="http://schemas.openxmlformats.org/officeDocument/2006/relationships/hyperlink" Target="https://drive.google.com/drive/folders/10T2cTQHqEJZqE-st6uFKPoI?usp=share_link" TargetMode="External"/><Relationship Id="rId534" Type="http://schemas.openxmlformats.org/officeDocument/2006/relationships/hyperlink" Target="https://drive.google.com/drive/folders/10T2cTQHqEJZqE-st6uFKPoI?usp=share_link" TargetMode="External"/><Relationship Id="rId533" Type="http://schemas.openxmlformats.org/officeDocument/2006/relationships/hyperlink" Target="https://drive.google.com/drive/folders/10T2cTQHqEJZqE-st6uFKPoI?usp=share_link" TargetMode="External"/><Relationship Id="rId539" Type="http://schemas.openxmlformats.org/officeDocument/2006/relationships/hyperlink" Target="https://drive.google.com/drive/folders/10T2cTQHqEJZqE-st6uFKPoI?usp=share_link" TargetMode="External"/><Relationship Id="rId538" Type="http://schemas.openxmlformats.org/officeDocument/2006/relationships/hyperlink" Target="https://drive.google.com/drive/folders/10T2cTQHqEJZqE-st6uFKPoI?usp=share_link" TargetMode="External"/><Relationship Id="rId537" Type="http://schemas.openxmlformats.org/officeDocument/2006/relationships/hyperlink" Target="https://drive.google.com/drive/folders/10T2cTQHqEJZqE-st6uFKPoI?usp=share_link" TargetMode="External"/><Relationship Id="rId3780" Type="http://schemas.openxmlformats.org/officeDocument/2006/relationships/hyperlink" Target="https://drive.google.com/drive/folders/10T2cTQHqEJZqE-st6uFKPoI?usp=share_link" TargetMode="External"/><Relationship Id="rId2450" Type="http://schemas.openxmlformats.org/officeDocument/2006/relationships/hyperlink" Target="https://drive.google.com/drive/folders/10T2cTQHqEJZqE-st6uFKPoI?usp=share_link" TargetMode="External"/><Relationship Id="rId3782" Type="http://schemas.openxmlformats.org/officeDocument/2006/relationships/hyperlink" Target="https://drive.google.com/drive/folders/10T2cTQHqEJZqE-st6uFKPoI?usp=share_link" TargetMode="External"/><Relationship Id="rId1120" Type="http://schemas.openxmlformats.org/officeDocument/2006/relationships/hyperlink" Target="https://drive.google.com/drive/folders/10T2cTQHqEJZqE-st6uFKPoI?usp=share_link" TargetMode="External"/><Relationship Id="rId2451" Type="http://schemas.openxmlformats.org/officeDocument/2006/relationships/hyperlink" Target="https://drive.google.com/drive/folders/10T2cTQHqEJZqE-st6uFKPoI?usp=share_link" TargetMode="External"/><Relationship Id="rId3781" Type="http://schemas.openxmlformats.org/officeDocument/2006/relationships/hyperlink" Target="https://drive.google.com/drive/folders/10T2cTQHqEJZqE-st6uFKPoI?usp=share_link" TargetMode="External"/><Relationship Id="rId532" Type="http://schemas.openxmlformats.org/officeDocument/2006/relationships/hyperlink" Target="https://drive.google.com/drive/folders/10T2cTQHqEJZqE-st6uFKPoI?usp=share_link" TargetMode="External"/><Relationship Id="rId1121" Type="http://schemas.openxmlformats.org/officeDocument/2006/relationships/hyperlink" Target="https://drive.google.com/drive/folders/10T2cTQHqEJZqE-st6uFKPoI?usp=share_link" TargetMode="External"/><Relationship Id="rId2452" Type="http://schemas.openxmlformats.org/officeDocument/2006/relationships/hyperlink" Target="https://drive.google.com/drive/folders/10T2cTQHqEJZqE-st6uFKPoI?usp=share_link" TargetMode="External"/><Relationship Id="rId3784" Type="http://schemas.openxmlformats.org/officeDocument/2006/relationships/hyperlink" Target="https://drive.google.com/drive/folders/10T2cTQHqEJZqE-st6uFKPoI?usp=share_link" TargetMode="External"/><Relationship Id="rId531" Type="http://schemas.openxmlformats.org/officeDocument/2006/relationships/hyperlink" Target="https://drive.google.com/drive/folders/10T2cTQHqEJZqE-st6uFKPoI?usp=share_link" TargetMode="External"/><Relationship Id="rId1122" Type="http://schemas.openxmlformats.org/officeDocument/2006/relationships/hyperlink" Target="https://drive.google.com/drive/folders/10T2cTQHqEJZqE-st6uFKPoI?usp=share_link" TargetMode="External"/><Relationship Id="rId2453" Type="http://schemas.openxmlformats.org/officeDocument/2006/relationships/hyperlink" Target="https://drive.google.com/drive/folders/10T2cTQHqEJZqE-st6uFKPoI?usp=share_link" TargetMode="External"/><Relationship Id="rId3783" Type="http://schemas.openxmlformats.org/officeDocument/2006/relationships/hyperlink" Target="https://drive.google.com/drive/folders/10T2cTQHqEJZqE-st6uFKPoI?usp=share_link" TargetMode="External"/><Relationship Id="rId530" Type="http://schemas.openxmlformats.org/officeDocument/2006/relationships/hyperlink" Target="https://drive.google.com/drive/folders/10T2cTQHqEJZqE-st6uFKPoI?usp=share_link" TargetMode="External"/><Relationship Id="rId1123" Type="http://schemas.openxmlformats.org/officeDocument/2006/relationships/hyperlink" Target="https://drive.google.com/drive/folders/10T2cTQHqEJZqE-st6uFKPoI?usp=share_link" TargetMode="External"/><Relationship Id="rId2454" Type="http://schemas.openxmlformats.org/officeDocument/2006/relationships/hyperlink" Target="https://drive.google.com/drive/folders/10T2cTQHqEJZqE-st6uFKPoI?usp=share_link" TargetMode="External"/><Relationship Id="rId3786" Type="http://schemas.openxmlformats.org/officeDocument/2006/relationships/hyperlink" Target="https://drive.google.com/drive/folders/10T2cTQHqEJZqE-st6uFKPoI?usp=share_link" TargetMode="External"/><Relationship Id="rId1124" Type="http://schemas.openxmlformats.org/officeDocument/2006/relationships/hyperlink" Target="https://drive.google.com/drive/folders/10T2cTQHqEJZqE-st6uFKPoI?usp=share_link" TargetMode="External"/><Relationship Id="rId2455" Type="http://schemas.openxmlformats.org/officeDocument/2006/relationships/hyperlink" Target="https://drive.google.com/drive/folders/10T2cTQHqEJZqE-st6uFKPoI?usp=share_link" TargetMode="External"/><Relationship Id="rId3785" Type="http://schemas.openxmlformats.org/officeDocument/2006/relationships/hyperlink" Target="https://drive.google.com/drive/folders/10T2cTQHqEJZqE-st6uFKPoI?usp=share_link" TargetMode="External"/><Relationship Id="rId1158" Type="http://schemas.openxmlformats.org/officeDocument/2006/relationships/hyperlink" Target="https://drive.google.com/drive/folders/10T2cTQHqEJZqE-st6uFKPoI?usp=share_link" TargetMode="External"/><Relationship Id="rId2489" Type="http://schemas.openxmlformats.org/officeDocument/2006/relationships/hyperlink" Target="https://drive.google.com/drive/folders/10T2cTQHqEJZqE-st6uFKPoI?usp=share_link" TargetMode="External"/><Relationship Id="rId5516" Type="http://schemas.openxmlformats.org/officeDocument/2006/relationships/hyperlink" Target="https://drive.google.com/drive/folders/10T2cTQHqEJZqE-st6uFKPoI?usp=share_link" TargetMode="External"/><Relationship Id="rId1159" Type="http://schemas.openxmlformats.org/officeDocument/2006/relationships/hyperlink" Target="https://drive.google.com/drive/folders/10T2cTQHqEJZqE-st6uFKPoI?usp=share_link" TargetMode="External"/><Relationship Id="rId5517" Type="http://schemas.openxmlformats.org/officeDocument/2006/relationships/hyperlink" Target="https://drive.google.com/drive/folders/10T2cTQHqEJZqE-st6uFKPoI?usp=share_link" TargetMode="External"/><Relationship Id="rId5514" Type="http://schemas.openxmlformats.org/officeDocument/2006/relationships/hyperlink" Target="https://drive.google.com/drive/folders/10T2cTQHqEJZqE-st6uFKPoI?usp=share_link" TargetMode="External"/><Relationship Id="rId5515" Type="http://schemas.openxmlformats.org/officeDocument/2006/relationships/hyperlink" Target="https://drive.google.com/drive/folders/10T2cTQHqEJZqE-st6uFKPoI?usp=share_link" TargetMode="External"/><Relationship Id="rId5518" Type="http://schemas.openxmlformats.org/officeDocument/2006/relationships/hyperlink" Target="https://drive.google.com/drive/folders/10T2cTQHqEJZqE-st6uFKPoI?usp=share_link" TargetMode="External"/><Relationship Id="rId5519" Type="http://schemas.openxmlformats.org/officeDocument/2006/relationships/hyperlink" Target="https://drive.google.com/drive/folders/10T2cTQHqEJZqE-st6uFKPoI?usp=share_link" TargetMode="External"/><Relationship Id="rId569" Type="http://schemas.openxmlformats.org/officeDocument/2006/relationships/hyperlink" Target="https://drive.google.com/drive/folders/10T2cTQHqEJZqE-st6uFKPoI?usp=share_link" TargetMode="External"/><Relationship Id="rId568" Type="http://schemas.openxmlformats.org/officeDocument/2006/relationships/hyperlink" Target="https://drive.google.com/drive/folders/10T2cTQHqEJZqE-st6uFKPoI?usp=share_link" TargetMode="External"/><Relationship Id="rId567" Type="http://schemas.openxmlformats.org/officeDocument/2006/relationships/hyperlink" Target="https://drive.google.com/drive/folders/10T2cTQHqEJZqE-st6uFKPoI?usp=share_link" TargetMode="External"/><Relationship Id="rId566" Type="http://schemas.openxmlformats.org/officeDocument/2006/relationships/hyperlink" Target="https://drive.google.com/drive/folders/10T2cTQHqEJZqE-st6uFKPoI?usp=share_link" TargetMode="External"/><Relationship Id="rId2480" Type="http://schemas.openxmlformats.org/officeDocument/2006/relationships/hyperlink" Target="https://drive.google.com/drive/folders/10T2cTQHqEJZqE-st6uFKPoI?usp=share_link" TargetMode="External"/><Relationship Id="rId561" Type="http://schemas.openxmlformats.org/officeDocument/2006/relationships/hyperlink" Target="https://drive.google.com/drive/folders/10T2cTQHqEJZqE-st6uFKPoI?usp=share_link" TargetMode="External"/><Relationship Id="rId1150" Type="http://schemas.openxmlformats.org/officeDocument/2006/relationships/hyperlink" Target="https://drive.google.com/drive/folders/10T2cTQHqEJZqE-st6uFKPoI?usp=share_link" TargetMode="External"/><Relationship Id="rId2481" Type="http://schemas.openxmlformats.org/officeDocument/2006/relationships/hyperlink" Target="https://drive.google.com/drive/folders/10T2cTQHqEJZqE-st6uFKPoI?usp=share_link" TargetMode="External"/><Relationship Id="rId560" Type="http://schemas.openxmlformats.org/officeDocument/2006/relationships/hyperlink" Target="https://drive.google.com/drive/folders/10T2cTQHqEJZqE-st6uFKPoI?usp=share_link" TargetMode="External"/><Relationship Id="rId1151" Type="http://schemas.openxmlformats.org/officeDocument/2006/relationships/hyperlink" Target="https://drive.google.com/drive/folders/10T2cTQHqEJZqE-st6uFKPoI?usp=share_link" TargetMode="External"/><Relationship Id="rId2482" Type="http://schemas.openxmlformats.org/officeDocument/2006/relationships/hyperlink" Target="https://drive.google.com/drive/folders/10T2cTQHqEJZqE-st6uFKPoI?usp=share_link" TargetMode="External"/><Relationship Id="rId1152" Type="http://schemas.openxmlformats.org/officeDocument/2006/relationships/hyperlink" Target="https://drive.google.com/drive/folders/10T2cTQHqEJZqE-st6uFKPoI?usp=share_link" TargetMode="External"/><Relationship Id="rId2483" Type="http://schemas.openxmlformats.org/officeDocument/2006/relationships/hyperlink" Target="https://drive.google.com/drive/folders/10T2cTQHqEJZqE-st6uFKPoI?usp=share_link" TargetMode="External"/><Relationship Id="rId1153" Type="http://schemas.openxmlformats.org/officeDocument/2006/relationships/hyperlink" Target="https://drive.google.com/drive/folders/10T2cTQHqEJZqE-st6uFKPoI?usp=share_link" TargetMode="External"/><Relationship Id="rId2484" Type="http://schemas.openxmlformats.org/officeDocument/2006/relationships/hyperlink" Target="https://drive.google.com/drive/folders/10T2cTQHqEJZqE-st6uFKPoI?usp=share_link" TargetMode="External"/><Relationship Id="rId565" Type="http://schemas.openxmlformats.org/officeDocument/2006/relationships/hyperlink" Target="https://drive.google.com/drive/folders/10T2cTQHqEJZqE-st6uFKPoI?usp=share_link" TargetMode="External"/><Relationship Id="rId1154" Type="http://schemas.openxmlformats.org/officeDocument/2006/relationships/hyperlink" Target="https://drive.google.com/drive/folders/10T2cTQHqEJZqE-st6uFKPoI?usp=share_link" TargetMode="External"/><Relationship Id="rId2485" Type="http://schemas.openxmlformats.org/officeDocument/2006/relationships/hyperlink" Target="https://drive.google.com/drive/folders/10T2cTQHqEJZqE-st6uFKPoI?usp=share_link" TargetMode="External"/><Relationship Id="rId5512" Type="http://schemas.openxmlformats.org/officeDocument/2006/relationships/hyperlink" Target="https://drive.google.com/drive/folders/10T2cTQHqEJZqE-st6uFKPoI?usp=share_link" TargetMode="External"/><Relationship Id="rId564" Type="http://schemas.openxmlformats.org/officeDocument/2006/relationships/hyperlink" Target="https://drive.google.com/drive/folders/10T2cTQHqEJZqE-st6uFKPoI?usp=share_link" TargetMode="External"/><Relationship Id="rId1155" Type="http://schemas.openxmlformats.org/officeDocument/2006/relationships/hyperlink" Target="https://drive.google.com/drive/folders/10T2cTQHqEJZqE-st6uFKPoI?usp=share_link" TargetMode="External"/><Relationship Id="rId2486" Type="http://schemas.openxmlformats.org/officeDocument/2006/relationships/hyperlink" Target="https://drive.google.com/drive/folders/10T2cTQHqEJZqE-st6uFKPoI?usp=share_link" TargetMode="External"/><Relationship Id="rId5513" Type="http://schemas.openxmlformats.org/officeDocument/2006/relationships/hyperlink" Target="https://drive.google.com/drive/folders/10T2cTQHqEJZqE-st6uFKPoI?usp=share_link" TargetMode="External"/><Relationship Id="rId563" Type="http://schemas.openxmlformats.org/officeDocument/2006/relationships/hyperlink" Target="https://drive.google.com/drive/folders/10T2cTQHqEJZqE-st6uFKPoI?usp=share_link" TargetMode="External"/><Relationship Id="rId1156" Type="http://schemas.openxmlformats.org/officeDocument/2006/relationships/hyperlink" Target="https://drive.google.com/drive/folders/10T2cTQHqEJZqE-st6uFKPoI?usp=share_link" TargetMode="External"/><Relationship Id="rId2487" Type="http://schemas.openxmlformats.org/officeDocument/2006/relationships/hyperlink" Target="https://drive.google.com/drive/folders/10T2cTQHqEJZqE-st6uFKPoI?usp=share_link" TargetMode="External"/><Relationship Id="rId5510" Type="http://schemas.openxmlformats.org/officeDocument/2006/relationships/hyperlink" Target="https://drive.google.com/drive/folders/10T2cTQHqEJZqE-st6uFKPoI?usp=share_link" TargetMode="External"/><Relationship Id="rId562" Type="http://schemas.openxmlformats.org/officeDocument/2006/relationships/hyperlink" Target="https://drive.google.com/drive/folders/10T2cTQHqEJZqE-st6uFKPoI?usp=share_link" TargetMode="External"/><Relationship Id="rId1157" Type="http://schemas.openxmlformats.org/officeDocument/2006/relationships/hyperlink" Target="https://drive.google.com/drive/folders/10T2cTQHqEJZqE-st6uFKPoI?usp=share_link" TargetMode="External"/><Relationship Id="rId2488" Type="http://schemas.openxmlformats.org/officeDocument/2006/relationships/hyperlink" Target="https://drive.google.com/drive/folders/10T2cTQHqEJZqE-st6uFKPoI?usp=share_link" TargetMode="External"/><Relationship Id="rId5511" Type="http://schemas.openxmlformats.org/officeDocument/2006/relationships/hyperlink" Target="https://drive.google.com/drive/folders/10T2cTQHqEJZqE-st6uFKPoI?usp=share_link" TargetMode="External"/><Relationship Id="rId1147" Type="http://schemas.openxmlformats.org/officeDocument/2006/relationships/hyperlink" Target="https://drive.google.com/drive/folders/10T2cTQHqEJZqE-st6uFKPoI?usp=share_link" TargetMode="External"/><Relationship Id="rId2478" Type="http://schemas.openxmlformats.org/officeDocument/2006/relationships/hyperlink" Target="https://drive.google.com/drive/folders/10T2cTQHqEJZqE-st6uFKPoI?usp=share_link" TargetMode="External"/><Relationship Id="rId5505" Type="http://schemas.openxmlformats.org/officeDocument/2006/relationships/hyperlink" Target="https://drive.google.com/drive/folders/10T2cTQHqEJZqE-st6uFKPoI?usp=share_link" TargetMode="External"/><Relationship Id="rId1148" Type="http://schemas.openxmlformats.org/officeDocument/2006/relationships/hyperlink" Target="https://drive.google.com/drive/folders/10T2cTQHqEJZqE-st6uFKPoI?usp=share_link" TargetMode="External"/><Relationship Id="rId2479" Type="http://schemas.openxmlformats.org/officeDocument/2006/relationships/hyperlink" Target="https://drive.google.com/drive/folders/10T2cTQHqEJZqE-st6uFKPoI?usp=share_link" TargetMode="External"/><Relationship Id="rId5506" Type="http://schemas.openxmlformats.org/officeDocument/2006/relationships/hyperlink" Target="https://drive.google.com/drive/folders/10T2cTQHqEJZqE-st6uFKPoI?usp=share_link" TargetMode="External"/><Relationship Id="rId1149" Type="http://schemas.openxmlformats.org/officeDocument/2006/relationships/hyperlink" Target="https://drive.google.com/drive/folders/10T2cTQHqEJZqE-st6uFKPoI?usp=share_link" TargetMode="External"/><Relationship Id="rId5503" Type="http://schemas.openxmlformats.org/officeDocument/2006/relationships/hyperlink" Target="https://drive.google.com/drive/folders/10T2cTQHqEJZqE-st6uFKPoI?usp=share_link" TargetMode="External"/><Relationship Id="rId5504" Type="http://schemas.openxmlformats.org/officeDocument/2006/relationships/hyperlink" Target="https://drive.google.com/drive/folders/10T2cTQHqEJZqE-st6uFKPoI?usp=share_link" TargetMode="External"/><Relationship Id="rId5509" Type="http://schemas.openxmlformats.org/officeDocument/2006/relationships/hyperlink" Target="https://drive.google.com/drive/folders/10T2cTQHqEJZqE-st6uFKPoI?usp=share_link" TargetMode="External"/><Relationship Id="rId5507" Type="http://schemas.openxmlformats.org/officeDocument/2006/relationships/hyperlink" Target="https://drive.google.com/drive/folders/10T2cTQHqEJZqE-st6uFKPoI?usp=share_link" TargetMode="External"/><Relationship Id="rId5508" Type="http://schemas.openxmlformats.org/officeDocument/2006/relationships/hyperlink" Target="https://drive.google.com/drive/folders/10T2cTQHqEJZqE-st6uFKPoI?usp=share_link" TargetMode="External"/><Relationship Id="rId558" Type="http://schemas.openxmlformats.org/officeDocument/2006/relationships/hyperlink" Target="https://drive.google.com/drive/folders/10T2cTQHqEJZqE-st6uFKPoI?usp=share_link" TargetMode="External"/><Relationship Id="rId557" Type="http://schemas.openxmlformats.org/officeDocument/2006/relationships/hyperlink" Target="https://drive.google.com/drive/folders/10T2cTQHqEJZqE-st6uFKPoI?usp=share_link" TargetMode="External"/><Relationship Id="rId556" Type="http://schemas.openxmlformats.org/officeDocument/2006/relationships/hyperlink" Target="https://drive.google.com/drive/folders/10T2cTQHqEJZqE-st6uFKPoI?usp=share_link" TargetMode="External"/><Relationship Id="rId555" Type="http://schemas.openxmlformats.org/officeDocument/2006/relationships/hyperlink" Target="https://drive.google.com/drive/folders/10T2cTQHqEJZqE-st6uFKPoI?usp=share_link" TargetMode="External"/><Relationship Id="rId559" Type="http://schemas.openxmlformats.org/officeDocument/2006/relationships/hyperlink" Target="https://drive.google.com/drive/folders/10T2cTQHqEJZqE-st6uFKPoI?usp=share_link" TargetMode="External"/><Relationship Id="rId550" Type="http://schemas.openxmlformats.org/officeDocument/2006/relationships/hyperlink" Target="https://drive.google.com/drive/folders/10T2cTQHqEJZqE-st6uFKPoI?usp=share_link" TargetMode="External"/><Relationship Id="rId2470" Type="http://schemas.openxmlformats.org/officeDocument/2006/relationships/hyperlink" Target="https://drive.google.com/drive/folders/10T2cTQHqEJZqE-st6uFKPoI?usp=share_link" TargetMode="External"/><Relationship Id="rId1140" Type="http://schemas.openxmlformats.org/officeDocument/2006/relationships/hyperlink" Target="https://drive.google.com/drive/folders/10T2cTQHqEJZqE-st6uFKPoI?usp=share_link" TargetMode="External"/><Relationship Id="rId2471" Type="http://schemas.openxmlformats.org/officeDocument/2006/relationships/hyperlink" Target="https://drive.google.com/drive/folders/10T2cTQHqEJZqE-st6uFKPoI?usp=share_link" TargetMode="External"/><Relationship Id="rId1141" Type="http://schemas.openxmlformats.org/officeDocument/2006/relationships/hyperlink" Target="https://drive.google.com/drive/folders/10T2cTQHqEJZqE-st6uFKPoI?usp=share_link" TargetMode="External"/><Relationship Id="rId2472" Type="http://schemas.openxmlformats.org/officeDocument/2006/relationships/hyperlink" Target="https://drive.google.com/drive/folders/10T2cTQHqEJZqE-st6uFKPoI?usp=share_link" TargetMode="External"/><Relationship Id="rId1142" Type="http://schemas.openxmlformats.org/officeDocument/2006/relationships/hyperlink" Target="https://drive.google.com/drive/folders/10T2cTQHqEJZqE-st6uFKPoI?usp=share_link" TargetMode="External"/><Relationship Id="rId2473" Type="http://schemas.openxmlformats.org/officeDocument/2006/relationships/hyperlink" Target="https://drive.google.com/drive/folders/10T2cTQHqEJZqE-st6uFKPoI?usp=share_link" TargetMode="External"/><Relationship Id="rId554" Type="http://schemas.openxmlformats.org/officeDocument/2006/relationships/hyperlink" Target="https://drive.google.com/drive/folders/10T2cTQHqEJZqE-st6uFKPoI?usp=share_link" TargetMode="External"/><Relationship Id="rId1143" Type="http://schemas.openxmlformats.org/officeDocument/2006/relationships/hyperlink" Target="https://drive.google.com/drive/folders/10T2cTQHqEJZqE-st6uFKPoI?usp=share_link" TargetMode="External"/><Relationship Id="rId2474" Type="http://schemas.openxmlformats.org/officeDocument/2006/relationships/hyperlink" Target="https://drive.google.com/drive/folders/10T2cTQHqEJZqE-st6uFKPoI?usp=share_link" TargetMode="External"/><Relationship Id="rId5501" Type="http://schemas.openxmlformats.org/officeDocument/2006/relationships/hyperlink" Target="https://drive.google.com/drive/folders/10T2cTQHqEJZqE-st6uFKPoI?usp=share_link" TargetMode="External"/><Relationship Id="rId553" Type="http://schemas.openxmlformats.org/officeDocument/2006/relationships/hyperlink" Target="https://drive.google.com/drive/folders/10T2cTQHqEJZqE-st6uFKPoI?usp=share_link" TargetMode="External"/><Relationship Id="rId1144" Type="http://schemas.openxmlformats.org/officeDocument/2006/relationships/hyperlink" Target="https://drive.google.com/drive/folders/10T2cTQHqEJZqE-st6uFKPoI?usp=share_link" TargetMode="External"/><Relationship Id="rId2475" Type="http://schemas.openxmlformats.org/officeDocument/2006/relationships/hyperlink" Target="https://drive.google.com/drive/folders/10T2cTQHqEJZqE-st6uFKPoI?usp=share_link" TargetMode="External"/><Relationship Id="rId5502" Type="http://schemas.openxmlformats.org/officeDocument/2006/relationships/hyperlink" Target="https://drive.google.com/drive/folders/10T2cTQHqEJZqE-st6uFKPoI?usp=share_link" TargetMode="External"/><Relationship Id="rId552" Type="http://schemas.openxmlformats.org/officeDocument/2006/relationships/hyperlink" Target="https://drive.google.com/drive/folders/10T2cTQHqEJZqE-st6uFKPoI?usp=share_link" TargetMode="External"/><Relationship Id="rId1145" Type="http://schemas.openxmlformats.org/officeDocument/2006/relationships/hyperlink" Target="https://drive.google.com/drive/folders/10T2cTQHqEJZqE-st6uFKPoI?usp=share_link" TargetMode="External"/><Relationship Id="rId2476" Type="http://schemas.openxmlformats.org/officeDocument/2006/relationships/hyperlink" Target="https://drive.google.com/drive/folders/10T2cTQHqEJZqE-st6uFKPoI?usp=share_link" TargetMode="External"/><Relationship Id="rId551" Type="http://schemas.openxmlformats.org/officeDocument/2006/relationships/hyperlink" Target="https://drive.google.com/drive/folders/10T2cTQHqEJZqE-st6uFKPoI?usp=share_link" TargetMode="External"/><Relationship Id="rId1146" Type="http://schemas.openxmlformats.org/officeDocument/2006/relationships/hyperlink" Target="https://drive.google.com/drive/folders/10T2cTQHqEJZqE-st6uFKPoI?usp=share_link" TargetMode="External"/><Relationship Id="rId2477" Type="http://schemas.openxmlformats.org/officeDocument/2006/relationships/hyperlink" Target="https://drive.google.com/drive/folders/10T2cTQHqEJZqE-st6uFKPoI?usp=share_link" TargetMode="External"/><Relationship Id="rId5500" Type="http://schemas.openxmlformats.org/officeDocument/2006/relationships/hyperlink" Target="https://drive.google.com/drive/folders/10T2cTQHqEJZqE-st6uFKPoI?usp=share_link" TargetMode="External"/><Relationship Id="rId4280" Type="http://schemas.openxmlformats.org/officeDocument/2006/relationships/hyperlink" Target="https://drive.google.com/drive/folders/10T2cTQHqEJZqE-st6uFKPoI?usp=share_link" TargetMode="External"/><Relationship Id="rId4282" Type="http://schemas.openxmlformats.org/officeDocument/2006/relationships/hyperlink" Target="https://drive.google.com/drive/folders/10T2cTQHqEJZqE-st6uFKPoI?usp=share_link" TargetMode="External"/><Relationship Id="rId4281" Type="http://schemas.openxmlformats.org/officeDocument/2006/relationships/hyperlink" Target="https://drive.google.com/drive/folders/10T2cTQHqEJZqE-st6uFKPoI?usp=share_link" TargetMode="External"/><Relationship Id="rId4284" Type="http://schemas.openxmlformats.org/officeDocument/2006/relationships/hyperlink" Target="https://drive.google.com/drive/folders/10T2cTQHqEJZqE-st6uFKPoI?usp=share_link" TargetMode="External"/><Relationship Id="rId4283" Type="http://schemas.openxmlformats.org/officeDocument/2006/relationships/hyperlink" Target="https://drive.google.com/drive/folders/10T2cTQHqEJZqE-st6uFKPoI?usp=share_link" TargetMode="External"/><Relationship Id="rId4286" Type="http://schemas.openxmlformats.org/officeDocument/2006/relationships/hyperlink" Target="https://drive.google.com/drive/folders/10T2cTQHqEJZqE-st6uFKPoI?usp=share_link" TargetMode="External"/><Relationship Id="rId4285" Type="http://schemas.openxmlformats.org/officeDocument/2006/relationships/hyperlink" Target="https://drive.google.com/drive/folders/10T2cTQHqEJZqE-st6uFKPoI?usp=share_link" TargetMode="External"/><Relationship Id="rId4288" Type="http://schemas.openxmlformats.org/officeDocument/2006/relationships/hyperlink" Target="https://drive.google.com/drive/folders/10T2cTQHqEJZqE-st6uFKPoI?usp=share_link" TargetMode="External"/><Relationship Id="rId4287" Type="http://schemas.openxmlformats.org/officeDocument/2006/relationships/hyperlink" Target="https://drive.google.com/drive/folders/10T2cTQHqEJZqE-st6uFKPoI?usp=share_link" TargetMode="External"/><Relationship Id="rId4289" Type="http://schemas.openxmlformats.org/officeDocument/2006/relationships/hyperlink" Target="https://drive.google.com/drive/folders/10T2cTQHqEJZqE-st6uFKPoI?usp=share_link" TargetMode="External"/><Relationship Id="rId4271" Type="http://schemas.openxmlformats.org/officeDocument/2006/relationships/hyperlink" Target="https://drive.google.com/drive/folders/10T2cTQHqEJZqE-st6uFKPoI?usp=share_link" TargetMode="External"/><Relationship Id="rId4270" Type="http://schemas.openxmlformats.org/officeDocument/2006/relationships/hyperlink" Target="https://drive.google.com/drive/folders/10T2cTQHqEJZqE-st6uFKPoI?usp=share_link" TargetMode="External"/><Relationship Id="rId4273" Type="http://schemas.openxmlformats.org/officeDocument/2006/relationships/hyperlink" Target="https://drive.google.com/drive/folders/10T2cTQHqEJZqE-st6uFKPoI?usp=share_link" TargetMode="External"/><Relationship Id="rId4272" Type="http://schemas.openxmlformats.org/officeDocument/2006/relationships/hyperlink" Target="https://drive.google.com/drive/folders/10T2cTQHqEJZqE-st6uFKPoI?usp=share_link" TargetMode="External"/><Relationship Id="rId4275" Type="http://schemas.openxmlformats.org/officeDocument/2006/relationships/hyperlink" Target="https://drive.google.com/drive/folders/10T2cTQHqEJZqE-st6uFKPoI?usp=share_link" TargetMode="External"/><Relationship Id="rId4274" Type="http://schemas.openxmlformats.org/officeDocument/2006/relationships/hyperlink" Target="https://drive.google.com/drive/folders/10T2cTQHqEJZqE-st6uFKPoI?usp=share_link" TargetMode="External"/><Relationship Id="rId4277" Type="http://schemas.openxmlformats.org/officeDocument/2006/relationships/hyperlink" Target="https://drive.google.com/drive/folders/10T2cTQHqEJZqE-st6uFKPoI?usp=share_link" TargetMode="External"/><Relationship Id="rId4276" Type="http://schemas.openxmlformats.org/officeDocument/2006/relationships/hyperlink" Target="https://drive.google.com/drive/folders/10T2cTQHqEJZqE-st6uFKPoI?usp=share_link" TargetMode="External"/><Relationship Id="rId4279" Type="http://schemas.openxmlformats.org/officeDocument/2006/relationships/hyperlink" Target="https://drive.google.com/drive/folders/10T2cTQHqEJZqE-st6uFKPoI?usp=share_link" TargetMode="External"/><Relationship Id="rId4278" Type="http://schemas.openxmlformats.org/officeDocument/2006/relationships/hyperlink" Target="https://drive.google.com/drive/folders/10T2cTQHqEJZqE-st6uFKPoI?usp=share_link" TargetMode="External"/><Relationship Id="rId4291" Type="http://schemas.openxmlformats.org/officeDocument/2006/relationships/hyperlink" Target="https://drive.google.com/drive/folders/10T2cTQHqEJZqE-st6uFKPoI?usp=share_link" TargetMode="External"/><Relationship Id="rId4290" Type="http://schemas.openxmlformats.org/officeDocument/2006/relationships/hyperlink" Target="https://drive.google.com/drive/folders/10T2cTQHqEJZqE-st6uFKPoI?usp=share_link" TargetMode="External"/><Relationship Id="rId4293" Type="http://schemas.openxmlformats.org/officeDocument/2006/relationships/hyperlink" Target="https://drive.google.com/drive/folders/10T2cTQHqEJZqE-st6uFKPoI?usp=share_link" TargetMode="External"/><Relationship Id="rId4292" Type="http://schemas.openxmlformats.org/officeDocument/2006/relationships/hyperlink" Target="https://drive.google.com/drive/folders/10T2cTQHqEJZqE-st6uFKPoI?usp=share_link" TargetMode="External"/><Relationship Id="rId4295" Type="http://schemas.openxmlformats.org/officeDocument/2006/relationships/hyperlink" Target="https://drive.google.com/drive/folders/10T2cTQHqEJZqE-st6uFKPoI?usp=share_link" TargetMode="External"/><Relationship Id="rId4294" Type="http://schemas.openxmlformats.org/officeDocument/2006/relationships/hyperlink" Target="https://drive.google.com/drive/folders/10T2cTQHqEJZqE-st6uFKPoI?usp=share_link" TargetMode="External"/><Relationship Id="rId4297" Type="http://schemas.openxmlformats.org/officeDocument/2006/relationships/hyperlink" Target="https://drive.google.com/drive/folders/10T2cTQHqEJZqE-st6uFKPoI?usp=share_link" TargetMode="External"/><Relationship Id="rId4296" Type="http://schemas.openxmlformats.org/officeDocument/2006/relationships/hyperlink" Target="https://drive.google.com/drive/folders/10T2cTQHqEJZqE-st6uFKPoI?usp=share_link" TargetMode="External"/><Relationship Id="rId4299" Type="http://schemas.openxmlformats.org/officeDocument/2006/relationships/hyperlink" Target="https://drive.google.com/drive/folders/10T2cTQHqEJZqE-st6uFKPoI?usp=share_link" TargetMode="External"/><Relationship Id="rId4298" Type="http://schemas.openxmlformats.org/officeDocument/2006/relationships/hyperlink" Target="https://drive.google.com/drive/folders/10T2cTQHqEJZqE-st6uFKPoI?usp=share_link" TargetMode="External"/><Relationship Id="rId4249" Type="http://schemas.openxmlformats.org/officeDocument/2006/relationships/hyperlink" Target="https://drive.google.com/drive/folders/10T2cTQHqEJZqE-st6uFKPoI?usp=share_link" TargetMode="External"/><Relationship Id="rId5570" Type="http://schemas.openxmlformats.org/officeDocument/2006/relationships/hyperlink" Target="https://drive.google.com/drive/folders/10T2cTQHqEJZqE-st6uFKPoI?usp=share_link" TargetMode="External"/><Relationship Id="rId5571" Type="http://schemas.openxmlformats.org/officeDocument/2006/relationships/hyperlink" Target="https://drive.google.com/drive/folders/10T2cTQHqEJZqE-st6uFKPoI?usp=share_link" TargetMode="External"/><Relationship Id="rId4240" Type="http://schemas.openxmlformats.org/officeDocument/2006/relationships/hyperlink" Target="https://drive.google.com/drive/folders/10T2cTQHqEJZqE-st6uFKPoI?usp=share_link" TargetMode="External"/><Relationship Id="rId4242" Type="http://schemas.openxmlformats.org/officeDocument/2006/relationships/hyperlink" Target="https://drive.google.com/drive/folders/10T2cTQHqEJZqE-st6uFKPoI?usp=share_link" TargetMode="External"/><Relationship Id="rId5574" Type="http://schemas.openxmlformats.org/officeDocument/2006/relationships/hyperlink" Target="https://drive.google.com/drive/folders/10T2cTQHqEJZqE-st6uFKPoI?usp=share_link" TargetMode="External"/><Relationship Id="rId4241" Type="http://schemas.openxmlformats.org/officeDocument/2006/relationships/hyperlink" Target="https://drive.google.com/drive/folders/10T2cTQHqEJZqE-st6uFKPoI?usp=share_link" TargetMode="External"/><Relationship Id="rId5575" Type="http://schemas.openxmlformats.org/officeDocument/2006/relationships/hyperlink" Target="https://drive.google.com/drive/folders/10T2cTQHqEJZqE-st6uFKPoI?usp=share_link" TargetMode="External"/><Relationship Id="rId4244" Type="http://schemas.openxmlformats.org/officeDocument/2006/relationships/hyperlink" Target="https://drive.google.com/drive/folders/10T2cTQHqEJZqE-st6uFKPoI?usp=share_link" TargetMode="External"/><Relationship Id="rId5572" Type="http://schemas.openxmlformats.org/officeDocument/2006/relationships/hyperlink" Target="https://drive.google.com/drive/folders/10T2cTQHqEJZqE-st6uFKPoI?usp=share_link" TargetMode="External"/><Relationship Id="rId4243" Type="http://schemas.openxmlformats.org/officeDocument/2006/relationships/hyperlink" Target="https://drive.google.com/drive/folders/10T2cTQHqEJZqE-st6uFKPoI?usp=share_link" TargetMode="External"/><Relationship Id="rId5573" Type="http://schemas.openxmlformats.org/officeDocument/2006/relationships/hyperlink" Target="https://drive.google.com/drive/folders/10T2cTQHqEJZqE-st6uFKPoI?usp=share_link" TargetMode="External"/><Relationship Id="rId4246" Type="http://schemas.openxmlformats.org/officeDocument/2006/relationships/hyperlink" Target="https://drive.google.com/drive/folders/10T2cTQHqEJZqE-st6uFKPoI?usp=share_link" TargetMode="External"/><Relationship Id="rId5578" Type="http://schemas.openxmlformats.org/officeDocument/2006/relationships/hyperlink" Target="https://drive.google.com/drive/folders/10T2cTQHqEJZqE-st6uFKPoI?usp=share_link" TargetMode="External"/><Relationship Id="rId4245" Type="http://schemas.openxmlformats.org/officeDocument/2006/relationships/hyperlink" Target="https://drive.google.com/drive/folders/10T2cTQHqEJZqE-st6uFKPoI?usp=share_link" TargetMode="External"/><Relationship Id="rId5579" Type="http://schemas.openxmlformats.org/officeDocument/2006/relationships/hyperlink" Target="https://drive.google.com/drive/folders/10T2cTQHqEJZqE-st6uFKPoI?usp=share_link" TargetMode="External"/><Relationship Id="rId4248" Type="http://schemas.openxmlformats.org/officeDocument/2006/relationships/hyperlink" Target="https://drive.google.com/drive/folders/10T2cTQHqEJZqE-st6uFKPoI?usp=share_link" TargetMode="External"/><Relationship Id="rId5576" Type="http://schemas.openxmlformats.org/officeDocument/2006/relationships/hyperlink" Target="https://drive.google.com/drive/folders/10T2cTQHqEJZqE-st6uFKPoI?usp=share_link" TargetMode="External"/><Relationship Id="rId4247" Type="http://schemas.openxmlformats.org/officeDocument/2006/relationships/hyperlink" Target="https://drive.google.com/drive/folders/10T2cTQHqEJZqE-st6uFKPoI?usp=share_link" TargetMode="External"/><Relationship Id="rId5577" Type="http://schemas.openxmlformats.org/officeDocument/2006/relationships/hyperlink" Target="https://drive.google.com/drive/folders/10T2cTQHqEJZqE-st6uFKPoI?usp=share_link" TargetMode="External"/><Relationship Id="rId4239" Type="http://schemas.openxmlformats.org/officeDocument/2006/relationships/hyperlink" Target="https://drive.google.com/drive/folders/10T2cTQHqEJZqE-st6uFKPoI?usp=share_link" TargetMode="External"/><Relationship Id="rId4238" Type="http://schemas.openxmlformats.org/officeDocument/2006/relationships/hyperlink" Target="https://drive.google.com/drive/folders/10T2cTQHqEJZqE-st6uFKPoI?usp=share_link" TargetMode="External"/><Relationship Id="rId5569" Type="http://schemas.openxmlformats.org/officeDocument/2006/relationships/hyperlink" Target="https://drive.google.com/drive/folders/10T2cTQHqEJZqE-st6uFKPoI?usp=share_link" TargetMode="External"/><Relationship Id="rId5560" Type="http://schemas.openxmlformats.org/officeDocument/2006/relationships/hyperlink" Target="https://drive.google.com/drive/folders/10T2cTQHqEJZqE-st6uFKPoI?usp=share_link" TargetMode="External"/><Relationship Id="rId495" Type="http://schemas.openxmlformats.org/officeDocument/2006/relationships/hyperlink" Target="https://drive.google.com/drive/folders/10T2cTQHqEJZqE-st6uFKPoI?usp=share_link" TargetMode="External"/><Relationship Id="rId4231" Type="http://schemas.openxmlformats.org/officeDocument/2006/relationships/hyperlink" Target="https://drive.google.com/drive/folders/10T2cTQHqEJZqE-st6uFKPoI?usp=share_link" TargetMode="External"/><Relationship Id="rId5563" Type="http://schemas.openxmlformats.org/officeDocument/2006/relationships/hyperlink" Target="https://drive.google.com/drive/folders/10T2cTQHqEJZqE-st6uFKPoI?usp=share_link" TargetMode="External"/><Relationship Id="rId494" Type="http://schemas.openxmlformats.org/officeDocument/2006/relationships/hyperlink" Target="https://drive.google.com/drive/folders/10T2cTQHqEJZqE-st6uFKPoI?usp=share_link" TargetMode="External"/><Relationship Id="rId4230" Type="http://schemas.openxmlformats.org/officeDocument/2006/relationships/hyperlink" Target="https://drive.google.com/drive/folders/10T2cTQHqEJZqE-st6uFKPoI?usp=share_link" TargetMode="External"/><Relationship Id="rId5564" Type="http://schemas.openxmlformats.org/officeDocument/2006/relationships/hyperlink" Target="https://drive.google.com/drive/folders/10T2cTQHqEJZqE-st6uFKPoI?usp=share_link" TargetMode="External"/><Relationship Id="rId493" Type="http://schemas.openxmlformats.org/officeDocument/2006/relationships/hyperlink" Target="https://drive.google.com/drive/folders/10T2cTQHqEJZqE-st6uFKPoI?usp=share_link" TargetMode="External"/><Relationship Id="rId4233" Type="http://schemas.openxmlformats.org/officeDocument/2006/relationships/hyperlink" Target="https://drive.google.com/drive/folders/10T2cTQHqEJZqE-st6uFKPoI?usp=share_link" TargetMode="External"/><Relationship Id="rId5561" Type="http://schemas.openxmlformats.org/officeDocument/2006/relationships/hyperlink" Target="https://drive.google.com/drive/folders/10T2cTQHqEJZqE-st6uFKPoI?usp=share_link" TargetMode="External"/><Relationship Id="rId492" Type="http://schemas.openxmlformats.org/officeDocument/2006/relationships/hyperlink" Target="https://drive.google.com/drive/folders/10T2cTQHqEJZqE-st6uFKPoI?usp=share_link" TargetMode="External"/><Relationship Id="rId4232" Type="http://schemas.openxmlformats.org/officeDocument/2006/relationships/hyperlink" Target="https://drive.google.com/drive/folders/10T2cTQHqEJZqE-st6uFKPoI?usp=share_link" TargetMode="External"/><Relationship Id="rId5562" Type="http://schemas.openxmlformats.org/officeDocument/2006/relationships/hyperlink" Target="https://drive.google.com/drive/folders/10T2cTQHqEJZqE-st6uFKPoI?usp=share_link" TargetMode="External"/><Relationship Id="rId499" Type="http://schemas.openxmlformats.org/officeDocument/2006/relationships/hyperlink" Target="https://drive.google.com/drive/folders/10T2cTQHqEJZqE-st6uFKPoI?usp=share_link" TargetMode="External"/><Relationship Id="rId4235" Type="http://schemas.openxmlformats.org/officeDocument/2006/relationships/hyperlink" Target="https://drive.google.com/drive/folders/10T2cTQHqEJZqE-st6uFKPoI?usp=share_link" TargetMode="External"/><Relationship Id="rId5567" Type="http://schemas.openxmlformats.org/officeDocument/2006/relationships/hyperlink" Target="https://drive.google.com/drive/folders/10T2cTQHqEJZqE-st6uFKPoI?usp=share_link" TargetMode="External"/><Relationship Id="rId498" Type="http://schemas.openxmlformats.org/officeDocument/2006/relationships/hyperlink" Target="https://drive.google.com/drive/folders/10T2cTQHqEJZqE-st6uFKPoI?usp=share_link" TargetMode="External"/><Relationship Id="rId4234" Type="http://schemas.openxmlformats.org/officeDocument/2006/relationships/hyperlink" Target="https://drive.google.com/drive/folders/10T2cTQHqEJZqE-st6uFKPoI?usp=share_link" TargetMode="External"/><Relationship Id="rId5568" Type="http://schemas.openxmlformats.org/officeDocument/2006/relationships/hyperlink" Target="https://drive.google.com/drive/folders/10T2cTQHqEJZqE-st6uFKPoI?usp=share_link" TargetMode="External"/><Relationship Id="rId497" Type="http://schemas.openxmlformats.org/officeDocument/2006/relationships/hyperlink" Target="https://drive.google.com/drive/folders/10T2cTQHqEJZqE-st6uFKPoI?usp=share_link" TargetMode="External"/><Relationship Id="rId4237" Type="http://schemas.openxmlformats.org/officeDocument/2006/relationships/hyperlink" Target="https://drive.google.com/drive/folders/10T2cTQHqEJZqE-st6uFKPoI?usp=share_link" TargetMode="External"/><Relationship Id="rId5565" Type="http://schemas.openxmlformats.org/officeDocument/2006/relationships/hyperlink" Target="https://drive.google.com/drive/folders/10T2cTQHqEJZqE-st6uFKPoI?usp=share_link" TargetMode="External"/><Relationship Id="rId496" Type="http://schemas.openxmlformats.org/officeDocument/2006/relationships/hyperlink" Target="https://drive.google.com/drive/folders/10T2cTQHqEJZqE-st6uFKPoI?usp=share_link" TargetMode="External"/><Relationship Id="rId4236" Type="http://schemas.openxmlformats.org/officeDocument/2006/relationships/hyperlink" Target="https://drive.google.com/drive/folders/10T2cTQHqEJZqE-st6uFKPoI?usp=share_link" TargetMode="External"/><Relationship Id="rId5566" Type="http://schemas.openxmlformats.org/officeDocument/2006/relationships/hyperlink" Target="https://drive.google.com/drive/folders/10T2cTQHqEJZqE-st6uFKPoI?usp=share_link" TargetMode="External"/><Relationship Id="rId4260" Type="http://schemas.openxmlformats.org/officeDocument/2006/relationships/hyperlink" Target="https://drive.google.com/drive/folders/10T2cTQHqEJZqE-st6uFKPoI?usp=share_link" TargetMode="External"/><Relationship Id="rId5592" Type="http://schemas.openxmlformats.org/officeDocument/2006/relationships/hyperlink" Target="https://drive.google.com/drive/folders/10T2cTQHqEJZqE-st6uFKPoI?usp=share_link" TargetMode="External"/><Relationship Id="rId5593" Type="http://schemas.openxmlformats.org/officeDocument/2006/relationships/hyperlink" Target="https://drive.google.com/drive/folders/10T2cTQHqEJZqE-st6uFKPoI?usp=share_link" TargetMode="External"/><Relationship Id="rId4262" Type="http://schemas.openxmlformats.org/officeDocument/2006/relationships/hyperlink" Target="https://drive.google.com/drive/folders/10T2cTQHqEJZqE-st6uFKPoI?usp=share_link" TargetMode="External"/><Relationship Id="rId5590" Type="http://schemas.openxmlformats.org/officeDocument/2006/relationships/hyperlink" Target="https://drive.google.com/drive/folders/10T2cTQHqEJZqE-st6uFKPoI?usp=share_link" TargetMode="External"/><Relationship Id="rId4261" Type="http://schemas.openxmlformats.org/officeDocument/2006/relationships/hyperlink" Target="https://drive.google.com/drive/folders/10T2cTQHqEJZqE-st6uFKPoI?usp=share_link" TargetMode="External"/><Relationship Id="rId5591" Type="http://schemas.openxmlformats.org/officeDocument/2006/relationships/hyperlink" Target="https://drive.google.com/drive/folders/10T2cTQHqEJZqE-st6uFKPoI?usp=share_link" TargetMode="External"/><Relationship Id="rId4264" Type="http://schemas.openxmlformats.org/officeDocument/2006/relationships/hyperlink" Target="https://drive.google.com/drive/folders/10T2cTQHqEJZqE-st6uFKPoI?usp=share_link" TargetMode="External"/><Relationship Id="rId5596" Type="http://schemas.openxmlformats.org/officeDocument/2006/relationships/hyperlink" Target="https://drive.google.com/drive/folders/10T2cTQHqEJZqE-st6uFKPoI?usp=share_link" TargetMode="External"/><Relationship Id="rId4263" Type="http://schemas.openxmlformats.org/officeDocument/2006/relationships/hyperlink" Target="https://drive.google.com/drive/folders/10T2cTQHqEJZqE-st6uFKPoI?usp=share_link" TargetMode="External"/><Relationship Id="rId5597" Type="http://schemas.openxmlformats.org/officeDocument/2006/relationships/hyperlink" Target="https://drive.google.com/drive/folders/10T2cTQHqEJZqE-st6uFKPoI?usp=share_link" TargetMode="External"/><Relationship Id="rId4266" Type="http://schemas.openxmlformats.org/officeDocument/2006/relationships/hyperlink" Target="https://drive.google.com/drive/folders/10T2cTQHqEJZqE-st6uFKPoI?usp=share_link" TargetMode="External"/><Relationship Id="rId5594" Type="http://schemas.openxmlformats.org/officeDocument/2006/relationships/hyperlink" Target="https://drive.google.com/drive/folders/10T2cTQHqEJZqE-st6uFKPoI?usp=share_link" TargetMode="External"/><Relationship Id="rId4265" Type="http://schemas.openxmlformats.org/officeDocument/2006/relationships/hyperlink" Target="https://drive.google.com/drive/folders/10T2cTQHqEJZqE-st6uFKPoI?usp=share_link" TargetMode="External"/><Relationship Id="rId5595" Type="http://schemas.openxmlformats.org/officeDocument/2006/relationships/hyperlink" Target="https://drive.google.com/drive/folders/10T2cTQHqEJZqE-st6uFKPoI?usp=share_link" TargetMode="External"/><Relationship Id="rId4268" Type="http://schemas.openxmlformats.org/officeDocument/2006/relationships/hyperlink" Target="https://drive.google.com/drive/folders/10T2cTQHqEJZqE-st6uFKPoI?usp=share_link" TargetMode="External"/><Relationship Id="rId4267" Type="http://schemas.openxmlformats.org/officeDocument/2006/relationships/hyperlink" Target="https://drive.google.com/drive/folders/10T2cTQHqEJZqE-st6uFKPoI?usp=share_link" TargetMode="External"/><Relationship Id="rId5598" Type="http://schemas.openxmlformats.org/officeDocument/2006/relationships/hyperlink" Target="https://drive.google.com/drive/folders/10T2cTQHqEJZqE-st6uFKPoI?usp=share_link" TargetMode="External"/><Relationship Id="rId4269" Type="http://schemas.openxmlformats.org/officeDocument/2006/relationships/hyperlink" Target="https://drive.google.com/drive/folders/10T2cTQHqEJZqE-st6uFKPoI?usp=share_link" TargetMode="External"/><Relationship Id="rId5599" Type="http://schemas.openxmlformats.org/officeDocument/2006/relationships/hyperlink" Target="https://drive.google.com/drive/folders/10T2cTQHqEJZqE-st6uFKPoI?usp=share_link" TargetMode="External"/><Relationship Id="rId5581" Type="http://schemas.openxmlformats.org/officeDocument/2006/relationships/hyperlink" Target="https://drive.google.com/drive/folders/10T2cTQHqEJZqE-st6uFKPoI?usp=share_link" TargetMode="External"/><Relationship Id="rId5582" Type="http://schemas.openxmlformats.org/officeDocument/2006/relationships/hyperlink" Target="https://drive.google.com/drive/folders/10T2cTQHqEJZqE-st6uFKPoI?usp=share_link" TargetMode="External"/><Relationship Id="rId4251" Type="http://schemas.openxmlformats.org/officeDocument/2006/relationships/hyperlink" Target="https://drive.google.com/drive/folders/10T2cTQHqEJZqE-st6uFKPoI?usp=share_link" TargetMode="External"/><Relationship Id="rId4250" Type="http://schemas.openxmlformats.org/officeDocument/2006/relationships/hyperlink" Target="https://drive.google.com/drive/folders/10T2cTQHqEJZqE-st6uFKPoI?usp=share_link" TargetMode="External"/><Relationship Id="rId5580" Type="http://schemas.openxmlformats.org/officeDocument/2006/relationships/hyperlink" Target="https://drive.google.com/drive/folders/10T2cTQHqEJZqE-st6uFKPoI?usp=share_link" TargetMode="External"/><Relationship Id="rId4253" Type="http://schemas.openxmlformats.org/officeDocument/2006/relationships/hyperlink" Target="https://drive.google.com/drive/folders/10T2cTQHqEJZqE-st6uFKPoI?usp=share_link" TargetMode="External"/><Relationship Id="rId5585" Type="http://schemas.openxmlformats.org/officeDocument/2006/relationships/hyperlink" Target="https://drive.google.com/drive/folders/10T2cTQHqEJZqE-st6uFKPoI?usp=share_link" TargetMode="External"/><Relationship Id="rId4252" Type="http://schemas.openxmlformats.org/officeDocument/2006/relationships/hyperlink" Target="https://drive.google.com/drive/folders/10T2cTQHqEJZqE-st6uFKPoI?usp=share_link" TargetMode="External"/><Relationship Id="rId5586" Type="http://schemas.openxmlformats.org/officeDocument/2006/relationships/hyperlink" Target="https://drive.google.com/drive/folders/10T2cTQHqEJZqE-st6uFKPoI?usp=share_link" TargetMode="External"/><Relationship Id="rId4255" Type="http://schemas.openxmlformats.org/officeDocument/2006/relationships/hyperlink" Target="https://drive.google.com/drive/folders/10T2cTQHqEJZqE-st6uFKPoI?usp=share_link" TargetMode="External"/><Relationship Id="rId5583" Type="http://schemas.openxmlformats.org/officeDocument/2006/relationships/hyperlink" Target="https://drive.google.com/drive/folders/10T2cTQHqEJZqE-st6uFKPoI?usp=share_link" TargetMode="External"/><Relationship Id="rId4254" Type="http://schemas.openxmlformats.org/officeDocument/2006/relationships/hyperlink" Target="https://drive.google.com/drive/folders/10T2cTQHqEJZqE-st6uFKPoI?usp=share_link" TargetMode="External"/><Relationship Id="rId5584" Type="http://schemas.openxmlformats.org/officeDocument/2006/relationships/hyperlink" Target="https://drive.google.com/drive/folders/10T2cTQHqEJZqE-st6uFKPoI?usp=share_link" TargetMode="External"/><Relationship Id="rId4257" Type="http://schemas.openxmlformats.org/officeDocument/2006/relationships/hyperlink" Target="https://drive.google.com/drive/folders/10T2cTQHqEJZqE-st6uFKPoI?usp=share_link" TargetMode="External"/><Relationship Id="rId5589" Type="http://schemas.openxmlformats.org/officeDocument/2006/relationships/hyperlink" Target="https://drive.google.com/drive/folders/10T2cTQHqEJZqE-st6uFKPoI?usp=share_link" TargetMode="External"/><Relationship Id="rId4256" Type="http://schemas.openxmlformats.org/officeDocument/2006/relationships/hyperlink" Target="https://drive.google.com/drive/folders/10T2cTQHqEJZqE-st6uFKPoI?usp=share_link" TargetMode="External"/><Relationship Id="rId4259" Type="http://schemas.openxmlformats.org/officeDocument/2006/relationships/hyperlink" Target="https://drive.google.com/drive/folders/10T2cTQHqEJZqE-st6uFKPoI?usp=share_link" TargetMode="External"/><Relationship Id="rId5587" Type="http://schemas.openxmlformats.org/officeDocument/2006/relationships/hyperlink" Target="https://drive.google.com/drive/folders/10T2cTQHqEJZqE-st6uFKPoI?usp=share_link" TargetMode="External"/><Relationship Id="rId4258" Type="http://schemas.openxmlformats.org/officeDocument/2006/relationships/hyperlink" Target="https://drive.google.com/drive/folders/10T2cTQHqEJZqE-st6uFKPoI?usp=share_link" TargetMode="External"/><Relationship Id="rId5588" Type="http://schemas.openxmlformats.org/officeDocument/2006/relationships/hyperlink" Target="https://drive.google.com/drive/folders/10T2cTQHqEJZqE-st6uFKPoI?usp=share_link" TargetMode="External"/><Relationship Id="rId3810" Type="http://schemas.openxmlformats.org/officeDocument/2006/relationships/hyperlink" Target="https://drive.google.com/drive/folders/10T2cTQHqEJZqE-st6uFKPoI?usp=share_link" TargetMode="External"/><Relationship Id="rId3812" Type="http://schemas.openxmlformats.org/officeDocument/2006/relationships/hyperlink" Target="https://drive.google.com/drive/folders/10T2cTQHqEJZqE-st6uFKPoI?usp=share_link" TargetMode="External"/><Relationship Id="rId3811" Type="http://schemas.openxmlformats.org/officeDocument/2006/relationships/hyperlink" Target="https://drive.google.com/drive/folders/10T2cTQHqEJZqE-st6uFKPoI?usp=share_link" TargetMode="External"/><Relationship Id="rId3814" Type="http://schemas.openxmlformats.org/officeDocument/2006/relationships/hyperlink" Target="https://drive.google.com/drive/folders/10T2cTQHqEJZqE-st6uFKPoI?usp=share_link" TargetMode="External"/><Relationship Id="rId3813" Type="http://schemas.openxmlformats.org/officeDocument/2006/relationships/hyperlink" Target="https://drive.google.com/drive/folders/10T2cTQHqEJZqE-st6uFKPoI?usp=share_link" TargetMode="External"/><Relationship Id="rId3816" Type="http://schemas.openxmlformats.org/officeDocument/2006/relationships/hyperlink" Target="https://drive.google.com/drive/folders/10T2cTQHqEJZqE-st6uFKPoI?usp=share_link" TargetMode="External"/><Relationship Id="rId3815" Type="http://schemas.openxmlformats.org/officeDocument/2006/relationships/hyperlink" Target="https://drive.google.com/drive/folders/10T2cTQHqEJZqE-st6uFKPoI?usp=share_link" TargetMode="External"/><Relationship Id="rId3818" Type="http://schemas.openxmlformats.org/officeDocument/2006/relationships/hyperlink" Target="https://drive.google.com/drive/folders/10T2cTQHqEJZqE-st6uFKPoI?usp=share_link" TargetMode="External"/><Relationship Id="rId3817" Type="http://schemas.openxmlformats.org/officeDocument/2006/relationships/hyperlink" Target="https://drive.google.com/drive/folders/10T2cTQHqEJZqE-st6uFKPoI?usp=share_link" TargetMode="External"/><Relationship Id="rId3819" Type="http://schemas.openxmlformats.org/officeDocument/2006/relationships/hyperlink" Target="https://drive.google.com/drive/folders/10T2cTQHqEJZqE-st6uFKPoI?usp=share_link" TargetMode="External"/><Relationship Id="rId3801" Type="http://schemas.openxmlformats.org/officeDocument/2006/relationships/hyperlink" Target="https://drive.google.com/drive/folders/10T2cTQHqEJZqE-st6uFKPoI?usp=share_link" TargetMode="External"/><Relationship Id="rId3800" Type="http://schemas.openxmlformats.org/officeDocument/2006/relationships/hyperlink" Target="https://drive.google.com/drive/folders/10T2cTQHqEJZqE-st6uFKPoI?usp=share_link" TargetMode="External"/><Relationship Id="rId3803" Type="http://schemas.openxmlformats.org/officeDocument/2006/relationships/hyperlink" Target="https://drive.google.com/drive/folders/10T2cTQHqEJZqE-st6uFKPoI?usp=share_link" TargetMode="External"/><Relationship Id="rId3802" Type="http://schemas.openxmlformats.org/officeDocument/2006/relationships/hyperlink" Target="https://drive.google.com/drive/folders/10T2cTQHqEJZqE-st6uFKPoI?usp=share_link" TargetMode="External"/><Relationship Id="rId3805" Type="http://schemas.openxmlformats.org/officeDocument/2006/relationships/hyperlink" Target="https://drive.google.com/drive/folders/10T2cTQHqEJZqE-st6uFKPoI?usp=share_link" TargetMode="External"/><Relationship Id="rId3804" Type="http://schemas.openxmlformats.org/officeDocument/2006/relationships/hyperlink" Target="https://drive.google.com/drive/folders/10T2cTQHqEJZqE-st6uFKPoI?usp=share_link" TargetMode="External"/><Relationship Id="rId3807" Type="http://schemas.openxmlformats.org/officeDocument/2006/relationships/hyperlink" Target="https://drive.google.com/drive/folders/10T2cTQHqEJZqE-st6uFKPoI?usp=share_link" TargetMode="External"/><Relationship Id="rId3806" Type="http://schemas.openxmlformats.org/officeDocument/2006/relationships/hyperlink" Target="https://drive.google.com/drive/folders/10T2cTQHqEJZqE-st6uFKPoI?usp=share_link" TargetMode="External"/><Relationship Id="rId3809" Type="http://schemas.openxmlformats.org/officeDocument/2006/relationships/hyperlink" Target="https://drive.google.com/drive/folders/10T2cTQHqEJZqE-st6uFKPoI?usp=share_link" TargetMode="External"/><Relationship Id="rId3808" Type="http://schemas.openxmlformats.org/officeDocument/2006/relationships/hyperlink" Target="https://drive.google.com/drive/folders/10T2cTQHqEJZqE-st6uFKPoI?usp=share_link" TargetMode="External"/><Relationship Id="rId1213" Type="http://schemas.openxmlformats.org/officeDocument/2006/relationships/hyperlink" Target="https://drive.google.com/drive/folders/10T2cTQHqEJZqE-st6uFKPoI?usp=share_link" TargetMode="External"/><Relationship Id="rId2544" Type="http://schemas.openxmlformats.org/officeDocument/2006/relationships/hyperlink" Target="https://drive.google.com/drive/folders/10T2cTQHqEJZqE-st6uFKPoI?usp=share_link" TargetMode="External"/><Relationship Id="rId3876" Type="http://schemas.openxmlformats.org/officeDocument/2006/relationships/hyperlink" Target="https://drive.google.com/drive/folders/10T2cTQHqEJZqE-st6uFKPoI?usp=share_link" TargetMode="External"/><Relationship Id="rId1214" Type="http://schemas.openxmlformats.org/officeDocument/2006/relationships/hyperlink" Target="https://drive.google.com/drive/folders/10T2cTQHqEJZqE-st6uFKPoI?usp=share_link" TargetMode="External"/><Relationship Id="rId2545" Type="http://schemas.openxmlformats.org/officeDocument/2006/relationships/hyperlink" Target="https://drive.google.com/drive/folders/10T2cTQHqEJZqE-st6uFKPoI?usp=share_link" TargetMode="External"/><Relationship Id="rId3875" Type="http://schemas.openxmlformats.org/officeDocument/2006/relationships/hyperlink" Target="https://drive.google.com/drive/folders/10T2cTQHqEJZqE-st6uFKPoI?usp=share_link" TargetMode="External"/><Relationship Id="rId1215" Type="http://schemas.openxmlformats.org/officeDocument/2006/relationships/hyperlink" Target="https://drive.google.com/drive/folders/10T2cTQHqEJZqE-st6uFKPoI?usp=share_link" TargetMode="External"/><Relationship Id="rId2546" Type="http://schemas.openxmlformats.org/officeDocument/2006/relationships/hyperlink" Target="https://drive.google.com/drive/folders/10T2cTQHqEJZqE-st6uFKPoI?usp=share_link" TargetMode="External"/><Relationship Id="rId3878" Type="http://schemas.openxmlformats.org/officeDocument/2006/relationships/hyperlink" Target="https://drive.google.com/drive/folders/10T2cTQHqEJZqE-st6uFKPoI?usp=share_link" TargetMode="External"/><Relationship Id="rId1216" Type="http://schemas.openxmlformats.org/officeDocument/2006/relationships/hyperlink" Target="https://drive.google.com/drive/folders/10T2cTQHqEJZqE-st6uFKPoI?usp=share_link" TargetMode="External"/><Relationship Id="rId2547" Type="http://schemas.openxmlformats.org/officeDocument/2006/relationships/hyperlink" Target="https://drive.google.com/drive/folders/10T2cTQHqEJZqE-st6uFKPoI?usp=share_link" TargetMode="External"/><Relationship Id="rId3877" Type="http://schemas.openxmlformats.org/officeDocument/2006/relationships/hyperlink" Target="https://drive.google.com/drive/folders/10T2cTQHqEJZqE-st6uFKPoI?usp=share_link" TargetMode="External"/><Relationship Id="rId1217" Type="http://schemas.openxmlformats.org/officeDocument/2006/relationships/hyperlink" Target="https://drive.google.com/drive/folders/10T2cTQHqEJZqE-st6uFKPoI?usp=share_link" TargetMode="External"/><Relationship Id="rId2548" Type="http://schemas.openxmlformats.org/officeDocument/2006/relationships/hyperlink" Target="https://drive.google.com/drive/folders/10T2cTQHqEJZqE-st6uFKPoI?usp=share_link" TargetMode="External"/><Relationship Id="rId1218" Type="http://schemas.openxmlformats.org/officeDocument/2006/relationships/hyperlink" Target="https://drive.google.com/drive/folders/10T2cTQHqEJZqE-st6uFKPoI?usp=share_link" TargetMode="External"/><Relationship Id="rId2549" Type="http://schemas.openxmlformats.org/officeDocument/2006/relationships/hyperlink" Target="https://drive.google.com/drive/folders/10T2cTQHqEJZqE-st6uFKPoI?usp=share_link" TargetMode="External"/><Relationship Id="rId3879" Type="http://schemas.openxmlformats.org/officeDocument/2006/relationships/hyperlink" Target="https://drive.google.com/drive/folders/10T2cTQHqEJZqE-st6uFKPoI?usp=share_link" TargetMode="External"/><Relationship Id="rId1219" Type="http://schemas.openxmlformats.org/officeDocument/2006/relationships/hyperlink" Target="https://drive.google.com/drive/folders/10T2cTQHqEJZqE-st6uFKPoI?usp=share_link" TargetMode="External"/><Relationship Id="rId3870" Type="http://schemas.openxmlformats.org/officeDocument/2006/relationships/hyperlink" Target="https://drive.google.com/drive/folders/10T2cTQHqEJZqE-st6uFKPoI?usp=share_link" TargetMode="External"/><Relationship Id="rId2540" Type="http://schemas.openxmlformats.org/officeDocument/2006/relationships/hyperlink" Target="https://drive.google.com/drive/folders/10T2cTQHqEJZqE-st6uFKPoI?usp=share_link" TargetMode="External"/><Relationship Id="rId3872" Type="http://schemas.openxmlformats.org/officeDocument/2006/relationships/hyperlink" Target="https://drive.google.com/drive/folders/10T2cTQHqEJZqE-st6uFKPoI?usp=share_link" TargetMode="External"/><Relationship Id="rId1210" Type="http://schemas.openxmlformats.org/officeDocument/2006/relationships/hyperlink" Target="https://drive.google.com/drive/folders/10T2cTQHqEJZqE-st6uFKPoI?usp=share_link" TargetMode="External"/><Relationship Id="rId2541" Type="http://schemas.openxmlformats.org/officeDocument/2006/relationships/hyperlink" Target="https://drive.google.com/drive/folders/10T2cTQHqEJZqE-st6uFKPoI?usp=share_link" TargetMode="External"/><Relationship Id="rId3871" Type="http://schemas.openxmlformats.org/officeDocument/2006/relationships/hyperlink" Target="https://drive.google.com/drive/folders/10T2cTQHqEJZqE-st6uFKPoI?usp=share_link" TargetMode="External"/><Relationship Id="rId1211" Type="http://schemas.openxmlformats.org/officeDocument/2006/relationships/hyperlink" Target="https://drive.google.com/drive/folders/10T2cTQHqEJZqE-st6uFKPoI?usp=share_link" TargetMode="External"/><Relationship Id="rId2542" Type="http://schemas.openxmlformats.org/officeDocument/2006/relationships/hyperlink" Target="https://drive.google.com/drive/folders/10T2cTQHqEJZqE-st6uFKPoI?usp=share_link" TargetMode="External"/><Relationship Id="rId3874" Type="http://schemas.openxmlformats.org/officeDocument/2006/relationships/hyperlink" Target="https://drive.google.com/drive/folders/10T2cTQHqEJZqE-st6uFKPoI?usp=share_link" TargetMode="External"/><Relationship Id="rId1212" Type="http://schemas.openxmlformats.org/officeDocument/2006/relationships/hyperlink" Target="https://drive.google.com/drive/folders/10T2cTQHqEJZqE-st6uFKPoI?usp=share_link" TargetMode="External"/><Relationship Id="rId2543" Type="http://schemas.openxmlformats.org/officeDocument/2006/relationships/hyperlink" Target="https://drive.google.com/drive/folders/10T2cTQHqEJZqE-st6uFKPoI?usp=share_link" TargetMode="External"/><Relationship Id="rId3873" Type="http://schemas.openxmlformats.org/officeDocument/2006/relationships/hyperlink" Target="https://drive.google.com/drive/folders/10T2cTQHqEJZqE-st6uFKPoI?usp=share_link" TargetMode="External"/><Relationship Id="rId1202" Type="http://schemas.openxmlformats.org/officeDocument/2006/relationships/hyperlink" Target="https://drive.google.com/drive/folders/10T2cTQHqEJZqE-st6uFKPoI?usp=share_link" TargetMode="External"/><Relationship Id="rId2533" Type="http://schemas.openxmlformats.org/officeDocument/2006/relationships/hyperlink" Target="https://drive.google.com/drive/folders/10T2cTQHqEJZqE-st6uFKPoI?usp=share_link" TargetMode="External"/><Relationship Id="rId3865" Type="http://schemas.openxmlformats.org/officeDocument/2006/relationships/hyperlink" Target="https://drive.google.com/drive/folders/10T2cTQHqEJZqE-st6uFKPoI?usp=share_link" TargetMode="External"/><Relationship Id="rId1203" Type="http://schemas.openxmlformats.org/officeDocument/2006/relationships/hyperlink" Target="https://drive.google.com/drive/folders/10T2cTQHqEJZqE-st6uFKPoI?usp=share_link" TargetMode="External"/><Relationship Id="rId2534" Type="http://schemas.openxmlformats.org/officeDocument/2006/relationships/hyperlink" Target="https://drive.google.com/drive/folders/10T2cTQHqEJZqE-st6uFKPoI?usp=share_link" TargetMode="External"/><Relationship Id="rId3864" Type="http://schemas.openxmlformats.org/officeDocument/2006/relationships/hyperlink" Target="https://drive.google.com/drive/folders/10T2cTQHqEJZqE-st6uFKPoI?usp=share_link" TargetMode="External"/><Relationship Id="rId1204" Type="http://schemas.openxmlformats.org/officeDocument/2006/relationships/hyperlink" Target="https://drive.google.com/drive/folders/10T2cTQHqEJZqE-st6uFKPoI?usp=share_link" TargetMode="External"/><Relationship Id="rId2535" Type="http://schemas.openxmlformats.org/officeDocument/2006/relationships/hyperlink" Target="https://drive.google.com/drive/folders/10T2cTQHqEJZqE-st6uFKPoI?usp=share_link" TargetMode="External"/><Relationship Id="rId3867" Type="http://schemas.openxmlformats.org/officeDocument/2006/relationships/hyperlink" Target="https://drive.google.com/drive/folders/10T2cTQHqEJZqE-st6uFKPoI?usp=share_link" TargetMode="External"/><Relationship Id="rId1205" Type="http://schemas.openxmlformats.org/officeDocument/2006/relationships/hyperlink" Target="https://drive.google.com/drive/folders/10T2cTQHqEJZqE-st6uFKPoI?usp=share_link" TargetMode="External"/><Relationship Id="rId2536" Type="http://schemas.openxmlformats.org/officeDocument/2006/relationships/hyperlink" Target="https://drive.google.com/drive/folders/10T2cTQHqEJZqE-st6uFKPoI?usp=share_link" TargetMode="External"/><Relationship Id="rId3866" Type="http://schemas.openxmlformats.org/officeDocument/2006/relationships/hyperlink" Target="https://drive.google.com/drive/folders/10T2cTQHqEJZqE-st6uFKPoI?usp=share_link" TargetMode="External"/><Relationship Id="rId1206" Type="http://schemas.openxmlformats.org/officeDocument/2006/relationships/hyperlink" Target="https://drive.google.com/drive/folders/10T2cTQHqEJZqE-st6uFKPoI?usp=share_link" TargetMode="External"/><Relationship Id="rId2537" Type="http://schemas.openxmlformats.org/officeDocument/2006/relationships/hyperlink" Target="https://drive.google.com/drive/folders/10T2cTQHqEJZqE-st6uFKPoI?usp=share_link" TargetMode="External"/><Relationship Id="rId3869" Type="http://schemas.openxmlformats.org/officeDocument/2006/relationships/hyperlink" Target="https://drive.google.com/drive/folders/10T2cTQHqEJZqE-st6uFKPoI?usp=share_link" TargetMode="External"/><Relationship Id="rId1207" Type="http://schemas.openxmlformats.org/officeDocument/2006/relationships/hyperlink" Target="https://drive.google.com/drive/folders/10T2cTQHqEJZqE-st6uFKPoI?usp=share_link" TargetMode="External"/><Relationship Id="rId2538" Type="http://schemas.openxmlformats.org/officeDocument/2006/relationships/hyperlink" Target="https://drive.google.com/drive/folders/10T2cTQHqEJZqE-st6uFKPoI?usp=share_link" TargetMode="External"/><Relationship Id="rId3868" Type="http://schemas.openxmlformats.org/officeDocument/2006/relationships/hyperlink" Target="https://drive.google.com/drive/folders/10T2cTQHqEJZqE-st6uFKPoI?usp=share_link" TargetMode="External"/><Relationship Id="rId1208" Type="http://schemas.openxmlformats.org/officeDocument/2006/relationships/hyperlink" Target="https://drive.google.com/drive/folders/10T2cTQHqEJZqE-st6uFKPoI?usp=share_link" TargetMode="External"/><Relationship Id="rId2539" Type="http://schemas.openxmlformats.org/officeDocument/2006/relationships/hyperlink" Target="https://drive.google.com/drive/folders/10T2cTQHqEJZqE-st6uFKPoI?usp=share_link" TargetMode="External"/><Relationship Id="rId1209" Type="http://schemas.openxmlformats.org/officeDocument/2006/relationships/hyperlink" Target="https://drive.google.com/drive/folders/10T2cTQHqEJZqE-st6uFKPoI?usp=share_link" TargetMode="External"/><Relationship Id="rId3861" Type="http://schemas.openxmlformats.org/officeDocument/2006/relationships/hyperlink" Target="https://drive.google.com/drive/folders/10T2cTQHqEJZqE-st6uFKPoI?usp=share_link" TargetMode="External"/><Relationship Id="rId2530" Type="http://schemas.openxmlformats.org/officeDocument/2006/relationships/hyperlink" Target="https://drive.google.com/drive/folders/10T2cTQHqEJZqE-st6uFKPoI?usp=share_link" TargetMode="External"/><Relationship Id="rId3860" Type="http://schemas.openxmlformats.org/officeDocument/2006/relationships/hyperlink" Target="https://drive.google.com/drive/folders/10T2cTQHqEJZqE-st6uFKPoI?usp=share_link" TargetMode="External"/><Relationship Id="rId1200" Type="http://schemas.openxmlformats.org/officeDocument/2006/relationships/hyperlink" Target="https://drive.google.com/drive/folders/10T2cTQHqEJZqE-st6uFKPoI?usp=share_link" TargetMode="External"/><Relationship Id="rId2531" Type="http://schemas.openxmlformats.org/officeDocument/2006/relationships/hyperlink" Target="https://drive.google.com/drive/folders/10T2cTQHqEJZqE-st6uFKPoI?usp=share_link" TargetMode="External"/><Relationship Id="rId3863" Type="http://schemas.openxmlformats.org/officeDocument/2006/relationships/hyperlink" Target="https://drive.google.com/drive/folders/10T2cTQHqEJZqE-st6uFKPoI?usp=share_link" TargetMode="External"/><Relationship Id="rId1201" Type="http://schemas.openxmlformats.org/officeDocument/2006/relationships/hyperlink" Target="https://drive.google.com/drive/folders/10T2cTQHqEJZqE-st6uFKPoI?usp=share_link" TargetMode="External"/><Relationship Id="rId2532" Type="http://schemas.openxmlformats.org/officeDocument/2006/relationships/hyperlink" Target="https://drive.google.com/drive/folders/10T2cTQHqEJZqE-st6uFKPoI?usp=share_link" TargetMode="External"/><Relationship Id="rId3862" Type="http://schemas.openxmlformats.org/officeDocument/2006/relationships/hyperlink" Target="https://drive.google.com/drive/folders/10T2cTQHqEJZqE-st6uFKPoI?usp=share_link" TargetMode="External"/><Relationship Id="rId1235" Type="http://schemas.openxmlformats.org/officeDocument/2006/relationships/hyperlink" Target="https://drive.google.com/drive/folders/10T2cTQHqEJZqE-st6uFKPoI?usp=share_link" TargetMode="External"/><Relationship Id="rId2566" Type="http://schemas.openxmlformats.org/officeDocument/2006/relationships/hyperlink" Target="https://drive.google.com/drive/folders/10T2cTQHqEJZqE-st6uFKPoI?usp=share_link" TargetMode="External"/><Relationship Id="rId3898" Type="http://schemas.openxmlformats.org/officeDocument/2006/relationships/hyperlink" Target="https://drive.google.com/drive/folders/10T2cTQHqEJZqE-st6uFKPoI?usp=share_link" TargetMode="External"/><Relationship Id="rId1236" Type="http://schemas.openxmlformats.org/officeDocument/2006/relationships/hyperlink" Target="https://drive.google.com/drive/folders/10T2cTQHqEJZqE-st6uFKPoI?usp=share_link" TargetMode="External"/><Relationship Id="rId2567" Type="http://schemas.openxmlformats.org/officeDocument/2006/relationships/hyperlink" Target="https://drive.google.com/drive/folders/10T2cTQHqEJZqE-st6uFKPoI?usp=share_link" TargetMode="External"/><Relationship Id="rId3897" Type="http://schemas.openxmlformats.org/officeDocument/2006/relationships/hyperlink" Target="https://drive.google.com/drive/folders/10T2cTQHqEJZqE-st6uFKPoI?usp=share_link" TargetMode="External"/><Relationship Id="rId1237" Type="http://schemas.openxmlformats.org/officeDocument/2006/relationships/hyperlink" Target="https://drive.google.com/drive/folders/10T2cTQHqEJZqE-st6uFKPoI?usp=share_link" TargetMode="External"/><Relationship Id="rId2568" Type="http://schemas.openxmlformats.org/officeDocument/2006/relationships/hyperlink" Target="https://drive.google.com/drive/folders/10T2cTQHqEJZqE-st6uFKPoI?usp=share_link" TargetMode="External"/><Relationship Id="rId1238" Type="http://schemas.openxmlformats.org/officeDocument/2006/relationships/hyperlink" Target="https://drive.google.com/drive/folders/10T2cTQHqEJZqE-st6uFKPoI?usp=share_link" TargetMode="External"/><Relationship Id="rId2569" Type="http://schemas.openxmlformats.org/officeDocument/2006/relationships/hyperlink" Target="https://drive.google.com/drive/folders/10T2cTQHqEJZqE-st6uFKPoI?usp=share_link" TargetMode="External"/><Relationship Id="rId3899" Type="http://schemas.openxmlformats.org/officeDocument/2006/relationships/hyperlink" Target="https://drive.google.com/drive/folders/10T2cTQHqEJZqE-st6uFKPoI?usp=share_link" TargetMode="External"/><Relationship Id="rId1239" Type="http://schemas.openxmlformats.org/officeDocument/2006/relationships/hyperlink" Target="https://drive.google.com/drive/folders/10T2cTQHqEJZqE-st6uFKPoI?usp=share_link" TargetMode="External"/><Relationship Id="rId409" Type="http://schemas.openxmlformats.org/officeDocument/2006/relationships/hyperlink" Target="https://drive.google.com/drive/folders/10T2cTQHqEJZqE-st6uFKPoI?usp=share_link" TargetMode="External"/><Relationship Id="rId404" Type="http://schemas.openxmlformats.org/officeDocument/2006/relationships/hyperlink" Target="https://drive.google.com/drive/folders/10T2cTQHqEJZqE-st6uFKPoI?usp=share_link" TargetMode="External"/><Relationship Id="rId403" Type="http://schemas.openxmlformats.org/officeDocument/2006/relationships/hyperlink" Target="https://drive.google.com/drive/folders/10T2cTQHqEJZqE-st6uFKPoI?usp=share_link" TargetMode="External"/><Relationship Id="rId402" Type="http://schemas.openxmlformats.org/officeDocument/2006/relationships/hyperlink" Target="https://drive.google.com/drive/folders/10T2cTQHqEJZqE-st6uFKPoI?usp=share_link" TargetMode="External"/><Relationship Id="rId401" Type="http://schemas.openxmlformats.org/officeDocument/2006/relationships/hyperlink" Target="https://drive.google.com/drive/folders/10T2cTQHqEJZqE-st6uFKPoI?usp=share_link" TargetMode="External"/><Relationship Id="rId408" Type="http://schemas.openxmlformats.org/officeDocument/2006/relationships/hyperlink" Target="https://drive.google.com/drive/folders/10T2cTQHqEJZqE-st6uFKPoI?usp=share_link" TargetMode="External"/><Relationship Id="rId407" Type="http://schemas.openxmlformats.org/officeDocument/2006/relationships/hyperlink" Target="https://drive.google.com/drive/folders/10T2cTQHqEJZqE-st6uFKPoI?usp=share_link" TargetMode="External"/><Relationship Id="rId406" Type="http://schemas.openxmlformats.org/officeDocument/2006/relationships/hyperlink" Target="https://drive.google.com/drive/folders/10T2cTQHqEJZqE-st6uFKPoI?usp=share_link" TargetMode="External"/><Relationship Id="rId405" Type="http://schemas.openxmlformats.org/officeDocument/2006/relationships/hyperlink" Target="https://drive.google.com/drive/folders/10T2cTQHqEJZqE-st6uFKPoI?usp=share_link" TargetMode="External"/><Relationship Id="rId3890" Type="http://schemas.openxmlformats.org/officeDocument/2006/relationships/hyperlink" Target="https://drive.google.com/drive/folders/10T2cTQHqEJZqE-st6uFKPoI?usp=share_link" TargetMode="External"/><Relationship Id="rId2560" Type="http://schemas.openxmlformats.org/officeDocument/2006/relationships/hyperlink" Target="https://drive.google.com/drive/folders/10T2cTQHqEJZqE-st6uFKPoI?usp=share_link" TargetMode="External"/><Relationship Id="rId3892" Type="http://schemas.openxmlformats.org/officeDocument/2006/relationships/hyperlink" Target="https://drive.google.com/drive/folders/10T2cTQHqEJZqE-st6uFKPoI?usp=share_link" TargetMode="External"/><Relationship Id="rId1230" Type="http://schemas.openxmlformats.org/officeDocument/2006/relationships/hyperlink" Target="https://drive.google.com/drive/folders/10T2cTQHqEJZqE-st6uFKPoI?usp=share_link" TargetMode="External"/><Relationship Id="rId2561" Type="http://schemas.openxmlformats.org/officeDocument/2006/relationships/hyperlink" Target="https://drive.google.com/drive/folders/10T2cTQHqEJZqE-st6uFKPoI?usp=share_link" TargetMode="External"/><Relationship Id="rId3891" Type="http://schemas.openxmlformats.org/officeDocument/2006/relationships/hyperlink" Target="https://drive.google.com/drive/folders/10T2cTQHqEJZqE-st6uFKPoI?usp=share_link" TargetMode="External"/><Relationship Id="rId400" Type="http://schemas.openxmlformats.org/officeDocument/2006/relationships/hyperlink" Target="https://drive.google.com/drive/folders/10T2cTQHqEJZqE-st6uFKPoI?usp=share_link" TargetMode="External"/><Relationship Id="rId1231" Type="http://schemas.openxmlformats.org/officeDocument/2006/relationships/hyperlink" Target="https://drive.google.com/drive/folders/10T2cTQHqEJZqE-st6uFKPoI?usp=share_link" TargetMode="External"/><Relationship Id="rId2562" Type="http://schemas.openxmlformats.org/officeDocument/2006/relationships/hyperlink" Target="https://drive.google.com/drive/folders/10T2cTQHqEJZqE-st6uFKPoI?usp=share_link" TargetMode="External"/><Relationship Id="rId3894" Type="http://schemas.openxmlformats.org/officeDocument/2006/relationships/hyperlink" Target="https://drive.google.com/drive/folders/10T2cTQHqEJZqE-st6uFKPoI?usp=share_link" TargetMode="External"/><Relationship Id="rId1232" Type="http://schemas.openxmlformats.org/officeDocument/2006/relationships/hyperlink" Target="https://drive.google.com/drive/folders/10T2cTQHqEJZqE-st6uFKPoI?usp=share_link" TargetMode="External"/><Relationship Id="rId2563" Type="http://schemas.openxmlformats.org/officeDocument/2006/relationships/hyperlink" Target="https://drive.google.com/drive/folders/10T2cTQHqEJZqE-st6uFKPoI?usp=share_link" TargetMode="External"/><Relationship Id="rId3893" Type="http://schemas.openxmlformats.org/officeDocument/2006/relationships/hyperlink" Target="https://drive.google.com/drive/folders/10T2cTQHqEJZqE-st6uFKPoI?usp=share_link" TargetMode="External"/><Relationship Id="rId1233" Type="http://schemas.openxmlformats.org/officeDocument/2006/relationships/hyperlink" Target="https://drive.google.com/drive/folders/10T2cTQHqEJZqE-st6uFKPoI?usp=share_link" TargetMode="External"/><Relationship Id="rId2564" Type="http://schemas.openxmlformats.org/officeDocument/2006/relationships/hyperlink" Target="https://drive.google.com/drive/folders/10T2cTQHqEJZqE-st6uFKPoI?usp=share_link" TargetMode="External"/><Relationship Id="rId3896" Type="http://schemas.openxmlformats.org/officeDocument/2006/relationships/hyperlink" Target="https://drive.google.com/drive/folders/10T2cTQHqEJZqE-st6uFKPoI?usp=share_link" TargetMode="External"/><Relationship Id="rId1234" Type="http://schemas.openxmlformats.org/officeDocument/2006/relationships/hyperlink" Target="https://drive.google.com/drive/folders/10T2cTQHqEJZqE-st6uFKPoI?usp=share_link" TargetMode="External"/><Relationship Id="rId2565" Type="http://schemas.openxmlformats.org/officeDocument/2006/relationships/hyperlink" Target="https://drive.google.com/drive/folders/10T2cTQHqEJZqE-st6uFKPoI?usp=share_link" TargetMode="External"/><Relationship Id="rId3895" Type="http://schemas.openxmlformats.org/officeDocument/2006/relationships/hyperlink" Target="https://drive.google.com/drive/folders/10T2cTQHqEJZqE-st6uFKPoI?usp=share_link" TargetMode="External"/><Relationship Id="rId1224" Type="http://schemas.openxmlformats.org/officeDocument/2006/relationships/hyperlink" Target="https://drive.google.com/drive/folders/10T2cTQHqEJZqE-st6uFKPoI?usp=share_link" TargetMode="External"/><Relationship Id="rId2555" Type="http://schemas.openxmlformats.org/officeDocument/2006/relationships/hyperlink" Target="https://drive.google.com/drive/folders/10T2cTQHqEJZqE-st6uFKPoI?usp=share_link" TargetMode="External"/><Relationship Id="rId3887" Type="http://schemas.openxmlformats.org/officeDocument/2006/relationships/hyperlink" Target="https://drive.google.com/drive/folders/10T2cTQHqEJZqE-st6uFKPoI?usp=share_link" TargetMode="External"/><Relationship Id="rId1225" Type="http://schemas.openxmlformats.org/officeDocument/2006/relationships/hyperlink" Target="https://drive.google.com/drive/folders/10T2cTQHqEJZqE-st6uFKPoI?usp=share_link" TargetMode="External"/><Relationship Id="rId2556" Type="http://schemas.openxmlformats.org/officeDocument/2006/relationships/hyperlink" Target="https://drive.google.com/drive/folders/10T2cTQHqEJZqE-st6uFKPoI?usp=share_link" TargetMode="External"/><Relationship Id="rId3886" Type="http://schemas.openxmlformats.org/officeDocument/2006/relationships/hyperlink" Target="https://drive.google.com/drive/folders/10T2cTQHqEJZqE-st6uFKPoI?usp=share_link" TargetMode="External"/><Relationship Id="rId1226" Type="http://schemas.openxmlformats.org/officeDocument/2006/relationships/hyperlink" Target="https://drive.google.com/drive/folders/10T2cTQHqEJZqE-st6uFKPoI?usp=share_link" TargetMode="External"/><Relationship Id="rId2557" Type="http://schemas.openxmlformats.org/officeDocument/2006/relationships/hyperlink" Target="https://drive.google.com/drive/folders/10T2cTQHqEJZqE-st6uFKPoI?usp=share_link" TargetMode="External"/><Relationship Id="rId3889" Type="http://schemas.openxmlformats.org/officeDocument/2006/relationships/hyperlink" Target="https://drive.google.com/drive/folders/10T2cTQHqEJZqE-st6uFKPoI?usp=share_link" TargetMode="External"/><Relationship Id="rId1227" Type="http://schemas.openxmlformats.org/officeDocument/2006/relationships/hyperlink" Target="https://drive.google.com/drive/folders/10T2cTQHqEJZqE-st6uFKPoI?usp=share_link" TargetMode="External"/><Relationship Id="rId2558" Type="http://schemas.openxmlformats.org/officeDocument/2006/relationships/hyperlink" Target="https://drive.google.com/drive/folders/10T2cTQHqEJZqE-st6uFKPoI?usp=share_link" TargetMode="External"/><Relationship Id="rId3888" Type="http://schemas.openxmlformats.org/officeDocument/2006/relationships/hyperlink" Target="https://drive.google.com/drive/folders/10T2cTQHqEJZqE-st6uFKPoI?usp=share_link" TargetMode="External"/><Relationship Id="rId1228" Type="http://schemas.openxmlformats.org/officeDocument/2006/relationships/hyperlink" Target="https://drive.google.com/drive/folders/10T2cTQHqEJZqE-st6uFKPoI?usp=share_link" TargetMode="External"/><Relationship Id="rId2559" Type="http://schemas.openxmlformats.org/officeDocument/2006/relationships/hyperlink" Target="https://drive.google.com/drive/folders/10T2cTQHqEJZqE-st6uFKPoI?usp=share_link" TargetMode="External"/><Relationship Id="rId1229" Type="http://schemas.openxmlformats.org/officeDocument/2006/relationships/hyperlink" Target="https://drive.google.com/drive/folders/10T2cTQHqEJZqE-st6uFKPoI?usp=share_link" TargetMode="External"/><Relationship Id="rId3881" Type="http://schemas.openxmlformats.org/officeDocument/2006/relationships/hyperlink" Target="https://drive.google.com/drive/folders/10T2cTQHqEJZqE-st6uFKPoI?usp=share_link" TargetMode="External"/><Relationship Id="rId2550" Type="http://schemas.openxmlformats.org/officeDocument/2006/relationships/hyperlink" Target="https://drive.google.com/drive/folders/10T2cTQHqEJZqE-st6uFKPoI?usp=share_link" TargetMode="External"/><Relationship Id="rId3880" Type="http://schemas.openxmlformats.org/officeDocument/2006/relationships/hyperlink" Target="https://drive.google.com/drive/folders/10T2cTQHqEJZqE-st6uFKPoI?usp=share_link" TargetMode="External"/><Relationship Id="rId1220" Type="http://schemas.openxmlformats.org/officeDocument/2006/relationships/hyperlink" Target="https://drive.google.com/drive/folders/10T2cTQHqEJZqE-st6uFKPoI?usp=share_link" TargetMode="External"/><Relationship Id="rId2551" Type="http://schemas.openxmlformats.org/officeDocument/2006/relationships/hyperlink" Target="https://drive.google.com/drive/folders/10T2cTQHqEJZqE-st6uFKPoI?usp=share_link" TargetMode="External"/><Relationship Id="rId3883" Type="http://schemas.openxmlformats.org/officeDocument/2006/relationships/hyperlink" Target="https://drive.google.com/drive/folders/10T2cTQHqEJZqE-st6uFKPoI?usp=share_link" TargetMode="External"/><Relationship Id="rId1221" Type="http://schemas.openxmlformats.org/officeDocument/2006/relationships/hyperlink" Target="https://drive.google.com/drive/folders/10T2cTQHqEJZqE-st6uFKPoI?usp=share_link" TargetMode="External"/><Relationship Id="rId2552" Type="http://schemas.openxmlformats.org/officeDocument/2006/relationships/hyperlink" Target="https://drive.google.com/drive/folders/10T2cTQHqEJZqE-st6uFKPoI?usp=share_link" TargetMode="External"/><Relationship Id="rId3882" Type="http://schemas.openxmlformats.org/officeDocument/2006/relationships/hyperlink" Target="https://drive.google.com/drive/folders/10T2cTQHqEJZqE-st6uFKPoI?usp=share_link" TargetMode="External"/><Relationship Id="rId1222" Type="http://schemas.openxmlformats.org/officeDocument/2006/relationships/hyperlink" Target="https://drive.google.com/drive/folders/10T2cTQHqEJZqE-st6uFKPoI?usp=share_link" TargetMode="External"/><Relationship Id="rId2553" Type="http://schemas.openxmlformats.org/officeDocument/2006/relationships/hyperlink" Target="https://drive.google.com/drive/folders/10T2cTQHqEJZqE-st6uFKPoI?usp=share_link" TargetMode="External"/><Relationship Id="rId3885" Type="http://schemas.openxmlformats.org/officeDocument/2006/relationships/hyperlink" Target="https://drive.google.com/drive/folders/10T2cTQHqEJZqE-st6uFKPoI?usp=share_link" TargetMode="External"/><Relationship Id="rId1223" Type="http://schemas.openxmlformats.org/officeDocument/2006/relationships/hyperlink" Target="https://drive.google.com/drive/folders/10T2cTQHqEJZqE-st6uFKPoI?usp=share_link" TargetMode="External"/><Relationship Id="rId2554" Type="http://schemas.openxmlformats.org/officeDocument/2006/relationships/hyperlink" Target="https://drive.google.com/drive/folders/10T2cTQHqEJZqE-st6uFKPoI?usp=share_link" TargetMode="External"/><Relationship Id="rId3884" Type="http://schemas.openxmlformats.org/officeDocument/2006/relationships/hyperlink" Target="https://drive.google.com/drive/folders/10T2cTQHqEJZqE-st6uFKPoI?usp=share_link" TargetMode="External"/><Relationship Id="rId2500" Type="http://schemas.openxmlformats.org/officeDocument/2006/relationships/hyperlink" Target="https://drive.google.com/drive/folders/10T2cTQHqEJZqE-st6uFKPoI?usp=share_link" TargetMode="External"/><Relationship Id="rId3832" Type="http://schemas.openxmlformats.org/officeDocument/2006/relationships/hyperlink" Target="https://drive.google.com/drive/folders/10T2cTQHqEJZqE-st6uFKPoI?usp=share_link" TargetMode="External"/><Relationship Id="rId2501" Type="http://schemas.openxmlformats.org/officeDocument/2006/relationships/hyperlink" Target="https://drive.google.com/drive/folders/10T2cTQHqEJZqE-st6uFKPoI?usp=share_link" TargetMode="External"/><Relationship Id="rId3831" Type="http://schemas.openxmlformats.org/officeDocument/2006/relationships/hyperlink" Target="https://drive.google.com/drive/folders/10T2cTQHqEJZqE-st6uFKPoI?usp=share_link" TargetMode="External"/><Relationship Id="rId2502" Type="http://schemas.openxmlformats.org/officeDocument/2006/relationships/hyperlink" Target="https://drive.google.com/drive/folders/10T2cTQHqEJZqE-st6uFKPoI?usp=share_link" TargetMode="External"/><Relationship Id="rId3834" Type="http://schemas.openxmlformats.org/officeDocument/2006/relationships/hyperlink" Target="https://drive.google.com/drive/folders/10T2cTQHqEJZqE-st6uFKPoI?usp=share_link" TargetMode="External"/><Relationship Id="rId2503" Type="http://schemas.openxmlformats.org/officeDocument/2006/relationships/hyperlink" Target="https://drive.google.com/drive/folders/10T2cTQHqEJZqE-st6uFKPoI?usp=share_link" TargetMode="External"/><Relationship Id="rId3833" Type="http://schemas.openxmlformats.org/officeDocument/2006/relationships/hyperlink" Target="https://drive.google.com/drive/folders/10T2cTQHqEJZqE-st6uFKPoI?usp=share_link" TargetMode="External"/><Relationship Id="rId2504" Type="http://schemas.openxmlformats.org/officeDocument/2006/relationships/hyperlink" Target="https://drive.google.com/drive/folders/10T2cTQHqEJZqE-st6uFKPoI?usp=share_link" TargetMode="External"/><Relationship Id="rId3836" Type="http://schemas.openxmlformats.org/officeDocument/2006/relationships/hyperlink" Target="https://drive.google.com/drive/folders/10T2cTQHqEJZqE-st6uFKPoI?usp=share_link" TargetMode="External"/><Relationship Id="rId2505" Type="http://schemas.openxmlformats.org/officeDocument/2006/relationships/hyperlink" Target="https://drive.google.com/drive/folders/10T2cTQHqEJZqE-st6uFKPoI?usp=share_link" TargetMode="External"/><Relationship Id="rId3835" Type="http://schemas.openxmlformats.org/officeDocument/2006/relationships/hyperlink" Target="https://drive.google.com/drive/folders/10T2cTQHqEJZqE-st6uFKPoI?usp=share_link" TargetMode="External"/><Relationship Id="rId2506" Type="http://schemas.openxmlformats.org/officeDocument/2006/relationships/hyperlink" Target="https://drive.google.com/drive/folders/10T2cTQHqEJZqE-st6uFKPoI?usp=share_link" TargetMode="External"/><Relationship Id="rId3838" Type="http://schemas.openxmlformats.org/officeDocument/2006/relationships/hyperlink" Target="https://drive.google.com/drive/folders/10T2cTQHqEJZqE-st6uFKPoI?usp=share_link" TargetMode="External"/><Relationship Id="rId2507" Type="http://schemas.openxmlformats.org/officeDocument/2006/relationships/hyperlink" Target="https://drive.google.com/drive/folders/10T2cTQHqEJZqE-st6uFKPoI?usp=share_link" TargetMode="External"/><Relationship Id="rId3837" Type="http://schemas.openxmlformats.org/officeDocument/2006/relationships/hyperlink" Target="https://drive.google.com/drive/folders/10T2cTQHqEJZqE-st6uFKPoI?usp=share_link" TargetMode="External"/><Relationship Id="rId2508" Type="http://schemas.openxmlformats.org/officeDocument/2006/relationships/hyperlink" Target="https://drive.google.com/drive/folders/10T2cTQHqEJZqE-st6uFKPoI?usp=share_link" TargetMode="External"/><Relationship Id="rId2509" Type="http://schemas.openxmlformats.org/officeDocument/2006/relationships/hyperlink" Target="https://drive.google.com/drive/folders/10T2cTQHqEJZqE-st6uFKPoI?usp=share_link" TargetMode="External"/><Relationship Id="rId3839" Type="http://schemas.openxmlformats.org/officeDocument/2006/relationships/hyperlink" Target="https://drive.google.com/drive/folders/10T2cTQHqEJZqE-st6uFKPoI?usp=share_link" TargetMode="External"/><Relationship Id="rId3830" Type="http://schemas.openxmlformats.org/officeDocument/2006/relationships/hyperlink" Target="https://drive.google.com/drive/folders/10T2cTQHqEJZqE-st6uFKPoI?usp=share_link" TargetMode="External"/><Relationship Id="rId3821" Type="http://schemas.openxmlformats.org/officeDocument/2006/relationships/hyperlink" Target="https://drive.google.com/drive/folders/10T2cTQHqEJZqE-st6uFKPoI?usp=share_link" TargetMode="External"/><Relationship Id="rId3820" Type="http://schemas.openxmlformats.org/officeDocument/2006/relationships/hyperlink" Target="https://drive.google.com/drive/folders/10T2cTQHqEJZqE-st6uFKPoI?usp=share_link" TargetMode="External"/><Relationship Id="rId3823" Type="http://schemas.openxmlformats.org/officeDocument/2006/relationships/hyperlink" Target="https://drive.google.com/drive/folders/10T2cTQHqEJZqE-st6uFKPoI?usp=share_link" TargetMode="External"/><Relationship Id="rId3822" Type="http://schemas.openxmlformats.org/officeDocument/2006/relationships/hyperlink" Target="https://drive.google.com/drive/folders/10T2cTQHqEJZqE-st6uFKPoI?usp=share_link" TargetMode="External"/><Relationship Id="rId3825" Type="http://schemas.openxmlformats.org/officeDocument/2006/relationships/hyperlink" Target="https://drive.google.com/drive/folders/10T2cTQHqEJZqE-st6uFKPoI?usp=share_link" TargetMode="External"/><Relationship Id="rId3824" Type="http://schemas.openxmlformats.org/officeDocument/2006/relationships/hyperlink" Target="https://drive.google.com/drive/folders/10T2cTQHqEJZqE-st6uFKPoI?usp=share_link" TargetMode="External"/><Relationship Id="rId3827" Type="http://schemas.openxmlformats.org/officeDocument/2006/relationships/hyperlink" Target="https://drive.google.com/drive/folders/10T2cTQHqEJZqE-st6uFKPoI?usp=share_link" TargetMode="External"/><Relationship Id="rId3826" Type="http://schemas.openxmlformats.org/officeDocument/2006/relationships/hyperlink" Target="https://drive.google.com/drive/folders/10T2cTQHqEJZqE-st6uFKPoI?usp=share_link" TargetMode="External"/><Relationship Id="rId3829" Type="http://schemas.openxmlformats.org/officeDocument/2006/relationships/hyperlink" Target="https://drive.google.com/drive/folders/10T2cTQHqEJZqE-st6uFKPoI?usp=share_link" TargetMode="External"/><Relationship Id="rId3828" Type="http://schemas.openxmlformats.org/officeDocument/2006/relationships/hyperlink" Target="https://drive.google.com/drive/folders/10T2cTQHqEJZqE-st6uFKPoI?usp=share_link" TargetMode="External"/><Relationship Id="rId2522" Type="http://schemas.openxmlformats.org/officeDocument/2006/relationships/hyperlink" Target="https://drive.google.com/drive/folders/10T2cTQHqEJZqE-st6uFKPoI?usp=share_link" TargetMode="External"/><Relationship Id="rId3854" Type="http://schemas.openxmlformats.org/officeDocument/2006/relationships/hyperlink" Target="https://drive.google.com/drive/folders/10T2cTQHqEJZqE-st6uFKPoI?usp=share_link" TargetMode="External"/><Relationship Id="rId2523" Type="http://schemas.openxmlformats.org/officeDocument/2006/relationships/hyperlink" Target="https://drive.google.com/drive/folders/10T2cTQHqEJZqE-st6uFKPoI?usp=share_link" TargetMode="External"/><Relationship Id="rId3853" Type="http://schemas.openxmlformats.org/officeDocument/2006/relationships/hyperlink" Target="https://drive.google.com/drive/folders/10T2cTQHqEJZqE-st6uFKPoI?usp=share_link" TargetMode="External"/><Relationship Id="rId2524" Type="http://schemas.openxmlformats.org/officeDocument/2006/relationships/hyperlink" Target="https://drive.google.com/drive/folders/10T2cTQHqEJZqE-st6uFKPoI?usp=share_link" TargetMode="External"/><Relationship Id="rId3856" Type="http://schemas.openxmlformats.org/officeDocument/2006/relationships/hyperlink" Target="https://drive.google.com/drive/folders/10T2cTQHqEJZqE-st6uFKPoI?usp=share_link" TargetMode="External"/><Relationship Id="rId2525" Type="http://schemas.openxmlformats.org/officeDocument/2006/relationships/hyperlink" Target="https://drive.google.com/drive/folders/10T2cTQHqEJZqE-st6uFKPoI?usp=share_link" TargetMode="External"/><Relationship Id="rId3855" Type="http://schemas.openxmlformats.org/officeDocument/2006/relationships/hyperlink" Target="https://drive.google.com/drive/folders/10T2cTQHqEJZqE-st6uFKPoI?usp=share_link" TargetMode="External"/><Relationship Id="rId2526" Type="http://schemas.openxmlformats.org/officeDocument/2006/relationships/hyperlink" Target="https://drive.google.com/drive/folders/10T2cTQHqEJZqE-st6uFKPoI?usp=share_link" TargetMode="External"/><Relationship Id="rId3858" Type="http://schemas.openxmlformats.org/officeDocument/2006/relationships/hyperlink" Target="https://drive.google.com/drive/folders/10T2cTQHqEJZqE-st6uFKPoI?usp=share_link" TargetMode="External"/><Relationship Id="rId2527" Type="http://schemas.openxmlformats.org/officeDocument/2006/relationships/hyperlink" Target="https://drive.google.com/drive/folders/10T2cTQHqEJZqE-st6uFKPoI?usp=share_link" TargetMode="External"/><Relationship Id="rId3857" Type="http://schemas.openxmlformats.org/officeDocument/2006/relationships/hyperlink" Target="https://drive.google.com/drive/folders/10T2cTQHqEJZqE-st6uFKPoI?usp=share_link" TargetMode="External"/><Relationship Id="rId2528" Type="http://schemas.openxmlformats.org/officeDocument/2006/relationships/hyperlink" Target="https://drive.google.com/drive/folders/10T2cTQHqEJZqE-st6uFKPoI?usp=share_link" TargetMode="External"/><Relationship Id="rId2529" Type="http://schemas.openxmlformats.org/officeDocument/2006/relationships/hyperlink" Target="https://drive.google.com/drive/folders/10T2cTQHqEJZqE-st6uFKPoI?usp=share_link" TargetMode="External"/><Relationship Id="rId3859" Type="http://schemas.openxmlformats.org/officeDocument/2006/relationships/hyperlink" Target="https://drive.google.com/drive/folders/10T2cTQHqEJZqE-st6uFKPoI?usp=share_link" TargetMode="External"/><Relationship Id="rId3850" Type="http://schemas.openxmlformats.org/officeDocument/2006/relationships/hyperlink" Target="https://drive.google.com/drive/folders/10T2cTQHqEJZqE-st6uFKPoI?usp=share_link" TargetMode="External"/><Relationship Id="rId2520" Type="http://schemas.openxmlformats.org/officeDocument/2006/relationships/hyperlink" Target="https://drive.google.com/drive/folders/10T2cTQHqEJZqE-st6uFKPoI?usp=share_link" TargetMode="External"/><Relationship Id="rId3852" Type="http://schemas.openxmlformats.org/officeDocument/2006/relationships/hyperlink" Target="https://drive.google.com/drive/folders/10T2cTQHqEJZqE-st6uFKPoI?usp=share_link" TargetMode="External"/><Relationship Id="rId2521" Type="http://schemas.openxmlformats.org/officeDocument/2006/relationships/hyperlink" Target="https://drive.google.com/drive/folders/10T2cTQHqEJZqE-st6uFKPoI?usp=share_link" TargetMode="External"/><Relationship Id="rId3851" Type="http://schemas.openxmlformats.org/officeDocument/2006/relationships/hyperlink" Target="https://drive.google.com/drive/folders/10T2cTQHqEJZqE-st6uFKPoI?usp=share_link" TargetMode="External"/><Relationship Id="rId2511" Type="http://schemas.openxmlformats.org/officeDocument/2006/relationships/hyperlink" Target="https://drive.google.com/drive/folders/10T2cTQHqEJZqE-st6uFKPoI?usp=share_link" TargetMode="External"/><Relationship Id="rId3843" Type="http://schemas.openxmlformats.org/officeDocument/2006/relationships/hyperlink" Target="https://drive.google.com/drive/folders/10T2cTQHqEJZqE-st6uFKPoI?usp=share_link" TargetMode="External"/><Relationship Id="rId2512" Type="http://schemas.openxmlformats.org/officeDocument/2006/relationships/hyperlink" Target="https://drive.google.com/drive/folders/10T2cTQHqEJZqE-st6uFKPoI?usp=share_link" TargetMode="External"/><Relationship Id="rId3842" Type="http://schemas.openxmlformats.org/officeDocument/2006/relationships/hyperlink" Target="https://drive.google.com/drive/folders/10T2cTQHqEJZqE-st6uFKPoI?usp=share_link" TargetMode="External"/><Relationship Id="rId2513" Type="http://schemas.openxmlformats.org/officeDocument/2006/relationships/hyperlink" Target="https://drive.google.com/drive/folders/10T2cTQHqEJZqE-st6uFKPoI?usp=share_link" TargetMode="External"/><Relationship Id="rId3845" Type="http://schemas.openxmlformats.org/officeDocument/2006/relationships/hyperlink" Target="https://drive.google.com/drive/folders/10T2cTQHqEJZqE-st6uFKPoI?usp=share_link" TargetMode="External"/><Relationship Id="rId2514" Type="http://schemas.openxmlformats.org/officeDocument/2006/relationships/hyperlink" Target="https://drive.google.com/drive/folders/10T2cTQHqEJZqE-st6uFKPoI?usp=share_link" TargetMode="External"/><Relationship Id="rId3844" Type="http://schemas.openxmlformats.org/officeDocument/2006/relationships/hyperlink" Target="https://drive.google.com/drive/folders/10T2cTQHqEJZqE-st6uFKPoI?usp=share_link" TargetMode="External"/><Relationship Id="rId2515" Type="http://schemas.openxmlformats.org/officeDocument/2006/relationships/hyperlink" Target="https://drive.google.com/drive/folders/10T2cTQHqEJZqE-st6uFKPoI?usp=share_link" TargetMode="External"/><Relationship Id="rId3847" Type="http://schemas.openxmlformats.org/officeDocument/2006/relationships/hyperlink" Target="https://drive.google.com/drive/folders/10T2cTQHqEJZqE-st6uFKPoI?usp=share_link" TargetMode="External"/><Relationship Id="rId2516" Type="http://schemas.openxmlformats.org/officeDocument/2006/relationships/hyperlink" Target="https://drive.google.com/drive/folders/10T2cTQHqEJZqE-st6uFKPoI?usp=share_link" TargetMode="External"/><Relationship Id="rId3846" Type="http://schemas.openxmlformats.org/officeDocument/2006/relationships/hyperlink" Target="https://drive.google.com/drive/folders/10T2cTQHqEJZqE-st6uFKPoI?usp=share_link" TargetMode="External"/><Relationship Id="rId2517" Type="http://schemas.openxmlformats.org/officeDocument/2006/relationships/hyperlink" Target="https://drive.google.com/drive/folders/10T2cTQHqEJZqE-st6uFKPoI?usp=share_link" TargetMode="External"/><Relationship Id="rId3849" Type="http://schemas.openxmlformats.org/officeDocument/2006/relationships/hyperlink" Target="https://drive.google.com/drive/folders/10T2cTQHqEJZqE-st6uFKPoI?usp=share_link" TargetMode="External"/><Relationship Id="rId2518" Type="http://schemas.openxmlformats.org/officeDocument/2006/relationships/hyperlink" Target="https://drive.google.com/drive/folders/10T2cTQHqEJZqE-st6uFKPoI?usp=share_link" TargetMode="External"/><Relationship Id="rId3848" Type="http://schemas.openxmlformats.org/officeDocument/2006/relationships/hyperlink" Target="https://drive.google.com/drive/folders/10T2cTQHqEJZqE-st6uFKPoI?usp=share_link" TargetMode="External"/><Relationship Id="rId2519" Type="http://schemas.openxmlformats.org/officeDocument/2006/relationships/hyperlink" Target="https://drive.google.com/drive/folders/10T2cTQHqEJZqE-st6uFKPoI?usp=share_link" TargetMode="External"/><Relationship Id="rId3841" Type="http://schemas.openxmlformats.org/officeDocument/2006/relationships/hyperlink" Target="https://drive.google.com/drive/folders/10T2cTQHqEJZqE-st6uFKPoI?usp=share_link" TargetMode="External"/><Relationship Id="rId2510" Type="http://schemas.openxmlformats.org/officeDocument/2006/relationships/hyperlink" Target="https://drive.google.com/drive/folders/10T2cTQHqEJZqE-st6uFKPoI?usp=share_link" TargetMode="External"/><Relationship Id="rId3840" Type="http://schemas.openxmlformats.org/officeDocument/2006/relationships/hyperlink" Target="https://drive.google.com/drive/folders/10T2cTQHqEJZqE-st6uFKPoI?usp=share_link" TargetMode="External"/><Relationship Id="rId4327" Type="http://schemas.openxmlformats.org/officeDocument/2006/relationships/hyperlink" Target="https://drive.google.com/drive/folders/10T2cTQHqEJZqE-st6uFKPoI?usp=share_link" TargetMode="External"/><Relationship Id="rId5659" Type="http://schemas.openxmlformats.org/officeDocument/2006/relationships/hyperlink" Target="https://drive.google.com/drive/folders/10T2cTQHqEJZqE-st6uFKPoI?usp=share_link" TargetMode="External"/><Relationship Id="rId4326" Type="http://schemas.openxmlformats.org/officeDocument/2006/relationships/hyperlink" Target="https://drive.google.com/drive/folders/10T2cTQHqEJZqE-st6uFKPoI?usp=share_link" TargetMode="External"/><Relationship Id="rId4329" Type="http://schemas.openxmlformats.org/officeDocument/2006/relationships/hyperlink" Target="https://drive.google.com/drive/folders/10T2cTQHqEJZqE-st6uFKPoI?usp=share_link" TargetMode="External"/><Relationship Id="rId5657" Type="http://schemas.openxmlformats.org/officeDocument/2006/relationships/hyperlink" Target="https://drive.google.com/drive/folders/10T2cTQHqEJZqE-st6uFKPoI?usp=share_link" TargetMode="External"/><Relationship Id="rId4328" Type="http://schemas.openxmlformats.org/officeDocument/2006/relationships/hyperlink" Target="https://drive.google.com/drive/folders/10T2cTQHqEJZqE-st6uFKPoI?usp=share_link" TargetMode="External"/><Relationship Id="rId5658" Type="http://schemas.openxmlformats.org/officeDocument/2006/relationships/hyperlink" Target="https://drive.google.com/drive/folders/10T2cTQHqEJZqE-st6uFKPoI?usp=share_link" TargetMode="External"/><Relationship Id="rId469" Type="http://schemas.openxmlformats.org/officeDocument/2006/relationships/hyperlink" Target="https://drive.google.com/drive/folders/10T2cTQHqEJZqE-st6uFKPoI?usp=share_link" TargetMode="External"/><Relationship Id="rId468" Type="http://schemas.openxmlformats.org/officeDocument/2006/relationships/hyperlink" Target="https://drive.google.com/drive/folders/10T2cTQHqEJZqE-st6uFKPoI?usp=share_link" TargetMode="External"/><Relationship Id="rId467" Type="http://schemas.openxmlformats.org/officeDocument/2006/relationships/hyperlink" Target="https://drive.google.com/drive/folders/10T2cTQHqEJZqE-st6uFKPoI?usp=share_link" TargetMode="External"/><Relationship Id="rId1290" Type="http://schemas.openxmlformats.org/officeDocument/2006/relationships/hyperlink" Target="https://drive.google.com/drive/folders/10T2cTQHqEJZqE-st6uFKPoI?usp=share_link" TargetMode="External"/><Relationship Id="rId1291" Type="http://schemas.openxmlformats.org/officeDocument/2006/relationships/hyperlink" Target="https://drive.google.com/drive/folders/10T2cTQHqEJZqE-st6uFKPoI?usp=share_link" TargetMode="External"/><Relationship Id="rId1292" Type="http://schemas.openxmlformats.org/officeDocument/2006/relationships/hyperlink" Target="https://drive.google.com/drive/folders/10T2cTQHqEJZqE-st6uFKPoI?usp=share_link" TargetMode="External"/><Relationship Id="rId462" Type="http://schemas.openxmlformats.org/officeDocument/2006/relationships/hyperlink" Target="https://drive.google.com/drive/folders/10T2cTQHqEJZqE-st6uFKPoI?usp=share_link" TargetMode="External"/><Relationship Id="rId1293" Type="http://schemas.openxmlformats.org/officeDocument/2006/relationships/hyperlink" Target="https://drive.google.com/drive/folders/10T2cTQHqEJZqE-st6uFKPoI?usp=share_link" TargetMode="External"/><Relationship Id="rId5651" Type="http://schemas.openxmlformats.org/officeDocument/2006/relationships/hyperlink" Target="https://drive.google.com/drive/folders/10T2cTQHqEJZqE-st6uFKPoI?usp=share_link" TargetMode="External"/><Relationship Id="rId461" Type="http://schemas.openxmlformats.org/officeDocument/2006/relationships/hyperlink" Target="https://drive.google.com/drive/folders/10T2cTQHqEJZqE-st6uFKPoI?usp=share_link" TargetMode="External"/><Relationship Id="rId1294" Type="http://schemas.openxmlformats.org/officeDocument/2006/relationships/hyperlink" Target="https://drive.google.com/drive/folders/10T2cTQHqEJZqE-st6uFKPoI?usp=share_link" TargetMode="External"/><Relationship Id="rId5652" Type="http://schemas.openxmlformats.org/officeDocument/2006/relationships/hyperlink" Target="https://drive.google.com/drive/folders/10T2cTQHqEJZqE-st6uFKPoI?usp=share_link" TargetMode="External"/><Relationship Id="rId460" Type="http://schemas.openxmlformats.org/officeDocument/2006/relationships/hyperlink" Target="https://drive.google.com/drive/folders/10T2cTQHqEJZqE-st6uFKPoI?usp=share_link" TargetMode="External"/><Relationship Id="rId1295" Type="http://schemas.openxmlformats.org/officeDocument/2006/relationships/hyperlink" Target="https://drive.google.com/drive/folders/10T2cTQHqEJZqE-st6uFKPoI?usp=share_link" TargetMode="External"/><Relationship Id="rId4321" Type="http://schemas.openxmlformats.org/officeDocument/2006/relationships/hyperlink" Target="https://drive.google.com/drive/folders/10T2cTQHqEJZqE-st6uFKPoI?usp=share_link" TargetMode="External"/><Relationship Id="rId1296" Type="http://schemas.openxmlformats.org/officeDocument/2006/relationships/hyperlink" Target="https://drive.google.com/drive/folders/10T2cTQHqEJZqE-st6uFKPoI?usp=share_link" TargetMode="External"/><Relationship Id="rId4320" Type="http://schemas.openxmlformats.org/officeDocument/2006/relationships/hyperlink" Target="https://drive.google.com/drive/folders/10T2cTQHqEJZqE-st6uFKPoI?usp=share_link" TargetMode="External"/><Relationship Id="rId5650" Type="http://schemas.openxmlformats.org/officeDocument/2006/relationships/hyperlink" Target="https://drive.google.com/drive/folders/10T2cTQHqEJZqE-st6uFKPoI?usp=share_link" TargetMode="External"/><Relationship Id="rId466" Type="http://schemas.openxmlformats.org/officeDocument/2006/relationships/hyperlink" Target="https://drive.google.com/drive/folders/10T2cTQHqEJZqE-st6uFKPoI?usp=share_link" TargetMode="External"/><Relationship Id="rId1297" Type="http://schemas.openxmlformats.org/officeDocument/2006/relationships/hyperlink" Target="https://drive.google.com/drive/folders/10T2cTQHqEJZqE-st6uFKPoI?usp=share_link" TargetMode="External"/><Relationship Id="rId4323" Type="http://schemas.openxmlformats.org/officeDocument/2006/relationships/hyperlink" Target="https://drive.google.com/drive/folders/10T2cTQHqEJZqE-st6uFKPoI?usp=share_link" TargetMode="External"/><Relationship Id="rId5655" Type="http://schemas.openxmlformats.org/officeDocument/2006/relationships/hyperlink" Target="https://drive.google.com/drive/folders/10T2cTQHqEJZqE-st6uFKPoI?usp=share_link" TargetMode="External"/><Relationship Id="rId465" Type="http://schemas.openxmlformats.org/officeDocument/2006/relationships/hyperlink" Target="https://drive.google.com/drive/folders/10T2cTQHqEJZqE-st6uFKPoI?usp=share_link" TargetMode="External"/><Relationship Id="rId1298" Type="http://schemas.openxmlformats.org/officeDocument/2006/relationships/hyperlink" Target="https://drive.google.com/drive/folders/10T2cTQHqEJZqE-st6uFKPoI?usp=share_link" TargetMode="External"/><Relationship Id="rId4322" Type="http://schemas.openxmlformats.org/officeDocument/2006/relationships/hyperlink" Target="https://drive.google.com/drive/folders/10T2cTQHqEJZqE-st6uFKPoI?usp=share_link" TargetMode="External"/><Relationship Id="rId5656" Type="http://schemas.openxmlformats.org/officeDocument/2006/relationships/hyperlink" Target="https://drive.google.com/drive/folders/10T2cTQHqEJZqE-st6uFKPoI?usp=share_link" TargetMode="External"/><Relationship Id="rId464" Type="http://schemas.openxmlformats.org/officeDocument/2006/relationships/hyperlink" Target="https://drive.google.com/drive/folders/10T2cTQHqEJZqE-st6uFKPoI?usp=share_link" TargetMode="External"/><Relationship Id="rId1299" Type="http://schemas.openxmlformats.org/officeDocument/2006/relationships/hyperlink" Target="https://drive.google.com/drive/folders/10T2cTQHqEJZqE-st6uFKPoI?usp=share_link" TargetMode="External"/><Relationship Id="rId4325" Type="http://schemas.openxmlformats.org/officeDocument/2006/relationships/hyperlink" Target="https://drive.google.com/drive/folders/10T2cTQHqEJZqE-st6uFKPoI?usp=share_link" TargetMode="External"/><Relationship Id="rId5653" Type="http://schemas.openxmlformats.org/officeDocument/2006/relationships/hyperlink" Target="https://drive.google.com/drive/folders/10T2cTQHqEJZqE-st6uFKPoI?usp=share_link" TargetMode="External"/><Relationship Id="rId463" Type="http://schemas.openxmlformats.org/officeDocument/2006/relationships/hyperlink" Target="https://drive.google.com/drive/folders/10T2cTQHqEJZqE-st6uFKPoI?usp=share_link" TargetMode="External"/><Relationship Id="rId4324" Type="http://schemas.openxmlformats.org/officeDocument/2006/relationships/hyperlink" Target="https://drive.google.com/drive/folders/10T2cTQHqEJZqE-st6uFKPoI?usp=share_link" TargetMode="External"/><Relationship Id="rId5654" Type="http://schemas.openxmlformats.org/officeDocument/2006/relationships/hyperlink" Target="https://drive.google.com/drive/folders/10T2cTQHqEJZqE-st6uFKPoI?usp=share_link" TargetMode="External"/><Relationship Id="rId4316" Type="http://schemas.openxmlformats.org/officeDocument/2006/relationships/hyperlink" Target="https://drive.google.com/drive/folders/10T2cTQHqEJZqE-st6uFKPoI?usp=share_link" TargetMode="External"/><Relationship Id="rId5648" Type="http://schemas.openxmlformats.org/officeDocument/2006/relationships/hyperlink" Target="https://drive.google.com/drive/folders/10T2cTQHqEJZqE-st6uFKPoI?usp=share_link" TargetMode="External"/><Relationship Id="rId4315" Type="http://schemas.openxmlformats.org/officeDocument/2006/relationships/hyperlink" Target="https://drive.google.com/drive/folders/10T2cTQHqEJZqE-st6uFKPoI?usp=share_link" TargetMode="External"/><Relationship Id="rId5649" Type="http://schemas.openxmlformats.org/officeDocument/2006/relationships/hyperlink" Target="https://drive.google.com/drive/folders/10T2cTQHqEJZqE-st6uFKPoI?usp=share_link" TargetMode="External"/><Relationship Id="rId4318" Type="http://schemas.openxmlformats.org/officeDocument/2006/relationships/hyperlink" Target="https://drive.google.com/drive/folders/10T2cTQHqEJZqE-st6uFKPoI?usp=share_link" TargetMode="External"/><Relationship Id="rId5646" Type="http://schemas.openxmlformats.org/officeDocument/2006/relationships/hyperlink" Target="https://drive.google.com/drive/folders/10T2cTQHqEJZqE-st6uFKPoI?usp=share_link" TargetMode="External"/><Relationship Id="rId4317" Type="http://schemas.openxmlformats.org/officeDocument/2006/relationships/hyperlink" Target="https://drive.google.com/drive/folders/10T2cTQHqEJZqE-st6uFKPoI?usp=share_link" TargetMode="External"/><Relationship Id="rId5647" Type="http://schemas.openxmlformats.org/officeDocument/2006/relationships/hyperlink" Target="https://drive.google.com/drive/folders/10T2cTQHqEJZqE-st6uFKPoI?usp=share_link" TargetMode="External"/><Relationship Id="rId4319" Type="http://schemas.openxmlformats.org/officeDocument/2006/relationships/hyperlink" Target="https://drive.google.com/drive/folders/10T2cTQHqEJZqE-st6uFKPoI?usp=share_link" TargetMode="External"/><Relationship Id="rId459" Type="http://schemas.openxmlformats.org/officeDocument/2006/relationships/hyperlink" Target="https://drive.google.com/drive/folders/10T2cTQHqEJZqE-st6uFKPoI?usp=share_link" TargetMode="External"/><Relationship Id="rId458" Type="http://schemas.openxmlformats.org/officeDocument/2006/relationships/hyperlink" Target="https://drive.google.com/drive/folders/10T2cTQHqEJZqE-st6uFKPoI?usp=share_link" TargetMode="External"/><Relationship Id="rId457" Type="http://schemas.openxmlformats.org/officeDocument/2006/relationships/hyperlink" Target="https://drive.google.com/drive/folders/10T2cTQHqEJZqE-st6uFKPoI?usp=share_link" TargetMode="External"/><Relationship Id="rId456" Type="http://schemas.openxmlformats.org/officeDocument/2006/relationships/hyperlink" Target="https://drive.google.com/drive/folders/10T2cTQHqEJZqE-st6uFKPoI?usp=share_link" TargetMode="External"/><Relationship Id="rId1280" Type="http://schemas.openxmlformats.org/officeDocument/2006/relationships/hyperlink" Target="https://drive.google.com/drive/folders/10T2cTQHqEJZqE-st6uFKPoI?usp=share_link" TargetMode="External"/><Relationship Id="rId1281" Type="http://schemas.openxmlformats.org/officeDocument/2006/relationships/hyperlink" Target="https://drive.google.com/drive/folders/10T2cTQHqEJZqE-st6uFKPoI?usp=share_link" TargetMode="External"/><Relationship Id="rId451" Type="http://schemas.openxmlformats.org/officeDocument/2006/relationships/hyperlink" Target="https://drive.google.com/drive/folders/10T2cTQHqEJZqE-st6uFKPoI?usp=share_link" TargetMode="External"/><Relationship Id="rId1282" Type="http://schemas.openxmlformats.org/officeDocument/2006/relationships/hyperlink" Target="https://drive.google.com/drive/folders/10T2cTQHqEJZqE-st6uFKPoI?usp=share_link" TargetMode="External"/><Relationship Id="rId5640" Type="http://schemas.openxmlformats.org/officeDocument/2006/relationships/hyperlink" Target="https://drive.google.com/drive/folders/10T2cTQHqEJZqE-st6uFKPoI?usp=share_link" TargetMode="External"/><Relationship Id="rId450" Type="http://schemas.openxmlformats.org/officeDocument/2006/relationships/hyperlink" Target="https://drive.google.com/drive/folders/10T2cTQHqEJZqE-st6uFKPoI?usp=share_link" TargetMode="External"/><Relationship Id="rId1283" Type="http://schemas.openxmlformats.org/officeDocument/2006/relationships/hyperlink" Target="https://drive.google.com/drive/folders/10T2cTQHqEJZqE-st6uFKPoI?usp=share_link" TargetMode="External"/><Relationship Id="rId5641" Type="http://schemas.openxmlformats.org/officeDocument/2006/relationships/hyperlink" Target="https://drive.google.com/drive/folders/10T2cTQHqEJZqE-st6uFKPoI?usp=share_link" TargetMode="External"/><Relationship Id="rId1284" Type="http://schemas.openxmlformats.org/officeDocument/2006/relationships/hyperlink" Target="https://drive.google.com/drive/folders/10T2cTQHqEJZqE-st6uFKPoI?usp=share_link" TargetMode="External"/><Relationship Id="rId4310" Type="http://schemas.openxmlformats.org/officeDocument/2006/relationships/hyperlink" Target="https://drive.google.com/drive/folders/10T2cTQHqEJZqE-st6uFKPoI?usp=share_link" TargetMode="External"/><Relationship Id="rId1285" Type="http://schemas.openxmlformats.org/officeDocument/2006/relationships/hyperlink" Target="https://drive.google.com/drive/folders/10T2cTQHqEJZqE-st6uFKPoI?usp=share_link" TargetMode="External"/><Relationship Id="rId455" Type="http://schemas.openxmlformats.org/officeDocument/2006/relationships/hyperlink" Target="https://drive.google.com/drive/folders/10T2cTQHqEJZqE-st6uFKPoI?usp=share_link" TargetMode="External"/><Relationship Id="rId1286" Type="http://schemas.openxmlformats.org/officeDocument/2006/relationships/hyperlink" Target="https://drive.google.com/drive/folders/10T2cTQHqEJZqE-st6uFKPoI?usp=share_link" TargetMode="External"/><Relationship Id="rId4312" Type="http://schemas.openxmlformats.org/officeDocument/2006/relationships/hyperlink" Target="https://drive.google.com/drive/folders/10T2cTQHqEJZqE-st6uFKPoI?usp=share_link" TargetMode="External"/><Relationship Id="rId5644" Type="http://schemas.openxmlformats.org/officeDocument/2006/relationships/hyperlink" Target="https://drive.google.com/drive/folders/10T2cTQHqEJZqE-st6uFKPoI?usp=share_link" TargetMode="External"/><Relationship Id="rId454" Type="http://schemas.openxmlformats.org/officeDocument/2006/relationships/hyperlink" Target="https://drive.google.com/drive/folders/10T2cTQHqEJZqE-st6uFKPoI?usp=share_link" TargetMode="External"/><Relationship Id="rId1287" Type="http://schemas.openxmlformats.org/officeDocument/2006/relationships/hyperlink" Target="https://drive.google.com/drive/folders/10T2cTQHqEJZqE-st6uFKPoI?usp=share_link" TargetMode="External"/><Relationship Id="rId4311" Type="http://schemas.openxmlformats.org/officeDocument/2006/relationships/hyperlink" Target="https://drive.google.com/drive/folders/10T2cTQHqEJZqE-st6uFKPoI?usp=share_link" TargetMode="External"/><Relationship Id="rId5645" Type="http://schemas.openxmlformats.org/officeDocument/2006/relationships/hyperlink" Target="https://drive.google.com/drive/folders/10T2cTQHqEJZqE-st6uFKPoI?usp=share_link" TargetMode="External"/><Relationship Id="rId453" Type="http://schemas.openxmlformats.org/officeDocument/2006/relationships/hyperlink" Target="https://drive.google.com/drive/folders/10T2cTQHqEJZqE-st6uFKPoI?usp=share_link" TargetMode="External"/><Relationship Id="rId1288" Type="http://schemas.openxmlformats.org/officeDocument/2006/relationships/hyperlink" Target="https://drive.google.com/drive/folders/10T2cTQHqEJZqE-st6uFKPoI?usp=share_link" TargetMode="External"/><Relationship Id="rId4314" Type="http://schemas.openxmlformats.org/officeDocument/2006/relationships/hyperlink" Target="https://drive.google.com/drive/folders/10T2cTQHqEJZqE-st6uFKPoI?usp=share_link" TargetMode="External"/><Relationship Id="rId5642" Type="http://schemas.openxmlformats.org/officeDocument/2006/relationships/hyperlink" Target="https://drive.google.com/drive/folders/10T2cTQHqEJZqE-st6uFKPoI?usp=share_link" TargetMode="External"/><Relationship Id="rId452" Type="http://schemas.openxmlformats.org/officeDocument/2006/relationships/hyperlink" Target="https://drive.google.com/drive/folders/10T2cTQHqEJZqE-st6uFKPoI?usp=share_link" TargetMode="External"/><Relationship Id="rId1289" Type="http://schemas.openxmlformats.org/officeDocument/2006/relationships/hyperlink" Target="https://drive.google.com/drive/folders/10T2cTQHqEJZqE-st6uFKPoI?usp=share_link" TargetMode="External"/><Relationship Id="rId4313" Type="http://schemas.openxmlformats.org/officeDocument/2006/relationships/hyperlink" Target="https://drive.google.com/drive/folders/10T2cTQHqEJZqE-st6uFKPoI?usp=share_link" TargetMode="External"/><Relationship Id="rId5643" Type="http://schemas.openxmlformats.org/officeDocument/2006/relationships/hyperlink" Target="https://drive.google.com/drive/folders/10T2cTQHqEJZqE-st6uFKPoI?usp=share_link" TargetMode="External"/><Relationship Id="rId3018" Type="http://schemas.openxmlformats.org/officeDocument/2006/relationships/hyperlink" Target="https://drive.google.com/drive/folders/10T2cTQHqEJZqE-st6uFKPoI?usp=share_link" TargetMode="External"/><Relationship Id="rId4349" Type="http://schemas.openxmlformats.org/officeDocument/2006/relationships/hyperlink" Target="https://drive.google.com/drive/folders/10T2cTQHqEJZqE-st6uFKPoI?usp=share_link" TargetMode="External"/><Relationship Id="rId3017" Type="http://schemas.openxmlformats.org/officeDocument/2006/relationships/hyperlink" Target="https://drive.google.com/drive/folders/10T2cTQHqEJZqE-st6uFKPoI?usp=share_link" TargetMode="External"/><Relationship Id="rId4348" Type="http://schemas.openxmlformats.org/officeDocument/2006/relationships/hyperlink" Target="https://drive.google.com/drive/folders/10T2cTQHqEJZqE-st6uFKPoI?usp=share_link" TargetMode="External"/><Relationship Id="rId5679" Type="http://schemas.openxmlformats.org/officeDocument/2006/relationships/hyperlink" Target="https://drive.google.com/drive/folders/10T2cTQHqEJZqE-st6uFKPoI?usp=share_link" TargetMode="External"/><Relationship Id="rId3019" Type="http://schemas.openxmlformats.org/officeDocument/2006/relationships/hyperlink" Target="https://drive.google.com/drive/folders/10T2cTQHqEJZqE-st6uFKPoI?usp=share_link" TargetMode="External"/><Relationship Id="rId491" Type="http://schemas.openxmlformats.org/officeDocument/2006/relationships/hyperlink" Target="https://drive.google.com/drive/folders/10T2cTQHqEJZqE-st6uFKPoI?usp=share_link" TargetMode="External"/><Relationship Id="rId490" Type="http://schemas.openxmlformats.org/officeDocument/2006/relationships/hyperlink" Target="https://drive.google.com/drive/folders/10T2cTQHqEJZqE-st6uFKPoI?usp=share_link" TargetMode="External"/><Relationship Id="rId489" Type="http://schemas.openxmlformats.org/officeDocument/2006/relationships/hyperlink" Target="https://drive.google.com/drive/folders/10T2cTQHqEJZqE-st6uFKPoI?usp=share_link" TargetMode="External"/><Relationship Id="rId5670" Type="http://schemas.openxmlformats.org/officeDocument/2006/relationships/hyperlink" Target="https://drive.google.com/drive/folders/10T2cTQHqEJZqE-st6uFKPoI?usp=share_link" TargetMode="External"/><Relationship Id="rId484" Type="http://schemas.openxmlformats.org/officeDocument/2006/relationships/hyperlink" Target="https://drive.google.com/drive/folders/10T2cTQHqEJZqE-st6uFKPoI?usp=share_link" TargetMode="External"/><Relationship Id="rId3010" Type="http://schemas.openxmlformats.org/officeDocument/2006/relationships/hyperlink" Target="https://drive.google.com/drive/folders/10T2cTQHqEJZqE-st6uFKPoI?usp=share_link" TargetMode="External"/><Relationship Id="rId4341" Type="http://schemas.openxmlformats.org/officeDocument/2006/relationships/hyperlink" Target="https://drive.google.com/drive/folders/10T2cTQHqEJZqE-st6uFKPoI?usp=share_link" TargetMode="External"/><Relationship Id="rId5673" Type="http://schemas.openxmlformats.org/officeDocument/2006/relationships/hyperlink" Target="https://drive.google.com/drive/folders/10T2cTQHqEJZqE-st6uFKPoI?usp=share_link" TargetMode="External"/><Relationship Id="rId483" Type="http://schemas.openxmlformats.org/officeDocument/2006/relationships/hyperlink" Target="https://drive.google.com/drive/folders/10T2cTQHqEJZqE-st6uFKPoI?usp=share_link" TargetMode="External"/><Relationship Id="rId4340" Type="http://schemas.openxmlformats.org/officeDocument/2006/relationships/hyperlink" Target="https://drive.google.com/drive/folders/10T2cTQHqEJZqE-st6uFKPoI?usp=share_link" TargetMode="External"/><Relationship Id="rId5674" Type="http://schemas.openxmlformats.org/officeDocument/2006/relationships/hyperlink" Target="https://drive.google.com/drive/folders/10T2cTQHqEJZqE-st6uFKPoI?usp=share_link" TargetMode="External"/><Relationship Id="rId482" Type="http://schemas.openxmlformats.org/officeDocument/2006/relationships/hyperlink" Target="https://drive.google.com/drive/folders/10T2cTQHqEJZqE-st6uFKPoI?usp=share_link" TargetMode="External"/><Relationship Id="rId3012" Type="http://schemas.openxmlformats.org/officeDocument/2006/relationships/hyperlink" Target="https://drive.google.com/drive/folders/10T2cTQHqEJZqE-st6uFKPoI?usp=share_link" TargetMode="External"/><Relationship Id="rId4343" Type="http://schemas.openxmlformats.org/officeDocument/2006/relationships/hyperlink" Target="https://drive.google.com/drive/folders/10T2cTQHqEJZqE-st6uFKPoI?usp=share_link" TargetMode="External"/><Relationship Id="rId5671" Type="http://schemas.openxmlformats.org/officeDocument/2006/relationships/hyperlink" Target="https://drive.google.com/drive/folders/10T2cTQHqEJZqE-st6uFKPoI?usp=share_link" TargetMode="External"/><Relationship Id="rId481" Type="http://schemas.openxmlformats.org/officeDocument/2006/relationships/hyperlink" Target="https://drive.google.com/drive/folders/10T2cTQHqEJZqE-st6uFKPoI?usp=share_link" TargetMode="External"/><Relationship Id="rId3011" Type="http://schemas.openxmlformats.org/officeDocument/2006/relationships/hyperlink" Target="https://drive.google.com/drive/folders/10T2cTQHqEJZqE-st6uFKPoI?usp=share_link" TargetMode="External"/><Relationship Id="rId4342" Type="http://schemas.openxmlformats.org/officeDocument/2006/relationships/hyperlink" Target="https://drive.google.com/drive/folders/10T2cTQHqEJZqE-st6uFKPoI?usp=share_link" TargetMode="External"/><Relationship Id="rId5672" Type="http://schemas.openxmlformats.org/officeDocument/2006/relationships/hyperlink" Target="https://drive.google.com/drive/folders/10T2cTQHqEJZqE-st6uFKPoI?usp=share_link" TargetMode="External"/><Relationship Id="rId488" Type="http://schemas.openxmlformats.org/officeDocument/2006/relationships/hyperlink" Target="https://drive.google.com/drive/folders/10T2cTQHqEJZqE-st6uFKPoI?usp=share_link" TargetMode="External"/><Relationship Id="rId3014" Type="http://schemas.openxmlformats.org/officeDocument/2006/relationships/hyperlink" Target="https://drive.google.com/drive/folders/10T2cTQHqEJZqE-st6uFKPoI?usp=share_link" TargetMode="External"/><Relationship Id="rId4345" Type="http://schemas.openxmlformats.org/officeDocument/2006/relationships/hyperlink" Target="https://drive.google.com/drive/folders/10T2cTQHqEJZqE-st6uFKPoI?usp=share_link" TargetMode="External"/><Relationship Id="rId5677" Type="http://schemas.openxmlformats.org/officeDocument/2006/relationships/hyperlink" Target="https://drive.google.com/drive/folders/10T2cTQHqEJZqE-st6uFKPoI?usp=share_link" TargetMode="External"/><Relationship Id="rId487" Type="http://schemas.openxmlformats.org/officeDocument/2006/relationships/hyperlink" Target="https://drive.google.com/drive/folders/10T2cTQHqEJZqE-st6uFKPoI?usp=share_link" TargetMode="External"/><Relationship Id="rId3013" Type="http://schemas.openxmlformats.org/officeDocument/2006/relationships/hyperlink" Target="https://drive.google.com/drive/folders/10T2cTQHqEJZqE-st6uFKPoI?usp=share_link" TargetMode="External"/><Relationship Id="rId4344" Type="http://schemas.openxmlformats.org/officeDocument/2006/relationships/hyperlink" Target="https://drive.google.com/drive/folders/10T2cTQHqEJZqE-st6uFKPoI?usp=share_link" TargetMode="External"/><Relationship Id="rId5678" Type="http://schemas.openxmlformats.org/officeDocument/2006/relationships/hyperlink" Target="https://drive.google.com/drive/folders/10T2cTQHqEJZqE-st6uFKPoI?usp=share_link" TargetMode="External"/><Relationship Id="rId486" Type="http://schemas.openxmlformats.org/officeDocument/2006/relationships/hyperlink" Target="https://drive.google.com/drive/folders/10T2cTQHqEJZqE-st6uFKPoI?usp=share_link" TargetMode="External"/><Relationship Id="rId3016" Type="http://schemas.openxmlformats.org/officeDocument/2006/relationships/hyperlink" Target="https://drive.google.com/drive/folders/10T2cTQHqEJZqE-st6uFKPoI?usp=share_link" TargetMode="External"/><Relationship Id="rId4347" Type="http://schemas.openxmlformats.org/officeDocument/2006/relationships/hyperlink" Target="https://drive.google.com/drive/folders/10T2cTQHqEJZqE-st6uFKPoI?usp=share_link" TargetMode="External"/><Relationship Id="rId5675" Type="http://schemas.openxmlformats.org/officeDocument/2006/relationships/hyperlink" Target="https://drive.google.com/drive/folders/10T2cTQHqEJZqE-st6uFKPoI?usp=share_link" TargetMode="External"/><Relationship Id="rId485" Type="http://schemas.openxmlformats.org/officeDocument/2006/relationships/hyperlink" Target="https://drive.google.com/drive/folders/10T2cTQHqEJZqE-st6uFKPoI?usp=share_link" TargetMode="External"/><Relationship Id="rId3015" Type="http://schemas.openxmlformats.org/officeDocument/2006/relationships/hyperlink" Target="https://drive.google.com/drive/folders/10T2cTQHqEJZqE-st6uFKPoI?usp=share_link" TargetMode="External"/><Relationship Id="rId4346" Type="http://schemas.openxmlformats.org/officeDocument/2006/relationships/hyperlink" Target="https://drive.google.com/drive/folders/10T2cTQHqEJZqE-st6uFKPoI?usp=share_link" TargetMode="External"/><Relationship Id="rId5676" Type="http://schemas.openxmlformats.org/officeDocument/2006/relationships/hyperlink" Target="https://drive.google.com/drive/folders/10T2cTQHqEJZqE-st6uFKPoI?usp=share_link" TargetMode="External"/><Relationship Id="rId3007" Type="http://schemas.openxmlformats.org/officeDocument/2006/relationships/hyperlink" Target="https://drive.google.com/drive/folders/10T2cTQHqEJZqE-st6uFKPoI?usp=share_link" TargetMode="External"/><Relationship Id="rId4338" Type="http://schemas.openxmlformats.org/officeDocument/2006/relationships/hyperlink" Target="https://drive.google.com/drive/folders/10T2cTQHqEJZqE-st6uFKPoI?usp=share_link" TargetMode="External"/><Relationship Id="rId3006" Type="http://schemas.openxmlformats.org/officeDocument/2006/relationships/hyperlink" Target="https://drive.google.com/drive/folders/10T2cTQHqEJZqE-st6uFKPoI?usp=share_link" TargetMode="External"/><Relationship Id="rId4337" Type="http://schemas.openxmlformats.org/officeDocument/2006/relationships/hyperlink" Target="https://drive.google.com/drive/folders/10T2cTQHqEJZqE-st6uFKPoI?usp=share_link" TargetMode="External"/><Relationship Id="rId3009" Type="http://schemas.openxmlformats.org/officeDocument/2006/relationships/hyperlink" Target="https://drive.google.com/drive/folders/10T2cTQHqEJZqE-st6uFKPoI?usp=share_link" TargetMode="External"/><Relationship Id="rId5668" Type="http://schemas.openxmlformats.org/officeDocument/2006/relationships/hyperlink" Target="https://drive.google.com/drive/folders/10T2cTQHqEJZqE-st6uFKPoI?usp=share_link" TargetMode="External"/><Relationship Id="rId3008" Type="http://schemas.openxmlformats.org/officeDocument/2006/relationships/hyperlink" Target="https://drive.google.com/drive/folders/10T2cTQHqEJZqE-st6uFKPoI?usp=share_link" TargetMode="External"/><Relationship Id="rId4339" Type="http://schemas.openxmlformats.org/officeDocument/2006/relationships/hyperlink" Target="https://drive.google.com/drive/folders/10T2cTQHqEJZqE-st6uFKPoI?usp=share_link" TargetMode="External"/><Relationship Id="rId5669" Type="http://schemas.openxmlformats.org/officeDocument/2006/relationships/hyperlink" Target="https://drive.google.com/drive/folders/10T2cTQHqEJZqE-st6uFKPoI?usp=share_link" TargetMode="External"/><Relationship Id="rId480" Type="http://schemas.openxmlformats.org/officeDocument/2006/relationships/hyperlink" Target="https://drive.google.com/drive/folders/10T2cTQHqEJZqE-st6uFKPoI?usp=share_link" TargetMode="External"/><Relationship Id="rId479" Type="http://schemas.openxmlformats.org/officeDocument/2006/relationships/hyperlink" Target="https://drive.google.com/drive/folders/10T2cTQHqEJZqE-st6uFKPoI?usp=share_link" TargetMode="External"/><Relationship Id="rId478" Type="http://schemas.openxmlformats.org/officeDocument/2006/relationships/hyperlink" Target="https://drive.google.com/drive/folders/10T2cTQHqEJZqE-st6uFKPoI?usp=share_link" TargetMode="External"/><Relationship Id="rId473" Type="http://schemas.openxmlformats.org/officeDocument/2006/relationships/hyperlink" Target="https://drive.google.com/drive/folders/10T2cTQHqEJZqE-st6uFKPoI?usp=share_link" TargetMode="External"/><Relationship Id="rId4330" Type="http://schemas.openxmlformats.org/officeDocument/2006/relationships/hyperlink" Target="https://drive.google.com/drive/folders/10T2cTQHqEJZqE-st6uFKPoI?usp=share_link" TargetMode="External"/><Relationship Id="rId5662" Type="http://schemas.openxmlformats.org/officeDocument/2006/relationships/hyperlink" Target="https://drive.google.com/drive/folders/10T2cTQHqEJZqE-st6uFKPoI?usp=share_link" TargetMode="External"/><Relationship Id="rId472" Type="http://schemas.openxmlformats.org/officeDocument/2006/relationships/hyperlink" Target="https://drive.google.com/drive/folders/10T2cTQHqEJZqE-st6uFKPoI?usp=share_link" TargetMode="External"/><Relationship Id="rId5663" Type="http://schemas.openxmlformats.org/officeDocument/2006/relationships/hyperlink" Target="https://drive.google.com/drive/folders/10T2cTQHqEJZqE-st6uFKPoI?usp=share_link" TargetMode="External"/><Relationship Id="rId471" Type="http://schemas.openxmlformats.org/officeDocument/2006/relationships/hyperlink" Target="https://drive.google.com/drive/folders/10T2cTQHqEJZqE-st6uFKPoI?usp=share_link" TargetMode="External"/><Relationship Id="rId3001" Type="http://schemas.openxmlformats.org/officeDocument/2006/relationships/hyperlink" Target="https://drive.google.com/drive/folders/10T2cTQHqEJZqE-st6uFKPoI?usp=share_link" TargetMode="External"/><Relationship Id="rId4332" Type="http://schemas.openxmlformats.org/officeDocument/2006/relationships/hyperlink" Target="https://drive.google.com/drive/folders/10T2cTQHqEJZqE-st6uFKPoI?usp=share_link" TargetMode="External"/><Relationship Id="rId5660" Type="http://schemas.openxmlformats.org/officeDocument/2006/relationships/hyperlink" Target="https://drive.google.com/drive/folders/10T2cTQHqEJZqE-st6uFKPoI?usp=share_link" TargetMode="External"/><Relationship Id="rId470" Type="http://schemas.openxmlformats.org/officeDocument/2006/relationships/hyperlink" Target="https://drive.google.com/drive/folders/10T2cTQHqEJZqE-st6uFKPoI?usp=share_link" TargetMode="External"/><Relationship Id="rId3000" Type="http://schemas.openxmlformats.org/officeDocument/2006/relationships/hyperlink" Target="https://drive.google.com/drive/folders/10T2cTQHqEJZqE-st6uFKPoI?usp=share_link" TargetMode="External"/><Relationship Id="rId4331" Type="http://schemas.openxmlformats.org/officeDocument/2006/relationships/hyperlink" Target="https://drive.google.com/drive/folders/10T2cTQHqEJZqE-st6uFKPoI?usp=share_link" TargetMode="External"/><Relationship Id="rId5661" Type="http://schemas.openxmlformats.org/officeDocument/2006/relationships/hyperlink" Target="https://drive.google.com/drive/folders/10T2cTQHqEJZqE-st6uFKPoI?usp=share_link" TargetMode="External"/><Relationship Id="rId477" Type="http://schemas.openxmlformats.org/officeDocument/2006/relationships/hyperlink" Target="https://drive.google.com/drive/folders/10T2cTQHqEJZqE-st6uFKPoI?usp=share_link" TargetMode="External"/><Relationship Id="rId3003" Type="http://schemas.openxmlformats.org/officeDocument/2006/relationships/hyperlink" Target="https://drive.google.com/drive/folders/10T2cTQHqEJZqE-st6uFKPoI?usp=share_link" TargetMode="External"/><Relationship Id="rId4334" Type="http://schemas.openxmlformats.org/officeDocument/2006/relationships/hyperlink" Target="https://drive.google.com/drive/folders/10T2cTQHqEJZqE-st6uFKPoI?usp=share_link" TargetMode="External"/><Relationship Id="rId5666" Type="http://schemas.openxmlformats.org/officeDocument/2006/relationships/hyperlink" Target="https://drive.google.com/drive/folders/10T2cTQHqEJZqE-st6uFKPoI?usp=share_link" TargetMode="External"/><Relationship Id="rId476" Type="http://schemas.openxmlformats.org/officeDocument/2006/relationships/hyperlink" Target="https://drive.google.com/drive/folders/10T2cTQHqEJZqE-st6uFKPoI?usp=share_link" TargetMode="External"/><Relationship Id="rId3002" Type="http://schemas.openxmlformats.org/officeDocument/2006/relationships/hyperlink" Target="https://drive.google.com/drive/folders/10T2cTQHqEJZqE-st6uFKPoI?usp=share_link" TargetMode="External"/><Relationship Id="rId4333" Type="http://schemas.openxmlformats.org/officeDocument/2006/relationships/hyperlink" Target="https://drive.google.com/drive/folders/10T2cTQHqEJZqE-st6uFKPoI?usp=share_link" TargetMode="External"/><Relationship Id="rId5667" Type="http://schemas.openxmlformats.org/officeDocument/2006/relationships/hyperlink" Target="https://drive.google.com/drive/folders/10T2cTQHqEJZqE-st6uFKPoI?usp=share_link" TargetMode="External"/><Relationship Id="rId475" Type="http://schemas.openxmlformats.org/officeDocument/2006/relationships/hyperlink" Target="https://drive.google.com/drive/folders/10T2cTQHqEJZqE-st6uFKPoI?usp=share_link" TargetMode="External"/><Relationship Id="rId3005" Type="http://schemas.openxmlformats.org/officeDocument/2006/relationships/hyperlink" Target="https://drive.google.com/drive/folders/10T2cTQHqEJZqE-st6uFKPoI?usp=share_link" TargetMode="External"/><Relationship Id="rId4336" Type="http://schemas.openxmlformats.org/officeDocument/2006/relationships/hyperlink" Target="https://drive.google.com/drive/folders/10T2cTQHqEJZqE-st6uFKPoI?usp=share_link" TargetMode="External"/><Relationship Id="rId5664" Type="http://schemas.openxmlformats.org/officeDocument/2006/relationships/hyperlink" Target="https://drive.google.com/drive/folders/10T2cTQHqEJZqE-st6uFKPoI?usp=share_link" TargetMode="External"/><Relationship Id="rId474" Type="http://schemas.openxmlformats.org/officeDocument/2006/relationships/hyperlink" Target="https://drive.google.com/drive/folders/10T2cTQHqEJZqE-st6uFKPoI?usp=share_link" TargetMode="External"/><Relationship Id="rId3004" Type="http://schemas.openxmlformats.org/officeDocument/2006/relationships/hyperlink" Target="https://drive.google.com/drive/folders/10T2cTQHqEJZqE-st6uFKPoI?usp=share_link" TargetMode="External"/><Relationship Id="rId4335" Type="http://schemas.openxmlformats.org/officeDocument/2006/relationships/hyperlink" Target="https://drive.google.com/drive/folders/10T2cTQHqEJZqE-st6uFKPoI?usp=share_link" TargetMode="External"/><Relationship Id="rId5665" Type="http://schemas.openxmlformats.org/officeDocument/2006/relationships/hyperlink" Target="https://drive.google.com/drive/folders/10T2cTQHqEJZqE-st6uFKPoI?usp=share_link" TargetMode="External"/><Relationship Id="rId1257" Type="http://schemas.openxmlformats.org/officeDocument/2006/relationships/hyperlink" Target="https://drive.google.com/drive/folders/10T2cTQHqEJZqE-st6uFKPoI?usp=share_link" TargetMode="External"/><Relationship Id="rId2588" Type="http://schemas.openxmlformats.org/officeDocument/2006/relationships/hyperlink" Target="https://drive.google.com/drive/folders/10T2cTQHqEJZqE-st6uFKPoI?usp=share_link" TargetMode="External"/><Relationship Id="rId5615" Type="http://schemas.openxmlformats.org/officeDocument/2006/relationships/hyperlink" Target="https://drive.google.com/drive/folders/10T2cTQHqEJZqE-st6uFKPoI?usp=share_link" TargetMode="External"/><Relationship Id="rId1258" Type="http://schemas.openxmlformats.org/officeDocument/2006/relationships/hyperlink" Target="https://drive.google.com/drive/folders/10T2cTQHqEJZqE-st6uFKPoI?usp=share_link" TargetMode="External"/><Relationship Id="rId2589" Type="http://schemas.openxmlformats.org/officeDocument/2006/relationships/hyperlink" Target="https://drive.google.com/drive/folders/10T2cTQHqEJZqE-st6uFKPoI?usp=share_link" TargetMode="External"/><Relationship Id="rId5616" Type="http://schemas.openxmlformats.org/officeDocument/2006/relationships/hyperlink" Target="https://drive.google.com/drive/folders/10T2cTQHqEJZqE-st6uFKPoI?usp=share_link" TargetMode="External"/><Relationship Id="rId1259" Type="http://schemas.openxmlformats.org/officeDocument/2006/relationships/hyperlink" Target="https://drive.google.com/drive/folders/10T2cTQHqEJZqE-st6uFKPoI?usp=share_link" TargetMode="External"/><Relationship Id="rId5613" Type="http://schemas.openxmlformats.org/officeDocument/2006/relationships/hyperlink" Target="https://drive.google.com/drive/folders/10T2cTQHqEJZqE-st6uFKPoI?usp=share_link" TargetMode="External"/><Relationship Id="rId5614" Type="http://schemas.openxmlformats.org/officeDocument/2006/relationships/hyperlink" Target="https://drive.google.com/drive/folders/10T2cTQHqEJZqE-st6uFKPoI?usp=share_link" TargetMode="External"/><Relationship Id="rId5619" Type="http://schemas.openxmlformats.org/officeDocument/2006/relationships/hyperlink" Target="https://drive.google.com/drive/folders/10T2cTQHqEJZqE-st6uFKPoI?usp=share_link" TargetMode="External"/><Relationship Id="rId5617" Type="http://schemas.openxmlformats.org/officeDocument/2006/relationships/hyperlink" Target="https://drive.google.com/drive/folders/10T2cTQHqEJZqE-st6uFKPoI?usp=share_link" TargetMode="External"/><Relationship Id="rId5618" Type="http://schemas.openxmlformats.org/officeDocument/2006/relationships/hyperlink" Target="https://drive.google.com/drive/folders/10T2cTQHqEJZqE-st6uFKPoI?usp=share_link" TargetMode="External"/><Relationship Id="rId426" Type="http://schemas.openxmlformats.org/officeDocument/2006/relationships/hyperlink" Target="https://drive.google.com/drive/folders/10T2cTQHqEJZqE-st6uFKPoI?usp=share_link" TargetMode="External"/><Relationship Id="rId425" Type="http://schemas.openxmlformats.org/officeDocument/2006/relationships/hyperlink" Target="https://drive.google.com/drive/folders/10T2cTQHqEJZqE-st6uFKPoI?usp=share_link" TargetMode="External"/><Relationship Id="rId424" Type="http://schemas.openxmlformats.org/officeDocument/2006/relationships/hyperlink" Target="https://drive.google.com/drive/folders/10T2cTQHqEJZqE-st6uFKPoI?usp=share_link" TargetMode="External"/><Relationship Id="rId423" Type="http://schemas.openxmlformats.org/officeDocument/2006/relationships/hyperlink" Target="https://drive.google.com/drive/folders/10T2cTQHqEJZqE-st6uFKPoI?usp=share_link" TargetMode="External"/><Relationship Id="rId429" Type="http://schemas.openxmlformats.org/officeDocument/2006/relationships/hyperlink" Target="https://drive.google.com/drive/folders/10T2cTQHqEJZqE-st6uFKPoI?usp=share_link" TargetMode="External"/><Relationship Id="rId428" Type="http://schemas.openxmlformats.org/officeDocument/2006/relationships/hyperlink" Target="https://drive.google.com/drive/folders/10T2cTQHqEJZqE-st6uFKPoI?usp=share_link" TargetMode="External"/><Relationship Id="rId427" Type="http://schemas.openxmlformats.org/officeDocument/2006/relationships/hyperlink" Target="https://drive.google.com/drive/folders/10T2cTQHqEJZqE-st6uFKPoI?usp=share_link" TargetMode="External"/><Relationship Id="rId2580" Type="http://schemas.openxmlformats.org/officeDocument/2006/relationships/hyperlink" Target="https://drive.google.com/drive/folders/10T2cTQHqEJZqE-st6uFKPoI?usp=share_link" TargetMode="External"/><Relationship Id="rId1250" Type="http://schemas.openxmlformats.org/officeDocument/2006/relationships/hyperlink" Target="https://drive.google.com/drive/folders/10T2cTQHqEJZqE-st6uFKPoI?usp=share_link" TargetMode="External"/><Relationship Id="rId2581" Type="http://schemas.openxmlformats.org/officeDocument/2006/relationships/hyperlink" Target="https://drive.google.com/drive/folders/10T2cTQHqEJZqE-st6uFKPoI?usp=share_link" TargetMode="External"/><Relationship Id="rId1251" Type="http://schemas.openxmlformats.org/officeDocument/2006/relationships/hyperlink" Target="https://drive.google.com/drive/folders/10T2cTQHqEJZqE-st6uFKPoI?usp=share_link" TargetMode="External"/><Relationship Id="rId2582" Type="http://schemas.openxmlformats.org/officeDocument/2006/relationships/hyperlink" Target="https://drive.google.com/drive/folders/10T2cTQHqEJZqE-st6uFKPoI?usp=share_link" TargetMode="External"/><Relationship Id="rId1252" Type="http://schemas.openxmlformats.org/officeDocument/2006/relationships/hyperlink" Target="https://drive.google.com/drive/folders/10T2cTQHqEJZqE-st6uFKPoI?usp=share_link" TargetMode="External"/><Relationship Id="rId2583" Type="http://schemas.openxmlformats.org/officeDocument/2006/relationships/hyperlink" Target="https://drive.google.com/drive/folders/10T2cTQHqEJZqE-st6uFKPoI?usp=share_link" TargetMode="External"/><Relationship Id="rId422" Type="http://schemas.openxmlformats.org/officeDocument/2006/relationships/hyperlink" Target="https://drive.google.com/drive/folders/10T2cTQHqEJZqE-st6uFKPoI?usp=share_link" TargetMode="External"/><Relationship Id="rId1253" Type="http://schemas.openxmlformats.org/officeDocument/2006/relationships/hyperlink" Target="https://drive.google.com/drive/folders/10T2cTQHqEJZqE-st6uFKPoI?usp=share_link" TargetMode="External"/><Relationship Id="rId2584" Type="http://schemas.openxmlformats.org/officeDocument/2006/relationships/hyperlink" Target="https://drive.google.com/drive/folders/10T2cTQHqEJZqE-st6uFKPoI?usp=share_link" TargetMode="External"/><Relationship Id="rId5611" Type="http://schemas.openxmlformats.org/officeDocument/2006/relationships/hyperlink" Target="https://drive.google.com/drive/folders/10T2cTQHqEJZqE-st6uFKPoI?usp=share_link" TargetMode="External"/><Relationship Id="rId421" Type="http://schemas.openxmlformats.org/officeDocument/2006/relationships/hyperlink" Target="https://drive.google.com/drive/folders/10T2cTQHqEJZqE-st6uFKPoI?usp=share_link" TargetMode="External"/><Relationship Id="rId1254" Type="http://schemas.openxmlformats.org/officeDocument/2006/relationships/hyperlink" Target="https://drive.google.com/drive/folders/10T2cTQHqEJZqE-st6uFKPoI?usp=share_link" TargetMode="External"/><Relationship Id="rId2585" Type="http://schemas.openxmlformats.org/officeDocument/2006/relationships/hyperlink" Target="https://drive.google.com/drive/folders/10T2cTQHqEJZqE-st6uFKPoI?usp=share_link" TargetMode="External"/><Relationship Id="rId5612" Type="http://schemas.openxmlformats.org/officeDocument/2006/relationships/hyperlink" Target="https://drive.google.com/drive/folders/10T2cTQHqEJZqE-st6uFKPoI?usp=share_link" TargetMode="External"/><Relationship Id="rId420" Type="http://schemas.openxmlformats.org/officeDocument/2006/relationships/hyperlink" Target="https://drive.google.com/drive/folders/10T2cTQHqEJZqE-st6uFKPoI?usp=share_link" TargetMode="External"/><Relationship Id="rId1255" Type="http://schemas.openxmlformats.org/officeDocument/2006/relationships/hyperlink" Target="https://drive.google.com/drive/folders/10T2cTQHqEJZqE-st6uFKPoI?usp=share_link" TargetMode="External"/><Relationship Id="rId2586" Type="http://schemas.openxmlformats.org/officeDocument/2006/relationships/hyperlink" Target="https://drive.google.com/drive/folders/10T2cTQHqEJZqE-st6uFKPoI?usp=share_link" TargetMode="External"/><Relationship Id="rId1256" Type="http://schemas.openxmlformats.org/officeDocument/2006/relationships/hyperlink" Target="https://drive.google.com/drive/folders/10T2cTQHqEJZqE-st6uFKPoI?usp=share_link" TargetMode="External"/><Relationship Id="rId2587" Type="http://schemas.openxmlformats.org/officeDocument/2006/relationships/hyperlink" Target="https://drive.google.com/drive/folders/10T2cTQHqEJZqE-st6uFKPoI?usp=share_link" TargetMode="External"/><Relationship Id="rId5610" Type="http://schemas.openxmlformats.org/officeDocument/2006/relationships/hyperlink" Target="https://drive.google.com/drive/folders/10T2cTQHqEJZqE-st6uFKPoI?usp=share_link" TargetMode="External"/><Relationship Id="rId1246" Type="http://schemas.openxmlformats.org/officeDocument/2006/relationships/hyperlink" Target="https://drive.google.com/drive/folders/10T2cTQHqEJZqE-st6uFKPoI?usp=share_link" TargetMode="External"/><Relationship Id="rId2577" Type="http://schemas.openxmlformats.org/officeDocument/2006/relationships/hyperlink" Target="https://drive.google.com/drive/folders/10T2cTQHqEJZqE-st6uFKPoI?usp=share_link" TargetMode="External"/><Relationship Id="rId5604" Type="http://schemas.openxmlformats.org/officeDocument/2006/relationships/hyperlink" Target="https://drive.google.com/drive/folders/10T2cTQHqEJZqE-st6uFKPoI?usp=share_link" TargetMode="External"/><Relationship Id="rId1247" Type="http://schemas.openxmlformats.org/officeDocument/2006/relationships/hyperlink" Target="https://drive.google.com/drive/folders/10T2cTQHqEJZqE-st6uFKPoI?usp=share_link" TargetMode="External"/><Relationship Id="rId2578" Type="http://schemas.openxmlformats.org/officeDocument/2006/relationships/hyperlink" Target="https://drive.google.com/drive/folders/10T2cTQHqEJZqE-st6uFKPoI?usp=share_link" TargetMode="External"/><Relationship Id="rId5605" Type="http://schemas.openxmlformats.org/officeDocument/2006/relationships/hyperlink" Target="https://drive.google.com/drive/folders/10T2cTQHqEJZqE-st6uFKPoI?usp=share_link" TargetMode="External"/><Relationship Id="rId1248" Type="http://schemas.openxmlformats.org/officeDocument/2006/relationships/hyperlink" Target="https://drive.google.com/drive/folders/10T2cTQHqEJZqE-st6uFKPoI?usp=share_link" TargetMode="External"/><Relationship Id="rId2579" Type="http://schemas.openxmlformats.org/officeDocument/2006/relationships/hyperlink" Target="https://drive.google.com/drive/folders/10T2cTQHqEJZqE-st6uFKPoI?usp=share_link" TargetMode="External"/><Relationship Id="rId5602" Type="http://schemas.openxmlformats.org/officeDocument/2006/relationships/hyperlink" Target="https://drive.google.com/drive/folders/10T2cTQHqEJZqE-st6uFKPoI?usp=share_link" TargetMode="External"/><Relationship Id="rId1249" Type="http://schemas.openxmlformats.org/officeDocument/2006/relationships/hyperlink" Target="https://drive.google.com/drive/folders/10T2cTQHqEJZqE-st6uFKPoI?usp=share_link" TargetMode="External"/><Relationship Id="rId5603" Type="http://schemas.openxmlformats.org/officeDocument/2006/relationships/hyperlink" Target="https://drive.google.com/drive/folders/10T2cTQHqEJZqE-st6uFKPoI?usp=share_link" TargetMode="External"/><Relationship Id="rId5608" Type="http://schemas.openxmlformats.org/officeDocument/2006/relationships/hyperlink" Target="https://drive.google.com/drive/folders/10T2cTQHqEJZqE-st6uFKPoI?usp=share_link" TargetMode="External"/><Relationship Id="rId5609" Type="http://schemas.openxmlformats.org/officeDocument/2006/relationships/hyperlink" Target="https://drive.google.com/drive/folders/10T2cTQHqEJZqE-st6uFKPoI?usp=share_link" TargetMode="External"/><Relationship Id="rId5606" Type="http://schemas.openxmlformats.org/officeDocument/2006/relationships/hyperlink" Target="https://drive.google.com/drive/folders/10T2cTQHqEJZqE-st6uFKPoI?usp=share_link" TargetMode="External"/><Relationship Id="rId5607" Type="http://schemas.openxmlformats.org/officeDocument/2006/relationships/hyperlink" Target="https://drive.google.com/drive/folders/10T2cTQHqEJZqE-st6uFKPoI?usp=share_link" TargetMode="External"/><Relationship Id="rId415" Type="http://schemas.openxmlformats.org/officeDocument/2006/relationships/hyperlink" Target="https://drive.google.com/drive/folders/10T2cTQHqEJZqE-st6uFKPoI?usp=share_link" TargetMode="External"/><Relationship Id="rId414" Type="http://schemas.openxmlformats.org/officeDocument/2006/relationships/hyperlink" Target="https://drive.google.com/drive/folders/10T2cTQHqEJZqE-st6uFKPoI?usp=share_link" TargetMode="External"/><Relationship Id="rId413" Type="http://schemas.openxmlformats.org/officeDocument/2006/relationships/hyperlink" Target="https://drive.google.com/drive/folders/10T2cTQHqEJZqE-st6uFKPoI?usp=share_link" TargetMode="External"/><Relationship Id="rId412" Type="http://schemas.openxmlformats.org/officeDocument/2006/relationships/hyperlink" Target="https://drive.google.com/drive/folders/10T2cTQHqEJZqE-st6uFKPoI?usp=share_link" TargetMode="External"/><Relationship Id="rId419" Type="http://schemas.openxmlformats.org/officeDocument/2006/relationships/hyperlink" Target="https://drive.google.com/drive/folders/10T2cTQHqEJZqE-st6uFKPoI?usp=share_link" TargetMode="External"/><Relationship Id="rId418" Type="http://schemas.openxmlformats.org/officeDocument/2006/relationships/hyperlink" Target="https://drive.google.com/drive/folders/10T2cTQHqEJZqE-st6uFKPoI?usp=share_link" TargetMode="External"/><Relationship Id="rId417" Type="http://schemas.openxmlformats.org/officeDocument/2006/relationships/hyperlink" Target="https://drive.google.com/drive/folders/10T2cTQHqEJZqE-st6uFKPoI?usp=share_link" TargetMode="External"/><Relationship Id="rId416" Type="http://schemas.openxmlformats.org/officeDocument/2006/relationships/hyperlink" Target="https://drive.google.com/drive/folders/10T2cTQHqEJZqE-st6uFKPoI?usp=share_link" TargetMode="External"/><Relationship Id="rId2570" Type="http://schemas.openxmlformats.org/officeDocument/2006/relationships/hyperlink" Target="https://drive.google.com/drive/folders/10T2cTQHqEJZqE-st6uFKPoI?usp=share_link" TargetMode="External"/><Relationship Id="rId1240" Type="http://schemas.openxmlformats.org/officeDocument/2006/relationships/hyperlink" Target="https://drive.google.com/drive/folders/10T2cTQHqEJZqE-st6uFKPoI?usp=share_link" TargetMode="External"/><Relationship Id="rId2571" Type="http://schemas.openxmlformats.org/officeDocument/2006/relationships/hyperlink" Target="https://drive.google.com/drive/folders/10T2cTQHqEJZqE-st6uFKPoI?usp=share_link" TargetMode="External"/><Relationship Id="rId1241" Type="http://schemas.openxmlformats.org/officeDocument/2006/relationships/hyperlink" Target="https://drive.google.com/drive/folders/10T2cTQHqEJZqE-st6uFKPoI?usp=share_link" TargetMode="External"/><Relationship Id="rId2572" Type="http://schemas.openxmlformats.org/officeDocument/2006/relationships/hyperlink" Target="https://drive.google.com/drive/folders/10T2cTQHqEJZqE-st6uFKPoI?usp=share_link" TargetMode="External"/><Relationship Id="rId411" Type="http://schemas.openxmlformats.org/officeDocument/2006/relationships/hyperlink" Target="https://drive.google.com/drive/folders/10T2cTQHqEJZqE-st6uFKPoI?usp=share_link" TargetMode="External"/><Relationship Id="rId1242" Type="http://schemas.openxmlformats.org/officeDocument/2006/relationships/hyperlink" Target="https://drive.google.com/drive/folders/10T2cTQHqEJZqE-st6uFKPoI?usp=share_link" TargetMode="External"/><Relationship Id="rId2573" Type="http://schemas.openxmlformats.org/officeDocument/2006/relationships/hyperlink" Target="https://drive.google.com/drive/folders/10T2cTQHqEJZqE-st6uFKPoI?usp=share_link" TargetMode="External"/><Relationship Id="rId5600" Type="http://schemas.openxmlformats.org/officeDocument/2006/relationships/hyperlink" Target="https://drive.google.com/drive/folders/10T2cTQHqEJZqE-st6uFKPoI?usp=share_link" TargetMode="External"/><Relationship Id="rId410" Type="http://schemas.openxmlformats.org/officeDocument/2006/relationships/hyperlink" Target="https://drive.google.com/drive/folders/10T2cTQHqEJZqE-st6uFKPoI?usp=share_link" TargetMode="External"/><Relationship Id="rId1243" Type="http://schemas.openxmlformats.org/officeDocument/2006/relationships/hyperlink" Target="https://drive.google.com/drive/folders/10T2cTQHqEJZqE-st6uFKPoI?usp=share_link" TargetMode="External"/><Relationship Id="rId2574" Type="http://schemas.openxmlformats.org/officeDocument/2006/relationships/hyperlink" Target="https://drive.google.com/drive/folders/10T2cTQHqEJZqE-st6uFKPoI?usp=share_link" TargetMode="External"/><Relationship Id="rId5601" Type="http://schemas.openxmlformats.org/officeDocument/2006/relationships/hyperlink" Target="https://drive.google.com/drive/folders/10T2cTQHqEJZqE-st6uFKPoI?usp=share_link" TargetMode="External"/><Relationship Id="rId1244" Type="http://schemas.openxmlformats.org/officeDocument/2006/relationships/hyperlink" Target="https://drive.google.com/drive/folders/10T2cTQHqEJZqE-st6uFKPoI?usp=share_link" TargetMode="External"/><Relationship Id="rId2575" Type="http://schemas.openxmlformats.org/officeDocument/2006/relationships/hyperlink" Target="https://drive.google.com/drive/folders/10T2cTQHqEJZqE-st6uFKPoI?usp=share_link" TargetMode="External"/><Relationship Id="rId1245" Type="http://schemas.openxmlformats.org/officeDocument/2006/relationships/hyperlink" Target="https://drive.google.com/drive/folders/10T2cTQHqEJZqE-st6uFKPoI?usp=share_link" TargetMode="External"/><Relationship Id="rId2576" Type="http://schemas.openxmlformats.org/officeDocument/2006/relationships/hyperlink" Target="https://drive.google.com/drive/folders/10T2cTQHqEJZqE-st6uFKPoI?usp=share_link" TargetMode="External"/><Relationship Id="rId1279" Type="http://schemas.openxmlformats.org/officeDocument/2006/relationships/hyperlink" Target="https://drive.google.com/drive/folders/10T2cTQHqEJZqE-st6uFKPoI?usp=share_link" TargetMode="External"/><Relationship Id="rId4305" Type="http://schemas.openxmlformats.org/officeDocument/2006/relationships/hyperlink" Target="https://drive.google.com/drive/folders/10T2cTQHqEJZqE-st6uFKPoI?usp=share_link" TargetMode="External"/><Relationship Id="rId5637" Type="http://schemas.openxmlformats.org/officeDocument/2006/relationships/hyperlink" Target="https://drive.google.com/drive/folders/10T2cTQHqEJZqE-st6uFKPoI?usp=share_link" TargetMode="External"/><Relationship Id="rId4304" Type="http://schemas.openxmlformats.org/officeDocument/2006/relationships/hyperlink" Target="https://drive.google.com/drive/folders/10T2cTQHqEJZqE-st6uFKPoI?usp=share_link" TargetMode="External"/><Relationship Id="rId5638" Type="http://schemas.openxmlformats.org/officeDocument/2006/relationships/hyperlink" Target="https://drive.google.com/drive/folders/10T2cTQHqEJZqE-st6uFKPoI?usp=share_link" TargetMode="External"/><Relationship Id="rId4307" Type="http://schemas.openxmlformats.org/officeDocument/2006/relationships/hyperlink" Target="https://drive.google.com/drive/folders/10T2cTQHqEJZqE-st6uFKPoI?usp=share_link" TargetMode="External"/><Relationship Id="rId5635" Type="http://schemas.openxmlformats.org/officeDocument/2006/relationships/hyperlink" Target="https://drive.google.com/drive/folders/10T2cTQHqEJZqE-st6uFKPoI?usp=share_link" TargetMode="External"/><Relationship Id="rId4306" Type="http://schemas.openxmlformats.org/officeDocument/2006/relationships/hyperlink" Target="https://drive.google.com/drive/folders/10T2cTQHqEJZqE-st6uFKPoI?usp=share_link" TargetMode="External"/><Relationship Id="rId5636" Type="http://schemas.openxmlformats.org/officeDocument/2006/relationships/hyperlink" Target="https://drive.google.com/drive/folders/10T2cTQHqEJZqE-st6uFKPoI?usp=share_link" TargetMode="External"/><Relationship Id="rId4309" Type="http://schemas.openxmlformats.org/officeDocument/2006/relationships/hyperlink" Target="https://drive.google.com/drive/folders/10T2cTQHqEJZqE-st6uFKPoI?usp=share_link" TargetMode="External"/><Relationship Id="rId4308" Type="http://schemas.openxmlformats.org/officeDocument/2006/relationships/hyperlink" Target="https://drive.google.com/drive/folders/10T2cTQHqEJZqE-st6uFKPoI?usp=share_link" TargetMode="External"/><Relationship Id="rId5639" Type="http://schemas.openxmlformats.org/officeDocument/2006/relationships/hyperlink" Target="https://drive.google.com/drive/folders/10T2cTQHqEJZqE-st6uFKPoI?usp=share_link" TargetMode="External"/><Relationship Id="rId448" Type="http://schemas.openxmlformats.org/officeDocument/2006/relationships/hyperlink" Target="https://drive.google.com/drive/folders/10T2cTQHqEJZqE-st6uFKPoI?usp=share_link" TargetMode="External"/><Relationship Id="rId447" Type="http://schemas.openxmlformats.org/officeDocument/2006/relationships/hyperlink" Target="https://drive.google.com/drive/folders/10T2cTQHqEJZqE-st6uFKPoI?usp=share_link" TargetMode="External"/><Relationship Id="rId446" Type="http://schemas.openxmlformats.org/officeDocument/2006/relationships/hyperlink" Target="https://drive.google.com/drive/folders/10T2cTQHqEJZqE-st6uFKPoI?usp=share_link" TargetMode="External"/><Relationship Id="rId445" Type="http://schemas.openxmlformats.org/officeDocument/2006/relationships/hyperlink" Target="https://drive.google.com/drive/folders/10T2cTQHqEJZqE-st6uFKPoI?usp=share_link" TargetMode="External"/><Relationship Id="rId449" Type="http://schemas.openxmlformats.org/officeDocument/2006/relationships/hyperlink" Target="https://drive.google.com/drive/folders/10T2cTQHqEJZqE-st6uFKPoI?usp=share_link" TargetMode="External"/><Relationship Id="rId1270" Type="http://schemas.openxmlformats.org/officeDocument/2006/relationships/hyperlink" Target="https://drive.google.com/drive/folders/10T2cTQHqEJZqE-st6uFKPoI?usp=share_link" TargetMode="External"/><Relationship Id="rId440" Type="http://schemas.openxmlformats.org/officeDocument/2006/relationships/hyperlink" Target="https://drive.google.com/drive/folders/10T2cTQHqEJZqE-st6uFKPoI?usp=share_link" TargetMode="External"/><Relationship Id="rId1271" Type="http://schemas.openxmlformats.org/officeDocument/2006/relationships/hyperlink" Target="https://drive.google.com/drive/folders/10T2cTQHqEJZqE-st6uFKPoI?usp=share_link" TargetMode="External"/><Relationship Id="rId1272" Type="http://schemas.openxmlformats.org/officeDocument/2006/relationships/hyperlink" Target="https://drive.google.com/drive/folders/10T2cTQHqEJZqE-st6uFKPoI?usp=share_link" TargetMode="External"/><Relationship Id="rId5630" Type="http://schemas.openxmlformats.org/officeDocument/2006/relationships/hyperlink" Target="https://drive.google.com/drive/folders/10T2cTQHqEJZqE-st6uFKPoI?usp=share_link" TargetMode="External"/><Relationship Id="rId1273" Type="http://schemas.openxmlformats.org/officeDocument/2006/relationships/hyperlink" Target="https://drive.google.com/drive/folders/10T2cTQHqEJZqE-st6uFKPoI?usp=share_link" TargetMode="External"/><Relationship Id="rId1274" Type="http://schemas.openxmlformats.org/officeDocument/2006/relationships/hyperlink" Target="https://drive.google.com/drive/folders/10T2cTQHqEJZqE-st6uFKPoI?usp=share_link" TargetMode="External"/><Relationship Id="rId444" Type="http://schemas.openxmlformats.org/officeDocument/2006/relationships/hyperlink" Target="https://drive.google.com/drive/folders/10T2cTQHqEJZqE-st6uFKPoI?usp=share_link" TargetMode="External"/><Relationship Id="rId1275" Type="http://schemas.openxmlformats.org/officeDocument/2006/relationships/hyperlink" Target="https://drive.google.com/drive/folders/10T2cTQHqEJZqE-st6uFKPoI?usp=share_link" TargetMode="External"/><Relationship Id="rId4301" Type="http://schemas.openxmlformats.org/officeDocument/2006/relationships/hyperlink" Target="https://drive.google.com/drive/folders/10T2cTQHqEJZqE-st6uFKPoI?usp=share_link" TargetMode="External"/><Relationship Id="rId5633" Type="http://schemas.openxmlformats.org/officeDocument/2006/relationships/hyperlink" Target="https://drive.google.com/drive/folders/10T2cTQHqEJZqE-st6uFKPoI?usp=share_link" TargetMode="External"/><Relationship Id="rId443" Type="http://schemas.openxmlformats.org/officeDocument/2006/relationships/hyperlink" Target="https://drive.google.com/drive/folders/10T2cTQHqEJZqE-st6uFKPoI?usp=share_link" TargetMode="External"/><Relationship Id="rId1276" Type="http://schemas.openxmlformats.org/officeDocument/2006/relationships/hyperlink" Target="https://drive.google.com/drive/folders/10T2cTQHqEJZqE-st6uFKPoI?usp=share_link" TargetMode="External"/><Relationship Id="rId4300" Type="http://schemas.openxmlformats.org/officeDocument/2006/relationships/hyperlink" Target="https://drive.google.com/drive/folders/10T2cTQHqEJZqE-st6uFKPoI?usp=share_link" TargetMode="External"/><Relationship Id="rId5634" Type="http://schemas.openxmlformats.org/officeDocument/2006/relationships/hyperlink" Target="https://drive.google.com/drive/folders/10T2cTQHqEJZqE-st6uFKPoI?usp=share_link" TargetMode="External"/><Relationship Id="rId442" Type="http://schemas.openxmlformats.org/officeDocument/2006/relationships/hyperlink" Target="https://drive.google.com/drive/folders/10T2cTQHqEJZqE-st6uFKPoI?usp=share_link" TargetMode="External"/><Relationship Id="rId1277" Type="http://schemas.openxmlformats.org/officeDocument/2006/relationships/hyperlink" Target="https://drive.google.com/drive/folders/10T2cTQHqEJZqE-st6uFKPoI?usp=share_link" TargetMode="External"/><Relationship Id="rId4303" Type="http://schemas.openxmlformats.org/officeDocument/2006/relationships/hyperlink" Target="https://drive.google.com/drive/folders/10T2cTQHqEJZqE-st6uFKPoI?usp=share_link" TargetMode="External"/><Relationship Id="rId5631" Type="http://schemas.openxmlformats.org/officeDocument/2006/relationships/hyperlink" Target="https://drive.google.com/drive/folders/10T2cTQHqEJZqE-st6uFKPoI?usp=share_link" TargetMode="External"/><Relationship Id="rId441" Type="http://schemas.openxmlformats.org/officeDocument/2006/relationships/hyperlink" Target="https://drive.google.com/drive/folders/10T2cTQHqEJZqE-st6uFKPoI?usp=share_link" TargetMode="External"/><Relationship Id="rId1278" Type="http://schemas.openxmlformats.org/officeDocument/2006/relationships/hyperlink" Target="https://drive.google.com/drive/folders/10T2cTQHqEJZqE-st6uFKPoI?usp=share_link" TargetMode="External"/><Relationship Id="rId4302" Type="http://schemas.openxmlformats.org/officeDocument/2006/relationships/hyperlink" Target="https://drive.google.com/drive/folders/10T2cTQHqEJZqE-st6uFKPoI?usp=share_link" TargetMode="External"/><Relationship Id="rId5632" Type="http://schemas.openxmlformats.org/officeDocument/2006/relationships/hyperlink" Target="https://drive.google.com/drive/folders/10T2cTQHqEJZqE-st6uFKPoI?usp=share_link" TargetMode="External"/><Relationship Id="rId1268" Type="http://schemas.openxmlformats.org/officeDocument/2006/relationships/hyperlink" Target="https://drive.google.com/drive/folders/10T2cTQHqEJZqE-st6uFKPoI?usp=share_link" TargetMode="External"/><Relationship Id="rId2599" Type="http://schemas.openxmlformats.org/officeDocument/2006/relationships/hyperlink" Target="https://drive.google.com/drive/folders/10T2cTQHqEJZqE-st6uFKPoI?usp=share_link" TargetMode="External"/><Relationship Id="rId5626" Type="http://schemas.openxmlformats.org/officeDocument/2006/relationships/hyperlink" Target="https://drive.google.com/drive/folders/10T2cTQHqEJZqE-st6uFKPoI?usp=share_link" TargetMode="External"/><Relationship Id="rId1269" Type="http://schemas.openxmlformats.org/officeDocument/2006/relationships/hyperlink" Target="https://drive.google.com/drive/folders/10T2cTQHqEJZqE-st6uFKPoI?usp=share_link" TargetMode="External"/><Relationship Id="rId5627" Type="http://schemas.openxmlformats.org/officeDocument/2006/relationships/hyperlink" Target="https://drive.google.com/drive/folders/10T2cTQHqEJZqE-st6uFKPoI?usp=share_link" TargetMode="External"/><Relationship Id="rId5624" Type="http://schemas.openxmlformats.org/officeDocument/2006/relationships/hyperlink" Target="https://drive.google.com/drive/folders/10T2cTQHqEJZqE-st6uFKPoI?usp=share_link" TargetMode="External"/><Relationship Id="rId5625" Type="http://schemas.openxmlformats.org/officeDocument/2006/relationships/hyperlink" Target="https://drive.google.com/drive/folders/10T2cTQHqEJZqE-st6uFKPoI?usp=share_link" TargetMode="External"/><Relationship Id="rId5628" Type="http://schemas.openxmlformats.org/officeDocument/2006/relationships/hyperlink" Target="https://drive.google.com/drive/folders/10T2cTQHqEJZqE-st6uFKPoI?usp=share_link" TargetMode="External"/><Relationship Id="rId5629" Type="http://schemas.openxmlformats.org/officeDocument/2006/relationships/hyperlink" Target="https://drive.google.com/drive/folders/10T2cTQHqEJZqE-st6uFKPoI?usp=share_link" TargetMode="External"/><Relationship Id="rId437" Type="http://schemas.openxmlformats.org/officeDocument/2006/relationships/hyperlink" Target="https://drive.google.com/drive/folders/10T2cTQHqEJZqE-st6uFKPoI?usp=share_link" TargetMode="External"/><Relationship Id="rId436" Type="http://schemas.openxmlformats.org/officeDocument/2006/relationships/hyperlink" Target="https://drive.google.com/drive/folders/10T2cTQHqEJZqE-st6uFKPoI?usp=share_link" TargetMode="External"/><Relationship Id="rId435" Type="http://schemas.openxmlformats.org/officeDocument/2006/relationships/hyperlink" Target="https://drive.google.com/drive/folders/10T2cTQHqEJZqE-st6uFKPoI?usp=share_link" TargetMode="External"/><Relationship Id="rId434" Type="http://schemas.openxmlformats.org/officeDocument/2006/relationships/hyperlink" Target="https://drive.google.com/drive/folders/10T2cTQHqEJZqE-st6uFKPoI?usp=share_link" TargetMode="External"/><Relationship Id="rId439" Type="http://schemas.openxmlformats.org/officeDocument/2006/relationships/hyperlink" Target="https://drive.google.com/drive/folders/10T2cTQHqEJZqE-st6uFKPoI?usp=share_link" TargetMode="External"/><Relationship Id="rId438" Type="http://schemas.openxmlformats.org/officeDocument/2006/relationships/hyperlink" Target="https://drive.google.com/drive/folders/10T2cTQHqEJZqE-st6uFKPoI?usp=share_link" TargetMode="External"/><Relationship Id="rId2590" Type="http://schemas.openxmlformats.org/officeDocument/2006/relationships/hyperlink" Target="https://drive.google.com/drive/folders/10T2cTQHqEJZqE-st6uFKPoI?usp=share_link" TargetMode="External"/><Relationship Id="rId1260" Type="http://schemas.openxmlformats.org/officeDocument/2006/relationships/hyperlink" Target="https://drive.google.com/drive/folders/10T2cTQHqEJZqE-st6uFKPoI?usp=share_link" TargetMode="External"/><Relationship Id="rId2591" Type="http://schemas.openxmlformats.org/officeDocument/2006/relationships/hyperlink" Target="https://drive.google.com/drive/folders/10T2cTQHqEJZqE-st6uFKPoI?usp=share_link" TargetMode="External"/><Relationship Id="rId1261" Type="http://schemas.openxmlformats.org/officeDocument/2006/relationships/hyperlink" Target="https://drive.google.com/drive/folders/10T2cTQHqEJZqE-st6uFKPoI?usp=share_link" TargetMode="External"/><Relationship Id="rId2592" Type="http://schemas.openxmlformats.org/officeDocument/2006/relationships/hyperlink" Target="https://drive.google.com/drive/folders/10T2cTQHqEJZqE-st6uFKPoI?usp=share_link" TargetMode="External"/><Relationship Id="rId1262" Type="http://schemas.openxmlformats.org/officeDocument/2006/relationships/hyperlink" Target="https://drive.google.com/drive/folders/10T2cTQHqEJZqE-st6uFKPoI?usp=share_link" TargetMode="External"/><Relationship Id="rId2593" Type="http://schemas.openxmlformats.org/officeDocument/2006/relationships/hyperlink" Target="https://drive.google.com/drive/folders/10T2cTQHqEJZqE-st6uFKPoI?usp=share_link" TargetMode="External"/><Relationship Id="rId1263" Type="http://schemas.openxmlformats.org/officeDocument/2006/relationships/hyperlink" Target="https://drive.google.com/drive/folders/10T2cTQHqEJZqE-st6uFKPoI?usp=share_link" TargetMode="External"/><Relationship Id="rId2594" Type="http://schemas.openxmlformats.org/officeDocument/2006/relationships/hyperlink" Target="https://drive.google.com/drive/folders/10T2cTQHqEJZqE-st6uFKPoI?usp=share_link" TargetMode="External"/><Relationship Id="rId433" Type="http://schemas.openxmlformats.org/officeDocument/2006/relationships/hyperlink" Target="https://drive.google.com/drive/folders/10T2cTQHqEJZqE-st6uFKPoI?usp=share_link" TargetMode="External"/><Relationship Id="rId1264" Type="http://schemas.openxmlformats.org/officeDocument/2006/relationships/hyperlink" Target="https://drive.google.com/drive/folders/10T2cTQHqEJZqE-st6uFKPoI?usp=share_link" TargetMode="External"/><Relationship Id="rId2595" Type="http://schemas.openxmlformats.org/officeDocument/2006/relationships/hyperlink" Target="https://drive.google.com/drive/folders/10T2cTQHqEJZqE-st6uFKPoI?usp=share_link" TargetMode="External"/><Relationship Id="rId5622" Type="http://schemas.openxmlformats.org/officeDocument/2006/relationships/hyperlink" Target="https://drive.google.com/drive/folders/10T2cTQHqEJZqE-st6uFKPoI?usp=share_link" TargetMode="External"/><Relationship Id="rId432" Type="http://schemas.openxmlformats.org/officeDocument/2006/relationships/hyperlink" Target="https://drive.google.com/drive/folders/10T2cTQHqEJZqE-st6uFKPoI?usp=share_link" TargetMode="External"/><Relationship Id="rId1265" Type="http://schemas.openxmlformats.org/officeDocument/2006/relationships/hyperlink" Target="https://drive.google.com/drive/folders/10T2cTQHqEJZqE-st6uFKPoI?usp=share_link" TargetMode="External"/><Relationship Id="rId2596" Type="http://schemas.openxmlformats.org/officeDocument/2006/relationships/hyperlink" Target="https://drive.google.com/drive/folders/10T2cTQHqEJZqE-st6uFKPoI?usp=share_link" TargetMode="External"/><Relationship Id="rId5623" Type="http://schemas.openxmlformats.org/officeDocument/2006/relationships/hyperlink" Target="https://drive.google.com/drive/folders/10T2cTQHqEJZqE-st6uFKPoI?usp=share_link" TargetMode="External"/><Relationship Id="rId431" Type="http://schemas.openxmlformats.org/officeDocument/2006/relationships/hyperlink" Target="https://drive.google.com/drive/folders/10T2cTQHqEJZqE-st6uFKPoI?usp=share_link" TargetMode="External"/><Relationship Id="rId1266" Type="http://schemas.openxmlformats.org/officeDocument/2006/relationships/hyperlink" Target="https://drive.google.com/drive/folders/10T2cTQHqEJZqE-st6uFKPoI?usp=share_link" TargetMode="External"/><Relationship Id="rId2597" Type="http://schemas.openxmlformats.org/officeDocument/2006/relationships/hyperlink" Target="https://drive.google.com/drive/folders/10T2cTQHqEJZqE-st6uFKPoI?usp=share_link" TargetMode="External"/><Relationship Id="rId5620" Type="http://schemas.openxmlformats.org/officeDocument/2006/relationships/hyperlink" Target="https://drive.google.com/drive/folders/10T2cTQHqEJZqE-st6uFKPoI?usp=share_link" TargetMode="External"/><Relationship Id="rId430" Type="http://schemas.openxmlformats.org/officeDocument/2006/relationships/hyperlink" Target="https://drive.google.com/drive/folders/10T2cTQHqEJZqE-st6uFKPoI?usp=share_link" TargetMode="External"/><Relationship Id="rId1267" Type="http://schemas.openxmlformats.org/officeDocument/2006/relationships/hyperlink" Target="https://drive.google.com/drive/folders/10T2cTQHqEJZqE-st6uFKPoI?usp=share_link" TargetMode="External"/><Relationship Id="rId2598" Type="http://schemas.openxmlformats.org/officeDocument/2006/relationships/hyperlink" Target="https://drive.google.com/drive/folders/10T2cTQHqEJZqE-st6uFKPoI?usp=share_link" TargetMode="External"/><Relationship Id="rId5621" Type="http://schemas.openxmlformats.org/officeDocument/2006/relationships/hyperlink" Target="https://drive.google.com/drive/folders/10T2cTQHqEJZqE-st6uFKPoI?usp=share_link" TargetMode="External"/><Relationship Id="rId3070" Type="http://schemas.openxmlformats.org/officeDocument/2006/relationships/hyperlink" Target="https://drive.google.com/drive/folders/10T2cTQHqEJZqE-st6uFKPoI?usp=share_link" TargetMode="External"/><Relationship Id="rId3072" Type="http://schemas.openxmlformats.org/officeDocument/2006/relationships/hyperlink" Target="https://drive.google.com/drive/folders/10T2cTQHqEJZqE-st6uFKPoI?usp=share_link" TargetMode="External"/><Relationship Id="rId3071" Type="http://schemas.openxmlformats.org/officeDocument/2006/relationships/hyperlink" Target="https://drive.google.com/drive/folders/10T2cTQHqEJZqE-st6uFKPoI?usp=share_link" TargetMode="External"/><Relationship Id="rId3074" Type="http://schemas.openxmlformats.org/officeDocument/2006/relationships/hyperlink" Target="https://drive.google.com/drive/folders/10T2cTQHqEJZqE-st6uFKPoI?usp=share_link" TargetMode="External"/><Relationship Id="rId3073" Type="http://schemas.openxmlformats.org/officeDocument/2006/relationships/hyperlink" Target="https://drive.google.com/drive/folders/10T2cTQHqEJZqE-st6uFKPoI?usp=share_link" TargetMode="External"/><Relationship Id="rId3076" Type="http://schemas.openxmlformats.org/officeDocument/2006/relationships/hyperlink" Target="https://drive.google.com/drive/folders/10T2cTQHqEJZqE-st6uFKPoI?usp=share_link" TargetMode="External"/><Relationship Id="rId3075" Type="http://schemas.openxmlformats.org/officeDocument/2006/relationships/hyperlink" Target="https://drive.google.com/drive/folders/10T2cTQHqEJZqE-st6uFKPoI?usp=share_link" TargetMode="External"/><Relationship Id="rId3078" Type="http://schemas.openxmlformats.org/officeDocument/2006/relationships/hyperlink" Target="https://drive.google.com/drive/folders/10T2cTQHqEJZqE-st6uFKPoI?usp=share_link" TargetMode="External"/><Relationship Id="rId3077" Type="http://schemas.openxmlformats.org/officeDocument/2006/relationships/hyperlink" Target="https://drive.google.com/drive/folders/10T2cTQHqEJZqE-st6uFKPoI?usp=share_link" TargetMode="External"/><Relationship Id="rId3079" Type="http://schemas.openxmlformats.org/officeDocument/2006/relationships/hyperlink" Target="https://drive.google.com/drive/folders/10T2cTQHqEJZqE-st6uFKPoI?usp=share_link" TargetMode="External"/><Relationship Id="rId4390" Type="http://schemas.openxmlformats.org/officeDocument/2006/relationships/hyperlink" Target="https://drive.google.com/drive/folders/10T2cTQHqEJZqE-st6uFKPoI?usp=share_link" TargetMode="External"/><Relationship Id="rId3061" Type="http://schemas.openxmlformats.org/officeDocument/2006/relationships/hyperlink" Target="https://drive.google.com/drive/folders/10T2cTQHqEJZqE-st6uFKPoI?usp=share_link" TargetMode="External"/><Relationship Id="rId4392" Type="http://schemas.openxmlformats.org/officeDocument/2006/relationships/hyperlink" Target="https://drive.google.com/drive/folders/10T2cTQHqEJZqE-st6uFKPoI?usp=share_link" TargetMode="External"/><Relationship Id="rId3060" Type="http://schemas.openxmlformats.org/officeDocument/2006/relationships/hyperlink" Target="https://drive.google.com/drive/folders/10T2cTQHqEJZqE-st6uFKPoI?usp=share_link" TargetMode="External"/><Relationship Id="rId4391" Type="http://schemas.openxmlformats.org/officeDocument/2006/relationships/hyperlink" Target="https://drive.google.com/drive/folders/10T2cTQHqEJZqE-st6uFKPoI?usp=share_link" TargetMode="External"/><Relationship Id="rId3063" Type="http://schemas.openxmlformats.org/officeDocument/2006/relationships/hyperlink" Target="https://drive.google.com/drive/folders/10T2cTQHqEJZqE-st6uFKPoI?usp=share_link" TargetMode="External"/><Relationship Id="rId4394" Type="http://schemas.openxmlformats.org/officeDocument/2006/relationships/hyperlink" Target="https://drive.google.com/drive/folders/10T2cTQHqEJZqE-st6uFKPoI?usp=share_link" TargetMode="External"/><Relationship Id="rId3062" Type="http://schemas.openxmlformats.org/officeDocument/2006/relationships/hyperlink" Target="https://drive.google.com/drive/folders/10T2cTQHqEJZqE-st6uFKPoI?usp=share_link" TargetMode="External"/><Relationship Id="rId4393" Type="http://schemas.openxmlformats.org/officeDocument/2006/relationships/hyperlink" Target="https://drive.google.com/drive/folders/10T2cTQHqEJZqE-st6uFKPoI?usp=share_link" TargetMode="External"/><Relationship Id="rId3065" Type="http://schemas.openxmlformats.org/officeDocument/2006/relationships/hyperlink" Target="https://drive.google.com/drive/folders/10T2cTQHqEJZqE-st6uFKPoI?usp=share_link" TargetMode="External"/><Relationship Id="rId4396" Type="http://schemas.openxmlformats.org/officeDocument/2006/relationships/hyperlink" Target="https://drive.google.com/drive/folders/10T2cTQHqEJZqE-st6uFKPoI?usp=share_link" TargetMode="External"/><Relationship Id="rId3064" Type="http://schemas.openxmlformats.org/officeDocument/2006/relationships/hyperlink" Target="https://drive.google.com/drive/folders/10T2cTQHqEJZqE-st6uFKPoI?usp=share_link" TargetMode="External"/><Relationship Id="rId4395" Type="http://schemas.openxmlformats.org/officeDocument/2006/relationships/hyperlink" Target="https://drive.google.com/drive/folders/10T2cTQHqEJZqE-st6uFKPoI?usp=share_link" TargetMode="External"/><Relationship Id="rId3067" Type="http://schemas.openxmlformats.org/officeDocument/2006/relationships/hyperlink" Target="https://drive.google.com/drive/folders/10T2cTQHqEJZqE-st6uFKPoI?usp=share_link" TargetMode="External"/><Relationship Id="rId4398" Type="http://schemas.openxmlformats.org/officeDocument/2006/relationships/hyperlink" Target="https://drive.google.com/drive/folders/10T2cTQHqEJZqE-st6uFKPoI?usp=share_link" TargetMode="External"/><Relationship Id="rId3066" Type="http://schemas.openxmlformats.org/officeDocument/2006/relationships/hyperlink" Target="https://drive.google.com/drive/folders/10T2cTQHqEJZqE-st6uFKPoI?usp=share_link" TargetMode="External"/><Relationship Id="rId4397" Type="http://schemas.openxmlformats.org/officeDocument/2006/relationships/hyperlink" Target="https://drive.google.com/drive/folders/10T2cTQHqEJZqE-st6uFKPoI?usp=share_link" TargetMode="External"/><Relationship Id="rId3069" Type="http://schemas.openxmlformats.org/officeDocument/2006/relationships/hyperlink" Target="https://drive.google.com/drive/folders/10T2cTQHqEJZqE-st6uFKPoI?usp=share_link" TargetMode="External"/><Relationship Id="rId3068" Type="http://schemas.openxmlformats.org/officeDocument/2006/relationships/hyperlink" Target="https://drive.google.com/drive/folders/10T2cTQHqEJZqE-st6uFKPoI?usp=share_link" TargetMode="External"/><Relationship Id="rId4399" Type="http://schemas.openxmlformats.org/officeDocument/2006/relationships/hyperlink" Target="https://drive.google.com/drive/folders/10T2cTQHqEJZqE-st6uFKPoI?usp=share_link" TargetMode="External"/><Relationship Id="rId3090" Type="http://schemas.openxmlformats.org/officeDocument/2006/relationships/hyperlink" Target="https://drive.google.com/drive/folders/10T2cTQHqEJZqE-st6uFKPoI?usp=share_link" TargetMode="External"/><Relationship Id="rId3092" Type="http://schemas.openxmlformats.org/officeDocument/2006/relationships/hyperlink" Target="https://drive.google.com/drive/folders/10T2cTQHqEJZqE-st6uFKPoI?usp=share_link" TargetMode="External"/><Relationship Id="rId3091" Type="http://schemas.openxmlformats.org/officeDocument/2006/relationships/hyperlink" Target="https://drive.google.com/drive/folders/10T2cTQHqEJZqE-st6uFKPoI?usp=share_link" TargetMode="External"/><Relationship Id="rId3094" Type="http://schemas.openxmlformats.org/officeDocument/2006/relationships/hyperlink" Target="https://drive.google.com/drive/folders/10T2cTQHqEJZqE-st6uFKPoI?usp=share_link" TargetMode="External"/><Relationship Id="rId3093" Type="http://schemas.openxmlformats.org/officeDocument/2006/relationships/hyperlink" Target="https://drive.google.com/drive/folders/10T2cTQHqEJZqE-st6uFKPoI?usp=share_link" TargetMode="External"/><Relationship Id="rId3096" Type="http://schemas.openxmlformats.org/officeDocument/2006/relationships/hyperlink" Target="https://drive.google.com/drive/folders/10T2cTQHqEJZqE-st6uFKPoI?usp=share_link" TargetMode="External"/><Relationship Id="rId3095" Type="http://schemas.openxmlformats.org/officeDocument/2006/relationships/hyperlink" Target="https://drive.google.com/drive/folders/10T2cTQHqEJZqE-st6uFKPoI?usp=share_link" TargetMode="External"/><Relationship Id="rId3098" Type="http://schemas.openxmlformats.org/officeDocument/2006/relationships/hyperlink" Target="https://drive.google.com/drive/folders/10T2cTQHqEJZqE-st6uFKPoI?usp=share_link" TargetMode="External"/><Relationship Id="rId3097" Type="http://schemas.openxmlformats.org/officeDocument/2006/relationships/hyperlink" Target="https://drive.google.com/drive/folders/10T2cTQHqEJZqE-st6uFKPoI?usp=share_link" TargetMode="External"/><Relationship Id="rId3099" Type="http://schemas.openxmlformats.org/officeDocument/2006/relationships/hyperlink" Target="https://drive.google.com/drive/folders/10T2cTQHqEJZqE-st6uFKPoI?usp=share_link" TargetMode="External"/><Relationship Id="rId3081" Type="http://schemas.openxmlformats.org/officeDocument/2006/relationships/hyperlink" Target="https://drive.google.com/drive/folders/10T2cTQHqEJZqE-st6uFKPoI?usp=share_link" TargetMode="External"/><Relationship Id="rId3080" Type="http://schemas.openxmlformats.org/officeDocument/2006/relationships/hyperlink" Target="https://drive.google.com/drive/folders/10T2cTQHqEJZqE-st6uFKPoI?usp=share_link" TargetMode="External"/><Relationship Id="rId3083" Type="http://schemas.openxmlformats.org/officeDocument/2006/relationships/hyperlink" Target="https://drive.google.com/drive/folders/10T2cTQHqEJZqE-st6uFKPoI?usp=share_link" TargetMode="External"/><Relationship Id="rId3082" Type="http://schemas.openxmlformats.org/officeDocument/2006/relationships/hyperlink" Target="https://drive.google.com/drive/folders/10T2cTQHqEJZqE-st6uFKPoI?usp=share_link" TargetMode="External"/><Relationship Id="rId3085" Type="http://schemas.openxmlformats.org/officeDocument/2006/relationships/hyperlink" Target="https://drive.google.com/drive/folders/10T2cTQHqEJZqE-st6uFKPoI?usp=share_link" TargetMode="External"/><Relationship Id="rId3084" Type="http://schemas.openxmlformats.org/officeDocument/2006/relationships/hyperlink" Target="https://drive.google.com/drive/folders/10T2cTQHqEJZqE-st6uFKPoI?usp=share_link" TargetMode="External"/><Relationship Id="rId3087" Type="http://schemas.openxmlformats.org/officeDocument/2006/relationships/hyperlink" Target="https://drive.google.com/drive/folders/10T2cTQHqEJZqE-st6uFKPoI?usp=share_link" TargetMode="External"/><Relationship Id="rId3086" Type="http://schemas.openxmlformats.org/officeDocument/2006/relationships/hyperlink" Target="https://drive.google.com/drive/folders/10T2cTQHqEJZqE-st6uFKPoI?usp=share_link" TargetMode="External"/><Relationship Id="rId3089" Type="http://schemas.openxmlformats.org/officeDocument/2006/relationships/hyperlink" Target="https://drive.google.com/drive/folders/10T2cTQHqEJZqE-st6uFKPoI?usp=share_link" TargetMode="External"/><Relationship Id="rId3088" Type="http://schemas.openxmlformats.org/officeDocument/2006/relationships/hyperlink" Target="https://drive.google.com/drive/folders/10T2cTQHqEJZqE-st6uFKPoI?usp=share_link" TargetMode="External"/><Relationship Id="rId3039" Type="http://schemas.openxmlformats.org/officeDocument/2006/relationships/hyperlink" Target="https://drive.google.com/drive/folders/10T2cTQHqEJZqE-st6uFKPoI?usp=share_link" TargetMode="External"/><Relationship Id="rId1" Type="http://schemas.openxmlformats.org/officeDocument/2006/relationships/comments" Target="../comments3.xml"/><Relationship Id="rId2" Type="http://schemas.openxmlformats.org/officeDocument/2006/relationships/hyperlink" Target="https://drive.google.com/drive/folders/10T2cTQHqEJZqE-st6uFKPoI?usp=share_link" TargetMode="External"/><Relationship Id="rId3" Type="http://schemas.openxmlformats.org/officeDocument/2006/relationships/hyperlink" Target="https://drive.google.com/drive/folders/10T2cTQHqEJZqE-st6uFKPoI?usp=share_link" TargetMode="External"/><Relationship Id="rId4" Type="http://schemas.openxmlformats.org/officeDocument/2006/relationships/hyperlink" Target="https://drive.google.com/drive/folders/10T2cTQHqEJZqE-st6uFKPoI?usp=share_link" TargetMode="External"/><Relationship Id="rId5691" Type="http://schemas.openxmlformats.org/officeDocument/2006/relationships/hyperlink" Target="https://drive.google.com/drive/folders/10T2cTQHqEJZqE-st6uFKPoI?usp=share_link" TargetMode="External"/><Relationship Id="rId5692" Type="http://schemas.openxmlformats.org/officeDocument/2006/relationships/hyperlink" Target="https://drive.google.com/drive/folders/10T2cTQHqEJZqE-st6uFKPoI?usp=share_link" TargetMode="External"/><Relationship Id="rId3030" Type="http://schemas.openxmlformats.org/officeDocument/2006/relationships/hyperlink" Target="https://drive.google.com/drive/folders/10T2cTQHqEJZqE-st6uFKPoI?usp=share_link" TargetMode="External"/><Relationship Id="rId4361" Type="http://schemas.openxmlformats.org/officeDocument/2006/relationships/hyperlink" Target="https://drive.google.com/drive/folders/10T2cTQHqEJZqE-st6uFKPoI?usp=share_link" TargetMode="External"/><Relationship Id="rId4360" Type="http://schemas.openxmlformats.org/officeDocument/2006/relationships/hyperlink" Target="https://drive.google.com/drive/folders/10T2cTQHqEJZqE-st6uFKPoI?usp=share_link" TargetMode="External"/><Relationship Id="rId5690" Type="http://schemas.openxmlformats.org/officeDocument/2006/relationships/hyperlink" Target="https://drive.google.com/drive/folders/10T2cTQHqEJZqE-st6uFKPoI?usp=share_link" TargetMode="External"/><Relationship Id="rId9" Type="http://schemas.openxmlformats.org/officeDocument/2006/relationships/hyperlink" Target="https://drive.google.com/drive/folders/10T2cTQHqEJZqE-st6uFKPoI?usp=share_link" TargetMode="External"/><Relationship Id="rId3032" Type="http://schemas.openxmlformats.org/officeDocument/2006/relationships/hyperlink" Target="https://drive.google.com/drive/folders/10T2cTQHqEJZqE-st6uFKPoI?usp=share_link" TargetMode="External"/><Relationship Id="rId4363" Type="http://schemas.openxmlformats.org/officeDocument/2006/relationships/hyperlink" Target="https://drive.google.com/drive/folders/10T2cTQHqEJZqE-st6uFKPoI?usp=share_link" TargetMode="External"/><Relationship Id="rId5695" Type="http://schemas.openxmlformats.org/officeDocument/2006/relationships/hyperlink" Target="https://drive.google.com/drive/folders/10T2cTQHqEJZqE-st6uFKPoI?usp=share_link" TargetMode="External"/><Relationship Id="rId3031" Type="http://schemas.openxmlformats.org/officeDocument/2006/relationships/hyperlink" Target="https://drive.google.com/drive/folders/10T2cTQHqEJZqE-st6uFKPoI?usp=share_link" TargetMode="External"/><Relationship Id="rId4362" Type="http://schemas.openxmlformats.org/officeDocument/2006/relationships/hyperlink" Target="https://drive.google.com/drive/folders/10T2cTQHqEJZqE-st6uFKPoI?usp=share_link" TargetMode="External"/><Relationship Id="rId5696" Type="http://schemas.openxmlformats.org/officeDocument/2006/relationships/hyperlink" Target="https://drive.google.com/drive/folders/10T2cTQHqEJZqE-st6uFKPoI?usp=share_link" TargetMode="External"/><Relationship Id="rId3034" Type="http://schemas.openxmlformats.org/officeDocument/2006/relationships/hyperlink" Target="https://drive.google.com/drive/folders/10T2cTQHqEJZqE-st6uFKPoI?usp=share_link" TargetMode="External"/><Relationship Id="rId4365" Type="http://schemas.openxmlformats.org/officeDocument/2006/relationships/hyperlink" Target="https://drive.google.com/drive/folders/10T2cTQHqEJZqE-st6uFKPoI?usp=share_link" TargetMode="External"/><Relationship Id="rId5693" Type="http://schemas.openxmlformats.org/officeDocument/2006/relationships/hyperlink" Target="https://drive.google.com/drive/folders/10T2cTQHqEJZqE-st6uFKPoI?usp=share_link" TargetMode="External"/><Relationship Id="rId3033" Type="http://schemas.openxmlformats.org/officeDocument/2006/relationships/hyperlink" Target="https://drive.google.com/drive/folders/10T2cTQHqEJZqE-st6uFKPoI?usp=share_link" TargetMode="External"/><Relationship Id="rId4364" Type="http://schemas.openxmlformats.org/officeDocument/2006/relationships/hyperlink" Target="https://drive.google.com/drive/folders/10T2cTQHqEJZqE-st6uFKPoI?usp=share_link" TargetMode="External"/><Relationship Id="rId5694" Type="http://schemas.openxmlformats.org/officeDocument/2006/relationships/hyperlink" Target="https://drive.google.com/drive/folders/10T2cTQHqEJZqE-st6uFKPoI?usp=share_link" TargetMode="External"/><Relationship Id="rId5" Type="http://schemas.openxmlformats.org/officeDocument/2006/relationships/hyperlink" Target="https://drive.google.com/drive/folders/10T2cTQHqEJZqE-st6uFKPoI?usp=share_link" TargetMode="External"/><Relationship Id="rId3036" Type="http://schemas.openxmlformats.org/officeDocument/2006/relationships/hyperlink" Target="https://drive.google.com/drive/folders/10T2cTQHqEJZqE-st6uFKPoI?usp=share_link" TargetMode="External"/><Relationship Id="rId4367" Type="http://schemas.openxmlformats.org/officeDocument/2006/relationships/hyperlink" Target="https://drive.google.com/drive/folders/10T2cTQHqEJZqE-st6uFKPoI?usp=share_link" TargetMode="External"/><Relationship Id="rId5699" Type="http://schemas.openxmlformats.org/officeDocument/2006/relationships/hyperlink" Target="https://drive.google.com/drive/folders/10T2cTQHqEJZqE-st6uFKPoI?usp=share_link" TargetMode="External"/><Relationship Id="rId6" Type="http://schemas.openxmlformats.org/officeDocument/2006/relationships/hyperlink" Target="https://drive.google.com/drive/folders/10T2cTQHqEJZqE-st6uFKPoI?usp=share_link" TargetMode="External"/><Relationship Id="rId3035" Type="http://schemas.openxmlformats.org/officeDocument/2006/relationships/hyperlink" Target="https://drive.google.com/drive/folders/10T2cTQHqEJZqE-st6uFKPoI?usp=share_link" TargetMode="External"/><Relationship Id="rId4366" Type="http://schemas.openxmlformats.org/officeDocument/2006/relationships/hyperlink" Target="https://drive.google.com/drive/folders/10T2cTQHqEJZqE-st6uFKPoI?usp=share_link" TargetMode="External"/><Relationship Id="rId7" Type="http://schemas.openxmlformats.org/officeDocument/2006/relationships/hyperlink" Target="https://drive.google.com/drive/folders/10T2cTQHqEJZqE-st6uFKPoI?usp=share_link" TargetMode="External"/><Relationship Id="rId3038" Type="http://schemas.openxmlformats.org/officeDocument/2006/relationships/hyperlink" Target="https://drive.google.com/drive/folders/10T2cTQHqEJZqE-st6uFKPoI?usp=share_link" TargetMode="External"/><Relationship Id="rId4369" Type="http://schemas.openxmlformats.org/officeDocument/2006/relationships/hyperlink" Target="https://drive.google.com/drive/folders/10T2cTQHqEJZqE-st6uFKPoI?usp=share_link" TargetMode="External"/><Relationship Id="rId5697" Type="http://schemas.openxmlformats.org/officeDocument/2006/relationships/hyperlink" Target="https://drive.google.com/drive/folders/10T2cTQHqEJZqE-st6uFKPoI?usp=share_link" TargetMode="External"/><Relationship Id="rId8" Type="http://schemas.openxmlformats.org/officeDocument/2006/relationships/hyperlink" Target="https://drive.google.com/drive/folders/10T2cTQHqEJZqE-st6uFKPoI?usp=share_link" TargetMode="External"/><Relationship Id="rId3037" Type="http://schemas.openxmlformats.org/officeDocument/2006/relationships/hyperlink" Target="https://drive.google.com/drive/folders/10T2cTQHqEJZqE-st6uFKPoI?usp=share_link" TargetMode="External"/><Relationship Id="rId4368" Type="http://schemas.openxmlformats.org/officeDocument/2006/relationships/hyperlink" Target="https://drive.google.com/drive/folders/10T2cTQHqEJZqE-st6uFKPoI?usp=share_link" TargetMode="External"/><Relationship Id="rId5698" Type="http://schemas.openxmlformats.org/officeDocument/2006/relationships/hyperlink" Target="https://drive.google.com/drive/folders/10T2cTQHqEJZqE-st6uFKPoI?usp=share_link" TargetMode="External"/><Relationship Id="rId3029" Type="http://schemas.openxmlformats.org/officeDocument/2006/relationships/hyperlink" Target="https://drive.google.com/drive/folders/10T2cTQHqEJZqE-st6uFKPoI?usp=share_link" TargetMode="External"/><Relationship Id="rId3028" Type="http://schemas.openxmlformats.org/officeDocument/2006/relationships/hyperlink" Target="https://drive.google.com/drive/folders/10T2cTQHqEJZqE-st6uFKPoI?usp=share_link" TargetMode="External"/><Relationship Id="rId4359" Type="http://schemas.openxmlformats.org/officeDocument/2006/relationships/hyperlink" Target="https://drive.google.com/drive/folders/10T2cTQHqEJZqE-st6uFKPoI?usp=share_link" TargetMode="External"/><Relationship Id="rId5680" Type="http://schemas.openxmlformats.org/officeDocument/2006/relationships/hyperlink" Target="https://drive.google.com/drive/folders/10T2cTQHqEJZqE-st6uFKPoI?usp=share_link" TargetMode="External"/><Relationship Id="rId5681" Type="http://schemas.openxmlformats.org/officeDocument/2006/relationships/hyperlink" Target="https://drive.google.com/drive/folders/10T2cTQHqEJZqE-st6uFKPoI?usp=share_link" TargetMode="External"/><Relationship Id="rId4350" Type="http://schemas.openxmlformats.org/officeDocument/2006/relationships/hyperlink" Target="https://drive.google.com/drive/folders/10T2cTQHqEJZqE-st6uFKPoI?usp=share_link" TargetMode="External"/><Relationship Id="rId3021" Type="http://schemas.openxmlformats.org/officeDocument/2006/relationships/hyperlink" Target="https://drive.google.com/drive/folders/10T2cTQHqEJZqE-st6uFKPoI?usp=share_link" TargetMode="External"/><Relationship Id="rId4352" Type="http://schemas.openxmlformats.org/officeDocument/2006/relationships/hyperlink" Target="https://drive.google.com/drive/folders/10T2cTQHqEJZqE-st6uFKPoI?usp=share_link" TargetMode="External"/><Relationship Id="rId5684" Type="http://schemas.openxmlformats.org/officeDocument/2006/relationships/hyperlink" Target="https://drive.google.com/drive/folders/10T2cTQHqEJZqE-st6uFKPoI?usp=share_link" TargetMode="External"/><Relationship Id="rId3020" Type="http://schemas.openxmlformats.org/officeDocument/2006/relationships/hyperlink" Target="https://drive.google.com/drive/folders/10T2cTQHqEJZqE-st6uFKPoI?usp=share_link" TargetMode="External"/><Relationship Id="rId4351" Type="http://schemas.openxmlformats.org/officeDocument/2006/relationships/hyperlink" Target="https://drive.google.com/drive/folders/10T2cTQHqEJZqE-st6uFKPoI?usp=share_link" TargetMode="External"/><Relationship Id="rId5685" Type="http://schemas.openxmlformats.org/officeDocument/2006/relationships/hyperlink" Target="https://drive.google.com/drive/folders/10T2cTQHqEJZqE-st6uFKPoI?usp=share_link" TargetMode="External"/><Relationship Id="rId3023" Type="http://schemas.openxmlformats.org/officeDocument/2006/relationships/hyperlink" Target="https://drive.google.com/drive/folders/10T2cTQHqEJZqE-st6uFKPoI?usp=share_link" TargetMode="External"/><Relationship Id="rId4354" Type="http://schemas.openxmlformats.org/officeDocument/2006/relationships/hyperlink" Target="https://drive.google.com/drive/folders/10T2cTQHqEJZqE-st6uFKPoI?usp=share_link" TargetMode="External"/><Relationship Id="rId5682" Type="http://schemas.openxmlformats.org/officeDocument/2006/relationships/hyperlink" Target="https://drive.google.com/drive/folders/10T2cTQHqEJZqE-st6uFKPoI?usp=share_link" TargetMode="External"/><Relationship Id="rId3022" Type="http://schemas.openxmlformats.org/officeDocument/2006/relationships/hyperlink" Target="https://drive.google.com/drive/folders/10T2cTQHqEJZqE-st6uFKPoI?usp=share_link" TargetMode="External"/><Relationship Id="rId4353" Type="http://schemas.openxmlformats.org/officeDocument/2006/relationships/hyperlink" Target="https://drive.google.com/drive/folders/10T2cTQHqEJZqE-st6uFKPoI?usp=share_link" TargetMode="External"/><Relationship Id="rId5683" Type="http://schemas.openxmlformats.org/officeDocument/2006/relationships/hyperlink" Target="https://drive.google.com/drive/folders/10T2cTQHqEJZqE-st6uFKPoI?usp=share_link" TargetMode="External"/><Relationship Id="rId3025" Type="http://schemas.openxmlformats.org/officeDocument/2006/relationships/hyperlink" Target="https://drive.google.com/drive/folders/10T2cTQHqEJZqE-st6uFKPoI?usp=share_link" TargetMode="External"/><Relationship Id="rId4356" Type="http://schemas.openxmlformats.org/officeDocument/2006/relationships/hyperlink" Target="https://drive.google.com/drive/folders/10T2cTQHqEJZqE-st6uFKPoI?usp=share_link" TargetMode="External"/><Relationship Id="rId5688" Type="http://schemas.openxmlformats.org/officeDocument/2006/relationships/hyperlink" Target="https://drive.google.com/drive/folders/10T2cTQHqEJZqE-st6uFKPoI?usp=share_link" TargetMode="External"/><Relationship Id="rId3024" Type="http://schemas.openxmlformats.org/officeDocument/2006/relationships/hyperlink" Target="https://drive.google.com/drive/folders/10T2cTQHqEJZqE-st6uFKPoI?usp=share_link" TargetMode="External"/><Relationship Id="rId4355" Type="http://schemas.openxmlformats.org/officeDocument/2006/relationships/hyperlink" Target="https://drive.google.com/drive/folders/10T2cTQHqEJZqE-st6uFKPoI?usp=share_link" TargetMode="External"/><Relationship Id="rId5689" Type="http://schemas.openxmlformats.org/officeDocument/2006/relationships/hyperlink" Target="https://drive.google.com/drive/folders/10T2cTQHqEJZqE-st6uFKPoI?usp=share_link" TargetMode="External"/><Relationship Id="rId3027" Type="http://schemas.openxmlformats.org/officeDocument/2006/relationships/hyperlink" Target="https://drive.google.com/drive/folders/10T2cTQHqEJZqE-st6uFKPoI?usp=share_link" TargetMode="External"/><Relationship Id="rId4358" Type="http://schemas.openxmlformats.org/officeDocument/2006/relationships/hyperlink" Target="https://drive.google.com/drive/folders/10T2cTQHqEJZqE-st6uFKPoI?usp=share_link" TargetMode="External"/><Relationship Id="rId5686" Type="http://schemas.openxmlformats.org/officeDocument/2006/relationships/hyperlink" Target="https://drive.google.com/drive/folders/10T2cTQHqEJZqE-st6uFKPoI?usp=share_link" TargetMode="External"/><Relationship Id="rId3026" Type="http://schemas.openxmlformats.org/officeDocument/2006/relationships/hyperlink" Target="https://drive.google.com/drive/folders/10T2cTQHqEJZqE-st6uFKPoI?usp=share_link" TargetMode="External"/><Relationship Id="rId4357" Type="http://schemas.openxmlformats.org/officeDocument/2006/relationships/hyperlink" Target="https://drive.google.com/drive/folders/10T2cTQHqEJZqE-st6uFKPoI?usp=share_link" TargetMode="External"/><Relationship Id="rId5687" Type="http://schemas.openxmlformats.org/officeDocument/2006/relationships/hyperlink" Target="https://drive.google.com/drive/folders/10T2cTQHqEJZqE-st6uFKPoI?usp=share_link" TargetMode="External"/><Relationship Id="rId3050" Type="http://schemas.openxmlformats.org/officeDocument/2006/relationships/hyperlink" Target="https://drive.google.com/drive/folders/10T2cTQHqEJZqE-st6uFKPoI?usp=share_link" TargetMode="External"/><Relationship Id="rId4381" Type="http://schemas.openxmlformats.org/officeDocument/2006/relationships/hyperlink" Target="https://drive.google.com/drive/folders/10T2cTQHqEJZqE-st6uFKPoI?usp=share_link" TargetMode="External"/><Relationship Id="rId4380" Type="http://schemas.openxmlformats.org/officeDocument/2006/relationships/hyperlink" Target="https://drive.google.com/drive/folders/10T2cTQHqEJZqE-st6uFKPoI?usp=share_link" TargetMode="External"/><Relationship Id="rId3052" Type="http://schemas.openxmlformats.org/officeDocument/2006/relationships/hyperlink" Target="https://drive.google.com/drive/folders/10T2cTQHqEJZqE-st6uFKPoI?usp=share_link" TargetMode="External"/><Relationship Id="rId4383" Type="http://schemas.openxmlformats.org/officeDocument/2006/relationships/hyperlink" Target="https://drive.google.com/drive/folders/10T2cTQHqEJZqE-st6uFKPoI?usp=share_link" TargetMode="External"/><Relationship Id="rId3051" Type="http://schemas.openxmlformats.org/officeDocument/2006/relationships/hyperlink" Target="https://drive.google.com/drive/folders/10T2cTQHqEJZqE-st6uFKPoI?usp=share_link" TargetMode="External"/><Relationship Id="rId4382" Type="http://schemas.openxmlformats.org/officeDocument/2006/relationships/hyperlink" Target="https://drive.google.com/drive/folders/10T2cTQHqEJZqE-st6uFKPoI?usp=share_link" TargetMode="External"/><Relationship Id="rId3054" Type="http://schemas.openxmlformats.org/officeDocument/2006/relationships/hyperlink" Target="https://drive.google.com/drive/folders/10T2cTQHqEJZqE-st6uFKPoI?usp=share_link" TargetMode="External"/><Relationship Id="rId4385" Type="http://schemas.openxmlformats.org/officeDocument/2006/relationships/hyperlink" Target="https://drive.google.com/drive/folders/10T2cTQHqEJZqE-st6uFKPoI?usp=share_link" TargetMode="External"/><Relationship Id="rId3053" Type="http://schemas.openxmlformats.org/officeDocument/2006/relationships/hyperlink" Target="https://drive.google.com/drive/folders/10T2cTQHqEJZqE-st6uFKPoI?usp=share_link" TargetMode="External"/><Relationship Id="rId4384" Type="http://schemas.openxmlformats.org/officeDocument/2006/relationships/hyperlink" Target="https://drive.google.com/drive/folders/10T2cTQHqEJZqE-st6uFKPoI?usp=share_link" TargetMode="External"/><Relationship Id="rId3056" Type="http://schemas.openxmlformats.org/officeDocument/2006/relationships/hyperlink" Target="https://drive.google.com/drive/folders/10T2cTQHqEJZqE-st6uFKPoI?usp=share_link" TargetMode="External"/><Relationship Id="rId4387" Type="http://schemas.openxmlformats.org/officeDocument/2006/relationships/hyperlink" Target="https://drive.google.com/drive/folders/10T2cTQHqEJZqE-st6uFKPoI?usp=share_link" TargetMode="External"/><Relationship Id="rId3055" Type="http://schemas.openxmlformats.org/officeDocument/2006/relationships/hyperlink" Target="https://drive.google.com/drive/folders/10T2cTQHqEJZqE-st6uFKPoI?usp=share_link" TargetMode="External"/><Relationship Id="rId4386" Type="http://schemas.openxmlformats.org/officeDocument/2006/relationships/hyperlink" Target="https://drive.google.com/drive/folders/10T2cTQHqEJZqE-st6uFKPoI?usp=share_link" TargetMode="External"/><Relationship Id="rId3058" Type="http://schemas.openxmlformats.org/officeDocument/2006/relationships/hyperlink" Target="https://drive.google.com/drive/folders/10T2cTQHqEJZqE-st6uFKPoI?usp=share_link" TargetMode="External"/><Relationship Id="rId4389" Type="http://schemas.openxmlformats.org/officeDocument/2006/relationships/hyperlink" Target="https://drive.google.com/drive/folders/10T2cTQHqEJZqE-st6uFKPoI?usp=share_link" TargetMode="External"/><Relationship Id="rId3057" Type="http://schemas.openxmlformats.org/officeDocument/2006/relationships/hyperlink" Target="https://drive.google.com/drive/folders/10T2cTQHqEJZqE-st6uFKPoI?usp=share_link" TargetMode="External"/><Relationship Id="rId4388" Type="http://schemas.openxmlformats.org/officeDocument/2006/relationships/hyperlink" Target="https://drive.google.com/drive/folders/10T2cTQHqEJZqE-st6uFKPoI?usp=share_link" TargetMode="External"/><Relationship Id="rId3059" Type="http://schemas.openxmlformats.org/officeDocument/2006/relationships/hyperlink" Target="https://drive.google.com/drive/folders/10T2cTQHqEJZqE-st6uFKPoI?usp=share_link" TargetMode="External"/><Relationship Id="rId4370" Type="http://schemas.openxmlformats.org/officeDocument/2006/relationships/hyperlink" Target="https://drive.google.com/drive/folders/10T2cTQHqEJZqE-st6uFKPoI?usp=share_link" TargetMode="External"/><Relationship Id="rId3041" Type="http://schemas.openxmlformats.org/officeDocument/2006/relationships/hyperlink" Target="https://drive.google.com/drive/folders/10T2cTQHqEJZqE-st6uFKPoI?usp=share_link" TargetMode="External"/><Relationship Id="rId4372" Type="http://schemas.openxmlformats.org/officeDocument/2006/relationships/hyperlink" Target="https://drive.google.com/drive/folders/10T2cTQHqEJZqE-st6uFKPoI?usp=share_link" TargetMode="External"/><Relationship Id="rId3040" Type="http://schemas.openxmlformats.org/officeDocument/2006/relationships/hyperlink" Target="https://drive.google.com/drive/folders/10T2cTQHqEJZqE-st6uFKPoI?usp=share_link" TargetMode="External"/><Relationship Id="rId4371" Type="http://schemas.openxmlformats.org/officeDocument/2006/relationships/hyperlink" Target="https://drive.google.com/drive/folders/10T2cTQHqEJZqE-st6uFKPoI?usp=share_link" TargetMode="External"/><Relationship Id="rId3043" Type="http://schemas.openxmlformats.org/officeDocument/2006/relationships/hyperlink" Target="https://drive.google.com/drive/folders/10T2cTQHqEJZqE-st6uFKPoI?usp=share_link" TargetMode="External"/><Relationship Id="rId4374" Type="http://schemas.openxmlformats.org/officeDocument/2006/relationships/hyperlink" Target="https://drive.google.com/drive/folders/10T2cTQHqEJZqE-st6uFKPoI?usp=share_link" TargetMode="External"/><Relationship Id="rId3042" Type="http://schemas.openxmlformats.org/officeDocument/2006/relationships/hyperlink" Target="https://drive.google.com/drive/folders/10T2cTQHqEJZqE-st6uFKPoI?usp=share_link" TargetMode="External"/><Relationship Id="rId4373" Type="http://schemas.openxmlformats.org/officeDocument/2006/relationships/hyperlink" Target="https://drive.google.com/drive/folders/10T2cTQHqEJZqE-st6uFKPoI?usp=share_link" TargetMode="External"/><Relationship Id="rId3045" Type="http://schemas.openxmlformats.org/officeDocument/2006/relationships/hyperlink" Target="https://drive.google.com/drive/folders/10T2cTQHqEJZqE-st6uFKPoI?usp=share_link" TargetMode="External"/><Relationship Id="rId4376" Type="http://schemas.openxmlformats.org/officeDocument/2006/relationships/hyperlink" Target="https://drive.google.com/drive/folders/10T2cTQHqEJZqE-st6uFKPoI?usp=share_link" TargetMode="External"/><Relationship Id="rId3044" Type="http://schemas.openxmlformats.org/officeDocument/2006/relationships/hyperlink" Target="https://drive.google.com/drive/folders/10T2cTQHqEJZqE-st6uFKPoI?usp=share_link" TargetMode="External"/><Relationship Id="rId4375" Type="http://schemas.openxmlformats.org/officeDocument/2006/relationships/hyperlink" Target="https://drive.google.com/drive/folders/10T2cTQHqEJZqE-st6uFKPoI?usp=share_link" TargetMode="External"/><Relationship Id="rId3047" Type="http://schemas.openxmlformats.org/officeDocument/2006/relationships/hyperlink" Target="https://drive.google.com/drive/folders/10T2cTQHqEJZqE-st6uFKPoI?usp=share_link" TargetMode="External"/><Relationship Id="rId4378" Type="http://schemas.openxmlformats.org/officeDocument/2006/relationships/hyperlink" Target="https://drive.google.com/drive/folders/10T2cTQHqEJZqE-st6uFKPoI?usp=share_link" TargetMode="External"/><Relationship Id="rId3046" Type="http://schemas.openxmlformats.org/officeDocument/2006/relationships/hyperlink" Target="https://drive.google.com/drive/folders/10T2cTQHqEJZqE-st6uFKPoI?usp=share_link" TargetMode="External"/><Relationship Id="rId4377" Type="http://schemas.openxmlformats.org/officeDocument/2006/relationships/hyperlink" Target="https://drive.google.com/drive/folders/10T2cTQHqEJZqE-st6uFKPoI?usp=share_link" TargetMode="External"/><Relationship Id="rId3049" Type="http://schemas.openxmlformats.org/officeDocument/2006/relationships/hyperlink" Target="https://drive.google.com/drive/folders/10T2cTQHqEJZqE-st6uFKPoI?usp=share_link" TargetMode="External"/><Relationship Id="rId3048" Type="http://schemas.openxmlformats.org/officeDocument/2006/relationships/hyperlink" Target="https://drive.google.com/drive/folders/10T2cTQHqEJZqE-st6uFKPoI?usp=share_link" TargetMode="External"/><Relationship Id="rId4379" Type="http://schemas.openxmlformats.org/officeDocument/2006/relationships/hyperlink" Target="https://drive.google.com/drive/folders/10T2cTQHqEJZqE-st6uFKPoI?usp=share_link" TargetMode="External"/><Relationship Id="rId3911" Type="http://schemas.openxmlformats.org/officeDocument/2006/relationships/hyperlink" Target="https://drive.google.com/drive/folders/10T2cTQHqEJZqE-st6uFKPoI?usp=share_link" TargetMode="External"/><Relationship Id="rId3910" Type="http://schemas.openxmlformats.org/officeDocument/2006/relationships/hyperlink" Target="https://drive.google.com/drive/folders/10T2cTQHqEJZqE-st6uFKPoI?usp=share_link" TargetMode="External"/><Relationship Id="rId3913" Type="http://schemas.openxmlformats.org/officeDocument/2006/relationships/hyperlink" Target="https://drive.google.com/drive/folders/10T2cTQHqEJZqE-st6uFKPoI?usp=share_link" TargetMode="External"/><Relationship Id="rId3912" Type="http://schemas.openxmlformats.org/officeDocument/2006/relationships/hyperlink" Target="https://drive.google.com/drive/folders/10T2cTQHqEJZqE-st6uFKPoI?usp=share_link" TargetMode="External"/><Relationship Id="rId3915" Type="http://schemas.openxmlformats.org/officeDocument/2006/relationships/hyperlink" Target="https://drive.google.com/drive/folders/10T2cTQHqEJZqE-st6uFKPoI?usp=share_link" TargetMode="External"/><Relationship Id="rId3914" Type="http://schemas.openxmlformats.org/officeDocument/2006/relationships/hyperlink" Target="https://drive.google.com/drive/folders/10T2cTQHqEJZqE-st6uFKPoI?usp=share_link" TargetMode="External"/><Relationship Id="rId3917" Type="http://schemas.openxmlformats.org/officeDocument/2006/relationships/hyperlink" Target="https://drive.google.com/drive/folders/10T2cTQHqEJZqE-st6uFKPoI?usp=share_link" TargetMode="External"/><Relationship Id="rId3916" Type="http://schemas.openxmlformats.org/officeDocument/2006/relationships/hyperlink" Target="https://drive.google.com/drive/folders/10T2cTQHqEJZqE-st6uFKPoI?usp=share_link" TargetMode="External"/><Relationship Id="rId3919" Type="http://schemas.openxmlformats.org/officeDocument/2006/relationships/hyperlink" Target="https://drive.google.com/drive/folders/10T2cTQHqEJZqE-st6uFKPoI?usp=share_link" TargetMode="External"/><Relationship Id="rId3918" Type="http://schemas.openxmlformats.org/officeDocument/2006/relationships/hyperlink" Target="https://drive.google.com/drive/folders/10T2cTQHqEJZqE-st6uFKPoI?usp=share_link" TargetMode="External"/><Relationship Id="rId3900" Type="http://schemas.openxmlformats.org/officeDocument/2006/relationships/hyperlink" Target="https://drive.google.com/drive/folders/10T2cTQHqEJZqE-st6uFKPoI?usp=share_link" TargetMode="External"/><Relationship Id="rId3902" Type="http://schemas.openxmlformats.org/officeDocument/2006/relationships/hyperlink" Target="https://drive.google.com/drive/folders/10T2cTQHqEJZqE-st6uFKPoI?usp=share_link" TargetMode="External"/><Relationship Id="rId3901" Type="http://schemas.openxmlformats.org/officeDocument/2006/relationships/hyperlink" Target="https://drive.google.com/drive/folders/10T2cTQHqEJZqE-st6uFKPoI?usp=share_link" TargetMode="External"/><Relationship Id="rId3904" Type="http://schemas.openxmlformats.org/officeDocument/2006/relationships/hyperlink" Target="https://drive.google.com/drive/folders/10T2cTQHqEJZqE-st6uFKPoI?usp=share_link" TargetMode="External"/><Relationship Id="rId3903" Type="http://schemas.openxmlformats.org/officeDocument/2006/relationships/hyperlink" Target="https://drive.google.com/drive/folders/10T2cTQHqEJZqE-st6uFKPoI?usp=share_link" TargetMode="External"/><Relationship Id="rId3906" Type="http://schemas.openxmlformats.org/officeDocument/2006/relationships/hyperlink" Target="https://drive.google.com/drive/folders/10T2cTQHqEJZqE-st6uFKPoI?usp=share_link" TargetMode="External"/><Relationship Id="rId3905" Type="http://schemas.openxmlformats.org/officeDocument/2006/relationships/hyperlink" Target="https://drive.google.com/drive/folders/10T2cTQHqEJZqE-st6uFKPoI?usp=share_link" TargetMode="External"/><Relationship Id="rId3908" Type="http://schemas.openxmlformats.org/officeDocument/2006/relationships/hyperlink" Target="https://drive.google.com/drive/folders/10T2cTQHqEJZqE-st6uFKPoI?usp=share_link" TargetMode="External"/><Relationship Id="rId3907" Type="http://schemas.openxmlformats.org/officeDocument/2006/relationships/hyperlink" Target="https://drive.google.com/drive/folders/10T2cTQHqEJZqE-st6uFKPoI?usp=share_link" TargetMode="External"/><Relationship Id="rId3909" Type="http://schemas.openxmlformats.org/officeDocument/2006/relationships/hyperlink" Target="https://drive.google.com/drive/folders/10T2cTQHqEJZqE-st6uFKPoI?usp=share_link" TargetMode="External"/><Relationship Id="rId3931" Type="http://schemas.openxmlformats.org/officeDocument/2006/relationships/hyperlink" Target="https://drive.google.com/drive/folders/10T2cTQHqEJZqE-st6uFKPoI?usp=share_link" TargetMode="External"/><Relationship Id="rId2600" Type="http://schemas.openxmlformats.org/officeDocument/2006/relationships/hyperlink" Target="https://drive.google.com/drive/folders/10T2cTQHqEJZqE-st6uFKPoI?usp=share_link" TargetMode="External"/><Relationship Id="rId3930" Type="http://schemas.openxmlformats.org/officeDocument/2006/relationships/hyperlink" Target="https://drive.google.com/drive/folders/10T2cTQHqEJZqE-st6uFKPoI?usp=share_link" TargetMode="External"/><Relationship Id="rId2601" Type="http://schemas.openxmlformats.org/officeDocument/2006/relationships/hyperlink" Target="https://drive.google.com/drive/folders/10T2cTQHqEJZqE-st6uFKPoI?usp=share_link" TargetMode="External"/><Relationship Id="rId3933" Type="http://schemas.openxmlformats.org/officeDocument/2006/relationships/hyperlink" Target="https://drive.google.com/drive/folders/10T2cTQHqEJZqE-st6uFKPoI?usp=share_link" TargetMode="External"/><Relationship Id="rId2602" Type="http://schemas.openxmlformats.org/officeDocument/2006/relationships/hyperlink" Target="https://drive.google.com/drive/folders/10T2cTQHqEJZqE-st6uFKPoI?usp=share_link" TargetMode="External"/><Relationship Id="rId3932" Type="http://schemas.openxmlformats.org/officeDocument/2006/relationships/hyperlink" Target="https://drive.google.com/drive/folders/10T2cTQHqEJZqE-st6uFKPoI?usp=share_link" TargetMode="External"/><Relationship Id="rId2603" Type="http://schemas.openxmlformats.org/officeDocument/2006/relationships/hyperlink" Target="https://drive.google.com/drive/folders/10T2cTQHqEJZqE-st6uFKPoI?usp=share_link" TargetMode="External"/><Relationship Id="rId3935" Type="http://schemas.openxmlformats.org/officeDocument/2006/relationships/hyperlink" Target="https://drive.google.com/drive/folders/10T2cTQHqEJZqE-st6uFKPoI?usp=share_link" TargetMode="External"/><Relationship Id="rId2604" Type="http://schemas.openxmlformats.org/officeDocument/2006/relationships/hyperlink" Target="https://drive.google.com/drive/folders/10T2cTQHqEJZqE-st6uFKPoI?usp=share_link" TargetMode="External"/><Relationship Id="rId3934" Type="http://schemas.openxmlformats.org/officeDocument/2006/relationships/hyperlink" Target="https://drive.google.com/drive/folders/10T2cTQHqEJZqE-st6uFKPoI?usp=share_link" TargetMode="External"/><Relationship Id="rId2605" Type="http://schemas.openxmlformats.org/officeDocument/2006/relationships/hyperlink" Target="https://drive.google.com/drive/folders/10T2cTQHqEJZqE-st6uFKPoI?usp=share_link" TargetMode="External"/><Relationship Id="rId3937" Type="http://schemas.openxmlformats.org/officeDocument/2006/relationships/hyperlink" Target="https://drive.google.com/drive/folders/10T2cTQHqEJZqE-st6uFKPoI?usp=share_link" TargetMode="External"/><Relationship Id="rId2606" Type="http://schemas.openxmlformats.org/officeDocument/2006/relationships/hyperlink" Target="https://drive.google.com/drive/folders/10T2cTQHqEJZqE-st6uFKPoI?usp=share_link" TargetMode="External"/><Relationship Id="rId3936" Type="http://schemas.openxmlformats.org/officeDocument/2006/relationships/hyperlink" Target="https://drive.google.com/drive/folders/10T2cTQHqEJZqE-st6uFKPoI?usp=share_link" TargetMode="External"/><Relationship Id="rId808" Type="http://schemas.openxmlformats.org/officeDocument/2006/relationships/hyperlink" Target="https://drive.google.com/drive/folders/10T2cTQHqEJZqE-st6uFKPoI?usp=share_link" TargetMode="External"/><Relationship Id="rId2607" Type="http://schemas.openxmlformats.org/officeDocument/2006/relationships/hyperlink" Target="https://drive.google.com/drive/folders/10T2cTQHqEJZqE-st6uFKPoI?usp=share_link" TargetMode="External"/><Relationship Id="rId3939" Type="http://schemas.openxmlformats.org/officeDocument/2006/relationships/hyperlink" Target="https://drive.google.com/drive/folders/10T2cTQHqEJZqE-st6uFKPoI?usp=share_link" TargetMode="External"/><Relationship Id="rId807" Type="http://schemas.openxmlformats.org/officeDocument/2006/relationships/hyperlink" Target="https://drive.google.com/drive/folders/10T2cTQHqEJZqE-st6uFKPoI?usp=share_link" TargetMode="External"/><Relationship Id="rId2608" Type="http://schemas.openxmlformats.org/officeDocument/2006/relationships/hyperlink" Target="https://drive.google.com/drive/folders/10T2cTQHqEJZqE-st6uFKPoI?usp=share_link" TargetMode="External"/><Relationship Id="rId3938" Type="http://schemas.openxmlformats.org/officeDocument/2006/relationships/hyperlink" Target="https://drive.google.com/drive/folders/10T2cTQHqEJZqE-st6uFKPoI?usp=share_link" TargetMode="External"/><Relationship Id="rId806" Type="http://schemas.openxmlformats.org/officeDocument/2006/relationships/hyperlink" Target="https://drive.google.com/drive/folders/10T2cTQHqEJZqE-st6uFKPoI?usp=share_link" TargetMode="External"/><Relationship Id="rId2609" Type="http://schemas.openxmlformats.org/officeDocument/2006/relationships/hyperlink" Target="https://drive.google.com/drive/folders/10T2cTQHqEJZqE-st6uFKPoI?usp=share_link" TargetMode="External"/><Relationship Id="rId805" Type="http://schemas.openxmlformats.org/officeDocument/2006/relationships/hyperlink" Target="https://drive.google.com/drive/folders/10T2cTQHqEJZqE-st6uFKPoI?usp=share_link" TargetMode="External"/><Relationship Id="rId809" Type="http://schemas.openxmlformats.org/officeDocument/2006/relationships/hyperlink" Target="https://drive.google.com/drive/folders/10T2cTQHqEJZqE-st6uFKPoI?usp=share_link" TargetMode="External"/><Relationship Id="rId800" Type="http://schemas.openxmlformats.org/officeDocument/2006/relationships/hyperlink" Target="https://drive.google.com/drive/folders/10T2cTQHqEJZqE-st6uFKPoI?usp=share_link" TargetMode="External"/><Relationship Id="rId804" Type="http://schemas.openxmlformats.org/officeDocument/2006/relationships/hyperlink" Target="https://drive.google.com/drive/folders/10T2cTQHqEJZqE-st6uFKPoI?usp=share_link" TargetMode="External"/><Relationship Id="rId803" Type="http://schemas.openxmlformats.org/officeDocument/2006/relationships/hyperlink" Target="https://drive.google.com/drive/folders/10T2cTQHqEJZqE-st6uFKPoI?usp=share_link" TargetMode="External"/><Relationship Id="rId802" Type="http://schemas.openxmlformats.org/officeDocument/2006/relationships/hyperlink" Target="https://drive.google.com/drive/folders/10T2cTQHqEJZqE-st6uFKPoI?usp=share_link" TargetMode="External"/><Relationship Id="rId801" Type="http://schemas.openxmlformats.org/officeDocument/2006/relationships/hyperlink" Target="https://drive.google.com/drive/folders/10T2cTQHqEJZqE-st6uFKPoI?usp=share_link" TargetMode="External"/><Relationship Id="rId3920" Type="http://schemas.openxmlformats.org/officeDocument/2006/relationships/hyperlink" Target="https://drive.google.com/drive/folders/10T2cTQHqEJZqE-st6uFKPoI?usp=share_link" TargetMode="External"/><Relationship Id="rId3922" Type="http://schemas.openxmlformats.org/officeDocument/2006/relationships/hyperlink" Target="https://drive.google.com/drive/folders/10T2cTQHqEJZqE-st6uFKPoI?usp=share_link" TargetMode="External"/><Relationship Id="rId3921" Type="http://schemas.openxmlformats.org/officeDocument/2006/relationships/hyperlink" Target="https://drive.google.com/drive/folders/10T2cTQHqEJZqE-st6uFKPoI?usp=share_link" TargetMode="External"/><Relationship Id="rId3924" Type="http://schemas.openxmlformats.org/officeDocument/2006/relationships/hyperlink" Target="https://drive.google.com/drive/folders/10T2cTQHqEJZqE-st6uFKPoI?usp=share_link" TargetMode="External"/><Relationship Id="rId3923" Type="http://schemas.openxmlformats.org/officeDocument/2006/relationships/hyperlink" Target="https://drive.google.com/drive/folders/10T2cTQHqEJZqE-st6uFKPoI?usp=share_link" TargetMode="External"/><Relationship Id="rId3926" Type="http://schemas.openxmlformats.org/officeDocument/2006/relationships/hyperlink" Target="https://drive.google.com/drive/folders/10T2cTQHqEJZqE-st6uFKPoI?usp=share_link" TargetMode="External"/><Relationship Id="rId3925" Type="http://schemas.openxmlformats.org/officeDocument/2006/relationships/hyperlink" Target="https://drive.google.com/drive/folders/10T2cTQHqEJZqE-st6uFKPoI?usp=share_link" TargetMode="External"/><Relationship Id="rId3928" Type="http://schemas.openxmlformats.org/officeDocument/2006/relationships/hyperlink" Target="https://drive.google.com/drive/folders/10T2cTQHqEJZqE-st6uFKPoI?usp=share_link" TargetMode="External"/><Relationship Id="rId3927" Type="http://schemas.openxmlformats.org/officeDocument/2006/relationships/hyperlink" Target="https://drive.google.com/drive/folders/10T2cTQHqEJZqE-st6uFKPoI?usp=share_link" TargetMode="External"/><Relationship Id="rId3929" Type="http://schemas.openxmlformats.org/officeDocument/2006/relationships/hyperlink" Target="https://drive.google.com/drive/folders/10T2cTQHqEJZqE-st6uFKPoI?usp=share_link" TargetMode="External"/><Relationship Id="rId1334" Type="http://schemas.openxmlformats.org/officeDocument/2006/relationships/hyperlink" Target="https://drive.google.com/drive/folders/10T2cTQHqEJZqE-st6uFKPoI?usp=share_link" TargetMode="External"/><Relationship Id="rId2665" Type="http://schemas.openxmlformats.org/officeDocument/2006/relationships/hyperlink" Target="https://drive.google.com/drive/folders/10T2cTQHqEJZqE-st6uFKPoI?usp=share_link" TargetMode="External"/><Relationship Id="rId3997" Type="http://schemas.openxmlformats.org/officeDocument/2006/relationships/hyperlink" Target="https://drive.google.com/drive/folders/10T2cTQHqEJZqE-st6uFKPoI?usp=share_link" TargetMode="External"/><Relationship Id="rId1335" Type="http://schemas.openxmlformats.org/officeDocument/2006/relationships/hyperlink" Target="https://drive.google.com/drive/folders/10T2cTQHqEJZqE-st6uFKPoI?usp=share_link" TargetMode="External"/><Relationship Id="rId2666" Type="http://schemas.openxmlformats.org/officeDocument/2006/relationships/hyperlink" Target="https://drive.google.com/drive/folders/10T2cTQHqEJZqE-st6uFKPoI?usp=share_link" TargetMode="External"/><Relationship Id="rId3996" Type="http://schemas.openxmlformats.org/officeDocument/2006/relationships/hyperlink" Target="https://drive.google.com/drive/folders/10T2cTQHqEJZqE-st6uFKPoI?usp=share_link" TargetMode="External"/><Relationship Id="rId1336" Type="http://schemas.openxmlformats.org/officeDocument/2006/relationships/hyperlink" Target="https://drive.google.com/drive/folders/10T2cTQHqEJZqE-st6uFKPoI?usp=share_link" TargetMode="External"/><Relationship Id="rId2667" Type="http://schemas.openxmlformats.org/officeDocument/2006/relationships/hyperlink" Target="https://drive.google.com/drive/folders/10T2cTQHqEJZqE-st6uFKPoI?usp=share_link" TargetMode="External"/><Relationship Id="rId3999" Type="http://schemas.openxmlformats.org/officeDocument/2006/relationships/hyperlink" Target="https://drive.google.com/drive/folders/10T2cTQHqEJZqE-st6uFKPoI?usp=share_link" TargetMode="External"/><Relationship Id="rId1337" Type="http://schemas.openxmlformats.org/officeDocument/2006/relationships/hyperlink" Target="https://drive.google.com/drive/folders/10T2cTQHqEJZqE-st6uFKPoI?usp=share_link" TargetMode="External"/><Relationship Id="rId2668" Type="http://schemas.openxmlformats.org/officeDocument/2006/relationships/hyperlink" Target="https://drive.google.com/drive/folders/10T2cTQHqEJZqE-st6uFKPoI?usp=share_link" TargetMode="External"/><Relationship Id="rId3998" Type="http://schemas.openxmlformats.org/officeDocument/2006/relationships/hyperlink" Target="https://drive.google.com/drive/folders/10T2cTQHqEJZqE-st6uFKPoI?usp=share_link" TargetMode="External"/><Relationship Id="rId1338" Type="http://schemas.openxmlformats.org/officeDocument/2006/relationships/hyperlink" Target="https://drive.google.com/drive/folders/10T2cTQHqEJZqE-st6uFKPoI?usp=share_link" TargetMode="External"/><Relationship Id="rId2669" Type="http://schemas.openxmlformats.org/officeDocument/2006/relationships/hyperlink" Target="https://drive.google.com/drive/folders/10T2cTQHqEJZqE-st6uFKPoI?usp=share_link" TargetMode="External"/><Relationship Id="rId1339" Type="http://schemas.openxmlformats.org/officeDocument/2006/relationships/hyperlink" Target="https://drive.google.com/drive/folders/10T2cTQHqEJZqE-st6uFKPoI?usp=share_link" TargetMode="External"/><Relationship Id="rId745" Type="http://schemas.openxmlformats.org/officeDocument/2006/relationships/hyperlink" Target="https://drive.google.com/drive/folders/10T2cTQHqEJZqE-st6uFKPoI?usp=share_link" TargetMode="External"/><Relationship Id="rId744" Type="http://schemas.openxmlformats.org/officeDocument/2006/relationships/hyperlink" Target="https://drive.google.com/drive/folders/10T2cTQHqEJZqE-st6uFKPoI?usp=share_link" TargetMode="External"/><Relationship Id="rId743" Type="http://schemas.openxmlformats.org/officeDocument/2006/relationships/hyperlink" Target="https://drive.google.com/drive/folders/10T2cTQHqEJZqE-st6uFKPoI?usp=share_link" TargetMode="External"/><Relationship Id="rId742" Type="http://schemas.openxmlformats.org/officeDocument/2006/relationships/hyperlink" Target="https://drive.google.com/drive/folders/10T2cTQHqEJZqE-st6uFKPoI?usp=share_link" TargetMode="External"/><Relationship Id="rId749" Type="http://schemas.openxmlformats.org/officeDocument/2006/relationships/hyperlink" Target="https://drive.google.com/drive/folders/10T2cTQHqEJZqE-st6uFKPoI?usp=share_link" TargetMode="External"/><Relationship Id="rId748" Type="http://schemas.openxmlformats.org/officeDocument/2006/relationships/hyperlink" Target="https://drive.google.com/drive/folders/10T2cTQHqEJZqE-st6uFKPoI?usp=share_link" TargetMode="External"/><Relationship Id="rId747" Type="http://schemas.openxmlformats.org/officeDocument/2006/relationships/hyperlink" Target="https://drive.google.com/drive/folders/10T2cTQHqEJZqE-st6uFKPoI?usp=share_link" TargetMode="External"/><Relationship Id="rId746" Type="http://schemas.openxmlformats.org/officeDocument/2006/relationships/hyperlink" Target="https://drive.google.com/drive/folders/10T2cTQHqEJZqE-st6uFKPoI?usp=share_link" TargetMode="External"/><Relationship Id="rId3991" Type="http://schemas.openxmlformats.org/officeDocument/2006/relationships/hyperlink" Target="https://drive.google.com/drive/folders/10T2cTQHqEJZqE-st6uFKPoI?usp=share_link" TargetMode="External"/><Relationship Id="rId2660" Type="http://schemas.openxmlformats.org/officeDocument/2006/relationships/hyperlink" Target="https://drive.google.com/drive/folders/10T2cTQHqEJZqE-st6uFKPoI?usp=share_link" TargetMode="External"/><Relationship Id="rId3990" Type="http://schemas.openxmlformats.org/officeDocument/2006/relationships/hyperlink" Target="https://drive.google.com/drive/folders/10T2cTQHqEJZqE-st6uFKPoI?usp=share_link" TargetMode="External"/><Relationship Id="rId741" Type="http://schemas.openxmlformats.org/officeDocument/2006/relationships/hyperlink" Target="https://drive.google.com/drive/folders/10T2cTQHqEJZqE-st6uFKPoI?usp=share_link" TargetMode="External"/><Relationship Id="rId1330" Type="http://schemas.openxmlformats.org/officeDocument/2006/relationships/hyperlink" Target="https://drive.google.com/drive/folders/10T2cTQHqEJZqE-st6uFKPoI?usp=share_link" TargetMode="External"/><Relationship Id="rId2661" Type="http://schemas.openxmlformats.org/officeDocument/2006/relationships/hyperlink" Target="https://drive.google.com/drive/folders/10T2cTQHqEJZqE-st6uFKPoI?usp=share_link" TargetMode="External"/><Relationship Id="rId3993" Type="http://schemas.openxmlformats.org/officeDocument/2006/relationships/hyperlink" Target="https://drive.google.com/drive/folders/10T2cTQHqEJZqE-st6uFKPoI?usp=share_link" TargetMode="External"/><Relationship Id="rId740" Type="http://schemas.openxmlformats.org/officeDocument/2006/relationships/hyperlink" Target="https://drive.google.com/drive/folders/10T2cTQHqEJZqE-st6uFKPoI?usp=share_link" TargetMode="External"/><Relationship Id="rId1331" Type="http://schemas.openxmlformats.org/officeDocument/2006/relationships/hyperlink" Target="https://drive.google.com/drive/folders/10T2cTQHqEJZqE-st6uFKPoI?usp=share_link" TargetMode="External"/><Relationship Id="rId2662" Type="http://schemas.openxmlformats.org/officeDocument/2006/relationships/hyperlink" Target="https://drive.google.com/drive/folders/10T2cTQHqEJZqE-st6uFKPoI?usp=share_link" TargetMode="External"/><Relationship Id="rId3992" Type="http://schemas.openxmlformats.org/officeDocument/2006/relationships/hyperlink" Target="https://drive.google.com/drive/folders/10T2cTQHqEJZqE-st6uFKPoI?usp=share_link" TargetMode="External"/><Relationship Id="rId1332" Type="http://schemas.openxmlformats.org/officeDocument/2006/relationships/hyperlink" Target="https://drive.google.com/drive/folders/10T2cTQHqEJZqE-st6uFKPoI?usp=share_link" TargetMode="External"/><Relationship Id="rId2663" Type="http://schemas.openxmlformats.org/officeDocument/2006/relationships/hyperlink" Target="https://drive.google.com/drive/folders/10T2cTQHqEJZqE-st6uFKPoI?usp=share_link" TargetMode="External"/><Relationship Id="rId3995" Type="http://schemas.openxmlformats.org/officeDocument/2006/relationships/hyperlink" Target="https://drive.google.com/drive/folders/10T2cTQHqEJZqE-st6uFKPoI?usp=share_link" TargetMode="External"/><Relationship Id="rId1333" Type="http://schemas.openxmlformats.org/officeDocument/2006/relationships/hyperlink" Target="https://drive.google.com/drive/folders/10T2cTQHqEJZqE-st6uFKPoI?usp=share_link" TargetMode="External"/><Relationship Id="rId2664" Type="http://schemas.openxmlformats.org/officeDocument/2006/relationships/hyperlink" Target="https://drive.google.com/drive/folders/10T2cTQHqEJZqE-st6uFKPoI?usp=share_link" TargetMode="External"/><Relationship Id="rId3994" Type="http://schemas.openxmlformats.org/officeDocument/2006/relationships/hyperlink" Target="https://drive.google.com/drive/folders/10T2cTQHqEJZqE-st6uFKPoI?usp=share_link" TargetMode="External"/><Relationship Id="rId1323" Type="http://schemas.openxmlformats.org/officeDocument/2006/relationships/hyperlink" Target="https://drive.google.com/drive/folders/10T2cTQHqEJZqE-st6uFKPoI?usp=share_link" TargetMode="External"/><Relationship Id="rId2654" Type="http://schemas.openxmlformats.org/officeDocument/2006/relationships/hyperlink" Target="https://drive.google.com/drive/folders/10T2cTQHqEJZqE-st6uFKPoI?usp=share_link" TargetMode="External"/><Relationship Id="rId3986" Type="http://schemas.openxmlformats.org/officeDocument/2006/relationships/hyperlink" Target="https://drive.google.com/drive/folders/10T2cTQHqEJZqE-st6uFKPoI?usp=share_link" TargetMode="External"/><Relationship Id="rId1324" Type="http://schemas.openxmlformats.org/officeDocument/2006/relationships/hyperlink" Target="https://drive.google.com/drive/folders/10T2cTQHqEJZqE-st6uFKPoI?usp=share_link" TargetMode="External"/><Relationship Id="rId2655" Type="http://schemas.openxmlformats.org/officeDocument/2006/relationships/hyperlink" Target="https://drive.google.com/drive/folders/10T2cTQHqEJZqE-st6uFKPoI?usp=share_link" TargetMode="External"/><Relationship Id="rId3985" Type="http://schemas.openxmlformats.org/officeDocument/2006/relationships/hyperlink" Target="https://drive.google.com/drive/folders/10T2cTQHqEJZqE-st6uFKPoI?usp=share_link" TargetMode="External"/><Relationship Id="rId1325" Type="http://schemas.openxmlformats.org/officeDocument/2006/relationships/hyperlink" Target="https://drive.google.com/drive/folders/10T2cTQHqEJZqE-st6uFKPoI?usp=share_link" TargetMode="External"/><Relationship Id="rId2656" Type="http://schemas.openxmlformats.org/officeDocument/2006/relationships/hyperlink" Target="https://drive.google.com/drive/folders/10T2cTQHqEJZqE-st6uFKPoI?usp=share_link" TargetMode="External"/><Relationship Id="rId3988" Type="http://schemas.openxmlformats.org/officeDocument/2006/relationships/hyperlink" Target="https://drive.google.com/drive/folders/10T2cTQHqEJZqE-st6uFKPoI?usp=share_link" TargetMode="External"/><Relationship Id="rId1326" Type="http://schemas.openxmlformats.org/officeDocument/2006/relationships/hyperlink" Target="https://drive.google.com/drive/folders/10T2cTQHqEJZqE-st6uFKPoI?usp=share_link" TargetMode="External"/><Relationship Id="rId2657" Type="http://schemas.openxmlformats.org/officeDocument/2006/relationships/hyperlink" Target="https://drive.google.com/drive/folders/10T2cTQHqEJZqE-st6uFKPoI?usp=share_link" TargetMode="External"/><Relationship Id="rId3987" Type="http://schemas.openxmlformats.org/officeDocument/2006/relationships/hyperlink" Target="https://drive.google.com/drive/folders/10T2cTQHqEJZqE-st6uFKPoI?usp=share_link" TargetMode="External"/><Relationship Id="rId1327" Type="http://schemas.openxmlformats.org/officeDocument/2006/relationships/hyperlink" Target="https://drive.google.com/drive/folders/10T2cTQHqEJZqE-st6uFKPoI?usp=share_link" TargetMode="External"/><Relationship Id="rId2658" Type="http://schemas.openxmlformats.org/officeDocument/2006/relationships/hyperlink" Target="https://drive.google.com/drive/folders/10T2cTQHqEJZqE-st6uFKPoI?usp=share_link" TargetMode="External"/><Relationship Id="rId1328" Type="http://schemas.openxmlformats.org/officeDocument/2006/relationships/hyperlink" Target="https://drive.google.com/drive/folders/10T2cTQHqEJZqE-st6uFKPoI?usp=share_link" TargetMode="External"/><Relationship Id="rId2659" Type="http://schemas.openxmlformats.org/officeDocument/2006/relationships/hyperlink" Target="https://drive.google.com/drive/folders/10T2cTQHqEJZqE-st6uFKPoI?usp=share_link" TargetMode="External"/><Relationship Id="rId3989" Type="http://schemas.openxmlformats.org/officeDocument/2006/relationships/hyperlink" Target="https://drive.google.com/drive/folders/10T2cTQHqEJZqE-st6uFKPoI?usp=share_link" TargetMode="External"/><Relationship Id="rId1329" Type="http://schemas.openxmlformats.org/officeDocument/2006/relationships/hyperlink" Target="https://drive.google.com/drive/folders/10T2cTQHqEJZqE-st6uFKPoI?usp=share_link" TargetMode="External"/><Relationship Id="rId739" Type="http://schemas.openxmlformats.org/officeDocument/2006/relationships/hyperlink" Target="https://drive.google.com/drive/folders/10T2cTQHqEJZqE-st6uFKPoI?usp=share_link" TargetMode="External"/><Relationship Id="rId734" Type="http://schemas.openxmlformats.org/officeDocument/2006/relationships/hyperlink" Target="https://drive.google.com/drive/folders/10T2cTQHqEJZqE-st6uFKPoI?usp=share_link" TargetMode="External"/><Relationship Id="rId733" Type="http://schemas.openxmlformats.org/officeDocument/2006/relationships/hyperlink" Target="https://drive.google.com/drive/folders/10T2cTQHqEJZqE-st6uFKPoI?usp=share_link" TargetMode="External"/><Relationship Id="rId732" Type="http://schemas.openxmlformats.org/officeDocument/2006/relationships/hyperlink" Target="https://drive.google.com/drive/folders/10T2cTQHqEJZqE-st6uFKPoI?usp=share_link" TargetMode="External"/><Relationship Id="rId731" Type="http://schemas.openxmlformats.org/officeDocument/2006/relationships/hyperlink" Target="https://drive.google.com/drive/folders/10T2cTQHqEJZqE-st6uFKPoI?usp=share_link" TargetMode="External"/><Relationship Id="rId738" Type="http://schemas.openxmlformats.org/officeDocument/2006/relationships/hyperlink" Target="https://drive.google.com/drive/folders/10T2cTQHqEJZqE-st6uFKPoI?usp=share_link" TargetMode="External"/><Relationship Id="rId737" Type="http://schemas.openxmlformats.org/officeDocument/2006/relationships/hyperlink" Target="https://drive.google.com/drive/folders/10T2cTQHqEJZqE-st6uFKPoI?usp=share_link" TargetMode="External"/><Relationship Id="rId736" Type="http://schemas.openxmlformats.org/officeDocument/2006/relationships/hyperlink" Target="https://drive.google.com/drive/folders/10T2cTQHqEJZqE-st6uFKPoI?usp=share_link" TargetMode="External"/><Relationship Id="rId735" Type="http://schemas.openxmlformats.org/officeDocument/2006/relationships/hyperlink" Target="https://drive.google.com/drive/folders/10T2cTQHqEJZqE-st6uFKPoI?usp=share_link" TargetMode="External"/><Relationship Id="rId3980" Type="http://schemas.openxmlformats.org/officeDocument/2006/relationships/hyperlink" Target="https://drive.google.com/drive/folders/10T2cTQHqEJZqE-st6uFKPoI?usp=share_link" TargetMode="External"/><Relationship Id="rId730" Type="http://schemas.openxmlformats.org/officeDocument/2006/relationships/hyperlink" Target="https://drive.google.com/drive/folders/10T2cTQHqEJZqE-st6uFKPoI?usp=share_link" TargetMode="External"/><Relationship Id="rId2650" Type="http://schemas.openxmlformats.org/officeDocument/2006/relationships/hyperlink" Target="https://drive.google.com/drive/folders/10T2cTQHqEJZqE-st6uFKPoI?usp=share_link" TargetMode="External"/><Relationship Id="rId3982" Type="http://schemas.openxmlformats.org/officeDocument/2006/relationships/hyperlink" Target="https://drive.google.com/drive/folders/10T2cTQHqEJZqE-st6uFKPoI?usp=share_link" TargetMode="External"/><Relationship Id="rId1320" Type="http://schemas.openxmlformats.org/officeDocument/2006/relationships/hyperlink" Target="https://drive.google.com/drive/folders/10T2cTQHqEJZqE-st6uFKPoI?usp=share_link" TargetMode="External"/><Relationship Id="rId2651" Type="http://schemas.openxmlformats.org/officeDocument/2006/relationships/hyperlink" Target="https://drive.google.com/drive/folders/10T2cTQHqEJZqE-st6uFKPoI?usp=share_link" TargetMode="External"/><Relationship Id="rId3981" Type="http://schemas.openxmlformats.org/officeDocument/2006/relationships/hyperlink" Target="https://drive.google.com/drive/folders/10T2cTQHqEJZqE-st6uFKPoI?usp=share_link" TargetMode="External"/><Relationship Id="rId1321" Type="http://schemas.openxmlformats.org/officeDocument/2006/relationships/hyperlink" Target="https://drive.google.com/drive/folders/10T2cTQHqEJZqE-st6uFKPoI?usp=share_link" TargetMode="External"/><Relationship Id="rId2652" Type="http://schemas.openxmlformats.org/officeDocument/2006/relationships/hyperlink" Target="https://drive.google.com/drive/folders/10T2cTQHqEJZqE-st6uFKPoI?usp=share_link" TargetMode="External"/><Relationship Id="rId3984" Type="http://schemas.openxmlformats.org/officeDocument/2006/relationships/hyperlink" Target="https://drive.google.com/drive/folders/10T2cTQHqEJZqE-st6uFKPoI?usp=share_link" TargetMode="External"/><Relationship Id="rId1322" Type="http://schemas.openxmlformats.org/officeDocument/2006/relationships/hyperlink" Target="https://drive.google.com/drive/folders/10T2cTQHqEJZqE-st6uFKPoI?usp=share_link" TargetMode="External"/><Relationship Id="rId2653" Type="http://schemas.openxmlformats.org/officeDocument/2006/relationships/hyperlink" Target="https://drive.google.com/drive/folders/10T2cTQHqEJZqE-st6uFKPoI?usp=share_link" TargetMode="External"/><Relationship Id="rId3983" Type="http://schemas.openxmlformats.org/officeDocument/2006/relationships/hyperlink" Target="https://drive.google.com/drive/folders/10T2cTQHqEJZqE-st6uFKPoI?usp=share_link" TargetMode="External"/><Relationship Id="rId1356" Type="http://schemas.openxmlformats.org/officeDocument/2006/relationships/hyperlink" Target="https://drive.google.com/drive/folders/10T2cTQHqEJZqE-st6uFKPoI?usp=share_link" TargetMode="External"/><Relationship Id="rId2687" Type="http://schemas.openxmlformats.org/officeDocument/2006/relationships/hyperlink" Target="https://drive.google.com/drive/folders/10T2cTQHqEJZqE-st6uFKPoI?usp=share_link" TargetMode="External"/><Relationship Id="rId5714" Type="http://schemas.openxmlformats.org/officeDocument/2006/relationships/hyperlink" Target="https://drive.google.com/drive/folders/10T2cTQHqEJZqE-st6uFKPoI?usp=share_link" TargetMode="External"/><Relationship Id="rId1357" Type="http://schemas.openxmlformats.org/officeDocument/2006/relationships/hyperlink" Target="https://drive.google.com/drive/folders/10T2cTQHqEJZqE-st6uFKPoI?usp=share_link" TargetMode="External"/><Relationship Id="rId2688" Type="http://schemas.openxmlformats.org/officeDocument/2006/relationships/hyperlink" Target="https://drive.google.com/drive/folders/10T2cTQHqEJZqE-st6uFKPoI?usp=share_link" TargetMode="External"/><Relationship Id="rId5715" Type="http://schemas.openxmlformats.org/officeDocument/2006/relationships/hyperlink" Target="https://drive.google.com/drive/folders/10T2cTQHqEJZqE-st6uFKPoI?usp=share_link" TargetMode="External"/><Relationship Id="rId1358" Type="http://schemas.openxmlformats.org/officeDocument/2006/relationships/hyperlink" Target="https://drive.google.com/drive/folders/10T2cTQHqEJZqE-st6uFKPoI?usp=share_link" TargetMode="External"/><Relationship Id="rId2689" Type="http://schemas.openxmlformats.org/officeDocument/2006/relationships/hyperlink" Target="https://drive.google.com/drive/folders/10T2cTQHqEJZqE-st6uFKPoI?usp=share_link" TargetMode="External"/><Relationship Id="rId5712" Type="http://schemas.openxmlformats.org/officeDocument/2006/relationships/hyperlink" Target="https://drive.google.com/drive/folders/10T2cTQHqEJZqE-st6uFKPoI?usp=share_link" TargetMode="External"/><Relationship Id="rId1359" Type="http://schemas.openxmlformats.org/officeDocument/2006/relationships/hyperlink" Target="https://drive.google.com/drive/folders/10T2cTQHqEJZqE-st6uFKPoI?usp=share_link" TargetMode="External"/><Relationship Id="rId5713" Type="http://schemas.openxmlformats.org/officeDocument/2006/relationships/hyperlink" Target="https://drive.google.com/drive/folders/10T2cTQHqEJZqE-st6uFKPoI?usp=share_link" TargetMode="External"/><Relationship Id="rId5718" Type="http://schemas.openxmlformats.org/officeDocument/2006/relationships/hyperlink" Target="https://drive.google.com/drive/folders/10T2cTQHqEJZqE-st6uFKPoI?usp=share_link" TargetMode="External"/><Relationship Id="rId5719" Type="http://schemas.openxmlformats.org/officeDocument/2006/relationships/hyperlink" Target="https://drive.google.com/drive/folders/10T2cTQHqEJZqE-st6uFKPoI?usp=share_link" TargetMode="External"/><Relationship Id="rId5716" Type="http://schemas.openxmlformats.org/officeDocument/2006/relationships/hyperlink" Target="https://drive.google.com/drive/folders/10T2cTQHqEJZqE-st6uFKPoI?usp=share_link" TargetMode="External"/><Relationship Id="rId5717" Type="http://schemas.openxmlformats.org/officeDocument/2006/relationships/hyperlink" Target="https://drive.google.com/drive/folders/10T2cTQHqEJZqE-st6uFKPoI?usp=share_link" TargetMode="External"/><Relationship Id="rId767" Type="http://schemas.openxmlformats.org/officeDocument/2006/relationships/hyperlink" Target="https://drive.google.com/drive/folders/10T2cTQHqEJZqE-st6uFKPoI?usp=share_link" TargetMode="External"/><Relationship Id="rId766" Type="http://schemas.openxmlformats.org/officeDocument/2006/relationships/hyperlink" Target="https://drive.google.com/drive/folders/10T2cTQHqEJZqE-st6uFKPoI?usp=share_link" TargetMode="External"/><Relationship Id="rId765" Type="http://schemas.openxmlformats.org/officeDocument/2006/relationships/hyperlink" Target="https://drive.google.com/drive/folders/10T2cTQHqEJZqE-st6uFKPoI?usp=share_link" TargetMode="External"/><Relationship Id="rId764" Type="http://schemas.openxmlformats.org/officeDocument/2006/relationships/hyperlink" Target="https://drive.google.com/drive/folders/10T2cTQHqEJZqE-st6uFKPoI?usp=share_link" TargetMode="External"/><Relationship Id="rId769" Type="http://schemas.openxmlformats.org/officeDocument/2006/relationships/hyperlink" Target="https://drive.google.com/drive/folders/10T2cTQHqEJZqE-st6uFKPoI?usp=share_link" TargetMode="External"/><Relationship Id="rId768" Type="http://schemas.openxmlformats.org/officeDocument/2006/relationships/hyperlink" Target="https://drive.google.com/drive/folders/10T2cTQHqEJZqE-st6uFKPoI?usp=share_link" TargetMode="External"/><Relationship Id="rId2680" Type="http://schemas.openxmlformats.org/officeDocument/2006/relationships/hyperlink" Target="https://drive.google.com/drive/folders/10T2cTQHqEJZqE-st6uFKPoI?usp=share_link" TargetMode="External"/><Relationship Id="rId1350" Type="http://schemas.openxmlformats.org/officeDocument/2006/relationships/hyperlink" Target="https://drive.google.com/drive/folders/10T2cTQHqEJZqE-st6uFKPoI?usp=share_link" TargetMode="External"/><Relationship Id="rId2681" Type="http://schemas.openxmlformats.org/officeDocument/2006/relationships/hyperlink" Target="https://drive.google.com/drive/folders/10T2cTQHqEJZqE-st6uFKPoI?usp=share_link" TargetMode="External"/><Relationship Id="rId1351" Type="http://schemas.openxmlformats.org/officeDocument/2006/relationships/hyperlink" Target="https://drive.google.com/drive/folders/10T2cTQHqEJZqE-st6uFKPoI?usp=share_link" TargetMode="External"/><Relationship Id="rId2682" Type="http://schemas.openxmlformats.org/officeDocument/2006/relationships/hyperlink" Target="https://drive.google.com/drive/folders/10T2cTQHqEJZqE-st6uFKPoI?usp=share_link" TargetMode="External"/><Relationship Id="rId763" Type="http://schemas.openxmlformats.org/officeDocument/2006/relationships/hyperlink" Target="https://drive.google.com/drive/folders/10T2cTQHqEJZqE-st6uFKPoI?usp=share_link" TargetMode="External"/><Relationship Id="rId1352" Type="http://schemas.openxmlformats.org/officeDocument/2006/relationships/hyperlink" Target="https://drive.google.com/drive/folders/10T2cTQHqEJZqE-st6uFKPoI?usp=share_link" TargetMode="External"/><Relationship Id="rId2683" Type="http://schemas.openxmlformats.org/officeDocument/2006/relationships/hyperlink" Target="https://drive.google.com/drive/folders/10T2cTQHqEJZqE-st6uFKPoI?usp=share_link" TargetMode="External"/><Relationship Id="rId5710" Type="http://schemas.openxmlformats.org/officeDocument/2006/relationships/hyperlink" Target="https://drive.google.com/drive/folders/10T2cTQHqEJZqE-st6uFKPoI?usp=share_link" TargetMode="External"/><Relationship Id="rId762" Type="http://schemas.openxmlformats.org/officeDocument/2006/relationships/hyperlink" Target="https://drive.google.com/drive/folders/10T2cTQHqEJZqE-st6uFKPoI?usp=share_link" TargetMode="External"/><Relationship Id="rId1353" Type="http://schemas.openxmlformats.org/officeDocument/2006/relationships/hyperlink" Target="https://drive.google.com/drive/folders/10T2cTQHqEJZqE-st6uFKPoI?usp=share_link" TargetMode="External"/><Relationship Id="rId2684" Type="http://schemas.openxmlformats.org/officeDocument/2006/relationships/hyperlink" Target="https://drive.google.com/drive/folders/10T2cTQHqEJZqE-st6uFKPoI?usp=share_link" TargetMode="External"/><Relationship Id="rId5711" Type="http://schemas.openxmlformats.org/officeDocument/2006/relationships/hyperlink" Target="https://drive.google.com/drive/folders/10T2cTQHqEJZqE-st6uFKPoI?usp=share_link" TargetMode="External"/><Relationship Id="rId761" Type="http://schemas.openxmlformats.org/officeDocument/2006/relationships/hyperlink" Target="https://drive.google.com/drive/folders/10T2cTQHqEJZqE-st6uFKPoI?usp=share_link" TargetMode="External"/><Relationship Id="rId1354" Type="http://schemas.openxmlformats.org/officeDocument/2006/relationships/hyperlink" Target="https://drive.google.com/drive/folders/10T2cTQHqEJZqE-st6uFKPoI?usp=share_link" TargetMode="External"/><Relationship Id="rId2685" Type="http://schemas.openxmlformats.org/officeDocument/2006/relationships/hyperlink" Target="https://drive.google.com/drive/folders/10T2cTQHqEJZqE-st6uFKPoI?usp=share_link" TargetMode="External"/><Relationship Id="rId760" Type="http://schemas.openxmlformats.org/officeDocument/2006/relationships/hyperlink" Target="https://drive.google.com/drive/folders/10T2cTQHqEJZqE-st6uFKPoI?usp=share_link" TargetMode="External"/><Relationship Id="rId1355" Type="http://schemas.openxmlformats.org/officeDocument/2006/relationships/hyperlink" Target="https://drive.google.com/drive/folders/10T2cTQHqEJZqE-st6uFKPoI?usp=share_link" TargetMode="External"/><Relationship Id="rId2686" Type="http://schemas.openxmlformats.org/officeDocument/2006/relationships/hyperlink" Target="https://drive.google.com/drive/folders/10T2cTQHqEJZqE-st6uFKPoI?usp=share_link" TargetMode="External"/><Relationship Id="rId1345" Type="http://schemas.openxmlformats.org/officeDocument/2006/relationships/hyperlink" Target="https://drive.google.com/drive/folders/10T2cTQHqEJZqE-st6uFKPoI?usp=share_link" TargetMode="External"/><Relationship Id="rId2676" Type="http://schemas.openxmlformats.org/officeDocument/2006/relationships/hyperlink" Target="https://drive.google.com/drive/folders/10T2cTQHqEJZqE-st6uFKPoI?usp=share_link" TargetMode="External"/><Relationship Id="rId5703" Type="http://schemas.openxmlformats.org/officeDocument/2006/relationships/hyperlink" Target="https://drive.google.com/drive/folders/10T2cTQHqEJZqE-st6uFKPoI?usp=share_link" TargetMode="External"/><Relationship Id="rId1346" Type="http://schemas.openxmlformats.org/officeDocument/2006/relationships/hyperlink" Target="https://drive.google.com/drive/folders/10T2cTQHqEJZqE-st6uFKPoI?usp=share_link" TargetMode="External"/><Relationship Id="rId2677" Type="http://schemas.openxmlformats.org/officeDocument/2006/relationships/hyperlink" Target="https://drive.google.com/drive/folders/10T2cTQHqEJZqE-st6uFKPoI?usp=share_link" TargetMode="External"/><Relationship Id="rId5704" Type="http://schemas.openxmlformats.org/officeDocument/2006/relationships/hyperlink" Target="https://drive.google.com/drive/folders/10T2cTQHqEJZqE-st6uFKPoI?usp=share_link" TargetMode="External"/><Relationship Id="rId1347" Type="http://schemas.openxmlformats.org/officeDocument/2006/relationships/hyperlink" Target="https://drive.google.com/drive/folders/10T2cTQHqEJZqE-st6uFKPoI?usp=share_link" TargetMode="External"/><Relationship Id="rId2678" Type="http://schemas.openxmlformats.org/officeDocument/2006/relationships/hyperlink" Target="https://drive.google.com/drive/folders/10T2cTQHqEJZqE-st6uFKPoI?usp=share_link" TargetMode="External"/><Relationship Id="rId5701" Type="http://schemas.openxmlformats.org/officeDocument/2006/relationships/hyperlink" Target="https://drive.google.com/drive/folders/10T2cTQHqEJZqE-st6uFKPoI?usp=share_link" TargetMode="External"/><Relationship Id="rId1348" Type="http://schemas.openxmlformats.org/officeDocument/2006/relationships/hyperlink" Target="https://drive.google.com/drive/folders/10T2cTQHqEJZqE-st6uFKPoI?usp=share_link" TargetMode="External"/><Relationship Id="rId2679" Type="http://schemas.openxmlformats.org/officeDocument/2006/relationships/hyperlink" Target="https://drive.google.com/drive/folders/10T2cTQHqEJZqE-st6uFKPoI?usp=share_link" TargetMode="External"/><Relationship Id="rId5702" Type="http://schemas.openxmlformats.org/officeDocument/2006/relationships/hyperlink" Target="https://drive.google.com/drive/folders/10T2cTQHqEJZqE-st6uFKPoI?usp=share_link" TargetMode="External"/><Relationship Id="rId1349" Type="http://schemas.openxmlformats.org/officeDocument/2006/relationships/hyperlink" Target="https://drive.google.com/drive/folders/10T2cTQHqEJZqE-st6uFKPoI?usp=share_link" TargetMode="External"/><Relationship Id="rId5707" Type="http://schemas.openxmlformats.org/officeDocument/2006/relationships/hyperlink" Target="https://drive.google.com/drive/folders/10T2cTQHqEJZqE-st6uFKPoI?usp=share_link" TargetMode="External"/><Relationship Id="rId5708" Type="http://schemas.openxmlformats.org/officeDocument/2006/relationships/hyperlink" Target="https://drive.google.com/drive/folders/10T2cTQHqEJZqE-st6uFKPoI?usp=share_link" TargetMode="External"/><Relationship Id="rId5705" Type="http://schemas.openxmlformats.org/officeDocument/2006/relationships/hyperlink" Target="https://drive.google.com/drive/folders/10T2cTQHqEJZqE-st6uFKPoI?usp=share_link" TargetMode="External"/><Relationship Id="rId5706" Type="http://schemas.openxmlformats.org/officeDocument/2006/relationships/hyperlink" Target="https://drive.google.com/drive/folders/10T2cTQHqEJZqE-st6uFKPoI?usp=share_link" TargetMode="External"/><Relationship Id="rId5709" Type="http://schemas.openxmlformats.org/officeDocument/2006/relationships/hyperlink" Target="https://drive.google.com/drive/folders/10T2cTQHqEJZqE-st6uFKPoI?usp=share_link" TargetMode="External"/><Relationship Id="rId756" Type="http://schemas.openxmlformats.org/officeDocument/2006/relationships/hyperlink" Target="https://drive.google.com/drive/folders/10T2cTQHqEJZqE-st6uFKPoI?usp=share_link" TargetMode="External"/><Relationship Id="rId755" Type="http://schemas.openxmlformats.org/officeDocument/2006/relationships/hyperlink" Target="https://drive.google.com/drive/folders/10T2cTQHqEJZqE-st6uFKPoI?usp=share_link" TargetMode="External"/><Relationship Id="rId754" Type="http://schemas.openxmlformats.org/officeDocument/2006/relationships/hyperlink" Target="https://drive.google.com/drive/folders/10T2cTQHqEJZqE-st6uFKPoI?usp=share_link" TargetMode="External"/><Relationship Id="rId753" Type="http://schemas.openxmlformats.org/officeDocument/2006/relationships/hyperlink" Target="https://drive.google.com/drive/folders/10T2cTQHqEJZqE-st6uFKPoI?usp=share_link" TargetMode="External"/><Relationship Id="rId759" Type="http://schemas.openxmlformats.org/officeDocument/2006/relationships/hyperlink" Target="https://drive.google.com/drive/folders/10T2cTQHqEJZqE-st6uFKPoI?usp=share_link" TargetMode="External"/><Relationship Id="rId758" Type="http://schemas.openxmlformats.org/officeDocument/2006/relationships/hyperlink" Target="https://drive.google.com/drive/folders/10T2cTQHqEJZqE-st6uFKPoI?usp=share_link" TargetMode="External"/><Relationship Id="rId757" Type="http://schemas.openxmlformats.org/officeDocument/2006/relationships/hyperlink" Target="https://drive.google.com/drive/folders/10T2cTQHqEJZqE-st6uFKPoI?usp=share_link" TargetMode="External"/><Relationship Id="rId2670" Type="http://schemas.openxmlformats.org/officeDocument/2006/relationships/hyperlink" Target="https://drive.google.com/drive/folders/10T2cTQHqEJZqE-st6uFKPoI?usp=share_link" TargetMode="External"/><Relationship Id="rId1340" Type="http://schemas.openxmlformats.org/officeDocument/2006/relationships/hyperlink" Target="https://drive.google.com/drive/folders/10T2cTQHqEJZqE-st6uFKPoI?usp=share_link" TargetMode="External"/><Relationship Id="rId2671" Type="http://schemas.openxmlformats.org/officeDocument/2006/relationships/hyperlink" Target="https://drive.google.com/drive/folders/10T2cTQHqEJZqE-st6uFKPoI?usp=share_link" TargetMode="External"/><Relationship Id="rId752" Type="http://schemas.openxmlformats.org/officeDocument/2006/relationships/hyperlink" Target="https://drive.google.com/drive/folders/10T2cTQHqEJZqE-st6uFKPoI?usp=share_link" TargetMode="External"/><Relationship Id="rId1341" Type="http://schemas.openxmlformats.org/officeDocument/2006/relationships/hyperlink" Target="https://drive.google.com/drive/folders/10T2cTQHqEJZqE-st6uFKPoI?usp=share_link" TargetMode="External"/><Relationship Id="rId2672" Type="http://schemas.openxmlformats.org/officeDocument/2006/relationships/hyperlink" Target="https://drive.google.com/drive/folders/10T2cTQHqEJZqE-st6uFKPoI?usp=share_link" TargetMode="External"/><Relationship Id="rId751" Type="http://schemas.openxmlformats.org/officeDocument/2006/relationships/hyperlink" Target="https://drive.google.com/drive/folders/10T2cTQHqEJZqE-st6uFKPoI?usp=share_link" TargetMode="External"/><Relationship Id="rId1342" Type="http://schemas.openxmlformats.org/officeDocument/2006/relationships/hyperlink" Target="https://drive.google.com/drive/folders/10T2cTQHqEJZqE-st6uFKPoI?usp=share_link" TargetMode="External"/><Relationship Id="rId2673" Type="http://schemas.openxmlformats.org/officeDocument/2006/relationships/hyperlink" Target="https://drive.google.com/drive/folders/10T2cTQHqEJZqE-st6uFKPoI?usp=share_link" TargetMode="External"/><Relationship Id="rId5700" Type="http://schemas.openxmlformats.org/officeDocument/2006/relationships/hyperlink" Target="https://drive.google.com/drive/folders/10T2cTQHqEJZqE-st6uFKPoI?usp=share_link" TargetMode="External"/><Relationship Id="rId750" Type="http://schemas.openxmlformats.org/officeDocument/2006/relationships/hyperlink" Target="https://drive.google.com/drive/folders/10T2cTQHqEJZqE-st6uFKPoI?usp=share_link" TargetMode="External"/><Relationship Id="rId1343" Type="http://schemas.openxmlformats.org/officeDocument/2006/relationships/hyperlink" Target="https://drive.google.com/drive/folders/10T2cTQHqEJZqE-st6uFKPoI?usp=share_link" TargetMode="External"/><Relationship Id="rId2674" Type="http://schemas.openxmlformats.org/officeDocument/2006/relationships/hyperlink" Target="https://drive.google.com/drive/folders/10T2cTQHqEJZqE-st6uFKPoI?usp=share_link" TargetMode="External"/><Relationship Id="rId1344" Type="http://schemas.openxmlformats.org/officeDocument/2006/relationships/hyperlink" Target="https://drive.google.com/drive/folders/10T2cTQHqEJZqE-st6uFKPoI?usp=share_link" TargetMode="External"/><Relationship Id="rId2675" Type="http://schemas.openxmlformats.org/officeDocument/2006/relationships/hyperlink" Target="https://drive.google.com/drive/folders/10T2cTQHqEJZqE-st6uFKPoI?usp=share_link" TargetMode="External"/><Relationship Id="rId2621" Type="http://schemas.openxmlformats.org/officeDocument/2006/relationships/hyperlink" Target="https://drive.google.com/drive/folders/10T2cTQHqEJZqE-st6uFKPoI?usp=share_link" TargetMode="External"/><Relationship Id="rId3953" Type="http://schemas.openxmlformats.org/officeDocument/2006/relationships/hyperlink" Target="https://drive.google.com/drive/folders/10T2cTQHqEJZqE-st6uFKPoI?usp=share_link" TargetMode="External"/><Relationship Id="rId2622" Type="http://schemas.openxmlformats.org/officeDocument/2006/relationships/hyperlink" Target="https://drive.google.com/drive/folders/10T2cTQHqEJZqE-st6uFKPoI?usp=share_link" TargetMode="External"/><Relationship Id="rId3952" Type="http://schemas.openxmlformats.org/officeDocument/2006/relationships/hyperlink" Target="https://drive.google.com/drive/folders/10T2cTQHqEJZqE-st6uFKPoI?usp=share_link" TargetMode="External"/><Relationship Id="rId2623" Type="http://schemas.openxmlformats.org/officeDocument/2006/relationships/hyperlink" Target="https://drive.google.com/drive/folders/10T2cTQHqEJZqE-st6uFKPoI?usp=share_link" TargetMode="External"/><Relationship Id="rId3955" Type="http://schemas.openxmlformats.org/officeDocument/2006/relationships/hyperlink" Target="https://drive.google.com/drive/folders/10T2cTQHqEJZqE-st6uFKPoI?usp=share_link" TargetMode="External"/><Relationship Id="rId2624" Type="http://schemas.openxmlformats.org/officeDocument/2006/relationships/hyperlink" Target="https://drive.google.com/drive/folders/10T2cTQHqEJZqE-st6uFKPoI?usp=share_link" TargetMode="External"/><Relationship Id="rId3954" Type="http://schemas.openxmlformats.org/officeDocument/2006/relationships/hyperlink" Target="https://drive.google.com/drive/folders/10T2cTQHqEJZqE-st6uFKPoI?usp=share_link" TargetMode="External"/><Relationship Id="rId2625" Type="http://schemas.openxmlformats.org/officeDocument/2006/relationships/hyperlink" Target="https://drive.google.com/drive/folders/10T2cTQHqEJZqE-st6uFKPoI?usp=share_link" TargetMode="External"/><Relationship Id="rId3957" Type="http://schemas.openxmlformats.org/officeDocument/2006/relationships/hyperlink" Target="https://drive.google.com/drive/folders/10T2cTQHqEJZqE-st6uFKPoI?usp=share_link" TargetMode="External"/><Relationship Id="rId2626" Type="http://schemas.openxmlformats.org/officeDocument/2006/relationships/hyperlink" Target="https://drive.google.com/drive/folders/10T2cTQHqEJZqE-st6uFKPoI?usp=share_link" TargetMode="External"/><Relationship Id="rId3956" Type="http://schemas.openxmlformats.org/officeDocument/2006/relationships/hyperlink" Target="https://drive.google.com/drive/folders/10T2cTQHqEJZqE-st6uFKPoI?usp=share_link" TargetMode="External"/><Relationship Id="rId2627" Type="http://schemas.openxmlformats.org/officeDocument/2006/relationships/hyperlink" Target="https://drive.google.com/drive/folders/10T2cTQHqEJZqE-st6uFKPoI?usp=share_link" TargetMode="External"/><Relationship Id="rId3959" Type="http://schemas.openxmlformats.org/officeDocument/2006/relationships/hyperlink" Target="https://drive.google.com/drive/folders/10T2cTQHqEJZqE-st6uFKPoI?usp=share_link" TargetMode="External"/><Relationship Id="rId2628" Type="http://schemas.openxmlformats.org/officeDocument/2006/relationships/hyperlink" Target="https://drive.google.com/drive/folders/10T2cTQHqEJZqE-st6uFKPoI?usp=share_link" TargetMode="External"/><Relationship Id="rId3958" Type="http://schemas.openxmlformats.org/officeDocument/2006/relationships/hyperlink" Target="https://drive.google.com/drive/folders/10T2cTQHqEJZqE-st6uFKPoI?usp=share_link" TargetMode="External"/><Relationship Id="rId709" Type="http://schemas.openxmlformats.org/officeDocument/2006/relationships/hyperlink" Target="https://drive.google.com/drive/folders/10T2cTQHqEJZqE-st6uFKPoI?usp=share_link" TargetMode="External"/><Relationship Id="rId2629" Type="http://schemas.openxmlformats.org/officeDocument/2006/relationships/hyperlink" Target="https://drive.google.com/drive/folders/10T2cTQHqEJZqE-st6uFKPoI?usp=share_link" TargetMode="External"/><Relationship Id="rId708" Type="http://schemas.openxmlformats.org/officeDocument/2006/relationships/hyperlink" Target="https://drive.google.com/drive/folders/10T2cTQHqEJZqE-st6uFKPoI?usp=share_link" TargetMode="External"/><Relationship Id="rId707" Type="http://schemas.openxmlformats.org/officeDocument/2006/relationships/hyperlink" Target="https://drive.google.com/drive/folders/10T2cTQHqEJZqE-st6uFKPoI?usp=share_link" TargetMode="External"/><Relationship Id="rId706" Type="http://schemas.openxmlformats.org/officeDocument/2006/relationships/hyperlink" Target="https://drive.google.com/drive/folders/10T2cTQHqEJZqE-st6uFKPoI?usp=share_link" TargetMode="External"/><Relationship Id="rId701" Type="http://schemas.openxmlformats.org/officeDocument/2006/relationships/hyperlink" Target="https://drive.google.com/drive/folders/10T2cTQHqEJZqE-st6uFKPoI?usp=share_link" TargetMode="External"/><Relationship Id="rId700" Type="http://schemas.openxmlformats.org/officeDocument/2006/relationships/hyperlink" Target="https://drive.google.com/drive/folders/10T2cTQHqEJZqE-st6uFKPoI?usp=share_link" TargetMode="External"/><Relationship Id="rId705" Type="http://schemas.openxmlformats.org/officeDocument/2006/relationships/hyperlink" Target="https://drive.google.com/drive/folders/10T2cTQHqEJZqE-st6uFKPoI?usp=share_link" TargetMode="External"/><Relationship Id="rId704" Type="http://schemas.openxmlformats.org/officeDocument/2006/relationships/hyperlink" Target="https://drive.google.com/drive/folders/10T2cTQHqEJZqE-st6uFKPoI?usp=share_link" TargetMode="External"/><Relationship Id="rId703" Type="http://schemas.openxmlformats.org/officeDocument/2006/relationships/hyperlink" Target="https://drive.google.com/drive/folders/10T2cTQHqEJZqE-st6uFKPoI?usp=share_link" TargetMode="External"/><Relationship Id="rId702" Type="http://schemas.openxmlformats.org/officeDocument/2006/relationships/hyperlink" Target="https://drive.google.com/drive/folders/10T2cTQHqEJZqE-st6uFKPoI?usp=share_link" TargetMode="External"/><Relationship Id="rId3951" Type="http://schemas.openxmlformats.org/officeDocument/2006/relationships/hyperlink" Target="https://drive.google.com/drive/folders/10T2cTQHqEJZqE-st6uFKPoI?usp=share_link" TargetMode="External"/><Relationship Id="rId2620" Type="http://schemas.openxmlformats.org/officeDocument/2006/relationships/hyperlink" Target="https://drive.google.com/drive/folders/10T2cTQHqEJZqE-st6uFKPoI?usp=share_link" TargetMode="External"/><Relationship Id="rId3950" Type="http://schemas.openxmlformats.org/officeDocument/2006/relationships/hyperlink" Target="https://drive.google.com/drive/folders/10T2cTQHqEJZqE-st6uFKPoI?usp=share_link" TargetMode="External"/><Relationship Id="rId2610" Type="http://schemas.openxmlformats.org/officeDocument/2006/relationships/hyperlink" Target="https://drive.google.com/drive/folders/10T2cTQHqEJZqE-st6uFKPoI?usp=share_link" TargetMode="External"/><Relationship Id="rId3942" Type="http://schemas.openxmlformats.org/officeDocument/2006/relationships/hyperlink" Target="https://drive.google.com/drive/folders/10T2cTQHqEJZqE-st6uFKPoI?usp=share_link" TargetMode="External"/><Relationship Id="rId2611" Type="http://schemas.openxmlformats.org/officeDocument/2006/relationships/hyperlink" Target="https://drive.google.com/drive/folders/10T2cTQHqEJZqE-st6uFKPoI?usp=share_link" TargetMode="External"/><Relationship Id="rId3941" Type="http://schemas.openxmlformats.org/officeDocument/2006/relationships/hyperlink" Target="https://drive.google.com/drive/folders/10T2cTQHqEJZqE-st6uFKPoI?usp=share_link" TargetMode="External"/><Relationship Id="rId2612" Type="http://schemas.openxmlformats.org/officeDocument/2006/relationships/hyperlink" Target="https://drive.google.com/drive/folders/10T2cTQHqEJZqE-st6uFKPoI?usp=share_link" TargetMode="External"/><Relationship Id="rId3944" Type="http://schemas.openxmlformats.org/officeDocument/2006/relationships/hyperlink" Target="https://drive.google.com/drive/folders/10T2cTQHqEJZqE-st6uFKPoI?usp=share_link" TargetMode="External"/><Relationship Id="rId2613" Type="http://schemas.openxmlformats.org/officeDocument/2006/relationships/hyperlink" Target="https://drive.google.com/drive/folders/10T2cTQHqEJZqE-st6uFKPoI?usp=share_link" TargetMode="External"/><Relationship Id="rId3943" Type="http://schemas.openxmlformats.org/officeDocument/2006/relationships/hyperlink" Target="https://drive.google.com/drive/folders/10T2cTQHqEJZqE-st6uFKPoI?usp=share_link" TargetMode="External"/><Relationship Id="rId2614" Type="http://schemas.openxmlformats.org/officeDocument/2006/relationships/hyperlink" Target="https://drive.google.com/drive/folders/10T2cTQHqEJZqE-st6uFKPoI?usp=share_link" TargetMode="External"/><Relationship Id="rId3946" Type="http://schemas.openxmlformats.org/officeDocument/2006/relationships/hyperlink" Target="https://drive.google.com/drive/folders/10T2cTQHqEJZqE-st6uFKPoI?usp=share_link" TargetMode="External"/><Relationship Id="rId2615" Type="http://schemas.openxmlformats.org/officeDocument/2006/relationships/hyperlink" Target="https://drive.google.com/drive/folders/10T2cTQHqEJZqE-st6uFKPoI?usp=share_link" TargetMode="External"/><Relationship Id="rId3945" Type="http://schemas.openxmlformats.org/officeDocument/2006/relationships/hyperlink" Target="https://drive.google.com/drive/folders/10T2cTQHqEJZqE-st6uFKPoI?usp=share_link" TargetMode="External"/><Relationship Id="rId2616" Type="http://schemas.openxmlformats.org/officeDocument/2006/relationships/hyperlink" Target="https://drive.google.com/drive/folders/10T2cTQHqEJZqE-st6uFKPoI?usp=share_link" TargetMode="External"/><Relationship Id="rId3948" Type="http://schemas.openxmlformats.org/officeDocument/2006/relationships/hyperlink" Target="https://drive.google.com/drive/folders/10T2cTQHqEJZqE-st6uFKPoI?usp=share_link" TargetMode="External"/><Relationship Id="rId2617" Type="http://schemas.openxmlformats.org/officeDocument/2006/relationships/hyperlink" Target="https://drive.google.com/drive/folders/10T2cTQHqEJZqE-st6uFKPoI?usp=share_link" TargetMode="External"/><Relationship Id="rId3947" Type="http://schemas.openxmlformats.org/officeDocument/2006/relationships/hyperlink" Target="https://drive.google.com/drive/folders/10T2cTQHqEJZqE-st6uFKPoI?usp=share_link" TargetMode="External"/><Relationship Id="rId2618" Type="http://schemas.openxmlformats.org/officeDocument/2006/relationships/hyperlink" Target="https://drive.google.com/drive/folders/10T2cTQHqEJZqE-st6uFKPoI?usp=share_link" TargetMode="External"/><Relationship Id="rId2619" Type="http://schemas.openxmlformats.org/officeDocument/2006/relationships/hyperlink" Target="https://drive.google.com/drive/folders/10T2cTQHqEJZqE-st6uFKPoI?usp=share_link" TargetMode="External"/><Relationship Id="rId3949" Type="http://schemas.openxmlformats.org/officeDocument/2006/relationships/hyperlink" Target="https://drive.google.com/drive/folders/10T2cTQHqEJZqE-st6uFKPoI?usp=share_link" TargetMode="External"/><Relationship Id="rId3940" Type="http://schemas.openxmlformats.org/officeDocument/2006/relationships/hyperlink" Target="https://drive.google.com/drive/folders/10T2cTQHqEJZqE-st6uFKPoI?usp=share_link" TargetMode="External"/><Relationship Id="rId1312" Type="http://schemas.openxmlformats.org/officeDocument/2006/relationships/hyperlink" Target="https://drive.google.com/drive/folders/10T2cTQHqEJZqE-st6uFKPoI?usp=share_link" TargetMode="External"/><Relationship Id="rId2643" Type="http://schemas.openxmlformats.org/officeDocument/2006/relationships/hyperlink" Target="https://drive.google.com/drive/folders/10T2cTQHqEJZqE-st6uFKPoI?usp=share_link" TargetMode="External"/><Relationship Id="rId3975" Type="http://schemas.openxmlformats.org/officeDocument/2006/relationships/hyperlink" Target="https://drive.google.com/drive/folders/10T2cTQHqEJZqE-st6uFKPoI?usp=share_link" TargetMode="External"/><Relationship Id="rId1313" Type="http://schemas.openxmlformats.org/officeDocument/2006/relationships/hyperlink" Target="https://drive.google.com/drive/folders/10T2cTQHqEJZqE-st6uFKPoI?usp=share_link" TargetMode="External"/><Relationship Id="rId2644" Type="http://schemas.openxmlformats.org/officeDocument/2006/relationships/hyperlink" Target="https://drive.google.com/drive/folders/10T2cTQHqEJZqE-st6uFKPoI?usp=share_link" TargetMode="External"/><Relationship Id="rId3974" Type="http://schemas.openxmlformats.org/officeDocument/2006/relationships/hyperlink" Target="https://drive.google.com/drive/folders/10T2cTQHqEJZqE-st6uFKPoI?usp=share_link" TargetMode="External"/><Relationship Id="rId1314" Type="http://schemas.openxmlformats.org/officeDocument/2006/relationships/hyperlink" Target="https://drive.google.com/drive/folders/10T2cTQHqEJZqE-st6uFKPoI?usp=share_link" TargetMode="External"/><Relationship Id="rId2645" Type="http://schemas.openxmlformats.org/officeDocument/2006/relationships/hyperlink" Target="https://drive.google.com/drive/folders/10T2cTQHqEJZqE-st6uFKPoI?usp=share_link" TargetMode="External"/><Relationship Id="rId3977" Type="http://schemas.openxmlformats.org/officeDocument/2006/relationships/hyperlink" Target="https://drive.google.com/drive/folders/10T2cTQHqEJZqE-st6uFKPoI?usp=share_link" TargetMode="External"/><Relationship Id="rId1315" Type="http://schemas.openxmlformats.org/officeDocument/2006/relationships/hyperlink" Target="https://drive.google.com/drive/folders/10T2cTQHqEJZqE-st6uFKPoI?usp=share_link" TargetMode="External"/><Relationship Id="rId2646" Type="http://schemas.openxmlformats.org/officeDocument/2006/relationships/hyperlink" Target="https://drive.google.com/drive/folders/10T2cTQHqEJZqE-st6uFKPoI?usp=share_link" TargetMode="External"/><Relationship Id="rId3976" Type="http://schemas.openxmlformats.org/officeDocument/2006/relationships/hyperlink" Target="https://drive.google.com/drive/folders/10T2cTQHqEJZqE-st6uFKPoI?usp=share_link" TargetMode="External"/><Relationship Id="rId1316" Type="http://schemas.openxmlformats.org/officeDocument/2006/relationships/hyperlink" Target="https://drive.google.com/drive/folders/10T2cTQHqEJZqE-st6uFKPoI?usp=share_link" TargetMode="External"/><Relationship Id="rId2647" Type="http://schemas.openxmlformats.org/officeDocument/2006/relationships/hyperlink" Target="https://drive.google.com/drive/folders/10T2cTQHqEJZqE-st6uFKPoI?usp=share_link" TargetMode="External"/><Relationship Id="rId3979" Type="http://schemas.openxmlformats.org/officeDocument/2006/relationships/hyperlink" Target="https://drive.google.com/drive/folders/10T2cTQHqEJZqE-st6uFKPoI?usp=share_link" TargetMode="External"/><Relationship Id="rId1317" Type="http://schemas.openxmlformats.org/officeDocument/2006/relationships/hyperlink" Target="https://drive.google.com/drive/folders/10T2cTQHqEJZqE-st6uFKPoI?usp=share_link" TargetMode="External"/><Relationship Id="rId2648" Type="http://schemas.openxmlformats.org/officeDocument/2006/relationships/hyperlink" Target="https://drive.google.com/drive/folders/10T2cTQHqEJZqE-st6uFKPoI?usp=share_link" TargetMode="External"/><Relationship Id="rId3978" Type="http://schemas.openxmlformats.org/officeDocument/2006/relationships/hyperlink" Target="https://drive.google.com/drive/folders/10T2cTQHqEJZqE-st6uFKPoI?usp=share_link" TargetMode="External"/><Relationship Id="rId1318" Type="http://schemas.openxmlformats.org/officeDocument/2006/relationships/hyperlink" Target="https://drive.google.com/drive/folders/10T2cTQHqEJZqE-st6uFKPoI?usp=share_link" TargetMode="External"/><Relationship Id="rId2649" Type="http://schemas.openxmlformats.org/officeDocument/2006/relationships/hyperlink" Target="https://drive.google.com/drive/folders/10T2cTQHqEJZqE-st6uFKPoI?usp=share_link" TargetMode="External"/><Relationship Id="rId1319" Type="http://schemas.openxmlformats.org/officeDocument/2006/relationships/hyperlink" Target="https://drive.google.com/drive/folders/10T2cTQHqEJZqE-st6uFKPoI?usp=share_link" TargetMode="External"/><Relationship Id="rId729" Type="http://schemas.openxmlformats.org/officeDocument/2006/relationships/hyperlink" Target="https://drive.google.com/drive/folders/10T2cTQHqEJZqE-st6uFKPoI?usp=share_link" TargetMode="External"/><Relationship Id="rId728" Type="http://schemas.openxmlformats.org/officeDocument/2006/relationships/hyperlink" Target="https://drive.google.com/drive/folders/10T2cTQHqEJZqE-st6uFKPoI?usp=share_link" TargetMode="External"/><Relationship Id="rId723" Type="http://schemas.openxmlformats.org/officeDocument/2006/relationships/hyperlink" Target="https://drive.google.com/drive/folders/10T2cTQHqEJZqE-st6uFKPoI?usp=share_link" TargetMode="External"/><Relationship Id="rId722" Type="http://schemas.openxmlformats.org/officeDocument/2006/relationships/hyperlink" Target="https://drive.google.com/drive/folders/10T2cTQHqEJZqE-st6uFKPoI?usp=share_link" TargetMode="External"/><Relationship Id="rId721" Type="http://schemas.openxmlformats.org/officeDocument/2006/relationships/hyperlink" Target="https://drive.google.com/drive/folders/10T2cTQHqEJZqE-st6uFKPoI?usp=share_link" TargetMode="External"/><Relationship Id="rId720" Type="http://schemas.openxmlformats.org/officeDocument/2006/relationships/hyperlink" Target="https://drive.google.com/drive/folders/10T2cTQHqEJZqE-st6uFKPoI?usp=share_link" TargetMode="External"/><Relationship Id="rId727" Type="http://schemas.openxmlformats.org/officeDocument/2006/relationships/hyperlink" Target="https://drive.google.com/drive/folders/10T2cTQHqEJZqE-st6uFKPoI?usp=share_link" TargetMode="External"/><Relationship Id="rId726" Type="http://schemas.openxmlformats.org/officeDocument/2006/relationships/hyperlink" Target="https://drive.google.com/drive/folders/10T2cTQHqEJZqE-st6uFKPoI?usp=share_link" TargetMode="External"/><Relationship Id="rId725" Type="http://schemas.openxmlformats.org/officeDocument/2006/relationships/hyperlink" Target="https://drive.google.com/drive/folders/10T2cTQHqEJZqE-st6uFKPoI?usp=share_link" TargetMode="External"/><Relationship Id="rId724" Type="http://schemas.openxmlformats.org/officeDocument/2006/relationships/hyperlink" Target="https://drive.google.com/drive/folders/10T2cTQHqEJZqE-st6uFKPoI?usp=share_link" TargetMode="External"/><Relationship Id="rId3971" Type="http://schemas.openxmlformats.org/officeDocument/2006/relationships/hyperlink" Target="https://drive.google.com/drive/folders/10T2cTQHqEJZqE-st6uFKPoI?usp=share_link" TargetMode="External"/><Relationship Id="rId2640" Type="http://schemas.openxmlformats.org/officeDocument/2006/relationships/hyperlink" Target="https://drive.google.com/drive/folders/10T2cTQHqEJZqE-st6uFKPoI?usp=share_link" TargetMode="External"/><Relationship Id="rId3970" Type="http://schemas.openxmlformats.org/officeDocument/2006/relationships/hyperlink" Target="https://drive.google.com/drive/folders/10T2cTQHqEJZqE-st6uFKPoI?usp=share_link" TargetMode="External"/><Relationship Id="rId1310" Type="http://schemas.openxmlformats.org/officeDocument/2006/relationships/hyperlink" Target="https://drive.google.com/drive/folders/10T2cTQHqEJZqE-st6uFKPoI?usp=share_link" TargetMode="External"/><Relationship Id="rId2641" Type="http://schemas.openxmlformats.org/officeDocument/2006/relationships/hyperlink" Target="https://drive.google.com/drive/folders/10T2cTQHqEJZqE-st6uFKPoI?usp=share_link" TargetMode="External"/><Relationship Id="rId3973" Type="http://schemas.openxmlformats.org/officeDocument/2006/relationships/hyperlink" Target="https://drive.google.com/drive/folders/10T2cTQHqEJZqE-st6uFKPoI?usp=share_link" TargetMode="External"/><Relationship Id="rId1311" Type="http://schemas.openxmlformats.org/officeDocument/2006/relationships/hyperlink" Target="https://drive.google.com/drive/folders/10T2cTQHqEJZqE-st6uFKPoI?usp=share_link" TargetMode="External"/><Relationship Id="rId2642" Type="http://schemas.openxmlformats.org/officeDocument/2006/relationships/hyperlink" Target="https://drive.google.com/drive/folders/10T2cTQHqEJZqE-st6uFKPoI?usp=share_link" TargetMode="External"/><Relationship Id="rId3972" Type="http://schemas.openxmlformats.org/officeDocument/2006/relationships/hyperlink" Target="https://drive.google.com/drive/folders/10T2cTQHqEJZqE-st6uFKPoI?usp=share_link" TargetMode="External"/><Relationship Id="rId1301" Type="http://schemas.openxmlformats.org/officeDocument/2006/relationships/hyperlink" Target="https://drive.google.com/drive/folders/10T2cTQHqEJZqE-st6uFKPoI?usp=share_link" TargetMode="External"/><Relationship Id="rId2632" Type="http://schemas.openxmlformats.org/officeDocument/2006/relationships/hyperlink" Target="https://drive.google.com/drive/folders/10T2cTQHqEJZqE-st6uFKPoI?usp=share_link" TargetMode="External"/><Relationship Id="rId3964" Type="http://schemas.openxmlformats.org/officeDocument/2006/relationships/hyperlink" Target="https://drive.google.com/drive/folders/10T2cTQHqEJZqE-st6uFKPoI?usp=share_link" TargetMode="External"/><Relationship Id="rId1302" Type="http://schemas.openxmlformats.org/officeDocument/2006/relationships/hyperlink" Target="https://drive.google.com/drive/folders/10T2cTQHqEJZqE-st6uFKPoI?usp=share_link" TargetMode="External"/><Relationship Id="rId2633" Type="http://schemas.openxmlformats.org/officeDocument/2006/relationships/hyperlink" Target="https://drive.google.com/drive/folders/10T2cTQHqEJZqE-st6uFKPoI?usp=share_link" TargetMode="External"/><Relationship Id="rId3963" Type="http://schemas.openxmlformats.org/officeDocument/2006/relationships/hyperlink" Target="https://drive.google.com/drive/folders/10T2cTQHqEJZqE-st6uFKPoI?usp=share_link" TargetMode="External"/><Relationship Id="rId1303" Type="http://schemas.openxmlformats.org/officeDocument/2006/relationships/hyperlink" Target="https://drive.google.com/drive/folders/10T2cTQHqEJZqE-st6uFKPoI?usp=share_link" TargetMode="External"/><Relationship Id="rId2634" Type="http://schemas.openxmlformats.org/officeDocument/2006/relationships/hyperlink" Target="https://drive.google.com/drive/folders/10T2cTQHqEJZqE-st6uFKPoI?usp=share_link" TargetMode="External"/><Relationship Id="rId3966" Type="http://schemas.openxmlformats.org/officeDocument/2006/relationships/hyperlink" Target="https://drive.google.com/drive/folders/10T2cTQHqEJZqE-st6uFKPoI?usp=share_link" TargetMode="External"/><Relationship Id="rId1304" Type="http://schemas.openxmlformats.org/officeDocument/2006/relationships/hyperlink" Target="https://drive.google.com/drive/folders/10T2cTQHqEJZqE-st6uFKPoI?usp=share_link" TargetMode="External"/><Relationship Id="rId2635" Type="http://schemas.openxmlformats.org/officeDocument/2006/relationships/hyperlink" Target="https://drive.google.com/drive/folders/10T2cTQHqEJZqE-st6uFKPoI?usp=share_link" TargetMode="External"/><Relationship Id="rId3965" Type="http://schemas.openxmlformats.org/officeDocument/2006/relationships/hyperlink" Target="https://drive.google.com/drive/folders/10T2cTQHqEJZqE-st6uFKPoI?usp=share_link" TargetMode="External"/><Relationship Id="rId1305" Type="http://schemas.openxmlformats.org/officeDocument/2006/relationships/hyperlink" Target="https://drive.google.com/drive/folders/10T2cTQHqEJZqE-st6uFKPoI?usp=share_link" TargetMode="External"/><Relationship Id="rId2636" Type="http://schemas.openxmlformats.org/officeDocument/2006/relationships/hyperlink" Target="https://drive.google.com/drive/folders/10T2cTQHqEJZqE-st6uFKPoI?usp=share_link" TargetMode="External"/><Relationship Id="rId3968" Type="http://schemas.openxmlformats.org/officeDocument/2006/relationships/hyperlink" Target="https://drive.google.com/drive/folders/10T2cTQHqEJZqE-st6uFKPoI?usp=share_link" TargetMode="External"/><Relationship Id="rId1306" Type="http://schemas.openxmlformats.org/officeDocument/2006/relationships/hyperlink" Target="https://drive.google.com/drive/folders/10T2cTQHqEJZqE-st6uFKPoI?usp=share_link" TargetMode="External"/><Relationship Id="rId2637" Type="http://schemas.openxmlformats.org/officeDocument/2006/relationships/hyperlink" Target="https://drive.google.com/drive/folders/10T2cTQHqEJZqE-st6uFKPoI?usp=share_link" TargetMode="External"/><Relationship Id="rId3967" Type="http://schemas.openxmlformats.org/officeDocument/2006/relationships/hyperlink" Target="https://drive.google.com/drive/folders/10T2cTQHqEJZqE-st6uFKPoI?usp=share_link" TargetMode="External"/><Relationship Id="rId1307" Type="http://schemas.openxmlformats.org/officeDocument/2006/relationships/hyperlink" Target="https://drive.google.com/drive/folders/10T2cTQHqEJZqE-st6uFKPoI?usp=share_link" TargetMode="External"/><Relationship Id="rId2638" Type="http://schemas.openxmlformats.org/officeDocument/2006/relationships/hyperlink" Target="https://drive.google.com/drive/folders/10T2cTQHqEJZqE-st6uFKPoI?usp=share_link" TargetMode="External"/><Relationship Id="rId1308" Type="http://schemas.openxmlformats.org/officeDocument/2006/relationships/hyperlink" Target="https://drive.google.com/drive/folders/10T2cTQHqEJZqE-st6uFKPoI?usp=share_link" TargetMode="External"/><Relationship Id="rId2639" Type="http://schemas.openxmlformats.org/officeDocument/2006/relationships/hyperlink" Target="https://drive.google.com/drive/folders/10T2cTQHqEJZqE-st6uFKPoI?usp=share_link" TargetMode="External"/><Relationship Id="rId3969" Type="http://schemas.openxmlformats.org/officeDocument/2006/relationships/hyperlink" Target="https://drive.google.com/drive/folders/10T2cTQHqEJZqE-st6uFKPoI?usp=share_link" TargetMode="External"/><Relationship Id="rId1309" Type="http://schemas.openxmlformats.org/officeDocument/2006/relationships/hyperlink" Target="https://drive.google.com/drive/folders/10T2cTQHqEJZqE-st6uFKPoI?usp=share_link" TargetMode="External"/><Relationship Id="rId719" Type="http://schemas.openxmlformats.org/officeDocument/2006/relationships/hyperlink" Target="https://drive.google.com/drive/folders/10T2cTQHqEJZqE-st6uFKPoI?usp=share_link" TargetMode="External"/><Relationship Id="rId718" Type="http://schemas.openxmlformats.org/officeDocument/2006/relationships/hyperlink" Target="https://drive.google.com/drive/folders/10T2cTQHqEJZqE-st6uFKPoI?usp=share_link" TargetMode="External"/><Relationship Id="rId717" Type="http://schemas.openxmlformats.org/officeDocument/2006/relationships/hyperlink" Target="https://drive.google.com/drive/folders/10T2cTQHqEJZqE-st6uFKPoI?usp=share_link" TargetMode="External"/><Relationship Id="rId712" Type="http://schemas.openxmlformats.org/officeDocument/2006/relationships/hyperlink" Target="https://drive.google.com/drive/folders/10T2cTQHqEJZqE-st6uFKPoI?usp=share_link" TargetMode="External"/><Relationship Id="rId711" Type="http://schemas.openxmlformats.org/officeDocument/2006/relationships/hyperlink" Target="https://drive.google.com/drive/folders/10T2cTQHqEJZqE-st6uFKPoI?usp=share_link" TargetMode="External"/><Relationship Id="rId710" Type="http://schemas.openxmlformats.org/officeDocument/2006/relationships/hyperlink" Target="https://drive.google.com/drive/folders/10T2cTQHqEJZqE-st6uFKPoI?usp=share_link" TargetMode="External"/><Relationship Id="rId716" Type="http://schemas.openxmlformats.org/officeDocument/2006/relationships/hyperlink" Target="https://drive.google.com/drive/folders/10T2cTQHqEJZqE-st6uFKPoI?usp=share_link" TargetMode="External"/><Relationship Id="rId715" Type="http://schemas.openxmlformats.org/officeDocument/2006/relationships/hyperlink" Target="https://drive.google.com/drive/folders/10T2cTQHqEJZqE-st6uFKPoI?usp=share_link" TargetMode="External"/><Relationship Id="rId714" Type="http://schemas.openxmlformats.org/officeDocument/2006/relationships/hyperlink" Target="https://drive.google.com/drive/folders/10T2cTQHqEJZqE-st6uFKPoI?usp=share_link" TargetMode="External"/><Relationship Id="rId713" Type="http://schemas.openxmlformats.org/officeDocument/2006/relationships/hyperlink" Target="https://drive.google.com/drive/folders/10T2cTQHqEJZqE-st6uFKPoI?usp=share_link" TargetMode="External"/><Relationship Id="rId3960" Type="http://schemas.openxmlformats.org/officeDocument/2006/relationships/hyperlink" Target="https://drive.google.com/drive/folders/10T2cTQHqEJZqE-st6uFKPoI?usp=share_link" TargetMode="External"/><Relationship Id="rId2630" Type="http://schemas.openxmlformats.org/officeDocument/2006/relationships/hyperlink" Target="https://drive.google.com/drive/folders/10T2cTQHqEJZqE-st6uFKPoI?usp=share_link" TargetMode="External"/><Relationship Id="rId3962" Type="http://schemas.openxmlformats.org/officeDocument/2006/relationships/hyperlink" Target="https://drive.google.com/drive/folders/10T2cTQHqEJZqE-st6uFKPoI?usp=share_link" TargetMode="External"/><Relationship Id="rId1300" Type="http://schemas.openxmlformats.org/officeDocument/2006/relationships/hyperlink" Target="https://drive.google.com/drive/folders/10T2cTQHqEJZqE-st6uFKPoI?usp=share_link" TargetMode="External"/><Relationship Id="rId2631" Type="http://schemas.openxmlformats.org/officeDocument/2006/relationships/hyperlink" Target="https://drive.google.com/drive/folders/10T2cTQHqEJZqE-st6uFKPoI?usp=share_link" TargetMode="External"/><Relationship Id="rId3961" Type="http://schemas.openxmlformats.org/officeDocument/2006/relationships/hyperlink" Target="https://drive.google.com/drive/folders/10T2cTQHqEJZqE-st6uFKPoI?usp=share_link" TargetMode="External"/><Relationship Id="rId3117" Type="http://schemas.openxmlformats.org/officeDocument/2006/relationships/hyperlink" Target="https://drive.google.com/drive/folders/10T2cTQHqEJZqE-st6uFKPoI?usp=share_link" TargetMode="External"/><Relationship Id="rId4448" Type="http://schemas.openxmlformats.org/officeDocument/2006/relationships/hyperlink" Target="https://drive.google.com/drive/folders/10T2cTQHqEJZqE-st6uFKPoI?usp=share_link" TargetMode="External"/><Relationship Id="rId3116" Type="http://schemas.openxmlformats.org/officeDocument/2006/relationships/hyperlink" Target="https://drive.google.com/drive/folders/10T2cTQHqEJZqE-st6uFKPoI?usp=share_link" TargetMode="External"/><Relationship Id="rId4447" Type="http://schemas.openxmlformats.org/officeDocument/2006/relationships/hyperlink" Target="https://drive.google.com/drive/folders/10T2cTQHqEJZqE-st6uFKPoI?usp=share_link" TargetMode="External"/><Relationship Id="rId3119" Type="http://schemas.openxmlformats.org/officeDocument/2006/relationships/hyperlink" Target="https://drive.google.com/drive/folders/10T2cTQHqEJZqE-st6uFKPoI?usp=share_link" TargetMode="External"/><Relationship Id="rId5778" Type="http://schemas.openxmlformats.org/officeDocument/2006/relationships/hyperlink" Target="https://drive.google.com/drive/folders/10T2cTQHqEJZqE-st6uFKPoI?usp=share_link" TargetMode="External"/><Relationship Id="rId3118" Type="http://schemas.openxmlformats.org/officeDocument/2006/relationships/hyperlink" Target="https://drive.google.com/drive/folders/10T2cTQHqEJZqE-st6uFKPoI?usp=share_link" TargetMode="External"/><Relationship Id="rId4449" Type="http://schemas.openxmlformats.org/officeDocument/2006/relationships/hyperlink" Target="https://drive.google.com/drive/folders/10T2cTQHqEJZqE-st6uFKPoI?usp=share_link" TargetMode="External"/><Relationship Id="rId5779" Type="http://schemas.openxmlformats.org/officeDocument/2006/relationships/hyperlink" Target="https://drive.google.com/drive/folders/10T2cTQHqEJZqE-st6uFKPoI?usp=share_link" TargetMode="External"/><Relationship Id="rId4440" Type="http://schemas.openxmlformats.org/officeDocument/2006/relationships/hyperlink" Target="https://drive.google.com/drive/folders/10T2cTQHqEJZqE-st6uFKPoI?usp=share_link" TargetMode="External"/><Relationship Id="rId5772" Type="http://schemas.openxmlformats.org/officeDocument/2006/relationships/hyperlink" Target="https://drive.google.com/drive/folders/10T2cTQHqEJZqE-st6uFKPoI?usp=share_link" TargetMode="External"/><Relationship Id="rId5773" Type="http://schemas.openxmlformats.org/officeDocument/2006/relationships/hyperlink" Target="https://drive.google.com/drive/folders/10T2cTQHqEJZqE-st6uFKPoI?usp=share_link" TargetMode="External"/><Relationship Id="rId3111" Type="http://schemas.openxmlformats.org/officeDocument/2006/relationships/hyperlink" Target="https://drive.google.com/drive/folders/10T2cTQHqEJZqE-st6uFKPoI?usp=share_link" TargetMode="External"/><Relationship Id="rId4442" Type="http://schemas.openxmlformats.org/officeDocument/2006/relationships/hyperlink" Target="https://drive.google.com/drive/folders/10T2cTQHqEJZqE-st6uFKPoI?usp=share_link" TargetMode="External"/><Relationship Id="rId5770" Type="http://schemas.openxmlformats.org/officeDocument/2006/relationships/hyperlink" Target="https://drive.google.com/drive/folders/10T2cTQHqEJZqE-st6uFKPoI?usp=share_link" TargetMode="External"/><Relationship Id="rId3110" Type="http://schemas.openxmlformats.org/officeDocument/2006/relationships/hyperlink" Target="https://drive.google.com/drive/folders/10T2cTQHqEJZqE-st6uFKPoI?usp=share_link" TargetMode="External"/><Relationship Id="rId4441" Type="http://schemas.openxmlformats.org/officeDocument/2006/relationships/hyperlink" Target="https://drive.google.com/drive/folders/10T2cTQHqEJZqE-st6uFKPoI?usp=share_link" TargetMode="External"/><Relationship Id="rId5771" Type="http://schemas.openxmlformats.org/officeDocument/2006/relationships/hyperlink" Target="https://drive.google.com/drive/folders/10T2cTQHqEJZqE-st6uFKPoI?usp=share_link" TargetMode="External"/><Relationship Id="rId3113" Type="http://schemas.openxmlformats.org/officeDocument/2006/relationships/hyperlink" Target="https://drive.google.com/drive/folders/10T2cTQHqEJZqE-st6uFKPoI?usp=share_link" TargetMode="External"/><Relationship Id="rId4444" Type="http://schemas.openxmlformats.org/officeDocument/2006/relationships/hyperlink" Target="https://drive.google.com/drive/folders/10T2cTQHqEJZqE-st6uFKPoI?usp=share_link" TargetMode="External"/><Relationship Id="rId5776" Type="http://schemas.openxmlformats.org/officeDocument/2006/relationships/hyperlink" Target="https://drive.google.com/drive/folders/10T2cTQHqEJZqE-st6uFKPoI?usp=share_link" TargetMode="External"/><Relationship Id="rId3112" Type="http://schemas.openxmlformats.org/officeDocument/2006/relationships/hyperlink" Target="https://drive.google.com/drive/folders/10T2cTQHqEJZqE-st6uFKPoI?usp=share_link" TargetMode="External"/><Relationship Id="rId4443" Type="http://schemas.openxmlformats.org/officeDocument/2006/relationships/hyperlink" Target="https://drive.google.com/drive/folders/10T2cTQHqEJZqE-st6uFKPoI?usp=share_link" TargetMode="External"/><Relationship Id="rId5777" Type="http://schemas.openxmlformats.org/officeDocument/2006/relationships/hyperlink" Target="https://drive.google.com/drive/folders/10T2cTQHqEJZqE-st6uFKPoI?usp=share_link" TargetMode="External"/><Relationship Id="rId3115" Type="http://schemas.openxmlformats.org/officeDocument/2006/relationships/hyperlink" Target="https://drive.google.com/drive/folders/10T2cTQHqEJZqE-st6uFKPoI?usp=share_link" TargetMode="External"/><Relationship Id="rId4446" Type="http://schemas.openxmlformats.org/officeDocument/2006/relationships/hyperlink" Target="https://drive.google.com/drive/folders/10T2cTQHqEJZqE-st6uFKPoI?usp=share_link" TargetMode="External"/><Relationship Id="rId5774" Type="http://schemas.openxmlformats.org/officeDocument/2006/relationships/hyperlink" Target="https://drive.google.com/drive/folders/10T2cTQHqEJZqE-st6uFKPoI?usp=share_link" TargetMode="External"/><Relationship Id="rId3114" Type="http://schemas.openxmlformats.org/officeDocument/2006/relationships/hyperlink" Target="https://drive.google.com/drive/folders/10T2cTQHqEJZqE-st6uFKPoI?usp=share_link" TargetMode="External"/><Relationship Id="rId4445" Type="http://schemas.openxmlformats.org/officeDocument/2006/relationships/hyperlink" Target="https://drive.google.com/drive/folders/10T2cTQHqEJZqE-st6uFKPoI?usp=share_link" TargetMode="External"/><Relationship Id="rId5775" Type="http://schemas.openxmlformats.org/officeDocument/2006/relationships/hyperlink" Target="https://drive.google.com/drive/folders/10T2cTQHqEJZqE-st6uFKPoI?usp=share_link" TargetMode="External"/><Relationship Id="rId3106" Type="http://schemas.openxmlformats.org/officeDocument/2006/relationships/hyperlink" Target="https://drive.google.com/drive/folders/10T2cTQHqEJZqE-st6uFKPoI?usp=share_link" TargetMode="External"/><Relationship Id="rId4437" Type="http://schemas.openxmlformats.org/officeDocument/2006/relationships/hyperlink" Target="https://drive.google.com/drive/folders/10T2cTQHqEJZqE-st6uFKPoI?usp=share_link" TargetMode="External"/><Relationship Id="rId5769" Type="http://schemas.openxmlformats.org/officeDocument/2006/relationships/hyperlink" Target="https://drive.google.com/drive/folders/10T2cTQHqEJZqE-st6uFKPoI?usp=share_link" TargetMode="External"/><Relationship Id="rId3105" Type="http://schemas.openxmlformats.org/officeDocument/2006/relationships/hyperlink" Target="https://drive.google.com/drive/folders/10T2cTQHqEJZqE-st6uFKPoI?usp=share_link" TargetMode="External"/><Relationship Id="rId4436" Type="http://schemas.openxmlformats.org/officeDocument/2006/relationships/hyperlink" Target="https://drive.google.com/drive/folders/10T2cTQHqEJZqE-st6uFKPoI?usp=share_link" TargetMode="External"/><Relationship Id="rId3108" Type="http://schemas.openxmlformats.org/officeDocument/2006/relationships/hyperlink" Target="https://drive.google.com/drive/folders/10T2cTQHqEJZqE-st6uFKPoI?usp=share_link" TargetMode="External"/><Relationship Id="rId4439" Type="http://schemas.openxmlformats.org/officeDocument/2006/relationships/hyperlink" Target="https://drive.google.com/drive/folders/10T2cTQHqEJZqE-st6uFKPoI?usp=share_link" TargetMode="External"/><Relationship Id="rId5767" Type="http://schemas.openxmlformats.org/officeDocument/2006/relationships/hyperlink" Target="https://drive.google.com/drive/folders/10T2cTQHqEJZqE-st6uFKPoI?usp=share_link" TargetMode="External"/><Relationship Id="rId3107" Type="http://schemas.openxmlformats.org/officeDocument/2006/relationships/hyperlink" Target="https://drive.google.com/drive/folders/10T2cTQHqEJZqE-st6uFKPoI?usp=share_link" TargetMode="External"/><Relationship Id="rId4438" Type="http://schemas.openxmlformats.org/officeDocument/2006/relationships/hyperlink" Target="https://drive.google.com/drive/folders/10T2cTQHqEJZqE-st6uFKPoI?usp=share_link" TargetMode="External"/><Relationship Id="rId5768" Type="http://schemas.openxmlformats.org/officeDocument/2006/relationships/hyperlink" Target="https://drive.google.com/drive/folders/10T2cTQHqEJZqE-st6uFKPoI?usp=share_link" TargetMode="External"/><Relationship Id="rId3109" Type="http://schemas.openxmlformats.org/officeDocument/2006/relationships/hyperlink" Target="https://drive.google.com/drive/folders/10T2cTQHqEJZqE-st6uFKPoI?usp=share_link" TargetMode="External"/><Relationship Id="rId5761" Type="http://schemas.openxmlformats.org/officeDocument/2006/relationships/hyperlink" Target="https://drive.google.com/drive/folders/10T2cTQHqEJZqE-st6uFKPoI?usp=share_link" TargetMode="External"/><Relationship Id="rId5762" Type="http://schemas.openxmlformats.org/officeDocument/2006/relationships/hyperlink" Target="https://drive.google.com/drive/folders/10T2cTQHqEJZqE-st6uFKPoI?usp=share_link" TargetMode="External"/><Relationship Id="rId3100" Type="http://schemas.openxmlformats.org/officeDocument/2006/relationships/hyperlink" Target="https://drive.google.com/drive/folders/10T2cTQHqEJZqE-st6uFKPoI?usp=share_link" TargetMode="External"/><Relationship Id="rId4431" Type="http://schemas.openxmlformats.org/officeDocument/2006/relationships/hyperlink" Target="https://drive.google.com/drive/folders/10T2cTQHqEJZqE-st6uFKPoI?usp=share_link" TargetMode="External"/><Relationship Id="rId4430" Type="http://schemas.openxmlformats.org/officeDocument/2006/relationships/hyperlink" Target="https://drive.google.com/drive/folders/10T2cTQHqEJZqE-st6uFKPoI?usp=share_link" TargetMode="External"/><Relationship Id="rId5760" Type="http://schemas.openxmlformats.org/officeDocument/2006/relationships/hyperlink" Target="https://drive.google.com/drive/folders/10T2cTQHqEJZqE-st6uFKPoI?usp=share_link" TargetMode="External"/><Relationship Id="rId3102" Type="http://schemas.openxmlformats.org/officeDocument/2006/relationships/hyperlink" Target="https://drive.google.com/drive/folders/10T2cTQHqEJZqE-st6uFKPoI?usp=share_link" TargetMode="External"/><Relationship Id="rId4433" Type="http://schemas.openxmlformats.org/officeDocument/2006/relationships/hyperlink" Target="https://drive.google.com/drive/folders/10T2cTQHqEJZqE-st6uFKPoI?usp=share_link" TargetMode="External"/><Relationship Id="rId5765" Type="http://schemas.openxmlformats.org/officeDocument/2006/relationships/hyperlink" Target="https://drive.google.com/drive/folders/10T2cTQHqEJZqE-st6uFKPoI?usp=share_link" TargetMode="External"/><Relationship Id="rId3101" Type="http://schemas.openxmlformats.org/officeDocument/2006/relationships/hyperlink" Target="https://drive.google.com/drive/folders/10T2cTQHqEJZqE-st6uFKPoI?usp=share_link" TargetMode="External"/><Relationship Id="rId4432" Type="http://schemas.openxmlformats.org/officeDocument/2006/relationships/hyperlink" Target="https://drive.google.com/drive/folders/10T2cTQHqEJZqE-st6uFKPoI?usp=share_link" TargetMode="External"/><Relationship Id="rId5766" Type="http://schemas.openxmlformats.org/officeDocument/2006/relationships/hyperlink" Target="https://drive.google.com/drive/folders/10T2cTQHqEJZqE-st6uFKPoI?usp=share_link" TargetMode="External"/><Relationship Id="rId3104" Type="http://schemas.openxmlformats.org/officeDocument/2006/relationships/hyperlink" Target="https://drive.google.com/drive/folders/10T2cTQHqEJZqE-st6uFKPoI?usp=share_link" TargetMode="External"/><Relationship Id="rId4435" Type="http://schemas.openxmlformats.org/officeDocument/2006/relationships/hyperlink" Target="https://drive.google.com/drive/folders/10T2cTQHqEJZqE-st6uFKPoI?usp=share_link" TargetMode="External"/><Relationship Id="rId5763" Type="http://schemas.openxmlformats.org/officeDocument/2006/relationships/hyperlink" Target="https://drive.google.com/drive/folders/10T2cTQHqEJZqE-st6uFKPoI?usp=share_link" TargetMode="External"/><Relationship Id="rId3103" Type="http://schemas.openxmlformats.org/officeDocument/2006/relationships/hyperlink" Target="https://drive.google.com/drive/folders/10T2cTQHqEJZqE-st6uFKPoI?usp=share_link" TargetMode="External"/><Relationship Id="rId4434" Type="http://schemas.openxmlformats.org/officeDocument/2006/relationships/hyperlink" Target="https://drive.google.com/drive/folders/10T2cTQHqEJZqE-st6uFKPoI?usp=share_link" TargetMode="External"/><Relationship Id="rId5764" Type="http://schemas.openxmlformats.org/officeDocument/2006/relationships/hyperlink" Target="https://drive.google.com/drive/folders/10T2cTQHqEJZqE-st6uFKPoI?usp=share_link" TargetMode="External"/><Relationship Id="rId3139" Type="http://schemas.openxmlformats.org/officeDocument/2006/relationships/hyperlink" Target="https://drive.google.com/drive/folders/10T2cTQHqEJZqE-st6uFKPoI?usp=share_link" TargetMode="External"/><Relationship Id="rId3138" Type="http://schemas.openxmlformats.org/officeDocument/2006/relationships/hyperlink" Target="https://drive.google.com/drive/folders/10T2cTQHqEJZqE-st6uFKPoI?usp=share_link" TargetMode="External"/><Relationship Id="rId4469" Type="http://schemas.openxmlformats.org/officeDocument/2006/relationships/hyperlink" Target="https://drive.google.com/drive/folders/10T2cTQHqEJZqE-st6uFKPoI?usp=share_link" TargetMode="External"/><Relationship Id="rId5790" Type="http://schemas.openxmlformats.org/officeDocument/2006/relationships/hyperlink" Target="https://drive.google.com/drive/folders/10T2cTQHqEJZqE-st6uFKPoI?usp=share_link" TargetMode="External"/><Relationship Id="rId5791" Type="http://schemas.openxmlformats.org/officeDocument/2006/relationships/hyperlink" Target="https://drive.google.com/drive/folders/10T2cTQHqEJZqE-st6uFKPoI?usp=share_link" TargetMode="External"/><Relationship Id="rId4460" Type="http://schemas.openxmlformats.org/officeDocument/2006/relationships/hyperlink" Target="https://drive.google.com/drive/folders/10T2cTQHqEJZqE-st6uFKPoI?usp=share_link" TargetMode="External"/><Relationship Id="rId3131" Type="http://schemas.openxmlformats.org/officeDocument/2006/relationships/hyperlink" Target="https://drive.google.com/drive/folders/10T2cTQHqEJZqE-st6uFKPoI?usp=share_link" TargetMode="External"/><Relationship Id="rId4462" Type="http://schemas.openxmlformats.org/officeDocument/2006/relationships/hyperlink" Target="https://drive.google.com/drive/folders/10T2cTQHqEJZqE-st6uFKPoI?usp=share_link" TargetMode="External"/><Relationship Id="rId5794" Type="http://schemas.openxmlformats.org/officeDocument/2006/relationships/hyperlink" Target="https://drive.google.com/drive/folders/10T2cTQHqEJZqE-st6uFKPoI?usp=share_link" TargetMode="External"/><Relationship Id="rId3130" Type="http://schemas.openxmlformats.org/officeDocument/2006/relationships/hyperlink" Target="https://drive.google.com/drive/folders/10T2cTQHqEJZqE-st6uFKPoI?usp=share_link" TargetMode="External"/><Relationship Id="rId4461" Type="http://schemas.openxmlformats.org/officeDocument/2006/relationships/hyperlink" Target="https://drive.google.com/drive/folders/10T2cTQHqEJZqE-st6uFKPoI?usp=share_link" TargetMode="External"/><Relationship Id="rId5795" Type="http://schemas.openxmlformats.org/officeDocument/2006/relationships/hyperlink" Target="https://drive.google.com/drive/folders/10T2cTQHqEJZqE-st6uFKPoI?usp=share_link" TargetMode="External"/><Relationship Id="rId3133" Type="http://schemas.openxmlformats.org/officeDocument/2006/relationships/hyperlink" Target="https://drive.google.com/drive/folders/10T2cTQHqEJZqE-st6uFKPoI?usp=share_link" TargetMode="External"/><Relationship Id="rId4464" Type="http://schemas.openxmlformats.org/officeDocument/2006/relationships/hyperlink" Target="https://drive.google.com/drive/folders/10T2cTQHqEJZqE-st6uFKPoI?usp=share_link" TargetMode="External"/><Relationship Id="rId5792" Type="http://schemas.openxmlformats.org/officeDocument/2006/relationships/hyperlink" Target="https://drive.google.com/drive/folders/10T2cTQHqEJZqE-st6uFKPoI?usp=share_link" TargetMode="External"/><Relationship Id="rId3132" Type="http://schemas.openxmlformats.org/officeDocument/2006/relationships/hyperlink" Target="https://drive.google.com/drive/folders/10T2cTQHqEJZqE-st6uFKPoI?usp=share_link" TargetMode="External"/><Relationship Id="rId4463" Type="http://schemas.openxmlformats.org/officeDocument/2006/relationships/hyperlink" Target="https://drive.google.com/drive/folders/10T2cTQHqEJZqE-st6uFKPoI?usp=share_link" TargetMode="External"/><Relationship Id="rId5793" Type="http://schemas.openxmlformats.org/officeDocument/2006/relationships/hyperlink" Target="https://drive.google.com/drive/folders/10T2cTQHqEJZqE-st6uFKPoI?usp=share_link" TargetMode="External"/><Relationship Id="rId3135" Type="http://schemas.openxmlformats.org/officeDocument/2006/relationships/hyperlink" Target="https://drive.google.com/drive/folders/10T2cTQHqEJZqE-st6uFKPoI?usp=share_link" TargetMode="External"/><Relationship Id="rId4466" Type="http://schemas.openxmlformats.org/officeDocument/2006/relationships/hyperlink" Target="https://drive.google.com/drive/folders/10T2cTQHqEJZqE-st6uFKPoI?usp=share_link" TargetMode="External"/><Relationship Id="rId5798" Type="http://schemas.openxmlformats.org/officeDocument/2006/relationships/hyperlink" Target="https://drive.google.com/drive/folders/10T2cTQHqEJZqE-st6uFKPoI?usp=share_link" TargetMode="External"/><Relationship Id="rId3134" Type="http://schemas.openxmlformats.org/officeDocument/2006/relationships/hyperlink" Target="https://drive.google.com/drive/folders/10T2cTQHqEJZqE-st6uFKPoI?usp=share_link" TargetMode="External"/><Relationship Id="rId4465" Type="http://schemas.openxmlformats.org/officeDocument/2006/relationships/hyperlink" Target="https://drive.google.com/drive/folders/10T2cTQHqEJZqE-st6uFKPoI?usp=share_link" TargetMode="External"/><Relationship Id="rId5799" Type="http://schemas.openxmlformats.org/officeDocument/2006/relationships/hyperlink" Target="https://drive.google.com/drive/folders/10T2cTQHqEJZqE-st6uFKPoI?usp=share_link" TargetMode="External"/><Relationship Id="rId3137" Type="http://schemas.openxmlformats.org/officeDocument/2006/relationships/hyperlink" Target="https://drive.google.com/drive/folders/10T2cTQHqEJZqE-st6uFKPoI?usp=share_link" TargetMode="External"/><Relationship Id="rId4468" Type="http://schemas.openxmlformats.org/officeDocument/2006/relationships/hyperlink" Target="https://drive.google.com/drive/folders/10T2cTQHqEJZqE-st6uFKPoI?usp=share_link" TargetMode="External"/><Relationship Id="rId5796" Type="http://schemas.openxmlformats.org/officeDocument/2006/relationships/hyperlink" Target="https://drive.google.com/drive/folders/10T2cTQHqEJZqE-st6uFKPoI?usp=share_link" TargetMode="External"/><Relationship Id="rId3136" Type="http://schemas.openxmlformats.org/officeDocument/2006/relationships/hyperlink" Target="https://drive.google.com/drive/folders/10T2cTQHqEJZqE-st6uFKPoI?usp=share_link" TargetMode="External"/><Relationship Id="rId4467" Type="http://schemas.openxmlformats.org/officeDocument/2006/relationships/hyperlink" Target="https://drive.google.com/drive/folders/10T2cTQHqEJZqE-st6uFKPoI?usp=share_link" TargetMode="External"/><Relationship Id="rId5797" Type="http://schemas.openxmlformats.org/officeDocument/2006/relationships/hyperlink" Target="https://drive.google.com/drive/folders/10T2cTQHqEJZqE-st6uFKPoI?usp=share_link" TargetMode="External"/><Relationship Id="rId3128" Type="http://schemas.openxmlformats.org/officeDocument/2006/relationships/hyperlink" Target="https://drive.google.com/drive/folders/10T2cTQHqEJZqE-st6uFKPoI?usp=share_link" TargetMode="External"/><Relationship Id="rId4459" Type="http://schemas.openxmlformats.org/officeDocument/2006/relationships/hyperlink" Target="https://drive.google.com/drive/folders/10T2cTQHqEJZqE-st6uFKPoI?usp=share_link" TargetMode="External"/><Relationship Id="rId3127" Type="http://schemas.openxmlformats.org/officeDocument/2006/relationships/hyperlink" Target="https://drive.google.com/drive/folders/10T2cTQHqEJZqE-st6uFKPoI?usp=share_link" TargetMode="External"/><Relationship Id="rId4458" Type="http://schemas.openxmlformats.org/officeDocument/2006/relationships/hyperlink" Target="https://drive.google.com/drive/folders/10T2cTQHqEJZqE-st6uFKPoI?usp=share_link" TargetMode="External"/><Relationship Id="rId5789" Type="http://schemas.openxmlformats.org/officeDocument/2006/relationships/hyperlink" Target="https://drive.google.com/drive/folders/10T2cTQHqEJZqE-st6uFKPoI?usp=share_link" TargetMode="External"/><Relationship Id="rId3129" Type="http://schemas.openxmlformats.org/officeDocument/2006/relationships/hyperlink" Target="https://drive.google.com/drive/folders/10T2cTQHqEJZqE-st6uFKPoI?usp=share_link" TargetMode="External"/><Relationship Id="rId5780" Type="http://schemas.openxmlformats.org/officeDocument/2006/relationships/hyperlink" Target="https://drive.google.com/drive/folders/10T2cTQHqEJZqE-st6uFKPoI?usp=share_link" TargetMode="External"/><Relationship Id="rId3120" Type="http://schemas.openxmlformats.org/officeDocument/2006/relationships/hyperlink" Target="https://drive.google.com/drive/folders/10T2cTQHqEJZqE-st6uFKPoI?usp=share_link" TargetMode="External"/><Relationship Id="rId4451" Type="http://schemas.openxmlformats.org/officeDocument/2006/relationships/hyperlink" Target="https://drive.google.com/drive/folders/10T2cTQHqEJZqE-st6uFKPoI?usp=share_link" TargetMode="External"/><Relationship Id="rId5783" Type="http://schemas.openxmlformats.org/officeDocument/2006/relationships/hyperlink" Target="https://drive.google.com/drive/folders/10T2cTQHqEJZqE-st6uFKPoI?usp=share_link" TargetMode="External"/><Relationship Id="rId4450" Type="http://schemas.openxmlformats.org/officeDocument/2006/relationships/hyperlink" Target="https://drive.google.com/drive/folders/10T2cTQHqEJZqE-st6uFKPoI?usp=share_link" TargetMode="External"/><Relationship Id="rId5784" Type="http://schemas.openxmlformats.org/officeDocument/2006/relationships/hyperlink" Target="https://drive.google.com/drive/folders/10T2cTQHqEJZqE-st6uFKPoI?usp=share_link" TargetMode="External"/><Relationship Id="rId3122" Type="http://schemas.openxmlformats.org/officeDocument/2006/relationships/hyperlink" Target="https://drive.google.com/drive/folders/10T2cTQHqEJZqE-st6uFKPoI?usp=share_link" TargetMode="External"/><Relationship Id="rId4453" Type="http://schemas.openxmlformats.org/officeDocument/2006/relationships/hyperlink" Target="https://drive.google.com/drive/folders/10T2cTQHqEJZqE-st6uFKPoI?usp=share_link" TargetMode="External"/><Relationship Id="rId5781" Type="http://schemas.openxmlformats.org/officeDocument/2006/relationships/hyperlink" Target="https://drive.google.com/drive/folders/10T2cTQHqEJZqE-st6uFKPoI?usp=share_link" TargetMode="External"/><Relationship Id="rId3121" Type="http://schemas.openxmlformats.org/officeDocument/2006/relationships/hyperlink" Target="https://drive.google.com/drive/folders/10T2cTQHqEJZqE-st6uFKPoI?usp=share_link" TargetMode="External"/><Relationship Id="rId4452" Type="http://schemas.openxmlformats.org/officeDocument/2006/relationships/hyperlink" Target="https://drive.google.com/drive/folders/10T2cTQHqEJZqE-st6uFKPoI?usp=share_link" TargetMode="External"/><Relationship Id="rId5782" Type="http://schemas.openxmlformats.org/officeDocument/2006/relationships/hyperlink" Target="https://drive.google.com/drive/folders/10T2cTQHqEJZqE-st6uFKPoI?usp=share_link" TargetMode="External"/><Relationship Id="rId3124" Type="http://schemas.openxmlformats.org/officeDocument/2006/relationships/hyperlink" Target="https://drive.google.com/drive/folders/10T2cTQHqEJZqE-st6uFKPoI?usp=share_link" TargetMode="External"/><Relationship Id="rId4455" Type="http://schemas.openxmlformats.org/officeDocument/2006/relationships/hyperlink" Target="https://drive.google.com/drive/folders/10T2cTQHqEJZqE-st6uFKPoI?usp=share_link" TargetMode="External"/><Relationship Id="rId5787" Type="http://schemas.openxmlformats.org/officeDocument/2006/relationships/hyperlink" Target="https://drive.google.com/drive/folders/10T2cTQHqEJZqE-st6uFKPoI?usp=share_link" TargetMode="External"/><Relationship Id="rId3123" Type="http://schemas.openxmlformats.org/officeDocument/2006/relationships/hyperlink" Target="https://drive.google.com/drive/folders/10T2cTQHqEJZqE-st6uFKPoI?usp=share_link" TargetMode="External"/><Relationship Id="rId4454" Type="http://schemas.openxmlformats.org/officeDocument/2006/relationships/hyperlink" Target="https://drive.google.com/drive/folders/10T2cTQHqEJZqE-st6uFKPoI?usp=share_link" TargetMode="External"/><Relationship Id="rId5788" Type="http://schemas.openxmlformats.org/officeDocument/2006/relationships/hyperlink" Target="https://drive.google.com/drive/folders/10T2cTQHqEJZqE-st6uFKPoI?usp=share_link" TargetMode="External"/><Relationship Id="rId3126" Type="http://schemas.openxmlformats.org/officeDocument/2006/relationships/hyperlink" Target="https://drive.google.com/drive/folders/10T2cTQHqEJZqE-st6uFKPoI?usp=share_link" TargetMode="External"/><Relationship Id="rId4457" Type="http://schemas.openxmlformats.org/officeDocument/2006/relationships/hyperlink" Target="https://drive.google.com/drive/folders/10T2cTQHqEJZqE-st6uFKPoI?usp=share_link" TargetMode="External"/><Relationship Id="rId5785" Type="http://schemas.openxmlformats.org/officeDocument/2006/relationships/hyperlink" Target="https://drive.google.com/drive/folders/10T2cTQHqEJZqE-st6uFKPoI?usp=share_link" TargetMode="External"/><Relationship Id="rId3125" Type="http://schemas.openxmlformats.org/officeDocument/2006/relationships/hyperlink" Target="https://drive.google.com/drive/folders/10T2cTQHqEJZqE-st6uFKPoI?usp=share_link" TargetMode="External"/><Relationship Id="rId4456" Type="http://schemas.openxmlformats.org/officeDocument/2006/relationships/hyperlink" Target="https://drive.google.com/drive/folders/10T2cTQHqEJZqE-st6uFKPoI?usp=share_link" TargetMode="External"/><Relationship Id="rId5786" Type="http://schemas.openxmlformats.org/officeDocument/2006/relationships/hyperlink" Target="https://drive.google.com/drive/folders/10T2cTQHqEJZqE-st6uFKPoI?usp=share_link" TargetMode="External"/><Relationship Id="rId1378" Type="http://schemas.openxmlformats.org/officeDocument/2006/relationships/hyperlink" Target="https://drive.google.com/drive/folders/10T2cTQHqEJZqE-st6uFKPoI?usp=share_link" TargetMode="External"/><Relationship Id="rId4404" Type="http://schemas.openxmlformats.org/officeDocument/2006/relationships/hyperlink" Target="https://drive.google.com/drive/folders/10T2cTQHqEJZqE-st6uFKPoI?usp=share_link" TargetMode="External"/><Relationship Id="rId5736" Type="http://schemas.openxmlformats.org/officeDocument/2006/relationships/hyperlink" Target="https://drive.google.com/drive/folders/10T2cTQHqEJZqE-st6uFKPoI?usp=share_link" TargetMode="External"/><Relationship Id="rId1379" Type="http://schemas.openxmlformats.org/officeDocument/2006/relationships/hyperlink" Target="https://drive.google.com/drive/folders/10T2cTQHqEJZqE-st6uFKPoI?usp=share_link" TargetMode="External"/><Relationship Id="rId4403" Type="http://schemas.openxmlformats.org/officeDocument/2006/relationships/hyperlink" Target="https://drive.google.com/drive/folders/10T2cTQHqEJZqE-st6uFKPoI?usp=share_link" TargetMode="External"/><Relationship Id="rId5737" Type="http://schemas.openxmlformats.org/officeDocument/2006/relationships/hyperlink" Target="https://drive.google.com/drive/folders/10T2cTQHqEJZqE-st6uFKPoI?usp=share_link" TargetMode="External"/><Relationship Id="rId4406" Type="http://schemas.openxmlformats.org/officeDocument/2006/relationships/hyperlink" Target="https://drive.google.com/drive/folders/10T2cTQHqEJZqE-st6uFKPoI?usp=share_link" TargetMode="External"/><Relationship Id="rId5734" Type="http://schemas.openxmlformats.org/officeDocument/2006/relationships/hyperlink" Target="https://drive.google.com/drive/folders/10T2cTQHqEJZqE-st6uFKPoI?usp=share_link" TargetMode="External"/><Relationship Id="rId4405" Type="http://schemas.openxmlformats.org/officeDocument/2006/relationships/hyperlink" Target="https://drive.google.com/drive/folders/10T2cTQHqEJZqE-st6uFKPoI?usp=share_link" TargetMode="External"/><Relationship Id="rId5735" Type="http://schemas.openxmlformats.org/officeDocument/2006/relationships/hyperlink" Target="https://drive.google.com/drive/folders/10T2cTQHqEJZqE-st6uFKPoI?usp=share_link" TargetMode="External"/><Relationship Id="rId4408" Type="http://schemas.openxmlformats.org/officeDocument/2006/relationships/hyperlink" Target="https://drive.google.com/drive/folders/10T2cTQHqEJZqE-st6uFKPoI?usp=share_link" TargetMode="External"/><Relationship Id="rId4407" Type="http://schemas.openxmlformats.org/officeDocument/2006/relationships/hyperlink" Target="https://drive.google.com/drive/folders/10T2cTQHqEJZqE-st6uFKPoI?usp=share_link" TargetMode="External"/><Relationship Id="rId5738" Type="http://schemas.openxmlformats.org/officeDocument/2006/relationships/hyperlink" Target="https://drive.google.com/drive/folders/10T2cTQHqEJZqE-st6uFKPoI?usp=share_link" TargetMode="External"/><Relationship Id="rId4409" Type="http://schemas.openxmlformats.org/officeDocument/2006/relationships/hyperlink" Target="https://drive.google.com/drive/folders/10T2cTQHqEJZqE-st6uFKPoI?usp=share_link" TargetMode="External"/><Relationship Id="rId5739" Type="http://schemas.openxmlformats.org/officeDocument/2006/relationships/hyperlink" Target="https://drive.google.com/drive/folders/10T2cTQHqEJZqE-st6uFKPoI?usp=share_link" TargetMode="External"/><Relationship Id="rId789" Type="http://schemas.openxmlformats.org/officeDocument/2006/relationships/hyperlink" Target="https://drive.google.com/drive/folders/10T2cTQHqEJZqE-st6uFKPoI?usp=share_link" TargetMode="External"/><Relationship Id="rId788" Type="http://schemas.openxmlformats.org/officeDocument/2006/relationships/hyperlink" Target="https://drive.google.com/drive/folders/10T2cTQHqEJZqE-st6uFKPoI?usp=share_link" TargetMode="External"/><Relationship Id="rId787" Type="http://schemas.openxmlformats.org/officeDocument/2006/relationships/hyperlink" Target="https://drive.google.com/drive/folders/10T2cTQHqEJZqE-st6uFKPoI?usp=share_link" TargetMode="External"/><Relationship Id="rId786" Type="http://schemas.openxmlformats.org/officeDocument/2006/relationships/hyperlink" Target="https://drive.google.com/drive/folders/10T2cTQHqEJZqE-st6uFKPoI?usp=share_link" TargetMode="External"/><Relationship Id="rId781" Type="http://schemas.openxmlformats.org/officeDocument/2006/relationships/hyperlink" Target="https://drive.google.com/drive/folders/10T2cTQHqEJZqE-st6uFKPoI?usp=share_link" TargetMode="External"/><Relationship Id="rId1370" Type="http://schemas.openxmlformats.org/officeDocument/2006/relationships/hyperlink" Target="https://drive.google.com/drive/folders/10T2cTQHqEJZqE-st6uFKPoI?usp=share_link" TargetMode="External"/><Relationship Id="rId780" Type="http://schemas.openxmlformats.org/officeDocument/2006/relationships/hyperlink" Target="https://drive.google.com/drive/folders/10T2cTQHqEJZqE-st6uFKPoI?usp=share_link" TargetMode="External"/><Relationship Id="rId1371" Type="http://schemas.openxmlformats.org/officeDocument/2006/relationships/hyperlink" Target="https://drive.google.com/drive/folders/10T2cTQHqEJZqE-st6uFKPoI?usp=share_link" TargetMode="External"/><Relationship Id="rId1372" Type="http://schemas.openxmlformats.org/officeDocument/2006/relationships/hyperlink" Target="https://drive.google.com/drive/folders/10T2cTQHqEJZqE-st6uFKPoI?usp=share_link" TargetMode="External"/><Relationship Id="rId1373" Type="http://schemas.openxmlformats.org/officeDocument/2006/relationships/hyperlink" Target="https://drive.google.com/drive/folders/10T2cTQHqEJZqE-st6uFKPoI?usp=share_link" TargetMode="External"/><Relationship Id="rId785" Type="http://schemas.openxmlformats.org/officeDocument/2006/relationships/hyperlink" Target="https://drive.google.com/drive/folders/10T2cTQHqEJZqE-st6uFKPoI?usp=share_link" TargetMode="External"/><Relationship Id="rId1374" Type="http://schemas.openxmlformats.org/officeDocument/2006/relationships/hyperlink" Target="https://drive.google.com/drive/folders/10T2cTQHqEJZqE-st6uFKPoI?usp=share_link" TargetMode="External"/><Relationship Id="rId4400" Type="http://schemas.openxmlformats.org/officeDocument/2006/relationships/hyperlink" Target="https://drive.google.com/drive/folders/10T2cTQHqEJZqE-st6uFKPoI?usp=share_link" TargetMode="External"/><Relationship Id="rId5732" Type="http://schemas.openxmlformats.org/officeDocument/2006/relationships/hyperlink" Target="https://drive.google.com/drive/folders/10T2cTQHqEJZqE-st6uFKPoI?usp=share_link" TargetMode="External"/><Relationship Id="rId784" Type="http://schemas.openxmlformats.org/officeDocument/2006/relationships/hyperlink" Target="https://drive.google.com/drive/folders/10T2cTQHqEJZqE-st6uFKPoI?usp=share_link" TargetMode="External"/><Relationship Id="rId1375" Type="http://schemas.openxmlformats.org/officeDocument/2006/relationships/hyperlink" Target="https://drive.google.com/drive/folders/10T2cTQHqEJZqE-st6uFKPoI?usp=share_link" TargetMode="External"/><Relationship Id="rId5733" Type="http://schemas.openxmlformats.org/officeDocument/2006/relationships/hyperlink" Target="https://drive.google.com/drive/folders/10T2cTQHqEJZqE-st6uFKPoI?usp=share_link" TargetMode="External"/><Relationship Id="rId783" Type="http://schemas.openxmlformats.org/officeDocument/2006/relationships/hyperlink" Target="https://drive.google.com/drive/folders/10T2cTQHqEJZqE-st6uFKPoI?usp=share_link" TargetMode="External"/><Relationship Id="rId1376" Type="http://schemas.openxmlformats.org/officeDocument/2006/relationships/hyperlink" Target="https://drive.google.com/drive/folders/10T2cTQHqEJZqE-st6uFKPoI?usp=share_link" TargetMode="External"/><Relationship Id="rId4402" Type="http://schemas.openxmlformats.org/officeDocument/2006/relationships/hyperlink" Target="https://drive.google.com/drive/folders/10T2cTQHqEJZqE-st6uFKPoI?usp=share_link" TargetMode="External"/><Relationship Id="rId5730" Type="http://schemas.openxmlformats.org/officeDocument/2006/relationships/hyperlink" Target="https://drive.google.com/drive/folders/10T2cTQHqEJZqE-st6uFKPoI?usp=share_link" TargetMode="External"/><Relationship Id="rId782" Type="http://schemas.openxmlformats.org/officeDocument/2006/relationships/hyperlink" Target="https://drive.google.com/drive/folders/10T2cTQHqEJZqE-st6uFKPoI?usp=share_link" TargetMode="External"/><Relationship Id="rId1377" Type="http://schemas.openxmlformats.org/officeDocument/2006/relationships/hyperlink" Target="https://drive.google.com/drive/folders/10T2cTQHqEJZqE-st6uFKPoI?usp=share_link" TargetMode="External"/><Relationship Id="rId4401" Type="http://schemas.openxmlformats.org/officeDocument/2006/relationships/hyperlink" Target="https://drive.google.com/drive/folders/10T2cTQHqEJZqE-st6uFKPoI?usp=share_link" TargetMode="External"/><Relationship Id="rId5731" Type="http://schemas.openxmlformats.org/officeDocument/2006/relationships/hyperlink" Target="https://drive.google.com/drive/folders/10T2cTQHqEJZqE-st6uFKPoI?usp=share_link" TargetMode="External"/><Relationship Id="rId1367" Type="http://schemas.openxmlformats.org/officeDocument/2006/relationships/hyperlink" Target="https://drive.google.com/drive/folders/10T2cTQHqEJZqE-st6uFKPoI?usp=share_link" TargetMode="External"/><Relationship Id="rId2698" Type="http://schemas.openxmlformats.org/officeDocument/2006/relationships/hyperlink" Target="https://drive.google.com/drive/folders/10T2cTQHqEJZqE-st6uFKPoI?usp=share_link" TargetMode="External"/><Relationship Id="rId5725" Type="http://schemas.openxmlformats.org/officeDocument/2006/relationships/hyperlink" Target="https://drive.google.com/drive/folders/10T2cTQHqEJZqE-st6uFKPoI?usp=share_link" TargetMode="External"/><Relationship Id="rId1368" Type="http://schemas.openxmlformats.org/officeDocument/2006/relationships/hyperlink" Target="https://drive.google.com/drive/folders/10T2cTQHqEJZqE-st6uFKPoI?usp=share_link" TargetMode="External"/><Relationship Id="rId2699" Type="http://schemas.openxmlformats.org/officeDocument/2006/relationships/hyperlink" Target="https://drive.google.com/drive/folders/10T2cTQHqEJZqE-st6uFKPoI?usp=share_link" TargetMode="External"/><Relationship Id="rId5726" Type="http://schemas.openxmlformats.org/officeDocument/2006/relationships/hyperlink" Target="https://drive.google.com/drive/folders/10T2cTQHqEJZqE-st6uFKPoI?usp=share_link" TargetMode="External"/><Relationship Id="rId1369" Type="http://schemas.openxmlformats.org/officeDocument/2006/relationships/hyperlink" Target="https://drive.google.com/drive/folders/10T2cTQHqEJZqE-st6uFKPoI?usp=share_link" TargetMode="External"/><Relationship Id="rId5723" Type="http://schemas.openxmlformats.org/officeDocument/2006/relationships/hyperlink" Target="https://drive.google.com/drive/folders/10T2cTQHqEJZqE-st6uFKPoI?usp=share_link" TargetMode="External"/><Relationship Id="rId5724" Type="http://schemas.openxmlformats.org/officeDocument/2006/relationships/hyperlink" Target="https://drive.google.com/drive/folders/10T2cTQHqEJZqE-st6uFKPoI?usp=share_link" TargetMode="External"/><Relationship Id="rId5729" Type="http://schemas.openxmlformats.org/officeDocument/2006/relationships/hyperlink" Target="https://drive.google.com/drive/folders/10T2cTQHqEJZqE-st6uFKPoI?usp=share_link" TargetMode="External"/><Relationship Id="rId5727" Type="http://schemas.openxmlformats.org/officeDocument/2006/relationships/hyperlink" Target="https://drive.google.com/drive/folders/10T2cTQHqEJZqE-st6uFKPoI?usp=share_link" TargetMode="External"/><Relationship Id="rId5728" Type="http://schemas.openxmlformats.org/officeDocument/2006/relationships/hyperlink" Target="https://drive.google.com/drive/folders/10T2cTQHqEJZqE-st6uFKPoI?usp=share_link" TargetMode="External"/><Relationship Id="rId778" Type="http://schemas.openxmlformats.org/officeDocument/2006/relationships/hyperlink" Target="https://drive.google.com/drive/folders/10T2cTQHqEJZqE-st6uFKPoI?usp=share_link" TargetMode="External"/><Relationship Id="rId777" Type="http://schemas.openxmlformats.org/officeDocument/2006/relationships/hyperlink" Target="https://drive.google.com/drive/folders/10T2cTQHqEJZqE-st6uFKPoI?usp=share_link" TargetMode="External"/><Relationship Id="rId776" Type="http://schemas.openxmlformats.org/officeDocument/2006/relationships/hyperlink" Target="https://drive.google.com/drive/folders/10T2cTQHqEJZqE-st6uFKPoI?usp=share_link" TargetMode="External"/><Relationship Id="rId775" Type="http://schemas.openxmlformats.org/officeDocument/2006/relationships/hyperlink" Target="https://drive.google.com/drive/folders/10T2cTQHqEJZqE-st6uFKPoI?usp=share_link" TargetMode="External"/><Relationship Id="rId779" Type="http://schemas.openxmlformats.org/officeDocument/2006/relationships/hyperlink" Target="https://drive.google.com/drive/folders/10T2cTQHqEJZqE-st6uFKPoI?usp=share_link" TargetMode="External"/><Relationship Id="rId770" Type="http://schemas.openxmlformats.org/officeDocument/2006/relationships/hyperlink" Target="https://drive.google.com/drive/folders/10T2cTQHqEJZqE-st6uFKPoI?usp=share_link" TargetMode="External"/><Relationship Id="rId2690" Type="http://schemas.openxmlformats.org/officeDocument/2006/relationships/hyperlink" Target="https://drive.google.com/drive/folders/10T2cTQHqEJZqE-st6uFKPoI?usp=share_link" TargetMode="External"/><Relationship Id="rId1360" Type="http://schemas.openxmlformats.org/officeDocument/2006/relationships/hyperlink" Target="https://drive.google.com/drive/folders/10T2cTQHqEJZqE-st6uFKPoI?usp=share_link" TargetMode="External"/><Relationship Id="rId2691" Type="http://schemas.openxmlformats.org/officeDocument/2006/relationships/hyperlink" Target="https://drive.google.com/drive/folders/10T2cTQHqEJZqE-st6uFKPoI?usp=share_link" TargetMode="External"/><Relationship Id="rId1361" Type="http://schemas.openxmlformats.org/officeDocument/2006/relationships/hyperlink" Target="https://drive.google.com/drive/folders/10T2cTQHqEJZqE-st6uFKPoI?usp=share_link" TargetMode="External"/><Relationship Id="rId2692" Type="http://schemas.openxmlformats.org/officeDocument/2006/relationships/hyperlink" Target="https://drive.google.com/drive/folders/10T2cTQHqEJZqE-st6uFKPoI?usp=share_link" TargetMode="External"/><Relationship Id="rId1362" Type="http://schemas.openxmlformats.org/officeDocument/2006/relationships/hyperlink" Target="https://drive.google.com/drive/folders/10T2cTQHqEJZqE-st6uFKPoI?usp=share_link" TargetMode="External"/><Relationship Id="rId2693" Type="http://schemas.openxmlformats.org/officeDocument/2006/relationships/hyperlink" Target="https://drive.google.com/drive/folders/10T2cTQHqEJZqE-st6uFKPoI?usp=share_link" TargetMode="External"/><Relationship Id="rId774" Type="http://schemas.openxmlformats.org/officeDocument/2006/relationships/hyperlink" Target="https://drive.google.com/drive/folders/10T2cTQHqEJZqE-st6uFKPoI?usp=share_link" TargetMode="External"/><Relationship Id="rId1363" Type="http://schemas.openxmlformats.org/officeDocument/2006/relationships/hyperlink" Target="https://drive.google.com/drive/folders/10T2cTQHqEJZqE-st6uFKPoI?usp=share_link" TargetMode="External"/><Relationship Id="rId2694" Type="http://schemas.openxmlformats.org/officeDocument/2006/relationships/hyperlink" Target="https://drive.google.com/drive/folders/10T2cTQHqEJZqE-st6uFKPoI?usp=share_link" TargetMode="External"/><Relationship Id="rId5721" Type="http://schemas.openxmlformats.org/officeDocument/2006/relationships/hyperlink" Target="https://drive.google.com/drive/folders/10T2cTQHqEJZqE-st6uFKPoI?usp=share_link" TargetMode="External"/><Relationship Id="rId773" Type="http://schemas.openxmlformats.org/officeDocument/2006/relationships/hyperlink" Target="https://drive.google.com/drive/folders/10T2cTQHqEJZqE-st6uFKPoI?usp=share_link" TargetMode="External"/><Relationship Id="rId1364" Type="http://schemas.openxmlformats.org/officeDocument/2006/relationships/hyperlink" Target="https://drive.google.com/drive/folders/10T2cTQHqEJZqE-st6uFKPoI?usp=share_link" TargetMode="External"/><Relationship Id="rId2695" Type="http://schemas.openxmlformats.org/officeDocument/2006/relationships/hyperlink" Target="https://drive.google.com/drive/folders/10T2cTQHqEJZqE-st6uFKPoI?usp=share_link" TargetMode="External"/><Relationship Id="rId5722" Type="http://schemas.openxmlformats.org/officeDocument/2006/relationships/hyperlink" Target="https://drive.google.com/drive/folders/10T2cTQHqEJZqE-st6uFKPoI?usp=share_link" TargetMode="External"/><Relationship Id="rId772" Type="http://schemas.openxmlformats.org/officeDocument/2006/relationships/hyperlink" Target="https://drive.google.com/drive/folders/10T2cTQHqEJZqE-st6uFKPoI?usp=share_link" TargetMode="External"/><Relationship Id="rId1365" Type="http://schemas.openxmlformats.org/officeDocument/2006/relationships/hyperlink" Target="https://drive.google.com/drive/folders/10T2cTQHqEJZqE-st6uFKPoI?usp=share_link" TargetMode="External"/><Relationship Id="rId2696" Type="http://schemas.openxmlformats.org/officeDocument/2006/relationships/hyperlink" Target="https://drive.google.com/drive/folders/10T2cTQHqEJZqE-st6uFKPoI?usp=share_link" TargetMode="External"/><Relationship Id="rId771" Type="http://schemas.openxmlformats.org/officeDocument/2006/relationships/hyperlink" Target="https://drive.google.com/drive/folders/10T2cTQHqEJZqE-st6uFKPoI?usp=share_link" TargetMode="External"/><Relationship Id="rId1366" Type="http://schemas.openxmlformats.org/officeDocument/2006/relationships/hyperlink" Target="https://drive.google.com/drive/folders/10T2cTQHqEJZqE-st6uFKPoI?usp=share_link" TargetMode="External"/><Relationship Id="rId2697" Type="http://schemas.openxmlformats.org/officeDocument/2006/relationships/hyperlink" Target="https://drive.google.com/drive/folders/10T2cTQHqEJZqE-st6uFKPoI?usp=share_link" TargetMode="External"/><Relationship Id="rId5720" Type="http://schemas.openxmlformats.org/officeDocument/2006/relationships/hyperlink" Target="https://drive.google.com/drive/folders/10T2cTQHqEJZqE-st6uFKPoI?usp=share_link" TargetMode="External"/><Relationship Id="rId4426" Type="http://schemas.openxmlformats.org/officeDocument/2006/relationships/hyperlink" Target="https://drive.google.com/drive/folders/10T2cTQHqEJZqE-st6uFKPoI?usp=share_link" TargetMode="External"/><Relationship Id="rId5758" Type="http://schemas.openxmlformats.org/officeDocument/2006/relationships/hyperlink" Target="https://drive.google.com/drive/folders/10T2cTQHqEJZqE-st6uFKPoI?usp=share_link" TargetMode="External"/><Relationship Id="rId4425" Type="http://schemas.openxmlformats.org/officeDocument/2006/relationships/hyperlink" Target="https://drive.google.com/drive/folders/10T2cTQHqEJZqE-st6uFKPoI?usp=share_link" TargetMode="External"/><Relationship Id="rId5759" Type="http://schemas.openxmlformats.org/officeDocument/2006/relationships/hyperlink" Target="https://drive.google.com/drive/folders/10T2cTQHqEJZqE-st6uFKPoI?usp=share_link" TargetMode="External"/><Relationship Id="rId4428" Type="http://schemas.openxmlformats.org/officeDocument/2006/relationships/hyperlink" Target="https://drive.google.com/drive/folders/10T2cTQHqEJZqE-st6uFKPoI?usp=share_link" TargetMode="External"/><Relationship Id="rId5756" Type="http://schemas.openxmlformats.org/officeDocument/2006/relationships/hyperlink" Target="https://drive.google.com/drive/folders/10T2cTQHqEJZqE-st6uFKPoI?usp=share_link" TargetMode="External"/><Relationship Id="rId4427" Type="http://schemas.openxmlformats.org/officeDocument/2006/relationships/hyperlink" Target="https://drive.google.com/drive/folders/10T2cTQHqEJZqE-st6uFKPoI?usp=share_link" TargetMode="External"/><Relationship Id="rId5757" Type="http://schemas.openxmlformats.org/officeDocument/2006/relationships/hyperlink" Target="https://drive.google.com/drive/folders/10T2cTQHqEJZqE-st6uFKPoI?usp=share_link" TargetMode="External"/><Relationship Id="rId4429" Type="http://schemas.openxmlformats.org/officeDocument/2006/relationships/hyperlink" Target="https://drive.google.com/drive/folders/10T2cTQHqEJZqE-st6uFKPoI?usp=share_link" TargetMode="External"/><Relationship Id="rId1390" Type="http://schemas.openxmlformats.org/officeDocument/2006/relationships/hyperlink" Target="https://drive.google.com/drive/folders/10T2cTQHqEJZqE-st6uFKPoI?usp=share_link" TargetMode="External"/><Relationship Id="rId1391" Type="http://schemas.openxmlformats.org/officeDocument/2006/relationships/hyperlink" Target="https://drive.google.com/drive/folders/10T2cTQHqEJZqE-st6uFKPoI?usp=share_link" TargetMode="External"/><Relationship Id="rId1392" Type="http://schemas.openxmlformats.org/officeDocument/2006/relationships/hyperlink" Target="https://drive.google.com/drive/folders/10T2cTQHqEJZqE-st6uFKPoI?usp=share_link" TargetMode="External"/><Relationship Id="rId5750" Type="http://schemas.openxmlformats.org/officeDocument/2006/relationships/hyperlink" Target="https://drive.google.com/drive/folders/10T2cTQHqEJZqE-st6uFKPoI?usp=share_link" TargetMode="External"/><Relationship Id="rId1393" Type="http://schemas.openxmlformats.org/officeDocument/2006/relationships/hyperlink" Target="https://drive.google.com/drive/folders/10T2cTQHqEJZqE-st6uFKPoI?usp=share_link" TargetMode="External"/><Relationship Id="rId5751" Type="http://schemas.openxmlformats.org/officeDocument/2006/relationships/hyperlink" Target="https://drive.google.com/drive/folders/10T2cTQHqEJZqE-st6uFKPoI?usp=share_link" TargetMode="External"/><Relationship Id="rId1394" Type="http://schemas.openxmlformats.org/officeDocument/2006/relationships/hyperlink" Target="https://drive.google.com/drive/folders/10T2cTQHqEJZqE-st6uFKPoI?usp=share_link" TargetMode="External"/><Relationship Id="rId4420" Type="http://schemas.openxmlformats.org/officeDocument/2006/relationships/hyperlink" Target="https://drive.google.com/drive/folders/10T2cTQHqEJZqE-st6uFKPoI?usp=share_link" TargetMode="External"/><Relationship Id="rId1395" Type="http://schemas.openxmlformats.org/officeDocument/2006/relationships/hyperlink" Target="https://drive.google.com/drive/folders/10T2cTQHqEJZqE-st6uFKPoI?usp=share_link" TargetMode="External"/><Relationship Id="rId1396" Type="http://schemas.openxmlformats.org/officeDocument/2006/relationships/hyperlink" Target="https://drive.google.com/drive/folders/10T2cTQHqEJZqE-st6uFKPoI?usp=share_link" TargetMode="External"/><Relationship Id="rId4422" Type="http://schemas.openxmlformats.org/officeDocument/2006/relationships/hyperlink" Target="https://drive.google.com/drive/folders/10T2cTQHqEJZqE-st6uFKPoI?usp=share_link" TargetMode="External"/><Relationship Id="rId5754" Type="http://schemas.openxmlformats.org/officeDocument/2006/relationships/hyperlink" Target="https://drive.google.com/drive/folders/10T2cTQHqEJZqE-st6uFKPoI?usp=share_link" TargetMode="External"/><Relationship Id="rId1397" Type="http://schemas.openxmlformats.org/officeDocument/2006/relationships/hyperlink" Target="https://drive.google.com/drive/folders/10T2cTQHqEJZqE-st6uFKPoI?usp=share_link" TargetMode="External"/><Relationship Id="rId4421" Type="http://schemas.openxmlformats.org/officeDocument/2006/relationships/hyperlink" Target="https://drive.google.com/drive/folders/10T2cTQHqEJZqE-st6uFKPoI?usp=share_link" TargetMode="External"/><Relationship Id="rId5755" Type="http://schemas.openxmlformats.org/officeDocument/2006/relationships/hyperlink" Target="https://drive.google.com/drive/folders/10T2cTQHqEJZqE-st6uFKPoI?usp=share_link" TargetMode="External"/><Relationship Id="rId1398" Type="http://schemas.openxmlformats.org/officeDocument/2006/relationships/hyperlink" Target="https://drive.google.com/drive/folders/10T2cTQHqEJZqE-st6uFKPoI?usp=share_link" TargetMode="External"/><Relationship Id="rId4424" Type="http://schemas.openxmlformats.org/officeDocument/2006/relationships/hyperlink" Target="https://drive.google.com/drive/folders/10T2cTQHqEJZqE-st6uFKPoI?usp=share_link" TargetMode="External"/><Relationship Id="rId5752" Type="http://schemas.openxmlformats.org/officeDocument/2006/relationships/hyperlink" Target="https://drive.google.com/drive/folders/10T2cTQHqEJZqE-st6uFKPoI?usp=share_link" TargetMode="External"/><Relationship Id="rId1399" Type="http://schemas.openxmlformats.org/officeDocument/2006/relationships/hyperlink" Target="https://drive.google.com/drive/folders/10T2cTQHqEJZqE-st6uFKPoI?usp=share_link" TargetMode="External"/><Relationship Id="rId4423" Type="http://schemas.openxmlformats.org/officeDocument/2006/relationships/hyperlink" Target="https://drive.google.com/drive/folders/10T2cTQHqEJZqE-st6uFKPoI?usp=share_link" TargetMode="External"/><Relationship Id="rId5753" Type="http://schemas.openxmlformats.org/officeDocument/2006/relationships/hyperlink" Target="https://drive.google.com/drive/folders/10T2cTQHqEJZqE-st6uFKPoI?usp=share_link" TargetMode="External"/><Relationship Id="rId1389" Type="http://schemas.openxmlformats.org/officeDocument/2006/relationships/hyperlink" Target="https://drive.google.com/drive/folders/10T2cTQHqEJZqE-st6uFKPoI?usp=share_link" TargetMode="External"/><Relationship Id="rId4415" Type="http://schemas.openxmlformats.org/officeDocument/2006/relationships/hyperlink" Target="https://drive.google.com/drive/folders/10T2cTQHqEJZqE-st6uFKPoI?usp=share_link" TargetMode="External"/><Relationship Id="rId5747" Type="http://schemas.openxmlformats.org/officeDocument/2006/relationships/hyperlink" Target="https://drive.google.com/drive/folders/10T2cTQHqEJZqE-st6uFKPoI?usp=share_link" TargetMode="External"/><Relationship Id="rId4414" Type="http://schemas.openxmlformats.org/officeDocument/2006/relationships/hyperlink" Target="https://drive.google.com/drive/folders/10T2cTQHqEJZqE-st6uFKPoI?usp=share_link" TargetMode="External"/><Relationship Id="rId5748" Type="http://schemas.openxmlformats.org/officeDocument/2006/relationships/hyperlink" Target="https://drive.google.com/drive/folders/10T2cTQHqEJZqE-st6uFKPoI?usp=share_link" TargetMode="External"/><Relationship Id="rId4417" Type="http://schemas.openxmlformats.org/officeDocument/2006/relationships/hyperlink" Target="https://drive.google.com/drive/folders/10T2cTQHqEJZqE-st6uFKPoI?usp=share_link" TargetMode="External"/><Relationship Id="rId5745" Type="http://schemas.openxmlformats.org/officeDocument/2006/relationships/hyperlink" Target="https://drive.google.com/drive/folders/10T2cTQHqEJZqE-st6uFKPoI?usp=share_link" TargetMode="External"/><Relationship Id="rId4416" Type="http://schemas.openxmlformats.org/officeDocument/2006/relationships/hyperlink" Target="https://drive.google.com/drive/folders/10T2cTQHqEJZqE-st6uFKPoI?usp=share_link" TargetMode="External"/><Relationship Id="rId5746" Type="http://schemas.openxmlformats.org/officeDocument/2006/relationships/hyperlink" Target="https://drive.google.com/drive/folders/10T2cTQHqEJZqE-st6uFKPoI?usp=share_link" TargetMode="External"/><Relationship Id="rId4419" Type="http://schemas.openxmlformats.org/officeDocument/2006/relationships/hyperlink" Target="https://drive.google.com/drive/folders/10T2cTQHqEJZqE-st6uFKPoI?usp=share_link" TargetMode="External"/><Relationship Id="rId4418" Type="http://schemas.openxmlformats.org/officeDocument/2006/relationships/hyperlink" Target="https://drive.google.com/drive/folders/10T2cTQHqEJZqE-st6uFKPoI?usp=share_link" TargetMode="External"/><Relationship Id="rId5749" Type="http://schemas.openxmlformats.org/officeDocument/2006/relationships/hyperlink" Target="https://drive.google.com/drive/folders/10T2cTQHqEJZqE-st6uFKPoI?usp=share_link" TargetMode="External"/><Relationship Id="rId799" Type="http://schemas.openxmlformats.org/officeDocument/2006/relationships/hyperlink" Target="https://drive.google.com/drive/folders/10T2cTQHqEJZqE-st6uFKPoI?usp=share_link" TargetMode="External"/><Relationship Id="rId798" Type="http://schemas.openxmlformats.org/officeDocument/2006/relationships/hyperlink" Target="https://drive.google.com/drive/folders/10T2cTQHqEJZqE-st6uFKPoI?usp=share_link" TargetMode="External"/><Relationship Id="rId797" Type="http://schemas.openxmlformats.org/officeDocument/2006/relationships/hyperlink" Target="https://drive.google.com/drive/folders/10T2cTQHqEJZqE-st6uFKPoI?usp=share_link" TargetMode="External"/><Relationship Id="rId1380" Type="http://schemas.openxmlformats.org/officeDocument/2006/relationships/hyperlink" Target="https://drive.google.com/drive/folders/10T2cTQHqEJZqE-st6uFKPoI?usp=share_link" TargetMode="External"/><Relationship Id="rId792" Type="http://schemas.openxmlformats.org/officeDocument/2006/relationships/hyperlink" Target="https://drive.google.com/drive/folders/10T2cTQHqEJZqE-st6uFKPoI?usp=share_link" TargetMode="External"/><Relationship Id="rId1381" Type="http://schemas.openxmlformats.org/officeDocument/2006/relationships/hyperlink" Target="https://drive.google.com/drive/folders/10T2cTQHqEJZqE-st6uFKPoI?usp=share_link" TargetMode="External"/><Relationship Id="rId791" Type="http://schemas.openxmlformats.org/officeDocument/2006/relationships/hyperlink" Target="https://drive.google.com/drive/folders/10T2cTQHqEJZqE-st6uFKPoI?usp=share_link" TargetMode="External"/><Relationship Id="rId1382" Type="http://schemas.openxmlformats.org/officeDocument/2006/relationships/hyperlink" Target="https://drive.google.com/drive/folders/10T2cTQHqEJZqE-st6uFKPoI?usp=share_link" TargetMode="External"/><Relationship Id="rId5740" Type="http://schemas.openxmlformats.org/officeDocument/2006/relationships/hyperlink" Target="https://drive.google.com/drive/folders/10T2cTQHqEJZqE-st6uFKPoI?usp=share_link" TargetMode="External"/><Relationship Id="rId790" Type="http://schemas.openxmlformats.org/officeDocument/2006/relationships/hyperlink" Target="https://drive.google.com/drive/folders/10T2cTQHqEJZqE-st6uFKPoI?usp=share_link" TargetMode="External"/><Relationship Id="rId1383" Type="http://schemas.openxmlformats.org/officeDocument/2006/relationships/hyperlink" Target="https://drive.google.com/drive/folders/10T2cTQHqEJZqE-st6uFKPoI?usp=share_link" TargetMode="External"/><Relationship Id="rId1384" Type="http://schemas.openxmlformats.org/officeDocument/2006/relationships/hyperlink" Target="https://drive.google.com/drive/folders/10T2cTQHqEJZqE-st6uFKPoI?usp=share_link" TargetMode="External"/><Relationship Id="rId796" Type="http://schemas.openxmlformats.org/officeDocument/2006/relationships/hyperlink" Target="https://drive.google.com/drive/folders/10T2cTQHqEJZqE-st6uFKPoI?usp=share_link" TargetMode="External"/><Relationship Id="rId1385" Type="http://schemas.openxmlformats.org/officeDocument/2006/relationships/hyperlink" Target="https://drive.google.com/drive/folders/10T2cTQHqEJZqE-st6uFKPoI?usp=share_link" TargetMode="External"/><Relationship Id="rId4411" Type="http://schemas.openxmlformats.org/officeDocument/2006/relationships/hyperlink" Target="https://drive.google.com/drive/folders/10T2cTQHqEJZqE-st6uFKPoI?usp=share_link" TargetMode="External"/><Relationship Id="rId5743" Type="http://schemas.openxmlformats.org/officeDocument/2006/relationships/hyperlink" Target="https://drive.google.com/drive/folders/10T2cTQHqEJZqE-st6uFKPoI?usp=share_link" TargetMode="External"/><Relationship Id="rId795" Type="http://schemas.openxmlformats.org/officeDocument/2006/relationships/hyperlink" Target="https://drive.google.com/drive/folders/10T2cTQHqEJZqE-st6uFKPoI?usp=share_link" TargetMode="External"/><Relationship Id="rId1386" Type="http://schemas.openxmlformats.org/officeDocument/2006/relationships/hyperlink" Target="https://drive.google.com/drive/folders/10T2cTQHqEJZqE-st6uFKPoI?usp=share_link" TargetMode="External"/><Relationship Id="rId4410" Type="http://schemas.openxmlformats.org/officeDocument/2006/relationships/hyperlink" Target="https://drive.google.com/drive/folders/10T2cTQHqEJZqE-st6uFKPoI?usp=share_link" TargetMode="External"/><Relationship Id="rId5744" Type="http://schemas.openxmlformats.org/officeDocument/2006/relationships/hyperlink" Target="https://drive.google.com/drive/folders/10T2cTQHqEJZqE-st6uFKPoI?usp=share_link" TargetMode="External"/><Relationship Id="rId794" Type="http://schemas.openxmlformats.org/officeDocument/2006/relationships/hyperlink" Target="https://drive.google.com/drive/folders/10T2cTQHqEJZqE-st6uFKPoI?usp=share_link" TargetMode="External"/><Relationship Id="rId1387" Type="http://schemas.openxmlformats.org/officeDocument/2006/relationships/hyperlink" Target="https://drive.google.com/drive/folders/10T2cTQHqEJZqE-st6uFKPoI?usp=share_link" TargetMode="External"/><Relationship Id="rId4413" Type="http://schemas.openxmlformats.org/officeDocument/2006/relationships/hyperlink" Target="https://drive.google.com/drive/folders/10T2cTQHqEJZqE-st6uFKPoI?usp=share_link" TargetMode="External"/><Relationship Id="rId5741" Type="http://schemas.openxmlformats.org/officeDocument/2006/relationships/hyperlink" Target="https://drive.google.com/drive/folders/10T2cTQHqEJZqE-st6uFKPoI?usp=share_link" TargetMode="External"/><Relationship Id="rId793" Type="http://schemas.openxmlformats.org/officeDocument/2006/relationships/hyperlink" Target="https://drive.google.com/drive/folders/10T2cTQHqEJZqE-st6uFKPoI?usp=share_link" TargetMode="External"/><Relationship Id="rId1388" Type="http://schemas.openxmlformats.org/officeDocument/2006/relationships/hyperlink" Target="https://drive.google.com/drive/folders/10T2cTQHqEJZqE-st6uFKPoI?usp=share_link" TargetMode="External"/><Relationship Id="rId4412" Type="http://schemas.openxmlformats.org/officeDocument/2006/relationships/hyperlink" Target="https://drive.google.com/drive/folders/10T2cTQHqEJZqE-st6uFKPoI?usp=share_link" TargetMode="External"/><Relationship Id="rId5742" Type="http://schemas.openxmlformats.org/officeDocument/2006/relationships/hyperlink" Target="https://drive.google.com/drive/folders/10T2cTQHqEJZqE-st6uFKPoI?usp=share_link" TargetMode="External"/><Relationship Id="rId3191" Type="http://schemas.openxmlformats.org/officeDocument/2006/relationships/hyperlink" Target="https://drive.google.com/drive/folders/10T2cTQHqEJZqE-st6uFKPoI?usp=share_link" TargetMode="External"/><Relationship Id="rId3190" Type="http://schemas.openxmlformats.org/officeDocument/2006/relationships/hyperlink" Target="https://drive.google.com/drive/folders/10T2cTQHqEJZqE-st6uFKPoI?usp=share_link" TargetMode="External"/><Relationship Id="rId3193" Type="http://schemas.openxmlformats.org/officeDocument/2006/relationships/hyperlink" Target="https://drive.google.com/drive/folders/10T2cTQHqEJZqE-st6uFKPoI?usp=share_link" TargetMode="External"/><Relationship Id="rId3192" Type="http://schemas.openxmlformats.org/officeDocument/2006/relationships/hyperlink" Target="https://drive.google.com/drive/folders/10T2cTQHqEJZqE-st6uFKPoI?usp=share_link" TargetMode="External"/><Relationship Id="rId3195" Type="http://schemas.openxmlformats.org/officeDocument/2006/relationships/hyperlink" Target="https://drive.google.com/drive/folders/10T2cTQHqEJZqE-st6uFKPoI?usp=share_link" TargetMode="External"/><Relationship Id="rId3194" Type="http://schemas.openxmlformats.org/officeDocument/2006/relationships/hyperlink" Target="https://drive.google.com/drive/folders/10T2cTQHqEJZqE-st6uFKPoI?usp=share_link" TargetMode="External"/><Relationship Id="rId3197" Type="http://schemas.openxmlformats.org/officeDocument/2006/relationships/hyperlink" Target="https://drive.google.com/drive/folders/10T2cTQHqEJZqE-st6uFKPoI?usp=share_link" TargetMode="External"/><Relationship Id="rId3196" Type="http://schemas.openxmlformats.org/officeDocument/2006/relationships/hyperlink" Target="https://drive.google.com/drive/folders/10T2cTQHqEJZqE-st6uFKPoI?usp=share_link" TargetMode="External"/><Relationship Id="rId3199" Type="http://schemas.openxmlformats.org/officeDocument/2006/relationships/hyperlink" Target="https://drive.google.com/drive/folders/10T2cTQHqEJZqE-st6uFKPoI?usp=share_link" TargetMode="External"/><Relationship Id="rId3198" Type="http://schemas.openxmlformats.org/officeDocument/2006/relationships/hyperlink" Target="https://drive.google.com/drive/folders/10T2cTQHqEJZqE-st6uFKPoI?usp=share_link" TargetMode="External"/><Relationship Id="rId3180" Type="http://schemas.openxmlformats.org/officeDocument/2006/relationships/hyperlink" Target="https://drive.google.com/drive/folders/10T2cTQHqEJZqE-st6uFKPoI?usp=share_link" TargetMode="External"/><Relationship Id="rId3182" Type="http://schemas.openxmlformats.org/officeDocument/2006/relationships/hyperlink" Target="https://drive.google.com/drive/folders/10T2cTQHqEJZqE-st6uFKPoI?usp=share_link" TargetMode="External"/><Relationship Id="rId3181" Type="http://schemas.openxmlformats.org/officeDocument/2006/relationships/hyperlink" Target="https://drive.google.com/drive/folders/10T2cTQHqEJZqE-st6uFKPoI?usp=share_link" TargetMode="External"/><Relationship Id="rId3184" Type="http://schemas.openxmlformats.org/officeDocument/2006/relationships/hyperlink" Target="https://drive.google.com/drive/folders/10T2cTQHqEJZqE-st6uFKPoI?usp=share_link" TargetMode="External"/><Relationship Id="rId3183" Type="http://schemas.openxmlformats.org/officeDocument/2006/relationships/hyperlink" Target="https://drive.google.com/drive/folders/10T2cTQHqEJZqE-st6uFKPoI?usp=share_link" TargetMode="External"/><Relationship Id="rId3186" Type="http://schemas.openxmlformats.org/officeDocument/2006/relationships/hyperlink" Target="https://drive.google.com/drive/folders/10T2cTQHqEJZqE-st6uFKPoI?usp=share_link" TargetMode="External"/><Relationship Id="rId3185" Type="http://schemas.openxmlformats.org/officeDocument/2006/relationships/hyperlink" Target="https://drive.google.com/drive/folders/10T2cTQHqEJZqE-st6uFKPoI?usp=share_link" TargetMode="External"/><Relationship Id="rId3188" Type="http://schemas.openxmlformats.org/officeDocument/2006/relationships/hyperlink" Target="https://drive.google.com/drive/folders/10T2cTQHqEJZqE-st6uFKPoI?usp=share_link" TargetMode="External"/><Relationship Id="rId3187" Type="http://schemas.openxmlformats.org/officeDocument/2006/relationships/hyperlink" Target="https://drive.google.com/drive/folders/10T2cTQHqEJZqE-st6uFKPoI?usp=share_link" TargetMode="External"/><Relationship Id="rId3189" Type="http://schemas.openxmlformats.org/officeDocument/2006/relationships/hyperlink" Target="https://drive.google.com/drive/folders/10T2cTQHqEJZqE-st6uFKPoI?usp=share_link" TargetMode="External"/><Relationship Id="rId4480" Type="http://schemas.openxmlformats.org/officeDocument/2006/relationships/hyperlink" Target="https://drive.google.com/drive/folders/10T2cTQHqEJZqE-st6uFKPoI?usp=share_link" TargetMode="External"/><Relationship Id="rId3151" Type="http://schemas.openxmlformats.org/officeDocument/2006/relationships/hyperlink" Target="https://drive.google.com/drive/folders/10T2cTQHqEJZqE-st6uFKPoI?usp=share_link" TargetMode="External"/><Relationship Id="rId4482" Type="http://schemas.openxmlformats.org/officeDocument/2006/relationships/hyperlink" Target="https://drive.google.com/drive/folders/10T2cTQHqEJZqE-st6uFKPoI?usp=share_link" TargetMode="External"/><Relationship Id="rId3150" Type="http://schemas.openxmlformats.org/officeDocument/2006/relationships/hyperlink" Target="https://drive.google.com/drive/folders/10T2cTQHqEJZqE-st6uFKPoI?usp=share_link" TargetMode="External"/><Relationship Id="rId4481" Type="http://schemas.openxmlformats.org/officeDocument/2006/relationships/hyperlink" Target="https://drive.google.com/drive/folders/10T2cTQHqEJZqE-st6uFKPoI?usp=share_link" TargetMode="External"/><Relationship Id="rId3153" Type="http://schemas.openxmlformats.org/officeDocument/2006/relationships/hyperlink" Target="https://drive.google.com/drive/folders/10T2cTQHqEJZqE-st6uFKPoI?usp=share_link" TargetMode="External"/><Relationship Id="rId4484" Type="http://schemas.openxmlformats.org/officeDocument/2006/relationships/hyperlink" Target="https://drive.google.com/drive/folders/10T2cTQHqEJZqE-st6uFKPoI?usp=share_link" TargetMode="External"/><Relationship Id="rId3152" Type="http://schemas.openxmlformats.org/officeDocument/2006/relationships/hyperlink" Target="https://drive.google.com/drive/folders/10T2cTQHqEJZqE-st6uFKPoI?usp=share_link" TargetMode="External"/><Relationship Id="rId4483" Type="http://schemas.openxmlformats.org/officeDocument/2006/relationships/hyperlink" Target="https://drive.google.com/drive/folders/10T2cTQHqEJZqE-st6uFKPoI?usp=share_link" TargetMode="External"/><Relationship Id="rId3155" Type="http://schemas.openxmlformats.org/officeDocument/2006/relationships/hyperlink" Target="https://drive.google.com/drive/folders/10T2cTQHqEJZqE-st6uFKPoI?usp=share_link" TargetMode="External"/><Relationship Id="rId4486" Type="http://schemas.openxmlformats.org/officeDocument/2006/relationships/hyperlink" Target="https://drive.google.com/drive/folders/10T2cTQHqEJZqE-st6uFKPoI?usp=share_link" TargetMode="External"/><Relationship Id="rId3154" Type="http://schemas.openxmlformats.org/officeDocument/2006/relationships/hyperlink" Target="https://drive.google.com/drive/folders/10T2cTQHqEJZqE-st6uFKPoI?usp=share_link" TargetMode="External"/><Relationship Id="rId4485" Type="http://schemas.openxmlformats.org/officeDocument/2006/relationships/hyperlink" Target="https://drive.google.com/drive/folders/10T2cTQHqEJZqE-st6uFKPoI?usp=share_link" TargetMode="External"/><Relationship Id="rId3157" Type="http://schemas.openxmlformats.org/officeDocument/2006/relationships/hyperlink" Target="https://drive.google.com/drive/folders/10T2cTQHqEJZqE-st6uFKPoI?usp=share_link" TargetMode="External"/><Relationship Id="rId4488" Type="http://schemas.openxmlformats.org/officeDocument/2006/relationships/hyperlink" Target="https://drive.google.com/drive/folders/10T2cTQHqEJZqE-st6uFKPoI?usp=share_link" TargetMode="External"/><Relationship Id="rId3156" Type="http://schemas.openxmlformats.org/officeDocument/2006/relationships/hyperlink" Target="https://drive.google.com/drive/folders/10T2cTQHqEJZqE-st6uFKPoI?usp=share_link" TargetMode="External"/><Relationship Id="rId4487" Type="http://schemas.openxmlformats.org/officeDocument/2006/relationships/hyperlink" Target="https://drive.google.com/drive/folders/10T2cTQHqEJZqE-st6uFKPoI?usp=share_link" TargetMode="External"/><Relationship Id="rId3159" Type="http://schemas.openxmlformats.org/officeDocument/2006/relationships/hyperlink" Target="https://drive.google.com/drive/folders/10T2cTQHqEJZqE-st6uFKPoI?usp=share_link" TargetMode="External"/><Relationship Id="rId3158" Type="http://schemas.openxmlformats.org/officeDocument/2006/relationships/hyperlink" Target="https://drive.google.com/drive/folders/10T2cTQHqEJZqE-st6uFKPoI?usp=share_link" TargetMode="External"/><Relationship Id="rId4489" Type="http://schemas.openxmlformats.org/officeDocument/2006/relationships/hyperlink" Target="https://drive.google.com/drive/folders/10T2cTQHqEJZqE-st6uFKPoI?usp=share_link" TargetMode="External"/><Relationship Id="rId3149" Type="http://schemas.openxmlformats.org/officeDocument/2006/relationships/hyperlink" Target="https://drive.google.com/drive/folders/10T2cTQHqEJZqE-st6uFKPoI?usp=share_link" TargetMode="External"/><Relationship Id="rId3140" Type="http://schemas.openxmlformats.org/officeDocument/2006/relationships/hyperlink" Target="https://drive.google.com/drive/folders/10T2cTQHqEJZqE-st6uFKPoI?usp=share_link" TargetMode="External"/><Relationship Id="rId4471" Type="http://schemas.openxmlformats.org/officeDocument/2006/relationships/hyperlink" Target="https://drive.google.com/drive/folders/10T2cTQHqEJZqE-st6uFKPoI?usp=share_link" TargetMode="External"/><Relationship Id="rId4470" Type="http://schemas.openxmlformats.org/officeDocument/2006/relationships/hyperlink" Target="https://drive.google.com/drive/folders/10T2cTQHqEJZqE-st6uFKPoI?usp=share_link" TargetMode="External"/><Relationship Id="rId3142" Type="http://schemas.openxmlformats.org/officeDocument/2006/relationships/hyperlink" Target="https://drive.google.com/drive/folders/10T2cTQHqEJZqE-st6uFKPoI?usp=share_link" TargetMode="External"/><Relationship Id="rId4473" Type="http://schemas.openxmlformats.org/officeDocument/2006/relationships/hyperlink" Target="https://drive.google.com/drive/folders/10T2cTQHqEJZqE-st6uFKPoI?usp=share_link" TargetMode="External"/><Relationship Id="rId3141" Type="http://schemas.openxmlformats.org/officeDocument/2006/relationships/hyperlink" Target="https://drive.google.com/drive/folders/10T2cTQHqEJZqE-st6uFKPoI?usp=share_link" TargetMode="External"/><Relationship Id="rId4472" Type="http://schemas.openxmlformats.org/officeDocument/2006/relationships/hyperlink" Target="https://drive.google.com/drive/folders/10T2cTQHqEJZqE-st6uFKPoI?usp=share_link" TargetMode="External"/><Relationship Id="rId3144" Type="http://schemas.openxmlformats.org/officeDocument/2006/relationships/hyperlink" Target="https://drive.google.com/drive/folders/10T2cTQHqEJZqE-st6uFKPoI?usp=share_link" TargetMode="External"/><Relationship Id="rId4475" Type="http://schemas.openxmlformats.org/officeDocument/2006/relationships/hyperlink" Target="https://drive.google.com/drive/folders/10T2cTQHqEJZqE-st6uFKPoI?usp=share_link" TargetMode="External"/><Relationship Id="rId3143" Type="http://schemas.openxmlformats.org/officeDocument/2006/relationships/hyperlink" Target="https://drive.google.com/drive/folders/10T2cTQHqEJZqE-st6uFKPoI?usp=share_link" TargetMode="External"/><Relationship Id="rId4474" Type="http://schemas.openxmlformats.org/officeDocument/2006/relationships/hyperlink" Target="https://drive.google.com/drive/folders/10T2cTQHqEJZqE-st6uFKPoI?usp=share_link" TargetMode="External"/><Relationship Id="rId3146" Type="http://schemas.openxmlformats.org/officeDocument/2006/relationships/hyperlink" Target="https://drive.google.com/drive/folders/10T2cTQHqEJZqE-st6uFKPoI?usp=share_link" TargetMode="External"/><Relationship Id="rId4477" Type="http://schemas.openxmlformats.org/officeDocument/2006/relationships/hyperlink" Target="https://drive.google.com/drive/folders/10T2cTQHqEJZqE-st6uFKPoI?usp=share_link" TargetMode="External"/><Relationship Id="rId3145" Type="http://schemas.openxmlformats.org/officeDocument/2006/relationships/hyperlink" Target="https://drive.google.com/drive/folders/10T2cTQHqEJZqE-st6uFKPoI?usp=share_link" TargetMode="External"/><Relationship Id="rId4476" Type="http://schemas.openxmlformats.org/officeDocument/2006/relationships/hyperlink" Target="https://drive.google.com/drive/folders/10T2cTQHqEJZqE-st6uFKPoI?usp=share_link" TargetMode="External"/><Relationship Id="rId3148" Type="http://schemas.openxmlformats.org/officeDocument/2006/relationships/hyperlink" Target="https://drive.google.com/drive/folders/10T2cTQHqEJZqE-st6uFKPoI?usp=share_link" TargetMode="External"/><Relationship Id="rId4479" Type="http://schemas.openxmlformats.org/officeDocument/2006/relationships/hyperlink" Target="https://drive.google.com/drive/folders/10T2cTQHqEJZqE-st6uFKPoI?usp=share_link" TargetMode="External"/><Relationship Id="rId3147" Type="http://schemas.openxmlformats.org/officeDocument/2006/relationships/hyperlink" Target="https://drive.google.com/drive/folders/10T2cTQHqEJZqE-st6uFKPoI?usp=share_link" TargetMode="External"/><Relationship Id="rId4478" Type="http://schemas.openxmlformats.org/officeDocument/2006/relationships/hyperlink" Target="https://drive.google.com/drive/folders/10T2cTQHqEJZqE-st6uFKPoI?usp=share_link" TargetMode="External"/><Relationship Id="rId3171" Type="http://schemas.openxmlformats.org/officeDocument/2006/relationships/hyperlink" Target="https://drive.google.com/drive/folders/10T2cTQHqEJZqE-st6uFKPoI?usp=share_link" TargetMode="External"/><Relationship Id="rId3170" Type="http://schemas.openxmlformats.org/officeDocument/2006/relationships/hyperlink" Target="https://drive.google.com/drive/folders/10T2cTQHqEJZqE-st6uFKPoI?usp=share_link" TargetMode="External"/><Relationship Id="rId3173" Type="http://schemas.openxmlformats.org/officeDocument/2006/relationships/hyperlink" Target="https://drive.google.com/drive/folders/10T2cTQHqEJZqE-st6uFKPoI?usp=share_link" TargetMode="External"/><Relationship Id="rId3172" Type="http://schemas.openxmlformats.org/officeDocument/2006/relationships/hyperlink" Target="https://drive.google.com/drive/folders/10T2cTQHqEJZqE-st6uFKPoI?usp=share_link" TargetMode="External"/><Relationship Id="rId3175" Type="http://schemas.openxmlformats.org/officeDocument/2006/relationships/hyperlink" Target="https://drive.google.com/drive/folders/10T2cTQHqEJZqE-st6uFKPoI?usp=share_link" TargetMode="External"/><Relationship Id="rId3174" Type="http://schemas.openxmlformats.org/officeDocument/2006/relationships/hyperlink" Target="https://drive.google.com/drive/folders/10T2cTQHqEJZqE-st6uFKPoI?usp=share_link" TargetMode="External"/><Relationship Id="rId3177" Type="http://schemas.openxmlformats.org/officeDocument/2006/relationships/hyperlink" Target="https://drive.google.com/drive/folders/10T2cTQHqEJZqE-st6uFKPoI?usp=share_link" TargetMode="External"/><Relationship Id="rId3176" Type="http://schemas.openxmlformats.org/officeDocument/2006/relationships/hyperlink" Target="https://drive.google.com/drive/folders/10T2cTQHqEJZqE-st6uFKPoI?usp=share_link" TargetMode="External"/><Relationship Id="rId3179" Type="http://schemas.openxmlformats.org/officeDocument/2006/relationships/hyperlink" Target="https://drive.google.com/drive/folders/10T2cTQHqEJZqE-st6uFKPoI?usp=share_link" TargetMode="External"/><Relationship Id="rId3178" Type="http://schemas.openxmlformats.org/officeDocument/2006/relationships/hyperlink" Target="https://drive.google.com/drive/folders/10T2cTQHqEJZqE-st6uFKPoI?usp=share_link" TargetMode="External"/><Relationship Id="rId3160" Type="http://schemas.openxmlformats.org/officeDocument/2006/relationships/hyperlink" Target="https://drive.google.com/drive/folders/10T2cTQHqEJZqE-st6uFKPoI?usp=share_link" TargetMode="External"/><Relationship Id="rId4491" Type="http://schemas.openxmlformats.org/officeDocument/2006/relationships/hyperlink" Target="https://drive.google.com/drive/folders/10T2cTQHqEJZqE-st6uFKPoI?usp=share_link" TargetMode="External"/><Relationship Id="rId4490" Type="http://schemas.openxmlformats.org/officeDocument/2006/relationships/hyperlink" Target="https://drive.google.com/drive/folders/10T2cTQHqEJZqE-st6uFKPoI?usp=share_link" TargetMode="External"/><Relationship Id="rId3162" Type="http://schemas.openxmlformats.org/officeDocument/2006/relationships/hyperlink" Target="https://drive.google.com/drive/folders/10T2cTQHqEJZqE-st6uFKPoI?usp=share_link" TargetMode="External"/><Relationship Id="rId4493" Type="http://schemas.openxmlformats.org/officeDocument/2006/relationships/hyperlink" Target="https://drive.google.com/drive/folders/10T2cTQHqEJZqE-st6uFKPoI?usp=share_link" TargetMode="External"/><Relationship Id="rId3161" Type="http://schemas.openxmlformats.org/officeDocument/2006/relationships/hyperlink" Target="https://drive.google.com/drive/folders/10T2cTQHqEJZqE-st6uFKPoI?usp=share_link" TargetMode="External"/><Relationship Id="rId4492" Type="http://schemas.openxmlformats.org/officeDocument/2006/relationships/hyperlink" Target="https://drive.google.com/drive/folders/10T2cTQHqEJZqE-st6uFKPoI?usp=share_link" TargetMode="External"/><Relationship Id="rId3164" Type="http://schemas.openxmlformats.org/officeDocument/2006/relationships/hyperlink" Target="https://drive.google.com/drive/folders/10T2cTQHqEJZqE-st6uFKPoI?usp=share_link" TargetMode="External"/><Relationship Id="rId4495" Type="http://schemas.openxmlformats.org/officeDocument/2006/relationships/hyperlink" Target="https://drive.google.com/drive/folders/10T2cTQHqEJZqE-st6uFKPoI?usp=share_link" TargetMode="External"/><Relationship Id="rId3163" Type="http://schemas.openxmlformats.org/officeDocument/2006/relationships/hyperlink" Target="https://drive.google.com/drive/folders/10T2cTQHqEJZqE-st6uFKPoI?usp=share_link" TargetMode="External"/><Relationship Id="rId4494" Type="http://schemas.openxmlformats.org/officeDocument/2006/relationships/hyperlink" Target="https://drive.google.com/drive/folders/10T2cTQHqEJZqE-st6uFKPoI?usp=share_link" TargetMode="External"/><Relationship Id="rId3166" Type="http://schemas.openxmlformats.org/officeDocument/2006/relationships/hyperlink" Target="https://drive.google.com/drive/folders/10T2cTQHqEJZqE-st6uFKPoI?usp=share_link" TargetMode="External"/><Relationship Id="rId4497" Type="http://schemas.openxmlformats.org/officeDocument/2006/relationships/hyperlink" Target="https://drive.google.com/drive/folders/10T2cTQHqEJZqE-st6uFKPoI?usp=share_link" TargetMode="External"/><Relationship Id="rId3165" Type="http://schemas.openxmlformats.org/officeDocument/2006/relationships/hyperlink" Target="https://drive.google.com/drive/folders/10T2cTQHqEJZqE-st6uFKPoI?usp=share_link" TargetMode="External"/><Relationship Id="rId4496" Type="http://schemas.openxmlformats.org/officeDocument/2006/relationships/hyperlink" Target="https://drive.google.com/drive/folders/10T2cTQHqEJZqE-st6uFKPoI?usp=share_link" TargetMode="External"/><Relationship Id="rId3168" Type="http://schemas.openxmlformats.org/officeDocument/2006/relationships/hyperlink" Target="https://drive.google.com/drive/folders/10T2cTQHqEJZqE-st6uFKPoI?usp=share_link" TargetMode="External"/><Relationship Id="rId4499" Type="http://schemas.openxmlformats.org/officeDocument/2006/relationships/hyperlink" Target="https://drive.google.com/drive/folders/10T2cTQHqEJZqE-st6uFKPoI?usp=share_link" TargetMode="External"/><Relationship Id="rId3167" Type="http://schemas.openxmlformats.org/officeDocument/2006/relationships/hyperlink" Target="https://drive.google.com/drive/folders/10T2cTQHqEJZqE-st6uFKPoI?usp=share_link" TargetMode="External"/><Relationship Id="rId4498" Type="http://schemas.openxmlformats.org/officeDocument/2006/relationships/hyperlink" Target="https://drive.google.com/drive/folders/10T2cTQHqEJZqE-st6uFKPoI?usp=share_link" TargetMode="External"/><Relationship Id="rId3169" Type="http://schemas.openxmlformats.org/officeDocument/2006/relationships/hyperlink" Target="https://drive.google.com/drive/folders/10T2cTQHqEJZqE-st6uFKPoI?usp=share_link" TargetMode="External"/><Relationship Id="rId2700" Type="http://schemas.openxmlformats.org/officeDocument/2006/relationships/hyperlink" Target="https://drive.google.com/drive/folders/10T2cTQHqEJZqE-st6uFKPoI?usp=share_link" TargetMode="External"/><Relationship Id="rId2701" Type="http://schemas.openxmlformats.org/officeDocument/2006/relationships/hyperlink" Target="https://drive.google.com/drive/folders/10T2cTQHqEJZqE-st6uFKPoI?usp=share_link" TargetMode="External"/><Relationship Id="rId2702" Type="http://schemas.openxmlformats.org/officeDocument/2006/relationships/hyperlink" Target="https://drive.google.com/drive/folders/10T2cTQHqEJZqE-st6uFKPoI?usp=share_link" TargetMode="External"/><Relationship Id="rId2703" Type="http://schemas.openxmlformats.org/officeDocument/2006/relationships/hyperlink" Target="https://drive.google.com/drive/folders/10T2cTQHqEJZqE-st6uFKPoI?usp=share_link" TargetMode="External"/><Relationship Id="rId2704" Type="http://schemas.openxmlformats.org/officeDocument/2006/relationships/hyperlink" Target="https://drive.google.com/drive/folders/10T2cTQHqEJZqE-st6uFKPoI?usp=share_link" TargetMode="External"/><Relationship Id="rId2705" Type="http://schemas.openxmlformats.org/officeDocument/2006/relationships/hyperlink" Target="https://drive.google.com/drive/folders/10T2cTQHqEJZqE-st6uFKPoI?usp=share_link" TargetMode="External"/><Relationship Id="rId2706" Type="http://schemas.openxmlformats.org/officeDocument/2006/relationships/hyperlink" Target="https://drive.google.com/drive/folders/10T2cTQHqEJZqE-st6uFKPoI?usp=share_link" TargetMode="External"/><Relationship Id="rId2707" Type="http://schemas.openxmlformats.org/officeDocument/2006/relationships/hyperlink" Target="https://drive.google.com/drive/folders/10T2cTQHqEJZqE-st6uFKPoI?usp=share_link" TargetMode="External"/><Relationship Id="rId2708" Type="http://schemas.openxmlformats.org/officeDocument/2006/relationships/hyperlink" Target="https://drive.google.com/drive/folders/10T2cTQHqEJZqE-st6uFKPoI?usp=share_link" TargetMode="External"/><Relationship Id="rId2709" Type="http://schemas.openxmlformats.org/officeDocument/2006/relationships/hyperlink" Target="https://drive.google.com/drive/folders/10T2cTQHqEJZqE-st6uFKPoI?usp=share_link" TargetMode="External"/><Relationship Id="rId2720" Type="http://schemas.openxmlformats.org/officeDocument/2006/relationships/hyperlink" Target="https://drive.google.com/drive/folders/10T2cTQHqEJZqE-st6uFKPoI?usp=share_link" TargetMode="External"/><Relationship Id="rId2721" Type="http://schemas.openxmlformats.org/officeDocument/2006/relationships/hyperlink" Target="https://drive.google.com/drive/folders/10T2cTQHqEJZqE-st6uFKPoI?usp=share_link" TargetMode="External"/><Relationship Id="rId2722" Type="http://schemas.openxmlformats.org/officeDocument/2006/relationships/hyperlink" Target="https://drive.google.com/drive/folders/10T2cTQHqEJZqE-st6uFKPoI?usp=share_link" TargetMode="External"/><Relationship Id="rId2723" Type="http://schemas.openxmlformats.org/officeDocument/2006/relationships/hyperlink" Target="https://drive.google.com/drive/folders/10T2cTQHqEJZqE-st6uFKPoI?usp=share_link" TargetMode="External"/><Relationship Id="rId2724" Type="http://schemas.openxmlformats.org/officeDocument/2006/relationships/hyperlink" Target="https://drive.google.com/drive/folders/10T2cTQHqEJZqE-st6uFKPoI?usp=share_link" TargetMode="External"/><Relationship Id="rId2725" Type="http://schemas.openxmlformats.org/officeDocument/2006/relationships/hyperlink" Target="https://drive.google.com/drive/folders/10T2cTQHqEJZqE-st6uFKPoI?usp=share_link" TargetMode="External"/><Relationship Id="rId2726" Type="http://schemas.openxmlformats.org/officeDocument/2006/relationships/hyperlink" Target="https://drive.google.com/drive/folders/10T2cTQHqEJZqE-st6uFKPoI?usp=share_link" TargetMode="External"/><Relationship Id="rId2727" Type="http://schemas.openxmlformats.org/officeDocument/2006/relationships/hyperlink" Target="https://drive.google.com/drive/folders/10T2cTQHqEJZqE-st6uFKPoI?usp=share_link" TargetMode="External"/><Relationship Id="rId2728" Type="http://schemas.openxmlformats.org/officeDocument/2006/relationships/hyperlink" Target="https://drive.google.com/drive/folders/10T2cTQHqEJZqE-st6uFKPoI?usp=share_link" TargetMode="External"/><Relationship Id="rId2729" Type="http://schemas.openxmlformats.org/officeDocument/2006/relationships/hyperlink" Target="https://drive.google.com/drive/folders/10T2cTQHqEJZqE-st6uFKPoI?usp=share_link" TargetMode="External"/><Relationship Id="rId2710" Type="http://schemas.openxmlformats.org/officeDocument/2006/relationships/hyperlink" Target="https://drive.google.com/drive/folders/10T2cTQHqEJZqE-st6uFKPoI?usp=share_link" TargetMode="External"/><Relationship Id="rId2711" Type="http://schemas.openxmlformats.org/officeDocument/2006/relationships/hyperlink" Target="https://drive.google.com/drive/folders/10T2cTQHqEJZqE-st6uFKPoI?usp=share_link" TargetMode="External"/><Relationship Id="rId2712" Type="http://schemas.openxmlformats.org/officeDocument/2006/relationships/hyperlink" Target="https://drive.google.com/drive/folders/10T2cTQHqEJZqE-st6uFKPoI?usp=share_link" TargetMode="External"/><Relationship Id="rId2713" Type="http://schemas.openxmlformats.org/officeDocument/2006/relationships/hyperlink" Target="https://drive.google.com/drive/folders/10T2cTQHqEJZqE-st6uFKPoI?usp=share_link" TargetMode="External"/><Relationship Id="rId2714" Type="http://schemas.openxmlformats.org/officeDocument/2006/relationships/hyperlink" Target="https://drive.google.com/drive/folders/10T2cTQHqEJZqE-st6uFKPoI?usp=share_link" TargetMode="External"/><Relationship Id="rId2715" Type="http://schemas.openxmlformats.org/officeDocument/2006/relationships/hyperlink" Target="https://drive.google.com/drive/folders/10T2cTQHqEJZqE-st6uFKPoI?usp=share_link" TargetMode="External"/><Relationship Id="rId2716" Type="http://schemas.openxmlformats.org/officeDocument/2006/relationships/hyperlink" Target="https://drive.google.com/drive/folders/10T2cTQHqEJZqE-st6uFKPoI?usp=share_link" TargetMode="External"/><Relationship Id="rId2717" Type="http://schemas.openxmlformats.org/officeDocument/2006/relationships/hyperlink" Target="https://drive.google.com/drive/folders/10T2cTQHqEJZqE-st6uFKPoI?usp=share_link" TargetMode="External"/><Relationship Id="rId2718" Type="http://schemas.openxmlformats.org/officeDocument/2006/relationships/hyperlink" Target="https://drive.google.com/drive/folders/10T2cTQHqEJZqE-st6uFKPoI?usp=share_link" TargetMode="External"/><Relationship Id="rId2719" Type="http://schemas.openxmlformats.org/officeDocument/2006/relationships/hyperlink" Target="https://drive.google.com/drive/folders/10T2cTQHqEJZqE-st6uFKPoI?usp=share_link" TargetMode="External"/><Relationship Id="rId1455" Type="http://schemas.openxmlformats.org/officeDocument/2006/relationships/hyperlink" Target="https://drive.google.com/drive/folders/10T2cTQHqEJZqE-st6uFKPoI?usp=share_link" TargetMode="External"/><Relationship Id="rId2786" Type="http://schemas.openxmlformats.org/officeDocument/2006/relationships/hyperlink" Target="https://drive.google.com/drive/folders/10T2cTQHqEJZqE-st6uFKPoI?usp=share_link" TargetMode="External"/><Relationship Id="rId5813" Type="http://schemas.openxmlformats.org/officeDocument/2006/relationships/hyperlink" Target="https://drive.google.com/drive/folders/10T2cTQHqEJZqE-st6uFKPoI?usp=share_link" TargetMode="External"/><Relationship Id="rId1456" Type="http://schemas.openxmlformats.org/officeDocument/2006/relationships/hyperlink" Target="https://drive.google.com/drive/folders/10T2cTQHqEJZqE-st6uFKPoI?usp=share_link" TargetMode="External"/><Relationship Id="rId2787" Type="http://schemas.openxmlformats.org/officeDocument/2006/relationships/hyperlink" Target="https://drive.google.com/drive/folders/10T2cTQHqEJZqE-st6uFKPoI?usp=share_link" TargetMode="External"/><Relationship Id="rId5814" Type="http://schemas.openxmlformats.org/officeDocument/2006/relationships/hyperlink" Target="https://drive.google.com/drive/folders/10T2cTQHqEJZqE-st6uFKPoI?usp=share_link" TargetMode="External"/><Relationship Id="rId1457" Type="http://schemas.openxmlformats.org/officeDocument/2006/relationships/hyperlink" Target="https://drive.google.com/drive/folders/10T2cTQHqEJZqE-st6uFKPoI?usp=share_link" TargetMode="External"/><Relationship Id="rId2788" Type="http://schemas.openxmlformats.org/officeDocument/2006/relationships/hyperlink" Target="https://drive.google.com/drive/folders/10T2cTQHqEJZqE-st6uFKPoI?usp=share_link" TargetMode="External"/><Relationship Id="rId5811" Type="http://schemas.openxmlformats.org/officeDocument/2006/relationships/hyperlink" Target="https://drive.google.com/drive/folders/10T2cTQHqEJZqE-st6uFKPoI?usp=share_link" TargetMode="External"/><Relationship Id="rId1458" Type="http://schemas.openxmlformats.org/officeDocument/2006/relationships/hyperlink" Target="https://drive.google.com/drive/folders/10T2cTQHqEJZqE-st6uFKPoI?usp=share_link" TargetMode="External"/><Relationship Id="rId2789" Type="http://schemas.openxmlformats.org/officeDocument/2006/relationships/hyperlink" Target="https://drive.google.com/drive/folders/10T2cTQHqEJZqE-st6uFKPoI?usp=share_link" TargetMode="External"/><Relationship Id="rId5812" Type="http://schemas.openxmlformats.org/officeDocument/2006/relationships/hyperlink" Target="https://drive.google.com/drive/folders/10T2cTQHqEJZqE-st6uFKPoI?usp=share_link" TargetMode="External"/><Relationship Id="rId1459" Type="http://schemas.openxmlformats.org/officeDocument/2006/relationships/hyperlink" Target="https://drive.google.com/drive/folders/10T2cTQHqEJZqE-st6uFKPoI?usp=share_link" TargetMode="External"/><Relationship Id="rId5817" Type="http://schemas.openxmlformats.org/officeDocument/2006/relationships/hyperlink" Target="https://drive.google.com/drive/folders/10T2cTQHqEJZqE-st6uFKPoI?usp=share_link" TargetMode="External"/><Relationship Id="rId5818" Type="http://schemas.openxmlformats.org/officeDocument/2006/relationships/hyperlink" Target="https://drive.google.com/drive/folders/10T2cTQHqEJZqE-st6uFKPoI?usp=share_link" TargetMode="External"/><Relationship Id="rId5815" Type="http://schemas.openxmlformats.org/officeDocument/2006/relationships/hyperlink" Target="https://drive.google.com/drive/folders/10T2cTQHqEJZqE-st6uFKPoI?usp=share_link" TargetMode="External"/><Relationship Id="rId5816" Type="http://schemas.openxmlformats.org/officeDocument/2006/relationships/hyperlink" Target="https://drive.google.com/drive/folders/10T2cTQHqEJZqE-st6uFKPoI?usp=share_link" TargetMode="External"/><Relationship Id="rId5819" Type="http://schemas.openxmlformats.org/officeDocument/2006/relationships/hyperlink" Target="https://drive.google.com/drive/folders/10T2cTQHqEJZqE-st6uFKPoI?usp=share_link" TargetMode="External"/><Relationship Id="rId629" Type="http://schemas.openxmlformats.org/officeDocument/2006/relationships/hyperlink" Target="https://drive.google.com/drive/folders/10T2cTQHqEJZqE-st6uFKPoI?usp=share_link" TargetMode="External"/><Relationship Id="rId624" Type="http://schemas.openxmlformats.org/officeDocument/2006/relationships/hyperlink" Target="https://drive.google.com/drive/folders/10T2cTQHqEJZqE-st6uFKPoI?usp=share_link" TargetMode="External"/><Relationship Id="rId623" Type="http://schemas.openxmlformats.org/officeDocument/2006/relationships/hyperlink" Target="https://drive.google.com/drive/folders/10T2cTQHqEJZqE-st6uFKPoI?usp=share_link" TargetMode="External"/><Relationship Id="rId622" Type="http://schemas.openxmlformats.org/officeDocument/2006/relationships/hyperlink" Target="https://drive.google.com/drive/folders/10T2cTQHqEJZqE-st6uFKPoI?usp=share_link" TargetMode="External"/><Relationship Id="rId621" Type="http://schemas.openxmlformats.org/officeDocument/2006/relationships/hyperlink" Target="https://drive.google.com/drive/folders/10T2cTQHqEJZqE-st6uFKPoI?usp=share_link" TargetMode="External"/><Relationship Id="rId628" Type="http://schemas.openxmlformats.org/officeDocument/2006/relationships/hyperlink" Target="https://drive.google.com/drive/folders/10T2cTQHqEJZqE-st6uFKPoI?usp=share_link" TargetMode="External"/><Relationship Id="rId627" Type="http://schemas.openxmlformats.org/officeDocument/2006/relationships/hyperlink" Target="https://drive.google.com/drive/folders/10T2cTQHqEJZqE-st6uFKPoI?usp=share_link" TargetMode="External"/><Relationship Id="rId626" Type="http://schemas.openxmlformats.org/officeDocument/2006/relationships/hyperlink" Target="https://drive.google.com/drive/folders/10T2cTQHqEJZqE-st6uFKPoI?usp=share_link" TargetMode="External"/><Relationship Id="rId625" Type="http://schemas.openxmlformats.org/officeDocument/2006/relationships/hyperlink" Target="https://drive.google.com/drive/folders/10T2cTQHqEJZqE-st6uFKPoI?usp=share_link" TargetMode="External"/><Relationship Id="rId2780" Type="http://schemas.openxmlformats.org/officeDocument/2006/relationships/hyperlink" Target="https://drive.google.com/drive/folders/10T2cTQHqEJZqE-st6uFKPoI?usp=share_link" TargetMode="External"/><Relationship Id="rId1450" Type="http://schemas.openxmlformats.org/officeDocument/2006/relationships/hyperlink" Target="https://drive.google.com/drive/folders/10T2cTQHqEJZqE-st6uFKPoI?usp=share_link" TargetMode="External"/><Relationship Id="rId2781" Type="http://schemas.openxmlformats.org/officeDocument/2006/relationships/hyperlink" Target="https://drive.google.com/drive/folders/10T2cTQHqEJZqE-st6uFKPoI?usp=share_link" TargetMode="External"/><Relationship Id="rId620" Type="http://schemas.openxmlformats.org/officeDocument/2006/relationships/hyperlink" Target="https://drive.google.com/drive/folders/10T2cTQHqEJZqE-st6uFKPoI?usp=share_link" TargetMode="External"/><Relationship Id="rId1451" Type="http://schemas.openxmlformats.org/officeDocument/2006/relationships/hyperlink" Target="https://drive.google.com/drive/folders/10T2cTQHqEJZqE-st6uFKPoI?usp=share_link" TargetMode="External"/><Relationship Id="rId2782" Type="http://schemas.openxmlformats.org/officeDocument/2006/relationships/hyperlink" Target="https://drive.google.com/drive/folders/10T2cTQHqEJZqE-st6uFKPoI?usp=share_link" TargetMode="External"/><Relationship Id="rId1452" Type="http://schemas.openxmlformats.org/officeDocument/2006/relationships/hyperlink" Target="https://drive.google.com/drive/folders/10T2cTQHqEJZqE-st6uFKPoI?usp=share_link" TargetMode="External"/><Relationship Id="rId2783" Type="http://schemas.openxmlformats.org/officeDocument/2006/relationships/hyperlink" Target="https://drive.google.com/drive/folders/10T2cTQHqEJZqE-st6uFKPoI?usp=share_link" TargetMode="External"/><Relationship Id="rId5810" Type="http://schemas.openxmlformats.org/officeDocument/2006/relationships/hyperlink" Target="https://drive.google.com/drive/folders/10T2cTQHqEJZqE-st6uFKPoI?usp=share_link" TargetMode="External"/><Relationship Id="rId1453" Type="http://schemas.openxmlformats.org/officeDocument/2006/relationships/hyperlink" Target="https://drive.google.com/drive/folders/10T2cTQHqEJZqE-st6uFKPoI?usp=share_link" TargetMode="External"/><Relationship Id="rId2784" Type="http://schemas.openxmlformats.org/officeDocument/2006/relationships/hyperlink" Target="https://drive.google.com/drive/folders/10T2cTQHqEJZqE-st6uFKPoI?usp=share_link" TargetMode="External"/><Relationship Id="rId1454" Type="http://schemas.openxmlformats.org/officeDocument/2006/relationships/hyperlink" Target="https://drive.google.com/drive/folders/10T2cTQHqEJZqE-st6uFKPoI?usp=share_link" TargetMode="External"/><Relationship Id="rId2785" Type="http://schemas.openxmlformats.org/officeDocument/2006/relationships/hyperlink" Target="https://drive.google.com/drive/folders/10T2cTQHqEJZqE-st6uFKPoI?usp=share_link" TargetMode="External"/><Relationship Id="rId1444" Type="http://schemas.openxmlformats.org/officeDocument/2006/relationships/hyperlink" Target="https://drive.google.com/drive/folders/10T2cTQHqEJZqE-st6uFKPoI?usp=share_link" TargetMode="External"/><Relationship Id="rId2775" Type="http://schemas.openxmlformats.org/officeDocument/2006/relationships/hyperlink" Target="https://drive.google.com/drive/folders/10T2cTQHqEJZqE-st6uFKPoI?usp=share_link" TargetMode="External"/><Relationship Id="rId5802" Type="http://schemas.openxmlformats.org/officeDocument/2006/relationships/hyperlink" Target="https://drive.google.com/drive/folders/10T2cTQHqEJZqE-st6uFKPoI?usp=share_link" TargetMode="External"/><Relationship Id="rId1445" Type="http://schemas.openxmlformats.org/officeDocument/2006/relationships/hyperlink" Target="https://drive.google.com/drive/folders/10T2cTQHqEJZqE-st6uFKPoI?usp=share_link" TargetMode="External"/><Relationship Id="rId2776" Type="http://schemas.openxmlformats.org/officeDocument/2006/relationships/hyperlink" Target="https://drive.google.com/drive/folders/10T2cTQHqEJZqE-st6uFKPoI?usp=share_link" TargetMode="External"/><Relationship Id="rId5803" Type="http://schemas.openxmlformats.org/officeDocument/2006/relationships/hyperlink" Target="https://drive.google.com/drive/folders/10T2cTQHqEJZqE-st6uFKPoI?usp=share_link" TargetMode="External"/><Relationship Id="rId1446" Type="http://schemas.openxmlformats.org/officeDocument/2006/relationships/hyperlink" Target="https://drive.google.com/drive/folders/10T2cTQHqEJZqE-st6uFKPoI?usp=share_link" TargetMode="External"/><Relationship Id="rId2777" Type="http://schemas.openxmlformats.org/officeDocument/2006/relationships/hyperlink" Target="https://drive.google.com/drive/folders/10T2cTQHqEJZqE-st6uFKPoI?usp=share_link" TargetMode="External"/><Relationship Id="rId5800" Type="http://schemas.openxmlformats.org/officeDocument/2006/relationships/hyperlink" Target="https://drive.google.com/drive/folders/10T2cTQHqEJZqE-st6uFKPoI?usp=share_link" TargetMode="External"/><Relationship Id="rId1447" Type="http://schemas.openxmlformats.org/officeDocument/2006/relationships/hyperlink" Target="https://drive.google.com/drive/folders/10T2cTQHqEJZqE-st6uFKPoI?usp=share_link" TargetMode="External"/><Relationship Id="rId2778" Type="http://schemas.openxmlformats.org/officeDocument/2006/relationships/hyperlink" Target="https://drive.google.com/drive/folders/10T2cTQHqEJZqE-st6uFKPoI?usp=share_link" TargetMode="External"/><Relationship Id="rId5801" Type="http://schemas.openxmlformats.org/officeDocument/2006/relationships/hyperlink" Target="https://drive.google.com/drive/folders/10T2cTQHqEJZqE-st6uFKPoI?usp=share_link" TargetMode="External"/><Relationship Id="rId1448" Type="http://schemas.openxmlformats.org/officeDocument/2006/relationships/hyperlink" Target="https://drive.google.com/drive/folders/10T2cTQHqEJZqE-st6uFKPoI?usp=share_link" TargetMode="External"/><Relationship Id="rId2779" Type="http://schemas.openxmlformats.org/officeDocument/2006/relationships/hyperlink" Target="https://drive.google.com/drive/folders/10T2cTQHqEJZqE-st6uFKPoI?usp=share_link" TargetMode="External"/><Relationship Id="rId5806" Type="http://schemas.openxmlformats.org/officeDocument/2006/relationships/hyperlink" Target="https://drive.google.com/drive/folders/10T2cTQHqEJZqE-st6uFKPoI?usp=share_link" TargetMode="External"/><Relationship Id="rId1449" Type="http://schemas.openxmlformats.org/officeDocument/2006/relationships/hyperlink" Target="https://drive.google.com/drive/folders/10T2cTQHqEJZqE-st6uFKPoI?usp=share_link" TargetMode="External"/><Relationship Id="rId5807" Type="http://schemas.openxmlformats.org/officeDocument/2006/relationships/hyperlink" Target="https://drive.google.com/drive/folders/10T2cTQHqEJZqE-st6uFKPoI?usp=share_link" TargetMode="External"/><Relationship Id="rId5804" Type="http://schemas.openxmlformats.org/officeDocument/2006/relationships/hyperlink" Target="https://drive.google.com/drive/folders/10T2cTQHqEJZqE-st6uFKPoI?usp=share_link" TargetMode="External"/><Relationship Id="rId5805" Type="http://schemas.openxmlformats.org/officeDocument/2006/relationships/hyperlink" Target="https://drive.google.com/drive/folders/10T2cTQHqEJZqE-st6uFKPoI?usp=share_link" TargetMode="External"/><Relationship Id="rId619" Type="http://schemas.openxmlformats.org/officeDocument/2006/relationships/hyperlink" Target="https://drive.google.com/drive/folders/10T2cTQHqEJZqE-st6uFKPoI?usp=share_link" TargetMode="External"/><Relationship Id="rId5808" Type="http://schemas.openxmlformats.org/officeDocument/2006/relationships/hyperlink" Target="https://drive.google.com/drive/folders/10T2cTQHqEJZqE-st6uFKPoI?usp=share_link" TargetMode="External"/><Relationship Id="rId618" Type="http://schemas.openxmlformats.org/officeDocument/2006/relationships/hyperlink" Target="https://drive.google.com/drive/folders/10T2cTQHqEJZqE-st6uFKPoI?usp=share_link" TargetMode="External"/><Relationship Id="rId5809" Type="http://schemas.openxmlformats.org/officeDocument/2006/relationships/hyperlink" Target="https://drive.google.com/drive/folders/10T2cTQHqEJZqE-st6uFKPoI?usp=share_link" TargetMode="External"/><Relationship Id="rId613" Type="http://schemas.openxmlformats.org/officeDocument/2006/relationships/hyperlink" Target="https://drive.google.com/drive/folders/10T2cTQHqEJZqE-st6uFKPoI?usp=share_link" TargetMode="External"/><Relationship Id="rId612" Type="http://schemas.openxmlformats.org/officeDocument/2006/relationships/hyperlink" Target="https://drive.google.com/drive/folders/10T2cTQHqEJZqE-st6uFKPoI?usp=share_link" TargetMode="External"/><Relationship Id="rId611" Type="http://schemas.openxmlformats.org/officeDocument/2006/relationships/hyperlink" Target="https://drive.google.com/drive/folders/10T2cTQHqEJZqE-st6uFKPoI?usp=share_link" TargetMode="External"/><Relationship Id="rId610" Type="http://schemas.openxmlformats.org/officeDocument/2006/relationships/hyperlink" Target="https://drive.google.com/drive/folders/10T2cTQHqEJZqE-st6uFKPoI?usp=share_link" TargetMode="External"/><Relationship Id="rId617" Type="http://schemas.openxmlformats.org/officeDocument/2006/relationships/hyperlink" Target="https://drive.google.com/drive/folders/10T2cTQHqEJZqE-st6uFKPoI?usp=share_link" TargetMode="External"/><Relationship Id="rId616" Type="http://schemas.openxmlformats.org/officeDocument/2006/relationships/hyperlink" Target="https://drive.google.com/drive/folders/10T2cTQHqEJZqE-st6uFKPoI?usp=share_link" TargetMode="External"/><Relationship Id="rId615" Type="http://schemas.openxmlformats.org/officeDocument/2006/relationships/hyperlink" Target="https://drive.google.com/drive/folders/10T2cTQHqEJZqE-st6uFKPoI?usp=share_link" TargetMode="External"/><Relationship Id="rId614" Type="http://schemas.openxmlformats.org/officeDocument/2006/relationships/hyperlink" Target="https://drive.google.com/drive/folders/10T2cTQHqEJZqE-st6uFKPoI?usp=share_link" TargetMode="External"/><Relationship Id="rId2770" Type="http://schemas.openxmlformats.org/officeDocument/2006/relationships/hyperlink" Target="https://drive.google.com/drive/folders/10T2cTQHqEJZqE-st6uFKPoI?usp=share_link" TargetMode="External"/><Relationship Id="rId1440" Type="http://schemas.openxmlformats.org/officeDocument/2006/relationships/hyperlink" Target="https://drive.google.com/drive/folders/10T2cTQHqEJZqE-st6uFKPoI?usp=share_link" TargetMode="External"/><Relationship Id="rId2771" Type="http://schemas.openxmlformats.org/officeDocument/2006/relationships/hyperlink" Target="https://drive.google.com/drive/folders/10T2cTQHqEJZqE-st6uFKPoI?usp=share_link" TargetMode="External"/><Relationship Id="rId1441" Type="http://schemas.openxmlformats.org/officeDocument/2006/relationships/hyperlink" Target="https://drive.google.com/drive/folders/10T2cTQHqEJZqE-st6uFKPoI?usp=share_link" TargetMode="External"/><Relationship Id="rId2772" Type="http://schemas.openxmlformats.org/officeDocument/2006/relationships/hyperlink" Target="https://drive.google.com/drive/folders/10T2cTQHqEJZqE-st6uFKPoI?usp=share_link" TargetMode="External"/><Relationship Id="rId1442" Type="http://schemas.openxmlformats.org/officeDocument/2006/relationships/hyperlink" Target="https://drive.google.com/drive/folders/10T2cTQHqEJZqE-st6uFKPoI?usp=share_link" TargetMode="External"/><Relationship Id="rId2773" Type="http://schemas.openxmlformats.org/officeDocument/2006/relationships/hyperlink" Target="https://drive.google.com/drive/folders/10T2cTQHqEJZqE-st6uFKPoI?usp=share_link" TargetMode="External"/><Relationship Id="rId1443" Type="http://schemas.openxmlformats.org/officeDocument/2006/relationships/hyperlink" Target="https://drive.google.com/drive/folders/10T2cTQHqEJZqE-st6uFKPoI?usp=share_link" TargetMode="External"/><Relationship Id="rId2774" Type="http://schemas.openxmlformats.org/officeDocument/2006/relationships/hyperlink" Target="https://drive.google.com/drive/folders/10T2cTQHqEJZqE-st6uFKPoI?usp=share_link" TargetMode="External"/><Relationship Id="rId1477" Type="http://schemas.openxmlformats.org/officeDocument/2006/relationships/hyperlink" Target="https://drive.google.com/drive/folders/10T2cTQHqEJZqE-st6uFKPoI?usp=share_link" TargetMode="External"/><Relationship Id="rId4503" Type="http://schemas.openxmlformats.org/officeDocument/2006/relationships/hyperlink" Target="https://drive.google.com/drive/folders/10T2cTQHqEJZqE-st6uFKPoI?usp=share_link" TargetMode="External"/><Relationship Id="rId5835" Type="http://schemas.openxmlformats.org/officeDocument/2006/relationships/hyperlink" Target="https://drive.google.com/drive/folders/10T2cTQHqEJZqE-st6uFKPoI?usp=share_link" TargetMode="External"/><Relationship Id="rId1478" Type="http://schemas.openxmlformats.org/officeDocument/2006/relationships/hyperlink" Target="https://drive.google.com/drive/folders/10T2cTQHqEJZqE-st6uFKPoI?usp=share_link" TargetMode="External"/><Relationship Id="rId4502" Type="http://schemas.openxmlformats.org/officeDocument/2006/relationships/hyperlink" Target="https://drive.google.com/drive/folders/10T2cTQHqEJZqE-st6uFKPoI?usp=share_link" TargetMode="External"/><Relationship Id="rId5836" Type="http://schemas.openxmlformats.org/officeDocument/2006/relationships/hyperlink" Target="https://drive.google.com/drive/folders/10T2cTQHqEJZqE-st6uFKPoI?usp=share_link" TargetMode="External"/><Relationship Id="rId1479" Type="http://schemas.openxmlformats.org/officeDocument/2006/relationships/hyperlink" Target="https://drive.google.com/drive/folders/10T2cTQHqEJZqE-st6uFKPoI?usp=share_link" TargetMode="External"/><Relationship Id="rId4505" Type="http://schemas.openxmlformats.org/officeDocument/2006/relationships/hyperlink" Target="https://drive.google.com/drive/folders/10T2cTQHqEJZqE-st6uFKPoI?usp=share_link" TargetMode="External"/><Relationship Id="rId5833" Type="http://schemas.openxmlformats.org/officeDocument/2006/relationships/hyperlink" Target="https://drive.google.com/drive/folders/10T2cTQHqEJZqE-st6uFKPoI?usp=share_link" TargetMode="External"/><Relationship Id="rId4504" Type="http://schemas.openxmlformats.org/officeDocument/2006/relationships/hyperlink" Target="https://drive.google.com/drive/folders/10T2cTQHqEJZqE-st6uFKPoI?usp=share_link" TargetMode="External"/><Relationship Id="rId5834" Type="http://schemas.openxmlformats.org/officeDocument/2006/relationships/hyperlink" Target="https://drive.google.com/drive/folders/10T2cTQHqEJZqE-st6uFKPoI?usp=share_link" TargetMode="External"/><Relationship Id="rId4507" Type="http://schemas.openxmlformats.org/officeDocument/2006/relationships/hyperlink" Target="https://drive.google.com/drive/folders/10T2cTQHqEJZqE-st6uFKPoI?usp=share_link" TargetMode="External"/><Relationship Id="rId5839" Type="http://schemas.openxmlformats.org/officeDocument/2006/relationships/hyperlink" Target="https://drive.google.com/drive/folders/10T2cTQHqEJZqE-st6uFKPoI?usp=share_link" TargetMode="External"/><Relationship Id="rId4506" Type="http://schemas.openxmlformats.org/officeDocument/2006/relationships/hyperlink" Target="https://drive.google.com/drive/folders/10T2cTQHqEJZqE-st6uFKPoI?usp=share_link" TargetMode="External"/><Relationship Id="rId4509" Type="http://schemas.openxmlformats.org/officeDocument/2006/relationships/hyperlink" Target="https://drive.google.com/drive/folders/10T2cTQHqEJZqE-st6uFKPoI?usp=share_link" TargetMode="External"/><Relationship Id="rId5837" Type="http://schemas.openxmlformats.org/officeDocument/2006/relationships/hyperlink" Target="https://drive.google.com/drive/folders/10T2cTQHqEJZqE-st6uFKPoI?usp=share_link" TargetMode="External"/><Relationship Id="rId4508" Type="http://schemas.openxmlformats.org/officeDocument/2006/relationships/hyperlink" Target="https://drive.google.com/drive/folders/10T2cTQHqEJZqE-st6uFKPoI?usp=share_link" TargetMode="External"/><Relationship Id="rId5838" Type="http://schemas.openxmlformats.org/officeDocument/2006/relationships/hyperlink" Target="https://drive.google.com/drive/folders/10T2cTQHqEJZqE-st6uFKPoI?usp=share_link" TargetMode="External"/><Relationship Id="rId646" Type="http://schemas.openxmlformats.org/officeDocument/2006/relationships/hyperlink" Target="https://drive.google.com/drive/folders/10T2cTQHqEJZqE-st6uFKPoI?usp=share_link" TargetMode="External"/><Relationship Id="rId645" Type="http://schemas.openxmlformats.org/officeDocument/2006/relationships/hyperlink" Target="https://drive.google.com/drive/folders/10T2cTQHqEJZqE-st6uFKPoI?usp=share_link" TargetMode="External"/><Relationship Id="rId644" Type="http://schemas.openxmlformats.org/officeDocument/2006/relationships/hyperlink" Target="https://drive.google.com/drive/folders/10T2cTQHqEJZqE-st6uFKPoI?usp=share_link" TargetMode="External"/><Relationship Id="rId643" Type="http://schemas.openxmlformats.org/officeDocument/2006/relationships/hyperlink" Target="https://drive.google.com/drive/folders/10T2cTQHqEJZqE-st6uFKPoI?usp=share_link" TargetMode="External"/><Relationship Id="rId649" Type="http://schemas.openxmlformats.org/officeDocument/2006/relationships/hyperlink" Target="https://drive.google.com/drive/folders/10T2cTQHqEJZqE-st6uFKPoI?usp=share_link" TargetMode="External"/><Relationship Id="rId648" Type="http://schemas.openxmlformats.org/officeDocument/2006/relationships/hyperlink" Target="https://drive.google.com/drive/folders/10T2cTQHqEJZqE-st6uFKPoI?usp=share_link" TargetMode="External"/><Relationship Id="rId647" Type="http://schemas.openxmlformats.org/officeDocument/2006/relationships/hyperlink" Target="https://drive.google.com/drive/folders/10T2cTQHqEJZqE-st6uFKPoI?usp=share_link" TargetMode="External"/><Relationship Id="rId1470" Type="http://schemas.openxmlformats.org/officeDocument/2006/relationships/hyperlink" Target="https://drive.google.com/drive/folders/10T2cTQHqEJZqE-st6uFKPoI?usp=share_link" TargetMode="External"/><Relationship Id="rId1471" Type="http://schemas.openxmlformats.org/officeDocument/2006/relationships/hyperlink" Target="https://drive.google.com/drive/folders/10T2cTQHqEJZqE-st6uFKPoI?usp=share_link" TargetMode="External"/><Relationship Id="rId1472" Type="http://schemas.openxmlformats.org/officeDocument/2006/relationships/hyperlink" Target="https://drive.google.com/drive/folders/10T2cTQHqEJZqE-st6uFKPoI?usp=share_link" TargetMode="External"/><Relationship Id="rId642" Type="http://schemas.openxmlformats.org/officeDocument/2006/relationships/hyperlink" Target="https://drive.google.com/drive/folders/10T2cTQHqEJZqE-st6uFKPoI?usp=share_link" TargetMode="External"/><Relationship Id="rId1473" Type="http://schemas.openxmlformats.org/officeDocument/2006/relationships/hyperlink" Target="https://drive.google.com/drive/folders/10T2cTQHqEJZqE-st6uFKPoI?usp=share_link" TargetMode="External"/><Relationship Id="rId5831" Type="http://schemas.openxmlformats.org/officeDocument/2006/relationships/hyperlink" Target="https://drive.google.com/drive/folders/10T2cTQHqEJZqE-st6uFKPoI?usp=share_link" TargetMode="External"/><Relationship Id="rId641" Type="http://schemas.openxmlformats.org/officeDocument/2006/relationships/hyperlink" Target="https://drive.google.com/drive/folders/10T2cTQHqEJZqE-st6uFKPoI?usp=share_link" TargetMode="External"/><Relationship Id="rId1474" Type="http://schemas.openxmlformats.org/officeDocument/2006/relationships/hyperlink" Target="https://drive.google.com/drive/folders/10T2cTQHqEJZqE-st6uFKPoI?usp=share_link" TargetMode="External"/><Relationship Id="rId5832" Type="http://schemas.openxmlformats.org/officeDocument/2006/relationships/hyperlink" Target="https://drive.google.com/drive/folders/10T2cTQHqEJZqE-st6uFKPoI?usp=share_link" TargetMode="External"/><Relationship Id="rId640" Type="http://schemas.openxmlformats.org/officeDocument/2006/relationships/hyperlink" Target="https://drive.google.com/drive/folders/10T2cTQHqEJZqE-st6uFKPoI?usp=share_link" TargetMode="External"/><Relationship Id="rId1475" Type="http://schemas.openxmlformats.org/officeDocument/2006/relationships/hyperlink" Target="https://drive.google.com/drive/folders/10T2cTQHqEJZqE-st6uFKPoI?usp=share_link" TargetMode="External"/><Relationship Id="rId4501" Type="http://schemas.openxmlformats.org/officeDocument/2006/relationships/hyperlink" Target="https://drive.google.com/drive/folders/10T2cTQHqEJZqE-st6uFKPoI?usp=share_link" TargetMode="External"/><Relationship Id="rId1476" Type="http://schemas.openxmlformats.org/officeDocument/2006/relationships/hyperlink" Target="https://drive.google.com/drive/folders/10T2cTQHqEJZqE-st6uFKPoI?usp=share_link" TargetMode="External"/><Relationship Id="rId4500" Type="http://schemas.openxmlformats.org/officeDocument/2006/relationships/hyperlink" Target="https://drive.google.com/drive/folders/10T2cTQHqEJZqE-st6uFKPoI?usp=share_link" TargetMode="External"/><Relationship Id="rId5830" Type="http://schemas.openxmlformats.org/officeDocument/2006/relationships/hyperlink" Target="https://drive.google.com/drive/folders/10T2cTQHqEJZqE-st6uFKPoI?usp=share_link" TargetMode="External"/><Relationship Id="rId1466" Type="http://schemas.openxmlformats.org/officeDocument/2006/relationships/hyperlink" Target="https://drive.google.com/drive/folders/10T2cTQHqEJZqE-st6uFKPoI?usp=share_link" TargetMode="External"/><Relationship Id="rId2797" Type="http://schemas.openxmlformats.org/officeDocument/2006/relationships/hyperlink" Target="https://drive.google.com/drive/folders/10T2cTQHqEJZqE-st6uFKPoI?usp=share_link" TargetMode="External"/><Relationship Id="rId5824" Type="http://schemas.openxmlformats.org/officeDocument/2006/relationships/hyperlink" Target="https://drive.google.com/drive/folders/10T2cTQHqEJZqE-st6uFKPoI?usp=share_link" TargetMode="External"/><Relationship Id="rId1467" Type="http://schemas.openxmlformats.org/officeDocument/2006/relationships/hyperlink" Target="https://drive.google.com/drive/folders/10T2cTQHqEJZqE-st6uFKPoI?usp=share_link" TargetMode="External"/><Relationship Id="rId2798" Type="http://schemas.openxmlformats.org/officeDocument/2006/relationships/hyperlink" Target="https://drive.google.com/drive/folders/10T2cTQHqEJZqE-st6uFKPoI?usp=share_link" TargetMode="External"/><Relationship Id="rId5825" Type="http://schemas.openxmlformats.org/officeDocument/2006/relationships/hyperlink" Target="https://drive.google.com/drive/folders/10T2cTQHqEJZqE-st6uFKPoI?usp=share_link" TargetMode="External"/><Relationship Id="rId1468" Type="http://schemas.openxmlformats.org/officeDocument/2006/relationships/hyperlink" Target="https://drive.google.com/drive/folders/10T2cTQHqEJZqE-st6uFKPoI?usp=share_link" TargetMode="External"/><Relationship Id="rId2799" Type="http://schemas.openxmlformats.org/officeDocument/2006/relationships/hyperlink" Target="https://drive.google.com/drive/folders/10T2cTQHqEJZqE-st6uFKPoI?usp=share_link" TargetMode="External"/><Relationship Id="rId5822" Type="http://schemas.openxmlformats.org/officeDocument/2006/relationships/hyperlink" Target="https://drive.google.com/drive/folders/10T2cTQHqEJZqE-st6uFKPoI?usp=share_link" TargetMode="External"/><Relationship Id="rId1469" Type="http://schemas.openxmlformats.org/officeDocument/2006/relationships/hyperlink" Target="https://drive.google.com/drive/folders/10T2cTQHqEJZqE-st6uFKPoI?usp=share_link" TargetMode="External"/><Relationship Id="rId5823" Type="http://schemas.openxmlformats.org/officeDocument/2006/relationships/hyperlink" Target="https://drive.google.com/drive/folders/10T2cTQHqEJZqE-st6uFKPoI?usp=share_link" TargetMode="External"/><Relationship Id="rId5828" Type="http://schemas.openxmlformats.org/officeDocument/2006/relationships/hyperlink" Target="https://drive.google.com/drive/folders/10T2cTQHqEJZqE-st6uFKPoI?usp=share_link" TargetMode="External"/><Relationship Id="rId5829" Type="http://schemas.openxmlformats.org/officeDocument/2006/relationships/hyperlink" Target="https://drive.google.com/drive/folders/10T2cTQHqEJZqE-st6uFKPoI?usp=share_link" TargetMode="External"/><Relationship Id="rId5826" Type="http://schemas.openxmlformats.org/officeDocument/2006/relationships/hyperlink" Target="https://drive.google.com/drive/folders/10T2cTQHqEJZqE-st6uFKPoI?usp=share_link" TargetMode="External"/><Relationship Id="rId5827" Type="http://schemas.openxmlformats.org/officeDocument/2006/relationships/hyperlink" Target="https://drive.google.com/drive/folders/10T2cTQHqEJZqE-st6uFKPoI?usp=share_link" TargetMode="External"/><Relationship Id="rId635" Type="http://schemas.openxmlformats.org/officeDocument/2006/relationships/hyperlink" Target="https://drive.google.com/drive/folders/10T2cTQHqEJZqE-st6uFKPoI?usp=share_link" TargetMode="External"/><Relationship Id="rId634" Type="http://schemas.openxmlformats.org/officeDocument/2006/relationships/hyperlink" Target="https://drive.google.com/drive/folders/10T2cTQHqEJZqE-st6uFKPoI?usp=share_link" TargetMode="External"/><Relationship Id="rId633" Type="http://schemas.openxmlformats.org/officeDocument/2006/relationships/hyperlink" Target="https://drive.google.com/drive/folders/10T2cTQHqEJZqE-st6uFKPoI?usp=share_link" TargetMode="External"/><Relationship Id="rId632" Type="http://schemas.openxmlformats.org/officeDocument/2006/relationships/hyperlink" Target="https://drive.google.com/drive/folders/10T2cTQHqEJZqE-st6uFKPoI?usp=share_link" TargetMode="External"/><Relationship Id="rId639" Type="http://schemas.openxmlformats.org/officeDocument/2006/relationships/hyperlink" Target="https://drive.google.com/drive/folders/10T2cTQHqEJZqE-st6uFKPoI?usp=share_link" TargetMode="External"/><Relationship Id="rId638" Type="http://schemas.openxmlformats.org/officeDocument/2006/relationships/hyperlink" Target="https://drive.google.com/drive/folders/10T2cTQHqEJZqE-st6uFKPoI?usp=share_link" TargetMode="External"/><Relationship Id="rId637" Type="http://schemas.openxmlformats.org/officeDocument/2006/relationships/hyperlink" Target="https://drive.google.com/drive/folders/10T2cTQHqEJZqE-st6uFKPoI?usp=share_link" TargetMode="External"/><Relationship Id="rId636" Type="http://schemas.openxmlformats.org/officeDocument/2006/relationships/hyperlink" Target="https://drive.google.com/drive/folders/10T2cTQHqEJZqE-st6uFKPoI?usp=share_link" TargetMode="External"/><Relationship Id="rId2790" Type="http://schemas.openxmlformats.org/officeDocument/2006/relationships/hyperlink" Target="https://drive.google.com/drive/folders/10T2cTQHqEJZqE-st6uFKPoI?usp=share_link" TargetMode="External"/><Relationship Id="rId1460" Type="http://schemas.openxmlformats.org/officeDocument/2006/relationships/hyperlink" Target="https://drive.google.com/drive/folders/10T2cTQHqEJZqE-st6uFKPoI?usp=share_link" TargetMode="External"/><Relationship Id="rId2791" Type="http://schemas.openxmlformats.org/officeDocument/2006/relationships/hyperlink" Target="https://drive.google.com/drive/folders/10T2cTQHqEJZqE-st6uFKPoI?usp=share_link" TargetMode="External"/><Relationship Id="rId1461" Type="http://schemas.openxmlformats.org/officeDocument/2006/relationships/hyperlink" Target="https://drive.google.com/drive/folders/10T2cTQHqEJZqE-st6uFKPoI?usp=share_link" TargetMode="External"/><Relationship Id="rId2792" Type="http://schemas.openxmlformats.org/officeDocument/2006/relationships/hyperlink" Target="https://drive.google.com/drive/folders/10T2cTQHqEJZqE-st6uFKPoI?usp=share_link" TargetMode="External"/><Relationship Id="rId631" Type="http://schemas.openxmlformats.org/officeDocument/2006/relationships/hyperlink" Target="https://drive.google.com/drive/folders/10T2cTQHqEJZqE-st6uFKPoI?usp=share_link" TargetMode="External"/><Relationship Id="rId1462" Type="http://schemas.openxmlformats.org/officeDocument/2006/relationships/hyperlink" Target="https://drive.google.com/drive/folders/10T2cTQHqEJZqE-st6uFKPoI?usp=share_link" TargetMode="External"/><Relationship Id="rId2793" Type="http://schemas.openxmlformats.org/officeDocument/2006/relationships/hyperlink" Target="https://drive.google.com/drive/folders/10T2cTQHqEJZqE-st6uFKPoI?usp=share_link" TargetMode="External"/><Relationship Id="rId5820" Type="http://schemas.openxmlformats.org/officeDocument/2006/relationships/hyperlink" Target="https://drive.google.com/drive/folders/10T2cTQHqEJZqE-st6uFKPoI?usp=share_link" TargetMode="External"/><Relationship Id="rId630" Type="http://schemas.openxmlformats.org/officeDocument/2006/relationships/hyperlink" Target="https://drive.google.com/drive/folders/10T2cTQHqEJZqE-st6uFKPoI?usp=share_link" TargetMode="External"/><Relationship Id="rId1463" Type="http://schemas.openxmlformats.org/officeDocument/2006/relationships/hyperlink" Target="https://drive.google.com/drive/folders/10T2cTQHqEJZqE-st6uFKPoI?usp=share_link" TargetMode="External"/><Relationship Id="rId2794" Type="http://schemas.openxmlformats.org/officeDocument/2006/relationships/hyperlink" Target="https://drive.google.com/drive/folders/10T2cTQHqEJZqE-st6uFKPoI?usp=share_link" TargetMode="External"/><Relationship Id="rId5821" Type="http://schemas.openxmlformats.org/officeDocument/2006/relationships/hyperlink" Target="https://drive.google.com/drive/folders/10T2cTQHqEJZqE-st6uFKPoI?usp=share_link" TargetMode="External"/><Relationship Id="rId1464" Type="http://schemas.openxmlformats.org/officeDocument/2006/relationships/hyperlink" Target="https://drive.google.com/drive/folders/10T2cTQHqEJZqE-st6uFKPoI?usp=share_link" TargetMode="External"/><Relationship Id="rId2795" Type="http://schemas.openxmlformats.org/officeDocument/2006/relationships/hyperlink" Target="https://drive.google.com/drive/folders/10T2cTQHqEJZqE-st6uFKPoI?usp=share_link" TargetMode="External"/><Relationship Id="rId1465" Type="http://schemas.openxmlformats.org/officeDocument/2006/relationships/hyperlink" Target="https://drive.google.com/drive/folders/10T2cTQHqEJZqE-st6uFKPoI?usp=share_link" TargetMode="External"/><Relationship Id="rId2796" Type="http://schemas.openxmlformats.org/officeDocument/2006/relationships/hyperlink" Target="https://drive.google.com/drive/folders/10T2cTQHqEJZqE-st6uFKPoI?usp=share_link" TargetMode="External"/><Relationship Id="rId1411" Type="http://schemas.openxmlformats.org/officeDocument/2006/relationships/hyperlink" Target="https://drive.google.com/drive/folders/10T2cTQHqEJZqE-st6uFKPoI?usp=share_link" TargetMode="External"/><Relationship Id="rId2742" Type="http://schemas.openxmlformats.org/officeDocument/2006/relationships/hyperlink" Target="https://drive.google.com/drive/folders/10T2cTQHqEJZqE-st6uFKPoI?usp=share_link" TargetMode="External"/><Relationship Id="rId1412" Type="http://schemas.openxmlformats.org/officeDocument/2006/relationships/hyperlink" Target="https://drive.google.com/drive/folders/10T2cTQHqEJZqE-st6uFKPoI?usp=share_link" TargetMode="External"/><Relationship Id="rId2743" Type="http://schemas.openxmlformats.org/officeDocument/2006/relationships/hyperlink" Target="https://drive.google.com/drive/folders/10T2cTQHqEJZqE-st6uFKPoI?usp=share_link" TargetMode="External"/><Relationship Id="rId1413" Type="http://schemas.openxmlformats.org/officeDocument/2006/relationships/hyperlink" Target="https://drive.google.com/drive/folders/10T2cTQHqEJZqE-st6uFKPoI?usp=share_link" TargetMode="External"/><Relationship Id="rId2744" Type="http://schemas.openxmlformats.org/officeDocument/2006/relationships/hyperlink" Target="https://drive.google.com/drive/folders/10T2cTQHqEJZqE-st6uFKPoI?usp=share_link" TargetMode="External"/><Relationship Id="rId1414" Type="http://schemas.openxmlformats.org/officeDocument/2006/relationships/hyperlink" Target="https://drive.google.com/drive/folders/10T2cTQHqEJZqE-st6uFKPoI?usp=share_link" TargetMode="External"/><Relationship Id="rId2745" Type="http://schemas.openxmlformats.org/officeDocument/2006/relationships/hyperlink" Target="https://drive.google.com/drive/folders/10T2cTQHqEJZqE-st6uFKPoI?usp=share_link" TargetMode="External"/><Relationship Id="rId1415" Type="http://schemas.openxmlformats.org/officeDocument/2006/relationships/hyperlink" Target="https://drive.google.com/drive/folders/10T2cTQHqEJZqE-st6uFKPoI?usp=share_link" TargetMode="External"/><Relationship Id="rId2746" Type="http://schemas.openxmlformats.org/officeDocument/2006/relationships/hyperlink" Target="https://drive.google.com/drive/folders/10T2cTQHqEJZqE-st6uFKPoI?usp=share_link" TargetMode="External"/><Relationship Id="rId1416" Type="http://schemas.openxmlformats.org/officeDocument/2006/relationships/hyperlink" Target="https://drive.google.com/drive/folders/10T2cTQHqEJZqE-st6uFKPoI?usp=share_link" TargetMode="External"/><Relationship Id="rId2747" Type="http://schemas.openxmlformats.org/officeDocument/2006/relationships/hyperlink" Target="https://drive.google.com/drive/folders/10T2cTQHqEJZqE-st6uFKPoI?usp=share_link" TargetMode="External"/><Relationship Id="rId1417" Type="http://schemas.openxmlformats.org/officeDocument/2006/relationships/hyperlink" Target="https://drive.google.com/drive/folders/10T2cTQHqEJZqE-st6uFKPoI?usp=share_link" TargetMode="External"/><Relationship Id="rId2748" Type="http://schemas.openxmlformats.org/officeDocument/2006/relationships/hyperlink" Target="https://drive.google.com/drive/folders/10T2cTQHqEJZqE-st6uFKPoI?usp=share_link" TargetMode="External"/><Relationship Id="rId1418" Type="http://schemas.openxmlformats.org/officeDocument/2006/relationships/hyperlink" Target="https://drive.google.com/drive/folders/10T2cTQHqEJZqE-st6uFKPoI?usp=share_link" TargetMode="External"/><Relationship Id="rId2749" Type="http://schemas.openxmlformats.org/officeDocument/2006/relationships/hyperlink" Target="https://drive.google.com/drive/folders/10T2cTQHqEJZqE-st6uFKPoI?usp=share_link" TargetMode="External"/><Relationship Id="rId1419" Type="http://schemas.openxmlformats.org/officeDocument/2006/relationships/hyperlink" Target="https://drive.google.com/drive/folders/10T2cTQHqEJZqE-st6uFKPoI?usp=share_link" TargetMode="External"/><Relationship Id="rId2740" Type="http://schemas.openxmlformats.org/officeDocument/2006/relationships/hyperlink" Target="https://drive.google.com/drive/folders/10T2cTQHqEJZqE-st6uFKPoI?usp=share_link" TargetMode="External"/><Relationship Id="rId1410" Type="http://schemas.openxmlformats.org/officeDocument/2006/relationships/hyperlink" Target="https://drive.google.com/drive/folders/10T2cTQHqEJZqE-st6uFKPoI?usp=share_link" TargetMode="External"/><Relationship Id="rId2741" Type="http://schemas.openxmlformats.org/officeDocument/2006/relationships/hyperlink" Target="https://drive.google.com/drive/folders/10T2cTQHqEJZqE-st6uFKPoI?usp=share_link" TargetMode="External"/><Relationship Id="rId1400" Type="http://schemas.openxmlformats.org/officeDocument/2006/relationships/hyperlink" Target="https://drive.google.com/drive/folders/10T2cTQHqEJZqE-st6uFKPoI?usp=share_link" TargetMode="External"/><Relationship Id="rId2731" Type="http://schemas.openxmlformats.org/officeDocument/2006/relationships/hyperlink" Target="https://drive.google.com/drive/folders/10T2cTQHqEJZqE-st6uFKPoI?usp=share_link" TargetMode="External"/><Relationship Id="rId1401" Type="http://schemas.openxmlformats.org/officeDocument/2006/relationships/hyperlink" Target="https://drive.google.com/drive/folders/10T2cTQHqEJZqE-st6uFKPoI?usp=share_link" TargetMode="External"/><Relationship Id="rId2732" Type="http://schemas.openxmlformats.org/officeDocument/2006/relationships/hyperlink" Target="https://drive.google.com/drive/folders/10T2cTQHqEJZqE-st6uFKPoI?usp=share_link" TargetMode="External"/><Relationship Id="rId1402" Type="http://schemas.openxmlformats.org/officeDocument/2006/relationships/hyperlink" Target="https://drive.google.com/drive/folders/10T2cTQHqEJZqE-st6uFKPoI?usp=share_link" TargetMode="External"/><Relationship Id="rId2733" Type="http://schemas.openxmlformats.org/officeDocument/2006/relationships/hyperlink" Target="https://drive.google.com/drive/folders/10T2cTQHqEJZqE-st6uFKPoI?usp=share_link" TargetMode="External"/><Relationship Id="rId1403" Type="http://schemas.openxmlformats.org/officeDocument/2006/relationships/hyperlink" Target="https://drive.google.com/drive/folders/10T2cTQHqEJZqE-st6uFKPoI?usp=share_link" TargetMode="External"/><Relationship Id="rId2734" Type="http://schemas.openxmlformats.org/officeDocument/2006/relationships/hyperlink" Target="https://drive.google.com/drive/folders/10T2cTQHqEJZqE-st6uFKPoI?usp=share_link" TargetMode="External"/><Relationship Id="rId1404" Type="http://schemas.openxmlformats.org/officeDocument/2006/relationships/hyperlink" Target="https://drive.google.com/drive/folders/10T2cTQHqEJZqE-st6uFKPoI?usp=share_link" TargetMode="External"/><Relationship Id="rId2735" Type="http://schemas.openxmlformats.org/officeDocument/2006/relationships/hyperlink" Target="https://drive.google.com/drive/folders/10T2cTQHqEJZqE-st6uFKPoI?usp=share_link" TargetMode="External"/><Relationship Id="rId1405" Type="http://schemas.openxmlformats.org/officeDocument/2006/relationships/hyperlink" Target="https://drive.google.com/drive/folders/10T2cTQHqEJZqE-st6uFKPoI?usp=share_link" TargetMode="External"/><Relationship Id="rId2736" Type="http://schemas.openxmlformats.org/officeDocument/2006/relationships/hyperlink" Target="https://drive.google.com/drive/folders/10T2cTQHqEJZqE-st6uFKPoI?usp=share_link" TargetMode="External"/><Relationship Id="rId1406" Type="http://schemas.openxmlformats.org/officeDocument/2006/relationships/hyperlink" Target="https://drive.google.com/drive/folders/10T2cTQHqEJZqE-st6uFKPoI?usp=share_link" TargetMode="External"/><Relationship Id="rId2737" Type="http://schemas.openxmlformats.org/officeDocument/2006/relationships/hyperlink" Target="https://drive.google.com/drive/folders/10T2cTQHqEJZqE-st6uFKPoI?usp=share_link" TargetMode="External"/><Relationship Id="rId1407" Type="http://schemas.openxmlformats.org/officeDocument/2006/relationships/hyperlink" Target="https://drive.google.com/drive/folders/10T2cTQHqEJZqE-st6uFKPoI?usp=share_link" TargetMode="External"/><Relationship Id="rId2738" Type="http://schemas.openxmlformats.org/officeDocument/2006/relationships/hyperlink" Target="https://drive.google.com/drive/folders/10T2cTQHqEJZqE-st6uFKPoI?usp=share_link" TargetMode="External"/><Relationship Id="rId1408" Type="http://schemas.openxmlformats.org/officeDocument/2006/relationships/hyperlink" Target="https://drive.google.com/drive/folders/10T2cTQHqEJZqE-st6uFKPoI?usp=share_link" TargetMode="External"/><Relationship Id="rId2739" Type="http://schemas.openxmlformats.org/officeDocument/2006/relationships/hyperlink" Target="https://drive.google.com/drive/folders/10T2cTQHqEJZqE-st6uFKPoI?usp=share_link" TargetMode="External"/><Relationship Id="rId1409" Type="http://schemas.openxmlformats.org/officeDocument/2006/relationships/hyperlink" Target="https://drive.google.com/drive/folders/10T2cTQHqEJZqE-st6uFKPoI?usp=share_link" TargetMode="External"/><Relationship Id="rId2730" Type="http://schemas.openxmlformats.org/officeDocument/2006/relationships/hyperlink" Target="https://drive.google.com/drive/folders/10T2cTQHqEJZqE-st6uFKPoI?usp=share_link" TargetMode="External"/><Relationship Id="rId1433" Type="http://schemas.openxmlformats.org/officeDocument/2006/relationships/hyperlink" Target="https://drive.google.com/drive/folders/10T2cTQHqEJZqE-st6uFKPoI?usp=share_link" TargetMode="External"/><Relationship Id="rId2764" Type="http://schemas.openxmlformats.org/officeDocument/2006/relationships/hyperlink" Target="https://drive.google.com/drive/folders/10T2cTQHqEJZqE-st6uFKPoI?usp=share_link" TargetMode="External"/><Relationship Id="rId1434" Type="http://schemas.openxmlformats.org/officeDocument/2006/relationships/hyperlink" Target="https://drive.google.com/drive/folders/10T2cTQHqEJZqE-st6uFKPoI?usp=share_link" TargetMode="External"/><Relationship Id="rId2765" Type="http://schemas.openxmlformats.org/officeDocument/2006/relationships/hyperlink" Target="https://drive.google.com/drive/folders/10T2cTQHqEJZqE-st6uFKPoI?usp=share_link" TargetMode="External"/><Relationship Id="rId1435" Type="http://schemas.openxmlformats.org/officeDocument/2006/relationships/hyperlink" Target="https://drive.google.com/drive/folders/10T2cTQHqEJZqE-st6uFKPoI?usp=share_link" TargetMode="External"/><Relationship Id="rId2766" Type="http://schemas.openxmlformats.org/officeDocument/2006/relationships/hyperlink" Target="https://drive.google.com/drive/folders/10T2cTQHqEJZqE-st6uFKPoI?usp=share_link" TargetMode="External"/><Relationship Id="rId1436" Type="http://schemas.openxmlformats.org/officeDocument/2006/relationships/hyperlink" Target="https://drive.google.com/drive/folders/10T2cTQHqEJZqE-st6uFKPoI?usp=share_link" TargetMode="External"/><Relationship Id="rId2767" Type="http://schemas.openxmlformats.org/officeDocument/2006/relationships/hyperlink" Target="https://drive.google.com/drive/folders/10T2cTQHqEJZqE-st6uFKPoI?usp=share_link" TargetMode="External"/><Relationship Id="rId1437" Type="http://schemas.openxmlformats.org/officeDocument/2006/relationships/hyperlink" Target="https://drive.google.com/drive/folders/10T2cTQHqEJZqE-st6uFKPoI?usp=share_link" TargetMode="External"/><Relationship Id="rId2768" Type="http://schemas.openxmlformats.org/officeDocument/2006/relationships/hyperlink" Target="https://drive.google.com/drive/folders/10T2cTQHqEJZqE-st6uFKPoI?usp=share_link" TargetMode="External"/><Relationship Id="rId1438" Type="http://schemas.openxmlformats.org/officeDocument/2006/relationships/hyperlink" Target="https://drive.google.com/drive/folders/10T2cTQHqEJZqE-st6uFKPoI?usp=share_link" TargetMode="External"/><Relationship Id="rId2769" Type="http://schemas.openxmlformats.org/officeDocument/2006/relationships/hyperlink" Target="https://drive.google.com/drive/folders/10T2cTQHqEJZqE-st6uFKPoI?usp=share_link" TargetMode="External"/><Relationship Id="rId1439" Type="http://schemas.openxmlformats.org/officeDocument/2006/relationships/hyperlink" Target="https://drive.google.com/drive/folders/10T2cTQHqEJZqE-st6uFKPoI?usp=share_link" TargetMode="External"/><Relationship Id="rId609" Type="http://schemas.openxmlformats.org/officeDocument/2006/relationships/hyperlink" Target="https://drive.google.com/drive/folders/10T2cTQHqEJZqE-st6uFKPoI?usp=share_link" TargetMode="External"/><Relationship Id="rId608" Type="http://schemas.openxmlformats.org/officeDocument/2006/relationships/hyperlink" Target="https://drive.google.com/drive/folders/10T2cTQHqEJZqE-st6uFKPoI?usp=share_link" TargetMode="External"/><Relationship Id="rId607" Type="http://schemas.openxmlformats.org/officeDocument/2006/relationships/hyperlink" Target="https://drive.google.com/drive/folders/10T2cTQHqEJZqE-st6uFKPoI?usp=share_link" TargetMode="External"/><Relationship Id="rId602" Type="http://schemas.openxmlformats.org/officeDocument/2006/relationships/hyperlink" Target="https://drive.google.com/drive/folders/10T2cTQHqEJZqE-st6uFKPoI?usp=share_link" TargetMode="External"/><Relationship Id="rId601" Type="http://schemas.openxmlformats.org/officeDocument/2006/relationships/hyperlink" Target="https://drive.google.com/drive/folders/10T2cTQHqEJZqE-st6uFKPoI?usp=share_link" TargetMode="External"/><Relationship Id="rId600" Type="http://schemas.openxmlformats.org/officeDocument/2006/relationships/hyperlink" Target="https://drive.google.com/drive/folders/10T2cTQHqEJZqE-st6uFKPoI?usp=share_link" TargetMode="External"/><Relationship Id="rId606" Type="http://schemas.openxmlformats.org/officeDocument/2006/relationships/hyperlink" Target="https://drive.google.com/drive/folders/10T2cTQHqEJZqE-st6uFKPoI?usp=share_link" TargetMode="External"/><Relationship Id="rId605" Type="http://schemas.openxmlformats.org/officeDocument/2006/relationships/hyperlink" Target="https://drive.google.com/drive/folders/10T2cTQHqEJZqE-st6uFKPoI?usp=share_link" TargetMode="External"/><Relationship Id="rId604" Type="http://schemas.openxmlformats.org/officeDocument/2006/relationships/hyperlink" Target="https://drive.google.com/drive/folders/10T2cTQHqEJZqE-st6uFKPoI?usp=share_link" TargetMode="External"/><Relationship Id="rId603" Type="http://schemas.openxmlformats.org/officeDocument/2006/relationships/hyperlink" Target="https://drive.google.com/drive/folders/10T2cTQHqEJZqE-st6uFKPoI?usp=share_link" TargetMode="External"/><Relationship Id="rId2760" Type="http://schemas.openxmlformats.org/officeDocument/2006/relationships/hyperlink" Target="https://drive.google.com/drive/folders/10T2cTQHqEJZqE-st6uFKPoI?usp=share_link" TargetMode="External"/><Relationship Id="rId1430" Type="http://schemas.openxmlformats.org/officeDocument/2006/relationships/hyperlink" Target="https://drive.google.com/drive/folders/10T2cTQHqEJZqE-st6uFKPoI?usp=share_link" TargetMode="External"/><Relationship Id="rId2761" Type="http://schemas.openxmlformats.org/officeDocument/2006/relationships/hyperlink" Target="https://drive.google.com/drive/folders/10T2cTQHqEJZqE-st6uFKPoI?usp=share_link" TargetMode="External"/><Relationship Id="rId1431" Type="http://schemas.openxmlformats.org/officeDocument/2006/relationships/hyperlink" Target="https://drive.google.com/drive/folders/10T2cTQHqEJZqE-st6uFKPoI?usp=share_link" TargetMode="External"/><Relationship Id="rId2762" Type="http://schemas.openxmlformats.org/officeDocument/2006/relationships/hyperlink" Target="https://drive.google.com/drive/folders/10T2cTQHqEJZqE-st6uFKPoI?usp=share_link" TargetMode="External"/><Relationship Id="rId1432" Type="http://schemas.openxmlformats.org/officeDocument/2006/relationships/hyperlink" Target="https://drive.google.com/drive/folders/10T2cTQHqEJZqE-st6uFKPoI?usp=share_link" TargetMode="External"/><Relationship Id="rId2763" Type="http://schemas.openxmlformats.org/officeDocument/2006/relationships/hyperlink" Target="https://drive.google.com/drive/folders/10T2cTQHqEJZqE-st6uFKPoI?usp=share_link" TargetMode="External"/><Relationship Id="rId1422" Type="http://schemas.openxmlformats.org/officeDocument/2006/relationships/hyperlink" Target="https://drive.google.com/drive/folders/10T2cTQHqEJZqE-st6uFKPoI?usp=share_link" TargetMode="External"/><Relationship Id="rId2753" Type="http://schemas.openxmlformats.org/officeDocument/2006/relationships/hyperlink" Target="https://drive.google.com/drive/folders/10T2cTQHqEJZqE-st6uFKPoI?usp=share_link" TargetMode="External"/><Relationship Id="rId1423" Type="http://schemas.openxmlformats.org/officeDocument/2006/relationships/hyperlink" Target="https://drive.google.com/drive/folders/10T2cTQHqEJZqE-st6uFKPoI?usp=share_link" TargetMode="External"/><Relationship Id="rId2754" Type="http://schemas.openxmlformats.org/officeDocument/2006/relationships/hyperlink" Target="https://drive.google.com/drive/folders/10T2cTQHqEJZqE-st6uFKPoI?usp=share_link" TargetMode="External"/><Relationship Id="rId1424" Type="http://schemas.openxmlformats.org/officeDocument/2006/relationships/hyperlink" Target="https://drive.google.com/drive/folders/10T2cTQHqEJZqE-st6uFKPoI?usp=share_link" TargetMode="External"/><Relationship Id="rId2755" Type="http://schemas.openxmlformats.org/officeDocument/2006/relationships/hyperlink" Target="https://drive.google.com/drive/folders/10T2cTQHqEJZqE-st6uFKPoI?usp=share_link" TargetMode="External"/><Relationship Id="rId1425" Type="http://schemas.openxmlformats.org/officeDocument/2006/relationships/hyperlink" Target="https://drive.google.com/drive/folders/10T2cTQHqEJZqE-st6uFKPoI?usp=share_link" TargetMode="External"/><Relationship Id="rId2756" Type="http://schemas.openxmlformats.org/officeDocument/2006/relationships/hyperlink" Target="https://drive.google.com/drive/folders/10T2cTQHqEJZqE-st6uFKPoI?usp=share_link" TargetMode="External"/><Relationship Id="rId1426" Type="http://schemas.openxmlformats.org/officeDocument/2006/relationships/hyperlink" Target="https://drive.google.com/drive/folders/10T2cTQHqEJZqE-st6uFKPoI?usp=share_link" TargetMode="External"/><Relationship Id="rId2757" Type="http://schemas.openxmlformats.org/officeDocument/2006/relationships/hyperlink" Target="https://drive.google.com/drive/folders/10T2cTQHqEJZqE-st6uFKPoI?usp=share_link" TargetMode="External"/><Relationship Id="rId1427" Type="http://schemas.openxmlformats.org/officeDocument/2006/relationships/hyperlink" Target="https://drive.google.com/drive/folders/10T2cTQHqEJZqE-st6uFKPoI?usp=share_link" TargetMode="External"/><Relationship Id="rId2758" Type="http://schemas.openxmlformats.org/officeDocument/2006/relationships/hyperlink" Target="https://drive.google.com/drive/folders/10T2cTQHqEJZqE-st6uFKPoI?usp=share_link" TargetMode="External"/><Relationship Id="rId1428" Type="http://schemas.openxmlformats.org/officeDocument/2006/relationships/hyperlink" Target="https://drive.google.com/drive/folders/10T2cTQHqEJZqE-st6uFKPoI?usp=share_link" TargetMode="External"/><Relationship Id="rId2759" Type="http://schemas.openxmlformats.org/officeDocument/2006/relationships/hyperlink" Target="https://drive.google.com/drive/folders/10T2cTQHqEJZqE-st6uFKPoI?usp=share_link" TargetMode="External"/><Relationship Id="rId1429" Type="http://schemas.openxmlformats.org/officeDocument/2006/relationships/hyperlink" Target="https://drive.google.com/drive/folders/10T2cTQHqEJZqE-st6uFKPoI?usp=share_link" TargetMode="External"/><Relationship Id="rId2750" Type="http://schemas.openxmlformats.org/officeDocument/2006/relationships/hyperlink" Target="https://drive.google.com/drive/folders/10T2cTQHqEJZqE-st6uFKPoI?usp=share_link" TargetMode="External"/><Relationship Id="rId1420" Type="http://schemas.openxmlformats.org/officeDocument/2006/relationships/hyperlink" Target="https://drive.google.com/drive/folders/10T2cTQHqEJZqE-st6uFKPoI?usp=share_link" TargetMode="External"/><Relationship Id="rId2751" Type="http://schemas.openxmlformats.org/officeDocument/2006/relationships/hyperlink" Target="https://drive.google.com/drive/folders/10T2cTQHqEJZqE-st6uFKPoI?usp=share_link" TargetMode="External"/><Relationship Id="rId1421" Type="http://schemas.openxmlformats.org/officeDocument/2006/relationships/hyperlink" Target="https://drive.google.com/drive/folders/10T2cTQHqEJZqE-st6uFKPoI?usp=share_link" TargetMode="External"/><Relationship Id="rId2752" Type="http://schemas.openxmlformats.org/officeDocument/2006/relationships/hyperlink" Target="https://drive.google.com/drive/folders/10T2cTQHqEJZqE-st6uFKPoI?usp=share_link" TargetMode="External"/><Relationship Id="rId3238" Type="http://schemas.openxmlformats.org/officeDocument/2006/relationships/hyperlink" Target="https://drive.google.com/drive/folders/10T2cTQHqEJZqE-st6uFKPoI?usp=share_link" TargetMode="External"/><Relationship Id="rId4569" Type="http://schemas.openxmlformats.org/officeDocument/2006/relationships/hyperlink" Target="https://drive.google.com/drive/folders/10T2cTQHqEJZqE-st6uFKPoI?usp=share_link" TargetMode="External"/><Relationship Id="rId3237" Type="http://schemas.openxmlformats.org/officeDocument/2006/relationships/hyperlink" Target="https://drive.google.com/drive/folders/10T2cTQHqEJZqE-st6uFKPoI?usp=share_link" TargetMode="External"/><Relationship Id="rId4568" Type="http://schemas.openxmlformats.org/officeDocument/2006/relationships/hyperlink" Target="https://drive.google.com/drive/folders/10T2cTQHqEJZqE-st6uFKPoI?usp=share_link" TargetMode="External"/><Relationship Id="rId5899" Type="http://schemas.openxmlformats.org/officeDocument/2006/relationships/hyperlink" Target="https://drive.google.com/drive/folders/10T2cTQHqEJZqE-st6uFKPoI?usp=share_link" TargetMode="External"/><Relationship Id="rId3239" Type="http://schemas.openxmlformats.org/officeDocument/2006/relationships/hyperlink" Target="https://drive.google.com/drive/folders/10T2cTQHqEJZqE-st6uFKPoI?usp=share_link" TargetMode="External"/><Relationship Id="rId5890" Type="http://schemas.openxmlformats.org/officeDocument/2006/relationships/hyperlink" Target="https://drive.google.com/drive/folders/10T2cTQHqEJZqE-st6uFKPoI?usp=share_link" TargetMode="External"/><Relationship Id="rId3230" Type="http://schemas.openxmlformats.org/officeDocument/2006/relationships/hyperlink" Target="https://drive.google.com/drive/folders/10T2cTQHqEJZqE-st6uFKPoI?usp=share_link" TargetMode="External"/><Relationship Id="rId4561" Type="http://schemas.openxmlformats.org/officeDocument/2006/relationships/hyperlink" Target="https://drive.google.com/drive/folders/10T2cTQHqEJZqE-st6uFKPoI?usp=share_link" TargetMode="External"/><Relationship Id="rId5893" Type="http://schemas.openxmlformats.org/officeDocument/2006/relationships/hyperlink" Target="https://drive.google.com/drive/folders/10T2cTQHqEJZqE-st6uFKPoI?usp=share_link" TargetMode="External"/><Relationship Id="rId4560" Type="http://schemas.openxmlformats.org/officeDocument/2006/relationships/hyperlink" Target="https://drive.google.com/drive/folders/10T2cTQHqEJZqE-st6uFKPoI?usp=share_link" TargetMode="External"/><Relationship Id="rId5894" Type="http://schemas.openxmlformats.org/officeDocument/2006/relationships/hyperlink" Target="https://drive.google.com/drive/folders/10T2cTQHqEJZqE-st6uFKPoI?usp=share_link" TargetMode="External"/><Relationship Id="rId3232" Type="http://schemas.openxmlformats.org/officeDocument/2006/relationships/hyperlink" Target="https://drive.google.com/drive/folders/10T2cTQHqEJZqE-st6uFKPoI?usp=share_link" TargetMode="External"/><Relationship Id="rId4563" Type="http://schemas.openxmlformats.org/officeDocument/2006/relationships/hyperlink" Target="https://drive.google.com/drive/folders/10T2cTQHqEJZqE-st6uFKPoI?usp=share_link" TargetMode="External"/><Relationship Id="rId5891" Type="http://schemas.openxmlformats.org/officeDocument/2006/relationships/hyperlink" Target="https://drive.google.com/drive/folders/10T2cTQHqEJZqE-st6uFKPoI?usp=share_link" TargetMode="External"/><Relationship Id="rId3231" Type="http://schemas.openxmlformats.org/officeDocument/2006/relationships/hyperlink" Target="https://drive.google.com/drive/folders/10T2cTQHqEJZqE-st6uFKPoI?usp=share_link" TargetMode="External"/><Relationship Id="rId4562" Type="http://schemas.openxmlformats.org/officeDocument/2006/relationships/hyperlink" Target="https://drive.google.com/drive/folders/10T2cTQHqEJZqE-st6uFKPoI?usp=share_link" TargetMode="External"/><Relationship Id="rId5892" Type="http://schemas.openxmlformats.org/officeDocument/2006/relationships/hyperlink" Target="https://drive.google.com/drive/folders/10T2cTQHqEJZqE-st6uFKPoI?usp=share_link" TargetMode="External"/><Relationship Id="rId3234" Type="http://schemas.openxmlformats.org/officeDocument/2006/relationships/hyperlink" Target="https://drive.google.com/drive/folders/10T2cTQHqEJZqE-st6uFKPoI?usp=share_link" TargetMode="External"/><Relationship Id="rId4565" Type="http://schemas.openxmlformats.org/officeDocument/2006/relationships/hyperlink" Target="https://drive.google.com/drive/folders/10T2cTQHqEJZqE-st6uFKPoI?usp=share_link" TargetMode="External"/><Relationship Id="rId5897" Type="http://schemas.openxmlformats.org/officeDocument/2006/relationships/hyperlink" Target="https://drive.google.com/drive/folders/10T2cTQHqEJZqE-st6uFKPoI?usp=share_link" TargetMode="External"/><Relationship Id="rId3233" Type="http://schemas.openxmlformats.org/officeDocument/2006/relationships/hyperlink" Target="https://drive.google.com/drive/folders/10T2cTQHqEJZqE-st6uFKPoI?usp=share_link" TargetMode="External"/><Relationship Id="rId4564" Type="http://schemas.openxmlformats.org/officeDocument/2006/relationships/hyperlink" Target="https://drive.google.com/drive/folders/10T2cTQHqEJZqE-st6uFKPoI?usp=share_link" TargetMode="External"/><Relationship Id="rId5898" Type="http://schemas.openxmlformats.org/officeDocument/2006/relationships/hyperlink" Target="https://drive.google.com/drive/folders/10T2cTQHqEJZqE-st6uFKPoI?usp=share_link" TargetMode="External"/><Relationship Id="rId3236" Type="http://schemas.openxmlformats.org/officeDocument/2006/relationships/hyperlink" Target="https://drive.google.com/drive/folders/10T2cTQHqEJZqE-st6uFKPoI?usp=share_link" TargetMode="External"/><Relationship Id="rId4567" Type="http://schemas.openxmlformats.org/officeDocument/2006/relationships/hyperlink" Target="https://drive.google.com/drive/folders/10T2cTQHqEJZqE-st6uFKPoI?usp=share_link" TargetMode="External"/><Relationship Id="rId5895" Type="http://schemas.openxmlformats.org/officeDocument/2006/relationships/hyperlink" Target="https://drive.google.com/drive/folders/10T2cTQHqEJZqE-st6uFKPoI?usp=share_link" TargetMode="External"/><Relationship Id="rId3235" Type="http://schemas.openxmlformats.org/officeDocument/2006/relationships/hyperlink" Target="https://drive.google.com/drive/folders/10T2cTQHqEJZqE-st6uFKPoI?usp=share_link" TargetMode="External"/><Relationship Id="rId4566" Type="http://schemas.openxmlformats.org/officeDocument/2006/relationships/hyperlink" Target="https://drive.google.com/drive/folders/10T2cTQHqEJZqE-st6uFKPoI?usp=share_link" TargetMode="External"/><Relationship Id="rId5896" Type="http://schemas.openxmlformats.org/officeDocument/2006/relationships/hyperlink" Target="https://drive.google.com/drive/folders/10T2cTQHqEJZqE-st6uFKPoI?usp=share_link" TargetMode="External"/><Relationship Id="rId3227" Type="http://schemas.openxmlformats.org/officeDocument/2006/relationships/hyperlink" Target="https://drive.google.com/drive/folders/10T2cTQHqEJZqE-st6uFKPoI?usp=share_link" TargetMode="External"/><Relationship Id="rId4558" Type="http://schemas.openxmlformats.org/officeDocument/2006/relationships/hyperlink" Target="https://drive.google.com/drive/folders/10T2cTQHqEJZqE-st6uFKPoI?usp=share_link" TargetMode="External"/><Relationship Id="rId3226" Type="http://schemas.openxmlformats.org/officeDocument/2006/relationships/hyperlink" Target="https://drive.google.com/drive/folders/10T2cTQHqEJZqE-st6uFKPoI?usp=share_link" TargetMode="External"/><Relationship Id="rId4557" Type="http://schemas.openxmlformats.org/officeDocument/2006/relationships/hyperlink" Target="https://drive.google.com/drive/folders/10T2cTQHqEJZqE-st6uFKPoI?usp=share_link" TargetMode="External"/><Relationship Id="rId3229" Type="http://schemas.openxmlformats.org/officeDocument/2006/relationships/hyperlink" Target="https://drive.google.com/drive/folders/10T2cTQHqEJZqE-st6uFKPoI?usp=share_link" TargetMode="External"/><Relationship Id="rId5888" Type="http://schemas.openxmlformats.org/officeDocument/2006/relationships/hyperlink" Target="https://drive.google.com/drive/folders/10T2cTQHqEJZqE-st6uFKPoI?usp=share_link" TargetMode="External"/><Relationship Id="rId3228" Type="http://schemas.openxmlformats.org/officeDocument/2006/relationships/hyperlink" Target="https://drive.google.com/drive/folders/10T2cTQHqEJZqE-st6uFKPoI?usp=share_link" TargetMode="External"/><Relationship Id="rId4559" Type="http://schemas.openxmlformats.org/officeDocument/2006/relationships/hyperlink" Target="https://drive.google.com/drive/folders/10T2cTQHqEJZqE-st6uFKPoI?usp=share_link" TargetMode="External"/><Relationship Id="rId5889" Type="http://schemas.openxmlformats.org/officeDocument/2006/relationships/hyperlink" Target="https://drive.google.com/drive/folders/10T2cTQHqEJZqE-st6uFKPoI?usp=share_link" TargetMode="External"/><Relationship Id="rId699" Type="http://schemas.openxmlformats.org/officeDocument/2006/relationships/hyperlink" Target="https://drive.google.com/drive/folders/10T2cTQHqEJZqE-st6uFKPoI?usp=share_link" TargetMode="External"/><Relationship Id="rId698" Type="http://schemas.openxmlformats.org/officeDocument/2006/relationships/hyperlink" Target="https://drive.google.com/drive/folders/10T2cTQHqEJZqE-st6uFKPoI?usp=share_link" TargetMode="External"/><Relationship Id="rId693" Type="http://schemas.openxmlformats.org/officeDocument/2006/relationships/hyperlink" Target="https://drive.google.com/drive/folders/10T2cTQHqEJZqE-st6uFKPoI?usp=share_link" TargetMode="External"/><Relationship Id="rId4550" Type="http://schemas.openxmlformats.org/officeDocument/2006/relationships/hyperlink" Target="https://drive.google.com/drive/folders/10T2cTQHqEJZqE-st6uFKPoI?usp=share_link" TargetMode="External"/><Relationship Id="rId5882" Type="http://schemas.openxmlformats.org/officeDocument/2006/relationships/hyperlink" Target="https://drive.google.com/drive/folders/10T2cTQHqEJZqE-st6uFKPoI?usp=share_link" TargetMode="External"/><Relationship Id="rId692" Type="http://schemas.openxmlformats.org/officeDocument/2006/relationships/hyperlink" Target="https://drive.google.com/drive/folders/10T2cTQHqEJZqE-st6uFKPoI?usp=share_link" TargetMode="External"/><Relationship Id="rId5883" Type="http://schemas.openxmlformats.org/officeDocument/2006/relationships/hyperlink" Target="https://drive.google.com/drive/folders/10T2cTQHqEJZqE-st6uFKPoI?usp=share_link" TargetMode="External"/><Relationship Id="rId691" Type="http://schemas.openxmlformats.org/officeDocument/2006/relationships/hyperlink" Target="https://drive.google.com/drive/folders/10T2cTQHqEJZqE-st6uFKPoI?usp=share_link" TargetMode="External"/><Relationship Id="rId3221" Type="http://schemas.openxmlformats.org/officeDocument/2006/relationships/hyperlink" Target="https://drive.google.com/drive/folders/10T2cTQHqEJZqE-st6uFKPoI?usp=share_link" TargetMode="External"/><Relationship Id="rId4552" Type="http://schemas.openxmlformats.org/officeDocument/2006/relationships/hyperlink" Target="https://drive.google.com/drive/folders/10T2cTQHqEJZqE-st6uFKPoI?usp=share_link" TargetMode="External"/><Relationship Id="rId5880" Type="http://schemas.openxmlformats.org/officeDocument/2006/relationships/hyperlink" Target="https://drive.google.com/drive/folders/10T2cTQHqEJZqE-st6uFKPoI?usp=share_link" TargetMode="External"/><Relationship Id="rId690" Type="http://schemas.openxmlformats.org/officeDocument/2006/relationships/hyperlink" Target="https://drive.google.com/drive/folders/10T2cTQHqEJZqE-st6uFKPoI?usp=share_link" TargetMode="External"/><Relationship Id="rId3220" Type="http://schemas.openxmlformats.org/officeDocument/2006/relationships/hyperlink" Target="https://drive.google.com/drive/folders/10T2cTQHqEJZqE-st6uFKPoI?usp=share_link" TargetMode="External"/><Relationship Id="rId4551" Type="http://schemas.openxmlformats.org/officeDocument/2006/relationships/hyperlink" Target="https://drive.google.com/drive/folders/10T2cTQHqEJZqE-st6uFKPoI?usp=share_link" TargetMode="External"/><Relationship Id="rId5881" Type="http://schemas.openxmlformats.org/officeDocument/2006/relationships/hyperlink" Target="https://drive.google.com/drive/folders/10T2cTQHqEJZqE-st6uFKPoI?usp=share_link" TargetMode="External"/><Relationship Id="rId697" Type="http://schemas.openxmlformats.org/officeDocument/2006/relationships/hyperlink" Target="https://drive.google.com/drive/folders/10T2cTQHqEJZqE-st6uFKPoI?usp=share_link" TargetMode="External"/><Relationship Id="rId3223" Type="http://schemas.openxmlformats.org/officeDocument/2006/relationships/hyperlink" Target="https://drive.google.com/drive/folders/10T2cTQHqEJZqE-st6uFKPoI?usp=share_link" TargetMode="External"/><Relationship Id="rId4554" Type="http://schemas.openxmlformats.org/officeDocument/2006/relationships/hyperlink" Target="https://drive.google.com/drive/folders/10T2cTQHqEJZqE-st6uFKPoI?usp=share_link" TargetMode="External"/><Relationship Id="rId5886" Type="http://schemas.openxmlformats.org/officeDocument/2006/relationships/hyperlink" Target="https://drive.google.com/drive/folders/10T2cTQHqEJZqE-st6uFKPoI?usp=share_link" TargetMode="External"/><Relationship Id="rId696" Type="http://schemas.openxmlformats.org/officeDocument/2006/relationships/hyperlink" Target="https://drive.google.com/drive/folders/10T2cTQHqEJZqE-st6uFKPoI?usp=share_link" TargetMode="External"/><Relationship Id="rId3222" Type="http://schemas.openxmlformats.org/officeDocument/2006/relationships/hyperlink" Target="https://drive.google.com/drive/folders/10T2cTQHqEJZqE-st6uFKPoI?usp=share_link" TargetMode="External"/><Relationship Id="rId4553" Type="http://schemas.openxmlformats.org/officeDocument/2006/relationships/hyperlink" Target="https://drive.google.com/drive/folders/10T2cTQHqEJZqE-st6uFKPoI?usp=share_link" TargetMode="External"/><Relationship Id="rId5887" Type="http://schemas.openxmlformats.org/officeDocument/2006/relationships/hyperlink" Target="https://drive.google.com/drive/folders/10T2cTQHqEJZqE-st6uFKPoI?usp=share_link" TargetMode="External"/><Relationship Id="rId695" Type="http://schemas.openxmlformats.org/officeDocument/2006/relationships/hyperlink" Target="https://drive.google.com/drive/folders/10T2cTQHqEJZqE-st6uFKPoI?usp=share_link" TargetMode="External"/><Relationship Id="rId3225" Type="http://schemas.openxmlformats.org/officeDocument/2006/relationships/hyperlink" Target="https://drive.google.com/drive/folders/10T2cTQHqEJZqE-st6uFKPoI?usp=share_link" TargetMode="External"/><Relationship Id="rId4556" Type="http://schemas.openxmlformats.org/officeDocument/2006/relationships/hyperlink" Target="https://drive.google.com/drive/folders/10T2cTQHqEJZqE-st6uFKPoI?usp=share_link" TargetMode="External"/><Relationship Id="rId5884" Type="http://schemas.openxmlformats.org/officeDocument/2006/relationships/hyperlink" Target="https://drive.google.com/drive/folders/10T2cTQHqEJZqE-st6uFKPoI?usp=share_link" TargetMode="External"/><Relationship Id="rId694" Type="http://schemas.openxmlformats.org/officeDocument/2006/relationships/hyperlink" Target="https://drive.google.com/drive/folders/10T2cTQHqEJZqE-st6uFKPoI?usp=share_link" TargetMode="External"/><Relationship Id="rId3224" Type="http://schemas.openxmlformats.org/officeDocument/2006/relationships/hyperlink" Target="https://drive.google.com/drive/folders/10T2cTQHqEJZqE-st6uFKPoI?usp=share_link" TargetMode="External"/><Relationship Id="rId4555" Type="http://schemas.openxmlformats.org/officeDocument/2006/relationships/hyperlink" Target="https://drive.google.com/drive/folders/10T2cTQHqEJZqE-st6uFKPoI?usp=share_link" TargetMode="External"/><Relationship Id="rId5885" Type="http://schemas.openxmlformats.org/officeDocument/2006/relationships/hyperlink" Target="https://drive.google.com/drive/folders/10T2cTQHqEJZqE-st6uFKPoI?usp=share_link" TargetMode="External"/><Relationship Id="rId3259" Type="http://schemas.openxmlformats.org/officeDocument/2006/relationships/hyperlink" Target="https://drive.google.com/drive/folders/10T2cTQHqEJZqE-st6uFKPoI?usp=share_link" TargetMode="External"/><Relationship Id="rId3250" Type="http://schemas.openxmlformats.org/officeDocument/2006/relationships/hyperlink" Target="https://drive.google.com/drive/folders/10T2cTQHqEJZqE-st6uFKPoI?usp=share_link" TargetMode="External"/><Relationship Id="rId4581" Type="http://schemas.openxmlformats.org/officeDocument/2006/relationships/hyperlink" Target="https://drive.google.com/drive/folders/10T2cTQHqEJZqE-st6uFKPoI?usp=share_link" TargetMode="External"/><Relationship Id="rId4580" Type="http://schemas.openxmlformats.org/officeDocument/2006/relationships/hyperlink" Target="https://drive.google.com/drive/folders/10T2cTQHqEJZqE-st6uFKPoI?usp=share_link" TargetMode="External"/><Relationship Id="rId3252" Type="http://schemas.openxmlformats.org/officeDocument/2006/relationships/hyperlink" Target="https://drive.google.com/drive/folders/10T2cTQHqEJZqE-st6uFKPoI?usp=share_link" TargetMode="External"/><Relationship Id="rId4583" Type="http://schemas.openxmlformats.org/officeDocument/2006/relationships/hyperlink" Target="https://drive.google.com/drive/folders/10T2cTQHqEJZqE-st6uFKPoI?usp=share_link" TargetMode="External"/><Relationship Id="rId3251" Type="http://schemas.openxmlformats.org/officeDocument/2006/relationships/hyperlink" Target="https://drive.google.com/drive/folders/10T2cTQHqEJZqE-st6uFKPoI?usp=share_link" TargetMode="External"/><Relationship Id="rId4582" Type="http://schemas.openxmlformats.org/officeDocument/2006/relationships/hyperlink" Target="https://drive.google.com/drive/folders/10T2cTQHqEJZqE-st6uFKPoI?usp=share_link" TargetMode="External"/><Relationship Id="rId3254" Type="http://schemas.openxmlformats.org/officeDocument/2006/relationships/hyperlink" Target="https://drive.google.com/drive/folders/10T2cTQHqEJZqE-st6uFKPoI?usp=share_link" TargetMode="External"/><Relationship Id="rId4585" Type="http://schemas.openxmlformats.org/officeDocument/2006/relationships/hyperlink" Target="https://drive.google.com/drive/folders/10T2cTQHqEJZqE-st6uFKPoI?usp=share_link" TargetMode="External"/><Relationship Id="rId3253" Type="http://schemas.openxmlformats.org/officeDocument/2006/relationships/hyperlink" Target="https://drive.google.com/drive/folders/10T2cTQHqEJZqE-st6uFKPoI?usp=share_link" TargetMode="External"/><Relationship Id="rId4584" Type="http://schemas.openxmlformats.org/officeDocument/2006/relationships/hyperlink" Target="https://drive.google.com/drive/folders/10T2cTQHqEJZqE-st6uFKPoI?usp=share_link" TargetMode="External"/><Relationship Id="rId3256" Type="http://schemas.openxmlformats.org/officeDocument/2006/relationships/hyperlink" Target="https://drive.google.com/drive/folders/10T2cTQHqEJZqE-st6uFKPoI?usp=share_link" TargetMode="External"/><Relationship Id="rId4587" Type="http://schemas.openxmlformats.org/officeDocument/2006/relationships/hyperlink" Target="https://drive.google.com/drive/folders/10T2cTQHqEJZqE-st6uFKPoI?usp=share_link" TargetMode="External"/><Relationship Id="rId3255" Type="http://schemas.openxmlformats.org/officeDocument/2006/relationships/hyperlink" Target="https://drive.google.com/drive/folders/10T2cTQHqEJZqE-st6uFKPoI?usp=share_link" TargetMode="External"/><Relationship Id="rId4586" Type="http://schemas.openxmlformats.org/officeDocument/2006/relationships/hyperlink" Target="https://drive.google.com/drive/folders/10T2cTQHqEJZqE-st6uFKPoI?usp=share_link" TargetMode="External"/><Relationship Id="rId3258" Type="http://schemas.openxmlformats.org/officeDocument/2006/relationships/hyperlink" Target="https://drive.google.com/drive/folders/10T2cTQHqEJZqE-st6uFKPoI?usp=share_link" TargetMode="External"/><Relationship Id="rId4589" Type="http://schemas.openxmlformats.org/officeDocument/2006/relationships/hyperlink" Target="https://drive.google.com/drive/folders/10T2cTQHqEJZqE-st6uFKPoI?usp=share_link" TargetMode="External"/><Relationship Id="rId3257" Type="http://schemas.openxmlformats.org/officeDocument/2006/relationships/hyperlink" Target="https://drive.google.com/drive/folders/10T2cTQHqEJZqE-st6uFKPoI?usp=share_link" TargetMode="External"/><Relationship Id="rId4588" Type="http://schemas.openxmlformats.org/officeDocument/2006/relationships/hyperlink" Target="https://drive.google.com/drive/folders/10T2cTQHqEJZqE-st6uFKPoI?usp=share_link" TargetMode="External"/><Relationship Id="rId3249" Type="http://schemas.openxmlformats.org/officeDocument/2006/relationships/hyperlink" Target="https://drive.google.com/drive/folders/10T2cTQHqEJZqE-st6uFKPoI?usp=share_link" TargetMode="External"/><Relationship Id="rId3248" Type="http://schemas.openxmlformats.org/officeDocument/2006/relationships/hyperlink" Target="https://drive.google.com/drive/folders/10T2cTQHqEJZqE-st6uFKPoI?usp=share_link" TargetMode="External"/><Relationship Id="rId4579" Type="http://schemas.openxmlformats.org/officeDocument/2006/relationships/hyperlink" Target="https://drive.google.com/drive/folders/10T2cTQHqEJZqE-st6uFKPoI?usp=share_link" TargetMode="External"/><Relationship Id="rId4570" Type="http://schemas.openxmlformats.org/officeDocument/2006/relationships/hyperlink" Target="https://drive.google.com/drive/folders/10T2cTQHqEJZqE-st6uFKPoI?usp=share_link" TargetMode="External"/><Relationship Id="rId3241" Type="http://schemas.openxmlformats.org/officeDocument/2006/relationships/hyperlink" Target="https://drive.google.com/drive/folders/10T2cTQHqEJZqE-st6uFKPoI?usp=share_link" TargetMode="External"/><Relationship Id="rId4572" Type="http://schemas.openxmlformats.org/officeDocument/2006/relationships/hyperlink" Target="https://drive.google.com/drive/folders/10T2cTQHqEJZqE-st6uFKPoI?usp=share_link" TargetMode="External"/><Relationship Id="rId3240" Type="http://schemas.openxmlformats.org/officeDocument/2006/relationships/hyperlink" Target="https://drive.google.com/drive/folders/10T2cTQHqEJZqE-st6uFKPoI?usp=share_link" TargetMode="External"/><Relationship Id="rId4571" Type="http://schemas.openxmlformats.org/officeDocument/2006/relationships/hyperlink" Target="https://drive.google.com/drive/folders/10T2cTQHqEJZqE-st6uFKPoI?usp=share_link" TargetMode="External"/><Relationship Id="rId3243" Type="http://schemas.openxmlformats.org/officeDocument/2006/relationships/hyperlink" Target="https://drive.google.com/drive/folders/10T2cTQHqEJZqE-st6uFKPoI?usp=share_link" TargetMode="External"/><Relationship Id="rId4574" Type="http://schemas.openxmlformats.org/officeDocument/2006/relationships/hyperlink" Target="https://drive.google.com/drive/folders/10T2cTQHqEJZqE-st6uFKPoI?usp=share_link" TargetMode="External"/><Relationship Id="rId3242" Type="http://schemas.openxmlformats.org/officeDocument/2006/relationships/hyperlink" Target="https://drive.google.com/drive/folders/10T2cTQHqEJZqE-st6uFKPoI?usp=share_link" TargetMode="External"/><Relationship Id="rId4573" Type="http://schemas.openxmlformats.org/officeDocument/2006/relationships/hyperlink" Target="https://drive.google.com/drive/folders/10T2cTQHqEJZqE-st6uFKPoI?usp=share_link" TargetMode="External"/><Relationship Id="rId3245" Type="http://schemas.openxmlformats.org/officeDocument/2006/relationships/hyperlink" Target="https://drive.google.com/drive/folders/10T2cTQHqEJZqE-st6uFKPoI?usp=share_link" TargetMode="External"/><Relationship Id="rId4576" Type="http://schemas.openxmlformats.org/officeDocument/2006/relationships/hyperlink" Target="https://drive.google.com/drive/folders/10T2cTQHqEJZqE-st6uFKPoI?usp=share_link" TargetMode="External"/><Relationship Id="rId3244" Type="http://schemas.openxmlformats.org/officeDocument/2006/relationships/hyperlink" Target="https://drive.google.com/drive/folders/10T2cTQHqEJZqE-st6uFKPoI?usp=share_link" TargetMode="External"/><Relationship Id="rId4575" Type="http://schemas.openxmlformats.org/officeDocument/2006/relationships/hyperlink" Target="https://drive.google.com/drive/folders/10T2cTQHqEJZqE-st6uFKPoI?usp=share_link" TargetMode="External"/><Relationship Id="rId3247" Type="http://schemas.openxmlformats.org/officeDocument/2006/relationships/hyperlink" Target="https://drive.google.com/drive/folders/10T2cTQHqEJZqE-st6uFKPoI?usp=share_link" TargetMode="External"/><Relationship Id="rId4578" Type="http://schemas.openxmlformats.org/officeDocument/2006/relationships/hyperlink" Target="https://drive.google.com/drive/folders/10T2cTQHqEJZqE-st6uFKPoI?usp=share_link" TargetMode="External"/><Relationship Id="rId3246" Type="http://schemas.openxmlformats.org/officeDocument/2006/relationships/hyperlink" Target="https://drive.google.com/drive/folders/10T2cTQHqEJZqE-st6uFKPoI?usp=share_link" TargetMode="External"/><Relationship Id="rId4577" Type="http://schemas.openxmlformats.org/officeDocument/2006/relationships/hyperlink" Target="https://drive.google.com/drive/folders/10T2cTQHqEJZqE-st6uFKPoI?usp=share_link" TargetMode="External"/><Relationship Id="rId1499" Type="http://schemas.openxmlformats.org/officeDocument/2006/relationships/hyperlink" Target="https://drive.google.com/drive/folders/10T2cTQHqEJZqE-st6uFKPoI?usp=share_link" TargetMode="External"/><Relationship Id="rId4525" Type="http://schemas.openxmlformats.org/officeDocument/2006/relationships/hyperlink" Target="https://drive.google.com/drive/folders/10T2cTQHqEJZqE-st6uFKPoI?usp=share_link" TargetMode="External"/><Relationship Id="rId5857" Type="http://schemas.openxmlformats.org/officeDocument/2006/relationships/hyperlink" Target="https://drive.google.com/drive/folders/10T2cTQHqEJZqE-st6uFKPoI?usp=share_link" TargetMode="External"/><Relationship Id="rId4524" Type="http://schemas.openxmlformats.org/officeDocument/2006/relationships/hyperlink" Target="https://drive.google.com/drive/folders/10T2cTQHqEJZqE-st6uFKPoI?usp=share_link" TargetMode="External"/><Relationship Id="rId5858" Type="http://schemas.openxmlformats.org/officeDocument/2006/relationships/hyperlink" Target="https://drive.google.com/drive/folders/10T2cTQHqEJZqE-st6uFKPoI?usp=share_link" TargetMode="External"/><Relationship Id="rId4527" Type="http://schemas.openxmlformats.org/officeDocument/2006/relationships/hyperlink" Target="https://drive.google.com/drive/folders/10T2cTQHqEJZqE-st6uFKPoI?usp=share_link" TargetMode="External"/><Relationship Id="rId5855" Type="http://schemas.openxmlformats.org/officeDocument/2006/relationships/hyperlink" Target="https://drive.google.com/drive/folders/10T2cTQHqEJZqE-st6uFKPoI?usp=share_link" TargetMode="External"/><Relationship Id="rId4526" Type="http://schemas.openxmlformats.org/officeDocument/2006/relationships/hyperlink" Target="https://drive.google.com/drive/folders/10T2cTQHqEJZqE-st6uFKPoI?usp=share_link" TargetMode="External"/><Relationship Id="rId5856" Type="http://schemas.openxmlformats.org/officeDocument/2006/relationships/hyperlink" Target="https://drive.google.com/drive/folders/10T2cTQHqEJZqE-st6uFKPoI?usp=share_link" TargetMode="External"/><Relationship Id="rId4529" Type="http://schemas.openxmlformats.org/officeDocument/2006/relationships/hyperlink" Target="https://drive.google.com/drive/folders/10T2cTQHqEJZqE-st6uFKPoI?usp=share_link" TargetMode="External"/><Relationship Id="rId4528" Type="http://schemas.openxmlformats.org/officeDocument/2006/relationships/hyperlink" Target="https://drive.google.com/drive/folders/10T2cTQHqEJZqE-st6uFKPoI?usp=share_link" TargetMode="External"/><Relationship Id="rId5859" Type="http://schemas.openxmlformats.org/officeDocument/2006/relationships/hyperlink" Target="https://drive.google.com/drive/folders/10T2cTQHqEJZqE-st6uFKPoI?usp=share_link" TargetMode="External"/><Relationship Id="rId668" Type="http://schemas.openxmlformats.org/officeDocument/2006/relationships/hyperlink" Target="https://drive.google.com/drive/folders/10T2cTQHqEJZqE-st6uFKPoI?usp=share_link" TargetMode="External"/><Relationship Id="rId667" Type="http://schemas.openxmlformats.org/officeDocument/2006/relationships/hyperlink" Target="https://drive.google.com/drive/folders/10T2cTQHqEJZqE-st6uFKPoI?usp=share_link" TargetMode="External"/><Relationship Id="rId666" Type="http://schemas.openxmlformats.org/officeDocument/2006/relationships/hyperlink" Target="https://drive.google.com/drive/folders/10T2cTQHqEJZqE-st6uFKPoI?usp=share_link" TargetMode="External"/><Relationship Id="rId665" Type="http://schemas.openxmlformats.org/officeDocument/2006/relationships/hyperlink" Target="https://drive.google.com/drive/folders/10T2cTQHqEJZqE-st6uFKPoI?usp=share_link" TargetMode="External"/><Relationship Id="rId669" Type="http://schemas.openxmlformats.org/officeDocument/2006/relationships/hyperlink" Target="https://drive.google.com/drive/folders/10T2cTQHqEJZqE-st6uFKPoI?usp=share_link" TargetMode="External"/><Relationship Id="rId1490" Type="http://schemas.openxmlformats.org/officeDocument/2006/relationships/hyperlink" Target="https://drive.google.com/drive/folders/10T2cTQHqEJZqE-st6uFKPoI?usp=share_link" TargetMode="External"/><Relationship Id="rId660" Type="http://schemas.openxmlformats.org/officeDocument/2006/relationships/hyperlink" Target="https://drive.google.com/drive/folders/10T2cTQHqEJZqE-st6uFKPoI?usp=share_link" TargetMode="External"/><Relationship Id="rId1491" Type="http://schemas.openxmlformats.org/officeDocument/2006/relationships/hyperlink" Target="https://drive.google.com/drive/folders/10T2cTQHqEJZqE-st6uFKPoI?usp=share_link" TargetMode="External"/><Relationship Id="rId1492" Type="http://schemas.openxmlformats.org/officeDocument/2006/relationships/hyperlink" Target="https://drive.google.com/drive/folders/10T2cTQHqEJZqE-st6uFKPoI?usp=share_link" TargetMode="External"/><Relationship Id="rId5850" Type="http://schemas.openxmlformats.org/officeDocument/2006/relationships/hyperlink" Target="https://drive.google.com/drive/folders/10T2cTQHqEJZqE-st6uFKPoI?usp=share_link" TargetMode="External"/><Relationship Id="rId1493" Type="http://schemas.openxmlformats.org/officeDocument/2006/relationships/hyperlink" Target="https://drive.google.com/drive/folders/10T2cTQHqEJZqE-st6uFKPoI?usp=share_link" TargetMode="External"/><Relationship Id="rId1494" Type="http://schemas.openxmlformats.org/officeDocument/2006/relationships/hyperlink" Target="https://drive.google.com/drive/folders/10T2cTQHqEJZqE-st6uFKPoI?usp=share_link" TargetMode="External"/><Relationship Id="rId664" Type="http://schemas.openxmlformats.org/officeDocument/2006/relationships/hyperlink" Target="https://drive.google.com/drive/folders/10T2cTQHqEJZqE-st6uFKPoI?usp=share_link" TargetMode="External"/><Relationship Id="rId1495" Type="http://schemas.openxmlformats.org/officeDocument/2006/relationships/hyperlink" Target="https://drive.google.com/drive/folders/10T2cTQHqEJZqE-st6uFKPoI?usp=share_link" TargetMode="External"/><Relationship Id="rId4521" Type="http://schemas.openxmlformats.org/officeDocument/2006/relationships/hyperlink" Target="https://drive.google.com/drive/folders/10T2cTQHqEJZqE-st6uFKPoI?usp=share_link" TargetMode="External"/><Relationship Id="rId5853" Type="http://schemas.openxmlformats.org/officeDocument/2006/relationships/hyperlink" Target="https://drive.google.com/drive/folders/10T2cTQHqEJZqE-st6uFKPoI?usp=share_link" TargetMode="External"/><Relationship Id="rId663" Type="http://schemas.openxmlformats.org/officeDocument/2006/relationships/hyperlink" Target="https://drive.google.com/drive/folders/10T2cTQHqEJZqE-st6uFKPoI?usp=share_link" TargetMode="External"/><Relationship Id="rId1496" Type="http://schemas.openxmlformats.org/officeDocument/2006/relationships/hyperlink" Target="https://drive.google.com/drive/folders/10T2cTQHqEJZqE-st6uFKPoI?usp=share_link" TargetMode="External"/><Relationship Id="rId4520" Type="http://schemas.openxmlformats.org/officeDocument/2006/relationships/hyperlink" Target="https://drive.google.com/drive/folders/10T2cTQHqEJZqE-st6uFKPoI?usp=share_link" TargetMode="External"/><Relationship Id="rId5854" Type="http://schemas.openxmlformats.org/officeDocument/2006/relationships/hyperlink" Target="https://drive.google.com/drive/folders/10T2cTQHqEJZqE-st6uFKPoI?usp=share_link" TargetMode="External"/><Relationship Id="rId662" Type="http://schemas.openxmlformats.org/officeDocument/2006/relationships/hyperlink" Target="https://drive.google.com/drive/folders/10T2cTQHqEJZqE-st6uFKPoI?usp=share_link" TargetMode="External"/><Relationship Id="rId1497" Type="http://schemas.openxmlformats.org/officeDocument/2006/relationships/hyperlink" Target="https://drive.google.com/drive/folders/10T2cTQHqEJZqE-st6uFKPoI?usp=share_link" TargetMode="External"/><Relationship Id="rId4523" Type="http://schemas.openxmlformats.org/officeDocument/2006/relationships/hyperlink" Target="https://drive.google.com/drive/folders/10T2cTQHqEJZqE-st6uFKPoI?usp=share_link" TargetMode="External"/><Relationship Id="rId5851" Type="http://schemas.openxmlformats.org/officeDocument/2006/relationships/hyperlink" Target="https://drive.google.com/drive/folders/10T2cTQHqEJZqE-st6uFKPoI?usp=share_link" TargetMode="External"/><Relationship Id="rId661" Type="http://schemas.openxmlformats.org/officeDocument/2006/relationships/hyperlink" Target="https://drive.google.com/drive/folders/10T2cTQHqEJZqE-st6uFKPoI?usp=share_link" TargetMode="External"/><Relationship Id="rId1498" Type="http://schemas.openxmlformats.org/officeDocument/2006/relationships/hyperlink" Target="https://drive.google.com/drive/folders/10T2cTQHqEJZqE-st6uFKPoI?usp=share_link" TargetMode="External"/><Relationship Id="rId4522" Type="http://schemas.openxmlformats.org/officeDocument/2006/relationships/hyperlink" Target="https://drive.google.com/drive/folders/10T2cTQHqEJZqE-st6uFKPoI?usp=share_link" TargetMode="External"/><Relationship Id="rId5852" Type="http://schemas.openxmlformats.org/officeDocument/2006/relationships/hyperlink" Target="https://drive.google.com/drive/folders/10T2cTQHqEJZqE-st6uFKPoI?usp=share_link" TargetMode="External"/><Relationship Id="rId1488" Type="http://schemas.openxmlformats.org/officeDocument/2006/relationships/hyperlink" Target="https://drive.google.com/drive/folders/10T2cTQHqEJZqE-st6uFKPoI?usp=share_link" TargetMode="External"/><Relationship Id="rId4514" Type="http://schemas.openxmlformats.org/officeDocument/2006/relationships/hyperlink" Target="https://drive.google.com/drive/folders/10T2cTQHqEJZqE-st6uFKPoI?usp=share_link" TargetMode="External"/><Relationship Id="rId5846" Type="http://schemas.openxmlformats.org/officeDocument/2006/relationships/hyperlink" Target="https://drive.google.com/drive/folders/10T2cTQHqEJZqE-st6uFKPoI?usp=share_link" TargetMode="External"/><Relationship Id="rId1489" Type="http://schemas.openxmlformats.org/officeDocument/2006/relationships/hyperlink" Target="https://drive.google.com/drive/folders/10T2cTQHqEJZqE-st6uFKPoI?usp=share_link" TargetMode="External"/><Relationship Id="rId4513" Type="http://schemas.openxmlformats.org/officeDocument/2006/relationships/hyperlink" Target="https://drive.google.com/drive/folders/10T2cTQHqEJZqE-st6uFKPoI?usp=share_link" TargetMode="External"/><Relationship Id="rId5847" Type="http://schemas.openxmlformats.org/officeDocument/2006/relationships/hyperlink" Target="https://drive.google.com/drive/folders/10T2cTQHqEJZqE-st6uFKPoI?usp=share_link" TargetMode="External"/><Relationship Id="rId4516" Type="http://schemas.openxmlformats.org/officeDocument/2006/relationships/hyperlink" Target="https://drive.google.com/drive/folders/10T2cTQHqEJZqE-st6uFKPoI?usp=share_link" TargetMode="External"/><Relationship Id="rId5844" Type="http://schemas.openxmlformats.org/officeDocument/2006/relationships/hyperlink" Target="https://drive.google.com/drive/folders/10T2cTQHqEJZqE-st6uFKPoI?usp=share_link" TargetMode="External"/><Relationship Id="rId4515" Type="http://schemas.openxmlformats.org/officeDocument/2006/relationships/hyperlink" Target="https://drive.google.com/drive/folders/10T2cTQHqEJZqE-st6uFKPoI?usp=share_link" TargetMode="External"/><Relationship Id="rId5845" Type="http://schemas.openxmlformats.org/officeDocument/2006/relationships/hyperlink" Target="https://drive.google.com/drive/folders/10T2cTQHqEJZqE-st6uFKPoI?usp=share_link" TargetMode="External"/><Relationship Id="rId4518" Type="http://schemas.openxmlformats.org/officeDocument/2006/relationships/hyperlink" Target="https://drive.google.com/drive/folders/10T2cTQHqEJZqE-st6uFKPoI?usp=share_link" TargetMode="External"/><Relationship Id="rId4517" Type="http://schemas.openxmlformats.org/officeDocument/2006/relationships/hyperlink" Target="https://drive.google.com/drive/folders/10T2cTQHqEJZqE-st6uFKPoI?usp=share_link" TargetMode="External"/><Relationship Id="rId5848" Type="http://schemas.openxmlformats.org/officeDocument/2006/relationships/hyperlink" Target="https://drive.google.com/drive/folders/10T2cTQHqEJZqE-st6uFKPoI?usp=share_link" TargetMode="External"/><Relationship Id="rId4519" Type="http://schemas.openxmlformats.org/officeDocument/2006/relationships/hyperlink" Target="https://drive.google.com/drive/folders/10T2cTQHqEJZqE-st6uFKPoI?usp=share_link" TargetMode="External"/><Relationship Id="rId5849" Type="http://schemas.openxmlformats.org/officeDocument/2006/relationships/hyperlink" Target="https://drive.google.com/drive/folders/10T2cTQHqEJZqE-st6uFKPoI?usp=share_link" TargetMode="External"/><Relationship Id="rId657" Type="http://schemas.openxmlformats.org/officeDocument/2006/relationships/hyperlink" Target="https://drive.google.com/drive/folders/10T2cTQHqEJZqE-st6uFKPoI?usp=share_link" TargetMode="External"/><Relationship Id="rId656" Type="http://schemas.openxmlformats.org/officeDocument/2006/relationships/hyperlink" Target="https://drive.google.com/drive/folders/10T2cTQHqEJZqE-st6uFKPoI?usp=share_link" TargetMode="External"/><Relationship Id="rId655" Type="http://schemas.openxmlformats.org/officeDocument/2006/relationships/hyperlink" Target="https://drive.google.com/drive/folders/10T2cTQHqEJZqE-st6uFKPoI?usp=share_link" TargetMode="External"/><Relationship Id="rId654" Type="http://schemas.openxmlformats.org/officeDocument/2006/relationships/hyperlink" Target="https://drive.google.com/drive/folders/10T2cTQHqEJZqE-st6uFKPoI?usp=share_link" TargetMode="External"/><Relationship Id="rId659" Type="http://schemas.openxmlformats.org/officeDocument/2006/relationships/hyperlink" Target="https://drive.google.com/drive/folders/10T2cTQHqEJZqE-st6uFKPoI?usp=share_link" TargetMode="External"/><Relationship Id="rId658" Type="http://schemas.openxmlformats.org/officeDocument/2006/relationships/hyperlink" Target="https://drive.google.com/drive/folders/10T2cTQHqEJZqE-st6uFKPoI?usp=share_link" TargetMode="External"/><Relationship Id="rId1480" Type="http://schemas.openxmlformats.org/officeDocument/2006/relationships/hyperlink" Target="https://drive.google.com/drive/folders/10T2cTQHqEJZqE-st6uFKPoI?usp=share_link" TargetMode="External"/><Relationship Id="rId1481" Type="http://schemas.openxmlformats.org/officeDocument/2006/relationships/hyperlink" Target="https://drive.google.com/drive/folders/10T2cTQHqEJZqE-st6uFKPoI?usp=share_link" TargetMode="External"/><Relationship Id="rId1482" Type="http://schemas.openxmlformats.org/officeDocument/2006/relationships/hyperlink" Target="https://drive.google.com/drive/folders/10T2cTQHqEJZqE-st6uFKPoI?usp=share_link" TargetMode="External"/><Relationship Id="rId1483" Type="http://schemas.openxmlformats.org/officeDocument/2006/relationships/hyperlink" Target="https://drive.google.com/drive/folders/10T2cTQHqEJZqE-st6uFKPoI?usp=share_link" TargetMode="External"/><Relationship Id="rId653" Type="http://schemas.openxmlformats.org/officeDocument/2006/relationships/hyperlink" Target="https://drive.google.com/drive/folders/10T2cTQHqEJZqE-st6uFKPoI?usp=share_link" TargetMode="External"/><Relationship Id="rId1484" Type="http://schemas.openxmlformats.org/officeDocument/2006/relationships/hyperlink" Target="https://drive.google.com/drive/folders/10T2cTQHqEJZqE-st6uFKPoI?usp=share_link" TargetMode="External"/><Relationship Id="rId4510" Type="http://schemas.openxmlformats.org/officeDocument/2006/relationships/hyperlink" Target="https://drive.google.com/drive/folders/10T2cTQHqEJZqE-st6uFKPoI?usp=share_link" TargetMode="External"/><Relationship Id="rId5842" Type="http://schemas.openxmlformats.org/officeDocument/2006/relationships/hyperlink" Target="https://drive.google.com/drive/folders/10T2cTQHqEJZqE-st6uFKPoI?usp=share_link" TargetMode="External"/><Relationship Id="rId652" Type="http://schemas.openxmlformats.org/officeDocument/2006/relationships/hyperlink" Target="https://drive.google.com/drive/folders/10T2cTQHqEJZqE-st6uFKPoI?usp=share_link" TargetMode="External"/><Relationship Id="rId1485" Type="http://schemas.openxmlformats.org/officeDocument/2006/relationships/hyperlink" Target="https://drive.google.com/drive/folders/10T2cTQHqEJZqE-st6uFKPoI?usp=share_link" TargetMode="External"/><Relationship Id="rId5843" Type="http://schemas.openxmlformats.org/officeDocument/2006/relationships/hyperlink" Target="https://drive.google.com/drive/folders/10T2cTQHqEJZqE-st6uFKPoI?usp=share_link" TargetMode="External"/><Relationship Id="rId651" Type="http://schemas.openxmlformats.org/officeDocument/2006/relationships/hyperlink" Target="https://drive.google.com/drive/folders/10T2cTQHqEJZqE-st6uFKPoI?usp=share_link" TargetMode="External"/><Relationship Id="rId1486" Type="http://schemas.openxmlformats.org/officeDocument/2006/relationships/hyperlink" Target="https://drive.google.com/drive/folders/10T2cTQHqEJZqE-st6uFKPoI?usp=share_link" TargetMode="External"/><Relationship Id="rId4512" Type="http://schemas.openxmlformats.org/officeDocument/2006/relationships/hyperlink" Target="https://drive.google.com/drive/folders/10T2cTQHqEJZqE-st6uFKPoI?usp=share_link" TargetMode="External"/><Relationship Id="rId5840" Type="http://schemas.openxmlformats.org/officeDocument/2006/relationships/hyperlink" Target="https://drive.google.com/drive/folders/10T2cTQHqEJZqE-st6uFKPoI?usp=share_link" TargetMode="External"/><Relationship Id="rId650" Type="http://schemas.openxmlformats.org/officeDocument/2006/relationships/hyperlink" Target="https://drive.google.com/drive/folders/10T2cTQHqEJZqE-st6uFKPoI?usp=share_link" TargetMode="External"/><Relationship Id="rId1487" Type="http://schemas.openxmlformats.org/officeDocument/2006/relationships/hyperlink" Target="https://drive.google.com/drive/folders/10T2cTQHqEJZqE-st6uFKPoI?usp=share_link" TargetMode="External"/><Relationship Id="rId4511" Type="http://schemas.openxmlformats.org/officeDocument/2006/relationships/hyperlink" Target="https://drive.google.com/drive/folders/10T2cTQHqEJZqE-st6uFKPoI?usp=share_link" TargetMode="External"/><Relationship Id="rId5841" Type="http://schemas.openxmlformats.org/officeDocument/2006/relationships/hyperlink" Target="https://drive.google.com/drive/folders/10T2cTQHqEJZqE-st6uFKPoI?usp=share_link" TargetMode="External"/><Relationship Id="rId3216" Type="http://schemas.openxmlformats.org/officeDocument/2006/relationships/hyperlink" Target="https://drive.google.com/drive/folders/10T2cTQHqEJZqE-st6uFKPoI?usp=share_link" TargetMode="External"/><Relationship Id="rId4547" Type="http://schemas.openxmlformats.org/officeDocument/2006/relationships/hyperlink" Target="https://drive.google.com/drive/folders/10T2cTQHqEJZqE-st6uFKPoI?usp=share_link" TargetMode="External"/><Relationship Id="rId5879" Type="http://schemas.openxmlformats.org/officeDocument/2006/relationships/hyperlink" Target="https://drive.google.com/drive/folders/10T2cTQHqEJZqE-st6uFKPoI?usp=share_link" TargetMode="External"/><Relationship Id="rId3215" Type="http://schemas.openxmlformats.org/officeDocument/2006/relationships/hyperlink" Target="https://drive.google.com/drive/folders/10T2cTQHqEJZqE-st6uFKPoI?usp=share_link" TargetMode="External"/><Relationship Id="rId4546" Type="http://schemas.openxmlformats.org/officeDocument/2006/relationships/hyperlink" Target="https://drive.google.com/drive/folders/10T2cTQHqEJZqE-st6uFKPoI?usp=share_link" TargetMode="External"/><Relationship Id="rId3218" Type="http://schemas.openxmlformats.org/officeDocument/2006/relationships/hyperlink" Target="https://drive.google.com/drive/folders/10T2cTQHqEJZqE-st6uFKPoI?usp=share_link" TargetMode="External"/><Relationship Id="rId4549" Type="http://schemas.openxmlformats.org/officeDocument/2006/relationships/hyperlink" Target="https://drive.google.com/drive/folders/10T2cTQHqEJZqE-st6uFKPoI?usp=share_link" TargetMode="External"/><Relationship Id="rId5877" Type="http://schemas.openxmlformats.org/officeDocument/2006/relationships/hyperlink" Target="https://drive.google.com/drive/folders/10T2cTQHqEJZqE-st6uFKPoI?usp=share_link" TargetMode="External"/><Relationship Id="rId3217" Type="http://schemas.openxmlformats.org/officeDocument/2006/relationships/hyperlink" Target="https://drive.google.com/drive/folders/10T2cTQHqEJZqE-st6uFKPoI?usp=share_link" TargetMode="External"/><Relationship Id="rId4548" Type="http://schemas.openxmlformats.org/officeDocument/2006/relationships/hyperlink" Target="https://drive.google.com/drive/folders/10T2cTQHqEJZqE-st6uFKPoI?usp=share_link" TargetMode="External"/><Relationship Id="rId5878" Type="http://schemas.openxmlformats.org/officeDocument/2006/relationships/hyperlink" Target="https://drive.google.com/drive/folders/10T2cTQHqEJZqE-st6uFKPoI?usp=share_link" TargetMode="External"/><Relationship Id="rId3219" Type="http://schemas.openxmlformats.org/officeDocument/2006/relationships/hyperlink" Target="https://drive.google.com/drive/folders/10T2cTQHqEJZqE-st6uFKPoI?usp=share_link" TargetMode="External"/><Relationship Id="rId689" Type="http://schemas.openxmlformats.org/officeDocument/2006/relationships/hyperlink" Target="https://drive.google.com/drive/folders/10T2cTQHqEJZqE-st6uFKPoI?usp=share_link" TargetMode="External"/><Relationship Id="rId688" Type="http://schemas.openxmlformats.org/officeDocument/2006/relationships/hyperlink" Target="https://drive.google.com/drive/folders/10T2cTQHqEJZqE-st6uFKPoI?usp=share_link" TargetMode="External"/><Relationship Id="rId687" Type="http://schemas.openxmlformats.org/officeDocument/2006/relationships/hyperlink" Target="https://drive.google.com/drive/folders/10T2cTQHqEJZqE-st6uFKPoI?usp=share_link" TargetMode="External"/><Relationship Id="rId682" Type="http://schemas.openxmlformats.org/officeDocument/2006/relationships/hyperlink" Target="https://drive.google.com/drive/folders/10T2cTQHqEJZqE-st6uFKPoI?usp=share_link" TargetMode="External"/><Relationship Id="rId5871" Type="http://schemas.openxmlformats.org/officeDocument/2006/relationships/hyperlink" Target="https://drive.google.com/drive/folders/10T2cTQHqEJZqE-st6uFKPoI?usp=share_link" TargetMode="External"/><Relationship Id="rId681" Type="http://schemas.openxmlformats.org/officeDocument/2006/relationships/hyperlink" Target="https://drive.google.com/drive/folders/10T2cTQHqEJZqE-st6uFKPoI?usp=share_link" TargetMode="External"/><Relationship Id="rId5872" Type="http://schemas.openxmlformats.org/officeDocument/2006/relationships/hyperlink" Target="https://drive.google.com/drive/folders/10T2cTQHqEJZqE-st6uFKPoI?usp=share_link" TargetMode="External"/><Relationship Id="rId680" Type="http://schemas.openxmlformats.org/officeDocument/2006/relationships/hyperlink" Target="https://drive.google.com/drive/folders/10T2cTQHqEJZqE-st6uFKPoI?usp=share_link" TargetMode="External"/><Relationship Id="rId3210" Type="http://schemas.openxmlformats.org/officeDocument/2006/relationships/hyperlink" Target="https://drive.google.com/drive/folders/10T2cTQHqEJZqE-st6uFKPoI?usp=share_link" TargetMode="External"/><Relationship Id="rId4541" Type="http://schemas.openxmlformats.org/officeDocument/2006/relationships/hyperlink" Target="https://drive.google.com/drive/folders/10T2cTQHqEJZqE-st6uFKPoI?usp=share_link" TargetMode="External"/><Relationship Id="rId4540" Type="http://schemas.openxmlformats.org/officeDocument/2006/relationships/hyperlink" Target="https://drive.google.com/drive/folders/10T2cTQHqEJZqE-st6uFKPoI?usp=share_link" TargetMode="External"/><Relationship Id="rId5870" Type="http://schemas.openxmlformats.org/officeDocument/2006/relationships/hyperlink" Target="https://drive.google.com/drive/folders/10T2cTQHqEJZqE-st6uFKPoI?usp=share_link" TargetMode="External"/><Relationship Id="rId686" Type="http://schemas.openxmlformats.org/officeDocument/2006/relationships/hyperlink" Target="https://drive.google.com/drive/folders/10T2cTQHqEJZqE-st6uFKPoI?usp=share_link" TargetMode="External"/><Relationship Id="rId3212" Type="http://schemas.openxmlformats.org/officeDocument/2006/relationships/hyperlink" Target="https://drive.google.com/drive/folders/10T2cTQHqEJZqE-st6uFKPoI?usp=share_link" TargetMode="External"/><Relationship Id="rId4543" Type="http://schemas.openxmlformats.org/officeDocument/2006/relationships/hyperlink" Target="https://drive.google.com/drive/folders/10T2cTQHqEJZqE-st6uFKPoI?usp=share_link" TargetMode="External"/><Relationship Id="rId5875" Type="http://schemas.openxmlformats.org/officeDocument/2006/relationships/hyperlink" Target="https://drive.google.com/drive/folders/10T2cTQHqEJZqE-st6uFKPoI?usp=share_link" TargetMode="External"/><Relationship Id="rId685" Type="http://schemas.openxmlformats.org/officeDocument/2006/relationships/hyperlink" Target="https://drive.google.com/drive/folders/10T2cTQHqEJZqE-st6uFKPoI?usp=share_link" TargetMode="External"/><Relationship Id="rId3211" Type="http://schemas.openxmlformats.org/officeDocument/2006/relationships/hyperlink" Target="https://drive.google.com/drive/folders/10T2cTQHqEJZqE-st6uFKPoI?usp=share_link" TargetMode="External"/><Relationship Id="rId4542" Type="http://schemas.openxmlformats.org/officeDocument/2006/relationships/hyperlink" Target="https://drive.google.com/drive/folders/10T2cTQHqEJZqE-st6uFKPoI?usp=share_link" TargetMode="External"/><Relationship Id="rId5876" Type="http://schemas.openxmlformats.org/officeDocument/2006/relationships/hyperlink" Target="https://drive.google.com/drive/folders/10T2cTQHqEJZqE-st6uFKPoI?usp=share_link" TargetMode="External"/><Relationship Id="rId684" Type="http://schemas.openxmlformats.org/officeDocument/2006/relationships/hyperlink" Target="https://drive.google.com/drive/folders/10T2cTQHqEJZqE-st6uFKPoI?usp=share_link" TargetMode="External"/><Relationship Id="rId3214" Type="http://schemas.openxmlformats.org/officeDocument/2006/relationships/hyperlink" Target="https://drive.google.com/drive/folders/10T2cTQHqEJZqE-st6uFKPoI?usp=share_link" TargetMode="External"/><Relationship Id="rId4545" Type="http://schemas.openxmlformats.org/officeDocument/2006/relationships/hyperlink" Target="https://drive.google.com/drive/folders/10T2cTQHqEJZqE-st6uFKPoI?usp=share_link" TargetMode="External"/><Relationship Id="rId5873" Type="http://schemas.openxmlformats.org/officeDocument/2006/relationships/hyperlink" Target="https://drive.google.com/drive/folders/10T2cTQHqEJZqE-st6uFKPoI?usp=share_link" TargetMode="External"/><Relationship Id="rId683" Type="http://schemas.openxmlformats.org/officeDocument/2006/relationships/hyperlink" Target="https://drive.google.com/drive/folders/10T2cTQHqEJZqE-st6uFKPoI?usp=share_link" TargetMode="External"/><Relationship Id="rId3213" Type="http://schemas.openxmlformats.org/officeDocument/2006/relationships/hyperlink" Target="https://drive.google.com/drive/folders/10T2cTQHqEJZqE-st6uFKPoI?usp=share_link" TargetMode="External"/><Relationship Id="rId4544" Type="http://schemas.openxmlformats.org/officeDocument/2006/relationships/hyperlink" Target="https://drive.google.com/drive/folders/10T2cTQHqEJZqE-st6uFKPoI?usp=share_link" TargetMode="External"/><Relationship Id="rId5874" Type="http://schemas.openxmlformats.org/officeDocument/2006/relationships/hyperlink" Target="https://drive.google.com/drive/folders/10T2cTQHqEJZqE-st6uFKPoI?usp=share_link" TargetMode="External"/><Relationship Id="rId3205" Type="http://schemas.openxmlformats.org/officeDocument/2006/relationships/hyperlink" Target="https://drive.google.com/drive/folders/10T2cTQHqEJZqE-st6uFKPoI?usp=share_link" TargetMode="External"/><Relationship Id="rId4536" Type="http://schemas.openxmlformats.org/officeDocument/2006/relationships/hyperlink" Target="https://drive.google.com/drive/folders/10T2cTQHqEJZqE-st6uFKPoI?usp=share_link" TargetMode="External"/><Relationship Id="rId5868" Type="http://schemas.openxmlformats.org/officeDocument/2006/relationships/hyperlink" Target="https://drive.google.com/drive/folders/10T2cTQHqEJZqE-st6uFKPoI?usp=share_link" TargetMode="External"/><Relationship Id="rId3204" Type="http://schemas.openxmlformats.org/officeDocument/2006/relationships/hyperlink" Target="https://drive.google.com/drive/folders/10T2cTQHqEJZqE-st6uFKPoI?usp=share_link" TargetMode="External"/><Relationship Id="rId4535" Type="http://schemas.openxmlformats.org/officeDocument/2006/relationships/hyperlink" Target="https://drive.google.com/drive/folders/10T2cTQHqEJZqE-st6uFKPoI?usp=share_link" TargetMode="External"/><Relationship Id="rId5869" Type="http://schemas.openxmlformats.org/officeDocument/2006/relationships/hyperlink" Target="https://drive.google.com/drive/folders/10T2cTQHqEJZqE-st6uFKPoI?usp=share_link" TargetMode="External"/><Relationship Id="rId3207" Type="http://schemas.openxmlformats.org/officeDocument/2006/relationships/hyperlink" Target="https://drive.google.com/drive/folders/10T2cTQHqEJZqE-st6uFKPoI?usp=share_link" TargetMode="External"/><Relationship Id="rId4538" Type="http://schemas.openxmlformats.org/officeDocument/2006/relationships/hyperlink" Target="https://drive.google.com/drive/folders/10T2cTQHqEJZqE-st6uFKPoI?usp=share_link" TargetMode="External"/><Relationship Id="rId5866" Type="http://schemas.openxmlformats.org/officeDocument/2006/relationships/hyperlink" Target="https://drive.google.com/drive/folders/10T2cTQHqEJZqE-st6uFKPoI?usp=share_link" TargetMode="External"/><Relationship Id="rId3206" Type="http://schemas.openxmlformats.org/officeDocument/2006/relationships/hyperlink" Target="https://drive.google.com/drive/folders/10T2cTQHqEJZqE-st6uFKPoI?usp=share_link" TargetMode="External"/><Relationship Id="rId4537" Type="http://schemas.openxmlformats.org/officeDocument/2006/relationships/hyperlink" Target="https://drive.google.com/drive/folders/10T2cTQHqEJZqE-st6uFKPoI?usp=share_link" TargetMode="External"/><Relationship Id="rId5867" Type="http://schemas.openxmlformats.org/officeDocument/2006/relationships/hyperlink" Target="https://drive.google.com/drive/folders/10T2cTQHqEJZqE-st6uFKPoI?usp=share_link" TargetMode="External"/><Relationship Id="rId3209" Type="http://schemas.openxmlformats.org/officeDocument/2006/relationships/hyperlink" Target="https://drive.google.com/drive/folders/10T2cTQHqEJZqE-st6uFKPoI?usp=share_link" TargetMode="External"/><Relationship Id="rId3208" Type="http://schemas.openxmlformats.org/officeDocument/2006/relationships/hyperlink" Target="https://drive.google.com/drive/folders/10T2cTQHqEJZqE-st6uFKPoI?usp=share_link" TargetMode="External"/><Relationship Id="rId4539" Type="http://schemas.openxmlformats.org/officeDocument/2006/relationships/hyperlink" Target="https://drive.google.com/drive/folders/10T2cTQHqEJZqE-st6uFKPoI?usp=share_link" TargetMode="External"/><Relationship Id="rId679" Type="http://schemas.openxmlformats.org/officeDocument/2006/relationships/hyperlink" Target="https://drive.google.com/drive/folders/10T2cTQHqEJZqE-st6uFKPoI?usp=share_link" TargetMode="External"/><Relationship Id="rId678" Type="http://schemas.openxmlformats.org/officeDocument/2006/relationships/hyperlink" Target="https://drive.google.com/drive/folders/10T2cTQHqEJZqE-st6uFKPoI?usp=share_link" TargetMode="External"/><Relationship Id="rId677" Type="http://schemas.openxmlformats.org/officeDocument/2006/relationships/hyperlink" Target="https://drive.google.com/drive/folders/10T2cTQHqEJZqE-st6uFKPoI?usp=share_link" TargetMode="External"/><Relationship Id="rId676" Type="http://schemas.openxmlformats.org/officeDocument/2006/relationships/hyperlink" Target="https://drive.google.com/drive/folders/10T2cTQHqEJZqE-st6uFKPoI?usp=share_link" TargetMode="External"/><Relationship Id="rId671" Type="http://schemas.openxmlformats.org/officeDocument/2006/relationships/hyperlink" Target="https://drive.google.com/drive/folders/10T2cTQHqEJZqE-st6uFKPoI?usp=share_link" TargetMode="External"/><Relationship Id="rId5860" Type="http://schemas.openxmlformats.org/officeDocument/2006/relationships/hyperlink" Target="https://drive.google.com/drive/folders/10T2cTQHqEJZqE-st6uFKPoI?usp=share_link" TargetMode="External"/><Relationship Id="rId670" Type="http://schemas.openxmlformats.org/officeDocument/2006/relationships/hyperlink" Target="https://drive.google.com/drive/folders/10T2cTQHqEJZqE-st6uFKPoI?usp=share_link" TargetMode="External"/><Relationship Id="rId5861" Type="http://schemas.openxmlformats.org/officeDocument/2006/relationships/hyperlink" Target="https://drive.google.com/drive/folders/10T2cTQHqEJZqE-st6uFKPoI?usp=share_link" TargetMode="External"/><Relationship Id="rId4530" Type="http://schemas.openxmlformats.org/officeDocument/2006/relationships/hyperlink" Target="https://drive.google.com/drive/folders/10T2cTQHqEJZqE-st6uFKPoI?usp=share_link" TargetMode="External"/><Relationship Id="rId675" Type="http://schemas.openxmlformats.org/officeDocument/2006/relationships/hyperlink" Target="https://drive.google.com/drive/folders/10T2cTQHqEJZqE-st6uFKPoI?usp=share_link" TargetMode="External"/><Relationship Id="rId3201" Type="http://schemas.openxmlformats.org/officeDocument/2006/relationships/hyperlink" Target="https://drive.google.com/drive/folders/10T2cTQHqEJZqE-st6uFKPoI?usp=share_link" TargetMode="External"/><Relationship Id="rId4532" Type="http://schemas.openxmlformats.org/officeDocument/2006/relationships/hyperlink" Target="https://drive.google.com/drive/folders/10T2cTQHqEJZqE-st6uFKPoI?usp=share_link" TargetMode="External"/><Relationship Id="rId5864" Type="http://schemas.openxmlformats.org/officeDocument/2006/relationships/hyperlink" Target="https://drive.google.com/drive/folders/10T2cTQHqEJZqE-st6uFKPoI?usp=share_link" TargetMode="External"/><Relationship Id="rId674" Type="http://schemas.openxmlformats.org/officeDocument/2006/relationships/hyperlink" Target="https://drive.google.com/drive/folders/10T2cTQHqEJZqE-st6uFKPoI?usp=share_link" TargetMode="External"/><Relationship Id="rId3200" Type="http://schemas.openxmlformats.org/officeDocument/2006/relationships/hyperlink" Target="https://drive.google.com/drive/folders/10T2cTQHqEJZqE-st6uFKPoI?usp=share_link" TargetMode="External"/><Relationship Id="rId4531" Type="http://schemas.openxmlformats.org/officeDocument/2006/relationships/hyperlink" Target="https://drive.google.com/drive/folders/10T2cTQHqEJZqE-st6uFKPoI?usp=share_link" TargetMode="External"/><Relationship Id="rId5865" Type="http://schemas.openxmlformats.org/officeDocument/2006/relationships/hyperlink" Target="https://drive.google.com/drive/folders/10T2cTQHqEJZqE-st6uFKPoI?usp=share_link" TargetMode="External"/><Relationship Id="rId673" Type="http://schemas.openxmlformats.org/officeDocument/2006/relationships/hyperlink" Target="https://drive.google.com/drive/folders/10T2cTQHqEJZqE-st6uFKPoI?usp=share_link" TargetMode="External"/><Relationship Id="rId3203" Type="http://schemas.openxmlformats.org/officeDocument/2006/relationships/hyperlink" Target="https://drive.google.com/drive/folders/10T2cTQHqEJZqE-st6uFKPoI?usp=share_link" TargetMode="External"/><Relationship Id="rId4534" Type="http://schemas.openxmlformats.org/officeDocument/2006/relationships/hyperlink" Target="https://drive.google.com/drive/folders/10T2cTQHqEJZqE-st6uFKPoI?usp=share_link" TargetMode="External"/><Relationship Id="rId5862" Type="http://schemas.openxmlformats.org/officeDocument/2006/relationships/hyperlink" Target="https://drive.google.com/drive/folders/10T2cTQHqEJZqE-st6uFKPoI?usp=share_link" TargetMode="External"/><Relationship Id="rId672" Type="http://schemas.openxmlformats.org/officeDocument/2006/relationships/hyperlink" Target="https://drive.google.com/drive/folders/10T2cTQHqEJZqE-st6uFKPoI?usp=share_link" TargetMode="External"/><Relationship Id="rId3202" Type="http://schemas.openxmlformats.org/officeDocument/2006/relationships/hyperlink" Target="https://drive.google.com/drive/folders/10T2cTQHqEJZqE-st6uFKPoI?usp=share_link" TargetMode="External"/><Relationship Id="rId4533" Type="http://schemas.openxmlformats.org/officeDocument/2006/relationships/hyperlink" Target="https://drive.google.com/drive/folders/10T2cTQHqEJZqE-st6uFKPoI?usp=share_link" TargetMode="External"/><Relationship Id="rId5863" Type="http://schemas.openxmlformats.org/officeDocument/2006/relationships/hyperlink" Target="https://drive.google.com/drive/folders/10T2cTQHqEJZqE-st6uFKPoI?usp=share_link" TargetMode="External"/><Relationship Id="rId190" Type="http://schemas.openxmlformats.org/officeDocument/2006/relationships/hyperlink" Target="https://drive.google.com/drive/folders/10T2cTQHqEJZqE-st6uFKPoI?usp=share_link" TargetMode="External"/><Relationship Id="rId5019" Type="http://schemas.openxmlformats.org/officeDocument/2006/relationships/hyperlink" Target="https://drive.google.com/drive/folders/10T2cTQHqEJZqE-st6uFKPoI?usp=share_link" TargetMode="External"/><Relationship Id="rId194" Type="http://schemas.openxmlformats.org/officeDocument/2006/relationships/hyperlink" Target="https://drive.google.com/drive/folders/10T2cTQHqEJZqE-st6uFKPoI?usp=share_link" TargetMode="External"/><Relationship Id="rId193" Type="http://schemas.openxmlformats.org/officeDocument/2006/relationships/hyperlink" Target="https://drive.google.com/drive/folders/10T2cTQHqEJZqE-st6uFKPoI?usp=share_link" TargetMode="External"/><Relationship Id="rId192" Type="http://schemas.openxmlformats.org/officeDocument/2006/relationships/hyperlink" Target="https://drive.google.com/drive/folders/10T2cTQHqEJZqE-st6uFKPoI?usp=share_link" TargetMode="External"/><Relationship Id="rId191" Type="http://schemas.openxmlformats.org/officeDocument/2006/relationships/hyperlink" Target="https://drive.google.com/drive/folders/10T2cTQHqEJZqE-st6uFKPoI?usp=share_link" TargetMode="External"/><Relationship Id="rId5010" Type="http://schemas.openxmlformats.org/officeDocument/2006/relationships/hyperlink" Target="https://drive.google.com/drive/folders/10T2cTQHqEJZqE-st6uFKPoI?usp=share_link" TargetMode="External"/><Relationship Id="rId187" Type="http://schemas.openxmlformats.org/officeDocument/2006/relationships/hyperlink" Target="https://drive.google.com/drive/folders/10T2cTQHqEJZqE-st6uFKPoI?usp=share_link" TargetMode="External"/><Relationship Id="rId5013" Type="http://schemas.openxmlformats.org/officeDocument/2006/relationships/hyperlink" Target="https://drive.google.com/drive/folders/10T2cTQHqEJZqE-st6uFKPoI?usp=share_link" TargetMode="External"/><Relationship Id="rId186" Type="http://schemas.openxmlformats.org/officeDocument/2006/relationships/hyperlink" Target="https://drive.google.com/drive/folders/10T2cTQHqEJZqE-st6uFKPoI?usp=share_link" TargetMode="External"/><Relationship Id="rId5014" Type="http://schemas.openxmlformats.org/officeDocument/2006/relationships/hyperlink" Target="https://drive.google.com/drive/folders/10T2cTQHqEJZqE-st6uFKPoI?usp=share_link" TargetMode="External"/><Relationship Id="rId185" Type="http://schemas.openxmlformats.org/officeDocument/2006/relationships/hyperlink" Target="https://drive.google.com/drive/folders/10T2cTQHqEJZqE-st6uFKPoI?usp=share_link" TargetMode="External"/><Relationship Id="rId5011" Type="http://schemas.openxmlformats.org/officeDocument/2006/relationships/hyperlink" Target="https://drive.google.com/drive/folders/10T2cTQHqEJZqE-st6uFKPoI?usp=share_link" TargetMode="External"/><Relationship Id="rId184" Type="http://schemas.openxmlformats.org/officeDocument/2006/relationships/hyperlink" Target="https://drive.google.com/drive/folders/10T2cTQHqEJZqE-st6uFKPoI?usp=share_link" TargetMode="External"/><Relationship Id="rId5012" Type="http://schemas.openxmlformats.org/officeDocument/2006/relationships/hyperlink" Target="https://drive.google.com/drive/folders/10T2cTQHqEJZqE-st6uFKPoI?usp=share_link" TargetMode="External"/><Relationship Id="rId5017" Type="http://schemas.openxmlformats.org/officeDocument/2006/relationships/hyperlink" Target="https://drive.google.com/drive/folders/10T2cTQHqEJZqE-st6uFKPoI?usp=share_link" TargetMode="External"/><Relationship Id="rId5018" Type="http://schemas.openxmlformats.org/officeDocument/2006/relationships/hyperlink" Target="https://drive.google.com/drive/folders/10T2cTQHqEJZqE-st6uFKPoI?usp=share_link" TargetMode="External"/><Relationship Id="rId189" Type="http://schemas.openxmlformats.org/officeDocument/2006/relationships/hyperlink" Target="https://drive.google.com/drive/folders/10T2cTQHqEJZqE-st6uFKPoI?usp=share_link" TargetMode="External"/><Relationship Id="rId5015" Type="http://schemas.openxmlformats.org/officeDocument/2006/relationships/hyperlink" Target="https://drive.google.com/drive/folders/10T2cTQHqEJZqE-st6uFKPoI?usp=share_link" TargetMode="External"/><Relationship Id="rId188" Type="http://schemas.openxmlformats.org/officeDocument/2006/relationships/hyperlink" Target="https://drive.google.com/drive/folders/10T2cTQHqEJZqE-st6uFKPoI?usp=share_link" TargetMode="External"/><Relationship Id="rId5016" Type="http://schemas.openxmlformats.org/officeDocument/2006/relationships/hyperlink" Target="https://drive.google.com/drive/folders/10T2cTQHqEJZqE-st6uFKPoI?usp=share_link" TargetMode="External"/><Relationship Id="rId5008" Type="http://schemas.openxmlformats.org/officeDocument/2006/relationships/hyperlink" Target="https://drive.google.com/drive/folders/10T2cTQHqEJZqE-st6uFKPoI?usp=share_link" TargetMode="External"/><Relationship Id="rId5009" Type="http://schemas.openxmlformats.org/officeDocument/2006/relationships/hyperlink" Target="https://drive.google.com/drive/folders/10T2cTQHqEJZqE-st6uFKPoI?usp=share_link" TargetMode="External"/><Relationship Id="rId183" Type="http://schemas.openxmlformats.org/officeDocument/2006/relationships/hyperlink" Target="https://drive.google.com/drive/folders/10T2cTQHqEJZqE-st6uFKPoI?usp=share_link" TargetMode="External"/><Relationship Id="rId182" Type="http://schemas.openxmlformats.org/officeDocument/2006/relationships/hyperlink" Target="https://drive.google.com/drive/folders/10T2cTQHqEJZqE-st6uFKPoI?usp=share_link" TargetMode="External"/><Relationship Id="rId181" Type="http://schemas.openxmlformats.org/officeDocument/2006/relationships/hyperlink" Target="https://drive.google.com/drive/folders/10T2cTQHqEJZqE-st6uFKPoI?usp=share_link" TargetMode="External"/><Relationship Id="rId180" Type="http://schemas.openxmlformats.org/officeDocument/2006/relationships/hyperlink" Target="https://drive.google.com/drive/folders/10T2cTQHqEJZqE-st6uFKPoI?usp=share_link" TargetMode="External"/><Relationship Id="rId176" Type="http://schemas.openxmlformats.org/officeDocument/2006/relationships/hyperlink" Target="https://drive.google.com/drive/folders/10T2cTQHqEJZqE-st6uFKPoI?usp=share_link" TargetMode="External"/><Relationship Id="rId5002" Type="http://schemas.openxmlformats.org/officeDocument/2006/relationships/hyperlink" Target="https://drive.google.com/drive/folders/10T2cTQHqEJZqE-st6uFKPoI?usp=share_link" TargetMode="External"/><Relationship Id="rId175" Type="http://schemas.openxmlformats.org/officeDocument/2006/relationships/hyperlink" Target="https://drive.google.com/drive/folders/10T2cTQHqEJZqE-st6uFKPoI?usp=share_link" TargetMode="External"/><Relationship Id="rId5003" Type="http://schemas.openxmlformats.org/officeDocument/2006/relationships/hyperlink" Target="https://drive.google.com/drive/folders/10T2cTQHqEJZqE-st6uFKPoI?usp=share_link" TargetMode="External"/><Relationship Id="rId174" Type="http://schemas.openxmlformats.org/officeDocument/2006/relationships/hyperlink" Target="https://drive.google.com/drive/folders/10T2cTQHqEJZqE-st6uFKPoI?usp=share_link" TargetMode="External"/><Relationship Id="rId5000" Type="http://schemas.openxmlformats.org/officeDocument/2006/relationships/hyperlink" Target="https://drive.google.com/drive/folders/10T2cTQHqEJZqE-st6uFKPoI?usp=share_link" TargetMode="External"/><Relationship Id="rId173" Type="http://schemas.openxmlformats.org/officeDocument/2006/relationships/hyperlink" Target="https://drive.google.com/drive/folders/10T2cTQHqEJZqE-st6uFKPoI?usp=share_link" TargetMode="External"/><Relationship Id="rId5001" Type="http://schemas.openxmlformats.org/officeDocument/2006/relationships/hyperlink" Target="https://drive.google.com/drive/folders/10T2cTQHqEJZqE-st6uFKPoI?usp=share_link" TargetMode="External"/><Relationship Id="rId5006" Type="http://schemas.openxmlformats.org/officeDocument/2006/relationships/hyperlink" Target="https://drive.google.com/drive/folders/10T2cTQHqEJZqE-st6uFKPoI?usp=share_link" TargetMode="External"/><Relationship Id="rId179" Type="http://schemas.openxmlformats.org/officeDocument/2006/relationships/hyperlink" Target="https://drive.google.com/drive/folders/10T2cTQHqEJZqE-st6uFKPoI?usp=share_link" TargetMode="External"/><Relationship Id="rId5007" Type="http://schemas.openxmlformats.org/officeDocument/2006/relationships/hyperlink" Target="https://drive.google.com/drive/folders/10T2cTQHqEJZqE-st6uFKPoI?usp=share_link" TargetMode="External"/><Relationship Id="rId178" Type="http://schemas.openxmlformats.org/officeDocument/2006/relationships/hyperlink" Target="https://drive.google.com/drive/folders/10T2cTQHqEJZqE-st6uFKPoI?usp=share_link" TargetMode="External"/><Relationship Id="rId5004" Type="http://schemas.openxmlformats.org/officeDocument/2006/relationships/hyperlink" Target="https://drive.google.com/drive/folders/10T2cTQHqEJZqE-st6uFKPoI?usp=share_link" TargetMode="External"/><Relationship Id="rId177" Type="http://schemas.openxmlformats.org/officeDocument/2006/relationships/hyperlink" Target="https://drive.google.com/drive/folders/10T2cTQHqEJZqE-st6uFKPoI?usp=share_link" TargetMode="External"/><Relationship Id="rId5005" Type="http://schemas.openxmlformats.org/officeDocument/2006/relationships/hyperlink" Target="https://drive.google.com/drive/folders/10T2cTQHqEJZqE-st6uFKPoI?usp=share_link" TargetMode="External"/><Relationship Id="rId5031" Type="http://schemas.openxmlformats.org/officeDocument/2006/relationships/hyperlink" Target="https://drive.google.com/drive/folders/10T2cTQHqEJZqE-st6uFKPoI?usp=share_link" TargetMode="External"/><Relationship Id="rId5032" Type="http://schemas.openxmlformats.org/officeDocument/2006/relationships/hyperlink" Target="https://drive.google.com/drive/folders/10T2cTQHqEJZqE-st6uFKPoI?usp=share_link" TargetMode="External"/><Relationship Id="rId5030" Type="http://schemas.openxmlformats.org/officeDocument/2006/relationships/hyperlink" Target="https://drive.google.com/drive/folders/10T2cTQHqEJZqE-st6uFKPoI?usp=share_link" TargetMode="External"/><Relationship Id="rId5035" Type="http://schemas.openxmlformats.org/officeDocument/2006/relationships/hyperlink" Target="https://drive.google.com/drive/folders/10T2cTQHqEJZqE-st6uFKPoI?usp=share_link" TargetMode="External"/><Relationship Id="rId5036" Type="http://schemas.openxmlformats.org/officeDocument/2006/relationships/hyperlink" Target="https://drive.google.com/drive/folders/10T2cTQHqEJZqE-st6uFKPoI?usp=share_link" TargetMode="External"/><Relationship Id="rId5033" Type="http://schemas.openxmlformats.org/officeDocument/2006/relationships/hyperlink" Target="https://drive.google.com/drive/folders/10T2cTQHqEJZqE-st6uFKPoI?usp=share_link" TargetMode="External"/><Relationship Id="rId5034" Type="http://schemas.openxmlformats.org/officeDocument/2006/relationships/hyperlink" Target="https://drive.google.com/drive/folders/10T2cTQHqEJZqE-st6uFKPoI?usp=share_link" TargetMode="External"/><Relationship Id="rId5039" Type="http://schemas.openxmlformats.org/officeDocument/2006/relationships/hyperlink" Target="https://drive.google.com/drive/folders/10T2cTQHqEJZqE-st6uFKPoI?usp=share_link" TargetMode="External"/><Relationship Id="rId5037" Type="http://schemas.openxmlformats.org/officeDocument/2006/relationships/hyperlink" Target="https://drive.google.com/drive/folders/10T2cTQHqEJZqE-st6uFKPoI?usp=share_link" TargetMode="External"/><Relationship Id="rId5038" Type="http://schemas.openxmlformats.org/officeDocument/2006/relationships/hyperlink" Target="https://drive.google.com/drive/folders/10T2cTQHqEJZqE-st6uFKPoI?usp=share_link" TargetMode="External"/><Relationship Id="rId5020" Type="http://schemas.openxmlformats.org/officeDocument/2006/relationships/hyperlink" Target="https://drive.google.com/drive/folders/10T2cTQHqEJZqE-st6uFKPoI?usp=share_link" TargetMode="External"/><Relationship Id="rId5021" Type="http://schemas.openxmlformats.org/officeDocument/2006/relationships/hyperlink" Target="https://drive.google.com/drive/folders/10T2cTQHqEJZqE-st6uFKPoI?usp=share_link" TargetMode="External"/><Relationship Id="rId198" Type="http://schemas.openxmlformats.org/officeDocument/2006/relationships/hyperlink" Target="https://drive.google.com/drive/folders/10T2cTQHqEJZqE-st6uFKPoI?usp=share_link" TargetMode="External"/><Relationship Id="rId5024" Type="http://schemas.openxmlformats.org/officeDocument/2006/relationships/hyperlink" Target="https://drive.google.com/drive/folders/10T2cTQHqEJZqE-st6uFKPoI?usp=share_link" TargetMode="External"/><Relationship Id="rId197" Type="http://schemas.openxmlformats.org/officeDocument/2006/relationships/hyperlink" Target="https://drive.google.com/drive/folders/10T2cTQHqEJZqE-st6uFKPoI?usp=share_link" TargetMode="External"/><Relationship Id="rId5025" Type="http://schemas.openxmlformats.org/officeDocument/2006/relationships/hyperlink" Target="https://drive.google.com/drive/folders/10T2cTQHqEJZqE-st6uFKPoI?usp=share_link" TargetMode="External"/><Relationship Id="rId196" Type="http://schemas.openxmlformats.org/officeDocument/2006/relationships/hyperlink" Target="https://drive.google.com/drive/folders/10T2cTQHqEJZqE-st6uFKPoI?usp=share_link" TargetMode="External"/><Relationship Id="rId5022" Type="http://schemas.openxmlformats.org/officeDocument/2006/relationships/hyperlink" Target="https://drive.google.com/drive/folders/10T2cTQHqEJZqE-st6uFKPoI?usp=share_link" TargetMode="External"/><Relationship Id="rId195" Type="http://schemas.openxmlformats.org/officeDocument/2006/relationships/hyperlink" Target="https://drive.google.com/drive/folders/10T2cTQHqEJZqE-st6uFKPoI?usp=share_link" TargetMode="External"/><Relationship Id="rId5023" Type="http://schemas.openxmlformats.org/officeDocument/2006/relationships/hyperlink" Target="https://drive.google.com/drive/folders/10T2cTQHqEJZqE-st6uFKPoI?usp=share_link" TargetMode="External"/><Relationship Id="rId5028" Type="http://schemas.openxmlformats.org/officeDocument/2006/relationships/hyperlink" Target="https://drive.google.com/drive/folders/10T2cTQHqEJZqE-st6uFKPoI?usp=share_link" TargetMode="External"/><Relationship Id="rId5029" Type="http://schemas.openxmlformats.org/officeDocument/2006/relationships/hyperlink" Target="https://drive.google.com/drive/folders/10T2cTQHqEJZqE-st6uFKPoI?usp=share_link" TargetMode="External"/><Relationship Id="rId5026" Type="http://schemas.openxmlformats.org/officeDocument/2006/relationships/hyperlink" Target="https://drive.google.com/drive/folders/10T2cTQHqEJZqE-st6uFKPoI?usp=share_link" TargetMode="External"/><Relationship Id="rId199" Type="http://schemas.openxmlformats.org/officeDocument/2006/relationships/hyperlink" Target="https://drive.google.com/drive/folders/10T2cTQHqEJZqE-st6uFKPoI?usp=share_link" TargetMode="External"/><Relationship Id="rId5027" Type="http://schemas.openxmlformats.org/officeDocument/2006/relationships/hyperlink" Target="https://drive.google.com/drive/folders/10T2cTQHqEJZqE-st6uFKPoI?usp=share_link" TargetMode="External"/><Relationship Id="rId150" Type="http://schemas.openxmlformats.org/officeDocument/2006/relationships/hyperlink" Target="https://drive.google.com/drive/folders/10T2cTQHqEJZqE-st6uFKPoI?usp=share_link" TargetMode="External"/><Relationship Id="rId149" Type="http://schemas.openxmlformats.org/officeDocument/2006/relationships/hyperlink" Target="https://drive.google.com/drive/folders/10T2cTQHqEJZqE-st6uFKPoI?usp=share_link" TargetMode="External"/><Relationship Id="rId148" Type="http://schemas.openxmlformats.org/officeDocument/2006/relationships/hyperlink" Target="https://drive.google.com/drive/folders/10T2cTQHqEJZqE-st6uFKPoI?usp=share_link" TargetMode="External"/><Relationship Id="rId3270" Type="http://schemas.openxmlformats.org/officeDocument/2006/relationships/hyperlink" Target="https://drive.google.com/drive/folders/10T2cTQHqEJZqE-st6uFKPoI?usp=share_link" TargetMode="External"/><Relationship Id="rId3272" Type="http://schemas.openxmlformats.org/officeDocument/2006/relationships/hyperlink" Target="https://drive.google.com/drive/folders/10T2cTQHqEJZqE-st6uFKPoI?usp=share_link" TargetMode="External"/><Relationship Id="rId3271" Type="http://schemas.openxmlformats.org/officeDocument/2006/relationships/hyperlink" Target="https://drive.google.com/drive/folders/10T2cTQHqEJZqE-st6uFKPoI?usp=share_link" TargetMode="External"/><Relationship Id="rId143" Type="http://schemas.openxmlformats.org/officeDocument/2006/relationships/hyperlink" Target="https://drive.google.com/drive/folders/10T2cTQHqEJZqE-st6uFKPoI?usp=share_link" TargetMode="External"/><Relationship Id="rId3274" Type="http://schemas.openxmlformats.org/officeDocument/2006/relationships/hyperlink" Target="https://drive.google.com/drive/folders/10T2cTQHqEJZqE-st6uFKPoI?usp=share_link" TargetMode="External"/><Relationship Id="rId142" Type="http://schemas.openxmlformats.org/officeDocument/2006/relationships/hyperlink" Target="https://drive.google.com/drive/folders/10T2cTQHqEJZqE-st6uFKPoI?usp=share_link" TargetMode="External"/><Relationship Id="rId3273" Type="http://schemas.openxmlformats.org/officeDocument/2006/relationships/hyperlink" Target="https://drive.google.com/drive/folders/10T2cTQHqEJZqE-st6uFKPoI?usp=share_link" TargetMode="External"/><Relationship Id="rId141" Type="http://schemas.openxmlformats.org/officeDocument/2006/relationships/hyperlink" Target="https://drive.google.com/drive/folders/10T2cTQHqEJZqE-st6uFKPoI?usp=share_link" TargetMode="External"/><Relationship Id="rId3276" Type="http://schemas.openxmlformats.org/officeDocument/2006/relationships/hyperlink" Target="https://drive.google.com/drive/folders/10T2cTQHqEJZqE-st6uFKPoI?usp=share_link" TargetMode="External"/><Relationship Id="rId140" Type="http://schemas.openxmlformats.org/officeDocument/2006/relationships/hyperlink" Target="https://drive.google.com/drive/folders/10T2cTQHqEJZqE-st6uFKPoI?usp=share_link" TargetMode="External"/><Relationship Id="rId3275" Type="http://schemas.openxmlformats.org/officeDocument/2006/relationships/hyperlink" Target="https://drive.google.com/drive/folders/10T2cTQHqEJZqE-st6uFKPoI?usp=share_link" TargetMode="External"/><Relationship Id="rId147" Type="http://schemas.openxmlformats.org/officeDocument/2006/relationships/hyperlink" Target="https://drive.google.com/drive/folders/10T2cTQHqEJZqE-st6uFKPoI?usp=share_link" TargetMode="External"/><Relationship Id="rId3278" Type="http://schemas.openxmlformats.org/officeDocument/2006/relationships/hyperlink" Target="https://drive.google.com/drive/folders/10T2cTQHqEJZqE-st6uFKPoI?usp=share_link" TargetMode="External"/><Relationship Id="rId146" Type="http://schemas.openxmlformats.org/officeDocument/2006/relationships/hyperlink" Target="https://drive.google.com/drive/folders/10T2cTQHqEJZqE-st6uFKPoI?usp=share_link" TargetMode="External"/><Relationship Id="rId3277" Type="http://schemas.openxmlformats.org/officeDocument/2006/relationships/hyperlink" Target="https://drive.google.com/drive/folders/10T2cTQHqEJZqE-st6uFKPoI?usp=share_link" TargetMode="External"/><Relationship Id="rId145" Type="http://schemas.openxmlformats.org/officeDocument/2006/relationships/hyperlink" Target="https://drive.google.com/drive/folders/10T2cTQHqEJZqE-st6uFKPoI?usp=share_link" TargetMode="External"/><Relationship Id="rId144" Type="http://schemas.openxmlformats.org/officeDocument/2006/relationships/hyperlink" Target="https://drive.google.com/drive/folders/10T2cTQHqEJZqE-st6uFKPoI?usp=share_link" TargetMode="External"/><Relationship Id="rId3279" Type="http://schemas.openxmlformats.org/officeDocument/2006/relationships/hyperlink" Target="https://drive.google.com/drive/folders/10T2cTQHqEJZqE-st6uFKPoI?usp=share_link" TargetMode="External"/><Relationship Id="rId139" Type="http://schemas.openxmlformats.org/officeDocument/2006/relationships/hyperlink" Target="https://drive.google.com/drive/folders/10T2cTQHqEJZqE-st6uFKPoI?usp=share_link" TargetMode="External"/><Relationship Id="rId138" Type="http://schemas.openxmlformats.org/officeDocument/2006/relationships/hyperlink" Target="https://drive.google.com/drive/folders/10T2cTQHqEJZqE-st6uFKPoI?usp=share_link" TargetMode="External"/><Relationship Id="rId137" Type="http://schemas.openxmlformats.org/officeDocument/2006/relationships/hyperlink" Target="https://drive.google.com/drive/folders/10T2cTQHqEJZqE-st6uFKPoI?usp=share_link" TargetMode="External"/><Relationship Id="rId4590" Type="http://schemas.openxmlformats.org/officeDocument/2006/relationships/hyperlink" Target="https://drive.google.com/drive/folders/10T2cTQHqEJZqE-st6uFKPoI?usp=share_link" TargetMode="External"/><Relationship Id="rId3261" Type="http://schemas.openxmlformats.org/officeDocument/2006/relationships/hyperlink" Target="https://drive.google.com/drive/folders/10T2cTQHqEJZqE-st6uFKPoI?usp=share_link" TargetMode="External"/><Relationship Id="rId4592" Type="http://schemas.openxmlformats.org/officeDocument/2006/relationships/hyperlink" Target="https://drive.google.com/drive/folders/10T2cTQHqEJZqE-st6uFKPoI?usp=share_link" TargetMode="External"/><Relationship Id="rId3260" Type="http://schemas.openxmlformats.org/officeDocument/2006/relationships/hyperlink" Target="https://drive.google.com/drive/folders/10T2cTQHqEJZqE-st6uFKPoI?usp=share_link" TargetMode="External"/><Relationship Id="rId4591" Type="http://schemas.openxmlformats.org/officeDocument/2006/relationships/hyperlink" Target="https://drive.google.com/drive/folders/10T2cTQHqEJZqE-st6uFKPoI?usp=share_link" TargetMode="External"/><Relationship Id="rId132" Type="http://schemas.openxmlformats.org/officeDocument/2006/relationships/hyperlink" Target="https://drive.google.com/drive/folders/10T2cTQHqEJZqE-st6uFKPoI?usp=share_link" TargetMode="External"/><Relationship Id="rId3263" Type="http://schemas.openxmlformats.org/officeDocument/2006/relationships/hyperlink" Target="https://drive.google.com/drive/folders/10T2cTQHqEJZqE-st6uFKPoI?usp=share_link" TargetMode="External"/><Relationship Id="rId4594" Type="http://schemas.openxmlformats.org/officeDocument/2006/relationships/hyperlink" Target="https://drive.google.com/drive/folders/10T2cTQHqEJZqE-st6uFKPoI?usp=share_link" TargetMode="External"/><Relationship Id="rId131" Type="http://schemas.openxmlformats.org/officeDocument/2006/relationships/hyperlink" Target="https://drive.google.com/drive/folders/10T2cTQHqEJZqE-st6uFKPoI?usp=share_link" TargetMode="External"/><Relationship Id="rId3262" Type="http://schemas.openxmlformats.org/officeDocument/2006/relationships/hyperlink" Target="https://drive.google.com/drive/folders/10T2cTQHqEJZqE-st6uFKPoI?usp=share_link" TargetMode="External"/><Relationship Id="rId4593" Type="http://schemas.openxmlformats.org/officeDocument/2006/relationships/hyperlink" Target="https://drive.google.com/drive/folders/10T2cTQHqEJZqE-st6uFKPoI?usp=share_link" TargetMode="External"/><Relationship Id="rId130" Type="http://schemas.openxmlformats.org/officeDocument/2006/relationships/hyperlink" Target="https://drive.google.com/drive/folders/10T2cTQHqEJZqE-st6uFKPoI?usp=share_link" TargetMode="External"/><Relationship Id="rId3265" Type="http://schemas.openxmlformats.org/officeDocument/2006/relationships/hyperlink" Target="https://drive.google.com/drive/folders/10T2cTQHqEJZqE-st6uFKPoI?usp=share_link" TargetMode="External"/><Relationship Id="rId4596" Type="http://schemas.openxmlformats.org/officeDocument/2006/relationships/hyperlink" Target="https://drive.google.com/drive/folders/10T2cTQHqEJZqE-st6uFKPoI?usp=share_link" TargetMode="External"/><Relationship Id="rId3264" Type="http://schemas.openxmlformats.org/officeDocument/2006/relationships/hyperlink" Target="https://drive.google.com/drive/folders/10T2cTQHqEJZqE-st6uFKPoI?usp=share_link" TargetMode="External"/><Relationship Id="rId4595" Type="http://schemas.openxmlformats.org/officeDocument/2006/relationships/hyperlink" Target="https://drive.google.com/drive/folders/10T2cTQHqEJZqE-st6uFKPoI?usp=share_link" TargetMode="External"/><Relationship Id="rId136" Type="http://schemas.openxmlformats.org/officeDocument/2006/relationships/hyperlink" Target="https://drive.google.com/drive/folders/10T2cTQHqEJZqE-st6uFKPoI?usp=share_link" TargetMode="External"/><Relationship Id="rId3267" Type="http://schemas.openxmlformats.org/officeDocument/2006/relationships/hyperlink" Target="https://drive.google.com/drive/folders/10T2cTQHqEJZqE-st6uFKPoI?usp=share_link" TargetMode="External"/><Relationship Id="rId4598" Type="http://schemas.openxmlformats.org/officeDocument/2006/relationships/hyperlink" Target="https://drive.google.com/drive/folders/10T2cTQHqEJZqE-st6uFKPoI?usp=share_link" TargetMode="External"/><Relationship Id="rId135" Type="http://schemas.openxmlformats.org/officeDocument/2006/relationships/hyperlink" Target="https://drive.google.com/drive/folders/10T2cTQHqEJZqE-st6uFKPoI?usp=share_link" TargetMode="External"/><Relationship Id="rId3266" Type="http://schemas.openxmlformats.org/officeDocument/2006/relationships/hyperlink" Target="https://drive.google.com/drive/folders/10T2cTQHqEJZqE-st6uFKPoI?usp=share_link" TargetMode="External"/><Relationship Id="rId4597" Type="http://schemas.openxmlformats.org/officeDocument/2006/relationships/hyperlink" Target="https://drive.google.com/drive/folders/10T2cTQHqEJZqE-st6uFKPoI?usp=share_link" TargetMode="External"/><Relationship Id="rId134" Type="http://schemas.openxmlformats.org/officeDocument/2006/relationships/hyperlink" Target="https://drive.google.com/drive/folders/10T2cTQHqEJZqE-st6uFKPoI?usp=share_link" TargetMode="External"/><Relationship Id="rId3269" Type="http://schemas.openxmlformats.org/officeDocument/2006/relationships/hyperlink" Target="https://drive.google.com/drive/folders/10T2cTQHqEJZqE-st6uFKPoI?usp=share_link" TargetMode="External"/><Relationship Id="rId133" Type="http://schemas.openxmlformats.org/officeDocument/2006/relationships/hyperlink" Target="https://drive.google.com/drive/folders/10T2cTQHqEJZqE-st6uFKPoI?usp=share_link" TargetMode="External"/><Relationship Id="rId3268" Type="http://schemas.openxmlformats.org/officeDocument/2006/relationships/hyperlink" Target="https://drive.google.com/drive/folders/10T2cTQHqEJZqE-st6uFKPoI?usp=share_link" TargetMode="External"/><Relationship Id="rId4599" Type="http://schemas.openxmlformats.org/officeDocument/2006/relationships/hyperlink" Target="https://drive.google.com/drive/folders/10T2cTQHqEJZqE-st6uFKPoI?usp=share_link" TargetMode="External"/><Relationship Id="rId172" Type="http://schemas.openxmlformats.org/officeDocument/2006/relationships/hyperlink" Target="https://drive.google.com/drive/folders/10T2cTQHqEJZqE-st6uFKPoI?usp=share_link" TargetMode="External"/><Relationship Id="rId171" Type="http://schemas.openxmlformats.org/officeDocument/2006/relationships/hyperlink" Target="https://drive.google.com/drive/folders/10T2cTQHqEJZqE-st6uFKPoI?usp=share_link" TargetMode="External"/><Relationship Id="rId170" Type="http://schemas.openxmlformats.org/officeDocument/2006/relationships/hyperlink" Target="https://drive.google.com/drive/folders/10T2cTQHqEJZqE-st6uFKPoI?usp=share_link" TargetMode="External"/><Relationship Id="rId3290" Type="http://schemas.openxmlformats.org/officeDocument/2006/relationships/hyperlink" Target="https://drive.google.com/drive/folders/10T2cTQHqEJZqE-st6uFKPoI?usp=share_link" TargetMode="External"/><Relationship Id="rId3292" Type="http://schemas.openxmlformats.org/officeDocument/2006/relationships/hyperlink" Target="https://drive.google.com/drive/folders/10T2cTQHqEJZqE-st6uFKPoI?usp=share_link" TargetMode="External"/><Relationship Id="rId3291" Type="http://schemas.openxmlformats.org/officeDocument/2006/relationships/hyperlink" Target="https://drive.google.com/drive/folders/10T2cTQHqEJZqE-st6uFKPoI?usp=share_link" TargetMode="External"/><Relationship Id="rId3294" Type="http://schemas.openxmlformats.org/officeDocument/2006/relationships/hyperlink" Target="https://drive.google.com/drive/folders/10T2cTQHqEJZqE-st6uFKPoI?usp=share_link" TargetMode="External"/><Relationship Id="rId3293" Type="http://schemas.openxmlformats.org/officeDocument/2006/relationships/hyperlink" Target="https://drive.google.com/drive/folders/10T2cTQHqEJZqE-st6uFKPoI?usp=share_link" TargetMode="External"/><Relationship Id="rId165" Type="http://schemas.openxmlformats.org/officeDocument/2006/relationships/hyperlink" Target="https://drive.google.com/drive/folders/10T2cTQHqEJZqE-st6uFKPoI?usp=share_link" TargetMode="External"/><Relationship Id="rId3296" Type="http://schemas.openxmlformats.org/officeDocument/2006/relationships/hyperlink" Target="https://drive.google.com/drive/folders/10T2cTQHqEJZqE-st6uFKPoI?usp=share_link" TargetMode="External"/><Relationship Id="rId164" Type="http://schemas.openxmlformats.org/officeDocument/2006/relationships/hyperlink" Target="https://drive.google.com/drive/folders/10T2cTQHqEJZqE-st6uFKPoI?usp=share_link" TargetMode="External"/><Relationship Id="rId3295" Type="http://schemas.openxmlformats.org/officeDocument/2006/relationships/hyperlink" Target="https://drive.google.com/drive/folders/10T2cTQHqEJZqE-st6uFKPoI?usp=share_link" TargetMode="External"/><Relationship Id="rId163" Type="http://schemas.openxmlformats.org/officeDocument/2006/relationships/hyperlink" Target="https://drive.google.com/drive/folders/10T2cTQHqEJZqE-st6uFKPoI?usp=share_link" TargetMode="External"/><Relationship Id="rId3298" Type="http://schemas.openxmlformats.org/officeDocument/2006/relationships/hyperlink" Target="https://drive.google.com/drive/folders/10T2cTQHqEJZqE-st6uFKPoI?usp=share_link" TargetMode="External"/><Relationship Id="rId162" Type="http://schemas.openxmlformats.org/officeDocument/2006/relationships/hyperlink" Target="https://drive.google.com/drive/folders/10T2cTQHqEJZqE-st6uFKPoI?usp=share_link" TargetMode="External"/><Relationship Id="rId3297" Type="http://schemas.openxmlformats.org/officeDocument/2006/relationships/hyperlink" Target="https://drive.google.com/drive/folders/10T2cTQHqEJZqE-st6uFKPoI?usp=share_link" TargetMode="External"/><Relationship Id="rId169" Type="http://schemas.openxmlformats.org/officeDocument/2006/relationships/hyperlink" Target="https://drive.google.com/drive/folders/10T2cTQHqEJZqE-st6uFKPoI?usp=share_link" TargetMode="External"/><Relationship Id="rId168" Type="http://schemas.openxmlformats.org/officeDocument/2006/relationships/hyperlink" Target="https://drive.google.com/drive/folders/10T2cTQHqEJZqE-st6uFKPoI?usp=share_link" TargetMode="External"/><Relationship Id="rId3299" Type="http://schemas.openxmlformats.org/officeDocument/2006/relationships/hyperlink" Target="https://drive.google.com/drive/folders/10T2cTQHqEJZqE-st6uFKPoI?usp=share_link" TargetMode="External"/><Relationship Id="rId167" Type="http://schemas.openxmlformats.org/officeDocument/2006/relationships/hyperlink" Target="https://drive.google.com/drive/folders/10T2cTQHqEJZqE-st6uFKPoI?usp=share_link" TargetMode="External"/><Relationship Id="rId166" Type="http://schemas.openxmlformats.org/officeDocument/2006/relationships/hyperlink" Target="https://drive.google.com/drive/folders/10T2cTQHqEJZqE-st6uFKPoI?usp=share_link" TargetMode="External"/><Relationship Id="rId161" Type="http://schemas.openxmlformats.org/officeDocument/2006/relationships/hyperlink" Target="https://drive.google.com/drive/folders/10T2cTQHqEJZqE-st6uFKPoI?usp=share_link" TargetMode="External"/><Relationship Id="rId160" Type="http://schemas.openxmlformats.org/officeDocument/2006/relationships/hyperlink" Target="https://drive.google.com/drive/folders/10T2cTQHqEJZqE-st6uFKPoI?usp=share_link" TargetMode="External"/><Relationship Id="rId159" Type="http://schemas.openxmlformats.org/officeDocument/2006/relationships/hyperlink" Target="https://drive.google.com/drive/folders/10T2cTQHqEJZqE-st6uFKPoI?usp=share_link" TargetMode="External"/><Relationship Id="rId3281" Type="http://schemas.openxmlformats.org/officeDocument/2006/relationships/hyperlink" Target="https://drive.google.com/drive/folders/10T2cTQHqEJZqE-st6uFKPoI?usp=share_link" TargetMode="External"/><Relationship Id="rId3280" Type="http://schemas.openxmlformats.org/officeDocument/2006/relationships/hyperlink" Target="https://drive.google.com/drive/folders/10T2cTQHqEJZqE-st6uFKPoI?usp=share_link" TargetMode="External"/><Relationship Id="rId3283" Type="http://schemas.openxmlformats.org/officeDocument/2006/relationships/hyperlink" Target="https://drive.google.com/drive/folders/10T2cTQHqEJZqE-st6uFKPoI?usp=share_link" TargetMode="External"/><Relationship Id="rId3282" Type="http://schemas.openxmlformats.org/officeDocument/2006/relationships/hyperlink" Target="https://drive.google.com/drive/folders/10T2cTQHqEJZqE-st6uFKPoI?usp=share_link" TargetMode="External"/><Relationship Id="rId154" Type="http://schemas.openxmlformats.org/officeDocument/2006/relationships/hyperlink" Target="https://drive.google.com/drive/folders/10T2cTQHqEJZqE-st6uFKPoI?usp=share_link" TargetMode="External"/><Relationship Id="rId3285" Type="http://schemas.openxmlformats.org/officeDocument/2006/relationships/hyperlink" Target="https://drive.google.com/drive/folders/10T2cTQHqEJZqE-st6uFKPoI?usp=share_link" TargetMode="External"/><Relationship Id="rId153" Type="http://schemas.openxmlformats.org/officeDocument/2006/relationships/hyperlink" Target="https://drive.google.com/drive/folders/10T2cTQHqEJZqE-st6uFKPoI?usp=share_link" TargetMode="External"/><Relationship Id="rId3284" Type="http://schemas.openxmlformats.org/officeDocument/2006/relationships/hyperlink" Target="https://drive.google.com/drive/folders/10T2cTQHqEJZqE-st6uFKPoI?usp=share_link" TargetMode="External"/><Relationship Id="rId152" Type="http://schemas.openxmlformats.org/officeDocument/2006/relationships/hyperlink" Target="https://drive.google.com/drive/folders/10T2cTQHqEJZqE-st6uFKPoI?usp=share_link" TargetMode="External"/><Relationship Id="rId3287" Type="http://schemas.openxmlformats.org/officeDocument/2006/relationships/hyperlink" Target="https://drive.google.com/drive/folders/10T2cTQHqEJZqE-st6uFKPoI?usp=share_link" TargetMode="External"/><Relationship Id="rId151" Type="http://schemas.openxmlformats.org/officeDocument/2006/relationships/hyperlink" Target="https://drive.google.com/drive/folders/10T2cTQHqEJZqE-st6uFKPoI?usp=share_link" TargetMode="External"/><Relationship Id="rId3286" Type="http://schemas.openxmlformats.org/officeDocument/2006/relationships/hyperlink" Target="https://drive.google.com/drive/folders/10T2cTQHqEJZqE-st6uFKPoI?usp=share_link" TargetMode="External"/><Relationship Id="rId158" Type="http://schemas.openxmlformats.org/officeDocument/2006/relationships/hyperlink" Target="https://drive.google.com/drive/folders/10T2cTQHqEJZqE-st6uFKPoI?usp=share_link" TargetMode="External"/><Relationship Id="rId3289" Type="http://schemas.openxmlformats.org/officeDocument/2006/relationships/hyperlink" Target="https://drive.google.com/drive/folders/10T2cTQHqEJZqE-st6uFKPoI?usp=share_link" TargetMode="External"/><Relationship Id="rId157" Type="http://schemas.openxmlformats.org/officeDocument/2006/relationships/hyperlink" Target="https://drive.google.com/drive/folders/10T2cTQHqEJZqE-st6uFKPoI?usp=share_link" TargetMode="External"/><Relationship Id="rId3288" Type="http://schemas.openxmlformats.org/officeDocument/2006/relationships/hyperlink" Target="https://drive.google.com/drive/folders/10T2cTQHqEJZqE-st6uFKPoI?usp=share_link" TargetMode="External"/><Relationship Id="rId156" Type="http://schemas.openxmlformats.org/officeDocument/2006/relationships/hyperlink" Target="https://drive.google.com/drive/folders/10T2cTQHqEJZqE-st6uFKPoI?usp=share_link" TargetMode="External"/><Relationship Id="rId155" Type="http://schemas.openxmlformats.org/officeDocument/2006/relationships/hyperlink" Target="https://drive.google.com/drive/folders/10T2cTQHqEJZqE-st6uFKPoI?usp=share_link" TargetMode="External"/><Relationship Id="rId2820" Type="http://schemas.openxmlformats.org/officeDocument/2006/relationships/hyperlink" Target="https://drive.google.com/drive/folders/10T2cTQHqEJZqE-st6uFKPoI?usp=share_link" TargetMode="External"/><Relationship Id="rId2821" Type="http://schemas.openxmlformats.org/officeDocument/2006/relationships/hyperlink" Target="https://drive.google.com/drive/folders/10T2cTQHqEJZqE-st6uFKPoI?usp=share_link" TargetMode="External"/><Relationship Id="rId2822" Type="http://schemas.openxmlformats.org/officeDocument/2006/relationships/hyperlink" Target="https://drive.google.com/drive/folders/10T2cTQHqEJZqE-st6uFKPoI?usp=share_link" TargetMode="External"/><Relationship Id="rId2823" Type="http://schemas.openxmlformats.org/officeDocument/2006/relationships/hyperlink" Target="https://drive.google.com/drive/folders/10T2cTQHqEJZqE-st6uFKPoI?usp=share_link" TargetMode="External"/><Relationship Id="rId2824" Type="http://schemas.openxmlformats.org/officeDocument/2006/relationships/hyperlink" Target="https://drive.google.com/drive/folders/10T2cTQHqEJZqE-st6uFKPoI?usp=share_link" TargetMode="External"/><Relationship Id="rId2825" Type="http://schemas.openxmlformats.org/officeDocument/2006/relationships/hyperlink" Target="https://drive.google.com/drive/folders/10T2cTQHqEJZqE-st6uFKPoI?usp=share_link" TargetMode="External"/><Relationship Id="rId2826" Type="http://schemas.openxmlformats.org/officeDocument/2006/relationships/hyperlink" Target="https://drive.google.com/drive/folders/10T2cTQHqEJZqE-st6uFKPoI?usp=share_link" TargetMode="External"/><Relationship Id="rId2827" Type="http://schemas.openxmlformats.org/officeDocument/2006/relationships/hyperlink" Target="https://drive.google.com/drive/folders/10T2cTQHqEJZqE-st6uFKPoI?usp=share_link" TargetMode="External"/><Relationship Id="rId2828" Type="http://schemas.openxmlformats.org/officeDocument/2006/relationships/hyperlink" Target="https://drive.google.com/drive/folders/10T2cTQHqEJZqE-st6uFKPoI?usp=share_link" TargetMode="External"/><Relationship Id="rId2829" Type="http://schemas.openxmlformats.org/officeDocument/2006/relationships/hyperlink" Target="https://drive.google.com/drive/folders/10T2cTQHqEJZqE-st6uFKPoI?usp=share_link" TargetMode="External"/><Relationship Id="rId5093" Type="http://schemas.openxmlformats.org/officeDocument/2006/relationships/hyperlink" Target="https://drive.google.com/drive/folders/10T2cTQHqEJZqE-st6uFKPoI?usp=share_link" TargetMode="External"/><Relationship Id="rId5094" Type="http://schemas.openxmlformats.org/officeDocument/2006/relationships/hyperlink" Target="https://drive.google.com/drive/folders/10T2cTQHqEJZqE-st6uFKPoI?usp=share_link" TargetMode="External"/><Relationship Id="rId5091" Type="http://schemas.openxmlformats.org/officeDocument/2006/relationships/hyperlink" Target="https://drive.google.com/drive/folders/10T2cTQHqEJZqE-st6uFKPoI?usp=share_link" TargetMode="External"/><Relationship Id="rId5092" Type="http://schemas.openxmlformats.org/officeDocument/2006/relationships/hyperlink" Target="https://drive.google.com/drive/folders/10T2cTQHqEJZqE-st6uFKPoI?usp=share_link" TargetMode="External"/><Relationship Id="rId5097" Type="http://schemas.openxmlformats.org/officeDocument/2006/relationships/hyperlink" Target="https://drive.google.com/drive/folders/10T2cTQHqEJZqE-st6uFKPoI?usp=share_link" TargetMode="External"/><Relationship Id="rId5098" Type="http://schemas.openxmlformats.org/officeDocument/2006/relationships/hyperlink" Target="https://drive.google.com/drive/folders/10T2cTQHqEJZqE-st6uFKPoI?usp=share_link" TargetMode="External"/><Relationship Id="rId5095" Type="http://schemas.openxmlformats.org/officeDocument/2006/relationships/hyperlink" Target="https://drive.google.com/drive/folders/10T2cTQHqEJZqE-st6uFKPoI?usp=share_link" TargetMode="External"/><Relationship Id="rId5096" Type="http://schemas.openxmlformats.org/officeDocument/2006/relationships/hyperlink" Target="https://drive.google.com/drive/folders/10T2cTQHqEJZqE-st6uFKPoI?usp=share_link" TargetMode="External"/><Relationship Id="rId5099" Type="http://schemas.openxmlformats.org/officeDocument/2006/relationships/hyperlink" Target="https://drive.google.com/drive/folders/10T2cTQHqEJZqE-st6uFKPoI?usp=share_link" TargetMode="External"/><Relationship Id="rId2810" Type="http://schemas.openxmlformats.org/officeDocument/2006/relationships/hyperlink" Target="https://drive.google.com/drive/folders/10T2cTQHqEJZqE-st6uFKPoI?usp=share_link" TargetMode="External"/><Relationship Id="rId2811" Type="http://schemas.openxmlformats.org/officeDocument/2006/relationships/hyperlink" Target="https://drive.google.com/drive/folders/10T2cTQHqEJZqE-st6uFKPoI?usp=share_link" TargetMode="External"/><Relationship Id="rId2812" Type="http://schemas.openxmlformats.org/officeDocument/2006/relationships/hyperlink" Target="https://drive.google.com/drive/folders/10T2cTQHqEJZqE-st6uFKPoI?usp=share_link" TargetMode="External"/><Relationship Id="rId2813" Type="http://schemas.openxmlformats.org/officeDocument/2006/relationships/hyperlink" Target="https://drive.google.com/drive/folders/10T2cTQHqEJZqE-st6uFKPoI?usp=share_link" TargetMode="External"/><Relationship Id="rId2814" Type="http://schemas.openxmlformats.org/officeDocument/2006/relationships/hyperlink" Target="https://drive.google.com/drive/folders/10T2cTQHqEJZqE-st6uFKPoI?usp=share_link" TargetMode="External"/><Relationship Id="rId2815" Type="http://schemas.openxmlformats.org/officeDocument/2006/relationships/hyperlink" Target="https://drive.google.com/drive/folders/10T2cTQHqEJZqE-st6uFKPoI?usp=share_link" TargetMode="External"/><Relationship Id="rId2816" Type="http://schemas.openxmlformats.org/officeDocument/2006/relationships/hyperlink" Target="https://drive.google.com/drive/folders/10T2cTQHqEJZqE-st6uFKPoI?usp=share_link" TargetMode="External"/><Relationship Id="rId2817" Type="http://schemas.openxmlformats.org/officeDocument/2006/relationships/hyperlink" Target="https://drive.google.com/drive/folders/10T2cTQHqEJZqE-st6uFKPoI?usp=share_link" TargetMode="External"/><Relationship Id="rId2818" Type="http://schemas.openxmlformats.org/officeDocument/2006/relationships/hyperlink" Target="https://drive.google.com/drive/folders/10T2cTQHqEJZqE-st6uFKPoI?usp=share_link" TargetMode="External"/><Relationship Id="rId2819" Type="http://schemas.openxmlformats.org/officeDocument/2006/relationships/hyperlink" Target="https://drive.google.com/drive/folders/10T2cTQHqEJZqE-st6uFKPoI?usp=share_link" TargetMode="External"/><Relationship Id="rId5090" Type="http://schemas.openxmlformats.org/officeDocument/2006/relationships/hyperlink" Target="https://drive.google.com/drive/folders/10T2cTQHqEJZqE-st6uFKPoI?usp=share_link" TargetMode="External"/><Relationship Id="rId5082" Type="http://schemas.openxmlformats.org/officeDocument/2006/relationships/hyperlink" Target="https://drive.google.com/drive/folders/10T2cTQHqEJZqE-st6uFKPoI?usp=share_link" TargetMode="External"/><Relationship Id="rId5083" Type="http://schemas.openxmlformats.org/officeDocument/2006/relationships/hyperlink" Target="https://drive.google.com/drive/folders/10T2cTQHqEJZqE-st6uFKPoI?usp=share_link" TargetMode="External"/><Relationship Id="rId5080" Type="http://schemas.openxmlformats.org/officeDocument/2006/relationships/hyperlink" Target="https://drive.google.com/drive/folders/10T2cTQHqEJZqE-st6uFKPoI?usp=share_link" TargetMode="External"/><Relationship Id="rId5081" Type="http://schemas.openxmlformats.org/officeDocument/2006/relationships/hyperlink" Target="https://drive.google.com/drive/folders/10T2cTQHqEJZqE-st6uFKPoI?usp=share_link" TargetMode="External"/><Relationship Id="rId5086" Type="http://schemas.openxmlformats.org/officeDocument/2006/relationships/hyperlink" Target="https://drive.google.com/drive/folders/10T2cTQHqEJZqE-st6uFKPoI?usp=share_link" TargetMode="External"/><Relationship Id="rId5087" Type="http://schemas.openxmlformats.org/officeDocument/2006/relationships/hyperlink" Target="https://drive.google.com/drive/folders/10T2cTQHqEJZqE-st6uFKPoI?usp=share_link" TargetMode="External"/><Relationship Id="rId5084" Type="http://schemas.openxmlformats.org/officeDocument/2006/relationships/hyperlink" Target="https://drive.google.com/drive/folders/10T2cTQHqEJZqE-st6uFKPoI?usp=share_link" TargetMode="External"/><Relationship Id="rId5085" Type="http://schemas.openxmlformats.org/officeDocument/2006/relationships/hyperlink" Target="https://drive.google.com/drive/folders/10T2cTQHqEJZqE-st6uFKPoI?usp=share_link" TargetMode="External"/><Relationship Id="rId5088" Type="http://schemas.openxmlformats.org/officeDocument/2006/relationships/hyperlink" Target="https://drive.google.com/drive/folders/10T2cTQHqEJZqE-st6uFKPoI?usp=share_link" TargetMode="External"/><Relationship Id="rId5089" Type="http://schemas.openxmlformats.org/officeDocument/2006/relationships/hyperlink" Target="https://drive.google.com/drive/folders/10T2cTQHqEJZqE-st6uFKPoI?usp=share_link" TargetMode="External"/><Relationship Id="rId1510" Type="http://schemas.openxmlformats.org/officeDocument/2006/relationships/hyperlink" Target="https://drive.google.com/drive/folders/10T2cTQHqEJZqE-st6uFKPoI?usp=share_link" TargetMode="External"/><Relationship Id="rId2841" Type="http://schemas.openxmlformats.org/officeDocument/2006/relationships/hyperlink" Target="https://drive.google.com/drive/folders/10T2cTQHqEJZqE-st6uFKPoI?usp=share_link" TargetMode="External"/><Relationship Id="rId1511" Type="http://schemas.openxmlformats.org/officeDocument/2006/relationships/hyperlink" Target="https://drive.google.com/drive/folders/10T2cTQHqEJZqE-st6uFKPoI?usp=share_link" TargetMode="External"/><Relationship Id="rId2842" Type="http://schemas.openxmlformats.org/officeDocument/2006/relationships/hyperlink" Target="https://drive.google.com/drive/folders/10T2cTQHqEJZqE-st6uFKPoI?usp=share_link" TargetMode="External"/><Relationship Id="rId1512" Type="http://schemas.openxmlformats.org/officeDocument/2006/relationships/hyperlink" Target="https://drive.google.com/drive/folders/10T2cTQHqEJZqE-st6uFKPoI?usp=share_link" TargetMode="External"/><Relationship Id="rId2843" Type="http://schemas.openxmlformats.org/officeDocument/2006/relationships/hyperlink" Target="https://drive.google.com/drive/folders/10T2cTQHqEJZqE-st6uFKPoI?usp=share_link" TargetMode="External"/><Relationship Id="rId1513" Type="http://schemas.openxmlformats.org/officeDocument/2006/relationships/hyperlink" Target="https://drive.google.com/drive/folders/10T2cTQHqEJZqE-st6uFKPoI?usp=share_link" TargetMode="External"/><Relationship Id="rId2844" Type="http://schemas.openxmlformats.org/officeDocument/2006/relationships/hyperlink" Target="https://drive.google.com/drive/folders/10T2cTQHqEJZqE-st6uFKPoI?usp=share_link" TargetMode="External"/><Relationship Id="rId1514" Type="http://schemas.openxmlformats.org/officeDocument/2006/relationships/hyperlink" Target="https://drive.google.com/drive/folders/10T2cTQHqEJZqE-st6uFKPoI?usp=share_link" TargetMode="External"/><Relationship Id="rId2845" Type="http://schemas.openxmlformats.org/officeDocument/2006/relationships/hyperlink" Target="https://drive.google.com/drive/folders/10T2cTQHqEJZqE-st6uFKPoI?usp=share_link" TargetMode="External"/><Relationship Id="rId1515" Type="http://schemas.openxmlformats.org/officeDocument/2006/relationships/hyperlink" Target="https://drive.google.com/drive/folders/10T2cTQHqEJZqE-st6uFKPoI?usp=share_link" TargetMode="External"/><Relationship Id="rId2846" Type="http://schemas.openxmlformats.org/officeDocument/2006/relationships/hyperlink" Target="https://drive.google.com/drive/folders/10T2cTQHqEJZqE-st6uFKPoI?usp=share_link" TargetMode="External"/><Relationship Id="rId1516" Type="http://schemas.openxmlformats.org/officeDocument/2006/relationships/hyperlink" Target="https://drive.google.com/drive/folders/10T2cTQHqEJZqE-st6uFKPoI?usp=share_link" TargetMode="External"/><Relationship Id="rId2847" Type="http://schemas.openxmlformats.org/officeDocument/2006/relationships/hyperlink" Target="https://drive.google.com/drive/folders/10T2cTQHqEJZqE-st6uFKPoI?usp=share_link" TargetMode="External"/><Relationship Id="rId1517" Type="http://schemas.openxmlformats.org/officeDocument/2006/relationships/hyperlink" Target="https://drive.google.com/drive/folders/10T2cTQHqEJZqE-st6uFKPoI?usp=share_link" TargetMode="External"/><Relationship Id="rId2848" Type="http://schemas.openxmlformats.org/officeDocument/2006/relationships/hyperlink" Target="https://drive.google.com/drive/folders/10T2cTQHqEJZqE-st6uFKPoI?usp=share_link" TargetMode="External"/><Relationship Id="rId1518" Type="http://schemas.openxmlformats.org/officeDocument/2006/relationships/hyperlink" Target="https://drive.google.com/drive/folders/10T2cTQHqEJZqE-st6uFKPoI?usp=share_link" TargetMode="External"/><Relationship Id="rId2849" Type="http://schemas.openxmlformats.org/officeDocument/2006/relationships/hyperlink" Target="https://drive.google.com/drive/folders/10T2cTQHqEJZqE-st6uFKPoI?usp=share_link" TargetMode="External"/><Relationship Id="rId1519" Type="http://schemas.openxmlformats.org/officeDocument/2006/relationships/hyperlink" Target="https://drive.google.com/drive/folders/10T2cTQHqEJZqE-st6uFKPoI?usp=share_link" TargetMode="External"/><Relationship Id="rId2840" Type="http://schemas.openxmlformats.org/officeDocument/2006/relationships/hyperlink" Target="https://drive.google.com/drive/folders/10T2cTQHqEJZqE-st6uFKPoI?usp=share_link" TargetMode="External"/><Relationship Id="rId2830" Type="http://schemas.openxmlformats.org/officeDocument/2006/relationships/hyperlink" Target="https://drive.google.com/drive/folders/10T2cTQHqEJZqE-st6uFKPoI?usp=share_link" TargetMode="External"/><Relationship Id="rId1500" Type="http://schemas.openxmlformats.org/officeDocument/2006/relationships/hyperlink" Target="https://drive.google.com/drive/folders/10T2cTQHqEJZqE-st6uFKPoI?usp=share_link" TargetMode="External"/><Relationship Id="rId2831" Type="http://schemas.openxmlformats.org/officeDocument/2006/relationships/hyperlink" Target="https://drive.google.com/drive/folders/10T2cTQHqEJZqE-st6uFKPoI?usp=share_link" TargetMode="External"/><Relationship Id="rId1501" Type="http://schemas.openxmlformats.org/officeDocument/2006/relationships/hyperlink" Target="https://drive.google.com/drive/folders/10T2cTQHqEJZqE-st6uFKPoI?usp=share_link" TargetMode="External"/><Relationship Id="rId2832" Type="http://schemas.openxmlformats.org/officeDocument/2006/relationships/hyperlink" Target="https://drive.google.com/drive/folders/10T2cTQHqEJZqE-st6uFKPoI?usp=share_link" TargetMode="External"/><Relationship Id="rId1502" Type="http://schemas.openxmlformats.org/officeDocument/2006/relationships/hyperlink" Target="https://drive.google.com/drive/folders/10T2cTQHqEJZqE-st6uFKPoI?usp=share_link" TargetMode="External"/><Relationship Id="rId2833" Type="http://schemas.openxmlformats.org/officeDocument/2006/relationships/hyperlink" Target="https://drive.google.com/drive/folders/10T2cTQHqEJZqE-st6uFKPoI?usp=share_link" TargetMode="External"/><Relationship Id="rId1503" Type="http://schemas.openxmlformats.org/officeDocument/2006/relationships/hyperlink" Target="https://drive.google.com/drive/folders/10T2cTQHqEJZqE-st6uFKPoI?usp=share_link" TargetMode="External"/><Relationship Id="rId2834" Type="http://schemas.openxmlformats.org/officeDocument/2006/relationships/hyperlink" Target="https://drive.google.com/drive/folders/10T2cTQHqEJZqE-st6uFKPoI?usp=share_link" TargetMode="External"/><Relationship Id="rId1504" Type="http://schemas.openxmlformats.org/officeDocument/2006/relationships/hyperlink" Target="https://drive.google.com/drive/folders/10T2cTQHqEJZqE-st6uFKPoI?usp=share_link" TargetMode="External"/><Relationship Id="rId2835" Type="http://schemas.openxmlformats.org/officeDocument/2006/relationships/hyperlink" Target="https://drive.google.com/drive/folders/10T2cTQHqEJZqE-st6uFKPoI?usp=share_link" TargetMode="External"/><Relationship Id="rId1505" Type="http://schemas.openxmlformats.org/officeDocument/2006/relationships/hyperlink" Target="https://drive.google.com/drive/folders/10T2cTQHqEJZqE-st6uFKPoI?usp=share_link" TargetMode="External"/><Relationship Id="rId2836" Type="http://schemas.openxmlformats.org/officeDocument/2006/relationships/hyperlink" Target="https://drive.google.com/drive/folders/10T2cTQHqEJZqE-st6uFKPoI?usp=share_link" TargetMode="External"/><Relationship Id="rId1506" Type="http://schemas.openxmlformats.org/officeDocument/2006/relationships/hyperlink" Target="https://drive.google.com/drive/folders/10T2cTQHqEJZqE-st6uFKPoI?usp=share_link" TargetMode="External"/><Relationship Id="rId2837" Type="http://schemas.openxmlformats.org/officeDocument/2006/relationships/hyperlink" Target="https://drive.google.com/drive/folders/10T2cTQHqEJZqE-st6uFKPoI?usp=share_link" TargetMode="External"/><Relationship Id="rId1507" Type="http://schemas.openxmlformats.org/officeDocument/2006/relationships/hyperlink" Target="https://drive.google.com/drive/folders/10T2cTQHqEJZqE-st6uFKPoI?usp=share_link" TargetMode="External"/><Relationship Id="rId2838" Type="http://schemas.openxmlformats.org/officeDocument/2006/relationships/hyperlink" Target="https://drive.google.com/drive/folders/10T2cTQHqEJZqE-st6uFKPoI?usp=share_link" TargetMode="External"/><Relationship Id="rId1508" Type="http://schemas.openxmlformats.org/officeDocument/2006/relationships/hyperlink" Target="https://drive.google.com/drive/folders/10T2cTQHqEJZqE-st6uFKPoI?usp=share_link" TargetMode="External"/><Relationship Id="rId2839" Type="http://schemas.openxmlformats.org/officeDocument/2006/relationships/hyperlink" Target="https://drive.google.com/drive/folders/10T2cTQHqEJZqE-st6uFKPoI?usp=share_link" TargetMode="External"/><Relationship Id="rId1509" Type="http://schemas.openxmlformats.org/officeDocument/2006/relationships/hyperlink" Target="https://drive.google.com/drive/folders/10T2cTQHqEJZqE-st6uFKPoI?usp=share_link" TargetMode="External"/><Relationship Id="rId5050" Type="http://schemas.openxmlformats.org/officeDocument/2006/relationships/hyperlink" Target="https://drive.google.com/drive/folders/10T2cTQHqEJZqE-st6uFKPoI?usp=share_link" TargetMode="External"/><Relationship Id="rId5053" Type="http://schemas.openxmlformats.org/officeDocument/2006/relationships/hyperlink" Target="https://drive.google.com/drive/folders/10T2cTQHqEJZqE-st6uFKPoI?usp=share_link" TargetMode="External"/><Relationship Id="rId5054" Type="http://schemas.openxmlformats.org/officeDocument/2006/relationships/hyperlink" Target="https://drive.google.com/drive/folders/10T2cTQHqEJZqE-st6uFKPoI?usp=share_link" TargetMode="External"/><Relationship Id="rId5051" Type="http://schemas.openxmlformats.org/officeDocument/2006/relationships/hyperlink" Target="https://drive.google.com/drive/folders/10T2cTQHqEJZqE-st6uFKPoI?usp=share_link" TargetMode="External"/><Relationship Id="rId5052" Type="http://schemas.openxmlformats.org/officeDocument/2006/relationships/hyperlink" Target="https://drive.google.com/drive/folders/10T2cTQHqEJZqE-st6uFKPoI?usp=share_link" TargetMode="External"/><Relationship Id="rId5057" Type="http://schemas.openxmlformats.org/officeDocument/2006/relationships/hyperlink" Target="https://drive.google.com/drive/folders/10T2cTQHqEJZqE-st6uFKPoI?usp=share_link" TargetMode="External"/><Relationship Id="rId5058" Type="http://schemas.openxmlformats.org/officeDocument/2006/relationships/hyperlink" Target="https://drive.google.com/drive/folders/10T2cTQHqEJZqE-st6uFKPoI?usp=share_link" TargetMode="External"/><Relationship Id="rId5055" Type="http://schemas.openxmlformats.org/officeDocument/2006/relationships/hyperlink" Target="https://drive.google.com/drive/folders/10T2cTQHqEJZqE-st6uFKPoI?usp=share_link" TargetMode="External"/><Relationship Id="rId5056" Type="http://schemas.openxmlformats.org/officeDocument/2006/relationships/hyperlink" Target="https://drive.google.com/drive/folders/10T2cTQHqEJZqE-st6uFKPoI?usp=share_link" TargetMode="External"/><Relationship Id="rId5059" Type="http://schemas.openxmlformats.org/officeDocument/2006/relationships/hyperlink" Target="https://drive.google.com/drive/folders/10T2cTQHqEJZqE-st6uFKPoI?usp=share_link" TargetMode="External"/><Relationship Id="rId5042" Type="http://schemas.openxmlformats.org/officeDocument/2006/relationships/hyperlink" Target="https://drive.google.com/drive/folders/10T2cTQHqEJZqE-st6uFKPoI?usp=share_link" TargetMode="External"/><Relationship Id="rId5043" Type="http://schemas.openxmlformats.org/officeDocument/2006/relationships/hyperlink" Target="https://drive.google.com/drive/folders/10T2cTQHqEJZqE-st6uFKPoI?usp=share_link" TargetMode="External"/><Relationship Id="rId5040" Type="http://schemas.openxmlformats.org/officeDocument/2006/relationships/hyperlink" Target="https://drive.google.com/drive/folders/10T2cTQHqEJZqE-st6uFKPoI?usp=share_link" TargetMode="External"/><Relationship Id="rId5041" Type="http://schemas.openxmlformats.org/officeDocument/2006/relationships/hyperlink" Target="https://drive.google.com/drive/folders/10T2cTQHqEJZqE-st6uFKPoI?usp=share_link" TargetMode="External"/><Relationship Id="rId5046" Type="http://schemas.openxmlformats.org/officeDocument/2006/relationships/hyperlink" Target="https://drive.google.com/drive/folders/10T2cTQHqEJZqE-st6uFKPoI?usp=share_link" TargetMode="External"/><Relationship Id="rId5047" Type="http://schemas.openxmlformats.org/officeDocument/2006/relationships/hyperlink" Target="https://drive.google.com/drive/folders/10T2cTQHqEJZqE-st6uFKPoI?usp=share_link" TargetMode="External"/><Relationship Id="rId5044" Type="http://schemas.openxmlformats.org/officeDocument/2006/relationships/hyperlink" Target="https://drive.google.com/drive/folders/10T2cTQHqEJZqE-st6uFKPoI?usp=share_link" TargetMode="External"/><Relationship Id="rId5045" Type="http://schemas.openxmlformats.org/officeDocument/2006/relationships/hyperlink" Target="https://drive.google.com/drive/folders/10T2cTQHqEJZqE-st6uFKPoI?usp=share_link" TargetMode="External"/><Relationship Id="rId5048" Type="http://schemas.openxmlformats.org/officeDocument/2006/relationships/hyperlink" Target="https://drive.google.com/drive/folders/10T2cTQHqEJZqE-st6uFKPoI?usp=share_link" TargetMode="External"/><Relationship Id="rId5049" Type="http://schemas.openxmlformats.org/officeDocument/2006/relationships/hyperlink" Target="https://drive.google.com/drive/folders/10T2cTQHqEJZqE-st6uFKPoI?usp=share_link" TargetMode="External"/><Relationship Id="rId2800" Type="http://schemas.openxmlformats.org/officeDocument/2006/relationships/hyperlink" Target="https://drive.google.com/drive/folders/10T2cTQHqEJZqE-st6uFKPoI?usp=share_link" TargetMode="External"/><Relationship Id="rId2801" Type="http://schemas.openxmlformats.org/officeDocument/2006/relationships/hyperlink" Target="https://drive.google.com/drive/folders/10T2cTQHqEJZqE-st6uFKPoI?usp=share_link" TargetMode="External"/><Relationship Id="rId2802" Type="http://schemas.openxmlformats.org/officeDocument/2006/relationships/hyperlink" Target="https://drive.google.com/drive/folders/10T2cTQHqEJZqE-st6uFKPoI?usp=share_link" TargetMode="External"/><Relationship Id="rId2803" Type="http://schemas.openxmlformats.org/officeDocument/2006/relationships/hyperlink" Target="https://drive.google.com/drive/folders/10T2cTQHqEJZqE-st6uFKPoI?usp=share_link" TargetMode="External"/><Relationship Id="rId2804" Type="http://schemas.openxmlformats.org/officeDocument/2006/relationships/hyperlink" Target="https://drive.google.com/drive/folders/10T2cTQHqEJZqE-st6uFKPoI?usp=share_link" TargetMode="External"/><Relationship Id="rId2805" Type="http://schemas.openxmlformats.org/officeDocument/2006/relationships/hyperlink" Target="https://drive.google.com/drive/folders/10T2cTQHqEJZqE-st6uFKPoI?usp=share_link" TargetMode="External"/><Relationship Id="rId2806" Type="http://schemas.openxmlformats.org/officeDocument/2006/relationships/hyperlink" Target="https://drive.google.com/drive/folders/10T2cTQHqEJZqE-st6uFKPoI?usp=share_link" TargetMode="External"/><Relationship Id="rId2807" Type="http://schemas.openxmlformats.org/officeDocument/2006/relationships/hyperlink" Target="https://drive.google.com/drive/folders/10T2cTQHqEJZqE-st6uFKPoI?usp=share_link" TargetMode="External"/><Relationship Id="rId2808" Type="http://schemas.openxmlformats.org/officeDocument/2006/relationships/hyperlink" Target="https://drive.google.com/drive/folders/10T2cTQHqEJZqE-st6uFKPoI?usp=share_link" TargetMode="External"/><Relationship Id="rId2809" Type="http://schemas.openxmlformats.org/officeDocument/2006/relationships/hyperlink" Target="https://drive.google.com/drive/folders/10T2cTQHqEJZqE-st6uFKPoI?usp=share_link" TargetMode="External"/><Relationship Id="rId5071" Type="http://schemas.openxmlformats.org/officeDocument/2006/relationships/hyperlink" Target="https://drive.google.com/drive/folders/10T2cTQHqEJZqE-st6uFKPoI?usp=share_link" TargetMode="External"/><Relationship Id="rId5072" Type="http://schemas.openxmlformats.org/officeDocument/2006/relationships/hyperlink" Target="https://drive.google.com/drive/folders/10T2cTQHqEJZqE-st6uFKPoI?usp=share_link" TargetMode="External"/><Relationship Id="rId5070" Type="http://schemas.openxmlformats.org/officeDocument/2006/relationships/hyperlink" Target="https://drive.google.com/drive/folders/10T2cTQHqEJZqE-st6uFKPoI?usp=share_link" TargetMode="External"/><Relationship Id="rId5075" Type="http://schemas.openxmlformats.org/officeDocument/2006/relationships/hyperlink" Target="https://drive.google.com/drive/folders/10T2cTQHqEJZqE-st6uFKPoI?usp=share_link" TargetMode="External"/><Relationship Id="rId5076" Type="http://schemas.openxmlformats.org/officeDocument/2006/relationships/hyperlink" Target="https://drive.google.com/drive/folders/10T2cTQHqEJZqE-st6uFKPoI?usp=share_link" TargetMode="External"/><Relationship Id="rId5073" Type="http://schemas.openxmlformats.org/officeDocument/2006/relationships/hyperlink" Target="https://drive.google.com/drive/folders/10T2cTQHqEJZqE-st6uFKPoI?usp=share_link" TargetMode="External"/><Relationship Id="rId5074" Type="http://schemas.openxmlformats.org/officeDocument/2006/relationships/hyperlink" Target="https://drive.google.com/drive/folders/10T2cTQHqEJZqE-st6uFKPoI?usp=share_link" TargetMode="External"/><Relationship Id="rId5079" Type="http://schemas.openxmlformats.org/officeDocument/2006/relationships/hyperlink" Target="https://drive.google.com/drive/folders/10T2cTQHqEJZqE-st6uFKPoI?usp=share_link" TargetMode="External"/><Relationship Id="rId5077" Type="http://schemas.openxmlformats.org/officeDocument/2006/relationships/hyperlink" Target="https://drive.google.com/drive/folders/10T2cTQHqEJZqE-st6uFKPoI?usp=share_link" TargetMode="External"/><Relationship Id="rId5078" Type="http://schemas.openxmlformats.org/officeDocument/2006/relationships/hyperlink" Target="https://drive.google.com/drive/folders/10T2cTQHqEJZqE-st6uFKPoI?usp=share_link" TargetMode="External"/><Relationship Id="rId5060" Type="http://schemas.openxmlformats.org/officeDocument/2006/relationships/hyperlink" Target="https://drive.google.com/drive/folders/10T2cTQHqEJZqE-st6uFKPoI?usp=share_link" TargetMode="External"/><Relationship Id="rId5061" Type="http://schemas.openxmlformats.org/officeDocument/2006/relationships/hyperlink" Target="https://drive.google.com/drive/folders/10T2cTQHqEJZqE-st6uFKPoI?usp=share_link" TargetMode="External"/><Relationship Id="rId5064" Type="http://schemas.openxmlformats.org/officeDocument/2006/relationships/hyperlink" Target="https://drive.google.com/drive/folders/10T2cTQHqEJZqE-st6uFKPoI?usp=share_link" TargetMode="External"/><Relationship Id="rId5065" Type="http://schemas.openxmlformats.org/officeDocument/2006/relationships/hyperlink" Target="https://drive.google.com/drive/folders/10T2cTQHqEJZqE-st6uFKPoI?usp=share_link" TargetMode="External"/><Relationship Id="rId5062" Type="http://schemas.openxmlformats.org/officeDocument/2006/relationships/hyperlink" Target="https://drive.google.com/drive/folders/10T2cTQHqEJZqE-st6uFKPoI?usp=share_link" TargetMode="External"/><Relationship Id="rId5063" Type="http://schemas.openxmlformats.org/officeDocument/2006/relationships/hyperlink" Target="https://drive.google.com/drive/folders/10T2cTQHqEJZqE-st6uFKPoI?usp=share_link" TargetMode="External"/><Relationship Id="rId5068" Type="http://schemas.openxmlformats.org/officeDocument/2006/relationships/hyperlink" Target="https://drive.google.com/drive/folders/10T2cTQHqEJZqE-st6uFKPoI?usp=share_link" TargetMode="External"/><Relationship Id="rId5069" Type="http://schemas.openxmlformats.org/officeDocument/2006/relationships/hyperlink" Target="https://drive.google.com/drive/folders/10T2cTQHqEJZqE-st6uFKPoI?usp=share_link" TargetMode="External"/><Relationship Id="rId5066" Type="http://schemas.openxmlformats.org/officeDocument/2006/relationships/hyperlink" Target="https://drive.google.com/drive/folders/10T2cTQHqEJZqE-st6uFKPoI?usp=share_link" TargetMode="External"/><Relationship Id="rId5067" Type="http://schemas.openxmlformats.org/officeDocument/2006/relationships/hyperlink" Target="https://drive.google.com/drive/folders/10T2cTQHqEJZqE-st6uFKPoI?usp=share_link" TargetMode="External"/><Relationship Id="rId1576" Type="http://schemas.openxmlformats.org/officeDocument/2006/relationships/hyperlink" Target="https://drive.google.com/drive/folders/10T2cTQHqEJZqE-st6uFKPoI?usp=share_link" TargetMode="External"/><Relationship Id="rId4602" Type="http://schemas.openxmlformats.org/officeDocument/2006/relationships/hyperlink" Target="https://drive.google.com/drive/folders/10T2cTQHqEJZqE-st6uFKPoI?usp=share_link" TargetMode="External"/><Relationship Id="rId1577" Type="http://schemas.openxmlformats.org/officeDocument/2006/relationships/hyperlink" Target="https://drive.google.com/drive/folders/10T2cTQHqEJZqE-st6uFKPoI?usp=share_link" TargetMode="External"/><Relationship Id="rId4601" Type="http://schemas.openxmlformats.org/officeDocument/2006/relationships/hyperlink" Target="https://drive.google.com/drive/folders/10T2cTQHqEJZqE-st6uFKPoI?usp=share_link" TargetMode="External"/><Relationship Id="rId1578" Type="http://schemas.openxmlformats.org/officeDocument/2006/relationships/hyperlink" Target="https://drive.google.com/drive/folders/10T2cTQHqEJZqE-st6uFKPoI?usp=share_link" TargetMode="External"/><Relationship Id="rId4604" Type="http://schemas.openxmlformats.org/officeDocument/2006/relationships/hyperlink" Target="https://drive.google.com/drive/folders/10T2cTQHqEJZqE-st6uFKPoI?usp=share_link" TargetMode="External"/><Relationship Id="rId1579" Type="http://schemas.openxmlformats.org/officeDocument/2006/relationships/hyperlink" Target="https://drive.google.com/drive/folders/10T2cTQHqEJZqE-st6uFKPoI?usp=share_link" TargetMode="External"/><Relationship Id="rId4603" Type="http://schemas.openxmlformats.org/officeDocument/2006/relationships/hyperlink" Target="https://drive.google.com/drive/folders/10T2cTQHqEJZqE-st6uFKPoI?usp=share_link" TargetMode="External"/><Relationship Id="rId4606" Type="http://schemas.openxmlformats.org/officeDocument/2006/relationships/hyperlink" Target="https://drive.google.com/drive/folders/10T2cTQHqEJZqE-st6uFKPoI?usp=share_link" TargetMode="External"/><Relationship Id="rId4605" Type="http://schemas.openxmlformats.org/officeDocument/2006/relationships/hyperlink" Target="https://drive.google.com/drive/folders/10T2cTQHqEJZqE-st6uFKPoI?usp=share_link" TargetMode="External"/><Relationship Id="rId4608" Type="http://schemas.openxmlformats.org/officeDocument/2006/relationships/hyperlink" Target="https://drive.google.com/drive/folders/10T2cTQHqEJZqE-st6uFKPoI?usp=share_link" TargetMode="External"/><Relationship Id="rId4607" Type="http://schemas.openxmlformats.org/officeDocument/2006/relationships/hyperlink" Target="https://drive.google.com/drive/folders/10T2cTQHqEJZqE-st6uFKPoI?usp=share_link" TargetMode="External"/><Relationship Id="rId4609" Type="http://schemas.openxmlformats.org/officeDocument/2006/relationships/hyperlink" Target="https://drive.google.com/drive/folders/10T2cTQHqEJZqE-st6uFKPoI?usp=share_link" TargetMode="External"/><Relationship Id="rId987" Type="http://schemas.openxmlformats.org/officeDocument/2006/relationships/hyperlink" Target="https://drive.google.com/drive/folders/10T2cTQHqEJZqE-st6uFKPoI?usp=share_link" TargetMode="External"/><Relationship Id="rId986" Type="http://schemas.openxmlformats.org/officeDocument/2006/relationships/hyperlink" Target="https://drive.google.com/drive/folders/10T2cTQHqEJZqE-st6uFKPoI?usp=share_link" TargetMode="External"/><Relationship Id="rId985" Type="http://schemas.openxmlformats.org/officeDocument/2006/relationships/hyperlink" Target="https://drive.google.com/drive/folders/10T2cTQHqEJZqE-st6uFKPoI?usp=share_link" TargetMode="External"/><Relationship Id="rId984" Type="http://schemas.openxmlformats.org/officeDocument/2006/relationships/hyperlink" Target="https://drive.google.com/drive/folders/10T2cTQHqEJZqE-st6uFKPoI?usp=share_link" TargetMode="External"/><Relationship Id="rId989" Type="http://schemas.openxmlformats.org/officeDocument/2006/relationships/hyperlink" Target="https://drive.google.com/drive/folders/10T2cTQHqEJZqE-st6uFKPoI?usp=share_link" TargetMode="External"/><Relationship Id="rId988" Type="http://schemas.openxmlformats.org/officeDocument/2006/relationships/hyperlink" Target="https://drive.google.com/drive/folders/10T2cTQHqEJZqE-st6uFKPoI?usp=share_link" TargetMode="External"/><Relationship Id="rId1570" Type="http://schemas.openxmlformats.org/officeDocument/2006/relationships/hyperlink" Target="https://drive.google.com/drive/folders/10T2cTQHqEJZqE-st6uFKPoI?usp=share_link" TargetMode="External"/><Relationship Id="rId1571" Type="http://schemas.openxmlformats.org/officeDocument/2006/relationships/hyperlink" Target="https://drive.google.com/drive/folders/10T2cTQHqEJZqE-st6uFKPoI?usp=share_link" TargetMode="External"/><Relationship Id="rId983" Type="http://schemas.openxmlformats.org/officeDocument/2006/relationships/hyperlink" Target="https://drive.google.com/drive/folders/10T2cTQHqEJZqE-st6uFKPoI?usp=share_link" TargetMode="External"/><Relationship Id="rId1572" Type="http://schemas.openxmlformats.org/officeDocument/2006/relationships/hyperlink" Target="https://drive.google.com/drive/folders/10T2cTQHqEJZqE-st6uFKPoI?usp=share_link" TargetMode="External"/><Relationship Id="rId982" Type="http://schemas.openxmlformats.org/officeDocument/2006/relationships/hyperlink" Target="https://drive.google.com/drive/folders/10T2cTQHqEJZqE-st6uFKPoI?usp=share_link" TargetMode="External"/><Relationship Id="rId1573" Type="http://schemas.openxmlformats.org/officeDocument/2006/relationships/hyperlink" Target="https://drive.google.com/drive/folders/10T2cTQHqEJZqE-st6uFKPoI?usp=share_link" TargetMode="External"/><Relationship Id="rId981" Type="http://schemas.openxmlformats.org/officeDocument/2006/relationships/hyperlink" Target="https://drive.google.com/drive/folders/10T2cTQHqEJZqE-st6uFKPoI?usp=share_link" TargetMode="External"/><Relationship Id="rId1574" Type="http://schemas.openxmlformats.org/officeDocument/2006/relationships/hyperlink" Target="https://drive.google.com/drive/folders/10T2cTQHqEJZqE-st6uFKPoI?usp=share_link" TargetMode="External"/><Relationship Id="rId4600" Type="http://schemas.openxmlformats.org/officeDocument/2006/relationships/hyperlink" Target="https://drive.google.com/drive/folders/10T2cTQHqEJZqE-st6uFKPoI?usp=share_link" TargetMode="External"/><Relationship Id="rId980" Type="http://schemas.openxmlformats.org/officeDocument/2006/relationships/hyperlink" Target="https://drive.google.com/drive/folders/10T2cTQHqEJZqE-st6uFKPoI?usp=share_link" TargetMode="External"/><Relationship Id="rId1575" Type="http://schemas.openxmlformats.org/officeDocument/2006/relationships/hyperlink" Target="https://drive.google.com/drive/folders/10T2cTQHqEJZqE-st6uFKPoI?usp=share_link" TargetMode="External"/><Relationship Id="rId1565" Type="http://schemas.openxmlformats.org/officeDocument/2006/relationships/hyperlink" Target="https://drive.google.com/drive/folders/10T2cTQHqEJZqE-st6uFKPoI?usp=share_link" TargetMode="External"/><Relationship Id="rId2896" Type="http://schemas.openxmlformats.org/officeDocument/2006/relationships/hyperlink" Target="https://drive.google.com/drive/folders/10T2cTQHqEJZqE-st6uFKPoI?usp=share_link" TargetMode="External"/><Relationship Id="rId1566" Type="http://schemas.openxmlformats.org/officeDocument/2006/relationships/hyperlink" Target="https://drive.google.com/drive/folders/10T2cTQHqEJZqE-st6uFKPoI?usp=share_link" TargetMode="External"/><Relationship Id="rId2897" Type="http://schemas.openxmlformats.org/officeDocument/2006/relationships/hyperlink" Target="https://drive.google.com/drive/folders/10T2cTQHqEJZqE-st6uFKPoI?usp=share_link" TargetMode="External"/><Relationship Id="rId1567" Type="http://schemas.openxmlformats.org/officeDocument/2006/relationships/hyperlink" Target="https://drive.google.com/drive/folders/10T2cTQHqEJZqE-st6uFKPoI?usp=share_link" TargetMode="External"/><Relationship Id="rId2898" Type="http://schemas.openxmlformats.org/officeDocument/2006/relationships/hyperlink" Target="https://drive.google.com/drive/folders/10T2cTQHqEJZqE-st6uFKPoI?usp=share_link" TargetMode="External"/><Relationship Id="rId1568" Type="http://schemas.openxmlformats.org/officeDocument/2006/relationships/hyperlink" Target="https://drive.google.com/drive/folders/10T2cTQHqEJZqE-st6uFKPoI?usp=share_link" TargetMode="External"/><Relationship Id="rId2899" Type="http://schemas.openxmlformats.org/officeDocument/2006/relationships/hyperlink" Target="https://drive.google.com/drive/folders/10T2cTQHqEJZqE-st6uFKPoI?usp=share_link" TargetMode="External"/><Relationship Id="rId1569" Type="http://schemas.openxmlformats.org/officeDocument/2006/relationships/hyperlink" Target="https://drive.google.com/drive/folders/10T2cTQHqEJZqE-st6uFKPoI?usp=share_link" TargetMode="External"/><Relationship Id="rId976" Type="http://schemas.openxmlformats.org/officeDocument/2006/relationships/hyperlink" Target="https://drive.google.com/drive/folders/10T2cTQHqEJZqE-st6uFKPoI?usp=share_link" TargetMode="External"/><Relationship Id="rId975" Type="http://schemas.openxmlformats.org/officeDocument/2006/relationships/hyperlink" Target="https://drive.google.com/drive/folders/10T2cTQHqEJZqE-st6uFKPoI?usp=share_link" TargetMode="External"/><Relationship Id="rId974" Type="http://schemas.openxmlformats.org/officeDocument/2006/relationships/hyperlink" Target="https://drive.google.com/drive/folders/10T2cTQHqEJZqE-st6uFKPoI?usp=share_link" TargetMode="External"/><Relationship Id="rId973" Type="http://schemas.openxmlformats.org/officeDocument/2006/relationships/hyperlink" Target="https://drive.google.com/drive/folders/10T2cTQHqEJZqE-st6uFKPoI?usp=share_link" TargetMode="External"/><Relationship Id="rId979" Type="http://schemas.openxmlformats.org/officeDocument/2006/relationships/hyperlink" Target="https://drive.google.com/drive/folders/10T2cTQHqEJZqE-st6uFKPoI?usp=share_link" TargetMode="External"/><Relationship Id="rId978" Type="http://schemas.openxmlformats.org/officeDocument/2006/relationships/hyperlink" Target="https://drive.google.com/drive/folders/10T2cTQHqEJZqE-st6uFKPoI?usp=share_link" TargetMode="External"/><Relationship Id="rId977" Type="http://schemas.openxmlformats.org/officeDocument/2006/relationships/hyperlink" Target="https://drive.google.com/drive/folders/10T2cTQHqEJZqE-st6uFKPoI?usp=share_link" TargetMode="External"/><Relationship Id="rId2890" Type="http://schemas.openxmlformats.org/officeDocument/2006/relationships/hyperlink" Target="https://drive.google.com/drive/folders/10T2cTQHqEJZqE-st6uFKPoI?usp=share_link" TargetMode="External"/><Relationship Id="rId1560" Type="http://schemas.openxmlformats.org/officeDocument/2006/relationships/hyperlink" Target="https://drive.google.com/drive/folders/10T2cTQHqEJZqE-st6uFKPoI?usp=share_link" TargetMode="External"/><Relationship Id="rId2891" Type="http://schemas.openxmlformats.org/officeDocument/2006/relationships/hyperlink" Target="https://drive.google.com/drive/folders/10T2cTQHqEJZqE-st6uFKPoI?usp=share_link" TargetMode="External"/><Relationship Id="rId972" Type="http://schemas.openxmlformats.org/officeDocument/2006/relationships/hyperlink" Target="https://drive.google.com/drive/folders/10T2cTQHqEJZqE-st6uFKPoI?usp=share_link" TargetMode="External"/><Relationship Id="rId1561" Type="http://schemas.openxmlformats.org/officeDocument/2006/relationships/hyperlink" Target="https://drive.google.com/drive/folders/10T2cTQHqEJZqE-st6uFKPoI?usp=share_link" TargetMode="External"/><Relationship Id="rId2892" Type="http://schemas.openxmlformats.org/officeDocument/2006/relationships/hyperlink" Target="https://drive.google.com/drive/folders/10T2cTQHqEJZqE-st6uFKPoI?usp=share_link" TargetMode="External"/><Relationship Id="rId971" Type="http://schemas.openxmlformats.org/officeDocument/2006/relationships/hyperlink" Target="https://drive.google.com/drive/folders/10T2cTQHqEJZqE-st6uFKPoI?usp=share_link" TargetMode="External"/><Relationship Id="rId1562" Type="http://schemas.openxmlformats.org/officeDocument/2006/relationships/hyperlink" Target="https://drive.google.com/drive/folders/10T2cTQHqEJZqE-st6uFKPoI?usp=share_link" TargetMode="External"/><Relationship Id="rId2893" Type="http://schemas.openxmlformats.org/officeDocument/2006/relationships/hyperlink" Target="https://drive.google.com/drive/folders/10T2cTQHqEJZqE-st6uFKPoI?usp=share_link" TargetMode="External"/><Relationship Id="rId970" Type="http://schemas.openxmlformats.org/officeDocument/2006/relationships/hyperlink" Target="https://drive.google.com/drive/folders/10T2cTQHqEJZqE-st6uFKPoI?usp=share_link" TargetMode="External"/><Relationship Id="rId1563" Type="http://schemas.openxmlformats.org/officeDocument/2006/relationships/hyperlink" Target="https://drive.google.com/drive/folders/10T2cTQHqEJZqE-st6uFKPoI?usp=share_link" TargetMode="External"/><Relationship Id="rId2894" Type="http://schemas.openxmlformats.org/officeDocument/2006/relationships/hyperlink" Target="https://drive.google.com/drive/folders/10T2cTQHqEJZqE-st6uFKPoI?usp=share_link" TargetMode="External"/><Relationship Id="rId1564" Type="http://schemas.openxmlformats.org/officeDocument/2006/relationships/hyperlink" Target="https://drive.google.com/drive/folders/10T2cTQHqEJZqE-st6uFKPoI?usp=share_link" TargetMode="External"/><Relationship Id="rId2895" Type="http://schemas.openxmlformats.org/officeDocument/2006/relationships/hyperlink" Target="https://drive.google.com/drive/folders/10T2cTQHqEJZqE-st6uFKPoI?usp=share_link" TargetMode="External"/><Relationship Id="rId1598" Type="http://schemas.openxmlformats.org/officeDocument/2006/relationships/hyperlink" Target="https://drive.google.com/drive/folders/10T2cTQHqEJZqE-st6uFKPoI?usp=share_link" TargetMode="External"/><Relationship Id="rId4624" Type="http://schemas.openxmlformats.org/officeDocument/2006/relationships/hyperlink" Target="https://drive.google.com/drive/folders/10T2cTQHqEJZqE-st6uFKPoI?usp=share_link" TargetMode="External"/><Relationship Id="rId1599" Type="http://schemas.openxmlformats.org/officeDocument/2006/relationships/hyperlink" Target="https://drive.google.com/drive/folders/10T2cTQHqEJZqE-st6uFKPoI?usp=share_link" TargetMode="External"/><Relationship Id="rId4623" Type="http://schemas.openxmlformats.org/officeDocument/2006/relationships/hyperlink" Target="https://drive.google.com/drive/folders/10T2cTQHqEJZqE-st6uFKPoI?usp=share_link" TargetMode="External"/><Relationship Id="rId4626" Type="http://schemas.openxmlformats.org/officeDocument/2006/relationships/hyperlink" Target="https://drive.google.com/drive/folders/10T2cTQHqEJZqE-st6uFKPoI?usp=share_link" TargetMode="External"/><Relationship Id="rId4625" Type="http://schemas.openxmlformats.org/officeDocument/2006/relationships/hyperlink" Target="https://drive.google.com/drive/folders/10T2cTQHqEJZqE-st6uFKPoI?usp=share_link" TargetMode="External"/><Relationship Id="rId4628" Type="http://schemas.openxmlformats.org/officeDocument/2006/relationships/hyperlink" Target="https://drive.google.com/drive/folders/10T2cTQHqEJZqE-st6uFKPoI?usp=share_link" TargetMode="External"/><Relationship Id="rId4627" Type="http://schemas.openxmlformats.org/officeDocument/2006/relationships/hyperlink" Target="https://drive.google.com/drive/folders/10T2cTQHqEJZqE-st6uFKPoI?usp=share_link" TargetMode="External"/><Relationship Id="rId4629" Type="http://schemas.openxmlformats.org/officeDocument/2006/relationships/hyperlink" Target="https://drive.google.com/drive/folders/10T2cTQHqEJZqE-st6uFKPoI?usp=share_link" TargetMode="External"/><Relationship Id="rId1590" Type="http://schemas.openxmlformats.org/officeDocument/2006/relationships/hyperlink" Target="https://drive.google.com/drive/folders/10T2cTQHqEJZqE-st6uFKPoI?usp=share_link" TargetMode="External"/><Relationship Id="rId1591" Type="http://schemas.openxmlformats.org/officeDocument/2006/relationships/hyperlink" Target="https://drive.google.com/drive/folders/10T2cTQHqEJZqE-st6uFKPoI?usp=share_link" TargetMode="External"/><Relationship Id="rId1592" Type="http://schemas.openxmlformats.org/officeDocument/2006/relationships/hyperlink" Target="https://drive.google.com/drive/folders/10T2cTQHqEJZqE-st6uFKPoI?usp=share_link" TargetMode="External"/><Relationship Id="rId1593" Type="http://schemas.openxmlformats.org/officeDocument/2006/relationships/hyperlink" Target="https://drive.google.com/drive/folders/10T2cTQHqEJZqE-st6uFKPoI?usp=share_link" TargetMode="External"/><Relationship Id="rId1594" Type="http://schemas.openxmlformats.org/officeDocument/2006/relationships/hyperlink" Target="https://drive.google.com/drive/folders/10T2cTQHqEJZqE-st6uFKPoI?usp=share_link" TargetMode="External"/><Relationship Id="rId4620" Type="http://schemas.openxmlformats.org/officeDocument/2006/relationships/hyperlink" Target="https://drive.google.com/drive/folders/10T2cTQHqEJZqE-st6uFKPoI?usp=share_link" TargetMode="External"/><Relationship Id="rId1595" Type="http://schemas.openxmlformats.org/officeDocument/2006/relationships/hyperlink" Target="https://drive.google.com/drive/folders/10T2cTQHqEJZqE-st6uFKPoI?usp=share_link" TargetMode="External"/><Relationship Id="rId1596" Type="http://schemas.openxmlformats.org/officeDocument/2006/relationships/hyperlink" Target="https://drive.google.com/drive/folders/10T2cTQHqEJZqE-st6uFKPoI?usp=share_link" TargetMode="External"/><Relationship Id="rId4622" Type="http://schemas.openxmlformats.org/officeDocument/2006/relationships/hyperlink" Target="https://drive.google.com/drive/folders/10T2cTQHqEJZqE-st6uFKPoI?usp=share_link" TargetMode="External"/><Relationship Id="rId1597" Type="http://schemas.openxmlformats.org/officeDocument/2006/relationships/hyperlink" Target="https://drive.google.com/drive/folders/10T2cTQHqEJZqE-st6uFKPoI?usp=share_link" TargetMode="External"/><Relationship Id="rId4621" Type="http://schemas.openxmlformats.org/officeDocument/2006/relationships/hyperlink" Target="https://drive.google.com/drive/folders/10T2cTQHqEJZqE-st6uFKPoI?usp=share_link" TargetMode="External"/><Relationship Id="rId1587" Type="http://schemas.openxmlformats.org/officeDocument/2006/relationships/hyperlink" Target="https://drive.google.com/drive/folders/10T2cTQHqEJZqE-st6uFKPoI?usp=share_link" TargetMode="External"/><Relationship Id="rId4613" Type="http://schemas.openxmlformats.org/officeDocument/2006/relationships/hyperlink" Target="https://drive.google.com/drive/folders/10T2cTQHqEJZqE-st6uFKPoI?usp=share_link" TargetMode="External"/><Relationship Id="rId1588" Type="http://schemas.openxmlformats.org/officeDocument/2006/relationships/hyperlink" Target="https://drive.google.com/drive/folders/10T2cTQHqEJZqE-st6uFKPoI?usp=share_link" TargetMode="External"/><Relationship Id="rId4612" Type="http://schemas.openxmlformats.org/officeDocument/2006/relationships/hyperlink" Target="https://drive.google.com/drive/folders/10T2cTQHqEJZqE-st6uFKPoI?usp=share_link" TargetMode="External"/><Relationship Id="rId1589" Type="http://schemas.openxmlformats.org/officeDocument/2006/relationships/hyperlink" Target="https://drive.google.com/drive/folders/10T2cTQHqEJZqE-st6uFKPoI?usp=share_link" TargetMode="External"/><Relationship Id="rId4615" Type="http://schemas.openxmlformats.org/officeDocument/2006/relationships/hyperlink" Target="https://drive.google.com/drive/folders/10T2cTQHqEJZqE-st6uFKPoI?usp=share_link" TargetMode="External"/><Relationship Id="rId4614" Type="http://schemas.openxmlformats.org/officeDocument/2006/relationships/hyperlink" Target="https://drive.google.com/drive/folders/10T2cTQHqEJZqE-st6uFKPoI?usp=share_link" TargetMode="External"/><Relationship Id="rId4617" Type="http://schemas.openxmlformats.org/officeDocument/2006/relationships/hyperlink" Target="https://drive.google.com/drive/folders/10T2cTQHqEJZqE-st6uFKPoI?usp=share_link" TargetMode="External"/><Relationship Id="rId4616" Type="http://schemas.openxmlformats.org/officeDocument/2006/relationships/hyperlink" Target="https://drive.google.com/drive/folders/10T2cTQHqEJZqE-st6uFKPoI?usp=share_link" TargetMode="External"/><Relationship Id="rId4619" Type="http://schemas.openxmlformats.org/officeDocument/2006/relationships/hyperlink" Target="https://drive.google.com/drive/folders/10T2cTQHqEJZqE-st6uFKPoI?usp=share_link" TargetMode="External"/><Relationship Id="rId4618" Type="http://schemas.openxmlformats.org/officeDocument/2006/relationships/hyperlink" Target="https://drive.google.com/drive/folders/10T2cTQHqEJZqE-st6uFKPoI?usp=share_link" TargetMode="External"/><Relationship Id="rId998" Type="http://schemas.openxmlformats.org/officeDocument/2006/relationships/hyperlink" Target="https://drive.google.com/drive/folders/10T2cTQHqEJZqE-st6uFKPoI?usp=share_link" TargetMode="External"/><Relationship Id="rId997" Type="http://schemas.openxmlformats.org/officeDocument/2006/relationships/hyperlink" Target="https://drive.google.com/drive/folders/10T2cTQHqEJZqE-st6uFKPoI?usp=share_link" TargetMode="External"/><Relationship Id="rId996" Type="http://schemas.openxmlformats.org/officeDocument/2006/relationships/hyperlink" Target="https://drive.google.com/drive/folders/10T2cTQHqEJZqE-st6uFKPoI?usp=share_link" TargetMode="External"/><Relationship Id="rId995" Type="http://schemas.openxmlformats.org/officeDocument/2006/relationships/hyperlink" Target="https://drive.google.com/drive/folders/10T2cTQHqEJZqE-st6uFKPoI?usp=share_link" TargetMode="External"/><Relationship Id="rId999" Type="http://schemas.openxmlformats.org/officeDocument/2006/relationships/hyperlink" Target="https://drive.google.com/drive/folders/10T2cTQHqEJZqE-st6uFKPoI?usp=share_link" TargetMode="External"/><Relationship Id="rId990" Type="http://schemas.openxmlformats.org/officeDocument/2006/relationships/hyperlink" Target="https://drive.google.com/drive/folders/10T2cTQHqEJZqE-st6uFKPoI?usp=share_link" TargetMode="External"/><Relationship Id="rId1580" Type="http://schemas.openxmlformats.org/officeDocument/2006/relationships/hyperlink" Target="https://drive.google.com/drive/folders/10T2cTQHqEJZqE-st6uFKPoI?usp=share_link" TargetMode="External"/><Relationship Id="rId1581" Type="http://schemas.openxmlformats.org/officeDocument/2006/relationships/hyperlink" Target="https://drive.google.com/drive/folders/10T2cTQHqEJZqE-st6uFKPoI?usp=share_link" TargetMode="External"/><Relationship Id="rId1582" Type="http://schemas.openxmlformats.org/officeDocument/2006/relationships/hyperlink" Target="https://drive.google.com/drive/folders/10T2cTQHqEJZqE-st6uFKPoI?usp=share_link" TargetMode="External"/><Relationship Id="rId994" Type="http://schemas.openxmlformats.org/officeDocument/2006/relationships/hyperlink" Target="https://drive.google.com/drive/folders/10T2cTQHqEJZqE-st6uFKPoI?usp=share_link" TargetMode="External"/><Relationship Id="rId1583" Type="http://schemas.openxmlformats.org/officeDocument/2006/relationships/hyperlink" Target="https://drive.google.com/drive/folders/10T2cTQHqEJZqE-st6uFKPoI?usp=share_link" TargetMode="External"/><Relationship Id="rId993" Type="http://schemas.openxmlformats.org/officeDocument/2006/relationships/hyperlink" Target="https://drive.google.com/drive/folders/10T2cTQHqEJZqE-st6uFKPoI?usp=share_link" TargetMode="External"/><Relationship Id="rId1584" Type="http://schemas.openxmlformats.org/officeDocument/2006/relationships/hyperlink" Target="https://drive.google.com/drive/folders/10T2cTQHqEJZqE-st6uFKPoI?usp=share_link" TargetMode="External"/><Relationship Id="rId992" Type="http://schemas.openxmlformats.org/officeDocument/2006/relationships/hyperlink" Target="https://drive.google.com/drive/folders/10T2cTQHqEJZqE-st6uFKPoI?usp=share_link" TargetMode="External"/><Relationship Id="rId1585" Type="http://schemas.openxmlformats.org/officeDocument/2006/relationships/hyperlink" Target="https://drive.google.com/drive/folders/10T2cTQHqEJZqE-st6uFKPoI?usp=share_link" TargetMode="External"/><Relationship Id="rId4611" Type="http://schemas.openxmlformats.org/officeDocument/2006/relationships/hyperlink" Target="https://drive.google.com/drive/folders/10T2cTQHqEJZqE-st6uFKPoI?usp=share_link" TargetMode="External"/><Relationship Id="rId991" Type="http://schemas.openxmlformats.org/officeDocument/2006/relationships/hyperlink" Target="https://drive.google.com/drive/folders/10T2cTQHqEJZqE-st6uFKPoI?usp=share_link" TargetMode="External"/><Relationship Id="rId1586" Type="http://schemas.openxmlformats.org/officeDocument/2006/relationships/hyperlink" Target="https://drive.google.com/drive/folders/10T2cTQHqEJZqE-st6uFKPoI?usp=share_link" TargetMode="External"/><Relationship Id="rId4610" Type="http://schemas.openxmlformats.org/officeDocument/2006/relationships/hyperlink" Target="https://drive.google.com/drive/folders/10T2cTQHqEJZqE-st6uFKPoI?usp=share_link" TargetMode="External"/><Relationship Id="rId1532" Type="http://schemas.openxmlformats.org/officeDocument/2006/relationships/hyperlink" Target="https://drive.google.com/drive/folders/10T2cTQHqEJZqE-st6uFKPoI?usp=share_link" TargetMode="External"/><Relationship Id="rId2863" Type="http://schemas.openxmlformats.org/officeDocument/2006/relationships/hyperlink" Target="https://drive.google.com/drive/folders/10T2cTQHqEJZqE-st6uFKPoI?usp=share_link" TargetMode="External"/><Relationship Id="rId1533" Type="http://schemas.openxmlformats.org/officeDocument/2006/relationships/hyperlink" Target="https://drive.google.com/drive/folders/10T2cTQHqEJZqE-st6uFKPoI?usp=share_link" TargetMode="External"/><Relationship Id="rId2864" Type="http://schemas.openxmlformats.org/officeDocument/2006/relationships/hyperlink" Target="https://drive.google.com/drive/folders/10T2cTQHqEJZqE-st6uFKPoI?usp=share_link" TargetMode="External"/><Relationship Id="rId1534" Type="http://schemas.openxmlformats.org/officeDocument/2006/relationships/hyperlink" Target="https://drive.google.com/drive/folders/10T2cTQHqEJZqE-st6uFKPoI?usp=share_link" TargetMode="External"/><Relationship Id="rId2865" Type="http://schemas.openxmlformats.org/officeDocument/2006/relationships/hyperlink" Target="https://drive.google.com/drive/folders/10T2cTQHqEJZqE-st6uFKPoI?usp=share_link" TargetMode="External"/><Relationship Id="rId1535" Type="http://schemas.openxmlformats.org/officeDocument/2006/relationships/hyperlink" Target="https://drive.google.com/drive/folders/10T2cTQHqEJZqE-st6uFKPoI?usp=share_link" TargetMode="External"/><Relationship Id="rId2866" Type="http://schemas.openxmlformats.org/officeDocument/2006/relationships/hyperlink" Target="https://drive.google.com/drive/folders/10T2cTQHqEJZqE-st6uFKPoI?usp=share_link" TargetMode="External"/><Relationship Id="rId1536" Type="http://schemas.openxmlformats.org/officeDocument/2006/relationships/hyperlink" Target="https://drive.google.com/drive/folders/10T2cTQHqEJZqE-st6uFKPoI?usp=share_link" TargetMode="External"/><Relationship Id="rId2867" Type="http://schemas.openxmlformats.org/officeDocument/2006/relationships/hyperlink" Target="https://drive.google.com/drive/folders/10T2cTQHqEJZqE-st6uFKPoI?usp=share_link" TargetMode="External"/><Relationship Id="rId1537" Type="http://schemas.openxmlformats.org/officeDocument/2006/relationships/hyperlink" Target="https://drive.google.com/drive/folders/10T2cTQHqEJZqE-st6uFKPoI?usp=share_link" TargetMode="External"/><Relationship Id="rId2868" Type="http://schemas.openxmlformats.org/officeDocument/2006/relationships/hyperlink" Target="https://drive.google.com/drive/folders/10T2cTQHqEJZqE-st6uFKPoI?usp=share_link" TargetMode="External"/><Relationship Id="rId1538" Type="http://schemas.openxmlformats.org/officeDocument/2006/relationships/hyperlink" Target="https://drive.google.com/drive/folders/10T2cTQHqEJZqE-st6uFKPoI?usp=share_link" TargetMode="External"/><Relationship Id="rId2869" Type="http://schemas.openxmlformats.org/officeDocument/2006/relationships/hyperlink" Target="https://drive.google.com/drive/folders/10T2cTQHqEJZqE-st6uFKPoI?usp=share_link" TargetMode="External"/><Relationship Id="rId1539" Type="http://schemas.openxmlformats.org/officeDocument/2006/relationships/hyperlink" Target="https://drive.google.com/drive/folders/10T2cTQHqEJZqE-st6uFKPoI?usp=share_link" TargetMode="External"/><Relationship Id="rId949" Type="http://schemas.openxmlformats.org/officeDocument/2006/relationships/hyperlink" Target="https://drive.google.com/drive/folders/10T2cTQHqEJZqE-st6uFKPoI?usp=share_link" TargetMode="External"/><Relationship Id="rId948" Type="http://schemas.openxmlformats.org/officeDocument/2006/relationships/hyperlink" Target="https://drive.google.com/drive/folders/10T2cTQHqEJZqE-st6uFKPoI?usp=share_link" TargetMode="External"/><Relationship Id="rId943" Type="http://schemas.openxmlformats.org/officeDocument/2006/relationships/hyperlink" Target="https://drive.google.com/drive/folders/10T2cTQHqEJZqE-st6uFKPoI?usp=share_link" TargetMode="External"/><Relationship Id="rId942" Type="http://schemas.openxmlformats.org/officeDocument/2006/relationships/hyperlink" Target="https://drive.google.com/drive/folders/10T2cTQHqEJZqE-st6uFKPoI?usp=share_link" TargetMode="External"/><Relationship Id="rId941" Type="http://schemas.openxmlformats.org/officeDocument/2006/relationships/hyperlink" Target="https://drive.google.com/drive/folders/10T2cTQHqEJZqE-st6uFKPoI?usp=share_link" TargetMode="External"/><Relationship Id="rId940" Type="http://schemas.openxmlformats.org/officeDocument/2006/relationships/hyperlink" Target="https://drive.google.com/drive/folders/10T2cTQHqEJZqE-st6uFKPoI?usp=share_link" TargetMode="External"/><Relationship Id="rId947" Type="http://schemas.openxmlformats.org/officeDocument/2006/relationships/hyperlink" Target="https://drive.google.com/drive/folders/10T2cTQHqEJZqE-st6uFKPoI?usp=share_link" TargetMode="External"/><Relationship Id="rId946" Type="http://schemas.openxmlformats.org/officeDocument/2006/relationships/hyperlink" Target="https://drive.google.com/drive/folders/10T2cTQHqEJZqE-st6uFKPoI?usp=share_link" TargetMode="External"/><Relationship Id="rId945" Type="http://schemas.openxmlformats.org/officeDocument/2006/relationships/hyperlink" Target="https://drive.google.com/drive/folders/10T2cTQHqEJZqE-st6uFKPoI?usp=share_link" TargetMode="External"/><Relationship Id="rId944" Type="http://schemas.openxmlformats.org/officeDocument/2006/relationships/hyperlink" Target="https://drive.google.com/drive/folders/10T2cTQHqEJZqE-st6uFKPoI?usp=share_link" TargetMode="External"/><Relationship Id="rId2860" Type="http://schemas.openxmlformats.org/officeDocument/2006/relationships/hyperlink" Target="https://drive.google.com/drive/folders/10T2cTQHqEJZqE-st6uFKPoI?usp=share_link" TargetMode="External"/><Relationship Id="rId1530" Type="http://schemas.openxmlformats.org/officeDocument/2006/relationships/hyperlink" Target="https://drive.google.com/drive/folders/10T2cTQHqEJZqE-st6uFKPoI?usp=share_link" TargetMode="External"/><Relationship Id="rId2861" Type="http://schemas.openxmlformats.org/officeDocument/2006/relationships/hyperlink" Target="https://drive.google.com/drive/folders/10T2cTQHqEJZqE-st6uFKPoI?usp=share_link" TargetMode="External"/><Relationship Id="rId1531" Type="http://schemas.openxmlformats.org/officeDocument/2006/relationships/hyperlink" Target="https://drive.google.com/drive/folders/10T2cTQHqEJZqE-st6uFKPoI?usp=share_link" TargetMode="External"/><Relationship Id="rId2862" Type="http://schemas.openxmlformats.org/officeDocument/2006/relationships/hyperlink" Target="https://drive.google.com/drive/folders/10T2cTQHqEJZqE-st6uFKPoI?usp=share_link" TargetMode="External"/><Relationship Id="rId1521" Type="http://schemas.openxmlformats.org/officeDocument/2006/relationships/hyperlink" Target="https://drive.google.com/drive/folders/10T2cTQHqEJZqE-st6uFKPoI?usp=share_link" TargetMode="External"/><Relationship Id="rId2852" Type="http://schemas.openxmlformats.org/officeDocument/2006/relationships/hyperlink" Target="https://drive.google.com/drive/folders/10T2cTQHqEJZqE-st6uFKPoI?usp=share_link" TargetMode="External"/><Relationship Id="rId1522" Type="http://schemas.openxmlformats.org/officeDocument/2006/relationships/hyperlink" Target="https://drive.google.com/drive/folders/10T2cTQHqEJZqE-st6uFKPoI?usp=share_link" TargetMode="External"/><Relationship Id="rId2853" Type="http://schemas.openxmlformats.org/officeDocument/2006/relationships/hyperlink" Target="https://drive.google.com/drive/folders/10T2cTQHqEJZqE-st6uFKPoI?usp=share_link" TargetMode="External"/><Relationship Id="rId1523" Type="http://schemas.openxmlformats.org/officeDocument/2006/relationships/hyperlink" Target="https://drive.google.com/drive/folders/10T2cTQHqEJZqE-st6uFKPoI?usp=share_link" TargetMode="External"/><Relationship Id="rId2854" Type="http://schemas.openxmlformats.org/officeDocument/2006/relationships/hyperlink" Target="https://drive.google.com/drive/folders/10T2cTQHqEJZqE-st6uFKPoI?usp=share_link" TargetMode="External"/><Relationship Id="rId1524" Type="http://schemas.openxmlformats.org/officeDocument/2006/relationships/hyperlink" Target="https://drive.google.com/drive/folders/10T2cTQHqEJZqE-st6uFKPoI?usp=share_link" TargetMode="External"/><Relationship Id="rId2855" Type="http://schemas.openxmlformats.org/officeDocument/2006/relationships/hyperlink" Target="https://drive.google.com/drive/folders/10T2cTQHqEJZqE-st6uFKPoI?usp=share_link" TargetMode="External"/><Relationship Id="rId1525" Type="http://schemas.openxmlformats.org/officeDocument/2006/relationships/hyperlink" Target="https://drive.google.com/drive/folders/10T2cTQHqEJZqE-st6uFKPoI?usp=share_link" TargetMode="External"/><Relationship Id="rId2856" Type="http://schemas.openxmlformats.org/officeDocument/2006/relationships/hyperlink" Target="https://drive.google.com/drive/folders/10T2cTQHqEJZqE-st6uFKPoI?usp=share_link" TargetMode="External"/><Relationship Id="rId1526" Type="http://schemas.openxmlformats.org/officeDocument/2006/relationships/hyperlink" Target="https://drive.google.com/drive/folders/10T2cTQHqEJZqE-st6uFKPoI?usp=share_link" TargetMode="External"/><Relationship Id="rId2857" Type="http://schemas.openxmlformats.org/officeDocument/2006/relationships/hyperlink" Target="https://drive.google.com/drive/folders/10T2cTQHqEJZqE-st6uFKPoI?usp=share_link" TargetMode="External"/><Relationship Id="rId1527" Type="http://schemas.openxmlformats.org/officeDocument/2006/relationships/hyperlink" Target="https://drive.google.com/drive/folders/10T2cTQHqEJZqE-st6uFKPoI?usp=share_link" TargetMode="External"/><Relationship Id="rId2858" Type="http://schemas.openxmlformats.org/officeDocument/2006/relationships/hyperlink" Target="https://drive.google.com/drive/folders/10T2cTQHqEJZqE-st6uFKPoI?usp=share_link" TargetMode="External"/><Relationship Id="rId1528" Type="http://schemas.openxmlformats.org/officeDocument/2006/relationships/hyperlink" Target="https://drive.google.com/drive/folders/10T2cTQHqEJZqE-st6uFKPoI?usp=share_link" TargetMode="External"/><Relationship Id="rId2859" Type="http://schemas.openxmlformats.org/officeDocument/2006/relationships/hyperlink" Target="https://drive.google.com/drive/folders/10T2cTQHqEJZqE-st6uFKPoI?usp=share_link" TargetMode="External"/><Relationship Id="rId1529" Type="http://schemas.openxmlformats.org/officeDocument/2006/relationships/hyperlink" Target="https://drive.google.com/drive/folders/10T2cTQHqEJZqE-st6uFKPoI?usp=share_link" TargetMode="External"/><Relationship Id="rId939" Type="http://schemas.openxmlformats.org/officeDocument/2006/relationships/hyperlink" Target="https://drive.google.com/drive/folders/10T2cTQHqEJZqE-st6uFKPoI?usp=share_link" TargetMode="External"/><Relationship Id="rId938" Type="http://schemas.openxmlformats.org/officeDocument/2006/relationships/hyperlink" Target="https://drive.google.com/drive/folders/10T2cTQHqEJZqE-st6uFKPoI?usp=share_link" TargetMode="External"/><Relationship Id="rId937" Type="http://schemas.openxmlformats.org/officeDocument/2006/relationships/hyperlink" Target="https://drive.google.com/drive/folders/10T2cTQHqEJZqE-st6uFKPoI?usp=share_link" TargetMode="External"/><Relationship Id="rId932" Type="http://schemas.openxmlformats.org/officeDocument/2006/relationships/hyperlink" Target="https://drive.google.com/drive/folders/10T2cTQHqEJZqE-st6uFKPoI?usp=share_link" TargetMode="External"/><Relationship Id="rId931" Type="http://schemas.openxmlformats.org/officeDocument/2006/relationships/hyperlink" Target="https://drive.google.com/drive/folders/10T2cTQHqEJZqE-st6uFKPoI?usp=share_link" TargetMode="External"/><Relationship Id="rId930" Type="http://schemas.openxmlformats.org/officeDocument/2006/relationships/hyperlink" Target="https://drive.google.com/drive/folders/10T2cTQHqEJZqE-st6uFKPoI?usp=share_link" TargetMode="External"/><Relationship Id="rId936" Type="http://schemas.openxmlformats.org/officeDocument/2006/relationships/hyperlink" Target="https://drive.google.com/drive/folders/10T2cTQHqEJZqE-st6uFKPoI?usp=share_link" TargetMode="External"/><Relationship Id="rId935" Type="http://schemas.openxmlformats.org/officeDocument/2006/relationships/hyperlink" Target="https://drive.google.com/drive/folders/10T2cTQHqEJZqE-st6uFKPoI?usp=share_link" TargetMode="External"/><Relationship Id="rId934" Type="http://schemas.openxmlformats.org/officeDocument/2006/relationships/hyperlink" Target="https://drive.google.com/drive/folders/10T2cTQHqEJZqE-st6uFKPoI?usp=share_link" TargetMode="External"/><Relationship Id="rId933" Type="http://schemas.openxmlformats.org/officeDocument/2006/relationships/hyperlink" Target="https://drive.google.com/drive/folders/10T2cTQHqEJZqE-st6uFKPoI?usp=share_link" TargetMode="External"/><Relationship Id="rId2850" Type="http://schemas.openxmlformats.org/officeDocument/2006/relationships/hyperlink" Target="https://drive.google.com/drive/folders/10T2cTQHqEJZqE-st6uFKPoI?usp=share_link" TargetMode="External"/><Relationship Id="rId1520" Type="http://schemas.openxmlformats.org/officeDocument/2006/relationships/hyperlink" Target="https://drive.google.com/drive/folders/10T2cTQHqEJZqE-st6uFKPoI?usp=share_link" TargetMode="External"/><Relationship Id="rId2851" Type="http://schemas.openxmlformats.org/officeDocument/2006/relationships/hyperlink" Target="https://drive.google.com/drive/folders/10T2cTQHqEJZqE-st6uFKPoI?usp=share_link" TargetMode="External"/><Relationship Id="rId1554" Type="http://schemas.openxmlformats.org/officeDocument/2006/relationships/hyperlink" Target="https://drive.google.com/drive/folders/10T2cTQHqEJZqE-st6uFKPoI?usp=share_link" TargetMode="External"/><Relationship Id="rId2885" Type="http://schemas.openxmlformats.org/officeDocument/2006/relationships/hyperlink" Target="https://drive.google.com/drive/folders/10T2cTQHqEJZqE-st6uFKPoI?usp=share_link" TargetMode="External"/><Relationship Id="rId1555" Type="http://schemas.openxmlformats.org/officeDocument/2006/relationships/hyperlink" Target="https://drive.google.com/drive/folders/10T2cTQHqEJZqE-st6uFKPoI?usp=share_link" TargetMode="External"/><Relationship Id="rId2886" Type="http://schemas.openxmlformats.org/officeDocument/2006/relationships/hyperlink" Target="https://drive.google.com/drive/folders/10T2cTQHqEJZqE-st6uFKPoI?usp=share_link" TargetMode="External"/><Relationship Id="rId1556" Type="http://schemas.openxmlformats.org/officeDocument/2006/relationships/hyperlink" Target="https://drive.google.com/drive/folders/10T2cTQHqEJZqE-st6uFKPoI?usp=share_link" TargetMode="External"/><Relationship Id="rId2887" Type="http://schemas.openxmlformats.org/officeDocument/2006/relationships/hyperlink" Target="https://drive.google.com/drive/folders/10T2cTQHqEJZqE-st6uFKPoI?usp=share_link" TargetMode="External"/><Relationship Id="rId1557" Type="http://schemas.openxmlformats.org/officeDocument/2006/relationships/hyperlink" Target="https://drive.google.com/drive/folders/10T2cTQHqEJZqE-st6uFKPoI?usp=share_link" TargetMode="External"/><Relationship Id="rId2888" Type="http://schemas.openxmlformats.org/officeDocument/2006/relationships/hyperlink" Target="https://drive.google.com/drive/folders/10T2cTQHqEJZqE-st6uFKPoI?usp=share_link" TargetMode="External"/><Relationship Id="rId1558" Type="http://schemas.openxmlformats.org/officeDocument/2006/relationships/hyperlink" Target="https://drive.google.com/drive/folders/10T2cTQHqEJZqE-st6uFKPoI?usp=share_link" TargetMode="External"/><Relationship Id="rId2889" Type="http://schemas.openxmlformats.org/officeDocument/2006/relationships/hyperlink" Target="https://drive.google.com/drive/folders/10T2cTQHqEJZqE-st6uFKPoI?usp=share_link" TargetMode="External"/><Relationship Id="rId1559" Type="http://schemas.openxmlformats.org/officeDocument/2006/relationships/hyperlink" Target="https://drive.google.com/drive/folders/10T2cTQHqEJZqE-st6uFKPoI?usp=share_link" TargetMode="External"/><Relationship Id="rId965" Type="http://schemas.openxmlformats.org/officeDocument/2006/relationships/hyperlink" Target="https://drive.google.com/drive/folders/10T2cTQHqEJZqE-st6uFKPoI?usp=share_link" TargetMode="External"/><Relationship Id="rId964" Type="http://schemas.openxmlformats.org/officeDocument/2006/relationships/hyperlink" Target="https://drive.google.com/drive/folders/10T2cTQHqEJZqE-st6uFKPoI?usp=share_link" TargetMode="External"/><Relationship Id="rId963" Type="http://schemas.openxmlformats.org/officeDocument/2006/relationships/hyperlink" Target="https://drive.google.com/drive/folders/10T2cTQHqEJZqE-st6uFKPoI?usp=share_link" TargetMode="External"/><Relationship Id="rId962" Type="http://schemas.openxmlformats.org/officeDocument/2006/relationships/hyperlink" Target="https://drive.google.com/drive/folders/10T2cTQHqEJZqE-st6uFKPoI?usp=share_link" TargetMode="External"/><Relationship Id="rId969" Type="http://schemas.openxmlformats.org/officeDocument/2006/relationships/hyperlink" Target="https://drive.google.com/drive/folders/10T2cTQHqEJZqE-st6uFKPoI?usp=share_link" TargetMode="External"/><Relationship Id="rId968" Type="http://schemas.openxmlformats.org/officeDocument/2006/relationships/hyperlink" Target="https://drive.google.com/drive/folders/10T2cTQHqEJZqE-st6uFKPoI?usp=share_link" TargetMode="External"/><Relationship Id="rId967" Type="http://schemas.openxmlformats.org/officeDocument/2006/relationships/hyperlink" Target="https://drive.google.com/drive/folders/10T2cTQHqEJZqE-st6uFKPoI?usp=share_link" TargetMode="External"/><Relationship Id="rId966" Type="http://schemas.openxmlformats.org/officeDocument/2006/relationships/hyperlink" Target="https://drive.google.com/drive/folders/10T2cTQHqEJZqE-st6uFKPoI?usp=share_link" TargetMode="External"/><Relationship Id="rId2880" Type="http://schemas.openxmlformats.org/officeDocument/2006/relationships/hyperlink" Target="https://drive.google.com/drive/folders/10T2cTQHqEJZqE-st6uFKPoI?usp=share_link" TargetMode="External"/><Relationship Id="rId961" Type="http://schemas.openxmlformats.org/officeDocument/2006/relationships/hyperlink" Target="https://drive.google.com/drive/folders/10T2cTQHqEJZqE-st6uFKPoI?usp=share_link" TargetMode="External"/><Relationship Id="rId1550" Type="http://schemas.openxmlformats.org/officeDocument/2006/relationships/hyperlink" Target="https://drive.google.com/drive/folders/10T2cTQHqEJZqE-st6uFKPoI?usp=share_link" TargetMode="External"/><Relationship Id="rId2881" Type="http://schemas.openxmlformats.org/officeDocument/2006/relationships/hyperlink" Target="https://drive.google.com/drive/folders/10T2cTQHqEJZqE-st6uFKPoI?usp=share_link" TargetMode="External"/><Relationship Id="rId960" Type="http://schemas.openxmlformats.org/officeDocument/2006/relationships/hyperlink" Target="https://drive.google.com/drive/folders/10T2cTQHqEJZqE-st6uFKPoI?usp=share_link" TargetMode="External"/><Relationship Id="rId1551" Type="http://schemas.openxmlformats.org/officeDocument/2006/relationships/hyperlink" Target="https://drive.google.com/drive/folders/10T2cTQHqEJZqE-st6uFKPoI?usp=share_link" TargetMode="External"/><Relationship Id="rId2882" Type="http://schemas.openxmlformats.org/officeDocument/2006/relationships/hyperlink" Target="https://drive.google.com/drive/folders/10T2cTQHqEJZqE-st6uFKPoI?usp=share_link" TargetMode="External"/><Relationship Id="rId1552" Type="http://schemas.openxmlformats.org/officeDocument/2006/relationships/hyperlink" Target="https://drive.google.com/drive/folders/10T2cTQHqEJZqE-st6uFKPoI?usp=share_link" TargetMode="External"/><Relationship Id="rId2883" Type="http://schemas.openxmlformats.org/officeDocument/2006/relationships/hyperlink" Target="https://drive.google.com/drive/folders/10T2cTQHqEJZqE-st6uFKPoI?usp=share_link" TargetMode="External"/><Relationship Id="rId1553" Type="http://schemas.openxmlformats.org/officeDocument/2006/relationships/hyperlink" Target="https://drive.google.com/drive/folders/10T2cTQHqEJZqE-st6uFKPoI?usp=share_link" TargetMode="External"/><Relationship Id="rId2884" Type="http://schemas.openxmlformats.org/officeDocument/2006/relationships/hyperlink" Target="https://drive.google.com/drive/folders/10T2cTQHqEJZqE-st6uFKPoI?usp=share_link" TargetMode="External"/><Relationship Id="rId1543" Type="http://schemas.openxmlformats.org/officeDocument/2006/relationships/hyperlink" Target="https://drive.google.com/drive/folders/10T2cTQHqEJZqE-st6uFKPoI?usp=share_link" TargetMode="External"/><Relationship Id="rId2874" Type="http://schemas.openxmlformats.org/officeDocument/2006/relationships/hyperlink" Target="https://drive.google.com/drive/folders/10T2cTQHqEJZqE-st6uFKPoI?usp=share_link" TargetMode="External"/><Relationship Id="rId5901" Type="http://schemas.openxmlformats.org/officeDocument/2006/relationships/hyperlink" Target="https://drive.google.com/drive/folders/10T2cTQHqEJZqE-st6uFKPoI?usp=share_link" TargetMode="External"/><Relationship Id="rId1544" Type="http://schemas.openxmlformats.org/officeDocument/2006/relationships/hyperlink" Target="https://drive.google.com/drive/folders/10T2cTQHqEJZqE-st6uFKPoI?usp=share_link" TargetMode="External"/><Relationship Id="rId2875" Type="http://schemas.openxmlformats.org/officeDocument/2006/relationships/hyperlink" Target="https://drive.google.com/drive/folders/10T2cTQHqEJZqE-st6uFKPoI?usp=share_link" TargetMode="External"/><Relationship Id="rId5902" Type="http://schemas.openxmlformats.org/officeDocument/2006/relationships/hyperlink" Target="https://drive.google.com/drive/folders/10T2cTQHqEJZqE-st6uFKPoI?usp=share_link" TargetMode="External"/><Relationship Id="rId1545" Type="http://schemas.openxmlformats.org/officeDocument/2006/relationships/hyperlink" Target="https://drive.google.com/drive/folders/10T2cTQHqEJZqE-st6uFKPoI?usp=share_link" TargetMode="External"/><Relationship Id="rId2876" Type="http://schemas.openxmlformats.org/officeDocument/2006/relationships/hyperlink" Target="https://drive.google.com/drive/folders/10T2cTQHqEJZqE-st6uFKPoI?usp=share_link" TargetMode="External"/><Relationship Id="rId1546" Type="http://schemas.openxmlformats.org/officeDocument/2006/relationships/hyperlink" Target="https://drive.google.com/drive/folders/10T2cTQHqEJZqE-st6uFKPoI?usp=share_link" TargetMode="External"/><Relationship Id="rId2877" Type="http://schemas.openxmlformats.org/officeDocument/2006/relationships/hyperlink" Target="https://drive.google.com/drive/folders/10T2cTQHqEJZqE-st6uFKPoI?usp=share_link" TargetMode="External"/><Relationship Id="rId5900" Type="http://schemas.openxmlformats.org/officeDocument/2006/relationships/hyperlink" Target="https://drive.google.com/drive/folders/10T2cTQHqEJZqE-st6uFKPoI?usp=share_link" TargetMode="External"/><Relationship Id="rId1547" Type="http://schemas.openxmlformats.org/officeDocument/2006/relationships/hyperlink" Target="https://drive.google.com/drive/folders/10T2cTQHqEJZqE-st6uFKPoI?usp=share_link" TargetMode="External"/><Relationship Id="rId2878" Type="http://schemas.openxmlformats.org/officeDocument/2006/relationships/hyperlink" Target="https://drive.google.com/drive/folders/10T2cTQHqEJZqE-st6uFKPoI?usp=share_link" TargetMode="External"/><Relationship Id="rId1548" Type="http://schemas.openxmlformats.org/officeDocument/2006/relationships/hyperlink" Target="https://drive.google.com/drive/folders/10T2cTQHqEJZqE-st6uFKPoI?usp=share_link" TargetMode="External"/><Relationship Id="rId2879" Type="http://schemas.openxmlformats.org/officeDocument/2006/relationships/hyperlink" Target="https://drive.google.com/drive/folders/10T2cTQHqEJZqE-st6uFKPoI?usp=share_link" TargetMode="External"/><Relationship Id="rId1549" Type="http://schemas.openxmlformats.org/officeDocument/2006/relationships/hyperlink" Target="https://drive.google.com/drive/folders/10T2cTQHqEJZqE-st6uFKPoI?usp=share_link" TargetMode="External"/><Relationship Id="rId5903" Type="http://schemas.openxmlformats.org/officeDocument/2006/relationships/drawing" Target="../drawings/drawing5.xml"/><Relationship Id="rId5904" Type="http://schemas.openxmlformats.org/officeDocument/2006/relationships/vmlDrawing" Target="../drawings/vmlDrawing3.vml"/><Relationship Id="rId959" Type="http://schemas.openxmlformats.org/officeDocument/2006/relationships/hyperlink" Target="https://drive.google.com/drive/folders/10T2cTQHqEJZqE-st6uFKPoI?usp=share_link" TargetMode="External"/><Relationship Id="rId954" Type="http://schemas.openxmlformats.org/officeDocument/2006/relationships/hyperlink" Target="https://drive.google.com/drive/folders/10T2cTQHqEJZqE-st6uFKPoI?usp=share_link" TargetMode="External"/><Relationship Id="rId953" Type="http://schemas.openxmlformats.org/officeDocument/2006/relationships/hyperlink" Target="https://drive.google.com/drive/folders/10T2cTQHqEJZqE-st6uFKPoI?usp=share_link" TargetMode="External"/><Relationship Id="rId952" Type="http://schemas.openxmlformats.org/officeDocument/2006/relationships/hyperlink" Target="https://drive.google.com/drive/folders/10T2cTQHqEJZqE-st6uFKPoI?usp=share_link" TargetMode="External"/><Relationship Id="rId951" Type="http://schemas.openxmlformats.org/officeDocument/2006/relationships/hyperlink" Target="https://drive.google.com/drive/folders/10T2cTQHqEJZqE-st6uFKPoI?usp=share_link" TargetMode="External"/><Relationship Id="rId958" Type="http://schemas.openxmlformats.org/officeDocument/2006/relationships/hyperlink" Target="https://drive.google.com/drive/folders/10T2cTQHqEJZqE-st6uFKPoI?usp=share_link" TargetMode="External"/><Relationship Id="rId957" Type="http://schemas.openxmlformats.org/officeDocument/2006/relationships/hyperlink" Target="https://drive.google.com/drive/folders/10T2cTQHqEJZqE-st6uFKPoI?usp=share_link" TargetMode="External"/><Relationship Id="rId956" Type="http://schemas.openxmlformats.org/officeDocument/2006/relationships/hyperlink" Target="https://drive.google.com/drive/folders/10T2cTQHqEJZqE-st6uFKPoI?usp=share_link" TargetMode="External"/><Relationship Id="rId955" Type="http://schemas.openxmlformats.org/officeDocument/2006/relationships/hyperlink" Target="https://drive.google.com/drive/folders/10T2cTQHqEJZqE-st6uFKPoI?usp=share_link" TargetMode="External"/><Relationship Id="rId950" Type="http://schemas.openxmlformats.org/officeDocument/2006/relationships/hyperlink" Target="https://drive.google.com/drive/folders/10T2cTQHqEJZqE-st6uFKPoI?usp=share_link" TargetMode="External"/><Relationship Id="rId2870" Type="http://schemas.openxmlformats.org/officeDocument/2006/relationships/hyperlink" Target="https://drive.google.com/drive/folders/10T2cTQHqEJZqE-st6uFKPoI?usp=share_link" TargetMode="External"/><Relationship Id="rId1540" Type="http://schemas.openxmlformats.org/officeDocument/2006/relationships/hyperlink" Target="https://drive.google.com/drive/folders/10T2cTQHqEJZqE-st6uFKPoI?usp=share_link" TargetMode="External"/><Relationship Id="rId2871" Type="http://schemas.openxmlformats.org/officeDocument/2006/relationships/hyperlink" Target="https://drive.google.com/drive/folders/10T2cTQHqEJZqE-st6uFKPoI?usp=share_link" TargetMode="External"/><Relationship Id="rId1541" Type="http://schemas.openxmlformats.org/officeDocument/2006/relationships/hyperlink" Target="https://drive.google.com/drive/folders/10T2cTQHqEJZqE-st6uFKPoI?usp=share_link" TargetMode="External"/><Relationship Id="rId2872" Type="http://schemas.openxmlformats.org/officeDocument/2006/relationships/hyperlink" Target="https://drive.google.com/drive/folders/10T2cTQHqEJZqE-st6uFKPoI?usp=share_link" TargetMode="External"/><Relationship Id="rId1542" Type="http://schemas.openxmlformats.org/officeDocument/2006/relationships/hyperlink" Target="https://drive.google.com/drive/folders/10T2cTQHqEJZqE-st6uFKPoI?usp=share_link" TargetMode="External"/><Relationship Id="rId2873" Type="http://schemas.openxmlformats.org/officeDocument/2006/relationships/hyperlink" Target="https://drive.google.com/drive/folders/10T2cTQHqEJZqE-st6uFKPoI?usp=share_link" TargetMode="External"/><Relationship Id="rId2027" Type="http://schemas.openxmlformats.org/officeDocument/2006/relationships/hyperlink" Target="https://drive.google.com/drive/folders/10T2cTQHqEJZqE-st6uFKPoI?usp=share_link" TargetMode="External"/><Relationship Id="rId3359" Type="http://schemas.openxmlformats.org/officeDocument/2006/relationships/hyperlink" Target="https://drive.google.com/drive/folders/10T2cTQHqEJZqE-st6uFKPoI?usp=share_link" TargetMode="External"/><Relationship Id="rId2028" Type="http://schemas.openxmlformats.org/officeDocument/2006/relationships/hyperlink" Target="https://drive.google.com/drive/folders/10T2cTQHqEJZqE-st6uFKPoI?usp=share_link" TargetMode="External"/><Relationship Id="rId3358" Type="http://schemas.openxmlformats.org/officeDocument/2006/relationships/hyperlink" Target="https://drive.google.com/drive/folders/10T2cTQHqEJZqE-st6uFKPoI?usp=share_link" TargetMode="External"/><Relationship Id="rId4689" Type="http://schemas.openxmlformats.org/officeDocument/2006/relationships/hyperlink" Target="https://drive.google.com/drive/folders/10T2cTQHqEJZqE-st6uFKPoI?usp=share_link" TargetMode="External"/><Relationship Id="rId2029" Type="http://schemas.openxmlformats.org/officeDocument/2006/relationships/hyperlink" Target="https://drive.google.com/drive/folders/10T2cTQHqEJZqE-st6uFKPoI?usp=share_link" TargetMode="External"/><Relationship Id="rId107" Type="http://schemas.openxmlformats.org/officeDocument/2006/relationships/hyperlink" Target="https://drive.google.com/drive/folders/10T2cTQHqEJZqE-st6uFKPoI?usp=share_link" TargetMode="External"/><Relationship Id="rId106" Type="http://schemas.openxmlformats.org/officeDocument/2006/relationships/hyperlink" Target="https://drive.google.com/drive/folders/10T2cTQHqEJZqE-st6uFKPoI?usp=share_link" TargetMode="External"/><Relationship Id="rId105" Type="http://schemas.openxmlformats.org/officeDocument/2006/relationships/hyperlink" Target="https://drive.google.com/drive/folders/10T2cTQHqEJZqE-st6uFKPoI?usp=share_link" TargetMode="External"/><Relationship Id="rId104" Type="http://schemas.openxmlformats.org/officeDocument/2006/relationships/hyperlink" Target="https://drive.google.com/drive/folders/10T2cTQHqEJZqE-st6uFKPoI?usp=share_link" TargetMode="External"/><Relationship Id="rId109" Type="http://schemas.openxmlformats.org/officeDocument/2006/relationships/hyperlink" Target="https://drive.google.com/drive/folders/10T2cTQHqEJZqE-st6uFKPoI?usp=share_link" TargetMode="External"/><Relationship Id="rId4680" Type="http://schemas.openxmlformats.org/officeDocument/2006/relationships/hyperlink" Target="https://drive.google.com/drive/folders/10T2cTQHqEJZqE-st6uFKPoI?usp=share_link" TargetMode="External"/><Relationship Id="rId108" Type="http://schemas.openxmlformats.org/officeDocument/2006/relationships/hyperlink" Target="https://drive.google.com/drive/folders/10T2cTQHqEJZqE-st6uFKPoI?usp=share_link" TargetMode="External"/><Relationship Id="rId3351" Type="http://schemas.openxmlformats.org/officeDocument/2006/relationships/hyperlink" Target="https://drive.google.com/drive/folders/10T2cTQHqEJZqE-st6uFKPoI?usp=share_link" TargetMode="External"/><Relationship Id="rId4682" Type="http://schemas.openxmlformats.org/officeDocument/2006/relationships/hyperlink" Target="https://drive.google.com/drive/folders/10T2cTQHqEJZqE-st6uFKPoI?usp=share_link" TargetMode="External"/><Relationship Id="rId2020" Type="http://schemas.openxmlformats.org/officeDocument/2006/relationships/hyperlink" Target="https://drive.google.com/drive/folders/10T2cTQHqEJZqE-st6uFKPoI?usp=share_link" TargetMode="External"/><Relationship Id="rId3350" Type="http://schemas.openxmlformats.org/officeDocument/2006/relationships/hyperlink" Target="https://drive.google.com/drive/folders/10T2cTQHqEJZqE-st6uFKPoI?usp=share_link" TargetMode="External"/><Relationship Id="rId4681" Type="http://schemas.openxmlformats.org/officeDocument/2006/relationships/hyperlink" Target="https://drive.google.com/drive/folders/10T2cTQHqEJZqE-st6uFKPoI?usp=share_link" TargetMode="External"/><Relationship Id="rId2021" Type="http://schemas.openxmlformats.org/officeDocument/2006/relationships/hyperlink" Target="https://drive.google.com/drive/folders/10T2cTQHqEJZqE-st6uFKPoI?usp=share_link" TargetMode="External"/><Relationship Id="rId3353" Type="http://schemas.openxmlformats.org/officeDocument/2006/relationships/hyperlink" Target="https://drive.google.com/drive/folders/10T2cTQHqEJZqE-st6uFKPoI?usp=share_link" TargetMode="External"/><Relationship Id="rId4684" Type="http://schemas.openxmlformats.org/officeDocument/2006/relationships/hyperlink" Target="https://drive.google.com/drive/folders/10T2cTQHqEJZqE-st6uFKPoI?usp=share_link" TargetMode="External"/><Relationship Id="rId2022" Type="http://schemas.openxmlformats.org/officeDocument/2006/relationships/hyperlink" Target="https://drive.google.com/drive/folders/10T2cTQHqEJZqE-st6uFKPoI?usp=share_link" TargetMode="External"/><Relationship Id="rId3352" Type="http://schemas.openxmlformats.org/officeDocument/2006/relationships/hyperlink" Target="https://drive.google.com/drive/folders/10T2cTQHqEJZqE-st6uFKPoI?usp=share_link" TargetMode="External"/><Relationship Id="rId4683" Type="http://schemas.openxmlformats.org/officeDocument/2006/relationships/hyperlink" Target="https://drive.google.com/drive/folders/10T2cTQHqEJZqE-st6uFKPoI?usp=share_link" TargetMode="External"/><Relationship Id="rId103" Type="http://schemas.openxmlformats.org/officeDocument/2006/relationships/hyperlink" Target="https://drive.google.com/drive/folders/10T2cTQHqEJZqE-st6uFKPoI?usp=share_link" TargetMode="External"/><Relationship Id="rId2023" Type="http://schemas.openxmlformats.org/officeDocument/2006/relationships/hyperlink" Target="https://drive.google.com/drive/folders/10T2cTQHqEJZqE-st6uFKPoI?usp=share_link" TargetMode="External"/><Relationship Id="rId3355" Type="http://schemas.openxmlformats.org/officeDocument/2006/relationships/hyperlink" Target="https://drive.google.com/drive/folders/10T2cTQHqEJZqE-st6uFKPoI?usp=share_link" TargetMode="External"/><Relationship Id="rId4686" Type="http://schemas.openxmlformats.org/officeDocument/2006/relationships/hyperlink" Target="https://drive.google.com/drive/folders/10T2cTQHqEJZqE-st6uFKPoI?usp=share_link" TargetMode="External"/><Relationship Id="rId102" Type="http://schemas.openxmlformats.org/officeDocument/2006/relationships/hyperlink" Target="https://drive.google.com/drive/folders/10T2cTQHqEJZqE-st6uFKPoI?usp=share_link" TargetMode="External"/><Relationship Id="rId2024" Type="http://schemas.openxmlformats.org/officeDocument/2006/relationships/hyperlink" Target="https://drive.google.com/drive/folders/10T2cTQHqEJZqE-st6uFKPoI?usp=share_link" TargetMode="External"/><Relationship Id="rId3354" Type="http://schemas.openxmlformats.org/officeDocument/2006/relationships/hyperlink" Target="https://drive.google.com/drive/folders/10T2cTQHqEJZqE-st6uFKPoI?usp=share_link" TargetMode="External"/><Relationship Id="rId4685" Type="http://schemas.openxmlformats.org/officeDocument/2006/relationships/hyperlink" Target="https://drive.google.com/drive/folders/10T2cTQHqEJZqE-st6uFKPoI?usp=share_link" TargetMode="External"/><Relationship Id="rId101" Type="http://schemas.openxmlformats.org/officeDocument/2006/relationships/hyperlink" Target="https://drive.google.com/drive/folders/10T2cTQHqEJZqE-st6uFKPoI?usp=share_link" TargetMode="External"/><Relationship Id="rId2025" Type="http://schemas.openxmlformats.org/officeDocument/2006/relationships/hyperlink" Target="https://drive.google.com/drive/folders/10T2cTQHqEJZqE-st6uFKPoI?usp=share_link" TargetMode="External"/><Relationship Id="rId3357" Type="http://schemas.openxmlformats.org/officeDocument/2006/relationships/hyperlink" Target="https://drive.google.com/drive/folders/10T2cTQHqEJZqE-st6uFKPoI?usp=share_link" TargetMode="External"/><Relationship Id="rId4688" Type="http://schemas.openxmlformats.org/officeDocument/2006/relationships/hyperlink" Target="https://drive.google.com/drive/folders/10T2cTQHqEJZqE-st6uFKPoI?usp=share_link" TargetMode="External"/><Relationship Id="rId100" Type="http://schemas.openxmlformats.org/officeDocument/2006/relationships/hyperlink" Target="https://drive.google.com/drive/folders/10T2cTQHqEJZqE-st6uFKPoI?usp=share_link" TargetMode="External"/><Relationship Id="rId2026" Type="http://schemas.openxmlformats.org/officeDocument/2006/relationships/hyperlink" Target="https://drive.google.com/drive/folders/10T2cTQHqEJZqE-st6uFKPoI?usp=share_link" TargetMode="External"/><Relationship Id="rId3356" Type="http://schemas.openxmlformats.org/officeDocument/2006/relationships/hyperlink" Target="https://drive.google.com/drive/folders/10T2cTQHqEJZqE-st6uFKPoI?usp=share_link" TargetMode="External"/><Relationship Id="rId4687" Type="http://schemas.openxmlformats.org/officeDocument/2006/relationships/hyperlink" Target="https://drive.google.com/drive/folders/10T2cTQHqEJZqE-st6uFKPoI?usp=share_link" TargetMode="External"/><Relationship Id="rId2016" Type="http://schemas.openxmlformats.org/officeDocument/2006/relationships/hyperlink" Target="https://drive.google.com/drive/folders/10T2cTQHqEJZqE-st6uFKPoI?usp=share_link" TargetMode="External"/><Relationship Id="rId3348" Type="http://schemas.openxmlformats.org/officeDocument/2006/relationships/hyperlink" Target="https://drive.google.com/drive/folders/10T2cTQHqEJZqE-st6uFKPoI?usp=share_link" TargetMode="External"/><Relationship Id="rId4679" Type="http://schemas.openxmlformats.org/officeDocument/2006/relationships/hyperlink" Target="https://drive.google.com/drive/folders/10T2cTQHqEJZqE-st6uFKPoI?usp=share_link" TargetMode="External"/><Relationship Id="rId2017" Type="http://schemas.openxmlformats.org/officeDocument/2006/relationships/hyperlink" Target="https://drive.google.com/drive/folders/10T2cTQHqEJZqE-st6uFKPoI?usp=share_link" TargetMode="External"/><Relationship Id="rId3347" Type="http://schemas.openxmlformats.org/officeDocument/2006/relationships/hyperlink" Target="https://drive.google.com/drive/folders/10T2cTQHqEJZqE-st6uFKPoI?usp=share_link" TargetMode="External"/><Relationship Id="rId4678" Type="http://schemas.openxmlformats.org/officeDocument/2006/relationships/hyperlink" Target="https://drive.google.com/drive/folders/10T2cTQHqEJZqE-st6uFKPoI?usp=share_link" TargetMode="External"/><Relationship Id="rId2018" Type="http://schemas.openxmlformats.org/officeDocument/2006/relationships/hyperlink" Target="https://drive.google.com/drive/folders/10T2cTQHqEJZqE-st6uFKPoI?usp=share_link" TargetMode="External"/><Relationship Id="rId2019" Type="http://schemas.openxmlformats.org/officeDocument/2006/relationships/hyperlink" Target="https://drive.google.com/drive/folders/10T2cTQHqEJZqE-st6uFKPoI?usp=share_link" TargetMode="External"/><Relationship Id="rId3349" Type="http://schemas.openxmlformats.org/officeDocument/2006/relationships/hyperlink" Target="https://drive.google.com/drive/folders/10T2cTQHqEJZqE-st6uFKPoI?usp=share_link" TargetMode="External"/><Relationship Id="rId3340" Type="http://schemas.openxmlformats.org/officeDocument/2006/relationships/hyperlink" Target="https://drive.google.com/drive/folders/10T2cTQHqEJZqE-st6uFKPoI?usp=share_link" TargetMode="External"/><Relationship Id="rId4671" Type="http://schemas.openxmlformats.org/officeDocument/2006/relationships/hyperlink" Target="https://drive.google.com/drive/folders/10T2cTQHqEJZqE-st6uFKPoI?usp=share_link" TargetMode="External"/><Relationship Id="rId4670" Type="http://schemas.openxmlformats.org/officeDocument/2006/relationships/hyperlink" Target="https://drive.google.com/drive/folders/10T2cTQHqEJZqE-st6uFKPoI?usp=share_link" TargetMode="External"/><Relationship Id="rId2010" Type="http://schemas.openxmlformats.org/officeDocument/2006/relationships/hyperlink" Target="https://drive.google.com/drive/folders/10T2cTQHqEJZqE-st6uFKPoI?usp=share_link" TargetMode="External"/><Relationship Id="rId3342" Type="http://schemas.openxmlformats.org/officeDocument/2006/relationships/hyperlink" Target="https://drive.google.com/drive/folders/10T2cTQHqEJZqE-st6uFKPoI?usp=share_link" TargetMode="External"/><Relationship Id="rId4673" Type="http://schemas.openxmlformats.org/officeDocument/2006/relationships/hyperlink" Target="https://drive.google.com/drive/folders/10T2cTQHqEJZqE-st6uFKPoI?usp=share_link" TargetMode="External"/><Relationship Id="rId2011" Type="http://schemas.openxmlformats.org/officeDocument/2006/relationships/hyperlink" Target="https://drive.google.com/drive/folders/10T2cTQHqEJZqE-st6uFKPoI?usp=share_link" TargetMode="External"/><Relationship Id="rId3341" Type="http://schemas.openxmlformats.org/officeDocument/2006/relationships/hyperlink" Target="https://drive.google.com/drive/folders/10T2cTQHqEJZqE-st6uFKPoI?usp=share_link" TargetMode="External"/><Relationship Id="rId4672" Type="http://schemas.openxmlformats.org/officeDocument/2006/relationships/hyperlink" Target="https://drive.google.com/drive/folders/10T2cTQHqEJZqE-st6uFKPoI?usp=share_link" TargetMode="External"/><Relationship Id="rId2012" Type="http://schemas.openxmlformats.org/officeDocument/2006/relationships/hyperlink" Target="https://drive.google.com/drive/folders/10T2cTQHqEJZqE-st6uFKPoI?usp=share_link" TargetMode="External"/><Relationship Id="rId3344" Type="http://schemas.openxmlformats.org/officeDocument/2006/relationships/hyperlink" Target="https://drive.google.com/drive/folders/10T2cTQHqEJZqE-st6uFKPoI?usp=share_link" TargetMode="External"/><Relationship Id="rId4675" Type="http://schemas.openxmlformats.org/officeDocument/2006/relationships/hyperlink" Target="https://drive.google.com/drive/folders/10T2cTQHqEJZqE-st6uFKPoI?usp=share_link" TargetMode="External"/><Relationship Id="rId2013" Type="http://schemas.openxmlformats.org/officeDocument/2006/relationships/hyperlink" Target="https://drive.google.com/drive/folders/10T2cTQHqEJZqE-st6uFKPoI?usp=share_link" TargetMode="External"/><Relationship Id="rId3343" Type="http://schemas.openxmlformats.org/officeDocument/2006/relationships/hyperlink" Target="https://drive.google.com/drive/folders/10T2cTQHqEJZqE-st6uFKPoI?usp=share_link" TargetMode="External"/><Relationship Id="rId4674" Type="http://schemas.openxmlformats.org/officeDocument/2006/relationships/hyperlink" Target="https://drive.google.com/drive/folders/10T2cTQHqEJZqE-st6uFKPoI?usp=share_link" TargetMode="External"/><Relationship Id="rId2014" Type="http://schemas.openxmlformats.org/officeDocument/2006/relationships/hyperlink" Target="https://drive.google.com/drive/folders/10T2cTQHqEJZqE-st6uFKPoI?usp=share_link" TargetMode="External"/><Relationship Id="rId3346" Type="http://schemas.openxmlformats.org/officeDocument/2006/relationships/hyperlink" Target="https://drive.google.com/drive/folders/10T2cTQHqEJZqE-st6uFKPoI?usp=share_link" TargetMode="External"/><Relationship Id="rId4677" Type="http://schemas.openxmlformats.org/officeDocument/2006/relationships/hyperlink" Target="https://drive.google.com/drive/folders/10T2cTQHqEJZqE-st6uFKPoI?usp=share_link" TargetMode="External"/><Relationship Id="rId2015" Type="http://schemas.openxmlformats.org/officeDocument/2006/relationships/hyperlink" Target="https://drive.google.com/drive/folders/10T2cTQHqEJZqE-st6uFKPoI?usp=share_link" TargetMode="External"/><Relationship Id="rId3345" Type="http://schemas.openxmlformats.org/officeDocument/2006/relationships/hyperlink" Target="https://drive.google.com/drive/folders/10T2cTQHqEJZqE-st6uFKPoI?usp=share_link" TargetMode="External"/><Relationship Id="rId4676" Type="http://schemas.openxmlformats.org/officeDocument/2006/relationships/hyperlink" Target="https://drive.google.com/drive/folders/10T2cTQHqEJZqE-st6uFKPoI?usp=share_link" TargetMode="External"/><Relationship Id="rId2049" Type="http://schemas.openxmlformats.org/officeDocument/2006/relationships/hyperlink" Target="https://drive.google.com/drive/folders/10T2cTQHqEJZqE-st6uFKPoI?usp=share_link" TargetMode="External"/><Relationship Id="rId129" Type="http://schemas.openxmlformats.org/officeDocument/2006/relationships/hyperlink" Target="https://drive.google.com/drive/folders/10T2cTQHqEJZqE-st6uFKPoI?usp=share_link" TargetMode="External"/><Relationship Id="rId128" Type="http://schemas.openxmlformats.org/officeDocument/2006/relationships/hyperlink" Target="https://drive.google.com/drive/folders/10T2cTQHqEJZqE-st6uFKPoI?usp=share_link" TargetMode="External"/><Relationship Id="rId127" Type="http://schemas.openxmlformats.org/officeDocument/2006/relationships/hyperlink" Target="https://drive.google.com/drive/folders/10T2cTQHqEJZqE-st6uFKPoI?usp=share_link" TargetMode="External"/><Relationship Id="rId126" Type="http://schemas.openxmlformats.org/officeDocument/2006/relationships/hyperlink" Target="https://drive.google.com/drive/folders/10T2cTQHqEJZqE-st6uFKPoI?usp=share_link" TargetMode="External"/><Relationship Id="rId3371" Type="http://schemas.openxmlformats.org/officeDocument/2006/relationships/hyperlink" Target="https://drive.google.com/drive/folders/10T2cTQHqEJZqE-st6uFKPoI?usp=share_link" TargetMode="External"/><Relationship Id="rId2040" Type="http://schemas.openxmlformats.org/officeDocument/2006/relationships/hyperlink" Target="https://drive.google.com/drive/folders/10T2cTQHqEJZqE-st6uFKPoI?usp=share_link" TargetMode="External"/><Relationship Id="rId3370" Type="http://schemas.openxmlformats.org/officeDocument/2006/relationships/hyperlink" Target="https://drive.google.com/drive/folders/10T2cTQHqEJZqE-st6uFKPoI?usp=share_link" TargetMode="External"/><Relationship Id="rId121" Type="http://schemas.openxmlformats.org/officeDocument/2006/relationships/hyperlink" Target="https://drive.google.com/drive/folders/10T2cTQHqEJZqE-st6uFKPoI?usp=share_link" TargetMode="External"/><Relationship Id="rId2041" Type="http://schemas.openxmlformats.org/officeDocument/2006/relationships/hyperlink" Target="https://drive.google.com/drive/folders/10T2cTQHqEJZqE-st6uFKPoI?usp=share_link" TargetMode="External"/><Relationship Id="rId3373" Type="http://schemas.openxmlformats.org/officeDocument/2006/relationships/hyperlink" Target="https://drive.google.com/drive/folders/10T2cTQHqEJZqE-st6uFKPoI?usp=share_link" TargetMode="External"/><Relationship Id="rId120" Type="http://schemas.openxmlformats.org/officeDocument/2006/relationships/hyperlink" Target="https://drive.google.com/drive/folders/10T2cTQHqEJZqE-st6uFKPoI?usp=share_link" TargetMode="External"/><Relationship Id="rId2042" Type="http://schemas.openxmlformats.org/officeDocument/2006/relationships/hyperlink" Target="https://drive.google.com/drive/folders/10T2cTQHqEJZqE-st6uFKPoI?usp=share_link" TargetMode="External"/><Relationship Id="rId3372" Type="http://schemas.openxmlformats.org/officeDocument/2006/relationships/hyperlink" Target="https://drive.google.com/drive/folders/10T2cTQHqEJZqE-st6uFKPoI?usp=share_link" TargetMode="External"/><Relationship Id="rId2043" Type="http://schemas.openxmlformats.org/officeDocument/2006/relationships/hyperlink" Target="https://drive.google.com/drive/folders/10T2cTQHqEJZqE-st6uFKPoI?usp=share_link" TargetMode="External"/><Relationship Id="rId3375" Type="http://schemas.openxmlformats.org/officeDocument/2006/relationships/hyperlink" Target="https://drive.google.com/drive/folders/10T2cTQHqEJZqE-st6uFKPoI?usp=share_link" TargetMode="External"/><Relationship Id="rId2044" Type="http://schemas.openxmlformats.org/officeDocument/2006/relationships/hyperlink" Target="https://drive.google.com/drive/folders/10T2cTQHqEJZqE-st6uFKPoI?usp=share_link" TargetMode="External"/><Relationship Id="rId3374" Type="http://schemas.openxmlformats.org/officeDocument/2006/relationships/hyperlink" Target="https://drive.google.com/drive/folders/10T2cTQHqEJZqE-st6uFKPoI?usp=share_link" TargetMode="External"/><Relationship Id="rId125" Type="http://schemas.openxmlformats.org/officeDocument/2006/relationships/hyperlink" Target="https://drive.google.com/drive/folders/10T2cTQHqEJZqE-st6uFKPoI?usp=share_link" TargetMode="External"/><Relationship Id="rId2045" Type="http://schemas.openxmlformats.org/officeDocument/2006/relationships/hyperlink" Target="https://drive.google.com/drive/folders/10T2cTQHqEJZqE-st6uFKPoI?usp=share_link" TargetMode="External"/><Relationship Id="rId3377" Type="http://schemas.openxmlformats.org/officeDocument/2006/relationships/hyperlink" Target="https://drive.google.com/drive/folders/10T2cTQHqEJZqE-st6uFKPoI?usp=share_link" TargetMode="External"/><Relationship Id="rId124" Type="http://schemas.openxmlformats.org/officeDocument/2006/relationships/hyperlink" Target="https://drive.google.com/drive/folders/10T2cTQHqEJZqE-st6uFKPoI?usp=share_link" TargetMode="External"/><Relationship Id="rId2046" Type="http://schemas.openxmlformats.org/officeDocument/2006/relationships/hyperlink" Target="https://drive.google.com/drive/folders/10T2cTQHqEJZqE-st6uFKPoI?usp=share_link" TargetMode="External"/><Relationship Id="rId3376" Type="http://schemas.openxmlformats.org/officeDocument/2006/relationships/hyperlink" Target="https://drive.google.com/drive/folders/10T2cTQHqEJZqE-st6uFKPoI?usp=share_link" TargetMode="External"/><Relationship Id="rId123" Type="http://schemas.openxmlformats.org/officeDocument/2006/relationships/hyperlink" Target="https://drive.google.com/drive/folders/10T2cTQHqEJZqE-st6uFKPoI?usp=share_link" TargetMode="External"/><Relationship Id="rId2047" Type="http://schemas.openxmlformats.org/officeDocument/2006/relationships/hyperlink" Target="https://drive.google.com/drive/folders/10T2cTQHqEJZqE-st6uFKPoI?usp=share_link" TargetMode="External"/><Relationship Id="rId3379" Type="http://schemas.openxmlformats.org/officeDocument/2006/relationships/hyperlink" Target="https://drive.google.com/drive/folders/10T2cTQHqEJZqE-st6uFKPoI?usp=share_link" TargetMode="External"/><Relationship Id="rId122" Type="http://schemas.openxmlformats.org/officeDocument/2006/relationships/hyperlink" Target="https://drive.google.com/drive/folders/10T2cTQHqEJZqE-st6uFKPoI?usp=share_link" TargetMode="External"/><Relationship Id="rId2048" Type="http://schemas.openxmlformats.org/officeDocument/2006/relationships/hyperlink" Target="https://drive.google.com/drive/folders/10T2cTQHqEJZqE-st6uFKPoI?usp=share_link" TargetMode="External"/><Relationship Id="rId3378" Type="http://schemas.openxmlformats.org/officeDocument/2006/relationships/hyperlink" Target="https://drive.google.com/drive/folders/10T2cTQHqEJZqE-st6uFKPoI?usp=share_link" TargetMode="External"/><Relationship Id="rId2038" Type="http://schemas.openxmlformats.org/officeDocument/2006/relationships/hyperlink" Target="https://drive.google.com/drive/folders/10T2cTQHqEJZqE-st6uFKPoI?usp=share_link" TargetMode="External"/><Relationship Id="rId2039" Type="http://schemas.openxmlformats.org/officeDocument/2006/relationships/hyperlink" Target="https://drive.google.com/drive/folders/10T2cTQHqEJZqE-st6uFKPoI?usp=share_link" TargetMode="External"/><Relationship Id="rId3369" Type="http://schemas.openxmlformats.org/officeDocument/2006/relationships/hyperlink" Target="https://drive.google.com/drive/folders/10T2cTQHqEJZqE-st6uFKPoI?usp=share_link" TargetMode="External"/><Relationship Id="rId118" Type="http://schemas.openxmlformats.org/officeDocument/2006/relationships/hyperlink" Target="https://drive.google.com/drive/folders/10T2cTQHqEJZqE-st6uFKPoI?usp=share_link" TargetMode="External"/><Relationship Id="rId117" Type="http://schemas.openxmlformats.org/officeDocument/2006/relationships/hyperlink" Target="https://drive.google.com/drive/folders/10T2cTQHqEJZqE-st6uFKPoI?usp=share_link" TargetMode="External"/><Relationship Id="rId116" Type="http://schemas.openxmlformats.org/officeDocument/2006/relationships/hyperlink" Target="https://drive.google.com/drive/folders/10T2cTQHqEJZqE-st6uFKPoI?usp=share_link" TargetMode="External"/><Relationship Id="rId115" Type="http://schemas.openxmlformats.org/officeDocument/2006/relationships/hyperlink" Target="https://drive.google.com/drive/folders/10T2cTQHqEJZqE-st6uFKPoI?usp=share_link" TargetMode="External"/><Relationship Id="rId3360" Type="http://schemas.openxmlformats.org/officeDocument/2006/relationships/hyperlink" Target="https://drive.google.com/drive/folders/10T2cTQHqEJZqE-st6uFKPoI?usp=share_link" TargetMode="External"/><Relationship Id="rId4691" Type="http://schemas.openxmlformats.org/officeDocument/2006/relationships/hyperlink" Target="https://drive.google.com/drive/folders/10T2cTQHqEJZqE-st6uFKPoI?usp=share_link" TargetMode="External"/><Relationship Id="rId119" Type="http://schemas.openxmlformats.org/officeDocument/2006/relationships/hyperlink" Target="https://drive.google.com/drive/folders/10T2cTQHqEJZqE-st6uFKPoI?usp=share_link" TargetMode="External"/><Relationship Id="rId4690" Type="http://schemas.openxmlformats.org/officeDocument/2006/relationships/hyperlink" Target="https://drive.google.com/drive/folders/10T2cTQHqEJZqE-st6uFKPoI?usp=share_link" TargetMode="External"/><Relationship Id="rId110" Type="http://schemas.openxmlformats.org/officeDocument/2006/relationships/hyperlink" Target="https://drive.google.com/drive/folders/10T2cTQHqEJZqE-st6uFKPoI?usp=share_link" TargetMode="External"/><Relationship Id="rId2030" Type="http://schemas.openxmlformats.org/officeDocument/2006/relationships/hyperlink" Target="https://drive.google.com/drive/folders/10T2cTQHqEJZqE-st6uFKPoI?usp=share_link" TargetMode="External"/><Relationship Id="rId3362" Type="http://schemas.openxmlformats.org/officeDocument/2006/relationships/hyperlink" Target="https://drive.google.com/drive/folders/10T2cTQHqEJZqE-st6uFKPoI?usp=share_link" TargetMode="External"/><Relationship Id="rId4693" Type="http://schemas.openxmlformats.org/officeDocument/2006/relationships/hyperlink" Target="https://drive.google.com/drive/folders/10T2cTQHqEJZqE-st6uFKPoI?usp=share_link" TargetMode="External"/><Relationship Id="rId2031" Type="http://schemas.openxmlformats.org/officeDocument/2006/relationships/hyperlink" Target="https://drive.google.com/drive/folders/10T2cTQHqEJZqE-st6uFKPoI?usp=share_link" TargetMode="External"/><Relationship Id="rId3361" Type="http://schemas.openxmlformats.org/officeDocument/2006/relationships/hyperlink" Target="https://drive.google.com/drive/folders/10T2cTQHqEJZqE-st6uFKPoI?usp=share_link" TargetMode="External"/><Relationship Id="rId4692" Type="http://schemas.openxmlformats.org/officeDocument/2006/relationships/hyperlink" Target="https://drive.google.com/drive/folders/10T2cTQHqEJZqE-st6uFKPoI?usp=share_link" TargetMode="External"/><Relationship Id="rId2032" Type="http://schemas.openxmlformats.org/officeDocument/2006/relationships/hyperlink" Target="https://drive.google.com/drive/folders/10T2cTQHqEJZqE-st6uFKPoI?usp=share_link" TargetMode="External"/><Relationship Id="rId3364" Type="http://schemas.openxmlformats.org/officeDocument/2006/relationships/hyperlink" Target="https://drive.google.com/drive/folders/10T2cTQHqEJZqE-st6uFKPoI?usp=share_link" TargetMode="External"/><Relationship Id="rId4695" Type="http://schemas.openxmlformats.org/officeDocument/2006/relationships/hyperlink" Target="https://drive.google.com/drive/folders/10T2cTQHqEJZqE-st6uFKPoI?usp=share_link" TargetMode="External"/><Relationship Id="rId2033" Type="http://schemas.openxmlformats.org/officeDocument/2006/relationships/hyperlink" Target="https://drive.google.com/drive/folders/10T2cTQHqEJZqE-st6uFKPoI?usp=share_link" TargetMode="External"/><Relationship Id="rId3363" Type="http://schemas.openxmlformats.org/officeDocument/2006/relationships/hyperlink" Target="https://drive.google.com/drive/folders/10T2cTQHqEJZqE-st6uFKPoI?usp=share_link" TargetMode="External"/><Relationship Id="rId4694" Type="http://schemas.openxmlformats.org/officeDocument/2006/relationships/hyperlink" Target="https://drive.google.com/drive/folders/10T2cTQHqEJZqE-st6uFKPoI?usp=share_link" TargetMode="External"/><Relationship Id="rId114" Type="http://schemas.openxmlformats.org/officeDocument/2006/relationships/hyperlink" Target="https://drive.google.com/drive/folders/10T2cTQHqEJZqE-st6uFKPoI?usp=share_link" TargetMode="External"/><Relationship Id="rId2034" Type="http://schemas.openxmlformats.org/officeDocument/2006/relationships/hyperlink" Target="https://drive.google.com/drive/folders/10T2cTQHqEJZqE-st6uFKPoI?usp=share_link" TargetMode="External"/><Relationship Id="rId3366" Type="http://schemas.openxmlformats.org/officeDocument/2006/relationships/hyperlink" Target="https://drive.google.com/drive/folders/10T2cTQHqEJZqE-st6uFKPoI?usp=share_link" TargetMode="External"/><Relationship Id="rId4697" Type="http://schemas.openxmlformats.org/officeDocument/2006/relationships/hyperlink" Target="https://drive.google.com/drive/folders/10T2cTQHqEJZqE-st6uFKPoI?usp=share_link" TargetMode="External"/><Relationship Id="rId113" Type="http://schemas.openxmlformats.org/officeDocument/2006/relationships/hyperlink" Target="https://drive.google.com/drive/folders/10T2cTQHqEJZqE-st6uFKPoI?usp=share_link" TargetMode="External"/><Relationship Id="rId2035" Type="http://schemas.openxmlformats.org/officeDocument/2006/relationships/hyperlink" Target="https://drive.google.com/drive/folders/10T2cTQHqEJZqE-st6uFKPoI?usp=share_link" TargetMode="External"/><Relationship Id="rId3365" Type="http://schemas.openxmlformats.org/officeDocument/2006/relationships/hyperlink" Target="https://drive.google.com/drive/folders/10T2cTQHqEJZqE-st6uFKPoI?usp=share_link" TargetMode="External"/><Relationship Id="rId4696" Type="http://schemas.openxmlformats.org/officeDocument/2006/relationships/hyperlink" Target="https://drive.google.com/drive/folders/10T2cTQHqEJZqE-st6uFKPoI?usp=share_link" TargetMode="External"/><Relationship Id="rId112" Type="http://schemas.openxmlformats.org/officeDocument/2006/relationships/hyperlink" Target="https://drive.google.com/drive/folders/10T2cTQHqEJZqE-st6uFKPoI?usp=share_link" TargetMode="External"/><Relationship Id="rId2036" Type="http://schemas.openxmlformats.org/officeDocument/2006/relationships/hyperlink" Target="https://drive.google.com/drive/folders/10T2cTQHqEJZqE-st6uFKPoI?usp=share_link" TargetMode="External"/><Relationship Id="rId3368" Type="http://schemas.openxmlformats.org/officeDocument/2006/relationships/hyperlink" Target="https://drive.google.com/drive/folders/10T2cTQHqEJZqE-st6uFKPoI?usp=share_link" TargetMode="External"/><Relationship Id="rId4699" Type="http://schemas.openxmlformats.org/officeDocument/2006/relationships/hyperlink" Target="https://drive.google.com/drive/folders/10T2cTQHqEJZqE-st6uFKPoI?usp=share_link" TargetMode="External"/><Relationship Id="rId111" Type="http://schemas.openxmlformats.org/officeDocument/2006/relationships/hyperlink" Target="https://drive.google.com/drive/folders/10T2cTQHqEJZqE-st6uFKPoI?usp=share_link" TargetMode="External"/><Relationship Id="rId2037" Type="http://schemas.openxmlformats.org/officeDocument/2006/relationships/hyperlink" Target="https://drive.google.com/drive/folders/10T2cTQHqEJZqE-st6uFKPoI?usp=share_link" TargetMode="External"/><Relationship Id="rId3367" Type="http://schemas.openxmlformats.org/officeDocument/2006/relationships/hyperlink" Target="https://drive.google.com/drive/folders/10T2cTQHqEJZqE-st6uFKPoI?usp=share_link" TargetMode="External"/><Relationship Id="rId4698" Type="http://schemas.openxmlformats.org/officeDocument/2006/relationships/hyperlink" Target="https://drive.google.com/drive/folders/10T2cTQHqEJZqE-st6uFKPoI?usp=share_link" TargetMode="External"/><Relationship Id="rId3315" Type="http://schemas.openxmlformats.org/officeDocument/2006/relationships/hyperlink" Target="https://drive.google.com/drive/folders/10T2cTQHqEJZqE-st6uFKPoI?usp=share_link" TargetMode="External"/><Relationship Id="rId4646" Type="http://schemas.openxmlformats.org/officeDocument/2006/relationships/hyperlink" Target="https://drive.google.com/drive/folders/10T2cTQHqEJZqE-st6uFKPoI?usp=share_link" TargetMode="External"/><Relationship Id="rId3314" Type="http://schemas.openxmlformats.org/officeDocument/2006/relationships/hyperlink" Target="https://drive.google.com/drive/folders/10T2cTQHqEJZqE-st6uFKPoI?usp=share_link" TargetMode="External"/><Relationship Id="rId4645" Type="http://schemas.openxmlformats.org/officeDocument/2006/relationships/hyperlink" Target="https://drive.google.com/drive/folders/10T2cTQHqEJZqE-st6uFKPoI?usp=share_link" TargetMode="External"/><Relationship Id="rId3317" Type="http://schemas.openxmlformats.org/officeDocument/2006/relationships/hyperlink" Target="https://drive.google.com/drive/folders/10T2cTQHqEJZqE-st6uFKPoI?usp=share_link" TargetMode="External"/><Relationship Id="rId4648" Type="http://schemas.openxmlformats.org/officeDocument/2006/relationships/hyperlink" Target="https://drive.google.com/drive/folders/10T2cTQHqEJZqE-st6uFKPoI?usp=share_link" TargetMode="External"/><Relationship Id="rId3316" Type="http://schemas.openxmlformats.org/officeDocument/2006/relationships/hyperlink" Target="https://drive.google.com/drive/folders/10T2cTQHqEJZqE-st6uFKPoI?usp=share_link" TargetMode="External"/><Relationship Id="rId4647" Type="http://schemas.openxmlformats.org/officeDocument/2006/relationships/hyperlink" Target="https://drive.google.com/drive/folders/10T2cTQHqEJZqE-st6uFKPoI?usp=share_link" TargetMode="External"/><Relationship Id="rId3319" Type="http://schemas.openxmlformats.org/officeDocument/2006/relationships/hyperlink" Target="https://drive.google.com/drive/folders/10T2cTQHqEJZqE-st6uFKPoI?usp=share_link" TargetMode="External"/><Relationship Id="rId3318" Type="http://schemas.openxmlformats.org/officeDocument/2006/relationships/hyperlink" Target="https://drive.google.com/drive/folders/10T2cTQHqEJZqE-st6uFKPoI?usp=share_link" TargetMode="External"/><Relationship Id="rId4649" Type="http://schemas.openxmlformats.org/officeDocument/2006/relationships/hyperlink" Target="https://drive.google.com/drive/folders/10T2cTQHqEJZqE-st6uFKPoI?usp=share_link" TargetMode="External"/><Relationship Id="rId4640" Type="http://schemas.openxmlformats.org/officeDocument/2006/relationships/hyperlink" Target="https://drive.google.com/drive/folders/10T2cTQHqEJZqE-st6uFKPoI?usp=share_link" TargetMode="External"/><Relationship Id="rId3311" Type="http://schemas.openxmlformats.org/officeDocument/2006/relationships/hyperlink" Target="https://drive.google.com/drive/folders/10T2cTQHqEJZqE-st6uFKPoI?usp=share_link" TargetMode="External"/><Relationship Id="rId4642" Type="http://schemas.openxmlformats.org/officeDocument/2006/relationships/hyperlink" Target="https://drive.google.com/drive/folders/10T2cTQHqEJZqE-st6uFKPoI?usp=share_link" TargetMode="External"/><Relationship Id="rId3310" Type="http://schemas.openxmlformats.org/officeDocument/2006/relationships/hyperlink" Target="https://drive.google.com/drive/folders/10T2cTQHqEJZqE-st6uFKPoI?usp=share_link" TargetMode="External"/><Relationship Id="rId4641" Type="http://schemas.openxmlformats.org/officeDocument/2006/relationships/hyperlink" Target="https://drive.google.com/drive/folders/10T2cTQHqEJZqE-st6uFKPoI?usp=share_link" TargetMode="External"/><Relationship Id="rId3313" Type="http://schemas.openxmlformats.org/officeDocument/2006/relationships/hyperlink" Target="https://drive.google.com/drive/folders/10T2cTQHqEJZqE-st6uFKPoI?usp=share_link" TargetMode="External"/><Relationship Id="rId4644" Type="http://schemas.openxmlformats.org/officeDocument/2006/relationships/hyperlink" Target="https://drive.google.com/drive/folders/10T2cTQHqEJZqE-st6uFKPoI?usp=share_link" TargetMode="External"/><Relationship Id="rId3312" Type="http://schemas.openxmlformats.org/officeDocument/2006/relationships/hyperlink" Target="https://drive.google.com/drive/folders/10T2cTQHqEJZqE-st6uFKPoI?usp=share_link" TargetMode="External"/><Relationship Id="rId4643" Type="http://schemas.openxmlformats.org/officeDocument/2006/relationships/hyperlink" Target="https://drive.google.com/drive/folders/10T2cTQHqEJZqE-st6uFKPoI?usp=share_link" TargetMode="External"/><Relationship Id="rId3304" Type="http://schemas.openxmlformats.org/officeDocument/2006/relationships/hyperlink" Target="https://drive.google.com/drive/folders/10T2cTQHqEJZqE-st6uFKPoI?usp=share_link" TargetMode="External"/><Relationship Id="rId4635" Type="http://schemas.openxmlformats.org/officeDocument/2006/relationships/hyperlink" Target="https://drive.google.com/drive/folders/10T2cTQHqEJZqE-st6uFKPoI?usp=share_link" TargetMode="External"/><Relationship Id="rId3303" Type="http://schemas.openxmlformats.org/officeDocument/2006/relationships/hyperlink" Target="https://drive.google.com/drive/folders/10T2cTQHqEJZqE-st6uFKPoI?usp=share_link" TargetMode="External"/><Relationship Id="rId4634" Type="http://schemas.openxmlformats.org/officeDocument/2006/relationships/hyperlink" Target="https://drive.google.com/drive/folders/10T2cTQHqEJZqE-st6uFKPoI?usp=share_link" TargetMode="External"/><Relationship Id="rId3306" Type="http://schemas.openxmlformats.org/officeDocument/2006/relationships/hyperlink" Target="https://drive.google.com/drive/folders/10T2cTQHqEJZqE-st6uFKPoI?usp=share_link" TargetMode="External"/><Relationship Id="rId4637" Type="http://schemas.openxmlformats.org/officeDocument/2006/relationships/hyperlink" Target="https://drive.google.com/drive/folders/10T2cTQHqEJZqE-st6uFKPoI?usp=share_link" TargetMode="External"/><Relationship Id="rId3305" Type="http://schemas.openxmlformats.org/officeDocument/2006/relationships/hyperlink" Target="https://drive.google.com/drive/folders/10T2cTQHqEJZqE-st6uFKPoI?usp=share_link" TargetMode="External"/><Relationship Id="rId4636" Type="http://schemas.openxmlformats.org/officeDocument/2006/relationships/hyperlink" Target="https://drive.google.com/drive/folders/10T2cTQHqEJZqE-st6uFKPoI?usp=share_link" TargetMode="External"/><Relationship Id="rId3308" Type="http://schemas.openxmlformats.org/officeDocument/2006/relationships/hyperlink" Target="https://drive.google.com/drive/folders/10T2cTQHqEJZqE-st6uFKPoI?usp=share_link" TargetMode="External"/><Relationship Id="rId4639" Type="http://schemas.openxmlformats.org/officeDocument/2006/relationships/hyperlink" Target="https://drive.google.com/drive/folders/10T2cTQHqEJZqE-st6uFKPoI?usp=share_link" TargetMode="External"/><Relationship Id="rId3307" Type="http://schemas.openxmlformats.org/officeDocument/2006/relationships/hyperlink" Target="https://drive.google.com/drive/folders/10T2cTQHqEJZqE-st6uFKPoI?usp=share_link" TargetMode="External"/><Relationship Id="rId4638" Type="http://schemas.openxmlformats.org/officeDocument/2006/relationships/hyperlink" Target="https://drive.google.com/drive/folders/10T2cTQHqEJZqE-st6uFKPoI?usp=share_link" TargetMode="External"/><Relationship Id="rId3309" Type="http://schemas.openxmlformats.org/officeDocument/2006/relationships/hyperlink" Target="https://drive.google.com/drive/folders/10T2cTQHqEJZqE-st6uFKPoI?usp=share_link" TargetMode="External"/><Relationship Id="rId3300" Type="http://schemas.openxmlformats.org/officeDocument/2006/relationships/hyperlink" Target="https://drive.google.com/drive/folders/10T2cTQHqEJZqE-st6uFKPoI?usp=share_link" TargetMode="External"/><Relationship Id="rId4631" Type="http://schemas.openxmlformats.org/officeDocument/2006/relationships/hyperlink" Target="https://drive.google.com/drive/folders/10T2cTQHqEJZqE-st6uFKPoI?usp=share_link" TargetMode="External"/><Relationship Id="rId4630" Type="http://schemas.openxmlformats.org/officeDocument/2006/relationships/hyperlink" Target="https://drive.google.com/drive/folders/10T2cTQHqEJZqE-st6uFKPoI?usp=share_link" TargetMode="External"/><Relationship Id="rId3302" Type="http://schemas.openxmlformats.org/officeDocument/2006/relationships/hyperlink" Target="https://drive.google.com/drive/folders/10T2cTQHqEJZqE-st6uFKPoI?usp=share_link" TargetMode="External"/><Relationship Id="rId4633" Type="http://schemas.openxmlformats.org/officeDocument/2006/relationships/hyperlink" Target="https://drive.google.com/drive/folders/10T2cTQHqEJZqE-st6uFKPoI?usp=share_link" TargetMode="External"/><Relationship Id="rId3301" Type="http://schemas.openxmlformats.org/officeDocument/2006/relationships/hyperlink" Target="https://drive.google.com/drive/folders/10T2cTQHqEJZqE-st6uFKPoI?usp=share_link" TargetMode="External"/><Relationship Id="rId4632" Type="http://schemas.openxmlformats.org/officeDocument/2006/relationships/hyperlink" Target="https://drive.google.com/drive/folders/10T2cTQHqEJZqE-st6uFKPoI?usp=share_link" TargetMode="External"/><Relationship Id="rId2005" Type="http://schemas.openxmlformats.org/officeDocument/2006/relationships/hyperlink" Target="https://drive.google.com/drive/folders/10T2cTQHqEJZqE-st6uFKPoI?usp=share_link" TargetMode="External"/><Relationship Id="rId3337" Type="http://schemas.openxmlformats.org/officeDocument/2006/relationships/hyperlink" Target="https://drive.google.com/drive/folders/10T2cTQHqEJZqE-st6uFKPoI?usp=share_link" TargetMode="External"/><Relationship Id="rId4668" Type="http://schemas.openxmlformats.org/officeDocument/2006/relationships/hyperlink" Target="https://drive.google.com/drive/folders/10T2cTQHqEJZqE-st6uFKPoI?usp=share_link" TargetMode="External"/><Relationship Id="rId2006" Type="http://schemas.openxmlformats.org/officeDocument/2006/relationships/hyperlink" Target="https://drive.google.com/drive/folders/10T2cTQHqEJZqE-st6uFKPoI?usp=share_link" TargetMode="External"/><Relationship Id="rId3336" Type="http://schemas.openxmlformats.org/officeDocument/2006/relationships/hyperlink" Target="https://drive.google.com/drive/folders/10T2cTQHqEJZqE-st6uFKPoI?usp=share_link" TargetMode="External"/><Relationship Id="rId4667" Type="http://schemas.openxmlformats.org/officeDocument/2006/relationships/hyperlink" Target="https://drive.google.com/drive/folders/10T2cTQHqEJZqE-st6uFKPoI?usp=share_link" TargetMode="External"/><Relationship Id="rId2007" Type="http://schemas.openxmlformats.org/officeDocument/2006/relationships/hyperlink" Target="https://drive.google.com/drive/folders/10T2cTQHqEJZqE-st6uFKPoI?usp=share_link" TargetMode="External"/><Relationship Id="rId3339" Type="http://schemas.openxmlformats.org/officeDocument/2006/relationships/hyperlink" Target="https://drive.google.com/drive/folders/10T2cTQHqEJZqE-st6uFKPoI?usp=share_link" TargetMode="External"/><Relationship Id="rId2008" Type="http://schemas.openxmlformats.org/officeDocument/2006/relationships/hyperlink" Target="https://drive.google.com/drive/folders/10T2cTQHqEJZqE-st6uFKPoI?usp=share_link" TargetMode="External"/><Relationship Id="rId3338" Type="http://schemas.openxmlformats.org/officeDocument/2006/relationships/hyperlink" Target="https://drive.google.com/drive/folders/10T2cTQHqEJZqE-st6uFKPoI?usp=share_link" TargetMode="External"/><Relationship Id="rId4669" Type="http://schemas.openxmlformats.org/officeDocument/2006/relationships/hyperlink" Target="https://drive.google.com/drive/folders/10T2cTQHqEJZqE-st6uFKPoI?usp=share_link" TargetMode="External"/><Relationship Id="rId2009" Type="http://schemas.openxmlformats.org/officeDocument/2006/relationships/hyperlink" Target="https://drive.google.com/drive/folders/10T2cTQHqEJZqE-st6uFKPoI?usp=share_link" TargetMode="External"/><Relationship Id="rId4660" Type="http://schemas.openxmlformats.org/officeDocument/2006/relationships/hyperlink" Target="https://drive.google.com/drive/folders/10T2cTQHqEJZqE-st6uFKPoI?usp=share_link" TargetMode="External"/><Relationship Id="rId3331" Type="http://schemas.openxmlformats.org/officeDocument/2006/relationships/hyperlink" Target="https://drive.google.com/drive/folders/10T2cTQHqEJZqE-st6uFKPoI?usp=share_link" TargetMode="External"/><Relationship Id="rId4662" Type="http://schemas.openxmlformats.org/officeDocument/2006/relationships/hyperlink" Target="https://drive.google.com/drive/folders/10T2cTQHqEJZqE-st6uFKPoI?usp=share_link" TargetMode="External"/><Relationship Id="rId2000" Type="http://schemas.openxmlformats.org/officeDocument/2006/relationships/hyperlink" Target="https://drive.google.com/drive/folders/10T2cTQHqEJZqE-st6uFKPoI?usp=share_link" TargetMode="External"/><Relationship Id="rId3330" Type="http://schemas.openxmlformats.org/officeDocument/2006/relationships/hyperlink" Target="https://drive.google.com/drive/folders/10T2cTQHqEJZqE-st6uFKPoI?usp=share_link" TargetMode="External"/><Relationship Id="rId4661" Type="http://schemas.openxmlformats.org/officeDocument/2006/relationships/hyperlink" Target="https://drive.google.com/drive/folders/10T2cTQHqEJZqE-st6uFKPoI?usp=share_link" TargetMode="External"/><Relationship Id="rId2001" Type="http://schemas.openxmlformats.org/officeDocument/2006/relationships/hyperlink" Target="https://drive.google.com/drive/folders/10T2cTQHqEJZqE-st6uFKPoI?usp=share_link" TargetMode="External"/><Relationship Id="rId3333" Type="http://schemas.openxmlformats.org/officeDocument/2006/relationships/hyperlink" Target="https://drive.google.com/drive/folders/10T2cTQHqEJZqE-st6uFKPoI?usp=share_link" TargetMode="External"/><Relationship Id="rId4664" Type="http://schemas.openxmlformats.org/officeDocument/2006/relationships/hyperlink" Target="https://drive.google.com/drive/folders/10T2cTQHqEJZqE-st6uFKPoI?usp=share_link" TargetMode="External"/><Relationship Id="rId2002" Type="http://schemas.openxmlformats.org/officeDocument/2006/relationships/hyperlink" Target="https://drive.google.com/drive/folders/10T2cTQHqEJZqE-st6uFKPoI?usp=share_link" TargetMode="External"/><Relationship Id="rId3332" Type="http://schemas.openxmlformats.org/officeDocument/2006/relationships/hyperlink" Target="https://drive.google.com/drive/folders/10T2cTQHqEJZqE-st6uFKPoI?usp=share_link" TargetMode="External"/><Relationship Id="rId4663" Type="http://schemas.openxmlformats.org/officeDocument/2006/relationships/hyperlink" Target="https://drive.google.com/drive/folders/10T2cTQHqEJZqE-st6uFKPoI?usp=share_link" TargetMode="External"/><Relationship Id="rId2003" Type="http://schemas.openxmlformats.org/officeDocument/2006/relationships/hyperlink" Target="https://drive.google.com/drive/folders/10T2cTQHqEJZqE-st6uFKPoI?usp=share_link" TargetMode="External"/><Relationship Id="rId3335" Type="http://schemas.openxmlformats.org/officeDocument/2006/relationships/hyperlink" Target="https://drive.google.com/drive/folders/10T2cTQHqEJZqE-st6uFKPoI?usp=share_link" TargetMode="External"/><Relationship Id="rId4666" Type="http://schemas.openxmlformats.org/officeDocument/2006/relationships/hyperlink" Target="https://drive.google.com/drive/folders/10T2cTQHqEJZqE-st6uFKPoI?usp=share_link" TargetMode="External"/><Relationship Id="rId2004" Type="http://schemas.openxmlformats.org/officeDocument/2006/relationships/hyperlink" Target="https://drive.google.com/drive/folders/10T2cTQHqEJZqE-st6uFKPoI?usp=share_link" TargetMode="External"/><Relationship Id="rId3334" Type="http://schemas.openxmlformats.org/officeDocument/2006/relationships/hyperlink" Target="https://drive.google.com/drive/folders/10T2cTQHqEJZqE-st6uFKPoI?usp=share_link" TargetMode="External"/><Relationship Id="rId4665" Type="http://schemas.openxmlformats.org/officeDocument/2006/relationships/hyperlink" Target="https://drive.google.com/drive/folders/10T2cTQHqEJZqE-st6uFKPoI?usp=share_link" TargetMode="External"/><Relationship Id="rId3326" Type="http://schemas.openxmlformats.org/officeDocument/2006/relationships/hyperlink" Target="https://drive.google.com/drive/folders/10T2cTQHqEJZqE-st6uFKPoI?usp=share_link" TargetMode="External"/><Relationship Id="rId4657" Type="http://schemas.openxmlformats.org/officeDocument/2006/relationships/hyperlink" Target="https://drive.google.com/drive/folders/10T2cTQHqEJZqE-st6uFKPoI?usp=share_link" TargetMode="External"/><Relationship Id="rId3325" Type="http://schemas.openxmlformats.org/officeDocument/2006/relationships/hyperlink" Target="https://drive.google.com/drive/folders/10T2cTQHqEJZqE-st6uFKPoI?usp=share_link" TargetMode="External"/><Relationship Id="rId4656" Type="http://schemas.openxmlformats.org/officeDocument/2006/relationships/hyperlink" Target="https://drive.google.com/drive/folders/10T2cTQHqEJZqE-st6uFKPoI?usp=share_link" TargetMode="External"/><Relationship Id="rId3328" Type="http://schemas.openxmlformats.org/officeDocument/2006/relationships/hyperlink" Target="https://drive.google.com/drive/folders/10T2cTQHqEJZqE-st6uFKPoI?usp=share_link" TargetMode="External"/><Relationship Id="rId4659" Type="http://schemas.openxmlformats.org/officeDocument/2006/relationships/hyperlink" Target="https://drive.google.com/drive/folders/10T2cTQHqEJZqE-st6uFKPoI?usp=share_link" TargetMode="External"/><Relationship Id="rId3327" Type="http://schemas.openxmlformats.org/officeDocument/2006/relationships/hyperlink" Target="https://drive.google.com/drive/folders/10T2cTQHqEJZqE-st6uFKPoI?usp=share_link" TargetMode="External"/><Relationship Id="rId4658" Type="http://schemas.openxmlformats.org/officeDocument/2006/relationships/hyperlink" Target="https://drive.google.com/drive/folders/10T2cTQHqEJZqE-st6uFKPoI?usp=share_link" TargetMode="External"/><Relationship Id="rId3329" Type="http://schemas.openxmlformats.org/officeDocument/2006/relationships/hyperlink" Target="https://drive.google.com/drive/folders/10T2cTQHqEJZqE-st6uFKPoI?usp=share_link" TargetMode="External"/><Relationship Id="rId3320" Type="http://schemas.openxmlformats.org/officeDocument/2006/relationships/hyperlink" Target="https://drive.google.com/drive/folders/10T2cTQHqEJZqE-st6uFKPoI?usp=share_link" TargetMode="External"/><Relationship Id="rId4651" Type="http://schemas.openxmlformats.org/officeDocument/2006/relationships/hyperlink" Target="https://drive.google.com/drive/folders/10T2cTQHqEJZqE-st6uFKPoI?usp=share_link" TargetMode="External"/><Relationship Id="rId4650" Type="http://schemas.openxmlformats.org/officeDocument/2006/relationships/hyperlink" Target="https://drive.google.com/drive/folders/10T2cTQHqEJZqE-st6uFKPoI?usp=share_link" TargetMode="External"/><Relationship Id="rId3322" Type="http://schemas.openxmlformats.org/officeDocument/2006/relationships/hyperlink" Target="https://drive.google.com/drive/folders/10T2cTQHqEJZqE-st6uFKPoI?usp=share_link" TargetMode="External"/><Relationship Id="rId4653" Type="http://schemas.openxmlformats.org/officeDocument/2006/relationships/hyperlink" Target="https://drive.google.com/drive/folders/10T2cTQHqEJZqE-st6uFKPoI?usp=share_link" TargetMode="External"/><Relationship Id="rId3321" Type="http://schemas.openxmlformats.org/officeDocument/2006/relationships/hyperlink" Target="https://drive.google.com/drive/folders/10T2cTQHqEJZqE-st6uFKPoI?usp=share_link" TargetMode="External"/><Relationship Id="rId4652" Type="http://schemas.openxmlformats.org/officeDocument/2006/relationships/hyperlink" Target="https://drive.google.com/drive/folders/10T2cTQHqEJZqE-st6uFKPoI?usp=share_link" TargetMode="External"/><Relationship Id="rId3324" Type="http://schemas.openxmlformats.org/officeDocument/2006/relationships/hyperlink" Target="https://drive.google.com/drive/folders/10T2cTQHqEJZqE-st6uFKPoI?usp=share_link" TargetMode="External"/><Relationship Id="rId4655" Type="http://schemas.openxmlformats.org/officeDocument/2006/relationships/hyperlink" Target="https://drive.google.com/drive/folders/10T2cTQHqEJZqE-st6uFKPoI?usp=share_link" TargetMode="External"/><Relationship Id="rId3323" Type="http://schemas.openxmlformats.org/officeDocument/2006/relationships/hyperlink" Target="https://drive.google.com/drive/folders/10T2cTQHqEJZqE-st6uFKPoI?usp=share_link" TargetMode="External"/><Relationship Id="rId4654" Type="http://schemas.openxmlformats.org/officeDocument/2006/relationships/hyperlink" Target="https://drive.google.com/drive/folders/10T2cTQHqEJZqE-st6uFKPoI?usp=share_link" TargetMode="External"/><Relationship Id="rId5130" Type="http://schemas.openxmlformats.org/officeDocument/2006/relationships/hyperlink" Target="https://drive.google.com/drive/folders/10T2cTQHqEJZqE-st6uFKPoI?usp=share_link" TargetMode="External"/><Relationship Id="rId5131" Type="http://schemas.openxmlformats.org/officeDocument/2006/relationships/hyperlink" Target="https://drive.google.com/drive/folders/10T2cTQHqEJZqE-st6uFKPoI?usp=share_link" TargetMode="External"/><Relationship Id="rId5134" Type="http://schemas.openxmlformats.org/officeDocument/2006/relationships/hyperlink" Target="https://drive.google.com/drive/folders/10T2cTQHqEJZqE-st6uFKPoI?usp=share_link" TargetMode="External"/><Relationship Id="rId5135" Type="http://schemas.openxmlformats.org/officeDocument/2006/relationships/hyperlink" Target="https://drive.google.com/drive/folders/10T2cTQHqEJZqE-st6uFKPoI?usp=share_link" TargetMode="External"/><Relationship Id="rId5132" Type="http://schemas.openxmlformats.org/officeDocument/2006/relationships/hyperlink" Target="https://drive.google.com/drive/folders/10T2cTQHqEJZqE-st6uFKPoI?usp=share_link" TargetMode="External"/><Relationship Id="rId5133" Type="http://schemas.openxmlformats.org/officeDocument/2006/relationships/hyperlink" Target="https://drive.google.com/drive/folders/10T2cTQHqEJZqE-st6uFKPoI?usp=share_link" TargetMode="External"/><Relationship Id="rId5138" Type="http://schemas.openxmlformats.org/officeDocument/2006/relationships/hyperlink" Target="https://drive.google.com/drive/folders/10T2cTQHqEJZqE-st6uFKPoI?usp=share_link" TargetMode="External"/><Relationship Id="rId5139" Type="http://schemas.openxmlformats.org/officeDocument/2006/relationships/hyperlink" Target="https://drive.google.com/drive/folders/10T2cTQHqEJZqE-st6uFKPoI?usp=share_link" TargetMode="External"/><Relationship Id="rId5136" Type="http://schemas.openxmlformats.org/officeDocument/2006/relationships/hyperlink" Target="https://drive.google.com/drive/folders/10T2cTQHqEJZqE-st6uFKPoI?usp=share_link" TargetMode="External"/><Relationship Id="rId5137" Type="http://schemas.openxmlformats.org/officeDocument/2006/relationships/hyperlink" Target="https://drive.google.com/drive/folders/10T2cTQHqEJZqE-st6uFKPoI?usp=share_link" TargetMode="External"/><Relationship Id="rId5129" Type="http://schemas.openxmlformats.org/officeDocument/2006/relationships/hyperlink" Target="https://drive.google.com/drive/folders/10T2cTQHqEJZqE-st6uFKPoI?usp=share_link" TargetMode="External"/><Relationship Id="rId2090" Type="http://schemas.openxmlformats.org/officeDocument/2006/relationships/hyperlink" Target="https://drive.google.com/drive/folders/10T2cTQHqEJZqE-st6uFKPoI?usp=share_link" TargetMode="External"/><Relationship Id="rId2091" Type="http://schemas.openxmlformats.org/officeDocument/2006/relationships/hyperlink" Target="https://drive.google.com/drive/folders/10T2cTQHqEJZqE-st6uFKPoI?usp=share_link" TargetMode="External"/><Relationship Id="rId2092" Type="http://schemas.openxmlformats.org/officeDocument/2006/relationships/hyperlink" Target="https://drive.google.com/drive/folders/10T2cTQHqEJZqE-st6uFKPoI?usp=share_link" TargetMode="External"/><Relationship Id="rId2093" Type="http://schemas.openxmlformats.org/officeDocument/2006/relationships/hyperlink" Target="https://drive.google.com/drive/folders/10T2cTQHqEJZqE-st6uFKPoI?usp=share_link" TargetMode="External"/><Relationship Id="rId5120" Type="http://schemas.openxmlformats.org/officeDocument/2006/relationships/hyperlink" Target="https://drive.google.com/drive/folders/10T2cTQHqEJZqE-st6uFKPoI?usp=share_link" TargetMode="External"/><Relationship Id="rId2094" Type="http://schemas.openxmlformats.org/officeDocument/2006/relationships/hyperlink" Target="https://drive.google.com/drive/folders/10T2cTQHqEJZqE-st6uFKPoI?usp=share_link" TargetMode="External"/><Relationship Id="rId2095" Type="http://schemas.openxmlformats.org/officeDocument/2006/relationships/hyperlink" Target="https://drive.google.com/drive/folders/10T2cTQHqEJZqE-st6uFKPoI?usp=share_link" TargetMode="External"/><Relationship Id="rId2096" Type="http://schemas.openxmlformats.org/officeDocument/2006/relationships/hyperlink" Target="https://drive.google.com/drive/folders/10T2cTQHqEJZqE-st6uFKPoI?usp=share_link" TargetMode="External"/><Relationship Id="rId5123" Type="http://schemas.openxmlformats.org/officeDocument/2006/relationships/hyperlink" Target="https://drive.google.com/drive/folders/10T2cTQHqEJZqE-st6uFKPoI?usp=share_link" TargetMode="External"/><Relationship Id="rId2097" Type="http://schemas.openxmlformats.org/officeDocument/2006/relationships/hyperlink" Target="https://drive.google.com/drive/folders/10T2cTQHqEJZqE-st6uFKPoI?usp=share_link" TargetMode="External"/><Relationship Id="rId5124" Type="http://schemas.openxmlformats.org/officeDocument/2006/relationships/hyperlink" Target="https://drive.google.com/drive/folders/10T2cTQHqEJZqE-st6uFKPoI?usp=share_link" TargetMode="External"/><Relationship Id="rId2098" Type="http://schemas.openxmlformats.org/officeDocument/2006/relationships/hyperlink" Target="https://drive.google.com/drive/folders/10T2cTQHqEJZqE-st6uFKPoI?usp=share_link" TargetMode="External"/><Relationship Id="rId5121" Type="http://schemas.openxmlformats.org/officeDocument/2006/relationships/hyperlink" Target="https://drive.google.com/drive/folders/10T2cTQHqEJZqE-st6uFKPoI?usp=share_link" TargetMode="External"/><Relationship Id="rId2099" Type="http://schemas.openxmlformats.org/officeDocument/2006/relationships/hyperlink" Target="https://drive.google.com/drive/folders/10T2cTQHqEJZqE-st6uFKPoI?usp=share_link" TargetMode="External"/><Relationship Id="rId5122" Type="http://schemas.openxmlformats.org/officeDocument/2006/relationships/hyperlink" Target="https://drive.google.com/drive/folders/10T2cTQHqEJZqE-st6uFKPoI?usp=share_link" TargetMode="External"/><Relationship Id="rId5127" Type="http://schemas.openxmlformats.org/officeDocument/2006/relationships/hyperlink" Target="https://drive.google.com/drive/folders/10T2cTQHqEJZqE-st6uFKPoI?usp=share_link" TargetMode="External"/><Relationship Id="rId5128" Type="http://schemas.openxmlformats.org/officeDocument/2006/relationships/hyperlink" Target="https://drive.google.com/drive/folders/10T2cTQHqEJZqE-st6uFKPoI?usp=share_link" TargetMode="External"/><Relationship Id="rId5125" Type="http://schemas.openxmlformats.org/officeDocument/2006/relationships/hyperlink" Target="https://drive.google.com/drive/folders/10T2cTQHqEJZqE-st6uFKPoI?usp=share_link" TargetMode="External"/><Relationship Id="rId5126" Type="http://schemas.openxmlformats.org/officeDocument/2006/relationships/hyperlink" Target="https://drive.google.com/drive/folders/10T2cTQHqEJZqE-st6uFKPoI?usp=share_link" TargetMode="External"/><Relationship Id="rId5152" Type="http://schemas.openxmlformats.org/officeDocument/2006/relationships/hyperlink" Target="https://drive.google.com/drive/folders/10T2cTQHqEJZqE-st6uFKPoI?usp=share_link" TargetMode="External"/><Relationship Id="rId5153" Type="http://schemas.openxmlformats.org/officeDocument/2006/relationships/hyperlink" Target="https://drive.google.com/drive/folders/10T2cTQHqEJZqE-st6uFKPoI?usp=share_link" TargetMode="External"/><Relationship Id="rId5150" Type="http://schemas.openxmlformats.org/officeDocument/2006/relationships/hyperlink" Target="https://drive.google.com/drive/folders/10T2cTQHqEJZqE-st6uFKPoI?usp=share_link" TargetMode="External"/><Relationship Id="rId5151" Type="http://schemas.openxmlformats.org/officeDocument/2006/relationships/hyperlink" Target="https://drive.google.com/drive/folders/10T2cTQHqEJZqE-st6uFKPoI?usp=share_link" TargetMode="External"/><Relationship Id="rId5156" Type="http://schemas.openxmlformats.org/officeDocument/2006/relationships/hyperlink" Target="https://drive.google.com/drive/folders/10T2cTQHqEJZqE-st6uFKPoI?usp=share_link" TargetMode="External"/><Relationship Id="rId5157" Type="http://schemas.openxmlformats.org/officeDocument/2006/relationships/hyperlink" Target="https://drive.google.com/drive/folders/10T2cTQHqEJZqE-st6uFKPoI?usp=share_link" TargetMode="External"/><Relationship Id="rId5154" Type="http://schemas.openxmlformats.org/officeDocument/2006/relationships/hyperlink" Target="https://drive.google.com/drive/folders/10T2cTQHqEJZqE-st6uFKPoI?usp=share_link" TargetMode="External"/><Relationship Id="rId5155" Type="http://schemas.openxmlformats.org/officeDocument/2006/relationships/hyperlink" Target="https://drive.google.com/drive/folders/10T2cTQHqEJZqE-st6uFKPoI?usp=share_link" TargetMode="External"/><Relationship Id="rId5158" Type="http://schemas.openxmlformats.org/officeDocument/2006/relationships/hyperlink" Target="https://drive.google.com/drive/folders/10T2cTQHqEJZqE-st6uFKPoI?usp=share_link" TargetMode="External"/><Relationship Id="rId5159" Type="http://schemas.openxmlformats.org/officeDocument/2006/relationships/hyperlink" Target="https://drive.google.com/drive/folders/10T2cTQHqEJZqE-st6uFKPoI?usp=share_link" TargetMode="External"/><Relationship Id="rId5141" Type="http://schemas.openxmlformats.org/officeDocument/2006/relationships/hyperlink" Target="https://drive.google.com/drive/folders/10T2cTQHqEJZqE-st6uFKPoI?usp=share_link" TargetMode="External"/><Relationship Id="rId5142" Type="http://schemas.openxmlformats.org/officeDocument/2006/relationships/hyperlink" Target="https://drive.google.com/drive/folders/10T2cTQHqEJZqE-st6uFKPoI?usp=share_link" TargetMode="External"/><Relationship Id="rId5140" Type="http://schemas.openxmlformats.org/officeDocument/2006/relationships/hyperlink" Target="https://drive.google.com/drive/folders/10T2cTQHqEJZqE-st6uFKPoI?usp=share_link" TargetMode="External"/><Relationship Id="rId5145" Type="http://schemas.openxmlformats.org/officeDocument/2006/relationships/hyperlink" Target="https://drive.google.com/drive/folders/10T2cTQHqEJZqE-st6uFKPoI?usp=share_link" TargetMode="External"/><Relationship Id="rId5146" Type="http://schemas.openxmlformats.org/officeDocument/2006/relationships/hyperlink" Target="https://drive.google.com/drive/folders/10T2cTQHqEJZqE-st6uFKPoI?usp=share_link" TargetMode="External"/><Relationship Id="rId5143" Type="http://schemas.openxmlformats.org/officeDocument/2006/relationships/hyperlink" Target="https://drive.google.com/drive/folders/10T2cTQHqEJZqE-st6uFKPoI?usp=share_link" TargetMode="External"/><Relationship Id="rId5144" Type="http://schemas.openxmlformats.org/officeDocument/2006/relationships/hyperlink" Target="https://drive.google.com/drive/folders/10T2cTQHqEJZqE-st6uFKPoI?usp=share_link" TargetMode="External"/><Relationship Id="rId5149" Type="http://schemas.openxmlformats.org/officeDocument/2006/relationships/hyperlink" Target="https://drive.google.com/drive/folders/10T2cTQHqEJZqE-st6uFKPoI?usp=share_link" TargetMode="External"/><Relationship Id="rId5147" Type="http://schemas.openxmlformats.org/officeDocument/2006/relationships/hyperlink" Target="https://drive.google.com/drive/folders/10T2cTQHqEJZqE-st6uFKPoI?usp=share_link" TargetMode="External"/><Relationship Id="rId5148" Type="http://schemas.openxmlformats.org/officeDocument/2006/relationships/hyperlink" Target="https://drive.google.com/drive/folders/10T2cTQHqEJZqE-st6uFKPoI?usp=share_link" TargetMode="External"/><Relationship Id="rId3391" Type="http://schemas.openxmlformats.org/officeDocument/2006/relationships/hyperlink" Target="https://drive.google.com/drive/folders/10T2cTQHqEJZqE-st6uFKPoI?usp=share_link" TargetMode="External"/><Relationship Id="rId2060" Type="http://schemas.openxmlformats.org/officeDocument/2006/relationships/hyperlink" Target="https://drive.google.com/drive/folders/10T2cTQHqEJZqE-st6uFKPoI?usp=share_link" TargetMode="External"/><Relationship Id="rId3390" Type="http://schemas.openxmlformats.org/officeDocument/2006/relationships/hyperlink" Target="https://drive.google.com/drive/folders/10T2cTQHqEJZqE-st6uFKPoI?usp=share_link" TargetMode="External"/><Relationship Id="rId2061" Type="http://schemas.openxmlformats.org/officeDocument/2006/relationships/hyperlink" Target="https://drive.google.com/drive/folders/10T2cTQHqEJZqE-st6uFKPoI?usp=share_link" TargetMode="External"/><Relationship Id="rId3393" Type="http://schemas.openxmlformats.org/officeDocument/2006/relationships/hyperlink" Target="https://drive.google.com/drive/folders/10T2cTQHqEJZqE-st6uFKPoI?usp=share_link" TargetMode="External"/><Relationship Id="rId2062" Type="http://schemas.openxmlformats.org/officeDocument/2006/relationships/hyperlink" Target="https://drive.google.com/drive/folders/10T2cTQHqEJZqE-st6uFKPoI?usp=share_link" TargetMode="External"/><Relationship Id="rId3392" Type="http://schemas.openxmlformats.org/officeDocument/2006/relationships/hyperlink" Target="https://drive.google.com/drive/folders/10T2cTQHqEJZqE-st6uFKPoI?usp=share_link" TargetMode="External"/><Relationship Id="rId2063" Type="http://schemas.openxmlformats.org/officeDocument/2006/relationships/hyperlink" Target="https://drive.google.com/drive/folders/10T2cTQHqEJZqE-st6uFKPoI?usp=share_link" TargetMode="External"/><Relationship Id="rId3395" Type="http://schemas.openxmlformats.org/officeDocument/2006/relationships/hyperlink" Target="https://drive.google.com/drive/folders/10T2cTQHqEJZqE-st6uFKPoI?usp=share_link" TargetMode="External"/><Relationship Id="rId2064" Type="http://schemas.openxmlformats.org/officeDocument/2006/relationships/hyperlink" Target="https://drive.google.com/drive/folders/10T2cTQHqEJZqE-st6uFKPoI?usp=share_link" TargetMode="External"/><Relationship Id="rId3394" Type="http://schemas.openxmlformats.org/officeDocument/2006/relationships/hyperlink" Target="https://drive.google.com/drive/folders/10T2cTQHqEJZqE-st6uFKPoI?usp=share_link" TargetMode="External"/><Relationship Id="rId2065" Type="http://schemas.openxmlformats.org/officeDocument/2006/relationships/hyperlink" Target="https://drive.google.com/drive/folders/10T2cTQHqEJZqE-st6uFKPoI?usp=share_link" TargetMode="External"/><Relationship Id="rId3397" Type="http://schemas.openxmlformats.org/officeDocument/2006/relationships/hyperlink" Target="https://drive.google.com/drive/folders/10T2cTQHqEJZqE-st6uFKPoI?usp=share_link" TargetMode="External"/><Relationship Id="rId2066" Type="http://schemas.openxmlformats.org/officeDocument/2006/relationships/hyperlink" Target="https://drive.google.com/drive/folders/10T2cTQHqEJZqE-st6uFKPoI?usp=share_link" TargetMode="External"/><Relationship Id="rId3396" Type="http://schemas.openxmlformats.org/officeDocument/2006/relationships/hyperlink" Target="https://drive.google.com/drive/folders/10T2cTQHqEJZqE-st6uFKPoI?usp=share_link" TargetMode="External"/><Relationship Id="rId2067" Type="http://schemas.openxmlformats.org/officeDocument/2006/relationships/hyperlink" Target="https://drive.google.com/drive/folders/10T2cTQHqEJZqE-st6uFKPoI?usp=share_link" TargetMode="External"/><Relationship Id="rId3399" Type="http://schemas.openxmlformats.org/officeDocument/2006/relationships/hyperlink" Target="https://drive.google.com/drive/folders/10T2cTQHqEJZqE-st6uFKPoI?usp=share_link" TargetMode="External"/><Relationship Id="rId2068" Type="http://schemas.openxmlformats.org/officeDocument/2006/relationships/hyperlink" Target="https://drive.google.com/drive/folders/10T2cTQHqEJZqE-st6uFKPoI?usp=share_link" TargetMode="External"/><Relationship Id="rId3398" Type="http://schemas.openxmlformats.org/officeDocument/2006/relationships/hyperlink" Target="https://drive.google.com/drive/folders/10T2cTQHqEJZqE-st6uFKPoI?usp=share_link" TargetMode="External"/><Relationship Id="rId2069" Type="http://schemas.openxmlformats.org/officeDocument/2006/relationships/hyperlink" Target="https://drive.google.com/drive/folders/10T2cTQHqEJZqE-st6uFKPoI?usp=share_link" TargetMode="External"/><Relationship Id="rId3380" Type="http://schemas.openxmlformats.org/officeDocument/2006/relationships/hyperlink" Target="https://drive.google.com/drive/folders/10T2cTQHqEJZqE-st6uFKPoI?usp=share_link" TargetMode="External"/><Relationship Id="rId2050" Type="http://schemas.openxmlformats.org/officeDocument/2006/relationships/hyperlink" Target="https://drive.google.com/drive/folders/10T2cTQHqEJZqE-st6uFKPoI?usp=share_link" TargetMode="External"/><Relationship Id="rId3382" Type="http://schemas.openxmlformats.org/officeDocument/2006/relationships/hyperlink" Target="https://drive.google.com/drive/folders/10T2cTQHqEJZqE-st6uFKPoI?usp=share_link" TargetMode="External"/><Relationship Id="rId2051" Type="http://schemas.openxmlformats.org/officeDocument/2006/relationships/hyperlink" Target="https://drive.google.com/drive/folders/10T2cTQHqEJZqE-st6uFKPoI?usp=share_link" TargetMode="External"/><Relationship Id="rId3381" Type="http://schemas.openxmlformats.org/officeDocument/2006/relationships/hyperlink" Target="https://drive.google.com/drive/folders/10T2cTQHqEJZqE-st6uFKPoI?usp=share_link" TargetMode="External"/><Relationship Id="rId2052" Type="http://schemas.openxmlformats.org/officeDocument/2006/relationships/hyperlink" Target="https://drive.google.com/drive/folders/10T2cTQHqEJZqE-st6uFKPoI?usp=share_link" TargetMode="External"/><Relationship Id="rId3384" Type="http://schemas.openxmlformats.org/officeDocument/2006/relationships/hyperlink" Target="https://drive.google.com/drive/folders/10T2cTQHqEJZqE-st6uFKPoI?usp=share_link" TargetMode="External"/><Relationship Id="rId2053" Type="http://schemas.openxmlformats.org/officeDocument/2006/relationships/hyperlink" Target="https://drive.google.com/drive/folders/10T2cTQHqEJZqE-st6uFKPoI?usp=share_link" TargetMode="External"/><Relationship Id="rId3383" Type="http://schemas.openxmlformats.org/officeDocument/2006/relationships/hyperlink" Target="https://drive.google.com/drive/folders/10T2cTQHqEJZqE-st6uFKPoI?usp=share_link" TargetMode="External"/><Relationship Id="rId2054" Type="http://schemas.openxmlformats.org/officeDocument/2006/relationships/hyperlink" Target="https://drive.google.com/drive/folders/10T2cTQHqEJZqE-st6uFKPoI?usp=share_link" TargetMode="External"/><Relationship Id="rId3386" Type="http://schemas.openxmlformats.org/officeDocument/2006/relationships/hyperlink" Target="https://drive.google.com/drive/folders/10T2cTQHqEJZqE-st6uFKPoI?usp=share_link" TargetMode="External"/><Relationship Id="rId2055" Type="http://schemas.openxmlformats.org/officeDocument/2006/relationships/hyperlink" Target="https://drive.google.com/drive/folders/10T2cTQHqEJZqE-st6uFKPoI?usp=share_link" TargetMode="External"/><Relationship Id="rId3385" Type="http://schemas.openxmlformats.org/officeDocument/2006/relationships/hyperlink" Target="https://drive.google.com/drive/folders/10T2cTQHqEJZqE-st6uFKPoI?usp=share_link" TargetMode="External"/><Relationship Id="rId2056" Type="http://schemas.openxmlformats.org/officeDocument/2006/relationships/hyperlink" Target="https://drive.google.com/drive/folders/10T2cTQHqEJZqE-st6uFKPoI?usp=share_link" TargetMode="External"/><Relationship Id="rId3388" Type="http://schemas.openxmlformats.org/officeDocument/2006/relationships/hyperlink" Target="https://drive.google.com/drive/folders/10T2cTQHqEJZqE-st6uFKPoI?usp=share_link" TargetMode="External"/><Relationship Id="rId2057" Type="http://schemas.openxmlformats.org/officeDocument/2006/relationships/hyperlink" Target="https://drive.google.com/drive/folders/10T2cTQHqEJZqE-st6uFKPoI?usp=share_link" TargetMode="External"/><Relationship Id="rId3387" Type="http://schemas.openxmlformats.org/officeDocument/2006/relationships/hyperlink" Target="https://drive.google.com/drive/folders/10T2cTQHqEJZqE-st6uFKPoI?usp=share_link" TargetMode="External"/><Relationship Id="rId2058" Type="http://schemas.openxmlformats.org/officeDocument/2006/relationships/hyperlink" Target="https://drive.google.com/drive/folders/10T2cTQHqEJZqE-st6uFKPoI?usp=share_link" TargetMode="External"/><Relationship Id="rId2059" Type="http://schemas.openxmlformats.org/officeDocument/2006/relationships/hyperlink" Target="https://drive.google.com/drive/folders/10T2cTQHqEJZqE-st6uFKPoI?usp=share_link" TargetMode="External"/><Relationship Id="rId3389" Type="http://schemas.openxmlformats.org/officeDocument/2006/relationships/hyperlink" Target="https://drive.google.com/drive/folders/10T2cTQHqEJZqE-st6uFKPoI?usp=share_link" TargetMode="External"/><Relationship Id="rId5118" Type="http://schemas.openxmlformats.org/officeDocument/2006/relationships/hyperlink" Target="https://drive.google.com/drive/folders/10T2cTQHqEJZqE-st6uFKPoI?usp=share_link" TargetMode="External"/><Relationship Id="rId5119" Type="http://schemas.openxmlformats.org/officeDocument/2006/relationships/hyperlink" Target="https://drive.google.com/drive/folders/10T2cTQHqEJZqE-st6uFKPoI?usp=share_link" TargetMode="External"/><Relationship Id="rId2080" Type="http://schemas.openxmlformats.org/officeDocument/2006/relationships/hyperlink" Target="https://drive.google.com/drive/folders/10T2cTQHqEJZqE-st6uFKPoI?usp=share_link" TargetMode="External"/><Relationship Id="rId2081" Type="http://schemas.openxmlformats.org/officeDocument/2006/relationships/hyperlink" Target="https://drive.google.com/drive/folders/10T2cTQHqEJZqE-st6uFKPoI?usp=share_link" TargetMode="External"/><Relationship Id="rId2082" Type="http://schemas.openxmlformats.org/officeDocument/2006/relationships/hyperlink" Target="https://drive.google.com/drive/folders/10T2cTQHqEJZqE-st6uFKPoI?usp=share_link" TargetMode="External"/><Relationship Id="rId2083" Type="http://schemas.openxmlformats.org/officeDocument/2006/relationships/hyperlink" Target="https://drive.google.com/drive/folders/10T2cTQHqEJZqE-st6uFKPoI?usp=share_link" TargetMode="External"/><Relationship Id="rId2084" Type="http://schemas.openxmlformats.org/officeDocument/2006/relationships/hyperlink" Target="https://drive.google.com/drive/folders/10T2cTQHqEJZqE-st6uFKPoI?usp=share_link" TargetMode="External"/><Relationship Id="rId2085" Type="http://schemas.openxmlformats.org/officeDocument/2006/relationships/hyperlink" Target="https://drive.google.com/drive/folders/10T2cTQHqEJZqE-st6uFKPoI?usp=share_link" TargetMode="External"/><Relationship Id="rId5112" Type="http://schemas.openxmlformats.org/officeDocument/2006/relationships/hyperlink" Target="https://drive.google.com/drive/folders/10T2cTQHqEJZqE-st6uFKPoI?usp=share_link" TargetMode="External"/><Relationship Id="rId2086" Type="http://schemas.openxmlformats.org/officeDocument/2006/relationships/hyperlink" Target="https://drive.google.com/drive/folders/10T2cTQHqEJZqE-st6uFKPoI?usp=share_link" TargetMode="External"/><Relationship Id="rId5113" Type="http://schemas.openxmlformats.org/officeDocument/2006/relationships/hyperlink" Target="https://drive.google.com/drive/folders/10T2cTQHqEJZqE-st6uFKPoI?usp=share_link" TargetMode="External"/><Relationship Id="rId2087" Type="http://schemas.openxmlformats.org/officeDocument/2006/relationships/hyperlink" Target="https://drive.google.com/drive/folders/10T2cTQHqEJZqE-st6uFKPoI?usp=share_link" TargetMode="External"/><Relationship Id="rId5110" Type="http://schemas.openxmlformats.org/officeDocument/2006/relationships/hyperlink" Target="https://drive.google.com/drive/folders/10T2cTQHqEJZqE-st6uFKPoI?usp=share_link" TargetMode="External"/><Relationship Id="rId2088" Type="http://schemas.openxmlformats.org/officeDocument/2006/relationships/hyperlink" Target="https://drive.google.com/drive/folders/10T2cTQHqEJZqE-st6uFKPoI?usp=share_link" TargetMode="External"/><Relationship Id="rId5111" Type="http://schemas.openxmlformats.org/officeDocument/2006/relationships/hyperlink" Target="https://drive.google.com/drive/folders/10T2cTQHqEJZqE-st6uFKPoI?usp=share_link" TargetMode="External"/><Relationship Id="rId2089" Type="http://schemas.openxmlformats.org/officeDocument/2006/relationships/hyperlink" Target="https://drive.google.com/drive/folders/10T2cTQHqEJZqE-st6uFKPoI?usp=share_link" TargetMode="External"/><Relationship Id="rId5116" Type="http://schemas.openxmlformats.org/officeDocument/2006/relationships/hyperlink" Target="https://drive.google.com/drive/folders/10T2cTQHqEJZqE-st6uFKPoI?usp=share_link" TargetMode="External"/><Relationship Id="rId5117" Type="http://schemas.openxmlformats.org/officeDocument/2006/relationships/hyperlink" Target="https://drive.google.com/drive/folders/10T2cTQHqEJZqE-st6uFKPoI?usp=share_link" TargetMode="External"/><Relationship Id="rId5114" Type="http://schemas.openxmlformats.org/officeDocument/2006/relationships/hyperlink" Target="https://drive.google.com/drive/folders/10T2cTQHqEJZqE-st6uFKPoI?usp=share_link" TargetMode="External"/><Relationship Id="rId5115" Type="http://schemas.openxmlformats.org/officeDocument/2006/relationships/hyperlink" Target="https://drive.google.com/drive/folders/10T2cTQHqEJZqE-st6uFKPoI?usp=share_link" TargetMode="External"/><Relationship Id="rId5109" Type="http://schemas.openxmlformats.org/officeDocument/2006/relationships/hyperlink" Target="https://drive.google.com/drive/folders/10T2cTQHqEJZqE-st6uFKPoI?usp=share_link" TargetMode="External"/><Relationship Id="rId5107" Type="http://schemas.openxmlformats.org/officeDocument/2006/relationships/hyperlink" Target="https://drive.google.com/drive/folders/10T2cTQHqEJZqE-st6uFKPoI?usp=share_link" TargetMode="External"/><Relationship Id="rId5108" Type="http://schemas.openxmlformats.org/officeDocument/2006/relationships/hyperlink" Target="https://drive.google.com/drive/folders/10T2cTQHqEJZqE-st6uFKPoI?usp=share_link" TargetMode="External"/><Relationship Id="rId2070" Type="http://schemas.openxmlformats.org/officeDocument/2006/relationships/hyperlink" Target="https://drive.google.com/drive/folders/10T2cTQHqEJZqE-st6uFKPoI?usp=share_link" TargetMode="External"/><Relationship Id="rId2071" Type="http://schemas.openxmlformats.org/officeDocument/2006/relationships/hyperlink" Target="https://drive.google.com/drive/folders/10T2cTQHqEJZqE-st6uFKPoI?usp=share_link" TargetMode="External"/><Relationship Id="rId2072" Type="http://schemas.openxmlformats.org/officeDocument/2006/relationships/hyperlink" Target="https://drive.google.com/drive/folders/10T2cTQHqEJZqE-st6uFKPoI?usp=share_link" TargetMode="External"/><Relationship Id="rId2073" Type="http://schemas.openxmlformats.org/officeDocument/2006/relationships/hyperlink" Target="https://drive.google.com/drive/folders/10T2cTQHqEJZqE-st6uFKPoI?usp=share_link" TargetMode="External"/><Relationship Id="rId2074" Type="http://schemas.openxmlformats.org/officeDocument/2006/relationships/hyperlink" Target="https://drive.google.com/drive/folders/10T2cTQHqEJZqE-st6uFKPoI?usp=share_link" TargetMode="External"/><Relationship Id="rId5101" Type="http://schemas.openxmlformats.org/officeDocument/2006/relationships/hyperlink" Target="https://drive.google.com/drive/folders/10T2cTQHqEJZqE-st6uFKPoI?usp=share_link" TargetMode="External"/><Relationship Id="rId2075" Type="http://schemas.openxmlformats.org/officeDocument/2006/relationships/hyperlink" Target="https://drive.google.com/drive/folders/10T2cTQHqEJZqE-st6uFKPoI?usp=share_link" TargetMode="External"/><Relationship Id="rId5102" Type="http://schemas.openxmlformats.org/officeDocument/2006/relationships/hyperlink" Target="https://drive.google.com/drive/folders/10T2cTQHqEJZqE-st6uFKPoI?usp=share_link" TargetMode="External"/><Relationship Id="rId2076" Type="http://schemas.openxmlformats.org/officeDocument/2006/relationships/hyperlink" Target="https://drive.google.com/drive/folders/10T2cTQHqEJZqE-st6uFKPoI?usp=share_link" TargetMode="External"/><Relationship Id="rId2077" Type="http://schemas.openxmlformats.org/officeDocument/2006/relationships/hyperlink" Target="https://drive.google.com/drive/folders/10T2cTQHqEJZqE-st6uFKPoI?usp=share_link" TargetMode="External"/><Relationship Id="rId5100" Type="http://schemas.openxmlformats.org/officeDocument/2006/relationships/hyperlink" Target="https://drive.google.com/drive/folders/10T2cTQHqEJZqE-st6uFKPoI?usp=share_link" TargetMode="External"/><Relationship Id="rId2078" Type="http://schemas.openxmlformats.org/officeDocument/2006/relationships/hyperlink" Target="https://drive.google.com/drive/folders/10T2cTQHqEJZqE-st6uFKPoI?usp=share_link" TargetMode="External"/><Relationship Id="rId5105" Type="http://schemas.openxmlformats.org/officeDocument/2006/relationships/hyperlink" Target="https://drive.google.com/drive/folders/10T2cTQHqEJZqE-st6uFKPoI?usp=share_link" TargetMode="External"/><Relationship Id="rId2079" Type="http://schemas.openxmlformats.org/officeDocument/2006/relationships/hyperlink" Target="https://drive.google.com/drive/folders/10T2cTQHqEJZqE-st6uFKPoI?usp=share_link" TargetMode="External"/><Relationship Id="rId5106" Type="http://schemas.openxmlformats.org/officeDocument/2006/relationships/hyperlink" Target="https://drive.google.com/drive/folders/10T2cTQHqEJZqE-st6uFKPoI?usp=share_link" TargetMode="External"/><Relationship Id="rId5103" Type="http://schemas.openxmlformats.org/officeDocument/2006/relationships/hyperlink" Target="https://drive.google.com/drive/folders/10T2cTQHqEJZqE-st6uFKPoI?usp=share_link" TargetMode="External"/><Relationship Id="rId5104" Type="http://schemas.openxmlformats.org/officeDocument/2006/relationships/hyperlink" Target="https://drive.google.com/drive/folders/10T2cTQHqEJZqE-st6uFKPoI?usp=share_link" TargetMode="External"/><Relationship Id="rId2940" Type="http://schemas.openxmlformats.org/officeDocument/2006/relationships/hyperlink" Target="https://drive.google.com/drive/folders/10T2cTQHqEJZqE-st6uFKPoI?usp=share_link" TargetMode="External"/><Relationship Id="rId1610" Type="http://schemas.openxmlformats.org/officeDocument/2006/relationships/hyperlink" Target="https://drive.google.com/drive/folders/10T2cTQHqEJZqE-st6uFKPoI?usp=share_link" TargetMode="External"/><Relationship Id="rId2941" Type="http://schemas.openxmlformats.org/officeDocument/2006/relationships/hyperlink" Target="https://drive.google.com/drive/folders/10T2cTQHqEJZqE-st6uFKPoI?usp=share_link" TargetMode="External"/><Relationship Id="rId1611" Type="http://schemas.openxmlformats.org/officeDocument/2006/relationships/hyperlink" Target="https://drive.google.com/drive/folders/10T2cTQHqEJZqE-st6uFKPoI?usp=share_link" TargetMode="External"/><Relationship Id="rId2942" Type="http://schemas.openxmlformats.org/officeDocument/2006/relationships/hyperlink" Target="https://drive.google.com/drive/folders/10T2cTQHqEJZqE-st6uFKPoI?usp=share_link" TargetMode="External"/><Relationship Id="rId1612" Type="http://schemas.openxmlformats.org/officeDocument/2006/relationships/hyperlink" Target="https://drive.google.com/drive/folders/10T2cTQHqEJZqE-st6uFKPoI?usp=share_link" TargetMode="External"/><Relationship Id="rId2943" Type="http://schemas.openxmlformats.org/officeDocument/2006/relationships/hyperlink" Target="https://drive.google.com/drive/folders/10T2cTQHqEJZqE-st6uFKPoI?usp=share_link" TargetMode="External"/><Relationship Id="rId1613" Type="http://schemas.openxmlformats.org/officeDocument/2006/relationships/hyperlink" Target="https://drive.google.com/drive/folders/10T2cTQHqEJZqE-st6uFKPoI?usp=share_link" TargetMode="External"/><Relationship Id="rId2944" Type="http://schemas.openxmlformats.org/officeDocument/2006/relationships/hyperlink" Target="https://drive.google.com/drive/folders/10T2cTQHqEJZqE-st6uFKPoI?usp=share_link" TargetMode="External"/><Relationship Id="rId1614" Type="http://schemas.openxmlformats.org/officeDocument/2006/relationships/hyperlink" Target="https://drive.google.com/drive/folders/10T2cTQHqEJZqE-st6uFKPoI?usp=share_link" TargetMode="External"/><Relationship Id="rId2945" Type="http://schemas.openxmlformats.org/officeDocument/2006/relationships/hyperlink" Target="https://drive.google.com/drive/folders/10T2cTQHqEJZqE-st6uFKPoI?usp=share_link" TargetMode="External"/><Relationship Id="rId1615" Type="http://schemas.openxmlformats.org/officeDocument/2006/relationships/hyperlink" Target="https://drive.google.com/drive/folders/10T2cTQHqEJZqE-st6uFKPoI?usp=share_link" TargetMode="External"/><Relationship Id="rId2946" Type="http://schemas.openxmlformats.org/officeDocument/2006/relationships/hyperlink" Target="https://drive.google.com/drive/folders/10T2cTQHqEJZqE-st6uFKPoI?usp=share_link" TargetMode="External"/><Relationship Id="rId1616" Type="http://schemas.openxmlformats.org/officeDocument/2006/relationships/hyperlink" Target="https://drive.google.com/drive/folders/10T2cTQHqEJZqE-st6uFKPoI?usp=share_link" TargetMode="External"/><Relationship Id="rId2947" Type="http://schemas.openxmlformats.org/officeDocument/2006/relationships/hyperlink" Target="https://drive.google.com/drive/folders/10T2cTQHqEJZqE-st6uFKPoI?usp=share_link" TargetMode="External"/><Relationship Id="rId907" Type="http://schemas.openxmlformats.org/officeDocument/2006/relationships/hyperlink" Target="https://drive.google.com/drive/folders/10T2cTQHqEJZqE-st6uFKPoI?usp=share_link" TargetMode="External"/><Relationship Id="rId1617" Type="http://schemas.openxmlformats.org/officeDocument/2006/relationships/hyperlink" Target="https://drive.google.com/drive/folders/10T2cTQHqEJZqE-st6uFKPoI?usp=share_link" TargetMode="External"/><Relationship Id="rId2948" Type="http://schemas.openxmlformats.org/officeDocument/2006/relationships/hyperlink" Target="https://drive.google.com/drive/folders/10T2cTQHqEJZqE-st6uFKPoI?usp=share_link" TargetMode="External"/><Relationship Id="rId906" Type="http://schemas.openxmlformats.org/officeDocument/2006/relationships/hyperlink" Target="https://drive.google.com/drive/folders/10T2cTQHqEJZqE-st6uFKPoI?usp=share_link" TargetMode="External"/><Relationship Id="rId1618" Type="http://schemas.openxmlformats.org/officeDocument/2006/relationships/hyperlink" Target="https://drive.google.com/drive/folders/10T2cTQHqEJZqE-st6uFKPoI?usp=share_link" TargetMode="External"/><Relationship Id="rId2949" Type="http://schemas.openxmlformats.org/officeDocument/2006/relationships/hyperlink" Target="https://drive.google.com/drive/folders/10T2cTQHqEJZqE-st6uFKPoI?usp=share_link" TargetMode="External"/><Relationship Id="rId905" Type="http://schemas.openxmlformats.org/officeDocument/2006/relationships/hyperlink" Target="https://drive.google.com/drive/folders/10T2cTQHqEJZqE-st6uFKPoI?usp=share_link" TargetMode="External"/><Relationship Id="rId1619" Type="http://schemas.openxmlformats.org/officeDocument/2006/relationships/hyperlink" Target="https://drive.google.com/drive/folders/10T2cTQHqEJZqE-st6uFKPoI?usp=share_link" TargetMode="External"/><Relationship Id="rId904" Type="http://schemas.openxmlformats.org/officeDocument/2006/relationships/hyperlink" Target="https://drive.google.com/drive/folders/10T2cTQHqEJZqE-st6uFKPoI?usp=share_link" TargetMode="External"/><Relationship Id="rId909" Type="http://schemas.openxmlformats.org/officeDocument/2006/relationships/hyperlink" Target="https://drive.google.com/drive/folders/10T2cTQHqEJZqE-st6uFKPoI?usp=share_link" TargetMode="External"/><Relationship Id="rId908" Type="http://schemas.openxmlformats.org/officeDocument/2006/relationships/hyperlink" Target="https://drive.google.com/drive/folders/10T2cTQHqEJZqE-st6uFKPoI?usp=share_link" TargetMode="External"/><Relationship Id="rId903" Type="http://schemas.openxmlformats.org/officeDocument/2006/relationships/hyperlink" Target="https://drive.google.com/drive/folders/10T2cTQHqEJZqE-st6uFKPoI?usp=share_link" TargetMode="External"/><Relationship Id="rId902" Type="http://schemas.openxmlformats.org/officeDocument/2006/relationships/hyperlink" Target="https://drive.google.com/drive/folders/10T2cTQHqEJZqE-st6uFKPoI?usp=share_link" TargetMode="External"/><Relationship Id="rId901" Type="http://schemas.openxmlformats.org/officeDocument/2006/relationships/hyperlink" Target="https://drive.google.com/drive/folders/10T2cTQHqEJZqE-st6uFKPoI?usp=share_link" TargetMode="External"/><Relationship Id="rId900" Type="http://schemas.openxmlformats.org/officeDocument/2006/relationships/hyperlink" Target="https://drive.google.com/drive/folders/10T2cTQHqEJZqE-st6uFKPoI?usp=share_link" TargetMode="External"/><Relationship Id="rId2930" Type="http://schemas.openxmlformats.org/officeDocument/2006/relationships/hyperlink" Target="https://drive.google.com/drive/folders/10T2cTQHqEJZqE-st6uFKPoI?usp=share_link" TargetMode="External"/><Relationship Id="rId1600" Type="http://schemas.openxmlformats.org/officeDocument/2006/relationships/hyperlink" Target="https://drive.google.com/drive/folders/10T2cTQHqEJZqE-st6uFKPoI?usp=share_link" TargetMode="External"/><Relationship Id="rId2931" Type="http://schemas.openxmlformats.org/officeDocument/2006/relationships/hyperlink" Target="https://drive.google.com/drive/folders/10T2cTQHqEJZqE-st6uFKPoI?usp=share_link" TargetMode="External"/><Relationship Id="rId1601" Type="http://schemas.openxmlformats.org/officeDocument/2006/relationships/hyperlink" Target="https://drive.google.com/drive/folders/10T2cTQHqEJZqE-st6uFKPoI?usp=share_link" TargetMode="External"/><Relationship Id="rId2932" Type="http://schemas.openxmlformats.org/officeDocument/2006/relationships/hyperlink" Target="https://drive.google.com/drive/folders/10T2cTQHqEJZqE-st6uFKPoI?usp=share_link" TargetMode="External"/><Relationship Id="rId1602" Type="http://schemas.openxmlformats.org/officeDocument/2006/relationships/hyperlink" Target="https://drive.google.com/drive/folders/10T2cTQHqEJZqE-st6uFKPoI?usp=share_link" TargetMode="External"/><Relationship Id="rId2933" Type="http://schemas.openxmlformats.org/officeDocument/2006/relationships/hyperlink" Target="https://drive.google.com/drive/folders/10T2cTQHqEJZqE-st6uFKPoI?usp=share_link" TargetMode="External"/><Relationship Id="rId1603" Type="http://schemas.openxmlformats.org/officeDocument/2006/relationships/hyperlink" Target="https://drive.google.com/drive/folders/10T2cTQHqEJZqE-st6uFKPoI?usp=share_link" TargetMode="External"/><Relationship Id="rId2934" Type="http://schemas.openxmlformats.org/officeDocument/2006/relationships/hyperlink" Target="https://drive.google.com/drive/folders/10T2cTQHqEJZqE-st6uFKPoI?usp=share_link" TargetMode="External"/><Relationship Id="rId1604" Type="http://schemas.openxmlformats.org/officeDocument/2006/relationships/hyperlink" Target="https://drive.google.com/drive/folders/10T2cTQHqEJZqE-st6uFKPoI?usp=share_link" TargetMode="External"/><Relationship Id="rId2935" Type="http://schemas.openxmlformats.org/officeDocument/2006/relationships/hyperlink" Target="https://drive.google.com/drive/folders/10T2cTQHqEJZqE-st6uFKPoI?usp=share_link" TargetMode="External"/><Relationship Id="rId1605" Type="http://schemas.openxmlformats.org/officeDocument/2006/relationships/hyperlink" Target="https://drive.google.com/drive/folders/10T2cTQHqEJZqE-st6uFKPoI?usp=share_link" TargetMode="External"/><Relationship Id="rId2936" Type="http://schemas.openxmlformats.org/officeDocument/2006/relationships/hyperlink" Target="https://drive.google.com/drive/folders/10T2cTQHqEJZqE-st6uFKPoI?usp=share_link" TargetMode="External"/><Relationship Id="rId1606" Type="http://schemas.openxmlformats.org/officeDocument/2006/relationships/hyperlink" Target="https://drive.google.com/drive/folders/10T2cTQHqEJZqE-st6uFKPoI?usp=share_link" TargetMode="External"/><Relationship Id="rId2937" Type="http://schemas.openxmlformats.org/officeDocument/2006/relationships/hyperlink" Target="https://drive.google.com/drive/folders/10T2cTQHqEJZqE-st6uFKPoI?usp=share_link" TargetMode="External"/><Relationship Id="rId1607" Type="http://schemas.openxmlformats.org/officeDocument/2006/relationships/hyperlink" Target="https://drive.google.com/drive/folders/10T2cTQHqEJZqE-st6uFKPoI?usp=share_link" TargetMode="External"/><Relationship Id="rId2938" Type="http://schemas.openxmlformats.org/officeDocument/2006/relationships/hyperlink" Target="https://drive.google.com/drive/folders/10T2cTQHqEJZqE-st6uFKPoI?usp=share_link" TargetMode="External"/><Relationship Id="rId1608" Type="http://schemas.openxmlformats.org/officeDocument/2006/relationships/hyperlink" Target="https://drive.google.com/drive/folders/10T2cTQHqEJZqE-st6uFKPoI?usp=share_link" TargetMode="External"/><Relationship Id="rId2939" Type="http://schemas.openxmlformats.org/officeDocument/2006/relationships/hyperlink" Target="https://drive.google.com/drive/folders/10T2cTQHqEJZqE-st6uFKPoI?usp=share_link" TargetMode="External"/><Relationship Id="rId1609" Type="http://schemas.openxmlformats.org/officeDocument/2006/relationships/hyperlink" Target="https://drive.google.com/drive/folders/10T2cTQHqEJZqE-st6uFKPoI?usp=share_link" TargetMode="External"/><Relationship Id="rId1631" Type="http://schemas.openxmlformats.org/officeDocument/2006/relationships/hyperlink" Target="https://drive.google.com/drive/folders/10T2cTQHqEJZqE-st6uFKPoI?usp=share_link" TargetMode="External"/><Relationship Id="rId2962" Type="http://schemas.openxmlformats.org/officeDocument/2006/relationships/hyperlink" Target="https://drive.google.com/drive/folders/10T2cTQHqEJZqE-st6uFKPoI?usp=share_link" TargetMode="External"/><Relationship Id="rId1632" Type="http://schemas.openxmlformats.org/officeDocument/2006/relationships/hyperlink" Target="https://drive.google.com/drive/folders/10T2cTQHqEJZqE-st6uFKPoI?usp=share_link" TargetMode="External"/><Relationship Id="rId2963" Type="http://schemas.openxmlformats.org/officeDocument/2006/relationships/hyperlink" Target="https://drive.google.com/drive/folders/10T2cTQHqEJZqE-st6uFKPoI?usp=share_link" TargetMode="External"/><Relationship Id="rId1633" Type="http://schemas.openxmlformats.org/officeDocument/2006/relationships/hyperlink" Target="https://drive.google.com/drive/folders/10T2cTQHqEJZqE-st6uFKPoI?usp=share_link" TargetMode="External"/><Relationship Id="rId2964" Type="http://schemas.openxmlformats.org/officeDocument/2006/relationships/hyperlink" Target="https://drive.google.com/drive/folders/10T2cTQHqEJZqE-st6uFKPoI?usp=share_link" TargetMode="External"/><Relationship Id="rId1634" Type="http://schemas.openxmlformats.org/officeDocument/2006/relationships/hyperlink" Target="https://drive.google.com/drive/folders/10T2cTQHqEJZqE-st6uFKPoI?usp=share_link" TargetMode="External"/><Relationship Id="rId2965" Type="http://schemas.openxmlformats.org/officeDocument/2006/relationships/hyperlink" Target="https://drive.google.com/drive/folders/10T2cTQHqEJZqE-st6uFKPoI?usp=share_link" TargetMode="External"/><Relationship Id="rId1635" Type="http://schemas.openxmlformats.org/officeDocument/2006/relationships/hyperlink" Target="https://drive.google.com/drive/folders/10T2cTQHqEJZqE-st6uFKPoI?usp=share_link" TargetMode="External"/><Relationship Id="rId2966" Type="http://schemas.openxmlformats.org/officeDocument/2006/relationships/hyperlink" Target="https://drive.google.com/drive/folders/10T2cTQHqEJZqE-st6uFKPoI?usp=share_link" TargetMode="External"/><Relationship Id="rId1636" Type="http://schemas.openxmlformats.org/officeDocument/2006/relationships/hyperlink" Target="https://drive.google.com/drive/folders/10T2cTQHqEJZqE-st6uFKPoI?usp=share_link" TargetMode="External"/><Relationship Id="rId2967" Type="http://schemas.openxmlformats.org/officeDocument/2006/relationships/hyperlink" Target="https://drive.google.com/drive/folders/10T2cTQHqEJZqE-st6uFKPoI?usp=share_link" TargetMode="External"/><Relationship Id="rId1637" Type="http://schemas.openxmlformats.org/officeDocument/2006/relationships/hyperlink" Target="https://drive.google.com/drive/folders/10T2cTQHqEJZqE-st6uFKPoI?usp=share_link" TargetMode="External"/><Relationship Id="rId2968" Type="http://schemas.openxmlformats.org/officeDocument/2006/relationships/hyperlink" Target="https://drive.google.com/drive/folders/10T2cTQHqEJZqE-st6uFKPoI?usp=share_link" TargetMode="External"/><Relationship Id="rId1638" Type="http://schemas.openxmlformats.org/officeDocument/2006/relationships/hyperlink" Target="https://drive.google.com/drive/folders/10T2cTQHqEJZqE-st6uFKPoI?usp=share_link" TargetMode="External"/><Relationship Id="rId2969" Type="http://schemas.openxmlformats.org/officeDocument/2006/relationships/hyperlink" Target="https://drive.google.com/drive/folders/10T2cTQHqEJZqE-st6uFKPoI?usp=share_link" TargetMode="External"/><Relationship Id="rId929" Type="http://schemas.openxmlformats.org/officeDocument/2006/relationships/hyperlink" Target="https://drive.google.com/drive/folders/10T2cTQHqEJZqE-st6uFKPoI?usp=share_link" TargetMode="External"/><Relationship Id="rId1639" Type="http://schemas.openxmlformats.org/officeDocument/2006/relationships/hyperlink" Target="https://drive.google.com/drive/folders/10T2cTQHqEJZqE-st6uFKPoI?usp=share_link" TargetMode="External"/><Relationship Id="rId928" Type="http://schemas.openxmlformats.org/officeDocument/2006/relationships/hyperlink" Target="https://drive.google.com/drive/folders/10T2cTQHqEJZqE-st6uFKPoI?usp=share_link" TargetMode="External"/><Relationship Id="rId927" Type="http://schemas.openxmlformats.org/officeDocument/2006/relationships/hyperlink" Target="https://drive.google.com/drive/folders/10T2cTQHqEJZqE-st6uFKPoI?usp=share_link" TargetMode="External"/><Relationship Id="rId926" Type="http://schemas.openxmlformats.org/officeDocument/2006/relationships/hyperlink" Target="https://drive.google.com/drive/folders/10T2cTQHqEJZqE-st6uFKPoI?usp=share_link" TargetMode="External"/><Relationship Id="rId921" Type="http://schemas.openxmlformats.org/officeDocument/2006/relationships/hyperlink" Target="https://drive.google.com/drive/folders/10T2cTQHqEJZqE-st6uFKPoI?usp=share_link" TargetMode="External"/><Relationship Id="rId920" Type="http://schemas.openxmlformats.org/officeDocument/2006/relationships/hyperlink" Target="https://drive.google.com/drive/folders/10T2cTQHqEJZqE-st6uFKPoI?usp=share_link" TargetMode="External"/><Relationship Id="rId925" Type="http://schemas.openxmlformats.org/officeDocument/2006/relationships/hyperlink" Target="https://drive.google.com/drive/folders/10T2cTQHqEJZqE-st6uFKPoI?usp=share_link" TargetMode="External"/><Relationship Id="rId924" Type="http://schemas.openxmlformats.org/officeDocument/2006/relationships/hyperlink" Target="https://drive.google.com/drive/folders/10T2cTQHqEJZqE-st6uFKPoI?usp=share_link" TargetMode="External"/><Relationship Id="rId923" Type="http://schemas.openxmlformats.org/officeDocument/2006/relationships/hyperlink" Target="https://drive.google.com/drive/folders/10T2cTQHqEJZqE-st6uFKPoI?usp=share_link" TargetMode="External"/><Relationship Id="rId922" Type="http://schemas.openxmlformats.org/officeDocument/2006/relationships/hyperlink" Target="https://drive.google.com/drive/folders/10T2cTQHqEJZqE-st6uFKPoI?usp=share_link" TargetMode="External"/><Relationship Id="rId2960" Type="http://schemas.openxmlformats.org/officeDocument/2006/relationships/hyperlink" Target="https://drive.google.com/drive/folders/10T2cTQHqEJZqE-st6uFKPoI?usp=share_link" TargetMode="External"/><Relationship Id="rId1630" Type="http://schemas.openxmlformats.org/officeDocument/2006/relationships/hyperlink" Target="https://drive.google.com/drive/folders/10T2cTQHqEJZqE-st6uFKPoI?usp=share_link" TargetMode="External"/><Relationship Id="rId2961" Type="http://schemas.openxmlformats.org/officeDocument/2006/relationships/hyperlink" Target="https://drive.google.com/drive/folders/10T2cTQHqEJZqE-st6uFKPoI?usp=share_link" TargetMode="External"/><Relationship Id="rId1620" Type="http://schemas.openxmlformats.org/officeDocument/2006/relationships/hyperlink" Target="https://drive.google.com/drive/folders/10T2cTQHqEJZqE-st6uFKPoI?usp=share_link" TargetMode="External"/><Relationship Id="rId2951" Type="http://schemas.openxmlformats.org/officeDocument/2006/relationships/hyperlink" Target="https://drive.google.com/drive/folders/10T2cTQHqEJZqE-st6uFKPoI?usp=share_link" TargetMode="External"/><Relationship Id="rId1621" Type="http://schemas.openxmlformats.org/officeDocument/2006/relationships/hyperlink" Target="https://drive.google.com/drive/folders/10T2cTQHqEJZqE-st6uFKPoI?usp=share_link" TargetMode="External"/><Relationship Id="rId2952" Type="http://schemas.openxmlformats.org/officeDocument/2006/relationships/hyperlink" Target="https://drive.google.com/drive/folders/10T2cTQHqEJZqE-st6uFKPoI?usp=share_link" TargetMode="External"/><Relationship Id="rId1622" Type="http://schemas.openxmlformats.org/officeDocument/2006/relationships/hyperlink" Target="https://drive.google.com/drive/folders/10T2cTQHqEJZqE-st6uFKPoI?usp=share_link" TargetMode="External"/><Relationship Id="rId2953" Type="http://schemas.openxmlformats.org/officeDocument/2006/relationships/hyperlink" Target="https://drive.google.com/drive/folders/10T2cTQHqEJZqE-st6uFKPoI?usp=share_link" TargetMode="External"/><Relationship Id="rId1623" Type="http://schemas.openxmlformats.org/officeDocument/2006/relationships/hyperlink" Target="https://drive.google.com/drive/folders/10T2cTQHqEJZqE-st6uFKPoI?usp=share_link" TargetMode="External"/><Relationship Id="rId2954" Type="http://schemas.openxmlformats.org/officeDocument/2006/relationships/hyperlink" Target="https://drive.google.com/drive/folders/10T2cTQHqEJZqE-st6uFKPoI?usp=share_link" TargetMode="External"/><Relationship Id="rId1624" Type="http://schemas.openxmlformats.org/officeDocument/2006/relationships/hyperlink" Target="https://drive.google.com/drive/folders/10T2cTQHqEJZqE-st6uFKPoI?usp=share_link" TargetMode="External"/><Relationship Id="rId2955" Type="http://schemas.openxmlformats.org/officeDocument/2006/relationships/hyperlink" Target="https://drive.google.com/drive/folders/10T2cTQHqEJZqE-st6uFKPoI?usp=share_link" TargetMode="External"/><Relationship Id="rId1625" Type="http://schemas.openxmlformats.org/officeDocument/2006/relationships/hyperlink" Target="https://drive.google.com/drive/folders/10T2cTQHqEJZqE-st6uFKPoI?usp=share_link" TargetMode="External"/><Relationship Id="rId2956" Type="http://schemas.openxmlformats.org/officeDocument/2006/relationships/hyperlink" Target="https://drive.google.com/drive/folders/10T2cTQHqEJZqE-st6uFKPoI?usp=share_link" TargetMode="External"/><Relationship Id="rId1626" Type="http://schemas.openxmlformats.org/officeDocument/2006/relationships/hyperlink" Target="https://drive.google.com/drive/folders/10T2cTQHqEJZqE-st6uFKPoI?usp=share_link" TargetMode="External"/><Relationship Id="rId2957" Type="http://schemas.openxmlformats.org/officeDocument/2006/relationships/hyperlink" Target="https://drive.google.com/drive/folders/10T2cTQHqEJZqE-st6uFKPoI?usp=share_link" TargetMode="External"/><Relationship Id="rId1627" Type="http://schemas.openxmlformats.org/officeDocument/2006/relationships/hyperlink" Target="https://drive.google.com/drive/folders/10T2cTQHqEJZqE-st6uFKPoI?usp=share_link" TargetMode="External"/><Relationship Id="rId2958" Type="http://schemas.openxmlformats.org/officeDocument/2006/relationships/hyperlink" Target="https://drive.google.com/drive/folders/10T2cTQHqEJZqE-st6uFKPoI?usp=share_link" TargetMode="External"/><Relationship Id="rId918" Type="http://schemas.openxmlformats.org/officeDocument/2006/relationships/hyperlink" Target="https://drive.google.com/drive/folders/10T2cTQHqEJZqE-st6uFKPoI?usp=share_link" TargetMode="External"/><Relationship Id="rId1628" Type="http://schemas.openxmlformats.org/officeDocument/2006/relationships/hyperlink" Target="https://drive.google.com/drive/folders/10T2cTQHqEJZqE-st6uFKPoI?usp=share_link" TargetMode="External"/><Relationship Id="rId2959" Type="http://schemas.openxmlformats.org/officeDocument/2006/relationships/hyperlink" Target="https://drive.google.com/drive/folders/10T2cTQHqEJZqE-st6uFKPoI?usp=share_link" TargetMode="External"/><Relationship Id="rId917" Type="http://schemas.openxmlformats.org/officeDocument/2006/relationships/hyperlink" Target="https://drive.google.com/drive/folders/10T2cTQHqEJZqE-st6uFKPoI?usp=share_link" TargetMode="External"/><Relationship Id="rId1629" Type="http://schemas.openxmlformats.org/officeDocument/2006/relationships/hyperlink" Target="https://drive.google.com/drive/folders/10T2cTQHqEJZqE-st6uFKPoI?usp=share_link" TargetMode="External"/><Relationship Id="rId916" Type="http://schemas.openxmlformats.org/officeDocument/2006/relationships/hyperlink" Target="https://drive.google.com/drive/folders/10T2cTQHqEJZqE-st6uFKPoI?usp=share_link" TargetMode="External"/><Relationship Id="rId915" Type="http://schemas.openxmlformats.org/officeDocument/2006/relationships/hyperlink" Target="https://drive.google.com/drive/folders/10T2cTQHqEJZqE-st6uFKPoI?usp=share_link" TargetMode="External"/><Relationship Id="rId919" Type="http://schemas.openxmlformats.org/officeDocument/2006/relationships/hyperlink" Target="https://drive.google.com/drive/folders/10T2cTQHqEJZqE-st6uFKPoI?usp=share_link" TargetMode="External"/><Relationship Id="rId910" Type="http://schemas.openxmlformats.org/officeDocument/2006/relationships/hyperlink" Target="https://drive.google.com/drive/folders/10T2cTQHqEJZqE-st6uFKPoI?usp=share_link" TargetMode="External"/><Relationship Id="rId914" Type="http://schemas.openxmlformats.org/officeDocument/2006/relationships/hyperlink" Target="https://drive.google.com/drive/folders/10T2cTQHqEJZqE-st6uFKPoI?usp=share_link" TargetMode="External"/><Relationship Id="rId913" Type="http://schemas.openxmlformats.org/officeDocument/2006/relationships/hyperlink" Target="https://drive.google.com/drive/folders/10T2cTQHqEJZqE-st6uFKPoI?usp=share_link" TargetMode="External"/><Relationship Id="rId912" Type="http://schemas.openxmlformats.org/officeDocument/2006/relationships/hyperlink" Target="https://drive.google.com/drive/folders/10T2cTQHqEJZqE-st6uFKPoI?usp=share_link" TargetMode="External"/><Relationship Id="rId911" Type="http://schemas.openxmlformats.org/officeDocument/2006/relationships/hyperlink" Target="https://drive.google.com/drive/folders/10T2cTQHqEJZqE-st6uFKPoI?usp=share_link" TargetMode="External"/><Relationship Id="rId2950" Type="http://schemas.openxmlformats.org/officeDocument/2006/relationships/hyperlink" Target="https://drive.google.com/drive/folders/10T2cTQHqEJZqE-st6uFKPoI?usp=share_link" TargetMode="External"/><Relationship Id="rId2900" Type="http://schemas.openxmlformats.org/officeDocument/2006/relationships/hyperlink" Target="https://drive.google.com/drive/folders/10T2cTQHqEJZqE-st6uFKPoI?usp=share_link" TargetMode="External"/><Relationship Id="rId2901" Type="http://schemas.openxmlformats.org/officeDocument/2006/relationships/hyperlink" Target="https://drive.google.com/drive/folders/10T2cTQHqEJZqE-st6uFKPoI?usp=share_link" TargetMode="External"/><Relationship Id="rId2902" Type="http://schemas.openxmlformats.org/officeDocument/2006/relationships/hyperlink" Target="https://drive.google.com/drive/folders/10T2cTQHqEJZqE-st6uFKPoI?usp=share_link" TargetMode="External"/><Relationship Id="rId2903" Type="http://schemas.openxmlformats.org/officeDocument/2006/relationships/hyperlink" Target="https://drive.google.com/drive/folders/10T2cTQHqEJZqE-st6uFKPoI?usp=share_link" TargetMode="External"/><Relationship Id="rId2904" Type="http://schemas.openxmlformats.org/officeDocument/2006/relationships/hyperlink" Target="https://drive.google.com/drive/folders/10T2cTQHqEJZqE-st6uFKPoI?usp=share_link" TargetMode="External"/><Relationship Id="rId2905" Type="http://schemas.openxmlformats.org/officeDocument/2006/relationships/hyperlink" Target="https://drive.google.com/drive/folders/10T2cTQHqEJZqE-st6uFKPoI?usp=share_link" TargetMode="External"/><Relationship Id="rId2906" Type="http://schemas.openxmlformats.org/officeDocument/2006/relationships/hyperlink" Target="https://drive.google.com/drive/folders/10T2cTQHqEJZqE-st6uFKPoI?usp=share_link" TargetMode="External"/><Relationship Id="rId2907" Type="http://schemas.openxmlformats.org/officeDocument/2006/relationships/hyperlink" Target="https://drive.google.com/drive/folders/10T2cTQHqEJZqE-st6uFKPoI?usp=share_link" TargetMode="External"/><Relationship Id="rId2908" Type="http://schemas.openxmlformats.org/officeDocument/2006/relationships/hyperlink" Target="https://drive.google.com/drive/folders/10T2cTQHqEJZqE-st6uFKPoI?usp=share_link" TargetMode="External"/><Relationship Id="rId2909" Type="http://schemas.openxmlformats.org/officeDocument/2006/relationships/hyperlink" Target="https://drive.google.com/drive/folders/10T2cTQHqEJZqE-st6uFKPoI?usp=share_link" TargetMode="External"/><Relationship Id="rId5170" Type="http://schemas.openxmlformats.org/officeDocument/2006/relationships/hyperlink" Target="https://drive.google.com/drive/folders/10T2cTQHqEJZqE-st6uFKPoI?usp=share_link" TargetMode="External"/><Relationship Id="rId5171" Type="http://schemas.openxmlformats.org/officeDocument/2006/relationships/hyperlink" Target="https://drive.google.com/drive/folders/10T2cTQHqEJZqE-st6uFKPoI?usp=share_link" TargetMode="External"/><Relationship Id="rId5174" Type="http://schemas.openxmlformats.org/officeDocument/2006/relationships/hyperlink" Target="https://drive.google.com/drive/folders/10T2cTQHqEJZqE-st6uFKPoI?usp=share_link" TargetMode="External"/><Relationship Id="rId5175" Type="http://schemas.openxmlformats.org/officeDocument/2006/relationships/hyperlink" Target="https://drive.google.com/drive/folders/10T2cTQHqEJZqE-st6uFKPoI?usp=share_link" TargetMode="External"/><Relationship Id="rId5172" Type="http://schemas.openxmlformats.org/officeDocument/2006/relationships/hyperlink" Target="https://drive.google.com/drive/folders/10T2cTQHqEJZqE-st6uFKPoI?usp=share_link" TargetMode="External"/><Relationship Id="rId5173" Type="http://schemas.openxmlformats.org/officeDocument/2006/relationships/hyperlink" Target="https://drive.google.com/drive/folders/10T2cTQHqEJZqE-st6uFKPoI?usp=share_link" TargetMode="External"/><Relationship Id="rId5178" Type="http://schemas.openxmlformats.org/officeDocument/2006/relationships/hyperlink" Target="https://drive.google.com/drive/folders/10T2cTQHqEJZqE-st6uFKPoI?usp=share_link" TargetMode="External"/><Relationship Id="rId5179" Type="http://schemas.openxmlformats.org/officeDocument/2006/relationships/hyperlink" Target="https://drive.google.com/drive/folders/10T2cTQHqEJZqE-st6uFKPoI?usp=share_link" TargetMode="External"/><Relationship Id="rId5176" Type="http://schemas.openxmlformats.org/officeDocument/2006/relationships/hyperlink" Target="https://drive.google.com/drive/folders/10T2cTQHqEJZqE-st6uFKPoI?usp=share_link" TargetMode="External"/><Relationship Id="rId5177" Type="http://schemas.openxmlformats.org/officeDocument/2006/relationships/hyperlink" Target="https://drive.google.com/drive/folders/10T2cTQHqEJZqE-st6uFKPoI?usp=share_link" TargetMode="External"/><Relationship Id="rId5160" Type="http://schemas.openxmlformats.org/officeDocument/2006/relationships/hyperlink" Target="https://drive.google.com/drive/folders/10T2cTQHqEJZqE-st6uFKPoI?usp=share_link" TargetMode="External"/><Relationship Id="rId5163" Type="http://schemas.openxmlformats.org/officeDocument/2006/relationships/hyperlink" Target="https://drive.google.com/drive/folders/10T2cTQHqEJZqE-st6uFKPoI?usp=share_link" TargetMode="External"/><Relationship Id="rId5164" Type="http://schemas.openxmlformats.org/officeDocument/2006/relationships/hyperlink" Target="https://drive.google.com/drive/folders/10T2cTQHqEJZqE-st6uFKPoI?usp=share_link" TargetMode="External"/><Relationship Id="rId5161" Type="http://schemas.openxmlformats.org/officeDocument/2006/relationships/hyperlink" Target="https://drive.google.com/drive/folders/10T2cTQHqEJZqE-st6uFKPoI?usp=share_link" TargetMode="External"/><Relationship Id="rId5162" Type="http://schemas.openxmlformats.org/officeDocument/2006/relationships/hyperlink" Target="https://drive.google.com/drive/folders/10T2cTQHqEJZqE-st6uFKPoI?usp=share_link" TargetMode="External"/><Relationship Id="rId5167" Type="http://schemas.openxmlformats.org/officeDocument/2006/relationships/hyperlink" Target="https://drive.google.com/drive/folders/10T2cTQHqEJZqE-st6uFKPoI?usp=share_link" TargetMode="External"/><Relationship Id="rId5168" Type="http://schemas.openxmlformats.org/officeDocument/2006/relationships/hyperlink" Target="https://drive.google.com/drive/folders/10T2cTQHqEJZqE-st6uFKPoI?usp=share_link" TargetMode="External"/><Relationship Id="rId5165" Type="http://schemas.openxmlformats.org/officeDocument/2006/relationships/hyperlink" Target="https://drive.google.com/drive/folders/10T2cTQHqEJZqE-st6uFKPoI?usp=share_link" TargetMode="External"/><Relationship Id="rId5166" Type="http://schemas.openxmlformats.org/officeDocument/2006/relationships/hyperlink" Target="https://drive.google.com/drive/folders/10T2cTQHqEJZqE-st6uFKPoI?usp=share_link" TargetMode="External"/><Relationship Id="rId5169" Type="http://schemas.openxmlformats.org/officeDocument/2006/relationships/hyperlink" Target="https://drive.google.com/drive/folders/10T2cTQHqEJZqE-st6uFKPoI?usp=share_link" TargetMode="External"/><Relationship Id="rId2920" Type="http://schemas.openxmlformats.org/officeDocument/2006/relationships/hyperlink" Target="https://drive.google.com/drive/folders/10T2cTQHqEJZqE-st6uFKPoI?usp=share_link" TargetMode="External"/><Relationship Id="rId2921" Type="http://schemas.openxmlformats.org/officeDocument/2006/relationships/hyperlink" Target="https://drive.google.com/drive/folders/10T2cTQHqEJZqE-st6uFKPoI?usp=share_link" TargetMode="External"/><Relationship Id="rId2922" Type="http://schemas.openxmlformats.org/officeDocument/2006/relationships/hyperlink" Target="https://drive.google.com/drive/folders/10T2cTQHqEJZqE-st6uFKPoI?usp=share_link" TargetMode="External"/><Relationship Id="rId2923" Type="http://schemas.openxmlformats.org/officeDocument/2006/relationships/hyperlink" Target="https://drive.google.com/drive/folders/10T2cTQHqEJZqE-st6uFKPoI?usp=share_link" TargetMode="External"/><Relationship Id="rId2924" Type="http://schemas.openxmlformats.org/officeDocument/2006/relationships/hyperlink" Target="https://drive.google.com/drive/folders/10T2cTQHqEJZqE-st6uFKPoI?usp=share_link" TargetMode="External"/><Relationship Id="rId2925" Type="http://schemas.openxmlformats.org/officeDocument/2006/relationships/hyperlink" Target="https://drive.google.com/drive/folders/10T2cTQHqEJZqE-st6uFKPoI?usp=share_link" TargetMode="External"/><Relationship Id="rId2926" Type="http://schemas.openxmlformats.org/officeDocument/2006/relationships/hyperlink" Target="https://drive.google.com/drive/folders/10T2cTQHqEJZqE-st6uFKPoI?usp=share_link" TargetMode="External"/><Relationship Id="rId2927" Type="http://schemas.openxmlformats.org/officeDocument/2006/relationships/hyperlink" Target="https://drive.google.com/drive/folders/10T2cTQHqEJZqE-st6uFKPoI?usp=share_link" TargetMode="External"/><Relationship Id="rId2928" Type="http://schemas.openxmlformats.org/officeDocument/2006/relationships/hyperlink" Target="https://drive.google.com/drive/folders/10T2cTQHqEJZqE-st6uFKPoI?usp=share_link" TargetMode="External"/><Relationship Id="rId2929" Type="http://schemas.openxmlformats.org/officeDocument/2006/relationships/hyperlink" Target="https://drive.google.com/drive/folders/10T2cTQHqEJZqE-st6uFKPoI?usp=share_link" TargetMode="External"/><Relationship Id="rId5192" Type="http://schemas.openxmlformats.org/officeDocument/2006/relationships/hyperlink" Target="https://drive.google.com/drive/folders/10T2cTQHqEJZqE-st6uFKPoI?usp=share_link" TargetMode="External"/><Relationship Id="rId5193" Type="http://schemas.openxmlformats.org/officeDocument/2006/relationships/hyperlink" Target="https://drive.google.com/drive/folders/10T2cTQHqEJZqE-st6uFKPoI?usp=share_link" TargetMode="External"/><Relationship Id="rId5190" Type="http://schemas.openxmlformats.org/officeDocument/2006/relationships/hyperlink" Target="https://drive.google.com/drive/folders/10T2cTQHqEJZqE-st6uFKPoI?usp=share_link" TargetMode="External"/><Relationship Id="rId5191" Type="http://schemas.openxmlformats.org/officeDocument/2006/relationships/hyperlink" Target="https://drive.google.com/drive/folders/10T2cTQHqEJZqE-st6uFKPoI?usp=share_link" TargetMode="External"/><Relationship Id="rId5196" Type="http://schemas.openxmlformats.org/officeDocument/2006/relationships/hyperlink" Target="https://drive.google.com/drive/folders/10T2cTQHqEJZqE-st6uFKPoI?usp=share_link" TargetMode="External"/><Relationship Id="rId5197" Type="http://schemas.openxmlformats.org/officeDocument/2006/relationships/hyperlink" Target="https://drive.google.com/drive/folders/10T2cTQHqEJZqE-st6uFKPoI?usp=share_link" TargetMode="External"/><Relationship Id="rId5194" Type="http://schemas.openxmlformats.org/officeDocument/2006/relationships/hyperlink" Target="https://drive.google.com/drive/folders/10T2cTQHqEJZqE-st6uFKPoI?usp=share_link" TargetMode="External"/><Relationship Id="rId5195" Type="http://schemas.openxmlformats.org/officeDocument/2006/relationships/hyperlink" Target="https://drive.google.com/drive/folders/10T2cTQHqEJZqE-st6uFKPoI?usp=share_link" TargetMode="External"/><Relationship Id="rId5198" Type="http://schemas.openxmlformats.org/officeDocument/2006/relationships/hyperlink" Target="https://drive.google.com/drive/folders/10T2cTQHqEJZqE-st6uFKPoI?usp=share_link" TargetMode="External"/><Relationship Id="rId5199" Type="http://schemas.openxmlformats.org/officeDocument/2006/relationships/hyperlink" Target="https://drive.google.com/drive/folders/10T2cTQHqEJZqE-st6uFKPoI?usp=share_link" TargetMode="External"/><Relationship Id="rId2910" Type="http://schemas.openxmlformats.org/officeDocument/2006/relationships/hyperlink" Target="https://drive.google.com/drive/folders/10T2cTQHqEJZqE-st6uFKPoI?usp=share_link" TargetMode="External"/><Relationship Id="rId2911" Type="http://schemas.openxmlformats.org/officeDocument/2006/relationships/hyperlink" Target="https://drive.google.com/drive/folders/10T2cTQHqEJZqE-st6uFKPoI?usp=share_link" TargetMode="External"/><Relationship Id="rId2912" Type="http://schemas.openxmlformats.org/officeDocument/2006/relationships/hyperlink" Target="https://drive.google.com/drive/folders/10T2cTQHqEJZqE-st6uFKPoI?usp=share_link" TargetMode="External"/><Relationship Id="rId2913" Type="http://schemas.openxmlformats.org/officeDocument/2006/relationships/hyperlink" Target="https://drive.google.com/drive/folders/10T2cTQHqEJZqE-st6uFKPoI?usp=share_link" TargetMode="External"/><Relationship Id="rId2914" Type="http://schemas.openxmlformats.org/officeDocument/2006/relationships/hyperlink" Target="https://drive.google.com/drive/folders/10T2cTQHqEJZqE-st6uFKPoI?usp=share_link" TargetMode="External"/><Relationship Id="rId2915" Type="http://schemas.openxmlformats.org/officeDocument/2006/relationships/hyperlink" Target="https://drive.google.com/drive/folders/10T2cTQHqEJZqE-st6uFKPoI?usp=share_link" TargetMode="External"/><Relationship Id="rId2916" Type="http://schemas.openxmlformats.org/officeDocument/2006/relationships/hyperlink" Target="https://drive.google.com/drive/folders/10T2cTQHqEJZqE-st6uFKPoI?usp=share_link" TargetMode="External"/><Relationship Id="rId2917" Type="http://schemas.openxmlformats.org/officeDocument/2006/relationships/hyperlink" Target="https://drive.google.com/drive/folders/10T2cTQHqEJZqE-st6uFKPoI?usp=share_link" TargetMode="External"/><Relationship Id="rId2918" Type="http://schemas.openxmlformats.org/officeDocument/2006/relationships/hyperlink" Target="https://drive.google.com/drive/folders/10T2cTQHqEJZqE-st6uFKPoI?usp=share_link" TargetMode="External"/><Relationship Id="rId2919" Type="http://schemas.openxmlformats.org/officeDocument/2006/relationships/hyperlink" Target="https://drive.google.com/drive/folders/10T2cTQHqEJZqE-st6uFKPoI?usp=share_link" TargetMode="External"/><Relationship Id="rId5181" Type="http://schemas.openxmlformats.org/officeDocument/2006/relationships/hyperlink" Target="https://drive.google.com/drive/folders/10T2cTQHqEJZqE-st6uFKPoI?usp=share_link" TargetMode="External"/><Relationship Id="rId5182" Type="http://schemas.openxmlformats.org/officeDocument/2006/relationships/hyperlink" Target="https://drive.google.com/drive/folders/10T2cTQHqEJZqE-st6uFKPoI?usp=share_link" TargetMode="External"/><Relationship Id="rId5180" Type="http://schemas.openxmlformats.org/officeDocument/2006/relationships/hyperlink" Target="https://drive.google.com/drive/folders/10T2cTQHqEJZqE-st6uFKPoI?usp=share_link" TargetMode="External"/><Relationship Id="rId5185" Type="http://schemas.openxmlformats.org/officeDocument/2006/relationships/hyperlink" Target="https://drive.google.com/drive/folders/10T2cTQHqEJZqE-st6uFKPoI?usp=share_link" TargetMode="External"/><Relationship Id="rId5186" Type="http://schemas.openxmlformats.org/officeDocument/2006/relationships/hyperlink" Target="https://drive.google.com/drive/folders/10T2cTQHqEJZqE-st6uFKPoI?usp=share_link" TargetMode="External"/><Relationship Id="rId5183" Type="http://schemas.openxmlformats.org/officeDocument/2006/relationships/hyperlink" Target="https://drive.google.com/drive/folders/10T2cTQHqEJZqE-st6uFKPoI?usp=share_link" TargetMode="External"/><Relationship Id="rId5184" Type="http://schemas.openxmlformats.org/officeDocument/2006/relationships/hyperlink" Target="https://drive.google.com/drive/folders/10T2cTQHqEJZqE-st6uFKPoI?usp=share_link" TargetMode="External"/><Relationship Id="rId5189" Type="http://schemas.openxmlformats.org/officeDocument/2006/relationships/hyperlink" Target="https://drive.google.com/drive/folders/10T2cTQHqEJZqE-st6uFKPoI?usp=share_link" TargetMode="External"/><Relationship Id="rId5187" Type="http://schemas.openxmlformats.org/officeDocument/2006/relationships/hyperlink" Target="https://drive.google.com/drive/folders/10T2cTQHqEJZqE-st6uFKPoI?usp=share_link" TargetMode="External"/><Relationship Id="rId5188" Type="http://schemas.openxmlformats.org/officeDocument/2006/relationships/hyperlink" Target="https://drive.google.com/drive/folders/10T2cTQHqEJZqE-st6uFKPoI?usp=share_link" TargetMode="External"/><Relationship Id="rId1697" Type="http://schemas.openxmlformats.org/officeDocument/2006/relationships/hyperlink" Target="https://drive.google.com/drive/folders/10T2cTQHqEJZqE-st6uFKPoI?usp=share_link" TargetMode="External"/><Relationship Id="rId4723" Type="http://schemas.openxmlformats.org/officeDocument/2006/relationships/hyperlink" Target="https://drive.google.com/drive/folders/10T2cTQHqEJZqE-st6uFKPoI?usp=share_link" TargetMode="External"/><Relationship Id="rId1698" Type="http://schemas.openxmlformats.org/officeDocument/2006/relationships/hyperlink" Target="https://drive.google.com/drive/folders/10T2cTQHqEJZqE-st6uFKPoI?usp=share_link" TargetMode="External"/><Relationship Id="rId4722" Type="http://schemas.openxmlformats.org/officeDocument/2006/relationships/hyperlink" Target="https://drive.google.com/drive/folders/10T2cTQHqEJZqE-st6uFKPoI?usp=share_link" TargetMode="External"/><Relationship Id="rId1699" Type="http://schemas.openxmlformats.org/officeDocument/2006/relationships/hyperlink" Target="https://drive.google.com/drive/folders/10T2cTQHqEJZqE-st6uFKPoI?usp=share_link" TargetMode="External"/><Relationship Id="rId4725" Type="http://schemas.openxmlformats.org/officeDocument/2006/relationships/hyperlink" Target="https://drive.google.com/drive/folders/10T2cTQHqEJZqE-st6uFKPoI?usp=share_link" TargetMode="External"/><Relationship Id="rId4724" Type="http://schemas.openxmlformats.org/officeDocument/2006/relationships/hyperlink" Target="https://drive.google.com/drive/folders/10T2cTQHqEJZqE-st6uFKPoI?usp=share_link" TargetMode="External"/><Relationship Id="rId4727" Type="http://schemas.openxmlformats.org/officeDocument/2006/relationships/hyperlink" Target="https://drive.google.com/drive/folders/10T2cTQHqEJZqE-st6uFKPoI?usp=share_link" TargetMode="External"/><Relationship Id="rId4726" Type="http://schemas.openxmlformats.org/officeDocument/2006/relationships/hyperlink" Target="https://drive.google.com/drive/folders/10T2cTQHqEJZqE-st6uFKPoI?usp=share_link" TargetMode="External"/><Relationship Id="rId4729" Type="http://schemas.openxmlformats.org/officeDocument/2006/relationships/hyperlink" Target="https://drive.google.com/drive/folders/10T2cTQHqEJZqE-st6uFKPoI?usp=share_link" TargetMode="External"/><Relationship Id="rId4728" Type="http://schemas.openxmlformats.org/officeDocument/2006/relationships/hyperlink" Target="https://drive.google.com/drive/folders/10T2cTQHqEJZqE-st6uFKPoI?usp=share_link" TargetMode="External"/><Relationship Id="rId866" Type="http://schemas.openxmlformats.org/officeDocument/2006/relationships/hyperlink" Target="https://drive.google.com/drive/folders/10T2cTQHqEJZqE-st6uFKPoI?usp=share_link" TargetMode="External"/><Relationship Id="rId865" Type="http://schemas.openxmlformats.org/officeDocument/2006/relationships/hyperlink" Target="https://drive.google.com/drive/folders/10T2cTQHqEJZqE-st6uFKPoI?usp=share_link" TargetMode="External"/><Relationship Id="rId864" Type="http://schemas.openxmlformats.org/officeDocument/2006/relationships/hyperlink" Target="https://drive.google.com/drive/folders/10T2cTQHqEJZqE-st6uFKPoI?usp=share_link" TargetMode="External"/><Relationship Id="rId863" Type="http://schemas.openxmlformats.org/officeDocument/2006/relationships/hyperlink" Target="https://drive.google.com/drive/folders/10T2cTQHqEJZqE-st6uFKPoI?usp=share_link" TargetMode="External"/><Relationship Id="rId869" Type="http://schemas.openxmlformats.org/officeDocument/2006/relationships/hyperlink" Target="https://drive.google.com/drive/folders/10T2cTQHqEJZqE-st6uFKPoI?usp=share_link" TargetMode="External"/><Relationship Id="rId868" Type="http://schemas.openxmlformats.org/officeDocument/2006/relationships/hyperlink" Target="https://drive.google.com/drive/folders/10T2cTQHqEJZqE-st6uFKPoI?usp=share_link" TargetMode="External"/><Relationship Id="rId867" Type="http://schemas.openxmlformats.org/officeDocument/2006/relationships/hyperlink" Target="https://drive.google.com/drive/folders/10T2cTQHqEJZqE-st6uFKPoI?usp=share_link" TargetMode="External"/><Relationship Id="rId1690" Type="http://schemas.openxmlformats.org/officeDocument/2006/relationships/hyperlink" Target="https://drive.google.com/drive/folders/10T2cTQHqEJZqE-st6uFKPoI?usp=share_link" TargetMode="External"/><Relationship Id="rId1691" Type="http://schemas.openxmlformats.org/officeDocument/2006/relationships/hyperlink" Target="https://drive.google.com/drive/folders/10T2cTQHqEJZqE-st6uFKPoI?usp=share_link" TargetMode="External"/><Relationship Id="rId1692" Type="http://schemas.openxmlformats.org/officeDocument/2006/relationships/hyperlink" Target="https://drive.google.com/drive/folders/10T2cTQHqEJZqE-st6uFKPoI?usp=share_link" TargetMode="External"/><Relationship Id="rId862" Type="http://schemas.openxmlformats.org/officeDocument/2006/relationships/hyperlink" Target="https://drive.google.com/drive/folders/10T2cTQHqEJZqE-st6uFKPoI?usp=share_link" TargetMode="External"/><Relationship Id="rId1693" Type="http://schemas.openxmlformats.org/officeDocument/2006/relationships/hyperlink" Target="https://drive.google.com/drive/folders/10T2cTQHqEJZqE-st6uFKPoI?usp=share_link" TargetMode="External"/><Relationship Id="rId861" Type="http://schemas.openxmlformats.org/officeDocument/2006/relationships/hyperlink" Target="https://drive.google.com/drive/folders/10T2cTQHqEJZqE-st6uFKPoI?usp=share_link" TargetMode="External"/><Relationship Id="rId1694" Type="http://schemas.openxmlformats.org/officeDocument/2006/relationships/hyperlink" Target="https://drive.google.com/drive/folders/10T2cTQHqEJZqE-st6uFKPoI?usp=share_link" TargetMode="External"/><Relationship Id="rId860" Type="http://schemas.openxmlformats.org/officeDocument/2006/relationships/hyperlink" Target="https://drive.google.com/drive/folders/10T2cTQHqEJZqE-st6uFKPoI?usp=share_link" TargetMode="External"/><Relationship Id="rId1695" Type="http://schemas.openxmlformats.org/officeDocument/2006/relationships/hyperlink" Target="https://drive.google.com/drive/folders/10T2cTQHqEJZqE-st6uFKPoI?usp=share_link" TargetMode="External"/><Relationship Id="rId4721" Type="http://schemas.openxmlformats.org/officeDocument/2006/relationships/hyperlink" Target="https://drive.google.com/drive/folders/10T2cTQHqEJZqE-st6uFKPoI?usp=share_link" TargetMode="External"/><Relationship Id="rId1696" Type="http://schemas.openxmlformats.org/officeDocument/2006/relationships/hyperlink" Target="https://drive.google.com/drive/folders/10T2cTQHqEJZqE-st6uFKPoI?usp=share_link" TargetMode="External"/><Relationship Id="rId4720" Type="http://schemas.openxmlformats.org/officeDocument/2006/relationships/hyperlink" Target="https://drive.google.com/drive/folders/10T2cTQHqEJZqE-st6uFKPoI?usp=share_link" TargetMode="External"/><Relationship Id="rId1686" Type="http://schemas.openxmlformats.org/officeDocument/2006/relationships/hyperlink" Target="https://drive.google.com/drive/folders/10T2cTQHqEJZqE-st6uFKPoI?usp=share_link" TargetMode="External"/><Relationship Id="rId4712" Type="http://schemas.openxmlformats.org/officeDocument/2006/relationships/hyperlink" Target="https://drive.google.com/drive/folders/10T2cTQHqEJZqE-st6uFKPoI?usp=share_link" TargetMode="External"/><Relationship Id="rId1687" Type="http://schemas.openxmlformats.org/officeDocument/2006/relationships/hyperlink" Target="https://drive.google.com/drive/folders/10T2cTQHqEJZqE-st6uFKPoI?usp=share_link" TargetMode="External"/><Relationship Id="rId4711" Type="http://schemas.openxmlformats.org/officeDocument/2006/relationships/hyperlink" Target="https://drive.google.com/drive/folders/10T2cTQHqEJZqE-st6uFKPoI?usp=share_link" TargetMode="External"/><Relationship Id="rId1688" Type="http://schemas.openxmlformats.org/officeDocument/2006/relationships/hyperlink" Target="https://drive.google.com/drive/folders/10T2cTQHqEJZqE-st6uFKPoI?usp=share_link" TargetMode="External"/><Relationship Id="rId4714" Type="http://schemas.openxmlformats.org/officeDocument/2006/relationships/hyperlink" Target="https://drive.google.com/drive/folders/10T2cTQHqEJZqE-st6uFKPoI?usp=share_link" TargetMode="External"/><Relationship Id="rId1689" Type="http://schemas.openxmlformats.org/officeDocument/2006/relationships/hyperlink" Target="https://drive.google.com/drive/folders/10T2cTQHqEJZqE-st6uFKPoI?usp=share_link" TargetMode="External"/><Relationship Id="rId4713" Type="http://schemas.openxmlformats.org/officeDocument/2006/relationships/hyperlink" Target="https://drive.google.com/drive/folders/10T2cTQHqEJZqE-st6uFKPoI?usp=share_link" TargetMode="External"/><Relationship Id="rId4716" Type="http://schemas.openxmlformats.org/officeDocument/2006/relationships/hyperlink" Target="https://drive.google.com/drive/folders/10T2cTQHqEJZqE-st6uFKPoI?usp=share_link" TargetMode="External"/><Relationship Id="rId4715" Type="http://schemas.openxmlformats.org/officeDocument/2006/relationships/hyperlink" Target="https://drive.google.com/drive/folders/10T2cTQHqEJZqE-st6uFKPoI?usp=share_link" TargetMode="External"/><Relationship Id="rId4718" Type="http://schemas.openxmlformats.org/officeDocument/2006/relationships/hyperlink" Target="https://drive.google.com/drive/folders/10T2cTQHqEJZqE-st6uFKPoI?usp=share_link" TargetMode="External"/><Relationship Id="rId4717" Type="http://schemas.openxmlformats.org/officeDocument/2006/relationships/hyperlink" Target="https://drive.google.com/drive/folders/10T2cTQHqEJZqE-st6uFKPoI?usp=share_link" TargetMode="External"/><Relationship Id="rId4719" Type="http://schemas.openxmlformats.org/officeDocument/2006/relationships/hyperlink" Target="https://drive.google.com/drive/folders/10T2cTQHqEJZqE-st6uFKPoI?usp=share_link" TargetMode="External"/><Relationship Id="rId855" Type="http://schemas.openxmlformats.org/officeDocument/2006/relationships/hyperlink" Target="https://drive.google.com/drive/folders/10T2cTQHqEJZqE-st6uFKPoI?usp=share_link" TargetMode="External"/><Relationship Id="rId854" Type="http://schemas.openxmlformats.org/officeDocument/2006/relationships/hyperlink" Target="https://drive.google.com/drive/folders/10T2cTQHqEJZqE-st6uFKPoI?usp=share_link" TargetMode="External"/><Relationship Id="rId853" Type="http://schemas.openxmlformats.org/officeDocument/2006/relationships/hyperlink" Target="https://drive.google.com/drive/folders/10T2cTQHqEJZqE-st6uFKPoI?usp=share_link" TargetMode="External"/><Relationship Id="rId852" Type="http://schemas.openxmlformats.org/officeDocument/2006/relationships/hyperlink" Target="https://drive.google.com/drive/folders/10T2cTQHqEJZqE-st6uFKPoI?usp=share_link" TargetMode="External"/><Relationship Id="rId859" Type="http://schemas.openxmlformats.org/officeDocument/2006/relationships/hyperlink" Target="https://drive.google.com/drive/folders/10T2cTQHqEJZqE-st6uFKPoI?usp=share_link" TargetMode="External"/><Relationship Id="rId858" Type="http://schemas.openxmlformats.org/officeDocument/2006/relationships/hyperlink" Target="https://drive.google.com/drive/folders/10T2cTQHqEJZqE-st6uFKPoI?usp=share_link" TargetMode="External"/><Relationship Id="rId857" Type="http://schemas.openxmlformats.org/officeDocument/2006/relationships/hyperlink" Target="https://drive.google.com/drive/folders/10T2cTQHqEJZqE-st6uFKPoI?usp=share_link" TargetMode="External"/><Relationship Id="rId856" Type="http://schemas.openxmlformats.org/officeDocument/2006/relationships/hyperlink" Target="https://drive.google.com/drive/folders/10T2cTQHqEJZqE-st6uFKPoI?usp=share_link" TargetMode="External"/><Relationship Id="rId1680" Type="http://schemas.openxmlformats.org/officeDocument/2006/relationships/hyperlink" Target="https://drive.google.com/drive/folders/10T2cTQHqEJZqE-st6uFKPoI?usp=share_link" TargetMode="External"/><Relationship Id="rId1681" Type="http://schemas.openxmlformats.org/officeDocument/2006/relationships/hyperlink" Target="https://drive.google.com/drive/folders/10T2cTQHqEJZqE-st6uFKPoI?usp=share_link" TargetMode="External"/><Relationship Id="rId851" Type="http://schemas.openxmlformats.org/officeDocument/2006/relationships/hyperlink" Target="https://drive.google.com/drive/folders/10T2cTQHqEJZqE-st6uFKPoI?usp=share_link" TargetMode="External"/><Relationship Id="rId1682" Type="http://schemas.openxmlformats.org/officeDocument/2006/relationships/hyperlink" Target="https://drive.google.com/drive/folders/10T2cTQHqEJZqE-st6uFKPoI?usp=share_link" TargetMode="External"/><Relationship Id="rId850" Type="http://schemas.openxmlformats.org/officeDocument/2006/relationships/hyperlink" Target="https://drive.google.com/drive/folders/10T2cTQHqEJZqE-st6uFKPoI?usp=share_link" TargetMode="External"/><Relationship Id="rId1683" Type="http://schemas.openxmlformats.org/officeDocument/2006/relationships/hyperlink" Target="https://drive.google.com/drive/folders/10T2cTQHqEJZqE-st6uFKPoI?usp=share_link" TargetMode="External"/><Relationship Id="rId1684" Type="http://schemas.openxmlformats.org/officeDocument/2006/relationships/hyperlink" Target="https://drive.google.com/drive/folders/10T2cTQHqEJZqE-st6uFKPoI?usp=share_link" TargetMode="External"/><Relationship Id="rId4710" Type="http://schemas.openxmlformats.org/officeDocument/2006/relationships/hyperlink" Target="https://drive.google.com/drive/folders/10T2cTQHqEJZqE-st6uFKPoI?usp=share_link" TargetMode="External"/><Relationship Id="rId1685" Type="http://schemas.openxmlformats.org/officeDocument/2006/relationships/hyperlink" Target="https://drive.google.com/drive/folders/10T2cTQHqEJZqE-st6uFKPoI?usp=share_link" TargetMode="External"/><Relationship Id="rId3414" Type="http://schemas.openxmlformats.org/officeDocument/2006/relationships/hyperlink" Target="https://drive.google.com/drive/folders/10T2cTQHqEJZqE-st6uFKPoI?usp=share_link" TargetMode="External"/><Relationship Id="rId4745" Type="http://schemas.openxmlformats.org/officeDocument/2006/relationships/hyperlink" Target="https://drive.google.com/drive/folders/10T2cTQHqEJZqE-st6uFKPoI?usp=share_link" TargetMode="External"/><Relationship Id="rId3413" Type="http://schemas.openxmlformats.org/officeDocument/2006/relationships/hyperlink" Target="https://drive.google.com/drive/folders/10T2cTQHqEJZqE-st6uFKPoI?usp=share_link" TargetMode="External"/><Relationship Id="rId4744" Type="http://schemas.openxmlformats.org/officeDocument/2006/relationships/hyperlink" Target="https://drive.google.com/drive/folders/10T2cTQHqEJZqE-st6uFKPoI?usp=share_link" TargetMode="External"/><Relationship Id="rId3416" Type="http://schemas.openxmlformats.org/officeDocument/2006/relationships/hyperlink" Target="https://drive.google.com/drive/folders/10T2cTQHqEJZqE-st6uFKPoI?usp=share_link" TargetMode="External"/><Relationship Id="rId4747" Type="http://schemas.openxmlformats.org/officeDocument/2006/relationships/hyperlink" Target="https://drive.google.com/drive/folders/10T2cTQHqEJZqE-st6uFKPoI?usp=share_link" TargetMode="External"/><Relationship Id="rId3415" Type="http://schemas.openxmlformats.org/officeDocument/2006/relationships/hyperlink" Target="https://drive.google.com/drive/folders/10T2cTQHqEJZqE-st6uFKPoI?usp=share_link" TargetMode="External"/><Relationship Id="rId4746" Type="http://schemas.openxmlformats.org/officeDocument/2006/relationships/hyperlink" Target="https://drive.google.com/drive/folders/10T2cTQHqEJZqE-st6uFKPoI?usp=share_link" TargetMode="External"/><Relationship Id="rId3418" Type="http://schemas.openxmlformats.org/officeDocument/2006/relationships/hyperlink" Target="https://drive.google.com/drive/folders/10T2cTQHqEJZqE-st6uFKPoI?usp=share_link" TargetMode="External"/><Relationship Id="rId4749" Type="http://schemas.openxmlformats.org/officeDocument/2006/relationships/hyperlink" Target="https://drive.google.com/drive/folders/10T2cTQHqEJZqE-st6uFKPoI?usp=share_link" TargetMode="External"/><Relationship Id="rId3417" Type="http://schemas.openxmlformats.org/officeDocument/2006/relationships/hyperlink" Target="https://drive.google.com/drive/folders/10T2cTQHqEJZqE-st6uFKPoI?usp=share_link" TargetMode="External"/><Relationship Id="rId4748" Type="http://schemas.openxmlformats.org/officeDocument/2006/relationships/hyperlink" Target="https://drive.google.com/drive/folders/10T2cTQHqEJZqE-st6uFKPoI?usp=share_link" TargetMode="External"/><Relationship Id="rId3419" Type="http://schemas.openxmlformats.org/officeDocument/2006/relationships/hyperlink" Target="https://drive.google.com/drive/folders/10T2cTQHqEJZqE-st6uFKPoI?usp=share_link" TargetMode="External"/><Relationship Id="rId888" Type="http://schemas.openxmlformats.org/officeDocument/2006/relationships/hyperlink" Target="https://drive.google.com/drive/folders/10T2cTQHqEJZqE-st6uFKPoI?usp=share_link" TargetMode="External"/><Relationship Id="rId887" Type="http://schemas.openxmlformats.org/officeDocument/2006/relationships/hyperlink" Target="https://drive.google.com/drive/folders/10T2cTQHqEJZqE-st6uFKPoI?usp=share_link" TargetMode="External"/><Relationship Id="rId886" Type="http://schemas.openxmlformats.org/officeDocument/2006/relationships/hyperlink" Target="https://drive.google.com/drive/folders/10T2cTQHqEJZqE-st6uFKPoI?usp=share_link" TargetMode="External"/><Relationship Id="rId885" Type="http://schemas.openxmlformats.org/officeDocument/2006/relationships/hyperlink" Target="https://drive.google.com/drive/folders/10T2cTQHqEJZqE-st6uFKPoI?usp=share_link" TargetMode="External"/><Relationship Id="rId889" Type="http://schemas.openxmlformats.org/officeDocument/2006/relationships/hyperlink" Target="https://drive.google.com/drive/folders/10T2cTQHqEJZqE-st6uFKPoI?usp=share_link" TargetMode="External"/><Relationship Id="rId880" Type="http://schemas.openxmlformats.org/officeDocument/2006/relationships/hyperlink" Target="https://drive.google.com/drive/folders/10T2cTQHqEJZqE-st6uFKPoI?usp=share_link" TargetMode="External"/><Relationship Id="rId884" Type="http://schemas.openxmlformats.org/officeDocument/2006/relationships/hyperlink" Target="https://drive.google.com/drive/folders/10T2cTQHqEJZqE-st6uFKPoI?usp=share_link" TargetMode="External"/><Relationship Id="rId3410" Type="http://schemas.openxmlformats.org/officeDocument/2006/relationships/hyperlink" Target="https://drive.google.com/drive/folders/10T2cTQHqEJZqE-st6uFKPoI?usp=share_link" TargetMode="External"/><Relationship Id="rId4741" Type="http://schemas.openxmlformats.org/officeDocument/2006/relationships/hyperlink" Target="https://drive.google.com/drive/folders/10T2cTQHqEJZqE-st6uFKPoI?usp=share_link" TargetMode="External"/><Relationship Id="rId883" Type="http://schemas.openxmlformats.org/officeDocument/2006/relationships/hyperlink" Target="https://drive.google.com/drive/folders/10T2cTQHqEJZqE-st6uFKPoI?usp=share_link" TargetMode="External"/><Relationship Id="rId4740" Type="http://schemas.openxmlformats.org/officeDocument/2006/relationships/hyperlink" Target="https://drive.google.com/drive/folders/10T2cTQHqEJZqE-st6uFKPoI?usp=share_link" TargetMode="External"/><Relationship Id="rId882" Type="http://schemas.openxmlformats.org/officeDocument/2006/relationships/hyperlink" Target="https://drive.google.com/drive/folders/10T2cTQHqEJZqE-st6uFKPoI?usp=share_link" TargetMode="External"/><Relationship Id="rId3412" Type="http://schemas.openxmlformats.org/officeDocument/2006/relationships/hyperlink" Target="https://drive.google.com/drive/folders/10T2cTQHqEJZqE-st6uFKPoI?usp=share_link" TargetMode="External"/><Relationship Id="rId4743" Type="http://schemas.openxmlformats.org/officeDocument/2006/relationships/hyperlink" Target="https://drive.google.com/drive/folders/10T2cTQHqEJZqE-st6uFKPoI?usp=share_link" TargetMode="External"/><Relationship Id="rId881" Type="http://schemas.openxmlformats.org/officeDocument/2006/relationships/hyperlink" Target="https://drive.google.com/drive/folders/10T2cTQHqEJZqE-st6uFKPoI?usp=share_link" TargetMode="External"/><Relationship Id="rId3411" Type="http://schemas.openxmlformats.org/officeDocument/2006/relationships/hyperlink" Target="https://drive.google.com/drive/folders/10T2cTQHqEJZqE-st6uFKPoI?usp=share_link" TargetMode="External"/><Relationship Id="rId4742" Type="http://schemas.openxmlformats.org/officeDocument/2006/relationships/hyperlink" Target="https://drive.google.com/drive/folders/10T2cTQHqEJZqE-st6uFKPoI?usp=share_link" TargetMode="External"/><Relationship Id="rId3403" Type="http://schemas.openxmlformats.org/officeDocument/2006/relationships/hyperlink" Target="https://drive.google.com/drive/folders/10T2cTQHqEJZqE-st6uFKPoI?usp=share_link" TargetMode="External"/><Relationship Id="rId4734" Type="http://schemas.openxmlformats.org/officeDocument/2006/relationships/hyperlink" Target="https://drive.google.com/drive/folders/10T2cTQHqEJZqE-st6uFKPoI?usp=share_link" TargetMode="External"/><Relationship Id="rId3402" Type="http://schemas.openxmlformats.org/officeDocument/2006/relationships/hyperlink" Target="https://drive.google.com/drive/folders/10T2cTQHqEJZqE-st6uFKPoI?usp=share_link" TargetMode="External"/><Relationship Id="rId4733" Type="http://schemas.openxmlformats.org/officeDocument/2006/relationships/hyperlink" Target="https://drive.google.com/drive/folders/10T2cTQHqEJZqE-st6uFKPoI?usp=share_link" TargetMode="External"/><Relationship Id="rId3405" Type="http://schemas.openxmlformats.org/officeDocument/2006/relationships/hyperlink" Target="https://drive.google.com/drive/folders/10T2cTQHqEJZqE-st6uFKPoI?usp=share_link" TargetMode="External"/><Relationship Id="rId4736" Type="http://schemas.openxmlformats.org/officeDocument/2006/relationships/hyperlink" Target="https://drive.google.com/drive/folders/10T2cTQHqEJZqE-st6uFKPoI?usp=share_link" TargetMode="External"/><Relationship Id="rId3404" Type="http://schemas.openxmlformats.org/officeDocument/2006/relationships/hyperlink" Target="https://drive.google.com/drive/folders/10T2cTQHqEJZqE-st6uFKPoI?usp=share_link" TargetMode="External"/><Relationship Id="rId4735" Type="http://schemas.openxmlformats.org/officeDocument/2006/relationships/hyperlink" Target="https://drive.google.com/drive/folders/10T2cTQHqEJZqE-st6uFKPoI?usp=share_link" TargetMode="External"/><Relationship Id="rId3407" Type="http://schemas.openxmlformats.org/officeDocument/2006/relationships/hyperlink" Target="https://drive.google.com/drive/folders/10T2cTQHqEJZqE-st6uFKPoI?usp=share_link" TargetMode="External"/><Relationship Id="rId4738" Type="http://schemas.openxmlformats.org/officeDocument/2006/relationships/hyperlink" Target="https://drive.google.com/drive/folders/10T2cTQHqEJZqE-st6uFKPoI?usp=share_link" TargetMode="External"/><Relationship Id="rId3406" Type="http://schemas.openxmlformats.org/officeDocument/2006/relationships/hyperlink" Target="https://drive.google.com/drive/folders/10T2cTQHqEJZqE-st6uFKPoI?usp=share_link" TargetMode="External"/><Relationship Id="rId4737" Type="http://schemas.openxmlformats.org/officeDocument/2006/relationships/hyperlink" Target="https://drive.google.com/drive/folders/10T2cTQHqEJZqE-st6uFKPoI?usp=share_link" TargetMode="External"/><Relationship Id="rId3409" Type="http://schemas.openxmlformats.org/officeDocument/2006/relationships/hyperlink" Target="https://drive.google.com/drive/folders/10T2cTQHqEJZqE-st6uFKPoI?usp=share_link" TargetMode="External"/><Relationship Id="rId3408" Type="http://schemas.openxmlformats.org/officeDocument/2006/relationships/hyperlink" Target="https://drive.google.com/drive/folders/10T2cTQHqEJZqE-st6uFKPoI?usp=share_link" TargetMode="External"/><Relationship Id="rId4739" Type="http://schemas.openxmlformats.org/officeDocument/2006/relationships/hyperlink" Target="https://drive.google.com/drive/folders/10T2cTQHqEJZqE-st6uFKPoI?usp=share_link" TargetMode="External"/><Relationship Id="rId877" Type="http://schemas.openxmlformats.org/officeDocument/2006/relationships/hyperlink" Target="https://drive.google.com/drive/folders/10T2cTQHqEJZqE-st6uFKPoI?usp=share_link" TargetMode="External"/><Relationship Id="rId876" Type="http://schemas.openxmlformats.org/officeDocument/2006/relationships/hyperlink" Target="https://drive.google.com/drive/folders/10T2cTQHqEJZqE-st6uFKPoI?usp=share_link" TargetMode="External"/><Relationship Id="rId875" Type="http://schemas.openxmlformats.org/officeDocument/2006/relationships/hyperlink" Target="https://drive.google.com/drive/folders/10T2cTQHqEJZqE-st6uFKPoI?usp=share_link" TargetMode="External"/><Relationship Id="rId874" Type="http://schemas.openxmlformats.org/officeDocument/2006/relationships/hyperlink" Target="https://drive.google.com/drive/folders/10T2cTQHqEJZqE-st6uFKPoI?usp=share_link" TargetMode="External"/><Relationship Id="rId879" Type="http://schemas.openxmlformats.org/officeDocument/2006/relationships/hyperlink" Target="https://drive.google.com/drive/folders/10T2cTQHqEJZqE-st6uFKPoI?usp=share_link" TargetMode="External"/><Relationship Id="rId878" Type="http://schemas.openxmlformats.org/officeDocument/2006/relationships/hyperlink" Target="https://drive.google.com/drive/folders/10T2cTQHqEJZqE-st6uFKPoI?usp=share_link" TargetMode="External"/><Relationship Id="rId873" Type="http://schemas.openxmlformats.org/officeDocument/2006/relationships/hyperlink" Target="https://drive.google.com/drive/folders/10T2cTQHqEJZqE-st6uFKPoI?usp=share_link" TargetMode="External"/><Relationship Id="rId4730" Type="http://schemas.openxmlformats.org/officeDocument/2006/relationships/hyperlink" Target="https://drive.google.com/drive/folders/10T2cTQHqEJZqE-st6uFKPoI?usp=share_link" TargetMode="External"/><Relationship Id="rId872" Type="http://schemas.openxmlformats.org/officeDocument/2006/relationships/hyperlink" Target="https://drive.google.com/drive/folders/10T2cTQHqEJZqE-st6uFKPoI?usp=share_link" TargetMode="External"/><Relationship Id="rId871" Type="http://schemas.openxmlformats.org/officeDocument/2006/relationships/hyperlink" Target="https://drive.google.com/drive/folders/10T2cTQHqEJZqE-st6uFKPoI?usp=share_link" TargetMode="External"/><Relationship Id="rId3401" Type="http://schemas.openxmlformats.org/officeDocument/2006/relationships/hyperlink" Target="https://drive.google.com/drive/folders/10T2cTQHqEJZqE-st6uFKPoI?usp=share_link" TargetMode="External"/><Relationship Id="rId4732" Type="http://schemas.openxmlformats.org/officeDocument/2006/relationships/hyperlink" Target="https://drive.google.com/drive/folders/10T2cTQHqEJZqE-st6uFKPoI?usp=share_link" TargetMode="External"/><Relationship Id="rId870" Type="http://schemas.openxmlformats.org/officeDocument/2006/relationships/hyperlink" Target="https://drive.google.com/drive/folders/10T2cTQHqEJZqE-st6uFKPoI?usp=share_link" TargetMode="External"/><Relationship Id="rId3400" Type="http://schemas.openxmlformats.org/officeDocument/2006/relationships/hyperlink" Target="https://drive.google.com/drive/folders/10T2cTQHqEJZqE-st6uFKPoI?usp=share_link" TargetMode="External"/><Relationship Id="rId4731" Type="http://schemas.openxmlformats.org/officeDocument/2006/relationships/hyperlink" Target="https://drive.google.com/drive/folders/10T2cTQHqEJZqE-st6uFKPoI?usp=share_link" TargetMode="External"/><Relationship Id="rId1653" Type="http://schemas.openxmlformats.org/officeDocument/2006/relationships/hyperlink" Target="https://drive.google.com/drive/folders/10T2cTQHqEJZqE-st6uFKPoI?usp=share_link" TargetMode="External"/><Relationship Id="rId2984" Type="http://schemas.openxmlformats.org/officeDocument/2006/relationships/hyperlink" Target="https://drive.google.com/drive/folders/10T2cTQHqEJZqE-st6uFKPoI?usp=share_link" TargetMode="External"/><Relationship Id="rId1654" Type="http://schemas.openxmlformats.org/officeDocument/2006/relationships/hyperlink" Target="https://drive.google.com/drive/folders/10T2cTQHqEJZqE-st6uFKPoI?usp=share_link" TargetMode="External"/><Relationship Id="rId2985" Type="http://schemas.openxmlformats.org/officeDocument/2006/relationships/hyperlink" Target="https://drive.google.com/drive/folders/10T2cTQHqEJZqE-st6uFKPoI?usp=share_link" TargetMode="External"/><Relationship Id="rId1655" Type="http://schemas.openxmlformats.org/officeDocument/2006/relationships/hyperlink" Target="https://drive.google.com/drive/folders/10T2cTQHqEJZqE-st6uFKPoI?usp=share_link" TargetMode="External"/><Relationship Id="rId2986" Type="http://schemas.openxmlformats.org/officeDocument/2006/relationships/hyperlink" Target="https://drive.google.com/drive/folders/10T2cTQHqEJZqE-st6uFKPoI?usp=share_link" TargetMode="External"/><Relationship Id="rId1656" Type="http://schemas.openxmlformats.org/officeDocument/2006/relationships/hyperlink" Target="https://drive.google.com/drive/folders/10T2cTQHqEJZqE-st6uFKPoI?usp=share_link" TargetMode="External"/><Relationship Id="rId2987" Type="http://schemas.openxmlformats.org/officeDocument/2006/relationships/hyperlink" Target="https://drive.google.com/drive/folders/10T2cTQHqEJZqE-st6uFKPoI?usp=share_link" TargetMode="External"/><Relationship Id="rId1657" Type="http://schemas.openxmlformats.org/officeDocument/2006/relationships/hyperlink" Target="https://drive.google.com/drive/folders/10T2cTQHqEJZqE-st6uFKPoI?usp=share_link" TargetMode="External"/><Relationship Id="rId2988" Type="http://schemas.openxmlformats.org/officeDocument/2006/relationships/hyperlink" Target="https://drive.google.com/drive/folders/10T2cTQHqEJZqE-st6uFKPoI?usp=share_link" TargetMode="External"/><Relationship Id="rId1658" Type="http://schemas.openxmlformats.org/officeDocument/2006/relationships/hyperlink" Target="https://drive.google.com/drive/folders/10T2cTQHqEJZqE-st6uFKPoI?usp=share_link" TargetMode="External"/><Relationship Id="rId2989" Type="http://schemas.openxmlformats.org/officeDocument/2006/relationships/hyperlink" Target="https://drive.google.com/drive/folders/10T2cTQHqEJZqE-st6uFKPoI?usp=share_link" TargetMode="External"/><Relationship Id="rId1659" Type="http://schemas.openxmlformats.org/officeDocument/2006/relationships/hyperlink" Target="https://drive.google.com/drive/folders/10T2cTQHqEJZqE-st6uFKPoI?usp=share_link" TargetMode="External"/><Relationship Id="rId829" Type="http://schemas.openxmlformats.org/officeDocument/2006/relationships/hyperlink" Target="https://drive.google.com/drive/folders/10T2cTQHqEJZqE-st6uFKPoI?usp=share_link" TargetMode="External"/><Relationship Id="rId828" Type="http://schemas.openxmlformats.org/officeDocument/2006/relationships/hyperlink" Target="https://drive.google.com/drive/folders/10T2cTQHqEJZqE-st6uFKPoI?usp=share_link" TargetMode="External"/><Relationship Id="rId827" Type="http://schemas.openxmlformats.org/officeDocument/2006/relationships/hyperlink" Target="https://drive.google.com/drive/folders/10T2cTQHqEJZqE-st6uFKPoI?usp=share_link" TargetMode="External"/><Relationship Id="rId822" Type="http://schemas.openxmlformats.org/officeDocument/2006/relationships/hyperlink" Target="https://drive.google.com/drive/folders/10T2cTQHqEJZqE-st6uFKPoI?usp=share_link" TargetMode="External"/><Relationship Id="rId821" Type="http://schemas.openxmlformats.org/officeDocument/2006/relationships/hyperlink" Target="https://drive.google.com/drive/folders/10T2cTQHqEJZqE-st6uFKPoI?usp=share_link" TargetMode="External"/><Relationship Id="rId820" Type="http://schemas.openxmlformats.org/officeDocument/2006/relationships/hyperlink" Target="https://drive.google.com/drive/folders/10T2cTQHqEJZqE-st6uFKPoI?usp=share_link" TargetMode="External"/><Relationship Id="rId826" Type="http://schemas.openxmlformats.org/officeDocument/2006/relationships/hyperlink" Target="https://drive.google.com/drive/folders/10T2cTQHqEJZqE-st6uFKPoI?usp=share_link" TargetMode="External"/><Relationship Id="rId825" Type="http://schemas.openxmlformats.org/officeDocument/2006/relationships/hyperlink" Target="https://drive.google.com/drive/folders/10T2cTQHqEJZqE-st6uFKPoI?usp=share_link" TargetMode="External"/><Relationship Id="rId824" Type="http://schemas.openxmlformats.org/officeDocument/2006/relationships/hyperlink" Target="https://drive.google.com/drive/folders/10T2cTQHqEJZqE-st6uFKPoI?usp=share_link" TargetMode="External"/><Relationship Id="rId823" Type="http://schemas.openxmlformats.org/officeDocument/2006/relationships/hyperlink" Target="https://drive.google.com/drive/folders/10T2cTQHqEJZqE-st6uFKPoI?usp=share_link" TargetMode="External"/><Relationship Id="rId2980" Type="http://schemas.openxmlformats.org/officeDocument/2006/relationships/hyperlink" Target="https://drive.google.com/drive/folders/10T2cTQHqEJZqE-st6uFKPoI?usp=share_link" TargetMode="External"/><Relationship Id="rId1650" Type="http://schemas.openxmlformats.org/officeDocument/2006/relationships/hyperlink" Target="https://drive.google.com/drive/folders/10T2cTQHqEJZqE-st6uFKPoI?usp=share_link" TargetMode="External"/><Relationship Id="rId2981" Type="http://schemas.openxmlformats.org/officeDocument/2006/relationships/hyperlink" Target="https://drive.google.com/drive/folders/10T2cTQHqEJZqE-st6uFKPoI?usp=share_link" TargetMode="External"/><Relationship Id="rId1651" Type="http://schemas.openxmlformats.org/officeDocument/2006/relationships/hyperlink" Target="https://drive.google.com/drive/folders/10T2cTQHqEJZqE-st6uFKPoI?usp=share_link" TargetMode="External"/><Relationship Id="rId2982" Type="http://schemas.openxmlformats.org/officeDocument/2006/relationships/hyperlink" Target="https://drive.google.com/drive/folders/10T2cTQHqEJZqE-st6uFKPoI?usp=share_link" TargetMode="External"/><Relationship Id="rId1652" Type="http://schemas.openxmlformats.org/officeDocument/2006/relationships/hyperlink" Target="https://drive.google.com/drive/folders/10T2cTQHqEJZqE-st6uFKPoI?usp=share_link" TargetMode="External"/><Relationship Id="rId2983" Type="http://schemas.openxmlformats.org/officeDocument/2006/relationships/hyperlink" Target="https://drive.google.com/drive/folders/10T2cTQHqEJZqE-st6uFKPoI?usp=share_link" TargetMode="External"/><Relationship Id="rId1642" Type="http://schemas.openxmlformats.org/officeDocument/2006/relationships/hyperlink" Target="https://drive.google.com/drive/folders/10T2cTQHqEJZqE-st6uFKPoI?usp=share_link" TargetMode="External"/><Relationship Id="rId2973" Type="http://schemas.openxmlformats.org/officeDocument/2006/relationships/hyperlink" Target="https://drive.google.com/drive/folders/10T2cTQHqEJZqE-st6uFKPoI?usp=share_link" TargetMode="External"/><Relationship Id="rId1643" Type="http://schemas.openxmlformats.org/officeDocument/2006/relationships/hyperlink" Target="https://drive.google.com/drive/folders/10T2cTQHqEJZqE-st6uFKPoI?usp=share_link" TargetMode="External"/><Relationship Id="rId2974" Type="http://schemas.openxmlformats.org/officeDocument/2006/relationships/hyperlink" Target="https://drive.google.com/drive/folders/10T2cTQHqEJZqE-st6uFKPoI?usp=share_link" TargetMode="External"/><Relationship Id="rId1644" Type="http://schemas.openxmlformats.org/officeDocument/2006/relationships/hyperlink" Target="https://drive.google.com/drive/folders/10T2cTQHqEJZqE-st6uFKPoI?usp=share_link" TargetMode="External"/><Relationship Id="rId2975" Type="http://schemas.openxmlformats.org/officeDocument/2006/relationships/hyperlink" Target="https://drive.google.com/drive/folders/10T2cTQHqEJZqE-st6uFKPoI?usp=share_link" TargetMode="External"/><Relationship Id="rId1645" Type="http://schemas.openxmlformats.org/officeDocument/2006/relationships/hyperlink" Target="https://drive.google.com/drive/folders/10T2cTQHqEJZqE-st6uFKPoI?usp=share_link" TargetMode="External"/><Relationship Id="rId2976" Type="http://schemas.openxmlformats.org/officeDocument/2006/relationships/hyperlink" Target="https://drive.google.com/drive/folders/10T2cTQHqEJZqE-st6uFKPoI?usp=share_link" TargetMode="External"/><Relationship Id="rId1646" Type="http://schemas.openxmlformats.org/officeDocument/2006/relationships/hyperlink" Target="https://drive.google.com/drive/folders/10T2cTQHqEJZqE-st6uFKPoI?usp=share_link" TargetMode="External"/><Relationship Id="rId2977" Type="http://schemas.openxmlformats.org/officeDocument/2006/relationships/hyperlink" Target="https://drive.google.com/drive/folders/10T2cTQHqEJZqE-st6uFKPoI?usp=share_link" TargetMode="External"/><Relationship Id="rId1647" Type="http://schemas.openxmlformats.org/officeDocument/2006/relationships/hyperlink" Target="https://drive.google.com/drive/folders/10T2cTQHqEJZqE-st6uFKPoI?usp=share_link" TargetMode="External"/><Relationship Id="rId2978" Type="http://schemas.openxmlformats.org/officeDocument/2006/relationships/hyperlink" Target="https://drive.google.com/drive/folders/10T2cTQHqEJZqE-st6uFKPoI?usp=share_link" TargetMode="External"/><Relationship Id="rId1648" Type="http://schemas.openxmlformats.org/officeDocument/2006/relationships/hyperlink" Target="https://drive.google.com/drive/folders/10T2cTQHqEJZqE-st6uFKPoI?usp=share_link" TargetMode="External"/><Relationship Id="rId2979" Type="http://schemas.openxmlformats.org/officeDocument/2006/relationships/hyperlink" Target="https://drive.google.com/drive/folders/10T2cTQHqEJZqE-st6uFKPoI?usp=share_link" TargetMode="External"/><Relationship Id="rId1649" Type="http://schemas.openxmlformats.org/officeDocument/2006/relationships/hyperlink" Target="https://drive.google.com/drive/folders/10T2cTQHqEJZqE-st6uFKPoI?usp=share_link" TargetMode="External"/><Relationship Id="rId819" Type="http://schemas.openxmlformats.org/officeDocument/2006/relationships/hyperlink" Target="https://drive.google.com/drive/folders/10T2cTQHqEJZqE-st6uFKPoI?usp=share_link" TargetMode="External"/><Relationship Id="rId818" Type="http://schemas.openxmlformats.org/officeDocument/2006/relationships/hyperlink" Target="https://drive.google.com/drive/folders/10T2cTQHqEJZqE-st6uFKPoI?usp=share_link" TargetMode="External"/><Relationship Id="rId817" Type="http://schemas.openxmlformats.org/officeDocument/2006/relationships/hyperlink" Target="https://drive.google.com/drive/folders/10T2cTQHqEJZqE-st6uFKPoI?usp=share_link" TargetMode="External"/><Relationship Id="rId816" Type="http://schemas.openxmlformats.org/officeDocument/2006/relationships/hyperlink" Target="https://drive.google.com/drive/folders/10T2cTQHqEJZqE-st6uFKPoI?usp=share_link" TargetMode="External"/><Relationship Id="rId811" Type="http://schemas.openxmlformats.org/officeDocument/2006/relationships/hyperlink" Target="https://drive.google.com/drive/folders/10T2cTQHqEJZqE-st6uFKPoI?usp=share_link" TargetMode="External"/><Relationship Id="rId810" Type="http://schemas.openxmlformats.org/officeDocument/2006/relationships/hyperlink" Target="https://drive.google.com/drive/folders/10T2cTQHqEJZqE-st6uFKPoI?usp=share_link" TargetMode="External"/><Relationship Id="rId815" Type="http://schemas.openxmlformats.org/officeDocument/2006/relationships/hyperlink" Target="https://drive.google.com/drive/folders/10T2cTQHqEJZqE-st6uFKPoI?usp=share_link" TargetMode="External"/><Relationship Id="rId814" Type="http://schemas.openxmlformats.org/officeDocument/2006/relationships/hyperlink" Target="https://drive.google.com/drive/folders/10T2cTQHqEJZqE-st6uFKPoI?usp=share_link" TargetMode="External"/><Relationship Id="rId813" Type="http://schemas.openxmlformats.org/officeDocument/2006/relationships/hyperlink" Target="https://drive.google.com/drive/folders/10T2cTQHqEJZqE-st6uFKPoI?usp=share_link" TargetMode="External"/><Relationship Id="rId812" Type="http://schemas.openxmlformats.org/officeDocument/2006/relationships/hyperlink" Target="https://drive.google.com/drive/folders/10T2cTQHqEJZqE-st6uFKPoI?usp=share_link" TargetMode="External"/><Relationship Id="rId2970" Type="http://schemas.openxmlformats.org/officeDocument/2006/relationships/hyperlink" Target="https://drive.google.com/drive/folders/10T2cTQHqEJZqE-st6uFKPoI?usp=share_link" TargetMode="External"/><Relationship Id="rId1640" Type="http://schemas.openxmlformats.org/officeDocument/2006/relationships/hyperlink" Target="https://drive.google.com/drive/folders/10T2cTQHqEJZqE-st6uFKPoI?usp=share_link" TargetMode="External"/><Relationship Id="rId2971" Type="http://schemas.openxmlformats.org/officeDocument/2006/relationships/hyperlink" Target="https://drive.google.com/drive/folders/10T2cTQHqEJZqE-st6uFKPoI?usp=share_link" TargetMode="External"/><Relationship Id="rId1641" Type="http://schemas.openxmlformats.org/officeDocument/2006/relationships/hyperlink" Target="https://drive.google.com/drive/folders/10T2cTQHqEJZqE-st6uFKPoI?usp=share_link" TargetMode="External"/><Relationship Id="rId2972" Type="http://schemas.openxmlformats.org/officeDocument/2006/relationships/hyperlink" Target="https://drive.google.com/drive/folders/10T2cTQHqEJZqE-st6uFKPoI?usp=share_link" TargetMode="External"/><Relationship Id="rId1675" Type="http://schemas.openxmlformats.org/officeDocument/2006/relationships/hyperlink" Target="https://drive.google.com/drive/folders/10T2cTQHqEJZqE-st6uFKPoI?usp=share_link" TargetMode="External"/><Relationship Id="rId4701" Type="http://schemas.openxmlformats.org/officeDocument/2006/relationships/hyperlink" Target="https://drive.google.com/drive/folders/10T2cTQHqEJZqE-st6uFKPoI?usp=share_link" TargetMode="External"/><Relationship Id="rId1676" Type="http://schemas.openxmlformats.org/officeDocument/2006/relationships/hyperlink" Target="https://drive.google.com/drive/folders/10T2cTQHqEJZqE-st6uFKPoI?usp=share_link" TargetMode="External"/><Relationship Id="rId4700" Type="http://schemas.openxmlformats.org/officeDocument/2006/relationships/hyperlink" Target="https://drive.google.com/drive/folders/10T2cTQHqEJZqE-st6uFKPoI?usp=share_link" TargetMode="External"/><Relationship Id="rId1677" Type="http://schemas.openxmlformats.org/officeDocument/2006/relationships/hyperlink" Target="https://drive.google.com/drive/folders/10T2cTQHqEJZqE-st6uFKPoI?usp=share_link" TargetMode="External"/><Relationship Id="rId4703" Type="http://schemas.openxmlformats.org/officeDocument/2006/relationships/hyperlink" Target="https://drive.google.com/drive/folders/10T2cTQHqEJZqE-st6uFKPoI?usp=share_link" TargetMode="External"/><Relationship Id="rId1678" Type="http://schemas.openxmlformats.org/officeDocument/2006/relationships/hyperlink" Target="https://drive.google.com/drive/folders/10T2cTQHqEJZqE-st6uFKPoI?usp=share_link" TargetMode="External"/><Relationship Id="rId4702" Type="http://schemas.openxmlformats.org/officeDocument/2006/relationships/hyperlink" Target="https://drive.google.com/drive/folders/10T2cTQHqEJZqE-st6uFKPoI?usp=share_link" TargetMode="External"/><Relationship Id="rId1679" Type="http://schemas.openxmlformats.org/officeDocument/2006/relationships/hyperlink" Target="https://drive.google.com/drive/folders/10T2cTQHqEJZqE-st6uFKPoI?usp=share_link" TargetMode="External"/><Relationship Id="rId4705" Type="http://schemas.openxmlformats.org/officeDocument/2006/relationships/hyperlink" Target="https://drive.google.com/drive/folders/10T2cTQHqEJZqE-st6uFKPoI?usp=share_link" TargetMode="External"/><Relationship Id="rId4704" Type="http://schemas.openxmlformats.org/officeDocument/2006/relationships/hyperlink" Target="https://drive.google.com/drive/folders/10T2cTQHqEJZqE-st6uFKPoI?usp=share_link" TargetMode="External"/><Relationship Id="rId4707" Type="http://schemas.openxmlformats.org/officeDocument/2006/relationships/hyperlink" Target="https://drive.google.com/drive/folders/10T2cTQHqEJZqE-st6uFKPoI?usp=share_link" TargetMode="External"/><Relationship Id="rId4706" Type="http://schemas.openxmlformats.org/officeDocument/2006/relationships/hyperlink" Target="https://drive.google.com/drive/folders/10T2cTQHqEJZqE-st6uFKPoI?usp=share_link" TargetMode="External"/><Relationship Id="rId4709" Type="http://schemas.openxmlformats.org/officeDocument/2006/relationships/hyperlink" Target="https://drive.google.com/drive/folders/10T2cTQHqEJZqE-st6uFKPoI?usp=share_link" TargetMode="External"/><Relationship Id="rId4708" Type="http://schemas.openxmlformats.org/officeDocument/2006/relationships/hyperlink" Target="https://drive.google.com/drive/folders/10T2cTQHqEJZqE-st6uFKPoI?usp=share_link" TargetMode="External"/><Relationship Id="rId849" Type="http://schemas.openxmlformats.org/officeDocument/2006/relationships/hyperlink" Target="https://drive.google.com/drive/folders/10T2cTQHqEJZqE-st6uFKPoI?usp=share_link" TargetMode="External"/><Relationship Id="rId844" Type="http://schemas.openxmlformats.org/officeDocument/2006/relationships/hyperlink" Target="https://drive.google.com/drive/folders/10T2cTQHqEJZqE-st6uFKPoI?usp=share_link" TargetMode="External"/><Relationship Id="rId843" Type="http://schemas.openxmlformats.org/officeDocument/2006/relationships/hyperlink" Target="https://drive.google.com/drive/folders/10T2cTQHqEJZqE-st6uFKPoI?usp=share_link" TargetMode="External"/><Relationship Id="rId842" Type="http://schemas.openxmlformats.org/officeDocument/2006/relationships/hyperlink" Target="https://drive.google.com/drive/folders/10T2cTQHqEJZqE-st6uFKPoI?usp=share_link" TargetMode="External"/><Relationship Id="rId841" Type="http://schemas.openxmlformats.org/officeDocument/2006/relationships/hyperlink" Target="https://drive.google.com/drive/folders/10T2cTQHqEJZqE-st6uFKPoI?usp=share_link" TargetMode="External"/><Relationship Id="rId848" Type="http://schemas.openxmlformats.org/officeDocument/2006/relationships/hyperlink" Target="https://drive.google.com/drive/folders/10T2cTQHqEJZqE-st6uFKPoI?usp=share_link" TargetMode="External"/><Relationship Id="rId847" Type="http://schemas.openxmlformats.org/officeDocument/2006/relationships/hyperlink" Target="https://drive.google.com/drive/folders/10T2cTQHqEJZqE-st6uFKPoI?usp=share_link" TargetMode="External"/><Relationship Id="rId846" Type="http://schemas.openxmlformats.org/officeDocument/2006/relationships/hyperlink" Target="https://drive.google.com/drive/folders/10T2cTQHqEJZqE-st6uFKPoI?usp=share_link" TargetMode="External"/><Relationship Id="rId845" Type="http://schemas.openxmlformats.org/officeDocument/2006/relationships/hyperlink" Target="https://drive.google.com/drive/folders/10T2cTQHqEJZqE-st6uFKPoI?usp=share_link" TargetMode="External"/><Relationship Id="rId1670" Type="http://schemas.openxmlformats.org/officeDocument/2006/relationships/hyperlink" Target="https://drive.google.com/drive/folders/10T2cTQHqEJZqE-st6uFKPoI?usp=share_link" TargetMode="External"/><Relationship Id="rId840" Type="http://schemas.openxmlformats.org/officeDocument/2006/relationships/hyperlink" Target="https://drive.google.com/drive/folders/10T2cTQHqEJZqE-st6uFKPoI?usp=share_link" TargetMode="External"/><Relationship Id="rId1671" Type="http://schemas.openxmlformats.org/officeDocument/2006/relationships/hyperlink" Target="https://drive.google.com/drive/folders/10T2cTQHqEJZqE-st6uFKPoI?usp=share_link" TargetMode="External"/><Relationship Id="rId1672" Type="http://schemas.openxmlformats.org/officeDocument/2006/relationships/hyperlink" Target="https://drive.google.com/drive/folders/10T2cTQHqEJZqE-st6uFKPoI?usp=share_link" TargetMode="External"/><Relationship Id="rId1673" Type="http://schemas.openxmlformats.org/officeDocument/2006/relationships/hyperlink" Target="https://drive.google.com/drive/folders/10T2cTQHqEJZqE-st6uFKPoI?usp=share_link" TargetMode="External"/><Relationship Id="rId1674" Type="http://schemas.openxmlformats.org/officeDocument/2006/relationships/hyperlink" Target="https://drive.google.com/drive/folders/10T2cTQHqEJZqE-st6uFKPoI?usp=share_link" TargetMode="External"/><Relationship Id="rId1664" Type="http://schemas.openxmlformats.org/officeDocument/2006/relationships/hyperlink" Target="https://drive.google.com/drive/folders/10T2cTQHqEJZqE-st6uFKPoI?usp=share_link" TargetMode="External"/><Relationship Id="rId2995" Type="http://schemas.openxmlformats.org/officeDocument/2006/relationships/hyperlink" Target="https://drive.google.com/drive/folders/10T2cTQHqEJZqE-st6uFKPoI?usp=share_link" TargetMode="External"/><Relationship Id="rId1665" Type="http://schemas.openxmlformats.org/officeDocument/2006/relationships/hyperlink" Target="https://drive.google.com/drive/folders/10T2cTQHqEJZqE-st6uFKPoI?usp=share_link" TargetMode="External"/><Relationship Id="rId2996" Type="http://schemas.openxmlformats.org/officeDocument/2006/relationships/hyperlink" Target="https://drive.google.com/drive/folders/10T2cTQHqEJZqE-st6uFKPoI?usp=share_link" TargetMode="External"/><Relationship Id="rId1666" Type="http://schemas.openxmlformats.org/officeDocument/2006/relationships/hyperlink" Target="https://drive.google.com/drive/folders/10T2cTQHqEJZqE-st6uFKPoI?usp=share_link" TargetMode="External"/><Relationship Id="rId2997" Type="http://schemas.openxmlformats.org/officeDocument/2006/relationships/hyperlink" Target="https://drive.google.com/drive/folders/10T2cTQHqEJZqE-st6uFKPoI?usp=share_link" TargetMode="External"/><Relationship Id="rId1667" Type="http://schemas.openxmlformats.org/officeDocument/2006/relationships/hyperlink" Target="https://drive.google.com/drive/folders/10T2cTQHqEJZqE-st6uFKPoI?usp=share_link" TargetMode="External"/><Relationship Id="rId2998" Type="http://schemas.openxmlformats.org/officeDocument/2006/relationships/hyperlink" Target="https://drive.google.com/drive/folders/10T2cTQHqEJZqE-st6uFKPoI?usp=share_link" TargetMode="External"/><Relationship Id="rId1668" Type="http://schemas.openxmlformats.org/officeDocument/2006/relationships/hyperlink" Target="https://drive.google.com/drive/folders/10T2cTQHqEJZqE-st6uFKPoI?usp=share_link" TargetMode="External"/><Relationship Id="rId2999" Type="http://schemas.openxmlformats.org/officeDocument/2006/relationships/hyperlink" Target="https://drive.google.com/drive/folders/10T2cTQHqEJZqE-st6uFKPoI?usp=share_link" TargetMode="External"/><Relationship Id="rId1669" Type="http://schemas.openxmlformats.org/officeDocument/2006/relationships/hyperlink" Target="https://drive.google.com/drive/folders/10T2cTQHqEJZqE-st6uFKPoI?usp=share_link" TargetMode="External"/><Relationship Id="rId839" Type="http://schemas.openxmlformats.org/officeDocument/2006/relationships/hyperlink" Target="https://drive.google.com/drive/folders/10T2cTQHqEJZqE-st6uFKPoI?usp=share_link" TargetMode="External"/><Relationship Id="rId838" Type="http://schemas.openxmlformats.org/officeDocument/2006/relationships/hyperlink" Target="https://drive.google.com/drive/folders/10T2cTQHqEJZqE-st6uFKPoI?usp=share_link" TargetMode="External"/><Relationship Id="rId833" Type="http://schemas.openxmlformats.org/officeDocument/2006/relationships/hyperlink" Target="https://drive.google.com/drive/folders/10T2cTQHqEJZqE-st6uFKPoI?usp=share_link" TargetMode="External"/><Relationship Id="rId832" Type="http://schemas.openxmlformats.org/officeDocument/2006/relationships/hyperlink" Target="https://drive.google.com/drive/folders/10T2cTQHqEJZqE-st6uFKPoI?usp=share_link" TargetMode="External"/><Relationship Id="rId831" Type="http://schemas.openxmlformats.org/officeDocument/2006/relationships/hyperlink" Target="https://drive.google.com/drive/folders/10T2cTQHqEJZqE-st6uFKPoI?usp=share_link" TargetMode="External"/><Relationship Id="rId830" Type="http://schemas.openxmlformats.org/officeDocument/2006/relationships/hyperlink" Target="https://drive.google.com/drive/folders/10T2cTQHqEJZqE-st6uFKPoI?usp=share_link" TargetMode="External"/><Relationship Id="rId837" Type="http://schemas.openxmlformats.org/officeDocument/2006/relationships/hyperlink" Target="https://drive.google.com/drive/folders/10T2cTQHqEJZqE-st6uFKPoI?usp=share_link" TargetMode="External"/><Relationship Id="rId836" Type="http://schemas.openxmlformats.org/officeDocument/2006/relationships/hyperlink" Target="https://drive.google.com/drive/folders/10T2cTQHqEJZqE-st6uFKPoI?usp=share_link" TargetMode="External"/><Relationship Id="rId835" Type="http://schemas.openxmlformats.org/officeDocument/2006/relationships/hyperlink" Target="https://drive.google.com/drive/folders/10T2cTQHqEJZqE-st6uFKPoI?usp=share_link" TargetMode="External"/><Relationship Id="rId834" Type="http://schemas.openxmlformats.org/officeDocument/2006/relationships/hyperlink" Target="https://drive.google.com/drive/folders/10T2cTQHqEJZqE-st6uFKPoI?usp=share_link" TargetMode="External"/><Relationship Id="rId2990" Type="http://schemas.openxmlformats.org/officeDocument/2006/relationships/hyperlink" Target="https://drive.google.com/drive/folders/10T2cTQHqEJZqE-st6uFKPoI?usp=share_link" TargetMode="External"/><Relationship Id="rId1660" Type="http://schemas.openxmlformats.org/officeDocument/2006/relationships/hyperlink" Target="https://drive.google.com/drive/folders/10T2cTQHqEJZqE-st6uFKPoI?usp=share_link" TargetMode="External"/><Relationship Id="rId2991" Type="http://schemas.openxmlformats.org/officeDocument/2006/relationships/hyperlink" Target="https://drive.google.com/drive/folders/10T2cTQHqEJZqE-st6uFKPoI?usp=share_link" TargetMode="External"/><Relationship Id="rId1661" Type="http://schemas.openxmlformats.org/officeDocument/2006/relationships/hyperlink" Target="https://drive.google.com/drive/folders/10T2cTQHqEJZqE-st6uFKPoI?usp=share_link" TargetMode="External"/><Relationship Id="rId2992" Type="http://schemas.openxmlformats.org/officeDocument/2006/relationships/hyperlink" Target="https://drive.google.com/drive/folders/10T2cTQHqEJZqE-st6uFKPoI?usp=share_link" TargetMode="External"/><Relationship Id="rId1662" Type="http://schemas.openxmlformats.org/officeDocument/2006/relationships/hyperlink" Target="https://drive.google.com/drive/folders/10T2cTQHqEJZqE-st6uFKPoI?usp=share_link" TargetMode="External"/><Relationship Id="rId2993" Type="http://schemas.openxmlformats.org/officeDocument/2006/relationships/hyperlink" Target="https://drive.google.com/drive/folders/10T2cTQHqEJZqE-st6uFKPoI?usp=share_link" TargetMode="External"/><Relationship Id="rId1663" Type="http://schemas.openxmlformats.org/officeDocument/2006/relationships/hyperlink" Target="https://drive.google.com/drive/folders/10T2cTQHqEJZqE-st6uFKPoI?usp=share_link" TargetMode="External"/><Relationship Id="rId2994" Type="http://schemas.openxmlformats.org/officeDocument/2006/relationships/hyperlink" Target="https://drive.google.com/drive/folders/10T2cTQHqEJZqE-st6uFKPoI?usp=share_link" TargetMode="External"/><Relationship Id="rId2148" Type="http://schemas.openxmlformats.org/officeDocument/2006/relationships/hyperlink" Target="https://drive.google.com/drive/folders/10T2cTQHqEJZqE-st6uFKPoI?usp=share_link" TargetMode="External"/><Relationship Id="rId2149" Type="http://schemas.openxmlformats.org/officeDocument/2006/relationships/hyperlink" Target="https://drive.google.com/drive/folders/10T2cTQHqEJZqE-st6uFKPoI?usp=share_link" TargetMode="External"/><Relationship Id="rId3479" Type="http://schemas.openxmlformats.org/officeDocument/2006/relationships/hyperlink" Target="https://drive.google.com/drive/folders/10T2cTQHqEJZqE-st6uFKPoI?usp=share_link" TargetMode="External"/><Relationship Id="rId3470" Type="http://schemas.openxmlformats.org/officeDocument/2006/relationships/hyperlink" Target="https://drive.google.com/drive/folders/10T2cTQHqEJZqE-st6uFKPoI?usp=share_link" TargetMode="External"/><Relationship Id="rId2140" Type="http://schemas.openxmlformats.org/officeDocument/2006/relationships/hyperlink" Target="https://drive.google.com/drive/folders/10T2cTQHqEJZqE-st6uFKPoI?usp=share_link" TargetMode="External"/><Relationship Id="rId3472" Type="http://schemas.openxmlformats.org/officeDocument/2006/relationships/hyperlink" Target="https://drive.google.com/drive/folders/10T2cTQHqEJZqE-st6uFKPoI?usp=share_link" TargetMode="External"/><Relationship Id="rId2141" Type="http://schemas.openxmlformats.org/officeDocument/2006/relationships/hyperlink" Target="https://drive.google.com/drive/folders/10T2cTQHqEJZqE-st6uFKPoI?usp=share_link" TargetMode="External"/><Relationship Id="rId3471" Type="http://schemas.openxmlformats.org/officeDocument/2006/relationships/hyperlink" Target="https://drive.google.com/drive/folders/10T2cTQHqEJZqE-st6uFKPoI?usp=share_link" TargetMode="External"/><Relationship Id="rId2142" Type="http://schemas.openxmlformats.org/officeDocument/2006/relationships/hyperlink" Target="https://drive.google.com/drive/folders/10T2cTQHqEJZqE-st6uFKPoI?usp=share_link" TargetMode="External"/><Relationship Id="rId3474" Type="http://schemas.openxmlformats.org/officeDocument/2006/relationships/hyperlink" Target="https://drive.google.com/drive/folders/10T2cTQHqEJZqE-st6uFKPoI?usp=share_link" TargetMode="External"/><Relationship Id="rId2143" Type="http://schemas.openxmlformats.org/officeDocument/2006/relationships/hyperlink" Target="https://drive.google.com/drive/folders/10T2cTQHqEJZqE-st6uFKPoI?usp=share_link" TargetMode="External"/><Relationship Id="rId3473" Type="http://schemas.openxmlformats.org/officeDocument/2006/relationships/hyperlink" Target="https://drive.google.com/drive/folders/10T2cTQHqEJZqE-st6uFKPoI?usp=share_link" TargetMode="External"/><Relationship Id="rId2144" Type="http://schemas.openxmlformats.org/officeDocument/2006/relationships/hyperlink" Target="https://drive.google.com/drive/folders/10T2cTQHqEJZqE-st6uFKPoI?usp=share_link" TargetMode="External"/><Relationship Id="rId3476" Type="http://schemas.openxmlformats.org/officeDocument/2006/relationships/hyperlink" Target="https://drive.google.com/drive/folders/10T2cTQHqEJZqE-st6uFKPoI?usp=share_link" TargetMode="External"/><Relationship Id="rId2145" Type="http://schemas.openxmlformats.org/officeDocument/2006/relationships/hyperlink" Target="https://drive.google.com/drive/folders/10T2cTQHqEJZqE-st6uFKPoI?usp=share_link" TargetMode="External"/><Relationship Id="rId3475" Type="http://schemas.openxmlformats.org/officeDocument/2006/relationships/hyperlink" Target="https://drive.google.com/drive/folders/10T2cTQHqEJZqE-st6uFKPoI?usp=share_link" TargetMode="External"/><Relationship Id="rId2146" Type="http://schemas.openxmlformats.org/officeDocument/2006/relationships/hyperlink" Target="https://drive.google.com/drive/folders/10T2cTQHqEJZqE-st6uFKPoI?usp=share_link" TargetMode="External"/><Relationship Id="rId3478" Type="http://schemas.openxmlformats.org/officeDocument/2006/relationships/hyperlink" Target="https://drive.google.com/drive/folders/10T2cTQHqEJZqE-st6uFKPoI?usp=share_link" TargetMode="External"/><Relationship Id="rId2147" Type="http://schemas.openxmlformats.org/officeDocument/2006/relationships/hyperlink" Target="https://drive.google.com/drive/folders/10T2cTQHqEJZqE-st6uFKPoI?usp=share_link" TargetMode="External"/><Relationship Id="rId3477" Type="http://schemas.openxmlformats.org/officeDocument/2006/relationships/hyperlink" Target="https://drive.google.com/drive/folders/10T2cTQHqEJZqE-st6uFKPoI?usp=share_link" TargetMode="External"/><Relationship Id="rId2137" Type="http://schemas.openxmlformats.org/officeDocument/2006/relationships/hyperlink" Target="https://drive.google.com/drive/folders/10T2cTQHqEJZqE-st6uFKPoI?usp=share_link" TargetMode="External"/><Relationship Id="rId3469" Type="http://schemas.openxmlformats.org/officeDocument/2006/relationships/hyperlink" Target="https://drive.google.com/drive/folders/10T2cTQHqEJZqE-st6uFKPoI?usp=share_link" TargetMode="External"/><Relationship Id="rId2138" Type="http://schemas.openxmlformats.org/officeDocument/2006/relationships/hyperlink" Target="https://drive.google.com/drive/folders/10T2cTQHqEJZqE-st6uFKPoI?usp=share_link" TargetMode="External"/><Relationship Id="rId3468" Type="http://schemas.openxmlformats.org/officeDocument/2006/relationships/hyperlink" Target="https://drive.google.com/drive/folders/10T2cTQHqEJZqE-st6uFKPoI?usp=share_link" TargetMode="External"/><Relationship Id="rId4799" Type="http://schemas.openxmlformats.org/officeDocument/2006/relationships/hyperlink" Target="https://drive.google.com/drive/folders/10T2cTQHqEJZqE-st6uFKPoI?usp=share_link" TargetMode="External"/><Relationship Id="rId2139" Type="http://schemas.openxmlformats.org/officeDocument/2006/relationships/hyperlink" Target="https://drive.google.com/drive/folders/10T2cTQHqEJZqE-st6uFKPoI?usp=share_link" TargetMode="External"/><Relationship Id="rId4790" Type="http://schemas.openxmlformats.org/officeDocument/2006/relationships/hyperlink" Target="https://drive.google.com/drive/folders/10T2cTQHqEJZqE-st6uFKPoI?usp=share_link" TargetMode="External"/><Relationship Id="rId3461" Type="http://schemas.openxmlformats.org/officeDocument/2006/relationships/hyperlink" Target="https://drive.google.com/drive/folders/10T2cTQHqEJZqE-st6uFKPoI?usp=share_link" TargetMode="External"/><Relationship Id="rId4792" Type="http://schemas.openxmlformats.org/officeDocument/2006/relationships/hyperlink" Target="https://drive.google.com/drive/folders/10T2cTQHqEJZqE-st6uFKPoI?usp=share_link" TargetMode="External"/><Relationship Id="rId2130" Type="http://schemas.openxmlformats.org/officeDocument/2006/relationships/hyperlink" Target="https://drive.google.com/drive/folders/10T2cTQHqEJZqE-st6uFKPoI?usp=share_link" TargetMode="External"/><Relationship Id="rId3460" Type="http://schemas.openxmlformats.org/officeDocument/2006/relationships/hyperlink" Target="https://drive.google.com/drive/folders/10T2cTQHqEJZqE-st6uFKPoI?usp=share_link" TargetMode="External"/><Relationship Id="rId4791" Type="http://schemas.openxmlformats.org/officeDocument/2006/relationships/hyperlink" Target="https://drive.google.com/drive/folders/10T2cTQHqEJZqE-st6uFKPoI?usp=share_link" TargetMode="External"/><Relationship Id="rId2131" Type="http://schemas.openxmlformats.org/officeDocument/2006/relationships/hyperlink" Target="https://drive.google.com/drive/folders/10T2cTQHqEJZqE-st6uFKPoI?usp=share_link" TargetMode="External"/><Relationship Id="rId3463" Type="http://schemas.openxmlformats.org/officeDocument/2006/relationships/hyperlink" Target="https://drive.google.com/drive/folders/10T2cTQHqEJZqE-st6uFKPoI?usp=share_link" TargetMode="External"/><Relationship Id="rId4794" Type="http://schemas.openxmlformats.org/officeDocument/2006/relationships/hyperlink" Target="https://drive.google.com/drive/folders/10T2cTQHqEJZqE-st6uFKPoI?usp=share_link" TargetMode="External"/><Relationship Id="rId2132" Type="http://schemas.openxmlformats.org/officeDocument/2006/relationships/hyperlink" Target="https://drive.google.com/drive/folders/10T2cTQHqEJZqE-st6uFKPoI?usp=share_link" TargetMode="External"/><Relationship Id="rId3462" Type="http://schemas.openxmlformats.org/officeDocument/2006/relationships/hyperlink" Target="https://drive.google.com/drive/folders/10T2cTQHqEJZqE-st6uFKPoI?usp=share_link" TargetMode="External"/><Relationship Id="rId4793" Type="http://schemas.openxmlformats.org/officeDocument/2006/relationships/hyperlink" Target="https://drive.google.com/drive/folders/10T2cTQHqEJZqE-st6uFKPoI?usp=share_link" TargetMode="External"/><Relationship Id="rId2133" Type="http://schemas.openxmlformats.org/officeDocument/2006/relationships/hyperlink" Target="https://drive.google.com/drive/folders/10T2cTQHqEJZqE-st6uFKPoI?usp=share_link" TargetMode="External"/><Relationship Id="rId3465" Type="http://schemas.openxmlformats.org/officeDocument/2006/relationships/hyperlink" Target="https://drive.google.com/drive/folders/10T2cTQHqEJZqE-st6uFKPoI?usp=share_link" TargetMode="External"/><Relationship Id="rId4796" Type="http://schemas.openxmlformats.org/officeDocument/2006/relationships/hyperlink" Target="https://drive.google.com/drive/folders/10T2cTQHqEJZqE-st6uFKPoI?usp=share_link" TargetMode="External"/><Relationship Id="rId2134" Type="http://schemas.openxmlformats.org/officeDocument/2006/relationships/hyperlink" Target="https://drive.google.com/drive/folders/10T2cTQHqEJZqE-st6uFKPoI?usp=share_link" TargetMode="External"/><Relationship Id="rId3464" Type="http://schemas.openxmlformats.org/officeDocument/2006/relationships/hyperlink" Target="https://drive.google.com/drive/folders/10T2cTQHqEJZqE-st6uFKPoI?usp=share_link" TargetMode="External"/><Relationship Id="rId4795" Type="http://schemas.openxmlformats.org/officeDocument/2006/relationships/hyperlink" Target="https://drive.google.com/drive/folders/10T2cTQHqEJZqE-st6uFKPoI?usp=share_link" TargetMode="External"/><Relationship Id="rId2135" Type="http://schemas.openxmlformats.org/officeDocument/2006/relationships/hyperlink" Target="https://drive.google.com/drive/folders/10T2cTQHqEJZqE-st6uFKPoI?usp=share_link" TargetMode="External"/><Relationship Id="rId3467" Type="http://schemas.openxmlformats.org/officeDocument/2006/relationships/hyperlink" Target="https://drive.google.com/drive/folders/10T2cTQHqEJZqE-st6uFKPoI?usp=share_link" TargetMode="External"/><Relationship Id="rId4798" Type="http://schemas.openxmlformats.org/officeDocument/2006/relationships/hyperlink" Target="https://drive.google.com/drive/folders/10T2cTQHqEJZqE-st6uFKPoI?usp=share_link" TargetMode="External"/><Relationship Id="rId2136" Type="http://schemas.openxmlformats.org/officeDocument/2006/relationships/hyperlink" Target="https://drive.google.com/drive/folders/10T2cTQHqEJZqE-st6uFKPoI?usp=share_link" TargetMode="External"/><Relationship Id="rId3466" Type="http://schemas.openxmlformats.org/officeDocument/2006/relationships/hyperlink" Target="https://drive.google.com/drive/folders/10T2cTQHqEJZqE-st6uFKPoI?usp=share_link" TargetMode="External"/><Relationship Id="rId4797" Type="http://schemas.openxmlformats.org/officeDocument/2006/relationships/hyperlink" Target="https://drive.google.com/drive/folders/10T2cTQHqEJZqE-st6uFKPoI?usp=share_link" TargetMode="External"/><Relationship Id="rId3490" Type="http://schemas.openxmlformats.org/officeDocument/2006/relationships/hyperlink" Target="https://drive.google.com/drive/folders/10T2cTQHqEJZqE-st6uFKPoI?usp=share_link" TargetMode="External"/><Relationship Id="rId2160" Type="http://schemas.openxmlformats.org/officeDocument/2006/relationships/hyperlink" Target="https://drive.google.com/drive/folders/10T2cTQHqEJZqE-st6uFKPoI?usp=share_link" TargetMode="External"/><Relationship Id="rId3492" Type="http://schemas.openxmlformats.org/officeDocument/2006/relationships/hyperlink" Target="https://drive.google.com/drive/folders/10T2cTQHqEJZqE-st6uFKPoI?usp=share_link" TargetMode="External"/><Relationship Id="rId2161" Type="http://schemas.openxmlformats.org/officeDocument/2006/relationships/hyperlink" Target="https://drive.google.com/drive/folders/10T2cTQHqEJZqE-st6uFKPoI?usp=share_link" TargetMode="External"/><Relationship Id="rId3491" Type="http://schemas.openxmlformats.org/officeDocument/2006/relationships/hyperlink" Target="https://drive.google.com/drive/folders/10T2cTQHqEJZqE-st6uFKPoI?usp=share_link" TargetMode="External"/><Relationship Id="rId2162" Type="http://schemas.openxmlformats.org/officeDocument/2006/relationships/hyperlink" Target="https://drive.google.com/drive/folders/10T2cTQHqEJZqE-st6uFKPoI?usp=share_link" TargetMode="External"/><Relationship Id="rId3494" Type="http://schemas.openxmlformats.org/officeDocument/2006/relationships/hyperlink" Target="https://drive.google.com/drive/folders/10T2cTQHqEJZqE-st6uFKPoI?usp=share_link" TargetMode="External"/><Relationship Id="rId2163" Type="http://schemas.openxmlformats.org/officeDocument/2006/relationships/hyperlink" Target="https://drive.google.com/drive/folders/10T2cTQHqEJZqE-st6uFKPoI?usp=share_link" TargetMode="External"/><Relationship Id="rId3493" Type="http://schemas.openxmlformats.org/officeDocument/2006/relationships/hyperlink" Target="https://drive.google.com/drive/folders/10T2cTQHqEJZqE-st6uFKPoI?usp=share_link" TargetMode="External"/><Relationship Id="rId2164" Type="http://schemas.openxmlformats.org/officeDocument/2006/relationships/hyperlink" Target="https://drive.google.com/drive/folders/10T2cTQHqEJZqE-st6uFKPoI?usp=share_link" TargetMode="External"/><Relationship Id="rId3496" Type="http://schemas.openxmlformats.org/officeDocument/2006/relationships/hyperlink" Target="https://drive.google.com/drive/folders/10T2cTQHqEJZqE-st6uFKPoI?usp=share_link" TargetMode="External"/><Relationship Id="rId2165" Type="http://schemas.openxmlformats.org/officeDocument/2006/relationships/hyperlink" Target="https://drive.google.com/drive/folders/10T2cTQHqEJZqE-st6uFKPoI?usp=share_link" TargetMode="External"/><Relationship Id="rId3495" Type="http://schemas.openxmlformats.org/officeDocument/2006/relationships/hyperlink" Target="https://drive.google.com/drive/folders/10T2cTQHqEJZqE-st6uFKPoI?usp=share_link" TargetMode="External"/><Relationship Id="rId2166" Type="http://schemas.openxmlformats.org/officeDocument/2006/relationships/hyperlink" Target="https://drive.google.com/drive/folders/10T2cTQHqEJZqE-st6uFKPoI?usp=share_link" TargetMode="External"/><Relationship Id="rId3498" Type="http://schemas.openxmlformats.org/officeDocument/2006/relationships/hyperlink" Target="https://drive.google.com/drive/folders/10T2cTQHqEJZqE-st6uFKPoI?usp=share_link" TargetMode="External"/><Relationship Id="rId2167" Type="http://schemas.openxmlformats.org/officeDocument/2006/relationships/hyperlink" Target="https://drive.google.com/drive/folders/10T2cTQHqEJZqE-st6uFKPoI?usp=share_link" TargetMode="External"/><Relationship Id="rId3497" Type="http://schemas.openxmlformats.org/officeDocument/2006/relationships/hyperlink" Target="https://drive.google.com/drive/folders/10T2cTQHqEJZqE-st6uFKPoI?usp=share_link" TargetMode="External"/><Relationship Id="rId2168" Type="http://schemas.openxmlformats.org/officeDocument/2006/relationships/hyperlink" Target="https://drive.google.com/drive/folders/10T2cTQHqEJZqE-st6uFKPoI?usp=share_link" TargetMode="External"/><Relationship Id="rId2169" Type="http://schemas.openxmlformats.org/officeDocument/2006/relationships/hyperlink" Target="https://drive.google.com/drive/folders/10T2cTQHqEJZqE-st6uFKPoI?usp=share_link" TargetMode="External"/><Relationship Id="rId3499" Type="http://schemas.openxmlformats.org/officeDocument/2006/relationships/hyperlink" Target="https://drive.google.com/drive/folders/10T2cTQHqEJZqE-st6uFKPoI?usp=share_link" TargetMode="External"/><Relationship Id="rId2159" Type="http://schemas.openxmlformats.org/officeDocument/2006/relationships/hyperlink" Target="https://drive.google.com/drive/folders/10T2cTQHqEJZqE-st6uFKPoI?usp=share_link" TargetMode="External"/><Relationship Id="rId3481" Type="http://schemas.openxmlformats.org/officeDocument/2006/relationships/hyperlink" Target="https://drive.google.com/drive/folders/10T2cTQHqEJZqE-st6uFKPoI?usp=share_link" TargetMode="External"/><Relationship Id="rId2150" Type="http://schemas.openxmlformats.org/officeDocument/2006/relationships/hyperlink" Target="https://drive.google.com/drive/folders/10T2cTQHqEJZqE-st6uFKPoI?usp=share_link" TargetMode="External"/><Relationship Id="rId3480" Type="http://schemas.openxmlformats.org/officeDocument/2006/relationships/hyperlink" Target="https://drive.google.com/drive/folders/10T2cTQHqEJZqE-st6uFKPoI?usp=share_link" TargetMode="External"/><Relationship Id="rId2151" Type="http://schemas.openxmlformats.org/officeDocument/2006/relationships/hyperlink" Target="https://drive.google.com/drive/folders/10T2cTQHqEJZqE-st6uFKPoI?usp=share_link" TargetMode="External"/><Relationship Id="rId3483" Type="http://schemas.openxmlformats.org/officeDocument/2006/relationships/hyperlink" Target="https://drive.google.com/drive/folders/10T2cTQHqEJZqE-st6uFKPoI?usp=share_link" TargetMode="External"/><Relationship Id="rId2152" Type="http://schemas.openxmlformats.org/officeDocument/2006/relationships/hyperlink" Target="https://drive.google.com/drive/folders/10T2cTQHqEJZqE-st6uFKPoI?usp=share_link" TargetMode="External"/><Relationship Id="rId3482" Type="http://schemas.openxmlformats.org/officeDocument/2006/relationships/hyperlink" Target="https://drive.google.com/drive/folders/10T2cTQHqEJZqE-st6uFKPoI?usp=share_link" TargetMode="External"/><Relationship Id="rId2153" Type="http://schemas.openxmlformats.org/officeDocument/2006/relationships/hyperlink" Target="https://drive.google.com/drive/folders/10T2cTQHqEJZqE-st6uFKPoI?usp=share_link" TargetMode="External"/><Relationship Id="rId3485" Type="http://schemas.openxmlformats.org/officeDocument/2006/relationships/hyperlink" Target="https://drive.google.com/drive/folders/10T2cTQHqEJZqE-st6uFKPoI?usp=share_link" TargetMode="External"/><Relationship Id="rId2154" Type="http://schemas.openxmlformats.org/officeDocument/2006/relationships/hyperlink" Target="https://drive.google.com/drive/folders/10T2cTQHqEJZqE-st6uFKPoI?usp=share_link" TargetMode="External"/><Relationship Id="rId3484" Type="http://schemas.openxmlformats.org/officeDocument/2006/relationships/hyperlink" Target="https://drive.google.com/drive/folders/10T2cTQHqEJZqE-st6uFKPoI?usp=share_link" TargetMode="External"/><Relationship Id="rId2155" Type="http://schemas.openxmlformats.org/officeDocument/2006/relationships/hyperlink" Target="https://drive.google.com/drive/folders/10T2cTQHqEJZqE-st6uFKPoI?usp=share_link" TargetMode="External"/><Relationship Id="rId3487" Type="http://schemas.openxmlformats.org/officeDocument/2006/relationships/hyperlink" Target="https://drive.google.com/drive/folders/10T2cTQHqEJZqE-st6uFKPoI?usp=share_link" TargetMode="External"/><Relationship Id="rId2156" Type="http://schemas.openxmlformats.org/officeDocument/2006/relationships/hyperlink" Target="https://drive.google.com/drive/folders/10T2cTQHqEJZqE-st6uFKPoI?usp=share_link" TargetMode="External"/><Relationship Id="rId3486" Type="http://schemas.openxmlformats.org/officeDocument/2006/relationships/hyperlink" Target="https://drive.google.com/drive/folders/10T2cTQHqEJZqE-st6uFKPoI?usp=share_link" TargetMode="External"/><Relationship Id="rId2157" Type="http://schemas.openxmlformats.org/officeDocument/2006/relationships/hyperlink" Target="https://drive.google.com/drive/folders/10T2cTQHqEJZqE-st6uFKPoI?usp=share_link" TargetMode="External"/><Relationship Id="rId3489" Type="http://schemas.openxmlformats.org/officeDocument/2006/relationships/hyperlink" Target="https://drive.google.com/drive/folders/10T2cTQHqEJZqE-st6uFKPoI?usp=share_link" TargetMode="External"/><Relationship Id="rId2158" Type="http://schemas.openxmlformats.org/officeDocument/2006/relationships/hyperlink" Target="https://drive.google.com/drive/folders/10T2cTQHqEJZqE-st6uFKPoI?usp=share_link" TargetMode="External"/><Relationship Id="rId3488" Type="http://schemas.openxmlformats.org/officeDocument/2006/relationships/hyperlink" Target="https://drive.google.com/drive/folders/10T2cTQHqEJZqE-st6uFKPoI?usp=share_link" TargetMode="External"/><Relationship Id="rId2104" Type="http://schemas.openxmlformats.org/officeDocument/2006/relationships/hyperlink" Target="https://drive.google.com/drive/folders/10T2cTQHqEJZqE-st6uFKPoI?usp=share_link" TargetMode="External"/><Relationship Id="rId3436" Type="http://schemas.openxmlformats.org/officeDocument/2006/relationships/hyperlink" Target="https://drive.google.com/drive/folders/10T2cTQHqEJZqE-st6uFKPoI?usp=share_link" TargetMode="External"/><Relationship Id="rId4767" Type="http://schemas.openxmlformats.org/officeDocument/2006/relationships/hyperlink" Target="https://drive.google.com/drive/folders/10T2cTQHqEJZqE-st6uFKPoI?usp=share_link" TargetMode="External"/><Relationship Id="rId2105" Type="http://schemas.openxmlformats.org/officeDocument/2006/relationships/hyperlink" Target="https://drive.google.com/drive/folders/10T2cTQHqEJZqE-st6uFKPoI?usp=share_link" TargetMode="External"/><Relationship Id="rId3435" Type="http://schemas.openxmlformats.org/officeDocument/2006/relationships/hyperlink" Target="https://drive.google.com/drive/folders/10T2cTQHqEJZqE-st6uFKPoI?usp=share_link" TargetMode="External"/><Relationship Id="rId4766" Type="http://schemas.openxmlformats.org/officeDocument/2006/relationships/hyperlink" Target="https://drive.google.com/drive/folders/10T2cTQHqEJZqE-st6uFKPoI?usp=share_link" TargetMode="External"/><Relationship Id="rId2106" Type="http://schemas.openxmlformats.org/officeDocument/2006/relationships/hyperlink" Target="https://drive.google.com/drive/folders/10T2cTQHqEJZqE-st6uFKPoI?usp=share_link" TargetMode="External"/><Relationship Id="rId3438" Type="http://schemas.openxmlformats.org/officeDocument/2006/relationships/hyperlink" Target="https://drive.google.com/drive/folders/10T2cTQHqEJZqE-st6uFKPoI?usp=share_link" TargetMode="External"/><Relationship Id="rId4769" Type="http://schemas.openxmlformats.org/officeDocument/2006/relationships/hyperlink" Target="https://drive.google.com/drive/folders/10T2cTQHqEJZqE-st6uFKPoI?usp=share_link" TargetMode="External"/><Relationship Id="rId2107" Type="http://schemas.openxmlformats.org/officeDocument/2006/relationships/hyperlink" Target="https://drive.google.com/drive/folders/10T2cTQHqEJZqE-st6uFKPoI?usp=share_link" TargetMode="External"/><Relationship Id="rId3437" Type="http://schemas.openxmlformats.org/officeDocument/2006/relationships/hyperlink" Target="https://drive.google.com/drive/folders/10T2cTQHqEJZqE-st6uFKPoI?usp=share_link" TargetMode="External"/><Relationship Id="rId4768" Type="http://schemas.openxmlformats.org/officeDocument/2006/relationships/hyperlink" Target="https://drive.google.com/drive/folders/10T2cTQHqEJZqE-st6uFKPoI?usp=share_link" TargetMode="External"/><Relationship Id="rId2108" Type="http://schemas.openxmlformats.org/officeDocument/2006/relationships/hyperlink" Target="https://drive.google.com/drive/folders/10T2cTQHqEJZqE-st6uFKPoI?usp=share_link" TargetMode="External"/><Relationship Id="rId2109" Type="http://schemas.openxmlformats.org/officeDocument/2006/relationships/hyperlink" Target="https://drive.google.com/drive/folders/10T2cTQHqEJZqE-st6uFKPoI?usp=share_link" TargetMode="External"/><Relationship Id="rId3439" Type="http://schemas.openxmlformats.org/officeDocument/2006/relationships/hyperlink" Target="https://drive.google.com/drive/folders/10T2cTQHqEJZqE-st6uFKPoI?usp=share_link" TargetMode="External"/><Relationship Id="rId3430" Type="http://schemas.openxmlformats.org/officeDocument/2006/relationships/hyperlink" Target="https://drive.google.com/drive/folders/10T2cTQHqEJZqE-st6uFKPoI?usp=share_link" TargetMode="External"/><Relationship Id="rId4761" Type="http://schemas.openxmlformats.org/officeDocument/2006/relationships/hyperlink" Target="https://drive.google.com/drive/folders/10T2cTQHqEJZqE-st6uFKPoI?usp=share_link" TargetMode="External"/><Relationship Id="rId4760" Type="http://schemas.openxmlformats.org/officeDocument/2006/relationships/hyperlink" Target="https://drive.google.com/drive/folders/10T2cTQHqEJZqE-st6uFKPoI?usp=share_link" TargetMode="External"/><Relationship Id="rId2100" Type="http://schemas.openxmlformats.org/officeDocument/2006/relationships/hyperlink" Target="https://drive.google.com/drive/folders/10T2cTQHqEJZqE-st6uFKPoI?usp=share_link" TargetMode="External"/><Relationship Id="rId3432" Type="http://schemas.openxmlformats.org/officeDocument/2006/relationships/hyperlink" Target="https://drive.google.com/drive/folders/10T2cTQHqEJZqE-st6uFKPoI?usp=share_link" TargetMode="External"/><Relationship Id="rId4763" Type="http://schemas.openxmlformats.org/officeDocument/2006/relationships/hyperlink" Target="https://drive.google.com/drive/folders/10T2cTQHqEJZqE-st6uFKPoI?usp=share_link" TargetMode="External"/><Relationship Id="rId2101" Type="http://schemas.openxmlformats.org/officeDocument/2006/relationships/hyperlink" Target="https://drive.google.com/drive/folders/10T2cTQHqEJZqE-st6uFKPoI?usp=share_link" TargetMode="External"/><Relationship Id="rId3431" Type="http://schemas.openxmlformats.org/officeDocument/2006/relationships/hyperlink" Target="https://drive.google.com/drive/folders/10T2cTQHqEJZqE-st6uFKPoI?usp=share_link" TargetMode="External"/><Relationship Id="rId4762" Type="http://schemas.openxmlformats.org/officeDocument/2006/relationships/hyperlink" Target="https://drive.google.com/drive/folders/10T2cTQHqEJZqE-st6uFKPoI?usp=share_link" TargetMode="External"/><Relationship Id="rId2102" Type="http://schemas.openxmlformats.org/officeDocument/2006/relationships/hyperlink" Target="https://drive.google.com/drive/folders/10T2cTQHqEJZqE-st6uFKPoI?usp=share_link" TargetMode="External"/><Relationship Id="rId3434" Type="http://schemas.openxmlformats.org/officeDocument/2006/relationships/hyperlink" Target="https://drive.google.com/drive/folders/10T2cTQHqEJZqE-st6uFKPoI?usp=share_link" TargetMode="External"/><Relationship Id="rId4765" Type="http://schemas.openxmlformats.org/officeDocument/2006/relationships/hyperlink" Target="https://drive.google.com/drive/folders/10T2cTQHqEJZqE-st6uFKPoI?usp=share_link" TargetMode="External"/><Relationship Id="rId2103" Type="http://schemas.openxmlformats.org/officeDocument/2006/relationships/hyperlink" Target="https://drive.google.com/drive/folders/10T2cTQHqEJZqE-st6uFKPoI?usp=share_link" TargetMode="External"/><Relationship Id="rId3433" Type="http://schemas.openxmlformats.org/officeDocument/2006/relationships/hyperlink" Target="https://drive.google.com/drive/folders/10T2cTQHqEJZqE-st6uFKPoI?usp=share_link" TargetMode="External"/><Relationship Id="rId4764" Type="http://schemas.openxmlformats.org/officeDocument/2006/relationships/hyperlink" Target="https://drive.google.com/drive/folders/10T2cTQHqEJZqE-st6uFKPoI?usp=share_link" TargetMode="External"/><Relationship Id="rId3425" Type="http://schemas.openxmlformats.org/officeDocument/2006/relationships/hyperlink" Target="https://drive.google.com/drive/folders/10T2cTQHqEJZqE-st6uFKPoI?usp=share_link" TargetMode="External"/><Relationship Id="rId4756" Type="http://schemas.openxmlformats.org/officeDocument/2006/relationships/hyperlink" Target="https://drive.google.com/drive/folders/10T2cTQHqEJZqE-st6uFKPoI?usp=share_link" TargetMode="External"/><Relationship Id="rId3424" Type="http://schemas.openxmlformats.org/officeDocument/2006/relationships/hyperlink" Target="https://drive.google.com/drive/folders/10T2cTQHqEJZqE-st6uFKPoI?usp=share_link" TargetMode="External"/><Relationship Id="rId4755" Type="http://schemas.openxmlformats.org/officeDocument/2006/relationships/hyperlink" Target="https://drive.google.com/drive/folders/10T2cTQHqEJZqE-st6uFKPoI?usp=share_link" TargetMode="External"/><Relationship Id="rId3427" Type="http://schemas.openxmlformats.org/officeDocument/2006/relationships/hyperlink" Target="https://drive.google.com/drive/folders/10T2cTQHqEJZqE-st6uFKPoI?usp=share_link" TargetMode="External"/><Relationship Id="rId4758" Type="http://schemas.openxmlformats.org/officeDocument/2006/relationships/hyperlink" Target="https://drive.google.com/drive/folders/10T2cTQHqEJZqE-st6uFKPoI?usp=share_link" TargetMode="External"/><Relationship Id="rId3426" Type="http://schemas.openxmlformats.org/officeDocument/2006/relationships/hyperlink" Target="https://drive.google.com/drive/folders/10T2cTQHqEJZqE-st6uFKPoI?usp=share_link" TargetMode="External"/><Relationship Id="rId4757" Type="http://schemas.openxmlformats.org/officeDocument/2006/relationships/hyperlink" Target="https://drive.google.com/drive/folders/10T2cTQHqEJZqE-st6uFKPoI?usp=share_link" TargetMode="External"/><Relationship Id="rId3429" Type="http://schemas.openxmlformats.org/officeDocument/2006/relationships/hyperlink" Target="https://drive.google.com/drive/folders/10T2cTQHqEJZqE-st6uFKPoI?usp=share_link" TargetMode="External"/><Relationship Id="rId3428" Type="http://schemas.openxmlformats.org/officeDocument/2006/relationships/hyperlink" Target="https://drive.google.com/drive/folders/10T2cTQHqEJZqE-st6uFKPoI?usp=share_link" TargetMode="External"/><Relationship Id="rId4759" Type="http://schemas.openxmlformats.org/officeDocument/2006/relationships/hyperlink" Target="https://drive.google.com/drive/folders/10T2cTQHqEJZqE-st6uFKPoI?usp=share_link" TargetMode="External"/><Relationship Id="rId899" Type="http://schemas.openxmlformats.org/officeDocument/2006/relationships/hyperlink" Target="https://drive.google.com/drive/folders/10T2cTQHqEJZqE-st6uFKPoI?usp=share_link" TargetMode="External"/><Relationship Id="rId898" Type="http://schemas.openxmlformats.org/officeDocument/2006/relationships/hyperlink" Target="https://drive.google.com/drive/folders/10T2cTQHqEJZqE-st6uFKPoI?usp=share_link" TargetMode="External"/><Relationship Id="rId897" Type="http://schemas.openxmlformats.org/officeDocument/2006/relationships/hyperlink" Target="https://drive.google.com/drive/folders/10T2cTQHqEJZqE-st6uFKPoI?usp=share_link" TargetMode="External"/><Relationship Id="rId896" Type="http://schemas.openxmlformats.org/officeDocument/2006/relationships/hyperlink" Target="https://drive.google.com/drive/folders/10T2cTQHqEJZqE-st6uFKPoI?usp=share_link" TargetMode="External"/><Relationship Id="rId891" Type="http://schemas.openxmlformats.org/officeDocument/2006/relationships/hyperlink" Target="https://drive.google.com/drive/folders/10T2cTQHqEJZqE-st6uFKPoI?usp=share_link" TargetMode="External"/><Relationship Id="rId890" Type="http://schemas.openxmlformats.org/officeDocument/2006/relationships/hyperlink" Target="https://drive.google.com/drive/folders/10T2cTQHqEJZqE-st6uFKPoI?usp=share_link" TargetMode="External"/><Relationship Id="rId4750" Type="http://schemas.openxmlformats.org/officeDocument/2006/relationships/hyperlink" Target="https://drive.google.com/drive/folders/10T2cTQHqEJZqE-st6uFKPoI?usp=share_link" TargetMode="External"/><Relationship Id="rId895" Type="http://schemas.openxmlformats.org/officeDocument/2006/relationships/hyperlink" Target="https://drive.google.com/drive/folders/10T2cTQHqEJZqE-st6uFKPoI?usp=share_link" TargetMode="External"/><Relationship Id="rId3421" Type="http://schemas.openxmlformats.org/officeDocument/2006/relationships/hyperlink" Target="https://drive.google.com/drive/folders/10T2cTQHqEJZqE-st6uFKPoI?usp=share_link" TargetMode="External"/><Relationship Id="rId4752" Type="http://schemas.openxmlformats.org/officeDocument/2006/relationships/hyperlink" Target="https://drive.google.com/drive/folders/10T2cTQHqEJZqE-st6uFKPoI?usp=share_link" TargetMode="External"/><Relationship Id="rId894" Type="http://schemas.openxmlformats.org/officeDocument/2006/relationships/hyperlink" Target="https://drive.google.com/drive/folders/10T2cTQHqEJZqE-st6uFKPoI?usp=share_link" TargetMode="External"/><Relationship Id="rId3420" Type="http://schemas.openxmlformats.org/officeDocument/2006/relationships/hyperlink" Target="https://drive.google.com/drive/folders/10T2cTQHqEJZqE-st6uFKPoI?usp=share_link" TargetMode="External"/><Relationship Id="rId4751" Type="http://schemas.openxmlformats.org/officeDocument/2006/relationships/hyperlink" Target="https://drive.google.com/drive/folders/10T2cTQHqEJZqE-st6uFKPoI?usp=share_link" TargetMode="External"/><Relationship Id="rId893" Type="http://schemas.openxmlformats.org/officeDocument/2006/relationships/hyperlink" Target="https://drive.google.com/drive/folders/10T2cTQHqEJZqE-st6uFKPoI?usp=share_link" TargetMode="External"/><Relationship Id="rId3423" Type="http://schemas.openxmlformats.org/officeDocument/2006/relationships/hyperlink" Target="https://drive.google.com/drive/folders/10T2cTQHqEJZqE-st6uFKPoI?usp=share_link" TargetMode="External"/><Relationship Id="rId4754" Type="http://schemas.openxmlformats.org/officeDocument/2006/relationships/hyperlink" Target="https://drive.google.com/drive/folders/10T2cTQHqEJZqE-st6uFKPoI?usp=share_link" TargetMode="External"/><Relationship Id="rId892" Type="http://schemas.openxmlformats.org/officeDocument/2006/relationships/hyperlink" Target="https://drive.google.com/drive/folders/10T2cTQHqEJZqE-st6uFKPoI?usp=share_link" TargetMode="External"/><Relationship Id="rId3422" Type="http://schemas.openxmlformats.org/officeDocument/2006/relationships/hyperlink" Target="https://drive.google.com/drive/folders/10T2cTQHqEJZqE-st6uFKPoI?usp=share_link" TargetMode="External"/><Relationship Id="rId4753" Type="http://schemas.openxmlformats.org/officeDocument/2006/relationships/hyperlink" Target="https://drive.google.com/drive/folders/10T2cTQHqEJZqE-st6uFKPoI?usp=share_link" TargetMode="External"/><Relationship Id="rId2126" Type="http://schemas.openxmlformats.org/officeDocument/2006/relationships/hyperlink" Target="https://drive.google.com/drive/folders/10T2cTQHqEJZqE-st6uFKPoI?usp=share_link" TargetMode="External"/><Relationship Id="rId3458" Type="http://schemas.openxmlformats.org/officeDocument/2006/relationships/hyperlink" Target="https://drive.google.com/drive/folders/10T2cTQHqEJZqE-st6uFKPoI?usp=share_link" TargetMode="External"/><Relationship Id="rId4789" Type="http://schemas.openxmlformats.org/officeDocument/2006/relationships/hyperlink" Target="https://drive.google.com/drive/folders/10T2cTQHqEJZqE-st6uFKPoI?usp=share_link" TargetMode="External"/><Relationship Id="rId2127" Type="http://schemas.openxmlformats.org/officeDocument/2006/relationships/hyperlink" Target="https://drive.google.com/drive/folders/10T2cTQHqEJZqE-st6uFKPoI?usp=share_link" TargetMode="External"/><Relationship Id="rId3457" Type="http://schemas.openxmlformats.org/officeDocument/2006/relationships/hyperlink" Target="https://drive.google.com/drive/folders/10T2cTQHqEJZqE-st6uFKPoI?usp=share_link" TargetMode="External"/><Relationship Id="rId4788" Type="http://schemas.openxmlformats.org/officeDocument/2006/relationships/hyperlink" Target="https://drive.google.com/drive/folders/10T2cTQHqEJZqE-st6uFKPoI?usp=share_link" TargetMode="External"/><Relationship Id="rId2128" Type="http://schemas.openxmlformats.org/officeDocument/2006/relationships/hyperlink" Target="https://drive.google.com/drive/folders/10T2cTQHqEJZqE-st6uFKPoI?usp=share_link" TargetMode="External"/><Relationship Id="rId2129" Type="http://schemas.openxmlformats.org/officeDocument/2006/relationships/hyperlink" Target="https://drive.google.com/drive/folders/10T2cTQHqEJZqE-st6uFKPoI?usp=share_link" TargetMode="External"/><Relationship Id="rId3459" Type="http://schemas.openxmlformats.org/officeDocument/2006/relationships/hyperlink" Target="https://drive.google.com/drive/folders/10T2cTQHqEJZqE-st6uFKPoI?usp=share_link" TargetMode="External"/><Relationship Id="rId3450" Type="http://schemas.openxmlformats.org/officeDocument/2006/relationships/hyperlink" Target="https://drive.google.com/drive/folders/10T2cTQHqEJZqE-st6uFKPoI?usp=share_link" TargetMode="External"/><Relationship Id="rId4781" Type="http://schemas.openxmlformats.org/officeDocument/2006/relationships/hyperlink" Target="https://drive.google.com/drive/folders/10T2cTQHqEJZqE-st6uFKPoI?usp=share_link" TargetMode="External"/><Relationship Id="rId4780" Type="http://schemas.openxmlformats.org/officeDocument/2006/relationships/hyperlink" Target="https://drive.google.com/drive/folders/10T2cTQHqEJZqE-st6uFKPoI?usp=share_link" TargetMode="External"/><Relationship Id="rId2120" Type="http://schemas.openxmlformats.org/officeDocument/2006/relationships/hyperlink" Target="https://drive.google.com/drive/folders/10T2cTQHqEJZqE-st6uFKPoI?usp=share_link" TargetMode="External"/><Relationship Id="rId3452" Type="http://schemas.openxmlformats.org/officeDocument/2006/relationships/hyperlink" Target="https://drive.google.com/drive/folders/10T2cTQHqEJZqE-st6uFKPoI?usp=share_link" TargetMode="External"/><Relationship Id="rId4783" Type="http://schemas.openxmlformats.org/officeDocument/2006/relationships/hyperlink" Target="https://drive.google.com/drive/folders/10T2cTQHqEJZqE-st6uFKPoI?usp=share_link" TargetMode="External"/><Relationship Id="rId2121" Type="http://schemas.openxmlformats.org/officeDocument/2006/relationships/hyperlink" Target="https://drive.google.com/drive/folders/10T2cTQHqEJZqE-st6uFKPoI?usp=share_link" TargetMode="External"/><Relationship Id="rId3451" Type="http://schemas.openxmlformats.org/officeDocument/2006/relationships/hyperlink" Target="https://drive.google.com/drive/folders/10T2cTQHqEJZqE-st6uFKPoI?usp=share_link" TargetMode="External"/><Relationship Id="rId4782" Type="http://schemas.openxmlformats.org/officeDocument/2006/relationships/hyperlink" Target="https://drive.google.com/drive/folders/10T2cTQHqEJZqE-st6uFKPoI?usp=share_link" TargetMode="External"/><Relationship Id="rId2122" Type="http://schemas.openxmlformats.org/officeDocument/2006/relationships/hyperlink" Target="https://drive.google.com/drive/folders/10T2cTQHqEJZqE-st6uFKPoI?usp=share_link" TargetMode="External"/><Relationship Id="rId3454" Type="http://schemas.openxmlformats.org/officeDocument/2006/relationships/hyperlink" Target="https://drive.google.com/drive/folders/10T2cTQHqEJZqE-st6uFKPoI?usp=share_link" TargetMode="External"/><Relationship Id="rId4785" Type="http://schemas.openxmlformats.org/officeDocument/2006/relationships/hyperlink" Target="https://drive.google.com/drive/folders/10T2cTQHqEJZqE-st6uFKPoI?usp=share_link" TargetMode="External"/><Relationship Id="rId2123" Type="http://schemas.openxmlformats.org/officeDocument/2006/relationships/hyperlink" Target="https://drive.google.com/drive/folders/10T2cTQHqEJZqE-st6uFKPoI?usp=share_link" TargetMode="External"/><Relationship Id="rId3453" Type="http://schemas.openxmlformats.org/officeDocument/2006/relationships/hyperlink" Target="https://drive.google.com/drive/folders/10T2cTQHqEJZqE-st6uFKPoI?usp=share_link" TargetMode="External"/><Relationship Id="rId4784" Type="http://schemas.openxmlformats.org/officeDocument/2006/relationships/hyperlink" Target="https://drive.google.com/drive/folders/10T2cTQHqEJZqE-st6uFKPoI?usp=share_link" TargetMode="External"/><Relationship Id="rId2124" Type="http://schemas.openxmlformats.org/officeDocument/2006/relationships/hyperlink" Target="https://drive.google.com/drive/folders/10T2cTQHqEJZqE-st6uFKPoI?usp=share_link" TargetMode="External"/><Relationship Id="rId3456" Type="http://schemas.openxmlformats.org/officeDocument/2006/relationships/hyperlink" Target="https://drive.google.com/drive/folders/10T2cTQHqEJZqE-st6uFKPoI?usp=share_link" TargetMode="External"/><Relationship Id="rId4787" Type="http://schemas.openxmlformats.org/officeDocument/2006/relationships/hyperlink" Target="https://drive.google.com/drive/folders/10T2cTQHqEJZqE-st6uFKPoI?usp=share_link" TargetMode="External"/><Relationship Id="rId2125" Type="http://schemas.openxmlformats.org/officeDocument/2006/relationships/hyperlink" Target="https://drive.google.com/drive/folders/10T2cTQHqEJZqE-st6uFKPoI?usp=share_link" TargetMode="External"/><Relationship Id="rId3455" Type="http://schemas.openxmlformats.org/officeDocument/2006/relationships/hyperlink" Target="https://drive.google.com/drive/folders/10T2cTQHqEJZqE-st6uFKPoI?usp=share_link" TargetMode="External"/><Relationship Id="rId4786" Type="http://schemas.openxmlformats.org/officeDocument/2006/relationships/hyperlink" Target="https://drive.google.com/drive/folders/10T2cTQHqEJZqE-st6uFKPoI?usp=share_link" TargetMode="External"/><Relationship Id="rId2115" Type="http://schemas.openxmlformats.org/officeDocument/2006/relationships/hyperlink" Target="https://drive.google.com/drive/folders/10T2cTQHqEJZqE-st6uFKPoI?usp=share_link" TargetMode="External"/><Relationship Id="rId3447" Type="http://schemas.openxmlformats.org/officeDocument/2006/relationships/hyperlink" Target="https://drive.google.com/drive/folders/10T2cTQHqEJZqE-st6uFKPoI?usp=share_link" TargetMode="External"/><Relationship Id="rId4778" Type="http://schemas.openxmlformats.org/officeDocument/2006/relationships/hyperlink" Target="https://drive.google.com/drive/folders/10T2cTQHqEJZqE-st6uFKPoI?usp=share_link" TargetMode="External"/><Relationship Id="rId2116" Type="http://schemas.openxmlformats.org/officeDocument/2006/relationships/hyperlink" Target="https://drive.google.com/drive/folders/10T2cTQHqEJZqE-st6uFKPoI?usp=share_link" TargetMode="External"/><Relationship Id="rId3446" Type="http://schemas.openxmlformats.org/officeDocument/2006/relationships/hyperlink" Target="https://drive.google.com/drive/folders/10T2cTQHqEJZqE-st6uFKPoI?usp=share_link" TargetMode="External"/><Relationship Id="rId4777" Type="http://schemas.openxmlformats.org/officeDocument/2006/relationships/hyperlink" Target="https://drive.google.com/drive/folders/10T2cTQHqEJZqE-st6uFKPoI?usp=share_link" TargetMode="External"/><Relationship Id="rId2117" Type="http://schemas.openxmlformats.org/officeDocument/2006/relationships/hyperlink" Target="https://drive.google.com/drive/folders/10T2cTQHqEJZqE-st6uFKPoI?usp=share_link" TargetMode="External"/><Relationship Id="rId3449" Type="http://schemas.openxmlformats.org/officeDocument/2006/relationships/hyperlink" Target="https://drive.google.com/drive/folders/10T2cTQHqEJZqE-st6uFKPoI?usp=share_link" TargetMode="External"/><Relationship Id="rId2118" Type="http://schemas.openxmlformats.org/officeDocument/2006/relationships/hyperlink" Target="https://drive.google.com/drive/folders/10T2cTQHqEJZqE-st6uFKPoI?usp=share_link" TargetMode="External"/><Relationship Id="rId3448" Type="http://schemas.openxmlformats.org/officeDocument/2006/relationships/hyperlink" Target="https://drive.google.com/drive/folders/10T2cTQHqEJZqE-st6uFKPoI?usp=share_link" TargetMode="External"/><Relationship Id="rId4779" Type="http://schemas.openxmlformats.org/officeDocument/2006/relationships/hyperlink" Target="https://drive.google.com/drive/folders/10T2cTQHqEJZqE-st6uFKPoI?usp=share_link" TargetMode="External"/><Relationship Id="rId2119" Type="http://schemas.openxmlformats.org/officeDocument/2006/relationships/hyperlink" Target="https://drive.google.com/drive/folders/10T2cTQHqEJZqE-st6uFKPoI?usp=share_link" TargetMode="External"/><Relationship Id="rId4770" Type="http://schemas.openxmlformats.org/officeDocument/2006/relationships/hyperlink" Target="https://drive.google.com/drive/folders/10T2cTQHqEJZqE-st6uFKPoI?usp=share_link" TargetMode="External"/><Relationship Id="rId3441" Type="http://schemas.openxmlformats.org/officeDocument/2006/relationships/hyperlink" Target="https://drive.google.com/drive/folders/10T2cTQHqEJZqE-st6uFKPoI?usp=share_link" TargetMode="External"/><Relationship Id="rId4772" Type="http://schemas.openxmlformats.org/officeDocument/2006/relationships/hyperlink" Target="https://drive.google.com/drive/folders/10T2cTQHqEJZqE-st6uFKPoI?usp=share_link" TargetMode="External"/><Relationship Id="rId2110" Type="http://schemas.openxmlformats.org/officeDocument/2006/relationships/hyperlink" Target="https://drive.google.com/drive/folders/10T2cTQHqEJZqE-st6uFKPoI?usp=share_link" TargetMode="External"/><Relationship Id="rId3440" Type="http://schemas.openxmlformats.org/officeDocument/2006/relationships/hyperlink" Target="https://drive.google.com/drive/folders/10T2cTQHqEJZqE-st6uFKPoI?usp=share_link" TargetMode="External"/><Relationship Id="rId4771" Type="http://schemas.openxmlformats.org/officeDocument/2006/relationships/hyperlink" Target="https://drive.google.com/drive/folders/10T2cTQHqEJZqE-st6uFKPoI?usp=share_link" TargetMode="External"/><Relationship Id="rId2111" Type="http://schemas.openxmlformats.org/officeDocument/2006/relationships/hyperlink" Target="https://drive.google.com/drive/folders/10T2cTQHqEJZqE-st6uFKPoI?usp=share_link" TargetMode="External"/><Relationship Id="rId3443" Type="http://schemas.openxmlformats.org/officeDocument/2006/relationships/hyperlink" Target="https://drive.google.com/drive/folders/10T2cTQHqEJZqE-st6uFKPoI?usp=share_link" TargetMode="External"/><Relationship Id="rId4774" Type="http://schemas.openxmlformats.org/officeDocument/2006/relationships/hyperlink" Target="https://drive.google.com/drive/folders/10T2cTQHqEJZqE-st6uFKPoI?usp=share_link" TargetMode="External"/><Relationship Id="rId2112" Type="http://schemas.openxmlformats.org/officeDocument/2006/relationships/hyperlink" Target="https://drive.google.com/drive/folders/10T2cTQHqEJZqE-st6uFKPoI?usp=share_link" TargetMode="External"/><Relationship Id="rId3442" Type="http://schemas.openxmlformats.org/officeDocument/2006/relationships/hyperlink" Target="https://drive.google.com/drive/folders/10T2cTQHqEJZqE-st6uFKPoI?usp=share_link" TargetMode="External"/><Relationship Id="rId4773" Type="http://schemas.openxmlformats.org/officeDocument/2006/relationships/hyperlink" Target="https://drive.google.com/drive/folders/10T2cTQHqEJZqE-st6uFKPoI?usp=share_link" TargetMode="External"/><Relationship Id="rId2113" Type="http://schemas.openxmlformats.org/officeDocument/2006/relationships/hyperlink" Target="https://drive.google.com/drive/folders/10T2cTQHqEJZqE-st6uFKPoI?usp=share_link" TargetMode="External"/><Relationship Id="rId3445" Type="http://schemas.openxmlformats.org/officeDocument/2006/relationships/hyperlink" Target="https://drive.google.com/drive/folders/10T2cTQHqEJZqE-st6uFKPoI?usp=share_link" TargetMode="External"/><Relationship Id="rId4776" Type="http://schemas.openxmlformats.org/officeDocument/2006/relationships/hyperlink" Target="https://drive.google.com/drive/folders/10T2cTQHqEJZqE-st6uFKPoI?usp=share_link" TargetMode="External"/><Relationship Id="rId2114" Type="http://schemas.openxmlformats.org/officeDocument/2006/relationships/hyperlink" Target="https://drive.google.com/drive/folders/10T2cTQHqEJZqE-st6uFKPoI?usp=share_link" TargetMode="External"/><Relationship Id="rId3444" Type="http://schemas.openxmlformats.org/officeDocument/2006/relationships/hyperlink" Target="https://drive.google.com/drive/folders/10T2cTQHqEJZqE-st6uFKPoI?usp=share_link" TargetMode="External"/><Relationship Id="rId4775" Type="http://schemas.openxmlformats.org/officeDocument/2006/relationships/hyperlink" Target="https://drive.google.com/drive/folders/10T2cTQHqEJZqE-st6uFKPoI?usp=share_link"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4FhVqS1_Azr0fXfs55LeaRmUTr3MZNPIIzjhV4FaXks/edit?gid=0" TargetMode="External"/><Relationship Id="rId5" Type="http://schemas.openxmlformats.org/officeDocument/2006/relationships/drawing" Target="../drawings/drawing6.xml"/><Relationship Id="rId6"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vtPaXCN4KYo5LiCeFSCwxNi7miMdfHaDADxBIs_rSd0/edit?gid=32753868" TargetMode="External"/><Relationship Id="rId5" Type="http://schemas.openxmlformats.org/officeDocument/2006/relationships/hyperlink" Target="https://docs.google.com/spreadsheets/d/1vtPaXCN4KYo5LiCeFSCwxNi7miMdfHaDADxBIs_rSd0/edit?gid=32753868" TargetMode="External"/><Relationship Id="rId6" Type="http://schemas.openxmlformats.org/officeDocument/2006/relationships/hyperlink" Target="https://app.rippling.com/org-chart/diagram" TargetMode="External"/><Relationship Id="rId7" Type="http://schemas.openxmlformats.org/officeDocument/2006/relationships/drawing" Target="../drawings/drawing9.xml"/><Relationship Id="rId8"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1" Type="http://schemas.openxmlformats.org/officeDocument/2006/relationships/hyperlink" Target="https://docs.google.com/spreadsheets/d/1vtPaXCN4KYo5LiCeFSCwxNi7miMdfHaDADxBIs_rSd0/edit?gid=32753868" TargetMode="External"/><Relationship Id="rId10" Type="http://schemas.openxmlformats.org/officeDocument/2006/relationships/hyperlink" Target="https://docs.google.com/spreadsheets/d/1vtPaXCN4KYo5LiCeFSCwxNi7miMdfHaDADxBIs_rSd0/edit?gid=32753868" TargetMode="External"/><Relationship Id="rId13" Type="http://schemas.openxmlformats.org/officeDocument/2006/relationships/hyperlink" Target="https://docs.google.com/spreadsheets/d/1vtPaXCN4KYo5LiCeFSCwxNi7miMdfHaDADxBIs_rSd0/edit?gid=32753868" TargetMode="External"/><Relationship Id="rId12" Type="http://schemas.openxmlformats.org/officeDocument/2006/relationships/hyperlink" Target="https://docs.google.com/spreadsheets/d/1vtPaXCN4KYo5LiCeFSCwxNi7miMdfHaDADxBIs_rSd0/edit?gid=32753868" TargetMode="External"/><Relationship Id="rId14" Type="http://schemas.openxmlformats.org/officeDocument/2006/relationships/drawing" Target="../drawings/drawing10.xml"/><Relationship Id="rId1" Type="http://schemas.openxmlformats.org/officeDocument/2006/relationships/hyperlink" Target="https://docs.google.com/spreadsheets/d/1vtPaXCN4KYo5LiCeFSCwxNi7miMdfHaDADxBIs_rSd0/edit?gid=32753868" TargetMode="External"/><Relationship Id="rId2" Type="http://schemas.openxmlformats.org/officeDocument/2006/relationships/hyperlink" Target="https://docs.google.com/spreadsheets/d/1vtPaXCN4KYo5LiCeFSCwxNi7miMdfHaDADxBIs_rSd0/edit?gid=32753868" TargetMode="External"/><Relationship Id="rId3" Type="http://schemas.openxmlformats.org/officeDocument/2006/relationships/hyperlink" Target="https://docs.google.com/spreadsheets/d/1vtPaXCN4KYo5LiCeFSCwxNi7miMdfHaDADxBIs_rSd0/edit?gid=32753868" TargetMode="External"/><Relationship Id="rId4" Type="http://schemas.openxmlformats.org/officeDocument/2006/relationships/hyperlink" Target="https://docs.google.com/spreadsheets/d/1vtPaXCN4KYo5LiCeFSCwxNi7miMdfHaDADxBIs_rSd0/edit?gid=32753868" TargetMode="External"/><Relationship Id="rId9" Type="http://schemas.openxmlformats.org/officeDocument/2006/relationships/hyperlink" Target="https://docs.google.com/spreadsheets/d/1vtPaXCN4KYo5LiCeFSCwxNi7miMdfHaDADxBIs_rSd0/edit?gid=32753868" TargetMode="External"/><Relationship Id="rId5" Type="http://schemas.openxmlformats.org/officeDocument/2006/relationships/hyperlink" Target="https://docs.google.com/spreadsheets/d/1vtPaXCN4KYo5LiCeFSCwxNi7miMdfHaDADxBIs_rSd0/edit?gid=32753868" TargetMode="External"/><Relationship Id="rId6" Type="http://schemas.openxmlformats.org/officeDocument/2006/relationships/hyperlink" Target="https://docs.google.com/spreadsheets/d/1vtPaXCN4KYo5LiCeFSCwxNi7miMdfHaDADxBIs_rSd0/edit?gid=32753868" TargetMode="External"/><Relationship Id="rId7" Type="http://schemas.openxmlformats.org/officeDocument/2006/relationships/hyperlink" Target="https://docs.google.com/spreadsheets/d/1vtPaXCN4KYo5LiCeFSCwxNi7miMdfHaDADxBIs_rSd0/edit?gid=32753868" TargetMode="External"/><Relationship Id="rId8" Type="http://schemas.openxmlformats.org/officeDocument/2006/relationships/hyperlink" Target="https://docs.google.com/spreadsheets/d/1vtPaXCN4KYo5LiCeFSCwxNi7miMdfHaDADxBIs_rSd0/edit?gid=32753868"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1.xml"/><Relationship Id="rId5"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0"/>
  </cols>
  <sheetData>
    <row r="1">
      <c r="A1" s="1" t="s">
        <v>0</v>
      </c>
    </row>
    <row r="2">
      <c r="A2" s="2" t="s">
        <v>1</v>
      </c>
    </row>
    <row r="3">
      <c r="A3" s="1" t="s">
        <v>2</v>
      </c>
    </row>
    <row r="5">
      <c r="A5" s="1" t="s">
        <v>3</v>
      </c>
    </row>
    <row r="6">
      <c r="A6" s="3">
        <v>45932.0</v>
      </c>
    </row>
  </sheetData>
  <hyperlinks>
    <hyperlink r:id="rId4" ref="A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24.0"/>
    <col customWidth="1" min="2" max="2" width="14.38"/>
    <col customWidth="1" min="3" max="3" width="23.13"/>
    <col customWidth="1" min="4" max="4" width="22.25"/>
    <col customWidth="1" min="5" max="5" width="24.38"/>
    <col customWidth="1" min="6" max="6" width="22.25"/>
    <col customWidth="1" min="7" max="7" width="22.38"/>
    <col customWidth="1" min="8" max="8" width="23.75"/>
    <col customWidth="1" min="9" max="9" width="21.0"/>
    <col customWidth="1" min="10" max="11" width="22.13"/>
    <col customWidth="1" min="12" max="12" width="21.0"/>
    <col customWidth="1" min="13" max="13" width="22.88"/>
    <col customWidth="1" min="14" max="14" width="21.0"/>
    <col customWidth="1" min="15" max="15" width="20.88"/>
    <col customWidth="1" min="16" max="18" width="21.0"/>
    <col customWidth="1" min="19" max="19" width="20.88"/>
    <col customWidth="1" min="20" max="20" width="22.38"/>
    <col customWidth="1" min="21" max="21" width="22.75"/>
    <col customWidth="1" min="22" max="24" width="21.0"/>
    <col customWidth="1" min="25" max="25" width="20.88"/>
    <col customWidth="1" min="26" max="28" width="21.0"/>
    <col customWidth="1" min="29" max="31" width="20.88"/>
    <col customWidth="1" min="32" max="32" width="21.0"/>
    <col customWidth="1" min="33" max="34" width="20.88"/>
    <col customWidth="1" min="35" max="36" width="21.0"/>
    <col customWidth="1" min="37" max="37" width="1.63"/>
    <col customWidth="1" min="38" max="38" width="21.13"/>
    <col customWidth="1" min="39" max="40" width="21.0"/>
  </cols>
  <sheetData>
    <row r="1" hidden="1">
      <c r="A1" s="4"/>
      <c r="B1" s="5" t="s">
        <v>4</v>
      </c>
      <c r="C1" s="6" t="s">
        <v>5</v>
      </c>
      <c r="D1" s="6" t="s">
        <v>6</v>
      </c>
      <c r="E1" s="1" t="s">
        <v>7</v>
      </c>
      <c r="F1" s="1" t="s">
        <v>8</v>
      </c>
      <c r="G1" s="1"/>
      <c r="H1" s="1" t="s">
        <v>9</v>
      </c>
      <c r="I1" s="1" t="s">
        <v>10</v>
      </c>
      <c r="J1" s="1" t="s">
        <v>11</v>
      </c>
      <c r="K1" s="6" t="s">
        <v>12</v>
      </c>
      <c r="L1" s="1" t="s">
        <v>13</v>
      </c>
      <c r="M1" s="1" t="s">
        <v>14</v>
      </c>
      <c r="N1" s="6" t="s">
        <v>15</v>
      </c>
      <c r="O1" s="1" t="s">
        <v>16</v>
      </c>
      <c r="P1" s="1" t="s">
        <v>17</v>
      </c>
      <c r="Q1" s="1" t="s">
        <v>18</v>
      </c>
      <c r="R1" s="1" t="s">
        <v>19</v>
      </c>
      <c r="S1" s="1" t="s">
        <v>20</v>
      </c>
      <c r="T1" s="1" t="s">
        <v>21</v>
      </c>
      <c r="U1" s="1" t="s">
        <v>22</v>
      </c>
      <c r="V1" s="1" t="s">
        <v>23</v>
      </c>
      <c r="W1" s="1" t="s">
        <v>24</v>
      </c>
      <c r="X1" s="1" t="s">
        <v>25</v>
      </c>
      <c r="Y1" s="1" t="s">
        <v>26</v>
      </c>
      <c r="Z1" s="1" t="s">
        <v>27</v>
      </c>
      <c r="AA1" s="1" t="s">
        <v>28</v>
      </c>
      <c r="AB1" s="1"/>
      <c r="AC1" s="7" t="s">
        <v>29</v>
      </c>
      <c r="AD1" s="7" t="s">
        <v>30</v>
      </c>
      <c r="AE1" s="7" t="s">
        <v>31</v>
      </c>
      <c r="AF1" s="1"/>
      <c r="AG1" s="7" t="s">
        <v>32</v>
      </c>
      <c r="AH1" s="7" t="s">
        <v>33</v>
      </c>
      <c r="AI1" s="1" t="s">
        <v>28</v>
      </c>
      <c r="AJ1" s="1"/>
      <c r="AL1" s="6" t="s">
        <v>34</v>
      </c>
      <c r="AM1" s="8"/>
      <c r="AN1" s="9"/>
    </row>
    <row r="2">
      <c r="A2" s="10" t="s">
        <v>35</v>
      </c>
      <c r="B2" s="11" t="s">
        <v>36</v>
      </c>
      <c r="C2" s="11" t="s">
        <v>5</v>
      </c>
      <c r="D2" s="11" t="s">
        <v>37</v>
      </c>
      <c r="E2" s="11" t="s">
        <v>7</v>
      </c>
      <c r="F2" s="11" t="s">
        <v>8</v>
      </c>
      <c r="G2" s="11" t="s">
        <v>38</v>
      </c>
      <c r="H2" s="12" t="s">
        <v>9</v>
      </c>
      <c r="I2" s="12" t="s">
        <v>10</v>
      </c>
      <c r="J2" s="12" t="s">
        <v>11</v>
      </c>
      <c r="K2" s="12" t="s">
        <v>12</v>
      </c>
      <c r="L2" s="12" t="s">
        <v>13</v>
      </c>
      <c r="M2" s="12" t="s">
        <v>14</v>
      </c>
      <c r="N2" s="13" t="s">
        <v>15</v>
      </c>
      <c r="O2" s="11" t="s">
        <v>16</v>
      </c>
      <c r="P2" s="11" t="s">
        <v>17</v>
      </c>
      <c r="Q2" s="11" t="s">
        <v>18</v>
      </c>
      <c r="R2" s="11" t="s">
        <v>19</v>
      </c>
      <c r="S2" s="11" t="s">
        <v>20</v>
      </c>
      <c r="T2" s="11" t="s">
        <v>39</v>
      </c>
      <c r="U2" s="11" t="s">
        <v>22</v>
      </c>
      <c r="V2" s="11" t="s">
        <v>40</v>
      </c>
      <c r="W2" s="11" t="s">
        <v>24</v>
      </c>
      <c r="X2" s="7" t="s">
        <v>25</v>
      </c>
      <c r="Y2" s="7" t="s">
        <v>26</v>
      </c>
      <c r="Z2" s="7" t="s">
        <v>27</v>
      </c>
      <c r="AA2" s="7" t="s">
        <v>28</v>
      </c>
      <c r="AB2" s="7" t="s">
        <v>41</v>
      </c>
      <c r="AC2" s="7" t="s">
        <v>29</v>
      </c>
      <c r="AD2" s="7" t="s">
        <v>42</v>
      </c>
      <c r="AE2" s="7" t="s">
        <v>31</v>
      </c>
      <c r="AF2" s="7" t="s">
        <v>43</v>
      </c>
      <c r="AG2" s="7" t="s">
        <v>44</v>
      </c>
      <c r="AH2" s="7" t="s">
        <v>33</v>
      </c>
      <c r="AI2" s="7" t="s">
        <v>45</v>
      </c>
      <c r="AJ2" s="7" t="s">
        <v>46</v>
      </c>
      <c r="AK2" s="14" t="s">
        <v>47</v>
      </c>
      <c r="AL2" s="15" t="s">
        <v>48</v>
      </c>
      <c r="AM2" s="16" t="s">
        <v>49</v>
      </c>
      <c r="AN2" s="17" t="s">
        <v>50</v>
      </c>
    </row>
    <row r="3">
      <c r="A3" s="10" t="s">
        <v>51</v>
      </c>
      <c r="B3" s="18"/>
      <c r="C3" s="11" t="s">
        <v>52</v>
      </c>
      <c r="D3" s="11" t="s">
        <v>52</v>
      </c>
      <c r="E3" s="11" t="s">
        <v>53</v>
      </c>
      <c r="F3" s="11" t="s">
        <v>52</v>
      </c>
      <c r="G3" s="11" t="s">
        <v>52</v>
      </c>
      <c r="H3" s="12" t="s">
        <v>52</v>
      </c>
      <c r="I3" s="12" t="s">
        <v>52</v>
      </c>
      <c r="J3" s="12" t="s">
        <v>52</v>
      </c>
      <c r="K3" s="12" t="s">
        <v>52</v>
      </c>
      <c r="L3" s="12" t="s">
        <v>52</v>
      </c>
      <c r="M3" s="12" t="s">
        <v>52</v>
      </c>
      <c r="N3" s="13" t="s">
        <v>52</v>
      </c>
      <c r="O3" s="11" t="s">
        <v>54</v>
      </c>
      <c r="P3" s="19" t="s">
        <v>52</v>
      </c>
      <c r="Q3" s="11" t="s">
        <v>55</v>
      </c>
      <c r="R3" s="11" t="s">
        <v>53</v>
      </c>
      <c r="S3" s="11" t="s">
        <v>52</v>
      </c>
      <c r="T3" s="11" t="s">
        <v>56</v>
      </c>
      <c r="U3" s="11" t="s">
        <v>55</v>
      </c>
      <c r="V3" s="11" t="s">
        <v>55</v>
      </c>
      <c r="W3" s="11" t="s">
        <v>57</v>
      </c>
      <c r="X3" s="7" t="s">
        <v>58</v>
      </c>
      <c r="Y3" s="7" t="s">
        <v>58</v>
      </c>
      <c r="Z3" s="7" t="s">
        <v>53</v>
      </c>
      <c r="AA3" s="7" t="s">
        <v>59</v>
      </c>
      <c r="AB3" s="7" t="s">
        <v>60</v>
      </c>
      <c r="AC3" s="7" t="s">
        <v>55</v>
      </c>
      <c r="AD3" s="7" t="s">
        <v>55</v>
      </c>
      <c r="AE3" s="7" t="s">
        <v>55</v>
      </c>
      <c r="AF3" s="7" t="s">
        <v>52</v>
      </c>
      <c r="AG3" s="7" t="s">
        <v>61</v>
      </c>
      <c r="AH3" s="7" t="s">
        <v>62</v>
      </c>
      <c r="AI3" s="7" t="s">
        <v>63</v>
      </c>
      <c r="AJ3" s="7" t="s">
        <v>64</v>
      </c>
      <c r="AK3" s="20" t="s">
        <v>47</v>
      </c>
      <c r="AL3" s="15" t="s">
        <v>65</v>
      </c>
      <c r="AM3" s="16" t="s">
        <v>52</v>
      </c>
      <c r="AN3" s="17"/>
    </row>
    <row r="4">
      <c r="A4" s="10" t="s">
        <v>66</v>
      </c>
      <c r="B4" s="18"/>
      <c r="C4" s="11" t="s">
        <v>67</v>
      </c>
      <c r="D4" s="11" t="s">
        <v>67</v>
      </c>
      <c r="E4" s="11" t="s">
        <v>68</v>
      </c>
      <c r="F4" s="11" t="s">
        <v>69</v>
      </c>
      <c r="G4" s="11" t="s">
        <v>69</v>
      </c>
      <c r="H4" s="12" t="s">
        <v>67</v>
      </c>
      <c r="I4" s="12" t="s">
        <v>70</v>
      </c>
      <c r="J4" s="12" t="s">
        <v>67</v>
      </c>
      <c r="K4" s="12" t="s">
        <v>71</v>
      </c>
      <c r="L4" s="12" t="s">
        <v>67</v>
      </c>
      <c r="M4" s="12" t="s">
        <v>72</v>
      </c>
      <c r="N4" s="13" t="s">
        <v>73</v>
      </c>
      <c r="O4" s="11" t="s">
        <v>74</v>
      </c>
      <c r="P4" s="11" t="s">
        <v>75</v>
      </c>
      <c r="Q4" s="11" t="s">
        <v>76</v>
      </c>
      <c r="R4" s="11" t="s">
        <v>77</v>
      </c>
      <c r="S4" s="11" t="s">
        <v>78</v>
      </c>
      <c r="T4" s="11" t="s">
        <v>79</v>
      </c>
      <c r="U4" s="11" t="s">
        <v>80</v>
      </c>
      <c r="V4" s="11" t="s">
        <v>81</v>
      </c>
      <c r="W4" s="11" t="s">
        <v>82</v>
      </c>
      <c r="X4" s="7" t="s">
        <v>83</v>
      </c>
      <c r="Y4" s="7" t="s">
        <v>84</v>
      </c>
      <c r="Z4" s="7" t="s">
        <v>85</v>
      </c>
      <c r="AA4" s="7" t="s">
        <v>86</v>
      </c>
      <c r="AB4" s="7" t="s">
        <v>87</v>
      </c>
      <c r="AC4" s="7" t="s">
        <v>88</v>
      </c>
      <c r="AD4" s="7" t="s">
        <v>89</v>
      </c>
      <c r="AE4" s="7" t="s">
        <v>90</v>
      </c>
      <c r="AF4" s="7" t="s">
        <v>91</v>
      </c>
      <c r="AG4" s="7" t="s">
        <v>92</v>
      </c>
      <c r="AH4" s="7" t="s">
        <v>93</v>
      </c>
      <c r="AI4" s="7" t="s">
        <v>94</v>
      </c>
      <c r="AJ4" s="7" t="s">
        <v>95</v>
      </c>
      <c r="AK4" s="20" t="s">
        <v>47</v>
      </c>
      <c r="AL4" s="15" t="s">
        <v>65</v>
      </c>
      <c r="AM4" s="16" t="s">
        <v>96</v>
      </c>
      <c r="AN4" s="17"/>
    </row>
    <row r="5" ht="37.5" customHeight="1">
      <c r="A5" s="21" t="s">
        <v>97</v>
      </c>
      <c r="B5" s="22" t="s">
        <v>98</v>
      </c>
      <c r="C5" s="23" t="s">
        <v>99</v>
      </c>
      <c r="D5" s="23" t="s">
        <v>99</v>
      </c>
      <c r="E5" s="23" t="s">
        <v>99</v>
      </c>
      <c r="F5" s="23" t="s">
        <v>99</v>
      </c>
      <c r="G5" s="24" t="s">
        <v>100</v>
      </c>
      <c r="H5" s="25" t="s">
        <v>101</v>
      </c>
      <c r="I5" s="22" t="s">
        <v>102</v>
      </c>
      <c r="J5" s="22" t="s">
        <v>103</v>
      </c>
      <c r="K5" s="22" t="s">
        <v>103</v>
      </c>
      <c r="L5" s="22" t="s">
        <v>104</v>
      </c>
      <c r="M5" s="22" t="s">
        <v>105</v>
      </c>
      <c r="N5" s="26" t="s">
        <v>106</v>
      </c>
      <c r="O5" s="23" t="s">
        <v>99</v>
      </c>
      <c r="P5" s="23" t="s">
        <v>99</v>
      </c>
      <c r="Q5" s="23" t="s">
        <v>99</v>
      </c>
      <c r="R5" s="23" t="s">
        <v>99</v>
      </c>
      <c r="S5" s="23" t="s">
        <v>99</v>
      </c>
      <c r="T5" s="23" t="s">
        <v>99</v>
      </c>
      <c r="U5" s="23" t="s">
        <v>99</v>
      </c>
      <c r="V5" s="23" t="s">
        <v>99</v>
      </c>
      <c r="W5" s="23" t="s">
        <v>99</v>
      </c>
      <c r="X5" s="23" t="s">
        <v>99</v>
      </c>
      <c r="Y5" s="23" t="s">
        <v>99</v>
      </c>
      <c r="Z5" s="23" t="s">
        <v>99</v>
      </c>
      <c r="AA5" s="23" t="s">
        <v>99</v>
      </c>
      <c r="AB5" s="23" t="s">
        <v>99</v>
      </c>
      <c r="AC5" s="23" t="s">
        <v>99</v>
      </c>
      <c r="AD5" s="23" t="s">
        <v>99</v>
      </c>
      <c r="AE5" s="23" t="s">
        <v>99</v>
      </c>
      <c r="AF5" s="23" t="s">
        <v>107</v>
      </c>
      <c r="AG5" s="27" t="s">
        <v>100</v>
      </c>
      <c r="AH5" s="27" t="s">
        <v>100</v>
      </c>
      <c r="AI5" s="27" t="s">
        <v>100</v>
      </c>
      <c r="AJ5" s="27" t="s">
        <v>100</v>
      </c>
      <c r="AK5" s="20" t="s">
        <v>47</v>
      </c>
      <c r="AL5" s="24"/>
      <c r="AM5" s="22" t="s">
        <v>108</v>
      </c>
      <c r="AN5" s="24"/>
    </row>
    <row r="6" ht="37.5" hidden="1" customHeight="1">
      <c r="A6" s="28" t="s">
        <v>109</v>
      </c>
      <c r="B6" s="29" t="s">
        <v>109</v>
      </c>
      <c r="C6" s="24" t="s">
        <v>110</v>
      </c>
      <c r="D6" s="24" t="s">
        <v>111</v>
      </c>
      <c r="E6" s="24" t="s">
        <v>111</v>
      </c>
      <c r="F6" s="24" t="s">
        <v>112</v>
      </c>
      <c r="G6" s="24" t="s">
        <v>113</v>
      </c>
      <c r="H6" s="24" t="s">
        <v>110</v>
      </c>
      <c r="I6" s="24" t="s">
        <v>110</v>
      </c>
      <c r="J6" s="24" t="s">
        <v>111</v>
      </c>
      <c r="K6" s="24" t="s">
        <v>111</v>
      </c>
      <c r="L6" s="24" t="s">
        <v>111</v>
      </c>
      <c r="M6" s="24" t="s">
        <v>111</v>
      </c>
      <c r="N6" s="24" t="s">
        <v>111</v>
      </c>
      <c r="O6" s="24" t="s">
        <v>114</v>
      </c>
      <c r="P6" s="24" t="s">
        <v>111</v>
      </c>
      <c r="Q6" s="24" t="s">
        <v>111</v>
      </c>
      <c r="R6" s="24" t="s">
        <v>114</v>
      </c>
      <c r="S6" s="24" t="s">
        <v>114</v>
      </c>
      <c r="T6" s="24" t="s">
        <v>111</v>
      </c>
      <c r="U6" s="24" t="s">
        <v>111</v>
      </c>
      <c r="V6" s="24" t="s">
        <v>114</v>
      </c>
      <c r="W6" s="24" t="s">
        <v>114</v>
      </c>
      <c r="X6" s="24" t="s">
        <v>114</v>
      </c>
      <c r="Y6" s="24" t="s">
        <v>114</v>
      </c>
      <c r="Z6" s="24" t="s">
        <v>111</v>
      </c>
      <c r="AA6" s="24" t="s">
        <v>111</v>
      </c>
      <c r="AB6" s="24"/>
      <c r="AC6" s="24" t="s">
        <v>111</v>
      </c>
      <c r="AD6" s="24" t="s">
        <v>111</v>
      </c>
      <c r="AE6" s="24" t="s">
        <v>111</v>
      </c>
      <c r="AF6" s="24" t="s">
        <v>111</v>
      </c>
      <c r="AG6" s="24" t="s">
        <v>111</v>
      </c>
      <c r="AH6" s="24" t="s">
        <v>111</v>
      </c>
      <c r="AI6" s="24" t="s">
        <v>111</v>
      </c>
      <c r="AJ6" s="24"/>
      <c r="AK6" s="20" t="s">
        <v>47</v>
      </c>
      <c r="AL6" s="24" t="s">
        <v>65</v>
      </c>
      <c r="AM6" s="29" t="s">
        <v>47</v>
      </c>
      <c r="AN6" s="24"/>
    </row>
    <row r="7" ht="37.5" hidden="1" customHeight="1">
      <c r="A7" s="28" t="s">
        <v>115</v>
      </c>
      <c r="B7" s="30" t="s">
        <v>115</v>
      </c>
      <c r="C7" s="24" t="s">
        <v>116</v>
      </c>
      <c r="D7" s="24" t="s">
        <v>116</v>
      </c>
      <c r="E7" s="24" t="s">
        <v>116</v>
      </c>
      <c r="F7" s="24" t="s">
        <v>117</v>
      </c>
      <c r="G7" s="24"/>
      <c r="H7" s="24" t="s">
        <v>118</v>
      </c>
      <c r="I7" s="24" t="s">
        <v>119</v>
      </c>
      <c r="J7" s="24" t="s">
        <v>117</v>
      </c>
      <c r="K7" s="24" t="s">
        <v>117</v>
      </c>
      <c r="L7" s="24" t="s">
        <v>120</v>
      </c>
      <c r="M7" s="24" t="s">
        <v>121</v>
      </c>
      <c r="N7" s="24" t="s">
        <v>122</v>
      </c>
      <c r="O7" s="24" t="s">
        <v>123</v>
      </c>
      <c r="P7" s="24" t="s">
        <v>123</v>
      </c>
      <c r="Q7" s="24" t="s">
        <v>123</v>
      </c>
      <c r="R7" s="24" t="s">
        <v>123</v>
      </c>
      <c r="S7" s="24" t="s">
        <v>123</v>
      </c>
      <c r="T7" s="24" t="s">
        <v>123</v>
      </c>
      <c r="U7" s="24" t="s">
        <v>123</v>
      </c>
      <c r="V7" s="24" t="s">
        <v>123</v>
      </c>
      <c r="W7" s="24" t="s">
        <v>123</v>
      </c>
      <c r="X7" s="24" t="s">
        <v>123</v>
      </c>
      <c r="Y7" s="24" t="s">
        <v>123</v>
      </c>
      <c r="Z7" s="24" t="s">
        <v>123</v>
      </c>
      <c r="AA7" s="24" t="s">
        <v>123</v>
      </c>
      <c r="AB7" s="24" t="s">
        <v>123</v>
      </c>
      <c r="AC7" s="24" t="s">
        <v>123</v>
      </c>
      <c r="AD7" s="24" t="s">
        <v>123</v>
      </c>
      <c r="AE7" s="24" t="s">
        <v>123</v>
      </c>
      <c r="AF7" s="24" t="s">
        <v>123</v>
      </c>
      <c r="AG7" s="24" t="s">
        <v>123</v>
      </c>
      <c r="AH7" s="24" t="s">
        <v>123</v>
      </c>
      <c r="AI7" s="24" t="s">
        <v>123</v>
      </c>
      <c r="AJ7" s="24" t="s">
        <v>123</v>
      </c>
      <c r="AK7" s="20" t="s">
        <v>47</v>
      </c>
      <c r="AL7" s="24" t="s">
        <v>124</v>
      </c>
      <c r="AM7" s="24"/>
      <c r="AN7" s="24"/>
    </row>
    <row r="8" ht="64.5" customHeight="1">
      <c r="A8" s="21" t="s">
        <v>125</v>
      </c>
      <c r="B8" s="29" t="s">
        <v>126</v>
      </c>
      <c r="C8" s="31">
        <v>40000.0</v>
      </c>
      <c r="D8" s="31">
        <v>40000.0</v>
      </c>
      <c r="E8" s="31">
        <v>50000.0</v>
      </c>
      <c r="F8" s="31" t="s">
        <v>127</v>
      </c>
      <c r="G8" s="6"/>
      <c r="H8" s="31">
        <v>25000.0</v>
      </c>
      <c r="I8" s="31">
        <v>25000.0</v>
      </c>
      <c r="J8" s="31">
        <v>15000.0</v>
      </c>
      <c r="K8" s="31">
        <v>15000.0</v>
      </c>
      <c r="L8" s="31">
        <v>25000.0</v>
      </c>
      <c r="M8" s="31">
        <v>30000.0</v>
      </c>
      <c r="N8" s="31" t="s">
        <v>128</v>
      </c>
      <c r="O8" s="31">
        <v>40000.0</v>
      </c>
      <c r="P8" s="31">
        <v>40000.0</v>
      </c>
      <c r="Q8" s="31">
        <v>75000.0</v>
      </c>
      <c r="R8" s="31">
        <v>50000.0</v>
      </c>
      <c r="S8" s="31">
        <v>50000.0</v>
      </c>
      <c r="T8" s="24" t="s">
        <v>129</v>
      </c>
      <c r="U8" s="24" t="s">
        <v>130</v>
      </c>
      <c r="V8" s="31">
        <v>50000.0</v>
      </c>
      <c r="W8" s="31">
        <v>65000.0</v>
      </c>
      <c r="X8" s="31">
        <v>45000.0</v>
      </c>
      <c r="Y8" s="31">
        <v>45000.0</v>
      </c>
      <c r="Z8" s="31">
        <v>40000.0</v>
      </c>
      <c r="AA8" s="31">
        <v>50000.0</v>
      </c>
      <c r="AB8" s="31">
        <v>55000.0</v>
      </c>
      <c r="AC8" s="31">
        <v>75000.0</v>
      </c>
      <c r="AD8" s="31">
        <v>65000.0</v>
      </c>
      <c r="AE8" s="31">
        <v>50000.0</v>
      </c>
      <c r="AF8" s="31">
        <v>40000.0</v>
      </c>
      <c r="AG8" s="31">
        <v>40000.0</v>
      </c>
      <c r="AH8" s="31">
        <v>50000.0</v>
      </c>
      <c r="AI8" s="31"/>
      <c r="AJ8" s="31">
        <v>65000.0</v>
      </c>
      <c r="AK8" s="20" t="s">
        <v>47</v>
      </c>
      <c r="AL8" s="24" t="s">
        <v>131</v>
      </c>
      <c r="AM8" s="32" t="s">
        <v>47</v>
      </c>
      <c r="AN8" s="24"/>
    </row>
    <row r="9" ht="60.0" customHeight="1">
      <c r="A9" s="21" t="s">
        <v>132</v>
      </c>
      <c r="B9" s="33" t="s">
        <v>133</v>
      </c>
      <c r="C9" s="23" t="s">
        <v>99</v>
      </c>
      <c r="D9" s="23" t="s">
        <v>99</v>
      </c>
      <c r="E9" s="24" t="s">
        <v>134</v>
      </c>
      <c r="F9" s="23" t="s">
        <v>135</v>
      </c>
      <c r="G9" s="23"/>
      <c r="H9" s="23" t="s">
        <v>99</v>
      </c>
      <c r="I9" s="23" t="s">
        <v>99</v>
      </c>
      <c r="J9" s="24" t="s">
        <v>136</v>
      </c>
      <c r="K9" s="24" t="s">
        <v>137</v>
      </c>
      <c r="L9" s="23" t="s">
        <v>99</v>
      </c>
      <c r="M9" s="23" t="s">
        <v>99</v>
      </c>
      <c r="N9" s="24" t="s">
        <v>138</v>
      </c>
      <c r="O9" s="23" t="s">
        <v>99</v>
      </c>
      <c r="P9" s="23" t="s">
        <v>99</v>
      </c>
      <c r="Q9" s="23" t="s">
        <v>99</v>
      </c>
      <c r="R9" s="23" t="s">
        <v>99</v>
      </c>
      <c r="S9" s="23" t="s">
        <v>99</v>
      </c>
      <c r="T9" s="23" t="s">
        <v>99</v>
      </c>
      <c r="U9" s="23" t="s">
        <v>99</v>
      </c>
      <c r="V9" s="23" t="s">
        <v>99</v>
      </c>
      <c r="W9" s="23" t="s">
        <v>99</v>
      </c>
      <c r="X9" s="23" t="s">
        <v>99</v>
      </c>
      <c r="Y9" s="23" t="s">
        <v>99</v>
      </c>
      <c r="Z9" s="23" t="s">
        <v>99</v>
      </c>
      <c r="AA9" s="23" t="s">
        <v>113</v>
      </c>
      <c r="AB9" s="23"/>
      <c r="AC9" s="23" t="s">
        <v>99</v>
      </c>
      <c r="AD9" s="23" t="s">
        <v>99</v>
      </c>
      <c r="AE9" s="23"/>
      <c r="AF9" s="23" t="s">
        <v>113</v>
      </c>
      <c r="AG9" s="23" t="s">
        <v>99</v>
      </c>
      <c r="AH9" s="23"/>
      <c r="AI9" s="23" t="s">
        <v>113</v>
      </c>
      <c r="AJ9" s="23"/>
      <c r="AK9" s="20" t="s">
        <v>47</v>
      </c>
      <c r="AL9" s="24" t="s">
        <v>139</v>
      </c>
      <c r="AM9" s="24" t="s">
        <v>139</v>
      </c>
      <c r="AN9" s="24"/>
    </row>
    <row r="10" ht="60.0" customHeight="1">
      <c r="A10" s="21" t="s">
        <v>140</v>
      </c>
      <c r="B10" s="34" t="s">
        <v>141</v>
      </c>
      <c r="C10" s="23" t="s">
        <v>99</v>
      </c>
      <c r="D10" s="23" t="s">
        <v>99</v>
      </c>
      <c r="E10" s="24" t="s">
        <v>142</v>
      </c>
      <c r="F10" s="24" t="s">
        <v>143</v>
      </c>
      <c r="G10" s="23" t="s">
        <v>101</v>
      </c>
      <c r="H10" s="23" t="s">
        <v>99</v>
      </c>
      <c r="I10" s="23" t="s">
        <v>99</v>
      </c>
      <c r="J10" s="23" t="s">
        <v>99</v>
      </c>
      <c r="K10" s="24" t="s">
        <v>144</v>
      </c>
      <c r="L10" s="23" t="s">
        <v>99</v>
      </c>
      <c r="M10" s="23" t="s">
        <v>113</v>
      </c>
      <c r="N10" s="24" t="s">
        <v>144</v>
      </c>
      <c r="O10" s="35" t="s">
        <v>145</v>
      </c>
      <c r="P10" s="35" t="s">
        <v>146</v>
      </c>
      <c r="Q10" s="23" t="s">
        <v>99</v>
      </c>
      <c r="R10" s="35" t="s">
        <v>147</v>
      </c>
      <c r="S10" s="35" t="s">
        <v>146</v>
      </c>
      <c r="T10" s="23" t="s">
        <v>99</v>
      </c>
      <c r="U10" s="24" t="s">
        <v>148</v>
      </c>
      <c r="V10" s="24" t="s">
        <v>149</v>
      </c>
      <c r="W10" s="35" t="s">
        <v>113</v>
      </c>
      <c r="X10" s="35" t="s">
        <v>113</v>
      </c>
      <c r="Y10" s="35" t="s">
        <v>113</v>
      </c>
      <c r="Z10" s="35" t="s">
        <v>113</v>
      </c>
      <c r="AA10" s="23" t="s">
        <v>113</v>
      </c>
      <c r="AB10" s="35"/>
      <c r="AC10" s="23" t="s">
        <v>99</v>
      </c>
      <c r="AD10" s="23" t="s">
        <v>99</v>
      </c>
      <c r="AE10" s="35" t="s">
        <v>113</v>
      </c>
      <c r="AF10" s="23" t="s">
        <v>113</v>
      </c>
      <c r="AG10" s="23" t="s">
        <v>99</v>
      </c>
      <c r="AH10" s="23" t="s">
        <v>99</v>
      </c>
      <c r="AI10" s="23" t="s">
        <v>113</v>
      </c>
      <c r="AJ10" s="23"/>
      <c r="AK10" s="20" t="s">
        <v>47</v>
      </c>
      <c r="AL10" s="24"/>
      <c r="AM10" s="24" t="s">
        <v>139</v>
      </c>
      <c r="AN10" s="24"/>
    </row>
    <row r="11">
      <c r="A11" s="21" t="s">
        <v>150</v>
      </c>
      <c r="B11" s="36" t="s">
        <v>47</v>
      </c>
      <c r="C11" s="36" t="s">
        <v>47</v>
      </c>
      <c r="D11" s="36" t="s">
        <v>47</v>
      </c>
      <c r="E11" s="36" t="s">
        <v>47</v>
      </c>
      <c r="F11" s="36" t="s">
        <v>47</v>
      </c>
      <c r="G11" s="37"/>
      <c r="H11" s="36" t="s">
        <v>47</v>
      </c>
      <c r="I11" s="36" t="s">
        <v>47</v>
      </c>
      <c r="J11" s="36" t="s">
        <v>47</v>
      </c>
      <c r="K11" s="36" t="s">
        <v>47</v>
      </c>
      <c r="L11" s="36" t="s">
        <v>47</v>
      </c>
      <c r="M11" s="36" t="s">
        <v>47</v>
      </c>
      <c r="N11" s="36" t="s">
        <v>47</v>
      </c>
      <c r="O11" s="36" t="s">
        <v>47</v>
      </c>
      <c r="P11" s="38" t="s">
        <v>47</v>
      </c>
      <c r="Q11" s="36" t="s">
        <v>47</v>
      </c>
      <c r="R11" s="36" t="s">
        <v>47</v>
      </c>
      <c r="S11" s="36" t="s">
        <v>47</v>
      </c>
      <c r="T11" s="36" t="s">
        <v>47</v>
      </c>
      <c r="U11" s="36" t="s">
        <v>47</v>
      </c>
      <c r="V11" s="36" t="s">
        <v>47</v>
      </c>
      <c r="W11" s="36" t="s">
        <v>47</v>
      </c>
      <c r="X11" s="36" t="s">
        <v>47</v>
      </c>
      <c r="Y11" s="36" t="s">
        <v>47</v>
      </c>
      <c r="Z11" s="36" t="s">
        <v>47</v>
      </c>
      <c r="AA11" s="36" t="s">
        <v>47</v>
      </c>
      <c r="AB11" s="37"/>
      <c r="AC11" s="37"/>
      <c r="AD11" s="37"/>
      <c r="AE11" s="37"/>
      <c r="AF11" s="36" t="s">
        <v>47</v>
      </c>
      <c r="AG11" s="37"/>
      <c r="AH11" s="37"/>
      <c r="AI11" s="36" t="s">
        <v>47</v>
      </c>
      <c r="AJ11" s="37"/>
      <c r="AK11" s="20" t="s">
        <v>47</v>
      </c>
      <c r="AL11" s="36" t="s">
        <v>47</v>
      </c>
      <c r="AM11" s="36" t="s">
        <v>47</v>
      </c>
      <c r="AN11" s="24"/>
    </row>
    <row r="12">
      <c r="A12" s="39" t="s">
        <v>151</v>
      </c>
      <c r="B12" s="29" t="s">
        <v>152</v>
      </c>
      <c r="C12" s="23" t="s">
        <v>99</v>
      </c>
      <c r="D12" s="23" t="s">
        <v>99</v>
      </c>
      <c r="E12" s="23" t="s">
        <v>99</v>
      </c>
      <c r="F12" s="23" t="s">
        <v>99</v>
      </c>
      <c r="G12" s="23"/>
      <c r="H12" s="23" t="s">
        <v>99</v>
      </c>
      <c r="I12" s="23" t="s">
        <v>99</v>
      </c>
      <c r="J12" s="31" t="s">
        <v>153</v>
      </c>
      <c r="K12" s="31" t="s">
        <v>153</v>
      </c>
      <c r="L12" s="23" t="s">
        <v>99</v>
      </c>
      <c r="M12" s="23" t="s">
        <v>99</v>
      </c>
      <c r="N12" s="23" t="s">
        <v>99</v>
      </c>
      <c r="O12" s="23" t="s">
        <v>99</v>
      </c>
      <c r="P12" s="23" t="s">
        <v>99</v>
      </c>
      <c r="Q12" s="23" t="s">
        <v>99</v>
      </c>
      <c r="R12" s="23" t="s">
        <v>99</v>
      </c>
      <c r="S12" s="23" t="s">
        <v>99</v>
      </c>
      <c r="T12" s="23" t="s">
        <v>99</v>
      </c>
      <c r="U12" s="23" t="s">
        <v>99</v>
      </c>
      <c r="V12" s="23" t="s">
        <v>99</v>
      </c>
      <c r="W12" s="23" t="s">
        <v>99</v>
      </c>
      <c r="X12" s="23" t="s">
        <v>99</v>
      </c>
      <c r="Y12" s="23" t="s">
        <v>99</v>
      </c>
      <c r="Z12" s="23" t="s">
        <v>99</v>
      </c>
      <c r="AA12" s="23" t="s">
        <v>99</v>
      </c>
      <c r="AB12" s="23" t="s">
        <v>99</v>
      </c>
      <c r="AC12" s="23"/>
      <c r="AD12" s="23"/>
      <c r="AE12" s="23"/>
      <c r="AF12" s="23" t="s">
        <v>99</v>
      </c>
      <c r="AG12" s="23"/>
      <c r="AH12" s="23"/>
      <c r="AI12" s="23" t="s">
        <v>99</v>
      </c>
      <c r="AJ12" s="23"/>
      <c r="AK12" s="20" t="s">
        <v>47</v>
      </c>
      <c r="AL12" s="24" t="s">
        <v>144</v>
      </c>
      <c r="AM12" s="23" t="s">
        <v>144</v>
      </c>
      <c r="AN12" s="24"/>
    </row>
    <row r="13">
      <c r="A13" s="39" t="s">
        <v>154</v>
      </c>
      <c r="B13" s="24" t="s">
        <v>155</v>
      </c>
      <c r="C13" s="40" t="s">
        <v>139</v>
      </c>
      <c r="D13" s="40" t="s">
        <v>139</v>
      </c>
      <c r="E13" s="26" t="s">
        <v>156</v>
      </c>
      <c r="F13" s="40" t="s">
        <v>139</v>
      </c>
      <c r="G13" s="40"/>
      <c r="H13" s="40" t="s">
        <v>139</v>
      </c>
      <c r="I13" s="24" t="s">
        <v>157</v>
      </c>
      <c r="J13" s="24" t="s">
        <v>158</v>
      </c>
      <c r="K13" s="24" t="s">
        <v>159</v>
      </c>
      <c r="L13" s="24" t="s">
        <v>160</v>
      </c>
      <c r="M13" s="40" t="s">
        <v>161</v>
      </c>
      <c r="N13" s="24" t="s">
        <v>162</v>
      </c>
      <c r="O13" s="23" t="s">
        <v>99</v>
      </c>
      <c r="P13" s="23" t="s">
        <v>99</v>
      </c>
      <c r="Q13" s="23" t="s">
        <v>99</v>
      </c>
      <c r="R13" s="23" t="s">
        <v>99</v>
      </c>
      <c r="S13" s="23" t="s">
        <v>99</v>
      </c>
      <c r="T13" s="23" t="s">
        <v>99</v>
      </c>
      <c r="U13" s="23" t="s">
        <v>99</v>
      </c>
      <c r="V13" s="23" t="s">
        <v>99</v>
      </c>
      <c r="W13" s="31" t="s">
        <v>163</v>
      </c>
      <c r="X13" s="23" t="s">
        <v>99</v>
      </c>
      <c r="Y13" s="23" t="s">
        <v>99</v>
      </c>
      <c r="Z13" s="23" t="s">
        <v>99</v>
      </c>
      <c r="AA13" s="23" t="s">
        <v>99</v>
      </c>
      <c r="AB13" s="23" t="s">
        <v>99</v>
      </c>
      <c r="AC13" s="23"/>
      <c r="AD13" s="23"/>
      <c r="AE13" s="23"/>
      <c r="AF13" s="23" t="s">
        <v>99</v>
      </c>
      <c r="AG13" s="23"/>
      <c r="AH13" s="23"/>
      <c r="AI13" s="23" t="s">
        <v>99</v>
      </c>
      <c r="AJ13" s="23"/>
      <c r="AK13" s="20" t="s">
        <v>47</v>
      </c>
      <c r="AL13" s="24" t="s">
        <v>164</v>
      </c>
      <c r="AM13" s="41" t="s">
        <v>47</v>
      </c>
      <c r="AN13" s="24"/>
    </row>
    <row r="14" ht="74.25" customHeight="1">
      <c r="A14" s="39" t="s">
        <v>165</v>
      </c>
      <c r="B14" s="24" t="s">
        <v>166</v>
      </c>
      <c r="C14" s="23" t="s">
        <v>99</v>
      </c>
      <c r="D14" s="23" t="s">
        <v>99</v>
      </c>
      <c r="E14" s="23" t="s">
        <v>99</v>
      </c>
      <c r="F14" s="23" t="s">
        <v>99</v>
      </c>
      <c r="G14" s="23"/>
      <c r="H14" s="23" t="s">
        <v>99</v>
      </c>
      <c r="I14" s="23" t="s">
        <v>99</v>
      </c>
      <c r="J14" s="23" t="s">
        <v>99</v>
      </c>
      <c r="K14" s="23" t="s">
        <v>99</v>
      </c>
      <c r="L14" s="23" t="s">
        <v>99</v>
      </c>
      <c r="M14" s="23" t="s">
        <v>99</v>
      </c>
      <c r="N14" s="23" t="s">
        <v>99</v>
      </c>
      <c r="O14" s="23" t="s">
        <v>99</v>
      </c>
      <c r="P14" s="23" t="s">
        <v>99</v>
      </c>
      <c r="Q14" s="23" t="s">
        <v>99</v>
      </c>
      <c r="R14" s="23" t="s">
        <v>99</v>
      </c>
      <c r="S14" s="23" t="s">
        <v>99</v>
      </c>
      <c r="T14" s="23" t="s">
        <v>99</v>
      </c>
      <c r="U14" s="23" t="s">
        <v>99</v>
      </c>
      <c r="V14" s="23" t="s">
        <v>99</v>
      </c>
      <c r="W14" s="23" t="s">
        <v>99</v>
      </c>
      <c r="X14" s="23" t="s">
        <v>99</v>
      </c>
      <c r="Y14" s="23" t="s">
        <v>99</v>
      </c>
      <c r="Z14" s="23" t="s">
        <v>99</v>
      </c>
      <c r="AA14" s="23" t="s">
        <v>99</v>
      </c>
      <c r="AB14" s="23" t="s">
        <v>99</v>
      </c>
      <c r="AC14" s="23"/>
      <c r="AD14" s="23"/>
      <c r="AE14" s="23"/>
      <c r="AF14" s="23" t="s">
        <v>99</v>
      </c>
      <c r="AG14" s="23"/>
      <c r="AH14" s="23"/>
      <c r="AI14" s="23" t="s">
        <v>99</v>
      </c>
      <c r="AJ14" s="23"/>
      <c r="AK14" s="20" t="s">
        <v>47</v>
      </c>
      <c r="AL14" s="23" t="s">
        <v>99</v>
      </c>
      <c r="AM14" s="41" t="s">
        <v>47</v>
      </c>
      <c r="AN14" s="24"/>
    </row>
    <row r="15">
      <c r="A15" s="39" t="s">
        <v>167</v>
      </c>
      <c r="B15" s="29" t="s">
        <v>168</v>
      </c>
      <c r="C15" s="23" t="s">
        <v>99</v>
      </c>
      <c r="D15" s="23" t="s">
        <v>99</v>
      </c>
      <c r="E15" s="23" t="s">
        <v>99</v>
      </c>
      <c r="F15" s="23" t="s">
        <v>99</v>
      </c>
      <c r="G15" s="23"/>
      <c r="H15" s="23" t="s">
        <v>99</v>
      </c>
      <c r="I15" s="23" t="s">
        <v>99</v>
      </c>
      <c r="J15" s="23" t="s">
        <v>99</v>
      </c>
      <c r="K15" s="23" t="s">
        <v>99</v>
      </c>
      <c r="L15" s="23" t="s">
        <v>99</v>
      </c>
      <c r="M15" s="23" t="s">
        <v>99</v>
      </c>
      <c r="N15" s="23" t="s">
        <v>99</v>
      </c>
      <c r="O15" s="23" t="s">
        <v>99</v>
      </c>
      <c r="P15" s="23" t="s">
        <v>99</v>
      </c>
      <c r="Q15" s="23" t="s">
        <v>99</v>
      </c>
      <c r="R15" s="23" t="s">
        <v>99</v>
      </c>
      <c r="S15" s="23" t="s">
        <v>99</v>
      </c>
      <c r="T15" s="23" t="s">
        <v>99</v>
      </c>
      <c r="U15" s="23" t="s">
        <v>99</v>
      </c>
      <c r="V15" s="23" t="s">
        <v>99</v>
      </c>
      <c r="W15" s="23" t="s">
        <v>99</v>
      </c>
      <c r="X15" s="23" t="s">
        <v>99</v>
      </c>
      <c r="Y15" s="23" t="s">
        <v>99</v>
      </c>
      <c r="Z15" s="23" t="s">
        <v>99</v>
      </c>
      <c r="AA15" s="23" t="s">
        <v>99</v>
      </c>
      <c r="AB15" s="23" t="s">
        <v>99</v>
      </c>
      <c r="AC15" s="23"/>
      <c r="AD15" s="23"/>
      <c r="AE15" s="23"/>
      <c r="AF15" s="23" t="s">
        <v>99</v>
      </c>
      <c r="AG15" s="23"/>
      <c r="AH15" s="23"/>
      <c r="AI15" s="23" t="s">
        <v>99</v>
      </c>
      <c r="AJ15" s="23"/>
      <c r="AK15" s="20" t="s">
        <v>47</v>
      </c>
      <c r="AL15" s="24" t="s">
        <v>139</v>
      </c>
      <c r="AM15" s="41" t="s">
        <v>47</v>
      </c>
      <c r="AN15" s="24"/>
    </row>
    <row r="16">
      <c r="A16" s="39" t="s">
        <v>169</v>
      </c>
      <c r="B16" s="24" t="s">
        <v>170</v>
      </c>
      <c r="C16" s="23" t="s">
        <v>99</v>
      </c>
      <c r="D16" s="23" t="s">
        <v>99</v>
      </c>
      <c r="E16" s="23" t="s">
        <v>99</v>
      </c>
      <c r="F16" s="23" t="s">
        <v>99</v>
      </c>
      <c r="G16" s="23"/>
      <c r="H16" s="23" t="s">
        <v>99</v>
      </c>
      <c r="I16" s="23" t="s">
        <v>99</v>
      </c>
      <c r="J16" s="23" t="s">
        <v>99</v>
      </c>
      <c r="K16" s="23" t="s">
        <v>99</v>
      </c>
      <c r="L16" s="23" t="s">
        <v>99</v>
      </c>
      <c r="M16" s="23" t="s">
        <v>99</v>
      </c>
      <c r="N16" s="23" t="s">
        <v>99</v>
      </c>
      <c r="O16" s="23" t="s">
        <v>99</v>
      </c>
      <c r="P16" s="23" t="s">
        <v>99</v>
      </c>
      <c r="Q16" s="23" t="s">
        <v>99</v>
      </c>
      <c r="R16" s="23" t="s">
        <v>99</v>
      </c>
      <c r="S16" s="23" t="s">
        <v>99</v>
      </c>
      <c r="T16" s="23" t="s">
        <v>99</v>
      </c>
      <c r="U16" s="23" t="s">
        <v>99</v>
      </c>
      <c r="V16" s="23" t="s">
        <v>99</v>
      </c>
      <c r="W16" s="23" t="s">
        <v>99</v>
      </c>
      <c r="X16" s="23" t="s">
        <v>99</v>
      </c>
      <c r="Y16" s="23" t="s">
        <v>99</v>
      </c>
      <c r="Z16" s="23" t="s">
        <v>99</v>
      </c>
      <c r="AA16" s="23" t="s">
        <v>99</v>
      </c>
      <c r="AB16" s="23" t="s">
        <v>99</v>
      </c>
      <c r="AC16" s="23"/>
      <c r="AD16" s="23"/>
      <c r="AE16" s="23"/>
      <c r="AF16" s="23" t="s">
        <v>99</v>
      </c>
      <c r="AG16" s="23"/>
      <c r="AH16" s="23"/>
      <c r="AI16" s="23" t="s">
        <v>99</v>
      </c>
      <c r="AJ16" s="23"/>
      <c r="AK16" s="20" t="s">
        <v>47</v>
      </c>
      <c r="AL16" s="24" t="s">
        <v>139</v>
      </c>
      <c r="AM16" s="41" t="s">
        <v>47</v>
      </c>
      <c r="AN16" s="24"/>
    </row>
    <row r="17">
      <c r="A17" s="39" t="s">
        <v>171</v>
      </c>
      <c r="B17" s="24" t="s">
        <v>172</v>
      </c>
      <c r="C17" s="23" t="s">
        <v>99</v>
      </c>
      <c r="D17" s="23" t="s">
        <v>99</v>
      </c>
      <c r="E17" s="23" t="s">
        <v>99</v>
      </c>
      <c r="F17" s="23" t="s">
        <v>99</v>
      </c>
      <c r="G17" s="23"/>
      <c r="H17" s="23" t="s">
        <v>99</v>
      </c>
      <c r="I17" s="23" t="s">
        <v>99</v>
      </c>
      <c r="J17" s="23" t="s">
        <v>99</v>
      </c>
      <c r="K17" s="23" t="s">
        <v>99</v>
      </c>
      <c r="L17" s="23" t="s">
        <v>99</v>
      </c>
      <c r="M17" s="23" t="s">
        <v>99</v>
      </c>
      <c r="N17" s="23" t="s">
        <v>99</v>
      </c>
      <c r="O17" s="23" t="s">
        <v>99</v>
      </c>
      <c r="P17" s="23" t="s">
        <v>99</v>
      </c>
      <c r="Q17" s="23" t="s">
        <v>99</v>
      </c>
      <c r="R17" s="23" t="s">
        <v>99</v>
      </c>
      <c r="S17" s="23" t="s">
        <v>99</v>
      </c>
      <c r="T17" s="23" t="s">
        <v>99</v>
      </c>
      <c r="U17" s="23" t="s">
        <v>99</v>
      </c>
      <c r="V17" s="23" t="s">
        <v>99</v>
      </c>
      <c r="W17" s="23" t="s">
        <v>99</v>
      </c>
      <c r="X17" s="23" t="s">
        <v>99</v>
      </c>
      <c r="Y17" s="23" t="s">
        <v>99</v>
      </c>
      <c r="Z17" s="23" t="s">
        <v>99</v>
      </c>
      <c r="AA17" s="23" t="s">
        <v>99</v>
      </c>
      <c r="AB17" s="23" t="s">
        <v>99</v>
      </c>
      <c r="AC17" s="23"/>
      <c r="AD17" s="23"/>
      <c r="AE17" s="23"/>
      <c r="AF17" s="23" t="s">
        <v>99</v>
      </c>
      <c r="AG17" s="23"/>
      <c r="AH17" s="23"/>
      <c r="AI17" s="23" t="s">
        <v>99</v>
      </c>
      <c r="AJ17" s="23"/>
      <c r="AK17" s="20" t="s">
        <v>47</v>
      </c>
      <c r="AL17" s="24" t="s">
        <v>139</v>
      </c>
      <c r="AM17" s="41" t="s">
        <v>47</v>
      </c>
      <c r="AN17" s="24"/>
    </row>
    <row r="18" ht="37.5" customHeight="1">
      <c r="A18" s="21" t="s">
        <v>173</v>
      </c>
      <c r="B18" s="24" t="s">
        <v>174</v>
      </c>
      <c r="C18" s="24" t="s">
        <v>175</v>
      </c>
      <c r="D18" s="24" t="s">
        <v>176</v>
      </c>
      <c r="E18" s="24" t="s">
        <v>177</v>
      </c>
      <c r="F18" s="24" t="s">
        <v>178</v>
      </c>
      <c r="G18" s="31" t="s">
        <v>179</v>
      </c>
      <c r="H18" s="24" t="s">
        <v>180</v>
      </c>
      <c r="I18" s="24" t="s">
        <v>180</v>
      </c>
      <c r="J18" s="24" t="s">
        <v>180</v>
      </c>
      <c r="K18" s="24" t="s">
        <v>180</v>
      </c>
      <c r="L18" s="24" t="s">
        <v>181</v>
      </c>
      <c r="M18" s="42" t="s">
        <v>180</v>
      </c>
      <c r="N18" s="24" t="s">
        <v>182</v>
      </c>
      <c r="O18" s="24" t="s">
        <v>180</v>
      </c>
      <c r="P18" s="43" t="s">
        <v>180</v>
      </c>
      <c r="Q18" s="44" t="s">
        <v>180</v>
      </c>
      <c r="R18" s="24" t="s">
        <v>183</v>
      </c>
      <c r="S18" s="24" t="s">
        <v>183</v>
      </c>
      <c r="T18" s="24" t="s">
        <v>180</v>
      </c>
      <c r="U18" s="24" t="s">
        <v>184</v>
      </c>
      <c r="V18" s="24" t="s">
        <v>183</v>
      </c>
      <c r="W18" s="24" t="s">
        <v>185</v>
      </c>
      <c r="X18" s="24" t="s">
        <v>183</v>
      </c>
      <c r="Y18" s="24" t="s">
        <v>183</v>
      </c>
      <c r="Z18" s="24" t="s">
        <v>184</v>
      </c>
      <c r="AA18" s="24" t="s">
        <v>180</v>
      </c>
      <c r="AB18" s="24" t="s">
        <v>180</v>
      </c>
      <c r="AC18" s="24"/>
      <c r="AD18" s="24"/>
      <c r="AE18" s="24"/>
      <c r="AF18" s="24" t="s">
        <v>180</v>
      </c>
      <c r="AG18" s="24"/>
      <c r="AH18" s="24"/>
      <c r="AI18" s="24" t="s">
        <v>180</v>
      </c>
      <c r="AJ18" s="24" t="s">
        <v>180</v>
      </c>
      <c r="AK18" s="20" t="s">
        <v>47</v>
      </c>
      <c r="AL18" s="45">
        <v>45724.0</v>
      </c>
      <c r="AM18" s="29" t="s">
        <v>47</v>
      </c>
      <c r="AN18" s="24"/>
    </row>
    <row r="19" ht="37.5" customHeight="1">
      <c r="A19" s="21" t="s">
        <v>186</v>
      </c>
      <c r="B19" s="24" t="s">
        <v>174</v>
      </c>
      <c r="C19" s="24" t="s">
        <v>187</v>
      </c>
      <c r="D19" s="24">
        <v>2019.0</v>
      </c>
      <c r="E19" s="24">
        <v>2024.0</v>
      </c>
      <c r="F19" s="24" t="s">
        <v>188</v>
      </c>
      <c r="G19" s="24" t="s">
        <v>189</v>
      </c>
      <c r="H19" s="24">
        <v>2024.0</v>
      </c>
      <c r="I19" s="24">
        <v>2024.0</v>
      </c>
      <c r="J19" s="24">
        <v>2025.0</v>
      </c>
      <c r="K19" s="24">
        <v>2024.0</v>
      </c>
      <c r="L19" s="24">
        <v>2024.0</v>
      </c>
      <c r="M19" s="44" t="s">
        <v>190</v>
      </c>
      <c r="N19" s="24" t="s">
        <v>190</v>
      </c>
      <c r="O19" s="44" t="s">
        <v>190</v>
      </c>
      <c r="P19" s="44" t="s">
        <v>190</v>
      </c>
      <c r="Q19" s="44" t="s">
        <v>190</v>
      </c>
      <c r="R19" s="44" t="s">
        <v>190</v>
      </c>
      <c r="S19" s="44" t="s">
        <v>190</v>
      </c>
      <c r="T19" s="44" t="s">
        <v>190</v>
      </c>
      <c r="U19" s="44" t="s">
        <v>190</v>
      </c>
      <c r="V19" s="44" t="s">
        <v>190</v>
      </c>
      <c r="W19" s="44" t="s">
        <v>190</v>
      </c>
      <c r="X19" s="44" t="s">
        <v>191</v>
      </c>
      <c r="Y19" s="44" t="s">
        <v>189</v>
      </c>
      <c r="Z19" s="44" t="s">
        <v>192</v>
      </c>
      <c r="AA19" s="24" t="s">
        <v>189</v>
      </c>
      <c r="AB19" s="44" t="s">
        <v>189</v>
      </c>
      <c r="AC19" s="44" t="s">
        <v>193</v>
      </c>
      <c r="AD19" s="44" t="s">
        <v>193</v>
      </c>
      <c r="AE19" s="44" t="s">
        <v>193</v>
      </c>
      <c r="AF19" s="24" t="s">
        <v>189</v>
      </c>
      <c r="AG19" s="44" t="s">
        <v>193</v>
      </c>
      <c r="AH19" s="44" t="s">
        <v>194</v>
      </c>
      <c r="AI19" s="24" t="s">
        <v>189</v>
      </c>
      <c r="AJ19" s="24" t="s">
        <v>189</v>
      </c>
      <c r="AK19" s="20" t="s">
        <v>47</v>
      </c>
      <c r="AL19" s="24" t="s">
        <v>139</v>
      </c>
      <c r="AM19" s="24" t="s">
        <v>195</v>
      </c>
      <c r="AN19" s="24"/>
    </row>
    <row r="20" ht="55.5" customHeight="1">
      <c r="A20" s="21" t="s">
        <v>196</v>
      </c>
      <c r="B20" s="26" t="s">
        <v>197</v>
      </c>
      <c r="C20" s="23" t="s">
        <v>99</v>
      </c>
      <c r="D20" s="23" t="s">
        <v>99</v>
      </c>
      <c r="E20" s="23" t="s">
        <v>99</v>
      </c>
      <c r="F20" s="23" t="s">
        <v>99</v>
      </c>
      <c r="G20" s="23"/>
      <c r="H20" s="23" t="s">
        <v>99</v>
      </c>
      <c r="I20" s="23" t="s">
        <v>99</v>
      </c>
      <c r="J20" s="23" t="s">
        <v>99</v>
      </c>
      <c r="K20" s="23" t="s">
        <v>99</v>
      </c>
      <c r="L20" s="23" t="s">
        <v>99</v>
      </c>
      <c r="M20" s="23" t="s">
        <v>99</v>
      </c>
      <c r="N20" s="23" t="s">
        <v>99</v>
      </c>
      <c r="O20" s="23" t="s">
        <v>99</v>
      </c>
      <c r="P20" s="23" t="s">
        <v>99</v>
      </c>
      <c r="Q20" s="23" t="s">
        <v>99</v>
      </c>
      <c r="R20" s="23" t="s">
        <v>99</v>
      </c>
      <c r="S20" s="23" t="s">
        <v>99</v>
      </c>
      <c r="T20" s="24" t="s">
        <v>198</v>
      </c>
      <c r="U20" s="24" t="s">
        <v>198</v>
      </c>
      <c r="V20" s="23" t="s">
        <v>99</v>
      </c>
      <c r="W20" s="23" t="s">
        <v>99</v>
      </c>
      <c r="X20" s="23" t="s">
        <v>99</v>
      </c>
      <c r="Y20" s="23" t="s">
        <v>99</v>
      </c>
      <c r="Z20" s="23" t="s">
        <v>99</v>
      </c>
      <c r="AA20" s="23" t="s">
        <v>99</v>
      </c>
      <c r="AB20" s="23"/>
      <c r="AC20" s="23" t="s">
        <v>99</v>
      </c>
      <c r="AD20" s="23" t="s">
        <v>99</v>
      </c>
      <c r="AE20" s="23" t="s">
        <v>99</v>
      </c>
      <c r="AF20" s="23" t="s">
        <v>99</v>
      </c>
      <c r="AG20" s="23" t="s">
        <v>99</v>
      </c>
      <c r="AH20" s="23" t="s">
        <v>99</v>
      </c>
      <c r="AI20" s="23" t="s">
        <v>99</v>
      </c>
      <c r="AJ20" s="23"/>
      <c r="AK20" s="20" t="s">
        <v>47</v>
      </c>
      <c r="AL20" s="24" t="s">
        <v>199</v>
      </c>
      <c r="AM20" s="23" t="s">
        <v>144</v>
      </c>
      <c r="AN20" s="24"/>
    </row>
    <row r="21">
      <c r="A21" s="46" t="s">
        <v>200</v>
      </c>
      <c r="B21" s="24" t="s">
        <v>201</v>
      </c>
      <c r="C21" s="47">
        <v>45882.0</v>
      </c>
      <c r="D21" s="47">
        <v>45882.0</v>
      </c>
      <c r="E21" s="47">
        <v>45882.0</v>
      </c>
      <c r="F21" s="47">
        <v>45882.0</v>
      </c>
      <c r="G21" s="47"/>
      <c r="H21" s="47">
        <v>45882.0</v>
      </c>
      <c r="I21" s="47">
        <v>45882.0</v>
      </c>
      <c r="J21" s="47">
        <v>45882.0</v>
      </c>
      <c r="K21" s="47">
        <v>45882.0</v>
      </c>
      <c r="L21" s="47">
        <v>45882.0</v>
      </c>
      <c r="M21" s="47">
        <v>46027.0</v>
      </c>
      <c r="N21" s="47">
        <v>45882.0</v>
      </c>
      <c r="O21" s="47">
        <v>45882.0</v>
      </c>
      <c r="P21" s="47">
        <v>45882.0</v>
      </c>
      <c r="Q21" s="48">
        <v>45882.0</v>
      </c>
      <c r="R21" s="47">
        <v>45882.0</v>
      </c>
      <c r="S21" s="47">
        <v>45882.0</v>
      </c>
      <c r="T21" s="47">
        <v>45903.0</v>
      </c>
      <c r="U21" s="47">
        <v>45903.0</v>
      </c>
      <c r="V21" s="47">
        <v>45903.0</v>
      </c>
      <c r="W21" s="47">
        <v>45943.0</v>
      </c>
      <c r="X21" s="24" t="s">
        <v>202</v>
      </c>
      <c r="Y21" s="49" t="s">
        <v>203</v>
      </c>
      <c r="Z21" s="50">
        <v>45820.0</v>
      </c>
      <c r="AA21" s="49" t="s">
        <v>204</v>
      </c>
      <c r="AB21" s="24"/>
      <c r="AC21" s="50">
        <v>45676.0</v>
      </c>
      <c r="AD21" s="50">
        <v>45676.0</v>
      </c>
      <c r="AE21" s="50">
        <v>45690.0</v>
      </c>
      <c r="AF21" s="49" t="s">
        <v>205</v>
      </c>
      <c r="AG21" s="50">
        <v>45688.0</v>
      </c>
      <c r="AH21" s="49" t="s">
        <v>194</v>
      </c>
      <c r="AI21" s="50">
        <v>46296.0</v>
      </c>
      <c r="AJ21" s="49" t="s">
        <v>206</v>
      </c>
      <c r="AK21" s="51" t="s">
        <v>47</v>
      </c>
      <c r="AL21" s="24" t="s">
        <v>144</v>
      </c>
      <c r="AM21" s="24">
        <v>45683.0</v>
      </c>
      <c r="AN21" s="24"/>
    </row>
    <row r="22">
      <c r="A22" s="46" t="s">
        <v>207</v>
      </c>
      <c r="B22" s="24" t="s">
        <v>208</v>
      </c>
      <c r="C22" s="24">
        <f>COUNTIFs('Enrollment data'!$L:$L,C$1,'Enrollment data'!$M:$M,"&lt;&gt;Mock Student")</f>
        <v>212</v>
      </c>
      <c r="D22" s="24">
        <f>COUNTIFs('Enrollment data'!$L:$L,D$1,'Enrollment data'!$M:$M,"&lt;&gt;Mock Student")</f>
        <v>61</v>
      </c>
      <c r="E22" s="24">
        <f>COUNTIFs('Enrollment data'!$L:$L,E$1,'Enrollment data'!$M:$M,"&lt;&gt;Mock Student")</f>
        <v>69</v>
      </c>
      <c r="F22" s="24">
        <f>COUNTIFs('Enrollment data'!$L:$L,F$1,'Enrollment data'!$M:$M,"&lt;&gt;Mock Student")</f>
        <v>42</v>
      </c>
      <c r="G22" s="24"/>
      <c r="H22" s="24">
        <f>COUNTIFs('Enrollment data'!$L:$L,H$1,'Enrollment data'!$M:$M,"&lt;&gt;Mock Student")</f>
        <v>36</v>
      </c>
      <c r="I22" s="24">
        <f>COUNTIFs('Enrollment data'!$L:$L,I$1,'Enrollment data'!$M:$M,"&lt;&gt;Mock Student")</f>
        <v>21</v>
      </c>
      <c r="J22" s="24">
        <f>COUNTIFs('Enrollment data'!$L:$L,J$1,'Enrollment data'!$M:$M,"&lt;&gt;Mock Student")</f>
        <v>22</v>
      </c>
      <c r="K22" s="24" t="s">
        <v>209</v>
      </c>
      <c r="L22" s="24">
        <f>COUNTIFs('Enrollment data'!$L:$L,L$1,'Enrollment data'!$M:$M,"&lt;&gt;Mock Student")</f>
        <v>15</v>
      </c>
      <c r="M22" s="24">
        <f>COUNTIFs('Enrollment data'!$L:$L,M$1,'Enrollment data'!$M:$M,"&lt;&gt;Mock Student")</f>
        <v>1</v>
      </c>
      <c r="N22" s="24">
        <f>COUNTIFs('Enrollment data'!$L:$L,N$1,'Enrollment data'!$M:$M,"&lt;&gt;Mock Student")</f>
        <v>18</v>
      </c>
      <c r="O22" s="24">
        <f>COUNTIFs('Enrollment data'!$L:$L,O$1,'Enrollment data'!$M:$M,"&lt;&gt;Mock Student")</f>
        <v>33</v>
      </c>
      <c r="P22" s="24">
        <f>COUNTIFs('Enrollment data'!$L:$L,P$1,'Enrollment data'!$M:$M,"&lt;&gt;Mock Student")</f>
        <v>11</v>
      </c>
      <c r="Q22" s="24">
        <f>COUNTIFs('Enrollment data'!$L:$L,Q$1,'Enrollment data'!$M:$M,"&lt;&gt;Mock Student")</f>
        <v>19</v>
      </c>
      <c r="R22" s="24">
        <f>COUNTIFs('Enrollment data'!$L:$L,R$1,'Enrollment data'!$M:$M,"&lt;&gt;Mock Student")</f>
        <v>7</v>
      </c>
      <c r="S22" s="24">
        <f>COUNTIFs('Enrollment data'!$L:$L,S$1,'Enrollment data'!$M:$M,"&lt;&gt;Mock Student")</f>
        <v>10</v>
      </c>
      <c r="T22" s="24">
        <f>COUNTIFs('Enrollment data'!$L:$L,T$1,'Enrollment data'!$M:$M,"&lt;&gt;Mock Student")</f>
        <v>35</v>
      </c>
      <c r="U22" s="24">
        <f>COUNTIFs('Enrollment data'!$L:$L,U$1,'Enrollment data'!$M:$M,"&lt;&gt;Mock Student")</f>
        <v>13</v>
      </c>
      <c r="V22" s="24">
        <f>COUNTIFs('Enrollment data'!$L:$L,V$1,'Enrollment data'!$M:$M,"&lt;&gt;Mock Student")</f>
        <v>15</v>
      </c>
      <c r="W22" s="24">
        <f>COUNTIFs('Enrollment data'!$L:$L,W$1,'Enrollment data'!$M:$M,"&lt;&gt;Mock Student")</f>
        <v>5</v>
      </c>
      <c r="X22" s="24">
        <f>COUNTIFs('Enrollment data'!$L:$L,X$1,'Enrollment data'!$M:$M,"&lt;&gt;Mock Student")</f>
        <v>0</v>
      </c>
      <c r="Y22" s="24">
        <f>COUNTIFs('Enrollment data'!$L:$L,Y$1,'Enrollment data'!$M:$M,"&lt;&gt;Mock Student")</f>
        <v>0</v>
      </c>
      <c r="Z22" s="24">
        <f>COUNTIFs('Enrollment data'!$L:$L,Z$1,'Enrollment data'!$M:$M,"&lt;&gt;Mock Student")</f>
        <v>1</v>
      </c>
      <c r="AA22" s="24">
        <f>COUNTIFs('Enrollment data'!$L:$L,AA$1,'Enrollment data'!$M:$M,"&lt;&gt;Mock Student")</f>
        <v>0</v>
      </c>
      <c r="AB22" s="24">
        <f>COUNTIFs('Enrollment data'!$L:$L,AB$1,'Enrollment data'!$M:$M,"&lt;&gt;Mock Student")</f>
        <v>0</v>
      </c>
      <c r="AC22" s="24">
        <f>COUNTIFs('Enrollment data'!$L:$L,AC$1,'Enrollment data'!$M:$M,"&lt;&gt;Mock Student")</f>
        <v>0</v>
      </c>
      <c r="AD22" s="24">
        <f>COUNTIFs('Enrollment data'!$L:$L,AD$1,'Enrollment data'!$M:$M,"&lt;&gt;Mock Student")</f>
        <v>0</v>
      </c>
      <c r="AE22" s="24">
        <f>COUNTIFs('Enrollment data'!$L:$L,AE$1,'Enrollment data'!$M:$M,"&lt;&gt;Mock Student")</f>
        <v>0</v>
      </c>
      <c r="AF22" s="24">
        <f>COUNTIFs('Enrollment data'!$L:$L,AF$1,'Enrollment data'!$M:$M,"&lt;&gt;Mock Student")</f>
        <v>0</v>
      </c>
      <c r="AG22" s="24">
        <f>COUNTIFs('Enrollment data'!$L:$L,AG$1,'Enrollment data'!$M:$M,"&lt;&gt;Mock Student")</f>
        <v>0</v>
      </c>
      <c r="AH22" s="24">
        <f>COUNTIFs('Enrollment data'!$L:$L,AH$1,'Enrollment data'!$M:$M,"&lt;&gt;Mock Student")</f>
        <v>0</v>
      </c>
      <c r="AI22" s="24">
        <f>COUNTIFs('Enrollment data'!$L:$L,AI$1,'Enrollment data'!$M:$M,"&lt;&gt;Mock Student")</f>
        <v>0</v>
      </c>
      <c r="AJ22" s="24">
        <f>COUNTIFs('Enrollment data'!$L:$L,AJ$1,'Enrollment data'!$M:$M,"&lt;&gt;Mock Student")</f>
        <v>0</v>
      </c>
      <c r="AK22" s="51" t="s">
        <v>47</v>
      </c>
      <c r="AL22" s="24">
        <f>COUNTIFs('Enrollment data'!$L:$L,AL$1,'Enrollment data'!$M:$M,"&lt;&gt;Mock Student",'Enrollment data'!$M:$M,"&lt;&gt;spartan")</f>
        <v>0</v>
      </c>
      <c r="AM22" s="24">
        <f>COUNTIFs('Enrollment data'!$L:$L,AM$1,'Enrollment data'!$M:$M,"&lt;&gt;Mock Student")</f>
        <v>0</v>
      </c>
      <c r="AN22" s="24"/>
    </row>
    <row r="23">
      <c r="A23" s="21" t="s">
        <v>210</v>
      </c>
      <c r="B23" s="24" t="s">
        <v>174</v>
      </c>
      <c r="C23" s="24" t="s">
        <v>211</v>
      </c>
      <c r="D23" s="24" t="s">
        <v>212</v>
      </c>
      <c r="E23" s="24" t="s">
        <v>213</v>
      </c>
      <c r="F23" s="24" t="s">
        <v>214</v>
      </c>
      <c r="G23" s="24" t="s">
        <v>215</v>
      </c>
      <c r="H23" s="24" t="s">
        <v>216</v>
      </c>
      <c r="I23" s="24" t="s">
        <v>217</v>
      </c>
      <c r="J23" s="24" t="s">
        <v>218</v>
      </c>
      <c r="K23" s="24" t="s">
        <v>219</v>
      </c>
      <c r="L23" s="24" t="s">
        <v>220</v>
      </c>
      <c r="M23" s="24" t="s">
        <v>221</v>
      </c>
      <c r="N23" s="24" t="s">
        <v>222</v>
      </c>
      <c r="O23" s="24" t="s">
        <v>223</v>
      </c>
      <c r="P23" s="24" t="s">
        <v>224</v>
      </c>
      <c r="Q23" s="44" t="s">
        <v>225</v>
      </c>
      <c r="R23" s="24" t="s">
        <v>226</v>
      </c>
      <c r="S23" s="24" t="s">
        <v>227</v>
      </c>
      <c r="T23" s="24" t="s">
        <v>228</v>
      </c>
      <c r="U23" s="24" t="s">
        <v>229</v>
      </c>
      <c r="V23" s="24" t="s">
        <v>230</v>
      </c>
      <c r="W23" s="24" t="s">
        <v>231</v>
      </c>
      <c r="X23" s="24" t="s">
        <v>232</v>
      </c>
      <c r="Y23" s="24" t="s">
        <v>233</v>
      </c>
      <c r="Z23" s="24" t="s">
        <v>234</v>
      </c>
      <c r="AA23" s="24" t="s">
        <v>235</v>
      </c>
      <c r="AB23" s="24" t="s">
        <v>236</v>
      </c>
      <c r="AC23" s="24" t="s">
        <v>237</v>
      </c>
      <c r="AD23" s="24" t="s">
        <v>238</v>
      </c>
      <c r="AE23" s="24" t="s">
        <v>239</v>
      </c>
      <c r="AF23" s="24" t="s">
        <v>234</v>
      </c>
      <c r="AG23" s="24" t="s">
        <v>240</v>
      </c>
      <c r="AH23" s="24" t="s">
        <v>241</v>
      </c>
      <c r="AI23" s="24" t="s">
        <v>242</v>
      </c>
      <c r="AJ23" s="24" t="s">
        <v>243</v>
      </c>
      <c r="AK23" s="20" t="s">
        <v>47</v>
      </c>
      <c r="AL23" s="24" t="s">
        <v>244</v>
      </c>
      <c r="AM23" s="24" t="s">
        <v>245</v>
      </c>
      <c r="AN23" s="24"/>
    </row>
    <row r="24">
      <c r="A24" s="21" t="s">
        <v>246</v>
      </c>
      <c r="B24" s="34"/>
      <c r="C24" s="26">
        <v>193.0</v>
      </c>
      <c r="D24" s="26">
        <v>194.0</v>
      </c>
      <c r="E24" s="26" t="s">
        <v>247</v>
      </c>
      <c r="F24" s="24" t="s">
        <v>248</v>
      </c>
      <c r="G24" s="24"/>
      <c r="H24" s="26">
        <v>105.0</v>
      </c>
      <c r="I24" s="26">
        <v>115.0</v>
      </c>
      <c r="J24" s="26">
        <v>116.0</v>
      </c>
      <c r="K24" s="24">
        <v>18.0</v>
      </c>
      <c r="L24" s="24" t="s">
        <v>249</v>
      </c>
      <c r="M24" s="24" t="s">
        <v>250</v>
      </c>
      <c r="N24" s="24" t="s">
        <v>251</v>
      </c>
      <c r="O24" s="24">
        <v>38.0</v>
      </c>
      <c r="P24" s="26">
        <v>19.0</v>
      </c>
      <c r="Q24" s="52">
        <v>68.0</v>
      </c>
      <c r="R24" s="44">
        <v>25.0</v>
      </c>
      <c r="S24" s="24">
        <v>25.0</v>
      </c>
      <c r="T24" s="26" t="s">
        <v>252</v>
      </c>
      <c r="U24" s="26">
        <v>78.0</v>
      </c>
      <c r="V24" s="24">
        <v>25.0</v>
      </c>
      <c r="W24" s="24">
        <v>25.0</v>
      </c>
      <c r="X24" s="24" t="s">
        <v>253</v>
      </c>
      <c r="Y24" s="44">
        <v>25.0</v>
      </c>
      <c r="Z24" s="24" t="s">
        <v>251</v>
      </c>
      <c r="AA24" s="24"/>
      <c r="AB24" s="44"/>
      <c r="AC24" s="52">
        <v>47.0</v>
      </c>
      <c r="AD24" s="52">
        <v>106.0</v>
      </c>
      <c r="AE24" s="52">
        <v>44.0</v>
      </c>
      <c r="AF24" s="24"/>
      <c r="AG24" s="44"/>
      <c r="AH24" s="44"/>
      <c r="AI24" s="24"/>
      <c r="AJ24" s="24"/>
      <c r="AK24" s="20" t="s">
        <v>47</v>
      </c>
      <c r="AL24" s="24"/>
      <c r="AM24" s="24"/>
      <c r="AN24" s="24" t="s">
        <v>254</v>
      </c>
    </row>
    <row r="25">
      <c r="A25" s="21" t="s">
        <v>255</v>
      </c>
      <c r="B25" s="24" t="s">
        <v>174</v>
      </c>
      <c r="C25" s="24" t="s">
        <v>256</v>
      </c>
      <c r="D25" s="24" t="s">
        <v>256</v>
      </c>
      <c r="E25" s="24" t="s">
        <v>257</v>
      </c>
      <c r="F25" s="24" t="s">
        <v>258</v>
      </c>
      <c r="G25" s="24"/>
      <c r="H25" s="24" t="s">
        <v>256</v>
      </c>
      <c r="I25" s="24" t="s">
        <v>259</v>
      </c>
      <c r="J25" s="24" t="s">
        <v>256</v>
      </c>
      <c r="K25" s="24" t="s">
        <v>71</v>
      </c>
      <c r="L25" s="24" t="s">
        <v>259</v>
      </c>
      <c r="M25" s="24" t="s">
        <v>260</v>
      </c>
      <c r="N25" s="24" t="s">
        <v>259</v>
      </c>
      <c r="O25" s="24" t="s">
        <v>261</v>
      </c>
      <c r="P25" s="24" t="s">
        <v>262</v>
      </c>
      <c r="Q25" s="44" t="s">
        <v>263</v>
      </c>
      <c r="R25" s="44" t="s">
        <v>77</v>
      </c>
      <c r="S25" s="24" t="s">
        <v>264</v>
      </c>
      <c r="T25" s="24" t="s">
        <v>79</v>
      </c>
      <c r="U25" s="24" t="s">
        <v>80</v>
      </c>
      <c r="V25" s="24" t="s">
        <v>265</v>
      </c>
      <c r="W25" s="24" t="s">
        <v>266</v>
      </c>
      <c r="X25" s="24" t="s">
        <v>267</v>
      </c>
      <c r="Y25" s="44" t="s">
        <v>268</v>
      </c>
      <c r="Z25" s="24" t="s">
        <v>269</v>
      </c>
      <c r="AA25" s="24"/>
      <c r="AB25" s="44"/>
      <c r="AC25" s="44"/>
      <c r="AD25" s="44"/>
      <c r="AE25" s="44"/>
      <c r="AF25" s="24"/>
      <c r="AG25" s="44"/>
      <c r="AH25" s="44"/>
      <c r="AI25" s="24"/>
      <c r="AJ25" s="24"/>
      <c r="AK25" s="20" t="s">
        <v>47</v>
      </c>
      <c r="AL25" s="24"/>
      <c r="AM25" s="24"/>
      <c r="AN25" s="24"/>
    </row>
    <row r="26">
      <c r="A26" s="21" t="s">
        <v>270</v>
      </c>
      <c r="B26" s="24" t="s">
        <v>271</v>
      </c>
      <c r="C26" s="24" t="s">
        <v>272</v>
      </c>
      <c r="D26" s="24" t="s">
        <v>273</v>
      </c>
      <c r="E26" s="23" t="s">
        <v>99</v>
      </c>
      <c r="F26" s="23" t="s">
        <v>99</v>
      </c>
      <c r="G26" s="23"/>
      <c r="H26" s="23" t="s">
        <v>99</v>
      </c>
      <c r="I26" s="23" t="s">
        <v>99</v>
      </c>
      <c r="J26" s="23"/>
      <c r="K26" s="23"/>
      <c r="L26" s="23" t="s">
        <v>99</v>
      </c>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0" t="s">
        <v>47</v>
      </c>
      <c r="AL26" s="24" t="s">
        <v>139</v>
      </c>
      <c r="AM26" s="23" t="s">
        <v>274</v>
      </c>
      <c r="AN26" s="24" t="s">
        <v>275</v>
      </c>
    </row>
    <row r="27">
      <c r="A27" s="21" t="s">
        <v>276</v>
      </c>
      <c r="B27" s="24" t="s">
        <v>174</v>
      </c>
      <c r="C27" s="24" t="s">
        <v>277</v>
      </c>
      <c r="D27" s="24" t="s">
        <v>278</v>
      </c>
      <c r="E27" s="24" t="s">
        <v>279</v>
      </c>
      <c r="F27" s="24" t="s">
        <v>280</v>
      </c>
      <c r="G27" s="24"/>
      <c r="H27" s="24" t="s">
        <v>281</v>
      </c>
      <c r="I27" s="24" t="s">
        <v>282</v>
      </c>
      <c r="J27" s="24" t="s">
        <v>283</v>
      </c>
      <c r="K27" s="24" t="s">
        <v>284</v>
      </c>
      <c r="L27" s="24" t="s">
        <v>285</v>
      </c>
      <c r="M27" s="24" t="s">
        <v>286</v>
      </c>
      <c r="N27" s="44" t="s">
        <v>287</v>
      </c>
      <c r="O27" s="44" t="s">
        <v>288</v>
      </c>
      <c r="P27" s="24" t="s">
        <v>289</v>
      </c>
      <c r="Q27" s="44" t="s">
        <v>290</v>
      </c>
      <c r="R27" s="44" t="s">
        <v>291</v>
      </c>
      <c r="S27" s="24" t="s">
        <v>292</v>
      </c>
      <c r="T27" s="44" t="s">
        <v>293</v>
      </c>
      <c r="U27" s="24" t="s">
        <v>294</v>
      </c>
      <c r="V27" s="44" t="s">
        <v>295</v>
      </c>
      <c r="W27" s="44" t="s">
        <v>296</v>
      </c>
      <c r="X27" s="24" t="s">
        <v>297</v>
      </c>
      <c r="Y27" s="24" t="s">
        <v>298</v>
      </c>
      <c r="Z27" s="44" t="s">
        <v>299</v>
      </c>
      <c r="AA27" s="44" t="s">
        <v>300</v>
      </c>
      <c r="AB27" s="24" t="s">
        <v>301</v>
      </c>
      <c r="AC27" s="44" t="s">
        <v>302</v>
      </c>
      <c r="AD27" s="44" t="s">
        <v>303</v>
      </c>
      <c r="AE27" s="44" t="s">
        <v>304</v>
      </c>
      <c r="AF27" s="44" t="s">
        <v>113</v>
      </c>
      <c r="AG27" s="44"/>
      <c r="AH27" s="44"/>
      <c r="AI27" s="44" t="s">
        <v>113</v>
      </c>
      <c r="AJ27" s="44"/>
      <c r="AK27" s="20" t="s">
        <v>47</v>
      </c>
      <c r="AL27" s="24" t="s">
        <v>305</v>
      </c>
      <c r="AM27" s="44" t="s">
        <v>306</v>
      </c>
      <c r="AN27" s="24"/>
    </row>
    <row r="28">
      <c r="A28" s="21" t="s">
        <v>307</v>
      </c>
      <c r="B28" s="24" t="s">
        <v>174</v>
      </c>
      <c r="C28" s="24" t="s">
        <v>308</v>
      </c>
      <c r="D28" s="24" t="s">
        <v>308</v>
      </c>
      <c r="E28" s="24" t="s">
        <v>309</v>
      </c>
      <c r="F28" s="24" t="s">
        <v>310</v>
      </c>
      <c r="G28" s="24"/>
      <c r="H28" s="24" t="s">
        <v>311</v>
      </c>
      <c r="I28" s="24" t="s">
        <v>312</v>
      </c>
      <c r="J28" s="24" t="s">
        <v>310</v>
      </c>
      <c r="K28" s="24" t="s">
        <v>313</v>
      </c>
      <c r="L28" s="24" t="s">
        <v>314</v>
      </c>
      <c r="M28" s="24"/>
      <c r="N28" s="24" t="s">
        <v>315</v>
      </c>
      <c r="O28" s="24" t="s">
        <v>315</v>
      </c>
      <c r="P28" s="24" t="s">
        <v>310</v>
      </c>
      <c r="Q28" s="24" t="s">
        <v>315</v>
      </c>
      <c r="R28" s="24" t="s">
        <v>315</v>
      </c>
      <c r="S28" s="24" t="s">
        <v>310</v>
      </c>
      <c r="T28" s="24" t="s">
        <v>315</v>
      </c>
      <c r="U28" s="24" t="s">
        <v>310</v>
      </c>
      <c r="V28" s="24" t="s">
        <v>315</v>
      </c>
      <c r="W28" s="24" t="s">
        <v>315</v>
      </c>
      <c r="X28" s="24" t="s">
        <v>310</v>
      </c>
      <c r="Y28" s="24" t="s">
        <v>310</v>
      </c>
      <c r="Z28" s="24" t="s">
        <v>315</v>
      </c>
      <c r="AA28" s="24" t="s">
        <v>113</v>
      </c>
      <c r="AB28" s="24"/>
      <c r="AC28" s="24"/>
      <c r="AD28" s="24"/>
      <c r="AE28" s="24"/>
      <c r="AF28" s="24" t="s">
        <v>113</v>
      </c>
      <c r="AG28" s="24"/>
      <c r="AH28" s="24"/>
      <c r="AI28" s="24" t="s">
        <v>113</v>
      </c>
      <c r="AJ28" s="24"/>
      <c r="AK28" s="20" t="s">
        <v>47</v>
      </c>
      <c r="AL28" s="24" t="s">
        <v>316</v>
      </c>
      <c r="AM28" s="24" t="s">
        <v>317</v>
      </c>
      <c r="AN28" s="24"/>
    </row>
    <row r="29">
      <c r="A29" s="21" t="s">
        <v>318</v>
      </c>
      <c r="B29" s="24"/>
      <c r="C29" s="24"/>
      <c r="D29" s="24"/>
      <c r="E29" s="24"/>
      <c r="F29" s="24"/>
      <c r="G29" s="24"/>
      <c r="H29" s="24"/>
      <c r="I29" s="24"/>
      <c r="J29" s="24" t="s">
        <v>319</v>
      </c>
      <c r="K29" s="24" t="s">
        <v>320</v>
      </c>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51" t="s">
        <v>47</v>
      </c>
      <c r="AL29" s="24"/>
      <c r="AM29" s="24"/>
      <c r="AN29" s="24"/>
    </row>
    <row r="30">
      <c r="A30" s="21" t="s">
        <v>321</v>
      </c>
      <c r="B30" s="24"/>
      <c r="C30" s="24"/>
      <c r="D30" s="24"/>
      <c r="E30" s="24" t="s">
        <v>322</v>
      </c>
      <c r="F30" s="24"/>
      <c r="G30" s="24"/>
      <c r="H30" s="24"/>
      <c r="I30" s="24"/>
      <c r="J30" s="24"/>
      <c r="K30" s="24"/>
      <c r="L30" s="24"/>
      <c r="M30" s="24"/>
      <c r="N30" s="24"/>
      <c r="O30" s="24" t="s">
        <v>323</v>
      </c>
      <c r="P30" s="24"/>
      <c r="Q30" s="24"/>
      <c r="R30" s="24" t="s">
        <v>322</v>
      </c>
      <c r="S30" s="24"/>
      <c r="T30" s="24"/>
      <c r="U30" s="24"/>
      <c r="V30" s="24"/>
      <c r="W30" s="24"/>
      <c r="X30" s="24" t="s">
        <v>324</v>
      </c>
      <c r="Y30" s="24"/>
      <c r="Z30" s="24" t="s">
        <v>322</v>
      </c>
      <c r="AA30" s="24"/>
      <c r="AB30" s="24"/>
      <c r="AC30" s="24"/>
      <c r="AD30" s="24"/>
      <c r="AE30" s="24"/>
      <c r="AF30" s="24"/>
      <c r="AG30" s="24"/>
      <c r="AH30" s="24"/>
      <c r="AI30" s="24"/>
      <c r="AJ30" s="24"/>
      <c r="AK30" s="51" t="s">
        <v>47</v>
      </c>
      <c r="AL30" s="24"/>
      <c r="AM30" s="24"/>
      <c r="AN30" s="24"/>
    </row>
    <row r="31" ht="49.5" customHeight="1">
      <c r="A31" s="53" t="s">
        <v>325</v>
      </c>
      <c r="B31" s="24"/>
      <c r="C31" s="24" t="s">
        <v>326</v>
      </c>
      <c r="D31" s="35" t="s">
        <v>327</v>
      </c>
      <c r="E31" s="24" t="s">
        <v>328</v>
      </c>
      <c r="F31" s="24" t="s">
        <v>329</v>
      </c>
      <c r="G31" s="35" t="s">
        <v>330</v>
      </c>
      <c r="H31" s="24" t="s">
        <v>326</v>
      </c>
      <c r="I31" s="24" t="s">
        <v>326</v>
      </c>
      <c r="J31" s="24" t="s">
        <v>329</v>
      </c>
      <c r="K31" s="24" t="s">
        <v>329</v>
      </c>
      <c r="L31" s="24" t="s">
        <v>326</v>
      </c>
      <c r="M31" s="24" t="s">
        <v>326</v>
      </c>
      <c r="N31" s="24" t="s">
        <v>331</v>
      </c>
      <c r="O31" s="27" t="s">
        <v>328</v>
      </c>
      <c r="P31" s="27" t="s">
        <v>328</v>
      </c>
      <c r="Q31" s="24" t="s">
        <v>328</v>
      </c>
      <c r="R31" s="27" t="s">
        <v>328</v>
      </c>
      <c r="S31" s="27" t="s">
        <v>328</v>
      </c>
      <c r="T31" s="24" t="s">
        <v>328</v>
      </c>
      <c r="U31" s="24" t="s">
        <v>328</v>
      </c>
      <c r="V31" s="24" t="s">
        <v>328</v>
      </c>
      <c r="W31" s="24"/>
      <c r="X31" s="24"/>
      <c r="Y31" s="24"/>
      <c r="Z31" s="24"/>
      <c r="AA31" s="24"/>
      <c r="AB31" s="24"/>
      <c r="AC31" s="24"/>
      <c r="AD31" s="24"/>
      <c r="AE31" s="24"/>
      <c r="AF31" s="24"/>
      <c r="AG31" s="24"/>
      <c r="AH31" s="24"/>
      <c r="AI31" s="24"/>
      <c r="AJ31" s="24"/>
      <c r="AK31" s="51" t="s">
        <v>47</v>
      </c>
      <c r="AL31" s="24"/>
      <c r="AM31" s="24" t="s">
        <v>332</v>
      </c>
      <c r="AN31" s="24"/>
    </row>
    <row r="32">
      <c r="A32" s="53" t="s">
        <v>333</v>
      </c>
      <c r="B32" s="34"/>
      <c r="C32" s="24" t="s">
        <v>334</v>
      </c>
      <c r="D32" s="35" t="s">
        <v>335</v>
      </c>
      <c r="E32" s="24" t="s">
        <v>336</v>
      </c>
      <c r="F32" s="24" t="s">
        <v>335</v>
      </c>
      <c r="G32" s="24" t="s">
        <v>334</v>
      </c>
      <c r="H32" s="24" t="s">
        <v>334</v>
      </c>
      <c r="I32" s="24" t="s">
        <v>335</v>
      </c>
      <c r="J32" s="24" t="s">
        <v>334</v>
      </c>
      <c r="K32" s="24" t="s">
        <v>334</v>
      </c>
      <c r="L32" s="24" t="s">
        <v>334</v>
      </c>
      <c r="M32" s="24" t="s">
        <v>334</v>
      </c>
      <c r="N32" s="24"/>
      <c r="O32" s="24" t="s">
        <v>337</v>
      </c>
      <c r="P32" s="24" t="s">
        <v>338</v>
      </c>
      <c r="Q32" s="24" t="s">
        <v>339</v>
      </c>
      <c r="R32" s="24" t="s">
        <v>340</v>
      </c>
      <c r="S32" s="24" t="s">
        <v>341</v>
      </c>
      <c r="T32" s="24" t="s">
        <v>342</v>
      </c>
      <c r="U32" s="24" t="s">
        <v>343</v>
      </c>
      <c r="V32" s="24" t="s">
        <v>343</v>
      </c>
      <c r="W32" s="24" t="s">
        <v>344</v>
      </c>
      <c r="X32" s="24" t="s">
        <v>345</v>
      </c>
      <c r="Y32" s="24" t="s">
        <v>346</v>
      </c>
      <c r="Z32" s="24" t="s">
        <v>332</v>
      </c>
      <c r="AA32" s="24" t="s">
        <v>332</v>
      </c>
      <c r="AB32" s="24"/>
      <c r="AC32" s="24" t="s">
        <v>347</v>
      </c>
      <c r="AD32" s="24" t="s">
        <v>347</v>
      </c>
      <c r="AE32" s="24" t="s">
        <v>348</v>
      </c>
      <c r="AF32" s="24" t="s">
        <v>332</v>
      </c>
      <c r="AG32" s="24" t="s">
        <v>347</v>
      </c>
      <c r="AH32" s="24" t="s">
        <v>347</v>
      </c>
      <c r="AI32" s="24" t="s">
        <v>332</v>
      </c>
      <c r="AJ32" s="24"/>
      <c r="AK32" s="51" t="s">
        <v>47</v>
      </c>
      <c r="AL32" s="24" t="s">
        <v>349</v>
      </c>
      <c r="AM32" s="24"/>
      <c r="AN32" s="24"/>
    </row>
    <row r="33">
      <c r="A33" s="53" t="s">
        <v>350</v>
      </c>
      <c r="B33" s="26" t="s">
        <v>351</v>
      </c>
      <c r="C33" s="24" t="s">
        <v>352</v>
      </c>
      <c r="D33" s="24" t="s">
        <v>353</v>
      </c>
      <c r="E33" s="24" t="s">
        <v>354</v>
      </c>
      <c r="F33" s="24" t="s">
        <v>355</v>
      </c>
      <c r="G33" s="24" t="s">
        <v>356</v>
      </c>
      <c r="H33" s="24" t="s">
        <v>357</v>
      </c>
      <c r="I33" s="24" t="s">
        <v>358</v>
      </c>
      <c r="J33" s="24" t="s">
        <v>359</v>
      </c>
      <c r="K33" s="24" t="s">
        <v>360</v>
      </c>
      <c r="L33" s="24" t="s">
        <v>361</v>
      </c>
      <c r="M33" s="24" t="s">
        <v>362</v>
      </c>
      <c r="N33" s="24" t="s">
        <v>363</v>
      </c>
      <c r="O33" s="24" t="s">
        <v>364</v>
      </c>
      <c r="P33" s="24" t="s">
        <v>365</v>
      </c>
      <c r="Q33" s="24" t="s">
        <v>366</v>
      </c>
      <c r="R33" s="44" t="s">
        <v>367</v>
      </c>
      <c r="S33" s="24" t="s">
        <v>368</v>
      </c>
      <c r="T33" s="24" t="s">
        <v>369</v>
      </c>
      <c r="U33" s="24" t="s">
        <v>370</v>
      </c>
      <c r="V33" s="24" t="s">
        <v>371</v>
      </c>
      <c r="W33" s="24" t="s">
        <v>372</v>
      </c>
      <c r="X33" s="24" t="s">
        <v>373</v>
      </c>
      <c r="Y33" s="44" t="s">
        <v>374</v>
      </c>
      <c r="Z33" s="24" t="s">
        <v>375</v>
      </c>
      <c r="AA33" s="24" t="s">
        <v>113</v>
      </c>
      <c r="AB33" s="44"/>
      <c r="AC33" s="44"/>
      <c r="AD33" s="44"/>
      <c r="AE33" s="44"/>
      <c r="AF33" s="24" t="s">
        <v>113</v>
      </c>
      <c r="AG33" s="44"/>
      <c r="AH33" s="44"/>
      <c r="AI33" s="24" t="s">
        <v>113</v>
      </c>
      <c r="AJ33" s="24"/>
      <c r="AK33" s="51" t="s">
        <v>47</v>
      </c>
      <c r="AL33" s="24" t="s">
        <v>376</v>
      </c>
      <c r="AM33" s="29" t="s">
        <v>47</v>
      </c>
      <c r="AN33" s="24"/>
    </row>
    <row r="34">
      <c r="A34" s="54" t="s">
        <v>377</v>
      </c>
      <c r="B34" s="55"/>
      <c r="C34" s="35" t="s">
        <v>378</v>
      </c>
      <c r="D34" s="35" t="s">
        <v>379</v>
      </c>
      <c r="E34" s="35" t="s">
        <v>380</v>
      </c>
      <c r="F34" s="35" t="s">
        <v>381</v>
      </c>
      <c r="G34" s="35"/>
      <c r="H34" s="35" t="s">
        <v>382</v>
      </c>
      <c r="I34" s="24" t="s">
        <v>383</v>
      </c>
      <c r="J34" s="56" t="s">
        <v>384</v>
      </c>
      <c r="K34" s="35" t="s">
        <v>385</v>
      </c>
      <c r="L34" s="35" t="s">
        <v>386</v>
      </c>
      <c r="M34" s="35" t="s">
        <v>387</v>
      </c>
      <c r="N34" s="56" t="s">
        <v>388</v>
      </c>
      <c r="O34" s="35" t="s">
        <v>389</v>
      </c>
      <c r="P34" s="56" t="s">
        <v>390</v>
      </c>
      <c r="Q34" s="35" t="s">
        <v>391</v>
      </c>
      <c r="R34" s="56" t="s">
        <v>392</v>
      </c>
      <c r="S34" s="56" t="s">
        <v>393</v>
      </c>
      <c r="T34" s="35" t="s">
        <v>394</v>
      </c>
      <c r="U34" s="24" t="s">
        <v>395</v>
      </c>
      <c r="V34" s="35" t="s">
        <v>396</v>
      </c>
      <c r="W34" s="56" t="s">
        <v>397</v>
      </c>
      <c r="X34" s="35" t="s">
        <v>398</v>
      </c>
      <c r="Y34" s="56" t="s">
        <v>399</v>
      </c>
      <c r="Z34" s="35" t="s">
        <v>400</v>
      </c>
      <c r="AA34" s="35" t="s">
        <v>401</v>
      </c>
      <c r="AB34" s="35"/>
      <c r="AC34" s="56"/>
      <c r="AD34" s="56"/>
      <c r="AE34" s="56"/>
      <c r="AF34" s="35" t="s">
        <v>401</v>
      </c>
      <c r="AG34" s="56"/>
      <c r="AH34" s="56"/>
      <c r="AI34" s="35" t="s">
        <v>401</v>
      </c>
      <c r="AJ34" s="35"/>
      <c r="AK34" s="51" t="s">
        <v>47</v>
      </c>
      <c r="AL34" s="55"/>
      <c r="AM34" s="35"/>
      <c r="AN34" s="55"/>
    </row>
    <row r="35">
      <c r="A35" s="54" t="s">
        <v>402</v>
      </c>
      <c r="B35" s="57" t="s">
        <v>403</v>
      </c>
      <c r="C35" s="35" t="s">
        <v>404</v>
      </c>
      <c r="D35" s="35" t="s">
        <v>404</v>
      </c>
      <c r="E35" s="35" t="s">
        <v>405</v>
      </c>
      <c r="F35" s="35" t="s">
        <v>406</v>
      </c>
      <c r="G35" s="35"/>
      <c r="H35" s="35" t="s">
        <v>407</v>
      </c>
      <c r="I35" s="35" t="s">
        <v>405</v>
      </c>
      <c r="J35" s="35" t="s">
        <v>408</v>
      </c>
      <c r="K35" s="35" t="s">
        <v>406</v>
      </c>
      <c r="L35" s="35" t="s">
        <v>406</v>
      </c>
      <c r="M35" s="35" t="s">
        <v>406</v>
      </c>
      <c r="N35" s="35" t="s">
        <v>406</v>
      </c>
      <c r="O35" s="35" t="s">
        <v>409</v>
      </c>
      <c r="P35" s="35" t="s">
        <v>406</v>
      </c>
      <c r="Q35" s="35" t="s">
        <v>409</v>
      </c>
      <c r="R35" s="35" t="s">
        <v>405</v>
      </c>
      <c r="S35" s="35" t="s">
        <v>406</v>
      </c>
      <c r="T35" s="35" t="s">
        <v>410</v>
      </c>
      <c r="U35" s="35" t="s">
        <v>409</v>
      </c>
      <c r="V35" s="35" t="s">
        <v>409</v>
      </c>
      <c r="W35" s="35" t="s">
        <v>409</v>
      </c>
      <c r="X35" s="35" t="s">
        <v>409</v>
      </c>
      <c r="Y35" s="35" t="s">
        <v>409</v>
      </c>
      <c r="Z35" s="35" t="s">
        <v>411</v>
      </c>
      <c r="AA35" s="35" t="s">
        <v>411</v>
      </c>
      <c r="AB35" s="35"/>
      <c r="AC35" s="35"/>
      <c r="AD35" s="35"/>
      <c r="AE35" s="35"/>
      <c r="AF35" s="35" t="s">
        <v>411</v>
      </c>
      <c r="AG35" s="35"/>
      <c r="AH35" s="35"/>
      <c r="AI35" s="35" t="s">
        <v>411</v>
      </c>
      <c r="AJ35" s="35"/>
      <c r="AK35" s="51" t="s">
        <v>47</v>
      </c>
      <c r="AL35" s="55"/>
      <c r="AM35" s="35" t="s">
        <v>410</v>
      </c>
      <c r="AN35" s="55"/>
    </row>
    <row r="36">
      <c r="A36" s="54" t="s">
        <v>412</v>
      </c>
      <c r="B36" s="58"/>
      <c r="C36" s="35" t="s">
        <v>413</v>
      </c>
      <c r="D36" s="35" t="s">
        <v>413</v>
      </c>
      <c r="E36" s="35" t="s">
        <v>414</v>
      </c>
      <c r="F36" s="35" t="s">
        <v>415</v>
      </c>
      <c r="G36" s="35" t="s">
        <v>416</v>
      </c>
      <c r="H36" s="35" t="s">
        <v>417</v>
      </c>
      <c r="I36" s="35" t="s">
        <v>417</v>
      </c>
      <c r="J36" s="35" t="s">
        <v>415</v>
      </c>
      <c r="K36" s="35" t="s">
        <v>415</v>
      </c>
      <c r="L36" s="35" t="s">
        <v>417</v>
      </c>
      <c r="M36" s="35" t="s">
        <v>418</v>
      </c>
      <c r="N36" s="35" t="s">
        <v>419</v>
      </c>
      <c r="O36" s="35" t="s">
        <v>420</v>
      </c>
      <c r="P36" s="35" t="s">
        <v>341</v>
      </c>
      <c r="Q36" s="35" t="s">
        <v>421</v>
      </c>
      <c r="R36" s="35" t="s">
        <v>340</v>
      </c>
      <c r="S36" s="35" t="s">
        <v>341</v>
      </c>
      <c r="T36" s="35" t="s">
        <v>422</v>
      </c>
      <c r="U36" s="35" t="s">
        <v>421</v>
      </c>
      <c r="V36" s="35" t="s">
        <v>343</v>
      </c>
      <c r="W36" s="35"/>
      <c r="X36" s="35" t="s">
        <v>423</v>
      </c>
      <c r="Y36" s="35" t="s">
        <v>346</v>
      </c>
      <c r="Z36" s="35" t="s">
        <v>424</v>
      </c>
      <c r="AA36" s="35"/>
      <c r="AB36" s="35"/>
      <c r="AC36" s="35"/>
      <c r="AD36" s="35"/>
      <c r="AE36" s="35"/>
      <c r="AF36" s="35"/>
      <c r="AG36" s="35"/>
      <c r="AH36" s="35"/>
      <c r="AI36" s="35"/>
      <c r="AJ36" s="35"/>
      <c r="AK36" s="20" t="s">
        <v>47</v>
      </c>
      <c r="AL36" s="59"/>
      <c r="AM36" s="35"/>
      <c r="AN36" s="55"/>
    </row>
    <row r="37">
      <c r="A37" s="54" t="s">
        <v>425</v>
      </c>
      <c r="B37" s="60" t="s">
        <v>426</v>
      </c>
      <c r="C37" s="35" t="s">
        <v>427</v>
      </c>
      <c r="D37" s="35" t="s">
        <v>427</v>
      </c>
      <c r="E37" s="35" t="s">
        <v>427</v>
      </c>
      <c r="F37" s="35" t="s">
        <v>427</v>
      </c>
      <c r="G37" s="35"/>
      <c r="H37" s="35" t="s">
        <v>427</v>
      </c>
      <c r="I37" s="35" t="s">
        <v>427</v>
      </c>
      <c r="J37" s="35" t="s">
        <v>427</v>
      </c>
      <c r="K37" s="35" t="s">
        <v>427</v>
      </c>
      <c r="L37" s="35" t="s">
        <v>427</v>
      </c>
      <c r="M37" s="35" t="s">
        <v>428</v>
      </c>
      <c r="N37" s="35" t="s">
        <v>428</v>
      </c>
      <c r="O37" s="35" t="s">
        <v>427</v>
      </c>
      <c r="P37" s="35" t="s">
        <v>427</v>
      </c>
      <c r="Q37" s="35" t="s">
        <v>429</v>
      </c>
      <c r="R37" s="35" t="s">
        <v>427</v>
      </c>
      <c r="S37" s="35" t="s">
        <v>427</v>
      </c>
      <c r="T37" s="35" t="s">
        <v>427</v>
      </c>
      <c r="U37" s="35" t="s">
        <v>427</v>
      </c>
      <c r="V37" s="35" t="s">
        <v>427</v>
      </c>
      <c r="W37" s="35" t="s">
        <v>428</v>
      </c>
      <c r="X37" s="35" t="s">
        <v>427</v>
      </c>
      <c r="Y37" s="35" t="s">
        <v>427</v>
      </c>
      <c r="Z37" s="35" t="s">
        <v>427</v>
      </c>
      <c r="AA37" s="35" t="s">
        <v>429</v>
      </c>
      <c r="AB37" s="35"/>
      <c r="AC37" s="35" t="s">
        <v>427</v>
      </c>
      <c r="AD37" s="35" t="s">
        <v>429</v>
      </c>
      <c r="AE37" s="35" t="s">
        <v>427</v>
      </c>
      <c r="AF37" s="35" t="s">
        <v>194</v>
      </c>
      <c r="AG37" s="35" t="s">
        <v>427</v>
      </c>
      <c r="AH37" s="35" t="s">
        <v>427</v>
      </c>
      <c r="AI37" s="35" t="s">
        <v>194</v>
      </c>
      <c r="AJ37" s="35" t="s">
        <v>427</v>
      </c>
      <c r="AK37" s="20" t="s">
        <v>47</v>
      </c>
      <c r="AL37" s="35" t="s">
        <v>194</v>
      </c>
      <c r="AM37" s="35" t="s">
        <v>427</v>
      </c>
      <c r="AN37" s="55"/>
    </row>
    <row r="38">
      <c r="A38" s="54" t="s">
        <v>430</v>
      </c>
      <c r="B38" s="61"/>
      <c r="C38" s="35" t="s">
        <v>431</v>
      </c>
      <c r="D38" s="35" t="s">
        <v>431</v>
      </c>
      <c r="E38" s="35" t="s">
        <v>432</v>
      </c>
      <c r="F38" s="35" t="s">
        <v>431</v>
      </c>
      <c r="G38" s="35"/>
      <c r="H38" s="35" t="s">
        <v>433</v>
      </c>
      <c r="I38" s="35" t="s">
        <v>194</v>
      </c>
      <c r="J38" s="35" t="s">
        <v>431</v>
      </c>
      <c r="K38" s="35" t="s">
        <v>194</v>
      </c>
      <c r="L38" s="35" t="s">
        <v>194</v>
      </c>
      <c r="M38" s="35" t="s">
        <v>194</v>
      </c>
      <c r="N38" s="35" t="s">
        <v>194</v>
      </c>
      <c r="O38" s="35" t="s">
        <v>434</v>
      </c>
      <c r="P38" s="35" t="s">
        <v>435</v>
      </c>
      <c r="Q38" s="35" t="s">
        <v>431</v>
      </c>
      <c r="R38" s="35" t="s">
        <v>194</v>
      </c>
      <c r="S38" s="35" t="s">
        <v>194</v>
      </c>
      <c r="T38" s="35" t="s">
        <v>436</v>
      </c>
      <c r="U38" s="35" t="s">
        <v>437</v>
      </c>
      <c r="V38" s="35" t="s">
        <v>194</v>
      </c>
      <c r="W38" s="35" t="s">
        <v>434</v>
      </c>
      <c r="X38" s="35" t="s">
        <v>194</v>
      </c>
      <c r="Y38" s="35" t="s">
        <v>194</v>
      </c>
      <c r="Z38" s="35" t="s">
        <v>194</v>
      </c>
      <c r="AA38" s="35" t="s">
        <v>194</v>
      </c>
      <c r="AB38" s="35"/>
      <c r="AC38" s="35" t="s">
        <v>194</v>
      </c>
      <c r="AD38" s="35" t="s">
        <v>194</v>
      </c>
      <c r="AE38" s="35" t="s">
        <v>194</v>
      </c>
      <c r="AF38" s="35" t="s">
        <v>194</v>
      </c>
      <c r="AG38" s="35" t="s">
        <v>194</v>
      </c>
      <c r="AH38" s="35" t="s">
        <v>194</v>
      </c>
      <c r="AI38" s="35" t="s">
        <v>194</v>
      </c>
      <c r="AJ38" s="35" t="s">
        <v>194</v>
      </c>
      <c r="AK38" s="20" t="s">
        <v>47</v>
      </c>
      <c r="AL38" s="35" t="s">
        <v>194</v>
      </c>
      <c r="AM38" s="35" t="s">
        <v>431</v>
      </c>
      <c r="AN38" s="55"/>
    </row>
    <row r="39">
      <c r="A39" s="54" t="s">
        <v>438</v>
      </c>
      <c r="B39" s="55"/>
      <c r="C39" s="62" t="s">
        <v>439</v>
      </c>
      <c r="D39" s="63" t="s">
        <v>440</v>
      </c>
      <c r="E39" s="35" t="s">
        <v>441</v>
      </c>
      <c r="F39" s="35" t="s">
        <v>442</v>
      </c>
      <c r="G39" s="35"/>
      <c r="H39" s="35" t="s">
        <v>443</v>
      </c>
      <c r="I39" s="35" t="s">
        <v>194</v>
      </c>
      <c r="J39" s="35" t="s">
        <v>444</v>
      </c>
      <c r="K39" s="35" t="s">
        <v>194</v>
      </c>
      <c r="L39" s="35" t="s">
        <v>194</v>
      </c>
      <c r="M39" s="35" t="s">
        <v>194</v>
      </c>
      <c r="N39" s="35" t="s">
        <v>194</v>
      </c>
      <c r="O39" s="35" t="s">
        <v>445</v>
      </c>
      <c r="P39" s="35" t="s">
        <v>446</v>
      </c>
      <c r="Q39" s="35" t="s">
        <v>447</v>
      </c>
      <c r="R39" s="35" t="s">
        <v>194</v>
      </c>
      <c r="S39" s="35" t="s">
        <v>194</v>
      </c>
      <c r="T39" s="35" t="s">
        <v>448</v>
      </c>
      <c r="U39" s="35" t="s">
        <v>449</v>
      </c>
      <c r="V39" s="35" t="s">
        <v>194</v>
      </c>
      <c r="W39" s="35" t="s">
        <v>450</v>
      </c>
      <c r="X39" s="35" t="s">
        <v>194</v>
      </c>
      <c r="Y39" s="35" t="s">
        <v>194</v>
      </c>
      <c r="Z39" s="35" t="s">
        <v>194</v>
      </c>
      <c r="AA39" s="35" t="s">
        <v>194</v>
      </c>
      <c r="AB39" s="35"/>
      <c r="AC39" s="35" t="s">
        <v>194</v>
      </c>
      <c r="AD39" s="35" t="s">
        <v>194</v>
      </c>
      <c r="AE39" s="35" t="s">
        <v>194</v>
      </c>
      <c r="AF39" s="35" t="s">
        <v>194</v>
      </c>
      <c r="AG39" s="35" t="s">
        <v>194</v>
      </c>
      <c r="AH39" s="35" t="s">
        <v>194</v>
      </c>
      <c r="AI39" s="35" t="s">
        <v>194</v>
      </c>
      <c r="AJ39" s="35" t="s">
        <v>194</v>
      </c>
      <c r="AK39" s="20" t="s">
        <v>47</v>
      </c>
      <c r="AL39" s="35" t="s">
        <v>194</v>
      </c>
      <c r="AM39" s="35" t="s">
        <v>451</v>
      </c>
      <c r="AN39" s="24"/>
    </row>
    <row r="40">
      <c r="A40" s="21" t="s">
        <v>452</v>
      </c>
      <c r="B40" s="55"/>
      <c r="C40" s="35"/>
      <c r="D40" s="35"/>
      <c r="E40" s="35" t="s">
        <v>453</v>
      </c>
      <c r="F40" s="35"/>
      <c r="G40" s="35"/>
      <c r="H40" s="35" t="s">
        <v>454</v>
      </c>
      <c r="I40" s="35"/>
      <c r="J40" s="35"/>
      <c r="K40" s="35"/>
      <c r="L40" s="35"/>
      <c r="M40" s="35"/>
      <c r="N40" s="35"/>
      <c r="O40" s="35"/>
      <c r="P40" s="35"/>
      <c r="Q40" s="35" t="s">
        <v>455</v>
      </c>
      <c r="R40" s="35"/>
      <c r="S40" s="35"/>
      <c r="T40" s="35"/>
      <c r="U40" s="35"/>
      <c r="V40" s="35"/>
      <c r="W40" s="35"/>
      <c r="X40" s="35"/>
      <c r="Y40" s="35"/>
      <c r="Z40" s="35"/>
      <c r="AA40" s="35"/>
      <c r="AB40" s="35"/>
      <c r="AC40" s="35"/>
      <c r="AD40" s="35"/>
      <c r="AE40" s="35"/>
      <c r="AF40" s="35"/>
      <c r="AG40" s="35"/>
      <c r="AH40" s="35"/>
      <c r="AI40" s="35"/>
      <c r="AJ40" s="35"/>
      <c r="AK40" s="20" t="s">
        <v>47</v>
      </c>
      <c r="AL40" s="24"/>
      <c r="AM40" s="35"/>
      <c r="AN40" s="24"/>
    </row>
    <row r="41">
      <c r="A41" s="21" t="s">
        <v>456</v>
      </c>
      <c r="B41" s="55"/>
      <c r="C41" s="35">
        <v>1.0</v>
      </c>
      <c r="D41" s="35">
        <v>1.0</v>
      </c>
      <c r="E41" s="35" t="s">
        <v>457</v>
      </c>
      <c r="F41" s="35">
        <v>1.0</v>
      </c>
      <c r="G41" s="35"/>
      <c r="H41" s="35">
        <v>2.0</v>
      </c>
      <c r="I41" s="35">
        <v>1.0</v>
      </c>
      <c r="J41" s="35" t="s">
        <v>458</v>
      </c>
      <c r="K41" s="35">
        <v>1.0</v>
      </c>
      <c r="L41" s="35">
        <v>1.0</v>
      </c>
      <c r="M41" s="35" t="s">
        <v>459</v>
      </c>
      <c r="N41" s="35">
        <v>1.0</v>
      </c>
      <c r="O41" s="35">
        <v>4.0</v>
      </c>
      <c r="P41" s="35">
        <v>1.0</v>
      </c>
      <c r="Q41" s="35">
        <v>1.0</v>
      </c>
      <c r="R41" s="35">
        <v>2.0</v>
      </c>
      <c r="S41" s="35">
        <v>1.0</v>
      </c>
      <c r="T41" s="35">
        <v>1.0</v>
      </c>
      <c r="U41" s="35">
        <v>1.0</v>
      </c>
      <c r="V41" s="35">
        <v>1.0</v>
      </c>
      <c r="W41" s="35">
        <v>1.0</v>
      </c>
      <c r="X41" s="35">
        <v>1.0</v>
      </c>
      <c r="Y41" s="35">
        <v>1.0</v>
      </c>
      <c r="Z41" s="35" t="s">
        <v>460</v>
      </c>
      <c r="AA41" s="35" t="s">
        <v>460</v>
      </c>
      <c r="AB41" s="35"/>
      <c r="AC41" s="35"/>
      <c r="AD41" s="35"/>
      <c r="AE41" s="35"/>
      <c r="AF41" s="35" t="s">
        <v>460</v>
      </c>
      <c r="AG41" s="35"/>
      <c r="AH41" s="35"/>
      <c r="AI41" s="35" t="s">
        <v>460</v>
      </c>
      <c r="AJ41" s="35"/>
      <c r="AK41" s="20" t="s">
        <v>47</v>
      </c>
      <c r="AL41" s="24"/>
      <c r="AM41" s="35"/>
      <c r="AN41" s="24"/>
    </row>
    <row r="42">
      <c r="A42" s="21" t="s">
        <v>461</v>
      </c>
      <c r="B42" s="55"/>
      <c r="C42" s="64" t="s">
        <v>462</v>
      </c>
      <c r="D42" s="64" t="s">
        <v>463</v>
      </c>
      <c r="E42" s="64" t="s">
        <v>464</v>
      </c>
      <c r="F42" s="64" t="s">
        <v>465</v>
      </c>
      <c r="G42" s="64"/>
      <c r="H42" s="64" t="s">
        <v>466</v>
      </c>
      <c r="I42" s="35" t="s">
        <v>467</v>
      </c>
      <c r="J42" s="35" t="s">
        <v>468</v>
      </c>
      <c r="K42" s="64" t="s">
        <v>469</v>
      </c>
      <c r="L42" s="35" t="s">
        <v>470</v>
      </c>
      <c r="M42" s="64" t="s">
        <v>471</v>
      </c>
      <c r="N42" s="35" t="s">
        <v>472</v>
      </c>
      <c r="O42" s="35" t="s">
        <v>473</v>
      </c>
      <c r="P42" s="64" t="s">
        <v>474</v>
      </c>
      <c r="Q42" s="35" t="s">
        <v>475</v>
      </c>
      <c r="R42" s="35" t="s">
        <v>476</v>
      </c>
      <c r="S42" s="35" t="s">
        <v>477</v>
      </c>
      <c r="T42" s="35" t="s">
        <v>478</v>
      </c>
      <c r="U42" s="35" t="s">
        <v>479</v>
      </c>
      <c r="V42" s="35" t="s">
        <v>480</v>
      </c>
      <c r="W42" s="35" t="s">
        <v>481</v>
      </c>
      <c r="X42" s="35" t="s">
        <v>482</v>
      </c>
      <c r="Y42" s="35" t="s">
        <v>483</v>
      </c>
      <c r="Z42" s="35" t="s">
        <v>460</v>
      </c>
      <c r="AA42" s="35" t="s">
        <v>460</v>
      </c>
      <c r="AB42" s="35"/>
      <c r="AC42" s="35"/>
      <c r="AD42" s="35"/>
      <c r="AE42" s="35"/>
      <c r="AF42" s="35" t="s">
        <v>460</v>
      </c>
      <c r="AG42" s="35"/>
      <c r="AH42" s="35"/>
      <c r="AI42" s="35" t="s">
        <v>460</v>
      </c>
      <c r="AJ42" s="35"/>
      <c r="AK42" s="20" t="s">
        <v>47</v>
      </c>
      <c r="AL42" s="24"/>
      <c r="AM42" s="35"/>
      <c r="AN42" s="24"/>
    </row>
    <row r="43">
      <c r="A43" s="21" t="s">
        <v>484</v>
      </c>
      <c r="B43" s="55"/>
      <c r="C43" s="64" t="s">
        <v>485</v>
      </c>
      <c r="D43" s="35" t="s">
        <v>486</v>
      </c>
      <c r="E43" s="35" t="s">
        <v>487</v>
      </c>
      <c r="F43" s="35" t="s">
        <v>488</v>
      </c>
      <c r="G43" s="35"/>
      <c r="H43" s="35" t="s">
        <v>489</v>
      </c>
      <c r="I43" s="35" t="s">
        <v>490</v>
      </c>
      <c r="J43" s="35" t="s">
        <v>491</v>
      </c>
      <c r="K43" s="35" t="s">
        <v>492</v>
      </c>
      <c r="L43" s="35" t="s">
        <v>493</v>
      </c>
      <c r="M43" s="35" t="s">
        <v>494</v>
      </c>
      <c r="N43" s="35" t="s">
        <v>495</v>
      </c>
      <c r="O43" s="35" t="s">
        <v>496</v>
      </c>
      <c r="P43" s="35" t="s">
        <v>497</v>
      </c>
      <c r="Q43" s="35" t="s">
        <v>498</v>
      </c>
      <c r="R43" s="35" t="s">
        <v>499</v>
      </c>
      <c r="S43" s="35" t="s">
        <v>500</v>
      </c>
      <c r="T43" s="35" t="s">
        <v>501</v>
      </c>
      <c r="U43" s="35" t="s">
        <v>502</v>
      </c>
      <c r="V43" s="35" t="s">
        <v>503</v>
      </c>
      <c r="W43" s="35" t="s">
        <v>504</v>
      </c>
      <c r="X43" s="35" t="s">
        <v>505</v>
      </c>
      <c r="Y43" s="35" t="s">
        <v>506</v>
      </c>
      <c r="Z43" s="35" t="s">
        <v>460</v>
      </c>
      <c r="AA43" s="35" t="s">
        <v>460</v>
      </c>
      <c r="AB43" s="35"/>
      <c r="AC43" s="35"/>
      <c r="AD43" s="35"/>
      <c r="AE43" s="35"/>
      <c r="AF43" s="35" t="s">
        <v>460</v>
      </c>
      <c r="AG43" s="35"/>
      <c r="AH43" s="35"/>
      <c r="AI43" s="35" t="s">
        <v>460</v>
      </c>
      <c r="AJ43" s="35"/>
      <c r="AK43" s="20" t="s">
        <v>47</v>
      </c>
      <c r="AL43" s="24"/>
      <c r="AM43" s="35"/>
      <c r="AN43" s="24"/>
    </row>
    <row r="44" ht="32.25" customHeight="1">
      <c r="A44" s="65" t="s">
        <v>507</v>
      </c>
      <c r="B44" s="55"/>
      <c r="C44" s="35" t="s">
        <v>508</v>
      </c>
      <c r="D44" s="35">
        <v>0.0</v>
      </c>
      <c r="E44" s="35" t="s">
        <v>509</v>
      </c>
      <c r="F44" s="35">
        <v>0.0</v>
      </c>
      <c r="G44" s="35"/>
      <c r="H44" s="35" t="s">
        <v>510</v>
      </c>
      <c r="I44" s="35" t="s">
        <v>511</v>
      </c>
      <c r="J44" s="35" t="s">
        <v>512</v>
      </c>
      <c r="K44" s="35" t="s">
        <v>513</v>
      </c>
      <c r="L44" s="35">
        <v>0.0</v>
      </c>
      <c r="M44" s="35">
        <v>0.0</v>
      </c>
      <c r="N44" s="35" t="s">
        <v>508</v>
      </c>
      <c r="O44" s="35" t="s">
        <v>514</v>
      </c>
      <c r="P44" s="35" t="s">
        <v>513</v>
      </c>
      <c r="Q44" s="35">
        <v>0.0</v>
      </c>
      <c r="R44" s="35">
        <v>0.0</v>
      </c>
      <c r="S44" s="35" t="s">
        <v>509</v>
      </c>
      <c r="T44" s="35">
        <v>0.0</v>
      </c>
      <c r="U44" s="35">
        <v>0.0</v>
      </c>
      <c r="V44" s="35">
        <v>1.0</v>
      </c>
      <c r="W44" s="35" t="s">
        <v>515</v>
      </c>
      <c r="X44" s="35" t="s">
        <v>516</v>
      </c>
      <c r="Y44" s="35" t="s">
        <v>517</v>
      </c>
      <c r="Z44" s="35" t="s">
        <v>460</v>
      </c>
      <c r="AA44" s="35" t="s">
        <v>460</v>
      </c>
      <c r="AB44" s="35"/>
      <c r="AC44" s="35"/>
      <c r="AD44" s="35"/>
      <c r="AE44" s="35"/>
      <c r="AF44" s="35" t="s">
        <v>460</v>
      </c>
      <c r="AG44" s="35"/>
      <c r="AH44" s="35"/>
      <c r="AI44" s="35" t="s">
        <v>460</v>
      </c>
      <c r="AJ44" s="35"/>
      <c r="AK44" s="20" t="s">
        <v>47</v>
      </c>
      <c r="AL44" s="24"/>
      <c r="AM44" s="35"/>
      <c r="AN44" s="24"/>
    </row>
    <row r="45">
      <c r="A45" s="66" t="s">
        <v>518</v>
      </c>
      <c r="B45" s="55"/>
      <c r="C45" s="43" t="s">
        <v>519</v>
      </c>
      <c r="D45" s="43" t="s">
        <v>519</v>
      </c>
      <c r="E45" s="43" t="s">
        <v>519</v>
      </c>
      <c r="F45" s="43" t="s">
        <v>519</v>
      </c>
      <c r="G45" s="35"/>
      <c r="H45" s="43" t="s">
        <v>520</v>
      </c>
      <c r="I45" s="43" t="s">
        <v>519</v>
      </c>
      <c r="J45" s="43" t="s">
        <v>521</v>
      </c>
      <c r="K45" s="43" t="s">
        <v>519</v>
      </c>
      <c r="L45" s="43" t="s">
        <v>519</v>
      </c>
      <c r="M45" s="43" t="s">
        <v>522</v>
      </c>
      <c r="N45" s="43" t="s">
        <v>519</v>
      </c>
      <c r="O45" s="43" t="s">
        <v>519</v>
      </c>
      <c r="P45" s="43" t="s">
        <v>519</v>
      </c>
      <c r="Q45" s="43" t="s">
        <v>519</v>
      </c>
      <c r="R45" s="67" t="s">
        <v>523</v>
      </c>
      <c r="S45" s="43" t="s">
        <v>519</v>
      </c>
      <c r="T45" s="43" t="s">
        <v>519</v>
      </c>
      <c r="U45" s="43" t="s">
        <v>519</v>
      </c>
      <c r="V45" s="43" t="s">
        <v>519</v>
      </c>
      <c r="W45" s="43" t="s">
        <v>524</v>
      </c>
      <c r="X45" s="43" t="s">
        <v>519</v>
      </c>
      <c r="Y45" s="43" t="s">
        <v>519</v>
      </c>
      <c r="Z45" s="67" t="s">
        <v>523</v>
      </c>
      <c r="AA45" s="43" t="s">
        <v>174</v>
      </c>
      <c r="AB45" s="43"/>
      <c r="AC45" s="68" t="s">
        <v>525</v>
      </c>
      <c r="AD45" s="68" t="s">
        <v>525</v>
      </c>
      <c r="AE45" s="67" t="s">
        <v>526</v>
      </c>
      <c r="AF45" s="43" t="s">
        <v>174</v>
      </c>
      <c r="AG45" s="68" t="s">
        <v>525</v>
      </c>
      <c r="AH45" s="68" t="s">
        <v>525</v>
      </c>
      <c r="AI45" s="43" t="s">
        <v>174</v>
      </c>
      <c r="AJ45" s="43"/>
      <c r="AK45" s="20" t="s">
        <v>47</v>
      </c>
      <c r="AL45" s="43" t="s">
        <v>174</v>
      </c>
      <c r="AM45" s="43" t="s">
        <v>519</v>
      </c>
      <c r="AN45" s="24"/>
    </row>
    <row r="46">
      <c r="A46" s="66" t="s">
        <v>527</v>
      </c>
      <c r="B46" s="55"/>
      <c r="C46" s="35"/>
      <c r="D46" s="69">
        <v>46433.0</v>
      </c>
      <c r="E46" s="35" t="s">
        <v>528</v>
      </c>
      <c r="F46" s="35"/>
      <c r="G46" s="35"/>
      <c r="H46" s="35" t="s">
        <v>529</v>
      </c>
      <c r="I46" s="35"/>
      <c r="J46" s="70">
        <v>47664.0</v>
      </c>
      <c r="K46" s="71">
        <v>46203.0</v>
      </c>
      <c r="L46" s="35"/>
      <c r="M46" s="35" t="s">
        <v>530</v>
      </c>
      <c r="N46" s="35" t="s">
        <v>531</v>
      </c>
      <c r="O46" s="35" t="s">
        <v>531</v>
      </c>
      <c r="P46" s="72" t="s">
        <v>532</v>
      </c>
      <c r="Q46" s="35" t="s">
        <v>533</v>
      </c>
      <c r="R46" s="35"/>
      <c r="S46" s="35" t="s">
        <v>531</v>
      </c>
      <c r="T46" s="35" t="s">
        <v>534</v>
      </c>
      <c r="U46" s="73">
        <v>46567.0</v>
      </c>
      <c r="V46" s="35" t="s">
        <v>531</v>
      </c>
      <c r="W46" s="35" t="s">
        <v>531</v>
      </c>
      <c r="X46" s="35" t="s">
        <v>531</v>
      </c>
      <c r="Y46" s="35" t="s">
        <v>531</v>
      </c>
      <c r="Z46" s="72" t="s">
        <v>535</v>
      </c>
      <c r="AA46" s="74" t="s">
        <v>536</v>
      </c>
      <c r="AB46" s="35"/>
      <c r="AC46" s="74" t="s">
        <v>537</v>
      </c>
      <c r="AD46" s="74" t="s">
        <v>538</v>
      </c>
      <c r="AE46" s="74" t="s">
        <v>539</v>
      </c>
      <c r="AF46" s="74"/>
      <c r="AG46" s="74" t="s">
        <v>540</v>
      </c>
      <c r="AH46" s="35"/>
      <c r="AI46" s="35"/>
      <c r="AJ46" s="74" t="s">
        <v>536</v>
      </c>
      <c r="AK46" s="20" t="s">
        <v>47</v>
      </c>
      <c r="AL46" s="24"/>
      <c r="AM46" s="70">
        <v>47664.0</v>
      </c>
      <c r="AN46" s="24"/>
    </row>
    <row r="47" ht="33.0" customHeight="1">
      <c r="A47" s="66" t="s">
        <v>541</v>
      </c>
      <c r="B47" s="75" t="s">
        <v>542</v>
      </c>
      <c r="C47" s="23" t="s">
        <v>99</v>
      </c>
      <c r="D47" s="23" t="s">
        <v>99</v>
      </c>
      <c r="E47" s="23" t="s">
        <v>99</v>
      </c>
      <c r="F47" s="23" t="s">
        <v>99</v>
      </c>
      <c r="G47" s="76"/>
      <c r="H47" s="76" t="s">
        <v>543</v>
      </c>
      <c r="I47" s="76" t="s">
        <v>544</v>
      </c>
      <c r="J47" s="76" t="s">
        <v>545</v>
      </c>
      <c r="K47" s="76" t="s">
        <v>545</v>
      </c>
      <c r="L47" s="77"/>
      <c r="M47" s="76" t="s">
        <v>546</v>
      </c>
      <c r="N47" s="23" t="s">
        <v>99</v>
      </c>
      <c r="O47" s="23" t="s">
        <v>99</v>
      </c>
      <c r="P47" s="23" t="s">
        <v>99</v>
      </c>
      <c r="Q47" s="23" t="s">
        <v>99</v>
      </c>
      <c r="R47" s="23" t="s">
        <v>99</v>
      </c>
      <c r="S47" s="23" t="s">
        <v>99</v>
      </c>
      <c r="T47" s="23" t="s">
        <v>99</v>
      </c>
      <c r="U47" s="23" t="s">
        <v>99</v>
      </c>
      <c r="V47" s="23" t="s">
        <v>99</v>
      </c>
      <c r="W47" s="23" t="s">
        <v>99</v>
      </c>
      <c r="X47" s="23" t="s">
        <v>99</v>
      </c>
      <c r="Y47" s="23" t="s">
        <v>99</v>
      </c>
      <c r="Z47" s="77"/>
      <c r="AA47" s="77"/>
      <c r="AB47" s="23"/>
      <c r="AC47" s="78"/>
      <c r="AD47" s="78"/>
      <c r="AE47" s="77"/>
      <c r="AF47" s="77"/>
      <c r="AG47" s="78"/>
      <c r="AH47" s="78"/>
      <c r="AI47" s="77"/>
      <c r="AJ47" s="77"/>
      <c r="AK47" s="20" t="s">
        <v>47</v>
      </c>
      <c r="AL47" s="77"/>
      <c r="AM47" s="77" t="s">
        <v>543</v>
      </c>
      <c r="AN47" s="24"/>
    </row>
  </sheetData>
  <conditionalFormatting sqref="M3:AN47 B5:L47">
    <cfRule type="containsBlanks" dxfId="0" priority="1">
      <formula>LEN(TRIM(M3))=0</formula>
    </cfRule>
  </conditionalFormatting>
  <conditionalFormatting sqref="A1:B47 Z1:AH47 AM1:AN47 C2:Y47 AI2:AL47">
    <cfRule type="cellIs" dxfId="1" priority="2" operator="equal">
      <formula>"TBD"</formula>
    </cfRule>
  </conditionalFormatting>
  <hyperlinks>
    <hyperlink r:id="rId4" ref="B5"/>
    <hyperlink r:id="rId5" ref="I5"/>
    <hyperlink r:id="rId6" ref="J5"/>
    <hyperlink r:id="rId7" ref="K5"/>
    <hyperlink r:id="rId8" ref="L5"/>
    <hyperlink r:id="rId9" ref="M5"/>
    <hyperlink r:id="rId10" ref="N5"/>
    <hyperlink r:id="rId11" ref="AM5"/>
    <hyperlink r:id="rId12" ref="B7"/>
    <hyperlink r:id="rId13" ref="B9"/>
    <hyperlink r:id="rId14" ref="E13"/>
    <hyperlink r:id="rId15" location="gid=32753868" ref="B20"/>
    <hyperlink r:id="rId16" location="gid=1071725122" ref="C24"/>
    <hyperlink r:id="rId17" location="gid=1071725122" ref="D24"/>
    <hyperlink r:id="rId18" ref="E24"/>
    <hyperlink r:id="rId19" location="gid=1071725122" ref="H24"/>
    <hyperlink r:id="rId20" location="gid=0" ref="I24"/>
    <hyperlink r:id="rId21" location="gid=1847654074" ref="J24"/>
    <hyperlink r:id="rId22" location="gid=806594124" ref="P24"/>
    <hyperlink r:id="rId23" location="gid=0" ref="Q24"/>
    <hyperlink r:id="rId24" location="gid=0" ref="T24"/>
    <hyperlink r:id="rId25" location="gid=0" ref="U24"/>
    <hyperlink r:id="rId26" location="gid=806594124" ref="AC24"/>
    <hyperlink r:id="rId27" location="gid=806594124" ref="AD24"/>
    <hyperlink r:id="rId28" location="gid=1965684630" ref="AE24"/>
    <hyperlink r:id="rId29" ref="B33"/>
    <hyperlink r:id="rId30" location="gid=328583383" ref="B35"/>
    <hyperlink r:id="rId31" ref="B37"/>
    <hyperlink r:id="rId32" ref="R45"/>
    <hyperlink r:id="rId33" ref="Z45"/>
    <hyperlink r:id="rId34" ref="AC45"/>
    <hyperlink r:id="rId35" ref="AD45"/>
    <hyperlink r:id="rId36" ref="AE45"/>
    <hyperlink r:id="rId37" ref="AG45"/>
    <hyperlink r:id="rId38" ref="AH45"/>
  </hyperlinks>
  <drawing r:id="rId39"/>
  <legacy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c r="B1" s="5"/>
      <c r="C1" s="5"/>
      <c r="D1" s="21" t="s">
        <v>547</v>
      </c>
      <c r="E1" s="21" t="s">
        <v>548</v>
      </c>
      <c r="F1" s="21" t="s">
        <v>549</v>
      </c>
      <c r="G1" s="21" t="s">
        <v>550</v>
      </c>
    </row>
    <row r="2">
      <c r="A2" s="5"/>
      <c r="B2" s="5"/>
      <c r="C2" s="5"/>
      <c r="D2" s="55"/>
      <c r="E2" s="55"/>
      <c r="F2" s="55"/>
      <c r="G2" s="55"/>
    </row>
    <row r="3">
      <c r="A3" s="11" t="s">
        <v>5</v>
      </c>
      <c r="B3" s="11" t="s">
        <v>52</v>
      </c>
      <c r="C3" s="11" t="s">
        <v>67</v>
      </c>
      <c r="D3" s="79" t="s">
        <v>551</v>
      </c>
      <c r="E3" s="59">
        <v>1.0</v>
      </c>
      <c r="F3" s="79" t="s">
        <v>485</v>
      </c>
      <c r="G3" s="59" t="s">
        <v>508</v>
      </c>
    </row>
    <row r="4">
      <c r="A4" s="11" t="s">
        <v>6</v>
      </c>
      <c r="B4" s="11" t="s">
        <v>52</v>
      </c>
      <c r="C4" s="11" t="s">
        <v>67</v>
      </c>
      <c r="D4" s="79" t="s">
        <v>552</v>
      </c>
      <c r="E4" s="59">
        <v>1.0</v>
      </c>
      <c r="F4" s="59" t="s">
        <v>486</v>
      </c>
      <c r="G4" s="59">
        <v>0.0</v>
      </c>
    </row>
    <row r="5">
      <c r="A5" s="11" t="s">
        <v>7</v>
      </c>
      <c r="B5" s="11" t="s">
        <v>53</v>
      </c>
      <c r="C5" s="11" t="s">
        <v>68</v>
      </c>
      <c r="D5" s="79" t="s">
        <v>553</v>
      </c>
      <c r="E5" s="59" t="s">
        <v>554</v>
      </c>
      <c r="F5" s="59" t="s">
        <v>487</v>
      </c>
      <c r="G5" s="59" t="s">
        <v>509</v>
      </c>
    </row>
    <row r="6">
      <c r="A6" s="11" t="s">
        <v>8</v>
      </c>
      <c r="B6" s="11" t="s">
        <v>52</v>
      </c>
      <c r="C6" s="11" t="s">
        <v>69</v>
      </c>
      <c r="D6" s="79" t="s">
        <v>555</v>
      </c>
      <c r="E6" s="59">
        <v>1.0</v>
      </c>
      <c r="F6" s="59" t="s">
        <v>556</v>
      </c>
      <c r="G6" s="59">
        <v>0.0</v>
      </c>
    </row>
    <row r="7">
      <c r="A7" s="12" t="s">
        <v>9</v>
      </c>
      <c r="B7" s="12" t="s">
        <v>52</v>
      </c>
      <c r="C7" s="12" t="s">
        <v>67</v>
      </c>
      <c r="D7" s="79" t="s">
        <v>557</v>
      </c>
      <c r="E7" s="59">
        <v>2.0</v>
      </c>
      <c r="F7" s="59" t="s">
        <v>489</v>
      </c>
      <c r="G7" s="59" t="s">
        <v>510</v>
      </c>
    </row>
    <row r="8">
      <c r="A8" s="12" t="s">
        <v>10</v>
      </c>
      <c r="B8" s="12" t="s">
        <v>52</v>
      </c>
      <c r="C8" s="12" t="s">
        <v>70</v>
      </c>
      <c r="D8" s="59" t="s">
        <v>467</v>
      </c>
      <c r="E8" s="59">
        <v>1.0</v>
      </c>
      <c r="F8" s="59" t="s">
        <v>490</v>
      </c>
      <c r="G8" s="59" t="s">
        <v>511</v>
      </c>
    </row>
    <row r="9">
      <c r="A9" s="12" t="s">
        <v>11</v>
      </c>
      <c r="B9" s="12" t="s">
        <v>52</v>
      </c>
      <c r="C9" s="12" t="s">
        <v>67</v>
      </c>
      <c r="D9" s="59" t="s">
        <v>468</v>
      </c>
      <c r="E9" s="59" t="s">
        <v>558</v>
      </c>
      <c r="F9" s="59" t="s">
        <v>491</v>
      </c>
      <c r="G9" s="59" t="s">
        <v>512</v>
      </c>
    </row>
    <row r="10">
      <c r="A10" s="12" t="s">
        <v>12</v>
      </c>
      <c r="B10" s="12" t="s">
        <v>52</v>
      </c>
      <c r="C10" s="12" t="s">
        <v>71</v>
      </c>
      <c r="D10" s="79" t="s">
        <v>559</v>
      </c>
      <c r="E10" s="59">
        <v>1.0</v>
      </c>
      <c r="F10" s="59" t="s">
        <v>492</v>
      </c>
      <c r="G10" s="59" t="s">
        <v>513</v>
      </c>
    </row>
    <row r="11">
      <c r="A11" s="12" t="s">
        <v>13</v>
      </c>
      <c r="B11" s="12" t="s">
        <v>52</v>
      </c>
      <c r="C11" s="12" t="s">
        <v>67</v>
      </c>
      <c r="D11" s="59" t="s">
        <v>470</v>
      </c>
      <c r="E11" s="59">
        <v>1.0</v>
      </c>
      <c r="F11" s="59" t="s">
        <v>493</v>
      </c>
      <c r="G11" s="59">
        <v>0.0</v>
      </c>
    </row>
    <row r="12">
      <c r="A12" s="12" t="s">
        <v>14</v>
      </c>
      <c r="B12" s="12" t="s">
        <v>52</v>
      </c>
      <c r="C12" s="12" t="s">
        <v>72</v>
      </c>
      <c r="D12" s="79" t="s">
        <v>560</v>
      </c>
      <c r="E12" s="59" t="s">
        <v>561</v>
      </c>
      <c r="F12" s="59" t="s">
        <v>562</v>
      </c>
      <c r="G12" s="59">
        <v>0.0</v>
      </c>
    </row>
    <row r="13">
      <c r="A13" s="15" t="s">
        <v>16</v>
      </c>
      <c r="B13" s="15" t="s">
        <v>54</v>
      </c>
      <c r="C13" s="15" t="s">
        <v>74</v>
      </c>
      <c r="D13" s="59" t="s">
        <v>563</v>
      </c>
      <c r="E13" s="59">
        <v>4.0</v>
      </c>
      <c r="F13" s="59" t="s">
        <v>496</v>
      </c>
      <c r="G13" s="59" t="s">
        <v>514</v>
      </c>
    </row>
    <row r="14">
      <c r="A14" s="15" t="s">
        <v>17</v>
      </c>
      <c r="B14" s="80" t="s">
        <v>52</v>
      </c>
      <c r="C14" s="15" t="s">
        <v>75</v>
      </c>
      <c r="D14" s="79" t="s">
        <v>564</v>
      </c>
      <c r="E14" s="59">
        <v>1.0</v>
      </c>
      <c r="F14" s="59" t="s">
        <v>497</v>
      </c>
      <c r="G14" s="59" t="s">
        <v>513</v>
      </c>
    </row>
    <row r="15">
      <c r="A15" s="15" t="s">
        <v>18</v>
      </c>
      <c r="B15" s="15" t="s">
        <v>55</v>
      </c>
      <c r="C15" s="15" t="s">
        <v>76</v>
      </c>
      <c r="D15" s="59" t="s">
        <v>565</v>
      </c>
      <c r="E15" s="59">
        <v>1.0</v>
      </c>
      <c r="F15" s="59" t="s">
        <v>498</v>
      </c>
      <c r="G15" s="59">
        <v>0.0</v>
      </c>
    </row>
    <row r="16">
      <c r="A16" s="15" t="s">
        <v>19</v>
      </c>
      <c r="B16" s="15" t="s">
        <v>53</v>
      </c>
      <c r="C16" s="15" t="s">
        <v>77</v>
      </c>
      <c r="D16" s="59" t="s">
        <v>566</v>
      </c>
      <c r="E16" s="59">
        <v>2.0</v>
      </c>
      <c r="F16" s="59" t="s">
        <v>499</v>
      </c>
      <c r="G16" s="59">
        <v>0.0</v>
      </c>
    </row>
    <row r="17">
      <c r="A17" s="15" t="s">
        <v>20</v>
      </c>
      <c r="B17" s="15" t="s">
        <v>52</v>
      </c>
      <c r="C17" s="15" t="s">
        <v>78</v>
      </c>
      <c r="D17" s="59" t="s">
        <v>567</v>
      </c>
      <c r="E17" s="59">
        <v>1.0</v>
      </c>
      <c r="F17" s="59" t="s">
        <v>500</v>
      </c>
      <c r="G17" s="59" t="s">
        <v>509</v>
      </c>
    </row>
    <row r="18">
      <c r="A18" s="15" t="s">
        <v>21</v>
      </c>
      <c r="B18" s="15" t="s">
        <v>79</v>
      </c>
      <c r="C18" s="15" t="s">
        <v>79</v>
      </c>
      <c r="D18" s="59" t="s">
        <v>568</v>
      </c>
      <c r="E18" s="59">
        <v>1.0</v>
      </c>
      <c r="F18" s="59" t="s">
        <v>501</v>
      </c>
      <c r="G18" s="59">
        <v>0.0</v>
      </c>
    </row>
    <row r="19">
      <c r="A19" s="15" t="s">
        <v>22</v>
      </c>
      <c r="B19" s="15" t="s">
        <v>55</v>
      </c>
      <c r="C19" s="15" t="s">
        <v>80</v>
      </c>
      <c r="D19" s="59" t="s">
        <v>479</v>
      </c>
      <c r="E19" s="59">
        <v>1.0</v>
      </c>
      <c r="F19" s="59" t="s">
        <v>502</v>
      </c>
      <c r="G19" s="59">
        <v>0.0</v>
      </c>
    </row>
    <row r="20">
      <c r="A20" s="15" t="s">
        <v>23</v>
      </c>
      <c r="B20" s="15" t="s">
        <v>55</v>
      </c>
      <c r="C20" s="15" t="s">
        <v>81</v>
      </c>
      <c r="D20" s="59" t="s">
        <v>480</v>
      </c>
      <c r="E20" s="59">
        <v>1.0</v>
      </c>
      <c r="F20" s="59" t="s">
        <v>503</v>
      </c>
      <c r="G20" s="59">
        <v>1.0</v>
      </c>
    </row>
    <row r="21">
      <c r="A21" s="7" t="s">
        <v>24</v>
      </c>
      <c r="B21" s="7" t="s">
        <v>57</v>
      </c>
      <c r="C21" s="7" t="s">
        <v>82</v>
      </c>
      <c r="D21" s="59" t="s">
        <v>569</v>
      </c>
      <c r="E21" s="59">
        <v>1.0</v>
      </c>
      <c r="F21" s="59" t="s">
        <v>504</v>
      </c>
      <c r="G21" s="59" t="s">
        <v>515</v>
      </c>
    </row>
    <row r="22">
      <c r="A22" s="7" t="s">
        <v>25</v>
      </c>
      <c r="B22" s="7" t="s">
        <v>58</v>
      </c>
      <c r="C22" s="7" t="s">
        <v>83</v>
      </c>
      <c r="D22" s="59" t="s">
        <v>482</v>
      </c>
      <c r="E22" s="59">
        <v>1.0</v>
      </c>
      <c r="F22" s="59" t="s">
        <v>505</v>
      </c>
      <c r="G22" s="59" t="s">
        <v>516</v>
      </c>
    </row>
    <row r="23">
      <c r="A23" s="7" t="s">
        <v>26</v>
      </c>
      <c r="B23" s="7" t="s">
        <v>58</v>
      </c>
      <c r="C23" s="7" t="s">
        <v>84</v>
      </c>
      <c r="D23" s="59" t="s">
        <v>483</v>
      </c>
      <c r="E23" s="59">
        <v>1.0</v>
      </c>
      <c r="F23" s="59" t="s">
        <v>506</v>
      </c>
      <c r="G23" s="59" t="s">
        <v>517</v>
      </c>
    </row>
    <row r="24">
      <c r="A24" s="7" t="s">
        <v>570</v>
      </c>
      <c r="B24" s="7" t="s">
        <v>52</v>
      </c>
      <c r="C24" s="7" t="s">
        <v>571</v>
      </c>
      <c r="D24" s="59" t="s">
        <v>572</v>
      </c>
      <c r="E24" s="59" t="s">
        <v>572</v>
      </c>
      <c r="F24" s="59" t="s">
        <v>573</v>
      </c>
      <c r="G24" s="59" t="s">
        <v>572</v>
      </c>
    </row>
    <row r="25">
      <c r="A25" s="7" t="s">
        <v>27</v>
      </c>
      <c r="B25" s="7" t="s">
        <v>53</v>
      </c>
      <c r="C25" s="7" t="s">
        <v>85</v>
      </c>
      <c r="D25" s="59" t="s">
        <v>460</v>
      </c>
      <c r="E25" s="59" t="s">
        <v>460</v>
      </c>
      <c r="F25" s="59" t="s">
        <v>460</v>
      </c>
      <c r="G25" s="59" t="s">
        <v>460</v>
      </c>
    </row>
    <row r="26">
      <c r="A26" s="7" t="s">
        <v>574</v>
      </c>
      <c r="B26" s="7" t="s">
        <v>53</v>
      </c>
      <c r="C26" s="7" t="s">
        <v>575</v>
      </c>
      <c r="D26" s="59" t="s">
        <v>460</v>
      </c>
      <c r="E26" s="59" t="s">
        <v>460</v>
      </c>
      <c r="F26" s="59" t="s">
        <v>460</v>
      </c>
      <c r="G26" s="59" t="s">
        <v>460</v>
      </c>
    </row>
    <row r="27">
      <c r="A27" s="13" t="s">
        <v>15</v>
      </c>
      <c r="B27" s="13" t="s">
        <v>52</v>
      </c>
      <c r="C27" s="13" t="s">
        <v>73</v>
      </c>
      <c r="D27" s="59" t="s">
        <v>472</v>
      </c>
      <c r="E27" s="59">
        <v>1.0</v>
      </c>
      <c r="F27" s="59" t="s">
        <v>495</v>
      </c>
      <c r="G27" s="59" t="s">
        <v>508</v>
      </c>
    </row>
    <row r="28">
      <c r="D28" s="6"/>
      <c r="E28" s="6"/>
      <c r="F28" s="6"/>
      <c r="G28" s="6"/>
    </row>
  </sheetData>
  <conditionalFormatting sqref="D2:G28 B12:C27">
    <cfRule type="containsBlanks" dxfId="0" priority="1">
      <formula>LEN(TRIM(D2))=0</formula>
    </cfRule>
  </conditionalFormatting>
  <conditionalFormatting sqref="A1:C27 D1:G28">
    <cfRule type="cellIs" dxfId="1" priority="2" operator="equal">
      <formula>"TBD"</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38"/>
    <col customWidth="1" min="2" max="2" width="29.63"/>
    <col customWidth="1" min="3" max="3" width="29.13"/>
  </cols>
  <sheetData>
    <row r="1">
      <c r="A1" s="11" t="s">
        <v>5</v>
      </c>
      <c r="B1" s="11" t="s">
        <v>67</v>
      </c>
      <c r="C1" s="24" t="s">
        <v>576</v>
      </c>
    </row>
    <row r="2">
      <c r="A2" s="11" t="s">
        <v>6</v>
      </c>
      <c r="B2" s="11" t="s">
        <v>67</v>
      </c>
      <c r="C2" s="24" t="s">
        <v>212</v>
      </c>
    </row>
    <row r="3">
      <c r="A3" s="11" t="s">
        <v>7</v>
      </c>
      <c r="B3" s="11" t="s">
        <v>53</v>
      </c>
      <c r="C3" s="24" t="s">
        <v>213</v>
      </c>
    </row>
    <row r="4">
      <c r="A4" s="11" t="s">
        <v>8</v>
      </c>
      <c r="B4" s="11" t="s">
        <v>69</v>
      </c>
      <c r="C4" s="24" t="s">
        <v>577</v>
      </c>
    </row>
    <row r="5">
      <c r="A5" s="12" t="s">
        <v>9</v>
      </c>
      <c r="B5" s="12" t="s">
        <v>67</v>
      </c>
      <c r="C5" s="24" t="s">
        <v>216</v>
      </c>
    </row>
    <row r="6">
      <c r="A6" s="12" t="s">
        <v>10</v>
      </c>
      <c r="B6" s="12" t="s">
        <v>70</v>
      </c>
      <c r="C6" s="24" t="s">
        <v>217</v>
      </c>
    </row>
    <row r="7">
      <c r="A7" s="12" t="s">
        <v>11</v>
      </c>
      <c r="B7" s="12" t="s">
        <v>67</v>
      </c>
      <c r="C7" s="24" t="s">
        <v>218</v>
      </c>
    </row>
    <row r="8">
      <c r="A8" s="12" t="s">
        <v>12</v>
      </c>
      <c r="B8" s="12" t="s">
        <v>71</v>
      </c>
      <c r="C8" s="24" t="s">
        <v>219</v>
      </c>
    </row>
    <row r="9">
      <c r="A9" s="12" t="s">
        <v>13</v>
      </c>
      <c r="B9" s="12" t="s">
        <v>67</v>
      </c>
      <c r="C9" s="24" t="s">
        <v>220</v>
      </c>
    </row>
    <row r="10">
      <c r="A10" s="12" t="s">
        <v>14</v>
      </c>
      <c r="B10" s="12" t="s">
        <v>578</v>
      </c>
      <c r="C10" s="24" t="s">
        <v>579</v>
      </c>
    </row>
    <row r="11">
      <c r="A11" s="15" t="s">
        <v>16</v>
      </c>
      <c r="B11" s="15" t="s">
        <v>74</v>
      </c>
      <c r="C11" s="24" t="s">
        <v>223</v>
      </c>
    </row>
    <row r="12">
      <c r="A12" s="15" t="s">
        <v>17</v>
      </c>
      <c r="B12" s="15" t="s">
        <v>75</v>
      </c>
      <c r="C12" s="24" t="s">
        <v>224</v>
      </c>
    </row>
    <row r="13">
      <c r="A13" s="15" t="s">
        <v>18</v>
      </c>
      <c r="B13" s="15" t="s">
        <v>76</v>
      </c>
      <c r="C13" s="44" t="s">
        <v>225</v>
      </c>
    </row>
    <row r="14">
      <c r="A14" s="15" t="s">
        <v>19</v>
      </c>
      <c r="B14" s="15" t="s">
        <v>77</v>
      </c>
      <c r="C14" s="24" t="s">
        <v>226</v>
      </c>
    </row>
    <row r="15">
      <c r="A15" s="15" t="s">
        <v>20</v>
      </c>
      <c r="B15" s="15" t="s">
        <v>78</v>
      </c>
      <c r="C15" s="24" t="s">
        <v>227</v>
      </c>
    </row>
    <row r="16">
      <c r="A16" s="15" t="s">
        <v>580</v>
      </c>
      <c r="B16" s="15" t="s">
        <v>79</v>
      </c>
      <c r="C16" s="24" t="s">
        <v>228</v>
      </c>
    </row>
    <row r="17">
      <c r="A17" s="15" t="s">
        <v>22</v>
      </c>
      <c r="B17" s="15" t="s">
        <v>80</v>
      </c>
      <c r="C17" s="24" t="s">
        <v>229</v>
      </c>
    </row>
    <row r="18">
      <c r="A18" s="7" t="s">
        <v>24</v>
      </c>
      <c r="B18" s="7" t="s">
        <v>82</v>
      </c>
      <c r="C18" s="24" t="s">
        <v>231</v>
      </c>
    </row>
    <row r="19">
      <c r="A19" s="7" t="s">
        <v>25</v>
      </c>
      <c r="B19" s="7" t="s">
        <v>83</v>
      </c>
      <c r="C19" s="24" t="s">
        <v>232</v>
      </c>
    </row>
    <row r="20">
      <c r="A20" s="7" t="s">
        <v>23</v>
      </c>
      <c r="B20" s="7" t="s">
        <v>81</v>
      </c>
      <c r="C20" s="24" t="s">
        <v>230</v>
      </c>
    </row>
    <row r="21">
      <c r="A21" s="7" t="s">
        <v>26</v>
      </c>
      <c r="B21" s="7" t="s">
        <v>84</v>
      </c>
      <c r="C21" s="24" t="s">
        <v>233</v>
      </c>
    </row>
    <row r="22">
      <c r="A22" s="7" t="s">
        <v>570</v>
      </c>
      <c r="B22" s="7" t="s">
        <v>571</v>
      </c>
      <c r="C22" s="24" t="s">
        <v>234</v>
      </c>
    </row>
    <row r="23">
      <c r="A23" s="7" t="s">
        <v>27</v>
      </c>
      <c r="B23" s="7" t="s">
        <v>85</v>
      </c>
      <c r="C23" s="24" t="s">
        <v>581</v>
      </c>
    </row>
    <row r="24">
      <c r="A24" s="7" t="s">
        <v>574</v>
      </c>
      <c r="B24" s="7" t="s">
        <v>575</v>
      </c>
      <c r="C24" s="24" t="s">
        <v>234</v>
      </c>
    </row>
    <row r="25">
      <c r="A25" s="13" t="s">
        <v>15</v>
      </c>
      <c r="B25" s="13" t="s">
        <v>73</v>
      </c>
      <c r="C25" s="24" t="s">
        <v>222</v>
      </c>
    </row>
    <row r="26">
      <c r="B26" s="18"/>
    </row>
    <row r="27">
      <c r="B27" s="15"/>
    </row>
    <row r="28">
      <c r="B28" s="81"/>
    </row>
    <row r="29">
      <c r="B29" s="81"/>
    </row>
    <row r="30">
      <c r="B30" s="81"/>
    </row>
    <row r="31">
      <c r="B31" s="82"/>
    </row>
    <row r="32">
      <c r="B32" s="82"/>
    </row>
  </sheetData>
  <conditionalFormatting sqref="C1:C25 B10:B32">
    <cfRule type="containsBlanks" dxfId="0" priority="1">
      <formula>LEN(TRIM(C1))=0</formula>
    </cfRule>
  </conditionalFormatting>
  <conditionalFormatting sqref="A1:A25 B1:B32 C1:C25">
    <cfRule type="cellIs" dxfId="1" priority="2" operator="equal">
      <formula>"TBD"</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20.5"/>
  </cols>
  <sheetData>
    <row r="1">
      <c r="A1" s="83" t="s">
        <v>582</v>
      </c>
      <c r="B1" s="84" t="s">
        <v>583</v>
      </c>
      <c r="C1" s="85" t="s">
        <v>584</v>
      </c>
      <c r="D1" s="84" t="s">
        <v>585</v>
      </c>
      <c r="E1" s="84" t="s">
        <v>586</v>
      </c>
      <c r="F1" s="84" t="s">
        <v>587</v>
      </c>
      <c r="G1" s="84" t="s">
        <v>588</v>
      </c>
      <c r="H1" s="84" t="s">
        <v>589</v>
      </c>
      <c r="I1" s="84" t="s">
        <v>590</v>
      </c>
      <c r="J1" s="84" t="s">
        <v>591</v>
      </c>
      <c r="K1" s="84" t="s">
        <v>592</v>
      </c>
      <c r="L1" s="84" t="s">
        <v>593</v>
      </c>
      <c r="M1" s="84" t="s">
        <v>594</v>
      </c>
      <c r="N1" s="84" t="s">
        <v>595</v>
      </c>
      <c r="O1" s="84" t="s">
        <v>596</v>
      </c>
      <c r="P1" s="86" t="s">
        <v>597</v>
      </c>
      <c r="Q1" s="86" t="s">
        <v>598</v>
      </c>
      <c r="R1" s="84" t="s">
        <v>599</v>
      </c>
      <c r="S1" s="84" t="s">
        <v>600</v>
      </c>
      <c r="T1" s="84" t="s">
        <v>601</v>
      </c>
      <c r="U1" s="84" t="s">
        <v>602</v>
      </c>
      <c r="V1" s="84" t="s">
        <v>603</v>
      </c>
      <c r="W1" s="83" t="s">
        <v>604</v>
      </c>
      <c r="X1" s="83" t="s">
        <v>605</v>
      </c>
    </row>
    <row r="2">
      <c r="A2" s="6" t="str">
        <f>IFERROR(__xludf.DUMMYFUNCTION("FILTER(
  IMPORTRANGE(""1wBLO22hSTrKfDDXCrHIEZ1WCYIgyc-J2krKizrpx500"", ""Master!A:X""),
  (
    (INDEX(IMPORTRANGE(""1wBLO22hSTrKfDDXCrHIEZ1WCYIgyc-J2krKizrpx500"", ""Master!X:X""), 0, 1)=""Enrolled"") +
    (INDEX(IMPORTRANGE(""1wBLO22hSTrKfDDXCrHIEZ1WC"&amp;"YIgyc-J2krKizrpx500"", ""Master!X:X""), 0, 1)=""Pending Review"") +
    (INDEX(IMPORTRANGE(""1wBLO22hSTrKfDDXCrHIEZ1WCYIgyc-J2krKizrpx500"", ""Master!X:X""), 0, 1)=""Pending Re-enrollment"")
  ) *
  (INDEX(IMPORTRANGE(""1wBLO22hSTrKfDDXCrHIEZ1WCYIgyc-J2kr"&amp;"Kizrpx500"", ""Master!M:M""), 0, 1) &lt;&gt; ""mock student"")
)
"),"000-0189")</f>
        <v>000-0189</v>
      </c>
      <c r="B2" s="6" t="str">
        <f>IFERROR(__xludf.DUMMYFUNCTION("""COMPUTED_VALUE"""),"0")</f>
        <v>0</v>
      </c>
      <c r="C2" s="6" t="str">
        <f>IFERROR(__xludf.DUMMYFUNCTION("""COMPUTED_VALUE"""),"0189")</f>
        <v>0189</v>
      </c>
      <c r="D2" s="6" t="str">
        <f>IFERROR(__xludf.DUMMYFUNCTION("""COMPUTED_VALUE"""),"Atlas")</f>
        <v>Atlas</v>
      </c>
      <c r="E2" s="6" t="str">
        <f>IFERROR(__xludf.DUMMYFUNCTION("""COMPUTED_VALUE"""),"Atlas")</f>
        <v>Atlas</v>
      </c>
      <c r="F2" s="6" t="str">
        <f>IFERROR(__xludf.DUMMYFUNCTION("""COMPUTED_VALUE"""),"Kloiber")</f>
        <v>Kloiber</v>
      </c>
      <c r="G2" s="6" t="str">
        <f>IFERROR(__xludf.DUMMYFUNCTION("""COMPUTED_VALUE"""),"02/29/2016")</f>
        <v>02/29/2016</v>
      </c>
      <c r="H2" s="6" t="str">
        <f>IFERROR(__xludf.DUMMYFUNCTION("""COMPUTED_VALUE"""),"male")</f>
        <v>male</v>
      </c>
      <c r="I2" s="6" t="str">
        <f>IFERROR(__xludf.DUMMYFUNCTION("""COMPUTED_VALUE"""),"Level 2")</f>
        <v>Level 2</v>
      </c>
      <c r="J2" s="6" t="str">
        <f>IFERROR(__xludf.DUMMYFUNCTION("""COMPUTED_VALUE"""),"5")</f>
        <v>5</v>
      </c>
      <c r="K2" s="6" t="str">
        <f>IFERROR(__xludf.DUMMYFUNCTION("""COMPUTED_VALUE"""),"atlas.kloiber@alpha.school")</f>
        <v>atlas.kloiber@alpha.school</v>
      </c>
      <c r="L2" s="6" t="str">
        <f>IFERROR(__xludf.DUMMYFUNCTION("""COMPUTED_VALUE"""),"Alpha Anywhere (homeschool)")</f>
        <v>Alpha Anywhere (homeschool)</v>
      </c>
      <c r="M2" s="6" t="str">
        <f>IFERROR(__xludf.DUMMYFUNCTION("""COMPUTED_VALUE"""),"")</f>
        <v/>
      </c>
      <c r="N2" s="6" t="str">
        <f>IFERROR(__xludf.DUMMYFUNCTION("""COMPUTED_VALUE"""),"")</f>
        <v/>
      </c>
      <c r="O2" s="87" t="str">
        <f>IFERROR(__xludf.DUMMYFUNCTION("""COMPUTED_VALUE"""),"https://drive.google.com/drive/folders/10T2cTQHqEJZqE-st6uFKPoI?usp=share_link")</f>
        <v>https://drive.google.com/drive/folders/10T2cTQHqEJZqE-st6uFKPoI?usp=share_link</v>
      </c>
      <c r="P2" s="6" t="str">
        <f>IFERROR(__xludf.DUMMYFUNCTION("""COMPUTED_VALUE"""),"Atlas Kloiber")</f>
        <v>Atlas Kloiber</v>
      </c>
      <c r="Q2" s="6" t="str">
        <f>IFERROR(__xludf.DUMMYFUNCTION("""COMPUTED_VALUE"""),"L2")</f>
        <v>L2</v>
      </c>
      <c r="R2" s="6">
        <f>IFERROR(__xludf.DUMMYFUNCTION("""COMPUTED_VALUE"""),2.0)</f>
        <v>2</v>
      </c>
      <c r="S2" s="6" t="str">
        <f>IFERROR(__xludf.DUMMYFUNCTION("""COMPUTED_VALUE"""),"Carson Lehmann")</f>
        <v>Carson Lehmann</v>
      </c>
      <c r="T2" s="6" t="str">
        <f>IFERROR(__xludf.DUMMYFUNCTION("""COMPUTED_VALUE"""),"carson.lehmann@alpha.school")</f>
        <v>carson.lehmann@alpha.school</v>
      </c>
      <c r="U2" s="6" t="str">
        <f>IFERROR(__xludf.DUMMYFUNCTION("""COMPUTED_VALUE"""),"5")</f>
        <v>5</v>
      </c>
      <c r="V2" s="6" t="str">
        <f>IFERROR(__xludf.DUMMYFUNCTION("""COMPUTED_VALUE"""),"")</f>
        <v/>
      </c>
      <c r="W2" s="6" t="str">
        <f>IFERROR(__xludf.DUMMYFUNCTION("""COMPUTED_VALUE"""),"[]")</f>
        <v>[]</v>
      </c>
      <c r="X2" s="6" t="str">
        <f>IFERROR(__xludf.DUMMYFUNCTION("""COMPUTED_VALUE"""),"Enrolled")</f>
        <v>Enrolled</v>
      </c>
    </row>
    <row r="3">
      <c r="A3" s="6" t="str">
        <f>IFERROR(__xludf.DUMMYFUNCTION("""COMPUTED_VALUE"""),"000-0208")</f>
        <v>000-0208</v>
      </c>
      <c r="B3" s="6" t="str">
        <f>IFERROR(__xludf.DUMMYFUNCTION("""COMPUTED_VALUE"""),"0")</f>
        <v>0</v>
      </c>
      <c r="C3" s="6" t="str">
        <f>IFERROR(__xludf.DUMMYFUNCTION("""COMPUTED_VALUE"""),"0208")</f>
        <v>0208</v>
      </c>
      <c r="D3" s="6" t="str">
        <f>IFERROR(__xludf.DUMMYFUNCTION("""COMPUTED_VALUE"""),"Scotty")</f>
        <v>Scotty</v>
      </c>
      <c r="E3" s="6" t="str">
        <f>IFERROR(__xludf.DUMMYFUNCTION("""COMPUTED_VALUE"""),"Scotty")</f>
        <v>Scotty</v>
      </c>
      <c r="F3" s="6" t="str">
        <f>IFERROR(__xludf.DUMMYFUNCTION("""COMPUTED_VALUE"""),"Noel")</f>
        <v>Noel</v>
      </c>
      <c r="G3" s="6" t="str">
        <f>IFERROR(__xludf.DUMMYFUNCTION("""COMPUTED_VALUE"""),"03/29/2015")</f>
        <v>03/29/2015</v>
      </c>
      <c r="H3" s="6" t="str">
        <f>IFERROR(__xludf.DUMMYFUNCTION("""COMPUTED_VALUE"""),"F")</f>
        <v>F</v>
      </c>
      <c r="I3" s="6" t="str">
        <f>IFERROR(__xludf.DUMMYFUNCTION("""COMPUTED_VALUE"""),"Level 2")</f>
        <v>Level 2</v>
      </c>
      <c r="J3" s="6" t="str">
        <f>IFERROR(__xludf.DUMMYFUNCTION("""COMPUTED_VALUE"""),"5")</f>
        <v>5</v>
      </c>
      <c r="K3" s="6" t="str">
        <f>IFERROR(__xludf.DUMMYFUNCTION("""COMPUTED_VALUE"""),"scotty.noel@alpha.school")</f>
        <v>scotty.noel@alpha.school</v>
      </c>
      <c r="L3" s="6" t="str">
        <f>IFERROR(__xludf.DUMMYFUNCTION("""COMPUTED_VALUE"""),"Alpha Anywhere (homeschool)")</f>
        <v>Alpha Anywhere (homeschool)</v>
      </c>
      <c r="M3" s="6" t="str">
        <f>IFERROR(__xludf.DUMMYFUNCTION("""COMPUTED_VALUE"""),"JW")</f>
        <v>JW</v>
      </c>
      <c r="N3" s="6" t="str">
        <f>IFERROR(__xludf.DUMMYFUNCTION("""COMPUTED_VALUE"""),"")</f>
        <v/>
      </c>
      <c r="O3" s="87" t="str">
        <f>IFERROR(__xludf.DUMMYFUNCTION("""COMPUTED_VALUE"""),"https://drive.google.com/drive/folders/10T2cTQHqEJZqE-st6uFKPoI?usp=share_link")</f>
        <v>https://drive.google.com/drive/folders/10T2cTQHqEJZqE-st6uFKPoI?usp=share_link</v>
      </c>
      <c r="P3" s="6" t="str">
        <f>IFERROR(__xludf.DUMMYFUNCTION("""COMPUTED_VALUE"""),"Scotty Noel")</f>
        <v>Scotty Noel</v>
      </c>
      <c r="Q3" s="6" t="str">
        <f>IFERROR(__xludf.DUMMYFUNCTION("""COMPUTED_VALUE"""),"L2")</f>
        <v>L2</v>
      </c>
      <c r="R3" s="6">
        <f>IFERROR(__xludf.DUMMYFUNCTION("""COMPUTED_VALUE"""),2.0)</f>
        <v>2</v>
      </c>
      <c r="S3" s="6" t="str">
        <f>IFERROR(__xludf.DUMMYFUNCTION("""COMPUTED_VALUE"""),"Carson Lehmann")</f>
        <v>Carson Lehmann</v>
      </c>
      <c r="T3" s="6" t="str">
        <f>IFERROR(__xludf.DUMMYFUNCTION("""COMPUTED_VALUE"""),"carson.lehmann@alpha.school")</f>
        <v>carson.lehmann@alpha.school</v>
      </c>
      <c r="U3" s="6" t="str">
        <f>IFERROR(__xludf.DUMMYFUNCTION("""COMPUTED_VALUE"""),"5")</f>
        <v>5</v>
      </c>
      <c r="V3" s="6" t="str">
        <f>IFERROR(__xludf.DUMMYFUNCTION("""COMPUTED_VALUE"""),"")</f>
        <v/>
      </c>
      <c r="W3" s="6" t="str">
        <f>IFERROR(__xludf.DUMMYFUNCTION("""COMPUTED_VALUE"""),"[]")</f>
        <v>[]</v>
      </c>
      <c r="X3" s="6" t="str">
        <f>IFERROR(__xludf.DUMMYFUNCTION("""COMPUTED_VALUE"""),"Enrolled")</f>
        <v>Enrolled</v>
      </c>
    </row>
    <row r="4">
      <c r="A4" s="6" t="str">
        <f>IFERROR(__xludf.DUMMYFUNCTION("""COMPUTED_VALUE"""),"000-0771")</f>
        <v>000-0771</v>
      </c>
      <c r="B4" s="6" t="str">
        <f>IFERROR(__xludf.DUMMYFUNCTION("""COMPUTED_VALUE"""),"0")</f>
        <v>0</v>
      </c>
      <c r="C4" s="6" t="str">
        <f>IFERROR(__xludf.DUMMYFUNCTION("""COMPUTED_VALUE"""),"0771")</f>
        <v>0771</v>
      </c>
      <c r="D4" s="6" t="str">
        <f>IFERROR(__xludf.DUMMYFUNCTION("""COMPUTED_VALUE"""),"Gray")</f>
        <v>Gray</v>
      </c>
      <c r="E4" s="6" t="str">
        <f>IFERROR(__xludf.DUMMYFUNCTION("""COMPUTED_VALUE"""),"")</f>
        <v/>
      </c>
      <c r="F4" s="6" t="str">
        <f>IFERROR(__xludf.DUMMYFUNCTION("""COMPUTED_VALUE"""),"Duffy")</f>
        <v>Duffy</v>
      </c>
      <c r="G4" s="6" t="str">
        <f>IFERROR(__xludf.DUMMYFUNCTION("""COMPUTED_VALUE"""),"11/26/2014")</f>
        <v>11/26/2014</v>
      </c>
      <c r="H4" s="6" t="str">
        <f>IFERROR(__xludf.DUMMYFUNCTION("""COMPUTED_VALUE"""),"M")</f>
        <v>M</v>
      </c>
      <c r="I4" s="6" t="str">
        <f>IFERROR(__xludf.DUMMYFUNCTION("""COMPUTED_VALUE"""),"Level 2")</f>
        <v>Level 2</v>
      </c>
      <c r="J4" s="6" t="str">
        <f>IFERROR(__xludf.DUMMYFUNCTION("""COMPUTED_VALUE"""),"5")</f>
        <v>5</v>
      </c>
      <c r="K4" s="6" t="str">
        <f>IFERROR(__xludf.DUMMYFUNCTION("""COMPUTED_VALUE"""),"gray.duffy@2hourlearning.com")</f>
        <v>gray.duffy@2hourlearning.com</v>
      </c>
      <c r="L4" s="6" t="str">
        <f>IFERROR(__xludf.DUMMYFUNCTION("""COMPUTED_VALUE"""),"Alpha Anywhere (homeschool)")</f>
        <v>Alpha Anywhere (homeschool)</v>
      </c>
      <c r="M4" s="6" t="str">
        <f>IFERROR(__xludf.DUMMYFUNCTION("""COMPUTED_VALUE"""),"")</f>
        <v/>
      </c>
      <c r="N4" s="6" t="str">
        <f>IFERROR(__xludf.DUMMYFUNCTION("""COMPUTED_VALUE"""),"")</f>
        <v/>
      </c>
      <c r="O4" s="87" t="str">
        <f>IFERROR(__xludf.DUMMYFUNCTION("""COMPUTED_VALUE"""),"https://drive.google.com/drive/folders/10T2cTQHqEJZqE-st6uFKPoI?usp=share_link")</f>
        <v>https://drive.google.com/drive/folders/10T2cTQHqEJZqE-st6uFKPoI?usp=share_link</v>
      </c>
      <c r="P4" s="6" t="str">
        <f>IFERROR(__xludf.DUMMYFUNCTION("""COMPUTED_VALUE"""),"Gray Duffy")</f>
        <v>Gray Duffy</v>
      </c>
      <c r="Q4" s="6" t="str">
        <f>IFERROR(__xludf.DUMMYFUNCTION("""COMPUTED_VALUE"""),"L2")</f>
        <v>L2</v>
      </c>
      <c r="R4" s="6">
        <f>IFERROR(__xludf.DUMMYFUNCTION("""COMPUTED_VALUE"""),2.0)</f>
        <v>2</v>
      </c>
      <c r="S4" s="6" t="str">
        <f>IFERROR(__xludf.DUMMYFUNCTION("""COMPUTED_VALUE""")," ")</f>
        <v> </v>
      </c>
      <c r="T4" s="6" t="str">
        <f>IFERROR(__xludf.DUMMYFUNCTION("""COMPUTED_VALUE"""),"")</f>
        <v/>
      </c>
      <c r="U4" s="6" t="str">
        <f>IFERROR(__xludf.DUMMYFUNCTION("""COMPUTED_VALUE"""),"5")</f>
        <v>5</v>
      </c>
      <c r="V4" s="6" t="str">
        <f>IFERROR(__xludf.DUMMYFUNCTION("""COMPUTED_VALUE"""),"English")</f>
        <v>English</v>
      </c>
      <c r="W4" s="6" t="str">
        <f>IFERROR(__xludf.DUMMYFUNCTION("""COMPUTED_VALUE"""),"[]")</f>
        <v>[]</v>
      </c>
      <c r="X4" s="6" t="str">
        <f>IFERROR(__xludf.DUMMYFUNCTION("""COMPUTED_VALUE"""),"Enrolled")</f>
        <v>Enrolled</v>
      </c>
    </row>
    <row r="5">
      <c r="A5" s="6" t="str">
        <f>IFERROR(__xludf.DUMMYFUNCTION("""COMPUTED_VALUE"""),"000-0777")</f>
        <v>000-0777</v>
      </c>
      <c r="B5" s="6" t="str">
        <f>IFERROR(__xludf.DUMMYFUNCTION("""COMPUTED_VALUE"""),"0")</f>
        <v>0</v>
      </c>
      <c r="C5" s="6" t="str">
        <f>IFERROR(__xludf.DUMMYFUNCTION("""COMPUTED_VALUE"""),"0777")</f>
        <v>0777</v>
      </c>
      <c r="D5" s="6" t="str">
        <f>IFERROR(__xludf.DUMMYFUNCTION("""COMPUTED_VALUE"""),"Knox Martin")</f>
        <v>Knox Martin</v>
      </c>
      <c r="E5" s="6" t="str">
        <f>IFERROR(__xludf.DUMMYFUNCTION("""COMPUTED_VALUE"""),"")</f>
        <v/>
      </c>
      <c r="F5" s="6" t="str">
        <f>IFERROR(__xludf.DUMMYFUNCTION("""COMPUTED_VALUE"""),"Wheeler")</f>
        <v>Wheeler</v>
      </c>
      <c r="G5" s="6" t="str">
        <f>IFERROR(__xludf.DUMMYFUNCTION("""COMPUTED_VALUE"""),"10/25/2013")</f>
        <v>10/25/2013</v>
      </c>
      <c r="H5" s="6" t="str">
        <f>IFERROR(__xludf.DUMMYFUNCTION("""COMPUTED_VALUE"""),"Self Identify")</f>
        <v>Self Identify</v>
      </c>
      <c r="I5" s="6" t="str">
        <f>IFERROR(__xludf.DUMMYFUNCTION("""COMPUTED_VALUE"""),"Middle School")</f>
        <v>Middle School</v>
      </c>
      <c r="J5" s="6" t="str">
        <f>IFERROR(__xludf.DUMMYFUNCTION("""COMPUTED_VALUE"""),"6")</f>
        <v>6</v>
      </c>
      <c r="K5" s="6" t="str">
        <f>IFERROR(__xludf.DUMMYFUNCTION("""COMPUTED_VALUE"""),"knox.wheeler@2hourlearning.com")</f>
        <v>knox.wheeler@2hourlearning.com</v>
      </c>
      <c r="L5" s="6" t="str">
        <f>IFERROR(__xludf.DUMMYFUNCTION("""COMPUTED_VALUE"""),"Alpha Anywhere (homeschool)")</f>
        <v>Alpha Anywhere (homeschool)</v>
      </c>
      <c r="M5" s="6" t="str">
        <f>IFERROR(__xludf.DUMMYFUNCTION("""COMPUTED_VALUE"""),"")</f>
        <v/>
      </c>
      <c r="N5" s="6" t="str">
        <f>IFERROR(__xludf.DUMMYFUNCTION("""COMPUTED_VALUE"""),"")</f>
        <v/>
      </c>
      <c r="O5" s="87" t="str">
        <f>IFERROR(__xludf.DUMMYFUNCTION("""COMPUTED_VALUE"""),"https://drive.google.com/drive/folders/10T2cTQHqEJZqE-st6uFKPoI?usp=share_link")</f>
        <v>https://drive.google.com/drive/folders/10T2cTQHqEJZqE-st6uFKPoI?usp=share_link</v>
      </c>
      <c r="P5" s="6" t="str">
        <f>IFERROR(__xludf.DUMMYFUNCTION("""COMPUTED_VALUE"""),"Knox Martin Wheeler")</f>
        <v>Knox Martin Wheeler</v>
      </c>
      <c r="Q5" s="6" t="str">
        <f>IFERROR(__xludf.DUMMYFUNCTION("""COMPUTED_VALUE"""),"MS")</f>
        <v>MS</v>
      </c>
      <c r="R5" s="6">
        <f>IFERROR(__xludf.DUMMYFUNCTION("""COMPUTED_VALUE"""),0.0)</f>
        <v>0</v>
      </c>
      <c r="S5" s="6" t="str">
        <f>IFERROR(__xludf.DUMMYFUNCTION("""COMPUTED_VALUE""")," ")</f>
        <v> </v>
      </c>
      <c r="T5" s="6" t="str">
        <f>IFERROR(__xludf.DUMMYFUNCTION("""COMPUTED_VALUE"""),"")</f>
        <v/>
      </c>
      <c r="U5" s="6" t="str">
        <f>IFERROR(__xludf.DUMMYFUNCTION("""COMPUTED_VALUE"""),"6")</f>
        <v>6</v>
      </c>
      <c r="V5" s="6" t="str">
        <f>IFERROR(__xludf.DUMMYFUNCTION("""COMPUTED_VALUE"""),"English")</f>
        <v>English</v>
      </c>
      <c r="W5" s="6" t="str">
        <f>IFERROR(__xludf.DUMMYFUNCTION("""COMPUTED_VALUE"""),"[]")</f>
        <v>[]</v>
      </c>
      <c r="X5" s="6" t="str">
        <f>IFERROR(__xludf.DUMMYFUNCTION("""COMPUTED_VALUE"""),"Enrolled")</f>
        <v>Enrolled</v>
      </c>
    </row>
    <row r="6">
      <c r="A6" s="6" t="str">
        <f>IFERROR(__xludf.DUMMYFUNCTION("""COMPUTED_VALUE"""),"000-0780")</f>
        <v>000-0780</v>
      </c>
      <c r="B6" s="6" t="str">
        <f>IFERROR(__xludf.DUMMYFUNCTION("""COMPUTED_VALUE"""),"0")</f>
        <v>0</v>
      </c>
      <c r="C6" s="6" t="str">
        <f>IFERROR(__xludf.DUMMYFUNCTION("""COMPUTED_VALUE"""),"0780")</f>
        <v>0780</v>
      </c>
      <c r="D6" s="6" t="str">
        <f>IFERROR(__xludf.DUMMYFUNCTION("""COMPUTED_VALUE"""),"Roman-Parker")</f>
        <v>Roman-Parker</v>
      </c>
      <c r="E6" s="6" t="str">
        <f>IFERROR(__xludf.DUMMYFUNCTION("""COMPUTED_VALUE"""),"")</f>
        <v/>
      </c>
      <c r="F6" s="6" t="str">
        <f>IFERROR(__xludf.DUMMYFUNCTION("""COMPUTED_VALUE"""),"Davis")</f>
        <v>Davis</v>
      </c>
      <c r="G6" s="6" t="str">
        <f>IFERROR(__xludf.DUMMYFUNCTION("""COMPUTED_VALUE"""),"06/16/2015")</f>
        <v>06/16/2015</v>
      </c>
      <c r="H6" s="6" t="str">
        <f>IFERROR(__xludf.DUMMYFUNCTION("""COMPUTED_VALUE"""),"Self Identify")</f>
        <v>Self Identify</v>
      </c>
      <c r="I6" s="6" t="str">
        <f>IFERROR(__xludf.DUMMYFUNCTION("""COMPUTED_VALUE"""),"Level 2")</f>
        <v>Level 2</v>
      </c>
      <c r="J6" s="6" t="str">
        <f>IFERROR(__xludf.DUMMYFUNCTION("""COMPUTED_VALUE"""),"5")</f>
        <v>5</v>
      </c>
      <c r="K6" s="6" t="str">
        <f>IFERROR(__xludf.DUMMYFUNCTION("""COMPUTED_VALUE"""),"roman-parker.davis@2hourlearning.com")</f>
        <v>roman-parker.davis@2hourlearning.com</v>
      </c>
      <c r="L6" s="6" t="str">
        <f>IFERROR(__xludf.DUMMYFUNCTION("""COMPUTED_VALUE"""),"Alpha Anywhere (homeschool)")</f>
        <v>Alpha Anywhere (homeschool)</v>
      </c>
      <c r="M6" s="6" t="str">
        <f>IFERROR(__xludf.DUMMYFUNCTION("""COMPUTED_VALUE"""),"")</f>
        <v/>
      </c>
      <c r="N6" s="6" t="str">
        <f>IFERROR(__xludf.DUMMYFUNCTION("""COMPUTED_VALUE"""),"")</f>
        <v/>
      </c>
      <c r="O6" s="87" t="str">
        <f>IFERROR(__xludf.DUMMYFUNCTION("""COMPUTED_VALUE"""),"https://drive.google.com/drive/folders/10T2cTQHqEJZqE-st6uFKPoI?usp=share_link")</f>
        <v>https://drive.google.com/drive/folders/10T2cTQHqEJZqE-st6uFKPoI?usp=share_link</v>
      </c>
      <c r="P6" s="6" t="str">
        <f>IFERROR(__xludf.DUMMYFUNCTION("""COMPUTED_VALUE"""),"Roman-Parker Davis")</f>
        <v>Roman-Parker Davis</v>
      </c>
      <c r="Q6" s="6" t="str">
        <f>IFERROR(__xludf.DUMMYFUNCTION("""COMPUTED_VALUE"""),"L2")</f>
        <v>L2</v>
      </c>
      <c r="R6" s="6">
        <f>IFERROR(__xludf.DUMMYFUNCTION("""COMPUTED_VALUE"""),2.0)</f>
        <v>2</v>
      </c>
      <c r="S6" s="6" t="str">
        <f>IFERROR(__xludf.DUMMYFUNCTION("""COMPUTED_VALUE""")," ")</f>
        <v> </v>
      </c>
      <c r="T6" s="6" t="str">
        <f>IFERROR(__xludf.DUMMYFUNCTION("""COMPUTED_VALUE"""),"")</f>
        <v/>
      </c>
      <c r="U6" s="6" t="str">
        <f>IFERROR(__xludf.DUMMYFUNCTION("""COMPUTED_VALUE"""),"5")</f>
        <v>5</v>
      </c>
      <c r="V6" s="6" t="str">
        <f>IFERROR(__xludf.DUMMYFUNCTION("""COMPUTED_VALUE"""),"English")</f>
        <v>English</v>
      </c>
      <c r="W6" s="6" t="str">
        <f>IFERROR(__xludf.DUMMYFUNCTION("""COMPUTED_VALUE"""),"[]")</f>
        <v>[]</v>
      </c>
      <c r="X6" s="6" t="str">
        <f>IFERROR(__xludf.DUMMYFUNCTION("""COMPUTED_VALUE"""),"Enrolled")</f>
        <v>Enrolled</v>
      </c>
    </row>
    <row r="7">
      <c r="A7" s="6" t="str">
        <f>IFERROR(__xludf.DUMMYFUNCTION("""COMPUTED_VALUE"""),"000-0783")</f>
        <v>000-0783</v>
      </c>
      <c r="B7" s="6" t="str">
        <f>IFERROR(__xludf.DUMMYFUNCTION("""COMPUTED_VALUE"""),"0")</f>
        <v>0</v>
      </c>
      <c r="C7" s="6" t="str">
        <f>IFERROR(__xludf.DUMMYFUNCTION("""COMPUTED_VALUE"""),"0783")</f>
        <v>0783</v>
      </c>
      <c r="D7" s="6" t="str">
        <f>IFERROR(__xludf.DUMMYFUNCTION("""COMPUTED_VALUE"""),"Amelia Catherine")</f>
        <v>Amelia Catherine</v>
      </c>
      <c r="E7" s="6" t="str">
        <f>IFERROR(__xludf.DUMMYFUNCTION("""COMPUTED_VALUE"""),"")</f>
        <v/>
      </c>
      <c r="F7" s="6" t="str">
        <f>IFERROR(__xludf.DUMMYFUNCTION("""COMPUTED_VALUE"""),"Lucas")</f>
        <v>Lucas</v>
      </c>
      <c r="G7" s="6" t="str">
        <f>IFERROR(__xludf.DUMMYFUNCTION("""COMPUTED_VALUE"""),"09/24/2011")</f>
        <v>09/24/2011</v>
      </c>
      <c r="H7" s="6" t="str">
        <f>IFERROR(__xludf.DUMMYFUNCTION("""COMPUTED_VALUE"""),"Self Identify")</f>
        <v>Self Identify</v>
      </c>
      <c r="I7" s="6" t="str">
        <f>IFERROR(__xludf.DUMMYFUNCTION("""COMPUTED_VALUE"""),"Middle School")</f>
        <v>Middle School</v>
      </c>
      <c r="J7" s="6" t="str">
        <f>IFERROR(__xludf.DUMMYFUNCTION("""COMPUTED_VALUE"""),"8")</f>
        <v>8</v>
      </c>
      <c r="K7" s="6" t="str">
        <f>IFERROR(__xludf.DUMMYFUNCTION("""COMPUTED_VALUE"""),"amelia.lucas@2hourlearning.com")</f>
        <v>amelia.lucas@2hourlearning.com</v>
      </c>
      <c r="L7" s="6" t="str">
        <f>IFERROR(__xludf.DUMMYFUNCTION("""COMPUTED_VALUE"""),"Alpha Anywhere (homeschool)")</f>
        <v>Alpha Anywhere (homeschool)</v>
      </c>
      <c r="M7" s="6" t="str">
        <f>IFERROR(__xludf.DUMMYFUNCTION("""COMPUTED_VALUE"""),"")</f>
        <v/>
      </c>
      <c r="N7" s="6" t="str">
        <f>IFERROR(__xludf.DUMMYFUNCTION("""COMPUTED_VALUE"""),"")</f>
        <v/>
      </c>
      <c r="O7" s="87" t="str">
        <f>IFERROR(__xludf.DUMMYFUNCTION("""COMPUTED_VALUE"""),"https://drive.google.com/drive/folders/10T2cTQHqEJZqE-st6uFKPoI?usp=share_link")</f>
        <v>https://drive.google.com/drive/folders/10T2cTQHqEJZqE-st6uFKPoI?usp=share_link</v>
      </c>
      <c r="P7" s="6" t="str">
        <f>IFERROR(__xludf.DUMMYFUNCTION("""COMPUTED_VALUE"""),"Amelia Catherine Lucas")</f>
        <v>Amelia Catherine Lucas</v>
      </c>
      <c r="Q7" s="6" t="str">
        <f>IFERROR(__xludf.DUMMYFUNCTION("""COMPUTED_VALUE"""),"MS")</f>
        <v>MS</v>
      </c>
      <c r="R7" s="6">
        <f>IFERROR(__xludf.DUMMYFUNCTION("""COMPUTED_VALUE"""),0.0)</f>
        <v>0</v>
      </c>
      <c r="S7" s="6" t="str">
        <f>IFERROR(__xludf.DUMMYFUNCTION("""COMPUTED_VALUE""")," ")</f>
        <v> </v>
      </c>
      <c r="T7" s="6" t="str">
        <f>IFERROR(__xludf.DUMMYFUNCTION("""COMPUTED_VALUE"""),"")</f>
        <v/>
      </c>
      <c r="U7" s="6" t="str">
        <f>IFERROR(__xludf.DUMMYFUNCTION("""COMPUTED_VALUE"""),"8")</f>
        <v>8</v>
      </c>
      <c r="V7" s="6" t="str">
        <f>IFERROR(__xludf.DUMMYFUNCTION("""COMPUTED_VALUE"""),"English")</f>
        <v>English</v>
      </c>
      <c r="W7" s="6" t="str">
        <f>IFERROR(__xludf.DUMMYFUNCTION("""COMPUTED_VALUE"""),"[]")</f>
        <v>[]</v>
      </c>
      <c r="X7" s="6" t="str">
        <f>IFERROR(__xludf.DUMMYFUNCTION("""COMPUTED_VALUE"""),"Enrolled")</f>
        <v>Enrolled</v>
      </c>
    </row>
    <row r="8">
      <c r="A8" s="6" t="str">
        <f>IFERROR(__xludf.DUMMYFUNCTION("""COMPUTED_VALUE"""),"000-0798")</f>
        <v>000-0798</v>
      </c>
      <c r="B8" s="6" t="str">
        <f>IFERROR(__xludf.DUMMYFUNCTION("""COMPUTED_VALUE"""),"0")</f>
        <v>0</v>
      </c>
      <c r="C8" s="6" t="str">
        <f>IFERROR(__xludf.DUMMYFUNCTION("""COMPUTED_VALUE"""),"0798")</f>
        <v>0798</v>
      </c>
      <c r="D8" s="6" t="str">
        <f>IFERROR(__xludf.DUMMYFUNCTION("""COMPUTED_VALUE"""),"Diana")</f>
        <v>Diana</v>
      </c>
      <c r="E8" s="6" t="str">
        <f>IFERROR(__xludf.DUMMYFUNCTION("""COMPUTED_VALUE"""),"")</f>
        <v/>
      </c>
      <c r="F8" s="6" t="str">
        <f>IFERROR(__xludf.DUMMYFUNCTION("""COMPUTED_VALUE"""),"Kostov")</f>
        <v>Kostov</v>
      </c>
      <c r="G8" s="6" t="str">
        <f>IFERROR(__xludf.DUMMYFUNCTION("""COMPUTED_VALUE"""),"06/28/2014")</f>
        <v>06/28/2014</v>
      </c>
      <c r="H8" s="6" t="str">
        <f>IFERROR(__xludf.DUMMYFUNCTION("""COMPUTED_VALUE"""),"Self Identify")</f>
        <v>Self Identify</v>
      </c>
      <c r="I8" s="6" t="str">
        <f>IFERROR(__xludf.DUMMYFUNCTION("""COMPUTED_VALUE"""),"Middle School")</f>
        <v>Middle School</v>
      </c>
      <c r="J8" s="6" t="str">
        <f>IFERROR(__xludf.DUMMYFUNCTION("""COMPUTED_VALUE"""),"6")</f>
        <v>6</v>
      </c>
      <c r="K8" s="6" t="str">
        <f>IFERROR(__xludf.DUMMYFUNCTION("""COMPUTED_VALUE"""),"diana.kostov@2hourlearning.com")</f>
        <v>diana.kostov@2hourlearning.com</v>
      </c>
      <c r="L8" s="6" t="str">
        <f>IFERROR(__xludf.DUMMYFUNCTION("""COMPUTED_VALUE"""),"Alpha Anywhere (homeschool)")</f>
        <v>Alpha Anywhere (homeschool)</v>
      </c>
      <c r="M8" s="6" t="str">
        <f>IFERROR(__xludf.DUMMYFUNCTION("""COMPUTED_VALUE"""),"")</f>
        <v/>
      </c>
      <c r="N8" s="6" t="str">
        <f>IFERROR(__xludf.DUMMYFUNCTION("""COMPUTED_VALUE"""),"")</f>
        <v/>
      </c>
      <c r="O8" s="87" t="str">
        <f>IFERROR(__xludf.DUMMYFUNCTION("""COMPUTED_VALUE"""),"https://drive.google.com/drive/folders/10T2cTQHqEJZqE-st6uFKPoI?usp=share_link")</f>
        <v>https://drive.google.com/drive/folders/10T2cTQHqEJZqE-st6uFKPoI?usp=share_link</v>
      </c>
      <c r="P8" s="6" t="str">
        <f>IFERROR(__xludf.DUMMYFUNCTION("""COMPUTED_VALUE"""),"Diana Kostov")</f>
        <v>Diana Kostov</v>
      </c>
      <c r="Q8" s="6" t="str">
        <f>IFERROR(__xludf.DUMMYFUNCTION("""COMPUTED_VALUE"""),"MS")</f>
        <v>MS</v>
      </c>
      <c r="R8" s="6">
        <f>IFERROR(__xludf.DUMMYFUNCTION("""COMPUTED_VALUE"""),0.0)</f>
        <v>0</v>
      </c>
      <c r="S8" s="6" t="str">
        <f>IFERROR(__xludf.DUMMYFUNCTION("""COMPUTED_VALUE""")," ")</f>
        <v> </v>
      </c>
      <c r="T8" s="6" t="str">
        <f>IFERROR(__xludf.DUMMYFUNCTION("""COMPUTED_VALUE"""),"")</f>
        <v/>
      </c>
      <c r="U8" s="6" t="str">
        <f>IFERROR(__xludf.DUMMYFUNCTION("""COMPUTED_VALUE"""),"6")</f>
        <v>6</v>
      </c>
      <c r="V8" s="6" t="str">
        <f>IFERROR(__xludf.DUMMYFUNCTION("""COMPUTED_VALUE"""),"English")</f>
        <v>English</v>
      </c>
      <c r="W8" s="6" t="str">
        <f>IFERROR(__xludf.DUMMYFUNCTION("""COMPUTED_VALUE"""),"[]")</f>
        <v>[]</v>
      </c>
      <c r="X8" s="6" t="str">
        <f>IFERROR(__xludf.DUMMYFUNCTION("""COMPUTED_VALUE"""),"Enrolled")</f>
        <v>Enrolled</v>
      </c>
    </row>
    <row r="9">
      <c r="A9" s="6" t="str">
        <f>IFERROR(__xludf.DUMMYFUNCTION("""COMPUTED_VALUE"""),"000-0842")</f>
        <v>000-0842</v>
      </c>
      <c r="B9" s="6" t="str">
        <f>IFERROR(__xludf.DUMMYFUNCTION("""COMPUTED_VALUE"""),"0")</f>
        <v>0</v>
      </c>
      <c r="C9" s="6" t="str">
        <f>IFERROR(__xludf.DUMMYFUNCTION("""COMPUTED_VALUE"""),"0842")</f>
        <v>0842</v>
      </c>
      <c r="D9" s="6" t="str">
        <f>IFERROR(__xludf.DUMMYFUNCTION("""COMPUTED_VALUE"""),"Airielle")</f>
        <v>Airielle</v>
      </c>
      <c r="E9" s="6" t="str">
        <f>IFERROR(__xludf.DUMMYFUNCTION("""COMPUTED_VALUE"""),"Airi")</f>
        <v>Airi</v>
      </c>
      <c r="F9" s="6" t="str">
        <f>IFERROR(__xludf.DUMMYFUNCTION("""COMPUTED_VALUE"""),"Elliott")</f>
        <v>Elliott</v>
      </c>
      <c r="G9" s="6" t="str">
        <f>IFERROR(__xludf.DUMMYFUNCTION("""COMPUTED_VALUE"""),"09/13/2013")</f>
        <v>09/13/2013</v>
      </c>
      <c r="H9" s="6" t="str">
        <f>IFERROR(__xludf.DUMMYFUNCTION("""COMPUTED_VALUE"""),"female")</f>
        <v>female</v>
      </c>
      <c r="I9" s="6" t="str">
        <f>IFERROR(__xludf.DUMMYFUNCTION("""COMPUTED_VALUE"""),"Level 2")</f>
        <v>Level 2</v>
      </c>
      <c r="J9" s="6" t="str">
        <f>IFERROR(__xludf.DUMMYFUNCTION("""COMPUTED_VALUE"""),"5")</f>
        <v>5</v>
      </c>
      <c r="K9" s="6" t="str">
        <f>IFERROR(__xludf.DUMMYFUNCTION("""COMPUTED_VALUE"""),"airielle.elliott@2hourlearning.com")</f>
        <v>airielle.elliott@2hourlearning.com</v>
      </c>
      <c r="L9" s="6" t="str">
        <f>IFERROR(__xludf.DUMMYFUNCTION("""COMPUTED_VALUE"""),"Alpha Anywhere (homeschool)")</f>
        <v>Alpha Anywhere (homeschool)</v>
      </c>
      <c r="M9" s="6" t="str">
        <f>IFERROR(__xludf.DUMMYFUNCTION("""COMPUTED_VALUE"""),"")</f>
        <v/>
      </c>
      <c r="N9" s="6" t="str">
        <f>IFERROR(__xludf.DUMMYFUNCTION("""COMPUTED_VALUE"""),"")</f>
        <v/>
      </c>
      <c r="O9" s="87" t="str">
        <f>IFERROR(__xludf.DUMMYFUNCTION("""COMPUTED_VALUE"""),"https://drive.google.com/drive/folders/10T2cTQHqEJZqE-st6uFKPoI?usp=share_link")</f>
        <v>https://drive.google.com/drive/folders/10T2cTQHqEJZqE-st6uFKPoI?usp=share_link</v>
      </c>
      <c r="P9" s="6" t="str">
        <f>IFERROR(__xludf.DUMMYFUNCTION("""COMPUTED_VALUE"""),"Airi Elliott")</f>
        <v>Airi Elliott</v>
      </c>
      <c r="Q9" s="6" t="str">
        <f>IFERROR(__xludf.DUMMYFUNCTION("""COMPUTED_VALUE"""),"L2")</f>
        <v>L2</v>
      </c>
      <c r="R9" s="6">
        <f>IFERROR(__xludf.DUMMYFUNCTION("""COMPUTED_VALUE"""),2.0)</f>
        <v>2</v>
      </c>
      <c r="S9" s="6" t="str">
        <f>IFERROR(__xludf.DUMMYFUNCTION("""COMPUTED_VALUE""")," ")</f>
        <v> </v>
      </c>
      <c r="T9" s="6" t="str">
        <f>IFERROR(__xludf.DUMMYFUNCTION("""COMPUTED_VALUE"""),"")</f>
        <v/>
      </c>
      <c r="U9" s="6" t="str">
        <f>IFERROR(__xludf.DUMMYFUNCTION("""COMPUTED_VALUE"""),"5")</f>
        <v>5</v>
      </c>
      <c r="V9" s="6" t="str">
        <f>IFERROR(__xludf.DUMMYFUNCTION("""COMPUTED_VALUE"""),"")</f>
        <v/>
      </c>
      <c r="W9" s="6" t="str">
        <f>IFERROR(__xludf.DUMMYFUNCTION("""COMPUTED_VALUE"""),"[]")</f>
        <v>[]</v>
      </c>
      <c r="X9" s="6" t="str">
        <f>IFERROR(__xludf.DUMMYFUNCTION("""COMPUTED_VALUE"""),"Enrolled")</f>
        <v>Enrolled</v>
      </c>
    </row>
    <row r="10">
      <c r="A10" s="6" t="str">
        <f>IFERROR(__xludf.DUMMYFUNCTION("""COMPUTED_VALUE"""),"000-0897")</f>
        <v>000-0897</v>
      </c>
      <c r="B10" s="6" t="str">
        <f>IFERROR(__xludf.DUMMYFUNCTION("""COMPUTED_VALUE"""),"0")</f>
        <v>0</v>
      </c>
      <c r="C10" s="6" t="str">
        <f>IFERROR(__xludf.DUMMYFUNCTION("""COMPUTED_VALUE"""),"0897")</f>
        <v>0897</v>
      </c>
      <c r="D10" s="6" t="str">
        <f>IFERROR(__xludf.DUMMYFUNCTION("""COMPUTED_VALUE"""),"Alexander")</f>
        <v>Alexander</v>
      </c>
      <c r="E10" s="6" t="str">
        <f>IFERROR(__xludf.DUMMYFUNCTION("""COMPUTED_VALUE"""),"Alexander")</f>
        <v>Alexander</v>
      </c>
      <c r="F10" s="6" t="str">
        <f>IFERROR(__xludf.DUMMYFUNCTION("""COMPUTED_VALUE"""),"Wiebeck")</f>
        <v>Wiebeck</v>
      </c>
      <c r="G10" s="6" t="str">
        <f>IFERROR(__xludf.DUMMYFUNCTION("""COMPUTED_VALUE"""),"05/02/2016")</f>
        <v>05/02/2016</v>
      </c>
      <c r="H10" s="6" t="str">
        <f>IFERROR(__xludf.DUMMYFUNCTION("""COMPUTED_VALUE"""),"male")</f>
        <v>male</v>
      </c>
      <c r="I10" s="6" t="str">
        <f>IFERROR(__xludf.DUMMYFUNCTION("""COMPUTED_VALUE"""),"Level 2")</f>
        <v>Level 2</v>
      </c>
      <c r="J10" s="6" t="str">
        <f>IFERROR(__xludf.DUMMYFUNCTION("""COMPUTED_VALUE"""),"4")</f>
        <v>4</v>
      </c>
      <c r="K10" s="6" t="str">
        <f>IFERROR(__xludf.DUMMYFUNCTION("""COMPUTED_VALUE"""),"alexander.wiebeck@2hourlearning.com")</f>
        <v>alexander.wiebeck@2hourlearning.com</v>
      </c>
      <c r="L10" s="6" t="str">
        <f>IFERROR(__xludf.DUMMYFUNCTION("""COMPUTED_VALUE"""),"Alpha Anywhere (homeschool)")</f>
        <v>Alpha Anywhere (homeschool)</v>
      </c>
      <c r="M10" s="6" t="str">
        <f>IFERROR(__xludf.DUMMYFUNCTION("""COMPUTED_VALUE"""),"")</f>
        <v/>
      </c>
      <c r="N10" s="6" t="str">
        <f>IFERROR(__xludf.DUMMYFUNCTION("""COMPUTED_VALUE"""),"")</f>
        <v/>
      </c>
      <c r="O10" s="87" t="str">
        <f>IFERROR(__xludf.DUMMYFUNCTION("""COMPUTED_VALUE"""),"https://drive.google.com/drive/folders/10T2cTQHqEJZqE-st6uFKPoI?usp=share_link")</f>
        <v>https://drive.google.com/drive/folders/10T2cTQHqEJZqE-st6uFKPoI?usp=share_link</v>
      </c>
      <c r="P10" s="6" t="str">
        <f>IFERROR(__xludf.DUMMYFUNCTION("""COMPUTED_VALUE"""),"Alexander Wiebeck")</f>
        <v>Alexander Wiebeck</v>
      </c>
      <c r="Q10" s="6" t="str">
        <f>IFERROR(__xludf.DUMMYFUNCTION("""COMPUTED_VALUE"""),"L2")</f>
        <v>L2</v>
      </c>
      <c r="R10" s="6">
        <f>IFERROR(__xludf.DUMMYFUNCTION("""COMPUTED_VALUE"""),2.0)</f>
        <v>2</v>
      </c>
      <c r="S10" s="6" t="str">
        <f>IFERROR(__xludf.DUMMYFUNCTION("""COMPUTED_VALUE""")," ")</f>
        <v> </v>
      </c>
      <c r="T10" s="6" t="str">
        <f>IFERROR(__xludf.DUMMYFUNCTION("""COMPUTED_VALUE"""),"")</f>
        <v/>
      </c>
      <c r="U10" s="6" t="str">
        <f>IFERROR(__xludf.DUMMYFUNCTION("""COMPUTED_VALUE"""),"4")</f>
        <v>4</v>
      </c>
      <c r="V10" s="6" t="str">
        <f>IFERROR(__xludf.DUMMYFUNCTION("""COMPUTED_VALUE"""),"")</f>
        <v/>
      </c>
      <c r="W10" s="6" t="str">
        <f>IFERROR(__xludf.DUMMYFUNCTION("""COMPUTED_VALUE"""),"[]")</f>
        <v>[]</v>
      </c>
      <c r="X10" s="6" t="str">
        <f>IFERROR(__xludf.DUMMYFUNCTION("""COMPUTED_VALUE"""),"Enrolled")</f>
        <v>Enrolled</v>
      </c>
    </row>
    <row r="11">
      <c r="A11" s="6" t="str">
        <f>IFERROR(__xludf.DUMMYFUNCTION("""COMPUTED_VALUE"""),"000-0986")</f>
        <v>000-0986</v>
      </c>
      <c r="B11" s="6" t="str">
        <f>IFERROR(__xludf.DUMMYFUNCTION("""COMPUTED_VALUE"""),"0")</f>
        <v>0</v>
      </c>
      <c r="C11" s="6" t="str">
        <f>IFERROR(__xludf.DUMMYFUNCTION("""COMPUTED_VALUE"""),"0986")</f>
        <v>0986</v>
      </c>
      <c r="D11" s="6" t="str">
        <f>IFERROR(__xludf.DUMMYFUNCTION("""COMPUTED_VALUE"""),"Lenora")</f>
        <v>Lenora</v>
      </c>
      <c r="E11" s="6" t="str">
        <f>IFERROR(__xludf.DUMMYFUNCTION("""COMPUTED_VALUE"""),"")</f>
        <v/>
      </c>
      <c r="F11" s="6" t="str">
        <f>IFERROR(__xludf.DUMMYFUNCTION("""COMPUTED_VALUE"""),"Lovell")</f>
        <v>Lovell</v>
      </c>
      <c r="G11" s="6" t="str">
        <f>IFERROR(__xludf.DUMMYFUNCTION("""COMPUTED_VALUE"""),"12/26/2013")</f>
        <v>12/26/2013</v>
      </c>
      <c r="H11" s="6" t="str">
        <f>IFERROR(__xludf.DUMMYFUNCTION("""COMPUTED_VALUE"""),"Self Identify")</f>
        <v>Self Identify</v>
      </c>
      <c r="I11" s="6" t="str">
        <f>IFERROR(__xludf.DUMMYFUNCTION("""COMPUTED_VALUE"""),"Middle School")</f>
        <v>Middle School</v>
      </c>
      <c r="J11" s="6" t="str">
        <f>IFERROR(__xludf.DUMMYFUNCTION("""COMPUTED_VALUE"""),"6")</f>
        <v>6</v>
      </c>
      <c r="K11" s="6" t="str">
        <f>IFERROR(__xludf.DUMMYFUNCTION("""COMPUTED_VALUE"""),"lenora.lovell@alpha.school")</f>
        <v>lenora.lovell@alpha.school</v>
      </c>
      <c r="L11" s="6" t="str">
        <f>IFERROR(__xludf.DUMMYFUNCTION("""COMPUTED_VALUE"""),"Alpha Anywhere (homeschool)")</f>
        <v>Alpha Anywhere (homeschool)</v>
      </c>
      <c r="M11" s="6" t="str">
        <f>IFERROR(__xludf.DUMMYFUNCTION("""COMPUTED_VALUE"""),"")</f>
        <v/>
      </c>
      <c r="N11" s="6" t="str">
        <f>IFERROR(__xludf.DUMMYFUNCTION("""COMPUTED_VALUE"""),"")</f>
        <v/>
      </c>
      <c r="O11" s="87" t="str">
        <f>IFERROR(__xludf.DUMMYFUNCTION("""COMPUTED_VALUE"""),"https://drive.google.com/drive/folders/10T2cTQHqEJZqE-st6uFKPoI?usp=share_link")</f>
        <v>https://drive.google.com/drive/folders/10T2cTQHqEJZqE-st6uFKPoI?usp=share_link</v>
      </c>
      <c r="P11" s="6" t="str">
        <f>IFERROR(__xludf.DUMMYFUNCTION("""COMPUTED_VALUE"""),"Lenora Lovell")</f>
        <v>Lenora Lovell</v>
      </c>
      <c r="Q11" s="6" t="str">
        <f>IFERROR(__xludf.DUMMYFUNCTION("""COMPUTED_VALUE"""),"MS")</f>
        <v>MS</v>
      </c>
      <c r="R11" s="6">
        <f>IFERROR(__xludf.DUMMYFUNCTION("""COMPUTED_VALUE"""),0.0)</f>
        <v>0</v>
      </c>
      <c r="S11" s="6" t="str">
        <f>IFERROR(__xludf.DUMMYFUNCTION("""COMPUTED_VALUE""")," ")</f>
        <v> </v>
      </c>
      <c r="T11" s="6" t="str">
        <f>IFERROR(__xludf.DUMMYFUNCTION("""COMPUTED_VALUE"""),"")</f>
        <v/>
      </c>
      <c r="U11" s="6" t="str">
        <f>IFERROR(__xludf.DUMMYFUNCTION("""COMPUTED_VALUE"""),"6")</f>
        <v>6</v>
      </c>
      <c r="V11" s="6" t="str">
        <f>IFERROR(__xludf.DUMMYFUNCTION("""COMPUTED_VALUE"""),"")</f>
        <v/>
      </c>
      <c r="W11" s="6" t="str">
        <f>IFERROR(__xludf.DUMMYFUNCTION("""COMPUTED_VALUE"""),"[]")</f>
        <v>[]</v>
      </c>
      <c r="X11" s="6" t="str">
        <f>IFERROR(__xludf.DUMMYFUNCTION("""COMPUTED_VALUE"""),"Enrolled")</f>
        <v>Enrolled</v>
      </c>
    </row>
    <row r="12">
      <c r="A12" s="6" t="str">
        <f>IFERROR(__xludf.DUMMYFUNCTION("""COMPUTED_VALUE"""),"000-10008")</f>
        <v>000-10008</v>
      </c>
      <c r="B12" s="6" t="str">
        <f>IFERROR(__xludf.DUMMYFUNCTION("""COMPUTED_VALUE"""),"0")</f>
        <v>0</v>
      </c>
      <c r="C12" s="6" t="str">
        <f>IFERROR(__xludf.DUMMYFUNCTION("""COMPUTED_VALUE"""),"10008")</f>
        <v>10008</v>
      </c>
      <c r="D12" s="6" t="str">
        <f>IFERROR(__xludf.DUMMYFUNCTION("""COMPUTED_VALUE"""),"Quinn")</f>
        <v>Quinn</v>
      </c>
      <c r="E12" s="6" t="str">
        <f>IFERROR(__xludf.DUMMYFUNCTION("""COMPUTED_VALUE"""),"")</f>
        <v/>
      </c>
      <c r="F12" s="6" t="str">
        <f>IFERROR(__xludf.DUMMYFUNCTION("""COMPUTED_VALUE"""),"Kirby")</f>
        <v>Kirby</v>
      </c>
      <c r="G12" s="6" t="str">
        <f>IFERROR(__xludf.DUMMYFUNCTION("""COMPUTED_VALUE"""),"04/24/2015")</f>
        <v>04/24/2015</v>
      </c>
      <c r="H12" s="6" t="str">
        <f>IFERROR(__xludf.DUMMYFUNCTION("""COMPUTED_VALUE"""),"male")</f>
        <v>male</v>
      </c>
      <c r="I12" s="6" t="str">
        <f>IFERROR(__xludf.DUMMYFUNCTION("""COMPUTED_VALUE"""),"Level 2")</f>
        <v>Level 2</v>
      </c>
      <c r="J12" s="6" t="str">
        <f>IFERROR(__xludf.DUMMYFUNCTION("""COMPUTED_VALUE"""),"5")</f>
        <v>5</v>
      </c>
      <c r="K12" s="6" t="str">
        <f>IFERROR(__xludf.DUMMYFUNCTION("""COMPUTED_VALUE"""),"quinn.kirby@2hourlearning.com")</f>
        <v>quinn.kirby@2hourlearning.com</v>
      </c>
      <c r="L12" s="6" t="str">
        <f>IFERROR(__xludf.DUMMYFUNCTION("""COMPUTED_VALUE"""),"Alpha Anywhere (homeschool)")</f>
        <v>Alpha Anywhere (homeschool)</v>
      </c>
      <c r="M12" s="6" t="str">
        <f>IFERROR(__xludf.DUMMYFUNCTION("""COMPUTED_VALUE"""),"")</f>
        <v/>
      </c>
      <c r="N12" s="6" t="str">
        <f>IFERROR(__xludf.DUMMYFUNCTION("""COMPUTED_VALUE"""),"")</f>
        <v/>
      </c>
      <c r="O12" s="87" t="str">
        <f>IFERROR(__xludf.DUMMYFUNCTION("""COMPUTED_VALUE"""),"https://drive.google.com/drive/folders/10T2cTQHqEJZqE-st6uFKPoI?usp=share_link")</f>
        <v>https://drive.google.com/drive/folders/10T2cTQHqEJZqE-st6uFKPoI?usp=share_link</v>
      </c>
      <c r="P12" s="6" t="str">
        <f>IFERROR(__xludf.DUMMYFUNCTION("""COMPUTED_VALUE"""),"Quinn Kirby")</f>
        <v>Quinn Kirby</v>
      </c>
      <c r="Q12" s="6" t="str">
        <f>IFERROR(__xludf.DUMMYFUNCTION("""COMPUTED_VALUE"""),"L2")</f>
        <v>L2</v>
      </c>
      <c r="R12" s="6">
        <f>IFERROR(__xludf.DUMMYFUNCTION("""COMPUTED_VALUE"""),2.0)</f>
        <v>2</v>
      </c>
      <c r="S12" s="6" t="str">
        <f>IFERROR(__xludf.DUMMYFUNCTION("""COMPUTED_VALUE""")," ")</f>
        <v> </v>
      </c>
      <c r="T12" s="6" t="str">
        <f>IFERROR(__xludf.DUMMYFUNCTION("""COMPUTED_VALUE"""),"")</f>
        <v/>
      </c>
      <c r="U12" s="6" t="str">
        <f>IFERROR(__xludf.DUMMYFUNCTION("""COMPUTED_VALUE"""),"5")</f>
        <v>5</v>
      </c>
      <c r="V12" s="6" t="str">
        <f>IFERROR(__xludf.DUMMYFUNCTION("""COMPUTED_VALUE"""),"")</f>
        <v/>
      </c>
      <c r="W12" s="6" t="str">
        <f>IFERROR(__xludf.DUMMYFUNCTION("""COMPUTED_VALUE"""),"[]")</f>
        <v>[]</v>
      </c>
      <c r="X12" s="6" t="str">
        <f>IFERROR(__xludf.DUMMYFUNCTION("""COMPUTED_VALUE"""),"Enrolled")</f>
        <v>Enrolled</v>
      </c>
    </row>
    <row r="13">
      <c r="A13" s="6" t="str">
        <f>IFERROR(__xludf.DUMMYFUNCTION("""COMPUTED_VALUE"""),"000-10035")</f>
        <v>000-10035</v>
      </c>
      <c r="B13" s="6" t="str">
        <f>IFERROR(__xludf.DUMMYFUNCTION("""COMPUTED_VALUE"""),"0")</f>
        <v>0</v>
      </c>
      <c r="C13" s="6" t="str">
        <f>IFERROR(__xludf.DUMMYFUNCTION("""COMPUTED_VALUE"""),"10035")</f>
        <v>10035</v>
      </c>
      <c r="D13" s="6" t="str">
        <f>IFERROR(__xludf.DUMMYFUNCTION("""COMPUTED_VALUE"""),"Sullavan")</f>
        <v>Sullavan</v>
      </c>
      <c r="E13" s="6" t="str">
        <f>IFERROR(__xludf.DUMMYFUNCTION("""COMPUTED_VALUE"""),"")</f>
        <v/>
      </c>
      <c r="F13" s="6" t="str">
        <f>IFERROR(__xludf.DUMMYFUNCTION("""COMPUTED_VALUE"""),"Sutton")</f>
        <v>Sutton</v>
      </c>
      <c r="G13" s="6" t="str">
        <f>IFERROR(__xludf.DUMMYFUNCTION("""COMPUTED_VALUE"""),"10/02/2013")</f>
        <v>10/02/2013</v>
      </c>
      <c r="H13" s="6" t="str">
        <f>IFERROR(__xludf.DUMMYFUNCTION("""COMPUTED_VALUE"""),"female")</f>
        <v>female</v>
      </c>
      <c r="I13" s="6" t="str">
        <f>IFERROR(__xludf.DUMMYFUNCTION("""COMPUTED_VALUE"""),"Middle School")</f>
        <v>Middle School</v>
      </c>
      <c r="J13" s="6" t="str">
        <f>IFERROR(__xludf.DUMMYFUNCTION("""COMPUTED_VALUE"""),"6")</f>
        <v>6</v>
      </c>
      <c r="K13" s="6" t="str">
        <f>IFERROR(__xludf.DUMMYFUNCTION("""COMPUTED_VALUE"""),"sullavan.sutton@2hourlearning.com")</f>
        <v>sullavan.sutton@2hourlearning.com</v>
      </c>
      <c r="L13" s="6" t="str">
        <f>IFERROR(__xludf.DUMMYFUNCTION("""COMPUTED_VALUE"""),"Alpha Anywhere (homeschool)")</f>
        <v>Alpha Anywhere (homeschool)</v>
      </c>
      <c r="M13" s="6" t="str">
        <f>IFERROR(__xludf.DUMMYFUNCTION("""COMPUTED_VALUE"""),"")</f>
        <v/>
      </c>
      <c r="N13" s="6" t="str">
        <f>IFERROR(__xludf.DUMMYFUNCTION("""COMPUTED_VALUE"""),"")</f>
        <v/>
      </c>
      <c r="O13" s="87" t="str">
        <f>IFERROR(__xludf.DUMMYFUNCTION("""COMPUTED_VALUE"""),"https://drive.google.com/drive/folders/10T2cTQHqEJZqE-st6uFKPoI?usp=share_link")</f>
        <v>https://drive.google.com/drive/folders/10T2cTQHqEJZqE-st6uFKPoI?usp=share_link</v>
      </c>
      <c r="P13" s="6" t="str">
        <f>IFERROR(__xludf.DUMMYFUNCTION("""COMPUTED_VALUE"""),"Sullavan Sutton")</f>
        <v>Sullavan Sutton</v>
      </c>
      <c r="Q13" s="6" t="str">
        <f>IFERROR(__xludf.DUMMYFUNCTION("""COMPUTED_VALUE"""),"MS")</f>
        <v>MS</v>
      </c>
      <c r="R13" s="6">
        <f>IFERROR(__xludf.DUMMYFUNCTION("""COMPUTED_VALUE"""),0.0)</f>
        <v>0</v>
      </c>
      <c r="S13" s="6" t="str">
        <f>IFERROR(__xludf.DUMMYFUNCTION("""COMPUTED_VALUE""")," ")</f>
        <v> </v>
      </c>
      <c r="T13" s="6" t="str">
        <f>IFERROR(__xludf.DUMMYFUNCTION("""COMPUTED_VALUE"""),"")</f>
        <v/>
      </c>
      <c r="U13" s="6" t="str">
        <f>IFERROR(__xludf.DUMMYFUNCTION("""COMPUTED_VALUE"""),"6")</f>
        <v>6</v>
      </c>
      <c r="V13" s="6" t="str">
        <f>IFERROR(__xludf.DUMMYFUNCTION("""COMPUTED_VALUE"""),"")</f>
        <v/>
      </c>
      <c r="W13" s="6" t="str">
        <f>IFERROR(__xludf.DUMMYFUNCTION("""COMPUTED_VALUE"""),"[]")</f>
        <v>[]</v>
      </c>
      <c r="X13" s="6" t="str">
        <f>IFERROR(__xludf.DUMMYFUNCTION("""COMPUTED_VALUE"""),"Enrolled")</f>
        <v>Enrolled</v>
      </c>
    </row>
    <row r="14">
      <c r="A14" s="6" t="str">
        <f>IFERROR(__xludf.DUMMYFUNCTION("""COMPUTED_VALUE"""),"000-10037")</f>
        <v>000-10037</v>
      </c>
      <c r="B14" s="6" t="str">
        <f>IFERROR(__xludf.DUMMYFUNCTION("""COMPUTED_VALUE"""),"0")</f>
        <v>0</v>
      </c>
      <c r="C14" s="6" t="str">
        <f>IFERROR(__xludf.DUMMYFUNCTION("""COMPUTED_VALUE"""),"10037")</f>
        <v>10037</v>
      </c>
      <c r="D14" s="6" t="str">
        <f>IFERROR(__xludf.DUMMYFUNCTION("""COMPUTED_VALUE"""),"Sawyer")</f>
        <v>Sawyer</v>
      </c>
      <c r="E14" s="6" t="str">
        <f>IFERROR(__xludf.DUMMYFUNCTION("""COMPUTED_VALUE"""),"")</f>
        <v/>
      </c>
      <c r="F14" s="6" t="str">
        <f>IFERROR(__xludf.DUMMYFUNCTION("""COMPUTED_VALUE"""),"Sutton")</f>
        <v>Sutton</v>
      </c>
      <c r="G14" s="6" t="str">
        <f>IFERROR(__xludf.DUMMYFUNCTION("""COMPUTED_VALUE"""),"06/09/2015")</f>
        <v>06/09/2015</v>
      </c>
      <c r="H14" s="6" t="str">
        <f>IFERROR(__xludf.DUMMYFUNCTION("""COMPUTED_VALUE"""),"female")</f>
        <v>female</v>
      </c>
      <c r="I14" s="6" t="str">
        <f>IFERROR(__xludf.DUMMYFUNCTION("""COMPUTED_VALUE"""),"Level 2")</f>
        <v>Level 2</v>
      </c>
      <c r="J14" s="6" t="str">
        <f>IFERROR(__xludf.DUMMYFUNCTION("""COMPUTED_VALUE"""),"5")</f>
        <v>5</v>
      </c>
      <c r="K14" s="6" t="str">
        <f>IFERROR(__xludf.DUMMYFUNCTION("""COMPUTED_VALUE"""),"sawyer.sutton@2hourlearning.com")</f>
        <v>sawyer.sutton@2hourlearning.com</v>
      </c>
      <c r="L14" s="6" t="str">
        <f>IFERROR(__xludf.DUMMYFUNCTION("""COMPUTED_VALUE"""),"Alpha Anywhere (homeschool)")</f>
        <v>Alpha Anywhere (homeschool)</v>
      </c>
      <c r="M14" s="6" t="str">
        <f>IFERROR(__xludf.DUMMYFUNCTION("""COMPUTED_VALUE"""),"")</f>
        <v/>
      </c>
      <c r="N14" s="6" t="str">
        <f>IFERROR(__xludf.DUMMYFUNCTION("""COMPUTED_VALUE"""),"")</f>
        <v/>
      </c>
      <c r="O14" s="87" t="str">
        <f>IFERROR(__xludf.DUMMYFUNCTION("""COMPUTED_VALUE"""),"https://drive.google.com/drive/folders/10T2cTQHqEJZqE-st6uFKPoI?usp=share_link")</f>
        <v>https://drive.google.com/drive/folders/10T2cTQHqEJZqE-st6uFKPoI?usp=share_link</v>
      </c>
      <c r="P14" s="6" t="str">
        <f>IFERROR(__xludf.DUMMYFUNCTION("""COMPUTED_VALUE"""),"Sawyer Sutton")</f>
        <v>Sawyer Sutton</v>
      </c>
      <c r="Q14" s="6" t="str">
        <f>IFERROR(__xludf.DUMMYFUNCTION("""COMPUTED_VALUE"""),"L2")</f>
        <v>L2</v>
      </c>
      <c r="R14" s="6">
        <f>IFERROR(__xludf.DUMMYFUNCTION("""COMPUTED_VALUE"""),2.0)</f>
        <v>2</v>
      </c>
      <c r="S14" s="6" t="str">
        <f>IFERROR(__xludf.DUMMYFUNCTION("""COMPUTED_VALUE""")," ")</f>
        <v> </v>
      </c>
      <c r="T14" s="6" t="str">
        <f>IFERROR(__xludf.DUMMYFUNCTION("""COMPUTED_VALUE"""),"")</f>
        <v/>
      </c>
      <c r="U14" s="6" t="str">
        <f>IFERROR(__xludf.DUMMYFUNCTION("""COMPUTED_VALUE"""),"5")</f>
        <v>5</v>
      </c>
      <c r="V14" s="6" t="str">
        <f>IFERROR(__xludf.DUMMYFUNCTION("""COMPUTED_VALUE"""),"")</f>
        <v/>
      </c>
      <c r="W14" s="6" t="str">
        <f>IFERROR(__xludf.DUMMYFUNCTION("""COMPUTED_VALUE"""),"[]")</f>
        <v>[]</v>
      </c>
      <c r="X14" s="6" t="str">
        <f>IFERROR(__xludf.DUMMYFUNCTION("""COMPUTED_VALUE"""),"Enrolled")</f>
        <v>Enrolled</v>
      </c>
    </row>
    <row r="15">
      <c r="A15" s="6" t="str">
        <f>IFERROR(__xludf.DUMMYFUNCTION("""COMPUTED_VALUE"""),"000-10246")</f>
        <v>000-10246</v>
      </c>
      <c r="B15" s="6" t="str">
        <f>IFERROR(__xludf.DUMMYFUNCTION("""COMPUTED_VALUE"""),"0")</f>
        <v>0</v>
      </c>
      <c r="C15" s="6" t="str">
        <f>IFERROR(__xludf.DUMMYFUNCTION("""COMPUTED_VALUE"""),"10246")</f>
        <v>10246</v>
      </c>
      <c r="D15" s="6" t="str">
        <f>IFERROR(__xludf.DUMMYFUNCTION("""COMPUTED_VALUE"""),"Anna")</f>
        <v>Anna</v>
      </c>
      <c r="E15" s="6" t="str">
        <f>IFERROR(__xludf.DUMMYFUNCTION("""COMPUTED_VALUE"""),"")</f>
        <v/>
      </c>
      <c r="F15" s="6" t="str">
        <f>IFERROR(__xludf.DUMMYFUNCTION("""COMPUTED_VALUE"""),"Smith")</f>
        <v>Smith</v>
      </c>
      <c r="G15" s="6" t="str">
        <f>IFERROR(__xludf.DUMMYFUNCTION("""COMPUTED_VALUE"""),"01/21/2013")</f>
        <v>01/21/2013</v>
      </c>
      <c r="H15" s="6" t="str">
        <f>IFERROR(__xludf.DUMMYFUNCTION("""COMPUTED_VALUE"""),"unspecified")</f>
        <v>unspecified</v>
      </c>
      <c r="I15" s="6" t="str">
        <f>IFERROR(__xludf.DUMMYFUNCTION("""COMPUTED_VALUE"""),"Middle School")</f>
        <v>Middle School</v>
      </c>
      <c r="J15" s="6" t="str">
        <f>IFERROR(__xludf.DUMMYFUNCTION("""COMPUTED_VALUE"""),"7")</f>
        <v>7</v>
      </c>
      <c r="K15" s="6" t="str">
        <f>IFERROR(__xludf.DUMMYFUNCTION("""COMPUTED_VALUE"""),"anna.smith@2hourlearning.com")</f>
        <v>anna.smith@2hourlearning.com</v>
      </c>
      <c r="L15" s="6" t="str">
        <f>IFERROR(__xludf.DUMMYFUNCTION("""COMPUTED_VALUE"""),"Alpha Anywhere (homeschool)")</f>
        <v>Alpha Anywhere (homeschool)</v>
      </c>
      <c r="M15" s="6" t="str">
        <f>IFERROR(__xludf.DUMMYFUNCTION("""COMPUTED_VALUE"""),"")</f>
        <v/>
      </c>
      <c r="N15" s="6" t="str">
        <f>IFERROR(__xludf.DUMMYFUNCTION("""COMPUTED_VALUE"""),"")</f>
        <v/>
      </c>
      <c r="O15" s="87" t="str">
        <f>IFERROR(__xludf.DUMMYFUNCTION("""COMPUTED_VALUE"""),"https://drive.google.com/drive/folders/10T2cTQHqEJZqE-st6uFKPoI?usp=share_link")</f>
        <v>https://drive.google.com/drive/folders/10T2cTQHqEJZqE-st6uFKPoI?usp=share_link</v>
      </c>
      <c r="P15" s="6" t="str">
        <f>IFERROR(__xludf.DUMMYFUNCTION("""COMPUTED_VALUE"""),"Anna Smith")</f>
        <v>Anna Smith</v>
      </c>
      <c r="Q15" s="6" t="str">
        <f>IFERROR(__xludf.DUMMYFUNCTION("""COMPUTED_VALUE"""),"MS")</f>
        <v>MS</v>
      </c>
      <c r="R15" s="6">
        <f>IFERROR(__xludf.DUMMYFUNCTION("""COMPUTED_VALUE"""),0.0)</f>
        <v>0</v>
      </c>
      <c r="S15" s="6" t="str">
        <f>IFERROR(__xludf.DUMMYFUNCTION("""COMPUTED_VALUE""")," ")</f>
        <v> </v>
      </c>
      <c r="T15" s="6" t="str">
        <f>IFERROR(__xludf.DUMMYFUNCTION("""COMPUTED_VALUE"""),"")</f>
        <v/>
      </c>
      <c r="U15" s="6" t="str">
        <f>IFERROR(__xludf.DUMMYFUNCTION("""COMPUTED_VALUE"""),"7")</f>
        <v>7</v>
      </c>
      <c r="V15" s="6" t="str">
        <f>IFERROR(__xludf.DUMMYFUNCTION("""COMPUTED_VALUE"""),"")</f>
        <v/>
      </c>
      <c r="W15" s="6" t="str">
        <f>IFERROR(__xludf.DUMMYFUNCTION("""COMPUTED_VALUE"""),"[]")</f>
        <v>[]</v>
      </c>
      <c r="X15" s="6" t="str">
        <f>IFERROR(__xludf.DUMMYFUNCTION("""COMPUTED_VALUE"""),"Enrolled")</f>
        <v>Enrolled</v>
      </c>
    </row>
    <row r="16">
      <c r="A16" s="6" t="str">
        <f>IFERROR(__xludf.DUMMYFUNCTION("""COMPUTED_VALUE"""),"000-10247")</f>
        <v>000-10247</v>
      </c>
      <c r="B16" s="6" t="str">
        <f>IFERROR(__xludf.DUMMYFUNCTION("""COMPUTED_VALUE"""),"0")</f>
        <v>0</v>
      </c>
      <c r="C16" s="6" t="str">
        <f>IFERROR(__xludf.DUMMYFUNCTION("""COMPUTED_VALUE"""),"10247")</f>
        <v>10247</v>
      </c>
      <c r="D16" s="6" t="str">
        <f>IFERROR(__xludf.DUMMYFUNCTION("""COMPUTED_VALUE"""),"Claire")</f>
        <v>Claire</v>
      </c>
      <c r="E16" s="6" t="str">
        <f>IFERROR(__xludf.DUMMYFUNCTION("""COMPUTED_VALUE"""),"")</f>
        <v/>
      </c>
      <c r="F16" s="6" t="str">
        <f>IFERROR(__xludf.DUMMYFUNCTION("""COMPUTED_VALUE"""),"Smith")</f>
        <v>Smith</v>
      </c>
      <c r="G16" s="6" t="str">
        <f>IFERROR(__xludf.DUMMYFUNCTION("""COMPUTED_VALUE"""),"07/21/2017")</f>
        <v>07/21/2017</v>
      </c>
      <c r="H16" s="6" t="str">
        <f>IFERROR(__xludf.DUMMYFUNCTION("""COMPUTED_VALUE"""),"unspecified")</f>
        <v>unspecified</v>
      </c>
      <c r="I16" s="6" t="str">
        <f>IFERROR(__xludf.DUMMYFUNCTION("""COMPUTED_VALUE"""),"Level 1")</f>
        <v>Level 1</v>
      </c>
      <c r="J16" s="6" t="str">
        <f>IFERROR(__xludf.DUMMYFUNCTION("""COMPUTED_VALUE"""),"3")</f>
        <v>3</v>
      </c>
      <c r="K16" s="6" t="str">
        <f>IFERROR(__xludf.DUMMYFUNCTION("""COMPUTED_VALUE"""),"claire.smith@2hourlearning.com")</f>
        <v>claire.smith@2hourlearning.com</v>
      </c>
      <c r="L16" s="6" t="str">
        <f>IFERROR(__xludf.DUMMYFUNCTION("""COMPUTED_VALUE"""),"Alpha Anywhere (homeschool)")</f>
        <v>Alpha Anywhere (homeschool)</v>
      </c>
      <c r="M16" s="6" t="str">
        <f>IFERROR(__xludf.DUMMYFUNCTION("""COMPUTED_VALUE"""),"")</f>
        <v/>
      </c>
      <c r="N16" s="6" t="str">
        <f>IFERROR(__xludf.DUMMYFUNCTION("""COMPUTED_VALUE"""),"")</f>
        <v/>
      </c>
      <c r="O16" s="87" t="str">
        <f>IFERROR(__xludf.DUMMYFUNCTION("""COMPUTED_VALUE"""),"https://drive.google.com/drive/folders/10T2cTQHqEJZqE-st6uFKPoI?usp=share_link")</f>
        <v>https://drive.google.com/drive/folders/10T2cTQHqEJZqE-st6uFKPoI?usp=share_link</v>
      </c>
      <c r="P16" s="6" t="str">
        <f>IFERROR(__xludf.DUMMYFUNCTION("""COMPUTED_VALUE"""),"Claire Smith")</f>
        <v>Claire Smith</v>
      </c>
      <c r="Q16" s="6" t="str">
        <f>IFERROR(__xludf.DUMMYFUNCTION("""COMPUTED_VALUE"""),"L1")</f>
        <v>L1</v>
      </c>
      <c r="R16" s="6">
        <f>IFERROR(__xludf.DUMMYFUNCTION("""COMPUTED_VALUE"""),1.0)</f>
        <v>1</v>
      </c>
      <c r="S16" s="6" t="str">
        <f>IFERROR(__xludf.DUMMYFUNCTION("""COMPUTED_VALUE""")," ")</f>
        <v> </v>
      </c>
      <c r="T16" s="6" t="str">
        <f>IFERROR(__xludf.DUMMYFUNCTION("""COMPUTED_VALUE"""),"")</f>
        <v/>
      </c>
      <c r="U16" s="6" t="str">
        <f>IFERROR(__xludf.DUMMYFUNCTION("""COMPUTED_VALUE"""),"3")</f>
        <v>3</v>
      </c>
      <c r="V16" s="6" t="str">
        <f>IFERROR(__xludf.DUMMYFUNCTION("""COMPUTED_VALUE"""),"")</f>
        <v/>
      </c>
      <c r="W16" s="6" t="str">
        <f>IFERROR(__xludf.DUMMYFUNCTION("""COMPUTED_VALUE"""),"[]")</f>
        <v>[]</v>
      </c>
      <c r="X16" s="6" t="str">
        <f>IFERROR(__xludf.DUMMYFUNCTION("""COMPUTED_VALUE"""),"Enrolled")</f>
        <v>Enrolled</v>
      </c>
    </row>
    <row r="17">
      <c r="A17" s="6" t="str">
        <f>IFERROR(__xludf.DUMMYFUNCTION("""COMPUTED_VALUE"""),"000-10268")</f>
        <v>000-10268</v>
      </c>
      <c r="B17" s="6" t="str">
        <f>IFERROR(__xludf.DUMMYFUNCTION("""COMPUTED_VALUE"""),"0")</f>
        <v>0</v>
      </c>
      <c r="C17" s="6" t="str">
        <f>IFERROR(__xludf.DUMMYFUNCTION("""COMPUTED_VALUE"""),"10268")</f>
        <v>10268</v>
      </c>
      <c r="D17" s="6" t="str">
        <f>IFERROR(__xludf.DUMMYFUNCTION("""COMPUTED_VALUE"""),"Sophia")</f>
        <v>Sophia</v>
      </c>
      <c r="E17" s="6" t="str">
        <f>IFERROR(__xludf.DUMMYFUNCTION("""COMPUTED_VALUE"""),"")</f>
        <v/>
      </c>
      <c r="F17" s="6" t="str">
        <f>IFERROR(__xludf.DUMMYFUNCTION("""COMPUTED_VALUE"""),"Schmid")</f>
        <v>Schmid</v>
      </c>
      <c r="G17" s="6" t="str">
        <f>IFERROR(__xludf.DUMMYFUNCTION("""COMPUTED_VALUE"""),"01/09/2018")</f>
        <v>01/09/2018</v>
      </c>
      <c r="H17" s="6" t="str">
        <f>IFERROR(__xludf.DUMMYFUNCTION("""COMPUTED_VALUE"""),"female")</f>
        <v>female</v>
      </c>
      <c r="I17" s="6" t="str">
        <f>IFERROR(__xludf.DUMMYFUNCTION("""COMPUTED_VALUE"""),"Level 1")</f>
        <v>Level 1</v>
      </c>
      <c r="J17" s="6" t="str">
        <f>IFERROR(__xludf.DUMMYFUNCTION("""COMPUTED_VALUE"""),"3")</f>
        <v>3</v>
      </c>
      <c r="K17" s="6" t="str">
        <f>IFERROR(__xludf.DUMMYFUNCTION("""COMPUTED_VALUE"""),"sophia.schmid@2hourlearning.com")</f>
        <v>sophia.schmid@2hourlearning.com</v>
      </c>
      <c r="L17" s="6" t="str">
        <f>IFERROR(__xludf.DUMMYFUNCTION("""COMPUTED_VALUE"""),"Alpha Anywhere (homeschool)")</f>
        <v>Alpha Anywhere (homeschool)</v>
      </c>
      <c r="M17" s="6" t="str">
        <f>IFERROR(__xludf.DUMMYFUNCTION("""COMPUTED_VALUE"""),"")</f>
        <v/>
      </c>
      <c r="N17" s="6" t="str">
        <f>IFERROR(__xludf.DUMMYFUNCTION("""COMPUTED_VALUE"""),"")</f>
        <v/>
      </c>
      <c r="O17" s="87" t="str">
        <f>IFERROR(__xludf.DUMMYFUNCTION("""COMPUTED_VALUE"""),"https://drive.google.com/drive/folders/10T2cTQHqEJZqE-st6uFKPoI?usp=share_link")</f>
        <v>https://drive.google.com/drive/folders/10T2cTQHqEJZqE-st6uFKPoI?usp=share_link</v>
      </c>
      <c r="P17" s="6" t="str">
        <f>IFERROR(__xludf.DUMMYFUNCTION("""COMPUTED_VALUE"""),"Sophia Schmid")</f>
        <v>Sophia Schmid</v>
      </c>
      <c r="Q17" s="6" t="str">
        <f>IFERROR(__xludf.DUMMYFUNCTION("""COMPUTED_VALUE"""),"L1")</f>
        <v>L1</v>
      </c>
      <c r="R17" s="6">
        <f>IFERROR(__xludf.DUMMYFUNCTION("""COMPUTED_VALUE"""),1.0)</f>
        <v>1</v>
      </c>
      <c r="S17" s="6" t="str">
        <f>IFERROR(__xludf.DUMMYFUNCTION("""COMPUTED_VALUE""")," ")</f>
        <v> </v>
      </c>
      <c r="T17" s="6" t="str">
        <f>IFERROR(__xludf.DUMMYFUNCTION("""COMPUTED_VALUE"""),"")</f>
        <v/>
      </c>
      <c r="U17" s="6" t="str">
        <f>IFERROR(__xludf.DUMMYFUNCTION("""COMPUTED_VALUE"""),"3")</f>
        <v>3</v>
      </c>
      <c r="V17" s="6" t="str">
        <f>IFERROR(__xludf.DUMMYFUNCTION("""COMPUTED_VALUE"""),"")</f>
        <v/>
      </c>
      <c r="W17" s="6" t="str">
        <f>IFERROR(__xludf.DUMMYFUNCTION("""COMPUTED_VALUE"""),"[]")</f>
        <v>[]</v>
      </c>
      <c r="X17" s="6" t="str">
        <f>IFERROR(__xludf.DUMMYFUNCTION("""COMPUTED_VALUE"""),"Enrolled")</f>
        <v>Enrolled</v>
      </c>
    </row>
    <row r="18">
      <c r="A18" s="6" t="str">
        <f>IFERROR(__xludf.DUMMYFUNCTION("""COMPUTED_VALUE"""),"000-10269")</f>
        <v>000-10269</v>
      </c>
      <c r="B18" s="6" t="str">
        <f>IFERROR(__xludf.DUMMYFUNCTION("""COMPUTED_VALUE"""),"0")</f>
        <v>0</v>
      </c>
      <c r="C18" s="6" t="str">
        <f>IFERROR(__xludf.DUMMYFUNCTION("""COMPUTED_VALUE"""),"10269")</f>
        <v>10269</v>
      </c>
      <c r="D18" s="6" t="str">
        <f>IFERROR(__xludf.DUMMYFUNCTION("""COMPUTED_VALUE"""),"Bob")</f>
        <v>Bob</v>
      </c>
      <c r="E18" s="6" t="str">
        <f>IFERROR(__xludf.DUMMYFUNCTION("""COMPUTED_VALUE"""),"")</f>
        <v/>
      </c>
      <c r="F18" s="6" t="str">
        <f>IFERROR(__xludf.DUMMYFUNCTION("""COMPUTED_VALUE"""),"Schmid")</f>
        <v>Schmid</v>
      </c>
      <c r="G18" s="6" t="str">
        <f>IFERROR(__xludf.DUMMYFUNCTION("""COMPUTED_VALUE"""),"01/09/2018")</f>
        <v>01/09/2018</v>
      </c>
      <c r="H18" s="6" t="str">
        <f>IFERROR(__xludf.DUMMYFUNCTION("""COMPUTED_VALUE"""),"female")</f>
        <v>female</v>
      </c>
      <c r="I18" s="6" t="str">
        <f>IFERROR(__xludf.DUMMYFUNCTION("""COMPUTED_VALUE"""),"Level 1")</f>
        <v>Level 1</v>
      </c>
      <c r="J18" s="6" t="str">
        <f>IFERROR(__xludf.DUMMYFUNCTION("""COMPUTED_VALUE"""),"3")</f>
        <v>3</v>
      </c>
      <c r="K18" s="6" t="str">
        <f>IFERROR(__xludf.DUMMYFUNCTION("""COMPUTED_VALUE"""),"bob.schmid@2hourlearning.com")</f>
        <v>bob.schmid@2hourlearning.com</v>
      </c>
      <c r="L18" s="6" t="str">
        <f>IFERROR(__xludf.DUMMYFUNCTION("""COMPUTED_VALUE"""),"Alpha Anywhere (homeschool)")</f>
        <v>Alpha Anywhere (homeschool)</v>
      </c>
      <c r="M18" s="6" t="str">
        <f>IFERROR(__xludf.DUMMYFUNCTION("""COMPUTED_VALUE"""),"")</f>
        <v/>
      </c>
      <c r="N18" s="6" t="str">
        <f>IFERROR(__xludf.DUMMYFUNCTION("""COMPUTED_VALUE"""),"")</f>
        <v/>
      </c>
      <c r="O18" s="87" t="str">
        <f>IFERROR(__xludf.DUMMYFUNCTION("""COMPUTED_VALUE"""),"https://drive.google.com/drive/folders/10T2cTQHqEJZqE-st6uFKPoI?usp=share_link")</f>
        <v>https://drive.google.com/drive/folders/10T2cTQHqEJZqE-st6uFKPoI?usp=share_link</v>
      </c>
      <c r="P18" s="6" t="str">
        <f>IFERROR(__xludf.DUMMYFUNCTION("""COMPUTED_VALUE"""),"Bob Schmid")</f>
        <v>Bob Schmid</v>
      </c>
      <c r="Q18" s="6" t="str">
        <f>IFERROR(__xludf.DUMMYFUNCTION("""COMPUTED_VALUE"""),"L1")</f>
        <v>L1</v>
      </c>
      <c r="R18" s="6">
        <f>IFERROR(__xludf.DUMMYFUNCTION("""COMPUTED_VALUE"""),1.0)</f>
        <v>1</v>
      </c>
      <c r="S18" s="6" t="str">
        <f>IFERROR(__xludf.DUMMYFUNCTION("""COMPUTED_VALUE""")," ")</f>
        <v> </v>
      </c>
      <c r="T18" s="6" t="str">
        <f>IFERROR(__xludf.DUMMYFUNCTION("""COMPUTED_VALUE"""),"")</f>
        <v/>
      </c>
      <c r="U18" s="6" t="str">
        <f>IFERROR(__xludf.DUMMYFUNCTION("""COMPUTED_VALUE"""),"3")</f>
        <v>3</v>
      </c>
      <c r="V18" s="6" t="str">
        <f>IFERROR(__xludf.DUMMYFUNCTION("""COMPUTED_VALUE"""),"")</f>
        <v/>
      </c>
      <c r="W18" s="6" t="str">
        <f>IFERROR(__xludf.DUMMYFUNCTION("""COMPUTED_VALUE"""),"[]")</f>
        <v>[]</v>
      </c>
      <c r="X18" s="6" t="str">
        <f>IFERROR(__xludf.DUMMYFUNCTION("""COMPUTED_VALUE"""),"Enrolled")</f>
        <v>Enrolled</v>
      </c>
    </row>
    <row r="19">
      <c r="A19" s="6" t="str">
        <f>IFERROR(__xludf.DUMMYFUNCTION("""COMPUTED_VALUE"""),"000-10273")</f>
        <v>000-10273</v>
      </c>
      <c r="B19" s="6" t="str">
        <f>IFERROR(__xludf.DUMMYFUNCTION("""COMPUTED_VALUE"""),"0")</f>
        <v>0</v>
      </c>
      <c r="C19" s="6" t="str">
        <f>IFERROR(__xludf.DUMMYFUNCTION("""COMPUTED_VALUE"""),"10273")</f>
        <v>10273</v>
      </c>
      <c r="D19" s="6" t="str">
        <f>IFERROR(__xludf.DUMMYFUNCTION("""COMPUTED_VALUE"""),"Bristol")</f>
        <v>Bristol</v>
      </c>
      <c r="E19" s="6" t="str">
        <f>IFERROR(__xludf.DUMMYFUNCTION("""COMPUTED_VALUE"""),"")</f>
        <v/>
      </c>
      <c r="F19" s="6" t="str">
        <f>IFERROR(__xludf.DUMMYFUNCTION("""COMPUTED_VALUE"""),"Bates")</f>
        <v>Bates</v>
      </c>
      <c r="G19" s="6" t="str">
        <f>IFERROR(__xludf.DUMMYFUNCTION("""COMPUTED_VALUE"""),"05/21/2013")</f>
        <v>05/21/2013</v>
      </c>
      <c r="H19" s="6" t="str">
        <f>IFERROR(__xludf.DUMMYFUNCTION("""COMPUTED_VALUE"""),"female")</f>
        <v>female</v>
      </c>
      <c r="I19" s="6" t="str">
        <f>IFERROR(__xludf.DUMMYFUNCTION("""COMPUTED_VALUE"""),"Middle School")</f>
        <v>Middle School</v>
      </c>
      <c r="J19" s="6" t="str">
        <f>IFERROR(__xludf.DUMMYFUNCTION("""COMPUTED_VALUE"""),"7")</f>
        <v>7</v>
      </c>
      <c r="K19" s="6" t="str">
        <f>IFERROR(__xludf.DUMMYFUNCTION("""COMPUTED_VALUE"""),"bristol.bates@2hourlearning.com")</f>
        <v>bristol.bates@2hourlearning.com</v>
      </c>
      <c r="L19" s="6" t="str">
        <f>IFERROR(__xludf.DUMMYFUNCTION("""COMPUTED_VALUE"""),"Alpha Anywhere (homeschool)")</f>
        <v>Alpha Anywhere (homeschool)</v>
      </c>
      <c r="M19" s="6" t="str">
        <f>IFERROR(__xludf.DUMMYFUNCTION("""COMPUTED_VALUE"""),"")</f>
        <v/>
      </c>
      <c r="N19" s="6" t="str">
        <f>IFERROR(__xludf.DUMMYFUNCTION("""COMPUTED_VALUE"""),"")</f>
        <v/>
      </c>
      <c r="O19" s="87" t="str">
        <f>IFERROR(__xludf.DUMMYFUNCTION("""COMPUTED_VALUE"""),"https://drive.google.com/drive/folders/10T2cTQHqEJZqE-st6uFKPoI?usp=share_link")</f>
        <v>https://drive.google.com/drive/folders/10T2cTQHqEJZqE-st6uFKPoI?usp=share_link</v>
      </c>
      <c r="P19" s="6" t="str">
        <f>IFERROR(__xludf.DUMMYFUNCTION("""COMPUTED_VALUE"""),"Bristol Bates")</f>
        <v>Bristol Bates</v>
      </c>
      <c r="Q19" s="6" t="str">
        <f>IFERROR(__xludf.DUMMYFUNCTION("""COMPUTED_VALUE"""),"MS")</f>
        <v>MS</v>
      </c>
      <c r="R19" s="6">
        <f>IFERROR(__xludf.DUMMYFUNCTION("""COMPUTED_VALUE"""),0.0)</f>
        <v>0</v>
      </c>
      <c r="S19" s="6" t="str">
        <f>IFERROR(__xludf.DUMMYFUNCTION("""COMPUTED_VALUE""")," ")</f>
        <v> </v>
      </c>
      <c r="T19" s="6" t="str">
        <f>IFERROR(__xludf.DUMMYFUNCTION("""COMPUTED_VALUE"""),"")</f>
        <v/>
      </c>
      <c r="U19" s="6" t="str">
        <f>IFERROR(__xludf.DUMMYFUNCTION("""COMPUTED_VALUE"""),"7")</f>
        <v>7</v>
      </c>
      <c r="V19" s="6" t="str">
        <f>IFERROR(__xludf.DUMMYFUNCTION("""COMPUTED_VALUE"""),"")</f>
        <v/>
      </c>
      <c r="W19" s="6" t="str">
        <f>IFERROR(__xludf.DUMMYFUNCTION("""COMPUTED_VALUE"""),"[]")</f>
        <v>[]</v>
      </c>
      <c r="X19" s="6" t="str">
        <f>IFERROR(__xludf.DUMMYFUNCTION("""COMPUTED_VALUE"""),"Enrolled")</f>
        <v>Enrolled</v>
      </c>
    </row>
    <row r="20">
      <c r="A20" s="6" t="str">
        <f>IFERROR(__xludf.DUMMYFUNCTION("""COMPUTED_VALUE"""),"000-10320")</f>
        <v>000-10320</v>
      </c>
      <c r="B20" s="6" t="str">
        <f>IFERROR(__xludf.DUMMYFUNCTION("""COMPUTED_VALUE"""),"0")</f>
        <v>0</v>
      </c>
      <c r="C20" s="6" t="str">
        <f>IFERROR(__xludf.DUMMYFUNCTION("""COMPUTED_VALUE"""),"10320")</f>
        <v>10320</v>
      </c>
      <c r="D20" s="6" t="str">
        <f>IFERROR(__xludf.DUMMYFUNCTION("""COMPUTED_VALUE"""),"Bishop")</f>
        <v>Bishop</v>
      </c>
      <c r="E20" s="6" t="str">
        <f>IFERROR(__xludf.DUMMYFUNCTION("""COMPUTED_VALUE"""),"")</f>
        <v/>
      </c>
      <c r="F20" s="6" t="str">
        <f>IFERROR(__xludf.DUMMYFUNCTION("""COMPUTED_VALUE"""),"Max")</f>
        <v>Max</v>
      </c>
      <c r="G20" s="6" t="str">
        <f>IFERROR(__xludf.DUMMYFUNCTION("""COMPUTED_VALUE"""),"07/30/2014")</f>
        <v>07/30/2014</v>
      </c>
      <c r="H20" s="6" t="str">
        <f>IFERROR(__xludf.DUMMYFUNCTION("""COMPUTED_VALUE"""),"male")</f>
        <v>male</v>
      </c>
      <c r="I20" s="6" t="str">
        <f>IFERROR(__xludf.DUMMYFUNCTION("""COMPUTED_VALUE"""),"Level 2")</f>
        <v>Level 2</v>
      </c>
      <c r="J20" s="6" t="str">
        <f>IFERROR(__xludf.DUMMYFUNCTION("""COMPUTED_VALUE"""),"5")</f>
        <v>5</v>
      </c>
      <c r="K20" s="6" t="str">
        <f>IFERROR(__xludf.DUMMYFUNCTION("""COMPUTED_VALUE"""),"bishop.max@2hourlearning.com")</f>
        <v>bishop.max@2hourlearning.com</v>
      </c>
      <c r="L20" s="6" t="str">
        <f>IFERROR(__xludf.DUMMYFUNCTION("""COMPUTED_VALUE"""),"Alpha Anywhere (homeschool)")</f>
        <v>Alpha Anywhere (homeschool)</v>
      </c>
      <c r="M20" s="6" t="str">
        <f>IFERROR(__xludf.DUMMYFUNCTION("""COMPUTED_VALUE"""),"")</f>
        <v/>
      </c>
      <c r="N20" s="6" t="str">
        <f>IFERROR(__xludf.DUMMYFUNCTION("""COMPUTED_VALUE"""),"")</f>
        <v/>
      </c>
      <c r="O20" s="87" t="str">
        <f>IFERROR(__xludf.DUMMYFUNCTION("""COMPUTED_VALUE"""),"https://drive.google.com/drive/folders/10T2cTQHqEJZqE-st6uFKPoI?usp=share_link")</f>
        <v>https://drive.google.com/drive/folders/10T2cTQHqEJZqE-st6uFKPoI?usp=share_link</v>
      </c>
      <c r="P20" s="6" t="str">
        <f>IFERROR(__xludf.DUMMYFUNCTION("""COMPUTED_VALUE"""),"Bishop Max")</f>
        <v>Bishop Max</v>
      </c>
      <c r="Q20" s="6" t="str">
        <f>IFERROR(__xludf.DUMMYFUNCTION("""COMPUTED_VALUE"""),"L2")</f>
        <v>L2</v>
      </c>
      <c r="R20" s="6">
        <f>IFERROR(__xludf.DUMMYFUNCTION("""COMPUTED_VALUE"""),2.0)</f>
        <v>2</v>
      </c>
      <c r="S20" s="6" t="str">
        <f>IFERROR(__xludf.DUMMYFUNCTION("""COMPUTED_VALUE""")," ")</f>
        <v> </v>
      </c>
      <c r="T20" s="6" t="str">
        <f>IFERROR(__xludf.DUMMYFUNCTION("""COMPUTED_VALUE"""),"")</f>
        <v/>
      </c>
      <c r="U20" s="6" t="str">
        <f>IFERROR(__xludf.DUMMYFUNCTION("""COMPUTED_VALUE"""),"5")</f>
        <v>5</v>
      </c>
      <c r="V20" s="6" t="str">
        <f>IFERROR(__xludf.DUMMYFUNCTION("""COMPUTED_VALUE"""),"")</f>
        <v/>
      </c>
      <c r="W20" s="6" t="str">
        <f>IFERROR(__xludf.DUMMYFUNCTION("""COMPUTED_VALUE"""),"[]")</f>
        <v>[]</v>
      </c>
      <c r="X20" s="6" t="str">
        <f>IFERROR(__xludf.DUMMYFUNCTION("""COMPUTED_VALUE"""),"Enrolled")</f>
        <v>Enrolled</v>
      </c>
    </row>
    <row r="21">
      <c r="A21" s="6" t="str">
        <f>IFERROR(__xludf.DUMMYFUNCTION("""COMPUTED_VALUE"""),"000-10363")</f>
        <v>000-10363</v>
      </c>
      <c r="B21" s="6" t="str">
        <f>IFERROR(__xludf.DUMMYFUNCTION("""COMPUTED_VALUE"""),"0")</f>
        <v>0</v>
      </c>
      <c r="C21" s="6" t="str">
        <f>IFERROR(__xludf.DUMMYFUNCTION("""COMPUTED_VALUE"""),"10363")</f>
        <v>10363</v>
      </c>
      <c r="D21" s="6" t="str">
        <f>IFERROR(__xludf.DUMMYFUNCTION("""COMPUTED_VALUE"""),"Zack")</f>
        <v>Zack</v>
      </c>
      <c r="E21" s="6" t="str">
        <f>IFERROR(__xludf.DUMMYFUNCTION("""COMPUTED_VALUE"""),"")</f>
        <v/>
      </c>
      <c r="F21" s="6" t="str">
        <f>IFERROR(__xludf.DUMMYFUNCTION("""COMPUTED_VALUE"""),"Hendricks")</f>
        <v>Hendricks</v>
      </c>
      <c r="G21" s="6" t="str">
        <f>IFERROR(__xludf.DUMMYFUNCTION("""COMPUTED_VALUE"""),"04/03/2013")</f>
        <v>04/03/2013</v>
      </c>
      <c r="H21" s="6" t="str">
        <f>IFERROR(__xludf.DUMMYFUNCTION("""COMPUTED_VALUE"""),"unspecified")</f>
        <v>unspecified</v>
      </c>
      <c r="I21" s="6" t="str">
        <f>IFERROR(__xludf.DUMMYFUNCTION("""COMPUTED_VALUE"""),"Middle School")</f>
        <v>Middle School</v>
      </c>
      <c r="J21" s="6" t="str">
        <f>IFERROR(__xludf.DUMMYFUNCTION("""COMPUTED_VALUE"""),"7")</f>
        <v>7</v>
      </c>
      <c r="K21" s="6" t="str">
        <f>IFERROR(__xludf.DUMMYFUNCTION("""COMPUTED_VALUE"""),"zack.hendricks@2hourlearning.com")</f>
        <v>zack.hendricks@2hourlearning.com</v>
      </c>
      <c r="L21" s="6" t="str">
        <f>IFERROR(__xludf.DUMMYFUNCTION("""COMPUTED_VALUE"""),"Alpha Anywhere (homeschool)")</f>
        <v>Alpha Anywhere (homeschool)</v>
      </c>
      <c r="M21" s="6" t="str">
        <f>IFERROR(__xludf.DUMMYFUNCTION("""COMPUTED_VALUE"""),"")</f>
        <v/>
      </c>
      <c r="N21" s="6" t="str">
        <f>IFERROR(__xludf.DUMMYFUNCTION("""COMPUTED_VALUE"""),"")</f>
        <v/>
      </c>
      <c r="O21" s="87" t="str">
        <f>IFERROR(__xludf.DUMMYFUNCTION("""COMPUTED_VALUE"""),"https://drive.google.com/drive/folders/10T2cTQHqEJZqE-st6uFKPoI?usp=share_link")</f>
        <v>https://drive.google.com/drive/folders/10T2cTQHqEJZqE-st6uFKPoI?usp=share_link</v>
      </c>
      <c r="P21" s="6" t="str">
        <f>IFERROR(__xludf.DUMMYFUNCTION("""COMPUTED_VALUE"""),"Zack Hendricks")</f>
        <v>Zack Hendricks</v>
      </c>
      <c r="Q21" s="6" t="str">
        <f>IFERROR(__xludf.DUMMYFUNCTION("""COMPUTED_VALUE"""),"MS")</f>
        <v>MS</v>
      </c>
      <c r="R21" s="6">
        <f>IFERROR(__xludf.DUMMYFUNCTION("""COMPUTED_VALUE"""),0.0)</f>
        <v>0</v>
      </c>
      <c r="S21" s="6" t="str">
        <f>IFERROR(__xludf.DUMMYFUNCTION("""COMPUTED_VALUE""")," ")</f>
        <v> </v>
      </c>
      <c r="T21" s="6" t="str">
        <f>IFERROR(__xludf.DUMMYFUNCTION("""COMPUTED_VALUE"""),"")</f>
        <v/>
      </c>
      <c r="U21" s="6" t="str">
        <f>IFERROR(__xludf.DUMMYFUNCTION("""COMPUTED_VALUE"""),"7")</f>
        <v>7</v>
      </c>
      <c r="V21" s="6" t="str">
        <f>IFERROR(__xludf.DUMMYFUNCTION("""COMPUTED_VALUE"""),"")</f>
        <v/>
      </c>
      <c r="W21" s="6" t="str">
        <f>IFERROR(__xludf.DUMMYFUNCTION("""COMPUTED_VALUE"""),"[]")</f>
        <v>[]</v>
      </c>
      <c r="X21" s="6" t="str">
        <f>IFERROR(__xludf.DUMMYFUNCTION("""COMPUTED_VALUE"""),"Enrolled")</f>
        <v>Enrolled</v>
      </c>
    </row>
    <row r="22">
      <c r="A22" s="6" t="str">
        <f>IFERROR(__xludf.DUMMYFUNCTION("""COMPUTED_VALUE"""),"000-10376")</f>
        <v>000-10376</v>
      </c>
      <c r="B22" s="6" t="str">
        <f>IFERROR(__xludf.DUMMYFUNCTION("""COMPUTED_VALUE"""),"0")</f>
        <v>0</v>
      </c>
      <c r="C22" s="6" t="str">
        <f>IFERROR(__xludf.DUMMYFUNCTION("""COMPUTED_VALUE"""),"10376")</f>
        <v>10376</v>
      </c>
      <c r="D22" s="6" t="str">
        <f>IFERROR(__xludf.DUMMYFUNCTION("""COMPUTED_VALUE"""),"Jesus")</f>
        <v>Jesus</v>
      </c>
      <c r="E22" s="6" t="str">
        <f>IFERROR(__xludf.DUMMYFUNCTION("""COMPUTED_VALUE"""),"")</f>
        <v/>
      </c>
      <c r="F22" s="6" t="str">
        <f>IFERROR(__xludf.DUMMYFUNCTION("""COMPUTED_VALUE"""),"Macias")</f>
        <v>Macias</v>
      </c>
      <c r="G22" s="6" t="str">
        <f>IFERROR(__xludf.DUMMYFUNCTION("""COMPUTED_VALUE"""),"12/16/2017")</f>
        <v>12/16/2017</v>
      </c>
      <c r="H22" s="6" t="str">
        <f>IFERROR(__xludf.DUMMYFUNCTION("""COMPUTED_VALUE"""),"male")</f>
        <v>male</v>
      </c>
      <c r="I22" s="6" t="str">
        <f>IFERROR(__xludf.DUMMYFUNCTION("""COMPUTED_VALUE"""),"Level 1")</f>
        <v>Level 1</v>
      </c>
      <c r="J22" s="6" t="str">
        <f>IFERROR(__xludf.DUMMYFUNCTION("""COMPUTED_VALUE"""),"2")</f>
        <v>2</v>
      </c>
      <c r="K22" s="6" t="str">
        <f>IFERROR(__xludf.DUMMYFUNCTION("""COMPUTED_VALUE"""),"jesus.macias@2hourlearning.com")</f>
        <v>jesus.macias@2hourlearning.com</v>
      </c>
      <c r="L22" s="6" t="str">
        <f>IFERROR(__xludf.DUMMYFUNCTION("""COMPUTED_VALUE"""),"Alpha Anywhere (homeschool)")</f>
        <v>Alpha Anywhere (homeschool)</v>
      </c>
      <c r="M22" s="6" t="str">
        <f>IFERROR(__xludf.DUMMYFUNCTION("""COMPUTED_VALUE"""),"")</f>
        <v/>
      </c>
      <c r="N22" s="6" t="str">
        <f>IFERROR(__xludf.DUMMYFUNCTION("""COMPUTED_VALUE"""),"")</f>
        <v/>
      </c>
      <c r="O22" s="87" t="str">
        <f>IFERROR(__xludf.DUMMYFUNCTION("""COMPUTED_VALUE"""),"https://drive.google.com/drive/folders/10T2cTQHqEJZqE-st6uFKPoI?usp=share_link")</f>
        <v>https://drive.google.com/drive/folders/10T2cTQHqEJZqE-st6uFKPoI?usp=share_link</v>
      </c>
      <c r="P22" s="6" t="str">
        <f>IFERROR(__xludf.DUMMYFUNCTION("""COMPUTED_VALUE"""),"Jesus Macias")</f>
        <v>Jesus Macias</v>
      </c>
      <c r="Q22" s="6" t="str">
        <f>IFERROR(__xludf.DUMMYFUNCTION("""COMPUTED_VALUE"""),"L1")</f>
        <v>L1</v>
      </c>
      <c r="R22" s="6">
        <f>IFERROR(__xludf.DUMMYFUNCTION("""COMPUTED_VALUE"""),1.0)</f>
        <v>1</v>
      </c>
      <c r="S22" s="6" t="str">
        <f>IFERROR(__xludf.DUMMYFUNCTION("""COMPUTED_VALUE""")," ")</f>
        <v> </v>
      </c>
      <c r="T22" s="6" t="str">
        <f>IFERROR(__xludf.DUMMYFUNCTION("""COMPUTED_VALUE"""),"")</f>
        <v/>
      </c>
      <c r="U22" s="6" t="str">
        <f>IFERROR(__xludf.DUMMYFUNCTION("""COMPUTED_VALUE"""),"2")</f>
        <v>2</v>
      </c>
      <c r="V22" s="6" t="str">
        <f>IFERROR(__xludf.DUMMYFUNCTION("""COMPUTED_VALUE"""),"")</f>
        <v/>
      </c>
      <c r="W22" s="6" t="str">
        <f>IFERROR(__xludf.DUMMYFUNCTION("""COMPUTED_VALUE"""),"[]")</f>
        <v>[]</v>
      </c>
      <c r="X22" s="6" t="str">
        <f>IFERROR(__xludf.DUMMYFUNCTION("""COMPUTED_VALUE"""),"Enrolled")</f>
        <v>Enrolled</v>
      </c>
    </row>
    <row r="23">
      <c r="A23" s="6" t="str">
        <f>IFERROR(__xludf.DUMMYFUNCTION("""COMPUTED_VALUE"""),"000-10394")</f>
        <v>000-10394</v>
      </c>
      <c r="B23" s="6" t="str">
        <f>IFERROR(__xludf.DUMMYFUNCTION("""COMPUTED_VALUE"""),"0")</f>
        <v>0</v>
      </c>
      <c r="C23" s="6" t="str">
        <f>IFERROR(__xludf.DUMMYFUNCTION("""COMPUTED_VALUE"""),"10394")</f>
        <v>10394</v>
      </c>
      <c r="D23" s="6" t="str">
        <f>IFERROR(__xludf.DUMMYFUNCTION("""COMPUTED_VALUE"""),"Anders")</f>
        <v>Anders</v>
      </c>
      <c r="E23" s="6" t="str">
        <f>IFERROR(__xludf.DUMMYFUNCTION("""COMPUTED_VALUE"""),"")</f>
        <v/>
      </c>
      <c r="F23" s="6" t="str">
        <f>IFERROR(__xludf.DUMMYFUNCTION("""COMPUTED_VALUE"""),"Watson")</f>
        <v>Watson</v>
      </c>
      <c r="G23" s="6" t="str">
        <f>IFERROR(__xludf.DUMMYFUNCTION("""COMPUTED_VALUE"""),"06/04/2013")</f>
        <v>06/04/2013</v>
      </c>
      <c r="H23" s="6" t="str">
        <f>IFERROR(__xludf.DUMMYFUNCTION("""COMPUTED_VALUE"""),"female")</f>
        <v>female</v>
      </c>
      <c r="I23" s="6" t="str">
        <f>IFERROR(__xludf.DUMMYFUNCTION("""COMPUTED_VALUE"""),"Middle School")</f>
        <v>Middle School</v>
      </c>
      <c r="J23" s="6" t="str">
        <f>IFERROR(__xludf.DUMMYFUNCTION("""COMPUTED_VALUE"""),"6")</f>
        <v>6</v>
      </c>
      <c r="K23" s="6" t="str">
        <f>IFERROR(__xludf.DUMMYFUNCTION("""COMPUTED_VALUE"""),"anders.watson@2hourlearning.com")</f>
        <v>anders.watson@2hourlearning.com</v>
      </c>
      <c r="L23" s="6" t="str">
        <f>IFERROR(__xludf.DUMMYFUNCTION("""COMPUTED_VALUE"""),"Alpha Anywhere (homeschool)")</f>
        <v>Alpha Anywhere (homeschool)</v>
      </c>
      <c r="M23" s="6" t="str">
        <f>IFERROR(__xludf.DUMMYFUNCTION("""COMPUTED_VALUE"""),"")</f>
        <v/>
      </c>
      <c r="N23" s="6" t="str">
        <f>IFERROR(__xludf.DUMMYFUNCTION("""COMPUTED_VALUE"""),"")</f>
        <v/>
      </c>
      <c r="O23" s="87" t="str">
        <f>IFERROR(__xludf.DUMMYFUNCTION("""COMPUTED_VALUE"""),"https://drive.google.com/drive/folders/10T2cTQHqEJZqE-st6uFKPoI?usp=share_link")</f>
        <v>https://drive.google.com/drive/folders/10T2cTQHqEJZqE-st6uFKPoI?usp=share_link</v>
      </c>
      <c r="P23" s="6" t="str">
        <f>IFERROR(__xludf.DUMMYFUNCTION("""COMPUTED_VALUE"""),"Anders Watson")</f>
        <v>Anders Watson</v>
      </c>
      <c r="Q23" s="6" t="str">
        <f>IFERROR(__xludf.DUMMYFUNCTION("""COMPUTED_VALUE"""),"MS")</f>
        <v>MS</v>
      </c>
      <c r="R23" s="6">
        <f>IFERROR(__xludf.DUMMYFUNCTION("""COMPUTED_VALUE"""),0.0)</f>
        <v>0</v>
      </c>
      <c r="S23" s="6" t="str">
        <f>IFERROR(__xludf.DUMMYFUNCTION("""COMPUTED_VALUE""")," ")</f>
        <v> </v>
      </c>
      <c r="T23" s="6" t="str">
        <f>IFERROR(__xludf.DUMMYFUNCTION("""COMPUTED_VALUE"""),"")</f>
        <v/>
      </c>
      <c r="U23" s="6" t="str">
        <f>IFERROR(__xludf.DUMMYFUNCTION("""COMPUTED_VALUE"""),"6")</f>
        <v>6</v>
      </c>
      <c r="V23" s="6" t="str">
        <f>IFERROR(__xludf.DUMMYFUNCTION("""COMPUTED_VALUE"""),"")</f>
        <v/>
      </c>
      <c r="W23" s="6" t="str">
        <f>IFERROR(__xludf.DUMMYFUNCTION("""COMPUTED_VALUE"""),"[]")</f>
        <v>[]</v>
      </c>
      <c r="X23" s="6" t="str">
        <f>IFERROR(__xludf.DUMMYFUNCTION("""COMPUTED_VALUE"""),"Enrolled")</f>
        <v>Enrolled</v>
      </c>
    </row>
    <row r="24">
      <c r="A24" s="6" t="str">
        <f>IFERROR(__xludf.DUMMYFUNCTION("""COMPUTED_VALUE"""),"000-10400")</f>
        <v>000-10400</v>
      </c>
      <c r="B24" s="6" t="str">
        <f>IFERROR(__xludf.DUMMYFUNCTION("""COMPUTED_VALUE"""),"0")</f>
        <v>0</v>
      </c>
      <c r="C24" s="6" t="str">
        <f>IFERROR(__xludf.DUMMYFUNCTION("""COMPUTED_VALUE"""),"10400")</f>
        <v>10400</v>
      </c>
      <c r="D24" s="6" t="str">
        <f>IFERROR(__xludf.DUMMYFUNCTION("""COMPUTED_VALUE"""),"Michael")</f>
        <v>Michael</v>
      </c>
      <c r="E24" s="6" t="str">
        <f>IFERROR(__xludf.DUMMYFUNCTION("""COMPUTED_VALUE"""),"")</f>
        <v/>
      </c>
      <c r="F24" s="6" t="str">
        <f>IFERROR(__xludf.DUMMYFUNCTION("""COMPUTED_VALUE"""),"Reiner")</f>
        <v>Reiner</v>
      </c>
      <c r="G24" s="6" t="str">
        <f>IFERROR(__xludf.DUMMYFUNCTION("""COMPUTED_VALUE"""),"04/01/2012")</f>
        <v>04/01/2012</v>
      </c>
      <c r="H24" s="6" t="str">
        <f>IFERROR(__xludf.DUMMYFUNCTION("""COMPUTED_VALUE"""),"male")</f>
        <v>male</v>
      </c>
      <c r="I24" s="6" t="str">
        <f>IFERROR(__xludf.DUMMYFUNCTION("""COMPUTED_VALUE"""),"Middle School")</f>
        <v>Middle School</v>
      </c>
      <c r="J24" s="6" t="str">
        <f>IFERROR(__xludf.DUMMYFUNCTION("""COMPUTED_VALUE"""),"8")</f>
        <v>8</v>
      </c>
      <c r="K24" s="6" t="str">
        <f>IFERROR(__xludf.DUMMYFUNCTION("""COMPUTED_VALUE"""),"michael.reiner@2hourlearning.com")</f>
        <v>michael.reiner@2hourlearning.com</v>
      </c>
      <c r="L24" s="6" t="str">
        <f>IFERROR(__xludf.DUMMYFUNCTION("""COMPUTED_VALUE"""),"Alpha Anywhere (homeschool)")</f>
        <v>Alpha Anywhere (homeschool)</v>
      </c>
      <c r="M24" s="6" t="str">
        <f>IFERROR(__xludf.DUMMYFUNCTION("""COMPUTED_VALUE"""),"")</f>
        <v/>
      </c>
      <c r="N24" s="6" t="str">
        <f>IFERROR(__xludf.DUMMYFUNCTION("""COMPUTED_VALUE"""),"")</f>
        <v/>
      </c>
      <c r="O24" s="87" t="str">
        <f>IFERROR(__xludf.DUMMYFUNCTION("""COMPUTED_VALUE"""),"https://drive.google.com/drive/folders/10T2cTQHqEJZqE-st6uFKPoI?usp=share_link")</f>
        <v>https://drive.google.com/drive/folders/10T2cTQHqEJZqE-st6uFKPoI?usp=share_link</v>
      </c>
      <c r="P24" s="6" t="str">
        <f>IFERROR(__xludf.DUMMYFUNCTION("""COMPUTED_VALUE"""),"Michael Reiner")</f>
        <v>Michael Reiner</v>
      </c>
      <c r="Q24" s="6" t="str">
        <f>IFERROR(__xludf.DUMMYFUNCTION("""COMPUTED_VALUE"""),"MS")</f>
        <v>MS</v>
      </c>
      <c r="R24" s="6">
        <f>IFERROR(__xludf.DUMMYFUNCTION("""COMPUTED_VALUE"""),0.0)</f>
        <v>0</v>
      </c>
      <c r="S24" s="6" t="str">
        <f>IFERROR(__xludf.DUMMYFUNCTION("""COMPUTED_VALUE""")," ")</f>
        <v> </v>
      </c>
      <c r="T24" s="6" t="str">
        <f>IFERROR(__xludf.DUMMYFUNCTION("""COMPUTED_VALUE"""),"")</f>
        <v/>
      </c>
      <c r="U24" s="6" t="str">
        <f>IFERROR(__xludf.DUMMYFUNCTION("""COMPUTED_VALUE"""),"8")</f>
        <v>8</v>
      </c>
      <c r="V24" s="6" t="str">
        <f>IFERROR(__xludf.DUMMYFUNCTION("""COMPUTED_VALUE"""),"")</f>
        <v/>
      </c>
      <c r="W24" s="6" t="str">
        <f>IFERROR(__xludf.DUMMYFUNCTION("""COMPUTED_VALUE"""),"[]")</f>
        <v>[]</v>
      </c>
      <c r="X24" s="6" t="str">
        <f>IFERROR(__xludf.DUMMYFUNCTION("""COMPUTED_VALUE"""),"Enrolled")</f>
        <v>Enrolled</v>
      </c>
    </row>
    <row r="25">
      <c r="A25" s="6" t="str">
        <f>IFERROR(__xludf.DUMMYFUNCTION("""COMPUTED_VALUE"""),"000-10401")</f>
        <v>000-10401</v>
      </c>
      <c r="B25" s="6" t="str">
        <f>IFERROR(__xludf.DUMMYFUNCTION("""COMPUTED_VALUE"""),"0")</f>
        <v>0</v>
      </c>
      <c r="C25" s="6" t="str">
        <f>IFERROR(__xludf.DUMMYFUNCTION("""COMPUTED_VALUE"""),"10401")</f>
        <v>10401</v>
      </c>
      <c r="D25" s="6" t="str">
        <f>IFERROR(__xludf.DUMMYFUNCTION("""COMPUTED_VALUE"""),"Claire")</f>
        <v>Claire</v>
      </c>
      <c r="E25" s="6" t="str">
        <f>IFERROR(__xludf.DUMMYFUNCTION("""COMPUTED_VALUE"""),"")</f>
        <v/>
      </c>
      <c r="F25" s="6" t="str">
        <f>IFERROR(__xludf.DUMMYFUNCTION("""COMPUTED_VALUE"""),"Reiner")</f>
        <v>Reiner</v>
      </c>
      <c r="G25" s="6" t="str">
        <f>IFERROR(__xludf.DUMMYFUNCTION("""COMPUTED_VALUE"""),"04/11/2014")</f>
        <v>04/11/2014</v>
      </c>
      <c r="H25" s="6" t="str">
        <f>IFERROR(__xludf.DUMMYFUNCTION("""COMPUTED_VALUE"""),"female")</f>
        <v>female</v>
      </c>
      <c r="I25" s="6" t="str">
        <f>IFERROR(__xludf.DUMMYFUNCTION("""COMPUTED_VALUE"""),"Middle School")</f>
        <v>Middle School</v>
      </c>
      <c r="J25" s="6" t="str">
        <f>IFERROR(__xludf.DUMMYFUNCTION("""COMPUTED_VALUE"""),"6")</f>
        <v>6</v>
      </c>
      <c r="K25" s="6" t="str">
        <f>IFERROR(__xludf.DUMMYFUNCTION("""COMPUTED_VALUE"""),"claire.reiner@2hourlearning.com")</f>
        <v>claire.reiner@2hourlearning.com</v>
      </c>
      <c r="L25" s="6" t="str">
        <f>IFERROR(__xludf.DUMMYFUNCTION("""COMPUTED_VALUE"""),"Alpha Anywhere (homeschool)")</f>
        <v>Alpha Anywhere (homeschool)</v>
      </c>
      <c r="M25" s="6" t="str">
        <f>IFERROR(__xludf.DUMMYFUNCTION("""COMPUTED_VALUE"""),"")</f>
        <v/>
      </c>
      <c r="N25" s="6" t="str">
        <f>IFERROR(__xludf.DUMMYFUNCTION("""COMPUTED_VALUE"""),"")</f>
        <v/>
      </c>
      <c r="O25" s="87" t="str">
        <f>IFERROR(__xludf.DUMMYFUNCTION("""COMPUTED_VALUE"""),"https://drive.google.com/drive/folders/10T2cTQHqEJZqE-st6uFKPoI?usp=share_link")</f>
        <v>https://drive.google.com/drive/folders/10T2cTQHqEJZqE-st6uFKPoI?usp=share_link</v>
      </c>
      <c r="P25" s="6" t="str">
        <f>IFERROR(__xludf.DUMMYFUNCTION("""COMPUTED_VALUE"""),"Claire Reiner")</f>
        <v>Claire Reiner</v>
      </c>
      <c r="Q25" s="6" t="str">
        <f>IFERROR(__xludf.DUMMYFUNCTION("""COMPUTED_VALUE"""),"MS")</f>
        <v>MS</v>
      </c>
      <c r="R25" s="6">
        <f>IFERROR(__xludf.DUMMYFUNCTION("""COMPUTED_VALUE"""),0.0)</f>
        <v>0</v>
      </c>
      <c r="S25" s="6" t="str">
        <f>IFERROR(__xludf.DUMMYFUNCTION("""COMPUTED_VALUE""")," ")</f>
        <v> </v>
      </c>
      <c r="T25" s="6" t="str">
        <f>IFERROR(__xludf.DUMMYFUNCTION("""COMPUTED_VALUE"""),"")</f>
        <v/>
      </c>
      <c r="U25" s="6" t="str">
        <f>IFERROR(__xludf.DUMMYFUNCTION("""COMPUTED_VALUE"""),"6")</f>
        <v>6</v>
      </c>
      <c r="V25" s="6" t="str">
        <f>IFERROR(__xludf.DUMMYFUNCTION("""COMPUTED_VALUE"""),"")</f>
        <v/>
      </c>
      <c r="W25" s="6" t="str">
        <f>IFERROR(__xludf.DUMMYFUNCTION("""COMPUTED_VALUE"""),"[]")</f>
        <v>[]</v>
      </c>
      <c r="X25" s="6" t="str">
        <f>IFERROR(__xludf.DUMMYFUNCTION("""COMPUTED_VALUE"""),"Enrolled")</f>
        <v>Enrolled</v>
      </c>
    </row>
    <row r="26">
      <c r="A26" s="6" t="str">
        <f>IFERROR(__xludf.DUMMYFUNCTION("""COMPUTED_VALUE"""),"000-10427")</f>
        <v>000-10427</v>
      </c>
      <c r="B26" s="6" t="str">
        <f>IFERROR(__xludf.DUMMYFUNCTION("""COMPUTED_VALUE"""),"0")</f>
        <v>0</v>
      </c>
      <c r="C26" s="6" t="str">
        <f>IFERROR(__xludf.DUMMYFUNCTION("""COMPUTED_VALUE"""),"10427")</f>
        <v>10427</v>
      </c>
      <c r="D26" s="6" t="str">
        <f>IFERROR(__xludf.DUMMYFUNCTION("""COMPUTED_VALUE"""),"Grant")</f>
        <v>Grant</v>
      </c>
      <c r="E26" s="6" t="str">
        <f>IFERROR(__xludf.DUMMYFUNCTION("""COMPUTED_VALUE"""),"")</f>
        <v/>
      </c>
      <c r="F26" s="6" t="str">
        <f>IFERROR(__xludf.DUMMYFUNCTION("""COMPUTED_VALUE"""),"Whidby")</f>
        <v>Whidby</v>
      </c>
      <c r="G26" s="6" t="str">
        <f>IFERROR(__xludf.DUMMYFUNCTION("""COMPUTED_VALUE"""),"11/07/2014")</f>
        <v>11/07/2014</v>
      </c>
      <c r="H26" s="6" t="str">
        <f>IFERROR(__xludf.DUMMYFUNCTION("""COMPUTED_VALUE"""),"unspecified")</f>
        <v>unspecified</v>
      </c>
      <c r="I26" s="6" t="str">
        <f>IFERROR(__xludf.DUMMYFUNCTION("""COMPUTED_VALUE"""),"Level 2")</f>
        <v>Level 2</v>
      </c>
      <c r="J26" s="6" t="str">
        <f>IFERROR(__xludf.DUMMYFUNCTION("""COMPUTED_VALUE"""),"5")</f>
        <v>5</v>
      </c>
      <c r="K26" s="6" t="str">
        <f>IFERROR(__xludf.DUMMYFUNCTION("""COMPUTED_VALUE"""),"grant.whidby@2hourlearning.com")</f>
        <v>grant.whidby@2hourlearning.com</v>
      </c>
      <c r="L26" s="6" t="str">
        <f>IFERROR(__xludf.DUMMYFUNCTION("""COMPUTED_VALUE"""),"Alpha Anywhere (homeschool)")</f>
        <v>Alpha Anywhere (homeschool)</v>
      </c>
      <c r="M26" s="6" t="str">
        <f>IFERROR(__xludf.DUMMYFUNCTION("""COMPUTED_VALUE"""),"")</f>
        <v/>
      </c>
      <c r="N26" s="6" t="str">
        <f>IFERROR(__xludf.DUMMYFUNCTION("""COMPUTED_VALUE"""),"")</f>
        <v/>
      </c>
      <c r="O26" s="87" t="str">
        <f>IFERROR(__xludf.DUMMYFUNCTION("""COMPUTED_VALUE"""),"https://drive.google.com/drive/folders/10T2cTQHqEJZqE-st6uFKPoI?usp=share_link")</f>
        <v>https://drive.google.com/drive/folders/10T2cTQHqEJZqE-st6uFKPoI?usp=share_link</v>
      </c>
      <c r="P26" s="6" t="str">
        <f>IFERROR(__xludf.DUMMYFUNCTION("""COMPUTED_VALUE"""),"Grant Whidby")</f>
        <v>Grant Whidby</v>
      </c>
      <c r="Q26" s="6" t="str">
        <f>IFERROR(__xludf.DUMMYFUNCTION("""COMPUTED_VALUE"""),"L2")</f>
        <v>L2</v>
      </c>
      <c r="R26" s="6">
        <f>IFERROR(__xludf.DUMMYFUNCTION("""COMPUTED_VALUE"""),2.0)</f>
        <v>2</v>
      </c>
      <c r="S26" s="6" t="str">
        <f>IFERROR(__xludf.DUMMYFUNCTION("""COMPUTED_VALUE""")," ")</f>
        <v> </v>
      </c>
      <c r="T26" s="6" t="str">
        <f>IFERROR(__xludf.DUMMYFUNCTION("""COMPUTED_VALUE"""),"")</f>
        <v/>
      </c>
      <c r="U26" s="6" t="str">
        <f>IFERROR(__xludf.DUMMYFUNCTION("""COMPUTED_VALUE"""),"5")</f>
        <v>5</v>
      </c>
      <c r="V26" s="6" t="str">
        <f>IFERROR(__xludf.DUMMYFUNCTION("""COMPUTED_VALUE"""),"")</f>
        <v/>
      </c>
      <c r="W26" s="6" t="str">
        <f>IFERROR(__xludf.DUMMYFUNCTION("""COMPUTED_VALUE"""),"[]")</f>
        <v>[]</v>
      </c>
      <c r="X26" s="6" t="str">
        <f>IFERROR(__xludf.DUMMYFUNCTION("""COMPUTED_VALUE"""),"Enrolled")</f>
        <v>Enrolled</v>
      </c>
    </row>
    <row r="27">
      <c r="A27" s="6" t="str">
        <f>IFERROR(__xludf.DUMMYFUNCTION("""COMPUTED_VALUE"""),"000-10632")</f>
        <v>000-10632</v>
      </c>
      <c r="B27" s="6" t="str">
        <f>IFERROR(__xludf.DUMMYFUNCTION("""COMPUTED_VALUE"""),"0")</f>
        <v>0</v>
      </c>
      <c r="C27" s="6" t="str">
        <f>IFERROR(__xludf.DUMMYFUNCTION("""COMPUTED_VALUE"""),"10632")</f>
        <v>10632</v>
      </c>
      <c r="D27" s="6" t="str">
        <f>IFERROR(__xludf.DUMMYFUNCTION("""COMPUTED_VALUE"""),"Bailey-Grace")</f>
        <v>Bailey-Grace</v>
      </c>
      <c r="E27" s="6" t="str">
        <f>IFERROR(__xludf.DUMMYFUNCTION("""COMPUTED_VALUE"""),"")</f>
        <v/>
      </c>
      <c r="F27" s="6" t="str">
        <f>IFERROR(__xludf.DUMMYFUNCTION("""COMPUTED_VALUE"""),"Davis")</f>
        <v>Davis</v>
      </c>
      <c r="G27" s="6" t="str">
        <f>IFERROR(__xludf.DUMMYFUNCTION("""COMPUTED_VALUE"""),"10/21/2013")</f>
        <v>10/21/2013</v>
      </c>
      <c r="H27" s="6" t="str">
        <f>IFERROR(__xludf.DUMMYFUNCTION("""COMPUTED_VALUE"""),"Self Identify")</f>
        <v>Self Identify</v>
      </c>
      <c r="I27" s="6" t="str">
        <f>IFERROR(__xludf.DUMMYFUNCTION("""COMPUTED_VALUE"""),"Middle School")</f>
        <v>Middle School</v>
      </c>
      <c r="J27" s="6" t="str">
        <f>IFERROR(__xludf.DUMMYFUNCTION("""COMPUTED_VALUE"""),"6")</f>
        <v>6</v>
      </c>
      <c r="K27" s="6" t="str">
        <f>IFERROR(__xludf.DUMMYFUNCTION("""COMPUTED_VALUE"""),"bailey-grace.davis@2hourlearning.com")</f>
        <v>bailey-grace.davis@2hourlearning.com</v>
      </c>
      <c r="L27" s="6" t="str">
        <f>IFERROR(__xludf.DUMMYFUNCTION("""COMPUTED_VALUE"""),"Alpha Anywhere (homeschool)")</f>
        <v>Alpha Anywhere (homeschool)</v>
      </c>
      <c r="M27" s="6" t="str">
        <f>IFERROR(__xludf.DUMMYFUNCTION("""COMPUTED_VALUE"""),"")</f>
        <v/>
      </c>
      <c r="N27" s="6" t="str">
        <f>IFERROR(__xludf.DUMMYFUNCTION("""COMPUTED_VALUE"""),"")</f>
        <v/>
      </c>
      <c r="O27" s="87" t="str">
        <f>IFERROR(__xludf.DUMMYFUNCTION("""COMPUTED_VALUE"""),"https://drive.google.com/drive/folders/10T2cTQHqEJZqE-st6uFKPoI?usp=share_link")</f>
        <v>https://drive.google.com/drive/folders/10T2cTQHqEJZqE-st6uFKPoI?usp=share_link</v>
      </c>
      <c r="P27" s="6" t="str">
        <f>IFERROR(__xludf.DUMMYFUNCTION("""COMPUTED_VALUE"""),"Bailey-Grace Davis")</f>
        <v>Bailey-Grace Davis</v>
      </c>
      <c r="Q27" s="6" t="str">
        <f>IFERROR(__xludf.DUMMYFUNCTION("""COMPUTED_VALUE"""),"MS")</f>
        <v>MS</v>
      </c>
      <c r="R27" s="6">
        <f>IFERROR(__xludf.DUMMYFUNCTION("""COMPUTED_VALUE"""),0.0)</f>
        <v>0</v>
      </c>
      <c r="S27" s="6" t="str">
        <f>IFERROR(__xludf.DUMMYFUNCTION("""COMPUTED_VALUE""")," ")</f>
        <v> </v>
      </c>
      <c r="T27" s="6" t="str">
        <f>IFERROR(__xludf.DUMMYFUNCTION("""COMPUTED_VALUE"""),"")</f>
        <v/>
      </c>
      <c r="U27" s="6" t="str">
        <f>IFERROR(__xludf.DUMMYFUNCTION("""COMPUTED_VALUE"""),"6")</f>
        <v>6</v>
      </c>
      <c r="V27" s="6" t="str">
        <f>IFERROR(__xludf.DUMMYFUNCTION("""COMPUTED_VALUE"""),"English")</f>
        <v>English</v>
      </c>
      <c r="W27" s="6" t="str">
        <f>IFERROR(__xludf.DUMMYFUNCTION("""COMPUTED_VALUE"""),"[]")</f>
        <v>[]</v>
      </c>
      <c r="X27" s="6" t="str">
        <f>IFERROR(__xludf.DUMMYFUNCTION("""COMPUTED_VALUE"""),"Enrolled")</f>
        <v>Enrolled</v>
      </c>
    </row>
    <row r="28">
      <c r="A28" s="6" t="str">
        <f>IFERROR(__xludf.DUMMYFUNCTION("""COMPUTED_VALUE"""),"000-10655")</f>
        <v>000-10655</v>
      </c>
      <c r="B28" s="6" t="str">
        <f>IFERROR(__xludf.DUMMYFUNCTION("""COMPUTED_VALUE"""),"0")</f>
        <v>0</v>
      </c>
      <c r="C28" s="6" t="str">
        <f>IFERROR(__xludf.DUMMYFUNCTION("""COMPUTED_VALUE"""),"10655")</f>
        <v>10655</v>
      </c>
      <c r="D28" s="6" t="str">
        <f>IFERROR(__xludf.DUMMYFUNCTION("""COMPUTED_VALUE"""),"Elle")</f>
        <v>Elle</v>
      </c>
      <c r="E28" s="6" t="str">
        <f>IFERROR(__xludf.DUMMYFUNCTION("""COMPUTED_VALUE"""),"")</f>
        <v/>
      </c>
      <c r="F28" s="6" t="str">
        <f>IFERROR(__xludf.DUMMYFUNCTION("""COMPUTED_VALUE"""),"McCullough")</f>
        <v>McCullough</v>
      </c>
      <c r="G28" s="6" t="str">
        <f>IFERROR(__xludf.DUMMYFUNCTION("""COMPUTED_VALUE"""),"03/30/2015")</f>
        <v>03/30/2015</v>
      </c>
      <c r="H28" s="6" t="str">
        <f>IFERROR(__xludf.DUMMYFUNCTION("""COMPUTED_VALUE"""),"female")</f>
        <v>female</v>
      </c>
      <c r="I28" s="6" t="str">
        <f>IFERROR(__xludf.DUMMYFUNCTION("""COMPUTED_VALUE"""),"Level 2")</f>
        <v>Level 2</v>
      </c>
      <c r="J28" s="6" t="str">
        <f>IFERROR(__xludf.DUMMYFUNCTION("""COMPUTED_VALUE"""),"5")</f>
        <v>5</v>
      </c>
      <c r="K28" s="6" t="str">
        <f>IFERROR(__xludf.DUMMYFUNCTION("""COMPUTED_VALUE"""),"elle.mccullough@2hourlearning.com")</f>
        <v>elle.mccullough@2hourlearning.com</v>
      </c>
      <c r="L28" s="6" t="str">
        <f>IFERROR(__xludf.DUMMYFUNCTION("""COMPUTED_VALUE"""),"Alpha Anywhere (homeschool)")</f>
        <v>Alpha Anywhere (homeschool)</v>
      </c>
      <c r="M28" s="6" t="str">
        <f>IFERROR(__xludf.DUMMYFUNCTION("""COMPUTED_VALUE"""),"")</f>
        <v/>
      </c>
      <c r="N28" s="6" t="str">
        <f>IFERROR(__xludf.DUMMYFUNCTION("""COMPUTED_VALUE"""),"")</f>
        <v/>
      </c>
      <c r="O28" s="87" t="str">
        <f>IFERROR(__xludf.DUMMYFUNCTION("""COMPUTED_VALUE"""),"https://drive.google.com/drive/folders/10T2cTQHqEJZqE-st6uFKPoI?usp=share_link")</f>
        <v>https://drive.google.com/drive/folders/10T2cTQHqEJZqE-st6uFKPoI?usp=share_link</v>
      </c>
      <c r="P28" s="6" t="str">
        <f>IFERROR(__xludf.DUMMYFUNCTION("""COMPUTED_VALUE"""),"Elle McCullough")</f>
        <v>Elle McCullough</v>
      </c>
      <c r="Q28" s="6" t="str">
        <f>IFERROR(__xludf.DUMMYFUNCTION("""COMPUTED_VALUE"""),"L2")</f>
        <v>L2</v>
      </c>
      <c r="R28" s="6">
        <f>IFERROR(__xludf.DUMMYFUNCTION("""COMPUTED_VALUE"""),2.0)</f>
        <v>2</v>
      </c>
      <c r="S28" s="6" t="str">
        <f>IFERROR(__xludf.DUMMYFUNCTION("""COMPUTED_VALUE""")," ")</f>
        <v> </v>
      </c>
      <c r="T28" s="6" t="str">
        <f>IFERROR(__xludf.DUMMYFUNCTION("""COMPUTED_VALUE"""),"")</f>
        <v/>
      </c>
      <c r="U28" s="6" t="str">
        <f>IFERROR(__xludf.DUMMYFUNCTION("""COMPUTED_VALUE"""),"5")</f>
        <v>5</v>
      </c>
      <c r="V28" s="6" t="str">
        <f>IFERROR(__xludf.DUMMYFUNCTION("""COMPUTED_VALUE"""),"")</f>
        <v/>
      </c>
      <c r="W28" s="6" t="str">
        <f>IFERROR(__xludf.DUMMYFUNCTION("""COMPUTED_VALUE"""),"[]")</f>
        <v>[]</v>
      </c>
      <c r="X28" s="6" t="str">
        <f>IFERROR(__xludf.DUMMYFUNCTION("""COMPUTED_VALUE"""),"Enrolled")</f>
        <v>Enrolled</v>
      </c>
    </row>
    <row r="29">
      <c r="A29" s="6" t="str">
        <f>IFERROR(__xludf.DUMMYFUNCTION("""COMPUTED_VALUE"""),"000-10889")</f>
        <v>000-10889</v>
      </c>
      <c r="B29" s="6" t="str">
        <f>IFERROR(__xludf.DUMMYFUNCTION("""COMPUTED_VALUE"""),"0")</f>
        <v>0</v>
      </c>
      <c r="C29" s="6" t="str">
        <f>IFERROR(__xludf.DUMMYFUNCTION("""COMPUTED_VALUE"""),"10889")</f>
        <v>10889</v>
      </c>
      <c r="D29" s="6" t="str">
        <f>IFERROR(__xludf.DUMMYFUNCTION("""COMPUTED_VALUE"""),"Anra")</f>
        <v>Anra</v>
      </c>
      <c r="E29" s="6" t="str">
        <f>IFERROR(__xludf.DUMMYFUNCTION("""COMPUTED_VALUE"""),"")</f>
        <v/>
      </c>
      <c r="F29" s="6" t="str">
        <f>IFERROR(__xludf.DUMMYFUNCTION("""COMPUTED_VALUE"""),"Armilio")</f>
        <v>Armilio</v>
      </c>
      <c r="G29" s="6" t="str">
        <f>IFERROR(__xludf.DUMMYFUNCTION("""COMPUTED_VALUE"""),"02/17/2016")</f>
        <v>02/17/2016</v>
      </c>
      <c r="H29" s="6" t="str">
        <f>IFERROR(__xludf.DUMMYFUNCTION("""COMPUTED_VALUE"""),"female")</f>
        <v>female</v>
      </c>
      <c r="I29" s="6" t="str">
        <f>IFERROR(__xludf.DUMMYFUNCTION("""COMPUTED_VALUE"""),"Level 2")</f>
        <v>Level 2</v>
      </c>
      <c r="J29" s="6" t="str">
        <f>IFERROR(__xludf.DUMMYFUNCTION("""COMPUTED_VALUE"""),"4")</f>
        <v>4</v>
      </c>
      <c r="K29" s="6" t="str">
        <f>IFERROR(__xludf.DUMMYFUNCTION("""COMPUTED_VALUE"""),"anra.armilio@2hourlearning.com")</f>
        <v>anra.armilio@2hourlearning.com</v>
      </c>
      <c r="L29" s="6" t="str">
        <f>IFERROR(__xludf.DUMMYFUNCTION("""COMPUTED_VALUE"""),"Alpha Anywhere (homeschool)")</f>
        <v>Alpha Anywhere (homeschool)</v>
      </c>
      <c r="M29" s="6" t="str">
        <f>IFERROR(__xludf.DUMMYFUNCTION("""COMPUTED_VALUE"""),"")</f>
        <v/>
      </c>
      <c r="N29" s="6" t="str">
        <f>IFERROR(__xludf.DUMMYFUNCTION("""COMPUTED_VALUE"""),"")</f>
        <v/>
      </c>
      <c r="O29" s="87" t="str">
        <f>IFERROR(__xludf.DUMMYFUNCTION("""COMPUTED_VALUE"""),"https://drive.google.com/drive/folders/10T2cTQHqEJZqE-st6uFKPoI?usp=share_link")</f>
        <v>https://drive.google.com/drive/folders/10T2cTQHqEJZqE-st6uFKPoI?usp=share_link</v>
      </c>
      <c r="P29" s="6" t="str">
        <f>IFERROR(__xludf.DUMMYFUNCTION("""COMPUTED_VALUE"""),"Anra Armilio")</f>
        <v>Anra Armilio</v>
      </c>
      <c r="Q29" s="6" t="str">
        <f>IFERROR(__xludf.DUMMYFUNCTION("""COMPUTED_VALUE"""),"L2")</f>
        <v>L2</v>
      </c>
      <c r="R29" s="6">
        <f>IFERROR(__xludf.DUMMYFUNCTION("""COMPUTED_VALUE"""),2.0)</f>
        <v>2</v>
      </c>
      <c r="S29" s="6" t="str">
        <f>IFERROR(__xludf.DUMMYFUNCTION("""COMPUTED_VALUE""")," ")</f>
        <v> </v>
      </c>
      <c r="T29" s="6" t="str">
        <f>IFERROR(__xludf.DUMMYFUNCTION("""COMPUTED_VALUE"""),"")</f>
        <v/>
      </c>
      <c r="U29" s="6" t="str">
        <f>IFERROR(__xludf.DUMMYFUNCTION("""COMPUTED_VALUE"""),"4")</f>
        <v>4</v>
      </c>
      <c r="V29" s="6" t="str">
        <f>IFERROR(__xludf.DUMMYFUNCTION("""COMPUTED_VALUE"""),"")</f>
        <v/>
      </c>
      <c r="W29" s="6" t="str">
        <f>IFERROR(__xludf.DUMMYFUNCTION("""COMPUTED_VALUE"""),"[]")</f>
        <v>[]</v>
      </c>
      <c r="X29" s="6" t="str">
        <f>IFERROR(__xludf.DUMMYFUNCTION("""COMPUTED_VALUE"""),"Enrolled")</f>
        <v>Enrolled</v>
      </c>
    </row>
    <row r="30">
      <c r="A30" s="6" t="str">
        <f>IFERROR(__xludf.DUMMYFUNCTION("""COMPUTED_VALUE"""),"000-10894")</f>
        <v>000-10894</v>
      </c>
      <c r="B30" s="6" t="str">
        <f>IFERROR(__xludf.DUMMYFUNCTION("""COMPUTED_VALUE"""),"0")</f>
        <v>0</v>
      </c>
      <c r="C30" s="6" t="str">
        <f>IFERROR(__xludf.DUMMYFUNCTION("""COMPUTED_VALUE"""),"10894")</f>
        <v>10894</v>
      </c>
      <c r="D30" s="6" t="str">
        <f>IFERROR(__xludf.DUMMYFUNCTION("""COMPUTED_VALUE"""),"Jonas")</f>
        <v>Jonas</v>
      </c>
      <c r="E30" s="6" t="str">
        <f>IFERROR(__xludf.DUMMYFUNCTION("""COMPUTED_VALUE"""),"")</f>
        <v/>
      </c>
      <c r="F30" s="6" t="str">
        <f>IFERROR(__xludf.DUMMYFUNCTION("""COMPUTED_VALUE"""),"Larsen")</f>
        <v>Larsen</v>
      </c>
      <c r="G30" s="6" t="str">
        <f>IFERROR(__xludf.DUMMYFUNCTION("""COMPUTED_VALUE"""),"11/14/2014")</f>
        <v>11/14/2014</v>
      </c>
      <c r="H30" s="6" t="str">
        <f>IFERROR(__xludf.DUMMYFUNCTION("""COMPUTED_VALUE"""),"male")</f>
        <v>male</v>
      </c>
      <c r="I30" s="6" t="str">
        <f>IFERROR(__xludf.DUMMYFUNCTION("""COMPUTED_VALUE"""),"Level 2")</f>
        <v>Level 2</v>
      </c>
      <c r="J30" s="6" t="str">
        <f>IFERROR(__xludf.DUMMYFUNCTION("""COMPUTED_VALUE"""),"5")</f>
        <v>5</v>
      </c>
      <c r="K30" s="6" t="str">
        <f>IFERROR(__xludf.DUMMYFUNCTION("""COMPUTED_VALUE"""),"jonas.larsen@2hourlearning.com")</f>
        <v>jonas.larsen@2hourlearning.com</v>
      </c>
      <c r="L30" s="6" t="str">
        <f>IFERROR(__xludf.DUMMYFUNCTION("""COMPUTED_VALUE"""),"Alpha Anywhere (homeschool)")</f>
        <v>Alpha Anywhere (homeschool)</v>
      </c>
      <c r="M30" s="6" t="str">
        <f>IFERROR(__xludf.DUMMYFUNCTION("""COMPUTED_VALUE"""),"")</f>
        <v/>
      </c>
      <c r="N30" s="6" t="str">
        <f>IFERROR(__xludf.DUMMYFUNCTION("""COMPUTED_VALUE"""),"")</f>
        <v/>
      </c>
      <c r="O30" s="87" t="str">
        <f>IFERROR(__xludf.DUMMYFUNCTION("""COMPUTED_VALUE"""),"https://drive.google.com/drive/folders/10T2cTQHqEJZqE-st6uFKPoI?usp=share_link")</f>
        <v>https://drive.google.com/drive/folders/10T2cTQHqEJZqE-st6uFKPoI?usp=share_link</v>
      </c>
      <c r="P30" s="6" t="str">
        <f>IFERROR(__xludf.DUMMYFUNCTION("""COMPUTED_VALUE"""),"Jonas Larsen")</f>
        <v>Jonas Larsen</v>
      </c>
      <c r="Q30" s="6" t="str">
        <f>IFERROR(__xludf.DUMMYFUNCTION("""COMPUTED_VALUE"""),"L2")</f>
        <v>L2</v>
      </c>
      <c r="R30" s="6">
        <f>IFERROR(__xludf.DUMMYFUNCTION("""COMPUTED_VALUE"""),2.0)</f>
        <v>2</v>
      </c>
      <c r="S30" s="6" t="str">
        <f>IFERROR(__xludf.DUMMYFUNCTION("""COMPUTED_VALUE""")," ")</f>
        <v> </v>
      </c>
      <c r="T30" s="6" t="str">
        <f>IFERROR(__xludf.DUMMYFUNCTION("""COMPUTED_VALUE"""),"")</f>
        <v/>
      </c>
      <c r="U30" s="6" t="str">
        <f>IFERROR(__xludf.DUMMYFUNCTION("""COMPUTED_VALUE"""),"5")</f>
        <v>5</v>
      </c>
      <c r="V30" s="6" t="str">
        <f>IFERROR(__xludf.DUMMYFUNCTION("""COMPUTED_VALUE"""),"")</f>
        <v/>
      </c>
      <c r="W30" s="6" t="str">
        <f>IFERROR(__xludf.DUMMYFUNCTION("""COMPUTED_VALUE"""),"[]")</f>
        <v>[]</v>
      </c>
      <c r="X30" s="6" t="str">
        <f>IFERROR(__xludf.DUMMYFUNCTION("""COMPUTED_VALUE"""),"Enrolled")</f>
        <v>Enrolled</v>
      </c>
    </row>
    <row r="31">
      <c r="A31" s="6" t="str">
        <f>IFERROR(__xludf.DUMMYFUNCTION("""COMPUTED_VALUE"""),"000-10967")</f>
        <v>000-10967</v>
      </c>
      <c r="B31" s="6" t="str">
        <f>IFERROR(__xludf.DUMMYFUNCTION("""COMPUTED_VALUE"""),"0")</f>
        <v>0</v>
      </c>
      <c r="C31" s="6" t="str">
        <f>IFERROR(__xludf.DUMMYFUNCTION("""COMPUTED_VALUE"""),"10967")</f>
        <v>10967</v>
      </c>
      <c r="D31" s="6" t="str">
        <f>IFERROR(__xludf.DUMMYFUNCTION("""COMPUTED_VALUE"""),"Bear")</f>
        <v>Bear</v>
      </c>
      <c r="E31" s="6" t="str">
        <f>IFERROR(__xludf.DUMMYFUNCTION("""COMPUTED_VALUE"""),"")</f>
        <v/>
      </c>
      <c r="F31" s="6" t="str">
        <f>IFERROR(__xludf.DUMMYFUNCTION("""COMPUTED_VALUE"""),"Buehner")</f>
        <v>Buehner</v>
      </c>
      <c r="G31" s="6" t="str">
        <f>IFERROR(__xludf.DUMMYFUNCTION("""COMPUTED_VALUE"""),"06/03/2011")</f>
        <v>06/03/2011</v>
      </c>
      <c r="H31" s="6" t="str">
        <f>IFERROR(__xludf.DUMMYFUNCTION("""COMPUTED_VALUE"""),"male")</f>
        <v>male</v>
      </c>
      <c r="I31" s="6" t="str">
        <f>IFERROR(__xludf.DUMMYFUNCTION("""COMPUTED_VALUE"""),"Middle School")</f>
        <v>Middle School</v>
      </c>
      <c r="J31" s="6" t="str">
        <f>IFERROR(__xludf.DUMMYFUNCTION("""COMPUTED_VALUE"""),"8")</f>
        <v>8</v>
      </c>
      <c r="K31" s="6" t="str">
        <f>IFERROR(__xludf.DUMMYFUNCTION("""COMPUTED_VALUE"""),"bear.buehner@2hourlearning.com")</f>
        <v>bear.buehner@2hourlearning.com</v>
      </c>
      <c r="L31" s="6" t="str">
        <f>IFERROR(__xludf.DUMMYFUNCTION("""COMPUTED_VALUE"""),"Alpha Anywhere (homeschool)")</f>
        <v>Alpha Anywhere (homeschool)</v>
      </c>
      <c r="M31" s="6" t="str">
        <f>IFERROR(__xludf.DUMMYFUNCTION("""COMPUTED_VALUE"""),"")</f>
        <v/>
      </c>
      <c r="N31" s="6" t="str">
        <f>IFERROR(__xludf.DUMMYFUNCTION("""COMPUTED_VALUE"""),"")</f>
        <v/>
      </c>
      <c r="O31" s="87" t="str">
        <f>IFERROR(__xludf.DUMMYFUNCTION("""COMPUTED_VALUE"""),"https://drive.google.com/drive/folders/10T2cTQHqEJZqE-st6uFKPoI?usp=share_link")</f>
        <v>https://drive.google.com/drive/folders/10T2cTQHqEJZqE-st6uFKPoI?usp=share_link</v>
      </c>
      <c r="P31" s="6" t="str">
        <f>IFERROR(__xludf.DUMMYFUNCTION("""COMPUTED_VALUE"""),"Bear Buehner")</f>
        <v>Bear Buehner</v>
      </c>
      <c r="Q31" s="6" t="str">
        <f>IFERROR(__xludf.DUMMYFUNCTION("""COMPUTED_VALUE"""),"MS")</f>
        <v>MS</v>
      </c>
      <c r="R31" s="6">
        <f>IFERROR(__xludf.DUMMYFUNCTION("""COMPUTED_VALUE"""),0.0)</f>
        <v>0</v>
      </c>
      <c r="S31" s="6" t="str">
        <f>IFERROR(__xludf.DUMMYFUNCTION("""COMPUTED_VALUE""")," ")</f>
        <v> </v>
      </c>
      <c r="T31" s="6" t="str">
        <f>IFERROR(__xludf.DUMMYFUNCTION("""COMPUTED_VALUE"""),"")</f>
        <v/>
      </c>
      <c r="U31" s="6" t="str">
        <f>IFERROR(__xludf.DUMMYFUNCTION("""COMPUTED_VALUE"""),"8")</f>
        <v>8</v>
      </c>
      <c r="V31" s="6" t="str">
        <f>IFERROR(__xludf.DUMMYFUNCTION("""COMPUTED_VALUE"""),"")</f>
        <v/>
      </c>
      <c r="W31" s="6" t="str">
        <f>IFERROR(__xludf.DUMMYFUNCTION("""COMPUTED_VALUE"""),"[]")</f>
        <v>[]</v>
      </c>
      <c r="X31" s="6" t="str">
        <f>IFERROR(__xludf.DUMMYFUNCTION("""COMPUTED_VALUE"""),"Enrolled")</f>
        <v>Enrolled</v>
      </c>
    </row>
    <row r="32">
      <c r="A32" s="6" t="str">
        <f>IFERROR(__xludf.DUMMYFUNCTION("""COMPUTED_VALUE"""),"000-10979")</f>
        <v>000-10979</v>
      </c>
      <c r="B32" s="6" t="str">
        <f>IFERROR(__xludf.DUMMYFUNCTION("""COMPUTED_VALUE"""),"0")</f>
        <v>0</v>
      </c>
      <c r="C32" s="6" t="str">
        <f>IFERROR(__xludf.DUMMYFUNCTION("""COMPUTED_VALUE"""),"10979")</f>
        <v>10979</v>
      </c>
      <c r="D32" s="6" t="str">
        <f>IFERROR(__xludf.DUMMYFUNCTION("""COMPUTED_VALUE"""),"Mila")</f>
        <v>Mila</v>
      </c>
      <c r="E32" s="6" t="str">
        <f>IFERROR(__xludf.DUMMYFUNCTION("""COMPUTED_VALUE"""),"")</f>
        <v/>
      </c>
      <c r="F32" s="6" t="str">
        <f>IFERROR(__xludf.DUMMYFUNCTION("""COMPUTED_VALUE"""),"Dodd")</f>
        <v>Dodd</v>
      </c>
      <c r="G32" s="6" t="str">
        <f>IFERROR(__xludf.DUMMYFUNCTION("""COMPUTED_VALUE"""),"12/25/2017")</f>
        <v>12/25/2017</v>
      </c>
      <c r="H32" s="6" t="str">
        <f>IFERROR(__xludf.DUMMYFUNCTION("""COMPUTED_VALUE"""),"female")</f>
        <v>female</v>
      </c>
      <c r="I32" s="6" t="str">
        <f>IFERROR(__xludf.DUMMYFUNCTION("""COMPUTED_VALUE"""),"Level 1")</f>
        <v>Level 1</v>
      </c>
      <c r="J32" s="6" t="str">
        <f>IFERROR(__xludf.DUMMYFUNCTION("""COMPUTED_VALUE"""),"2")</f>
        <v>2</v>
      </c>
      <c r="K32" s="6" t="str">
        <f>IFERROR(__xludf.DUMMYFUNCTION("""COMPUTED_VALUE"""),"mila.dodd@2hourlearning.com")</f>
        <v>mila.dodd@2hourlearning.com</v>
      </c>
      <c r="L32" s="6" t="str">
        <f>IFERROR(__xludf.DUMMYFUNCTION("""COMPUTED_VALUE"""),"Alpha Anywhere (homeschool)")</f>
        <v>Alpha Anywhere (homeschool)</v>
      </c>
      <c r="M32" s="6" t="str">
        <f>IFERROR(__xludf.DUMMYFUNCTION("""COMPUTED_VALUE"""),"")</f>
        <v/>
      </c>
      <c r="N32" s="6" t="str">
        <f>IFERROR(__xludf.DUMMYFUNCTION("""COMPUTED_VALUE"""),"")</f>
        <v/>
      </c>
      <c r="O32" s="87" t="str">
        <f>IFERROR(__xludf.DUMMYFUNCTION("""COMPUTED_VALUE"""),"https://drive.google.com/drive/folders/10T2cTQHqEJZqE-st6uFKPoI?usp=share_link")</f>
        <v>https://drive.google.com/drive/folders/10T2cTQHqEJZqE-st6uFKPoI?usp=share_link</v>
      </c>
      <c r="P32" s="6" t="str">
        <f>IFERROR(__xludf.DUMMYFUNCTION("""COMPUTED_VALUE"""),"Mila Dodd")</f>
        <v>Mila Dodd</v>
      </c>
      <c r="Q32" s="6" t="str">
        <f>IFERROR(__xludf.DUMMYFUNCTION("""COMPUTED_VALUE"""),"L1")</f>
        <v>L1</v>
      </c>
      <c r="R32" s="6">
        <f>IFERROR(__xludf.DUMMYFUNCTION("""COMPUTED_VALUE"""),1.0)</f>
        <v>1</v>
      </c>
      <c r="S32" s="6" t="str">
        <f>IFERROR(__xludf.DUMMYFUNCTION("""COMPUTED_VALUE""")," ")</f>
        <v> </v>
      </c>
      <c r="T32" s="6" t="str">
        <f>IFERROR(__xludf.DUMMYFUNCTION("""COMPUTED_VALUE"""),"")</f>
        <v/>
      </c>
      <c r="U32" s="6" t="str">
        <f>IFERROR(__xludf.DUMMYFUNCTION("""COMPUTED_VALUE"""),"2")</f>
        <v>2</v>
      </c>
      <c r="V32" s="6" t="str">
        <f>IFERROR(__xludf.DUMMYFUNCTION("""COMPUTED_VALUE"""),"")</f>
        <v/>
      </c>
      <c r="W32" s="6" t="str">
        <f>IFERROR(__xludf.DUMMYFUNCTION("""COMPUTED_VALUE"""),"[]")</f>
        <v>[]</v>
      </c>
      <c r="X32" s="6" t="str">
        <f>IFERROR(__xludf.DUMMYFUNCTION("""COMPUTED_VALUE"""),"Enrolled")</f>
        <v>Enrolled</v>
      </c>
    </row>
    <row r="33">
      <c r="A33" s="6" t="str">
        <f>IFERROR(__xludf.DUMMYFUNCTION("""COMPUTED_VALUE"""),"000-10988")</f>
        <v>000-10988</v>
      </c>
      <c r="B33" s="6" t="str">
        <f>IFERROR(__xludf.DUMMYFUNCTION("""COMPUTED_VALUE"""),"0")</f>
        <v>0</v>
      </c>
      <c r="C33" s="6" t="str">
        <f>IFERROR(__xludf.DUMMYFUNCTION("""COMPUTED_VALUE"""),"10988")</f>
        <v>10988</v>
      </c>
      <c r="D33" s="6" t="str">
        <f>IFERROR(__xludf.DUMMYFUNCTION("""COMPUTED_VALUE"""),"Charles")</f>
        <v>Charles</v>
      </c>
      <c r="E33" s="6" t="str">
        <f>IFERROR(__xludf.DUMMYFUNCTION("""COMPUTED_VALUE"""),"")</f>
        <v/>
      </c>
      <c r="F33" s="6" t="str">
        <f>IFERROR(__xludf.DUMMYFUNCTION("""COMPUTED_VALUE"""),"Schmid")</f>
        <v>Schmid</v>
      </c>
      <c r="G33" s="6" t="str">
        <f>IFERROR(__xludf.DUMMYFUNCTION("""COMPUTED_VALUE"""),"09/13/2017")</f>
        <v>09/13/2017</v>
      </c>
      <c r="H33" s="6" t="str">
        <f>IFERROR(__xludf.DUMMYFUNCTION("""COMPUTED_VALUE"""),"male")</f>
        <v>male</v>
      </c>
      <c r="I33" s="6" t="str">
        <f>IFERROR(__xludf.DUMMYFUNCTION("""COMPUTED_VALUE"""),"Level 1")</f>
        <v>Level 1</v>
      </c>
      <c r="J33" s="6" t="str">
        <f>IFERROR(__xludf.DUMMYFUNCTION("""COMPUTED_VALUE"""),"3")</f>
        <v>3</v>
      </c>
      <c r="K33" s="6" t="str">
        <f>IFERROR(__xludf.DUMMYFUNCTION("""COMPUTED_VALUE"""),"charles.schmid@2hourlearning.com")</f>
        <v>charles.schmid@2hourlearning.com</v>
      </c>
      <c r="L33" s="6" t="str">
        <f>IFERROR(__xludf.DUMMYFUNCTION("""COMPUTED_VALUE"""),"Alpha Anywhere (homeschool)")</f>
        <v>Alpha Anywhere (homeschool)</v>
      </c>
      <c r="M33" s="6" t="str">
        <f>IFERROR(__xludf.DUMMYFUNCTION("""COMPUTED_VALUE"""),"")</f>
        <v/>
      </c>
      <c r="N33" s="6" t="str">
        <f>IFERROR(__xludf.DUMMYFUNCTION("""COMPUTED_VALUE"""),"")</f>
        <v/>
      </c>
      <c r="O33" s="87" t="str">
        <f>IFERROR(__xludf.DUMMYFUNCTION("""COMPUTED_VALUE"""),"https://drive.google.com/drive/folders/10T2cTQHqEJZqE-st6uFKPoI?usp=share_link")</f>
        <v>https://drive.google.com/drive/folders/10T2cTQHqEJZqE-st6uFKPoI?usp=share_link</v>
      </c>
      <c r="P33" s="6" t="str">
        <f>IFERROR(__xludf.DUMMYFUNCTION("""COMPUTED_VALUE"""),"Charles Schmid")</f>
        <v>Charles Schmid</v>
      </c>
      <c r="Q33" s="6" t="str">
        <f>IFERROR(__xludf.DUMMYFUNCTION("""COMPUTED_VALUE"""),"L1")</f>
        <v>L1</v>
      </c>
      <c r="R33" s="6">
        <f>IFERROR(__xludf.DUMMYFUNCTION("""COMPUTED_VALUE"""),1.0)</f>
        <v>1</v>
      </c>
      <c r="S33" s="6" t="str">
        <f>IFERROR(__xludf.DUMMYFUNCTION("""COMPUTED_VALUE""")," ")</f>
        <v> </v>
      </c>
      <c r="T33" s="6" t="str">
        <f>IFERROR(__xludf.DUMMYFUNCTION("""COMPUTED_VALUE"""),"")</f>
        <v/>
      </c>
      <c r="U33" s="6" t="str">
        <f>IFERROR(__xludf.DUMMYFUNCTION("""COMPUTED_VALUE"""),"3")</f>
        <v>3</v>
      </c>
      <c r="V33" s="6" t="str">
        <f>IFERROR(__xludf.DUMMYFUNCTION("""COMPUTED_VALUE"""),"")</f>
        <v/>
      </c>
      <c r="W33" s="6" t="str">
        <f>IFERROR(__xludf.DUMMYFUNCTION("""COMPUTED_VALUE"""),"[]")</f>
        <v>[]</v>
      </c>
      <c r="X33" s="6" t="str">
        <f>IFERROR(__xludf.DUMMYFUNCTION("""COMPUTED_VALUE"""),"Enrolled")</f>
        <v>Enrolled</v>
      </c>
    </row>
    <row r="34">
      <c r="A34" s="6" t="str">
        <f>IFERROR(__xludf.DUMMYFUNCTION("""COMPUTED_VALUE"""),"000-11016")</f>
        <v>000-11016</v>
      </c>
      <c r="B34" s="6" t="str">
        <f>IFERROR(__xludf.DUMMYFUNCTION("""COMPUTED_VALUE"""),"0")</f>
        <v>0</v>
      </c>
      <c r="C34" s="6" t="str">
        <f>IFERROR(__xludf.DUMMYFUNCTION("""COMPUTED_VALUE"""),"11016")</f>
        <v>11016</v>
      </c>
      <c r="D34" s="6" t="str">
        <f>IFERROR(__xludf.DUMMYFUNCTION("""COMPUTED_VALUE"""),"Deo")</f>
        <v>Deo</v>
      </c>
      <c r="E34" s="6" t="str">
        <f>IFERROR(__xludf.DUMMYFUNCTION("""COMPUTED_VALUE"""),"")</f>
        <v/>
      </c>
      <c r="F34" s="6" t="str">
        <f>IFERROR(__xludf.DUMMYFUNCTION("""COMPUTED_VALUE"""),"Ravikant")</f>
        <v>Ravikant</v>
      </c>
      <c r="G34" s="6" t="str">
        <f>IFERROR(__xludf.DUMMYFUNCTION("""COMPUTED_VALUE"""),"09/19/2017")</f>
        <v>09/19/2017</v>
      </c>
      <c r="H34" s="6" t="str">
        <f>IFERROR(__xludf.DUMMYFUNCTION("""COMPUTED_VALUE"""),"male")</f>
        <v>male</v>
      </c>
      <c r="I34" s="6" t="str">
        <f>IFERROR(__xludf.DUMMYFUNCTION("""COMPUTED_VALUE"""),"Level 1")</f>
        <v>Level 1</v>
      </c>
      <c r="J34" s="6" t="str">
        <f>IFERROR(__xludf.DUMMYFUNCTION("""COMPUTED_VALUE"""),"2")</f>
        <v>2</v>
      </c>
      <c r="K34" s="6" t="str">
        <f>IFERROR(__xludf.DUMMYFUNCTION("""COMPUTED_VALUE"""),"deo.ravikant@2hourlearning.com")</f>
        <v>deo.ravikant@2hourlearning.com</v>
      </c>
      <c r="L34" s="6" t="str">
        <f>IFERROR(__xludf.DUMMYFUNCTION("""COMPUTED_VALUE"""),"Alpha Anywhere (homeschool)")</f>
        <v>Alpha Anywhere (homeschool)</v>
      </c>
      <c r="M34" s="6" t="str">
        <f>IFERROR(__xludf.DUMMYFUNCTION("""COMPUTED_VALUE"""),"")</f>
        <v/>
      </c>
      <c r="N34" s="6" t="str">
        <f>IFERROR(__xludf.DUMMYFUNCTION("""COMPUTED_VALUE"""),"")</f>
        <v/>
      </c>
      <c r="O34" s="87" t="str">
        <f>IFERROR(__xludf.DUMMYFUNCTION("""COMPUTED_VALUE"""),"https://drive.google.com/drive/folders/10T2cTQHqEJZqE-st6uFKPoI?usp=share_link")</f>
        <v>https://drive.google.com/drive/folders/10T2cTQHqEJZqE-st6uFKPoI?usp=share_link</v>
      </c>
      <c r="P34" s="6" t="str">
        <f>IFERROR(__xludf.DUMMYFUNCTION("""COMPUTED_VALUE"""),"Deo Ravikant")</f>
        <v>Deo Ravikant</v>
      </c>
      <c r="Q34" s="6" t="str">
        <f>IFERROR(__xludf.DUMMYFUNCTION("""COMPUTED_VALUE"""),"L1")</f>
        <v>L1</v>
      </c>
      <c r="R34" s="6">
        <f>IFERROR(__xludf.DUMMYFUNCTION("""COMPUTED_VALUE"""),1.0)</f>
        <v>1</v>
      </c>
      <c r="S34" s="6" t="str">
        <f>IFERROR(__xludf.DUMMYFUNCTION("""COMPUTED_VALUE""")," ")</f>
        <v> </v>
      </c>
      <c r="T34" s="6" t="str">
        <f>IFERROR(__xludf.DUMMYFUNCTION("""COMPUTED_VALUE"""),"")</f>
        <v/>
      </c>
      <c r="U34" s="6" t="str">
        <f>IFERROR(__xludf.DUMMYFUNCTION("""COMPUTED_VALUE"""),"2")</f>
        <v>2</v>
      </c>
      <c r="V34" s="6" t="str">
        <f>IFERROR(__xludf.DUMMYFUNCTION("""COMPUTED_VALUE"""),"")</f>
        <v/>
      </c>
      <c r="W34" s="6" t="str">
        <f>IFERROR(__xludf.DUMMYFUNCTION("""COMPUTED_VALUE"""),"[]")</f>
        <v>[]</v>
      </c>
      <c r="X34" s="6" t="str">
        <f>IFERROR(__xludf.DUMMYFUNCTION("""COMPUTED_VALUE"""),"Enrolled")</f>
        <v>Enrolled</v>
      </c>
    </row>
    <row r="35">
      <c r="A35" s="6" t="str">
        <f>IFERROR(__xludf.DUMMYFUNCTION("""COMPUTED_VALUE"""),"000-11017")</f>
        <v>000-11017</v>
      </c>
      <c r="B35" s="6" t="str">
        <f>IFERROR(__xludf.DUMMYFUNCTION("""COMPUTED_VALUE"""),"0")</f>
        <v>0</v>
      </c>
      <c r="C35" s="6" t="str">
        <f>IFERROR(__xludf.DUMMYFUNCTION("""COMPUTED_VALUE"""),"11017")</f>
        <v>11017</v>
      </c>
      <c r="D35" s="6" t="str">
        <f>IFERROR(__xludf.DUMMYFUNCTION("""COMPUTED_VALUE"""),"Neo")</f>
        <v>Neo</v>
      </c>
      <c r="E35" s="6" t="str">
        <f>IFERROR(__xludf.DUMMYFUNCTION("""COMPUTED_VALUE"""),"")</f>
        <v/>
      </c>
      <c r="F35" s="6" t="str">
        <f>IFERROR(__xludf.DUMMYFUNCTION("""COMPUTED_VALUE"""),"Ravikant")</f>
        <v>Ravikant</v>
      </c>
      <c r="G35" s="6" t="str">
        <f>IFERROR(__xludf.DUMMYFUNCTION("""COMPUTED_VALUE"""),"06/14/2016")</f>
        <v>06/14/2016</v>
      </c>
      <c r="H35" s="6" t="str">
        <f>IFERROR(__xludf.DUMMYFUNCTION("""COMPUTED_VALUE"""),"male")</f>
        <v>male</v>
      </c>
      <c r="I35" s="6" t="str">
        <f>IFERROR(__xludf.DUMMYFUNCTION("""COMPUTED_VALUE"""),"Level 2")</f>
        <v>Level 2</v>
      </c>
      <c r="J35" s="6" t="str">
        <f>IFERROR(__xludf.DUMMYFUNCTION("""COMPUTED_VALUE"""),"4")</f>
        <v>4</v>
      </c>
      <c r="K35" s="6" t="str">
        <f>IFERROR(__xludf.DUMMYFUNCTION("""COMPUTED_VALUE"""),"neo.ravikant@2hourlearning.com")</f>
        <v>neo.ravikant@2hourlearning.com</v>
      </c>
      <c r="L35" s="6" t="str">
        <f>IFERROR(__xludf.DUMMYFUNCTION("""COMPUTED_VALUE"""),"Alpha Anywhere (homeschool)")</f>
        <v>Alpha Anywhere (homeschool)</v>
      </c>
      <c r="M35" s="6" t="str">
        <f>IFERROR(__xludf.DUMMYFUNCTION("""COMPUTED_VALUE"""),"")</f>
        <v/>
      </c>
      <c r="N35" s="6" t="str">
        <f>IFERROR(__xludf.DUMMYFUNCTION("""COMPUTED_VALUE"""),"")</f>
        <v/>
      </c>
      <c r="O35" s="87" t="str">
        <f>IFERROR(__xludf.DUMMYFUNCTION("""COMPUTED_VALUE"""),"https://drive.google.com/drive/folders/10T2cTQHqEJZqE-st6uFKPoI?usp=share_link")</f>
        <v>https://drive.google.com/drive/folders/10T2cTQHqEJZqE-st6uFKPoI?usp=share_link</v>
      </c>
      <c r="P35" s="6" t="str">
        <f>IFERROR(__xludf.DUMMYFUNCTION("""COMPUTED_VALUE"""),"Neo Ravikant")</f>
        <v>Neo Ravikant</v>
      </c>
      <c r="Q35" s="6" t="str">
        <f>IFERROR(__xludf.DUMMYFUNCTION("""COMPUTED_VALUE"""),"L2")</f>
        <v>L2</v>
      </c>
      <c r="R35" s="6">
        <f>IFERROR(__xludf.DUMMYFUNCTION("""COMPUTED_VALUE"""),2.0)</f>
        <v>2</v>
      </c>
      <c r="S35" s="6" t="str">
        <f>IFERROR(__xludf.DUMMYFUNCTION("""COMPUTED_VALUE""")," ")</f>
        <v> </v>
      </c>
      <c r="T35" s="6" t="str">
        <f>IFERROR(__xludf.DUMMYFUNCTION("""COMPUTED_VALUE"""),"")</f>
        <v/>
      </c>
      <c r="U35" s="6" t="str">
        <f>IFERROR(__xludf.DUMMYFUNCTION("""COMPUTED_VALUE"""),"4")</f>
        <v>4</v>
      </c>
      <c r="V35" s="6" t="str">
        <f>IFERROR(__xludf.DUMMYFUNCTION("""COMPUTED_VALUE"""),"")</f>
        <v/>
      </c>
      <c r="W35" s="6" t="str">
        <f>IFERROR(__xludf.DUMMYFUNCTION("""COMPUTED_VALUE"""),"[]")</f>
        <v>[]</v>
      </c>
      <c r="X35" s="6" t="str">
        <f>IFERROR(__xludf.DUMMYFUNCTION("""COMPUTED_VALUE"""),"Enrolled")</f>
        <v>Enrolled</v>
      </c>
    </row>
    <row r="36">
      <c r="A36" s="6" t="str">
        <f>IFERROR(__xludf.DUMMYFUNCTION("""COMPUTED_VALUE"""),"000-11022")</f>
        <v>000-11022</v>
      </c>
      <c r="B36" s="6" t="str">
        <f>IFERROR(__xludf.DUMMYFUNCTION("""COMPUTED_VALUE"""),"0")</f>
        <v>0</v>
      </c>
      <c r="C36" s="6" t="str">
        <f>IFERROR(__xludf.DUMMYFUNCTION("""COMPUTED_VALUE"""),"11022")</f>
        <v>11022</v>
      </c>
      <c r="D36" s="6" t="str">
        <f>IFERROR(__xludf.DUMMYFUNCTION("""COMPUTED_VALUE"""),"Jimmy")</f>
        <v>Jimmy</v>
      </c>
      <c r="E36" s="6" t="str">
        <f>IFERROR(__xludf.DUMMYFUNCTION("""COMPUTED_VALUE"""),"")</f>
        <v/>
      </c>
      <c r="F36" s="6" t="str">
        <f>IFERROR(__xludf.DUMMYFUNCTION("""COMPUTED_VALUE"""),"TwoFingers")</f>
        <v>TwoFingers</v>
      </c>
      <c r="G36" s="6" t="str">
        <f>IFERROR(__xludf.DUMMYFUNCTION("""COMPUTED_VALUE"""),"01/01/2015")</f>
        <v>01/01/2015</v>
      </c>
      <c r="H36" s="6" t="str">
        <f>IFERROR(__xludf.DUMMYFUNCTION("""COMPUTED_VALUE"""),"male")</f>
        <v>male</v>
      </c>
      <c r="I36" s="6" t="str">
        <f>IFERROR(__xludf.DUMMYFUNCTION("""COMPUTED_VALUE"""),"Middle School")</f>
        <v>Middle School</v>
      </c>
      <c r="J36" s="6" t="str">
        <f>IFERROR(__xludf.DUMMYFUNCTION("""COMPUTED_VALUE"""),"6")</f>
        <v>6</v>
      </c>
      <c r="K36" s="6" t="str">
        <f>IFERROR(__xludf.DUMMYFUNCTION("""COMPUTED_VALUE"""),"jimmy.twofingers@2hourlearning.com")</f>
        <v>jimmy.twofingers@2hourlearning.com</v>
      </c>
      <c r="L36" s="6" t="str">
        <f>IFERROR(__xludf.DUMMYFUNCTION("""COMPUTED_VALUE"""),"Alpha Anywhere (homeschool)")</f>
        <v>Alpha Anywhere (homeschool)</v>
      </c>
      <c r="M36" s="6" t="str">
        <f>IFERROR(__xludf.DUMMYFUNCTION("""COMPUTED_VALUE"""),"")</f>
        <v/>
      </c>
      <c r="N36" s="6" t="str">
        <f>IFERROR(__xludf.DUMMYFUNCTION("""COMPUTED_VALUE"""),"")</f>
        <v/>
      </c>
      <c r="O36" s="87" t="str">
        <f>IFERROR(__xludf.DUMMYFUNCTION("""COMPUTED_VALUE"""),"https://drive.google.com/drive/folders/10T2cTQHqEJZqE-st6uFKPoI?usp=share_link")</f>
        <v>https://drive.google.com/drive/folders/10T2cTQHqEJZqE-st6uFKPoI?usp=share_link</v>
      </c>
      <c r="P36" s="6" t="str">
        <f>IFERROR(__xludf.DUMMYFUNCTION("""COMPUTED_VALUE"""),"Jimmy TwoFingers")</f>
        <v>Jimmy TwoFingers</v>
      </c>
      <c r="Q36" s="6" t="str">
        <f>IFERROR(__xludf.DUMMYFUNCTION("""COMPUTED_VALUE"""),"MS")</f>
        <v>MS</v>
      </c>
      <c r="R36" s="6">
        <f>IFERROR(__xludf.DUMMYFUNCTION("""COMPUTED_VALUE"""),0.0)</f>
        <v>0</v>
      </c>
      <c r="S36" s="6" t="str">
        <f>IFERROR(__xludf.DUMMYFUNCTION("""COMPUTED_VALUE""")," ")</f>
        <v> </v>
      </c>
      <c r="T36" s="6" t="str">
        <f>IFERROR(__xludf.DUMMYFUNCTION("""COMPUTED_VALUE"""),"")</f>
        <v/>
      </c>
      <c r="U36" s="6" t="str">
        <f>IFERROR(__xludf.DUMMYFUNCTION("""COMPUTED_VALUE"""),"6")</f>
        <v>6</v>
      </c>
      <c r="V36" s="6" t="str">
        <f>IFERROR(__xludf.DUMMYFUNCTION("""COMPUTED_VALUE"""),"")</f>
        <v/>
      </c>
      <c r="W36" s="6" t="str">
        <f>IFERROR(__xludf.DUMMYFUNCTION("""COMPUTED_VALUE"""),"[]")</f>
        <v>[]</v>
      </c>
      <c r="X36" s="6" t="str">
        <f>IFERROR(__xludf.DUMMYFUNCTION("""COMPUTED_VALUE"""),"Enrolled")</f>
        <v>Enrolled</v>
      </c>
    </row>
    <row r="37">
      <c r="A37" s="6" t="str">
        <f>IFERROR(__xludf.DUMMYFUNCTION("""COMPUTED_VALUE"""),"000-11077")</f>
        <v>000-11077</v>
      </c>
      <c r="B37" s="6" t="str">
        <f>IFERROR(__xludf.DUMMYFUNCTION("""COMPUTED_VALUE"""),"0")</f>
        <v>0</v>
      </c>
      <c r="C37" s="6" t="str">
        <f>IFERROR(__xludf.DUMMYFUNCTION("""COMPUTED_VALUE"""),"11077")</f>
        <v>11077</v>
      </c>
      <c r="D37" s="6" t="str">
        <f>IFERROR(__xludf.DUMMYFUNCTION("""COMPUTED_VALUE"""),"Leland")</f>
        <v>Leland</v>
      </c>
      <c r="E37" s="6" t="str">
        <f>IFERROR(__xludf.DUMMYFUNCTION("""COMPUTED_VALUE"""),"")</f>
        <v/>
      </c>
      <c r="F37" s="6" t="str">
        <f>IFERROR(__xludf.DUMMYFUNCTION("""COMPUTED_VALUE"""),"Carter")</f>
        <v>Carter</v>
      </c>
      <c r="G37" s="6" t="str">
        <f>IFERROR(__xludf.DUMMYFUNCTION("""COMPUTED_VALUE"""),"10/01/2013")</f>
        <v>10/01/2013</v>
      </c>
      <c r="H37" s="6" t="str">
        <f>IFERROR(__xludf.DUMMYFUNCTION("""COMPUTED_VALUE"""),"male")</f>
        <v>male</v>
      </c>
      <c r="I37" s="6" t="str">
        <f>IFERROR(__xludf.DUMMYFUNCTION("""COMPUTED_VALUE"""),"Middle School")</f>
        <v>Middle School</v>
      </c>
      <c r="J37" s="6" t="str">
        <f>IFERROR(__xludf.DUMMYFUNCTION("""COMPUTED_VALUE"""),"7")</f>
        <v>7</v>
      </c>
      <c r="K37" s="6" t="str">
        <f>IFERROR(__xludf.DUMMYFUNCTION("""COMPUTED_VALUE"""),"leland.carter@2hourlearning.com")</f>
        <v>leland.carter@2hourlearning.com</v>
      </c>
      <c r="L37" s="6" t="str">
        <f>IFERROR(__xludf.DUMMYFUNCTION("""COMPUTED_VALUE"""),"Alpha Anywhere (homeschool)")</f>
        <v>Alpha Anywhere (homeschool)</v>
      </c>
      <c r="M37" s="6" t="str">
        <f>IFERROR(__xludf.DUMMYFUNCTION("""COMPUTED_VALUE"""),"")</f>
        <v/>
      </c>
      <c r="N37" s="6" t="str">
        <f>IFERROR(__xludf.DUMMYFUNCTION("""COMPUTED_VALUE"""),"")</f>
        <v/>
      </c>
      <c r="O37" s="87" t="str">
        <f>IFERROR(__xludf.DUMMYFUNCTION("""COMPUTED_VALUE"""),"https://drive.google.com/drive/folders/10T2cTQHqEJZqE-st6uFKPoI?usp=share_link")</f>
        <v>https://drive.google.com/drive/folders/10T2cTQHqEJZqE-st6uFKPoI?usp=share_link</v>
      </c>
      <c r="P37" s="6" t="str">
        <f>IFERROR(__xludf.DUMMYFUNCTION("""COMPUTED_VALUE"""),"Leland Carter")</f>
        <v>Leland Carter</v>
      </c>
      <c r="Q37" s="6" t="str">
        <f>IFERROR(__xludf.DUMMYFUNCTION("""COMPUTED_VALUE"""),"MS")</f>
        <v>MS</v>
      </c>
      <c r="R37" s="6">
        <f>IFERROR(__xludf.DUMMYFUNCTION("""COMPUTED_VALUE"""),0.0)</f>
        <v>0</v>
      </c>
      <c r="S37" s="6" t="str">
        <f>IFERROR(__xludf.DUMMYFUNCTION("""COMPUTED_VALUE""")," ")</f>
        <v> </v>
      </c>
      <c r="T37" s="6" t="str">
        <f>IFERROR(__xludf.DUMMYFUNCTION("""COMPUTED_VALUE"""),"")</f>
        <v/>
      </c>
      <c r="U37" s="6" t="str">
        <f>IFERROR(__xludf.DUMMYFUNCTION("""COMPUTED_VALUE"""),"7")</f>
        <v>7</v>
      </c>
      <c r="V37" s="6" t="str">
        <f>IFERROR(__xludf.DUMMYFUNCTION("""COMPUTED_VALUE"""),"")</f>
        <v/>
      </c>
      <c r="W37" s="6" t="str">
        <f>IFERROR(__xludf.DUMMYFUNCTION("""COMPUTED_VALUE"""),"[]")</f>
        <v>[]</v>
      </c>
      <c r="X37" s="6" t="str">
        <f>IFERROR(__xludf.DUMMYFUNCTION("""COMPUTED_VALUE"""),"Enrolled")</f>
        <v>Enrolled</v>
      </c>
    </row>
    <row r="38">
      <c r="A38" s="6" t="str">
        <f>IFERROR(__xludf.DUMMYFUNCTION("""COMPUTED_VALUE"""),"000-11188")</f>
        <v>000-11188</v>
      </c>
      <c r="B38" s="6" t="str">
        <f>IFERROR(__xludf.DUMMYFUNCTION("""COMPUTED_VALUE"""),"0")</f>
        <v>0</v>
      </c>
      <c r="C38" s="6" t="str">
        <f>IFERROR(__xludf.DUMMYFUNCTION("""COMPUTED_VALUE"""),"11188")</f>
        <v>11188</v>
      </c>
      <c r="D38" s="6" t="str">
        <f>IFERROR(__xludf.DUMMYFUNCTION("""COMPUTED_VALUE"""),"Winifred")</f>
        <v>Winifred</v>
      </c>
      <c r="E38" s="6" t="str">
        <f>IFERROR(__xludf.DUMMYFUNCTION("""COMPUTED_VALUE"""),"")</f>
        <v/>
      </c>
      <c r="F38" s="6" t="str">
        <f>IFERROR(__xludf.DUMMYFUNCTION("""COMPUTED_VALUE"""),"Thistletown")</f>
        <v>Thistletown</v>
      </c>
      <c r="G38" s="6" t="str">
        <f>IFERROR(__xludf.DUMMYFUNCTION("""COMPUTED_VALUE"""),"07/31/2017")</f>
        <v>07/31/2017</v>
      </c>
      <c r="H38" s="6" t="str">
        <f>IFERROR(__xludf.DUMMYFUNCTION("""COMPUTED_VALUE"""),"female")</f>
        <v>female</v>
      </c>
      <c r="I38" s="6" t="str">
        <f>IFERROR(__xludf.DUMMYFUNCTION("""COMPUTED_VALUE"""),"Level 1")</f>
        <v>Level 1</v>
      </c>
      <c r="J38" s="6" t="str">
        <f>IFERROR(__xludf.DUMMYFUNCTION("""COMPUTED_VALUE"""),"4")</f>
        <v>4</v>
      </c>
      <c r="K38" s="6" t="str">
        <f>IFERROR(__xludf.DUMMYFUNCTION("""COMPUTED_VALUE"""),"winifred.thistletown@2hourlearning.com")</f>
        <v>winifred.thistletown@2hourlearning.com</v>
      </c>
      <c r="L38" s="6" t="str">
        <f>IFERROR(__xludf.DUMMYFUNCTION("""COMPUTED_VALUE"""),"Alpha Anywhere (homeschool)")</f>
        <v>Alpha Anywhere (homeschool)</v>
      </c>
      <c r="M38" s="6" t="str">
        <f>IFERROR(__xludf.DUMMYFUNCTION("""COMPUTED_VALUE"""),"")</f>
        <v/>
      </c>
      <c r="N38" s="6" t="str">
        <f>IFERROR(__xludf.DUMMYFUNCTION("""COMPUTED_VALUE"""),"")</f>
        <v/>
      </c>
      <c r="O38" s="87" t="str">
        <f>IFERROR(__xludf.DUMMYFUNCTION("""COMPUTED_VALUE"""),"https://drive.google.com/drive/folders/10T2cTQHqEJZqE-st6uFKPoI?usp=share_link")</f>
        <v>https://drive.google.com/drive/folders/10T2cTQHqEJZqE-st6uFKPoI?usp=share_link</v>
      </c>
      <c r="P38" s="6" t="str">
        <f>IFERROR(__xludf.DUMMYFUNCTION("""COMPUTED_VALUE"""),"Winifred Thistletown")</f>
        <v>Winifred Thistletown</v>
      </c>
      <c r="Q38" s="6" t="str">
        <f>IFERROR(__xludf.DUMMYFUNCTION("""COMPUTED_VALUE"""),"L1")</f>
        <v>L1</v>
      </c>
      <c r="R38" s="6">
        <f>IFERROR(__xludf.DUMMYFUNCTION("""COMPUTED_VALUE"""),1.0)</f>
        <v>1</v>
      </c>
      <c r="S38" s="6" t="str">
        <f>IFERROR(__xludf.DUMMYFUNCTION("""COMPUTED_VALUE""")," ")</f>
        <v> </v>
      </c>
      <c r="T38" s="6" t="str">
        <f>IFERROR(__xludf.DUMMYFUNCTION("""COMPUTED_VALUE"""),"")</f>
        <v/>
      </c>
      <c r="U38" s="6" t="str">
        <f>IFERROR(__xludf.DUMMYFUNCTION("""COMPUTED_VALUE"""),"4")</f>
        <v>4</v>
      </c>
      <c r="V38" s="6" t="str">
        <f>IFERROR(__xludf.DUMMYFUNCTION("""COMPUTED_VALUE"""),"")</f>
        <v/>
      </c>
      <c r="W38" s="6" t="str">
        <f>IFERROR(__xludf.DUMMYFUNCTION("""COMPUTED_VALUE"""),"[]")</f>
        <v>[]</v>
      </c>
      <c r="X38" s="6" t="str">
        <f>IFERROR(__xludf.DUMMYFUNCTION("""COMPUTED_VALUE"""),"Enrolled")</f>
        <v>Enrolled</v>
      </c>
    </row>
    <row r="39">
      <c r="A39" s="6" t="str">
        <f>IFERROR(__xludf.DUMMYFUNCTION("""COMPUTED_VALUE"""),"000-11189")</f>
        <v>000-11189</v>
      </c>
      <c r="B39" s="6" t="str">
        <f>IFERROR(__xludf.DUMMYFUNCTION("""COMPUTED_VALUE"""),"0")</f>
        <v>0</v>
      </c>
      <c r="C39" s="6" t="str">
        <f>IFERROR(__xludf.DUMMYFUNCTION("""COMPUTED_VALUE"""),"11189")</f>
        <v>11189</v>
      </c>
      <c r="D39" s="6" t="str">
        <f>IFERROR(__xludf.DUMMYFUNCTION("""COMPUTED_VALUE"""),"AA")</f>
        <v>AA</v>
      </c>
      <c r="E39" s="6" t="str">
        <f>IFERROR(__xludf.DUMMYFUNCTION("""COMPUTED_VALUE"""),"")</f>
        <v/>
      </c>
      <c r="F39" s="6" t="str">
        <f>IFERROR(__xludf.DUMMYFUNCTION("""COMPUTED_VALUE"""),"Test")</f>
        <v>Test</v>
      </c>
      <c r="G39" s="6" t="str">
        <f>IFERROR(__xludf.DUMMYFUNCTION("""COMPUTED_VALUE"""),"07/31/2017")</f>
        <v>07/31/2017</v>
      </c>
      <c r="H39" s="6" t="str">
        <f>IFERROR(__xludf.DUMMYFUNCTION("""COMPUTED_VALUE"""),"male")</f>
        <v>male</v>
      </c>
      <c r="I39" s="6" t="str">
        <f>IFERROR(__xludf.DUMMYFUNCTION("""COMPUTED_VALUE"""),"Level 1")</f>
        <v>Level 1</v>
      </c>
      <c r="J39" s="6" t="str">
        <f>IFERROR(__xludf.DUMMYFUNCTION("""COMPUTED_VALUE"""),"4")</f>
        <v>4</v>
      </c>
      <c r="K39" s="6" t="str">
        <f>IFERROR(__xludf.DUMMYFUNCTION("""COMPUTED_VALUE"""),"aa.test@2hourlearning.com")</f>
        <v>aa.test@2hourlearning.com</v>
      </c>
      <c r="L39" s="6" t="str">
        <f>IFERROR(__xludf.DUMMYFUNCTION("""COMPUTED_VALUE"""),"Alpha Anywhere (homeschool)")</f>
        <v>Alpha Anywhere (homeschool)</v>
      </c>
      <c r="M39" s="6" t="str">
        <f>IFERROR(__xludf.DUMMYFUNCTION("""COMPUTED_VALUE"""),"")</f>
        <v/>
      </c>
      <c r="N39" s="6" t="str">
        <f>IFERROR(__xludf.DUMMYFUNCTION("""COMPUTED_VALUE"""),"")</f>
        <v/>
      </c>
      <c r="O39" s="87" t="str">
        <f>IFERROR(__xludf.DUMMYFUNCTION("""COMPUTED_VALUE"""),"https://drive.google.com/drive/folders/10T2cTQHqEJZqE-st6uFKPoI?usp=share_link")</f>
        <v>https://drive.google.com/drive/folders/10T2cTQHqEJZqE-st6uFKPoI?usp=share_link</v>
      </c>
      <c r="P39" s="6" t="str">
        <f>IFERROR(__xludf.DUMMYFUNCTION("""COMPUTED_VALUE"""),"AA Test")</f>
        <v>AA Test</v>
      </c>
      <c r="Q39" s="6" t="str">
        <f>IFERROR(__xludf.DUMMYFUNCTION("""COMPUTED_VALUE"""),"L1")</f>
        <v>L1</v>
      </c>
      <c r="R39" s="6">
        <f>IFERROR(__xludf.DUMMYFUNCTION("""COMPUTED_VALUE"""),1.0)</f>
        <v>1</v>
      </c>
      <c r="S39" s="6" t="str">
        <f>IFERROR(__xludf.DUMMYFUNCTION("""COMPUTED_VALUE""")," ")</f>
        <v> </v>
      </c>
      <c r="T39" s="6" t="str">
        <f>IFERROR(__xludf.DUMMYFUNCTION("""COMPUTED_VALUE"""),"")</f>
        <v/>
      </c>
      <c r="U39" s="6" t="str">
        <f>IFERROR(__xludf.DUMMYFUNCTION("""COMPUTED_VALUE"""),"4")</f>
        <v>4</v>
      </c>
      <c r="V39" s="6" t="str">
        <f>IFERROR(__xludf.DUMMYFUNCTION("""COMPUTED_VALUE"""),"")</f>
        <v/>
      </c>
      <c r="W39" s="6" t="str">
        <f>IFERROR(__xludf.DUMMYFUNCTION("""COMPUTED_VALUE"""),"[]")</f>
        <v>[]</v>
      </c>
      <c r="X39" s="6" t="str">
        <f>IFERROR(__xludf.DUMMYFUNCTION("""COMPUTED_VALUE"""),"Enrolled")</f>
        <v>Enrolled</v>
      </c>
    </row>
    <row r="40">
      <c r="A40" s="6" t="str">
        <f>IFERROR(__xludf.DUMMYFUNCTION("""COMPUTED_VALUE"""),"000-11193")</f>
        <v>000-11193</v>
      </c>
      <c r="B40" s="6" t="str">
        <f>IFERROR(__xludf.DUMMYFUNCTION("""COMPUTED_VALUE"""),"0")</f>
        <v>0</v>
      </c>
      <c r="C40" s="6" t="str">
        <f>IFERROR(__xludf.DUMMYFUNCTION("""COMPUTED_VALUE"""),"11193")</f>
        <v>11193</v>
      </c>
      <c r="D40" s="6" t="str">
        <f>IFERROR(__xludf.DUMMYFUNCTION("""COMPUTED_VALUE"""),"Sophia")</f>
        <v>Sophia</v>
      </c>
      <c r="E40" s="6" t="str">
        <f>IFERROR(__xludf.DUMMYFUNCTION("""COMPUTED_VALUE"""),"")</f>
        <v/>
      </c>
      <c r="F40" s="6" t="str">
        <f>IFERROR(__xludf.DUMMYFUNCTION("""COMPUTED_VALUE"""),"Meyerowitz")</f>
        <v>Meyerowitz</v>
      </c>
      <c r="G40" s="6" t="str">
        <f>IFERROR(__xludf.DUMMYFUNCTION("""COMPUTED_VALUE"""),"09/22/2012")</f>
        <v>09/22/2012</v>
      </c>
      <c r="H40" s="6" t="str">
        <f>IFERROR(__xludf.DUMMYFUNCTION("""COMPUTED_VALUE"""),"female")</f>
        <v>female</v>
      </c>
      <c r="I40" s="6" t="str">
        <f>IFERROR(__xludf.DUMMYFUNCTION("""COMPUTED_VALUE"""),"Middle School")</f>
        <v>Middle School</v>
      </c>
      <c r="J40" s="6" t="str">
        <f>IFERROR(__xludf.DUMMYFUNCTION("""COMPUTED_VALUE"""),"8")</f>
        <v>8</v>
      </c>
      <c r="K40" s="6" t="str">
        <f>IFERROR(__xludf.DUMMYFUNCTION("""COMPUTED_VALUE"""),"sophia.meyerowitz@2hourlearning.com")</f>
        <v>sophia.meyerowitz@2hourlearning.com</v>
      </c>
      <c r="L40" s="6" t="str">
        <f>IFERROR(__xludf.DUMMYFUNCTION("""COMPUTED_VALUE"""),"Alpha Anywhere (homeschool)")</f>
        <v>Alpha Anywhere (homeschool)</v>
      </c>
      <c r="M40" s="6" t="str">
        <f>IFERROR(__xludf.DUMMYFUNCTION("""COMPUTED_VALUE"""),"")</f>
        <v/>
      </c>
      <c r="N40" s="6" t="str">
        <f>IFERROR(__xludf.DUMMYFUNCTION("""COMPUTED_VALUE"""),"")</f>
        <v/>
      </c>
      <c r="O40" s="87" t="str">
        <f>IFERROR(__xludf.DUMMYFUNCTION("""COMPUTED_VALUE"""),"https://drive.google.com/drive/folders/10T2cTQHqEJZqE-st6uFKPoI?usp=share_link")</f>
        <v>https://drive.google.com/drive/folders/10T2cTQHqEJZqE-st6uFKPoI?usp=share_link</v>
      </c>
      <c r="P40" s="6" t="str">
        <f>IFERROR(__xludf.DUMMYFUNCTION("""COMPUTED_VALUE"""),"Sophia Meyerowitz")</f>
        <v>Sophia Meyerowitz</v>
      </c>
      <c r="Q40" s="6" t="str">
        <f>IFERROR(__xludf.DUMMYFUNCTION("""COMPUTED_VALUE"""),"MS")</f>
        <v>MS</v>
      </c>
      <c r="R40" s="6">
        <f>IFERROR(__xludf.DUMMYFUNCTION("""COMPUTED_VALUE"""),0.0)</f>
        <v>0</v>
      </c>
      <c r="S40" s="6" t="str">
        <f>IFERROR(__xludf.DUMMYFUNCTION("""COMPUTED_VALUE""")," ")</f>
        <v> </v>
      </c>
      <c r="T40" s="6" t="str">
        <f>IFERROR(__xludf.DUMMYFUNCTION("""COMPUTED_VALUE"""),"")</f>
        <v/>
      </c>
      <c r="U40" s="6" t="str">
        <f>IFERROR(__xludf.DUMMYFUNCTION("""COMPUTED_VALUE"""),"8")</f>
        <v>8</v>
      </c>
      <c r="V40" s="6" t="str">
        <f>IFERROR(__xludf.DUMMYFUNCTION("""COMPUTED_VALUE"""),"")</f>
        <v/>
      </c>
      <c r="W40" s="6" t="str">
        <f>IFERROR(__xludf.DUMMYFUNCTION("""COMPUTED_VALUE"""),"[]")</f>
        <v>[]</v>
      </c>
      <c r="X40" s="6" t="str">
        <f>IFERROR(__xludf.DUMMYFUNCTION("""COMPUTED_VALUE"""),"Pending Review")</f>
        <v>Pending Review</v>
      </c>
    </row>
    <row r="41">
      <c r="A41" s="6" t="str">
        <f>IFERROR(__xludf.DUMMYFUNCTION("""COMPUTED_VALUE"""),"000-11194")</f>
        <v>000-11194</v>
      </c>
      <c r="B41" s="6" t="str">
        <f>IFERROR(__xludf.DUMMYFUNCTION("""COMPUTED_VALUE"""),"0")</f>
        <v>0</v>
      </c>
      <c r="C41" s="6" t="str">
        <f>IFERROR(__xludf.DUMMYFUNCTION("""COMPUTED_VALUE"""),"11194")</f>
        <v>11194</v>
      </c>
      <c r="D41" s="6" t="str">
        <f>IFERROR(__xludf.DUMMYFUNCTION("""COMPUTED_VALUE"""),"Hana")</f>
        <v>Hana</v>
      </c>
      <c r="E41" s="6" t="str">
        <f>IFERROR(__xludf.DUMMYFUNCTION("""COMPUTED_VALUE"""),"")</f>
        <v/>
      </c>
      <c r="F41" s="6" t="str">
        <f>IFERROR(__xludf.DUMMYFUNCTION("""COMPUTED_VALUE"""),"Meyerowitz")</f>
        <v>Meyerowitz</v>
      </c>
      <c r="G41" s="6" t="str">
        <f>IFERROR(__xludf.DUMMYFUNCTION("""COMPUTED_VALUE"""),"04/29/2015")</f>
        <v>04/29/2015</v>
      </c>
      <c r="H41" s="6" t="str">
        <f>IFERROR(__xludf.DUMMYFUNCTION("""COMPUTED_VALUE"""),"female")</f>
        <v>female</v>
      </c>
      <c r="I41" s="6" t="str">
        <f>IFERROR(__xludf.DUMMYFUNCTION("""COMPUTED_VALUE"""),"Level 2")</f>
        <v>Level 2</v>
      </c>
      <c r="J41" s="6" t="str">
        <f>IFERROR(__xludf.DUMMYFUNCTION("""COMPUTED_VALUE"""),"5")</f>
        <v>5</v>
      </c>
      <c r="K41" s="6" t="str">
        <f>IFERROR(__xludf.DUMMYFUNCTION("""COMPUTED_VALUE"""),"hana.meyerowitz@2hourlearning.com")</f>
        <v>hana.meyerowitz@2hourlearning.com</v>
      </c>
      <c r="L41" s="6" t="str">
        <f>IFERROR(__xludf.DUMMYFUNCTION("""COMPUTED_VALUE"""),"Alpha Anywhere (homeschool)")</f>
        <v>Alpha Anywhere (homeschool)</v>
      </c>
      <c r="M41" s="6" t="str">
        <f>IFERROR(__xludf.DUMMYFUNCTION("""COMPUTED_VALUE"""),"")</f>
        <v/>
      </c>
      <c r="N41" s="6" t="str">
        <f>IFERROR(__xludf.DUMMYFUNCTION("""COMPUTED_VALUE"""),"")</f>
        <v/>
      </c>
      <c r="O41" s="87" t="str">
        <f>IFERROR(__xludf.DUMMYFUNCTION("""COMPUTED_VALUE"""),"https://drive.google.com/drive/folders/10T2cTQHqEJZqE-st6uFKPoI?usp=share_link")</f>
        <v>https://drive.google.com/drive/folders/10T2cTQHqEJZqE-st6uFKPoI?usp=share_link</v>
      </c>
      <c r="P41" s="6" t="str">
        <f>IFERROR(__xludf.DUMMYFUNCTION("""COMPUTED_VALUE"""),"Hana Meyerowitz")</f>
        <v>Hana Meyerowitz</v>
      </c>
      <c r="Q41" s="6" t="str">
        <f>IFERROR(__xludf.DUMMYFUNCTION("""COMPUTED_VALUE"""),"L2")</f>
        <v>L2</v>
      </c>
      <c r="R41" s="6">
        <f>IFERROR(__xludf.DUMMYFUNCTION("""COMPUTED_VALUE"""),2.0)</f>
        <v>2</v>
      </c>
      <c r="S41" s="6" t="str">
        <f>IFERROR(__xludf.DUMMYFUNCTION("""COMPUTED_VALUE""")," ")</f>
        <v> </v>
      </c>
      <c r="T41" s="6" t="str">
        <f>IFERROR(__xludf.DUMMYFUNCTION("""COMPUTED_VALUE"""),"")</f>
        <v/>
      </c>
      <c r="U41" s="6" t="str">
        <f>IFERROR(__xludf.DUMMYFUNCTION("""COMPUTED_VALUE"""),"5")</f>
        <v>5</v>
      </c>
      <c r="V41" s="6" t="str">
        <f>IFERROR(__xludf.DUMMYFUNCTION("""COMPUTED_VALUE"""),"")</f>
        <v/>
      </c>
      <c r="W41" s="6" t="str">
        <f>IFERROR(__xludf.DUMMYFUNCTION("""COMPUTED_VALUE"""),"[]")</f>
        <v>[]</v>
      </c>
      <c r="X41" s="6" t="str">
        <f>IFERROR(__xludf.DUMMYFUNCTION("""COMPUTED_VALUE"""),"Pending Review")</f>
        <v>Pending Review</v>
      </c>
    </row>
    <row r="42">
      <c r="A42" s="6" t="str">
        <f>IFERROR(__xludf.DUMMYFUNCTION("""COMPUTED_VALUE"""),"000-11195")</f>
        <v>000-11195</v>
      </c>
      <c r="B42" s="6" t="str">
        <f>IFERROR(__xludf.DUMMYFUNCTION("""COMPUTED_VALUE"""),"0")</f>
        <v>0</v>
      </c>
      <c r="C42" s="6" t="str">
        <f>IFERROR(__xludf.DUMMYFUNCTION("""COMPUTED_VALUE"""),"11195")</f>
        <v>11195</v>
      </c>
      <c r="D42" s="6" t="str">
        <f>IFERROR(__xludf.DUMMYFUNCTION("""COMPUTED_VALUE"""),"Elijah")</f>
        <v>Elijah</v>
      </c>
      <c r="E42" s="6" t="str">
        <f>IFERROR(__xludf.DUMMYFUNCTION("""COMPUTED_VALUE"""),"")</f>
        <v/>
      </c>
      <c r="F42" s="6" t="str">
        <f>IFERROR(__xludf.DUMMYFUNCTION("""COMPUTED_VALUE"""),"Subervi")</f>
        <v>Subervi</v>
      </c>
      <c r="G42" s="6" t="str">
        <f>IFERROR(__xludf.DUMMYFUNCTION("""COMPUTED_VALUE"""),"01/31/2018")</f>
        <v>01/31/2018</v>
      </c>
      <c r="H42" s="6" t="str">
        <f>IFERROR(__xludf.DUMMYFUNCTION("""COMPUTED_VALUE"""),"male")</f>
        <v>male</v>
      </c>
      <c r="I42" s="6" t="str">
        <f>IFERROR(__xludf.DUMMYFUNCTION("""COMPUTED_VALUE"""),"Level 1")</f>
        <v>Level 1</v>
      </c>
      <c r="J42" s="6" t="str">
        <f>IFERROR(__xludf.DUMMYFUNCTION("""COMPUTED_VALUE"""),"2")</f>
        <v>2</v>
      </c>
      <c r="K42" s="6" t="str">
        <f>IFERROR(__xludf.DUMMYFUNCTION("""COMPUTED_VALUE"""),"elijah.subervi@2hourlearning.com")</f>
        <v>elijah.subervi@2hourlearning.com</v>
      </c>
      <c r="L42" s="6" t="str">
        <f>IFERROR(__xludf.DUMMYFUNCTION("""COMPUTED_VALUE"""),"Alpha Anywhere (homeschool)")</f>
        <v>Alpha Anywhere (homeschool)</v>
      </c>
      <c r="M42" s="6" t="str">
        <f>IFERROR(__xludf.DUMMYFUNCTION("""COMPUTED_VALUE"""),"")</f>
        <v/>
      </c>
      <c r="N42" s="6" t="str">
        <f>IFERROR(__xludf.DUMMYFUNCTION("""COMPUTED_VALUE"""),"")</f>
        <v/>
      </c>
      <c r="O42" s="87" t="str">
        <f>IFERROR(__xludf.DUMMYFUNCTION("""COMPUTED_VALUE"""),"https://drive.google.com/drive/folders/10T2cTQHqEJZqE-st6uFKPoI?usp=share_link")</f>
        <v>https://drive.google.com/drive/folders/10T2cTQHqEJZqE-st6uFKPoI?usp=share_link</v>
      </c>
      <c r="P42" s="6" t="str">
        <f>IFERROR(__xludf.DUMMYFUNCTION("""COMPUTED_VALUE"""),"Elijah Subervi")</f>
        <v>Elijah Subervi</v>
      </c>
      <c r="Q42" s="6" t="str">
        <f>IFERROR(__xludf.DUMMYFUNCTION("""COMPUTED_VALUE"""),"L1")</f>
        <v>L1</v>
      </c>
      <c r="R42" s="6">
        <f>IFERROR(__xludf.DUMMYFUNCTION("""COMPUTED_VALUE"""),1.0)</f>
        <v>1</v>
      </c>
      <c r="S42" s="6" t="str">
        <f>IFERROR(__xludf.DUMMYFUNCTION("""COMPUTED_VALUE""")," ")</f>
        <v> </v>
      </c>
      <c r="T42" s="6" t="str">
        <f>IFERROR(__xludf.DUMMYFUNCTION("""COMPUTED_VALUE"""),"")</f>
        <v/>
      </c>
      <c r="U42" s="6" t="str">
        <f>IFERROR(__xludf.DUMMYFUNCTION("""COMPUTED_VALUE"""),"2")</f>
        <v>2</v>
      </c>
      <c r="V42" s="6" t="str">
        <f>IFERROR(__xludf.DUMMYFUNCTION("""COMPUTED_VALUE"""),"")</f>
        <v/>
      </c>
      <c r="W42" s="6" t="str">
        <f>IFERROR(__xludf.DUMMYFUNCTION("""COMPUTED_VALUE"""),"[]")</f>
        <v>[]</v>
      </c>
      <c r="X42" s="6" t="str">
        <f>IFERROR(__xludf.DUMMYFUNCTION("""COMPUTED_VALUE"""),"Pending Review")</f>
        <v>Pending Review</v>
      </c>
    </row>
    <row r="43">
      <c r="A43" s="6" t="str">
        <f>IFERROR(__xludf.DUMMYFUNCTION("""COMPUTED_VALUE"""),"000-11205")</f>
        <v>000-11205</v>
      </c>
      <c r="B43" s="6" t="str">
        <f>IFERROR(__xludf.DUMMYFUNCTION("""COMPUTED_VALUE"""),"0")</f>
        <v>0</v>
      </c>
      <c r="C43" s="6" t="str">
        <f>IFERROR(__xludf.DUMMYFUNCTION("""COMPUTED_VALUE"""),"11205")</f>
        <v>11205</v>
      </c>
      <c r="D43" s="6" t="str">
        <f>IFERROR(__xludf.DUMMYFUNCTION("""COMPUTED_VALUE"""),"Doug")</f>
        <v>Doug</v>
      </c>
      <c r="E43" s="6" t="str">
        <f>IFERROR(__xludf.DUMMYFUNCTION("""COMPUTED_VALUE"""),"")</f>
        <v/>
      </c>
      <c r="F43" s="6" t="str">
        <f>IFERROR(__xludf.DUMMYFUNCTION("""COMPUTED_VALUE"""),"Buehler")</f>
        <v>Buehler</v>
      </c>
      <c r="G43" s="6" t="str">
        <f>IFERROR(__xludf.DUMMYFUNCTION("""COMPUTED_VALUE"""),"01/13/2015")</f>
        <v>01/13/2015</v>
      </c>
      <c r="H43" s="6" t="str">
        <f>IFERROR(__xludf.DUMMYFUNCTION("""COMPUTED_VALUE"""),"male")</f>
        <v>male</v>
      </c>
      <c r="I43" s="6" t="str">
        <f>IFERROR(__xludf.DUMMYFUNCTION("""COMPUTED_VALUE"""),"Level 1")</f>
        <v>Level 1</v>
      </c>
      <c r="J43" s="6" t="str">
        <f>IFERROR(__xludf.DUMMYFUNCTION("""COMPUTED_VALUE"""),"3")</f>
        <v>3</v>
      </c>
      <c r="K43" s="6" t="str">
        <f>IFERROR(__xludf.DUMMYFUNCTION("""COMPUTED_VALUE"""),"doug.buehler1@2hourlearning.com")</f>
        <v>doug.buehler1@2hourlearning.com</v>
      </c>
      <c r="L43" s="6" t="str">
        <f>IFERROR(__xludf.DUMMYFUNCTION("""COMPUTED_VALUE"""),"Alpha Anywhere (homeschool)")</f>
        <v>Alpha Anywhere (homeschool)</v>
      </c>
      <c r="M43" s="6" t="str">
        <f>IFERROR(__xludf.DUMMYFUNCTION("""COMPUTED_VALUE"""),"")</f>
        <v/>
      </c>
      <c r="N43" s="6" t="str">
        <f>IFERROR(__xludf.DUMMYFUNCTION("""COMPUTED_VALUE"""),"")</f>
        <v/>
      </c>
      <c r="O43" s="87" t="str">
        <f>IFERROR(__xludf.DUMMYFUNCTION("""COMPUTED_VALUE"""),"https://drive.google.com/drive/folders/10T2cTQHqEJZqE-st6uFKPoI?usp=share_link")</f>
        <v>https://drive.google.com/drive/folders/10T2cTQHqEJZqE-st6uFKPoI?usp=share_link</v>
      </c>
      <c r="P43" s="6" t="str">
        <f>IFERROR(__xludf.DUMMYFUNCTION("""COMPUTED_VALUE"""),"Doug Buehler")</f>
        <v>Doug Buehler</v>
      </c>
      <c r="Q43" s="6" t="str">
        <f>IFERROR(__xludf.DUMMYFUNCTION("""COMPUTED_VALUE"""),"L1")</f>
        <v>L1</v>
      </c>
      <c r="R43" s="6">
        <f>IFERROR(__xludf.DUMMYFUNCTION("""COMPUTED_VALUE"""),1.0)</f>
        <v>1</v>
      </c>
      <c r="S43" s="6" t="str">
        <f>IFERROR(__xludf.DUMMYFUNCTION("""COMPUTED_VALUE""")," ")</f>
        <v> </v>
      </c>
      <c r="T43" s="6" t="str">
        <f>IFERROR(__xludf.DUMMYFUNCTION("""COMPUTED_VALUE"""),"")</f>
        <v/>
      </c>
      <c r="U43" s="6" t="str">
        <f>IFERROR(__xludf.DUMMYFUNCTION("""COMPUTED_VALUE"""),"3")</f>
        <v>3</v>
      </c>
      <c r="V43" s="6" t="str">
        <f>IFERROR(__xludf.DUMMYFUNCTION("""COMPUTED_VALUE"""),"")</f>
        <v/>
      </c>
      <c r="W43" s="6" t="str">
        <f>IFERROR(__xludf.DUMMYFUNCTION("""COMPUTED_VALUE"""),"[]")</f>
        <v>[]</v>
      </c>
      <c r="X43" s="6" t="str">
        <f>IFERROR(__xludf.DUMMYFUNCTION("""COMPUTED_VALUE"""),"Pending Review")</f>
        <v>Pending Review</v>
      </c>
    </row>
    <row r="44">
      <c r="A44" s="6" t="str">
        <f>IFERROR(__xludf.DUMMYFUNCTION("""COMPUTED_VALUE"""),"000-11212")</f>
        <v>000-11212</v>
      </c>
      <c r="B44" s="6" t="str">
        <f>IFERROR(__xludf.DUMMYFUNCTION("""COMPUTED_VALUE"""),"0")</f>
        <v>0</v>
      </c>
      <c r="C44" s="6" t="str">
        <f>IFERROR(__xludf.DUMMYFUNCTION("""COMPUTED_VALUE"""),"11212")</f>
        <v>11212</v>
      </c>
      <c r="D44" s="6" t="str">
        <f>IFERROR(__xludf.DUMMYFUNCTION("""COMPUTED_VALUE"""),"Olivia")</f>
        <v>Olivia</v>
      </c>
      <c r="E44" s="6" t="str">
        <f>IFERROR(__xludf.DUMMYFUNCTION("""COMPUTED_VALUE"""),"")</f>
        <v/>
      </c>
      <c r="F44" s="6" t="str">
        <f>IFERROR(__xludf.DUMMYFUNCTION("""COMPUTED_VALUE"""),"Johnson")</f>
        <v>Johnson</v>
      </c>
      <c r="G44" s="6" t="str">
        <f>IFERROR(__xludf.DUMMYFUNCTION("""COMPUTED_VALUE"""),"01/15/2013")</f>
        <v>01/15/2013</v>
      </c>
      <c r="H44" s="6" t="str">
        <f>IFERROR(__xludf.DUMMYFUNCTION("""COMPUTED_VALUE"""),"male")</f>
        <v>male</v>
      </c>
      <c r="I44" s="6" t="str">
        <f>IFERROR(__xludf.DUMMYFUNCTION("""COMPUTED_VALUE"""),"Middle School")</f>
        <v>Middle School</v>
      </c>
      <c r="J44" s="6" t="str">
        <f>IFERROR(__xludf.DUMMYFUNCTION("""COMPUTED_VALUE"""),"7")</f>
        <v>7</v>
      </c>
      <c r="K44" s="6" t="str">
        <f>IFERROR(__xludf.DUMMYFUNCTION("""COMPUTED_VALUE"""),"olivia.johnson@2hourlearning.com")</f>
        <v>olivia.johnson@2hourlearning.com</v>
      </c>
      <c r="L44" s="6" t="str">
        <f>IFERROR(__xludf.DUMMYFUNCTION("""COMPUTED_VALUE"""),"Alpha Anywhere (homeschool)")</f>
        <v>Alpha Anywhere (homeschool)</v>
      </c>
      <c r="M44" s="6" t="str">
        <f>IFERROR(__xludf.DUMMYFUNCTION("""COMPUTED_VALUE"""),"")</f>
        <v/>
      </c>
      <c r="N44" s="6" t="str">
        <f>IFERROR(__xludf.DUMMYFUNCTION("""COMPUTED_VALUE"""),"")</f>
        <v/>
      </c>
      <c r="O44" s="87" t="str">
        <f>IFERROR(__xludf.DUMMYFUNCTION("""COMPUTED_VALUE"""),"https://drive.google.com/drive/folders/10T2cTQHqEJZqE-st6uFKPoI?usp=share_link")</f>
        <v>https://drive.google.com/drive/folders/10T2cTQHqEJZqE-st6uFKPoI?usp=share_link</v>
      </c>
      <c r="P44" s="6" t="str">
        <f>IFERROR(__xludf.DUMMYFUNCTION("""COMPUTED_VALUE"""),"Olivia Johnson")</f>
        <v>Olivia Johnson</v>
      </c>
      <c r="Q44" s="6" t="str">
        <f>IFERROR(__xludf.DUMMYFUNCTION("""COMPUTED_VALUE"""),"MS")</f>
        <v>MS</v>
      </c>
      <c r="R44" s="6">
        <f>IFERROR(__xludf.DUMMYFUNCTION("""COMPUTED_VALUE"""),0.0)</f>
        <v>0</v>
      </c>
      <c r="S44" s="6" t="str">
        <f>IFERROR(__xludf.DUMMYFUNCTION("""COMPUTED_VALUE""")," ")</f>
        <v> </v>
      </c>
      <c r="T44" s="6" t="str">
        <f>IFERROR(__xludf.DUMMYFUNCTION("""COMPUTED_VALUE"""),"")</f>
        <v/>
      </c>
      <c r="U44" s="6" t="str">
        <f>IFERROR(__xludf.DUMMYFUNCTION("""COMPUTED_VALUE"""),"7")</f>
        <v>7</v>
      </c>
      <c r="V44" s="6" t="str">
        <f>IFERROR(__xludf.DUMMYFUNCTION("""COMPUTED_VALUE"""),"")</f>
        <v/>
      </c>
      <c r="W44" s="6" t="str">
        <f>IFERROR(__xludf.DUMMYFUNCTION("""COMPUTED_VALUE"""),"[]")</f>
        <v>[]</v>
      </c>
      <c r="X44" s="6" t="str">
        <f>IFERROR(__xludf.DUMMYFUNCTION("""COMPUTED_VALUE"""),"Pending Review")</f>
        <v>Pending Review</v>
      </c>
    </row>
    <row r="45">
      <c r="A45" s="6" t="str">
        <f>IFERROR(__xludf.DUMMYFUNCTION("""COMPUTED_VALUE"""),"000-11219")</f>
        <v>000-11219</v>
      </c>
      <c r="B45" s="6" t="str">
        <f>IFERROR(__xludf.DUMMYFUNCTION("""COMPUTED_VALUE"""),"0")</f>
        <v>0</v>
      </c>
      <c r="C45" s="6" t="str">
        <f>IFERROR(__xludf.DUMMYFUNCTION("""COMPUTED_VALUE"""),"11219")</f>
        <v>11219</v>
      </c>
      <c r="D45" s="6" t="str">
        <f>IFERROR(__xludf.DUMMYFUNCTION("""COMPUTED_VALUE"""),"Victoria")</f>
        <v>Victoria</v>
      </c>
      <c r="E45" s="6" t="str">
        <f>IFERROR(__xludf.DUMMYFUNCTION("""COMPUTED_VALUE"""),"")</f>
        <v/>
      </c>
      <c r="F45" s="6" t="str">
        <f>IFERROR(__xludf.DUMMYFUNCTION("""COMPUTED_VALUE"""),"Upchurch")</f>
        <v>Upchurch</v>
      </c>
      <c r="G45" s="6" t="str">
        <f>IFERROR(__xludf.DUMMYFUNCTION("""COMPUTED_VALUE"""),"04/07/2013")</f>
        <v>04/07/2013</v>
      </c>
      <c r="H45" s="6" t="str">
        <f>IFERROR(__xludf.DUMMYFUNCTION("""COMPUTED_VALUE"""),"female")</f>
        <v>female</v>
      </c>
      <c r="I45" s="6" t="str">
        <f>IFERROR(__xludf.DUMMYFUNCTION("""COMPUTED_VALUE"""),"Middle School")</f>
        <v>Middle School</v>
      </c>
      <c r="J45" s="6" t="str">
        <f>IFERROR(__xludf.DUMMYFUNCTION("""COMPUTED_VALUE"""),"6")</f>
        <v>6</v>
      </c>
      <c r="K45" s="6" t="str">
        <f>IFERROR(__xludf.DUMMYFUNCTION("""COMPUTED_VALUE"""),"victoria.upchurch@2hourlearning.com")</f>
        <v>victoria.upchurch@2hourlearning.com</v>
      </c>
      <c r="L45" s="6" t="str">
        <f>IFERROR(__xludf.DUMMYFUNCTION("""COMPUTED_VALUE"""),"Alpha Anywhere (homeschool)")</f>
        <v>Alpha Anywhere (homeschool)</v>
      </c>
      <c r="M45" s="6" t="str">
        <f>IFERROR(__xludf.DUMMYFUNCTION("""COMPUTED_VALUE"""),"")</f>
        <v/>
      </c>
      <c r="N45" s="6" t="str">
        <f>IFERROR(__xludf.DUMMYFUNCTION("""COMPUTED_VALUE"""),"")</f>
        <v/>
      </c>
      <c r="O45" s="87" t="str">
        <f>IFERROR(__xludf.DUMMYFUNCTION("""COMPUTED_VALUE"""),"https://drive.google.com/drive/folders/10T2cTQHqEJZqE-st6uFKPoI?usp=share_link")</f>
        <v>https://drive.google.com/drive/folders/10T2cTQHqEJZqE-st6uFKPoI?usp=share_link</v>
      </c>
      <c r="P45" s="6" t="str">
        <f>IFERROR(__xludf.DUMMYFUNCTION("""COMPUTED_VALUE"""),"Victoria Upchurch")</f>
        <v>Victoria Upchurch</v>
      </c>
      <c r="Q45" s="6" t="str">
        <f>IFERROR(__xludf.DUMMYFUNCTION("""COMPUTED_VALUE"""),"MS")</f>
        <v>MS</v>
      </c>
      <c r="R45" s="6">
        <f>IFERROR(__xludf.DUMMYFUNCTION("""COMPUTED_VALUE"""),0.0)</f>
        <v>0</v>
      </c>
      <c r="S45" s="6" t="str">
        <f>IFERROR(__xludf.DUMMYFUNCTION("""COMPUTED_VALUE""")," ")</f>
        <v> </v>
      </c>
      <c r="T45" s="6" t="str">
        <f>IFERROR(__xludf.DUMMYFUNCTION("""COMPUTED_VALUE"""),"")</f>
        <v/>
      </c>
      <c r="U45" s="6" t="str">
        <f>IFERROR(__xludf.DUMMYFUNCTION("""COMPUTED_VALUE"""),"6")</f>
        <v>6</v>
      </c>
      <c r="V45" s="6" t="str">
        <f>IFERROR(__xludf.DUMMYFUNCTION("""COMPUTED_VALUE"""),"")</f>
        <v/>
      </c>
      <c r="W45" s="6" t="str">
        <f>IFERROR(__xludf.DUMMYFUNCTION("""COMPUTED_VALUE"""),"[]")</f>
        <v>[]</v>
      </c>
      <c r="X45" s="6" t="str">
        <f>IFERROR(__xludf.DUMMYFUNCTION("""COMPUTED_VALUE"""),"Pending Review")</f>
        <v>Pending Review</v>
      </c>
    </row>
    <row r="46">
      <c r="A46" s="6" t="str">
        <f>IFERROR(__xludf.DUMMYFUNCTION("""COMPUTED_VALUE"""),"000-11220")</f>
        <v>000-11220</v>
      </c>
      <c r="B46" s="6" t="str">
        <f>IFERROR(__xludf.DUMMYFUNCTION("""COMPUTED_VALUE"""),"0")</f>
        <v>0</v>
      </c>
      <c r="C46" s="6" t="str">
        <f>IFERROR(__xludf.DUMMYFUNCTION("""COMPUTED_VALUE"""),"11220")</f>
        <v>11220</v>
      </c>
      <c r="D46" s="6" t="str">
        <f>IFERROR(__xludf.DUMMYFUNCTION("""COMPUTED_VALUE"""),"Christian")</f>
        <v>Christian</v>
      </c>
      <c r="E46" s="6" t="str">
        <f>IFERROR(__xludf.DUMMYFUNCTION("""COMPUTED_VALUE"""),"")</f>
        <v/>
      </c>
      <c r="F46" s="6" t="str">
        <f>IFERROR(__xludf.DUMMYFUNCTION("""COMPUTED_VALUE"""),"Upchurch")</f>
        <v>Upchurch</v>
      </c>
      <c r="G46" s="6" t="str">
        <f>IFERROR(__xludf.DUMMYFUNCTION("""COMPUTED_VALUE"""),"08/14/2014")</f>
        <v>08/14/2014</v>
      </c>
      <c r="H46" s="6" t="str">
        <f>IFERROR(__xludf.DUMMYFUNCTION("""COMPUTED_VALUE"""),"male")</f>
        <v>male</v>
      </c>
      <c r="I46" s="6" t="str">
        <f>IFERROR(__xludf.DUMMYFUNCTION("""COMPUTED_VALUE"""),"Level 2")</f>
        <v>Level 2</v>
      </c>
      <c r="J46" s="6" t="str">
        <f>IFERROR(__xludf.DUMMYFUNCTION("""COMPUTED_VALUE"""),"5")</f>
        <v>5</v>
      </c>
      <c r="K46" s="6" t="str">
        <f>IFERROR(__xludf.DUMMYFUNCTION("""COMPUTED_VALUE"""),"christian.upchurch@2hourlearning.com")</f>
        <v>christian.upchurch@2hourlearning.com</v>
      </c>
      <c r="L46" s="6" t="str">
        <f>IFERROR(__xludf.DUMMYFUNCTION("""COMPUTED_VALUE"""),"Alpha Anywhere (homeschool)")</f>
        <v>Alpha Anywhere (homeschool)</v>
      </c>
      <c r="M46" s="6" t="str">
        <f>IFERROR(__xludf.DUMMYFUNCTION("""COMPUTED_VALUE"""),"")</f>
        <v/>
      </c>
      <c r="N46" s="6" t="str">
        <f>IFERROR(__xludf.DUMMYFUNCTION("""COMPUTED_VALUE"""),"")</f>
        <v/>
      </c>
      <c r="O46" s="87" t="str">
        <f>IFERROR(__xludf.DUMMYFUNCTION("""COMPUTED_VALUE"""),"https://drive.google.com/drive/folders/10T2cTQHqEJZqE-st6uFKPoI?usp=share_link")</f>
        <v>https://drive.google.com/drive/folders/10T2cTQHqEJZqE-st6uFKPoI?usp=share_link</v>
      </c>
      <c r="P46" s="6" t="str">
        <f>IFERROR(__xludf.DUMMYFUNCTION("""COMPUTED_VALUE"""),"Christian Upchurch")</f>
        <v>Christian Upchurch</v>
      </c>
      <c r="Q46" s="6" t="str">
        <f>IFERROR(__xludf.DUMMYFUNCTION("""COMPUTED_VALUE"""),"L2")</f>
        <v>L2</v>
      </c>
      <c r="R46" s="6">
        <f>IFERROR(__xludf.DUMMYFUNCTION("""COMPUTED_VALUE"""),2.0)</f>
        <v>2</v>
      </c>
      <c r="S46" s="6" t="str">
        <f>IFERROR(__xludf.DUMMYFUNCTION("""COMPUTED_VALUE""")," ")</f>
        <v> </v>
      </c>
      <c r="T46" s="6" t="str">
        <f>IFERROR(__xludf.DUMMYFUNCTION("""COMPUTED_VALUE"""),"")</f>
        <v/>
      </c>
      <c r="U46" s="6" t="str">
        <f>IFERROR(__xludf.DUMMYFUNCTION("""COMPUTED_VALUE"""),"5")</f>
        <v>5</v>
      </c>
      <c r="V46" s="6" t="str">
        <f>IFERROR(__xludf.DUMMYFUNCTION("""COMPUTED_VALUE"""),"")</f>
        <v/>
      </c>
      <c r="W46" s="6" t="str">
        <f>IFERROR(__xludf.DUMMYFUNCTION("""COMPUTED_VALUE"""),"[]")</f>
        <v>[]</v>
      </c>
      <c r="X46" s="6" t="str">
        <f>IFERROR(__xludf.DUMMYFUNCTION("""COMPUTED_VALUE"""),"Pending Review")</f>
        <v>Pending Review</v>
      </c>
    </row>
    <row r="47">
      <c r="A47" s="6" t="str">
        <f>IFERROR(__xludf.DUMMYFUNCTION("""COMPUTED_VALUE"""),"000-11221")</f>
        <v>000-11221</v>
      </c>
      <c r="B47" s="6" t="str">
        <f>IFERROR(__xludf.DUMMYFUNCTION("""COMPUTED_VALUE"""),"0")</f>
        <v>0</v>
      </c>
      <c r="C47" s="6" t="str">
        <f>IFERROR(__xludf.DUMMYFUNCTION("""COMPUTED_VALUE"""),"11221")</f>
        <v>11221</v>
      </c>
      <c r="D47" s="6" t="str">
        <f>IFERROR(__xludf.DUMMYFUNCTION("""COMPUTED_VALUE"""),"Gloria")</f>
        <v>Gloria</v>
      </c>
      <c r="E47" s="6" t="str">
        <f>IFERROR(__xludf.DUMMYFUNCTION("""COMPUTED_VALUE"""),"")</f>
        <v/>
      </c>
      <c r="F47" s="6" t="str">
        <f>IFERROR(__xludf.DUMMYFUNCTION("""COMPUTED_VALUE"""),"Upchurch")</f>
        <v>Upchurch</v>
      </c>
      <c r="G47" s="6" t="str">
        <f>IFERROR(__xludf.DUMMYFUNCTION("""COMPUTED_VALUE"""),"03/30/2018")</f>
        <v>03/30/2018</v>
      </c>
      <c r="H47" s="6" t="str">
        <f>IFERROR(__xludf.DUMMYFUNCTION("""COMPUTED_VALUE"""),"female")</f>
        <v>female</v>
      </c>
      <c r="I47" s="6" t="str">
        <f>IFERROR(__xludf.DUMMYFUNCTION("""COMPUTED_VALUE"""),"Level 1")</f>
        <v>Level 1</v>
      </c>
      <c r="J47" s="6" t="str">
        <f>IFERROR(__xludf.DUMMYFUNCTION("""COMPUTED_VALUE"""),"2")</f>
        <v>2</v>
      </c>
      <c r="K47" s="6" t="str">
        <f>IFERROR(__xludf.DUMMYFUNCTION("""COMPUTED_VALUE"""),"gloria.upchurch@2hourlearning.com")</f>
        <v>gloria.upchurch@2hourlearning.com</v>
      </c>
      <c r="L47" s="6" t="str">
        <f>IFERROR(__xludf.DUMMYFUNCTION("""COMPUTED_VALUE"""),"Alpha Anywhere (homeschool)")</f>
        <v>Alpha Anywhere (homeschool)</v>
      </c>
      <c r="M47" s="6" t="str">
        <f>IFERROR(__xludf.DUMMYFUNCTION("""COMPUTED_VALUE"""),"")</f>
        <v/>
      </c>
      <c r="N47" s="6" t="str">
        <f>IFERROR(__xludf.DUMMYFUNCTION("""COMPUTED_VALUE"""),"")</f>
        <v/>
      </c>
      <c r="O47" s="87" t="str">
        <f>IFERROR(__xludf.DUMMYFUNCTION("""COMPUTED_VALUE"""),"https://drive.google.com/drive/folders/10T2cTQHqEJZqE-st6uFKPoI?usp=share_link")</f>
        <v>https://drive.google.com/drive/folders/10T2cTQHqEJZqE-st6uFKPoI?usp=share_link</v>
      </c>
      <c r="P47" s="6" t="str">
        <f>IFERROR(__xludf.DUMMYFUNCTION("""COMPUTED_VALUE"""),"Gloria Upchurch")</f>
        <v>Gloria Upchurch</v>
      </c>
      <c r="Q47" s="6" t="str">
        <f>IFERROR(__xludf.DUMMYFUNCTION("""COMPUTED_VALUE"""),"L1")</f>
        <v>L1</v>
      </c>
      <c r="R47" s="6">
        <f>IFERROR(__xludf.DUMMYFUNCTION("""COMPUTED_VALUE"""),1.0)</f>
        <v>1</v>
      </c>
      <c r="S47" s="6" t="str">
        <f>IFERROR(__xludf.DUMMYFUNCTION("""COMPUTED_VALUE""")," ")</f>
        <v> </v>
      </c>
      <c r="T47" s="6" t="str">
        <f>IFERROR(__xludf.DUMMYFUNCTION("""COMPUTED_VALUE"""),"")</f>
        <v/>
      </c>
      <c r="U47" s="6" t="str">
        <f>IFERROR(__xludf.DUMMYFUNCTION("""COMPUTED_VALUE"""),"2")</f>
        <v>2</v>
      </c>
      <c r="V47" s="6" t="str">
        <f>IFERROR(__xludf.DUMMYFUNCTION("""COMPUTED_VALUE"""),"")</f>
        <v/>
      </c>
      <c r="W47" s="6" t="str">
        <f>IFERROR(__xludf.DUMMYFUNCTION("""COMPUTED_VALUE"""),"[]")</f>
        <v>[]</v>
      </c>
      <c r="X47" s="6" t="str">
        <f>IFERROR(__xludf.DUMMYFUNCTION("""COMPUTED_VALUE"""),"Pending Review")</f>
        <v>Pending Review</v>
      </c>
    </row>
    <row r="48">
      <c r="A48" s="6" t="str">
        <f>IFERROR(__xludf.DUMMYFUNCTION("""COMPUTED_VALUE"""),"000-11222")</f>
        <v>000-11222</v>
      </c>
      <c r="B48" s="6" t="str">
        <f>IFERROR(__xludf.DUMMYFUNCTION("""COMPUTED_VALUE"""),"0")</f>
        <v>0</v>
      </c>
      <c r="C48" s="6" t="str">
        <f>IFERROR(__xludf.DUMMYFUNCTION("""COMPUTED_VALUE"""),"11222")</f>
        <v>11222</v>
      </c>
      <c r="D48" s="6" t="str">
        <f>IFERROR(__xludf.DUMMYFUNCTION("""COMPUTED_VALUE"""),"Doug")</f>
        <v>Doug</v>
      </c>
      <c r="E48" s="6" t="str">
        <f>IFERROR(__xludf.DUMMYFUNCTION("""COMPUTED_VALUE"""),"")</f>
        <v/>
      </c>
      <c r="F48" s="6" t="str">
        <f>IFERROR(__xludf.DUMMYFUNCTION("""COMPUTED_VALUE"""),"Buehler")</f>
        <v>Buehler</v>
      </c>
      <c r="G48" s="6" t="str">
        <f>IFERROR(__xludf.DUMMYFUNCTION("""COMPUTED_VALUE"""),"01/15/2013")</f>
        <v>01/15/2013</v>
      </c>
      <c r="H48" s="6" t="str">
        <f>IFERROR(__xludf.DUMMYFUNCTION("""COMPUTED_VALUE"""),"male")</f>
        <v>male</v>
      </c>
      <c r="I48" s="6" t="str">
        <f>IFERROR(__xludf.DUMMYFUNCTION("""COMPUTED_VALUE"""),"Middle School")</f>
        <v>Middle School</v>
      </c>
      <c r="J48" s="6" t="str">
        <f>IFERROR(__xludf.DUMMYFUNCTION("""COMPUTED_VALUE"""),"8")</f>
        <v>8</v>
      </c>
      <c r="K48" s="6" t="str">
        <f>IFERROR(__xludf.DUMMYFUNCTION("""COMPUTED_VALUE"""),"doug.buehler2@2hourlearning.com")</f>
        <v>doug.buehler2@2hourlearning.com</v>
      </c>
      <c r="L48" s="6" t="str">
        <f>IFERROR(__xludf.DUMMYFUNCTION("""COMPUTED_VALUE"""),"Alpha Anywhere (homeschool)")</f>
        <v>Alpha Anywhere (homeschool)</v>
      </c>
      <c r="M48" s="6" t="str">
        <f>IFERROR(__xludf.DUMMYFUNCTION("""COMPUTED_VALUE"""),"")</f>
        <v/>
      </c>
      <c r="N48" s="6" t="str">
        <f>IFERROR(__xludf.DUMMYFUNCTION("""COMPUTED_VALUE"""),"")</f>
        <v/>
      </c>
      <c r="O48" s="87" t="str">
        <f>IFERROR(__xludf.DUMMYFUNCTION("""COMPUTED_VALUE"""),"https://drive.google.com/drive/folders/10T2cTQHqEJZqE-st6uFKPoI?usp=share_link")</f>
        <v>https://drive.google.com/drive/folders/10T2cTQHqEJZqE-st6uFKPoI?usp=share_link</v>
      </c>
      <c r="P48" s="6" t="str">
        <f>IFERROR(__xludf.DUMMYFUNCTION("""COMPUTED_VALUE"""),"Doug Buehler")</f>
        <v>Doug Buehler</v>
      </c>
      <c r="Q48" s="6" t="str">
        <f>IFERROR(__xludf.DUMMYFUNCTION("""COMPUTED_VALUE"""),"MS")</f>
        <v>MS</v>
      </c>
      <c r="R48" s="6">
        <f>IFERROR(__xludf.DUMMYFUNCTION("""COMPUTED_VALUE"""),0.0)</f>
        <v>0</v>
      </c>
      <c r="S48" s="6" t="str">
        <f>IFERROR(__xludf.DUMMYFUNCTION("""COMPUTED_VALUE""")," ")</f>
        <v> </v>
      </c>
      <c r="T48" s="6" t="str">
        <f>IFERROR(__xludf.DUMMYFUNCTION("""COMPUTED_VALUE"""),"")</f>
        <v/>
      </c>
      <c r="U48" s="6" t="str">
        <f>IFERROR(__xludf.DUMMYFUNCTION("""COMPUTED_VALUE"""),"8")</f>
        <v>8</v>
      </c>
      <c r="V48" s="6" t="str">
        <f>IFERROR(__xludf.DUMMYFUNCTION("""COMPUTED_VALUE"""),"")</f>
        <v/>
      </c>
      <c r="W48" s="6" t="str">
        <f>IFERROR(__xludf.DUMMYFUNCTION("""COMPUTED_VALUE"""),"[]")</f>
        <v>[]</v>
      </c>
      <c r="X48" s="6" t="str">
        <f>IFERROR(__xludf.DUMMYFUNCTION("""COMPUTED_VALUE"""),"Enrolled")</f>
        <v>Enrolled</v>
      </c>
    </row>
    <row r="49">
      <c r="A49" s="6" t="str">
        <f>IFERROR(__xludf.DUMMYFUNCTION("""COMPUTED_VALUE"""),"000-11223")</f>
        <v>000-11223</v>
      </c>
      <c r="B49" s="6" t="str">
        <f>IFERROR(__xludf.DUMMYFUNCTION("""COMPUTED_VALUE"""),"0")</f>
        <v>0</v>
      </c>
      <c r="C49" s="6" t="str">
        <f>IFERROR(__xludf.DUMMYFUNCTION("""COMPUTED_VALUE"""),"11223")</f>
        <v>11223</v>
      </c>
      <c r="D49" s="6" t="str">
        <f>IFERROR(__xludf.DUMMYFUNCTION("""COMPUTED_VALUE"""),"Ella")</f>
        <v>Ella</v>
      </c>
      <c r="E49" s="6" t="str">
        <f>IFERROR(__xludf.DUMMYFUNCTION("""COMPUTED_VALUE"""),"")</f>
        <v/>
      </c>
      <c r="F49" s="6" t="str">
        <f>IFERROR(__xludf.DUMMYFUNCTION("""COMPUTED_VALUE"""),"Verner")</f>
        <v>Verner</v>
      </c>
      <c r="G49" s="6" t="str">
        <f>IFERROR(__xludf.DUMMYFUNCTION("""COMPUTED_VALUE"""),"02/28/2018")</f>
        <v>02/28/2018</v>
      </c>
      <c r="H49" s="6" t="str">
        <f>IFERROR(__xludf.DUMMYFUNCTION("""COMPUTED_VALUE"""),"female")</f>
        <v>female</v>
      </c>
      <c r="I49" s="6" t="str">
        <f>IFERROR(__xludf.DUMMYFUNCTION("""COMPUTED_VALUE"""),"Level 1")</f>
        <v>Level 1</v>
      </c>
      <c r="J49" s="6" t="str">
        <f>IFERROR(__xludf.DUMMYFUNCTION("""COMPUTED_VALUE"""),"2")</f>
        <v>2</v>
      </c>
      <c r="K49" s="6" t="str">
        <f>IFERROR(__xludf.DUMMYFUNCTION("""COMPUTED_VALUE"""),"ella.verner@2hourlearning.com")</f>
        <v>ella.verner@2hourlearning.com</v>
      </c>
      <c r="L49" s="6" t="str">
        <f>IFERROR(__xludf.DUMMYFUNCTION("""COMPUTED_VALUE"""),"Alpha Anywhere (homeschool)")</f>
        <v>Alpha Anywhere (homeschool)</v>
      </c>
      <c r="M49" s="6" t="str">
        <f>IFERROR(__xludf.DUMMYFUNCTION("""COMPUTED_VALUE"""),"")</f>
        <v/>
      </c>
      <c r="N49" s="6" t="str">
        <f>IFERROR(__xludf.DUMMYFUNCTION("""COMPUTED_VALUE"""),"")</f>
        <v/>
      </c>
      <c r="O49" s="87" t="str">
        <f>IFERROR(__xludf.DUMMYFUNCTION("""COMPUTED_VALUE"""),"https://drive.google.com/drive/folders/10T2cTQHqEJZqE-st6uFKPoI?usp=share_link")</f>
        <v>https://drive.google.com/drive/folders/10T2cTQHqEJZqE-st6uFKPoI?usp=share_link</v>
      </c>
      <c r="P49" s="6" t="str">
        <f>IFERROR(__xludf.DUMMYFUNCTION("""COMPUTED_VALUE"""),"Ella Verner")</f>
        <v>Ella Verner</v>
      </c>
      <c r="Q49" s="6" t="str">
        <f>IFERROR(__xludf.DUMMYFUNCTION("""COMPUTED_VALUE"""),"L1")</f>
        <v>L1</v>
      </c>
      <c r="R49" s="6">
        <f>IFERROR(__xludf.DUMMYFUNCTION("""COMPUTED_VALUE"""),1.0)</f>
        <v>1</v>
      </c>
      <c r="S49" s="6" t="str">
        <f>IFERROR(__xludf.DUMMYFUNCTION("""COMPUTED_VALUE""")," ")</f>
        <v> </v>
      </c>
      <c r="T49" s="6" t="str">
        <f>IFERROR(__xludf.DUMMYFUNCTION("""COMPUTED_VALUE"""),"")</f>
        <v/>
      </c>
      <c r="U49" s="6" t="str">
        <f>IFERROR(__xludf.DUMMYFUNCTION("""COMPUTED_VALUE"""),"2")</f>
        <v>2</v>
      </c>
      <c r="V49" s="6" t="str">
        <f>IFERROR(__xludf.DUMMYFUNCTION("""COMPUTED_VALUE"""),"")</f>
        <v/>
      </c>
      <c r="W49" s="6" t="str">
        <f>IFERROR(__xludf.DUMMYFUNCTION("""COMPUTED_VALUE"""),"[]")</f>
        <v>[]</v>
      </c>
      <c r="X49" s="6" t="str">
        <f>IFERROR(__xludf.DUMMYFUNCTION("""COMPUTED_VALUE"""),"Pending Review")</f>
        <v>Pending Review</v>
      </c>
    </row>
    <row r="50">
      <c r="A50" s="6" t="str">
        <f>IFERROR(__xludf.DUMMYFUNCTION("""COMPUTED_VALUE"""),"000-11224")</f>
        <v>000-11224</v>
      </c>
      <c r="B50" s="6" t="str">
        <f>IFERROR(__xludf.DUMMYFUNCTION("""COMPUTED_VALUE"""),"0")</f>
        <v>0</v>
      </c>
      <c r="C50" s="6" t="str">
        <f>IFERROR(__xludf.DUMMYFUNCTION("""COMPUTED_VALUE"""),"11224")</f>
        <v>11224</v>
      </c>
      <c r="D50" s="6" t="str">
        <f>IFERROR(__xludf.DUMMYFUNCTION("""COMPUTED_VALUE"""),"Bey")</f>
        <v>Bey</v>
      </c>
      <c r="E50" s="6" t="str">
        <f>IFERROR(__xludf.DUMMYFUNCTION("""COMPUTED_VALUE"""),"")</f>
        <v/>
      </c>
      <c r="F50" s="6" t="str">
        <f>IFERROR(__xludf.DUMMYFUNCTION("""COMPUTED_VALUE"""),"Brenman")</f>
        <v>Brenman</v>
      </c>
      <c r="G50" s="6" t="str">
        <f>IFERROR(__xludf.DUMMYFUNCTION("""COMPUTED_VALUE"""),"08/21/2012")</f>
        <v>08/21/2012</v>
      </c>
      <c r="H50" s="6" t="str">
        <f>IFERROR(__xludf.DUMMYFUNCTION("""COMPUTED_VALUE"""),"male")</f>
        <v>male</v>
      </c>
      <c r="I50" s="6" t="str">
        <f>IFERROR(__xludf.DUMMYFUNCTION("""COMPUTED_VALUE"""),"Middle School")</f>
        <v>Middle School</v>
      </c>
      <c r="J50" s="6" t="str">
        <f>IFERROR(__xludf.DUMMYFUNCTION("""COMPUTED_VALUE"""),"7")</f>
        <v>7</v>
      </c>
      <c r="K50" s="6" t="str">
        <f>IFERROR(__xludf.DUMMYFUNCTION("""COMPUTED_VALUE"""),"bey.brenman@2hourlearning.com")</f>
        <v>bey.brenman@2hourlearning.com</v>
      </c>
      <c r="L50" s="6" t="str">
        <f>IFERROR(__xludf.DUMMYFUNCTION("""COMPUTED_VALUE"""),"Alpha Anywhere (homeschool)")</f>
        <v>Alpha Anywhere (homeschool)</v>
      </c>
      <c r="M50" s="6" t="str">
        <f>IFERROR(__xludf.DUMMYFUNCTION("""COMPUTED_VALUE"""),"")</f>
        <v/>
      </c>
      <c r="N50" s="6" t="str">
        <f>IFERROR(__xludf.DUMMYFUNCTION("""COMPUTED_VALUE"""),"")</f>
        <v/>
      </c>
      <c r="O50" s="87" t="str">
        <f>IFERROR(__xludf.DUMMYFUNCTION("""COMPUTED_VALUE"""),"https://drive.google.com/drive/folders/10T2cTQHqEJZqE-st6uFKPoI?usp=share_link")</f>
        <v>https://drive.google.com/drive/folders/10T2cTQHqEJZqE-st6uFKPoI?usp=share_link</v>
      </c>
      <c r="P50" s="6" t="str">
        <f>IFERROR(__xludf.DUMMYFUNCTION("""COMPUTED_VALUE"""),"Bey Brenman")</f>
        <v>Bey Brenman</v>
      </c>
      <c r="Q50" s="6" t="str">
        <f>IFERROR(__xludf.DUMMYFUNCTION("""COMPUTED_VALUE"""),"MS")</f>
        <v>MS</v>
      </c>
      <c r="R50" s="6">
        <f>IFERROR(__xludf.DUMMYFUNCTION("""COMPUTED_VALUE"""),0.0)</f>
        <v>0</v>
      </c>
      <c r="S50" s="6" t="str">
        <f>IFERROR(__xludf.DUMMYFUNCTION("""COMPUTED_VALUE""")," ")</f>
        <v> </v>
      </c>
      <c r="T50" s="6" t="str">
        <f>IFERROR(__xludf.DUMMYFUNCTION("""COMPUTED_VALUE"""),"")</f>
        <v/>
      </c>
      <c r="U50" s="6" t="str">
        <f>IFERROR(__xludf.DUMMYFUNCTION("""COMPUTED_VALUE"""),"7")</f>
        <v>7</v>
      </c>
      <c r="V50" s="6" t="str">
        <f>IFERROR(__xludf.DUMMYFUNCTION("""COMPUTED_VALUE"""),"")</f>
        <v/>
      </c>
      <c r="W50" s="6" t="str">
        <f>IFERROR(__xludf.DUMMYFUNCTION("""COMPUTED_VALUE"""),"[]")</f>
        <v>[]</v>
      </c>
      <c r="X50" s="6" t="str">
        <f>IFERROR(__xludf.DUMMYFUNCTION("""COMPUTED_VALUE"""),"Pending Review")</f>
        <v>Pending Review</v>
      </c>
    </row>
    <row r="51">
      <c r="A51" s="6" t="str">
        <f>IFERROR(__xludf.DUMMYFUNCTION("""COMPUTED_VALUE"""),"000-11226")</f>
        <v>000-11226</v>
      </c>
      <c r="B51" s="6" t="str">
        <f>IFERROR(__xludf.DUMMYFUNCTION("""COMPUTED_VALUE"""),"0")</f>
        <v>0</v>
      </c>
      <c r="C51" s="6" t="str">
        <f>IFERROR(__xludf.DUMMYFUNCTION("""COMPUTED_VALUE"""),"11226")</f>
        <v>11226</v>
      </c>
      <c r="D51" s="6" t="str">
        <f>IFERROR(__xludf.DUMMYFUNCTION("""COMPUTED_VALUE"""),"Aris")</f>
        <v>Aris</v>
      </c>
      <c r="E51" s="6" t="str">
        <f>IFERROR(__xludf.DUMMYFUNCTION("""COMPUTED_VALUE"""),"")</f>
        <v/>
      </c>
      <c r="F51" s="6" t="str">
        <f>IFERROR(__xludf.DUMMYFUNCTION("""COMPUTED_VALUE"""),"Brenman")</f>
        <v>Brenman</v>
      </c>
      <c r="G51" s="6" t="str">
        <f>IFERROR(__xludf.DUMMYFUNCTION("""COMPUTED_VALUE"""),"01/27/2015")</f>
        <v>01/27/2015</v>
      </c>
      <c r="H51" s="6" t="str">
        <f>IFERROR(__xludf.DUMMYFUNCTION("""COMPUTED_VALUE"""),"female")</f>
        <v>female</v>
      </c>
      <c r="I51" s="6" t="str">
        <f>IFERROR(__xludf.DUMMYFUNCTION("""COMPUTED_VALUE"""),"Level 2")</f>
        <v>Level 2</v>
      </c>
      <c r="J51" s="6" t="str">
        <f>IFERROR(__xludf.DUMMYFUNCTION("""COMPUTED_VALUE"""),"5")</f>
        <v>5</v>
      </c>
      <c r="K51" s="6" t="str">
        <f>IFERROR(__xludf.DUMMYFUNCTION("""COMPUTED_VALUE"""),"aris.brenman@2hourlearning.com")</f>
        <v>aris.brenman@2hourlearning.com</v>
      </c>
      <c r="L51" s="6" t="str">
        <f>IFERROR(__xludf.DUMMYFUNCTION("""COMPUTED_VALUE"""),"Alpha Anywhere (homeschool)")</f>
        <v>Alpha Anywhere (homeschool)</v>
      </c>
      <c r="M51" s="6" t="str">
        <f>IFERROR(__xludf.DUMMYFUNCTION("""COMPUTED_VALUE"""),"")</f>
        <v/>
      </c>
      <c r="N51" s="6" t="str">
        <f>IFERROR(__xludf.DUMMYFUNCTION("""COMPUTED_VALUE"""),"")</f>
        <v/>
      </c>
      <c r="O51" s="87" t="str">
        <f>IFERROR(__xludf.DUMMYFUNCTION("""COMPUTED_VALUE"""),"https://drive.google.com/drive/folders/10T2cTQHqEJZqE-st6uFKPoI?usp=share_link")</f>
        <v>https://drive.google.com/drive/folders/10T2cTQHqEJZqE-st6uFKPoI?usp=share_link</v>
      </c>
      <c r="P51" s="6" t="str">
        <f>IFERROR(__xludf.DUMMYFUNCTION("""COMPUTED_VALUE"""),"Aris Brenman")</f>
        <v>Aris Brenman</v>
      </c>
      <c r="Q51" s="6" t="str">
        <f>IFERROR(__xludf.DUMMYFUNCTION("""COMPUTED_VALUE"""),"L2")</f>
        <v>L2</v>
      </c>
      <c r="R51" s="6">
        <f>IFERROR(__xludf.DUMMYFUNCTION("""COMPUTED_VALUE"""),2.0)</f>
        <v>2</v>
      </c>
      <c r="S51" s="6" t="str">
        <f>IFERROR(__xludf.DUMMYFUNCTION("""COMPUTED_VALUE""")," ")</f>
        <v> </v>
      </c>
      <c r="T51" s="6" t="str">
        <f>IFERROR(__xludf.DUMMYFUNCTION("""COMPUTED_VALUE"""),"")</f>
        <v/>
      </c>
      <c r="U51" s="6" t="str">
        <f>IFERROR(__xludf.DUMMYFUNCTION("""COMPUTED_VALUE"""),"5")</f>
        <v>5</v>
      </c>
      <c r="V51" s="6" t="str">
        <f>IFERROR(__xludf.DUMMYFUNCTION("""COMPUTED_VALUE"""),"")</f>
        <v/>
      </c>
      <c r="W51" s="6" t="str">
        <f>IFERROR(__xludf.DUMMYFUNCTION("""COMPUTED_VALUE"""),"[]")</f>
        <v>[]</v>
      </c>
      <c r="X51" s="6" t="str">
        <f>IFERROR(__xludf.DUMMYFUNCTION("""COMPUTED_VALUE"""),"Pending Review")</f>
        <v>Pending Review</v>
      </c>
    </row>
    <row r="52">
      <c r="A52" s="6" t="str">
        <f>IFERROR(__xludf.DUMMYFUNCTION("""COMPUTED_VALUE"""),"000-11227")</f>
        <v>000-11227</v>
      </c>
      <c r="B52" s="6" t="str">
        <f>IFERROR(__xludf.DUMMYFUNCTION("""COMPUTED_VALUE"""),"0")</f>
        <v>0</v>
      </c>
      <c r="C52" s="6" t="str">
        <f>IFERROR(__xludf.DUMMYFUNCTION("""COMPUTED_VALUE"""),"11227")</f>
        <v>11227</v>
      </c>
      <c r="D52" s="6" t="str">
        <f>IFERROR(__xludf.DUMMYFUNCTION("""COMPUTED_VALUE"""),"Caden")</f>
        <v>Caden</v>
      </c>
      <c r="E52" s="6" t="str">
        <f>IFERROR(__xludf.DUMMYFUNCTION("""COMPUTED_VALUE"""),"")</f>
        <v/>
      </c>
      <c r="F52" s="6" t="str">
        <f>IFERROR(__xludf.DUMMYFUNCTION("""COMPUTED_VALUE"""),"Lee")</f>
        <v>Lee</v>
      </c>
      <c r="G52" s="6" t="str">
        <f>IFERROR(__xludf.DUMMYFUNCTION("""COMPUTED_VALUE"""),"12/01/2014")</f>
        <v>12/01/2014</v>
      </c>
      <c r="H52" s="6" t="str">
        <f>IFERROR(__xludf.DUMMYFUNCTION("""COMPUTED_VALUE"""),"male")</f>
        <v>male</v>
      </c>
      <c r="I52" s="6" t="str">
        <f>IFERROR(__xludf.DUMMYFUNCTION("""COMPUTED_VALUE"""),"Level 2")</f>
        <v>Level 2</v>
      </c>
      <c r="J52" s="6" t="str">
        <f>IFERROR(__xludf.DUMMYFUNCTION("""COMPUTED_VALUE"""),"5")</f>
        <v>5</v>
      </c>
      <c r="K52" s="6" t="str">
        <f>IFERROR(__xludf.DUMMYFUNCTION("""COMPUTED_VALUE"""),"caden.lee@2hourlearning.com")</f>
        <v>caden.lee@2hourlearning.com</v>
      </c>
      <c r="L52" s="6" t="str">
        <f>IFERROR(__xludf.DUMMYFUNCTION("""COMPUTED_VALUE"""),"Alpha Anywhere (homeschool)")</f>
        <v>Alpha Anywhere (homeschool)</v>
      </c>
      <c r="M52" s="6" t="str">
        <f>IFERROR(__xludf.DUMMYFUNCTION("""COMPUTED_VALUE"""),"")</f>
        <v/>
      </c>
      <c r="N52" s="6" t="str">
        <f>IFERROR(__xludf.DUMMYFUNCTION("""COMPUTED_VALUE"""),"")</f>
        <v/>
      </c>
      <c r="O52" s="87" t="str">
        <f>IFERROR(__xludf.DUMMYFUNCTION("""COMPUTED_VALUE"""),"https://drive.google.com/drive/folders/10T2cTQHqEJZqE-st6uFKPoI?usp=share_link")</f>
        <v>https://drive.google.com/drive/folders/10T2cTQHqEJZqE-st6uFKPoI?usp=share_link</v>
      </c>
      <c r="P52" s="6" t="str">
        <f>IFERROR(__xludf.DUMMYFUNCTION("""COMPUTED_VALUE"""),"Caden Lee")</f>
        <v>Caden Lee</v>
      </c>
      <c r="Q52" s="6" t="str">
        <f>IFERROR(__xludf.DUMMYFUNCTION("""COMPUTED_VALUE"""),"L2")</f>
        <v>L2</v>
      </c>
      <c r="R52" s="6">
        <f>IFERROR(__xludf.DUMMYFUNCTION("""COMPUTED_VALUE"""),2.0)</f>
        <v>2</v>
      </c>
      <c r="S52" s="6" t="str">
        <f>IFERROR(__xludf.DUMMYFUNCTION("""COMPUTED_VALUE""")," ")</f>
        <v> </v>
      </c>
      <c r="T52" s="6" t="str">
        <f>IFERROR(__xludf.DUMMYFUNCTION("""COMPUTED_VALUE"""),"")</f>
        <v/>
      </c>
      <c r="U52" s="6" t="str">
        <f>IFERROR(__xludf.DUMMYFUNCTION("""COMPUTED_VALUE"""),"5")</f>
        <v>5</v>
      </c>
      <c r="V52" s="6" t="str">
        <f>IFERROR(__xludf.DUMMYFUNCTION("""COMPUTED_VALUE"""),"")</f>
        <v/>
      </c>
      <c r="W52" s="6" t="str">
        <f>IFERROR(__xludf.DUMMYFUNCTION("""COMPUTED_VALUE"""),"[]")</f>
        <v>[]</v>
      </c>
      <c r="X52" s="6" t="str">
        <f>IFERROR(__xludf.DUMMYFUNCTION("""COMPUTED_VALUE"""),"Pending Review")</f>
        <v>Pending Review</v>
      </c>
    </row>
    <row r="53">
      <c r="A53" s="6" t="str">
        <f>IFERROR(__xludf.DUMMYFUNCTION("""COMPUTED_VALUE"""),"000-11228")</f>
        <v>000-11228</v>
      </c>
      <c r="B53" s="6" t="str">
        <f>IFERROR(__xludf.DUMMYFUNCTION("""COMPUTED_VALUE"""),"0")</f>
        <v>0</v>
      </c>
      <c r="C53" s="6" t="str">
        <f>IFERROR(__xludf.DUMMYFUNCTION("""COMPUTED_VALUE"""),"11228")</f>
        <v>11228</v>
      </c>
      <c r="D53" s="6" t="str">
        <f>IFERROR(__xludf.DUMMYFUNCTION("""COMPUTED_VALUE"""),"Lauren")</f>
        <v>Lauren</v>
      </c>
      <c r="E53" s="6" t="str">
        <f>IFERROR(__xludf.DUMMYFUNCTION("""COMPUTED_VALUE"""),"")</f>
        <v/>
      </c>
      <c r="F53" s="6" t="str">
        <f>IFERROR(__xludf.DUMMYFUNCTION("""COMPUTED_VALUE"""),"Lee")</f>
        <v>Lee</v>
      </c>
      <c r="G53" s="6" t="str">
        <f>IFERROR(__xludf.DUMMYFUNCTION("""COMPUTED_VALUE"""),"12/01/2017")</f>
        <v>12/01/2017</v>
      </c>
      <c r="H53" s="6" t="str">
        <f>IFERROR(__xludf.DUMMYFUNCTION("""COMPUTED_VALUE"""),"female")</f>
        <v>female</v>
      </c>
      <c r="I53" s="6" t="str">
        <f>IFERROR(__xludf.DUMMYFUNCTION("""COMPUTED_VALUE"""),"Level 1")</f>
        <v>Level 1</v>
      </c>
      <c r="J53" s="6" t="str">
        <f>IFERROR(__xludf.DUMMYFUNCTION("""COMPUTED_VALUE"""),"3")</f>
        <v>3</v>
      </c>
      <c r="K53" s="6" t="str">
        <f>IFERROR(__xludf.DUMMYFUNCTION("""COMPUTED_VALUE"""),"lauren.lee@2hourlearning.com")</f>
        <v>lauren.lee@2hourlearning.com</v>
      </c>
      <c r="L53" s="6" t="str">
        <f>IFERROR(__xludf.DUMMYFUNCTION("""COMPUTED_VALUE"""),"Alpha Anywhere (homeschool)")</f>
        <v>Alpha Anywhere (homeschool)</v>
      </c>
      <c r="M53" s="6" t="str">
        <f>IFERROR(__xludf.DUMMYFUNCTION("""COMPUTED_VALUE"""),"")</f>
        <v/>
      </c>
      <c r="N53" s="6" t="str">
        <f>IFERROR(__xludf.DUMMYFUNCTION("""COMPUTED_VALUE"""),"")</f>
        <v/>
      </c>
      <c r="O53" s="87" t="str">
        <f>IFERROR(__xludf.DUMMYFUNCTION("""COMPUTED_VALUE"""),"https://drive.google.com/drive/folders/10T2cTQHqEJZqE-st6uFKPoI?usp=share_link")</f>
        <v>https://drive.google.com/drive/folders/10T2cTQHqEJZqE-st6uFKPoI?usp=share_link</v>
      </c>
      <c r="P53" s="6" t="str">
        <f>IFERROR(__xludf.DUMMYFUNCTION("""COMPUTED_VALUE"""),"Lauren Lee")</f>
        <v>Lauren Lee</v>
      </c>
      <c r="Q53" s="6" t="str">
        <f>IFERROR(__xludf.DUMMYFUNCTION("""COMPUTED_VALUE"""),"L1")</f>
        <v>L1</v>
      </c>
      <c r="R53" s="6">
        <f>IFERROR(__xludf.DUMMYFUNCTION("""COMPUTED_VALUE"""),1.0)</f>
        <v>1</v>
      </c>
      <c r="S53" s="6" t="str">
        <f>IFERROR(__xludf.DUMMYFUNCTION("""COMPUTED_VALUE""")," ")</f>
        <v> </v>
      </c>
      <c r="T53" s="6" t="str">
        <f>IFERROR(__xludf.DUMMYFUNCTION("""COMPUTED_VALUE"""),"")</f>
        <v/>
      </c>
      <c r="U53" s="6" t="str">
        <f>IFERROR(__xludf.DUMMYFUNCTION("""COMPUTED_VALUE"""),"3")</f>
        <v>3</v>
      </c>
      <c r="V53" s="6" t="str">
        <f>IFERROR(__xludf.DUMMYFUNCTION("""COMPUTED_VALUE"""),"")</f>
        <v/>
      </c>
      <c r="W53" s="6" t="str">
        <f>IFERROR(__xludf.DUMMYFUNCTION("""COMPUTED_VALUE"""),"[]")</f>
        <v>[]</v>
      </c>
      <c r="X53" s="6" t="str">
        <f>IFERROR(__xludf.DUMMYFUNCTION("""COMPUTED_VALUE"""),"Pending Review")</f>
        <v>Pending Review</v>
      </c>
    </row>
    <row r="54">
      <c r="A54" s="6" t="str">
        <f>IFERROR(__xludf.DUMMYFUNCTION("""COMPUTED_VALUE"""),"000-11229")</f>
        <v>000-11229</v>
      </c>
      <c r="B54" s="6" t="str">
        <f>IFERROR(__xludf.DUMMYFUNCTION("""COMPUTED_VALUE"""),"0")</f>
        <v>0</v>
      </c>
      <c r="C54" s="6" t="str">
        <f>IFERROR(__xludf.DUMMYFUNCTION("""COMPUTED_VALUE"""),"11229")</f>
        <v>11229</v>
      </c>
      <c r="D54" s="6" t="str">
        <f>IFERROR(__xludf.DUMMYFUNCTION("""COMPUTED_VALUE"""),"Grace")</f>
        <v>Grace</v>
      </c>
      <c r="E54" s="6" t="str">
        <f>IFERROR(__xludf.DUMMYFUNCTION("""COMPUTED_VALUE"""),"")</f>
        <v/>
      </c>
      <c r="F54" s="6" t="str">
        <f>IFERROR(__xludf.DUMMYFUNCTION("""COMPUTED_VALUE"""),"Dozier")</f>
        <v>Dozier</v>
      </c>
      <c r="G54" s="6" t="str">
        <f>IFERROR(__xludf.DUMMYFUNCTION("""COMPUTED_VALUE"""),"03/20/2015")</f>
        <v>03/20/2015</v>
      </c>
      <c r="H54" s="6" t="str">
        <f>IFERROR(__xludf.DUMMYFUNCTION("""COMPUTED_VALUE"""),"female")</f>
        <v>female</v>
      </c>
      <c r="I54" s="6" t="str">
        <f>IFERROR(__xludf.DUMMYFUNCTION("""COMPUTED_VALUE"""),"Level 2")</f>
        <v>Level 2</v>
      </c>
      <c r="J54" s="6" t="str">
        <f>IFERROR(__xludf.DUMMYFUNCTION("""COMPUTED_VALUE"""),"4")</f>
        <v>4</v>
      </c>
      <c r="K54" s="6" t="str">
        <f>IFERROR(__xludf.DUMMYFUNCTION("""COMPUTED_VALUE"""),"grace.dozier@2hourlearning.com")</f>
        <v>grace.dozier@2hourlearning.com</v>
      </c>
      <c r="L54" s="6" t="str">
        <f>IFERROR(__xludf.DUMMYFUNCTION("""COMPUTED_VALUE"""),"Alpha Anywhere (homeschool)")</f>
        <v>Alpha Anywhere (homeschool)</v>
      </c>
      <c r="M54" s="6" t="str">
        <f>IFERROR(__xludf.DUMMYFUNCTION("""COMPUTED_VALUE"""),"")</f>
        <v/>
      </c>
      <c r="N54" s="6" t="str">
        <f>IFERROR(__xludf.DUMMYFUNCTION("""COMPUTED_VALUE"""),"")</f>
        <v/>
      </c>
      <c r="O54" s="87" t="str">
        <f>IFERROR(__xludf.DUMMYFUNCTION("""COMPUTED_VALUE"""),"https://drive.google.com/drive/folders/10T2cTQHqEJZqE-st6uFKPoI?usp=share_link")</f>
        <v>https://drive.google.com/drive/folders/10T2cTQHqEJZqE-st6uFKPoI?usp=share_link</v>
      </c>
      <c r="P54" s="6" t="str">
        <f>IFERROR(__xludf.DUMMYFUNCTION("""COMPUTED_VALUE"""),"Grace Dozier")</f>
        <v>Grace Dozier</v>
      </c>
      <c r="Q54" s="6" t="str">
        <f>IFERROR(__xludf.DUMMYFUNCTION("""COMPUTED_VALUE"""),"L2")</f>
        <v>L2</v>
      </c>
      <c r="R54" s="6">
        <f>IFERROR(__xludf.DUMMYFUNCTION("""COMPUTED_VALUE"""),2.0)</f>
        <v>2</v>
      </c>
      <c r="S54" s="6" t="str">
        <f>IFERROR(__xludf.DUMMYFUNCTION("""COMPUTED_VALUE""")," ")</f>
        <v> </v>
      </c>
      <c r="T54" s="6" t="str">
        <f>IFERROR(__xludf.DUMMYFUNCTION("""COMPUTED_VALUE"""),"")</f>
        <v/>
      </c>
      <c r="U54" s="6" t="str">
        <f>IFERROR(__xludf.DUMMYFUNCTION("""COMPUTED_VALUE"""),"4")</f>
        <v>4</v>
      </c>
      <c r="V54" s="6" t="str">
        <f>IFERROR(__xludf.DUMMYFUNCTION("""COMPUTED_VALUE"""),"")</f>
        <v/>
      </c>
      <c r="W54" s="6" t="str">
        <f>IFERROR(__xludf.DUMMYFUNCTION("""COMPUTED_VALUE"""),"[]")</f>
        <v>[]</v>
      </c>
      <c r="X54" s="6" t="str">
        <f>IFERROR(__xludf.DUMMYFUNCTION("""COMPUTED_VALUE"""),"Pending Review")</f>
        <v>Pending Review</v>
      </c>
    </row>
    <row r="55">
      <c r="A55" s="6" t="str">
        <f>IFERROR(__xludf.DUMMYFUNCTION("""COMPUTED_VALUE"""),"000-11230")</f>
        <v>000-11230</v>
      </c>
      <c r="B55" s="6" t="str">
        <f>IFERROR(__xludf.DUMMYFUNCTION("""COMPUTED_VALUE"""),"0")</f>
        <v>0</v>
      </c>
      <c r="C55" s="6" t="str">
        <f>IFERROR(__xludf.DUMMYFUNCTION("""COMPUTED_VALUE"""),"11230")</f>
        <v>11230</v>
      </c>
      <c r="D55" s="6" t="str">
        <f>IFERROR(__xludf.DUMMYFUNCTION("""COMPUTED_VALUE"""),"Bradley")</f>
        <v>Bradley</v>
      </c>
      <c r="E55" s="6" t="str">
        <f>IFERROR(__xludf.DUMMYFUNCTION("""COMPUTED_VALUE"""),"")</f>
        <v/>
      </c>
      <c r="F55" s="6" t="str">
        <f>IFERROR(__xludf.DUMMYFUNCTION("""COMPUTED_VALUE"""),"Tognoni")</f>
        <v>Tognoni</v>
      </c>
      <c r="G55" s="6" t="str">
        <f>IFERROR(__xludf.DUMMYFUNCTION("""COMPUTED_VALUE"""),"02/12/2016")</f>
        <v>02/12/2016</v>
      </c>
      <c r="H55" s="6" t="str">
        <f>IFERROR(__xludf.DUMMYFUNCTION("""COMPUTED_VALUE"""),"female")</f>
        <v>female</v>
      </c>
      <c r="I55" s="6" t="str">
        <f>IFERROR(__xludf.DUMMYFUNCTION("""COMPUTED_VALUE"""),"Level 2")</f>
        <v>Level 2</v>
      </c>
      <c r="J55" s="6" t="str">
        <f>IFERROR(__xludf.DUMMYFUNCTION("""COMPUTED_VALUE"""),"4")</f>
        <v>4</v>
      </c>
      <c r="K55" s="6" t="str">
        <f>IFERROR(__xludf.DUMMYFUNCTION("""COMPUTED_VALUE"""),"bradley.tognoni@2hourlearning.com")</f>
        <v>bradley.tognoni@2hourlearning.com</v>
      </c>
      <c r="L55" s="6" t="str">
        <f>IFERROR(__xludf.DUMMYFUNCTION("""COMPUTED_VALUE"""),"Alpha Anywhere (homeschool)")</f>
        <v>Alpha Anywhere (homeschool)</v>
      </c>
      <c r="M55" s="6" t="str">
        <f>IFERROR(__xludf.DUMMYFUNCTION("""COMPUTED_VALUE"""),"")</f>
        <v/>
      </c>
      <c r="N55" s="6" t="str">
        <f>IFERROR(__xludf.DUMMYFUNCTION("""COMPUTED_VALUE"""),"")</f>
        <v/>
      </c>
      <c r="O55" s="87" t="str">
        <f>IFERROR(__xludf.DUMMYFUNCTION("""COMPUTED_VALUE"""),"https://drive.google.com/drive/folders/10T2cTQHqEJZqE-st6uFKPoI?usp=share_link")</f>
        <v>https://drive.google.com/drive/folders/10T2cTQHqEJZqE-st6uFKPoI?usp=share_link</v>
      </c>
      <c r="P55" s="6" t="str">
        <f>IFERROR(__xludf.DUMMYFUNCTION("""COMPUTED_VALUE"""),"Bradley Tognoni")</f>
        <v>Bradley Tognoni</v>
      </c>
      <c r="Q55" s="6" t="str">
        <f>IFERROR(__xludf.DUMMYFUNCTION("""COMPUTED_VALUE"""),"L2")</f>
        <v>L2</v>
      </c>
      <c r="R55" s="6">
        <f>IFERROR(__xludf.DUMMYFUNCTION("""COMPUTED_VALUE"""),2.0)</f>
        <v>2</v>
      </c>
      <c r="S55" s="6" t="str">
        <f>IFERROR(__xludf.DUMMYFUNCTION("""COMPUTED_VALUE""")," ")</f>
        <v> </v>
      </c>
      <c r="T55" s="6" t="str">
        <f>IFERROR(__xludf.DUMMYFUNCTION("""COMPUTED_VALUE"""),"")</f>
        <v/>
      </c>
      <c r="U55" s="6" t="str">
        <f>IFERROR(__xludf.DUMMYFUNCTION("""COMPUTED_VALUE"""),"4")</f>
        <v>4</v>
      </c>
      <c r="V55" s="6" t="str">
        <f>IFERROR(__xludf.DUMMYFUNCTION("""COMPUTED_VALUE"""),"")</f>
        <v/>
      </c>
      <c r="W55" s="6" t="str">
        <f>IFERROR(__xludf.DUMMYFUNCTION("""COMPUTED_VALUE"""),"[]")</f>
        <v>[]</v>
      </c>
      <c r="X55" s="6" t="str">
        <f>IFERROR(__xludf.DUMMYFUNCTION("""COMPUTED_VALUE"""),"Pending Review")</f>
        <v>Pending Review</v>
      </c>
    </row>
    <row r="56">
      <c r="A56" s="6" t="str">
        <f>IFERROR(__xludf.DUMMYFUNCTION("""COMPUTED_VALUE"""),"000-11231")</f>
        <v>000-11231</v>
      </c>
      <c r="B56" s="6" t="str">
        <f>IFERROR(__xludf.DUMMYFUNCTION("""COMPUTED_VALUE"""),"0")</f>
        <v>0</v>
      </c>
      <c r="C56" s="6" t="str">
        <f>IFERROR(__xludf.DUMMYFUNCTION("""COMPUTED_VALUE"""),"11231")</f>
        <v>11231</v>
      </c>
      <c r="D56" s="6" t="str">
        <f>IFERROR(__xludf.DUMMYFUNCTION("""COMPUTED_VALUE"""),"Tommy")</f>
        <v>Tommy</v>
      </c>
      <c r="E56" s="6" t="str">
        <f>IFERROR(__xludf.DUMMYFUNCTION("""COMPUTED_VALUE"""),"")</f>
        <v/>
      </c>
      <c r="F56" s="6" t="str">
        <f>IFERROR(__xludf.DUMMYFUNCTION("""COMPUTED_VALUE"""),"Johnston")</f>
        <v>Johnston</v>
      </c>
      <c r="G56" s="6" t="str">
        <f>IFERROR(__xludf.DUMMYFUNCTION("""COMPUTED_VALUE"""),"02/04/2018")</f>
        <v>02/04/2018</v>
      </c>
      <c r="H56" s="6" t="str">
        <f>IFERROR(__xludf.DUMMYFUNCTION("""COMPUTED_VALUE"""),"male")</f>
        <v>male</v>
      </c>
      <c r="I56" s="6" t="str">
        <f>IFERROR(__xludf.DUMMYFUNCTION("""COMPUTED_VALUE"""),"Level 1")</f>
        <v>Level 1</v>
      </c>
      <c r="J56" s="6" t="str">
        <f>IFERROR(__xludf.DUMMYFUNCTION("""COMPUTED_VALUE"""),"2")</f>
        <v>2</v>
      </c>
      <c r="K56" s="6" t="str">
        <f>IFERROR(__xludf.DUMMYFUNCTION("""COMPUTED_VALUE"""),"tommy.johnston@2hourlearning.com")</f>
        <v>tommy.johnston@2hourlearning.com</v>
      </c>
      <c r="L56" s="6" t="str">
        <f>IFERROR(__xludf.DUMMYFUNCTION("""COMPUTED_VALUE"""),"Alpha Anywhere (homeschool)")</f>
        <v>Alpha Anywhere (homeschool)</v>
      </c>
      <c r="M56" s="6" t="str">
        <f>IFERROR(__xludf.DUMMYFUNCTION("""COMPUTED_VALUE"""),"")</f>
        <v/>
      </c>
      <c r="N56" s="6" t="str">
        <f>IFERROR(__xludf.DUMMYFUNCTION("""COMPUTED_VALUE"""),"")</f>
        <v/>
      </c>
      <c r="O56" s="87" t="str">
        <f>IFERROR(__xludf.DUMMYFUNCTION("""COMPUTED_VALUE"""),"https://drive.google.com/drive/folders/10T2cTQHqEJZqE-st6uFKPoI?usp=share_link")</f>
        <v>https://drive.google.com/drive/folders/10T2cTQHqEJZqE-st6uFKPoI?usp=share_link</v>
      </c>
      <c r="P56" s="6" t="str">
        <f>IFERROR(__xludf.DUMMYFUNCTION("""COMPUTED_VALUE"""),"Tommy Johnston")</f>
        <v>Tommy Johnston</v>
      </c>
      <c r="Q56" s="6" t="str">
        <f>IFERROR(__xludf.DUMMYFUNCTION("""COMPUTED_VALUE"""),"L1")</f>
        <v>L1</v>
      </c>
      <c r="R56" s="6">
        <f>IFERROR(__xludf.DUMMYFUNCTION("""COMPUTED_VALUE"""),1.0)</f>
        <v>1</v>
      </c>
      <c r="S56" s="6" t="str">
        <f>IFERROR(__xludf.DUMMYFUNCTION("""COMPUTED_VALUE""")," ")</f>
        <v> </v>
      </c>
      <c r="T56" s="6" t="str">
        <f>IFERROR(__xludf.DUMMYFUNCTION("""COMPUTED_VALUE"""),"")</f>
        <v/>
      </c>
      <c r="U56" s="6" t="str">
        <f>IFERROR(__xludf.DUMMYFUNCTION("""COMPUTED_VALUE"""),"2")</f>
        <v>2</v>
      </c>
      <c r="V56" s="6" t="str">
        <f>IFERROR(__xludf.DUMMYFUNCTION("""COMPUTED_VALUE"""),"")</f>
        <v/>
      </c>
      <c r="W56" s="6" t="str">
        <f>IFERROR(__xludf.DUMMYFUNCTION("""COMPUTED_VALUE"""),"[]")</f>
        <v>[]</v>
      </c>
      <c r="X56" s="6" t="str">
        <f>IFERROR(__xludf.DUMMYFUNCTION("""COMPUTED_VALUE"""),"Pending Review")</f>
        <v>Pending Review</v>
      </c>
    </row>
    <row r="57">
      <c r="A57" s="6" t="str">
        <f>IFERROR(__xludf.DUMMYFUNCTION("""COMPUTED_VALUE"""),"000-11232")</f>
        <v>000-11232</v>
      </c>
      <c r="B57" s="6" t="str">
        <f>IFERROR(__xludf.DUMMYFUNCTION("""COMPUTED_VALUE"""),"0")</f>
        <v>0</v>
      </c>
      <c r="C57" s="6" t="str">
        <f>IFERROR(__xludf.DUMMYFUNCTION("""COMPUTED_VALUE"""),"11232")</f>
        <v>11232</v>
      </c>
      <c r="D57" s="6" t="str">
        <f>IFERROR(__xludf.DUMMYFUNCTION("""COMPUTED_VALUE"""),"Tommy")</f>
        <v>Tommy</v>
      </c>
      <c r="E57" s="6" t="str">
        <f>IFERROR(__xludf.DUMMYFUNCTION("""COMPUTED_VALUE"""),"")</f>
        <v/>
      </c>
      <c r="F57" s="6" t="str">
        <f>IFERROR(__xludf.DUMMYFUNCTION("""COMPUTED_VALUE"""),"Lewis")</f>
        <v>Lewis</v>
      </c>
      <c r="G57" s="6" t="str">
        <f>IFERROR(__xludf.DUMMYFUNCTION("""COMPUTED_VALUE"""),"09/25/2013")</f>
        <v>09/25/2013</v>
      </c>
      <c r="H57" s="6" t="str">
        <f>IFERROR(__xludf.DUMMYFUNCTION("""COMPUTED_VALUE"""),"male")</f>
        <v>male</v>
      </c>
      <c r="I57" s="6" t="str">
        <f>IFERROR(__xludf.DUMMYFUNCTION("""COMPUTED_VALUE"""),"Middle School")</f>
        <v>Middle School</v>
      </c>
      <c r="J57" s="6" t="str">
        <f>IFERROR(__xludf.DUMMYFUNCTION("""COMPUTED_VALUE"""),"6")</f>
        <v>6</v>
      </c>
      <c r="K57" s="6" t="str">
        <f>IFERROR(__xludf.DUMMYFUNCTION("""COMPUTED_VALUE"""),"tommy.lewis@2hourlearning.com")</f>
        <v>tommy.lewis@2hourlearning.com</v>
      </c>
      <c r="L57" s="6" t="str">
        <f>IFERROR(__xludf.DUMMYFUNCTION("""COMPUTED_VALUE"""),"Alpha Anywhere (homeschool)")</f>
        <v>Alpha Anywhere (homeschool)</v>
      </c>
      <c r="M57" s="6" t="str">
        <f>IFERROR(__xludf.DUMMYFUNCTION("""COMPUTED_VALUE"""),"")</f>
        <v/>
      </c>
      <c r="N57" s="6" t="str">
        <f>IFERROR(__xludf.DUMMYFUNCTION("""COMPUTED_VALUE"""),"")</f>
        <v/>
      </c>
      <c r="O57" s="87" t="str">
        <f>IFERROR(__xludf.DUMMYFUNCTION("""COMPUTED_VALUE"""),"https://drive.google.com/drive/folders/10T2cTQHqEJZqE-st6uFKPoI?usp=share_link")</f>
        <v>https://drive.google.com/drive/folders/10T2cTQHqEJZqE-st6uFKPoI?usp=share_link</v>
      </c>
      <c r="P57" s="6" t="str">
        <f>IFERROR(__xludf.DUMMYFUNCTION("""COMPUTED_VALUE"""),"Tommy Lewis")</f>
        <v>Tommy Lewis</v>
      </c>
      <c r="Q57" s="6" t="str">
        <f>IFERROR(__xludf.DUMMYFUNCTION("""COMPUTED_VALUE"""),"MS")</f>
        <v>MS</v>
      </c>
      <c r="R57" s="6">
        <f>IFERROR(__xludf.DUMMYFUNCTION("""COMPUTED_VALUE"""),0.0)</f>
        <v>0</v>
      </c>
      <c r="S57" s="6" t="str">
        <f>IFERROR(__xludf.DUMMYFUNCTION("""COMPUTED_VALUE""")," ")</f>
        <v> </v>
      </c>
      <c r="T57" s="6" t="str">
        <f>IFERROR(__xludf.DUMMYFUNCTION("""COMPUTED_VALUE"""),"")</f>
        <v/>
      </c>
      <c r="U57" s="6" t="str">
        <f>IFERROR(__xludf.DUMMYFUNCTION("""COMPUTED_VALUE"""),"6")</f>
        <v>6</v>
      </c>
      <c r="V57" s="6" t="str">
        <f>IFERROR(__xludf.DUMMYFUNCTION("""COMPUTED_VALUE"""),"")</f>
        <v/>
      </c>
      <c r="W57" s="6" t="str">
        <f>IFERROR(__xludf.DUMMYFUNCTION("""COMPUTED_VALUE"""),"[]")</f>
        <v>[]</v>
      </c>
      <c r="X57" s="6" t="str">
        <f>IFERROR(__xludf.DUMMYFUNCTION("""COMPUTED_VALUE"""),"Pending Review")</f>
        <v>Pending Review</v>
      </c>
    </row>
    <row r="58">
      <c r="A58" s="6" t="str">
        <f>IFERROR(__xludf.DUMMYFUNCTION("""COMPUTED_VALUE"""),"000-11235")</f>
        <v>000-11235</v>
      </c>
      <c r="B58" s="6" t="str">
        <f>IFERROR(__xludf.DUMMYFUNCTION("""COMPUTED_VALUE"""),"0")</f>
        <v>0</v>
      </c>
      <c r="C58" s="6" t="str">
        <f>IFERROR(__xludf.DUMMYFUNCTION("""COMPUTED_VALUE"""),"11235")</f>
        <v>11235</v>
      </c>
      <c r="D58" s="6" t="str">
        <f>IFERROR(__xludf.DUMMYFUNCTION("""COMPUTED_VALUE"""),"Henry")</f>
        <v>Henry</v>
      </c>
      <c r="E58" s="6" t="str">
        <f>IFERROR(__xludf.DUMMYFUNCTION("""COMPUTED_VALUE"""),"")</f>
        <v/>
      </c>
      <c r="F58" s="6" t="str">
        <f>IFERROR(__xludf.DUMMYFUNCTION("""COMPUTED_VALUE"""),"Kole")</f>
        <v>Kole</v>
      </c>
      <c r="G58" s="6" t="str">
        <f>IFERROR(__xludf.DUMMYFUNCTION("""COMPUTED_VALUE"""),"10/08/2014")</f>
        <v>10/08/2014</v>
      </c>
      <c r="H58" s="6" t="str">
        <f>IFERROR(__xludf.DUMMYFUNCTION("""COMPUTED_VALUE"""),"male")</f>
        <v>male</v>
      </c>
      <c r="I58" s="6" t="str">
        <f>IFERROR(__xludf.DUMMYFUNCTION("""COMPUTED_VALUE"""),"Middle School")</f>
        <v>Middle School</v>
      </c>
      <c r="J58" s="6" t="str">
        <f>IFERROR(__xludf.DUMMYFUNCTION("""COMPUTED_VALUE"""),"6")</f>
        <v>6</v>
      </c>
      <c r="K58" s="6" t="str">
        <f>IFERROR(__xludf.DUMMYFUNCTION("""COMPUTED_VALUE"""),"henry.kole@2hourlearning.com")</f>
        <v>henry.kole@2hourlearning.com</v>
      </c>
      <c r="L58" s="6" t="str">
        <f>IFERROR(__xludf.DUMMYFUNCTION("""COMPUTED_VALUE"""),"Alpha Anywhere (homeschool)")</f>
        <v>Alpha Anywhere (homeschool)</v>
      </c>
      <c r="M58" s="6" t="str">
        <f>IFERROR(__xludf.DUMMYFUNCTION("""COMPUTED_VALUE"""),"")</f>
        <v/>
      </c>
      <c r="N58" s="6" t="str">
        <f>IFERROR(__xludf.DUMMYFUNCTION("""COMPUTED_VALUE"""),"")</f>
        <v/>
      </c>
      <c r="O58" s="87" t="str">
        <f>IFERROR(__xludf.DUMMYFUNCTION("""COMPUTED_VALUE"""),"https://drive.google.com/drive/folders/10T2cTQHqEJZqE-st6uFKPoI?usp=share_link")</f>
        <v>https://drive.google.com/drive/folders/10T2cTQHqEJZqE-st6uFKPoI?usp=share_link</v>
      </c>
      <c r="P58" s="6" t="str">
        <f>IFERROR(__xludf.DUMMYFUNCTION("""COMPUTED_VALUE"""),"Henry Kole")</f>
        <v>Henry Kole</v>
      </c>
      <c r="Q58" s="6" t="str">
        <f>IFERROR(__xludf.DUMMYFUNCTION("""COMPUTED_VALUE"""),"MS")</f>
        <v>MS</v>
      </c>
      <c r="R58" s="6">
        <f>IFERROR(__xludf.DUMMYFUNCTION("""COMPUTED_VALUE"""),0.0)</f>
        <v>0</v>
      </c>
      <c r="S58" s="6" t="str">
        <f>IFERROR(__xludf.DUMMYFUNCTION("""COMPUTED_VALUE""")," ")</f>
        <v> </v>
      </c>
      <c r="T58" s="6" t="str">
        <f>IFERROR(__xludf.DUMMYFUNCTION("""COMPUTED_VALUE"""),"")</f>
        <v/>
      </c>
      <c r="U58" s="6" t="str">
        <f>IFERROR(__xludf.DUMMYFUNCTION("""COMPUTED_VALUE"""),"6")</f>
        <v>6</v>
      </c>
      <c r="V58" s="6" t="str">
        <f>IFERROR(__xludf.DUMMYFUNCTION("""COMPUTED_VALUE"""),"")</f>
        <v/>
      </c>
      <c r="W58" s="6" t="str">
        <f>IFERROR(__xludf.DUMMYFUNCTION("""COMPUTED_VALUE"""),"[]")</f>
        <v>[]</v>
      </c>
      <c r="X58" s="6" t="str">
        <f>IFERROR(__xludf.DUMMYFUNCTION("""COMPUTED_VALUE"""),"Pending Review")</f>
        <v>Pending Review</v>
      </c>
    </row>
    <row r="59">
      <c r="A59" s="6" t="str">
        <f>IFERROR(__xludf.DUMMYFUNCTION("""COMPUTED_VALUE"""),"000-11236")</f>
        <v>000-11236</v>
      </c>
      <c r="B59" s="6" t="str">
        <f>IFERROR(__xludf.DUMMYFUNCTION("""COMPUTED_VALUE"""),"0")</f>
        <v>0</v>
      </c>
      <c r="C59" s="6" t="str">
        <f>IFERROR(__xludf.DUMMYFUNCTION("""COMPUTED_VALUE"""),"11236")</f>
        <v>11236</v>
      </c>
      <c r="D59" s="6" t="str">
        <f>IFERROR(__xludf.DUMMYFUNCTION("""COMPUTED_VALUE"""),"Vivienne")</f>
        <v>Vivienne</v>
      </c>
      <c r="E59" s="6" t="str">
        <f>IFERROR(__xludf.DUMMYFUNCTION("""COMPUTED_VALUE"""),"")</f>
        <v/>
      </c>
      <c r="F59" s="6" t="str">
        <f>IFERROR(__xludf.DUMMYFUNCTION("""COMPUTED_VALUE"""),"Kole")</f>
        <v>Kole</v>
      </c>
      <c r="G59" s="6" t="str">
        <f>IFERROR(__xludf.DUMMYFUNCTION("""COMPUTED_VALUE"""),"10/08/2014")</f>
        <v>10/08/2014</v>
      </c>
      <c r="H59" s="6" t="str">
        <f>IFERROR(__xludf.DUMMYFUNCTION("""COMPUTED_VALUE"""),"female")</f>
        <v>female</v>
      </c>
      <c r="I59" s="6" t="str">
        <f>IFERROR(__xludf.DUMMYFUNCTION("""COMPUTED_VALUE"""),"Middle School")</f>
        <v>Middle School</v>
      </c>
      <c r="J59" s="6" t="str">
        <f>IFERROR(__xludf.DUMMYFUNCTION("""COMPUTED_VALUE"""),"6")</f>
        <v>6</v>
      </c>
      <c r="K59" s="6" t="str">
        <f>IFERROR(__xludf.DUMMYFUNCTION("""COMPUTED_VALUE"""),"vivienne.kole@2hourlearning.com")</f>
        <v>vivienne.kole@2hourlearning.com</v>
      </c>
      <c r="L59" s="6" t="str">
        <f>IFERROR(__xludf.DUMMYFUNCTION("""COMPUTED_VALUE"""),"Alpha Anywhere (homeschool)")</f>
        <v>Alpha Anywhere (homeschool)</v>
      </c>
      <c r="M59" s="6" t="str">
        <f>IFERROR(__xludf.DUMMYFUNCTION("""COMPUTED_VALUE"""),"")</f>
        <v/>
      </c>
      <c r="N59" s="6" t="str">
        <f>IFERROR(__xludf.DUMMYFUNCTION("""COMPUTED_VALUE"""),"")</f>
        <v/>
      </c>
      <c r="O59" s="87" t="str">
        <f>IFERROR(__xludf.DUMMYFUNCTION("""COMPUTED_VALUE"""),"https://drive.google.com/drive/folders/10T2cTQHqEJZqE-st6uFKPoI?usp=share_link")</f>
        <v>https://drive.google.com/drive/folders/10T2cTQHqEJZqE-st6uFKPoI?usp=share_link</v>
      </c>
      <c r="P59" s="6" t="str">
        <f>IFERROR(__xludf.DUMMYFUNCTION("""COMPUTED_VALUE"""),"Vivienne Kole")</f>
        <v>Vivienne Kole</v>
      </c>
      <c r="Q59" s="6" t="str">
        <f>IFERROR(__xludf.DUMMYFUNCTION("""COMPUTED_VALUE"""),"MS")</f>
        <v>MS</v>
      </c>
      <c r="R59" s="6">
        <f>IFERROR(__xludf.DUMMYFUNCTION("""COMPUTED_VALUE"""),0.0)</f>
        <v>0</v>
      </c>
      <c r="S59" s="6" t="str">
        <f>IFERROR(__xludf.DUMMYFUNCTION("""COMPUTED_VALUE""")," ")</f>
        <v> </v>
      </c>
      <c r="T59" s="6" t="str">
        <f>IFERROR(__xludf.DUMMYFUNCTION("""COMPUTED_VALUE"""),"")</f>
        <v/>
      </c>
      <c r="U59" s="6" t="str">
        <f>IFERROR(__xludf.DUMMYFUNCTION("""COMPUTED_VALUE"""),"6")</f>
        <v>6</v>
      </c>
      <c r="V59" s="6" t="str">
        <f>IFERROR(__xludf.DUMMYFUNCTION("""COMPUTED_VALUE"""),"")</f>
        <v/>
      </c>
      <c r="W59" s="6" t="str">
        <f>IFERROR(__xludf.DUMMYFUNCTION("""COMPUTED_VALUE"""),"[]")</f>
        <v>[]</v>
      </c>
      <c r="X59" s="6" t="str">
        <f>IFERROR(__xludf.DUMMYFUNCTION("""COMPUTED_VALUE"""),"Pending Review")</f>
        <v>Pending Review</v>
      </c>
    </row>
    <row r="60">
      <c r="A60" s="6" t="str">
        <f>IFERROR(__xludf.DUMMYFUNCTION("""COMPUTED_VALUE"""),"000-11237")</f>
        <v>000-11237</v>
      </c>
      <c r="B60" s="6" t="str">
        <f>IFERROR(__xludf.DUMMYFUNCTION("""COMPUTED_VALUE"""),"0")</f>
        <v>0</v>
      </c>
      <c r="C60" s="6" t="str">
        <f>IFERROR(__xludf.DUMMYFUNCTION("""COMPUTED_VALUE"""),"11237")</f>
        <v>11237</v>
      </c>
      <c r="D60" s="6" t="str">
        <f>IFERROR(__xludf.DUMMYFUNCTION("""COMPUTED_VALUE"""),"Juliet")</f>
        <v>Juliet</v>
      </c>
      <c r="E60" s="6" t="str">
        <f>IFERROR(__xludf.DUMMYFUNCTION("""COMPUTED_VALUE"""),"")</f>
        <v/>
      </c>
      <c r="F60" s="6" t="str">
        <f>IFERROR(__xludf.DUMMYFUNCTION("""COMPUTED_VALUE"""),"Price")</f>
        <v>Price</v>
      </c>
      <c r="G60" s="6" t="str">
        <f>IFERROR(__xludf.DUMMYFUNCTION("""COMPUTED_VALUE"""),"06/24/2013")</f>
        <v>06/24/2013</v>
      </c>
      <c r="H60" s="6" t="str">
        <f>IFERROR(__xludf.DUMMYFUNCTION("""COMPUTED_VALUE"""),"female")</f>
        <v>female</v>
      </c>
      <c r="I60" s="6" t="str">
        <f>IFERROR(__xludf.DUMMYFUNCTION("""COMPUTED_VALUE"""),"Middle School")</f>
        <v>Middle School</v>
      </c>
      <c r="J60" s="6" t="str">
        <f>IFERROR(__xludf.DUMMYFUNCTION("""COMPUTED_VALUE"""),"8")</f>
        <v>8</v>
      </c>
      <c r="K60" s="6" t="str">
        <f>IFERROR(__xludf.DUMMYFUNCTION("""COMPUTED_VALUE"""),"juliet.price@2hourlearning.com")</f>
        <v>juliet.price@2hourlearning.com</v>
      </c>
      <c r="L60" s="6" t="str">
        <f>IFERROR(__xludf.DUMMYFUNCTION("""COMPUTED_VALUE"""),"Alpha Anywhere (homeschool)")</f>
        <v>Alpha Anywhere (homeschool)</v>
      </c>
      <c r="M60" s="6" t="str">
        <f>IFERROR(__xludf.DUMMYFUNCTION("""COMPUTED_VALUE"""),"")</f>
        <v/>
      </c>
      <c r="N60" s="6" t="str">
        <f>IFERROR(__xludf.DUMMYFUNCTION("""COMPUTED_VALUE"""),"")</f>
        <v/>
      </c>
      <c r="O60" s="87" t="str">
        <f>IFERROR(__xludf.DUMMYFUNCTION("""COMPUTED_VALUE"""),"https://drive.google.com/drive/folders/10T2cTQHqEJZqE-st6uFKPoI?usp=share_link")</f>
        <v>https://drive.google.com/drive/folders/10T2cTQHqEJZqE-st6uFKPoI?usp=share_link</v>
      </c>
      <c r="P60" s="6" t="str">
        <f>IFERROR(__xludf.DUMMYFUNCTION("""COMPUTED_VALUE"""),"Juliet Price")</f>
        <v>Juliet Price</v>
      </c>
      <c r="Q60" s="6" t="str">
        <f>IFERROR(__xludf.DUMMYFUNCTION("""COMPUTED_VALUE"""),"MS")</f>
        <v>MS</v>
      </c>
      <c r="R60" s="6">
        <f>IFERROR(__xludf.DUMMYFUNCTION("""COMPUTED_VALUE"""),0.0)</f>
        <v>0</v>
      </c>
      <c r="S60" s="6" t="str">
        <f>IFERROR(__xludf.DUMMYFUNCTION("""COMPUTED_VALUE""")," ")</f>
        <v> </v>
      </c>
      <c r="T60" s="6" t="str">
        <f>IFERROR(__xludf.DUMMYFUNCTION("""COMPUTED_VALUE"""),"")</f>
        <v/>
      </c>
      <c r="U60" s="6" t="str">
        <f>IFERROR(__xludf.DUMMYFUNCTION("""COMPUTED_VALUE"""),"8")</f>
        <v>8</v>
      </c>
      <c r="V60" s="6" t="str">
        <f>IFERROR(__xludf.DUMMYFUNCTION("""COMPUTED_VALUE"""),"")</f>
        <v/>
      </c>
      <c r="W60" s="6" t="str">
        <f>IFERROR(__xludf.DUMMYFUNCTION("""COMPUTED_VALUE"""),"[]")</f>
        <v>[]</v>
      </c>
      <c r="X60" s="6" t="str">
        <f>IFERROR(__xludf.DUMMYFUNCTION("""COMPUTED_VALUE"""),"Pending Review")</f>
        <v>Pending Review</v>
      </c>
    </row>
    <row r="61">
      <c r="A61" s="6" t="str">
        <f>IFERROR(__xludf.DUMMYFUNCTION("""COMPUTED_VALUE"""),"000-11238")</f>
        <v>000-11238</v>
      </c>
      <c r="B61" s="6" t="str">
        <f>IFERROR(__xludf.DUMMYFUNCTION("""COMPUTED_VALUE"""),"0")</f>
        <v>0</v>
      </c>
      <c r="C61" s="6" t="str">
        <f>IFERROR(__xludf.DUMMYFUNCTION("""COMPUTED_VALUE"""),"11238")</f>
        <v>11238</v>
      </c>
      <c r="D61" s="6" t="str">
        <f>IFERROR(__xludf.DUMMYFUNCTION("""COMPUTED_VALUE"""),"Christian")</f>
        <v>Christian</v>
      </c>
      <c r="E61" s="6" t="str">
        <f>IFERROR(__xludf.DUMMYFUNCTION("""COMPUTED_VALUE"""),"")</f>
        <v/>
      </c>
      <c r="F61" s="6" t="str">
        <f>IFERROR(__xludf.DUMMYFUNCTION("""COMPUTED_VALUE"""),"Price")</f>
        <v>Price</v>
      </c>
      <c r="G61" s="6" t="str">
        <f>IFERROR(__xludf.DUMMYFUNCTION("""COMPUTED_VALUE"""),"04/17/2015")</f>
        <v>04/17/2015</v>
      </c>
      <c r="H61" s="6" t="str">
        <f>IFERROR(__xludf.DUMMYFUNCTION("""COMPUTED_VALUE"""),"male")</f>
        <v>male</v>
      </c>
      <c r="I61" s="6" t="str">
        <f>IFERROR(__xludf.DUMMYFUNCTION("""COMPUTED_VALUE"""),"Middle School")</f>
        <v>Middle School</v>
      </c>
      <c r="J61" s="6" t="str">
        <f>IFERROR(__xludf.DUMMYFUNCTION("""COMPUTED_VALUE"""),"6")</f>
        <v>6</v>
      </c>
      <c r="K61" s="6" t="str">
        <f>IFERROR(__xludf.DUMMYFUNCTION("""COMPUTED_VALUE"""),"christian.price@2hourlearning.com")</f>
        <v>christian.price@2hourlearning.com</v>
      </c>
      <c r="L61" s="6" t="str">
        <f>IFERROR(__xludf.DUMMYFUNCTION("""COMPUTED_VALUE"""),"Alpha Anywhere (homeschool)")</f>
        <v>Alpha Anywhere (homeschool)</v>
      </c>
      <c r="M61" s="6" t="str">
        <f>IFERROR(__xludf.DUMMYFUNCTION("""COMPUTED_VALUE"""),"")</f>
        <v/>
      </c>
      <c r="N61" s="6" t="str">
        <f>IFERROR(__xludf.DUMMYFUNCTION("""COMPUTED_VALUE"""),"")</f>
        <v/>
      </c>
      <c r="O61" s="87" t="str">
        <f>IFERROR(__xludf.DUMMYFUNCTION("""COMPUTED_VALUE"""),"https://drive.google.com/drive/folders/10T2cTQHqEJZqE-st6uFKPoI?usp=share_link")</f>
        <v>https://drive.google.com/drive/folders/10T2cTQHqEJZqE-st6uFKPoI?usp=share_link</v>
      </c>
      <c r="P61" s="6" t="str">
        <f>IFERROR(__xludf.DUMMYFUNCTION("""COMPUTED_VALUE"""),"Christian Price")</f>
        <v>Christian Price</v>
      </c>
      <c r="Q61" s="6" t="str">
        <f>IFERROR(__xludf.DUMMYFUNCTION("""COMPUTED_VALUE"""),"MS")</f>
        <v>MS</v>
      </c>
      <c r="R61" s="6">
        <f>IFERROR(__xludf.DUMMYFUNCTION("""COMPUTED_VALUE"""),0.0)</f>
        <v>0</v>
      </c>
      <c r="S61" s="6" t="str">
        <f>IFERROR(__xludf.DUMMYFUNCTION("""COMPUTED_VALUE""")," ")</f>
        <v> </v>
      </c>
      <c r="T61" s="6" t="str">
        <f>IFERROR(__xludf.DUMMYFUNCTION("""COMPUTED_VALUE"""),"")</f>
        <v/>
      </c>
      <c r="U61" s="6" t="str">
        <f>IFERROR(__xludf.DUMMYFUNCTION("""COMPUTED_VALUE"""),"6")</f>
        <v>6</v>
      </c>
      <c r="V61" s="6" t="str">
        <f>IFERROR(__xludf.DUMMYFUNCTION("""COMPUTED_VALUE"""),"")</f>
        <v/>
      </c>
      <c r="W61" s="6" t="str">
        <f>IFERROR(__xludf.DUMMYFUNCTION("""COMPUTED_VALUE"""),"[]")</f>
        <v>[]</v>
      </c>
      <c r="X61" s="6" t="str">
        <f>IFERROR(__xludf.DUMMYFUNCTION("""COMPUTED_VALUE"""),"Pending Review")</f>
        <v>Pending Review</v>
      </c>
    </row>
    <row r="62">
      <c r="A62" s="6" t="str">
        <f>IFERROR(__xludf.DUMMYFUNCTION("""COMPUTED_VALUE"""),"000-11239")</f>
        <v>000-11239</v>
      </c>
      <c r="B62" s="6" t="str">
        <f>IFERROR(__xludf.DUMMYFUNCTION("""COMPUTED_VALUE"""),"0")</f>
        <v>0</v>
      </c>
      <c r="C62" s="6" t="str">
        <f>IFERROR(__xludf.DUMMYFUNCTION("""COMPUTED_VALUE"""),"11239")</f>
        <v>11239</v>
      </c>
      <c r="D62" s="6" t="str">
        <f>IFERROR(__xludf.DUMMYFUNCTION("""COMPUTED_VALUE"""),"Halle")</f>
        <v>Halle</v>
      </c>
      <c r="E62" s="6" t="str">
        <f>IFERROR(__xludf.DUMMYFUNCTION("""COMPUTED_VALUE"""),"")</f>
        <v/>
      </c>
      <c r="F62" s="6" t="str">
        <f>IFERROR(__xludf.DUMMYFUNCTION("""COMPUTED_VALUE"""),"Chivers")</f>
        <v>Chivers</v>
      </c>
      <c r="G62" s="6" t="str">
        <f>IFERROR(__xludf.DUMMYFUNCTION("""COMPUTED_VALUE"""),"08/08/2016")</f>
        <v>08/08/2016</v>
      </c>
      <c r="H62" s="6" t="str">
        <f>IFERROR(__xludf.DUMMYFUNCTION("""COMPUTED_VALUE"""),"female")</f>
        <v>female</v>
      </c>
      <c r="I62" s="6" t="str">
        <f>IFERROR(__xludf.DUMMYFUNCTION("""COMPUTED_VALUE"""),"Level 2")</f>
        <v>Level 2</v>
      </c>
      <c r="J62" s="6" t="str">
        <f>IFERROR(__xludf.DUMMYFUNCTION("""COMPUTED_VALUE"""),"5")</f>
        <v>5</v>
      </c>
      <c r="K62" s="6" t="str">
        <f>IFERROR(__xludf.DUMMYFUNCTION("""COMPUTED_VALUE"""),"halle.chivers@2hourlearning.com")</f>
        <v>halle.chivers@2hourlearning.com</v>
      </c>
      <c r="L62" s="6" t="str">
        <f>IFERROR(__xludf.DUMMYFUNCTION("""COMPUTED_VALUE"""),"Alpha Anywhere (homeschool)")</f>
        <v>Alpha Anywhere (homeschool)</v>
      </c>
      <c r="M62" s="6" t="str">
        <f>IFERROR(__xludf.DUMMYFUNCTION("""COMPUTED_VALUE"""),"")</f>
        <v/>
      </c>
      <c r="N62" s="6" t="str">
        <f>IFERROR(__xludf.DUMMYFUNCTION("""COMPUTED_VALUE"""),"")</f>
        <v/>
      </c>
      <c r="O62" s="87" t="str">
        <f>IFERROR(__xludf.DUMMYFUNCTION("""COMPUTED_VALUE"""),"https://drive.google.com/drive/folders/10T2cTQHqEJZqE-st6uFKPoI?usp=share_link")</f>
        <v>https://drive.google.com/drive/folders/10T2cTQHqEJZqE-st6uFKPoI?usp=share_link</v>
      </c>
      <c r="P62" s="6" t="str">
        <f>IFERROR(__xludf.DUMMYFUNCTION("""COMPUTED_VALUE"""),"Halle Chivers")</f>
        <v>Halle Chivers</v>
      </c>
      <c r="Q62" s="6" t="str">
        <f>IFERROR(__xludf.DUMMYFUNCTION("""COMPUTED_VALUE"""),"L2")</f>
        <v>L2</v>
      </c>
      <c r="R62" s="6">
        <f>IFERROR(__xludf.DUMMYFUNCTION("""COMPUTED_VALUE"""),2.0)</f>
        <v>2</v>
      </c>
      <c r="S62" s="6" t="str">
        <f>IFERROR(__xludf.DUMMYFUNCTION("""COMPUTED_VALUE""")," ")</f>
        <v> </v>
      </c>
      <c r="T62" s="6" t="str">
        <f>IFERROR(__xludf.DUMMYFUNCTION("""COMPUTED_VALUE"""),"")</f>
        <v/>
      </c>
      <c r="U62" s="6" t="str">
        <f>IFERROR(__xludf.DUMMYFUNCTION("""COMPUTED_VALUE"""),"5")</f>
        <v>5</v>
      </c>
      <c r="V62" s="6" t="str">
        <f>IFERROR(__xludf.DUMMYFUNCTION("""COMPUTED_VALUE"""),"")</f>
        <v/>
      </c>
      <c r="W62" s="6" t="str">
        <f>IFERROR(__xludf.DUMMYFUNCTION("""COMPUTED_VALUE"""),"[]")</f>
        <v>[]</v>
      </c>
      <c r="X62" s="6" t="str">
        <f>IFERROR(__xludf.DUMMYFUNCTION("""COMPUTED_VALUE"""),"Pending Review")</f>
        <v>Pending Review</v>
      </c>
    </row>
    <row r="63">
      <c r="A63" s="6" t="str">
        <f>IFERROR(__xludf.DUMMYFUNCTION("""COMPUTED_VALUE"""),"000-11240")</f>
        <v>000-11240</v>
      </c>
      <c r="B63" s="6" t="str">
        <f>IFERROR(__xludf.DUMMYFUNCTION("""COMPUTED_VALUE"""),"0")</f>
        <v>0</v>
      </c>
      <c r="C63" s="6" t="str">
        <f>IFERROR(__xludf.DUMMYFUNCTION("""COMPUTED_VALUE"""),"11240")</f>
        <v>11240</v>
      </c>
      <c r="D63" s="6" t="str">
        <f>IFERROR(__xludf.DUMMYFUNCTION("""COMPUTED_VALUE"""),"Anna")</f>
        <v>Anna</v>
      </c>
      <c r="E63" s="6" t="str">
        <f>IFERROR(__xludf.DUMMYFUNCTION("""COMPUTED_VALUE"""),"")</f>
        <v/>
      </c>
      <c r="F63" s="6" t="str">
        <f>IFERROR(__xludf.DUMMYFUNCTION("""COMPUTED_VALUE"""),"Schuepbach")</f>
        <v>Schuepbach</v>
      </c>
      <c r="G63" s="6" t="str">
        <f>IFERROR(__xludf.DUMMYFUNCTION("""COMPUTED_VALUE"""),"12/28/2013")</f>
        <v>12/28/2013</v>
      </c>
      <c r="H63" s="6" t="str">
        <f>IFERROR(__xludf.DUMMYFUNCTION("""COMPUTED_VALUE"""),"female")</f>
        <v>female</v>
      </c>
      <c r="I63" s="6" t="str">
        <f>IFERROR(__xludf.DUMMYFUNCTION("""COMPUTED_VALUE"""),"Middle School")</f>
        <v>Middle School</v>
      </c>
      <c r="J63" s="6" t="str">
        <f>IFERROR(__xludf.DUMMYFUNCTION("""COMPUTED_VALUE"""),"6")</f>
        <v>6</v>
      </c>
      <c r="K63" s="6" t="str">
        <f>IFERROR(__xludf.DUMMYFUNCTION("""COMPUTED_VALUE"""),"anna.schuepbach@2hourlearning.com")</f>
        <v>anna.schuepbach@2hourlearning.com</v>
      </c>
      <c r="L63" s="6" t="str">
        <f>IFERROR(__xludf.DUMMYFUNCTION("""COMPUTED_VALUE"""),"Alpha Anywhere (homeschool)")</f>
        <v>Alpha Anywhere (homeschool)</v>
      </c>
      <c r="M63" s="6" t="str">
        <f>IFERROR(__xludf.DUMMYFUNCTION("""COMPUTED_VALUE"""),"")</f>
        <v/>
      </c>
      <c r="N63" s="6" t="str">
        <f>IFERROR(__xludf.DUMMYFUNCTION("""COMPUTED_VALUE"""),"")</f>
        <v/>
      </c>
      <c r="O63" s="87" t="str">
        <f>IFERROR(__xludf.DUMMYFUNCTION("""COMPUTED_VALUE"""),"https://drive.google.com/drive/folders/10T2cTQHqEJZqE-st6uFKPoI?usp=share_link")</f>
        <v>https://drive.google.com/drive/folders/10T2cTQHqEJZqE-st6uFKPoI?usp=share_link</v>
      </c>
      <c r="P63" s="6" t="str">
        <f>IFERROR(__xludf.DUMMYFUNCTION("""COMPUTED_VALUE"""),"Anna Schuepbach")</f>
        <v>Anna Schuepbach</v>
      </c>
      <c r="Q63" s="6" t="str">
        <f>IFERROR(__xludf.DUMMYFUNCTION("""COMPUTED_VALUE"""),"MS")</f>
        <v>MS</v>
      </c>
      <c r="R63" s="6">
        <f>IFERROR(__xludf.DUMMYFUNCTION("""COMPUTED_VALUE"""),0.0)</f>
        <v>0</v>
      </c>
      <c r="S63" s="6" t="str">
        <f>IFERROR(__xludf.DUMMYFUNCTION("""COMPUTED_VALUE""")," ")</f>
        <v> </v>
      </c>
      <c r="T63" s="6" t="str">
        <f>IFERROR(__xludf.DUMMYFUNCTION("""COMPUTED_VALUE"""),"")</f>
        <v/>
      </c>
      <c r="U63" s="6" t="str">
        <f>IFERROR(__xludf.DUMMYFUNCTION("""COMPUTED_VALUE"""),"6")</f>
        <v>6</v>
      </c>
      <c r="V63" s="6" t="str">
        <f>IFERROR(__xludf.DUMMYFUNCTION("""COMPUTED_VALUE"""),"")</f>
        <v/>
      </c>
      <c r="W63" s="6" t="str">
        <f>IFERROR(__xludf.DUMMYFUNCTION("""COMPUTED_VALUE"""),"[]")</f>
        <v>[]</v>
      </c>
      <c r="X63" s="6" t="str">
        <f>IFERROR(__xludf.DUMMYFUNCTION("""COMPUTED_VALUE"""),"Pending Review")</f>
        <v>Pending Review</v>
      </c>
    </row>
    <row r="64">
      <c r="A64" s="6" t="str">
        <f>IFERROR(__xludf.DUMMYFUNCTION("""COMPUTED_VALUE"""),"000-11241")</f>
        <v>000-11241</v>
      </c>
      <c r="B64" s="6" t="str">
        <f>IFERROR(__xludf.DUMMYFUNCTION("""COMPUTED_VALUE"""),"0")</f>
        <v>0</v>
      </c>
      <c r="C64" s="6" t="str">
        <f>IFERROR(__xludf.DUMMYFUNCTION("""COMPUTED_VALUE"""),"11241")</f>
        <v>11241</v>
      </c>
      <c r="D64" s="6" t="str">
        <f>IFERROR(__xludf.DUMMYFUNCTION("""COMPUTED_VALUE"""),"Teddy")</f>
        <v>Teddy</v>
      </c>
      <c r="E64" s="6" t="str">
        <f>IFERROR(__xludf.DUMMYFUNCTION("""COMPUTED_VALUE"""),"")</f>
        <v/>
      </c>
      <c r="F64" s="6" t="str">
        <f>IFERROR(__xludf.DUMMYFUNCTION("""COMPUTED_VALUE"""),"Schuepbach")</f>
        <v>Schuepbach</v>
      </c>
      <c r="G64" s="6" t="str">
        <f>IFERROR(__xludf.DUMMYFUNCTION("""COMPUTED_VALUE"""),"04/21/2015")</f>
        <v>04/21/2015</v>
      </c>
      <c r="H64" s="6" t="str">
        <f>IFERROR(__xludf.DUMMYFUNCTION("""COMPUTED_VALUE"""),"male")</f>
        <v>male</v>
      </c>
      <c r="I64" s="6" t="str">
        <f>IFERROR(__xludf.DUMMYFUNCTION("""COMPUTED_VALUE"""),"Level 2")</f>
        <v>Level 2</v>
      </c>
      <c r="J64" s="6" t="str">
        <f>IFERROR(__xludf.DUMMYFUNCTION("""COMPUTED_VALUE"""),"5")</f>
        <v>5</v>
      </c>
      <c r="K64" s="6" t="str">
        <f>IFERROR(__xludf.DUMMYFUNCTION("""COMPUTED_VALUE"""),"teddy.schuepbach@2hourlearning.com")</f>
        <v>teddy.schuepbach@2hourlearning.com</v>
      </c>
      <c r="L64" s="6" t="str">
        <f>IFERROR(__xludf.DUMMYFUNCTION("""COMPUTED_VALUE"""),"Alpha Anywhere (homeschool)")</f>
        <v>Alpha Anywhere (homeschool)</v>
      </c>
      <c r="M64" s="6" t="str">
        <f>IFERROR(__xludf.DUMMYFUNCTION("""COMPUTED_VALUE"""),"")</f>
        <v/>
      </c>
      <c r="N64" s="6" t="str">
        <f>IFERROR(__xludf.DUMMYFUNCTION("""COMPUTED_VALUE"""),"")</f>
        <v/>
      </c>
      <c r="O64" s="87" t="str">
        <f>IFERROR(__xludf.DUMMYFUNCTION("""COMPUTED_VALUE"""),"https://drive.google.com/drive/folders/10T2cTQHqEJZqE-st6uFKPoI?usp=share_link")</f>
        <v>https://drive.google.com/drive/folders/10T2cTQHqEJZqE-st6uFKPoI?usp=share_link</v>
      </c>
      <c r="P64" s="6" t="str">
        <f>IFERROR(__xludf.DUMMYFUNCTION("""COMPUTED_VALUE"""),"Teddy Schuepbach")</f>
        <v>Teddy Schuepbach</v>
      </c>
      <c r="Q64" s="6" t="str">
        <f>IFERROR(__xludf.DUMMYFUNCTION("""COMPUTED_VALUE"""),"L2")</f>
        <v>L2</v>
      </c>
      <c r="R64" s="6">
        <f>IFERROR(__xludf.DUMMYFUNCTION("""COMPUTED_VALUE"""),2.0)</f>
        <v>2</v>
      </c>
      <c r="S64" s="6" t="str">
        <f>IFERROR(__xludf.DUMMYFUNCTION("""COMPUTED_VALUE""")," ")</f>
        <v> </v>
      </c>
      <c r="T64" s="6" t="str">
        <f>IFERROR(__xludf.DUMMYFUNCTION("""COMPUTED_VALUE"""),"")</f>
        <v/>
      </c>
      <c r="U64" s="6" t="str">
        <f>IFERROR(__xludf.DUMMYFUNCTION("""COMPUTED_VALUE"""),"5")</f>
        <v>5</v>
      </c>
      <c r="V64" s="6" t="str">
        <f>IFERROR(__xludf.DUMMYFUNCTION("""COMPUTED_VALUE"""),"")</f>
        <v/>
      </c>
      <c r="W64" s="6" t="str">
        <f>IFERROR(__xludf.DUMMYFUNCTION("""COMPUTED_VALUE"""),"[]")</f>
        <v>[]</v>
      </c>
      <c r="X64" s="6" t="str">
        <f>IFERROR(__xludf.DUMMYFUNCTION("""COMPUTED_VALUE"""),"Pending Review")</f>
        <v>Pending Review</v>
      </c>
    </row>
    <row r="65">
      <c r="A65" s="6" t="str">
        <f>IFERROR(__xludf.DUMMYFUNCTION("""COMPUTED_VALUE"""),"000-11242")</f>
        <v>000-11242</v>
      </c>
      <c r="B65" s="6" t="str">
        <f>IFERROR(__xludf.DUMMYFUNCTION("""COMPUTED_VALUE"""),"0")</f>
        <v>0</v>
      </c>
      <c r="C65" s="6" t="str">
        <f>IFERROR(__xludf.DUMMYFUNCTION("""COMPUTED_VALUE"""),"11242")</f>
        <v>11242</v>
      </c>
      <c r="D65" s="6" t="str">
        <f>IFERROR(__xludf.DUMMYFUNCTION("""COMPUTED_VALUE"""),"Watson")</f>
        <v>Watson</v>
      </c>
      <c r="E65" s="6" t="str">
        <f>IFERROR(__xludf.DUMMYFUNCTION("""COMPUTED_VALUE"""),"")</f>
        <v/>
      </c>
      <c r="F65" s="6" t="str">
        <f>IFERROR(__xludf.DUMMYFUNCTION("""COMPUTED_VALUE"""),"Schuepbach")</f>
        <v>Schuepbach</v>
      </c>
      <c r="G65" s="6" t="str">
        <f>IFERROR(__xludf.DUMMYFUNCTION("""COMPUTED_VALUE"""),"06/14/2010")</f>
        <v>06/14/2010</v>
      </c>
      <c r="H65" s="6" t="str">
        <f>IFERROR(__xludf.DUMMYFUNCTION("""COMPUTED_VALUE"""),"male")</f>
        <v>male</v>
      </c>
      <c r="I65" s="6" t="str">
        <f>IFERROR(__xludf.DUMMYFUNCTION("""COMPUTED_VALUE"""),"Middle School")</f>
        <v>Middle School</v>
      </c>
      <c r="J65" s="6" t="str">
        <f>IFERROR(__xludf.DUMMYFUNCTION("""COMPUTED_VALUE"""),"8")</f>
        <v>8</v>
      </c>
      <c r="K65" s="6" t="str">
        <f>IFERROR(__xludf.DUMMYFUNCTION("""COMPUTED_VALUE"""),"watson.schuepbach@2hourlearning.com")</f>
        <v>watson.schuepbach@2hourlearning.com</v>
      </c>
      <c r="L65" s="6" t="str">
        <f>IFERROR(__xludf.DUMMYFUNCTION("""COMPUTED_VALUE"""),"Alpha Anywhere (homeschool)")</f>
        <v>Alpha Anywhere (homeschool)</v>
      </c>
      <c r="M65" s="6" t="str">
        <f>IFERROR(__xludf.DUMMYFUNCTION("""COMPUTED_VALUE"""),"")</f>
        <v/>
      </c>
      <c r="N65" s="6" t="str">
        <f>IFERROR(__xludf.DUMMYFUNCTION("""COMPUTED_VALUE"""),"")</f>
        <v/>
      </c>
      <c r="O65" s="87" t="str">
        <f>IFERROR(__xludf.DUMMYFUNCTION("""COMPUTED_VALUE"""),"https://drive.google.com/drive/folders/10T2cTQHqEJZqE-st6uFKPoI?usp=share_link")</f>
        <v>https://drive.google.com/drive/folders/10T2cTQHqEJZqE-st6uFKPoI?usp=share_link</v>
      </c>
      <c r="P65" s="6" t="str">
        <f>IFERROR(__xludf.DUMMYFUNCTION("""COMPUTED_VALUE"""),"Watson Schuepbach")</f>
        <v>Watson Schuepbach</v>
      </c>
      <c r="Q65" s="6" t="str">
        <f>IFERROR(__xludf.DUMMYFUNCTION("""COMPUTED_VALUE"""),"MS")</f>
        <v>MS</v>
      </c>
      <c r="R65" s="6">
        <f>IFERROR(__xludf.DUMMYFUNCTION("""COMPUTED_VALUE"""),0.0)</f>
        <v>0</v>
      </c>
      <c r="S65" s="6" t="str">
        <f>IFERROR(__xludf.DUMMYFUNCTION("""COMPUTED_VALUE""")," ")</f>
        <v> </v>
      </c>
      <c r="T65" s="6" t="str">
        <f>IFERROR(__xludf.DUMMYFUNCTION("""COMPUTED_VALUE"""),"")</f>
        <v/>
      </c>
      <c r="U65" s="6" t="str">
        <f>IFERROR(__xludf.DUMMYFUNCTION("""COMPUTED_VALUE"""),"8")</f>
        <v>8</v>
      </c>
      <c r="V65" s="6" t="str">
        <f>IFERROR(__xludf.DUMMYFUNCTION("""COMPUTED_VALUE"""),"")</f>
        <v/>
      </c>
      <c r="W65" s="6" t="str">
        <f>IFERROR(__xludf.DUMMYFUNCTION("""COMPUTED_VALUE"""),"[]")</f>
        <v>[]</v>
      </c>
      <c r="X65" s="6" t="str">
        <f>IFERROR(__xludf.DUMMYFUNCTION("""COMPUTED_VALUE"""),"Pending Review")</f>
        <v>Pending Review</v>
      </c>
    </row>
    <row r="66">
      <c r="A66" s="6" t="str">
        <f>IFERROR(__xludf.DUMMYFUNCTION("""COMPUTED_VALUE"""),"000-11243")</f>
        <v>000-11243</v>
      </c>
      <c r="B66" s="6" t="str">
        <f>IFERROR(__xludf.DUMMYFUNCTION("""COMPUTED_VALUE"""),"0")</f>
        <v>0</v>
      </c>
      <c r="C66" s="6" t="str">
        <f>IFERROR(__xludf.DUMMYFUNCTION("""COMPUTED_VALUE"""),"11243")</f>
        <v>11243</v>
      </c>
      <c r="D66" s="6" t="str">
        <f>IFERROR(__xludf.DUMMYFUNCTION("""COMPUTED_VALUE"""),"Lily")</f>
        <v>Lily</v>
      </c>
      <c r="E66" s="6" t="str">
        <f>IFERROR(__xludf.DUMMYFUNCTION("""COMPUTED_VALUE"""),"")</f>
        <v/>
      </c>
      <c r="F66" s="6" t="str">
        <f>IFERROR(__xludf.DUMMYFUNCTION("""COMPUTED_VALUE"""),"Zarick")</f>
        <v>Zarick</v>
      </c>
      <c r="G66" s="6" t="str">
        <f>IFERROR(__xludf.DUMMYFUNCTION("""COMPUTED_VALUE"""),"08/24/2017")</f>
        <v>08/24/2017</v>
      </c>
      <c r="H66" s="6" t="str">
        <f>IFERROR(__xludf.DUMMYFUNCTION("""COMPUTED_VALUE"""),"female")</f>
        <v>female</v>
      </c>
      <c r="I66" s="6" t="str">
        <f>IFERROR(__xludf.DUMMYFUNCTION("""COMPUTED_VALUE"""),"Level 1")</f>
        <v>Level 1</v>
      </c>
      <c r="J66" s="6" t="str">
        <f>IFERROR(__xludf.DUMMYFUNCTION("""COMPUTED_VALUE"""),"3")</f>
        <v>3</v>
      </c>
      <c r="K66" s="6" t="str">
        <f>IFERROR(__xludf.DUMMYFUNCTION("""COMPUTED_VALUE"""),"lily.zarick@2hourlearning.com")</f>
        <v>lily.zarick@2hourlearning.com</v>
      </c>
      <c r="L66" s="6" t="str">
        <f>IFERROR(__xludf.DUMMYFUNCTION("""COMPUTED_VALUE"""),"Alpha Anywhere (homeschool)")</f>
        <v>Alpha Anywhere (homeschool)</v>
      </c>
      <c r="M66" s="6" t="str">
        <f>IFERROR(__xludf.DUMMYFUNCTION("""COMPUTED_VALUE"""),"")</f>
        <v/>
      </c>
      <c r="N66" s="6" t="str">
        <f>IFERROR(__xludf.DUMMYFUNCTION("""COMPUTED_VALUE"""),"")</f>
        <v/>
      </c>
      <c r="O66" s="87" t="str">
        <f>IFERROR(__xludf.DUMMYFUNCTION("""COMPUTED_VALUE"""),"https://drive.google.com/drive/folders/10T2cTQHqEJZqE-st6uFKPoI?usp=share_link")</f>
        <v>https://drive.google.com/drive/folders/10T2cTQHqEJZqE-st6uFKPoI?usp=share_link</v>
      </c>
      <c r="P66" s="6" t="str">
        <f>IFERROR(__xludf.DUMMYFUNCTION("""COMPUTED_VALUE"""),"Lily Zarick")</f>
        <v>Lily Zarick</v>
      </c>
      <c r="Q66" s="6" t="str">
        <f>IFERROR(__xludf.DUMMYFUNCTION("""COMPUTED_VALUE"""),"L1")</f>
        <v>L1</v>
      </c>
      <c r="R66" s="6">
        <f>IFERROR(__xludf.DUMMYFUNCTION("""COMPUTED_VALUE"""),1.0)</f>
        <v>1</v>
      </c>
      <c r="S66" s="6" t="str">
        <f>IFERROR(__xludf.DUMMYFUNCTION("""COMPUTED_VALUE""")," ")</f>
        <v> </v>
      </c>
      <c r="T66" s="6" t="str">
        <f>IFERROR(__xludf.DUMMYFUNCTION("""COMPUTED_VALUE"""),"")</f>
        <v/>
      </c>
      <c r="U66" s="6" t="str">
        <f>IFERROR(__xludf.DUMMYFUNCTION("""COMPUTED_VALUE"""),"3")</f>
        <v>3</v>
      </c>
      <c r="V66" s="6" t="str">
        <f>IFERROR(__xludf.DUMMYFUNCTION("""COMPUTED_VALUE"""),"")</f>
        <v/>
      </c>
      <c r="W66" s="6" t="str">
        <f>IFERROR(__xludf.DUMMYFUNCTION("""COMPUTED_VALUE"""),"[]")</f>
        <v>[]</v>
      </c>
      <c r="X66" s="6" t="str">
        <f>IFERROR(__xludf.DUMMYFUNCTION("""COMPUTED_VALUE"""),"Pending Review")</f>
        <v>Pending Review</v>
      </c>
    </row>
    <row r="67">
      <c r="A67" s="6" t="str">
        <f>IFERROR(__xludf.DUMMYFUNCTION("""COMPUTED_VALUE"""),"000-11244")</f>
        <v>000-11244</v>
      </c>
      <c r="B67" s="6" t="str">
        <f>IFERROR(__xludf.DUMMYFUNCTION("""COMPUTED_VALUE"""),"0")</f>
        <v>0</v>
      </c>
      <c r="C67" s="6" t="str">
        <f>IFERROR(__xludf.DUMMYFUNCTION("""COMPUTED_VALUE"""),"11244")</f>
        <v>11244</v>
      </c>
      <c r="D67" s="6" t="str">
        <f>IFERROR(__xludf.DUMMYFUNCTION("""COMPUTED_VALUE"""),"Taylen")</f>
        <v>Taylen</v>
      </c>
      <c r="E67" s="6" t="str">
        <f>IFERROR(__xludf.DUMMYFUNCTION("""COMPUTED_VALUE"""),"")</f>
        <v/>
      </c>
      <c r="F67" s="6" t="str">
        <f>IFERROR(__xludf.DUMMYFUNCTION("""COMPUTED_VALUE"""),"Hallett")</f>
        <v>Hallett</v>
      </c>
      <c r="G67" s="6" t="str">
        <f>IFERROR(__xludf.DUMMYFUNCTION("""COMPUTED_VALUE"""),"06/05/2012")</f>
        <v>06/05/2012</v>
      </c>
      <c r="H67" s="6" t="str">
        <f>IFERROR(__xludf.DUMMYFUNCTION("""COMPUTED_VALUE"""),"female")</f>
        <v>female</v>
      </c>
      <c r="I67" s="6" t="str">
        <f>IFERROR(__xludf.DUMMYFUNCTION("""COMPUTED_VALUE"""),"Middle School")</f>
        <v>Middle School</v>
      </c>
      <c r="J67" s="6" t="str">
        <f>IFERROR(__xludf.DUMMYFUNCTION("""COMPUTED_VALUE"""),"8")</f>
        <v>8</v>
      </c>
      <c r="K67" s="6" t="str">
        <f>IFERROR(__xludf.DUMMYFUNCTION("""COMPUTED_VALUE"""),"taylen.hallett@2hourlearning.com")</f>
        <v>taylen.hallett@2hourlearning.com</v>
      </c>
      <c r="L67" s="6" t="str">
        <f>IFERROR(__xludf.DUMMYFUNCTION("""COMPUTED_VALUE"""),"Alpha Anywhere (homeschool)")</f>
        <v>Alpha Anywhere (homeschool)</v>
      </c>
      <c r="M67" s="6" t="str">
        <f>IFERROR(__xludf.DUMMYFUNCTION("""COMPUTED_VALUE"""),"")</f>
        <v/>
      </c>
      <c r="N67" s="6" t="str">
        <f>IFERROR(__xludf.DUMMYFUNCTION("""COMPUTED_VALUE"""),"")</f>
        <v/>
      </c>
      <c r="O67" s="87" t="str">
        <f>IFERROR(__xludf.DUMMYFUNCTION("""COMPUTED_VALUE"""),"https://drive.google.com/drive/folders/10T2cTQHqEJZqE-st6uFKPoI?usp=share_link")</f>
        <v>https://drive.google.com/drive/folders/10T2cTQHqEJZqE-st6uFKPoI?usp=share_link</v>
      </c>
      <c r="P67" s="6" t="str">
        <f>IFERROR(__xludf.DUMMYFUNCTION("""COMPUTED_VALUE"""),"Taylen Hallett")</f>
        <v>Taylen Hallett</v>
      </c>
      <c r="Q67" s="6" t="str">
        <f>IFERROR(__xludf.DUMMYFUNCTION("""COMPUTED_VALUE"""),"MS")</f>
        <v>MS</v>
      </c>
      <c r="R67" s="6">
        <f>IFERROR(__xludf.DUMMYFUNCTION("""COMPUTED_VALUE"""),0.0)</f>
        <v>0</v>
      </c>
      <c r="S67" s="6" t="str">
        <f>IFERROR(__xludf.DUMMYFUNCTION("""COMPUTED_VALUE""")," ")</f>
        <v> </v>
      </c>
      <c r="T67" s="6" t="str">
        <f>IFERROR(__xludf.DUMMYFUNCTION("""COMPUTED_VALUE"""),"")</f>
        <v/>
      </c>
      <c r="U67" s="6" t="str">
        <f>IFERROR(__xludf.DUMMYFUNCTION("""COMPUTED_VALUE"""),"8")</f>
        <v>8</v>
      </c>
      <c r="V67" s="6" t="str">
        <f>IFERROR(__xludf.DUMMYFUNCTION("""COMPUTED_VALUE"""),"")</f>
        <v/>
      </c>
      <c r="W67" s="6" t="str">
        <f>IFERROR(__xludf.DUMMYFUNCTION("""COMPUTED_VALUE"""),"[]")</f>
        <v>[]</v>
      </c>
      <c r="X67" s="6" t="str">
        <f>IFERROR(__xludf.DUMMYFUNCTION("""COMPUTED_VALUE"""),"Pending Review")</f>
        <v>Pending Review</v>
      </c>
    </row>
    <row r="68">
      <c r="A68" s="6" t="str">
        <f>IFERROR(__xludf.DUMMYFUNCTION("""COMPUTED_VALUE"""),"000-11245")</f>
        <v>000-11245</v>
      </c>
      <c r="B68" s="6" t="str">
        <f>IFERROR(__xludf.DUMMYFUNCTION("""COMPUTED_VALUE"""),"0")</f>
        <v>0</v>
      </c>
      <c r="C68" s="6" t="str">
        <f>IFERROR(__xludf.DUMMYFUNCTION("""COMPUTED_VALUE"""),"11245")</f>
        <v>11245</v>
      </c>
      <c r="D68" s="6" t="str">
        <f>IFERROR(__xludf.DUMMYFUNCTION("""COMPUTED_VALUE"""),"Malachi")</f>
        <v>Malachi</v>
      </c>
      <c r="E68" s="6" t="str">
        <f>IFERROR(__xludf.DUMMYFUNCTION("""COMPUTED_VALUE"""),"")</f>
        <v/>
      </c>
      <c r="F68" s="6" t="str">
        <f>IFERROR(__xludf.DUMMYFUNCTION("""COMPUTED_VALUE"""),"Solomon")</f>
        <v>Solomon</v>
      </c>
      <c r="G68" s="6" t="str">
        <f>IFERROR(__xludf.DUMMYFUNCTION("""COMPUTED_VALUE"""),"03/26/2014")</f>
        <v>03/26/2014</v>
      </c>
      <c r="H68" s="6" t="str">
        <f>IFERROR(__xludf.DUMMYFUNCTION("""COMPUTED_VALUE"""),"male")</f>
        <v>male</v>
      </c>
      <c r="I68" s="6" t="str">
        <f>IFERROR(__xludf.DUMMYFUNCTION("""COMPUTED_VALUE"""),"Middle School")</f>
        <v>Middle School</v>
      </c>
      <c r="J68" s="6" t="str">
        <f>IFERROR(__xludf.DUMMYFUNCTION("""COMPUTED_VALUE"""),"7")</f>
        <v>7</v>
      </c>
      <c r="K68" s="6" t="str">
        <f>IFERROR(__xludf.DUMMYFUNCTION("""COMPUTED_VALUE"""),"malachi.solomon@2hourlearning.com")</f>
        <v>malachi.solomon@2hourlearning.com</v>
      </c>
      <c r="L68" s="6" t="str">
        <f>IFERROR(__xludf.DUMMYFUNCTION("""COMPUTED_VALUE"""),"Alpha Anywhere (homeschool)")</f>
        <v>Alpha Anywhere (homeschool)</v>
      </c>
      <c r="M68" s="6" t="str">
        <f>IFERROR(__xludf.DUMMYFUNCTION("""COMPUTED_VALUE"""),"")</f>
        <v/>
      </c>
      <c r="N68" s="6" t="str">
        <f>IFERROR(__xludf.DUMMYFUNCTION("""COMPUTED_VALUE"""),"")</f>
        <v/>
      </c>
      <c r="O68" s="87" t="str">
        <f>IFERROR(__xludf.DUMMYFUNCTION("""COMPUTED_VALUE"""),"https://drive.google.com/drive/folders/10T2cTQHqEJZqE-st6uFKPoI?usp=share_link")</f>
        <v>https://drive.google.com/drive/folders/10T2cTQHqEJZqE-st6uFKPoI?usp=share_link</v>
      </c>
      <c r="P68" s="6" t="str">
        <f>IFERROR(__xludf.DUMMYFUNCTION("""COMPUTED_VALUE"""),"Malachi Solomon")</f>
        <v>Malachi Solomon</v>
      </c>
      <c r="Q68" s="6" t="str">
        <f>IFERROR(__xludf.DUMMYFUNCTION("""COMPUTED_VALUE"""),"MS")</f>
        <v>MS</v>
      </c>
      <c r="R68" s="6">
        <f>IFERROR(__xludf.DUMMYFUNCTION("""COMPUTED_VALUE"""),0.0)</f>
        <v>0</v>
      </c>
      <c r="S68" s="6" t="str">
        <f>IFERROR(__xludf.DUMMYFUNCTION("""COMPUTED_VALUE""")," ")</f>
        <v> </v>
      </c>
      <c r="T68" s="6" t="str">
        <f>IFERROR(__xludf.DUMMYFUNCTION("""COMPUTED_VALUE"""),"")</f>
        <v/>
      </c>
      <c r="U68" s="6" t="str">
        <f>IFERROR(__xludf.DUMMYFUNCTION("""COMPUTED_VALUE"""),"7")</f>
        <v>7</v>
      </c>
      <c r="V68" s="6" t="str">
        <f>IFERROR(__xludf.DUMMYFUNCTION("""COMPUTED_VALUE"""),"")</f>
        <v/>
      </c>
      <c r="W68" s="6" t="str">
        <f>IFERROR(__xludf.DUMMYFUNCTION("""COMPUTED_VALUE"""),"[]")</f>
        <v>[]</v>
      </c>
      <c r="X68" s="6" t="str">
        <f>IFERROR(__xludf.DUMMYFUNCTION("""COMPUTED_VALUE"""),"Pending Review")</f>
        <v>Pending Review</v>
      </c>
    </row>
    <row r="69">
      <c r="A69" s="6" t="str">
        <f>IFERROR(__xludf.DUMMYFUNCTION("""COMPUTED_VALUE"""),"000-11246")</f>
        <v>000-11246</v>
      </c>
      <c r="B69" s="6" t="str">
        <f>IFERROR(__xludf.DUMMYFUNCTION("""COMPUTED_VALUE"""),"0")</f>
        <v>0</v>
      </c>
      <c r="C69" s="6" t="str">
        <f>IFERROR(__xludf.DUMMYFUNCTION("""COMPUTED_VALUE"""),"11246")</f>
        <v>11246</v>
      </c>
      <c r="D69" s="6" t="str">
        <f>IFERROR(__xludf.DUMMYFUNCTION("""COMPUTED_VALUE"""),"Zuri")</f>
        <v>Zuri</v>
      </c>
      <c r="E69" s="6" t="str">
        <f>IFERROR(__xludf.DUMMYFUNCTION("""COMPUTED_VALUE"""),"")</f>
        <v/>
      </c>
      <c r="F69" s="6" t="str">
        <f>IFERROR(__xludf.DUMMYFUNCTION("""COMPUTED_VALUE"""),"Martin")</f>
        <v>Martin</v>
      </c>
      <c r="G69" s="6" t="str">
        <f>IFERROR(__xludf.DUMMYFUNCTION("""COMPUTED_VALUE"""),"12/25/2017")</f>
        <v>12/25/2017</v>
      </c>
      <c r="H69" s="6" t="str">
        <f>IFERROR(__xludf.DUMMYFUNCTION("""COMPUTED_VALUE"""),"female")</f>
        <v>female</v>
      </c>
      <c r="I69" s="6" t="str">
        <f>IFERROR(__xludf.DUMMYFUNCTION("""COMPUTED_VALUE"""),"Level 1")</f>
        <v>Level 1</v>
      </c>
      <c r="J69" s="6" t="str">
        <f>IFERROR(__xludf.DUMMYFUNCTION("""COMPUTED_VALUE"""),"3")</f>
        <v>3</v>
      </c>
      <c r="K69" s="6" t="str">
        <f>IFERROR(__xludf.DUMMYFUNCTION("""COMPUTED_VALUE"""),"zuri.martin@2hourlearning.com")</f>
        <v>zuri.martin@2hourlearning.com</v>
      </c>
      <c r="L69" s="6" t="str">
        <f>IFERROR(__xludf.DUMMYFUNCTION("""COMPUTED_VALUE"""),"Alpha Anywhere (homeschool)")</f>
        <v>Alpha Anywhere (homeschool)</v>
      </c>
      <c r="M69" s="6" t="str">
        <f>IFERROR(__xludf.DUMMYFUNCTION("""COMPUTED_VALUE"""),"")</f>
        <v/>
      </c>
      <c r="N69" s="6" t="str">
        <f>IFERROR(__xludf.DUMMYFUNCTION("""COMPUTED_VALUE"""),"")</f>
        <v/>
      </c>
      <c r="O69" s="87" t="str">
        <f>IFERROR(__xludf.DUMMYFUNCTION("""COMPUTED_VALUE"""),"https://drive.google.com/drive/folders/10T2cTQHqEJZqE-st6uFKPoI?usp=share_link")</f>
        <v>https://drive.google.com/drive/folders/10T2cTQHqEJZqE-st6uFKPoI?usp=share_link</v>
      </c>
      <c r="P69" s="6" t="str">
        <f>IFERROR(__xludf.DUMMYFUNCTION("""COMPUTED_VALUE"""),"Zuri Martin")</f>
        <v>Zuri Martin</v>
      </c>
      <c r="Q69" s="6" t="str">
        <f>IFERROR(__xludf.DUMMYFUNCTION("""COMPUTED_VALUE"""),"L1")</f>
        <v>L1</v>
      </c>
      <c r="R69" s="6">
        <f>IFERROR(__xludf.DUMMYFUNCTION("""COMPUTED_VALUE"""),1.0)</f>
        <v>1</v>
      </c>
      <c r="S69" s="6" t="str">
        <f>IFERROR(__xludf.DUMMYFUNCTION("""COMPUTED_VALUE""")," ")</f>
        <v> </v>
      </c>
      <c r="T69" s="6" t="str">
        <f>IFERROR(__xludf.DUMMYFUNCTION("""COMPUTED_VALUE"""),"")</f>
        <v/>
      </c>
      <c r="U69" s="6" t="str">
        <f>IFERROR(__xludf.DUMMYFUNCTION("""COMPUTED_VALUE"""),"3")</f>
        <v>3</v>
      </c>
      <c r="V69" s="6" t="str">
        <f>IFERROR(__xludf.DUMMYFUNCTION("""COMPUTED_VALUE"""),"")</f>
        <v/>
      </c>
      <c r="W69" s="6" t="str">
        <f>IFERROR(__xludf.DUMMYFUNCTION("""COMPUTED_VALUE"""),"[]")</f>
        <v>[]</v>
      </c>
      <c r="X69" s="6" t="str">
        <f>IFERROR(__xludf.DUMMYFUNCTION("""COMPUTED_VALUE"""),"Pending Review")</f>
        <v>Pending Review</v>
      </c>
    </row>
    <row r="70">
      <c r="A70" s="6" t="str">
        <f>IFERROR(__xludf.DUMMYFUNCTION("""COMPUTED_VALUE"""),"000-11247")</f>
        <v>000-11247</v>
      </c>
      <c r="B70" s="6" t="str">
        <f>IFERROR(__xludf.DUMMYFUNCTION("""COMPUTED_VALUE"""),"0")</f>
        <v>0</v>
      </c>
      <c r="C70" s="6" t="str">
        <f>IFERROR(__xludf.DUMMYFUNCTION("""COMPUTED_VALUE"""),"11247")</f>
        <v>11247</v>
      </c>
      <c r="D70" s="6" t="str">
        <f>IFERROR(__xludf.DUMMYFUNCTION("""COMPUTED_VALUE"""),"Austin")</f>
        <v>Austin</v>
      </c>
      <c r="E70" s="6" t="str">
        <f>IFERROR(__xludf.DUMMYFUNCTION("""COMPUTED_VALUE"""),"")</f>
        <v/>
      </c>
      <c r="F70" s="6" t="str">
        <f>IFERROR(__xludf.DUMMYFUNCTION("""COMPUTED_VALUE"""),"Signorelli")</f>
        <v>Signorelli</v>
      </c>
      <c r="G70" s="6" t="str">
        <f>IFERROR(__xludf.DUMMYFUNCTION("""COMPUTED_VALUE"""),"01/16/2013")</f>
        <v>01/16/2013</v>
      </c>
      <c r="H70" s="6" t="str">
        <f>IFERROR(__xludf.DUMMYFUNCTION("""COMPUTED_VALUE"""),"male")</f>
        <v>male</v>
      </c>
      <c r="I70" s="6" t="str">
        <f>IFERROR(__xludf.DUMMYFUNCTION("""COMPUTED_VALUE"""),"Middle School")</f>
        <v>Middle School</v>
      </c>
      <c r="J70" s="6" t="str">
        <f>IFERROR(__xludf.DUMMYFUNCTION("""COMPUTED_VALUE"""),"8")</f>
        <v>8</v>
      </c>
      <c r="K70" s="6" t="str">
        <f>IFERROR(__xludf.DUMMYFUNCTION("""COMPUTED_VALUE"""),"austin.signorelli@2hourlearning.com")</f>
        <v>austin.signorelli@2hourlearning.com</v>
      </c>
      <c r="L70" s="6" t="str">
        <f>IFERROR(__xludf.DUMMYFUNCTION("""COMPUTED_VALUE"""),"Alpha Anywhere (homeschool)")</f>
        <v>Alpha Anywhere (homeschool)</v>
      </c>
      <c r="M70" s="6" t="str">
        <f>IFERROR(__xludf.DUMMYFUNCTION("""COMPUTED_VALUE"""),"")</f>
        <v/>
      </c>
      <c r="N70" s="6" t="str">
        <f>IFERROR(__xludf.DUMMYFUNCTION("""COMPUTED_VALUE"""),"")</f>
        <v/>
      </c>
      <c r="O70" s="87" t="str">
        <f>IFERROR(__xludf.DUMMYFUNCTION("""COMPUTED_VALUE"""),"https://drive.google.com/drive/folders/10T2cTQHqEJZqE-st6uFKPoI?usp=share_link")</f>
        <v>https://drive.google.com/drive/folders/10T2cTQHqEJZqE-st6uFKPoI?usp=share_link</v>
      </c>
      <c r="P70" s="6" t="str">
        <f>IFERROR(__xludf.DUMMYFUNCTION("""COMPUTED_VALUE"""),"Austin Signorelli")</f>
        <v>Austin Signorelli</v>
      </c>
      <c r="Q70" s="6" t="str">
        <f>IFERROR(__xludf.DUMMYFUNCTION("""COMPUTED_VALUE"""),"MS")</f>
        <v>MS</v>
      </c>
      <c r="R70" s="6">
        <f>IFERROR(__xludf.DUMMYFUNCTION("""COMPUTED_VALUE"""),0.0)</f>
        <v>0</v>
      </c>
      <c r="S70" s="6" t="str">
        <f>IFERROR(__xludf.DUMMYFUNCTION("""COMPUTED_VALUE""")," ")</f>
        <v> </v>
      </c>
      <c r="T70" s="6" t="str">
        <f>IFERROR(__xludf.DUMMYFUNCTION("""COMPUTED_VALUE"""),"")</f>
        <v/>
      </c>
      <c r="U70" s="6" t="str">
        <f>IFERROR(__xludf.DUMMYFUNCTION("""COMPUTED_VALUE"""),"8")</f>
        <v>8</v>
      </c>
      <c r="V70" s="6" t="str">
        <f>IFERROR(__xludf.DUMMYFUNCTION("""COMPUTED_VALUE"""),"")</f>
        <v/>
      </c>
      <c r="W70" s="6" t="str">
        <f>IFERROR(__xludf.DUMMYFUNCTION("""COMPUTED_VALUE"""),"[]")</f>
        <v>[]</v>
      </c>
      <c r="X70" s="6" t="str">
        <f>IFERROR(__xludf.DUMMYFUNCTION("""COMPUTED_VALUE"""),"Pending Review")</f>
        <v>Pending Review</v>
      </c>
    </row>
    <row r="71">
      <c r="A71" s="6" t="str">
        <f>IFERROR(__xludf.DUMMYFUNCTION("""COMPUTED_VALUE"""),"000-11248")</f>
        <v>000-11248</v>
      </c>
      <c r="B71" s="6" t="str">
        <f>IFERROR(__xludf.DUMMYFUNCTION("""COMPUTED_VALUE"""),"0")</f>
        <v>0</v>
      </c>
      <c r="C71" s="6" t="str">
        <f>IFERROR(__xludf.DUMMYFUNCTION("""COMPUTED_VALUE"""),"11248")</f>
        <v>11248</v>
      </c>
      <c r="D71" s="6" t="str">
        <f>IFERROR(__xludf.DUMMYFUNCTION("""COMPUTED_VALUE"""),"Leah")</f>
        <v>Leah</v>
      </c>
      <c r="E71" s="6" t="str">
        <f>IFERROR(__xludf.DUMMYFUNCTION("""COMPUTED_VALUE"""),"")</f>
        <v/>
      </c>
      <c r="F71" s="6" t="str">
        <f>IFERROR(__xludf.DUMMYFUNCTION("""COMPUTED_VALUE"""),"Signorelli")</f>
        <v>Signorelli</v>
      </c>
      <c r="G71" s="6" t="str">
        <f>IFERROR(__xludf.DUMMYFUNCTION("""COMPUTED_VALUE"""),"08/05/2015")</f>
        <v>08/05/2015</v>
      </c>
      <c r="H71" s="6" t="str">
        <f>IFERROR(__xludf.DUMMYFUNCTION("""COMPUTED_VALUE"""),"female")</f>
        <v>female</v>
      </c>
      <c r="I71" s="6" t="str">
        <f>IFERROR(__xludf.DUMMYFUNCTION("""COMPUTED_VALUE"""),"Middle School")</f>
        <v>Middle School</v>
      </c>
      <c r="J71" s="6" t="str">
        <f>IFERROR(__xludf.DUMMYFUNCTION("""COMPUTED_VALUE"""),"6")</f>
        <v>6</v>
      </c>
      <c r="K71" s="6" t="str">
        <f>IFERROR(__xludf.DUMMYFUNCTION("""COMPUTED_VALUE"""),"leah.signorelli@2hourlearning.com")</f>
        <v>leah.signorelli@2hourlearning.com</v>
      </c>
      <c r="L71" s="6" t="str">
        <f>IFERROR(__xludf.DUMMYFUNCTION("""COMPUTED_VALUE"""),"Alpha Anywhere (homeschool)")</f>
        <v>Alpha Anywhere (homeschool)</v>
      </c>
      <c r="M71" s="6" t="str">
        <f>IFERROR(__xludf.DUMMYFUNCTION("""COMPUTED_VALUE"""),"")</f>
        <v/>
      </c>
      <c r="N71" s="6" t="str">
        <f>IFERROR(__xludf.DUMMYFUNCTION("""COMPUTED_VALUE"""),"")</f>
        <v/>
      </c>
      <c r="O71" s="87" t="str">
        <f>IFERROR(__xludf.DUMMYFUNCTION("""COMPUTED_VALUE"""),"https://drive.google.com/drive/folders/10T2cTQHqEJZqE-st6uFKPoI?usp=share_link")</f>
        <v>https://drive.google.com/drive/folders/10T2cTQHqEJZqE-st6uFKPoI?usp=share_link</v>
      </c>
      <c r="P71" s="6" t="str">
        <f>IFERROR(__xludf.DUMMYFUNCTION("""COMPUTED_VALUE"""),"Leah Signorelli")</f>
        <v>Leah Signorelli</v>
      </c>
      <c r="Q71" s="6" t="str">
        <f>IFERROR(__xludf.DUMMYFUNCTION("""COMPUTED_VALUE"""),"MS")</f>
        <v>MS</v>
      </c>
      <c r="R71" s="6">
        <f>IFERROR(__xludf.DUMMYFUNCTION("""COMPUTED_VALUE"""),0.0)</f>
        <v>0</v>
      </c>
      <c r="S71" s="6" t="str">
        <f>IFERROR(__xludf.DUMMYFUNCTION("""COMPUTED_VALUE""")," ")</f>
        <v> </v>
      </c>
      <c r="T71" s="6" t="str">
        <f>IFERROR(__xludf.DUMMYFUNCTION("""COMPUTED_VALUE"""),"")</f>
        <v/>
      </c>
      <c r="U71" s="6" t="str">
        <f>IFERROR(__xludf.DUMMYFUNCTION("""COMPUTED_VALUE"""),"6")</f>
        <v>6</v>
      </c>
      <c r="V71" s="6" t="str">
        <f>IFERROR(__xludf.DUMMYFUNCTION("""COMPUTED_VALUE"""),"")</f>
        <v/>
      </c>
      <c r="W71" s="6" t="str">
        <f>IFERROR(__xludf.DUMMYFUNCTION("""COMPUTED_VALUE"""),"[]")</f>
        <v>[]</v>
      </c>
      <c r="X71" s="6" t="str">
        <f>IFERROR(__xludf.DUMMYFUNCTION("""COMPUTED_VALUE"""),"Pending Review")</f>
        <v>Pending Review</v>
      </c>
    </row>
    <row r="72">
      <c r="A72" s="6" t="str">
        <f>IFERROR(__xludf.DUMMYFUNCTION("""COMPUTED_VALUE"""),"000-11252")</f>
        <v>000-11252</v>
      </c>
      <c r="B72" s="6" t="str">
        <f>IFERROR(__xludf.DUMMYFUNCTION("""COMPUTED_VALUE"""),"0")</f>
        <v>0</v>
      </c>
      <c r="C72" s="6" t="str">
        <f>IFERROR(__xludf.DUMMYFUNCTION("""COMPUTED_VALUE"""),"11252")</f>
        <v>11252</v>
      </c>
      <c r="D72" s="6" t="str">
        <f>IFERROR(__xludf.DUMMYFUNCTION("""COMPUTED_VALUE"""),"Doug")</f>
        <v>Doug</v>
      </c>
      <c r="E72" s="6" t="str">
        <f>IFERROR(__xludf.DUMMYFUNCTION("""COMPUTED_VALUE"""),"")</f>
        <v/>
      </c>
      <c r="F72" s="6" t="str">
        <f>IFERROR(__xludf.DUMMYFUNCTION("""COMPUTED_VALUE"""),"Buehler")</f>
        <v>Buehler</v>
      </c>
      <c r="G72" s="6" t="str">
        <f>IFERROR(__xludf.DUMMYFUNCTION("""COMPUTED_VALUE"""),"01/10/2014")</f>
        <v>01/10/2014</v>
      </c>
      <c r="H72" s="6" t="str">
        <f>IFERROR(__xludf.DUMMYFUNCTION("""COMPUTED_VALUE"""),"male")</f>
        <v>male</v>
      </c>
      <c r="I72" s="6" t="str">
        <f>IFERROR(__xludf.DUMMYFUNCTION("""COMPUTED_VALUE"""),"Level 2")</f>
        <v>Level 2</v>
      </c>
      <c r="J72" s="6" t="str">
        <f>IFERROR(__xludf.DUMMYFUNCTION("""COMPUTED_VALUE"""),"5")</f>
        <v>5</v>
      </c>
      <c r="K72" s="6" t="str">
        <f>IFERROR(__xludf.DUMMYFUNCTION("""COMPUTED_VALUE"""),"doug.d.buehler@2hourlearning.com")</f>
        <v>doug.d.buehler@2hourlearning.com</v>
      </c>
      <c r="L72" s="6" t="str">
        <f>IFERROR(__xludf.DUMMYFUNCTION("""COMPUTED_VALUE"""),"Alpha Anywhere (homeschool)")</f>
        <v>Alpha Anywhere (homeschool)</v>
      </c>
      <c r="M72" s="6" t="str">
        <f>IFERROR(__xludf.DUMMYFUNCTION("""COMPUTED_VALUE"""),"")</f>
        <v/>
      </c>
      <c r="N72" s="6" t="str">
        <f>IFERROR(__xludf.DUMMYFUNCTION("""COMPUTED_VALUE"""),"")</f>
        <v/>
      </c>
      <c r="O72" s="87" t="str">
        <f>IFERROR(__xludf.DUMMYFUNCTION("""COMPUTED_VALUE"""),"https://drive.google.com/drive/folders/10T2cTQHqEJZqE-st6uFKPoI?usp=share_link")</f>
        <v>https://drive.google.com/drive/folders/10T2cTQHqEJZqE-st6uFKPoI?usp=share_link</v>
      </c>
      <c r="P72" s="6" t="str">
        <f>IFERROR(__xludf.DUMMYFUNCTION("""COMPUTED_VALUE"""),"Doug Buehler")</f>
        <v>Doug Buehler</v>
      </c>
      <c r="Q72" s="6" t="str">
        <f>IFERROR(__xludf.DUMMYFUNCTION("""COMPUTED_VALUE"""),"L2")</f>
        <v>L2</v>
      </c>
      <c r="R72" s="6">
        <f>IFERROR(__xludf.DUMMYFUNCTION("""COMPUTED_VALUE"""),2.0)</f>
        <v>2</v>
      </c>
      <c r="S72" s="6" t="str">
        <f>IFERROR(__xludf.DUMMYFUNCTION("""COMPUTED_VALUE""")," ")</f>
        <v> </v>
      </c>
      <c r="T72" s="6" t="str">
        <f>IFERROR(__xludf.DUMMYFUNCTION("""COMPUTED_VALUE"""),"")</f>
        <v/>
      </c>
      <c r="U72" s="6" t="str">
        <f>IFERROR(__xludf.DUMMYFUNCTION("""COMPUTED_VALUE"""),"5")</f>
        <v>5</v>
      </c>
      <c r="V72" s="6" t="str">
        <f>IFERROR(__xludf.DUMMYFUNCTION("""COMPUTED_VALUE"""),"")</f>
        <v/>
      </c>
      <c r="W72" s="6" t="str">
        <f>IFERROR(__xludf.DUMMYFUNCTION("""COMPUTED_VALUE"""),"[]")</f>
        <v>[]</v>
      </c>
      <c r="X72" s="6" t="str">
        <f>IFERROR(__xludf.DUMMYFUNCTION("""COMPUTED_VALUE"""),"Pending Review")</f>
        <v>Pending Review</v>
      </c>
    </row>
    <row r="73">
      <c r="A73" s="6" t="str">
        <f>IFERROR(__xludf.DUMMYFUNCTION("""COMPUTED_VALUE"""),"000-11253")</f>
        <v>000-11253</v>
      </c>
      <c r="B73" s="6" t="str">
        <f>IFERROR(__xludf.DUMMYFUNCTION("""COMPUTED_VALUE"""),"0")</f>
        <v>0</v>
      </c>
      <c r="C73" s="6" t="str">
        <f>IFERROR(__xludf.DUMMYFUNCTION("""COMPUTED_VALUE"""),"11253")</f>
        <v>11253</v>
      </c>
      <c r="D73" s="6" t="str">
        <f>IFERROR(__xludf.DUMMYFUNCTION("""COMPUTED_VALUE"""),"Sabine")</f>
        <v>Sabine</v>
      </c>
      <c r="E73" s="6" t="str">
        <f>IFERROR(__xludf.DUMMYFUNCTION("""COMPUTED_VALUE"""),"")</f>
        <v/>
      </c>
      <c r="F73" s="6" t="str">
        <f>IFERROR(__xludf.DUMMYFUNCTION("""COMPUTED_VALUE"""),"Smith")</f>
        <v>Smith</v>
      </c>
      <c r="G73" s="6" t="str">
        <f>IFERROR(__xludf.DUMMYFUNCTION("""COMPUTED_VALUE"""),"12/03/2013")</f>
        <v>12/03/2013</v>
      </c>
      <c r="H73" s="6" t="str">
        <f>IFERROR(__xludf.DUMMYFUNCTION("""COMPUTED_VALUE"""),"female")</f>
        <v>female</v>
      </c>
      <c r="I73" s="6" t="str">
        <f>IFERROR(__xludf.DUMMYFUNCTION("""COMPUTED_VALUE"""),"Middle School")</f>
        <v>Middle School</v>
      </c>
      <c r="J73" s="6" t="str">
        <f>IFERROR(__xludf.DUMMYFUNCTION("""COMPUTED_VALUE"""),"7")</f>
        <v>7</v>
      </c>
      <c r="K73" s="6" t="str">
        <f>IFERROR(__xludf.DUMMYFUNCTION("""COMPUTED_VALUE"""),"sabine.smith@2hourlearning.com")</f>
        <v>sabine.smith@2hourlearning.com</v>
      </c>
      <c r="L73" s="6" t="str">
        <f>IFERROR(__xludf.DUMMYFUNCTION("""COMPUTED_VALUE"""),"Alpha Anywhere (homeschool)")</f>
        <v>Alpha Anywhere (homeschool)</v>
      </c>
      <c r="M73" s="6" t="str">
        <f>IFERROR(__xludf.DUMMYFUNCTION("""COMPUTED_VALUE"""),"")</f>
        <v/>
      </c>
      <c r="N73" s="6" t="str">
        <f>IFERROR(__xludf.DUMMYFUNCTION("""COMPUTED_VALUE"""),"")</f>
        <v/>
      </c>
      <c r="O73" s="87" t="str">
        <f>IFERROR(__xludf.DUMMYFUNCTION("""COMPUTED_VALUE"""),"https://drive.google.com/drive/folders/10T2cTQHqEJZqE-st6uFKPoI?usp=share_link")</f>
        <v>https://drive.google.com/drive/folders/10T2cTQHqEJZqE-st6uFKPoI?usp=share_link</v>
      </c>
      <c r="P73" s="6" t="str">
        <f>IFERROR(__xludf.DUMMYFUNCTION("""COMPUTED_VALUE"""),"Sabine Smith")</f>
        <v>Sabine Smith</v>
      </c>
      <c r="Q73" s="6" t="str">
        <f>IFERROR(__xludf.DUMMYFUNCTION("""COMPUTED_VALUE"""),"MS")</f>
        <v>MS</v>
      </c>
      <c r="R73" s="6">
        <f>IFERROR(__xludf.DUMMYFUNCTION("""COMPUTED_VALUE"""),0.0)</f>
        <v>0</v>
      </c>
      <c r="S73" s="6" t="str">
        <f>IFERROR(__xludf.DUMMYFUNCTION("""COMPUTED_VALUE""")," ")</f>
        <v> </v>
      </c>
      <c r="T73" s="6" t="str">
        <f>IFERROR(__xludf.DUMMYFUNCTION("""COMPUTED_VALUE"""),"")</f>
        <v/>
      </c>
      <c r="U73" s="6" t="str">
        <f>IFERROR(__xludf.DUMMYFUNCTION("""COMPUTED_VALUE"""),"7")</f>
        <v>7</v>
      </c>
      <c r="V73" s="6" t="str">
        <f>IFERROR(__xludf.DUMMYFUNCTION("""COMPUTED_VALUE"""),"")</f>
        <v/>
      </c>
      <c r="W73" s="6" t="str">
        <f>IFERROR(__xludf.DUMMYFUNCTION("""COMPUTED_VALUE"""),"[]")</f>
        <v>[]</v>
      </c>
      <c r="X73" s="6" t="str">
        <f>IFERROR(__xludf.DUMMYFUNCTION("""COMPUTED_VALUE"""),"Pending Review")</f>
        <v>Pending Review</v>
      </c>
    </row>
    <row r="74">
      <c r="A74" s="6" t="str">
        <f>IFERROR(__xludf.DUMMYFUNCTION("""COMPUTED_VALUE"""),"000-11254")</f>
        <v>000-11254</v>
      </c>
      <c r="B74" s="6" t="str">
        <f>IFERROR(__xludf.DUMMYFUNCTION("""COMPUTED_VALUE"""),"0")</f>
        <v>0</v>
      </c>
      <c r="C74" s="6" t="str">
        <f>IFERROR(__xludf.DUMMYFUNCTION("""COMPUTED_VALUE"""),"11254")</f>
        <v>11254</v>
      </c>
      <c r="D74" s="6" t="str">
        <f>IFERROR(__xludf.DUMMYFUNCTION("""COMPUTED_VALUE"""),"Adam")</f>
        <v>Adam</v>
      </c>
      <c r="E74" s="6" t="str">
        <f>IFERROR(__xludf.DUMMYFUNCTION("""COMPUTED_VALUE"""),"")</f>
        <v/>
      </c>
      <c r="F74" s="6" t="str">
        <f>IFERROR(__xludf.DUMMYFUNCTION("""COMPUTED_VALUE"""),"Shulman")</f>
        <v>Shulman</v>
      </c>
      <c r="G74" s="6" t="str">
        <f>IFERROR(__xludf.DUMMYFUNCTION("""COMPUTED_VALUE"""),"06/30/2017")</f>
        <v>06/30/2017</v>
      </c>
      <c r="H74" s="6" t="str">
        <f>IFERROR(__xludf.DUMMYFUNCTION("""COMPUTED_VALUE"""),"male")</f>
        <v>male</v>
      </c>
      <c r="I74" s="6" t="str">
        <f>IFERROR(__xludf.DUMMYFUNCTION("""COMPUTED_VALUE"""),"Level 2")</f>
        <v>Level 2</v>
      </c>
      <c r="J74" s="6" t="str">
        <f>IFERROR(__xludf.DUMMYFUNCTION("""COMPUTED_VALUE"""),"4")</f>
        <v>4</v>
      </c>
      <c r="K74" s="6" t="str">
        <f>IFERROR(__xludf.DUMMYFUNCTION("""COMPUTED_VALUE"""),"adam.shulman@2hourlearning.com")</f>
        <v>adam.shulman@2hourlearning.com</v>
      </c>
      <c r="L74" s="6" t="str">
        <f>IFERROR(__xludf.DUMMYFUNCTION("""COMPUTED_VALUE"""),"Alpha Anywhere (homeschool)")</f>
        <v>Alpha Anywhere (homeschool)</v>
      </c>
      <c r="M74" s="6" t="str">
        <f>IFERROR(__xludf.DUMMYFUNCTION("""COMPUTED_VALUE"""),"")</f>
        <v/>
      </c>
      <c r="N74" s="6" t="str">
        <f>IFERROR(__xludf.DUMMYFUNCTION("""COMPUTED_VALUE"""),"")</f>
        <v/>
      </c>
      <c r="O74" s="87" t="str">
        <f>IFERROR(__xludf.DUMMYFUNCTION("""COMPUTED_VALUE"""),"https://drive.google.com/drive/folders/10T2cTQHqEJZqE-st6uFKPoI?usp=share_link")</f>
        <v>https://drive.google.com/drive/folders/10T2cTQHqEJZqE-st6uFKPoI?usp=share_link</v>
      </c>
      <c r="P74" s="6" t="str">
        <f>IFERROR(__xludf.DUMMYFUNCTION("""COMPUTED_VALUE"""),"Adam Shulman")</f>
        <v>Adam Shulman</v>
      </c>
      <c r="Q74" s="6" t="str">
        <f>IFERROR(__xludf.DUMMYFUNCTION("""COMPUTED_VALUE"""),"L2")</f>
        <v>L2</v>
      </c>
      <c r="R74" s="6">
        <f>IFERROR(__xludf.DUMMYFUNCTION("""COMPUTED_VALUE"""),2.0)</f>
        <v>2</v>
      </c>
      <c r="S74" s="6" t="str">
        <f>IFERROR(__xludf.DUMMYFUNCTION("""COMPUTED_VALUE""")," ")</f>
        <v> </v>
      </c>
      <c r="T74" s="6" t="str">
        <f>IFERROR(__xludf.DUMMYFUNCTION("""COMPUTED_VALUE"""),"")</f>
        <v/>
      </c>
      <c r="U74" s="6" t="str">
        <f>IFERROR(__xludf.DUMMYFUNCTION("""COMPUTED_VALUE"""),"4")</f>
        <v>4</v>
      </c>
      <c r="V74" s="6" t="str">
        <f>IFERROR(__xludf.DUMMYFUNCTION("""COMPUTED_VALUE"""),"")</f>
        <v/>
      </c>
      <c r="W74" s="6" t="str">
        <f>IFERROR(__xludf.DUMMYFUNCTION("""COMPUTED_VALUE"""),"[]")</f>
        <v>[]</v>
      </c>
      <c r="X74" s="6" t="str">
        <f>IFERROR(__xludf.DUMMYFUNCTION("""COMPUTED_VALUE"""),"Pending Review")</f>
        <v>Pending Review</v>
      </c>
    </row>
    <row r="75">
      <c r="A75" s="6" t="str">
        <f>IFERROR(__xludf.DUMMYFUNCTION("""COMPUTED_VALUE"""),"000-11255")</f>
        <v>000-11255</v>
      </c>
      <c r="B75" s="6" t="str">
        <f>IFERROR(__xludf.DUMMYFUNCTION("""COMPUTED_VALUE"""),"0")</f>
        <v>0</v>
      </c>
      <c r="C75" s="6" t="str">
        <f>IFERROR(__xludf.DUMMYFUNCTION("""COMPUTED_VALUE"""),"11255")</f>
        <v>11255</v>
      </c>
      <c r="D75" s="6" t="str">
        <f>IFERROR(__xludf.DUMMYFUNCTION("""COMPUTED_VALUE"""),"Lucia")</f>
        <v>Lucia</v>
      </c>
      <c r="E75" s="6" t="str">
        <f>IFERROR(__xludf.DUMMYFUNCTION("""COMPUTED_VALUE"""),"")</f>
        <v/>
      </c>
      <c r="F75" s="6" t="str">
        <f>IFERROR(__xludf.DUMMYFUNCTION("""COMPUTED_VALUE"""),"Monsen")</f>
        <v>Monsen</v>
      </c>
      <c r="G75" s="6" t="str">
        <f>IFERROR(__xludf.DUMMYFUNCTION("""COMPUTED_VALUE"""),"11/27/2016")</f>
        <v>11/27/2016</v>
      </c>
      <c r="H75" s="6" t="str">
        <f>IFERROR(__xludf.DUMMYFUNCTION("""COMPUTED_VALUE"""),"female")</f>
        <v>female</v>
      </c>
      <c r="I75" s="6" t="str">
        <f>IFERROR(__xludf.DUMMYFUNCTION("""COMPUTED_VALUE"""),"Level 2")</f>
        <v>Level 2</v>
      </c>
      <c r="J75" s="6" t="str">
        <f>IFERROR(__xludf.DUMMYFUNCTION("""COMPUTED_VALUE"""),"4")</f>
        <v>4</v>
      </c>
      <c r="K75" s="6" t="str">
        <f>IFERROR(__xludf.DUMMYFUNCTION("""COMPUTED_VALUE"""),"lucia.monsen@2hourlearning.com")</f>
        <v>lucia.monsen@2hourlearning.com</v>
      </c>
      <c r="L75" s="6" t="str">
        <f>IFERROR(__xludf.DUMMYFUNCTION("""COMPUTED_VALUE"""),"Alpha Anywhere (homeschool)")</f>
        <v>Alpha Anywhere (homeschool)</v>
      </c>
      <c r="M75" s="6" t="str">
        <f>IFERROR(__xludf.DUMMYFUNCTION("""COMPUTED_VALUE"""),"")</f>
        <v/>
      </c>
      <c r="N75" s="6" t="str">
        <f>IFERROR(__xludf.DUMMYFUNCTION("""COMPUTED_VALUE"""),"")</f>
        <v/>
      </c>
      <c r="O75" s="87" t="str">
        <f>IFERROR(__xludf.DUMMYFUNCTION("""COMPUTED_VALUE"""),"https://drive.google.com/drive/folders/10T2cTQHqEJZqE-st6uFKPoI?usp=share_link")</f>
        <v>https://drive.google.com/drive/folders/10T2cTQHqEJZqE-st6uFKPoI?usp=share_link</v>
      </c>
      <c r="P75" s="6" t="str">
        <f>IFERROR(__xludf.DUMMYFUNCTION("""COMPUTED_VALUE"""),"Lucia Monsen")</f>
        <v>Lucia Monsen</v>
      </c>
      <c r="Q75" s="6" t="str">
        <f>IFERROR(__xludf.DUMMYFUNCTION("""COMPUTED_VALUE"""),"L2")</f>
        <v>L2</v>
      </c>
      <c r="R75" s="6">
        <f>IFERROR(__xludf.DUMMYFUNCTION("""COMPUTED_VALUE"""),2.0)</f>
        <v>2</v>
      </c>
      <c r="S75" s="6" t="str">
        <f>IFERROR(__xludf.DUMMYFUNCTION("""COMPUTED_VALUE""")," ")</f>
        <v> </v>
      </c>
      <c r="T75" s="6" t="str">
        <f>IFERROR(__xludf.DUMMYFUNCTION("""COMPUTED_VALUE"""),"")</f>
        <v/>
      </c>
      <c r="U75" s="6" t="str">
        <f>IFERROR(__xludf.DUMMYFUNCTION("""COMPUTED_VALUE"""),"4")</f>
        <v>4</v>
      </c>
      <c r="V75" s="6" t="str">
        <f>IFERROR(__xludf.DUMMYFUNCTION("""COMPUTED_VALUE"""),"")</f>
        <v/>
      </c>
      <c r="W75" s="6" t="str">
        <f>IFERROR(__xludf.DUMMYFUNCTION("""COMPUTED_VALUE"""),"[]")</f>
        <v>[]</v>
      </c>
      <c r="X75" s="6" t="str">
        <f>IFERROR(__xludf.DUMMYFUNCTION("""COMPUTED_VALUE"""),"Pending Review")</f>
        <v>Pending Review</v>
      </c>
    </row>
    <row r="76">
      <c r="A76" s="6" t="str">
        <f>IFERROR(__xludf.DUMMYFUNCTION("""COMPUTED_VALUE"""),"000-11256")</f>
        <v>000-11256</v>
      </c>
      <c r="B76" s="6" t="str">
        <f>IFERROR(__xludf.DUMMYFUNCTION("""COMPUTED_VALUE"""),"0")</f>
        <v>0</v>
      </c>
      <c r="C76" s="6" t="str">
        <f>IFERROR(__xludf.DUMMYFUNCTION("""COMPUTED_VALUE"""),"11256")</f>
        <v>11256</v>
      </c>
      <c r="D76" s="6" t="str">
        <f>IFERROR(__xludf.DUMMYFUNCTION("""COMPUTED_VALUE"""),"Zoram")</f>
        <v>Zoram</v>
      </c>
      <c r="E76" s="6" t="str">
        <f>IFERROR(__xludf.DUMMYFUNCTION("""COMPUTED_VALUE"""),"")</f>
        <v/>
      </c>
      <c r="F76" s="6" t="str">
        <f>IFERROR(__xludf.DUMMYFUNCTION("""COMPUTED_VALUE"""),"Atwood")</f>
        <v>Atwood</v>
      </c>
      <c r="G76" s="6" t="str">
        <f>IFERROR(__xludf.DUMMYFUNCTION("""COMPUTED_VALUE"""),"05/13/2018")</f>
        <v>05/13/2018</v>
      </c>
      <c r="H76" s="6" t="str">
        <f>IFERROR(__xludf.DUMMYFUNCTION("""COMPUTED_VALUE"""),"male")</f>
        <v>male</v>
      </c>
      <c r="I76" s="6" t="str">
        <f>IFERROR(__xludf.DUMMYFUNCTION("""COMPUTED_VALUE"""),"Level 1")</f>
        <v>Level 1</v>
      </c>
      <c r="J76" s="6" t="str">
        <f>IFERROR(__xludf.DUMMYFUNCTION("""COMPUTED_VALUE"""),"3")</f>
        <v>3</v>
      </c>
      <c r="K76" s="6" t="str">
        <f>IFERROR(__xludf.DUMMYFUNCTION("""COMPUTED_VALUE"""),"zoram.atwood@2hourlearning.com")</f>
        <v>zoram.atwood@2hourlearning.com</v>
      </c>
      <c r="L76" s="6" t="str">
        <f>IFERROR(__xludf.DUMMYFUNCTION("""COMPUTED_VALUE"""),"Alpha Anywhere (homeschool)")</f>
        <v>Alpha Anywhere (homeschool)</v>
      </c>
      <c r="M76" s="6" t="str">
        <f>IFERROR(__xludf.DUMMYFUNCTION("""COMPUTED_VALUE"""),"")</f>
        <v/>
      </c>
      <c r="N76" s="6" t="str">
        <f>IFERROR(__xludf.DUMMYFUNCTION("""COMPUTED_VALUE"""),"")</f>
        <v/>
      </c>
      <c r="O76" s="87" t="str">
        <f>IFERROR(__xludf.DUMMYFUNCTION("""COMPUTED_VALUE"""),"https://drive.google.com/drive/folders/10T2cTQHqEJZqE-st6uFKPoI?usp=share_link")</f>
        <v>https://drive.google.com/drive/folders/10T2cTQHqEJZqE-st6uFKPoI?usp=share_link</v>
      </c>
      <c r="P76" s="6" t="str">
        <f>IFERROR(__xludf.DUMMYFUNCTION("""COMPUTED_VALUE"""),"Zoram Atwood")</f>
        <v>Zoram Atwood</v>
      </c>
      <c r="Q76" s="6" t="str">
        <f>IFERROR(__xludf.DUMMYFUNCTION("""COMPUTED_VALUE"""),"L1")</f>
        <v>L1</v>
      </c>
      <c r="R76" s="6">
        <f>IFERROR(__xludf.DUMMYFUNCTION("""COMPUTED_VALUE"""),1.0)</f>
        <v>1</v>
      </c>
      <c r="S76" s="6" t="str">
        <f>IFERROR(__xludf.DUMMYFUNCTION("""COMPUTED_VALUE""")," ")</f>
        <v> </v>
      </c>
      <c r="T76" s="6" t="str">
        <f>IFERROR(__xludf.DUMMYFUNCTION("""COMPUTED_VALUE"""),"")</f>
        <v/>
      </c>
      <c r="U76" s="6" t="str">
        <f>IFERROR(__xludf.DUMMYFUNCTION("""COMPUTED_VALUE"""),"3")</f>
        <v>3</v>
      </c>
      <c r="V76" s="6" t="str">
        <f>IFERROR(__xludf.DUMMYFUNCTION("""COMPUTED_VALUE"""),"")</f>
        <v/>
      </c>
      <c r="W76" s="6" t="str">
        <f>IFERROR(__xludf.DUMMYFUNCTION("""COMPUTED_VALUE"""),"[]")</f>
        <v>[]</v>
      </c>
      <c r="X76" s="6" t="str">
        <f>IFERROR(__xludf.DUMMYFUNCTION("""COMPUTED_VALUE"""),"Pending Review")</f>
        <v>Pending Review</v>
      </c>
    </row>
    <row r="77">
      <c r="A77" s="6" t="str">
        <f>IFERROR(__xludf.DUMMYFUNCTION("""COMPUTED_VALUE"""),"000-11258")</f>
        <v>000-11258</v>
      </c>
      <c r="B77" s="6" t="str">
        <f>IFERROR(__xludf.DUMMYFUNCTION("""COMPUTED_VALUE"""),"0")</f>
        <v>0</v>
      </c>
      <c r="C77" s="6" t="str">
        <f>IFERROR(__xludf.DUMMYFUNCTION("""COMPUTED_VALUE"""),"11258")</f>
        <v>11258</v>
      </c>
      <c r="D77" s="6" t="str">
        <f>IFERROR(__xludf.DUMMYFUNCTION("""COMPUTED_VALUE"""),"Cody")</f>
        <v>Cody</v>
      </c>
      <c r="E77" s="6" t="str">
        <f>IFERROR(__xludf.DUMMYFUNCTION("""COMPUTED_VALUE"""),"")</f>
        <v/>
      </c>
      <c r="F77" s="6" t="str">
        <f>IFERROR(__xludf.DUMMYFUNCTION("""COMPUTED_VALUE"""),"Pisciarino")</f>
        <v>Pisciarino</v>
      </c>
      <c r="G77" s="6" t="str">
        <f>IFERROR(__xludf.DUMMYFUNCTION("""COMPUTED_VALUE"""),"07/03/2013")</f>
        <v>07/03/2013</v>
      </c>
      <c r="H77" s="6" t="str">
        <f>IFERROR(__xludf.DUMMYFUNCTION("""COMPUTED_VALUE"""),"male")</f>
        <v>male</v>
      </c>
      <c r="I77" s="6" t="str">
        <f>IFERROR(__xludf.DUMMYFUNCTION("""COMPUTED_VALUE"""),"Middle School")</f>
        <v>Middle School</v>
      </c>
      <c r="J77" s="6" t="str">
        <f>IFERROR(__xludf.DUMMYFUNCTION("""COMPUTED_VALUE"""),"8")</f>
        <v>8</v>
      </c>
      <c r="K77" s="6" t="str">
        <f>IFERROR(__xludf.DUMMYFUNCTION("""COMPUTED_VALUE"""),"cody.pisciarino@2hourlearning.com")</f>
        <v>cody.pisciarino@2hourlearning.com</v>
      </c>
      <c r="L77" s="6" t="str">
        <f>IFERROR(__xludf.DUMMYFUNCTION("""COMPUTED_VALUE"""),"Alpha Anywhere (homeschool)")</f>
        <v>Alpha Anywhere (homeschool)</v>
      </c>
      <c r="M77" s="6" t="str">
        <f>IFERROR(__xludf.DUMMYFUNCTION("""COMPUTED_VALUE"""),"")</f>
        <v/>
      </c>
      <c r="N77" s="6" t="str">
        <f>IFERROR(__xludf.DUMMYFUNCTION("""COMPUTED_VALUE"""),"")</f>
        <v/>
      </c>
      <c r="O77" s="87" t="str">
        <f>IFERROR(__xludf.DUMMYFUNCTION("""COMPUTED_VALUE"""),"https://drive.google.com/drive/folders/10T2cTQHqEJZqE-st6uFKPoI?usp=share_link")</f>
        <v>https://drive.google.com/drive/folders/10T2cTQHqEJZqE-st6uFKPoI?usp=share_link</v>
      </c>
      <c r="P77" s="6" t="str">
        <f>IFERROR(__xludf.DUMMYFUNCTION("""COMPUTED_VALUE"""),"Cody Pisciarino")</f>
        <v>Cody Pisciarino</v>
      </c>
      <c r="Q77" s="6" t="str">
        <f>IFERROR(__xludf.DUMMYFUNCTION("""COMPUTED_VALUE"""),"MS")</f>
        <v>MS</v>
      </c>
      <c r="R77" s="6">
        <f>IFERROR(__xludf.DUMMYFUNCTION("""COMPUTED_VALUE"""),0.0)</f>
        <v>0</v>
      </c>
      <c r="S77" s="6" t="str">
        <f>IFERROR(__xludf.DUMMYFUNCTION("""COMPUTED_VALUE""")," ")</f>
        <v> </v>
      </c>
      <c r="T77" s="6" t="str">
        <f>IFERROR(__xludf.DUMMYFUNCTION("""COMPUTED_VALUE"""),"")</f>
        <v/>
      </c>
      <c r="U77" s="6" t="str">
        <f>IFERROR(__xludf.DUMMYFUNCTION("""COMPUTED_VALUE"""),"8")</f>
        <v>8</v>
      </c>
      <c r="V77" s="6" t="str">
        <f>IFERROR(__xludf.DUMMYFUNCTION("""COMPUTED_VALUE"""),"")</f>
        <v/>
      </c>
      <c r="W77" s="6" t="str">
        <f>IFERROR(__xludf.DUMMYFUNCTION("""COMPUTED_VALUE"""),"[]")</f>
        <v>[]</v>
      </c>
      <c r="X77" s="6" t="str">
        <f>IFERROR(__xludf.DUMMYFUNCTION("""COMPUTED_VALUE"""),"Pending Review")</f>
        <v>Pending Review</v>
      </c>
    </row>
    <row r="78">
      <c r="A78" s="6" t="str">
        <f>IFERROR(__xludf.DUMMYFUNCTION("""COMPUTED_VALUE"""),"000-11269")</f>
        <v>000-11269</v>
      </c>
      <c r="B78" s="6" t="str">
        <f>IFERROR(__xludf.DUMMYFUNCTION("""COMPUTED_VALUE"""),"0")</f>
        <v>0</v>
      </c>
      <c r="C78" s="6" t="str">
        <f>IFERROR(__xludf.DUMMYFUNCTION("""COMPUTED_VALUE"""),"11269")</f>
        <v>11269</v>
      </c>
      <c r="D78" s="6" t="str">
        <f>IFERROR(__xludf.DUMMYFUNCTION("""COMPUTED_VALUE"""),"Madelyn")</f>
        <v>Madelyn</v>
      </c>
      <c r="E78" s="6" t="str">
        <f>IFERROR(__xludf.DUMMYFUNCTION("""COMPUTED_VALUE"""),"")</f>
        <v/>
      </c>
      <c r="F78" s="6" t="str">
        <f>IFERROR(__xludf.DUMMYFUNCTION("""COMPUTED_VALUE"""),"Melendez")</f>
        <v>Melendez</v>
      </c>
      <c r="G78" s="6" t="str">
        <f>IFERROR(__xludf.DUMMYFUNCTION("""COMPUTED_VALUE"""),"05/10/2015")</f>
        <v>05/10/2015</v>
      </c>
      <c r="H78" s="6" t="str">
        <f>IFERROR(__xludf.DUMMYFUNCTION("""COMPUTED_VALUE"""),"female")</f>
        <v>female</v>
      </c>
      <c r="I78" s="6" t="str">
        <f>IFERROR(__xludf.DUMMYFUNCTION("""COMPUTED_VALUE"""),"Level 2")</f>
        <v>Level 2</v>
      </c>
      <c r="J78" s="6" t="str">
        <f>IFERROR(__xludf.DUMMYFUNCTION("""COMPUTED_VALUE"""),"5")</f>
        <v>5</v>
      </c>
      <c r="K78" s="6" t="str">
        <f>IFERROR(__xludf.DUMMYFUNCTION("""COMPUTED_VALUE"""),"madelyn.melendez@2hourlearning.com")</f>
        <v>madelyn.melendez@2hourlearning.com</v>
      </c>
      <c r="L78" s="6" t="str">
        <f>IFERROR(__xludf.DUMMYFUNCTION("""COMPUTED_VALUE"""),"Alpha Anywhere (homeschool)")</f>
        <v>Alpha Anywhere (homeschool)</v>
      </c>
      <c r="M78" s="6" t="str">
        <f>IFERROR(__xludf.DUMMYFUNCTION("""COMPUTED_VALUE"""),"")</f>
        <v/>
      </c>
      <c r="N78" s="6" t="str">
        <f>IFERROR(__xludf.DUMMYFUNCTION("""COMPUTED_VALUE"""),"")</f>
        <v/>
      </c>
      <c r="O78" s="87" t="str">
        <f>IFERROR(__xludf.DUMMYFUNCTION("""COMPUTED_VALUE"""),"https://drive.google.com/drive/folders/10T2cTQHqEJZqE-st6uFKPoI?usp=share_link")</f>
        <v>https://drive.google.com/drive/folders/10T2cTQHqEJZqE-st6uFKPoI?usp=share_link</v>
      </c>
      <c r="P78" s="6" t="str">
        <f>IFERROR(__xludf.DUMMYFUNCTION("""COMPUTED_VALUE"""),"Madelyn Melendez")</f>
        <v>Madelyn Melendez</v>
      </c>
      <c r="Q78" s="6" t="str">
        <f>IFERROR(__xludf.DUMMYFUNCTION("""COMPUTED_VALUE"""),"L2")</f>
        <v>L2</v>
      </c>
      <c r="R78" s="6">
        <f>IFERROR(__xludf.DUMMYFUNCTION("""COMPUTED_VALUE"""),2.0)</f>
        <v>2</v>
      </c>
      <c r="S78" s="6" t="str">
        <f>IFERROR(__xludf.DUMMYFUNCTION("""COMPUTED_VALUE""")," ")</f>
        <v> </v>
      </c>
      <c r="T78" s="6" t="str">
        <f>IFERROR(__xludf.DUMMYFUNCTION("""COMPUTED_VALUE"""),"")</f>
        <v/>
      </c>
      <c r="U78" s="6" t="str">
        <f>IFERROR(__xludf.DUMMYFUNCTION("""COMPUTED_VALUE"""),"5")</f>
        <v>5</v>
      </c>
      <c r="V78" s="6" t="str">
        <f>IFERROR(__xludf.DUMMYFUNCTION("""COMPUTED_VALUE"""),"")</f>
        <v/>
      </c>
      <c r="W78" s="6" t="str">
        <f>IFERROR(__xludf.DUMMYFUNCTION("""COMPUTED_VALUE"""),"[]")</f>
        <v>[]</v>
      </c>
      <c r="X78" s="6" t="str">
        <f>IFERROR(__xludf.DUMMYFUNCTION("""COMPUTED_VALUE"""),"Pending Review")</f>
        <v>Pending Review</v>
      </c>
    </row>
    <row r="79">
      <c r="A79" s="6" t="str">
        <f>IFERROR(__xludf.DUMMYFUNCTION("""COMPUTED_VALUE"""),"000-11270")</f>
        <v>000-11270</v>
      </c>
      <c r="B79" s="6" t="str">
        <f>IFERROR(__xludf.DUMMYFUNCTION("""COMPUTED_VALUE"""),"0")</f>
        <v>0</v>
      </c>
      <c r="C79" s="6" t="str">
        <f>IFERROR(__xludf.DUMMYFUNCTION("""COMPUTED_VALUE"""),"11270")</f>
        <v>11270</v>
      </c>
      <c r="D79" s="6" t="str">
        <f>IFERROR(__xludf.DUMMYFUNCTION("""COMPUTED_VALUE"""),"Josiah")</f>
        <v>Josiah</v>
      </c>
      <c r="E79" s="6" t="str">
        <f>IFERROR(__xludf.DUMMYFUNCTION("""COMPUTED_VALUE"""),"")</f>
        <v/>
      </c>
      <c r="F79" s="6" t="str">
        <f>IFERROR(__xludf.DUMMYFUNCTION("""COMPUTED_VALUE"""),"Melendez")</f>
        <v>Melendez</v>
      </c>
      <c r="G79" s="6" t="str">
        <f>IFERROR(__xludf.DUMMYFUNCTION("""COMPUTED_VALUE"""),"02/06/2018")</f>
        <v>02/06/2018</v>
      </c>
      <c r="H79" s="6" t="str">
        <f>IFERROR(__xludf.DUMMYFUNCTION("""COMPUTED_VALUE"""),"male")</f>
        <v>male</v>
      </c>
      <c r="I79" s="6" t="str">
        <f>IFERROR(__xludf.DUMMYFUNCTION("""COMPUTED_VALUE"""),"Level 1")</f>
        <v>Level 1</v>
      </c>
      <c r="J79" s="6" t="str">
        <f>IFERROR(__xludf.DUMMYFUNCTION("""COMPUTED_VALUE"""),"2")</f>
        <v>2</v>
      </c>
      <c r="K79" s="6" t="str">
        <f>IFERROR(__xludf.DUMMYFUNCTION("""COMPUTED_VALUE"""),"josiah.melendez@2hourlearning.com")</f>
        <v>josiah.melendez@2hourlearning.com</v>
      </c>
      <c r="L79" s="6" t="str">
        <f>IFERROR(__xludf.DUMMYFUNCTION("""COMPUTED_VALUE"""),"Alpha Anywhere (homeschool)")</f>
        <v>Alpha Anywhere (homeschool)</v>
      </c>
      <c r="M79" s="6" t="str">
        <f>IFERROR(__xludf.DUMMYFUNCTION("""COMPUTED_VALUE"""),"")</f>
        <v/>
      </c>
      <c r="N79" s="6" t="str">
        <f>IFERROR(__xludf.DUMMYFUNCTION("""COMPUTED_VALUE"""),"")</f>
        <v/>
      </c>
      <c r="O79" s="87" t="str">
        <f>IFERROR(__xludf.DUMMYFUNCTION("""COMPUTED_VALUE"""),"https://drive.google.com/drive/folders/10T2cTQHqEJZqE-st6uFKPoI?usp=share_link")</f>
        <v>https://drive.google.com/drive/folders/10T2cTQHqEJZqE-st6uFKPoI?usp=share_link</v>
      </c>
      <c r="P79" s="6" t="str">
        <f>IFERROR(__xludf.DUMMYFUNCTION("""COMPUTED_VALUE"""),"Josiah Melendez")</f>
        <v>Josiah Melendez</v>
      </c>
      <c r="Q79" s="6" t="str">
        <f>IFERROR(__xludf.DUMMYFUNCTION("""COMPUTED_VALUE"""),"L1")</f>
        <v>L1</v>
      </c>
      <c r="R79" s="6">
        <f>IFERROR(__xludf.DUMMYFUNCTION("""COMPUTED_VALUE"""),1.0)</f>
        <v>1</v>
      </c>
      <c r="S79" s="6" t="str">
        <f>IFERROR(__xludf.DUMMYFUNCTION("""COMPUTED_VALUE""")," ")</f>
        <v> </v>
      </c>
      <c r="T79" s="6" t="str">
        <f>IFERROR(__xludf.DUMMYFUNCTION("""COMPUTED_VALUE"""),"")</f>
        <v/>
      </c>
      <c r="U79" s="6" t="str">
        <f>IFERROR(__xludf.DUMMYFUNCTION("""COMPUTED_VALUE"""),"2")</f>
        <v>2</v>
      </c>
      <c r="V79" s="6" t="str">
        <f>IFERROR(__xludf.DUMMYFUNCTION("""COMPUTED_VALUE"""),"")</f>
        <v/>
      </c>
      <c r="W79" s="6" t="str">
        <f>IFERROR(__xludf.DUMMYFUNCTION("""COMPUTED_VALUE"""),"[]")</f>
        <v>[]</v>
      </c>
      <c r="X79" s="6" t="str">
        <f>IFERROR(__xludf.DUMMYFUNCTION("""COMPUTED_VALUE"""),"Pending Review")</f>
        <v>Pending Review</v>
      </c>
    </row>
    <row r="80">
      <c r="A80" s="6" t="str">
        <f>IFERROR(__xludf.DUMMYFUNCTION("""COMPUTED_VALUE"""),"000-11271")</f>
        <v>000-11271</v>
      </c>
      <c r="B80" s="6" t="str">
        <f>IFERROR(__xludf.DUMMYFUNCTION("""COMPUTED_VALUE"""),"0")</f>
        <v>0</v>
      </c>
      <c r="C80" s="6" t="str">
        <f>IFERROR(__xludf.DUMMYFUNCTION("""COMPUTED_VALUE"""),"11271")</f>
        <v>11271</v>
      </c>
      <c r="D80" s="6" t="str">
        <f>IFERROR(__xludf.DUMMYFUNCTION("""COMPUTED_VALUE"""),"Mason")</f>
        <v>Mason</v>
      </c>
      <c r="E80" s="6" t="str">
        <f>IFERROR(__xludf.DUMMYFUNCTION("""COMPUTED_VALUE"""),"")</f>
        <v/>
      </c>
      <c r="F80" s="6" t="str">
        <f>IFERROR(__xludf.DUMMYFUNCTION("""COMPUTED_VALUE"""),"Johnson")</f>
        <v>Johnson</v>
      </c>
      <c r="G80" s="6" t="str">
        <f>IFERROR(__xludf.DUMMYFUNCTION("""COMPUTED_VALUE"""),"11/19/2013")</f>
        <v>11/19/2013</v>
      </c>
      <c r="H80" s="6" t="str">
        <f>IFERROR(__xludf.DUMMYFUNCTION("""COMPUTED_VALUE"""),"male")</f>
        <v>male</v>
      </c>
      <c r="I80" s="6" t="str">
        <f>IFERROR(__xludf.DUMMYFUNCTION("""COMPUTED_VALUE"""),"Middle School")</f>
        <v>Middle School</v>
      </c>
      <c r="J80" s="6" t="str">
        <f>IFERROR(__xludf.DUMMYFUNCTION("""COMPUTED_VALUE"""),"7")</f>
        <v>7</v>
      </c>
      <c r="K80" s="6" t="str">
        <f>IFERROR(__xludf.DUMMYFUNCTION("""COMPUTED_VALUE"""),"mason.johnson@2hourlearning.com")</f>
        <v>mason.johnson@2hourlearning.com</v>
      </c>
      <c r="L80" s="6" t="str">
        <f>IFERROR(__xludf.DUMMYFUNCTION("""COMPUTED_VALUE"""),"Alpha Anywhere (homeschool)")</f>
        <v>Alpha Anywhere (homeschool)</v>
      </c>
      <c r="M80" s="6" t="str">
        <f>IFERROR(__xludf.DUMMYFUNCTION("""COMPUTED_VALUE"""),"")</f>
        <v/>
      </c>
      <c r="N80" s="6" t="str">
        <f>IFERROR(__xludf.DUMMYFUNCTION("""COMPUTED_VALUE"""),"")</f>
        <v/>
      </c>
      <c r="O80" s="87" t="str">
        <f>IFERROR(__xludf.DUMMYFUNCTION("""COMPUTED_VALUE"""),"https://drive.google.com/drive/folders/10T2cTQHqEJZqE-st6uFKPoI?usp=share_link")</f>
        <v>https://drive.google.com/drive/folders/10T2cTQHqEJZqE-st6uFKPoI?usp=share_link</v>
      </c>
      <c r="P80" s="6" t="str">
        <f>IFERROR(__xludf.DUMMYFUNCTION("""COMPUTED_VALUE"""),"Mason Johnson")</f>
        <v>Mason Johnson</v>
      </c>
      <c r="Q80" s="6" t="str">
        <f>IFERROR(__xludf.DUMMYFUNCTION("""COMPUTED_VALUE"""),"MS")</f>
        <v>MS</v>
      </c>
      <c r="R80" s="6">
        <f>IFERROR(__xludf.DUMMYFUNCTION("""COMPUTED_VALUE"""),0.0)</f>
        <v>0</v>
      </c>
      <c r="S80" s="6" t="str">
        <f>IFERROR(__xludf.DUMMYFUNCTION("""COMPUTED_VALUE""")," ")</f>
        <v> </v>
      </c>
      <c r="T80" s="6" t="str">
        <f>IFERROR(__xludf.DUMMYFUNCTION("""COMPUTED_VALUE"""),"")</f>
        <v/>
      </c>
      <c r="U80" s="6" t="str">
        <f>IFERROR(__xludf.DUMMYFUNCTION("""COMPUTED_VALUE"""),"7")</f>
        <v>7</v>
      </c>
      <c r="V80" s="6" t="str">
        <f>IFERROR(__xludf.DUMMYFUNCTION("""COMPUTED_VALUE"""),"")</f>
        <v/>
      </c>
      <c r="W80" s="6" t="str">
        <f>IFERROR(__xludf.DUMMYFUNCTION("""COMPUTED_VALUE"""),"[]")</f>
        <v>[]</v>
      </c>
      <c r="X80" s="6" t="str">
        <f>IFERROR(__xludf.DUMMYFUNCTION("""COMPUTED_VALUE"""),"Pending Review")</f>
        <v>Pending Review</v>
      </c>
    </row>
    <row r="81">
      <c r="A81" s="6" t="str">
        <f>IFERROR(__xludf.DUMMYFUNCTION("""COMPUTED_VALUE"""),"000-11272")</f>
        <v>000-11272</v>
      </c>
      <c r="B81" s="6" t="str">
        <f>IFERROR(__xludf.DUMMYFUNCTION("""COMPUTED_VALUE"""),"0")</f>
        <v>0</v>
      </c>
      <c r="C81" s="6" t="str">
        <f>IFERROR(__xludf.DUMMYFUNCTION("""COMPUTED_VALUE"""),"11272")</f>
        <v>11272</v>
      </c>
      <c r="D81" s="6" t="str">
        <f>IFERROR(__xludf.DUMMYFUNCTION("""COMPUTED_VALUE"""),"Bradley")</f>
        <v>Bradley</v>
      </c>
      <c r="E81" s="6" t="str">
        <f>IFERROR(__xludf.DUMMYFUNCTION("""COMPUTED_VALUE"""),"")</f>
        <v/>
      </c>
      <c r="F81" s="6" t="str">
        <f>IFERROR(__xludf.DUMMYFUNCTION("""COMPUTED_VALUE"""),"Tyler")</f>
        <v>Tyler</v>
      </c>
      <c r="G81" s="6" t="str">
        <f>IFERROR(__xludf.DUMMYFUNCTION("""COMPUTED_VALUE"""),"06/25/2015")</f>
        <v>06/25/2015</v>
      </c>
      <c r="H81" s="6" t="str">
        <f>IFERROR(__xludf.DUMMYFUNCTION("""COMPUTED_VALUE"""),"male")</f>
        <v>male</v>
      </c>
      <c r="I81" s="6" t="str">
        <f>IFERROR(__xludf.DUMMYFUNCTION("""COMPUTED_VALUE"""),"Middle School")</f>
        <v>Middle School</v>
      </c>
      <c r="J81" s="6" t="str">
        <f>IFERROR(__xludf.DUMMYFUNCTION("""COMPUTED_VALUE"""),"6")</f>
        <v>6</v>
      </c>
      <c r="K81" s="6" t="str">
        <f>IFERROR(__xludf.DUMMYFUNCTION("""COMPUTED_VALUE"""),"bradley.tyler@2hourlearning.com")</f>
        <v>bradley.tyler@2hourlearning.com</v>
      </c>
      <c r="L81" s="6" t="str">
        <f>IFERROR(__xludf.DUMMYFUNCTION("""COMPUTED_VALUE"""),"Alpha Anywhere (homeschool)")</f>
        <v>Alpha Anywhere (homeschool)</v>
      </c>
      <c r="M81" s="6" t="str">
        <f>IFERROR(__xludf.DUMMYFUNCTION("""COMPUTED_VALUE"""),"")</f>
        <v/>
      </c>
      <c r="N81" s="6" t="str">
        <f>IFERROR(__xludf.DUMMYFUNCTION("""COMPUTED_VALUE"""),"")</f>
        <v/>
      </c>
      <c r="O81" s="87" t="str">
        <f>IFERROR(__xludf.DUMMYFUNCTION("""COMPUTED_VALUE"""),"https://drive.google.com/drive/folders/10T2cTQHqEJZqE-st6uFKPoI?usp=share_link")</f>
        <v>https://drive.google.com/drive/folders/10T2cTQHqEJZqE-st6uFKPoI?usp=share_link</v>
      </c>
      <c r="P81" s="6" t="str">
        <f>IFERROR(__xludf.DUMMYFUNCTION("""COMPUTED_VALUE"""),"Bradley Tyler")</f>
        <v>Bradley Tyler</v>
      </c>
      <c r="Q81" s="6" t="str">
        <f>IFERROR(__xludf.DUMMYFUNCTION("""COMPUTED_VALUE"""),"MS")</f>
        <v>MS</v>
      </c>
      <c r="R81" s="6">
        <f>IFERROR(__xludf.DUMMYFUNCTION("""COMPUTED_VALUE"""),0.0)</f>
        <v>0</v>
      </c>
      <c r="S81" s="6" t="str">
        <f>IFERROR(__xludf.DUMMYFUNCTION("""COMPUTED_VALUE""")," ")</f>
        <v> </v>
      </c>
      <c r="T81" s="6" t="str">
        <f>IFERROR(__xludf.DUMMYFUNCTION("""COMPUTED_VALUE"""),"")</f>
        <v/>
      </c>
      <c r="U81" s="6" t="str">
        <f>IFERROR(__xludf.DUMMYFUNCTION("""COMPUTED_VALUE"""),"6")</f>
        <v>6</v>
      </c>
      <c r="V81" s="6" t="str">
        <f>IFERROR(__xludf.DUMMYFUNCTION("""COMPUTED_VALUE"""),"")</f>
        <v/>
      </c>
      <c r="W81" s="6" t="str">
        <f>IFERROR(__xludf.DUMMYFUNCTION("""COMPUTED_VALUE"""),"[]")</f>
        <v>[]</v>
      </c>
      <c r="X81" s="6" t="str">
        <f>IFERROR(__xludf.DUMMYFUNCTION("""COMPUTED_VALUE"""),"Pending Review")</f>
        <v>Pending Review</v>
      </c>
    </row>
    <row r="82">
      <c r="A82" s="6" t="str">
        <f>IFERROR(__xludf.DUMMYFUNCTION("""COMPUTED_VALUE"""),"000-11274")</f>
        <v>000-11274</v>
      </c>
      <c r="B82" s="6" t="str">
        <f>IFERROR(__xludf.DUMMYFUNCTION("""COMPUTED_VALUE"""),"0")</f>
        <v>0</v>
      </c>
      <c r="C82" s="6" t="str">
        <f>IFERROR(__xludf.DUMMYFUNCTION("""COMPUTED_VALUE"""),"11274")</f>
        <v>11274</v>
      </c>
      <c r="D82" s="6" t="str">
        <f>IFERROR(__xludf.DUMMYFUNCTION("""COMPUTED_VALUE"""),"Ryan")</f>
        <v>Ryan</v>
      </c>
      <c r="E82" s="6" t="str">
        <f>IFERROR(__xludf.DUMMYFUNCTION("""COMPUTED_VALUE"""),"")</f>
        <v/>
      </c>
      <c r="F82" s="6" t="str">
        <f>IFERROR(__xludf.DUMMYFUNCTION("""COMPUTED_VALUE"""),"Haymore")</f>
        <v>Haymore</v>
      </c>
      <c r="G82" s="6" t="str">
        <f>IFERROR(__xludf.DUMMYFUNCTION("""COMPUTED_VALUE"""),"12/20/2012")</f>
        <v>12/20/2012</v>
      </c>
      <c r="H82" s="6" t="str">
        <f>IFERROR(__xludf.DUMMYFUNCTION("""COMPUTED_VALUE"""),"male")</f>
        <v>male</v>
      </c>
      <c r="I82" s="6" t="str">
        <f>IFERROR(__xludf.DUMMYFUNCTION("""COMPUTED_VALUE"""),"Middle School")</f>
        <v>Middle School</v>
      </c>
      <c r="J82" s="6" t="str">
        <f>IFERROR(__xludf.DUMMYFUNCTION("""COMPUTED_VALUE"""),"8")</f>
        <v>8</v>
      </c>
      <c r="K82" s="6" t="str">
        <f>IFERROR(__xludf.DUMMYFUNCTION("""COMPUTED_VALUE"""),"ryan.haymore@2hourlearning.com")</f>
        <v>ryan.haymore@2hourlearning.com</v>
      </c>
      <c r="L82" s="6" t="str">
        <f>IFERROR(__xludf.DUMMYFUNCTION("""COMPUTED_VALUE"""),"Alpha Anywhere (homeschool)")</f>
        <v>Alpha Anywhere (homeschool)</v>
      </c>
      <c r="M82" s="6" t="str">
        <f>IFERROR(__xludf.DUMMYFUNCTION("""COMPUTED_VALUE"""),"")</f>
        <v/>
      </c>
      <c r="N82" s="6" t="str">
        <f>IFERROR(__xludf.DUMMYFUNCTION("""COMPUTED_VALUE"""),"")</f>
        <v/>
      </c>
      <c r="O82" s="87" t="str">
        <f>IFERROR(__xludf.DUMMYFUNCTION("""COMPUTED_VALUE"""),"https://drive.google.com/drive/folders/10T2cTQHqEJZqE-st6uFKPoI?usp=share_link")</f>
        <v>https://drive.google.com/drive/folders/10T2cTQHqEJZqE-st6uFKPoI?usp=share_link</v>
      </c>
      <c r="P82" s="6" t="str">
        <f>IFERROR(__xludf.DUMMYFUNCTION("""COMPUTED_VALUE"""),"Ryan Haymore")</f>
        <v>Ryan Haymore</v>
      </c>
      <c r="Q82" s="6" t="str">
        <f>IFERROR(__xludf.DUMMYFUNCTION("""COMPUTED_VALUE"""),"MS")</f>
        <v>MS</v>
      </c>
      <c r="R82" s="6">
        <f>IFERROR(__xludf.DUMMYFUNCTION("""COMPUTED_VALUE"""),0.0)</f>
        <v>0</v>
      </c>
      <c r="S82" s="6" t="str">
        <f>IFERROR(__xludf.DUMMYFUNCTION("""COMPUTED_VALUE""")," ")</f>
        <v> </v>
      </c>
      <c r="T82" s="6" t="str">
        <f>IFERROR(__xludf.DUMMYFUNCTION("""COMPUTED_VALUE"""),"")</f>
        <v/>
      </c>
      <c r="U82" s="6" t="str">
        <f>IFERROR(__xludf.DUMMYFUNCTION("""COMPUTED_VALUE"""),"8")</f>
        <v>8</v>
      </c>
      <c r="V82" s="6" t="str">
        <f>IFERROR(__xludf.DUMMYFUNCTION("""COMPUTED_VALUE"""),"")</f>
        <v/>
      </c>
      <c r="W82" s="6" t="str">
        <f>IFERROR(__xludf.DUMMYFUNCTION("""COMPUTED_VALUE"""),"[]")</f>
        <v>[]</v>
      </c>
      <c r="X82" s="6" t="str">
        <f>IFERROR(__xludf.DUMMYFUNCTION("""COMPUTED_VALUE"""),"Pending Review")</f>
        <v>Pending Review</v>
      </c>
    </row>
    <row r="83">
      <c r="A83" s="6" t="str">
        <f>IFERROR(__xludf.DUMMYFUNCTION("""COMPUTED_VALUE"""),"000-11276")</f>
        <v>000-11276</v>
      </c>
      <c r="B83" s="6" t="str">
        <f>IFERROR(__xludf.DUMMYFUNCTION("""COMPUTED_VALUE"""),"0")</f>
        <v>0</v>
      </c>
      <c r="C83" s="6" t="str">
        <f>IFERROR(__xludf.DUMMYFUNCTION("""COMPUTED_VALUE"""),"11276")</f>
        <v>11276</v>
      </c>
      <c r="D83" s="6" t="str">
        <f>IFERROR(__xludf.DUMMYFUNCTION("""COMPUTED_VALUE"""),"Hadlie")</f>
        <v>Hadlie</v>
      </c>
      <c r="E83" s="6" t="str">
        <f>IFERROR(__xludf.DUMMYFUNCTION("""COMPUTED_VALUE"""),"")</f>
        <v/>
      </c>
      <c r="F83" s="6" t="str">
        <f>IFERROR(__xludf.DUMMYFUNCTION("""COMPUTED_VALUE"""),"Cuthbertson")</f>
        <v>Cuthbertson</v>
      </c>
      <c r="G83" s="6" t="str">
        <f>IFERROR(__xludf.DUMMYFUNCTION("""COMPUTED_VALUE"""),"05/10/2015")</f>
        <v>05/10/2015</v>
      </c>
      <c r="H83" s="6" t="str">
        <f>IFERROR(__xludf.DUMMYFUNCTION("""COMPUTED_VALUE"""),"female")</f>
        <v>female</v>
      </c>
      <c r="I83" s="6" t="str">
        <f>IFERROR(__xludf.DUMMYFUNCTION("""COMPUTED_VALUE"""),"Level 2")</f>
        <v>Level 2</v>
      </c>
      <c r="J83" s="6" t="str">
        <f>IFERROR(__xludf.DUMMYFUNCTION("""COMPUTED_VALUE"""),"5")</f>
        <v>5</v>
      </c>
      <c r="K83" s="6" t="str">
        <f>IFERROR(__xludf.DUMMYFUNCTION("""COMPUTED_VALUE"""),"hadlie.cuthbertson@2hourlearning.com")</f>
        <v>hadlie.cuthbertson@2hourlearning.com</v>
      </c>
      <c r="L83" s="6" t="str">
        <f>IFERROR(__xludf.DUMMYFUNCTION("""COMPUTED_VALUE"""),"Alpha Anywhere (homeschool)")</f>
        <v>Alpha Anywhere (homeschool)</v>
      </c>
      <c r="M83" s="6" t="str">
        <f>IFERROR(__xludf.DUMMYFUNCTION("""COMPUTED_VALUE"""),"")</f>
        <v/>
      </c>
      <c r="N83" s="6" t="str">
        <f>IFERROR(__xludf.DUMMYFUNCTION("""COMPUTED_VALUE"""),"")</f>
        <v/>
      </c>
      <c r="O83" s="87" t="str">
        <f>IFERROR(__xludf.DUMMYFUNCTION("""COMPUTED_VALUE"""),"https://drive.google.com/drive/folders/10T2cTQHqEJZqE-st6uFKPoI?usp=share_link")</f>
        <v>https://drive.google.com/drive/folders/10T2cTQHqEJZqE-st6uFKPoI?usp=share_link</v>
      </c>
      <c r="P83" s="6" t="str">
        <f>IFERROR(__xludf.DUMMYFUNCTION("""COMPUTED_VALUE"""),"Hadlie Cuthbertson")</f>
        <v>Hadlie Cuthbertson</v>
      </c>
      <c r="Q83" s="6" t="str">
        <f>IFERROR(__xludf.DUMMYFUNCTION("""COMPUTED_VALUE"""),"L2")</f>
        <v>L2</v>
      </c>
      <c r="R83" s="6">
        <f>IFERROR(__xludf.DUMMYFUNCTION("""COMPUTED_VALUE"""),2.0)</f>
        <v>2</v>
      </c>
      <c r="S83" s="6" t="str">
        <f>IFERROR(__xludf.DUMMYFUNCTION("""COMPUTED_VALUE""")," ")</f>
        <v> </v>
      </c>
      <c r="T83" s="6" t="str">
        <f>IFERROR(__xludf.DUMMYFUNCTION("""COMPUTED_VALUE"""),"")</f>
        <v/>
      </c>
      <c r="U83" s="6" t="str">
        <f>IFERROR(__xludf.DUMMYFUNCTION("""COMPUTED_VALUE"""),"5")</f>
        <v>5</v>
      </c>
      <c r="V83" s="6" t="str">
        <f>IFERROR(__xludf.DUMMYFUNCTION("""COMPUTED_VALUE"""),"")</f>
        <v/>
      </c>
      <c r="W83" s="6" t="str">
        <f>IFERROR(__xludf.DUMMYFUNCTION("""COMPUTED_VALUE"""),"[]")</f>
        <v>[]</v>
      </c>
      <c r="X83" s="6" t="str">
        <f>IFERROR(__xludf.DUMMYFUNCTION("""COMPUTED_VALUE"""),"Pending Review")</f>
        <v>Pending Review</v>
      </c>
    </row>
    <row r="84">
      <c r="A84" s="6" t="str">
        <f>IFERROR(__xludf.DUMMYFUNCTION("""COMPUTED_VALUE"""),"000-11277")</f>
        <v>000-11277</v>
      </c>
      <c r="B84" s="6" t="str">
        <f>IFERROR(__xludf.DUMMYFUNCTION("""COMPUTED_VALUE"""),"0")</f>
        <v>0</v>
      </c>
      <c r="C84" s="6" t="str">
        <f>IFERROR(__xludf.DUMMYFUNCTION("""COMPUTED_VALUE"""),"11277")</f>
        <v>11277</v>
      </c>
      <c r="D84" s="6" t="str">
        <f>IFERROR(__xludf.DUMMYFUNCTION("""COMPUTED_VALUE"""),"Crew")</f>
        <v>Crew</v>
      </c>
      <c r="E84" s="6" t="str">
        <f>IFERROR(__xludf.DUMMYFUNCTION("""COMPUTED_VALUE"""),"")</f>
        <v/>
      </c>
      <c r="F84" s="6" t="str">
        <f>IFERROR(__xludf.DUMMYFUNCTION("""COMPUTED_VALUE"""),"Cuthbertson")</f>
        <v>Cuthbertson</v>
      </c>
      <c r="G84" s="6" t="str">
        <f>IFERROR(__xludf.DUMMYFUNCTION("""COMPUTED_VALUE"""),"07/21/2016")</f>
        <v>07/21/2016</v>
      </c>
      <c r="H84" s="6" t="str">
        <f>IFERROR(__xludf.DUMMYFUNCTION("""COMPUTED_VALUE"""),"male")</f>
        <v>male</v>
      </c>
      <c r="I84" s="6" t="str">
        <f>IFERROR(__xludf.DUMMYFUNCTION("""COMPUTED_VALUE"""),"Level 2")</f>
        <v>Level 2</v>
      </c>
      <c r="J84" s="6" t="str">
        <f>IFERROR(__xludf.DUMMYFUNCTION("""COMPUTED_VALUE"""),"4")</f>
        <v>4</v>
      </c>
      <c r="K84" s="6" t="str">
        <f>IFERROR(__xludf.DUMMYFUNCTION("""COMPUTED_VALUE"""),"crew.cuthbertson@2hourlearning.com")</f>
        <v>crew.cuthbertson@2hourlearning.com</v>
      </c>
      <c r="L84" s="6" t="str">
        <f>IFERROR(__xludf.DUMMYFUNCTION("""COMPUTED_VALUE"""),"Alpha Anywhere (homeschool)")</f>
        <v>Alpha Anywhere (homeschool)</v>
      </c>
      <c r="M84" s="6" t="str">
        <f>IFERROR(__xludf.DUMMYFUNCTION("""COMPUTED_VALUE"""),"")</f>
        <v/>
      </c>
      <c r="N84" s="6" t="str">
        <f>IFERROR(__xludf.DUMMYFUNCTION("""COMPUTED_VALUE"""),"")</f>
        <v/>
      </c>
      <c r="O84" s="87" t="str">
        <f>IFERROR(__xludf.DUMMYFUNCTION("""COMPUTED_VALUE"""),"https://drive.google.com/drive/folders/10T2cTQHqEJZqE-st6uFKPoI?usp=share_link")</f>
        <v>https://drive.google.com/drive/folders/10T2cTQHqEJZqE-st6uFKPoI?usp=share_link</v>
      </c>
      <c r="P84" s="6" t="str">
        <f>IFERROR(__xludf.DUMMYFUNCTION("""COMPUTED_VALUE"""),"Crew Cuthbertson")</f>
        <v>Crew Cuthbertson</v>
      </c>
      <c r="Q84" s="6" t="str">
        <f>IFERROR(__xludf.DUMMYFUNCTION("""COMPUTED_VALUE"""),"L2")</f>
        <v>L2</v>
      </c>
      <c r="R84" s="6">
        <f>IFERROR(__xludf.DUMMYFUNCTION("""COMPUTED_VALUE"""),2.0)</f>
        <v>2</v>
      </c>
      <c r="S84" s="6" t="str">
        <f>IFERROR(__xludf.DUMMYFUNCTION("""COMPUTED_VALUE""")," ")</f>
        <v> </v>
      </c>
      <c r="T84" s="6" t="str">
        <f>IFERROR(__xludf.DUMMYFUNCTION("""COMPUTED_VALUE"""),"")</f>
        <v/>
      </c>
      <c r="U84" s="6" t="str">
        <f>IFERROR(__xludf.DUMMYFUNCTION("""COMPUTED_VALUE"""),"4")</f>
        <v>4</v>
      </c>
      <c r="V84" s="6" t="str">
        <f>IFERROR(__xludf.DUMMYFUNCTION("""COMPUTED_VALUE"""),"")</f>
        <v/>
      </c>
      <c r="W84" s="6" t="str">
        <f>IFERROR(__xludf.DUMMYFUNCTION("""COMPUTED_VALUE"""),"[]")</f>
        <v>[]</v>
      </c>
      <c r="X84" s="6" t="str">
        <f>IFERROR(__xludf.DUMMYFUNCTION("""COMPUTED_VALUE"""),"Pending Review")</f>
        <v>Pending Review</v>
      </c>
    </row>
    <row r="85">
      <c r="A85" s="6" t="str">
        <f>IFERROR(__xludf.DUMMYFUNCTION("""COMPUTED_VALUE"""),"000-11278")</f>
        <v>000-11278</v>
      </c>
      <c r="B85" s="6" t="str">
        <f>IFERROR(__xludf.DUMMYFUNCTION("""COMPUTED_VALUE"""),"0")</f>
        <v>0</v>
      </c>
      <c r="C85" s="6" t="str">
        <f>IFERROR(__xludf.DUMMYFUNCTION("""COMPUTED_VALUE"""),"11278")</f>
        <v>11278</v>
      </c>
      <c r="D85" s="6" t="str">
        <f>IFERROR(__xludf.DUMMYFUNCTION("""COMPUTED_VALUE"""),"Gracie")</f>
        <v>Gracie</v>
      </c>
      <c r="E85" s="6" t="str">
        <f>IFERROR(__xludf.DUMMYFUNCTION("""COMPUTED_VALUE"""),"")</f>
        <v/>
      </c>
      <c r="F85" s="6" t="str">
        <f>IFERROR(__xludf.DUMMYFUNCTION("""COMPUTED_VALUE"""),"Cuthbertson")</f>
        <v>Cuthbertson</v>
      </c>
      <c r="G85" s="6" t="str">
        <f>IFERROR(__xludf.DUMMYFUNCTION("""COMPUTED_VALUE"""),"07/03/2013")</f>
        <v>07/03/2013</v>
      </c>
      <c r="H85" s="6" t="str">
        <f>IFERROR(__xludf.DUMMYFUNCTION("""COMPUTED_VALUE"""),"female")</f>
        <v>female</v>
      </c>
      <c r="I85" s="6" t="str">
        <f>IFERROR(__xludf.DUMMYFUNCTION("""COMPUTED_VALUE"""),"Middle School")</f>
        <v>Middle School</v>
      </c>
      <c r="J85" s="6" t="str">
        <f>IFERROR(__xludf.DUMMYFUNCTION("""COMPUTED_VALUE"""),"7")</f>
        <v>7</v>
      </c>
      <c r="K85" s="6" t="str">
        <f>IFERROR(__xludf.DUMMYFUNCTION("""COMPUTED_VALUE"""),"gracie.cuthbertson@2hourlearning.com")</f>
        <v>gracie.cuthbertson@2hourlearning.com</v>
      </c>
      <c r="L85" s="6" t="str">
        <f>IFERROR(__xludf.DUMMYFUNCTION("""COMPUTED_VALUE"""),"Alpha Anywhere (homeschool)")</f>
        <v>Alpha Anywhere (homeschool)</v>
      </c>
      <c r="M85" s="6" t="str">
        <f>IFERROR(__xludf.DUMMYFUNCTION("""COMPUTED_VALUE"""),"")</f>
        <v/>
      </c>
      <c r="N85" s="6" t="str">
        <f>IFERROR(__xludf.DUMMYFUNCTION("""COMPUTED_VALUE"""),"")</f>
        <v/>
      </c>
      <c r="O85" s="87" t="str">
        <f>IFERROR(__xludf.DUMMYFUNCTION("""COMPUTED_VALUE"""),"https://drive.google.com/drive/folders/10T2cTQHqEJZqE-st6uFKPoI?usp=share_link")</f>
        <v>https://drive.google.com/drive/folders/10T2cTQHqEJZqE-st6uFKPoI?usp=share_link</v>
      </c>
      <c r="P85" s="6" t="str">
        <f>IFERROR(__xludf.DUMMYFUNCTION("""COMPUTED_VALUE"""),"Gracie Cuthbertson")</f>
        <v>Gracie Cuthbertson</v>
      </c>
      <c r="Q85" s="6" t="str">
        <f>IFERROR(__xludf.DUMMYFUNCTION("""COMPUTED_VALUE"""),"MS")</f>
        <v>MS</v>
      </c>
      <c r="R85" s="6">
        <f>IFERROR(__xludf.DUMMYFUNCTION("""COMPUTED_VALUE"""),0.0)</f>
        <v>0</v>
      </c>
      <c r="S85" s="6" t="str">
        <f>IFERROR(__xludf.DUMMYFUNCTION("""COMPUTED_VALUE""")," ")</f>
        <v> </v>
      </c>
      <c r="T85" s="6" t="str">
        <f>IFERROR(__xludf.DUMMYFUNCTION("""COMPUTED_VALUE"""),"")</f>
        <v/>
      </c>
      <c r="U85" s="6" t="str">
        <f>IFERROR(__xludf.DUMMYFUNCTION("""COMPUTED_VALUE"""),"7")</f>
        <v>7</v>
      </c>
      <c r="V85" s="6" t="str">
        <f>IFERROR(__xludf.DUMMYFUNCTION("""COMPUTED_VALUE"""),"")</f>
        <v/>
      </c>
      <c r="W85" s="6" t="str">
        <f>IFERROR(__xludf.DUMMYFUNCTION("""COMPUTED_VALUE"""),"[]")</f>
        <v>[]</v>
      </c>
      <c r="X85" s="6" t="str">
        <f>IFERROR(__xludf.DUMMYFUNCTION("""COMPUTED_VALUE"""),"Pending Review")</f>
        <v>Pending Review</v>
      </c>
    </row>
    <row r="86">
      <c r="A86" s="6" t="str">
        <f>IFERROR(__xludf.DUMMYFUNCTION("""COMPUTED_VALUE"""),"000-11280")</f>
        <v>000-11280</v>
      </c>
      <c r="B86" s="6" t="str">
        <f>IFERROR(__xludf.DUMMYFUNCTION("""COMPUTED_VALUE"""),"0")</f>
        <v>0</v>
      </c>
      <c r="C86" s="6" t="str">
        <f>IFERROR(__xludf.DUMMYFUNCTION("""COMPUTED_VALUE"""),"11280")</f>
        <v>11280</v>
      </c>
      <c r="D86" s="6" t="str">
        <f>IFERROR(__xludf.DUMMYFUNCTION("""COMPUTED_VALUE"""),"Jens")</f>
        <v>Jens</v>
      </c>
      <c r="E86" s="6" t="str">
        <f>IFERROR(__xludf.DUMMYFUNCTION("""COMPUTED_VALUE"""),"")</f>
        <v/>
      </c>
      <c r="F86" s="6" t="str">
        <f>IFERROR(__xludf.DUMMYFUNCTION("""COMPUTED_VALUE"""),"Johnson")</f>
        <v>Johnson</v>
      </c>
      <c r="G86" s="6" t="str">
        <f>IFERROR(__xludf.DUMMYFUNCTION("""COMPUTED_VALUE"""),"12/16/2017")</f>
        <v>12/16/2017</v>
      </c>
      <c r="H86" s="6" t="str">
        <f>IFERROR(__xludf.DUMMYFUNCTION("""COMPUTED_VALUE"""),"male")</f>
        <v>male</v>
      </c>
      <c r="I86" s="6" t="str">
        <f>IFERROR(__xludf.DUMMYFUNCTION("""COMPUTED_VALUE"""),"Learning Lab")</f>
        <v>Learning Lab</v>
      </c>
      <c r="J86" s="6" t="str">
        <f>IFERROR(__xludf.DUMMYFUNCTION("""COMPUTED_VALUE"""),"K")</f>
        <v>K</v>
      </c>
      <c r="K86" s="6" t="str">
        <f>IFERROR(__xludf.DUMMYFUNCTION("""COMPUTED_VALUE"""),"jens.johnson@2hourlearning.com")</f>
        <v>jens.johnson@2hourlearning.com</v>
      </c>
      <c r="L86" s="6" t="str">
        <f>IFERROR(__xludf.DUMMYFUNCTION("""COMPUTED_VALUE"""),"Alpha Anywhere (homeschool)")</f>
        <v>Alpha Anywhere (homeschool)</v>
      </c>
      <c r="M86" s="6" t="str">
        <f>IFERROR(__xludf.DUMMYFUNCTION("""COMPUTED_VALUE"""),"")</f>
        <v/>
      </c>
      <c r="N86" s="6" t="str">
        <f>IFERROR(__xludf.DUMMYFUNCTION("""COMPUTED_VALUE"""),"")</f>
        <v/>
      </c>
      <c r="O86" s="87" t="str">
        <f>IFERROR(__xludf.DUMMYFUNCTION("""COMPUTED_VALUE"""),"https://drive.google.com/drive/folders/10T2cTQHqEJZqE-st6uFKPoI?usp=share_link")</f>
        <v>https://drive.google.com/drive/folders/10T2cTQHqEJZqE-st6uFKPoI?usp=share_link</v>
      </c>
      <c r="P86" s="6" t="str">
        <f>IFERROR(__xludf.DUMMYFUNCTION("""COMPUTED_VALUE"""),"Jens Johnson")</f>
        <v>Jens Johnson</v>
      </c>
      <c r="Q86" s="6" t="str">
        <f>IFERROR(__xludf.DUMMYFUNCTION("""COMPUTED_VALUE"""),"LL")</f>
        <v>LL</v>
      </c>
      <c r="R86" s="6">
        <f>IFERROR(__xludf.DUMMYFUNCTION("""COMPUTED_VALUE"""),0.0)</f>
        <v>0</v>
      </c>
      <c r="S86" s="6" t="str">
        <f>IFERROR(__xludf.DUMMYFUNCTION("""COMPUTED_VALUE""")," ")</f>
        <v> </v>
      </c>
      <c r="T86" s="6" t="str">
        <f>IFERROR(__xludf.DUMMYFUNCTION("""COMPUTED_VALUE"""),"")</f>
        <v/>
      </c>
      <c r="U86" s="6" t="str">
        <f>IFERROR(__xludf.DUMMYFUNCTION("""COMPUTED_VALUE"""),"K")</f>
        <v>K</v>
      </c>
      <c r="V86" s="6" t="str">
        <f>IFERROR(__xludf.DUMMYFUNCTION("""COMPUTED_VALUE"""),"")</f>
        <v/>
      </c>
      <c r="W86" s="6" t="str">
        <f>IFERROR(__xludf.DUMMYFUNCTION("""COMPUTED_VALUE"""),"[]")</f>
        <v>[]</v>
      </c>
      <c r="X86" s="6" t="str">
        <f>IFERROR(__xludf.DUMMYFUNCTION("""COMPUTED_VALUE"""),"Pending Review")</f>
        <v>Pending Review</v>
      </c>
    </row>
    <row r="87">
      <c r="A87" s="6" t="str">
        <f>IFERROR(__xludf.DUMMYFUNCTION("""COMPUTED_VALUE"""),"000-11282")</f>
        <v>000-11282</v>
      </c>
      <c r="B87" s="6" t="str">
        <f>IFERROR(__xludf.DUMMYFUNCTION("""COMPUTED_VALUE"""),"0")</f>
        <v>0</v>
      </c>
      <c r="C87" s="6" t="str">
        <f>IFERROR(__xludf.DUMMYFUNCTION("""COMPUTED_VALUE"""),"11282")</f>
        <v>11282</v>
      </c>
      <c r="D87" s="6" t="str">
        <f>IFERROR(__xludf.DUMMYFUNCTION("""COMPUTED_VALUE"""),"Emmie")</f>
        <v>Emmie</v>
      </c>
      <c r="E87" s="6" t="str">
        <f>IFERROR(__xludf.DUMMYFUNCTION("""COMPUTED_VALUE"""),"")</f>
        <v/>
      </c>
      <c r="F87" s="6" t="str">
        <f>IFERROR(__xludf.DUMMYFUNCTION("""COMPUTED_VALUE"""),"Vickers")</f>
        <v>Vickers</v>
      </c>
      <c r="G87" s="6" t="str">
        <f>IFERROR(__xludf.DUMMYFUNCTION("""COMPUTED_VALUE"""),"09/16/2016")</f>
        <v>09/16/2016</v>
      </c>
      <c r="H87" s="6" t="str">
        <f>IFERROR(__xludf.DUMMYFUNCTION("""COMPUTED_VALUE"""),"female")</f>
        <v>female</v>
      </c>
      <c r="I87" s="6" t="str">
        <f>IFERROR(__xludf.DUMMYFUNCTION("""COMPUTED_VALUE"""),"Level 1")</f>
        <v>Level 1</v>
      </c>
      <c r="J87" s="6" t="str">
        <f>IFERROR(__xludf.DUMMYFUNCTION("""COMPUTED_VALUE"""),"3")</f>
        <v>3</v>
      </c>
      <c r="K87" s="6" t="str">
        <f>IFERROR(__xludf.DUMMYFUNCTION("""COMPUTED_VALUE"""),"emmie.vickers@2hourlearning.com")</f>
        <v>emmie.vickers@2hourlearning.com</v>
      </c>
      <c r="L87" s="6" t="str">
        <f>IFERROR(__xludf.DUMMYFUNCTION("""COMPUTED_VALUE"""),"Alpha Anywhere (homeschool)")</f>
        <v>Alpha Anywhere (homeschool)</v>
      </c>
      <c r="M87" s="6" t="str">
        <f>IFERROR(__xludf.DUMMYFUNCTION("""COMPUTED_VALUE"""),"")</f>
        <v/>
      </c>
      <c r="N87" s="6" t="str">
        <f>IFERROR(__xludf.DUMMYFUNCTION("""COMPUTED_VALUE"""),"")</f>
        <v/>
      </c>
      <c r="O87" s="87" t="str">
        <f>IFERROR(__xludf.DUMMYFUNCTION("""COMPUTED_VALUE"""),"https://drive.google.com/drive/folders/10T2cTQHqEJZqE-st6uFKPoI?usp=share_link")</f>
        <v>https://drive.google.com/drive/folders/10T2cTQHqEJZqE-st6uFKPoI?usp=share_link</v>
      </c>
      <c r="P87" s="6" t="str">
        <f>IFERROR(__xludf.DUMMYFUNCTION("""COMPUTED_VALUE"""),"Emmie Vickers")</f>
        <v>Emmie Vickers</v>
      </c>
      <c r="Q87" s="6" t="str">
        <f>IFERROR(__xludf.DUMMYFUNCTION("""COMPUTED_VALUE"""),"L1")</f>
        <v>L1</v>
      </c>
      <c r="R87" s="6">
        <f>IFERROR(__xludf.DUMMYFUNCTION("""COMPUTED_VALUE"""),1.0)</f>
        <v>1</v>
      </c>
      <c r="S87" s="6" t="str">
        <f>IFERROR(__xludf.DUMMYFUNCTION("""COMPUTED_VALUE""")," ")</f>
        <v> </v>
      </c>
      <c r="T87" s="6" t="str">
        <f>IFERROR(__xludf.DUMMYFUNCTION("""COMPUTED_VALUE"""),"")</f>
        <v/>
      </c>
      <c r="U87" s="6" t="str">
        <f>IFERROR(__xludf.DUMMYFUNCTION("""COMPUTED_VALUE"""),"3")</f>
        <v>3</v>
      </c>
      <c r="V87" s="6" t="str">
        <f>IFERROR(__xludf.DUMMYFUNCTION("""COMPUTED_VALUE"""),"")</f>
        <v/>
      </c>
      <c r="W87" s="6" t="str">
        <f>IFERROR(__xludf.DUMMYFUNCTION("""COMPUTED_VALUE"""),"[]")</f>
        <v>[]</v>
      </c>
      <c r="X87" s="6" t="str">
        <f>IFERROR(__xludf.DUMMYFUNCTION("""COMPUTED_VALUE"""),"Pending Review")</f>
        <v>Pending Review</v>
      </c>
    </row>
    <row r="88">
      <c r="A88" s="6" t="str">
        <f>IFERROR(__xludf.DUMMYFUNCTION("""COMPUTED_VALUE"""),"000-11286")</f>
        <v>000-11286</v>
      </c>
      <c r="B88" s="6" t="str">
        <f>IFERROR(__xludf.DUMMYFUNCTION("""COMPUTED_VALUE"""),"0")</f>
        <v>0</v>
      </c>
      <c r="C88" s="6" t="str">
        <f>IFERROR(__xludf.DUMMYFUNCTION("""COMPUTED_VALUE"""),"11286")</f>
        <v>11286</v>
      </c>
      <c r="D88" s="6" t="str">
        <f>IFERROR(__xludf.DUMMYFUNCTION("""COMPUTED_VALUE"""),"Jack")</f>
        <v>Jack</v>
      </c>
      <c r="E88" s="6" t="str">
        <f>IFERROR(__xludf.DUMMYFUNCTION("""COMPUTED_VALUE"""),"")</f>
        <v/>
      </c>
      <c r="F88" s="6" t="str">
        <f>IFERROR(__xludf.DUMMYFUNCTION("""COMPUTED_VALUE"""),"Talbot")</f>
        <v>Talbot</v>
      </c>
      <c r="G88" s="6" t="str">
        <f>IFERROR(__xludf.DUMMYFUNCTION("""COMPUTED_VALUE"""),"04/10/2015")</f>
        <v>04/10/2015</v>
      </c>
      <c r="H88" s="6" t="str">
        <f>IFERROR(__xludf.DUMMYFUNCTION("""COMPUTED_VALUE"""),"male")</f>
        <v>male</v>
      </c>
      <c r="I88" s="6" t="str">
        <f>IFERROR(__xludf.DUMMYFUNCTION("""COMPUTED_VALUE"""),"Level 2")</f>
        <v>Level 2</v>
      </c>
      <c r="J88" s="6" t="str">
        <f>IFERROR(__xludf.DUMMYFUNCTION("""COMPUTED_VALUE"""),"5")</f>
        <v>5</v>
      </c>
      <c r="K88" s="6" t="str">
        <f>IFERROR(__xludf.DUMMYFUNCTION("""COMPUTED_VALUE"""),"jack.talbot@2hourlearning.com")</f>
        <v>jack.talbot@2hourlearning.com</v>
      </c>
      <c r="L88" s="6" t="str">
        <f>IFERROR(__xludf.DUMMYFUNCTION("""COMPUTED_VALUE"""),"Alpha Anywhere (homeschool)")</f>
        <v>Alpha Anywhere (homeschool)</v>
      </c>
      <c r="M88" s="6" t="str">
        <f>IFERROR(__xludf.DUMMYFUNCTION("""COMPUTED_VALUE"""),"")</f>
        <v/>
      </c>
      <c r="N88" s="6" t="str">
        <f>IFERROR(__xludf.DUMMYFUNCTION("""COMPUTED_VALUE"""),"")</f>
        <v/>
      </c>
      <c r="O88" s="87" t="str">
        <f>IFERROR(__xludf.DUMMYFUNCTION("""COMPUTED_VALUE"""),"https://drive.google.com/drive/folders/10T2cTQHqEJZqE-st6uFKPoI?usp=share_link")</f>
        <v>https://drive.google.com/drive/folders/10T2cTQHqEJZqE-st6uFKPoI?usp=share_link</v>
      </c>
      <c r="P88" s="6" t="str">
        <f>IFERROR(__xludf.DUMMYFUNCTION("""COMPUTED_VALUE"""),"Jack Talbot")</f>
        <v>Jack Talbot</v>
      </c>
      <c r="Q88" s="6" t="str">
        <f>IFERROR(__xludf.DUMMYFUNCTION("""COMPUTED_VALUE"""),"L2")</f>
        <v>L2</v>
      </c>
      <c r="R88" s="6">
        <f>IFERROR(__xludf.DUMMYFUNCTION("""COMPUTED_VALUE"""),2.0)</f>
        <v>2</v>
      </c>
      <c r="S88" s="6" t="str">
        <f>IFERROR(__xludf.DUMMYFUNCTION("""COMPUTED_VALUE""")," ")</f>
        <v> </v>
      </c>
      <c r="T88" s="6" t="str">
        <f>IFERROR(__xludf.DUMMYFUNCTION("""COMPUTED_VALUE"""),"")</f>
        <v/>
      </c>
      <c r="U88" s="6" t="str">
        <f>IFERROR(__xludf.DUMMYFUNCTION("""COMPUTED_VALUE"""),"5")</f>
        <v>5</v>
      </c>
      <c r="V88" s="6" t="str">
        <f>IFERROR(__xludf.DUMMYFUNCTION("""COMPUTED_VALUE"""),"")</f>
        <v/>
      </c>
      <c r="W88" s="6" t="str">
        <f>IFERROR(__xludf.DUMMYFUNCTION("""COMPUTED_VALUE"""),"[]")</f>
        <v>[]</v>
      </c>
      <c r="X88" s="6" t="str">
        <f>IFERROR(__xludf.DUMMYFUNCTION("""COMPUTED_VALUE"""),"Pending Review")</f>
        <v>Pending Review</v>
      </c>
    </row>
    <row r="89">
      <c r="A89" s="6" t="str">
        <f>IFERROR(__xludf.DUMMYFUNCTION("""COMPUTED_VALUE"""),"000-11291")</f>
        <v>000-11291</v>
      </c>
      <c r="B89" s="6" t="str">
        <f>IFERROR(__xludf.DUMMYFUNCTION("""COMPUTED_VALUE"""),"0")</f>
        <v>0</v>
      </c>
      <c r="C89" s="6" t="str">
        <f>IFERROR(__xludf.DUMMYFUNCTION("""COMPUTED_VALUE"""),"11291")</f>
        <v>11291</v>
      </c>
      <c r="D89" s="6" t="str">
        <f>IFERROR(__xludf.DUMMYFUNCTION("""COMPUTED_VALUE"""),"Dustin")</f>
        <v>Dustin</v>
      </c>
      <c r="E89" s="6" t="str">
        <f>IFERROR(__xludf.DUMMYFUNCTION("""COMPUTED_VALUE"""),"")</f>
        <v/>
      </c>
      <c r="F89" s="6" t="str">
        <f>IFERROR(__xludf.DUMMYFUNCTION("""COMPUTED_VALUE"""),"Buehler")</f>
        <v>Buehler</v>
      </c>
      <c r="G89" s="6" t="str">
        <f>IFERROR(__xludf.DUMMYFUNCTION("""COMPUTED_VALUE"""),"01/13/2016")</f>
        <v>01/13/2016</v>
      </c>
      <c r="H89" s="6" t="str">
        <f>IFERROR(__xludf.DUMMYFUNCTION("""COMPUTED_VALUE"""),"male")</f>
        <v>male</v>
      </c>
      <c r="I89" s="6" t="str">
        <f>IFERROR(__xludf.DUMMYFUNCTION("""COMPUTED_VALUE"""),"Middle School")</f>
        <v>Middle School</v>
      </c>
      <c r="J89" s="6" t="str">
        <f>IFERROR(__xludf.DUMMYFUNCTION("""COMPUTED_VALUE"""),"6")</f>
        <v>6</v>
      </c>
      <c r="K89" s="6" t="str">
        <f>IFERROR(__xludf.DUMMYFUNCTION("""COMPUTED_VALUE"""),"dustin.buehler@2hourlearning.com")</f>
        <v>dustin.buehler@2hourlearning.com</v>
      </c>
      <c r="L89" s="6" t="str">
        <f>IFERROR(__xludf.DUMMYFUNCTION("""COMPUTED_VALUE"""),"Alpha Anywhere (homeschool)")</f>
        <v>Alpha Anywhere (homeschool)</v>
      </c>
      <c r="M89" s="6" t="str">
        <f>IFERROR(__xludf.DUMMYFUNCTION("""COMPUTED_VALUE"""),"")</f>
        <v/>
      </c>
      <c r="N89" s="6" t="str">
        <f>IFERROR(__xludf.DUMMYFUNCTION("""COMPUTED_VALUE"""),"")</f>
        <v/>
      </c>
      <c r="O89" s="87" t="str">
        <f>IFERROR(__xludf.DUMMYFUNCTION("""COMPUTED_VALUE"""),"https://drive.google.com/drive/folders/10T2cTQHqEJZqE-st6uFKPoI?usp=share_link")</f>
        <v>https://drive.google.com/drive/folders/10T2cTQHqEJZqE-st6uFKPoI?usp=share_link</v>
      </c>
      <c r="P89" s="6" t="str">
        <f>IFERROR(__xludf.DUMMYFUNCTION("""COMPUTED_VALUE"""),"Dustin Buehler")</f>
        <v>Dustin Buehler</v>
      </c>
      <c r="Q89" s="6" t="str">
        <f>IFERROR(__xludf.DUMMYFUNCTION("""COMPUTED_VALUE"""),"MS")</f>
        <v>MS</v>
      </c>
      <c r="R89" s="6">
        <f>IFERROR(__xludf.DUMMYFUNCTION("""COMPUTED_VALUE"""),0.0)</f>
        <v>0</v>
      </c>
      <c r="S89" s="6" t="str">
        <f>IFERROR(__xludf.DUMMYFUNCTION("""COMPUTED_VALUE""")," ")</f>
        <v> </v>
      </c>
      <c r="T89" s="6" t="str">
        <f>IFERROR(__xludf.DUMMYFUNCTION("""COMPUTED_VALUE"""),"")</f>
        <v/>
      </c>
      <c r="U89" s="6" t="str">
        <f>IFERROR(__xludf.DUMMYFUNCTION("""COMPUTED_VALUE"""),"6")</f>
        <v>6</v>
      </c>
      <c r="V89" s="6" t="str">
        <f>IFERROR(__xludf.DUMMYFUNCTION("""COMPUTED_VALUE"""),"")</f>
        <v/>
      </c>
      <c r="W89" s="6" t="str">
        <f>IFERROR(__xludf.DUMMYFUNCTION("""COMPUTED_VALUE"""),"[]")</f>
        <v>[]</v>
      </c>
      <c r="X89" s="6" t="str">
        <f>IFERROR(__xludf.DUMMYFUNCTION("""COMPUTED_VALUE"""),"Pending Review")</f>
        <v>Pending Review</v>
      </c>
    </row>
    <row r="90">
      <c r="A90" s="6" t="str">
        <f>IFERROR(__xludf.DUMMYFUNCTION("""COMPUTED_VALUE"""),"000-11294")</f>
        <v>000-11294</v>
      </c>
      <c r="B90" s="6" t="str">
        <f>IFERROR(__xludf.DUMMYFUNCTION("""COMPUTED_VALUE"""),"0")</f>
        <v>0</v>
      </c>
      <c r="C90" s="6" t="str">
        <f>IFERROR(__xludf.DUMMYFUNCTION("""COMPUTED_VALUE"""),"11294")</f>
        <v>11294</v>
      </c>
      <c r="D90" s="6" t="str">
        <f>IFERROR(__xludf.DUMMYFUNCTION("""COMPUTED_VALUE"""),"Salma")</f>
        <v>Salma</v>
      </c>
      <c r="E90" s="6" t="str">
        <f>IFERROR(__xludf.DUMMYFUNCTION("""COMPUTED_VALUE"""),"")</f>
        <v/>
      </c>
      <c r="F90" s="6" t="str">
        <f>IFERROR(__xludf.DUMMYFUNCTION("""COMPUTED_VALUE"""),"Abouelenin")</f>
        <v>Abouelenin</v>
      </c>
      <c r="G90" s="6" t="str">
        <f>IFERROR(__xludf.DUMMYFUNCTION("""COMPUTED_VALUE"""),"03/15/2015")</f>
        <v>03/15/2015</v>
      </c>
      <c r="H90" s="6" t="str">
        <f>IFERROR(__xludf.DUMMYFUNCTION("""COMPUTED_VALUE"""),"female")</f>
        <v>female</v>
      </c>
      <c r="I90" s="6" t="str">
        <f>IFERROR(__xludf.DUMMYFUNCTION("""COMPUTED_VALUE"""),"Level 2")</f>
        <v>Level 2</v>
      </c>
      <c r="J90" s="6" t="str">
        <f>IFERROR(__xludf.DUMMYFUNCTION("""COMPUTED_VALUE"""),"5")</f>
        <v>5</v>
      </c>
      <c r="K90" s="6" t="str">
        <f>IFERROR(__xludf.DUMMYFUNCTION("""COMPUTED_VALUE"""),"salma.abouelenin@2hourlearning.com")</f>
        <v>salma.abouelenin@2hourlearning.com</v>
      </c>
      <c r="L90" s="6" t="str">
        <f>IFERROR(__xludf.DUMMYFUNCTION("""COMPUTED_VALUE"""),"Alpha Anywhere (homeschool)")</f>
        <v>Alpha Anywhere (homeschool)</v>
      </c>
      <c r="M90" s="6" t="str">
        <f>IFERROR(__xludf.DUMMYFUNCTION("""COMPUTED_VALUE"""),"")</f>
        <v/>
      </c>
      <c r="N90" s="6" t="str">
        <f>IFERROR(__xludf.DUMMYFUNCTION("""COMPUTED_VALUE"""),"")</f>
        <v/>
      </c>
      <c r="O90" s="87" t="str">
        <f>IFERROR(__xludf.DUMMYFUNCTION("""COMPUTED_VALUE"""),"https://drive.google.com/drive/folders/10T2cTQHqEJZqE-st6uFKPoI?usp=share_link")</f>
        <v>https://drive.google.com/drive/folders/10T2cTQHqEJZqE-st6uFKPoI?usp=share_link</v>
      </c>
      <c r="P90" s="6" t="str">
        <f>IFERROR(__xludf.DUMMYFUNCTION("""COMPUTED_VALUE"""),"Salma Abouelenin")</f>
        <v>Salma Abouelenin</v>
      </c>
      <c r="Q90" s="6" t="str">
        <f>IFERROR(__xludf.DUMMYFUNCTION("""COMPUTED_VALUE"""),"L2")</f>
        <v>L2</v>
      </c>
      <c r="R90" s="6">
        <f>IFERROR(__xludf.DUMMYFUNCTION("""COMPUTED_VALUE"""),2.0)</f>
        <v>2</v>
      </c>
      <c r="S90" s="6" t="str">
        <f>IFERROR(__xludf.DUMMYFUNCTION("""COMPUTED_VALUE""")," ")</f>
        <v> </v>
      </c>
      <c r="T90" s="6" t="str">
        <f>IFERROR(__xludf.DUMMYFUNCTION("""COMPUTED_VALUE"""),"")</f>
        <v/>
      </c>
      <c r="U90" s="6" t="str">
        <f>IFERROR(__xludf.DUMMYFUNCTION("""COMPUTED_VALUE"""),"5")</f>
        <v>5</v>
      </c>
      <c r="V90" s="6" t="str">
        <f>IFERROR(__xludf.DUMMYFUNCTION("""COMPUTED_VALUE"""),"")</f>
        <v/>
      </c>
      <c r="W90" s="6" t="str">
        <f>IFERROR(__xludf.DUMMYFUNCTION("""COMPUTED_VALUE"""),"[]")</f>
        <v>[]</v>
      </c>
      <c r="X90" s="6" t="str">
        <f>IFERROR(__xludf.DUMMYFUNCTION("""COMPUTED_VALUE"""),"Pending Review")</f>
        <v>Pending Review</v>
      </c>
    </row>
    <row r="91">
      <c r="A91" s="6" t="str">
        <f>IFERROR(__xludf.DUMMYFUNCTION("""COMPUTED_VALUE"""),"000-11297")</f>
        <v>000-11297</v>
      </c>
      <c r="B91" s="6" t="str">
        <f>IFERROR(__xludf.DUMMYFUNCTION("""COMPUTED_VALUE"""),"0")</f>
        <v>0</v>
      </c>
      <c r="C91" s="6" t="str">
        <f>IFERROR(__xludf.DUMMYFUNCTION("""COMPUTED_VALUE"""),"11297")</f>
        <v>11297</v>
      </c>
      <c r="D91" s="6" t="str">
        <f>IFERROR(__xludf.DUMMYFUNCTION("""COMPUTED_VALUE"""),"Eva")</f>
        <v>Eva</v>
      </c>
      <c r="E91" s="6" t="str">
        <f>IFERROR(__xludf.DUMMYFUNCTION("""COMPUTED_VALUE"""),"")</f>
        <v/>
      </c>
      <c r="F91" s="6" t="str">
        <f>IFERROR(__xludf.DUMMYFUNCTION("""COMPUTED_VALUE"""),"Irving")</f>
        <v>Irving</v>
      </c>
      <c r="G91" s="6" t="str">
        <f>IFERROR(__xludf.DUMMYFUNCTION("""COMPUTED_VALUE"""),"01/25/2018")</f>
        <v>01/25/2018</v>
      </c>
      <c r="H91" s="6" t="str">
        <f>IFERROR(__xludf.DUMMYFUNCTION("""COMPUTED_VALUE"""),"female")</f>
        <v>female</v>
      </c>
      <c r="I91" s="6" t="str">
        <f>IFERROR(__xludf.DUMMYFUNCTION("""COMPUTED_VALUE"""),"Level 1")</f>
        <v>Level 1</v>
      </c>
      <c r="J91" s="6" t="str">
        <f>IFERROR(__xludf.DUMMYFUNCTION("""COMPUTED_VALUE"""),"2")</f>
        <v>2</v>
      </c>
      <c r="K91" s="6" t="str">
        <f>IFERROR(__xludf.DUMMYFUNCTION("""COMPUTED_VALUE"""),"eva.irving@2hourlearning.com")</f>
        <v>eva.irving@2hourlearning.com</v>
      </c>
      <c r="L91" s="6" t="str">
        <f>IFERROR(__xludf.DUMMYFUNCTION("""COMPUTED_VALUE"""),"Alpha Anywhere (homeschool)")</f>
        <v>Alpha Anywhere (homeschool)</v>
      </c>
      <c r="M91" s="6" t="str">
        <f>IFERROR(__xludf.DUMMYFUNCTION("""COMPUTED_VALUE"""),"")</f>
        <v/>
      </c>
      <c r="N91" s="6" t="str">
        <f>IFERROR(__xludf.DUMMYFUNCTION("""COMPUTED_VALUE"""),"")</f>
        <v/>
      </c>
      <c r="O91" s="87" t="str">
        <f>IFERROR(__xludf.DUMMYFUNCTION("""COMPUTED_VALUE"""),"https://drive.google.com/drive/folders/10T2cTQHqEJZqE-st6uFKPoI?usp=share_link")</f>
        <v>https://drive.google.com/drive/folders/10T2cTQHqEJZqE-st6uFKPoI?usp=share_link</v>
      </c>
      <c r="P91" s="6" t="str">
        <f>IFERROR(__xludf.DUMMYFUNCTION("""COMPUTED_VALUE"""),"Eva Irving")</f>
        <v>Eva Irving</v>
      </c>
      <c r="Q91" s="6" t="str">
        <f>IFERROR(__xludf.DUMMYFUNCTION("""COMPUTED_VALUE"""),"L1")</f>
        <v>L1</v>
      </c>
      <c r="R91" s="6">
        <f>IFERROR(__xludf.DUMMYFUNCTION("""COMPUTED_VALUE"""),1.0)</f>
        <v>1</v>
      </c>
      <c r="S91" s="6" t="str">
        <f>IFERROR(__xludf.DUMMYFUNCTION("""COMPUTED_VALUE""")," ")</f>
        <v> </v>
      </c>
      <c r="T91" s="6" t="str">
        <f>IFERROR(__xludf.DUMMYFUNCTION("""COMPUTED_VALUE"""),"")</f>
        <v/>
      </c>
      <c r="U91" s="6" t="str">
        <f>IFERROR(__xludf.DUMMYFUNCTION("""COMPUTED_VALUE"""),"2")</f>
        <v>2</v>
      </c>
      <c r="V91" s="6" t="str">
        <f>IFERROR(__xludf.DUMMYFUNCTION("""COMPUTED_VALUE"""),"")</f>
        <v/>
      </c>
      <c r="W91" s="6" t="str">
        <f>IFERROR(__xludf.DUMMYFUNCTION("""COMPUTED_VALUE"""),"[]")</f>
        <v>[]</v>
      </c>
      <c r="X91" s="6" t="str">
        <f>IFERROR(__xludf.DUMMYFUNCTION("""COMPUTED_VALUE"""),"Pending Review")</f>
        <v>Pending Review</v>
      </c>
    </row>
    <row r="92">
      <c r="A92" s="6" t="str">
        <f>IFERROR(__xludf.DUMMYFUNCTION("""COMPUTED_VALUE"""),"000-11310")</f>
        <v>000-11310</v>
      </c>
      <c r="B92" s="6" t="str">
        <f>IFERROR(__xludf.DUMMYFUNCTION("""COMPUTED_VALUE"""),"0")</f>
        <v>0</v>
      </c>
      <c r="C92" s="6" t="str">
        <f>IFERROR(__xludf.DUMMYFUNCTION("""COMPUTED_VALUE"""),"11310")</f>
        <v>11310</v>
      </c>
      <c r="D92" s="6" t="str">
        <f>IFERROR(__xludf.DUMMYFUNCTION("""COMPUTED_VALUE"""),"Aileen")</f>
        <v>Aileen</v>
      </c>
      <c r="E92" s="6" t="str">
        <f>IFERROR(__xludf.DUMMYFUNCTION("""COMPUTED_VALUE"""),"")</f>
        <v/>
      </c>
      <c r="F92" s="6" t="str">
        <f>IFERROR(__xludf.DUMMYFUNCTION("""COMPUTED_VALUE"""),"Kearns TEST")</f>
        <v>Kearns TEST</v>
      </c>
      <c r="G92" s="6" t="str">
        <f>IFERROR(__xludf.DUMMYFUNCTION("""COMPUTED_VALUE"""),"01/07/2014")</f>
        <v>01/07/2014</v>
      </c>
      <c r="H92" s="6" t="str">
        <f>IFERROR(__xludf.DUMMYFUNCTION("""COMPUTED_VALUE"""),"female")</f>
        <v>female</v>
      </c>
      <c r="I92" s="6" t="str">
        <f>IFERROR(__xludf.DUMMYFUNCTION("""COMPUTED_VALUE"""),"Middle School")</f>
        <v>Middle School</v>
      </c>
      <c r="J92" s="6" t="str">
        <f>IFERROR(__xludf.DUMMYFUNCTION("""COMPUTED_VALUE"""),"6")</f>
        <v>6</v>
      </c>
      <c r="K92" s="6" t="str">
        <f>IFERROR(__xludf.DUMMYFUNCTION("""COMPUTED_VALUE"""),"aileen.kearns.test@2hourlearning.com")</f>
        <v>aileen.kearns.test@2hourlearning.com</v>
      </c>
      <c r="L92" s="6" t="str">
        <f>IFERROR(__xludf.DUMMYFUNCTION("""COMPUTED_VALUE"""),"Alpha Anywhere (homeschool)")</f>
        <v>Alpha Anywhere (homeschool)</v>
      </c>
      <c r="M92" s="6" t="str">
        <f>IFERROR(__xludf.DUMMYFUNCTION("""COMPUTED_VALUE"""),"")</f>
        <v/>
      </c>
      <c r="N92" s="6" t="str">
        <f>IFERROR(__xludf.DUMMYFUNCTION("""COMPUTED_VALUE"""),"")</f>
        <v/>
      </c>
      <c r="O92" s="87" t="str">
        <f>IFERROR(__xludf.DUMMYFUNCTION("""COMPUTED_VALUE"""),"https://drive.google.com/drive/folders/10T2cTQHqEJZqE-st6uFKPoI?usp=share_link")</f>
        <v>https://drive.google.com/drive/folders/10T2cTQHqEJZqE-st6uFKPoI?usp=share_link</v>
      </c>
      <c r="P92" s="6" t="str">
        <f>IFERROR(__xludf.DUMMYFUNCTION("""COMPUTED_VALUE"""),"Aileen Kearns TEST")</f>
        <v>Aileen Kearns TEST</v>
      </c>
      <c r="Q92" s="6" t="str">
        <f>IFERROR(__xludf.DUMMYFUNCTION("""COMPUTED_VALUE"""),"MS")</f>
        <v>MS</v>
      </c>
      <c r="R92" s="6">
        <f>IFERROR(__xludf.DUMMYFUNCTION("""COMPUTED_VALUE"""),0.0)</f>
        <v>0</v>
      </c>
      <c r="S92" s="6" t="str">
        <f>IFERROR(__xludf.DUMMYFUNCTION("""COMPUTED_VALUE""")," ")</f>
        <v> </v>
      </c>
      <c r="T92" s="6" t="str">
        <f>IFERROR(__xludf.DUMMYFUNCTION("""COMPUTED_VALUE"""),"")</f>
        <v/>
      </c>
      <c r="U92" s="6" t="str">
        <f>IFERROR(__xludf.DUMMYFUNCTION("""COMPUTED_VALUE"""),"6")</f>
        <v>6</v>
      </c>
      <c r="V92" s="6" t="str">
        <f>IFERROR(__xludf.DUMMYFUNCTION("""COMPUTED_VALUE"""),"")</f>
        <v/>
      </c>
      <c r="W92" s="6" t="str">
        <f>IFERROR(__xludf.DUMMYFUNCTION("""COMPUTED_VALUE"""),"[]")</f>
        <v>[]</v>
      </c>
      <c r="X92" s="6" t="str">
        <f>IFERROR(__xludf.DUMMYFUNCTION("""COMPUTED_VALUE"""),"Pending Review")</f>
        <v>Pending Review</v>
      </c>
    </row>
    <row r="93">
      <c r="A93" s="6" t="str">
        <f>IFERROR(__xludf.DUMMYFUNCTION("""COMPUTED_VALUE"""),"000-11313")</f>
        <v>000-11313</v>
      </c>
      <c r="B93" s="6" t="str">
        <f>IFERROR(__xludf.DUMMYFUNCTION("""COMPUTED_VALUE"""),"0")</f>
        <v>0</v>
      </c>
      <c r="C93" s="6" t="str">
        <f>IFERROR(__xludf.DUMMYFUNCTION("""COMPUTED_VALUE"""),"11313")</f>
        <v>11313</v>
      </c>
      <c r="D93" s="6" t="str">
        <f>IFERROR(__xludf.DUMMYFUNCTION("""COMPUTED_VALUE"""),"Beckett")</f>
        <v>Beckett</v>
      </c>
      <c r="E93" s="6" t="str">
        <f>IFERROR(__xludf.DUMMYFUNCTION("""COMPUTED_VALUE"""),"")</f>
        <v/>
      </c>
      <c r="F93" s="6" t="str">
        <f>IFERROR(__xludf.DUMMYFUNCTION("""COMPUTED_VALUE"""),"Nikic")</f>
        <v>Nikic</v>
      </c>
      <c r="G93" s="6" t="str">
        <f>IFERROR(__xludf.DUMMYFUNCTION("""COMPUTED_VALUE"""),"11/13/2013")</f>
        <v>11/13/2013</v>
      </c>
      <c r="H93" s="6" t="str">
        <f>IFERROR(__xludf.DUMMYFUNCTION("""COMPUTED_VALUE"""),"male")</f>
        <v>male</v>
      </c>
      <c r="I93" s="6" t="str">
        <f>IFERROR(__xludf.DUMMYFUNCTION("""COMPUTED_VALUE"""),"Middle School")</f>
        <v>Middle School</v>
      </c>
      <c r="J93" s="6" t="str">
        <f>IFERROR(__xludf.DUMMYFUNCTION("""COMPUTED_VALUE"""),"7")</f>
        <v>7</v>
      </c>
      <c r="K93" s="6" t="str">
        <f>IFERROR(__xludf.DUMMYFUNCTION("""COMPUTED_VALUE"""),"beckett.nikic@2hourlearning.com")</f>
        <v>beckett.nikic@2hourlearning.com</v>
      </c>
      <c r="L93" s="6" t="str">
        <f>IFERROR(__xludf.DUMMYFUNCTION("""COMPUTED_VALUE"""),"Alpha Anywhere (homeschool)")</f>
        <v>Alpha Anywhere (homeschool)</v>
      </c>
      <c r="M93" s="6" t="str">
        <f>IFERROR(__xludf.DUMMYFUNCTION("""COMPUTED_VALUE"""),"")</f>
        <v/>
      </c>
      <c r="N93" s="6" t="str">
        <f>IFERROR(__xludf.DUMMYFUNCTION("""COMPUTED_VALUE"""),"")</f>
        <v/>
      </c>
      <c r="O93" s="87" t="str">
        <f>IFERROR(__xludf.DUMMYFUNCTION("""COMPUTED_VALUE"""),"https://drive.google.com/drive/folders/10T2cTQHqEJZqE-st6uFKPoI?usp=share_link")</f>
        <v>https://drive.google.com/drive/folders/10T2cTQHqEJZqE-st6uFKPoI?usp=share_link</v>
      </c>
      <c r="P93" s="6" t="str">
        <f>IFERROR(__xludf.DUMMYFUNCTION("""COMPUTED_VALUE"""),"Beckett Nikic")</f>
        <v>Beckett Nikic</v>
      </c>
      <c r="Q93" s="6" t="str">
        <f>IFERROR(__xludf.DUMMYFUNCTION("""COMPUTED_VALUE"""),"MS")</f>
        <v>MS</v>
      </c>
      <c r="R93" s="6">
        <f>IFERROR(__xludf.DUMMYFUNCTION("""COMPUTED_VALUE"""),0.0)</f>
        <v>0</v>
      </c>
      <c r="S93" s="6" t="str">
        <f>IFERROR(__xludf.DUMMYFUNCTION("""COMPUTED_VALUE""")," ")</f>
        <v> </v>
      </c>
      <c r="T93" s="6" t="str">
        <f>IFERROR(__xludf.DUMMYFUNCTION("""COMPUTED_VALUE"""),"")</f>
        <v/>
      </c>
      <c r="U93" s="6" t="str">
        <f>IFERROR(__xludf.DUMMYFUNCTION("""COMPUTED_VALUE"""),"7")</f>
        <v>7</v>
      </c>
      <c r="V93" s="6" t="str">
        <f>IFERROR(__xludf.DUMMYFUNCTION("""COMPUTED_VALUE"""),"")</f>
        <v/>
      </c>
      <c r="W93" s="6" t="str">
        <f>IFERROR(__xludf.DUMMYFUNCTION("""COMPUTED_VALUE"""),"[]")</f>
        <v>[]</v>
      </c>
      <c r="X93" s="6" t="str">
        <f>IFERROR(__xludf.DUMMYFUNCTION("""COMPUTED_VALUE"""),"Pending Review")</f>
        <v>Pending Review</v>
      </c>
    </row>
    <row r="94">
      <c r="A94" s="6" t="str">
        <f>IFERROR(__xludf.DUMMYFUNCTION("""COMPUTED_VALUE"""),"000-11314")</f>
        <v>000-11314</v>
      </c>
      <c r="B94" s="6" t="str">
        <f>IFERROR(__xludf.DUMMYFUNCTION("""COMPUTED_VALUE"""),"0")</f>
        <v>0</v>
      </c>
      <c r="C94" s="6" t="str">
        <f>IFERROR(__xludf.DUMMYFUNCTION("""COMPUTED_VALUE"""),"11314")</f>
        <v>11314</v>
      </c>
      <c r="D94" s="6" t="str">
        <f>IFERROR(__xludf.DUMMYFUNCTION("""COMPUTED_VALUE"""),"Beckett")</f>
        <v>Beckett</v>
      </c>
      <c r="E94" s="6" t="str">
        <f>IFERROR(__xludf.DUMMYFUNCTION("""COMPUTED_VALUE"""),"")</f>
        <v/>
      </c>
      <c r="F94" s="6" t="str">
        <f>IFERROR(__xludf.DUMMYFUNCTION("""COMPUTED_VALUE"""),"Nikic")</f>
        <v>Nikic</v>
      </c>
      <c r="G94" s="6" t="str">
        <f>IFERROR(__xludf.DUMMYFUNCTION("""COMPUTED_VALUE"""),"11/13/2013")</f>
        <v>11/13/2013</v>
      </c>
      <c r="H94" s="6" t="str">
        <f>IFERROR(__xludf.DUMMYFUNCTION("""COMPUTED_VALUE"""),"male")</f>
        <v>male</v>
      </c>
      <c r="I94" s="6" t="str">
        <f>IFERROR(__xludf.DUMMYFUNCTION("""COMPUTED_VALUE"""),"Middle School")</f>
        <v>Middle School</v>
      </c>
      <c r="J94" s="6" t="str">
        <f>IFERROR(__xludf.DUMMYFUNCTION("""COMPUTED_VALUE"""),"7")</f>
        <v>7</v>
      </c>
      <c r="K94" s="6" t="str">
        <f>IFERROR(__xludf.DUMMYFUNCTION("""COMPUTED_VALUE"""),"beckett.j.nikic@2hourlearning.com")</f>
        <v>beckett.j.nikic@2hourlearning.com</v>
      </c>
      <c r="L94" s="6" t="str">
        <f>IFERROR(__xludf.DUMMYFUNCTION("""COMPUTED_VALUE"""),"Alpha Anywhere (homeschool)")</f>
        <v>Alpha Anywhere (homeschool)</v>
      </c>
      <c r="M94" s="6" t="str">
        <f>IFERROR(__xludf.DUMMYFUNCTION("""COMPUTED_VALUE"""),"")</f>
        <v/>
      </c>
      <c r="N94" s="6" t="str">
        <f>IFERROR(__xludf.DUMMYFUNCTION("""COMPUTED_VALUE"""),"")</f>
        <v/>
      </c>
      <c r="O94" s="87" t="str">
        <f>IFERROR(__xludf.DUMMYFUNCTION("""COMPUTED_VALUE"""),"https://drive.google.com/drive/folders/10T2cTQHqEJZqE-st6uFKPoI?usp=share_link")</f>
        <v>https://drive.google.com/drive/folders/10T2cTQHqEJZqE-st6uFKPoI?usp=share_link</v>
      </c>
      <c r="P94" s="6" t="str">
        <f>IFERROR(__xludf.DUMMYFUNCTION("""COMPUTED_VALUE"""),"Beckett Nikic")</f>
        <v>Beckett Nikic</v>
      </c>
      <c r="Q94" s="6" t="str">
        <f>IFERROR(__xludf.DUMMYFUNCTION("""COMPUTED_VALUE"""),"MS")</f>
        <v>MS</v>
      </c>
      <c r="R94" s="6">
        <f>IFERROR(__xludf.DUMMYFUNCTION("""COMPUTED_VALUE"""),0.0)</f>
        <v>0</v>
      </c>
      <c r="S94" s="6" t="str">
        <f>IFERROR(__xludf.DUMMYFUNCTION("""COMPUTED_VALUE""")," ")</f>
        <v> </v>
      </c>
      <c r="T94" s="6" t="str">
        <f>IFERROR(__xludf.DUMMYFUNCTION("""COMPUTED_VALUE"""),"")</f>
        <v/>
      </c>
      <c r="U94" s="6" t="str">
        <f>IFERROR(__xludf.DUMMYFUNCTION("""COMPUTED_VALUE"""),"7")</f>
        <v>7</v>
      </c>
      <c r="V94" s="6" t="str">
        <f>IFERROR(__xludf.DUMMYFUNCTION("""COMPUTED_VALUE"""),"")</f>
        <v/>
      </c>
      <c r="W94" s="6" t="str">
        <f>IFERROR(__xludf.DUMMYFUNCTION("""COMPUTED_VALUE"""),"[]")</f>
        <v>[]</v>
      </c>
      <c r="X94" s="6" t="str">
        <f>IFERROR(__xludf.DUMMYFUNCTION("""COMPUTED_VALUE"""),"Pending Review")</f>
        <v>Pending Review</v>
      </c>
    </row>
    <row r="95">
      <c r="A95" s="6" t="str">
        <f>IFERROR(__xludf.DUMMYFUNCTION("""COMPUTED_VALUE"""),"000-11315")</f>
        <v>000-11315</v>
      </c>
      <c r="B95" s="6" t="str">
        <f>IFERROR(__xludf.DUMMYFUNCTION("""COMPUTED_VALUE"""),"0")</f>
        <v>0</v>
      </c>
      <c r="C95" s="6" t="str">
        <f>IFERROR(__xludf.DUMMYFUNCTION("""COMPUTED_VALUE"""),"11315")</f>
        <v>11315</v>
      </c>
      <c r="D95" s="6" t="str">
        <f>IFERROR(__xludf.DUMMYFUNCTION("""COMPUTED_VALUE"""),"Colette")</f>
        <v>Colette</v>
      </c>
      <c r="E95" s="6" t="str">
        <f>IFERROR(__xludf.DUMMYFUNCTION("""COMPUTED_VALUE"""),"")</f>
        <v/>
      </c>
      <c r="F95" s="6" t="str">
        <f>IFERROR(__xludf.DUMMYFUNCTION("""COMPUTED_VALUE"""),"Nikic")</f>
        <v>Nikic</v>
      </c>
      <c r="G95" s="6" t="str">
        <f>IFERROR(__xludf.DUMMYFUNCTION("""COMPUTED_VALUE"""),"09/05/2015")</f>
        <v>09/05/2015</v>
      </c>
      <c r="H95" s="6" t="str">
        <f>IFERROR(__xludf.DUMMYFUNCTION("""COMPUTED_VALUE"""),"female")</f>
        <v>female</v>
      </c>
      <c r="I95" s="6" t="str">
        <f>IFERROR(__xludf.DUMMYFUNCTION("""COMPUTED_VALUE"""),"Level 2")</f>
        <v>Level 2</v>
      </c>
      <c r="J95" s="6" t="str">
        <f>IFERROR(__xludf.DUMMYFUNCTION("""COMPUTED_VALUE"""),"5")</f>
        <v>5</v>
      </c>
      <c r="K95" s="6" t="str">
        <f>IFERROR(__xludf.DUMMYFUNCTION("""COMPUTED_VALUE"""),"colette.nikic@2hourlearning.com")</f>
        <v>colette.nikic@2hourlearning.com</v>
      </c>
      <c r="L95" s="6" t="str">
        <f>IFERROR(__xludf.DUMMYFUNCTION("""COMPUTED_VALUE"""),"Alpha Anywhere (homeschool)")</f>
        <v>Alpha Anywhere (homeschool)</v>
      </c>
      <c r="M95" s="6" t="str">
        <f>IFERROR(__xludf.DUMMYFUNCTION("""COMPUTED_VALUE"""),"")</f>
        <v/>
      </c>
      <c r="N95" s="6" t="str">
        <f>IFERROR(__xludf.DUMMYFUNCTION("""COMPUTED_VALUE"""),"")</f>
        <v/>
      </c>
      <c r="O95" s="87" t="str">
        <f>IFERROR(__xludf.DUMMYFUNCTION("""COMPUTED_VALUE"""),"https://drive.google.com/drive/folders/10T2cTQHqEJZqE-st6uFKPoI?usp=share_link")</f>
        <v>https://drive.google.com/drive/folders/10T2cTQHqEJZqE-st6uFKPoI?usp=share_link</v>
      </c>
      <c r="P95" s="6" t="str">
        <f>IFERROR(__xludf.DUMMYFUNCTION("""COMPUTED_VALUE"""),"Colette Nikic")</f>
        <v>Colette Nikic</v>
      </c>
      <c r="Q95" s="6" t="str">
        <f>IFERROR(__xludf.DUMMYFUNCTION("""COMPUTED_VALUE"""),"L2")</f>
        <v>L2</v>
      </c>
      <c r="R95" s="6">
        <f>IFERROR(__xludf.DUMMYFUNCTION("""COMPUTED_VALUE"""),2.0)</f>
        <v>2</v>
      </c>
      <c r="S95" s="6" t="str">
        <f>IFERROR(__xludf.DUMMYFUNCTION("""COMPUTED_VALUE""")," ")</f>
        <v> </v>
      </c>
      <c r="T95" s="6" t="str">
        <f>IFERROR(__xludf.DUMMYFUNCTION("""COMPUTED_VALUE"""),"")</f>
        <v/>
      </c>
      <c r="U95" s="6" t="str">
        <f>IFERROR(__xludf.DUMMYFUNCTION("""COMPUTED_VALUE"""),"5")</f>
        <v>5</v>
      </c>
      <c r="V95" s="6" t="str">
        <f>IFERROR(__xludf.DUMMYFUNCTION("""COMPUTED_VALUE"""),"")</f>
        <v/>
      </c>
      <c r="W95" s="6" t="str">
        <f>IFERROR(__xludf.DUMMYFUNCTION("""COMPUTED_VALUE"""),"[]")</f>
        <v>[]</v>
      </c>
      <c r="X95" s="6" t="str">
        <f>IFERROR(__xludf.DUMMYFUNCTION("""COMPUTED_VALUE"""),"Pending Review")</f>
        <v>Pending Review</v>
      </c>
    </row>
    <row r="96">
      <c r="A96" s="6" t="str">
        <f>IFERROR(__xludf.DUMMYFUNCTION("""COMPUTED_VALUE"""),"000-11320")</f>
        <v>000-11320</v>
      </c>
      <c r="B96" s="6" t="str">
        <f>IFERROR(__xludf.DUMMYFUNCTION("""COMPUTED_VALUE"""),"0")</f>
        <v>0</v>
      </c>
      <c r="C96" s="6" t="str">
        <f>IFERROR(__xludf.DUMMYFUNCTION("""COMPUTED_VALUE"""),"11320")</f>
        <v>11320</v>
      </c>
      <c r="D96" s="6" t="str">
        <f>IFERROR(__xludf.DUMMYFUNCTION("""COMPUTED_VALUE"""),"Finn")</f>
        <v>Finn</v>
      </c>
      <c r="E96" s="6" t="str">
        <f>IFERROR(__xludf.DUMMYFUNCTION("""COMPUTED_VALUE"""),"")</f>
        <v/>
      </c>
      <c r="F96" s="6" t="str">
        <f>IFERROR(__xludf.DUMMYFUNCTION("""COMPUTED_VALUE"""),"Bettencourt")</f>
        <v>Bettencourt</v>
      </c>
      <c r="G96" s="6" t="str">
        <f>IFERROR(__xludf.DUMMYFUNCTION("""COMPUTED_VALUE"""),"01/11/2016")</f>
        <v>01/11/2016</v>
      </c>
      <c r="H96" s="6" t="str">
        <f>IFERROR(__xludf.DUMMYFUNCTION("""COMPUTED_VALUE"""),"male")</f>
        <v>male</v>
      </c>
      <c r="I96" s="6" t="str">
        <f>IFERROR(__xludf.DUMMYFUNCTION("""COMPUTED_VALUE"""),"Level 2")</f>
        <v>Level 2</v>
      </c>
      <c r="J96" s="6" t="str">
        <f>IFERROR(__xludf.DUMMYFUNCTION("""COMPUTED_VALUE"""),"4")</f>
        <v>4</v>
      </c>
      <c r="K96" s="6" t="str">
        <f>IFERROR(__xludf.DUMMYFUNCTION("""COMPUTED_VALUE"""),"finn.bettencourt@2hourlearning.com")</f>
        <v>finn.bettencourt@2hourlearning.com</v>
      </c>
      <c r="L96" s="6" t="str">
        <f>IFERROR(__xludf.DUMMYFUNCTION("""COMPUTED_VALUE"""),"Alpha Anywhere (homeschool)")</f>
        <v>Alpha Anywhere (homeschool)</v>
      </c>
      <c r="M96" s="6" t="str">
        <f>IFERROR(__xludf.DUMMYFUNCTION("""COMPUTED_VALUE"""),"")</f>
        <v/>
      </c>
      <c r="N96" s="6" t="str">
        <f>IFERROR(__xludf.DUMMYFUNCTION("""COMPUTED_VALUE"""),"")</f>
        <v/>
      </c>
      <c r="O96" s="87" t="str">
        <f>IFERROR(__xludf.DUMMYFUNCTION("""COMPUTED_VALUE"""),"https://drive.google.com/drive/folders/10T2cTQHqEJZqE-st6uFKPoI?usp=share_link")</f>
        <v>https://drive.google.com/drive/folders/10T2cTQHqEJZqE-st6uFKPoI?usp=share_link</v>
      </c>
      <c r="P96" s="6" t="str">
        <f>IFERROR(__xludf.DUMMYFUNCTION("""COMPUTED_VALUE"""),"Finn Bettencourt")</f>
        <v>Finn Bettencourt</v>
      </c>
      <c r="Q96" s="6" t="str">
        <f>IFERROR(__xludf.DUMMYFUNCTION("""COMPUTED_VALUE"""),"L2")</f>
        <v>L2</v>
      </c>
      <c r="R96" s="6">
        <f>IFERROR(__xludf.DUMMYFUNCTION("""COMPUTED_VALUE"""),2.0)</f>
        <v>2</v>
      </c>
      <c r="S96" s="6" t="str">
        <f>IFERROR(__xludf.DUMMYFUNCTION("""COMPUTED_VALUE""")," ")</f>
        <v> </v>
      </c>
      <c r="T96" s="6" t="str">
        <f>IFERROR(__xludf.DUMMYFUNCTION("""COMPUTED_VALUE"""),"")</f>
        <v/>
      </c>
      <c r="U96" s="6" t="str">
        <f>IFERROR(__xludf.DUMMYFUNCTION("""COMPUTED_VALUE"""),"4")</f>
        <v>4</v>
      </c>
      <c r="V96" s="6" t="str">
        <f>IFERROR(__xludf.DUMMYFUNCTION("""COMPUTED_VALUE"""),"")</f>
        <v/>
      </c>
      <c r="W96" s="6" t="str">
        <f>IFERROR(__xludf.DUMMYFUNCTION("""COMPUTED_VALUE"""),"[]")</f>
        <v>[]</v>
      </c>
      <c r="X96" s="6" t="str">
        <f>IFERROR(__xludf.DUMMYFUNCTION("""COMPUTED_VALUE"""),"Pending Review")</f>
        <v>Pending Review</v>
      </c>
    </row>
    <row r="97">
      <c r="A97" s="6" t="str">
        <f>IFERROR(__xludf.DUMMYFUNCTION("""COMPUTED_VALUE"""),"000-11322")</f>
        <v>000-11322</v>
      </c>
      <c r="B97" s="6" t="str">
        <f>IFERROR(__xludf.DUMMYFUNCTION("""COMPUTED_VALUE"""),"0")</f>
        <v>0</v>
      </c>
      <c r="C97" s="6" t="str">
        <f>IFERROR(__xludf.DUMMYFUNCTION("""COMPUTED_VALUE"""),"11322")</f>
        <v>11322</v>
      </c>
      <c r="D97" s="6" t="str">
        <f>IFERROR(__xludf.DUMMYFUNCTION("""COMPUTED_VALUE"""),"Kodah")</f>
        <v>Kodah</v>
      </c>
      <c r="E97" s="6" t="str">
        <f>IFERROR(__xludf.DUMMYFUNCTION("""COMPUTED_VALUE"""),"")</f>
        <v/>
      </c>
      <c r="F97" s="6" t="str">
        <f>IFERROR(__xludf.DUMMYFUNCTION("""COMPUTED_VALUE"""),"Dyrdek")</f>
        <v>Dyrdek</v>
      </c>
      <c r="G97" s="6" t="str">
        <f>IFERROR(__xludf.DUMMYFUNCTION("""COMPUTED_VALUE"""),"09/09/2016")</f>
        <v>09/09/2016</v>
      </c>
      <c r="H97" s="6" t="str">
        <f>IFERROR(__xludf.DUMMYFUNCTION("""COMPUTED_VALUE"""),"male")</f>
        <v>male</v>
      </c>
      <c r="I97" s="6" t="str">
        <f>IFERROR(__xludf.DUMMYFUNCTION("""COMPUTED_VALUE"""),"Level 1")</f>
        <v>Level 1</v>
      </c>
      <c r="J97" s="6" t="str">
        <f>IFERROR(__xludf.DUMMYFUNCTION("""COMPUTED_VALUE"""),"3")</f>
        <v>3</v>
      </c>
      <c r="K97" s="6" t="str">
        <f>IFERROR(__xludf.DUMMYFUNCTION("""COMPUTED_VALUE"""),"kodah.dyrdek@2hourlearning.com")</f>
        <v>kodah.dyrdek@2hourlearning.com</v>
      </c>
      <c r="L97" s="6" t="str">
        <f>IFERROR(__xludf.DUMMYFUNCTION("""COMPUTED_VALUE"""),"Alpha Anywhere (homeschool)")</f>
        <v>Alpha Anywhere (homeschool)</v>
      </c>
      <c r="M97" s="6" t="str">
        <f>IFERROR(__xludf.DUMMYFUNCTION("""COMPUTED_VALUE"""),"")</f>
        <v/>
      </c>
      <c r="N97" s="6" t="str">
        <f>IFERROR(__xludf.DUMMYFUNCTION("""COMPUTED_VALUE"""),"")</f>
        <v/>
      </c>
      <c r="O97" s="87" t="str">
        <f>IFERROR(__xludf.DUMMYFUNCTION("""COMPUTED_VALUE"""),"https://drive.google.com/drive/folders/10T2cTQHqEJZqE-st6uFKPoI?usp=share_link")</f>
        <v>https://drive.google.com/drive/folders/10T2cTQHqEJZqE-st6uFKPoI?usp=share_link</v>
      </c>
      <c r="P97" s="6" t="str">
        <f>IFERROR(__xludf.DUMMYFUNCTION("""COMPUTED_VALUE"""),"Kodah Dyrdek")</f>
        <v>Kodah Dyrdek</v>
      </c>
      <c r="Q97" s="6" t="str">
        <f>IFERROR(__xludf.DUMMYFUNCTION("""COMPUTED_VALUE"""),"L1")</f>
        <v>L1</v>
      </c>
      <c r="R97" s="6">
        <f>IFERROR(__xludf.DUMMYFUNCTION("""COMPUTED_VALUE"""),1.0)</f>
        <v>1</v>
      </c>
      <c r="S97" s="6" t="str">
        <f>IFERROR(__xludf.DUMMYFUNCTION("""COMPUTED_VALUE""")," ")</f>
        <v> </v>
      </c>
      <c r="T97" s="6" t="str">
        <f>IFERROR(__xludf.DUMMYFUNCTION("""COMPUTED_VALUE"""),"")</f>
        <v/>
      </c>
      <c r="U97" s="6" t="str">
        <f>IFERROR(__xludf.DUMMYFUNCTION("""COMPUTED_VALUE"""),"3")</f>
        <v>3</v>
      </c>
      <c r="V97" s="6" t="str">
        <f>IFERROR(__xludf.DUMMYFUNCTION("""COMPUTED_VALUE"""),"")</f>
        <v/>
      </c>
      <c r="W97" s="6" t="str">
        <f>IFERROR(__xludf.DUMMYFUNCTION("""COMPUTED_VALUE"""),"[]")</f>
        <v>[]</v>
      </c>
      <c r="X97" s="6" t="str">
        <f>IFERROR(__xludf.DUMMYFUNCTION("""COMPUTED_VALUE"""),"Pending Review")</f>
        <v>Pending Review</v>
      </c>
    </row>
    <row r="98">
      <c r="A98" s="6" t="str">
        <f>IFERROR(__xludf.DUMMYFUNCTION("""COMPUTED_VALUE"""),"000-11323")</f>
        <v>000-11323</v>
      </c>
      <c r="B98" s="6" t="str">
        <f>IFERROR(__xludf.DUMMYFUNCTION("""COMPUTED_VALUE"""),"0")</f>
        <v>0</v>
      </c>
      <c r="C98" s="6" t="str">
        <f>IFERROR(__xludf.DUMMYFUNCTION("""COMPUTED_VALUE"""),"11323")</f>
        <v>11323</v>
      </c>
      <c r="D98" s="6" t="str">
        <f>IFERROR(__xludf.DUMMYFUNCTION("""COMPUTED_VALUE"""),"Nala")</f>
        <v>Nala</v>
      </c>
      <c r="E98" s="6" t="str">
        <f>IFERROR(__xludf.DUMMYFUNCTION("""COMPUTED_VALUE"""),"")</f>
        <v/>
      </c>
      <c r="F98" s="6" t="str">
        <f>IFERROR(__xludf.DUMMYFUNCTION("""COMPUTED_VALUE"""),"Dyrdek")</f>
        <v>Dyrdek</v>
      </c>
      <c r="G98" s="6" t="str">
        <f>IFERROR(__xludf.DUMMYFUNCTION("""COMPUTED_VALUE"""),"12/28/2017")</f>
        <v>12/28/2017</v>
      </c>
      <c r="H98" s="6" t="str">
        <f>IFERROR(__xludf.DUMMYFUNCTION("""COMPUTED_VALUE"""),"female")</f>
        <v>female</v>
      </c>
      <c r="I98" s="6" t="str">
        <f>IFERROR(__xludf.DUMMYFUNCTION("""COMPUTED_VALUE"""),"Level 1")</f>
        <v>Level 1</v>
      </c>
      <c r="J98" s="6" t="str">
        <f>IFERROR(__xludf.DUMMYFUNCTION("""COMPUTED_VALUE"""),"2")</f>
        <v>2</v>
      </c>
      <c r="K98" s="6" t="str">
        <f>IFERROR(__xludf.DUMMYFUNCTION("""COMPUTED_VALUE"""),"nala.dyrdek@2hourlearning.com")</f>
        <v>nala.dyrdek@2hourlearning.com</v>
      </c>
      <c r="L98" s="6" t="str">
        <f>IFERROR(__xludf.DUMMYFUNCTION("""COMPUTED_VALUE"""),"Alpha Anywhere (homeschool)")</f>
        <v>Alpha Anywhere (homeschool)</v>
      </c>
      <c r="M98" s="6" t="str">
        <f>IFERROR(__xludf.DUMMYFUNCTION("""COMPUTED_VALUE"""),"")</f>
        <v/>
      </c>
      <c r="N98" s="6" t="str">
        <f>IFERROR(__xludf.DUMMYFUNCTION("""COMPUTED_VALUE"""),"")</f>
        <v/>
      </c>
      <c r="O98" s="87" t="str">
        <f>IFERROR(__xludf.DUMMYFUNCTION("""COMPUTED_VALUE"""),"https://drive.google.com/drive/folders/10T2cTQHqEJZqE-st6uFKPoI?usp=share_link")</f>
        <v>https://drive.google.com/drive/folders/10T2cTQHqEJZqE-st6uFKPoI?usp=share_link</v>
      </c>
      <c r="P98" s="6" t="str">
        <f>IFERROR(__xludf.DUMMYFUNCTION("""COMPUTED_VALUE"""),"Nala Dyrdek")</f>
        <v>Nala Dyrdek</v>
      </c>
      <c r="Q98" s="6" t="str">
        <f>IFERROR(__xludf.DUMMYFUNCTION("""COMPUTED_VALUE"""),"L1")</f>
        <v>L1</v>
      </c>
      <c r="R98" s="6">
        <f>IFERROR(__xludf.DUMMYFUNCTION("""COMPUTED_VALUE"""),1.0)</f>
        <v>1</v>
      </c>
      <c r="S98" s="6" t="str">
        <f>IFERROR(__xludf.DUMMYFUNCTION("""COMPUTED_VALUE""")," ")</f>
        <v> </v>
      </c>
      <c r="T98" s="6" t="str">
        <f>IFERROR(__xludf.DUMMYFUNCTION("""COMPUTED_VALUE"""),"")</f>
        <v/>
      </c>
      <c r="U98" s="6" t="str">
        <f>IFERROR(__xludf.DUMMYFUNCTION("""COMPUTED_VALUE"""),"2")</f>
        <v>2</v>
      </c>
      <c r="V98" s="6" t="str">
        <f>IFERROR(__xludf.DUMMYFUNCTION("""COMPUTED_VALUE"""),"")</f>
        <v/>
      </c>
      <c r="W98" s="6" t="str">
        <f>IFERROR(__xludf.DUMMYFUNCTION("""COMPUTED_VALUE"""),"[]")</f>
        <v>[]</v>
      </c>
      <c r="X98" s="6" t="str">
        <f>IFERROR(__xludf.DUMMYFUNCTION("""COMPUTED_VALUE"""),"Pending Review")</f>
        <v>Pending Review</v>
      </c>
    </row>
    <row r="99">
      <c r="A99" s="6" t="str">
        <f>IFERROR(__xludf.DUMMYFUNCTION("""COMPUTED_VALUE"""),"000-11325")</f>
        <v>000-11325</v>
      </c>
      <c r="B99" s="6" t="str">
        <f>IFERROR(__xludf.DUMMYFUNCTION("""COMPUTED_VALUE"""),"0")</f>
        <v>0</v>
      </c>
      <c r="C99" s="6" t="str">
        <f>IFERROR(__xludf.DUMMYFUNCTION("""COMPUTED_VALUE"""),"11325")</f>
        <v>11325</v>
      </c>
      <c r="D99" s="6" t="str">
        <f>IFERROR(__xludf.DUMMYFUNCTION("""COMPUTED_VALUE"""),"Charlie")</f>
        <v>Charlie</v>
      </c>
      <c r="E99" s="6" t="str">
        <f>IFERROR(__xludf.DUMMYFUNCTION("""COMPUTED_VALUE"""),"")</f>
        <v/>
      </c>
      <c r="F99" s="6" t="str">
        <f>IFERROR(__xludf.DUMMYFUNCTION("""COMPUTED_VALUE"""),"Maloy")</f>
        <v>Maloy</v>
      </c>
      <c r="G99" s="6" t="str">
        <f>IFERROR(__xludf.DUMMYFUNCTION("""COMPUTED_VALUE"""),"09/14/2017")</f>
        <v>09/14/2017</v>
      </c>
      <c r="H99" s="6" t="str">
        <f>IFERROR(__xludf.DUMMYFUNCTION("""COMPUTED_VALUE"""),"male")</f>
        <v>male</v>
      </c>
      <c r="I99" s="6" t="str">
        <f>IFERROR(__xludf.DUMMYFUNCTION("""COMPUTED_VALUE"""),"Level 1")</f>
        <v>Level 1</v>
      </c>
      <c r="J99" s="6" t="str">
        <f>IFERROR(__xludf.DUMMYFUNCTION("""COMPUTED_VALUE"""),"2")</f>
        <v>2</v>
      </c>
      <c r="K99" s="6" t="str">
        <f>IFERROR(__xludf.DUMMYFUNCTION("""COMPUTED_VALUE"""),"charlie.maloy@2hourlearning.com")</f>
        <v>charlie.maloy@2hourlearning.com</v>
      </c>
      <c r="L99" s="6" t="str">
        <f>IFERROR(__xludf.DUMMYFUNCTION("""COMPUTED_VALUE"""),"Alpha Anywhere (homeschool)")</f>
        <v>Alpha Anywhere (homeschool)</v>
      </c>
      <c r="M99" s="6" t="str">
        <f>IFERROR(__xludf.DUMMYFUNCTION("""COMPUTED_VALUE"""),"")</f>
        <v/>
      </c>
      <c r="N99" s="6" t="str">
        <f>IFERROR(__xludf.DUMMYFUNCTION("""COMPUTED_VALUE"""),"")</f>
        <v/>
      </c>
      <c r="O99" s="87" t="str">
        <f>IFERROR(__xludf.DUMMYFUNCTION("""COMPUTED_VALUE"""),"https://drive.google.com/drive/folders/10T2cTQHqEJZqE-st6uFKPoI?usp=share_link")</f>
        <v>https://drive.google.com/drive/folders/10T2cTQHqEJZqE-st6uFKPoI?usp=share_link</v>
      </c>
      <c r="P99" s="6" t="str">
        <f>IFERROR(__xludf.DUMMYFUNCTION("""COMPUTED_VALUE"""),"Charlie Maloy")</f>
        <v>Charlie Maloy</v>
      </c>
      <c r="Q99" s="6" t="str">
        <f>IFERROR(__xludf.DUMMYFUNCTION("""COMPUTED_VALUE"""),"L1")</f>
        <v>L1</v>
      </c>
      <c r="R99" s="6">
        <f>IFERROR(__xludf.DUMMYFUNCTION("""COMPUTED_VALUE"""),1.0)</f>
        <v>1</v>
      </c>
      <c r="S99" s="6" t="str">
        <f>IFERROR(__xludf.DUMMYFUNCTION("""COMPUTED_VALUE""")," ")</f>
        <v> </v>
      </c>
      <c r="T99" s="6" t="str">
        <f>IFERROR(__xludf.DUMMYFUNCTION("""COMPUTED_VALUE"""),"")</f>
        <v/>
      </c>
      <c r="U99" s="6" t="str">
        <f>IFERROR(__xludf.DUMMYFUNCTION("""COMPUTED_VALUE"""),"2")</f>
        <v>2</v>
      </c>
      <c r="V99" s="6" t="str">
        <f>IFERROR(__xludf.DUMMYFUNCTION("""COMPUTED_VALUE"""),"")</f>
        <v/>
      </c>
      <c r="W99" s="6" t="str">
        <f>IFERROR(__xludf.DUMMYFUNCTION("""COMPUTED_VALUE"""),"[]")</f>
        <v>[]</v>
      </c>
      <c r="X99" s="6" t="str">
        <f>IFERROR(__xludf.DUMMYFUNCTION("""COMPUTED_VALUE"""),"Pending Review")</f>
        <v>Pending Review</v>
      </c>
    </row>
    <row r="100">
      <c r="A100" s="6" t="str">
        <f>IFERROR(__xludf.DUMMYFUNCTION("""COMPUTED_VALUE"""),"000-11327")</f>
        <v>000-11327</v>
      </c>
      <c r="B100" s="6" t="str">
        <f>IFERROR(__xludf.DUMMYFUNCTION("""COMPUTED_VALUE"""),"0")</f>
        <v>0</v>
      </c>
      <c r="C100" s="6" t="str">
        <f>IFERROR(__xludf.DUMMYFUNCTION("""COMPUTED_VALUE"""),"11327")</f>
        <v>11327</v>
      </c>
      <c r="D100" s="6" t="str">
        <f>IFERROR(__xludf.DUMMYFUNCTION("""COMPUTED_VALUE"""),"Austin")</f>
        <v>Austin</v>
      </c>
      <c r="E100" s="6" t="str">
        <f>IFERROR(__xludf.DUMMYFUNCTION("""COMPUTED_VALUE"""),"")</f>
        <v/>
      </c>
      <c r="F100" s="6" t="str">
        <f>IFERROR(__xludf.DUMMYFUNCTION("""COMPUTED_VALUE"""),"Logan")</f>
        <v>Logan</v>
      </c>
      <c r="G100" s="6" t="str">
        <f>IFERROR(__xludf.DUMMYFUNCTION("""COMPUTED_VALUE"""),"12/23/2016")</f>
        <v>12/23/2016</v>
      </c>
      <c r="H100" s="6" t="str">
        <f>IFERROR(__xludf.DUMMYFUNCTION("""COMPUTED_VALUE"""),"male")</f>
        <v>male</v>
      </c>
      <c r="I100" s="6" t="str">
        <f>IFERROR(__xludf.DUMMYFUNCTION("""COMPUTED_VALUE"""),"Level 2")</f>
        <v>Level 2</v>
      </c>
      <c r="J100" s="6" t="str">
        <f>IFERROR(__xludf.DUMMYFUNCTION("""COMPUTED_VALUE"""),"4")</f>
        <v>4</v>
      </c>
      <c r="K100" s="6" t="str">
        <f>IFERROR(__xludf.DUMMYFUNCTION("""COMPUTED_VALUE"""),"austin.logan@2hourlearning.com")</f>
        <v>austin.logan@2hourlearning.com</v>
      </c>
      <c r="L100" s="6" t="str">
        <f>IFERROR(__xludf.DUMMYFUNCTION("""COMPUTED_VALUE"""),"Alpha Anywhere (homeschool)")</f>
        <v>Alpha Anywhere (homeschool)</v>
      </c>
      <c r="M100" s="6" t="str">
        <f>IFERROR(__xludf.DUMMYFUNCTION("""COMPUTED_VALUE"""),"")</f>
        <v/>
      </c>
      <c r="N100" s="6" t="str">
        <f>IFERROR(__xludf.DUMMYFUNCTION("""COMPUTED_VALUE"""),"")</f>
        <v/>
      </c>
      <c r="O100" s="87" t="str">
        <f>IFERROR(__xludf.DUMMYFUNCTION("""COMPUTED_VALUE"""),"https://drive.google.com/drive/folders/10T2cTQHqEJZqE-st6uFKPoI?usp=share_link")</f>
        <v>https://drive.google.com/drive/folders/10T2cTQHqEJZqE-st6uFKPoI?usp=share_link</v>
      </c>
      <c r="P100" s="6" t="str">
        <f>IFERROR(__xludf.DUMMYFUNCTION("""COMPUTED_VALUE"""),"Austin Logan")</f>
        <v>Austin Logan</v>
      </c>
      <c r="Q100" s="6" t="str">
        <f>IFERROR(__xludf.DUMMYFUNCTION("""COMPUTED_VALUE"""),"L2")</f>
        <v>L2</v>
      </c>
      <c r="R100" s="6">
        <f>IFERROR(__xludf.DUMMYFUNCTION("""COMPUTED_VALUE"""),2.0)</f>
        <v>2</v>
      </c>
      <c r="S100" s="6" t="str">
        <f>IFERROR(__xludf.DUMMYFUNCTION("""COMPUTED_VALUE""")," ")</f>
        <v> </v>
      </c>
      <c r="T100" s="6" t="str">
        <f>IFERROR(__xludf.DUMMYFUNCTION("""COMPUTED_VALUE"""),"")</f>
        <v/>
      </c>
      <c r="U100" s="6" t="str">
        <f>IFERROR(__xludf.DUMMYFUNCTION("""COMPUTED_VALUE"""),"4")</f>
        <v>4</v>
      </c>
      <c r="V100" s="6" t="str">
        <f>IFERROR(__xludf.DUMMYFUNCTION("""COMPUTED_VALUE"""),"")</f>
        <v/>
      </c>
      <c r="W100" s="6" t="str">
        <f>IFERROR(__xludf.DUMMYFUNCTION("""COMPUTED_VALUE"""),"[]")</f>
        <v>[]</v>
      </c>
      <c r="X100" s="6" t="str">
        <f>IFERROR(__xludf.DUMMYFUNCTION("""COMPUTED_VALUE"""),"Pending Review")</f>
        <v>Pending Review</v>
      </c>
    </row>
    <row r="101">
      <c r="A101" s="6" t="str">
        <f>IFERROR(__xludf.DUMMYFUNCTION("""COMPUTED_VALUE"""),"000-11328")</f>
        <v>000-11328</v>
      </c>
      <c r="B101" s="6" t="str">
        <f>IFERROR(__xludf.DUMMYFUNCTION("""COMPUTED_VALUE"""),"0")</f>
        <v>0</v>
      </c>
      <c r="C101" s="6" t="str">
        <f>IFERROR(__xludf.DUMMYFUNCTION("""COMPUTED_VALUE"""),"11328")</f>
        <v>11328</v>
      </c>
      <c r="D101" s="6" t="str">
        <f>IFERROR(__xludf.DUMMYFUNCTION("""COMPUTED_VALUE"""),"Tucker")</f>
        <v>Tucker</v>
      </c>
      <c r="E101" s="6" t="str">
        <f>IFERROR(__xludf.DUMMYFUNCTION("""COMPUTED_VALUE"""),"")</f>
        <v/>
      </c>
      <c r="F101" s="6" t="str">
        <f>IFERROR(__xludf.DUMMYFUNCTION("""COMPUTED_VALUE"""),"Buehler")</f>
        <v>Buehler</v>
      </c>
      <c r="G101" s="6" t="str">
        <f>IFERROR(__xludf.DUMMYFUNCTION("""COMPUTED_VALUE"""),"01/14/2015")</f>
        <v>01/14/2015</v>
      </c>
      <c r="H101" s="6" t="str">
        <f>IFERROR(__xludf.DUMMYFUNCTION("""COMPUTED_VALUE"""),"male")</f>
        <v>male</v>
      </c>
      <c r="I101" s="6" t="str">
        <f>IFERROR(__xludf.DUMMYFUNCTION("""COMPUTED_VALUE"""),"Level 2")</f>
        <v>Level 2</v>
      </c>
      <c r="J101" s="6" t="str">
        <f>IFERROR(__xludf.DUMMYFUNCTION("""COMPUTED_VALUE"""),"5")</f>
        <v>5</v>
      </c>
      <c r="K101" s="6" t="str">
        <f>IFERROR(__xludf.DUMMYFUNCTION("""COMPUTED_VALUE"""),"tucker.buehler@2hourlearning.com")</f>
        <v>tucker.buehler@2hourlearning.com</v>
      </c>
      <c r="L101" s="6" t="str">
        <f>IFERROR(__xludf.DUMMYFUNCTION("""COMPUTED_VALUE"""),"Alpha Anywhere (homeschool)")</f>
        <v>Alpha Anywhere (homeschool)</v>
      </c>
      <c r="M101" s="6" t="str">
        <f>IFERROR(__xludf.DUMMYFUNCTION("""COMPUTED_VALUE"""),"")</f>
        <v/>
      </c>
      <c r="N101" s="6" t="str">
        <f>IFERROR(__xludf.DUMMYFUNCTION("""COMPUTED_VALUE"""),"")</f>
        <v/>
      </c>
      <c r="O101" s="87" t="str">
        <f>IFERROR(__xludf.DUMMYFUNCTION("""COMPUTED_VALUE"""),"https://drive.google.com/drive/folders/10T2cTQHqEJZqE-st6uFKPoI?usp=share_link")</f>
        <v>https://drive.google.com/drive/folders/10T2cTQHqEJZqE-st6uFKPoI?usp=share_link</v>
      </c>
      <c r="P101" s="6" t="str">
        <f>IFERROR(__xludf.DUMMYFUNCTION("""COMPUTED_VALUE"""),"Tucker Buehler")</f>
        <v>Tucker Buehler</v>
      </c>
      <c r="Q101" s="6" t="str">
        <f>IFERROR(__xludf.DUMMYFUNCTION("""COMPUTED_VALUE"""),"L2")</f>
        <v>L2</v>
      </c>
      <c r="R101" s="6">
        <f>IFERROR(__xludf.DUMMYFUNCTION("""COMPUTED_VALUE"""),2.0)</f>
        <v>2</v>
      </c>
      <c r="S101" s="6" t="str">
        <f>IFERROR(__xludf.DUMMYFUNCTION("""COMPUTED_VALUE""")," ")</f>
        <v> </v>
      </c>
      <c r="T101" s="6" t="str">
        <f>IFERROR(__xludf.DUMMYFUNCTION("""COMPUTED_VALUE"""),"")</f>
        <v/>
      </c>
      <c r="U101" s="6" t="str">
        <f>IFERROR(__xludf.DUMMYFUNCTION("""COMPUTED_VALUE"""),"5")</f>
        <v>5</v>
      </c>
      <c r="V101" s="6" t="str">
        <f>IFERROR(__xludf.DUMMYFUNCTION("""COMPUTED_VALUE"""),"")</f>
        <v/>
      </c>
      <c r="W101" s="6" t="str">
        <f>IFERROR(__xludf.DUMMYFUNCTION("""COMPUTED_VALUE"""),"[]")</f>
        <v>[]</v>
      </c>
      <c r="X101" s="6" t="str">
        <f>IFERROR(__xludf.DUMMYFUNCTION("""COMPUTED_VALUE"""),"Pending Review")</f>
        <v>Pending Review</v>
      </c>
    </row>
    <row r="102">
      <c r="A102" s="6" t="str">
        <f>IFERROR(__xludf.DUMMYFUNCTION("""COMPUTED_VALUE"""),"000-11329")</f>
        <v>000-11329</v>
      </c>
      <c r="B102" s="6" t="str">
        <f>IFERROR(__xludf.DUMMYFUNCTION("""COMPUTED_VALUE"""),"0")</f>
        <v>0</v>
      </c>
      <c r="C102" s="6" t="str">
        <f>IFERROR(__xludf.DUMMYFUNCTION("""COMPUTED_VALUE"""),"11329")</f>
        <v>11329</v>
      </c>
      <c r="D102" s="6" t="str">
        <f>IFERROR(__xludf.DUMMYFUNCTION("""COMPUTED_VALUE"""),"Aria")</f>
        <v>Aria</v>
      </c>
      <c r="E102" s="6" t="str">
        <f>IFERROR(__xludf.DUMMYFUNCTION("""COMPUTED_VALUE"""),"")</f>
        <v/>
      </c>
      <c r="F102" s="6" t="str">
        <f>IFERROR(__xludf.DUMMYFUNCTION("""COMPUTED_VALUE"""),"James")</f>
        <v>James</v>
      </c>
      <c r="G102" s="6" t="str">
        <f>IFERROR(__xludf.DUMMYFUNCTION("""COMPUTED_VALUE"""),"08/22/2018")</f>
        <v>08/22/2018</v>
      </c>
      <c r="H102" s="6" t="str">
        <f>IFERROR(__xludf.DUMMYFUNCTION("""COMPUTED_VALUE"""),"female")</f>
        <v>female</v>
      </c>
      <c r="I102" s="6" t="str">
        <f>IFERROR(__xludf.DUMMYFUNCTION("""COMPUTED_VALUE"""),"Level 1")</f>
        <v>Level 1</v>
      </c>
      <c r="J102" s="6" t="str">
        <f>IFERROR(__xludf.DUMMYFUNCTION("""COMPUTED_VALUE"""),"2")</f>
        <v>2</v>
      </c>
      <c r="K102" s="6" t="str">
        <f>IFERROR(__xludf.DUMMYFUNCTION("""COMPUTED_VALUE"""),"aria.james@2hourlearning.com")</f>
        <v>aria.james@2hourlearning.com</v>
      </c>
      <c r="L102" s="6" t="str">
        <f>IFERROR(__xludf.DUMMYFUNCTION("""COMPUTED_VALUE"""),"Alpha Anywhere (homeschool)")</f>
        <v>Alpha Anywhere (homeschool)</v>
      </c>
      <c r="M102" s="6" t="str">
        <f>IFERROR(__xludf.DUMMYFUNCTION("""COMPUTED_VALUE"""),"")</f>
        <v/>
      </c>
      <c r="N102" s="6" t="str">
        <f>IFERROR(__xludf.DUMMYFUNCTION("""COMPUTED_VALUE"""),"")</f>
        <v/>
      </c>
      <c r="O102" s="87" t="str">
        <f>IFERROR(__xludf.DUMMYFUNCTION("""COMPUTED_VALUE"""),"https://drive.google.com/drive/folders/10T2cTQHqEJZqE-st6uFKPoI?usp=share_link")</f>
        <v>https://drive.google.com/drive/folders/10T2cTQHqEJZqE-st6uFKPoI?usp=share_link</v>
      </c>
      <c r="P102" s="6" t="str">
        <f>IFERROR(__xludf.DUMMYFUNCTION("""COMPUTED_VALUE"""),"Aria James")</f>
        <v>Aria James</v>
      </c>
      <c r="Q102" s="6" t="str">
        <f>IFERROR(__xludf.DUMMYFUNCTION("""COMPUTED_VALUE"""),"L1")</f>
        <v>L1</v>
      </c>
      <c r="R102" s="6">
        <f>IFERROR(__xludf.DUMMYFUNCTION("""COMPUTED_VALUE"""),1.0)</f>
        <v>1</v>
      </c>
      <c r="S102" s="6" t="str">
        <f>IFERROR(__xludf.DUMMYFUNCTION("""COMPUTED_VALUE""")," ")</f>
        <v> </v>
      </c>
      <c r="T102" s="6" t="str">
        <f>IFERROR(__xludf.DUMMYFUNCTION("""COMPUTED_VALUE"""),"")</f>
        <v/>
      </c>
      <c r="U102" s="6" t="str">
        <f>IFERROR(__xludf.DUMMYFUNCTION("""COMPUTED_VALUE"""),"2")</f>
        <v>2</v>
      </c>
      <c r="V102" s="6" t="str">
        <f>IFERROR(__xludf.DUMMYFUNCTION("""COMPUTED_VALUE"""),"")</f>
        <v/>
      </c>
      <c r="W102" s="6" t="str">
        <f>IFERROR(__xludf.DUMMYFUNCTION("""COMPUTED_VALUE"""),"[]")</f>
        <v>[]</v>
      </c>
      <c r="X102" s="6" t="str">
        <f>IFERROR(__xludf.DUMMYFUNCTION("""COMPUTED_VALUE"""),"Pending Review")</f>
        <v>Pending Review</v>
      </c>
    </row>
    <row r="103">
      <c r="A103" s="6" t="str">
        <f>IFERROR(__xludf.DUMMYFUNCTION("""COMPUTED_VALUE"""),"000-11330")</f>
        <v>000-11330</v>
      </c>
      <c r="B103" s="6" t="str">
        <f>IFERROR(__xludf.DUMMYFUNCTION("""COMPUTED_VALUE"""),"0")</f>
        <v>0</v>
      </c>
      <c r="C103" s="6" t="str">
        <f>IFERROR(__xludf.DUMMYFUNCTION("""COMPUTED_VALUE"""),"11330")</f>
        <v>11330</v>
      </c>
      <c r="D103" s="6" t="str">
        <f>IFERROR(__xludf.DUMMYFUNCTION("""COMPUTED_VALUE"""),"Avery")</f>
        <v>Avery</v>
      </c>
      <c r="E103" s="6" t="str">
        <f>IFERROR(__xludf.DUMMYFUNCTION("""COMPUTED_VALUE"""),"")</f>
        <v/>
      </c>
      <c r="F103" s="6" t="str">
        <f>IFERROR(__xludf.DUMMYFUNCTION("""COMPUTED_VALUE"""),"Logan")</f>
        <v>Logan</v>
      </c>
      <c r="G103" s="6" t="str">
        <f>IFERROR(__xludf.DUMMYFUNCTION("""COMPUTED_VALUE"""),"11/19/2017")</f>
        <v>11/19/2017</v>
      </c>
      <c r="H103" s="6" t="str">
        <f>IFERROR(__xludf.DUMMYFUNCTION("""COMPUTED_VALUE"""),"male")</f>
        <v>male</v>
      </c>
      <c r="I103" s="6" t="str">
        <f>IFERROR(__xludf.DUMMYFUNCTION("""COMPUTED_VALUE"""),"Level 1")</f>
        <v>Level 1</v>
      </c>
      <c r="J103" s="6" t="str">
        <f>IFERROR(__xludf.DUMMYFUNCTION("""COMPUTED_VALUE"""),"3")</f>
        <v>3</v>
      </c>
      <c r="K103" s="6" t="str">
        <f>IFERROR(__xludf.DUMMYFUNCTION("""COMPUTED_VALUE"""),"avery.logan@2hourlearning.com")</f>
        <v>avery.logan@2hourlearning.com</v>
      </c>
      <c r="L103" s="6" t="str">
        <f>IFERROR(__xludf.DUMMYFUNCTION("""COMPUTED_VALUE"""),"Alpha Anywhere (homeschool)")</f>
        <v>Alpha Anywhere (homeschool)</v>
      </c>
      <c r="M103" s="6" t="str">
        <f>IFERROR(__xludf.DUMMYFUNCTION("""COMPUTED_VALUE"""),"")</f>
        <v/>
      </c>
      <c r="N103" s="6" t="str">
        <f>IFERROR(__xludf.DUMMYFUNCTION("""COMPUTED_VALUE"""),"")</f>
        <v/>
      </c>
      <c r="O103" s="87" t="str">
        <f>IFERROR(__xludf.DUMMYFUNCTION("""COMPUTED_VALUE"""),"https://drive.google.com/drive/folders/10T2cTQHqEJZqE-st6uFKPoI?usp=share_link")</f>
        <v>https://drive.google.com/drive/folders/10T2cTQHqEJZqE-st6uFKPoI?usp=share_link</v>
      </c>
      <c r="P103" s="6" t="str">
        <f>IFERROR(__xludf.DUMMYFUNCTION("""COMPUTED_VALUE"""),"Avery Logan")</f>
        <v>Avery Logan</v>
      </c>
      <c r="Q103" s="6" t="str">
        <f>IFERROR(__xludf.DUMMYFUNCTION("""COMPUTED_VALUE"""),"L1")</f>
        <v>L1</v>
      </c>
      <c r="R103" s="6">
        <f>IFERROR(__xludf.DUMMYFUNCTION("""COMPUTED_VALUE"""),1.0)</f>
        <v>1</v>
      </c>
      <c r="S103" s="6" t="str">
        <f>IFERROR(__xludf.DUMMYFUNCTION("""COMPUTED_VALUE""")," ")</f>
        <v> </v>
      </c>
      <c r="T103" s="6" t="str">
        <f>IFERROR(__xludf.DUMMYFUNCTION("""COMPUTED_VALUE"""),"")</f>
        <v/>
      </c>
      <c r="U103" s="6" t="str">
        <f>IFERROR(__xludf.DUMMYFUNCTION("""COMPUTED_VALUE"""),"3")</f>
        <v>3</v>
      </c>
      <c r="V103" s="6" t="str">
        <f>IFERROR(__xludf.DUMMYFUNCTION("""COMPUTED_VALUE"""),"")</f>
        <v/>
      </c>
      <c r="W103" s="6" t="str">
        <f>IFERROR(__xludf.DUMMYFUNCTION("""COMPUTED_VALUE"""),"[]")</f>
        <v>[]</v>
      </c>
      <c r="X103" s="6" t="str">
        <f>IFERROR(__xludf.DUMMYFUNCTION("""COMPUTED_VALUE"""),"Pending Review")</f>
        <v>Pending Review</v>
      </c>
    </row>
    <row r="104">
      <c r="A104" s="6" t="str">
        <f>IFERROR(__xludf.DUMMYFUNCTION("""COMPUTED_VALUE"""),"000-11332")</f>
        <v>000-11332</v>
      </c>
      <c r="B104" s="6" t="str">
        <f>IFERROR(__xludf.DUMMYFUNCTION("""COMPUTED_VALUE"""),"0")</f>
        <v>0</v>
      </c>
      <c r="C104" s="6" t="str">
        <f>IFERROR(__xludf.DUMMYFUNCTION("""COMPUTED_VALUE"""),"11332")</f>
        <v>11332</v>
      </c>
      <c r="D104" s="6" t="str">
        <f>IFERROR(__xludf.DUMMYFUNCTION("""COMPUTED_VALUE"""),"Miles")</f>
        <v>Miles</v>
      </c>
      <c r="E104" s="6" t="str">
        <f>IFERROR(__xludf.DUMMYFUNCTION("""COMPUTED_VALUE"""),"")</f>
        <v/>
      </c>
      <c r="F104" s="6" t="str">
        <f>IFERROR(__xludf.DUMMYFUNCTION("""COMPUTED_VALUE"""),"Jones")</f>
        <v>Jones</v>
      </c>
      <c r="G104" s="6" t="str">
        <f>IFERROR(__xludf.DUMMYFUNCTION("""COMPUTED_VALUE"""),"03/25/2014")</f>
        <v>03/25/2014</v>
      </c>
      <c r="H104" s="6" t="str">
        <f>IFERROR(__xludf.DUMMYFUNCTION("""COMPUTED_VALUE"""),"male")</f>
        <v>male</v>
      </c>
      <c r="I104" s="6" t="str">
        <f>IFERROR(__xludf.DUMMYFUNCTION("""COMPUTED_VALUE"""),"Level 2")</f>
        <v>Level 2</v>
      </c>
      <c r="J104" s="6" t="str">
        <f>IFERROR(__xludf.DUMMYFUNCTION("""COMPUTED_VALUE"""),"5")</f>
        <v>5</v>
      </c>
      <c r="K104" s="6" t="str">
        <f>IFERROR(__xludf.DUMMYFUNCTION("""COMPUTED_VALUE"""),"miles.jones@2hourlearning.com")</f>
        <v>miles.jones@2hourlearning.com</v>
      </c>
      <c r="L104" s="6" t="str">
        <f>IFERROR(__xludf.DUMMYFUNCTION("""COMPUTED_VALUE"""),"Alpha Anywhere (homeschool)")</f>
        <v>Alpha Anywhere (homeschool)</v>
      </c>
      <c r="M104" s="6" t="str">
        <f>IFERROR(__xludf.DUMMYFUNCTION("""COMPUTED_VALUE"""),"")</f>
        <v/>
      </c>
      <c r="N104" s="6" t="str">
        <f>IFERROR(__xludf.DUMMYFUNCTION("""COMPUTED_VALUE"""),"")</f>
        <v/>
      </c>
      <c r="O104" s="87" t="str">
        <f>IFERROR(__xludf.DUMMYFUNCTION("""COMPUTED_VALUE"""),"https://drive.google.com/drive/folders/10T2cTQHqEJZqE-st6uFKPoI?usp=share_link")</f>
        <v>https://drive.google.com/drive/folders/10T2cTQHqEJZqE-st6uFKPoI?usp=share_link</v>
      </c>
      <c r="P104" s="6" t="str">
        <f>IFERROR(__xludf.DUMMYFUNCTION("""COMPUTED_VALUE"""),"Miles Jones")</f>
        <v>Miles Jones</v>
      </c>
      <c r="Q104" s="6" t="str">
        <f>IFERROR(__xludf.DUMMYFUNCTION("""COMPUTED_VALUE"""),"L2")</f>
        <v>L2</v>
      </c>
      <c r="R104" s="6">
        <f>IFERROR(__xludf.DUMMYFUNCTION("""COMPUTED_VALUE"""),2.0)</f>
        <v>2</v>
      </c>
      <c r="S104" s="6" t="str">
        <f>IFERROR(__xludf.DUMMYFUNCTION("""COMPUTED_VALUE""")," ")</f>
        <v> </v>
      </c>
      <c r="T104" s="6" t="str">
        <f>IFERROR(__xludf.DUMMYFUNCTION("""COMPUTED_VALUE"""),"")</f>
        <v/>
      </c>
      <c r="U104" s="6" t="str">
        <f>IFERROR(__xludf.DUMMYFUNCTION("""COMPUTED_VALUE"""),"5")</f>
        <v>5</v>
      </c>
      <c r="V104" s="6" t="str">
        <f>IFERROR(__xludf.DUMMYFUNCTION("""COMPUTED_VALUE"""),"")</f>
        <v/>
      </c>
      <c r="W104" s="6" t="str">
        <f>IFERROR(__xludf.DUMMYFUNCTION("""COMPUTED_VALUE"""),"[]")</f>
        <v>[]</v>
      </c>
      <c r="X104" s="6" t="str">
        <f>IFERROR(__xludf.DUMMYFUNCTION("""COMPUTED_VALUE"""),"Pending Review")</f>
        <v>Pending Review</v>
      </c>
    </row>
    <row r="105">
      <c r="A105" s="6" t="str">
        <f>IFERROR(__xludf.DUMMYFUNCTION("""COMPUTED_VALUE"""),"000-11333")</f>
        <v>000-11333</v>
      </c>
      <c r="B105" s="6" t="str">
        <f>IFERROR(__xludf.DUMMYFUNCTION("""COMPUTED_VALUE"""),"0")</f>
        <v>0</v>
      </c>
      <c r="C105" s="6" t="str">
        <f>IFERROR(__xludf.DUMMYFUNCTION("""COMPUTED_VALUE"""),"11333")</f>
        <v>11333</v>
      </c>
      <c r="D105" s="6" t="str">
        <f>IFERROR(__xludf.DUMMYFUNCTION("""COMPUTED_VALUE"""),"Hudson")</f>
        <v>Hudson</v>
      </c>
      <c r="E105" s="6" t="str">
        <f>IFERROR(__xludf.DUMMYFUNCTION("""COMPUTED_VALUE"""),"")</f>
        <v/>
      </c>
      <c r="F105" s="6" t="str">
        <f>IFERROR(__xludf.DUMMYFUNCTION("""COMPUTED_VALUE"""),"Westfall")</f>
        <v>Westfall</v>
      </c>
      <c r="G105" s="6" t="str">
        <f>IFERROR(__xludf.DUMMYFUNCTION("""COMPUTED_VALUE"""),"06/02/2016")</f>
        <v>06/02/2016</v>
      </c>
      <c r="H105" s="6" t="str">
        <f>IFERROR(__xludf.DUMMYFUNCTION("""COMPUTED_VALUE"""),"male")</f>
        <v>male</v>
      </c>
      <c r="I105" s="6" t="str">
        <f>IFERROR(__xludf.DUMMYFUNCTION("""COMPUTED_VALUE"""),"Level 2")</f>
        <v>Level 2</v>
      </c>
      <c r="J105" s="6" t="str">
        <f>IFERROR(__xludf.DUMMYFUNCTION("""COMPUTED_VALUE"""),"4")</f>
        <v>4</v>
      </c>
      <c r="K105" s="6" t="str">
        <f>IFERROR(__xludf.DUMMYFUNCTION("""COMPUTED_VALUE"""),"hudson.westfall@2hourlearning.com")</f>
        <v>hudson.westfall@2hourlearning.com</v>
      </c>
      <c r="L105" s="6" t="str">
        <f>IFERROR(__xludf.DUMMYFUNCTION("""COMPUTED_VALUE"""),"Alpha Anywhere (homeschool)")</f>
        <v>Alpha Anywhere (homeschool)</v>
      </c>
      <c r="M105" s="6" t="str">
        <f>IFERROR(__xludf.DUMMYFUNCTION("""COMPUTED_VALUE"""),"")</f>
        <v/>
      </c>
      <c r="N105" s="6" t="str">
        <f>IFERROR(__xludf.DUMMYFUNCTION("""COMPUTED_VALUE"""),"")</f>
        <v/>
      </c>
      <c r="O105" s="87" t="str">
        <f>IFERROR(__xludf.DUMMYFUNCTION("""COMPUTED_VALUE"""),"https://drive.google.com/drive/folders/10T2cTQHqEJZqE-st6uFKPoI?usp=share_link")</f>
        <v>https://drive.google.com/drive/folders/10T2cTQHqEJZqE-st6uFKPoI?usp=share_link</v>
      </c>
      <c r="P105" s="6" t="str">
        <f>IFERROR(__xludf.DUMMYFUNCTION("""COMPUTED_VALUE"""),"Hudson Westfall")</f>
        <v>Hudson Westfall</v>
      </c>
      <c r="Q105" s="6" t="str">
        <f>IFERROR(__xludf.DUMMYFUNCTION("""COMPUTED_VALUE"""),"L2")</f>
        <v>L2</v>
      </c>
      <c r="R105" s="6">
        <f>IFERROR(__xludf.DUMMYFUNCTION("""COMPUTED_VALUE"""),2.0)</f>
        <v>2</v>
      </c>
      <c r="S105" s="6" t="str">
        <f>IFERROR(__xludf.DUMMYFUNCTION("""COMPUTED_VALUE""")," ")</f>
        <v> </v>
      </c>
      <c r="T105" s="6" t="str">
        <f>IFERROR(__xludf.DUMMYFUNCTION("""COMPUTED_VALUE"""),"")</f>
        <v/>
      </c>
      <c r="U105" s="6" t="str">
        <f>IFERROR(__xludf.DUMMYFUNCTION("""COMPUTED_VALUE"""),"4")</f>
        <v>4</v>
      </c>
      <c r="V105" s="6" t="str">
        <f>IFERROR(__xludf.DUMMYFUNCTION("""COMPUTED_VALUE"""),"")</f>
        <v/>
      </c>
      <c r="W105" s="6" t="str">
        <f>IFERROR(__xludf.DUMMYFUNCTION("""COMPUTED_VALUE"""),"[]")</f>
        <v>[]</v>
      </c>
      <c r="X105" s="6" t="str">
        <f>IFERROR(__xludf.DUMMYFUNCTION("""COMPUTED_VALUE"""),"Pending Review")</f>
        <v>Pending Review</v>
      </c>
    </row>
    <row r="106">
      <c r="A106" s="6" t="str">
        <f>IFERROR(__xludf.DUMMYFUNCTION("""COMPUTED_VALUE"""),"000-11334")</f>
        <v>000-11334</v>
      </c>
      <c r="B106" s="6" t="str">
        <f>IFERROR(__xludf.DUMMYFUNCTION("""COMPUTED_VALUE"""),"0")</f>
        <v>0</v>
      </c>
      <c r="C106" s="6" t="str">
        <f>IFERROR(__xludf.DUMMYFUNCTION("""COMPUTED_VALUE"""),"11334")</f>
        <v>11334</v>
      </c>
      <c r="D106" s="6" t="str">
        <f>IFERROR(__xludf.DUMMYFUNCTION("""COMPUTED_VALUE"""),"Neil")</f>
        <v>Neil</v>
      </c>
      <c r="E106" s="6" t="str">
        <f>IFERROR(__xludf.DUMMYFUNCTION("""COMPUTED_VALUE"""),"")</f>
        <v/>
      </c>
      <c r="F106" s="6" t="str">
        <f>IFERROR(__xludf.DUMMYFUNCTION("""COMPUTED_VALUE"""),"Buehler")</f>
        <v>Buehler</v>
      </c>
      <c r="G106" s="6" t="str">
        <f>IFERROR(__xludf.DUMMYFUNCTION("""COMPUTED_VALUE"""),"01/11/2017")</f>
        <v>01/11/2017</v>
      </c>
      <c r="H106" s="6" t="str">
        <f>IFERROR(__xludf.DUMMYFUNCTION("""COMPUTED_VALUE"""),"male")</f>
        <v>male</v>
      </c>
      <c r="I106" s="6" t="str">
        <f>IFERROR(__xludf.DUMMYFUNCTION("""COMPUTED_VALUE"""),"Level 1")</f>
        <v>Level 1</v>
      </c>
      <c r="J106" s="6" t="str">
        <f>IFERROR(__xludf.DUMMYFUNCTION("""COMPUTED_VALUE"""),"3")</f>
        <v>3</v>
      </c>
      <c r="K106" s="6" t="str">
        <f>IFERROR(__xludf.DUMMYFUNCTION("""COMPUTED_VALUE"""),"neil.buehler@2hourlearning.com")</f>
        <v>neil.buehler@2hourlearning.com</v>
      </c>
      <c r="L106" s="6" t="str">
        <f>IFERROR(__xludf.DUMMYFUNCTION("""COMPUTED_VALUE"""),"Alpha Anywhere (homeschool)")</f>
        <v>Alpha Anywhere (homeschool)</v>
      </c>
      <c r="M106" s="6" t="str">
        <f>IFERROR(__xludf.DUMMYFUNCTION("""COMPUTED_VALUE"""),"")</f>
        <v/>
      </c>
      <c r="N106" s="6" t="str">
        <f>IFERROR(__xludf.DUMMYFUNCTION("""COMPUTED_VALUE"""),"")</f>
        <v/>
      </c>
      <c r="O106" s="87" t="str">
        <f>IFERROR(__xludf.DUMMYFUNCTION("""COMPUTED_VALUE"""),"https://drive.google.com/drive/folders/10T2cTQHqEJZqE-st6uFKPoI?usp=share_link")</f>
        <v>https://drive.google.com/drive/folders/10T2cTQHqEJZqE-st6uFKPoI?usp=share_link</v>
      </c>
      <c r="P106" s="6" t="str">
        <f>IFERROR(__xludf.DUMMYFUNCTION("""COMPUTED_VALUE"""),"Neil Buehler")</f>
        <v>Neil Buehler</v>
      </c>
      <c r="Q106" s="6" t="str">
        <f>IFERROR(__xludf.DUMMYFUNCTION("""COMPUTED_VALUE"""),"L1")</f>
        <v>L1</v>
      </c>
      <c r="R106" s="6">
        <f>IFERROR(__xludf.DUMMYFUNCTION("""COMPUTED_VALUE"""),1.0)</f>
        <v>1</v>
      </c>
      <c r="S106" s="6" t="str">
        <f>IFERROR(__xludf.DUMMYFUNCTION("""COMPUTED_VALUE""")," ")</f>
        <v> </v>
      </c>
      <c r="T106" s="6" t="str">
        <f>IFERROR(__xludf.DUMMYFUNCTION("""COMPUTED_VALUE"""),"")</f>
        <v/>
      </c>
      <c r="U106" s="6" t="str">
        <f>IFERROR(__xludf.DUMMYFUNCTION("""COMPUTED_VALUE"""),"3")</f>
        <v>3</v>
      </c>
      <c r="V106" s="6" t="str">
        <f>IFERROR(__xludf.DUMMYFUNCTION("""COMPUTED_VALUE"""),"")</f>
        <v/>
      </c>
      <c r="W106" s="6" t="str">
        <f>IFERROR(__xludf.DUMMYFUNCTION("""COMPUTED_VALUE"""),"[]")</f>
        <v>[]</v>
      </c>
      <c r="X106" s="6" t="str">
        <f>IFERROR(__xludf.DUMMYFUNCTION("""COMPUTED_VALUE"""),"Pending Review")</f>
        <v>Pending Review</v>
      </c>
    </row>
    <row r="107">
      <c r="A107" s="6" t="str">
        <f>IFERROR(__xludf.DUMMYFUNCTION("""COMPUTED_VALUE"""),"000-11335")</f>
        <v>000-11335</v>
      </c>
      <c r="B107" s="6" t="str">
        <f>IFERROR(__xludf.DUMMYFUNCTION("""COMPUTED_VALUE"""),"0")</f>
        <v>0</v>
      </c>
      <c r="C107" s="6" t="str">
        <f>IFERROR(__xludf.DUMMYFUNCTION("""COMPUTED_VALUE"""),"11335")</f>
        <v>11335</v>
      </c>
      <c r="D107" s="6" t="str">
        <f>IFERROR(__xludf.DUMMYFUNCTION("""COMPUTED_VALUE"""),"Alice")</f>
        <v>Alice</v>
      </c>
      <c r="E107" s="6" t="str">
        <f>IFERROR(__xludf.DUMMYFUNCTION("""COMPUTED_VALUE"""),"")</f>
        <v/>
      </c>
      <c r="F107" s="6" t="str">
        <f>IFERROR(__xludf.DUMMYFUNCTION("""COMPUTED_VALUE"""),"Margolin")</f>
        <v>Margolin</v>
      </c>
      <c r="G107" s="6" t="str">
        <f>IFERROR(__xludf.DUMMYFUNCTION("""COMPUTED_VALUE"""),"06/30/2011")</f>
        <v>06/30/2011</v>
      </c>
      <c r="H107" s="6" t="str">
        <f>IFERROR(__xludf.DUMMYFUNCTION("""COMPUTED_VALUE"""),"female")</f>
        <v>female</v>
      </c>
      <c r="I107" s="6" t="str">
        <f>IFERROR(__xludf.DUMMYFUNCTION("""COMPUTED_VALUE"""),"Middle School")</f>
        <v>Middle School</v>
      </c>
      <c r="J107" s="6" t="str">
        <f>IFERROR(__xludf.DUMMYFUNCTION("""COMPUTED_VALUE"""),"8")</f>
        <v>8</v>
      </c>
      <c r="K107" s="6" t="str">
        <f>IFERROR(__xludf.DUMMYFUNCTION("""COMPUTED_VALUE"""),"alice.margolin@2hourlearning.com")</f>
        <v>alice.margolin@2hourlearning.com</v>
      </c>
      <c r="L107" s="6" t="str">
        <f>IFERROR(__xludf.DUMMYFUNCTION("""COMPUTED_VALUE"""),"Alpha Anywhere (homeschool)")</f>
        <v>Alpha Anywhere (homeschool)</v>
      </c>
      <c r="M107" s="6" t="str">
        <f>IFERROR(__xludf.DUMMYFUNCTION("""COMPUTED_VALUE"""),"")</f>
        <v/>
      </c>
      <c r="N107" s="6" t="str">
        <f>IFERROR(__xludf.DUMMYFUNCTION("""COMPUTED_VALUE"""),"")</f>
        <v/>
      </c>
      <c r="O107" s="87" t="str">
        <f>IFERROR(__xludf.DUMMYFUNCTION("""COMPUTED_VALUE"""),"https://drive.google.com/drive/folders/10T2cTQHqEJZqE-st6uFKPoI?usp=share_link")</f>
        <v>https://drive.google.com/drive/folders/10T2cTQHqEJZqE-st6uFKPoI?usp=share_link</v>
      </c>
      <c r="P107" s="6" t="str">
        <f>IFERROR(__xludf.DUMMYFUNCTION("""COMPUTED_VALUE"""),"Alice Margolin")</f>
        <v>Alice Margolin</v>
      </c>
      <c r="Q107" s="6" t="str">
        <f>IFERROR(__xludf.DUMMYFUNCTION("""COMPUTED_VALUE"""),"MS")</f>
        <v>MS</v>
      </c>
      <c r="R107" s="6">
        <f>IFERROR(__xludf.DUMMYFUNCTION("""COMPUTED_VALUE"""),0.0)</f>
        <v>0</v>
      </c>
      <c r="S107" s="6" t="str">
        <f>IFERROR(__xludf.DUMMYFUNCTION("""COMPUTED_VALUE""")," ")</f>
        <v> </v>
      </c>
      <c r="T107" s="6" t="str">
        <f>IFERROR(__xludf.DUMMYFUNCTION("""COMPUTED_VALUE"""),"")</f>
        <v/>
      </c>
      <c r="U107" s="6" t="str">
        <f>IFERROR(__xludf.DUMMYFUNCTION("""COMPUTED_VALUE"""),"8")</f>
        <v>8</v>
      </c>
      <c r="V107" s="6" t="str">
        <f>IFERROR(__xludf.DUMMYFUNCTION("""COMPUTED_VALUE"""),"")</f>
        <v/>
      </c>
      <c r="W107" s="6" t="str">
        <f>IFERROR(__xludf.DUMMYFUNCTION("""COMPUTED_VALUE"""),"[]")</f>
        <v>[]</v>
      </c>
      <c r="X107" s="6" t="str">
        <f>IFERROR(__xludf.DUMMYFUNCTION("""COMPUTED_VALUE"""),"Pending Review")</f>
        <v>Pending Review</v>
      </c>
    </row>
    <row r="108">
      <c r="A108" s="6" t="str">
        <f>IFERROR(__xludf.DUMMYFUNCTION("""COMPUTED_VALUE"""),"000-11336")</f>
        <v>000-11336</v>
      </c>
      <c r="B108" s="6" t="str">
        <f>IFERROR(__xludf.DUMMYFUNCTION("""COMPUTED_VALUE"""),"0")</f>
        <v>0</v>
      </c>
      <c r="C108" s="6" t="str">
        <f>IFERROR(__xludf.DUMMYFUNCTION("""COMPUTED_VALUE"""),"11336")</f>
        <v>11336</v>
      </c>
      <c r="D108" s="6" t="str">
        <f>IFERROR(__xludf.DUMMYFUNCTION("""COMPUTED_VALUE"""),"Nariaki")</f>
        <v>Nariaki</v>
      </c>
      <c r="E108" s="6" t="str">
        <f>IFERROR(__xludf.DUMMYFUNCTION("""COMPUTED_VALUE"""),"")</f>
        <v/>
      </c>
      <c r="F108" s="6" t="str">
        <f>IFERROR(__xludf.DUMMYFUNCTION("""COMPUTED_VALUE"""),"Kou")</f>
        <v>Kou</v>
      </c>
      <c r="G108" s="6" t="str">
        <f>IFERROR(__xludf.DUMMYFUNCTION("""COMPUTED_VALUE"""),"12/09/2011")</f>
        <v>12/09/2011</v>
      </c>
      <c r="H108" s="6" t="str">
        <f>IFERROR(__xludf.DUMMYFUNCTION("""COMPUTED_VALUE"""),"male")</f>
        <v>male</v>
      </c>
      <c r="I108" s="6" t="str">
        <f>IFERROR(__xludf.DUMMYFUNCTION("""COMPUTED_VALUE"""),"Middle School")</f>
        <v>Middle School</v>
      </c>
      <c r="J108" s="6" t="str">
        <f>IFERROR(__xludf.DUMMYFUNCTION("""COMPUTED_VALUE"""),"7")</f>
        <v>7</v>
      </c>
      <c r="K108" s="6" t="str">
        <f>IFERROR(__xludf.DUMMYFUNCTION("""COMPUTED_VALUE"""),"nariaki.kou@2hourlearning.com")</f>
        <v>nariaki.kou@2hourlearning.com</v>
      </c>
      <c r="L108" s="6" t="str">
        <f>IFERROR(__xludf.DUMMYFUNCTION("""COMPUTED_VALUE"""),"Alpha Anywhere (homeschool)")</f>
        <v>Alpha Anywhere (homeschool)</v>
      </c>
      <c r="M108" s="6" t="str">
        <f>IFERROR(__xludf.DUMMYFUNCTION("""COMPUTED_VALUE"""),"")</f>
        <v/>
      </c>
      <c r="N108" s="6" t="str">
        <f>IFERROR(__xludf.DUMMYFUNCTION("""COMPUTED_VALUE"""),"")</f>
        <v/>
      </c>
      <c r="O108" s="87" t="str">
        <f>IFERROR(__xludf.DUMMYFUNCTION("""COMPUTED_VALUE"""),"https://drive.google.com/drive/folders/10T2cTQHqEJZqE-st6uFKPoI?usp=share_link")</f>
        <v>https://drive.google.com/drive/folders/10T2cTQHqEJZqE-st6uFKPoI?usp=share_link</v>
      </c>
      <c r="P108" s="6" t="str">
        <f>IFERROR(__xludf.DUMMYFUNCTION("""COMPUTED_VALUE"""),"Nariaki Kou")</f>
        <v>Nariaki Kou</v>
      </c>
      <c r="Q108" s="6" t="str">
        <f>IFERROR(__xludf.DUMMYFUNCTION("""COMPUTED_VALUE"""),"MS")</f>
        <v>MS</v>
      </c>
      <c r="R108" s="6">
        <f>IFERROR(__xludf.DUMMYFUNCTION("""COMPUTED_VALUE"""),0.0)</f>
        <v>0</v>
      </c>
      <c r="S108" s="6" t="str">
        <f>IFERROR(__xludf.DUMMYFUNCTION("""COMPUTED_VALUE""")," ")</f>
        <v> </v>
      </c>
      <c r="T108" s="6" t="str">
        <f>IFERROR(__xludf.DUMMYFUNCTION("""COMPUTED_VALUE"""),"")</f>
        <v/>
      </c>
      <c r="U108" s="6" t="str">
        <f>IFERROR(__xludf.DUMMYFUNCTION("""COMPUTED_VALUE"""),"7")</f>
        <v>7</v>
      </c>
      <c r="V108" s="6" t="str">
        <f>IFERROR(__xludf.DUMMYFUNCTION("""COMPUTED_VALUE"""),"")</f>
        <v/>
      </c>
      <c r="W108" s="6" t="str">
        <f>IFERROR(__xludf.DUMMYFUNCTION("""COMPUTED_VALUE"""),"[]")</f>
        <v>[]</v>
      </c>
      <c r="X108" s="6" t="str">
        <f>IFERROR(__xludf.DUMMYFUNCTION("""COMPUTED_VALUE"""),"Pending Review")</f>
        <v>Pending Review</v>
      </c>
    </row>
    <row r="109">
      <c r="A109" s="6" t="str">
        <f>IFERROR(__xludf.DUMMYFUNCTION("""COMPUTED_VALUE"""),"000-11339")</f>
        <v>000-11339</v>
      </c>
      <c r="B109" s="6" t="str">
        <f>IFERROR(__xludf.DUMMYFUNCTION("""COMPUTED_VALUE"""),"0")</f>
        <v>0</v>
      </c>
      <c r="C109" s="6" t="str">
        <f>IFERROR(__xludf.DUMMYFUNCTION("""COMPUTED_VALUE"""),"11339")</f>
        <v>11339</v>
      </c>
      <c r="D109" s="6" t="str">
        <f>IFERROR(__xludf.DUMMYFUNCTION("""COMPUTED_VALUE"""),"Haley")</f>
        <v>Haley</v>
      </c>
      <c r="E109" s="6" t="str">
        <f>IFERROR(__xludf.DUMMYFUNCTION("""COMPUTED_VALUE"""),"")</f>
        <v/>
      </c>
      <c r="F109" s="6" t="str">
        <f>IFERROR(__xludf.DUMMYFUNCTION("""COMPUTED_VALUE"""),"Terry")</f>
        <v>Terry</v>
      </c>
      <c r="G109" s="6" t="str">
        <f>IFERROR(__xludf.DUMMYFUNCTION("""COMPUTED_VALUE"""),"04/14/2014")</f>
        <v>04/14/2014</v>
      </c>
      <c r="H109" s="6" t="str">
        <f>IFERROR(__xludf.DUMMYFUNCTION("""COMPUTED_VALUE"""),"female")</f>
        <v>female</v>
      </c>
      <c r="I109" s="6" t="str">
        <f>IFERROR(__xludf.DUMMYFUNCTION("""COMPUTED_VALUE"""),"Middle School")</f>
        <v>Middle School</v>
      </c>
      <c r="J109" s="6" t="str">
        <f>IFERROR(__xludf.DUMMYFUNCTION("""COMPUTED_VALUE"""),"6")</f>
        <v>6</v>
      </c>
      <c r="K109" s="6" t="str">
        <f>IFERROR(__xludf.DUMMYFUNCTION("""COMPUTED_VALUE"""),"haley.terry@2hourlearning.com")</f>
        <v>haley.terry@2hourlearning.com</v>
      </c>
      <c r="L109" s="6" t="str">
        <f>IFERROR(__xludf.DUMMYFUNCTION("""COMPUTED_VALUE"""),"Alpha Anywhere (homeschool)")</f>
        <v>Alpha Anywhere (homeschool)</v>
      </c>
      <c r="M109" s="6" t="str">
        <f>IFERROR(__xludf.DUMMYFUNCTION("""COMPUTED_VALUE"""),"")</f>
        <v/>
      </c>
      <c r="N109" s="6" t="str">
        <f>IFERROR(__xludf.DUMMYFUNCTION("""COMPUTED_VALUE"""),"")</f>
        <v/>
      </c>
      <c r="O109" s="87" t="str">
        <f>IFERROR(__xludf.DUMMYFUNCTION("""COMPUTED_VALUE"""),"https://drive.google.com/drive/folders/10T2cTQHqEJZqE-st6uFKPoI?usp=share_link")</f>
        <v>https://drive.google.com/drive/folders/10T2cTQHqEJZqE-st6uFKPoI?usp=share_link</v>
      </c>
      <c r="P109" s="6" t="str">
        <f>IFERROR(__xludf.DUMMYFUNCTION("""COMPUTED_VALUE"""),"Haley Terry")</f>
        <v>Haley Terry</v>
      </c>
      <c r="Q109" s="6" t="str">
        <f>IFERROR(__xludf.DUMMYFUNCTION("""COMPUTED_VALUE"""),"MS")</f>
        <v>MS</v>
      </c>
      <c r="R109" s="6">
        <f>IFERROR(__xludf.DUMMYFUNCTION("""COMPUTED_VALUE"""),0.0)</f>
        <v>0</v>
      </c>
      <c r="S109" s="6" t="str">
        <f>IFERROR(__xludf.DUMMYFUNCTION("""COMPUTED_VALUE""")," ")</f>
        <v> </v>
      </c>
      <c r="T109" s="6" t="str">
        <f>IFERROR(__xludf.DUMMYFUNCTION("""COMPUTED_VALUE"""),"")</f>
        <v/>
      </c>
      <c r="U109" s="6" t="str">
        <f>IFERROR(__xludf.DUMMYFUNCTION("""COMPUTED_VALUE"""),"6")</f>
        <v>6</v>
      </c>
      <c r="V109" s="6" t="str">
        <f>IFERROR(__xludf.DUMMYFUNCTION("""COMPUTED_VALUE"""),"")</f>
        <v/>
      </c>
      <c r="W109" s="6" t="str">
        <f>IFERROR(__xludf.DUMMYFUNCTION("""COMPUTED_VALUE"""),"[]")</f>
        <v>[]</v>
      </c>
      <c r="X109" s="6" t="str">
        <f>IFERROR(__xludf.DUMMYFUNCTION("""COMPUTED_VALUE"""),"Pending Review")</f>
        <v>Pending Review</v>
      </c>
    </row>
    <row r="110">
      <c r="A110" s="6" t="str">
        <f>IFERROR(__xludf.DUMMYFUNCTION("""COMPUTED_VALUE"""),"000-11340")</f>
        <v>000-11340</v>
      </c>
      <c r="B110" s="6" t="str">
        <f>IFERROR(__xludf.DUMMYFUNCTION("""COMPUTED_VALUE"""),"0")</f>
        <v>0</v>
      </c>
      <c r="C110" s="6" t="str">
        <f>IFERROR(__xludf.DUMMYFUNCTION("""COMPUTED_VALUE"""),"11340")</f>
        <v>11340</v>
      </c>
      <c r="D110" s="6" t="str">
        <f>IFERROR(__xludf.DUMMYFUNCTION("""COMPUTED_VALUE"""),"Mirren")</f>
        <v>Mirren</v>
      </c>
      <c r="E110" s="6" t="str">
        <f>IFERROR(__xludf.DUMMYFUNCTION("""COMPUTED_VALUE"""),"")</f>
        <v/>
      </c>
      <c r="F110" s="6" t="str">
        <f>IFERROR(__xludf.DUMMYFUNCTION("""COMPUTED_VALUE"""),"Morehead")</f>
        <v>Morehead</v>
      </c>
      <c r="G110" s="6" t="str">
        <f>IFERROR(__xludf.DUMMYFUNCTION("""COMPUTED_VALUE"""),"07/13/2013")</f>
        <v>07/13/2013</v>
      </c>
      <c r="H110" s="6" t="str">
        <f>IFERROR(__xludf.DUMMYFUNCTION("""COMPUTED_VALUE"""),"female")</f>
        <v>female</v>
      </c>
      <c r="I110" s="6" t="str">
        <f>IFERROR(__xludf.DUMMYFUNCTION("""COMPUTED_VALUE"""),"Middle School")</f>
        <v>Middle School</v>
      </c>
      <c r="J110" s="6" t="str">
        <f>IFERROR(__xludf.DUMMYFUNCTION("""COMPUTED_VALUE"""),"7")</f>
        <v>7</v>
      </c>
      <c r="K110" s="6" t="str">
        <f>IFERROR(__xludf.DUMMYFUNCTION("""COMPUTED_VALUE"""),"mirren.morehead@2hourlearning.com")</f>
        <v>mirren.morehead@2hourlearning.com</v>
      </c>
      <c r="L110" s="6" t="str">
        <f>IFERROR(__xludf.DUMMYFUNCTION("""COMPUTED_VALUE"""),"Alpha Anywhere (homeschool)")</f>
        <v>Alpha Anywhere (homeschool)</v>
      </c>
      <c r="M110" s="6" t="str">
        <f>IFERROR(__xludf.DUMMYFUNCTION("""COMPUTED_VALUE"""),"")</f>
        <v/>
      </c>
      <c r="N110" s="6" t="str">
        <f>IFERROR(__xludf.DUMMYFUNCTION("""COMPUTED_VALUE"""),"")</f>
        <v/>
      </c>
      <c r="O110" s="87" t="str">
        <f>IFERROR(__xludf.DUMMYFUNCTION("""COMPUTED_VALUE"""),"https://drive.google.com/drive/folders/10T2cTQHqEJZqE-st6uFKPoI?usp=share_link")</f>
        <v>https://drive.google.com/drive/folders/10T2cTQHqEJZqE-st6uFKPoI?usp=share_link</v>
      </c>
      <c r="P110" s="6" t="str">
        <f>IFERROR(__xludf.DUMMYFUNCTION("""COMPUTED_VALUE"""),"Mirren Morehead")</f>
        <v>Mirren Morehead</v>
      </c>
      <c r="Q110" s="6" t="str">
        <f>IFERROR(__xludf.DUMMYFUNCTION("""COMPUTED_VALUE"""),"MS")</f>
        <v>MS</v>
      </c>
      <c r="R110" s="6">
        <f>IFERROR(__xludf.DUMMYFUNCTION("""COMPUTED_VALUE"""),0.0)</f>
        <v>0</v>
      </c>
      <c r="S110" s="6" t="str">
        <f>IFERROR(__xludf.DUMMYFUNCTION("""COMPUTED_VALUE""")," ")</f>
        <v> </v>
      </c>
      <c r="T110" s="6" t="str">
        <f>IFERROR(__xludf.DUMMYFUNCTION("""COMPUTED_VALUE"""),"")</f>
        <v/>
      </c>
      <c r="U110" s="6" t="str">
        <f>IFERROR(__xludf.DUMMYFUNCTION("""COMPUTED_VALUE"""),"7")</f>
        <v>7</v>
      </c>
      <c r="V110" s="6" t="str">
        <f>IFERROR(__xludf.DUMMYFUNCTION("""COMPUTED_VALUE"""),"")</f>
        <v/>
      </c>
      <c r="W110" s="6" t="str">
        <f>IFERROR(__xludf.DUMMYFUNCTION("""COMPUTED_VALUE"""),"[]")</f>
        <v>[]</v>
      </c>
      <c r="X110" s="6" t="str">
        <f>IFERROR(__xludf.DUMMYFUNCTION("""COMPUTED_VALUE"""),"Pending Review")</f>
        <v>Pending Review</v>
      </c>
    </row>
    <row r="111">
      <c r="A111" s="6" t="str">
        <f>IFERROR(__xludf.DUMMYFUNCTION("""COMPUTED_VALUE"""),"000-11368")</f>
        <v>000-11368</v>
      </c>
      <c r="B111" s="6" t="str">
        <f>IFERROR(__xludf.DUMMYFUNCTION("""COMPUTED_VALUE"""),"0")</f>
        <v>0</v>
      </c>
      <c r="C111" s="6" t="str">
        <f>IFERROR(__xludf.DUMMYFUNCTION("""COMPUTED_VALUE"""),"11368")</f>
        <v>11368</v>
      </c>
      <c r="D111" s="6" t="str">
        <f>IFERROR(__xludf.DUMMYFUNCTION("""COMPUTED_VALUE"""),"Summer")</f>
        <v>Summer</v>
      </c>
      <c r="E111" s="6" t="str">
        <f>IFERROR(__xludf.DUMMYFUNCTION("""COMPUTED_VALUE"""),"")</f>
        <v/>
      </c>
      <c r="F111" s="6" t="str">
        <f>IFERROR(__xludf.DUMMYFUNCTION("""COMPUTED_VALUE"""),"Thompson")</f>
        <v>Thompson</v>
      </c>
      <c r="G111" s="6" t="str">
        <f>IFERROR(__xludf.DUMMYFUNCTION("""COMPUTED_VALUE"""),"06/30/2014")</f>
        <v>06/30/2014</v>
      </c>
      <c r="H111" s="6" t="str">
        <f>IFERROR(__xludf.DUMMYFUNCTION("""COMPUTED_VALUE"""),"female")</f>
        <v>female</v>
      </c>
      <c r="I111" s="6" t="str">
        <f>IFERROR(__xludf.DUMMYFUNCTION("""COMPUTED_VALUE"""),"Level 2")</f>
        <v>Level 2</v>
      </c>
      <c r="J111" s="6" t="str">
        <f>IFERROR(__xludf.DUMMYFUNCTION("""COMPUTED_VALUE"""),"5")</f>
        <v>5</v>
      </c>
      <c r="K111" s="6" t="str">
        <f>IFERROR(__xludf.DUMMYFUNCTION("""COMPUTED_VALUE"""),"summer.thompson@2hourlearning.com")</f>
        <v>summer.thompson@2hourlearning.com</v>
      </c>
      <c r="L111" s="6" t="str">
        <f>IFERROR(__xludf.DUMMYFUNCTION("""COMPUTED_VALUE"""),"Alpha Anywhere (homeschool)")</f>
        <v>Alpha Anywhere (homeschool)</v>
      </c>
      <c r="M111" s="6" t="str">
        <f>IFERROR(__xludf.DUMMYFUNCTION("""COMPUTED_VALUE"""),"")</f>
        <v/>
      </c>
      <c r="N111" s="6" t="str">
        <f>IFERROR(__xludf.DUMMYFUNCTION("""COMPUTED_VALUE"""),"")</f>
        <v/>
      </c>
      <c r="O111" s="87" t="str">
        <f>IFERROR(__xludf.DUMMYFUNCTION("""COMPUTED_VALUE"""),"https://drive.google.com/drive/folders/10T2cTQHqEJZqE-st6uFKPoI?usp=share_link")</f>
        <v>https://drive.google.com/drive/folders/10T2cTQHqEJZqE-st6uFKPoI?usp=share_link</v>
      </c>
      <c r="P111" s="6" t="str">
        <f>IFERROR(__xludf.DUMMYFUNCTION("""COMPUTED_VALUE"""),"Summer Thompson")</f>
        <v>Summer Thompson</v>
      </c>
      <c r="Q111" s="6" t="str">
        <f>IFERROR(__xludf.DUMMYFUNCTION("""COMPUTED_VALUE"""),"L2")</f>
        <v>L2</v>
      </c>
      <c r="R111" s="6">
        <f>IFERROR(__xludf.DUMMYFUNCTION("""COMPUTED_VALUE"""),2.0)</f>
        <v>2</v>
      </c>
      <c r="S111" s="6" t="str">
        <f>IFERROR(__xludf.DUMMYFUNCTION("""COMPUTED_VALUE""")," ")</f>
        <v> </v>
      </c>
      <c r="T111" s="6" t="str">
        <f>IFERROR(__xludf.DUMMYFUNCTION("""COMPUTED_VALUE"""),"")</f>
        <v/>
      </c>
      <c r="U111" s="6" t="str">
        <f>IFERROR(__xludf.DUMMYFUNCTION("""COMPUTED_VALUE"""),"5")</f>
        <v>5</v>
      </c>
      <c r="V111" s="6" t="str">
        <f>IFERROR(__xludf.DUMMYFUNCTION("""COMPUTED_VALUE"""),"")</f>
        <v/>
      </c>
      <c r="W111" s="6" t="str">
        <f>IFERROR(__xludf.DUMMYFUNCTION("""COMPUTED_VALUE"""),"[]")</f>
        <v>[]</v>
      </c>
      <c r="X111" s="6" t="str">
        <f>IFERROR(__xludf.DUMMYFUNCTION("""COMPUTED_VALUE"""),"Pending Review")</f>
        <v>Pending Review</v>
      </c>
    </row>
    <row r="112">
      <c r="A112" s="6" t="str">
        <f>IFERROR(__xludf.DUMMYFUNCTION("""COMPUTED_VALUE"""),"000-11370")</f>
        <v>000-11370</v>
      </c>
      <c r="B112" s="6" t="str">
        <f>IFERROR(__xludf.DUMMYFUNCTION("""COMPUTED_VALUE"""),"0")</f>
        <v>0</v>
      </c>
      <c r="C112" s="6" t="str">
        <f>IFERROR(__xludf.DUMMYFUNCTION("""COMPUTED_VALUE"""),"11370")</f>
        <v>11370</v>
      </c>
      <c r="D112" s="6" t="str">
        <f>IFERROR(__xludf.DUMMYFUNCTION("""COMPUTED_VALUE"""),"Lara")</f>
        <v>Lara</v>
      </c>
      <c r="E112" s="6" t="str">
        <f>IFERROR(__xludf.DUMMYFUNCTION("""COMPUTED_VALUE"""),"")</f>
        <v/>
      </c>
      <c r="F112" s="6" t="str">
        <f>IFERROR(__xludf.DUMMYFUNCTION("""COMPUTED_VALUE"""),"Villamil")</f>
        <v>Villamil</v>
      </c>
      <c r="G112" s="6" t="str">
        <f>IFERROR(__xludf.DUMMYFUNCTION("""COMPUTED_VALUE"""),"04/10/2014")</f>
        <v>04/10/2014</v>
      </c>
      <c r="H112" s="6" t="str">
        <f>IFERROR(__xludf.DUMMYFUNCTION("""COMPUTED_VALUE"""),"female")</f>
        <v>female</v>
      </c>
      <c r="I112" s="6" t="str">
        <f>IFERROR(__xludf.DUMMYFUNCTION("""COMPUTED_VALUE"""),"Middle School")</f>
        <v>Middle School</v>
      </c>
      <c r="J112" s="6" t="str">
        <f>IFERROR(__xludf.DUMMYFUNCTION("""COMPUTED_VALUE"""),"6")</f>
        <v>6</v>
      </c>
      <c r="K112" s="6" t="str">
        <f>IFERROR(__xludf.DUMMYFUNCTION("""COMPUTED_VALUE"""),"lara.villamil@2hourlearning.com")</f>
        <v>lara.villamil@2hourlearning.com</v>
      </c>
      <c r="L112" s="6" t="str">
        <f>IFERROR(__xludf.DUMMYFUNCTION("""COMPUTED_VALUE"""),"Alpha Anywhere (homeschool)")</f>
        <v>Alpha Anywhere (homeschool)</v>
      </c>
      <c r="M112" s="6" t="str">
        <f>IFERROR(__xludf.DUMMYFUNCTION("""COMPUTED_VALUE"""),"")</f>
        <v/>
      </c>
      <c r="N112" s="6" t="str">
        <f>IFERROR(__xludf.DUMMYFUNCTION("""COMPUTED_VALUE"""),"")</f>
        <v/>
      </c>
      <c r="O112" s="87" t="str">
        <f>IFERROR(__xludf.DUMMYFUNCTION("""COMPUTED_VALUE"""),"https://drive.google.com/drive/folders/10T2cTQHqEJZqE-st6uFKPoI?usp=share_link")</f>
        <v>https://drive.google.com/drive/folders/10T2cTQHqEJZqE-st6uFKPoI?usp=share_link</v>
      </c>
      <c r="P112" s="6" t="str">
        <f>IFERROR(__xludf.DUMMYFUNCTION("""COMPUTED_VALUE"""),"Lara Villamil")</f>
        <v>Lara Villamil</v>
      </c>
      <c r="Q112" s="6" t="str">
        <f>IFERROR(__xludf.DUMMYFUNCTION("""COMPUTED_VALUE"""),"MS")</f>
        <v>MS</v>
      </c>
      <c r="R112" s="6">
        <f>IFERROR(__xludf.DUMMYFUNCTION("""COMPUTED_VALUE"""),0.0)</f>
        <v>0</v>
      </c>
      <c r="S112" s="6" t="str">
        <f>IFERROR(__xludf.DUMMYFUNCTION("""COMPUTED_VALUE""")," ")</f>
        <v> </v>
      </c>
      <c r="T112" s="6" t="str">
        <f>IFERROR(__xludf.DUMMYFUNCTION("""COMPUTED_VALUE"""),"")</f>
        <v/>
      </c>
      <c r="U112" s="6" t="str">
        <f>IFERROR(__xludf.DUMMYFUNCTION("""COMPUTED_VALUE"""),"6")</f>
        <v>6</v>
      </c>
      <c r="V112" s="6" t="str">
        <f>IFERROR(__xludf.DUMMYFUNCTION("""COMPUTED_VALUE"""),"")</f>
        <v/>
      </c>
      <c r="W112" s="6" t="str">
        <f>IFERROR(__xludf.DUMMYFUNCTION("""COMPUTED_VALUE"""),"[]")</f>
        <v>[]</v>
      </c>
      <c r="X112" s="6" t="str">
        <f>IFERROR(__xludf.DUMMYFUNCTION("""COMPUTED_VALUE"""),"Pending Review")</f>
        <v>Pending Review</v>
      </c>
    </row>
    <row r="113">
      <c r="A113" s="6" t="str">
        <f>IFERROR(__xludf.DUMMYFUNCTION("""COMPUTED_VALUE"""),"000-11371")</f>
        <v>000-11371</v>
      </c>
      <c r="B113" s="6" t="str">
        <f>IFERROR(__xludf.DUMMYFUNCTION("""COMPUTED_VALUE"""),"0")</f>
        <v>0</v>
      </c>
      <c r="C113" s="6" t="str">
        <f>IFERROR(__xludf.DUMMYFUNCTION("""COMPUTED_VALUE"""),"11371")</f>
        <v>11371</v>
      </c>
      <c r="D113" s="6" t="str">
        <f>IFERROR(__xludf.DUMMYFUNCTION("""COMPUTED_VALUE"""),"Matteo")</f>
        <v>Matteo</v>
      </c>
      <c r="E113" s="6" t="str">
        <f>IFERROR(__xludf.DUMMYFUNCTION("""COMPUTED_VALUE"""),"")</f>
        <v/>
      </c>
      <c r="F113" s="6" t="str">
        <f>IFERROR(__xludf.DUMMYFUNCTION("""COMPUTED_VALUE"""),"Villamil")</f>
        <v>Villamil</v>
      </c>
      <c r="G113" s="6" t="str">
        <f>IFERROR(__xludf.DUMMYFUNCTION("""COMPUTED_VALUE"""),"09/30/2015")</f>
        <v>09/30/2015</v>
      </c>
      <c r="H113" s="6" t="str">
        <f>IFERROR(__xludf.DUMMYFUNCTION("""COMPUTED_VALUE"""),"male")</f>
        <v>male</v>
      </c>
      <c r="I113" s="6" t="str">
        <f>IFERROR(__xludf.DUMMYFUNCTION("""COMPUTED_VALUE"""),"Level 2")</f>
        <v>Level 2</v>
      </c>
      <c r="J113" s="6" t="str">
        <f>IFERROR(__xludf.DUMMYFUNCTION("""COMPUTED_VALUE"""),"5")</f>
        <v>5</v>
      </c>
      <c r="K113" s="6" t="str">
        <f>IFERROR(__xludf.DUMMYFUNCTION("""COMPUTED_VALUE"""),"matteo.villamil@2hourlearning.com")</f>
        <v>matteo.villamil@2hourlearning.com</v>
      </c>
      <c r="L113" s="6" t="str">
        <f>IFERROR(__xludf.DUMMYFUNCTION("""COMPUTED_VALUE"""),"Alpha Anywhere (homeschool)")</f>
        <v>Alpha Anywhere (homeschool)</v>
      </c>
      <c r="M113" s="6" t="str">
        <f>IFERROR(__xludf.DUMMYFUNCTION("""COMPUTED_VALUE"""),"")</f>
        <v/>
      </c>
      <c r="N113" s="6" t="str">
        <f>IFERROR(__xludf.DUMMYFUNCTION("""COMPUTED_VALUE"""),"")</f>
        <v/>
      </c>
      <c r="O113" s="87" t="str">
        <f>IFERROR(__xludf.DUMMYFUNCTION("""COMPUTED_VALUE"""),"https://drive.google.com/drive/folders/10T2cTQHqEJZqE-st6uFKPoI?usp=share_link")</f>
        <v>https://drive.google.com/drive/folders/10T2cTQHqEJZqE-st6uFKPoI?usp=share_link</v>
      </c>
      <c r="P113" s="6" t="str">
        <f>IFERROR(__xludf.DUMMYFUNCTION("""COMPUTED_VALUE"""),"Matteo Villamil")</f>
        <v>Matteo Villamil</v>
      </c>
      <c r="Q113" s="6" t="str">
        <f>IFERROR(__xludf.DUMMYFUNCTION("""COMPUTED_VALUE"""),"L2")</f>
        <v>L2</v>
      </c>
      <c r="R113" s="6">
        <f>IFERROR(__xludf.DUMMYFUNCTION("""COMPUTED_VALUE"""),2.0)</f>
        <v>2</v>
      </c>
      <c r="S113" s="6" t="str">
        <f>IFERROR(__xludf.DUMMYFUNCTION("""COMPUTED_VALUE""")," ")</f>
        <v> </v>
      </c>
      <c r="T113" s="6" t="str">
        <f>IFERROR(__xludf.DUMMYFUNCTION("""COMPUTED_VALUE"""),"")</f>
        <v/>
      </c>
      <c r="U113" s="6" t="str">
        <f>IFERROR(__xludf.DUMMYFUNCTION("""COMPUTED_VALUE"""),"5")</f>
        <v>5</v>
      </c>
      <c r="V113" s="6" t="str">
        <f>IFERROR(__xludf.DUMMYFUNCTION("""COMPUTED_VALUE"""),"")</f>
        <v/>
      </c>
      <c r="W113" s="6" t="str">
        <f>IFERROR(__xludf.DUMMYFUNCTION("""COMPUTED_VALUE"""),"[]")</f>
        <v>[]</v>
      </c>
      <c r="X113" s="6" t="str">
        <f>IFERROR(__xludf.DUMMYFUNCTION("""COMPUTED_VALUE"""),"Pending Review")</f>
        <v>Pending Review</v>
      </c>
    </row>
    <row r="114">
      <c r="A114" s="6" t="str">
        <f>IFERROR(__xludf.DUMMYFUNCTION("""COMPUTED_VALUE"""),"000-11374")</f>
        <v>000-11374</v>
      </c>
      <c r="B114" s="6" t="str">
        <f>IFERROR(__xludf.DUMMYFUNCTION("""COMPUTED_VALUE"""),"0")</f>
        <v>0</v>
      </c>
      <c r="C114" s="6" t="str">
        <f>IFERROR(__xludf.DUMMYFUNCTION("""COMPUTED_VALUE"""),"11374")</f>
        <v>11374</v>
      </c>
      <c r="D114" s="6" t="str">
        <f>IFERROR(__xludf.DUMMYFUNCTION("""COMPUTED_VALUE"""),"Douglas")</f>
        <v>Douglas</v>
      </c>
      <c r="E114" s="6" t="str">
        <f>IFERROR(__xludf.DUMMYFUNCTION("""COMPUTED_VALUE"""),"")</f>
        <v/>
      </c>
      <c r="F114" s="6" t="str">
        <f>IFERROR(__xludf.DUMMYFUNCTION("""COMPUTED_VALUE"""),"Buehler")</f>
        <v>Buehler</v>
      </c>
      <c r="G114" s="6" t="str">
        <f>IFERROR(__xludf.DUMMYFUNCTION("""COMPUTED_VALUE"""),"01/06/2016")</f>
        <v>01/06/2016</v>
      </c>
      <c r="H114" s="6" t="str">
        <f>IFERROR(__xludf.DUMMYFUNCTION("""COMPUTED_VALUE"""),"male")</f>
        <v>male</v>
      </c>
      <c r="I114" s="6" t="str">
        <f>IFERROR(__xludf.DUMMYFUNCTION("""COMPUTED_VALUE"""),"Level 2")</f>
        <v>Level 2</v>
      </c>
      <c r="J114" s="6" t="str">
        <f>IFERROR(__xludf.DUMMYFUNCTION("""COMPUTED_VALUE"""),"4")</f>
        <v>4</v>
      </c>
      <c r="K114" s="6" t="str">
        <f>IFERROR(__xludf.DUMMYFUNCTION("""COMPUTED_VALUE"""),"douglas.buehler@2hourlearning.com")</f>
        <v>douglas.buehler@2hourlearning.com</v>
      </c>
      <c r="L114" s="6" t="str">
        <f>IFERROR(__xludf.DUMMYFUNCTION("""COMPUTED_VALUE"""),"Alpha Anywhere (homeschool)")</f>
        <v>Alpha Anywhere (homeschool)</v>
      </c>
      <c r="M114" s="6" t="str">
        <f>IFERROR(__xludf.DUMMYFUNCTION("""COMPUTED_VALUE"""),"")</f>
        <v/>
      </c>
      <c r="N114" s="6" t="str">
        <f>IFERROR(__xludf.DUMMYFUNCTION("""COMPUTED_VALUE"""),"")</f>
        <v/>
      </c>
      <c r="O114" s="87" t="str">
        <f>IFERROR(__xludf.DUMMYFUNCTION("""COMPUTED_VALUE"""),"https://drive.google.com/drive/folders/10T2cTQHqEJZqE-st6uFKPoI?usp=share_link")</f>
        <v>https://drive.google.com/drive/folders/10T2cTQHqEJZqE-st6uFKPoI?usp=share_link</v>
      </c>
      <c r="P114" s="6" t="str">
        <f>IFERROR(__xludf.DUMMYFUNCTION("""COMPUTED_VALUE"""),"Douglas Buehler")</f>
        <v>Douglas Buehler</v>
      </c>
      <c r="Q114" s="6" t="str">
        <f>IFERROR(__xludf.DUMMYFUNCTION("""COMPUTED_VALUE"""),"L2")</f>
        <v>L2</v>
      </c>
      <c r="R114" s="6">
        <f>IFERROR(__xludf.DUMMYFUNCTION("""COMPUTED_VALUE"""),2.0)</f>
        <v>2</v>
      </c>
      <c r="S114" s="6" t="str">
        <f>IFERROR(__xludf.DUMMYFUNCTION("""COMPUTED_VALUE""")," ")</f>
        <v> </v>
      </c>
      <c r="T114" s="6" t="str">
        <f>IFERROR(__xludf.DUMMYFUNCTION("""COMPUTED_VALUE"""),"")</f>
        <v/>
      </c>
      <c r="U114" s="6" t="str">
        <f>IFERROR(__xludf.DUMMYFUNCTION("""COMPUTED_VALUE"""),"4")</f>
        <v>4</v>
      </c>
      <c r="V114" s="6" t="str">
        <f>IFERROR(__xludf.DUMMYFUNCTION("""COMPUTED_VALUE"""),"")</f>
        <v/>
      </c>
      <c r="W114" s="6" t="str">
        <f>IFERROR(__xludf.DUMMYFUNCTION("""COMPUTED_VALUE"""),"[]")</f>
        <v>[]</v>
      </c>
      <c r="X114" s="6" t="str">
        <f>IFERROR(__xludf.DUMMYFUNCTION("""COMPUTED_VALUE"""),"Pending Review")</f>
        <v>Pending Review</v>
      </c>
    </row>
    <row r="115">
      <c r="A115" s="6" t="str">
        <f>IFERROR(__xludf.DUMMYFUNCTION("""COMPUTED_VALUE"""),"000-11375")</f>
        <v>000-11375</v>
      </c>
      <c r="B115" s="6" t="str">
        <f>IFERROR(__xludf.DUMMYFUNCTION("""COMPUTED_VALUE"""),"0")</f>
        <v>0</v>
      </c>
      <c r="C115" s="6" t="str">
        <f>IFERROR(__xludf.DUMMYFUNCTION("""COMPUTED_VALUE"""),"11375")</f>
        <v>11375</v>
      </c>
      <c r="D115" s="6" t="str">
        <f>IFERROR(__xludf.DUMMYFUNCTION("""COMPUTED_VALUE"""),"Leah")</f>
        <v>Leah</v>
      </c>
      <c r="E115" s="6" t="str">
        <f>IFERROR(__xludf.DUMMYFUNCTION("""COMPUTED_VALUE"""),"")</f>
        <v/>
      </c>
      <c r="F115" s="6" t="str">
        <f>IFERROR(__xludf.DUMMYFUNCTION("""COMPUTED_VALUE"""),"Moreland")</f>
        <v>Moreland</v>
      </c>
      <c r="G115" s="6" t="str">
        <f>IFERROR(__xludf.DUMMYFUNCTION("""COMPUTED_VALUE"""),"09/07/2017")</f>
        <v>09/07/2017</v>
      </c>
      <c r="H115" s="6" t="str">
        <f>IFERROR(__xludf.DUMMYFUNCTION("""COMPUTED_VALUE"""),"female")</f>
        <v>female</v>
      </c>
      <c r="I115" s="6" t="str">
        <f>IFERROR(__xludf.DUMMYFUNCTION("""COMPUTED_VALUE"""),"Level 1")</f>
        <v>Level 1</v>
      </c>
      <c r="J115" s="6" t="str">
        <f>IFERROR(__xludf.DUMMYFUNCTION("""COMPUTED_VALUE"""),"3")</f>
        <v>3</v>
      </c>
      <c r="K115" s="6" t="str">
        <f>IFERROR(__xludf.DUMMYFUNCTION("""COMPUTED_VALUE"""),"leah.moreland@2hourlearning.com")</f>
        <v>leah.moreland@2hourlearning.com</v>
      </c>
      <c r="L115" s="6" t="str">
        <f>IFERROR(__xludf.DUMMYFUNCTION("""COMPUTED_VALUE"""),"Alpha Anywhere (homeschool)")</f>
        <v>Alpha Anywhere (homeschool)</v>
      </c>
      <c r="M115" s="6" t="str">
        <f>IFERROR(__xludf.DUMMYFUNCTION("""COMPUTED_VALUE"""),"")</f>
        <v/>
      </c>
      <c r="N115" s="6" t="str">
        <f>IFERROR(__xludf.DUMMYFUNCTION("""COMPUTED_VALUE"""),"")</f>
        <v/>
      </c>
      <c r="O115" s="87" t="str">
        <f>IFERROR(__xludf.DUMMYFUNCTION("""COMPUTED_VALUE"""),"https://drive.google.com/drive/folders/10T2cTQHqEJZqE-st6uFKPoI?usp=share_link")</f>
        <v>https://drive.google.com/drive/folders/10T2cTQHqEJZqE-st6uFKPoI?usp=share_link</v>
      </c>
      <c r="P115" s="6" t="str">
        <f>IFERROR(__xludf.DUMMYFUNCTION("""COMPUTED_VALUE"""),"Leah Moreland")</f>
        <v>Leah Moreland</v>
      </c>
      <c r="Q115" s="6" t="str">
        <f>IFERROR(__xludf.DUMMYFUNCTION("""COMPUTED_VALUE"""),"L1")</f>
        <v>L1</v>
      </c>
      <c r="R115" s="6">
        <f>IFERROR(__xludf.DUMMYFUNCTION("""COMPUTED_VALUE"""),1.0)</f>
        <v>1</v>
      </c>
      <c r="S115" s="6" t="str">
        <f>IFERROR(__xludf.DUMMYFUNCTION("""COMPUTED_VALUE""")," ")</f>
        <v> </v>
      </c>
      <c r="T115" s="6" t="str">
        <f>IFERROR(__xludf.DUMMYFUNCTION("""COMPUTED_VALUE"""),"")</f>
        <v/>
      </c>
      <c r="U115" s="6" t="str">
        <f>IFERROR(__xludf.DUMMYFUNCTION("""COMPUTED_VALUE"""),"3")</f>
        <v>3</v>
      </c>
      <c r="V115" s="6" t="str">
        <f>IFERROR(__xludf.DUMMYFUNCTION("""COMPUTED_VALUE"""),"")</f>
        <v/>
      </c>
      <c r="W115" s="6" t="str">
        <f>IFERROR(__xludf.DUMMYFUNCTION("""COMPUTED_VALUE"""),"[]")</f>
        <v>[]</v>
      </c>
      <c r="X115" s="6" t="str">
        <f>IFERROR(__xludf.DUMMYFUNCTION("""COMPUTED_VALUE"""),"Pending Review")</f>
        <v>Pending Review</v>
      </c>
    </row>
    <row r="116">
      <c r="A116" s="6" t="str">
        <f>IFERROR(__xludf.DUMMYFUNCTION("""COMPUTED_VALUE"""),"000-11376")</f>
        <v>000-11376</v>
      </c>
      <c r="B116" s="6" t="str">
        <f>IFERROR(__xludf.DUMMYFUNCTION("""COMPUTED_VALUE"""),"0")</f>
        <v>0</v>
      </c>
      <c r="C116" s="6" t="str">
        <f>IFERROR(__xludf.DUMMYFUNCTION("""COMPUTED_VALUE"""),"11376")</f>
        <v>11376</v>
      </c>
      <c r="D116" s="6" t="str">
        <f>IFERROR(__xludf.DUMMYFUNCTION("""COMPUTED_VALUE"""),"Cydney")</f>
        <v>Cydney</v>
      </c>
      <c r="E116" s="6" t="str">
        <f>IFERROR(__xludf.DUMMYFUNCTION("""COMPUTED_VALUE"""),"")</f>
        <v/>
      </c>
      <c r="F116" s="6" t="str">
        <f>IFERROR(__xludf.DUMMYFUNCTION("""COMPUTED_VALUE"""),"Langhorn")</f>
        <v>Langhorn</v>
      </c>
      <c r="G116" s="6" t="str">
        <f>IFERROR(__xludf.DUMMYFUNCTION("""COMPUTED_VALUE"""),"04/17/2012")</f>
        <v>04/17/2012</v>
      </c>
      <c r="H116" s="6" t="str">
        <f>IFERROR(__xludf.DUMMYFUNCTION("""COMPUTED_VALUE"""),"unspecified")</f>
        <v>unspecified</v>
      </c>
      <c r="I116" s="6" t="str">
        <f>IFERROR(__xludf.DUMMYFUNCTION("""COMPUTED_VALUE"""),"Middle School")</f>
        <v>Middle School</v>
      </c>
      <c r="J116" s="6" t="str">
        <f>IFERROR(__xludf.DUMMYFUNCTION("""COMPUTED_VALUE"""),"8")</f>
        <v>8</v>
      </c>
      <c r="K116" s="6" t="str">
        <f>IFERROR(__xludf.DUMMYFUNCTION("""COMPUTED_VALUE"""),"cydney.langhorn@2hourlearning.com")</f>
        <v>cydney.langhorn@2hourlearning.com</v>
      </c>
      <c r="L116" s="6" t="str">
        <f>IFERROR(__xludf.DUMMYFUNCTION("""COMPUTED_VALUE"""),"Alpha Anywhere (homeschool)")</f>
        <v>Alpha Anywhere (homeschool)</v>
      </c>
      <c r="M116" s="6" t="str">
        <f>IFERROR(__xludf.DUMMYFUNCTION("""COMPUTED_VALUE"""),"")</f>
        <v/>
      </c>
      <c r="N116" s="6" t="str">
        <f>IFERROR(__xludf.DUMMYFUNCTION("""COMPUTED_VALUE"""),"")</f>
        <v/>
      </c>
      <c r="O116" s="87" t="str">
        <f>IFERROR(__xludf.DUMMYFUNCTION("""COMPUTED_VALUE"""),"https://drive.google.com/drive/folders/10T2cTQHqEJZqE-st6uFKPoI?usp=share_link")</f>
        <v>https://drive.google.com/drive/folders/10T2cTQHqEJZqE-st6uFKPoI?usp=share_link</v>
      </c>
      <c r="P116" s="6" t="str">
        <f>IFERROR(__xludf.DUMMYFUNCTION("""COMPUTED_VALUE"""),"Cydney Langhorn")</f>
        <v>Cydney Langhorn</v>
      </c>
      <c r="Q116" s="6" t="str">
        <f>IFERROR(__xludf.DUMMYFUNCTION("""COMPUTED_VALUE"""),"MS")</f>
        <v>MS</v>
      </c>
      <c r="R116" s="6">
        <f>IFERROR(__xludf.DUMMYFUNCTION("""COMPUTED_VALUE"""),0.0)</f>
        <v>0</v>
      </c>
      <c r="S116" s="6" t="str">
        <f>IFERROR(__xludf.DUMMYFUNCTION("""COMPUTED_VALUE""")," ")</f>
        <v> </v>
      </c>
      <c r="T116" s="6" t="str">
        <f>IFERROR(__xludf.DUMMYFUNCTION("""COMPUTED_VALUE"""),"")</f>
        <v/>
      </c>
      <c r="U116" s="6" t="str">
        <f>IFERROR(__xludf.DUMMYFUNCTION("""COMPUTED_VALUE"""),"8")</f>
        <v>8</v>
      </c>
      <c r="V116" s="6" t="str">
        <f>IFERROR(__xludf.DUMMYFUNCTION("""COMPUTED_VALUE"""),"")</f>
        <v/>
      </c>
      <c r="W116" s="6" t="str">
        <f>IFERROR(__xludf.DUMMYFUNCTION("""COMPUTED_VALUE"""),"[]")</f>
        <v>[]</v>
      </c>
      <c r="X116" s="6" t="str">
        <f>IFERROR(__xludf.DUMMYFUNCTION("""COMPUTED_VALUE"""),"Pending Review")</f>
        <v>Pending Review</v>
      </c>
    </row>
    <row r="117">
      <c r="A117" s="6" t="str">
        <f>IFERROR(__xludf.DUMMYFUNCTION("""COMPUTED_VALUE"""),"000-11386")</f>
        <v>000-11386</v>
      </c>
      <c r="B117" s="6" t="str">
        <f>IFERROR(__xludf.DUMMYFUNCTION("""COMPUTED_VALUE"""),"0")</f>
        <v>0</v>
      </c>
      <c r="C117" s="6" t="str">
        <f>IFERROR(__xludf.DUMMYFUNCTION("""COMPUTED_VALUE"""),"11386")</f>
        <v>11386</v>
      </c>
      <c r="D117" s="6" t="str">
        <f>IFERROR(__xludf.DUMMYFUNCTION("""COMPUTED_VALUE"""),"Dotty")</f>
        <v>Dotty</v>
      </c>
      <c r="E117" s="6" t="str">
        <f>IFERROR(__xludf.DUMMYFUNCTION("""COMPUTED_VALUE"""),"")</f>
        <v/>
      </c>
      <c r="F117" s="6" t="str">
        <f>IFERROR(__xludf.DUMMYFUNCTION("""COMPUTED_VALUE"""),"Buehler")</f>
        <v>Buehler</v>
      </c>
      <c r="G117" s="6" t="str">
        <f>IFERROR(__xludf.DUMMYFUNCTION("""COMPUTED_VALUE"""),"01/09/2014")</f>
        <v>01/09/2014</v>
      </c>
      <c r="H117" s="6" t="str">
        <f>IFERROR(__xludf.DUMMYFUNCTION("""COMPUTED_VALUE"""),"female")</f>
        <v>female</v>
      </c>
      <c r="I117" s="6" t="str">
        <f>IFERROR(__xludf.DUMMYFUNCTION("""COMPUTED_VALUE"""),"Middle School")</f>
        <v>Middle School</v>
      </c>
      <c r="J117" s="6" t="str">
        <f>IFERROR(__xludf.DUMMYFUNCTION("""COMPUTED_VALUE"""),"6")</f>
        <v>6</v>
      </c>
      <c r="K117" s="6" t="str">
        <f>IFERROR(__xludf.DUMMYFUNCTION("""COMPUTED_VALUE"""),"dotty.buehler@2hourlearning.com")</f>
        <v>dotty.buehler@2hourlearning.com</v>
      </c>
      <c r="L117" s="6" t="str">
        <f>IFERROR(__xludf.DUMMYFUNCTION("""COMPUTED_VALUE"""),"Alpha Anywhere (homeschool)")</f>
        <v>Alpha Anywhere (homeschool)</v>
      </c>
      <c r="M117" s="6" t="str">
        <f>IFERROR(__xludf.DUMMYFUNCTION("""COMPUTED_VALUE"""),"")</f>
        <v/>
      </c>
      <c r="N117" s="6" t="str">
        <f>IFERROR(__xludf.DUMMYFUNCTION("""COMPUTED_VALUE"""),"")</f>
        <v/>
      </c>
      <c r="O117" s="87" t="str">
        <f>IFERROR(__xludf.DUMMYFUNCTION("""COMPUTED_VALUE"""),"https://drive.google.com/drive/folders/10T2cTQHqEJZqE-st6uFKPoI?usp=share_link")</f>
        <v>https://drive.google.com/drive/folders/10T2cTQHqEJZqE-st6uFKPoI?usp=share_link</v>
      </c>
      <c r="P117" s="6" t="str">
        <f>IFERROR(__xludf.DUMMYFUNCTION("""COMPUTED_VALUE"""),"Dotty Buehler")</f>
        <v>Dotty Buehler</v>
      </c>
      <c r="Q117" s="6" t="str">
        <f>IFERROR(__xludf.DUMMYFUNCTION("""COMPUTED_VALUE"""),"MS")</f>
        <v>MS</v>
      </c>
      <c r="R117" s="6">
        <f>IFERROR(__xludf.DUMMYFUNCTION("""COMPUTED_VALUE"""),0.0)</f>
        <v>0</v>
      </c>
      <c r="S117" s="6" t="str">
        <f>IFERROR(__xludf.DUMMYFUNCTION("""COMPUTED_VALUE""")," ")</f>
        <v> </v>
      </c>
      <c r="T117" s="6" t="str">
        <f>IFERROR(__xludf.DUMMYFUNCTION("""COMPUTED_VALUE"""),"")</f>
        <v/>
      </c>
      <c r="U117" s="6" t="str">
        <f>IFERROR(__xludf.DUMMYFUNCTION("""COMPUTED_VALUE"""),"6")</f>
        <v>6</v>
      </c>
      <c r="V117" s="6" t="str">
        <f>IFERROR(__xludf.DUMMYFUNCTION("""COMPUTED_VALUE"""),"")</f>
        <v/>
      </c>
      <c r="W117" s="6" t="str">
        <f>IFERROR(__xludf.DUMMYFUNCTION("""COMPUTED_VALUE"""),"[]")</f>
        <v>[]</v>
      </c>
      <c r="X117" s="6" t="str">
        <f>IFERROR(__xludf.DUMMYFUNCTION("""COMPUTED_VALUE"""),"Enrolled")</f>
        <v>Enrolled</v>
      </c>
    </row>
    <row r="118">
      <c r="A118" s="6" t="str">
        <f>IFERROR(__xludf.DUMMYFUNCTION("""COMPUTED_VALUE"""),"000-12121")</f>
        <v>000-12121</v>
      </c>
      <c r="B118" s="6" t="str">
        <f>IFERROR(__xludf.DUMMYFUNCTION("""COMPUTED_VALUE"""),"0")</f>
        <v>0</v>
      </c>
      <c r="C118" s="6" t="str">
        <f>IFERROR(__xludf.DUMMYFUNCTION("""COMPUTED_VALUE"""),"12121")</f>
        <v>12121</v>
      </c>
      <c r="D118" s="6" t="str">
        <f>IFERROR(__xludf.DUMMYFUNCTION("""COMPUTED_VALUE"""),"Mark")</f>
        <v>Mark</v>
      </c>
      <c r="E118" s="6" t="str">
        <f>IFERROR(__xludf.DUMMYFUNCTION("""COMPUTED_VALUE"""),"")</f>
        <v/>
      </c>
      <c r="F118" s="6" t="str">
        <f>IFERROR(__xludf.DUMMYFUNCTION("""COMPUTED_VALUE"""),"Schmid")</f>
        <v>Schmid</v>
      </c>
      <c r="G118" s="6" t="str">
        <f>IFERROR(__xludf.DUMMYFUNCTION("""COMPUTED_VALUE"""),"07/31/2017")</f>
        <v>07/31/2017</v>
      </c>
      <c r="H118" s="6" t="str">
        <f>IFERROR(__xludf.DUMMYFUNCTION("""COMPUTED_VALUE"""),"male")</f>
        <v>male</v>
      </c>
      <c r="I118" s="6" t="str">
        <f>IFERROR(__xludf.DUMMYFUNCTION("""COMPUTED_VALUE"""),"Level 1")</f>
        <v>Level 1</v>
      </c>
      <c r="J118" s="6" t="str">
        <f>IFERROR(__xludf.DUMMYFUNCTION("""COMPUTED_VALUE"""),"3")</f>
        <v>3</v>
      </c>
      <c r="K118" s="6" t="str">
        <f>IFERROR(__xludf.DUMMYFUNCTION("""COMPUTED_VALUE"""),"mark.schmid@2hourlearning.com")</f>
        <v>mark.schmid@2hourlearning.com</v>
      </c>
      <c r="L118" s="6" t="str">
        <f>IFERROR(__xludf.DUMMYFUNCTION("""COMPUTED_VALUE"""),"Alpha Anywhere (homeschool)")</f>
        <v>Alpha Anywhere (homeschool)</v>
      </c>
      <c r="M118" s="6" t="str">
        <f>IFERROR(__xludf.DUMMYFUNCTION("""COMPUTED_VALUE"""),"")</f>
        <v/>
      </c>
      <c r="N118" s="6" t="str">
        <f>IFERROR(__xludf.DUMMYFUNCTION("""COMPUTED_VALUE"""),"")</f>
        <v/>
      </c>
      <c r="O118" s="87" t="str">
        <f>IFERROR(__xludf.DUMMYFUNCTION("""COMPUTED_VALUE"""),"https://drive.google.com/drive/folders/10T2cTQHqEJZqE-st6uFKPoI?usp=share_link")</f>
        <v>https://drive.google.com/drive/folders/10T2cTQHqEJZqE-st6uFKPoI?usp=share_link</v>
      </c>
      <c r="P118" s="6" t="str">
        <f>IFERROR(__xludf.DUMMYFUNCTION("""COMPUTED_VALUE"""),"Mark Schmid")</f>
        <v>Mark Schmid</v>
      </c>
      <c r="Q118" s="6" t="str">
        <f>IFERROR(__xludf.DUMMYFUNCTION("""COMPUTED_VALUE"""),"L1")</f>
        <v>L1</v>
      </c>
      <c r="R118" s="6">
        <f>IFERROR(__xludf.DUMMYFUNCTION("""COMPUTED_VALUE"""),1.0)</f>
        <v>1</v>
      </c>
      <c r="S118" s="6" t="str">
        <f>IFERROR(__xludf.DUMMYFUNCTION("""COMPUTED_VALUE""")," ")</f>
        <v> </v>
      </c>
      <c r="T118" s="6" t="str">
        <f>IFERROR(__xludf.DUMMYFUNCTION("""COMPUTED_VALUE"""),"")</f>
        <v/>
      </c>
      <c r="U118" s="6" t="str">
        <f>IFERROR(__xludf.DUMMYFUNCTION("""COMPUTED_VALUE"""),"3")</f>
        <v>3</v>
      </c>
      <c r="V118" s="6" t="str">
        <f>IFERROR(__xludf.DUMMYFUNCTION("""COMPUTED_VALUE"""),"")</f>
        <v/>
      </c>
      <c r="W118" s="6" t="str">
        <f>IFERROR(__xludf.DUMMYFUNCTION("""COMPUTED_VALUE"""),"[]")</f>
        <v>[]</v>
      </c>
      <c r="X118" s="6" t="str">
        <f>IFERROR(__xludf.DUMMYFUNCTION("""COMPUTED_VALUE"""),"Pending Review")</f>
        <v>Pending Review</v>
      </c>
    </row>
    <row r="119">
      <c r="A119" s="6" t="str">
        <f>IFERROR(__xludf.DUMMYFUNCTION("""COMPUTED_VALUE"""),"000-1880")</f>
        <v>000-1880</v>
      </c>
      <c r="B119" s="6" t="str">
        <f>IFERROR(__xludf.DUMMYFUNCTION("""COMPUTED_VALUE"""),"0")</f>
        <v>0</v>
      </c>
      <c r="C119" s="6" t="str">
        <f>IFERROR(__xludf.DUMMYFUNCTION("""COMPUTED_VALUE"""),"1880")</f>
        <v>1880</v>
      </c>
      <c r="D119" s="6" t="str">
        <f>IFERROR(__xludf.DUMMYFUNCTION("""COMPUTED_VALUE"""),"Kathryn")</f>
        <v>Kathryn</v>
      </c>
      <c r="E119" s="6" t="str">
        <f>IFERROR(__xludf.DUMMYFUNCTION("""COMPUTED_VALUE"""),"Kate")</f>
        <v>Kate</v>
      </c>
      <c r="F119" s="6" t="str">
        <f>IFERROR(__xludf.DUMMYFUNCTION("""COMPUTED_VALUE"""),"McDonough")</f>
        <v>McDonough</v>
      </c>
      <c r="G119" s="6" t="str">
        <f>IFERROR(__xludf.DUMMYFUNCTION("""COMPUTED_VALUE"""),"09/21/2014")</f>
        <v>09/21/2014</v>
      </c>
      <c r="H119" s="6" t="str">
        <f>IFERROR(__xludf.DUMMYFUNCTION("""COMPUTED_VALUE"""),"female")</f>
        <v>female</v>
      </c>
      <c r="I119" s="6" t="str">
        <f>IFERROR(__xludf.DUMMYFUNCTION("""COMPUTED_VALUE"""),"Level 2")</f>
        <v>Level 2</v>
      </c>
      <c r="J119" s="6" t="str">
        <f>IFERROR(__xludf.DUMMYFUNCTION("""COMPUTED_VALUE"""),"5")</f>
        <v>5</v>
      </c>
      <c r="K119" s="6" t="str">
        <f>IFERROR(__xludf.DUMMYFUNCTION("""COMPUTED_VALUE"""),"kathryn.mcdonough@alpha.school")</f>
        <v>kathryn.mcdonough@alpha.school</v>
      </c>
      <c r="L119" s="6" t="str">
        <f>IFERROR(__xludf.DUMMYFUNCTION("""COMPUTED_VALUE"""),"Alpha Anywhere (homeschool)")</f>
        <v>Alpha Anywhere (homeschool)</v>
      </c>
      <c r="M119" s="6" t="str">
        <f>IFERROR(__xludf.DUMMYFUNCTION("""COMPUTED_VALUE"""),"")</f>
        <v/>
      </c>
      <c r="N119" s="6" t="str">
        <f>IFERROR(__xludf.DUMMYFUNCTION("""COMPUTED_VALUE"""),"")</f>
        <v/>
      </c>
      <c r="O119" s="87" t="str">
        <f>IFERROR(__xludf.DUMMYFUNCTION("""COMPUTED_VALUE"""),"https://drive.google.com/drive/folders/10T2cTQHqEJZqE-st6uFKPoI?usp=share_link")</f>
        <v>https://drive.google.com/drive/folders/10T2cTQHqEJZqE-st6uFKPoI?usp=share_link</v>
      </c>
      <c r="P119" s="6" t="str">
        <f>IFERROR(__xludf.DUMMYFUNCTION("""COMPUTED_VALUE"""),"Kate McDonough")</f>
        <v>Kate McDonough</v>
      </c>
      <c r="Q119" s="6" t="str">
        <f>IFERROR(__xludf.DUMMYFUNCTION("""COMPUTED_VALUE"""),"L2")</f>
        <v>L2</v>
      </c>
      <c r="R119" s="6">
        <f>IFERROR(__xludf.DUMMYFUNCTION("""COMPUTED_VALUE"""),2.0)</f>
        <v>2</v>
      </c>
      <c r="S119" s="6" t="str">
        <f>IFERROR(__xludf.DUMMYFUNCTION("""COMPUTED_VALUE""")," ")</f>
        <v> </v>
      </c>
      <c r="T119" s="6" t="str">
        <f>IFERROR(__xludf.DUMMYFUNCTION("""COMPUTED_VALUE"""),"")</f>
        <v/>
      </c>
      <c r="U119" s="6" t="str">
        <f>IFERROR(__xludf.DUMMYFUNCTION("""COMPUTED_VALUE"""),"5")</f>
        <v>5</v>
      </c>
      <c r="V119" s="6" t="str">
        <f>IFERROR(__xludf.DUMMYFUNCTION("""COMPUTED_VALUE"""),"")</f>
        <v/>
      </c>
      <c r="W119" s="6" t="str">
        <f>IFERROR(__xludf.DUMMYFUNCTION("""COMPUTED_VALUE"""),"[]")</f>
        <v>[]</v>
      </c>
      <c r="X119" s="6" t="str">
        <f>IFERROR(__xludf.DUMMYFUNCTION("""COMPUTED_VALUE"""),"Enrolled")</f>
        <v>Enrolled</v>
      </c>
    </row>
    <row r="120">
      <c r="A120" s="6" t="str">
        <f>IFERROR(__xludf.DUMMYFUNCTION("""COMPUTED_VALUE"""),"000-1918")</f>
        <v>000-1918</v>
      </c>
      <c r="B120" s="6" t="str">
        <f>IFERROR(__xludf.DUMMYFUNCTION("""COMPUTED_VALUE"""),"0")</f>
        <v>0</v>
      </c>
      <c r="C120" s="6" t="str">
        <f>IFERROR(__xludf.DUMMYFUNCTION("""COMPUTED_VALUE"""),"1918")</f>
        <v>1918</v>
      </c>
      <c r="D120" s="6" t="str">
        <f>IFERROR(__xludf.DUMMYFUNCTION("""COMPUTED_VALUE"""),"Jack")</f>
        <v>Jack</v>
      </c>
      <c r="E120" s="6" t="str">
        <f>IFERROR(__xludf.DUMMYFUNCTION("""COMPUTED_VALUE"""),"")</f>
        <v/>
      </c>
      <c r="F120" s="6" t="str">
        <f>IFERROR(__xludf.DUMMYFUNCTION("""COMPUTED_VALUE"""),"Porto")</f>
        <v>Porto</v>
      </c>
      <c r="G120" s="6" t="str">
        <f>IFERROR(__xludf.DUMMYFUNCTION("""COMPUTED_VALUE"""),"07/09/2015")</f>
        <v>07/09/2015</v>
      </c>
      <c r="H120" s="6" t="str">
        <f>IFERROR(__xludf.DUMMYFUNCTION("""COMPUTED_VALUE"""),"male")</f>
        <v>male</v>
      </c>
      <c r="I120" s="6" t="str">
        <f>IFERROR(__xludf.DUMMYFUNCTION("""COMPUTED_VALUE"""),"Level 2")</f>
        <v>Level 2</v>
      </c>
      <c r="J120" s="6" t="str">
        <f>IFERROR(__xludf.DUMMYFUNCTION("""COMPUTED_VALUE"""),"4")</f>
        <v>4</v>
      </c>
      <c r="K120" s="6" t="str">
        <f>IFERROR(__xludf.DUMMYFUNCTION("""COMPUTED_VALUE"""),"jack.porto@2hourlearning.com")</f>
        <v>jack.porto@2hourlearning.com</v>
      </c>
      <c r="L120" s="6" t="str">
        <f>IFERROR(__xludf.DUMMYFUNCTION("""COMPUTED_VALUE"""),"Alpha Anywhere (homeschool)")</f>
        <v>Alpha Anywhere (homeschool)</v>
      </c>
      <c r="M120" s="6" t="str">
        <f>IFERROR(__xludf.DUMMYFUNCTION("""COMPUTED_VALUE"""),"")</f>
        <v/>
      </c>
      <c r="N120" s="6" t="str">
        <f>IFERROR(__xludf.DUMMYFUNCTION("""COMPUTED_VALUE"""),"")</f>
        <v/>
      </c>
      <c r="O120" s="87" t="str">
        <f>IFERROR(__xludf.DUMMYFUNCTION("""COMPUTED_VALUE"""),"https://drive.google.com/drive/folders/10T2cTQHqEJZqE-st6uFKPoI?usp=share_link")</f>
        <v>https://drive.google.com/drive/folders/10T2cTQHqEJZqE-st6uFKPoI?usp=share_link</v>
      </c>
      <c r="P120" s="6" t="str">
        <f>IFERROR(__xludf.DUMMYFUNCTION("""COMPUTED_VALUE"""),"Jack Porto")</f>
        <v>Jack Porto</v>
      </c>
      <c r="Q120" s="6" t="str">
        <f>IFERROR(__xludf.DUMMYFUNCTION("""COMPUTED_VALUE"""),"L2")</f>
        <v>L2</v>
      </c>
      <c r="R120" s="6">
        <f>IFERROR(__xludf.DUMMYFUNCTION("""COMPUTED_VALUE"""),2.0)</f>
        <v>2</v>
      </c>
      <c r="S120" s="6" t="str">
        <f>IFERROR(__xludf.DUMMYFUNCTION("""COMPUTED_VALUE""")," ")</f>
        <v> </v>
      </c>
      <c r="T120" s="6" t="str">
        <f>IFERROR(__xludf.DUMMYFUNCTION("""COMPUTED_VALUE"""),"")</f>
        <v/>
      </c>
      <c r="U120" s="6" t="str">
        <f>IFERROR(__xludf.DUMMYFUNCTION("""COMPUTED_VALUE"""),"4")</f>
        <v>4</v>
      </c>
      <c r="V120" s="6" t="str">
        <f>IFERROR(__xludf.DUMMYFUNCTION("""COMPUTED_VALUE"""),"")</f>
        <v/>
      </c>
      <c r="W120" s="6" t="str">
        <f>IFERROR(__xludf.DUMMYFUNCTION("""COMPUTED_VALUE"""),"[]")</f>
        <v>[]</v>
      </c>
      <c r="X120" s="6" t="str">
        <f>IFERROR(__xludf.DUMMYFUNCTION("""COMPUTED_VALUE"""),"Enrolled")</f>
        <v>Enrolled</v>
      </c>
    </row>
    <row r="121">
      <c r="A121" s="6" t="str">
        <f>IFERROR(__xludf.DUMMYFUNCTION("""COMPUTED_VALUE"""),"000-1923")</f>
        <v>000-1923</v>
      </c>
      <c r="B121" s="6" t="str">
        <f>IFERROR(__xludf.DUMMYFUNCTION("""COMPUTED_VALUE"""),"0")</f>
        <v>0</v>
      </c>
      <c r="C121" s="6" t="str">
        <f>IFERROR(__xludf.DUMMYFUNCTION("""COMPUTED_VALUE"""),"1923")</f>
        <v>1923</v>
      </c>
      <c r="D121" s="6" t="str">
        <f>IFERROR(__xludf.DUMMYFUNCTION("""COMPUTED_VALUE"""),"Sawyer")</f>
        <v>Sawyer</v>
      </c>
      <c r="E121" s="6" t="str">
        <f>IFERROR(__xludf.DUMMYFUNCTION("""COMPUTED_VALUE"""),"")</f>
        <v/>
      </c>
      <c r="F121" s="6" t="str">
        <f>IFERROR(__xludf.DUMMYFUNCTION("""COMPUTED_VALUE"""),"Bryant")</f>
        <v>Bryant</v>
      </c>
      <c r="G121" s="6" t="str">
        <f>IFERROR(__xludf.DUMMYFUNCTION("""COMPUTED_VALUE"""),"05/18/2016")</f>
        <v>05/18/2016</v>
      </c>
      <c r="H121" s="6" t="str">
        <f>IFERROR(__xludf.DUMMYFUNCTION("""COMPUTED_VALUE"""),"male")</f>
        <v>male</v>
      </c>
      <c r="I121" s="6" t="str">
        <f>IFERROR(__xludf.DUMMYFUNCTION("""COMPUTED_VALUE"""),"Level 2")</f>
        <v>Level 2</v>
      </c>
      <c r="J121" s="6" t="str">
        <f>IFERROR(__xludf.DUMMYFUNCTION("""COMPUTED_VALUE"""),"4")</f>
        <v>4</v>
      </c>
      <c r="K121" s="6" t="str">
        <f>IFERROR(__xludf.DUMMYFUNCTION("""COMPUTED_VALUE"""),"sawyer.bryant@2hourlearning.com")</f>
        <v>sawyer.bryant@2hourlearning.com</v>
      </c>
      <c r="L121" s="6" t="str">
        <f>IFERROR(__xludf.DUMMYFUNCTION("""COMPUTED_VALUE"""),"Alpha Anywhere (homeschool)")</f>
        <v>Alpha Anywhere (homeschool)</v>
      </c>
      <c r="M121" s="6" t="str">
        <f>IFERROR(__xludf.DUMMYFUNCTION("""COMPUTED_VALUE"""),"")</f>
        <v/>
      </c>
      <c r="N121" s="6" t="str">
        <f>IFERROR(__xludf.DUMMYFUNCTION("""COMPUTED_VALUE"""),"")</f>
        <v/>
      </c>
      <c r="O121" s="87" t="str">
        <f>IFERROR(__xludf.DUMMYFUNCTION("""COMPUTED_VALUE"""),"https://drive.google.com/drive/folders/10T2cTQHqEJZqE-st6uFKPoI?usp=share_link")</f>
        <v>https://drive.google.com/drive/folders/10T2cTQHqEJZqE-st6uFKPoI?usp=share_link</v>
      </c>
      <c r="P121" s="6" t="str">
        <f>IFERROR(__xludf.DUMMYFUNCTION("""COMPUTED_VALUE"""),"Sawyer Bryant")</f>
        <v>Sawyer Bryant</v>
      </c>
      <c r="Q121" s="6" t="str">
        <f>IFERROR(__xludf.DUMMYFUNCTION("""COMPUTED_VALUE"""),"L2")</f>
        <v>L2</v>
      </c>
      <c r="R121" s="6">
        <f>IFERROR(__xludf.DUMMYFUNCTION("""COMPUTED_VALUE"""),2.0)</f>
        <v>2</v>
      </c>
      <c r="S121" s="6" t="str">
        <f>IFERROR(__xludf.DUMMYFUNCTION("""COMPUTED_VALUE""")," ")</f>
        <v> </v>
      </c>
      <c r="T121" s="6" t="str">
        <f>IFERROR(__xludf.DUMMYFUNCTION("""COMPUTED_VALUE"""),"")</f>
        <v/>
      </c>
      <c r="U121" s="6" t="str">
        <f>IFERROR(__xludf.DUMMYFUNCTION("""COMPUTED_VALUE"""),"4")</f>
        <v>4</v>
      </c>
      <c r="V121" s="6" t="str">
        <f>IFERROR(__xludf.DUMMYFUNCTION("""COMPUTED_VALUE"""),"")</f>
        <v/>
      </c>
      <c r="W121" s="6" t="str">
        <f>IFERROR(__xludf.DUMMYFUNCTION("""COMPUTED_VALUE"""),"[]")</f>
        <v>[]</v>
      </c>
      <c r="X121" s="6" t="str">
        <f>IFERROR(__xludf.DUMMYFUNCTION("""COMPUTED_VALUE"""),"Enrolled")</f>
        <v>Enrolled</v>
      </c>
    </row>
    <row r="122">
      <c r="A122" s="6" t="str">
        <f>IFERROR(__xludf.DUMMYFUNCTION("""COMPUTED_VALUE"""),"000-1924")</f>
        <v>000-1924</v>
      </c>
      <c r="B122" s="6" t="str">
        <f>IFERROR(__xludf.DUMMYFUNCTION("""COMPUTED_VALUE"""),"0")</f>
        <v>0</v>
      </c>
      <c r="C122" s="6" t="str">
        <f>IFERROR(__xludf.DUMMYFUNCTION("""COMPUTED_VALUE"""),"1924")</f>
        <v>1924</v>
      </c>
      <c r="D122" s="6" t="str">
        <f>IFERROR(__xludf.DUMMYFUNCTION("""COMPUTED_VALUE"""),"Leyson")</f>
        <v>Leyson</v>
      </c>
      <c r="E122" s="6" t="str">
        <f>IFERROR(__xludf.DUMMYFUNCTION("""COMPUTED_VALUE"""),"Leyson")</f>
        <v>Leyson</v>
      </c>
      <c r="F122" s="6" t="str">
        <f>IFERROR(__xludf.DUMMYFUNCTION("""COMPUTED_VALUE"""),"Bryant")</f>
        <v>Bryant</v>
      </c>
      <c r="G122" s="6" t="str">
        <f>IFERROR(__xludf.DUMMYFUNCTION("""COMPUTED_VALUE"""),"11/11/2013")</f>
        <v>11/11/2013</v>
      </c>
      <c r="H122" s="6" t="str">
        <f>IFERROR(__xludf.DUMMYFUNCTION("""COMPUTED_VALUE"""),"male")</f>
        <v>male</v>
      </c>
      <c r="I122" s="6" t="str">
        <f>IFERROR(__xludf.DUMMYFUNCTION("""COMPUTED_VALUE"""),"Middle School")</f>
        <v>Middle School</v>
      </c>
      <c r="J122" s="6" t="str">
        <f>IFERROR(__xludf.DUMMYFUNCTION("""COMPUTED_VALUE"""),"6")</f>
        <v>6</v>
      </c>
      <c r="K122" s="6" t="str">
        <f>IFERROR(__xludf.DUMMYFUNCTION("""COMPUTED_VALUE"""),"leyson.bryant@2hourlearning.com")</f>
        <v>leyson.bryant@2hourlearning.com</v>
      </c>
      <c r="L122" s="6" t="str">
        <f>IFERROR(__xludf.DUMMYFUNCTION("""COMPUTED_VALUE"""),"Alpha Anywhere (homeschool)")</f>
        <v>Alpha Anywhere (homeschool)</v>
      </c>
      <c r="M122" s="6" t="str">
        <f>IFERROR(__xludf.DUMMYFUNCTION("""COMPUTED_VALUE"""),"")</f>
        <v/>
      </c>
      <c r="N122" s="6" t="str">
        <f>IFERROR(__xludf.DUMMYFUNCTION("""COMPUTED_VALUE"""),"")</f>
        <v/>
      </c>
      <c r="O122" s="87" t="str">
        <f>IFERROR(__xludf.DUMMYFUNCTION("""COMPUTED_VALUE"""),"https://drive.google.com/drive/folders/10T2cTQHqEJZqE-st6uFKPoI?usp=share_link")</f>
        <v>https://drive.google.com/drive/folders/10T2cTQHqEJZqE-st6uFKPoI?usp=share_link</v>
      </c>
      <c r="P122" s="6" t="str">
        <f>IFERROR(__xludf.DUMMYFUNCTION("""COMPUTED_VALUE"""),"Leyson Bryant")</f>
        <v>Leyson Bryant</v>
      </c>
      <c r="Q122" s="6" t="str">
        <f>IFERROR(__xludf.DUMMYFUNCTION("""COMPUTED_VALUE"""),"MS")</f>
        <v>MS</v>
      </c>
      <c r="R122" s="6">
        <f>IFERROR(__xludf.DUMMYFUNCTION("""COMPUTED_VALUE"""),0.0)</f>
        <v>0</v>
      </c>
      <c r="S122" s="6" t="str">
        <f>IFERROR(__xludf.DUMMYFUNCTION("""COMPUTED_VALUE""")," ")</f>
        <v> </v>
      </c>
      <c r="T122" s="6" t="str">
        <f>IFERROR(__xludf.DUMMYFUNCTION("""COMPUTED_VALUE"""),"")</f>
        <v/>
      </c>
      <c r="U122" s="6" t="str">
        <f>IFERROR(__xludf.DUMMYFUNCTION("""COMPUTED_VALUE"""),"6")</f>
        <v>6</v>
      </c>
      <c r="V122" s="6" t="str">
        <f>IFERROR(__xludf.DUMMYFUNCTION("""COMPUTED_VALUE"""),"")</f>
        <v/>
      </c>
      <c r="W122" s="6" t="str">
        <f>IFERROR(__xludf.DUMMYFUNCTION("""COMPUTED_VALUE"""),"[]")</f>
        <v>[]</v>
      </c>
      <c r="X122" s="6" t="str">
        <f>IFERROR(__xludf.DUMMYFUNCTION("""COMPUTED_VALUE"""),"Enrolled")</f>
        <v>Enrolled</v>
      </c>
    </row>
    <row r="123">
      <c r="A123" s="6" t="str">
        <f>IFERROR(__xludf.DUMMYFUNCTION("""COMPUTED_VALUE"""),"000-1970")</f>
        <v>000-1970</v>
      </c>
      <c r="B123" s="6" t="str">
        <f>IFERROR(__xludf.DUMMYFUNCTION("""COMPUTED_VALUE"""),"0")</f>
        <v>0</v>
      </c>
      <c r="C123" s="6" t="str">
        <f>IFERROR(__xludf.DUMMYFUNCTION("""COMPUTED_VALUE"""),"1970")</f>
        <v>1970</v>
      </c>
      <c r="D123" s="6" t="str">
        <f>IFERROR(__xludf.DUMMYFUNCTION("""COMPUTED_VALUE"""),"Hendrix")</f>
        <v>Hendrix</v>
      </c>
      <c r="E123" s="6" t="str">
        <f>IFERROR(__xludf.DUMMYFUNCTION("""COMPUTED_VALUE"""),"Hendrix")</f>
        <v>Hendrix</v>
      </c>
      <c r="F123" s="6" t="str">
        <f>IFERROR(__xludf.DUMMYFUNCTION("""COMPUTED_VALUE"""),"Smith")</f>
        <v>Smith</v>
      </c>
      <c r="G123" s="6" t="str">
        <f>IFERROR(__xludf.DUMMYFUNCTION("""COMPUTED_VALUE"""),"12/19/2014")</f>
        <v>12/19/2014</v>
      </c>
      <c r="H123" s="6" t="str">
        <f>IFERROR(__xludf.DUMMYFUNCTION("""COMPUTED_VALUE"""),"male")</f>
        <v>male</v>
      </c>
      <c r="I123" s="6" t="str">
        <f>IFERROR(__xludf.DUMMYFUNCTION("""COMPUTED_VALUE"""),"Level 2")</f>
        <v>Level 2</v>
      </c>
      <c r="J123" s="6" t="str">
        <f>IFERROR(__xludf.DUMMYFUNCTION("""COMPUTED_VALUE"""),"5")</f>
        <v>5</v>
      </c>
      <c r="K123" s="6" t="str">
        <f>IFERROR(__xludf.DUMMYFUNCTION("""COMPUTED_VALUE"""),"hendrix.smith@2hourlearning.com")</f>
        <v>hendrix.smith@2hourlearning.com</v>
      </c>
      <c r="L123" s="6" t="str">
        <f>IFERROR(__xludf.DUMMYFUNCTION("""COMPUTED_VALUE"""),"Alpha Anywhere (homeschool)")</f>
        <v>Alpha Anywhere (homeschool)</v>
      </c>
      <c r="M123" s="6" t="str">
        <f>IFERROR(__xludf.DUMMYFUNCTION("""COMPUTED_VALUE"""),"")</f>
        <v/>
      </c>
      <c r="N123" s="6" t="str">
        <f>IFERROR(__xludf.DUMMYFUNCTION("""COMPUTED_VALUE"""),"")</f>
        <v/>
      </c>
      <c r="O123" s="87" t="str">
        <f>IFERROR(__xludf.DUMMYFUNCTION("""COMPUTED_VALUE"""),"https://drive.google.com/drive/folders/10T2cTQHqEJZqE-st6uFKPoI?usp=share_link")</f>
        <v>https://drive.google.com/drive/folders/10T2cTQHqEJZqE-st6uFKPoI?usp=share_link</v>
      </c>
      <c r="P123" s="6" t="str">
        <f>IFERROR(__xludf.DUMMYFUNCTION("""COMPUTED_VALUE"""),"Hendrix Smith")</f>
        <v>Hendrix Smith</v>
      </c>
      <c r="Q123" s="6" t="str">
        <f>IFERROR(__xludf.DUMMYFUNCTION("""COMPUTED_VALUE"""),"L2")</f>
        <v>L2</v>
      </c>
      <c r="R123" s="6">
        <f>IFERROR(__xludf.DUMMYFUNCTION("""COMPUTED_VALUE"""),2.0)</f>
        <v>2</v>
      </c>
      <c r="S123" s="6" t="str">
        <f>IFERROR(__xludf.DUMMYFUNCTION("""COMPUTED_VALUE""")," ")</f>
        <v> </v>
      </c>
      <c r="T123" s="6" t="str">
        <f>IFERROR(__xludf.DUMMYFUNCTION("""COMPUTED_VALUE"""),"")</f>
        <v/>
      </c>
      <c r="U123" s="6" t="str">
        <f>IFERROR(__xludf.DUMMYFUNCTION("""COMPUTED_VALUE"""),"5")</f>
        <v>5</v>
      </c>
      <c r="V123" s="6" t="str">
        <f>IFERROR(__xludf.DUMMYFUNCTION("""COMPUTED_VALUE"""),"")</f>
        <v/>
      </c>
      <c r="W123" s="6" t="str">
        <f>IFERROR(__xludf.DUMMYFUNCTION("""COMPUTED_VALUE"""),"[]")</f>
        <v>[]</v>
      </c>
      <c r="X123" s="6" t="str">
        <f>IFERROR(__xludf.DUMMYFUNCTION("""COMPUTED_VALUE"""),"Enrolled")</f>
        <v>Enrolled</v>
      </c>
    </row>
    <row r="124">
      <c r="A124" s="6" t="str">
        <f>IFERROR(__xludf.DUMMYFUNCTION("""COMPUTED_VALUE"""),"000-2260")</f>
        <v>000-2260</v>
      </c>
      <c r="B124" s="6" t="str">
        <f>IFERROR(__xludf.DUMMYFUNCTION("""COMPUTED_VALUE"""),"0")</f>
        <v>0</v>
      </c>
      <c r="C124" s="6" t="str">
        <f>IFERROR(__xludf.DUMMYFUNCTION("""COMPUTED_VALUE"""),"2260")</f>
        <v>2260</v>
      </c>
      <c r="D124" s="6" t="str">
        <f>IFERROR(__xludf.DUMMYFUNCTION("""COMPUTED_VALUE"""),"Kane")</f>
        <v>Kane</v>
      </c>
      <c r="E124" s="6" t="str">
        <f>IFERROR(__xludf.DUMMYFUNCTION("""COMPUTED_VALUE"""),"")</f>
        <v/>
      </c>
      <c r="F124" s="6" t="str">
        <f>IFERROR(__xludf.DUMMYFUNCTION("""COMPUTED_VALUE"""),"Shaw")</f>
        <v>Shaw</v>
      </c>
      <c r="G124" s="6" t="str">
        <f>IFERROR(__xludf.DUMMYFUNCTION("""COMPUTED_VALUE"""),"04/07/2014")</f>
        <v>04/07/2014</v>
      </c>
      <c r="H124" s="6" t="str">
        <f>IFERROR(__xludf.DUMMYFUNCTION("""COMPUTED_VALUE"""),"male")</f>
        <v>male</v>
      </c>
      <c r="I124" s="6" t="str">
        <f>IFERROR(__xludf.DUMMYFUNCTION("""COMPUTED_VALUE"""),"Middle School")</f>
        <v>Middle School</v>
      </c>
      <c r="J124" s="6" t="str">
        <f>IFERROR(__xludf.DUMMYFUNCTION("""COMPUTED_VALUE"""),"6")</f>
        <v>6</v>
      </c>
      <c r="K124" s="6" t="str">
        <f>IFERROR(__xludf.DUMMYFUNCTION("""COMPUTED_VALUE"""),"kane.shaw@2hourlearning.com")</f>
        <v>kane.shaw@2hourlearning.com</v>
      </c>
      <c r="L124" s="6" t="str">
        <f>IFERROR(__xludf.DUMMYFUNCTION("""COMPUTED_VALUE"""),"Alpha Anywhere (homeschool)")</f>
        <v>Alpha Anywhere (homeschool)</v>
      </c>
      <c r="M124" s="6" t="str">
        <f>IFERROR(__xludf.DUMMYFUNCTION("""COMPUTED_VALUE"""),"")</f>
        <v/>
      </c>
      <c r="N124" s="6" t="str">
        <f>IFERROR(__xludf.DUMMYFUNCTION("""COMPUTED_VALUE"""),"")</f>
        <v/>
      </c>
      <c r="O124" s="87" t="str">
        <f>IFERROR(__xludf.DUMMYFUNCTION("""COMPUTED_VALUE"""),"https://drive.google.com/drive/folders/10T2cTQHqEJZqE-st6uFKPoI?usp=share_link")</f>
        <v>https://drive.google.com/drive/folders/10T2cTQHqEJZqE-st6uFKPoI?usp=share_link</v>
      </c>
      <c r="P124" s="6" t="str">
        <f>IFERROR(__xludf.DUMMYFUNCTION("""COMPUTED_VALUE"""),"Kane Shaw")</f>
        <v>Kane Shaw</v>
      </c>
      <c r="Q124" s="6" t="str">
        <f>IFERROR(__xludf.DUMMYFUNCTION("""COMPUTED_VALUE"""),"MS")</f>
        <v>MS</v>
      </c>
      <c r="R124" s="6">
        <f>IFERROR(__xludf.DUMMYFUNCTION("""COMPUTED_VALUE"""),0.0)</f>
        <v>0</v>
      </c>
      <c r="S124" s="6" t="str">
        <f>IFERROR(__xludf.DUMMYFUNCTION("""COMPUTED_VALUE""")," ")</f>
        <v> </v>
      </c>
      <c r="T124" s="6" t="str">
        <f>IFERROR(__xludf.DUMMYFUNCTION("""COMPUTED_VALUE"""),"")</f>
        <v/>
      </c>
      <c r="U124" s="6" t="str">
        <f>IFERROR(__xludf.DUMMYFUNCTION("""COMPUTED_VALUE"""),"6")</f>
        <v>6</v>
      </c>
      <c r="V124" s="6" t="str">
        <f>IFERROR(__xludf.DUMMYFUNCTION("""COMPUTED_VALUE"""),"")</f>
        <v/>
      </c>
      <c r="W124" s="6" t="str">
        <f>IFERROR(__xludf.DUMMYFUNCTION("""COMPUTED_VALUE"""),"[]")</f>
        <v>[]</v>
      </c>
      <c r="X124" s="6" t="str">
        <f>IFERROR(__xludf.DUMMYFUNCTION("""COMPUTED_VALUE"""),"Enrolled")</f>
        <v>Enrolled</v>
      </c>
    </row>
    <row r="125">
      <c r="A125" s="6" t="str">
        <f>IFERROR(__xludf.DUMMYFUNCTION("""COMPUTED_VALUE"""),"000-2387")</f>
        <v>000-2387</v>
      </c>
      <c r="B125" s="6" t="str">
        <f>IFERROR(__xludf.DUMMYFUNCTION("""COMPUTED_VALUE"""),"0")</f>
        <v>0</v>
      </c>
      <c r="C125" s="6" t="str">
        <f>IFERROR(__xludf.DUMMYFUNCTION("""COMPUTED_VALUE"""),"2387")</f>
        <v>2387</v>
      </c>
      <c r="D125" s="6" t="str">
        <f>IFERROR(__xludf.DUMMYFUNCTION("""COMPUTED_VALUE"""),"Camelia")</f>
        <v>Camelia</v>
      </c>
      <c r="E125" s="6" t="str">
        <f>IFERROR(__xludf.DUMMYFUNCTION("""COMPUTED_VALUE"""),"")</f>
        <v/>
      </c>
      <c r="F125" s="6" t="str">
        <f>IFERROR(__xludf.DUMMYFUNCTION("""COMPUTED_VALUE"""),"Aguilar")</f>
        <v>Aguilar</v>
      </c>
      <c r="G125" s="6" t="str">
        <f>IFERROR(__xludf.DUMMYFUNCTION("""COMPUTED_VALUE"""),"11/16/2013")</f>
        <v>11/16/2013</v>
      </c>
      <c r="H125" s="6" t="str">
        <f>IFERROR(__xludf.DUMMYFUNCTION("""COMPUTED_VALUE"""),"female")</f>
        <v>female</v>
      </c>
      <c r="I125" s="6" t="str">
        <f>IFERROR(__xludf.DUMMYFUNCTION("""COMPUTED_VALUE"""),"Middle School")</f>
        <v>Middle School</v>
      </c>
      <c r="J125" s="6" t="str">
        <f>IFERROR(__xludf.DUMMYFUNCTION("""COMPUTED_VALUE"""),"6")</f>
        <v>6</v>
      </c>
      <c r="K125" s="6" t="str">
        <f>IFERROR(__xludf.DUMMYFUNCTION("""COMPUTED_VALUE"""),"camila.aguilar@2hourlearning.com")</f>
        <v>camila.aguilar@2hourlearning.com</v>
      </c>
      <c r="L125" s="6" t="str">
        <f>IFERROR(__xludf.DUMMYFUNCTION("""COMPUTED_VALUE"""),"Alpha Anywhere (homeschool)")</f>
        <v>Alpha Anywhere (homeschool)</v>
      </c>
      <c r="M125" s="6" t="str">
        <f>IFERROR(__xludf.DUMMYFUNCTION("""COMPUTED_VALUE"""),"")</f>
        <v/>
      </c>
      <c r="N125" s="6" t="str">
        <f>IFERROR(__xludf.DUMMYFUNCTION("""COMPUTED_VALUE"""),"")</f>
        <v/>
      </c>
      <c r="O125" s="87" t="str">
        <f>IFERROR(__xludf.DUMMYFUNCTION("""COMPUTED_VALUE"""),"https://drive.google.com/drive/folders/10T2cTQHqEJZqE-st6uFKPoI?usp=share_link")</f>
        <v>https://drive.google.com/drive/folders/10T2cTQHqEJZqE-st6uFKPoI?usp=share_link</v>
      </c>
      <c r="P125" s="6" t="str">
        <f>IFERROR(__xludf.DUMMYFUNCTION("""COMPUTED_VALUE"""),"Camelia Aguilar")</f>
        <v>Camelia Aguilar</v>
      </c>
      <c r="Q125" s="6" t="str">
        <f>IFERROR(__xludf.DUMMYFUNCTION("""COMPUTED_VALUE"""),"MS")</f>
        <v>MS</v>
      </c>
      <c r="R125" s="6">
        <f>IFERROR(__xludf.DUMMYFUNCTION("""COMPUTED_VALUE"""),0.0)</f>
        <v>0</v>
      </c>
      <c r="S125" s="6" t="str">
        <f>IFERROR(__xludf.DUMMYFUNCTION("""COMPUTED_VALUE""")," ")</f>
        <v> </v>
      </c>
      <c r="T125" s="6" t="str">
        <f>IFERROR(__xludf.DUMMYFUNCTION("""COMPUTED_VALUE"""),"")</f>
        <v/>
      </c>
      <c r="U125" s="6" t="str">
        <f>IFERROR(__xludf.DUMMYFUNCTION("""COMPUTED_VALUE"""),"6")</f>
        <v>6</v>
      </c>
      <c r="V125" s="6" t="str">
        <f>IFERROR(__xludf.DUMMYFUNCTION("""COMPUTED_VALUE"""),"")</f>
        <v/>
      </c>
      <c r="W125" s="6" t="str">
        <f>IFERROR(__xludf.DUMMYFUNCTION("""COMPUTED_VALUE"""),"[]")</f>
        <v>[]</v>
      </c>
      <c r="X125" s="6" t="str">
        <f>IFERROR(__xludf.DUMMYFUNCTION("""COMPUTED_VALUE"""),"Enrolled")</f>
        <v>Enrolled</v>
      </c>
    </row>
    <row r="126">
      <c r="A126" s="6" t="str">
        <f>IFERROR(__xludf.DUMMYFUNCTION("""COMPUTED_VALUE"""),"000-2622")</f>
        <v>000-2622</v>
      </c>
      <c r="B126" s="6" t="str">
        <f>IFERROR(__xludf.DUMMYFUNCTION("""COMPUTED_VALUE"""),"0")</f>
        <v>0</v>
      </c>
      <c r="C126" s="6" t="str">
        <f>IFERROR(__xludf.DUMMYFUNCTION("""COMPUTED_VALUE"""),"2622")</f>
        <v>2622</v>
      </c>
      <c r="D126" s="6" t="str">
        <f>IFERROR(__xludf.DUMMYFUNCTION("""COMPUTED_VALUE"""),"Scarlett")</f>
        <v>Scarlett</v>
      </c>
      <c r="E126" s="6" t="str">
        <f>IFERROR(__xludf.DUMMYFUNCTION("""COMPUTED_VALUE"""),"")</f>
        <v/>
      </c>
      <c r="F126" s="6" t="str">
        <f>IFERROR(__xludf.DUMMYFUNCTION("""COMPUTED_VALUE"""),"Hamaoui")</f>
        <v>Hamaoui</v>
      </c>
      <c r="G126" s="6" t="str">
        <f>IFERROR(__xludf.DUMMYFUNCTION("""COMPUTED_VALUE"""),"10/29/2013")</f>
        <v>10/29/2013</v>
      </c>
      <c r="H126" s="6" t="str">
        <f>IFERROR(__xludf.DUMMYFUNCTION("""COMPUTED_VALUE"""),"female")</f>
        <v>female</v>
      </c>
      <c r="I126" s="6" t="str">
        <f>IFERROR(__xludf.DUMMYFUNCTION("""COMPUTED_VALUE"""),"Middle School")</f>
        <v>Middle School</v>
      </c>
      <c r="J126" s="6" t="str">
        <f>IFERROR(__xludf.DUMMYFUNCTION("""COMPUTED_VALUE"""),"6")</f>
        <v>6</v>
      </c>
      <c r="K126" s="6" t="str">
        <f>IFERROR(__xludf.DUMMYFUNCTION("""COMPUTED_VALUE"""),"scarlett.hamaoui@2hourlearning.com")</f>
        <v>scarlett.hamaoui@2hourlearning.com</v>
      </c>
      <c r="L126" s="6" t="str">
        <f>IFERROR(__xludf.DUMMYFUNCTION("""COMPUTED_VALUE"""),"Alpha Anywhere (homeschool)")</f>
        <v>Alpha Anywhere (homeschool)</v>
      </c>
      <c r="M126" s="6" t="str">
        <f>IFERROR(__xludf.DUMMYFUNCTION("""COMPUTED_VALUE"""),"")</f>
        <v/>
      </c>
      <c r="N126" s="6" t="str">
        <f>IFERROR(__xludf.DUMMYFUNCTION("""COMPUTED_VALUE"""),"")</f>
        <v/>
      </c>
      <c r="O126" s="87" t="str">
        <f>IFERROR(__xludf.DUMMYFUNCTION("""COMPUTED_VALUE"""),"https://drive.google.com/drive/folders/10T2cTQHqEJZqE-st6uFKPoI?usp=share_link")</f>
        <v>https://drive.google.com/drive/folders/10T2cTQHqEJZqE-st6uFKPoI?usp=share_link</v>
      </c>
      <c r="P126" s="6" t="str">
        <f>IFERROR(__xludf.DUMMYFUNCTION("""COMPUTED_VALUE"""),"Scarlett Hamaoui")</f>
        <v>Scarlett Hamaoui</v>
      </c>
      <c r="Q126" s="6" t="str">
        <f>IFERROR(__xludf.DUMMYFUNCTION("""COMPUTED_VALUE"""),"MS")</f>
        <v>MS</v>
      </c>
      <c r="R126" s="6">
        <f>IFERROR(__xludf.DUMMYFUNCTION("""COMPUTED_VALUE"""),0.0)</f>
        <v>0</v>
      </c>
      <c r="S126" s="6" t="str">
        <f>IFERROR(__xludf.DUMMYFUNCTION("""COMPUTED_VALUE""")," ")</f>
        <v> </v>
      </c>
      <c r="T126" s="6" t="str">
        <f>IFERROR(__xludf.DUMMYFUNCTION("""COMPUTED_VALUE"""),"")</f>
        <v/>
      </c>
      <c r="U126" s="6" t="str">
        <f>IFERROR(__xludf.DUMMYFUNCTION("""COMPUTED_VALUE"""),"6")</f>
        <v>6</v>
      </c>
      <c r="V126" s="6" t="str">
        <f>IFERROR(__xludf.DUMMYFUNCTION("""COMPUTED_VALUE"""),"")</f>
        <v/>
      </c>
      <c r="W126" s="6" t="str">
        <f>IFERROR(__xludf.DUMMYFUNCTION("""COMPUTED_VALUE"""),"[]")</f>
        <v>[]</v>
      </c>
      <c r="X126" s="6" t="str">
        <f>IFERROR(__xludf.DUMMYFUNCTION("""COMPUTED_VALUE"""),"Enrolled")</f>
        <v>Enrolled</v>
      </c>
    </row>
    <row r="127">
      <c r="A127" s="6" t="str">
        <f>IFERROR(__xludf.DUMMYFUNCTION("""COMPUTED_VALUE"""),"000-2773")</f>
        <v>000-2773</v>
      </c>
      <c r="B127" s="6" t="str">
        <f>IFERROR(__xludf.DUMMYFUNCTION("""COMPUTED_VALUE"""),"0")</f>
        <v>0</v>
      </c>
      <c r="C127" s="6" t="str">
        <f>IFERROR(__xludf.DUMMYFUNCTION("""COMPUTED_VALUE"""),"2773")</f>
        <v>2773</v>
      </c>
      <c r="D127" s="6" t="str">
        <f>IFERROR(__xludf.DUMMYFUNCTION("""COMPUTED_VALUE"""),"Callahan")</f>
        <v>Callahan</v>
      </c>
      <c r="E127" s="6" t="str">
        <f>IFERROR(__xludf.DUMMYFUNCTION("""COMPUTED_VALUE"""),"Callie")</f>
        <v>Callie</v>
      </c>
      <c r="F127" s="6" t="str">
        <f>IFERROR(__xludf.DUMMYFUNCTION("""COMPUTED_VALUE"""),"Krause")</f>
        <v>Krause</v>
      </c>
      <c r="G127" s="6" t="str">
        <f>IFERROR(__xludf.DUMMYFUNCTION("""COMPUTED_VALUE"""),"10/28/2018")</f>
        <v>10/28/2018</v>
      </c>
      <c r="H127" s="6" t="str">
        <f>IFERROR(__xludf.DUMMYFUNCTION("""COMPUTED_VALUE"""),"male")</f>
        <v>male</v>
      </c>
      <c r="I127" s="6" t="str">
        <f>IFERROR(__xludf.DUMMYFUNCTION("""COMPUTED_VALUE"""),"Learning Lab")</f>
        <v>Learning Lab</v>
      </c>
      <c r="J127" s="6" t="str">
        <f>IFERROR(__xludf.DUMMYFUNCTION("""COMPUTED_VALUE"""),"1")</f>
        <v>1</v>
      </c>
      <c r="K127" s="6" t="str">
        <f>IFERROR(__xludf.DUMMYFUNCTION("""COMPUTED_VALUE"""),"callahan.krause@2hourlearning.com")</f>
        <v>callahan.krause@2hourlearning.com</v>
      </c>
      <c r="L127" s="6" t="str">
        <f>IFERROR(__xludf.DUMMYFUNCTION("""COMPUTED_VALUE"""),"Alpha Anywhere (homeschool)")</f>
        <v>Alpha Anywhere (homeschool)</v>
      </c>
      <c r="M127" s="6" t="str">
        <f>IFERROR(__xludf.DUMMYFUNCTION("""COMPUTED_VALUE"""),"")</f>
        <v/>
      </c>
      <c r="N127" s="6" t="str">
        <f>IFERROR(__xludf.DUMMYFUNCTION("""COMPUTED_VALUE"""),"")</f>
        <v/>
      </c>
      <c r="O127" s="87" t="str">
        <f>IFERROR(__xludf.DUMMYFUNCTION("""COMPUTED_VALUE"""),"https://drive.google.com/drive/folders/10T2cTQHqEJZqE-st6uFKPoI?usp=share_link")</f>
        <v>https://drive.google.com/drive/folders/10T2cTQHqEJZqE-st6uFKPoI?usp=share_link</v>
      </c>
      <c r="P127" s="6" t="str">
        <f>IFERROR(__xludf.DUMMYFUNCTION("""COMPUTED_VALUE"""),"Callie Krause")</f>
        <v>Callie Krause</v>
      </c>
      <c r="Q127" s="6" t="str">
        <f>IFERROR(__xludf.DUMMYFUNCTION("""COMPUTED_VALUE"""),"LL")</f>
        <v>LL</v>
      </c>
      <c r="R127" s="6">
        <f>IFERROR(__xludf.DUMMYFUNCTION("""COMPUTED_VALUE"""),0.0)</f>
        <v>0</v>
      </c>
      <c r="S127" s="6" t="str">
        <f>IFERROR(__xludf.DUMMYFUNCTION("""COMPUTED_VALUE""")," ")</f>
        <v> </v>
      </c>
      <c r="T127" s="6" t="str">
        <f>IFERROR(__xludf.DUMMYFUNCTION("""COMPUTED_VALUE"""),"")</f>
        <v/>
      </c>
      <c r="U127" s="6" t="str">
        <f>IFERROR(__xludf.DUMMYFUNCTION("""COMPUTED_VALUE"""),"1")</f>
        <v>1</v>
      </c>
      <c r="V127" s="6" t="str">
        <f>IFERROR(__xludf.DUMMYFUNCTION("""COMPUTED_VALUE"""),"")</f>
        <v/>
      </c>
      <c r="W127" s="6" t="str">
        <f>IFERROR(__xludf.DUMMYFUNCTION("""COMPUTED_VALUE"""),"[]")</f>
        <v>[]</v>
      </c>
      <c r="X127" s="6" t="str">
        <f>IFERROR(__xludf.DUMMYFUNCTION("""COMPUTED_VALUE"""),"Enrolled")</f>
        <v>Enrolled</v>
      </c>
    </row>
    <row r="128">
      <c r="A128" s="6" t="str">
        <f>IFERROR(__xludf.DUMMYFUNCTION("""COMPUTED_VALUE"""),"000-2775")</f>
        <v>000-2775</v>
      </c>
      <c r="B128" s="6" t="str">
        <f>IFERROR(__xludf.DUMMYFUNCTION("""COMPUTED_VALUE"""),"0")</f>
        <v>0</v>
      </c>
      <c r="C128" s="6" t="str">
        <f>IFERROR(__xludf.DUMMYFUNCTION("""COMPUTED_VALUE"""),"2775")</f>
        <v>2775</v>
      </c>
      <c r="D128" s="6" t="str">
        <f>IFERROR(__xludf.DUMMYFUNCTION("""COMPUTED_VALUE"""),"Blakely")</f>
        <v>Blakely</v>
      </c>
      <c r="E128" s="6" t="str">
        <f>IFERROR(__xludf.DUMMYFUNCTION("""COMPUTED_VALUE"""),"")</f>
        <v/>
      </c>
      <c r="F128" s="6" t="str">
        <f>IFERROR(__xludf.DUMMYFUNCTION("""COMPUTED_VALUE"""),"Garner")</f>
        <v>Garner</v>
      </c>
      <c r="G128" s="6" t="str">
        <f>IFERROR(__xludf.DUMMYFUNCTION("""COMPUTED_VALUE"""),"01/05/2015")</f>
        <v>01/05/2015</v>
      </c>
      <c r="H128" s="6" t="str">
        <f>IFERROR(__xludf.DUMMYFUNCTION("""COMPUTED_VALUE"""),"female")</f>
        <v>female</v>
      </c>
      <c r="I128" s="6" t="str">
        <f>IFERROR(__xludf.DUMMYFUNCTION("""COMPUTED_VALUE"""),"Level 2")</f>
        <v>Level 2</v>
      </c>
      <c r="J128" s="6" t="str">
        <f>IFERROR(__xludf.DUMMYFUNCTION("""COMPUTED_VALUE"""),"4")</f>
        <v>4</v>
      </c>
      <c r="K128" s="6" t="str">
        <f>IFERROR(__xludf.DUMMYFUNCTION("""COMPUTED_VALUE"""),"blakely.garner@2hourlearning.com")</f>
        <v>blakely.garner@2hourlearning.com</v>
      </c>
      <c r="L128" s="6" t="str">
        <f>IFERROR(__xludf.DUMMYFUNCTION("""COMPUTED_VALUE"""),"Alpha Anywhere (homeschool)")</f>
        <v>Alpha Anywhere (homeschool)</v>
      </c>
      <c r="M128" s="6" t="str">
        <f>IFERROR(__xludf.DUMMYFUNCTION("""COMPUTED_VALUE"""),"")</f>
        <v/>
      </c>
      <c r="N128" s="6" t="str">
        <f>IFERROR(__xludf.DUMMYFUNCTION("""COMPUTED_VALUE"""),"")</f>
        <v/>
      </c>
      <c r="O128" s="87" t="str">
        <f>IFERROR(__xludf.DUMMYFUNCTION("""COMPUTED_VALUE"""),"https://drive.google.com/drive/folders/10T2cTQHqEJZqE-st6uFKPoI?usp=share_link")</f>
        <v>https://drive.google.com/drive/folders/10T2cTQHqEJZqE-st6uFKPoI?usp=share_link</v>
      </c>
      <c r="P128" s="6" t="str">
        <f>IFERROR(__xludf.DUMMYFUNCTION("""COMPUTED_VALUE"""),"Blakely Garner")</f>
        <v>Blakely Garner</v>
      </c>
      <c r="Q128" s="6" t="str">
        <f>IFERROR(__xludf.DUMMYFUNCTION("""COMPUTED_VALUE"""),"L2")</f>
        <v>L2</v>
      </c>
      <c r="R128" s="6">
        <f>IFERROR(__xludf.DUMMYFUNCTION("""COMPUTED_VALUE"""),2.0)</f>
        <v>2</v>
      </c>
      <c r="S128" s="6" t="str">
        <f>IFERROR(__xludf.DUMMYFUNCTION("""COMPUTED_VALUE""")," ")</f>
        <v> </v>
      </c>
      <c r="T128" s="6" t="str">
        <f>IFERROR(__xludf.DUMMYFUNCTION("""COMPUTED_VALUE"""),"")</f>
        <v/>
      </c>
      <c r="U128" s="6" t="str">
        <f>IFERROR(__xludf.DUMMYFUNCTION("""COMPUTED_VALUE"""),"4")</f>
        <v>4</v>
      </c>
      <c r="V128" s="6" t="str">
        <f>IFERROR(__xludf.DUMMYFUNCTION("""COMPUTED_VALUE"""),"")</f>
        <v/>
      </c>
      <c r="W128" s="6" t="str">
        <f>IFERROR(__xludf.DUMMYFUNCTION("""COMPUTED_VALUE"""),"[]")</f>
        <v>[]</v>
      </c>
      <c r="X128" s="6" t="str">
        <f>IFERROR(__xludf.DUMMYFUNCTION("""COMPUTED_VALUE"""),"Pending Review")</f>
        <v>Pending Review</v>
      </c>
    </row>
    <row r="129">
      <c r="A129" s="6" t="str">
        <f>IFERROR(__xludf.DUMMYFUNCTION("""COMPUTED_VALUE"""),"000-3577")</f>
        <v>000-3577</v>
      </c>
      <c r="B129" s="6" t="str">
        <f>IFERROR(__xludf.DUMMYFUNCTION("""COMPUTED_VALUE"""),"0")</f>
        <v>0</v>
      </c>
      <c r="C129" s="6" t="str">
        <f>IFERROR(__xludf.DUMMYFUNCTION("""COMPUTED_VALUE"""),"3577")</f>
        <v>3577</v>
      </c>
      <c r="D129" s="6" t="str">
        <f>IFERROR(__xludf.DUMMYFUNCTION("""COMPUTED_VALUE"""),"Gia")</f>
        <v>Gia</v>
      </c>
      <c r="E129" s="6" t="str">
        <f>IFERROR(__xludf.DUMMYFUNCTION("""COMPUTED_VALUE"""),"Gia")</f>
        <v>Gia</v>
      </c>
      <c r="F129" s="6" t="str">
        <f>IFERROR(__xludf.DUMMYFUNCTION("""COMPUTED_VALUE"""),"Arcieri Gaston")</f>
        <v>Arcieri Gaston</v>
      </c>
      <c r="G129" s="6" t="str">
        <f>IFERROR(__xludf.DUMMYFUNCTION("""COMPUTED_VALUE"""),"02/26/2013")</f>
        <v>02/26/2013</v>
      </c>
      <c r="H129" s="6" t="str">
        <f>IFERROR(__xludf.DUMMYFUNCTION("""COMPUTED_VALUE"""),"female")</f>
        <v>female</v>
      </c>
      <c r="I129" s="6" t="str">
        <f>IFERROR(__xludf.DUMMYFUNCTION("""COMPUTED_VALUE"""),"Middle School")</f>
        <v>Middle School</v>
      </c>
      <c r="J129" s="6" t="str">
        <f>IFERROR(__xludf.DUMMYFUNCTION("""COMPUTED_VALUE"""),"7")</f>
        <v>7</v>
      </c>
      <c r="K129" s="6" t="str">
        <f>IFERROR(__xludf.DUMMYFUNCTION("""COMPUTED_VALUE"""),"gia.gaston@2hourlearning.com")</f>
        <v>gia.gaston@2hourlearning.com</v>
      </c>
      <c r="L129" s="6" t="str">
        <f>IFERROR(__xludf.DUMMYFUNCTION("""COMPUTED_VALUE"""),"Alpha Anywhere (homeschool)")</f>
        <v>Alpha Anywhere (homeschool)</v>
      </c>
      <c r="M129" s="6" t="str">
        <f>IFERROR(__xludf.DUMMYFUNCTION("""COMPUTED_VALUE"""),"")</f>
        <v/>
      </c>
      <c r="N129" s="6" t="str">
        <f>IFERROR(__xludf.DUMMYFUNCTION("""COMPUTED_VALUE"""),"")</f>
        <v/>
      </c>
      <c r="O129" s="87" t="str">
        <f>IFERROR(__xludf.DUMMYFUNCTION("""COMPUTED_VALUE"""),"https://drive.google.com/drive/folders/10T2cTQHqEJZqE-st6uFKPoI?usp=share_link")</f>
        <v>https://drive.google.com/drive/folders/10T2cTQHqEJZqE-st6uFKPoI?usp=share_link</v>
      </c>
      <c r="P129" s="6" t="str">
        <f>IFERROR(__xludf.DUMMYFUNCTION("""COMPUTED_VALUE"""),"Gia Arcieri Gaston")</f>
        <v>Gia Arcieri Gaston</v>
      </c>
      <c r="Q129" s="6" t="str">
        <f>IFERROR(__xludf.DUMMYFUNCTION("""COMPUTED_VALUE"""),"MS")</f>
        <v>MS</v>
      </c>
      <c r="R129" s="6">
        <f>IFERROR(__xludf.DUMMYFUNCTION("""COMPUTED_VALUE"""),0.0)</f>
        <v>0</v>
      </c>
      <c r="S129" s="6" t="str">
        <f>IFERROR(__xludf.DUMMYFUNCTION("""COMPUTED_VALUE""")," ")</f>
        <v> </v>
      </c>
      <c r="T129" s="6" t="str">
        <f>IFERROR(__xludf.DUMMYFUNCTION("""COMPUTED_VALUE"""),"")</f>
        <v/>
      </c>
      <c r="U129" s="6" t="str">
        <f>IFERROR(__xludf.DUMMYFUNCTION("""COMPUTED_VALUE"""),"7")</f>
        <v>7</v>
      </c>
      <c r="V129" s="6" t="str">
        <f>IFERROR(__xludf.DUMMYFUNCTION("""COMPUTED_VALUE"""),"")</f>
        <v/>
      </c>
      <c r="W129" s="6" t="str">
        <f>IFERROR(__xludf.DUMMYFUNCTION("""COMPUTED_VALUE"""),"[]")</f>
        <v>[]</v>
      </c>
      <c r="X129" s="6" t="str">
        <f>IFERROR(__xludf.DUMMYFUNCTION("""COMPUTED_VALUE"""),"Enrolled")</f>
        <v>Enrolled</v>
      </c>
    </row>
    <row r="130">
      <c r="A130" s="6" t="str">
        <f>IFERROR(__xludf.DUMMYFUNCTION("""COMPUTED_VALUE"""),"000-3646")</f>
        <v>000-3646</v>
      </c>
      <c r="B130" s="6" t="str">
        <f>IFERROR(__xludf.DUMMYFUNCTION("""COMPUTED_VALUE"""),"0")</f>
        <v>0</v>
      </c>
      <c r="C130" s="6" t="str">
        <f>IFERROR(__xludf.DUMMYFUNCTION("""COMPUTED_VALUE"""),"3646")</f>
        <v>3646</v>
      </c>
      <c r="D130" s="6" t="str">
        <f>IFERROR(__xludf.DUMMYFUNCTION("""COMPUTED_VALUE"""),"Ava")</f>
        <v>Ava</v>
      </c>
      <c r="E130" s="6" t="str">
        <f>IFERROR(__xludf.DUMMYFUNCTION("""COMPUTED_VALUE"""),"Ava")</f>
        <v>Ava</v>
      </c>
      <c r="F130" s="6" t="str">
        <f>IFERROR(__xludf.DUMMYFUNCTION("""COMPUTED_VALUE"""),"Mavrookas")</f>
        <v>Mavrookas</v>
      </c>
      <c r="G130" s="6" t="str">
        <f>IFERROR(__xludf.DUMMYFUNCTION("""COMPUTED_VALUE"""),"03/09/2016")</f>
        <v>03/09/2016</v>
      </c>
      <c r="H130" s="6" t="str">
        <f>IFERROR(__xludf.DUMMYFUNCTION("""COMPUTED_VALUE"""),"female")</f>
        <v>female</v>
      </c>
      <c r="I130" s="6" t="str">
        <f>IFERROR(__xludf.DUMMYFUNCTION("""COMPUTED_VALUE"""),"Level 2")</f>
        <v>Level 2</v>
      </c>
      <c r="J130" s="6" t="str">
        <f>IFERROR(__xludf.DUMMYFUNCTION("""COMPUTED_VALUE"""),"4")</f>
        <v>4</v>
      </c>
      <c r="K130" s="6" t="str">
        <f>IFERROR(__xludf.DUMMYFUNCTION("""COMPUTED_VALUE"""),"ava.mavrookas@2hourlearning.com")</f>
        <v>ava.mavrookas@2hourlearning.com</v>
      </c>
      <c r="L130" s="6" t="str">
        <f>IFERROR(__xludf.DUMMYFUNCTION("""COMPUTED_VALUE"""),"Alpha Anywhere (homeschool)")</f>
        <v>Alpha Anywhere (homeschool)</v>
      </c>
      <c r="M130" s="6" t="str">
        <f>IFERROR(__xludf.DUMMYFUNCTION("""COMPUTED_VALUE"""),"")</f>
        <v/>
      </c>
      <c r="N130" s="6" t="str">
        <f>IFERROR(__xludf.DUMMYFUNCTION("""COMPUTED_VALUE"""),"")</f>
        <v/>
      </c>
      <c r="O130" s="87" t="str">
        <f>IFERROR(__xludf.DUMMYFUNCTION("""COMPUTED_VALUE"""),"https://drive.google.com/drive/folders/10T2cTQHqEJZqE-st6uFKPoI?usp=share_link")</f>
        <v>https://drive.google.com/drive/folders/10T2cTQHqEJZqE-st6uFKPoI?usp=share_link</v>
      </c>
      <c r="P130" s="6" t="str">
        <f>IFERROR(__xludf.DUMMYFUNCTION("""COMPUTED_VALUE"""),"Ava Mavrookas")</f>
        <v>Ava Mavrookas</v>
      </c>
      <c r="Q130" s="6" t="str">
        <f>IFERROR(__xludf.DUMMYFUNCTION("""COMPUTED_VALUE"""),"L2")</f>
        <v>L2</v>
      </c>
      <c r="R130" s="6">
        <f>IFERROR(__xludf.DUMMYFUNCTION("""COMPUTED_VALUE"""),2.0)</f>
        <v>2</v>
      </c>
      <c r="S130" s="6" t="str">
        <f>IFERROR(__xludf.DUMMYFUNCTION("""COMPUTED_VALUE""")," ")</f>
        <v> </v>
      </c>
      <c r="T130" s="6" t="str">
        <f>IFERROR(__xludf.DUMMYFUNCTION("""COMPUTED_VALUE"""),"")</f>
        <v/>
      </c>
      <c r="U130" s="6" t="str">
        <f>IFERROR(__xludf.DUMMYFUNCTION("""COMPUTED_VALUE"""),"4")</f>
        <v>4</v>
      </c>
      <c r="V130" s="6" t="str">
        <f>IFERROR(__xludf.DUMMYFUNCTION("""COMPUTED_VALUE"""),"")</f>
        <v/>
      </c>
      <c r="W130" s="6" t="str">
        <f>IFERROR(__xludf.DUMMYFUNCTION("""COMPUTED_VALUE"""),"[]")</f>
        <v>[]</v>
      </c>
      <c r="X130" s="6" t="str">
        <f>IFERROR(__xludf.DUMMYFUNCTION("""COMPUTED_VALUE"""),"Enrolled")</f>
        <v>Enrolled</v>
      </c>
    </row>
    <row r="131">
      <c r="A131" s="6" t="str">
        <f>IFERROR(__xludf.DUMMYFUNCTION("""COMPUTED_VALUE"""),"000-3651")</f>
        <v>000-3651</v>
      </c>
      <c r="B131" s="6" t="str">
        <f>IFERROR(__xludf.DUMMYFUNCTION("""COMPUTED_VALUE"""),"0")</f>
        <v>0</v>
      </c>
      <c r="C131" s="6" t="str">
        <f>IFERROR(__xludf.DUMMYFUNCTION("""COMPUTED_VALUE"""),"3651")</f>
        <v>3651</v>
      </c>
      <c r="D131" s="6" t="str">
        <f>IFERROR(__xludf.DUMMYFUNCTION("""COMPUTED_VALUE"""),"Seaenah")</f>
        <v>Seaenah</v>
      </c>
      <c r="E131" s="6" t="str">
        <f>IFERROR(__xludf.DUMMYFUNCTION("""COMPUTED_VALUE"""),"Seaenah")</f>
        <v>Seaenah</v>
      </c>
      <c r="F131" s="6" t="str">
        <f>IFERROR(__xludf.DUMMYFUNCTION("""COMPUTED_VALUE"""),"Starr Tolman")</f>
        <v>Starr Tolman</v>
      </c>
      <c r="G131" s="6" t="str">
        <f>IFERROR(__xludf.DUMMYFUNCTION("""COMPUTED_VALUE"""),"09/17/2011")</f>
        <v>09/17/2011</v>
      </c>
      <c r="H131" s="6" t="str">
        <f>IFERROR(__xludf.DUMMYFUNCTION("""COMPUTED_VALUE"""),"female")</f>
        <v>female</v>
      </c>
      <c r="I131" s="6" t="str">
        <f>IFERROR(__xludf.DUMMYFUNCTION("""COMPUTED_VALUE"""),"Middle School")</f>
        <v>Middle School</v>
      </c>
      <c r="J131" s="6" t="str">
        <f>IFERROR(__xludf.DUMMYFUNCTION("""COMPUTED_VALUE"""),"7")</f>
        <v>7</v>
      </c>
      <c r="K131" s="6" t="str">
        <f>IFERROR(__xludf.DUMMYFUNCTION("""COMPUTED_VALUE"""),"seaenah.starr@2hourlearning.com")</f>
        <v>seaenah.starr@2hourlearning.com</v>
      </c>
      <c r="L131" s="6" t="str">
        <f>IFERROR(__xludf.DUMMYFUNCTION("""COMPUTED_VALUE"""),"Alpha Anywhere (homeschool)")</f>
        <v>Alpha Anywhere (homeschool)</v>
      </c>
      <c r="M131" s="6" t="str">
        <f>IFERROR(__xludf.DUMMYFUNCTION("""COMPUTED_VALUE"""),"")</f>
        <v/>
      </c>
      <c r="N131" s="6" t="str">
        <f>IFERROR(__xludf.DUMMYFUNCTION("""COMPUTED_VALUE"""),"")</f>
        <v/>
      </c>
      <c r="O131" s="87" t="str">
        <f>IFERROR(__xludf.DUMMYFUNCTION("""COMPUTED_VALUE"""),"https://drive.google.com/drive/folders/10T2cTQHqEJZqE-st6uFKPoI?usp=share_link")</f>
        <v>https://drive.google.com/drive/folders/10T2cTQHqEJZqE-st6uFKPoI?usp=share_link</v>
      </c>
      <c r="P131" s="6" t="str">
        <f>IFERROR(__xludf.DUMMYFUNCTION("""COMPUTED_VALUE"""),"Seaenah Starr Tolman")</f>
        <v>Seaenah Starr Tolman</v>
      </c>
      <c r="Q131" s="6" t="str">
        <f>IFERROR(__xludf.DUMMYFUNCTION("""COMPUTED_VALUE"""),"MS")</f>
        <v>MS</v>
      </c>
      <c r="R131" s="6">
        <f>IFERROR(__xludf.DUMMYFUNCTION("""COMPUTED_VALUE"""),0.0)</f>
        <v>0</v>
      </c>
      <c r="S131" s="6" t="str">
        <f>IFERROR(__xludf.DUMMYFUNCTION("""COMPUTED_VALUE""")," ")</f>
        <v> </v>
      </c>
      <c r="T131" s="6" t="str">
        <f>IFERROR(__xludf.DUMMYFUNCTION("""COMPUTED_VALUE"""),"")</f>
        <v/>
      </c>
      <c r="U131" s="6" t="str">
        <f>IFERROR(__xludf.DUMMYFUNCTION("""COMPUTED_VALUE"""),"7")</f>
        <v>7</v>
      </c>
      <c r="V131" s="6" t="str">
        <f>IFERROR(__xludf.DUMMYFUNCTION("""COMPUTED_VALUE"""),"")</f>
        <v/>
      </c>
      <c r="W131" s="6" t="str">
        <f>IFERROR(__xludf.DUMMYFUNCTION("""COMPUTED_VALUE"""),"[]")</f>
        <v>[]</v>
      </c>
      <c r="X131" s="6" t="str">
        <f>IFERROR(__xludf.DUMMYFUNCTION("""COMPUTED_VALUE"""),"Enrolled")</f>
        <v>Enrolled</v>
      </c>
    </row>
    <row r="132">
      <c r="A132" s="6" t="str">
        <f>IFERROR(__xludf.DUMMYFUNCTION("""COMPUTED_VALUE"""),"000-3713")</f>
        <v>000-3713</v>
      </c>
      <c r="B132" s="6" t="str">
        <f>IFERROR(__xludf.DUMMYFUNCTION("""COMPUTED_VALUE"""),"0")</f>
        <v>0</v>
      </c>
      <c r="C132" s="6" t="str">
        <f>IFERROR(__xludf.DUMMYFUNCTION("""COMPUTED_VALUE"""),"3713")</f>
        <v>3713</v>
      </c>
      <c r="D132" s="6" t="str">
        <f>IFERROR(__xludf.DUMMYFUNCTION("""COMPUTED_VALUE"""),"Etienne")</f>
        <v>Etienne</v>
      </c>
      <c r="E132" s="6" t="str">
        <f>IFERROR(__xludf.DUMMYFUNCTION("""COMPUTED_VALUE"""),"Etie")</f>
        <v>Etie</v>
      </c>
      <c r="F132" s="6" t="str">
        <f>IFERROR(__xludf.DUMMYFUNCTION("""COMPUTED_VALUE"""),"Smith Holt")</f>
        <v>Smith Holt</v>
      </c>
      <c r="G132" s="6" t="str">
        <f>IFERROR(__xludf.DUMMYFUNCTION("""COMPUTED_VALUE"""),"04/30/2014")</f>
        <v>04/30/2014</v>
      </c>
      <c r="H132" s="6" t="str">
        <f>IFERROR(__xludf.DUMMYFUNCTION("""COMPUTED_VALUE"""),"female")</f>
        <v>female</v>
      </c>
      <c r="I132" s="6" t="str">
        <f>IFERROR(__xludf.DUMMYFUNCTION("""COMPUTED_VALUE"""),"Middle School")</f>
        <v>Middle School</v>
      </c>
      <c r="J132" s="6" t="str">
        <f>IFERROR(__xludf.DUMMYFUNCTION("""COMPUTED_VALUE"""),"6")</f>
        <v>6</v>
      </c>
      <c r="K132" s="6" t="str">
        <f>IFERROR(__xludf.DUMMYFUNCTION("""COMPUTED_VALUE"""),"etienne.holt@2hourlearning.com")</f>
        <v>etienne.holt@2hourlearning.com</v>
      </c>
      <c r="L132" s="6" t="str">
        <f>IFERROR(__xludf.DUMMYFUNCTION("""COMPUTED_VALUE"""),"Alpha Anywhere (homeschool)")</f>
        <v>Alpha Anywhere (homeschool)</v>
      </c>
      <c r="M132" s="6" t="str">
        <f>IFERROR(__xludf.DUMMYFUNCTION("""COMPUTED_VALUE"""),"")</f>
        <v/>
      </c>
      <c r="N132" s="6" t="str">
        <f>IFERROR(__xludf.DUMMYFUNCTION("""COMPUTED_VALUE"""),"")</f>
        <v/>
      </c>
      <c r="O132" s="87" t="str">
        <f>IFERROR(__xludf.DUMMYFUNCTION("""COMPUTED_VALUE"""),"https://drive.google.com/drive/folders/10T2cTQHqEJZqE-st6uFKPoI?usp=share_link")</f>
        <v>https://drive.google.com/drive/folders/10T2cTQHqEJZqE-st6uFKPoI?usp=share_link</v>
      </c>
      <c r="P132" s="6" t="str">
        <f>IFERROR(__xludf.DUMMYFUNCTION("""COMPUTED_VALUE"""),"Etie Smith Holt")</f>
        <v>Etie Smith Holt</v>
      </c>
      <c r="Q132" s="6" t="str">
        <f>IFERROR(__xludf.DUMMYFUNCTION("""COMPUTED_VALUE"""),"MS")</f>
        <v>MS</v>
      </c>
      <c r="R132" s="6">
        <f>IFERROR(__xludf.DUMMYFUNCTION("""COMPUTED_VALUE"""),0.0)</f>
        <v>0</v>
      </c>
      <c r="S132" s="6" t="str">
        <f>IFERROR(__xludf.DUMMYFUNCTION("""COMPUTED_VALUE""")," ")</f>
        <v> </v>
      </c>
      <c r="T132" s="6" t="str">
        <f>IFERROR(__xludf.DUMMYFUNCTION("""COMPUTED_VALUE"""),"")</f>
        <v/>
      </c>
      <c r="U132" s="6" t="str">
        <f>IFERROR(__xludf.DUMMYFUNCTION("""COMPUTED_VALUE"""),"6")</f>
        <v>6</v>
      </c>
      <c r="V132" s="6" t="str">
        <f>IFERROR(__xludf.DUMMYFUNCTION("""COMPUTED_VALUE"""),"")</f>
        <v/>
      </c>
      <c r="W132" s="6" t="str">
        <f>IFERROR(__xludf.DUMMYFUNCTION("""COMPUTED_VALUE"""),"[]")</f>
        <v>[]</v>
      </c>
      <c r="X132" s="6" t="str">
        <f>IFERROR(__xludf.DUMMYFUNCTION("""COMPUTED_VALUE"""),"Enrolled")</f>
        <v>Enrolled</v>
      </c>
    </row>
    <row r="133">
      <c r="A133" s="6" t="str">
        <f>IFERROR(__xludf.DUMMYFUNCTION("""COMPUTED_VALUE"""),"000-3760")</f>
        <v>000-3760</v>
      </c>
      <c r="B133" s="6" t="str">
        <f>IFERROR(__xludf.DUMMYFUNCTION("""COMPUTED_VALUE"""),"0")</f>
        <v>0</v>
      </c>
      <c r="C133" s="6" t="str">
        <f>IFERROR(__xludf.DUMMYFUNCTION("""COMPUTED_VALUE"""),"3760")</f>
        <v>3760</v>
      </c>
      <c r="D133" s="6" t="str">
        <f>IFERROR(__xludf.DUMMYFUNCTION("""COMPUTED_VALUE"""),"Jackson")</f>
        <v>Jackson</v>
      </c>
      <c r="E133" s="6" t="str">
        <f>IFERROR(__xludf.DUMMYFUNCTION("""COMPUTED_VALUE"""),"")</f>
        <v/>
      </c>
      <c r="F133" s="6" t="str">
        <f>IFERROR(__xludf.DUMMYFUNCTION("""COMPUTED_VALUE"""),"Gadd")</f>
        <v>Gadd</v>
      </c>
      <c r="G133" s="6" t="str">
        <f>IFERROR(__xludf.DUMMYFUNCTION("""COMPUTED_VALUE"""),"10/18/2013")</f>
        <v>10/18/2013</v>
      </c>
      <c r="H133" s="6" t="str">
        <f>IFERROR(__xludf.DUMMYFUNCTION("""COMPUTED_VALUE"""),"Self Identify")</f>
        <v>Self Identify</v>
      </c>
      <c r="I133" s="6" t="str">
        <f>IFERROR(__xludf.DUMMYFUNCTION("""COMPUTED_VALUE"""),"Middle School")</f>
        <v>Middle School</v>
      </c>
      <c r="J133" s="6" t="str">
        <f>IFERROR(__xludf.DUMMYFUNCTION("""COMPUTED_VALUE"""),"6")</f>
        <v>6</v>
      </c>
      <c r="K133" s="6" t="str">
        <f>IFERROR(__xludf.DUMMYFUNCTION("""COMPUTED_VALUE"""),"jackson.gadd@2hourlearning.com")</f>
        <v>jackson.gadd@2hourlearning.com</v>
      </c>
      <c r="L133" s="6" t="str">
        <f>IFERROR(__xludf.DUMMYFUNCTION("""COMPUTED_VALUE"""),"Alpha Anywhere (homeschool)")</f>
        <v>Alpha Anywhere (homeschool)</v>
      </c>
      <c r="M133" s="6" t="str">
        <f>IFERROR(__xludf.DUMMYFUNCTION("""COMPUTED_VALUE"""),"")</f>
        <v/>
      </c>
      <c r="N133" s="6" t="str">
        <f>IFERROR(__xludf.DUMMYFUNCTION("""COMPUTED_VALUE"""),"")</f>
        <v/>
      </c>
      <c r="O133" s="87" t="str">
        <f>IFERROR(__xludf.DUMMYFUNCTION("""COMPUTED_VALUE"""),"https://drive.google.com/drive/folders/10T2cTQHqEJZqE-st6uFKPoI?usp=share_link")</f>
        <v>https://drive.google.com/drive/folders/10T2cTQHqEJZqE-st6uFKPoI?usp=share_link</v>
      </c>
      <c r="P133" s="6" t="str">
        <f>IFERROR(__xludf.DUMMYFUNCTION("""COMPUTED_VALUE"""),"Jackson Gadd")</f>
        <v>Jackson Gadd</v>
      </c>
      <c r="Q133" s="6" t="str">
        <f>IFERROR(__xludf.DUMMYFUNCTION("""COMPUTED_VALUE"""),"MS")</f>
        <v>MS</v>
      </c>
      <c r="R133" s="6">
        <f>IFERROR(__xludf.DUMMYFUNCTION("""COMPUTED_VALUE"""),0.0)</f>
        <v>0</v>
      </c>
      <c r="S133" s="6" t="str">
        <f>IFERROR(__xludf.DUMMYFUNCTION("""COMPUTED_VALUE""")," ")</f>
        <v> </v>
      </c>
      <c r="T133" s="6" t="str">
        <f>IFERROR(__xludf.DUMMYFUNCTION("""COMPUTED_VALUE"""),"")</f>
        <v/>
      </c>
      <c r="U133" s="6" t="str">
        <f>IFERROR(__xludf.DUMMYFUNCTION("""COMPUTED_VALUE"""),"6")</f>
        <v>6</v>
      </c>
      <c r="V133" s="6" t="str">
        <f>IFERROR(__xludf.DUMMYFUNCTION("""COMPUTED_VALUE"""),"")</f>
        <v/>
      </c>
      <c r="W133" s="6" t="str">
        <f>IFERROR(__xludf.DUMMYFUNCTION("""COMPUTED_VALUE"""),"[]")</f>
        <v>[]</v>
      </c>
      <c r="X133" s="6" t="str">
        <f>IFERROR(__xludf.DUMMYFUNCTION("""COMPUTED_VALUE"""),"Enrolled")</f>
        <v>Enrolled</v>
      </c>
    </row>
    <row r="134">
      <c r="A134" s="6" t="str">
        <f>IFERROR(__xludf.DUMMYFUNCTION("""COMPUTED_VALUE"""),"000-3761")</f>
        <v>000-3761</v>
      </c>
      <c r="B134" s="6" t="str">
        <f>IFERROR(__xludf.DUMMYFUNCTION("""COMPUTED_VALUE"""),"0")</f>
        <v>0</v>
      </c>
      <c r="C134" s="6" t="str">
        <f>IFERROR(__xludf.DUMMYFUNCTION("""COMPUTED_VALUE"""),"3761")</f>
        <v>3761</v>
      </c>
      <c r="D134" s="6" t="str">
        <f>IFERROR(__xludf.DUMMYFUNCTION("""COMPUTED_VALUE"""),"Kiran")</f>
        <v>Kiran</v>
      </c>
      <c r="E134" s="6" t="str">
        <f>IFERROR(__xludf.DUMMYFUNCTION("""COMPUTED_VALUE"""),"")</f>
        <v/>
      </c>
      <c r="F134" s="6" t="str">
        <f>IFERROR(__xludf.DUMMYFUNCTION("""COMPUTED_VALUE"""),"Gadd")</f>
        <v>Gadd</v>
      </c>
      <c r="G134" s="6" t="str">
        <f>IFERROR(__xludf.DUMMYFUNCTION("""COMPUTED_VALUE"""),"02/05/2016")</f>
        <v>02/05/2016</v>
      </c>
      <c r="H134" s="6" t="str">
        <f>IFERROR(__xludf.DUMMYFUNCTION("""COMPUTED_VALUE"""),"Self Identify")</f>
        <v>Self Identify</v>
      </c>
      <c r="I134" s="6" t="str">
        <f>IFERROR(__xludf.DUMMYFUNCTION("""COMPUTED_VALUE"""),"Level 2")</f>
        <v>Level 2</v>
      </c>
      <c r="J134" s="6" t="str">
        <f>IFERROR(__xludf.DUMMYFUNCTION("""COMPUTED_VALUE"""),"4")</f>
        <v>4</v>
      </c>
      <c r="K134" s="6" t="str">
        <f>IFERROR(__xludf.DUMMYFUNCTION("""COMPUTED_VALUE"""),"kiran.gadd@2hourlearning.com")</f>
        <v>kiran.gadd@2hourlearning.com</v>
      </c>
      <c r="L134" s="6" t="str">
        <f>IFERROR(__xludf.DUMMYFUNCTION("""COMPUTED_VALUE"""),"Alpha Anywhere (homeschool)")</f>
        <v>Alpha Anywhere (homeschool)</v>
      </c>
      <c r="M134" s="6" t="str">
        <f>IFERROR(__xludf.DUMMYFUNCTION("""COMPUTED_VALUE"""),"")</f>
        <v/>
      </c>
      <c r="N134" s="6" t="str">
        <f>IFERROR(__xludf.DUMMYFUNCTION("""COMPUTED_VALUE"""),"")</f>
        <v/>
      </c>
      <c r="O134" s="87" t="str">
        <f>IFERROR(__xludf.DUMMYFUNCTION("""COMPUTED_VALUE"""),"https://drive.google.com/drive/folders/10T2cTQHqEJZqE-st6uFKPoI?usp=share_link")</f>
        <v>https://drive.google.com/drive/folders/10T2cTQHqEJZqE-st6uFKPoI?usp=share_link</v>
      </c>
      <c r="P134" s="6" t="str">
        <f>IFERROR(__xludf.DUMMYFUNCTION("""COMPUTED_VALUE"""),"Kiran Gadd")</f>
        <v>Kiran Gadd</v>
      </c>
      <c r="Q134" s="6" t="str">
        <f>IFERROR(__xludf.DUMMYFUNCTION("""COMPUTED_VALUE"""),"L2")</f>
        <v>L2</v>
      </c>
      <c r="R134" s="6">
        <f>IFERROR(__xludf.DUMMYFUNCTION("""COMPUTED_VALUE"""),2.0)</f>
        <v>2</v>
      </c>
      <c r="S134" s="6" t="str">
        <f>IFERROR(__xludf.DUMMYFUNCTION("""COMPUTED_VALUE""")," ")</f>
        <v> </v>
      </c>
      <c r="T134" s="6" t="str">
        <f>IFERROR(__xludf.DUMMYFUNCTION("""COMPUTED_VALUE"""),"")</f>
        <v/>
      </c>
      <c r="U134" s="6" t="str">
        <f>IFERROR(__xludf.DUMMYFUNCTION("""COMPUTED_VALUE"""),"4")</f>
        <v>4</v>
      </c>
      <c r="V134" s="6" t="str">
        <f>IFERROR(__xludf.DUMMYFUNCTION("""COMPUTED_VALUE"""),"")</f>
        <v/>
      </c>
      <c r="W134" s="6" t="str">
        <f>IFERROR(__xludf.DUMMYFUNCTION("""COMPUTED_VALUE"""),"[]")</f>
        <v>[]</v>
      </c>
      <c r="X134" s="6" t="str">
        <f>IFERROR(__xludf.DUMMYFUNCTION("""COMPUTED_VALUE"""),"Enrolled")</f>
        <v>Enrolled</v>
      </c>
    </row>
    <row r="135">
      <c r="A135" s="6" t="str">
        <f>IFERROR(__xludf.DUMMYFUNCTION("""COMPUTED_VALUE"""),"000-3764")</f>
        <v>000-3764</v>
      </c>
      <c r="B135" s="6" t="str">
        <f>IFERROR(__xludf.DUMMYFUNCTION("""COMPUTED_VALUE"""),"0")</f>
        <v>0</v>
      </c>
      <c r="C135" s="6" t="str">
        <f>IFERROR(__xludf.DUMMYFUNCTION("""COMPUTED_VALUE"""),"3764")</f>
        <v>3764</v>
      </c>
      <c r="D135" s="6" t="str">
        <f>IFERROR(__xludf.DUMMYFUNCTION("""COMPUTED_VALUE"""),"Emma")</f>
        <v>Emma</v>
      </c>
      <c r="E135" s="6" t="str">
        <f>IFERROR(__xludf.DUMMYFUNCTION("""COMPUTED_VALUE"""),"")</f>
        <v/>
      </c>
      <c r="F135" s="6" t="str">
        <f>IFERROR(__xludf.DUMMYFUNCTION("""COMPUTED_VALUE"""),"Moy")</f>
        <v>Moy</v>
      </c>
      <c r="G135" s="6" t="str">
        <f>IFERROR(__xludf.DUMMYFUNCTION("""COMPUTED_VALUE"""),"07/03/2017")</f>
        <v>07/03/2017</v>
      </c>
      <c r="H135" s="6" t="str">
        <f>IFERROR(__xludf.DUMMYFUNCTION("""COMPUTED_VALUE"""),"Self Identify")</f>
        <v>Self Identify</v>
      </c>
      <c r="I135" s="6" t="str">
        <f>IFERROR(__xludf.DUMMYFUNCTION("""COMPUTED_VALUE"""),"Level 1")</f>
        <v>Level 1</v>
      </c>
      <c r="J135" s="6" t="str">
        <f>IFERROR(__xludf.DUMMYFUNCTION("""COMPUTED_VALUE"""),"3")</f>
        <v>3</v>
      </c>
      <c r="K135" s="6" t="str">
        <f>IFERROR(__xludf.DUMMYFUNCTION("""COMPUTED_VALUE"""),"emma.moy@2hourlearning.com")</f>
        <v>emma.moy@2hourlearning.com</v>
      </c>
      <c r="L135" s="6" t="str">
        <f>IFERROR(__xludf.DUMMYFUNCTION("""COMPUTED_VALUE"""),"Alpha Anywhere (homeschool)")</f>
        <v>Alpha Anywhere (homeschool)</v>
      </c>
      <c r="M135" s="6" t="str">
        <f>IFERROR(__xludf.DUMMYFUNCTION("""COMPUTED_VALUE"""),"")</f>
        <v/>
      </c>
      <c r="N135" s="6" t="str">
        <f>IFERROR(__xludf.DUMMYFUNCTION("""COMPUTED_VALUE"""),"")</f>
        <v/>
      </c>
      <c r="O135" s="87" t="str">
        <f>IFERROR(__xludf.DUMMYFUNCTION("""COMPUTED_VALUE"""),"https://drive.google.com/drive/folders/10T2cTQHqEJZqE-st6uFKPoI?usp=share_link")</f>
        <v>https://drive.google.com/drive/folders/10T2cTQHqEJZqE-st6uFKPoI?usp=share_link</v>
      </c>
      <c r="P135" s="6" t="str">
        <f>IFERROR(__xludf.DUMMYFUNCTION("""COMPUTED_VALUE"""),"Emma Moy")</f>
        <v>Emma Moy</v>
      </c>
      <c r="Q135" s="6" t="str">
        <f>IFERROR(__xludf.DUMMYFUNCTION("""COMPUTED_VALUE"""),"L1")</f>
        <v>L1</v>
      </c>
      <c r="R135" s="6">
        <f>IFERROR(__xludf.DUMMYFUNCTION("""COMPUTED_VALUE"""),1.0)</f>
        <v>1</v>
      </c>
      <c r="S135" s="6" t="str">
        <f>IFERROR(__xludf.DUMMYFUNCTION("""COMPUTED_VALUE""")," ")</f>
        <v> </v>
      </c>
      <c r="T135" s="6" t="str">
        <f>IFERROR(__xludf.DUMMYFUNCTION("""COMPUTED_VALUE"""),"")</f>
        <v/>
      </c>
      <c r="U135" s="6" t="str">
        <f>IFERROR(__xludf.DUMMYFUNCTION("""COMPUTED_VALUE"""),"3")</f>
        <v>3</v>
      </c>
      <c r="V135" s="6" t="str">
        <f>IFERROR(__xludf.DUMMYFUNCTION("""COMPUTED_VALUE"""),"")</f>
        <v/>
      </c>
      <c r="W135" s="6" t="str">
        <f>IFERROR(__xludf.DUMMYFUNCTION("""COMPUTED_VALUE"""),"[]")</f>
        <v>[]</v>
      </c>
      <c r="X135" s="6" t="str">
        <f>IFERROR(__xludf.DUMMYFUNCTION("""COMPUTED_VALUE"""),"Enrolled")</f>
        <v>Enrolled</v>
      </c>
    </row>
    <row r="136">
      <c r="A136" s="6" t="str">
        <f>IFERROR(__xludf.DUMMYFUNCTION("""COMPUTED_VALUE"""),"000-3771")</f>
        <v>000-3771</v>
      </c>
      <c r="B136" s="6" t="str">
        <f>IFERROR(__xludf.DUMMYFUNCTION("""COMPUTED_VALUE"""),"0")</f>
        <v>0</v>
      </c>
      <c r="C136" s="6" t="str">
        <f>IFERROR(__xludf.DUMMYFUNCTION("""COMPUTED_VALUE"""),"3771")</f>
        <v>3771</v>
      </c>
      <c r="D136" s="6" t="str">
        <f>IFERROR(__xludf.DUMMYFUNCTION("""COMPUTED_VALUE"""),"Ezra")</f>
        <v>Ezra</v>
      </c>
      <c r="E136" s="6" t="str">
        <f>IFERROR(__xludf.DUMMYFUNCTION("""COMPUTED_VALUE"""),"")</f>
        <v/>
      </c>
      <c r="F136" s="6" t="str">
        <f>IFERROR(__xludf.DUMMYFUNCTION("""COMPUTED_VALUE"""),"Burrola")</f>
        <v>Burrola</v>
      </c>
      <c r="G136" s="6" t="str">
        <f>IFERROR(__xludf.DUMMYFUNCTION("""COMPUTED_VALUE"""),"11/18/2011")</f>
        <v>11/18/2011</v>
      </c>
      <c r="H136" s="6" t="str">
        <f>IFERROR(__xludf.DUMMYFUNCTION("""COMPUTED_VALUE"""),"Self Identify")</f>
        <v>Self Identify</v>
      </c>
      <c r="I136" s="6" t="str">
        <f>IFERROR(__xludf.DUMMYFUNCTION("""COMPUTED_VALUE"""),"Middle School")</f>
        <v>Middle School</v>
      </c>
      <c r="J136" s="6" t="str">
        <f>IFERROR(__xludf.DUMMYFUNCTION("""COMPUTED_VALUE"""),"7")</f>
        <v>7</v>
      </c>
      <c r="K136" s="6" t="str">
        <f>IFERROR(__xludf.DUMMYFUNCTION("""COMPUTED_VALUE"""),"ezra.burrola@2hourlearning.com")</f>
        <v>ezra.burrola@2hourlearning.com</v>
      </c>
      <c r="L136" s="6" t="str">
        <f>IFERROR(__xludf.DUMMYFUNCTION("""COMPUTED_VALUE"""),"Alpha Anywhere (homeschool)")</f>
        <v>Alpha Anywhere (homeschool)</v>
      </c>
      <c r="M136" s="6" t="str">
        <f>IFERROR(__xludf.DUMMYFUNCTION("""COMPUTED_VALUE"""),"")</f>
        <v/>
      </c>
      <c r="N136" s="6" t="str">
        <f>IFERROR(__xludf.DUMMYFUNCTION("""COMPUTED_VALUE"""),"")</f>
        <v/>
      </c>
      <c r="O136" s="87" t="str">
        <f>IFERROR(__xludf.DUMMYFUNCTION("""COMPUTED_VALUE"""),"https://drive.google.com/drive/folders/10T2cTQHqEJZqE-st6uFKPoI?usp=share_link")</f>
        <v>https://drive.google.com/drive/folders/10T2cTQHqEJZqE-st6uFKPoI?usp=share_link</v>
      </c>
      <c r="P136" s="6" t="str">
        <f>IFERROR(__xludf.DUMMYFUNCTION("""COMPUTED_VALUE"""),"Ezra Burrola")</f>
        <v>Ezra Burrola</v>
      </c>
      <c r="Q136" s="6" t="str">
        <f>IFERROR(__xludf.DUMMYFUNCTION("""COMPUTED_VALUE"""),"MS")</f>
        <v>MS</v>
      </c>
      <c r="R136" s="6">
        <f>IFERROR(__xludf.DUMMYFUNCTION("""COMPUTED_VALUE"""),0.0)</f>
        <v>0</v>
      </c>
      <c r="S136" s="6" t="str">
        <f>IFERROR(__xludf.DUMMYFUNCTION("""COMPUTED_VALUE""")," ")</f>
        <v> </v>
      </c>
      <c r="T136" s="6" t="str">
        <f>IFERROR(__xludf.DUMMYFUNCTION("""COMPUTED_VALUE"""),"")</f>
        <v/>
      </c>
      <c r="U136" s="6" t="str">
        <f>IFERROR(__xludf.DUMMYFUNCTION("""COMPUTED_VALUE"""),"7")</f>
        <v>7</v>
      </c>
      <c r="V136" s="6" t="str">
        <f>IFERROR(__xludf.DUMMYFUNCTION("""COMPUTED_VALUE"""),"")</f>
        <v/>
      </c>
      <c r="W136" s="6" t="str">
        <f>IFERROR(__xludf.DUMMYFUNCTION("""COMPUTED_VALUE"""),"[]")</f>
        <v>[]</v>
      </c>
      <c r="X136" s="6" t="str">
        <f>IFERROR(__xludf.DUMMYFUNCTION("""COMPUTED_VALUE"""),"Enrolled")</f>
        <v>Enrolled</v>
      </c>
    </row>
    <row r="137">
      <c r="A137" s="6" t="str">
        <f>IFERROR(__xludf.DUMMYFUNCTION("""COMPUTED_VALUE"""),"000-3772")</f>
        <v>000-3772</v>
      </c>
      <c r="B137" s="6" t="str">
        <f>IFERROR(__xludf.DUMMYFUNCTION("""COMPUTED_VALUE"""),"0")</f>
        <v>0</v>
      </c>
      <c r="C137" s="6" t="str">
        <f>IFERROR(__xludf.DUMMYFUNCTION("""COMPUTED_VALUE"""),"3772")</f>
        <v>3772</v>
      </c>
      <c r="D137" s="6" t="str">
        <f>IFERROR(__xludf.DUMMYFUNCTION("""COMPUTED_VALUE"""),"Emma")</f>
        <v>Emma</v>
      </c>
      <c r="E137" s="6" t="str">
        <f>IFERROR(__xludf.DUMMYFUNCTION("""COMPUTED_VALUE"""),"")</f>
        <v/>
      </c>
      <c r="F137" s="6" t="str">
        <f>IFERROR(__xludf.DUMMYFUNCTION("""COMPUTED_VALUE"""),"Burrola")</f>
        <v>Burrola</v>
      </c>
      <c r="G137" s="6" t="str">
        <f>IFERROR(__xludf.DUMMYFUNCTION("""COMPUTED_VALUE"""),"05/20/2013")</f>
        <v>05/20/2013</v>
      </c>
      <c r="H137" s="6" t="str">
        <f>IFERROR(__xludf.DUMMYFUNCTION("""COMPUTED_VALUE"""),"Self Identify")</f>
        <v>Self Identify</v>
      </c>
      <c r="I137" s="6" t="str">
        <f>IFERROR(__xludf.DUMMYFUNCTION("""COMPUTED_VALUE"""),"Middle School")</f>
        <v>Middle School</v>
      </c>
      <c r="J137" s="6" t="str">
        <f>IFERROR(__xludf.DUMMYFUNCTION("""COMPUTED_VALUE"""),"8")</f>
        <v>8</v>
      </c>
      <c r="K137" s="6" t="str">
        <f>IFERROR(__xludf.DUMMYFUNCTION("""COMPUTED_VALUE"""),"emma.burrola@2hourlearning.com")</f>
        <v>emma.burrola@2hourlearning.com</v>
      </c>
      <c r="L137" s="6" t="str">
        <f>IFERROR(__xludf.DUMMYFUNCTION("""COMPUTED_VALUE"""),"Alpha Anywhere (homeschool)")</f>
        <v>Alpha Anywhere (homeschool)</v>
      </c>
      <c r="M137" s="6" t="str">
        <f>IFERROR(__xludf.DUMMYFUNCTION("""COMPUTED_VALUE"""),"")</f>
        <v/>
      </c>
      <c r="N137" s="6" t="str">
        <f>IFERROR(__xludf.DUMMYFUNCTION("""COMPUTED_VALUE"""),"")</f>
        <v/>
      </c>
      <c r="O137" s="87" t="str">
        <f>IFERROR(__xludf.DUMMYFUNCTION("""COMPUTED_VALUE"""),"https://drive.google.com/drive/folders/10T2cTQHqEJZqE-st6uFKPoI?usp=share_link")</f>
        <v>https://drive.google.com/drive/folders/10T2cTQHqEJZqE-st6uFKPoI?usp=share_link</v>
      </c>
      <c r="P137" s="6" t="str">
        <f>IFERROR(__xludf.DUMMYFUNCTION("""COMPUTED_VALUE"""),"Emma Burrola")</f>
        <v>Emma Burrola</v>
      </c>
      <c r="Q137" s="6" t="str">
        <f>IFERROR(__xludf.DUMMYFUNCTION("""COMPUTED_VALUE"""),"MS")</f>
        <v>MS</v>
      </c>
      <c r="R137" s="6">
        <f>IFERROR(__xludf.DUMMYFUNCTION("""COMPUTED_VALUE"""),0.0)</f>
        <v>0</v>
      </c>
      <c r="S137" s="6" t="str">
        <f>IFERROR(__xludf.DUMMYFUNCTION("""COMPUTED_VALUE""")," ")</f>
        <v> </v>
      </c>
      <c r="T137" s="6" t="str">
        <f>IFERROR(__xludf.DUMMYFUNCTION("""COMPUTED_VALUE"""),"")</f>
        <v/>
      </c>
      <c r="U137" s="6" t="str">
        <f>IFERROR(__xludf.DUMMYFUNCTION("""COMPUTED_VALUE"""),"8")</f>
        <v>8</v>
      </c>
      <c r="V137" s="6" t="str">
        <f>IFERROR(__xludf.DUMMYFUNCTION("""COMPUTED_VALUE"""),"")</f>
        <v/>
      </c>
      <c r="W137" s="6" t="str">
        <f>IFERROR(__xludf.DUMMYFUNCTION("""COMPUTED_VALUE"""),"[]")</f>
        <v>[]</v>
      </c>
      <c r="X137" s="6" t="str">
        <f>IFERROR(__xludf.DUMMYFUNCTION("""COMPUTED_VALUE"""),"Enrolled")</f>
        <v>Enrolled</v>
      </c>
    </row>
    <row r="138">
      <c r="A138" s="6" t="str">
        <f>IFERROR(__xludf.DUMMYFUNCTION("""COMPUTED_VALUE"""),"000-3782")</f>
        <v>000-3782</v>
      </c>
      <c r="B138" s="6" t="str">
        <f>IFERROR(__xludf.DUMMYFUNCTION("""COMPUTED_VALUE"""),"0")</f>
        <v>0</v>
      </c>
      <c r="C138" s="6" t="str">
        <f>IFERROR(__xludf.DUMMYFUNCTION("""COMPUTED_VALUE"""),"3782")</f>
        <v>3782</v>
      </c>
      <c r="D138" s="6" t="str">
        <f>IFERROR(__xludf.DUMMYFUNCTION("""COMPUTED_VALUE"""),"Dior")</f>
        <v>Dior</v>
      </c>
      <c r="E138" s="6" t="str">
        <f>IFERROR(__xludf.DUMMYFUNCTION("""COMPUTED_VALUE"""),"")</f>
        <v/>
      </c>
      <c r="F138" s="6" t="str">
        <f>IFERROR(__xludf.DUMMYFUNCTION("""COMPUTED_VALUE"""),"VanOsdale")</f>
        <v>VanOsdale</v>
      </c>
      <c r="G138" s="6" t="str">
        <f>IFERROR(__xludf.DUMMYFUNCTION("""COMPUTED_VALUE"""),"10/04/2018")</f>
        <v>10/04/2018</v>
      </c>
      <c r="H138" s="6" t="str">
        <f>IFERROR(__xludf.DUMMYFUNCTION("""COMPUTED_VALUE"""),"Self Identify")</f>
        <v>Self Identify</v>
      </c>
      <c r="I138" s="6" t="str">
        <f>IFERROR(__xludf.DUMMYFUNCTION("""COMPUTED_VALUE"""),"Learning Lab")</f>
        <v>Learning Lab</v>
      </c>
      <c r="J138" s="6" t="str">
        <f>IFERROR(__xludf.DUMMYFUNCTION("""COMPUTED_VALUE"""),"1")</f>
        <v>1</v>
      </c>
      <c r="K138" s="6" t="str">
        <f>IFERROR(__xludf.DUMMYFUNCTION("""COMPUTED_VALUE"""),"dior.vanosdale@2hourlearning.com")</f>
        <v>dior.vanosdale@2hourlearning.com</v>
      </c>
      <c r="L138" s="6" t="str">
        <f>IFERROR(__xludf.DUMMYFUNCTION("""COMPUTED_VALUE"""),"Alpha Anywhere (homeschool)")</f>
        <v>Alpha Anywhere (homeschool)</v>
      </c>
      <c r="M138" s="6" t="str">
        <f>IFERROR(__xludf.DUMMYFUNCTION("""COMPUTED_VALUE"""),"")</f>
        <v/>
      </c>
      <c r="N138" s="6" t="str">
        <f>IFERROR(__xludf.DUMMYFUNCTION("""COMPUTED_VALUE"""),"")</f>
        <v/>
      </c>
      <c r="O138" s="87" t="str">
        <f>IFERROR(__xludf.DUMMYFUNCTION("""COMPUTED_VALUE"""),"https://drive.google.com/drive/folders/10T2cTQHqEJZqE-st6uFKPoI?usp=share_link")</f>
        <v>https://drive.google.com/drive/folders/10T2cTQHqEJZqE-st6uFKPoI?usp=share_link</v>
      </c>
      <c r="P138" s="6" t="str">
        <f>IFERROR(__xludf.DUMMYFUNCTION("""COMPUTED_VALUE"""),"Dior VanOsdale")</f>
        <v>Dior VanOsdale</v>
      </c>
      <c r="Q138" s="6" t="str">
        <f>IFERROR(__xludf.DUMMYFUNCTION("""COMPUTED_VALUE"""),"LL")</f>
        <v>LL</v>
      </c>
      <c r="R138" s="6">
        <f>IFERROR(__xludf.DUMMYFUNCTION("""COMPUTED_VALUE"""),0.0)</f>
        <v>0</v>
      </c>
      <c r="S138" s="6" t="str">
        <f>IFERROR(__xludf.DUMMYFUNCTION("""COMPUTED_VALUE""")," ")</f>
        <v> </v>
      </c>
      <c r="T138" s="6" t="str">
        <f>IFERROR(__xludf.DUMMYFUNCTION("""COMPUTED_VALUE"""),"")</f>
        <v/>
      </c>
      <c r="U138" s="6" t="str">
        <f>IFERROR(__xludf.DUMMYFUNCTION("""COMPUTED_VALUE"""),"1")</f>
        <v>1</v>
      </c>
      <c r="V138" s="6" t="str">
        <f>IFERROR(__xludf.DUMMYFUNCTION("""COMPUTED_VALUE"""),"")</f>
        <v/>
      </c>
      <c r="W138" s="6" t="str">
        <f>IFERROR(__xludf.DUMMYFUNCTION("""COMPUTED_VALUE"""),"[]")</f>
        <v>[]</v>
      </c>
      <c r="X138" s="6" t="str">
        <f>IFERROR(__xludf.DUMMYFUNCTION("""COMPUTED_VALUE"""),"Enrolled")</f>
        <v>Enrolled</v>
      </c>
    </row>
    <row r="139">
      <c r="A139" s="6" t="str">
        <f>IFERROR(__xludf.DUMMYFUNCTION("""COMPUTED_VALUE"""),"000-3783")</f>
        <v>000-3783</v>
      </c>
      <c r="B139" s="6" t="str">
        <f>IFERROR(__xludf.DUMMYFUNCTION("""COMPUTED_VALUE"""),"0")</f>
        <v>0</v>
      </c>
      <c r="C139" s="6" t="str">
        <f>IFERROR(__xludf.DUMMYFUNCTION("""COMPUTED_VALUE"""),"3783")</f>
        <v>3783</v>
      </c>
      <c r="D139" s="6" t="str">
        <f>IFERROR(__xludf.DUMMYFUNCTION("""COMPUTED_VALUE"""),"Silver")</f>
        <v>Silver</v>
      </c>
      <c r="E139" s="6" t="str">
        <f>IFERROR(__xludf.DUMMYFUNCTION("""COMPUTED_VALUE"""),"")</f>
        <v/>
      </c>
      <c r="F139" s="6" t="str">
        <f>IFERROR(__xludf.DUMMYFUNCTION("""COMPUTED_VALUE"""),"VanOsdale")</f>
        <v>VanOsdale</v>
      </c>
      <c r="G139" s="6" t="str">
        <f>IFERROR(__xludf.DUMMYFUNCTION("""COMPUTED_VALUE"""),"12/06/2016")</f>
        <v>12/06/2016</v>
      </c>
      <c r="H139" s="6" t="str">
        <f>IFERROR(__xludf.DUMMYFUNCTION("""COMPUTED_VALUE"""),"Self Identify")</f>
        <v>Self Identify</v>
      </c>
      <c r="I139" s="6" t="str">
        <f>IFERROR(__xludf.DUMMYFUNCTION("""COMPUTED_VALUE"""),"Level 1")</f>
        <v>Level 1</v>
      </c>
      <c r="J139" s="6" t="str">
        <f>IFERROR(__xludf.DUMMYFUNCTION("""COMPUTED_VALUE"""),"3")</f>
        <v>3</v>
      </c>
      <c r="K139" s="6" t="str">
        <f>IFERROR(__xludf.DUMMYFUNCTION("""COMPUTED_VALUE"""),"silver.vanosdale@2hourlearning.com")</f>
        <v>silver.vanosdale@2hourlearning.com</v>
      </c>
      <c r="L139" s="6" t="str">
        <f>IFERROR(__xludf.DUMMYFUNCTION("""COMPUTED_VALUE"""),"Alpha Anywhere (homeschool)")</f>
        <v>Alpha Anywhere (homeschool)</v>
      </c>
      <c r="M139" s="6" t="str">
        <f>IFERROR(__xludf.DUMMYFUNCTION("""COMPUTED_VALUE"""),"")</f>
        <v/>
      </c>
      <c r="N139" s="6" t="str">
        <f>IFERROR(__xludf.DUMMYFUNCTION("""COMPUTED_VALUE"""),"")</f>
        <v/>
      </c>
      <c r="O139" s="87" t="str">
        <f>IFERROR(__xludf.DUMMYFUNCTION("""COMPUTED_VALUE"""),"https://drive.google.com/drive/folders/10T2cTQHqEJZqE-st6uFKPoI?usp=share_link")</f>
        <v>https://drive.google.com/drive/folders/10T2cTQHqEJZqE-st6uFKPoI?usp=share_link</v>
      </c>
      <c r="P139" s="6" t="str">
        <f>IFERROR(__xludf.DUMMYFUNCTION("""COMPUTED_VALUE"""),"Silver VanOsdale")</f>
        <v>Silver VanOsdale</v>
      </c>
      <c r="Q139" s="6" t="str">
        <f>IFERROR(__xludf.DUMMYFUNCTION("""COMPUTED_VALUE"""),"L1")</f>
        <v>L1</v>
      </c>
      <c r="R139" s="6">
        <f>IFERROR(__xludf.DUMMYFUNCTION("""COMPUTED_VALUE"""),1.0)</f>
        <v>1</v>
      </c>
      <c r="S139" s="6" t="str">
        <f>IFERROR(__xludf.DUMMYFUNCTION("""COMPUTED_VALUE""")," ")</f>
        <v> </v>
      </c>
      <c r="T139" s="6" t="str">
        <f>IFERROR(__xludf.DUMMYFUNCTION("""COMPUTED_VALUE"""),"")</f>
        <v/>
      </c>
      <c r="U139" s="6" t="str">
        <f>IFERROR(__xludf.DUMMYFUNCTION("""COMPUTED_VALUE"""),"3")</f>
        <v>3</v>
      </c>
      <c r="V139" s="6" t="str">
        <f>IFERROR(__xludf.DUMMYFUNCTION("""COMPUTED_VALUE"""),"")</f>
        <v/>
      </c>
      <c r="W139" s="6" t="str">
        <f>IFERROR(__xludf.DUMMYFUNCTION("""COMPUTED_VALUE"""),"[]")</f>
        <v>[]</v>
      </c>
      <c r="X139" s="6" t="str">
        <f>IFERROR(__xludf.DUMMYFUNCTION("""COMPUTED_VALUE"""),"Enrolled")</f>
        <v>Enrolled</v>
      </c>
    </row>
    <row r="140">
      <c r="A140" s="6" t="str">
        <f>IFERROR(__xludf.DUMMYFUNCTION("""COMPUTED_VALUE"""),"000-3785")</f>
        <v>000-3785</v>
      </c>
      <c r="B140" s="6" t="str">
        <f>IFERROR(__xludf.DUMMYFUNCTION("""COMPUTED_VALUE"""),"0")</f>
        <v>0</v>
      </c>
      <c r="C140" s="6" t="str">
        <f>IFERROR(__xludf.DUMMYFUNCTION("""COMPUTED_VALUE"""),"3785")</f>
        <v>3785</v>
      </c>
      <c r="D140" s="6" t="str">
        <f>IFERROR(__xludf.DUMMYFUNCTION("""COMPUTED_VALUE"""),"Richard")</f>
        <v>Richard</v>
      </c>
      <c r="E140" s="6" t="str">
        <f>IFERROR(__xludf.DUMMYFUNCTION("""COMPUTED_VALUE"""),"")</f>
        <v/>
      </c>
      <c r="F140" s="6" t="str">
        <f>IFERROR(__xludf.DUMMYFUNCTION("""COMPUTED_VALUE"""),"King")</f>
        <v>King</v>
      </c>
      <c r="G140" s="6" t="str">
        <f>IFERROR(__xludf.DUMMYFUNCTION("""COMPUTED_VALUE"""),"01/06/2011")</f>
        <v>01/06/2011</v>
      </c>
      <c r="H140" s="6" t="str">
        <f>IFERROR(__xludf.DUMMYFUNCTION("""COMPUTED_VALUE"""),"Self Identify")</f>
        <v>Self Identify</v>
      </c>
      <c r="I140" s="6" t="str">
        <f>IFERROR(__xludf.DUMMYFUNCTION("""COMPUTED_VALUE"""),"High School")</f>
        <v>High School</v>
      </c>
      <c r="J140" s="6" t="str">
        <f>IFERROR(__xludf.DUMMYFUNCTION("""COMPUTED_VALUE"""),"9")</f>
        <v>9</v>
      </c>
      <c r="K140" s="6" t="str">
        <f>IFERROR(__xludf.DUMMYFUNCTION("""COMPUTED_VALUE"""),"richard.king@2hourlearning.com")</f>
        <v>richard.king@2hourlearning.com</v>
      </c>
      <c r="L140" s="6" t="str">
        <f>IFERROR(__xludf.DUMMYFUNCTION("""COMPUTED_VALUE"""),"Alpha Anywhere (homeschool)")</f>
        <v>Alpha Anywhere (homeschool)</v>
      </c>
      <c r="M140" s="6" t="str">
        <f>IFERROR(__xludf.DUMMYFUNCTION("""COMPUTED_VALUE"""),"")</f>
        <v/>
      </c>
      <c r="N140" s="6" t="str">
        <f>IFERROR(__xludf.DUMMYFUNCTION("""COMPUTED_VALUE"""),"")</f>
        <v/>
      </c>
      <c r="O140" s="87" t="str">
        <f>IFERROR(__xludf.DUMMYFUNCTION("""COMPUTED_VALUE"""),"https://drive.google.com/drive/folders/10T2cTQHqEJZqE-st6uFKPoI?usp=share_link")</f>
        <v>https://drive.google.com/drive/folders/10T2cTQHqEJZqE-st6uFKPoI?usp=share_link</v>
      </c>
      <c r="P140" s="6" t="str">
        <f>IFERROR(__xludf.DUMMYFUNCTION("""COMPUTED_VALUE"""),"Richard King")</f>
        <v>Richard King</v>
      </c>
      <c r="Q140" s="6" t="str">
        <f>IFERROR(__xludf.DUMMYFUNCTION("""COMPUTED_VALUE"""),"HS")</f>
        <v>HS</v>
      </c>
      <c r="R140" s="6">
        <f>IFERROR(__xludf.DUMMYFUNCTION("""COMPUTED_VALUE"""),0.0)</f>
        <v>0</v>
      </c>
      <c r="S140" s="6" t="str">
        <f>IFERROR(__xludf.DUMMYFUNCTION("""COMPUTED_VALUE""")," ")</f>
        <v> </v>
      </c>
      <c r="T140" s="6" t="str">
        <f>IFERROR(__xludf.DUMMYFUNCTION("""COMPUTED_VALUE"""),"")</f>
        <v/>
      </c>
      <c r="U140" s="6" t="str">
        <f>IFERROR(__xludf.DUMMYFUNCTION("""COMPUTED_VALUE"""),"9")</f>
        <v>9</v>
      </c>
      <c r="V140" s="6" t="str">
        <f>IFERROR(__xludf.DUMMYFUNCTION("""COMPUTED_VALUE"""),"")</f>
        <v/>
      </c>
      <c r="W140" s="6" t="str">
        <f>IFERROR(__xludf.DUMMYFUNCTION("""COMPUTED_VALUE"""),"[]")</f>
        <v>[]</v>
      </c>
      <c r="X140" s="6" t="str">
        <f>IFERROR(__xludf.DUMMYFUNCTION("""COMPUTED_VALUE"""),"Enrolled")</f>
        <v>Enrolled</v>
      </c>
    </row>
    <row r="141">
      <c r="A141" s="6" t="str">
        <f>IFERROR(__xludf.DUMMYFUNCTION("""COMPUTED_VALUE"""),"000-3789")</f>
        <v>000-3789</v>
      </c>
      <c r="B141" s="6" t="str">
        <f>IFERROR(__xludf.DUMMYFUNCTION("""COMPUTED_VALUE"""),"0")</f>
        <v>0</v>
      </c>
      <c r="C141" s="6" t="str">
        <f>IFERROR(__xludf.DUMMYFUNCTION("""COMPUTED_VALUE"""),"3789")</f>
        <v>3789</v>
      </c>
      <c r="D141" s="6" t="str">
        <f>IFERROR(__xludf.DUMMYFUNCTION("""COMPUTED_VALUE"""),"Arianna")</f>
        <v>Arianna</v>
      </c>
      <c r="E141" s="6" t="str">
        <f>IFERROR(__xludf.DUMMYFUNCTION("""COMPUTED_VALUE"""),"")</f>
        <v/>
      </c>
      <c r="F141" s="6" t="str">
        <f>IFERROR(__xludf.DUMMYFUNCTION("""COMPUTED_VALUE"""),"Acosta")</f>
        <v>Acosta</v>
      </c>
      <c r="G141" s="6" t="str">
        <f>IFERROR(__xludf.DUMMYFUNCTION("""COMPUTED_VALUE"""),"12/24/2016")</f>
        <v>12/24/2016</v>
      </c>
      <c r="H141" s="6" t="str">
        <f>IFERROR(__xludf.DUMMYFUNCTION("""COMPUTED_VALUE"""),"Self Identify")</f>
        <v>Self Identify</v>
      </c>
      <c r="I141" s="6" t="str">
        <f>IFERROR(__xludf.DUMMYFUNCTION("""COMPUTED_VALUE"""),"Level 1")</f>
        <v>Level 1</v>
      </c>
      <c r="J141" s="6" t="str">
        <f>IFERROR(__xludf.DUMMYFUNCTION("""COMPUTED_VALUE"""),"3")</f>
        <v>3</v>
      </c>
      <c r="K141" s="6" t="str">
        <f>IFERROR(__xludf.DUMMYFUNCTION("""COMPUTED_VALUE"""),"arianna.acosta@2hourlearning.com")</f>
        <v>arianna.acosta@2hourlearning.com</v>
      </c>
      <c r="L141" s="6" t="str">
        <f>IFERROR(__xludf.DUMMYFUNCTION("""COMPUTED_VALUE"""),"Alpha Anywhere (homeschool)")</f>
        <v>Alpha Anywhere (homeschool)</v>
      </c>
      <c r="M141" s="6" t="str">
        <f>IFERROR(__xludf.DUMMYFUNCTION("""COMPUTED_VALUE"""),"")</f>
        <v/>
      </c>
      <c r="N141" s="6" t="str">
        <f>IFERROR(__xludf.DUMMYFUNCTION("""COMPUTED_VALUE"""),"")</f>
        <v/>
      </c>
      <c r="O141" s="87" t="str">
        <f>IFERROR(__xludf.DUMMYFUNCTION("""COMPUTED_VALUE"""),"https://drive.google.com/drive/folders/10T2cTQHqEJZqE-st6uFKPoI?usp=share_link")</f>
        <v>https://drive.google.com/drive/folders/10T2cTQHqEJZqE-st6uFKPoI?usp=share_link</v>
      </c>
      <c r="P141" s="6" t="str">
        <f>IFERROR(__xludf.DUMMYFUNCTION("""COMPUTED_VALUE"""),"Arianna Acosta")</f>
        <v>Arianna Acosta</v>
      </c>
      <c r="Q141" s="6" t="str">
        <f>IFERROR(__xludf.DUMMYFUNCTION("""COMPUTED_VALUE"""),"L1")</f>
        <v>L1</v>
      </c>
      <c r="R141" s="6">
        <f>IFERROR(__xludf.DUMMYFUNCTION("""COMPUTED_VALUE"""),1.0)</f>
        <v>1</v>
      </c>
      <c r="S141" s="6" t="str">
        <f>IFERROR(__xludf.DUMMYFUNCTION("""COMPUTED_VALUE""")," ")</f>
        <v> </v>
      </c>
      <c r="T141" s="6" t="str">
        <f>IFERROR(__xludf.DUMMYFUNCTION("""COMPUTED_VALUE"""),"")</f>
        <v/>
      </c>
      <c r="U141" s="6" t="str">
        <f>IFERROR(__xludf.DUMMYFUNCTION("""COMPUTED_VALUE"""),"3")</f>
        <v>3</v>
      </c>
      <c r="V141" s="6" t="str">
        <f>IFERROR(__xludf.DUMMYFUNCTION("""COMPUTED_VALUE"""),"")</f>
        <v/>
      </c>
      <c r="W141" s="6" t="str">
        <f>IFERROR(__xludf.DUMMYFUNCTION("""COMPUTED_VALUE"""),"[]")</f>
        <v>[]</v>
      </c>
      <c r="X141" s="6" t="str">
        <f>IFERROR(__xludf.DUMMYFUNCTION("""COMPUTED_VALUE"""),"Enrolled")</f>
        <v>Enrolled</v>
      </c>
    </row>
    <row r="142">
      <c r="A142" s="6" t="str">
        <f>IFERROR(__xludf.DUMMYFUNCTION("""COMPUTED_VALUE"""),"000-3790")</f>
        <v>000-3790</v>
      </c>
      <c r="B142" s="6" t="str">
        <f>IFERROR(__xludf.DUMMYFUNCTION("""COMPUTED_VALUE"""),"0")</f>
        <v>0</v>
      </c>
      <c r="C142" s="6" t="str">
        <f>IFERROR(__xludf.DUMMYFUNCTION("""COMPUTED_VALUE"""),"3790")</f>
        <v>3790</v>
      </c>
      <c r="D142" s="6" t="str">
        <f>IFERROR(__xludf.DUMMYFUNCTION("""COMPUTED_VALUE"""),"Angus")</f>
        <v>Angus</v>
      </c>
      <c r="E142" s="6" t="str">
        <f>IFERROR(__xludf.DUMMYFUNCTION("""COMPUTED_VALUE"""),"Mac")</f>
        <v>Mac</v>
      </c>
      <c r="F142" s="6" t="str">
        <f>IFERROR(__xludf.DUMMYFUNCTION("""COMPUTED_VALUE"""),"Davis")</f>
        <v>Davis</v>
      </c>
      <c r="G142" s="6" t="str">
        <f>IFERROR(__xludf.DUMMYFUNCTION("""COMPUTED_VALUE"""),"04/18/2014")</f>
        <v>04/18/2014</v>
      </c>
      <c r="H142" s="6" t="str">
        <f>IFERROR(__xludf.DUMMYFUNCTION("""COMPUTED_VALUE"""),"Self Identify")</f>
        <v>Self Identify</v>
      </c>
      <c r="I142" s="6" t="str">
        <f>IFERROR(__xludf.DUMMYFUNCTION("""COMPUTED_VALUE"""),"Middle School")</f>
        <v>Middle School</v>
      </c>
      <c r="J142" s="6" t="str">
        <f>IFERROR(__xludf.DUMMYFUNCTION("""COMPUTED_VALUE"""),"6")</f>
        <v>6</v>
      </c>
      <c r="K142" s="6" t="str">
        <f>IFERROR(__xludf.DUMMYFUNCTION("""COMPUTED_VALUE"""),"angus.davis@2hourlearning.com")</f>
        <v>angus.davis@2hourlearning.com</v>
      </c>
      <c r="L142" s="6" t="str">
        <f>IFERROR(__xludf.DUMMYFUNCTION("""COMPUTED_VALUE"""),"Alpha Anywhere (homeschool)")</f>
        <v>Alpha Anywhere (homeschool)</v>
      </c>
      <c r="M142" s="6" t="str">
        <f>IFERROR(__xludf.DUMMYFUNCTION("""COMPUTED_VALUE"""),"")</f>
        <v/>
      </c>
      <c r="N142" s="6" t="str">
        <f>IFERROR(__xludf.DUMMYFUNCTION("""COMPUTED_VALUE"""),"")</f>
        <v/>
      </c>
      <c r="O142" s="87" t="str">
        <f>IFERROR(__xludf.DUMMYFUNCTION("""COMPUTED_VALUE"""),"https://drive.google.com/drive/folders/10T2cTQHqEJZqE-st6uFKPoI?usp=share_link")</f>
        <v>https://drive.google.com/drive/folders/10T2cTQHqEJZqE-st6uFKPoI?usp=share_link</v>
      </c>
      <c r="P142" s="6" t="str">
        <f>IFERROR(__xludf.DUMMYFUNCTION("""COMPUTED_VALUE"""),"Mac Davis")</f>
        <v>Mac Davis</v>
      </c>
      <c r="Q142" s="6" t="str">
        <f>IFERROR(__xludf.DUMMYFUNCTION("""COMPUTED_VALUE"""),"MS")</f>
        <v>MS</v>
      </c>
      <c r="R142" s="6">
        <f>IFERROR(__xludf.DUMMYFUNCTION("""COMPUTED_VALUE"""),0.0)</f>
        <v>0</v>
      </c>
      <c r="S142" s="6" t="str">
        <f>IFERROR(__xludf.DUMMYFUNCTION("""COMPUTED_VALUE""")," ")</f>
        <v> </v>
      </c>
      <c r="T142" s="6" t="str">
        <f>IFERROR(__xludf.DUMMYFUNCTION("""COMPUTED_VALUE"""),"")</f>
        <v/>
      </c>
      <c r="U142" s="6" t="str">
        <f>IFERROR(__xludf.DUMMYFUNCTION("""COMPUTED_VALUE"""),"6")</f>
        <v>6</v>
      </c>
      <c r="V142" s="6" t="str">
        <f>IFERROR(__xludf.DUMMYFUNCTION("""COMPUTED_VALUE"""),"")</f>
        <v/>
      </c>
      <c r="W142" s="6" t="str">
        <f>IFERROR(__xludf.DUMMYFUNCTION("""COMPUTED_VALUE"""),"[]")</f>
        <v>[]</v>
      </c>
      <c r="X142" s="6" t="str">
        <f>IFERROR(__xludf.DUMMYFUNCTION("""COMPUTED_VALUE"""),"Enrolled")</f>
        <v>Enrolled</v>
      </c>
    </row>
    <row r="143">
      <c r="A143" s="6" t="str">
        <f>IFERROR(__xludf.DUMMYFUNCTION("""COMPUTED_VALUE"""),"000-3821")</f>
        <v>000-3821</v>
      </c>
      <c r="B143" s="6" t="str">
        <f>IFERROR(__xludf.DUMMYFUNCTION("""COMPUTED_VALUE"""),"0")</f>
        <v>0</v>
      </c>
      <c r="C143" s="6" t="str">
        <f>IFERROR(__xludf.DUMMYFUNCTION("""COMPUTED_VALUE"""),"3821")</f>
        <v>3821</v>
      </c>
      <c r="D143" s="6" t="str">
        <f>IFERROR(__xludf.DUMMYFUNCTION("""COMPUTED_VALUE"""),"Bowen")</f>
        <v>Bowen</v>
      </c>
      <c r="E143" s="6" t="str">
        <f>IFERROR(__xludf.DUMMYFUNCTION("""COMPUTED_VALUE"""),"")</f>
        <v/>
      </c>
      <c r="F143" s="6" t="str">
        <f>IFERROR(__xludf.DUMMYFUNCTION("""COMPUTED_VALUE"""),"O'Connor")</f>
        <v>O'Connor</v>
      </c>
      <c r="G143" s="6" t="str">
        <f>IFERROR(__xludf.DUMMYFUNCTION("""COMPUTED_VALUE"""),"02/26/2013")</f>
        <v>02/26/2013</v>
      </c>
      <c r="H143" s="6" t="str">
        <f>IFERROR(__xludf.DUMMYFUNCTION("""COMPUTED_VALUE"""),"Self Identify")</f>
        <v>Self Identify</v>
      </c>
      <c r="I143" s="6" t="str">
        <f>IFERROR(__xludf.DUMMYFUNCTION("""COMPUTED_VALUE"""),"Middle School")</f>
        <v>Middle School</v>
      </c>
      <c r="J143" s="6" t="str">
        <f>IFERROR(__xludf.DUMMYFUNCTION("""COMPUTED_VALUE"""),"7")</f>
        <v>7</v>
      </c>
      <c r="K143" s="6" t="str">
        <f>IFERROR(__xludf.DUMMYFUNCTION("""COMPUTED_VALUE"""),"bowen.oconnor@2hourlearning.com")</f>
        <v>bowen.oconnor@2hourlearning.com</v>
      </c>
      <c r="L143" s="6" t="str">
        <f>IFERROR(__xludf.DUMMYFUNCTION("""COMPUTED_VALUE"""),"Alpha Anywhere (homeschool)")</f>
        <v>Alpha Anywhere (homeschool)</v>
      </c>
      <c r="M143" s="6" t="str">
        <f>IFERROR(__xludf.DUMMYFUNCTION("""COMPUTED_VALUE"""),"")</f>
        <v/>
      </c>
      <c r="N143" s="6" t="str">
        <f>IFERROR(__xludf.DUMMYFUNCTION("""COMPUTED_VALUE"""),"")</f>
        <v/>
      </c>
      <c r="O143" s="87" t="str">
        <f>IFERROR(__xludf.DUMMYFUNCTION("""COMPUTED_VALUE"""),"https://drive.google.com/drive/folders/10T2cTQHqEJZqE-st6uFKPoI?usp=share_link")</f>
        <v>https://drive.google.com/drive/folders/10T2cTQHqEJZqE-st6uFKPoI?usp=share_link</v>
      </c>
      <c r="P143" s="6" t="str">
        <f>IFERROR(__xludf.DUMMYFUNCTION("""COMPUTED_VALUE"""),"Bowen O'Connor")</f>
        <v>Bowen O'Connor</v>
      </c>
      <c r="Q143" s="6" t="str">
        <f>IFERROR(__xludf.DUMMYFUNCTION("""COMPUTED_VALUE"""),"MS")</f>
        <v>MS</v>
      </c>
      <c r="R143" s="6">
        <f>IFERROR(__xludf.DUMMYFUNCTION("""COMPUTED_VALUE"""),0.0)</f>
        <v>0</v>
      </c>
      <c r="S143" s="6" t="str">
        <f>IFERROR(__xludf.DUMMYFUNCTION("""COMPUTED_VALUE""")," ")</f>
        <v> </v>
      </c>
      <c r="T143" s="6" t="str">
        <f>IFERROR(__xludf.DUMMYFUNCTION("""COMPUTED_VALUE"""),"")</f>
        <v/>
      </c>
      <c r="U143" s="6" t="str">
        <f>IFERROR(__xludf.DUMMYFUNCTION("""COMPUTED_VALUE"""),"7")</f>
        <v>7</v>
      </c>
      <c r="V143" s="6" t="str">
        <f>IFERROR(__xludf.DUMMYFUNCTION("""COMPUTED_VALUE"""),"")</f>
        <v/>
      </c>
      <c r="W143" s="6" t="str">
        <f>IFERROR(__xludf.DUMMYFUNCTION("""COMPUTED_VALUE"""),"[]")</f>
        <v>[]</v>
      </c>
      <c r="X143" s="6" t="str">
        <f>IFERROR(__xludf.DUMMYFUNCTION("""COMPUTED_VALUE"""),"Enrolled")</f>
        <v>Enrolled</v>
      </c>
    </row>
    <row r="144">
      <c r="A144" s="6" t="str">
        <f>IFERROR(__xludf.DUMMYFUNCTION("""COMPUTED_VALUE"""),"000-3824")</f>
        <v>000-3824</v>
      </c>
      <c r="B144" s="6" t="str">
        <f>IFERROR(__xludf.DUMMYFUNCTION("""COMPUTED_VALUE"""),"0")</f>
        <v>0</v>
      </c>
      <c r="C144" s="6" t="str">
        <f>IFERROR(__xludf.DUMMYFUNCTION("""COMPUTED_VALUE"""),"3824")</f>
        <v>3824</v>
      </c>
      <c r="D144" s="6" t="str">
        <f>IFERROR(__xludf.DUMMYFUNCTION("""COMPUTED_VALUE"""),"Remington")</f>
        <v>Remington</v>
      </c>
      <c r="E144" s="6" t="str">
        <f>IFERROR(__xludf.DUMMYFUNCTION("""COMPUTED_VALUE"""),"")</f>
        <v/>
      </c>
      <c r="F144" s="6" t="str">
        <f>IFERROR(__xludf.DUMMYFUNCTION("""COMPUTED_VALUE"""),"Webber")</f>
        <v>Webber</v>
      </c>
      <c r="G144" s="6" t="str">
        <f>IFERROR(__xludf.DUMMYFUNCTION("""COMPUTED_VALUE"""),"05/12/2015")</f>
        <v>05/12/2015</v>
      </c>
      <c r="H144" s="6" t="str">
        <f>IFERROR(__xludf.DUMMYFUNCTION("""COMPUTED_VALUE"""),"Self Identify")</f>
        <v>Self Identify</v>
      </c>
      <c r="I144" s="6" t="str">
        <f>IFERROR(__xludf.DUMMYFUNCTION("""COMPUTED_VALUE"""),"Level 2")</f>
        <v>Level 2</v>
      </c>
      <c r="J144" s="6" t="str">
        <f>IFERROR(__xludf.DUMMYFUNCTION("""COMPUTED_VALUE"""),"5")</f>
        <v>5</v>
      </c>
      <c r="K144" s="6" t="str">
        <f>IFERROR(__xludf.DUMMYFUNCTION("""COMPUTED_VALUE"""),"remington.webber@2hourlearning.com")</f>
        <v>remington.webber@2hourlearning.com</v>
      </c>
      <c r="L144" s="6" t="str">
        <f>IFERROR(__xludf.DUMMYFUNCTION("""COMPUTED_VALUE"""),"Alpha Anywhere (homeschool)")</f>
        <v>Alpha Anywhere (homeschool)</v>
      </c>
      <c r="M144" s="6" t="str">
        <f>IFERROR(__xludf.DUMMYFUNCTION("""COMPUTED_VALUE"""),"")</f>
        <v/>
      </c>
      <c r="N144" s="6" t="str">
        <f>IFERROR(__xludf.DUMMYFUNCTION("""COMPUTED_VALUE"""),"")</f>
        <v/>
      </c>
      <c r="O144" s="87" t="str">
        <f>IFERROR(__xludf.DUMMYFUNCTION("""COMPUTED_VALUE"""),"https://drive.google.com/drive/folders/10T2cTQHqEJZqE-st6uFKPoI?usp=share_link")</f>
        <v>https://drive.google.com/drive/folders/10T2cTQHqEJZqE-st6uFKPoI?usp=share_link</v>
      </c>
      <c r="P144" s="6" t="str">
        <f>IFERROR(__xludf.DUMMYFUNCTION("""COMPUTED_VALUE"""),"Remington Webber")</f>
        <v>Remington Webber</v>
      </c>
      <c r="Q144" s="6" t="str">
        <f>IFERROR(__xludf.DUMMYFUNCTION("""COMPUTED_VALUE"""),"L2")</f>
        <v>L2</v>
      </c>
      <c r="R144" s="6">
        <f>IFERROR(__xludf.DUMMYFUNCTION("""COMPUTED_VALUE"""),2.0)</f>
        <v>2</v>
      </c>
      <c r="S144" s="6" t="str">
        <f>IFERROR(__xludf.DUMMYFUNCTION("""COMPUTED_VALUE""")," ")</f>
        <v> </v>
      </c>
      <c r="T144" s="6" t="str">
        <f>IFERROR(__xludf.DUMMYFUNCTION("""COMPUTED_VALUE"""),"")</f>
        <v/>
      </c>
      <c r="U144" s="6" t="str">
        <f>IFERROR(__xludf.DUMMYFUNCTION("""COMPUTED_VALUE"""),"5")</f>
        <v>5</v>
      </c>
      <c r="V144" s="6" t="str">
        <f>IFERROR(__xludf.DUMMYFUNCTION("""COMPUTED_VALUE"""),"")</f>
        <v/>
      </c>
      <c r="W144" s="6" t="str">
        <f>IFERROR(__xludf.DUMMYFUNCTION("""COMPUTED_VALUE"""),"[]")</f>
        <v>[]</v>
      </c>
      <c r="X144" s="6" t="str">
        <f>IFERROR(__xludf.DUMMYFUNCTION("""COMPUTED_VALUE"""),"Enrolled")</f>
        <v>Enrolled</v>
      </c>
    </row>
    <row r="145">
      <c r="A145" s="6" t="str">
        <f>IFERROR(__xludf.DUMMYFUNCTION("""COMPUTED_VALUE"""),"000-3825")</f>
        <v>000-3825</v>
      </c>
      <c r="B145" s="6" t="str">
        <f>IFERROR(__xludf.DUMMYFUNCTION("""COMPUTED_VALUE"""),"0")</f>
        <v>0</v>
      </c>
      <c r="C145" s="6" t="str">
        <f>IFERROR(__xludf.DUMMYFUNCTION("""COMPUTED_VALUE"""),"3825")</f>
        <v>3825</v>
      </c>
      <c r="D145" s="6" t="str">
        <f>IFERROR(__xludf.DUMMYFUNCTION("""COMPUTED_VALUE"""),"Jaxon")</f>
        <v>Jaxon</v>
      </c>
      <c r="E145" s="6" t="str">
        <f>IFERROR(__xludf.DUMMYFUNCTION("""COMPUTED_VALUE"""),"")</f>
        <v/>
      </c>
      <c r="F145" s="6" t="str">
        <f>IFERROR(__xludf.DUMMYFUNCTION("""COMPUTED_VALUE"""),"Jacobus")</f>
        <v>Jacobus</v>
      </c>
      <c r="G145" s="6" t="str">
        <f>IFERROR(__xludf.DUMMYFUNCTION("""COMPUTED_VALUE"""),"10/05/2016")</f>
        <v>10/05/2016</v>
      </c>
      <c r="H145" s="6" t="str">
        <f>IFERROR(__xludf.DUMMYFUNCTION("""COMPUTED_VALUE"""),"Self Identify")</f>
        <v>Self Identify</v>
      </c>
      <c r="I145" s="6" t="str">
        <f>IFERROR(__xludf.DUMMYFUNCTION("""COMPUTED_VALUE"""),"Level 2")</f>
        <v>Level 2</v>
      </c>
      <c r="J145" s="6" t="str">
        <f>IFERROR(__xludf.DUMMYFUNCTION("""COMPUTED_VALUE"""),"4")</f>
        <v>4</v>
      </c>
      <c r="K145" s="6" t="str">
        <f>IFERROR(__xludf.DUMMYFUNCTION("""COMPUTED_VALUE"""),"jaxon.jacobus@2hourlearning.com")</f>
        <v>jaxon.jacobus@2hourlearning.com</v>
      </c>
      <c r="L145" s="6" t="str">
        <f>IFERROR(__xludf.DUMMYFUNCTION("""COMPUTED_VALUE"""),"Alpha Anywhere (homeschool)")</f>
        <v>Alpha Anywhere (homeschool)</v>
      </c>
      <c r="M145" s="6" t="str">
        <f>IFERROR(__xludf.DUMMYFUNCTION("""COMPUTED_VALUE"""),"")</f>
        <v/>
      </c>
      <c r="N145" s="6" t="str">
        <f>IFERROR(__xludf.DUMMYFUNCTION("""COMPUTED_VALUE"""),"")</f>
        <v/>
      </c>
      <c r="O145" s="87" t="str">
        <f>IFERROR(__xludf.DUMMYFUNCTION("""COMPUTED_VALUE"""),"https://drive.google.com/drive/folders/10T2cTQHqEJZqE-st6uFKPoI?usp=share_link")</f>
        <v>https://drive.google.com/drive/folders/10T2cTQHqEJZqE-st6uFKPoI?usp=share_link</v>
      </c>
      <c r="P145" s="6" t="str">
        <f>IFERROR(__xludf.DUMMYFUNCTION("""COMPUTED_VALUE"""),"Jaxon Jacobus")</f>
        <v>Jaxon Jacobus</v>
      </c>
      <c r="Q145" s="6" t="str">
        <f>IFERROR(__xludf.DUMMYFUNCTION("""COMPUTED_VALUE"""),"L2")</f>
        <v>L2</v>
      </c>
      <c r="R145" s="6">
        <f>IFERROR(__xludf.DUMMYFUNCTION("""COMPUTED_VALUE"""),2.0)</f>
        <v>2</v>
      </c>
      <c r="S145" s="6" t="str">
        <f>IFERROR(__xludf.DUMMYFUNCTION("""COMPUTED_VALUE""")," ")</f>
        <v> </v>
      </c>
      <c r="T145" s="6" t="str">
        <f>IFERROR(__xludf.DUMMYFUNCTION("""COMPUTED_VALUE"""),"")</f>
        <v/>
      </c>
      <c r="U145" s="6" t="str">
        <f>IFERROR(__xludf.DUMMYFUNCTION("""COMPUTED_VALUE"""),"4")</f>
        <v>4</v>
      </c>
      <c r="V145" s="6" t="str">
        <f>IFERROR(__xludf.DUMMYFUNCTION("""COMPUTED_VALUE"""),"")</f>
        <v/>
      </c>
      <c r="W145" s="6" t="str">
        <f>IFERROR(__xludf.DUMMYFUNCTION("""COMPUTED_VALUE"""),"[]")</f>
        <v>[]</v>
      </c>
      <c r="X145" s="6" t="str">
        <f>IFERROR(__xludf.DUMMYFUNCTION("""COMPUTED_VALUE"""),"Enrolled")</f>
        <v>Enrolled</v>
      </c>
    </row>
    <row r="146">
      <c r="A146" s="6" t="str">
        <f>IFERROR(__xludf.DUMMYFUNCTION("""COMPUTED_VALUE"""),"000-3832")</f>
        <v>000-3832</v>
      </c>
      <c r="B146" s="6" t="str">
        <f>IFERROR(__xludf.DUMMYFUNCTION("""COMPUTED_VALUE"""),"0")</f>
        <v>0</v>
      </c>
      <c r="C146" s="6" t="str">
        <f>IFERROR(__xludf.DUMMYFUNCTION("""COMPUTED_VALUE"""),"3832")</f>
        <v>3832</v>
      </c>
      <c r="D146" s="6" t="str">
        <f>IFERROR(__xludf.DUMMYFUNCTION("""COMPUTED_VALUE"""),"Ellison")</f>
        <v>Ellison</v>
      </c>
      <c r="E146" s="6" t="str">
        <f>IFERROR(__xludf.DUMMYFUNCTION("""COMPUTED_VALUE"""),"")</f>
        <v/>
      </c>
      <c r="F146" s="6" t="str">
        <f>IFERROR(__xludf.DUMMYFUNCTION("""COMPUTED_VALUE"""),"Welsh")</f>
        <v>Welsh</v>
      </c>
      <c r="G146" s="6" t="str">
        <f>IFERROR(__xludf.DUMMYFUNCTION("""COMPUTED_VALUE"""),"10/02/2015")</f>
        <v>10/02/2015</v>
      </c>
      <c r="H146" s="6" t="str">
        <f>IFERROR(__xludf.DUMMYFUNCTION("""COMPUTED_VALUE"""),"Self Identify")</f>
        <v>Self Identify</v>
      </c>
      <c r="I146" s="6" t="str">
        <f>IFERROR(__xludf.DUMMYFUNCTION("""COMPUTED_VALUE"""),"Level 2")</f>
        <v>Level 2</v>
      </c>
      <c r="J146" s="6" t="str">
        <f>IFERROR(__xludf.DUMMYFUNCTION("""COMPUTED_VALUE"""),"4")</f>
        <v>4</v>
      </c>
      <c r="K146" s="6" t="str">
        <f>IFERROR(__xludf.DUMMYFUNCTION("""COMPUTED_VALUE"""),"ellison.welsh@2hourlearning.com")</f>
        <v>ellison.welsh@2hourlearning.com</v>
      </c>
      <c r="L146" s="6" t="str">
        <f>IFERROR(__xludf.DUMMYFUNCTION("""COMPUTED_VALUE"""),"Alpha Anywhere (homeschool)")</f>
        <v>Alpha Anywhere (homeschool)</v>
      </c>
      <c r="M146" s="6" t="str">
        <f>IFERROR(__xludf.DUMMYFUNCTION("""COMPUTED_VALUE"""),"")</f>
        <v/>
      </c>
      <c r="N146" s="6" t="str">
        <f>IFERROR(__xludf.DUMMYFUNCTION("""COMPUTED_VALUE"""),"")</f>
        <v/>
      </c>
      <c r="O146" s="87" t="str">
        <f>IFERROR(__xludf.DUMMYFUNCTION("""COMPUTED_VALUE"""),"https://drive.google.com/drive/folders/10T2cTQHqEJZqE-st6uFKPoI?usp=share_link")</f>
        <v>https://drive.google.com/drive/folders/10T2cTQHqEJZqE-st6uFKPoI?usp=share_link</v>
      </c>
      <c r="P146" s="6" t="str">
        <f>IFERROR(__xludf.DUMMYFUNCTION("""COMPUTED_VALUE"""),"Ellison Welsh")</f>
        <v>Ellison Welsh</v>
      </c>
      <c r="Q146" s="6" t="str">
        <f>IFERROR(__xludf.DUMMYFUNCTION("""COMPUTED_VALUE"""),"L2")</f>
        <v>L2</v>
      </c>
      <c r="R146" s="6">
        <f>IFERROR(__xludf.DUMMYFUNCTION("""COMPUTED_VALUE"""),2.0)</f>
        <v>2</v>
      </c>
      <c r="S146" s="6" t="str">
        <f>IFERROR(__xludf.DUMMYFUNCTION("""COMPUTED_VALUE""")," ")</f>
        <v> </v>
      </c>
      <c r="T146" s="6" t="str">
        <f>IFERROR(__xludf.DUMMYFUNCTION("""COMPUTED_VALUE"""),"")</f>
        <v/>
      </c>
      <c r="U146" s="6" t="str">
        <f>IFERROR(__xludf.DUMMYFUNCTION("""COMPUTED_VALUE"""),"4")</f>
        <v>4</v>
      </c>
      <c r="V146" s="6" t="str">
        <f>IFERROR(__xludf.DUMMYFUNCTION("""COMPUTED_VALUE"""),"")</f>
        <v/>
      </c>
      <c r="W146" s="6" t="str">
        <f>IFERROR(__xludf.DUMMYFUNCTION("""COMPUTED_VALUE"""),"[]")</f>
        <v>[]</v>
      </c>
      <c r="X146" s="6" t="str">
        <f>IFERROR(__xludf.DUMMYFUNCTION("""COMPUTED_VALUE"""),"Enrolled")</f>
        <v>Enrolled</v>
      </c>
    </row>
    <row r="147">
      <c r="A147" s="6" t="str">
        <f>IFERROR(__xludf.DUMMYFUNCTION("""COMPUTED_VALUE"""),"000-4081")</f>
        <v>000-4081</v>
      </c>
      <c r="B147" s="6" t="str">
        <f>IFERROR(__xludf.DUMMYFUNCTION("""COMPUTED_VALUE"""),"0")</f>
        <v>0</v>
      </c>
      <c r="C147" s="6" t="str">
        <f>IFERROR(__xludf.DUMMYFUNCTION("""COMPUTED_VALUE"""),"4081")</f>
        <v>4081</v>
      </c>
      <c r="D147" s="6" t="str">
        <f>IFERROR(__xludf.DUMMYFUNCTION("""COMPUTED_VALUE"""),"Nathan")</f>
        <v>Nathan</v>
      </c>
      <c r="E147" s="6" t="str">
        <f>IFERROR(__xludf.DUMMYFUNCTION("""COMPUTED_VALUE"""),"")</f>
        <v/>
      </c>
      <c r="F147" s="6" t="str">
        <f>IFERROR(__xludf.DUMMYFUNCTION("""COMPUTED_VALUE"""),"Oser")</f>
        <v>Oser</v>
      </c>
      <c r="G147" s="6" t="str">
        <f>IFERROR(__xludf.DUMMYFUNCTION("""COMPUTED_VALUE"""),"03/10/2015")</f>
        <v>03/10/2015</v>
      </c>
      <c r="H147" s="6" t="str">
        <f>IFERROR(__xludf.DUMMYFUNCTION("""COMPUTED_VALUE"""),"Self Identify")</f>
        <v>Self Identify</v>
      </c>
      <c r="I147" s="6" t="str">
        <f>IFERROR(__xludf.DUMMYFUNCTION("""COMPUTED_VALUE"""),"Level 2")</f>
        <v>Level 2</v>
      </c>
      <c r="J147" s="6" t="str">
        <f>IFERROR(__xludf.DUMMYFUNCTION("""COMPUTED_VALUE"""),"5")</f>
        <v>5</v>
      </c>
      <c r="K147" s="6" t="str">
        <f>IFERROR(__xludf.DUMMYFUNCTION("""COMPUTED_VALUE"""),"nathan.oser@2hourlearning.com")</f>
        <v>nathan.oser@2hourlearning.com</v>
      </c>
      <c r="L147" s="6" t="str">
        <f>IFERROR(__xludf.DUMMYFUNCTION("""COMPUTED_VALUE"""),"Alpha Anywhere (homeschool)")</f>
        <v>Alpha Anywhere (homeschool)</v>
      </c>
      <c r="M147" s="6" t="str">
        <f>IFERROR(__xludf.DUMMYFUNCTION("""COMPUTED_VALUE"""),"")</f>
        <v/>
      </c>
      <c r="N147" s="6" t="str">
        <f>IFERROR(__xludf.DUMMYFUNCTION("""COMPUTED_VALUE"""),"")</f>
        <v/>
      </c>
      <c r="O147" s="87" t="str">
        <f>IFERROR(__xludf.DUMMYFUNCTION("""COMPUTED_VALUE"""),"https://drive.google.com/drive/folders/10T2cTQHqEJZqE-st6uFKPoI?usp=share_link")</f>
        <v>https://drive.google.com/drive/folders/10T2cTQHqEJZqE-st6uFKPoI?usp=share_link</v>
      </c>
      <c r="P147" s="6" t="str">
        <f>IFERROR(__xludf.DUMMYFUNCTION("""COMPUTED_VALUE"""),"Nathan Oser")</f>
        <v>Nathan Oser</v>
      </c>
      <c r="Q147" s="6" t="str">
        <f>IFERROR(__xludf.DUMMYFUNCTION("""COMPUTED_VALUE"""),"L2")</f>
        <v>L2</v>
      </c>
      <c r="R147" s="6">
        <f>IFERROR(__xludf.DUMMYFUNCTION("""COMPUTED_VALUE"""),2.0)</f>
        <v>2</v>
      </c>
      <c r="S147" s="6" t="str">
        <f>IFERROR(__xludf.DUMMYFUNCTION("""COMPUTED_VALUE""")," ")</f>
        <v> </v>
      </c>
      <c r="T147" s="6" t="str">
        <f>IFERROR(__xludf.DUMMYFUNCTION("""COMPUTED_VALUE"""),"")</f>
        <v/>
      </c>
      <c r="U147" s="6" t="str">
        <f>IFERROR(__xludf.DUMMYFUNCTION("""COMPUTED_VALUE"""),"5")</f>
        <v>5</v>
      </c>
      <c r="V147" s="6" t="str">
        <f>IFERROR(__xludf.DUMMYFUNCTION("""COMPUTED_VALUE"""),"")</f>
        <v/>
      </c>
      <c r="W147" s="6" t="str">
        <f>IFERROR(__xludf.DUMMYFUNCTION("""COMPUTED_VALUE"""),"[]")</f>
        <v>[]</v>
      </c>
      <c r="X147" s="6" t="str">
        <f>IFERROR(__xludf.DUMMYFUNCTION("""COMPUTED_VALUE"""),"Enrolled")</f>
        <v>Enrolled</v>
      </c>
    </row>
    <row r="148">
      <c r="A148" s="6" t="str">
        <f>IFERROR(__xludf.DUMMYFUNCTION("""COMPUTED_VALUE"""),"000-4082")</f>
        <v>000-4082</v>
      </c>
      <c r="B148" s="6" t="str">
        <f>IFERROR(__xludf.DUMMYFUNCTION("""COMPUTED_VALUE"""),"0")</f>
        <v>0</v>
      </c>
      <c r="C148" s="6" t="str">
        <f>IFERROR(__xludf.DUMMYFUNCTION("""COMPUTED_VALUE"""),"4082")</f>
        <v>4082</v>
      </c>
      <c r="D148" s="6" t="str">
        <f>IFERROR(__xludf.DUMMYFUNCTION("""COMPUTED_VALUE"""),"Jameson")</f>
        <v>Jameson</v>
      </c>
      <c r="E148" s="6" t="str">
        <f>IFERROR(__xludf.DUMMYFUNCTION("""COMPUTED_VALUE"""),"")</f>
        <v/>
      </c>
      <c r="F148" s="6" t="str">
        <f>IFERROR(__xludf.DUMMYFUNCTION("""COMPUTED_VALUE"""),"Skaggs")</f>
        <v>Skaggs</v>
      </c>
      <c r="G148" s="6" t="str">
        <f>IFERROR(__xludf.DUMMYFUNCTION("""COMPUTED_VALUE"""),"06/30/2016")</f>
        <v>06/30/2016</v>
      </c>
      <c r="H148" s="6" t="str">
        <f>IFERROR(__xludf.DUMMYFUNCTION("""COMPUTED_VALUE"""),"Self Identify")</f>
        <v>Self Identify</v>
      </c>
      <c r="I148" s="6" t="str">
        <f>IFERROR(__xludf.DUMMYFUNCTION("""COMPUTED_VALUE"""),"Level 2")</f>
        <v>Level 2</v>
      </c>
      <c r="J148" s="6" t="str">
        <f>IFERROR(__xludf.DUMMYFUNCTION("""COMPUTED_VALUE"""),"4")</f>
        <v>4</v>
      </c>
      <c r="K148" s="6" t="str">
        <f>IFERROR(__xludf.DUMMYFUNCTION("""COMPUTED_VALUE"""),"jameson.skaggs@2hourlearning.com")</f>
        <v>jameson.skaggs@2hourlearning.com</v>
      </c>
      <c r="L148" s="6" t="str">
        <f>IFERROR(__xludf.DUMMYFUNCTION("""COMPUTED_VALUE"""),"Alpha Anywhere (homeschool)")</f>
        <v>Alpha Anywhere (homeschool)</v>
      </c>
      <c r="M148" s="6" t="str">
        <f>IFERROR(__xludf.DUMMYFUNCTION("""COMPUTED_VALUE"""),"")</f>
        <v/>
      </c>
      <c r="N148" s="6" t="str">
        <f>IFERROR(__xludf.DUMMYFUNCTION("""COMPUTED_VALUE"""),"")</f>
        <v/>
      </c>
      <c r="O148" s="87" t="str">
        <f>IFERROR(__xludf.DUMMYFUNCTION("""COMPUTED_VALUE"""),"https://drive.google.com/drive/folders/10T2cTQHqEJZqE-st6uFKPoI?usp=share_link")</f>
        <v>https://drive.google.com/drive/folders/10T2cTQHqEJZqE-st6uFKPoI?usp=share_link</v>
      </c>
      <c r="P148" s="6" t="str">
        <f>IFERROR(__xludf.DUMMYFUNCTION("""COMPUTED_VALUE"""),"Jameson Skaggs")</f>
        <v>Jameson Skaggs</v>
      </c>
      <c r="Q148" s="6" t="str">
        <f>IFERROR(__xludf.DUMMYFUNCTION("""COMPUTED_VALUE"""),"L2")</f>
        <v>L2</v>
      </c>
      <c r="R148" s="6">
        <f>IFERROR(__xludf.DUMMYFUNCTION("""COMPUTED_VALUE"""),2.0)</f>
        <v>2</v>
      </c>
      <c r="S148" s="6" t="str">
        <f>IFERROR(__xludf.DUMMYFUNCTION("""COMPUTED_VALUE""")," ")</f>
        <v> </v>
      </c>
      <c r="T148" s="6" t="str">
        <f>IFERROR(__xludf.DUMMYFUNCTION("""COMPUTED_VALUE"""),"")</f>
        <v/>
      </c>
      <c r="U148" s="6" t="str">
        <f>IFERROR(__xludf.DUMMYFUNCTION("""COMPUTED_VALUE"""),"4")</f>
        <v>4</v>
      </c>
      <c r="V148" s="6" t="str">
        <f>IFERROR(__xludf.DUMMYFUNCTION("""COMPUTED_VALUE"""),"")</f>
        <v/>
      </c>
      <c r="W148" s="6" t="str">
        <f>IFERROR(__xludf.DUMMYFUNCTION("""COMPUTED_VALUE"""),"[]")</f>
        <v>[]</v>
      </c>
      <c r="X148" s="6" t="str">
        <f>IFERROR(__xludf.DUMMYFUNCTION("""COMPUTED_VALUE"""),"Enrolled")</f>
        <v>Enrolled</v>
      </c>
    </row>
    <row r="149">
      <c r="A149" s="6" t="str">
        <f>IFERROR(__xludf.DUMMYFUNCTION("""COMPUTED_VALUE"""),"000-4083")</f>
        <v>000-4083</v>
      </c>
      <c r="B149" s="6" t="str">
        <f>IFERROR(__xludf.DUMMYFUNCTION("""COMPUTED_VALUE"""),"0")</f>
        <v>0</v>
      </c>
      <c r="C149" s="6" t="str">
        <f>IFERROR(__xludf.DUMMYFUNCTION("""COMPUTED_VALUE"""),"4083")</f>
        <v>4083</v>
      </c>
      <c r="D149" s="6" t="str">
        <f>IFERROR(__xludf.DUMMYFUNCTION("""COMPUTED_VALUE"""),"Lola")</f>
        <v>Lola</v>
      </c>
      <c r="E149" s="6" t="str">
        <f>IFERROR(__xludf.DUMMYFUNCTION("""COMPUTED_VALUE"""),"")</f>
        <v/>
      </c>
      <c r="F149" s="6" t="str">
        <f>IFERROR(__xludf.DUMMYFUNCTION("""COMPUTED_VALUE"""),"Skaggs")</f>
        <v>Skaggs</v>
      </c>
      <c r="G149" s="6" t="str">
        <f>IFERROR(__xludf.DUMMYFUNCTION("""COMPUTED_VALUE"""),"03/06/2018")</f>
        <v>03/06/2018</v>
      </c>
      <c r="H149" s="6" t="str">
        <f>IFERROR(__xludf.DUMMYFUNCTION("""COMPUTED_VALUE"""),"Self Identify")</f>
        <v>Self Identify</v>
      </c>
      <c r="I149" s="6" t="str">
        <f>IFERROR(__xludf.DUMMYFUNCTION("""COMPUTED_VALUE"""),"Level 1")</f>
        <v>Level 1</v>
      </c>
      <c r="J149" s="6" t="str">
        <f>IFERROR(__xludf.DUMMYFUNCTION("""COMPUTED_VALUE"""),"2")</f>
        <v>2</v>
      </c>
      <c r="K149" s="6" t="str">
        <f>IFERROR(__xludf.DUMMYFUNCTION("""COMPUTED_VALUE"""),"lola.skaggs@2hourlearning.com")</f>
        <v>lola.skaggs@2hourlearning.com</v>
      </c>
      <c r="L149" s="6" t="str">
        <f>IFERROR(__xludf.DUMMYFUNCTION("""COMPUTED_VALUE"""),"Alpha Anywhere (homeschool)")</f>
        <v>Alpha Anywhere (homeschool)</v>
      </c>
      <c r="M149" s="6" t="str">
        <f>IFERROR(__xludf.DUMMYFUNCTION("""COMPUTED_VALUE"""),"")</f>
        <v/>
      </c>
      <c r="N149" s="6" t="str">
        <f>IFERROR(__xludf.DUMMYFUNCTION("""COMPUTED_VALUE"""),"")</f>
        <v/>
      </c>
      <c r="O149" s="87" t="str">
        <f>IFERROR(__xludf.DUMMYFUNCTION("""COMPUTED_VALUE"""),"https://drive.google.com/drive/folders/10T2cTQHqEJZqE-st6uFKPoI?usp=share_link")</f>
        <v>https://drive.google.com/drive/folders/10T2cTQHqEJZqE-st6uFKPoI?usp=share_link</v>
      </c>
      <c r="P149" s="6" t="str">
        <f>IFERROR(__xludf.DUMMYFUNCTION("""COMPUTED_VALUE"""),"Lola Skaggs")</f>
        <v>Lola Skaggs</v>
      </c>
      <c r="Q149" s="6" t="str">
        <f>IFERROR(__xludf.DUMMYFUNCTION("""COMPUTED_VALUE"""),"L1")</f>
        <v>L1</v>
      </c>
      <c r="R149" s="6">
        <f>IFERROR(__xludf.DUMMYFUNCTION("""COMPUTED_VALUE"""),1.0)</f>
        <v>1</v>
      </c>
      <c r="S149" s="6" t="str">
        <f>IFERROR(__xludf.DUMMYFUNCTION("""COMPUTED_VALUE""")," ")</f>
        <v> </v>
      </c>
      <c r="T149" s="6" t="str">
        <f>IFERROR(__xludf.DUMMYFUNCTION("""COMPUTED_VALUE"""),"")</f>
        <v/>
      </c>
      <c r="U149" s="6" t="str">
        <f>IFERROR(__xludf.DUMMYFUNCTION("""COMPUTED_VALUE"""),"2")</f>
        <v>2</v>
      </c>
      <c r="V149" s="6" t="str">
        <f>IFERROR(__xludf.DUMMYFUNCTION("""COMPUTED_VALUE"""),"")</f>
        <v/>
      </c>
      <c r="W149" s="6" t="str">
        <f>IFERROR(__xludf.DUMMYFUNCTION("""COMPUTED_VALUE"""),"[]")</f>
        <v>[]</v>
      </c>
      <c r="X149" s="6" t="str">
        <f>IFERROR(__xludf.DUMMYFUNCTION("""COMPUTED_VALUE"""),"Enrolled")</f>
        <v>Enrolled</v>
      </c>
    </row>
    <row r="150">
      <c r="A150" s="6" t="str">
        <f>IFERROR(__xludf.DUMMYFUNCTION("""COMPUTED_VALUE"""),"000-4084")</f>
        <v>000-4084</v>
      </c>
      <c r="B150" s="6" t="str">
        <f>IFERROR(__xludf.DUMMYFUNCTION("""COMPUTED_VALUE"""),"0")</f>
        <v>0</v>
      </c>
      <c r="C150" s="6" t="str">
        <f>IFERROR(__xludf.DUMMYFUNCTION("""COMPUTED_VALUE"""),"4084")</f>
        <v>4084</v>
      </c>
      <c r="D150" s="6" t="str">
        <f>IFERROR(__xludf.DUMMYFUNCTION("""COMPUTED_VALUE"""),"Ada")</f>
        <v>Ada</v>
      </c>
      <c r="E150" s="6" t="str">
        <f>IFERROR(__xludf.DUMMYFUNCTION("""COMPUTED_VALUE"""),"")</f>
        <v/>
      </c>
      <c r="F150" s="6" t="str">
        <f>IFERROR(__xludf.DUMMYFUNCTION("""COMPUTED_VALUE"""),"Ortiz")</f>
        <v>Ortiz</v>
      </c>
      <c r="G150" s="6" t="str">
        <f>IFERROR(__xludf.DUMMYFUNCTION("""COMPUTED_VALUE"""),"03/03/2017")</f>
        <v>03/03/2017</v>
      </c>
      <c r="H150" s="6" t="str">
        <f>IFERROR(__xludf.DUMMYFUNCTION("""COMPUTED_VALUE"""),"Self Identify")</f>
        <v>Self Identify</v>
      </c>
      <c r="I150" s="6" t="str">
        <f>IFERROR(__xludf.DUMMYFUNCTION("""COMPUTED_VALUE"""),"Level 1")</f>
        <v>Level 1</v>
      </c>
      <c r="J150" s="6" t="str">
        <f>IFERROR(__xludf.DUMMYFUNCTION("""COMPUTED_VALUE"""),"3")</f>
        <v>3</v>
      </c>
      <c r="K150" s="6" t="str">
        <f>IFERROR(__xludf.DUMMYFUNCTION("""COMPUTED_VALUE"""),"ada.ortiz@2hourlearning.com")</f>
        <v>ada.ortiz@2hourlearning.com</v>
      </c>
      <c r="L150" s="6" t="str">
        <f>IFERROR(__xludf.DUMMYFUNCTION("""COMPUTED_VALUE"""),"Alpha Anywhere (homeschool)")</f>
        <v>Alpha Anywhere (homeschool)</v>
      </c>
      <c r="M150" s="6" t="str">
        <f>IFERROR(__xludf.DUMMYFUNCTION("""COMPUTED_VALUE"""),"")</f>
        <v/>
      </c>
      <c r="N150" s="6" t="str">
        <f>IFERROR(__xludf.DUMMYFUNCTION("""COMPUTED_VALUE"""),"")</f>
        <v/>
      </c>
      <c r="O150" s="87" t="str">
        <f>IFERROR(__xludf.DUMMYFUNCTION("""COMPUTED_VALUE"""),"https://drive.google.com/drive/folders/10T2cTQHqEJZqE-st6uFKPoI?usp=share_link")</f>
        <v>https://drive.google.com/drive/folders/10T2cTQHqEJZqE-st6uFKPoI?usp=share_link</v>
      </c>
      <c r="P150" s="6" t="str">
        <f>IFERROR(__xludf.DUMMYFUNCTION("""COMPUTED_VALUE"""),"Ada Ortiz")</f>
        <v>Ada Ortiz</v>
      </c>
      <c r="Q150" s="6" t="str">
        <f>IFERROR(__xludf.DUMMYFUNCTION("""COMPUTED_VALUE"""),"L1")</f>
        <v>L1</v>
      </c>
      <c r="R150" s="6">
        <f>IFERROR(__xludf.DUMMYFUNCTION("""COMPUTED_VALUE"""),1.0)</f>
        <v>1</v>
      </c>
      <c r="S150" s="6" t="str">
        <f>IFERROR(__xludf.DUMMYFUNCTION("""COMPUTED_VALUE""")," ")</f>
        <v> </v>
      </c>
      <c r="T150" s="6" t="str">
        <f>IFERROR(__xludf.DUMMYFUNCTION("""COMPUTED_VALUE"""),"")</f>
        <v/>
      </c>
      <c r="U150" s="6" t="str">
        <f>IFERROR(__xludf.DUMMYFUNCTION("""COMPUTED_VALUE"""),"3")</f>
        <v>3</v>
      </c>
      <c r="V150" s="6" t="str">
        <f>IFERROR(__xludf.DUMMYFUNCTION("""COMPUTED_VALUE"""),"")</f>
        <v/>
      </c>
      <c r="W150" s="6" t="str">
        <f>IFERROR(__xludf.DUMMYFUNCTION("""COMPUTED_VALUE"""),"[]")</f>
        <v>[]</v>
      </c>
      <c r="X150" s="6" t="str">
        <f>IFERROR(__xludf.DUMMYFUNCTION("""COMPUTED_VALUE"""),"Enrolled")</f>
        <v>Enrolled</v>
      </c>
    </row>
    <row r="151">
      <c r="A151" s="6" t="str">
        <f>IFERROR(__xludf.DUMMYFUNCTION("""COMPUTED_VALUE"""),"000-4086")</f>
        <v>000-4086</v>
      </c>
      <c r="B151" s="6" t="str">
        <f>IFERROR(__xludf.DUMMYFUNCTION("""COMPUTED_VALUE"""),"0")</f>
        <v>0</v>
      </c>
      <c r="C151" s="6" t="str">
        <f>IFERROR(__xludf.DUMMYFUNCTION("""COMPUTED_VALUE"""),"4086")</f>
        <v>4086</v>
      </c>
      <c r="D151" s="6" t="str">
        <f>IFERROR(__xludf.DUMMYFUNCTION("""COMPUTED_VALUE"""),"Sebastian")</f>
        <v>Sebastian</v>
      </c>
      <c r="E151" s="6" t="str">
        <f>IFERROR(__xludf.DUMMYFUNCTION("""COMPUTED_VALUE"""),"")</f>
        <v/>
      </c>
      <c r="F151" s="6" t="str">
        <f>IFERROR(__xludf.DUMMYFUNCTION("""COMPUTED_VALUE"""),"Astete")</f>
        <v>Astete</v>
      </c>
      <c r="G151" s="6" t="str">
        <f>IFERROR(__xludf.DUMMYFUNCTION("""COMPUTED_VALUE"""),"11/07/2016")</f>
        <v>11/07/2016</v>
      </c>
      <c r="H151" s="6" t="str">
        <f>IFERROR(__xludf.DUMMYFUNCTION("""COMPUTED_VALUE"""),"Self Identify")</f>
        <v>Self Identify</v>
      </c>
      <c r="I151" s="6" t="str">
        <f>IFERROR(__xludf.DUMMYFUNCTION("""COMPUTED_VALUE"""),"Level 1")</f>
        <v>Level 1</v>
      </c>
      <c r="J151" s="6" t="str">
        <f>IFERROR(__xludf.DUMMYFUNCTION("""COMPUTED_VALUE"""),"3")</f>
        <v>3</v>
      </c>
      <c r="K151" s="6" t="str">
        <f>IFERROR(__xludf.DUMMYFUNCTION("""COMPUTED_VALUE"""),"sebastian.astete@2hourlearning.com")</f>
        <v>sebastian.astete@2hourlearning.com</v>
      </c>
      <c r="L151" s="6" t="str">
        <f>IFERROR(__xludf.DUMMYFUNCTION("""COMPUTED_VALUE"""),"Alpha Anywhere (homeschool)")</f>
        <v>Alpha Anywhere (homeschool)</v>
      </c>
      <c r="M151" s="6" t="str">
        <f>IFERROR(__xludf.DUMMYFUNCTION("""COMPUTED_VALUE"""),"")</f>
        <v/>
      </c>
      <c r="N151" s="6" t="str">
        <f>IFERROR(__xludf.DUMMYFUNCTION("""COMPUTED_VALUE"""),"")</f>
        <v/>
      </c>
      <c r="O151" s="87" t="str">
        <f>IFERROR(__xludf.DUMMYFUNCTION("""COMPUTED_VALUE"""),"https://drive.google.com/drive/folders/10T2cTQHqEJZqE-st6uFKPoI?usp=share_link")</f>
        <v>https://drive.google.com/drive/folders/10T2cTQHqEJZqE-st6uFKPoI?usp=share_link</v>
      </c>
      <c r="P151" s="6" t="str">
        <f>IFERROR(__xludf.DUMMYFUNCTION("""COMPUTED_VALUE"""),"Sebastian Astete")</f>
        <v>Sebastian Astete</v>
      </c>
      <c r="Q151" s="6" t="str">
        <f>IFERROR(__xludf.DUMMYFUNCTION("""COMPUTED_VALUE"""),"L1")</f>
        <v>L1</v>
      </c>
      <c r="R151" s="6">
        <f>IFERROR(__xludf.DUMMYFUNCTION("""COMPUTED_VALUE"""),1.0)</f>
        <v>1</v>
      </c>
      <c r="S151" s="6" t="str">
        <f>IFERROR(__xludf.DUMMYFUNCTION("""COMPUTED_VALUE""")," ")</f>
        <v> </v>
      </c>
      <c r="T151" s="6" t="str">
        <f>IFERROR(__xludf.DUMMYFUNCTION("""COMPUTED_VALUE"""),"")</f>
        <v/>
      </c>
      <c r="U151" s="6" t="str">
        <f>IFERROR(__xludf.DUMMYFUNCTION("""COMPUTED_VALUE"""),"3")</f>
        <v>3</v>
      </c>
      <c r="V151" s="6" t="str">
        <f>IFERROR(__xludf.DUMMYFUNCTION("""COMPUTED_VALUE"""),"")</f>
        <v/>
      </c>
      <c r="W151" s="6" t="str">
        <f>IFERROR(__xludf.DUMMYFUNCTION("""COMPUTED_VALUE"""),"[]")</f>
        <v>[]</v>
      </c>
      <c r="X151" s="6" t="str">
        <f>IFERROR(__xludf.DUMMYFUNCTION("""COMPUTED_VALUE"""),"Enrolled")</f>
        <v>Enrolled</v>
      </c>
    </row>
    <row r="152">
      <c r="A152" s="6" t="str">
        <f>IFERROR(__xludf.DUMMYFUNCTION("""COMPUTED_VALUE"""),"000-4087")</f>
        <v>000-4087</v>
      </c>
      <c r="B152" s="6" t="str">
        <f>IFERROR(__xludf.DUMMYFUNCTION("""COMPUTED_VALUE"""),"0")</f>
        <v>0</v>
      </c>
      <c r="C152" s="6" t="str">
        <f>IFERROR(__xludf.DUMMYFUNCTION("""COMPUTED_VALUE"""),"4087")</f>
        <v>4087</v>
      </c>
      <c r="D152" s="6" t="str">
        <f>IFERROR(__xludf.DUMMYFUNCTION("""COMPUTED_VALUE"""),"Ariana")</f>
        <v>Ariana</v>
      </c>
      <c r="E152" s="6" t="str">
        <f>IFERROR(__xludf.DUMMYFUNCTION("""COMPUTED_VALUE"""),"")</f>
        <v/>
      </c>
      <c r="F152" s="6" t="str">
        <f>IFERROR(__xludf.DUMMYFUNCTION("""COMPUTED_VALUE"""),"Astete")</f>
        <v>Astete</v>
      </c>
      <c r="G152" s="6" t="str">
        <f>IFERROR(__xludf.DUMMYFUNCTION("""COMPUTED_VALUE"""),"11/07/2016")</f>
        <v>11/07/2016</v>
      </c>
      <c r="H152" s="6" t="str">
        <f>IFERROR(__xludf.DUMMYFUNCTION("""COMPUTED_VALUE"""),"Self Identify")</f>
        <v>Self Identify</v>
      </c>
      <c r="I152" s="6" t="str">
        <f>IFERROR(__xludf.DUMMYFUNCTION("""COMPUTED_VALUE"""),"Level 1")</f>
        <v>Level 1</v>
      </c>
      <c r="J152" s="6" t="str">
        <f>IFERROR(__xludf.DUMMYFUNCTION("""COMPUTED_VALUE"""),"3")</f>
        <v>3</v>
      </c>
      <c r="K152" s="6" t="str">
        <f>IFERROR(__xludf.DUMMYFUNCTION("""COMPUTED_VALUE"""),"ariana.astete@2hourlearning.com")</f>
        <v>ariana.astete@2hourlearning.com</v>
      </c>
      <c r="L152" s="6" t="str">
        <f>IFERROR(__xludf.DUMMYFUNCTION("""COMPUTED_VALUE"""),"Alpha Anywhere (homeschool)")</f>
        <v>Alpha Anywhere (homeschool)</v>
      </c>
      <c r="M152" s="6" t="str">
        <f>IFERROR(__xludf.DUMMYFUNCTION("""COMPUTED_VALUE"""),"")</f>
        <v/>
      </c>
      <c r="N152" s="6" t="str">
        <f>IFERROR(__xludf.DUMMYFUNCTION("""COMPUTED_VALUE"""),"")</f>
        <v/>
      </c>
      <c r="O152" s="87" t="str">
        <f>IFERROR(__xludf.DUMMYFUNCTION("""COMPUTED_VALUE"""),"https://drive.google.com/drive/folders/10T2cTQHqEJZqE-st6uFKPoI?usp=share_link")</f>
        <v>https://drive.google.com/drive/folders/10T2cTQHqEJZqE-st6uFKPoI?usp=share_link</v>
      </c>
      <c r="P152" s="6" t="str">
        <f>IFERROR(__xludf.DUMMYFUNCTION("""COMPUTED_VALUE"""),"Ariana Astete")</f>
        <v>Ariana Astete</v>
      </c>
      <c r="Q152" s="6" t="str">
        <f>IFERROR(__xludf.DUMMYFUNCTION("""COMPUTED_VALUE"""),"L1")</f>
        <v>L1</v>
      </c>
      <c r="R152" s="6">
        <f>IFERROR(__xludf.DUMMYFUNCTION("""COMPUTED_VALUE"""),1.0)</f>
        <v>1</v>
      </c>
      <c r="S152" s="6" t="str">
        <f>IFERROR(__xludf.DUMMYFUNCTION("""COMPUTED_VALUE""")," ")</f>
        <v> </v>
      </c>
      <c r="T152" s="6" t="str">
        <f>IFERROR(__xludf.DUMMYFUNCTION("""COMPUTED_VALUE"""),"")</f>
        <v/>
      </c>
      <c r="U152" s="6" t="str">
        <f>IFERROR(__xludf.DUMMYFUNCTION("""COMPUTED_VALUE"""),"3")</f>
        <v>3</v>
      </c>
      <c r="V152" s="6" t="str">
        <f>IFERROR(__xludf.DUMMYFUNCTION("""COMPUTED_VALUE"""),"")</f>
        <v/>
      </c>
      <c r="W152" s="6" t="str">
        <f>IFERROR(__xludf.DUMMYFUNCTION("""COMPUTED_VALUE"""),"[]")</f>
        <v>[]</v>
      </c>
      <c r="X152" s="6" t="str">
        <f>IFERROR(__xludf.DUMMYFUNCTION("""COMPUTED_VALUE"""),"Enrolled")</f>
        <v>Enrolled</v>
      </c>
    </row>
    <row r="153">
      <c r="A153" s="6" t="str">
        <f>IFERROR(__xludf.DUMMYFUNCTION("""COMPUTED_VALUE"""),"000-4088")</f>
        <v>000-4088</v>
      </c>
      <c r="B153" s="6" t="str">
        <f>IFERROR(__xludf.DUMMYFUNCTION("""COMPUTED_VALUE"""),"0")</f>
        <v>0</v>
      </c>
      <c r="C153" s="6" t="str">
        <f>IFERROR(__xludf.DUMMYFUNCTION("""COMPUTED_VALUE"""),"4088")</f>
        <v>4088</v>
      </c>
      <c r="D153" s="6" t="str">
        <f>IFERROR(__xludf.DUMMYFUNCTION("""COMPUTED_VALUE"""),"Emma")</f>
        <v>Emma</v>
      </c>
      <c r="E153" s="6" t="str">
        <f>IFERROR(__xludf.DUMMYFUNCTION("""COMPUTED_VALUE"""),"")</f>
        <v/>
      </c>
      <c r="F153" s="6" t="str">
        <f>IFERROR(__xludf.DUMMYFUNCTION("""COMPUTED_VALUE"""),"Eshkanian")</f>
        <v>Eshkanian</v>
      </c>
      <c r="G153" s="6" t="str">
        <f>IFERROR(__xludf.DUMMYFUNCTION("""COMPUTED_VALUE"""),"07/08/2014")</f>
        <v>07/08/2014</v>
      </c>
      <c r="H153" s="6" t="str">
        <f>IFERROR(__xludf.DUMMYFUNCTION("""COMPUTED_VALUE"""),"Self Identify")</f>
        <v>Self Identify</v>
      </c>
      <c r="I153" s="6" t="str">
        <f>IFERROR(__xludf.DUMMYFUNCTION("""COMPUTED_VALUE"""),"Level 2")</f>
        <v>Level 2</v>
      </c>
      <c r="J153" s="6" t="str">
        <f>IFERROR(__xludf.DUMMYFUNCTION("""COMPUTED_VALUE"""),"5")</f>
        <v>5</v>
      </c>
      <c r="K153" s="6" t="str">
        <f>IFERROR(__xludf.DUMMYFUNCTION("""COMPUTED_VALUE"""),"emma.eshkanian@2hourlearning.com")</f>
        <v>emma.eshkanian@2hourlearning.com</v>
      </c>
      <c r="L153" s="6" t="str">
        <f>IFERROR(__xludf.DUMMYFUNCTION("""COMPUTED_VALUE"""),"Alpha Anywhere (homeschool)")</f>
        <v>Alpha Anywhere (homeschool)</v>
      </c>
      <c r="M153" s="6" t="str">
        <f>IFERROR(__xludf.DUMMYFUNCTION("""COMPUTED_VALUE"""),"")</f>
        <v/>
      </c>
      <c r="N153" s="6" t="str">
        <f>IFERROR(__xludf.DUMMYFUNCTION("""COMPUTED_VALUE"""),"")</f>
        <v/>
      </c>
      <c r="O153" s="87" t="str">
        <f>IFERROR(__xludf.DUMMYFUNCTION("""COMPUTED_VALUE"""),"https://drive.google.com/drive/folders/10T2cTQHqEJZqE-st6uFKPoI?usp=share_link")</f>
        <v>https://drive.google.com/drive/folders/10T2cTQHqEJZqE-st6uFKPoI?usp=share_link</v>
      </c>
      <c r="P153" s="6" t="str">
        <f>IFERROR(__xludf.DUMMYFUNCTION("""COMPUTED_VALUE"""),"Emma Eshkanian")</f>
        <v>Emma Eshkanian</v>
      </c>
      <c r="Q153" s="6" t="str">
        <f>IFERROR(__xludf.DUMMYFUNCTION("""COMPUTED_VALUE"""),"L2")</f>
        <v>L2</v>
      </c>
      <c r="R153" s="6">
        <f>IFERROR(__xludf.DUMMYFUNCTION("""COMPUTED_VALUE"""),2.0)</f>
        <v>2</v>
      </c>
      <c r="S153" s="6" t="str">
        <f>IFERROR(__xludf.DUMMYFUNCTION("""COMPUTED_VALUE""")," ")</f>
        <v> </v>
      </c>
      <c r="T153" s="6" t="str">
        <f>IFERROR(__xludf.DUMMYFUNCTION("""COMPUTED_VALUE"""),"")</f>
        <v/>
      </c>
      <c r="U153" s="6" t="str">
        <f>IFERROR(__xludf.DUMMYFUNCTION("""COMPUTED_VALUE"""),"5")</f>
        <v>5</v>
      </c>
      <c r="V153" s="6" t="str">
        <f>IFERROR(__xludf.DUMMYFUNCTION("""COMPUTED_VALUE"""),"")</f>
        <v/>
      </c>
      <c r="W153" s="6" t="str">
        <f>IFERROR(__xludf.DUMMYFUNCTION("""COMPUTED_VALUE"""),"[]")</f>
        <v>[]</v>
      </c>
      <c r="X153" s="6" t="str">
        <f>IFERROR(__xludf.DUMMYFUNCTION("""COMPUTED_VALUE"""),"Enrolled")</f>
        <v>Enrolled</v>
      </c>
    </row>
    <row r="154">
      <c r="A154" s="6" t="str">
        <f>IFERROR(__xludf.DUMMYFUNCTION("""COMPUTED_VALUE"""),"000-4093")</f>
        <v>000-4093</v>
      </c>
      <c r="B154" s="6" t="str">
        <f>IFERROR(__xludf.DUMMYFUNCTION("""COMPUTED_VALUE"""),"0")</f>
        <v>0</v>
      </c>
      <c r="C154" s="6" t="str">
        <f>IFERROR(__xludf.DUMMYFUNCTION("""COMPUTED_VALUE"""),"4093")</f>
        <v>4093</v>
      </c>
      <c r="D154" s="6" t="str">
        <f>IFERROR(__xludf.DUMMYFUNCTION("""COMPUTED_VALUE"""),"Augustus")</f>
        <v>Augustus</v>
      </c>
      <c r="E154" s="6" t="str">
        <f>IFERROR(__xludf.DUMMYFUNCTION("""COMPUTED_VALUE"""),"Augie")</f>
        <v>Augie</v>
      </c>
      <c r="F154" s="6" t="str">
        <f>IFERROR(__xludf.DUMMYFUNCTION("""COMPUTED_VALUE"""),"Townsend")</f>
        <v>Townsend</v>
      </c>
      <c r="G154" s="6" t="str">
        <f>IFERROR(__xludf.DUMMYFUNCTION("""COMPUTED_VALUE"""),"02/20/2018")</f>
        <v>02/20/2018</v>
      </c>
      <c r="H154" s="6" t="str">
        <f>IFERROR(__xludf.DUMMYFUNCTION("""COMPUTED_VALUE"""),"Self Identify")</f>
        <v>Self Identify</v>
      </c>
      <c r="I154" s="6" t="str">
        <f>IFERROR(__xludf.DUMMYFUNCTION("""COMPUTED_VALUE"""),"Level 1")</f>
        <v>Level 1</v>
      </c>
      <c r="J154" s="6" t="str">
        <f>IFERROR(__xludf.DUMMYFUNCTION("""COMPUTED_VALUE"""),"2")</f>
        <v>2</v>
      </c>
      <c r="K154" s="6" t="str">
        <f>IFERROR(__xludf.DUMMYFUNCTION("""COMPUTED_VALUE"""),"augie.townsend@2hourlearning.com")</f>
        <v>augie.townsend@2hourlearning.com</v>
      </c>
      <c r="L154" s="6" t="str">
        <f>IFERROR(__xludf.DUMMYFUNCTION("""COMPUTED_VALUE"""),"Alpha Anywhere (homeschool)")</f>
        <v>Alpha Anywhere (homeschool)</v>
      </c>
      <c r="M154" s="6" t="str">
        <f>IFERROR(__xludf.DUMMYFUNCTION("""COMPUTED_VALUE"""),"")</f>
        <v/>
      </c>
      <c r="N154" s="6" t="str">
        <f>IFERROR(__xludf.DUMMYFUNCTION("""COMPUTED_VALUE"""),"")</f>
        <v/>
      </c>
      <c r="O154" s="87" t="str">
        <f>IFERROR(__xludf.DUMMYFUNCTION("""COMPUTED_VALUE"""),"https://drive.google.com/drive/folders/10T2cTQHqEJZqE-st6uFKPoI?usp=share_link")</f>
        <v>https://drive.google.com/drive/folders/10T2cTQHqEJZqE-st6uFKPoI?usp=share_link</v>
      </c>
      <c r="P154" s="6" t="str">
        <f>IFERROR(__xludf.DUMMYFUNCTION("""COMPUTED_VALUE"""),"Augie Townsend")</f>
        <v>Augie Townsend</v>
      </c>
      <c r="Q154" s="6" t="str">
        <f>IFERROR(__xludf.DUMMYFUNCTION("""COMPUTED_VALUE"""),"L1")</f>
        <v>L1</v>
      </c>
      <c r="R154" s="6">
        <f>IFERROR(__xludf.DUMMYFUNCTION("""COMPUTED_VALUE"""),1.0)</f>
        <v>1</v>
      </c>
      <c r="S154" s="6" t="str">
        <f>IFERROR(__xludf.DUMMYFUNCTION("""COMPUTED_VALUE""")," ")</f>
        <v> </v>
      </c>
      <c r="T154" s="6" t="str">
        <f>IFERROR(__xludf.DUMMYFUNCTION("""COMPUTED_VALUE"""),"")</f>
        <v/>
      </c>
      <c r="U154" s="6" t="str">
        <f>IFERROR(__xludf.DUMMYFUNCTION("""COMPUTED_VALUE"""),"2")</f>
        <v>2</v>
      </c>
      <c r="V154" s="6" t="str">
        <f>IFERROR(__xludf.DUMMYFUNCTION("""COMPUTED_VALUE"""),"")</f>
        <v/>
      </c>
      <c r="W154" s="6" t="str">
        <f>IFERROR(__xludf.DUMMYFUNCTION("""COMPUTED_VALUE"""),"[]")</f>
        <v>[]</v>
      </c>
      <c r="X154" s="6" t="str">
        <f>IFERROR(__xludf.DUMMYFUNCTION("""COMPUTED_VALUE"""),"Enrolled")</f>
        <v>Enrolled</v>
      </c>
    </row>
    <row r="155">
      <c r="A155" s="6" t="str">
        <f>IFERROR(__xludf.DUMMYFUNCTION("""COMPUTED_VALUE"""),"000-4094")</f>
        <v>000-4094</v>
      </c>
      <c r="B155" s="6" t="str">
        <f>IFERROR(__xludf.DUMMYFUNCTION("""COMPUTED_VALUE"""),"0")</f>
        <v>0</v>
      </c>
      <c r="C155" s="6" t="str">
        <f>IFERROR(__xludf.DUMMYFUNCTION("""COMPUTED_VALUE"""),"4094")</f>
        <v>4094</v>
      </c>
      <c r="D155" s="6" t="str">
        <f>IFERROR(__xludf.DUMMYFUNCTION("""COMPUTED_VALUE"""),"Elias")</f>
        <v>Elias</v>
      </c>
      <c r="E155" s="6" t="str">
        <f>IFERROR(__xludf.DUMMYFUNCTION("""COMPUTED_VALUE"""),"")</f>
        <v/>
      </c>
      <c r="F155" s="6" t="str">
        <f>IFERROR(__xludf.DUMMYFUNCTION("""COMPUTED_VALUE"""),"Casares")</f>
        <v>Casares</v>
      </c>
      <c r="G155" s="6" t="str">
        <f>IFERROR(__xludf.DUMMYFUNCTION("""COMPUTED_VALUE"""),"10/03/2013")</f>
        <v>10/03/2013</v>
      </c>
      <c r="H155" s="6" t="str">
        <f>IFERROR(__xludf.DUMMYFUNCTION("""COMPUTED_VALUE"""),"Self Identify")</f>
        <v>Self Identify</v>
      </c>
      <c r="I155" s="6" t="str">
        <f>IFERROR(__xludf.DUMMYFUNCTION("""COMPUTED_VALUE"""),"Middle School")</f>
        <v>Middle School</v>
      </c>
      <c r="J155" s="6" t="str">
        <f>IFERROR(__xludf.DUMMYFUNCTION("""COMPUTED_VALUE"""),"6")</f>
        <v>6</v>
      </c>
      <c r="K155" s="6" t="str">
        <f>IFERROR(__xludf.DUMMYFUNCTION("""COMPUTED_VALUE"""),"elias.casares@2hourlearning.com")</f>
        <v>elias.casares@2hourlearning.com</v>
      </c>
      <c r="L155" s="6" t="str">
        <f>IFERROR(__xludf.DUMMYFUNCTION("""COMPUTED_VALUE"""),"Alpha Anywhere (homeschool)")</f>
        <v>Alpha Anywhere (homeschool)</v>
      </c>
      <c r="M155" s="6" t="str">
        <f>IFERROR(__xludf.DUMMYFUNCTION("""COMPUTED_VALUE"""),"")</f>
        <v/>
      </c>
      <c r="N155" s="6" t="str">
        <f>IFERROR(__xludf.DUMMYFUNCTION("""COMPUTED_VALUE"""),"")</f>
        <v/>
      </c>
      <c r="O155" s="87" t="str">
        <f>IFERROR(__xludf.DUMMYFUNCTION("""COMPUTED_VALUE"""),"https://drive.google.com/drive/folders/10T2cTQHqEJZqE-st6uFKPoI?usp=share_link")</f>
        <v>https://drive.google.com/drive/folders/10T2cTQHqEJZqE-st6uFKPoI?usp=share_link</v>
      </c>
      <c r="P155" s="6" t="str">
        <f>IFERROR(__xludf.DUMMYFUNCTION("""COMPUTED_VALUE"""),"Elias Casares")</f>
        <v>Elias Casares</v>
      </c>
      <c r="Q155" s="6" t="str">
        <f>IFERROR(__xludf.DUMMYFUNCTION("""COMPUTED_VALUE"""),"MS")</f>
        <v>MS</v>
      </c>
      <c r="R155" s="6">
        <f>IFERROR(__xludf.DUMMYFUNCTION("""COMPUTED_VALUE"""),0.0)</f>
        <v>0</v>
      </c>
      <c r="S155" s="6" t="str">
        <f>IFERROR(__xludf.DUMMYFUNCTION("""COMPUTED_VALUE""")," ")</f>
        <v> </v>
      </c>
      <c r="T155" s="6" t="str">
        <f>IFERROR(__xludf.DUMMYFUNCTION("""COMPUTED_VALUE"""),"")</f>
        <v/>
      </c>
      <c r="U155" s="6" t="str">
        <f>IFERROR(__xludf.DUMMYFUNCTION("""COMPUTED_VALUE"""),"6")</f>
        <v>6</v>
      </c>
      <c r="V155" s="6" t="str">
        <f>IFERROR(__xludf.DUMMYFUNCTION("""COMPUTED_VALUE"""),"")</f>
        <v/>
      </c>
      <c r="W155" s="6" t="str">
        <f>IFERROR(__xludf.DUMMYFUNCTION("""COMPUTED_VALUE"""),"[]")</f>
        <v>[]</v>
      </c>
      <c r="X155" s="6" t="str">
        <f>IFERROR(__xludf.DUMMYFUNCTION("""COMPUTED_VALUE"""),"Enrolled")</f>
        <v>Enrolled</v>
      </c>
    </row>
    <row r="156">
      <c r="A156" s="6" t="str">
        <f>IFERROR(__xludf.DUMMYFUNCTION("""COMPUTED_VALUE"""),"000-4095")</f>
        <v>000-4095</v>
      </c>
      <c r="B156" s="6" t="str">
        <f>IFERROR(__xludf.DUMMYFUNCTION("""COMPUTED_VALUE"""),"0")</f>
        <v>0</v>
      </c>
      <c r="C156" s="6" t="str">
        <f>IFERROR(__xludf.DUMMYFUNCTION("""COMPUTED_VALUE"""),"4095")</f>
        <v>4095</v>
      </c>
      <c r="D156" s="6" t="str">
        <f>IFERROR(__xludf.DUMMYFUNCTION("""COMPUTED_VALUE"""),"Nora")</f>
        <v>Nora</v>
      </c>
      <c r="E156" s="6" t="str">
        <f>IFERROR(__xludf.DUMMYFUNCTION("""COMPUTED_VALUE"""),"")</f>
        <v/>
      </c>
      <c r="F156" s="6" t="str">
        <f>IFERROR(__xludf.DUMMYFUNCTION("""COMPUTED_VALUE"""),"Casares")</f>
        <v>Casares</v>
      </c>
      <c r="G156" s="6" t="str">
        <f>IFERROR(__xludf.DUMMYFUNCTION("""COMPUTED_VALUE"""),"10/06/2015")</f>
        <v>10/06/2015</v>
      </c>
      <c r="H156" s="6" t="str">
        <f>IFERROR(__xludf.DUMMYFUNCTION("""COMPUTED_VALUE"""),"Self Identify")</f>
        <v>Self Identify</v>
      </c>
      <c r="I156" s="6" t="str">
        <f>IFERROR(__xludf.DUMMYFUNCTION("""COMPUTED_VALUE"""),"Level 2")</f>
        <v>Level 2</v>
      </c>
      <c r="J156" s="6" t="str">
        <f>IFERROR(__xludf.DUMMYFUNCTION("""COMPUTED_VALUE"""),"4")</f>
        <v>4</v>
      </c>
      <c r="K156" s="6" t="str">
        <f>IFERROR(__xludf.DUMMYFUNCTION("""COMPUTED_VALUE"""),"nora.casares@2hourlearning.com")</f>
        <v>nora.casares@2hourlearning.com</v>
      </c>
      <c r="L156" s="6" t="str">
        <f>IFERROR(__xludf.DUMMYFUNCTION("""COMPUTED_VALUE"""),"Alpha Anywhere (homeschool)")</f>
        <v>Alpha Anywhere (homeschool)</v>
      </c>
      <c r="M156" s="6" t="str">
        <f>IFERROR(__xludf.DUMMYFUNCTION("""COMPUTED_VALUE"""),"")</f>
        <v/>
      </c>
      <c r="N156" s="6" t="str">
        <f>IFERROR(__xludf.DUMMYFUNCTION("""COMPUTED_VALUE"""),"")</f>
        <v/>
      </c>
      <c r="O156" s="87" t="str">
        <f>IFERROR(__xludf.DUMMYFUNCTION("""COMPUTED_VALUE"""),"https://drive.google.com/drive/folders/10T2cTQHqEJZqE-st6uFKPoI?usp=share_link")</f>
        <v>https://drive.google.com/drive/folders/10T2cTQHqEJZqE-st6uFKPoI?usp=share_link</v>
      </c>
      <c r="P156" s="6" t="str">
        <f>IFERROR(__xludf.DUMMYFUNCTION("""COMPUTED_VALUE"""),"Nora Casares")</f>
        <v>Nora Casares</v>
      </c>
      <c r="Q156" s="6" t="str">
        <f>IFERROR(__xludf.DUMMYFUNCTION("""COMPUTED_VALUE"""),"L2")</f>
        <v>L2</v>
      </c>
      <c r="R156" s="6">
        <f>IFERROR(__xludf.DUMMYFUNCTION("""COMPUTED_VALUE"""),2.0)</f>
        <v>2</v>
      </c>
      <c r="S156" s="6" t="str">
        <f>IFERROR(__xludf.DUMMYFUNCTION("""COMPUTED_VALUE""")," ")</f>
        <v> </v>
      </c>
      <c r="T156" s="6" t="str">
        <f>IFERROR(__xludf.DUMMYFUNCTION("""COMPUTED_VALUE"""),"")</f>
        <v/>
      </c>
      <c r="U156" s="6" t="str">
        <f>IFERROR(__xludf.DUMMYFUNCTION("""COMPUTED_VALUE"""),"4")</f>
        <v>4</v>
      </c>
      <c r="V156" s="6" t="str">
        <f>IFERROR(__xludf.DUMMYFUNCTION("""COMPUTED_VALUE"""),"")</f>
        <v/>
      </c>
      <c r="W156" s="6" t="str">
        <f>IFERROR(__xludf.DUMMYFUNCTION("""COMPUTED_VALUE"""),"[]")</f>
        <v>[]</v>
      </c>
      <c r="X156" s="6" t="str">
        <f>IFERROR(__xludf.DUMMYFUNCTION("""COMPUTED_VALUE"""),"Enrolled")</f>
        <v>Enrolled</v>
      </c>
    </row>
    <row r="157">
      <c r="A157" s="6" t="str">
        <f>IFERROR(__xludf.DUMMYFUNCTION("""COMPUTED_VALUE"""),"000-4096")</f>
        <v>000-4096</v>
      </c>
      <c r="B157" s="6" t="str">
        <f>IFERROR(__xludf.DUMMYFUNCTION("""COMPUTED_VALUE"""),"0")</f>
        <v>0</v>
      </c>
      <c r="C157" s="6" t="str">
        <f>IFERROR(__xludf.DUMMYFUNCTION("""COMPUTED_VALUE"""),"4096")</f>
        <v>4096</v>
      </c>
      <c r="D157" s="6" t="str">
        <f>IFERROR(__xludf.DUMMYFUNCTION("""COMPUTED_VALUE"""),"Henry")</f>
        <v>Henry</v>
      </c>
      <c r="E157" s="6" t="str">
        <f>IFERROR(__xludf.DUMMYFUNCTION("""COMPUTED_VALUE"""),"")</f>
        <v/>
      </c>
      <c r="F157" s="6" t="str">
        <f>IFERROR(__xludf.DUMMYFUNCTION("""COMPUTED_VALUE"""),"Green")</f>
        <v>Green</v>
      </c>
      <c r="G157" s="6" t="str">
        <f>IFERROR(__xludf.DUMMYFUNCTION("""COMPUTED_VALUE"""),"04/09/2014")</f>
        <v>04/09/2014</v>
      </c>
      <c r="H157" s="6" t="str">
        <f>IFERROR(__xludf.DUMMYFUNCTION("""COMPUTED_VALUE"""),"Self Identify")</f>
        <v>Self Identify</v>
      </c>
      <c r="I157" s="6" t="str">
        <f>IFERROR(__xludf.DUMMYFUNCTION("""COMPUTED_VALUE"""),"Middle School")</f>
        <v>Middle School</v>
      </c>
      <c r="J157" s="6" t="str">
        <f>IFERROR(__xludf.DUMMYFUNCTION("""COMPUTED_VALUE"""),"6")</f>
        <v>6</v>
      </c>
      <c r="K157" s="6" t="str">
        <f>IFERROR(__xludf.DUMMYFUNCTION("""COMPUTED_VALUE"""),"henry.green@2hourlearning.com")</f>
        <v>henry.green@2hourlearning.com</v>
      </c>
      <c r="L157" s="6" t="str">
        <f>IFERROR(__xludf.DUMMYFUNCTION("""COMPUTED_VALUE"""),"Alpha Anywhere (homeschool)")</f>
        <v>Alpha Anywhere (homeschool)</v>
      </c>
      <c r="M157" s="6" t="str">
        <f>IFERROR(__xludf.DUMMYFUNCTION("""COMPUTED_VALUE"""),"")</f>
        <v/>
      </c>
      <c r="N157" s="6" t="str">
        <f>IFERROR(__xludf.DUMMYFUNCTION("""COMPUTED_VALUE"""),"")</f>
        <v/>
      </c>
      <c r="O157" s="87" t="str">
        <f>IFERROR(__xludf.DUMMYFUNCTION("""COMPUTED_VALUE"""),"https://drive.google.com/drive/folders/10T2cTQHqEJZqE-st6uFKPoI?usp=share_link")</f>
        <v>https://drive.google.com/drive/folders/10T2cTQHqEJZqE-st6uFKPoI?usp=share_link</v>
      </c>
      <c r="P157" s="6" t="str">
        <f>IFERROR(__xludf.DUMMYFUNCTION("""COMPUTED_VALUE"""),"Henry Green")</f>
        <v>Henry Green</v>
      </c>
      <c r="Q157" s="6" t="str">
        <f>IFERROR(__xludf.DUMMYFUNCTION("""COMPUTED_VALUE"""),"MS")</f>
        <v>MS</v>
      </c>
      <c r="R157" s="6">
        <f>IFERROR(__xludf.DUMMYFUNCTION("""COMPUTED_VALUE"""),0.0)</f>
        <v>0</v>
      </c>
      <c r="S157" s="6" t="str">
        <f>IFERROR(__xludf.DUMMYFUNCTION("""COMPUTED_VALUE""")," ")</f>
        <v> </v>
      </c>
      <c r="T157" s="6" t="str">
        <f>IFERROR(__xludf.DUMMYFUNCTION("""COMPUTED_VALUE"""),"")</f>
        <v/>
      </c>
      <c r="U157" s="6" t="str">
        <f>IFERROR(__xludf.DUMMYFUNCTION("""COMPUTED_VALUE"""),"6")</f>
        <v>6</v>
      </c>
      <c r="V157" s="6" t="str">
        <f>IFERROR(__xludf.DUMMYFUNCTION("""COMPUTED_VALUE"""),"")</f>
        <v/>
      </c>
      <c r="W157" s="6" t="str">
        <f>IFERROR(__xludf.DUMMYFUNCTION("""COMPUTED_VALUE"""),"[]")</f>
        <v>[]</v>
      </c>
      <c r="X157" s="6" t="str">
        <f>IFERROR(__xludf.DUMMYFUNCTION("""COMPUTED_VALUE"""),"Enrolled")</f>
        <v>Enrolled</v>
      </c>
    </row>
    <row r="158">
      <c r="A158" s="6" t="str">
        <f>IFERROR(__xludf.DUMMYFUNCTION("""COMPUTED_VALUE"""),"000-4097")</f>
        <v>000-4097</v>
      </c>
      <c r="B158" s="6" t="str">
        <f>IFERROR(__xludf.DUMMYFUNCTION("""COMPUTED_VALUE"""),"0")</f>
        <v>0</v>
      </c>
      <c r="C158" s="6" t="str">
        <f>IFERROR(__xludf.DUMMYFUNCTION("""COMPUTED_VALUE"""),"4097")</f>
        <v>4097</v>
      </c>
      <c r="D158" s="6" t="str">
        <f>IFERROR(__xludf.DUMMYFUNCTION("""COMPUTED_VALUE"""),"Archie")</f>
        <v>Archie</v>
      </c>
      <c r="E158" s="6" t="str">
        <f>IFERROR(__xludf.DUMMYFUNCTION("""COMPUTED_VALUE"""),"")</f>
        <v/>
      </c>
      <c r="F158" s="6" t="str">
        <f>IFERROR(__xludf.DUMMYFUNCTION("""COMPUTED_VALUE"""),"Green")</f>
        <v>Green</v>
      </c>
      <c r="G158" s="6" t="str">
        <f>IFERROR(__xludf.DUMMYFUNCTION("""COMPUTED_VALUE"""),"08/20/2015")</f>
        <v>08/20/2015</v>
      </c>
      <c r="H158" s="6" t="str">
        <f>IFERROR(__xludf.DUMMYFUNCTION("""COMPUTED_VALUE"""),"Self Identify")</f>
        <v>Self Identify</v>
      </c>
      <c r="I158" s="6" t="str">
        <f>IFERROR(__xludf.DUMMYFUNCTION("""COMPUTED_VALUE"""),"Level 2")</f>
        <v>Level 2</v>
      </c>
      <c r="J158" s="6" t="str">
        <f>IFERROR(__xludf.DUMMYFUNCTION("""COMPUTED_VALUE"""),"4")</f>
        <v>4</v>
      </c>
      <c r="K158" s="6" t="str">
        <f>IFERROR(__xludf.DUMMYFUNCTION("""COMPUTED_VALUE"""),"archie.green@2hourlearning.com")</f>
        <v>archie.green@2hourlearning.com</v>
      </c>
      <c r="L158" s="6" t="str">
        <f>IFERROR(__xludf.DUMMYFUNCTION("""COMPUTED_VALUE"""),"Alpha Anywhere (homeschool)")</f>
        <v>Alpha Anywhere (homeschool)</v>
      </c>
      <c r="M158" s="6" t="str">
        <f>IFERROR(__xludf.DUMMYFUNCTION("""COMPUTED_VALUE"""),"")</f>
        <v/>
      </c>
      <c r="N158" s="6" t="str">
        <f>IFERROR(__xludf.DUMMYFUNCTION("""COMPUTED_VALUE"""),"")</f>
        <v/>
      </c>
      <c r="O158" s="87" t="str">
        <f>IFERROR(__xludf.DUMMYFUNCTION("""COMPUTED_VALUE"""),"https://drive.google.com/drive/folders/10T2cTQHqEJZqE-st6uFKPoI?usp=share_link")</f>
        <v>https://drive.google.com/drive/folders/10T2cTQHqEJZqE-st6uFKPoI?usp=share_link</v>
      </c>
      <c r="P158" s="6" t="str">
        <f>IFERROR(__xludf.DUMMYFUNCTION("""COMPUTED_VALUE"""),"Archie Green")</f>
        <v>Archie Green</v>
      </c>
      <c r="Q158" s="6" t="str">
        <f>IFERROR(__xludf.DUMMYFUNCTION("""COMPUTED_VALUE"""),"L2")</f>
        <v>L2</v>
      </c>
      <c r="R158" s="6">
        <f>IFERROR(__xludf.DUMMYFUNCTION("""COMPUTED_VALUE"""),2.0)</f>
        <v>2</v>
      </c>
      <c r="S158" s="6" t="str">
        <f>IFERROR(__xludf.DUMMYFUNCTION("""COMPUTED_VALUE""")," ")</f>
        <v> </v>
      </c>
      <c r="T158" s="6" t="str">
        <f>IFERROR(__xludf.DUMMYFUNCTION("""COMPUTED_VALUE"""),"")</f>
        <v/>
      </c>
      <c r="U158" s="6" t="str">
        <f>IFERROR(__xludf.DUMMYFUNCTION("""COMPUTED_VALUE"""),"4")</f>
        <v>4</v>
      </c>
      <c r="V158" s="6" t="str">
        <f>IFERROR(__xludf.DUMMYFUNCTION("""COMPUTED_VALUE"""),"")</f>
        <v/>
      </c>
      <c r="W158" s="6" t="str">
        <f>IFERROR(__xludf.DUMMYFUNCTION("""COMPUTED_VALUE"""),"[]")</f>
        <v>[]</v>
      </c>
      <c r="X158" s="6" t="str">
        <f>IFERROR(__xludf.DUMMYFUNCTION("""COMPUTED_VALUE"""),"Enrolled")</f>
        <v>Enrolled</v>
      </c>
    </row>
    <row r="159">
      <c r="A159" s="6" t="str">
        <f>IFERROR(__xludf.DUMMYFUNCTION("""COMPUTED_VALUE"""),"000-4251")</f>
        <v>000-4251</v>
      </c>
      <c r="B159" s="6" t="str">
        <f>IFERROR(__xludf.DUMMYFUNCTION("""COMPUTED_VALUE"""),"0")</f>
        <v>0</v>
      </c>
      <c r="C159" s="6" t="str">
        <f>IFERROR(__xludf.DUMMYFUNCTION("""COMPUTED_VALUE"""),"4251")</f>
        <v>4251</v>
      </c>
      <c r="D159" s="6" t="str">
        <f>IFERROR(__xludf.DUMMYFUNCTION("""COMPUTED_VALUE"""),"Jaxon")</f>
        <v>Jaxon</v>
      </c>
      <c r="E159" s="6" t="str">
        <f>IFERROR(__xludf.DUMMYFUNCTION("""COMPUTED_VALUE"""),"")</f>
        <v/>
      </c>
      <c r="F159" s="6" t="str">
        <f>IFERROR(__xludf.DUMMYFUNCTION("""COMPUTED_VALUE"""),"Bell")</f>
        <v>Bell</v>
      </c>
      <c r="G159" s="6" t="str">
        <f>IFERROR(__xludf.DUMMYFUNCTION("""COMPUTED_VALUE"""),"01/05/2016")</f>
        <v>01/05/2016</v>
      </c>
      <c r="H159" s="6" t="str">
        <f>IFERROR(__xludf.DUMMYFUNCTION("""COMPUTED_VALUE"""),"Self Identify")</f>
        <v>Self Identify</v>
      </c>
      <c r="I159" s="6" t="str">
        <f>IFERROR(__xludf.DUMMYFUNCTION("""COMPUTED_VALUE"""),"Level 2")</f>
        <v>Level 2</v>
      </c>
      <c r="J159" s="6" t="str">
        <f>IFERROR(__xludf.DUMMYFUNCTION("""COMPUTED_VALUE"""),"4")</f>
        <v>4</v>
      </c>
      <c r="K159" s="6" t="str">
        <f>IFERROR(__xludf.DUMMYFUNCTION("""COMPUTED_VALUE"""),"jaxon.bell@2hourlearning.com")</f>
        <v>jaxon.bell@2hourlearning.com</v>
      </c>
      <c r="L159" s="6" t="str">
        <f>IFERROR(__xludf.DUMMYFUNCTION("""COMPUTED_VALUE"""),"Alpha Anywhere (homeschool)")</f>
        <v>Alpha Anywhere (homeschool)</v>
      </c>
      <c r="M159" s="6" t="str">
        <f>IFERROR(__xludf.DUMMYFUNCTION("""COMPUTED_VALUE"""),"")</f>
        <v/>
      </c>
      <c r="N159" s="6" t="str">
        <f>IFERROR(__xludf.DUMMYFUNCTION("""COMPUTED_VALUE"""),"")</f>
        <v/>
      </c>
      <c r="O159" s="87" t="str">
        <f>IFERROR(__xludf.DUMMYFUNCTION("""COMPUTED_VALUE"""),"https://drive.google.com/drive/folders/10T2cTQHqEJZqE-st6uFKPoI?usp=share_link")</f>
        <v>https://drive.google.com/drive/folders/10T2cTQHqEJZqE-st6uFKPoI?usp=share_link</v>
      </c>
      <c r="P159" s="6" t="str">
        <f>IFERROR(__xludf.DUMMYFUNCTION("""COMPUTED_VALUE"""),"Jaxon Bell")</f>
        <v>Jaxon Bell</v>
      </c>
      <c r="Q159" s="6" t="str">
        <f>IFERROR(__xludf.DUMMYFUNCTION("""COMPUTED_VALUE"""),"L2")</f>
        <v>L2</v>
      </c>
      <c r="R159" s="6">
        <f>IFERROR(__xludf.DUMMYFUNCTION("""COMPUTED_VALUE"""),2.0)</f>
        <v>2</v>
      </c>
      <c r="S159" s="6" t="str">
        <f>IFERROR(__xludf.DUMMYFUNCTION("""COMPUTED_VALUE""")," ")</f>
        <v> </v>
      </c>
      <c r="T159" s="6" t="str">
        <f>IFERROR(__xludf.DUMMYFUNCTION("""COMPUTED_VALUE"""),"")</f>
        <v/>
      </c>
      <c r="U159" s="6" t="str">
        <f>IFERROR(__xludf.DUMMYFUNCTION("""COMPUTED_VALUE"""),"4")</f>
        <v>4</v>
      </c>
      <c r="V159" s="6" t="str">
        <f>IFERROR(__xludf.DUMMYFUNCTION("""COMPUTED_VALUE"""),"")</f>
        <v/>
      </c>
      <c r="W159" s="6" t="str">
        <f>IFERROR(__xludf.DUMMYFUNCTION("""COMPUTED_VALUE"""),"[]")</f>
        <v>[]</v>
      </c>
      <c r="X159" s="6" t="str">
        <f>IFERROR(__xludf.DUMMYFUNCTION("""COMPUTED_VALUE"""),"Enrolled")</f>
        <v>Enrolled</v>
      </c>
    </row>
    <row r="160">
      <c r="A160" s="6" t="str">
        <f>IFERROR(__xludf.DUMMYFUNCTION("""COMPUTED_VALUE"""),"000-4252")</f>
        <v>000-4252</v>
      </c>
      <c r="B160" s="6" t="str">
        <f>IFERROR(__xludf.DUMMYFUNCTION("""COMPUTED_VALUE"""),"0")</f>
        <v>0</v>
      </c>
      <c r="C160" s="6" t="str">
        <f>IFERROR(__xludf.DUMMYFUNCTION("""COMPUTED_VALUE"""),"4252")</f>
        <v>4252</v>
      </c>
      <c r="D160" s="6" t="str">
        <f>IFERROR(__xludf.DUMMYFUNCTION("""COMPUTED_VALUE"""),"Jaden")</f>
        <v>Jaden</v>
      </c>
      <c r="E160" s="6" t="str">
        <f>IFERROR(__xludf.DUMMYFUNCTION("""COMPUTED_VALUE"""),"")</f>
        <v/>
      </c>
      <c r="F160" s="6" t="str">
        <f>IFERROR(__xludf.DUMMYFUNCTION("""COMPUTED_VALUE"""),"Bell")</f>
        <v>Bell</v>
      </c>
      <c r="G160" s="6" t="str">
        <f>IFERROR(__xludf.DUMMYFUNCTION("""COMPUTED_VALUE"""),"01/05/2016")</f>
        <v>01/05/2016</v>
      </c>
      <c r="H160" s="6" t="str">
        <f>IFERROR(__xludf.DUMMYFUNCTION("""COMPUTED_VALUE"""),"Self Identify")</f>
        <v>Self Identify</v>
      </c>
      <c r="I160" s="6" t="str">
        <f>IFERROR(__xludf.DUMMYFUNCTION("""COMPUTED_VALUE"""),"Level 2")</f>
        <v>Level 2</v>
      </c>
      <c r="J160" s="6" t="str">
        <f>IFERROR(__xludf.DUMMYFUNCTION("""COMPUTED_VALUE"""),"4")</f>
        <v>4</v>
      </c>
      <c r="K160" s="6" t="str">
        <f>IFERROR(__xludf.DUMMYFUNCTION("""COMPUTED_VALUE"""),"jaden.bell@2hourlearning.com")</f>
        <v>jaden.bell@2hourlearning.com</v>
      </c>
      <c r="L160" s="6" t="str">
        <f>IFERROR(__xludf.DUMMYFUNCTION("""COMPUTED_VALUE"""),"Alpha Anywhere (homeschool)")</f>
        <v>Alpha Anywhere (homeschool)</v>
      </c>
      <c r="M160" s="6" t="str">
        <f>IFERROR(__xludf.DUMMYFUNCTION("""COMPUTED_VALUE"""),"")</f>
        <v/>
      </c>
      <c r="N160" s="6" t="str">
        <f>IFERROR(__xludf.DUMMYFUNCTION("""COMPUTED_VALUE"""),"")</f>
        <v/>
      </c>
      <c r="O160" s="87" t="str">
        <f>IFERROR(__xludf.DUMMYFUNCTION("""COMPUTED_VALUE"""),"https://drive.google.com/drive/folders/10T2cTQHqEJZqE-st6uFKPoI?usp=share_link")</f>
        <v>https://drive.google.com/drive/folders/10T2cTQHqEJZqE-st6uFKPoI?usp=share_link</v>
      </c>
      <c r="P160" s="6" t="str">
        <f>IFERROR(__xludf.DUMMYFUNCTION("""COMPUTED_VALUE"""),"Jaden Bell")</f>
        <v>Jaden Bell</v>
      </c>
      <c r="Q160" s="6" t="str">
        <f>IFERROR(__xludf.DUMMYFUNCTION("""COMPUTED_VALUE"""),"L2")</f>
        <v>L2</v>
      </c>
      <c r="R160" s="6">
        <f>IFERROR(__xludf.DUMMYFUNCTION("""COMPUTED_VALUE"""),2.0)</f>
        <v>2</v>
      </c>
      <c r="S160" s="6" t="str">
        <f>IFERROR(__xludf.DUMMYFUNCTION("""COMPUTED_VALUE""")," ")</f>
        <v> </v>
      </c>
      <c r="T160" s="6" t="str">
        <f>IFERROR(__xludf.DUMMYFUNCTION("""COMPUTED_VALUE"""),"")</f>
        <v/>
      </c>
      <c r="U160" s="6" t="str">
        <f>IFERROR(__xludf.DUMMYFUNCTION("""COMPUTED_VALUE"""),"4")</f>
        <v>4</v>
      </c>
      <c r="V160" s="6" t="str">
        <f>IFERROR(__xludf.DUMMYFUNCTION("""COMPUTED_VALUE"""),"")</f>
        <v/>
      </c>
      <c r="W160" s="6" t="str">
        <f>IFERROR(__xludf.DUMMYFUNCTION("""COMPUTED_VALUE"""),"[]")</f>
        <v>[]</v>
      </c>
      <c r="X160" s="6" t="str">
        <f>IFERROR(__xludf.DUMMYFUNCTION("""COMPUTED_VALUE"""),"Enrolled")</f>
        <v>Enrolled</v>
      </c>
    </row>
    <row r="161">
      <c r="A161" s="6" t="str">
        <f>IFERROR(__xludf.DUMMYFUNCTION("""COMPUTED_VALUE"""),"000-4266")</f>
        <v>000-4266</v>
      </c>
      <c r="B161" s="6" t="str">
        <f>IFERROR(__xludf.DUMMYFUNCTION("""COMPUTED_VALUE"""),"0")</f>
        <v>0</v>
      </c>
      <c r="C161" s="6" t="str">
        <f>IFERROR(__xludf.DUMMYFUNCTION("""COMPUTED_VALUE"""),"4266")</f>
        <v>4266</v>
      </c>
      <c r="D161" s="6" t="str">
        <f>IFERROR(__xludf.DUMMYFUNCTION("""COMPUTED_VALUE"""),"Kyndal")</f>
        <v>Kyndal</v>
      </c>
      <c r="E161" s="6" t="str">
        <f>IFERROR(__xludf.DUMMYFUNCTION("""COMPUTED_VALUE"""),"")</f>
        <v/>
      </c>
      <c r="F161" s="6" t="str">
        <f>IFERROR(__xludf.DUMMYFUNCTION("""COMPUTED_VALUE"""),"Hartley")</f>
        <v>Hartley</v>
      </c>
      <c r="G161" s="6" t="str">
        <f>IFERROR(__xludf.DUMMYFUNCTION("""COMPUTED_VALUE"""),"06/21/2013")</f>
        <v>06/21/2013</v>
      </c>
      <c r="H161" s="6" t="str">
        <f>IFERROR(__xludf.DUMMYFUNCTION("""COMPUTED_VALUE"""),"Self Identify")</f>
        <v>Self Identify</v>
      </c>
      <c r="I161" s="6" t="str">
        <f>IFERROR(__xludf.DUMMYFUNCTION("""COMPUTED_VALUE"""),"Middle School")</f>
        <v>Middle School</v>
      </c>
      <c r="J161" s="6" t="str">
        <f>IFERROR(__xludf.DUMMYFUNCTION("""COMPUTED_VALUE"""),"7")</f>
        <v>7</v>
      </c>
      <c r="K161" s="6" t="str">
        <f>IFERROR(__xludf.DUMMYFUNCTION("""COMPUTED_VALUE"""),"kyndal.hartley1@2hourlearning.com")</f>
        <v>kyndal.hartley1@2hourlearning.com</v>
      </c>
      <c r="L161" s="6" t="str">
        <f>IFERROR(__xludf.DUMMYFUNCTION("""COMPUTED_VALUE"""),"Alpha Anywhere (homeschool)")</f>
        <v>Alpha Anywhere (homeschool)</v>
      </c>
      <c r="M161" s="6" t="str">
        <f>IFERROR(__xludf.DUMMYFUNCTION("""COMPUTED_VALUE"""),"")</f>
        <v/>
      </c>
      <c r="N161" s="6" t="str">
        <f>IFERROR(__xludf.DUMMYFUNCTION("""COMPUTED_VALUE"""),"")</f>
        <v/>
      </c>
      <c r="O161" s="87" t="str">
        <f>IFERROR(__xludf.DUMMYFUNCTION("""COMPUTED_VALUE"""),"https://drive.google.com/drive/folders/10T2cTQHqEJZqE-st6uFKPoI?usp=share_link")</f>
        <v>https://drive.google.com/drive/folders/10T2cTQHqEJZqE-st6uFKPoI?usp=share_link</v>
      </c>
      <c r="P161" s="6" t="str">
        <f>IFERROR(__xludf.DUMMYFUNCTION("""COMPUTED_VALUE"""),"Kyndal Hartley")</f>
        <v>Kyndal Hartley</v>
      </c>
      <c r="Q161" s="6" t="str">
        <f>IFERROR(__xludf.DUMMYFUNCTION("""COMPUTED_VALUE"""),"MS")</f>
        <v>MS</v>
      </c>
      <c r="R161" s="6">
        <f>IFERROR(__xludf.DUMMYFUNCTION("""COMPUTED_VALUE"""),0.0)</f>
        <v>0</v>
      </c>
      <c r="S161" s="6" t="str">
        <f>IFERROR(__xludf.DUMMYFUNCTION("""COMPUTED_VALUE""")," ")</f>
        <v> </v>
      </c>
      <c r="T161" s="6" t="str">
        <f>IFERROR(__xludf.DUMMYFUNCTION("""COMPUTED_VALUE"""),"")</f>
        <v/>
      </c>
      <c r="U161" s="6" t="str">
        <f>IFERROR(__xludf.DUMMYFUNCTION("""COMPUTED_VALUE"""),"7")</f>
        <v>7</v>
      </c>
      <c r="V161" s="6" t="str">
        <f>IFERROR(__xludf.DUMMYFUNCTION("""COMPUTED_VALUE"""),"")</f>
        <v/>
      </c>
      <c r="W161" s="6" t="str">
        <f>IFERROR(__xludf.DUMMYFUNCTION("""COMPUTED_VALUE"""),"[]")</f>
        <v>[]</v>
      </c>
      <c r="X161" s="6" t="str">
        <f>IFERROR(__xludf.DUMMYFUNCTION("""COMPUTED_VALUE"""),"Enrolled")</f>
        <v>Enrolled</v>
      </c>
    </row>
    <row r="162">
      <c r="A162" s="6" t="str">
        <f>IFERROR(__xludf.DUMMYFUNCTION("""COMPUTED_VALUE"""),"000-4267")</f>
        <v>000-4267</v>
      </c>
      <c r="B162" s="6" t="str">
        <f>IFERROR(__xludf.DUMMYFUNCTION("""COMPUTED_VALUE"""),"0")</f>
        <v>0</v>
      </c>
      <c r="C162" s="6" t="str">
        <f>IFERROR(__xludf.DUMMYFUNCTION("""COMPUTED_VALUE"""),"4267")</f>
        <v>4267</v>
      </c>
      <c r="D162" s="6" t="str">
        <f>IFERROR(__xludf.DUMMYFUNCTION("""COMPUTED_VALUE"""),"Ella")</f>
        <v>Ella</v>
      </c>
      <c r="E162" s="6" t="str">
        <f>IFERROR(__xludf.DUMMYFUNCTION("""COMPUTED_VALUE"""),"")</f>
        <v/>
      </c>
      <c r="F162" s="6" t="str">
        <f>IFERROR(__xludf.DUMMYFUNCTION("""COMPUTED_VALUE"""),"Hartley")</f>
        <v>Hartley</v>
      </c>
      <c r="G162" s="6" t="str">
        <f>IFERROR(__xludf.DUMMYFUNCTION("""COMPUTED_VALUE"""),"07/30/2011")</f>
        <v>07/30/2011</v>
      </c>
      <c r="H162" s="6" t="str">
        <f>IFERROR(__xludf.DUMMYFUNCTION("""COMPUTED_VALUE"""),"Self Identify")</f>
        <v>Self Identify</v>
      </c>
      <c r="I162" s="6" t="str">
        <f>IFERROR(__xludf.DUMMYFUNCTION("""COMPUTED_VALUE"""),"Middle School")</f>
        <v>Middle School</v>
      </c>
      <c r="J162" s="6" t="str">
        <f>IFERROR(__xludf.DUMMYFUNCTION("""COMPUTED_VALUE"""),"8")</f>
        <v>8</v>
      </c>
      <c r="K162" s="6" t="str">
        <f>IFERROR(__xludf.DUMMYFUNCTION("""COMPUTED_VALUE"""),"ella.hartley1@2hourlearning.com")</f>
        <v>ella.hartley1@2hourlearning.com</v>
      </c>
      <c r="L162" s="6" t="str">
        <f>IFERROR(__xludf.DUMMYFUNCTION("""COMPUTED_VALUE"""),"Alpha Anywhere (homeschool)")</f>
        <v>Alpha Anywhere (homeschool)</v>
      </c>
      <c r="M162" s="6" t="str">
        <f>IFERROR(__xludf.DUMMYFUNCTION("""COMPUTED_VALUE"""),"")</f>
        <v/>
      </c>
      <c r="N162" s="6" t="str">
        <f>IFERROR(__xludf.DUMMYFUNCTION("""COMPUTED_VALUE"""),"")</f>
        <v/>
      </c>
      <c r="O162" s="87" t="str">
        <f>IFERROR(__xludf.DUMMYFUNCTION("""COMPUTED_VALUE"""),"https://drive.google.com/drive/folders/10T2cTQHqEJZqE-st6uFKPoI?usp=share_link")</f>
        <v>https://drive.google.com/drive/folders/10T2cTQHqEJZqE-st6uFKPoI?usp=share_link</v>
      </c>
      <c r="P162" s="6" t="str">
        <f>IFERROR(__xludf.DUMMYFUNCTION("""COMPUTED_VALUE"""),"Ella Hartley")</f>
        <v>Ella Hartley</v>
      </c>
      <c r="Q162" s="6" t="str">
        <f>IFERROR(__xludf.DUMMYFUNCTION("""COMPUTED_VALUE"""),"MS")</f>
        <v>MS</v>
      </c>
      <c r="R162" s="6">
        <f>IFERROR(__xludf.DUMMYFUNCTION("""COMPUTED_VALUE"""),0.0)</f>
        <v>0</v>
      </c>
      <c r="S162" s="6" t="str">
        <f>IFERROR(__xludf.DUMMYFUNCTION("""COMPUTED_VALUE""")," ")</f>
        <v> </v>
      </c>
      <c r="T162" s="6" t="str">
        <f>IFERROR(__xludf.DUMMYFUNCTION("""COMPUTED_VALUE"""),"")</f>
        <v/>
      </c>
      <c r="U162" s="6" t="str">
        <f>IFERROR(__xludf.DUMMYFUNCTION("""COMPUTED_VALUE"""),"8")</f>
        <v>8</v>
      </c>
      <c r="V162" s="6" t="str">
        <f>IFERROR(__xludf.DUMMYFUNCTION("""COMPUTED_VALUE"""),"")</f>
        <v/>
      </c>
      <c r="W162" s="6" t="str">
        <f>IFERROR(__xludf.DUMMYFUNCTION("""COMPUTED_VALUE"""),"[]")</f>
        <v>[]</v>
      </c>
      <c r="X162" s="6" t="str">
        <f>IFERROR(__xludf.DUMMYFUNCTION("""COMPUTED_VALUE"""),"Enrolled")</f>
        <v>Enrolled</v>
      </c>
    </row>
    <row r="163">
      <c r="A163" s="6" t="str">
        <f>IFERROR(__xludf.DUMMYFUNCTION("""COMPUTED_VALUE"""),"000-4285")</f>
        <v>000-4285</v>
      </c>
      <c r="B163" s="6" t="str">
        <f>IFERROR(__xludf.DUMMYFUNCTION("""COMPUTED_VALUE"""),"0")</f>
        <v>0</v>
      </c>
      <c r="C163" s="6" t="str">
        <f>IFERROR(__xludf.DUMMYFUNCTION("""COMPUTED_VALUE"""),"4285")</f>
        <v>4285</v>
      </c>
      <c r="D163" s="6" t="str">
        <f>IFERROR(__xludf.DUMMYFUNCTION("""COMPUTED_VALUE"""),"Sloan")</f>
        <v>Sloan</v>
      </c>
      <c r="E163" s="6" t="str">
        <f>IFERROR(__xludf.DUMMYFUNCTION("""COMPUTED_VALUE"""),"")</f>
        <v/>
      </c>
      <c r="F163" s="6" t="str">
        <f>IFERROR(__xludf.DUMMYFUNCTION("""COMPUTED_VALUE"""),"Shaw")</f>
        <v>Shaw</v>
      </c>
      <c r="G163" s="6" t="str">
        <f>IFERROR(__xludf.DUMMYFUNCTION("""COMPUTED_VALUE"""),"08/31/2016")</f>
        <v>08/31/2016</v>
      </c>
      <c r="H163" s="6" t="str">
        <f>IFERROR(__xludf.DUMMYFUNCTION("""COMPUTED_VALUE"""),"Self Identify")</f>
        <v>Self Identify</v>
      </c>
      <c r="I163" s="6" t="str">
        <f>IFERROR(__xludf.DUMMYFUNCTION("""COMPUTED_VALUE"""),"Level 1")</f>
        <v>Level 1</v>
      </c>
      <c r="J163" s="6" t="str">
        <f>IFERROR(__xludf.DUMMYFUNCTION("""COMPUTED_VALUE"""),"3")</f>
        <v>3</v>
      </c>
      <c r="K163" s="6" t="str">
        <f>IFERROR(__xludf.DUMMYFUNCTION("""COMPUTED_VALUE"""),"sloan.shaw1@2hourlearning.com")</f>
        <v>sloan.shaw1@2hourlearning.com</v>
      </c>
      <c r="L163" s="6" t="str">
        <f>IFERROR(__xludf.DUMMYFUNCTION("""COMPUTED_VALUE"""),"Alpha Anywhere (homeschool)")</f>
        <v>Alpha Anywhere (homeschool)</v>
      </c>
      <c r="M163" s="6" t="str">
        <f>IFERROR(__xludf.DUMMYFUNCTION("""COMPUTED_VALUE"""),"")</f>
        <v/>
      </c>
      <c r="N163" s="6" t="str">
        <f>IFERROR(__xludf.DUMMYFUNCTION("""COMPUTED_VALUE"""),"")</f>
        <v/>
      </c>
      <c r="O163" s="87" t="str">
        <f>IFERROR(__xludf.DUMMYFUNCTION("""COMPUTED_VALUE"""),"https://drive.google.com/drive/folders/10T2cTQHqEJZqE-st6uFKPoI?usp=share_link")</f>
        <v>https://drive.google.com/drive/folders/10T2cTQHqEJZqE-st6uFKPoI?usp=share_link</v>
      </c>
      <c r="P163" s="6" t="str">
        <f>IFERROR(__xludf.DUMMYFUNCTION("""COMPUTED_VALUE"""),"Sloan Shaw")</f>
        <v>Sloan Shaw</v>
      </c>
      <c r="Q163" s="6" t="str">
        <f>IFERROR(__xludf.DUMMYFUNCTION("""COMPUTED_VALUE"""),"L1")</f>
        <v>L1</v>
      </c>
      <c r="R163" s="6">
        <f>IFERROR(__xludf.DUMMYFUNCTION("""COMPUTED_VALUE"""),1.0)</f>
        <v>1</v>
      </c>
      <c r="S163" s="6" t="str">
        <f>IFERROR(__xludf.DUMMYFUNCTION("""COMPUTED_VALUE""")," ")</f>
        <v> </v>
      </c>
      <c r="T163" s="6" t="str">
        <f>IFERROR(__xludf.DUMMYFUNCTION("""COMPUTED_VALUE"""),"")</f>
        <v/>
      </c>
      <c r="U163" s="6" t="str">
        <f>IFERROR(__xludf.DUMMYFUNCTION("""COMPUTED_VALUE"""),"3")</f>
        <v>3</v>
      </c>
      <c r="V163" s="6" t="str">
        <f>IFERROR(__xludf.DUMMYFUNCTION("""COMPUTED_VALUE"""),"")</f>
        <v/>
      </c>
      <c r="W163" s="6" t="str">
        <f>IFERROR(__xludf.DUMMYFUNCTION("""COMPUTED_VALUE"""),"[]")</f>
        <v>[]</v>
      </c>
      <c r="X163" s="6" t="str">
        <f>IFERROR(__xludf.DUMMYFUNCTION("""COMPUTED_VALUE"""),"Enrolled")</f>
        <v>Enrolled</v>
      </c>
    </row>
    <row r="164">
      <c r="A164" s="6" t="str">
        <f>IFERROR(__xludf.DUMMYFUNCTION("""COMPUTED_VALUE"""),"000-4299")</f>
        <v>000-4299</v>
      </c>
      <c r="B164" s="6" t="str">
        <f>IFERROR(__xludf.DUMMYFUNCTION("""COMPUTED_VALUE"""),"0")</f>
        <v>0</v>
      </c>
      <c r="C164" s="6" t="str">
        <f>IFERROR(__xludf.DUMMYFUNCTION("""COMPUTED_VALUE"""),"4299")</f>
        <v>4299</v>
      </c>
      <c r="D164" s="6" t="str">
        <f>IFERROR(__xludf.DUMMYFUNCTION("""COMPUTED_VALUE"""),"Nabil")</f>
        <v>Nabil</v>
      </c>
      <c r="E164" s="6" t="str">
        <f>IFERROR(__xludf.DUMMYFUNCTION("""COMPUTED_VALUE"""),"")</f>
        <v/>
      </c>
      <c r="F164" s="6" t="str">
        <f>IFERROR(__xludf.DUMMYFUNCTION("""COMPUTED_VALUE"""),"Kruger")</f>
        <v>Kruger</v>
      </c>
      <c r="G164" s="6" t="str">
        <f>IFERROR(__xludf.DUMMYFUNCTION("""COMPUTED_VALUE"""),"04/21/2010")</f>
        <v>04/21/2010</v>
      </c>
      <c r="H164" s="6" t="str">
        <f>IFERROR(__xludf.DUMMYFUNCTION("""COMPUTED_VALUE"""),"Self Identify")</f>
        <v>Self Identify</v>
      </c>
      <c r="I164" s="6" t="str">
        <f>IFERROR(__xludf.DUMMYFUNCTION("""COMPUTED_VALUE"""),"High School")</f>
        <v>High School</v>
      </c>
      <c r="J164" s="6" t="str">
        <f>IFERROR(__xludf.DUMMYFUNCTION("""COMPUTED_VALUE"""),"9")</f>
        <v>9</v>
      </c>
      <c r="K164" s="6" t="str">
        <f>IFERROR(__xludf.DUMMYFUNCTION("""COMPUTED_VALUE"""),"nabil.kruger@2hourlearning.com")</f>
        <v>nabil.kruger@2hourlearning.com</v>
      </c>
      <c r="L164" s="6" t="str">
        <f>IFERROR(__xludf.DUMMYFUNCTION("""COMPUTED_VALUE"""),"Alpha Anywhere (homeschool)")</f>
        <v>Alpha Anywhere (homeschool)</v>
      </c>
      <c r="M164" s="6" t="str">
        <f>IFERROR(__xludf.DUMMYFUNCTION("""COMPUTED_VALUE"""),"")</f>
        <v/>
      </c>
      <c r="N164" s="6" t="str">
        <f>IFERROR(__xludf.DUMMYFUNCTION("""COMPUTED_VALUE"""),"")</f>
        <v/>
      </c>
      <c r="O164" s="87" t="str">
        <f>IFERROR(__xludf.DUMMYFUNCTION("""COMPUTED_VALUE"""),"https://drive.google.com/drive/folders/10T2cTQHqEJZqE-st6uFKPoI?usp=share_link")</f>
        <v>https://drive.google.com/drive/folders/10T2cTQHqEJZqE-st6uFKPoI?usp=share_link</v>
      </c>
      <c r="P164" s="6" t="str">
        <f>IFERROR(__xludf.DUMMYFUNCTION("""COMPUTED_VALUE"""),"Nabil Kruger")</f>
        <v>Nabil Kruger</v>
      </c>
      <c r="Q164" s="6" t="str">
        <f>IFERROR(__xludf.DUMMYFUNCTION("""COMPUTED_VALUE"""),"HS")</f>
        <v>HS</v>
      </c>
      <c r="R164" s="6">
        <f>IFERROR(__xludf.DUMMYFUNCTION("""COMPUTED_VALUE"""),0.0)</f>
        <v>0</v>
      </c>
      <c r="S164" s="6" t="str">
        <f>IFERROR(__xludf.DUMMYFUNCTION("""COMPUTED_VALUE""")," ")</f>
        <v> </v>
      </c>
      <c r="T164" s="6" t="str">
        <f>IFERROR(__xludf.DUMMYFUNCTION("""COMPUTED_VALUE"""),"")</f>
        <v/>
      </c>
      <c r="U164" s="6" t="str">
        <f>IFERROR(__xludf.DUMMYFUNCTION("""COMPUTED_VALUE"""),"9")</f>
        <v>9</v>
      </c>
      <c r="V164" s="6" t="str">
        <f>IFERROR(__xludf.DUMMYFUNCTION("""COMPUTED_VALUE"""),"")</f>
        <v/>
      </c>
      <c r="W164" s="6" t="str">
        <f>IFERROR(__xludf.DUMMYFUNCTION("""COMPUTED_VALUE"""),"[]")</f>
        <v>[]</v>
      </c>
      <c r="X164" s="6" t="str">
        <f>IFERROR(__xludf.DUMMYFUNCTION("""COMPUTED_VALUE"""),"Enrolled")</f>
        <v>Enrolled</v>
      </c>
    </row>
    <row r="165">
      <c r="A165" s="6" t="str">
        <f>IFERROR(__xludf.DUMMYFUNCTION("""COMPUTED_VALUE"""),"000-4305")</f>
        <v>000-4305</v>
      </c>
      <c r="B165" s="6" t="str">
        <f>IFERROR(__xludf.DUMMYFUNCTION("""COMPUTED_VALUE"""),"0")</f>
        <v>0</v>
      </c>
      <c r="C165" s="6" t="str">
        <f>IFERROR(__xludf.DUMMYFUNCTION("""COMPUTED_VALUE"""),"4305")</f>
        <v>4305</v>
      </c>
      <c r="D165" s="6" t="str">
        <f>IFERROR(__xludf.DUMMYFUNCTION("""COMPUTED_VALUE"""),"Myles")</f>
        <v>Myles</v>
      </c>
      <c r="E165" s="6" t="str">
        <f>IFERROR(__xludf.DUMMYFUNCTION("""COMPUTED_VALUE"""),"")</f>
        <v/>
      </c>
      <c r="F165" s="6" t="str">
        <f>IFERROR(__xludf.DUMMYFUNCTION("""COMPUTED_VALUE"""),"Kelch")</f>
        <v>Kelch</v>
      </c>
      <c r="G165" s="6" t="str">
        <f>IFERROR(__xludf.DUMMYFUNCTION("""COMPUTED_VALUE"""),"08/10/2013")</f>
        <v>08/10/2013</v>
      </c>
      <c r="H165" s="6" t="str">
        <f>IFERROR(__xludf.DUMMYFUNCTION("""COMPUTED_VALUE"""),"Self Identify")</f>
        <v>Self Identify</v>
      </c>
      <c r="I165" s="6" t="str">
        <f>IFERROR(__xludf.DUMMYFUNCTION("""COMPUTED_VALUE"""),"Middle School")</f>
        <v>Middle School</v>
      </c>
      <c r="J165" s="6" t="str">
        <f>IFERROR(__xludf.DUMMYFUNCTION("""COMPUTED_VALUE"""),"6")</f>
        <v>6</v>
      </c>
      <c r="K165" s="6" t="str">
        <f>IFERROR(__xludf.DUMMYFUNCTION("""COMPUTED_VALUE"""),"myles.kelch@2hourlearning.com")</f>
        <v>myles.kelch@2hourlearning.com</v>
      </c>
      <c r="L165" s="6" t="str">
        <f>IFERROR(__xludf.DUMMYFUNCTION("""COMPUTED_VALUE"""),"Alpha Anywhere (homeschool)")</f>
        <v>Alpha Anywhere (homeschool)</v>
      </c>
      <c r="M165" s="6" t="str">
        <f>IFERROR(__xludf.DUMMYFUNCTION("""COMPUTED_VALUE"""),"")</f>
        <v/>
      </c>
      <c r="N165" s="6" t="str">
        <f>IFERROR(__xludf.DUMMYFUNCTION("""COMPUTED_VALUE"""),"")</f>
        <v/>
      </c>
      <c r="O165" s="87" t="str">
        <f>IFERROR(__xludf.DUMMYFUNCTION("""COMPUTED_VALUE"""),"https://drive.google.com/drive/folders/10T2cTQHqEJZqE-st6uFKPoI?usp=share_link")</f>
        <v>https://drive.google.com/drive/folders/10T2cTQHqEJZqE-st6uFKPoI?usp=share_link</v>
      </c>
      <c r="P165" s="6" t="str">
        <f>IFERROR(__xludf.DUMMYFUNCTION("""COMPUTED_VALUE"""),"Myles Kelch")</f>
        <v>Myles Kelch</v>
      </c>
      <c r="Q165" s="6" t="str">
        <f>IFERROR(__xludf.DUMMYFUNCTION("""COMPUTED_VALUE"""),"MS")</f>
        <v>MS</v>
      </c>
      <c r="R165" s="6">
        <f>IFERROR(__xludf.DUMMYFUNCTION("""COMPUTED_VALUE"""),0.0)</f>
        <v>0</v>
      </c>
      <c r="S165" s="6" t="str">
        <f>IFERROR(__xludf.DUMMYFUNCTION("""COMPUTED_VALUE""")," ")</f>
        <v> </v>
      </c>
      <c r="T165" s="6" t="str">
        <f>IFERROR(__xludf.DUMMYFUNCTION("""COMPUTED_VALUE"""),"")</f>
        <v/>
      </c>
      <c r="U165" s="6" t="str">
        <f>IFERROR(__xludf.DUMMYFUNCTION("""COMPUTED_VALUE"""),"6")</f>
        <v>6</v>
      </c>
      <c r="V165" s="6" t="str">
        <f>IFERROR(__xludf.DUMMYFUNCTION("""COMPUTED_VALUE"""),"")</f>
        <v/>
      </c>
      <c r="W165" s="6" t="str">
        <f>IFERROR(__xludf.DUMMYFUNCTION("""COMPUTED_VALUE"""),"[]")</f>
        <v>[]</v>
      </c>
      <c r="X165" s="6" t="str">
        <f>IFERROR(__xludf.DUMMYFUNCTION("""COMPUTED_VALUE"""),"Enrolled")</f>
        <v>Enrolled</v>
      </c>
    </row>
    <row r="166">
      <c r="A166" s="6" t="str">
        <f>IFERROR(__xludf.DUMMYFUNCTION("""COMPUTED_VALUE"""),"000-4306")</f>
        <v>000-4306</v>
      </c>
      <c r="B166" s="6" t="str">
        <f>IFERROR(__xludf.DUMMYFUNCTION("""COMPUTED_VALUE"""),"0")</f>
        <v>0</v>
      </c>
      <c r="C166" s="6" t="str">
        <f>IFERROR(__xludf.DUMMYFUNCTION("""COMPUTED_VALUE"""),"4306")</f>
        <v>4306</v>
      </c>
      <c r="D166" s="6" t="str">
        <f>IFERROR(__xludf.DUMMYFUNCTION("""COMPUTED_VALUE"""),"Rowen")</f>
        <v>Rowen</v>
      </c>
      <c r="E166" s="6" t="str">
        <f>IFERROR(__xludf.DUMMYFUNCTION("""COMPUTED_VALUE"""),"")</f>
        <v/>
      </c>
      <c r="F166" s="6" t="str">
        <f>IFERROR(__xludf.DUMMYFUNCTION("""COMPUTED_VALUE"""),"Kelch")</f>
        <v>Kelch</v>
      </c>
      <c r="G166" s="6" t="str">
        <f>IFERROR(__xludf.DUMMYFUNCTION("""COMPUTED_VALUE"""),"07/20/2014")</f>
        <v>07/20/2014</v>
      </c>
      <c r="H166" s="6" t="str">
        <f>IFERROR(__xludf.DUMMYFUNCTION("""COMPUTED_VALUE"""),"Self Identify")</f>
        <v>Self Identify</v>
      </c>
      <c r="I166" s="6" t="str">
        <f>IFERROR(__xludf.DUMMYFUNCTION("""COMPUTED_VALUE"""),"Level 2")</f>
        <v>Level 2</v>
      </c>
      <c r="J166" s="6" t="str">
        <f>IFERROR(__xludf.DUMMYFUNCTION("""COMPUTED_VALUE"""),"5")</f>
        <v>5</v>
      </c>
      <c r="K166" s="6" t="str">
        <f>IFERROR(__xludf.DUMMYFUNCTION("""COMPUTED_VALUE"""),"rowen.kelch@2hourlearning.com")</f>
        <v>rowen.kelch@2hourlearning.com</v>
      </c>
      <c r="L166" s="6" t="str">
        <f>IFERROR(__xludf.DUMMYFUNCTION("""COMPUTED_VALUE"""),"Alpha Anywhere (homeschool)")</f>
        <v>Alpha Anywhere (homeschool)</v>
      </c>
      <c r="M166" s="6" t="str">
        <f>IFERROR(__xludf.DUMMYFUNCTION("""COMPUTED_VALUE"""),"")</f>
        <v/>
      </c>
      <c r="N166" s="6" t="str">
        <f>IFERROR(__xludf.DUMMYFUNCTION("""COMPUTED_VALUE"""),"")</f>
        <v/>
      </c>
      <c r="O166" s="87" t="str">
        <f>IFERROR(__xludf.DUMMYFUNCTION("""COMPUTED_VALUE"""),"https://drive.google.com/drive/folders/10T2cTQHqEJZqE-st6uFKPoI?usp=share_link")</f>
        <v>https://drive.google.com/drive/folders/10T2cTQHqEJZqE-st6uFKPoI?usp=share_link</v>
      </c>
      <c r="P166" s="6" t="str">
        <f>IFERROR(__xludf.DUMMYFUNCTION("""COMPUTED_VALUE"""),"Rowen Kelch")</f>
        <v>Rowen Kelch</v>
      </c>
      <c r="Q166" s="6" t="str">
        <f>IFERROR(__xludf.DUMMYFUNCTION("""COMPUTED_VALUE"""),"L2")</f>
        <v>L2</v>
      </c>
      <c r="R166" s="6">
        <f>IFERROR(__xludf.DUMMYFUNCTION("""COMPUTED_VALUE"""),2.0)</f>
        <v>2</v>
      </c>
      <c r="S166" s="6" t="str">
        <f>IFERROR(__xludf.DUMMYFUNCTION("""COMPUTED_VALUE""")," ")</f>
        <v> </v>
      </c>
      <c r="T166" s="6" t="str">
        <f>IFERROR(__xludf.DUMMYFUNCTION("""COMPUTED_VALUE"""),"")</f>
        <v/>
      </c>
      <c r="U166" s="6" t="str">
        <f>IFERROR(__xludf.DUMMYFUNCTION("""COMPUTED_VALUE"""),"5")</f>
        <v>5</v>
      </c>
      <c r="V166" s="6" t="str">
        <f>IFERROR(__xludf.DUMMYFUNCTION("""COMPUTED_VALUE"""),"")</f>
        <v/>
      </c>
      <c r="W166" s="6" t="str">
        <f>IFERROR(__xludf.DUMMYFUNCTION("""COMPUTED_VALUE"""),"[]")</f>
        <v>[]</v>
      </c>
      <c r="X166" s="6" t="str">
        <f>IFERROR(__xludf.DUMMYFUNCTION("""COMPUTED_VALUE"""),"Enrolled")</f>
        <v>Enrolled</v>
      </c>
    </row>
    <row r="167">
      <c r="A167" s="6" t="str">
        <f>IFERROR(__xludf.DUMMYFUNCTION("""COMPUTED_VALUE"""),"000-4307")</f>
        <v>000-4307</v>
      </c>
      <c r="B167" s="6" t="str">
        <f>IFERROR(__xludf.DUMMYFUNCTION("""COMPUTED_VALUE"""),"0")</f>
        <v>0</v>
      </c>
      <c r="C167" s="6" t="str">
        <f>IFERROR(__xludf.DUMMYFUNCTION("""COMPUTED_VALUE"""),"4307")</f>
        <v>4307</v>
      </c>
      <c r="D167" s="6" t="str">
        <f>IFERROR(__xludf.DUMMYFUNCTION("""COMPUTED_VALUE"""),"Risely")</f>
        <v>Risely</v>
      </c>
      <c r="E167" s="6" t="str">
        <f>IFERROR(__xludf.DUMMYFUNCTION("""COMPUTED_VALUE"""),"")</f>
        <v/>
      </c>
      <c r="F167" s="6" t="str">
        <f>IFERROR(__xludf.DUMMYFUNCTION("""COMPUTED_VALUE"""),"Kelch")</f>
        <v>Kelch</v>
      </c>
      <c r="G167" s="6" t="str">
        <f>IFERROR(__xludf.DUMMYFUNCTION("""COMPUTED_VALUE"""),"09/01/2017")</f>
        <v>09/01/2017</v>
      </c>
      <c r="H167" s="6" t="str">
        <f>IFERROR(__xludf.DUMMYFUNCTION("""COMPUTED_VALUE"""),"Self Identify")</f>
        <v>Self Identify</v>
      </c>
      <c r="I167" s="6" t="str">
        <f>IFERROR(__xludf.DUMMYFUNCTION("""COMPUTED_VALUE"""),"Level 1")</f>
        <v>Level 1</v>
      </c>
      <c r="J167" s="6" t="str">
        <f>IFERROR(__xludf.DUMMYFUNCTION("""COMPUTED_VALUE"""),"2")</f>
        <v>2</v>
      </c>
      <c r="K167" s="6" t="str">
        <f>IFERROR(__xludf.DUMMYFUNCTION("""COMPUTED_VALUE"""),"risely.kelch@2hourlearning.com")</f>
        <v>risely.kelch@2hourlearning.com</v>
      </c>
      <c r="L167" s="6" t="str">
        <f>IFERROR(__xludf.DUMMYFUNCTION("""COMPUTED_VALUE"""),"Alpha Anywhere (homeschool)")</f>
        <v>Alpha Anywhere (homeschool)</v>
      </c>
      <c r="M167" s="6" t="str">
        <f>IFERROR(__xludf.DUMMYFUNCTION("""COMPUTED_VALUE"""),"")</f>
        <v/>
      </c>
      <c r="N167" s="6" t="str">
        <f>IFERROR(__xludf.DUMMYFUNCTION("""COMPUTED_VALUE"""),"")</f>
        <v/>
      </c>
      <c r="O167" s="87" t="str">
        <f>IFERROR(__xludf.DUMMYFUNCTION("""COMPUTED_VALUE"""),"https://drive.google.com/drive/folders/10T2cTQHqEJZqE-st6uFKPoI?usp=share_link")</f>
        <v>https://drive.google.com/drive/folders/10T2cTQHqEJZqE-st6uFKPoI?usp=share_link</v>
      </c>
      <c r="P167" s="6" t="str">
        <f>IFERROR(__xludf.DUMMYFUNCTION("""COMPUTED_VALUE"""),"Risely Kelch")</f>
        <v>Risely Kelch</v>
      </c>
      <c r="Q167" s="6" t="str">
        <f>IFERROR(__xludf.DUMMYFUNCTION("""COMPUTED_VALUE"""),"L1")</f>
        <v>L1</v>
      </c>
      <c r="R167" s="6">
        <f>IFERROR(__xludf.DUMMYFUNCTION("""COMPUTED_VALUE"""),1.0)</f>
        <v>1</v>
      </c>
      <c r="S167" s="6" t="str">
        <f>IFERROR(__xludf.DUMMYFUNCTION("""COMPUTED_VALUE""")," ")</f>
        <v> </v>
      </c>
      <c r="T167" s="6" t="str">
        <f>IFERROR(__xludf.DUMMYFUNCTION("""COMPUTED_VALUE"""),"")</f>
        <v/>
      </c>
      <c r="U167" s="6" t="str">
        <f>IFERROR(__xludf.DUMMYFUNCTION("""COMPUTED_VALUE"""),"2")</f>
        <v>2</v>
      </c>
      <c r="V167" s="6" t="str">
        <f>IFERROR(__xludf.DUMMYFUNCTION("""COMPUTED_VALUE"""),"")</f>
        <v/>
      </c>
      <c r="W167" s="6" t="str">
        <f>IFERROR(__xludf.DUMMYFUNCTION("""COMPUTED_VALUE"""),"[]")</f>
        <v>[]</v>
      </c>
      <c r="X167" s="6" t="str">
        <f>IFERROR(__xludf.DUMMYFUNCTION("""COMPUTED_VALUE"""),"Enrolled")</f>
        <v>Enrolled</v>
      </c>
    </row>
    <row r="168">
      <c r="A168" s="6" t="str">
        <f>IFERROR(__xludf.DUMMYFUNCTION("""COMPUTED_VALUE"""),"000-4316")</f>
        <v>000-4316</v>
      </c>
      <c r="B168" s="6" t="str">
        <f>IFERROR(__xludf.DUMMYFUNCTION("""COMPUTED_VALUE"""),"0")</f>
        <v>0</v>
      </c>
      <c r="C168" s="6" t="str">
        <f>IFERROR(__xludf.DUMMYFUNCTION("""COMPUTED_VALUE"""),"4316")</f>
        <v>4316</v>
      </c>
      <c r="D168" s="6" t="str">
        <f>IFERROR(__xludf.DUMMYFUNCTION("""COMPUTED_VALUE"""),"Decklynn")</f>
        <v>Decklynn</v>
      </c>
      <c r="E168" s="6" t="str">
        <f>IFERROR(__xludf.DUMMYFUNCTION("""COMPUTED_VALUE"""),"")</f>
        <v/>
      </c>
      <c r="F168" s="6" t="str">
        <f>IFERROR(__xludf.DUMMYFUNCTION("""COMPUTED_VALUE"""),"Webber")</f>
        <v>Webber</v>
      </c>
      <c r="G168" s="6" t="str">
        <f>IFERROR(__xludf.DUMMYFUNCTION("""COMPUTED_VALUE"""),"04/12/2017")</f>
        <v>04/12/2017</v>
      </c>
      <c r="H168" s="6" t="str">
        <f>IFERROR(__xludf.DUMMYFUNCTION("""COMPUTED_VALUE"""),"Self Identify")</f>
        <v>Self Identify</v>
      </c>
      <c r="I168" s="6" t="str">
        <f>IFERROR(__xludf.DUMMYFUNCTION("""COMPUTED_VALUE"""),"Level 1")</f>
        <v>Level 1</v>
      </c>
      <c r="J168" s="6" t="str">
        <f>IFERROR(__xludf.DUMMYFUNCTION("""COMPUTED_VALUE"""),"3")</f>
        <v>3</v>
      </c>
      <c r="K168" s="6" t="str">
        <f>IFERROR(__xludf.DUMMYFUNCTION("""COMPUTED_VALUE"""),"decklynn.webber@2hourlearning.com")</f>
        <v>decklynn.webber@2hourlearning.com</v>
      </c>
      <c r="L168" s="6" t="str">
        <f>IFERROR(__xludf.DUMMYFUNCTION("""COMPUTED_VALUE"""),"Alpha Anywhere (homeschool)")</f>
        <v>Alpha Anywhere (homeschool)</v>
      </c>
      <c r="M168" s="6" t="str">
        <f>IFERROR(__xludf.DUMMYFUNCTION("""COMPUTED_VALUE"""),"")</f>
        <v/>
      </c>
      <c r="N168" s="6" t="str">
        <f>IFERROR(__xludf.DUMMYFUNCTION("""COMPUTED_VALUE"""),"")</f>
        <v/>
      </c>
      <c r="O168" s="87" t="str">
        <f>IFERROR(__xludf.DUMMYFUNCTION("""COMPUTED_VALUE"""),"https://drive.google.com/drive/folders/10T2cTQHqEJZqE-st6uFKPoI?usp=share_link")</f>
        <v>https://drive.google.com/drive/folders/10T2cTQHqEJZqE-st6uFKPoI?usp=share_link</v>
      </c>
      <c r="P168" s="6" t="str">
        <f>IFERROR(__xludf.DUMMYFUNCTION("""COMPUTED_VALUE"""),"Decklynn Webber")</f>
        <v>Decklynn Webber</v>
      </c>
      <c r="Q168" s="6" t="str">
        <f>IFERROR(__xludf.DUMMYFUNCTION("""COMPUTED_VALUE"""),"L1")</f>
        <v>L1</v>
      </c>
      <c r="R168" s="6">
        <f>IFERROR(__xludf.DUMMYFUNCTION("""COMPUTED_VALUE"""),1.0)</f>
        <v>1</v>
      </c>
      <c r="S168" s="6" t="str">
        <f>IFERROR(__xludf.DUMMYFUNCTION("""COMPUTED_VALUE""")," ")</f>
        <v> </v>
      </c>
      <c r="T168" s="6" t="str">
        <f>IFERROR(__xludf.DUMMYFUNCTION("""COMPUTED_VALUE"""),"")</f>
        <v/>
      </c>
      <c r="U168" s="6" t="str">
        <f>IFERROR(__xludf.DUMMYFUNCTION("""COMPUTED_VALUE"""),"3")</f>
        <v>3</v>
      </c>
      <c r="V168" s="6" t="str">
        <f>IFERROR(__xludf.DUMMYFUNCTION("""COMPUTED_VALUE"""),"")</f>
        <v/>
      </c>
      <c r="W168" s="6" t="str">
        <f>IFERROR(__xludf.DUMMYFUNCTION("""COMPUTED_VALUE"""),"[]")</f>
        <v>[]</v>
      </c>
      <c r="X168" s="6" t="str">
        <f>IFERROR(__xludf.DUMMYFUNCTION("""COMPUTED_VALUE"""),"Enrolled")</f>
        <v>Enrolled</v>
      </c>
    </row>
    <row r="169">
      <c r="A169" s="6" t="str">
        <f>IFERROR(__xludf.DUMMYFUNCTION("""COMPUTED_VALUE"""),"000-4317")</f>
        <v>000-4317</v>
      </c>
      <c r="B169" s="6" t="str">
        <f>IFERROR(__xludf.DUMMYFUNCTION("""COMPUTED_VALUE"""),"0")</f>
        <v>0</v>
      </c>
      <c r="C169" s="6" t="str">
        <f>IFERROR(__xludf.DUMMYFUNCTION("""COMPUTED_VALUE"""),"4317")</f>
        <v>4317</v>
      </c>
      <c r="D169" s="6" t="str">
        <f>IFERROR(__xludf.DUMMYFUNCTION("""COMPUTED_VALUE"""),"Elliott")</f>
        <v>Elliott</v>
      </c>
      <c r="E169" s="6" t="str">
        <f>IFERROR(__xludf.DUMMYFUNCTION("""COMPUTED_VALUE"""),"")</f>
        <v/>
      </c>
      <c r="F169" s="6" t="str">
        <f>IFERROR(__xludf.DUMMYFUNCTION("""COMPUTED_VALUE"""),"Ee")</f>
        <v>Ee</v>
      </c>
      <c r="G169" s="6" t="str">
        <f>IFERROR(__xludf.DUMMYFUNCTION("""COMPUTED_VALUE"""),"06/27/2015")</f>
        <v>06/27/2015</v>
      </c>
      <c r="H169" s="6" t="str">
        <f>IFERROR(__xludf.DUMMYFUNCTION("""COMPUTED_VALUE"""),"Self Identify")</f>
        <v>Self Identify</v>
      </c>
      <c r="I169" s="6" t="str">
        <f>IFERROR(__xludf.DUMMYFUNCTION("""COMPUTED_VALUE"""),"Middle School")</f>
        <v>Middle School</v>
      </c>
      <c r="J169" s="6" t="str">
        <f>IFERROR(__xludf.DUMMYFUNCTION("""COMPUTED_VALUE"""),"6")</f>
        <v>6</v>
      </c>
      <c r="K169" s="6" t="str">
        <f>IFERROR(__xludf.DUMMYFUNCTION("""COMPUTED_VALUE"""),"elliott.ee@2hourlearning.com")</f>
        <v>elliott.ee@2hourlearning.com</v>
      </c>
      <c r="L169" s="6" t="str">
        <f>IFERROR(__xludf.DUMMYFUNCTION("""COMPUTED_VALUE"""),"Alpha Anywhere (homeschool)")</f>
        <v>Alpha Anywhere (homeschool)</v>
      </c>
      <c r="M169" s="6" t="str">
        <f>IFERROR(__xludf.DUMMYFUNCTION("""COMPUTED_VALUE"""),"")</f>
        <v/>
      </c>
      <c r="N169" s="6" t="str">
        <f>IFERROR(__xludf.DUMMYFUNCTION("""COMPUTED_VALUE"""),"")</f>
        <v/>
      </c>
      <c r="O169" s="87" t="str">
        <f>IFERROR(__xludf.DUMMYFUNCTION("""COMPUTED_VALUE"""),"https://drive.google.com/drive/folders/10T2cTQHqEJZqE-st6uFKPoI?usp=share_link")</f>
        <v>https://drive.google.com/drive/folders/10T2cTQHqEJZqE-st6uFKPoI?usp=share_link</v>
      </c>
      <c r="P169" s="6" t="str">
        <f>IFERROR(__xludf.DUMMYFUNCTION("""COMPUTED_VALUE"""),"Elliott Ee")</f>
        <v>Elliott Ee</v>
      </c>
      <c r="Q169" s="6" t="str">
        <f>IFERROR(__xludf.DUMMYFUNCTION("""COMPUTED_VALUE"""),"MS")</f>
        <v>MS</v>
      </c>
      <c r="R169" s="6">
        <f>IFERROR(__xludf.DUMMYFUNCTION("""COMPUTED_VALUE"""),0.0)</f>
        <v>0</v>
      </c>
      <c r="S169" s="6" t="str">
        <f>IFERROR(__xludf.DUMMYFUNCTION("""COMPUTED_VALUE""")," ")</f>
        <v> </v>
      </c>
      <c r="T169" s="6" t="str">
        <f>IFERROR(__xludf.DUMMYFUNCTION("""COMPUTED_VALUE"""),"")</f>
        <v/>
      </c>
      <c r="U169" s="6" t="str">
        <f>IFERROR(__xludf.DUMMYFUNCTION("""COMPUTED_VALUE"""),"6")</f>
        <v>6</v>
      </c>
      <c r="V169" s="6" t="str">
        <f>IFERROR(__xludf.DUMMYFUNCTION("""COMPUTED_VALUE"""),"")</f>
        <v/>
      </c>
      <c r="W169" s="6" t="str">
        <f>IFERROR(__xludf.DUMMYFUNCTION("""COMPUTED_VALUE"""),"[]")</f>
        <v>[]</v>
      </c>
      <c r="X169" s="6" t="str">
        <f>IFERROR(__xludf.DUMMYFUNCTION("""COMPUTED_VALUE"""),"Enrolled")</f>
        <v>Enrolled</v>
      </c>
    </row>
    <row r="170">
      <c r="A170" s="6" t="str">
        <f>IFERROR(__xludf.DUMMYFUNCTION("""COMPUTED_VALUE"""),"000-4320")</f>
        <v>000-4320</v>
      </c>
      <c r="B170" s="6" t="str">
        <f>IFERROR(__xludf.DUMMYFUNCTION("""COMPUTED_VALUE"""),"0")</f>
        <v>0</v>
      </c>
      <c r="C170" s="6" t="str">
        <f>IFERROR(__xludf.DUMMYFUNCTION("""COMPUTED_VALUE"""),"4320")</f>
        <v>4320</v>
      </c>
      <c r="D170" s="6" t="str">
        <f>IFERROR(__xludf.DUMMYFUNCTION("""COMPUTED_VALUE"""),"Brooke")</f>
        <v>Brooke</v>
      </c>
      <c r="E170" s="6" t="str">
        <f>IFERROR(__xludf.DUMMYFUNCTION("""COMPUTED_VALUE"""),"")</f>
        <v/>
      </c>
      <c r="F170" s="6" t="str">
        <f>IFERROR(__xludf.DUMMYFUNCTION("""COMPUTED_VALUE"""),"Courtney")</f>
        <v>Courtney</v>
      </c>
      <c r="G170" s="6" t="str">
        <f>IFERROR(__xludf.DUMMYFUNCTION("""COMPUTED_VALUE"""),"07/30/2013")</f>
        <v>07/30/2013</v>
      </c>
      <c r="H170" s="6" t="str">
        <f>IFERROR(__xludf.DUMMYFUNCTION("""COMPUTED_VALUE"""),"Self Identify")</f>
        <v>Self Identify</v>
      </c>
      <c r="I170" s="6" t="str">
        <f>IFERROR(__xludf.DUMMYFUNCTION("""COMPUTED_VALUE"""),"Level 2")</f>
        <v>Level 2</v>
      </c>
      <c r="J170" s="6" t="str">
        <f>IFERROR(__xludf.DUMMYFUNCTION("""COMPUTED_VALUE"""),"5")</f>
        <v>5</v>
      </c>
      <c r="K170" s="6" t="str">
        <f>IFERROR(__xludf.DUMMYFUNCTION("""COMPUTED_VALUE"""),"brooke.courtney1@2hourlearning.com")</f>
        <v>brooke.courtney1@2hourlearning.com</v>
      </c>
      <c r="L170" s="6" t="str">
        <f>IFERROR(__xludf.DUMMYFUNCTION("""COMPUTED_VALUE"""),"Alpha Anywhere (homeschool)")</f>
        <v>Alpha Anywhere (homeschool)</v>
      </c>
      <c r="M170" s="6" t="str">
        <f>IFERROR(__xludf.DUMMYFUNCTION("""COMPUTED_VALUE"""),"")</f>
        <v/>
      </c>
      <c r="N170" s="6" t="str">
        <f>IFERROR(__xludf.DUMMYFUNCTION("""COMPUTED_VALUE"""),"")</f>
        <v/>
      </c>
      <c r="O170" s="87" t="str">
        <f>IFERROR(__xludf.DUMMYFUNCTION("""COMPUTED_VALUE"""),"https://drive.google.com/drive/folders/10T2cTQHqEJZqE-st6uFKPoI?usp=share_link")</f>
        <v>https://drive.google.com/drive/folders/10T2cTQHqEJZqE-st6uFKPoI?usp=share_link</v>
      </c>
      <c r="P170" s="6" t="str">
        <f>IFERROR(__xludf.DUMMYFUNCTION("""COMPUTED_VALUE"""),"Brooke Courtney")</f>
        <v>Brooke Courtney</v>
      </c>
      <c r="Q170" s="6" t="str">
        <f>IFERROR(__xludf.DUMMYFUNCTION("""COMPUTED_VALUE"""),"L2")</f>
        <v>L2</v>
      </c>
      <c r="R170" s="6">
        <f>IFERROR(__xludf.DUMMYFUNCTION("""COMPUTED_VALUE"""),2.0)</f>
        <v>2</v>
      </c>
      <c r="S170" s="6" t="str">
        <f>IFERROR(__xludf.DUMMYFUNCTION("""COMPUTED_VALUE""")," ")</f>
        <v> </v>
      </c>
      <c r="T170" s="6" t="str">
        <f>IFERROR(__xludf.DUMMYFUNCTION("""COMPUTED_VALUE"""),"")</f>
        <v/>
      </c>
      <c r="U170" s="6" t="str">
        <f>IFERROR(__xludf.DUMMYFUNCTION("""COMPUTED_VALUE"""),"5")</f>
        <v>5</v>
      </c>
      <c r="V170" s="6" t="str">
        <f>IFERROR(__xludf.DUMMYFUNCTION("""COMPUTED_VALUE"""),"")</f>
        <v/>
      </c>
      <c r="W170" s="6" t="str">
        <f>IFERROR(__xludf.DUMMYFUNCTION("""COMPUTED_VALUE"""),"[]")</f>
        <v>[]</v>
      </c>
      <c r="X170" s="6" t="str">
        <f>IFERROR(__xludf.DUMMYFUNCTION("""COMPUTED_VALUE"""),"Enrolled")</f>
        <v>Enrolled</v>
      </c>
    </row>
    <row r="171">
      <c r="A171" s="6" t="str">
        <f>IFERROR(__xludf.DUMMYFUNCTION("""COMPUTED_VALUE"""),"000-4321")</f>
        <v>000-4321</v>
      </c>
      <c r="B171" s="6" t="str">
        <f>IFERROR(__xludf.DUMMYFUNCTION("""COMPUTED_VALUE"""),"0")</f>
        <v>0</v>
      </c>
      <c r="C171" s="6" t="str">
        <f>IFERROR(__xludf.DUMMYFUNCTION("""COMPUTED_VALUE"""),"4321")</f>
        <v>4321</v>
      </c>
      <c r="D171" s="6" t="str">
        <f>IFERROR(__xludf.DUMMYFUNCTION("""COMPUTED_VALUE"""),"Roan")</f>
        <v>Roan</v>
      </c>
      <c r="E171" s="6" t="str">
        <f>IFERROR(__xludf.DUMMYFUNCTION("""COMPUTED_VALUE"""),"")</f>
        <v/>
      </c>
      <c r="F171" s="6" t="str">
        <f>IFERROR(__xludf.DUMMYFUNCTION("""COMPUTED_VALUE"""),"Baldwin")</f>
        <v>Baldwin</v>
      </c>
      <c r="G171" s="6" t="str">
        <f>IFERROR(__xludf.DUMMYFUNCTION("""COMPUTED_VALUE"""),"04/15/2014")</f>
        <v>04/15/2014</v>
      </c>
      <c r="H171" s="6" t="str">
        <f>IFERROR(__xludf.DUMMYFUNCTION("""COMPUTED_VALUE"""),"Self Identify")</f>
        <v>Self Identify</v>
      </c>
      <c r="I171" s="6" t="str">
        <f>IFERROR(__xludf.DUMMYFUNCTION("""COMPUTED_VALUE"""),"Middle School")</f>
        <v>Middle School</v>
      </c>
      <c r="J171" s="6" t="str">
        <f>IFERROR(__xludf.DUMMYFUNCTION("""COMPUTED_VALUE"""),"6")</f>
        <v>6</v>
      </c>
      <c r="K171" s="6" t="str">
        <f>IFERROR(__xludf.DUMMYFUNCTION("""COMPUTED_VALUE"""),"roan.baldwin@2hourlearning.com")</f>
        <v>roan.baldwin@2hourlearning.com</v>
      </c>
      <c r="L171" s="6" t="str">
        <f>IFERROR(__xludf.DUMMYFUNCTION("""COMPUTED_VALUE"""),"Alpha Anywhere (homeschool)")</f>
        <v>Alpha Anywhere (homeschool)</v>
      </c>
      <c r="M171" s="6" t="str">
        <f>IFERROR(__xludf.DUMMYFUNCTION("""COMPUTED_VALUE"""),"")</f>
        <v/>
      </c>
      <c r="N171" s="6" t="str">
        <f>IFERROR(__xludf.DUMMYFUNCTION("""COMPUTED_VALUE"""),"")</f>
        <v/>
      </c>
      <c r="O171" s="87" t="str">
        <f>IFERROR(__xludf.DUMMYFUNCTION("""COMPUTED_VALUE"""),"https://drive.google.com/drive/folders/10T2cTQHqEJZqE-st6uFKPoI?usp=share_link")</f>
        <v>https://drive.google.com/drive/folders/10T2cTQHqEJZqE-st6uFKPoI?usp=share_link</v>
      </c>
      <c r="P171" s="6" t="str">
        <f>IFERROR(__xludf.DUMMYFUNCTION("""COMPUTED_VALUE"""),"Roan Baldwin")</f>
        <v>Roan Baldwin</v>
      </c>
      <c r="Q171" s="6" t="str">
        <f>IFERROR(__xludf.DUMMYFUNCTION("""COMPUTED_VALUE"""),"MS")</f>
        <v>MS</v>
      </c>
      <c r="R171" s="6">
        <f>IFERROR(__xludf.DUMMYFUNCTION("""COMPUTED_VALUE"""),0.0)</f>
        <v>0</v>
      </c>
      <c r="S171" s="6" t="str">
        <f>IFERROR(__xludf.DUMMYFUNCTION("""COMPUTED_VALUE""")," ")</f>
        <v> </v>
      </c>
      <c r="T171" s="6" t="str">
        <f>IFERROR(__xludf.DUMMYFUNCTION("""COMPUTED_VALUE"""),"")</f>
        <v/>
      </c>
      <c r="U171" s="6" t="str">
        <f>IFERROR(__xludf.DUMMYFUNCTION("""COMPUTED_VALUE"""),"6")</f>
        <v>6</v>
      </c>
      <c r="V171" s="6" t="str">
        <f>IFERROR(__xludf.DUMMYFUNCTION("""COMPUTED_VALUE"""),"")</f>
        <v/>
      </c>
      <c r="W171" s="6" t="str">
        <f>IFERROR(__xludf.DUMMYFUNCTION("""COMPUTED_VALUE"""),"[]")</f>
        <v>[]</v>
      </c>
      <c r="X171" s="6" t="str">
        <f>IFERROR(__xludf.DUMMYFUNCTION("""COMPUTED_VALUE"""),"Enrolled")</f>
        <v>Enrolled</v>
      </c>
    </row>
    <row r="172">
      <c r="A172" s="6" t="str">
        <f>IFERROR(__xludf.DUMMYFUNCTION("""COMPUTED_VALUE"""),"000-4324")</f>
        <v>000-4324</v>
      </c>
      <c r="B172" s="6" t="str">
        <f>IFERROR(__xludf.DUMMYFUNCTION("""COMPUTED_VALUE"""),"0")</f>
        <v>0</v>
      </c>
      <c r="C172" s="6" t="str">
        <f>IFERROR(__xludf.DUMMYFUNCTION("""COMPUTED_VALUE"""),"4324")</f>
        <v>4324</v>
      </c>
      <c r="D172" s="6" t="str">
        <f>IFERROR(__xludf.DUMMYFUNCTION("""COMPUTED_VALUE"""),"Jeremiah")</f>
        <v>Jeremiah</v>
      </c>
      <c r="E172" s="6" t="str">
        <f>IFERROR(__xludf.DUMMYFUNCTION("""COMPUTED_VALUE"""),"")</f>
        <v/>
      </c>
      <c r="F172" s="6" t="str">
        <f>IFERROR(__xludf.DUMMYFUNCTION("""COMPUTED_VALUE"""),"Voloshin")</f>
        <v>Voloshin</v>
      </c>
      <c r="G172" s="6" t="str">
        <f>IFERROR(__xludf.DUMMYFUNCTION("""COMPUTED_VALUE"""),"01/12/2015")</f>
        <v>01/12/2015</v>
      </c>
      <c r="H172" s="6" t="str">
        <f>IFERROR(__xludf.DUMMYFUNCTION("""COMPUTED_VALUE"""),"Self Identify")</f>
        <v>Self Identify</v>
      </c>
      <c r="I172" s="6" t="str">
        <f>IFERROR(__xludf.DUMMYFUNCTION("""COMPUTED_VALUE"""),"Level 2")</f>
        <v>Level 2</v>
      </c>
      <c r="J172" s="6" t="str">
        <f>IFERROR(__xludf.DUMMYFUNCTION("""COMPUTED_VALUE"""),"4")</f>
        <v>4</v>
      </c>
      <c r="K172" s="6" t="str">
        <f>IFERROR(__xludf.DUMMYFUNCTION("""COMPUTED_VALUE"""),"jeremiah.voloshin1@2hourlearning.com")</f>
        <v>jeremiah.voloshin1@2hourlearning.com</v>
      </c>
      <c r="L172" s="6" t="str">
        <f>IFERROR(__xludf.DUMMYFUNCTION("""COMPUTED_VALUE"""),"Alpha Anywhere (homeschool)")</f>
        <v>Alpha Anywhere (homeschool)</v>
      </c>
      <c r="M172" s="6" t="str">
        <f>IFERROR(__xludf.DUMMYFUNCTION("""COMPUTED_VALUE"""),"")</f>
        <v/>
      </c>
      <c r="N172" s="6" t="str">
        <f>IFERROR(__xludf.DUMMYFUNCTION("""COMPUTED_VALUE"""),"")</f>
        <v/>
      </c>
      <c r="O172" s="87" t="str">
        <f>IFERROR(__xludf.DUMMYFUNCTION("""COMPUTED_VALUE"""),"https://drive.google.com/drive/folders/10T2cTQHqEJZqE-st6uFKPoI?usp=share_link")</f>
        <v>https://drive.google.com/drive/folders/10T2cTQHqEJZqE-st6uFKPoI?usp=share_link</v>
      </c>
      <c r="P172" s="6" t="str">
        <f>IFERROR(__xludf.DUMMYFUNCTION("""COMPUTED_VALUE"""),"Jeremiah Voloshin")</f>
        <v>Jeremiah Voloshin</v>
      </c>
      <c r="Q172" s="6" t="str">
        <f>IFERROR(__xludf.DUMMYFUNCTION("""COMPUTED_VALUE"""),"L2")</f>
        <v>L2</v>
      </c>
      <c r="R172" s="6">
        <f>IFERROR(__xludf.DUMMYFUNCTION("""COMPUTED_VALUE"""),2.0)</f>
        <v>2</v>
      </c>
      <c r="S172" s="6" t="str">
        <f>IFERROR(__xludf.DUMMYFUNCTION("""COMPUTED_VALUE""")," ")</f>
        <v> </v>
      </c>
      <c r="T172" s="6" t="str">
        <f>IFERROR(__xludf.DUMMYFUNCTION("""COMPUTED_VALUE"""),"")</f>
        <v/>
      </c>
      <c r="U172" s="6" t="str">
        <f>IFERROR(__xludf.DUMMYFUNCTION("""COMPUTED_VALUE"""),"4")</f>
        <v>4</v>
      </c>
      <c r="V172" s="6" t="str">
        <f>IFERROR(__xludf.DUMMYFUNCTION("""COMPUTED_VALUE"""),"")</f>
        <v/>
      </c>
      <c r="W172" s="6" t="str">
        <f>IFERROR(__xludf.DUMMYFUNCTION("""COMPUTED_VALUE"""),"[]")</f>
        <v>[]</v>
      </c>
      <c r="X172" s="6" t="str">
        <f>IFERROR(__xludf.DUMMYFUNCTION("""COMPUTED_VALUE"""),"Enrolled")</f>
        <v>Enrolled</v>
      </c>
    </row>
    <row r="173">
      <c r="A173" s="6" t="str">
        <f>IFERROR(__xludf.DUMMYFUNCTION("""COMPUTED_VALUE"""),"000-4380")</f>
        <v>000-4380</v>
      </c>
      <c r="B173" s="6" t="str">
        <f>IFERROR(__xludf.DUMMYFUNCTION("""COMPUTED_VALUE"""),"0")</f>
        <v>0</v>
      </c>
      <c r="C173" s="6" t="str">
        <f>IFERROR(__xludf.DUMMYFUNCTION("""COMPUTED_VALUE"""),"4380")</f>
        <v>4380</v>
      </c>
      <c r="D173" s="6" t="str">
        <f>IFERROR(__xludf.DUMMYFUNCTION("""COMPUTED_VALUE"""),"Meyer")</f>
        <v>Meyer</v>
      </c>
      <c r="E173" s="6" t="str">
        <f>IFERROR(__xludf.DUMMYFUNCTION("""COMPUTED_VALUE"""),"")</f>
        <v/>
      </c>
      <c r="F173" s="6" t="str">
        <f>IFERROR(__xludf.DUMMYFUNCTION("""COMPUTED_VALUE"""),"Gail")</f>
        <v>Gail</v>
      </c>
      <c r="G173" s="6" t="str">
        <f>IFERROR(__xludf.DUMMYFUNCTION("""COMPUTED_VALUE"""),"08/01/2016")</f>
        <v>08/01/2016</v>
      </c>
      <c r="H173" s="6" t="str">
        <f>IFERROR(__xludf.DUMMYFUNCTION("""COMPUTED_VALUE"""),"Self Identify")</f>
        <v>Self Identify</v>
      </c>
      <c r="I173" s="6" t="str">
        <f>IFERROR(__xludf.DUMMYFUNCTION("""COMPUTED_VALUE"""),"Level 2")</f>
        <v>Level 2</v>
      </c>
      <c r="J173" s="6" t="str">
        <f>IFERROR(__xludf.DUMMYFUNCTION("""COMPUTED_VALUE"""),"4")</f>
        <v>4</v>
      </c>
      <c r="K173" s="6" t="str">
        <f>IFERROR(__xludf.DUMMYFUNCTION("""COMPUTED_VALUE"""),"meyer.gail@2hourlearning.com")</f>
        <v>meyer.gail@2hourlearning.com</v>
      </c>
      <c r="L173" s="6" t="str">
        <f>IFERROR(__xludf.DUMMYFUNCTION("""COMPUTED_VALUE"""),"Alpha Anywhere (homeschool)")</f>
        <v>Alpha Anywhere (homeschool)</v>
      </c>
      <c r="M173" s="6" t="str">
        <f>IFERROR(__xludf.DUMMYFUNCTION("""COMPUTED_VALUE"""),"")</f>
        <v/>
      </c>
      <c r="N173" s="6" t="str">
        <f>IFERROR(__xludf.DUMMYFUNCTION("""COMPUTED_VALUE"""),"")</f>
        <v/>
      </c>
      <c r="O173" s="87" t="str">
        <f>IFERROR(__xludf.DUMMYFUNCTION("""COMPUTED_VALUE"""),"https://drive.google.com/drive/folders/10T2cTQHqEJZqE-st6uFKPoI?usp=share_link")</f>
        <v>https://drive.google.com/drive/folders/10T2cTQHqEJZqE-st6uFKPoI?usp=share_link</v>
      </c>
      <c r="P173" s="6" t="str">
        <f>IFERROR(__xludf.DUMMYFUNCTION("""COMPUTED_VALUE"""),"Meyer Gail")</f>
        <v>Meyer Gail</v>
      </c>
      <c r="Q173" s="6" t="str">
        <f>IFERROR(__xludf.DUMMYFUNCTION("""COMPUTED_VALUE"""),"L2")</f>
        <v>L2</v>
      </c>
      <c r="R173" s="6">
        <f>IFERROR(__xludf.DUMMYFUNCTION("""COMPUTED_VALUE"""),2.0)</f>
        <v>2</v>
      </c>
      <c r="S173" s="6" t="str">
        <f>IFERROR(__xludf.DUMMYFUNCTION("""COMPUTED_VALUE""")," ")</f>
        <v> </v>
      </c>
      <c r="T173" s="6" t="str">
        <f>IFERROR(__xludf.DUMMYFUNCTION("""COMPUTED_VALUE"""),"")</f>
        <v/>
      </c>
      <c r="U173" s="6" t="str">
        <f>IFERROR(__xludf.DUMMYFUNCTION("""COMPUTED_VALUE"""),"4")</f>
        <v>4</v>
      </c>
      <c r="V173" s="6" t="str">
        <f>IFERROR(__xludf.DUMMYFUNCTION("""COMPUTED_VALUE"""),"")</f>
        <v/>
      </c>
      <c r="W173" s="6" t="str">
        <f>IFERROR(__xludf.DUMMYFUNCTION("""COMPUTED_VALUE"""),"[]")</f>
        <v>[]</v>
      </c>
      <c r="X173" s="6" t="str">
        <f>IFERROR(__xludf.DUMMYFUNCTION("""COMPUTED_VALUE"""),"Enrolled")</f>
        <v>Enrolled</v>
      </c>
    </row>
    <row r="174">
      <c r="A174" s="6" t="str">
        <f>IFERROR(__xludf.DUMMYFUNCTION("""COMPUTED_VALUE"""),"000-4392")</f>
        <v>000-4392</v>
      </c>
      <c r="B174" s="6" t="str">
        <f>IFERROR(__xludf.DUMMYFUNCTION("""COMPUTED_VALUE"""),"0")</f>
        <v>0</v>
      </c>
      <c r="C174" s="6" t="str">
        <f>IFERROR(__xludf.DUMMYFUNCTION("""COMPUTED_VALUE"""),"4392")</f>
        <v>4392</v>
      </c>
      <c r="D174" s="6" t="str">
        <f>IFERROR(__xludf.DUMMYFUNCTION("""COMPUTED_VALUE"""),"Eloise")</f>
        <v>Eloise</v>
      </c>
      <c r="E174" s="6" t="str">
        <f>IFERROR(__xludf.DUMMYFUNCTION("""COMPUTED_VALUE"""),"")</f>
        <v/>
      </c>
      <c r="F174" s="6" t="str">
        <f>IFERROR(__xludf.DUMMYFUNCTION("""COMPUTED_VALUE"""),"Kluczynski")</f>
        <v>Kluczynski</v>
      </c>
      <c r="G174" s="6" t="str">
        <f>IFERROR(__xludf.DUMMYFUNCTION("""COMPUTED_VALUE"""),"01/07/2014")</f>
        <v>01/07/2014</v>
      </c>
      <c r="H174" s="6" t="str">
        <f>IFERROR(__xludf.DUMMYFUNCTION("""COMPUTED_VALUE"""),"Self Identify")</f>
        <v>Self Identify</v>
      </c>
      <c r="I174" s="6" t="str">
        <f>IFERROR(__xludf.DUMMYFUNCTION("""COMPUTED_VALUE"""),"Middle School")</f>
        <v>Middle School</v>
      </c>
      <c r="J174" s="6" t="str">
        <f>IFERROR(__xludf.DUMMYFUNCTION("""COMPUTED_VALUE"""),"6")</f>
        <v>6</v>
      </c>
      <c r="K174" s="6" t="str">
        <f>IFERROR(__xludf.DUMMYFUNCTION("""COMPUTED_VALUE"""),"eloise.kluczynski@2hourlearning.com")</f>
        <v>eloise.kluczynski@2hourlearning.com</v>
      </c>
      <c r="L174" s="6" t="str">
        <f>IFERROR(__xludf.DUMMYFUNCTION("""COMPUTED_VALUE"""),"Alpha Anywhere (homeschool)")</f>
        <v>Alpha Anywhere (homeschool)</v>
      </c>
      <c r="M174" s="6" t="str">
        <f>IFERROR(__xludf.DUMMYFUNCTION("""COMPUTED_VALUE"""),"")</f>
        <v/>
      </c>
      <c r="N174" s="6" t="str">
        <f>IFERROR(__xludf.DUMMYFUNCTION("""COMPUTED_VALUE"""),"")</f>
        <v/>
      </c>
      <c r="O174" s="87" t="str">
        <f>IFERROR(__xludf.DUMMYFUNCTION("""COMPUTED_VALUE"""),"https://drive.google.com/drive/folders/10T2cTQHqEJZqE-st6uFKPoI?usp=share_link")</f>
        <v>https://drive.google.com/drive/folders/10T2cTQHqEJZqE-st6uFKPoI?usp=share_link</v>
      </c>
      <c r="P174" s="6" t="str">
        <f>IFERROR(__xludf.DUMMYFUNCTION("""COMPUTED_VALUE"""),"Eloise Kluczynski")</f>
        <v>Eloise Kluczynski</v>
      </c>
      <c r="Q174" s="6" t="str">
        <f>IFERROR(__xludf.DUMMYFUNCTION("""COMPUTED_VALUE"""),"MS")</f>
        <v>MS</v>
      </c>
      <c r="R174" s="6">
        <f>IFERROR(__xludf.DUMMYFUNCTION("""COMPUTED_VALUE"""),0.0)</f>
        <v>0</v>
      </c>
      <c r="S174" s="6" t="str">
        <f>IFERROR(__xludf.DUMMYFUNCTION("""COMPUTED_VALUE""")," ")</f>
        <v> </v>
      </c>
      <c r="T174" s="6" t="str">
        <f>IFERROR(__xludf.DUMMYFUNCTION("""COMPUTED_VALUE"""),"")</f>
        <v/>
      </c>
      <c r="U174" s="6" t="str">
        <f>IFERROR(__xludf.DUMMYFUNCTION("""COMPUTED_VALUE"""),"6")</f>
        <v>6</v>
      </c>
      <c r="V174" s="6" t="str">
        <f>IFERROR(__xludf.DUMMYFUNCTION("""COMPUTED_VALUE"""),"")</f>
        <v/>
      </c>
      <c r="W174" s="6" t="str">
        <f>IFERROR(__xludf.DUMMYFUNCTION("""COMPUTED_VALUE"""),"[]")</f>
        <v>[]</v>
      </c>
      <c r="X174" s="6" t="str">
        <f>IFERROR(__xludf.DUMMYFUNCTION("""COMPUTED_VALUE"""),"Enrolled")</f>
        <v>Enrolled</v>
      </c>
    </row>
    <row r="175">
      <c r="A175" s="6" t="str">
        <f>IFERROR(__xludf.DUMMYFUNCTION("""COMPUTED_VALUE"""),"000-4393")</f>
        <v>000-4393</v>
      </c>
      <c r="B175" s="6" t="str">
        <f>IFERROR(__xludf.DUMMYFUNCTION("""COMPUTED_VALUE"""),"0")</f>
        <v>0</v>
      </c>
      <c r="C175" s="6" t="str">
        <f>IFERROR(__xludf.DUMMYFUNCTION("""COMPUTED_VALUE"""),"4393")</f>
        <v>4393</v>
      </c>
      <c r="D175" s="6" t="str">
        <f>IFERROR(__xludf.DUMMYFUNCTION("""COMPUTED_VALUE"""),"Reese")</f>
        <v>Reese</v>
      </c>
      <c r="E175" s="6" t="str">
        <f>IFERROR(__xludf.DUMMYFUNCTION("""COMPUTED_VALUE"""),"")</f>
        <v/>
      </c>
      <c r="F175" s="6" t="str">
        <f>IFERROR(__xludf.DUMMYFUNCTION("""COMPUTED_VALUE"""),"Kluczynski")</f>
        <v>Kluczynski</v>
      </c>
      <c r="G175" s="6" t="str">
        <f>IFERROR(__xludf.DUMMYFUNCTION("""COMPUTED_VALUE"""),"09/30/2016")</f>
        <v>09/30/2016</v>
      </c>
      <c r="H175" s="6" t="str">
        <f>IFERROR(__xludf.DUMMYFUNCTION("""COMPUTED_VALUE"""),"Self Identify")</f>
        <v>Self Identify</v>
      </c>
      <c r="I175" s="6" t="str">
        <f>IFERROR(__xludf.DUMMYFUNCTION("""COMPUTED_VALUE"""),"Level 2")</f>
        <v>Level 2</v>
      </c>
      <c r="J175" s="6" t="str">
        <f>IFERROR(__xludf.DUMMYFUNCTION("""COMPUTED_VALUE"""),"4")</f>
        <v>4</v>
      </c>
      <c r="K175" s="6" t="str">
        <f>IFERROR(__xludf.DUMMYFUNCTION("""COMPUTED_VALUE"""),"reese.kluczynski@2hourlearning.com")</f>
        <v>reese.kluczynski@2hourlearning.com</v>
      </c>
      <c r="L175" s="6" t="str">
        <f>IFERROR(__xludf.DUMMYFUNCTION("""COMPUTED_VALUE"""),"Alpha Anywhere (homeschool)")</f>
        <v>Alpha Anywhere (homeschool)</v>
      </c>
      <c r="M175" s="6" t="str">
        <f>IFERROR(__xludf.DUMMYFUNCTION("""COMPUTED_VALUE"""),"")</f>
        <v/>
      </c>
      <c r="N175" s="6" t="str">
        <f>IFERROR(__xludf.DUMMYFUNCTION("""COMPUTED_VALUE"""),"")</f>
        <v/>
      </c>
      <c r="O175" s="87" t="str">
        <f>IFERROR(__xludf.DUMMYFUNCTION("""COMPUTED_VALUE"""),"https://drive.google.com/drive/folders/10T2cTQHqEJZqE-st6uFKPoI?usp=share_link")</f>
        <v>https://drive.google.com/drive/folders/10T2cTQHqEJZqE-st6uFKPoI?usp=share_link</v>
      </c>
      <c r="P175" s="6" t="str">
        <f>IFERROR(__xludf.DUMMYFUNCTION("""COMPUTED_VALUE"""),"Reese Kluczynski")</f>
        <v>Reese Kluczynski</v>
      </c>
      <c r="Q175" s="6" t="str">
        <f>IFERROR(__xludf.DUMMYFUNCTION("""COMPUTED_VALUE"""),"L2")</f>
        <v>L2</v>
      </c>
      <c r="R175" s="6">
        <f>IFERROR(__xludf.DUMMYFUNCTION("""COMPUTED_VALUE"""),2.0)</f>
        <v>2</v>
      </c>
      <c r="S175" s="6" t="str">
        <f>IFERROR(__xludf.DUMMYFUNCTION("""COMPUTED_VALUE""")," ")</f>
        <v> </v>
      </c>
      <c r="T175" s="6" t="str">
        <f>IFERROR(__xludf.DUMMYFUNCTION("""COMPUTED_VALUE"""),"")</f>
        <v/>
      </c>
      <c r="U175" s="6" t="str">
        <f>IFERROR(__xludf.DUMMYFUNCTION("""COMPUTED_VALUE"""),"4")</f>
        <v>4</v>
      </c>
      <c r="V175" s="6" t="str">
        <f>IFERROR(__xludf.DUMMYFUNCTION("""COMPUTED_VALUE"""),"")</f>
        <v/>
      </c>
      <c r="W175" s="6" t="str">
        <f>IFERROR(__xludf.DUMMYFUNCTION("""COMPUTED_VALUE"""),"[]")</f>
        <v>[]</v>
      </c>
      <c r="X175" s="6" t="str">
        <f>IFERROR(__xludf.DUMMYFUNCTION("""COMPUTED_VALUE"""),"Enrolled")</f>
        <v>Enrolled</v>
      </c>
    </row>
    <row r="176">
      <c r="A176" s="6" t="str">
        <f>IFERROR(__xludf.DUMMYFUNCTION("""COMPUTED_VALUE"""),"000-4394")</f>
        <v>000-4394</v>
      </c>
      <c r="B176" s="6" t="str">
        <f>IFERROR(__xludf.DUMMYFUNCTION("""COMPUTED_VALUE"""),"0")</f>
        <v>0</v>
      </c>
      <c r="C176" s="6" t="str">
        <f>IFERROR(__xludf.DUMMYFUNCTION("""COMPUTED_VALUE"""),"4394")</f>
        <v>4394</v>
      </c>
      <c r="D176" s="6" t="str">
        <f>IFERROR(__xludf.DUMMYFUNCTION("""COMPUTED_VALUE"""),"Kaia")</f>
        <v>Kaia</v>
      </c>
      <c r="E176" s="6" t="str">
        <f>IFERROR(__xludf.DUMMYFUNCTION("""COMPUTED_VALUE"""),"")</f>
        <v/>
      </c>
      <c r="F176" s="6" t="str">
        <f>IFERROR(__xludf.DUMMYFUNCTION("""COMPUTED_VALUE"""),"Eaton Bringas")</f>
        <v>Eaton Bringas</v>
      </c>
      <c r="G176" s="6" t="str">
        <f>IFERROR(__xludf.DUMMYFUNCTION("""COMPUTED_VALUE"""),"03/13/2014")</f>
        <v>03/13/2014</v>
      </c>
      <c r="H176" s="6" t="str">
        <f>IFERROR(__xludf.DUMMYFUNCTION("""COMPUTED_VALUE"""),"Self Identify")</f>
        <v>Self Identify</v>
      </c>
      <c r="I176" s="6" t="str">
        <f>IFERROR(__xludf.DUMMYFUNCTION("""COMPUTED_VALUE"""),"Middle School")</f>
        <v>Middle School</v>
      </c>
      <c r="J176" s="6" t="str">
        <f>IFERROR(__xludf.DUMMYFUNCTION("""COMPUTED_VALUE"""),"7")</f>
        <v>7</v>
      </c>
      <c r="K176" s="6" t="str">
        <f>IFERROR(__xludf.DUMMYFUNCTION("""COMPUTED_VALUE"""),"kaia.eaton.bringas@2hourlearning.com")</f>
        <v>kaia.eaton.bringas@2hourlearning.com</v>
      </c>
      <c r="L176" s="6" t="str">
        <f>IFERROR(__xludf.DUMMYFUNCTION("""COMPUTED_VALUE"""),"Alpha Anywhere (homeschool)")</f>
        <v>Alpha Anywhere (homeschool)</v>
      </c>
      <c r="M176" s="6" t="str">
        <f>IFERROR(__xludf.DUMMYFUNCTION("""COMPUTED_VALUE"""),"")</f>
        <v/>
      </c>
      <c r="N176" s="6" t="str">
        <f>IFERROR(__xludf.DUMMYFUNCTION("""COMPUTED_VALUE"""),"")</f>
        <v/>
      </c>
      <c r="O176" s="87" t="str">
        <f>IFERROR(__xludf.DUMMYFUNCTION("""COMPUTED_VALUE"""),"https://drive.google.com/drive/folders/10T2cTQHqEJZqE-st6uFKPoI?usp=share_link")</f>
        <v>https://drive.google.com/drive/folders/10T2cTQHqEJZqE-st6uFKPoI?usp=share_link</v>
      </c>
      <c r="P176" s="6" t="str">
        <f>IFERROR(__xludf.DUMMYFUNCTION("""COMPUTED_VALUE"""),"Kaia Eaton Bringas")</f>
        <v>Kaia Eaton Bringas</v>
      </c>
      <c r="Q176" s="6" t="str">
        <f>IFERROR(__xludf.DUMMYFUNCTION("""COMPUTED_VALUE"""),"MS")</f>
        <v>MS</v>
      </c>
      <c r="R176" s="6">
        <f>IFERROR(__xludf.DUMMYFUNCTION("""COMPUTED_VALUE"""),0.0)</f>
        <v>0</v>
      </c>
      <c r="S176" s="6" t="str">
        <f>IFERROR(__xludf.DUMMYFUNCTION("""COMPUTED_VALUE""")," ")</f>
        <v> </v>
      </c>
      <c r="T176" s="6" t="str">
        <f>IFERROR(__xludf.DUMMYFUNCTION("""COMPUTED_VALUE"""),"")</f>
        <v/>
      </c>
      <c r="U176" s="6" t="str">
        <f>IFERROR(__xludf.DUMMYFUNCTION("""COMPUTED_VALUE"""),"7")</f>
        <v>7</v>
      </c>
      <c r="V176" s="6" t="str">
        <f>IFERROR(__xludf.DUMMYFUNCTION("""COMPUTED_VALUE"""),"")</f>
        <v/>
      </c>
      <c r="W176" s="6" t="str">
        <f>IFERROR(__xludf.DUMMYFUNCTION("""COMPUTED_VALUE"""),"[]")</f>
        <v>[]</v>
      </c>
      <c r="X176" s="6" t="str">
        <f>IFERROR(__xludf.DUMMYFUNCTION("""COMPUTED_VALUE"""),"Enrolled")</f>
        <v>Enrolled</v>
      </c>
    </row>
    <row r="177">
      <c r="A177" s="6" t="str">
        <f>IFERROR(__xludf.DUMMYFUNCTION("""COMPUTED_VALUE"""),"000-4398")</f>
        <v>000-4398</v>
      </c>
      <c r="B177" s="6" t="str">
        <f>IFERROR(__xludf.DUMMYFUNCTION("""COMPUTED_VALUE"""),"0")</f>
        <v>0</v>
      </c>
      <c r="C177" s="6" t="str">
        <f>IFERROR(__xludf.DUMMYFUNCTION("""COMPUTED_VALUE"""),"4398")</f>
        <v>4398</v>
      </c>
      <c r="D177" s="6" t="str">
        <f>IFERROR(__xludf.DUMMYFUNCTION("""COMPUTED_VALUE"""),"Javier")</f>
        <v>Javier</v>
      </c>
      <c r="E177" s="6" t="str">
        <f>IFERROR(__xludf.DUMMYFUNCTION("""COMPUTED_VALUE"""),"")</f>
        <v/>
      </c>
      <c r="F177" s="6" t="str">
        <f>IFERROR(__xludf.DUMMYFUNCTION("""COMPUTED_VALUE"""),"O'Donnell")</f>
        <v>O'Donnell</v>
      </c>
      <c r="G177" s="6" t="str">
        <f>IFERROR(__xludf.DUMMYFUNCTION("""COMPUTED_VALUE"""),"02/01/2017")</f>
        <v>02/01/2017</v>
      </c>
      <c r="H177" s="6" t="str">
        <f>IFERROR(__xludf.DUMMYFUNCTION("""COMPUTED_VALUE"""),"Self Identify")</f>
        <v>Self Identify</v>
      </c>
      <c r="I177" s="6" t="str">
        <f>IFERROR(__xludf.DUMMYFUNCTION("""COMPUTED_VALUE"""),"Level 1")</f>
        <v>Level 1</v>
      </c>
      <c r="J177" s="6" t="str">
        <f>IFERROR(__xludf.DUMMYFUNCTION("""COMPUTED_VALUE"""),"3")</f>
        <v>3</v>
      </c>
      <c r="K177" s="6" t="str">
        <f>IFERROR(__xludf.DUMMYFUNCTION("""COMPUTED_VALUE"""),"javier.odonnell@2hourlearning.com")</f>
        <v>javier.odonnell@2hourlearning.com</v>
      </c>
      <c r="L177" s="6" t="str">
        <f>IFERROR(__xludf.DUMMYFUNCTION("""COMPUTED_VALUE"""),"Alpha Anywhere (homeschool)")</f>
        <v>Alpha Anywhere (homeschool)</v>
      </c>
      <c r="M177" s="6" t="str">
        <f>IFERROR(__xludf.DUMMYFUNCTION("""COMPUTED_VALUE"""),"")</f>
        <v/>
      </c>
      <c r="N177" s="6" t="str">
        <f>IFERROR(__xludf.DUMMYFUNCTION("""COMPUTED_VALUE"""),"")</f>
        <v/>
      </c>
      <c r="O177" s="87" t="str">
        <f>IFERROR(__xludf.DUMMYFUNCTION("""COMPUTED_VALUE"""),"https://drive.google.com/drive/folders/10T2cTQHqEJZqE-st6uFKPoI?usp=share_link")</f>
        <v>https://drive.google.com/drive/folders/10T2cTQHqEJZqE-st6uFKPoI?usp=share_link</v>
      </c>
      <c r="P177" s="6" t="str">
        <f>IFERROR(__xludf.DUMMYFUNCTION("""COMPUTED_VALUE"""),"Javier O'Donnell")</f>
        <v>Javier O'Donnell</v>
      </c>
      <c r="Q177" s="6" t="str">
        <f>IFERROR(__xludf.DUMMYFUNCTION("""COMPUTED_VALUE"""),"L1")</f>
        <v>L1</v>
      </c>
      <c r="R177" s="6">
        <f>IFERROR(__xludf.DUMMYFUNCTION("""COMPUTED_VALUE"""),1.0)</f>
        <v>1</v>
      </c>
      <c r="S177" s="6" t="str">
        <f>IFERROR(__xludf.DUMMYFUNCTION("""COMPUTED_VALUE""")," ")</f>
        <v> </v>
      </c>
      <c r="T177" s="6" t="str">
        <f>IFERROR(__xludf.DUMMYFUNCTION("""COMPUTED_VALUE"""),"")</f>
        <v/>
      </c>
      <c r="U177" s="6" t="str">
        <f>IFERROR(__xludf.DUMMYFUNCTION("""COMPUTED_VALUE"""),"3")</f>
        <v>3</v>
      </c>
      <c r="V177" s="6" t="str">
        <f>IFERROR(__xludf.DUMMYFUNCTION("""COMPUTED_VALUE"""),"")</f>
        <v/>
      </c>
      <c r="W177" s="6" t="str">
        <f>IFERROR(__xludf.DUMMYFUNCTION("""COMPUTED_VALUE"""),"[]")</f>
        <v>[]</v>
      </c>
      <c r="X177" s="6" t="str">
        <f>IFERROR(__xludf.DUMMYFUNCTION("""COMPUTED_VALUE"""),"Enrolled")</f>
        <v>Enrolled</v>
      </c>
    </row>
    <row r="178">
      <c r="A178" s="6" t="str">
        <f>IFERROR(__xludf.DUMMYFUNCTION("""COMPUTED_VALUE"""),"000-4403")</f>
        <v>000-4403</v>
      </c>
      <c r="B178" s="6" t="str">
        <f>IFERROR(__xludf.DUMMYFUNCTION("""COMPUTED_VALUE"""),"0")</f>
        <v>0</v>
      </c>
      <c r="C178" s="6" t="str">
        <f>IFERROR(__xludf.DUMMYFUNCTION("""COMPUTED_VALUE"""),"4403")</f>
        <v>4403</v>
      </c>
      <c r="D178" s="6" t="str">
        <f>IFERROR(__xludf.DUMMYFUNCTION("""COMPUTED_VALUE"""),"Skye")</f>
        <v>Skye</v>
      </c>
      <c r="E178" s="6" t="str">
        <f>IFERROR(__xludf.DUMMYFUNCTION("""COMPUTED_VALUE"""),"")</f>
        <v/>
      </c>
      <c r="F178" s="6" t="str">
        <f>IFERROR(__xludf.DUMMYFUNCTION("""COMPUTED_VALUE"""),"Wright")</f>
        <v>Wright</v>
      </c>
      <c r="G178" s="6" t="str">
        <f>IFERROR(__xludf.DUMMYFUNCTION("""COMPUTED_VALUE"""),"09/25/2016")</f>
        <v>09/25/2016</v>
      </c>
      <c r="H178" s="6" t="str">
        <f>IFERROR(__xludf.DUMMYFUNCTION("""COMPUTED_VALUE"""),"Self Identify")</f>
        <v>Self Identify</v>
      </c>
      <c r="I178" s="6" t="str">
        <f>IFERROR(__xludf.DUMMYFUNCTION("""COMPUTED_VALUE"""),"Level 2")</f>
        <v>Level 2</v>
      </c>
      <c r="J178" s="6" t="str">
        <f>IFERROR(__xludf.DUMMYFUNCTION("""COMPUTED_VALUE"""),"4")</f>
        <v>4</v>
      </c>
      <c r="K178" s="6" t="str">
        <f>IFERROR(__xludf.DUMMYFUNCTION("""COMPUTED_VALUE"""),"skye.wright@2hourlearning.com")</f>
        <v>skye.wright@2hourlearning.com</v>
      </c>
      <c r="L178" s="6" t="str">
        <f>IFERROR(__xludf.DUMMYFUNCTION("""COMPUTED_VALUE"""),"Alpha Anywhere (homeschool)")</f>
        <v>Alpha Anywhere (homeschool)</v>
      </c>
      <c r="M178" s="6" t="str">
        <f>IFERROR(__xludf.DUMMYFUNCTION("""COMPUTED_VALUE"""),"")</f>
        <v/>
      </c>
      <c r="N178" s="6" t="str">
        <f>IFERROR(__xludf.DUMMYFUNCTION("""COMPUTED_VALUE"""),"")</f>
        <v/>
      </c>
      <c r="O178" s="87" t="str">
        <f>IFERROR(__xludf.DUMMYFUNCTION("""COMPUTED_VALUE"""),"https://drive.google.com/drive/folders/10T2cTQHqEJZqE-st6uFKPoI?usp=share_link")</f>
        <v>https://drive.google.com/drive/folders/10T2cTQHqEJZqE-st6uFKPoI?usp=share_link</v>
      </c>
      <c r="P178" s="6" t="str">
        <f>IFERROR(__xludf.DUMMYFUNCTION("""COMPUTED_VALUE"""),"Skye Wright")</f>
        <v>Skye Wright</v>
      </c>
      <c r="Q178" s="6" t="str">
        <f>IFERROR(__xludf.DUMMYFUNCTION("""COMPUTED_VALUE"""),"L2")</f>
        <v>L2</v>
      </c>
      <c r="R178" s="6">
        <f>IFERROR(__xludf.DUMMYFUNCTION("""COMPUTED_VALUE"""),2.0)</f>
        <v>2</v>
      </c>
      <c r="S178" s="6" t="str">
        <f>IFERROR(__xludf.DUMMYFUNCTION("""COMPUTED_VALUE""")," ")</f>
        <v> </v>
      </c>
      <c r="T178" s="6" t="str">
        <f>IFERROR(__xludf.DUMMYFUNCTION("""COMPUTED_VALUE"""),"")</f>
        <v/>
      </c>
      <c r="U178" s="6" t="str">
        <f>IFERROR(__xludf.DUMMYFUNCTION("""COMPUTED_VALUE"""),"4")</f>
        <v>4</v>
      </c>
      <c r="V178" s="6" t="str">
        <f>IFERROR(__xludf.DUMMYFUNCTION("""COMPUTED_VALUE"""),"")</f>
        <v/>
      </c>
      <c r="W178" s="6" t="str">
        <f>IFERROR(__xludf.DUMMYFUNCTION("""COMPUTED_VALUE"""),"[]")</f>
        <v>[]</v>
      </c>
      <c r="X178" s="6" t="str">
        <f>IFERROR(__xludf.DUMMYFUNCTION("""COMPUTED_VALUE"""),"Enrolled")</f>
        <v>Enrolled</v>
      </c>
    </row>
    <row r="179">
      <c r="A179" s="6" t="str">
        <f>IFERROR(__xludf.DUMMYFUNCTION("""COMPUTED_VALUE"""),"000-4439")</f>
        <v>000-4439</v>
      </c>
      <c r="B179" s="6" t="str">
        <f>IFERROR(__xludf.DUMMYFUNCTION("""COMPUTED_VALUE"""),"0")</f>
        <v>0</v>
      </c>
      <c r="C179" s="6" t="str">
        <f>IFERROR(__xludf.DUMMYFUNCTION("""COMPUTED_VALUE"""),"4439")</f>
        <v>4439</v>
      </c>
      <c r="D179" s="6" t="str">
        <f>IFERROR(__xludf.DUMMYFUNCTION("""COMPUTED_VALUE"""),"Jax")</f>
        <v>Jax</v>
      </c>
      <c r="E179" s="6" t="str">
        <f>IFERROR(__xludf.DUMMYFUNCTION("""COMPUTED_VALUE"""),"")</f>
        <v/>
      </c>
      <c r="F179" s="6" t="str">
        <f>IFERROR(__xludf.DUMMYFUNCTION("""COMPUTED_VALUE"""),"Tocicki")</f>
        <v>Tocicki</v>
      </c>
      <c r="G179" s="6" t="str">
        <f>IFERROR(__xludf.DUMMYFUNCTION("""COMPUTED_VALUE"""),"07/11/2014")</f>
        <v>07/11/2014</v>
      </c>
      <c r="H179" s="6" t="str">
        <f>IFERROR(__xludf.DUMMYFUNCTION("""COMPUTED_VALUE"""),"Self Identify")</f>
        <v>Self Identify</v>
      </c>
      <c r="I179" s="6" t="str">
        <f>IFERROR(__xludf.DUMMYFUNCTION("""COMPUTED_VALUE"""),"Middle School")</f>
        <v>Middle School</v>
      </c>
      <c r="J179" s="6" t="str">
        <f>IFERROR(__xludf.DUMMYFUNCTION("""COMPUTED_VALUE"""),"6")</f>
        <v>6</v>
      </c>
      <c r="K179" s="6" t="str">
        <f>IFERROR(__xludf.DUMMYFUNCTION("""COMPUTED_VALUE"""),"jax.tocicki@2hourlearning.com")</f>
        <v>jax.tocicki@2hourlearning.com</v>
      </c>
      <c r="L179" s="6" t="str">
        <f>IFERROR(__xludf.DUMMYFUNCTION("""COMPUTED_VALUE"""),"Alpha Anywhere (homeschool)")</f>
        <v>Alpha Anywhere (homeschool)</v>
      </c>
      <c r="M179" s="6" t="str">
        <f>IFERROR(__xludf.DUMMYFUNCTION("""COMPUTED_VALUE"""),"")</f>
        <v/>
      </c>
      <c r="N179" s="6" t="str">
        <f>IFERROR(__xludf.DUMMYFUNCTION("""COMPUTED_VALUE"""),"")</f>
        <v/>
      </c>
      <c r="O179" s="87" t="str">
        <f>IFERROR(__xludf.DUMMYFUNCTION("""COMPUTED_VALUE"""),"https://drive.google.com/drive/folders/10T2cTQHqEJZqE-st6uFKPoI?usp=share_link")</f>
        <v>https://drive.google.com/drive/folders/10T2cTQHqEJZqE-st6uFKPoI?usp=share_link</v>
      </c>
      <c r="P179" s="6" t="str">
        <f>IFERROR(__xludf.DUMMYFUNCTION("""COMPUTED_VALUE"""),"Jax Tocicki")</f>
        <v>Jax Tocicki</v>
      </c>
      <c r="Q179" s="6" t="str">
        <f>IFERROR(__xludf.DUMMYFUNCTION("""COMPUTED_VALUE"""),"MS")</f>
        <v>MS</v>
      </c>
      <c r="R179" s="6">
        <f>IFERROR(__xludf.DUMMYFUNCTION("""COMPUTED_VALUE"""),0.0)</f>
        <v>0</v>
      </c>
      <c r="S179" s="6" t="str">
        <f>IFERROR(__xludf.DUMMYFUNCTION("""COMPUTED_VALUE""")," ")</f>
        <v> </v>
      </c>
      <c r="T179" s="6" t="str">
        <f>IFERROR(__xludf.DUMMYFUNCTION("""COMPUTED_VALUE"""),"")</f>
        <v/>
      </c>
      <c r="U179" s="6" t="str">
        <f>IFERROR(__xludf.DUMMYFUNCTION("""COMPUTED_VALUE"""),"6")</f>
        <v>6</v>
      </c>
      <c r="V179" s="6" t="str">
        <f>IFERROR(__xludf.DUMMYFUNCTION("""COMPUTED_VALUE"""),"")</f>
        <v/>
      </c>
      <c r="W179" s="6" t="str">
        <f>IFERROR(__xludf.DUMMYFUNCTION("""COMPUTED_VALUE"""),"[]")</f>
        <v>[]</v>
      </c>
      <c r="X179" s="6" t="str">
        <f>IFERROR(__xludf.DUMMYFUNCTION("""COMPUTED_VALUE"""),"Enrolled")</f>
        <v>Enrolled</v>
      </c>
    </row>
    <row r="180">
      <c r="A180" s="6" t="str">
        <f>IFERROR(__xludf.DUMMYFUNCTION("""COMPUTED_VALUE"""),"000-4448")</f>
        <v>000-4448</v>
      </c>
      <c r="B180" s="6" t="str">
        <f>IFERROR(__xludf.DUMMYFUNCTION("""COMPUTED_VALUE"""),"0")</f>
        <v>0</v>
      </c>
      <c r="C180" s="6" t="str">
        <f>IFERROR(__xludf.DUMMYFUNCTION("""COMPUTED_VALUE"""),"4448")</f>
        <v>4448</v>
      </c>
      <c r="D180" s="6" t="str">
        <f>IFERROR(__xludf.DUMMYFUNCTION("""COMPUTED_VALUE"""),"Everett")</f>
        <v>Everett</v>
      </c>
      <c r="E180" s="6" t="str">
        <f>IFERROR(__xludf.DUMMYFUNCTION("""COMPUTED_VALUE"""),"")</f>
        <v/>
      </c>
      <c r="F180" s="6" t="str">
        <f>IFERROR(__xludf.DUMMYFUNCTION("""COMPUTED_VALUE"""),"Courtney")</f>
        <v>Courtney</v>
      </c>
      <c r="G180" s="6" t="str">
        <f>IFERROR(__xludf.DUMMYFUNCTION("""COMPUTED_VALUE"""),"07/25/2015")</f>
        <v>07/25/2015</v>
      </c>
      <c r="H180" s="6" t="str">
        <f>IFERROR(__xludf.DUMMYFUNCTION("""COMPUTED_VALUE"""),"Self Identify")</f>
        <v>Self Identify</v>
      </c>
      <c r="I180" s="6" t="str">
        <f>IFERROR(__xludf.DUMMYFUNCTION("""COMPUTED_VALUE"""),"Level 2")</f>
        <v>Level 2</v>
      </c>
      <c r="J180" s="6" t="str">
        <f>IFERROR(__xludf.DUMMYFUNCTION("""COMPUTED_VALUE"""),"4")</f>
        <v>4</v>
      </c>
      <c r="K180" s="6" t="str">
        <f>IFERROR(__xludf.DUMMYFUNCTION("""COMPUTED_VALUE"""),"everett.courtney@2hourlearning.com")</f>
        <v>everett.courtney@2hourlearning.com</v>
      </c>
      <c r="L180" s="6" t="str">
        <f>IFERROR(__xludf.DUMMYFUNCTION("""COMPUTED_VALUE"""),"Alpha Anywhere (homeschool)")</f>
        <v>Alpha Anywhere (homeschool)</v>
      </c>
      <c r="M180" s="6" t="str">
        <f>IFERROR(__xludf.DUMMYFUNCTION("""COMPUTED_VALUE"""),"")</f>
        <v/>
      </c>
      <c r="N180" s="6" t="str">
        <f>IFERROR(__xludf.DUMMYFUNCTION("""COMPUTED_VALUE"""),"")</f>
        <v/>
      </c>
      <c r="O180" s="87" t="str">
        <f>IFERROR(__xludf.DUMMYFUNCTION("""COMPUTED_VALUE"""),"https://drive.google.com/drive/folders/10T2cTQHqEJZqE-st6uFKPoI?usp=share_link")</f>
        <v>https://drive.google.com/drive/folders/10T2cTQHqEJZqE-st6uFKPoI?usp=share_link</v>
      </c>
      <c r="P180" s="6" t="str">
        <f>IFERROR(__xludf.DUMMYFUNCTION("""COMPUTED_VALUE"""),"Everett Courtney")</f>
        <v>Everett Courtney</v>
      </c>
      <c r="Q180" s="6" t="str">
        <f>IFERROR(__xludf.DUMMYFUNCTION("""COMPUTED_VALUE"""),"L2")</f>
        <v>L2</v>
      </c>
      <c r="R180" s="6">
        <f>IFERROR(__xludf.DUMMYFUNCTION("""COMPUTED_VALUE"""),2.0)</f>
        <v>2</v>
      </c>
      <c r="S180" s="6" t="str">
        <f>IFERROR(__xludf.DUMMYFUNCTION("""COMPUTED_VALUE""")," ")</f>
        <v> </v>
      </c>
      <c r="T180" s="6" t="str">
        <f>IFERROR(__xludf.DUMMYFUNCTION("""COMPUTED_VALUE"""),"")</f>
        <v/>
      </c>
      <c r="U180" s="6" t="str">
        <f>IFERROR(__xludf.DUMMYFUNCTION("""COMPUTED_VALUE"""),"4")</f>
        <v>4</v>
      </c>
      <c r="V180" s="6" t="str">
        <f>IFERROR(__xludf.DUMMYFUNCTION("""COMPUTED_VALUE"""),"")</f>
        <v/>
      </c>
      <c r="W180" s="6" t="str">
        <f>IFERROR(__xludf.DUMMYFUNCTION("""COMPUTED_VALUE"""),"[]")</f>
        <v>[]</v>
      </c>
      <c r="X180" s="6" t="str">
        <f>IFERROR(__xludf.DUMMYFUNCTION("""COMPUTED_VALUE"""),"Enrolled")</f>
        <v>Enrolled</v>
      </c>
    </row>
    <row r="181">
      <c r="A181" s="6" t="str">
        <f>IFERROR(__xludf.DUMMYFUNCTION("""COMPUTED_VALUE"""),"000-4449")</f>
        <v>000-4449</v>
      </c>
      <c r="B181" s="6" t="str">
        <f>IFERROR(__xludf.DUMMYFUNCTION("""COMPUTED_VALUE"""),"0")</f>
        <v>0</v>
      </c>
      <c r="C181" s="6" t="str">
        <f>IFERROR(__xludf.DUMMYFUNCTION("""COMPUTED_VALUE"""),"4449")</f>
        <v>4449</v>
      </c>
      <c r="D181" s="6" t="str">
        <f>IFERROR(__xludf.DUMMYFUNCTION("""COMPUTED_VALUE"""),"Henry")</f>
        <v>Henry</v>
      </c>
      <c r="E181" s="6" t="str">
        <f>IFERROR(__xludf.DUMMYFUNCTION("""COMPUTED_VALUE"""),"")</f>
        <v/>
      </c>
      <c r="F181" s="6" t="str">
        <f>IFERROR(__xludf.DUMMYFUNCTION("""COMPUTED_VALUE"""),"Brittain")</f>
        <v>Brittain</v>
      </c>
      <c r="G181" s="6" t="str">
        <f>IFERROR(__xludf.DUMMYFUNCTION("""COMPUTED_VALUE"""),"10/16/2012")</f>
        <v>10/16/2012</v>
      </c>
      <c r="H181" s="6" t="str">
        <f>IFERROR(__xludf.DUMMYFUNCTION("""COMPUTED_VALUE"""),"Self Identify")</f>
        <v>Self Identify</v>
      </c>
      <c r="I181" s="6" t="str">
        <f>IFERROR(__xludf.DUMMYFUNCTION("""COMPUTED_VALUE"""),"Middle School")</f>
        <v>Middle School</v>
      </c>
      <c r="J181" s="6" t="str">
        <f>IFERROR(__xludf.DUMMYFUNCTION("""COMPUTED_VALUE"""),"7")</f>
        <v>7</v>
      </c>
      <c r="K181" s="6" t="str">
        <f>IFERROR(__xludf.DUMMYFUNCTION("""COMPUTED_VALUE"""),"henry.brittain@2hourlearning.com")</f>
        <v>henry.brittain@2hourlearning.com</v>
      </c>
      <c r="L181" s="6" t="str">
        <f>IFERROR(__xludf.DUMMYFUNCTION("""COMPUTED_VALUE"""),"Alpha Anywhere (homeschool)")</f>
        <v>Alpha Anywhere (homeschool)</v>
      </c>
      <c r="M181" s="6" t="str">
        <f>IFERROR(__xludf.DUMMYFUNCTION("""COMPUTED_VALUE"""),"")</f>
        <v/>
      </c>
      <c r="N181" s="6" t="str">
        <f>IFERROR(__xludf.DUMMYFUNCTION("""COMPUTED_VALUE"""),"")</f>
        <v/>
      </c>
      <c r="O181" s="87" t="str">
        <f>IFERROR(__xludf.DUMMYFUNCTION("""COMPUTED_VALUE"""),"https://drive.google.com/drive/folders/10T2cTQHqEJZqE-st6uFKPoI?usp=share_link")</f>
        <v>https://drive.google.com/drive/folders/10T2cTQHqEJZqE-st6uFKPoI?usp=share_link</v>
      </c>
      <c r="P181" s="6" t="str">
        <f>IFERROR(__xludf.DUMMYFUNCTION("""COMPUTED_VALUE"""),"Henry Brittain")</f>
        <v>Henry Brittain</v>
      </c>
      <c r="Q181" s="6" t="str">
        <f>IFERROR(__xludf.DUMMYFUNCTION("""COMPUTED_VALUE"""),"MS")</f>
        <v>MS</v>
      </c>
      <c r="R181" s="6">
        <f>IFERROR(__xludf.DUMMYFUNCTION("""COMPUTED_VALUE"""),0.0)</f>
        <v>0</v>
      </c>
      <c r="S181" s="6" t="str">
        <f>IFERROR(__xludf.DUMMYFUNCTION("""COMPUTED_VALUE""")," ")</f>
        <v> </v>
      </c>
      <c r="T181" s="6" t="str">
        <f>IFERROR(__xludf.DUMMYFUNCTION("""COMPUTED_VALUE"""),"")</f>
        <v/>
      </c>
      <c r="U181" s="6" t="str">
        <f>IFERROR(__xludf.DUMMYFUNCTION("""COMPUTED_VALUE"""),"7")</f>
        <v>7</v>
      </c>
      <c r="V181" s="6" t="str">
        <f>IFERROR(__xludf.DUMMYFUNCTION("""COMPUTED_VALUE"""),"")</f>
        <v/>
      </c>
      <c r="W181" s="6" t="str">
        <f>IFERROR(__xludf.DUMMYFUNCTION("""COMPUTED_VALUE"""),"[]")</f>
        <v>[]</v>
      </c>
      <c r="X181" s="6" t="str">
        <f>IFERROR(__xludf.DUMMYFUNCTION("""COMPUTED_VALUE"""),"Enrolled")</f>
        <v>Enrolled</v>
      </c>
    </row>
    <row r="182">
      <c r="A182" s="6" t="str">
        <f>IFERROR(__xludf.DUMMYFUNCTION("""COMPUTED_VALUE"""),"000-4464")</f>
        <v>000-4464</v>
      </c>
      <c r="B182" s="6" t="str">
        <f>IFERROR(__xludf.DUMMYFUNCTION("""COMPUTED_VALUE"""),"0")</f>
        <v>0</v>
      </c>
      <c r="C182" s="6" t="str">
        <f>IFERROR(__xludf.DUMMYFUNCTION("""COMPUTED_VALUE"""),"4464")</f>
        <v>4464</v>
      </c>
      <c r="D182" s="6" t="str">
        <f>IFERROR(__xludf.DUMMYFUNCTION("""COMPUTED_VALUE"""),"Everett")</f>
        <v>Everett</v>
      </c>
      <c r="E182" s="6" t="str">
        <f>IFERROR(__xludf.DUMMYFUNCTION("""COMPUTED_VALUE"""),"")</f>
        <v/>
      </c>
      <c r="F182" s="6" t="str">
        <f>IFERROR(__xludf.DUMMYFUNCTION("""COMPUTED_VALUE"""),"Delatore")</f>
        <v>Delatore</v>
      </c>
      <c r="G182" s="6" t="str">
        <f>IFERROR(__xludf.DUMMYFUNCTION("""COMPUTED_VALUE"""),"01/06/2012")</f>
        <v>01/06/2012</v>
      </c>
      <c r="H182" s="6" t="str">
        <f>IFERROR(__xludf.DUMMYFUNCTION("""COMPUTED_VALUE"""),"Self Identify")</f>
        <v>Self Identify</v>
      </c>
      <c r="I182" s="6" t="str">
        <f>IFERROR(__xludf.DUMMYFUNCTION("""COMPUTED_VALUE"""),"Middle School")</f>
        <v>Middle School</v>
      </c>
      <c r="J182" s="6" t="str">
        <f>IFERROR(__xludf.DUMMYFUNCTION("""COMPUTED_VALUE"""),"8")</f>
        <v>8</v>
      </c>
      <c r="K182" s="6" t="str">
        <f>IFERROR(__xludf.DUMMYFUNCTION("""COMPUTED_VALUE"""),"everett.delatore@2hourlearning.com")</f>
        <v>everett.delatore@2hourlearning.com</v>
      </c>
      <c r="L182" s="6" t="str">
        <f>IFERROR(__xludf.DUMMYFUNCTION("""COMPUTED_VALUE"""),"Alpha Anywhere (homeschool)")</f>
        <v>Alpha Anywhere (homeschool)</v>
      </c>
      <c r="M182" s="6" t="str">
        <f>IFERROR(__xludf.DUMMYFUNCTION("""COMPUTED_VALUE"""),"")</f>
        <v/>
      </c>
      <c r="N182" s="6" t="str">
        <f>IFERROR(__xludf.DUMMYFUNCTION("""COMPUTED_VALUE"""),"")</f>
        <v/>
      </c>
      <c r="O182" s="87" t="str">
        <f>IFERROR(__xludf.DUMMYFUNCTION("""COMPUTED_VALUE"""),"https://drive.google.com/drive/folders/10T2cTQHqEJZqE-st6uFKPoI?usp=share_link")</f>
        <v>https://drive.google.com/drive/folders/10T2cTQHqEJZqE-st6uFKPoI?usp=share_link</v>
      </c>
      <c r="P182" s="6" t="str">
        <f>IFERROR(__xludf.DUMMYFUNCTION("""COMPUTED_VALUE"""),"Everett Delatore")</f>
        <v>Everett Delatore</v>
      </c>
      <c r="Q182" s="6" t="str">
        <f>IFERROR(__xludf.DUMMYFUNCTION("""COMPUTED_VALUE"""),"MS")</f>
        <v>MS</v>
      </c>
      <c r="R182" s="6">
        <f>IFERROR(__xludf.DUMMYFUNCTION("""COMPUTED_VALUE"""),0.0)</f>
        <v>0</v>
      </c>
      <c r="S182" s="6" t="str">
        <f>IFERROR(__xludf.DUMMYFUNCTION("""COMPUTED_VALUE""")," ")</f>
        <v> </v>
      </c>
      <c r="T182" s="6" t="str">
        <f>IFERROR(__xludf.DUMMYFUNCTION("""COMPUTED_VALUE"""),"")</f>
        <v/>
      </c>
      <c r="U182" s="6" t="str">
        <f>IFERROR(__xludf.DUMMYFUNCTION("""COMPUTED_VALUE"""),"8")</f>
        <v>8</v>
      </c>
      <c r="V182" s="6" t="str">
        <f>IFERROR(__xludf.DUMMYFUNCTION("""COMPUTED_VALUE"""),"")</f>
        <v/>
      </c>
      <c r="W182" s="6" t="str">
        <f>IFERROR(__xludf.DUMMYFUNCTION("""COMPUTED_VALUE"""),"[]")</f>
        <v>[]</v>
      </c>
      <c r="X182" s="6" t="str">
        <f>IFERROR(__xludf.DUMMYFUNCTION("""COMPUTED_VALUE"""),"Enrolled")</f>
        <v>Enrolled</v>
      </c>
    </row>
    <row r="183">
      <c r="A183" s="6" t="str">
        <f>IFERROR(__xludf.DUMMYFUNCTION("""COMPUTED_VALUE"""),"000-4471")</f>
        <v>000-4471</v>
      </c>
      <c r="B183" s="6" t="str">
        <f>IFERROR(__xludf.DUMMYFUNCTION("""COMPUTED_VALUE"""),"0")</f>
        <v>0</v>
      </c>
      <c r="C183" s="6" t="str">
        <f>IFERROR(__xludf.DUMMYFUNCTION("""COMPUTED_VALUE"""),"4471")</f>
        <v>4471</v>
      </c>
      <c r="D183" s="6" t="str">
        <f>IFERROR(__xludf.DUMMYFUNCTION("""COMPUTED_VALUE"""),"Evie")</f>
        <v>Evie</v>
      </c>
      <c r="E183" s="6" t="str">
        <f>IFERROR(__xludf.DUMMYFUNCTION("""COMPUTED_VALUE"""),"")</f>
        <v/>
      </c>
      <c r="F183" s="6" t="str">
        <f>IFERROR(__xludf.DUMMYFUNCTION("""COMPUTED_VALUE"""),"Sims")</f>
        <v>Sims</v>
      </c>
      <c r="G183" s="6" t="str">
        <f>IFERROR(__xludf.DUMMYFUNCTION("""COMPUTED_VALUE"""),"06/04/2014")</f>
        <v>06/04/2014</v>
      </c>
      <c r="H183" s="6" t="str">
        <f>IFERROR(__xludf.DUMMYFUNCTION("""COMPUTED_VALUE"""),"Self Identify")</f>
        <v>Self Identify</v>
      </c>
      <c r="I183" s="6" t="str">
        <f>IFERROR(__xludf.DUMMYFUNCTION("""COMPUTED_VALUE"""),"Middle School")</f>
        <v>Middle School</v>
      </c>
      <c r="J183" s="6" t="str">
        <f>IFERROR(__xludf.DUMMYFUNCTION("""COMPUTED_VALUE"""),"6")</f>
        <v>6</v>
      </c>
      <c r="K183" s="6" t="str">
        <f>IFERROR(__xludf.DUMMYFUNCTION("""COMPUTED_VALUE"""),"evie.sims@2hourlearning.com")</f>
        <v>evie.sims@2hourlearning.com</v>
      </c>
      <c r="L183" s="6" t="str">
        <f>IFERROR(__xludf.DUMMYFUNCTION("""COMPUTED_VALUE"""),"Alpha Anywhere (homeschool)")</f>
        <v>Alpha Anywhere (homeschool)</v>
      </c>
      <c r="M183" s="6" t="str">
        <f>IFERROR(__xludf.DUMMYFUNCTION("""COMPUTED_VALUE"""),"")</f>
        <v/>
      </c>
      <c r="N183" s="6" t="str">
        <f>IFERROR(__xludf.DUMMYFUNCTION("""COMPUTED_VALUE"""),"")</f>
        <v/>
      </c>
      <c r="O183" s="87" t="str">
        <f>IFERROR(__xludf.DUMMYFUNCTION("""COMPUTED_VALUE"""),"https://drive.google.com/drive/folders/10T2cTQHqEJZqE-st6uFKPoI?usp=share_link")</f>
        <v>https://drive.google.com/drive/folders/10T2cTQHqEJZqE-st6uFKPoI?usp=share_link</v>
      </c>
      <c r="P183" s="6" t="str">
        <f>IFERROR(__xludf.DUMMYFUNCTION("""COMPUTED_VALUE"""),"Evie Sims")</f>
        <v>Evie Sims</v>
      </c>
      <c r="Q183" s="6" t="str">
        <f>IFERROR(__xludf.DUMMYFUNCTION("""COMPUTED_VALUE"""),"MS")</f>
        <v>MS</v>
      </c>
      <c r="R183" s="6">
        <f>IFERROR(__xludf.DUMMYFUNCTION("""COMPUTED_VALUE"""),0.0)</f>
        <v>0</v>
      </c>
      <c r="S183" s="6" t="str">
        <f>IFERROR(__xludf.DUMMYFUNCTION("""COMPUTED_VALUE""")," ")</f>
        <v> </v>
      </c>
      <c r="T183" s="6" t="str">
        <f>IFERROR(__xludf.DUMMYFUNCTION("""COMPUTED_VALUE"""),"")</f>
        <v/>
      </c>
      <c r="U183" s="6" t="str">
        <f>IFERROR(__xludf.DUMMYFUNCTION("""COMPUTED_VALUE"""),"6")</f>
        <v>6</v>
      </c>
      <c r="V183" s="6" t="str">
        <f>IFERROR(__xludf.DUMMYFUNCTION("""COMPUTED_VALUE"""),"")</f>
        <v/>
      </c>
      <c r="W183" s="6" t="str">
        <f>IFERROR(__xludf.DUMMYFUNCTION("""COMPUTED_VALUE"""),"[]")</f>
        <v>[]</v>
      </c>
      <c r="X183" s="6" t="str">
        <f>IFERROR(__xludf.DUMMYFUNCTION("""COMPUTED_VALUE"""),"Enrolled")</f>
        <v>Enrolled</v>
      </c>
    </row>
    <row r="184">
      <c r="A184" s="6" t="str">
        <f>IFERROR(__xludf.DUMMYFUNCTION("""COMPUTED_VALUE"""),"000-4494")</f>
        <v>000-4494</v>
      </c>
      <c r="B184" s="6" t="str">
        <f>IFERROR(__xludf.DUMMYFUNCTION("""COMPUTED_VALUE"""),"0")</f>
        <v>0</v>
      </c>
      <c r="C184" s="6" t="str">
        <f>IFERROR(__xludf.DUMMYFUNCTION("""COMPUTED_VALUE"""),"4494")</f>
        <v>4494</v>
      </c>
      <c r="D184" s="6" t="str">
        <f>IFERROR(__xludf.DUMMYFUNCTION("""COMPUTED_VALUE"""),"Lincoln")</f>
        <v>Lincoln</v>
      </c>
      <c r="E184" s="6" t="str">
        <f>IFERROR(__xludf.DUMMYFUNCTION("""COMPUTED_VALUE"""),"Lincoln")</f>
        <v>Lincoln</v>
      </c>
      <c r="F184" s="6" t="str">
        <f>IFERROR(__xludf.DUMMYFUNCTION("""COMPUTED_VALUE"""),"Kloiber")</f>
        <v>Kloiber</v>
      </c>
      <c r="G184" s="6" t="str">
        <f>IFERROR(__xludf.DUMMYFUNCTION("""COMPUTED_VALUE"""),"11/19/2012")</f>
        <v>11/19/2012</v>
      </c>
      <c r="H184" s="6" t="str">
        <f>IFERROR(__xludf.DUMMYFUNCTION("""COMPUTED_VALUE"""),"male")</f>
        <v>male</v>
      </c>
      <c r="I184" s="6" t="str">
        <f>IFERROR(__xludf.DUMMYFUNCTION("""COMPUTED_VALUE"""),"Middle School")</f>
        <v>Middle School</v>
      </c>
      <c r="J184" s="6" t="str">
        <f>IFERROR(__xludf.DUMMYFUNCTION("""COMPUTED_VALUE"""),"7")</f>
        <v>7</v>
      </c>
      <c r="K184" s="6" t="str">
        <f>IFERROR(__xludf.DUMMYFUNCTION("""COMPUTED_VALUE"""),"lincoln.kloiber@alpha.school")</f>
        <v>lincoln.kloiber@alpha.school</v>
      </c>
      <c r="L184" s="6" t="str">
        <f>IFERROR(__xludf.DUMMYFUNCTION("""COMPUTED_VALUE"""),"Alpha Anywhere (homeschool)")</f>
        <v>Alpha Anywhere (homeschool)</v>
      </c>
      <c r="M184" s="6" t="str">
        <f>IFERROR(__xludf.DUMMYFUNCTION("""COMPUTED_VALUE"""),"")</f>
        <v/>
      </c>
      <c r="N184" s="6" t="str">
        <f>IFERROR(__xludf.DUMMYFUNCTION("""COMPUTED_VALUE"""),"")</f>
        <v/>
      </c>
      <c r="O184" s="87" t="str">
        <f>IFERROR(__xludf.DUMMYFUNCTION("""COMPUTED_VALUE"""),"https://drive.google.com/drive/folders/10T2cTQHqEJZqE-st6uFKPoI?usp=share_link")</f>
        <v>https://drive.google.com/drive/folders/10T2cTQHqEJZqE-st6uFKPoI?usp=share_link</v>
      </c>
      <c r="P184" s="6" t="str">
        <f>IFERROR(__xludf.DUMMYFUNCTION("""COMPUTED_VALUE"""),"Lincoln Kloiber")</f>
        <v>Lincoln Kloiber</v>
      </c>
      <c r="Q184" s="6" t="str">
        <f>IFERROR(__xludf.DUMMYFUNCTION("""COMPUTED_VALUE"""),"MS")</f>
        <v>MS</v>
      </c>
      <c r="R184" s="6">
        <f>IFERROR(__xludf.DUMMYFUNCTION("""COMPUTED_VALUE"""),0.0)</f>
        <v>0</v>
      </c>
      <c r="S184" s="6" t="str">
        <f>IFERROR(__xludf.DUMMYFUNCTION("""COMPUTED_VALUE""")," ")</f>
        <v> </v>
      </c>
      <c r="T184" s="6" t="str">
        <f>IFERROR(__xludf.DUMMYFUNCTION("""COMPUTED_VALUE"""),"")</f>
        <v/>
      </c>
      <c r="U184" s="6" t="str">
        <f>IFERROR(__xludf.DUMMYFUNCTION("""COMPUTED_VALUE"""),"7")</f>
        <v>7</v>
      </c>
      <c r="V184" s="6" t="str">
        <f>IFERROR(__xludf.DUMMYFUNCTION("""COMPUTED_VALUE"""),"")</f>
        <v/>
      </c>
      <c r="W184" s="6" t="str">
        <f>IFERROR(__xludf.DUMMYFUNCTION("""COMPUTED_VALUE"""),"[]")</f>
        <v>[]</v>
      </c>
      <c r="X184" s="6" t="str">
        <f>IFERROR(__xludf.DUMMYFUNCTION("""COMPUTED_VALUE"""),"Enrolled")</f>
        <v>Enrolled</v>
      </c>
    </row>
    <row r="185">
      <c r="A185" s="6" t="str">
        <f>IFERROR(__xludf.DUMMYFUNCTION("""COMPUTED_VALUE"""),"000-4524")</f>
        <v>000-4524</v>
      </c>
      <c r="B185" s="6" t="str">
        <f>IFERROR(__xludf.DUMMYFUNCTION("""COMPUTED_VALUE"""),"0")</f>
        <v>0</v>
      </c>
      <c r="C185" s="6" t="str">
        <f>IFERROR(__xludf.DUMMYFUNCTION("""COMPUTED_VALUE"""),"4524")</f>
        <v>4524</v>
      </c>
      <c r="D185" s="6" t="str">
        <f>IFERROR(__xludf.DUMMYFUNCTION("""COMPUTED_VALUE"""),"Harlow")</f>
        <v>Harlow</v>
      </c>
      <c r="E185" s="6" t="str">
        <f>IFERROR(__xludf.DUMMYFUNCTION("""COMPUTED_VALUE"""),"")</f>
        <v/>
      </c>
      <c r="F185" s="6" t="str">
        <f>IFERROR(__xludf.DUMMYFUNCTION("""COMPUTED_VALUE"""),"Zack")</f>
        <v>Zack</v>
      </c>
      <c r="G185" s="6" t="str">
        <f>IFERROR(__xludf.DUMMYFUNCTION("""COMPUTED_VALUE"""),"09/13/2013")</f>
        <v>09/13/2013</v>
      </c>
      <c r="H185" s="6" t="str">
        <f>IFERROR(__xludf.DUMMYFUNCTION("""COMPUTED_VALUE"""),"Self Identify")</f>
        <v>Self Identify</v>
      </c>
      <c r="I185" s="6" t="str">
        <f>IFERROR(__xludf.DUMMYFUNCTION("""COMPUTED_VALUE"""),"Middle School")</f>
        <v>Middle School</v>
      </c>
      <c r="J185" s="6" t="str">
        <f>IFERROR(__xludf.DUMMYFUNCTION("""COMPUTED_VALUE"""),"6")</f>
        <v>6</v>
      </c>
      <c r="K185" s="6" t="str">
        <f>IFERROR(__xludf.DUMMYFUNCTION("""COMPUTED_VALUE"""),"harlow.zack@2hourlearning.com")</f>
        <v>harlow.zack@2hourlearning.com</v>
      </c>
      <c r="L185" s="6" t="str">
        <f>IFERROR(__xludf.DUMMYFUNCTION("""COMPUTED_VALUE"""),"Alpha Anywhere (homeschool)")</f>
        <v>Alpha Anywhere (homeschool)</v>
      </c>
      <c r="M185" s="6" t="str">
        <f>IFERROR(__xludf.DUMMYFUNCTION("""COMPUTED_VALUE"""),"")</f>
        <v/>
      </c>
      <c r="N185" s="6" t="str">
        <f>IFERROR(__xludf.DUMMYFUNCTION("""COMPUTED_VALUE"""),"")</f>
        <v/>
      </c>
      <c r="O185" s="87" t="str">
        <f>IFERROR(__xludf.DUMMYFUNCTION("""COMPUTED_VALUE"""),"https://drive.google.com/drive/folders/10T2cTQHqEJZqE-st6uFKPoI?usp=share_link")</f>
        <v>https://drive.google.com/drive/folders/10T2cTQHqEJZqE-st6uFKPoI?usp=share_link</v>
      </c>
      <c r="P185" s="6" t="str">
        <f>IFERROR(__xludf.DUMMYFUNCTION("""COMPUTED_VALUE"""),"Harlow Zack")</f>
        <v>Harlow Zack</v>
      </c>
      <c r="Q185" s="6" t="str">
        <f>IFERROR(__xludf.DUMMYFUNCTION("""COMPUTED_VALUE"""),"MS")</f>
        <v>MS</v>
      </c>
      <c r="R185" s="6">
        <f>IFERROR(__xludf.DUMMYFUNCTION("""COMPUTED_VALUE"""),0.0)</f>
        <v>0</v>
      </c>
      <c r="S185" s="6" t="str">
        <f>IFERROR(__xludf.DUMMYFUNCTION("""COMPUTED_VALUE""")," ")</f>
        <v> </v>
      </c>
      <c r="T185" s="6" t="str">
        <f>IFERROR(__xludf.DUMMYFUNCTION("""COMPUTED_VALUE"""),"")</f>
        <v/>
      </c>
      <c r="U185" s="6" t="str">
        <f>IFERROR(__xludf.DUMMYFUNCTION("""COMPUTED_VALUE"""),"6")</f>
        <v>6</v>
      </c>
      <c r="V185" s="6" t="str">
        <f>IFERROR(__xludf.DUMMYFUNCTION("""COMPUTED_VALUE"""),"")</f>
        <v/>
      </c>
      <c r="W185" s="6" t="str">
        <f>IFERROR(__xludf.DUMMYFUNCTION("""COMPUTED_VALUE"""),"[]")</f>
        <v>[]</v>
      </c>
      <c r="X185" s="6" t="str">
        <f>IFERROR(__xludf.DUMMYFUNCTION("""COMPUTED_VALUE"""),"Enrolled")</f>
        <v>Enrolled</v>
      </c>
    </row>
    <row r="186">
      <c r="A186" s="6" t="str">
        <f>IFERROR(__xludf.DUMMYFUNCTION("""COMPUTED_VALUE"""),"000-4526")</f>
        <v>000-4526</v>
      </c>
      <c r="B186" s="6" t="str">
        <f>IFERROR(__xludf.DUMMYFUNCTION("""COMPUTED_VALUE"""),"0")</f>
        <v>0</v>
      </c>
      <c r="C186" s="6" t="str">
        <f>IFERROR(__xludf.DUMMYFUNCTION("""COMPUTED_VALUE"""),"4526")</f>
        <v>4526</v>
      </c>
      <c r="D186" s="6" t="str">
        <f>IFERROR(__xludf.DUMMYFUNCTION("""COMPUTED_VALUE"""),"Joshua")</f>
        <v>Joshua</v>
      </c>
      <c r="E186" s="6" t="str">
        <f>IFERROR(__xludf.DUMMYFUNCTION("""COMPUTED_VALUE"""),"")</f>
        <v/>
      </c>
      <c r="F186" s="6" t="str">
        <f>IFERROR(__xludf.DUMMYFUNCTION("""COMPUTED_VALUE"""),"Owen")</f>
        <v>Owen</v>
      </c>
      <c r="G186" s="6" t="str">
        <f>IFERROR(__xludf.DUMMYFUNCTION("""COMPUTED_VALUE"""),"02/05/2014")</f>
        <v>02/05/2014</v>
      </c>
      <c r="H186" s="6" t="str">
        <f>IFERROR(__xludf.DUMMYFUNCTION("""COMPUTED_VALUE"""),"Self Identify")</f>
        <v>Self Identify</v>
      </c>
      <c r="I186" s="6" t="str">
        <f>IFERROR(__xludf.DUMMYFUNCTION("""COMPUTED_VALUE"""),"Middle School")</f>
        <v>Middle School</v>
      </c>
      <c r="J186" s="6" t="str">
        <f>IFERROR(__xludf.DUMMYFUNCTION("""COMPUTED_VALUE"""),"6")</f>
        <v>6</v>
      </c>
      <c r="K186" s="6" t="str">
        <f>IFERROR(__xludf.DUMMYFUNCTION("""COMPUTED_VALUE"""),"joshua.owen@2hourlearning.com")</f>
        <v>joshua.owen@2hourlearning.com</v>
      </c>
      <c r="L186" s="6" t="str">
        <f>IFERROR(__xludf.DUMMYFUNCTION("""COMPUTED_VALUE"""),"Alpha Anywhere (homeschool)")</f>
        <v>Alpha Anywhere (homeschool)</v>
      </c>
      <c r="M186" s="6" t="str">
        <f>IFERROR(__xludf.DUMMYFUNCTION("""COMPUTED_VALUE"""),"")</f>
        <v/>
      </c>
      <c r="N186" s="6" t="str">
        <f>IFERROR(__xludf.DUMMYFUNCTION("""COMPUTED_VALUE"""),"")</f>
        <v/>
      </c>
      <c r="O186" s="87" t="str">
        <f>IFERROR(__xludf.DUMMYFUNCTION("""COMPUTED_VALUE"""),"https://drive.google.com/drive/folders/10T2cTQHqEJZqE-st6uFKPoI?usp=share_link")</f>
        <v>https://drive.google.com/drive/folders/10T2cTQHqEJZqE-st6uFKPoI?usp=share_link</v>
      </c>
      <c r="P186" s="6" t="str">
        <f>IFERROR(__xludf.DUMMYFUNCTION("""COMPUTED_VALUE"""),"Joshua Owen")</f>
        <v>Joshua Owen</v>
      </c>
      <c r="Q186" s="6" t="str">
        <f>IFERROR(__xludf.DUMMYFUNCTION("""COMPUTED_VALUE"""),"MS")</f>
        <v>MS</v>
      </c>
      <c r="R186" s="6">
        <f>IFERROR(__xludf.DUMMYFUNCTION("""COMPUTED_VALUE"""),0.0)</f>
        <v>0</v>
      </c>
      <c r="S186" s="6" t="str">
        <f>IFERROR(__xludf.DUMMYFUNCTION("""COMPUTED_VALUE""")," ")</f>
        <v> </v>
      </c>
      <c r="T186" s="6" t="str">
        <f>IFERROR(__xludf.DUMMYFUNCTION("""COMPUTED_VALUE"""),"")</f>
        <v/>
      </c>
      <c r="U186" s="6" t="str">
        <f>IFERROR(__xludf.DUMMYFUNCTION("""COMPUTED_VALUE"""),"6")</f>
        <v>6</v>
      </c>
      <c r="V186" s="6" t="str">
        <f>IFERROR(__xludf.DUMMYFUNCTION("""COMPUTED_VALUE"""),"")</f>
        <v/>
      </c>
      <c r="W186" s="6" t="str">
        <f>IFERROR(__xludf.DUMMYFUNCTION("""COMPUTED_VALUE"""),"[]")</f>
        <v>[]</v>
      </c>
      <c r="X186" s="6" t="str">
        <f>IFERROR(__xludf.DUMMYFUNCTION("""COMPUTED_VALUE"""),"Enrolled")</f>
        <v>Enrolled</v>
      </c>
    </row>
    <row r="187">
      <c r="A187" s="6" t="str">
        <f>IFERROR(__xludf.DUMMYFUNCTION("""COMPUTED_VALUE"""),"000-4528")</f>
        <v>000-4528</v>
      </c>
      <c r="B187" s="6" t="str">
        <f>IFERROR(__xludf.DUMMYFUNCTION("""COMPUTED_VALUE"""),"0")</f>
        <v>0</v>
      </c>
      <c r="C187" s="6" t="str">
        <f>IFERROR(__xludf.DUMMYFUNCTION("""COMPUTED_VALUE"""),"4528")</f>
        <v>4528</v>
      </c>
      <c r="D187" s="6" t="str">
        <f>IFERROR(__xludf.DUMMYFUNCTION("""COMPUTED_VALUE"""),"Matilda")</f>
        <v>Matilda</v>
      </c>
      <c r="E187" s="6" t="str">
        <f>IFERROR(__xludf.DUMMYFUNCTION("""COMPUTED_VALUE"""),"")</f>
        <v/>
      </c>
      <c r="F187" s="6" t="str">
        <f>IFERROR(__xludf.DUMMYFUNCTION("""COMPUTED_VALUE"""),"Timonen")</f>
        <v>Timonen</v>
      </c>
      <c r="G187" s="6" t="str">
        <f>IFERROR(__xludf.DUMMYFUNCTION("""COMPUTED_VALUE"""),"05/26/2014")</f>
        <v>05/26/2014</v>
      </c>
      <c r="H187" s="6" t="str">
        <f>IFERROR(__xludf.DUMMYFUNCTION("""COMPUTED_VALUE"""),"Self Identify")</f>
        <v>Self Identify</v>
      </c>
      <c r="I187" s="6" t="str">
        <f>IFERROR(__xludf.DUMMYFUNCTION("""COMPUTED_VALUE"""),"Middle School")</f>
        <v>Middle School</v>
      </c>
      <c r="J187" s="6" t="str">
        <f>IFERROR(__xludf.DUMMYFUNCTION("""COMPUTED_VALUE"""),"6")</f>
        <v>6</v>
      </c>
      <c r="K187" s="6" t="str">
        <f>IFERROR(__xludf.DUMMYFUNCTION("""COMPUTED_VALUE"""),"matilda.timonen@2hourlearning.com")</f>
        <v>matilda.timonen@2hourlearning.com</v>
      </c>
      <c r="L187" s="6" t="str">
        <f>IFERROR(__xludf.DUMMYFUNCTION("""COMPUTED_VALUE"""),"Alpha Anywhere (homeschool)")</f>
        <v>Alpha Anywhere (homeschool)</v>
      </c>
      <c r="M187" s="6" t="str">
        <f>IFERROR(__xludf.DUMMYFUNCTION("""COMPUTED_VALUE"""),"")</f>
        <v/>
      </c>
      <c r="N187" s="6" t="str">
        <f>IFERROR(__xludf.DUMMYFUNCTION("""COMPUTED_VALUE"""),"")</f>
        <v/>
      </c>
      <c r="O187" s="87" t="str">
        <f>IFERROR(__xludf.DUMMYFUNCTION("""COMPUTED_VALUE"""),"https://drive.google.com/drive/folders/10T2cTQHqEJZqE-st6uFKPoI?usp=share_link")</f>
        <v>https://drive.google.com/drive/folders/10T2cTQHqEJZqE-st6uFKPoI?usp=share_link</v>
      </c>
      <c r="P187" s="6" t="str">
        <f>IFERROR(__xludf.DUMMYFUNCTION("""COMPUTED_VALUE"""),"Matilda Timonen")</f>
        <v>Matilda Timonen</v>
      </c>
      <c r="Q187" s="6" t="str">
        <f>IFERROR(__xludf.DUMMYFUNCTION("""COMPUTED_VALUE"""),"MS")</f>
        <v>MS</v>
      </c>
      <c r="R187" s="6">
        <f>IFERROR(__xludf.DUMMYFUNCTION("""COMPUTED_VALUE"""),0.0)</f>
        <v>0</v>
      </c>
      <c r="S187" s="6" t="str">
        <f>IFERROR(__xludf.DUMMYFUNCTION("""COMPUTED_VALUE""")," ")</f>
        <v> </v>
      </c>
      <c r="T187" s="6" t="str">
        <f>IFERROR(__xludf.DUMMYFUNCTION("""COMPUTED_VALUE"""),"")</f>
        <v/>
      </c>
      <c r="U187" s="6" t="str">
        <f>IFERROR(__xludf.DUMMYFUNCTION("""COMPUTED_VALUE"""),"6")</f>
        <v>6</v>
      </c>
      <c r="V187" s="6" t="str">
        <f>IFERROR(__xludf.DUMMYFUNCTION("""COMPUTED_VALUE"""),"")</f>
        <v/>
      </c>
      <c r="W187" s="6" t="str">
        <f>IFERROR(__xludf.DUMMYFUNCTION("""COMPUTED_VALUE"""),"[]")</f>
        <v>[]</v>
      </c>
      <c r="X187" s="6" t="str">
        <f>IFERROR(__xludf.DUMMYFUNCTION("""COMPUTED_VALUE"""),"Enrolled")</f>
        <v>Enrolled</v>
      </c>
    </row>
    <row r="188">
      <c r="A188" s="6" t="str">
        <f>IFERROR(__xludf.DUMMYFUNCTION("""COMPUTED_VALUE"""),"000-4530")</f>
        <v>000-4530</v>
      </c>
      <c r="B188" s="6" t="str">
        <f>IFERROR(__xludf.DUMMYFUNCTION("""COMPUTED_VALUE"""),"0")</f>
        <v>0</v>
      </c>
      <c r="C188" s="6" t="str">
        <f>IFERROR(__xludf.DUMMYFUNCTION("""COMPUTED_VALUE"""),"4530")</f>
        <v>4530</v>
      </c>
      <c r="D188" s="6" t="str">
        <f>IFERROR(__xludf.DUMMYFUNCTION("""COMPUTED_VALUE"""),"Gavin")</f>
        <v>Gavin</v>
      </c>
      <c r="E188" s="6" t="str">
        <f>IFERROR(__xludf.DUMMYFUNCTION("""COMPUTED_VALUE"""),"")</f>
        <v/>
      </c>
      <c r="F188" s="6" t="str">
        <f>IFERROR(__xludf.DUMMYFUNCTION("""COMPUTED_VALUE"""),"Fett")</f>
        <v>Fett</v>
      </c>
      <c r="G188" s="6" t="str">
        <f>IFERROR(__xludf.DUMMYFUNCTION("""COMPUTED_VALUE"""),"09/03/2014")</f>
        <v>09/03/2014</v>
      </c>
      <c r="H188" s="6" t="str">
        <f>IFERROR(__xludf.DUMMYFUNCTION("""COMPUTED_VALUE"""),"Self Identify")</f>
        <v>Self Identify</v>
      </c>
      <c r="I188" s="6" t="str">
        <f>IFERROR(__xludf.DUMMYFUNCTION("""COMPUTED_VALUE"""),"Level 2")</f>
        <v>Level 2</v>
      </c>
      <c r="J188" s="6" t="str">
        <f>IFERROR(__xludf.DUMMYFUNCTION("""COMPUTED_VALUE"""),"5")</f>
        <v>5</v>
      </c>
      <c r="K188" s="6" t="str">
        <f>IFERROR(__xludf.DUMMYFUNCTION("""COMPUTED_VALUE"""),"gavin.fett@2hourlearning.com")</f>
        <v>gavin.fett@2hourlearning.com</v>
      </c>
      <c r="L188" s="6" t="str">
        <f>IFERROR(__xludf.DUMMYFUNCTION("""COMPUTED_VALUE"""),"Alpha Anywhere (homeschool)")</f>
        <v>Alpha Anywhere (homeschool)</v>
      </c>
      <c r="M188" s="6" t="str">
        <f>IFERROR(__xludf.DUMMYFUNCTION("""COMPUTED_VALUE"""),"")</f>
        <v/>
      </c>
      <c r="N188" s="6" t="str">
        <f>IFERROR(__xludf.DUMMYFUNCTION("""COMPUTED_VALUE"""),"")</f>
        <v/>
      </c>
      <c r="O188" s="87" t="str">
        <f>IFERROR(__xludf.DUMMYFUNCTION("""COMPUTED_VALUE"""),"https://drive.google.com/drive/folders/10T2cTQHqEJZqE-st6uFKPoI?usp=share_link")</f>
        <v>https://drive.google.com/drive/folders/10T2cTQHqEJZqE-st6uFKPoI?usp=share_link</v>
      </c>
      <c r="P188" s="6" t="str">
        <f>IFERROR(__xludf.DUMMYFUNCTION("""COMPUTED_VALUE"""),"Gavin Fett")</f>
        <v>Gavin Fett</v>
      </c>
      <c r="Q188" s="6" t="str">
        <f>IFERROR(__xludf.DUMMYFUNCTION("""COMPUTED_VALUE"""),"L2")</f>
        <v>L2</v>
      </c>
      <c r="R188" s="6">
        <f>IFERROR(__xludf.DUMMYFUNCTION("""COMPUTED_VALUE"""),2.0)</f>
        <v>2</v>
      </c>
      <c r="S188" s="6" t="str">
        <f>IFERROR(__xludf.DUMMYFUNCTION("""COMPUTED_VALUE""")," ")</f>
        <v> </v>
      </c>
      <c r="T188" s="6" t="str">
        <f>IFERROR(__xludf.DUMMYFUNCTION("""COMPUTED_VALUE"""),"")</f>
        <v/>
      </c>
      <c r="U188" s="6" t="str">
        <f>IFERROR(__xludf.DUMMYFUNCTION("""COMPUTED_VALUE"""),"5")</f>
        <v>5</v>
      </c>
      <c r="V188" s="6" t="str">
        <f>IFERROR(__xludf.DUMMYFUNCTION("""COMPUTED_VALUE"""),"")</f>
        <v/>
      </c>
      <c r="W188" s="6" t="str">
        <f>IFERROR(__xludf.DUMMYFUNCTION("""COMPUTED_VALUE"""),"[]")</f>
        <v>[]</v>
      </c>
      <c r="X188" s="6" t="str">
        <f>IFERROR(__xludf.DUMMYFUNCTION("""COMPUTED_VALUE"""),"Enrolled")</f>
        <v>Enrolled</v>
      </c>
    </row>
    <row r="189">
      <c r="A189" s="6" t="str">
        <f>IFERROR(__xludf.DUMMYFUNCTION("""COMPUTED_VALUE"""),"000-4542")</f>
        <v>000-4542</v>
      </c>
      <c r="B189" s="6" t="str">
        <f>IFERROR(__xludf.DUMMYFUNCTION("""COMPUTED_VALUE"""),"0")</f>
        <v>0</v>
      </c>
      <c r="C189" s="6" t="str">
        <f>IFERROR(__xludf.DUMMYFUNCTION("""COMPUTED_VALUE"""),"4542")</f>
        <v>4542</v>
      </c>
      <c r="D189" s="6" t="str">
        <f>IFERROR(__xludf.DUMMYFUNCTION("""COMPUTED_VALUE"""),"Olivia")</f>
        <v>Olivia</v>
      </c>
      <c r="E189" s="6" t="str">
        <f>IFERROR(__xludf.DUMMYFUNCTION("""COMPUTED_VALUE"""),"")</f>
        <v/>
      </c>
      <c r="F189" s="6" t="str">
        <f>IFERROR(__xludf.DUMMYFUNCTION("""COMPUTED_VALUE"""),"Powell")</f>
        <v>Powell</v>
      </c>
      <c r="G189" s="6" t="str">
        <f>IFERROR(__xludf.DUMMYFUNCTION("""COMPUTED_VALUE"""),"03/13/2016")</f>
        <v>03/13/2016</v>
      </c>
      <c r="H189" s="6" t="str">
        <f>IFERROR(__xludf.DUMMYFUNCTION("""COMPUTED_VALUE"""),"Self Identify")</f>
        <v>Self Identify</v>
      </c>
      <c r="I189" s="6" t="str">
        <f>IFERROR(__xludf.DUMMYFUNCTION("""COMPUTED_VALUE"""),"Level 2")</f>
        <v>Level 2</v>
      </c>
      <c r="J189" s="6" t="str">
        <f>IFERROR(__xludf.DUMMYFUNCTION("""COMPUTED_VALUE"""),"4")</f>
        <v>4</v>
      </c>
      <c r="K189" s="6" t="str">
        <f>IFERROR(__xludf.DUMMYFUNCTION("""COMPUTED_VALUE"""),"olivia.powell@2hourlearning.com")</f>
        <v>olivia.powell@2hourlearning.com</v>
      </c>
      <c r="L189" s="6" t="str">
        <f>IFERROR(__xludf.DUMMYFUNCTION("""COMPUTED_VALUE"""),"Alpha Anywhere (homeschool)")</f>
        <v>Alpha Anywhere (homeschool)</v>
      </c>
      <c r="M189" s="6" t="str">
        <f>IFERROR(__xludf.DUMMYFUNCTION("""COMPUTED_VALUE"""),"")</f>
        <v/>
      </c>
      <c r="N189" s="6" t="str">
        <f>IFERROR(__xludf.DUMMYFUNCTION("""COMPUTED_VALUE"""),"")</f>
        <v/>
      </c>
      <c r="O189" s="87" t="str">
        <f>IFERROR(__xludf.DUMMYFUNCTION("""COMPUTED_VALUE"""),"https://drive.google.com/drive/folders/10T2cTQHqEJZqE-st6uFKPoI?usp=share_link")</f>
        <v>https://drive.google.com/drive/folders/10T2cTQHqEJZqE-st6uFKPoI?usp=share_link</v>
      </c>
      <c r="P189" s="6" t="str">
        <f>IFERROR(__xludf.DUMMYFUNCTION("""COMPUTED_VALUE"""),"Olivia Powell")</f>
        <v>Olivia Powell</v>
      </c>
      <c r="Q189" s="6" t="str">
        <f>IFERROR(__xludf.DUMMYFUNCTION("""COMPUTED_VALUE"""),"L2")</f>
        <v>L2</v>
      </c>
      <c r="R189" s="6">
        <f>IFERROR(__xludf.DUMMYFUNCTION("""COMPUTED_VALUE"""),2.0)</f>
        <v>2</v>
      </c>
      <c r="S189" s="6" t="str">
        <f>IFERROR(__xludf.DUMMYFUNCTION("""COMPUTED_VALUE""")," ")</f>
        <v> </v>
      </c>
      <c r="T189" s="6" t="str">
        <f>IFERROR(__xludf.DUMMYFUNCTION("""COMPUTED_VALUE"""),"")</f>
        <v/>
      </c>
      <c r="U189" s="6" t="str">
        <f>IFERROR(__xludf.DUMMYFUNCTION("""COMPUTED_VALUE"""),"4")</f>
        <v>4</v>
      </c>
      <c r="V189" s="6" t="str">
        <f>IFERROR(__xludf.DUMMYFUNCTION("""COMPUTED_VALUE"""),"")</f>
        <v/>
      </c>
      <c r="W189" s="6" t="str">
        <f>IFERROR(__xludf.DUMMYFUNCTION("""COMPUTED_VALUE"""),"[]")</f>
        <v>[]</v>
      </c>
      <c r="X189" s="6" t="str">
        <f>IFERROR(__xludf.DUMMYFUNCTION("""COMPUTED_VALUE"""),"Enrolled")</f>
        <v>Enrolled</v>
      </c>
    </row>
    <row r="190">
      <c r="A190" s="6" t="str">
        <f>IFERROR(__xludf.DUMMYFUNCTION("""COMPUTED_VALUE"""),"000-4549")</f>
        <v>000-4549</v>
      </c>
      <c r="B190" s="6" t="str">
        <f>IFERROR(__xludf.DUMMYFUNCTION("""COMPUTED_VALUE"""),"0")</f>
        <v>0</v>
      </c>
      <c r="C190" s="6" t="str">
        <f>IFERROR(__xludf.DUMMYFUNCTION("""COMPUTED_VALUE"""),"4549")</f>
        <v>4549</v>
      </c>
      <c r="D190" s="6" t="str">
        <f>IFERROR(__xludf.DUMMYFUNCTION("""COMPUTED_VALUE"""),"Malaya")</f>
        <v>Malaya</v>
      </c>
      <c r="E190" s="6" t="str">
        <f>IFERROR(__xludf.DUMMYFUNCTION("""COMPUTED_VALUE"""),"")</f>
        <v/>
      </c>
      <c r="F190" s="6" t="str">
        <f>IFERROR(__xludf.DUMMYFUNCTION("""COMPUTED_VALUE"""),"Hauber")</f>
        <v>Hauber</v>
      </c>
      <c r="G190" s="6" t="str">
        <f>IFERROR(__xludf.DUMMYFUNCTION("""COMPUTED_VALUE"""),"09/04/2015")</f>
        <v>09/04/2015</v>
      </c>
      <c r="H190" s="6" t="str">
        <f>IFERROR(__xludf.DUMMYFUNCTION("""COMPUTED_VALUE"""),"Self Identify")</f>
        <v>Self Identify</v>
      </c>
      <c r="I190" s="6" t="str">
        <f>IFERROR(__xludf.DUMMYFUNCTION("""COMPUTED_VALUE"""),"Level 2")</f>
        <v>Level 2</v>
      </c>
      <c r="J190" s="6" t="str">
        <f>IFERROR(__xludf.DUMMYFUNCTION("""COMPUTED_VALUE"""),"4")</f>
        <v>4</v>
      </c>
      <c r="K190" s="6" t="str">
        <f>IFERROR(__xludf.DUMMYFUNCTION("""COMPUTED_VALUE"""),"malaya.hauber@2hourlearning.com")</f>
        <v>malaya.hauber@2hourlearning.com</v>
      </c>
      <c r="L190" s="6" t="str">
        <f>IFERROR(__xludf.DUMMYFUNCTION("""COMPUTED_VALUE"""),"Alpha Anywhere (homeschool)")</f>
        <v>Alpha Anywhere (homeschool)</v>
      </c>
      <c r="M190" s="6" t="str">
        <f>IFERROR(__xludf.DUMMYFUNCTION("""COMPUTED_VALUE"""),"")</f>
        <v/>
      </c>
      <c r="N190" s="6" t="str">
        <f>IFERROR(__xludf.DUMMYFUNCTION("""COMPUTED_VALUE"""),"")</f>
        <v/>
      </c>
      <c r="O190" s="87" t="str">
        <f>IFERROR(__xludf.DUMMYFUNCTION("""COMPUTED_VALUE"""),"https://drive.google.com/drive/folders/10T2cTQHqEJZqE-st6uFKPoI?usp=share_link")</f>
        <v>https://drive.google.com/drive/folders/10T2cTQHqEJZqE-st6uFKPoI?usp=share_link</v>
      </c>
      <c r="P190" s="6" t="str">
        <f>IFERROR(__xludf.DUMMYFUNCTION("""COMPUTED_VALUE"""),"Malaya Hauber")</f>
        <v>Malaya Hauber</v>
      </c>
      <c r="Q190" s="6" t="str">
        <f>IFERROR(__xludf.DUMMYFUNCTION("""COMPUTED_VALUE"""),"L2")</f>
        <v>L2</v>
      </c>
      <c r="R190" s="6">
        <f>IFERROR(__xludf.DUMMYFUNCTION("""COMPUTED_VALUE"""),2.0)</f>
        <v>2</v>
      </c>
      <c r="S190" s="6" t="str">
        <f>IFERROR(__xludf.DUMMYFUNCTION("""COMPUTED_VALUE""")," ")</f>
        <v> </v>
      </c>
      <c r="T190" s="6" t="str">
        <f>IFERROR(__xludf.DUMMYFUNCTION("""COMPUTED_VALUE"""),"")</f>
        <v/>
      </c>
      <c r="U190" s="6" t="str">
        <f>IFERROR(__xludf.DUMMYFUNCTION("""COMPUTED_VALUE"""),"4")</f>
        <v>4</v>
      </c>
      <c r="V190" s="6" t="str">
        <f>IFERROR(__xludf.DUMMYFUNCTION("""COMPUTED_VALUE"""),"")</f>
        <v/>
      </c>
      <c r="W190" s="6" t="str">
        <f>IFERROR(__xludf.DUMMYFUNCTION("""COMPUTED_VALUE"""),"[]")</f>
        <v>[]</v>
      </c>
      <c r="X190" s="6" t="str">
        <f>IFERROR(__xludf.DUMMYFUNCTION("""COMPUTED_VALUE"""),"Enrolled")</f>
        <v>Enrolled</v>
      </c>
    </row>
    <row r="191">
      <c r="A191" s="6" t="str">
        <f>IFERROR(__xludf.DUMMYFUNCTION("""COMPUTED_VALUE"""),"000-4581")</f>
        <v>000-4581</v>
      </c>
      <c r="B191" s="6" t="str">
        <f>IFERROR(__xludf.DUMMYFUNCTION("""COMPUTED_VALUE"""),"0")</f>
        <v>0</v>
      </c>
      <c r="C191" s="6" t="str">
        <f>IFERROR(__xludf.DUMMYFUNCTION("""COMPUTED_VALUE"""),"4581")</f>
        <v>4581</v>
      </c>
      <c r="D191" s="6" t="str">
        <f>IFERROR(__xludf.DUMMYFUNCTION("""COMPUTED_VALUE"""),"Rallie")</f>
        <v>Rallie</v>
      </c>
      <c r="E191" s="6" t="str">
        <f>IFERROR(__xludf.DUMMYFUNCTION("""COMPUTED_VALUE"""),"")</f>
        <v/>
      </c>
      <c r="F191" s="6" t="str">
        <f>IFERROR(__xludf.DUMMYFUNCTION("""COMPUTED_VALUE"""),"Hauber")</f>
        <v>Hauber</v>
      </c>
      <c r="G191" s="6" t="str">
        <f>IFERROR(__xludf.DUMMYFUNCTION("""COMPUTED_VALUE"""),"06/28/2013")</f>
        <v>06/28/2013</v>
      </c>
      <c r="H191" s="6" t="str">
        <f>IFERROR(__xludf.DUMMYFUNCTION("""COMPUTED_VALUE"""),"Self Identify")</f>
        <v>Self Identify</v>
      </c>
      <c r="I191" s="6" t="str">
        <f>IFERROR(__xludf.DUMMYFUNCTION("""COMPUTED_VALUE"""),"Middle School")</f>
        <v>Middle School</v>
      </c>
      <c r="J191" s="6" t="str">
        <f>IFERROR(__xludf.DUMMYFUNCTION("""COMPUTED_VALUE"""),"6")</f>
        <v>6</v>
      </c>
      <c r="K191" s="6" t="str">
        <f>IFERROR(__xludf.DUMMYFUNCTION("""COMPUTED_VALUE"""),"rallie.hauber@2hourlearning.com")</f>
        <v>rallie.hauber@2hourlearning.com</v>
      </c>
      <c r="L191" s="6" t="str">
        <f>IFERROR(__xludf.DUMMYFUNCTION("""COMPUTED_VALUE"""),"Alpha Anywhere (homeschool)")</f>
        <v>Alpha Anywhere (homeschool)</v>
      </c>
      <c r="M191" s="6" t="str">
        <f>IFERROR(__xludf.DUMMYFUNCTION("""COMPUTED_VALUE"""),"")</f>
        <v/>
      </c>
      <c r="N191" s="6" t="str">
        <f>IFERROR(__xludf.DUMMYFUNCTION("""COMPUTED_VALUE"""),"")</f>
        <v/>
      </c>
      <c r="O191" s="87" t="str">
        <f>IFERROR(__xludf.DUMMYFUNCTION("""COMPUTED_VALUE"""),"https://drive.google.com/drive/folders/10T2cTQHqEJZqE-st6uFKPoI?usp=share_link")</f>
        <v>https://drive.google.com/drive/folders/10T2cTQHqEJZqE-st6uFKPoI?usp=share_link</v>
      </c>
      <c r="P191" s="6" t="str">
        <f>IFERROR(__xludf.DUMMYFUNCTION("""COMPUTED_VALUE"""),"Rallie Hauber")</f>
        <v>Rallie Hauber</v>
      </c>
      <c r="Q191" s="6" t="str">
        <f>IFERROR(__xludf.DUMMYFUNCTION("""COMPUTED_VALUE"""),"MS")</f>
        <v>MS</v>
      </c>
      <c r="R191" s="6">
        <f>IFERROR(__xludf.DUMMYFUNCTION("""COMPUTED_VALUE"""),0.0)</f>
        <v>0</v>
      </c>
      <c r="S191" s="6" t="str">
        <f>IFERROR(__xludf.DUMMYFUNCTION("""COMPUTED_VALUE""")," ")</f>
        <v> </v>
      </c>
      <c r="T191" s="6" t="str">
        <f>IFERROR(__xludf.DUMMYFUNCTION("""COMPUTED_VALUE"""),"")</f>
        <v/>
      </c>
      <c r="U191" s="6" t="str">
        <f>IFERROR(__xludf.DUMMYFUNCTION("""COMPUTED_VALUE"""),"6")</f>
        <v>6</v>
      </c>
      <c r="V191" s="6" t="str">
        <f>IFERROR(__xludf.DUMMYFUNCTION("""COMPUTED_VALUE"""),"")</f>
        <v/>
      </c>
      <c r="W191" s="6" t="str">
        <f>IFERROR(__xludf.DUMMYFUNCTION("""COMPUTED_VALUE"""),"[]")</f>
        <v>[]</v>
      </c>
      <c r="X191" s="6" t="str">
        <f>IFERROR(__xludf.DUMMYFUNCTION("""COMPUTED_VALUE"""),"Enrolled")</f>
        <v>Enrolled</v>
      </c>
    </row>
    <row r="192">
      <c r="A192" s="6" t="str">
        <f>IFERROR(__xludf.DUMMYFUNCTION("""COMPUTED_VALUE"""),"000-4586")</f>
        <v>000-4586</v>
      </c>
      <c r="B192" s="6" t="str">
        <f>IFERROR(__xludf.DUMMYFUNCTION("""COMPUTED_VALUE"""),"0")</f>
        <v>0</v>
      </c>
      <c r="C192" s="6" t="str">
        <f>IFERROR(__xludf.DUMMYFUNCTION("""COMPUTED_VALUE"""),"4586")</f>
        <v>4586</v>
      </c>
      <c r="D192" s="6" t="str">
        <f>IFERROR(__xludf.DUMMYFUNCTION("""COMPUTED_VALUE"""),"Kiana")</f>
        <v>Kiana</v>
      </c>
      <c r="E192" s="6" t="str">
        <f>IFERROR(__xludf.DUMMYFUNCTION("""COMPUTED_VALUE"""),"")</f>
        <v/>
      </c>
      <c r="F192" s="6" t="str">
        <f>IFERROR(__xludf.DUMMYFUNCTION("""COMPUTED_VALUE"""),"Karlin")</f>
        <v>Karlin</v>
      </c>
      <c r="G192" s="6" t="str">
        <f>IFERROR(__xludf.DUMMYFUNCTION("""COMPUTED_VALUE"""),"03/22/2013")</f>
        <v>03/22/2013</v>
      </c>
      <c r="H192" s="6" t="str">
        <f>IFERROR(__xludf.DUMMYFUNCTION("""COMPUTED_VALUE"""),"Self Identify")</f>
        <v>Self Identify</v>
      </c>
      <c r="I192" s="6" t="str">
        <f>IFERROR(__xludf.DUMMYFUNCTION("""COMPUTED_VALUE"""),"Middle School")</f>
        <v>Middle School</v>
      </c>
      <c r="J192" s="6" t="str">
        <f>IFERROR(__xludf.DUMMYFUNCTION("""COMPUTED_VALUE"""),"7")</f>
        <v>7</v>
      </c>
      <c r="K192" s="6" t="str">
        <f>IFERROR(__xludf.DUMMYFUNCTION("""COMPUTED_VALUE"""),"kiana.karlin@2hourlearning.com")</f>
        <v>kiana.karlin@2hourlearning.com</v>
      </c>
      <c r="L192" s="6" t="str">
        <f>IFERROR(__xludf.DUMMYFUNCTION("""COMPUTED_VALUE"""),"Alpha Anywhere (homeschool)")</f>
        <v>Alpha Anywhere (homeschool)</v>
      </c>
      <c r="M192" s="6" t="str">
        <f>IFERROR(__xludf.DUMMYFUNCTION("""COMPUTED_VALUE"""),"")</f>
        <v/>
      </c>
      <c r="N192" s="6" t="str">
        <f>IFERROR(__xludf.DUMMYFUNCTION("""COMPUTED_VALUE"""),"")</f>
        <v/>
      </c>
      <c r="O192" s="87" t="str">
        <f>IFERROR(__xludf.DUMMYFUNCTION("""COMPUTED_VALUE"""),"https://drive.google.com/drive/folders/10T2cTQHqEJZqE-st6uFKPoI?usp=share_link")</f>
        <v>https://drive.google.com/drive/folders/10T2cTQHqEJZqE-st6uFKPoI?usp=share_link</v>
      </c>
      <c r="P192" s="6" t="str">
        <f>IFERROR(__xludf.DUMMYFUNCTION("""COMPUTED_VALUE"""),"Kiana Karlin")</f>
        <v>Kiana Karlin</v>
      </c>
      <c r="Q192" s="6" t="str">
        <f>IFERROR(__xludf.DUMMYFUNCTION("""COMPUTED_VALUE"""),"MS")</f>
        <v>MS</v>
      </c>
      <c r="R192" s="6">
        <f>IFERROR(__xludf.DUMMYFUNCTION("""COMPUTED_VALUE"""),0.0)</f>
        <v>0</v>
      </c>
      <c r="S192" s="6" t="str">
        <f>IFERROR(__xludf.DUMMYFUNCTION("""COMPUTED_VALUE""")," ")</f>
        <v> </v>
      </c>
      <c r="T192" s="6" t="str">
        <f>IFERROR(__xludf.DUMMYFUNCTION("""COMPUTED_VALUE"""),"")</f>
        <v/>
      </c>
      <c r="U192" s="6" t="str">
        <f>IFERROR(__xludf.DUMMYFUNCTION("""COMPUTED_VALUE"""),"7")</f>
        <v>7</v>
      </c>
      <c r="V192" s="6" t="str">
        <f>IFERROR(__xludf.DUMMYFUNCTION("""COMPUTED_VALUE"""),"")</f>
        <v/>
      </c>
      <c r="W192" s="6" t="str">
        <f>IFERROR(__xludf.DUMMYFUNCTION("""COMPUTED_VALUE"""),"[]")</f>
        <v>[]</v>
      </c>
      <c r="X192" s="6" t="str">
        <f>IFERROR(__xludf.DUMMYFUNCTION("""COMPUTED_VALUE"""),"Enrolled")</f>
        <v>Enrolled</v>
      </c>
    </row>
    <row r="193">
      <c r="A193" s="6" t="str">
        <f>IFERROR(__xludf.DUMMYFUNCTION("""COMPUTED_VALUE"""),"000-4587")</f>
        <v>000-4587</v>
      </c>
      <c r="B193" s="6" t="str">
        <f>IFERROR(__xludf.DUMMYFUNCTION("""COMPUTED_VALUE"""),"0")</f>
        <v>0</v>
      </c>
      <c r="C193" s="6" t="str">
        <f>IFERROR(__xludf.DUMMYFUNCTION("""COMPUTED_VALUE"""),"4587")</f>
        <v>4587</v>
      </c>
      <c r="D193" s="6" t="str">
        <f>IFERROR(__xludf.DUMMYFUNCTION("""COMPUTED_VALUE"""),"Lorenzo")</f>
        <v>Lorenzo</v>
      </c>
      <c r="E193" s="6" t="str">
        <f>IFERROR(__xludf.DUMMYFUNCTION("""COMPUTED_VALUE"""),"")</f>
        <v/>
      </c>
      <c r="F193" s="6" t="str">
        <f>IFERROR(__xludf.DUMMYFUNCTION("""COMPUTED_VALUE"""),"Karlin")</f>
        <v>Karlin</v>
      </c>
      <c r="G193" s="6" t="str">
        <f>IFERROR(__xludf.DUMMYFUNCTION("""COMPUTED_VALUE"""),"03/22/2013")</f>
        <v>03/22/2013</v>
      </c>
      <c r="H193" s="6" t="str">
        <f>IFERROR(__xludf.DUMMYFUNCTION("""COMPUTED_VALUE"""),"Self Identify")</f>
        <v>Self Identify</v>
      </c>
      <c r="I193" s="6" t="str">
        <f>IFERROR(__xludf.DUMMYFUNCTION("""COMPUTED_VALUE"""),"Middle School")</f>
        <v>Middle School</v>
      </c>
      <c r="J193" s="6" t="str">
        <f>IFERROR(__xludf.DUMMYFUNCTION("""COMPUTED_VALUE"""),"7")</f>
        <v>7</v>
      </c>
      <c r="K193" s="6" t="str">
        <f>IFERROR(__xludf.DUMMYFUNCTION("""COMPUTED_VALUE"""),"lorenzo.karlin@2hourlearning.com")</f>
        <v>lorenzo.karlin@2hourlearning.com</v>
      </c>
      <c r="L193" s="6" t="str">
        <f>IFERROR(__xludf.DUMMYFUNCTION("""COMPUTED_VALUE"""),"Alpha Anywhere (homeschool)")</f>
        <v>Alpha Anywhere (homeschool)</v>
      </c>
      <c r="M193" s="6" t="str">
        <f>IFERROR(__xludf.DUMMYFUNCTION("""COMPUTED_VALUE"""),"")</f>
        <v/>
      </c>
      <c r="N193" s="6" t="str">
        <f>IFERROR(__xludf.DUMMYFUNCTION("""COMPUTED_VALUE"""),"")</f>
        <v/>
      </c>
      <c r="O193" s="87" t="str">
        <f>IFERROR(__xludf.DUMMYFUNCTION("""COMPUTED_VALUE"""),"https://drive.google.com/drive/folders/10T2cTQHqEJZqE-st6uFKPoI?usp=share_link")</f>
        <v>https://drive.google.com/drive/folders/10T2cTQHqEJZqE-st6uFKPoI?usp=share_link</v>
      </c>
      <c r="P193" s="6" t="str">
        <f>IFERROR(__xludf.DUMMYFUNCTION("""COMPUTED_VALUE"""),"Lorenzo Karlin")</f>
        <v>Lorenzo Karlin</v>
      </c>
      <c r="Q193" s="6" t="str">
        <f>IFERROR(__xludf.DUMMYFUNCTION("""COMPUTED_VALUE"""),"MS")</f>
        <v>MS</v>
      </c>
      <c r="R193" s="6">
        <f>IFERROR(__xludf.DUMMYFUNCTION("""COMPUTED_VALUE"""),0.0)</f>
        <v>0</v>
      </c>
      <c r="S193" s="6" t="str">
        <f>IFERROR(__xludf.DUMMYFUNCTION("""COMPUTED_VALUE""")," ")</f>
        <v> </v>
      </c>
      <c r="T193" s="6" t="str">
        <f>IFERROR(__xludf.DUMMYFUNCTION("""COMPUTED_VALUE"""),"")</f>
        <v/>
      </c>
      <c r="U193" s="6" t="str">
        <f>IFERROR(__xludf.DUMMYFUNCTION("""COMPUTED_VALUE"""),"7")</f>
        <v>7</v>
      </c>
      <c r="V193" s="6" t="str">
        <f>IFERROR(__xludf.DUMMYFUNCTION("""COMPUTED_VALUE"""),"")</f>
        <v/>
      </c>
      <c r="W193" s="6" t="str">
        <f>IFERROR(__xludf.DUMMYFUNCTION("""COMPUTED_VALUE"""),"[]")</f>
        <v>[]</v>
      </c>
      <c r="X193" s="6" t="str">
        <f>IFERROR(__xludf.DUMMYFUNCTION("""COMPUTED_VALUE"""),"Enrolled")</f>
        <v>Enrolled</v>
      </c>
    </row>
    <row r="194">
      <c r="A194" s="6" t="str">
        <f>IFERROR(__xludf.DUMMYFUNCTION("""COMPUTED_VALUE"""),"000-4589")</f>
        <v>000-4589</v>
      </c>
      <c r="B194" s="6" t="str">
        <f>IFERROR(__xludf.DUMMYFUNCTION("""COMPUTED_VALUE"""),"0")</f>
        <v>0</v>
      </c>
      <c r="C194" s="6" t="str">
        <f>IFERROR(__xludf.DUMMYFUNCTION("""COMPUTED_VALUE"""),"4589")</f>
        <v>4589</v>
      </c>
      <c r="D194" s="6" t="str">
        <f>IFERROR(__xludf.DUMMYFUNCTION("""COMPUTED_VALUE"""),"Oaklen")</f>
        <v>Oaklen</v>
      </c>
      <c r="E194" s="6" t="str">
        <f>IFERROR(__xludf.DUMMYFUNCTION("""COMPUTED_VALUE"""),"")</f>
        <v/>
      </c>
      <c r="F194" s="6" t="str">
        <f>IFERROR(__xludf.DUMMYFUNCTION("""COMPUTED_VALUE"""),"Fett")</f>
        <v>Fett</v>
      </c>
      <c r="G194" s="6" t="str">
        <f>IFERROR(__xludf.DUMMYFUNCTION("""COMPUTED_VALUE"""),"07/27/2016")</f>
        <v>07/27/2016</v>
      </c>
      <c r="H194" s="6" t="str">
        <f>IFERROR(__xludf.DUMMYFUNCTION("""COMPUTED_VALUE"""),"Self Identify")</f>
        <v>Self Identify</v>
      </c>
      <c r="I194" s="6" t="str">
        <f>IFERROR(__xludf.DUMMYFUNCTION("""COMPUTED_VALUE"""),"Level 1")</f>
        <v>Level 1</v>
      </c>
      <c r="J194" s="6" t="str">
        <f>IFERROR(__xludf.DUMMYFUNCTION("""COMPUTED_VALUE"""),"3")</f>
        <v>3</v>
      </c>
      <c r="K194" s="6" t="str">
        <f>IFERROR(__xludf.DUMMYFUNCTION("""COMPUTED_VALUE"""),"oaklen.fett@2hourlearning.com")</f>
        <v>oaklen.fett@2hourlearning.com</v>
      </c>
      <c r="L194" s="6" t="str">
        <f>IFERROR(__xludf.DUMMYFUNCTION("""COMPUTED_VALUE"""),"Alpha Anywhere (homeschool)")</f>
        <v>Alpha Anywhere (homeschool)</v>
      </c>
      <c r="M194" s="6" t="str">
        <f>IFERROR(__xludf.DUMMYFUNCTION("""COMPUTED_VALUE"""),"")</f>
        <v/>
      </c>
      <c r="N194" s="6" t="str">
        <f>IFERROR(__xludf.DUMMYFUNCTION("""COMPUTED_VALUE"""),"")</f>
        <v/>
      </c>
      <c r="O194" s="87" t="str">
        <f>IFERROR(__xludf.DUMMYFUNCTION("""COMPUTED_VALUE"""),"https://drive.google.com/drive/folders/10T2cTQHqEJZqE-st6uFKPoI?usp=share_link")</f>
        <v>https://drive.google.com/drive/folders/10T2cTQHqEJZqE-st6uFKPoI?usp=share_link</v>
      </c>
      <c r="P194" s="6" t="str">
        <f>IFERROR(__xludf.DUMMYFUNCTION("""COMPUTED_VALUE"""),"Oaklen Fett")</f>
        <v>Oaklen Fett</v>
      </c>
      <c r="Q194" s="6" t="str">
        <f>IFERROR(__xludf.DUMMYFUNCTION("""COMPUTED_VALUE"""),"L1")</f>
        <v>L1</v>
      </c>
      <c r="R194" s="6">
        <f>IFERROR(__xludf.DUMMYFUNCTION("""COMPUTED_VALUE"""),1.0)</f>
        <v>1</v>
      </c>
      <c r="S194" s="6" t="str">
        <f>IFERROR(__xludf.DUMMYFUNCTION("""COMPUTED_VALUE""")," ")</f>
        <v> </v>
      </c>
      <c r="T194" s="6" t="str">
        <f>IFERROR(__xludf.DUMMYFUNCTION("""COMPUTED_VALUE"""),"")</f>
        <v/>
      </c>
      <c r="U194" s="6" t="str">
        <f>IFERROR(__xludf.DUMMYFUNCTION("""COMPUTED_VALUE"""),"3")</f>
        <v>3</v>
      </c>
      <c r="V194" s="6" t="str">
        <f>IFERROR(__xludf.DUMMYFUNCTION("""COMPUTED_VALUE"""),"")</f>
        <v/>
      </c>
      <c r="W194" s="6" t="str">
        <f>IFERROR(__xludf.DUMMYFUNCTION("""COMPUTED_VALUE"""),"[]")</f>
        <v>[]</v>
      </c>
      <c r="X194" s="6" t="str">
        <f>IFERROR(__xludf.DUMMYFUNCTION("""COMPUTED_VALUE"""),"Enrolled")</f>
        <v>Enrolled</v>
      </c>
    </row>
    <row r="195">
      <c r="A195" s="6" t="str">
        <f>IFERROR(__xludf.DUMMYFUNCTION("""COMPUTED_VALUE"""),"000-4591")</f>
        <v>000-4591</v>
      </c>
      <c r="B195" s="6" t="str">
        <f>IFERROR(__xludf.DUMMYFUNCTION("""COMPUTED_VALUE"""),"0")</f>
        <v>0</v>
      </c>
      <c r="C195" s="6" t="str">
        <f>IFERROR(__xludf.DUMMYFUNCTION("""COMPUTED_VALUE"""),"4591")</f>
        <v>4591</v>
      </c>
      <c r="D195" s="6" t="str">
        <f>IFERROR(__xludf.DUMMYFUNCTION("""COMPUTED_VALUE"""),"Marco")</f>
        <v>Marco</v>
      </c>
      <c r="E195" s="6" t="str">
        <f>IFERROR(__xludf.DUMMYFUNCTION("""COMPUTED_VALUE"""),"")</f>
        <v/>
      </c>
      <c r="F195" s="6" t="str">
        <f>IFERROR(__xludf.DUMMYFUNCTION("""COMPUTED_VALUE"""),"Meyers")</f>
        <v>Meyers</v>
      </c>
      <c r="G195" s="6" t="str">
        <f>IFERROR(__xludf.DUMMYFUNCTION("""COMPUTED_VALUE"""),"03/03/2016")</f>
        <v>03/03/2016</v>
      </c>
      <c r="H195" s="6" t="str">
        <f>IFERROR(__xludf.DUMMYFUNCTION("""COMPUTED_VALUE"""),"Self Identify")</f>
        <v>Self Identify</v>
      </c>
      <c r="I195" s="6" t="str">
        <f>IFERROR(__xludf.DUMMYFUNCTION("""COMPUTED_VALUE"""),"Level 2")</f>
        <v>Level 2</v>
      </c>
      <c r="J195" s="6" t="str">
        <f>IFERROR(__xludf.DUMMYFUNCTION("""COMPUTED_VALUE"""),"4")</f>
        <v>4</v>
      </c>
      <c r="K195" s="6" t="str">
        <f>IFERROR(__xludf.DUMMYFUNCTION("""COMPUTED_VALUE"""),"marco.meyers@2hourlearning.com")</f>
        <v>marco.meyers@2hourlearning.com</v>
      </c>
      <c r="L195" s="6" t="str">
        <f>IFERROR(__xludf.DUMMYFUNCTION("""COMPUTED_VALUE"""),"Alpha Anywhere (homeschool)")</f>
        <v>Alpha Anywhere (homeschool)</v>
      </c>
      <c r="M195" s="6" t="str">
        <f>IFERROR(__xludf.DUMMYFUNCTION("""COMPUTED_VALUE"""),"")</f>
        <v/>
      </c>
      <c r="N195" s="6" t="str">
        <f>IFERROR(__xludf.DUMMYFUNCTION("""COMPUTED_VALUE"""),"")</f>
        <v/>
      </c>
      <c r="O195" s="87" t="str">
        <f>IFERROR(__xludf.DUMMYFUNCTION("""COMPUTED_VALUE"""),"https://drive.google.com/drive/folders/10T2cTQHqEJZqE-st6uFKPoI?usp=share_link")</f>
        <v>https://drive.google.com/drive/folders/10T2cTQHqEJZqE-st6uFKPoI?usp=share_link</v>
      </c>
      <c r="P195" s="6" t="str">
        <f>IFERROR(__xludf.DUMMYFUNCTION("""COMPUTED_VALUE"""),"Marco Meyers")</f>
        <v>Marco Meyers</v>
      </c>
      <c r="Q195" s="6" t="str">
        <f>IFERROR(__xludf.DUMMYFUNCTION("""COMPUTED_VALUE"""),"L2")</f>
        <v>L2</v>
      </c>
      <c r="R195" s="6">
        <f>IFERROR(__xludf.DUMMYFUNCTION("""COMPUTED_VALUE"""),2.0)</f>
        <v>2</v>
      </c>
      <c r="S195" s="6" t="str">
        <f>IFERROR(__xludf.DUMMYFUNCTION("""COMPUTED_VALUE""")," ")</f>
        <v> </v>
      </c>
      <c r="T195" s="6" t="str">
        <f>IFERROR(__xludf.DUMMYFUNCTION("""COMPUTED_VALUE"""),"")</f>
        <v/>
      </c>
      <c r="U195" s="6" t="str">
        <f>IFERROR(__xludf.DUMMYFUNCTION("""COMPUTED_VALUE"""),"4")</f>
        <v>4</v>
      </c>
      <c r="V195" s="6" t="str">
        <f>IFERROR(__xludf.DUMMYFUNCTION("""COMPUTED_VALUE"""),"")</f>
        <v/>
      </c>
      <c r="W195" s="6" t="str">
        <f>IFERROR(__xludf.DUMMYFUNCTION("""COMPUTED_VALUE"""),"[]")</f>
        <v>[]</v>
      </c>
      <c r="X195" s="6" t="str">
        <f>IFERROR(__xludf.DUMMYFUNCTION("""COMPUTED_VALUE"""),"Enrolled")</f>
        <v>Enrolled</v>
      </c>
    </row>
    <row r="196">
      <c r="A196" s="6" t="str">
        <f>IFERROR(__xludf.DUMMYFUNCTION("""COMPUTED_VALUE"""),"000-4613")</f>
        <v>000-4613</v>
      </c>
      <c r="B196" s="6" t="str">
        <f>IFERROR(__xludf.DUMMYFUNCTION("""COMPUTED_VALUE"""),"0")</f>
        <v>0</v>
      </c>
      <c r="C196" s="6" t="str">
        <f>IFERROR(__xludf.DUMMYFUNCTION("""COMPUTED_VALUE"""),"4613")</f>
        <v>4613</v>
      </c>
      <c r="D196" s="6" t="str">
        <f>IFERROR(__xludf.DUMMYFUNCTION("""COMPUTED_VALUE"""),"Zahra")</f>
        <v>Zahra</v>
      </c>
      <c r="E196" s="6" t="str">
        <f>IFERROR(__xludf.DUMMYFUNCTION("""COMPUTED_VALUE"""),"")</f>
        <v/>
      </c>
      <c r="F196" s="6" t="str">
        <f>IFERROR(__xludf.DUMMYFUNCTION("""COMPUTED_VALUE"""),"Malik")</f>
        <v>Malik</v>
      </c>
      <c r="G196" s="6" t="str">
        <f>IFERROR(__xludf.DUMMYFUNCTION("""COMPUTED_VALUE"""),"08/26/2017")</f>
        <v>08/26/2017</v>
      </c>
      <c r="H196" s="6" t="str">
        <f>IFERROR(__xludf.DUMMYFUNCTION("""COMPUTED_VALUE"""),"Self Identify")</f>
        <v>Self Identify</v>
      </c>
      <c r="I196" s="6" t="str">
        <f>IFERROR(__xludf.DUMMYFUNCTION("""COMPUTED_VALUE"""),"Level 2")</f>
        <v>Level 2</v>
      </c>
      <c r="J196" s="6" t="str">
        <f>IFERROR(__xludf.DUMMYFUNCTION("""COMPUTED_VALUE"""),"4")</f>
        <v>4</v>
      </c>
      <c r="K196" s="6" t="str">
        <f>IFERROR(__xludf.DUMMYFUNCTION("""COMPUTED_VALUE"""),"zahra.malik@2hourlearning.com")</f>
        <v>zahra.malik@2hourlearning.com</v>
      </c>
      <c r="L196" s="6" t="str">
        <f>IFERROR(__xludf.DUMMYFUNCTION("""COMPUTED_VALUE"""),"Alpha Anywhere (homeschool)")</f>
        <v>Alpha Anywhere (homeschool)</v>
      </c>
      <c r="M196" s="6" t="str">
        <f>IFERROR(__xludf.DUMMYFUNCTION("""COMPUTED_VALUE"""),"")</f>
        <v/>
      </c>
      <c r="N196" s="6" t="str">
        <f>IFERROR(__xludf.DUMMYFUNCTION("""COMPUTED_VALUE"""),"")</f>
        <v/>
      </c>
      <c r="O196" s="87" t="str">
        <f>IFERROR(__xludf.DUMMYFUNCTION("""COMPUTED_VALUE"""),"https://drive.google.com/drive/folders/10T2cTQHqEJZqE-st6uFKPoI?usp=share_link")</f>
        <v>https://drive.google.com/drive/folders/10T2cTQHqEJZqE-st6uFKPoI?usp=share_link</v>
      </c>
      <c r="P196" s="6" t="str">
        <f>IFERROR(__xludf.DUMMYFUNCTION("""COMPUTED_VALUE"""),"Zahra Malik")</f>
        <v>Zahra Malik</v>
      </c>
      <c r="Q196" s="6" t="str">
        <f>IFERROR(__xludf.DUMMYFUNCTION("""COMPUTED_VALUE"""),"L2")</f>
        <v>L2</v>
      </c>
      <c r="R196" s="6">
        <f>IFERROR(__xludf.DUMMYFUNCTION("""COMPUTED_VALUE"""),2.0)</f>
        <v>2</v>
      </c>
      <c r="S196" s="6" t="str">
        <f>IFERROR(__xludf.DUMMYFUNCTION("""COMPUTED_VALUE""")," ")</f>
        <v> </v>
      </c>
      <c r="T196" s="6" t="str">
        <f>IFERROR(__xludf.DUMMYFUNCTION("""COMPUTED_VALUE"""),"")</f>
        <v/>
      </c>
      <c r="U196" s="6" t="str">
        <f>IFERROR(__xludf.DUMMYFUNCTION("""COMPUTED_VALUE"""),"4")</f>
        <v>4</v>
      </c>
      <c r="V196" s="6" t="str">
        <f>IFERROR(__xludf.DUMMYFUNCTION("""COMPUTED_VALUE"""),"")</f>
        <v/>
      </c>
      <c r="W196" s="6" t="str">
        <f>IFERROR(__xludf.DUMMYFUNCTION("""COMPUTED_VALUE"""),"[]")</f>
        <v>[]</v>
      </c>
      <c r="X196" s="6" t="str">
        <f>IFERROR(__xludf.DUMMYFUNCTION("""COMPUTED_VALUE"""),"Enrolled")</f>
        <v>Enrolled</v>
      </c>
    </row>
    <row r="197">
      <c r="A197" s="6" t="str">
        <f>IFERROR(__xludf.DUMMYFUNCTION("""COMPUTED_VALUE"""),"000-4625")</f>
        <v>000-4625</v>
      </c>
      <c r="B197" s="6" t="str">
        <f>IFERROR(__xludf.DUMMYFUNCTION("""COMPUTED_VALUE"""),"0")</f>
        <v>0</v>
      </c>
      <c r="C197" s="6" t="str">
        <f>IFERROR(__xludf.DUMMYFUNCTION("""COMPUTED_VALUE"""),"4625")</f>
        <v>4625</v>
      </c>
      <c r="D197" s="6" t="str">
        <f>IFERROR(__xludf.DUMMYFUNCTION("""COMPUTED_VALUE"""),"Hassan")</f>
        <v>Hassan</v>
      </c>
      <c r="E197" s="6" t="str">
        <f>IFERROR(__xludf.DUMMYFUNCTION("""COMPUTED_VALUE"""),"")</f>
        <v/>
      </c>
      <c r="F197" s="6" t="str">
        <f>IFERROR(__xludf.DUMMYFUNCTION("""COMPUTED_VALUE"""),"Abdullah")</f>
        <v>Abdullah</v>
      </c>
      <c r="G197" s="6" t="str">
        <f>IFERROR(__xludf.DUMMYFUNCTION("""COMPUTED_VALUE"""),"02/16/2017")</f>
        <v>02/16/2017</v>
      </c>
      <c r="H197" s="6" t="str">
        <f>IFERROR(__xludf.DUMMYFUNCTION("""COMPUTED_VALUE"""),"male")</f>
        <v>male</v>
      </c>
      <c r="I197" s="6" t="str">
        <f>IFERROR(__xludf.DUMMYFUNCTION("""COMPUTED_VALUE"""),"Level 1")</f>
        <v>Level 1</v>
      </c>
      <c r="J197" s="6" t="str">
        <f>IFERROR(__xludf.DUMMYFUNCTION("""COMPUTED_VALUE"""),"3")</f>
        <v>3</v>
      </c>
      <c r="K197" s="6" t="str">
        <f>IFERROR(__xludf.DUMMYFUNCTION("""COMPUTED_VALUE"""),"hassan.abdullah@2hourlearning.com")</f>
        <v>hassan.abdullah@2hourlearning.com</v>
      </c>
      <c r="L197" s="6" t="str">
        <f>IFERROR(__xludf.DUMMYFUNCTION("""COMPUTED_VALUE"""),"Alpha Anywhere (homeschool)")</f>
        <v>Alpha Anywhere (homeschool)</v>
      </c>
      <c r="M197" s="6" t="str">
        <f>IFERROR(__xludf.DUMMYFUNCTION("""COMPUTED_VALUE"""),"")</f>
        <v/>
      </c>
      <c r="N197" s="6" t="str">
        <f>IFERROR(__xludf.DUMMYFUNCTION("""COMPUTED_VALUE"""),"")</f>
        <v/>
      </c>
      <c r="O197" s="87" t="str">
        <f>IFERROR(__xludf.DUMMYFUNCTION("""COMPUTED_VALUE"""),"https://drive.google.com/drive/folders/10T2cTQHqEJZqE-st6uFKPoI?usp=share_link")</f>
        <v>https://drive.google.com/drive/folders/10T2cTQHqEJZqE-st6uFKPoI?usp=share_link</v>
      </c>
      <c r="P197" s="6" t="str">
        <f>IFERROR(__xludf.DUMMYFUNCTION("""COMPUTED_VALUE"""),"Hassan Abdullah")</f>
        <v>Hassan Abdullah</v>
      </c>
      <c r="Q197" s="6" t="str">
        <f>IFERROR(__xludf.DUMMYFUNCTION("""COMPUTED_VALUE"""),"L1")</f>
        <v>L1</v>
      </c>
      <c r="R197" s="6">
        <f>IFERROR(__xludf.DUMMYFUNCTION("""COMPUTED_VALUE"""),1.0)</f>
        <v>1</v>
      </c>
      <c r="S197" s="6" t="str">
        <f>IFERROR(__xludf.DUMMYFUNCTION("""COMPUTED_VALUE""")," ")</f>
        <v> </v>
      </c>
      <c r="T197" s="6" t="str">
        <f>IFERROR(__xludf.DUMMYFUNCTION("""COMPUTED_VALUE"""),"")</f>
        <v/>
      </c>
      <c r="U197" s="6" t="str">
        <f>IFERROR(__xludf.DUMMYFUNCTION("""COMPUTED_VALUE"""),"3")</f>
        <v>3</v>
      </c>
      <c r="V197" s="6" t="str">
        <f>IFERROR(__xludf.DUMMYFUNCTION("""COMPUTED_VALUE"""),"")</f>
        <v/>
      </c>
      <c r="W197" s="6" t="str">
        <f>IFERROR(__xludf.DUMMYFUNCTION("""COMPUTED_VALUE"""),"[]")</f>
        <v>[]</v>
      </c>
      <c r="X197" s="6" t="str">
        <f>IFERROR(__xludf.DUMMYFUNCTION("""COMPUTED_VALUE"""),"Enrolled")</f>
        <v>Enrolled</v>
      </c>
    </row>
    <row r="198">
      <c r="A198" s="6" t="str">
        <f>IFERROR(__xludf.DUMMYFUNCTION("""COMPUTED_VALUE"""),"000-4632")</f>
        <v>000-4632</v>
      </c>
      <c r="B198" s="6" t="str">
        <f>IFERROR(__xludf.DUMMYFUNCTION("""COMPUTED_VALUE"""),"0")</f>
        <v>0</v>
      </c>
      <c r="C198" s="6" t="str">
        <f>IFERROR(__xludf.DUMMYFUNCTION("""COMPUTED_VALUE"""),"4632")</f>
        <v>4632</v>
      </c>
      <c r="D198" s="6" t="str">
        <f>IFERROR(__xludf.DUMMYFUNCTION("""COMPUTED_VALUE"""),"Myah")</f>
        <v>Myah</v>
      </c>
      <c r="E198" s="6" t="str">
        <f>IFERROR(__xludf.DUMMYFUNCTION("""COMPUTED_VALUE"""),"")</f>
        <v/>
      </c>
      <c r="F198" s="6" t="str">
        <f>IFERROR(__xludf.DUMMYFUNCTION("""COMPUTED_VALUE"""),"Brewington")</f>
        <v>Brewington</v>
      </c>
      <c r="G198" s="6" t="str">
        <f>IFERROR(__xludf.DUMMYFUNCTION("""COMPUTED_VALUE"""),"07/11/2012")</f>
        <v>07/11/2012</v>
      </c>
      <c r="H198" s="6" t="str">
        <f>IFERROR(__xludf.DUMMYFUNCTION("""COMPUTED_VALUE"""),"Self Identify")</f>
        <v>Self Identify</v>
      </c>
      <c r="I198" s="6" t="str">
        <f>IFERROR(__xludf.DUMMYFUNCTION("""COMPUTED_VALUE"""),"Middle School")</f>
        <v>Middle School</v>
      </c>
      <c r="J198" s="6" t="str">
        <f>IFERROR(__xludf.DUMMYFUNCTION("""COMPUTED_VALUE"""),"8")</f>
        <v>8</v>
      </c>
      <c r="K198" s="6" t="str">
        <f>IFERROR(__xludf.DUMMYFUNCTION("""COMPUTED_VALUE"""),"myah.brewington@2hourlearning.com")</f>
        <v>myah.brewington@2hourlearning.com</v>
      </c>
      <c r="L198" s="6" t="str">
        <f>IFERROR(__xludf.DUMMYFUNCTION("""COMPUTED_VALUE"""),"Alpha Anywhere (homeschool)")</f>
        <v>Alpha Anywhere (homeschool)</v>
      </c>
      <c r="M198" s="6" t="str">
        <f>IFERROR(__xludf.DUMMYFUNCTION("""COMPUTED_VALUE"""),"")</f>
        <v/>
      </c>
      <c r="N198" s="6" t="str">
        <f>IFERROR(__xludf.DUMMYFUNCTION("""COMPUTED_VALUE"""),"")</f>
        <v/>
      </c>
      <c r="O198" s="87" t="str">
        <f>IFERROR(__xludf.DUMMYFUNCTION("""COMPUTED_VALUE"""),"https://drive.google.com/drive/folders/10T2cTQHqEJZqE-st6uFKPoI?usp=share_link")</f>
        <v>https://drive.google.com/drive/folders/10T2cTQHqEJZqE-st6uFKPoI?usp=share_link</v>
      </c>
      <c r="P198" s="6" t="str">
        <f>IFERROR(__xludf.DUMMYFUNCTION("""COMPUTED_VALUE"""),"Myah Brewington")</f>
        <v>Myah Brewington</v>
      </c>
      <c r="Q198" s="6" t="str">
        <f>IFERROR(__xludf.DUMMYFUNCTION("""COMPUTED_VALUE"""),"MS")</f>
        <v>MS</v>
      </c>
      <c r="R198" s="6">
        <f>IFERROR(__xludf.DUMMYFUNCTION("""COMPUTED_VALUE"""),0.0)</f>
        <v>0</v>
      </c>
      <c r="S198" s="6" t="str">
        <f>IFERROR(__xludf.DUMMYFUNCTION("""COMPUTED_VALUE""")," ")</f>
        <v> </v>
      </c>
      <c r="T198" s="6" t="str">
        <f>IFERROR(__xludf.DUMMYFUNCTION("""COMPUTED_VALUE"""),"")</f>
        <v/>
      </c>
      <c r="U198" s="6" t="str">
        <f>IFERROR(__xludf.DUMMYFUNCTION("""COMPUTED_VALUE"""),"8")</f>
        <v>8</v>
      </c>
      <c r="V198" s="6" t="str">
        <f>IFERROR(__xludf.DUMMYFUNCTION("""COMPUTED_VALUE"""),"")</f>
        <v/>
      </c>
      <c r="W198" s="6" t="str">
        <f>IFERROR(__xludf.DUMMYFUNCTION("""COMPUTED_VALUE"""),"[]")</f>
        <v>[]</v>
      </c>
      <c r="X198" s="6" t="str">
        <f>IFERROR(__xludf.DUMMYFUNCTION("""COMPUTED_VALUE"""),"Enrolled")</f>
        <v>Enrolled</v>
      </c>
    </row>
    <row r="199">
      <c r="A199" s="6" t="str">
        <f>IFERROR(__xludf.DUMMYFUNCTION("""COMPUTED_VALUE"""),"000-4639")</f>
        <v>000-4639</v>
      </c>
      <c r="B199" s="6" t="str">
        <f>IFERROR(__xludf.DUMMYFUNCTION("""COMPUTED_VALUE"""),"0")</f>
        <v>0</v>
      </c>
      <c r="C199" s="6" t="str">
        <f>IFERROR(__xludf.DUMMYFUNCTION("""COMPUTED_VALUE"""),"4639")</f>
        <v>4639</v>
      </c>
      <c r="D199" s="6" t="str">
        <f>IFERROR(__xludf.DUMMYFUNCTION("""COMPUTED_VALUE"""),"Siena")</f>
        <v>Siena</v>
      </c>
      <c r="E199" s="6" t="str">
        <f>IFERROR(__xludf.DUMMYFUNCTION("""COMPUTED_VALUE"""),"")</f>
        <v/>
      </c>
      <c r="F199" s="6" t="str">
        <f>IFERROR(__xludf.DUMMYFUNCTION("""COMPUTED_VALUE"""),"Esquell")</f>
        <v>Esquell</v>
      </c>
      <c r="G199" s="6" t="str">
        <f>IFERROR(__xludf.DUMMYFUNCTION("""COMPUTED_VALUE"""),"08/22/2016")</f>
        <v>08/22/2016</v>
      </c>
      <c r="H199" s="6" t="str">
        <f>IFERROR(__xludf.DUMMYFUNCTION("""COMPUTED_VALUE"""),"Self Identify")</f>
        <v>Self Identify</v>
      </c>
      <c r="I199" s="6" t="str">
        <f>IFERROR(__xludf.DUMMYFUNCTION("""COMPUTED_VALUE"""),"Level 1")</f>
        <v>Level 1</v>
      </c>
      <c r="J199" s="6" t="str">
        <f>IFERROR(__xludf.DUMMYFUNCTION("""COMPUTED_VALUE"""),"2")</f>
        <v>2</v>
      </c>
      <c r="K199" s="6" t="str">
        <f>IFERROR(__xludf.DUMMYFUNCTION("""COMPUTED_VALUE"""),"siena.esquell@2hourlearning.com")</f>
        <v>siena.esquell@2hourlearning.com</v>
      </c>
      <c r="L199" s="6" t="str">
        <f>IFERROR(__xludf.DUMMYFUNCTION("""COMPUTED_VALUE"""),"Alpha Anywhere (homeschool)")</f>
        <v>Alpha Anywhere (homeschool)</v>
      </c>
      <c r="M199" s="6" t="str">
        <f>IFERROR(__xludf.DUMMYFUNCTION("""COMPUTED_VALUE"""),"")</f>
        <v/>
      </c>
      <c r="N199" s="6" t="str">
        <f>IFERROR(__xludf.DUMMYFUNCTION("""COMPUTED_VALUE"""),"")</f>
        <v/>
      </c>
      <c r="O199" s="87" t="str">
        <f>IFERROR(__xludf.DUMMYFUNCTION("""COMPUTED_VALUE"""),"https://drive.google.com/drive/folders/10T2cTQHqEJZqE-st6uFKPoI?usp=share_link")</f>
        <v>https://drive.google.com/drive/folders/10T2cTQHqEJZqE-st6uFKPoI?usp=share_link</v>
      </c>
      <c r="P199" s="6" t="str">
        <f>IFERROR(__xludf.DUMMYFUNCTION("""COMPUTED_VALUE"""),"Siena Esquell")</f>
        <v>Siena Esquell</v>
      </c>
      <c r="Q199" s="6" t="str">
        <f>IFERROR(__xludf.DUMMYFUNCTION("""COMPUTED_VALUE"""),"L1")</f>
        <v>L1</v>
      </c>
      <c r="R199" s="6">
        <f>IFERROR(__xludf.DUMMYFUNCTION("""COMPUTED_VALUE"""),1.0)</f>
        <v>1</v>
      </c>
      <c r="S199" s="6" t="str">
        <f>IFERROR(__xludf.DUMMYFUNCTION("""COMPUTED_VALUE""")," ")</f>
        <v> </v>
      </c>
      <c r="T199" s="6" t="str">
        <f>IFERROR(__xludf.DUMMYFUNCTION("""COMPUTED_VALUE"""),"")</f>
        <v/>
      </c>
      <c r="U199" s="6" t="str">
        <f>IFERROR(__xludf.DUMMYFUNCTION("""COMPUTED_VALUE"""),"2")</f>
        <v>2</v>
      </c>
      <c r="V199" s="6" t="str">
        <f>IFERROR(__xludf.DUMMYFUNCTION("""COMPUTED_VALUE"""),"")</f>
        <v/>
      </c>
      <c r="W199" s="6" t="str">
        <f>IFERROR(__xludf.DUMMYFUNCTION("""COMPUTED_VALUE"""),"[]")</f>
        <v>[]</v>
      </c>
      <c r="X199" s="6" t="str">
        <f>IFERROR(__xludf.DUMMYFUNCTION("""COMPUTED_VALUE"""),"Enrolled")</f>
        <v>Enrolled</v>
      </c>
    </row>
    <row r="200">
      <c r="A200" s="6" t="str">
        <f>IFERROR(__xludf.DUMMYFUNCTION("""COMPUTED_VALUE"""),"000-4642")</f>
        <v>000-4642</v>
      </c>
      <c r="B200" s="6" t="str">
        <f>IFERROR(__xludf.DUMMYFUNCTION("""COMPUTED_VALUE"""),"0")</f>
        <v>0</v>
      </c>
      <c r="C200" s="6" t="str">
        <f>IFERROR(__xludf.DUMMYFUNCTION("""COMPUTED_VALUE"""),"4642")</f>
        <v>4642</v>
      </c>
      <c r="D200" s="6" t="str">
        <f>IFERROR(__xludf.DUMMYFUNCTION("""COMPUTED_VALUE"""),"Kade")</f>
        <v>Kade</v>
      </c>
      <c r="E200" s="6" t="str">
        <f>IFERROR(__xludf.DUMMYFUNCTION("""COMPUTED_VALUE"""),"")</f>
        <v/>
      </c>
      <c r="F200" s="6" t="str">
        <f>IFERROR(__xludf.DUMMYFUNCTION("""COMPUTED_VALUE"""),"Mantei")</f>
        <v>Mantei</v>
      </c>
      <c r="G200" s="6" t="str">
        <f>IFERROR(__xludf.DUMMYFUNCTION("""COMPUTED_VALUE"""),"03/14/2012")</f>
        <v>03/14/2012</v>
      </c>
      <c r="H200" s="6" t="str">
        <f>IFERROR(__xludf.DUMMYFUNCTION("""COMPUTED_VALUE"""),"Self Identify")</f>
        <v>Self Identify</v>
      </c>
      <c r="I200" s="6" t="str">
        <f>IFERROR(__xludf.DUMMYFUNCTION("""COMPUTED_VALUE"""),"Middle School")</f>
        <v>Middle School</v>
      </c>
      <c r="J200" s="6" t="str">
        <f>IFERROR(__xludf.DUMMYFUNCTION("""COMPUTED_VALUE"""),"8")</f>
        <v>8</v>
      </c>
      <c r="K200" s="6" t="str">
        <f>IFERROR(__xludf.DUMMYFUNCTION("""COMPUTED_VALUE"""),"kade.mantei1@2hourlearning.com")</f>
        <v>kade.mantei1@2hourlearning.com</v>
      </c>
      <c r="L200" s="6" t="str">
        <f>IFERROR(__xludf.DUMMYFUNCTION("""COMPUTED_VALUE"""),"Alpha Anywhere (homeschool)")</f>
        <v>Alpha Anywhere (homeschool)</v>
      </c>
      <c r="M200" s="6" t="str">
        <f>IFERROR(__xludf.DUMMYFUNCTION("""COMPUTED_VALUE"""),"")</f>
        <v/>
      </c>
      <c r="N200" s="6" t="str">
        <f>IFERROR(__xludf.DUMMYFUNCTION("""COMPUTED_VALUE"""),"")</f>
        <v/>
      </c>
      <c r="O200" s="87" t="str">
        <f>IFERROR(__xludf.DUMMYFUNCTION("""COMPUTED_VALUE"""),"https://drive.google.com/drive/folders/10T2cTQHqEJZqE-st6uFKPoI?usp=share_link")</f>
        <v>https://drive.google.com/drive/folders/10T2cTQHqEJZqE-st6uFKPoI?usp=share_link</v>
      </c>
      <c r="P200" s="6" t="str">
        <f>IFERROR(__xludf.DUMMYFUNCTION("""COMPUTED_VALUE"""),"Kade Mantei")</f>
        <v>Kade Mantei</v>
      </c>
      <c r="Q200" s="6" t="str">
        <f>IFERROR(__xludf.DUMMYFUNCTION("""COMPUTED_VALUE"""),"MS")</f>
        <v>MS</v>
      </c>
      <c r="R200" s="6">
        <f>IFERROR(__xludf.DUMMYFUNCTION("""COMPUTED_VALUE"""),0.0)</f>
        <v>0</v>
      </c>
      <c r="S200" s="6" t="str">
        <f>IFERROR(__xludf.DUMMYFUNCTION("""COMPUTED_VALUE""")," ")</f>
        <v> </v>
      </c>
      <c r="T200" s="6" t="str">
        <f>IFERROR(__xludf.DUMMYFUNCTION("""COMPUTED_VALUE"""),"")</f>
        <v/>
      </c>
      <c r="U200" s="6" t="str">
        <f>IFERROR(__xludf.DUMMYFUNCTION("""COMPUTED_VALUE"""),"8")</f>
        <v>8</v>
      </c>
      <c r="V200" s="6" t="str">
        <f>IFERROR(__xludf.DUMMYFUNCTION("""COMPUTED_VALUE"""),"")</f>
        <v/>
      </c>
      <c r="W200" s="6" t="str">
        <f>IFERROR(__xludf.DUMMYFUNCTION("""COMPUTED_VALUE"""),"[]")</f>
        <v>[]</v>
      </c>
      <c r="X200" s="6" t="str">
        <f>IFERROR(__xludf.DUMMYFUNCTION("""COMPUTED_VALUE"""),"Enrolled")</f>
        <v>Enrolled</v>
      </c>
    </row>
    <row r="201">
      <c r="A201" s="6" t="str">
        <f>IFERROR(__xludf.DUMMYFUNCTION("""COMPUTED_VALUE"""),"000-4648")</f>
        <v>000-4648</v>
      </c>
      <c r="B201" s="6" t="str">
        <f>IFERROR(__xludf.DUMMYFUNCTION("""COMPUTED_VALUE"""),"0")</f>
        <v>0</v>
      </c>
      <c r="C201" s="6" t="str">
        <f>IFERROR(__xludf.DUMMYFUNCTION("""COMPUTED_VALUE"""),"4648")</f>
        <v>4648</v>
      </c>
      <c r="D201" s="6" t="str">
        <f>IFERROR(__xludf.DUMMYFUNCTION("""COMPUTED_VALUE"""),"Charlie")</f>
        <v>Charlie</v>
      </c>
      <c r="E201" s="6" t="str">
        <f>IFERROR(__xludf.DUMMYFUNCTION("""COMPUTED_VALUE"""),"")</f>
        <v/>
      </c>
      <c r="F201" s="6" t="str">
        <f>IFERROR(__xludf.DUMMYFUNCTION("""COMPUTED_VALUE"""),"Layton")</f>
        <v>Layton</v>
      </c>
      <c r="G201" s="6" t="str">
        <f>IFERROR(__xludf.DUMMYFUNCTION("""COMPUTED_VALUE"""),"08/28/2014")</f>
        <v>08/28/2014</v>
      </c>
      <c r="H201" s="6" t="str">
        <f>IFERROR(__xludf.DUMMYFUNCTION("""COMPUTED_VALUE"""),"Self Identify")</f>
        <v>Self Identify</v>
      </c>
      <c r="I201" s="6" t="str">
        <f>IFERROR(__xludf.DUMMYFUNCTION("""COMPUTED_VALUE"""),"Middle School")</f>
        <v>Middle School</v>
      </c>
      <c r="J201" s="6" t="str">
        <f>IFERROR(__xludf.DUMMYFUNCTION("""COMPUTED_VALUE"""),"6")</f>
        <v>6</v>
      </c>
      <c r="K201" s="6" t="str">
        <f>IFERROR(__xludf.DUMMYFUNCTION("""COMPUTED_VALUE"""),"charlie.layton@2hourlearning.com")</f>
        <v>charlie.layton@2hourlearning.com</v>
      </c>
      <c r="L201" s="6" t="str">
        <f>IFERROR(__xludf.DUMMYFUNCTION("""COMPUTED_VALUE"""),"Alpha Anywhere (homeschool)")</f>
        <v>Alpha Anywhere (homeschool)</v>
      </c>
      <c r="M201" s="6" t="str">
        <f>IFERROR(__xludf.DUMMYFUNCTION("""COMPUTED_VALUE"""),"")</f>
        <v/>
      </c>
      <c r="N201" s="6" t="str">
        <f>IFERROR(__xludf.DUMMYFUNCTION("""COMPUTED_VALUE"""),"")</f>
        <v/>
      </c>
      <c r="O201" s="87" t="str">
        <f>IFERROR(__xludf.DUMMYFUNCTION("""COMPUTED_VALUE"""),"https://drive.google.com/drive/folders/10T2cTQHqEJZqE-st6uFKPoI?usp=share_link")</f>
        <v>https://drive.google.com/drive/folders/10T2cTQHqEJZqE-st6uFKPoI?usp=share_link</v>
      </c>
      <c r="P201" s="6" t="str">
        <f>IFERROR(__xludf.DUMMYFUNCTION("""COMPUTED_VALUE"""),"Charlie Layton")</f>
        <v>Charlie Layton</v>
      </c>
      <c r="Q201" s="6" t="str">
        <f>IFERROR(__xludf.DUMMYFUNCTION("""COMPUTED_VALUE"""),"MS")</f>
        <v>MS</v>
      </c>
      <c r="R201" s="6">
        <f>IFERROR(__xludf.DUMMYFUNCTION("""COMPUTED_VALUE"""),0.0)</f>
        <v>0</v>
      </c>
      <c r="S201" s="6" t="str">
        <f>IFERROR(__xludf.DUMMYFUNCTION("""COMPUTED_VALUE""")," ")</f>
        <v> </v>
      </c>
      <c r="T201" s="6" t="str">
        <f>IFERROR(__xludf.DUMMYFUNCTION("""COMPUTED_VALUE"""),"")</f>
        <v/>
      </c>
      <c r="U201" s="6" t="str">
        <f>IFERROR(__xludf.DUMMYFUNCTION("""COMPUTED_VALUE"""),"6")</f>
        <v>6</v>
      </c>
      <c r="V201" s="6" t="str">
        <f>IFERROR(__xludf.DUMMYFUNCTION("""COMPUTED_VALUE"""),"")</f>
        <v/>
      </c>
      <c r="W201" s="6" t="str">
        <f>IFERROR(__xludf.DUMMYFUNCTION("""COMPUTED_VALUE"""),"[]")</f>
        <v>[]</v>
      </c>
      <c r="X201" s="6" t="str">
        <f>IFERROR(__xludf.DUMMYFUNCTION("""COMPUTED_VALUE"""),"Enrolled")</f>
        <v>Enrolled</v>
      </c>
    </row>
    <row r="202">
      <c r="A202" s="6" t="str">
        <f>IFERROR(__xludf.DUMMYFUNCTION("""COMPUTED_VALUE"""),"000-4667")</f>
        <v>000-4667</v>
      </c>
      <c r="B202" s="6" t="str">
        <f>IFERROR(__xludf.DUMMYFUNCTION("""COMPUTED_VALUE"""),"0")</f>
        <v>0</v>
      </c>
      <c r="C202" s="6" t="str">
        <f>IFERROR(__xludf.DUMMYFUNCTION("""COMPUTED_VALUE"""),"4667")</f>
        <v>4667</v>
      </c>
      <c r="D202" s="6" t="str">
        <f>IFERROR(__xludf.DUMMYFUNCTION("""COMPUTED_VALUE"""),"Tristan")</f>
        <v>Tristan</v>
      </c>
      <c r="E202" s="6" t="str">
        <f>IFERROR(__xludf.DUMMYFUNCTION("""COMPUTED_VALUE"""),"")</f>
        <v/>
      </c>
      <c r="F202" s="6" t="str">
        <f>IFERROR(__xludf.DUMMYFUNCTION("""COMPUTED_VALUE"""),"Rowley")</f>
        <v>Rowley</v>
      </c>
      <c r="G202" s="6" t="str">
        <f>IFERROR(__xludf.DUMMYFUNCTION("""COMPUTED_VALUE"""),"08/03/2016")</f>
        <v>08/03/2016</v>
      </c>
      <c r="H202" s="6" t="str">
        <f>IFERROR(__xludf.DUMMYFUNCTION("""COMPUTED_VALUE"""),"Self Identify")</f>
        <v>Self Identify</v>
      </c>
      <c r="I202" s="6" t="str">
        <f>IFERROR(__xludf.DUMMYFUNCTION("""COMPUTED_VALUE"""),"Level 1")</f>
        <v>Level 1</v>
      </c>
      <c r="J202" s="6" t="str">
        <f>IFERROR(__xludf.DUMMYFUNCTION("""COMPUTED_VALUE"""),"3")</f>
        <v>3</v>
      </c>
      <c r="K202" s="6" t="str">
        <f>IFERROR(__xludf.DUMMYFUNCTION("""COMPUTED_VALUE"""),"tristan.rowley@2hourlearning.com")</f>
        <v>tristan.rowley@2hourlearning.com</v>
      </c>
      <c r="L202" s="6" t="str">
        <f>IFERROR(__xludf.DUMMYFUNCTION("""COMPUTED_VALUE"""),"Alpha Anywhere (homeschool)")</f>
        <v>Alpha Anywhere (homeschool)</v>
      </c>
      <c r="M202" s="6" t="str">
        <f>IFERROR(__xludf.DUMMYFUNCTION("""COMPUTED_VALUE"""),"")</f>
        <v/>
      </c>
      <c r="N202" s="6" t="str">
        <f>IFERROR(__xludf.DUMMYFUNCTION("""COMPUTED_VALUE"""),"")</f>
        <v/>
      </c>
      <c r="O202" s="87" t="str">
        <f>IFERROR(__xludf.DUMMYFUNCTION("""COMPUTED_VALUE"""),"https://drive.google.com/drive/folders/10T2cTQHqEJZqE-st6uFKPoI?usp=share_link")</f>
        <v>https://drive.google.com/drive/folders/10T2cTQHqEJZqE-st6uFKPoI?usp=share_link</v>
      </c>
      <c r="P202" s="6" t="str">
        <f>IFERROR(__xludf.DUMMYFUNCTION("""COMPUTED_VALUE"""),"Tristan Rowley")</f>
        <v>Tristan Rowley</v>
      </c>
      <c r="Q202" s="6" t="str">
        <f>IFERROR(__xludf.DUMMYFUNCTION("""COMPUTED_VALUE"""),"L1")</f>
        <v>L1</v>
      </c>
      <c r="R202" s="6">
        <f>IFERROR(__xludf.DUMMYFUNCTION("""COMPUTED_VALUE"""),1.0)</f>
        <v>1</v>
      </c>
      <c r="S202" s="6" t="str">
        <f>IFERROR(__xludf.DUMMYFUNCTION("""COMPUTED_VALUE""")," ")</f>
        <v> </v>
      </c>
      <c r="T202" s="6" t="str">
        <f>IFERROR(__xludf.DUMMYFUNCTION("""COMPUTED_VALUE"""),"")</f>
        <v/>
      </c>
      <c r="U202" s="6" t="str">
        <f>IFERROR(__xludf.DUMMYFUNCTION("""COMPUTED_VALUE"""),"3")</f>
        <v>3</v>
      </c>
      <c r="V202" s="6" t="str">
        <f>IFERROR(__xludf.DUMMYFUNCTION("""COMPUTED_VALUE"""),"")</f>
        <v/>
      </c>
      <c r="W202" s="6" t="str">
        <f>IFERROR(__xludf.DUMMYFUNCTION("""COMPUTED_VALUE"""),"[]")</f>
        <v>[]</v>
      </c>
      <c r="X202" s="6" t="str">
        <f>IFERROR(__xludf.DUMMYFUNCTION("""COMPUTED_VALUE"""),"Enrolled")</f>
        <v>Enrolled</v>
      </c>
    </row>
    <row r="203">
      <c r="A203" s="6" t="str">
        <f>IFERROR(__xludf.DUMMYFUNCTION("""COMPUTED_VALUE"""),"000-4673")</f>
        <v>000-4673</v>
      </c>
      <c r="B203" s="6" t="str">
        <f>IFERROR(__xludf.DUMMYFUNCTION("""COMPUTED_VALUE"""),"0")</f>
        <v>0</v>
      </c>
      <c r="C203" s="6" t="str">
        <f>IFERROR(__xludf.DUMMYFUNCTION("""COMPUTED_VALUE"""),"4673")</f>
        <v>4673</v>
      </c>
      <c r="D203" s="6" t="str">
        <f>IFERROR(__xludf.DUMMYFUNCTION("""COMPUTED_VALUE"""),"Charlie")</f>
        <v>Charlie</v>
      </c>
      <c r="E203" s="6" t="str">
        <f>IFERROR(__xludf.DUMMYFUNCTION("""COMPUTED_VALUE"""),"")</f>
        <v/>
      </c>
      <c r="F203" s="6" t="str">
        <f>IFERROR(__xludf.DUMMYFUNCTION("""COMPUTED_VALUE"""),"Burns")</f>
        <v>Burns</v>
      </c>
      <c r="G203" s="6" t="str">
        <f>IFERROR(__xludf.DUMMYFUNCTION("""COMPUTED_VALUE"""),"01/15/2013")</f>
        <v>01/15/2013</v>
      </c>
      <c r="H203" s="6" t="str">
        <f>IFERROR(__xludf.DUMMYFUNCTION("""COMPUTED_VALUE"""),"Self Identify")</f>
        <v>Self Identify</v>
      </c>
      <c r="I203" s="6" t="str">
        <f>IFERROR(__xludf.DUMMYFUNCTION("""COMPUTED_VALUE"""),"Middle School")</f>
        <v>Middle School</v>
      </c>
      <c r="J203" s="6" t="str">
        <f>IFERROR(__xludf.DUMMYFUNCTION("""COMPUTED_VALUE"""),"7")</f>
        <v>7</v>
      </c>
      <c r="K203" s="6" t="str">
        <f>IFERROR(__xludf.DUMMYFUNCTION("""COMPUTED_VALUE"""),"charlie.burns@2hourlearning.com")</f>
        <v>charlie.burns@2hourlearning.com</v>
      </c>
      <c r="L203" s="6" t="str">
        <f>IFERROR(__xludf.DUMMYFUNCTION("""COMPUTED_VALUE"""),"Alpha Anywhere (homeschool)")</f>
        <v>Alpha Anywhere (homeschool)</v>
      </c>
      <c r="M203" s="6" t="str">
        <f>IFERROR(__xludf.DUMMYFUNCTION("""COMPUTED_VALUE"""),"")</f>
        <v/>
      </c>
      <c r="N203" s="6" t="str">
        <f>IFERROR(__xludf.DUMMYFUNCTION("""COMPUTED_VALUE"""),"")</f>
        <v/>
      </c>
      <c r="O203" s="87" t="str">
        <f>IFERROR(__xludf.DUMMYFUNCTION("""COMPUTED_VALUE"""),"https://drive.google.com/drive/folders/10T2cTQHqEJZqE-st6uFKPoI?usp=share_link")</f>
        <v>https://drive.google.com/drive/folders/10T2cTQHqEJZqE-st6uFKPoI?usp=share_link</v>
      </c>
      <c r="P203" s="6" t="str">
        <f>IFERROR(__xludf.DUMMYFUNCTION("""COMPUTED_VALUE"""),"Charlie Burns")</f>
        <v>Charlie Burns</v>
      </c>
      <c r="Q203" s="6" t="str">
        <f>IFERROR(__xludf.DUMMYFUNCTION("""COMPUTED_VALUE"""),"MS")</f>
        <v>MS</v>
      </c>
      <c r="R203" s="6">
        <f>IFERROR(__xludf.DUMMYFUNCTION("""COMPUTED_VALUE"""),0.0)</f>
        <v>0</v>
      </c>
      <c r="S203" s="6" t="str">
        <f>IFERROR(__xludf.DUMMYFUNCTION("""COMPUTED_VALUE""")," ")</f>
        <v> </v>
      </c>
      <c r="T203" s="6" t="str">
        <f>IFERROR(__xludf.DUMMYFUNCTION("""COMPUTED_VALUE"""),"")</f>
        <v/>
      </c>
      <c r="U203" s="6" t="str">
        <f>IFERROR(__xludf.DUMMYFUNCTION("""COMPUTED_VALUE"""),"7")</f>
        <v>7</v>
      </c>
      <c r="V203" s="6" t="str">
        <f>IFERROR(__xludf.DUMMYFUNCTION("""COMPUTED_VALUE"""),"")</f>
        <v/>
      </c>
      <c r="W203" s="6" t="str">
        <f>IFERROR(__xludf.DUMMYFUNCTION("""COMPUTED_VALUE"""),"[]")</f>
        <v>[]</v>
      </c>
      <c r="X203" s="6" t="str">
        <f>IFERROR(__xludf.DUMMYFUNCTION("""COMPUTED_VALUE"""),"Enrolled")</f>
        <v>Enrolled</v>
      </c>
    </row>
    <row r="204">
      <c r="A204" s="6" t="str">
        <f>IFERROR(__xludf.DUMMYFUNCTION("""COMPUTED_VALUE"""),"000-4685")</f>
        <v>000-4685</v>
      </c>
      <c r="B204" s="6" t="str">
        <f>IFERROR(__xludf.DUMMYFUNCTION("""COMPUTED_VALUE"""),"0")</f>
        <v>0</v>
      </c>
      <c r="C204" s="6" t="str">
        <f>IFERROR(__xludf.DUMMYFUNCTION("""COMPUTED_VALUE"""),"4685")</f>
        <v>4685</v>
      </c>
      <c r="D204" s="6" t="str">
        <f>IFERROR(__xludf.DUMMYFUNCTION("""COMPUTED_VALUE"""),"Maksim")</f>
        <v>Maksim</v>
      </c>
      <c r="E204" s="6" t="str">
        <f>IFERROR(__xludf.DUMMYFUNCTION("""COMPUTED_VALUE"""),"")</f>
        <v/>
      </c>
      <c r="F204" s="6" t="str">
        <f>IFERROR(__xludf.DUMMYFUNCTION("""COMPUTED_VALUE"""),"Kroger")</f>
        <v>Kroger</v>
      </c>
      <c r="G204" s="6" t="str">
        <f>IFERROR(__xludf.DUMMYFUNCTION("""COMPUTED_VALUE"""),"04/30/2012")</f>
        <v>04/30/2012</v>
      </c>
      <c r="H204" s="6" t="str">
        <f>IFERROR(__xludf.DUMMYFUNCTION("""COMPUTED_VALUE"""),"Self Identify")</f>
        <v>Self Identify</v>
      </c>
      <c r="I204" s="6" t="str">
        <f>IFERROR(__xludf.DUMMYFUNCTION("""COMPUTED_VALUE"""),"Middle School")</f>
        <v>Middle School</v>
      </c>
      <c r="J204" s="6" t="str">
        <f>IFERROR(__xludf.DUMMYFUNCTION("""COMPUTED_VALUE"""),"8")</f>
        <v>8</v>
      </c>
      <c r="K204" s="6" t="str">
        <f>IFERROR(__xludf.DUMMYFUNCTION("""COMPUTED_VALUE"""),"maksim.kroger@2hourlearning.com")</f>
        <v>maksim.kroger@2hourlearning.com</v>
      </c>
      <c r="L204" s="6" t="str">
        <f>IFERROR(__xludf.DUMMYFUNCTION("""COMPUTED_VALUE"""),"Alpha Anywhere (homeschool)")</f>
        <v>Alpha Anywhere (homeschool)</v>
      </c>
      <c r="M204" s="6" t="str">
        <f>IFERROR(__xludf.DUMMYFUNCTION("""COMPUTED_VALUE"""),"")</f>
        <v/>
      </c>
      <c r="N204" s="6" t="str">
        <f>IFERROR(__xludf.DUMMYFUNCTION("""COMPUTED_VALUE"""),"")</f>
        <v/>
      </c>
      <c r="O204" s="87" t="str">
        <f>IFERROR(__xludf.DUMMYFUNCTION("""COMPUTED_VALUE"""),"https://drive.google.com/drive/folders/10T2cTQHqEJZqE-st6uFKPoI?usp=share_link")</f>
        <v>https://drive.google.com/drive/folders/10T2cTQHqEJZqE-st6uFKPoI?usp=share_link</v>
      </c>
      <c r="P204" s="6" t="str">
        <f>IFERROR(__xludf.DUMMYFUNCTION("""COMPUTED_VALUE"""),"Maksim Kroger")</f>
        <v>Maksim Kroger</v>
      </c>
      <c r="Q204" s="6" t="str">
        <f>IFERROR(__xludf.DUMMYFUNCTION("""COMPUTED_VALUE"""),"MS")</f>
        <v>MS</v>
      </c>
      <c r="R204" s="6">
        <f>IFERROR(__xludf.DUMMYFUNCTION("""COMPUTED_VALUE"""),0.0)</f>
        <v>0</v>
      </c>
      <c r="S204" s="6" t="str">
        <f>IFERROR(__xludf.DUMMYFUNCTION("""COMPUTED_VALUE""")," ")</f>
        <v> </v>
      </c>
      <c r="T204" s="6" t="str">
        <f>IFERROR(__xludf.DUMMYFUNCTION("""COMPUTED_VALUE"""),"")</f>
        <v/>
      </c>
      <c r="U204" s="6" t="str">
        <f>IFERROR(__xludf.DUMMYFUNCTION("""COMPUTED_VALUE"""),"8")</f>
        <v>8</v>
      </c>
      <c r="V204" s="6" t="str">
        <f>IFERROR(__xludf.DUMMYFUNCTION("""COMPUTED_VALUE"""),"")</f>
        <v/>
      </c>
      <c r="W204" s="6" t="str">
        <f>IFERROR(__xludf.DUMMYFUNCTION("""COMPUTED_VALUE"""),"[]")</f>
        <v>[]</v>
      </c>
      <c r="X204" s="6" t="str">
        <f>IFERROR(__xludf.DUMMYFUNCTION("""COMPUTED_VALUE"""),"Enrolled")</f>
        <v>Enrolled</v>
      </c>
    </row>
    <row r="205">
      <c r="A205" s="6" t="str">
        <f>IFERROR(__xludf.DUMMYFUNCTION("""COMPUTED_VALUE"""),"000-4686")</f>
        <v>000-4686</v>
      </c>
      <c r="B205" s="6" t="str">
        <f>IFERROR(__xludf.DUMMYFUNCTION("""COMPUTED_VALUE"""),"0")</f>
        <v>0</v>
      </c>
      <c r="C205" s="6" t="str">
        <f>IFERROR(__xludf.DUMMYFUNCTION("""COMPUTED_VALUE"""),"4686")</f>
        <v>4686</v>
      </c>
      <c r="D205" s="6" t="str">
        <f>IFERROR(__xludf.DUMMYFUNCTION("""COMPUTED_VALUE"""),"Deklan")</f>
        <v>Deklan</v>
      </c>
      <c r="E205" s="6" t="str">
        <f>IFERROR(__xludf.DUMMYFUNCTION("""COMPUTED_VALUE"""),"")</f>
        <v/>
      </c>
      <c r="F205" s="6" t="str">
        <f>IFERROR(__xludf.DUMMYFUNCTION("""COMPUTED_VALUE"""),"Kroger")</f>
        <v>Kroger</v>
      </c>
      <c r="G205" s="6" t="str">
        <f>IFERROR(__xludf.DUMMYFUNCTION("""COMPUTED_VALUE"""),"01/28/2014")</f>
        <v>01/28/2014</v>
      </c>
      <c r="H205" s="6" t="str">
        <f>IFERROR(__xludf.DUMMYFUNCTION("""COMPUTED_VALUE"""),"Self Identify")</f>
        <v>Self Identify</v>
      </c>
      <c r="I205" s="6" t="str">
        <f>IFERROR(__xludf.DUMMYFUNCTION("""COMPUTED_VALUE"""),"Middle School")</f>
        <v>Middle School</v>
      </c>
      <c r="J205" s="6" t="str">
        <f>IFERROR(__xludf.DUMMYFUNCTION("""COMPUTED_VALUE"""),"6")</f>
        <v>6</v>
      </c>
      <c r="K205" s="6" t="str">
        <f>IFERROR(__xludf.DUMMYFUNCTION("""COMPUTED_VALUE"""),"deklan.kroger@2hourlearning.com")</f>
        <v>deklan.kroger@2hourlearning.com</v>
      </c>
      <c r="L205" s="6" t="str">
        <f>IFERROR(__xludf.DUMMYFUNCTION("""COMPUTED_VALUE"""),"Alpha Anywhere (homeschool)")</f>
        <v>Alpha Anywhere (homeschool)</v>
      </c>
      <c r="M205" s="6" t="str">
        <f>IFERROR(__xludf.DUMMYFUNCTION("""COMPUTED_VALUE"""),"")</f>
        <v/>
      </c>
      <c r="N205" s="6" t="str">
        <f>IFERROR(__xludf.DUMMYFUNCTION("""COMPUTED_VALUE"""),"")</f>
        <v/>
      </c>
      <c r="O205" s="87" t="str">
        <f>IFERROR(__xludf.DUMMYFUNCTION("""COMPUTED_VALUE"""),"https://drive.google.com/drive/folders/10T2cTQHqEJZqE-st6uFKPoI?usp=share_link")</f>
        <v>https://drive.google.com/drive/folders/10T2cTQHqEJZqE-st6uFKPoI?usp=share_link</v>
      </c>
      <c r="P205" s="6" t="str">
        <f>IFERROR(__xludf.DUMMYFUNCTION("""COMPUTED_VALUE"""),"Deklan Kroger")</f>
        <v>Deklan Kroger</v>
      </c>
      <c r="Q205" s="6" t="str">
        <f>IFERROR(__xludf.DUMMYFUNCTION("""COMPUTED_VALUE"""),"MS")</f>
        <v>MS</v>
      </c>
      <c r="R205" s="6">
        <f>IFERROR(__xludf.DUMMYFUNCTION("""COMPUTED_VALUE"""),0.0)</f>
        <v>0</v>
      </c>
      <c r="S205" s="6" t="str">
        <f>IFERROR(__xludf.DUMMYFUNCTION("""COMPUTED_VALUE""")," ")</f>
        <v> </v>
      </c>
      <c r="T205" s="6" t="str">
        <f>IFERROR(__xludf.DUMMYFUNCTION("""COMPUTED_VALUE"""),"")</f>
        <v/>
      </c>
      <c r="U205" s="6" t="str">
        <f>IFERROR(__xludf.DUMMYFUNCTION("""COMPUTED_VALUE"""),"6")</f>
        <v>6</v>
      </c>
      <c r="V205" s="6" t="str">
        <f>IFERROR(__xludf.DUMMYFUNCTION("""COMPUTED_VALUE"""),"")</f>
        <v/>
      </c>
      <c r="W205" s="6" t="str">
        <f>IFERROR(__xludf.DUMMYFUNCTION("""COMPUTED_VALUE"""),"[]")</f>
        <v>[]</v>
      </c>
      <c r="X205" s="6" t="str">
        <f>IFERROR(__xludf.DUMMYFUNCTION("""COMPUTED_VALUE"""),"Enrolled")</f>
        <v>Enrolled</v>
      </c>
    </row>
    <row r="206">
      <c r="A206" s="6" t="str">
        <f>IFERROR(__xludf.DUMMYFUNCTION("""COMPUTED_VALUE"""),"000-4695")</f>
        <v>000-4695</v>
      </c>
      <c r="B206" s="6" t="str">
        <f>IFERROR(__xludf.DUMMYFUNCTION("""COMPUTED_VALUE"""),"0")</f>
        <v>0</v>
      </c>
      <c r="C206" s="6" t="str">
        <f>IFERROR(__xludf.DUMMYFUNCTION("""COMPUTED_VALUE"""),"4695")</f>
        <v>4695</v>
      </c>
      <c r="D206" s="6" t="str">
        <f>IFERROR(__xludf.DUMMYFUNCTION("""COMPUTED_VALUE"""),"Joseph")</f>
        <v>Joseph</v>
      </c>
      <c r="E206" s="6" t="str">
        <f>IFERROR(__xludf.DUMMYFUNCTION("""COMPUTED_VALUE"""),"")</f>
        <v/>
      </c>
      <c r="F206" s="6" t="str">
        <f>IFERROR(__xludf.DUMMYFUNCTION("""COMPUTED_VALUE"""),"Stefanelli")</f>
        <v>Stefanelli</v>
      </c>
      <c r="G206" s="6" t="str">
        <f>IFERROR(__xludf.DUMMYFUNCTION("""COMPUTED_VALUE"""),"06/18/2014")</f>
        <v>06/18/2014</v>
      </c>
      <c r="H206" s="6" t="str">
        <f>IFERROR(__xludf.DUMMYFUNCTION("""COMPUTED_VALUE"""),"Self Identify")</f>
        <v>Self Identify</v>
      </c>
      <c r="I206" s="6" t="str">
        <f>IFERROR(__xludf.DUMMYFUNCTION("""COMPUTED_VALUE"""),"Middle School")</f>
        <v>Middle School</v>
      </c>
      <c r="J206" s="6" t="str">
        <f>IFERROR(__xludf.DUMMYFUNCTION("""COMPUTED_VALUE"""),"6")</f>
        <v>6</v>
      </c>
      <c r="K206" s="6" t="str">
        <f>IFERROR(__xludf.DUMMYFUNCTION("""COMPUTED_VALUE"""),"joseph.stefanelli@2hourlearning.com")</f>
        <v>joseph.stefanelli@2hourlearning.com</v>
      </c>
      <c r="L206" s="6" t="str">
        <f>IFERROR(__xludf.DUMMYFUNCTION("""COMPUTED_VALUE"""),"Alpha Anywhere (homeschool)")</f>
        <v>Alpha Anywhere (homeschool)</v>
      </c>
      <c r="M206" s="6" t="str">
        <f>IFERROR(__xludf.DUMMYFUNCTION("""COMPUTED_VALUE"""),"")</f>
        <v/>
      </c>
      <c r="N206" s="6" t="str">
        <f>IFERROR(__xludf.DUMMYFUNCTION("""COMPUTED_VALUE"""),"")</f>
        <v/>
      </c>
      <c r="O206" s="87" t="str">
        <f>IFERROR(__xludf.DUMMYFUNCTION("""COMPUTED_VALUE"""),"https://drive.google.com/drive/folders/10T2cTQHqEJZqE-st6uFKPoI?usp=share_link")</f>
        <v>https://drive.google.com/drive/folders/10T2cTQHqEJZqE-st6uFKPoI?usp=share_link</v>
      </c>
      <c r="P206" s="6" t="str">
        <f>IFERROR(__xludf.DUMMYFUNCTION("""COMPUTED_VALUE"""),"Joseph Stefanelli")</f>
        <v>Joseph Stefanelli</v>
      </c>
      <c r="Q206" s="6" t="str">
        <f>IFERROR(__xludf.DUMMYFUNCTION("""COMPUTED_VALUE"""),"MS")</f>
        <v>MS</v>
      </c>
      <c r="R206" s="6">
        <f>IFERROR(__xludf.DUMMYFUNCTION("""COMPUTED_VALUE"""),0.0)</f>
        <v>0</v>
      </c>
      <c r="S206" s="6" t="str">
        <f>IFERROR(__xludf.DUMMYFUNCTION("""COMPUTED_VALUE""")," ")</f>
        <v> </v>
      </c>
      <c r="T206" s="6" t="str">
        <f>IFERROR(__xludf.DUMMYFUNCTION("""COMPUTED_VALUE"""),"")</f>
        <v/>
      </c>
      <c r="U206" s="6" t="str">
        <f>IFERROR(__xludf.DUMMYFUNCTION("""COMPUTED_VALUE"""),"6")</f>
        <v>6</v>
      </c>
      <c r="V206" s="6" t="str">
        <f>IFERROR(__xludf.DUMMYFUNCTION("""COMPUTED_VALUE"""),"")</f>
        <v/>
      </c>
      <c r="W206" s="6" t="str">
        <f>IFERROR(__xludf.DUMMYFUNCTION("""COMPUTED_VALUE"""),"[]")</f>
        <v>[]</v>
      </c>
      <c r="X206" s="6" t="str">
        <f>IFERROR(__xludf.DUMMYFUNCTION("""COMPUTED_VALUE"""),"Enrolled")</f>
        <v>Enrolled</v>
      </c>
    </row>
    <row r="207">
      <c r="A207" s="6" t="str">
        <f>IFERROR(__xludf.DUMMYFUNCTION("""COMPUTED_VALUE"""),"000-4699")</f>
        <v>000-4699</v>
      </c>
      <c r="B207" s="6" t="str">
        <f>IFERROR(__xludf.DUMMYFUNCTION("""COMPUTED_VALUE"""),"0")</f>
        <v>0</v>
      </c>
      <c r="C207" s="6" t="str">
        <f>IFERROR(__xludf.DUMMYFUNCTION("""COMPUTED_VALUE"""),"4699")</f>
        <v>4699</v>
      </c>
      <c r="D207" s="6" t="str">
        <f>IFERROR(__xludf.DUMMYFUNCTION("""COMPUTED_VALUE"""),"Elizabeth")</f>
        <v>Elizabeth</v>
      </c>
      <c r="E207" s="6" t="str">
        <f>IFERROR(__xludf.DUMMYFUNCTION("""COMPUTED_VALUE"""),"")</f>
        <v/>
      </c>
      <c r="F207" s="6" t="str">
        <f>IFERROR(__xludf.DUMMYFUNCTION("""COMPUTED_VALUE"""),"Marquardt")</f>
        <v>Marquardt</v>
      </c>
      <c r="G207" s="6" t="str">
        <f>IFERROR(__xludf.DUMMYFUNCTION("""COMPUTED_VALUE"""),"04/12/2012")</f>
        <v>04/12/2012</v>
      </c>
      <c r="H207" s="6" t="str">
        <f>IFERROR(__xludf.DUMMYFUNCTION("""COMPUTED_VALUE"""),"Self Identify")</f>
        <v>Self Identify</v>
      </c>
      <c r="I207" s="6" t="str">
        <f>IFERROR(__xludf.DUMMYFUNCTION("""COMPUTED_VALUE"""),"Middle School")</f>
        <v>Middle School</v>
      </c>
      <c r="J207" s="6" t="str">
        <f>IFERROR(__xludf.DUMMYFUNCTION("""COMPUTED_VALUE"""),"8")</f>
        <v>8</v>
      </c>
      <c r="K207" s="6" t="str">
        <f>IFERROR(__xludf.DUMMYFUNCTION("""COMPUTED_VALUE"""),"elizabeth.marquardt@2hourlearning.com")</f>
        <v>elizabeth.marquardt@2hourlearning.com</v>
      </c>
      <c r="L207" s="6" t="str">
        <f>IFERROR(__xludf.DUMMYFUNCTION("""COMPUTED_VALUE"""),"Alpha Anywhere (homeschool)")</f>
        <v>Alpha Anywhere (homeschool)</v>
      </c>
      <c r="M207" s="6" t="str">
        <f>IFERROR(__xludf.DUMMYFUNCTION("""COMPUTED_VALUE"""),"")</f>
        <v/>
      </c>
      <c r="N207" s="6" t="str">
        <f>IFERROR(__xludf.DUMMYFUNCTION("""COMPUTED_VALUE"""),"")</f>
        <v/>
      </c>
      <c r="O207" s="87" t="str">
        <f>IFERROR(__xludf.DUMMYFUNCTION("""COMPUTED_VALUE"""),"https://drive.google.com/drive/folders/10T2cTQHqEJZqE-st6uFKPoI?usp=share_link")</f>
        <v>https://drive.google.com/drive/folders/10T2cTQHqEJZqE-st6uFKPoI?usp=share_link</v>
      </c>
      <c r="P207" s="6" t="str">
        <f>IFERROR(__xludf.DUMMYFUNCTION("""COMPUTED_VALUE"""),"Elizabeth Marquardt")</f>
        <v>Elizabeth Marquardt</v>
      </c>
      <c r="Q207" s="6" t="str">
        <f>IFERROR(__xludf.DUMMYFUNCTION("""COMPUTED_VALUE"""),"MS")</f>
        <v>MS</v>
      </c>
      <c r="R207" s="6">
        <f>IFERROR(__xludf.DUMMYFUNCTION("""COMPUTED_VALUE"""),0.0)</f>
        <v>0</v>
      </c>
      <c r="S207" s="6" t="str">
        <f>IFERROR(__xludf.DUMMYFUNCTION("""COMPUTED_VALUE""")," ")</f>
        <v> </v>
      </c>
      <c r="T207" s="6" t="str">
        <f>IFERROR(__xludf.DUMMYFUNCTION("""COMPUTED_VALUE"""),"")</f>
        <v/>
      </c>
      <c r="U207" s="6" t="str">
        <f>IFERROR(__xludf.DUMMYFUNCTION("""COMPUTED_VALUE"""),"8")</f>
        <v>8</v>
      </c>
      <c r="V207" s="6" t="str">
        <f>IFERROR(__xludf.DUMMYFUNCTION("""COMPUTED_VALUE"""),"")</f>
        <v/>
      </c>
      <c r="W207" s="6" t="str">
        <f>IFERROR(__xludf.DUMMYFUNCTION("""COMPUTED_VALUE"""),"[]")</f>
        <v>[]</v>
      </c>
      <c r="X207" s="6" t="str">
        <f>IFERROR(__xludf.DUMMYFUNCTION("""COMPUTED_VALUE"""),"Enrolled")</f>
        <v>Enrolled</v>
      </c>
    </row>
    <row r="208">
      <c r="A208" s="6" t="str">
        <f>IFERROR(__xludf.DUMMYFUNCTION("""COMPUTED_VALUE"""),"000-4700")</f>
        <v>000-4700</v>
      </c>
      <c r="B208" s="6" t="str">
        <f>IFERROR(__xludf.DUMMYFUNCTION("""COMPUTED_VALUE"""),"0")</f>
        <v>0</v>
      </c>
      <c r="C208" s="6" t="str">
        <f>IFERROR(__xludf.DUMMYFUNCTION("""COMPUTED_VALUE"""),"4700")</f>
        <v>4700</v>
      </c>
      <c r="D208" s="6" t="str">
        <f>IFERROR(__xludf.DUMMYFUNCTION("""COMPUTED_VALUE"""),"Levi")</f>
        <v>Levi</v>
      </c>
      <c r="E208" s="6" t="str">
        <f>IFERROR(__xludf.DUMMYFUNCTION("""COMPUTED_VALUE"""),"")</f>
        <v/>
      </c>
      <c r="F208" s="6" t="str">
        <f>IFERROR(__xludf.DUMMYFUNCTION("""COMPUTED_VALUE"""),"Otto")</f>
        <v>Otto</v>
      </c>
      <c r="G208" s="6" t="str">
        <f>IFERROR(__xludf.DUMMYFUNCTION("""COMPUTED_VALUE"""),"02/09/2016")</f>
        <v>02/09/2016</v>
      </c>
      <c r="H208" s="6" t="str">
        <f>IFERROR(__xludf.DUMMYFUNCTION("""COMPUTED_VALUE"""),"Self Identify")</f>
        <v>Self Identify</v>
      </c>
      <c r="I208" s="6" t="str">
        <f>IFERROR(__xludf.DUMMYFUNCTION("""COMPUTED_VALUE"""),"Level 2")</f>
        <v>Level 2</v>
      </c>
      <c r="J208" s="6" t="str">
        <f>IFERROR(__xludf.DUMMYFUNCTION("""COMPUTED_VALUE"""),"4")</f>
        <v>4</v>
      </c>
      <c r="K208" s="6" t="str">
        <f>IFERROR(__xludf.DUMMYFUNCTION("""COMPUTED_VALUE"""),"levi.otto@2hourlearning.com")</f>
        <v>levi.otto@2hourlearning.com</v>
      </c>
      <c r="L208" s="6" t="str">
        <f>IFERROR(__xludf.DUMMYFUNCTION("""COMPUTED_VALUE"""),"Alpha Anywhere (homeschool)")</f>
        <v>Alpha Anywhere (homeschool)</v>
      </c>
      <c r="M208" s="6" t="str">
        <f>IFERROR(__xludf.DUMMYFUNCTION("""COMPUTED_VALUE"""),"")</f>
        <v/>
      </c>
      <c r="N208" s="6" t="str">
        <f>IFERROR(__xludf.DUMMYFUNCTION("""COMPUTED_VALUE"""),"")</f>
        <v/>
      </c>
      <c r="O208" s="87" t="str">
        <f>IFERROR(__xludf.DUMMYFUNCTION("""COMPUTED_VALUE"""),"https://drive.google.com/drive/folders/10T2cTQHqEJZqE-st6uFKPoI?usp=share_link")</f>
        <v>https://drive.google.com/drive/folders/10T2cTQHqEJZqE-st6uFKPoI?usp=share_link</v>
      </c>
      <c r="P208" s="6" t="str">
        <f>IFERROR(__xludf.DUMMYFUNCTION("""COMPUTED_VALUE"""),"Levi Otto")</f>
        <v>Levi Otto</v>
      </c>
      <c r="Q208" s="6" t="str">
        <f>IFERROR(__xludf.DUMMYFUNCTION("""COMPUTED_VALUE"""),"L2")</f>
        <v>L2</v>
      </c>
      <c r="R208" s="6">
        <f>IFERROR(__xludf.DUMMYFUNCTION("""COMPUTED_VALUE"""),2.0)</f>
        <v>2</v>
      </c>
      <c r="S208" s="6" t="str">
        <f>IFERROR(__xludf.DUMMYFUNCTION("""COMPUTED_VALUE""")," ")</f>
        <v> </v>
      </c>
      <c r="T208" s="6" t="str">
        <f>IFERROR(__xludf.DUMMYFUNCTION("""COMPUTED_VALUE"""),"")</f>
        <v/>
      </c>
      <c r="U208" s="6" t="str">
        <f>IFERROR(__xludf.DUMMYFUNCTION("""COMPUTED_VALUE"""),"4")</f>
        <v>4</v>
      </c>
      <c r="V208" s="6" t="str">
        <f>IFERROR(__xludf.DUMMYFUNCTION("""COMPUTED_VALUE"""),"")</f>
        <v/>
      </c>
      <c r="W208" s="6" t="str">
        <f>IFERROR(__xludf.DUMMYFUNCTION("""COMPUTED_VALUE"""),"[]")</f>
        <v>[]</v>
      </c>
      <c r="X208" s="6" t="str">
        <f>IFERROR(__xludf.DUMMYFUNCTION("""COMPUTED_VALUE"""),"Enrolled")</f>
        <v>Enrolled</v>
      </c>
    </row>
    <row r="209">
      <c r="A209" s="6" t="str">
        <f>IFERROR(__xludf.DUMMYFUNCTION("""COMPUTED_VALUE"""),"000-4704")</f>
        <v>000-4704</v>
      </c>
      <c r="B209" s="6" t="str">
        <f>IFERROR(__xludf.DUMMYFUNCTION("""COMPUTED_VALUE"""),"0")</f>
        <v>0</v>
      </c>
      <c r="C209" s="6" t="str">
        <f>IFERROR(__xludf.DUMMYFUNCTION("""COMPUTED_VALUE"""),"4704")</f>
        <v>4704</v>
      </c>
      <c r="D209" s="6" t="str">
        <f>IFERROR(__xludf.DUMMYFUNCTION("""COMPUTED_VALUE"""),"Zievah")</f>
        <v>Zievah</v>
      </c>
      <c r="E209" s="6" t="str">
        <f>IFERROR(__xludf.DUMMYFUNCTION("""COMPUTED_VALUE"""),"")</f>
        <v/>
      </c>
      <c r="F209" s="6" t="str">
        <f>IFERROR(__xludf.DUMMYFUNCTION("""COMPUTED_VALUE"""),"Larsen")</f>
        <v>Larsen</v>
      </c>
      <c r="G209" s="6" t="str">
        <f>IFERROR(__xludf.DUMMYFUNCTION("""COMPUTED_VALUE"""),"02/26/2012")</f>
        <v>02/26/2012</v>
      </c>
      <c r="H209" s="6" t="str">
        <f>IFERROR(__xludf.DUMMYFUNCTION("""COMPUTED_VALUE"""),"Self Identify")</f>
        <v>Self Identify</v>
      </c>
      <c r="I209" s="6" t="str">
        <f>IFERROR(__xludf.DUMMYFUNCTION("""COMPUTED_VALUE"""),"Middle School")</f>
        <v>Middle School</v>
      </c>
      <c r="J209" s="6" t="str">
        <f>IFERROR(__xludf.DUMMYFUNCTION("""COMPUTED_VALUE"""),"8")</f>
        <v>8</v>
      </c>
      <c r="K209" s="6" t="str">
        <f>IFERROR(__xludf.DUMMYFUNCTION("""COMPUTED_VALUE"""),"zievah.larsen@2hourlearning.com")</f>
        <v>zievah.larsen@2hourlearning.com</v>
      </c>
      <c r="L209" s="6" t="str">
        <f>IFERROR(__xludf.DUMMYFUNCTION("""COMPUTED_VALUE"""),"Alpha Anywhere (homeschool)")</f>
        <v>Alpha Anywhere (homeschool)</v>
      </c>
      <c r="M209" s="6" t="str">
        <f>IFERROR(__xludf.DUMMYFUNCTION("""COMPUTED_VALUE"""),"")</f>
        <v/>
      </c>
      <c r="N209" s="6" t="str">
        <f>IFERROR(__xludf.DUMMYFUNCTION("""COMPUTED_VALUE"""),"")</f>
        <v/>
      </c>
      <c r="O209" s="87" t="str">
        <f>IFERROR(__xludf.DUMMYFUNCTION("""COMPUTED_VALUE"""),"https://drive.google.com/drive/folders/10T2cTQHqEJZqE-st6uFKPoI?usp=share_link")</f>
        <v>https://drive.google.com/drive/folders/10T2cTQHqEJZqE-st6uFKPoI?usp=share_link</v>
      </c>
      <c r="P209" s="6" t="str">
        <f>IFERROR(__xludf.DUMMYFUNCTION("""COMPUTED_VALUE"""),"Zievah Larsen")</f>
        <v>Zievah Larsen</v>
      </c>
      <c r="Q209" s="6" t="str">
        <f>IFERROR(__xludf.DUMMYFUNCTION("""COMPUTED_VALUE"""),"MS")</f>
        <v>MS</v>
      </c>
      <c r="R209" s="6">
        <f>IFERROR(__xludf.DUMMYFUNCTION("""COMPUTED_VALUE"""),0.0)</f>
        <v>0</v>
      </c>
      <c r="S209" s="6" t="str">
        <f>IFERROR(__xludf.DUMMYFUNCTION("""COMPUTED_VALUE""")," ")</f>
        <v> </v>
      </c>
      <c r="T209" s="6" t="str">
        <f>IFERROR(__xludf.DUMMYFUNCTION("""COMPUTED_VALUE"""),"")</f>
        <v/>
      </c>
      <c r="U209" s="6" t="str">
        <f>IFERROR(__xludf.DUMMYFUNCTION("""COMPUTED_VALUE"""),"8")</f>
        <v>8</v>
      </c>
      <c r="V209" s="6" t="str">
        <f>IFERROR(__xludf.DUMMYFUNCTION("""COMPUTED_VALUE"""),"")</f>
        <v/>
      </c>
      <c r="W209" s="6" t="str">
        <f>IFERROR(__xludf.DUMMYFUNCTION("""COMPUTED_VALUE"""),"[]")</f>
        <v>[]</v>
      </c>
      <c r="X209" s="6" t="str">
        <f>IFERROR(__xludf.DUMMYFUNCTION("""COMPUTED_VALUE"""),"Enrolled")</f>
        <v>Enrolled</v>
      </c>
    </row>
    <row r="210">
      <c r="A210" s="6" t="str">
        <f>IFERROR(__xludf.DUMMYFUNCTION("""COMPUTED_VALUE"""),"000-4712")</f>
        <v>000-4712</v>
      </c>
      <c r="B210" s="6" t="str">
        <f>IFERROR(__xludf.DUMMYFUNCTION("""COMPUTED_VALUE"""),"0")</f>
        <v>0</v>
      </c>
      <c r="C210" s="6" t="str">
        <f>IFERROR(__xludf.DUMMYFUNCTION("""COMPUTED_VALUE"""),"4712")</f>
        <v>4712</v>
      </c>
      <c r="D210" s="6" t="str">
        <f>IFERROR(__xludf.DUMMYFUNCTION("""COMPUTED_VALUE"""),"Victoria-Belle")</f>
        <v>Victoria-Belle</v>
      </c>
      <c r="E210" s="6" t="str">
        <f>IFERROR(__xludf.DUMMYFUNCTION("""COMPUTED_VALUE"""),"")</f>
        <v/>
      </c>
      <c r="F210" s="6" t="str">
        <f>IFERROR(__xludf.DUMMYFUNCTION("""COMPUTED_VALUE"""),"Morris")</f>
        <v>Morris</v>
      </c>
      <c r="G210" s="6" t="str">
        <f>IFERROR(__xludf.DUMMYFUNCTION("""COMPUTED_VALUE"""),"09/14/2017")</f>
        <v>09/14/2017</v>
      </c>
      <c r="H210" s="6" t="str">
        <f>IFERROR(__xludf.DUMMYFUNCTION("""COMPUTED_VALUE"""),"female")</f>
        <v>female</v>
      </c>
      <c r="I210" s="6" t="str">
        <f>IFERROR(__xludf.DUMMYFUNCTION("""COMPUTED_VALUE"""),"Level 1")</f>
        <v>Level 1</v>
      </c>
      <c r="J210" s="6" t="str">
        <f>IFERROR(__xludf.DUMMYFUNCTION("""COMPUTED_VALUE"""),"2")</f>
        <v>2</v>
      </c>
      <c r="K210" s="6" t="str">
        <f>IFERROR(__xludf.DUMMYFUNCTION("""COMPUTED_VALUE"""),"victoria-belle.morris@2hourlearning.com")</f>
        <v>victoria-belle.morris@2hourlearning.com</v>
      </c>
      <c r="L210" s="6" t="str">
        <f>IFERROR(__xludf.DUMMYFUNCTION("""COMPUTED_VALUE"""),"Alpha Anywhere (homeschool)")</f>
        <v>Alpha Anywhere (homeschool)</v>
      </c>
      <c r="M210" s="6" t="str">
        <f>IFERROR(__xludf.DUMMYFUNCTION("""COMPUTED_VALUE"""),"")</f>
        <v/>
      </c>
      <c r="N210" s="6" t="str">
        <f>IFERROR(__xludf.DUMMYFUNCTION("""COMPUTED_VALUE"""),"")</f>
        <v/>
      </c>
      <c r="O210" s="87" t="str">
        <f>IFERROR(__xludf.DUMMYFUNCTION("""COMPUTED_VALUE"""),"https://drive.google.com/drive/folders/10T2cTQHqEJZqE-st6uFKPoI?usp=share_link")</f>
        <v>https://drive.google.com/drive/folders/10T2cTQHqEJZqE-st6uFKPoI?usp=share_link</v>
      </c>
      <c r="P210" s="6" t="str">
        <f>IFERROR(__xludf.DUMMYFUNCTION("""COMPUTED_VALUE"""),"Victoria-Belle Morris")</f>
        <v>Victoria-Belle Morris</v>
      </c>
      <c r="Q210" s="6" t="str">
        <f>IFERROR(__xludf.DUMMYFUNCTION("""COMPUTED_VALUE"""),"L1")</f>
        <v>L1</v>
      </c>
      <c r="R210" s="6">
        <f>IFERROR(__xludf.DUMMYFUNCTION("""COMPUTED_VALUE"""),1.0)</f>
        <v>1</v>
      </c>
      <c r="S210" s="6" t="str">
        <f>IFERROR(__xludf.DUMMYFUNCTION("""COMPUTED_VALUE""")," ")</f>
        <v> </v>
      </c>
      <c r="T210" s="6" t="str">
        <f>IFERROR(__xludf.DUMMYFUNCTION("""COMPUTED_VALUE"""),"")</f>
        <v/>
      </c>
      <c r="U210" s="6" t="str">
        <f>IFERROR(__xludf.DUMMYFUNCTION("""COMPUTED_VALUE"""),"2")</f>
        <v>2</v>
      </c>
      <c r="V210" s="6" t="str">
        <f>IFERROR(__xludf.DUMMYFUNCTION("""COMPUTED_VALUE"""),"")</f>
        <v/>
      </c>
      <c r="W210" s="6" t="str">
        <f>IFERROR(__xludf.DUMMYFUNCTION("""COMPUTED_VALUE"""),"[]")</f>
        <v>[]</v>
      </c>
      <c r="X210" s="6" t="str">
        <f>IFERROR(__xludf.DUMMYFUNCTION("""COMPUTED_VALUE"""),"Enrolled")</f>
        <v>Enrolled</v>
      </c>
    </row>
    <row r="211">
      <c r="A211" s="6" t="str">
        <f>IFERROR(__xludf.DUMMYFUNCTION("""COMPUTED_VALUE"""),"000-4729")</f>
        <v>000-4729</v>
      </c>
      <c r="B211" s="6" t="str">
        <f>IFERROR(__xludf.DUMMYFUNCTION("""COMPUTED_VALUE"""),"0")</f>
        <v>0</v>
      </c>
      <c r="C211" s="6" t="str">
        <f>IFERROR(__xludf.DUMMYFUNCTION("""COMPUTED_VALUE"""),"4729")</f>
        <v>4729</v>
      </c>
      <c r="D211" s="6" t="str">
        <f>IFERROR(__xludf.DUMMYFUNCTION("""COMPUTED_VALUE"""),"Josephine")</f>
        <v>Josephine</v>
      </c>
      <c r="E211" s="6" t="str">
        <f>IFERROR(__xludf.DUMMYFUNCTION("""COMPUTED_VALUE"""),"Josi")</f>
        <v>Josi</v>
      </c>
      <c r="F211" s="6" t="str">
        <f>IFERROR(__xludf.DUMMYFUNCTION("""COMPUTED_VALUE"""),"Posillico")</f>
        <v>Posillico</v>
      </c>
      <c r="G211" s="6" t="str">
        <f>IFERROR(__xludf.DUMMYFUNCTION("""COMPUTED_VALUE"""),"12/25/2012")</f>
        <v>12/25/2012</v>
      </c>
      <c r="H211" s="6" t="str">
        <f>IFERROR(__xludf.DUMMYFUNCTION("""COMPUTED_VALUE"""),"female")</f>
        <v>female</v>
      </c>
      <c r="I211" s="6" t="str">
        <f>IFERROR(__xludf.DUMMYFUNCTION("""COMPUTED_VALUE"""),"Middle School")</f>
        <v>Middle School</v>
      </c>
      <c r="J211" s="6" t="str">
        <f>IFERROR(__xludf.DUMMYFUNCTION("""COMPUTED_VALUE"""),"7")</f>
        <v>7</v>
      </c>
      <c r="K211" s="6" t="str">
        <f>IFERROR(__xludf.DUMMYFUNCTION("""COMPUTED_VALUE"""),"josephine.posillico@2hourlearning.com")</f>
        <v>josephine.posillico@2hourlearning.com</v>
      </c>
      <c r="L211" s="6" t="str">
        <f>IFERROR(__xludf.DUMMYFUNCTION("""COMPUTED_VALUE"""),"Alpha Anywhere (homeschool)")</f>
        <v>Alpha Anywhere (homeschool)</v>
      </c>
      <c r="M211" s="6" t="str">
        <f>IFERROR(__xludf.DUMMYFUNCTION("""COMPUTED_VALUE"""),"")</f>
        <v/>
      </c>
      <c r="N211" s="6" t="str">
        <f>IFERROR(__xludf.DUMMYFUNCTION("""COMPUTED_VALUE"""),"")</f>
        <v/>
      </c>
      <c r="O211" s="87" t="str">
        <f>IFERROR(__xludf.DUMMYFUNCTION("""COMPUTED_VALUE"""),"https://drive.google.com/drive/folders/10T2cTQHqEJZqE-st6uFKPoI?usp=share_link")</f>
        <v>https://drive.google.com/drive/folders/10T2cTQHqEJZqE-st6uFKPoI?usp=share_link</v>
      </c>
      <c r="P211" s="6" t="str">
        <f>IFERROR(__xludf.DUMMYFUNCTION("""COMPUTED_VALUE"""),"Josi Posillico")</f>
        <v>Josi Posillico</v>
      </c>
      <c r="Q211" s="6" t="str">
        <f>IFERROR(__xludf.DUMMYFUNCTION("""COMPUTED_VALUE"""),"MS")</f>
        <v>MS</v>
      </c>
      <c r="R211" s="6">
        <f>IFERROR(__xludf.DUMMYFUNCTION("""COMPUTED_VALUE"""),0.0)</f>
        <v>0</v>
      </c>
      <c r="S211" s="6" t="str">
        <f>IFERROR(__xludf.DUMMYFUNCTION("""COMPUTED_VALUE""")," ")</f>
        <v> </v>
      </c>
      <c r="T211" s="6" t="str">
        <f>IFERROR(__xludf.DUMMYFUNCTION("""COMPUTED_VALUE"""),"")</f>
        <v/>
      </c>
      <c r="U211" s="6" t="str">
        <f>IFERROR(__xludf.DUMMYFUNCTION("""COMPUTED_VALUE"""),"7")</f>
        <v>7</v>
      </c>
      <c r="V211" s="6" t="str">
        <f>IFERROR(__xludf.DUMMYFUNCTION("""COMPUTED_VALUE"""),"")</f>
        <v/>
      </c>
      <c r="W211" s="6" t="str">
        <f>IFERROR(__xludf.DUMMYFUNCTION("""COMPUTED_VALUE"""),"[]")</f>
        <v>[]</v>
      </c>
      <c r="X211" s="6" t="str">
        <f>IFERROR(__xludf.DUMMYFUNCTION("""COMPUTED_VALUE"""),"Enrolled")</f>
        <v>Enrolled</v>
      </c>
    </row>
    <row r="212">
      <c r="A212" s="6" t="str">
        <f>IFERROR(__xludf.DUMMYFUNCTION("""COMPUTED_VALUE"""),"000-4732")</f>
        <v>000-4732</v>
      </c>
      <c r="B212" s="6" t="str">
        <f>IFERROR(__xludf.DUMMYFUNCTION("""COMPUTED_VALUE"""),"0")</f>
        <v>0</v>
      </c>
      <c r="C212" s="6" t="str">
        <f>IFERROR(__xludf.DUMMYFUNCTION("""COMPUTED_VALUE"""),"4732")</f>
        <v>4732</v>
      </c>
      <c r="D212" s="6" t="str">
        <f>IFERROR(__xludf.DUMMYFUNCTION("""COMPUTED_VALUE"""),"Ian")</f>
        <v>Ian</v>
      </c>
      <c r="E212" s="6" t="str">
        <f>IFERROR(__xludf.DUMMYFUNCTION("""COMPUTED_VALUE"""),"")</f>
        <v/>
      </c>
      <c r="F212" s="6" t="str">
        <f>IFERROR(__xludf.DUMMYFUNCTION("""COMPUTED_VALUE"""),"Snead")</f>
        <v>Snead</v>
      </c>
      <c r="G212" s="6" t="str">
        <f>IFERROR(__xludf.DUMMYFUNCTION("""COMPUTED_VALUE"""),"07/13/2013")</f>
        <v>07/13/2013</v>
      </c>
      <c r="H212" s="6" t="str">
        <f>IFERROR(__xludf.DUMMYFUNCTION("""COMPUTED_VALUE"""),"male")</f>
        <v>male</v>
      </c>
      <c r="I212" s="6" t="str">
        <f>IFERROR(__xludf.DUMMYFUNCTION("""COMPUTED_VALUE"""),"Middle School")</f>
        <v>Middle School</v>
      </c>
      <c r="J212" s="6" t="str">
        <f>IFERROR(__xludf.DUMMYFUNCTION("""COMPUTED_VALUE"""),"6")</f>
        <v>6</v>
      </c>
      <c r="K212" s="6" t="str">
        <f>IFERROR(__xludf.DUMMYFUNCTION("""COMPUTED_VALUE"""),"ian.snead@2hourlearning.com")</f>
        <v>ian.snead@2hourlearning.com</v>
      </c>
      <c r="L212" s="6" t="str">
        <f>IFERROR(__xludf.DUMMYFUNCTION("""COMPUTED_VALUE"""),"Alpha Anywhere (homeschool)")</f>
        <v>Alpha Anywhere (homeschool)</v>
      </c>
      <c r="M212" s="6" t="str">
        <f>IFERROR(__xludf.DUMMYFUNCTION("""COMPUTED_VALUE"""),"")</f>
        <v/>
      </c>
      <c r="N212" s="6" t="str">
        <f>IFERROR(__xludf.DUMMYFUNCTION("""COMPUTED_VALUE"""),"")</f>
        <v/>
      </c>
      <c r="O212" s="87" t="str">
        <f>IFERROR(__xludf.DUMMYFUNCTION("""COMPUTED_VALUE"""),"https://drive.google.com/drive/folders/10T2cTQHqEJZqE-st6uFKPoI?usp=share_link")</f>
        <v>https://drive.google.com/drive/folders/10T2cTQHqEJZqE-st6uFKPoI?usp=share_link</v>
      </c>
      <c r="P212" s="6" t="str">
        <f>IFERROR(__xludf.DUMMYFUNCTION("""COMPUTED_VALUE"""),"Ian Snead")</f>
        <v>Ian Snead</v>
      </c>
      <c r="Q212" s="6" t="str">
        <f>IFERROR(__xludf.DUMMYFUNCTION("""COMPUTED_VALUE"""),"MS")</f>
        <v>MS</v>
      </c>
      <c r="R212" s="6">
        <f>IFERROR(__xludf.DUMMYFUNCTION("""COMPUTED_VALUE"""),0.0)</f>
        <v>0</v>
      </c>
      <c r="S212" s="6" t="str">
        <f>IFERROR(__xludf.DUMMYFUNCTION("""COMPUTED_VALUE""")," ")</f>
        <v> </v>
      </c>
      <c r="T212" s="6" t="str">
        <f>IFERROR(__xludf.DUMMYFUNCTION("""COMPUTED_VALUE"""),"")</f>
        <v/>
      </c>
      <c r="U212" s="6" t="str">
        <f>IFERROR(__xludf.DUMMYFUNCTION("""COMPUTED_VALUE"""),"6")</f>
        <v>6</v>
      </c>
      <c r="V212" s="6" t="str">
        <f>IFERROR(__xludf.DUMMYFUNCTION("""COMPUTED_VALUE"""),"")</f>
        <v/>
      </c>
      <c r="W212" s="6" t="str">
        <f>IFERROR(__xludf.DUMMYFUNCTION("""COMPUTED_VALUE"""),"[]")</f>
        <v>[]</v>
      </c>
      <c r="X212" s="6" t="str">
        <f>IFERROR(__xludf.DUMMYFUNCTION("""COMPUTED_VALUE"""),"Enrolled")</f>
        <v>Enrolled</v>
      </c>
    </row>
    <row r="213">
      <c r="A213" s="6" t="str">
        <f>IFERROR(__xludf.DUMMYFUNCTION("""COMPUTED_VALUE"""),"000-4733")</f>
        <v>000-4733</v>
      </c>
      <c r="B213" s="6" t="str">
        <f>IFERROR(__xludf.DUMMYFUNCTION("""COMPUTED_VALUE"""),"0")</f>
        <v>0</v>
      </c>
      <c r="C213" s="6" t="str">
        <f>IFERROR(__xludf.DUMMYFUNCTION("""COMPUTED_VALUE"""),"4733")</f>
        <v>4733</v>
      </c>
      <c r="D213" s="6" t="str">
        <f>IFERROR(__xludf.DUMMYFUNCTION("""COMPUTED_VALUE"""),"Ace")</f>
        <v>Ace</v>
      </c>
      <c r="E213" s="6" t="str">
        <f>IFERROR(__xludf.DUMMYFUNCTION("""COMPUTED_VALUE"""),"")</f>
        <v/>
      </c>
      <c r="F213" s="6" t="str">
        <f>IFERROR(__xludf.DUMMYFUNCTION("""COMPUTED_VALUE"""),"Snead")</f>
        <v>Snead</v>
      </c>
      <c r="G213" s="6" t="str">
        <f>IFERROR(__xludf.DUMMYFUNCTION("""COMPUTED_VALUE"""),"07/03/2017")</f>
        <v>07/03/2017</v>
      </c>
      <c r="H213" s="6" t="str">
        <f>IFERROR(__xludf.DUMMYFUNCTION("""COMPUTED_VALUE"""),"male")</f>
        <v>male</v>
      </c>
      <c r="I213" s="6" t="str">
        <f>IFERROR(__xludf.DUMMYFUNCTION("""COMPUTED_VALUE"""),"Level 1")</f>
        <v>Level 1</v>
      </c>
      <c r="J213" s="6" t="str">
        <f>IFERROR(__xludf.DUMMYFUNCTION("""COMPUTED_VALUE"""),"3")</f>
        <v>3</v>
      </c>
      <c r="K213" s="6" t="str">
        <f>IFERROR(__xludf.DUMMYFUNCTION("""COMPUTED_VALUE"""),"ace.snead@2hourlearning.com")</f>
        <v>ace.snead@2hourlearning.com</v>
      </c>
      <c r="L213" s="6" t="str">
        <f>IFERROR(__xludf.DUMMYFUNCTION("""COMPUTED_VALUE"""),"Alpha Anywhere (homeschool)")</f>
        <v>Alpha Anywhere (homeschool)</v>
      </c>
      <c r="M213" s="6" t="str">
        <f>IFERROR(__xludf.DUMMYFUNCTION("""COMPUTED_VALUE"""),"")</f>
        <v/>
      </c>
      <c r="N213" s="6" t="str">
        <f>IFERROR(__xludf.DUMMYFUNCTION("""COMPUTED_VALUE"""),"")</f>
        <v/>
      </c>
      <c r="O213" s="87" t="str">
        <f>IFERROR(__xludf.DUMMYFUNCTION("""COMPUTED_VALUE"""),"https://drive.google.com/drive/folders/10T2cTQHqEJZqE-st6uFKPoI?usp=share_link")</f>
        <v>https://drive.google.com/drive/folders/10T2cTQHqEJZqE-st6uFKPoI?usp=share_link</v>
      </c>
      <c r="P213" s="6" t="str">
        <f>IFERROR(__xludf.DUMMYFUNCTION("""COMPUTED_VALUE"""),"Ace Snead")</f>
        <v>Ace Snead</v>
      </c>
      <c r="Q213" s="6" t="str">
        <f>IFERROR(__xludf.DUMMYFUNCTION("""COMPUTED_VALUE"""),"L1")</f>
        <v>L1</v>
      </c>
      <c r="R213" s="6">
        <f>IFERROR(__xludf.DUMMYFUNCTION("""COMPUTED_VALUE"""),1.0)</f>
        <v>1</v>
      </c>
      <c r="S213" s="6" t="str">
        <f>IFERROR(__xludf.DUMMYFUNCTION("""COMPUTED_VALUE""")," ")</f>
        <v> </v>
      </c>
      <c r="T213" s="6" t="str">
        <f>IFERROR(__xludf.DUMMYFUNCTION("""COMPUTED_VALUE"""),"")</f>
        <v/>
      </c>
      <c r="U213" s="6" t="str">
        <f>IFERROR(__xludf.DUMMYFUNCTION("""COMPUTED_VALUE"""),"3")</f>
        <v>3</v>
      </c>
      <c r="V213" s="6" t="str">
        <f>IFERROR(__xludf.DUMMYFUNCTION("""COMPUTED_VALUE"""),"")</f>
        <v/>
      </c>
      <c r="W213" s="6" t="str">
        <f>IFERROR(__xludf.DUMMYFUNCTION("""COMPUTED_VALUE"""),"[]")</f>
        <v>[]</v>
      </c>
      <c r="X213" s="6" t="str">
        <f>IFERROR(__xludf.DUMMYFUNCTION("""COMPUTED_VALUE"""),"Enrolled")</f>
        <v>Enrolled</v>
      </c>
    </row>
    <row r="214">
      <c r="A214" s="6" t="str">
        <f>IFERROR(__xludf.DUMMYFUNCTION("""COMPUTED_VALUE"""),"000-4735")</f>
        <v>000-4735</v>
      </c>
      <c r="B214" s="6" t="str">
        <f>IFERROR(__xludf.DUMMYFUNCTION("""COMPUTED_VALUE"""),"0")</f>
        <v>0</v>
      </c>
      <c r="C214" s="6" t="str">
        <f>IFERROR(__xludf.DUMMYFUNCTION("""COMPUTED_VALUE"""),"4735")</f>
        <v>4735</v>
      </c>
      <c r="D214" s="6" t="str">
        <f>IFERROR(__xludf.DUMMYFUNCTION("""COMPUTED_VALUE"""),"Cooper")</f>
        <v>Cooper</v>
      </c>
      <c r="E214" s="6" t="str">
        <f>IFERROR(__xludf.DUMMYFUNCTION("""COMPUTED_VALUE"""),"")</f>
        <v/>
      </c>
      <c r="F214" s="6" t="str">
        <f>IFERROR(__xludf.DUMMYFUNCTION("""COMPUTED_VALUE"""),"Baldwin")</f>
        <v>Baldwin</v>
      </c>
      <c r="G214" s="6" t="str">
        <f>IFERROR(__xludf.DUMMYFUNCTION("""COMPUTED_VALUE"""),"03/15/2016")</f>
        <v>03/15/2016</v>
      </c>
      <c r="H214" s="6" t="str">
        <f>IFERROR(__xludf.DUMMYFUNCTION("""COMPUTED_VALUE"""),"male")</f>
        <v>male</v>
      </c>
      <c r="I214" s="6" t="str">
        <f>IFERROR(__xludf.DUMMYFUNCTION("""COMPUTED_VALUE"""),"Level 2")</f>
        <v>Level 2</v>
      </c>
      <c r="J214" s="6" t="str">
        <f>IFERROR(__xludf.DUMMYFUNCTION("""COMPUTED_VALUE"""),"4")</f>
        <v>4</v>
      </c>
      <c r="K214" s="6" t="str">
        <f>IFERROR(__xludf.DUMMYFUNCTION("""COMPUTED_VALUE"""),"cooper.baldwin@2hourlearning.com")</f>
        <v>cooper.baldwin@2hourlearning.com</v>
      </c>
      <c r="L214" s="6" t="str">
        <f>IFERROR(__xludf.DUMMYFUNCTION("""COMPUTED_VALUE"""),"Alpha Anywhere (homeschool)")</f>
        <v>Alpha Anywhere (homeschool)</v>
      </c>
      <c r="M214" s="6" t="str">
        <f>IFERROR(__xludf.DUMMYFUNCTION("""COMPUTED_VALUE"""),"")</f>
        <v/>
      </c>
      <c r="N214" s="6" t="str">
        <f>IFERROR(__xludf.DUMMYFUNCTION("""COMPUTED_VALUE"""),"")</f>
        <v/>
      </c>
      <c r="O214" s="87" t="str">
        <f>IFERROR(__xludf.DUMMYFUNCTION("""COMPUTED_VALUE"""),"https://drive.google.com/drive/folders/10T2cTQHqEJZqE-st6uFKPoI?usp=share_link")</f>
        <v>https://drive.google.com/drive/folders/10T2cTQHqEJZqE-st6uFKPoI?usp=share_link</v>
      </c>
      <c r="P214" s="6" t="str">
        <f>IFERROR(__xludf.DUMMYFUNCTION("""COMPUTED_VALUE"""),"Cooper Baldwin")</f>
        <v>Cooper Baldwin</v>
      </c>
      <c r="Q214" s="6" t="str">
        <f>IFERROR(__xludf.DUMMYFUNCTION("""COMPUTED_VALUE"""),"L2")</f>
        <v>L2</v>
      </c>
      <c r="R214" s="6">
        <f>IFERROR(__xludf.DUMMYFUNCTION("""COMPUTED_VALUE"""),2.0)</f>
        <v>2</v>
      </c>
      <c r="S214" s="6" t="str">
        <f>IFERROR(__xludf.DUMMYFUNCTION("""COMPUTED_VALUE""")," ")</f>
        <v> </v>
      </c>
      <c r="T214" s="6" t="str">
        <f>IFERROR(__xludf.DUMMYFUNCTION("""COMPUTED_VALUE"""),"")</f>
        <v/>
      </c>
      <c r="U214" s="6" t="str">
        <f>IFERROR(__xludf.DUMMYFUNCTION("""COMPUTED_VALUE"""),"4")</f>
        <v>4</v>
      </c>
      <c r="V214" s="6" t="str">
        <f>IFERROR(__xludf.DUMMYFUNCTION("""COMPUTED_VALUE"""),"")</f>
        <v/>
      </c>
      <c r="W214" s="6" t="str">
        <f>IFERROR(__xludf.DUMMYFUNCTION("""COMPUTED_VALUE"""),"[]")</f>
        <v>[]</v>
      </c>
      <c r="X214" s="6" t="str">
        <f>IFERROR(__xludf.DUMMYFUNCTION("""COMPUTED_VALUE"""),"Enrolled")</f>
        <v>Enrolled</v>
      </c>
    </row>
    <row r="215">
      <c r="A215" s="6" t="str">
        <f>IFERROR(__xludf.DUMMYFUNCTION("""COMPUTED_VALUE"""),"000-4756")</f>
        <v>000-4756</v>
      </c>
      <c r="B215" s="6" t="str">
        <f>IFERROR(__xludf.DUMMYFUNCTION("""COMPUTED_VALUE"""),"0")</f>
        <v>0</v>
      </c>
      <c r="C215" s="6" t="str">
        <f>IFERROR(__xludf.DUMMYFUNCTION("""COMPUTED_VALUE"""),"4756")</f>
        <v>4756</v>
      </c>
      <c r="D215" s="6" t="str">
        <f>IFERROR(__xludf.DUMMYFUNCTION("""COMPUTED_VALUE"""),"Catherine")</f>
        <v>Catherine</v>
      </c>
      <c r="E215" s="6" t="str">
        <f>IFERROR(__xludf.DUMMYFUNCTION("""COMPUTED_VALUE"""),"")</f>
        <v/>
      </c>
      <c r="F215" s="6" t="str">
        <f>IFERROR(__xludf.DUMMYFUNCTION("""COMPUTED_VALUE"""),"Solis")</f>
        <v>Solis</v>
      </c>
      <c r="G215" s="6" t="str">
        <f>IFERROR(__xludf.DUMMYFUNCTION("""COMPUTED_VALUE"""),"12/20/2011")</f>
        <v>12/20/2011</v>
      </c>
      <c r="H215" s="6" t="str">
        <f>IFERROR(__xludf.DUMMYFUNCTION("""COMPUTED_VALUE"""),"Self Identify")</f>
        <v>Self Identify</v>
      </c>
      <c r="I215" s="6" t="str">
        <f>IFERROR(__xludf.DUMMYFUNCTION("""COMPUTED_VALUE"""),"Middle School")</f>
        <v>Middle School</v>
      </c>
      <c r="J215" s="6" t="str">
        <f>IFERROR(__xludf.DUMMYFUNCTION("""COMPUTED_VALUE"""),"8")</f>
        <v>8</v>
      </c>
      <c r="K215" s="6" t="str">
        <f>IFERROR(__xludf.DUMMYFUNCTION("""COMPUTED_VALUE"""),"catherine.solis1@2hourlearning.com")</f>
        <v>catherine.solis1@2hourlearning.com</v>
      </c>
      <c r="L215" s="6" t="str">
        <f>IFERROR(__xludf.DUMMYFUNCTION("""COMPUTED_VALUE"""),"Alpha Anywhere (homeschool)")</f>
        <v>Alpha Anywhere (homeschool)</v>
      </c>
      <c r="M215" s="6" t="str">
        <f>IFERROR(__xludf.DUMMYFUNCTION("""COMPUTED_VALUE"""),"")</f>
        <v/>
      </c>
      <c r="N215" s="6" t="str">
        <f>IFERROR(__xludf.DUMMYFUNCTION("""COMPUTED_VALUE"""),"")</f>
        <v/>
      </c>
      <c r="O215" s="87" t="str">
        <f>IFERROR(__xludf.DUMMYFUNCTION("""COMPUTED_VALUE"""),"https://drive.google.com/drive/folders/10T2cTQHqEJZqE-st6uFKPoI?usp=share_link")</f>
        <v>https://drive.google.com/drive/folders/10T2cTQHqEJZqE-st6uFKPoI?usp=share_link</v>
      </c>
      <c r="P215" s="6" t="str">
        <f>IFERROR(__xludf.DUMMYFUNCTION("""COMPUTED_VALUE"""),"Catherine Solis")</f>
        <v>Catherine Solis</v>
      </c>
      <c r="Q215" s="6" t="str">
        <f>IFERROR(__xludf.DUMMYFUNCTION("""COMPUTED_VALUE"""),"MS")</f>
        <v>MS</v>
      </c>
      <c r="R215" s="6">
        <f>IFERROR(__xludf.DUMMYFUNCTION("""COMPUTED_VALUE"""),0.0)</f>
        <v>0</v>
      </c>
      <c r="S215" s="6" t="str">
        <f>IFERROR(__xludf.DUMMYFUNCTION("""COMPUTED_VALUE""")," ")</f>
        <v> </v>
      </c>
      <c r="T215" s="6" t="str">
        <f>IFERROR(__xludf.DUMMYFUNCTION("""COMPUTED_VALUE"""),"")</f>
        <v/>
      </c>
      <c r="U215" s="6" t="str">
        <f>IFERROR(__xludf.DUMMYFUNCTION("""COMPUTED_VALUE"""),"8")</f>
        <v>8</v>
      </c>
      <c r="V215" s="6" t="str">
        <f>IFERROR(__xludf.DUMMYFUNCTION("""COMPUTED_VALUE"""),"")</f>
        <v/>
      </c>
      <c r="W215" s="6" t="str">
        <f>IFERROR(__xludf.DUMMYFUNCTION("""COMPUTED_VALUE"""),"[]")</f>
        <v>[]</v>
      </c>
      <c r="X215" s="6" t="str">
        <f>IFERROR(__xludf.DUMMYFUNCTION("""COMPUTED_VALUE"""),"Enrolled")</f>
        <v>Enrolled</v>
      </c>
    </row>
    <row r="216">
      <c r="A216" s="6" t="str">
        <f>IFERROR(__xludf.DUMMYFUNCTION("""COMPUTED_VALUE"""),"000-4757")</f>
        <v>000-4757</v>
      </c>
      <c r="B216" s="6" t="str">
        <f>IFERROR(__xludf.DUMMYFUNCTION("""COMPUTED_VALUE"""),"0")</f>
        <v>0</v>
      </c>
      <c r="C216" s="6" t="str">
        <f>IFERROR(__xludf.DUMMYFUNCTION("""COMPUTED_VALUE"""),"4757")</f>
        <v>4757</v>
      </c>
      <c r="D216" s="6" t="str">
        <f>IFERROR(__xludf.DUMMYFUNCTION("""COMPUTED_VALUE"""),"Alexander")</f>
        <v>Alexander</v>
      </c>
      <c r="E216" s="6" t="str">
        <f>IFERROR(__xludf.DUMMYFUNCTION("""COMPUTED_VALUE"""),"")</f>
        <v/>
      </c>
      <c r="F216" s="6" t="str">
        <f>IFERROR(__xludf.DUMMYFUNCTION("""COMPUTED_VALUE"""),"Solis")</f>
        <v>Solis</v>
      </c>
      <c r="G216" s="6" t="str">
        <f>IFERROR(__xludf.DUMMYFUNCTION("""COMPUTED_VALUE"""),"10/19/2013")</f>
        <v>10/19/2013</v>
      </c>
      <c r="H216" s="6" t="str">
        <f>IFERROR(__xludf.DUMMYFUNCTION("""COMPUTED_VALUE"""),"Self Identify")</f>
        <v>Self Identify</v>
      </c>
      <c r="I216" s="6" t="str">
        <f>IFERROR(__xludf.DUMMYFUNCTION("""COMPUTED_VALUE"""),"Middle School")</f>
        <v>Middle School</v>
      </c>
      <c r="J216" s="6" t="str">
        <f>IFERROR(__xludf.DUMMYFUNCTION("""COMPUTED_VALUE"""),"6")</f>
        <v>6</v>
      </c>
      <c r="K216" s="6" t="str">
        <f>IFERROR(__xludf.DUMMYFUNCTION("""COMPUTED_VALUE"""),"alexander.solis1@2hourlearning.com")</f>
        <v>alexander.solis1@2hourlearning.com</v>
      </c>
      <c r="L216" s="6" t="str">
        <f>IFERROR(__xludf.DUMMYFUNCTION("""COMPUTED_VALUE"""),"Alpha Anywhere (homeschool)")</f>
        <v>Alpha Anywhere (homeschool)</v>
      </c>
      <c r="M216" s="6" t="str">
        <f>IFERROR(__xludf.DUMMYFUNCTION("""COMPUTED_VALUE"""),"")</f>
        <v/>
      </c>
      <c r="N216" s="6" t="str">
        <f>IFERROR(__xludf.DUMMYFUNCTION("""COMPUTED_VALUE"""),"")</f>
        <v/>
      </c>
      <c r="O216" s="87" t="str">
        <f>IFERROR(__xludf.DUMMYFUNCTION("""COMPUTED_VALUE"""),"https://drive.google.com/drive/folders/10T2cTQHqEJZqE-st6uFKPoI?usp=share_link")</f>
        <v>https://drive.google.com/drive/folders/10T2cTQHqEJZqE-st6uFKPoI?usp=share_link</v>
      </c>
      <c r="P216" s="6" t="str">
        <f>IFERROR(__xludf.DUMMYFUNCTION("""COMPUTED_VALUE"""),"Alexander Solis")</f>
        <v>Alexander Solis</v>
      </c>
      <c r="Q216" s="6" t="str">
        <f>IFERROR(__xludf.DUMMYFUNCTION("""COMPUTED_VALUE"""),"MS")</f>
        <v>MS</v>
      </c>
      <c r="R216" s="6">
        <f>IFERROR(__xludf.DUMMYFUNCTION("""COMPUTED_VALUE"""),0.0)</f>
        <v>0</v>
      </c>
      <c r="S216" s="6" t="str">
        <f>IFERROR(__xludf.DUMMYFUNCTION("""COMPUTED_VALUE""")," ")</f>
        <v> </v>
      </c>
      <c r="T216" s="6" t="str">
        <f>IFERROR(__xludf.DUMMYFUNCTION("""COMPUTED_VALUE"""),"")</f>
        <v/>
      </c>
      <c r="U216" s="6" t="str">
        <f>IFERROR(__xludf.DUMMYFUNCTION("""COMPUTED_VALUE"""),"6")</f>
        <v>6</v>
      </c>
      <c r="V216" s="6" t="str">
        <f>IFERROR(__xludf.DUMMYFUNCTION("""COMPUTED_VALUE"""),"")</f>
        <v/>
      </c>
      <c r="W216" s="6" t="str">
        <f>IFERROR(__xludf.DUMMYFUNCTION("""COMPUTED_VALUE"""),"[]")</f>
        <v>[]</v>
      </c>
      <c r="X216" s="6" t="str">
        <f>IFERROR(__xludf.DUMMYFUNCTION("""COMPUTED_VALUE"""),"Enrolled")</f>
        <v>Enrolled</v>
      </c>
    </row>
    <row r="217">
      <c r="A217" s="6" t="str">
        <f>IFERROR(__xludf.DUMMYFUNCTION("""COMPUTED_VALUE"""),"000-4758")</f>
        <v>000-4758</v>
      </c>
      <c r="B217" s="6" t="str">
        <f>IFERROR(__xludf.DUMMYFUNCTION("""COMPUTED_VALUE"""),"0")</f>
        <v>0</v>
      </c>
      <c r="C217" s="6" t="str">
        <f>IFERROR(__xludf.DUMMYFUNCTION("""COMPUTED_VALUE"""),"4758")</f>
        <v>4758</v>
      </c>
      <c r="D217" s="6" t="str">
        <f>IFERROR(__xludf.DUMMYFUNCTION("""COMPUTED_VALUE"""),"Christopher")</f>
        <v>Christopher</v>
      </c>
      <c r="E217" s="6" t="str">
        <f>IFERROR(__xludf.DUMMYFUNCTION("""COMPUTED_VALUE"""),"")</f>
        <v/>
      </c>
      <c r="F217" s="6" t="str">
        <f>IFERROR(__xludf.DUMMYFUNCTION("""COMPUTED_VALUE"""),"Solis")</f>
        <v>Solis</v>
      </c>
      <c r="G217" s="6" t="str">
        <f>IFERROR(__xludf.DUMMYFUNCTION("""COMPUTED_VALUE"""),"02/08/2015")</f>
        <v>02/08/2015</v>
      </c>
      <c r="H217" s="6" t="str">
        <f>IFERROR(__xludf.DUMMYFUNCTION("""COMPUTED_VALUE"""),"Self Identify")</f>
        <v>Self Identify</v>
      </c>
      <c r="I217" s="6" t="str">
        <f>IFERROR(__xludf.DUMMYFUNCTION("""COMPUTED_VALUE"""),"Level 2")</f>
        <v>Level 2</v>
      </c>
      <c r="J217" s="6" t="str">
        <f>IFERROR(__xludf.DUMMYFUNCTION("""COMPUTED_VALUE"""),"5")</f>
        <v>5</v>
      </c>
      <c r="K217" s="6" t="str">
        <f>IFERROR(__xludf.DUMMYFUNCTION("""COMPUTED_VALUE"""),"christopher.solis1@2hourlearning.com")</f>
        <v>christopher.solis1@2hourlearning.com</v>
      </c>
      <c r="L217" s="6" t="str">
        <f>IFERROR(__xludf.DUMMYFUNCTION("""COMPUTED_VALUE"""),"Alpha Anywhere (homeschool)")</f>
        <v>Alpha Anywhere (homeschool)</v>
      </c>
      <c r="M217" s="6" t="str">
        <f>IFERROR(__xludf.DUMMYFUNCTION("""COMPUTED_VALUE"""),"")</f>
        <v/>
      </c>
      <c r="N217" s="6" t="str">
        <f>IFERROR(__xludf.DUMMYFUNCTION("""COMPUTED_VALUE"""),"")</f>
        <v/>
      </c>
      <c r="O217" s="87" t="str">
        <f>IFERROR(__xludf.DUMMYFUNCTION("""COMPUTED_VALUE"""),"https://drive.google.com/drive/folders/10T2cTQHqEJZqE-st6uFKPoI?usp=share_link")</f>
        <v>https://drive.google.com/drive/folders/10T2cTQHqEJZqE-st6uFKPoI?usp=share_link</v>
      </c>
      <c r="P217" s="6" t="str">
        <f>IFERROR(__xludf.DUMMYFUNCTION("""COMPUTED_VALUE"""),"Christopher Solis")</f>
        <v>Christopher Solis</v>
      </c>
      <c r="Q217" s="6" t="str">
        <f>IFERROR(__xludf.DUMMYFUNCTION("""COMPUTED_VALUE"""),"L2")</f>
        <v>L2</v>
      </c>
      <c r="R217" s="6">
        <f>IFERROR(__xludf.DUMMYFUNCTION("""COMPUTED_VALUE"""),2.0)</f>
        <v>2</v>
      </c>
      <c r="S217" s="6" t="str">
        <f>IFERROR(__xludf.DUMMYFUNCTION("""COMPUTED_VALUE""")," ")</f>
        <v> </v>
      </c>
      <c r="T217" s="6" t="str">
        <f>IFERROR(__xludf.DUMMYFUNCTION("""COMPUTED_VALUE"""),"")</f>
        <v/>
      </c>
      <c r="U217" s="6" t="str">
        <f>IFERROR(__xludf.DUMMYFUNCTION("""COMPUTED_VALUE"""),"5")</f>
        <v>5</v>
      </c>
      <c r="V217" s="6" t="str">
        <f>IFERROR(__xludf.DUMMYFUNCTION("""COMPUTED_VALUE"""),"")</f>
        <v/>
      </c>
      <c r="W217" s="6" t="str">
        <f>IFERROR(__xludf.DUMMYFUNCTION("""COMPUTED_VALUE"""),"[]")</f>
        <v>[]</v>
      </c>
      <c r="X217" s="6" t="str">
        <f>IFERROR(__xludf.DUMMYFUNCTION("""COMPUTED_VALUE"""),"Enrolled")</f>
        <v>Enrolled</v>
      </c>
    </row>
    <row r="218">
      <c r="A218" s="6" t="str">
        <f>IFERROR(__xludf.DUMMYFUNCTION("""COMPUTED_VALUE"""),"000-4759")</f>
        <v>000-4759</v>
      </c>
      <c r="B218" s="6" t="str">
        <f>IFERROR(__xludf.DUMMYFUNCTION("""COMPUTED_VALUE"""),"0")</f>
        <v>0</v>
      </c>
      <c r="C218" s="6" t="str">
        <f>IFERROR(__xludf.DUMMYFUNCTION("""COMPUTED_VALUE"""),"4759")</f>
        <v>4759</v>
      </c>
      <c r="D218" s="6" t="str">
        <f>IFERROR(__xludf.DUMMYFUNCTION("""COMPUTED_VALUE"""),"Anthony")</f>
        <v>Anthony</v>
      </c>
      <c r="E218" s="6" t="str">
        <f>IFERROR(__xludf.DUMMYFUNCTION("""COMPUTED_VALUE"""),"")</f>
        <v/>
      </c>
      <c r="F218" s="6" t="str">
        <f>IFERROR(__xludf.DUMMYFUNCTION("""COMPUTED_VALUE"""),"Solis")</f>
        <v>Solis</v>
      </c>
      <c r="G218" s="6" t="str">
        <f>IFERROR(__xludf.DUMMYFUNCTION("""COMPUTED_VALUE"""),"03/07/2016")</f>
        <v>03/07/2016</v>
      </c>
      <c r="H218" s="6" t="str">
        <f>IFERROR(__xludf.DUMMYFUNCTION("""COMPUTED_VALUE"""),"Self Identify")</f>
        <v>Self Identify</v>
      </c>
      <c r="I218" s="6" t="str">
        <f>IFERROR(__xludf.DUMMYFUNCTION("""COMPUTED_VALUE"""),"Level 2")</f>
        <v>Level 2</v>
      </c>
      <c r="J218" s="6" t="str">
        <f>IFERROR(__xludf.DUMMYFUNCTION("""COMPUTED_VALUE"""),"4")</f>
        <v>4</v>
      </c>
      <c r="K218" s="6" t="str">
        <f>IFERROR(__xludf.DUMMYFUNCTION("""COMPUTED_VALUE"""),"anthony.solis1@2hourlearning.com")</f>
        <v>anthony.solis1@2hourlearning.com</v>
      </c>
      <c r="L218" s="6" t="str">
        <f>IFERROR(__xludf.DUMMYFUNCTION("""COMPUTED_VALUE"""),"Alpha Anywhere (homeschool)")</f>
        <v>Alpha Anywhere (homeschool)</v>
      </c>
      <c r="M218" s="6" t="str">
        <f>IFERROR(__xludf.DUMMYFUNCTION("""COMPUTED_VALUE"""),"")</f>
        <v/>
      </c>
      <c r="N218" s="6" t="str">
        <f>IFERROR(__xludf.DUMMYFUNCTION("""COMPUTED_VALUE"""),"")</f>
        <v/>
      </c>
      <c r="O218" s="87" t="str">
        <f>IFERROR(__xludf.DUMMYFUNCTION("""COMPUTED_VALUE"""),"https://drive.google.com/drive/folders/10T2cTQHqEJZqE-st6uFKPoI?usp=share_link")</f>
        <v>https://drive.google.com/drive/folders/10T2cTQHqEJZqE-st6uFKPoI?usp=share_link</v>
      </c>
      <c r="P218" s="6" t="str">
        <f>IFERROR(__xludf.DUMMYFUNCTION("""COMPUTED_VALUE"""),"Anthony Solis")</f>
        <v>Anthony Solis</v>
      </c>
      <c r="Q218" s="6" t="str">
        <f>IFERROR(__xludf.DUMMYFUNCTION("""COMPUTED_VALUE"""),"L2")</f>
        <v>L2</v>
      </c>
      <c r="R218" s="6">
        <f>IFERROR(__xludf.DUMMYFUNCTION("""COMPUTED_VALUE"""),2.0)</f>
        <v>2</v>
      </c>
      <c r="S218" s="6" t="str">
        <f>IFERROR(__xludf.DUMMYFUNCTION("""COMPUTED_VALUE""")," ")</f>
        <v> </v>
      </c>
      <c r="T218" s="6" t="str">
        <f>IFERROR(__xludf.DUMMYFUNCTION("""COMPUTED_VALUE"""),"")</f>
        <v/>
      </c>
      <c r="U218" s="6" t="str">
        <f>IFERROR(__xludf.DUMMYFUNCTION("""COMPUTED_VALUE"""),"4")</f>
        <v>4</v>
      </c>
      <c r="V218" s="6" t="str">
        <f>IFERROR(__xludf.DUMMYFUNCTION("""COMPUTED_VALUE"""),"")</f>
        <v/>
      </c>
      <c r="W218" s="6" t="str">
        <f>IFERROR(__xludf.DUMMYFUNCTION("""COMPUTED_VALUE"""),"[]")</f>
        <v>[]</v>
      </c>
      <c r="X218" s="6" t="str">
        <f>IFERROR(__xludf.DUMMYFUNCTION("""COMPUTED_VALUE"""),"Enrolled")</f>
        <v>Enrolled</v>
      </c>
    </row>
    <row r="219">
      <c r="A219" s="6" t="str">
        <f>IFERROR(__xludf.DUMMYFUNCTION("""COMPUTED_VALUE"""),"000-4764")</f>
        <v>000-4764</v>
      </c>
      <c r="B219" s="6" t="str">
        <f>IFERROR(__xludf.DUMMYFUNCTION("""COMPUTED_VALUE"""),"0")</f>
        <v>0</v>
      </c>
      <c r="C219" s="6" t="str">
        <f>IFERROR(__xludf.DUMMYFUNCTION("""COMPUTED_VALUE"""),"4764")</f>
        <v>4764</v>
      </c>
      <c r="D219" s="6" t="str">
        <f>IFERROR(__xludf.DUMMYFUNCTION("""COMPUTED_VALUE"""),"Ezra")</f>
        <v>Ezra</v>
      </c>
      <c r="E219" s="6" t="str">
        <f>IFERROR(__xludf.DUMMYFUNCTION("""COMPUTED_VALUE"""),"")</f>
        <v/>
      </c>
      <c r="F219" s="6" t="str">
        <f>IFERROR(__xludf.DUMMYFUNCTION("""COMPUTED_VALUE"""),"Henderscheid")</f>
        <v>Henderscheid</v>
      </c>
      <c r="G219" s="6" t="str">
        <f>IFERROR(__xludf.DUMMYFUNCTION("""COMPUTED_VALUE"""),"03/20/2015")</f>
        <v>03/20/2015</v>
      </c>
      <c r="H219" s="6" t="str">
        <f>IFERROR(__xludf.DUMMYFUNCTION("""COMPUTED_VALUE"""),"Self Identify")</f>
        <v>Self Identify</v>
      </c>
      <c r="I219" s="6" t="str">
        <f>IFERROR(__xludf.DUMMYFUNCTION("""COMPUTED_VALUE"""),"Level 2")</f>
        <v>Level 2</v>
      </c>
      <c r="J219" s="6" t="str">
        <f>IFERROR(__xludf.DUMMYFUNCTION("""COMPUTED_VALUE"""),"5")</f>
        <v>5</v>
      </c>
      <c r="K219" s="6" t="str">
        <f>IFERROR(__xludf.DUMMYFUNCTION("""COMPUTED_VALUE"""),"ezra.henderscheid@2hourlearning.com")</f>
        <v>ezra.henderscheid@2hourlearning.com</v>
      </c>
      <c r="L219" s="6" t="str">
        <f>IFERROR(__xludf.DUMMYFUNCTION("""COMPUTED_VALUE"""),"Alpha Anywhere (homeschool)")</f>
        <v>Alpha Anywhere (homeschool)</v>
      </c>
      <c r="M219" s="6" t="str">
        <f>IFERROR(__xludf.DUMMYFUNCTION("""COMPUTED_VALUE"""),"")</f>
        <v/>
      </c>
      <c r="N219" s="6" t="str">
        <f>IFERROR(__xludf.DUMMYFUNCTION("""COMPUTED_VALUE"""),"")</f>
        <v/>
      </c>
      <c r="O219" s="87" t="str">
        <f>IFERROR(__xludf.DUMMYFUNCTION("""COMPUTED_VALUE"""),"https://drive.google.com/drive/folders/10T2cTQHqEJZqE-st6uFKPoI?usp=share_link")</f>
        <v>https://drive.google.com/drive/folders/10T2cTQHqEJZqE-st6uFKPoI?usp=share_link</v>
      </c>
      <c r="P219" s="6" t="str">
        <f>IFERROR(__xludf.DUMMYFUNCTION("""COMPUTED_VALUE"""),"Ezra Henderscheid")</f>
        <v>Ezra Henderscheid</v>
      </c>
      <c r="Q219" s="6" t="str">
        <f>IFERROR(__xludf.DUMMYFUNCTION("""COMPUTED_VALUE"""),"L2")</f>
        <v>L2</v>
      </c>
      <c r="R219" s="6">
        <f>IFERROR(__xludf.DUMMYFUNCTION("""COMPUTED_VALUE"""),2.0)</f>
        <v>2</v>
      </c>
      <c r="S219" s="6" t="str">
        <f>IFERROR(__xludf.DUMMYFUNCTION("""COMPUTED_VALUE""")," ")</f>
        <v> </v>
      </c>
      <c r="T219" s="6" t="str">
        <f>IFERROR(__xludf.DUMMYFUNCTION("""COMPUTED_VALUE"""),"")</f>
        <v/>
      </c>
      <c r="U219" s="6" t="str">
        <f>IFERROR(__xludf.DUMMYFUNCTION("""COMPUTED_VALUE"""),"5")</f>
        <v>5</v>
      </c>
      <c r="V219" s="6" t="str">
        <f>IFERROR(__xludf.DUMMYFUNCTION("""COMPUTED_VALUE"""),"")</f>
        <v/>
      </c>
      <c r="W219" s="6" t="str">
        <f>IFERROR(__xludf.DUMMYFUNCTION("""COMPUTED_VALUE"""),"[]")</f>
        <v>[]</v>
      </c>
      <c r="X219" s="6" t="str">
        <f>IFERROR(__xludf.DUMMYFUNCTION("""COMPUTED_VALUE"""),"Enrolled")</f>
        <v>Enrolled</v>
      </c>
    </row>
    <row r="220">
      <c r="A220" s="6" t="str">
        <f>IFERROR(__xludf.DUMMYFUNCTION("""COMPUTED_VALUE"""),"000-4765")</f>
        <v>000-4765</v>
      </c>
      <c r="B220" s="6" t="str">
        <f>IFERROR(__xludf.DUMMYFUNCTION("""COMPUTED_VALUE"""),"0")</f>
        <v>0</v>
      </c>
      <c r="C220" s="6" t="str">
        <f>IFERROR(__xludf.DUMMYFUNCTION("""COMPUTED_VALUE"""),"4765")</f>
        <v>4765</v>
      </c>
      <c r="D220" s="6" t="str">
        <f>IFERROR(__xludf.DUMMYFUNCTION("""COMPUTED_VALUE"""),"Gideon")</f>
        <v>Gideon</v>
      </c>
      <c r="E220" s="6" t="str">
        <f>IFERROR(__xludf.DUMMYFUNCTION("""COMPUTED_VALUE"""),"")</f>
        <v/>
      </c>
      <c r="F220" s="6" t="str">
        <f>IFERROR(__xludf.DUMMYFUNCTION("""COMPUTED_VALUE"""),"Henderscheid")</f>
        <v>Henderscheid</v>
      </c>
      <c r="G220" s="6" t="str">
        <f>IFERROR(__xludf.DUMMYFUNCTION("""COMPUTED_VALUE"""),"11/18/2013")</f>
        <v>11/18/2013</v>
      </c>
      <c r="H220" s="6" t="str">
        <f>IFERROR(__xludf.DUMMYFUNCTION("""COMPUTED_VALUE"""),"Self Identify")</f>
        <v>Self Identify</v>
      </c>
      <c r="I220" s="6" t="str">
        <f>IFERROR(__xludf.DUMMYFUNCTION("""COMPUTED_VALUE"""),"Middle School")</f>
        <v>Middle School</v>
      </c>
      <c r="J220" s="6" t="str">
        <f>IFERROR(__xludf.DUMMYFUNCTION("""COMPUTED_VALUE"""),"6")</f>
        <v>6</v>
      </c>
      <c r="K220" s="6" t="str">
        <f>IFERROR(__xludf.DUMMYFUNCTION("""COMPUTED_VALUE"""),"gideon.henderscheid@2hourlearning.com")</f>
        <v>gideon.henderscheid@2hourlearning.com</v>
      </c>
      <c r="L220" s="6" t="str">
        <f>IFERROR(__xludf.DUMMYFUNCTION("""COMPUTED_VALUE"""),"Alpha Anywhere (homeschool)")</f>
        <v>Alpha Anywhere (homeschool)</v>
      </c>
      <c r="M220" s="6" t="str">
        <f>IFERROR(__xludf.DUMMYFUNCTION("""COMPUTED_VALUE"""),"")</f>
        <v/>
      </c>
      <c r="N220" s="6" t="str">
        <f>IFERROR(__xludf.DUMMYFUNCTION("""COMPUTED_VALUE"""),"")</f>
        <v/>
      </c>
      <c r="O220" s="87" t="str">
        <f>IFERROR(__xludf.DUMMYFUNCTION("""COMPUTED_VALUE"""),"https://drive.google.com/drive/folders/10T2cTQHqEJZqE-st6uFKPoI?usp=share_link")</f>
        <v>https://drive.google.com/drive/folders/10T2cTQHqEJZqE-st6uFKPoI?usp=share_link</v>
      </c>
      <c r="P220" s="6" t="str">
        <f>IFERROR(__xludf.DUMMYFUNCTION("""COMPUTED_VALUE"""),"Gideon Henderscheid")</f>
        <v>Gideon Henderscheid</v>
      </c>
      <c r="Q220" s="6" t="str">
        <f>IFERROR(__xludf.DUMMYFUNCTION("""COMPUTED_VALUE"""),"MS")</f>
        <v>MS</v>
      </c>
      <c r="R220" s="6">
        <f>IFERROR(__xludf.DUMMYFUNCTION("""COMPUTED_VALUE"""),0.0)</f>
        <v>0</v>
      </c>
      <c r="S220" s="6" t="str">
        <f>IFERROR(__xludf.DUMMYFUNCTION("""COMPUTED_VALUE""")," ")</f>
        <v> </v>
      </c>
      <c r="T220" s="6" t="str">
        <f>IFERROR(__xludf.DUMMYFUNCTION("""COMPUTED_VALUE"""),"")</f>
        <v/>
      </c>
      <c r="U220" s="6" t="str">
        <f>IFERROR(__xludf.DUMMYFUNCTION("""COMPUTED_VALUE"""),"6")</f>
        <v>6</v>
      </c>
      <c r="V220" s="6" t="str">
        <f>IFERROR(__xludf.DUMMYFUNCTION("""COMPUTED_VALUE"""),"")</f>
        <v/>
      </c>
      <c r="W220" s="6" t="str">
        <f>IFERROR(__xludf.DUMMYFUNCTION("""COMPUTED_VALUE"""),"[]")</f>
        <v>[]</v>
      </c>
      <c r="X220" s="6" t="str">
        <f>IFERROR(__xludf.DUMMYFUNCTION("""COMPUTED_VALUE"""),"Enrolled")</f>
        <v>Enrolled</v>
      </c>
    </row>
    <row r="221">
      <c r="A221" s="6" t="str">
        <f>IFERROR(__xludf.DUMMYFUNCTION("""COMPUTED_VALUE"""),"000-4772")</f>
        <v>000-4772</v>
      </c>
      <c r="B221" s="6" t="str">
        <f>IFERROR(__xludf.DUMMYFUNCTION("""COMPUTED_VALUE"""),"0")</f>
        <v>0</v>
      </c>
      <c r="C221" s="6" t="str">
        <f>IFERROR(__xludf.DUMMYFUNCTION("""COMPUTED_VALUE"""),"4772")</f>
        <v>4772</v>
      </c>
      <c r="D221" s="6" t="str">
        <f>IFERROR(__xludf.DUMMYFUNCTION("""COMPUTED_VALUE"""),"Atlas")</f>
        <v>Atlas</v>
      </c>
      <c r="E221" s="6" t="str">
        <f>IFERROR(__xludf.DUMMYFUNCTION("""COMPUTED_VALUE"""),"")</f>
        <v/>
      </c>
      <c r="F221" s="6" t="str">
        <f>IFERROR(__xludf.DUMMYFUNCTION("""COMPUTED_VALUE"""),"Dahl")</f>
        <v>Dahl</v>
      </c>
      <c r="G221" s="6" t="str">
        <f>IFERROR(__xludf.DUMMYFUNCTION("""COMPUTED_VALUE"""),"11/13/2015")</f>
        <v>11/13/2015</v>
      </c>
      <c r="H221" s="6" t="str">
        <f>IFERROR(__xludf.DUMMYFUNCTION("""COMPUTED_VALUE"""),"Self Identify")</f>
        <v>Self Identify</v>
      </c>
      <c r="I221" s="6" t="str">
        <f>IFERROR(__xludf.DUMMYFUNCTION("""COMPUTED_VALUE"""),"Level 1")</f>
        <v>Level 1</v>
      </c>
      <c r="J221" s="6" t="str">
        <f>IFERROR(__xludf.DUMMYFUNCTION("""COMPUTED_VALUE"""),"3")</f>
        <v>3</v>
      </c>
      <c r="K221" s="6" t="str">
        <f>IFERROR(__xludf.DUMMYFUNCTION("""COMPUTED_VALUE"""),"atlas.dahl@2hourlearning.com")</f>
        <v>atlas.dahl@2hourlearning.com</v>
      </c>
      <c r="L221" s="6" t="str">
        <f>IFERROR(__xludf.DUMMYFUNCTION("""COMPUTED_VALUE"""),"Alpha Anywhere (homeschool)")</f>
        <v>Alpha Anywhere (homeschool)</v>
      </c>
      <c r="M221" s="6" t="str">
        <f>IFERROR(__xludf.DUMMYFUNCTION("""COMPUTED_VALUE"""),"")</f>
        <v/>
      </c>
      <c r="N221" s="6" t="str">
        <f>IFERROR(__xludf.DUMMYFUNCTION("""COMPUTED_VALUE"""),"")</f>
        <v/>
      </c>
      <c r="O221" s="87" t="str">
        <f>IFERROR(__xludf.DUMMYFUNCTION("""COMPUTED_VALUE"""),"https://drive.google.com/drive/folders/10T2cTQHqEJZqE-st6uFKPoI?usp=share_link")</f>
        <v>https://drive.google.com/drive/folders/10T2cTQHqEJZqE-st6uFKPoI?usp=share_link</v>
      </c>
      <c r="P221" s="6" t="str">
        <f>IFERROR(__xludf.DUMMYFUNCTION("""COMPUTED_VALUE"""),"Atlas Dahl")</f>
        <v>Atlas Dahl</v>
      </c>
      <c r="Q221" s="6" t="str">
        <f>IFERROR(__xludf.DUMMYFUNCTION("""COMPUTED_VALUE"""),"L1")</f>
        <v>L1</v>
      </c>
      <c r="R221" s="6">
        <f>IFERROR(__xludf.DUMMYFUNCTION("""COMPUTED_VALUE"""),1.0)</f>
        <v>1</v>
      </c>
      <c r="S221" s="6" t="str">
        <f>IFERROR(__xludf.DUMMYFUNCTION("""COMPUTED_VALUE""")," ")</f>
        <v> </v>
      </c>
      <c r="T221" s="6" t="str">
        <f>IFERROR(__xludf.DUMMYFUNCTION("""COMPUTED_VALUE"""),"")</f>
        <v/>
      </c>
      <c r="U221" s="6" t="str">
        <f>IFERROR(__xludf.DUMMYFUNCTION("""COMPUTED_VALUE"""),"3")</f>
        <v>3</v>
      </c>
      <c r="V221" s="6" t="str">
        <f>IFERROR(__xludf.DUMMYFUNCTION("""COMPUTED_VALUE"""),"")</f>
        <v/>
      </c>
      <c r="W221" s="6" t="str">
        <f>IFERROR(__xludf.DUMMYFUNCTION("""COMPUTED_VALUE"""),"[]")</f>
        <v>[]</v>
      </c>
      <c r="X221" s="6" t="str">
        <f>IFERROR(__xludf.DUMMYFUNCTION("""COMPUTED_VALUE"""),"Enrolled")</f>
        <v>Enrolled</v>
      </c>
    </row>
    <row r="222">
      <c r="A222" s="6" t="str">
        <f>IFERROR(__xludf.DUMMYFUNCTION("""COMPUTED_VALUE"""),"000-4785")</f>
        <v>000-4785</v>
      </c>
      <c r="B222" s="6" t="str">
        <f>IFERROR(__xludf.DUMMYFUNCTION("""COMPUTED_VALUE"""),"0")</f>
        <v>0</v>
      </c>
      <c r="C222" s="6" t="str">
        <f>IFERROR(__xludf.DUMMYFUNCTION("""COMPUTED_VALUE"""),"4785")</f>
        <v>4785</v>
      </c>
      <c r="D222" s="6" t="str">
        <f>IFERROR(__xludf.DUMMYFUNCTION("""COMPUTED_VALUE"""),"Aleph")</f>
        <v>Aleph</v>
      </c>
      <c r="E222" s="6" t="str">
        <f>IFERROR(__xludf.DUMMYFUNCTION("""COMPUTED_VALUE"""),"")</f>
        <v/>
      </c>
      <c r="F222" s="6" t="str">
        <f>IFERROR(__xludf.DUMMYFUNCTION("""COMPUTED_VALUE"""),"de Sousa")</f>
        <v>de Sousa</v>
      </c>
      <c r="G222" s="6" t="str">
        <f>IFERROR(__xludf.DUMMYFUNCTION("""COMPUTED_VALUE"""),"04/18/2017")</f>
        <v>04/18/2017</v>
      </c>
      <c r="H222" s="6" t="str">
        <f>IFERROR(__xludf.DUMMYFUNCTION("""COMPUTED_VALUE"""),"Self Identify")</f>
        <v>Self Identify</v>
      </c>
      <c r="I222" s="6" t="str">
        <f>IFERROR(__xludf.DUMMYFUNCTION("""COMPUTED_VALUE"""),"Level 1")</f>
        <v>Level 1</v>
      </c>
      <c r="J222" s="6" t="str">
        <f>IFERROR(__xludf.DUMMYFUNCTION("""COMPUTED_VALUE"""),"3")</f>
        <v>3</v>
      </c>
      <c r="K222" s="6" t="str">
        <f>IFERROR(__xludf.DUMMYFUNCTION("""COMPUTED_VALUE"""),"aleph.de.sousa@2hourlearning.com")</f>
        <v>aleph.de.sousa@2hourlearning.com</v>
      </c>
      <c r="L222" s="6" t="str">
        <f>IFERROR(__xludf.DUMMYFUNCTION("""COMPUTED_VALUE"""),"Alpha Anywhere (homeschool)")</f>
        <v>Alpha Anywhere (homeschool)</v>
      </c>
      <c r="M222" s="6" t="str">
        <f>IFERROR(__xludf.DUMMYFUNCTION("""COMPUTED_VALUE"""),"")</f>
        <v/>
      </c>
      <c r="N222" s="6" t="str">
        <f>IFERROR(__xludf.DUMMYFUNCTION("""COMPUTED_VALUE"""),"")</f>
        <v/>
      </c>
      <c r="O222" s="87" t="str">
        <f>IFERROR(__xludf.DUMMYFUNCTION("""COMPUTED_VALUE"""),"https://drive.google.com/drive/folders/10T2cTQHqEJZqE-st6uFKPoI?usp=share_link")</f>
        <v>https://drive.google.com/drive/folders/10T2cTQHqEJZqE-st6uFKPoI?usp=share_link</v>
      </c>
      <c r="P222" s="6" t="str">
        <f>IFERROR(__xludf.DUMMYFUNCTION("""COMPUTED_VALUE"""),"Aleph de Sousa")</f>
        <v>Aleph de Sousa</v>
      </c>
      <c r="Q222" s="6" t="str">
        <f>IFERROR(__xludf.DUMMYFUNCTION("""COMPUTED_VALUE"""),"L1")</f>
        <v>L1</v>
      </c>
      <c r="R222" s="6">
        <f>IFERROR(__xludf.DUMMYFUNCTION("""COMPUTED_VALUE"""),1.0)</f>
        <v>1</v>
      </c>
      <c r="S222" s="6" t="str">
        <f>IFERROR(__xludf.DUMMYFUNCTION("""COMPUTED_VALUE""")," ")</f>
        <v> </v>
      </c>
      <c r="T222" s="6" t="str">
        <f>IFERROR(__xludf.DUMMYFUNCTION("""COMPUTED_VALUE"""),"")</f>
        <v/>
      </c>
      <c r="U222" s="6" t="str">
        <f>IFERROR(__xludf.DUMMYFUNCTION("""COMPUTED_VALUE"""),"3")</f>
        <v>3</v>
      </c>
      <c r="V222" s="6" t="str">
        <f>IFERROR(__xludf.DUMMYFUNCTION("""COMPUTED_VALUE"""),"")</f>
        <v/>
      </c>
      <c r="W222" s="6" t="str">
        <f>IFERROR(__xludf.DUMMYFUNCTION("""COMPUTED_VALUE"""),"[]")</f>
        <v>[]</v>
      </c>
      <c r="X222" s="6" t="str">
        <f>IFERROR(__xludf.DUMMYFUNCTION("""COMPUTED_VALUE"""),"Enrolled")</f>
        <v>Enrolled</v>
      </c>
    </row>
    <row r="223">
      <c r="A223" s="6" t="str">
        <f>IFERROR(__xludf.DUMMYFUNCTION("""COMPUTED_VALUE"""),"000-4787")</f>
        <v>000-4787</v>
      </c>
      <c r="B223" s="6" t="str">
        <f>IFERROR(__xludf.DUMMYFUNCTION("""COMPUTED_VALUE"""),"0")</f>
        <v>0</v>
      </c>
      <c r="C223" s="6" t="str">
        <f>IFERROR(__xludf.DUMMYFUNCTION("""COMPUTED_VALUE"""),"4787")</f>
        <v>4787</v>
      </c>
      <c r="D223" s="6" t="str">
        <f>IFERROR(__xludf.DUMMYFUNCTION("""COMPUTED_VALUE"""),"Gunnar")</f>
        <v>Gunnar</v>
      </c>
      <c r="E223" s="6" t="str">
        <f>IFERROR(__xludf.DUMMYFUNCTION("""COMPUTED_VALUE"""),"")</f>
        <v/>
      </c>
      <c r="F223" s="6" t="str">
        <f>IFERROR(__xludf.DUMMYFUNCTION("""COMPUTED_VALUE"""),"Flatland")</f>
        <v>Flatland</v>
      </c>
      <c r="G223" s="6" t="str">
        <f>IFERROR(__xludf.DUMMYFUNCTION("""COMPUTED_VALUE"""),"05/05/2014")</f>
        <v>05/05/2014</v>
      </c>
      <c r="H223" s="6" t="str">
        <f>IFERROR(__xludf.DUMMYFUNCTION("""COMPUTED_VALUE"""),"Self Identify")</f>
        <v>Self Identify</v>
      </c>
      <c r="I223" s="6" t="str">
        <f>IFERROR(__xludf.DUMMYFUNCTION("""COMPUTED_VALUE"""),"Middle School")</f>
        <v>Middle School</v>
      </c>
      <c r="J223" s="6" t="str">
        <f>IFERROR(__xludf.DUMMYFUNCTION("""COMPUTED_VALUE"""),"6")</f>
        <v>6</v>
      </c>
      <c r="K223" s="6" t="str">
        <f>IFERROR(__xludf.DUMMYFUNCTION("""COMPUTED_VALUE"""),"gunnar.flatland@2hourlearning.com")</f>
        <v>gunnar.flatland@2hourlearning.com</v>
      </c>
      <c r="L223" s="6" t="str">
        <f>IFERROR(__xludf.DUMMYFUNCTION("""COMPUTED_VALUE"""),"Alpha Anywhere (homeschool)")</f>
        <v>Alpha Anywhere (homeschool)</v>
      </c>
      <c r="M223" s="6" t="str">
        <f>IFERROR(__xludf.DUMMYFUNCTION("""COMPUTED_VALUE"""),"")</f>
        <v/>
      </c>
      <c r="N223" s="6" t="str">
        <f>IFERROR(__xludf.DUMMYFUNCTION("""COMPUTED_VALUE"""),"")</f>
        <v/>
      </c>
      <c r="O223" s="87" t="str">
        <f>IFERROR(__xludf.DUMMYFUNCTION("""COMPUTED_VALUE"""),"https://drive.google.com/drive/folders/10T2cTQHqEJZqE-st6uFKPoI?usp=share_link")</f>
        <v>https://drive.google.com/drive/folders/10T2cTQHqEJZqE-st6uFKPoI?usp=share_link</v>
      </c>
      <c r="P223" s="6" t="str">
        <f>IFERROR(__xludf.DUMMYFUNCTION("""COMPUTED_VALUE"""),"Gunnar Flatland")</f>
        <v>Gunnar Flatland</v>
      </c>
      <c r="Q223" s="6" t="str">
        <f>IFERROR(__xludf.DUMMYFUNCTION("""COMPUTED_VALUE"""),"MS")</f>
        <v>MS</v>
      </c>
      <c r="R223" s="6">
        <f>IFERROR(__xludf.DUMMYFUNCTION("""COMPUTED_VALUE"""),0.0)</f>
        <v>0</v>
      </c>
      <c r="S223" s="6" t="str">
        <f>IFERROR(__xludf.DUMMYFUNCTION("""COMPUTED_VALUE""")," ")</f>
        <v> </v>
      </c>
      <c r="T223" s="6" t="str">
        <f>IFERROR(__xludf.DUMMYFUNCTION("""COMPUTED_VALUE"""),"")</f>
        <v/>
      </c>
      <c r="U223" s="6" t="str">
        <f>IFERROR(__xludf.DUMMYFUNCTION("""COMPUTED_VALUE"""),"6")</f>
        <v>6</v>
      </c>
      <c r="V223" s="6" t="str">
        <f>IFERROR(__xludf.DUMMYFUNCTION("""COMPUTED_VALUE"""),"")</f>
        <v/>
      </c>
      <c r="W223" s="6" t="str">
        <f>IFERROR(__xludf.DUMMYFUNCTION("""COMPUTED_VALUE"""),"[]")</f>
        <v>[]</v>
      </c>
      <c r="X223" s="6" t="str">
        <f>IFERROR(__xludf.DUMMYFUNCTION("""COMPUTED_VALUE"""),"Enrolled")</f>
        <v>Enrolled</v>
      </c>
    </row>
    <row r="224">
      <c r="A224" s="6" t="str">
        <f>IFERROR(__xludf.DUMMYFUNCTION("""COMPUTED_VALUE"""),"000-4817")</f>
        <v>000-4817</v>
      </c>
      <c r="B224" s="6" t="str">
        <f>IFERROR(__xludf.DUMMYFUNCTION("""COMPUTED_VALUE"""),"0")</f>
        <v>0</v>
      </c>
      <c r="C224" s="6" t="str">
        <f>IFERROR(__xludf.DUMMYFUNCTION("""COMPUTED_VALUE"""),"4817")</f>
        <v>4817</v>
      </c>
      <c r="D224" s="6" t="str">
        <f>IFERROR(__xludf.DUMMYFUNCTION("""COMPUTED_VALUE"""),"Jan")</f>
        <v>Jan</v>
      </c>
      <c r="E224" s="6" t="str">
        <f>IFERROR(__xludf.DUMMYFUNCTION("""COMPUTED_VALUE"""),"")</f>
        <v/>
      </c>
      <c r="F224" s="6" t="str">
        <f>IFERROR(__xludf.DUMMYFUNCTION("""COMPUTED_VALUE"""),"Olpinski")</f>
        <v>Olpinski</v>
      </c>
      <c r="G224" s="6" t="str">
        <f>IFERROR(__xludf.DUMMYFUNCTION("""COMPUTED_VALUE"""),"07/27/2015")</f>
        <v>07/27/2015</v>
      </c>
      <c r="H224" s="6" t="str">
        <f>IFERROR(__xludf.DUMMYFUNCTION("""COMPUTED_VALUE"""),"Self Identify")</f>
        <v>Self Identify</v>
      </c>
      <c r="I224" s="6" t="str">
        <f>IFERROR(__xludf.DUMMYFUNCTION("""COMPUTED_VALUE"""),"Level 2")</f>
        <v>Level 2</v>
      </c>
      <c r="J224" s="6" t="str">
        <f>IFERROR(__xludf.DUMMYFUNCTION("""COMPUTED_VALUE"""),"5")</f>
        <v>5</v>
      </c>
      <c r="K224" s="6" t="str">
        <f>IFERROR(__xludf.DUMMYFUNCTION("""COMPUTED_VALUE"""),"jan.olpinski@2hourlearning.com")</f>
        <v>jan.olpinski@2hourlearning.com</v>
      </c>
      <c r="L224" s="6" t="str">
        <f>IFERROR(__xludf.DUMMYFUNCTION("""COMPUTED_VALUE"""),"Alpha Anywhere (homeschool)")</f>
        <v>Alpha Anywhere (homeschool)</v>
      </c>
      <c r="M224" s="6" t="str">
        <f>IFERROR(__xludf.DUMMYFUNCTION("""COMPUTED_VALUE"""),"")</f>
        <v/>
      </c>
      <c r="N224" s="6" t="str">
        <f>IFERROR(__xludf.DUMMYFUNCTION("""COMPUTED_VALUE"""),"")</f>
        <v/>
      </c>
      <c r="O224" s="87" t="str">
        <f>IFERROR(__xludf.DUMMYFUNCTION("""COMPUTED_VALUE"""),"https://drive.google.com/drive/folders/10T2cTQHqEJZqE-st6uFKPoI?usp=share_link")</f>
        <v>https://drive.google.com/drive/folders/10T2cTQHqEJZqE-st6uFKPoI?usp=share_link</v>
      </c>
      <c r="P224" s="6" t="str">
        <f>IFERROR(__xludf.DUMMYFUNCTION("""COMPUTED_VALUE"""),"Jan Olpinski")</f>
        <v>Jan Olpinski</v>
      </c>
      <c r="Q224" s="6" t="str">
        <f>IFERROR(__xludf.DUMMYFUNCTION("""COMPUTED_VALUE"""),"L2")</f>
        <v>L2</v>
      </c>
      <c r="R224" s="6">
        <f>IFERROR(__xludf.DUMMYFUNCTION("""COMPUTED_VALUE"""),2.0)</f>
        <v>2</v>
      </c>
      <c r="S224" s="6" t="str">
        <f>IFERROR(__xludf.DUMMYFUNCTION("""COMPUTED_VALUE""")," ")</f>
        <v> </v>
      </c>
      <c r="T224" s="6" t="str">
        <f>IFERROR(__xludf.DUMMYFUNCTION("""COMPUTED_VALUE"""),"")</f>
        <v/>
      </c>
      <c r="U224" s="6" t="str">
        <f>IFERROR(__xludf.DUMMYFUNCTION("""COMPUTED_VALUE"""),"5")</f>
        <v>5</v>
      </c>
      <c r="V224" s="6" t="str">
        <f>IFERROR(__xludf.DUMMYFUNCTION("""COMPUTED_VALUE"""),"")</f>
        <v/>
      </c>
      <c r="W224" s="6" t="str">
        <f>IFERROR(__xludf.DUMMYFUNCTION("""COMPUTED_VALUE"""),"[]")</f>
        <v>[]</v>
      </c>
      <c r="X224" s="6" t="str">
        <f>IFERROR(__xludf.DUMMYFUNCTION("""COMPUTED_VALUE"""),"Enrolled")</f>
        <v>Enrolled</v>
      </c>
    </row>
    <row r="225">
      <c r="A225" s="6" t="str">
        <f>IFERROR(__xludf.DUMMYFUNCTION("""COMPUTED_VALUE"""),"000-4836")</f>
        <v>000-4836</v>
      </c>
      <c r="B225" s="6" t="str">
        <f>IFERROR(__xludf.DUMMYFUNCTION("""COMPUTED_VALUE"""),"0")</f>
        <v>0</v>
      </c>
      <c r="C225" s="6" t="str">
        <f>IFERROR(__xludf.DUMMYFUNCTION("""COMPUTED_VALUE"""),"4836")</f>
        <v>4836</v>
      </c>
      <c r="D225" s="6" t="str">
        <f>IFERROR(__xludf.DUMMYFUNCTION("""COMPUTED_VALUE"""),"Bodhi")</f>
        <v>Bodhi</v>
      </c>
      <c r="E225" s="6" t="str">
        <f>IFERROR(__xludf.DUMMYFUNCTION("""COMPUTED_VALUE"""),"")</f>
        <v/>
      </c>
      <c r="F225" s="6" t="str">
        <f>IFERROR(__xludf.DUMMYFUNCTION("""COMPUTED_VALUE"""),"Jenner")</f>
        <v>Jenner</v>
      </c>
      <c r="G225" s="6" t="str">
        <f>IFERROR(__xludf.DUMMYFUNCTION("""COMPUTED_VALUE"""),"07/06/2016")</f>
        <v>07/06/2016</v>
      </c>
      <c r="H225" s="6" t="str">
        <f>IFERROR(__xludf.DUMMYFUNCTION("""COMPUTED_VALUE"""),"Self Identify")</f>
        <v>Self Identify</v>
      </c>
      <c r="I225" s="6" t="str">
        <f>IFERROR(__xludf.DUMMYFUNCTION("""COMPUTED_VALUE"""),"Level 2")</f>
        <v>Level 2</v>
      </c>
      <c r="J225" s="6" t="str">
        <f>IFERROR(__xludf.DUMMYFUNCTION("""COMPUTED_VALUE"""),"4")</f>
        <v>4</v>
      </c>
      <c r="K225" s="6" t="str">
        <f>IFERROR(__xludf.DUMMYFUNCTION("""COMPUTED_VALUE"""),"bodhi.jenner@2hourlearning.com")</f>
        <v>bodhi.jenner@2hourlearning.com</v>
      </c>
      <c r="L225" s="6" t="str">
        <f>IFERROR(__xludf.DUMMYFUNCTION("""COMPUTED_VALUE"""),"Alpha Anywhere (homeschool)")</f>
        <v>Alpha Anywhere (homeschool)</v>
      </c>
      <c r="M225" s="6" t="str">
        <f>IFERROR(__xludf.DUMMYFUNCTION("""COMPUTED_VALUE"""),"")</f>
        <v/>
      </c>
      <c r="N225" s="6" t="str">
        <f>IFERROR(__xludf.DUMMYFUNCTION("""COMPUTED_VALUE"""),"")</f>
        <v/>
      </c>
      <c r="O225" s="87" t="str">
        <f>IFERROR(__xludf.DUMMYFUNCTION("""COMPUTED_VALUE"""),"https://drive.google.com/drive/folders/10T2cTQHqEJZqE-st6uFKPoI?usp=share_link")</f>
        <v>https://drive.google.com/drive/folders/10T2cTQHqEJZqE-st6uFKPoI?usp=share_link</v>
      </c>
      <c r="P225" s="6" t="str">
        <f>IFERROR(__xludf.DUMMYFUNCTION("""COMPUTED_VALUE"""),"Bodhi Jenner")</f>
        <v>Bodhi Jenner</v>
      </c>
      <c r="Q225" s="6" t="str">
        <f>IFERROR(__xludf.DUMMYFUNCTION("""COMPUTED_VALUE"""),"L2")</f>
        <v>L2</v>
      </c>
      <c r="R225" s="6">
        <f>IFERROR(__xludf.DUMMYFUNCTION("""COMPUTED_VALUE"""),2.0)</f>
        <v>2</v>
      </c>
      <c r="S225" s="6" t="str">
        <f>IFERROR(__xludf.DUMMYFUNCTION("""COMPUTED_VALUE""")," ")</f>
        <v> </v>
      </c>
      <c r="T225" s="6" t="str">
        <f>IFERROR(__xludf.DUMMYFUNCTION("""COMPUTED_VALUE"""),"")</f>
        <v/>
      </c>
      <c r="U225" s="6" t="str">
        <f>IFERROR(__xludf.DUMMYFUNCTION("""COMPUTED_VALUE"""),"4")</f>
        <v>4</v>
      </c>
      <c r="V225" s="6" t="str">
        <f>IFERROR(__xludf.DUMMYFUNCTION("""COMPUTED_VALUE"""),"")</f>
        <v/>
      </c>
      <c r="W225" s="6" t="str">
        <f>IFERROR(__xludf.DUMMYFUNCTION("""COMPUTED_VALUE"""),"[]")</f>
        <v>[]</v>
      </c>
      <c r="X225" s="6" t="str">
        <f>IFERROR(__xludf.DUMMYFUNCTION("""COMPUTED_VALUE"""),"Enrolled")</f>
        <v>Enrolled</v>
      </c>
    </row>
    <row r="226">
      <c r="A226" s="6" t="str">
        <f>IFERROR(__xludf.DUMMYFUNCTION("""COMPUTED_VALUE"""),"000-4852")</f>
        <v>000-4852</v>
      </c>
      <c r="B226" s="6" t="str">
        <f>IFERROR(__xludf.DUMMYFUNCTION("""COMPUTED_VALUE"""),"0")</f>
        <v>0</v>
      </c>
      <c r="C226" s="6" t="str">
        <f>IFERROR(__xludf.DUMMYFUNCTION("""COMPUTED_VALUE"""),"4852")</f>
        <v>4852</v>
      </c>
      <c r="D226" s="6" t="str">
        <f>IFERROR(__xludf.DUMMYFUNCTION("""COMPUTED_VALUE"""),"Jon")</f>
        <v>Jon</v>
      </c>
      <c r="E226" s="6" t="str">
        <f>IFERROR(__xludf.DUMMYFUNCTION("""COMPUTED_VALUE"""),"")</f>
        <v/>
      </c>
      <c r="F226" s="6" t="str">
        <f>IFERROR(__xludf.DUMMYFUNCTION("""COMPUTED_VALUE"""),"Nigg")</f>
        <v>Nigg</v>
      </c>
      <c r="G226" s="6" t="str">
        <f>IFERROR(__xludf.DUMMYFUNCTION("""COMPUTED_VALUE"""),"07/16/2013")</f>
        <v>07/16/2013</v>
      </c>
      <c r="H226" s="6" t="str">
        <f>IFERROR(__xludf.DUMMYFUNCTION("""COMPUTED_VALUE"""),"Self Identify")</f>
        <v>Self Identify</v>
      </c>
      <c r="I226" s="6" t="str">
        <f>IFERROR(__xludf.DUMMYFUNCTION("""COMPUTED_VALUE"""),"Middle School")</f>
        <v>Middle School</v>
      </c>
      <c r="J226" s="6" t="str">
        <f>IFERROR(__xludf.DUMMYFUNCTION("""COMPUTED_VALUE"""),"7")</f>
        <v>7</v>
      </c>
      <c r="K226" s="6" t="str">
        <f>IFERROR(__xludf.DUMMYFUNCTION("""COMPUTED_VALUE"""),"jon.nigg@2hourlearning.com")</f>
        <v>jon.nigg@2hourlearning.com</v>
      </c>
      <c r="L226" s="6" t="str">
        <f>IFERROR(__xludf.DUMMYFUNCTION("""COMPUTED_VALUE"""),"Alpha Anywhere (homeschool)")</f>
        <v>Alpha Anywhere (homeschool)</v>
      </c>
      <c r="M226" s="6" t="str">
        <f>IFERROR(__xludf.DUMMYFUNCTION("""COMPUTED_VALUE"""),"")</f>
        <v/>
      </c>
      <c r="N226" s="6" t="str">
        <f>IFERROR(__xludf.DUMMYFUNCTION("""COMPUTED_VALUE"""),"")</f>
        <v/>
      </c>
      <c r="O226" s="87" t="str">
        <f>IFERROR(__xludf.DUMMYFUNCTION("""COMPUTED_VALUE"""),"https://drive.google.com/drive/folders/10T2cTQHqEJZqE-st6uFKPoI?usp=share_link")</f>
        <v>https://drive.google.com/drive/folders/10T2cTQHqEJZqE-st6uFKPoI?usp=share_link</v>
      </c>
      <c r="P226" s="6" t="str">
        <f>IFERROR(__xludf.DUMMYFUNCTION("""COMPUTED_VALUE"""),"Jon Nigg")</f>
        <v>Jon Nigg</v>
      </c>
      <c r="Q226" s="6" t="str">
        <f>IFERROR(__xludf.DUMMYFUNCTION("""COMPUTED_VALUE"""),"MS")</f>
        <v>MS</v>
      </c>
      <c r="R226" s="6">
        <f>IFERROR(__xludf.DUMMYFUNCTION("""COMPUTED_VALUE"""),0.0)</f>
        <v>0</v>
      </c>
      <c r="S226" s="6" t="str">
        <f>IFERROR(__xludf.DUMMYFUNCTION("""COMPUTED_VALUE""")," ")</f>
        <v> </v>
      </c>
      <c r="T226" s="6" t="str">
        <f>IFERROR(__xludf.DUMMYFUNCTION("""COMPUTED_VALUE"""),"")</f>
        <v/>
      </c>
      <c r="U226" s="6" t="str">
        <f>IFERROR(__xludf.DUMMYFUNCTION("""COMPUTED_VALUE"""),"7")</f>
        <v>7</v>
      </c>
      <c r="V226" s="6" t="str">
        <f>IFERROR(__xludf.DUMMYFUNCTION("""COMPUTED_VALUE"""),"")</f>
        <v/>
      </c>
      <c r="W226" s="6" t="str">
        <f>IFERROR(__xludf.DUMMYFUNCTION("""COMPUTED_VALUE"""),"[]")</f>
        <v>[]</v>
      </c>
      <c r="X226" s="6" t="str">
        <f>IFERROR(__xludf.DUMMYFUNCTION("""COMPUTED_VALUE"""),"Enrolled")</f>
        <v>Enrolled</v>
      </c>
    </row>
    <row r="227">
      <c r="A227" s="6" t="str">
        <f>IFERROR(__xludf.DUMMYFUNCTION("""COMPUTED_VALUE"""),"000-4861")</f>
        <v>000-4861</v>
      </c>
      <c r="B227" s="6" t="str">
        <f>IFERROR(__xludf.DUMMYFUNCTION("""COMPUTED_VALUE"""),"0")</f>
        <v>0</v>
      </c>
      <c r="C227" s="6" t="str">
        <f>IFERROR(__xludf.DUMMYFUNCTION("""COMPUTED_VALUE"""),"4861")</f>
        <v>4861</v>
      </c>
      <c r="D227" s="6" t="str">
        <f>IFERROR(__xludf.DUMMYFUNCTION("""COMPUTED_VALUE"""),"Eva")</f>
        <v>Eva</v>
      </c>
      <c r="E227" s="6" t="str">
        <f>IFERROR(__xludf.DUMMYFUNCTION("""COMPUTED_VALUE"""),"")</f>
        <v/>
      </c>
      <c r="F227" s="6" t="str">
        <f>IFERROR(__xludf.DUMMYFUNCTION("""COMPUTED_VALUE"""),"Davila Rodriguez")</f>
        <v>Davila Rodriguez</v>
      </c>
      <c r="G227" s="6" t="str">
        <f>IFERROR(__xludf.DUMMYFUNCTION("""COMPUTED_VALUE"""),"07/29/2014")</f>
        <v>07/29/2014</v>
      </c>
      <c r="H227" s="6" t="str">
        <f>IFERROR(__xludf.DUMMYFUNCTION("""COMPUTED_VALUE"""),"Self Identify")</f>
        <v>Self Identify</v>
      </c>
      <c r="I227" s="6" t="str">
        <f>IFERROR(__xludf.DUMMYFUNCTION("""COMPUTED_VALUE"""),"Level 2")</f>
        <v>Level 2</v>
      </c>
      <c r="J227" s="6" t="str">
        <f>IFERROR(__xludf.DUMMYFUNCTION("""COMPUTED_VALUE"""),"5")</f>
        <v>5</v>
      </c>
      <c r="K227" s="6" t="str">
        <f>IFERROR(__xludf.DUMMYFUNCTION("""COMPUTED_VALUE"""),"eva.davilarodriguez@2hourlearning.com")</f>
        <v>eva.davilarodriguez@2hourlearning.com</v>
      </c>
      <c r="L227" s="6" t="str">
        <f>IFERROR(__xludf.DUMMYFUNCTION("""COMPUTED_VALUE"""),"Alpha Anywhere (homeschool)")</f>
        <v>Alpha Anywhere (homeschool)</v>
      </c>
      <c r="M227" s="6" t="str">
        <f>IFERROR(__xludf.DUMMYFUNCTION("""COMPUTED_VALUE"""),"")</f>
        <v/>
      </c>
      <c r="N227" s="6" t="str">
        <f>IFERROR(__xludf.DUMMYFUNCTION("""COMPUTED_VALUE"""),"")</f>
        <v/>
      </c>
      <c r="O227" s="87" t="str">
        <f>IFERROR(__xludf.DUMMYFUNCTION("""COMPUTED_VALUE"""),"https://drive.google.com/drive/folders/10T2cTQHqEJZqE-st6uFKPoI?usp=share_link")</f>
        <v>https://drive.google.com/drive/folders/10T2cTQHqEJZqE-st6uFKPoI?usp=share_link</v>
      </c>
      <c r="P227" s="6" t="str">
        <f>IFERROR(__xludf.DUMMYFUNCTION("""COMPUTED_VALUE"""),"Eva Davila Rodriguez")</f>
        <v>Eva Davila Rodriguez</v>
      </c>
      <c r="Q227" s="6" t="str">
        <f>IFERROR(__xludf.DUMMYFUNCTION("""COMPUTED_VALUE"""),"L2")</f>
        <v>L2</v>
      </c>
      <c r="R227" s="6">
        <f>IFERROR(__xludf.DUMMYFUNCTION("""COMPUTED_VALUE"""),2.0)</f>
        <v>2</v>
      </c>
      <c r="S227" s="6" t="str">
        <f>IFERROR(__xludf.DUMMYFUNCTION("""COMPUTED_VALUE""")," ")</f>
        <v> </v>
      </c>
      <c r="T227" s="6" t="str">
        <f>IFERROR(__xludf.DUMMYFUNCTION("""COMPUTED_VALUE"""),"")</f>
        <v/>
      </c>
      <c r="U227" s="6" t="str">
        <f>IFERROR(__xludf.DUMMYFUNCTION("""COMPUTED_VALUE"""),"5")</f>
        <v>5</v>
      </c>
      <c r="V227" s="6" t="str">
        <f>IFERROR(__xludf.DUMMYFUNCTION("""COMPUTED_VALUE"""),"")</f>
        <v/>
      </c>
      <c r="W227" s="6" t="str">
        <f>IFERROR(__xludf.DUMMYFUNCTION("""COMPUTED_VALUE"""),"[]")</f>
        <v>[]</v>
      </c>
      <c r="X227" s="6" t="str">
        <f>IFERROR(__xludf.DUMMYFUNCTION("""COMPUTED_VALUE"""),"Enrolled")</f>
        <v>Enrolled</v>
      </c>
    </row>
    <row r="228">
      <c r="A228" s="6" t="str">
        <f>IFERROR(__xludf.DUMMYFUNCTION("""COMPUTED_VALUE"""),"000-4863")</f>
        <v>000-4863</v>
      </c>
      <c r="B228" s="6" t="str">
        <f>IFERROR(__xludf.DUMMYFUNCTION("""COMPUTED_VALUE"""),"0")</f>
        <v>0</v>
      </c>
      <c r="C228" s="6" t="str">
        <f>IFERROR(__xludf.DUMMYFUNCTION("""COMPUTED_VALUE"""),"4863")</f>
        <v>4863</v>
      </c>
      <c r="D228" s="6" t="str">
        <f>IFERROR(__xludf.DUMMYFUNCTION("""COMPUTED_VALUE"""),"Adrian")</f>
        <v>Adrian</v>
      </c>
      <c r="E228" s="6" t="str">
        <f>IFERROR(__xludf.DUMMYFUNCTION("""COMPUTED_VALUE"""),"")</f>
        <v/>
      </c>
      <c r="F228" s="6" t="str">
        <f>IFERROR(__xludf.DUMMYFUNCTION("""COMPUTED_VALUE"""),"Davila Rodriguez")</f>
        <v>Davila Rodriguez</v>
      </c>
      <c r="G228" s="6" t="str">
        <f>IFERROR(__xludf.DUMMYFUNCTION("""COMPUTED_VALUE"""),"12/10/2016")</f>
        <v>12/10/2016</v>
      </c>
      <c r="H228" s="6" t="str">
        <f>IFERROR(__xludf.DUMMYFUNCTION("""COMPUTED_VALUE"""),"Self Identify")</f>
        <v>Self Identify</v>
      </c>
      <c r="I228" s="6" t="str">
        <f>IFERROR(__xludf.DUMMYFUNCTION("""COMPUTED_VALUE"""),"Level 1")</f>
        <v>Level 1</v>
      </c>
      <c r="J228" s="6" t="str">
        <f>IFERROR(__xludf.DUMMYFUNCTION("""COMPUTED_VALUE"""),"3")</f>
        <v>3</v>
      </c>
      <c r="K228" s="6" t="str">
        <f>IFERROR(__xludf.DUMMYFUNCTION("""COMPUTED_VALUE"""),"adrian.davila.rodriguez@2hourlearning.com")</f>
        <v>adrian.davila.rodriguez@2hourlearning.com</v>
      </c>
      <c r="L228" s="6" t="str">
        <f>IFERROR(__xludf.DUMMYFUNCTION("""COMPUTED_VALUE"""),"Alpha Anywhere (homeschool)")</f>
        <v>Alpha Anywhere (homeschool)</v>
      </c>
      <c r="M228" s="6" t="str">
        <f>IFERROR(__xludf.DUMMYFUNCTION("""COMPUTED_VALUE"""),"")</f>
        <v/>
      </c>
      <c r="N228" s="6" t="str">
        <f>IFERROR(__xludf.DUMMYFUNCTION("""COMPUTED_VALUE"""),"")</f>
        <v/>
      </c>
      <c r="O228" s="87" t="str">
        <f>IFERROR(__xludf.DUMMYFUNCTION("""COMPUTED_VALUE"""),"https://drive.google.com/drive/folders/10T2cTQHqEJZqE-st6uFKPoI?usp=share_link")</f>
        <v>https://drive.google.com/drive/folders/10T2cTQHqEJZqE-st6uFKPoI?usp=share_link</v>
      </c>
      <c r="P228" s="6" t="str">
        <f>IFERROR(__xludf.DUMMYFUNCTION("""COMPUTED_VALUE"""),"Adrian Davila Rodriguez")</f>
        <v>Adrian Davila Rodriguez</v>
      </c>
      <c r="Q228" s="6" t="str">
        <f>IFERROR(__xludf.DUMMYFUNCTION("""COMPUTED_VALUE"""),"L1")</f>
        <v>L1</v>
      </c>
      <c r="R228" s="6">
        <f>IFERROR(__xludf.DUMMYFUNCTION("""COMPUTED_VALUE"""),1.0)</f>
        <v>1</v>
      </c>
      <c r="S228" s="6" t="str">
        <f>IFERROR(__xludf.DUMMYFUNCTION("""COMPUTED_VALUE""")," ")</f>
        <v> </v>
      </c>
      <c r="T228" s="6" t="str">
        <f>IFERROR(__xludf.DUMMYFUNCTION("""COMPUTED_VALUE"""),"")</f>
        <v/>
      </c>
      <c r="U228" s="6" t="str">
        <f>IFERROR(__xludf.DUMMYFUNCTION("""COMPUTED_VALUE"""),"3")</f>
        <v>3</v>
      </c>
      <c r="V228" s="6" t="str">
        <f>IFERROR(__xludf.DUMMYFUNCTION("""COMPUTED_VALUE"""),"")</f>
        <v/>
      </c>
      <c r="W228" s="6" t="str">
        <f>IFERROR(__xludf.DUMMYFUNCTION("""COMPUTED_VALUE"""),"[]")</f>
        <v>[]</v>
      </c>
      <c r="X228" s="6" t="str">
        <f>IFERROR(__xludf.DUMMYFUNCTION("""COMPUTED_VALUE"""),"Enrolled")</f>
        <v>Enrolled</v>
      </c>
    </row>
    <row r="229">
      <c r="A229" s="6" t="str">
        <f>IFERROR(__xludf.DUMMYFUNCTION("""COMPUTED_VALUE"""),"000-4865")</f>
        <v>000-4865</v>
      </c>
      <c r="B229" s="6" t="str">
        <f>IFERROR(__xludf.DUMMYFUNCTION("""COMPUTED_VALUE"""),"0")</f>
        <v>0</v>
      </c>
      <c r="C229" s="6" t="str">
        <f>IFERROR(__xludf.DUMMYFUNCTION("""COMPUTED_VALUE"""),"4865")</f>
        <v>4865</v>
      </c>
      <c r="D229" s="6" t="str">
        <f>IFERROR(__xludf.DUMMYFUNCTION("""COMPUTED_VALUE"""),"Hilda")</f>
        <v>Hilda</v>
      </c>
      <c r="E229" s="6" t="str">
        <f>IFERROR(__xludf.DUMMYFUNCTION("""COMPUTED_VALUE"""),"")</f>
        <v/>
      </c>
      <c r="F229" s="6" t="str">
        <f>IFERROR(__xludf.DUMMYFUNCTION("""COMPUTED_VALUE"""),"Paredes Chumacero Rodriguez")</f>
        <v>Paredes Chumacero Rodriguez</v>
      </c>
      <c r="G229" s="6" t="str">
        <f>IFERROR(__xludf.DUMMYFUNCTION("""COMPUTED_VALUE"""),"10/12/2014")</f>
        <v>10/12/2014</v>
      </c>
      <c r="H229" s="6" t="str">
        <f>IFERROR(__xludf.DUMMYFUNCTION("""COMPUTED_VALUE"""),"Self Identify")</f>
        <v>Self Identify</v>
      </c>
      <c r="I229" s="6" t="str">
        <f>IFERROR(__xludf.DUMMYFUNCTION("""COMPUTED_VALUE"""),"Level 2")</f>
        <v>Level 2</v>
      </c>
      <c r="J229" s="6" t="str">
        <f>IFERROR(__xludf.DUMMYFUNCTION("""COMPUTED_VALUE"""),"5")</f>
        <v>5</v>
      </c>
      <c r="K229" s="6" t="str">
        <f>IFERROR(__xludf.DUMMYFUNCTION("""COMPUTED_VALUE"""),"hilda.paredeschumacerorodriguez@2hourlearning.com")</f>
        <v>hilda.paredeschumacerorodriguez@2hourlearning.com</v>
      </c>
      <c r="L229" s="6" t="str">
        <f>IFERROR(__xludf.DUMMYFUNCTION("""COMPUTED_VALUE"""),"Alpha Anywhere (homeschool)")</f>
        <v>Alpha Anywhere (homeschool)</v>
      </c>
      <c r="M229" s="6" t="str">
        <f>IFERROR(__xludf.DUMMYFUNCTION("""COMPUTED_VALUE"""),"")</f>
        <v/>
      </c>
      <c r="N229" s="6" t="str">
        <f>IFERROR(__xludf.DUMMYFUNCTION("""COMPUTED_VALUE"""),"")</f>
        <v/>
      </c>
      <c r="O229" s="87" t="str">
        <f>IFERROR(__xludf.DUMMYFUNCTION("""COMPUTED_VALUE"""),"https://drive.google.com/drive/folders/10T2cTQHqEJZqE-st6uFKPoI?usp=share_link")</f>
        <v>https://drive.google.com/drive/folders/10T2cTQHqEJZqE-st6uFKPoI?usp=share_link</v>
      </c>
      <c r="P229" s="6" t="str">
        <f>IFERROR(__xludf.DUMMYFUNCTION("""COMPUTED_VALUE"""),"Hilda Paredes Chumacero Rodriguez")</f>
        <v>Hilda Paredes Chumacero Rodriguez</v>
      </c>
      <c r="Q229" s="6" t="str">
        <f>IFERROR(__xludf.DUMMYFUNCTION("""COMPUTED_VALUE"""),"L2")</f>
        <v>L2</v>
      </c>
      <c r="R229" s="6">
        <f>IFERROR(__xludf.DUMMYFUNCTION("""COMPUTED_VALUE"""),2.0)</f>
        <v>2</v>
      </c>
      <c r="S229" s="6" t="str">
        <f>IFERROR(__xludf.DUMMYFUNCTION("""COMPUTED_VALUE""")," ")</f>
        <v> </v>
      </c>
      <c r="T229" s="6" t="str">
        <f>IFERROR(__xludf.DUMMYFUNCTION("""COMPUTED_VALUE"""),"")</f>
        <v/>
      </c>
      <c r="U229" s="6" t="str">
        <f>IFERROR(__xludf.DUMMYFUNCTION("""COMPUTED_VALUE"""),"5")</f>
        <v>5</v>
      </c>
      <c r="V229" s="6" t="str">
        <f>IFERROR(__xludf.DUMMYFUNCTION("""COMPUTED_VALUE"""),"")</f>
        <v/>
      </c>
      <c r="W229" s="6" t="str">
        <f>IFERROR(__xludf.DUMMYFUNCTION("""COMPUTED_VALUE"""),"[]")</f>
        <v>[]</v>
      </c>
      <c r="X229" s="6" t="str">
        <f>IFERROR(__xludf.DUMMYFUNCTION("""COMPUTED_VALUE"""),"Enrolled")</f>
        <v>Enrolled</v>
      </c>
    </row>
    <row r="230">
      <c r="A230" s="6" t="str">
        <f>IFERROR(__xludf.DUMMYFUNCTION("""COMPUTED_VALUE"""),"000-4877")</f>
        <v>000-4877</v>
      </c>
      <c r="B230" s="6" t="str">
        <f>IFERROR(__xludf.DUMMYFUNCTION("""COMPUTED_VALUE"""),"0")</f>
        <v>0</v>
      </c>
      <c r="C230" s="6" t="str">
        <f>IFERROR(__xludf.DUMMYFUNCTION("""COMPUTED_VALUE"""),"4877")</f>
        <v>4877</v>
      </c>
      <c r="D230" s="6" t="str">
        <f>IFERROR(__xludf.DUMMYFUNCTION("""COMPUTED_VALUE"""),"Scarlett")</f>
        <v>Scarlett</v>
      </c>
      <c r="E230" s="6" t="str">
        <f>IFERROR(__xludf.DUMMYFUNCTION("""COMPUTED_VALUE"""),"")</f>
        <v/>
      </c>
      <c r="F230" s="6" t="str">
        <f>IFERROR(__xludf.DUMMYFUNCTION("""COMPUTED_VALUE"""),"Tuchin")</f>
        <v>Tuchin</v>
      </c>
      <c r="G230" s="6" t="str">
        <f>IFERROR(__xludf.DUMMYFUNCTION("""COMPUTED_VALUE"""),"11/11/2014")</f>
        <v>11/11/2014</v>
      </c>
      <c r="H230" s="6" t="str">
        <f>IFERROR(__xludf.DUMMYFUNCTION("""COMPUTED_VALUE"""),"female")</f>
        <v>female</v>
      </c>
      <c r="I230" s="6" t="str">
        <f>IFERROR(__xludf.DUMMYFUNCTION("""COMPUTED_VALUE"""),"Level 2")</f>
        <v>Level 2</v>
      </c>
      <c r="J230" s="6" t="str">
        <f>IFERROR(__xludf.DUMMYFUNCTION("""COMPUTED_VALUE"""),"5")</f>
        <v>5</v>
      </c>
      <c r="K230" s="6" t="str">
        <f>IFERROR(__xludf.DUMMYFUNCTION("""COMPUTED_VALUE"""),"scarlett.tuchin@2hourlearning.com")</f>
        <v>scarlett.tuchin@2hourlearning.com</v>
      </c>
      <c r="L230" s="6" t="str">
        <f>IFERROR(__xludf.DUMMYFUNCTION("""COMPUTED_VALUE"""),"Alpha Anywhere (homeschool)")</f>
        <v>Alpha Anywhere (homeschool)</v>
      </c>
      <c r="M230" s="6" t="str">
        <f>IFERROR(__xludf.DUMMYFUNCTION("""COMPUTED_VALUE"""),"")</f>
        <v/>
      </c>
      <c r="N230" s="6" t="str">
        <f>IFERROR(__xludf.DUMMYFUNCTION("""COMPUTED_VALUE"""),"")</f>
        <v/>
      </c>
      <c r="O230" s="87" t="str">
        <f>IFERROR(__xludf.DUMMYFUNCTION("""COMPUTED_VALUE"""),"https://drive.google.com/drive/folders/10T2cTQHqEJZqE-st6uFKPoI?usp=share_link")</f>
        <v>https://drive.google.com/drive/folders/10T2cTQHqEJZqE-st6uFKPoI?usp=share_link</v>
      </c>
      <c r="P230" s="6" t="str">
        <f>IFERROR(__xludf.DUMMYFUNCTION("""COMPUTED_VALUE"""),"Scarlett Tuchin")</f>
        <v>Scarlett Tuchin</v>
      </c>
      <c r="Q230" s="6" t="str">
        <f>IFERROR(__xludf.DUMMYFUNCTION("""COMPUTED_VALUE"""),"L2")</f>
        <v>L2</v>
      </c>
      <c r="R230" s="6">
        <f>IFERROR(__xludf.DUMMYFUNCTION("""COMPUTED_VALUE"""),2.0)</f>
        <v>2</v>
      </c>
      <c r="S230" s="6" t="str">
        <f>IFERROR(__xludf.DUMMYFUNCTION("""COMPUTED_VALUE""")," ")</f>
        <v> </v>
      </c>
      <c r="T230" s="6" t="str">
        <f>IFERROR(__xludf.DUMMYFUNCTION("""COMPUTED_VALUE"""),"")</f>
        <v/>
      </c>
      <c r="U230" s="6" t="str">
        <f>IFERROR(__xludf.DUMMYFUNCTION("""COMPUTED_VALUE"""),"5")</f>
        <v>5</v>
      </c>
      <c r="V230" s="6" t="str">
        <f>IFERROR(__xludf.DUMMYFUNCTION("""COMPUTED_VALUE"""),"")</f>
        <v/>
      </c>
      <c r="W230" s="6" t="str">
        <f>IFERROR(__xludf.DUMMYFUNCTION("""COMPUTED_VALUE"""),"[]")</f>
        <v>[]</v>
      </c>
      <c r="X230" s="6" t="str">
        <f>IFERROR(__xludf.DUMMYFUNCTION("""COMPUTED_VALUE"""),"Enrolled")</f>
        <v>Enrolled</v>
      </c>
    </row>
    <row r="231">
      <c r="A231" s="6" t="str">
        <f>IFERROR(__xludf.DUMMYFUNCTION("""COMPUTED_VALUE"""),"000-4878")</f>
        <v>000-4878</v>
      </c>
      <c r="B231" s="6" t="str">
        <f>IFERROR(__xludf.DUMMYFUNCTION("""COMPUTED_VALUE"""),"0")</f>
        <v>0</v>
      </c>
      <c r="C231" s="6" t="str">
        <f>IFERROR(__xludf.DUMMYFUNCTION("""COMPUTED_VALUE"""),"4878")</f>
        <v>4878</v>
      </c>
      <c r="D231" s="6" t="str">
        <f>IFERROR(__xludf.DUMMYFUNCTION("""COMPUTED_VALUE"""),"River")</f>
        <v>River</v>
      </c>
      <c r="E231" s="6" t="str">
        <f>IFERROR(__xludf.DUMMYFUNCTION("""COMPUTED_VALUE"""),"")</f>
        <v/>
      </c>
      <c r="F231" s="6" t="str">
        <f>IFERROR(__xludf.DUMMYFUNCTION("""COMPUTED_VALUE"""),"Tuchin")</f>
        <v>Tuchin</v>
      </c>
      <c r="G231" s="6" t="str">
        <f>IFERROR(__xludf.DUMMYFUNCTION("""COMPUTED_VALUE"""),"02/05/2017")</f>
        <v>02/05/2017</v>
      </c>
      <c r="H231" s="6" t="str">
        <f>IFERROR(__xludf.DUMMYFUNCTION("""COMPUTED_VALUE"""),"male")</f>
        <v>male</v>
      </c>
      <c r="I231" s="6" t="str">
        <f>IFERROR(__xludf.DUMMYFUNCTION("""COMPUTED_VALUE"""),"Level 1")</f>
        <v>Level 1</v>
      </c>
      <c r="J231" s="6" t="str">
        <f>IFERROR(__xludf.DUMMYFUNCTION("""COMPUTED_VALUE"""),"3")</f>
        <v>3</v>
      </c>
      <c r="K231" s="6" t="str">
        <f>IFERROR(__xludf.DUMMYFUNCTION("""COMPUTED_VALUE"""),"river.tuchin@2hourlearning.com")</f>
        <v>river.tuchin@2hourlearning.com</v>
      </c>
      <c r="L231" s="6" t="str">
        <f>IFERROR(__xludf.DUMMYFUNCTION("""COMPUTED_VALUE"""),"Alpha Anywhere (homeschool)")</f>
        <v>Alpha Anywhere (homeschool)</v>
      </c>
      <c r="M231" s="6" t="str">
        <f>IFERROR(__xludf.DUMMYFUNCTION("""COMPUTED_VALUE"""),"")</f>
        <v/>
      </c>
      <c r="N231" s="6" t="str">
        <f>IFERROR(__xludf.DUMMYFUNCTION("""COMPUTED_VALUE"""),"")</f>
        <v/>
      </c>
      <c r="O231" s="87" t="str">
        <f>IFERROR(__xludf.DUMMYFUNCTION("""COMPUTED_VALUE"""),"https://drive.google.com/drive/folders/10T2cTQHqEJZqE-st6uFKPoI?usp=share_link")</f>
        <v>https://drive.google.com/drive/folders/10T2cTQHqEJZqE-st6uFKPoI?usp=share_link</v>
      </c>
      <c r="P231" s="6" t="str">
        <f>IFERROR(__xludf.DUMMYFUNCTION("""COMPUTED_VALUE"""),"River Tuchin")</f>
        <v>River Tuchin</v>
      </c>
      <c r="Q231" s="6" t="str">
        <f>IFERROR(__xludf.DUMMYFUNCTION("""COMPUTED_VALUE"""),"L1")</f>
        <v>L1</v>
      </c>
      <c r="R231" s="6">
        <f>IFERROR(__xludf.DUMMYFUNCTION("""COMPUTED_VALUE"""),1.0)</f>
        <v>1</v>
      </c>
      <c r="S231" s="6" t="str">
        <f>IFERROR(__xludf.DUMMYFUNCTION("""COMPUTED_VALUE""")," ")</f>
        <v> </v>
      </c>
      <c r="T231" s="6" t="str">
        <f>IFERROR(__xludf.DUMMYFUNCTION("""COMPUTED_VALUE"""),"")</f>
        <v/>
      </c>
      <c r="U231" s="6" t="str">
        <f>IFERROR(__xludf.DUMMYFUNCTION("""COMPUTED_VALUE"""),"3")</f>
        <v>3</v>
      </c>
      <c r="V231" s="6" t="str">
        <f>IFERROR(__xludf.DUMMYFUNCTION("""COMPUTED_VALUE"""),"")</f>
        <v/>
      </c>
      <c r="W231" s="6" t="str">
        <f>IFERROR(__xludf.DUMMYFUNCTION("""COMPUTED_VALUE"""),"[]")</f>
        <v>[]</v>
      </c>
      <c r="X231" s="6" t="str">
        <f>IFERROR(__xludf.DUMMYFUNCTION("""COMPUTED_VALUE"""),"Enrolled")</f>
        <v>Enrolled</v>
      </c>
    </row>
    <row r="232">
      <c r="A232" s="6" t="str">
        <f>IFERROR(__xludf.DUMMYFUNCTION("""COMPUTED_VALUE"""),"000-4885")</f>
        <v>000-4885</v>
      </c>
      <c r="B232" s="6" t="str">
        <f>IFERROR(__xludf.DUMMYFUNCTION("""COMPUTED_VALUE"""),"0")</f>
        <v>0</v>
      </c>
      <c r="C232" s="6" t="str">
        <f>IFERROR(__xludf.DUMMYFUNCTION("""COMPUTED_VALUE"""),"4885")</f>
        <v>4885</v>
      </c>
      <c r="D232" s="6" t="str">
        <f>IFERROR(__xludf.DUMMYFUNCTION("""COMPUTED_VALUE"""),"Asher")</f>
        <v>Asher</v>
      </c>
      <c r="E232" s="6" t="str">
        <f>IFERROR(__xludf.DUMMYFUNCTION("""COMPUTED_VALUE"""),"")</f>
        <v/>
      </c>
      <c r="F232" s="6" t="str">
        <f>IFERROR(__xludf.DUMMYFUNCTION("""COMPUTED_VALUE"""),"Gustafson")</f>
        <v>Gustafson</v>
      </c>
      <c r="G232" s="6" t="str">
        <f>IFERROR(__xludf.DUMMYFUNCTION("""COMPUTED_VALUE"""),"02/17/2015")</f>
        <v>02/17/2015</v>
      </c>
      <c r="H232" s="6" t="str">
        <f>IFERROR(__xludf.DUMMYFUNCTION("""COMPUTED_VALUE"""),"Self Identify")</f>
        <v>Self Identify</v>
      </c>
      <c r="I232" s="6" t="str">
        <f>IFERROR(__xludf.DUMMYFUNCTION("""COMPUTED_VALUE"""),"Level 2")</f>
        <v>Level 2</v>
      </c>
      <c r="J232" s="6" t="str">
        <f>IFERROR(__xludf.DUMMYFUNCTION("""COMPUTED_VALUE"""),"5")</f>
        <v>5</v>
      </c>
      <c r="K232" s="6" t="str">
        <f>IFERROR(__xludf.DUMMYFUNCTION("""COMPUTED_VALUE"""),"asher.gustafson@2hourlearning.com")</f>
        <v>asher.gustafson@2hourlearning.com</v>
      </c>
      <c r="L232" s="6" t="str">
        <f>IFERROR(__xludf.DUMMYFUNCTION("""COMPUTED_VALUE"""),"Alpha Anywhere (homeschool)")</f>
        <v>Alpha Anywhere (homeschool)</v>
      </c>
      <c r="M232" s="6" t="str">
        <f>IFERROR(__xludf.DUMMYFUNCTION("""COMPUTED_VALUE"""),"")</f>
        <v/>
      </c>
      <c r="N232" s="6" t="str">
        <f>IFERROR(__xludf.DUMMYFUNCTION("""COMPUTED_VALUE"""),"")</f>
        <v/>
      </c>
      <c r="O232" s="87" t="str">
        <f>IFERROR(__xludf.DUMMYFUNCTION("""COMPUTED_VALUE"""),"https://drive.google.com/drive/folders/10T2cTQHqEJZqE-st6uFKPoI?usp=share_link")</f>
        <v>https://drive.google.com/drive/folders/10T2cTQHqEJZqE-st6uFKPoI?usp=share_link</v>
      </c>
      <c r="P232" s="6" t="str">
        <f>IFERROR(__xludf.DUMMYFUNCTION("""COMPUTED_VALUE"""),"Asher Gustafson")</f>
        <v>Asher Gustafson</v>
      </c>
      <c r="Q232" s="6" t="str">
        <f>IFERROR(__xludf.DUMMYFUNCTION("""COMPUTED_VALUE"""),"L2")</f>
        <v>L2</v>
      </c>
      <c r="R232" s="6">
        <f>IFERROR(__xludf.DUMMYFUNCTION("""COMPUTED_VALUE"""),2.0)</f>
        <v>2</v>
      </c>
      <c r="S232" s="6" t="str">
        <f>IFERROR(__xludf.DUMMYFUNCTION("""COMPUTED_VALUE""")," ")</f>
        <v> </v>
      </c>
      <c r="T232" s="6" t="str">
        <f>IFERROR(__xludf.DUMMYFUNCTION("""COMPUTED_VALUE"""),"")</f>
        <v/>
      </c>
      <c r="U232" s="6" t="str">
        <f>IFERROR(__xludf.DUMMYFUNCTION("""COMPUTED_VALUE"""),"5")</f>
        <v>5</v>
      </c>
      <c r="V232" s="6" t="str">
        <f>IFERROR(__xludf.DUMMYFUNCTION("""COMPUTED_VALUE"""),"")</f>
        <v/>
      </c>
      <c r="W232" s="6" t="str">
        <f>IFERROR(__xludf.DUMMYFUNCTION("""COMPUTED_VALUE"""),"[]")</f>
        <v>[]</v>
      </c>
      <c r="X232" s="6" t="str">
        <f>IFERROR(__xludf.DUMMYFUNCTION("""COMPUTED_VALUE"""),"Enrolled")</f>
        <v>Enrolled</v>
      </c>
    </row>
    <row r="233">
      <c r="A233" s="6" t="str">
        <f>IFERROR(__xludf.DUMMYFUNCTION("""COMPUTED_VALUE"""),"000-4912")</f>
        <v>000-4912</v>
      </c>
      <c r="B233" s="6" t="str">
        <f>IFERROR(__xludf.DUMMYFUNCTION("""COMPUTED_VALUE"""),"0")</f>
        <v>0</v>
      </c>
      <c r="C233" s="6" t="str">
        <f>IFERROR(__xludf.DUMMYFUNCTION("""COMPUTED_VALUE"""),"4912")</f>
        <v>4912</v>
      </c>
      <c r="D233" s="6" t="str">
        <f>IFERROR(__xludf.DUMMYFUNCTION("""COMPUTED_VALUE"""),"Ethan")</f>
        <v>Ethan</v>
      </c>
      <c r="E233" s="6" t="str">
        <f>IFERROR(__xludf.DUMMYFUNCTION("""COMPUTED_VALUE"""),"")</f>
        <v/>
      </c>
      <c r="F233" s="6" t="str">
        <f>IFERROR(__xludf.DUMMYFUNCTION("""COMPUTED_VALUE"""),"Esayian")</f>
        <v>Esayian</v>
      </c>
      <c r="G233" s="6" t="str">
        <f>IFERROR(__xludf.DUMMYFUNCTION("""COMPUTED_VALUE"""),"05/01/2015")</f>
        <v>05/01/2015</v>
      </c>
      <c r="H233" s="6" t="str">
        <f>IFERROR(__xludf.DUMMYFUNCTION("""COMPUTED_VALUE"""),"Self Identify")</f>
        <v>Self Identify</v>
      </c>
      <c r="I233" s="6" t="str">
        <f>IFERROR(__xludf.DUMMYFUNCTION("""COMPUTED_VALUE"""),"Level 2")</f>
        <v>Level 2</v>
      </c>
      <c r="J233" s="6" t="str">
        <f>IFERROR(__xludf.DUMMYFUNCTION("""COMPUTED_VALUE"""),"5")</f>
        <v>5</v>
      </c>
      <c r="K233" s="6" t="str">
        <f>IFERROR(__xludf.DUMMYFUNCTION("""COMPUTED_VALUE"""),"ethan.esayian@2hourlearning.com")</f>
        <v>ethan.esayian@2hourlearning.com</v>
      </c>
      <c r="L233" s="6" t="str">
        <f>IFERROR(__xludf.DUMMYFUNCTION("""COMPUTED_VALUE"""),"Alpha Anywhere (homeschool)")</f>
        <v>Alpha Anywhere (homeschool)</v>
      </c>
      <c r="M233" s="6" t="str">
        <f>IFERROR(__xludf.DUMMYFUNCTION("""COMPUTED_VALUE"""),"")</f>
        <v/>
      </c>
      <c r="N233" s="6" t="str">
        <f>IFERROR(__xludf.DUMMYFUNCTION("""COMPUTED_VALUE"""),"")</f>
        <v/>
      </c>
      <c r="O233" s="87" t="str">
        <f>IFERROR(__xludf.DUMMYFUNCTION("""COMPUTED_VALUE"""),"https://drive.google.com/drive/folders/10T2cTQHqEJZqE-st6uFKPoI?usp=share_link")</f>
        <v>https://drive.google.com/drive/folders/10T2cTQHqEJZqE-st6uFKPoI?usp=share_link</v>
      </c>
      <c r="P233" s="6" t="str">
        <f>IFERROR(__xludf.DUMMYFUNCTION("""COMPUTED_VALUE"""),"Ethan Esayian")</f>
        <v>Ethan Esayian</v>
      </c>
      <c r="Q233" s="6" t="str">
        <f>IFERROR(__xludf.DUMMYFUNCTION("""COMPUTED_VALUE"""),"L2")</f>
        <v>L2</v>
      </c>
      <c r="R233" s="6">
        <f>IFERROR(__xludf.DUMMYFUNCTION("""COMPUTED_VALUE"""),2.0)</f>
        <v>2</v>
      </c>
      <c r="S233" s="6" t="str">
        <f>IFERROR(__xludf.DUMMYFUNCTION("""COMPUTED_VALUE""")," ")</f>
        <v> </v>
      </c>
      <c r="T233" s="6" t="str">
        <f>IFERROR(__xludf.DUMMYFUNCTION("""COMPUTED_VALUE"""),"")</f>
        <v/>
      </c>
      <c r="U233" s="6" t="str">
        <f>IFERROR(__xludf.DUMMYFUNCTION("""COMPUTED_VALUE"""),"5")</f>
        <v>5</v>
      </c>
      <c r="V233" s="6" t="str">
        <f>IFERROR(__xludf.DUMMYFUNCTION("""COMPUTED_VALUE"""),"")</f>
        <v/>
      </c>
      <c r="W233" s="6" t="str">
        <f>IFERROR(__xludf.DUMMYFUNCTION("""COMPUTED_VALUE"""),"[]")</f>
        <v>[]</v>
      </c>
      <c r="X233" s="6" t="str">
        <f>IFERROR(__xludf.DUMMYFUNCTION("""COMPUTED_VALUE"""),"Enrolled")</f>
        <v>Enrolled</v>
      </c>
    </row>
    <row r="234">
      <c r="A234" s="6" t="str">
        <f>IFERROR(__xludf.DUMMYFUNCTION("""COMPUTED_VALUE"""),"000-4925")</f>
        <v>000-4925</v>
      </c>
      <c r="B234" s="6" t="str">
        <f>IFERROR(__xludf.DUMMYFUNCTION("""COMPUTED_VALUE"""),"0")</f>
        <v>0</v>
      </c>
      <c r="C234" s="6" t="str">
        <f>IFERROR(__xludf.DUMMYFUNCTION("""COMPUTED_VALUE"""),"4925")</f>
        <v>4925</v>
      </c>
      <c r="D234" s="6" t="str">
        <f>IFERROR(__xludf.DUMMYFUNCTION("""COMPUTED_VALUE"""),"Luke")</f>
        <v>Luke</v>
      </c>
      <c r="E234" s="6" t="str">
        <f>IFERROR(__xludf.DUMMYFUNCTION("""COMPUTED_VALUE"""),"")</f>
        <v/>
      </c>
      <c r="F234" s="6" t="str">
        <f>IFERROR(__xludf.DUMMYFUNCTION("""COMPUTED_VALUE"""),"Edwards")</f>
        <v>Edwards</v>
      </c>
      <c r="G234" s="6" t="str">
        <f>IFERROR(__xludf.DUMMYFUNCTION("""COMPUTED_VALUE"""),"05/01/2012")</f>
        <v>05/01/2012</v>
      </c>
      <c r="H234" s="6" t="str">
        <f>IFERROR(__xludf.DUMMYFUNCTION("""COMPUTED_VALUE"""),"Self Identify")</f>
        <v>Self Identify</v>
      </c>
      <c r="I234" s="6" t="str">
        <f>IFERROR(__xludf.DUMMYFUNCTION("""COMPUTED_VALUE"""),"Middle School")</f>
        <v>Middle School</v>
      </c>
      <c r="J234" s="6" t="str">
        <f>IFERROR(__xludf.DUMMYFUNCTION("""COMPUTED_VALUE"""),"8")</f>
        <v>8</v>
      </c>
      <c r="K234" s="6" t="str">
        <f>IFERROR(__xludf.DUMMYFUNCTION("""COMPUTED_VALUE"""),"luke.edwards@2hourlearning.com")</f>
        <v>luke.edwards@2hourlearning.com</v>
      </c>
      <c r="L234" s="6" t="str">
        <f>IFERROR(__xludf.DUMMYFUNCTION("""COMPUTED_VALUE"""),"Alpha Anywhere (homeschool)")</f>
        <v>Alpha Anywhere (homeschool)</v>
      </c>
      <c r="M234" s="6" t="str">
        <f>IFERROR(__xludf.DUMMYFUNCTION("""COMPUTED_VALUE"""),"")</f>
        <v/>
      </c>
      <c r="N234" s="6" t="str">
        <f>IFERROR(__xludf.DUMMYFUNCTION("""COMPUTED_VALUE"""),"")</f>
        <v/>
      </c>
      <c r="O234" s="87" t="str">
        <f>IFERROR(__xludf.DUMMYFUNCTION("""COMPUTED_VALUE"""),"https://drive.google.com/drive/folders/10T2cTQHqEJZqE-st6uFKPoI?usp=share_link")</f>
        <v>https://drive.google.com/drive/folders/10T2cTQHqEJZqE-st6uFKPoI?usp=share_link</v>
      </c>
      <c r="P234" s="6" t="str">
        <f>IFERROR(__xludf.DUMMYFUNCTION("""COMPUTED_VALUE"""),"Luke Edwards")</f>
        <v>Luke Edwards</v>
      </c>
      <c r="Q234" s="6" t="str">
        <f>IFERROR(__xludf.DUMMYFUNCTION("""COMPUTED_VALUE"""),"MS")</f>
        <v>MS</v>
      </c>
      <c r="R234" s="6">
        <f>IFERROR(__xludf.DUMMYFUNCTION("""COMPUTED_VALUE"""),0.0)</f>
        <v>0</v>
      </c>
      <c r="S234" s="6" t="str">
        <f>IFERROR(__xludf.DUMMYFUNCTION("""COMPUTED_VALUE""")," ")</f>
        <v> </v>
      </c>
      <c r="T234" s="6" t="str">
        <f>IFERROR(__xludf.DUMMYFUNCTION("""COMPUTED_VALUE"""),"")</f>
        <v/>
      </c>
      <c r="U234" s="6" t="str">
        <f>IFERROR(__xludf.DUMMYFUNCTION("""COMPUTED_VALUE"""),"8")</f>
        <v>8</v>
      </c>
      <c r="V234" s="6" t="str">
        <f>IFERROR(__xludf.DUMMYFUNCTION("""COMPUTED_VALUE"""),"")</f>
        <v/>
      </c>
      <c r="W234" s="6" t="str">
        <f>IFERROR(__xludf.DUMMYFUNCTION("""COMPUTED_VALUE"""),"[]")</f>
        <v>[]</v>
      </c>
      <c r="X234" s="6" t="str">
        <f>IFERROR(__xludf.DUMMYFUNCTION("""COMPUTED_VALUE"""),"Enrolled")</f>
        <v>Enrolled</v>
      </c>
    </row>
    <row r="235">
      <c r="A235" s="6" t="str">
        <f>IFERROR(__xludf.DUMMYFUNCTION("""COMPUTED_VALUE"""),"000-4927")</f>
        <v>000-4927</v>
      </c>
      <c r="B235" s="6" t="str">
        <f>IFERROR(__xludf.DUMMYFUNCTION("""COMPUTED_VALUE"""),"0")</f>
        <v>0</v>
      </c>
      <c r="C235" s="6" t="str">
        <f>IFERROR(__xludf.DUMMYFUNCTION("""COMPUTED_VALUE"""),"4927")</f>
        <v>4927</v>
      </c>
      <c r="D235" s="6" t="str">
        <f>IFERROR(__xludf.DUMMYFUNCTION("""COMPUTED_VALUE"""),"Malaya")</f>
        <v>Malaya</v>
      </c>
      <c r="E235" s="6" t="str">
        <f>IFERROR(__xludf.DUMMYFUNCTION("""COMPUTED_VALUE"""),"")</f>
        <v/>
      </c>
      <c r="F235" s="6" t="str">
        <f>IFERROR(__xludf.DUMMYFUNCTION("""COMPUTED_VALUE"""),"Kabigting")</f>
        <v>Kabigting</v>
      </c>
      <c r="G235" s="6" t="str">
        <f>IFERROR(__xludf.DUMMYFUNCTION("""COMPUTED_VALUE"""),"07/10/2014")</f>
        <v>07/10/2014</v>
      </c>
      <c r="H235" s="6" t="str">
        <f>IFERROR(__xludf.DUMMYFUNCTION("""COMPUTED_VALUE"""),"Self Identify")</f>
        <v>Self Identify</v>
      </c>
      <c r="I235" s="6" t="str">
        <f>IFERROR(__xludf.DUMMYFUNCTION("""COMPUTED_VALUE"""),"Middle School")</f>
        <v>Middle School</v>
      </c>
      <c r="J235" s="6" t="str">
        <f>IFERROR(__xludf.DUMMYFUNCTION("""COMPUTED_VALUE"""),"6")</f>
        <v>6</v>
      </c>
      <c r="K235" s="6" t="str">
        <f>IFERROR(__xludf.DUMMYFUNCTION("""COMPUTED_VALUE"""),"malaya.kabigting@2hourlearning.com")</f>
        <v>malaya.kabigting@2hourlearning.com</v>
      </c>
      <c r="L235" s="6" t="str">
        <f>IFERROR(__xludf.DUMMYFUNCTION("""COMPUTED_VALUE"""),"Alpha Anywhere (homeschool)")</f>
        <v>Alpha Anywhere (homeschool)</v>
      </c>
      <c r="M235" s="6" t="str">
        <f>IFERROR(__xludf.DUMMYFUNCTION("""COMPUTED_VALUE"""),"")</f>
        <v/>
      </c>
      <c r="N235" s="6" t="str">
        <f>IFERROR(__xludf.DUMMYFUNCTION("""COMPUTED_VALUE"""),"")</f>
        <v/>
      </c>
      <c r="O235" s="87" t="str">
        <f>IFERROR(__xludf.DUMMYFUNCTION("""COMPUTED_VALUE"""),"https://drive.google.com/drive/folders/10T2cTQHqEJZqE-st6uFKPoI?usp=share_link")</f>
        <v>https://drive.google.com/drive/folders/10T2cTQHqEJZqE-st6uFKPoI?usp=share_link</v>
      </c>
      <c r="P235" s="6" t="str">
        <f>IFERROR(__xludf.DUMMYFUNCTION("""COMPUTED_VALUE"""),"Malaya Kabigting")</f>
        <v>Malaya Kabigting</v>
      </c>
      <c r="Q235" s="6" t="str">
        <f>IFERROR(__xludf.DUMMYFUNCTION("""COMPUTED_VALUE"""),"MS")</f>
        <v>MS</v>
      </c>
      <c r="R235" s="6">
        <f>IFERROR(__xludf.DUMMYFUNCTION("""COMPUTED_VALUE"""),0.0)</f>
        <v>0</v>
      </c>
      <c r="S235" s="6" t="str">
        <f>IFERROR(__xludf.DUMMYFUNCTION("""COMPUTED_VALUE""")," ")</f>
        <v> </v>
      </c>
      <c r="T235" s="6" t="str">
        <f>IFERROR(__xludf.DUMMYFUNCTION("""COMPUTED_VALUE"""),"")</f>
        <v/>
      </c>
      <c r="U235" s="6" t="str">
        <f>IFERROR(__xludf.DUMMYFUNCTION("""COMPUTED_VALUE"""),"6")</f>
        <v>6</v>
      </c>
      <c r="V235" s="6" t="str">
        <f>IFERROR(__xludf.DUMMYFUNCTION("""COMPUTED_VALUE"""),"")</f>
        <v/>
      </c>
      <c r="W235" s="6" t="str">
        <f>IFERROR(__xludf.DUMMYFUNCTION("""COMPUTED_VALUE"""),"[]")</f>
        <v>[]</v>
      </c>
      <c r="X235" s="6" t="str">
        <f>IFERROR(__xludf.DUMMYFUNCTION("""COMPUTED_VALUE"""),"Enrolled")</f>
        <v>Enrolled</v>
      </c>
    </row>
    <row r="236">
      <c r="A236" s="6" t="str">
        <f>IFERROR(__xludf.DUMMYFUNCTION("""COMPUTED_VALUE"""),"000-4936")</f>
        <v>000-4936</v>
      </c>
      <c r="B236" s="6" t="str">
        <f>IFERROR(__xludf.DUMMYFUNCTION("""COMPUTED_VALUE"""),"0")</f>
        <v>0</v>
      </c>
      <c r="C236" s="6" t="str">
        <f>IFERROR(__xludf.DUMMYFUNCTION("""COMPUTED_VALUE"""),"4936")</f>
        <v>4936</v>
      </c>
      <c r="D236" s="6" t="str">
        <f>IFERROR(__xludf.DUMMYFUNCTION("""COMPUTED_VALUE"""),"Jonathan")</f>
        <v>Jonathan</v>
      </c>
      <c r="E236" s="6" t="str">
        <f>IFERROR(__xludf.DUMMYFUNCTION("""COMPUTED_VALUE"""),"")</f>
        <v/>
      </c>
      <c r="F236" s="6" t="str">
        <f>IFERROR(__xludf.DUMMYFUNCTION("""COMPUTED_VALUE"""),"Neola")</f>
        <v>Neola</v>
      </c>
      <c r="G236" s="6" t="str">
        <f>IFERROR(__xludf.DUMMYFUNCTION("""COMPUTED_VALUE"""),"06/10/2017")</f>
        <v>06/10/2017</v>
      </c>
      <c r="H236" s="6" t="str">
        <f>IFERROR(__xludf.DUMMYFUNCTION("""COMPUTED_VALUE"""),"Self Identify")</f>
        <v>Self Identify</v>
      </c>
      <c r="I236" s="6" t="str">
        <f>IFERROR(__xludf.DUMMYFUNCTION("""COMPUTED_VALUE"""),"Level 1")</f>
        <v>Level 1</v>
      </c>
      <c r="J236" s="6" t="str">
        <f>IFERROR(__xludf.DUMMYFUNCTION("""COMPUTED_VALUE"""),"3")</f>
        <v>3</v>
      </c>
      <c r="K236" s="6" t="str">
        <f>IFERROR(__xludf.DUMMYFUNCTION("""COMPUTED_VALUE"""),"jonathan.neola@2hourlearning.com")</f>
        <v>jonathan.neola@2hourlearning.com</v>
      </c>
      <c r="L236" s="6" t="str">
        <f>IFERROR(__xludf.DUMMYFUNCTION("""COMPUTED_VALUE"""),"Alpha Anywhere (homeschool)")</f>
        <v>Alpha Anywhere (homeschool)</v>
      </c>
      <c r="M236" s="6" t="str">
        <f>IFERROR(__xludf.DUMMYFUNCTION("""COMPUTED_VALUE"""),"")</f>
        <v/>
      </c>
      <c r="N236" s="6" t="str">
        <f>IFERROR(__xludf.DUMMYFUNCTION("""COMPUTED_VALUE"""),"")</f>
        <v/>
      </c>
      <c r="O236" s="87" t="str">
        <f>IFERROR(__xludf.DUMMYFUNCTION("""COMPUTED_VALUE"""),"https://drive.google.com/drive/folders/10T2cTQHqEJZqE-st6uFKPoI?usp=share_link")</f>
        <v>https://drive.google.com/drive/folders/10T2cTQHqEJZqE-st6uFKPoI?usp=share_link</v>
      </c>
      <c r="P236" s="6" t="str">
        <f>IFERROR(__xludf.DUMMYFUNCTION("""COMPUTED_VALUE"""),"Jonathan Neola")</f>
        <v>Jonathan Neola</v>
      </c>
      <c r="Q236" s="6" t="str">
        <f>IFERROR(__xludf.DUMMYFUNCTION("""COMPUTED_VALUE"""),"L1")</f>
        <v>L1</v>
      </c>
      <c r="R236" s="6">
        <f>IFERROR(__xludf.DUMMYFUNCTION("""COMPUTED_VALUE"""),1.0)</f>
        <v>1</v>
      </c>
      <c r="S236" s="6" t="str">
        <f>IFERROR(__xludf.DUMMYFUNCTION("""COMPUTED_VALUE""")," ")</f>
        <v> </v>
      </c>
      <c r="T236" s="6" t="str">
        <f>IFERROR(__xludf.DUMMYFUNCTION("""COMPUTED_VALUE"""),"")</f>
        <v/>
      </c>
      <c r="U236" s="6" t="str">
        <f>IFERROR(__xludf.DUMMYFUNCTION("""COMPUTED_VALUE"""),"3")</f>
        <v>3</v>
      </c>
      <c r="V236" s="6" t="str">
        <f>IFERROR(__xludf.DUMMYFUNCTION("""COMPUTED_VALUE"""),"")</f>
        <v/>
      </c>
      <c r="W236" s="6" t="str">
        <f>IFERROR(__xludf.DUMMYFUNCTION("""COMPUTED_VALUE"""),"[]")</f>
        <v>[]</v>
      </c>
      <c r="X236" s="6" t="str">
        <f>IFERROR(__xludf.DUMMYFUNCTION("""COMPUTED_VALUE"""),"Enrolled")</f>
        <v>Enrolled</v>
      </c>
    </row>
    <row r="237">
      <c r="A237" s="6" t="str">
        <f>IFERROR(__xludf.DUMMYFUNCTION("""COMPUTED_VALUE"""),"000-4937")</f>
        <v>000-4937</v>
      </c>
      <c r="B237" s="6" t="str">
        <f>IFERROR(__xludf.DUMMYFUNCTION("""COMPUTED_VALUE"""),"0")</f>
        <v>0</v>
      </c>
      <c r="C237" s="6" t="str">
        <f>IFERROR(__xludf.DUMMYFUNCTION("""COMPUTED_VALUE"""),"4937")</f>
        <v>4937</v>
      </c>
      <c r="D237" s="6" t="str">
        <f>IFERROR(__xludf.DUMMYFUNCTION("""COMPUTED_VALUE"""),"Alex")</f>
        <v>Alex</v>
      </c>
      <c r="E237" s="6" t="str">
        <f>IFERROR(__xludf.DUMMYFUNCTION("""COMPUTED_VALUE"""),"")</f>
        <v/>
      </c>
      <c r="F237" s="6" t="str">
        <f>IFERROR(__xludf.DUMMYFUNCTION("""COMPUTED_VALUE"""),"Agee")</f>
        <v>Agee</v>
      </c>
      <c r="G237" s="6" t="str">
        <f>IFERROR(__xludf.DUMMYFUNCTION("""COMPUTED_VALUE"""),"05/27/2012")</f>
        <v>05/27/2012</v>
      </c>
      <c r="H237" s="6" t="str">
        <f>IFERROR(__xludf.DUMMYFUNCTION("""COMPUTED_VALUE"""),"male")</f>
        <v>male</v>
      </c>
      <c r="I237" s="6" t="str">
        <f>IFERROR(__xludf.DUMMYFUNCTION("""COMPUTED_VALUE"""),"Middle School")</f>
        <v>Middle School</v>
      </c>
      <c r="J237" s="6" t="str">
        <f>IFERROR(__xludf.DUMMYFUNCTION("""COMPUTED_VALUE"""),"8")</f>
        <v>8</v>
      </c>
      <c r="K237" s="6" t="str">
        <f>IFERROR(__xludf.DUMMYFUNCTION("""COMPUTED_VALUE"""),"alex.agee@2hourlearning.com")</f>
        <v>alex.agee@2hourlearning.com</v>
      </c>
      <c r="L237" s="6" t="str">
        <f>IFERROR(__xludf.DUMMYFUNCTION("""COMPUTED_VALUE"""),"Alpha Anywhere (homeschool)")</f>
        <v>Alpha Anywhere (homeschool)</v>
      </c>
      <c r="M237" s="6" t="str">
        <f>IFERROR(__xludf.DUMMYFUNCTION("""COMPUTED_VALUE"""),"")</f>
        <v/>
      </c>
      <c r="N237" s="6" t="str">
        <f>IFERROR(__xludf.DUMMYFUNCTION("""COMPUTED_VALUE"""),"")</f>
        <v/>
      </c>
      <c r="O237" s="87" t="str">
        <f>IFERROR(__xludf.DUMMYFUNCTION("""COMPUTED_VALUE"""),"https://drive.google.com/drive/folders/10T2cTQHqEJZqE-st6uFKPoI?usp=share_link")</f>
        <v>https://drive.google.com/drive/folders/10T2cTQHqEJZqE-st6uFKPoI?usp=share_link</v>
      </c>
      <c r="P237" s="6" t="str">
        <f>IFERROR(__xludf.DUMMYFUNCTION("""COMPUTED_VALUE"""),"Alex Agee")</f>
        <v>Alex Agee</v>
      </c>
      <c r="Q237" s="6" t="str">
        <f>IFERROR(__xludf.DUMMYFUNCTION("""COMPUTED_VALUE"""),"MS")</f>
        <v>MS</v>
      </c>
      <c r="R237" s="6">
        <f>IFERROR(__xludf.DUMMYFUNCTION("""COMPUTED_VALUE"""),0.0)</f>
        <v>0</v>
      </c>
      <c r="S237" s="6" t="str">
        <f>IFERROR(__xludf.DUMMYFUNCTION("""COMPUTED_VALUE""")," ")</f>
        <v> </v>
      </c>
      <c r="T237" s="6" t="str">
        <f>IFERROR(__xludf.DUMMYFUNCTION("""COMPUTED_VALUE"""),"")</f>
        <v/>
      </c>
      <c r="U237" s="6" t="str">
        <f>IFERROR(__xludf.DUMMYFUNCTION("""COMPUTED_VALUE"""),"8")</f>
        <v>8</v>
      </c>
      <c r="V237" s="6" t="str">
        <f>IFERROR(__xludf.DUMMYFUNCTION("""COMPUTED_VALUE"""),"")</f>
        <v/>
      </c>
      <c r="W237" s="6" t="str">
        <f>IFERROR(__xludf.DUMMYFUNCTION("""COMPUTED_VALUE"""),"[]")</f>
        <v>[]</v>
      </c>
      <c r="X237" s="6" t="str">
        <f>IFERROR(__xludf.DUMMYFUNCTION("""COMPUTED_VALUE"""),"Enrolled")</f>
        <v>Enrolled</v>
      </c>
    </row>
    <row r="238">
      <c r="A238" s="6" t="str">
        <f>IFERROR(__xludf.DUMMYFUNCTION("""COMPUTED_VALUE"""),"000-4938")</f>
        <v>000-4938</v>
      </c>
      <c r="B238" s="6" t="str">
        <f>IFERROR(__xludf.DUMMYFUNCTION("""COMPUTED_VALUE"""),"0")</f>
        <v>0</v>
      </c>
      <c r="C238" s="6" t="str">
        <f>IFERROR(__xludf.DUMMYFUNCTION("""COMPUTED_VALUE"""),"4938")</f>
        <v>4938</v>
      </c>
      <c r="D238" s="6" t="str">
        <f>IFERROR(__xludf.DUMMYFUNCTION("""COMPUTED_VALUE"""),"Emma")</f>
        <v>Emma</v>
      </c>
      <c r="E238" s="6" t="str">
        <f>IFERROR(__xludf.DUMMYFUNCTION("""COMPUTED_VALUE"""),"")</f>
        <v/>
      </c>
      <c r="F238" s="6" t="str">
        <f>IFERROR(__xludf.DUMMYFUNCTION("""COMPUTED_VALUE"""),"Agee")</f>
        <v>Agee</v>
      </c>
      <c r="G238" s="6" t="str">
        <f>IFERROR(__xludf.DUMMYFUNCTION("""COMPUTED_VALUE"""),"01/25/2012")</f>
        <v>01/25/2012</v>
      </c>
      <c r="H238" s="6" t="str">
        <f>IFERROR(__xludf.DUMMYFUNCTION("""COMPUTED_VALUE"""),"female")</f>
        <v>female</v>
      </c>
      <c r="I238" s="6" t="str">
        <f>IFERROR(__xludf.DUMMYFUNCTION("""COMPUTED_VALUE"""),"Middle School")</f>
        <v>Middle School</v>
      </c>
      <c r="J238" s="6" t="str">
        <f>IFERROR(__xludf.DUMMYFUNCTION("""COMPUTED_VALUE"""),"8")</f>
        <v>8</v>
      </c>
      <c r="K238" s="6" t="str">
        <f>IFERROR(__xludf.DUMMYFUNCTION("""COMPUTED_VALUE"""),"emma.agee@2hourlearning.com")</f>
        <v>emma.agee@2hourlearning.com</v>
      </c>
      <c r="L238" s="6" t="str">
        <f>IFERROR(__xludf.DUMMYFUNCTION("""COMPUTED_VALUE"""),"Alpha Anywhere (homeschool)")</f>
        <v>Alpha Anywhere (homeschool)</v>
      </c>
      <c r="M238" s="6" t="str">
        <f>IFERROR(__xludf.DUMMYFUNCTION("""COMPUTED_VALUE"""),"")</f>
        <v/>
      </c>
      <c r="N238" s="6" t="str">
        <f>IFERROR(__xludf.DUMMYFUNCTION("""COMPUTED_VALUE"""),"")</f>
        <v/>
      </c>
      <c r="O238" s="87" t="str">
        <f>IFERROR(__xludf.DUMMYFUNCTION("""COMPUTED_VALUE"""),"https://drive.google.com/drive/folders/10T2cTQHqEJZqE-st6uFKPoI?usp=share_link")</f>
        <v>https://drive.google.com/drive/folders/10T2cTQHqEJZqE-st6uFKPoI?usp=share_link</v>
      </c>
      <c r="P238" s="6" t="str">
        <f>IFERROR(__xludf.DUMMYFUNCTION("""COMPUTED_VALUE"""),"Emma Agee")</f>
        <v>Emma Agee</v>
      </c>
      <c r="Q238" s="6" t="str">
        <f>IFERROR(__xludf.DUMMYFUNCTION("""COMPUTED_VALUE"""),"MS")</f>
        <v>MS</v>
      </c>
      <c r="R238" s="6">
        <f>IFERROR(__xludf.DUMMYFUNCTION("""COMPUTED_VALUE"""),0.0)</f>
        <v>0</v>
      </c>
      <c r="S238" s="6" t="str">
        <f>IFERROR(__xludf.DUMMYFUNCTION("""COMPUTED_VALUE""")," ")</f>
        <v> </v>
      </c>
      <c r="T238" s="6" t="str">
        <f>IFERROR(__xludf.DUMMYFUNCTION("""COMPUTED_VALUE"""),"")</f>
        <v/>
      </c>
      <c r="U238" s="6" t="str">
        <f>IFERROR(__xludf.DUMMYFUNCTION("""COMPUTED_VALUE"""),"8")</f>
        <v>8</v>
      </c>
      <c r="V238" s="6" t="str">
        <f>IFERROR(__xludf.DUMMYFUNCTION("""COMPUTED_VALUE"""),"")</f>
        <v/>
      </c>
      <c r="W238" s="6" t="str">
        <f>IFERROR(__xludf.DUMMYFUNCTION("""COMPUTED_VALUE"""),"[]")</f>
        <v>[]</v>
      </c>
      <c r="X238" s="6" t="str">
        <f>IFERROR(__xludf.DUMMYFUNCTION("""COMPUTED_VALUE"""),"Enrolled")</f>
        <v>Enrolled</v>
      </c>
    </row>
    <row r="239">
      <c r="A239" s="6" t="str">
        <f>IFERROR(__xludf.DUMMYFUNCTION("""COMPUTED_VALUE"""),"000-4944")</f>
        <v>000-4944</v>
      </c>
      <c r="B239" s="6" t="str">
        <f>IFERROR(__xludf.DUMMYFUNCTION("""COMPUTED_VALUE"""),"0")</f>
        <v>0</v>
      </c>
      <c r="C239" s="6" t="str">
        <f>IFERROR(__xludf.DUMMYFUNCTION("""COMPUTED_VALUE"""),"4944")</f>
        <v>4944</v>
      </c>
      <c r="D239" s="6" t="str">
        <f>IFERROR(__xludf.DUMMYFUNCTION("""COMPUTED_VALUE"""),"Nicolangelo")</f>
        <v>Nicolangelo</v>
      </c>
      <c r="E239" s="6" t="str">
        <f>IFERROR(__xludf.DUMMYFUNCTION("""COMPUTED_VALUE"""),"")</f>
        <v/>
      </c>
      <c r="F239" s="6" t="str">
        <f>IFERROR(__xludf.DUMMYFUNCTION("""COMPUTED_VALUE"""),"Haner")</f>
        <v>Haner</v>
      </c>
      <c r="G239" s="6" t="str">
        <f>IFERROR(__xludf.DUMMYFUNCTION("""COMPUTED_VALUE"""),"05/12/2017")</f>
        <v>05/12/2017</v>
      </c>
      <c r="H239" s="6" t="str">
        <f>IFERROR(__xludf.DUMMYFUNCTION("""COMPUTED_VALUE"""),"Self Identify")</f>
        <v>Self Identify</v>
      </c>
      <c r="I239" s="6" t="str">
        <f>IFERROR(__xludf.DUMMYFUNCTION("""COMPUTED_VALUE"""),"Level 1")</f>
        <v>Level 1</v>
      </c>
      <c r="J239" s="6" t="str">
        <f>IFERROR(__xludf.DUMMYFUNCTION("""COMPUTED_VALUE"""),"3")</f>
        <v>3</v>
      </c>
      <c r="K239" s="6" t="str">
        <f>IFERROR(__xludf.DUMMYFUNCTION("""COMPUTED_VALUE"""),"nicolangelo.haner@2hourlearning.com")</f>
        <v>nicolangelo.haner@2hourlearning.com</v>
      </c>
      <c r="L239" s="6" t="str">
        <f>IFERROR(__xludf.DUMMYFUNCTION("""COMPUTED_VALUE"""),"Alpha Anywhere (homeschool)")</f>
        <v>Alpha Anywhere (homeschool)</v>
      </c>
      <c r="M239" s="6" t="str">
        <f>IFERROR(__xludf.DUMMYFUNCTION("""COMPUTED_VALUE"""),"")</f>
        <v/>
      </c>
      <c r="N239" s="6" t="str">
        <f>IFERROR(__xludf.DUMMYFUNCTION("""COMPUTED_VALUE"""),"")</f>
        <v/>
      </c>
      <c r="O239" s="87" t="str">
        <f>IFERROR(__xludf.DUMMYFUNCTION("""COMPUTED_VALUE"""),"https://drive.google.com/drive/folders/10T2cTQHqEJZqE-st6uFKPoI?usp=share_link")</f>
        <v>https://drive.google.com/drive/folders/10T2cTQHqEJZqE-st6uFKPoI?usp=share_link</v>
      </c>
      <c r="P239" s="6" t="str">
        <f>IFERROR(__xludf.DUMMYFUNCTION("""COMPUTED_VALUE"""),"Nicolangelo Haner")</f>
        <v>Nicolangelo Haner</v>
      </c>
      <c r="Q239" s="6" t="str">
        <f>IFERROR(__xludf.DUMMYFUNCTION("""COMPUTED_VALUE"""),"L1")</f>
        <v>L1</v>
      </c>
      <c r="R239" s="6">
        <f>IFERROR(__xludf.DUMMYFUNCTION("""COMPUTED_VALUE"""),1.0)</f>
        <v>1</v>
      </c>
      <c r="S239" s="6" t="str">
        <f>IFERROR(__xludf.DUMMYFUNCTION("""COMPUTED_VALUE""")," ")</f>
        <v> </v>
      </c>
      <c r="T239" s="6" t="str">
        <f>IFERROR(__xludf.DUMMYFUNCTION("""COMPUTED_VALUE"""),"")</f>
        <v/>
      </c>
      <c r="U239" s="6" t="str">
        <f>IFERROR(__xludf.DUMMYFUNCTION("""COMPUTED_VALUE"""),"3")</f>
        <v>3</v>
      </c>
      <c r="V239" s="6" t="str">
        <f>IFERROR(__xludf.DUMMYFUNCTION("""COMPUTED_VALUE"""),"")</f>
        <v/>
      </c>
      <c r="W239" s="6" t="str">
        <f>IFERROR(__xludf.DUMMYFUNCTION("""COMPUTED_VALUE"""),"[]")</f>
        <v>[]</v>
      </c>
      <c r="X239" s="6" t="str">
        <f>IFERROR(__xludf.DUMMYFUNCTION("""COMPUTED_VALUE"""),"Enrolled")</f>
        <v>Enrolled</v>
      </c>
    </row>
    <row r="240">
      <c r="A240" s="6" t="str">
        <f>IFERROR(__xludf.DUMMYFUNCTION("""COMPUTED_VALUE"""),"000-4947")</f>
        <v>000-4947</v>
      </c>
      <c r="B240" s="6" t="str">
        <f>IFERROR(__xludf.DUMMYFUNCTION("""COMPUTED_VALUE"""),"0")</f>
        <v>0</v>
      </c>
      <c r="C240" s="6" t="str">
        <f>IFERROR(__xludf.DUMMYFUNCTION("""COMPUTED_VALUE"""),"4947")</f>
        <v>4947</v>
      </c>
      <c r="D240" s="6" t="str">
        <f>IFERROR(__xludf.DUMMYFUNCTION("""COMPUTED_VALUE"""),"Landon")</f>
        <v>Landon</v>
      </c>
      <c r="E240" s="6" t="str">
        <f>IFERROR(__xludf.DUMMYFUNCTION("""COMPUTED_VALUE"""),"")</f>
        <v/>
      </c>
      <c r="F240" s="6" t="str">
        <f>IFERROR(__xludf.DUMMYFUNCTION("""COMPUTED_VALUE"""),"Jeppesen")</f>
        <v>Jeppesen</v>
      </c>
      <c r="G240" s="6" t="str">
        <f>IFERROR(__xludf.DUMMYFUNCTION("""COMPUTED_VALUE"""),"03/27/2012")</f>
        <v>03/27/2012</v>
      </c>
      <c r="H240" s="6" t="str">
        <f>IFERROR(__xludf.DUMMYFUNCTION("""COMPUTED_VALUE"""),"Self Identify")</f>
        <v>Self Identify</v>
      </c>
      <c r="I240" s="6" t="str">
        <f>IFERROR(__xludf.DUMMYFUNCTION("""COMPUTED_VALUE"""),"Middle School")</f>
        <v>Middle School</v>
      </c>
      <c r="J240" s="6" t="str">
        <f>IFERROR(__xludf.DUMMYFUNCTION("""COMPUTED_VALUE"""),"8")</f>
        <v>8</v>
      </c>
      <c r="K240" s="6" t="str">
        <f>IFERROR(__xludf.DUMMYFUNCTION("""COMPUTED_VALUE"""),"landon.jeppesen@2hourlearning.com")</f>
        <v>landon.jeppesen@2hourlearning.com</v>
      </c>
      <c r="L240" s="6" t="str">
        <f>IFERROR(__xludf.DUMMYFUNCTION("""COMPUTED_VALUE"""),"Alpha Anywhere (homeschool)")</f>
        <v>Alpha Anywhere (homeschool)</v>
      </c>
      <c r="M240" s="6" t="str">
        <f>IFERROR(__xludf.DUMMYFUNCTION("""COMPUTED_VALUE"""),"")</f>
        <v/>
      </c>
      <c r="N240" s="6" t="str">
        <f>IFERROR(__xludf.DUMMYFUNCTION("""COMPUTED_VALUE"""),"")</f>
        <v/>
      </c>
      <c r="O240" s="87" t="str">
        <f>IFERROR(__xludf.DUMMYFUNCTION("""COMPUTED_VALUE"""),"https://drive.google.com/drive/folders/10T2cTQHqEJZqE-st6uFKPoI?usp=share_link")</f>
        <v>https://drive.google.com/drive/folders/10T2cTQHqEJZqE-st6uFKPoI?usp=share_link</v>
      </c>
      <c r="P240" s="6" t="str">
        <f>IFERROR(__xludf.DUMMYFUNCTION("""COMPUTED_VALUE"""),"Landon Jeppesen")</f>
        <v>Landon Jeppesen</v>
      </c>
      <c r="Q240" s="6" t="str">
        <f>IFERROR(__xludf.DUMMYFUNCTION("""COMPUTED_VALUE"""),"MS")</f>
        <v>MS</v>
      </c>
      <c r="R240" s="6">
        <f>IFERROR(__xludf.DUMMYFUNCTION("""COMPUTED_VALUE"""),0.0)</f>
        <v>0</v>
      </c>
      <c r="S240" s="6" t="str">
        <f>IFERROR(__xludf.DUMMYFUNCTION("""COMPUTED_VALUE""")," ")</f>
        <v> </v>
      </c>
      <c r="T240" s="6" t="str">
        <f>IFERROR(__xludf.DUMMYFUNCTION("""COMPUTED_VALUE"""),"")</f>
        <v/>
      </c>
      <c r="U240" s="6" t="str">
        <f>IFERROR(__xludf.DUMMYFUNCTION("""COMPUTED_VALUE"""),"8")</f>
        <v>8</v>
      </c>
      <c r="V240" s="6" t="str">
        <f>IFERROR(__xludf.DUMMYFUNCTION("""COMPUTED_VALUE"""),"")</f>
        <v/>
      </c>
      <c r="W240" s="6" t="str">
        <f>IFERROR(__xludf.DUMMYFUNCTION("""COMPUTED_VALUE"""),"[]")</f>
        <v>[]</v>
      </c>
      <c r="X240" s="6" t="str">
        <f>IFERROR(__xludf.DUMMYFUNCTION("""COMPUTED_VALUE"""),"Enrolled")</f>
        <v>Enrolled</v>
      </c>
    </row>
    <row r="241">
      <c r="A241" s="6" t="str">
        <f>IFERROR(__xludf.DUMMYFUNCTION("""COMPUTED_VALUE"""),"000-4948")</f>
        <v>000-4948</v>
      </c>
      <c r="B241" s="6" t="str">
        <f>IFERROR(__xludf.DUMMYFUNCTION("""COMPUTED_VALUE"""),"0")</f>
        <v>0</v>
      </c>
      <c r="C241" s="6" t="str">
        <f>IFERROR(__xludf.DUMMYFUNCTION("""COMPUTED_VALUE"""),"4948")</f>
        <v>4948</v>
      </c>
      <c r="D241" s="6" t="str">
        <f>IFERROR(__xludf.DUMMYFUNCTION("""COMPUTED_VALUE"""),"Paisley")</f>
        <v>Paisley</v>
      </c>
      <c r="E241" s="6" t="str">
        <f>IFERROR(__xludf.DUMMYFUNCTION("""COMPUTED_VALUE"""),"")</f>
        <v/>
      </c>
      <c r="F241" s="6" t="str">
        <f>IFERROR(__xludf.DUMMYFUNCTION("""COMPUTED_VALUE"""),"Jeppesen")</f>
        <v>Jeppesen</v>
      </c>
      <c r="G241" s="6" t="str">
        <f>IFERROR(__xludf.DUMMYFUNCTION("""COMPUTED_VALUE"""),"06/05/2015")</f>
        <v>06/05/2015</v>
      </c>
      <c r="H241" s="6" t="str">
        <f>IFERROR(__xludf.DUMMYFUNCTION("""COMPUTED_VALUE"""),"Self Identify")</f>
        <v>Self Identify</v>
      </c>
      <c r="I241" s="6" t="str">
        <f>IFERROR(__xludf.DUMMYFUNCTION("""COMPUTED_VALUE"""),"Level 2")</f>
        <v>Level 2</v>
      </c>
      <c r="J241" s="6" t="str">
        <f>IFERROR(__xludf.DUMMYFUNCTION("""COMPUTED_VALUE"""),"5")</f>
        <v>5</v>
      </c>
      <c r="K241" s="6" t="str">
        <f>IFERROR(__xludf.DUMMYFUNCTION("""COMPUTED_VALUE"""),"paisley.jeppesen@2hourlearning.com")</f>
        <v>paisley.jeppesen@2hourlearning.com</v>
      </c>
      <c r="L241" s="6" t="str">
        <f>IFERROR(__xludf.DUMMYFUNCTION("""COMPUTED_VALUE"""),"Alpha Anywhere (homeschool)")</f>
        <v>Alpha Anywhere (homeschool)</v>
      </c>
      <c r="M241" s="6" t="str">
        <f>IFERROR(__xludf.DUMMYFUNCTION("""COMPUTED_VALUE"""),"")</f>
        <v/>
      </c>
      <c r="N241" s="6" t="str">
        <f>IFERROR(__xludf.DUMMYFUNCTION("""COMPUTED_VALUE"""),"")</f>
        <v/>
      </c>
      <c r="O241" s="87" t="str">
        <f>IFERROR(__xludf.DUMMYFUNCTION("""COMPUTED_VALUE"""),"https://drive.google.com/drive/folders/10T2cTQHqEJZqE-st6uFKPoI?usp=share_link")</f>
        <v>https://drive.google.com/drive/folders/10T2cTQHqEJZqE-st6uFKPoI?usp=share_link</v>
      </c>
      <c r="P241" s="6" t="str">
        <f>IFERROR(__xludf.DUMMYFUNCTION("""COMPUTED_VALUE"""),"Paisley Jeppesen")</f>
        <v>Paisley Jeppesen</v>
      </c>
      <c r="Q241" s="6" t="str">
        <f>IFERROR(__xludf.DUMMYFUNCTION("""COMPUTED_VALUE"""),"L2")</f>
        <v>L2</v>
      </c>
      <c r="R241" s="6">
        <f>IFERROR(__xludf.DUMMYFUNCTION("""COMPUTED_VALUE"""),2.0)</f>
        <v>2</v>
      </c>
      <c r="S241" s="6" t="str">
        <f>IFERROR(__xludf.DUMMYFUNCTION("""COMPUTED_VALUE""")," ")</f>
        <v> </v>
      </c>
      <c r="T241" s="6" t="str">
        <f>IFERROR(__xludf.DUMMYFUNCTION("""COMPUTED_VALUE"""),"")</f>
        <v/>
      </c>
      <c r="U241" s="6" t="str">
        <f>IFERROR(__xludf.DUMMYFUNCTION("""COMPUTED_VALUE"""),"5")</f>
        <v>5</v>
      </c>
      <c r="V241" s="6" t="str">
        <f>IFERROR(__xludf.DUMMYFUNCTION("""COMPUTED_VALUE"""),"")</f>
        <v/>
      </c>
      <c r="W241" s="6" t="str">
        <f>IFERROR(__xludf.DUMMYFUNCTION("""COMPUTED_VALUE"""),"[]")</f>
        <v>[]</v>
      </c>
      <c r="X241" s="6" t="str">
        <f>IFERROR(__xludf.DUMMYFUNCTION("""COMPUTED_VALUE"""),"Enrolled")</f>
        <v>Enrolled</v>
      </c>
    </row>
    <row r="242">
      <c r="A242" s="6" t="str">
        <f>IFERROR(__xludf.DUMMYFUNCTION("""COMPUTED_VALUE"""),"000-4970")</f>
        <v>000-4970</v>
      </c>
      <c r="B242" s="6" t="str">
        <f>IFERROR(__xludf.DUMMYFUNCTION("""COMPUTED_VALUE"""),"0")</f>
        <v>0</v>
      </c>
      <c r="C242" s="6" t="str">
        <f>IFERROR(__xludf.DUMMYFUNCTION("""COMPUTED_VALUE"""),"4970")</f>
        <v>4970</v>
      </c>
      <c r="D242" s="6" t="str">
        <f>IFERROR(__xludf.DUMMYFUNCTION("""COMPUTED_VALUE"""),"Elissa")</f>
        <v>Elissa</v>
      </c>
      <c r="E242" s="6" t="str">
        <f>IFERROR(__xludf.DUMMYFUNCTION("""COMPUTED_VALUE"""),"")</f>
        <v/>
      </c>
      <c r="F242" s="6" t="str">
        <f>IFERROR(__xludf.DUMMYFUNCTION("""COMPUTED_VALUE"""),"Ek")</f>
        <v>Ek</v>
      </c>
      <c r="G242" s="6" t="str">
        <f>IFERROR(__xludf.DUMMYFUNCTION("""COMPUTED_VALUE"""),"06/15/2013")</f>
        <v>06/15/2013</v>
      </c>
      <c r="H242" s="6" t="str">
        <f>IFERROR(__xludf.DUMMYFUNCTION("""COMPUTED_VALUE"""),"Self Identify")</f>
        <v>Self Identify</v>
      </c>
      <c r="I242" s="6" t="str">
        <f>IFERROR(__xludf.DUMMYFUNCTION("""COMPUTED_VALUE"""),"Middle School")</f>
        <v>Middle School</v>
      </c>
      <c r="J242" s="6" t="str">
        <f>IFERROR(__xludf.DUMMYFUNCTION("""COMPUTED_VALUE"""),"7")</f>
        <v>7</v>
      </c>
      <c r="K242" s="6" t="str">
        <f>IFERROR(__xludf.DUMMYFUNCTION("""COMPUTED_VALUE"""),"elissa.ek@2hourlearning.com")</f>
        <v>elissa.ek@2hourlearning.com</v>
      </c>
      <c r="L242" s="6" t="str">
        <f>IFERROR(__xludf.DUMMYFUNCTION("""COMPUTED_VALUE"""),"Alpha Anywhere (homeschool)")</f>
        <v>Alpha Anywhere (homeschool)</v>
      </c>
      <c r="M242" s="6" t="str">
        <f>IFERROR(__xludf.DUMMYFUNCTION("""COMPUTED_VALUE"""),"")</f>
        <v/>
      </c>
      <c r="N242" s="6" t="str">
        <f>IFERROR(__xludf.DUMMYFUNCTION("""COMPUTED_VALUE"""),"")</f>
        <v/>
      </c>
      <c r="O242" s="87" t="str">
        <f>IFERROR(__xludf.DUMMYFUNCTION("""COMPUTED_VALUE"""),"https://drive.google.com/drive/folders/10T2cTQHqEJZqE-st6uFKPoI?usp=share_link")</f>
        <v>https://drive.google.com/drive/folders/10T2cTQHqEJZqE-st6uFKPoI?usp=share_link</v>
      </c>
      <c r="P242" s="6" t="str">
        <f>IFERROR(__xludf.DUMMYFUNCTION("""COMPUTED_VALUE"""),"Elissa Ek")</f>
        <v>Elissa Ek</v>
      </c>
      <c r="Q242" s="6" t="str">
        <f>IFERROR(__xludf.DUMMYFUNCTION("""COMPUTED_VALUE"""),"MS")</f>
        <v>MS</v>
      </c>
      <c r="R242" s="6">
        <f>IFERROR(__xludf.DUMMYFUNCTION("""COMPUTED_VALUE"""),0.0)</f>
        <v>0</v>
      </c>
      <c r="S242" s="6" t="str">
        <f>IFERROR(__xludf.DUMMYFUNCTION("""COMPUTED_VALUE""")," ")</f>
        <v> </v>
      </c>
      <c r="T242" s="6" t="str">
        <f>IFERROR(__xludf.DUMMYFUNCTION("""COMPUTED_VALUE"""),"")</f>
        <v/>
      </c>
      <c r="U242" s="6" t="str">
        <f>IFERROR(__xludf.DUMMYFUNCTION("""COMPUTED_VALUE"""),"7")</f>
        <v>7</v>
      </c>
      <c r="V242" s="6" t="str">
        <f>IFERROR(__xludf.DUMMYFUNCTION("""COMPUTED_VALUE"""),"")</f>
        <v/>
      </c>
      <c r="W242" s="6" t="str">
        <f>IFERROR(__xludf.DUMMYFUNCTION("""COMPUTED_VALUE"""),"[]")</f>
        <v>[]</v>
      </c>
      <c r="X242" s="6" t="str">
        <f>IFERROR(__xludf.DUMMYFUNCTION("""COMPUTED_VALUE"""),"Enrolled")</f>
        <v>Enrolled</v>
      </c>
    </row>
    <row r="243">
      <c r="A243" s="6" t="str">
        <f>IFERROR(__xludf.DUMMYFUNCTION("""COMPUTED_VALUE"""),"000-4971")</f>
        <v>000-4971</v>
      </c>
      <c r="B243" s="6" t="str">
        <f>IFERROR(__xludf.DUMMYFUNCTION("""COMPUTED_VALUE"""),"0")</f>
        <v>0</v>
      </c>
      <c r="C243" s="6" t="str">
        <f>IFERROR(__xludf.DUMMYFUNCTION("""COMPUTED_VALUE"""),"4971")</f>
        <v>4971</v>
      </c>
      <c r="D243" s="6" t="str">
        <f>IFERROR(__xludf.DUMMYFUNCTION("""COMPUTED_VALUE"""),"Colinne")</f>
        <v>Colinne</v>
      </c>
      <c r="E243" s="6" t="str">
        <f>IFERROR(__xludf.DUMMYFUNCTION("""COMPUTED_VALUE"""),"")</f>
        <v/>
      </c>
      <c r="F243" s="6" t="str">
        <f>IFERROR(__xludf.DUMMYFUNCTION("""COMPUTED_VALUE"""),"Ek")</f>
        <v>Ek</v>
      </c>
      <c r="G243" s="6" t="str">
        <f>IFERROR(__xludf.DUMMYFUNCTION("""COMPUTED_VALUE"""),"03/17/2015")</f>
        <v>03/17/2015</v>
      </c>
      <c r="H243" s="6" t="str">
        <f>IFERROR(__xludf.DUMMYFUNCTION("""COMPUTED_VALUE"""),"Self Identify")</f>
        <v>Self Identify</v>
      </c>
      <c r="I243" s="6" t="str">
        <f>IFERROR(__xludf.DUMMYFUNCTION("""COMPUTED_VALUE"""),"Level 2")</f>
        <v>Level 2</v>
      </c>
      <c r="J243" s="6" t="str">
        <f>IFERROR(__xludf.DUMMYFUNCTION("""COMPUTED_VALUE"""),"5")</f>
        <v>5</v>
      </c>
      <c r="K243" s="6" t="str">
        <f>IFERROR(__xludf.DUMMYFUNCTION("""COMPUTED_VALUE"""),"colinne.ek@2hourlearning.com")</f>
        <v>colinne.ek@2hourlearning.com</v>
      </c>
      <c r="L243" s="6" t="str">
        <f>IFERROR(__xludf.DUMMYFUNCTION("""COMPUTED_VALUE"""),"Alpha Anywhere (homeschool)")</f>
        <v>Alpha Anywhere (homeschool)</v>
      </c>
      <c r="M243" s="6" t="str">
        <f>IFERROR(__xludf.DUMMYFUNCTION("""COMPUTED_VALUE"""),"")</f>
        <v/>
      </c>
      <c r="N243" s="6" t="str">
        <f>IFERROR(__xludf.DUMMYFUNCTION("""COMPUTED_VALUE"""),"")</f>
        <v/>
      </c>
      <c r="O243" s="87" t="str">
        <f>IFERROR(__xludf.DUMMYFUNCTION("""COMPUTED_VALUE"""),"https://drive.google.com/drive/folders/10T2cTQHqEJZqE-st6uFKPoI?usp=share_link")</f>
        <v>https://drive.google.com/drive/folders/10T2cTQHqEJZqE-st6uFKPoI?usp=share_link</v>
      </c>
      <c r="P243" s="6" t="str">
        <f>IFERROR(__xludf.DUMMYFUNCTION("""COMPUTED_VALUE"""),"Colinne Ek")</f>
        <v>Colinne Ek</v>
      </c>
      <c r="Q243" s="6" t="str">
        <f>IFERROR(__xludf.DUMMYFUNCTION("""COMPUTED_VALUE"""),"L2")</f>
        <v>L2</v>
      </c>
      <c r="R243" s="6">
        <f>IFERROR(__xludf.DUMMYFUNCTION("""COMPUTED_VALUE"""),2.0)</f>
        <v>2</v>
      </c>
      <c r="S243" s="6" t="str">
        <f>IFERROR(__xludf.DUMMYFUNCTION("""COMPUTED_VALUE""")," ")</f>
        <v> </v>
      </c>
      <c r="T243" s="6" t="str">
        <f>IFERROR(__xludf.DUMMYFUNCTION("""COMPUTED_VALUE"""),"")</f>
        <v/>
      </c>
      <c r="U243" s="6" t="str">
        <f>IFERROR(__xludf.DUMMYFUNCTION("""COMPUTED_VALUE"""),"5")</f>
        <v>5</v>
      </c>
      <c r="V243" s="6" t="str">
        <f>IFERROR(__xludf.DUMMYFUNCTION("""COMPUTED_VALUE"""),"")</f>
        <v/>
      </c>
      <c r="W243" s="6" t="str">
        <f>IFERROR(__xludf.DUMMYFUNCTION("""COMPUTED_VALUE"""),"[]")</f>
        <v>[]</v>
      </c>
      <c r="X243" s="6" t="str">
        <f>IFERROR(__xludf.DUMMYFUNCTION("""COMPUTED_VALUE"""),"Enrolled")</f>
        <v>Enrolled</v>
      </c>
    </row>
    <row r="244">
      <c r="A244" s="6" t="str">
        <f>IFERROR(__xludf.DUMMYFUNCTION("""COMPUTED_VALUE"""),"000-4981")</f>
        <v>000-4981</v>
      </c>
      <c r="B244" s="6" t="str">
        <f>IFERROR(__xludf.DUMMYFUNCTION("""COMPUTED_VALUE"""),"0")</f>
        <v>0</v>
      </c>
      <c r="C244" s="6" t="str">
        <f>IFERROR(__xludf.DUMMYFUNCTION("""COMPUTED_VALUE"""),"4981")</f>
        <v>4981</v>
      </c>
      <c r="D244" s="6" t="str">
        <f>IFERROR(__xludf.DUMMYFUNCTION("""COMPUTED_VALUE"""),"Brooks")</f>
        <v>Brooks</v>
      </c>
      <c r="E244" s="6" t="str">
        <f>IFERROR(__xludf.DUMMYFUNCTION("""COMPUTED_VALUE"""),"")</f>
        <v/>
      </c>
      <c r="F244" s="6" t="str">
        <f>IFERROR(__xludf.DUMMYFUNCTION("""COMPUTED_VALUE"""),"Monte")</f>
        <v>Monte</v>
      </c>
      <c r="G244" s="6" t="str">
        <f>IFERROR(__xludf.DUMMYFUNCTION("""COMPUTED_VALUE"""),"12/11/2017")</f>
        <v>12/11/2017</v>
      </c>
      <c r="H244" s="6" t="str">
        <f>IFERROR(__xludf.DUMMYFUNCTION("""COMPUTED_VALUE"""),"Self Identify")</f>
        <v>Self Identify</v>
      </c>
      <c r="I244" s="6" t="str">
        <f>IFERROR(__xludf.DUMMYFUNCTION("""COMPUTED_VALUE"""),"Level 1")</f>
        <v>Level 1</v>
      </c>
      <c r="J244" s="6" t="str">
        <f>IFERROR(__xludf.DUMMYFUNCTION("""COMPUTED_VALUE"""),"2")</f>
        <v>2</v>
      </c>
      <c r="K244" s="6" t="str">
        <f>IFERROR(__xludf.DUMMYFUNCTION("""COMPUTED_VALUE"""),"brooks.monte@2hourlearning.com")</f>
        <v>brooks.monte@2hourlearning.com</v>
      </c>
      <c r="L244" s="6" t="str">
        <f>IFERROR(__xludf.DUMMYFUNCTION("""COMPUTED_VALUE"""),"Alpha Anywhere (homeschool)")</f>
        <v>Alpha Anywhere (homeschool)</v>
      </c>
      <c r="M244" s="6" t="str">
        <f>IFERROR(__xludf.DUMMYFUNCTION("""COMPUTED_VALUE"""),"")</f>
        <v/>
      </c>
      <c r="N244" s="6" t="str">
        <f>IFERROR(__xludf.DUMMYFUNCTION("""COMPUTED_VALUE"""),"")</f>
        <v/>
      </c>
      <c r="O244" s="87" t="str">
        <f>IFERROR(__xludf.DUMMYFUNCTION("""COMPUTED_VALUE"""),"https://drive.google.com/drive/folders/10T2cTQHqEJZqE-st6uFKPoI?usp=share_link")</f>
        <v>https://drive.google.com/drive/folders/10T2cTQHqEJZqE-st6uFKPoI?usp=share_link</v>
      </c>
      <c r="P244" s="6" t="str">
        <f>IFERROR(__xludf.DUMMYFUNCTION("""COMPUTED_VALUE"""),"Brooks Monte")</f>
        <v>Brooks Monte</v>
      </c>
      <c r="Q244" s="6" t="str">
        <f>IFERROR(__xludf.DUMMYFUNCTION("""COMPUTED_VALUE"""),"L1")</f>
        <v>L1</v>
      </c>
      <c r="R244" s="6">
        <f>IFERROR(__xludf.DUMMYFUNCTION("""COMPUTED_VALUE"""),1.0)</f>
        <v>1</v>
      </c>
      <c r="S244" s="6" t="str">
        <f>IFERROR(__xludf.DUMMYFUNCTION("""COMPUTED_VALUE""")," ")</f>
        <v> </v>
      </c>
      <c r="T244" s="6" t="str">
        <f>IFERROR(__xludf.DUMMYFUNCTION("""COMPUTED_VALUE"""),"")</f>
        <v/>
      </c>
      <c r="U244" s="6" t="str">
        <f>IFERROR(__xludf.DUMMYFUNCTION("""COMPUTED_VALUE"""),"2")</f>
        <v>2</v>
      </c>
      <c r="V244" s="6" t="str">
        <f>IFERROR(__xludf.DUMMYFUNCTION("""COMPUTED_VALUE"""),"")</f>
        <v/>
      </c>
      <c r="W244" s="6" t="str">
        <f>IFERROR(__xludf.DUMMYFUNCTION("""COMPUTED_VALUE"""),"[]")</f>
        <v>[]</v>
      </c>
      <c r="X244" s="6" t="str">
        <f>IFERROR(__xludf.DUMMYFUNCTION("""COMPUTED_VALUE"""),"Enrolled")</f>
        <v>Enrolled</v>
      </c>
    </row>
    <row r="245">
      <c r="A245" s="6" t="str">
        <f>IFERROR(__xludf.DUMMYFUNCTION("""COMPUTED_VALUE"""),"000-4982")</f>
        <v>000-4982</v>
      </c>
      <c r="B245" s="6" t="str">
        <f>IFERROR(__xludf.DUMMYFUNCTION("""COMPUTED_VALUE"""),"0")</f>
        <v>0</v>
      </c>
      <c r="C245" s="6" t="str">
        <f>IFERROR(__xludf.DUMMYFUNCTION("""COMPUTED_VALUE"""),"4982")</f>
        <v>4982</v>
      </c>
      <c r="D245" s="6" t="str">
        <f>IFERROR(__xludf.DUMMYFUNCTION("""COMPUTED_VALUE"""),"Ryka")</f>
        <v>Ryka</v>
      </c>
      <c r="E245" s="6" t="str">
        <f>IFERROR(__xludf.DUMMYFUNCTION("""COMPUTED_VALUE"""),"")</f>
        <v/>
      </c>
      <c r="F245" s="6" t="str">
        <f>IFERROR(__xludf.DUMMYFUNCTION("""COMPUTED_VALUE"""),"Afshar")</f>
        <v>Afshar</v>
      </c>
      <c r="G245" s="6" t="str">
        <f>IFERROR(__xludf.DUMMYFUNCTION("""COMPUTED_VALUE"""),"12/23/2014")</f>
        <v>12/23/2014</v>
      </c>
      <c r="H245" s="6" t="str">
        <f>IFERROR(__xludf.DUMMYFUNCTION("""COMPUTED_VALUE"""),"Self Identify")</f>
        <v>Self Identify</v>
      </c>
      <c r="I245" s="6" t="str">
        <f>IFERROR(__xludf.DUMMYFUNCTION("""COMPUTED_VALUE"""),"Level 2")</f>
        <v>Level 2</v>
      </c>
      <c r="J245" s="6" t="str">
        <f>IFERROR(__xludf.DUMMYFUNCTION("""COMPUTED_VALUE"""),"5")</f>
        <v>5</v>
      </c>
      <c r="K245" s="6" t="str">
        <f>IFERROR(__xludf.DUMMYFUNCTION("""COMPUTED_VALUE"""),"ryka.afshar@2hourlearning.com")</f>
        <v>ryka.afshar@2hourlearning.com</v>
      </c>
      <c r="L245" s="6" t="str">
        <f>IFERROR(__xludf.DUMMYFUNCTION("""COMPUTED_VALUE"""),"Alpha Anywhere (homeschool)")</f>
        <v>Alpha Anywhere (homeschool)</v>
      </c>
      <c r="M245" s="6" t="str">
        <f>IFERROR(__xludf.DUMMYFUNCTION("""COMPUTED_VALUE"""),"")</f>
        <v/>
      </c>
      <c r="N245" s="6" t="str">
        <f>IFERROR(__xludf.DUMMYFUNCTION("""COMPUTED_VALUE"""),"")</f>
        <v/>
      </c>
      <c r="O245" s="87" t="str">
        <f>IFERROR(__xludf.DUMMYFUNCTION("""COMPUTED_VALUE"""),"https://drive.google.com/drive/folders/10T2cTQHqEJZqE-st6uFKPoI?usp=share_link")</f>
        <v>https://drive.google.com/drive/folders/10T2cTQHqEJZqE-st6uFKPoI?usp=share_link</v>
      </c>
      <c r="P245" s="6" t="str">
        <f>IFERROR(__xludf.DUMMYFUNCTION("""COMPUTED_VALUE"""),"Ryka Afshar")</f>
        <v>Ryka Afshar</v>
      </c>
      <c r="Q245" s="6" t="str">
        <f>IFERROR(__xludf.DUMMYFUNCTION("""COMPUTED_VALUE"""),"L2")</f>
        <v>L2</v>
      </c>
      <c r="R245" s="6">
        <f>IFERROR(__xludf.DUMMYFUNCTION("""COMPUTED_VALUE"""),2.0)</f>
        <v>2</v>
      </c>
      <c r="S245" s="6" t="str">
        <f>IFERROR(__xludf.DUMMYFUNCTION("""COMPUTED_VALUE""")," ")</f>
        <v> </v>
      </c>
      <c r="T245" s="6" t="str">
        <f>IFERROR(__xludf.DUMMYFUNCTION("""COMPUTED_VALUE"""),"")</f>
        <v/>
      </c>
      <c r="U245" s="6" t="str">
        <f>IFERROR(__xludf.DUMMYFUNCTION("""COMPUTED_VALUE"""),"5")</f>
        <v>5</v>
      </c>
      <c r="V245" s="6" t="str">
        <f>IFERROR(__xludf.DUMMYFUNCTION("""COMPUTED_VALUE"""),"")</f>
        <v/>
      </c>
      <c r="W245" s="6" t="str">
        <f>IFERROR(__xludf.DUMMYFUNCTION("""COMPUTED_VALUE"""),"[]")</f>
        <v>[]</v>
      </c>
      <c r="X245" s="6" t="str">
        <f>IFERROR(__xludf.DUMMYFUNCTION("""COMPUTED_VALUE"""),"Enrolled")</f>
        <v>Enrolled</v>
      </c>
    </row>
    <row r="246">
      <c r="A246" s="6" t="str">
        <f>IFERROR(__xludf.DUMMYFUNCTION("""COMPUTED_VALUE"""),"000-4983")</f>
        <v>000-4983</v>
      </c>
      <c r="B246" s="6" t="str">
        <f>IFERROR(__xludf.DUMMYFUNCTION("""COMPUTED_VALUE"""),"0")</f>
        <v>0</v>
      </c>
      <c r="C246" s="6" t="str">
        <f>IFERROR(__xludf.DUMMYFUNCTION("""COMPUTED_VALUE"""),"4983")</f>
        <v>4983</v>
      </c>
      <c r="D246" s="6" t="str">
        <f>IFERROR(__xludf.DUMMYFUNCTION("""COMPUTED_VALUE"""),"Fila")</f>
        <v>Fila</v>
      </c>
      <c r="E246" s="6" t="str">
        <f>IFERROR(__xludf.DUMMYFUNCTION("""COMPUTED_VALUE"""),"")</f>
        <v/>
      </c>
      <c r="F246" s="6" t="str">
        <f>IFERROR(__xludf.DUMMYFUNCTION("""COMPUTED_VALUE"""),"Afshar")</f>
        <v>Afshar</v>
      </c>
      <c r="G246" s="6" t="str">
        <f>IFERROR(__xludf.DUMMYFUNCTION("""COMPUTED_VALUE"""),"03/10/2017")</f>
        <v>03/10/2017</v>
      </c>
      <c r="H246" s="6" t="str">
        <f>IFERROR(__xludf.DUMMYFUNCTION("""COMPUTED_VALUE"""),"Self Identify")</f>
        <v>Self Identify</v>
      </c>
      <c r="I246" s="6" t="str">
        <f>IFERROR(__xludf.DUMMYFUNCTION("""COMPUTED_VALUE"""),"Level 1")</f>
        <v>Level 1</v>
      </c>
      <c r="J246" s="6" t="str">
        <f>IFERROR(__xludf.DUMMYFUNCTION("""COMPUTED_VALUE"""),"3")</f>
        <v>3</v>
      </c>
      <c r="K246" s="6" t="str">
        <f>IFERROR(__xludf.DUMMYFUNCTION("""COMPUTED_VALUE"""),"fila.afshar@2hourlearning.com")</f>
        <v>fila.afshar@2hourlearning.com</v>
      </c>
      <c r="L246" s="6" t="str">
        <f>IFERROR(__xludf.DUMMYFUNCTION("""COMPUTED_VALUE"""),"Alpha Anywhere (homeschool)")</f>
        <v>Alpha Anywhere (homeschool)</v>
      </c>
      <c r="M246" s="6" t="str">
        <f>IFERROR(__xludf.DUMMYFUNCTION("""COMPUTED_VALUE"""),"")</f>
        <v/>
      </c>
      <c r="N246" s="6" t="str">
        <f>IFERROR(__xludf.DUMMYFUNCTION("""COMPUTED_VALUE"""),"")</f>
        <v/>
      </c>
      <c r="O246" s="87" t="str">
        <f>IFERROR(__xludf.DUMMYFUNCTION("""COMPUTED_VALUE"""),"https://drive.google.com/drive/folders/10T2cTQHqEJZqE-st6uFKPoI?usp=share_link")</f>
        <v>https://drive.google.com/drive/folders/10T2cTQHqEJZqE-st6uFKPoI?usp=share_link</v>
      </c>
      <c r="P246" s="6" t="str">
        <f>IFERROR(__xludf.DUMMYFUNCTION("""COMPUTED_VALUE"""),"Fila Afshar")</f>
        <v>Fila Afshar</v>
      </c>
      <c r="Q246" s="6" t="str">
        <f>IFERROR(__xludf.DUMMYFUNCTION("""COMPUTED_VALUE"""),"L1")</f>
        <v>L1</v>
      </c>
      <c r="R246" s="6">
        <f>IFERROR(__xludf.DUMMYFUNCTION("""COMPUTED_VALUE"""),1.0)</f>
        <v>1</v>
      </c>
      <c r="S246" s="6" t="str">
        <f>IFERROR(__xludf.DUMMYFUNCTION("""COMPUTED_VALUE""")," ")</f>
        <v> </v>
      </c>
      <c r="T246" s="6" t="str">
        <f>IFERROR(__xludf.DUMMYFUNCTION("""COMPUTED_VALUE"""),"")</f>
        <v/>
      </c>
      <c r="U246" s="6" t="str">
        <f>IFERROR(__xludf.DUMMYFUNCTION("""COMPUTED_VALUE"""),"3")</f>
        <v>3</v>
      </c>
      <c r="V246" s="6" t="str">
        <f>IFERROR(__xludf.DUMMYFUNCTION("""COMPUTED_VALUE"""),"")</f>
        <v/>
      </c>
      <c r="W246" s="6" t="str">
        <f>IFERROR(__xludf.DUMMYFUNCTION("""COMPUTED_VALUE"""),"[]")</f>
        <v>[]</v>
      </c>
      <c r="X246" s="6" t="str">
        <f>IFERROR(__xludf.DUMMYFUNCTION("""COMPUTED_VALUE"""),"Enrolled")</f>
        <v>Enrolled</v>
      </c>
    </row>
    <row r="247">
      <c r="A247" s="6" t="str">
        <f>IFERROR(__xludf.DUMMYFUNCTION("""COMPUTED_VALUE"""),"000-4993")</f>
        <v>000-4993</v>
      </c>
      <c r="B247" s="6" t="str">
        <f>IFERROR(__xludf.DUMMYFUNCTION("""COMPUTED_VALUE"""),"0")</f>
        <v>0</v>
      </c>
      <c r="C247" s="6" t="str">
        <f>IFERROR(__xludf.DUMMYFUNCTION("""COMPUTED_VALUE"""),"4993")</f>
        <v>4993</v>
      </c>
      <c r="D247" s="6" t="str">
        <f>IFERROR(__xludf.DUMMYFUNCTION("""COMPUTED_VALUE"""),"Colton")</f>
        <v>Colton</v>
      </c>
      <c r="E247" s="6" t="str">
        <f>IFERROR(__xludf.DUMMYFUNCTION("""COMPUTED_VALUE"""),"")</f>
        <v/>
      </c>
      <c r="F247" s="6" t="str">
        <f>IFERROR(__xludf.DUMMYFUNCTION("""COMPUTED_VALUE"""),"Earnest")</f>
        <v>Earnest</v>
      </c>
      <c r="G247" s="6" t="str">
        <f>IFERROR(__xludf.DUMMYFUNCTION("""COMPUTED_VALUE"""),"06/09/2014")</f>
        <v>06/09/2014</v>
      </c>
      <c r="H247" s="6" t="str">
        <f>IFERROR(__xludf.DUMMYFUNCTION("""COMPUTED_VALUE"""),"Self Identify")</f>
        <v>Self Identify</v>
      </c>
      <c r="I247" s="6" t="str">
        <f>IFERROR(__xludf.DUMMYFUNCTION("""COMPUTED_VALUE"""),"Level 2")</f>
        <v>Level 2</v>
      </c>
      <c r="J247" s="6" t="str">
        <f>IFERROR(__xludf.DUMMYFUNCTION("""COMPUTED_VALUE"""),"5")</f>
        <v>5</v>
      </c>
      <c r="K247" s="6" t="str">
        <f>IFERROR(__xludf.DUMMYFUNCTION("""COMPUTED_VALUE"""),"colton.earnest@2hourlearning.com")</f>
        <v>colton.earnest@2hourlearning.com</v>
      </c>
      <c r="L247" s="6" t="str">
        <f>IFERROR(__xludf.DUMMYFUNCTION("""COMPUTED_VALUE"""),"Alpha Anywhere (homeschool)")</f>
        <v>Alpha Anywhere (homeschool)</v>
      </c>
      <c r="M247" s="6" t="str">
        <f>IFERROR(__xludf.DUMMYFUNCTION("""COMPUTED_VALUE"""),"")</f>
        <v/>
      </c>
      <c r="N247" s="6" t="str">
        <f>IFERROR(__xludf.DUMMYFUNCTION("""COMPUTED_VALUE"""),"")</f>
        <v/>
      </c>
      <c r="O247" s="87" t="str">
        <f>IFERROR(__xludf.DUMMYFUNCTION("""COMPUTED_VALUE"""),"https://drive.google.com/drive/folders/10T2cTQHqEJZqE-st6uFKPoI?usp=share_link")</f>
        <v>https://drive.google.com/drive/folders/10T2cTQHqEJZqE-st6uFKPoI?usp=share_link</v>
      </c>
      <c r="P247" s="6" t="str">
        <f>IFERROR(__xludf.DUMMYFUNCTION("""COMPUTED_VALUE"""),"Colton Earnest")</f>
        <v>Colton Earnest</v>
      </c>
      <c r="Q247" s="6" t="str">
        <f>IFERROR(__xludf.DUMMYFUNCTION("""COMPUTED_VALUE"""),"L2")</f>
        <v>L2</v>
      </c>
      <c r="R247" s="6">
        <f>IFERROR(__xludf.DUMMYFUNCTION("""COMPUTED_VALUE"""),2.0)</f>
        <v>2</v>
      </c>
      <c r="S247" s="6" t="str">
        <f>IFERROR(__xludf.DUMMYFUNCTION("""COMPUTED_VALUE""")," ")</f>
        <v> </v>
      </c>
      <c r="T247" s="6" t="str">
        <f>IFERROR(__xludf.DUMMYFUNCTION("""COMPUTED_VALUE"""),"")</f>
        <v/>
      </c>
      <c r="U247" s="6" t="str">
        <f>IFERROR(__xludf.DUMMYFUNCTION("""COMPUTED_VALUE"""),"5")</f>
        <v>5</v>
      </c>
      <c r="V247" s="6" t="str">
        <f>IFERROR(__xludf.DUMMYFUNCTION("""COMPUTED_VALUE"""),"")</f>
        <v/>
      </c>
      <c r="W247" s="6" t="str">
        <f>IFERROR(__xludf.DUMMYFUNCTION("""COMPUTED_VALUE"""),"[]")</f>
        <v>[]</v>
      </c>
      <c r="X247" s="6" t="str">
        <f>IFERROR(__xludf.DUMMYFUNCTION("""COMPUTED_VALUE"""),"Enrolled")</f>
        <v>Enrolled</v>
      </c>
    </row>
    <row r="248">
      <c r="A248" s="6" t="str">
        <f>IFERROR(__xludf.DUMMYFUNCTION("""COMPUTED_VALUE"""),"000-4997")</f>
        <v>000-4997</v>
      </c>
      <c r="B248" s="6" t="str">
        <f>IFERROR(__xludf.DUMMYFUNCTION("""COMPUTED_VALUE"""),"0")</f>
        <v>0</v>
      </c>
      <c r="C248" s="6" t="str">
        <f>IFERROR(__xludf.DUMMYFUNCTION("""COMPUTED_VALUE"""),"4997")</f>
        <v>4997</v>
      </c>
      <c r="D248" s="6" t="str">
        <f>IFERROR(__xludf.DUMMYFUNCTION("""COMPUTED_VALUE"""),"Sofia")</f>
        <v>Sofia</v>
      </c>
      <c r="E248" s="6" t="str">
        <f>IFERROR(__xludf.DUMMYFUNCTION("""COMPUTED_VALUE"""),"")</f>
        <v/>
      </c>
      <c r="F248" s="6" t="str">
        <f>IFERROR(__xludf.DUMMYFUNCTION("""COMPUTED_VALUE"""),"Peretore")</f>
        <v>Peretore</v>
      </c>
      <c r="G248" s="6" t="str">
        <f>IFERROR(__xludf.DUMMYFUNCTION("""COMPUTED_VALUE"""),"08/13/2015")</f>
        <v>08/13/2015</v>
      </c>
      <c r="H248" s="6" t="str">
        <f>IFERROR(__xludf.DUMMYFUNCTION("""COMPUTED_VALUE"""),"Self Identify")</f>
        <v>Self Identify</v>
      </c>
      <c r="I248" s="6" t="str">
        <f>IFERROR(__xludf.DUMMYFUNCTION("""COMPUTED_VALUE"""),"Level 2")</f>
        <v>Level 2</v>
      </c>
      <c r="J248" s="6" t="str">
        <f>IFERROR(__xludf.DUMMYFUNCTION("""COMPUTED_VALUE"""),"5")</f>
        <v>5</v>
      </c>
      <c r="K248" s="6" t="str">
        <f>IFERROR(__xludf.DUMMYFUNCTION("""COMPUTED_VALUE"""),"sofia.peretore@2hourlearning.com")</f>
        <v>sofia.peretore@2hourlearning.com</v>
      </c>
      <c r="L248" s="6" t="str">
        <f>IFERROR(__xludf.DUMMYFUNCTION("""COMPUTED_VALUE"""),"Alpha Anywhere (homeschool)")</f>
        <v>Alpha Anywhere (homeschool)</v>
      </c>
      <c r="M248" s="6" t="str">
        <f>IFERROR(__xludf.DUMMYFUNCTION("""COMPUTED_VALUE"""),"")</f>
        <v/>
      </c>
      <c r="N248" s="6" t="str">
        <f>IFERROR(__xludf.DUMMYFUNCTION("""COMPUTED_VALUE"""),"")</f>
        <v/>
      </c>
      <c r="O248" s="87" t="str">
        <f>IFERROR(__xludf.DUMMYFUNCTION("""COMPUTED_VALUE"""),"https://drive.google.com/drive/folders/10T2cTQHqEJZqE-st6uFKPoI?usp=share_link")</f>
        <v>https://drive.google.com/drive/folders/10T2cTQHqEJZqE-st6uFKPoI?usp=share_link</v>
      </c>
      <c r="P248" s="6" t="str">
        <f>IFERROR(__xludf.DUMMYFUNCTION("""COMPUTED_VALUE"""),"Sofia Peretore")</f>
        <v>Sofia Peretore</v>
      </c>
      <c r="Q248" s="6" t="str">
        <f>IFERROR(__xludf.DUMMYFUNCTION("""COMPUTED_VALUE"""),"L2")</f>
        <v>L2</v>
      </c>
      <c r="R248" s="6">
        <f>IFERROR(__xludf.DUMMYFUNCTION("""COMPUTED_VALUE"""),2.0)</f>
        <v>2</v>
      </c>
      <c r="S248" s="6" t="str">
        <f>IFERROR(__xludf.DUMMYFUNCTION("""COMPUTED_VALUE""")," ")</f>
        <v> </v>
      </c>
      <c r="T248" s="6" t="str">
        <f>IFERROR(__xludf.DUMMYFUNCTION("""COMPUTED_VALUE"""),"")</f>
        <v/>
      </c>
      <c r="U248" s="6" t="str">
        <f>IFERROR(__xludf.DUMMYFUNCTION("""COMPUTED_VALUE"""),"5")</f>
        <v>5</v>
      </c>
      <c r="V248" s="6" t="str">
        <f>IFERROR(__xludf.DUMMYFUNCTION("""COMPUTED_VALUE"""),"")</f>
        <v/>
      </c>
      <c r="W248" s="6" t="str">
        <f>IFERROR(__xludf.DUMMYFUNCTION("""COMPUTED_VALUE"""),"[]")</f>
        <v>[]</v>
      </c>
      <c r="X248" s="6" t="str">
        <f>IFERROR(__xludf.DUMMYFUNCTION("""COMPUTED_VALUE"""),"Enrolled")</f>
        <v>Enrolled</v>
      </c>
    </row>
    <row r="249">
      <c r="A249" s="6" t="str">
        <f>IFERROR(__xludf.DUMMYFUNCTION("""COMPUTED_VALUE"""),"000-5073")</f>
        <v>000-5073</v>
      </c>
      <c r="B249" s="6" t="str">
        <f>IFERROR(__xludf.DUMMYFUNCTION("""COMPUTED_VALUE"""),"0")</f>
        <v>0</v>
      </c>
      <c r="C249" s="6" t="str">
        <f>IFERROR(__xludf.DUMMYFUNCTION("""COMPUTED_VALUE"""),"5073")</f>
        <v>5073</v>
      </c>
      <c r="D249" s="6" t="str">
        <f>IFERROR(__xludf.DUMMYFUNCTION("""COMPUTED_VALUE"""),"Ryland")</f>
        <v>Ryland</v>
      </c>
      <c r="E249" s="6" t="str">
        <f>IFERROR(__xludf.DUMMYFUNCTION("""COMPUTED_VALUE"""),"")</f>
        <v/>
      </c>
      <c r="F249" s="6" t="str">
        <f>IFERROR(__xludf.DUMMYFUNCTION("""COMPUTED_VALUE"""),"Young")</f>
        <v>Young</v>
      </c>
      <c r="G249" s="6" t="str">
        <f>IFERROR(__xludf.DUMMYFUNCTION("""COMPUTED_VALUE"""),"09/25/2015")</f>
        <v>09/25/2015</v>
      </c>
      <c r="H249" s="6" t="str">
        <f>IFERROR(__xludf.DUMMYFUNCTION("""COMPUTED_VALUE"""),"Self Identify")</f>
        <v>Self Identify</v>
      </c>
      <c r="I249" s="6" t="str">
        <f>IFERROR(__xludf.DUMMYFUNCTION("""COMPUTED_VALUE"""),"Level 2")</f>
        <v>Level 2</v>
      </c>
      <c r="J249" s="6" t="str">
        <f>IFERROR(__xludf.DUMMYFUNCTION("""COMPUTED_VALUE"""),"4")</f>
        <v>4</v>
      </c>
      <c r="K249" s="6" t="str">
        <f>IFERROR(__xludf.DUMMYFUNCTION("""COMPUTED_VALUE"""),"ryland.young1@2hourlearning.com")</f>
        <v>ryland.young1@2hourlearning.com</v>
      </c>
      <c r="L249" s="6" t="str">
        <f>IFERROR(__xludf.DUMMYFUNCTION("""COMPUTED_VALUE"""),"Alpha Anywhere (homeschool)")</f>
        <v>Alpha Anywhere (homeschool)</v>
      </c>
      <c r="M249" s="6" t="str">
        <f>IFERROR(__xludf.DUMMYFUNCTION("""COMPUTED_VALUE"""),"")</f>
        <v/>
      </c>
      <c r="N249" s="6" t="str">
        <f>IFERROR(__xludf.DUMMYFUNCTION("""COMPUTED_VALUE"""),"")</f>
        <v/>
      </c>
      <c r="O249" s="87" t="str">
        <f>IFERROR(__xludf.DUMMYFUNCTION("""COMPUTED_VALUE"""),"https://drive.google.com/drive/folders/10T2cTQHqEJZqE-st6uFKPoI?usp=share_link")</f>
        <v>https://drive.google.com/drive/folders/10T2cTQHqEJZqE-st6uFKPoI?usp=share_link</v>
      </c>
      <c r="P249" s="6" t="str">
        <f>IFERROR(__xludf.DUMMYFUNCTION("""COMPUTED_VALUE"""),"Ryland Young")</f>
        <v>Ryland Young</v>
      </c>
      <c r="Q249" s="6" t="str">
        <f>IFERROR(__xludf.DUMMYFUNCTION("""COMPUTED_VALUE"""),"L2")</f>
        <v>L2</v>
      </c>
      <c r="R249" s="6">
        <f>IFERROR(__xludf.DUMMYFUNCTION("""COMPUTED_VALUE"""),2.0)</f>
        <v>2</v>
      </c>
      <c r="S249" s="6" t="str">
        <f>IFERROR(__xludf.DUMMYFUNCTION("""COMPUTED_VALUE""")," ")</f>
        <v> </v>
      </c>
      <c r="T249" s="6" t="str">
        <f>IFERROR(__xludf.DUMMYFUNCTION("""COMPUTED_VALUE"""),"")</f>
        <v/>
      </c>
      <c r="U249" s="6" t="str">
        <f>IFERROR(__xludf.DUMMYFUNCTION("""COMPUTED_VALUE"""),"4")</f>
        <v>4</v>
      </c>
      <c r="V249" s="6" t="str">
        <f>IFERROR(__xludf.DUMMYFUNCTION("""COMPUTED_VALUE"""),"")</f>
        <v/>
      </c>
      <c r="W249" s="6" t="str">
        <f>IFERROR(__xludf.DUMMYFUNCTION("""COMPUTED_VALUE"""),"[]")</f>
        <v>[]</v>
      </c>
      <c r="X249" s="6" t="str">
        <f>IFERROR(__xludf.DUMMYFUNCTION("""COMPUTED_VALUE"""),"Enrolled")</f>
        <v>Enrolled</v>
      </c>
    </row>
    <row r="250">
      <c r="A250" s="6" t="str">
        <f>IFERROR(__xludf.DUMMYFUNCTION("""COMPUTED_VALUE"""),"000-5088")</f>
        <v>000-5088</v>
      </c>
      <c r="B250" s="6" t="str">
        <f>IFERROR(__xludf.DUMMYFUNCTION("""COMPUTED_VALUE"""),"0")</f>
        <v>0</v>
      </c>
      <c r="C250" s="6" t="str">
        <f>IFERROR(__xludf.DUMMYFUNCTION("""COMPUTED_VALUE"""),"5088")</f>
        <v>5088</v>
      </c>
      <c r="D250" s="6" t="str">
        <f>IFERROR(__xludf.DUMMYFUNCTION("""COMPUTED_VALUE"""),"Marlin")</f>
        <v>Marlin</v>
      </c>
      <c r="E250" s="6" t="str">
        <f>IFERROR(__xludf.DUMMYFUNCTION("""COMPUTED_VALUE"""),"")</f>
        <v/>
      </c>
      <c r="F250" s="6" t="str">
        <f>IFERROR(__xludf.DUMMYFUNCTION("""COMPUTED_VALUE"""),"Meyerhofer")</f>
        <v>Meyerhofer</v>
      </c>
      <c r="G250" s="6" t="str">
        <f>IFERROR(__xludf.DUMMYFUNCTION("""COMPUTED_VALUE"""),"09/12/2013")</f>
        <v>09/12/2013</v>
      </c>
      <c r="H250" s="6" t="str">
        <f>IFERROR(__xludf.DUMMYFUNCTION("""COMPUTED_VALUE"""),"Self Identify")</f>
        <v>Self Identify</v>
      </c>
      <c r="I250" s="6" t="str">
        <f>IFERROR(__xludf.DUMMYFUNCTION("""COMPUTED_VALUE"""),"Middle School")</f>
        <v>Middle School</v>
      </c>
      <c r="J250" s="6" t="str">
        <f>IFERROR(__xludf.DUMMYFUNCTION("""COMPUTED_VALUE"""),"6")</f>
        <v>6</v>
      </c>
      <c r="K250" s="6" t="str">
        <f>IFERROR(__xludf.DUMMYFUNCTION("""COMPUTED_VALUE"""),"marlin.meyerhofer@2hourlearning.com")</f>
        <v>marlin.meyerhofer@2hourlearning.com</v>
      </c>
      <c r="L250" s="6" t="str">
        <f>IFERROR(__xludf.DUMMYFUNCTION("""COMPUTED_VALUE"""),"Alpha Anywhere (homeschool)")</f>
        <v>Alpha Anywhere (homeschool)</v>
      </c>
      <c r="M250" s="6" t="str">
        <f>IFERROR(__xludf.DUMMYFUNCTION("""COMPUTED_VALUE"""),"")</f>
        <v/>
      </c>
      <c r="N250" s="6" t="str">
        <f>IFERROR(__xludf.DUMMYFUNCTION("""COMPUTED_VALUE"""),"")</f>
        <v/>
      </c>
      <c r="O250" s="87" t="str">
        <f>IFERROR(__xludf.DUMMYFUNCTION("""COMPUTED_VALUE"""),"https://drive.google.com/drive/folders/10T2cTQHqEJZqE-st6uFKPoI?usp=share_link")</f>
        <v>https://drive.google.com/drive/folders/10T2cTQHqEJZqE-st6uFKPoI?usp=share_link</v>
      </c>
      <c r="P250" s="6" t="str">
        <f>IFERROR(__xludf.DUMMYFUNCTION("""COMPUTED_VALUE"""),"Marlin Meyerhofer")</f>
        <v>Marlin Meyerhofer</v>
      </c>
      <c r="Q250" s="6" t="str">
        <f>IFERROR(__xludf.DUMMYFUNCTION("""COMPUTED_VALUE"""),"MS")</f>
        <v>MS</v>
      </c>
      <c r="R250" s="6">
        <f>IFERROR(__xludf.DUMMYFUNCTION("""COMPUTED_VALUE"""),0.0)</f>
        <v>0</v>
      </c>
      <c r="S250" s="6" t="str">
        <f>IFERROR(__xludf.DUMMYFUNCTION("""COMPUTED_VALUE""")," ")</f>
        <v> </v>
      </c>
      <c r="T250" s="6" t="str">
        <f>IFERROR(__xludf.DUMMYFUNCTION("""COMPUTED_VALUE"""),"")</f>
        <v/>
      </c>
      <c r="U250" s="6" t="str">
        <f>IFERROR(__xludf.DUMMYFUNCTION("""COMPUTED_VALUE"""),"6")</f>
        <v>6</v>
      </c>
      <c r="V250" s="6" t="str">
        <f>IFERROR(__xludf.DUMMYFUNCTION("""COMPUTED_VALUE"""),"")</f>
        <v/>
      </c>
      <c r="W250" s="6" t="str">
        <f>IFERROR(__xludf.DUMMYFUNCTION("""COMPUTED_VALUE"""),"[]")</f>
        <v>[]</v>
      </c>
      <c r="X250" s="6" t="str">
        <f>IFERROR(__xludf.DUMMYFUNCTION("""COMPUTED_VALUE"""),"Enrolled")</f>
        <v>Enrolled</v>
      </c>
    </row>
    <row r="251">
      <c r="A251" s="6" t="str">
        <f>IFERROR(__xludf.DUMMYFUNCTION("""COMPUTED_VALUE"""),"000-5090")</f>
        <v>000-5090</v>
      </c>
      <c r="B251" s="6" t="str">
        <f>IFERROR(__xludf.DUMMYFUNCTION("""COMPUTED_VALUE"""),"0")</f>
        <v>0</v>
      </c>
      <c r="C251" s="6" t="str">
        <f>IFERROR(__xludf.DUMMYFUNCTION("""COMPUTED_VALUE"""),"5090")</f>
        <v>5090</v>
      </c>
      <c r="D251" s="6" t="str">
        <f>IFERROR(__xludf.DUMMYFUNCTION("""COMPUTED_VALUE"""),"Ethan")</f>
        <v>Ethan</v>
      </c>
      <c r="E251" s="6" t="str">
        <f>IFERROR(__xludf.DUMMYFUNCTION("""COMPUTED_VALUE"""),"")</f>
        <v/>
      </c>
      <c r="F251" s="6" t="str">
        <f>IFERROR(__xludf.DUMMYFUNCTION("""COMPUTED_VALUE"""),"Tsikira")</f>
        <v>Tsikira</v>
      </c>
      <c r="G251" s="6" t="str">
        <f>IFERROR(__xludf.DUMMYFUNCTION("""COMPUTED_VALUE"""),"04/19/2015")</f>
        <v>04/19/2015</v>
      </c>
      <c r="H251" s="6" t="str">
        <f>IFERROR(__xludf.DUMMYFUNCTION("""COMPUTED_VALUE"""),"Self Identify")</f>
        <v>Self Identify</v>
      </c>
      <c r="I251" s="6" t="str">
        <f>IFERROR(__xludf.DUMMYFUNCTION("""COMPUTED_VALUE"""),"Middle School")</f>
        <v>Middle School</v>
      </c>
      <c r="J251" s="6" t="str">
        <f>IFERROR(__xludf.DUMMYFUNCTION("""COMPUTED_VALUE"""),"6")</f>
        <v>6</v>
      </c>
      <c r="K251" s="6" t="str">
        <f>IFERROR(__xludf.DUMMYFUNCTION("""COMPUTED_VALUE"""),"ethan.tsikira1@2hourlearning.com")</f>
        <v>ethan.tsikira1@2hourlearning.com</v>
      </c>
      <c r="L251" s="6" t="str">
        <f>IFERROR(__xludf.DUMMYFUNCTION("""COMPUTED_VALUE"""),"Alpha Anywhere (homeschool)")</f>
        <v>Alpha Anywhere (homeschool)</v>
      </c>
      <c r="M251" s="6" t="str">
        <f>IFERROR(__xludf.DUMMYFUNCTION("""COMPUTED_VALUE"""),"")</f>
        <v/>
      </c>
      <c r="N251" s="6" t="str">
        <f>IFERROR(__xludf.DUMMYFUNCTION("""COMPUTED_VALUE"""),"")</f>
        <v/>
      </c>
      <c r="O251" s="87" t="str">
        <f>IFERROR(__xludf.DUMMYFUNCTION("""COMPUTED_VALUE"""),"https://drive.google.com/drive/folders/10T2cTQHqEJZqE-st6uFKPoI?usp=share_link")</f>
        <v>https://drive.google.com/drive/folders/10T2cTQHqEJZqE-st6uFKPoI?usp=share_link</v>
      </c>
      <c r="P251" s="6" t="str">
        <f>IFERROR(__xludf.DUMMYFUNCTION("""COMPUTED_VALUE"""),"Ethan Tsikira")</f>
        <v>Ethan Tsikira</v>
      </c>
      <c r="Q251" s="6" t="str">
        <f>IFERROR(__xludf.DUMMYFUNCTION("""COMPUTED_VALUE"""),"MS")</f>
        <v>MS</v>
      </c>
      <c r="R251" s="6">
        <f>IFERROR(__xludf.DUMMYFUNCTION("""COMPUTED_VALUE"""),0.0)</f>
        <v>0</v>
      </c>
      <c r="S251" s="6" t="str">
        <f>IFERROR(__xludf.DUMMYFUNCTION("""COMPUTED_VALUE""")," ")</f>
        <v> </v>
      </c>
      <c r="T251" s="6" t="str">
        <f>IFERROR(__xludf.DUMMYFUNCTION("""COMPUTED_VALUE"""),"")</f>
        <v/>
      </c>
      <c r="U251" s="6" t="str">
        <f>IFERROR(__xludf.DUMMYFUNCTION("""COMPUTED_VALUE"""),"6")</f>
        <v>6</v>
      </c>
      <c r="V251" s="6" t="str">
        <f>IFERROR(__xludf.DUMMYFUNCTION("""COMPUTED_VALUE"""),"")</f>
        <v/>
      </c>
      <c r="W251" s="6" t="str">
        <f>IFERROR(__xludf.DUMMYFUNCTION("""COMPUTED_VALUE"""),"[]")</f>
        <v>[]</v>
      </c>
      <c r="X251" s="6" t="str">
        <f>IFERROR(__xludf.DUMMYFUNCTION("""COMPUTED_VALUE"""),"Enrolled")</f>
        <v>Enrolled</v>
      </c>
    </row>
    <row r="252">
      <c r="A252" s="6" t="str">
        <f>IFERROR(__xludf.DUMMYFUNCTION("""COMPUTED_VALUE"""),"000-5092")</f>
        <v>000-5092</v>
      </c>
      <c r="B252" s="6" t="str">
        <f>IFERROR(__xludf.DUMMYFUNCTION("""COMPUTED_VALUE"""),"0")</f>
        <v>0</v>
      </c>
      <c r="C252" s="6" t="str">
        <f>IFERROR(__xludf.DUMMYFUNCTION("""COMPUTED_VALUE"""),"5092")</f>
        <v>5092</v>
      </c>
      <c r="D252" s="6" t="str">
        <f>IFERROR(__xludf.DUMMYFUNCTION("""COMPUTED_VALUE"""),"Quinn")</f>
        <v>Quinn</v>
      </c>
      <c r="E252" s="6" t="str">
        <f>IFERROR(__xludf.DUMMYFUNCTION("""COMPUTED_VALUE"""),"")</f>
        <v/>
      </c>
      <c r="F252" s="6" t="str">
        <f>IFERROR(__xludf.DUMMYFUNCTION("""COMPUTED_VALUE"""),"Googin")</f>
        <v>Googin</v>
      </c>
      <c r="G252" s="6" t="str">
        <f>IFERROR(__xludf.DUMMYFUNCTION("""COMPUTED_VALUE"""),"09/17/2015")</f>
        <v>09/17/2015</v>
      </c>
      <c r="H252" s="6" t="str">
        <f>IFERROR(__xludf.DUMMYFUNCTION("""COMPUTED_VALUE"""),"male")</f>
        <v>male</v>
      </c>
      <c r="I252" s="6" t="str">
        <f>IFERROR(__xludf.DUMMYFUNCTION("""COMPUTED_VALUE"""),"Level 2")</f>
        <v>Level 2</v>
      </c>
      <c r="J252" s="6" t="str">
        <f>IFERROR(__xludf.DUMMYFUNCTION("""COMPUTED_VALUE"""),"4")</f>
        <v>4</v>
      </c>
      <c r="K252" s="6" t="str">
        <f>IFERROR(__xludf.DUMMYFUNCTION("""COMPUTED_VALUE"""),"quinn.googin@2hourlearning.com")</f>
        <v>quinn.googin@2hourlearning.com</v>
      </c>
      <c r="L252" s="6" t="str">
        <f>IFERROR(__xludf.DUMMYFUNCTION("""COMPUTED_VALUE"""),"Alpha Anywhere (homeschool)")</f>
        <v>Alpha Anywhere (homeschool)</v>
      </c>
      <c r="M252" s="6" t="str">
        <f>IFERROR(__xludf.DUMMYFUNCTION("""COMPUTED_VALUE"""),"")</f>
        <v/>
      </c>
      <c r="N252" s="6" t="str">
        <f>IFERROR(__xludf.DUMMYFUNCTION("""COMPUTED_VALUE"""),"")</f>
        <v/>
      </c>
      <c r="O252" s="87" t="str">
        <f>IFERROR(__xludf.DUMMYFUNCTION("""COMPUTED_VALUE"""),"https://drive.google.com/drive/folders/10T2cTQHqEJZqE-st6uFKPoI?usp=share_link")</f>
        <v>https://drive.google.com/drive/folders/10T2cTQHqEJZqE-st6uFKPoI?usp=share_link</v>
      </c>
      <c r="P252" s="6" t="str">
        <f>IFERROR(__xludf.DUMMYFUNCTION("""COMPUTED_VALUE"""),"Quinn Googin")</f>
        <v>Quinn Googin</v>
      </c>
      <c r="Q252" s="6" t="str">
        <f>IFERROR(__xludf.DUMMYFUNCTION("""COMPUTED_VALUE"""),"L2")</f>
        <v>L2</v>
      </c>
      <c r="R252" s="6">
        <f>IFERROR(__xludf.DUMMYFUNCTION("""COMPUTED_VALUE"""),2.0)</f>
        <v>2</v>
      </c>
      <c r="S252" s="6" t="str">
        <f>IFERROR(__xludf.DUMMYFUNCTION("""COMPUTED_VALUE""")," ")</f>
        <v> </v>
      </c>
      <c r="T252" s="6" t="str">
        <f>IFERROR(__xludf.DUMMYFUNCTION("""COMPUTED_VALUE"""),"")</f>
        <v/>
      </c>
      <c r="U252" s="6" t="str">
        <f>IFERROR(__xludf.DUMMYFUNCTION("""COMPUTED_VALUE"""),"4")</f>
        <v>4</v>
      </c>
      <c r="V252" s="6" t="str">
        <f>IFERROR(__xludf.DUMMYFUNCTION("""COMPUTED_VALUE"""),"")</f>
        <v/>
      </c>
      <c r="W252" s="6" t="str">
        <f>IFERROR(__xludf.DUMMYFUNCTION("""COMPUTED_VALUE"""),"[]")</f>
        <v>[]</v>
      </c>
      <c r="X252" s="6" t="str">
        <f>IFERROR(__xludf.DUMMYFUNCTION("""COMPUTED_VALUE"""),"Enrolled")</f>
        <v>Enrolled</v>
      </c>
    </row>
    <row r="253">
      <c r="A253" s="6" t="str">
        <f>IFERROR(__xludf.DUMMYFUNCTION("""COMPUTED_VALUE"""),"000-5094")</f>
        <v>000-5094</v>
      </c>
      <c r="B253" s="6" t="str">
        <f>IFERROR(__xludf.DUMMYFUNCTION("""COMPUTED_VALUE"""),"0")</f>
        <v>0</v>
      </c>
      <c r="C253" s="6" t="str">
        <f>IFERROR(__xludf.DUMMYFUNCTION("""COMPUTED_VALUE"""),"5094")</f>
        <v>5094</v>
      </c>
      <c r="D253" s="6" t="str">
        <f>IFERROR(__xludf.DUMMYFUNCTION("""COMPUTED_VALUE"""),"Lukas")</f>
        <v>Lukas</v>
      </c>
      <c r="E253" s="6" t="str">
        <f>IFERROR(__xludf.DUMMYFUNCTION("""COMPUTED_VALUE"""),"")</f>
        <v/>
      </c>
      <c r="F253" s="6" t="str">
        <f>IFERROR(__xludf.DUMMYFUNCTION("""COMPUTED_VALUE"""),"Montes de Oca")</f>
        <v>Montes de Oca</v>
      </c>
      <c r="G253" s="6" t="str">
        <f>IFERROR(__xludf.DUMMYFUNCTION("""COMPUTED_VALUE"""),"02/15/2014")</f>
        <v>02/15/2014</v>
      </c>
      <c r="H253" s="6" t="str">
        <f>IFERROR(__xludf.DUMMYFUNCTION("""COMPUTED_VALUE"""),"Self Identify")</f>
        <v>Self Identify</v>
      </c>
      <c r="I253" s="6" t="str">
        <f>IFERROR(__xludf.DUMMYFUNCTION("""COMPUTED_VALUE"""),"Level 2")</f>
        <v>Level 2</v>
      </c>
      <c r="J253" s="6" t="str">
        <f>IFERROR(__xludf.DUMMYFUNCTION("""COMPUTED_VALUE"""),"5")</f>
        <v>5</v>
      </c>
      <c r="K253" s="6" t="str">
        <f>IFERROR(__xludf.DUMMYFUNCTION("""COMPUTED_VALUE"""),"lukas.montesdeoca@2hourlearning.com")</f>
        <v>lukas.montesdeoca@2hourlearning.com</v>
      </c>
      <c r="L253" s="6" t="str">
        <f>IFERROR(__xludf.DUMMYFUNCTION("""COMPUTED_VALUE"""),"Alpha Anywhere (homeschool)")</f>
        <v>Alpha Anywhere (homeschool)</v>
      </c>
      <c r="M253" s="6" t="str">
        <f>IFERROR(__xludf.DUMMYFUNCTION("""COMPUTED_VALUE"""),"")</f>
        <v/>
      </c>
      <c r="N253" s="6" t="str">
        <f>IFERROR(__xludf.DUMMYFUNCTION("""COMPUTED_VALUE"""),"")</f>
        <v/>
      </c>
      <c r="O253" s="87" t="str">
        <f>IFERROR(__xludf.DUMMYFUNCTION("""COMPUTED_VALUE"""),"https://drive.google.com/drive/folders/10T2cTQHqEJZqE-st6uFKPoI?usp=share_link")</f>
        <v>https://drive.google.com/drive/folders/10T2cTQHqEJZqE-st6uFKPoI?usp=share_link</v>
      </c>
      <c r="P253" s="6" t="str">
        <f>IFERROR(__xludf.DUMMYFUNCTION("""COMPUTED_VALUE"""),"Lukas Montes de Oca")</f>
        <v>Lukas Montes de Oca</v>
      </c>
      <c r="Q253" s="6" t="str">
        <f>IFERROR(__xludf.DUMMYFUNCTION("""COMPUTED_VALUE"""),"L2")</f>
        <v>L2</v>
      </c>
      <c r="R253" s="6">
        <f>IFERROR(__xludf.DUMMYFUNCTION("""COMPUTED_VALUE"""),2.0)</f>
        <v>2</v>
      </c>
      <c r="S253" s="6" t="str">
        <f>IFERROR(__xludf.DUMMYFUNCTION("""COMPUTED_VALUE""")," ")</f>
        <v> </v>
      </c>
      <c r="T253" s="6" t="str">
        <f>IFERROR(__xludf.DUMMYFUNCTION("""COMPUTED_VALUE"""),"")</f>
        <v/>
      </c>
      <c r="U253" s="6" t="str">
        <f>IFERROR(__xludf.DUMMYFUNCTION("""COMPUTED_VALUE"""),"5")</f>
        <v>5</v>
      </c>
      <c r="V253" s="6" t="str">
        <f>IFERROR(__xludf.DUMMYFUNCTION("""COMPUTED_VALUE"""),"")</f>
        <v/>
      </c>
      <c r="W253" s="6" t="str">
        <f>IFERROR(__xludf.DUMMYFUNCTION("""COMPUTED_VALUE"""),"[]")</f>
        <v>[]</v>
      </c>
      <c r="X253" s="6" t="str">
        <f>IFERROR(__xludf.DUMMYFUNCTION("""COMPUTED_VALUE"""),"Enrolled")</f>
        <v>Enrolled</v>
      </c>
    </row>
    <row r="254">
      <c r="A254" s="6" t="str">
        <f>IFERROR(__xludf.DUMMYFUNCTION("""COMPUTED_VALUE"""),"000-5095")</f>
        <v>000-5095</v>
      </c>
      <c r="B254" s="6" t="str">
        <f>IFERROR(__xludf.DUMMYFUNCTION("""COMPUTED_VALUE"""),"0")</f>
        <v>0</v>
      </c>
      <c r="C254" s="6" t="str">
        <f>IFERROR(__xludf.DUMMYFUNCTION("""COMPUTED_VALUE"""),"5095")</f>
        <v>5095</v>
      </c>
      <c r="D254" s="6" t="str">
        <f>IFERROR(__xludf.DUMMYFUNCTION("""COMPUTED_VALUE"""),"Nehemiah")</f>
        <v>Nehemiah</v>
      </c>
      <c r="E254" s="6" t="str">
        <f>IFERROR(__xludf.DUMMYFUNCTION("""COMPUTED_VALUE"""),"")</f>
        <v/>
      </c>
      <c r="F254" s="6" t="str">
        <f>IFERROR(__xludf.DUMMYFUNCTION("""COMPUTED_VALUE"""),"Ward")</f>
        <v>Ward</v>
      </c>
      <c r="G254" s="6" t="str">
        <f>IFERROR(__xludf.DUMMYFUNCTION("""COMPUTED_VALUE"""),"05/30/2012")</f>
        <v>05/30/2012</v>
      </c>
      <c r="H254" s="6" t="str">
        <f>IFERROR(__xludf.DUMMYFUNCTION("""COMPUTED_VALUE"""),"Self Identify")</f>
        <v>Self Identify</v>
      </c>
      <c r="I254" s="6" t="str">
        <f>IFERROR(__xludf.DUMMYFUNCTION("""COMPUTED_VALUE"""),"Middle School")</f>
        <v>Middle School</v>
      </c>
      <c r="J254" s="6" t="str">
        <f>IFERROR(__xludf.DUMMYFUNCTION("""COMPUTED_VALUE"""),"6")</f>
        <v>6</v>
      </c>
      <c r="K254" s="6" t="str">
        <f>IFERROR(__xludf.DUMMYFUNCTION("""COMPUTED_VALUE"""),"nehemiah.ward@2hourlearning.com")</f>
        <v>nehemiah.ward@2hourlearning.com</v>
      </c>
      <c r="L254" s="6" t="str">
        <f>IFERROR(__xludf.DUMMYFUNCTION("""COMPUTED_VALUE"""),"Alpha Anywhere (homeschool)")</f>
        <v>Alpha Anywhere (homeschool)</v>
      </c>
      <c r="M254" s="6" t="str">
        <f>IFERROR(__xludf.DUMMYFUNCTION("""COMPUTED_VALUE"""),"")</f>
        <v/>
      </c>
      <c r="N254" s="6" t="str">
        <f>IFERROR(__xludf.DUMMYFUNCTION("""COMPUTED_VALUE"""),"")</f>
        <v/>
      </c>
      <c r="O254" s="87" t="str">
        <f>IFERROR(__xludf.DUMMYFUNCTION("""COMPUTED_VALUE"""),"https://drive.google.com/drive/folders/10T2cTQHqEJZqE-st6uFKPoI?usp=share_link")</f>
        <v>https://drive.google.com/drive/folders/10T2cTQHqEJZqE-st6uFKPoI?usp=share_link</v>
      </c>
      <c r="P254" s="6" t="str">
        <f>IFERROR(__xludf.DUMMYFUNCTION("""COMPUTED_VALUE"""),"Nehemiah Ward")</f>
        <v>Nehemiah Ward</v>
      </c>
      <c r="Q254" s="6" t="str">
        <f>IFERROR(__xludf.DUMMYFUNCTION("""COMPUTED_VALUE"""),"MS")</f>
        <v>MS</v>
      </c>
      <c r="R254" s="6">
        <f>IFERROR(__xludf.DUMMYFUNCTION("""COMPUTED_VALUE"""),0.0)</f>
        <v>0</v>
      </c>
      <c r="S254" s="6" t="str">
        <f>IFERROR(__xludf.DUMMYFUNCTION("""COMPUTED_VALUE""")," ")</f>
        <v> </v>
      </c>
      <c r="T254" s="6" t="str">
        <f>IFERROR(__xludf.DUMMYFUNCTION("""COMPUTED_VALUE"""),"")</f>
        <v/>
      </c>
      <c r="U254" s="6" t="str">
        <f>IFERROR(__xludf.DUMMYFUNCTION("""COMPUTED_VALUE"""),"6")</f>
        <v>6</v>
      </c>
      <c r="V254" s="6" t="str">
        <f>IFERROR(__xludf.DUMMYFUNCTION("""COMPUTED_VALUE"""),"")</f>
        <v/>
      </c>
      <c r="W254" s="6" t="str">
        <f>IFERROR(__xludf.DUMMYFUNCTION("""COMPUTED_VALUE"""),"[]")</f>
        <v>[]</v>
      </c>
      <c r="X254" s="6" t="str">
        <f>IFERROR(__xludf.DUMMYFUNCTION("""COMPUTED_VALUE"""),"Enrolled")</f>
        <v>Enrolled</v>
      </c>
    </row>
    <row r="255">
      <c r="A255" s="6" t="str">
        <f>IFERROR(__xludf.DUMMYFUNCTION("""COMPUTED_VALUE"""),"000-5096")</f>
        <v>000-5096</v>
      </c>
      <c r="B255" s="6" t="str">
        <f>IFERROR(__xludf.DUMMYFUNCTION("""COMPUTED_VALUE"""),"0")</f>
        <v>0</v>
      </c>
      <c r="C255" s="6" t="str">
        <f>IFERROR(__xludf.DUMMYFUNCTION("""COMPUTED_VALUE"""),"5096")</f>
        <v>5096</v>
      </c>
      <c r="D255" s="6" t="str">
        <f>IFERROR(__xludf.DUMMYFUNCTION("""COMPUTED_VALUE"""),"Azariah")</f>
        <v>Azariah</v>
      </c>
      <c r="E255" s="6" t="str">
        <f>IFERROR(__xludf.DUMMYFUNCTION("""COMPUTED_VALUE"""),"")</f>
        <v/>
      </c>
      <c r="F255" s="6" t="str">
        <f>IFERROR(__xludf.DUMMYFUNCTION("""COMPUTED_VALUE"""),"Ward")</f>
        <v>Ward</v>
      </c>
      <c r="G255" s="6" t="str">
        <f>IFERROR(__xludf.DUMMYFUNCTION("""COMPUTED_VALUE"""),"05/17/2014")</f>
        <v>05/17/2014</v>
      </c>
      <c r="H255" s="6" t="str">
        <f>IFERROR(__xludf.DUMMYFUNCTION("""COMPUTED_VALUE"""),"Self Identify")</f>
        <v>Self Identify</v>
      </c>
      <c r="I255" s="6" t="str">
        <f>IFERROR(__xludf.DUMMYFUNCTION("""COMPUTED_VALUE"""),"Middle School")</f>
        <v>Middle School</v>
      </c>
      <c r="J255" s="6" t="str">
        <f>IFERROR(__xludf.DUMMYFUNCTION("""COMPUTED_VALUE"""),"6")</f>
        <v>6</v>
      </c>
      <c r="K255" s="6" t="str">
        <f>IFERROR(__xludf.DUMMYFUNCTION("""COMPUTED_VALUE"""),"azariah.ward@2hourlearning.com")</f>
        <v>azariah.ward@2hourlearning.com</v>
      </c>
      <c r="L255" s="6" t="str">
        <f>IFERROR(__xludf.DUMMYFUNCTION("""COMPUTED_VALUE"""),"Alpha Anywhere (homeschool)")</f>
        <v>Alpha Anywhere (homeschool)</v>
      </c>
      <c r="M255" s="6" t="str">
        <f>IFERROR(__xludf.DUMMYFUNCTION("""COMPUTED_VALUE"""),"")</f>
        <v/>
      </c>
      <c r="N255" s="6" t="str">
        <f>IFERROR(__xludf.DUMMYFUNCTION("""COMPUTED_VALUE"""),"")</f>
        <v/>
      </c>
      <c r="O255" s="87" t="str">
        <f>IFERROR(__xludf.DUMMYFUNCTION("""COMPUTED_VALUE"""),"https://drive.google.com/drive/folders/10T2cTQHqEJZqE-st6uFKPoI?usp=share_link")</f>
        <v>https://drive.google.com/drive/folders/10T2cTQHqEJZqE-st6uFKPoI?usp=share_link</v>
      </c>
      <c r="P255" s="6" t="str">
        <f>IFERROR(__xludf.DUMMYFUNCTION("""COMPUTED_VALUE"""),"Azariah Ward")</f>
        <v>Azariah Ward</v>
      </c>
      <c r="Q255" s="6" t="str">
        <f>IFERROR(__xludf.DUMMYFUNCTION("""COMPUTED_VALUE"""),"MS")</f>
        <v>MS</v>
      </c>
      <c r="R255" s="6">
        <f>IFERROR(__xludf.DUMMYFUNCTION("""COMPUTED_VALUE"""),0.0)</f>
        <v>0</v>
      </c>
      <c r="S255" s="6" t="str">
        <f>IFERROR(__xludf.DUMMYFUNCTION("""COMPUTED_VALUE""")," ")</f>
        <v> </v>
      </c>
      <c r="T255" s="6" t="str">
        <f>IFERROR(__xludf.DUMMYFUNCTION("""COMPUTED_VALUE"""),"")</f>
        <v/>
      </c>
      <c r="U255" s="6" t="str">
        <f>IFERROR(__xludf.DUMMYFUNCTION("""COMPUTED_VALUE"""),"6")</f>
        <v>6</v>
      </c>
      <c r="V255" s="6" t="str">
        <f>IFERROR(__xludf.DUMMYFUNCTION("""COMPUTED_VALUE"""),"")</f>
        <v/>
      </c>
      <c r="W255" s="6" t="str">
        <f>IFERROR(__xludf.DUMMYFUNCTION("""COMPUTED_VALUE"""),"[]")</f>
        <v>[]</v>
      </c>
      <c r="X255" s="6" t="str">
        <f>IFERROR(__xludf.DUMMYFUNCTION("""COMPUTED_VALUE"""),"Enrolled")</f>
        <v>Enrolled</v>
      </c>
    </row>
    <row r="256">
      <c r="A256" s="6" t="str">
        <f>IFERROR(__xludf.DUMMYFUNCTION("""COMPUTED_VALUE"""),"000-5097")</f>
        <v>000-5097</v>
      </c>
      <c r="B256" s="6" t="str">
        <f>IFERROR(__xludf.DUMMYFUNCTION("""COMPUTED_VALUE"""),"0")</f>
        <v>0</v>
      </c>
      <c r="C256" s="6" t="str">
        <f>IFERROR(__xludf.DUMMYFUNCTION("""COMPUTED_VALUE"""),"5097")</f>
        <v>5097</v>
      </c>
      <c r="D256" s="6" t="str">
        <f>IFERROR(__xludf.DUMMYFUNCTION("""COMPUTED_VALUE"""),"Lois Mae")</f>
        <v>Lois Mae</v>
      </c>
      <c r="E256" s="6" t="str">
        <f>IFERROR(__xludf.DUMMYFUNCTION("""COMPUTED_VALUE"""),"")</f>
        <v/>
      </c>
      <c r="F256" s="6" t="str">
        <f>IFERROR(__xludf.DUMMYFUNCTION("""COMPUTED_VALUE"""),"Ward")</f>
        <v>Ward</v>
      </c>
      <c r="G256" s="6" t="str">
        <f>IFERROR(__xludf.DUMMYFUNCTION("""COMPUTED_VALUE"""),"05/09/2018")</f>
        <v>05/09/2018</v>
      </c>
      <c r="H256" s="6" t="str">
        <f>IFERROR(__xludf.DUMMYFUNCTION("""COMPUTED_VALUE"""),"Self Identify")</f>
        <v>Self Identify</v>
      </c>
      <c r="I256" s="6" t="str">
        <f>IFERROR(__xludf.DUMMYFUNCTION("""COMPUTED_VALUE"""),"Level 1")</f>
        <v>Level 1</v>
      </c>
      <c r="J256" s="6" t="str">
        <f>IFERROR(__xludf.DUMMYFUNCTION("""COMPUTED_VALUE"""),"3")</f>
        <v>3</v>
      </c>
      <c r="K256" s="6" t="str">
        <f>IFERROR(__xludf.DUMMYFUNCTION("""COMPUTED_VALUE"""),"lois.mae.ward@2hourlearning.com")</f>
        <v>lois.mae.ward@2hourlearning.com</v>
      </c>
      <c r="L256" s="6" t="str">
        <f>IFERROR(__xludf.DUMMYFUNCTION("""COMPUTED_VALUE"""),"Alpha Anywhere (homeschool)")</f>
        <v>Alpha Anywhere (homeschool)</v>
      </c>
      <c r="M256" s="6" t="str">
        <f>IFERROR(__xludf.DUMMYFUNCTION("""COMPUTED_VALUE"""),"")</f>
        <v/>
      </c>
      <c r="N256" s="6" t="str">
        <f>IFERROR(__xludf.DUMMYFUNCTION("""COMPUTED_VALUE"""),"")</f>
        <v/>
      </c>
      <c r="O256" s="87" t="str">
        <f>IFERROR(__xludf.DUMMYFUNCTION("""COMPUTED_VALUE"""),"https://drive.google.com/drive/folders/10T2cTQHqEJZqE-st6uFKPoI?usp=share_link")</f>
        <v>https://drive.google.com/drive/folders/10T2cTQHqEJZqE-st6uFKPoI?usp=share_link</v>
      </c>
      <c r="P256" s="6" t="str">
        <f>IFERROR(__xludf.DUMMYFUNCTION("""COMPUTED_VALUE"""),"Lois Mae Ward")</f>
        <v>Lois Mae Ward</v>
      </c>
      <c r="Q256" s="6" t="str">
        <f>IFERROR(__xludf.DUMMYFUNCTION("""COMPUTED_VALUE"""),"L1")</f>
        <v>L1</v>
      </c>
      <c r="R256" s="6">
        <f>IFERROR(__xludf.DUMMYFUNCTION("""COMPUTED_VALUE"""),1.0)</f>
        <v>1</v>
      </c>
      <c r="S256" s="6" t="str">
        <f>IFERROR(__xludf.DUMMYFUNCTION("""COMPUTED_VALUE""")," ")</f>
        <v> </v>
      </c>
      <c r="T256" s="6" t="str">
        <f>IFERROR(__xludf.DUMMYFUNCTION("""COMPUTED_VALUE"""),"")</f>
        <v/>
      </c>
      <c r="U256" s="6" t="str">
        <f>IFERROR(__xludf.DUMMYFUNCTION("""COMPUTED_VALUE"""),"3")</f>
        <v>3</v>
      </c>
      <c r="V256" s="6" t="str">
        <f>IFERROR(__xludf.DUMMYFUNCTION("""COMPUTED_VALUE"""),"")</f>
        <v/>
      </c>
      <c r="W256" s="6" t="str">
        <f>IFERROR(__xludf.DUMMYFUNCTION("""COMPUTED_VALUE"""),"[]")</f>
        <v>[]</v>
      </c>
      <c r="X256" s="6" t="str">
        <f>IFERROR(__xludf.DUMMYFUNCTION("""COMPUTED_VALUE"""),"Enrolled")</f>
        <v>Enrolled</v>
      </c>
    </row>
    <row r="257">
      <c r="A257" s="6" t="str">
        <f>IFERROR(__xludf.DUMMYFUNCTION("""COMPUTED_VALUE"""),"000-5116")</f>
        <v>000-5116</v>
      </c>
      <c r="B257" s="6" t="str">
        <f>IFERROR(__xludf.DUMMYFUNCTION("""COMPUTED_VALUE"""),"0")</f>
        <v>0</v>
      </c>
      <c r="C257" s="6" t="str">
        <f>IFERROR(__xludf.DUMMYFUNCTION("""COMPUTED_VALUE"""),"5116")</f>
        <v>5116</v>
      </c>
      <c r="D257" s="6" t="str">
        <f>IFERROR(__xludf.DUMMYFUNCTION("""COMPUTED_VALUE"""),"Easton")</f>
        <v>Easton</v>
      </c>
      <c r="E257" s="6" t="str">
        <f>IFERROR(__xludf.DUMMYFUNCTION("""COMPUTED_VALUE"""),"Easton")</f>
        <v>Easton</v>
      </c>
      <c r="F257" s="6" t="str">
        <f>IFERROR(__xludf.DUMMYFUNCTION("""COMPUTED_VALUE"""),"VerLee")</f>
        <v>VerLee</v>
      </c>
      <c r="G257" s="6" t="str">
        <f>IFERROR(__xludf.DUMMYFUNCTION("""COMPUTED_VALUE"""),"05/31/2014")</f>
        <v>05/31/2014</v>
      </c>
      <c r="H257" s="6" t="str">
        <f>IFERROR(__xludf.DUMMYFUNCTION("""COMPUTED_VALUE"""),"male")</f>
        <v>male</v>
      </c>
      <c r="I257" s="6" t="str">
        <f>IFERROR(__xludf.DUMMYFUNCTION("""COMPUTED_VALUE"""),"Level 2")</f>
        <v>Level 2</v>
      </c>
      <c r="J257" s="6" t="str">
        <f>IFERROR(__xludf.DUMMYFUNCTION("""COMPUTED_VALUE"""),"5")</f>
        <v>5</v>
      </c>
      <c r="K257" s="6" t="str">
        <f>IFERROR(__xludf.DUMMYFUNCTION("""COMPUTED_VALUE"""),"easton.verlee@2hourlearning.com")</f>
        <v>easton.verlee@2hourlearning.com</v>
      </c>
      <c r="L257" s="6" t="str">
        <f>IFERROR(__xludf.DUMMYFUNCTION("""COMPUTED_VALUE"""),"Alpha Anywhere (homeschool)")</f>
        <v>Alpha Anywhere (homeschool)</v>
      </c>
      <c r="M257" s="6" t="str">
        <f>IFERROR(__xludf.DUMMYFUNCTION("""COMPUTED_VALUE"""),"")</f>
        <v/>
      </c>
      <c r="N257" s="6" t="str">
        <f>IFERROR(__xludf.DUMMYFUNCTION("""COMPUTED_VALUE"""),"")</f>
        <v/>
      </c>
      <c r="O257" s="87" t="str">
        <f>IFERROR(__xludf.DUMMYFUNCTION("""COMPUTED_VALUE"""),"https://drive.google.com/drive/folders/10T2cTQHqEJZqE-st6uFKPoI?usp=share_link")</f>
        <v>https://drive.google.com/drive/folders/10T2cTQHqEJZqE-st6uFKPoI?usp=share_link</v>
      </c>
      <c r="P257" s="6" t="str">
        <f>IFERROR(__xludf.DUMMYFUNCTION("""COMPUTED_VALUE"""),"Easton VerLee")</f>
        <v>Easton VerLee</v>
      </c>
      <c r="Q257" s="6" t="str">
        <f>IFERROR(__xludf.DUMMYFUNCTION("""COMPUTED_VALUE"""),"L2")</f>
        <v>L2</v>
      </c>
      <c r="R257" s="6">
        <f>IFERROR(__xludf.DUMMYFUNCTION("""COMPUTED_VALUE"""),2.0)</f>
        <v>2</v>
      </c>
      <c r="S257" s="6" t="str">
        <f>IFERROR(__xludf.DUMMYFUNCTION("""COMPUTED_VALUE""")," ")</f>
        <v> </v>
      </c>
      <c r="T257" s="6" t="str">
        <f>IFERROR(__xludf.DUMMYFUNCTION("""COMPUTED_VALUE"""),"")</f>
        <v/>
      </c>
      <c r="U257" s="6" t="str">
        <f>IFERROR(__xludf.DUMMYFUNCTION("""COMPUTED_VALUE"""),"5")</f>
        <v>5</v>
      </c>
      <c r="V257" s="6" t="str">
        <f>IFERROR(__xludf.DUMMYFUNCTION("""COMPUTED_VALUE"""),"")</f>
        <v/>
      </c>
      <c r="W257" s="6" t="str">
        <f>IFERROR(__xludf.DUMMYFUNCTION("""COMPUTED_VALUE"""),"[]")</f>
        <v>[]</v>
      </c>
      <c r="X257" s="6" t="str">
        <f>IFERROR(__xludf.DUMMYFUNCTION("""COMPUTED_VALUE"""),"Enrolled")</f>
        <v>Enrolled</v>
      </c>
    </row>
    <row r="258">
      <c r="A258" s="6" t="str">
        <f>IFERROR(__xludf.DUMMYFUNCTION("""COMPUTED_VALUE"""),"000-5202")</f>
        <v>000-5202</v>
      </c>
      <c r="B258" s="6" t="str">
        <f>IFERROR(__xludf.DUMMYFUNCTION("""COMPUTED_VALUE"""),"0")</f>
        <v>0</v>
      </c>
      <c r="C258" s="6" t="str">
        <f>IFERROR(__xludf.DUMMYFUNCTION("""COMPUTED_VALUE"""),"5202")</f>
        <v>5202</v>
      </c>
      <c r="D258" s="6" t="str">
        <f>IFERROR(__xludf.DUMMYFUNCTION("""COMPUTED_VALUE"""),"Daron")</f>
        <v>Daron</v>
      </c>
      <c r="E258" s="6" t="str">
        <f>IFERROR(__xludf.DUMMYFUNCTION("""COMPUTED_VALUE"""),"")</f>
        <v/>
      </c>
      <c r="F258" s="6" t="str">
        <f>IFERROR(__xludf.DUMMYFUNCTION("""COMPUTED_VALUE"""),"Tjoflat")</f>
        <v>Tjoflat</v>
      </c>
      <c r="G258" s="6" t="str">
        <f>IFERROR(__xludf.DUMMYFUNCTION("""COMPUTED_VALUE"""),"12/11/2010")</f>
        <v>12/11/2010</v>
      </c>
      <c r="H258" s="6" t="str">
        <f>IFERROR(__xludf.DUMMYFUNCTION("""COMPUTED_VALUE"""),"Self Identify")</f>
        <v>Self Identify</v>
      </c>
      <c r="I258" s="6" t="str">
        <f>IFERROR(__xludf.DUMMYFUNCTION("""COMPUTED_VALUE"""),"Middle School")</f>
        <v>Middle School</v>
      </c>
      <c r="J258" s="6" t="str">
        <f>IFERROR(__xludf.DUMMYFUNCTION("""COMPUTED_VALUE"""),"8")</f>
        <v>8</v>
      </c>
      <c r="K258" s="6" t="str">
        <f>IFERROR(__xludf.DUMMYFUNCTION("""COMPUTED_VALUE"""),"daron.tjoflat@2hourlearning.com")</f>
        <v>daron.tjoflat@2hourlearning.com</v>
      </c>
      <c r="L258" s="6" t="str">
        <f>IFERROR(__xludf.DUMMYFUNCTION("""COMPUTED_VALUE"""),"Alpha Anywhere (homeschool)")</f>
        <v>Alpha Anywhere (homeschool)</v>
      </c>
      <c r="M258" s="6" t="str">
        <f>IFERROR(__xludf.DUMMYFUNCTION("""COMPUTED_VALUE"""),"")</f>
        <v/>
      </c>
      <c r="N258" s="6" t="str">
        <f>IFERROR(__xludf.DUMMYFUNCTION("""COMPUTED_VALUE"""),"")</f>
        <v/>
      </c>
      <c r="O258" s="87" t="str">
        <f>IFERROR(__xludf.DUMMYFUNCTION("""COMPUTED_VALUE"""),"https://drive.google.com/drive/folders/10T2cTQHqEJZqE-st6uFKPoI?usp=share_link")</f>
        <v>https://drive.google.com/drive/folders/10T2cTQHqEJZqE-st6uFKPoI?usp=share_link</v>
      </c>
      <c r="P258" s="6" t="str">
        <f>IFERROR(__xludf.DUMMYFUNCTION("""COMPUTED_VALUE"""),"Daron Tjoflat")</f>
        <v>Daron Tjoflat</v>
      </c>
      <c r="Q258" s="6" t="str">
        <f>IFERROR(__xludf.DUMMYFUNCTION("""COMPUTED_VALUE"""),"MS")</f>
        <v>MS</v>
      </c>
      <c r="R258" s="6">
        <f>IFERROR(__xludf.DUMMYFUNCTION("""COMPUTED_VALUE"""),0.0)</f>
        <v>0</v>
      </c>
      <c r="S258" s="6" t="str">
        <f>IFERROR(__xludf.DUMMYFUNCTION("""COMPUTED_VALUE""")," ")</f>
        <v> </v>
      </c>
      <c r="T258" s="6" t="str">
        <f>IFERROR(__xludf.DUMMYFUNCTION("""COMPUTED_VALUE"""),"")</f>
        <v/>
      </c>
      <c r="U258" s="6" t="str">
        <f>IFERROR(__xludf.DUMMYFUNCTION("""COMPUTED_VALUE"""),"8")</f>
        <v>8</v>
      </c>
      <c r="V258" s="6" t="str">
        <f>IFERROR(__xludf.DUMMYFUNCTION("""COMPUTED_VALUE"""),"")</f>
        <v/>
      </c>
      <c r="W258" s="6" t="str">
        <f>IFERROR(__xludf.DUMMYFUNCTION("""COMPUTED_VALUE"""),"[]")</f>
        <v>[]</v>
      </c>
      <c r="X258" s="6" t="str">
        <f>IFERROR(__xludf.DUMMYFUNCTION("""COMPUTED_VALUE"""),"Enrolled")</f>
        <v>Enrolled</v>
      </c>
    </row>
    <row r="259">
      <c r="A259" s="6" t="str">
        <f>IFERROR(__xludf.DUMMYFUNCTION("""COMPUTED_VALUE"""),"000-5214")</f>
        <v>000-5214</v>
      </c>
      <c r="B259" s="6" t="str">
        <f>IFERROR(__xludf.DUMMYFUNCTION("""COMPUTED_VALUE"""),"0")</f>
        <v>0</v>
      </c>
      <c r="C259" s="6" t="str">
        <f>IFERROR(__xludf.DUMMYFUNCTION("""COMPUTED_VALUE"""),"5214")</f>
        <v>5214</v>
      </c>
      <c r="D259" s="6" t="str">
        <f>IFERROR(__xludf.DUMMYFUNCTION("""COMPUTED_VALUE"""),"Karam")</f>
        <v>Karam</v>
      </c>
      <c r="E259" s="6" t="str">
        <f>IFERROR(__xludf.DUMMYFUNCTION("""COMPUTED_VALUE"""),"Karam")</f>
        <v>Karam</v>
      </c>
      <c r="F259" s="6" t="str">
        <f>IFERROR(__xludf.DUMMYFUNCTION("""COMPUTED_VALUE"""),"Lamba")</f>
        <v>Lamba</v>
      </c>
      <c r="G259" s="6" t="str">
        <f>IFERROR(__xludf.DUMMYFUNCTION("""COMPUTED_VALUE"""),"10/28/2013")</f>
        <v>10/28/2013</v>
      </c>
      <c r="H259" s="6" t="str">
        <f>IFERROR(__xludf.DUMMYFUNCTION("""COMPUTED_VALUE"""),"male")</f>
        <v>male</v>
      </c>
      <c r="I259" s="6" t="str">
        <f>IFERROR(__xludf.DUMMYFUNCTION("""COMPUTED_VALUE"""),"Middle School")</f>
        <v>Middle School</v>
      </c>
      <c r="J259" s="6" t="str">
        <f>IFERROR(__xludf.DUMMYFUNCTION("""COMPUTED_VALUE"""),"6")</f>
        <v>6</v>
      </c>
      <c r="K259" s="6" t="str">
        <f>IFERROR(__xludf.DUMMYFUNCTION("""COMPUTED_VALUE"""),"karam.lamba@2hourlearning.com")</f>
        <v>karam.lamba@2hourlearning.com</v>
      </c>
      <c r="L259" s="6" t="str">
        <f>IFERROR(__xludf.DUMMYFUNCTION("""COMPUTED_VALUE"""),"Alpha Anywhere (homeschool)")</f>
        <v>Alpha Anywhere (homeschool)</v>
      </c>
      <c r="M259" s="6" t="str">
        <f>IFERROR(__xludf.DUMMYFUNCTION("""COMPUTED_VALUE"""),"")</f>
        <v/>
      </c>
      <c r="N259" s="6" t="str">
        <f>IFERROR(__xludf.DUMMYFUNCTION("""COMPUTED_VALUE"""),"")</f>
        <v/>
      </c>
      <c r="O259" s="87" t="str">
        <f>IFERROR(__xludf.DUMMYFUNCTION("""COMPUTED_VALUE"""),"https://drive.google.com/drive/folders/10T2cTQHqEJZqE-st6uFKPoI?usp=share_link")</f>
        <v>https://drive.google.com/drive/folders/10T2cTQHqEJZqE-st6uFKPoI?usp=share_link</v>
      </c>
      <c r="P259" s="6" t="str">
        <f>IFERROR(__xludf.DUMMYFUNCTION("""COMPUTED_VALUE"""),"Karam Lamba")</f>
        <v>Karam Lamba</v>
      </c>
      <c r="Q259" s="6" t="str">
        <f>IFERROR(__xludf.DUMMYFUNCTION("""COMPUTED_VALUE"""),"MS")</f>
        <v>MS</v>
      </c>
      <c r="R259" s="6">
        <f>IFERROR(__xludf.DUMMYFUNCTION("""COMPUTED_VALUE"""),0.0)</f>
        <v>0</v>
      </c>
      <c r="S259" s="6" t="str">
        <f>IFERROR(__xludf.DUMMYFUNCTION("""COMPUTED_VALUE""")," ")</f>
        <v> </v>
      </c>
      <c r="T259" s="6" t="str">
        <f>IFERROR(__xludf.DUMMYFUNCTION("""COMPUTED_VALUE"""),"")</f>
        <v/>
      </c>
      <c r="U259" s="6" t="str">
        <f>IFERROR(__xludf.DUMMYFUNCTION("""COMPUTED_VALUE"""),"6")</f>
        <v>6</v>
      </c>
      <c r="V259" s="6" t="str">
        <f>IFERROR(__xludf.DUMMYFUNCTION("""COMPUTED_VALUE"""),"")</f>
        <v/>
      </c>
      <c r="W259" s="6" t="str">
        <f>IFERROR(__xludf.DUMMYFUNCTION("""COMPUTED_VALUE"""),"[]")</f>
        <v>[]</v>
      </c>
      <c r="X259" s="6" t="str">
        <f>IFERROR(__xludf.DUMMYFUNCTION("""COMPUTED_VALUE"""),"Enrolled")</f>
        <v>Enrolled</v>
      </c>
    </row>
    <row r="260">
      <c r="A260" s="6" t="str">
        <f>IFERROR(__xludf.DUMMYFUNCTION("""COMPUTED_VALUE"""),"000-5215")</f>
        <v>000-5215</v>
      </c>
      <c r="B260" s="6" t="str">
        <f>IFERROR(__xludf.DUMMYFUNCTION("""COMPUTED_VALUE"""),"0")</f>
        <v>0</v>
      </c>
      <c r="C260" s="6" t="str">
        <f>IFERROR(__xludf.DUMMYFUNCTION("""COMPUTED_VALUE"""),"5215")</f>
        <v>5215</v>
      </c>
      <c r="D260" s="6" t="str">
        <f>IFERROR(__xludf.DUMMYFUNCTION("""COMPUTED_VALUE"""),"Josiah")</f>
        <v>Josiah</v>
      </c>
      <c r="E260" s="6" t="str">
        <f>IFERROR(__xludf.DUMMYFUNCTION("""COMPUTED_VALUE"""),"Josiah")</f>
        <v>Josiah</v>
      </c>
      <c r="F260" s="6" t="str">
        <f>IFERROR(__xludf.DUMMYFUNCTION("""COMPUTED_VALUE"""),"Chevannes")</f>
        <v>Chevannes</v>
      </c>
      <c r="G260" s="6" t="str">
        <f>IFERROR(__xludf.DUMMYFUNCTION("""COMPUTED_VALUE"""),"08/28/2015")</f>
        <v>08/28/2015</v>
      </c>
      <c r="H260" s="6" t="str">
        <f>IFERROR(__xludf.DUMMYFUNCTION("""COMPUTED_VALUE"""),"male")</f>
        <v>male</v>
      </c>
      <c r="I260" s="6" t="str">
        <f>IFERROR(__xludf.DUMMYFUNCTION("""COMPUTED_VALUE"""),"Level 2")</f>
        <v>Level 2</v>
      </c>
      <c r="J260" s="6" t="str">
        <f>IFERROR(__xludf.DUMMYFUNCTION("""COMPUTED_VALUE"""),"5")</f>
        <v>5</v>
      </c>
      <c r="K260" s="6" t="str">
        <f>IFERROR(__xludf.DUMMYFUNCTION("""COMPUTED_VALUE"""),"josiah.chevannes@2hourlearning.com")</f>
        <v>josiah.chevannes@2hourlearning.com</v>
      </c>
      <c r="L260" s="6" t="str">
        <f>IFERROR(__xludf.DUMMYFUNCTION("""COMPUTED_VALUE"""),"Alpha Anywhere (homeschool)")</f>
        <v>Alpha Anywhere (homeschool)</v>
      </c>
      <c r="M260" s="6" t="str">
        <f>IFERROR(__xludf.DUMMYFUNCTION("""COMPUTED_VALUE"""),"")</f>
        <v/>
      </c>
      <c r="N260" s="6" t="str">
        <f>IFERROR(__xludf.DUMMYFUNCTION("""COMPUTED_VALUE"""),"")</f>
        <v/>
      </c>
      <c r="O260" s="87" t="str">
        <f>IFERROR(__xludf.DUMMYFUNCTION("""COMPUTED_VALUE"""),"https://drive.google.com/drive/folders/10T2cTQHqEJZqE-st6uFKPoI?usp=share_link")</f>
        <v>https://drive.google.com/drive/folders/10T2cTQHqEJZqE-st6uFKPoI?usp=share_link</v>
      </c>
      <c r="P260" s="6" t="str">
        <f>IFERROR(__xludf.DUMMYFUNCTION("""COMPUTED_VALUE"""),"Josiah Chevannes")</f>
        <v>Josiah Chevannes</v>
      </c>
      <c r="Q260" s="6" t="str">
        <f>IFERROR(__xludf.DUMMYFUNCTION("""COMPUTED_VALUE"""),"L2")</f>
        <v>L2</v>
      </c>
      <c r="R260" s="6">
        <f>IFERROR(__xludf.DUMMYFUNCTION("""COMPUTED_VALUE"""),2.0)</f>
        <v>2</v>
      </c>
      <c r="S260" s="6" t="str">
        <f>IFERROR(__xludf.DUMMYFUNCTION("""COMPUTED_VALUE""")," ")</f>
        <v> </v>
      </c>
      <c r="T260" s="6" t="str">
        <f>IFERROR(__xludf.DUMMYFUNCTION("""COMPUTED_VALUE"""),"")</f>
        <v/>
      </c>
      <c r="U260" s="6" t="str">
        <f>IFERROR(__xludf.DUMMYFUNCTION("""COMPUTED_VALUE"""),"5")</f>
        <v>5</v>
      </c>
      <c r="V260" s="6" t="str">
        <f>IFERROR(__xludf.DUMMYFUNCTION("""COMPUTED_VALUE"""),"")</f>
        <v/>
      </c>
      <c r="W260" s="6" t="str">
        <f>IFERROR(__xludf.DUMMYFUNCTION("""COMPUTED_VALUE"""),"[]")</f>
        <v>[]</v>
      </c>
      <c r="X260" s="6" t="str">
        <f>IFERROR(__xludf.DUMMYFUNCTION("""COMPUTED_VALUE"""),"Enrolled")</f>
        <v>Enrolled</v>
      </c>
    </row>
    <row r="261">
      <c r="A261" s="6" t="str">
        <f>IFERROR(__xludf.DUMMYFUNCTION("""COMPUTED_VALUE"""),"000-5240")</f>
        <v>000-5240</v>
      </c>
      <c r="B261" s="6" t="str">
        <f>IFERROR(__xludf.DUMMYFUNCTION("""COMPUTED_VALUE"""),"0")</f>
        <v>0</v>
      </c>
      <c r="C261" s="6" t="str">
        <f>IFERROR(__xludf.DUMMYFUNCTION("""COMPUTED_VALUE"""),"5240")</f>
        <v>5240</v>
      </c>
      <c r="D261" s="6" t="str">
        <f>IFERROR(__xludf.DUMMYFUNCTION("""COMPUTED_VALUE"""),"Charles")</f>
        <v>Charles</v>
      </c>
      <c r="E261" s="6" t="str">
        <f>IFERROR(__xludf.DUMMYFUNCTION("""COMPUTED_VALUE"""),"Charlie")</f>
        <v>Charlie</v>
      </c>
      <c r="F261" s="6" t="str">
        <f>IFERROR(__xludf.DUMMYFUNCTION("""COMPUTED_VALUE"""),"Herbert")</f>
        <v>Herbert</v>
      </c>
      <c r="G261" s="6" t="str">
        <f>IFERROR(__xludf.DUMMYFUNCTION("""COMPUTED_VALUE"""),"06/29/2017")</f>
        <v>06/29/2017</v>
      </c>
      <c r="H261" s="6" t="str">
        <f>IFERROR(__xludf.DUMMYFUNCTION("""COMPUTED_VALUE"""),"male")</f>
        <v>male</v>
      </c>
      <c r="I261" s="6" t="str">
        <f>IFERROR(__xludf.DUMMYFUNCTION("""COMPUTED_VALUE"""),"Level 1")</f>
        <v>Level 1</v>
      </c>
      <c r="J261" s="6" t="str">
        <f>IFERROR(__xludf.DUMMYFUNCTION("""COMPUTED_VALUE"""),"3")</f>
        <v>3</v>
      </c>
      <c r="K261" s="6" t="str">
        <f>IFERROR(__xludf.DUMMYFUNCTION("""COMPUTED_VALUE"""),"charles.herbert@2hourlearning.com")</f>
        <v>charles.herbert@2hourlearning.com</v>
      </c>
      <c r="L261" s="6" t="str">
        <f>IFERROR(__xludf.DUMMYFUNCTION("""COMPUTED_VALUE"""),"Alpha Anywhere (homeschool)")</f>
        <v>Alpha Anywhere (homeschool)</v>
      </c>
      <c r="M261" s="6" t="str">
        <f>IFERROR(__xludf.DUMMYFUNCTION("""COMPUTED_VALUE"""),"")</f>
        <v/>
      </c>
      <c r="N261" s="6" t="str">
        <f>IFERROR(__xludf.DUMMYFUNCTION("""COMPUTED_VALUE"""),"")</f>
        <v/>
      </c>
      <c r="O261" s="87" t="str">
        <f>IFERROR(__xludf.DUMMYFUNCTION("""COMPUTED_VALUE"""),"https://drive.google.com/drive/folders/10T2cTQHqEJZqE-st6uFKPoI?usp=share_link")</f>
        <v>https://drive.google.com/drive/folders/10T2cTQHqEJZqE-st6uFKPoI?usp=share_link</v>
      </c>
      <c r="P261" s="6" t="str">
        <f>IFERROR(__xludf.DUMMYFUNCTION("""COMPUTED_VALUE"""),"Charlie Herbert")</f>
        <v>Charlie Herbert</v>
      </c>
      <c r="Q261" s="6" t="str">
        <f>IFERROR(__xludf.DUMMYFUNCTION("""COMPUTED_VALUE"""),"L1")</f>
        <v>L1</v>
      </c>
      <c r="R261" s="6">
        <f>IFERROR(__xludf.DUMMYFUNCTION("""COMPUTED_VALUE"""),1.0)</f>
        <v>1</v>
      </c>
      <c r="S261" s="6" t="str">
        <f>IFERROR(__xludf.DUMMYFUNCTION("""COMPUTED_VALUE""")," ")</f>
        <v> </v>
      </c>
      <c r="T261" s="6" t="str">
        <f>IFERROR(__xludf.DUMMYFUNCTION("""COMPUTED_VALUE"""),"")</f>
        <v/>
      </c>
      <c r="U261" s="6" t="str">
        <f>IFERROR(__xludf.DUMMYFUNCTION("""COMPUTED_VALUE"""),"3")</f>
        <v>3</v>
      </c>
      <c r="V261" s="6" t="str">
        <f>IFERROR(__xludf.DUMMYFUNCTION("""COMPUTED_VALUE"""),"")</f>
        <v/>
      </c>
      <c r="W261" s="6" t="str">
        <f>IFERROR(__xludf.DUMMYFUNCTION("""COMPUTED_VALUE"""),"[]")</f>
        <v>[]</v>
      </c>
      <c r="X261" s="6" t="str">
        <f>IFERROR(__xludf.DUMMYFUNCTION("""COMPUTED_VALUE"""),"Enrolled")</f>
        <v>Enrolled</v>
      </c>
    </row>
    <row r="262">
      <c r="A262" s="6" t="str">
        <f>IFERROR(__xludf.DUMMYFUNCTION("""COMPUTED_VALUE"""),"000-5255")</f>
        <v>000-5255</v>
      </c>
      <c r="B262" s="6" t="str">
        <f>IFERROR(__xludf.DUMMYFUNCTION("""COMPUTED_VALUE"""),"0")</f>
        <v>0</v>
      </c>
      <c r="C262" s="6" t="str">
        <f>IFERROR(__xludf.DUMMYFUNCTION("""COMPUTED_VALUE"""),"5255")</f>
        <v>5255</v>
      </c>
      <c r="D262" s="6" t="str">
        <f>IFERROR(__xludf.DUMMYFUNCTION("""COMPUTED_VALUE"""),"Seni")</f>
        <v>Seni</v>
      </c>
      <c r="E262" s="6" t="str">
        <f>IFERROR(__xludf.DUMMYFUNCTION("""COMPUTED_VALUE"""),"Blaze")</f>
        <v>Blaze</v>
      </c>
      <c r="F262" s="6" t="str">
        <f>IFERROR(__xludf.DUMMYFUNCTION("""COMPUTED_VALUE"""),"Sok")</f>
        <v>Sok</v>
      </c>
      <c r="G262" s="6" t="str">
        <f>IFERROR(__xludf.DUMMYFUNCTION("""COMPUTED_VALUE"""),"09/29/2017")</f>
        <v>09/29/2017</v>
      </c>
      <c r="H262" s="6" t="str">
        <f>IFERROR(__xludf.DUMMYFUNCTION("""COMPUTED_VALUE"""),"male")</f>
        <v>male</v>
      </c>
      <c r="I262" s="6" t="str">
        <f>IFERROR(__xludf.DUMMYFUNCTION("""COMPUTED_VALUE"""),"Level 1")</f>
        <v>Level 1</v>
      </c>
      <c r="J262" s="6" t="str">
        <f>IFERROR(__xludf.DUMMYFUNCTION("""COMPUTED_VALUE"""),"2")</f>
        <v>2</v>
      </c>
      <c r="K262" s="6" t="str">
        <f>IFERROR(__xludf.DUMMYFUNCTION("""COMPUTED_VALUE"""),"seniblaze.sok@2hourlearning.com")</f>
        <v>seniblaze.sok@2hourlearning.com</v>
      </c>
      <c r="L262" s="6" t="str">
        <f>IFERROR(__xludf.DUMMYFUNCTION("""COMPUTED_VALUE"""),"Alpha Anywhere (homeschool)")</f>
        <v>Alpha Anywhere (homeschool)</v>
      </c>
      <c r="M262" s="6" t="str">
        <f>IFERROR(__xludf.DUMMYFUNCTION("""COMPUTED_VALUE"""),"")</f>
        <v/>
      </c>
      <c r="N262" s="6" t="str">
        <f>IFERROR(__xludf.DUMMYFUNCTION("""COMPUTED_VALUE"""),"")</f>
        <v/>
      </c>
      <c r="O262" s="87" t="str">
        <f>IFERROR(__xludf.DUMMYFUNCTION("""COMPUTED_VALUE"""),"https://drive.google.com/drive/folders/10T2cTQHqEJZqE-st6uFKPoI?usp=share_link")</f>
        <v>https://drive.google.com/drive/folders/10T2cTQHqEJZqE-st6uFKPoI?usp=share_link</v>
      </c>
      <c r="P262" s="6" t="str">
        <f>IFERROR(__xludf.DUMMYFUNCTION("""COMPUTED_VALUE"""),"Blaze Sok")</f>
        <v>Blaze Sok</v>
      </c>
      <c r="Q262" s="6" t="str">
        <f>IFERROR(__xludf.DUMMYFUNCTION("""COMPUTED_VALUE"""),"L1")</f>
        <v>L1</v>
      </c>
      <c r="R262" s="6">
        <f>IFERROR(__xludf.DUMMYFUNCTION("""COMPUTED_VALUE"""),1.0)</f>
        <v>1</v>
      </c>
      <c r="S262" s="6" t="str">
        <f>IFERROR(__xludf.DUMMYFUNCTION("""COMPUTED_VALUE""")," ")</f>
        <v> </v>
      </c>
      <c r="T262" s="6" t="str">
        <f>IFERROR(__xludf.DUMMYFUNCTION("""COMPUTED_VALUE"""),"")</f>
        <v/>
      </c>
      <c r="U262" s="6" t="str">
        <f>IFERROR(__xludf.DUMMYFUNCTION("""COMPUTED_VALUE"""),"2")</f>
        <v>2</v>
      </c>
      <c r="V262" s="6" t="str">
        <f>IFERROR(__xludf.DUMMYFUNCTION("""COMPUTED_VALUE"""),"")</f>
        <v/>
      </c>
      <c r="W262" s="6" t="str">
        <f>IFERROR(__xludf.DUMMYFUNCTION("""COMPUTED_VALUE"""),"[]")</f>
        <v>[]</v>
      </c>
      <c r="X262" s="6" t="str">
        <f>IFERROR(__xludf.DUMMYFUNCTION("""COMPUTED_VALUE"""),"Enrolled")</f>
        <v>Enrolled</v>
      </c>
    </row>
    <row r="263">
      <c r="A263" s="6" t="str">
        <f>IFERROR(__xludf.DUMMYFUNCTION("""COMPUTED_VALUE"""),"000-5272")</f>
        <v>000-5272</v>
      </c>
      <c r="B263" s="6" t="str">
        <f>IFERROR(__xludf.DUMMYFUNCTION("""COMPUTED_VALUE"""),"0")</f>
        <v>0</v>
      </c>
      <c r="C263" s="6" t="str">
        <f>IFERROR(__xludf.DUMMYFUNCTION("""COMPUTED_VALUE"""),"5272")</f>
        <v>5272</v>
      </c>
      <c r="D263" s="6" t="str">
        <f>IFERROR(__xludf.DUMMYFUNCTION("""COMPUTED_VALUE"""),"Marianne")</f>
        <v>Marianne</v>
      </c>
      <c r="E263" s="6" t="str">
        <f>IFERROR(__xludf.DUMMYFUNCTION("""COMPUTED_VALUE"""),"Marianne")</f>
        <v>Marianne</v>
      </c>
      <c r="F263" s="6" t="str">
        <f>IFERROR(__xludf.DUMMYFUNCTION("""COMPUTED_VALUE"""),"Robles")</f>
        <v>Robles</v>
      </c>
      <c r="G263" s="6" t="str">
        <f>IFERROR(__xludf.DUMMYFUNCTION("""COMPUTED_VALUE"""),"11/13/2012")</f>
        <v>11/13/2012</v>
      </c>
      <c r="H263" s="6" t="str">
        <f>IFERROR(__xludf.DUMMYFUNCTION("""COMPUTED_VALUE"""),"female")</f>
        <v>female</v>
      </c>
      <c r="I263" s="6" t="str">
        <f>IFERROR(__xludf.DUMMYFUNCTION("""COMPUTED_VALUE"""),"Middle School")</f>
        <v>Middle School</v>
      </c>
      <c r="J263" s="6" t="str">
        <f>IFERROR(__xludf.DUMMYFUNCTION("""COMPUTED_VALUE"""),"7")</f>
        <v>7</v>
      </c>
      <c r="K263" s="6" t="str">
        <f>IFERROR(__xludf.DUMMYFUNCTION("""COMPUTED_VALUE"""),"marianne.robles@2hourlearning.com")</f>
        <v>marianne.robles@2hourlearning.com</v>
      </c>
      <c r="L263" s="6" t="str">
        <f>IFERROR(__xludf.DUMMYFUNCTION("""COMPUTED_VALUE"""),"Alpha Anywhere (homeschool)")</f>
        <v>Alpha Anywhere (homeschool)</v>
      </c>
      <c r="M263" s="6" t="str">
        <f>IFERROR(__xludf.DUMMYFUNCTION("""COMPUTED_VALUE"""),"")</f>
        <v/>
      </c>
      <c r="N263" s="6" t="str">
        <f>IFERROR(__xludf.DUMMYFUNCTION("""COMPUTED_VALUE"""),"")</f>
        <v/>
      </c>
      <c r="O263" s="87" t="str">
        <f>IFERROR(__xludf.DUMMYFUNCTION("""COMPUTED_VALUE"""),"https://drive.google.com/drive/folders/10T2cTQHqEJZqE-st6uFKPoI?usp=share_link")</f>
        <v>https://drive.google.com/drive/folders/10T2cTQHqEJZqE-st6uFKPoI?usp=share_link</v>
      </c>
      <c r="P263" s="6" t="str">
        <f>IFERROR(__xludf.DUMMYFUNCTION("""COMPUTED_VALUE"""),"Marianne Robles")</f>
        <v>Marianne Robles</v>
      </c>
      <c r="Q263" s="6" t="str">
        <f>IFERROR(__xludf.DUMMYFUNCTION("""COMPUTED_VALUE"""),"MS")</f>
        <v>MS</v>
      </c>
      <c r="R263" s="6">
        <f>IFERROR(__xludf.DUMMYFUNCTION("""COMPUTED_VALUE"""),0.0)</f>
        <v>0</v>
      </c>
      <c r="S263" s="6" t="str">
        <f>IFERROR(__xludf.DUMMYFUNCTION("""COMPUTED_VALUE""")," ")</f>
        <v> </v>
      </c>
      <c r="T263" s="6" t="str">
        <f>IFERROR(__xludf.DUMMYFUNCTION("""COMPUTED_VALUE"""),"")</f>
        <v/>
      </c>
      <c r="U263" s="6" t="str">
        <f>IFERROR(__xludf.DUMMYFUNCTION("""COMPUTED_VALUE"""),"7")</f>
        <v>7</v>
      </c>
      <c r="V263" s="6" t="str">
        <f>IFERROR(__xludf.DUMMYFUNCTION("""COMPUTED_VALUE"""),"")</f>
        <v/>
      </c>
      <c r="W263" s="6" t="str">
        <f>IFERROR(__xludf.DUMMYFUNCTION("""COMPUTED_VALUE"""),"[]")</f>
        <v>[]</v>
      </c>
      <c r="X263" s="6" t="str">
        <f>IFERROR(__xludf.DUMMYFUNCTION("""COMPUTED_VALUE"""),"Enrolled")</f>
        <v>Enrolled</v>
      </c>
    </row>
    <row r="264">
      <c r="A264" s="6" t="str">
        <f>IFERROR(__xludf.DUMMYFUNCTION("""COMPUTED_VALUE"""),"000-5284")</f>
        <v>000-5284</v>
      </c>
      <c r="B264" s="6" t="str">
        <f>IFERROR(__xludf.DUMMYFUNCTION("""COMPUTED_VALUE"""),"0")</f>
        <v>0</v>
      </c>
      <c r="C264" s="6" t="str">
        <f>IFERROR(__xludf.DUMMYFUNCTION("""COMPUTED_VALUE"""),"5284")</f>
        <v>5284</v>
      </c>
      <c r="D264" s="6" t="str">
        <f>IFERROR(__xludf.DUMMYFUNCTION("""COMPUTED_VALUE"""),"Kennedy")</f>
        <v>Kennedy</v>
      </c>
      <c r="E264" s="6" t="str">
        <f>IFERROR(__xludf.DUMMYFUNCTION("""COMPUTED_VALUE"""),"")</f>
        <v/>
      </c>
      <c r="F264" s="6" t="str">
        <f>IFERROR(__xludf.DUMMYFUNCTION("""COMPUTED_VALUE"""),"Scott")</f>
        <v>Scott</v>
      </c>
      <c r="G264" s="6" t="str">
        <f>IFERROR(__xludf.DUMMYFUNCTION("""COMPUTED_VALUE"""),"02/13/2013")</f>
        <v>02/13/2013</v>
      </c>
      <c r="H264" s="6" t="str">
        <f>IFERROR(__xludf.DUMMYFUNCTION("""COMPUTED_VALUE"""),"female")</f>
        <v>female</v>
      </c>
      <c r="I264" s="6" t="str">
        <f>IFERROR(__xludf.DUMMYFUNCTION("""COMPUTED_VALUE"""),"Middle School")</f>
        <v>Middle School</v>
      </c>
      <c r="J264" s="6" t="str">
        <f>IFERROR(__xludf.DUMMYFUNCTION("""COMPUTED_VALUE"""),"7")</f>
        <v>7</v>
      </c>
      <c r="K264" s="6" t="str">
        <f>IFERROR(__xludf.DUMMYFUNCTION("""COMPUTED_VALUE"""),"kennedy.scott@2hourlearning.com")</f>
        <v>kennedy.scott@2hourlearning.com</v>
      </c>
      <c r="L264" s="6" t="str">
        <f>IFERROR(__xludf.DUMMYFUNCTION("""COMPUTED_VALUE"""),"Alpha Anywhere (homeschool)")</f>
        <v>Alpha Anywhere (homeschool)</v>
      </c>
      <c r="M264" s="6" t="str">
        <f>IFERROR(__xludf.DUMMYFUNCTION("""COMPUTED_VALUE"""),"")</f>
        <v/>
      </c>
      <c r="N264" s="6" t="str">
        <f>IFERROR(__xludf.DUMMYFUNCTION("""COMPUTED_VALUE"""),"")</f>
        <v/>
      </c>
      <c r="O264" s="87" t="str">
        <f>IFERROR(__xludf.DUMMYFUNCTION("""COMPUTED_VALUE"""),"https://drive.google.com/drive/folders/10T2cTQHqEJZqE-st6uFKPoI?usp=share_link")</f>
        <v>https://drive.google.com/drive/folders/10T2cTQHqEJZqE-st6uFKPoI?usp=share_link</v>
      </c>
      <c r="P264" s="6" t="str">
        <f>IFERROR(__xludf.DUMMYFUNCTION("""COMPUTED_VALUE"""),"Kennedy Scott")</f>
        <v>Kennedy Scott</v>
      </c>
      <c r="Q264" s="6" t="str">
        <f>IFERROR(__xludf.DUMMYFUNCTION("""COMPUTED_VALUE"""),"MS")</f>
        <v>MS</v>
      </c>
      <c r="R264" s="6">
        <f>IFERROR(__xludf.DUMMYFUNCTION("""COMPUTED_VALUE"""),0.0)</f>
        <v>0</v>
      </c>
      <c r="S264" s="6" t="str">
        <f>IFERROR(__xludf.DUMMYFUNCTION("""COMPUTED_VALUE""")," ")</f>
        <v> </v>
      </c>
      <c r="T264" s="6" t="str">
        <f>IFERROR(__xludf.DUMMYFUNCTION("""COMPUTED_VALUE"""),"")</f>
        <v/>
      </c>
      <c r="U264" s="6" t="str">
        <f>IFERROR(__xludf.DUMMYFUNCTION("""COMPUTED_VALUE"""),"7")</f>
        <v>7</v>
      </c>
      <c r="V264" s="6" t="str">
        <f>IFERROR(__xludf.DUMMYFUNCTION("""COMPUTED_VALUE"""),"")</f>
        <v/>
      </c>
      <c r="W264" s="6" t="str">
        <f>IFERROR(__xludf.DUMMYFUNCTION("""COMPUTED_VALUE"""),"[]")</f>
        <v>[]</v>
      </c>
      <c r="X264" s="6" t="str">
        <f>IFERROR(__xludf.DUMMYFUNCTION("""COMPUTED_VALUE"""),"Enrolled")</f>
        <v>Enrolled</v>
      </c>
    </row>
    <row r="265">
      <c r="A265" s="6" t="str">
        <f>IFERROR(__xludf.DUMMYFUNCTION("""COMPUTED_VALUE"""),"000-5285")</f>
        <v>000-5285</v>
      </c>
      <c r="B265" s="6" t="str">
        <f>IFERROR(__xludf.DUMMYFUNCTION("""COMPUTED_VALUE"""),"0")</f>
        <v>0</v>
      </c>
      <c r="C265" s="6" t="str">
        <f>IFERROR(__xludf.DUMMYFUNCTION("""COMPUTED_VALUE"""),"5285")</f>
        <v>5285</v>
      </c>
      <c r="D265" s="6" t="str">
        <f>IFERROR(__xludf.DUMMYFUNCTION("""COMPUTED_VALUE"""),"Aria")</f>
        <v>Aria</v>
      </c>
      <c r="E265" s="6" t="str">
        <f>IFERROR(__xludf.DUMMYFUNCTION("""COMPUTED_VALUE"""),"")</f>
        <v/>
      </c>
      <c r="F265" s="6" t="str">
        <f>IFERROR(__xludf.DUMMYFUNCTION("""COMPUTED_VALUE"""),"Scott")</f>
        <v>Scott</v>
      </c>
      <c r="G265" s="6" t="str">
        <f>IFERROR(__xludf.DUMMYFUNCTION("""COMPUTED_VALUE"""),"10/06/2016")</f>
        <v>10/06/2016</v>
      </c>
      <c r="H265" s="6" t="str">
        <f>IFERROR(__xludf.DUMMYFUNCTION("""COMPUTED_VALUE"""),"female")</f>
        <v>female</v>
      </c>
      <c r="I265" s="6" t="str">
        <f>IFERROR(__xludf.DUMMYFUNCTION("""COMPUTED_VALUE"""),"Level 1")</f>
        <v>Level 1</v>
      </c>
      <c r="J265" s="6" t="str">
        <f>IFERROR(__xludf.DUMMYFUNCTION("""COMPUTED_VALUE"""),"3")</f>
        <v>3</v>
      </c>
      <c r="K265" s="6" t="str">
        <f>IFERROR(__xludf.DUMMYFUNCTION("""COMPUTED_VALUE"""),"aria.scott@2hourlearning.com")</f>
        <v>aria.scott@2hourlearning.com</v>
      </c>
      <c r="L265" s="6" t="str">
        <f>IFERROR(__xludf.DUMMYFUNCTION("""COMPUTED_VALUE"""),"Alpha Anywhere (homeschool)")</f>
        <v>Alpha Anywhere (homeschool)</v>
      </c>
      <c r="M265" s="6" t="str">
        <f>IFERROR(__xludf.DUMMYFUNCTION("""COMPUTED_VALUE"""),"")</f>
        <v/>
      </c>
      <c r="N265" s="6" t="str">
        <f>IFERROR(__xludf.DUMMYFUNCTION("""COMPUTED_VALUE"""),"")</f>
        <v/>
      </c>
      <c r="O265" s="87" t="str">
        <f>IFERROR(__xludf.DUMMYFUNCTION("""COMPUTED_VALUE"""),"https://drive.google.com/drive/folders/10T2cTQHqEJZqE-st6uFKPoI?usp=share_link")</f>
        <v>https://drive.google.com/drive/folders/10T2cTQHqEJZqE-st6uFKPoI?usp=share_link</v>
      </c>
      <c r="P265" s="6" t="str">
        <f>IFERROR(__xludf.DUMMYFUNCTION("""COMPUTED_VALUE"""),"Aria Scott")</f>
        <v>Aria Scott</v>
      </c>
      <c r="Q265" s="6" t="str">
        <f>IFERROR(__xludf.DUMMYFUNCTION("""COMPUTED_VALUE"""),"L1")</f>
        <v>L1</v>
      </c>
      <c r="R265" s="6">
        <f>IFERROR(__xludf.DUMMYFUNCTION("""COMPUTED_VALUE"""),1.0)</f>
        <v>1</v>
      </c>
      <c r="S265" s="6" t="str">
        <f>IFERROR(__xludf.DUMMYFUNCTION("""COMPUTED_VALUE""")," ")</f>
        <v> </v>
      </c>
      <c r="T265" s="6" t="str">
        <f>IFERROR(__xludf.DUMMYFUNCTION("""COMPUTED_VALUE"""),"")</f>
        <v/>
      </c>
      <c r="U265" s="6" t="str">
        <f>IFERROR(__xludf.DUMMYFUNCTION("""COMPUTED_VALUE"""),"3")</f>
        <v>3</v>
      </c>
      <c r="V265" s="6" t="str">
        <f>IFERROR(__xludf.DUMMYFUNCTION("""COMPUTED_VALUE"""),"")</f>
        <v/>
      </c>
      <c r="W265" s="6" t="str">
        <f>IFERROR(__xludf.DUMMYFUNCTION("""COMPUTED_VALUE"""),"[]")</f>
        <v>[]</v>
      </c>
      <c r="X265" s="6" t="str">
        <f>IFERROR(__xludf.DUMMYFUNCTION("""COMPUTED_VALUE"""),"Enrolled")</f>
        <v>Enrolled</v>
      </c>
    </row>
    <row r="266">
      <c r="A266" s="6" t="str">
        <f>IFERROR(__xludf.DUMMYFUNCTION("""COMPUTED_VALUE"""),"000-5292")</f>
        <v>000-5292</v>
      </c>
      <c r="B266" s="6" t="str">
        <f>IFERROR(__xludf.DUMMYFUNCTION("""COMPUTED_VALUE"""),"0")</f>
        <v>0</v>
      </c>
      <c r="C266" s="6" t="str">
        <f>IFERROR(__xludf.DUMMYFUNCTION("""COMPUTED_VALUE"""),"5292")</f>
        <v>5292</v>
      </c>
      <c r="D266" s="6" t="str">
        <f>IFERROR(__xludf.DUMMYFUNCTION("""COMPUTED_VALUE"""),"Lily")</f>
        <v>Lily</v>
      </c>
      <c r="E266" s="6" t="str">
        <f>IFERROR(__xludf.DUMMYFUNCTION("""COMPUTED_VALUE"""),"")</f>
        <v/>
      </c>
      <c r="F266" s="6" t="str">
        <f>IFERROR(__xludf.DUMMYFUNCTION("""COMPUTED_VALUE"""),"Miller")</f>
        <v>Miller</v>
      </c>
      <c r="G266" s="6" t="str">
        <f>IFERROR(__xludf.DUMMYFUNCTION("""COMPUTED_VALUE"""),"11/06/2015")</f>
        <v>11/06/2015</v>
      </c>
      <c r="H266" s="6" t="str">
        <f>IFERROR(__xludf.DUMMYFUNCTION("""COMPUTED_VALUE"""),"female")</f>
        <v>female</v>
      </c>
      <c r="I266" s="6" t="str">
        <f>IFERROR(__xludf.DUMMYFUNCTION("""COMPUTED_VALUE"""),"Level 2")</f>
        <v>Level 2</v>
      </c>
      <c r="J266" s="6" t="str">
        <f>IFERROR(__xludf.DUMMYFUNCTION("""COMPUTED_VALUE"""),"4")</f>
        <v>4</v>
      </c>
      <c r="K266" s="6" t="str">
        <f>IFERROR(__xludf.DUMMYFUNCTION("""COMPUTED_VALUE"""),"lily.miller@2hourlearning.com")</f>
        <v>lily.miller@2hourlearning.com</v>
      </c>
      <c r="L266" s="6" t="str">
        <f>IFERROR(__xludf.DUMMYFUNCTION("""COMPUTED_VALUE"""),"Alpha Anywhere (homeschool)")</f>
        <v>Alpha Anywhere (homeschool)</v>
      </c>
      <c r="M266" s="6" t="str">
        <f>IFERROR(__xludf.DUMMYFUNCTION("""COMPUTED_VALUE"""),"")</f>
        <v/>
      </c>
      <c r="N266" s="6" t="str">
        <f>IFERROR(__xludf.DUMMYFUNCTION("""COMPUTED_VALUE"""),"")</f>
        <v/>
      </c>
      <c r="O266" s="87" t="str">
        <f>IFERROR(__xludf.DUMMYFUNCTION("""COMPUTED_VALUE"""),"https://drive.google.com/drive/folders/10T2cTQHqEJZqE-st6uFKPoI?usp=share_link")</f>
        <v>https://drive.google.com/drive/folders/10T2cTQHqEJZqE-st6uFKPoI?usp=share_link</v>
      </c>
      <c r="P266" s="6" t="str">
        <f>IFERROR(__xludf.DUMMYFUNCTION("""COMPUTED_VALUE"""),"Lily Miller")</f>
        <v>Lily Miller</v>
      </c>
      <c r="Q266" s="6" t="str">
        <f>IFERROR(__xludf.DUMMYFUNCTION("""COMPUTED_VALUE"""),"L2")</f>
        <v>L2</v>
      </c>
      <c r="R266" s="6">
        <f>IFERROR(__xludf.DUMMYFUNCTION("""COMPUTED_VALUE"""),2.0)</f>
        <v>2</v>
      </c>
      <c r="S266" s="6" t="str">
        <f>IFERROR(__xludf.DUMMYFUNCTION("""COMPUTED_VALUE""")," ")</f>
        <v> </v>
      </c>
      <c r="T266" s="6" t="str">
        <f>IFERROR(__xludf.DUMMYFUNCTION("""COMPUTED_VALUE"""),"")</f>
        <v/>
      </c>
      <c r="U266" s="6" t="str">
        <f>IFERROR(__xludf.DUMMYFUNCTION("""COMPUTED_VALUE"""),"4")</f>
        <v>4</v>
      </c>
      <c r="V266" s="6" t="str">
        <f>IFERROR(__xludf.DUMMYFUNCTION("""COMPUTED_VALUE"""),"")</f>
        <v/>
      </c>
      <c r="W266" s="6" t="str">
        <f>IFERROR(__xludf.DUMMYFUNCTION("""COMPUTED_VALUE"""),"[]")</f>
        <v>[]</v>
      </c>
      <c r="X266" s="6" t="str">
        <f>IFERROR(__xludf.DUMMYFUNCTION("""COMPUTED_VALUE"""),"Enrolled")</f>
        <v>Enrolled</v>
      </c>
    </row>
    <row r="267">
      <c r="A267" s="6" t="str">
        <f>IFERROR(__xludf.DUMMYFUNCTION("""COMPUTED_VALUE"""),"000-5296")</f>
        <v>000-5296</v>
      </c>
      <c r="B267" s="6" t="str">
        <f>IFERROR(__xludf.DUMMYFUNCTION("""COMPUTED_VALUE"""),"0")</f>
        <v>0</v>
      </c>
      <c r="C267" s="6" t="str">
        <f>IFERROR(__xludf.DUMMYFUNCTION("""COMPUTED_VALUE"""),"5296")</f>
        <v>5296</v>
      </c>
      <c r="D267" s="6" t="str">
        <f>IFERROR(__xludf.DUMMYFUNCTION("""COMPUTED_VALUE"""),"Noah")</f>
        <v>Noah</v>
      </c>
      <c r="E267" s="6" t="str">
        <f>IFERROR(__xludf.DUMMYFUNCTION("""COMPUTED_VALUE"""),"")</f>
        <v/>
      </c>
      <c r="F267" s="6" t="str">
        <f>IFERROR(__xludf.DUMMYFUNCTION("""COMPUTED_VALUE"""),"Paulon")</f>
        <v>Paulon</v>
      </c>
      <c r="G267" s="6" t="str">
        <f>IFERROR(__xludf.DUMMYFUNCTION("""COMPUTED_VALUE"""),"10/12/2016")</f>
        <v>10/12/2016</v>
      </c>
      <c r="H267" s="6" t="str">
        <f>IFERROR(__xludf.DUMMYFUNCTION("""COMPUTED_VALUE"""),"Self Identify")</f>
        <v>Self Identify</v>
      </c>
      <c r="I267" s="6" t="str">
        <f>IFERROR(__xludf.DUMMYFUNCTION("""COMPUTED_VALUE"""),"Level 1")</f>
        <v>Level 1</v>
      </c>
      <c r="J267" s="6" t="str">
        <f>IFERROR(__xludf.DUMMYFUNCTION("""COMPUTED_VALUE"""),"3")</f>
        <v>3</v>
      </c>
      <c r="K267" s="6" t="str">
        <f>IFERROR(__xludf.DUMMYFUNCTION("""COMPUTED_VALUE"""),"noah.paulon@2hourlearning.com")</f>
        <v>noah.paulon@2hourlearning.com</v>
      </c>
      <c r="L267" s="6" t="str">
        <f>IFERROR(__xludf.DUMMYFUNCTION("""COMPUTED_VALUE"""),"Alpha Anywhere (homeschool)")</f>
        <v>Alpha Anywhere (homeschool)</v>
      </c>
      <c r="M267" s="6" t="str">
        <f>IFERROR(__xludf.DUMMYFUNCTION("""COMPUTED_VALUE"""),"")</f>
        <v/>
      </c>
      <c r="N267" s="6" t="str">
        <f>IFERROR(__xludf.DUMMYFUNCTION("""COMPUTED_VALUE"""),"")</f>
        <v/>
      </c>
      <c r="O267" s="87" t="str">
        <f>IFERROR(__xludf.DUMMYFUNCTION("""COMPUTED_VALUE"""),"https://drive.google.com/drive/folders/10T2cTQHqEJZqE-st6uFKPoI?usp=share_link")</f>
        <v>https://drive.google.com/drive/folders/10T2cTQHqEJZqE-st6uFKPoI?usp=share_link</v>
      </c>
      <c r="P267" s="6" t="str">
        <f>IFERROR(__xludf.DUMMYFUNCTION("""COMPUTED_VALUE"""),"Noah Paulon")</f>
        <v>Noah Paulon</v>
      </c>
      <c r="Q267" s="6" t="str">
        <f>IFERROR(__xludf.DUMMYFUNCTION("""COMPUTED_VALUE"""),"L1")</f>
        <v>L1</v>
      </c>
      <c r="R267" s="6">
        <f>IFERROR(__xludf.DUMMYFUNCTION("""COMPUTED_VALUE"""),1.0)</f>
        <v>1</v>
      </c>
      <c r="S267" s="6" t="str">
        <f>IFERROR(__xludf.DUMMYFUNCTION("""COMPUTED_VALUE""")," ")</f>
        <v> </v>
      </c>
      <c r="T267" s="6" t="str">
        <f>IFERROR(__xludf.DUMMYFUNCTION("""COMPUTED_VALUE"""),"")</f>
        <v/>
      </c>
      <c r="U267" s="6" t="str">
        <f>IFERROR(__xludf.DUMMYFUNCTION("""COMPUTED_VALUE"""),"3")</f>
        <v>3</v>
      </c>
      <c r="V267" s="6" t="str">
        <f>IFERROR(__xludf.DUMMYFUNCTION("""COMPUTED_VALUE"""),"")</f>
        <v/>
      </c>
      <c r="W267" s="6" t="str">
        <f>IFERROR(__xludf.DUMMYFUNCTION("""COMPUTED_VALUE"""),"[]")</f>
        <v>[]</v>
      </c>
      <c r="X267" s="6" t="str">
        <f>IFERROR(__xludf.DUMMYFUNCTION("""COMPUTED_VALUE"""),"Enrolled")</f>
        <v>Enrolled</v>
      </c>
    </row>
    <row r="268">
      <c r="A268" s="6" t="str">
        <f>IFERROR(__xludf.DUMMYFUNCTION("""COMPUTED_VALUE"""),"000-5538")</f>
        <v>000-5538</v>
      </c>
      <c r="B268" s="6" t="str">
        <f>IFERROR(__xludf.DUMMYFUNCTION("""COMPUTED_VALUE"""),"0")</f>
        <v>0</v>
      </c>
      <c r="C268" s="6" t="str">
        <f>IFERROR(__xludf.DUMMYFUNCTION("""COMPUTED_VALUE"""),"5538")</f>
        <v>5538</v>
      </c>
      <c r="D268" s="6" t="str">
        <f>IFERROR(__xludf.DUMMYFUNCTION("""COMPUTED_VALUE"""),"Graham")</f>
        <v>Graham</v>
      </c>
      <c r="E268" s="6" t="str">
        <f>IFERROR(__xludf.DUMMYFUNCTION("""COMPUTED_VALUE"""),"")</f>
        <v/>
      </c>
      <c r="F268" s="6" t="str">
        <f>IFERROR(__xludf.DUMMYFUNCTION("""COMPUTED_VALUE"""),"Metcalf")</f>
        <v>Metcalf</v>
      </c>
      <c r="G268" s="6" t="str">
        <f>IFERROR(__xludf.DUMMYFUNCTION("""COMPUTED_VALUE"""),"03/17/2016")</f>
        <v>03/17/2016</v>
      </c>
      <c r="H268" s="6" t="str">
        <f>IFERROR(__xludf.DUMMYFUNCTION("""COMPUTED_VALUE"""),"male")</f>
        <v>male</v>
      </c>
      <c r="I268" s="6" t="str">
        <f>IFERROR(__xludf.DUMMYFUNCTION("""COMPUTED_VALUE"""),"Level 1")</f>
        <v>Level 1</v>
      </c>
      <c r="J268" s="6" t="str">
        <f>IFERROR(__xludf.DUMMYFUNCTION("""COMPUTED_VALUE"""),"3")</f>
        <v>3</v>
      </c>
      <c r="K268" s="6" t="str">
        <f>IFERROR(__xludf.DUMMYFUNCTION("""COMPUTED_VALUE"""),"graham.metcalf@2hourlearning.com")</f>
        <v>graham.metcalf@2hourlearning.com</v>
      </c>
      <c r="L268" s="6" t="str">
        <f>IFERROR(__xludf.DUMMYFUNCTION("""COMPUTED_VALUE"""),"Alpha Anywhere (homeschool)")</f>
        <v>Alpha Anywhere (homeschool)</v>
      </c>
      <c r="M268" s="6" t="str">
        <f>IFERROR(__xludf.DUMMYFUNCTION("""COMPUTED_VALUE"""),"")</f>
        <v/>
      </c>
      <c r="N268" s="6" t="str">
        <f>IFERROR(__xludf.DUMMYFUNCTION("""COMPUTED_VALUE"""),"")</f>
        <v/>
      </c>
      <c r="O268" s="87" t="str">
        <f>IFERROR(__xludf.DUMMYFUNCTION("""COMPUTED_VALUE"""),"https://drive.google.com/drive/folders/10T2cTQHqEJZqE-st6uFKPoI?usp=share_link")</f>
        <v>https://drive.google.com/drive/folders/10T2cTQHqEJZqE-st6uFKPoI?usp=share_link</v>
      </c>
      <c r="P268" s="6" t="str">
        <f>IFERROR(__xludf.DUMMYFUNCTION("""COMPUTED_VALUE"""),"Graham Metcalf")</f>
        <v>Graham Metcalf</v>
      </c>
      <c r="Q268" s="6" t="str">
        <f>IFERROR(__xludf.DUMMYFUNCTION("""COMPUTED_VALUE"""),"L1")</f>
        <v>L1</v>
      </c>
      <c r="R268" s="6">
        <f>IFERROR(__xludf.DUMMYFUNCTION("""COMPUTED_VALUE"""),1.0)</f>
        <v>1</v>
      </c>
      <c r="S268" s="6" t="str">
        <f>IFERROR(__xludf.DUMMYFUNCTION("""COMPUTED_VALUE""")," ")</f>
        <v> </v>
      </c>
      <c r="T268" s="6" t="str">
        <f>IFERROR(__xludf.DUMMYFUNCTION("""COMPUTED_VALUE"""),"")</f>
        <v/>
      </c>
      <c r="U268" s="6" t="str">
        <f>IFERROR(__xludf.DUMMYFUNCTION("""COMPUTED_VALUE"""),"3")</f>
        <v>3</v>
      </c>
      <c r="V268" s="6" t="str">
        <f>IFERROR(__xludf.DUMMYFUNCTION("""COMPUTED_VALUE"""),"")</f>
        <v/>
      </c>
      <c r="W268" s="6" t="str">
        <f>IFERROR(__xludf.DUMMYFUNCTION("""COMPUTED_VALUE"""),"[]")</f>
        <v>[]</v>
      </c>
      <c r="X268" s="6" t="str">
        <f>IFERROR(__xludf.DUMMYFUNCTION("""COMPUTED_VALUE"""),"Enrolled")</f>
        <v>Enrolled</v>
      </c>
    </row>
    <row r="269">
      <c r="A269" s="6" t="str">
        <f>IFERROR(__xludf.DUMMYFUNCTION("""COMPUTED_VALUE"""),"000-5543")</f>
        <v>000-5543</v>
      </c>
      <c r="B269" s="6" t="str">
        <f>IFERROR(__xludf.DUMMYFUNCTION("""COMPUTED_VALUE"""),"0")</f>
        <v>0</v>
      </c>
      <c r="C269" s="6" t="str">
        <f>IFERROR(__xludf.DUMMYFUNCTION("""COMPUTED_VALUE"""),"5543")</f>
        <v>5543</v>
      </c>
      <c r="D269" s="6" t="str">
        <f>IFERROR(__xludf.DUMMYFUNCTION("""COMPUTED_VALUE"""),"Armana")</f>
        <v>Armana</v>
      </c>
      <c r="E269" s="6" t="str">
        <f>IFERROR(__xludf.DUMMYFUNCTION("""COMPUTED_VALUE"""),"")</f>
        <v/>
      </c>
      <c r="F269" s="6" t="str">
        <f>IFERROR(__xludf.DUMMYFUNCTION("""COMPUTED_VALUE"""),"Chadwick")</f>
        <v>Chadwick</v>
      </c>
      <c r="G269" s="6" t="str">
        <f>IFERROR(__xludf.DUMMYFUNCTION("""COMPUTED_VALUE"""),"06/21/2015")</f>
        <v>06/21/2015</v>
      </c>
      <c r="H269" s="6" t="str">
        <f>IFERROR(__xludf.DUMMYFUNCTION("""COMPUTED_VALUE"""),"female")</f>
        <v>female</v>
      </c>
      <c r="I269" s="6" t="str">
        <f>IFERROR(__xludf.DUMMYFUNCTION("""COMPUTED_VALUE"""),"Level 2")</f>
        <v>Level 2</v>
      </c>
      <c r="J269" s="6" t="str">
        <f>IFERROR(__xludf.DUMMYFUNCTION("""COMPUTED_VALUE"""),"5")</f>
        <v>5</v>
      </c>
      <c r="K269" s="6" t="str">
        <f>IFERROR(__xludf.DUMMYFUNCTION("""COMPUTED_VALUE"""),"armana.r.chadwick@2hourlearning.com")</f>
        <v>armana.r.chadwick@2hourlearning.com</v>
      </c>
      <c r="L269" s="6" t="str">
        <f>IFERROR(__xludf.DUMMYFUNCTION("""COMPUTED_VALUE"""),"Alpha Anywhere (homeschool)")</f>
        <v>Alpha Anywhere (homeschool)</v>
      </c>
      <c r="M269" s="6" t="str">
        <f>IFERROR(__xludf.DUMMYFUNCTION("""COMPUTED_VALUE"""),"")</f>
        <v/>
      </c>
      <c r="N269" s="6" t="str">
        <f>IFERROR(__xludf.DUMMYFUNCTION("""COMPUTED_VALUE"""),"")</f>
        <v/>
      </c>
      <c r="O269" s="87" t="str">
        <f>IFERROR(__xludf.DUMMYFUNCTION("""COMPUTED_VALUE"""),"https://drive.google.com/drive/folders/10T2cTQHqEJZqE-st6uFKPoI?usp=share_link")</f>
        <v>https://drive.google.com/drive/folders/10T2cTQHqEJZqE-st6uFKPoI?usp=share_link</v>
      </c>
      <c r="P269" s="6" t="str">
        <f>IFERROR(__xludf.DUMMYFUNCTION("""COMPUTED_VALUE"""),"Armana Chadwick")</f>
        <v>Armana Chadwick</v>
      </c>
      <c r="Q269" s="6" t="str">
        <f>IFERROR(__xludf.DUMMYFUNCTION("""COMPUTED_VALUE"""),"L2")</f>
        <v>L2</v>
      </c>
      <c r="R269" s="6">
        <f>IFERROR(__xludf.DUMMYFUNCTION("""COMPUTED_VALUE"""),2.0)</f>
        <v>2</v>
      </c>
      <c r="S269" s="6" t="str">
        <f>IFERROR(__xludf.DUMMYFUNCTION("""COMPUTED_VALUE""")," ")</f>
        <v> </v>
      </c>
      <c r="T269" s="6" t="str">
        <f>IFERROR(__xludf.DUMMYFUNCTION("""COMPUTED_VALUE"""),"")</f>
        <v/>
      </c>
      <c r="U269" s="6" t="str">
        <f>IFERROR(__xludf.DUMMYFUNCTION("""COMPUTED_VALUE"""),"5")</f>
        <v>5</v>
      </c>
      <c r="V269" s="6" t="str">
        <f>IFERROR(__xludf.DUMMYFUNCTION("""COMPUTED_VALUE"""),"")</f>
        <v/>
      </c>
      <c r="W269" s="6" t="str">
        <f>IFERROR(__xludf.DUMMYFUNCTION("""COMPUTED_VALUE"""),"[]")</f>
        <v>[]</v>
      </c>
      <c r="X269" s="6" t="str">
        <f>IFERROR(__xludf.DUMMYFUNCTION("""COMPUTED_VALUE"""),"Enrolled")</f>
        <v>Enrolled</v>
      </c>
    </row>
    <row r="270">
      <c r="A270" s="6" t="str">
        <f>IFERROR(__xludf.DUMMYFUNCTION("""COMPUTED_VALUE"""),"000-5544")</f>
        <v>000-5544</v>
      </c>
      <c r="B270" s="6" t="str">
        <f>IFERROR(__xludf.DUMMYFUNCTION("""COMPUTED_VALUE"""),"0")</f>
        <v>0</v>
      </c>
      <c r="C270" s="6" t="str">
        <f>IFERROR(__xludf.DUMMYFUNCTION("""COMPUTED_VALUE"""),"5544")</f>
        <v>5544</v>
      </c>
      <c r="D270" s="6" t="str">
        <f>IFERROR(__xludf.DUMMYFUNCTION("""COMPUTED_VALUE"""),"Armana")</f>
        <v>Armana</v>
      </c>
      <c r="E270" s="6" t="str">
        <f>IFERROR(__xludf.DUMMYFUNCTION("""COMPUTED_VALUE"""),"")</f>
        <v/>
      </c>
      <c r="F270" s="6" t="str">
        <f>IFERROR(__xludf.DUMMYFUNCTION("""COMPUTED_VALUE"""),"Chadwick")</f>
        <v>Chadwick</v>
      </c>
      <c r="G270" s="6" t="str">
        <f>IFERROR(__xludf.DUMMYFUNCTION("""COMPUTED_VALUE"""),"06/21/2015")</f>
        <v>06/21/2015</v>
      </c>
      <c r="H270" s="6" t="str">
        <f>IFERROR(__xludf.DUMMYFUNCTION("""COMPUTED_VALUE"""),"female")</f>
        <v>female</v>
      </c>
      <c r="I270" s="6" t="str">
        <f>IFERROR(__xludf.DUMMYFUNCTION("""COMPUTED_VALUE"""),"Level 2")</f>
        <v>Level 2</v>
      </c>
      <c r="J270" s="6" t="str">
        <f>IFERROR(__xludf.DUMMYFUNCTION("""COMPUTED_VALUE"""),"5")</f>
        <v>5</v>
      </c>
      <c r="K270" s="6" t="str">
        <f>IFERROR(__xludf.DUMMYFUNCTION("""COMPUTED_VALUE"""),"armana.r.chadwick1@2hourlearning.com")</f>
        <v>armana.r.chadwick1@2hourlearning.com</v>
      </c>
      <c r="L270" s="6" t="str">
        <f>IFERROR(__xludf.DUMMYFUNCTION("""COMPUTED_VALUE"""),"Alpha Anywhere (homeschool)")</f>
        <v>Alpha Anywhere (homeschool)</v>
      </c>
      <c r="M270" s="6" t="str">
        <f>IFERROR(__xludf.DUMMYFUNCTION("""COMPUTED_VALUE"""),"")</f>
        <v/>
      </c>
      <c r="N270" s="6" t="str">
        <f>IFERROR(__xludf.DUMMYFUNCTION("""COMPUTED_VALUE"""),"")</f>
        <v/>
      </c>
      <c r="O270" s="87" t="str">
        <f>IFERROR(__xludf.DUMMYFUNCTION("""COMPUTED_VALUE"""),"https://drive.google.com/drive/folders/10T2cTQHqEJZqE-st6uFKPoI?usp=share_link")</f>
        <v>https://drive.google.com/drive/folders/10T2cTQHqEJZqE-st6uFKPoI?usp=share_link</v>
      </c>
      <c r="P270" s="6" t="str">
        <f>IFERROR(__xludf.DUMMYFUNCTION("""COMPUTED_VALUE"""),"Armana Chadwick")</f>
        <v>Armana Chadwick</v>
      </c>
      <c r="Q270" s="6" t="str">
        <f>IFERROR(__xludf.DUMMYFUNCTION("""COMPUTED_VALUE"""),"L2")</f>
        <v>L2</v>
      </c>
      <c r="R270" s="6">
        <f>IFERROR(__xludf.DUMMYFUNCTION("""COMPUTED_VALUE"""),2.0)</f>
        <v>2</v>
      </c>
      <c r="S270" s="6" t="str">
        <f>IFERROR(__xludf.DUMMYFUNCTION("""COMPUTED_VALUE""")," ")</f>
        <v> </v>
      </c>
      <c r="T270" s="6" t="str">
        <f>IFERROR(__xludf.DUMMYFUNCTION("""COMPUTED_VALUE"""),"")</f>
        <v/>
      </c>
      <c r="U270" s="6" t="str">
        <f>IFERROR(__xludf.DUMMYFUNCTION("""COMPUTED_VALUE"""),"5")</f>
        <v>5</v>
      </c>
      <c r="V270" s="6" t="str">
        <f>IFERROR(__xludf.DUMMYFUNCTION("""COMPUTED_VALUE"""),"")</f>
        <v/>
      </c>
      <c r="W270" s="6" t="str">
        <f>IFERROR(__xludf.DUMMYFUNCTION("""COMPUTED_VALUE"""),"[]")</f>
        <v>[]</v>
      </c>
      <c r="X270" s="6" t="str">
        <f>IFERROR(__xludf.DUMMYFUNCTION("""COMPUTED_VALUE"""),"Enrolled")</f>
        <v>Enrolled</v>
      </c>
    </row>
    <row r="271">
      <c r="A271" s="6" t="str">
        <f>IFERROR(__xludf.DUMMYFUNCTION("""COMPUTED_VALUE"""),"000-5545")</f>
        <v>000-5545</v>
      </c>
      <c r="B271" s="6" t="str">
        <f>IFERROR(__xludf.DUMMYFUNCTION("""COMPUTED_VALUE"""),"0")</f>
        <v>0</v>
      </c>
      <c r="C271" s="6" t="str">
        <f>IFERROR(__xludf.DUMMYFUNCTION("""COMPUTED_VALUE"""),"5545")</f>
        <v>5545</v>
      </c>
      <c r="D271" s="6" t="str">
        <f>IFERROR(__xludf.DUMMYFUNCTION("""COMPUTED_VALUE"""),"Armana")</f>
        <v>Armana</v>
      </c>
      <c r="E271" s="6" t="str">
        <f>IFERROR(__xludf.DUMMYFUNCTION("""COMPUTED_VALUE"""),"")</f>
        <v/>
      </c>
      <c r="F271" s="6" t="str">
        <f>IFERROR(__xludf.DUMMYFUNCTION("""COMPUTED_VALUE"""),"Chadwick")</f>
        <v>Chadwick</v>
      </c>
      <c r="G271" s="6" t="str">
        <f>IFERROR(__xludf.DUMMYFUNCTION("""COMPUTED_VALUE"""),"06/21/2015")</f>
        <v>06/21/2015</v>
      </c>
      <c r="H271" s="6" t="str">
        <f>IFERROR(__xludf.DUMMYFUNCTION("""COMPUTED_VALUE"""),"female")</f>
        <v>female</v>
      </c>
      <c r="I271" s="6" t="str">
        <f>IFERROR(__xludf.DUMMYFUNCTION("""COMPUTED_VALUE"""),"Level 2")</f>
        <v>Level 2</v>
      </c>
      <c r="J271" s="6" t="str">
        <f>IFERROR(__xludf.DUMMYFUNCTION("""COMPUTED_VALUE"""),"5")</f>
        <v>5</v>
      </c>
      <c r="K271" s="6" t="str">
        <f>IFERROR(__xludf.DUMMYFUNCTION("""COMPUTED_VALUE"""),"armana.r.chadwick2@2hourlearning.com")</f>
        <v>armana.r.chadwick2@2hourlearning.com</v>
      </c>
      <c r="L271" s="6" t="str">
        <f>IFERROR(__xludf.DUMMYFUNCTION("""COMPUTED_VALUE"""),"Alpha Anywhere (homeschool)")</f>
        <v>Alpha Anywhere (homeschool)</v>
      </c>
      <c r="M271" s="6" t="str">
        <f>IFERROR(__xludf.DUMMYFUNCTION("""COMPUTED_VALUE"""),"")</f>
        <v/>
      </c>
      <c r="N271" s="6" t="str">
        <f>IFERROR(__xludf.DUMMYFUNCTION("""COMPUTED_VALUE"""),"")</f>
        <v/>
      </c>
      <c r="O271" s="87" t="str">
        <f>IFERROR(__xludf.DUMMYFUNCTION("""COMPUTED_VALUE"""),"https://drive.google.com/drive/folders/10T2cTQHqEJZqE-st6uFKPoI?usp=share_link")</f>
        <v>https://drive.google.com/drive/folders/10T2cTQHqEJZqE-st6uFKPoI?usp=share_link</v>
      </c>
      <c r="P271" s="6" t="str">
        <f>IFERROR(__xludf.DUMMYFUNCTION("""COMPUTED_VALUE"""),"Armana Chadwick")</f>
        <v>Armana Chadwick</v>
      </c>
      <c r="Q271" s="6" t="str">
        <f>IFERROR(__xludf.DUMMYFUNCTION("""COMPUTED_VALUE"""),"L2")</f>
        <v>L2</v>
      </c>
      <c r="R271" s="6">
        <f>IFERROR(__xludf.DUMMYFUNCTION("""COMPUTED_VALUE"""),2.0)</f>
        <v>2</v>
      </c>
      <c r="S271" s="6" t="str">
        <f>IFERROR(__xludf.DUMMYFUNCTION("""COMPUTED_VALUE""")," ")</f>
        <v> </v>
      </c>
      <c r="T271" s="6" t="str">
        <f>IFERROR(__xludf.DUMMYFUNCTION("""COMPUTED_VALUE"""),"")</f>
        <v/>
      </c>
      <c r="U271" s="6" t="str">
        <f>IFERROR(__xludf.DUMMYFUNCTION("""COMPUTED_VALUE"""),"5")</f>
        <v>5</v>
      </c>
      <c r="V271" s="6" t="str">
        <f>IFERROR(__xludf.DUMMYFUNCTION("""COMPUTED_VALUE"""),"")</f>
        <v/>
      </c>
      <c r="W271" s="6" t="str">
        <f>IFERROR(__xludf.DUMMYFUNCTION("""COMPUTED_VALUE"""),"[]")</f>
        <v>[]</v>
      </c>
      <c r="X271" s="6" t="str">
        <f>IFERROR(__xludf.DUMMYFUNCTION("""COMPUTED_VALUE"""),"Enrolled")</f>
        <v>Enrolled</v>
      </c>
    </row>
    <row r="272">
      <c r="A272" s="6" t="str">
        <f>IFERROR(__xludf.DUMMYFUNCTION("""COMPUTED_VALUE"""),"000-5546")</f>
        <v>000-5546</v>
      </c>
      <c r="B272" s="6" t="str">
        <f>IFERROR(__xludf.DUMMYFUNCTION("""COMPUTED_VALUE"""),"0")</f>
        <v>0</v>
      </c>
      <c r="C272" s="6" t="str">
        <f>IFERROR(__xludf.DUMMYFUNCTION("""COMPUTED_VALUE"""),"5546")</f>
        <v>5546</v>
      </c>
      <c r="D272" s="6" t="str">
        <f>IFERROR(__xludf.DUMMYFUNCTION("""COMPUTED_VALUE"""),"Armana")</f>
        <v>Armana</v>
      </c>
      <c r="E272" s="6" t="str">
        <f>IFERROR(__xludf.DUMMYFUNCTION("""COMPUTED_VALUE"""),"")</f>
        <v/>
      </c>
      <c r="F272" s="6" t="str">
        <f>IFERROR(__xludf.DUMMYFUNCTION("""COMPUTED_VALUE"""),"Chadwick")</f>
        <v>Chadwick</v>
      </c>
      <c r="G272" s="6" t="str">
        <f>IFERROR(__xludf.DUMMYFUNCTION("""COMPUTED_VALUE"""),"06/21/2015")</f>
        <v>06/21/2015</v>
      </c>
      <c r="H272" s="6" t="str">
        <f>IFERROR(__xludf.DUMMYFUNCTION("""COMPUTED_VALUE"""),"female")</f>
        <v>female</v>
      </c>
      <c r="I272" s="6" t="str">
        <f>IFERROR(__xludf.DUMMYFUNCTION("""COMPUTED_VALUE"""),"Level 2")</f>
        <v>Level 2</v>
      </c>
      <c r="J272" s="6" t="str">
        <f>IFERROR(__xludf.DUMMYFUNCTION("""COMPUTED_VALUE"""),"5")</f>
        <v>5</v>
      </c>
      <c r="K272" s="6" t="str">
        <f>IFERROR(__xludf.DUMMYFUNCTION("""COMPUTED_VALUE"""),"armana.r.chadwick3@2hourlearning.com")</f>
        <v>armana.r.chadwick3@2hourlearning.com</v>
      </c>
      <c r="L272" s="6" t="str">
        <f>IFERROR(__xludf.DUMMYFUNCTION("""COMPUTED_VALUE"""),"Alpha Anywhere (homeschool)")</f>
        <v>Alpha Anywhere (homeschool)</v>
      </c>
      <c r="M272" s="6" t="str">
        <f>IFERROR(__xludf.DUMMYFUNCTION("""COMPUTED_VALUE"""),"")</f>
        <v/>
      </c>
      <c r="N272" s="6" t="str">
        <f>IFERROR(__xludf.DUMMYFUNCTION("""COMPUTED_VALUE"""),"")</f>
        <v/>
      </c>
      <c r="O272" s="87" t="str">
        <f>IFERROR(__xludf.DUMMYFUNCTION("""COMPUTED_VALUE"""),"https://drive.google.com/drive/folders/10T2cTQHqEJZqE-st6uFKPoI?usp=share_link")</f>
        <v>https://drive.google.com/drive/folders/10T2cTQHqEJZqE-st6uFKPoI?usp=share_link</v>
      </c>
      <c r="P272" s="6" t="str">
        <f>IFERROR(__xludf.DUMMYFUNCTION("""COMPUTED_VALUE"""),"Armana Chadwick")</f>
        <v>Armana Chadwick</v>
      </c>
      <c r="Q272" s="6" t="str">
        <f>IFERROR(__xludf.DUMMYFUNCTION("""COMPUTED_VALUE"""),"L2")</f>
        <v>L2</v>
      </c>
      <c r="R272" s="6">
        <f>IFERROR(__xludf.DUMMYFUNCTION("""COMPUTED_VALUE"""),2.0)</f>
        <v>2</v>
      </c>
      <c r="S272" s="6" t="str">
        <f>IFERROR(__xludf.DUMMYFUNCTION("""COMPUTED_VALUE""")," ")</f>
        <v> </v>
      </c>
      <c r="T272" s="6" t="str">
        <f>IFERROR(__xludf.DUMMYFUNCTION("""COMPUTED_VALUE"""),"")</f>
        <v/>
      </c>
      <c r="U272" s="6" t="str">
        <f>IFERROR(__xludf.DUMMYFUNCTION("""COMPUTED_VALUE"""),"5")</f>
        <v>5</v>
      </c>
      <c r="V272" s="6" t="str">
        <f>IFERROR(__xludf.DUMMYFUNCTION("""COMPUTED_VALUE"""),"")</f>
        <v/>
      </c>
      <c r="W272" s="6" t="str">
        <f>IFERROR(__xludf.DUMMYFUNCTION("""COMPUTED_VALUE"""),"[]")</f>
        <v>[]</v>
      </c>
      <c r="X272" s="6" t="str">
        <f>IFERROR(__xludf.DUMMYFUNCTION("""COMPUTED_VALUE"""),"Enrolled")</f>
        <v>Enrolled</v>
      </c>
    </row>
    <row r="273">
      <c r="A273" s="6" t="str">
        <f>IFERROR(__xludf.DUMMYFUNCTION("""COMPUTED_VALUE"""),"000-5547")</f>
        <v>000-5547</v>
      </c>
      <c r="B273" s="6" t="str">
        <f>IFERROR(__xludf.DUMMYFUNCTION("""COMPUTED_VALUE"""),"0")</f>
        <v>0</v>
      </c>
      <c r="C273" s="6" t="str">
        <f>IFERROR(__xludf.DUMMYFUNCTION("""COMPUTED_VALUE"""),"5547")</f>
        <v>5547</v>
      </c>
      <c r="D273" s="6" t="str">
        <f>IFERROR(__xludf.DUMMYFUNCTION("""COMPUTED_VALUE"""),"Armana")</f>
        <v>Armana</v>
      </c>
      <c r="E273" s="6" t="str">
        <f>IFERROR(__xludf.DUMMYFUNCTION("""COMPUTED_VALUE"""),"Armana")</f>
        <v>Armana</v>
      </c>
      <c r="F273" s="6" t="str">
        <f>IFERROR(__xludf.DUMMYFUNCTION("""COMPUTED_VALUE"""),"Chadwick")</f>
        <v>Chadwick</v>
      </c>
      <c r="G273" s="6" t="str">
        <f>IFERROR(__xludf.DUMMYFUNCTION("""COMPUTED_VALUE"""),"06/21/2015")</f>
        <v>06/21/2015</v>
      </c>
      <c r="H273" s="6" t="str">
        <f>IFERROR(__xludf.DUMMYFUNCTION("""COMPUTED_VALUE"""),"female")</f>
        <v>female</v>
      </c>
      <c r="I273" s="6" t="str">
        <f>IFERROR(__xludf.DUMMYFUNCTION("""COMPUTED_VALUE"""),"Level 2")</f>
        <v>Level 2</v>
      </c>
      <c r="J273" s="6" t="str">
        <f>IFERROR(__xludf.DUMMYFUNCTION("""COMPUTED_VALUE"""),"5")</f>
        <v>5</v>
      </c>
      <c r="K273" s="6" t="str">
        <f>IFERROR(__xludf.DUMMYFUNCTION("""COMPUTED_VALUE"""),"armana.r.chadwick4@2hourlearning.com")</f>
        <v>armana.r.chadwick4@2hourlearning.com</v>
      </c>
      <c r="L273" s="6" t="str">
        <f>IFERROR(__xludf.DUMMYFUNCTION("""COMPUTED_VALUE"""),"Alpha Anywhere (homeschool)")</f>
        <v>Alpha Anywhere (homeschool)</v>
      </c>
      <c r="M273" s="6" t="str">
        <f>IFERROR(__xludf.DUMMYFUNCTION("""COMPUTED_VALUE"""),"")</f>
        <v/>
      </c>
      <c r="N273" s="6" t="str">
        <f>IFERROR(__xludf.DUMMYFUNCTION("""COMPUTED_VALUE"""),"")</f>
        <v/>
      </c>
      <c r="O273" s="87" t="str">
        <f>IFERROR(__xludf.DUMMYFUNCTION("""COMPUTED_VALUE"""),"https://drive.google.com/drive/folders/10T2cTQHqEJZqE-st6uFKPoI?usp=share_link")</f>
        <v>https://drive.google.com/drive/folders/10T2cTQHqEJZqE-st6uFKPoI?usp=share_link</v>
      </c>
      <c r="P273" s="6" t="str">
        <f>IFERROR(__xludf.DUMMYFUNCTION("""COMPUTED_VALUE"""),"Armana Chadwick")</f>
        <v>Armana Chadwick</v>
      </c>
      <c r="Q273" s="6" t="str">
        <f>IFERROR(__xludf.DUMMYFUNCTION("""COMPUTED_VALUE"""),"L2")</f>
        <v>L2</v>
      </c>
      <c r="R273" s="6">
        <f>IFERROR(__xludf.DUMMYFUNCTION("""COMPUTED_VALUE"""),2.0)</f>
        <v>2</v>
      </c>
      <c r="S273" s="6" t="str">
        <f>IFERROR(__xludf.DUMMYFUNCTION("""COMPUTED_VALUE""")," ")</f>
        <v> </v>
      </c>
      <c r="T273" s="6" t="str">
        <f>IFERROR(__xludf.DUMMYFUNCTION("""COMPUTED_VALUE"""),"")</f>
        <v/>
      </c>
      <c r="U273" s="6" t="str">
        <f>IFERROR(__xludf.DUMMYFUNCTION("""COMPUTED_VALUE"""),"5")</f>
        <v>5</v>
      </c>
      <c r="V273" s="6" t="str">
        <f>IFERROR(__xludf.DUMMYFUNCTION("""COMPUTED_VALUE"""),"")</f>
        <v/>
      </c>
      <c r="W273" s="6" t="str">
        <f>IFERROR(__xludf.DUMMYFUNCTION("""COMPUTED_VALUE"""),"[]")</f>
        <v>[]</v>
      </c>
      <c r="X273" s="6" t="str">
        <f>IFERROR(__xludf.DUMMYFUNCTION("""COMPUTED_VALUE"""),"Enrolled")</f>
        <v>Enrolled</v>
      </c>
    </row>
    <row r="274">
      <c r="A274" s="6" t="str">
        <f>IFERROR(__xludf.DUMMYFUNCTION("""COMPUTED_VALUE"""),"000-5548")</f>
        <v>000-5548</v>
      </c>
      <c r="B274" s="6" t="str">
        <f>IFERROR(__xludf.DUMMYFUNCTION("""COMPUTED_VALUE"""),"0")</f>
        <v>0</v>
      </c>
      <c r="C274" s="6" t="str">
        <f>IFERROR(__xludf.DUMMYFUNCTION("""COMPUTED_VALUE"""),"5548")</f>
        <v>5548</v>
      </c>
      <c r="D274" s="6" t="str">
        <f>IFERROR(__xludf.DUMMYFUNCTION("""COMPUTED_VALUE"""),"Armana")</f>
        <v>Armana</v>
      </c>
      <c r="E274" s="6" t="str">
        <f>IFERROR(__xludf.DUMMYFUNCTION("""COMPUTED_VALUE"""),"Armana")</f>
        <v>Armana</v>
      </c>
      <c r="F274" s="6" t="str">
        <f>IFERROR(__xludf.DUMMYFUNCTION("""COMPUTED_VALUE"""),"Chadwick")</f>
        <v>Chadwick</v>
      </c>
      <c r="G274" s="6" t="str">
        <f>IFERROR(__xludf.DUMMYFUNCTION("""COMPUTED_VALUE"""),"06/21/2015")</f>
        <v>06/21/2015</v>
      </c>
      <c r="H274" s="6" t="str">
        <f>IFERROR(__xludf.DUMMYFUNCTION("""COMPUTED_VALUE"""),"female")</f>
        <v>female</v>
      </c>
      <c r="I274" s="6" t="str">
        <f>IFERROR(__xludf.DUMMYFUNCTION("""COMPUTED_VALUE"""),"Level 2")</f>
        <v>Level 2</v>
      </c>
      <c r="J274" s="6" t="str">
        <f>IFERROR(__xludf.DUMMYFUNCTION("""COMPUTED_VALUE"""),"5")</f>
        <v>5</v>
      </c>
      <c r="K274" s="6" t="str">
        <f>IFERROR(__xludf.DUMMYFUNCTION("""COMPUTED_VALUE"""),"armana.r.chadwick5@2hourlearning.com")</f>
        <v>armana.r.chadwick5@2hourlearning.com</v>
      </c>
      <c r="L274" s="6" t="str">
        <f>IFERROR(__xludf.DUMMYFUNCTION("""COMPUTED_VALUE"""),"Alpha Anywhere (homeschool)")</f>
        <v>Alpha Anywhere (homeschool)</v>
      </c>
      <c r="M274" s="6" t="str">
        <f>IFERROR(__xludf.DUMMYFUNCTION("""COMPUTED_VALUE"""),"")</f>
        <v/>
      </c>
      <c r="N274" s="6" t="str">
        <f>IFERROR(__xludf.DUMMYFUNCTION("""COMPUTED_VALUE"""),"")</f>
        <v/>
      </c>
      <c r="O274" s="87" t="str">
        <f>IFERROR(__xludf.DUMMYFUNCTION("""COMPUTED_VALUE"""),"https://drive.google.com/drive/folders/10T2cTQHqEJZqE-st6uFKPoI?usp=share_link")</f>
        <v>https://drive.google.com/drive/folders/10T2cTQHqEJZqE-st6uFKPoI?usp=share_link</v>
      </c>
      <c r="P274" s="6" t="str">
        <f>IFERROR(__xludf.DUMMYFUNCTION("""COMPUTED_VALUE"""),"Armana Chadwick")</f>
        <v>Armana Chadwick</v>
      </c>
      <c r="Q274" s="6" t="str">
        <f>IFERROR(__xludf.DUMMYFUNCTION("""COMPUTED_VALUE"""),"L2")</f>
        <v>L2</v>
      </c>
      <c r="R274" s="6">
        <f>IFERROR(__xludf.DUMMYFUNCTION("""COMPUTED_VALUE"""),2.0)</f>
        <v>2</v>
      </c>
      <c r="S274" s="6" t="str">
        <f>IFERROR(__xludf.DUMMYFUNCTION("""COMPUTED_VALUE""")," ")</f>
        <v> </v>
      </c>
      <c r="T274" s="6" t="str">
        <f>IFERROR(__xludf.DUMMYFUNCTION("""COMPUTED_VALUE"""),"")</f>
        <v/>
      </c>
      <c r="U274" s="6" t="str">
        <f>IFERROR(__xludf.DUMMYFUNCTION("""COMPUTED_VALUE"""),"5")</f>
        <v>5</v>
      </c>
      <c r="V274" s="6" t="str">
        <f>IFERROR(__xludf.DUMMYFUNCTION("""COMPUTED_VALUE"""),"")</f>
        <v/>
      </c>
      <c r="W274" s="6" t="str">
        <f>IFERROR(__xludf.DUMMYFUNCTION("""COMPUTED_VALUE"""),"[]")</f>
        <v>[]</v>
      </c>
      <c r="X274" s="6" t="str">
        <f>IFERROR(__xludf.DUMMYFUNCTION("""COMPUTED_VALUE"""),"Enrolled")</f>
        <v>Enrolled</v>
      </c>
    </row>
    <row r="275">
      <c r="A275" s="6" t="str">
        <f>IFERROR(__xludf.DUMMYFUNCTION("""COMPUTED_VALUE"""),"000-5563")</f>
        <v>000-5563</v>
      </c>
      <c r="B275" s="6" t="str">
        <f>IFERROR(__xludf.DUMMYFUNCTION("""COMPUTED_VALUE"""),"0")</f>
        <v>0</v>
      </c>
      <c r="C275" s="6" t="str">
        <f>IFERROR(__xludf.DUMMYFUNCTION("""COMPUTED_VALUE"""),"5563")</f>
        <v>5563</v>
      </c>
      <c r="D275" s="6" t="str">
        <f>IFERROR(__xludf.DUMMYFUNCTION("""COMPUTED_VALUE"""),"S")</f>
        <v>S</v>
      </c>
      <c r="E275" s="6" t="str">
        <f>IFERROR(__xludf.DUMMYFUNCTION("""COMPUTED_VALUE"""),"S")</f>
        <v>S</v>
      </c>
      <c r="F275" s="6" t="str">
        <f>IFERROR(__xludf.DUMMYFUNCTION("""COMPUTED_VALUE"""),"Fisher")</f>
        <v>Fisher</v>
      </c>
      <c r="G275" s="6" t="str">
        <f>IFERROR(__xludf.DUMMYFUNCTION("""COMPUTED_VALUE"""),"11/23/2011")</f>
        <v>11/23/2011</v>
      </c>
      <c r="H275" s="6" t="str">
        <f>IFERROR(__xludf.DUMMYFUNCTION("""COMPUTED_VALUE"""),"female")</f>
        <v>female</v>
      </c>
      <c r="I275" s="6" t="str">
        <f>IFERROR(__xludf.DUMMYFUNCTION("""COMPUTED_VALUE"""),"Middle School")</f>
        <v>Middle School</v>
      </c>
      <c r="J275" s="6" t="str">
        <f>IFERROR(__xludf.DUMMYFUNCTION("""COMPUTED_VALUE"""),"8")</f>
        <v>8</v>
      </c>
      <c r="K275" s="6" t="str">
        <f>IFERROR(__xludf.DUMMYFUNCTION("""COMPUTED_VALUE"""),"s.fisher@2hourlearning.com")</f>
        <v>s.fisher@2hourlearning.com</v>
      </c>
      <c r="L275" s="6" t="str">
        <f>IFERROR(__xludf.DUMMYFUNCTION("""COMPUTED_VALUE"""),"Alpha Anywhere (homeschool)")</f>
        <v>Alpha Anywhere (homeschool)</v>
      </c>
      <c r="M275" s="6" t="str">
        <f>IFERROR(__xludf.DUMMYFUNCTION("""COMPUTED_VALUE"""),"")</f>
        <v/>
      </c>
      <c r="N275" s="6" t="str">
        <f>IFERROR(__xludf.DUMMYFUNCTION("""COMPUTED_VALUE"""),"")</f>
        <v/>
      </c>
      <c r="O275" s="87" t="str">
        <f>IFERROR(__xludf.DUMMYFUNCTION("""COMPUTED_VALUE"""),"https://drive.google.com/drive/folders/10T2cTQHqEJZqE-st6uFKPoI?usp=share_link")</f>
        <v>https://drive.google.com/drive/folders/10T2cTQHqEJZqE-st6uFKPoI?usp=share_link</v>
      </c>
      <c r="P275" s="6" t="str">
        <f>IFERROR(__xludf.DUMMYFUNCTION("""COMPUTED_VALUE"""),"S Fisher")</f>
        <v>S Fisher</v>
      </c>
      <c r="Q275" s="6" t="str">
        <f>IFERROR(__xludf.DUMMYFUNCTION("""COMPUTED_VALUE"""),"MS")</f>
        <v>MS</v>
      </c>
      <c r="R275" s="6">
        <f>IFERROR(__xludf.DUMMYFUNCTION("""COMPUTED_VALUE"""),0.0)</f>
        <v>0</v>
      </c>
      <c r="S275" s="6" t="str">
        <f>IFERROR(__xludf.DUMMYFUNCTION("""COMPUTED_VALUE""")," ")</f>
        <v> </v>
      </c>
      <c r="T275" s="6" t="str">
        <f>IFERROR(__xludf.DUMMYFUNCTION("""COMPUTED_VALUE"""),"")</f>
        <v/>
      </c>
      <c r="U275" s="6" t="str">
        <f>IFERROR(__xludf.DUMMYFUNCTION("""COMPUTED_VALUE"""),"8")</f>
        <v>8</v>
      </c>
      <c r="V275" s="6" t="str">
        <f>IFERROR(__xludf.DUMMYFUNCTION("""COMPUTED_VALUE"""),"")</f>
        <v/>
      </c>
      <c r="W275" s="6" t="str">
        <f>IFERROR(__xludf.DUMMYFUNCTION("""COMPUTED_VALUE"""),"[]")</f>
        <v>[]</v>
      </c>
      <c r="X275" s="6" t="str">
        <f>IFERROR(__xludf.DUMMYFUNCTION("""COMPUTED_VALUE"""),"Enrolled")</f>
        <v>Enrolled</v>
      </c>
    </row>
    <row r="276">
      <c r="A276" s="6" t="str">
        <f>IFERROR(__xludf.DUMMYFUNCTION("""COMPUTED_VALUE"""),"000-5564")</f>
        <v>000-5564</v>
      </c>
      <c r="B276" s="6" t="str">
        <f>IFERROR(__xludf.DUMMYFUNCTION("""COMPUTED_VALUE"""),"0")</f>
        <v>0</v>
      </c>
      <c r="C276" s="6" t="str">
        <f>IFERROR(__xludf.DUMMYFUNCTION("""COMPUTED_VALUE"""),"5564")</f>
        <v>5564</v>
      </c>
      <c r="D276" s="6" t="str">
        <f>IFERROR(__xludf.DUMMYFUNCTION("""COMPUTED_VALUE"""),"Stella")</f>
        <v>Stella</v>
      </c>
      <c r="E276" s="6" t="str">
        <f>IFERROR(__xludf.DUMMYFUNCTION("""COMPUTED_VALUE"""),"Stella")</f>
        <v>Stella</v>
      </c>
      <c r="F276" s="6" t="str">
        <f>IFERROR(__xludf.DUMMYFUNCTION("""COMPUTED_VALUE"""),"Fisher")</f>
        <v>Fisher</v>
      </c>
      <c r="G276" s="6" t="str">
        <f>IFERROR(__xludf.DUMMYFUNCTION("""COMPUTED_VALUE"""),"11/23/2011")</f>
        <v>11/23/2011</v>
      </c>
      <c r="H276" s="6" t="str">
        <f>IFERROR(__xludf.DUMMYFUNCTION("""COMPUTED_VALUE"""),"female")</f>
        <v>female</v>
      </c>
      <c r="I276" s="6" t="str">
        <f>IFERROR(__xludf.DUMMYFUNCTION("""COMPUTED_VALUE"""),"Middle School")</f>
        <v>Middle School</v>
      </c>
      <c r="J276" s="6" t="str">
        <f>IFERROR(__xludf.DUMMYFUNCTION("""COMPUTED_VALUE"""),"8")</f>
        <v>8</v>
      </c>
      <c r="K276" s="6" t="str">
        <f>IFERROR(__xludf.DUMMYFUNCTION("""COMPUTED_VALUE"""),"stella.fisher@2hourlearning.com")</f>
        <v>stella.fisher@2hourlearning.com</v>
      </c>
      <c r="L276" s="6" t="str">
        <f>IFERROR(__xludf.DUMMYFUNCTION("""COMPUTED_VALUE"""),"Alpha Anywhere (homeschool)")</f>
        <v>Alpha Anywhere (homeschool)</v>
      </c>
      <c r="M276" s="6" t="str">
        <f>IFERROR(__xludf.DUMMYFUNCTION("""COMPUTED_VALUE"""),"")</f>
        <v/>
      </c>
      <c r="N276" s="6" t="str">
        <f>IFERROR(__xludf.DUMMYFUNCTION("""COMPUTED_VALUE"""),"")</f>
        <v/>
      </c>
      <c r="O276" s="87" t="str">
        <f>IFERROR(__xludf.DUMMYFUNCTION("""COMPUTED_VALUE"""),"https://drive.google.com/drive/folders/10T2cTQHqEJZqE-st6uFKPoI?usp=share_link")</f>
        <v>https://drive.google.com/drive/folders/10T2cTQHqEJZqE-st6uFKPoI?usp=share_link</v>
      </c>
      <c r="P276" s="6" t="str">
        <f>IFERROR(__xludf.DUMMYFUNCTION("""COMPUTED_VALUE"""),"Stella Fisher")</f>
        <v>Stella Fisher</v>
      </c>
      <c r="Q276" s="6" t="str">
        <f>IFERROR(__xludf.DUMMYFUNCTION("""COMPUTED_VALUE"""),"MS")</f>
        <v>MS</v>
      </c>
      <c r="R276" s="6">
        <f>IFERROR(__xludf.DUMMYFUNCTION("""COMPUTED_VALUE"""),0.0)</f>
        <v>0</v>
      </c>
      <c r="S276" s="6" t="str">
        <f>IFERROR(__xludf.DUMMYFUNCTION("""COMPUTED_VALUE""")," ")</f>
        <v> </v>
      </c>
      <c r="T276" s="6" t="str">
        <f>IFERROR(__xludf.DUMMYFUNCTION("""COMPUTED_VALUE"""),"")</f>
        <v/>
      </c>
      <c r="U276" s="6" t="str">
        <f>IFERROR(__xludf.DUMMYFUNCTION("""COMPUTED_VALUE"""),"8")</f>
        <v>8</v>
      </c>
      <c r="V276" s="6" t="str">
        <f>IFERROR(__xludf.DUMMYFUNCTION("""COMPUTED_VALUE"""),"")</f>
        <v/>
      </c>
      <c r="W276" s="6" t="str">
        <f>IFERROR(__xludf.DUMMYFUNCTION("""COMPUTED_VALUE"""),"[]")</f>
        <v>[]</v>
      </c>
      <c r="X276" s="6" t="str">
        <f>IFERROR(__xludf.DUMMYFUNCTION("""COMPUTED_VALUE"""),"Enrolled")</f>
        <v>Enrolled</v>
      </c>
    </row>
    <row r="277">
      <c r="A277" s="6" t="str">
        <f>IFERROR(__xludf.DUMMYFUNCTION("""COMPUTED_VALUE"""),"000-5576")</f>
        <v>000-5576</v>
      </c>
      <c r="B277" s="6" t="str">
        <f>IFERROR(__xludf.DUMMYFUNCTION("""COMPUTED_VALUE"""),"0")</f>
        <v>0</v>
      </c>
      <c r="C277" s="6" t="str">
        <f>IFERROR(__xludf.DUMMYFUNCTION("""COMPUTED_VALUE"""),"5576")</f>
        <v>5576</v>
      </c>
      <c r="D277" s="6" t="str">
        <f>IFERROR(__xludf.DUMMYFUNCTION("""COMPUTED_VALUE"""),"Casimer")</f>
        <v>Casimer</v>
      </c>
      <c r="E277" s="6" t="str">
        <f>IFERROR(__xludf.DUMMYFUNCTION("""COMPUTED_VALUE"""),"Casimer")</f>
        <v>Casimer</v>
      </c>
      <c r="F277" s="6" t="str">
        <f>IFERROR(__xludf.DUMMYFUNCTION("""COMPUTED_VALUE"""),"Jurecki")</f>
        <v>Jurecki</v>
      </c>
      <c r="G277" s="6" t="str">
        <f>IFERROR(__xludf.DUMMYFUNCTION("""COMPUTED_VALUE"""),"12/14/2013")</f>
        <v>12/14/2013</v>
      </c>
      <c r="H277" s="6" t="str">
        <f>IFERROR(__xludf.DUMMYFUNCTION("""COMPUTED_VALUE"""),"male")</f>
        <v>male</v>
      </c>
      <c r="I277" s="6" t="str">
        <f>IFERROR(__xludf.DUMMYFUNCTION("""COMPUTED_VALUE"""),"Middle School")</f>
        <v>Middle School</v>
      </c>
      <c r="J277" s="6" t="str">
        <f>IFERROR(__xludf.DUMMYFUNCTION("""COMPUTED_VALUE"""),"6")</f>
        <v>6</v>
      </c>
      <c r="K277" s="6" t="str">
        <f>IFERROR(__xludf.DUMMYFUNCTION("""COMPUTED_VALUE"""),"casimer.jurecki@2hourlearning.com")</f>
        <v>casimer.jurecki@2hourlearning.com</v>
      </c>
      <c r="L277" s="6" t="str">
        <f>IFERROR(__xludf.DUMMYFUNCTION("""COMPUTED_VALUE"""),"Alpha Anywhere (homeschool)")</f>
        <v>Alpha Anywhere (homeschool)</v>
      </c>
      <c r="M277" s="6" t="str">
        <f>IFERROR(__xludf.DUMMYFUNCTION("""COMPUTED_VALUE"""),"")</f>
        <v/>
      </c>
      <c r="N277" s="6" t="str">
        <f>IFERROR(__xludf.DUMMYFUNCTION("""COMPUTED_VALUE"""),"")</f>
        <v/>
      </c>
      <c r="O277" s="87" t="str">
        <f>IFERROR(__xludf.DUMMYFUNCTION("""COMPUTED_VALUE"""),"https://drive.google.com/drive/folders/10T2cTQHqEJZqE-st6uFKPoI?usp=share_link")</f>
        <v>https://drive.google.com/drive/folders/10T2cTQHqEJZqE-st6uFKPoI?usp=share_link</v>
      </c>
      <c r="P277" s="6" t="str">
        <f>IFERROR(__xludf.DUMMYFUNCTION("""COMPUTED_VALUE"""),"Casimer Jurecki")</f>
        <v>Casimer Jurecki</v>
      </c>
      <c r="Q277" s="6" t="str">
        <f>IFERROR(__xludf.DUMMYFUNCTION("""COMPUTED_VALUE"""),"MS")</f>
        <v>MS</v>
      </c>
      <c r="R277" s="6">
        <f>IFERROR(__xludf.DUMMYFUNCTION("""COMPUTED_VALUE"""),0.0)</f>
        <v>0</v>
      </c>
      <c r="S277" s="6" t="str">
        <f>IFERROR(__xludf.DUMMYFUNCTION("""COMPUTED_VALUE""")," ")</f>
        <v> </v>
      </c>
      <c r="T277" s="6" t="str">
        <f>IFERROR(__xludf.DUMMYFUNCTION("""COMPUTED_VALUE"""),"")</f>
        <v/>
      </c>
      <c r="U277" s="6" t="str">
        <f>IFERROR(__xludf.DUMMYFUNCTION("""COMPUTED_VALUE"""),"6")</f>
        <v>6</v>
      </c>
      <c r="V277" s="6" t="str">
        <f>IFERROR(__xludf.DUMMYFUNCTION("""COMPUTED_VALUE"""),"")</f>
        <v/>
      </c>
      <c r="W277" s="6" t="str">
        <f>IFERROR(__xludf.DUMMYFUNCTION("""COMPUTED_VALUE"""),"[]")</f>
        <v>[]</v>
      </c>
      <c r="X277" s="6" t="str">
        <f>IFERROR(__xludf.DUMMYFUNCTION("""COMPUTED_VALUE"""),"Enrolled")</f>
        <v>Enrolled</v>
      </c>
    </row>
    <row r="278">
      <c r="A278" s="6" t="str">
        <f>IFERROR(__xludf.DUMMYFUNCTION("""COMPUTED_VALUE"""),"000-5582")</f>
        <v>000-5582</v>
      </c>
      <c r="B278" s="6" t="str">
        <f>IFERROR(__xludf.DUMMYFUNCTION("""COMPUTED_VALUE"""),"0")</f>
        <v>0</v>
      </c>
      <c r="C278" s="6" t="str">
        <f>IFERROR(__xludf.DUMMYFUNCTION("""COMPUTED_VALUE"""),"5582")</f>
        <v>5582</v>
      </c>
      <c r="D278" s="6" t="str">
        <f>IFERROR(__xludf.DUMMYFUNCTION("""COMPUTED_VALUE"""),"Kendall")</f>
        <v>Kendall</v>
      </c>
      <c r="E278" s="6" t="str">
        <f>IFERROR(__xludf.DUMMYFUNCTION("""COMPUTED_VALUE"""),"Kendall")</f>
        <v>Kendall</v>
      </c>
      <c r="F278" s="6" t="str">
        <f>IFERROR(__xludf.DUMMYFUNCTION("""COMPUTED_VALUE"""),"Rivera")</f>
        <v>Rivera</v>
      </c>
      <c r="G278" s="6" t="str">
        <f>IFERROR(__xludf.DUMMYFUNCTION("""COMPUTED_VALUE"""),"03/22/2014")</f>
        <v>03/22/2014</v>
      </c>
      <c r="H278" s="6" t="str">
        <f>IFERROR(__xludf.DUMMYFUNCTION("""COMPUTED_VALUE"""),"female")</f>
        <v>female</v>
      </c>
      <c r="I278" s="6" t="str">
        <f>IFERROR(__xludf.DUMMYFUNCTION("""COMPUTED_VALUE"""),"Middle School")</f>
        <v>Middle School</v>
      </c>
      <c r="J278" s="6" t="str">
        <f>IFERROR(__xludf.DUMMYFUNCTION("""COMPUTED_VALUE"""),"6")</f>
        <v>6</v>
      </c>
      <c r="K278" s="6" t="str">
        <f>IFERROR(__xludf.DUMMYFUNCTION("""COMPUTED_VALUE"""),"kendall.rivera@2hourlearning.com")</f>
        <v>kendall.rivera@2hourlearning.com</v>
      </c>
      <c r="L278" s="6" t="str">
        <f>IFERROR(__xludf.DUMMYFUNCTION("""COMPUTED_VALUE"""),"Alpha Anywhere (homeschool)")</f>
        <v>Alpha Anywhere (homeschool)</v>
      </c>
      <c r="M278" s="6" t="str">
        <f>IFERROR(__xludf.DUMMYFUNCTION("""COMPUTED_VALUE"""),"")</f>
        <v/>
      </c>
      <c r="N278" s="6" t="str">
        <f>IFERROR(__xludf.DUMMYFUNCTION("""COMPUTED_VALUE"""),"")</f>
        <v/>
      </c>
      <c r="O278" s="87" t="str">
        <f>IFERROR(__xludf.DUMMYFUNCTION("""COMPUTED_VALUE"""),"https://drive.google.com/drive/folders/10T2cTQHqEJZqE-st6uFKPoI?usp=share_link")</f>
        <v>https://drive.google.com/drive/folders/10T2cTQHqEJZqE-st6uFKPoI?usp=share_link</v>
      </c>
      <c r="P278" s="6" t="str">
        <f>IFERROR(__xludf.DUMMYFUNCTION("""COMPUTED_VALUE"""),"Kendall Rivera")</f>
        <v>Kendall Rivera</v>
      </c>
      <c r="Q278" s="6" t="str">
        <f>IFERROR(__xludf.DUMMYFUNCTION("""COMPUTED_VALUE"""),"MS")</f>
        <v>MS</v>
      </c>
      <c r="R278" s="6">
        <f>IFERROR(__xludf.DUMMYFUNCTION("""COMPUTED_VALUE"""),0.0)</f>
        <v>0</v>
      </c>
      <c r="S278" s="6" t="str">
        <f>IFERROR(__xludf.DUMMYFUNCTION("""COMPUTED_VALUE""")," ")</f>
        <v> </v>
      </c>
      <c r="T278" s="6" t="str">
        <f>IFERROR(__xludf.DUMMYFUNCTION("""COMPUTED_VALUE"""),"")</f>
        <v/>
      </c>
      <c r="U278" s="6" t="str">
        <f>IFERROR(__xludf.DUMMYFUNCTION("""COMPUTED_VALUE"""),"6")</f>
        <v>6</v>
      </c>
      <c r="V278" s="6" t="str">
        <f>IFERROR(__xludf.DUMMYFUNCTION("""COMPUTED_VALUE"""),"")</f>
        <v/>
      </c>
      <c r="W278" s="6" t="str">
        <f>IFERROR(__xludf.DUMMYFUNCTION("""COMPUTED_VALUE"""),"[]")</f>
        <v>[]</v>
      </c>
      <c r="X278" s="6" t="str">
        <f>IFERROR(__xludf.DUMMYFUNCTION("""COMPUTED_VALUE"""),"Enrolled")</f>
        <v>Enrolled</v>
      </c>
    </row>
    <row r="279">
      <c r="A279" s="6" t="str">
        <f>IFERROR(__xludf.DUMMYFUNCTION("""COMPUTED_VALUE"""),"000-5583")</f>
        <v>000-5583</v>
      </c>
      <c r="B279" s="6" t="str">
        <f>IFERROR(__xludf.DUMMYFUNCTION("""COMPUTED_VALUE"""),"0")</f>
        <v>0</v>
      </c>
      <c r="C279" s="6" t="str">
        <f>IFERROR(__xludf.DUMMYFUNCTION("""COMPUTED_VALUE"""),"5583")</f>
        <v>5583</v>
      </c>
      <c r="D279" s="6" t="str">
        <f>IFERROR(__xludf.DUMMYFUNCTION("""COMPUTED_VALUE"""),"Adeliina")</f>
        <v>Adeliina</v>
      </c>
      <c r="E279" s="6" t="str">
        <f>IFERROR(__xludf.DUMMYFUNCTION("""COMPUTED_VALUE"""),"Adeliina")</f>
        <v>Adeliina</v>
      </c>
      <c r="F279" s="6" t="str">
        <f>IFERROR(__xludf.DUMMYFUNCTION("""COMPUTED_VALUE"""),"Rivera")</f>
        <v>Rivera</v>
      </c>
      <c r="G279" s="6" t="str">
        <f>IFERROR(__xludf.DUMMYFUNCTION("""COMPUTED_VALUE"""),"06/29/2017")</f>
        <v>06/29/2017</v>
      </c>
      <c r="H279" s="6" t="str">
        <f>IFERROR(__xludf.DUMMYFUNCTION("""COMPUTED_VALUE"""),"female")</f>
        <v>female</v>
      </c>
      <c r="I279" s="6" t="str">
        <f>IFERROR(__xludf.DUMMYFUNCTION("""COMPUTED_VALUE"""),"Level 1")</f>
        <v>Level 1</v>
      </c>
      <c r="J279" s="6" t="str">
        <f>IFERROR(__xludf.DUMMYFUNCTION("""COMPUTED_VALUE"""),"3")</f>
        <v>3</v>
      </c>
      <c r="K279" s="6" t="str">
        <f>IFERROR(__xludf.DUMMYFUNCTION("""COMPUTED_VALUE"""),"adeliina.rivera@2hourlearning.com")</f>
        <v>adeliina.rivera@2hourlearning.com</v>
      </c>
      <c r="L279" s="6" t="str">
        <f>IFERROR(__xludf.DUMMYFUNCTION("""COMPUTED_VALUE"""),"Alpha Anywhere (homeschool)")</f>
        <v>Alpha Anywhere (homeschool)</v>
      </c>
      <c r="M279" s="6" t="str">
        <f>IFERROR(__xludf.DUMMYFUNCTION("""COMPUTED_VALUE"""),"")</f>
        <v/>
      </c>
      <c r="N279" s="6" t="str">
        <f>IFERROR(__xludf.DUMMYFUNCTION("""COMPUTED_VALUE"""),"")</f>
        <v/>
      </c>
      <c r="O279" s="87" t="str">
        <f>IFERROR(__xludf.DUMMYFUNCTION("""COMPUTED_VALUE"""),"https://drive.google.com/drive/folders/10T2cTQHqEJZqE-st6uFKPoI?usp=share_link")</f>
        <v>https://drive.google.com/drive/folders/10T2cTQHqEJZqE-st6uFKPoI?usp=share_link</v>
      </c>
      <c r="P279" s="6" t="str">
        <f>IFERROR(__xludf.DUMMYFUNCTION("""COMPUTED_VALUE"""),"Adeliina Rivera")</f>
        <v>Adeliina Rivera</v>
      </c>
      <c r="Q279" s="6" t="str">
        <f>IFERROR(__xludf.DUMMYFUNCTION("""COMPUTED_VALUE"""),"L1")</f>
        <v>L1</v>
      </c>
      <c r="R279" s="6">
        <f>IFERROR(__xludf.DUMMYFUNCTION("""COMPUTED_VALUE"""),1.0)</f>
        <v>1</v>
      </c>
      <c r="S279" s="6" t="str">
        <f>IFERROR(__xludf.DUMMYFUNCTION("""COMPUTED_VALUE""")," ")</f>
        <v> </v>
      </c>
      <c r="T279" s="6" t="str">
        <f>IFERROR(__xludf.DUMMYFUNCTION("""COMPUTED_VALUE"""),"")</f>
        <v/>
      </c>
      <c r="U279" s="6" t="str">
        <f>IFERROR(__xludf.DUMMYFUNCTION("""COMPUTED_VALUE"""),"3")</f>
        <v>3</v>
      </c>
      <c r="V279" s="6" t="str">
        <f>IFERROR(__xludf.DUMMYFUNCTION("""COMPUTED_VALUE"""),"")</f>
        <v/>
      </c>
      <c r="W279" s="6" t="str">
        <f>IFERROR(__xludf.DUMMYFUNCTION("""COMPUTED_VALUE"""),"[]")</f>
        <v>[]</v>
      </c>
      <c r="X279" s="6" t="str">
        <f>IFERROR(__xludf.DUMMYFUNCTION("""COMPUTED_VALUE"""),"Enrolled")</f>
        <v>Enrolled</v>
      </c>
    </row>
    <row r="280">
      <c r="A280" s="6" t="str">
        <f>IFERROR(__xludf.DUMMYFUNCTION("""COMPUTED_VALUE"""),"000-5593")</f>
        <v>000-5593</v>
      </c>
      <c r="B280" s="6" t="str">
        <f>IFERROR(__xludf.DUMMYFUNCTION("""COMPUTED_VALUE"""),"0")</f>
        <v>0</v>
      </c>
      <c r="C280" s="6" t="str">
        <f>IFERROR(__xludf.DUMMYFUNCTION("""COMPUTED_VALUE"""),"5593")</f>
        <v>5593</v>
      </c>
      <c r="D280" s="6" t="str">
        <f>IFERROR(__xludf.DUMMYFUNCTION("""COMPUTED_VALUE"""),"Asher")</f>
        <v>Asher</v>
      </c>
      <c r="E280" s="6" t="str">
        <f>IFERROR(__xludf.DUMMYFUNCTION("""COMPUTED_VALUE"""),"")</f>
        <v/>
      </c>
      <c r="F280" s="6" t="str">
        <f>IFERROR(__xludf.DUMMYFUNCTION("""COMPUTED_VALUE"""),"Cusack")</f>
        <v>Cusack</v>
      </c>
      <c r="G280" s="6" t="str">
        <f>IFERROR(__xludf.DUMMYFUNCTION("""COMPUTED_VALUE"""),"12/22/2015")</f>
        <v>12/22/2015</v>
      </c>
      <c r="H280" s="6" t="str">
        <f>IFERROR(__xludf.DUMMYFUNCTION("""COMPUTED_VALUE"""),"female")</f>
        <v>female</v>
      </c>
      <c r="I280" s="6" t="str">
        <f>IFERROR(__xludf.DUMMYFUNCTION("""COMPUTED_VALUE"""),"Level 2")</f>
        <v>Level 2</v>
      </c>
      <c r="J280" s="6" t="str">
        <f>IFERROR(__xludf.DUMMYFUNCTION("""COMPUTED_VALUE"""),"4")</f>
        <v>4</v>
      </c>
      <c r="K280" s="6" t="str">
        <f>IFERROR(__xludf.DUMMYFUNCTION("""COMPUTED_VALUE"""),"asher.cusack@2hourlearning.com")</f>
        <v>asher.cusack@2hourlearning.com</v>
      </c>
      <c r="L280" s="6" t="str">
        <f>IFERROR(__xludf.DUMMYFUNCTION("""COMPUTED_VALUE"""),"Alpha Anywhere (homeschool)")</f>
        <v>Alpha Anywhere (homeschool)</v>
      </c>
      <c r="M280" s="6" t="str">
        <f>IFERROR(__xludf.DUMMYFUNCTION("""COMPUTED_VALUE"""),"")</f>
        <v/>
      </c>
      <c r="N280" s="6" t="str">
        <f>IFERROR(__xludf.DUMMYFUNCTION("""COMPUTED_VALUE"""),"")</f>
        <v/>
      </c>
      <c r="O280" s="87" t="str">
        <f>IFERROR(__xludf.DUMMYFUNCTION("""COMPUTED_VALUE"""),"https://drive.google.com/drive/folders/10T2cTQHqEJZqE-st6uFKPoI?usp=share_link")</f>
        <v>https://drive.google.com/drive/folders/10T2cTQHqEJZqE-st6uFKPoI?usp=share_link</v>
      </c>
      <c r="P280" s="6" t="str">
        <f>IFERROR(__xludf.DUMMYFUNCTION("""COMPUTED_VALUE"""),"Asher Cusack")</f>
        <v>Asher Cusack</v>
      </c>
      <c r="Q280" s="6" t="str">
        <f>IFERROR(__xludf.DUMMYFUNCTION("""COMPUTED_VALUE"""),"L2")</f>
        <v>L2</v>
      </c>
      <c r="R280" s="6">
        <f>IFERROR(__xludf.DUMMYFUNCTION("""COMPUTED_VALUE"""),2.0)</f>
        <v>2</v>
      </c>
      <c r="S280" s="6" t="str">
        <f>IFERROR(__xludf.DUMMYFUNCTION("""COMPUTED_VALUE""")," ")</f>
        <v> </v>
      </c>
      <c r="T280" s="6" t="str">
        <f>IFERROR(__xludf.DUMMYFUNCTION("""COMPUTED_VALUE"""),"")</f>
        <v/>
      </c>
      <c r="U280" s="6" t="str">
        <f>IFERROR(__xludf.DUMMYFUNCTION("""COMPUTED_VALUE"""),"4")</f>
        <v>4</v>
      </c>
      <c r="V280" s="6" t="str">
        <f>IFERROR(__xludf.DUMMYFUNCTION("""COMPUTED_VALUE"""),"")</f>
        <v/>
      </c>
      <c r="W280" s="6" t="str">
        <f>IFERROR(__xludf.DUMMYFUNCTION("""COMPUTED_VALUE"""),"[]")</f>
        <v>[]</v>
      </c>
      <c r="X280" s="6" t="str">
        <f>IFERROR(__xludf.DUMMYFUNCTION("""COMPUTED_VALUE"""),"Enrolled")</f>
        <v>Enrolled</v>
      </c>
    </row>
    <row r="281">
      <c r="A281" s="6" t="str">
        <f>IFERROR(__xludf.DUMMYFUNCTION("""COMPUTED_VALUE"""),"000-5602")</f>
        <v>000-5602</v>
      </c>
      <c r="B281" s="6" t="str">
        <f>IFERROR(__xludf.DUMMYFUNCTION("""COMPUTED_VALUE"""),"0")</f>
        <v>0</v>
      </c>
      <c r="C281" s="6" t="str">
        <f>IFERROR(__xludf.DUMMYFUNCTION("""COMPUTED_VALUE"""),"5602")</f>
        <v>5602</v>
      </c>
      <c r="D281" s="6" t="str">
        <f>IFERROR(__xludf.DUMMYFUNCTION("""COMPUTED_VALUE"""),"Jules")</f>
        <v>Jules</v>
      </c>
      <c r="E281" s="6" t="str">
        <f>IFERROR(__xludf.DUMMYFUNCTION("""COMPUTED_VALUE"""),"")</f>
        <v/>
      </c>
      <c r="F281" s="6" t="str">
        <f>IFERROR(__xludf.DUMMYFUNCTION("""COMPUTED_VALUE"""),"Rahemtulla")</f>
        <v>Rahemtulla</v>
      </c>
      <c r="G281" s="6" t="str">
        <f>IFERROR(__xludf.DUMMYFUNCTION("""COMPUTED_VALUE"""),"06/08/2014")</f>
        <v>06/08/2014</v>
      </c>
      <c r="H281" s="6" t="str">
        <f>IFERROR(__xludf.DUMMYFUNCTION("""COMPUTED_VALUE"""),"female")</f>
        <v>female</v>
      </c>
      <c r="I281" s="6" t="str">
        <f>IFERROR(__xludf.DUMMYFUNCTION("""COMPUTED_VALUE"""),"Middle School")</f>
        <v>Middle School</v>
      </c>
      <c r="J281" s="6" t="str">
        <f>IFERROR(__xludf.DUMMYFUNCTION("""COMPUTED_VALUE"""),"6")</f>
        <v>6</v>
      </c>
      <c r="K281" s="6" t="str">
        <f>IFERROR(__xludf.DUMMYFUNCTION("""COMPUTED_VALUE"""),"jules.rahemtulla@2hourlearning.com")</f>
        <v>jules.rahemtulla@2hourlearning.com</v>
      </c>
      <c r="L281" s="6" t="str">
        <f>IFERROR(__xludf.DUMMYFUNCTION("""COMPUTED_VALUE"""),"Alpha Anywhere (homeschool)")</f>
        <v>Alpha Anywhere (homeschool)</v>
      </c>
      <c r="M281" s="6" t="str">
        <f>IFERROR(__xludf.DUMMYFUNCTION("""COMPUTED_VALUE"""),"")</f>
        <v/>
      </c>
      <c r="N281" s="6" t="str">
        <f>IFERROR(__xludf.DUMMYFUNCTION("""COMPUTED_VALUE"""),"")</f>
        <v/>
      </c>
      <c r="O281" s="87" t="str">
        <f>IFERROR(__xludf.DUMMYFUNCTION("""COMPUTED_VALUE"""),"https://drive.google.com/drive/folders/10T2cTQHqEJZqE-st6uFKPoI?usp=share_link")</f>
        <v>https://drive.google.com/drive/folders/10T2cTQHqEJZqE-st6uFKPoI?usp=share_link</v>
      </c>
      <c r="P281" s="6" t="str">
        <f>IFERROR(__xludf.DUMMYFUNCTION("""COMPUTED_VALUE"""),"Jules Rahemtulla")</f>
        <v>Jules Rahemtulla</v>
      </c>
      <c r="Q281" s="6" t="str">
        <f>IFERROR(__xludf.DUMMYFUNCTION("""COMPUTED_VALUE"""),"MS")</f>
        <v>MS</v>
      </c>
      <c r="R281" s="6">
        <f>IFERROR(__xludf.DUMMYFUNCTION("""COMPUTED_VALUE"""),0.0)</f>
        <v>0</v>
      </c>
      <c r="S281" s="6" t="str">
        <f>IFERROR(__xludf.DUMMYFUNCTION("""COMPUTED_VALUE""")," ")</f>
        <v> </v>
      </c>
      <c r="T281" s="6" t="str">
        <f>IFERROR(__xludf.DUMMYFUNCTION("""COMPUTED_VALUE"""),"")</f>
        <v/>
      </c>
      <c r="U281" s="6" t="str">
        <f>IFERROR(__xludf.DUMMYFUNCTION("""COMPUTED_VALUE"""),"6")</f>
        <v>6</v>
      </c>
      <c r="V281" s="6" t="str">
        <f>IFERROR(__xludf.DUMMYFUNCTION("""COMPUTED_VALUE"""),"")</f>
        <v/>
      </c>
      <c r="W281" s="6" t="str">
        <f>IFERROR(__xludf.DUMMYFUNCTION("""COMPUTED_VALUE"""),"[]")</f>
        <v>[]</v>
      </c>
      <c r="X281" s="6" t="str">
        <f>IFERROR(__xludf.DUMMYFUNCTION("""COMPUTED_VALUE"""),"Enrolled")</f>
        <v>Enrolled</v>
      </c>
    </row>
    <row r="282">
      <c r="A282" s="6" t="str">
        <f>IFERROR(__xludf.DUMMYFUNCTION("""COMPUTED_VALUE"""),"000-5608")</f>
        <v>000-5608</v>
      </c>
      <c r="B282" s="6" t="str">
        <f>IFERROR(__xludf.DUMMYFUNCTION("""COMPUTED_VALUE"""),"0")</f>
        <v>0</v>
      </c>
      <c r="C282" s="6" t="str">
        <f>IFERROR(__xludf.DUMMYFUNCTION("""COMPUTED_VALUE"""),"5608")</f>
        <v>5608</v>
      </c>
      <c r="D282" s="6" t="str">
        <f>IFERROR(__xludf.DUMMYFUNCTION("""COMPUTED_VALUE"""),"Solveig")</f>
        <v>Solveig</v>
      </c>
      <c r="E282" s="6" t="str">
        <f>IFERROR(__xludf.DUMMYFUNCTION("""COMPUTED_VALUE"""),"")</f>
        <v/>
      </c>
      <c r="F282" s="6" t="str">
        <f>IFERROR(__xludf.DUMMYFUNCTION("""COMPUTED_VALUE"""),"Johnson")</f>
        <v>Johnson</v>
      </c>
      <c r="G282" s="6" t="str">
        <f>IFERROR(__xludf.DUMMYFUNCTION("""COMPUTED_VALUE"""),"10/30/2016")</f>
        <v>10/30/2016</v>
      </c>
      <c r="H282" s="6" t="str">
        <f>IFERROR(__xludf.DUMMYFUNCTION("""COMPUTED_VALUE"""),"female")</f>
        <v>female</v>
      </c>
      <c r="I282" s="6" t="str">
        <f>IFERROR(__xludf.DUMMYFUNCTION("""COMPUTED_VALUE"""),"Level 1")</f>
        <v>Level 1</v>
      </c>
      <c r="J282" s="6" t="str">
        <f>IFERROR(__xludf.DUMMYFUNCTION("""COMPUTED_VALUE"""),"3")</f>
        <v>3</v>
      </c>
      <c r="K282" s="6" t="str">
        <f>IFERROR(__xludf.DUMMYFUNCTION("""COMPUTED_VALUE"""),"solveig.johnson@2hourlearning.com")</f>
        <v>solveig.johnson@2hourlearning.com</v>
      </c>
      <c r="L282" s="6" t="str">
        <f>IFERROR(__xludf.DUMMYFUNCTION("""COMPUTED_VALUE"""),"Alpha Anywhere (homeschool)")</f>
        <v>Alpha Anywhere (homeschool)</v>
      </c>
      <c r="M282" s="6" t="str">
        <f>IFERROR(__xludf.DUMMYFUNCTION("""COMPUTED_VALUE"""),"")</f>
        <v/>
      </c>
      <c r="N282" s="6" t="str">
        <f>IFERROR(__xludf.DUMMYFUNCTION("""COMPUTED_VALUE"""),"")</f>
        <v/>
      </c>
      <c r="O282" s="87" t="str">
        <f>IFERROR(__xludf.DUMMYFUNCTION("""COMPUTED_VALUE"""),"https://drive.google.com/drive/folders/10T2cTQHqEJZqE-st6uFKPoI?usp=share_link")</f>
        <v>https://drive.google.com/drive/folders/10T2cTQHqEJZqE-st6uFKPoI?usp=share_link</v>
      </c>
      <c r="P282" s="6" t="str">
        <f>IFERROR(__xludf.DUMMYFUNCTION("""COMPUTED_VALUE"""),"Solveig Johnson")</f>
        <v>Solveig Johnson</v>
      </c>
      <c r="Q282" s="6" t="str">
        <f>IFERROR(__xludf.DUMMYFUNCTION("""COMPUTED_VALUE"""),"L1")</f>
        <v>L1</v>
      </c>
      <c r="R282" s="6">
        <f>IFERROR(__xludf.DUMMYFUNCTION("""COMPUTED_VALUE"""),1.0)</f>
        <v>1</v>
      </c>
      <c r="S282" s="6" t="str">
        <f>IFERROR(__xludf.DUMMYFUNCTION("""COMPUTED_VALUE""")," ")</f>
        <v> </v>
      </c>
      <c r="T282" s="6" t="str">
        <f>IFERROR(__xludf.DUMMYFUNCTION("""COMPUTED_VALUE"""),"")</f>
        <v/>
      </c>
      <c r="U282" s="6" t="str">
        <f>IFERROR(__xludf.DUMMYFUNCTION("""COMPUTED_VALUE"""),"3")</f>
        <v>3</v>
      </c>
      <c r="V282" s="6" t="str">
        <f>IFERROR(__xludf.DUMMYFUNCTION("""COMPUTED_VALUE"""),"")</f>
        <v/>
      </c>
      <c r="W282" s="6" t="str">
        <f>IFERROR(__xludf.DUMMYFUNCTION("""COMPUTED_VALUE"""),"[]")</f>
        <v>[]</v>
      </c>
      <c r="X282" s="6" t="str">
        <f>IFERROR(__xludf.DUMMYFUNCTION("""COMPUTED_VALUE"""),"Enrolled")</f>
        <v>Enrolled</v>
      </c>
    </row>
    <row r="283">
      <c r="A283" s="6" t="str">
        <f>IFERROR(__xludf.DUMMYFUNCTION("""COMPUTED_VALUE"""),"000-5609")</f>
        <v>000-5609</v>
      </c>
      <c r="B283" s="6" t="str">
        <f>IFERROR(__xludf.DUMMYFUNCTION("""COMPUTED_VALUE"""),"0")</f>
        <v>0</v>
      </c>
      <c r="C283" s="6" t="str">
        <f>IFERROR(__xludf.DUMMYFUNCTION("""COMPUTED_VALUE"""),"5609")</f>
        <v>5609</v>
      </c>
      <c r="D283" s="6" t="str">
        <f>IFERROR(__xludf.DUMMYFUNCTION("""COMPUTED_VALUE"""),"Ingrid")</f>
        <v>Ingrid</v>
      </c>
      <c r="E283" s="6" t="str">
        <f>IFERROR(__xludf.DUMMYFUNCTION("""COMPUTED_VALUE"""),"Ingrid")</f>
        <v>Ingrid</v>
      </c>
      <c r="F283" s="6" t="str">
        <f>IFERROR(__xludf.DUMMYFUNCTION("""COMPUTED_VALUE"""),"Johnson")</f>
        <v>Johnson</v>
      </c>
      <c r="G283" s="6" t="str">
        <f>IFERROR(__xludf.DUMMYFUNCTION("""COMPUTED_VALUE"""),"02/26/2018")</f>
        <v>02/26/2018</v>
      </c>
      <c r="H283" s="6" t="str">
        <f>IFERROR(__xludf.DUMMYFUNCTION("""COMPUTED_VALUE"""),"female")</f>
        <v>female</v>
      </c>
      <c r="I283" s="6" t="str">
        <f>IFERROR(__xludf.DUMMYFUNCTION("""COMPUTED_VALUE"""),"Level 1")</f>
        <v>Level 1</v>
      </c>
      <c r="J283" s="6" t="str">
        <f>IFERROR(__xludf.DUMMYFUNCTION("""COMPUTED_VALUE"""),"2")</f>
        <v>2</v>
      </c>
      <c r="K283" s="6" t="str">
        <f>IFERROR(__xludf.DUMMYFUNCTION("""COMPUTED_VALUE"""),"ingrid.johnson@2hourlearning.com")</f>
        <v>ingrid.johnson@2hourlearning.com</v>
      </c>
      <c r="L283" s="6" t="str">
        <f>IFERROR(__xludf.DUMMYFUNCTION("""COMPUTED_VALUE"""),"Alpha Anywhere (homeschool)")</f>
        <v>Alpha Anywhere (homeschool)</v>
      </c>
      <c r="M283" s="6" t="str">
        <f>IFERROR(__xludf.DUMMYFUNCTION("""COMPUTED_VALUE"""),"")</f>
        <v/>
      </c>
      <c r="N283" s="6" t="str">
        <f>IFERROR(__xludf.DUMMYFUNCTION("""COMPUTED_VALUE"""),"")</f>
        <v/>
      </c>
      <c r="O283" s="87" t="str">
        <f>IFERROR(__xludf.DUMMYFUNCTION("""COMPUTED_VALUE"""),"https://drive.google.com/drive/folders/10T2cTQHqEJZqE-st6uFKPoI?usp=share_link")</f>
        <v>https://drive.google.com/drive/folders/10T2cTQHqEJZqE-st6uFKPoI?usp=share_link</v>
      </c>
      <c r="P283" s="6" t="str">
        <f>IFERROR(__xludf.DUMMYFUNCTION("""COMPUTED_VALUE"""),"Ingrid Johnson")</f>
        <v>Ingrid Johnson</v>
      </c>
      <c r="Q283" s="6" t="str">
        <f>IFERROR(__xludf.DUMMYFUNCTION("""COMPUTED_VALUE"""),"L1")</f>
        <v>L1</v>
      </c>
      <c r="R283" s="6">
        <f>IFERROR(__xludf.DUMMYFUNCTION("""COMPUTED_VALUE"""),1.0)</f>
        <v>1</v>
      </c>
      <c r="S283" s="6" t="str">
        <f>IFERROR(__xludf.DUMMYFUNCTION("""COMPUTED_VALUE""")," ")</f>
        <v> </v>
      </c>
      <c r="T283" s="6" t="str">
        <f>IFERROR(__xludf.DUMMYFUNCTION("""COMPUTED_VALUE"""),"")</f>
        <v/>
      </c>
      <c r="U283" s="6" t="str">
        <f>IFERROR(__xludf.DUMMYFUNCTION("""COMPUTED_VALUE"""),"2")</f>
        <v>2</v>
      </c>
      <c r="V283" s="6" t="str">
        <f>IFERROR(__xludf.DUMMYFUNCTION("""COMPUTED_VALUE"""),"")</f>
        <v/>
      </c>
      <c r="W283" s="6" t="str">
        <f>IFERROR(__xludf.DUMMYFUNCTION("""COMPUTED_VALUE"""),"[]")</f>
        <v>[]</v>
      </c>
      <c r="X283" s="6" t="str">
        <f>IFERROR(__xludf.DUMMYFUNCTION("""COMPUTED_VALUE"""),"Enrolled")</f>
        <v>Enrolled</v>
      </c>
    </row>
    <row r="284">
      <c r="A284" s="6" t="str">
        <f>IFERROR(__xludf.DUMMYFUNCTION("""COMPUTED_VALUE"""),"000-5611")</f>
        <v>000-5611</v>
      </c>
      <c r="B284" s="6" t="str">
        <f>IFERROR(__xludf.DUMMYFUNCTION("""COMPUTED_VALUE"""),"0")</f>
        <v>0</v>
      </c>
      <c r="C284" s="6" t="str">
        <f>IFERROR(__xludf.DUMMYFUNCTION("""COMPUTED_VALUE"""),"5611")</f>
        <v>5611</v>
      </c>
      <c r="D284" s="6" t="str">
        <f>IFERROR(__xludf.DUMMYFUNCTION("""COMPUTED_VALUE"""),"Collin")</f>
        <v>Collin</v>
      </c>
      <c r="E284" s="6" t="str">
        <f>IFERROR(__xludf.DUMMYFUNCTION("""COMPUTED_VALUE"""),"")</f>
        <v/>
      </c>
      <c r="F284" s="6" t="str">
        <f>IFERROR(__xludf.DUMMYFUNCTION("""COMPUTED_VALUE"""),"Webb")</f>
        <v>Webb</v>
      </c>
      <c r="G284" s="6" t="str">
        <f>IFERROR(__xludf.DUMMYFUNCTION("""COMPUTED_VALUE"""),"11/05/2012")</f>
        <v>11/05/2012</v>
      </c>
      <c r="H284" s="6" t="str">
        <f>IFERROR(__xludf.DUMMYFUNCTION("""COMPUTED_VALUE"""),"male")</f>
        <v>male</v>
      </c>
      <c r="I284" s="6" t="str">
        <f>IFERROR(__xludf.DUMMYFUNCTION("""COMPUTED_VALUE"""),"Middle School")</f>
        <v>Middle School</v>
      </c>
      <c r="J284" s="6" t="str">
        <f>IFERROR(__xludf.DUMMYFUNCTION("""COMPUTED_VALUE"""),"7")</f>
        <v>7</v>
      </c>
      <c r="K284" s="6" t="str">
        <f>IFERROR(__xludf.DUMMYFUNCTION("""COMPUTED_VALUE"""),"collin.webb@2hourlearning.com")</f>
        <v>collin.webb@2hourlearning.com</v>
      </c>
      <c r="L284" s="6" t="str">
        <f>IFERROR(__xludf.DUMMYFUNCTION("""COMPUTED_VALUE"""),"Alpha Anywhere (homeschool)")</f>
        <v>Alpha Anywhere (homeschool)</v>
      </c>
      <c r="M284" s="6" t="str">
        <f>IFERROR(__xludf.DUMMYFUNCTION("""COMPUTED_VALUE"""),"")</f>
        <v/>
      </c>
      <c r="N284" s="6" t="str">
        <f>IFERROR(__xludf.DUMMYFUNCTION("""COMPUTED_VALUE"""),"")</f>
        <v/>
      </c>
      <c r="O284" s="87" t="str">
        <f>IFERROR(__xludf.DUMMYFUNCTION("""COMPUTED_VALUE"""),"https://drive.google.com/drive/folders/10T2cTQHqEJZqE-st6uFKPoI?usp=share_link")</f>
        <v>https://drive.google.com/drive/folders/10T2cTQHqEJZqE-st6uFKPoI?usp=share_link</v>
      </c>
      <c r="P284" s="6" t="str">
        <f>IFERROR(__xludf.DUMMYFUNCTION("""COMPUTED_VALUE"""),"Collin Webb")</f>
        <v>Collin Webb</v>
      </c>
      <c r="Q284" s="6" t="str">
        <f>IFERROR(__xludf.DUMMYFUNCTION("""COMPUTED_VALUE"""),"MS")</f>
        <v>MS</v>
      </c>
      <c r="R284" s="6">
        <f>IFERROR(__xludf.DUMMYFUNCTION("""COMPUTED_VALUE"""),0.0)</f>
        <v>0</v>
      </c>
      <c r="S284" s="6" t="str">
        <f>IFERROR(__xludf.DUMMYFUNCTION("""COMPUTED_VALUE""")," ")</f>
        <v> </v>
      </c>
      <c r="T284" s="6" t="str">
        <f>IFERROR(__xludf.DUMMYFUNCTION("""COMPUTED_VALUE"""),"")</f>
        <v/>
      </c>
      <c r="U284" s="6" t="str">
        <f>IFERROR(__xludf.DUMMYFUNCTION("""COMPUTED_VALUE"""),"7")</f>
        <v>7</v>
      </c>
      <c r="V284" s="6" t="str">
        <f>IFERROR(__xludf.DUMMYFUNCTION("""COMPUTED_VALUE"""),"")</f>
        <v/>
      </c>
      <c r="W284" s="6" t="str">
        <f>IFERROR(__xludf.DUMMYFUNCTION("""COMPUTED_VALUE"""),"[]")</f>
        <v>[]</v>
      </c>
      <c r="X284" s="6" t="str">
        <f>IFERROR(__xludf.DUMMYFUNCTION("""COMPUTED_VALUE"""),"Enrolled")</f>
        <v>Enrolled</v>
      </c>
    </row>
    <row r="285">
      <c r="A285" s="6" t="str">
        <f>IFERROR(__xludf.DUMMYFUNCTION("""COMPUTED_VALUE"""),"000-5616")</f>
        <v>000-5616</v>
      </c>
      <c r="B285" s="6" t="str">
        <f>IFERROR(__xludf.DUMMYFUNCTION("""COMPUTED_VALUE"""),"0")</f>
        <v>0</v>
      </c>
      <c r="C285" s="6" t="str">
        <f>IFERROR(__xludf.DUMMYFUNCTION("""COMPUTED_VALUE"""),"5616")</f>
        <v>5616</v>
      </c>
      <c r="D285" s="6" t="str">
        <f>IFERROR(__xludf.DUMMYFUNCTION("""COMPUTED_VALUE"""),"James")</f>
        <v>James</v>
      </c>
      <c r="E285" s="6" t="str">
        <f>IFERROR(__xludf.DUMMYFUNCTION("""COMPUTED_VALUE"""),"James")</f>
        <v>James</v>
      </c>
      <c r="F285" s="6" t="str">
        <f>IFERROR(__xludf.DUMMYFUNCTION("""COMPUTED_VALUE"""),"Aneed")</f>
        <v>Aneed</v>
      </c>
      <c r="G285" s="6" t="str">
        <f>IFERROR(__xludf.DUMMYFUNCTION("""COMPUTED_VALUE"""),"06/28/2016")</f>
        <v>06/28/2016</v>
      </c>
      <c r="H285" s="6" t="str">
        <f>IFERROR(__xludf.DUMMYFUNCTION("""COMPUTED_VALUE"""),"male")</f>
        <v>male</v>
      </c>
      <c r="I285" s="6" t="str">
        <f>IFERROR(__xludf.DUMMYFUNCTION("""COMPUTED_VALUE"""),"Level 1")</f>
        <v>Level 1</v>
      </c>
      <c r="J285" s="6" t="str">
        <f>IFERROR(__xludf.DUMMYFUNCTION("""COMPUTED_VALUE"""),"3")</f>
        <v>3</v>
      </c>
      <c r="K285" s="6" t="str">
        <f>IFERROR(__xludf.DUMMYFUNCTION("""COMPUTED_VALUE"""),"james.aneed@2hourlearning.com")</f>
        <v>james.aneed@2hourlearning.com</v>
      </c>
      <c r="L285" s="6" t="str">
        <f>IFERROR(__xludf.DUMMYFUNCTION("""COMPUTED_VALUE"""),"Alpha Anywhere (homeschool)")</f>
        <v>Alpha Anywhere (homeschool)</v>
      </c>
      <c r="M285" s="6" t="str">
        <f>IFERROR(__xludf.DUMMYFUNCTION("""COMPUTED_VALUE"""),"")</f>
        <v/>
      </c>
      <c r="N285" s="6" t="str">
        <f>IFERROR(__xludf.DUMMYFUNCTION("""COMPUTED_VALUE"""),"")</f>
        <v/>
      </c>
      <c r="O285" s="87" t="str">
        <f>IFERROR(__xludf.DUMMYFUNCTION("""COMPUTED_VALUE"""),"https://drive.google.com/drive/folders/10T2cTQHqEJZqE-st6uFKPoI?usp=share_link")</f>
        <v>https://drive.google.com/drive/folders/10T2cTQHqEJZqE-st6uFKPoI?usp=share_link</v>
      </c>
      <c r="P285" s="6" t="str">
        <f>IFERROR(__xludf.DUMMYFUNCTION("""COMPUTED_VALUE"""),"James Aneed")</f>
        <v>James Aneed</v>
      </c>
      <c r="Q285" s="6" t="str">
        <f>IFERROR(__xludf.DUMMYFUNCTION("""COMPUTED_VALUE"""),"L1")</f>
        <v>L1</v>
      </c>
      <c r="R285" s="6">
        <f>IFERROR(__xludf.DUMMYFUNCTION("""COMPUTED_VALUE"""),1.0)</f>
        <v>1</v>
      </c>
      <c r="S285" s="6" t="str">
        <f>IFERROR(__xludf.DUMMYFUNCTION("""COMPUTED_VALUE""")," ")</f>
        <v> </v>
      </c>
      <c r="T285" s="6" t="str">
        <f>IFERROR(__xludf.DUMMYFUNCTION("""COMPUTED_VALUE"""),"")</f>
        <v/>
      </c>
      <c r="U285" s="6" t="str">
        <f>IFERROR(__xludf.DUMMYFUNCTION("""COMPUTED_VALUE"""),"3")</f>
        <v>3</v>
      </c>
      <c r="V285" s="6" t="str">
        <f>IFERROR(__xludf.DUMMYFUNCTION("""COMPUTED_VALUE"""),"")</f>
        <v/>
      </c>
      <c r="W285" s="6" t="str">
        <f>IFERROR(__xludf.DUMMYFUNCTION("""COMPUTED_VALUE"""),"[]")</f>
        <v>[]</v>
      </c>
      <c r="X285" s="6" t="str">
        <f>IFERROR(__xludf.DUMMYFUNCTION("""COMPUTED_VALUE"""),"Enrolled")</f>
        <v>Enrolled</v>
      </c>
    </row>
    <row r="286">
      <c r="A286" s="6" t="str">
        <f>IFERROR(__xludf.DUMMYFUNCTION("""COMPUTED_VALUE"""),"000-5618")</f>
        <v>000-5618</v>
      </c>
      <c r="B286" s="6" t="str">
        <f>IFERROR(__xludf.DUMMYFUNCTION("""COMPUTED_VALUE"""),"0")</f>
        <v>0</v>
      </c>
      <c r="C286" s="6" t="str">
        <f>IFERROR(__xludf.DUMMYFUNCTION("""COMPUTED_VALUE"""),"5618")</f>
        <v>5618</v>
      </c>
      <c r="D286" s="6" t="str">
        <f>IFERROR(__xludf.DUMMYFUNCTION("""COMPUTED_VALUE"""),"Lucas")</f>
        <v>Lucas</v>
      </c>
      <c r="E286" s="6" t="str">
        <f>IFERROR(__xludf.DUMMYFUNCTION("""COMPUTED_VALUE"""),"Lucas")</f>
        <v>Lucas</v>
      </c>
      <c r="F286" s="6" t="str">
        <f>IFERROR(__xludf.DUMMYFUNCTION("""COMPUTED_VALUE"""),"Szender")</f>
        <v>Szender</v>
      </c>
      <c r="G286" s="6" t="str">
        <f>IFERROR(__xludf.DUMMYFUNCTION("""COMPUTED_VALUE"""),"11/16/2016")</f>
        <v>11/16/2016</v>
      </c>
      <c r="H286" s="6" t="str">
        <f>IFERROR(__xludf.DUMMYFUNCTION("""COMPUTED_VALUE"""),"male")</f>
        <v>male</v>
      </c>
      <c r="I286" s="6" t="str">
        <f>IFERROR(__xludf.DUMMYFUNCTION("""COMPUTED_VALUE"""),"Level 1")</f>
        <v>Level 1</v>
      </c>
      <c r="J286" s="6" t="str">
        <f>IFERROR(__xludf.DUMMYFUNCTION("""COMPUTED_VALUE"""),"3")</f>
        <v>3</v>
      </c>
      <c r="K286" s="6" t="str">
        <f>IFERROR(__xludf.DUMMYFUNCTION("""COMPUTED_VALUE"""),"lucas.szender@2hourlearning.com")</f>
        <v>lucas.szender@2hourlearning.com</v>
      </c>
      <c r="L286" s="6" t="str">
        <f>IFERROR(__xludf.DUMMYFUNCTION("""COMPUTED_VALUE"""),"Alpha Anywhere (homeschool)")</f>
        <v>Alpha Anywhere (homeschool)</v>
      </c>
      <c r="M286" s="6" t="str">
        <f>IFERROR(__xludf.DUMMYFUNCTION("""COMPUTED_VALUE"""),"")</f>
        <v/>
      </c>
      <c r="N286" s="6" t="str">
        <f>IFERROR(__xludf.DUMMYFUNCTION("""COMPUTED_VALUE"""),"")</f>
        <v/>
      </c>
      <c r="O286" s="87" t="str">
        <f>IFERROR(__xludf.DUMMYFUNCTION("""COMPUTED_VALUE"""),"https://drive.google.com/drive/folders/10T2cTQHqEJZqE-st6uFKPoI?usp=share_link")</f>
        <v>https://drive.google.com/drive/folders/10T2cTQHqEJZqE-st6uFKPoI?usp=share_link</v>
      </c>
      <c r="P286" s="6" t="str">
        <f>IFERROR(__xludf.DUMMYFUNCTION("""COMPUTED_VALUE"""),"Lucas Szender")</f>
        <v>Lucas Szender</v>
      </c>
      <c r="Q286" s="6" t="str">
        <f>IFERROR(__xludf.DUMMYFUNCTION("""COMPUTED_VALUE"""),"L1")</f>
        <v>L1</v>
      </c>
      <c r="R286" s="6">
        <f>IFERROR(__xludf.DUMMYFUNCTION("""COMPUTED_VALUE"""),1.0)</f>
        <v>1</v>
      </c>
      <c r="S286" s="6" t="str">
        <f>IFERROR(__xludf.DUMMYFUNCTION("""COMPUTED_VALUE""")," ")</f>
        <v> </v>
      </c>
      <c r="T286" s="6" t="str">
        <f>IFERROR(__xludf.DUMMYFUNCTION("""COMPUTED_VALUE"""),"")</f>
        <v/>
      </c>
      <c r="U286" s="6" t="str">
        <f>IFERROR(__xludf.DUMMYFUNCTION("""COMPUTED_VALUE"""),"3")</f>
        <v>3</v>
      </c>
      <c r="V286" s="6" t="str">
        <f>IFERROR(__xludf.DUMMYFUNCTION("""COMPUTED_VALUE"""),"")</f>
        <v/>
      </c>
      <c r="W286" s="6" t="str">
        <f>IFERROR(__xludf.DUMMYFUNCTION("""COMPUTED_VALUE"""),"[]")</f>
        <v>[]</v>
      </c>
      <c r="X286" s="6" t="str">
        <f>IFERROR(__xludf.DUMMYFUNCTION("""COMPUTED_VALUE"""),"Enrolled")</f>
        <v>Enrolled</v>
      </c>
    </row>
    <row r="287">
      <c r="A287" s="6" t="str">
        <f>IFERROR(__xludf.DUMMYFUNCTION("""COMPUTED_VALUE"""),"000-5639")</f>
        <v>000-5639</v>
      </c>
      <c r="B287" s="6" t="str">
        <f>IFERROR(__xludf.DUMMYFUNCTION("""COMPUTED_VALUE"""),"0")</f>
        <v>0</v>
      </c>
      <c r="C287" s="6" t="str">
        <f>IFERROR(__xludf.DUMMYFUNCTION("""COMPUTED_VALUE"""),"5639")</f>
        <v>5639</v>
      </c>
      <c r="D287" s="6" t="str">
        <f>IFERROR(__xludf.DUMMYFUNCTION("""COMPUTED_VALUE"""),"Zenovia")</f>
        <v>Zenovia</v>
      </c>
      <c r="E287" s="6" t="str">
        <f>IFERROR(__xludf.DUMMYFUNCTION("""COMPUTED_VALUE"""),"Zenovia")</f>
        <v>Zenovia</v>
      </c>
      <c r="F287" s="6" t="str">
        <f>IFERROR(__xludf.DUMMYFUNCTION("""COMPUTED_VALUE"""),"Lindsay")</f>
        <v>Lindsay</v>
      </c>
      <c r="G287" s="6" t="str">
        <f>IFERROR(__xludf.DUMMYFUNCTION("""COMPUTED_VALUE"""),"12/26/2016")</f>
        <v>12/26/2016</v>
      </c>
      <c r="H287" s="6" t="str">
        <f>IFERROR(__xludf.DUMMYFUNCTION("""COMPUTED_VALUE"""),"female")</f>
        <v>female</v>
      </c>
      <c r="I287" s="6" t="str">
        <f>IFERROR(__xludf.DUMMYFUNCTION("""COMPUTED_VALUE"""),"Level 1")</f>
        <v>Level 1</v>
      </c>
      <c r="J287" s="6" t="str">
        <f>IFERROR(__xludf.DUMMYFUNCTION("""COMPUTED_VALUE"""),"3")</f>
        <v>3</v>
      </c>
      <c r="K287" s="6" t="str">
        <f>IFERROR(__xludf.DUMMYFUNCTION("""COMPUTED_VALUE"""),"zenovia.lindsay@2hourlearning.com")</f>
        <v>zenovia.lindsay@2hourlearning.com</v>
      </c>
      <c r="L287" s="6" t="str">
        <f>IFERROR(__xludf.DUMMYFUNCTION("""COMPUTED_VALUE"""),"Alpha Anywhere (homeschool)")</f>
        <v>Alpha Anywhere (homeschool)</v>
      </c>
      <c r="M287" s="6" t="str">
        <f>IFERROR(__xludf.DUMMYFUNCTION("""COMPUTED_VALUE"""),"")</f>
        <v/>
      </c>
      <c r="N287" s="6" t="str">
        <f>IFERROR(__xludf.DUMMYFUNCTION("""COMPUTED_VALUE"""),"")</f>
        <v/>
      </c>
      <c r="O287" s="87" t="str">
        <f>IFERROR(__xludf.DUMMYFUNCTION("""COMPUTED_VALUE"""),"https://drive.google.com/drive/folders/10T2cTQHqEJZqE-st6uFKPoI?usp=share_link")</f>
        <v>https://drive.google.com/drive/folders/10T2cTQHqEJZqE-st6uFKPoI?usp=share_link</v>
      </c>
      <c r="P287" s="6" t="str">
        <f>IFERROR(__xludf.DUMMYFUNCTION("""COMPUTED_VALUE"""),"Zenovia Lindsay")</f>
        <v>Zenovia Lindsay</v>
      </c>
      <c r="Q287" s="6" t="str">
        <f>IFERROR(__xludf.DUMMYFUNCTION("""COMPUTED_VALUE"""),"L1")</f>
        <v>L1</v>
      </c>
      <c r="R287" s="6">
        <f>IFERROR(__xludf.DUMMYFUNCTION("""COMPUTED_VALUE"""),1.0)</f>
        <v>1</v>
      </c>
      <c r="S287" s="6" t="str">
        <f>IFERROR(__xludf.DUMMYFUNCTION("""COMPUTED_VALUE""")," ")</f>
        <v> </v>
      </c>
      <c r="T287" s="6" t="str">
        <f>IFERROR(__xludf.DUMMYFUNCTION("""COMPUTED_VALUE"""),"")</f>
        <v/>
      </c>
      <c r="U287" s="6" t="str">
        <f>IFERROR(__xludf.DUMMYFUNCTION("""COMPUTED_VALUE"""),"3")</f>
        <v>3</v>
      </c>
      <c r="V287" s="6" t="str">
        <f>IFERROR(__xludf.DUMMYFUNCTION("""COMPUTED_VALUE"""),"")</f>
        <v/>
      </c>
      <c r="W287" s="6" t="str">
        <f>IFERROR(__xludf.DUMMYFUNCTION("""COMPUTED_VALUE"""),"[]")</f>
        <v>[]</v>
      </c>
      <c r="X287" s="6" t="str">
        <f>IFERROR(__xludf.DUMMYFUNCTION("""COMPUTED_VALUE"""),"Enrolled")</f>
        <v>Enrolled</v>
      </c>
    </row>
    <row r="288">
      <c r="A288" s="6" t="str">
        <f>IFERROR(__xludf.DUMMYFUNCTION("""COMPUTED_VALUE"""),"000-5645")</f>
        <v>000-5645</v>
      </c>
      <c r="B288" s="6" t="str">
        <f>IFERROR(__xludf.DUMMYFUNCTION("""COMPUTED_VALUE"""),"0")</f>
        <v>0</v>
      </c>
      <c r="C288" s="6" t="str">
        <f>IFERROR(__xludf.DUMMYFUNCTION("""COMPUTED_VALUE"""),"5645")</f>
        <v>5645</v>
      </c>
      <c r="D288" s="6" t="str">
        <f>IFERROR(__xludf.DUMMYFUNCTION("""COMPUTED_VALUE"""),"Isabella")</f>
        <v>Isabella</v>
      </c>
      <c r="E288" s="6" t="str">
        <f>IFERROR(__xludf.DUMMYFUNCTION("""COMPUTED_VALUE"""),"Bella")</f>
        <v>Bella</v>
      </c>
      <c r="F288" s="6" t="str">
        <f>IFERROR(__xludf.DUMMYFUNCTION("""COMPUTED_VALUE"""),"teitelbaum")</f>
        <v>teitelbaum</v>
      </c>
      <c r="G288" s="6" t="str">
        <f>IFERROR(__xludf.DUMMYFUNCTION("""COMPUTED_VALUE"""),"10/10/2011")</f>
        <v>10/10/2011</v>
      </c>
      <c r="H288" s="6" t="str">
        <f>IFERROR(__xludf.DUMMYFUNCTION("""COMPUTED_VALUE"""),"female")</f>
        <v>female</v>
      </c>
      <c r="I288" s="6" t="str">
        <f>IFERROR(__xludf.DUMMYFUNCTION("""COMPUTED_VALUE"""),"Middle School")</f>
        <v>Middle School</v>
      </c>
      <c r="J288" s="6" t="str">
        <f>IFERROR(__xludf.DUMMYFUNCTION("""COMPUTED_VALUE"""),"8")</f>
        <v>8</v>
      </c>
      <c r="K288" s="6" t="str">
        <f>IFERROR(__xludf.DUMMYFUNCTION("""COMPUTED_VALUE"""),"bella.teitelbaum@2hourlearning.com")</f>
        <v>bella.teitelbaum@2hourlearning.com</v>
      </c>
      <c r="L288" s="6" t="str">
        <f>IFERROR(__xludf.DUMMYFUNCTION("""COMPUTED_VALUE"""),"Alpha Anywhere (homeschool)")</f>
        <v>Alpha Anywhere (homeschool)</v>
      </c>
      <c r="M288" s="6" t="str">
        <f>IFERROR(__xludf.DUMMYFUNCTION("""COMPUTED_VALUE"""),"")</f>
        <v/>
      </c>
      <c r="N288" s="6" t="str">
        <f>IFERROR(__xludf.DUMMYFUNCTION("""COMPUTED_VALUE"""),"")</f>
        <v/>
      </c>
      <c r="O288" s="87" t="str">
        <f>IFERROR(__xludf.DUMMYFUNCTION("""COMPUTED_VALUE"""),"https://drive.google.com/drive/folders/10T2cTQHqEJZqE-st6uFKPoI?usp=share_link")</f>
        <v>https://drive.google.com/drive/folders/10T2cTQHqEJZqE-st6uFKPoI?usp=share_link</v>
      </c>
      <c r="P288" s="6" t="str">
        <f>IFERROR(__xludf.DUMMYFUNCTION("""COMPUTED_VALUE"""),"Bella teitelbaum")</f>
        <v>Bella teitelbaum</v>
      </c>
      <c r="Q288" s="6" t="str">
        <f>IFERROR(__xludf.DUMMYFUNCTION("""COMPUTED_VALUE"""),"MS")</f>
        <v>MS</v>
      </c>
      <c r="R288" s="6">
        <f>IFERROR(__xludf.DUMMYFUNCTION("""COMPUTED_VALUE"""),0.0)</f>
        <v>0</v>
      </c>
      <c r="S288" s="6" t="str">
        <f>IFERROR(__xludf.DUMMYFUNCTION("""COMPUTED_VALUE""")," ")</f>
        <v> </v>
      </c>
      <c r="T288" s="6" t="str">
        <f>IFERROR(__xludf.DUMMYFUNCTION("""COMPUTED_VALUE"""),"")</f>
        <v/>
      </c>
      <c r="U288" s="6" t="str">
        <f>IFERROR(__xludf.DUMMYFUNCTION("""COMPUTED_VALUE"""),"8")</f>
        <v>8</v>
      </c>
      <c r="V288" s="6" t="str">
        <f>IFERROR(__xludf.DUMMYFUNCTION("""COMPUTED_VALUE"""),"")</f>
        <v/>
      </c>
      <c r="W288" s="6" t="str">
        <f>IFERROR(__xludf.DUMMYFUNCTION("""COMPUTED_VALUE"""),"[]")</f>
        <v>[]</v>
      </c>
      <c r="X288" s="6" t="str">
        <f>IFERROR(__xludf.DUMMYFUNCTION("""COMPUTED_VALUE"""),"Enrolled")</f>
        <v>Enrolled</v>
      </c>
    </row>
    <row r="289">
      <c r="A289" s="6" t="str">
        <f>IFERROR(__xludf.DUMMYFUNCTION("""COMPUTED_VALUE"""),"000-5654")</f>
        <v>000-5654</v>
      </c>
      <c r="B289" s="6" t="str">
        <f>IFERROR(__xludf.DUMMYFUNCTION("""COMPUTED_VALUE"""),"0")</f>
        <v>0</v>
      </c>
      <c r="C289" s="6" t="str">
        <f>IFERROR(__xludf.DUMMYFUNCTION("""COMPUTED_VALUE"""),"5654")</f>
        <v>5654</v>
      </c>
      <c r="D289" s="6" t="str">
        <f>IFERROR(__xludf.DUMMYFUNCTION("""COMPUTED_VALUE"""),"Kylie")</f>
        <v>Kylie</v>
      </c>
      <c r="E289" s="6" t="str">
        <f>IFERROR(__xludf.DUMMYFUNCTION("""COMPUTED_VALUE"""),"")</f>
        <v/>
      </c>
      <c r="F289" s="6" t="str">
        <f>IFERROR(__xludf.DUMMYFUNCTION("""COMPUTED_VALUE"""),"Trojanowski")</f>
        <v>Trojanowski</v>
      </c>
      <c r="G289" s="6" t="str">
        <f>IFERROR(__xludf.DUMMYFUNCTION("""COMPUTED_VALUE"""),"07/02/2015")</f>
        <v>07/02/2015</v>
      </c>
      <c r="H289" s="6" t="str">
        <f>IFERROR(__xludf.DUMMYFUNCTION("""COMPUTED_VALUE"""),"female")</f>
        <v>female</v>
      </c>
      <c r="I289" s="6" t="str">
        <f>IFERROR(__xludf.DUMMYFUNCTION("""COMPUTED_VALUE"""),"Level 2")</f>
        <v>Level 2</v>
      </c>
      <c r="J289" s="6" t="str">
        <f>IFERROR(__xludf.DUMMYFUNCTION("""COMPUTED_VALUE"""),"5")</f>
        <v>5</v>
      </c>
      <c r="K289" s="6" t="str">
        <f>IFERROR(__xludf.DUMMYFUNCTION("""COMPUTED_VALUE"""),"kylie.trojanowski@2hourlearning.com")</f>
        <v>kylie.trojanowski@2hourlearning.com</v>
      </c>
      <c r="L289" s="6" t="str">
        <f>IFERROR(__xludf.DUMMYFUNCTION("""COMPUTED_VALUE"""),"Alpha Anywhere (homeschool)")</f>
        <v>Alpha Anywhere (homeschool)</v>
      </c>
      <c r="M289" s="6" t="str">
        <f>IFERROR(__xludf.DUMMYFUNCTION("""COMPUTED_VALUE"""),"")</f>
        <v/>
      </c>
      <c r="N289" s="6" t="str">
        <f>IFERROR(__xludf.DUMMYFUNCTION("""COMPUTED_VALUE"""),"")</f>
        <v/>
      </c>
      <c r="O289" s="87" t="str">
        <f>IFERROR(__xludf.DUMMYFUNCTION("""COMPUTED_VALUE"""),"https://drive.google.com/drive/folders/10T2cTQHqEJZqE-st6uFKPoI?usp=share_link")</f>
        <v>https://drive.google.com/drive/folders/10T2cTQHqEJZqE-st6uFKPoI?usp=share_link</v>
      </c>
      <c r="P289" s="6" t="str">
        <f>IFERROR(__xludf.DUMMYFUNCTION("""COMPUTED_VALUE"""),"Kylie Trojanowski")</f>
        <v>Kylie Trojanowski</v>
      </c>
      <c r="Q289" s="6" t="str">
        <f>IFERROR(__xludf.DUMMYFUNCTION("""COMPUTED_VALUE"""),"L2")</f>
        <v>L2</v>
      </c>
      <c r="R289" s="6">
        <f>IFERROR(__xludf.DUMMYFUNCTION("""COMPUTED_VALUE"""),2.0)</f>
        <v>2</v>
      </c>
      <c r="S289" s="6" t="str">
        <f>IFERROR(__xludf.DUMMYFUNCTION("""COMPUTED_VALUE""")," ")</f>
        <v> </v>
      </c>
      <c r="T289" s="6" t="str">
        <f>IFERROR(__xludf.DUMMYFUNCTION("""COMPUTED_VALUE"""),"")</f>
        <v/>
      </c>
      <c r="U289" s="6" t="str">
        <f>IFERROR(__xludf.DUMMYFUNCTION("""COMPUTED_VALUE"""),"5")</f>
        <v>5</v>
      </c>
      <c r="V289" s="6" t="str">
        <f>IFERROR(__xludf.DUMMYFUNCTION("""COMPUTED_VALUE"""),"")</f>
        <v/>
      </c>
      <c r="W289" s="6" t="str">
        <f>IFERROR(__xludf.DUMMYFUNCTION("""COMPUTED_VALUE"""),"[]")</f>
        <v>[]</v>
      </c>
      <c r="X289" s="6" t="str">
        <f>IFERROR(__xludf.DUMMYFUNCTION("""COMPUTED_VALUE"""),"Enrolled")</f>
        <v>Enrolled</v>
      </c>
    </row>
    <row r="290">
      <c r="A290" s="6" t="str">
        <f>IFERROR(__xludf.DUMMYFUNCTION("""COMPUTED_VALUE"""),"000-5665")</f>
        <v>000-5665</v>
      </c>
      <c r="B290" s="6" t="str">
        <f>IFERROR(__xludf.DUMMYFUNCTION("""COMPUTED_VALUE"""),"0")</f>
        <v>0</v>
      </c>
      <c r="C290" s="6" t="str">
        <f>IFERROR(__xludf.DUMMYFUNCTION("""COMPUTED_VALUE"""),"5665")</f>
        <v>5665</v>
      </c>
      <c r="D290" s="6" t="str">
        <f>IFERROR(__xludf.DUMMYFUNCTION("""COMPUTED_VALUE"""),"Austin")</f>
        <v>Austin</v>
      </c>
      <c r="E290" s="6" t="str">
        <f>IFERROR(__xludf.DUMMYFUNCTION("""COMPUTED_VALUE"""),"")</f>
        <v/>
      </c>
      <c r="F290" s="6" t="str">
        <f>IFERROR(__xludf.DUMMYFUNCTION("""COMPUTED_VALUE"""),"Greene")</f>
        <v>Greene</v>
      </c>
      <c r="G290" s="6" t="str">
        <f>IFERROR(__xludf.DUMMYFUNCTION("""COMPUTED_VALUE"""),"08/30/2014")</f>
        <v>08/30/2014</v>
      </c>
      <c r="H290" s="6" t="str">
        <f>IFERROR(__xludf.DUMMYFUNCTION("""COMPUTED_VALUE"""),"male")</f>
        <v>male</v>
      </c>
      <c r="I290" s="6" t="str">
        <f>IFERROR(__xludf.DUMMYFUNCTION("""COMPUTED_VALUE"""),"Level 2")</f>
        <v>Level 2</v>
      </c>
      <c r="J290" s="6" t="str">
        <f>IFERROR(__xludf.DUMMYFUNCTION("""COMPUTED_VALUE"""),"5")</f>
        <v>5</v>
      </c>
      <c r="K290" s="6" t="str">
        <f>IFERROR(__xludf.DUMMYFUNCTION("""COMPUTED_VALUE"""),"austin.greene@2hourlearning.com")</f>
        <v>austin.greene@2hourlearning.com</v>
      </c>
      <c r="L290" s="6" t="str">
        <f>IFERROR(__xludf.DUMMYFUNCTION("""COMPUTED_VALUE"""),"Alpha Anywhere (homeschool)")</f>
        <v>Alpha Anywhere (homeschool)</v>
      </c>
      <c r="M290" s="6" t="str">
        <f>IFERROR(__xludf.DUMMYFUNCTION("""COMPUTED_VALUE"""),"")</f>
        <v/>
      </c>
      <c r="N290" s="6" t="str">
        <f>IFERROR(__xludf.DUMMYFUNCTION("""COMPUTED_VALUE"""),"")</f>
        <v/>
      </c>
      <c r="O290" s="87" t="str">
        <f>IFERROR(__xludf.DUMMYFUNCTION("""COMPUTED_VALUE"""),"https://drive.google.com/drive/folders/10T2cTQHqEJZqE-st6uFKPoI?usp=share_link")</f>
        <v>https://drive.google.com/drive/folders/10T2cTQHqEJZqE-st6uFKPoI?usp=share_link</v>
      </c>
      <c r="P290" s="6" t="str">
        <f>IFERROR(__xludf.DUMMYFUNCTION("""COMPUTED_VALUE"""),"Austin Greene")</f>
        <v>Austin Greene</v>
      </c>
      <c r="Q290" s="6" t="str">
        <f>IFERROR(__xludf.DUMMYFUNCTION("""COMPUTED_VALUE"""),"L2")</f>
        <v>L2</v>
      </c>
      <c r="R290" s="6">
        <f>IFERROR(__xludf.DUMMYFUNCTION("""COMPUTED_VALUE"""),2.0)</f>
        <v>2</v>
      </c>
      <c r="S290" s="6" t="str">
        <f>IFERROR(__xludf.DUMMYFUNCTION("""COMPUTED_VALUE""")," ")</f>
        <v> </v>
      </c>
      <c r="T290" s="6" t="str">
        <f>IFERROR(__xludf.DUMMYFUNCTION("""COMPUTED_VALUE"""),"")</f>
        <v/>
      </c>
      <c r="U290" s="6" t="str">
        <f>IFERROR(__xludf.DUMMYFUNCTION("""COMPUTED_VALUE"""),"5")</f>
        <v>5</v>
      </c>
      <c r="V290" s="6" t="str">
        <f>IFERROR(__xludf.DUMMYFUNCTION("""COMPUTED_VALUE"""),"")</f>
        <v/>
      </c>
      <c r="W290" s="6" t="str">
        <f>IFERROR(__xludf.DUMMYFUNCTION("""COMPUTED_VALUE"""),"[]")</f>
        <v>[]</v>
      </c>
      <c r="X290" s="6" t="str">
        <f>IFERROR(__xludf.DUMMYFUNCTION("""COMPUTED_VALUE"""),"Enrolled")</f>
        <v>Enrolled</v>
      </c>
    </row>
    <row r="291">
      <c r="A291" s="6" t="str">
        <f>IFERROR(__xludf.DUMMYFUNCTION("""COMPUTED_VALUE"""),"000-5666")</f>
        <v>000-5666</v>
      </c>
      <c r="B291" s="6" t="str">
        <f>IFERROR(__xludf.DUMMYFUNCTION("""COMPUTED_VALUE"""),"0")</f>
        <v>0</v>
      </c>
      <c r="C291" s="6" t="str">
        <f>IFERROR(__xludf.DUMMYFUNCTION("""COMPUTED_VALUE"""),"5666")</f>
        <v>5666</v>
      </c>
      <c r="D291" s="6" t="str">
        <f>IFERROR(__xludf.DUMMYFUNCTION("""COMPUTED_VALUE"""),"Ava")</f>
        <v>Ava</v>
      </c>
      <c r="E291" s="6" t="str">
        <f>IFERROR(__xludf.DUMMYFUNCTION("""COMPUTED_VALUE"""),"")</f>
        <v/>
      </c>
      <c r="F291" s="6" t="str">
        <f>IFERROR(__xludf.DUMMYFUNCTION("""COMPUTED_VALUE"""),"Greene")</f>
        <v>Greene</v>
      </c>
      <c r="G291" s="6" t="str">
        <f>IFERROR(__xludf.DUMMYFUNCTION("""COMPUTED_VALUE"""),"03/20/2016")</f>
        <v>03/20/2016</v>
      </c>
      <c r="H291" s="6" t="str">
        <f>IFERROR(__xludf.DUMMYFUNCTION("""COMPUTED_VALUE"""),"female")</f>
        <v>female</v>
      </c>
      <c r="I291" s="6" t="str">
        <f>IFERROR(__xludf.DUMMYFUNCTION("""COMPUTED_VALUE"""),"Level 2")</f>
        <v>Level 2</v>
      </c>
      <c r="J291" s="6" t="str">
        <f>IFERROR(__xludf.DUMMYFUNCTION("""COMPUTED_VALUE"""),"4")</f>
        <v>4</v>
      </c>
      <c r="K291" s="6" t="str">
        <f>IFERROR(__xludf.DUMMYFUNCTION("""COMPUTED_VALUE"""),"ava.greene@2hourlearning.com")</f>
        <v>ava.greene@2hourlearning.com</v>
      </c>
      <c r="L291" s="6" t="str">
        <f>IFERROR(__xludf.DUMMYFUNCTION("""COMPUTED_VALUE"""),"Alpha Anywhere (homeschool)")</f>
        <v>Alpha Anywhere (homeschool)</v>
      </c>
      <c r="M291" s="6" t="str">
        <f>IFERROR(__xludf.DUMMYFUNCTION("""COMPUTED_VALUE"""),"")</f>
        <v/>
      </c>
      <c r="N291" s="6" t="str">
        <f>IFERROR(__xludf.DUMMYFUNCTION("""COMPUTED_VALUE"""),"")</f>
        <v/>
      </c>
      <c r="O291" s="87" t="str">
        <f>IFERROR(__xludf.DUMMYFUNCTION("""COMPUTED_VALUE"""),"https://drive.google.com/drive/folders/10T2cTQHqEJZqE-st6uFKPoI?usp=share_link")</f>
        <v>https://drive.google.com/drive/folders/10T2cTQHqEJZqE-st6uFKPoI?usp=share_link</v>
      </c>
      <c r="P291" s="6" t="str">
        <f>IFERROR(__xludf.DUMMYFUNCTION("""COMPUTED_VALUE"""),"Ava Greene")</f>
        <v>Ava Greene</v>
      </c>
      <c r="Q291" s="6" t="str">
        <f>IFERROR(__xludf.DUMMYFUNCTION("""COMPUTED_VALUE"""),"L2")</f>
        <v>L2</v>
      </c>
      <c r="R291" s="6">
        <f>IFERROR(__xludf.DUMMYFUNCTION("""COMPUTED_VALUE"""),2.0)</f>
        <v>2</v>
      </c>
      <c r="S291" s="6" t="str">
        <f>IFERROR(__xludf.DUMMYFUNCTION("""COMPUTED_VALUE""")," ")</f>
        <v> </v>
      </c>
      <c r="T291" s="6" t="str">
        <f>IFERROR(__xludf.DUMMYFUNCTION("""COMPUTED_VALUE"""),"")</f>
        <v/>
      </c>
      <c r="U291" s="6" t="str">
        <f>IFERROR(__xludf.DUMMYFUNCTION("""COMPUTED_VALUE"""),"4")</f>
        <v>4</v>
      </c>
      <c r="V291" s="6" t="str">
        <f>IFERROR(__xludf.DUMMYFUNCTION("""COMPUTED_VALUE"""),"")</f>
        <v/>
      </c>
      <c r="W291" s="6" t="str">
        <f>IFERROR(__xludf.DUMMYFUNCTION("""COMPUTED_VALUE"""),"[]")</f>
        <v>[]</v>
      </c>
      <c r="X291" s="6" t="str">
        <f>IFERROR(__xludf.DUMMYFUNCTION("""COMPUTED_VALUE"""),"Enrolled")</f>
        <v>Enrolled</v>
      </c>
    </row>
    <row r="292">
      <c r="A292" s="6" t="str">
        <f>IFERROR(__xludf.DUMMYFUNCTION("""COMPUTED_VALUE"""),"000-5667")</f>
        <v>000-5667</v>
      </c>
      <c r="B292" s="6" t="str">
        <f>IFERROR(__xludf.DUMMYFUNCTION("""COMPUTED_VALUE"""),"0")</f>
        <v>0</v>
      </c>
      <c r="C292" s="6" t="str">
        <f>IFERROR(__xludf.DUMMYFUNCTION("""COMPUTED_VALUE"""),"5667")</f>
        <v>5667</v>
      </c>
      <c r="D292" s="6" t="str">
        <f>IFERROR(__xludf.DUMMYFUNCTION("""COMPUTED_VALUE"""),"Raiden")</f>
        <v>Raiden</v>
      </c>
      <c r="E292" s="6" t="str">
        <f>IFERROR(__xludf.DUMMYFUNCTION("""COMPUTED_VALUE"""),"")</f>
        <v/>
      </c>
      <c r="F292" s="6" t="str">
        <f>IFERROR(__xludf.DUMMYFUNCTION("""COMPUTED_VALUE"""),"Geater")</f>
        <v>Geater</v>
      </c>
      <c r="G292" s="6" t="str">
        <f>IFERROR(__xludf.DUMMYFUNCTION("""COMPUTED_VALUE"""),"03/16/2016")</f>
        <v>03/16/2016</v>
      </c>
      <c r="H292" s="6" t="str">
        <f>IFERROR(__xludf.DUMMYFUNCTION("""COMPUTED_VALUE"""),"male")</f>
        <v>male</v>
      </c>
      <c r="I292" s="6" t="str">
        <f>IFERROR(__xludf.DUMMYFUNCTION("""COMPUTED_VALUE"""),"Level 2")</f>
        <v>Level 2</v>
      </c>
      <c r="J292" s="6" t="str">
        <f>IFERROR(__xludf.DUMMYFUNCTION("""COMPUTED_VALUE"""),"5")</f>
        <v>5</v>
      </c>
      <c r="K292" s="6" t="str">
        <f>IFERROR(__xludf.DUMMYFUNCTION("""COMPUTED_VALUE"""),"raiden.geater@2hourlearning.com")</f>
        <v>raiden.geater@2hourlearning.com</v>
      </c>
      <c r="L292" s="6" t="str">
        <f>IFERROR(__xludf.DUMMYFUNCTION("""COMPUTED_VALUE"""),"Alpha Anywhere (homeschool)")</f>
        <v>Alpha Anywhere (homeschool)</v>
      </c>
      <c r="M292" s="6" t="str">
        <f>IFERROR(__xludf.DUMMYFUNCTION("""COMPUTED_VALUE"""),"")</f>
        <v/>
      </c>
      <c r="N292" s="6" t="str">
        <f>IFERROR(__xludf.DUMMYFUNCTION("""COMPUTED_VALUE"""),"")</f>
        <v/>
      </c>
      <c r="O292" s="87" t="str">
        <f>IFERROR(__xludf.DUMMYFUNCTION("""COMPUTED_VALUE"""),"https://drive.google.com/drive/folders/10T2cTQHqEJZqE-st6uFKPoI?usp=share_link")</f>
        <v>https://drive.google.com/drive/folders/10T2cTQHqEJZqE-st6uFKPoI?usp=share_link</v>
      </c>
      <c r="P292" s="6" t="str">
        <f>IFERROR(__xludf.DUMMYFUNCTION("""COMPUTED_VALUE"""),"Raiden Geater")</f>
        <v>Raiden Geater</v>
      </c>
      <c r="Q292" s="6" t="str">
        <f>IFERROR(__xludf.DUMMYFUNCTION("""COMPUTED_VALUE"""),"L2")</f>
        <v>L2</v>
      </c>
      <c r="R292" s="6">
        <f>IFERROR(__xludf.DUMMYFUNCTION("""COMPUTED_VALUE"""),2.0)</f>
        <v>2</v>
      </c>
      <c r="S292" s="6" t="str">
        <f>IFERROR(__xludf.DUMMYFUNCTION("""COMPUTED_VALUE""")," ")</f>
        <v> </v>
      </c>
      <c r="T292" s="6" t="str">
        <f>IFERROR(__xludf.DUMMYFUNCTION("""COMPUTED_VALUE"""),"")</f>
        <v/>
      </c>
      <c r="U292" s="6" t="str">
        <f>IFERROR(__xludf.DUMMYFUNCTION("""COMPUTED_VALUE"""),"5")</f>
        <v>5</v>
      </c>
      <c r="V292" s="6" t="str">
        <f>IFERROR(__xludf.DUMMYFUNCTION("""COMPUTED_VALUE"""),"")</f>
        <v/>
      </c>
      <c r="W292" s="6" t="str">
        <f>IFERROR(__xludf.DUMMYFUNCTION("""COMPUTED_VALUE"""),"[]")</f>
        <v>[]</v>
      </c>
      <c r="X292" s="6" t="str">
        <f>IFERROR(__xludf.DUMMYFUNCTION("""COMPUTED_VALUE"""),"Enrolled")</f>
        <v>Enrolled</v>
      </c>
    </row>
    <row r="293">
      <c r="A293" s="6" t="str">
        <f>IFERROR(__xludf.DUMMYFUNCTION("""COMPUTED_VALUE"""),"000-5670")</f>
        <v>000-5670</v>
      </c>
      <c r="B293" s="6" t="str">
        <f>IFERROR(__xludf.DUMMYFUNCTION("""COMPUTED_VALUE"""),"0")</f>
        <v>0</v>
      </c>
      <c r="C293" s="6" t="str">
        <f>IFERROR(__xludf.DUMMYFUNCTION("""COMPUTED_VALUE"""),"5670")</f>
        <v>5670</v>
      </c>
      <c r="D293" s="6" t="str">
        <f>IFERROR(__xludf.DUMMYFUNCTION("""COMPUTED_VALUE"""),"Brandon")</f>
        <v>Brandon</v>
      </c>
      <c r="E293" s="6" t="str">
        <f>IFERROR(__xludf.DUMMYFUNCTION("""COMPUTED_VALUE"""),"Brandon")</f>
        <v>Brandon</v>
      </c>
      <c r="F293" s="6" t="str">
        <f>IFERROR(__xludf.DUMMYFUNCTION("""COMPUTED_VALUE"""),"Young")</f>
        <v>Young</v>
      </c>
      <c r="G293" s="6" t="str">
        <f>IFERROR(__xludf.DUMMYFUNCTION("""COMPUTED_VALUE"""),"06/13/2010")</f>
        <v>06/13/2010</v>
      </c>
      <c r="H293" s="6" t="str">
        <f>IFERROR(__xludf.DUMMYFUNCTION("""COMPUTED_VALUE"""),"male")</f>
        <v>male</v>
      </c>
      <c r="I293" s="6" t="str">
        <f>IFERROR(__xludf.DUMMYFUNCTION("""COMPUTED_VALUE"""),"High School")</f>
        <v>High School</v>
      </c>
      <c r="J293" s="6" t="str">
        <f>IFERROR(__xludf.DUMMYFUNCTION("""COMPUTED_VALUE"""),"9")</f>
        <v>9</v>
      </c>
      <c r="K293" s="6" t="str">
        <f>IFERROR(__xludf.DUMMYFUNCTION("""COMPUTED_VALUE"""),"brandon.young@2hourlearning.com")</f>
        <v>brandon.young@2hourlearning.com</v>
      </c>
      <c r="L293" s="6" t="str">
        <f>IFERROR(__xludf.DUMMYFUNCTION("""COMPUTED_VALUE"""),"Alpha Anywhere (homeschool)")</f>
        <v>Alpha Anywhere (homeschool)</v>
      </c>
      <c r="M293" s="6" t="str">
        <f>IFERROR(__xludf.DUMMYFUNCTION("""COMPUTED_VALUE"""),"")</f>
        <v/>
      </c>
      <c r="N293" s="6" t="str">
        <f>IFERROR(__xludf.DUMMYFUNCTION("""COMPUTED_VALUE"""),"")</f>
        <v/>
      </c>
      <c r="O293" s="87" t="str">
        <f>IFERROR(__xludf.DUMMYFUNCTION("""COMPUTED_VALUE"""),"https://drive.google.com/drive/folders/10T2cTQHqEJZqE-st6uFKPoI?usp=share_link")</f>
        <v>https://drive.google.com/drive/folders/10T2cTQHqEJZqE-st6uFKPoI?usp=share_link</v>
      </c>
      <c r="P293" s="6" t="str">
        <f>IFERROR(__xludf.DUMMYFUNCTION("""COMPUTED_VALUE"""),"Brandon Young")</f>
        <v>Brandon Young</v>
      </c>
      <c r="Q293" s="6" t="str">
        <f>IFERROR(__xludf.DUMMYFUNCTION("""COMPUTED_VALUE"""),"HS")</f>
        <v>HS</v>
      </c>
      <c r="R293" s="6">
        <f>IFERROR(__xludf.DUMMYFUNCTION("""COMPUTED_VALUE"""),0.0)</f>
        <v>0</v>
      </c>
      <c r="S293" s="6" t="str">
        <f>IFERROR(__xludf.DUMMYFUNCTION("""COMPUTED_VALUE""")," ")</f>
        <v> </v>
      </c>
      <c r="T293" s="6" t="str">
        <f>IFERROR(__xludf.DUMMYFUNCTION("""COMPUTED_VALUE"""),"")</f>
        <v/>
      </c>
      <c r="U293" s="6" t="str">
        <f>IFERROR(__xludf.DUMMYFUNCTION("""COMPUTED_VALUE"""),"9")</f>
        <v>9</v>
      </c>
      <c r="V293" s="6" t="str">
        <f>IFERROR(__xludf.DUMMYFUNCTION("""COMPUTED_VALUE"""),"")</f>
        <v/>
      </c>
      <c r="W293" s="6" t="str">
        <f>IFERROR(__xludf.DUMMYFUNCTION("""COMPUTED_VALUE"""),"[]")</f>
        <v>[]</v>
      </c>
      <c r="X293" s="6" t="str">
        <f>IFERROR(__xludf.DUMMYFUNCTION("""COMPUTED_VALUE"""),"Enrolled")</f>
        <v>Enrolled</v>
      </c>
    </row>
    <row r="294">
      <c r="A294" s="6" t="str">
        <f>IFERROR(__xludf.DUMMYFUNCTION("""COMPUTED_VALUE"""),"000-5678")</f>
        <v>000-5678</v>
      </c>
      <c r="B294" s="6" t="str">
        <f>IFERROR(__xludf.DUMMYFUNCTION("""COMPUTED_VALUE"""),"0")</f>
        <v>0</v>
      </c>
      <c r="C294" s="6" t="str">
        <f>IFERROR(__xludf.DUMMYFUNCTION("""COMPUTED_VALUE"""),"5678")</f>
        <v>5678</v>
      </c>
      <c r="D294" s="6" t="str">
        <f>IFERROR(__xludf.DUMMYFUNCTION("""COMPUTED_VALUE"""),"Oliver")</f>
        <v>Oliver</v>
      </c>
      <c r="E294" s="6" t="str">
        <f>IFERROR(__xludf.DUMMYFUNCTION("""COMPUTED_VALUE"""),"")</f>
        <v/>
      </c>
      <c r="F294" s="6" t="str">
        <f>IFERROR(__xludf.DUMMYFUNCTION("""COMPUTED_VALUE"""),"Andres")</f>
        <v>Andres</v>
      </c>
      <c r="G294" s="6" t="str">
        <f>IFERROR(__xludf.DUMMYFUNCTION("""COMPUTED_VALUE"""),"08/25/2017")</f>
        <v>08/25/2017</v>
      </c>
      <c r="H294" s="6" t="str">
        <f>IFERROR(__xludf.DUMMYFUNCTION("""COMPUTED_VALUE"""),"male")</f>
        <v>male</v>
      </c>
      <c r="I294" s="6" t="str">
        <f>IFERROR(__xludf.DUMMYFUNCTION("""COMPUTED_VALUE"""),"Level 1")</f>
        <v>Level 1</v>
      </c>
      <c r="J294" s="6" t="str">
        <f>IFERROR(__xludf.DUMMYFUNCTION("""COMPUTED_VALUE"""),"3")</f>
        <v>3</v>
      </c>
      <c r="K294" s="6" t="str">
        <f>IFERROR(__xludf.DUMMYFUNCTION("""COMPUTED_VALUE"""),"oliver.andres@2hourlearning.com")</f>
        <v>oliver.andres@2hourlearning.com</v>
      </c>
      <c r="L294" s="6" t="str">
        <f>IFERROR(__xludf.DUMMYFUNCTION("""COMPUTED_VALUE"""),"Alpha Anywhere (homeschool)")</f>
        <v>Alpha Anywhere (homeschool)</v>
      </c>
      <c r="M294" s="6" t="str">
        <f>IFERROR(__xludf.DUMMYFUNCTION("""COMPUTED_VALUE"""),"")</f>
        <v/>
      </c>
      <c r="N294" s="6" t="str">
        <f>IFERROR(__xludf.DUMMYFUNCTION("""COMPUTED_VALUE"""),"")</f>
        <v/>
      </c>
      <c r="O294" s="87" t="str">
        <f>IFERROR(__xludf.DUMMYFUNCTION("""COMPUTED_VALUE"""),"https://drive.google.com/drive/folders/10T2cTQHqEJZqE-st6uFKPoI?usp=share_link")</f>
        <v>https://drive.google.com/drive/folders/10T2cTQHqEJZqE-st6uFKPoI?usp=share_link</v>
      </c>
      <c r="P294" s="6" t="str">
        <f>IFERROR(__xludf.DUMMYFUNCTION("""COMPUTED_VALUE"""),"Oliver Andres")</f>
        <v>Oliver Andres</v>
      </c>
      <c r="Q294" s="6" t="str">
        <f>IFERROR(__xludf.DUMMYFUNCTION("""COMPUTED_VALUE"""),"L1")</f>
        <v>L1</v>
      </c>
      <c r="R294" s="6">
        <f>IFERROR(__xludf.DUMMYFUNCTION("""COMPUTED_VALUE"""),1.0)</f>
        <v>1</v>
      </c>
      <c r="S294" s="6" t="str">
        <f>IFERROR(__xludf.DUMMYFUNCTION("""COMPUTED_VALUE""")," ")</f>
        <v> </v>
      </c>
      <c r="T294" s="6" t="str">
        <f>IFERROR(__xludf.DUMMYFUNCTION("""COMPUTED_VALUE"""),"")</f>
        <v/>
      </c>
      <c r="U294" s="6" t="str">
        <f>IFERROR(__xludf.DUMMYFUNCTION("""COMPUTED_VALUE"""),"3")</f>
        <v>3</v>
      </c>
      <c r="V294" s="6" t="str">
        <f>IFERROR(__xludf.DUMMYFUNCTION("""COMPUTED_VALUE"""),"")</f>
        <v/>
      </c>
      <c r="W294" s="6" t="str">
        <f>IFERROR(__xludf.DUMMYFUNCTION("""COMPUTED_VALUE"""),"[]")</f>
        <v>[]</v>
      </c>
      <c r="X294" s="6" t="str">
        <f>IFERROR(__xludf.DUMMYFUNCTION("""COMPUTED_VALUE"""),"Enrolled")</f>
        <v>Enrolled</v>
      </c>
    </row>
    <row r="295">
      <c r="A295" s="6" t="str">
        <f>IFERROR(__xludf.DUMMYFUNCTION("""COMPUTED_VALUE"""),"000-5679")</f>
        <v>000-5679</v>
      </c>
      <c r="B295" s="6" t="str">
        <f>IFERROR(__xludf.DUMMYFUNCTION("""COMPUTED_VALUE"""),"0")</f>
        <v>0</v>
      </c>
      <c r="C295" s="6" t="str">
        <f>IFERROR(__xludf.DUMMYFUNCTION("""COMPUTED_VALUE"""),"5679")</f>
        <v>5679</v>
      </c>
      <c r="D295" s="6" t="str">
        <f>IFERROR(__xludf.DUMMYFUNCTION("""COMPUTED_VALUE"""),"Julia")</f>
        <v>Julia</v>
      </c>
      <c r="E295" s="6" t="str">
        <f>IFERROR(__xludf.DUMMYFUNCTION("""COMPUTED_VALUE"""),"")</f>
        <v/>
      </c>
      <c r="F295" s="6" t="str">
        <f>IFERROR(__xludf.DUMMYFUNCTION("""COMPUTED_VALUE"""),"Batini")</f>
        <v>Batini</v>
      </c>
      <c r="G295" s="6" t="str">
        <f>IFERROR(__xludf.DUMMYFUNCTION("""COMPUTED_VALUE"""),"08/13/2017")</f>
        <v>08/13/2017</v>
      </c>
      <c r="H295" s="6" t="str">
        <f>IFERROR(__xludf.DUMMYFUNCTION("""COMPUTED_VALUE"""),"female")</f>
        <v>female</v>
      </c>
      <c r="I295" s="6" t="str">
        <f>IFERROR(__xludf.DUMMYFUNCTION("""COMPUTED_VALUE"""),"Level 1")</f>
        <v>Level 1</v>
      </c>
      <c r="J295" s="6" t="str">
        <f>IFERROR(__xludf.DUMMYFUNCTION("""COMPUTED_VALUE"""),"3")</f>
        <v>3</v>
      </c>
      <c r="K295" s="6" t="str">
        <f>IFERROR(__xludf.DUMMYFUNCTION("""COMPUTED_VALUE"""),"julia.batini@2hourlearning.com")</f>
        <v>julia.batini@2hourlearning.com</v>
      </c>
      <c r="L295" s="6" t="str">
        <f>IFERROR(__xludf.DUMMYFUNCTION("""COMPUTED_VALUE"""),"Alpha Anywhere (homeschool)")</f>
        <v>Alpha Anywhere (homeschool)</v>
      </c>
      <c r="M295" s="6" t="str">
        <f>IFERROR(__xludf.DUMMYFUNCTION("""COMPUTED_VALUE"""),"")</f>
        <v/>
      </c>
      <c r="N295" s="6" t="str">
        <f>IFERROR(__xludf.DUMMYFUNCTION("""COMPUTED_VALUE"""),"")</f>
        <v/>
      </c>
      <c r="O295" s="87" t="str">
        <f>IFERROR(__xludf.DUMMYFUNCTION("""COMPUTED_VALUE"""),"https://drive.google.com/drive/folders/10T2cTQHqEJZqE-st6uFKPoI?usp=share_link")</f>
        <v>https://drive.google.com/drive/folders/10T2cTQHqEJZqE-st6uFKPoI?usp=share_link</v>
      </c>
      <c r="P295" s="6" t="str">
        <f>IFERROR(__xludf.DUMMYFUNCTION("""COMPUTED_VALUE"""),"Julia Batini")</f>
        <v>Julia Batini</v>
      </c>
      <c r="Q295" s="6" t="str">
        <f>IFERROR(__xludf.DUMMYFUNCTION("""COMPUTED_VALUE"""),"L1")</f>
        <v>L1</v>
      </c>
      <c r="R295" s="6">
        <f>IFERROR(__xludf.DUMMYFUNCTION("""COMPUTED_VALUE"""),1.0)</f>
        <v>1</v>
      </c>
      <c r="S295" s="6" t="str">
        <f>IFERROR(__xludf.DUMMYFUNCTION("""COMPUTED_VALUE""")," ")</f>
        <v> </v>
      </c>
      <c r="T295" s="6" t="str">
        <f>IFERROR(__xludf.DUMMYFUNCTION("""COMPUTED_VALUE"""),"")</f>
        <v/>
      </c>
      <c r="U295" s="6" t="str">
        <f>IFERROR(__xludf.DUMMYFUNCTION("""COMPUTED_VALUE"""),"3")</f>
        <v>3</v>
      </c>
      <c r="V295" s="6" t="str">
        <f>IFERROR(__xludf.DUMMYFUNCTION("""COMPUTED_VALUE"""),"")</f>
        <v/>
      </c>
      <c r="W295" s="6" t="str">
        <f>IFERROR(__xludf.DUMMYFUNCTION("""COMPUTED_VALUE"""),"[]")</f>
        <v>[]</v>
      </c>
      <c r="X295" s="6" t="str">
        <f>IFERROR(__xludf.DUMMYFUNCTION("""COMPUTED_VALUE"""),"Enrolled")</f>
        <v>Enrolled</v>
      </c>
    </row>
    <row r="296">
      <c r="A296" s="6" t="str">
        <f>IFERROR(__xludf.DUMMYFUNCTION("""COMPUTED_VALUE"""),"000-5681")</f>
        <v>000-5681</v>
      </c>
      <c r="B296" s="6" t="str">
        <f>IFERROR(__xludf.DUMMYFUNCTION("""COMPUTED_VALUE"""),"0")</f>
        <v>0</v>
      </c>
      <c r="C296" s="6" t="str">
        <f>IFERROR(__xludf.DUMMYFUNCTION("""COMPUTED_VALUE"""),"5681")</f>
        <v>5681</v>
      </c>
      <c r="D296" s="6" t="str">
        <f>IFERROR(__xludf.DUMMYFUNCTION("""COMPUTED_VALUE"""),"Ariel")</f>
        <v>Ariel</v>
      </c>
      <c r="E296" s="6" t="str">
        <f>IFERROR(__xludf.DUMMYFUNCTION("""COMPUTED_VALUE"""),"")</f>
        <v/>
      </c>
      <c r="F296" s="6" t="str">
        <f>IFERROR(__xludf.DUMMYFUNCTION("""COMPUTED_VALUE"""),"Kalufanya")</f>
        <v>Kalufanya</v>
      </c>
      <c r="G296" s="6" t="str">
        <f>IFERROR(__xludf.DUMMYFUNCTION("""COMPUTED_VALUE"""),"02/10/2014")</f>
        <v>02/10/2014</v>
      </c>
      <c r="H296" s="6" t="str">
        <f>IFERROR(__xludf.DUMMYFUNCTION("""COMPUTED_VALUE"""),"female")</f>
        <v>female</v>
      </c>
      <c r="I296" s="6" t="str">
        <f>IFERROR(__xludf.DUMMYFUNCTION("""COMPUTED_VALUE"""),"Middle School")</f>
        <v>Middle School</v>
      </c>
      <c r="J296" s="6" t="str">
        <f>IFERROR(__xludf.DUMMYFUNCTION("""COMPUTED_VALUE"""),"6")</f>
        <v>6</v>
      </c>
      <c r="K296" s="6" t="str">
        <f>IFERROR(__xludf.DUMMYFUNCTION("""COMPUTED_VALUE"""),"ariel.kalufanya@2hourlearning.com")</f>
        <v>ariel.kalufanya@2hourlearning.com</v>
      </c>
      <c r="L296" s="6" t="str">
        <f>IFERROR(__xludf.DUMMYFUNCTION("""COMPUTED_VALUE"""),"Alpha Anywhere (homeschool)")</f>
        <v>Alpha Anywhere (homeschool)</v>
      </c>
      <c r="M296" s="6" t="str">
        <f>IFERROR(__xludf.DUMMYFUNCTION("""COMPUTED_VALUE"""),"")</f>
        <v/>
      </c>
      <c r="N296" s="6" t="str">
        <f>IFERROR(__xludf.DUMMYFUNCTION("""COMPUTED_VALUE"""),"")</f>
        <v/>
      </c>
      <c r="O296" s="87" t="str">
        <f>IFERROR(__xludf.DUMMYFUNCTION("""COMPUTED_VALUE"""),"https://drive.google.com/drive/folders/10T2cTQHqEJZqE-st6uFKPoI?usp=share_link")</f>
        <v>https://drive.google.com/drive/folders/10T2cTQHqEJZqE-st6uFKPoI?usp=share_link</v>
      </c>
      <c r="P296" s="6" t="str">
        <f>IFERROR(__xludf.DUMMYFUNCTION("""COMPUTED_VALUE"""),"Ariel Kalufanya")</f>
        <v>Ariel Kalufanya</v>
      </c>
      <c r="Q296" s="6" t="str">
        <f>IFERROR(__xludf.DUMMYFUNCTION("""COMPUTED_VALUE"""),"MS")</f>
        <v>MS</v>
      </c>
      <c r="R296" s="6">
        <f>IFERROR(__xludf.DUMMYFUNCTION("""COMPUTED_VALUE"""),0.0)</f>
        <v>0</v>
      </c>
      <c r="S296" s="6" t="str">
        <f>IFERROR(__xludf.DUMMYFUNCTION("""COMPUTED_VALUE""")," ")</f>
        <v> </v>
      </c>
      <c r="T296" s="6" t="str">
        <f>IFERROR(__xludf.DUMMYFUNCTION("""COMPUTED_VALUE"""),"")</f>
        <v/>
      </c>
      <c r="U296" s="6" t="str">
        <f>IFERROR(__xludf.DUMMYFUNCTION("""COMPUTED_VALUE"""),"6")</f>
        <v>6</v>
      </c>
      <c r="V296" s="6" t="str">
        <f>IFERROR(__xludf.DUMMYFUNCTION("""COMPUTED_VALUE"""),"")</f>
        <v/>
      </c>
      <c r="W296" s="6" t="str">
        <f>IFERROR(__xludf.DUMMYFUNCTION("""COMPUTED_VALUE"""),"[]")</f>
        <v>[]</v>
      </c>
      <c r="X296" s="6" t="str">
        <f>IFERROR(__xludf.DUMMYFUNCTION("""COMPUTED_VALUE"""),"Enrolled")</f>
        <v>Enrolled</v>
      </c>
    </row>
    <row r="297">
      <c r="A297" s="6" t="str">
        <f>IFERROR(__xludf.DUMMYFUNCTION("""COMPUTED_VALUE"""),"000-5682")</f>
        <v>000-5682</v>
      </c>
      <c r="B297" s="6" t="str">
        <f>IFERROR(__xludf.DUMMYFUNCTION("""COMPUTED_VALUE"""),"0")</f>
        <v>0</v>
      </c>
      <c r="C297" s="6" t="str">
        <f>IFERROR(__xludf.DUMMYFUNCTION("""COMPUTED_VALUE"""),"5682")</f>
        <v>5682</v>
      </c>
      <c r="D297" s="6" t="str">
        <f>IFERROR(__xludf.DUMMYFUNCTION("""COMPUTED_VALUE"""),"Micah")</f>
        <v>Micah</v>
      </c>
      <c r="E297" s="6" t="str">
        <f>IFERROR(__xludf.DUMMYFUNCTION("""COMPUTED_VALUE"""),"")</f>
        <v/>
      </c>
      <c r="F297" s="6" t="str">
        <f>IFERROR(__xludf.DUMMYFUNCTION("""COMPUTED_VALUE"""),"Kalufanya")</f>
        <v>Kalufanya</v>
      </c>
      <c r="G297" s="6" t="str">
        <f>IFERROR(__xludf.DUMMYFUNCTION("""COMPUTED_VALUE"""),"08/19/2016")</f>
        <v>08/19/2016</v>
      </c>
      <c r="H297" s="6" t="str">
        <f>IFERROR(__xludf.DUMMYFUNCTION("""COMPUTED_VALUE"""),"female")</f>
        <v>female</v>
      </c>
      <c r="I297" s="6" t="str">
        <f>IFERROR(__xludf.DUMMYFUNCTION("""COMPUTED_VALUE"""),"Level 2")</f>
        <v>Level 2</v>
      </c>
      <c r="J297" s="6" t="str">
        <f>IFERROR(__xludf.DUMMYFUNCTION("""COMPUTED_VALUE"""),"4")</f>
        <v>4</v>
      </c>
      <c r="K297" s="6" t="str">
        <f>IFERROR(__xludf.DUMMYFUNCTION("""COMPUTED_VALUE"""),"micah.kalufanya@2hourlearning.com")</f>
        <v>micah.kalufanya@2hourlearning.com</v>
      </c>
      <c r="L297" s="6" t="str">
        <f>IFERROR(__xludf.DUMMYFUNCTION("""COMPUTED_VALUE"""),"Alpha Anywhere (homeschool)")</f>
        <v>Alpha Anywhere (homeschool)</v>
      </c>
      <c r="M297" s="6" t="str">
        <f>IFERROR(__xludf.DUMMYFUNCTION("""COMPUTED_VALUE"""),"")</f>
        <v/>
      </c>
      <c r="N297" s="6" t="str">
        <f>IFERROR(__xludf.DUMMYFUNCTION("""COMPUTED_VALUE"""),"")</f>
        <v/>
      </c>
      <c r="O297" s="87" t="str">
        <f>IFERROR(__xludf.DUMMYFUNCTION("""COMPUTED_VALUE"""),"https://drive.google.com/drive/folders/10T2cTQHqEJZqE-st6uFKPoI?usp=share_link")</f>
        <v>https://drive.google.com/drive/folders/10T2cTQHqEJZqE-st6uFKPoI?usp=share_link</v>
      </c>
      <c r="P297" s="6" t="str">
        <f>IFERROR(__xludf.DUMMYFUNCTION("""COMPUTED_VALUE"""),"Micah Kalufanya")</f>
        <v>Micah Kalufanya</v>
      </c>
      <c r="Q297" s="6" t="str">
        <f>IFERROR(__xludf.DUMMYFUNCTION("""COMPUTED_VALUE"""),"L2")</f>
        <v>L2</v>
      </c>
      <c r="R297" s="6">
        <f>IFERROR(__xludf.DUMMYFUNCTION("""COMPUTED_VALUE"""),2.0)</f>
        <v>2</v>
      </c>
      <c r="S297" s="6" t="str">
        <f>IFERROR(__xludf.DUMMYFUNCTION("""COMPUTED_VALUE""")," ")</f>
        <v> </v>
      </c>
      <c r="T297" s="6" t="str">
        <f>IFERROR(__xludf.DUMMYFUNCTION("""COMPUTED_VALUE"""),"")</f>
        <v/>
      </c>
      <c r="U297" s="6" t="str">
        <f>IFERROR(__xludf.DUMMYFUNCTION("""COMPUTED_VALUE"""),"4")</f>
        <v>4</v>
      </c>
      <c r="V297" s="6" t="str">
        <f>IFERROR(__xludf.DUMMYFUNCTION("""COMPUTED_VALUE"""),"")</f>
        <v/>
      </c>
      <c r="W297" s="6" t="str">
        <f>IFERROR(__xludf.DUMMYFUNCTION("""COMPUTED_VALUE"""),"[]")</f>
        <v>[]</v>
      </c>
      <c r="X297" s="6" t="str">
        <f>IFERROR(__xludf.DUMMYFUNCTION("""COMPUTED_VALUE"""),"Enrolled")</f>
        <v>Enrolled</v>
      </c>
    </row>
    <row r="298">
      <c r="A298" s="6" t="str">
        <f>IFERROR(__xludf.DUMMYFUNCTION("""COMPUTED_VALUE"""),"000-5683")</f>
        <v>000-5683</v>
      </c>
      <c r="B298" s="6" t="str">
        <f>IFERROR(__xludf.DUMMYFUNCTION("""COMPUTED_VALUE"""),"0")</f>
        <v>0</v>
      </c>
      <c r="C298" s="6" t="str">
        <f>IFERROR(__xludf.DUMMYFUNCTION("""COMPUTED_VALUE"""),"5683")</f>
        <v>5683</v>
      </c>
      <c r="D298" s="6" t="str">
        <f>IFERROR(__xludf.DUMMYFUNCTION("""COMPUTED_VALUE"""),"Chandler")</f>
        <v>Chandler</v>
      </c>
      <c r="E298" s="6" t="str">
        <f>IFERROR(__xludf.DUMMYFUNCTION("""COMPUTED_VALUE"""),"")</f>
        <v/>
      </c>
      <c r="F298" s="6" t="str">
        <f>IFERROR(__xludf.DUMMYFUNCTION("""COMPUTED_VALUE"""),"Rowley")</f>
        <v>Rowley</v>
      </c>
      <c r="G298" s="6" t="str">
        <f>IFERROR(__xludf.DUMMYFUNCTION("""COMPUTED_VALUE"""),"03/13/2013")</f>
        <v>03/13/2013</v>
      </c>
      <c r="H298" s="6" t="str">
        <f>IFERROR(__xludf.DUMMYFUNCTION("""COMPUTED_VALUE"""),"male")</f>
        <v>male</v>
      </c>
      <c r="I298" s="6" t="str">
        <f>IFERROR(__xludf.DUMMYFUNCTION("""COMPUTED_VALUE"""),"Middle School")</f>
        <v>Middle School</v>
      </c>
      <c r="J298" s="6" t="str">
        <f>IFERROR(__xludf.DUMMYFUNCTION("""COMPUTED_VALUE"""),"7")</f>
        <v>7</v>
      </c>
      <c r="K298" s="6" t="str">
        <f>IFERROR(__xludf.DUMMYFUNCTION("""COMPUTED_VALUE"""),"chandler.rowley@2hourlearning.com")</f>
        <v>chandler.rowley@2hourlearning.com</v>
      </c>
      <c r="L298" s="6" t="str">
        <f>IFERROR(__xludf.DUMMYFUNCTION("""COMPUTED_VALUE"""),"Alpha Anywhere (homeschool)")</f>
        <v>Alpha Anywhere (homeschool)</v>
      </c>
      <c r="M298" s="6" t="str">
        <f>IFERROR(__xludf.DUMMYFUNCTION("""COMPUTED_VALUE"""),"")</f>
        <v/>
      </c>
      <c r="N298" s="6" t="str">
        <f>IFERROR(__xludf.DUMMYFUNCTION("""COMPUTED_VALUE"""),"")</f>
        <v/>
      </c>
      <c r="O298" s="87" t="str">
        <f>IFERROR(__xludf.DUMMYFUNCTION("""COMPUTED_VALUE"""),"https://drive.google.com/drive/folders/10T2cTQHqEJZqE-st6uFKPoI?usp=share_link")</f>
        <v>https://drive.google.com/drive/folders/10T2cTQHqEJZqE-st6uFKPoI?usp=share_link</v>
      </c>
      <c r="P298" s="6" t="str">
        <f>IFERROR(__xludf.DUMMYFUNCTION("""COMPUTED_VALUE"""),"Chandler Rowley")</f>
        <v>Chandler Rowley</v>
      </c>
      <c r="Q298" s="6" t="str">
        <f>IFERROR(__xludf.DUMMYFUNCTION("""COMPUTED_VALUE"""),"MS")</f>
        <v>MS</v>
      </c>
      <c r="R298" s="6">
        <f>IFERROR(__xludf.DUMMYFUNCTION("""COMPUTED_VALUE"""),0.0)</f>
        <v>0</v>
      </c>
      <c r="S298" s="6" t="str">
        <f>IFERROR(__xludf.DUMMYFUNCTION("""COMPUTED_VALUE""")," ")</f>
        <v> </v>
      </c>
      <c r="T298" s="6" t="str">
        <f>IFERROR(__xludf.DUMMYFUNCTION("""COMPUTED_VALUE"""),"")</f>
        <v/>
      </c>
      <c r="U298" s="6" t="str">
        <f>IFERROR(__xludf.DUMMYFUNCTION("""COMPUTED_VALUE"""),"7")</f>
        <v>7</v>
      </c>
      <c r="V298" s="6" t="str">
        <f>IFERROR(__xludf.DUMMYFUNCTION("""COMPUTED_VALUE"""),"")</f>
        <v/>
      </c>
      <c r="W298" s="6" t="str">
        <f>IFERROR(__xludf.DUMMYFUNCTION("""COMPUTED_VALUE"""),"[]")</f>
        <v>[]</v>
      </c>
      <c r="X298" s="6" t="str">
        <f>IFERROR(__xludf.DUMMYFUNCTION("""COMPUTED_VALUE"""),"Enrolled")</f>
        <v>Enrolled</v>
      </c>
    </row>
    <row r="299">
      <c r="A299" s="6" t="str">
        <f>IFERROR(__xludf.DUMMYFUNCTION("""COMPUTED_VALUE"""),"000-5715")</f>
        <v>000-5715</v>
      </c>
      <c r="B299" s="6" t="str">
        <f>IFERROR(__xludf.DUMMYFUNCTION("""COMPUTED_VALUE"""),"0")</f>
        <v>0</v>
      </c>
      <c r="C299" s="6" t="str">
        <f>IFERROR(__xludf.DUMMYFUNCTION("""COMPUTED_VALUE"""),"5715")</f>
        <v>5715</v>
      </c>
      <c r="D299" s="6" t="str">
        <f>IFERROR(__xludf.DUMMYFUNCTION("""COMPUTED_VALUE"""),"Leilani")</f>
        <v>Leilani</v>
      </c>
      <c r="E299" s="6" t="str">
        <f>IFERROR(__xludf.DUMMYFUNCTION("""COMPUTED_VALUE"""),"")</f>
        <v/>
      </c>
      <c r="F299" s="6" t="str">
        <f>IFERROR(__xludf.DUMMYFUNCTION("""COMPUTED_VALUE"""),"Lua")</f>
        <v>Lua</v>
      </c>
      <c r="G299" s="6" t="str">
        <f>IFERROR(__xludf.DUMMYFUNCTION("""COMPUTED_VALUE"""),"04/03/2012")</f>
        <v>04/03/2012</v>
      </c>
      <c r="H299" s="6" t="str">
        <f>IFERROR(__xludf.DUMMYFUNCTION("""COMPUTED_VALUE"""),"female")</f>
        <v>female</v>
      </c>
      <c r="I299" s="6" t="str">
        <f>IFERROR(__xludf.DUMMYFUNCTION("""COMPUTED_VALUE"""),"High School")</f>
        <v>High School</v>
      </c>
      <c r="J299" s="6" t="str">
        <f>IFERROR(__xludf.DUMMYFUNCTION("""COMPUTED_VALUE"""),"9")</f>
        <v>9</v>
      </c>
      <c r="K299" s="6" t="str">
        <f>IFERROR(__xludf.DUMMYFUNCTION("""COMPUTED_VALUE"""),"leilani.lua@2hourlearning.com")</f>
        <v>leilani.lua@2hourlearning.com</v>
      </c>
      <c r="L299" s="6" t="str">
        <f>IFERROR(__xludf.DUMMYFUNCTION("""COMPUTED_VALUE"""),"Alpha Anywhere (homeschool)")</f>
        <v>Alpha Anywhere (homeschool)</v>
      </c>
      <c r="M299" s="6" t="str">
        <f>IFERROR(__xludf.DUMMYFUNCTION("""COMPUTED_VALUE"""),"")</f>
        <v/>
      </c>
      <c r="N299" s="6" t="str">
        <f>IFERROR(__xludf.DUMMYFUNCTION("""COMPUTED_VALUE"""),"")</f>
        <v/>
      </c>
      <c r="O299" s="87" t="str">
        <f>IFERROR(__xludf.DUMMYFUNCTION("""COMPUTED_VALUE"""),"https://drive.google.com/drive/folders/10T2cTQHqEJZqE-st6uFKPoI?usp=share_link")</f>
        <v>https://drive.google.com/drive/folders/10T2cTQHqEJZqE-st6uFKPoI?usp=share_link</v>
      </c>
      <c r="P299" s="6" t="str">
        <f>IFERROR(__xludf.DUMMYFUNCTION("""COMPUTED_VALUE"""),"Leilani Lua")</f>
        <v>Leilani Lua</v>
      </c>
      <c r="Q299" s="6" t="str">
        <f>IFERROR(__xludf.DUMMYFUNCTION("""COMPUTED_VALUE"""),"HS")</f>
        <v>HS</v>
      </c>
      <c r="R299" s="6">
        <f>IFERROR(__xludf.DUMMYFUNCTION("""COMPUTED_VALUE"""),0.0)</f>
        <v>0</v>
      </c>
      <c r="S299" s="6" t="str">
        <f>IFERROR(__xludf.DUMMYFUNCTION("""COMPUTED_VALUE""")," ")</f>
        <v> </v>
      </c>
      <c r="T299" s="6" t="str">
        <f>IFERROR(__xludf.DUMMYFUNCTION("""COMPUTED_VALUE"""),"")</f>
        <v/>
      </c>
      <c r="U299" s="6" t="str">
        <f>IFERROR(__xludf.DUMMYFUNCTION("""COMPUTED_VALUE"""),"9")</f>
        <v>9</v>
      </c>
      <c r="V299" s="6" t="str">
        <f>IFERROR(__xludf.DUMMYFUNCTION("""COMPUTED_VALUE"""),"")</f>
        <v/>
      </c>
      <c r="W299" s="6" t="str">
        <f>IFERROR(__xludf.DUMMYFUNCTION("""COMPUTED_VALUE"""),"[]")</f>
        <v>[]</v>
      </c>
      <c r="X299" s="6" t="str">
        <f>IFERROR(__xludf.DUMMYFUNCTION("""COMPUTED_VALUE"""),"Enrolled")</f>
        <v>Enrolled</v>
      </c>
    </row>
    <row r="300">
      <c r="A300" s="6" t="str">
        <f>IFERROR(__xludf.DUMMYFUNCTION("""COMPUTED_VALUE"""),"000-6720")</f>
        <v>000-6720</v>
      </c>
      <c r="B300" s="6" t="str">
        <f>IFERROR(__xludf.DUMMYFUNCTION("""COMPUTED_VALUE"""),"0")</f>
        <v>0</v>
      </c>
      <c r="C300" s="6" t="str">
        <f>IFERROR(__xludf.DUMMYFUNCTION("""COMPUTED_VALUE"""),"6720")</f>
        <v>6720</v>
      </c>
      <c r="D300" s="6" t="str">
        <f>IFERROR(__xludf.DUMMYFUNCTION("""COMPUTED_VALUE"""),"Moses")</f>
        <v>Moses</v>
      </c>
      <c r="E300" s="6" t="str">
        <f>IFERROR(__xludf.DUMMYFUNCTION("""COMPUTED_VALUE"""),"")</f>
        <v/>
      </c>
      <c r="F300" s="6" t="str">
        <f>IFERROR(__xludf.DUMMYFUNCTION("""COMPUTED_VALUE"""),"Martinez")</f>
        <v>Martinez</v>
      </c>
      <c r="G300" s="6" t="str">
        <f>IFERROR(__xludf.DUMMYFUNCTION("""COMPUTED_VALUE"""),"12/19/2015")</f>
        <v>12/19/2015</v>
      </c>
      <c r="H300" s="6" t="str">
        <f>IFERROR(__xludf.DUMMYFUNCTION("""COMPUTED_VALUE"""),"male")</f>
        <v>male</v>
      </c>
      <c r="I300" s="6" t="str">
        <f>IFERROR(__xludf.DUMMYFUNCTION("""COMPUTED_VALUE"""),"Level 2")</f>
        <v>Level 2</v>
      </c>
      <c r="J300" s="6" t="str">
        <f>IFERROR(__xludf.DUMMYFUNCTION("""COMPUTED_VALUE"""),"4")</f>
        <v>4</v>
      </c>
      <c r="K300" s="6" t="str">
        <f>IFERROR(__xludf.DUMMYFUNCTION("""COMPUTED_VALUE"""),"moses.martinez@2hourlearning.com")</f>
        <v>moses.martinez@2hourlearning.com</v>
      </c>
      <c r="L300" s="6" t="str">
        <f>IFERROR(__xludf.DUMMYFUNCTION("""COMPUTED_VALUE"""),"Alpha Anywhere (homeschool)")</f>
        <v>Alpha Anywhere (homeschool)</v>
      </c>
      <c r="M300" s="6" t="str">
        <f>IFERROR(__xludf.DUMMYFUNCTION("""COMPUTED_VALUE"""),"")</f>
        <v/>
      </c>
      <c r="N300" s="6" t="str">
        <f>IFERROR(__xludf.DUMMYFUNCTION("""COMPUTED_VALUE"""),"")</f>
        <v/>
      </c>
      <c r="O300" s="87" t="str">
        <f>IFERROR(__xludf.DUMMYFUNCTION("""COMPUTED_VALUE"""),"https://drive.google.com/drive/folders/10T2cTQHqEJZqE-st6uFKPoI?usp=share_link")</f>
        <v>https://drive.google.com/drive/folders/10T2cTQHqEJZqE-st6uFKPoI?usp=share_link</v>
      </c>
      <c r="P300" s="6" t="str">
        <f>IFERROR(__xludf.DUMMYFUNCTION("""COMPUTED_VALUE"""),"Moses Martinez")</f>
        <v>Moses Martinez</v>
      </c>
      <c r="Q300" s="6" t="str">
        <f>IFERROR(__xludf.DUMMYFUNCTION("""COMPUTED_VALUE"""),"L2")</f>
        <v>L2</v>
      </c>
      <c r="R300" s="6">
        <f>IFERROR(__xludf.DUMMYFUNCTION("""COMPUTED_VALUE"""),2.0)</f>
        <v>2</v>
      </c>
      <c r="S300" s="6" t="str">
        <f>IFERROR(__xludf.DUMMYFUNCTION("""COMPUTED_VALUE""")," ")</f>
        <v> </v>
      </c>
      <c r="T300" s="6" t="str">
        <f>IFERROR(__xludf.DUMMYFUNCTION("""COMPUTED_VALUE"""),"")</f>
        <v/>
      </c>
      <c r="U300" s="6" t="str">
        <f>IFERROR(__xludf.DUMMYFUNCTION("""COMPUTED_VALUE"""),"4")</f>
        <v>4</v>
      </c>
      <c r="V300" s="6" t="str">
        <f>IFERROR(__xludf.DUMMYFUNCTION("""COMPUTED_VALUE"""),"")</f>
        <v/>
      </c>
      <c r="W300" s="6" t="str">
        <f>IFERROR(__xludf.DUMMYFUNCTION("""COMPUTED_VALUE"""),"[]")</f>
        <v>[]</v>
      </c>
      <c r="X300" s="6" t="str">
        <f>IFERROR(__xludf.DUMMYFUNCTION("""COMPUTED_VALUE"""),"Enrolled")</f>
        <v>Enrolled</v>
      </c>
    </row>
    <row r="301">
      <c r="A301" s="6" t="str">
        <f>IFERROR(__xludf.DUMMYFUNCTION("""COMPUTED_VALUE"""),"000-6735")</f>
        <v>000-6735</v>
      </c>
      <c r="B301" s="6" t="str">
        <f>IFERROR(__xludf.DUMMYFUNCTION("""COMPUTED_VALUE"""),"0")</f>
        <v>0</v>
      </c>
      <c r="C301" s="6" t="str">
        <f>IFERROR(__xludf.DUMMYFUNCTION("""COMPUTED_VALUE"""),"6735")</f>
        <v>6735</v>
      </c>
      <c r="D301" s="6" t="str">
        <f>IFERROR(__xludf.DUMMYFUNCTION("""COMPUTED_VALUE"""),"Harrison")</f>
        <v>Harrison</v>
      </c>
      <c r="E301" s="6" t="str">
        <f>IFERROR(__xludf.DUMMYFUNCTION("""COMPUTED_VALUE"""),"Harrison")</f>
        <v>Harrison</v>
      </c>
      <c r="F301" s="6" t="str">
        <f>IFERROR(__xludf.DUMMYFUNCTION("""COMPUTED_VALUE"""),"Cunningham")</f>
        <v>Cunningham</v>
      </c>
      <c r="G301" s="6" t="str">
        <f>IFERROR(__xludf.DUMMYFUNCTION("""COMPUTED_VALUE"""),"05/07/2015")</f>
        <v>05/07/2015</v>
      </c>
      <c r="H301" s="6" t="str">
        <f>IFERROR(__xludf.DUMMYFUNCTION("""COMPUTED_VALUE"""),"male")</f>
        <v>male</v>
      </c>
      <c r="I301" s="6" t="str">
        <f>IFERROR(__xludf.DUMMYFUNCTION("""COMPUTED_VALUE"""),"Level 2")</f>
        <v>Level 2</v>
      </c>
      <c r="J301" s="6" t="str">
        <f>IFERROR(__xludf.DUMMYFUNCTION("""COMPUTED_VALUE"""),"5")</f>
        <v>5</v>
      </c>
      <c r="K301" s="6" t="str">
        <f>IFERROR(__xludf.DUMMYFUNCTION("""COMPUTED_VALUE"""),"harrison.cunningham@2hourlearning.com")</f>
        <v>harrison.cunningham@2hourlearning.com</v>
      </c>
      <c r="L301" s="6" t="str">
        <f>IFERROR(__xludf.DUMMYFUNCTION("""COMPUTED_VALUE"""),"Alpha Anywhere (homeschool)")</f>
        <v>Alpha Anywhere (homeschool)</v>
      </c>
      <c r="M301" s="6" t="str">
        <f>IFERROR(__xludf.DUMMYFUNCTION("""COMPUTED_VALUE"""),"")</f>
        <v/>
      </c>
      <c r="N301" s="6" t="str">
        <f>IFERROR(__xludf.DUMMYFUNCTION("""COMPUTED_VALUE"""),"")</f>
        <v/>
      </c>
      <c r="O301" s="87" t="str">
        <f>IFERROR(__xludf.DUMMYFUNCTION("""COMPUTED_VALUE"""),"https://drive.google.com/drive/folders/10T2cTQHqEJZqE-st6uFKPoI?usp=share_link")</f>
        <v>https://drive.google.com/drive/folders/10T2cTQHqEJZqE-st6uFKPoI?usp=share_link</v>
      </c>
      <c r="P301" s="6" t="str">
        <f>IFERROR(__xludf.DUMMYFUNCTION("""COMPUTED_VALUE"""),"Harrison Cunningham")</f>
        <v>Harrison Cunningham</v>
      </c>
      <c r="Q301" s="6" t="str">
        <f>IFERROR(__xludf.DUMMYFUNCTION("""COMPUTED_VALUE"""),"L2")</f>
        <v>L2</v>
      </c>
      <c r="R301" s="6">
        <f>IFERROR(__xludf.DUMMYFUNCTION("""COMPUTED_VALUE"""),2.0)</f>
        <v>2</v>
      </c>
      <c r="S301" s="6" t="str">
        <f>IFERROR(__xludf.DUMMYFUNCTION("""COMPUTED_VALUE""")," ")</f>
        <v> </v>
      </c>
      <c r="T301" s="6" t="str">
        <f>IFERROR(__xludf.DUMMYFUNCTION("""COMPUTED_VALUE"""),"")</f>
        <v/>
      </c>
      <c r="U301" s="6" t="str">
        <f>IFERROR(__xludf.DUMMYFUNCTION("""COMPUTED_VALUE"""),"5")</f>
        <v>5</v>
      </c>
      <c r="V301" s="6" t="str">
        <f>IFERROR(__xludf.DUMMYFUNCTION("""COMPUTED_VALUE"""),"")</f>
        <v/>
      </c>
      <c r="W301" s="6" t="str">
        <f>IFERROR(__xludf.DUMMYFUNCTION("""COMPUTED_VALUE"""),"[]")</f>
        <v>[]</v>
      </c>
      <c r="X301" s="6" t="str">
        <f>IFERROR(__xludf.DUMMYFUNCTION("""COMPUTED_VALUE"""),"Enrolled")</f>
        <v>Enrolled</v>
      </c>
    </row>
    <row r="302">
      <c r="A302" s="6" t="str">
        <f>IFERROR(__xludf.DUMMYFUNCTION("""COMPUTED_VALUE"""),"000-6740")</f>
        <v>000-6740</v>
      </c>
      <c r="B302" s="6" t="str">
        <f>IFERROR(__xludf.DUMMYFUNCTION("""COMPUTED_VALUE"""),"0")</f>
        <v>0</v>
      </c>
      <c r="C302" s="6" t="str">
        <f>IFERROR(__xludf.DUMMYFUNCTION("""COMPUTED_VALUE"""),"6740")</f>
        <v>6740</v>
      </c>
      <c r="D302" s="6" t="str">
        <f>IFERROR(__xludf.DUMMYFUNCTION("""COMPUTED_VALUE"""),"Maxwell")</f>
        <v>Maxwell</v>
      </c>
      <c r="E302" s="6" t="str">
        <f>IFERROR(__xludf.DUMMYFUNCTION("""COMPUTED_VALUE"""),"Max")</f>
        <v>Max</v>
      </c>
      <c r="F302" s="6" t="str">
        <f>IFERROR(__xludf.DUMMYFUNCTION("""COMPUTED_VALUE"""),"Ragsdale")</f>
        <v>Ragsdale</v>
      </c>
      <c r="G302" s="6" t="str">
        <f>IFERROR(__xludf.DUMMYFUNCTION("""COMPUTED_VALUE"""),"12/04/2012")</f>
        <v>12/04/2012</v>
      </c>
      <c r="H302" s="6" t="str">
        <f>IFERROR(__xludf.DUMMYFUNCTION("""COMPUTED_VALUE"""),"male")</f>
        <v>male</v>
      </c>
      <c r="I302" s="6" t="str">
        <f>IFERROR(__xludf.DUMMYFUNCTION("""COMPUTED_VALUE"""),"Middle School")</f>
        <v>Middle School</v>
      </c>
      <c r="J302" s="6" t="str">
        <f>IFERROR(__xludf.DUMMYFUNCTION("""COMPUTED_VALUE"""),"7")</f>
        <v>7</v>
      </c>
      <c r="K302" s="6" t="str">
        <f>IFERROR(__xludf.DUMMYFUNCTION("""COMPUTED_VALUE"""),"maxwell.ragsdale@2hourlearning.com")</f>
        <v>maxwell.ragsdale@2hourlearning.com</v>
      </c>
      <c r="L302" s="6" t="str">
        <f>IFERROR(__xludf.DUMMYFUNCTION("""COMPUTED_VALUE"""),"Alpha Anywhere (homeschool)")</f>
        <v>Alpha Anywhere (homeschool)</v>
      </c>
      <c r="M302" s="6" t="str">
        <f>IFERROR(__xludf.DUMMYFUNCTION("""COMPUTED_VALUE"""),"")</f>
        <v/>
      </c>
      <c r="N302" s="6" t="str">
        <f>IFERROR(__xludf.DUMMYFUNCTION("""COMPUTED_VALUE"""),"")</f>
        <v/>
      </c>
      <c r="O302" s="87" t="str">
        <f>IFERROR(__xludf.DUMMYFUNCTION("""COMPUTED_VALUE"""),"https://drive.google.com/drive/folders/10T2cTQHqEJZqE-st6uFKPoI?usp=share_link")</f>
        <v>https://drive.google.com/drive/folders/10T2cTQHqEJZqE-st6uFKPoI?usp=share_link</v>
      </c>
      <c r="P302" s="6" t="str">
        <f>IFERROR(__xludf.DUMMYFUNCTION("""COMPUTED_VALUE"""),"Max Ragsdale")</f>
        <v>Max Ragsdale</v>
      </c>
      <c r="Q302" s="6" t="str">
        <f>IFERROR(__xludf.DUMMYFUNCTION("""COMPUTED_VALUE"""),"MS")</f>
        <v>MS</v>
      </c>
      <c r="R302" s="6">
        <f>IFERROR(__xludf.DUMMYFUNCTION("""COMPUTED_VALUE"""),0.0)</f>
        <v>0</v>
      </c>
      <c r="S302" s="6" t="str">
        <f>IFERROR(__xludf.DUMMYFUNCTION("""COMPUTED_VALUE""")," ")</f>
        <v> </v>
      </c>
      <c r="T302" s="6" t="str">
        <f>IFERROR(__xludf.DUMMYFUNCTION("""COMPUTED_VALUE"""),"")</f>
        <v/>
      </c>
      <c r="U302" s="6" t="str">
        <f>IFERROR(__xludf.DUMMYFUNCTION("""COMPUTED_VALUE"""),"7")</f>
        <v>7</v>
      </c>
      <c r="V302" s="6" t="str">
        <f>IFERROR(__xludf.DUMMYFUNCTION("""COMPUTED_VALUE"""),"")</f>
        <v/>
      </c>
      <c r="W302" s="6" t="str">
        <f>IFERROR(__xludf.DUMMYFUNCTION("""COMPUTED_VALUE"""),"[]")</f>
        <v>[]</v>
      </c>
      <c r="X302" s="6" t="str">
        <f>IFERROR(__xludf.DUMMYFUNCTION("""COMPUTED_VALUE"""),"Enrolled")</f>
        <v>Enrolled</v>
      </c>
    </row>
    <row r="303">
      <c r="A303" s="6" t="str">
        <f>IFERROR(__xludf.DUMMYFUNCTION("""COMPUTED_VALUE"""),"000-6792")</f>
        <v>000-6792</v>
      </c>
      <c r="B303" s="6" t="str">
        <f>IFERROR(__xludf.DUMMYFUNCTION("""COMPUTED_VALUE"""),"0")</f>
        <v>0</v>
      </c>
      <c r="C303" s="6" t="str">
        <f>IFERROR(__xludf.DUMMYFUNCTION("""COMPUTED_VALUE"""),"6792")</f>
        <v>6792</v>
      </c>
      <c r="D303" s="6" t="str">
        <f>IFERROR(__xludf.DUMMYFUNCTION("""COMPUTED_VALUE"""),"Ryke")</f>
        <v>Ryke</v>
      </c>
      <c r="E303" s="6" t="str">
        <f>IFERROR(__xludf.DUMMYFUNCTION("""COMPUTED_VALUE"""),"Ryke")</f>
        <v>Ryke</v>
      </c>
      <c r="F303" s="6" t="str">
        <f>IFERROR(__xludf.DUMMYFUNCTION("""COMPUTED_VALUE"""),"Liropoulos")</f>
        <v>Liropoulos</v>
      </c>
      <c r="G303" s="6" t="str">
        <f>IFERROR(__xludf.DUMMYFUNCTION("""COMPUTED_VALUE"""),"03/23/2017")</f>
        <v>03/23/2017</v>
      </c>
      <c r="H303" s="6" t="str">
        <f>IFERROR(__xludf.DUMMYFUNCTION("""COMPUTED_VALUE"""),"male")</f>
        <v>male</v>
      </c>
      <c r="I303" s="6" t="str">
        <f>IFERROR(__xludf.DUMMYFUNCTION("""COMPUTED_VALUE"""),"Level 1")</f>
        <v>Level 1</v>
      </c>
      <c r="J303" s="6" t="str">
        <f>IFERROR(__xludf.DUMMYFUNCTION("""COMPUTED_VALUE"""),"3")</f>
        <v>3</v>
      </c>
      <c r="K303" s="6" t="str">
        <f>IFERROR(__xludf.DUMMYFUNCTION("""COMPUTED_VALUE"""),"ryke.liropoulos@2hourlearning.com")</f>
        <v>ryke.liropoulos@2hourlearning.com</v>
      </c>
      <c r="L303" s="6" t="str">
        <f>IFERROR(__xludf.DUMMYFUNCTION("""COMPUTED_VALUE"""),"Alpha Anywhere (homeschool)")</f>
        <v>Alpha Anywhere (homeschool)</v>
      </c>
      <c r="M303" s="6" t="str">
        <f>IFERROR(__xludf.DUMMYFUNCTION("""COMPUTED_VALUE"""),"")</f>
        <v/>
      </c>
      <c r="N303" s="6" t="str">
        <f>IFERROR(__xludf.DUMMYFUNCTION("""COMPUTED_VALUE"""),"")</f>
        <v/>
      </c>
      <c r="O303" s="87" t="str">
        <f>IFERROR(__xludf.DUMMYFUNCTION("""COMPUTED_VALUE"""),"https://drive.google.com/drive/folders/10T2cTQHqEJZqE-st6uFKPoI?usp=share_link")</f>
        <v>https://drive.google.com/drive/folders/10T2cTQHqEJZqE-st6uFKPoI?usp=share_link</v>
      </c>
      <c r="P303" s="6" t="str">
        <f>IFERROR(__xludf.DUMMYFUNCTION("""COMPUTED_VALUE"""),"Ryke Liropoulos")</f>
        <v>Ryke Liropoulos</v>
      </c>
      <c r="Q303" s="6" t="str">
        <f>IFERROR(__xludf.DUMMYFUNCTION("""COMPUTED_VALUE"""),"L1")</f>
        <v>L1</v>
      </c>
      <c r="R303" s="6">
        <f>IFERROR(__xludf.DUMMYFUNCTION("""COMPUTED_VALUE"""),1.0)</f>
        <v>1</v>
      </c>
      <c r="S303" s="6" t="str">
        <f>IFERROR(__xludf.DUMMYFUNCTION("""COMPUTED_VALUE""")," ")</f>
        <v> </v>
      </c>
      <c r="T303" s="6" t="str">
        <f>IFERROR(__xludf.DUMMYFUNCTION("""COMPUTED_VALUE"""),"")</f>
        <v/>
      </c>
      <c r="U303" s="6" t="str">
        <f>IFERROR(__xludf.DUMMYFUNCTION("""COMPUTED_VALUE"""),"3")</f>
        <v>3</v>
      </c>
      <c r="V303" s="6" t="str">
        <f>IFERROR(__xludf.DUMMYFUNCTION("""COMPUTED_VALUE"""),"")</f>
        <v/>
      </c>
      <c r="W303" s="6" t="str">
        <f>IFERROR(__xludf.DUMMYFUNCTION("""COMPUTED_VALUE"""),"[]")</f>
        <v>[]</v>
      </c>
      <c r="X303" s="6" t="str">
        <f>IFERROR(__xludf.DUMMYFUNCTION("""COMPUTED_VALUE"""),"Enrolled")</f>
        <v>Enrolled</v>
      </c>
    </row>
    <row r="304">
      <c r="A304" s="6" t="str">
        <f>IFERROR(__xludf.DUMMYFUNCTION("""COMPUTED_VALUE"""),"000-6797")</f>
        <v>000-6797</v>
      </c>
      <c r="B304" s="6" t="str">
        <f>IFERROR(__xludf.DUMMYFUNCTION("""COMPUTED_VALUE"""),"0")</f>
        <v>0</v>
      </c>
      <c r="C304" s="6" t="str">
        <f>IFERROR(__xludf.DUMMYFUNCTION("""COMPUTED_VALUE"""),"6797")</f>
        <v>6797</v>
      </c>
      <c r="D304" s="6" t="str">
        <f>IFERROR(__xludf.DUMMYFUNCTION("""COMPUTED_VALUE"""),"Harper")</f>
        <v>Harper</v>
      </c>
      <c r="E304" s="6" t="str">
        <f>IFERROR(__xludf.DUMMYFUNCTION("""COMPUTED_VALUE"""),"Harper")</f>
        <v>Harper</v>
      </c>
      <c r="F304" s="6" t="str">
        <f>IFERROR(__xludf.DUMMYFUNCTION("""COMPUTED_VALUE"""),"McCracken")</f>
        <v>McCracken</v>
      </c>
      <c r="G304" s="6" t="str">
        <f>IFERROR(__xludf.DUMMYFUNCTION("""COMPUTED_VALUE"""),"07/07/2017")</f>
        <v>07/07/2017</v>
      </c>
      <c r="H304" s="6" t="str">
        <f>IFERROR(__xludf.DUMMYFUNCTION("""COMPUTED_VALUE"""),"female")</f>
        <v>female</v>
      </c>
      <c r="I304" s="6" t="str">
        <f>IFERROR(__xludf.DUMMYFUNCTION("""COMPUTED_VALUE"""),"Level 1")</f>
        <v>Level 1</v>
      </c>
      <c r="J304" s="6" t="str">
        <f>IFERROR(__xludf.DUMMYFUNCTION("""COMPUTED_VALUE"""),"3")</f>
        <v>3</v>
      </c>
      <c r="K304" s="6" t="str">
        <f>IFERROR(__xludf.DUMMYFUNCTION("""COMPUTED_VALUE"""),"harper.mccracken@2hourlearning.com")</f>
        <v>harper.mccracken@2hourlearning.com</v>
      </c>
      <c r="L304" s="6" t="str">
        <f>IFERROR(__xludf.DUMMYFUNCTION("""COMPUTED_VALUE"""),"Alpha Anywhere (homeschool)")</f>
        <v>Alpha Anywhere (homeschool)</v>
      </c>
      <c r="M304" s="6" t="str">
        <f>IFERROR(__xludf.DUMMYFUNCTION("""COMPUTED_VALUE"""),"")</f>
        <v/>
      </c>
      <c r="N304" s="6" t="str">
        <f>IFERROR(__xludf.DUMMYFUNCTION("""COMPUTED_VALUE"""),"")</f>
        <v/>
      </c>
      <c r="O304" s="87" t="str">
        <f>IFERROR(__xludf.DUMMYFUNCTION("""COMPUTED_VALUE"""),"https://drive.google.com/drive/folders/10T2cTQHqEJZqE-st6uFKPoI?usp=share_link")</f>
        <v>https://drive.google.com/drive/folders/10T2cTQHqEJZqE-st6uFKPoI?usp=share_link</v>
      </c>
      <c r="P304" s="6" t="str">
        <f>IFERROR(__xludf.DUMMYFUNCTION("""COMPUTED_VALUE"""),"Harper McCracken")</f>
        <v>Harper McCracken</v>
      </c>
      <c r="Q304" s="6" t="str">
        <f>IFERROR(__xludf.DUMMYFUNCTION("""COMPUTED_VALUE"""),"L1")</f>
        <v>L1</v>
      </c>
      <c r="R304" s="6">
        <f>IFERROR(__xludf.DUMMYFUNCTION("""COMPUTED_VALUE"""),1.0)</f>
        <v>1</v>
      </c>
      <c r="S304" s="6" t="str">
        <f>IFERROR(__xludf.DUMMYFUNCTION("""COMPUTED_VALUE""")," ")</f>
        <v> </v>
      </c>
      <c r="T304" s="6" t="str">
        <f>IFERROR(__xludf.DUMMYFUNCTION("""COMPUTED_VALUE"""),"")</f>
        <v/>
      </c>
      <c r="U304" s="6" t="str">
        <f>IFERROR(__xludf.DUMMYFUNCTION("""COMPUTED_VALUE"""),"3")</f>
        <v>3</v>
      </c>
      <c r="V304" s="6" t="str">
        <f>IFERROR(__xludf.DUMMYFUNCTION("""COMPUTED_VALUE"""),"")</f>
        <v/>
      </c>
      <c r="W304" s="6" t="str">
        <f>IFERROR(__xludf.DUMMYFUNCTION("""COMPUTED_VALUE"""),"[]")</f>
        <v>[]</v>
      </c>
      <c r="X304" s="6" t="str">
        <f>IFERROR(__xludf.DUMMYFUNCTION("""COMPUTED_VALUE"""),"Enrolled")</f>
        <v>Enrolled</v>
      </c>
    </row>
    <row r="305">
      <c r="A305" s="6" t="str">
        <f>IFERROR(__xludf.DUMMYFUNCTION("""COMPUTED_VALUE"""),"000-6804")</f>
        <v>000-6804</v>
      </c>
      <c r="B305" s="6" t="str">
        <f>IFERROR(__xludf.DUMMYFUNCTION("""COMPUTED_VALUE"""),"0")</f>
        <v>0</v>
      </c>
      <c r="C305" s="6" t="str">
        <f>IFERROR(__xludf.DUMMYFUNCTION("""COMPUTED_VALUE"""),"6804")</f>
        <v>6804</v>
      </c>
      <c r="D305" s="6" t="str">
        <f>IFERROR(__xludf.DUMMYFUNCTION("""COMPUTED_VALUE"""),"Genevieve")</f>
        <v>Genevieve</v>
      </c>
      <c r="E305" s="6" t="str">
        <f>IFERROR(__xludf.DUMMYFUNCTION("""COMPUTED_VALUE"""),"Jenna")</f>
        <v>Jenna</v>
      </c>
      <c r="F305" s="6" t="str">
        <f>IFERROR(__xludf.DUMMYFUNCTION("""COMPUTED_VALUE"""),"Gary")</f>
        <v>Gary</v>
      </c>
      <c r="G305" s="6" t="str">
        <f>IFERROR(__xludf.DUMMYFUNCTION("""COMPUTED_VALUE"""),"11/29/2016")</f>
        <v>11/29/2016</v>
      </c>
      <c r="H305" s="6" t="str">
        <f>IFERROR(__xludf.DUMMYFUNCTION("""COMPUTED_VALUE"""),"female")</f>
        <v>female</v>
      </c>
      <c r="I305" s="6" t="str">
        <f>IFERROR(__xludf.DUMMYFUNCTION("""COMPUTED_VALUE"""),"Level 1")</f>
        <v>Level 1</v>
      </c>
      <c r="J305" s="6" t="str">
        <f>IFERROR(__xludf.DUMMYFUNCTION("""COMPUTED_VALUE"""),"3")</f>
        <v>3</v>
      </c>
      <c r="K305" s="6" t="str">
        <f>IFERROR(__xludf.DUMMYFUNCTION("""COMPUTED_VALUE"""),"jenna.gary@2hourlearning.com")</f>
        <v>jenna.gary@2hourlearning.com</v>
      </c>
      <c r="L305" s="6" t="str">
        <f>IFERROR(__xludf.DUMMYFUNCTION("""COMPUTED_VALUE"""),"Alpha Anywhere (homeschool)")</f>
        <v>Alpha Anywhere (homeschool)</v>
      </c>
      <c r="M305" s="6" t="str">
        <f>IFERROR(__xludf.DUMMYFUNCTION("""COMPUTED_VALUE"""),"")</f>
        <v/>
      </c>
      <c r="N305" s="6" t="str">
        <f>IFERROR(__xludf.DUMMYFUNCTION("""COMPUTED_VALUE"""),"")</f>
        <v/>
      </c>
      <c r="O305" s="87" t="str">
        <f>IFERROR(__xludf.DUMMYFUNCTION("""COMPUTED_VALUE"""),"https://drive.google.com/drive/folders/10T2cTQHqEJZqE-st6uFKPoI?usp=share_link")</f>
        <v>https://drive.google.com/drive/folders/10T2cTQHqEJZqE-st6uFKPoI?usp=share_link</v>
      </c>
      <c r="P305" s="6" t="str">
        <f>IFERROR(__xludf.DUMMYFUNCTION("""COMPUTED_VALUE"""),"Jenna Gary")</f>
        <v>Jenna Gary</v>
      </c>
      <c r="Q305" s="6" t="str">
        <f>IFERROR(__xludf.DUMMYFUNCTION("""COMPUTED_VALUE"""),"L1")</f>
        <v>L1</v>
      </c>
      <c r="R305" s="6">
        <f>IFERROR(__xludf.DUMMYFUNCTION("""COMPUTED_VALUE"""),1.0)</f>
        <v>1</v>
      </c>
      <c r="S305" s="6" t="str">
        <f>IFERROR(__xludf.DUMMYFUNCTION("""COMPUTED_VALUE""")," ")</f>
        <v> </v>
      </c>
      <c r="T305" s="6" t="str">
        <f>IFERROR(__xludf.DUMMYFUNCTION("""COMPUTED_VALUE"""),"")</f>
        <v/>
      </c>
      <c r="U305" s="6" t="str">
        <f>IFERROR(__xludf.DUMMYFUNCTION("""COMPUTED_VALUE"""),"3")</f>
        <v>3</v>
      </c>
      <c r="V305" s="6" t="str">
        <f>IFERROR(__xludf.DUMMYFUNCTION("""COMPUTED_VALUE"""),"")</f>
        <v/>
      </c>
      <c r="W305" s="6" t="str">
        <f>IFERROR(__xludf.DUMMYFUNCTION("""COMPUTED_VALUE"""),"[]")</f>
        <v>[]</v>
      </c>
      <c r="X305" s="6" t="str">
        <f>IFERROR(__xludf.DUMMYFUNCTION("""COMPUTED_VALUE"""),"Enrolled")</f>
        <v>Enrolled</v>
      </c>
    </row>
    <row r="306">
      <c r="A306" s="6" t="str">
        <f>IFERROR(__xludf.DUMMYFUNCTION("""COMPUTED_VALUE"""),"000-6813")</f>
        <v>000-6813</v>
      </c>
      <c r="B306" s="6" t="str">
        <f>IFERROR(__xludf.DUMMYFUNCTION("""COMPUTED_VALUE"""),"0")</f>
        <v>0</v>
      </c>
      <c r="C306" s="6" t="str">
        <f>IFERROR(__xludf.DUMMYFUNCTION("""COMPUTED_VALUE"""),"6813")</f>
        <v>6813</v>
      </c>
      <c r="D306" s="6" t="str">
        <f>IFERROR(__xludf.DUMMYFUNCTION("""COMPUTED_VALUE"""),"Gabriel")</f>
        <v>Gabriel</v>
      </c>
      <c r="E306" s="6" t="str">
        <f>IFERROR(__xludf.DUMMYFUNCTION("""COMPUTED_VALUE"""),"Gabe")</f>
        <v>Gabe</v>
      </c>
      <c r="F306" s="6" t="str">
        <f>IFERROR(__xludf.DUMMYFUNCTION("""COMPUTED_VALUE"""),"Swanson")</f>
        <v>Swanson</v>
      </c>
      <c r="G306" s="6" t="str">
        <f>IFERROR(__xludf.DUMMYFUNCTION("""COMPUTED_VALUE"""),"03/26/2016")</f>
        <v>03/26/2016</v>
      </c>
      <c r="H306" s="6" t="str">
        <f>IFERROR(__xludf.DUMMYFUNCTION("""COMPUTED_VALUE"""),"male")</f>
        <v>male</v>
      </c>
      <c r="I306" s="6" t="str">
        <f>IFERROR(__xludf.DUMMYFUNCTION("""COMPUTED_VALUE"""),"Level 2")</f>
        <v>Level 2</v>
      </c>
      <c r="J306" s="6" t="str">
        <f>IFERROR(__xludf.DUMMYFUNCTION("""COMPUTED_VALUE"""),"4")</f>
        <v>4</v>
      </c>
      <c r="K306" s="6" t="str">
        <f>IFERROR(__xludf.DUMMYFUNCTION("""COMPUTED_VALUE"""),"gabe.swanson@2hourlearning.com")</f>
        <v>gabe.swanson@2hourlearning.com</v>
      </c>
      <c r="L306" s="6" t="str">
        <f>IFERROR(__xludf.DUMMYFUNCTION("""COMPUTED_VALUE"""),"Alpha Anywhere (homeschool)")</f>
        <v>Alpha Anywhere (homeschool)</v>
      </c>
      <c r="M306" s="6" t="str">
        <f>IFERROR(__xludf.DUMMYFUNCTION("""COMPUTED_VALUE"""),"")</f>
        <v/>
      </c>
      <c r="N306" s="6" t="str">
        <f>IFERROR(__xludf.DUMMYFUNCTION("""COMPUTED_VALUE"""),"")</f>
        <v/>
      </c>
      <c r="O306" s="87" t="str">
        <f>IFERROR(__xludf.DUMMYFUNCTION("""COMPUTED_VALUE"""),"https://drive.google.com/drive/folders/10T2cTQHqEJZqE-st6uFKPoI?usp=share_link")</f>
        <v>https://drive.google.com/drive/folders/10T2cTQHqEJZqE-st6uFKPoI?usp=share_link</v>
      </c>
      <c r="P306" s="6" t="str">
        <f>IFERROR(__xludf.DUMMYFUNCTION("""COMPUTED_VALUE"""),"Gabe Swanson")</f>
        <v>Gabe Swanson</v>
      </c>
      <c r="Q306" s="6" t="str">
        <f>IFERROR(__xludf.DUMMYFUNCTION("""COMPUTED_VALUE"""),"L2")</f>
        <v>L2</v>
      </c>
      <c r="R306" s="6">
        <f>IFERROR(__xludf.DUMMYFUNCTION("""COMPUTED_VALUE"""),2.0)</f>
        <v>2</v>
      </c>
      <c r="S306" s="6" t="str">
        <f>IFERROR(__xludf.DUMMYFUNCTION("""COMPUTED_VALUE""")," ")</f>
        <v> </v>
      </c>
      <c r="T306" s="6" t="str">
        <f>IFERROR(__xludf.DUMMYFUNCTION("""COMPUTED_VALUE"""),"")</f>
        <v/>
      </c>
      <c r="U306" s="6" t="str">
        <f>IFERROR(__xludf.DUMMYFUNCTION("""COMPUTED_VALUE"""),"4")</f>
        <v>4</v>
      </c>
      <c r="V306" s="6" t="str">
        <f>IFERROR(__xludf.DUMMYFUNCTION("""COMPUTED_VALUE"""),"")</f>
        <v/>
      </c>
      <c r="W306" s="6" t="str">
        <f>IFERROR(__xludf.DUMMYFUNCTION("""COMPUTED_VALUE"""),"[]")</f>
        <v>[]</v>
      </c>
      <c r="X306" s="6" t="str">
        <f>IFERROR(__xludf.DUMMYFUNCTION("""COMPUTED_VALUE"""),"Enrolled")</f>
        <v>Enrolled</v>
      </c>
    </row>
    <row r="307">
      <c r="A307" s="6" t="str">
        <f>IFERROR(__xludf.DUMMYFUNCTION("""COMPUTED_VALUE"""),"000-6815")</f>
        <v>000-6815</v>
      </c>
      <c r="B307" s="6" t="str">
        <f>IFERROR(__xludf.DUMMYFUNCTION("""COMPUTED_VALUE"""),"0")</f>
        <v>0</v>
      </c>
      <c r="C307" s="6" t="str">
        <f>IFERROR(__xludf.DUMMYFUNCTION("""COMPUTED_VALUE"""),"6815")</f>
        <v>6815</v>
      </c>
      <c r="D307" s="6" t="str">
        <f>IFERROR(__xludf.DUMMYFUNCTION("""COMPUTED_VALUE"""),"Sophia")</f>
        <v>Sophia</v>
      </c>
      <c r="E307" s="6" t="str">
        <f>IFERROR(__xludf.DUMMYFUNCTION("""COMPUTED_VALUE"""),"Sophia")</f>
        <v>Sophia</v>
      </c>
      <c r="F307" s="6" t="str">
        <f>IFERROR(__xludf.DUMMYFUNCTION("""COMPUTED_VALUE"""),"Schoonover")</f>
        <v>Schoonover</v>
      </c>
      <c r="G307" s="6" t="str">
        <f>IFERROR(__xludf.DUMMYFUNCTION("""COMPUTED_VALUE"""),"05/09/2018")</f>
        <v>05/09/2018</v>
      </c>
      <c r="H307" s="6" t="str">
        <f>IFERROR(__xludf.DUMMYFUNCTION("""COMPUTED_VALUE"""),"female")</f>
        <v>female</v>
      </c>
      <c r="I307" s="6" t="str">
        <f>IFERROR(__xludf.DUMMYFUNCTION("""COMPUTED_VALUE"""),"Level 1")</f>
        <v>Level 1</v>
      </c>
      <c r="J307" s="6" t="str">
        <f>IFERROR(__xludf.DUMMYFUNCTION("""COMPUTED_VALUE"""),"2")</f>
        <v>2</v>
      </c>
      <c r="K307" s="6" t="str">
        <f>IFERROR(__xludf.DUMMYFUNCTION("""COMPUTED_VALUE"""),"sophia.schoonover@2hourlearning.com")</f>
        <v>sophia.schoonover@2hourlearning.com</v>
      </c>
      <c r="L307" s="6" t="str">
        <f>IFERROR(__xludf.DUMMYFUNCTION("""COMPUTED_VALUE"""),"Alpha Anywhere (homeschool)")</f>
        <v>Alpha Anywhere (homeschool)</v>
      </c>
      <c r="M307" s="6" t="str">
        <f>IFERROR(__xludf.DUMMYFUNCTION("""COMPUTED_VALUE"""),"")</f>
        <v/>
      </c>
      <c r="N307" s="6" t="str">
        <f>IFERROR(__xludf.DUMMYFUNCTION("""COMPUTED_VALUE"""),"")</f>
        <v/>
      </c>
      <c r="O307" s="87" t="str">
        <f>IFERROR(__xludf.DUMMYFUNCTION("""COMPUTED_VALUE"""),"https://drive.google.com/drive/folders/10T2cTQHqEJZqE-st6uFKPoI?usp=share_link")</f>
        <v>https://drive.google.com/drive/folders/10T2cTQHqEJZqE-st6uFKPoI?usp=share_link</v>
      </c>
      <c r="P307" s="6" t="str">
        <f>IFERROR(__xludf.DUMMYFUNCTION("""COMPUTED_VALUE"""),"Sophia Schoonover")</f>
        <v>Sophia Schoonover</v>
      </c>
      <c r="Q307" s="6" t="str">
        <f>IFERROR(__xludf.DUMMYFUNCTION("""COMPUTED_VALUE"""),"L1")</f>
        <v>L1</v>
      </c>
      <c r="R307" s="6">
        <f>IFERROR(__xludf.DUMMYFUNCTION("""COMPUTED_VALUE"""),1.0)</f>
        <v>1</v>
      </c>
      <c r="S307" s="6" t="str">
        <f>IFERROR(__xludf.DUMMYFUNCTION("""COMPUTED_VALUE""")," ")</f>
        <v> </v>
      </c>
      <c r="T307" s="6" t="str">
        <f>IFERROR(__xludf.DUMMYFUNCTION("""COMPUTED_VALUE"""),"")</f>
        <v/>
      </c>
      <c r="U307" s="6" t="str">
        <f>IFERROR(__xludf.DUMMYFUNCTION("""COMPUTED_VALUE"""),"2")</f>
        <v>2</v>
      </c>
      <c r="V307" s="6" t="str">
        <f>IFERROR(__xludf.DUMMYFUNCTION("""COMPUTED_VALUE"""),"")</f>
        <v/>
      </c>
      <c r="W307" s="6" t="str">
        <f>IFERROR(__xludf.DUMMYFUNCTION("""COMPUTED_VALUE"""),"[]")</f>
        <v>[]</v>
      </c>
      <c r="X307" s="6" t="str">
        <f>IFERROR(__xludf.DUMMYFUNCTION("""COMPUTED_VALUE"""),"Enrolled")</f>
        <v>Enrolled</v>
      </c>
    </row>
    <row r="308">
      <c r="A308" s="6" t="str">
        <f>IFERROR(__xludf.DUMMYFUNCTION("""COMPUTED_VALUE"""),"000-6822")</f>
        <v>000-6822</v>
      </c>
      <c r="B308" s="6" t="str">
        <f>IFERROR(__xludf.DUMMYFUNCTION("""COMPUTED_VALUE"""),"0")</f>
        <v>0</v>
      </c>
      <c r="C308" s="6" t="str">
        <f>IFERROR(__xludf.DUMMYFUNCTION("""COMPUTED_VALUE"""),"6822")</f>
        <v>6822</v>
      </c>
      <c r="D308" s="6" t="str">
        <f>IFERROR(__xludf.DUMMYFUNCTION("""COMPUTED_VALUE"""),"Reade")</f>
        <v>Reade</v>
      </c>
      <c r="E308" s="6" t="str">
        <f>IFERROR(__xludf.DUMMYFUNCTION("""COMPUTED_VALUE"""),"")</f>
        <v/>
      </c>
      <c r="F308" s="6" t="str">
        <f>IFERROR(__xludf.DUMMYFUNCTION("""COMPUTED_VALUE"""),"Merlau")</f>
        <v>Merlau</v>
      </c>
      <c r="G308" s="6" t="str">
        <f>IFERROR(__xludf.DUMMYFUNCTION("""COMPUTED_VALUE"""),"08/21/2013")</f>
        <v>08/21/2013</v>
      </c>
      <c r="H308" s="6" t="str">
        <f>IFERROR(__xludf.DUMMYFUNCTION("""COMPUTED_VALUE"""),"Self Identify")</f>
        <v>Self Identify</v>
      </c>
      <c r="I308" s="6" t="str">
        <f>IFERROR(__xludf.DUMMYFUNCTION("""COMPUTED_VALUE"""),"Middle School")</f>
        <v>Middle School</v>
      </c>
      <c r="J308" s="6" t="str">
        <f>IFERROR(__xludf.DUMMYFUNCTION("""COMPUTED_VALUE"""),"6")</f>
        <v>6</v>
      </c>
      <c r="K308" s="6" t="str">
        <f>IFERROR(__xludf.DUMMYFUNCTION("""COMPUTED_VALUE"""),"reade.merlau@2hourlearning.com")</f>
        <v>reade.merlau@2hourlearning.com</v>
      </c>
      <c r="L308" s="6" t="str">
        <f>IFERROR(__xludf.DUMMYFUNCTION("""COMPUTED_VALUE"""),"Alpha Anywhere (homeschool)")</f>
        <v>Alpha Anywhere (homeschool)</v>
      </c>
      <c r="M308" s="6" t="str">
        <f>IFERROR(__xludf.DUMMYFUNCTION("""COMPUTED_VALUE"""),"")</f>
        <v/>
      </c>
      <c r="N308" s="6" t="str">
        <f>IFERROR(__xludf.DUMMYFUNCTION("""COMPUTED_VALUE"""),"")</f>
        <v/>
      </c>
      <c r="O308" s="87" t="str">
        <f>IFERROR(__xludf.DUMMYFUNCTION("""COMPUTED_VALUE"""),"https://drive.google.com/drive/folders/10T2cTQHqEJZqE-st6uFKPoI?usp=share_link")</f>
        <v>https://drive.google.com/drive/folders/10T2cTQHqEJZqE-st6uFKPoI?usp=share_link</v>
      </c>
      <c r="P308" s="6" t="str">
        <f>IFERROR(__xludf.DUMMYFUNCTION("""COMPUTED_VALUE"""),"Reade Merlau")</f>
        <v>Reade Merlau</v>
      </c>
      <c r="Q308" s="6" t="str">
        <f>IFERROR(__xludf.DUMMYFUNCTION("""COMPUTED_VALUE"""),"MS")</f>
        <v>MS</v>
      </c>
      <c r="R308" s="6">
        <f>IFERROR(__xludf.DUMMYFUNCTION("""COMPUTED_VALUE"""),0.0)</f>
        <v>0</v>
      </c>
      <c r="S308" s="6" t="str">
        <f>IFERROR(__xludf.DUMMYFUNCTION("""COMPUTED_VALUE""")," ")</f>
        <v> </v>
      </c>
      <c r="T308" s="6" t="str">
        <f>IFERROR(__xludf.DUMMYFUNCTION("""COMPUTED_VALUE"""),"")</f>
        <v/>
      </c>
      <c r="U308" s="6" t="str">
        <f>IFERROR(__xludf.DUMMYFUNCTION("""COMPUTED_VALUE"""),"6")</f>
        <v>6</v>
      </c>
      <c r="V308" s="6" t="str">
        <f>IFERROR(__xludf.DUMMYFUNCTION("""COMPUTED_VALUE"""),"")</f>
        <v/>
      </c>
      <c r="W308" s="6" t="str">
        <f>IFERROR(__xludf.DUMMYFUNCTION("""COMPUTED_VALUE"""),"[]")</f>
        <v>[]</v>
      </c>
      <c r="X308" s="6" t="str">
        <f>IFERROR(__xludf.DUMMYFUNCTION("""COMPUTED_VALUE"""),"Enrolled")</f>
        <v>Enrolled</v>
      </c>
    </row>
    <row r="309">
      <c r="A309" s="6" t="str">
        <f>IFERROR(__xludf.DUMMYFUNCTION("""COMPUTED_VALUE"""),"000-6825")</f>
        <v>000-6825</v>
      </c>
      <c r="B309" s="6" t="str">
        <f>IFERROR(__xludf.DUMMYFUNCTION("""COMPUTED_VALUE"""),"0")</f>
        <v>0</v>
      </c>
      <c r="C309" s="6" t="str">
        <f>IFERROR(__xludf.DUMMYFUNCTION("""COMPUTED_VALUE"""),"6825")</f>
        <v>6825</v>
      </c>
      <c r="D309" s="6" t="str">
        <f>IFERROR(__xludf.DUMMYFUNCTION("""COMPUTED_VALUE"""),"July")</f>
        <v>July</v>
      </c>
      <c r="E309" s="6" t="str">
        <f>IFERROR(__xludf.DUMMYFUNCTION("""COMPUTED_VALUE"""),"July")</f>
        <v>July</v>
      </c>
      <c r="F309" s="6" t="str">
        <f>IFERROR(__xludf.DUMMYFUNCTION("""COMPUTED_VALUE"""),"Johnson")</f>
        <v>Johnson</v>
      </c>
      <c r="G309" s="6" t="str">
        <f>IFERROR(__xludf.DUMMYFUNCTION("""COMPUTED_VALUE"""),"01/30/2014")</f>
        <v>01/30/2014</v>
      </c>
      <c r="H309" s="6" t="str">
        <f>IFERROR(__xludf.DUMMYFUNCTION("""COMPUTED_VALUE"""),"male")</f>
        <v>male</v>
      </c>
      <c r="I309" s="6" t="str">
        <f>IFERROR(__xludf.DUMMYFUNCTION("""COMPUTED_VALUE"""),"Middle School")</f>
        <v>Middle School</v>
      </c>
      <c r="J309" s="6" t="str">
        <f>IFERROR(__xludf.DUMMYFUNCTION("""COMPUTED_VALUE"""),"6")</f>
        <v>6</v>
      </c>
      <c r="K309" s="6" t="str">
        <f>IFERROR(__xludf.DUMMYFUNCTION("""COMPUTED_VALUE"""),"july.johnson@2hourlearning.com")</f>
        <v>july.johnson@2hourlearning.com</v>
      </c>
      <c r="L309" s="6" t="str">
        <f>IFERROR(__xludf.DUMMYFUNCTION("""COMPUTED_VALUE"""),"Alpha Anywhere (homeschool)")</f>
        <v>Alpha Anywhere (homeschool)</v>
      </c>
      <c r="M309" s="6" t="str">
        <f>IFERROR(__xludf.DUMMYFUNCTION("""COMPUTED_VALUE"""),"")</f>
        <v/>
      </c>
      <c r="N309" s="6" t="str">
        <f>IFERROR(__xludf.DUMMYFUNCTION("""COMPUTED_VALUE"""),"")</f>
        <v/>
      </c>
      <c r="O309" s="87" t="str">
        <f>IFERROR(__xludf.DUMMYFUNCTION("""COMPUTED_VALUE"""),"https://drive.google.com/drive/folders/10T2cTQHqEJZqE-st6uFKPoI?usp=share_link")</f>
        <v>https://drive.google.com/drive/folders/10T2cTQHqEJZqE-st6uFKPoI?usp=share_link</v>
      </c>
      <c r="P309" s="6" t="str">
        <f>IFERROR(__xludf.DUMMYFUNCTION("""COMPUTED_VALUE"""),"July Johnson")</f>
        <v>July Johnson</v>
      </c>
      <c r="Q309" s="6" t="str">
        <f>IFERROR(__xludf.DUMMYFUNCTION("""COMPUTED_VALUE"""),"MS")</f>
        <v>MS</v>
      </c>
      <c r="R309" s="6">
        <f>IFERROR(__xludf.DUMMYFUNCTION("""COMPUTED_VALUE"""),0.0)</f>
        <v>0</v>
      </c>
      <c r="S309" s="6" t="str">
        <f>IFERROR(__xludf.DUMMYFUNCTION("""COMPUTED_VALUE""")," ")</f>
        <v> </v>
      </c>
      <c r="T309" s="6" t="str">
        <f>IFERROR(__xludf.DUMMYFUNCTION("""COMPUTED_VALUE"""),"")</f>
        <v/>
      </c>
      <c r="U309" s="6" t="str">
        <f>IFERROR(__xludf.DUMMYFUNCTION("""COMPUTED_VALUE"""),"6")</f>
        <v>6</v>
      </c>
      <c r="V309" s="6" t="str">
        <f>IFERROR(__xludf.DUMMYFUNCTION("""COMPUTED_VALUE"""),"")</f>
        <v/>
      </c>
      <c r="W309" s="6" t="str">
        <f>IFERROR(__xludf.DUMMYFUNCTION("""COMPUTED_VALUE"""),"[]")</f>
        <v>[]</v>
      </c>
      <c r="X309" s="6" t="str">
        <f>IFERROR(__xludf.DUMMYFUNCTION("""COMPUTED_VALUE"""),"Enrolled")</f>
        <v>Enrolled</v>
      </c>
    </row>
    <row r="310">
      <c r="A310" s="6" t="str">
        <f>IFERROR(__xludf.DUMMYFUNCTION("""COMPUTED_VALUE"""),"000-6867")</f>
        <v>000-6867</v>
      </c>
      <c r="B310" s="6" t="str">
        <f>IFERROR(__xludf.DUMMYFUNCTION("""COMPUTED_VALUE"""),"0")</f>
        <v>0</v>
      </c>
      <c r="C310" s="6" t="str">
        <f>IFERROR(__xludf.DUMMYFUNCTION("""COMPUTED_VALUE"""),"6867")</f>
        <v>6867</v>
      </c>
      <c r="D310" s="6" t="str">
        <f>IFERROR(__xludf.DUMMYFUNCTION("""COMPUTED_VALUE"""),"Axel")</f>
        <v>Axel</v>
      </c>
      <c r="E310" s="6" t="str">
        <f>IFERROR(__xludf.DUMMYFUNCTION("""COMPUTED_VALUE"""),"")</f>
        <v/>
      </c>
      <c r="F310" s="6" t="str">
        <f>IFERROR(__xludf.DUMMYFUNCTION("""COMPUTED_VALUE"""),"Becker")</f>
        <v>Becker</v>
      </c>
      <c r="G310" s="6" t="str">
        <f>IFERROR(__xludf.DUMMYFUNCTION("""COMPUTED_VALUE"""),"11/15/2016")</f>
        <v>11/15/2016</v>
      </c>
      <c r="H310" s="6" t="str">
        <f>IFERROR(__xludf.DUMMYFUNCTION("""COMPUTED_VALUE"""),"male")</f>
        <v>male</v>
      </c>
      <c r="I310" s="6" t="str">
        <f>IFERROR(__xludf.DUMMYFUNCTION("""COMPUTED_VALUE"""),"Level 2")</f>
        <v>Level 2</v>
      </c>
      <c r="J310" s="6" t="str">
        <f>IFERROR(__xludf.DUMMYFUNCTION("""COMPUTED_VALUE"""),"4")</f>
        <v>4</v>
      </c>
      <c r="K310" s="6" t="str">
        <f>IFERROR(__xludf.DUMMYFUNCTION("""COMPUTED_VALUE"""),"axel.becker@2hourlearning.com")</f>
        <v>axel.becker@2hourlearning.com</v>
      </c>
      <c r="L310" s="6" t="str">
        <f>IFERROR(__xludf.DUMMYFUNCTION("""COMPUTED_VALUE"""),"Alpha Anywhere (homeschool)")</f>
        <v>Alpha Anywhere (homeschool)</v>
      </c>
      <c r="M310" s="6" t="str">
        <f>IFERROR(__xludf.DUMMYFUNCTION("""COMPUTED_VALUE"""),"")</f>
        <v/>
      </c>
      <c r="N310" s="6" t="str">
        <f>IFERROR(__xludf.DUMMYFUNCTION("""COMPUTED_VALUE"""),"")</f>
        <v/>
      </c>
      <c r="O310" s="87" t="str">
        <f>IFERROR(__xludf.DUMMYFUNCTION("""COMPUTED_VALUE"""),"https://drive.google.com/drive/folders/10T2cTQHqEJZqE-st6uFKPoI?usp=share_link")</f>
        <v>https://drive.google.com/drive/folders/10T2cTQHqEJZqE-st6uFKPoI?usp=share_link</v>
      </c>
      <c r="P310" s="6" t="str">
        <f>IFERROR(__xludf.DUMMYFUNCTION("""COMPUTED_VALUE"""),"Axel Becker")</f>
        <v>Axel Becker</v>
      </c>
      <c r="Q310" s="6" t="str">
        <f>IFERROR(__xludf.DUMMYFUNCTION("""COMPUTED_VALUE"""),"L2")</f>
        <v>L2</v>
      </c>
      <c r="R310" s="6">
        <f>IFERROR(__xludf.DUMMYFUNCTION("""COMPUTED_VALUE"""),2.0)</f>
        <v>2</v>
      </c>
      <c r="S310" s="6" t="str">
        <f>IFERROR(__xludf.DUMMYFUNCTION("""COMPUTED_VALUE""")," ")</f>
        <v> </v>
      </c>
      <c r="T310" s="6" t="str">
        <f>IFERROR(__xludf.DUMMYFUNCTION("""COMPUTED_VALUE"""),"")</f>
        <v/>
      </c>
      <c r="U310" s="6" t="str">
        <f>IFERROR(__xludf.DUMMYFUNCTION("""COMPUTED_VALUE"""),"4")</f>
        <v>4</v>
      </c>
      <c r="V310" s="6" t="str">
        <f>IFERROR(__xludf.DUMMYFUNCTION("""COMPUTED_VALUE"""),"")</f>
        <v/>
      </c>
      <c r="W310" s="6" t="str">
        <f>IFERROR(__xludf.DUMMYFUNCTION("""COMPUTED_VALUE"""),"[]")</f>
        <v>[]</v>
      </c>
      <c r="X310" s="6" t="str">
        <f>IFERROR(__xludf.DUMMYFUNCTION("""COMPUTED_VALUE"""),"Enrolled")</f>
        <v>Enrolled</v>
      </c>
    </row>
    <row r="311">
      <c r="A311" s="6" t="str">
        <f>IFERROR(__xludf.DUMMYFUNCTION("""COMPUTED_VALUE"""),"000-6878")</f>
        <v>000-6878</v>
      </c>
      <c r="B311" s="6" t="str">
        <f>IFERROR(__xludf.DUMMYFUNCTION("""COMPUTED_VALUE"""),"0")</f>
        <v>0</v>
      </c>
      <c r="C311" s="6" t="str">
        <f>IFERROR(__xludf.DUMMYFUNCTION("""COMPUTED_VALUE"""),"6878")</f>
        <v>6878</v>
      </c>
      <c r="D311" s="6" t="str">
        <f>IFERROR(__xludf.DUMMYFUNCTION("""COMPUTED_VALUE"""),"Francesca")</f>
        <v>Francesca</v>
      </c>
      <c r="E311" s="6" t="str">
        <f>IFERROR(__xludf.DUMMYFUNCTION("""COMPUTED_VALUE"""),"Francesca")</f>
        <v>Francesca</v>
      </c>
      <c r="F311" s="6" t="str">
        <f>IFERROR(__xludf.DUMMYFUNCTION("""COMPUTED_VALUE"""),"Bishop")</f>
        <v>Bishop</v>
      </c>
      <c r="G311" s="6" t="str">
        <f>IFERROR(__xludf.DUMMYFUNCTION("""COMPUTED_VALUE"""),"01/02/2012")</f>
        <v>01/02/2012</v>
      </c>
      <c r="H311" s="6" t="str">
        <f>IFERROR(__xludf.DUMMYFUNCTION("""COMPUTED_VALUE"""),"female")</f>
        <v>female</v>
      </c>
      <c r="I311" s="6" t="str">
        <f>IFERROR(__xludf.DUMMYFUNCTION("""COMPUTED_VALUE"""),"Middle School")</f>
        <v>Middle School</v>
      </c>
      <c r="J311" s="6" t="str">
        <f>IFERROR(__xludf.DUMMYFUNCTION("""COMPUTED_VALUE"""),"8")</f>
        <v>8</v>
      </c>
      <c r="K311" s="6" t="str">
        <f>IFERROR(__xludf.DUMMYFUNCTION("""COMPUTED_VALUE"""),"francesca.bishop@2hourlearning.com")</f>
        <v>francesca.bishop@2hourlearning.com</v>
      </c>
      <c r="L311" s="6" t="str">
        <f>IFERROR(__xludf.DUMMYFUNCTION("""COMPUTED_VALUE"""),"Alpha Anywhere (homeschool)")</f>
        <v>Alpha Anywhere (homeschool)</v>
      </c>
      <c r="M311" s="6" t="str">
        <f>IFERROR(__xludf.DUMMYFUNCTION("""COMPUTED_VALUE"""),"")</f>
        <v/>
      </c>
      <c r="N311" s="6" t="str">
        <f>IFERROR(__xludf.DUMMYFUNCTION("""COMPUTED_VALUE"""),"")</f>
        <v/>
      </c>
      <c r="O311" s="87" t="str">
        <f>IFERROR(__xludf.DUMMYFUNCTION("""COMPUTED_VALUE"""),"https://drive.google.com/drive/folders/10T2cTQHqEJZqE-st6uFKPoI?usp=share_link")</f>
        <v>https://drive.google.com/drive/folders/10T2cTQHqEJZqE-st6uFKPoI?usp=share_link</v>
      </c>
      <c r="P311" s="6" t="str">
        <f>IFERROR(__xludf.DUMMYFUNCTION("""COMPUTED_VALUE"""),"Francesca Bishop")</f>
        <v>Francesca Bishop</v>
      </c>
      <c r="Q311" s="6" t="str">
        <f>IFERROR(__xludf.DUMMYFUNCTION("""COMPUTED_VALUE"""),"MS")</f>
        <v>MS</v>
      </c>
      <c r="R311" s="6">
        <f>IFERROR(__xludf.DUMMYFUNCTION("""COMPUTED_VALUE"""),0.0)</f>
        <v>0</v>
      </c>
      <c r="S311" s="6" t="str">
        <f>IFERROR(__xludf.DUMMYFUNCTION("""COMPUTED_VALUE""")," ")</f>
        <v> </v>
      </c>
      <c r="T311" s="6" t="str">
        <f>IFERROR(__xludf.DUMMYFUNCTION("""COMPUTED_VALUE"""),"")</f>
        <v/>
      </c>
      <c r="U311" s="6" t="str">
        <f>IFERROR(__xludf.DUMMYFUNCTION("""COMPUTED_VALUE"""),"8")</f>
        <v>8</v>
      </c>
      <c r="V311" s="6" t="str">
        <f>IFERROR(__xludf.DUMMYFUNCTION("""COMPUTED_VALUE"""),"")</f>
        <v/>
      </c>
      <c r="W311" s="6" t="str">
        <f>IFERROR(__xludf.DUMMYFUNCTION("""COMPUTED_VALUE"""),"[]")</f>
        <v>[]</v>
      </c>
      <c r="X311" s="6" t="str">
        <f>IFERROR(__xludf.DUMMYFUNCTION("""COMPUTED_VALUE"""),"Enrolled")</f>
        <v>Enrolled</v>
      </c>
    </row>
    <row r="312">
      <c r="A312" s="6" t="str">
        <f>IFERROR(__xludf.DUMMYFUNCTION("""COMPUTED_VALUE"""),"000-6908")</f>
        <v>000-6908</v>
      </c>
      <c r="B312" s="6" t="str">
        <f>IFERROR(__xludf.DUMMYFUNCTION("""COMPUTED_VALUE"""),"0")</f>
        <v>0</v>
      </c>
      <c r="C312" s="6" t="str">
        <f>IFERROR(__xludf.DUMMYFUNCTION("""COMPUTED_VALUE"""),"6908")</f>
        <v>6908</v>
      </c>
      <c r="D312" s="6" t="str">
        <f>IFERROR(__xludf.DUMMYFUNCTION("""COMPUTED_VALUE"""),"Sofia")</f>
        <v>Sofia</v>
      </c>
      <c r="E312" s="6" t="str">
        <f>IFERROR(__xludf.DUMMYFUNCTION("""COMPUTED_VALUE"""),"")</f>
        <v/>
      </c>
      <c r="F312" s="6" t="str">
        <f>IFERROR(__xludf.DUMMYFUNCTION("""COMPUTED_VALUE"""),"Anderson")</f>
        <v>Anderson</v>
      </c>
      <c r="G312" s="6" t="str">
        <f>IFERROR(__xludf.DUMMYFUNCTION("""COMPUTED_VALUE"""),"01/30/2012")</f>
        <v>01/30/2012</v>
      </c>
      <c r="H312" s="6" t="str">
        <f>IFERROR(__xludf.DUMMYFUNCTION("""COMPUTED_VALUE"""),"female")</f>
        <v>female</v>
      </c>
      <c r="I312" s="6" t="str">
        <f>IFERROR(__xludf.DUMMYFUNCTION("""COMPUTED_VALUE"""),"Middle School")</f>
        <v>Middle School</v>
      </c>
      <c r="J312" s="6" t="str">
        <f>IFERROR(__xludf.DUMMYFUNCTION("""COMPUTED_VALUE"""),"8")</f>
        <v>8</v>
      </c>
      <c r="K312" s="6" t="str">
        <f>IFERROR(__xludf.DUMMYFUNCTION("""COMPUTED_VALUE"""),"sofia.anderson@2hourlearning.com")</f>
        <v>sofia.anderson@2hourlearning.com</v>
      </c>
      <c r="L312" s="6" t="str">
        <f>IFERROR(__xludf.DUMMYFUNCTION("""COMPUTED_VALUE"""),"Alpha Anywhere (homeschool)")</f>
        <v>Alpha Anywhere (homeschool)</v>
      </c>
      <c r="M312" s="6" t="str">
        <f>IFERROR(__xludf.DUMMYFUNCTION("""COMPUTED_VALUE"""),"")</f>
        <v/>
      </c>
      <c r="N312" s="6" t="str">
        <f>IFERROR(__xludf.DUMMYFUNCTION("""COMPUTED_VALUE"""),"")</f>
        <v/>
      </c>
      <c r="O312" s="87" t="str">
        <f>IFERROR(__xludf.DUMMYFUNCTION("""COMPUTED_VALUE"""),"https://drive.google.com/drive/folders/10T2cTQHqEJZqE-st6uFKPoI?usp=share_link")</f>
        <v>https://drive.google.com/drive/folders/10T2cTQHqEJZqE-st6uFKPoI?usp=share_link</v>
      </c>
      <c r="P312" s="6" t="str">
        <f>IFERROR(__xludf.DUMMYFUNCTION("""COMPUTED_VALUE"""),"Sofia Anderson")</f>
        <v>Sofia Anderson</v>
      </c>
      <c r="Q312" s="6" t="str">
        <f>IFERROR(__xludf.DUMMYFUNCTION("""COMPUTED_VALUE"""),"MS")</f>
        <v>MS</v>
      </c>
      <c r="R312" s="6">
        <f>IFERROR(__xludf.DUMMYFUNCTION("""COMPUTED_VALUE"""),0.0)</f>
        <v>0</v>
      </c>
      <c r="S312" s="6" t="str">
        <f>IFERROR(__xludf.DUMMYFUNCTION("""COMPUTED_VALUE""")," ")</f>
        <v> </v>
      </c>
      <c r="T312" s="6" t="str">
        <f>IFERROR(__xludf.DUMMYFUNCTION("""COMPUTED_VALUE"""),"")</f>
        <v/>
      </c>
      <c r="U312" s="6" t="str">
        <f>IFERROR(__xludf.DUMMYFUNCTION("""COMPUTED_VALUE"""),"8")</f>
        <v>8</v>
      </c>
      <c r="V312" s="6" t="str">
        <f>IFERROR(__xludf.DUMMYFUNCTION("""COMPUTED_VALUE"""),"")</f>
        <v/>
      </c>
      <c r="W312" s="6" t="str">
        <f>IFERROR(__xludf.DUMMYFUNCTION("""COMPUTED_VALUE"""),"[]")</f>
        <v>[]</v>
      </c>
      <c r="X312" s="6" t="str">
        <f>IFERROR(__xludf.DUMMYFUNCTION("""COMPUTED_VALUE"""),"Enrolled")</f>
        <v>Enrolled</v>
      </c>
    </row>
    <row r="313">
      <c r="A313" s="6" t="str">
        <f>IFERROR(__xludf.DUMMYFUNCTION("""COMPUTED_VALUE"""),"000-6909")</f>
        <v>000-6909</v>
      </c>
      <c r="B313" s="6" t="str">
        <f>IFERROR(__xludf.DUMMYFUNCTION("""COMPUTED_VALUE"""),"0")</f>
        <v>0</v>
      </c>
      <c r="C313" s="6" t="str">
        <f>IFERROR(__xludf.DUMMYFUNCTION("""COMPUTED_VALUE"""),"6909")</f>
        <v>6909</v>
      </c>
      <c r="D313" s="6" t="str">
        <f>IFERROR(__xludf.DUMMYFUNCTION("""COMPUTED_VALUE"""),"Maive")</f>
        <v>Maive</v>
      </c>
      <c r="E313" s="6" t="str">
        <f>IFERROR(__xludf.DUMMYFUNCTION("""COMPUTED_VALUE"""),"Maive")</f>
        <v>Maive</v>
      </c>
      <c r="F313" s="6" t="str">
        <f>IFERROR(__xludf.DUMMYFUNCTION("""COMPUTED_VALUE"""),"Keultjes")</f>
        <v>Keultjes</v>
      </c>
      <c r="G313" s="6" t="str">
        <f>IFERROR(__xludf.DUMMYFUNCTION("""COMPUTED_VALUE"""),"03/26/2012")</f>
        <v>03/26/2012</v>
      </c>
      <c r="H313" s="6" t="str">
        <f>IFERROR(__xludf.DUMMYFUNCTION("""COMPUTED_VALUE"""),"female")</f>
        <v>female</v>
      </c>
      <c r="I313" s="6" t="str">
        <f>IFERROR(__xludf.DUMMYFUNCTION("""COMPUTED_VALUE"""),"Middle School")</f>
        <v>Middle School</v>
      </c>
      <c r="J313" s="6" t="str">
        <f>IFERROR(__xludf.DUMMYFUNCTION("""COMPUTED_VALUE"""),"8")</f>
        <v>8</v>
      </c>
      <c r="K313" s="6" t="str">
        <f>IFERROR(__xludf.DUMMYFUNCTION("""COMPUTED_VALUE"""),"maive.keultjes@2hourlearning.com")</f>
        <v>maive.keultjes@2hourlearning.com</v>
      </c>
      <c r="L313" s="6" t="str">
        <f>IFERROR(__xludf.DUMMYFUNCTION("""COMPUTED_VALUE"""),"Alpha Anywhere (homeschool)")</f>
        <v>Alpha Anywhere (homeschool)</v>
      </c>
      <c r="M313" s="6" t="str">
        <f>IFERROR(__xludf.DUMMYFUNCTION("""COMPUTED_VALUE"""),"")</f>
        <v/>
      </c>
      <c r="N313" s="6" t="str">
        <f>IFERROR(__xludf.DUMMYFUNCTION("""COMPUTED_VALUE"""),"")</f>
        <v/>
      </c>
      <c r="O313" s="87" t="str">
        <f>IFERROR(__xludf.DUMMYFUNCTION("""COMPUTED_VALUE"""),"https://drive.google.com/drive/folders/10T2cTQHqEJZqE-st6uFKPoI?usp=share_link")</f>
        <v>https://drive.google.com/drive/folders/10T2cTQHqEJZqE-st6uFKPoI?usp=share_link</v>
      </c>
      <c r="P313" s="6" t="str">
        <f>IFERROR(__xludf.DUMMYFUNCTION("""COMPUTED_VALUE"""),"Maive Keultjes")</f>
        <v>Maive Keultjes</v>
      </c>
      <c r="Q313" s="6" t="str">
        <f>IFERROR(__xludf.DUMMYFUNCTION("""COMPUTED_VALUE"""),"MS")</f>
        <v>MS</v>
      </c>
      <c r="R313" s="6">
        <f>IFERROR(__xludf.DUMMYFUNCTION("""COMPUTED_VALUE"""),0.0)</f>
        <v>0</v>
      </c>
      <c r="S313" s="6" t="str">
        <f>IFERROR(__xludf.DUMMYFUNCTION("""COMPUTED_VALUE""")," ")</f>
        <v> </v>
      </c>
      <c r="T313" s="6" t="str">
        <f>IFERROR(__xludf.DUMMYFUNCTION("""COMPUTED_VALUE"""),"")</f>
        <v/>
      </c>
      <c r="U313" s="6" t="str">
        <f>IFERROR(__xludf.DUMMYFUNCTION("""COMPUTED_VALUE"""),"8")</f>
        <v>8</v>
      </c>
      <c r="V313" s="6" t="str">
        <f>IFERROR(__xludf.DUMMYFUNCTION("""COMPUTED_VALUE"""),"")</f>
        <v/>
      </c>
      <c r="W313" s="6" t="str">
        <f>IFERROR(__xludf.DUMMYFUNCTION("""COMPUTED_VALUE"""),"[]")</f>
        <v>[]</v>
      </c>
      <c r="X313" s="6" t="str">
        <f>IFERROR(__xludf.DUMMYFUNCTION("""COMPUTED_VALUE"""),"Enrolled")</f>
        <v>Enrolled</v>
      </c>
    </row>
    <row r="314">
      <c r="A314" s="6" t="str">
        <f>IFERROR(__xludf.DUMMYFUNCTION("""COMPUTED_VALUE"""),"000-6910")</f>
        <v>000-6910</v>
      </c>
      <c r="B314" s="6" t="str">
        <f>IFERROR(__xludf.DUMMYFUNCTION("""COMPUTED_VALUE"""),"0")</f>
        <v>0</v>
      </c>
      <c r="C314" s="6" t="str">
        <f>IFERROR(__xludf.DUMMYFUNCTION("""COMPUTED_VALUE"""),"6910")</f>
        <v>6910</v>
      </c>
      <c r="D314" s="6" t="str">
        <f>IFERROR(__xludf.DUMMYFUNCTION("""COMPUTED_VALUE"""),"Alessandro")</f>
        <v>Alessandro</v>
      </c>
      <c r="E314" s="6" t="str">
        <f>IFERROR(__xludf.DUMMYFUNCTION("""COMPUTED_VALUE"""),"Olly")</f>
        <v>Olly</v>
      </c>
      <c r="F314" s="6" t="str">
        <f>IFERROR(__xludf.DUMMYFUNCTION("""COMPUTED_VALUE"""),"Anderson")</f>
        <v>Anderson</v>
      </c>
      <c r="G314" s="6" t="str">
        <f>IFERROR(__xludf.DUMMYFUNCTION("""COMPUTED_VALUE"""),"12/06/2014")</f>
        <v>12/06/2014</v>
      </c>
      <c r="H314" s="6" t="str">
        <f>IFERROR(__xludf.DUMMYFUNCTION("""COMPUTED_VALUE"""),"male")</f>
        <v>male</v>
      </c>
      <c r="I314" s="6" t="str">
        <f>IFERROR(__xludf.DUMMYFUNCTION("""COMPUTED_VALUE"""),"Level 2")</f>
        <v>Level 2</v>
      </c>
      <c r="J314" s="6" t="str">
        <f>IFERROR(__xludf.DUMMYFUNCTION("""COMPUTED_VALUE"""),"5")</f>
        <v>5</v>
      </c>
      <c r="K314" s="6" t="str">
        <f>IFERROR(__xludf.DUMMYFUNCTION("""COMPUTED_VALUE"""),"olly.anderson@2hourlearning.com")</f>
        <v>olly.anderson@2hourlearning.com</v>
      </c>
      <c r="L314" s="6" t="str">
        <f>IFERROR(__xludf.DUMMYFUNCTION("""COMPUTED_VALUE"""),"Alpha Anywhere (homeschool)")</f>
        <v>Alpha Anywhere (homeschool)</v>
      </c>
      <c r="M314" s="6" t="str">
        <f>IFERROR(__xludf.DUMMYFUNCTION("""COMPUTED_VALUE"""),"")</f>
        <v/>
      </c>
      <c r="N314" s="6" t="str">
        <f>IFERROR(__xludf.DUMMYFUNCTION("""COMPUTED_VALUE"""),"")</f>
        <v/>
      </c>
      <c r="O314" s="87" t="str">
        <f>IFERROR(__xludf.DUMMYFUNCTION("""COMPUTED_VALUE"""),"https://drive.google.com/drive/folders/10T2cTQHqEJZqE-st6uFKPoI?usp=share_link")</f>
        <v>https://drive.google.com/drive/folders/10T2cTQHqEJZqE-st6uFKPoI?usp=share_link</v>
      </c>
      <c r="P314" s="6" t="str">
        <f>IFERROR(__xludf.DUMMYFUNCTION("""COMPUTED_VALUE"""),"Olly Anderson")</f>
        <v>Olly Anderson</v>
      </c>
      <c r="Q314" s="6" t="str">
        <f>IFERROR(__xludf.DUMMYFUNCTION("""COMPUTED_VALUE"""),"L2")</f>
        <v>L2</v>
      </c>
      <c r="R314" s="6">
        <f>IFERROR(__xludf.DUMMYFUNCTION("""COMPUTED_VALUE"""),2.0)</f>
        <v>2</v>
      </c>
      <c r="S314" s="6" t="str">
        <f>IFERROR(__xludf.DUMMYFUNCTION("""COMPUTED_VALUE""")," ")</f>
        <v> </v>
      </c>
      <c r="T314" s="6" t="str">
        <f>IFERROR(__xludf.DUMMYFUNCTION("""COMPUTED_VALUE"""),"")</f>
        <v/>
      </c>
      <c r="U314" s="6" t="str">
        <f>IFERROR(__xludf.DUMMYFUNCTION("""COMPUTED_VALUE"""),"5")</f>
        <v>5</v>
      </c>
      <c r="V314" s="6" t="str">
        <f>IFERROR(__xludf.DUMMYFUNCTION("""COMPUTED_VALUE"""),"")</f>
        <v/>
      </c>
      <c r="W314" s="6" t="str">
        <f>IFERROR(__xludf.DUMMYFUNCTION("""COMPUTED_VALUE"""),"[]")</f>
        <v>[]</v>
      </c>
      <c r="X314" s="6" t="str">
        <f>IFERROR(__xludf.DUMMYFUNCTION("""COMPUTED_VALUE"""),"Enrolled")</f>
        <v>Enrolled</v>
      </c>
    </row>
    <row r="315">
      <c r="A315" s="6" t="str">
        <f>IFERROR(__xludf.DUMMYFUNCTION("""COMPUTED_VALUE"""),"000-6912")</f>
        <v>000-6912</v>
      </c>
      <c r="B315" s="6" t="str">
        <f>IFERROR(__xludf.DUMMYFUNCTION("""COMPUTED_VALUE"""),"0")</f>
        <v>0</v>
      </c>
      <c r="C315" s="6" t="str">
        <f>IFERROR(__xludf.DUMMYFUNCTION("""COMPUTED_VALUE"""),"6912")</f>
        <v>6912</v>
      </c>
      <c r="D315" s="6" t="str">
        <f>IFERROR(__xludf.DUMMYFUNCTION("""COMPUTED_VALUE"""),"Hank")</f>
        <v>Hank</v>
      </c>
      <c r="E315" s="6" t="str">
        <f>IFERROR(__xludf.DUMMYFUNCTION("""COMPUTED_VALUE"""),"")</f>
        <v/>
      </c>
      <c r="F315" s="6" t="str">
        <f>IFERROR(__xludf.DUMMYFUNCTION("""COMPUTED_VALUE"""),"Talarico")</f>
        <v>Talarico</v>
      </c>
      <c r="G315" s="6" t="str">
        <f>IFERROR(__xludf.DUMMYFUNCTION("""COMPUTED_VALUE"""),"10/26/2014")</f>
        <v>10/26/2014</v>
      </c>
      <c r="H315" s="6" t="str">
        <f>IFERROR(__xludf.DUMMYFUNCTION("""COMPUTED_VALUE"""),"Self Identify")</f>
        <v>Self Identify</v>
      </c>
      <c r="I315" s="6" t="str">
        <f>IFERROR(__xludf.DUMMYFUNCTION("""COMPUTED_VALUE"""),"Level 2")</f>
        <v>Level 2</v>
      </c>
      <c r="J315" s="6" t="str">
        <f>IFERROR(__xludf.DUMMYFUNCTION("""COMPUTED_VALUE"""),"5")</f>
        <v>5</v>
      </c>
      <c r="K315" s="6" t="str">
        <f>IFERROR(__xludf.DUMMYFUNCTION("""COMPUTED_VALUE"""),"hank.talarico@2hourlearning.com")</f>
        <v>hank.talarico@2hourlearning.com</v>
      </c>
      <c r="L315" s="6" t="str">
        <f>IFERROR(__xludf.DUMMYFUNCTION("""COMPUTED_VALUE"""),"Alpha Anywhere (homeschool)")</f>
        <v>Alpha Anywhere (homeschool)</v>
      </c>
      <c r="M315" s="6" t="str">
        <f>IFERROR(__xludf.DUMMYFUNCTION("""COMPUTED_VALUE"""),"")</f>
        <v/>
      </c>
      <c r="N315" s="6" t="str">
        <f>IFERROR(__xludf.DUMMYFUNCTION("""COMPUTED_VALUE"""),"")</f>
        <v/>
      </c>
      <c r="O315" s="87" t="str">
        <f>IFERROR(__xludf.DUMMYFUNCTION("""COMPUTED_VALUE"""),"https://drive.google.com/drive/folders/10T2cTQHqEJZqE-st6uFKPoI?usp=share_link")</f>
        <v>https://drive.google.com/drive/folders/10T2cTQHqEJZqE-st6uFKPoI?usp=share_link</v>
      </c>
      <c r="P315" s="6" t="str">
        <f>IFERROR(__xludf.DUMMYFUNCTION("""COMPUTED_VALUE"""),"Hank Talarico")</f>
        <v>Hank Talarico</v>
      </c>
      <c r="Q315" s="6" t="str">
        <f>IFERROR(__xludf.DUMMYFUNCTION("""COMPUTED_VALUE"""),"L2")</f>
        <v>L2</v>
      </c>
      <c r="R315" s="6">
        <f>IFERROR(__xludf.DUMMYFUNCTION("""COMPUTED_VALUE"""),2.0)</f>
        <v>2</v>
      </c>
      <c r="S315" s="6" t="str">
        <f>IFERROR(__xludf.DUMMYFUNCTION("""COMPUTED_VALUE""")," ")</f>
        <v> </v>
      </c>
      <c r="T315" s="6" t="str">
        <f>IFERROR(__xludf.DUMMYFUNCTION("""COMPUTED_VALUE"""),"")</f>
        <v/>
      </c>
      <c r="U315" s="6" t="str">
        <f>IFERROR(__xludf.DUMMYFUNCTION("""COMPUTED_VALUE"""),"5")</f>
        <v>5</v>
      </c>
      <c r="V315" s="6" t="str">
        <f>IFERROR(__xludf.DUMMYFUNCTION("""COMPUTED_VALUE"""),"")</f>
        <v/>
      </c>
      <c r="W315" s="6" t="str">
        <f>IFERROR(__xludf.DUMMYFUNCTION("""COMPUTED_VALUE"""),"[]")</f>
        <v>[]</v>
      </c>
      <c r="X315" s="6" t="str">
        <f>IFERROR(__xludf.DUMMYFUNCTION("""COMPUTED_VALUE"""),"Enrolled")</f>
        <v>Enrolled</v>
      </c>
    </row>
    <row r="316">
      <c r="A316" s="6" t="str">
        <f>IFERROR(__xludf.DUMMYFUNCTION("""COMPUTED_VALUE"""),"000-6913")</f>
        <v>000-6913</v>
      </c>
      <c r="B316" s="6" t="str">
        <f>IFERROR(__xludf.DUMMYFUNCTION("""COMPUTED_VALUE"""),"0")</f>
        <v>0</v>
      </c>
      <c r="C316" s="6" t="str">
        <f>IFERROR(__xludf.DUMMYFUNCTION("""COMPUTED_VALUE"""),"6913")</f>
        <v>6913</v>
      </c>
      <c r="D316" s="6" t="str">
        <f>IFERROR(__xludf.DUMMYFUNCTION("""COMPUTED_VALUE"""),"Tristan")</f>
        <v>Tristan</v>
      </c>
      <c r="E316" s="6" t="str">
        <f>IFERROR(__xludf.DUMMYFUNCTION("""COMPUTED_VALUE"""),"")</f>
        <v/>
      </c>
      <c r="F316" s="6" t="str">
        <f>IFERROR(__xludf.DUMMYFUNCTION("""COMPUTED_VALUE"""),"Porterfield")</f>
        <v>Porterfield</v>
      </c>
      <c r="G316" s="6" t="str">
        <f>IFERROR(__xludf.DUMMYFUNCTION("""COMPUTED_VALUE"""),"02/15/2016")</f>
        <v>02/15/2016</v>
      </c>
      <c r="H316" s="6" t="str">
        <f>IFERROR(__xludf.DUMMYFUNCTION("""COMPUTED_VALUE"""),"Self Identify")</f>
        <v>Self Identify</v>
      </c>
      <c r="I316" s="6" t="str">
        <f>IFERROR(__xludf.DUMMYFUNCTION("""COMPUTED_VALUE"""),"Level 2")</f>
        <v>Level 2</v>
      </c>
      <c r="J316" s="6" t="str">
        <f>IFERROR(__xludf.DUMMYFUNCTION("""COMPUTED_VALUE"""),"4")</f>
        <v>4</v>
      </c>
      <c r="K316" s="6" t="str">
        <f>IFERROR(__xludf.DUMMYFUNCTION("""COMPUTED_VALUE"""),"tristan.porterfield@2hourlearning.com")</f>
        <v>tristan.porterfield@2hourlearning.com</v>
      </c>
      <c r="L316" s="6" t="str">
        <f>IFERROR(__xludf.DUMMYFUNCTION("""COMPUTED_VALUE"""),"Alpha Anywhere (homeschool)")</f>
        <v>Alpha Anywhere (homeschool)</v>
      </c>
      <c r="M316" s="6" t="str">
        <f>IFERROR(__xludf.DUMMYFUNCTION("""COMPUTED_VALUE"""),"")</f>
        <v/>
      </c>
      <c r="N316" s="6" t="str">
        <f>IFERROR(__xludf.DUMMYFUNCTION("""COMPUTED_VALUE"""),"")</f>
        <v/>
      </c>
      <c r="O316" s="87" t="str">
        <f>IFERROR(__xludf.DUMMYFUNCTION("""COMPUTED_VALUE"""),"https://drive.google.com/drive/folders/10T2cTQHqEJZqE-st6uFKPoI?usp=share_link")</f>
        <v>https://drive.google.com/drive/folders/10T2cTQHqEJZqE-st6uFKPoI?usp=share_link</v>
      </c>
      <c r="P316" s="6" t="str">
        <f>IFERROR(__xludf.DUMMYFUNCTION("""COMPUTED_VALUE"""),"Tristan Porterfield")</f>
        <v>Tristan Porterfield</v>
      </c>
      <c r="Q316" s="6" t="str">
        <f>IFERROR(__xludf.DUMMYFUNCTION("""COMPUTED_VALUE"""),"L2")</f>
        <v>L2</v>
      </c>
      <c r="R316" s="6">
        <f>IFERROR(__xludf.DUMMYFUNCTION("""COMPUTED_VALUE"""),2.0)</f>
        <v>2</v>
      </c>
      <c r="S316" s="6" t="str">
        <f>IFERROR(__xludf.DUMMYFUNCTION("""COMPUTED_VALUE""")," ")</f>
        <v> </v>
      </c>
      <c r="T316" s="6" t="str">
        <f>IFERROR(__xludf.DUMMYFUNCTION("""COMPUTED_VALUE"""),"")</f>
        <v/>
      </c>
      <c r="U316" s="6" t="str">
        <f>IFERROR(__xludf.DUMMYFUNCTION("""COMPUTED_VALUE"""),"4")</f>
        <v>4</v>
      </c>
      <c r="V316" s="6" t="str">
        <f>IFERROR(__xludf.DUMMYFUNCTION("""COMPUTED_VALUE"""),"")</f>
        <v/>
      </c>
      <c r="W316" s="6" t="str">
        <f>IFERROR(__xludf.DUMMYFUNCTION("""COMPUTED_VALUE"""),"[]")</f>
        <v>[]</v>
      </c>
      <c r="X316" s="6" t="str">
        <f>IFERROR(__xludf.DUMMYFUNCTION("""COMPUTED_VALUE"""),"Enrolled")</f>
        <v>Enrolled</v>
      </c>
    </row>
    <row r="317">
      <c r="A317" s="6" t="str">
        <f>IFERROR(__xludf.DUMMYFUNCTION("""COMPUTED_VALUE"""),"000-6934")</f>
        <v>000-6934</v>
      </c>
      <c r="B317" s="6" t="str">
        <f>IFERROR(__xludf.DUMMYFUNCTION("""COMPUTED_VALUE"""),"0")</f>
        <v>0</v>
      </c>
      <c r="C317" s="6" t="str">
        <f>IFERROR(__xludf.DUMMYFUNCTION("""COMPUTED_VALUE"""),"6934")</f>
        <v>6934</v>
      </c>
      <c r="D317" s="6" t="str">
        <f>IFERROR(__xludf.DUMMYFUNCTION("""COMPUTED_VALUE"""),"Thoren")</f>
        <v>Thoren</v>
      </c>
      <c r="E317" s="6" t="str">
        <f>IFERROR(__xludf.DUMMYFUNCTION("""COMPUTED_VALUE"""),"")</f>
        <v/>
      </c>
      <c r="F317" s="6" t="str">
        <f>IFERROR(__xludf.DUMMYFUNCTION("""COMPUTED_VALUE"""),"Geater")</f>
        <v>Geater</v>
      </c>
      <c r="G317" s="6" t="str">
        <f>IFERROR(__xludf.DUMMYFUNCTION("""COMPUTED_VALUE"""),"02/27/2018")</f>
        <v>02/27/2018</v>
      </c>
      <c r="H317" s="6" t="str">
        <f>IFERROR(__xludf.DUMMYFUNCTION("""COMPUTED_VALUE"""),"Self Identify")</f>
        <v>Self Identify</v>
      </c>
      <c r="I317" s="6" t="str">
        <f>IFERROR(__xludf.DUMMYFUNCTION("""COMPUTED_VALUE"""),"Level 1")</f>
        <v>Level 1</v>
      </c>
      <c r="J317" s="6" t="str">
        <f>IFERROR(__xludf.DUMMYFUNCTION("""COMPUTED_VALUE"""),"3")</f>
        <v>3</v>
      </c>
      <c r="K317" s="6" t="str">
        <f>IFERROR(__xludf.DUMMYFUNCTION("""COMPUTED_VALUE"""),"thoren.geater@2hourlearning.com")</f>
        <v>thoren.geater@2hourlearning.com</v>
      </c>
      <c r="L317" s="6" t="str">
        <f>IFERROR(__xludf.DUMMYFUNCTION("""COMPUTED_VALUE"""),"Alpha Anywhere (homeschool)")</f>
        <v>Alpha Anywhere (homeschool)</v>
      </c>
      <c r="M317" s="6" t="str">
        <f>IFERROR(__xludf.DUMMYFUNCTION("""COMPUTED_VALUE"""),"")</f>
        <v/>
      </c>
      <c r="N317" s="6" t="str">
        <f>IFERROR(__xludf.DUMMYFUNCTION("""COMPUTED_VALUE"""),"")</f>
        <v/>
      </c>
      <c r="O317" s="87" t="str">
        <f>IFERROR(__xludf.DUMMYFUNCTION("""COMPUTED_VALUE"""),"https://drive.google.com/drive/folders/10T2cTQHqEJZqE-st6uFKPoI?usp=share_link")</f>
        <v>https://drive.google.com/drive/folders/10T2cTQHqEJZqE-st6uFKPoI?usp=share_link</v>
      </c>
      <c r="P317" s="6" t="str">
        <f>IFERROR(__xludf.DUMMYFUNCTION("""COMPUTED_VALUE"""),"Thoren Geater")</f>
        <v>Thoren Geater</v>
      </c>
      <c r="Q317" s="6" t="str">
        <f>IFERROR(__xludf.DUMMYFUNCTION("""COMPUTED_VALUE"""),"L1")</f>
        <v>L1</v>
      </c>
      <c r="R317" s="6">
        <f>IFERROR(__xludf.DUMMYFUNCTION("""COMPUTED_VALUE"""),1.0)</f>
        <v>1</v>
      </c>
      <c r="S317" s="6" t="str">
        <f>IFERROR(__xludf.DUMMYFUNCTION("""COMPUTED_VALUE""")," ")</f>
        <v> </v>
      </c>
      <c r="T317" s="6" t="str">
        <f>IFERROR(__xludf.DUMMYFUNCTION("""COMPUTED_VALUE"""),"")</f>
        <v/>
      </c>
      <c r="U317" s="6" t="str">
        <f>IFERROR(__xludf.DUMMYFUNCTION("""COMPUTED_VALUE"""),"3")</f>
        <v>3</v>
      </c>
      <c r="V317" s="6" t="str">
        <f>IFERROR(__xludf.DUMMYFUNCTION("""COMPUTED_VALUE"""),"")</f>
        <v/>
      </c>
      <c r="W317" s="6" t="str">
        <f>IFERROR(__xludf.DUMMYFUNCTION("""COMPUTED_VALUE"""),"[]")</f>
        <v>[]</v>
      </c>
      <c r="X317" s="6" t="str">
        <f>IFERROR(__xludf.DUMMYFUNCTION("""COMPUTED_VALUE"""),"Enrolled")</f>
        <v>Enrolled</v>
      </c>
    </row>
    <row r="318">
      <c r="A318" s="6" t="str">
        <f>IFERROR(__xludf.DUMMYFUNCTION("""COMPUTED_VALUE"""),"000-6953")</f>
        <v>000-6953</v>
      </c>
      <c r="B318" s="6" t="str">
        <f>IFERROR(__xludf.DUMMYFUNCTION("""COMPUTED_VALUE"""),"0")</f>
        <v>0</v>
      </c>
      <c r="C318" s="6" t="str">
        <f>IFERROR(__xludf.DUMMYFUNCTION("""COMPUTED_VALUE"""),"6953")</f>
        <v>6953</v>
      </c>
      <c r="D318" s="6" t="str">
        <f>IFERROR(__xludf.DUMMYFUNCTION("""COMPUTED_VALUE"""),"Cailey")</f>
        <v>Cailey</v>
      </c>
      <c r="E318" s="6" t="str">
        <f>IFERROR(__xludf.DUMMYFUNCTION("""COMPUTED_VALUE"""),"")</f>
        <v/>
      </c>
      <c r="F318" s="6" t="str">
        <f>IFERROR(__xludf.DUMMYFUNCTION("""COMPUTED_VALUE"""),"Reyment")</f>
        <v>Reyment</v>
      </c>
      <c r="G318" s="6" t="str">
        <f>IFERROR(__xludf.DUMMYFUNCTION("""COMPUTED_VALUE"""),"10/01/2012")</f>
        <v>10/01/2012</v>
      </c>
      <c r="H318" s="6" t="str">
        <f>IFERROR(__xludf.DUMMYFUNCTION("""COMPUTED_VALUE"""),"female")</f>
        <v>female</v>
      </c>
      <c r="I318" s="6" t="str">
        <f>IFERROR(__xludf.DUMMYFUNCTION("""COMPUTED_VALUE"""),"Middle School")</f>
        <v>Middle School</v>
      </c>
      <c r="J318" s="6" t="str">
        <f>IFERROR(__xludf.DUMMYFUNCTION("""COMPUTED_VALUE"""),"7")</f>
        <v>7</v>
      </c>
      <c r="K318" s="6" t="str">
        <f>IFERROR(__xludf.DUMMYFUNCTION("""COMPUTED_VALUE"""),"cailey.reyment@2hourlearning.com")</f>
        <v>cailey.reyment@2hourlearning.com</v>
      </c>
      <c r="L318" s="6" t="str">
        <f>IFERROR(__xludf.DUMMYFUNCTION("""COMPUTED_VALUE"""),"Alpha Anywhere (homeschool)")</f>
        <v>Alpha Anywhere (homeschool)</v>
      </c>
      <c r="M318" s="6" t="str">
        <f>IFERROR(__xludf.DUMMYFUNCTION("""COMPUTED_VALUE"""),"")</f>
        <v/>
      </c>
      <c r="N318" s="6" t="str">
        <f>IFERROR(__xludf.DUMMYFUNCTION("""COMPUTED_VALUE"""),"")</f>
        <v/>
      </c>
      <c r="O318" s="87" t="str">
        <f>IFERROR(__xludf.DUMMYFUNCTION("""COMPUTED_VALUE"""),"https://drive.google.com/drive/folders/10T2cTQHqEJZqE-st6uFKPoI?usp=share_link")</f>
        <v>https://drive.google.com/drive/folders/10T2cTQHqEJZqE-st6uFKPoI?usp=share_link</v>
      </c>
      <c r="P318" s="6" t="str">
        <f>IFERROR(__xludf.DUMMYFUNCTION("""COMPUTED_VALUE"""),"Cailey Reyment")</f>
        <v>Cailey Reyment</v>
      </c>
      <c r="Q318" s="6" t="str">
        <f>IFERROR(__xludf.DUMMYFUNCTION("""COMPUTED_VALUE"""),"MS")</f>
        <v>MS</v>
      </c>
      <c r="R318" s="6">
        <f>IFERROR(__xludf.DUMMYFUNCTION("""COMPUTED_VALUE"""),0.0)</f>
        <v>0</v>
      </c>
      <c r="S318" s="6" t="str">
        <f>IFERROR(__xludf.DUMMYFUNCTION("""COMPUTED_VALUE""")," ")</f>
        <v> </v>
      </c>
      <c r="T318" s="6" t="str">
        <f>IFERROR(__xludf.DUMMYFUNCTION("""COMPUTED_VALUE"""),"")</f>
        <v/>
      </c>
      <c r="U318" s="6" t="str">
        <f>IFERROR(__xludf.DUMMYFUNCTION("""COMPUTED_VALUE"""),"7")</f>
        <v>7</v>
      </c>
      <c r="V318" s="6" t="str">
        <f>IFERROR(__xludf.DUMMYFUNCTION("""COMPUTED_VALUE"""),"")</f>
        <v/>
      </c>
      <c r="W318" s="6" t="str">
        <f>IFERROR(__xludf.DUMMYFUNCTION("""COMPUTED_VALUE"""),"[]")</f>
        <v>[]</v>
      </c>
      <c r="X318" s="6" t="str">
        <f>IFERROR(__xludf.DUMMYFUNCTION("""COMPUTED_VALUE"""),"Enrolled")</f>
        <v>Enrolled</v>
      </c>
    </row>
    <row r="319">
      <c r="A319" s="6" t="str">
        <f>IFERROR(__xludf.DUMMYFUNCTION("""COMPUTED_VALUE"""),"000-6954")</f>
        <v>000-6954</v>
      </c>
      <c r="B319" s="6" t="str">
        <f>IFERROR(__xludf.DUMMYFUNCTION("""COMPUTED_VALUE"""),"0")</f>
        <v>0</v>
      </c>
      <c r="C319" s="6" t="str">
        <f>IFERROR(__xludf.DUMMYFUNCTION("""COMPUTED_VALUE"""),"6954")</f>
        <v>6954</v>
      </c>
      <c r="D319" s="6" t="str">
        <f>IFERROR(__xludf.DUMMYFUNCTION("""COMPUTED_VALUE"""),"Leo")</f>
        <v>Leo</v>
      </c>
      <c r="E319" s="6" t="str">
        <f>IFERROR(__xludf.DUMMYFUNCTION("""COMPUTED_VALUE"""),"")</f>
        <v/>
      </c>
      <c r="F319" s="6" t="str">
        <f>IFERROR(__xludf.DUMMYFUNCTION("""COMPUTED_VALUE"""),"Reyment")</f>
        <v>Reyment</v>
      </c>
      <c r="G319" s="6" t="str">
        <f>IFERROR(__xludf.DUMMYFUNCTION("""COMPUTED_VALUE"""),"08/29/2014")</f>
        <v>08/29/2014</v>
      </c>
      <c r="H319" s="6" t="str">
        <f>IFERROR(__xludf.DUMMYFUNCTION("""COMPUTED_VALUE"""),"male")</f>
        <v>male</v>
      </c>
      <c r="I319" s="6" t="str">
        <f>IFERROR(__xludf.DUMMYFUNCTION("""COMPUTED_VALUE"""),"Level 2")</f>
        <v>Level 2</v>
      </c>
      <c r="J319" s="6" t="str">
        <f>IFERROR(__xludf.DUMMYFUNCTION("""COMPUTED_VALUE"""),"5")</f>
        <v>5</v>
      </c>
      <c r="K319" s="6" t="str">
        <f>IFERROR(__xludf.DUMMYFUNCTION("""COMPUTED_VALUE"""),"leo.reyment@2hourlearning.com")</f>
        <v>leo.reyment@2hourlearning.com</v>
      </c>
      <c r="L319" s="6" t="str">
        <f>IFERROR(__xludf.DUMMYFUNCTION("""COMPUTED_VALUE"""),"Alpha Anywhere (homeschool)")</f>
        <v>Alpha Anywhere (homeschool)</v>
      </c>
      <c r="M319" s="6" t="str">
        <f>IFERROR(__xludf.DUMMYFUNCTION("""COMPUTED_VALUE"""),"")</f>
        <v/>
      </c>
      <c r="N319" s="6" t="str">
        <f>IFERROR(__xludf.DUMMYFUNCTION("""COMPUTED_VALUE"""),"")</f>
        <v/>
      </c>
      <c r="O319" s="87" t="str">
        <f>IFERROR(__xludf.DUMMYFUNCTION("""COMPUTED_VALUE"""),"https://drive.google.com/drive/folders/10T2cTQHqEJZqE-st6uFKPoI?usp=share_link")</f>
        <v>https://drive.google.com/drive/folders/10T2cTQHqEJZqE-st6uFKPoI?usp=share_link</v>
      </c>
      <c r="P319" s="6" t="str">
        <f>IFERROR(__xludf.DUMMYFUNCTION("""COMPUTED_VALUE"""),"Leo Reyment")</f>
        <v>Leo Reyment</v>
      </c>
      <c r="Q319" s="6" t="str">
        <f>IFERROR(__xludf.DUMMYFUNCTION("""COMPUTED_VALUE"""),"L2")</f>
        <v>L2</v>
      </c>
      <c r="R319" s="6">
        <f>IFERROR(__xludf.DUMMYFUNCTION("""COMPUTED_VALUE"""),2.0)</f>
        <v>2</v>
      </c>
      <c r="S319" s="6" t="str">
        <f>IFERROR(__xludf.DUMMYFUNCTION("""COMPUTED_VALUE""")," ")</f>
        <v> </v>
      </c>
      <c r="T319" s="6" t="str">
        <f>IFERROR(__xludf.DUMMYFUNCTION("""COMPUTED_VALUE"""),"")</f>
        <v/>
      </c>
      <c r="U319" s="6" t="str">
        <f>IFERROR(__xludf.DUMMYFUNCTION("""COMPUTED_VALUE"""),"5")</f>
        <v>5</v>
      </c>
      <c r="V319" s="6" t="str">
        <f>IFERROR(__xludf.DUMMYFUNCTION("""COMPUTED_VALUE"""),"")</f>
        <v/>
      </c>
      <c r="W319" s="6" t="str">
        <f>IFERROR(__xludf.DUMMYFUNCTION("""COMPUTED_VALUE"""),"[]")</f>
        <v>[]</v>
      </c>
      <c r="X319" s="6" t="str">
        <f>IFERROR(__xludf.DUMMYFUNCTION("""COMPUTED_VALUE"""),"Enrolled")</f>
        <v>Enrolled</v>
      </c>
    </row>
    <row r="320">
      <c r="A320" s="6" t="str">
        <f>IFERROR(__xludf.DUMMYFUNCTION("""COMPUTED_VALUE"""),"000-6960")</f>
        <v>000-6960</v>
      </c>
      <c r="B320" s="6" t="str">
        <f>IFERROR(__xludf.DUMMYFUNCTION("""COMPUTED_VALUE"""),"0")</f>
        <v>0</v>
      </c>
      <c r="C320" s="6" t="str">
        <f>IFERROR(__xludf.DUMMYFUNCTION("""COMPUTED_VALUE"""),"6960")</f>
        <v>6960</v>
      </c>
      <c r="D320" s="6" t="str">
        <f>IFERROR(__xludf.DUMMYFUNCTION("""COMPUTED_VALUE"""),"Dakota")</f>
        <v>Dakota</v>
      </c>
      <c r="E320" s="6" t="str">
        <f>IFERROR(__xludf.DUMMYFUNCTION("""COMPUTED_VALUE"""),"Dakota")</f>
        <v>Dakota</v>
      </c>
      <c r="F320" s="6" t="str">
        <f>IFERROR(__xludf.DUMMYFUNCTION("""COMPUTED_VALUE"""),"Bowen")</f>
        <v>Bowen</v>
      </c>
      <c r="G320" s="6" t="str">
        <f>IFERROR(__xludf.DUMMYFUNCTION("""COMPUTED_VALUE"""),"06/24/2014")</f>
        <v>06/24/2014</v>
      </c>
      <c r="H320" s="6" t="str">
        <f>IFERROR(__xludf.DUMMYFUNCTION("""COMPUTED_VALUE"""),"male")</f>
        <v>male</v>
      </c>
      <c r="I320" s="6" t="str">
        <f>IFERROR(__xludf.DUMMYFUNCTION("""COMPUTED_VALUE"""),"Middle School")</f>
        <v>Middle School</v>
      </c>
      <c r="J320" s="6" t="str">
        <f>IFERROR(__xludf.DUMMYFUNCTION("""COMPUTED_VALUE"""),"6")</f>
        <v>6</v>
      </c>
      <c r="K320" s="6" t="str">
        <f>IFERROR(__xludf.DUMMYFUNCTION("""COMPUTED_VALUE"""),"dakota.bowen@2hourlearning.com")</f>
        <v>dakota.bowen@2hourlearning.com</v>
      </c>
      <c r="L320" s="6" t="str">
        <f>IFERROR(__xludf.DUMMYFUNCTION("""COMPUTED_VALUE"""),"Alpha Anywhere (homeschool)")</f>
        <v>Alpha Anywhere (homeschool)</v>
      </c>
      <c r="M320" s="6" t="str">
        <f>IFERROR(__xludf.DUMMYFUNCTION("""COMPUTED_VALUE"""),"")</f>
        <v/>
      </c>
      <c r="N320" s="6" t="str">
        <f>IFERROR(__xludf.DUMMYFUNCTION("""COMPUTED_VALUE"""),"")</f>
        <v/>
      </c>
      <c r="O320" s="87" t="str">
        <f>IFERROR(__xludf.DUMMYFUNCTION("""COMPUTED_VALUE"""),"https://drive.google.com/drive/folders/10T2cTQHqEJZqE-st6uFKPoI?usp=share_link")</f>
        <v>https://drive.google.com/drive/folders/10T2cTQHqEJZqE-st6uFKPoI?usp=share_link</v>
      </c>
      <c r="P320" s="6" t="str">
        <f>IFERROR(__xludf.DUMMYFUNCTION("""COMPUTED_VALUE"""),"Dakota Bowen")</f>
        <v>Dakota Bowen</v>
      </c>
      <c r="Q320" s="6" t="str">
        <f>IFERROR(__xludf.DUMMYFUNCTION("""COMPUTED_VALUE"""),"MS")</f>
        <v>MS</v>
      </c>
      <c r="R320" s="6">
        <f>IFERROR(__xludf.DUMMYFUNCTION("""COMPUTED_VALUE"""),0.0)</f>
        <v>0</v>
      </c>
      <c r="S320" s="6" t="str">
        <f>IFERROR(__xludf.DUMMYFUNCTION("""COMPUTED_VALUE""")," ")</f>
        <v> </v>
      </c>
      <c r="T320" s="6" t="str">
        <f>IFERROR(__xludf.DUMMYFUNCTION("""COMPUTED_VALUE"""),"")</f>
        <v/>
      </c>
      <c r="U320" s="6" t="str">
        <f>IFERROR(__xludf.DUMMYFUNCTION("""COMPUTED_VALUE"""),"6")</f>
        <v>6</v>
      </c>
      <c r="V320" s="6" t="str">
        <f>IFERROR(__xludf.DUMMYFUNCTION("""COMPUTED_VALUE"""),"")</f>
        <v/>
      </c>
      <c r="W320" s="6" t="str">
        <f>IFERROR(__xludf.DUMMYFUNCTION("""COMPUTED_VALUE"""),"[]")</f>
        <v>[]</v>
      </c>
      <c r="X320" s="6" t="str">
        <f>IFERROR(__xludf.DUMMYFUNCTION("""COMPUTED_VALUE"""),"Enrolled")</f>
        <v>Enrolled</v>
      </c>
    </row>
    <row r="321">
      <c r="A321" s="6" t="str">
        <f>IFERROR(__xludf.DUMMYFUNCTION("""COMPUTED_VALUE"""),"000-7050")</f>
        <v>000-7050</v>
      </c>
      <c r="B321" s="6" t="str">
        <f>IFERROR(__xludf.DUMMYFUNCTION("""COMPUTED_VALUE"""),"0")</f>
        <v>0</v>
      </c>
      <c r="C321" s="6" t="str">
        <f>IFERROR(__xludf.DUMMYFUNCTION("""COMPUTED_VALUE"""),"7050")</f>
        <v>7050</v>
      </c>
      <c r="D321" s="6" t="str">
        <f>IFERROR(__xludf.DUMMYFUNCTION("""COMPUTED_VALUE"""),"Emanah")</f>
        <v>Emanah</v>
      </c>
      <c r="E321" s="6" t="str">
        <f>IFERROR(__xludf.DUMMYFUNCTION("""COMPUTED_VALUE"""),"E E")</f>
        <v>E E</v>
      </c>
      <c r="F321" s="6" t="str">
        <f>IFERROR(__xludf.DUMMYFUNCTION("""COMPUTED_VALUE"""),"Aminu")</f>
        <v>Aminu</v>
      </c>
      <c r="G321" s="6" t="str">
        <f>IFERROR(__xludf.DUMMYFUNCTION("""COMPUTED_VALUE"""),"10/05/2015")</f>
        <v>10/05/2015</v>
      </c>
      <c r="H321" s="6" t="str">
        <f>IFERROR(__xludf.DUMMYFUNCTION("""COMPUTED_VALUE"""),"female")</f>
        <v>female</v>
      </c>
      <c r="I321" s="6" t="str">
        <f>IFERROR(__xludf.DUMMYFUNCTION("""COMPUTED_VALUE"""),"Level 2")</f>
        <v>Level 2</v>
      </c>
      <c r="J321" s="6" t="str">
        <f>IFERROR(__xludf.DUMMYFUNCTION("""COMPUTED_VALUE"""),"4")</f>
        <v>4</v>
      </c>
      <c r="K321" s="6" t="str">
        <f>IFERROR(__xludf.DUMMYFUNCTION("""COMPUTED_VALUE"""),"e.e.aminu@2hourlearning.com")</f>
        <v>e.e.aminu@2hourlearning.com</v>
      </c>
      <c r="L321" s="6" t="str">
        <f>IFERROR(__xludf.DUMMYFUNCTION("""COMPUTED_VALUE"""),"Alpha Anywhere (homeschool)")</f>
        <v>Alpha Anywhere (homeschool)</v>
      </c>
      <c r="M321" s="6" t="str">
        <f>IFERROR(__xludf.DUMMYFUNCTION("""COMPUTED_VALUE"""),"")</f>
        <v/>
      </c>
      <c r="N321" s="6" t="str">
        <f>IFERROR(__xludf.DUMMYFUNCTION("""COMPUTED_VALUE"""),"")</f>
        <v/>
      </c>
      <c r="O321" s="87" t="str">
        <f>IFERROR(__xludf.DUMMYFUNCTION("""COMPUTED_VALUE"""),"https://drive.google.com/drive/folders/10T2cTQHqEJZqE-st6uFKPoI?usp=share_link")</f>
        <v>https://drive.google.com/drive/folders/10T2cTQHqEJZqE-st6uFKPoI?usp=share_link</v>
      </c>
      <c r="P321" s="6" t="str">
        <f>IFERROR(__xludf.DUMMYFUNCTION("""COMPUTED_VALUE"""),"E E Aminu")</f>
        <v>E E Aminu</v>
      </c>
      <c r="Q321" s="6" t="str">
        <f>IFERROR(__xludf.DUMMYFUNCTION("""COMPUTED_VALUE"""),"L2")</f>
        <v>L2</v>
      </c>
      <c r="R321" s="6">
        <f>IFERROR(__xludf.DUMMYFUNCTION("""COMPUTED_VALUE"""),2.0)</f>
        <v>2</v>
      </c>
      <c r="S321" s="6" t="str">
        <f>IFERROR(__xludf.DUMMYFUNCTION("""COMPUTED_VALUE""")," ")</f>
        <v> </v>
      </c>
      <c r="T321" s="6" t="str">
        <f>IFERROR(__xludf.DUMMYFUNCTION("""COMPUTED_VALUE"""),"")</f>
        <v/>
      </c>
      <c r="U321" s="6" t="str">
        <f>IFERROR(__xludf.DUMMYFUNCTION("""COMPUTED_VALUE"""),"4")</f>
        <v>4</v>
      </c>
      <c r="V321" s="6" t="str">
        <f>IFERROR(__xludf.DUMMYFUNCTION("""COMPUTED_VALUE"""),"")</f>
        <v/>
      </c>
      <c r="W321" s="6" t="str">
        <f>IFERROR(__xludf.DUMMYFUNCTION("""COMPUTED_VALUE"""),"[]")</f>
        <v>[]</v>
      </c>
      <c r="X321" s="6" t="str">
        <f>IFERROR(__xludf.DUMMYFUNCTION("""COMPUTED_VALUE"""),"Enrolled")</f>
        <v>Enrolled</v>
      </c>
    </row>
    <row r="322">
      <c r="A322" s="6" t="str">
        <f>IFERROR(__xludf.DUMMYFUNCTION("""COMPUTED_VALUE"""),"000-7139")</f>
        <v>000-7139</v>
      </c>
      <c r="B322" s="6" t="str">
        <f>IFERROR(__xludf.DUMMYFUNCTION("""COMPUTED_VALUE"""),"0")</f>
        <v>0</v>
      </c>
      <c r="C322" s="6" t="str">
        <f>IFERROR(__xludf.DUMMYFUNCTION("""COMPUTED_VALUE"""),"7139")</f>
        <v>7139</v>
      </c>
      <c r="D322" s="6" t="str">
        <f>IFERROR(__xludf.DUMMYFUNCTION("""COMPUTED_VALUE"""),"Bella")</f>
        <v>Bella</v>
      </c>
      <c r="E322" s="6" t="str">
        <f>IFERROR(__xludf.DUMMYFUNCTION("""COMPUTED_VALUE"""),"")</f>
        <v/>
      </c>
      <c r="F322" s="6" t="str">
        <f>IFERROR(__xludf.DUMMYFUNCTION("""COMPUTED_VALUE"""),"Colangelo")</f>
        <v>Colangelo</v>
      </c>
      <c r="G322" s="6" t="str">
        <f>IFERROR(__xludf.DUMMYFUNCTION("""COMPUTED_VALUE"""),"04/21/2016")</f>
        <v>04/21/2016</v>
      </c>
      <c r="H322" s="6" t="str">
        <f>IFERROR(__xludf.DUMMYFUNCTION("""COMPUTED_VALUE"""),"female")</f>
        <v>female</v>
      </c>
      <c r="I322" s="6" t="str">
        <f>IFERROR(__xludf.DUMMYFUNCTION("""COMPUTED_VALUE"""),"Level 2")</f>
        <v>Level 2</v>
      </c>
      <c r="J322" s="6" t="str">
        <f>IFERROR(__xludf.DUMMYFUNCTION("""COMPUTED_VALUE"""),"4")</f>
        <v>4</v>
      </c>
      <c r="K322" s="6" t="str">
        <f>IFERROR(__xludf.DUMMYFUNCTION("""COMPUTED_VALUE"""),"bella.colangelo@2hourlearning.com")</f>
        <v>bella.colangelo@2hourlearning.com</v>
      </c>
      <c r="L322" s="6" t="str">
        <f>IFERROR(__xludf.DUMMYFUNCTION("""COMPUTED_VALUE"""),"Alpha Anywhere (homeschool)")</f>
        <v>Alpha Anywhere (homeschool)</v>
      </c>
      <c r="M322" s="6" t="str">
        <f>IFERROR(__xludf.DUMMYFUNCTION("""COMPUTED_VALUE"""),"")</f>
        <v/>
      </c>
      <c r="N322" s="6" t="str">
        <f>IFERROR(__xludf.DUMMYFUNCTION("""COMPUTED_VALUE"""),"")</f>
        <v/>
      </c>
      <c r="O322" s="87" t="str">
        <f>IFERROR(__xludf.DUMMYFUNCTION("""COMPUTED_VALUE"""),"https://drive.google.com/drive/folders/10T2cTQHqEJZqE-st6uFKPoI?usp=share_link")</f>
        <v>https://drive.google.com/drive/folders/10T2cTQHqEJZqE-st6uFKPoI?usp=share_link</v>
      </c>
      <c r="P322" s="6" t="str">
        <f>IFERROR(__xludf.DUMMYFUNCTION("""COMPUTED_VALUE"""),"Bella Colangelo")</f>
        <v>Bella Colangelo</v>
      </c>
      <c r="Q322" s="6" t="str">
        <f>IFERROR(__xludf.DUMMYFUNCTION("""COMPUTED_VALUE"""),"L2")</f>
        <v>L2</v>
      </c>
      <c r="R322" s="6">
        <f>IFERROR(__xludf.DUMMYFUNCTION("""COMPUTED_VALUE"""),2.0)</f>
        <v>2</v>
      </c>
      <c r="S322" s="6" t="str">
        <f>IFERROR(__xludf.DUMMYFUNCTION("""COMPUTED_VALUE""")," ")</f>
        <v> </v>
      </c>
      <c r="T322" s="6" t="str">
        <f>IFERROR(__xludf.DUMMYFUNCTION("""COMPUTED_VALUE"""),"")</f>
        <v/>
      </c>
      <c r="U322" s="6" t="str">
        <f>IFERROR(__xludf.DUMMYFUNCTION("""COMPUTED_VALUE"""),"4")</f>
        <v>4</v>
      </c>
      <c r="V322" s="6" t="str">
        <f>IFERROR(__xludf.DUMMYFUNCTION("""COMPUTED_VALUE"""),"")</f>
        <v/>
      </c>
      <c r="W322" s="6" t="str">
        <f>IFERROR(__xludf.DUMMYFUNCTION("""COMPUTED_VALUE"""),"[]")</f>
        <v>[]</v>
      </c>
      <c r="X322" s="6" t="str">
        <f>IFERROR(__xludf.DUMMYFUNCTION("""COMPUTED_VALUE"""),"Enrolled")</f>
        <v>Enrolled</v>
      </c>
    </row>
    <row r="323">
      <c r="A323" s="6" t="str">
        <f>IFERROR(__xludf.DUMMYFUNCTION("""COMPUTED_VALUE"""),"000-7141")</f>
        <v>000-7141</v>
      </c>
      <c r="B323" s="6" t="str">
        <f>IFERROR(__xludf.DUMMYFUNCTION("""COMPUTED_VALUE"""),"0")</f>
        <v>0</v>
      </c>
      <c r="C323" s="6" t="str">
        <f>IFERROR(__xludf.DUMMYFUNCTION("""COMPUTED_VALUE"""),"7141")</f>
        <v>7141</v>
      </c>
      <c r="D323" s="6" t="str">
        <f>IFERROR(__xludf.DUMMYFUNCTION("""COMPUTED_VALUE"""),"Griffin")</f>
        <v>Griffin</v>
      </c>
      <c r="E323" s="6" t="str">
        <f>IFERROR(__xludf.DUMMYFUNCTION("""COMPUTED_VALUE"""),"Minty")</f>
        <v>Minty</v>
      </c>
      <c r="F323" s="6" t="str">
        <f>IFERROR(__xludf.DUMMYFUNCTION("""COMPUTED_VALUE"""),"Wyler")</f>
        <v>Wyler</v>
      </c>
      <c r="G323" s="6" t="str">
        <f>IFERROR(__xludf.DUMMYFUNCTION("""COMPUTED_VALUE"""),"03/27/2014")</f>
        <v>03/27/2014</v>
      </c>
      <c r="H323" s="6" t="str">
        <f>IFERROR(__xludf.DUMMYFUNCTION("""COMPUTED_VALUE"""),"male")</f>
        <v>male</v>
      </c>
      <c r="I323" s="6" t="str">
        <f>IFERROR(__xludf.DUMMYFUNCTION("""COMPUTED_VALUE"""),"Middle School")</f>
        <v>Middle School</v>
      </c>
      <c r="J323" s="6" t="str">
        <f>IFERROR(__xludf.DUMMYFUNCTION("""COMPUTED_VALUE"""),"6")</f>
        <v>6</v>
      </c>
      <c r="K323" s="6" t="str">
        <f>IFERROR(__xludf.DUMMYFUNCTION("""COMPUTED_VALUE"""),"minty.wyler@2hourlearning.com")</f>
        <v>minty.wyler@2hourlearning.com</v>
      </c>
      <c r="L323" s="6" t="str">
        <f>IFERROR(__xludf.DUMMYFUNCTION("""COMPUTED_VALUE"""),"Alpha Anywhere (homeschool)")</f>
        <v>Alpha Anywhere (homeschool)</v>
      </c>
      <c r="M323" s="6" t="str">
        <f>IFERROR(__xludf.DUMMYFUNCTION("""COMPUTED_VALUE"""),"")</f>
        <v/>
      </c>
      <c r="N323" s="6" t="str">
        <f>IFERROR(__xludf.DUMMYFUNCTION("""COMPUTED_VALUE"""),"")</f>
        <v/>
      </c>
      <c r="O323" s="87" t="str">
        <f>IFERROR(__xludf.DUMMYFUNCTION("""COMPUTED_VALUE"""),"https://drive.google.com/drive/folders/10T2cTQHqEJZqE-st6uFKPoI?usp=share_link")</f>
        <v>https://drive.google.com/drive/folders/10T2cTQHqEJZqE-st6uFKPoI?usp=share_link</v>
      </c>
      <c r="P323" s="6" t="str">
        <f>IFERROR(__xludf.DUMMYFUNCTION("""COMPUTED_VALUE"""),"Minty Wyler")</f>
        <v>Minty Wyler</v>
      </c>
      <c r="Q323" s="6" t="str">
        <f>IFERROR(__xludf.DUMMYFUNCTION("""COMPUTED_VALUE"""),"MS")</f>
        <v>MS</v>
      </c>
      <c r="R323" s="6">
        <f>IFERROR(__xludf.DUMMYFUNCTION("""COMPUTED_VALUE"""),0.0)</f>
        <v>0</v>
      </c>
      <c r="S323" s="6" t="str">
        <f>IFERROR(__xludf.DUMMYFUNCTION("""COMPUTED_VALUE""")," ")</f>
        <v> </v>
      </c>
      <c r="T323" s="6" t="str">
        <f>IFERROR(__xludf.DUMMYFUNCTION("""COMPUTED_VALUE"""),"")</f>
        <v/>
      </c>
      <c r="U323" s="6" t="str">
        <f>IFERROR(__xludf.DUMMYFUNCTION("""COMPUTED_VALUE"""),"6")</f>
        <v>6</v>
      </c>
      <c r="V323" s="6" t="str">
        <f>IFERROR(__xludf.DUMMYFUNCTION("""COMPUTED_VALUE"""),"")</f>
        <v/>
      </c>
      <c r="W323" s="6" t="str">
        <f>IFERROR(__xludf.DUMMYFUNCTION("""COMPUTED_VALUE"""),"[]")</f>
        <v>[]</v>
      </c>
      <c r="X323" s="6" t="str">
        <f>IFERROR(__xludf.DUMMYFUNCTION("""COMPUTED_VALUE"""),"Enrolled")</f>
        <v>Enrolled</v>
      </c>
    </row>
    <row r="324">
      <c r="A324" s="6" t="str">
        <f>IFERROR(__xludf.DUMMYFUNCTION("""COMPUTED_VALUE"""),"000-7142")</f>
        <v>000-7142</v>
      </c>
      <c r="B324" s="6" t="str">
        <f>IFERROR(__xludf.DUMMYFUNCTION("""COMPUTED_VALUE"""),"0")</f>
        <v>0</v>
      </c>
      <c r="C324" s="6" t="str">
        <f>IFERROR(__xludf.DUMMYFUNCTION("""COMPUTED_VALUE"""),"7142")</f>
        <v>7142</v>
      </c>
      <c r="D324" s="6" t="str">
        <f>IFERROR(__xludf.DUMMYFUNCTION("""COMPUTED_VALUE"""),"Paisley")</f>
        <v>Paisley</v>
      </c>
      <c r="E324" s="6" t="str">
        <f>IFERROR(__xludf.DUMMYFUNCTION("""COMPUTED_VALUE"""),"")</f>
        <v/>
      </c>
      <c r="F324" s="6" t="str">
        <f>IFERROR(__xludf.DUMMYFUNCTION("""COMPUTED_VALUE"""),"Wyler")</f>
        <v>Wyler</v>
      </c>
      <c r="G324" s="6" t="str">
        <f>IFERROR(__xludf.DUMMYFUNCTION("""COMPUTED_VALUE"""),"03/27/2014")</f>
        <v>03/27/2014</v>
      </c>
      <c r="H324" s="6" t="str">
        <f>IFERROR(__xludf.DUMMYFUNCTION("""COMPUTED_VALUE"""),"female")</f>
        <v>female</v>
      </c>
      <c r="I324" s="6" t="str">
        <f>IFERROR(__xludf.DUMMYFUNCTION("""COMPUTED_VALUE"""),"Middle School")</f>
        <v>Middle School</v>
      </c>
      <c r="J324" s="6" t="str">
        <f>IFERROR(__xludf.DUMMYFUNCTION("""COMPUTED_VALUE"""),"6")</f>
        <v>6</v>
      </c>
      <c r="K324" s="6" t="str">
        <f>IFERROR(__xludf.DUMMYFUNCTION("""COMPUTED_VALUE"""),"paisley.wyler@2hourlearning.com")</f>
        <v>paisley.wyler@2hourlearning.com</v>
      </c>
      <c r="L324" s="6" t="str">
        <f>IFERROR(__xludf.DUMMYFUNCTION("""COMPUTED_VALUE"""),"Alpha Anywhere (homeschool)")</f>
        <v>Alpha Anywhere (homeschool)</v>
      </c>
      <c r="M324" s="6" t="str">
        <f>IFERROR(__xludf.DUMMYFUNCTION("""COMPUTED_VALUE"""),"")</f>
        <v/>
      </c>
      <c r="N324" s="6" t="str">
        <f>IFERROR(__xludf.DUMMYFUNCTION("""COMPUTED_VALUE"""),"")</f>
        <v/>
      </c>
      <c r="O324" s="87" t="str">
        <f>IFERROR(__xludf.DUMMYFUNCTION("""COMPUTED_VALUE"""),"https://drive.google.com/drive/folders/10T2cTQHqEJZqE-st6uFKPoI?usp=share_link")</f>
        <v>https://drive.google.com/drive/folders/10T2cTQHqEJZqE-st6uFKPoI?usp=share_link</v>
      </c>
      <c r="P324" s="6" t="str">
        <f>IFERROR(__xludf.DUMMYFUNCTION("""COMPUTED_VALUE"""),"Paisley Wyler")</f>
        <v>Paisley Wyler</v>
      </c>
      <c r="Q324" s="6" t="str">
        <f>IFERROR(__xludf.DUMMYFUNCTION("""COMPUTED_VALUE"""),"MS")</f>
        <v>MS</v>
      </c>
      <c r="R324" s="6">
        <f>IFERROR(__xludf.DUMMYFUNCTION("""COMPUTED_VALUE"""),0.0)</f>
        <v>0</v>
      </c>
      <c r="S324" s="6" t="str">
        <f>IFERROR(__xludf.DUMMYFUNCTION("""COMPUTED_VALUE""")," ")</f>
        <v> </v>
      </c>
      <c r="T324" s="6" t="str">
        <f>IFERROR(__xludf.DUMMYFUNCTION("""COMPUTED_VALUE"""),"")</f>
        <v/>
      </c>
      <c r="U324" s="6" t="str">
        <f>IFERROR(__xludf.DUMMYFUNCTION("""COMPUTED_VALUE"""),"6")</f>
        <v>6</v>
      </c>
      <c r="V324" s="6" t="str">
        <f>IFERROR(__xludf.DUMMYFUNCTION("""COMPUTED_VALUE"""),"")</f>
        <v/>
      </c>
      <c r="W324" s="6" t="str">
        <f>IFERROR(__xludf.DUMMYFUNCTION("""COMPUTED_VALUE"""),"[]")</f>
        <v>[]</v>
      </c>
      <c r="X324" s="6" t="str">
        <f>IFERROR(__xludf.DUMMYFUNCTION("""COMPUTED_VALUE"""),"Enrolled")</f>
        <v>Enrolled</v>
      </c>
    </row>
    <row r="325">
      <c r="A325" s="6" t="str">
        <f>IFERROR(__xludf.DUMMYFUNCTION("""COMPUTED_VALUE"""),"000-7146")</f>
        <v>000-7146</v>
      </c>
      <c r="B325" s="6" t="str">
        <f>IFERROR(__xludf.DUMMYFUNCTION("""COMPUTED_VALUE"""),"0")</f>
        <v>0</v>
      </c>
      <c r="C325" s="6" t="str">
        <f>IFERROR(__xludf.DUMMYFUNCTION("""COMPUTED_VALUE"""),"7146")</f>
        <v>7146</v>
      </c>
      <c r="D325" s="6" t="str">
        <f>IFERROR(__xludf.DUMMYFUNCTION("""COMPUTED_VALUE"""),"Charles")</f>
        <v>Charles</v>
      </c>
      <c r="E325" s="6" t="str">
        <f>IFERROR(__xludf.DUMMYFUNCTION("""COMPUTED_VALUE"""),"Charlie")</f>
        <v>Charlie</v>
      </c>
      <c r="F325" s="6" t="str">
        <f>IFERROR(__xludf.DUMMYFUNCTION("""COMPUTED_VALUE"""),"Hodgkinson")</f>
        <v>Hodgkinson</v>
      </c>
      <c r="G325" s="6" t="str">
        <f>IFERROR(__xludf.DUMMYFUNCTION("""COMPUTED_VALUE"""),"11/21/2010")</f>
        <v>11/21/2010</v>
      </c>
      <c r="H325" s="6" t="str">
        <f>IFERROR(__xludf.DUMMYFUNCTION("""COMPUTED_VALUE"""),"male")</f>
        <v>male</v>
      </c>
      <c r="I325" s="6" t="str">
        <f>IFERROR(__xludf.DUMMYFUNCTION("""COMPUTED_VALUE"""),"High School")</f>
        <v>High School</v>
      </c>
      <c r="J325" s="6" t="str">
        <f>IFERROR(__xludf.DUMMYFUNCTION("""COMPUTED_VALUE"""),"9")</f>
        <v>9</v>
      </c>
      <c r="K325" s="6" t="str">
        <f>IFERROR(__xludf.DUMMYFUNCTION("""COMPUTED_VALUE"""),"charles.hodgkinson@2hourlearning.com")</f>
        <v>charles.hodgkinson@2hourlearning.com</v>
      </c>
      <c r="L325" s="6" t="str">
        <f>IFERROR(__xludf.DUMMYFUNCTION("""COMPUTED_VALUE"""),"Alpha Anywhere (homeschool)")</f>
        <v>Alpha Anywhere (homeschool)</v>
      </c>
      <c r="M325" s="6" t="str">
        <f>IFERROR(__xludf.DUMMYFUNCTION("""COMPUTED_VALUE"""),"")</f>
        <v/>
      </c>
      <c r="N325" s="6" t="str">
        <f>IFERROR(__xludf.DUMMYFUNCTION("""COMPUTED_VALUE"""),"")</f>
        <v/>
      </c>
      <c r="O325" s="87" t="str">
        <f>IFERROR(__xludf.DUMMYFUNCTION("""COMPUTED_VALUE"""),"https://drive.google.com/drive/folders/10T2cTQHqEJZqE-st6uFKPoI?usp=share_link")</f>
        <v>https://drive.google.com/drive/folders/10T2cTQHqEJZqE-st6uFKPoI?usp=share_link</v>
      </c>
      <c r="P325" s="6" t="str">
        <f>IFERROR(__xludf.DUMMYFUNCTION("""COMPUTED_VALUE"""),"Charlie Hodgkinson")</f>
        <v>Charlie Hodgkinson</v>
      </c>
      <c r="Q325" s="6" t="str">
        <f>IFERROR(__xludf.DUMMYFUNCTION("""COMPUTED_VALUE"""),"HS")</f>
        <v>HS</v>
      </c>
      <c r="R325" s="6">
        <f>IFERROR(__xludf.DUMMYFUNCTION("""COMPUTED_VALUE"""),0.0)</f>
        <v>0</v>
      </c>
      <c r="S325" s="6" t="str">
        <f>IFERROR(__xludf.DUMMYFUNCTION("""COMPUTED_VALUE""")," ")</f>
        <v> </v>
      </c>
      <c r="T325" s="6" t="str">
        <f>IFERROR(__xludf.DUMMYFUNCTION("""COMPUTED_VALUE"""),"")</f>
        <v/>
      </c>
      <c r="U325" s="6" t="str">
        <f>IFERROR(__xludf.DUMMYFUNCTION("""COMPUTED_VALUE"""),"9")</f>
        <v>9</v>
      </c>
      <c r="V325" s="6" t="str">
        <f>IFERROR(__xludf.DUMMYFUNCTION("""COMPUTED_VALUE"""),"")</f>
        <v/>
      </c>
      <c r="W325" s="6" t="str">
        <f>IFERROR(__xludf.DUMMYFUNCTION("""COMPUTED_VALUE"""),"[]")</f>
        <v>[]</v>
      </c>
      <c r="X325" s="6" t="str">
        <f>IFERROR(__xludf.DUMMYFUNCTION("""COMPUTED_VALUE"""),"Enrolled")</f>
        <v>Enrolled</v>
      </c>
    </row>
    <row r="326">
      <c r="A326" s="6" t="str">
        <f>IFERROR(__xludf.DUMMYFUNCTION("""COMPUTED_VALUE"""),"000-7169")</f>
        <v>000-7169</v>
      </c>
      <c r="B326" s="6" t="str">
        <f>IFERROR(__xludf.DUMMYFUNCTION("""COMPUTED_VALUE"""),"0")</f>
        <v>0</v>
      </c>
      <c r="C326" s="6" t="str">
        <f>IFERROR(__xludf.DUMMYFUNCTION("""COMPUTED_VALUE"""),"7169")</f>
        <v>7169</v>
      </c>
      <c r="D326" s="6" t="str">
        <f>IFERROR(__xludf.DUMMYFUNCTION("""COMPUTED_VALUE"""),"Jack")</f>
        <v>Jack</v>
      </c>
      <c r="E326" s="6" t="str">
        <f>IFERROR(__xludf.DUMMYFUNCTION("""COMPUTED_VALUE"""),"")</f>
        <v/>
      </c>
      <c r="F326" s="6" t="str">
        <f>IFERROR(__xludf.DUMMYFUNCTION("""COMPUTED_VALUE"""),"Jennings")</f>
        <v>Jennings</v>
      </c>
      <c r="G326" s="6" t="str">
        <f>IFERROR(__xludf.DUMMYFUNCTION("""COMPUTED_VALUE"""),"06/14/2013")</f>
        <v>06/14/2013</v>
      </c>
      <c r="H326" s="6" t="str">
        <f>IFERROR(__xludf.DUMMYFUNCTION("""COMPUTED_VALUE"""),"male")</f>
        <v>male</v>
      </c>
      <c r="I326" s="6" t="str">
        <f>IFERROR(__xludf.DUMMYFUNCTION("""COMPUTED_VALUE"""),"Middle School")</f>
        <v>Middle School</v>
      </c>
      <c r="J326" s="6" t="str">
        <f>IFERROR(__xludf.DUMMYFUNCTION("""COMPUTED_VALUE"""),"6")</f>
        <v>6</v>
      </c>
      <c r="K326" s="6" t="str">
        <f>IFERROR(__xludf.DUMMYFUNCTION("""COMPUTED_VALUE"""),"jack.jennings@2hourlearning.com")</f>
        <v>jack.jennings@2hourlearning.com</v>
      </c>
      <c r="L326" s="6" t="str">
        <f>IFERROR(__xludf.DUMMYFUNCTION("""COMPUTED_VALUE"""),"Alpha Anywhere (homeschool)")</f>
        <v>Alpha Anywhere (homeschool)</v>
      </c>
      <c r="M326" s="6" t="str">
        <f>IFERROR(__xludf.DUMMYFUNCTION("""COMPUTED_VALUE"""),"")</f>
        <v/>
      </c>
      <c r="N326" s="6" t="str">
        <f>IFERROR(__xludf.DUMMYFUNCTION("""COMPUTED_VALUE"""),"")</f>
        <v/>
      </c>
      <c r="O326" s="87" t="str">
        <f>IFERROR(__xludf.DUMMYFUNCTION("""COMPUTED_VALUE"""),"https://drive.google.com/drive/folders/10T2cTQHqEJZqE-st6uFKPoI?usp=share_link")</f>
        <v>https://drive.google.com/drive/folders/10T2cTQHqEJZqE-st6uFKPoI?usp=share_link</v>
      </c>
      <c r="P326" s="6" t="str">
        <f>IFERROR(__xludf.DUMMYFUNCTION("""COMPUTED_VALUE"""),"Jack Jennings")</f>
        <v>Jack Jennings</v>
      </c>
      <c r="Q326" s="6" t="str">
        <f>IFERROR(__xludf.DUMMYFUNCTION("""COMPUTED_VALUE"""),"MS")</f>
        <v>MS</v>
      </c>
      <c r="R326" s="6">
        <f>IFERROR(__xludf.DUMMYFUNCTION("""COMPUTED_VALUE"""),0.0)</f>
        <v>0</v>
      </c>
      <c r="S326" s="6" t="str">
        <f>IFERROR(__xludf.DUMMYFUNCTION("""COMPUTED_VALUE""")," ")</f>
        <v> </v>
      </c>
      <c r="T326" s="6" t="str">
        <f>IFERROR(__xludf.DUMMYFUNCTION("""COMPUTED_VALUE"""),"")</f>
        <v/>
      </c>
      <c r="U326" s="6" t="str">
        <f>IFERROR(__xludf.DUMMYFUNCTION("""COMPUTED_VALUE"""),"6")</f>
        <v>6</v>
      </c>
      <c r="V326" s="6" t="str">
        <f>IFERROR(__xludf.DUMMYFUNCTION("""COMPUTED_VALUE"""),"")</f>
        <v/>
      </c>
      <c r="W326" s="6" t="str">
        <f>IFERROR(__xludf.DUMMYFUNCTION("""COMPUTED_VALUE"""),"[]")</f>
        <v>[]</v>
      </c>
      <c r="X326" s="6" t="str">
        <f>IFERROR(__xludf.DUMMYFUNCTION("""COMPUTED_VALUE"""),"Enrolled")</f>
        <v>Enrolled</v>
      </c>
    </row>
    <row r="327">
      <c r="A327" s="6" t="str">
        <f>IFERROR(__xludf.DUMMYFUNCTION("""COMPUTED_VALUE"""),"000-7188")</f>
        <v>000-7188</v>
      </c>
      <c r="B327" s="6" t="str">
        <f>IFERROR(__xludf.DUMMYFUNCTION("""COMPUTED_VALUE"""),"0")</f>
        <v>0</v>
      </c>
      <c r="C327" s="6" t="str">
        <f>IFERROR(__xludf.DUMMYFUNCTION("""COMPUTED_VALUE"""),"7188")</f>
        <v>7188</v>
      </c>
      <c r="D327" s="6" t="str">
        <f>IFERROR(__xludf.DUMMYFUNCTION("""COMPUTED_VALUE"""),"Logan")</f>
        <v>Logan</v>
      </c>
      <c r="E327" s="6" t="str">
        <f>IFERROR(__xludf.DUMMYFUNCTION("""COMPUTED_VALUE"""),"Logan")</f>
        <v>Logan</v>
      </c>
      <c r="F327" s="6" t="str">
        <f>IFERROR(__xludf.DUMMYFUNCTION("""COMPUTED_VALUE"""),"Khan")</f>
        <v>Khan</v>
      </c>
      <c r="G327" s="6" t="str">
        <f>IFERROR(__xludf.DUMMYFUNCTION("""COMPUTED_VALUE"""),"01/02/2016")</f>
        <v>01/02/2016</v>
      </c>
      <c r="H327" s="6" t="str">
        <f>IFERROR(__xludf.DUMMYFUNCTION("""COMPUTED_VALUE"""),"male")</f>
        <v>male</v>
      </c>
      <c r="I327" s="6" t="str">
        <f>IFERROR(__xludf.DUMMYFUNCTION("""COMPUTED_VALUE"""),"Level 2")</f>
        <v>Level 2</v>
      </c>
      <c r="J327" s="6" t="str">
        <f>IFERROR(__xludf.DUMMYFUNCTION("""COMPUTED_VALUE"""),"4")</f>
        <v>4</v>
      </c>
      <c r="K327" s="6" t="str">
        <f>IFERROR(__xludf.DUMMYFUNCTION("""COMPUTED_VALUE"""),"logan.khan@2hourlearning.com")</f>
        <v>logan.khan@2hourlearning.com</v>
      </c>
      <c r="L327" s="6" t="str">
        <f>IFERROR(__xludf.DUMMYFUNCTION("""COMPUTED_VALUE"""),"Alpha Anywhere (homeschool)")</f>
        <v>Alpha Anywhere (homeschool)</v>
      </c>
      <c r="M327" s="6" t="str">
        <f>IFERROR(__xludf.DUMMYFUNCTION("""COMPUTED_VALUE"""),"")</f>
        <v/>
      </c>
      <c r="N327" s="6" t="str">
        <f>IFERROR(__xludf.DUMMYFUNCTION("""COMPUTED_VALUE"""),"")</f>
        <v/>
      </c>
      <c r="O327" s="87" t="str">
        <f>IFERROR(__xludf.DUMMYFUNCTION("""COMPUTED_VALUE"""),"https://drive.google.com/drive/folders/10T2cTQHqEJZqE-st6uFKPoI?usp=share_link")</f>
        <v>https://drive.google.com/drive/folders/10T2cTQHqEJZqE-st6uFKPoI?usp=share_link</v>
      </c>
      <c r="P327" s="6" t="str">
        <f>IFERROR(__xludf.DUMMYFUNCTION("""COMPUTED_VALUE"""),"Logan Khan")</f>
        <v>Logan Khan</v>
      </c>
      <c r="Q327" s="6" t="str">
        <f>IFERROR(__xludf.DUMMYFUNCTION("""COMPUTED_VALUE"""),"L2")</f>
        <v>L2</v>
      </c>
      <c r="R327" s="6">
        <f>IFERROR(__xludf.DUMMYFUNCTION("""COMPUTED_VALUE"""),2.0)</f>
        <v>2</v>
      </c>
      <c r="S327" s="6" t="str">
        <f>IFERROR(__xludf.DUMMYFUNCTION("""COMPUTED_VALUE""")," ")</f>
        <v> </v>
      </c>
      <c r="T327" s="6" t="str">
        <f>IFERROR(__xludf.DUMMYFUNCTION("""COMPUTED_VALUE"""),"")</f>
        <v/>
      </c>
      <c r="U327" s="6" t="str">
        <f>IFERROR(__xludf.DUMMYFUNCTION("""COMPUTED_VALUE"""),"4")</f>
        <v>4</v>
      </c>
      <c r="V327" s="6" t="str">
        <f>IFERROR(__xludf.DUMMYFUNCTION("""COMPUTED_VALUE"""),"")</f>
        <v/>
      </c>
      <c r="W327" s="6" t="str">
        <f>IFERROR(__xludf.DUMMYFUNCTION("""COMPUTED_VALUE"""),"[]")</f>
        <v>[]</v>
      </c>
      <c r="X327" s="6" t="str">
        <f>IFERROR(__xludf.DUMMYFUNCTION("""COMPUTED_VALUE"""),"Enrolled")</f>
        <v>Enrolled</v>
      </c>
    </row>
    <row r="328">
      <c r="A328" s="6" t="str">
        <f>IFERROR(__xludf.DUMMYFUNCTION("""COMPUTED_VALUE"""),"000-7191")</f>
        <v>000-7191</v>
      </c>
      <c r="B328" s="6" t="str">
        <f>IFERROR(__xludf.DUMMYFUNCTION("""COMPUTED_VALUE"""),"0")</f>
        <v>0</v>
      </c>
      <c r="C328" s="6" t="str">
        <f>IFERROR(__xludf.DUMMYFUNCTION("""COMPUTED_VALUE"""),"7191")</f>
        <v>7191</v>
      </c>
      <c r="D328" s="6" t="str">
        <f>IFERROR(__xludf.DUMMYFUNCTION("""COMPUTED_VALUE"""),"Mia Alessandra")</f>
        <v>Mia Alessandra</v>
      </c>
      <c r="E328" s="6" t="str">
        <f>IFERROR(__xludf.DUMMYFUNCTION("""COMPUTED_VALUE"""),"Mia")</f>
        <v>Mia</v>
      </c>
      <c r="F328" s="6" t="str">
        <f>IFERROR(__xludf.DUMMYFUNCTION("""COMPUTED_VALUE"""),"Cardenas")</f>
        <v>Cardenas</v>
      </c>
      <c r="G328" s="6" t="str">
        <f>IFERROR(__xludf.DUMMYFUNCTION("""COMPUTED_VALUE"""),"10/31/2011")</f>
        <v>10/31/2011</v>
      </c>
      <c r="H328" s="6" t="str">
        <f>IFERROR(__xludf.DUMMYFUNCTION("""COMPUTED_VALUE"""),"female")</f>
        <v>female</v>
      </c>
      <c r="I328" s="6" t="str">
        <f>IFERROR(__xludf.DUMMYFUNCTION("""COMPUTED_VALUE"""),"Middle School")</f>
        <v>Middle School</v>
      </c>
      <c r="J328" s="6" t="str">
        <f>IFERROR(__xludf.DUMMYFUNCTION("""COMPUTED_VALUE"""),"8")</f>
        <v>8</v>
      </c>
      <c r="K328" s="6" t="str">
        <f>IFERROR(__xludf.DUMMYFUNCTION("""COMPUTED_VALUE"""),"mia.cardenas@2hourlearning.com")</f>
        <v>mia.cardenas@2hourlearning.com</v>
      </c>
      <c r="L328" s="6" t="str">
        <f>IFERROR(__xludf.DUMMYFUNCTION("""COMPUTED_VALUE"""),"Alpha Anywhere (homeschool)")</f>
        <v>Alpha Anywhere (homeschool)</v>
      </c>
      <c r="M328" s="6" t="str">
        <f>IFERROR(__xludf.DUMMYFUNCTION("""COMPUTED_VALUE"""),"")</f>
        <v/>
      </c>
      <c r="N328" s="6" t="str">
        <f>IFERROR(__xludf.DUMMYFUNCTION("""COMPUTED_VALUE"""),"")</f>
        <v/>
      </c>
      <c r="O328" s="87" t="str">
        <f>IFERROR(__xludf.DUMMYFUNCTION("""COMPUTED_VALUE"""),"https://drive.google.com/drive/folders/10T2cTQHqEJZqE-st6uFKPoI?usp=share_link")</f>
        <v>https://drive.google.com/drive/folders/10T2cTQHqEJZqE-st6uFKPoI?usp=share_link</v>
      </c>
      <c r="P328" s="6" t="str">
        <f>IFERROR(__xludf.DUMMYFUNCTION("""COMPUTED_VALUE"""),"Mia Cardenas")</f>
        <v>Mia Cardenas</v>
      </c>
      <c r="Q328" s="6" t="str">
        <f>IFERROR(__xludf.DUMMYFUNCTION("""COMPUTED_VALUE"""),"MS")</f>
        <v>MS</v>
      </c>
      <c r="R328" s="6">
        <f>IFERROR(__xludf.DUMMYFUNCTION("""COMPUTED_VALUE"""),0.0)</f>
        <v>0</v>
      </c>
      <c r="S328" s="6" t="str">
        <f>IFERROR(__xludf.DUMMYFUNCTION("""COMPUTED_VALUE""")," ")</f>
        <v> </v>
      </c>
      <c r="T328" s="6" t="str">
        <f>IFERROR(__xludf.DUMMYFUNCTION("""COMPUTED_VALUE"""),"")</f>
        <v/>
      </c>
      <c r="U328" s="6" t="str">
        <f>IFERROR(__xludf.DUMMYFUNCTION("""COMPUTED_VALUE"""),"8")</f>
        <v>8</v>
      </c>
      <c r="V328" s="6" t="str">
        <f>IFERROR(__xludf.DUMMYFUNCTION("""COMPUTED_VALUE"""),"")</f>
        <v/>
      </c>
      <c r="W328" s="6" t="str">
        <f>IFERROR(__xludf.DUMMYFUNCTION("""COMPUTED_VALUE"""),"[]")</f>
        <v>[]</v>
      </c>
      <c r="X328" s="6" t="str">
        <f>IFERROR(__xludf.DUMMYFUNCTION("""COMPUTED_VALUE"""),"Enrolled")</f>
        <v>Enrolled</v>
      </c>
    </row>
    <row r="329">
      <c r="A329" s="6" t="str">
        <f>IFERROR(__xludf.DUMMYFUNCTION("""COMPUTED_VALUE"""),"000-7228")</f>
        <v>000-7228</v>
      </c>
      <c r="B329" s="6" t="str">
        <f>IFERROR(__xludf.DUMMYFUNCTION("""COMPUTED_VALUE"""),"0")</f>
        <v>0</v>
      </c>
      <c r="C329" s="6" t="str">
        <f>IFERROR(__xludf.DUMMYFUNCTION("""COMPUTED_VALUE"""),"7228")</f>
        <v>7228</v>
      </c>
      <c r="D329" s="6" t="str">
        <f>IFERROR(__xludf.DUMMYFUNCTION("""COMPUTED_VALUE"""),"Stella")</f>
        <v>Stella</v>
      </c>
      <c r="E329" s="6" t="str">
        <f>IFERROR(__xludf.DUMMYFUNCTION("""COMPUTED_VALUE"""),"Stella")</f>
        <v>Stella</v>
      </c>
      <c r="F329" s="6" t="str">
        <f>IFERROR(__xludf.DUMMYFUNCTION("""COMPUTED_VALUE"""),"Cole")</f>
        <v>Cole</v>
      </c>
      <c r="G329" s="6" t="str">
        <f>IFERROR(__xludf.DUMMYFUNCTION("""COMPUTED_VALUE"""),"07/10/2014")</f>
        <v>07/10/2014</v>
      </c>
      <c r="H329" s="6" t="str">
        <f>IFERROR(__xludf.DUMMYFUNCTION("""COMPUTED_VALUE"""),"female")</f>
        <v>female</v>
      </c>
      <c r="I329" s="6" t="str">
        <f>IFERROR(__xludf.DUMMYFUNCTION("""COMPUTED_VALUE"""),"Middle School")</f>
        <v>Middle School</v>
      </c>
      <c r="J329" s="6" t="str">
        <f>IFERROR(__xludf.DUMMYFUNCTION("""COMPUTED_VALUE"""),"6")</f>
        <v>6</v>
      </c>
      <c r="K329" s="6" t="str">
        <f>IFERROR(__xludf.DUMMYFUNCTION("""COMPUTED_VALUE"""),"stella.cole@2hourlearning.com")</f>
        <v>stella.cole@2hourlearning.com</v>
      </c>
      <c r="L329" s="6" t="str">
        <f>IFERROR(__xludf.DUMMYFUNCTION("""COMPUTED_VALUE"""),"Alpha Anywhere (homeschool)")</f>
        <v>Alpha Anywhere (homeschool)</v>
      </c>
      <c r="M329" s="6" t="str">
        <f>IFERROR(__xludf.DUMMYFUNCTION("""COMPUTED_VALUE"""),"")</f>
        <v/>
      </c>
      <c r="N329" s="6" t="str">
        <f>IFERROR(__xludf.DUMMYFUNCTION("""COMPUTED_VALUE"""),"")</f>
        <v/>
      </c>
      <c r="O329" s="87" t="str">
        <f>IFERROR(__xludf.DUMMYFUNCTION("""COMPUTED_VALUE"""),"https://drive.google.com/drive/folders/10T2cTQHqEJZqE-st6uFKPoI?usp=share_link")</f>
        <v>https://drive.google.com/drive/folders/10T2cTQHqEJZqE-st6uFKPoI?usp=share_link</v>
      </c>
      <c r="P329" s="6" t="str">
        <f>IFERROR(__xludf.DUMMYFUNCTION("""COMPUTED_VALUE"""),"Stella Cole")</f>
        <v>Stella Cole</v>
      </c>
      <c r="Q329" s="6" t="str">
        <f>IFERROR(__xludf.DUMMYFUNCTION("""COMPUTED_VALUE"""),"MS")</f>
        <v>MS</v>
      </c>
      <c r="R329" s="6">
        <f>IFERROR(__xludf.DUMMYFUNCTION("""COMPUTED_VALUE"""),0.0)</f>
        <v>0</v>
      </c>
      <c r="S329" s="6" t="str">
        <f>IFERROR(__xludf.DUMMYFUNCTION("""COMPUTED_VALUE""")," ")</f>
        <v> </v>
      </c>
      <c r="T329" s="6" t="str">
        <f>IFERROR(__xludf.DUMMYFUNCTION("""COMPUTED_VALUE"""),"")</f>
        <v/>
      </c>
      <c r="U329" s="6" t="str">
        <f>IFERROR(__xludf.DUMMYFUNCTION("""COMPUTED_VALUE"""),"6")</f>
        <v>6</v>
      </c>
      <c r="V329" s="6" t="str">
        <f>IFERROR(__xludf.DUMMYFUNCTION("""COMPUTED_VALUE"""),"")</f>
        <v/>
      </c>
      <c r="W329" s="6" t="str">
        <f>IFERROR(__xludf.DUMMYFUNCTION("""COMPUTED_VALUE"""),"[]")</f>
        <v>[]</v>
      </c>
      <c r="X329" s="6" t="str">
        <f>IFERROR(__xludf.DUMMYFUNCTION("""COMPUTED_VALUE"""),"Enrolled")</f>
        <v>Enrolled</v>
      </c>
    </row>
    <row r="330">
      <c r="A330" s="6" t="str">
        <f>IFERROR(__xludf.DUMMYFUNCTION("""COMPUTED_VALUE"""),"000-7235")</f>
        <v>000-7235</v>
      </c>
      <c r="B330" s="6" t="str">
        <f>IFERROR(__xludf.DUMMYFUNCTION("""COMPUTED_VALUE"""),"0")</f>
        <v>0</v>
      </c>
      <c r="C330" s="6" t="str">
        <f>IFERROR(__xludf.DUMMYFUNCTION("""COMPUTED_VALUE"""),"7235")</f>
        <v>7235</v>
      </c>
      <c r="D330" s="6" t="str">
        <f>IFERROR(__xludf.DUMMYFUNCTION("""COMPUTED_VALUE"""),"Fynn")</f>
        <v>Fynn</v>
      </c>
      <c r="E330" s="6" t="str">
        <f>IFERROR(__xludf.DUMMYFUNCTION("""COMPUTED_VALUE"""),"")</f>
        <v/>
      </c>
      <c r="F330" s="6" t="str">
        <f>IFERROR(__xludf.DUMMYFUNCTION("""COMPUTED_VALUE"""),"Slagh")</f>
        <v>Slagh</v>
      </c>
      <c r="G330" s="6" t="str">
        <f>IFERROR(__xludf.DUMMYFUNCTION("""COMPUTED_VALUE"""),"08/19/2016")</f>
        <v>08/19/2016</v>
      </c>
      <c r="H330" s="6" t="str">
        <f>IFERROR(__xludf.DUMMYFUNCTION("""COMPUTED_VALUE"""),"Self Identify")</f>
        <v>Self Identify</v>
      </c>
      <c r="I330" s="6" t="str">
        <f>IFERROR(__xludf.DUMMYFUNCTION("""COMPUTED_VALUE"""),"Level 1")</f>
        <v>Level 1</v>
      </c>
      <c r="J330" s="6" t="str">
        <f>IFERROR(__xludf.DUMMYFUNCTION("""COMPUTED_VALUE"""),"3")</f>
        <v>3</v>
      </c>
      <c r="K330" s="6" t="str">
        <f>IFERROR(__xludf.DUMMYFUNCTION("""COMPUTED_VALUE"""),"fynn.slagh@2hourlearning.com")</f>
        <v>fynn.slagh@2hourlearning.com</v>
      </c>
      <c r="L330" s="6" t="str">
        <f>IFERROR(__xludf.DUMMYFUNCTION("""COMPUTED_VALUE"""),"Alpha Anywhere (homeschool)")</f>
        <v>Alpha Anywhere (homeschool)</v>
      </c>
      <c r="M330" s="6" t="str">
        <f>IFERROR(__xludf.DUMMYFUNCTION("""COMPUTED_VALUE"""),"")</f>
        <v/>
      </c>
      <c r="N330" s="6" t="str">
        <f>IFERROR(__xludf.DUMMYFUNCTION("""COMPUTED_VALUE"""),"")</f>
        <v/>
      </c>
      <c r="O330" s="87" t="str">
        <f>IFERROR(__xludf.DUMMYFUNCTION("""COMPUTED_VALUE"""),"https://drive.google.com/drive/folders/10T2cTQHqEJZqE-st6uFKPoI?usp=share_link")</f>
        <v>https://drive.google.com/drive/folders/10T2cTQHqEJZqE-st6uFKPoI?usp=share_link</v>
      </c>
      <c r="P330" s="6" t="str">
        <f>IFERROR(__xludf.DUMMYFUNCTION("""COMPUTED_VALUE"""),"Fynn Slagh")</f>
        <v>Fynn Slagh</v>
      </c>
      <c r="Q330" s="6" t="str">
        <f>IFERROR(__xludf.DUMMYFUNCTION("""COMPUTED_VALUE"""),"L1")</f>
        <v>L1</v>
      </c>
      <c r="R330" s="6">
        <f>IFERROR(__xludf.DUMMYFUNCTION("""COMPUTED_VALUE"""),1.0)</f>
        <v>1</v>
      </c>
      <c r="S330" s="6" t="str">
        <f>IFERROR(__xludf.DUMMYFUNCTION("""COMPUTED_VALUE""")," ")</f>
        <v> </v>
      </c>
      <c r="T330" s="6" t="str">
        <f>IFERROR(__xludf.DUMMYFUNCTION("""COMPUTED_VALUE"""),"")</f>
        <v/>
      </c>
      <c r="U330" s="6" t="str">
        <f>IFERROR(__xludf.DUMMYFUNCTION("""COMPUTED_VALUE"""),"3")</f>
        <v>3</v>
      </c>
      <c r="V330" s="6" t="str">
        <f>IFERROR(__xludf.DUMMYFUNCTION("""COMPUTED_VALUE"""),"")</f>
        <v/>
      </c>
      <c r="W330" s="6" t="str">
        <f>IFERROR(__xludf.DUMMYFUNCTION("""COMPUTED_VALUE"""),"[]")</f>
        <v>[]</v>
      </c>
      <c r="X330" s="6" t="str">
        <f>IFERROR(__xludf.DUMMYFUNCTION("""COMPUTED_VALUE"""),"Enrolled")</f>
        <v>Enrolled</v>
      </c>
    </row>
    <row r="331">
      <c r="A331" s="6" t="str">
        <f>IFERROR(__xludf.DUMMYFUNCTION("""COMPUTED_VALUE"""),"000-7236")</f>
        <v>000-7236</v>
      </c>
      <c r="B331" s="6" t="str">
        <f>IFERROR(__xludf.DUMMYFUNCTION("""COMPUTED_VALUE"""),"0")</f>
        <v>0</v>
      </c>
      <c r="C331" s="6" t="str">
        <f>IFERROR(__xludf.DUMMYFUNCTION("""COMPUTED_VALUE"""),"7236")</f>
        <v>7236</v>
      </c>
      <c r="D331" s="6" t="str">
        <f>IFERROR(__xludf.DUMMYFUNCTION("""COMPUTED_VALUE"""),"Grayson")</f>
        <v>Grayson</v>
      </c>
      <c r="E331" s="6" t="str">
        <f>IFERROR(__xludf.DUMMYFUNCTION("""COMPUTED_VALUE"""),"")</f>
        <v/>
      </c>
      <c r="F331" s="6" t="str">
        <f>IFERROR(__xludf.DUMMYFUNCTION("""COMPUTED_VALUE"""),"Slagh")</f>
        <v>Slagh</v>
      </c>
      <c r="G331" s="6" t="str">
        <f>IFERROR(__xludf.DUMMYFUNCTION("""COMPUTED_VALUE"""),"08/09/2014")</f>
        <v>08/09/2014</v>
      </c>
      <c r="H331" s="6" t="str">
        <f>IFERROR(__xludf.DUMMYFUNCTION("""COMPUTED_VALUE"""),"Self Identify")</f>
        <v>Self Identify</v>
      </c>
      <c r="I331" s="6" t="str">
        <f>IFERROR(__xludf.DUMMYFUNCTION("""COMPUTED_VALUE"""),"Level 2")</f>
        <v>Level 2</v>
      </c>
      <c r="J331" s="6" t="str">
        <f>IFERROR(__xludf.DUMMYFUNCTION("""COMPUTED_VALUE"""),"5")</f>
        <v>5</v>
      </c>
      <c r="K331" s="6" t="str">
        <f>IFERROR(__xludf.DUMMYFUNCTION("""COMPUTED_VALUE"""),"grayson.slagh@2hourlearning.com")</f>
        <v>grayson.slagh@2hourlearning.com</v>
      </c>
      <c r="L331" s="6" t="str">
        <f>IFERROR(__xludf.DUMMYFUNCTION("""COMPUTED_VALUE"""),"Alpha Anywhere (homeschool)")</f>
        <v>Alpha Anywhere (homeschool)</v>
      </c>
      <c r="M331" s="6" t="str">
        <f>IFERROR(__xludf.DUMMYFUNCTION("""COMPUTED_VALUE"""),"")</f>
        <v/>
      </c>
      <c r="N331" s="6" t="str">
        <f>IFERROR(__xludf.DUMMYFUNCTION("""COMPUTED_VALUE"""),"")</f>
        <v/>
      </c>
      <c r="O331" s="87" t="str">
        <f>IFERROR(__xludf.DUMMYFUNCTION("""COMPUTED_VALUE"""),"https://drive.google.com/drive/folders/10T2cTQHqEJZqE-st6uFKPoI?usp=share_link")</f>
        <v>https://drive.google.com/drive/folders/10T2cTQHqEJZqE-st6uFKPoI?usp=share_link</v>
      </c>
      <c r="P331" s="6" t="str">
        <f>IFERROR(__xludf.DUMMYFUNCTION("""COMPUTED_VALUE"""),"Grayson Slagh")</f>
        <v>Grayson Slagh</v>
      </c>
      <c r="Q331" s="6" t="str">
        <f>IFERROR(__xludf.DUMMYFUNCTION("""COMPUTED_VALUE"""),"L2")</f>
        <v>L2</v>
      </c>
      <c r="R331" s="6">
        <f>IFERROR(__xludf.DUMMYFUNCTION("""COMPUTED_VALUE"""),2.0)</f>
        <v>2</v>
      </c>
      <c r="S331" s="6" t="str">
        <f>IFERROR(__xludf.DUMMYFUNCTION("""COMPUTED_VALUE""")," ")</f>
        <v> </v>
      </c>
      <c r="T331" s="6" t="str">
        <f>IFERROR(__xludf.DUMMYFUNCTION("""COMPUTED_VALUE"""),"")</f>
        <v/>
      </c>
      <c r="U331" s="6" t="str">
        <f>IFERROR(__xludf.DUMMYFUNCTION("""COMPUTED_VALUE"""),"5")</f>
        <v>5</v>
      </c>
      <c r="V331" s="6" t="str">
        <f>IFERROR(__xludf.DUMMYFUNCTION("""COMPUTED_VALUE"""),"")</f>
        <v/>
      </c>
      <c r="W331" s="6" t="str">
        <f>IFERROR(__xludf.DUMMYFUNCTION("""COMPUTED_VALUE"""),"[]")</f>
        <v>[]</v>
      </c>
      <c r="X331" s="6" t="str">
        <f>IFERROR(__xludf.DUMMYFUNCTION("""COMPUTED_VALUE"""),"Enrolled")</f>
        <v>Enrolled</v>
      </c>
    </row>
    <row r="332">
      <c r="A332" s="6" t="str">
        <f>IFERROR(__xludf.DUMMYFUNCTION("""COMPUTED_VALUE"""),"000-7269")</f>
        <v>000-7269</v>
      </c>
      <c r="B332" s="6" t="str">
        <f>IFERROR(__xludf.DUMMYFUNCTION("""COMPUTED_VALUE"""),"0")</f>
        <v>0</v>
      </c>
      <c r="C332" s="6" t="str">
        <f>IFERROR(__xludf.DUMMYFUNCTION("""COMPUTED_VALUE"""),"7269")</f>
        <v>7269</v>
      </c>
      <c r="D332" s="6" t="str">
        <f>IFERROR(__xludf.DUMMYFUNCTION("""COMPUTED_VALUE"""),"Nicholas")</f>
        <v>Nicholas</v>
      </c>
      <c r="E332" s="6" t="str">
        <f>IFERROR(__xludf.DUMMYFUNCTION("""COMPUTED_VALUE"""),"")</f>
        <v/>
      </c>
      <c r="F332" s="6" t="str">
        <f>IFERROR(__xludf.DUMMYFUNCTION("""COMPUTED_VALUE"""),"Gazoni")</f>
        <v>Gazoni</v>
      </c>
      <c r="G332" s="6" t="str">
        <f>IFERROR(__xludf.DUMMYFUNCTION("""COMPUTED_VALUE"""),"11/08/2013")</f>
        <v>11/08/2013</v>
      </c>
      <c r="H332" s="6" t="str">
        <f>IFERROR(__xludf.DUMMYFUNCTION("""COMPUTED_VALUE"""),"male")</f>
        <v>male</v>
      </c>
      <c r="I332" s="6" t="str">
        <f>IFERROR(__xludf.DUMMYFUNCTION("""COMPUTED_VALUE"""),"Middle School")</f>
        <v>Middle School</v>
      </c>
      <c r="J332" s="6" t="str">
        <f>IFERROR(__xludf.DUMMYFUNCTION("""COMPUTED_VALUE"""),"6")</f>
        <v>6</v>
      </c>
      <c r="K332" s="6" t="str">
        <f>IFERROR(__xludf.DUMMYFUNCTION("""COMPUTED_VALUE"""),"nicholas.gazoni@2hourlearning.com")</f>
        <v>nicholas.gazoni@2hourlearning.com</v>
      </c>
      <c r="L332" s="6" t="str">
        <f>IFERROR(__xludf.DUMMYFUNCTION("""COMPUTED_VALUE"""),"Alpha Anywhere (homeschool)")</f>
        <v>Alpha Anywhere (homeschool)</v>
      </c>
      <c r="M332" s="6" t="str">
        <f>IFERROR(__xludf.DUMMYFUNCTION("""COMPUTED_VALUE"""),"")</f>
        <v/>
      </c>
      <c r="N332" s="6" t="str">
        <f>IFERROR(__xludf.DUMMYFUNCTION("""COMPUTED_VALUE"""),"")</f>
        <v/>
      </c>
      <c r="O332" s="87" t="str">
        <f>IFERROR(__xludf.DUMMYFUNCTION("""COMPUTED_VALUE"""),"https://drive.google.com/drive/folders/10T2cTQHqEJZqE-st6uFKPoI?usp=share_link")</f>
        <v>https://drive.google.com/drive/folders/10T2cTQHqEJZqE-st6uFKPoI?usp=share_link</v>
      </c>
      <c r="P332" s="6" t="str">
        <f>IFERROR(__xludf.DUMMYFUNCTION("""COMPUTED_VALUE"""),"Nicholas Gazoni")</f>
        <v>Nicholas Gazoni</v>
      </c>
      <c r="Q332" s="6" t="str">
        <f>IFERROR(__xludf.DUMMYFUNCTION("""COMPUTED_VALUE"""),"MS")</f>
        <v>MS</v>
      </c>
      <c r="R332" s="6">
        <f>IFERROR(__xludf.DUMMYFUNCTION("""COMPUTED_VALUE"""),0.0)</f>
        <v>0</v>
      </c>
      <c r="S332" s="6" t="str">
        <f>IFERROR(__xludf.DUMMYFUNCTION("""COMPUTED_VALUE""")," ")</f>
        <v> </v>
      </c>
      <c r="T332" s="6" t="str">
        <f>IFERROR(__xludf.DUMMYFUNCTION("""COMPUTED_VALUE"""),"")</f>
        <v/>
      </c>
      <c r="U332" s="6" t="str">
        <f>IFERROR(__xludf.DUMMYFUNCTION("""COMPUTED_VALUE"""),"6")</f>
        <v>6</v>
      </c>
      <c r="V332" s="6" t="str">
        <f>IFERROR(__xludf.DUMMYFUNCTION("""COMPUTED_VALUE"""),"")</f>
        <v/>
      </c>
      <c r="W332" s="6" t="str">
        <f>IFERROR(__xludf.DUMMYFUNCTION("""COMPUTED_VALUE"""),"[]")</f>
        <v>[]</v>
      </c>
      <c r="X332" s="6" t="str">
        <f>IFERROR(__xludf.DUMMYFUNCTION("""COMPUTED_VALUE"""),"Enrolled")</f>
        <v>Enrolled</v>
      </c>
    </row>
    <row r="333">
      <c r="A333" s="6" t="str">
        <f>IFERROR(__xludf.DUMMYFUNCTION("""COMPUTED_VALUE"""),"000-7272")</f>
        <v>000-7272</v>
      </c>
      <c r="B333" s="6" t="str">
        <f>IFERROR(__xludf.DUMMYFUNCTION("""COMPUTED_VALUE"""),"0")</f>
        <v>0</v>
      </c>
      <c r="C333" s="6" t="str">
        <f>IFERROR(__xludf.DUMMYFUNCTION("""COMPUTED_VALUE"""),"7272")</f>
        <v>7272</v>
      </c>
      <c r="D333" s="6" t="str">
        <f>IFERROR(__xludf.DUMMYFUNCTION("""COMPUTED_VALUE"""),"Yucen")</f>
        <v>Yucen</v>
      </c>
      <c r="E333" s="6" t="str">
        <f>IFERROR(__xludf.DUMMYFUNCTION("""COMPUTED_VALUE"""),"Leia")</f>
        <v>Leia</v>
      </c>
      <c r="F333" s="6" t="str">
        <f>IFERROR(__xludf.DUMMYFUNCTION("""COMPUTED_VALUE"""),"Hu")</f>
        <v>Hu</v>
      </c>
      <c r="G333" s="6" t="str">
        <f>IFERROR(__xludf.DUMMYFUNCTION("""COMPUTED_VALUE"""),"07/24/2016")</f>
        <v>07/24/2016</v>
      </c>
      <c r="H333" s="6" t="str">
        <f>IFERROR(__xludf.DUMMYFUNCTION("""COMPUTED_VALUE"""),"female")</f>
        <v>female</v>
      </c>
      <c r="I333" s="6" t="str">
        <f>IFERROR(__xludf.DUMMYFUNCTION("""COMPUTED_VALUE"""),"Level 2")</f>
        <v>Level 2</v>
      </c>
      <c r="J333" s="6" t="str">
        <f>IFERROR(__xludf.DUMMYFUNCTION("""COMPUTED_VALUE"""),"4")</f>
        <v>4</v>
      </c>
      <c r="K333" s="6" t="str">
        <f>IFERROR(__xludf.DUMMYFUNCTION("""COMPUTED_VALUE"""),"leia.hu@2hourlearning.com")</f>
        <v>leia.hu@2hourlearning.com</v>
      </c>
      <c r="L333" s="6" t="str">
        <f>IFERROR(__xludf.DUMMYFUNCTION("""COMPUTED_VALUE"""),"Alpha Anywhere (homeschool)")</f>
        <v>Alpha Anywhere (homeschool)</v>
      </c>
      <c r="M333" s="6" t="str">
        <f>IFERROR(__xludf.DUMMYFUNCTION("""COMPUTED_VALUE"""),"")</f>
        <v/>
      </c>
      <c r="N333" s="6" t="str">
        <f>IFERROR(__xludf.DUMMYFUNCTION("""COMPUTED_VALUE"""),"")</f>
        <v/>
      </c>
      <c r="O333" s="87" t="str">
        <f>IFERROR(__xludf.DUMMYFUNCTION("""COMPUTED_VALUE"""),"https://drive.google.com/drive/folders/10T2cTQHqEJZqE-st6uFKPoI?usp=share_link")</f>
        <v>https://drive.google.com/drive/folders/10T2cTQHqEJZqE-st6uFKPoI?usp=share_link</v>
      </c>
      <c r="P333" s="6" t="str">
        <f>IFERROR(__xludf.DUMMYFUNCTION("""COMPUTED_VALUE"""),"Leia Hu")</f>
        <v>Leia Hu</v>
      </c>
      <c r="Q333" s="6" t="str">
        <f>IFERROR(__xludf.DUMMYFUNCTION("""COMPUTED_VALUE"""),"L2")</f>
        <v>L2</v>
      </c>
      <c r="R333" s="6">
        <f>IFERROR(__xludf.DUMMYFUNCTION("""COMPUTED_VALUE"""),2.0)</f>
        <v>2</v>
      </c>
      <c r="S333" s="6" t="str">
        <f>IFERROR(__xludf.DUMMYFUNCTION("""COMPUTED_VALUE""")," ")</f>
        <v> </v>
      </c>
      <c r="T333" s="6" t="str">
        <f>IFERROR(__xludf.DUMMYFUNCTION("""COMPUTED_VALUE"""),"")</f>
        <v/>
      </c>
      <c r="U333" s="6" t="str">
        <f>IFERROR(__xludf.DUMMYFUNCTION("""COMPUTED_VALUE"""),"4")</f>
        <v>4</v>
      </c>
      <c r="V333" s="6" t="str">
        <f>IFERROR(__xludf.DUMMYFUNCTION("""COMPUTED_VALUE"""),"")</f>
        <v/>
      </c>
      <c r="W333" s="6" t="str">
        <f>IFERROR(__xludf.DUMMYFUNCTION("""COMPUTED_VALUE"""),"[]")</f>
        <v>[]</v>
      </c>
      <c r="X333" s="6" t="str">
        <f>IFERROR(__xludf.DUMMYFUNCTION("""COMPUTED_VALUE"""),"Enrolled")</f>
        <v>Enrolled</v>
      </c>
    </row>
    <row r="334">
      <c r="A334" s="6" t="str">
        <f>IFERROR(__xludf.DUMMYFUNCTION("""COMPUTED_VALUE"""),"000-7276")</f>
        <v>000-7276</v>
      </c>
      <c r="B334" s="6" t="str">
        <f>IFERROR(__xludf.DUMMYFUNCTION("""COMPUTED_VALUE"""),"0")</f>
        <v>0</v>
      </c>
      <c r="C334" s="6" t="str">
        <f>IFERROR(__xludf.DUMMYFUNCTION("""COMPUTED_VALUE"""),"7276")</f>
        <v>7276</v>
      </c>
      <c r="D334" s="6" t="str">
        <f>IFERROR(__xludf.DUMMYFUNCTION("""COMPUTED_VALUE"""),"Max")</f>
        <v>Max</v>
      </c>
      <c r="E334" s="6" t="str">
        <f>IFERROR(__xludf.DUMMYFUNCTION("""COMPUTED_VALUE"""),"Max")</f>
        <v>Max</v>
      </c>
      <c r="F334" s="6" t="str">
        <f>IFERROR(__xludf.DUMMYFUNCTION("""COMPUTED_VALUE"""),"Gavrichev")</f>
        <v>Gavrichev</v>
      </c>
      <c r="G334" s="6" t="str">
        <f>IFERROR(__xludf.DUMMYFUNCTION("""COMPUTED_VALUE"""),"09/20/2017")</f>
        <v>09/20/2017</v>
      </c>
      <c r="H334" s="6" t="str">
        <f>IFERROR(__xludf.DUMMYFUNCTION("""COMPUTED_VALUE"""),"male")</f>
        <v>male</v>
      </c>
      <c r="I334" s="6" t="str">
        <f>IFERROR(__xludf.DUMMYFUNCTION("""COMPUTED_VALUE"""),"Level 1")</f>
        <v>Level 1</v>
      </c>
      <c r="J334" s="6" t="str">
        <f>IFERROR(__xludf.DUMMYFUNCTION("""COMPUTED_VALUE"""),"2")</f>
        <v>2</v>
      </c>
      <c r="K334" s="6" t="str">
        <f>IFERROR(__xludf.DUMMYFUNCTION("""COMPUTED_VALUE"""),"max.gavrichev@2hourlearning.com")</f>
        <v>max.gavrichev@2hourlearning.com</v>
      </c>
      <c r="L334" s="6" t="str">
        <f>IFERROR(__xludf.DUMMYFUNCTION("""COMPUTED_VALUE"""),"Alpha Anywhere (homeschool)")</f>
        <v>Alpha Anywhere (homeschool)</v>
      </c>
      <c r="M334" s="6" t="str">
        <f>IFERROR(__xludf.DUMMYFUNCTION("""COMPUTED_VALUE"""),"")</f>
        <v/>
      </c>
      <c r="N334" s="6" t="str">
        <f>IFERROR(__xludf.DUMMYFUNCTION("""COMPUTED_VALUE"""),"")</f>
        <v/>
      </c>
      <c r="O334" s="87" t="str">
        <f>IFERROR(__xludf.DUMMYFUNCTION("""COMPUTED_VALUE"""),"https://drive.google.com/drive/folders/10T2cTQHqEJZqE-st6uFKPoI?usp=share_link")</f>
        <v>https://drive.google.com/drive/folders/10T2cTQHqEJZqE-st6uFKPoI?usp=share_link</v>
      </c>
      <c r="P334" s="6" t="str">
        <f>IFERROR(__xludf.DUMMYFUNCTION("""COMPUTED_VALUE"""),"Max Gavrichev")</f>
        <v>Max Gavrichev</v>
      </c>
      <c r="Q334" s="6" t="str">
        <f>IFERROR(__xludf.DUMMYFUNCTION("""COMPUTED_VALUE"""),"L1")</f>
        <v>L1</v>
      </c>
      <c r="R334" s="6">
        <f>IFERROR(__xludf.DUMMYFUNCTION("""COMPUTED_VALUE"""),1.0)</f>
        <v>1</v>
      </c>
      <c r="S334" s="6" t="str">
        <f>IFERROR(__xludf.DUMMYFUNCTION("""COMPUTED_VALUE""")," ")</f>
        <v> </v>
      </c>
      <c r="T334" s="6" t="str">
        <f>IFERROR(__xludf.DUMMYFUNCTION("""COMPUTED_VALUE"""),"")</f>
        <v/>
      </c>
      <c r="U334" s="6" t="str">
        <f>IFERROR(__xludf.DUMMYFUNCTION("""COMPUTED_VALUE"""),"2")</f>
        <v>2</v>
      </c>
      <c r="V334" s="6" t="str">
        <f>IFERROR(__xludf.DUMMYFUNCTION("""COMPUTED_VALUE"""),"")</f>
        <v/>
      </c>
      <c r="W334" s="6" t="str">
        <f>IFERROR(__xludf.DUMMYFUNCTION("""COMPUTED_VALUE"""),"[]")</f>
        <v>[]</v>
      </c>
      <c r="X334" s="6" t="str">
        <f>IFERROR(__xludf.DUMMYFUNCTION("""COMPUTED_VALUE"""),"Enrolled")</f>
        <v>Enrolled</v>
      </c>
    </row>
    <row r="335">
      <c r="A335" s="6" t="str">
        <f>IFERROR(__xludf.DUMMYFUNCTION("""COMPUTED_VALUE"""),"000-7295")</f>
        <v>000-7295</v>
      </c>
      <c r="B335" s="6" t="str">
        <f>IFERROR(__xludf.DUMMYFUNCTION("""COMPUTED_VALUE"""),"0")</f>
        <v>0</v>
      </c>
      <c r="C335" s="6" t="str">
        <f>IFERROR(__xludf.DUMMYFUNCTION("""COMPUTED_VALUE"""),"7295")</f>
        <v>7295</v>
      </c>
      <c r="D335" s="6" t="str">
        <f>IFERROR(__xludf.DUMMYFUNCTION("""COMPUTED_VALUE"""),"Luke")</f>
        <v>Luke</v>
      </c>
      <c r="E335" s="6" t="str">
        <f>IFERROR(__xludf.DUMMYFUNCTION("""COMPUTED_VALUE"""),"")</f>
        <v/>
      </c>
      <c r="F335" s="6" t="str">
        <f>IFERROR(__xludf.DUMMYFUNCTION("""COMPUTED_VALUE"""),"Thannisch")</f>
        <v>Thannisch</v>
      </c>
      <c r="G335" s="6" t="str">
        <f>IFERROR(__xludf.DUMMYFUNCTION("""COMPUTED_VALUE"""),"09/28/2014")</f>
        <v>09/28/2014</v>
      </c>
      <c r="H335" s="6" t="str">
        <f>IFERROR(__xludf.DUMMYFUNCTION("""COMPUTED_VALUE"""),"male")</f>
        <v>male</v>
      </c>
      <c r="I335" s="6" t="str">
        <f>IFERROR(__xludf.DUMMYFUNCTION("""COMPUTED_VALUE"""),"Level 2")</f>
        <v>Level 2</v>
      </c>
      <c r="J335" s="6" t="str">
        <f>IFERROR(__xludf.DUMMYFUNCTION("""COMPUTED_VALUE"""),"5")</f>
        <v>5</v>
      </c>
      <c r="K335" s="6" t="str">
        <f>IFERROR(__xludf.DUMMYFUNCTION("""COMPUTED_VALUE"""),"luke.thannisch@2hourlearning.com")</f>
        <v>luke.thannisch@2hourlearning.com</v>
      </c>
      <c r="L335" s="6" t="str">
        <f>IFERROR(__xludf.DUMMYFUNCTION("""COMPUTED_VALUE"""),"Alpha Anywhere (homeschool)")</f>
        <v>Alpha Anywhere (homeschool)</v>
      </c>
      <c r="M335" s="6" t="str">
        <f>IFERROR(__xludf.DUMMYFUNCTION("""COMPUTED_VALUE"""),"")</f>
        <v/>
      </c>
      <c r="N335" s="6" t="str">
        <f>IFERROR(__xludf.DUMMYFUNCTION("""COMPUTED_VALUE"""),"")</f>
        <v/>
      </c>
      <c r="O335" s="87" t="str">
        <f>IFERROR(__xludf.DUMMYFUNCTION("""COMPUTED_VALUE"""),"https://drive.google.com/drive/folders/10T2cTQHqEJZqE-st6uFKPoI?usp=share_link")</f>
        <v>https://drive.google.com/drive/folders/10T2cTQHqEJZqE-st6uFKPoI?usp=share_link</v>
      </c>
      <c r="P335" s="6" t="str">
        <f>IFERROR(__xludf.DUMMYFUNCTION("""COMPUTED_VALUE"""),"Luke Thannisch")</f>
        <v>Luke Thannisch</v>
      </c>
      <c r="Q335" s="6" t="str">
        <f>IFERROR(__xludf.DUMMYFUNCTION("""COMPUTED_VALUE"""),"L2")</f>
        <v>L2</v>
      </c>
      <c r="R335" s="6">
        <f>IFERROR(__xludf.DUMMYFUNCTION("""COMPUTED_VALUE"""),2.0)</f>
        <v>2</v>
      </c>
      <c r="S335" s="6" t="str">
        <f>IFERROR(__xludf.DUMMYFUNCTION("""COMPUTED_VALUE""")," ")</f>
        <v> </v>
      </c>
      <c r="T335" s="6" t="str">
        <f>IFERROR(__xludf.DUMMYFUNCTION("""COMPUTED_VALUE"""),"")</f>
        <v/>
      </c>
      <c r="U335" s="6" t="str">
        <f>IFERROR(__xludf.DUMMYFUNCTION("""COMPUTED_VALUE"""),"5")</f>
        <v>5</v>
      </c>
      <c r="V335" s="6" t="str">
        <f>IFERROR(__xludf.DUMMYFUNCTION("""COMPUTED_VALUE"""),"")</f>
        <v/>
      </c>
      <c r="W335" s="6" t="str">
        <f>IFERROR(__xludf.DUMMYFUNCTION("""COMPUTED_VALUE"""),"[]")</f>
        <v>[]</v>
      </c>
      <c r="X335" s="6" t="str">
        <f>IFERROR(__xludf.DUMMYFUNCTION("""COMPUTED_VALUE"""),"Enrolled")</f>
        <v>Enrolled</v>
      </c>
    </row>
    <row r="336">
      <c r="A336" s="6" t="str">
        <f>IFERROR(__xludf.DUMMYFUNCTION("""COMPUTED_VALUE"""),"000-7296")</f>
        <v>000-7296</v>
      </c>
      <c r="B336" s="6" t="str">
        <f>IFERROR(__xludf.DUMMYFUNCTION("""COMPUTED_VALUE"""),"0")</f>
        <v>0</v>
      </c>
      <c r="C336" s="6" t="str">
        <f>IFERROR(__xludf.DUMMYFUNCTION("""COMPUTED_VALUE"""),"7296")</f>
        <v>7296</v>
      </c>
      <c r="D336" s="6" t="str">
        <f>IFERROR(__xludf.DUMMYFUNCTION("""COMPUTED_VALUE"""),"Conrad")</f>
        <v>Conrad</v>
      </c>
      <c r="E336" s="6" t="str">
        <f>IFERROR(__xludf.DUMMYFUNCTION("""COMPUTED_VALUE"""),"")</f>
        <v/>
      </c>
      <c r="F336" s="6" t="str">
        <f>IFERROR(__xludf.DUMMYFUNCTION("""COMPUTED_VALUE"""),"Thannisch")</f>
        <v>Thannisch</v>
      </c>
      <c r="G336" s="6" t="str">
        <f>IFERROR(__xludf.DUMMYFUNCTION("""COMPUTED_VALUE"""),"09/10/2016")</f>
        <v>09/10/2016</v>
      </c>
      <c r="H336" s="6" t="str">
        <f>IFERROR(__xludf.DUMMYFUNCTION("""COMPUTED_VALUE"""),"male")</f>
        <v>male</v>
      </c>
      <c r="I336" s="6" t="str">
        <f>IFERROR(__xludf.DUMMYFUNCTION("""COMPUTED_VALUE"""),"Level 1")</f>
        <v>Level 1</v>
      </c>
      <c r="J336" s="6" t="str">
        <f>IFERROR(__xludf.DUMMYFUNCTION("""COMPUTED_VALUE"""),"3")</f>
        <v>3</v>
      </c>
      <c r="K336" s="6" t="str">
        <f>IFERROR(__xludf.DUMMYFUNCTION("""COMPUTED_VALUE"""),"conrad.thannisch@2hourlearning.com")</f>
        <v>conrad.thannisch@2hourlearning.com</v>
      </c>
      <c r="L336" s="6" t="str">
        <f>IFERROR(__xludf.DUMMYFUNCTION("""COMPUTED_VALUE"""),"Alpha Anywhere (homeschool)")</f>
        <v>Alpha Anywhere (homeschool)</v>
      </c>
      <c r="M336" s="6" t="str">
        <f>IFERROR(__xludf.DUMMYFUNCTION("""COMPUTED_VALUE"""),"")</f>
        <v/>
      </c>
      <c r="N336" s="6" t="str">
        <f>IFERROR(__xludf.DUMMYFUNCTION("""COMPUTED_VALUE"""),"")</f>
        <v/>
      </c>
      <c r="O336" s="87" t="str">
        <f>IFERROR(__xludf.DUMMYFUNCTION("""COMPUTED_VALUE"""),"https://drive.google.com/drive/folders/10T2cTQHqEJZqE-st6uFKPoI?usp=share_link")</f>
        <v>https://drive.google.com/drive/folders/10T2cTQHqEJZqE-st6uFKPoI?usp=share_link</v>
      </c>
      <c r="P336" s="6" t="str">
        <f>IFERROR(__xludf.DUMMYFUNCTION("""COMPUTED_VALUE"""),"Conrad Thannisch")</f>
        <v>Conrad Thannisch</v>
      </c>
      <c r="Q336" s="6" t="str">
        <f>IFERROR(__xludf.DUMMYFUNCTION("""COMPUTED_VALUE"""),"L1")</f>
        <v>L1</v>
      </c>
      <c r="R336" s="6">
        <f>IFERROR(__xludf.DUMMYFUNCTION("""COMPUTED_VALUE"""),1.0)</f>
        <v>1</v>
      </c>
      <c r="S336" s="6" t="str">
        <f>IFERROR(__xludf.DUMMYFUNCTION("""COMPUTED_VALUE""")," ")</f>
        <v> </v>
      </c>
      <c r="T336" s="6" t="str">
        <f>IFERROR(__xludf.DUMMYFUNCTION("""COMPUTED_VALUE"""),"")</f>
        <v/>
      </c>
      <c r="U336" s="6" t="str">
        <f>IFERROR(__xludf.DUMMYFUNCTION("""COMPUTED_VALUE"""),"3")</f>
        <v>3</v>
      </c>
      <c r="V336" s="6" t="str">
        <f>IFERROR(__xludf.DUMMYFUNCTION("""COMPUTED_VALUE"""),"")</f>
        <v/>
      </c>
      <c r="W336" s="6" t="str">
        <f>IFERROR(__xludf.DUMMYFUNCTION("""COMPUTED_VALUE"""),"[]")</f>
        <v>[]</v>
      </c>
      <c r="X336" s="6" t="str">
        <f>IFERROR(__xludf.DUMMYFUNCTION("""COMPUTED_VALUE"""),"Enrolled")</f>
        <v>Enrolled</v>
      </c>
    </row>
    <row r="337">
      <c r="A337" s="6" t="str">
        <f>IFERROR(__xludf.DUMMYFUNCTION("""COMPUTED_VALUE"""),"000-7298")</f>
        <v>000-7298</v>
      </c>
      <c r="B337" s="6" t="str">
        <f>IFERROR(__xludf.DUMMYFUNCTION("""COMPUTED_VALUE"""),"0")</f>
        <v>0</v>
      </c>
      <c r="C337" s="6" t="str">
        <f>IFERROR(__xludf.DUMMYFUNCTION("""COMPUTED_VALUE"""),"7298")</f>
        <v>7298</v>
      </c>
      <c r="D337" s="6" t="str">
        <f>IFERROR(__xludf.DUMMYFUNCTION("""COMPUTED_VALUE"""),"Rhett")</f>
        <v>Rhett</v>
      </c>
      <c r="E337" s="6" t="str">
        <f>IFERROR(__xludf.DUMMYFUNCTION("""COMPUTED_VALUE"""),"")</f>
        <v/>
      </c>
      <c r="F337" s="6" t="str">
        <f>IFERROR(__xludf.DUMMYFUNCTION("""COMPUTED_VALUE"""),"Thannisch")</f>
        <v>Thannisch</v>
      </c>
      <c r="G337" s="6" t="str">
        <f>IFERROR(__xludf.DUMMYFUNCTION("""COMPUTED_VALUE"""),"09/10/2016")</f>
        <v>09/10/2016</v>
      </c>
      <c r="H337" s="6" t="str">
        <f>IFERROR(__xludf.DUMMYFUNCTION("""COMPUTED_VALUE"""),"male")</f>
        <v>male</v>
      </c>
      <c r="I337" s="6" t="str">
        <f>IFERROR(__xludf.DUMMYFUNCTION("""COMPUTED_VALUE"""),"Level 1")</f>
        <v>Level 1</v>
      </c>
      <c r="J337" s="6" t="str">
        <f>IFERROR(__xludf.DUMMYFUNCTION("""COMPUTED_VALUE"""),"3")</f>
        <v>3</v>
      </c>
      <c r="K337" s="6" t="str">
        <f>IFERROR(__xludf.DUMMYFUNCTION("""COMPUTED_VALUE"""),"rhett.thannisch@2hourlearning.com")</f>
        <v>rhett.thannisch@2hourlearning.com</v>
      </c>
      <c r="L337" s="6" t="str">
        <f>IFERROR(__xludf.DUMMYFUNCTION("""COMPUTED_VALUE"""),"Alpha Anywhere (homeschool)")</f>
        <v>Alpha Anywhere (homeschool)</v>
      </c>
      <c r="M337" s="6" t="str">
        <f>IFERROR(__xludf.DUMMYFUNCTION("""COMPUTED_VALUE"""),"")</f>
        <v/>
      </c>
      <c r="N337" s="6" t="str">
        <f>IFERROR(__xludf.DUMMYFUNCTION("""COMPUTED_VALUE"""),"")</f>
        <v/>
      </c>
      <c r="O337" s="87" t="str">
        <f>IFERROR(__xludf.DUMMYFUNCTION("""COMPUTED_VALUE"""),"https://drive.google.com/drive/folders/10T2cTQHqEJZqE-st6uFKPoI?usp=share_link")</f>
        <v>https://drive.google.com/drive/folders/10T2cTQHqEJZqE-st6uFKPoI?usp=share_link</v>
      </c>
      <c r="P337" s="6" t="str">
        <f>IFERROR(__xludf.DUMMYFUNCTION("""COMPUTED_VALUE"""),"Rhett Thannisch")</f>
        <v>Rhett Thannisch</v>
      </c>
      <c r="Q337" s="6" t="str">
        <f>IFERROR(__xludf.DUMMYFUNCTION("""COMPUTED_VALUE"""),"L1")</f>
        <v>L1</v>
      </c>
      <c r="R337" s="6">
        <f>IFERROR(__xludf.DUMMYFUNCTION("""COMPUTED_VALUE"""),1.0)</f>
        <v>1</v>
      </c>
      <c r="S337" s="6" t="str">
        <f>IFERROR(__xludf.DUMMYFUNCTION("""COMPUTED_VALUE""")," ")</f>
        <v> </v>
      </c>
      <c r="T337" s="6" t="str">
        <f>IFERROR(__xludf.DUMMYFUNCTION("""COMPUTED_VALUE"""),"")</f>
        <v/>
      </c>
      <c r="U337" s="6" t="str">
        <f>IFERROR(__xludf.DUMMYFUNCTION("""COMPUTED_VALUE"""),"3")</f>
        <v>3</v>
      </c>
      <c r="V337" s="6" t="str">
        <f>IFERROR(__xludf.DUMMYFUNCTION("""COMPUTED_VALUE"""),"")</f>
        <v/>
      </c>
      <c r="W337" s="6" t="str">
        <f>IFERROR(__xludf.DUMMYFUNCTION("""COMPUTED_VALUE"""),"[]")</f>
        <v>[]</v>
      </c>
      <c r="X337" s="6" t="str">
        <f>IFERROR(__xludf.DUMMYFUNCTION("""COMPUTED_VALUE"""),"Enrolled")</f>
        <v>Enrolled</v>
      </c>
    </row>
    <row r="338">
      <c r="A338" s="6" t="str">
        <f>IFERROR(__xludf.DUMMYFUNCTION("""COMPUTED_VALUE"""),"000-7302")</f>
        <v>000-7302</v>
      </c>
      <c r="B338" s="6" t="str">
        <f>IFERROR(__xludf.DUMMYFUNCTION("""COMPUTED_VALUE"""),"0")</f>
        <v>0</v>
      </c>
      <c r="C338" s="6" t="str">
        <f>IFERROR(__xludf.DUMMYFUNCTION("""COMPUTED_VALUE"""),"7302")</f>
        <v>7302</v>
      </c>
      <c r="D338" s="6" t="str">
        <f>IFERROR(__xludf.DUMMYFUNCTION("""COMPUTED_VALUE"""),"Zyler")</f>
        <v>Zyler</v>
      </c>
      <c r="E338" s="6" t="str">
        <f>IFERROR(__xludf.DUMMYFUNCTION("""COMPUTED_VALUE"""),"")</f>
        <v/>
      </c>
      <c r="F338" s="6" t="str">
        <f>IFERROR(__xludf.DUMMYFUNCTION("""COMPUTED_VALUE"""),"Sharpe")</f>
        <v>Sharpe</v>
      </c>
      <c r="G338" s="6" t="str">
        <f>IFERROR(__xludf.DUMMYFUNCTION("""COMPUTED_VALUE"""),"12/28/2014")</f>
        <v>12/28/2014</v>
      </c>
      <c r="H338" s="6" t="str">
        <f>IFERROR(__xludf.DUMMYFUNCTION("""COMPUTED_VALUE"""),"Self Identify")</f>
        <v>Self Identify</v>
      </c>
      <c r="I338" s="6" t="str">
        <f>IFERROR(__xludf.DUMMYFUNCTION("""COMPUTED_VALUE"""),"Level 2")</f>
        <v>Level 2</v>
      </c>
      <c r="J338" s="6" t="str">
        <f>IFERROR(__xludf.DUMMYFUNCTION("""COMPUTED_VALUE"""),"5")</f>
        <v>5</v>
      </c>
      <c r="K338" s="6" t="str">
        <f>IFERROR(__xludf.DUMMYFUNCTION("""COMPUTED_VALUE"""),"zyler.sharpe@2hourlearning.com")</f>
        <v>zyler.sharpe@2hourlearning.com</v>
      </c>
      <c r="L338" s="6" t="str">
        <f>IFERROR(__xludf.DUMMYFUNCTION("""COMPUTED_VALUE"""),"Alpha Anywhere (homeschool)")</f>
        <v>Alpha Anywhere (homeschool)</v>
      </c>
      <c r="M338" s="6" t="str">
        <f>IFERROR(__xludf.DUMMYFUNCTION("""COMPUTED_VALUE"""),"")</f>
        <v/>
      </c>
      <c r="N338" s="6" t="str">
        <f>IFERROR(__xludf.DUMMYFUNCTION("""COMPUTED_VALUE"""),"")</f>
        <v/>
      </c>
      <c r="O338" s="87" t="str">
        <f>IFERROR(__xludf.DUMMYFUNCTION("""COMPUTED_VALUE"""),"https://drive.google.com/drive/folders/10T2cTQHqEJZqE-st6uFKPoI?usp=share_link")</f>
        <v>https://drive.google.com/drive/folders/10T2cTQHqEJZqE-st6uFKPoI?usp=share_link</v>
      </c>
      <c r="P338" s="6" t="str">
        <f>IFERROR(__xludf.DUMMYFUNCTION("""COMPUTED_VALUE"""),"Zyler Sharpe")</f>
        <v>Zyler Sharpe</v>
      </c>
      <c r="Q338" s="6" t="str">
        <f>IFERROR(__xludf.DUMMYFUNCTION("""COMPUTED_VALUE"""),"L2")</f>
        <v>L2</v>
      </c>
      <c r="R338" s="6">
        <f>IFERROR(__xludf.DUMMYFUNCTION("""COMPUTED_VALUE"""),2.0)</f>
        <v>2</v>
      </c>
      <c r="S338" s="6" t="str">
        <f>IFERROR(__xludf.DUMMYFUNCTION("""COMPUTED_VALUE""")," ")</f>
        <v> </v>
      </c>
      <c r="T338" s="6" t="str">
        <f>IFERROR(__xludf.DUMMYFUNCTION("""COMPUTED_VALUE"""),"")</f>
        <v/>
      </c>
      <c r="U338" s="6" t="str">
        <f>IFERROR(__xludf.DUMMYFUNCTION("""COMPUTED_VALUE"""),"5")</f>
        <v>5</v>
      </c>
      <c r="V338" s="6" t="str">
        <f>IFERROR(__xludf.DUMMYFUNCTION("""COMPUTED_VALUE"""),"")</f>
        <v/>
      </c>
      <c r="W338" s="6" t="str">
        <f>IFERROR(__xludf.DUMMYFUNCTION("""COMPUTED_VALUE"""),"[]")</f>
        <v>[]</v>
      </c>
      <c r="X338" s="6" t="str">
        <f>IFERROR(__xludf.DUMMYFUNCTION("""COMPUTED_VALUE"""),"Enrolled")</f>
        <v>Enrolled</v>
      </c>
    </row>
    <row r="339">
      <c r="A339" s="6" t="str">
        <f>IFERROR(__xludf.DUMMYFUNCTION("""COMPUTED_VALUE"""),"000-7303")</f>
        <v>000-7303</v>
      </c>
      <c r="B339" s="6" t="str">
        <f>IFERROR(__xludf.DUMMYFUNCTION("""COMPUTED_VALUE"""),"0")</f>
        <v>0</v>
      </c>
      <c r="C339" s="6" t="str">
        <f>IFERROR(__xludf.DUMMYFUNCTION("""COMPUTED_VALUE"""),"7303")</f>
        <v>7303</v>
      </c>
      <c r="D339" s="6" t="str">
        <f>IFERROR(__xludf.DUMMYFUNCTION("""COMPUTED_VALUE"""),"Kadyn")</f>
        <v>Kadyn</v>
      </c>
      <c r="E339" s="6" t="str">
        <f>IFERROR(__xludf.DUMMYFUNCTION("""COMPUTED_VALUE"""),"")</f>
        <v/>
      </c>
      <c r="F339" s="6" t="str">
        <f>IFERROR(__xludf.DUMMYFUNCTION("""COMPUTED_VALUE"""),"Sharpe")</f>
        <v>Sharpe</v>
      </c>
      <c r="G339" s="6" t="str">
        <f>IFERROR(__xludf.DUMMYFUNCTION("""COMPUTED_VALUE"""),"12/28/2014")</f>
        <v>12/28/2014</v>
      </c>
      <c r="H339" s="6" t="str">
        <f>IFERROR(__xludf.DUMMYFUNCTION("""COMPUTED_VALUE"""),"Self Identify")</f>
        <v>Self Identify</v>
      </c>
      <c r="I339" s="6" t="str">
        <f>IFERROR(__xludf.DUMMYFUNCTION("""COMPUTED_VALUE"""),"Level 2")</f>
        <v>Level 2</v>
      </c>
      <c r="J339" s="6" t="str">
        <f>IFERROR(__xludf.DUMMYFUNCTION("""COMPUTED_VALUE"""),"5")</f>
        <v>5</v>
      </c>
      <c r="K339" s="6" t="str">
        <f>IFERROR(__xludf.DUMMYFUNCTION("""COMPUTED_VALUE"""),"kadyn.sharpe@2hourlearning.com")</f>
        <v>kadyn.sharpe@2hourlearning.com</v>
      </c>
      <c r="L339" s="6" t="str">
        <f>IFERROR(__xludf.DUMMYFUNCTION("""COMPUTED_VALUE"""),"Alpha Anywhere (homeschool)")</f>
        <v>Alpha Anywhere (homeschool)</v>
      </c>
      <c r="M339" s="6" t="str">
        <f>IFERROR(__xludf.DUMMYFUNCTION("""COMPUTED_VALUE"""),"")</f>
        <v/>
      </c>
      <c r="N339" s="6" t="str">
        <f>IFERROR(__xludf.DUMMYFUNCTION("""COMPUTED_VALUE"""),"")</f>
        <v/>
      </c>
      <c r="O339" s="87" t="str">
        <f>IFERROR(__xludf.DUMMYFUNCTION("""COMPUTED_VALUE"""),"https://drive.google.com/drive/folders/10T2cTQHqEJZqE-st6uFKPoI?usp=share_link")</f>
        <v>https://drive.google.com/drive/folders/10T2cTQHqEJZqE-st6uFKPoI?usp=share_link</v>
      </c>
      <c r="P339" s="6" t="str">
        <f>IFERROR(__xludf.DUMMYFUNCTION("""COMPUTED_VALUE"""),"Kadyn Sharpe")</f>
        <v>Kadyn Sharpe</v>
      </c>
      <c r="Q339" s="6" t="str">
        <f>IFERROR(__xludf.DUMMYFUNCTION("""COMPUTED_VALUE"""),"L2")</f>
        <v>L2</v>
      </c>
      <c r="R339" s="6">
        <f>IFERROR(__xludf.DUMMYFUNCTION("""COMPUTED_VALUE"""),2.0)</f>
        <v>2</v>
      </c>
      <c r="S339" s="6" t="str">
        <f>IFERROR(__xludf.DUMMYFUNCTION("""COMPUTED_VALUE""")," ")</f>
        <v> </v>
      </c>
      <c r="T339" s="6" t="str">
        <f>IFERROR(__xludf.DUMMYFUNCTION("""COMPUTED_VALUE"""),"")</f>
        <v/>
      </c>
      <c r="U339" s="6" t="str">
        <f>IFERROR(__xludf.DUMMYFUNCTION("""COMPUTED_VALUE"""),"5")</f>
        <v>5</v>
      </c>
      <c r="V339" s="6" t="str">
        <f>IFERROR(__xludf.DUMMYFUNCTION("""COMPUTED_VALUE"""),"")</f>
        <v/>
      </c>
      <c r="W339" s="6" t="str">
        <f>IFERROR(__xludf.DUMMYFUNCTION("""COMPUTED_VALUE"""),"[]")</f>
        <v>[]</v>
      </c>
      <c r="X339" s="6" t="str">
        <f>IFERROR(__xludf.DUMMYFUNCTION("""COMPUTED_VALUE"""),"Enrolled")</f>
        <v>Enrolled</v>
      </c>
    </row>
    <row r="340">
      <c r="A340" s="6" t="str">
        <f>IFERROR(__xludf.DUMMYFUNCTION("""COMPUTED_VALUE"""),"000-7316")</f>
        <v>000-7316</v>
      </c>
      <c r="B340" s="6" t="str">
        <f>IFERROR(__xludf.DUMMYFUNCTION("""COMPUTED_VALUE"""),"0")</f>
        <v>0</v>
      </c>
      <c r="C340" s="6" t="str">
        <f>IFERROR(__xludf.DUMMYFUNCTION("""COMPUTED_VALUE"""),"7316")</f>
        <v>7316</v>
      </c>
      <c r="D340" s="6" t="str">
        <f>IFERROR(__xludf.DUMMYFUNCTION("""COMPUTED_VALUE"""),"Eva")</f>
        <v>Eva</v>
      </c>
      <c r="E340" s="6" t="str">
        <f>IFERROR(__xludf.DUMMYFUNCTION("""COMPUTED_VALUE"""),"Eva")</f>
        <v>Eva</v>
      </c>
      <c r="F340" s="6" t="str">
        <f>IFERROR(__xludf.DUMMYFUNCTION("""COMPUTED_VALUE"""),"Quintero")</f>
        <v>Quintero</v>
      </c>
      <c r="G340" s="6" t="str">
        <f>IFERROR(__xludf.DUMMYFUNCTION("""COMPUTED_VALUE"""),"07/21/2015")</f>
        <v>07/21/2015</v>
      </c>
      <c r="H340" s="6" t="str">
        <f>IFERROR(__xludf.DUMMYFUNCTION("""COMPUTED_VALUE"""),"female")</f>
        <v>female</v>
      </c>
      <c r="I340" s="6" t="str">
        <f>IFERROR(__xludf.DUMMYFUNCTION("""COMPUTED_VALUE"""),"Level 2")</f>
        <v>Level 2</v>
      </c>
      <c r="J340" s="6" t="str">
        <f>IFERROR(__xludf.DUMMYFUNCTION("""COMPUTED_VALUE"""),"5")</f>
        <v>5</v>
      </c>
      <c r="K340" s="6" t="str">
        <f>IFERROR(__xludf.DUMMYFUNCTION("""COMPUTED_VALUE"""),"eva.quintero@2hourlearning.com")</f>
        <v>eva.quintero@2hourlearning.com</v>
      </c>
      <c r="L340" s="6" t="str">
        <f>IFERROR(__xludf.DUMMYFUNCTION("""COMPUTED_VALUE"""),"Alpha Anywhere (homeschool)")</f>
        <v>Alpha Anywhere (homeschool)</v>
      </c>
      <c r="M340" s="6" t="str">
        <f>IFERROR(__xludf.DUMMYFUNCTION("""COMPUTED_VALUE"""),"")</f>
        <v/>
      </c>
      <c r="N340" s="6" t="str">
        <f>IFERROR(__xludf.DUMMYFUNCTION("""COMPUTED_VALUE"""),"")</f>
        <v/>
      </c>
      <c r="O340" s="87" t="str">
        <f>IFERROR(__xludf.DUMMYFUNCTION("""COMPUTED_VALUE"""),"https://drive.google.com/drive/folders/10T2cTQHqEJZqE-st6uFKPoI?usp=share_link")</f>
        <v>https://drive.google.com/drive/folders/10T2cTQHqEJZqE-st6uFKPoI?usp=share_link</v>
      </c>
      <c r="P340" s="6" t="str">
        <f>IFERROR(__xludf.DUMMYFUNCTION("""COMPUTED_VALUE"""),"Eva Quintero")</f>
        <v>Eva Quintero</v>
      </c>
      <c r="Q340" s="6" t="str">
        <f>IFERROR(__xludf.DUMMYFUNCTION("""COMPUTED_VALUE"""),"L2")</f>
        <v>L2</v>
      </c>
      <c r="R340" s="6">
        <f>IFERROR(__xludf.DUMMYFUNCTION("""COMPUTED_VALUE"""),2.0)</f>
        <v>2</v>
      </c>
      <c r="S340" s="6" t="str">
        <f>IFERROR(__xludf.DUMMYFUNCTION("""COMPUTED_VALUE""")," ")</f>
        <v> </v>
      </c>
      <c r="T340" s="6" t="str">
        <f>IFERROR(__xludf.DUMMYFUNCTION("""COMPUTED_VALUE"""),"")</f>
        <v/>
      </c>
      <c r="U340" s="6" t="str">
        <f>IFERROR(__xludf.DUMMYFUNCTION("""COMPUTED_VALUE"""),"5")</f>
        <v>5</v>
      </c>
      <c r="V340" s="6" t="str">
        <f>IFERROR(__xludf.DUMMYFUNCTION("""COMPUTED_VALUE"""),"")</f>
        <v/>
      </c>
      <c r="W340" s="6" t="str">
        <f>IFERROR(__xludf.DUMMYFUNCTION("""COMPUTED_VALUE"""),"[]")</f>
        <v>[]</v>
      </c>
      <c r="X340" s="6" t="str">
        <f>IFERROR(__xludf.DUMMYFUNCTION("""COMPUTED_VALUE"""),"Enrolled")</f>
        <v>Enrolled</v>
      </c>
    </row>
    <row r="341">
      <c r="A341" s="6" t="str">
        <f>IFERROR(__xludf.DUMMYFUNCTION("""COMPUTED_VALUE"""),"000-7319")</f>
        <v>000-7319</v>
      </c>
      <c r="B341" s="6" t="str">
        <f>IFERROR(__xludf.DUMMYFUNCTION("""COMPUTED_VALUE"""),"0")</f>
        <v>0</v>
      </c>
      <c r="C341" s="6" t="str">
        <f>IFERROR(__xludf.DUMMYFUNCTION("""COMPUTED_VALUE"""),"7319")</f>
        <v>7319</v>
      </c>
      <c r="D341" s="6" t="str">
        <f>IFERROR(__xludf.DUMMYFUNCTION("""COMPUTED_VALUE"""),"Catherine")</f>
        <v>Catherine</v>
      </c>
      <c r="E341" s="6" t="str">
        <f>IFERROR(__xludf.DUMMYFUNCTION("""COMPUTED_VALUE"""),"Rosie")</f>
        <v>Rosie</v>
      </c>
      <c r="F341" s="6" t="str">
        <f>IFERROR(__xludf.DUMMYFUNCTION("""COMPUTED_VALUE"""),"McAllister")</f>
        <v>McAllister</v>
      </c>
      <c r="G341" s="6" t="str">
        <f>IFERROR(__xludf.DUMMYFUNCTION("""COMPUTED_VALUE"""),"03/19/2014")</f>
        <v>03/19/2014</v>
      </c>
      <c r="H341" s="6" t="str">
        <f>IFERROR(__xludf.DUMMYFUNCTION("""COMPUTED_VALUE"""),"female")</f>
        <v>female</v>
      </c>
      <c r="I341" s="6" t="str">
        <f>IFERROR(__xludf.DUMMYFUNCTION("""COMPUTED_VALUE"""),"Level 2")</f>
        <v>Level 2</v>
      </c>
      <c r="J341" s="6" t="str">
        <f>IFERROR(__xludf.DUMMYFUNCTION("""COMPUTED_VALUE"""),"5")</f>
        <v>5</v>
      </c>
      <c r="K341" s="6" t="str">
        <f>IFERROR(__xludf.DUMMYFUNCTION("""COMPUTED_VALUE"""),"rosie.mcallister@2hourlearning.com")</f>
        <v>rosie.mcallister@2hourlearning.com</v>
      </c>
      <c r="L341" s="6" t="str">
        <f>IFERROR(__xludf.DUMMYFUNCTION("""COMPUTED_VALUE"""),"Alpha Anywhere (homeschool)")</f>
        <v>Alpha Anywhere (homeschool)</v>
      </c>
      <c r="M341" s="6" t="str">
        <f>IFERROR(__xludf.DUMMYFUNCTION("""COMPUTED_VALUE"""),"")</f>
        <v/>
      </c>
      <c r="N341" s="6" t="str">
        <f>IFERROR(__xludf.DUMMYFUNCTION("""COMPUTED_VALUE"""),"")</f>
        <v/>
      </c>
      <c r="O341" s="87" t="str">
        <f>IFERROR(__xludf.DUMMYFUNCTION("""COMPUTED_VALUE"""),"https://drive.google.com/drive/folders/10T2cTQHqEJZqE-st6uFKPoI?usp=share_link")</f>
        <v>https://drive.google.com/drive/folders/10T2cTQHqEJZqE-st6uFKPoI?usp=share_link</v>
      </c>
      <c r="P341" s="6" t="str">
        <f>IFERROR(__xludf.DUMMYFUNCTION("""COMPUTED_VALUE"""),"Rosie McAllister")</f>
        <v>Rosie McAllister</v>
      </c>
      <c r="Q341" s="6" t="str">
        <f>IFERROR(__xludf.DUMMYFUNCTION("""COMPUTED_VALUE"""),"L2")</f>
        <v>L2</v>
      </c>
      <c r="R341" s="6">
        <f>IFERROR(__xludf.DUMMYFUNCTION("""COMPUTED_VALUE"""),2.0)</f>
        <v>2</v>
      </c>
      <c r="S341" s="6" t="str">
        <f>IFERROR(__xludf.DUMMYFUNCTION("""COMPUTED_VALUE""")," ")</f>
        <v> </v>
      </c>
      <c r="T341" s="6" t="str">
        <f>IFERROR(__xludf.DUMMYFUNCTION("""COMPUTED_VALUE"""),"")</f>
        <v/>
      </c>
      <c r="U341" s="6" t="str">
        <f>IFERROR(__xludf.DUMMYFUNCTION("""COMPUTED_VALUE"""),"5")</f>
        <v>5</v>
      </c>
      <c r="V341" s="6" t="str">
        <f>IFERROR(__xludf.DUMMYFUNCTION("""COMPUTED_VALUE"""),"")</f>
        <v/>
      </c>
      <c r="W341" s="6" t="str">
        <f>IFERROR(__xludf.DUMMYFUNCTION("""COMPUTED_VALUE"""),"[]")</f>
        <v>[]</v>
      </c>
      <c r="X341" s="6" t="str">
        <f>IFERROR(__xludf.DUMMYFUNCTION("""COMPUTED_VALUE"""),"Enrolled")</f>
        <v>Enrolled</v>
      </c>
    </row>
    <row r="342">
      <c r="A342" s="6" t="str">
        <f>IFERROR(__xludf.DUMMYFUNCTION("""COMPUTED_VALUE"""),"000-7320")</f>
        <v>000-7320</v>
      </c>
      <c r="B342" s="6" t="str">
        <f>IFERROR(__xludf.DUMMYFUNCTION("""COMPUTED_VALUE"""),"0")</f>
        <v>0</v>
      </c>
      <c r="C342" s="6" t="str">
        <f>IFERROR(__xludf.DUMMYFUNCTION("""COMPUTED_VALUE"""),"7320")</f>
        <v>7320</v>
      </c>
      <c r="D342" s="6" t="str">
        <f>IFERROR(__xludf.DUMMYFUNCTION("""COMPUTED_VALUE"""),"Boone")</f>
        <v>Boone</v>
      </c>
      <c r="E342" s="6" t="str">
        <f>IFERROR(__xludf.DUMMYFUNCTION("""COMPUTED_VALUE"""),"Boone")</f>
        <v>Boone</v>
      </c>
      <c r="F342" s="6" t="str">
        <f>IFERROR(__xludf.DUMMYFUNCTION("""COMPUTED_VALUE"""),"Purviance")</f>
        <v>Purviance</v>
      </c>
      <c r="G342" s="6" t="str">
        <f>IFERROR(__xludf.DUMMYFUNCTION("""COMPUTED_VALUE"""),"09/08/2012")</f>
        <v>09/08/2012</v>
      </c>
      <c r="H342" s="6" t="str">
        <f>IFERROR(__xludf.DUMMYFUNCTION("""COMPUTED_VALUE"""),"male")</f>
        <v>male</v>
      </c>
      <c r="I342" s="6" t="str">
        <f>IFERROR(__xludf.DUMMYFUNCTION("""COMPUTED_VALUE"""),"Middle School")</f>
        <v>Middle School</v>
      </c>
      <c r="J342" s="6" t="str">
        <f>IFERROR(__xludf.DUMMYFUNCTION("""COMPUTED_VALUE"""),"7")</f>
        <v>7</v>
      </c>
      <c r="K342" s="6" t="str">
        <f>IFERROR(__xludf.DUMMYFUNCTION("""COMPUTED_VALUE"""),"boone.purviance@2hourlearning.com")</f>
        <v>boone.purviance@2hourlearning.com</v>
      </c>
      <c r="L342" s="6" t="str">
        <f>IFERROR(__xludf.DUMMYFUNCTION("""COMPUTED_VALUE"""),"Alpha Anywhere (homeschool)")</f>
        <v>Alpha Anywhere (homeschool)</v>
      </c>
      <c r="M342" s="6" t="str">
        <f>IFERROR(__xludf.DUMMYFUNCTION("""COMPUTED_VALUE"""),"")</f>
        <v/>
      </c>
      <c r="N342" s="6" t="str">
        <f>IFERROR(__xludf.DUMMYFUNCTION("""COMPUTED_VALUE"""),"")</f>
        <v/>
      </c>
      <c r="O342" s="87" t="str">
        <f>IFERROR(__xludf.DUMMYFUNCTION("""COMPUTED_VALUE"""),"https://drive.google.com/drive/folders/10T2cTQHqEJZqE-st6uFKPoI?usp=share_link")</f>
        <v>https://drive.google.com/drive/folders/10T2cTQHqEJZqE-st6uFKPoI?usp=share_link</v>
      </c>
      <c r="P342" s="6" t="str">
        <f>IFERROR(__xludf.DUMMYFUNCTION("""COMPUTED_VALUE"""),"Boone Purviance")</f>
        <v>Boone Purviance</v>
      </c>
      <c r="Q342" s="6" t="str">
        <f>IFERROR(__xludf.DUMMYFUNCTION("""COMPUTED_VALUE"""),"MS")</f>
        <v>MS</v>
      </c>
      <c r="R342" s="6">
        <f>IFERROR(__xludf.DUMMYFUNCTION("""COMPUTED_VALUE"""),0.0)</f>
        <v>0</v>
      </c>
      <c r="S342" s="6" t="str">
        <f>IFERROR(__xludf.DUMMYFUNCTION("""COMPUTED_VALUE""")," ")</f>
        <v> </v>
      </c>
      <c r="T342" s="6" t="str">
        <f>IFERROR(__xludf.DUMMYFUNCTION("""COMPUTED_VALUE"""),"")</f>
        <v/>
      </c>
      <c r="U342" s="6" t="str">
        <f>IFERROR(__xludf.DUMMYFUNCTION("""COMPUTED_VALUE"""),"7")</f>
        <v>7</v>
      </c>
      <c r="V342" s="6" t="str">
        <f>IFERROR(__xludf.DUMMYFUNCTION("""COMPUTED_VALUE"""),"")</f>
        <v/>
      </c>
      <c r="W342" s="6" t="str">
        <f>IFERROR(__xludf.DUMMYFUNCTION("""COMPUTED_VALUE"""),"[]")</f>
        <v>[]</v>
      </c>
      <c r="X342" s="6" t="str">
        <f>IFERROR(__xludf.DUMMYFUNCTION("""COMPUTED_VALUE"""),"Enrolled")</f>
        <v>Enrolled</v>
      </c>
    </row>
    <row r="343">
      <c r="A343" s="6" t="str">
        <f>IFERROR(__xludf.DUMMYFUNCTION("""COMPUTED_VALUE"""),"000-7322")</f>
        <v>000-7322</v>
      </c>
      <c r="B343" s="6" t="str">
        <f>IFERROR(__xludf.DUMMYFUNCTION("""COMPUTED_VALUE"""),"0")</f>
        <v>0</v>
      </c>
      <c r="C343" s="6" t="str">
        <f>IFERROR(__xludf.DUMMYFUNCTION("""COMPUTED_VALUE"""),"7322")</f>
        <v>7322</v>
      </c>
      <c r="D343" s="6" t="str">
        <f>IFERROR(__xludf.DUMMYFUNCTION("""COMPUTED_VALUE"""),"Carter")</f>
        <v>Carter</v>
      </c>
      <c r="E343" s="6" t="str">
        <f>IFERROR(__xludf.DUMMYFUNCTION("""COMPUTED_VALUE"""),"Carter")</f>
        <v>Carter</v>
      </c>
      <c r="F343" s="6" t="str">
        <f>IFERROR(__xludf.DUMMYFUNCTION("""COMPUTED_VALUE"""),"Purviance")</f>
        <v>Purviance</v>
      </c>
      <c r="G343" s="6" t="str">
        <f>IFERROR(__xludf.DUMMYFUNCTION("""COMPUTED_VALUE"""),"04/15/2014")</f>
        <v>04/15/2014</v>
      </c>
      <c r="H343" s="6" t="str">
        <f>IFERROR(__xludf.DUMMYFUNCTION("""COMPUTED_VALUE"""),"male")</f>
        <v>male</v>
      </c>
      <c r="I343" s="6" t="str">
        <f>IFERROR(__xludf.DUMMYFUNCTION("""COMPUTED_VALUE"""),"Middle School")</f>
        <v>Middle School</v>
      </c>
      <c r="J343" s="6" t="str">
        <f>IFERROR(__xludf.DUMMYFUNCTION("""COMPUTED_VALUE"""),"6")</f>
        <v>6</v>
      </c>
      <c r="K343" s="6" t="str">
        <f>IFERROR(__xludf.DUMMYFUNCTION("""COMPUTED_VALUE"""),"carter.purviance@2hourlearning.com")</f>
        <v>carter.purviance@2hourlearning.com</v>
      </c>
      <c r="L343" s="6" t="str">
        <f>IFERROR(__xludf.DUMMYFUNCTION("""COMPUTED_VALUE"""),"Alpha Anywhere (homeschool)")</f>
        <v>Alpha Anywhere (homeschool)</v>
      </c>
      <c r="M343" s="6" t="str">
        <f>IFERROR(__xludf.DUMMYFUNCTION("""COMPUTED_VALUE"""),"")</f>
        <v/>
      </c>
      <c r="N343" s="6" t="str">
        <f>IFERROR(__xludf.DUMMYFUNCTION("""COMPUTED_VALUE"""),"")</f>
        <v/>
      </c>
      <c r="O343" s="87" t="str">
        <f>IFERROR(__xludf.DUMMYFUNCTION("""COMPUTED_VALUE"""),"https://drive.google.com/drive/folders/10T2cTQHqEJZqE-st6uFKPoI?usp=share_link")</f>
        <v>https://drive.google.com/drive/folders/10T2cTQHqEJZqE-st6uFKPoI?usp=share_link</v>
      </c>
      <c r="P343" s="6" t="str">
        <f>IFERROR(__xludf.DUMMYFUNCTION("""COMPUTED_VALUE"""),"Carter Purviance")</f>
        <v>Carter Purviance</v>
      </c>
      <c r="Q343" s="6" t="str">
        <f>IFERROR(__xludf.DUMMYFUNCTION("""COMPUTED_VALUE"""),"MS")</f>
        <v>MS</v>
      </c>
      <c r="R343" s="6">
        <f>IFERROR(__xludf.DUMMYFUNCTION("""COMPUTED_VALUE"""),0.0)</f>
        <v>0</v>
      </c>
      <c r="S343" s="6" t="str">
        <f>IFERROR(__xludf.DUMMYFUNCTION("""COMPUTED_VALUE""")," ")</f>
        <v> </v>
      </c>
      <c r="T343" s="6" t="str">
        <f>IFERROR(__xludf.DUMMYFUNCTION("""COMPUTED_VALUE"""),"")</f>
        <v/>
      </c>
      <c r="U343" s="6" t="str">
        <f>IFERROR(__xludf.DUMMYFUNCTION("""COMPUTED_VALUE"""),"6")</f>
        <v>6</v>
      </c>
      <c r="V343" s="6" t="str">
        <f>IFERROR(__xludf.DUMMYFUNCTION("""COMPUTED_VALUE"""),"")</f>
        <v/>
      </c>
      <c r="W343" s="6" t="str">
        <f>IFERROR(__xludf.DUMMYFUNCTION("""COMPUTED_VALUE"""),"[]")</f>
        <v>[]</v>
      </c>
      <c r="X343" s="6" t="str">
        <f>IFERROR(__xludf.DUMMYFUNCTION("""COMPUTED_VALUE"""),"Enrolled")</f>
        <v>Enrolled</v>
      </c>
    </row>
    <row r="344">
      <c r="A344" s="6" t="str">
        <f>IFERROR(__xludf.DUMMYFUNCTION("""COMPUTED_VALUE"""),"000-7323")</f>
        <v>000-7323</v>
      </c>
      <c r="B344" s="6" t="str">
        <f>IFERROR(__xludf.DUMMYFUNCTION("""COMPUTED_VALUE"""),"0")</f>
        <v>0</v>
      </c>
      <c r="C344" s="6" t="str">
        <f>IFERROR(__xludf.DUMMYFUNCTION("""COMPUTED_VALUE"""),"7323")</f>
        <v>7323</v>
      </c>
      <c r="D344" s="6" t="str">
        <f>IFERROR(__xludf.DUMMYFUNCTION("""COMPUTED_VALUE"""),"Eugenie")</f>
        <v>Eugenie</v>
      </c>
      <c r="E344" s="6" t="str">
        <f>IFERROR(__xludf.DUMMYFUNCTION("""COMPUTED_VALUE"""),"")</f>
        <v/>
      </c>
      <c r="F344" s="6" t="str">
        <f>IFERROR(__xludf.DUMMYFUNCTION("""COMPUTED_VALUE"""),"PURVIANCE")</f>
        <v>PURVIANCE</v>
      </c>
      <c r="G344" s="6" t="str">
        <f>IFERROR(__xludf.DUMMYFUNCTION("""COMPUTED_VALUE"""),"03/08/2016")</f>
        <v>03/08/2016</v>
      </c>
      <c r="H344" s="6" t="str">
        <f>IFERROR(__xludf.DUMMYFUNCTION("""COMPUTED_VALUE"""),"Self Identify")</f>
        <v>Self Identify</v>
      </c>
      <c r="I344" s="6" t="str">
        <f>IFERROR(__xludf.DUMMYFUNCTION("""COMPUTED_VALUE"""),"Level 2")</f>
        <v>Level 2</v>
      </c>
      <c r="J344" s="6" t="str">
        <f>IFERROR(__xludf.DUMMYFUNCTION("""COMPUTED_VALUE"""),"4")</f>
        <v>4</v>
      </c>
      <c r="K344" s="6" t="str">
        <f>IFERROR(__xludf.DUMMYFUNCTION("""COMPUTED_VALUE"""),"eugenie.purviance@2hourlearning.com")</f>
        <v>eugenie.purviance@2hourlearning.com</v>
      </c>
      <c r="L344" s="6" t="str">
        <f>IFERROR(__xludf.DUMMYFUNCTION("""COMPUTED_VALUE"""),"Alpha Anywhere (homeschool)")</f>
        <v>Alpha Anywhere (homeschool)</v>
      </c>
      <c r="M344" s="6" t="str">
        <f>IFERROR(__xludf.DUMMYFUNCTION("""COMPUTED_VALUE"""),"")</f>
        <v/>
      </c>
      <c r="N344" s="6" t="str">
        <f>IFERROR(__xludf.DUMMYFUNCTION("""COMPUTED_VALUE"""),"")</f>
        <v/>
      </c>
      <c r="O344" s="87" t="str">
        <f>IFERROR(__xludf.DUMMYFUNCTION("""COMPUTED_VALUE"""),"https://drive.google.com/drive/folders/10T2cTQHqEJZqE-st6uFKPoI?usp=share_link")</f>
        <v>https://drive.google.com/drive/folders/10T2cTQHqEJZqE-st6uFKPoI?usp=share_link</v>
      </c>
      <c r="P344" s="6" t="str">
        <f>IFERROR(__xludf.DUMMYFUNCTION("""COMPUTED_VALUE"""),"Eugenie PURVIANCE")</f>
        <v>Eugenie PURVIANCE</v>
      </c>
      <c r="Q344" s="6" t="str">
        <f>IFERROR(__xludf.DUMMYFUNCTION("""COMPUTED_VALUE"""),"L2")</f>
        <v>L2</v>
      </c>
      <c r="R344" s="6">
        <f>IFERROR(__xludf.DUMMYFUNCTION("""COMPUTED_VALUE"""),2.0)</f>
        <v>2</v>
      </c>
      <c r="S344" s="6" t="str">
        <f>IFERROR(__xludf.DUMMYFUNCTION("""COMPUTED_VALUE""")," ")</f>
        <v> </v>
      </c>
      <c r="T344" s="6" t="str">
        <f>IFERROR(__xludf.DUMMYFUNCTION("""COMPUTED_VALUE"""),"")</f>
        <v/>
      </c>
      <c r="U344" s="6" t="str">
        <f>IFERROR(__xludf.DUMMYFUNCTION("""COMPUTED_VALUE"""),"4")</f>
        <v>4</v>
      </c>
      <c r="V344" s="6" t="str">
        <f>IFERROR(__xludf.DUMMYFUNCTION("""COMPUTED_VALUE"""),"")</f>
        <v/>
      </c>
      <c r="W344" s="6" t="str">
        <f>IFERROR(__xludf.DUMMYFUNCTION("""COMPUTED_VALUE"""),"[]")</f>
        <v>[]</v>
      </c>
      <c r="X344" s="6" t="str">
        <f>IFERROR(__xludf.DUMMYFUNCTION("""COMPUTED_VALUE"""),"Enrolled")</f>
        <v>Enrolled</v>
      </c>
    </row>
    <row r="345">
      <c r="A345" s="6" t="str">
        <f>IFERROR(__xludf.DUMMYFUNCTION("""COMPUTED_VALUE"""),"000-7336")</f>
        <v>000-7336</v>
      </c>
      <c r="B345" s="6" t="str">
        <f>IFERROR(__xludf.DUMMYFUNCTION("""COMPUTED_VALUE"""),"0")</f>
        <v>0</v>
      </c>
      <c r="C345" s="6" t="str">
        <f>IFERROR(__xludf.DUMMYFUNCTION("""COMPUTED_VALUE"""),"7336")</f>
        <v>7336</v>
      </c>
      <c r="D345" s="6" t="str">
        <f>IFERROR(__xludf.DUMMYFUNCTION("""COMPUTED_VALUE"""),"Summer-joy")</f>
        <v>Summer-joy</v>
      </c>
      <c r="E345" s="6" t="str">
        <f>IFERROR(__xludf.DUMMYFUNCTION("""COMPUTED_VALUE"""),"")</f>
        <v/>
      </c>
      <c r="F345" s="6" t="str">
        <f>IFERROR(__xludf.DUMMYFUNCTION("""COMPUTED_VALUE"""),"Davis")</f>
        <v>Davis</v>
      </c>
      <c r="G345" s="6" t="str">
        <f>IFERROR(__xludf.DUMMYFUNCTION("""COMPUTED_VALUE"""),"09/09/2016")</f>
        <v>09/09/2016</v>
      </c>
      <c r="H345" s="6" t="str">
        <f>IFERROR(__xludf.DUMMYFUNCTION("""COMPUTED_VALUE"""),"Self Identify")</f>
        <v>Self Identify</v>
      </c>
      <c r="I345" s="6" t="str">
        <f>IFERROR(__xludf.DUMMYFUNCTION("""COMPUTED_VALUE"""),"Level 1")</f>
        <v>Level 1</v>
      </c>
      <c r="J345" s="6" t="str">
        <f>IFERROR(__xludf.DUMMYFUNCTION("""COMPUTED_VALUE"""),"3")</f>
        <v>3</v>
      </c>
      <c r="K345" s="6" t="str">
        <f>IFERROR(__xludf.DUMMYFUNCTION("""COMPUTED_VALUE"""),"summer-joy.davis@2hourlearning.com")</f>
        <v>summer-joy.davis@2hourlearning.com</v>
      </c>
      <c r="L345" s="6" t="str">
        <f>IFERROR(__xludf.DUMMYFUNCTION("""COMPUTED_VALUE"""),"Alpha Anywhere (homeschool)")</f>
        <v>Alpha Anywhere (homeschool)</v>
      </c>
      <c r="M345" s="6" t="str">
        <f>IFERROR(__xludf.DUMMYFUNCTION("""COMPUTED_VALUE"""),"")</f>
        <v/>
      </c>
      <c r="N345" s="6" t="str">
        <f>IFERROR(__xludf.DUMMYFUNCTION("""COMPUTED_VALUE"""),"")</f>
        <v/>
      </c>
      <c r="O345" s="87" t="str">
        <f>IFERROR(__xludf.DUMMYFUNCTION("""COMPUTED_VALUE"""),"https://drive.google.com/drive/folders/10T2cTQHqEJZqE-st6uFKPoI?usp=share_link")</f>
        <v>https://drive.google.com/drive/folders/10T2cTQHqEJZqE-st6uFKPoI?usp=share_link</v>
      </c>
      <c r="P345" s="6" t="str">
        <f>IFERROR(__xludf.DUMMYFUNCTION("""COMPUTED_VALUE"""),"Summer-joy Davis")</f>
        <v>Summer-joy Davis</v>
      </c>
      <c r="Q345" s="6" t="str">
        <f>IFERROR(__xludf.DUMMYFUNCTION("""COMPUTED_VALUE"""),"L1")</f>
        <v>L1</v>
      </c>
      <c r="R345" s="6">
        <f>IFERROR(__xludf.DUMMYFUNCTION("""COMPUTED_VALUE"""),1.0)</f>
        <v>1</v>
      </c>
      <c r="S345" s="6" t="str">
        <f>IFERROR(__xludf.DUMMYFUNCTION("""COMPUTED_VALUE""")," ")</f>
        <v> </v>
      </c>
      <c r="T345" s="6" t="str">
        <f>IFERROR(__xludf.DUMMYFUNCTION("""COMPUTED_VALUE"""),"")</f>
        <v/>
      </c>
      <c r="U345" s="6" t="str">
        <f>IFERROR(__xludf.DUMMYFUNCTION("""COMPUTED_VALUE"""),"3")</f>
        <v>3</v>
      </c>
      <c r="V345" s="6" t="str">
        <f>IFERROR(__xludf.DUMMYFUNCTION("""COMPUTED_VALUE"""),"")</f>
        <v/>
      </c>
      <c r="W345" s="6" t="str">
        <f>IFERROR(__xludf.DUMMYFUNCTION("""COMPUTED_VALUE"""),"[]")</f>
        <v>[]</v>
      </c>
      <c r="X345" s="6" t="str">
        <f>IFERROR(__xludf.DUMMYFUNCTION("""COMPUTED_VALUE"""),"Enrolled")</f>
        <v>Enrolled</v>
      </c>
    </row>
    <row r="346">
      <c r="A346" s="6" t="str">
        <f>IFERROR(__xludf.DUMMYFUNCTION("""COMPUTED_VALUE"""),"000-7341")</f>
        <v>000-7341</v>
      </c>
      <c r="B346" s="6" t="str">
        <f>IFERROR(__xludf.DUMMYFUNCTION("""COMPUTED_VALUE"""),"0")</f>
        <v>0</v>
      </c>
      <c r="C346" s="6" t="str">
        <f>IFERROR(__xludf.DUMMYFUNCTION("""COMPUTED_VALUE"""),"7341")</f>
        <v>7341</v>
      </c>
      <c r="D346" s="6" t="str">
        <f>IFERROR(__xludf.DUMMYFUNCTION("""COMPUTED_VALUE"""),"Ella")</f>
        <v>Ella</v>
      </c>
      <c r="E346" s="6" t="str">
        <f>IFERROR(__xludf.DUMMYFUNCTION("""COMPUTED_VALUE"""),"")</f>
        <v/>
      </c>
      <c r="F346" s="6" t="str">
        <f>IFERROR(__xludf.DUMMYFUNCTION("""COMPUTED_VALUE"""),"Jamal")</f>
        <v>Jamal</v>
      </c>
      <c r="G346" s="6" t="str">
        <f>IFERROR(__xludf.DUMMYFUNCTION("""COMPUTED_VALUE"""),"04/15/2014")</f>
        <v>04/15/2014</v>
      </c>
      <c r="H346" s="6" t="str">
        <f>IFERROR(__xludf.DUMMYFUNCTION("""COMPUTED_VALUE"""),"Self Identify")</f>
        <v>Self Identify</v>
      </c>
      <c r="I346" s="6" t="str">
        <f>IFERROR(__xludf.DUMMYFUNCTION("""COMPUTED_VALUE"""),"Middle School")</f>
        <v>Middle School</v>
      </c>
      <c r="J346" s="6" t="str">
        <f>IFERROR(__xludf.DUMMYFUNCTION("""COMPUTED_VALUE"""),"6")</f>
        <v>6</v>
      </c>
      <c r="K346" s="6" t="str">
        <f>IFERROR(__xludf.DUMMYFUNCTION("""COMPUTED_VALUE"""),"ella.jamal@2hourlearning.com")</f>
        <v>ella.jamal@2hourlearning.com</v>
      </c>
      <c r="L346" s="6" t="str">
        <f>IFERROR(__xludf.DUMMYFUNCTION("""COMPUTED_VALUE"""),"Alpha Anywhere (homeschool)")</f>
        <v>Alpha Anywhere (homeschool)</v>
      </c>
      <c r="M346" s="6" t="str">
        <f>IFERROR(__xludf.DUMMYFUNCTION("""COMPUTED_VALUE"""),"")</f>
        <v/>
      </c>
      <c r="N346" s="6" t="str">
        <f>IFERROR(__xludf.DUMMYFUNCTION("""COMPUTED_VALUE"""),"")</f>
        <v/>
      </c>
      <c r="O346" s="87" t="str">
        <f>IFERROR(__xludf.DUMMYFUNCTION("""COMPUTED_VALUE"""),"https://drive.google.com/drive/folders/10T2cTQHqEJZqE-st6uFKPoI?usp=share_link")</f>
        <v>https://drive.google.com/drive/folders/10T2cTQHqEJZqE-st6uFKPoI?usp=share_link</v>
      </c>
      <c r="P346" s="6" t="str">
        <f>IFERROR(__xludf.DUMMYFUNCTION("""COMPUTED_VALUE"""),"Ella Jamal")</f>
        <v>Ella Jamal</v>
      </c>
      <c r="Q346" s="6" t="str">
        <f>IFERROR(__xludf.DUMMYFUNCTION("""COMPUTED_VALUE"""),"MS")</f>
        <v>MS</v>
      </c>
      <c r="R346" s="6">
        <f>IFERROR(__xludf.DUMMYFUNCTION("""COMPUTED_VALUE"""),0.0)</f>
        <v>0</v>
      </c>
      <c r="S346" s="6" t="str">
        <f>IFERROR(__xludf.DUMMYFUNCTION("""COMPUTED_VALUE""")," ")</f>
        <v> </v>
      </c>
      <c r="T346" s="6" t="str">
        <f>IFERROR(__xludf.DUMMYFUNCTION("""COMPUTED_VALUE"""),"")</f>
        <v/>
      </c>
      <c r="U346" s="6" t="str">
        <f>IFERROR(__xludf.DUMMYFUNCTION("""COMPUTED_VALUE"""),"6")</f>
        <v>6</v>
      </c>
      <c r="V346" s="6" t="str">
        <f>IFERROR(__xludf.DUMMYFUNCTION("""COMPUTED_VALUE"""),"")</f>
        <v/>
      </c>
      <c r="W346" s="6" t="str">
        <f>IFERROR(__xludf.DUMMYFUNCTION("""COMPUTED_VALUE"""),"[]")</f>
        <v>[]</v>
      </c>
      <c r="X346" s="6" t="str">
        <f>IFERROR(__xludf.DUMMYFUNCTION("""COMPUTED_VALUE"""),"Enrolled")</f>
        <v>Enrolled</v>
      </c>
    </row>
    <row r="347">
      <c r="A347" s="6" t="str">
        <f>IFERROR(__xludf.DUMMYFUNCTION("""COMPUTED_VALUE"""),"000-7349")</f>
        <v>000-7349</v>
      </c>
      <c r="B347" s="6" t="str">
        <f>IFERROR(__xludf.DUMMYFUNCTION("""COMPUTED_VALUE"""),"0")</f>
        <v>0</v>
      </c>
      <c r="C347" s="6" t="str">
        <f>IFERROR(__xludf.DUMMYFUNCTION("""COMPUTED_VALUE"""),"7349")</f>
        <v>7349</v>
      </c>
      <c r="D347" s="6" t="str">
        <f>IFERROR(__xludf.DUMMYFUNCTION("""COMPUTED_VALUE"""),"Audrey")</f>
        <v>Audrey</v>
      </c>
      <c r="E347" s="6" t="str">
        <f>IFERROR(__xludf.DUMMYFUNCTION("""COMPUTED_VALUE"""),"")</f>
        <v/>
      </c>
      <c r="F347" s="6" t="str">
        <f>IFERROR(__xludf.DUMMYFUNCTION("""COMPUTED_VALUE"""),"Yurich")</f>
        <v>Yurich</v>
      </c>
      <c r="G347" s="6" t="str">
        <f>IFERROR(__xludf.DUMMYFUNCTION("""COMPUTED_VALUE"""),"07/27/2014")</f>
        <v>07/27/2014</v>
      </c>
      <c r="H347" s="6" t="str">
        <f>IFERROR(__xludf.DUMMYFUNCTION("""COMPUTED_VALUE"""),"female")</f>
        <v>female</v>
      </c>
      <c r="I347" s="6" t="str">
        <f>IFERROR(__xludf.DUMMYFUNCTION("""COMPUTED_VALUE"""),"Middle School")</f>
        <v>Middle School</v>
      </c>
      <c r="J347" s="6" t="str">
        <f>IFERROR(__xludf.DUMMYFUNCTION("""COMPUTED_VALUE"""),"6")</f>
        <v>6</v>
      </c>
      <c r="K347" s="6" t="str">
        <f>IFERROR(__xludf.DUMMYFUNCTION("""COMPUTED_VALUE"""),"audrey.yurich@2hourlearning.com")</f>
        <v>audrey.yurich@2hourlearning.com</v>
      </c>
      <c r="L347" s="6" t="str">
        <f>IFERROR(__xludf.DUMMYFUNCTION("""COMPUTED_VALUE"""),"Alpha Anywhere (homeschool)")</f>
        <v>Alpha Anywhere (homeschool)</v>
      </c>
      <c r="M347" s="6" t="str">
        <f>IFERROR(__xludf.DUMMYFUNCTION("""COMPUTED_VALUE"""),"")</f>
        <v/>
      </c>
      <c r="N347" s="6" t="str">
        <f>IFERROR(__xludf.DUMMYFUNCTION("""COMPUTED_VALUE"""),"")</f>
        <v/>
      </c>
      <c r="O347" s="87" t="str">
        <f>IFERROR(__xludf.DUMMYFUNCTION("""COMPUTED_VALUE"""),"https://drive.google.com/drive/folders/10T2cTQHqEJZqE-st6uFKPoI?usp=share_link")</f>
        <v>https://drive.google.com/drive/folders/10T2cTQHqEJZqE-st6uFKPoI?usp=share_link</v>
      </c>
      <c r="P347" s="6" t="str">
        <f>IFERROR(__xludf.DUMMYFUNCTION("""COMPUTED_VALUE"""),"Audrey Yurich")</f>
        <v>Audrey Yurich</v>
      </c>
      <c r="Q347" s="6" t="str">
        <f>IFERROR(__xludf.DUMMYFUNCTION("""COMPUTED_VALUE"""),"MS")</f>
        <v>MS</v>
      </c>
      <c r="R347" s="6">
        <f>IFERROR(__xludf.DUMMYFUNCTION("""COMPUTED_VALUE"""),0.0)</f>
        <v>0</v>
      </c>
      <c r="S347" s="6" t="str">
        <f>IFERROR(__xludf.DUMMYFUNCTION("""COMPUTED_VALUE""")," ")</f>
        <v> </v>
      </c>
      <c r="T347" s="6" t="str">
        <f>IFERROR(__xludf.DUMMYFUNCTION("""COMPUTED_VALUE"""),"")</f>
        <v/>
      </c>
      <c r="U347" s="6" t="str">
        <f>IFERROR(__xludf.DUMMYFUNCTION("""COMPUTED_VALUE"""),"6")</f>
        <v>6</v>
      </c>
      <c r="V347" s="6" t="str">
        <f>IFERROR(__xludf.DUMMYFUNCTION("""COMPUTED_VALUE"""),"")</f>
        <v/>
      </c>
      <c r="W347" s="6" t="str">
        <f>IFERROR(__xludf.DUMMYFUNCTION("""COMPUTED_VALUE"""),"[]")</f>
        <v>[]</v>
      </c>
      <c r="X347" s="6" t="str">
        <f>IFERROR(__xludf.DUMMYFUNCTION("""COMPUTED_VALUE"""),"Enrolled")</f>
        <v>Enrolled</v>
      </c>
    </row>
    <row r="348">
      <c r="A348" s="6" t="str">
        <f>IFERROR(__xludf.DUMMYFUNCTION("""COMPUTED_VALUE"""),"000-7352")</f>
        <v>000-7352</v>
      </c>
      <c r="B348" s="6" t="str">
        <f>IFERROR(__xludf.DUMMYFUNCTION("""COMPUTED_VALUE"""),"0")</f>
        <v>0</v>
      </c>
      <c r="C348" s="6" t="str">
        <f>IFERROR(__xludf.DUMMYFUNCTION("""COMPUTED_VALUE"""),"7352")</f>
        <v>7352</v>
      </c>
      <c r="D348" s="6" t="str">
        <f>IFERROR(__xludf.DUMMYFUNCTION("""COMPUTED_VALUE"""),"Grace")</f>
        <v>Grace</v>
      </c>
      <c r="E348" s="6" t="str">
        <f>IFERROR(__xludf.DUMMYFUNCTION("""COMPUTED_VALUE"""),"")</f>
        <v/>
      </c>
      <c r="F348" s="6" t="str">
        <f>IFERROR(__xludf.DUMMYFUNCTION("""COMPUTED_VALUE"""),"Allen")</f>
        <v>Allen</v>
      </c>
      <c r="G348" s="6" t="str">
        <f>IFERROR(__xludf.DUMMYFUNCTION("""COMPUTED_VALUE"""),"07/16/2017")</f>
        <v>07/16/2017</v>
      </c>
      <c r="H348" s="6" t="str">
        <f>IFERROR(__xludf.DUMMYFUNCTION("""COMPUTED_VALUE"""),"female")</f>
        <v>female</v>
      </c>
      <c r="I348" s="6" t="str">
        <f>IFERROR(__xludf.DUMMYFUNCTION("""COMPUTED_VALUE"""),"Level 1")</f>
        <v>Level 1</v>
      </c>
      <c r="J348" s="6" t="str">
        <f>IFERROR(__xludf.DUMMYFUNCTION("""COMPUTED_VALUE"""),"3")</f>
        <v>3</v>
      </c>
      <c r="K348" s="6" t="str">
        <f>IFERROR(__xludf.DUMMYFUNCTION("""COMPUTED_VALUE"""),"grace.allen@2hourlearning.com")</f>
        <v>grace.allen@2hourlearning.com</v>
      </c>
      <c r="L348" s="6" t="str">
        <f>IFERROR(__xludf.DUMMYFUNCTION("""COMPUTED_VALUE"""),"Alpha Anywhere (homeschool)")</f>
        <v>Alpha Anywhere (homeschool)</v>
      </c>
      <c r="M348" s="6" t="str">
        <f>IFERROR(__xludf.DUMMYFUNCTION("""COMPUTED_VALUE"""),"")</f>
        <v/>
      </c>
      <c r="N348" s="6" t="str">
        <f>IFERROR(__xludf.DUMMYFUNCTION("""COMPUTED_VALUE"""),"")</f>
        <v/>
      </c>
      <c r="O348" s="87" t="str">
        <f>IFERROR(__xludf.DUMMYFUNCTION("""COMPUTED_VALUE"""),"https://drive.google.com/drive/folders/10T2cTQHqEJZqE-st6uFKPoI?usp=share_link")</f>
        <v>https://drive.google.com/drive/folders/10T2cTQHqEJZqE-st6uFKPoI?usp=share_link</v>
      </c>
      <c r="P348" s="6" t="str">
        <f>IFERROR(__xludf.DUMMYFUNCTION("""COMPUTED_VALUE"""),"Grace Allen")</f>
        <v>Grace Allen</v>
      </c>
      <c r="Q348" s="6" t="str">
        <f>IFERROR(__xludf.DUMMYFUNCTION("""COMPUTED_VALUE"""),"L1")</f>
        <v>L1</v>
      </c>
      <c r="R348" s="6">
        <f>IFERROR(__xludf.DUMMYFUNCTION("""COMPUTED_VALUE"""),1.0)</f>
        <v>1</v>
      </c>
      <c r="S348" s="6" t="str">
        <f>IFERROR(__xludf.DUMMYFUNCTION("""COMPUTED_VALUE""")," ")</f>
        <v> </v>
      </c>
      <c r="T348" s="6" t="str">
        <f>IFERROR(__xludf.DUMMYFUNCTION("""COMPUTED_VALUE"""),"")</f>
        <v/>
      </c>
      <c r="U348" s="6" t="str">
        <f>IFERROR(__xludf.DUMMYFUNCTION("""COMPUTED_VALUE"""),"3")</f>
        <v>3</v>
      </c>
      <c r="V348" s="6" t="str">
        <f>IFERROR(__xludf.DUMMYFUNCTION("""COMPUTED_VALUE"""),"")</f>
        <v/>
      </c>
      <c r="W348" s="6" t="str">
        <f>IFERROR(__xludf.DUMMYFUNCTION("""COMPUTED_VALUE"""),"[]")</f>
        <v>[]</v>
      </c>
      <c r="X348" s="6" t="str">
        <f>IFERROR(__xludf.DUMMYFUNCTION("""COMPUTED_VALUE"""),"Enrolled")</f>
        <v>Enrolled</v>
      </c>
    </row>
    <row r="349">
      <c r="A349" s="6" t="str">
        <f>IFERROR(__xludf.DUMMYFUNCTION("""COMPUTED_VALUE"""),"000-7353")</f>
        <v>000-7353</v>
      </c>
      <c r="B349" s="6" t="str">
        <f>IFERROR(__xludf.DUMMYFUNCTION("""COMPUTED_VALUE"""),"0")</f>
        <v>0</v>
      </c>
      <c r="C349" s="6" t="str">
        <f>IFERROR(__xludf.DUMMYFUNCTION("""COMPUTED_VALUE"""),"7353")</f>
        <v>7353</v>
      </c>
      <c r="D349" s="6" t="str">
        <f>IFERROR(__xludf.DUMMYFUNCTION("""COMPUTED_VALUE"""),"Hadley")</f>
        <v>Hadley</v>
      </c>
      <c r="E349" s="6" t="str">
        <f>IFERROR(__xludf.DUMMYFUNCTION("""COMPUTED_VALUE"""),"")</f>
        <v/>
      </c>
      <c r="F349" s="6" t="str">
        <f>IFERROR(__xludf.DUMMYFUNCTION("""COMPUTED_VALUE"""),"Wilson")</f>
        <v>Wilson</v>
      </c>
      <c r="G349" s="6" t="str">
        <f>IFERROR(__xludf.DUMMYFUNCTION("""COMPUTED_VALUE"""),"04/28/2016")</f>
        <v>04/28/2016</v>
      </c>
      <c r="H349" s="6" t="str">
        <f>IFERROR(__xludf.DUMMYFUNCTION("""COMPUTED_VALUE"""),"female")</f>
        <v>female</v>
      </c>
      <c r="I349" s="6" t="str">
        <f>IFERROR(__xludf.DUMMYFUNCTION("""COMPUTED_VALUE"""),"Level 2")</f>
        <v>Level 2</v>
      </c>
      <c r="J349" s="6" t="str">
        <f>IFERROR(__xludf.DUMMYFUNCTION("""COMPUTED_VALUE"""),"4")</f>
        <v>4</v>
      </c>
      <c r="K349" s="6" t="str">
        <f>IFERROR(__xludf.DUMMYFUNCTION("""COMPUTED_VALUE"""),"hadley.wilson@2hourlearning.com")</f>
        <v>hadley.wilson@2hourlearning.com</v>
      </c>
      <c r="L349" s="6" t="str">
        <f>IFERROR(__xludf.DUMMYFUNCTION("""COMPUTED_VALUE"""),"Alpha Anywhere (homeschool)")</f>
        <v>Alpha Anywhere (homeschool)</v>
      </c>
      <c r="M349" s="6" t="str">
        <f>IFERROR(__xludf.DUMMYFUNCTION("""COMPUTED_VALUE"""),"")</f>
        <v/>
      </c>
      <c r="N349" s="6" t="str">
        <f>IFERROR(__xludf.DUMMYFUNCTION("""COMPUTED_VALUE"""),"")</f>
        <v/>
      </c>
      <c r="O349" s="87" t="str">
        <f>IFERROR(__xludf.DUMMYFUNCTION("""COMPUTED_VALUE"""),"https://drive.google.com/drive/folders/10T2cTQHqEJZqE-st6uFKPoI?usp=share_link")</f>
        <v>https://drive.google.com/drive/folders/10T2cTQHqEJZqE-st6uFKPoI?usp=share_link</v>
      </c>
      <c r="P349" s="6" t="str">
        <f>IFERROR(__xludf.DUMMYFUNCTION("""COMPUTED_VALUE"""),"Hadley Wilson")</f>
        <v>Hadley Wilson</v>
      </c>
      <c r="Q349" s="6" t="str">
        <f>IFERROR(__xludf.DUMMYFUNCTION("""COMPUTED_VALUE"""),"L2")</f>
        <v>L2</v>
      </c>
      <c r="R349" s="6">
        <f>IFERROR(__xludf.DUMMYFUNCTION("""COMPUTED_VALUE"""),2.0)</f>
        <v>2</v>
      </c>
      <c r="S349" s="6" t="str">
        <f>IFERROR(__xludf.DUMMYFUNCTION("""COMPUTED_VALUE""")," ")</f>
        <v> </v>
      </c>
      <c r="T349" s="6" t="str">
        <f>IFERROR(__xludf.DUMMYFUNCTION("""COMPUTED_VALUE"""),"")</f>
        <v/>
      </c>
      <c r="U349" s="6" t="str">
        <f>IFERROR(__xludf.DUMMYFUNCTION("""COMPUTED_VALUE"""),"4")</f>
        <v>4</v>
      </c>
      <c r="V349" s="6" t="str">
        <f>IFERROR(__xludf.DUMMYFUNCTION("""COMPUTED_VALUE"""),"")</f>
        <v/>
      </c>
      <c r="W349" s="6" t="str">
        <f>IFERROR(__xludf.DUMMYFUNCTION("""COMPUTED_VALUE"""),"[]")</f>
        <v>[]</v>
      </c>
      <c r="X349" s="6" t="str">
        <f>IFERROR(__xludf.DUMMYFUNCTION("""COMPUTED_VALUE"""),"Enrolled")</f>
        <v>Enrolled</v>
      </c>
    </row>
    <row r="350">
      <c r="A350" s="6" t="str">
        <f>IFERROR(__xludf.DUMMYFUNCTION("""COMPUTED_VALUE"""),"000-7365")</f>
        <v>000-7365</v>
      </c>
      <c r="B350" s="6" t="str">
        <f>IFERROR(__xludf.DUMMYFUNCTION("""COMPUTED_VALUE"""),"0")</f>
        <v>0</v>
      </c>
      <c r="C350" s="6" t="str">
        <f>IFERROR(__xludf.DUMMYFUNCTION("""COMPUTED_VALUE"""),"7365")</f>
        <v>7365</v>
      </c>
      <c r="D350" s="6" t="str">
        <f>IFERROR(__xludf.DUMMYFUNCTION("""COMPUTED_VALUE"""),"Kingston")</f>
        <v>Kingston</v>
      </c>
      <c r="E350" s="6" t="str">
        <f>IFERROR(__xludf.DUMMYFUNCTION("""COMPUTED_VALUE"""),"Kingston")</f>
        <v>Kingston</v>
      </c>
      <c r="F350" s="6" t="str">
        <f>IFERROR(__xludf.DUMMYFUNCTION("""COMPUTED_VALUE"""),"Poon")</f>
        <v>Poon</v>
      </c>
      <c r="G350" s="6" t="str">
        <f>IFERROR(__xludf.DUMMYFUNCTION("""COMPUTED_VALUE"""),"04/19/2015")</f>
        <v>04/19/2015</v>
      </c>
      <c r="H350" s="6" t="str">
        <f>IFERROR(__xludf.DUMMYFUNCTION("""COMPUTED_VALUE"""),"male")</f>
        <v>male</v>
      </c>
      <c r="I350" s="6" t="str">
        <f>IFERROR(__xludf.DUMMYFUNCTION("""COMPUTED_VALUE"""),"Level 2")</f>
        <v>Level 2</v>
      </c>
      <c r="J350" s="6" t="str">
        <f>IFERROR(__xludf.DUMMYFUNCTION("""COMPUTED_VALUE"""),"5")</f>
        <v>5</v>
      </c>
      <c r="K350" s="6" t="str">
        <f>IFERROR(__xludf.DUMMYFUNCTION("""COMPUTED_VALUE"""),"kingston.poon@2hourlearning.com")</f>
        <v>kingston.poon@2hourlearning.com</v>
      </c>
      <c r="L350" s="6" t="str">
        <f>IFERROR(__xludf.DUMMYFUNCTION("""COMPUTED_VALUE"""),"Alpha Anywhere (homeschool)")</f>
        <v>Alpha Anywhere (homeschool)</v>
      </c>
      <c r="M350" s="6" t="str">
        <f>IFERROR(__xludf.DUMMYFUNCTION("""COMPUTED_VALUE"""),"")</f>
        <v/>
      </c>
      <c r="N350" s="6" t="str">
        <f>IFERROR(__xludf.DUMMYFUNCTION("""COMPUTED_VALUE"""),"")</f>
        <v/>
      </c>
      <c r="O350" s="87" t="str">
        <f>IFERROR(__xludf.DUMMYFUNCTION("""COMPUTED_VALUE"""),"https://drive.google.com/drive/folders/10T2cTQHqEJZqE-st6uFKPoI?usp=share_link")</f>
        <v>https://drive.google.com/drive/folders/10T2cTQHqEJZqE-st6uFKPoI?usp=share_link</v>
      </c>
      <c r="P350" s="6" t="str">
        <f>IFERROR(__xludf.DUMMYFUNCTION("""COMPUTED_VALUE"""),"Kingston Poon")</f>
        <v>Kingston Poon</v>
      </c>
      <c r="Q350" s="6" t="str">
        <f>IFERROR(__xludf.DUMMYFUNCTION("""COMPUTED_VALUE"""),"L2")</f>
        <v>L2</v>
      </c>
      <c r="R350" s="6">
        <f>IFERROR(__xludf.DUMMYFUNCTION("""COMPUTED_VALUE"""),2.0)</f>
        <v>2</v>
      </c>
      <c r="S350" s="6" t="str">
        <f>IFERROR(__xludf.DUMMYFUNCTION("""COMPUTED_VALUE""")," ")</f>
        <v> </v>
      </c>
      <c r="T350" s="6" t="str">
        <f>IFERROR(__xludf.DUMMYFUNCTION("""COMPUTED_VALUE"""),"")</f>
        <v/>
      </c>
      <c r="U350" s="6" t="str">
        <f>IFERROR(__xludf.DUMMYFUNCTION("""COMPUTED_VALUE"""),"5")</f>
        <v>5</v>
      </c>
      <c r="V350" s="6" t="str">
        <f>IFERROR(__xludf.DUMMYFUNCTION("""COMPUTED_VALUE"""),"")</f>
        <v/>
      </c>
      <c r="W350" s="6" t="str">
        <f>IFERROR(__xludf.DUMMYFUNCTION("""COMPUTED_VALUE"""),"[]")</f>
        <v>[]</v>
      </c>
      <c r="X350" s="6" t="str">
        <f>IFERROR(__xludf.DUMMYFUNCTION("""COMPUTED_VALUE"""),"Enrolled")</f>
        <v>Enrolled</v>
      </c>
    </row>
    <row r="351">
      <c r="A351" s="6" t="str">
        <f>IFERROR(__xludf.DUMMYFUNCTION("""COMPUTED_VALUE"""),"000-7367")</f>
        <v>000-7367</v>
      </c>
      <c r="B351" s="6" t="str">
        <f>IFERROR(__xludf.DUMMYFUNCTION("""COMPUTED_VALUE"""),"0")</f>
        <v>0</v>
      </c>
      <c r="C351" s="6" t="str">
        <f>IFERROR(__xludf.DUMMYFUNCTION("""COMPUTED_VALUE"""),"7367")</f>
        <v>7367</v>
      </c>
      <c r="D351" s="6" t="str">
        <f>IFERROR(__xludf.DUMMYFUNCTION("""COMPUTED_VALUE"""),"Vivienne")</f>
        <v>Vivienne</v>
      </c>
      <c r="E351" s="6" t="str">
        <f>IFERROR(__xludf.DUMMYFUNCTION("""COMPUTED_VALUE"""),"Vivienne")</f>
        <v>Vivienne</v>
      </c>
      <c r="F351" s="6" t="str">
        <f>IFERROR(__xludf.DUMMYFUNCTION("""COMPUTED_VALUE"""),"Poon")</f>
        <v>Poon</v>
      </c>
      <c r="G351" s="6" t="str">
        <f>IFERROR(__xludf.DUMMYFUNCTION("""COMPUTED_VALUE"""),"07/05/2017")</f>
        <v>07/05/2017</v>
      </c>
      <c r="H351" s="6" t="str">
        <f>IFERROR(__xludf.DUMMYFUNCTION("""COMPUTED_VALUE"""),"female")</f>
        <v>female</v>
      </c>
      <c r="I351" s="6" t="str">
        <f>IFERROR(__xludf.DUMMYFUNCTION("""COMPUTED_VALUE"""),"Level 1")</f>
        <v>Level 1</v>
      </c>
      <c r="J351" s="6" t="str">
        <f>IFERROR(__xludf.DUMMYFUNCTION("""COMPUTED_VALUE"""),"3")</f>
        <v>3</v>
      </c>
      <c r="K351" s="6" t="str">
        <f>IFERROR(__xludf.DUMMYFUNCTION("""COMPUTED_VALUE"""),"vivienne.poon@2hourlearning.com")</f>
        <v>vivienne.poon@2hourlearning.com</v>
      </c>
      <c r="L351" s="6" t="str">
        <f>IFERROR(__xludf.DUMMYFUNCTION("""COMPUTED_VALUE"""),"Alpha Anywhere (homeschool)")</f>
        <v>Alpha Anywhere (homeschool)</v>
      </c>
      <c r="M351" s="6" t="str">
        <f>IFERROR(__xludf.DUMMYFUNCTION("""COMPUTED_VALUE"""),"")</f>
        <v/>
      </c>
      <c r="N351" s="6" t="str">
        <f>IFERROR(__xludf.DUMMYFUNCTION("""COMPUTED_VALUE"""),"")</f>
        <v/>
      </c>
      <c r="O351" s="87" t="str">
        <f>IFERROR(__xludf.DUMMYFUNCTION("""COMPUTED_VALUE"""),"https://drive.google.com/drive/folders/10T2cTQHqEJZqE-st6uFKPoI?usp=share_link")</f>
        <v>https://drive.google.com/drive/folders/10T2cTQHqEJZqE-st6uFKPoI?usp=share_link</v>
      </c>
      <c r="P351" s="6" t="str">
        <f>IFERROR(__xludf.DUMMYFUNCTION("""COMPUTED_VALUE"""),"Vivienne Poon")</f>
        <v>Vivienne Poon</v>
      </c>
      <c r="Q351" s="6" t="str">
        <f>IFERROR(__xludf.DUMMYFUNCTION("""COMPUTED_VALUE"""),"L1")</f>
        <v>L1</v>
      </c>
      <c r="R351" s="6">
        <f>IFERROR(__xludf.DUMMYFUNCTION("""COMPUTED_VALUE"""),1.0)</f>
        <v>1</v>
      </c>
      <c r="S351" s="6" t="str">
        <f>IFERROR(__xludf.DUMMYFUNCTION("""COMPUTED_VALUE""")," ")</f>
        <v> </v>
      </c>
      <c r="T351" s="6" t="str">
        <f>IFERROR(__xludf.DUMMYFUNCTION("""COMPUTED_VALUE"""),"")</f>
        <v/>
      </c>
      <c r="U351" s="6" t="str">
        <f>IFERROR(__xludf.DUMMYFUNCTION("""COMPUTED_VALUE"""),"3")</f>
        <v>3</v>
      </c>
      <c r="V351" s="6" t="str">
        <f>IFERROR(__xludf.DUMMYFUNCTION("""COMPUTED_VALUE"""),"")</f>
        <v/>
      </c>
      <c r="W351" s="6" t="str">
        <f>IFERROR(__xludf.DUMMYFUNCTION("""COMPUTED_VALUE"""),"[]")</f>
        <v>[]</v>
      </c>
      <c r="X351" s="6" t="str">
        <f>IFERROR(__xludf.DUMMYFUNCTION("""COMPUTED_VALUE"""),"Enrolled")</f>
        <v>Enrolled</v>
      </c>
    </row>
    <row r="352">
      <c r="A352" s="6" t="str">
        <f>IFERROR(__xludf.DUMMYFUNCTION("""COMPUTED_VALUE"""),"000-7383")</f>
        <v>000-7383</v>
      </c>
      <c r="B352" s="6" t="str">
        <f>IFERROR(__xludf.DUMMYFUNCTION("""COMPUTED_VALUE"""),"0")</f>
        <v>0</v>
      </c>
      <c r="C352" s="6" t="str">
        <f>IFERROR(__xludf.DUMMYFUNCTION("""COMPUTED_VALUE"""),"7383")</f>
        <v>7383</v>
      </c>
      <c r="D352" s="6" t="str">
        <f>IFERROR(__xludf.DUMMYFUNCTION("""COMPUTED_VALUE"""),"Yeremya")</f>
        <v>Yeremya</v>
      </c>
      <c r="E352" s="6" t="str">
        <f>IFERROR(__xludf.DUMMYFUNCTION("""COMPUTED_VALUE"""),"")</f>
        <v/>
      </c>
      <c r="F352" s="6" t="str">
        <f>IFERROR(__xludf.DUMMYFUNCTION("""COMPUTED_VALUE"""),"Kevorkian")</f>
        <v>Kevorkian</v>
      </c>
      <c r="G352" s="6" t="str">
        <f>IFERROR(__xludf.DUMMYFUNCTION("""COMPUTED_VALUE"""),"07/04/2013")</f>
        <v>07/04/2013</v>
      </c>
      <c r="H352" s="6" t="str">
        <f>IFERROR(__xludf.DUMMYFUNCTION("""COMPUTED_VALUE"""),"Self Identify")</f>
        <v>Self Identify</v>
      </c>
      <c r="I352" s="6" t="str">
        <f>IFERROR(__xludf.DUMMYFUNCTION("""COMPUTED_VALUE"""),"Middle School")</f>
        <v>Middle School</v>
      </c>
      <c r="J352" s="6" t="str">
        <f>IFERROR(__xludf.DUMMYFUNCTION("""COMPUTED_VALUE"""),"7")</f>
        <v>7</v>
      </c>
      <c r="K352" s="6" t="str">
        <f>IFERROR(__xludf.DUMMYFUNCTION("""COMPUTED_VALUE"""),"yeremya.kevorkian@2hourlearning.com")</f>
        <v>yeremya.kevorkian@2hourlearning.com</v>
      </c>
      <c r="L352" s="6" t="str">
        <f>IFERROR(__xludf.DUMMYFUNCTION("""COMPUTED_VALUE"""),"Alpha Anywhere (homeschool)")</f>
        <v>Alpha Anywhere (homeschool)</v>
      </c>
      <c r="M352" s="6" t="str">
        <f>IFERROR(__xludf.DUMMYFUNCTION("""COMPUTED_VALUE"""),"")</f>
        <v/>
      </c>
      <c r="N352" s="6" t="str">
        <f>IFERROR(__xludf.DUMMYFUNCTION("""COMPUTED_VALUE"""),"")</f>
        <v/>
      </c>
      <c r="O352" s="87" t="str">
        <f>IFERROR(__xludf.DUMMYFUNCTION("""COMPUTED_VALUE"""),"https://drive.google.com/drive/folders/10T2cTQHqEJZqE-st6uFKPoI?usp=share_link")</f>
        <v>https://drive.google.com/drive/folders/10T2cTQHqEJZqE-st6uFKPoI?usp=share_link</v>
      </c>
      <c r="P352" s="6" t="str">
        <f>IFERROR(__xludf.DUMMYFUNCTION("""COMPUTED_VALUE"""),"Yeremya Kevorkian")</f>
        <v>Yeremya Kevorkian</v>
      </c>
      <c r="Q352" s="6" t="str">
        <f>IFERROR(__xludf.DUMMYFUNCTION("""COMPUTED_VALUE"""),"MS")</f>
        <v>MS</v>
      </c>
      <c r="R352" s="6">
        <f>IFERROR(__xludf.DUMMYFUNCTION("""COMPUTED_VALUE"""),0.0)</f>
        <v>0</v>
      </c>
      <c r="S352" s="6" t="str">
        <f>IFERROR(__xludf.DUMMYFUNCTION("""COMPUTED_VALUE""")," ")</f>
        <v> </v>
      </c>
      <c r="T352" s="6" t="str">
        <f>IFERROR(__xludf.DUMMYFUNCTION("""COMPUTED_VALUE"""),"")</f>
        <v/>
      </c>
      <c r="U352" s="6" t="str">
        <f>IFERROR(__xludf.DUMMYFUNCTION("""COMPUTED_VALUE"""),"7")</f>
        <v>7</v>
      </c>
      <c r="V352" s="6" t="str">
        <f>IFERROR(__xludf.DUMMYFUNCTION("""COMPUTED_VALUE"""),"")</f>
        <v/>
      </c>
      <c r="W352" s="6" t="str">
        <f>IFERROR(__xludf.DUMMYFUNCTION("""COMPUTED_VALUE"""),"[]")</f>
        <v>[]</v>
      </c>
      <c r="X352" s="6" t="str">
        <f>IFERROR(__xludf.DUMMYFUNCTION("""COMPUTED_VALUE"""),"Enrolled")</f>
        <v>Enrolled</v>
      </c>
    </row>
    <row r="353">
      <c r="A353" s="6" t="str">
        <f>IFERROR(__xludf.DUMMYFUNCTION("""COMPUTED_VALUE"""),"000-7393")</f>
        <v>000-7393</v>
      </c>
      <c r="B353" s="6" t="str">
        <f>IFERROR(__xludf.DUMMYFUNCTION("""COMPUTED_VALUE"""),"0")</f>
        <v>0</v>
      </c>
      <c r="C353" s="6" t="str">
        <f>IFERROR(__xludf.DUMMYFUNCTION("""COMPUTED_VALUE"""),"7393")</f>
        <v>7393</v>
      </c>
      <c r="D353" s="6" t="str">
        <f>IFERROR(__xludf.DUMMYFUNCTION("""COMPUTED_VALUE"""),"Max")</f>
        <v>Max</v>
      </c>
      <c r="E353" s="6" t="str">
        <f>IFERROR(__xludf.DUMMYFUNCTION("""COMPUTED_VALUE"""),"")</f>
        <v/>
      </c>
      <c r="F353" s="6" t="str">
        <f>IFERROR(__xludf.DUMMYFUNCTION("""COMPUTED_VALUE"""),"Mccullough")</f>
        <v>Mccullough</v>
      </c>
      <c r="G353" s="6" t="str">
        <f>IFERROR(__xludf.DUMMYFUNCTION("""COMPUTED_VALUE"""),"06/10/2013")</f>
        <v>06/10/2013</v>
      </c>
      <c r="H353" s="6" t="str">
        <f>IFERROR(__xludf.DUMMYFUNCTION("""COMPUTED_VALUE"""),"male")</f>
        <v>male</v>
      </c>
      <c r="I353" s="6" t="str">
        <f>IFERROR(__xludf.DUMMYFUNCTION("""COMPUTED_VALUE"""),"Middle School")</f>
        <v>Middle School</v>
      </c>
      <c r="J353" s="6" t="str">
        <f>IFERROR(__xludf.DUMMYFUNCTION("""COMPUTED_VALUE"""),"6")</f>
        <v>6</v>
      </c>
      <c r="K353" s="6" t="str">
        <f>IFERROR(__xludf.DUMMYFUNCTION("""COMPUTED_VALUE"""),"max.mccullough@2hourlearning.com")</f>
        <v>max.mccullough@2hourlearning.com</v>
      </c>
      <c r="L353" s="6" t="str">
        <f>IFERROR(__xludf.DUMMYFUNCTION("""COMPUTED_VALUE"""),"Alpha Anywhere (homeschool)")</f>
        <v>Alpha Anywhere (homeschool)</v>
      </c>
      <c r="M353" s="6" t="str">
        <f>IFERROR(__xludf.DUMMYFUNCTION("""COMPUTED_VALUE"""),"")</f>
        <v/>
      </c>
      <c r="N353" s="6" t="str">
        <f>IFERROR(__xludf.DUMMYFUNCTION("""COMPUTED_VALUE"""),"")</f>
        <v/>
      </c>
      <c r="O353" s="87" t="str">
        <f>IFERROR(__xludf.DUMMYFUNCTION("""COMPUTED_VALUE"""),"https://drive.google.com/drive/folders/10T2cTQHqEJZqE-st6uFKPoI?usp=share_link")</f>
        <v>https://drive.google.com/drive/folders/10T2cTQHqEJZqE-st6uFKPoI?usp=share_link</v>
      </c>
      <c r="P353" s="6" t="str">
        <f>IFERROR(__xludf.DUMMYFUNCTION("""COMPUTED_VALUE"""),"Max Mccullough")</f>
        <v>Max Mccullough</v>
      </c>
      <c r="Q353" s="6" t="str">
        <f>IFERROR(__xludf.DUMMYFUNCTION("""COMPUTED_VALUE"""),"MS")</f>
        <v>MS</v>
      </c>
      <c r="R353" s="6">
        <f>IFERROR(__xludf.DUMMYFUNCTION("""COMPUTED_VALUE"""),0.0)</f>
        <v>0</v>
      </c>
      <c r="S353" s="6" t="str">
        <f>IFERROR(__xludf.DUMMYFUNCTION("""COMPUTED_VALUE""")," ")</f>
        <v> </v>
      </c>
      <c r="T353" s="6" t="str">
        <f>IFERROR(__xludf.DUMMYFUNCTION("""COMPUTED_VALUE"""),"")</f>
        <v/>
      </c>
      <c r="U353" s="6" t="str">
        <f>IFERROR(__xludf.DUMMYFUNCTION("""COMPUTED_VALUE"""),"6")</f>
        <v>6</v>
      </c>
      <c r="V353" s="6" t="str">
        <f>IFERROR(__xludf.DUMMYFUNCTION("""COMPUTED_VALUE"""),"")</f>
        <v/>
      </c>
      <c r="W353" s="6" t="str">
        <f>IFERROR(__xludf.DUMMYFUNCTION("""COMPUTED_VALUE"""),"[]")</f>
        <v>[]</v>
      </c>
      <c r="X353" s="6" t="str">
        <f>IFERROR(__xludf.DUMMYFUNCTION("""COMPUTED_VALUE"""),"Enrolled")</f>
        <v>Enrolled</v>
      </c>
    </row>
    <row r="354">
      <c r="A354" s="6" t="str">
        <f>IFERROR(__xludf.DUMMYFUNCTION("""COMPUTED_VALUE"""),"000-7421")</f>
        <v>000-7421</v>
      </c>
      <c r="B354" s="6" t="str">
        <f>IFERROR(__xludf.DUMMYFUNCTION("""COMPUTED_VALUE"""),"0")</f>
        <v>0</v>
      </c>
      <c r="C354" s="6" t="str">
        <f>IFERROR(__xludf.DUMMYFUNCTION("""COMPUTED_VALUE"""),"7421")</f>
        <v>7421</v>
      </c>
      <c r="D354" s="6" t="str">
        <f>IFERROR(__xludf.DUMMYFUNCTION("""COMPUTED_VALUE"""),"Elena")</f>
        <v>Elena</v>
      </c>
      <c r="E354" s="6" t="str">
        <f>IFERROR(__xludf.DUMMYFUNCTION("""COMPUTED_VALUE"""),"")</f>
        <v/>
      </c>
      <c r="F354" s="6" t="str">
        <f>IFERROR(__xludf.DUMMYFUNCTION("""COMPUTED_VALUE"""),"Knudsen")</f>
        <v>Knudsen</v>
      </c>
      <c r="G354" s="6" t="str">
        <f>IFERROR(__xludf.DUMMYFUNCTION("""COMPUTED_VALUE"""),"06/21/2013")</f>
        <v>06/21/2013</v>
      </c>
      <c r="H354" s="6" t="str">
        <f>IFERROR(__xludf.DUMMYFUNCTION("""COMPUTED_VALUE"""),"female")</f>
        <v>female</v>
      </c>
      <c r="I354" s="6" t="str">
        <f>IFERROR(__xludf.DUMMYFUNCTION("""COMPUTED_VALUE"""),"Middle School")</f>
        <v>Middle School</v>
      </c>
      <c r="J354" s="6" t="str">
        <f>IFERROR(__xludf.DUMMYFUNCTION("""COMPUTED_VALUE"""),"7")</f>
        <v>7</v>
      </c>
      <c r="K354" s="6" t="str">
        <f>IFERROR(__xludf.DUMMYFUNCTION("""COMPUTED_VALUE"""),"elena.knudsen@2hourlearning.com")</f>
        <v>elena.knudsen@2hourlearning.com</v>
      </c>
      <c r="L354" s="6" t="str">
        <f>IFERROR(__xludf.DUMMYFUNCTION("""COMPUTED_VALUE"""),"Alpha Anywhere (homeschool)")</f>
        <v>Alpha Anywhere (homeschool)</v>
      </c>
      <c r="M354" s="6" t="str">
        <f>IFERROR(__xludf.DUMMYFUNCTION("""COMPUTED_VALUE"""),"")</f>
        <v/>
      </c>
      <c r="N354" s="6" t="str">
        <f>IFERROR(__xludf.DUMMYFUNCTION("""COMPUTED_VALUE"""),"")</f>
        <v/>
      </c>
      <c r="O354" s="87" t="str">
        <f>IFERROR(__xludf.DUMMYFUNCTION("""COMPUTED_VALUE"""),"https://drive.google.com/drive/folders/10T2cTQHqEJZqE-st6uFKPoI?usp=share_link")</f>
        <v>https://drive.google.com/drive/folders/10T2cTQHqEJZqE-st6uFKPoI?usp=share_link</v>
      </c>
      <c r="P354" s="6" t="str">
        <f>IFERROR(__xludf.DUMMYFUNCTION("""COMPUTED_VALUE"""),"Elena Knudsen")</f>
        <v>Elena Knudsen</v>
      </c>
      <c r="Q354" s="6" t="str">
        <f>IFERROR(__xludf.DUMMYFUNCTION("""COMPUTED_VALUE"""),"MS")</f>
        <v>MS</v>
      </c>
      <c r="R354" s="6">
        <f>IFERROR(__xludf.DUMMYFUNCTION("""COMPUTED_VALUE"""),0.0)</f>
        <v>0</v>
      </c>
      <c r="S354" s="6" t="str">
        <f>IFERROR(__xludf.DUMMYFUNCTION("""COMPUTED_VALUE""")," ")</f>
        <v> </v>
      </c>
      <c r="T354" s="6" t="str">
        <f>IFERROR(__xludf.DUMMYFUNCTION("""COMPUTED_VALUE"""),"")</f>
        <v/>
      </c>
      <c r="U354" s="6" t="str">
        <f>IFERROR(__xludf.DUMMYFUNCTION("""COMPUTED_VALUE"""),"7")</f>
        <v>7</v>
      </c>
      <c r="V354" s="6" t="str">
        <f>IFERROR(__xludf.DUMMYFUNCTION("""COMPUTED_VALUE"""),"")</f>
        <v/>
      </c>
      <c r="W354" s="6" t="str">
        <f>IFERROR(__xludf.DUMMYFUNCTION("""COMPUTED_VALUE"""),"[]")</f>
        <v>[]</v>
      </c>
      <c r="X354" s="6" t="str">
        <f>IFERROR(__xludf.DUMMYFUNCTION("""COMPUTED_VALUE"""),"Enrolled")</f>
        <v>Enrolled</v>
      </c>
    </row>
    <row r="355">
      <c r="A355" s="6" t="str">
        <f>IFERROR(__xludf.DUMMYFUNCTION("""COMPUTED_VALUE"""),"000-7435")</f>
        <v>000-7435</v>
      </c>
      <c r="B355" s="6" t="str">
        <f>IFERROR(__xludf.DUMMYFUNCTION("""COMPUTED_VALUE"""),"0")</f>
        <v>0</v>
      </c>
      <c r="C355" s="6" t="str">
        <f>IFERROR(__xludf.DUMMYFUNCTION("""COMPUTED_VALUE"""),"7435")</f>
        <v>7435</v>
      </c>
      <c r="D355" s="6" t="str">
        <f>IFERROR(__xludf.DUMMYFUNCTION("""COMPUTED_VALUE"""),"Aaron")</f>
        <v>Aaron</v>
      </c>
      <c r="E355" s="6" t="str">
        <f>IFERROR(__xludf.DUMMYFUNCTION("""COMPUTED_VALUE"""),"")</f>
        <v/>
      </c>
      <c r="F355" s="6" t="str">
        <f>IFERROR(__xludf.DUMMYFUNCTION("""COMPUTED_VALUE"""),"Brantner")</f>
        <v>Brantner</v>
      </c>
      <c r="G355" s="6" t="str">
        <f>IFERROR(__xludf.DUMMYFUNCTION("""COMPUTED_VALUE"""),"06/20/2016")</f>
        <v>06/20/2016</v>
      </c>
      <c r="H355" s="6" t="str">
        <f>IFERROR(__xludf.DUMMYFUNCTION("""COMPUTED_VALUE"""),"male")</f>
        <v>male</v>
      </c>
      <c r="I355" s="6" t="str">
        <f>IFERROR(__xludf.DUMMYFUNCTION("""COMPUTED_VALUE"""),"Level 2")</f>
        <v>Level 2</v>
      </c>
      <c r="J355" s="6" t="str">
        <f>IFERROR(__xludf.DUMMYFUNCTION("""COMPUTED_VALUE"""),"4")</f>
        <v>4</v>
      </c>
      <c r="K355" s="6" t="str">
        <f>IFERROR(__xludf.DUMMYFUNCTION("""COMPUTED_VALUE"""),"aaron.brantner@2hourlearning.com")</f>
        <v>aaron.brantner@2hourlearning.com</v>
      </c>
      <c r="L355" s="6" t="str">
        <f>IFERROR(__xludf.DUMMYFUNCTION("""COMPUTED_VALUE"""),"Alpha Anywhere (homeschool)")</f>
        <v>Alpha Anywhere (homeschool)</v>
      </c>
      <c r="M355" s="6" t="str">
        <f>IFERROR(__xludf.DUMMYFUNCTION("""COMPUTED_VALUE"""),"")</f>
        <v/>
      </c>
      <c r="N355" s="6" t="str">
        <f>IFERROR(__xludf.DUMMYFUNCTION("""COMPUTED_VALUE"""),"")</f>
        <v/>
      </c>
      <c r="O355" s="87" t="str">
        <f>IFERROR(__xludf.DUMMYFUNCTION("""COMPUTED_VALUE"""),"https://drive.google.com/drive/folders/10T2cTQHqEJZqE-st6uFKPoI?usp=share_link")</f>
        <v>https://drive.google.com/drive/folders/10T2cTQHqEJZqE-st6uFKPoI?usp=share_link</v>
      </c>
      <c r="P355" s="6" t="str">
        <f>IFERROR(__xludf.DUMMYFUNCTION("""COMPUTED_VALUE"""),"Aaron Brantner")</f>
        <v>Aaron Brantner</v>
      </c>
      <c r="Q355" s="6" t="str">
        <f>IFERROR(__xludf.DUMMYFUNCTION("""COMPUTED_VALUE"""),"L2")</f>
        <v>L2</v>
      </c>
      <c r="R355" s="6">
        <f>IFERROR(__xludf.DUMMYFUNCTION("""COMPUTED_VALUE"""),2.0)</f>
        <v>2</v>
      </c>
      <c r="S355" s="6" t="str">
        <f>IFERROR(__xludf.DUMMYFUNCTION("""COMPUTED_VALUE""")," ")</f>
        <v> </v>
      </c>
      <c r="T355" s="6" t="str">
        <f>IFERROR(__xludf.DUMMYFUNCTION("""COMPUTED_VALUE"""),"")</f>
        <v/>
      </c>
      <c r="U355" s="6" t="str">
        <f>IFERROR(__xludf.DUMMYFUNCTION("""COMPUTED_VALUE"""),"4")</f>
        <v>4</v>
      </c>
      <c r="V355" s="6" t="str">
        <f>IFERROR(__xludf.DUMMYFUNCTION("""COMPUTED_VALUE"""),"")</f>
        <v/>
      </c>
      <c r="W355" s="6" t="str">
        <f>IFERROR(__xludf.DUMMYFUNCTION("""COMPUTED_VALUE"""),"[]")</f>
        <v>[]</v>
      </c>
      <c r="X355" s="6" t="str">
        <f>IFERROR(__xludf.DUMMYFUNCTION("""COMPUTED_VALUE"""),"Enrolled")</f>
        <v>Enrolled</v>
      </c>
    </row>
    <row r="356">
      <c r="A356" s="6" t="str">
        <f>IFERROR(__xludf.DUMMYFUNCTION("""COMPUTED_VALUE"""),"000-7452")</f>
        <v>000-7452</v>
      </c>
      <c r="B356" s="6" t="str">
        <f>IFERROR(__xludf.DUMMYFUNCTION("""COMPUTED_VALUE"""),"0")</f>
        <v>0</v>
      </c>
      <c r="C356" s="6" t="str">
        <f>IFERROR(__xludf.DUMMYFUNCTION("""COMPUTED_VALUE"""),"7452")</f>
        <v>7452</v>
      </c>
      <c r="D356" s="6" t="str">
        <f>IFERROR(__xludf.DUMMYFUNCTION("""COMPUTED_VALUE"""),"Maxwell")</f>
        <v>Maxwell</v>
      </c>
      <c r="E356" s="6" t="str">
        <f>IFERROR(__xludf.DUMMYFUNCTION("""COMPUTED_VALUE"""),"Max")</f>
        <v>Max</v>
      </c>
      <c r="F356" s="6" t="str">
        <f>IFERROR(__xludf.DUMMYFUNCTION("""COMPUTED_VALUE"""),"von Zirkelbach")</f>
        <v>von Zirkelbach</v>
      </c>
      <c r="G356" s="6" t="str">
        <f>IFERROR(__xludf.DUMMYFUNCTION("""COMPUTED_VALUE"""),"03/01/2012")</f>
        <v>03/01/2012</v>
      </c>
      <c r="H356" s="6" t="str">
        <f>IFERROR(__xludf.DUMMYFUNCTION("""COMPUTED_VALUE"""),"male")</f>
        <v>male</v>
      </c>
      <c r="I356" s="6" t="str">
        <f>IFERROR(__xludf.DUMMYFUNCTION("""COMPUTED_VALUE"""),"Middle School")</f>
        <v>Middle School</v>
      </c>
      <c r="J356" s="6" t="str">
        <f>IFERROR(__xludf.DUMMYFUNCTION("""COMPUTED_VALUE"""),"7")</f>
        <v>7</v>
      </c>
      <c r="K356" s="6" t="str">
        <f>IFERROR(__xludf.DUMMYFUNCTION("""COMPUTED_VALUE"""),"maxwell.vonzirkelbach@2hourlearning.com")</f>
        <v>maxwell.vonzirkelbach@2hourlearning.com</v>
      </c>
      <c r="L356" s="6" t="str">
        <f>IFERROR(__xludf.DUMMYFUNCTION("""COMPUTED_VALUE"""),"Alpha Anywhere (homeschool)")</f>
        <v>Alpha Anywhere (homeschool)</v>
      </c>
      <c r="M356" s="6" t="str">
        <f>IFERROR(__xludf.DUMMYFUNCTION("""COMPUTED_VALUE"""),"")</f>
        <v/>
      </c>
      <c r="N356" s="6" t="str">
        <f>IFERROR(__xludf.DUMMYFUNCTION("""COMPUTED_VALUE"""),"")</f>
        <v/>
      </c>
      <c r="O356" s="87" t="str">
        <f>IFERROR(__xludf.DUMMYFUNCTION("""COMPUTED_VALUE"""),"https://drive.google.com/drive/folders/10T2cTQHqEJZqE-st6uFKPoI?usp=share_link")</f>
        <v>https://drive.google.com/drive/folders/10T2cTQHqEJZqE-st6uFKPoI?usp=share_link</v>
      </c>
      <c r="P356" s="6" t="str">
        <f>IFERROR(__xludf.DUMMYFUNCTION("""COMPUTED_VALUE"""),"Max von Zirkelbach")</f>
        <v>Max von Zirkelbach</v>
      </c>
      <c r="Q356" s="6" t="str">
        <f>IFERROR(__xludf.DUMMYFUNCTION("""COMPUTED_VALUE"""),"MS")</f>
        <v>MS</v>
      </c>
      <c r="R356" s="6">
        <f>IFERROR(__xludf.DUMMYFUNCTION("""COMPUTED_VALUE"""),0.0)</f>
        <v>0</v>
      </c>
      <c r="S356" s="6" t="str">
        <f>IFERROR(__xludf.DUMMYFUNCTION("""COMPUTED_VALUE""")," ")</f>
        <v> </v>
      </c>
      <c r="T356" s="6" t="str">
        <f>IFERROR(__xludf.DUMMYFUNCTION("""COMPUTED_VALUE"""),"")</f>
        <v/>
      </c>
      <c r="U356" s="6" t="str">
        <f>IFERROR(__xludf.DUMMYFUNCTION("""COMPUTED_VALUE"""),"7")</f>
        <v>7</v>
      </c>
      <c r="V356" s="6" t="str">
        <f>IFERROR(__xludf.DUMMYFUNCTION("""COMPUTED_VALUE"""),"")</f>
        <v/>
      </c>
      <c r="W356" s="6" t="str">
        <f>IFERROR(__xludf.DUMMYFUNCTION("""COMPUTED_VALUE"""),"[]")</f>
        <v>[]</v>
      </c>
      <c r="X356" s="6" t="str">
        <f>IFERROR(__xludf.DUMMYFUNCTION("""COMPUTED_VALUE"""),"Enrolled")</f>
        <v>Enrolled</v>
      </c>
    </row>
    <row r="357">
      <c r="A357" s="6" t="str">
        <f>IFERROR(__xludf.DUMMYFUNCTION("""COMPUTED_VALUE"""),"000-7455")</f>
        <v>000-7455</v>
      </c>
      <c r="B357" s="6" t="str">
        <f>IFERROR(__xludf.DUMMYFUNCTION("""COMPUTED_VALUE"""),"0")</f>
        <v>0</v>
      </c>
      <c r="C357" s="6" t="str">
        <f>IFERROR(__xludf.DUMMYFUNCTION("""COMPUTED_VALUE"""),"7455")</f>
        <v>7455</v>
      </c>
      <c r="D357" s="6" t="str">
        <f>IFERROR(__xludf.DUMMYFUNCTION("""COMPUTED_VALUE"""),"Siyon")</f>
        <v>Siyon</v>
      </c>
      <c r="E357" s="6" t="str">
        <f>IFERROR(__xludf.DUMMYFUNCTION("""COMPUTED_VALUE"""),"Siyon")</f>
        <v>Siyon</v>
      </c>
      <c r="F357" s="6" t="str">
        <f>IFERROR(__xludf.DUMMYFUNCTION("""COMPUTED_VALUE"""),"Kevorkian")</f>
        <v>Kevorkian</v>
      </c>
      <c r="G357" s="6" t="str">
        <f>IFERROR(__xludf.DUMMYFUNCTION("""COMPUTED_VALUE"""),"06/05/2015")</f>
        <v>06/05/2015</v>
      </c>
      <c r="H357" s="6" t="str">
        <f>IFERROR(__xludf.DUMMYFUNCTION("""COMPUTED_VALUE"""),"female")</f>
        <v>female</v>
      </c>
      <c r="I357" s="6" t="str">
        <f>IFERROR(__xludf.DUMMYFUNCTION("""COMPUTED_VALUE"""),"Level 2")</f>
        <v>Level 2</v>
      </c>
      <c r="J357" s="6" t="str">
        <f>IFERROR(__xludf.DUMMYFUNCTION("""COMPUTED_VALUE"""),"5")</f>
        <v>5</v>
      </c>
      <c r="K357" s="6" t="str">
        <f>IFERROR(__xludf.DUMMYFUNCTION("""COMPUTED_VALUE"""),"siyon.l.kevorkian@2hourlearning.com")</f>
        <v>siyon.l.kevorkian@2hourlearning.com</v>
      </c>
      <c r="L357" s="6" t="str">
        <f>IFERROR(__xludf.DUMMYFUNCTION("""COMPUTED_VALUE"""),"Alpha Anywhere (homeschool)")</f>
        <v>Alpha Anywhere (homeschool)</v>
      </c>
      <c r="M357" s="6" t="str">
        <f>IFERROR(__xludf.DUMMYFUNCTION("""COMPUTED_VALUE"""),"")</f>
        <v/>
      </c>
      <c r="N357" s="6" t="str">
        <f>IFERROR(__xludf.DUMMYFUNCTION("""COMPUTED_VALUE"""),"")</f>
        <v/>
      </c>
      <c r="O357" s="87" t="str">
        <f>IFERROR(__xludf.DUMMYFUNCTION("""COMPUTED_VALUE"""),"https://drive.google.com/drive/folders/10T2cTQHqEJZqE-st6uFKPoI?usp=share_link")</f>
        <v>https://drive.google.com/drive/folders/10T2cTQHqEJZqE-st6uFKPoI?usp=share_link</v>
      </c>
      <c r="P357" s="6" t="str">
        <f>IFERROR(__xludf.DUMMYFUNCTION("""COMPUTED_VALUE"""),"Siyon Kevorkian")</f>
        <v>Siyon Kevorkian</v>
      </c>
      <c r="Q357" s="6" t="str">
        <f>IFERROR(__xludf.DUMMYFUNCTION("""COMPUTED_VALUE"""),"L2")</f>
        <v>L2</v>
      </c>
      <c r="R357" s="6">
        <f>IFERROR(__xludf.DUMMYFUNCTION("""COMPUTED_VALUE"""),2.0)</f>
        <v>2</v>
      </c>
      <c r="S357" s="6" t="str">
        <f>IFERROR(__xludf.DUMMYFUNCTION("""COMPUTED_VALUE""")," ")</f>
        <v> </v>
      </c>
      <c r="T357" s="6" t="str">
        <f>IFERROR(__xludf.DUMMYFUNCTION("""COMPUTED_VALUE"""),"")</f>
        <v/>
      </c>
      <c r="U357" s="6" t="str">
        <f>IFERROR(__xludf.DUMMYFUNCTION("""COMPUTED_VALUE"""),"5")</f>
        <v>5</v>
      </c>
      <c r="V357" s="6" t="str">
        <f>IFERROR(__xludf.DUMMYFUNCTION("""COMPUTED_VALUE"""),"")</f>
        <v/>
      </c>
      <c r="W357" s="6" t="str">
        <f>IFERROR(__xludf.DUMMYFUNCTION("""COMPUTED_VALUE"""),"[]")</f>
        <v>[]</v>
      </c>
      <c r="X357" s="6" t="str">
        <f>IFERROR(__xludf.DUMMYFUNCTION("""COMPUTED_VALUE"""),"Enrolled")</f>
        <v>Enrolled</v>
      </c>
    </row>
    <row r="358">
      <c r="A358" s="6" t="str">
        <f>IFERROR(__xludf.DUMMYFUNCTION("""COMPUTED_VALUE"""),"000-7456")</f>
        <v>000-7456</v>
      </c>
      <c r="B358" s="6" t="str">
        <f>IFERROR(__xludf.DUMMYFUNCTION("""COMPUTED_VALUE"""),"0")</f>
        <v>0</v>
      </c>
      <c r="C358" s="6" t="str">
        <f>IFERROR(__xludf.DUMMYFUNCTION("""COMPUTED_VALUE"""),"7456")</f>
        <v>7456</v>
      </c>
      <c r="D358" s="6" t="str">
        <f>IFERROR(__xludf.DUMMYFUNCTION("""COMPUTED_VALUE"""),"AJ")</f>
        <v>AJ</v>
      </c>
      <c r="E358" s="6" t="str">
        <f>IFERROR(__xludf.DUMMYFUNCTION("""COMPUTED_VALUE"""),"")</f>
        <v/>
      </c>
      <c r="F358" s="6" t="str">
        <f>IFERROR(__xludf.DUMMYFUNCTION("""COMPUTED_VALUE"""),"Ferrari")</f>
        <v>Ferrari</v>
      </c>
      <c r="G358" s="6" t="str">
        <f>IFERROR(__xludf.DUMMYFUNCTION("""COMPUTED_VALUE"""),"01/03/2012")</f>
        <v>01/03/2012</v>
      </c>
      <c r="H358" s="6" t="str">
        <f>IFERROR(__xludf.DUMMYFUNCTION("""COMPUTED_VALUE"""),"Self Identify")</f>
        <v>Self Identify</v>
      </c>
      <c r="I358" s="6" t="str">
        <f>IFERROR(__xludf.DUMMYFUNCTION("""COMPUTED_VALUE"""),"Middle School")</f>
        <v>Middle School</v>
      </c>
      <c r="J358" s="6" t="str">
        <f>IFERROR(__xludf.DUMMYFUNCTION("""COMPUTED_VALUE"""),"8")</f>
        <v>8</v>
      </c>
      <c r="K358" s="6" t="str">
        <f>IFERROR(__xludf.DUMMYFUNCTION("""COMPUTED_VALUE"""),"aj.ferrari@2hourlearning.com")</f>
        <v>aj.ferrari@2hourlearning.com</v>
      </c>
      <c r="L358" s="6" t="str">
        <f>IFERROR(__xludf.DUMMYFUNCTION("""COMPUTED_VALUE"""),"Alpha Anywhere (homeschool)")</f>
        <v>Alpha Anywhere (homeschool)</v>
      </c>
      <c r="M358" s="6" t="str">
        <f>IFERROR(__xludf.DUMMYFUNCTION("""COMPUTED_VALUE"""),"")</f>
        <v/>
      </c>
      <c r="N358" s="6" t="str">
        <f>IFERROR(__xludf.DUMMYFUNCTION("""COMPUTED_VALUE"""),"")</f>
        <v/>
      </c>
      <c r="O358" s="87" t="str">
        <f>IFERROR(__xludf.DUMMYFUNCTION("""COMPUTED_VALUE"""),"https://drive.google.com/drive/folders/10T2cTQHqEJZqE-st6uFKPoI?usp=share_link")</f>
        <v>https://drive.google.com/drive/folders/10T2cTQHqEJZqE-st6uFKPoI?usp=share_link</v>
      </c>
      <c r="P358" s="6" t="str">
        <f>IFERROR(__xludf.DUMMYFUNCTION("""COMPUTED_VALUE"""),"AJ Ferrari")</f>
        <v>AJ Ferrari</v>
      </c>
      <c r="Q358" s="6" t="str">
        <f>IFERROR(__xludf.DUMMYFUNCTION("""COMPUTED_VALUE"""),"MS")</f>
        <v>MS</v>
      </c>
      <c r="R358" s="6">
        <f>IFERROR(__xludf.DUMMYFUNCTION("""COMPUTED_VALUE"""),0.0)</f>
        <v>0</v>
      </c>
      <c r="S358" s="6" t="str">
        <f>IFERROR(__xludf.DUMMYFUNCTION("""COMPUTED_VALUE""")," ")</f>
        <v> </v>
      </c>
      <c r="T358" s="6" t="str">
        <f>IFERROR(__xludf.DUMMYFUNCTION("""COMPUTED_VALUE"""),"")</f>
        <v/>
      </c>
      <c r="U358" s="6" t="str">
        <f>IFERROR(__xludf.DUMMYFUNCTION("""COMPUTED_VALUE"""),"8")</f>
        <v>8</v>
      </c>
      <c r="V358" s="6" t="str">
        <f>IFERROR(__xludf.DUMMYFUNCTION("""COMPUTED_VALUE"""),"")</f>
        <v/>
      </c>
      <c r="W358" s="6" t="str">
        <f>IFERROR(__xludf.DUMMYFUNCTION("""COMPUTED_VALUE"""),"[]")</f>
        <v>[]</v>
      </c>
      <c r="X358" s="6" t="str">
        <f>IFERROR(__xludf.DUMMYFUNCTION("""COMPUTED_VALUE"""),"Enrolled")</f>
        <v>Enrolled</v>
      </c>
    </row>
    <row r="359">
      <c r="A359" s="6" t="str">
        <f>IFERROR(__xludf.DUMMYFUNCTION("""COMPUTED_VALUE"""),"000-7459")</f>
        <v>000-7459</v>
      </c>
      <c r="B359" s="6" t="str">
        <f>IFERROR(__xludf.DUMMYFUNCTION("""COMPUTED_VALUE"""),"0")</f>
        <v>0</v>
      </c>
      <c r="C359" s="6" t="str">
        <f>IFERROR(__xludf.DUMMYFUNCTION("""COMPUTED_VALUE"""),"7459")</f>
        <v>7459</v>
      </c>
      <c r="D359" s="6" t="str">
        <f>IFERROR(__xludf.DUMMYFUNCTION("""COMPUTED_VALUE"""),"Jack")</f>
        <v>Jack</v>
      </c>
      <c r="E359" s="6" t="str">
        <f>IFERROR(__xludf.DUMMYFUNCTION("""COMPUTED_VALUE"""),"")</f>
        <v/>
      </c>
      <c r="F359" s="6" t="str">
        <f>IFERROR(__xludf.DUMMYFUNCTION("""COMPUTED_VALUE"""),"Mahoney")</f>
        <v>Mahoney</v>
      </c>
      <c r="G359" s="6" t="str">
        <f>IFERROR(__xludf.DUMMYFUNCTION("""COMPUTED_VALUE"""),"05/04/2015")</f>
        <v>05/04/2015</v>
      </c>
      <c r="H359" s="6" t="str">
        <f>IFERROR(__xludf.DUMMYFUNCTION("""COMPUTED_VALUE"""),"Self Identify")</f>
        <v>Self Identify</v>
      </c>
      <c r="I359" s="6" t="str">
        <f>IFERROR(__xludf.DUMMYFUNCTION("""COMPUTED_VALUE"""),"Level 2")</f>
        <v>Level 2</v>
      </c>
      <c r="J359" s="6" t="str">
        <f>IFERROR(__xludf.DUMMYFUNCTION("""COMPUTED_VALUE"""),"5")</f>
        <v>5</v>
      </c>
      <c r="K359" s="6" t="str">
        <f>IFERROR(__xludf.DUMMYFUNCTION("""COMPUTED_VALUE"""),"jack.mahoney@2hourlearning.com")</f>
        <v>jack.mahoney@2hourlearning.com</v>
      </c>
      <c r="L359" s="6" t="str">
        <f>IFERROR(__xludf.DUMMYFUNCTION("""COMPUTED_VALUE"""),"Alpha Anywhere (homeschool)")</f>
        <v>Alpha Anywhere (homeschool)</v>
      </c>
      <c r="M359" s="6" t="str">
        <f>IFERROR(__xludf.DUMMYFUNCTION("""COMPUTED_VALUE"""),"")</f>
        <v/>
      </c>
      <c r="N359" s="6" t="str">
        <f>IFERROR(__xludf.DUMMYFUNCTION("""COMPUTED_VALUE"""),"")</f>
        <v/>
      </c>
      <c r="O359" s="87" t="str">
        <f>IFERROR(__xludf.DUMMYFUNCTION("""COMPUTED_VALUE"""),"https://drive.google.com/drive/folders/10T2cTQHqEJZqE-st6uFKPoI?usp=share_link")</f>
        <v>https://drive.google.com/drive/folders/10T2cTQHqEJZqE-st6uFKPoI?usp=share_link</v>
      </c>
      <c r="P359" s="6" t="str">
        <f>IFERROR(__xludf.DUMMYFUNCTION("""COMPUTED_VALUE"""),"Jack Mahoney")</f>
        <v>Jack Mahoney</v>
      </c>
      <c r="Q359" s="6" t="str">
        <f>IFERROR(__xludf.DUMMYFUNCTION("""COMPUTED_VALUE"""),"L2")</f>
        <v>L2</v>
      </c>
      <c r="R359" s="6">
        <f>IFERROR(__xludf.DUMMYFUNCTION("""COMPUTED_VALUE"""),2.0)</f>
        <v>2</v>
      </c>
      <c r="S359" s="6" t="str">
        <f>IFERROR(__xludf.DUMMYFUNCTION("""COMPUTED_VALUE""")," ")</f>
        <v> </v>
      </c>
      <c r="T359" s="6" t="str">
        <f>IFERROR(__xludf.DUMMYFUNCTION("""COMPUTED_VALUE"""),"")</f>
        <v/>
      </c>
      <c r="U359" s="6" t="str">
        <f>IFERROR(__xludf.DUMMYFUNCTION("""COMPUTED_VALUE"""),"5")</f>
        <v>5</v>
      </c>
      <c r="V359" s="6" t="str">
        <f>IFERROR(__xludf.DUMMYFUNCTION("""COMPUTED_VALUE"""),"")</f>
        <v/>
      </c>
      <c r="W359" s="6" t="str">
        <f>IFERROR(__xludf.DUMMYFUNCTION("""COMPUTED_VALUE"""),"[]")</f>
        <v>[]</v>
      </c>
      <c r="X359" s="6" t="str">
        <f>IFERROR(__xludf.DUMMYFUNCTION("""COMPUTED_VALUE"""),"Enrolled")</f>
        <v>Enrolled</v>
      </c>
    </row>
    <row r="360">
      <c r="A360" s="6" t="str">
        <f>IFERROR(__xludf.DUMMYFUNCTION("""COMPUTED_VALUE"""),"000-7460")</f>
        <v>000-7460</v>
      </c>
      <c r="B360" s="6" t="str">
        <f>IFERROR(__xludf.DUMMYFUNCTION("""COMPUTED_VALUE"""),"0")</f>
        <v>0</v>
      </c>
      <c r="C360" s="6" t="str">
        <f>IFERROR(__xludf.DUMMYFUNCTION("""COMPUTED_VALUE"""),"7460")</f>
        <v>7460</v>
      </c>
      <c r="D360" s="6" t="str">
        <f>IFERROR(__xludf.DUMMYFUNCTION("""COMPUTED_VALUE"""),"Connor")</f>
        <v>Connor</v>
      </c>
      <c r="E360" s="6" t="str">
        <f>IFERROR(__xludf.DUMMYFUNCTION("""COMPUTED_VALUE"""),"")</f>
        <v/>
      </c>
      <c r="F360" s="6" t="str">
        <f>IFERROR(__xludf.DUMMYFUNCTION("""COMPUTED_VALUE"""),"Mahoney")</f>
        <v>Mahoney</v>
      </c>
      <c r="G360" s="6" t="str">
        <f>IFERROR(__xludf.DUMMYFUNCTION("""COMPUTED_VALUE"""),"03/29/2017")</f>
        <v>03/29/2017</v>
      </c>
      <c r="H360" s="6" t="str">
        <f>IFERROR(__xludf.DUMMYFUNCTION("""COMPUTED_VALUE"""),"Self Identify")</f>
        <v>Self Identify</v>
      </c>
      <c r="I360" s="6" t="str">
        <f>IFERROR(__xludf.DUMMYFUNCTION("""COMPUTED_VALUE"""),"Level 1")</f>
        <v>Level 1</v>
      </c>
      <c r="J360" s="6" t="str">
        <f>IFERROR(__xludf.DUMMYFUNCTION("""COMPUTED_VALUE"""),"3")</f>
        <v>3</v>
      </c>
      <c r="K360" s="6" t="str">
        <f>IFERROR(__xludf.DUMMYFUNCTION("""COMPUTED_VALUE"""),"connor.mahoney@2hourlearning.com")</f>
        <v>connor.mahoney@2hourlearning.com</v>
      </c>
      <c r="L360" s="6" t="str">
        <f>IFERROR(__xludf.DUMMYFUNCTION("""COMPUTED_VALUE"""),"Alpha Anywhere (homeschool)")</f>
        <v>Alpha Anywhere (homeschool)</v>
      </c>
      <c r="M360" s="6" t="str">
        <f>IFERROR(__xludf.DUMMYFUNCTION("""COMPUTED_VALUE"""),"")</f>
        <v/>
      </c>
      <c r="N360" s="6" t="str">
        <f>IFERROR(__xludf.DUMMYFUNCTION("""COMPUTED_VALUE"""),"")</f>
        <v/>
      </c>
      <c r="O360" s="87" t="str">
        <f>IFERROR(__xludf.DUMMYFUNCTION("""COMPUTED_VALUE"""),"https://drive.google.com/drive/folders/10T2cTQHqEJZqE-st6uFKPoI?usp=share_link")</f>
        <v>https://drive.google.com/drive/folders/10T2cTQHqEJZqE-st6uFKPoI?usp=share_link</v>
      </c>
      <c r="P360" s="6" t="str">
        <f>IFERROR(__xludf.DUMMYFUNCTION("""COMPUTED_VALUE"""),"Connor Mahoney")</f>
        <v>Connor Mahoney</v>
      </c>
      <c r="Q360" s="6" t="str">
        <f>IFERROR(__xludf.DUMMYFUNCTION("""COMPUTED_VALUE"""),"L1")</f>
        <v>L1</v>
      </c>
      <c r="R360" s="6">
        <f>IFERROR(__xludf.DUMMYFUNCTION("""COMPUTED_VALUE"""),1.0)</f>
        <v>1</v>
      </c>
      <c r="S360" s="6" t="str">
        <f>IFERROR(__xludf.DUMMYFUNCTION("""COMPUTED_VALUE""")," ")</f>
        <v> </v>
      </c>
      <c r="T360" s="6" t="str">
        <f>IFERROR(__xludf.DUMMYFUNCTION("""COMPUTED_VALUE"""),"")</f>
        <v/>
      </c>
      <c r="U360" s="6" t="str">
        <f>IFERROR(__xludf.DUMMYFUNCTION("""COMPUTED_VALUE"""),"3")</f>
        <v>3</v>
      </c>
      <c r="V360" s="6" t="str">
        <f>IFERROR(__xludf.DUMMYFUNCTION("""COMPUTED_VALUE"""),"")</f>
        <v/>
      </c>
      <c r="W360" s="6" t="str">
        <f>IFERROR(__xludf.DUMMYFUNCTION("""COMPUTED_VALUE"""),"[]")</f>
        <v>[]</v>
      </c>
      <c r="X360" s="6" t="str">
        <f>IFERROR(__xludf.DUMMYFUNCTION("""COMPUTED_VALUE"""),"Enrolled")</f>
        <v>Enrolled</v>
      </c>
    </row>
    <row r="361">
      <c r="A361" s="6" t="str">
        <f>IFERROR(__xludf.DUMMYFUNCTION("""COMPUTED_VALUE"""),"000-7462")</f>
        <v>000-7462</v>
      </c>
      <c r="B361" s="6" t="str">
        <f>IFERROR(__xludf.DUMMYFUNCTION("""COMPUTED_VALUE"""),"0")</f>
        <v>0</v>
      </c>
      <c r="C361" s="6" t="str">
        <f>IFERROR(__xludf.DUMMYFUNCTION("""COMPUTED_VALUE"""),"7462")</f>
        <v>7462</v>
      </c>
      <c r="D361" s="6" t="str">
        <f>IFERROR(__xludf.DUMMYFUNCTION("""COMPUTED_VALUE"""),"Shiva")</f>
        <v>Shiva</v>
      </c>
      <c r="E361" s="6" t="str">
        <f>IFERROR(__xludf.DUMMYFUNCTION("""COMPUTED_VALUE"""),"")</f>
        <v/>
      </c>
      <c r="F361" s="6" t="str">
        <f>IFERROR(__xludf.DUMMYFUNCTION("""COMPUTED_VALUE"""),"Malhotra")</f>
        <v>Malhotra</v>
      </c>
      <c r="G361" s="6" t="str">
        <f>IFERROR(__xludf.DUMMYFUNCTION("""COMPUTED_VALUE"""),"02/22/2013")</f>
        <v>02/22/2013</v>
      </c>
      <c r="H361" s="6" t="str">
        <f>IFERROR(__xludf.DUMMYFUNCTION("""COMPUTED_VALUE"""),"male")</f>
        <v>male</v>
      </c>
      <c r="I361" s="6" t="str">
        <f>IFERROR(__xludf.DUMMYFUNCTION("""COMPUTED_VALUE"""),"Middle School")</f>
        <v>Middle School</v>
      </c>
      <c r="J361" s="6" t="str">
        <f>IFERROR(__xludf.DUMMYFUNCTION("""COMPUTED_VALUE"""),"7")</f>
        <v>7</v>
      </c>
      <c r="K361" s="6" t="str">
        <f>IFERROR(__xludf.DUMMYFUNCTION("""COMPUTED_VALUE"""),"shiva.malhotra@2hourlearning.com")</f>
        <v>shiva.malhotra@2hourlearning.com</v>
      </c>
      <c r="L361" s="6" t="str">
        <f>IFERROR(__xludf.DUMMYFUNCTION("""COMPUTED_VALUE"""),"Alpha Anywhere (homeschool)")</f>
        <v>Alpha Anywhere (homeschool)</v>
      </c>
      <c r="M361" s="6" t="str">
        <f>IFERROR(__xludf.DUMMYFUNCTION("""COMPUTED_VALUE"""),"")</f>
        <v/>
      </c>
      <c r="N361" s="6" t="str">
        <f>IFERROR(__xludf.DUMMYFUNCTION("""COMPUTED_VALUE"""),"")</f>
        <v/>
      </c>
      <c r="O361" s="87" t="str">
        <f>IFERROR(__xludf.DUMMYFUNCTION("""COMPUTED_VALUE"""),"https://drive.google.com/drive/folders/10T2cTQHqEJZqE-st6uFKPoI?usp=share_link")</f>
        <v>https://drive.google.com/drive/folders/10T2cTQHqEJZqE-st6uFKPoI?usp=share_link</v>
      </c>
      <c r="P361" s="6" t="str">
        <f>IFERROR(__xludf.DUMMYFUNCTION("""COMPUTED_VALUE"""),"Shiva Malhotra")</f>
        <v>Shiva Malhotra</v>
      </c>
      <c r="Q361" s="6" t="str">
        <f>IFERROR(__xludf.DUMMYFUNCTION("""COMPUTED_VALUE"""),"MS")</f>
        <v>MS</v>
      </c>
      <c r="R361" s="6">
        <f>IFERROR(__xludf.DUMMYFUNCTION("""COMPUTED_VALUE"""),0.0)</f>
        <v>0</v>
      </c>
      <c r="S361" s="6" t="str">
        <f>IFERROR(__xludf.DUMMYFUNCTION("""COMPUTED_VALUE""")," ")</f>
        <v> </v>
      </c>
      <c r="T361" s="6" t="str">
        <f>IFERROR(__xludf.DUMMYFUNCTION("""COMPUTED_VALUE"""),"")</f>
        <v/>
      </c>
      <c r="U361" s="6" t="str">
        <f>IFERROR(__xludf.DUMMYFUNCTION("""COMPUTED_VALUE"""),"7")</f>
        <v>7</v>
      </c>
      <c r="V361" s="6" t="str">
        <f>IFERROR(__xludf.DUMMYFUNCTION("""COMPUTED_VALUE"""),"")</f>
        <v/>
      </c>
      <c r="W361" s="6" t="str">
        <f>IFERROR(__xludf.DUMMYFUNCTION("""COMPUTED_VALUE"""),"[]")</f>
        <v>[]</v>
      </c>
      <c r="X361" s="6" t="str">
        <f>IFERROR(__xludf.DUMMYFUNCTION("""COMPUTED_VALUE"""),"Enrolled")</f>
        <v>Enrolled</v>
      </c>
    </row>
    <row r="362">
      <c r="A362" s="6" t="str">
        <f>IFERROR(__xludf.DUMMYFUNCTION("""COMPUTED_VALUE"""),"000-7464")</f>
        <v>000-7464</v>
      </c>
      <c r="B362" s="6" t="str">
        <f>IFERROR(__xludf.DUMMYFUNCTION("""COMPUTED_VALUE"""),"0")</f>
        <v>0</v>
      </c>
      <c r="C362" s="6" t="str">
        <f>IFERROR(__xludf.DUMMYFUNCTION("""COMPUTED_VALUE"""),"7464")</f>
        <v>7464</v>
      </c>
      <c r="D362" s="6" t="str">
        <f>IFERROR(__xludf.DUMMYFUNCTION("""COMPUTED_VALUE"""),"Eden")</f>
        <v>Eden</v>
      </c>
      <c r="E362" s="6" t="str">
        <f>IFERROR(__xludf.DUMMYFUNCTION("""COMPUTED_VALUE"""),"")</f>
        <v/>
      </c>
      <c r="F362" s="6" t="str">
        <f>IFERROR(__xludf.DUMMYFUNCTION("""COMPUTED_VALUE"""),"Colangelo")</f>
        <v>Colangelo</v>
      </c>
      <c r="G362" s="6" t="str">
        <f>IFERROR(__xludf.DUMMYFUNCTION("""COMPUTED_VALUE"""),"10/25/2014")</f>
        <v>10/25/2014</v>
      </c>
      <c r="H362" s="6" t="str">
        <f>IFERROR(__xludf.DUMMYFUNCTION("""COMPUTED_VALUE"""),"female")</f>
        <v>female</v>
      </c>
      <c r="I362" s="6" t="str">
        <f>IFERROR(__xludf.DUMMYFUNCTION("""COMPUTED_VALUE"""),"Level 2")</f>
        <v>Level 2</v>
      </c>
      <c r="J362" s="6" t="str">
        <f>IFERROR(__xludf.DUMMYFUNCTION("""COMPUTED_VALUE"""),"5")</f>
        <v>5</v>
      </c>
      <c r="K362" s="6" t="str">
        <f>IFERROR(__xludf.DUMMYFUNCTION("""COMPUTED_VALUE"""),"eden.colangelo@2hourlearning.com")</f>
        <v>eden.colangelo@2hourlearning.com</v>
      </c>
      <c r="L362" s="6" t="str">
        <f>IFERROR(__xludf.DUMMYFUNCTION("""COMPUTED_VALUE"""),"Alpha Anywhere (homeschool)")</f>
        <v>Alpha Anywhere (homeschool)</v>
      </c>
      <c r="M362" s="6" t="str">
        <f>IFERROR(__xludf.DUMMYFUNCTION("""COMPUTED_VALUE"""),"")</f>
        <v/>
      </c>
      <c r="N362" s="6" t="str">
        <f>IFERROR(__xludf.DUMMYFUNCTION("""COMPUTED_VALUE"""),"")</f>
        <v/>
      </c>
      <c r="O362" s="87" t="str">
        <f>IFERROR(__xludf.DUMMYFUNCTION("""COMPUTED_VALUE"""),"https://drive.google.com/drive/folders/10T2cTQHqEJZqE-st6uFKPoI?usp=share_link")</f>
        <v>https://drive.google.com/drive/folders/10T2cTQHqEJZqE-st6uFKPoI?usp=share_link</v>
      </c>
      <c r="P362" s="6" t="str">
        <f>IFERROR(__xludf.DUMMYFUNCTION("""COMPUTED_VALUE"""),"Eden Colangelo")</f>
        <v>Eden Colangelo</v>
      </c>
      <c r="Q362" s="6" t="str">
        <f>IFERROR(__xludf.DUMMYFUNCTION("""COMPUTED_VALUE"""),"L2")</f>
        <v>L2</v>
      </c>
      <c r="R362" s="6">
        <f>IFERROR(__xludf.DUMMYFUNCTION("""COMPUTED_VALUE"""),2.0)</f>
        <v>2</v>
      </c>
      <c r="S362" s="6" t="str">
        <f>IFERROR(__xludf.DUMMYFUNCTION("""COMPUTED_VALUE""")," ")</f>
        <v> </v>
      </c>
      <c r="T362" s="6" t="str">
        <f>IFERROR(__xludf.DUMMYFUNCTION("""COMPUTED_VALUE"""),"")</f>
        <v/>
      </c>
      <c r="U362" s="6" t="str">
        <f>IFERROR(__xludf.DUMMYFUNCTION("""COMPUTED_VALUE"""),"5")</f>
        <v>5</v>
      </c>
      <c r="V362" s="6" t="str">
        <f>IFERROR(__xludf.DUMMYFUNCTION("""COMPUTED_VALUE"""),"")</f>
        <v/>
      </c>
      <c r="W362" s="6" t="str">
        <f>IFERROR(__xludf.DUMMYFUNCTION("""COMPUTED_VALUE"""),"[]")</f>
        <v>[]</v>
      </c>
      <c r="X362" s="6" t="str">
        <f>IFERROR(__xludf.DUMMYFUNCTION("""COMPUTED_VALUE"""),"Enrolled")</f>
        <v>Enrolled</v>
      </c>
    </row>
    <row r="363">
      <c r="A363" s="6" t="str">
        <f>IFERROR(__xludf.DUMMYFUNCTION("""COMPUTED_VALUE"""),"000-7489")</f>
        <v>000-7489</v>
      </c>
      <c r="B363" s="6" t="str">
        <f>IFERROR(__xludf.DUMMYFUNCTION("""COMPUTED_VALUE"""),"0")</f>
        <v>0</v>
      </c>
      <c r="C363" s="6" t="str">
        <f>IFERROR(__xludf.DUMMYFUNCTION("""COMPUTED_VALUE"""),"7489")</f>
        <v>7489</v>
      </c>
      <c r="D363" s="6" t="str">
        <f>IFERROR(__xludf.DUMMYFUNCTION("""COMPUTED_VALUE"""),"Nathaniel")</f>
        <v>Nathaniel</v>
      </c>
      <c r="E363" s="6" t="str">
        <f>IFERROR(__xludf.DUMMYFUNCTION("""COMPUTED_VALUE"""),"Nathan")</f>
        <v>Nathan</v>
      </c>
      <c r="F363" s="6" t="str">
        <f>IFERROR(__xludf.DUMMYFUNCTION("""COMPUTED_VALUE"""),"Wirt")</f>
        <v>Wirt</v>
      </c>
      <c r="G363" s="6" t="str">
        <f>IFERROR(__xludf.DUMMYFUNCTION("""COMPUTED_VALUE"""),"04/25/2012")</f>
        <v>04/25/2012</v>
      </c>
      <c r="H363" s="6" t="str">
        <f>IFERROR(__xludf.DUMMYFUNCTION("""COMPUTED_VALUE"""),"male")</f>
        <v>male</v>
      </c>
      <c r="I363" s="6" t="str">
        <f>IFERROR(__xludf.DUMMYFUNCTION("""COMPUTED_VALUE"""),"Middle School")</f>
        <v>Middle School</v>
      </c>
      <c r="J363" s="6" t="str">
        <f>IFERROR(__xludf.DUMMYFUNCTION("""COMPUTED_VALUE"""),"8")</f>
        <v>8</v>
      </c>
      <c r="K363" s="6" t="str">
        <f>IFERROR(__xludf.DUMMYFUNCTION("""COMPUTED_VALUE"""),"nathan.wirt@2hourlearning.com")</f>
        <v>nathan.wirt@2hourlearning.com</v>
      </c>
      <c r="L363" s="6" t="str">
        <f>IFERROR(__xludf.DUMMYFUNCTION("""COMPUTED_VALUE"""),"Alpha Anywhere (homeschool)")</f>
        <v>Alpha Anywhere (homeschool)</v>
      </c>
      <c r="M363" s="6" t="str">
        <f>IFERROR(__xludf.DUMMYFUNCTION("""COMPUTED_VALUE"""),"")</f>
        <v/>
      </c>
      <c r="N363" s="6" t="str">
        <f>IFERROR(__xludf.DUMMYFUNCTION("""COMPUTED_VALUE"""),"")</f>
        <v/>
      </c>
      <c r="O363" s="87" t="str">
        <f>IFERROR(__xludf.DUMMYFUNCTION("""COMPUTED_VALUE"""),"https://drive.google.com/drive/folders/10T2cTQHqEJZqE-st6uFKPoI?usp=share_link")</f>
        <v>https://drive.google.com/drive/folders/10T2cTQHqEJZqE-st6uFKPoI?usp=share_link</v>
      </c>
      <c r="P363" s="6" t="str">
        <f>IFERROR(__xludf.DUMMYFUNCTION("""COMPUTED_VALUE"""),"Nathan Wirt")</f>
        <v>Nathan Wirt</v>
      </c>
      <c r="Q363" s="6" t="str">
        <f>IFERROR(__xludf.DUMMYFUNCTION("""COMPUTED_VALUE"""),"MS")</f>
        <v>MS</v>
      </c>
      <c r="R363" s="6">
        <f>IFERROR(__xludf.DUMMYFUNCTION("""COMPUTED_VALUE"""),0.0)</f>
        <v>0</v>
      </c>
      <c r="S363" s="6" t="str">
        <f>IFERROR(__xludf.DUMMYFUNCTION("""COMPUTED_VALUE""")," ")</f>
        <v> </v>
      </c>
      <c r="T363" s="6" t="str">
        <f>IFERROR(__xludf.DUMMYFUNCTION("""COMPUTED_VALUE"""),"")</f>
        <v/>
      </c>
      <c r="U363" s="6" t="str">
        <f>IFERROR(__xludf.DUMMYFUNCTION("""COMPUTED_VALUE"""),"8")</f>
        <v>8</v>
      </c>
      <c r="V363" s="6" t="str">
        <f>IFERROR(__xludf.DUMMYFUNCTION("""COMPUTED_VALUE"""),"")</f>
        <v/>
      </c>
      <c r="W363" s="6" t="str">
        <f>IFERROR(__xludf.DUMMYFUNCTION("""COMPUTED_VALUE"""),"[]")</f>
        <v>[]</v>
      </c>
      <c r="X363" s="6" t="str">
        <f>IFERROR(__xludf.DUMMYFUNCTION("""COMPUTED_VALUE"""),"Enrolled")</f>
        <v>Enrolled</v>
      </c>
    </row>
    <row r="364">
      <c r="A364" s="6" t="str">
        <f>IFERROR(__xludf.DUMMYFUNCTION("""COMPUTED_VALUE"""),"000-7490")</f>
        <v>000-7490</v>
      </c>
      <c r="B364" s="6" t="str">
        <f>IFERROR(__xludf.DUMMYFUNCTION("""COMPUTED_VALUE"""),"0")</f>
        <v>0</v>
      </c>
      <c r="C364" s="6" t="str">
        <f>IFERROR(__xludf.DUMMYFUNCTION("""COMPUTED_VALUE"""),"7490")</f>
        <v>7490</v>
      </c>
      <c r="D364" s="6" t="str">
        <f>IFERROR(__xludf.DUMMYFUNCTION("""COMPUTED_VALUE"""),"Alexander")</f>
        <v>Alexander</v>
      </c>
      <c r="E364" s="6" t="str">
        <f>IFERROR(__xludf.DUMMYFUNCTION("""COMPUTED_VALUE"""),"Alex")</f>
        <v>Alex</v>
      </c>
      <c r="F364" s="6" t="str">
        <f>IFERROR(__xludf.DUMMYFUNCTION("""COMPUTED_VALUE"""),"Wirt")</f>
        <v>Wirt</v>
      </c>
      <c r="G364" s="6" t="str">
        <f>IFERROR(__xludf.DUMMYFUNCTION("""COMPUTED_VALUE"""),"12/03/2013")</f>
        <v>12/03/2013</v>
      </c>
      <c r="H364" s="6" t="str">
        <f>IFERROR(__xludf.DUMMYFUNCTION("""COMPUTED_VALUE"""),"male")</f>
        <v>male</v>
      </c>
      <c r="I364" s="6" t="str">
        <f>IFERROR(__xludf.DUMMYFUNCTION("""COMPUTED_VALUE"""),"Middle School")</f>
        <v>Middle School</v>
      </c>
      <c r="J364" s="6" t="str">
        <f>IFERROR(__xludf.DUMMYFUNCTION("""COMPUTED_VALUE"""),"6")</f>
        <v>6</v>
      </c>
      <c r="K364" s="6" t="str">
        <f>IFERROR(__xludf.DUMMYFUNCTION("""COMPUTED_VALUE"""),"alex.wirt@2hourlearning.com")</f>
        <v>alex.wirt@2hourlearning.com</v>
      </c>
      <c r="L364" s="6" t="str">
        <f>IFERROR(__xludf.DUMMYFUNCTION("""COMPUTED_VALUE"""),"Alpha Anywhere (homeschool)")</f>
        <v>Alpha Anywhere (homeschool)</v>
      </c>
      <c r="M364" s="6" t="str">
        <f>IFERROR(__xludf.DUMMYFUNCTION("""COMPUTED_VALUE"""),"")</f>
        <v/>
      </c>
      <c r="N364" s="6" t="str">
        <f>IFERROR(__xludf.DUMMYFUNCTION("""COMPUTED_VALUE"""),"")</f>
        <v/>
      </c>
      <c r="O364" s="87" t="str">
        <f>IFERROR(__xludf.DUMMYFUNCTION("""COMPUTED_VALUE"""),"https://drive.google.com/drive/folders/10T2cTQHqEJZqE-st6uFKPoI?usp=share_link")</f>
        <v>https://drive.google.com/drive/folders/10T2cTQHqEJZqE-st6uFKPoI?usp=share_link</v>
      </c>
      <c r="P364" s="6" t="str">
        <f>IFERROR(__xludf.DUMMYFUNCTION("""COMPUTED_VALUE"""),"Alex Wirt")</f>
        <v>Alex Wirt</v>
      </c>
      <c r="Q364" s="6" t="str">
        <f>IFERROR(__xludf.DUMMYFUNCTION("""COMPUTED_VALUE"""),"MS")</f>
        <v>MS</v>
      </c>
      <c r="R364" s="6">
        <f>IFERROR(__xludf.DUMMYFUNCTION("""COMPUTED_VALUE"""),0.0)</f>
        <v>0</v>
      </c>
      <c r="S364" s="6" t="str">
        <f>IFERROR(__xludf.DUMMYFUNCTION("""COMPUTED_VALUE""")," ")</f>
        <v> </v>
      </c>
      <c r="T364" s="6" t="str">
        <f>IFERROR(__xludf.DUMMYFUNCTION("""COMPUTED_VALUE"""),"")</f>
        <v/>
      </c>
      <c r="U364" s="6" t="str">
        <f>IFERROR(__xludf.DUMMYFUNCTION("""COMPUTED_VALUE"""),"6")</f>
        <v>6</v>
      </c>
      <c r="V364" s="6" t="str">
        <f>IFERROR(__xludf.DUMMYFUNCTION("""COMPUTED_VALUE"""),"")</f>
        <v/>
      </c>
      <c r="W364" s="6" t="str">
        <f>IFERROR(__xludf.DUMMYFUNCTION("""COMPUTED_VALUE"""),"[]")</f>
        <v>[]</v>
      </c>
      <c r="X364" s="6" t="str">
        <f>IFERROR(__xludf.DUMMYFUNCTION("""COMPUTED_VALUE"""),"Enrolled")</f>
        <v>Enrolled</v>
      </c>
    </row>
    <row r="365">
      <c r="A365" s="6" t="str">
        <f>IFERROR(__xludf.DUMMYFUNCTION("""COMPUTED_VALUE"""),"000-7491")</f>
        <v>000-7491</v>
      </c>
      <c r="B365" s="6" t="str">
        <f>IFERROR(__xludf.DUMMYFUNCTION("""COMPUTED_VALUE"""),"0")</f>
        <v>0</v>
      </c>
      <c r="C365" s="6" t="str">
        <f>IFERROR(__xludf.DUMMYFUNCTION("""COMPUTED_VALUE"""),"7491")</f>
        <v>7491</v>
      </c>
      <c r="D365" s="6" t="str">
        <f>IFERROR(__xludf.DUMMYFUNCTION("""COMPUTED_VALUE"""),"Caroline")</f>
        <v>Caroline</v>
      </c>
      <c r="E365" s="6" t="str">
        <f>IFERROR(__xludf.DUMMYFUNCTION("""COMPUTED_VALUE"""),"Caroline")</f>
        <v>Caroline</v>
      </c>
      <c r="F365" s="6" t="str">
        <f>IFERROR(__xludf.DUMMYFUNCTION("""COMPUTED_VALUE"""),"Wirt")</f>
        <v>Wirt</v>
      </c>
      <c r="G365" s="6" t="str">
        <f>IFERROR(__xludf.DUMMYFUNCTION("""COMPUTED_VALUE"""),"01/31/2016")</f>
        <v>01/31/2016</v>
      </c>
      <c r="H365" s="6" t="str">
        <f>IFERROR(__xludf.DUMMYFUNCTION("""COMPUTED_VALUE"""),"female")</f>
        <v>female</v>
      </c>
      <c r="I365" s="6" t="str">
        <f>IFERROR(__xludf.DUMMYFUNCTION("""COMPUTED_VALUE"""),"Level 2")</f>
        <v>Level 2</v>
      </c>
      <c r="J365" s="6" t="str">
        <f>IFERROR(__xludf.DUMMYFUNCTION("""COMPUTED_VALUE"""),"4")</f>
        <v>4</v>
      </c>
      <c r="K365" s="6" t="str">
        <f>IFERROR(__xludf.DUMMYFUNCTION("""COMPUTED_VALUE"""),"caroline.wirt@2hourlearning.com")</f>
        <v>caroline.wirt@2hourlearning.com</v>
      </c>
      <c r="L365" s="6" t="str">
        <f>IFERROR(__xludf.DUMMYFUNCTION("""COMPUTED_VALUE"""),"Alpha Anywhere (homeschool)")</f>
        <v>Alpha Anywhere (homeschool)</v>
      </c>
      <c r="M365" s="6" t="str">
        <f>IFERROR(__xludf.DUMMYFUNCTION("""COMPUTED_VALUE"""),"")</f>
        <v/>
      </c>
      <c r="N365" s="6" t="str">
        <f>IFERROR(__xludf.DUMMYFUNCTION("""COMPUTED_VALUE"""),"")</f>
        <v/>
      </c>
      <c r="O365" s="87" t="str">
        <f>IFERROR(__xludf.DUMMYFUNCTION("""COMPUTED_VALUE"""),"https://drive.google.com/drive/folders/10T2cTQHqEJZqE-st6uFKPoI?usp=share_link")</f>
        <v>https://drive.google.com/drive/folders/10T2cTQHqEJZqE-st6uFKPoI?usp=share_link</v>
      </c>
      <c r="P365" s="6" t="str">
        <f>IFERROR(__xludf.DUMMYFUNCTION("""COMPUTED_VALUE"""),"Caroline Wirt")</f>
        <v>Caroline Wirt</v>
      </c>
      <c r="Q365" s="6" t="str">
        <f>IFERROR(__xludf.DUMMYFUNCTION("""COMPUTED_VALUE"""),"L2")</f>
        <v>L2</v>
      </c>
      <c r="R365" s="6">
        <f>IFERROR(__xludf.DUMMYFUNCTION("""COMPUTED_VALUE"""),2.0)</f>
        <v>2</v>
      </c>
      <c r="S365" s="6" t="str">
        <f>IFERROR(__xludf.DUMMYFUNCTION("""COMPUTED_VALUE""")," ")</f>
        <v> </v>
      </c>
      <c r="T365" s="6" t="str">
        <f>IFERROR(__xludf.DUMMYFUNCTION("""COMPUTED_VALUE"""),"")</f>
        <v/>
      </c>
      <c r="U365" s="6" t="str">
        <f>IFERROR(__xludf.DUMMYFUNCTION("""COMPUTED_VALUE"""),"4")</f>
        <v>4</v>
      </c>
      <c r="V365" s="6" t="str">
        <f>IFERROR(__xludf.DUMMYFUNCTION("""COMPUTED_VALUE"""),"")</f>
        <v/>
      </c>
      <c r="W365" s="6" t="str">
        <f>IFERROR(__xludf.DUMMYFUNCTION("""COMPUTED_VALUE"""),"[]")</f>
        <v>[]</v>
      </c>
      <c r="X365" s="6" t="str">
        <f>IFERROR(__xludf.DUMMYFUNCTION("""COMPUTED_VALUE"""),"Enrolled")</f>
        <v>Enrolled</v>
      </c>
    </row>
    <row r="366">
      <c r="A366" s="6" t="str">
        <f>IFERROR(__xludf.DUMMYFUNCTION("""COMPUTED_VALUE"""),"000-7492")</f>
        <v>000-7492</v>
      </c>
      <c r="B366" s="6" t="str">
        <f>IFERROR(__xludf.DUMMYFUNCTION("""COMPUTED_VALUE"""),"0")</f>
        <v>0</v>
      </c>
      <c r="C366" s="6" t="str">
        <f>IFERROR(__xludf.DUMMYFUNCTION("""COMPUTED_VALUE"""),"7492")</f>
        <v>7492</v>
      </c>
      <c r="D366" s="6" t="str">
        <f>IFERROR(__xludf.DUMMYFUNCTION("""COMPUTED_VALUE"""),"Vincent")</f>
        <v>Vincent</v>
      </c>
      <c r="E366" s="6" t="str">
        <f>IFERROR(__xludf.DUMMYFUNCTION("""COMPUTED_VALUE"""),"Vincent")</f>
        <v>Vincent</v>
      </c>
      <c r="F366" s="6" t="str">
        <f>IFERROR(__xludf.DUMMYFUNCTION("""COMPUTED_VALUE"""),"Lenning")</f>
        <v>Lenning</v>
      </c>
      <c r="G366" s="6" t="str">
        <f>IFERROR(__xludf.DUMMYFUNCTION("""COMPUTED_VALUE"""),"05/11/2016")</f>
        <v>05/11/2016</v>
      </c>
      <c r="H366" s="6" t="str">
        <f>IFERROR(__xludf.DUMMYFUNCTION("""COMPUTED_VALUE"""),"male")</f>
        <v>male</v>
      </c>
      <c r="I366" s="6" t="str">
        <f>IFERROR(__xludf.DUMMYFUNCTION("""COMPUTED_VALUE"""),"Level 1")</f>
        <v>Level 1</v>
      </c>
      <c r="J366" s="6" t="str">
        <f>IFERROR(__xludf.DUMMYFUNCTION("""COMPUTED_VALUE"""),"3")</f>
        <v>3</v>
      </c>
      <c r="K366" s="6" t="str">
        <f>IFERROR(__xludf.DUMMYFUNCTION("""COMPUTED_VALUE"""),"vincent.lenning@2hourlearning.com")</f>
        <v>vincent.lenning@2hourlearning.com</v>
      </c>
      <c r="L366" s="6" t="str">
        <f>IFERROR(__xludf.DUMMYFUNCTION("""COMPUTED_VALUE"""),"Alpha Anywhere (homeschool)")</f>
        <v>Alpha Anywhere (homeschool)</v>
      </c>
      <c r="M366" s="6" t="str">
        <f>IFERROR(__xludf.DUMMYFUNCTION("""COMPUTED_VALUE"""),"")</f>
        <v/>
      </c>
      <c r="N366" s="6" t="str">
        <f>IFERROR(__xludf.DUMMYFUNCTION("""COMPUTED_VALUE"""),"")</f>
        <v/>
      </c>
      <c r="O366" s="87" t="str">
        <f>IFERROR(__xludf.DUMMYFUNCTION("""COMPUTED_VALUE"""),"https://drive.google.com/drive/folders/10T2cTQHqEJZqE-st6uFKPoI?usp=share_link")</f>
        <v>https://drive.google.com/drive/folders/10T2cTQHqEJZqE-st6uFKPoI?usp=share_link</v>
      </c>
      <c r="P366" s="6" t="str">
        <f>IFERROR(__xludf.DUMMYFUNCTION("""COMPUTED_VALUE"""),"Vincent Lenning")</f>
        <v>Vincent Lenning</v>
      </c>
      <c r="Q366" s="6" t="str">
        <f>IFERROR(__xludf.DUMMYFUNCTION("""COMPUTED_VALUE"""),"L1")</f>
        <v>L1</v>
      </c>
      <c r="R366" s="6">
        <f>IFERROR(__xludf.DUMMYFUNCTION("""COMPUTED_VALUE"""),1.0)</f>
        <v>1</v>
      </c>
      <c r="S366" s="6" t="str">
        <f>IFERROR(__xludf.DUMMYFUNCTION("""COMPUTED_VALUE""")," ")</f>
        <v> </v>
      </c>
      <c r="T366" s="6" t="str">
        <f>IFERROR(__xludf.DUMMYFUNCTION("""COMPUTED_VALUE"""),"")</f>
        <v/>
      </c>
      <c r="U366" s="6" t="str">
        <f>IFERROR(__xludf.DUMMYFUNCTION("""COMPUTED_VALUE"""),"3")</f>
        <v>3</v>
      </c>
      <c r="V366" s="6" t="str">
        <f>IFERROR(__xludf.DUMMYFUNCTION("""COMPUTED_VALUE"""),"")</f>
        <v/>
      </c>
      <c r="W366" s="6" t="str">
        <f>IFERROR(__xludf.DUMMYFUNCTION("""COMPUTED_VALUE"""),"[]")</f>
        <v>[]</v>
      </c>
      <c r="X366" s="6" t="str">
        <f>IFERROR(__xludf.DUMMYFUNCTION("""COMPUTED_VALUE"""),"Enrolled")</f>
        <v>Enrolled</v>
      </c>
    </row>
    <row r="367">
      <c r="A367" s="6" t="str">
        <f>IFERROR(__xludf.DUMMYFUNCTION("""COMPUTED_VALUE"""),"000-7502")</f>
        <v>000-7502</v>
      </c>
      <c r="B367" s="6" t="str">
        <f>IFERROR(__xludf.DUMMYFUNCTION("""COMPUTED_VALUE"""),"0")</f>
        <v>0</v>
      </c>
      <c r="C367" s="6" t="str">
        <f>IFERROR(__xludf.DUMMYFUNCTION("""COMPUTED_VALUE"""),"7502")</f>
        <v>7502</v>
      </c>
      <c r="D367" s="6" t="str">
        <f>IFERROR(__xludf.DUMMYFUNCTION("""COMPUTED_VALUE"""),"Henry")</f>
        <v>Henry</v>
      </c>
      <c r="E367" s="6" t="str">
        <f>IFERROR(__xludf.DUMMYFUNCTION("""COMPUTED_VALUE"""),"Hank")</f>
        <v>Hank</v>
      </c>
      <c r="F367" s="6" t="str">
        <f>IFERROR(__xludf.DUMMYFUNCTION("""COMPUTED_VALUE"""),"Hayhurst")</f>
        <v>Hayhurst</v>
      </c>
      <c r="G367" s="6" t="str">
        <f>IFERROR(__xludf.DUMMYFUNCTION("""COMPUTED_VALUE"""),"01/03/2014")</f>
        <v>01/03/2014</v>
      </c>
      <c r="H367" s="6" t="str">
        <f>IFERROR(__xludf.DUMMYFUNCTION("""COMPUTED_VALUE"""),"male")</f>
        <v>male</v>
      </c>
      <c r="I367" s="6" t="str">
        <f>IFERROR(__xludf.DUMMYFUNCTION("""COMPUTED_VALUE"""),"Middle School")</f>
        <v>Middle School</v>
      </c>
      <c r="J367" s="6" t="str">
        <f>IFERROR(__xludf.DUMMYFUNCTION("""COMPUTED_VALUE"""),"6")</f>
        <v>6</v>
      </c>
      <c r="K367" s="6" t="str">
        <f>IFERROR(__xludf.DUMMYFUNCTION("""COMPUTED_VALUE"""),"hank.hayhurst@2hourlearning.com")</f>
        <v>hank.hayhurst@2hourlearning.com</v>
      </c>
      <c r="L367" s="6" t="str">
        <f>IFERROR(__xludf.DUMMYFUNCTION("""COMPUTED_VALUE"""),"Alpha Anywhere (homeschool)")</f>
        <v>Alpha Anywhere (homeschool)</v>
      </c>
      <c r="M367" s="6" t="str">
        <f>IFERROR(__xludf.DUMMYFUNCTION("""COMPUTED_VALUE"""),"")</f>
        <v/>
      </c>
      <c r="N367" s="6" t="str">
        <f>IFERROR(__xludf.DUMMYFUNCTION("""COMPUTED_VALUE"""),"")</f>
        <v/>
      </c>
      <c r="O367" s="87" t="str">
        <f>IFERROR(__xludf.DUMMYFUNCTION("""COMPUTED_VALUE"""),"https://drive.google.com/drive/folders/10T2cTQHqEJZqE-st6uFKPoI?usp=share_link")</f>
        <v>https://drive.google.com/drive/folders/10T2cTQHqEJZqE-st6uFKPoI?usp=share_link</v>
      </c>
      <c r="P367" s="6" t="str">
        <f>IFERROR(__xludf.DUMMYFUNCTION("""COMPUTED_VALUE"""),"Hank Hayhurst")</f>
        <v>Hank Hayhurst</v>
      </c>
      <c r="Q367" s="6" t="str">
        <f>IFERROR(__xludf.DUMMYFUNCTION("""COMPUTED_VALUE"""),"MS")</f>
        <v>MS</v>
      </c>
      <c r="R367" s="6">
        <f>IFERROR(__xludf.DUMMYFUNCTION("""COMPUTED_VALUE"""),0.0)</f>
        <v>0</v>
      </c>
      <c r="S367" s="6" t="str">
        <f>IFERROR(__xludf.DUMMYFUNCTION("""COMPUTED_VALUE""")," ")</f>
        <v> </v>
      </c>
      <c r="T367" s="6" t="str">
        <f>IFERROR(__xludf.DUMMYFUNCTION("""COMPUTED_VALUE"""),"")</f>
        <v/>
      </c>
      <c r="U367" s="6" t="str">
        <f>IFERROR(__xludf.DUMMYFUNCTION("""COMPUTED_VALUE"""),"6")</f>
        <v>6</v>
      </c>
      <c r="V367" s="6" t="str">
        <f>IFERROR(__xludf.DUMMYFUNCTION("""COMPUTED_VALUE"""),"")</f>
        <v/>
      </c>
      <c r="W367" s="6" t="str">
        <f>IFERROR(__xludf.DUMMYFUNCTION("""COMPUTED_VALUE"""),"[]")</f>
        <v>[]</v>
      </c>
      <c r="X367" s="6" t="str">
        <f>IFERROR(__xludf.DUMMYFUNCTION("""COMPUTED_VALUE"""),"Enrolled")</f>
        <v>Enrolled</v>
      </c>
    </row>
    <row r="368">
      <c r="A368" s="6" t="str">
        <f>IFERROR(__xludf.DUMMYFUNCTION("""COMPUTED_VALUE"""),"000-7503")</f>
        <v>000-7503</v>
      </c>
      <c r="B368" s="6" t="str">
        <f>IFERROR(__xludf.DUMMYFUNCTION("""COMPUTED_VALUE"""),"0")</f>
        <v>0</v>
      </c>
      <c r="C368" s="6" t="str">
        <f>IFERROR(__xludf.DUMMYFUNCTION("""COMPUTED_VALUE"""),"7503")</f>
        <v>7503</v>
      </c>
      <c r="D368" s="6" t="str">
        <f>IFERROR(__xludf.DUMMYFUNCTION("""COMPUTED_VALUE"""),"Harvey")</f>
        <v>Harvey</v>
      </c>
      <c r="E368" s="6" t="str">
        <f>IFERROR(__xludf.DUMMYFUNCTION("""COMPUTED_VALUE"""),"Harvey")</f>
        <v>Harvey</v>
      </c>
      <c r="F368" s="6" t="str">
        <f>IFERROR(__xludf.DUMMYFUNCTION("""COMPUTED_VALUE"""),"Hayhurst")</f>
        <v>Hayhurst</v>
      </c>
      <c r="G368" s="6" t="str">
        <f>IFERROR(__xludf.DUMMYFUNCTION("""COMPUTED_VALUE"""),"09/29/2016")</f>
        <v>09/29/2016</v>
      </c>
      <c r="H368" s="6" t="str">
        <f>IFERROR(__xludf.DUMMYFUNCTION("""COMPUTED_VALUE"""),"male")</f>
        <v>male</v>
      </c>
      <c r="I368" s="6" t="str">
        <f>IFERROR(__xludf.DUMMYFUNCTION("""COMPUTED_VALUE"""),"Level 1")</f>
        <v>Level 1</v>
      </c>
      <c r="J368" s="6" t="str">
        <f>IFERROR(__xludf.DUMMYFUNCTION("""COMPUTED_VALUE"""),"3")</f>
        <v>3</v>
      </c>
      <c r="K368" s="6" t="str">
        <f>IFERROR(__xludf.DUMMYFUNCTION("""COMPUTED_VALUE"""),"harvey.hayhurst@2hourlearning.com")</f>
        <v>harvey.hayhurst@2hourlearning.com</v>
      </c>
      <c r="L368" s="6" t="str">
        <f>IFERROR(__xludf.DUMMYFUNCTION("""COMPUTED_VALUE"""),"Alpha Anywhere (homeschool)")</f>
        <v>Alpha Anywhere (homeschool)</v>
      </c>
      <c r="M368" s="6" t="str">
        <f>IFERROR(__xludf.DUMMYFUNCTION("""COMPUTED_VALUE"""),"")</f>
        <v/>
      </c>
      <c r="N368" s="6" t="str">
        <f>IFERROR(__xludf.DUMMYFUNCTION("""COMPUTED_VALUE"""),"")</f>
        <v/>
      </c>
      <c r="O368" s="87" t="str">
        <f>IFERROR(__xludf.DUMMYFUNCTION("""COMPUTED_VALUE"""),"https://drive.google.com/drive/folders/10T2cTQHqEJZqE-st6uFKPoI?usp=share_link")</f>
        <v>https://drive.google.com/drive/folders/10T2cTQHqEJZqE-st6uFKPoI?usp=share_link</v>
      </c>
      <c r="P368" s="6" t="str">
        <f>IFERROR(__xludf.DUMMYFUNCTION("""COMPUTED_VALUE"""),"Harvey Hayhurst")</f>
        <v>Harvey Hayhurst</v>
      </c>
      <c r="Q368" s="6" t="str">
        <f>IFERROR(__xludf.DUMMYFUNCTION("""COMPUTED_VALUE"""),"L1")</f>
        <v>L1</v>
      </c>
      <c r="R368" s="6">
        <f>IFERROR(__xludf.DUMMYFUNCTION("""COMPUTED_VALUE"""),1.0)</f>
        <v>1</v>
      </c>
      <c r="S368" s="6" t="str">
        <f>IFERROR(__xludf.DUMMYFUNCTION("""COMPUTED_VALUE""")," ")</f>
        <v> </v>
      </c>
      <c r="T368" s="6" t="str">
        <f>IFERROR(__xludf.DUMMYFUNCTION("""COMPUTED_VALUE"""),"")</f>
        <v/>
      </c>
      <c r="U368" s="6" t="str">
        <f>IFERROR(__xludf.DUMMYFUNCTION("""COMPUTED_VALUE"""),"3")</f>
        <v>3</v>
      </c>
      <c r="V368" s="6" t="str">
        <f>IFERROR(__xludf.DUMMYFUNCTION("""COMPUTED_VALUE"""),"")</f>
        <v/>
      </c>
      <c r="W368" s="6" t="str">
        <f>IFERROR(__xludf.DUMMYFUNCTION("""COMPUTED_VALUE"""),"[]")</f>
        <v>[]</v>
      </c>
      <c r="X368" s="6" t="str">
        <f>IFERROR(__xludf.DUMMYFUNCTION("""COMPUTED_VALUE"""),"Enrolled")</f>
        <v>Enrolled</v>
      </c>
    </row>
    <row r="369">
      <c r="A369" s="6" t="str">
        <f>IFERROR(__xludf.DUMMYFUNCTION("""COMPUTED_VALUE"""),"000-7507")</f>
        <v>000-7507</v>
      </c>
      <c r="B369" s="6" t="str">
        <f>IFERROR(__xludf.DUMMYFUNCTION("""COMPUTED_VALUE"""),"0")</f>
        <v>0</v>
      </c>
      <c r="C369" s="6" t="str">
        <f>IFERROR(__xludf.DUMMYFUNCTION("""COMPUTED_VALUE"""),"7507")</f>
        <v>7507</v>
      </c>
      <c r="D369" s="6" t="str">
        <f>IFERROR(__xludf.DUMMYFUNCTION("""COMPUTED_VALUE"""),"Oden")</f>
        <v>Oden</v>
      </c>
      <c r="E369" s="6" t="str">
        <f>IFERROR(__xludf.DUMMYFUNCTION("""COMPUTED_VALUE"""),"")</f>
        <v/>
      </c>
      <c r="F369" s="6" t="str">
        <f>IFERROR(__xludf.DUMMYFUNCTION("""COMPUTED_VALUE"""),"Dvorak-Jonsson")</f>
        <v>Dvorak-Jonsson</v>
      </c>
      <c r="G369" s="6" t="str">
        <f>IFERROR(__xludf.DUMMYFUNCTION("""COMPUTED_VALUE"""),"07/29/2012")</f>
        <v>07/29/2012</v>
      </c>
      <c r="H369" s="6" t="str">
        <f>IFERROR(__xludf.DUMMYFUNCTION("""COMPUTED_VALUE"""),"male")</f>
        <v>male</v>
      </c>
      <c r="I369" s="6" t="str">
        <f>IFERROR(__xludf.DUMMYFUNCTION("""COMPUTED_VALUE"""),"Middle School")</f>
        <v>Middle School</v>
      </c>
      <c r="J369" s="6" t="str">
        <f>IFERROR(__xludf.DUMMYFUNCTION("""COMPUTED_VALUE"""),"7")</f>
        <v>7</v>
      </c>
      <c r="K369" s="6" t="str">
        <f>IFERROR(__xludf.DUMMYFUNCTION("""COMPUTED_VALUE"""),"oden.dvorak-jonsson@2hourlearning.com")</f>
        <v>oden.dvorak-jonsson@2hourlearning.com</v>
      </c>
      <c r="L369" s="6" t="str">
        <f>IFERROR(__xludf.DUMMYFUNCTION("""COMPUTED_VALUE"""),"Alpha Anywhere (homeschool)")</f>
        <v>Alpha Anywhere (homeschool)</v>
      </c>
      <c r="M369" s="6" t="str">
        <f>IFERROR(__xludf.DUMMYFUNCTION("""COMPUTED_VALUE"""),"")</f>
        <v/>
      </c>
      <c r="N369" s="6" t="str">
        <f>IFERROR(__xludf.DUMMYFUNCTION("""COMPUTED_VALUE"""),"")</f>
        <v/>
      </c>
      <c r="O369" s="87" t="str">
        <f>IFERROR(__xludf.DUMMYFUNCTION("""COMPUTED_VALUE"""),"https://drive.google.com/drive/folders/10T2cTQHqEJZqE-st6uFKPoI?usp=share_link")</f>
        <v>https://drive.google.com/drive/folders/10T2cTQHqEJZqE-st6uFKPoI?usp=share_link</v>
      </c>
      <c r="P369" s="6" t="str">
        <f>IFERROR(__xludf.DUMMYFUNCTION("""COMPUTED_VALUE"""),"Oden Dvorak-Jonsson")</f>
        <v>Oden Dvorak-Jonsson</v>
      </c>
      <c r="Q369" s="6" t="str">
        <f>IFERROR(__xludf.DUMMYFUNCTION("""COMPUTED_VALUE"""),"MS")</f>
        <v>MS</v>
      </c>
      <c r="R369" s="6">
        <f>IFERROR(__xludf.DUMMYFUNCTION("""COMPUTED_VALUE"""),0.0)</f>
        <v>0</v>
      </c>
      <c r="S369" s="6" t="str">
        <f>IFERROR(__xludf.DUMMYFUNCTION("""COMPUTED_VALUE""")," ")</f>
        <v> </v>
      </c>
      <c r="T369" s="6" t="str">
        <f>IFERROR(__xludf.DUMMYFUNCTION("""COMPUTED_VALUE"""),"")</f>
        <v/>
      </c>
      <c r="U369" s="6" t="str">
        <f>IFERROR(__xludf.DUMMYFUNCTION("""COMPUTED_VALUE"""),"7")</f>
        <v>7</v>
      </c>
      <c r="V369" s="6" t="str">
        <f>IFERROR(__xludf.DUMMYFUNCTION("""COMPUTED_VALUE"""),"")</f>
        <v/>
      </c>
      <c r="W369" s="6" t="str">
        <f>IFERROR(__xludf.DUMMYFUNCTION("""COMPUTED_VALUE"""),"[]")</f>
        <v>[]</v>
      </c>
      <c r="X369" s="6" t="str">
        <f>IFERROR(__xludf.DUMMYFUNCTION("""COMPUTED_VALUE"""),"Enrolled")</f>
        <v>Enrolled</v>
      </c>
    </row>
    <row r="370">
      <c r="A370" s="6" t="str">
        <f>IFERROR(__xludf.DUMMYFUNCTION("""COMPUTED_VALUE"""),"000-7512")</f>
        <v>000-7512</v>
      </c>
      <c r="B370" s="6" t="str">
        <f>IFERROR(__xludf.DUMMYFUNCTION("""COMPUTED_VALUE"""),"0")</f>
        <v>0</v>
      </c>
      <c r="C370" s="6" t="str">
        <f>IFERROR(__xludf.DUMMYFUNCTION("""COMPUTED_VALUE"""),"7512")</f>
        <v>7512</v>
      </c>
      <c r="D370" s="6" t="str">
        <f>IFERROR(__xludf.DUMMYFUNCTION("""COMPUTED_VALUE"""),"Jonathan")</f>
        <v>Jonathan</v>
      </c>
      <c r="E370" s="6" t="str">
        <f>IFERROR(__xludf.DUMMYFUNCTION("""COMPUTED_VALUE"""),"Jonathan")</f>
        <v>Jonathan</v>
      </c>
      <c r="F370" s="6" t="str">
        <f>IFERROR(__xludf.DUMMYFUNCTION("""COMPUTED_VALUE"""),"Tingey")</f>
        <v>Tingey</v>
      </c>
      <c r="G370" s="6" t="str">
        <f>IFERROR(__xludf.DUMMYFUNCTION("""COMPUTED_VALUE"""),"09/29/2014")</f>
        <v>09/29/2014</v>
      </c>
      <c r="H370" s="6" t="str">
        <f>IFERROR(__xludf.DUMMYFUNCTION("""COMPUTED_VALUE"""),"male")</f>
        <v>male</v>
      </c>
      <c r="I370" s="6" t="str">
        <f>IFERROR(__xludf.DUMMYFUNCTION("""COMPUTED_VALUE"""),"Level 2")</f>
        <v>Level 2</v>
      </c>
      <c r="J370" s="6" t="str">
        <f>IFERROR(__xludf.DUMMYFUNCTION("""COMPUTED_VALUE"""),"5")</f>
        <v>5</v>
      </c>
      <c r="K370" s="6" t="str">
        <f>IFERROR(__xludf.DUMMYFUNCTION("""COMPUTED_VALUE"""),"jonathan.tingey@2hourlearning.com")</f>
        <v>jonathan.tingey@2hourlearning.com</v>
      </c>
      <c r="L370" s="6" t="str">
        <f>IFERROR(__xludf.DUMMYFUNCTION("""COMPUTED_VALUE"""),"Alpha Anywhere (homeschool)")</f>
        <v>Alpha Anywhere (homeschool)</v>
      </c>
      <c r="M370" s="6" t="str">
        <f>IFERROR(__xludf.DUMMYFUNCTION("""COMPUTED_VALUE"""),"")</f>
        <v/>
      </c>
      <c r="N370" s="6" t="str">
        <f>IFERROR(__xludf.DUMMYFUNCTION("""COMPUTED_VALUE"""),"")</f>
        <v/>
      </c>
      <c r="O370" s="87" t="str">
        <f>IFERROR(__xludf.DUMMYFUNCTION("""COMPUTED_VALUE"""),"https://drive.google.com/drive/folders/10T2cTQHqEJZqE-st6uFKPoI?usp=share_link")</f>
        <v>https://drive.google.com/drive/folders/10T2cTQHqEJZqE-st6uFKPoI?usp=share_link</v>
      </c>
      <c r="P370" s="6" t="str">
        <f>IFERROR(__xludf.DUMMYFUNCTION("""COMPUTED_VALUE"""),"Jonathan Tingey")</f>
        <v>Jonathan Tingey</v>
      </c>
      <c r="Q370" s="6" t="str">
        <f>IFERROR(__xludf.DUMMYFUNCTION("""COMPUTED_VALUE"""),"L2")</f>
        <v>L2</v>
      </c>
      <c r="R370" s="6">
        <f>IFERROR(__xludf.DUMMYFUNCTION("""COMPUTED_VALUE"""),2.0)</f>
        <v>2</v>
      </c>
      <c r="S370" s="6" t="str">
        <f>IFERROR(__xludf.DUMMYFUNCTION("""COMPUTED_VALUE""")," ")</f>
        <v> </v>
      </c>
      <c r="T370" s="6" t="str">
        <f>IFERROR(__xludf.DUMMYFUNCTION("""COMPUTED_VALUE"""),"")</f>
        <v/>
      </c>
      <c r="U370" s="6" t="str">
        <f>IFERROR(__xludf.DUMMYFUNCTION("""COMPUTED_VALUE"""),"5")</f>
        <v>5</v>
      </c>
      <c r="V370" s="6" t="str">
        <f>IFERROR(__xludf.DUMMYFUNCTION("""COMPUTED_VALUE"""),"")</f>
        <v/>
      </c>
      <c r="W370" s="6" t="str">
        <f>IFERROR(__xludf.DUMMYFUNCTION("""COMPUTED_VALUE"""),"[]")</f>
        <v>[]</v>
      </c>
      <c r="X370" s="6" t="str">
        <f>IFERROR(__xludf.DUMMYFUNCTION("""COMPUTED_VALUE"""),"Enrolled")</f>
        <v>Enrolled</v>
      </c>
    </row>
    <row r="371">
      <c r="A371" s="6" t="str">
        <f>IFERROR(__xludf.DUMMYFUNCTION("""COMPUTED_VALUE"""),"000-7513")</f>
        <v>000-7513</v>
      </c>
      <c r="B371" s="6" t="str">
        <f>IFERROR(__xludf.DUMMYFUNCTION("""COMPUTED_VALUE"""),"0")</f>
        <v>0</v>
      </c>
      <c r="C371" s="6" t="str">
        <f>IFERROR(__xludf.DUMMYFUNCTION("""COMPUTED_VALUE"""),"7513")</f>
        <v>7513</v>
      </c>
      <c r="D371" s="6" t="str">
        <f>IFERROR(__xludf.DUMMYFUNCTION("""COMPUTED_VALUE"""),"William")</f>
        <v>William</v>
      </c>
      <c r="E371" s="6" t="str">
        <f>IFERROR(__xludf.DUMMYFUNCTION("""COMPUTED_VALUE"""),"")</f>
        <v/>
      </c>
      <c r="F371" s="6" t="str">
        <f>IFERROR(__xludf.DUMMYFUNCTION("""COMPUTED_VALUE"""),"Tingey")</f>
        <v>Tingey</v>
      </c>
      <c r="G371" s="6" t="str">
        <f>IFERROR(__xludf.DUMMYFUNCTION("""COMPUTED_VALUE"""),"11/10/2016")</f>
        <v>11/10/2016</v>
      </c>
      <c r="H371" s="6" t="str">
        <f>IFERROR(__xludf.DUMMYFUNCTION("""COMPUTED_VALUE"""),"Self Identify")</f>
        <v>Self Identify</v>
      </c>
      <c r="I371" s="6" t="str">
        <f>IFERROR(__xludf.DUMMYFUNCTION("""COMPUTED_VALUE"""),"Level 1")</f>
        <v>Level 1</v>
      </c>
      <c r="J371" s="6" t="str">
        <f>IFERROR(__xludf.DUMMYFUNCTION("""COMPUTED_VALUE"""),"3")</f>
        <v>3</v>
      </c>
      <c r="K371" s="6" t="str">
        <f>IFERROR(__xludf.DUMMYFUNCTION("""COMPUTED_VALUE"""),"william.tingey@2hourlearning.com")</f>
        <v>william.tingey@2hourlearning.com</v>
      </c>
      <c r="L371" s="6" t="str">
        <f>IFERROR(__xludf.DUMMYFUNCTION("""COMPUTED_VALUE"""),"Alpha Anywhere (homeschool)")</f>
        <v>Alpha Anywhere (homeschool)</v>
      </c>
      <c r="M371" s="6" t="str">
        <f>IFERROR(__xludf.DUMMYFUNCTION("""COMPUTED_VALUE"""),"")</f>
        <v/>
      </c>
      <c r="N371" s="6" t="str">
        <f>IFERROR(__xludf.DUMMYFUNCTION("""COMPUTED_VALUE"""),"")</f>
        <v/>
      </c>
      <c r="O371" s="87" t="str">
        <f>IFERROR(__xludf.DUMMYFUNCTION("""COMPUTED_VALUE"""),"https://drive.google.com/drive/folders/10T2cTQHqEJZqE-st6uFKPoI?usp=share_link")</f>
        <v>https://drive.google.com/drive/folders/10T2cTQHqEJZqE-st6uFKPoI?usp=share_link</v>
      </c>
      <c r="P371" s="6" t="str">
        <f>IFERROR(__xludf.DUMMYFUNCTION("""COMPUTED_VALUE"""),"William Tingey")</f>
        <v>William Tingey</v>
      </c>
      <c r="Q371" s="6" t="str">
        <f>IFERROR(__xludf.DUMMYFUNCTION("""COMPUTED_VALUE"""),"L1")</f>
        <v>L1</v>
      </c>
      <c r="R371" s="6">
        <f>IFERROR(__xludf.DUMMYFUNCTION("""COMPUTED_VALUE"""),1.0)</f>
        <v>1</v>
      </c>
      <c r="S371" s="6" t="str">
        <f>IFERROR(__xludf.DUMMYFUNCTION("""COMPUTED_VALUE""")," ")</f>
        <v> </v>
      </c>
      <c r="T371" s="6" t="str">
        <f>IFERROR(__xludf.DUMMYFUNCTION("""COMPUTED_VALUE"""),"")</f>
        <v/>
      </c>
      <c r="U371" s="6" t="str">
        <f>IFERROR(__xludf.DUMMYFUNCTION("""COMPUTED_VALUE"""),"3")</f>
        <v>3</v>
      </c>
      <c r="V371" s="6" t="str">
        <f>IFERROR(__xludf.DUMMYFUNCTION("""COMPUTED_VALUE"""),"")</f>
        <v/>
      </c>
      <c r="W371" s="6" t="str">
        <f>IFERROR(__xludf.DUMMYFUNCTION("""COMPUTED_VALUE"""),"[]")</f>
        <v>[]</v>
      </c>
      <c r="X371" s="6" t="str">
        <f>IFERROR(__xludf.DUMMYFUNCTION("""COMPUTED_VALUE"""),"Enrolled")</f>
        <v>Enrolled</v>
      </c>
    </row>
    <row r="372">
      <c r="A372" s="6" t="str">
        <f>IFERROR(__xludf.DUMMYFUNCTION("""COMPUTED_VALUE"""),"000-7522")</f>
        <v>000-7522</v>
      </c>
      <c r="B372" s="6" t="str">
        <f>IFERROR(__xludf.DUMMYFUNCTION("""COMPUTED_VALUE"""),"0")</f>
        <v>0</v>
      </c>
      <c r="C372" s="6" t="str">
        <f>IFERROR(__xludf.DUMMYFUNCTION("""COMPUTED_VALUE"""),"7522")</f>
        <v>7522</v>
      </c>
      <c r="D372" s="6" t="str">
        <f>IFERROR(__xludf.DUMMYFUNCTION("""COMPUTED_VALUE"""),"Caroline")</f>
        <v>Caroline</v>
      </c>
      <c r="E372" s="6" t="str">
        <f>IFERROR(__xludf.DUMMYFUNCTION("""COMPUTED_VALUE"""),"")</f>
        <v/>
      </c>
      <c r="F372" s="6" t="str">
        <f>IFERROR(__xludf.DUMMYFUNCTION("""COMPUTED_VALUE"""),"Infanti")</f>
        <v>Infanti</v>
      </c>
      <c r="G372" s="6" t="str">
        <f>IFERROR(__xludf.DUMMYFUNCTION("""COMPUTED_VALUE"""),"06/03/2015")</f>
        <v>06/03/2015</v>
      </c>
      <c r="H372" s="6" t="str">
        <f>IFERROR(__xludf.DUMMYFUNCTION("""COMPUTED_VALUE"""),"female")</f>
        <v>female</v>
      </c>
      <c r="I372" s="6" t="str">
        <f>IFERROR(__xludf.DUMMYFUNCTION("""COMPUTED_VALUE"""),"Level 2")</f>
        <v>Level 2</v>
      </c>
      <c r="J372" s="6" t="str">
        <f>IFERROR(__xludf.DUMMYFUNCTION("""COMPUTED_VALUE"""),"5")</f>
        <v>5</v>
      </c>
      <c r="K372" s="6" t="str">
        <f>IFERROR(__xludf.DUMMYFUNCTION("""COMPUTED_VALUE"""),"caroline.infanti@2hourlearning.com")</f>
        <v>caroline.infanti@2hourlearning.com</v>
      </c>
      <c r="L372" s="6" t="str">
        <f>IFERROR(__xludf.DUMMYFUNCTION("""COMPUTED_VALUE"""),"Alpha Anywhere (homeschool)")</f>
        <v>Alpha Anywhere (homeschool)</v>
      </c>
      <c r="M372" s="6" t="str">
        <f>IFERROR(__xludf.DUMMYFUNCTION("""COMPUTED_VALUE"""),"")</f>
        <v/>
      </c>
      <c r="N372" s="6" t="str">
        <f>IFERROR(__xludf.DUMMYFUNCTION("""COMPUTED_VALUE"""),"")</f>
        <v/>
      </c>
      <c r="O372" s="87" t="str">
        <f>IFERROR(__xludf.DUMMYFUNCTION("""COMPUTED_VALUE"""),"https://drive.google.com/drive/folders/10T2cTQHqEJZqE-st6uFKPoI?usp=share_link")</f>
        <v>https://drive.google.com/drive/folders/10T2cTQHqEJZqE-st6uFKPoI?usp=share_link</v>
      </c>
      <c r="P372" s="6" t="str">
        <f>IFERROR(__xludf.DUMMYFUNCTION("""COMPUTED_VALUE"""),"Caroline Infanti")</f>
        <v>Caroline Infanti</v>
      </c>
      <c r="Q372" s="6" t="str">
        <f>IFERROR(__xludf.DUMMYFUNCTION("""COMPUTED_VALUE"""),"L2")</f>
        <v>L2</v>
      </c>
      <c r="R372" s="6">
        <f>IFERROR(__xludf.DUMMYFUNCTION("""COMPUTED_VALUE"""),2.0)</f>
        <v>2</v>
      </c>
      <c r="S372" s="6" t="str">
        <f>IFERROR(__xludf.DUMMYFUNCTION("""COMPUTED_VALUE""")," ")</f>
        <v> </v>
      </c>
      <c r="T372" s="6" t="str">
        <f>IFERROR(__xludf.DUMMYFUNCTION("""COMPUTED_VALUE"""),"")</f>
        <v/>
      </c>
      <c r="U372" s="6" t="str">
        <f>IFERROR(__xludf.DUMMYFUNCTION("""COMPUTED_VALUE"""),"5")</f>
        <v>5</v>
      </c>
      <c r="V372" s="6" t="str">
        <f>IFERROR(__xludf.DUMMYFUNCTION("""COMPUTED_VALUE"""),"")</f>
        <v/>
      </c>
      <c r="W372" s="6" t="str">
        <f>IFERROR(__xludf.DUMMYFUNCTION("""COMPUTED_VALUE"""),"[]")</f>
        <v>[]</v>
      </c>
      <c r="X372" s="6" t="str">
        <f>IFERROR(__xludf.DUMMYFUNCTION("""COMPUTED_VALUE"""),"Enrolled")</f>
        <v>Enrolled</v>
      </c>
    </row>
    <row r="373">
      <c r="A373" s="6" t="str">
        <f>IFERROR(__xludf.DUMMYFUNCTION("""COMPUTED_VALUE"""),"000-7531")</f>
        <v>000-7531</v>
      </c>
      <c r="B373" s="6" t="str">
        <f>IFERROR(__xludf.DUMMYFUNCTION("""COMPUTED_VALUE"""),"0")</f>
        <v>0</v>
      </c>
      <c r="C373" s="6" t="str">
        <f>IFERROR(__xludf.DUMMYFUNCTION("""COMPUTED_VALUE"""),"7531")</f>
        <v>7531</v>
      </c>
      <c r="D373" s="6" t="str">
        <f>IFERROR(__xludf.DUMMYFUNCTION("""COMPUTED_VALUE"""),"Helen")</f>
        <v>Helen</v>
      </c>
      <c r="E373" s="6" t="str">
        <f>IFERROR(__xludf.DUMMYFUNCTION("""COMPUTED_VALUE"""),"Nell")</f>
        <v>Nell</v>
      </c>
      <c r="F373" s="6" t="str">
        <f>IFERROR(__xludf.DUMMYFUNCTION("""COMPUTED_VALUE"""),"McLawhorn")</f>
        <v>McLawhorn</v>
      </c>
      <c r="G373" s="6" t="str">
        <f>IFERROR(__xludf.DUMMYFUNCTION("""COMPUTED_VALUE"""),"08/05/2016")</f>
        <v>08/05/2016</v>
      </c>
      <c r="H373" s="6" t="str">
        <f>IFERROR(__xludf.DUMMYFUNCTION("""COMPUTED_VALUE"""),"female")</f>
        <v>female</v>
      </c>
      <c r="I373" s="6" t="str">
        <f>IFERROR(__xludf.DUMMYFUNCTION("""COMPUTED_VALUE"""),"Level 1")</f>
        <v>Level 1</v>
      </c>
      <c r="J373" s="6" t="str">
        <f>IFERROR(__xludf.DUMMYFUNCTION("""COMPUTED_VALUE"""),"3")</f>
        <v>3</v>
      </c>
      <c r="K373" s="6" t="str">
        <f>IFERROR(__xludf.DUMMYFUNCTION("""COMPUTED_VALUE"""),"nell.mclawhorn@2hourlearning.com")</f>
        <v>nell.mclawhorn@2hourlearning.com</v>
      </c>
      <c r="L373" s="6" t="str">
        <f>IFERROR(__xludf.DUMMYFUNCTION("""COMPUTED_VALUE"""),"Alpha Anywhere (homeschool)")</f>
        <v>Alpha Anywhere (homeschool)</v>
      </c>
      <c r="M373" s="6" t="str">
        <f>IFERROR(__xludf.DUMMYFUNCTION("""COMPUTED_VALUE"""),"")</f>
        <v/>
      </c>
      <c r="N373" s="6" t="str">
        <f>IFERROR(__xludf.DUMMYFUNCTION("""COMPUTED_VALUE"""),"")</f>
        <v/>
      </c>
      <c r="O373" s="87" t="str">
        <f>IFERROR(__xludf.DUMMYFUNCTION("""COMPUTED_VALUE"""),"https://drive.google.com/drive/folders/10T2cTQHqEJZqE-st6uFKPoI?usp=share_link")</f>
        <v>https://drive.google.com/drive/folders/10T2cTQHqEJZqE-st6uFKPoI?usp=share_link</v>
      </c>
      <c r="P373" s="6" t="str">
        <f>IFERROR(__xludf.DUMMYFUNCTION("""COMPUTED_VALUE"""),"Nell McLawhorn")</f>
        <v>Nell McLawhorn</v>
      </c>
      <c r="Q373" s="6" t="str">
        <f>IFERROR(__xludf.DUMMYFUNCTION("""COMPUTED_VALUE"""),"L1")</f>
        <v>L1</v>
      </c>
      <c r="R373" s="6">
        <f>IFERROR(__xludf.DUMMYFUNCTION("""COMPUTED_VALUE"""),1.0)</f>
        <v>1</v>
      </c>
      <c r="S373" s="6" t="str">
        <f>IFERROR(__xludf.DUMMYFUNCTION("""COMPUTED_VALUE""")," ")</f>
        <v> </v>
      </c>
      <c r="T373" s="6" t="str">
        <f>IFERROR(__xludf.DUMMYFUNCTION("""COMPUTED_VALUE"""),"")</f>
        <v/>
      </c>
      <c r="U373" s="6" t="str">
        <f>IFERROR(__xludf.DUMMYFUNCTION("""COMPUTED_VALUE"""),"3")</f>
        <v>3</v>
      </c>
      <c r="V373" s="6" t="str">
        <f>IFERROR(__xludf.DUMMYFUNCTION("""COMPUTED_VALUE"""),"")</f>
        <v/>
      </c>
      <c r="W373" s="6" t="str">
        <f>IFERROR(__xludf.DUMMYFUNCTION("""COMPUTED_VALUE"""),"[]")</f>
        <v>[]</v>
      </c>
      <c r="X373" s="6" t="str">
        <f>IFERROR(__xludf.DUMMYFUNCTION("""COMPUTED_VALUE"""),"Enrolled")</f>
        <v>Enrolled</v>
      </c>
    </row>
    <row r="374">
      <c r="A374" s="6" t="str">
        <f>IFERROR(__xludf.DUMMYFUNCTION("""COMPUTED_VALUE"""),"000-7533")</f>
        <v>000-7533</v>
      </c>
      <c r="B374" s="6" t="str">
        <f>IFERROR(__xludf.DUMMYFUNCTION("""COMPUTED_VALUE"""),"0")</f>
        <v>0</v>
      </c>
      <c r="C374" s="6" t="str">
        <f>IFERROR(__xludf.DUMMYFUNCTION("""COMPUTED_VALUE"""),"7533")</f>
        <v>7533</v>
      </c>
      <c r="D374" s="6" t="str">
        <f>IFERROR(__xludf.DUMMYFUNCTION("""COMPUTED_VALUE"""),"Alia")</f>
        <v>Alia</v>
      </c>
      <c r="E374" s="6" t="str">
        <f>IFERROR(__xludf.DUMMYFUNCTION("""COMPUTED_VALUE"""),"Alia")</f>
        <v>Alia</v>
      </c>
      <c r="F374" s="6" t="str">
        <f>IFERROR(__xludf.DUMMYFUNCTION("""COMPUTED_VALUE"""),"Godfrey")</f>
        <v>Godfrey</v>
      </c>
      <c r="G374" s="6" t="str">
        <f>IFERROR(__xludf.DUMMYFUNCTION("""COMPUTED_VALUE"""),"10/25/2017")</f>
        <v>10/25/2017</v>
      </c>
      <c r="H374" s="6" t="str">
        <f>IFERROR(__xludf.DUMMYFUNCTION("""COMPUTED_VALUE"""),"female")</f>
        <v>female</v>
      </c>
      <c r="I374" s="6" t="str">
        <f>IFERROR(__xludf.DUMMYFUNCTION("""COMPUTED_VALUE"""),"Level 1")</f>
        <v>Level 1</v>
      </c>
      <c r="J374" s="6" t="str">
        <f>IFERROR(__xludf.DUMMYFUNCTION("""COMPUTED_VALUE"""),"2")</f>
        <v>2</v>
      </c>
      <c r="K374" s="6" t="str">
        <f>IFERROR(__xludf.DUMMYFUNCTION("""COMPUTED_VALUE"""),"alia.s.godfrey@2hourlearning.com")</f>
        <v>alia.s.godfrey@2hourlearning.com</v>
      </c>
      <c r="L374" s="6" t="str">
        <f>IFERROR(__xludf.DUMMYFUNCTION("""COMPUTED_VALUE"""),"Alpha Anywhere (homeschool)")</f>
        <v>Alpha Anywhere (homeschool)</v>
      </c>
      <c r="M374" s="6" t="str">
        <f>IFERROR(__xludf.DUMMYFUNCTION("""COMPUTED_VALUE"""),"")</f>
        <v/>
      </c>
      <c r="N374" s="6" t="str">
        <f>IFERROR(__xludf.DUMMYFUNCTION("""COMPUTED_VALUE"""),"")</f>
        <v/>
      </c>
      <c r="O374" s="87" t="str">
        <f>IFERROR(__xludf.DUMMYFUNCTION("""COMPUTED_VALUE"""),"https://drive.google.com/drive/folders/10T2cTQHqEJZqE-st6uFKPoI?usp=share_link")</f>
        <v>https://drive.google.com/drive/folders/10T2cTQHqEJZqE-st6uFKPoI?usp=share_link</v>
      </c>
      <c r="P374" s="6" t="str">
        <f>IFERROR(__xludf.DUMMYFUNCTION("""COMPUTED_VALUE"""),"Alia Godfrey")</f>
        <v>Alia Godfrey</v>
      </c>
      <c r="Q374" s="6" t="str">
        <f>IFERROR(__xludf.DUMMYFUNCTION("""COMPUTED_VALUE"""),"L1")</f>
        <v>L1</v>
      </c>
      <c r="R374" s="6">
        <f>IFERROR(__xludf.DUMMYFUNCTION("""COMPUTED_VALUE"""),1.0)</f>
        <v>1</v>
      </c>
      <c r="S374" s="6" t="str">
        <f>IFERROR(__xludf.DUMMYFUNCTION("""COMPUTED_VALUE""")," ")</f>
        <v> </v>
      </c>
      <c r="T374" s="6" t="str">
        <f>IFERROR(__xludf.DUMMYFUNCTION("""COMPUTED_VALUE"""),"")</f>
        <v/>
      </c>
      <c r="U374" s="6" t="str">
        <f>IFERROR(__xludf.DUMMYFUNCTION("""COMPUTED_VALUE"""),"2")</f>
        <v>2</v>
      </c>
      <c r="V374" s="6" t="str">
        <f>IFERROR(__xludf.DUMMYFUNCTION("""COMPUTED_VALUE"""),"")</f>
        <v/>
      </c>
      <c r="W374" s="6" t="str">
        <f>IFERROR(__xludf.DUMMYFUNCTION("""COMPUTED_VALUE"""),"[]")</f>
        <v>[]</v>
      </c>
      <c r="X374" s="6" t="str">
        <f>IFERROR(__xludf.DUMMYFUNCTION("""COMPUTED_VALUE"""),"Enrolled")</f>
        <v>Enrolled</v>
      </c>
    </row>
    <row r="375">
      <c r="A375" s="6" t="str">
        <f>IFERROR(__xludf.DUMMYFUNCTION("""COMPUTED_VALUE"""),"000-7546")</f>
        <v>000-7546</v>
      </c>
      <c r="B375" s="6" t="str">
        <f>IFERROR(__xludf.DUMMYFUNCTION("""COMPUTED_VALUE"""),"0")</f>
        <v>0</v>
      </c>
      <c r="C375" s="6" t="str">
        <f>IFERROR(__xludf.DUMMYFUNCTION("""COMPUTED_VALUE"""),"7546")</f>
        <v>7546</v>
      </c>
      <c r="D375" s="6" t="str">
        <f>IFERROR(__xludf.DUMMYFUNCTION("""COMPUTED_VALUE"""),"Avery")</f>
        <v>Avery</v>
      </c>
      <c r="E375" s="6" t="str">
        <f>IFERROR(__xludf.DUMMYFUNCTION("""COMPUTED_VALUE"""),"")</f>
        <v/>
      </c>
      <c r="F375" s="6" t="str">
        <f>IFERROR(__xludf.DUMMYFUNCTION("""COMPUTED_VALUE"""),"Ray")</f>
        <v>Ray</v>
      </c>
      <c r="G375" s="6" t="str">
        <f>IFERROR(__xludf.DUMMYFUNCTION("""COMPUTED_VALUE"""),"02/25/2011")</f>
        <v>02/25/2011</v>
      </c>
      <c r="H375" s="6" t="str">
        <f>IFERROR(__xludf.DUMMYFUNCTION("""COMPUTED_VALUE"""),"Self Identify")</f>
        <v>Self Identify</v>
      </c>
      <c r="I375" s="6" t="str">
        <f>IFERROR(__xludf.DUMMYFUNCTION("""COMPUTED_VALUE"""),"High School")</f>
        <v>High School</v>
      </c>
      <c r="J375" s="6" t="str">
        <f>IFERROR(__xludf.DUMMYFUNCTION("""COMPUTED_VALUE"""),"9")</f>
        <v>9</v>
      </c>
      <c r="K375" s="6" t="str">
        <f>IFERROR(__xludf.DUMMYFUNCTION("""COMPUTED_VALUE"""),"avery.ray@2hourlearning.com")</f>
        <v>avery.ray@2hourlearning.com</v>
      </c>
      <c r="L375" s="6" t="str">
        <f>IFERROR(__xludf.DUMMYFUNCTION("""COMPUTED_VALUE"""),"Alpha Anywhere (homeschool)")</f>
        <v>Alpha Anywhere (homeschool)</v>
      </c>
      <c r="M375" s="6" t="str">
        <f>IFERROR(__xludf.DUMMYFUNCTION("""COMPUTED_VALUE"""),"")</f>
        <v/>
      </c>
      <c r="N375" s="6" t="str">
        <f>IFERROR(__xludf.DUMMYFUNCTION("""COMPUTED_VALUE"""),"")</f>
        <v/>
      </c>
      <c r="O375" s="87" t="str">
        <f>IFERROR(__xludf.DUMMYFUNCTION("""COMPUTED_VALUE"""),"https://drive.google.com/drive/folders/10T2cTQHqEJZqE-st6uFKPoI?usp=share_link")</f>
        <v>https://drive.google.com/drive/folders/10T2cTQHqEJZqE-st6uFKPoI?usp=share_link</v>
      </c>
      <c r="P375" s="6" t="str">
        <f>IFERROR(__xludf.DUMMYFUNCTION("""COMPUTED_VALUE"""),"Avery Ray")</f>
        <v>Avery Ray</v>
      </c>
      <c r="Q375" s="6" t="str">
        <f>IFERROR(__xludf.DUMMYFUNCTION("""COMPUTED_VALUE"""),"HS")</f>
        <v>HS</v>
      </c>
      <c r="R375" s="6">
        <f>IFERROR(__xludf.DUMMYFUNCTION("""COMPUTED_VALUE"""),0.0)</f>
        <v>0</v>
      </c>
      <c r="S375" s="6" t="str">
        <f>IFERROR(__xludf.DUMMYFUNCTION("""COMPUTED_VALUE""")," ")</f>
        <v> </v>
      </c>
      <c r="T375" s="6" t="str">
        <f>IFERROR(__xludf.DUMMYFUNCTION("""COMPUTED_VALUE"""),"")</f>
        <v/>
      </c>
      <c r="U375" s="6" t="str">
        <f>IFERROR(__xludf.DUMMYFUNCTION("""COMPUTED_VALUE"""),"9")</f>
        <v>9</v>
      </c>
      <c r="V375" s="6" t="str">
        <f>IFERROR(__xludf.DUMMYFUNCTION("""COMPUTED_VALUE"""),"")</f>
        <v/>
      </c>
      <c r="W375" s="6" t="str">
        <f>IFERROR(__xludf.DUMMYFUNCTION("""COMPUTED_VALUE"""),"[]")</f>
        <v>[]</v>
      </c>
      <c r="X375" s="6" t="str">
        <f>IFERROR(__xludf.DUMMYFUNCTION("""COMPUTED_VALUE"""),"Enrolled")</f>
        <v>Enrolled</v>
      </c>
    </row>
    <row r="376">
      <c r="A376" s="6" t="str">
        <f>IFERROR(__xludf.DUMMYFUNCTION("""COMPUTED_VALUE"""),"000-7553")</f>
        <v>000-7553</v>
      </c>
      <c r="B376" s="6" t="str">
        <f>IFERROR(__xludf.DUMMYFUNCTION("""COMPUTED_VALUE"""),"0")</f>
        <v>0</v>
      </c>
      <c r="C376" s="6" t="str">
        <f>IFERROR(__xludf.DUMMYFUNCTION("""COMPUTED_VALUE"""),"7553")</f>
        <v>7553</v>
      </c>
      <c r="D376" s="6" t="str">
        <f>IFERROR(__xludf.DUMMYFUNCTION("""COMPUTED_VALUE"""),"john")</f>
        <v>john</v>
      </c>
      <c r="E376" s="6" t="str">
        <f>IFERROR(__xludf.DUMMYFUNCTION("""COMPUTED_VALUE"""),"")</f>
        <v/>
      </c>
      <c r="F376" s="6" t="str">
        <f>IFERROR(__xludf.DUMMYFUNCTION("""COMPUTED_VALUE"""),"Hoofman")</f>
        <v>Hoofman</v>
      </c>
      <c r="G376" s="6" t="str">
        <f>IFERROR(__xludf.DUMMYFUNCTION("""COMPUTED_VALUE"""),"11/28/2014")</f>
        <v>11/28/2014</v>
      </c>
      <c r="H376" s="6" t="str">
        <f>IFERROR(__xludf.DUMMYFUNCTION("""COMPUTED_VALUE"""),"Self Identify")</f>
        <v>Self Identify</v>
      </c>
      <c r="I376" s="6" t="str">
        <f>IFERROR(__xludf.DUMMYFUNCTION("""COMPUTED_VALUE"""),"Level 2")</f>
        <v>Level 2</v>
      </c>
      <c r="J376" s="6" t="str">
        <f>IFERROR(__xludf.DUMMYFUNCTION("""COMPUTED_VALUE"""),"5")</f>
        <v>5</v>
      </c>
      <c r="K376" s="6" t="str">
        <f>IFERROR(__xludf.DUMMYFUNCTION("""COMPUTED_VALUE"""),"john.hoofman@2hourlearning.com")</f>
        <v>john.hoofman@2hourlearning.com</v>
      </c>
      <c r="L376" s="6" t="str">
        <f>IFERROR(__xludf.DUMMYFUNCTION("""COMPUTED_VALUE"""),"Alpha Anywhere (homeschool)")</f>
        <v>Alpha Anywhere (homeschool)</v>
      </c>
      <c r="M376" s="6" t="str">
        <f>IFERROR(__xludf.DUMMYFUNCTION("""COMPUTED_VALUE"""),"")</f>
        <v/>
      </c>
      <c r="N376" s="6" t="str">
        <f>IFERROR(__xludf.DUMMYFUNCTION("""COMPUTED_VALUE"""),"")</f>
        <v/>
      </c>
      <c r="O376" s="87" t="str">
        <f>IFERROR(__xludf.DUMMYFUNCTION("""COMPUTED_VALUE"""),"https://drive.google.com/drive/folders/10T2cTQHqEJZqE-st6uFKPoI?usp=share_link")</f>
        <v>https://drive.google.com/drive/folders/10T2cTQHqEJZqE-st6uFKPoI?usp=share_link</v>
      </c>
      <c r="P376" s="6" t="str">
        <f>IFERROR(__xludf.DUMMYFUNCTION("""COMPUTED_VALUE"""),"john Hoofman")</f>
        <v>john Hoofman</v>
      </c>
      <c r="Q376" s="6" t="str">
        <f>IFERROR(__xludf.DUMMYFUNCTION("""COMPUTED_VALUE"""),"L2")</f>
        <v>L2</v>
      </c>
      <c r="R376" s="6">
        <f>IFERROR(__xludf.DUMMYFUNCTION("""COMPUTED_VALUE"""),2.0)</f>
        <v>2</v>
      </c>
      <c r="S376" s="6" t="str">
        <f>IFERROR(__xludf.DUMMYFUNCTION("""COMPUTED_VALUE""")," ")</f>
        <v> </v>
      </c>
      <c r="T376" s="6" t="str">
        <f>IFERROR(__xludf.DUMMYFUNCTION("""COMPUTED_VALUE"""),"")</f>
        <v/>
      </c>
      <c r="U376" s="6" t="str">
        <f>IFERROR(__xludf.DUMMYFUNCTION("""COMPUTED_VALUE"""),"5")</f>
        <v>5</v>
      </c>
      <c r="V376" s="6" t="str">
        <f>IFERROR(__xludf.DUMMYFUNCTION("""COMPUTED_VALUE"""),"")</f>
        <v/>
      </c>
      <c r="W376" s="6" t="str">
        <f>IFERROR(__xludf.DUMMYFUNCTION("""COMPUTED_VALUE"""),"[]")</f>
        <v>[]</v>
      </c>
      <c r="X376" s="6" t="str">
        <f>IFERROR(__xludf.DUMMYFUNCTION("""COMPUTED_VALUE"""),"Enrolled")</f>
        <v>Enrolled</v>
      </c>
    </row>
    <row r="377">
      <c r="A377" s="6" t="str">
        <f>IFERROR(__xludf.DUMMYFUNCTION("""COMPUTED_VALUE"""),"000-7580")</f>
        <v>000-7580</v>
      </c>
      <c r="B377" s="6" t="str">
        <f>IFERROR(__xludf.DUMMYFUNCTION("""COMPUTED_VALUE"""),"0")</f>
        <v>0</v>
      </c>
      <c r="C377" s="6" t="str">
        <f>IFERROR(__xludf.DUMMYFUNCTION("""COMPUTED_VALUE"""),"7580")</f>
        <v>7580</v>
      </c>
      <c r="D377" s="6" t="str">
        <f>IFERROR(__xludf.DUMMYFUNCTION("""COMPUTED_VALUE"""),"Bay")</f>
        <v>Bay</v>
      </c>
      <c r="E377" s="6" t="str">
        <f>IFERROR(__xludf.DUMMYFUNCTION("""COMPUTED_VALUE"""),"")</f>
        <v/>
      </c>
      <c r="F377" s="6" t="str">
        <f>IFERROR(__xludf.DUMMYFUNCTION("""COMPUTED_VALUE"""),"Geraghty")</f>
        <v>Geraghty</v>
      </c>
      <c r="G377" s="6" t="str">
        <f>IFERROR(__xludf.DUMMYFUNCTION("""COMPUTED_VALUE"""),"12/09/2015")</f>
        <v>12/09/2015</v>
      </c>
      <c r="H377" s="6" t="str">
        <f>IFERROR(__xludf.DUMMYFUNCTION("""COMPUTED_VALUE"""),"female")</f>
        <v>female</v>
      </c>
      <c r="I377" s="6" t="str">
        <f>IFERROR(__xludf.DUMMYFUNCTION("""COMPUTED_VALUE"""),"Level 2")</f>
        <v>Level 2</v>
      </c>
      <c r="J377" s="6" t="str">
        <f>IFERROR(__xludf.DUMMYFUNCTION("""COMPUTED_VALUE"""),"4")</f>
        <v>4</v>
      </c>
      <c r="K377" s="6" t="str">
        <f>IFERROR(__xludf.DUMMYFUNCTION("""COMPUTED_VALUE"""),"bay.geraghty@2hourlearning.com")</f>
        <v>bay.geraghty@2hourlearning.com</v>
      </c>
      <c r="L377" s="6" t="str">
        <f>IFERROR(__xludf.DUMMYFUNCTION("""COMPUTED_VALUE"""),"Alpha Anywhere (homeschool)")</f>
        <v>Alpha Anywhere (homeschool)</v>
      </c>
      <c r="M377" s="6" t="str">
        <f>IFERROR(__xludf.DUMMYFUNCTION("""COMPUTED_VALUE"""),"")</f>
        <v/>
      </c>
      <c r="N377" s="6" t="str">
        <f>IFERROR(__xludf.DUMMYFUNCTION("""COMPUTED_VALUE"""),"")</f>
        <v/>
      </c>
      <c r="O377" s="87" t="str">
        <f>IFERROR(__xludf.DUMMYFUNCTION("""COMPUTED_VALUE"""),"https://drive.google.com/drive/folders/10T2cTQHqEJZqE-st6uFKPoI?usp=share_link")</f>
        <v>https://drive.google.com/drive/folders/10T2cTQHqEJZqE-st6uFKPoI?usp=share_link</v>
      </c>
      <c r="P377" s="6" t="str">
        <f>IFERROR(__xludf.DUMMYFUNCTION("""COMPUTED_VALUE"""),"Bay Geraghty")</f>
        <v>Bay Geraghty</v>
      </c>
      <c r="Q377" s="6" t="str">
        <f>IFERROR(__xludf.DUMMYFUNCTION("""COMPUTED_VALUE"""),"L2")</f>
        <v>L2</v>
      </c>
      <c r="R377" s="6">
        <f>IFERROR(__xludf.DUMMYFUNCTION("""COMPUTED_VALUE"""),2.0)</f>
        <v>2</v>
      </c>
      <c r="S377" s="6" t="str">
        <f>IFERROR(__xludf.DUMMYFUNCTION("""COMPUTED_VALUE""")," ")</f>
        <v> </v>
      </c>
      <c r="T377" s="6" t="str">
        <f>IFERROR(__xludf.DUMMYFUNCTION("""COMPUTED_VALUE"""),"")</f>
        <v/>
      </c>
      <c r="U377" s="6" t="str">
        <f>IFERROR(__xludf.DUMMYFUNCTION("""COMPUTED_VALUE"""),"4")</f>
        <v>4</v>
      </c>
      <c r="V377" s="6" t="str">
        <f>IFERROR(__xludf.DUMMYFUNCTION("""COMPUTED_VALUE"""),"")</f>
        <v/>
      </c>
      <c r="W377" s="6" t="str">
        <f>IFERROR(__xludf.DUMMYFUNCTION("""COMPUTED_VALUE"""),"[]")</f>
        <v>[]</v>
      </c>
      <c r="X377" s="6" t="str">
        <f>IFERROR(__xludf.DUMMYFUNCTION("""COMPUTED_VALUE"""),"Enrolled")</f>
        <v>Enrolled</v>
      </c>
    </row>
    <row r="378">
      <c r="A378" s="6" t="str">
        <f>IFERROR(__xludf.DUMMYFUNCTION("""COMPUTED_VALUE"""),"000-7581")</f>
        <v>000-7581</v>
      </c>
      <c r="B378" s="6" t="str">
        <f>IFERROR(__xludf.DUMMYFUNCTION("""COMPUTED_VALUE"""),"0")</f>
        <v>0</v>
      </c>
      <c r="C378" s="6" t="str">
        <f>IFERROR(__xludf.DUMMYFUNCTION("""COMPUTED_VALUE"""),"7581")</f>
        <v>7581</v>
      </c>
      <c r="D378" s="6" t="str">
        <f>IFERROR(__xludf.DUMMYFUNCTION("""COMPUTED_VALUE"""),"Tristan")</f>
        <v>Tristan</v>
      </c>
      <c r="E378" s="6" t="str">
        <f>IFERROR(__xludf.DUMMYFUNCTION("""COMPUTED_VALUE"""),"")</f>
        <v/>
      </c>
      <c r="F378" s="6" t="str">
        <f>IFERROR(__xludf.DUMMYFUNCTION("""COMPUTED_VALUE"""),"Geraghty")</f>
        <v>Geraghty</v>
      </c>
      <c r="G378" s="6" t="str">
        <f>IFERROR(__xludf.DUMMYFUNCTION("""COMPUTED_VALUE"""),"07/03/2017")</f>
        <v>07/03/2017</v>
      </c>
      <c r="H378" s="6" t="str">
        <f>IFERROR(__xludf.DUMMYFUNCTION("""COMPUTED_VALUE"""),"male")</f>
        <v>male</v>
      </c>
      <c r="I378" s="6" t="str">
        <f>IFERROR(__xludf.DUMMYFUNCTION("""COMPUTED_VALUE"""),"Level 1")</f>
        <v>Level 1</v>
      </c>
      <c r="J378" s="6" t="str">
        <f>IFERROR(__xludf.DUMMYFUNCTION("""COMPUTED_VALUE"""),"3")</f>
        <v>3</v>
      </c>
      <c r="K378" s="6" t="str">
        <f>IFERROR(__xludf.DUMMYFUNCTION("""COMPUTED_VALUE"""),"tristan.geraghty@2hourlearning.com")</f>
        <v>tristan.geraghty@2hourlearning.com</v>
      </c>
      <c r="L378" s="6" t="str">
        <f>IFERROR(__xludf.DUMMYFUNCTION("""COMPUTED_VALUE"""),"Alpha Anywhere (homeschool)")</f>
        <v>Alpha Anywhere (homeschool)</v>
      </c>
      <c r="M378" s="6" t="str">
        <f>IFERROR(__xludf.DUMMYFUNCTION("""COMPUTED_VALUE"""),"")</f>
        <v/>
      </c>
      <c r="N378" s="6" t="str">
        <f>IFERROR(__xludf.DUMMYFUNCTION("""COMPUTED_VALUE"""),"")</f>
        <v/>
      </c>
      <c r="O378" s="87" t="str">
        <f>IFERROR(__xludf.DUMMYFUNCTION("""COMPUTED_VALUE"""),"https://drive.google.com/drive/folders/10T2cTQHqEJZqE-st6uFKPoI?usp=share_link")</f>
        <v>https://drive.google.com/drive/folders/10T2cTQHqEJZqE-st6uFKPoI?usp=share_link</v>
      </c>
      <c r="P378" s="6" t="str">
        <f>IFERROR(__xludf.DUMMYFUNCTION("""COMPUTED_VALUE"""),"Tristan Geraghty")</f>
        <v>Tristan Geraghty</v>
      </c>
      <c r="Q378" s="6" t="str">
        <f>IFERROR(__xludf.DUMMYFUNCTION("""COMPUTED_VALUE"""),"L1")</f>
        <v>L1</v>
      </c>
      <c r="R378" s="6">
        <f>IFERROR(__xludf.DUMMYFUNCTION("""COMPUTED_VALUE"""),1.0)</f>
        <v>1</v>
      </c>
      <c r="S378" s="6" t="str">
        <f>IFERROR(__xludf.DUMMYFUNCTION("""COMPUTED_VALUE""")," ")</f>
        <v> </v>
      </c>
      <c r="T378" s="6" t="str">
        <f>IFERROR(__xludf.DUMMYFUNCTION("""COMPUTED_VALUE"""),"")</f>
        <v/>
      </c>
      <c r="U378" s="6" t="str">
        <f>IFERROR(__xludf.DUMMYFUNCTION("""COMPUTED_VALUE"""),"3")</f>
        <v>3</v>
      </c>
      <c r="V378" s="6" t="str">
        <f>IFERROR(__xludf.DUMMYFUNCTION("""COMPUTED_VALUE"""),"")</f>
        <v/>
      </c>
      <c r="W378" s="6" t="str">
        <f>IFERROR(__xludf.DUMMYFUNCTION("""COMPUTED_VALUE"""),"[]")</f>
        <v>[]</v>
      </c>
      <c r="X378" s="6" t="str">
        <f>IFERROR(__xludf.DUMMYFUNCTION("""COMPUTED_VALUE"""),"Enrolled")</f>
        <v>Enrolled</v>
      </c>
    </row>
    <row r="379">
      <c r="A379" s="6" t="str">
        <f>IFERROR(__xludf.DUMMYFUNCTION("""COMPUTED_VALUE"""),"000-7588")</f>
        <v>000-7588</v>
      </c>
      <c r="B379" s="6" t="str">
        <f>IFERROR(__xludf.DUMMYFUNCTION("""COMPUTED_VALUE"""),"0")</f>
        <v>0</v>
      </c>
      <c r="C379" s="6" t="str">
        <f>IFERROR(__xludf.DUMMYFUNCTION("""COMPUTED_VALUE"""),"7588")</f>
        <v>7588</v>
      </c>
      <c r="D379" s="6" t="str">
        <f>IFERROR(__xludf.DUMMYFUNCTION("""COMPUTED_VALUE"""),"Camille")</f>
        <v>Camille</v>
      </c>
      <c r="E379" s="6" t="str">
        <f>IFERROR(__xludf.DUMMYFUNCTION("""COMPUTED_VALUE"""),"Milly")</f>
        <v>Milly</v>
      </c>
      <c r="F379" s="6" t="str">
        <f>IFERROR(__xludf.DUMMYFUNCTION("""COMPUTED_VALUE"""),"Hedgepeth")</f>
        <v>Hedgepeth</v>
      </c>
      <c r="G379" s="6" t="str">
        <f>IFERROR(__xludf.DUMMYFUNCTION("""COMPUTED_VALUE"""),"07/29/2013")</f>
        <v>07/29/2013</v>
      </c>
      <c r="H379" s="6" t="str">
        <f>IFERROR(__xludf.DUMMYFUNCTION("""COMPUTED_VALUE"""),"female")</f>
        <v>female</v>
      </c>
      <c r="I379" s="6" t="str">
        <f>IFERROR(__xludf.DUMMYFUNCTION("""COMPUTED_VALUE"""),"Middle School")</f>
        <v>Middle School</v>
      </c>
      <c r="J379" s="6" t="str">
        <f>IFERROR(__xludf.DUMMYFUNCTION("""COMPUTED_VALUE"""),"7")</f>
        <v>7</v>
      </c>
      <c r="K379" s="6" t="str">
        <f>IFERROR(__xludf.DUMMYFUNCTION("""COMPUTED_VALUE"""),"milly.hedgepeth@2hourlearning.com")</f>
        <v>milly.hedgepeth@2hourlearning.com</v>
      </c>
      <c r="L379" s="6" t="str">
        <f>IFERROR(__xludf.DUMMYFUNCTION("""COMPUTED_VALUE"""),"Alpha Anywhere (homeschool)")</f>
        <v>Alpha Anywhere (homeschool)</v>
      </c>
      <c r="M379" s="6" t="str">
        <f>IFERROR(__xludf.DUMMYFUNCTION("""COMPUTED_VALUE"""),"")</f>
        <v/>
      </c>
      <c r="N379" s="6" t="str">
        <f>IFERROR(__xludf.DUMMYFUNCTION("""COMPUTED_VALUE"""),"")</f>
        <v/>
      </c>
      <c r="O379" s="87" t="str">
        <f>IFERROR(__xludf.DUMMYFUNCTION("""COMPUTED_VALUE"""),"https://drive.google.com/drive/folders/10T2cTQHqEJZqE-st6uFKPoI?usp=share_link")</f>
        <v>https://drive.google.com/drive/folders/10T2cTQHqEJZqE-st6uFKPoI?usp=share_link</v>
      </c>
      <c r="P379" s="6" t="str">
        <f>IFERROR(__xludf.DUMMYFUNCTION("""COMPUTED_VALUE"""),"Milly Hedgepeth")</f>
        <v>Milly Hedgepeth</v>
      </c>
      <c r="Q379" s="6" t="str">
        <f>IFERROR(__xludf.DUMMYFUNCTION("""COMPUTED_VALUE"""),"MS")</f>
        <v>MS</v>
      </c>
      <c r="R379" s="6">
        <f>IFERROR(__xludf.DUMMYFUNCTION("""COMPUTED_VALUE"""),0.0)</f>
        <v>0</v>
      </c>
      <c r="S379" s="6" t="str">
        <f>IFERROR(__xludf.DUMMYFUNCTION("""COMPUTED_VALUE""")," ")</f>
        <v> </v>
      </c>
      <c r="T379" s="6" t="str">
        <f>IFERROR(__xludf.DUMMYFUNCTION("""COMPUTED_VALUE"""),"")</f>
        <v/>
      </c>
      <c r="U379" s="6" t="str">
        <f>IFERROR(__xludf.DUMMYFUNCTION("""COMPUTED_VALUE"""),"7")</f>
        <v>7</v>
      </c>
      <c r="V379" s="6" t="str">
        <f>IFERROR(__xludf.DUMMYFUNCTION("""COMPUTED_VALUE"""),"")</f>
        <v/>
      </c>
      <c r="W379" s="6" t="str">
        <f>IFERROR(__xludf.DUMMYFUNCTION("""COMPUTED_VALUE"""),"[]")</f>
        <v>[]</v>
      </c>
      <c r="X379" s="6" t="str">
        <f>IFERROR(__xludf.DUMMYFUNCTION("""COMPUTED_VALUE"""),"Enrolled")</f>
        <v>Enrolled</v>
      </c>
    </row>
    <row r="380">
      <c r="A380" s="6" t="str">
        <f>IFERROR(__xludf.DUMMYFUNCTION("""COMPUTED_VALUE"""),"000-7618")</f>
        <v>000-7618</v>
      </c>
      <c r="B380" s="6" t="str">
        <f>IFERROR(__xludf.DUMMYFUNCTION("""COMPUTED_VALUE"""),"0")</f>
        <v>0</v>
      </c>
      <c r="C380" s="6" t="str">
        <f>IFERROR(__xludf.DUMMYFUNCTION("""COMPUTED_VALUE"""),"7618")</f>
        <v>7618</v>
      </c>
      <c r="D380" s="6" t="str">
        <f>IFERROR(__xludf.DUMMYFUNCTION("""COMPUTED_VALUE"""),"Noa")</f>
        <v>Noa</v>
      </c>
      <c r="E380" s="6" t="str">
        <f>IFERROR(__xludf.DUMMYFUNCTION("""COMPUTED_VALUE"""),"Noa")</f>
        <v>Noa</v>
      </c>
      <c r="F380" s="6" t="str">
        <f>IFERROR(__xludf.DUMMYFUNCTION("""COMPUTED_VALUE"""),"McKnight")</f>
        <v>McKnight</v>
      </c>
      <c r="G380" s="6" t="str">
        <f>IFERROR(__xludf.DUMMYFUNCTION("""COMPUTED_VALUE"""),"06/26/2016")</f>
        <v>06/26/2016</v>
      </c>
      <c r="H380" s="6" t="str">
        <f>IFERROR(__xludf.DUMMYFUNCTION("""COMPUTED_VALUE"""),"female")</f>
        <v>female</v>
      </c>
      <c r="I380" s="6" t="str">
        <f>IFERROR(__xludf.DUMMYFUNCTION("""COMPUTED_VALUE"""),"Level 2")</f>
        <v>Level 2</v>
      </c>
      <c r="J380" s="6" t="str">
        <f>IFERROR(__xludf.DUMMYFUNCTION("""COMPUTED_VALUE"""),"4")</f>
        <v>4</v>
      </c>
      <c r="K380" s="6" t="str">
        <f>IFERROR(__xludf.DUMMYFUNCTION("""COMPUTED_VALUE"""),"noa.mcknight@2hourlearning.com")</f>
        <v>noa.mcknight@2hourlearning.com</v>
      </c>
      <c r="L380" s="6" t="str">
        <f>IFERROR(__xludf.DUMMYFUNCTION("""COMPUTED_VALUE"""),"Alpha Anywhere (homeschool)")</f>
        <v>Alpha Anywhere (homeschool)</v>
      </c>
      <c r="M380" s="6" t="str">
        <f>IFERROR(__xludf.DUMMYFUNCTION("""COMPUTED_VALUE"""),"")</f>
        <v/>
      </c>
      <c r="N380" s="6" t="str">
        <f>IFERROR(__xludf.DUMMYFUNCTION("""COMPUTED_VALUE"""),"")</f>
        <v/>
      </c>
      <c r="O380" s="87" t="str">
        <f>IFERROR(__xludf.DUMMYFUNCTION("""COMPUTED_VALUE"""),"https://drive.google.com/drive/folders/10T2cTQHqEJZqE-st6uFKPoI?usp=share_link")</f>
        <v>https://drive.google.com/drive/folders/10T2cTQHqEJZqE-st6uFKPoI?usp=share_link</v>
      </c>
      <c r="P380" s="6" t="str">
        <f>IFERROR(__xludf.DUMMYFUNCTION("""COMPUTED_VALUE"""),"Noa McKnight")</f>
        <v>Noa McKnight</v>
      </c>
      <c r="Q380" s="6" t="str">
        <f>IFERROR(__xludf.DUMMYFUNCTION("""COMPUTED_VALUE"""),"L2")</f>
        <v>L2</v>
      </c>
      <c r="R380" s="6">
        <f>IFERROR(__xludf.DUMMYFUNCTION("""COMPUTED_VALUE"""),2.0)</f>
        <v>2</v>
      </c>
      <c r="S380" s="6" t="str">
        <f>IFERROR(__xludf.DUMMYFUNCTION("""COMPUTED_VALUE""")," ")</f>
        <v> </v>
      </c>
      <c r="T380" s="6" t="str">
        <f>IFERROR(__xludf.DUMMYFUNCTION("""COMPUTED_VALUE"""),"")</f>
        <v/>
      </c>
      <c r="U380" s="6" t="str">
        <f>IFERROR(__xludf.DUMMYFUNCTION("""COMPUTED_VALUE"""),"4")</f>
        <v>4</v>
      </c>
      <c r="V380" s="6" t="str">
        <f>IFERROR(__xludf.DUMMYFUNCTION("""COMPUTED_VALUE"""),"")</f>
        <v/>
      </c>
      <c r="W380" s="6" t="str">
        <f>IFERROR(__xludf.DUMMYFUNCTION("""COMPUTED_VALUE"""),"[]")</f>
        <v>[]</v>
      </c>
      <c r="X380" s="6" t="str">
        <f>IFERROR(__xludf.DUMMYFUNCTION("""COMPUTED_VALUE"""),"Enrolled")</f>
        <v>Enrolled</v>
      </c>
    </row>
    <row r="381">
      <c r="A381" s="6" t="str">
        <f>IFERROR(__xludf.DUMMYFUNCTION("""COMPUTED_VALUE"""),"000-7628")</f>
        <v>000-7628</v>
      </c>
      <c r="B381" s="6" t="str">
        <f>IFERROR(__xludf.DUMMYFUNCTION("""COMPUTED_VALUE"""),"0")</f>
        <v>0</v>
      </c>
      <c r="C381" s="6" t="str">
        <f>IFERROR(__xludf.DUMMYFUNCTION("""COMPUTED_VALUE"""),"7628")</f>
        <v>7628</v>
      </c>
      <c r="D381" s="6" t="str">
        <f>IFERROR(__xludf.DUMMYFUNCTION("""COMPUTED_VALUE"""),"LEO")</f>
        <v>LEO</v>
      </c>
      <c r="E381" s="6" t="str">
        <f>IFERROR(__xludf.DUMMYFUNCTION("""COMPUTED_VALUE"""),"LEO")</f>
        <v>LEO</v>
      </c>
      <c r="F381" s="6" t="str">
        <f>IFERROR(__xludf.DUMMYFUNCTION("""COMPUTED_VALUE"""),"BAILEY")</f>
        <v>BAILEY</v>
      </c>
      <c r="G381" s="6" t="str">
        <f>IFERROR(__xludf.DUMMYFUNCTION("""COMPUTED_VALUE"""),"03/04/2012")</f>
        <v>03/04/2012</v>
      </c>
      <c r="H381" s="6" t="str">
        <f>IFERROR(__xludf.DUMMYFUNCTION("""COMPUTED_VALUE"""),"male")</f>
        <v>male</v>
      </c>
      <c r="I381" s="6" t="str">
        <f>IFERROR(__xludf.DUMMYFUNCTION("""COMPUTED_VALUE"""),"Middle School")</f>
        <v>Middle School</v>
      </c>
      <c r="J381" s="6" t="str">
        <f>IFERROR(__xludf.DUMMYFUNCTION("""COMPUTED_VALUE"""),"8")</f>
        <v>8</v>
      </c>
      <c r="K381" s="6" t="str">
        <f>IFERROR(__xludf.DUMMYFUNCTION("""COMPUTED_VALUE"""),"leo.bailey@2hourlearning.com")</f>
        <v>leo.bailey@2hourlearning.com</v>
      </c>
      <c r="L381" s="6" t="str">
        <f>IFERROR(__xludf.DUMMYFUNCTION("""COMPUTED_VALUE"""),"Alpha Anywhere (homeschool)")</f>
        <v>Alpha Anywhere (homeschool)</v>
      </c>
      <c r="M381" s="6" t="str">
        <f>IFERROR(__xludf.DUMMYFUNCTION("""COMPUTED_VALUE"""),"")</f>
        <v/>
      </c>
      <c r="N381" s="6" t="str">
        <f>IFERROR(__xludf.DUMMYFUNCTION("""COMPUTED_VALUE"""),"")</f>
        <v/>
      </c>
      <c r="O381" s="87" t="str">
        <f>IFERROR(__xludf.DUMMYFUNCTION("""COMPUTED_VALUE"""),"https://drive.google.com/drive/folders/10T2cTQHqEJZqE-st6uFKPoI?usp=share_link")</f>
        <v>https://drive.google.com/drive/folders/10T2cTQHqEJZqE-st6uFKPoI?usp=share_link</v>
      </c>
      <c r="P381" s="6" t="str">
        <f>IFERROR(__xludf.DUMMYFUNCTION("""COMPUTED_VALUE"""),"LEO BAILEY")</f>
        <v>LEO BAILEY</v>
      </c>
      <c r="Q381" s="6" t="str">
        <f>IFERROR(__xludf.DUMMYFUNCTION("""COMPUTED_VALUE"""),"MS")</f>
        <v>MS</v>
      </c>
      <c r="R381" s="6">
        <f>IFERROR(__xludf.DUMMYFUNCTION("""COMPUTED_VALUE"""),0.0)</f>
        <v>0</v>
      </c>
      <c r="S381" s="6" t="str">
        <f>IFERROR(__xludf.DUMMYFUNCTION("""COMPUTED_VALUE""")," ")</f>
        <v> </v>
      </c>
      <c r="T381" s="6" t="str">
        <f>IFERROR(__xludf.DUMMYFUNCTION("""COMPUTED_VALUE"""),"")</f>
        <v/>
      </c>
      <c r="U381" s="6" t="str">
        <f>IFERROR(__xludf.DUMMYFUNCTION("""COMPUTED_VALUE"""),"8")</f>
        <v>8</v>
      </c>
      <c r="V381" s="6" t="str">
        <f>IFERROR(__xludf.DUMMYFUNCTION("""COMPUTED_VALUE"""),"")</f>
        <v/>
      </c>
      <c r="W381" s="6" t="str">
        <f>IFERROR(__xludf.DUMMYFUNCTION("""COMPUTED_VALUE"""),"[]")</f>
        <v>[]</v>
      </c>
      <c r="X381" s="6" t="str">
        <f>IFERROR(__xludf.DUMMYFUNCTION("""COMPUTED_VALUE"""),"Enrolled")</f>
        <v>Enrolled</v>
      </c>
    </row>
    <row r="382">
      <c r="A382" s="6" t="str">
        <f>IFERROR(__xludf.DUMMYFUNCTION("""COMPUTED_VALUE"""),"000-7636")</f>
        <v>000-7636</v>
      </c>
      <c r="B382" s="6" t="str">
        <f>IFERROR(__xludf.DUMMYFUNCTION("""COMPUTED_VALUE"""),"0")</f>
        <v>0</v>
      </c>
      <c r="C382" s="6" t="str">
        <f>IFERROR(__xludf.DUMMYFUNCTION("""COMPUTED_VALUE"""),"7636")</f>
        <v>7636</v>
      </c>
      <c r="D382" s="6" t="str">
        <f>IFERROR(__xludf.DUMMYFUNCTION("""COMPUTED_VALUE"""),"Alyssa")</f>
        <v>Alyssa</v>
      </c>
      <c r="E382" s="6" t="str">
        <f>IFERROR(__xludf.DUMMYFUNCTION("""COMPUTED_VALUE"""),"")</f>
        <v/>
      </c>
      <c r="F382" s="6" t="str">
        <f>IFERROR(__xludf.DUMMYFUNCTION("""COMPUTED_VALUE"""),"Hakes")</f>
        <v>Hakes</v>
      </c>
      <c r="G382" s="6" t="str">
        <f>IFERROR(__xludf.DUMMYFUNCTION("""COMPUTED_VALUE"""),"06/26/2011")</f>
        <v>06/26/2011</v>
      </c>
      <c r="H382" s="6" t="str">
        <f>IFERROR(__xludf.DUMMYFUNCTION("""COMPUTED_VALUE"""),"female")</f>
        <v>female</v>
      </c>
      <c r="I382" s="6" t="str">
        <f>IFERROR(__xludf.DUMMYFUNCTION("""COMPUTED_VALUE"""),"Middle School")</f>
        <v>Middle School</v>
      </c>
      <c r="J382" s="6" t="str">
        <f>IFERROR(__xludf.DUMMYFUNCTION("""COMPUTED_VALUE"""),"8")</f>
        <v>8</v>
      </c>
      <c r="K382" s="6" t="str">
        <f>IFERROR(__xludf.DUMMYFUNCTION("""COMPUTED_VALUE"""),"alyssa.hakes@2hourlearning.com")</f>
        <v>alyssa.hakes@2hourlearning.com</v>
      </c>
      <c r="L382" s="6" t="str">
        <f>IFERROR(__xludf.DUMMYFUNCTION("""COMPUTED_VALUE"""),"Alpha Anywhere (homeschool)")</f>
        <v>Alpha Anywhere (homeschool)</v>
      </c>
      <c r="M382" s="6" t="str">
        <f>IFERROR(__xludf.DUMMYFUNCTION("""COMPUTED_VALUE"""),"")</f>
        <v/>
      </c>
      <c r="N382" s="6" t="str">
        <f>IFERROR(__xludf.DUMMYFUNCTION("""COMPUTED_VALUE"""),"")</f>
        <v/>
      </c>
      <c r="O382" s="87" t="str">
        <f>IFERROR(__xludf.DUMMYFUNCTION("""COMPUTED_VALUE"""),"https://drive.google.com/drive/folders/10T2cTQHqEJZqE-st6uFKPoI?usp=share_link")</f>
        <v>https://drive.google.com/drive/folders/10T2cTQHqEJZqE-st6uFKPoI?usp=share_link</v>
      </c>
      <c r="P382" s="6" t="str">
        <f>IFERROR(__xludf.DUMMYFUNCTION("""COMPUTED_VALUE"""),"Alyssa Hakes")</f>
        <v>Alyssa Hakes</v>
      </c>
      <c r="Q382" s="6" t="str">
        <f>IFERROR(__xludf.DUMMYFUNCTION("""COMPUTED_VALUE"""),"MS")</f>
        <v>MS</v>
      </c>
      <c r="R382" s="6">
        <f>IFERROR(__xludf.DUMMYFUNCTION("""COMPUTED_VALUE"""),0.0)</f>
        <v>0</v>
      </c>
      <c r="S382" s="6" t="str">
        <f>IFERROR(__xludf.DUMMYFUNCTION("""COMPUTED_VALUE""")," ")</f>
        <v> </v>
      </c>
      <c r="T382" s="6" t="str">
        <f>IFERROR(__xludf.DUMMYFUNCTION("""COMPUTED_VALUE"""),"")</f>
        <v/>
      </c>
      <c r="U382" s="6" t="str">
        <f>IFERROR(__xludf.DUMMYFUNCTION("""COMPUTED_VALUE"""),"8")</f>
        <v>8</v>
      </c>
      <c r="V382" s="6" t="str">
        <f>IFERROR(__xludf.DUMMYFUNCTION("""COMPUTED_VALUE"""),"")</f>
        <v/>
      </c>
      <c r="W382" s="6" t="str">
        <f>IFERROR(__xludf.DUMMYFUNCTION("""COMPUTED_VALUE"""),"[]")</f>
        <v>[]</v>
      </c>
      <c r="X382" s="6" t="str">
        <f>IFERROR(__xludf.DUMMYFUNCTION("""COMPUTED_VALUE"""),"Enrolled")</f>
        <v>Enrolled</v>
      </c>
    </row>
    <row r="383">
      <c r="A383" s="6" t="str">
        <f>IFERROR(__xludf.DUMMYFUNCTION("""COMPUTED_VALUE"""),"000-7643")</f>
        <v>000-7643</v>
      </c>
      <c r="B383" s="6" t="str">
        <f>IFERROR(__xludf.DUMMYFUNCTION("""COMPUTED_VALUE"""),"0")</f>
        <v>0</v>
      </c>
      <c r="C383" s="6" t="str">
        <f>IFERROR(__xludf.DUMMYFUNCTION("""COMPUTED_VALUE"""),"7643")</f>
        <v>7643</v>
      </c>
      <c r="D383" s="6" t="str">
        <f>IFERROR(__xludf.DUMMYFUNCTION("""COMPUTED_VALUE"""),"Elijah")</f>
        <v>Elijah</v>
      </c>
      <c r="E383" s="6" t="str">
        <f>IFERROR(__xludf.DUMMYFUNCTION("""COMPUTED_VALUE"""),"")</f>
        <v/>
      </c>
      <c r="F383" s="6" t="str">
        <f>IFERROR(__xludf.DUMMYFUNCTION("""COMPUTED_VALUE"""),"Delug")</f>
        <v>Delug</v>
      </c>
      <c r="G383" s="6" t="str">
        <f>IFERROR(__xludf.DUMMYFUNCTION("""COMPUTED_VALUE"""),"02/28/2014")</f>
        <v>02/28/2014</v>
      </c>
      <c r="H383" s="6" t="str">
        <f>IFERROR(__xludf.DUMMYFUNCTION("""COMPUTED_VALUE"""),"male")</f>
        <v>male</v>
      </c>
      <c r="I383" s="6" t="str">
        <f>IFERROR(__xludf.DUMMYFUNCTION("""COMPUTED_VALUE"""),"Middle School")</f>
        <v>Middle School</v>
      </c>
      <c r="J383" s="6" t="str">
        <f>IFERROR(__xludf.DUMMYFUNCTION("""COMPUTED_VALUE"""),"6")</f>
        <v>6</v>
      </c>
      <c r="K383" s="6" t="str">
        <f>IFERROR(__xludf.DUMMYFUNCTION("""COMPUTED_VALUE"""),"elijah.delug@2hourlearning.com")</f>
        <v>elijah.delug@2hourlearning.com</v>
      </c>
      <c r="L383" s="6" t="str">
        <f>IFERROR(__xludf.DUMMYFUNCTION("""COMPUTED_VALUE"""),"Alpha Anywhere (homeschool)")</f>
        <v>Alpha Anywhere (homeschool)</v>
      </c>
      <c r="M383" s="6" t="str">
        <f>IFERROR(__xludf.DUMMYFUNCTION("""COMPUTED_VALUE"""),"")</f>
        <v/>
      </c>
      <c r="N383" s="6" t="str">
        <f>IFERROR(__xludf.DUMMYFUNCTION("""COMPUTED_VALUE"""),"")</f>
        <v/>
      </c>
      <c r="O383" s="87" t="str">
        <f>IFERROR(__xludf.DUMMYFUNCTION("""COMPUTED_VALUE"""),"https://drive.google.com/drive/folders/10T2cTQHqEJZqE-st6uFKPoI?usp=share_link")</f>
        <v>https://drive.google.com/drive/folders/10T2cTQHqEJZqE-st6uFKPoI?usp=share_link</v>
      </c>
      <c r="P383" s="6" t="str">
        <f>IFERROR(__xludf.DUMMYFUNCTION("""COMPUTED_VALUE"""),"Elijah Delug")</f>
        <v>Elijah Delug</v>
      </c>
      <c r="Q383" s="6" t="str">
        <f>IFERROR(__xludf.DUMMYFUNCTION("""COMPUTED_VALUE"""),"MS")</f>
        <v>MS</v>
      </c>
      <c r="R383" s="6">
        <f>IFERROR(__xludf.DUMMYFUNCTION("""COMPUTED_VALUE"""),0.0)</f>
        <v>0</v>
      </c>
      <c r="S383" s="6" t="str">
        <f>IFERROR(__xludf.DUMMYFUNCTION("""COMPUTED_VALUE""")," ")</f>
        <v> </v>
      </c>
      <c r="T383" s="6" t="str">
        <f>IFERROR(__xludf.DUMMYFUNCTION("""COMPUTED_VALUE"""),"")</f>
        <v/>
      </c>
      <c r="U383" s="6" t="str">
        <f>IFERROR(__xludf.DUMMYFUNCTION("""COMPUTED_VALUE"""),"6")</f>
        <v>6</v>
      </c>
      <c r="V383" s="6" t="str">
        <f>IFERROR(__xludf.DUMMYFUNCTION("""COMPUTED_VALUE"""),"")</f>
        <v/>
      </c>
      <c r="W383" s="6" t="str">
        <f>IFERROR(__xludf.DUMMYFUNCTION("""COMPUTED_VALUE"""),"[]")</f>
        <v>[]</v>
      </c>
      <c r="X383" s="6" t="str">
        <f>IFERROR(__xludf.DUMMYFUNCTION("""COMPUTED_VALUE"""),"Enrolled")</f>
        <v>Enrolled</v>
      </c>
    </row>
    <row r="384">
      <c r="A384" s="6" t="str">
        <f>IFERROR(__xludf.DUMMYFUNCTION("""COMPUTED_VALUE"""),"000-7644")</f>
        <v>000-7644</v>
      </c>
      <c r="B384" s="6" t="str">
        <f>IFERROR(__xludf.DUMMYFUNCTION("""COMPUTED_VALUE"""),"0")</f>
        <v>0</v>
      </c>
      <c r="C384" s="6" t="str">
        <f>IFERROR(__xludf.DUMMYFUNCTION("""COMPUTED_VALUE"""),"7644")</f>
        <v>7644</v>
      </c>
      <c r="D384" s="6" t="str">
        <f>IFERROR(__xludf.DUMMYFUNCTION("""COMPUTED_VALUE"""),"akiva")</f>
        <v>akiva</v>
      </c>
      <c r="E384" s="6" t="str">
        <f>IFERROR(__xludf.DUMMYFUNCTION("""COMPUTED_VALUE"""),"")</f>
        <v/>
      </c>
      <c r="F384" s="6" t="str">
        <f>IFERROR(__xludf.DUMMYFUNCTION("""COMPUTED_VALUE"""),"delug")</f>
        <v>delug</v>
      </c>
      <c r="G384" s="6" t="str">
        <f>IFERROR(__xludf.DUMMYFUNCTION("""COMPUTED_VALUE"""),"10/29/2017")</f>
        <v>10/29/2017</v>
      </c>
      <c r="H384" s="6" t="str">
        <f>IFERROR(__xludf.DUMMYFUNCTION("""COMPUTED_VALUE"""),"male")</f>
        <v>male</v>
      </c>
      <c r="I384" s="6" t="str">
        <f>IFERROR(__xludf.DUMMYFUNCTION("""COMPUTED_VALUE"""),"Level 1")</f>
        <v>Level 1</v>
      </c>
      <c r="J384" s="6" t="str">
        <f>IFERROR(__xludf.DUMMYFUNCTION("""COMPUTED_VALUE"""),"3")</f>
        <v>3</v>
      </c>
      <c r="K384" s="6" t="str">
        <f>IFERROR(__xludf.DUMMYFUNCTION("""COMPUTED_VALUE"""),"akiva.delug@2hourlearning.com")</f>
        <v>akiva.delug@2hourlearning.com</v>
      </c>
      <c r="L384" s="6" t="str">
        <f>IFERROR(__xludf.DUMMYFUNCTION("""COMPUTED_VALUE"""),"Alpha Anywhere (homeschool)")</f>
        <v>Alpha Anywhere (homeschool)</v>
      </c>
      <c r="M384" s="6" t="str">
        <f>IFERROR(__xludf.DUMMYFUNCTION("""COMPUTED_VALUE"""),"")</f>
        <v/>
      </c>
      <c r="N384" s="6" t="str">
        <f>IFERROR(__xludf.DUMMYFUNCTION("""COMPUTED_VALUE"""),"")</f>
        <v/>
      </c>
      <c r="O384" s="87" t="str">
        <f>IFERROR(__xludf.DUMMYFUNCTION("""COMPUTED_VALUE"""),"https://drive.google.com/drive/folders/10T2cTQHqEJZqE-st6uFKPoI?usp=share_link")</f>
        <v>https://drive.google.com/drive/folders/10T2cTQHqEJZqE-st6uFKPoI?usp=share_link</v>
      </c>
      <c r="P384" s="6" t="str">
        <f>IFERROR(__xludf.DUMMYFUNCTION("""COMPUTED_VALUE"""),"akiva delug")</f>
        <v>akiva delug</v>
      </c>
      <c r="Q384" s="6" t="str">
        <f>IFERROR(__xludf.DUMMYFUNCTION("""COMPUTED_VALUE"""),"L1")</f>
        <v>L1</v>
      </c>
      <c r="R384" s="6">
        <f>IFERROR(__xludf.DUMMYFUNCTION("""COMPUTED_VALUE"""),1.0)</f>
        <v>1</v>
      </c>
      <c r="S384" s="6" t="str">
        <f>IFERROR(__xludf.DUMMYFUNCTION("""COMPUTED_VALUE""")," ")</f>
        <v> </v>
      </c>
      <c r="T384" s="6" t="str">
        <f>IFERROR(__xludf.DUMMYFUNCTION("""COMPUTED_VALUE"""),"")</f>
        <v/>
      </c>
      <c r="U384" s="6" t="str">
        <f>IFERROR(__xludf.DUMMYFUNCTION("""COMPUTED_VALUE"""),"3")</f>
        <v>3</v>
      </c>
      <c r="V384" s="6" t="str">
        <f>IFERROR(__xludf.DUMMYFUNCTION("""COMPUTED_VALUE"""),"")</f>
        <v/>
      </c>
      <c r="W384" s="6" t="str">
        <f>IFERROR(__xludf.DUMMYFUNCTION("""COMPUTED_VALUE"""),"[]")</f>
        <v>[]</v>
      </c>
      <c r="X384" s="6" t="str">
        <f>IFERROR(__xludf.DUMMYFUNCTION("""COMPUTED_VALUE"""),"Enrolled")</f>
        <v>Enrolled</v>
      </c>
    </row>
    <row r="385">
      <c r="A385" s="6" t="str">
        <f>IFERROR(__xludf.DUMMYFUNCTION("""COMPUTED_VALUE"""),"000-7646")</f>
        <v>000-7646</v>
      </c>
      <c r="B385" s="6" t="str">
        <f>IFERROR(__xludf.DUMMYFUNCTION("""COMPUTED_VALUE"""),"0")</f>
        <v>0</v>
      </c>
      <c r="C385" s="6" t="str">
        <f>IFERROR(__xludf.DUMMYFUNCTION("""COMPUTED_VALUE"""),"7646")</f>
        <v>7646</v>
      </c>
      <c r="D385" s="6" t="str">
        <f>IFERROR(__xludf.DUMMYFUNCTION("""COMPUTED_VALUE"""),"Abbie")</f>
        <v>Abbie</v>
      </c>
      <c r="E385" s="6" t="str">
        <f>IFERROR(__xludf.DUMMYFUNCTION("""COMPUTED_VALUE"""),"Abbie")</f>
        <v>Abbie</v>
      </c>
      <c r="F385" s="6" t="str">
        <f>IFERROR(__xludf.DUMMYFUNCTION("""COMPUTED_VALUE"""),"Skok")</f>
        <v>Skok</v>
      </c>
      <c r="G385" s="6" t="str">
        <f>IFERROR(__xludf.DUMMYFUNCTION("""COMPUTED_VALUE"""),"03/15/2016")</f>
        <v>03/15/2016</v>
      </c>
      <c r="H385" s="6" t="str">
        <f>IFERROR(__xludf.DUMMYFUNCTION("""COMPUTED_VALUE"""),"female")</f>
        <v>female</v>
      </c>
      <c r="I385" s="6" t="str">
        <f>IFERROR(__xludf.DUMMYFUNCTION("""COMPUTED_VALUE"""),"Level 2")</f>
        <v>Level 2</v>
      </c>
      <c r="J385" s="6" t="str">
        <f>IFERROR(__xludf.DUMMYFUNCTION("""COMPUTED_VALUE"""),"4")</f>
        <v>4</v>
      </c>
      <c r="K385" s="6" t="str">
        <f>IFERROR(__xludf.DUMMYFUNCTION("""COMPUTED_VALUE"""),"abbie.skok@2hourlearning.com")</f>
        <v>abbie.skok@2hourlearning.com</v>
      </c>
      <c r="L385" s="6" t="str">
        <f>IFERROR(__xludf.DUMMYFUNCTION("""COMPUTED_VALUE"""),"Alpha Anywhere (homeschool)")</f>
        <v>Alpha Anywhere (homeschool)</v>
      </c>
      <c r="M385" s="6" t="str">
        <f>IFERROR(__xludf.DUMMYFUNCTION("""COMPUTED_VALUE"""),"")</f>
        <v/>
      </c>
      <c r="N385" s="6" t="str">
        <f>IFERROR(__xludf.DUMMYFUNCTION("""COMPUTED_VALUE"""),"")</f>
        <v/>
      </c>
      <c r="O385" s="87" t="str">
        <f>IFERROR(__xludf.DUMMYFUNCTION("""COMPUTED_VALUE"""),"https://drive.google.com/drive/folders/10T2cTQHqEJZqE-st6uFKPoI?usp=share_link")</f>
        <v>https://drive.google.com/drive/folders/10T2cTQHqEJZqE-st6uFKPoI?usp=share_link</v>
      </c>
      <c r="P385" s="6" t="str">
        <f>IFERROR(__xludf.DUMMYFUNCTION("""COMPUTED_VALUE"""),"Abbie Skok")</f>
        <v>Abbie Skok</v>
      </c>
      <c r="Q385" s="6" t="str">
        <f>IFERROR(__xludf.DUMMYFUNCTION("""COMPUTED_VALUE"""),"L2")</f>
        <v>L2</v>
      </c>
      <c r="R385" s="6">
        <f>IFERROR(__xludf.DUMMYFUNCTION("""COMPUTED_VALUE"""),2.0)</f>
        <v>2</v>
      </c>
      <c r="S385" s="6" t="str">
        <f>IFERROR(__xludf.DUMMYFUNCTION("""COMPUTED_VALUE""")," ")</f>
        <v> </v>
      </c>
      <c r="T385" s="6" t="str">
        <f>IFERROR(__xludf.DUMMYFUNCTION("""COMPUTED_VALUE"""),"")</f>
        <v/>
      </c>
      <c r="U385" s="6" t="str">
        <f>IFERROR(__xludf.DUMMYFUNCTION("""COMPUTED_VALUE"""),"4")</f>
        <v>4</v>
      </c>
      <c r="V385" s="6" t="str">
        <f>IFERROR(__xludf.DUMMYFUNCTION("""COMPUTED_VALUE"""),"")</f>
        <v/>
      </c>
      <c r="W385" s="6" t="str">
        <f>IFERROR(__xludf.DUMMYFUNCTION("""COMPUTED_VALUE"""),"[]")</f>
        <v>[]</v>
      </c>
      <c r="X385" s="6" t="str">
        <f>IFERROR(__xludf.DUMMYFUNCTION("""COMPUTED_VALUE"""),"Enrolled")</f>
        <v>Enrolled</v>
      </c>
    </row>
    <row r="386">
      <c r="A386" s="6" t="str">
        <f>IFERROR(__xludf.DUMMYFUNCTION("""COMPUTED_VALUE"""),"000-7667")</f>
        <v>000-7667</v>
      </c>
      <c r="B386" s="6" t="str">
        <f>IFERROR(__xludf.DUMMYFUNCTION("""COMPUTED_VALUE"""),"0")</f>
        <v>0</v>
      </c>
      <c r="C386" s="6" t="str">
        <f>IFERROR(__xludf.DUMMYFUNCTION("""COMPUTED_VALUE"""),"7667")</f>
        <v>7667</v>
      </c>
      <c r="D386" s="6" t="str">
        <f>IFERROR(__xludf.DUMMYFUNCTION("""COMPUTED_VALUE"""),"Alessandra")</f>
        <v>Alessandra</v>
      </c>
      <c r="E386" s="6" t="str">
        <f>IFERROR(__xludf.DUMMYFUNCTION("""COMPUTED_VALUE"""),"AJ")</f>
        <v>AJ</v>
      </c>
      <c r="F386" s="6" t="str">
        <f>IFERROR(__xludf.DUMMYFUNCTION("""COMPUTED_VALUE"""),"Bombino")</f>
        <v>Bombino</v>
      </c>
      <c r="G386" s="6" t="str">
        <f>IFERROR(__xludf.DUMMYFUNCTION("""COMPUTED_VALUE"""),"02/17/2013")</f>
        <v>02/17/2013</v>
      </c>
      <c r="H386" s="6" t="str">
        <f>IFERROR(__xludf.DUMMYFUNCTION("""COMPUTED_VALUE"""),"female")</f>
        <v>female</v>
      </c>
      <c r="I386" s="6" t="str">
        <f>IFERROR(__xludf.DUMMYFUNCTION("""COMPUTED_VALUE"""),"Middle School")</f>
        <v>Middle School</v>
      </c>
      <c r="J386" s="6" t="str">
        <f>IFERROR(__xludf.DUMMYFUNCTION("""COMPUTED_VALUE"""),"7")</f>
        <v>7</v>
      </c>
      <c r="K386" s="6" t="str">
        <f>IFERROR(__xludf.DUMMYFUNCTION("""COMPUTED_VALUE"""),"aj.bombino@2hourlearning.com")</f>
        <v>aj.bombino@2hourlearning.com</v>
      </c>
      <c r="L386" s="6" t="str">
        <f>IFERROR(__xludf.DUMMYFUNCTION("""COMPUTED_VALUE"""),"Alpha Anywhere (homeschool)")</f>
        <v>Alpha Anywhere (homeschool)</v>
      </c>
      <c r="M386" s="6" t="str">
        <f>IFERROR(__xludf.DUMMYFUNCTION("""COMPUTED_VALUE"""),"")</f>
        <v/>
      </c>
      <c r="N386" s="6" t="str">
        <f>IFERROR(__xludf.DUMMYFUNCTION("""COMPUTED_VALUE"""),"")</f>
        <v/>
      </c>
      <c r="O386" s="87" t="str">
        <f>IFERROR(__xludf.DUMMYFUNCTION("""COMPUTED_VALUE"""),"https://drive.google.com/drive/folders/10T2cTQHqEJZqE-st6uFKPoI?usp=share_link")</f>
        <v>https://drive.google.com/drive/folders/10T2cTQHqEJZqE-st6uFKPoI?usp=share_link</v>
      </c>
      <c r="P386" s="6" t="str">
        <f>IFERROR(__xludf.DUMMYFUNCTION("""COMPUTED_VALUE"""),"AJ Bombino")</f>
        <v>AJ Bombino</v>
      </c>
      <c r="Q386" s="6" t="str">
        <f>IFERROR(__xludf.DUMMYFUNCTION("""COMPUTED_VALUE"""),"MS")</f>
        <v>MS</v>
      </c>
      <c r="R386" s="6">
        <f>IFERROR(__xludf.DUMMYFUNCTION("""COMPUTED_VALUE"""),0.0)</f>
        <v>0</v>
      </c>
      <c r="S386" s="6" t="str">
        <f>IFERROR(__xludf.DUMMYFUNCTION("""COMPUTED_VALUE""")," ")</f>
        <v> </v>
      </c>
      <c r="T386" s="6" t="str">
        <f>IFERROR(__xludf.DUMMYFUNCTION("""COMPUTED_VALUE"""),"")</f>
        <v/>
      </c>
      <c r="U386" s="6" t="str">
        <f>IFERROR(__xludf.DUMMYFUNCTION("""COMPUTED_VALUE"""),"7")</f>
        <v>7</v>
      </c>
      <c r="V386" s="6" t="str">
        <f>IFERROR(__xludf.DUMMYFUNCTION("""COMPUTED_VALUE"""),"")</f>
        <v/>
      </c>
      <c r="W386" s="6" t="str">
        <f>IFERROR(__xludf.DUMMYFUNCTION("""COMPUTED_VALUE"""),"[]")</f>
        <v>[]</v>
      </c>
      <c r="X386" s="6" t="str">
        <f>IFERROR(__xludf.DUMMYFUNCTION("""COMPUTED_VALUE"""),"Enrolled")</f>
        <v>Enrolled</v>
      </c>
    </row>
    <row r="387">
      <c r="A387" s="6" t="str">
        <f>IFERROR(__xludf.DUMMYFUNCTION("""COMPUTED_VALUE"""),"000-7672")</f>
        <v>000-7672</v>
      </c>
      <c r="B387" s="6" t="str">
        <f>IFERROR(__xludf.DUMMYFUNCTION("""COMPUTED_VALUE"""),"0")</f>
        <v>0</v>
      </c>
      <c r="C387" s="6" t="str">
        <f>IFERROR(__xludf.DUMMYFUNCTION("""COMPUTED_VALUE"""),"7672")</f>
        <v>7672</v>
      </c>
      <c r="D387" s="6" t="str">
        <f>IFERROR(__xludf.DUMMYFUNCTION("""COMPUTED_VALUE"""),"John")</f>
        <v>John</v>
      </c>
      <c r="E387" s="6" t="str">
        <f>IFERROR(__xludf.DUMMYFUNCTION("""COMPUTED_VALUE"""),"Jack")</f>
        <v>Jack</v>
      </c>
      <c r="F387" s="6" t="str">
        <f>IFERROR(__xludf.DUMMYFUNCTION("""COMPUTED_VALUE"""),"McClure")</f>
        <v>McClure</v>
      </c>
      <c r="G387" s="6" t="str">
        <f>IFERROR(__xludf.DUMMYFUNCTION("""COMPUTED_VALUE"""),"04/11/2015")</f>
        <v>04/11/2015</v>
      </c>
      <c r="H387" s="6" t="str">
        <f>IFERROR(__xludf.DUMMYFUNCTION("""COMPUTED_VALUE"""),"male")</f>
        <v>male</v>
      </c>
      <c r="I387" s="6" t="str">
        <f>IFERROR(__xludf.DUMMYFUNCTION("""COMPUTED_VALUE"""),"Level 2")</f>
        <v>Level 2</v>
      </c>
      <c r="J387" s="6" t="str">
        <f>IFERROR(__xludf.DUMMYFUNCTION("""COMPUTED_VALUE"""),"5")</f>
        <v>5</v>
      </c>
      <c r="K387" s="6" t="str">
        <f>IFERROR(__xludf.DUMMYFUNCTION("""COMPUTED_VALUE"""),"jack.mcclure1@2hourlearning.com")</f>
        <v>jack.mcclure1@2hourlearning.com</v>
      </c>
      <c r="L387" s="6" t="str">
        <f>IFERROR(__xludf.DUMMYFUNCTION("""COMPUTED_VALUE"""),"Alpha Anywhere (homeschool)")</f>
        <v>Alpha Anywhere (homeschool)</v>
      </c>
      <c r="M387" s="6" t="str">
        <f>IFERROR(__xludf.DUMMYFUNCTION("""COMPUTED_VALUE"""),"")</f>
        <v/>
      </c>
      <c r="N387" s="6" t="str">
        <f>IFERROR(__xludf.DUMMYFUNCTION("""COMPUTED_VALUE"""),"")</f>
        <v/>
      </c>
      <c r="O387" s="87" t="str">
        <f>IFERROR(__xludf.DUMMYFUNCTION("""COMPUTED_VALUE"""),"https://drive.google.com/drive/folders/10T2cTQHqEJZqE-st6uFKPoI?usp=share_link")</f>
        <v>https://drive.google.com/drive/folders/10T2cTQHqEJZqE-st6uFKPoI?usp=share_link</v>
      </c>
      <c r="P387" s="6" t="str">
        <f>IFERROR(__xludf.DUMMYFUNCTION("""COMPUTED_VALUE"""),"Jack McClure")</f>
        <v>Jack McClure</v>
      </c>
      <c r="Q387" s="6" t="str">
        <f>IFERROR(__xludf.DUMMYFUNCTION("""COMPUTED_VALUE"""),"L2")</f>
        <v>L2</v>
      </c>
      <c r="R387" s="6">
        <f>IFERROR(__xludf.DUMMYFUNCTION("""COMPUTED_VALUE"""),2.0)</f>
        <v>2</v>
      </c>
      <c r="S387" s="6" t="str">
        <f>IFERROR(__xludf.DUMMYFUNCTION("""COMPUTED_VALUE""")," ")</f>
        <v> </v>
      </c>
      <c r="T387" s="6" t="str">
        <f>IFERROR(__xludf.DUMMYFUNCTION("""COMPUTED_VALUE"""),"")</f>
        <v/>
      </c>
      <c r="U387" s="6" t="str">
        <f>IFERROR(__xludf.DUMMYFUNCTION("""COMPUTED_VALUE"""),"5")</f>
        <v>5</v>
      </c>
      <c r="V387" s="6" t="str">
        <f>IFERROR(__xludf.DUMMYFUNCTION("""COMPUTED_VALUE"""),"")</f>
        <v/>
      </c>
      <c r="W387" s="6" t="str">
        <f>IFERROR(__xludf.DUMMYFUNCTION("""COMPUTED_VALUE"""),"[]")</f>
        <v>[]</v>
      </c>
      <c r="X387" s="6" t="str">
        <f>IFERROR(__xludf.DUMMYFUNCTION("""COMPUTED_VALUE"""),"Enrolled")</f>
        <v>Enrolled</v>
      </c>
    </row>
    <row r="388">
      <c r="A388" s="6" t="str">
        <f>IFERROR(__xludf.DUMMYFUNCTION("""COMPUTED_VALUE"""),"000-7696")</f>
        <v>000-7696</v>
      </c>
      <c r="B388" s="6" t="str">
        <f>IFERROR(__xludf.DUMMYFUNCTION("""COMPUTED_VALUE"""),"0")</f>
        <v>0</v>
      </c>
      <c r="C388" s="6" t="str">
        <f>IFERROR(__xludf.DUMMYFUNCTION("""COMPUTED_VALUE"""),"7696")</f>
        <v>7696</v>
      </c>
      <c r="D388" s="6" t="str">
        <f>IFERROR(__xludf.DUMMYFUNCTION("""COMPUTED_VALUE"""),"Sidney")</f>
        <v>Sidney</v>
      </c>
      <c r="E388" s="6" t="str">
        <f>IFERROR(__xludf.DUMMYFUNCTION("""COMPUTED_VALUE"""),"Sidney")</f>
        <v>Sidney</v>
      </c>
      <c r="F388" s="6" t="str">
        <f>IFERROR(__xludf.DUMMYFUNCTION("""COMPUTED_VALUE"""),"Ridge")</f>
        <v>Ridge</v>
      </c>
      <c r="G388" s="6" t="str">
        <f>IFERROR(__xludf.DUMMYFUNCTION("""COMPUTED_VALUE"""),"08/02/2013")</f>
        <v>08/02/2013</v>
      </c>
      <c r="H388" s="6" t="str">
        <f>IFERROR(__xludf.DUMMYFUNCTION("""COMPUTED_VALUE"""),"female")</f>
        <v>female</v>
      </c>
      <c r="I388" s="6" t="str">
        <f>IFERROR(__xludf.DUMMYFUNCTION("""COMPUTED_VALUE"""),"Middle School")</f>
        <v>Middle School</v>
      </c>
      <c r="J388" s="6" t="str">
        <f>IFERROR(__xludf.DUMMYFUNCTION("""COMPUTED_VALUE"""),"7")</f>
        <v>7</v>
      </c>
      <c r="K388" s="6" t="str">
        <f>IFERROR(__xludf.DUMMYFUNCTION("""COMPUTED_VALUE"""),"sidney.ridge@2hourlearning.com")</f>
        <v>sidney.ridge@2hourlearning.com</v>
      </c>
      <c r="L388" s="6" t="str">
        <f>IFERROR(__xludf.DUMMYFUNCTION("""COMPUTED_VALUE"""),"Alpha Anywhere (homeschool)")</f>
        <v>Alpha Anywhere (homeschool)</v>
      </c>
      <c r="M388" s="6" t="str">
        <f>IFERROR(__xludf.DUMMYFUNCTION("""COMPUTED_VALUE"""),"")</f>
        <v/>
      </c>
      <c r="N388" s="6" t="str">
        <f>IFERROR(__xludf.DUMMYFUNCTION("""COMPUTED_VALUE"""),"")</f>
        <v/>
      </c>
      <c r="O388" s="87" t="str">
        <f>IFERROR(__xludf.DUMMYFUNCTION("""COMPUTED_VALUE"""),"https://drive.google.com/drive/folders/10T2cTQHqEJZqE-st6uFKPoI?usp=share_link")</f>
        <v>https://drive.google.com/drive/folders/10T2cTQHqEJZqE-st6uFKPoI?usp=share_link</v>
      </c>
      <c r="P388" s="6" t="str">
        <f>IFERROR(__xludf.DUMMYFUNCTION("""COMPUTED_VALUE"""),"Sidney Ridge")</f>
        <v>Sidney Ridge</v>
      </c>
      <c r="Q388" s="6" t="str">
        <f>IFERROR(__xludf.DUMMYFUNCTION("""COMPUTED_VALUE"""),"MS")</f>
        <v>MS</v>
      </c>
      <c r="R388" s="6">
        <f>IFERROR(__xludf.DUMMYFUNCTION("""COMPUTED_VALUE"""),0.0)</f>
        <v>0</v>
      </c>
      <c r="S388" s="6" t="str">
        <f>IFERROR(__xludf.DUMMYFUNCTION("""COMPUTED_VALUE""")," ")</f>
        <v> </v>
      </c>
      <c r="T388" s="6" t="str">
        <f>IFERROR(__xludf.DUMMYFUNCTION("""COMPUTED_VALUE"""),"")</f>
        <v/>
      </c>
      <c r="U388" s="6" t="str">
        <f>IFERROR(__xludf.DUMMYFUNCTION("""COMPUTED_VALUE"""),"7")</f>
        <v>7</v>
      </c>
      <c r="V388" s="6" t="str">
        <f>IFERROR(__xludf.DUMMYFUNCTION("""COMPUTED_VALUE"""),"")</f>
        <v/>
      </c>
      <c r="W388" s="6" t="str">
        <f>IFERROR(__xludf.DUMMYFUNCTION("""COMPUTED_VALUE"""),"[]")</f>
        <v>[]</v>
      </c>
      <c r="X388" s="6" t="str">
        <f>IFERROR(__xludf.DUMMYFUNCTION("""COMPUTED_VALUE"""),"Enrolled")</f>
        <v>Enrolled</v>
      </c>
    </row>
    <row r="389">
      <c r="A389" s="6" t="str">
        <f>IFERROR(__xludf.DUMMYFUNCTION("""COMPUTED_VALUE"""),"000-7700")</f>
        <v>000-7700</v>
      </c>
      <c r="B389" s="6" t="str">
        <f>IFERROR(__xludf.DUMMYFUNCTION("""COMPUTED_VALUE"""),"0")</f>
        <v>0</v>
      </c>
      <c r="C389" s="6" t="str">
        <f>IFERROR(__xludf.DUMMYFUNCTION("""COMPUTED_VALUE"""),"7700")</f>
        <v>7700</v>
      </c>
      <c r="D389" s="6" t="str">
        <f>IFERROR(__xludf.DUMMYFUNCTION("""COMPUTED_VALUE"""),"Sydney")</f>
        <v>Sydney</v>
      </c>
      <c r="E389" s="6" t="str">
        <f>IFERROR(__xludf.DUMMYFUNCTION("""COMPUTED_VALUE"""),"Sydney")</f>
        <v>Sydney</v>
      </c>
      <c r="F389" s="6" t="str">
        <f>IFERROR(__xludf.DUMMYFUNCTION("""COMPUTED_VALUE"""),"Khan")</f>
        <v>Khan</v>
      </c>
      <c r="G389" s="6" t="str">
        <f>IFERROR(__xludf.DUMMYFUNCTION("""COMPUTED_VALUE"""),"10/03/2011")</f>
        <v>10/03/2011</v>
      </c>
      <c r="H389" s="6" t="str">
        <f>IFERROR(__xludf.DUMMYFUNCTION("""COMPUTED_VALUE"""),"female")</f>
        <v>female</v>
      </c>
      <c r="I389" s="6" t="str">
        <f>IFERROR(__xludf.DUMMYFUNCTION("""COMPUTED_VALUE"""),"Middle School")</f>
        <v>Middle School</v>
      </c>
      <c r="J389" s="6" t="str">
        <f>IFERROR(__xludf.DUMMYFUNCTION("""COMPUTED_VALUE"""),"8")</f>
        <v>8</v>
      </c>
      <c r="K389" s="6" t="str">
        <f>IFERROR(__xludf.DUMMYFUNCTION("""COMPUTED_VALUE"""),"sydney.khan@2hourlearning.com")</f>
        <v>sydney.khan@2hourlearning.com</v>
      </c>
      <c r="L389" s="6" t="str">
        <f>IFERROR(__xludf.DUMMYFUNCTION("""COMPUTED_VALUE"""),"Alpha Anywhere (homeschool)")</f>
        <v>Alpha Anywhere (homeschool)</v>
      </c>
      <c r="M389" s="6" t="str">
        <f>IFERROR(__xludf.DUMMYFUNCTION("""COMPUTED_VALUE"""),"")</f>
        <v/>
      </c>
      <c r="N389" s="6" t="str">
        <f>IFERROR(__xludf.DUMMYFUNCTION("""COMPUTED_VALUE"""),"")</f>
        <v/>
      </c>
      <c r="O389" s="87" t="str">
        <f>IFERROR(__xludf.DUMMYFUNCTION("""COMPUTED_VALUE"""),"https://drive.google.com/drive/folders/10T2cTQHqEJZqE-st6uFKPoI?usp=share_link")</f>
        <v>https://drive.google.com/drive/folders/10T2cTQHqEJZqE-st6uFKPoI?usp=share_link</v>
      </c>
      <c r="P389" s="6" t="str">
        <f>IFERROR(__xludf.DUMMYFUNCTION("""COMPUTED_VALUE"""),"Sydney Khan")</f>
        <v>Sydney Khan</v>
      </c>
      <c r="Q389" s="6" t="str">
        <f>IFERROR(__xludf.DUMMYFUNCTION("""COMPUTED_VALUE"""),"MS")</f>
        <v>MS</v>
      </c>
      <c r="R389" s="6">
        <f>IFERROR(__xludf.DUMMYFUNCTION("""COMPUTED_VALUE"""),0.0)</f>
        <v>0</v>
      </c>
      <c r="S389" s="6" t="str">
        <f>IFERROR(__xludf.DUMMYFUNCTION("""COMPUTED_VALUE""")," ")</f>
        <v> </v>
      </c>
      <c r="T389" s="6" t="str">
        <f>IFERROR(__xludf.DUMMYFUNCTION("""COMPUTED_VALUE"""),"")</f>
        <v/>
      </c>
      <c r="U389" s="6" t="str">
        <f>IFERROR(__xludf.DUMMYFUNCTION("""COMPUTED_VALUE"""),"8")</f>
        <v>8</v>
      </c>
      <c r="V389" s="6" t="str">
        <f>IFERROR(__xludf.DUMMYFUNCTION("""COMPUTED_VALUE"""),"")</f>
        <v/>
      </c>
      <c r="W389" s="6" t="str">
        <f>IFERROR(__xludf.DUMMYFUNCTION("""COMPUTED_VALUE"""),"[]")</f>
        <v>[]</v>
      </c>
      <c r="X389" s="6" t="str">
        <f>IFERROR(__xludf.DUMMYFUNCTION("""COMPUTED_VALUE"""),"Enrolled")</f>
        <v>Enrolled</v>
      </c>
    </row>
    <row r="390">
      <c r="A390" s="6" t="str">
        <f>IFERROR(__xludf.DUMMYFUNCTION("""COMPUTED_VALUE"""),"000-7701")</f>
        <v>000-7701</v>
      </c>
      <c r="B390" s="6" t="str">
        <f>IFERROR(__xludf.DUMMYFUNCTION("""COMPUTED_VALUE"""),"0")</f>
        <v>0</v>
      </c>
      <c r="C390" s="6" t="str">
        <f>IFERROR(__xludf.DUMMYFUNCTION("""COMPUTED_VALUE"""),"7701")</f>
        <v>7701</v>
      </c>
      <c r="D390" s="6" t="str">
        <f>IFERROR(__xludf.DUMMYFUNCTION("""COMPUTED_VALUE"""),"Charley")</f>
        <v>Charley</v>
      </c>
      <c r="E390" s="6" t="str">
        <f>IFERROR(__xludf.DUMMYFUNCTION("""COMPUTED_VALUE"""),"Charley")</f>
        <v>Charley</v>
      </c>
      <c r="F390" s="6" t="str">
        <f>IFERROR(__xludf.DUMMYFUNCTION("""COMPUTED_VALUE"""),"Swibel")</f>
        <v>Swibel</v>
      </c>
      <c r="G390" s="6" t="str">
        <f>IFERROR(__xludf.DUMMYFUNCTION("""COMPUTED_VALUE"""),"11/14/2015")</f>
        <v>11/14/2015</v>
      </c>
      <c r="H390" s="6" t="str">
        <f>IFERROR(__xludf.DUMMYFUNCTION("""COMPUTED_VALUE"""),"male")</f>
        <v>male</v>
      </c>
      <c r="I390" s="6" t="str">
        <f>IFERROR(__xludf.DUMMYFUNCTION("""COMPUTED_VALUE"""),"Level 2")</f>
        <v>Level 2</v>
      </c>
      <c r="J390" s="6" t="str">
        <f>IFERROR(__xludf.DUMMYFUNCTION("""COMPUTED_VALUE"""),"4")</f>
        <v>4</v>
      </c>
      <c r="K390" s="6" t="str">
        <f>IFERROR(__xludf.DUMMYFUNCTION("""COMPUTED_VALUE"""),"charley.swibel@2hourlearning.com")</f>
        <v>charley.swibel@2hourlearning.com</v>
      </c>
      <c r="L390" s="6" t="str">
        <f>IFERROR(__xludf.DUMMYFUNCTION("""COMPUTED_VALUE"""),"Alpha Anywhere (homeschool)")</f>
        <v>Alpha Anywhere (homeschool)</v>
      </c>
      <c r="M390" s="6" t="str">
        <f>IFERROR(__xludf.DUMMYFUNCTION("""COMPUTED_VALUE"""),"")</f>
        <v/>
      </c>
      <c r="N390" s="6" t="str">
        <f>IFERROR(__xludf.DUMMYFUNCTION("""COMPUTED_VALUE"""),"")</f>
        <v/>
      </c>
      <c r="O390" s="87" t="str">
        <f>IFERROR(__xludf.DUMMYFUNCTION("""COMPUTED_VALUE"""),"https://drive.google.com/drive/folders/10T2cTQHqEJZqE-st6uFKPoI?usp=share_link")</f>
        <v>https://drive.google.com/drive/folders/10T2cTQHqEJZqE-st6uFKPoI?usp=share_link</v>
      </c>
      <c r="P390" s="6" t="str">
        <f>IFERROR(__xludf.DUMMYFUNCTION("""COMPUTED_VALUE"""),"Charley Swibel")</f>
        <v>Charley Swibel</v>
      </c>
      <c r="Q390" s="6" t="str">
        <f>IFERROR(__xludf.DUMMYFUNCTION("""COMPUTED_VALUE"""),"L2")</f>
        <v>L2</v>
      </c>
      <c r="R390" s="6">
        <f>IFERROR(__xludf.DUMMYFUNCTION("""COMPUTED_VALUE"""),2.0)</f>
        <v>2</v>
      </c>
      <c r="S390" s="6" t="str">
        <f>IFERROR(__xludf.DUMMYFUNCTION("""COMPUTED_VALUE""")," ")</f>
        <v> </v>
      </c>
      <c r="T390" s="6" t="str">
        <f>IFERROR(__xludf.DUMMYFUNCTION("""COMPUTED_VALUE"""),"")</f>
        <v/>
      </c>
      <c r="U390" s="6" t="str">
        <f>IFERROR(__xludf.DUMMYFUNCTION("""COMPUTED_VALUE"""),"4")</f>
        <v>4</v>
      </c>
      <c r="V390" s="6" t="str">
        <f>IFERROR(__xludf.DUMMYFUNCTION("""COMPUTED_VALUE"""),"")</f>
        <v/>
      </c>
      <c r="W390" s="6" t="str">
        <f>IFERROR(__xludf.DUMMYFUNCTION("""COMPUTED_VALUE"""),"[]")</f>
        <v>[]</v>
      </c>
      <c r="X390" s="6" t="str">
        <f>IFERROR(__xludf.DUMMYFUNCTION("""COMPUTED_VALUE"""),"Enrolled")</f>
        <v>Enrolled</v>
      </c>
    </row>
    <row r="391">
      <c r="A391" s="6" t="str">
        <f>IFERROR(__xludf.DUMMYFUNCTION("""COMPUTED_VALUE"""),"000-7704")</f>
        <v>000-7704</v>
      </c>
      <c r="B391" s="6" t="str">
        <f>IFERROR(__xludf.DUMMYFUNCTION("""COMPUTED_VALUE"""),"0")</f>
        <v>0</v>
      </c>
      <c r="C391" s="6" t="str">
        <f>IFERROR(__xludf.DUMMYFUNCTION("""COMPUTED_VALUE"""),"7704")</f>
        <v>7704</v>
      </c>
      <c r="D391" s="6" t="str">
        <f>IFERROR(__xludf.DUMMYFUNCTION("""COMPUTED_VALUE"""),"Lexssa")</f>
        <v>Lexssa</v>
      </c>
      <c r="E391" s="6" t="str">
        <f>IFERROR(__xludf.DUMMYFUNCTION("""COMPUTED_VALUE"""),"")</f>
        <v/>
      </c>
      <c r="F391" s="6" t="str">
        <f>IFERROR(__xludf.DUMMYFUNCTION("""COMPUTED_VALUE"""),"Link")</f>
        <v>Link</v>
      </c>
      <c r="G391" s="6" t="str">
        <f>IFERROR(__xludf.DUMMYFUNCTION("""COMPUTED_VALUE"""),"09/10/2012")</f>
        <v>09/10/2012</v>
      </c>
      <c r="H391" s="6" t="str">
        <f>IFERROR(__xludf.DUMMYFUNCTION("""COMPUTED_VALUE"""),"female")</f>
        <v>female</v>
      </c>
      <c r="I391" s="6" t="str">
        <f>IFERROR(__xludf.DUMMYFUNCTION("""COMPUTED_VALUE"""),"Middle School")</f>
        <v>Middle School</v>
      </c>
      <c r="J391" s="6" t="str">
        <f>IFERROR(__xludf.DUMMYFUNCTION("""COMPUTED_VALUE"""),"7")</f>
        <v>7</v>
      </c>
      <c r="K391" s="6" t="str">
        <f>IFERROR(__xludf.DUMMYFUNCTION("""COMPUTED_VALUE"""),"lexssa.link@2hourlearning.com")</f>
        <v>lexssa.link@2hourlearning.com</v>
      </c>
      <c r="L391" s="6" t="str">
        <f>IFERROR(__xludf.DUMMYFUNCTION("""COMPUTED_VALUE"""),"Alpha Anywhere (homeschool)")</f>
        <v>Alpha Anywhere (homeschool)</v>
      </c>
      <c r="M391" s="6" t="str">
        <f>IFERROR(__xludf.DUMMYFUNCTION("""COMPUTED_VALUE"""),"")</f>
        <v/>
      </c>
      <c r="N391" s="6" t="str">
        <f>IFERROR(__xludf.DUMMYFUNCTION("""COMPUTED_VALUE"""),"")</f>
        <v/>
      </c>
      <c r="O391" s="87" t="str">
        <f>IFERROR(__xludf.DUMMYFUNCTION("""COMPUTED_VALUE"""),"https://drive.google.com/drive/folders/10T2cTQHqEJZqE-st6uFKPoI?usp=share_link")</f>
        <v>https://drive.google.com/drive/folders/10T2cTQHqEJZqE-st6uFKPoI?usp=share_link</v>
      </c>
      <c r="P391" s="6" t="str">
        <f>IFERROR(__xludf.DUMMYFUNCTION("""COMPUTED_VALUE"""),"Lexssa Link")</f>
        <v>Lexssa Link</v>
      </c>
      <c r="Q391" s="6" t="str">
        <f>IFERROR(__xludf.DUMMYFUNCTION("""COMPUTED_VALUE"""),"MS")</f>
        <v>MS</v>
      </c>
      <c r="R391" s="6">
        <f>IFERROR(__xludf.DUMMYFUNCTION("""COMPUTED_VALUE"""),0.0)</f>
        <v>0</v>
      </c>
      <c r="S391" s="6" t="str">
        <f>IFERROR(__xludf.DUMMYFUNCTION("""COMPUTED_VALUE""")," ")</f>
        <v> </v>
      </c>
      <c r="T391" s="6" t="str">
        <f>IFERROR(__xludf.DUMMYFUNCTION("""COMPUTED_VALUE"""),"")</f>
        <v/>
      </c>
      <c r="U391" s="6" t="str">
        <f>IFERROR(__xludf.DUMMYFUNCTION("""COMPUTED_VALUE"""),"7")</f>
        <v>7</v>
      </c>
      <c r="V391" s="6" t="str">
        <f>IFERROR(__xludf.DUMMYFUNCTION("""COMPUTED_VALUE"""),"")</f>
        <v/>
      </c>
      <c r="W391" s="6" t="str">
        <f>IFERROR(__xludf.DUMMYFUNCTION("""COMPUTED_VALUE"""),"[]")</f>
        <v>[]</v>
      </c>
      <c r="X391" s="6" t="str">
        <f>IFERROR(__xludf.DUMMYFUNCTION("""COMPUTED_VALUE"""),"Enrolled")</f>
        <v>Enrolled</v>
      </c>
    </row>
    <row r="392">
      <c r="A392" s="6" t="str">
        <f>IFERROR(__xludf.DUMMYFUNCTION("""COMPUTED_VALUE"""),"000-7706")</f>
        <v>000-7706</v>
      </c>
      <c r="B392" s="6" t="str">
        <f>IFERROR(__xludf.DUMMYFUNCTION("""COMPUTED_VALUE"""),"0")</f>
        <v>0</v>
      </c>
      <c r="C392" s="6" t="str">
        <f>IFERROR(__xludf.DUMMYFUNCTION("""COMPUTED_VALUE"""),"7706")</f>
        <v>7706</v>
      </c>
      <c r="D392" s="6" t="str">
        <f>IFERROR(__xludf.DUMMYFUNCTION("""COMPUTED_VALUE"""),"Caroline")</f>
        <v>Caroline</v>
      </c>
      <c r="E392" s="6" t="str">
        <f>IFERROR(__xludf.DUMMYFUNCTION("""COMPUTED_VALUE"""),"Caroline")</f>
        <v>Caroline</v>
      </c>
      <c r="F392" s="6" t="str">
        <f>IFERROR(__xludf.DUMMYFUNCTION("""COMPUTED_VALUE"""),"Biscardi")</f>
        <v>Biscardi</v>
      </c>
      <c r="G392" s="6" t="str">
        <f>IFERROR(__xludf.DUMMYFUNCTION("""COMPUTED_VALUE"""),"12/21/2012")</f>
        <v>12/21/2012</v>
      </c>
      <c r="H392" s="6" t="str">
        <f>IFERROR(__xludf.DUMMYFUNCTION("""COMPUTED_VALUE"""),"female")</f>
        <v>female</v>
      </c>
      <c r="I392" s="6" t="str">
        <f>IFERROR(__xludf.DUMMYFUNCTION("""COMPUTED_VALUE"""),"Middle School")</f>
        <v>Middle School</v>
      </c>
      <c r="J392" s="6" t="str">
        <f>IFERROR(__xludf.DUMMYFUNCTION("""COMPUTED_VALUE"""),"7")</f>
        <v>7</v>
      </c>
      <c r="K392" s="6" t="str">
        <f>IFERROR(__xludf.DUMMYFUNCTION("""COMPUTED_VALUE"""),"caroline.biscardi@2hourlearning.com")</f>
        <v>caroline.biscardi@2hourlearning.com</v>
      </c>
      <c r="L392" s="6" t="str">
        <f>IFERROR(__xludf.DUMMYFUNCTION("""COMPUTED_VALUE"""),"Alpha Anywhere (homeschool)")</f>
        <v>Alpha Anywhere (homeschool)</v>
      </c>
      <c r="M392" s="6" t="str">
        <f>IFERROR(__xludf.DUMMYFUNCTION("""COMPUTED_VALUE"""),"")</f>
        <v/>
      </c>
      <c r="N392" s="6" t="str">
        <f>IFERROR(__xludf.DUMMYFUNCTION("""COMPUTED_VALUE"""),"")</f>
        <v/>
      </c>
      <c r="O392" s="87" t="str">
        <f>IFERROR(__xludf.DUMMYFUNCTION("""COMPUTED_VALUE"""),"https://drive.google.com/drive/folders/10T2cTQHqEJZqE-st6uFKPoI?usp=share_link")</f>
        <v>https://drive.google.com/drive/folders/10T2cTQHqEJZqE-st6uFKPoI?usp=share_link</v>
      </c>
      <c r="P392" s="6" t="str">
        <f>IFERROR(__xludf.DUMMYFUNCTION("""COMPUTED_VALUE"""),"Caroline Biscardi")</f>
        <v>Caroline Biscardi</v>
      </c>
      <c r="Q392" s="6" t="str">
        <f>IFERROR(__xludf.DUMMYFUNCTION("""COMPUTED_VALUE"""),"MS")</f>
        <v>MS</v>
      </c>
      <c r="R392" s="6">
        <f>IFERROR(__xludf.DUMMYFUNCTION("""COMPUTED_VALUE"""),0.0)</f>
        <v>0</v>
      </c>
      <c r="S392" s="6" t="str">
        <f>IFERROR(__xludf.DUMMYFUNCTION("""COMPUTED_VALUE""")," ")</f>
        <v> </v>
      </c>
      <c r="T392" s="6" t="str">
        <f>IFERROR(__xludf.DUMMYFUNCTION("""COMPUTED_VALUE"""),"")</f>
        <v/>
      </c>
      <c r="U392" s="6" t="str">
        <f>IFERROR(__xludf.DUMMYFUNCTION("""COMPUTED_VALUE"""),"7")</f>
        <v>7</v>
      </c>
      <c r="V392" s="6" t="str">
        <f>IFERROR(__xludf.DUMMYFUNCTION("""COMPUTED_VALUE"""),"")</f>
        <v/>
      </c>
      <c r="W392" s="6" t="str">
        <f>IFERROR(__xludf.DUMMYFUNCTION("""COMPUTED_VALUE"""),"[]")</f>
        <v>[]</v>
      </c>
      <c r="X392" s="6" t="str">
        <f>IFERROR(__xludf.DUMMYFUNCTION("""COMPUTED_VALUE"""),"Enrolled")</f>
        <v>Enrolled</v>
      </c>
    </row>
    <row r="393">
      <c r="A393" s="6" t="str">
        <f>IFERROR(__xludf.DUMMYFUNCTION("""COMPUTED_VALUE"""),"000-7707")</f>
        <v>000-7707</v>
      </c>
      <c r="B393" s="6" t="str">
        <f>IFERROR(__xludf.DUMMYFUNCTION("""COMPUTED_VALUE"""),"0")</f>
        <v>0</v>
      </c>
      <c r="C393" s="6" t="str">
        <f>IFERROR(__xludf.DUMMYFUNCTION("""COMPUTED_VALUE"""),"7707")</f>
        <v>7707</v>
      </c>
      <c r="D393" s="6" t="str">
        <f>IFERROR(__xludf.DUMMYFUNCTION("""COMPUTED_VALUE"""),"Hayden")</f>
        <v>Hayden</v>
      </c>
      <c r="E393" s="6" t="str">
        <f>IFERROR(__xludf.DUMMYFUNCTION("""COMPUTED_VALUE"""),"Hayden")</f>
        <v>Hayden</v>
      </c>
      <c r="F393" s="6" t="str">
        <f>IFERROR(__xludf.DUMMYFUNCTION("""COMPUTED_VALUE"""),"Currie")</f>
        <v>Currie</v>
      </c>
      <c r="G393" s="6" t="str">
        <f>IFERROR(__xludf.DUMMYFUNCTION("""COMPUTED_VALUE"""),"09/23/2015")</f>
        <v>09/23/2015</v>
      </c>
      <c r="H393" s="6" t="str">
        <f>IFERROR(__xludf.DUMMYFUNCTION("""COMPUTED_VALUE"""),"male")</f>
        <v>male</v>
      </c>
      <c r="I393" s="6" t="str">
        <f>IFERROR(__xludf.DUMMYFUNCTION("""COMPUTED_VALUE"""),"Level 2")</f>
        <v>Level 2</v>
      </c>
      <c r="J393" s="6" t="str">
        <f>IFERROR(__xludf.DUMMYFUNCTION("""COMPUTED_VALUE"""),"4")</f>
        <v>4</v>
      </c>
      <c r="K393" s="6" t="str">
        <f>IFERROR(__xludf.DUMMYFUNCTION("""COMPUTED_VALUE"""),"hayden.currie@2hourlearning.com")</f>
        <v>hayden.currie@2hourlearning.com</v>
      </c>
      <c r="L393" s="6" t="str">
        <f>IFERROR(__xludf.DUMMYFUNCTION("""COMPUTED_VALUE"""),"Alpha Anywhere (homeschool)")</f>
        <v>Alpha Anywhere (homeschool)</v>
      </c>
      <c r="M393" s="6" t="str">
        <f>IFERROR(__xludf.DUMMYFUNCTION("""COMPUTED_VALUE"""),"")</f>
        <v/>
      </c>
      <c r="N393" s="6" t="str">
        <f>IFERROR(__xludf.DUMMYFUNCTION("""COMPUTED_VALUE"""),"")</f>
        <v/>
      </c>
      <c r="O393" s="87" t="str">
        <f>IFERROR(__xludf.DUMMYFUNCTION("""COMPUTED_VALUE"""),"https://drive.google.com/drive/folders/10T2cTQHqEJZqE-st6uFKPoI?usp=share_link")</f>
        <v>https://drive.google.com/drive/folders/10T2cTQHqEJZqE-st6uFKPoI?usp=share_link</v>
      </c>
      <c r="P393" s="6" t="str">
        <f>IFERROR(__xludf.DUMMYFUNCTION("""COMPUTED_VALUE"""),"Hayden Currie")</f>
        <v>Hayden Currie</v>
      </c>
      <c r="Q393" s="6" t="str">
        <f>IFERROR(__xludf.DUMMYFUNCTION("""COMPUTED_VALUE"""),"L2")</f>
        <v>L2</v>
      </c>
      <c r="R393" s="6">
        <f>IFERROR(__xludf.DUMMYFUNCTION("""COMPUTED_VALUE"""),2.0)</f>
        <v>2</v>
      </c>
      <c r="S393" s="6" t="str">
        <f>IFERROR(__xludf.DUMMYFUNCTION("""COMPUTED_VALUE""")," ")</f>
        <v> </v>
      </c>
      <c r="T393" s="6" t="str">
        <f>IFERROR(__xludf.DUMMYFUNCTION("""COMPUTED_VALUE"""),"")</f>
        <v/>
      </c>
      <c r="U393" s="6" t="str">
        <f>IFERROR(__xludf.DUMMYFUNCTION("""COMPUTED_VALUE"""),"4")</f>
        <v>4</v>
      </c>
      <c r="V393" s="6" t="str">
        <f>IFERROR(__xludf.DUMMYFUNCTION("""COMPUTED_VALUE"""),"")</f>
        <v/>
      </c>
      <c r="W393" s="6" t="str">
        <f>IFERROR(__xludf.DUMMYFUNCTION("""COMPUTED_VALUE"""),"[]")</f>
        <v>[]</v>
      </c>
      <c r="X393" s="6" t="str">
        <f>IFERROR(__xludf.DUMMYFUNCTION("""COMPUTED_VALUE"""),"Enrolled")</f>
        <v>Enrolled</v>
      </c>
    </row>
    <row r="394">
      <c r="A394" s="6" t="str">
        <f>IFERROR(__xludf.DUMMYFUNCTION("""COMPUTED_VALUE"""),"000-7709")</f>
        <v>000-7709</v>
      </c>
      <c r="B394" s="6" t="str">
        <f>IFERROR(__xludf.DUMMYFUNCTION("""COMPUTED_VALUE"""),"0")</f>
        <v>0</v>
      </c>
      <c r="C394" s="6" t="str">
        <f>IFERROR(__xludf.DUMMYFUNCTION("""COMPUTED_VALUE"""),"7709")</f>
        <v>7709</v>
      </c>
      <c r="D394" s="6" t="str">
        <f>IFERROR(__xludf.DUMMYFUNCTION("""COMPUTED_VALUE"""),"Owen")</f>
        <v>Owen</v>
      </c>
      <c r="E394" s="6" t="str">
        <f>IFERROR(__xludf.DUMMYFUNCTION("""COMPUTED_VALUE"""),"")</f>
        <v/>
      </c>
      <c r="F394" s="6" t="str">
        <f>IFERROR(__xludf.DUMMYFUNCTION("""COMPUTED_VALUE"""),"Burdick")</f>
        <v>Burdick</v>
      </c>
      <c r="G394" s="6" t="str">
        <f>IFERROR(__xludf.DUMMYFUNCTION("""COMPUTED_VALUE"""),"08/30/2009")</f>
        <v>08/30/2009</v>
      </c>
      <c r="H394" s="6" t="str">
        <f>IFERROR(__xludf.DUMMYFUNCTION("""COMPUTED_VALUE"""),"male")</f>
        <v>male</v>
      </c>
      <c r="I394" s="6" t="str">
        <f>IFERROR(__xludf.DUMMYFUNCTION("""COMPUTED_VALUE"""),"High School")</f>
        <v>High School</v>
      </c>
      <c r="J394" s="6" t="str">
        <f>IFERROR(__xludf.DUMMYFUNCTION("""COMPUTED_VALUE"""),"10")</f>
        <v>10</v>
      </c>
      <c r="K394" s="6" t="str">
        <f>IFERROR(__xludf.DUMMYFUNCTION("""COMPUTED_VALUE"""),"owen.burdick@2hourlearning.com")</f>
        <v>owen.burdick@2hourlearning.com</v>
      </c>
      <c r="L394" s="6" t="str">
        <f>IFERROR(__xludf.DUMMYFUNCTION("""COMPUTED_VALUE"""),"Alpha Anywhere (homeschool)")</f>
        <v>Alpha Anywhere (homeschool)</v>
      </c>
      <c r="M394" s="6" t="str">
        <f>IFERROR(__xludf.DUMMYFUNCTION("""COMPUTED_VALUE"""),"")</f>
        <v/>
      </c>
      <c r="N394" s="6" t="str">
        <f>IFERROR(__xludf.DUMMYFUNCTION("""COMPUTED_VALUE"""),"")</f>
        <v/>
      </c>
      <c r="O394" s="87" t="str">
        <f>IFERROR(__xludf.DUMMYFUNCTION("""COMPUTED_VALUE"""),"https://drive.google.com/drive/folders/10T2cTQHqEJZqE-st6uFKPoI?usp=share_link")</f>
        <v>https://drive.google.com/drive/folders/10T2cTQHqEJZqE-st6uFKPoI?usp=share_link</v>
      </c>
      <c r="P394" s="6" t="str">
        <f>IFERROR(__xludf.DUMMYFUNCTION("""COMPUTED_VALUE"""),"Owen Burdick")</f>
        <v>Owen Burdick</v>
      </c>
      <c r="Q394" s="6" t="str">
        <f>IFERROR(__xludf.DUMMYFUNCTION("""COMPUTED_VALUE"""),"HS")</f>
        <v>HS</v>
      </c>
      <c r="R394" s="6">
        <f>IFERROR(__xludf.DUMMYFUNCTION("""COMPUTED_VALUE"""),0.0)</f>
        <v>0</v>
      </c>
      <c r="S394" s="6" t="str">
        <f>IFERROR(__xludf.DUMMYFUNCTION("""COMPUTED_VALUE""")," ")</f>
        <v> </v>
      </c>
      <c r="T394" s="6" t="str">
        <f>IFERROR(__xludf.DUMMYFUNCTION("""COMPUTED_VALUE"""),"")</f>
        <v/>
      </c>
      <c r="U394" s="6" t="str">
        <f>IFERROR(__xludf.DUMMYFUNCTION("""COMPUTED_VALUE"""),"10")</f>
        <v>10</v>
      </c>
      <c r="V394" s="6" t="str">
        <f>IFERROR(__xludf.DUMMYFUNCTION("""COMPUTED_VALUE"""),"")</f>
        <v/>
      </c>
      <c r="W394" s="6" t="str">
        <f>IFERROR(__xludf.DUMMYFUNCTION("""COMPUTED_VALUE"""),"[]")</f>
        <v>[]</v>
      </c>
      <c r="X394" s="6" t="str">
        <f>IFERROR(__xludf.DUMMYFUNCTION("""COMPUTED_VALUE"""),"Enrolled")</f>
        <v>Enrolled</v>
      </c>
    </row>
    <row r="395">
      <c r="A395" s="6" t="str">
        <f>IFERROR(__xludf.DUMMYFUNCTION("""COMPUTED_VALUE"""),"000-7710")</f>
        <v>000-7710</v>
      </c>
      <c r="B395" s="6" t="str">
        <f>IFERROR(__xludf.DUMMYFUNCTION("""COMPUTED_VALUE"""),"0")</f>
        <v>0</v>
      </c>
      <c r="C395" s="6" t="str">
        <f>IFERROR(__xludf.DUMMYFUNCTION("""COMPUTED_VALUE"""),"7710")</f>
        <v>7710</v>
      </c>
      <c r="D395" s="6" t="str">
        <f>IFERROR(__xludf.DUMMYFUNCTION("""COMPUTED_VALUE"""),"Cash")</f>
        <v>Cash</v>
      </c>
      <c r="E395" s="6" t="str">
        <f>IFERROR(__xludf.DUMMYFUNCTION("""COMPUTED_VALUE"""),"")</f>
        <v/>
      </c>
      <c r="F395" s="6" t="str">
        <f>IFERROR(__xludf.DUMMYFUNCTION("""COMPUTED_VALUE"""),"Turner")</f>
        <v>Turner</v>
      </c>
      <c r="G395" s="6" t="str">
        <f>IFERROR(__xludf.DUMMYFUNCTION("""COMPUTED_VALUE"""),"08/20/2014")</f>
        <v>08/20/2014</v>
      </c>
      <c r="H395" s="6" t="str">
        <f>IFERROR(__xludf.DUMMYFUNCTION("""COMPUTED_VALUE"""),"male")</f>
        <v>male</v>
      </c>
      <c r="I395" s="6" t="str">
        <f>IFERROR(__xludf.DUMMYFUNCTION("""COMPUTED_VALUE"""),"Middle School")</f>
        <v>Middle School</v>
      </c>
      <c r="J395" s="6" t="str">
        <f>IFERROR(__xludf.DUMMYFUNCTION("""COMPUTED_VALUE"""),"6")</f>
        <v>6</v>
      </c>
      <c r="K395" s="6" t="str">
        <f>IFERROR(__xludf.DUMMYFUNCTION("""COMPUTED_VALUE"""),"cash.turner@2hourlearning.com")</f>
        <v>cash.turner@2hourlearning.com</v>
      </c>
      <c r="L395" s="6" t="str">
        <f>IFERROR(__xludf.DUMMYFUNCTION("""COMPUTED_VALUE"""),"Alpha Anywhere (homeschool)")</f>
        <v>Alpha Anywhere (homeschool)</v>
      </c>
      <c r="M395" s="6" t="str">
        <f>IFERROR(__xludf.DUMMYFUNCTION("""COMPUTED_VALUE"""),"")</f>
        <v/>
      </c>
      <c r="N395" s="6" t="str">
        <f>IFERROR(__xludf.DUMMYFUNCTION("""COMPUTED_VALUE"""),"")</f>
        <v/>
      </c>
      <c r="O395" s="87" t="str">
        <f>IFERROR(__xludf.DUMMYFUNCTION("""COMPUTED_VALUE"""),"https://drive.google.com/drive/folders/10T2cTQHqEJZqE-st6uFKPoI?usp=share_link")</f>
        <v>https://drive.google.com/drive/folders/10T2cTQHqEJZqE-st6uFKPoI?usp=share_link</v>
      </c>
      <c r="P395" s="6" t="str">
        <f>IFERROR(__xludf.DUMMYFUNCTION("""COMPUTED_VALUE"""),"Cash Turner")</f>
        <v>Cash Turner</v>
      </c>
      <c r="Q395" s="6" t="str">
        <f>IFERROR(__xludf.DUMMYFUNCTION("""COMPUTED_VALUE"""),"MS")</f>
        <v>MS</v>
      </c>
      <c r="R395" s="6">
        <f>IFERROR(__xludf.DUMMYFUNCTION("""COMPUTED_VALUE"""),0.0)</f>
        <v>0</v>
      </c>
      <c r="S395" s="6" t="str">
        <f>IFERROR(__xludf.DUMMYFUNCTION("""COMPUTED_VALUE""")," ")</f>
        <v> </v>
      </c>
      <c r="T395" s="6" t="str">
        <f>IFERROR(__xludf.DUMMYFUNCTION("""COMPUTED_VALUE"""),"")</f>
        <v/>
      </c>
      <c r="U395" s="6" t="str">
        <f>IFERROR(__xludf.DUMMYFUNCTION("""COMPUTED_VALUE"""),"6")</f>
        <v>6</v>
      </c>
      <c r="V395" s="6" t="str">
        <f>IFERROR(__xludf.DUMMYFUNCTION("""COMPUTED_VALUE"""),"")</f>
        <v/>
      </c>
      <c r="W395" s="6" t="str">
        <f>IFERROR(__xludf.DUMMYFUNCTION("""COMPUTED_VALUE"""),"[]")</f>
        <v>[]</v>
      </c>
      <c r="X395" s="6" t="str">
        <f>IFERROR(__xludf.DUMMYFUNCTION("""COMPUTED_VALUE"""),"Enrolled")</f>
        <v>Enrolled</v>
      </c>
    </row>
    <row r="396">
      <c r="A396" s="6" t="str">
        <f>IFERROR(__xludf.DUMMYFUNCTION("""COMPUTED_VALUE"""),"000-7712")</f>
        <v>000-7712</v>
      </c>
      <c r="B396" s="6" t="str">
        <f>IFERROR(__xludf.DUMMYFUNCTION("""COMPUTED_VALUE"""),"0")</f>
        <v>0</v>
      </c>
      <c r="C396" s="6" t="str">
        <f>IFERROR(__xludf.DUMMYFUNCTION("""COMPUTED_VALUE"""),"7712")</f>
        <v>7712</v>
      </c>
      <c r="D396" s="6" t="str">
        <f>IFERROR(__xludf.DUMMYFUNCTION("""COMPUTED_VALUE"""),"Xavier")</f>
        <v>Xavier</v>
      </c>
      <c r="E396" s="6" t="str">
        <f>IFERROR(__xludf.DUMMYFUNCTION("""COMPUTED_VALUE"""),"Xavier")</f>
        <v>Xavier</v>
      </c>
      <c r="F396" s="6" t="str">
        <f>IFERROR(__xludf.DUMMYFUNCTION("""COMPUTED_VALUE"""),"Olsen")</f>
        <v>Olsen</v>
      </c>
      <c r="G396" s="6" t="str">
        <f>IFERROR(__xludf.DUMMYFUNCTION("""COMPUTED_VALUE"""),"04/30/2013")</f>
        <v>04/30/2013</v>
      </c>
      <c r="H396" s="6" t="str">
        <f>IFERROR(__xludf.DUMMYFUNCTION("""COMPUTED_VALUE"""),"male")</f>
        <v>male</v>
      </c>
      <c r="I396" s="6" t="str">
        <f>IFERROR(__xludf.DUMMYFUNCTION("""COMPUTED_VALUE"""),"Middle School")</f>
        <v>Middle School</v>
      </c>
      <c r="J396" s="6" t="str">
        <f>IFERROR(__xludf.DUMMYFUNCTION("""COMPUTED_VALUE"""),"7")</f>
        <v>7</v>
      </c>
      <c r="K396" s="6" t="str">
        <f>IFERROR(__xludf.DUMMYFUNCTION("""COMPUTED_VALUE"""),"xavier.olsen@2hourlearning.com")</f>
        <v>xavier.olsen@2hourlearning.com</v>
      </c>
      <c r="L396" s="6" t="str">
        <f>IFERROR(__xludf.DUMMYFUNCTION("""COMPUTED_VALUE"""),"Alpha Anywhere (homeschool)")</f>
        <v>Alpha Anywhere (homeschool)</v>
      </c>
      <c r="M396" s="6" t="str">
        <f>IFERROR(__xludf.DUMMYFUNCTION("""COMPUTED_VALUE"""),"")</f>
        <v/>
      </c>
      <c r="N396" s="6" t="str">
        <f>IFERROR(__xludf.DUMMYFUNCTION("""COMPUTED_VALUE"""),"")</f>
        <v/>
      </c>
      <c r="O396" s="87" t="str">
        <f>IFERROR(__xludf.DUMMYFUNCTION("""COMPUTED_VALUE"""),"https://drive.google.com/drive/folders/10T2cTQHqEJZqE-st6uFKPoI?usp=share_link")</f>
        <v>https://drive.google.com/drive/folders/10T2cTQHqEJZqE-st6uFKPoI?usp=share_link</v>
      </c>
      <c r="P396" s="6" t="str">
        <f>IFERROR(__xludf.DUMMYFUNCTION("""COMPUTED_VALUE"""),"Xavier Olsen")</f>
        <v>Xavier Olsen</v>
      </c>
      <c r="Q396" s="6" t="str">
        <f>IFERROR(__xludf.DUMMYFUNCTION("""COMPUTED_VALUE"""),"MS")</f>
        <v>MS</v>
      </c>
      <c r="R396" s="6">
        <f>IFERROR(__xludf.DUMMYFUNCTION("""COMPUTED_VALUE"""),0.0)</f>
        <v>0</v>
      </c>
      <c r="S396" s="6" t="str">
        <f>IFERROR(__xludf.DUMMYFUNCTION("""COMPUTED_VALUE""")," ")</f>
        <v> </v>
      </c>
      <c r="T396" s="6" t="str">
        <f>IFERROR(__xludf.DUMMYFUNCTION("""COMPUTED_VALUE"""),"")</f>
        <v/>
      </c>
      <c r="U396" s="6" t="str">
        <f>IFERROR(__xludf.DUMMYFUNCTION("""COMPUTED_VALUE"""),"7")</f>
        <v>7</v>
      </c>
      <c r="V396" s="6" t="str">
        <f>IFERROR(__xludf.DUMMYFUNCTION("""COMPUTED_VALUE"""),"")</f>
        <v/>
      </c>
      <c r="W396" s="6" t="str">
        <f>IFERROR(__xludf.DUMMYFUNCTION("""COMPUTED_VALUE"""),"[]")</f>
        <v>[]</v>
      </c>
      <c r="X396" s="6" t="str">
        <f>IFERROR(__xludf.DUMMYFUNCTION("""COMPUTED_VALUE"""),"Enrolled")</f>
        <v>Enrolled</v>
      </c>
    </row>
    <row r="397">
      <c r="A397" s="6" t="str">
        <f>IFERROR(__xludf.DUMMYFUNCTION("""COMPUTED_VALUE"""),"000-7720")</f>
        <v>000-7720</v>
      </c>
      <c r="B397" s="6" t="str">
        <f>IFERROR(__xludf.DUMMYFUNCTION("""COMPUTED_VALUE"""),"0")</f>
        <v>0</v>
      </c>
      <c r="C397" s="6" t="str">
        <f>IFERROR(__xludf.DUMMYFUNCTION("""COMPUTED_VALUE"""),"7720")</f>
        <v>7720</v>
      </c>
      <c r="D397" s="6" t="str">
        <f>IFERROR(__xludf.DUMMYFUNCTION("""COMPUTED_VALUE"""),"Solomon")</f>
        <v>Solomon</v>
      </c>
      <c r="E397" s="6" t="str">
        <f>IFERROR(__xludf.DUMMYFUNCTION("""COMPUTED_VALUE"""),"Solly")</f>
        <v>Solly</v>
      </c>
      <c r="F397" s="6" t="str">
        <f>IFERROR(__xludf.DUMMYFUNCTION("""COMPUTED_VALUE"""),"Silin")</f>
        <v>Silin</v>
      </c>
      <c r="G397" s="6" t="str">
        <f>IFERROR(__xludf.DUMMYFUNCTION("""COMPUTED_VALUE"""),"12/19/2016")</f>
        <v>12/19/2016</v>
      </c>
      <c r="H397" s="6" t="str">
        <f>IFERROR(__xludf.DUMMYFUNCTION("""COMPUTED_VALUE"""),"male")</f>
        <v>male</v>
      </c>
      <c r="I397" s="6" t="str">
        <f>IFERROR(__xludf.DUMMYFUNCTION("""COMPUTED_VALUE"""),"Level 1")</f>
        <v>Level 1</v>
      </c>
      <c r="J397" s="6" t="str">
        <f>IFERROR(__xludf.DUMMYFUNCTION("""COMPUTED_VALUE"""),"3")</f>
        <v>3</v>
      </c>
      <c r="K397" s="6" t="str">
        <f>IFERROR(__xludf.DUMMYFUNCTION("""COMPUTED_VALUE"""),"solly.silin@2hourlearning.com")</f>
        <v>solly.silin@2hourlearning.com</v>
      </c>
      <c r="L397" s="6" t="str">
        <f>IFERROR(__xludf.DUMMYFUNCTION("""COMPUTED_VALUE"""),"Alpha Anywhere (homeschool)")</f>
        <v>Alpha Anywhere (homeschool)</v>
      </c>
      <c r="M397" s="6" t="str">
        <f>IFERROR(__xludf.DUMMYFUNCTION("""COMPUTED_VALUE"""),"")</f>
        <v/>
      </c>
      <c r="N397" s="6" t="str">
        <f>IFERROR(__xludf.DUMMYFUNCTION("""COMPUTED_VALUE"""),"")</f>
        <v/>
      </c>
      <c r="O397" s="87" t="str">
        <f>IFERROR(__xludf.DUMMYFUNCTION("""COMPUTED_VALUE"""),"https://drive.google.com/drive/folders/10T2cTQHqEJZqE-st6uFKPoI?usp=share_link")</f>
        <v>https://drive.google.com/drive/folders/10T2cTQHqEJZqE-st6uFKPoI?usp=share_link</v>
      </c>
      <c r="P397" s="6" t="str">
        <f>IFERROR(__xludf.DUMMYFUNCTION("""COMPUTED_VALUE"""),"Solly Silin")</f>
        <v>Solly Silin</v>
      </c>
      <c r="Q397" s="6" t="str">
        <f>IFERROR(__xludf.DUMMYFUNCTION("""COMPUTED_VALUE"""),"L1")</f>
        <v>L1</v>
      </c>
      <c r="R397" s="6">
        <f>IFERROR(__xludf.DUMMYFUNCTION("""COMPUTED_VALUE"""),1.0)</f>
        <v>1</v>
      </c>
      <c r="S397" s="6" t="str">
        <f>IFERROR(__xludf.DUMMYFUNCTION("""COMPUTED_VALUE""")," ")</f>
        <v> </v>
      </c>
      <c r="T397" s="6" t="str">
        <f>IFERROR(__xludf.DUMMYFUNCTION("""COMPUTED_VALUE"""),"")</f>
        <v/>
      </c>
      <c r="U397" s="6" t="str">
        <f>IFERROR(__xludf.DUMMYFUNCTION("""COMPUTED_VALUE"""),"3")</f>
        <v>3</v>
      </c>
      <c r="V397" s="6" t="str">
        <f>IFERROR(__xludf.DUMMYFUNCTION("""COMPUTED_VALUE"""),"")</f>
        <v/>
      </c>
      <c r="W397" s="6" t="str">
        <f>IFERROR(__xludf.DUMMYFUNCTION("""COMPUTED_VALUE"""),"[]")</f>
        <v>[]</v>
      </c>
      <c r="X397" s="6" t="str">
        <f>IFERROR(__xludf.DUMMYFUNCTION("""COMPUTED_VALUE"""),"Enrolled")</f>
        <v>Enrolled</v>
      </c>
    </row>
    <row r="398">
      <c r="A398" s="6" t="str">
        <f>IFERROR(__xludf.DUMMYFUNCTION("""COMPUTED_VALUE"""),"000-7751")</f>
        <v>000-7751</v>
      </c>
      <c r="B398" s="6" t="str">
        <f>IFERROR(__xludf.DUMMYFUNCTION("""COMPUTED_VALUE"""),"0")</f>
        <v>0</v>
      </c>
      <c r="C398" s="6" t="str">
        <f>IFERROR(__xludf.DUMMYFUNCTION("""COMPUTED_VALUE"""),"7751")</f>
        <v>7751</v>
      </c>
      <c r="D398" s="6" t="str">
        <f>IFERROR(__xludf.DUMMYFUNCTION("""COMPUTED_VALUE"""),"Sebastian")</f>
        <v>Sebastian</v>
      </c>
      <c r="E398" s="6" t="str">
        <f>IFERROR(__xludf.DUMMYFUNCTION("""COMPUTED_VALUE"""),"")</f>
        <v/>
      </c>
      <c r="F398" s="6" t="str">
        <f>IFERROR(__xludf.DUMMYFUNCTION("""COMPUTED_VALUE"""),"Conway")</f>
        <v>Conway</v>
      </c>
      <c r="G398" s="6" t="str">
        <f>IFERROR(__xludf.DUMMYFUNCTION("""COMPUTED_VALUE"""),"07/11/2016")</f>
        <v>07/11/2016</v>
      </c>
      <c r="H398" s="6" t="str">
        <f>IFERROR(__xludf.DUMMYFUNCTION("""COMPUTED_VALUE"""),"Self Identify")</f>
        <v>Self Identify</v>
      </c>
      <c r="I398" s="6" t="str">
        <f>IFERROR(__xludf.DUMMYFUNCTION("""COMPUTED_VALUE"""),"Level 1")</f>
        <v>Level 1</v>
      </c>
      <c r="J398" s="6" t="str">
        <f>IFERROR(__xludf.DUMMYFUNCTION("""COMPUTED_VALUE"""),"3")</f>
        <v>3</v>
      </c>
      <c r="K398" s="6" t="str">
        <f>IFERROR(__xludf.DUMMYFUNCTION("""COMPUTED_VALUE"""),"sebastian.conway@2hourlearning.com")</f>
        <v>sebastian.conway@2hourlearning.com</v>
      </c>
      <c r="L398" s="6" t="str">
        <f>IFERROR(__xludf.DUMMYFUNCTION("""COMPUTED_VALUE"""),"Alpha Anywhere (homeschool)")</f>
        <v>Alpha Anywhere (homeschool)</v>
      </c>
      <c r="M398" s="6" t="str">
        <f>IFERROR(__xludf.DUMMYFUNCTION("""COMPUTED_VALUE"""),"")</f>
        <v/>
      </c>
      <c r="N398" s="6" t="str">
        <f>IFERROR(__xludf.DUMMYFUNCTION("""COMPUTED_VALUE"""),"")</f>
        <v/>
      </c>
      <c r="O398" s="87" t="str">
        <f>IFERROR(__xludf.DUMMYFUNCTION("""COMPUTED_VALUE"""),"https://drive.google.com/drive/folders/10T2cTQHqEJZqE-st6uFKPoI?usp=share_link")</f>
        <v>https://drive.google.com/drive/folders/10T2cTQHqEJZqE-st6uFKPoI?usp=share_link</v>
      </c>
      <c r="P398" s="6" t="str">
        <f>IFERROR(__xludf.DUMMYFUNCTION("""COMPUTED_VALUE"""),"Sebastian Conway")</f>
        <v>Sebastian Conway</v>
      </c>
      <c r="Q398" s="6" t="str">
        <f>IFERROR(__xludf.DUMMYFUNCTION("""COMPUTED_VALUE"""),"L1")</f>
        <v>L1</v>
      </c>
      <c r="R398" s="6">
        <f>IFERROR(__xludf.DUMMYFUNCTION("""COMPUTED_VALUE"""),1.0)</f>
        <v>1</v>
      </c>
      <c r="S398" s="6" t="str">
        <f>IFERROR(__xludf.DUMMYFUNCTION("""COMPUTED_VALUE""")," ")</f>
        <v> </v>
      </c>
      <c r="T398" s="6" t="str">
        <f>IFERROR(__xludf.DUMMYFUNCTION("""COMPUTED_VALUE"""),"")</f>
        <v/>
      </c>
      <c r="U398" s="6" t="str">
        <f>IFERROR(__xludf.DUMMYFUNCTION("""COMPUTED_VALUE"""),"3")</f>
        <v>3</v>
      </c>
      <c r="V398" s="6" t="str">
        <f>IFERROR(__xludf.DUMMYFUNCTION("""COMPUTED_VALUE"""),"")</f>
        <v/>
      </c>
      <c r="W398" s="6" t="str">
        <f>IFERROR(__xludf.DUMMYFUNCTION("""COMPUTED_VALUE"""),"[]")</f>
        <v>[]</v>
      </c>
      <c r="X398" s="6" t="str">
        <f>IFERROR(__xludf.DUMMYFUNCTION("""COMPUTED_VALUE"""),"Enrolled")</f>
        <v>Enrolled</v>
      </c>
    </row>
    <row r="399">
      <c r="A399" s="6" t="str">
        <f>IFERROR(__xludf.DUMMYFUNCTION("""COMPUTED_VALUE"""),"000-7754")</f>
        <v>000-7754</v>
      </c>
      <c r="B399" s="6" t="str">
        <f>IFERROR(__xludf.DUMMYFUNCTION("""COMPUTED_VALUE"""),"0")</f>
        <v>0</v>
      </c>
      <c r="C399" s="6" t="str">
        <f>IFERROR(__xludf.DUMMYFUNCTION("""COMPUTED_VALUE"""),"7754")</f>
        <v>7754</v>
      </c>
      <c r="D399" s="6" t="str">
        <f>IFERROR(__xludf.DUMMYFUNCTION("""COMPUTED_VALUE"""),"Benjamin")</f>
        <v>Benjamin</v>
      </c>
      <c r="E399" s="6" t="str">
        <f>IFERROR(__xludf.DUMMYFUNCTION("""COMPUTED_VALUE"""),"")</f>
        <v/>
      </c>
      <c r="F399" s="6" t="str">
        <f>IFERROR(__xludf.DUMMYFUNCTION("""COMPUTED_VALUE"""),"Conway")</f>
        <v>Conway</v>
      </c>
      <c r="G399" s="6" t="str">
        <f>IFERROR(__xludf.DUMMYFUNCTION("""COMPUTED_VALUE"""),"10/08/2017")</f>
        <v>10/08/2017</v>
      </c>
      <c r="H399" s="6" t="str">
        <f>IFERROR(__xludf.DUMMYFUNCTION("""COMPUTED_VALUE"""),"male")</f>
        <v>male</v>
      </c>
      <c r="I399" s="6" t="str">
        <f>IFERROR(__xludf.DUMMYFUNCTION("""COMPUTED_VALUE"""),"Level 1")</f>
        <v>Level 1</v>
      </c>
      <c r="J399" s="6" t="str">
        <f>IFERROR(__xludf.DUMMYFUNCTION("""COMPUTED_VALUE"""),"2")</f>
        <v>2</v>
      </c>
      <c r="K399" s="6" t="str">
        <f>IFERROR(__xludf.DUMMYFUNCTION("""COMPUTED_VALUE"""),"benjamin.conway@2hourlearning.com")</f>
        <v>benjamin.conway@2hourlearning.com</v>
      </c>
      <c r="L399" s="6" t="str">
        <f>IFERROR(__xludf.DUMMYFUNCTION("""COMPUTED_VALUE"""),"Alpha Anywhere (homeschool)")</f>
        <v>Alpha Anywhere (homeschool)</v>
      </c>
      <c r="M399" s="6" t="str">
        <f>IFERROR(__xludf.DUMMYFUNCTION("""COMPUTED_VALUE"""),"")</f>
        <v/>
      </c>
      <c r="N399" s="6" t="str">
        <f>IFERROR(__xludf.DUMMYFUNCTION("""COMPUTED_VALUE"""),"")</f>
        <v/>
      </c>
      <c r="O399" s="87" t="str">
        <f>IFERROR(__xludf.DUMMYFUNCTION("""COMPUTED_VALUE"""),"https://drive.google.com/drive/folders/10T2cTQHqEJZqE-st6uFKPoI?usp=share_link")</f>
        <v>https://drive.google.com/drive/folders/10T2cTQHqEJZqE-st6uFKPoI?usp=share_link</v>
      </c>
      <c r="P399" s="6" t="str">
        <f>IFERROR(__xludf.DUMMYFUNCTION("""COMPUTED_VALUE"""),"Benjamin Conway")</f>
        <v>Benjamin Conway</v>
      </c>
      <c r="Q399" s="6" t="str">
        <f>IFERROR(__xludf.DUMMYFUNCTION("""COMPUTED_VALUE"""),"L1")</f>
        <v>L1</v>
      </c>
      <c r="R399" s="6">
        <f>IFERROR(__xludf.DUMMYFUNCTION("""COMPUTED_VALUE"""),1.0)</f>
        <v>1</v>
      </c>
      <c r="S399" s="6" t="str">
        <f>IFERROR(__xludf.DUMMYFUNCTION("""COMPUTED_VALUE""")," ")</f>
        <v> </v>
      </c>
      <c r="T399" s="6" t="str">
        <f>IFERROR(__xludf.DUMMYFUNCTION("""COMPUTED_VALUE"""),"")</f>
        <v/>
      </c>
      <c r="U399" s="6" t="str">
        <f>IFERROR(__xludf.DUMMYFUNCTION("""COMPUTED_VALUE"""),"2")</f>
        <v>2</v>
      </c>
      <c r="V399" s="6" t="str">
        <f>IFERROR(__xludf.DUMMYFUNCTION("""COMPUTED_VALUE"""),"")</f>
        <v/>
      </c>
      <c r="W399" s="6" t="str">
        <f>IFERROR(__xludf.DUMMYFUNCTION("""COMPUTED_VALUE"""),"[]")</f>
        <v>[]</v>
      </c>
      <c r="X399" s="6" t="str">
        <f>IFERROR(__xludf.DUMMYFUNCTION("""COMPUTED_VALUE"""),"Enrolled")</f>
        <v>Enrolled</v>
      </c>
    </row>
    <row r="400">
      <c r="A400" s="6" t="str">
        <f>IFERROR(__xludf.DUMMYFUNCTION("""COMPUTED_VALUE"""),"000-7776")</f>
        <v>000-7776</v>
      </c>
      <c r="B400" s="6" t="str">
        <f>IFERROR(__xludf.DUMMYFUNCTION("""COMPUTED_VALUE"""),"0")</f>
        <v>0</v>
      </c>
      <c r="C400" s="6" t="str">
        <f>IFERROR(__xludf.DUMMYFUNCTION("""COMPUTED_VALUE"""),"7776")</f>
        <v>7776</v>
      </c>
      <c r="D400" s="6" t="str">
        <f>IFERROR(__xludf.DUMMYFUNCTION("""COMPUTED_VALUE"""),"Valentina")</f>
        <v>Valentina</v>
      </c>
      <c r="E400" s="6" t="str">
        <f>IFERROR(__xludf.DUMMYFUNCTION("""COMPUTED_VALUE"""),"Nina")</f>
        <v>Nina</v>
      </c>
      <c r="F400" s="6" t="str">
        <f>IFERROR(__xludf.DUMMYFUNCTION("""COMPUTED_VALUE"""),"Sheehy")</f>
        <v>Sheehy</v>
      </c>
      <c r="G400" s="6" t="str">
        <f>IFERROR(__xludf.DUMMYFUNCTION("""COMPUTED_VALUE"""),"10/14/2011")</f>
        <v>10/14/2011</v>
      </c>
      <c r="H400" s="6" t="str">
        <f>IFERROR(__xludf.DUMMYFUNCTION("""COMPUTED_VALUE"""),"female")</f>
        <v>female</v>
      </c>
      <c r="I400" s="6" t="str">
        <f>IFERROR(__xludf.DUMMYFUNCTION("""COMPUTED_VALUE"""),"Middle School")</f>
        <v>Middle School</v>
      </c>
      <c r="J400" s="6" t="str">
        <f>IFERROR(__xludf.DUMMYFUNCTION("""COMPUTED_VALUE"""),"8")</f>
        <v>8</v>
      </c>
      <c r="K400" s="6" t="str">
        <f>IFERROR(__xludf.DUMMYFUNCTION("""COMPUTED_VALUE"""),"nina.sheehy@2hourlearning.com")</f>
        <v>nina.sheehy@2hourlearning.com</v>
      </c>
      <c r="L400" s="6" t="str">
        <f>IFERROR(__xludf.DUMMYFUNCTION("""COMPUTED_VALUE"""),"Alpha Anywhere (homeschool)")</f>
        <v>Alpha Anywhere (homeschool)</v>
      </c>
      <c r="M400" s="6" t="str">
        <f>IFERROR(__xludf.DUMMYFUNCTION("""COMPUTED_VALUE"""),"")</f>
        <v/>
      </c>
      <c r="N400" s="6" t="str">
        <f>IFERROR(__xludf.DUMMYFUNCTION("""COMPUTED_VALUE"""),"")</f>
        <v/>
      </c>
      <c r="O400" s="87" t="str">
        <f>IFERROR(__xludf.DUMMYFUNCTION("""COMPUTED_VALUE"""),"https://drive.google.com/drive/folders/10T2cTQHqEJZqE-st6uFKPoI?usp=share_link")</f>
        <v>https://drive.google.com/drive/folders/10T2cTQHqEJZqE-st6uFKPoI?usp=share_link</v>
      </c>
      <c r="P400" s="6" t="str">
        <f>IFERROR(__xludf.DUMMYFUNCTION("""COMPUTED_VALUE"""),"Nina Sheehy")</f>
        <v>Nina Sheehy</v>
      </c>
      <c r="Q400" s="6" t="str">
        <f>IFERROR(__xludf.DUMMYFUNCTION("""COMPUTED_VALUE"""),"MS")</f>
        <v>MS</v>
      </c>
      <c r="R400" s="6">
        <f>IFERROR(__xludf.DUMMYFUNCTION("""COMPUTED_VALUE"""),0.0)</f>
        <v>0</v>
      </c>
      <c r="S400" s="6" t="str">
        <f>IFERROR(__xludf.DUMMYFUNCTION("""COMPUTED_VALUE""")," ")</f>
        <v> </v>
      </c>
      <c r="T400" s="6" t="str">
        <f>IFERROR(__xludf.DUMMYFUNCTION("""COMPUTED_VALUE"""),"")</f>
        <v/>
      </c>
      <c r="U400" s="6" t="str">
        <f>IFERROR(__xludf.DUMMYFUNCTION("""COMPUTED_VALUE"""),"8")</f>
        <v>8</v>
      </c>
      <c r="V400" s="6" t="str">
        <f>IFERROR(__xludf.DUMMYFUNCTION("""COMPUTED_VALUE"""),"")</f>
        <v/>
      </c>
      <c r="W400" s="6" t="str">
        <f>IFERROR(__xludf.DUMMYFUNCTION("""COMPUTED_VALUE"""),"[]")</f>
        <v>[]</v>
      </c>
      <c r="X400" s="6" t="str">
        <f>IFERROR(__xludf.DUMMYFUNCTION("""COMPUTED_VALUE"""),"Enrolled")</f>
        <v>Enrolled</v>
      </c>
    </row>
    <row r="401">
      <c r="A401" s="6" t="str">
        <f>IFERROR(__xludf.DUMMYFUNCTION("""COMPUTED_VALUE"""),"000-7800")</f>
        <v>000-7800</v>
      </c>
      <c r="B401" s="6" t="str">
        <f>IFERROR(__xludf.DUMMYFUNCTION("""COMPUTED_VALUE"""),"0")</f>
        <v>0</v>
      </c>
      <c r="C401" s="6" t="str">
        <f>IFERROR(__xludf.DUMMYFUNCTION("""COMPUTED_VALUE"""),"7800")</f>
        <v>7800</v>
      </c>
      <c r="D401" s="6" t="str">
        <f>IFERROR(__xludf.DUMMYFUNCTION("""COMPUTED_VALUE"""),"Catherine")</f>
        <v>Catherine</v>
      </c>
      <c r="E401" s="6" t="str">
        <f>IFERROR(__xludf.DUMMYFUNCTION("""COMPUTED_VALUE"""),"Cate")</f>
        <v>Cate</v>
      </c>
      <c r="F401" s="6" t="str">
        <f>IFERROR(__xludf.DUMMYFUNCTION("""COMPUTED_VALUE"""),"Higgins")</f>
        <v>Higgins</v>
      </c>
      <c r="G401" s="6" t="str">
        <f>IFERROR(__xludf.DUMMYFUNCTION("""COMPUTED_VALUE"""),"08/08/2016")</f>
        <v>08/08/2016</v>
      </c>
      <c r="H401" s="6" t="str">
        <f>IFERROR(__xludf.DUMMYFUNCTION("""COMPUTED_VALUE"""),"female")</f>
        <v>female</v>
      </c>
      <c r="I401" s="6" t="str">
        <f>IFERROR(__xludf.DUMMYFUNCTION("""COMPUTED_VALUE"""),"Level 2")</f>
        <v>Level 2</v>
      </c>
      <c r="J401" s="6" t="str">
        <f>IFERROR(__xludf.DUMMYFUNCTION("""COMPUTED_VALUE"""),"4")</f>
        <v>4</v>
      </c>
      <c r="K401" s="6" t="str">
        <f>IFERROR(__xludf.DUMMYFUNCTION("""COMPUTED_VALUE"""),"cate.higgins@2hourlearning.com")</f>
        <v>cate.higgins@2hourlearning.com</v>
      </c>
      <c r="L401" s="6" t="str">
        <f>IFERROR(__xludf.DUMMYFUNCTION("""COMPUTED_VALUE"""),"Alpha Anywhere (homeschool)")</f>
        <v>Alpha Anywhere (homeschool)</v>
      </c>
      <c r="M401" s="6" t="str">
        <f>IFERROR(__xludf.DUMMYFUNCTION("""COMPUTED_VALUE"""),"")</f>
        <v/>
      </c>
      <c r="N401" s="6" t="str">
        <f>IFERROR(__xludf.DUMMYFUNCTION("""COMPUTED_VALUE"""),"")</f>
        <v/>
      </c>
      <c r="O401" s="87" t="str">
        <f>IFERROR(__xludf.DUMMYFUNCTION("""COMPUTED_VALUE"""),"https://drive.google.com/drive/folders/10T2cTQHqEJZqE-st6uFKPoI?usp=share_link")</f>
        <v>https://drive.google.com/drive/folders/10T2cTQHqEJZqE-st6uFKPoI?usp=share_link</v>
      </c>
      <c r="P401" s="6" t="str">
        <f>IFERROR(__xludf.DUMMYFUNCTION("""COMPUTED_VALUE"""),"Cate Higgins")</f>
        <v>Cate Higgins</v>
      </c>
      <c r="Q401" s="6" t="str">
        <f>IFERROR(__xludf.DUMMYFUNCTION("""COMPUTED_VALUE"""),"L2")</f>
        <v>L2</v>
      </c>
      <c r="R401" s="6">
        <f>IFERROR(__xludf.DUMMYFUNCTION("""COMPUTED_VALUE"""),2.0)</f>
        <v>2</v>
      </c>
      <c r="S401" s="6" t="str">
        <f>IFERROR(__xludf.DUMMYFUNCTION("""COMPUTED_VALUE""")," ")</f>
        <v> </v>
      </c>
      <c r="T401" s="6" t="str">
        <f>IFERROR(__xludf.DUMMYFUNCTION("""COMPUTED_VALUE"""),"")</f>
        <v/>
      </c>
      <c r="U401" s="6" t="str">
        <f>IFERROR(__xludf.DUMMYFUNCTION("""COMPUTED_VALUE"""),"4")</f>
        <v>4</v>
      </c>
      <c r="V401" s="6" t="str">
        <f>IFERROR(__xludf.DUMMYFUNCTION("""COMPUTED_VALUE"""),"")</f>
        <v/>
      </c>
      <c r="W401" s="6" t="str">
        <f>IFERROR(__xludf.DUMMYFUNCTION("""COMPUTED_VALUE"""),"[]")</f>
        <v>[]</v>
      </c>
      <c r="X401" s="6" t="str">
        <f>IFERROR(__xludf.DUMMYFUNCTION("""COMPUTED_VALUE"""),"Enrolled")</f>
        <v>Enrolled</v>
      </c>
    </row>
    <row r="402">
      <c r="A402" s="6" t="str">
        <f>IFERROR(__xludf.DUMMYFUNCTION("""COMPUTED_VALUE"""),"000-7816")</f>
        <v>000-7816</v>
      </c>
      <c r="B402" s="6" t="str">
        <f>IFERROR(__xludf.DUMMYFUNCTION("""COMPUTED_VALUE"""),"0")</f>
        <v>0</v>
      </c>
      <c r="C402" s="6" t="str">
        <f>IFERROR(__xludf.DUMMYFUNCTION("""COMPUTED_VALUE"""),"7816")</f>
        <v>7816</v>
      </c>
      <c r="D402" s="6" t="str">
        <f>IFERROR(__xludf.DUMMYFUNCTION("""COMPUTED_VALUE"""),"Lyla")</f>
        <v>Lyla</v>
      </c>
      <c r="E402" s="6" t="str">
        <f>IFERROR(__xludf.DUMMYFUNCTION("""COMPUTED_VALUE"""),"Lyla")</f>
        <v>Lyla</v>
      </c>
      <c r="F402" s="6" t="str">
        <f>IFERROR(__xludf.DUMMYFUNCTION("""COMPUTED_VALUE"""),"Creedon")</f>
        <v>Creedon</v>
      </c>
      <c r="G402" s="6" t="str">
        <f>IFERROR(__xludf.DUMMYFUNCTION("""COMPUTED_VALUE"""),"11/22/2013")</f>
        <v>11/22/2013</v>
      </c>
      <c r="H402" s="6" t="str">
        <f>IFERROR(__xludf.DUMMYFUNCTION("""COMPUTED_VALUE"""),"female")</f>
        <v>female</v>
      </c>
      <c r="I402" s="6" t="str">
        <f>IFERROR(__xludf.DUMMYFUNCTION("""COMPUTED_VALUE"""),"Middle School")</f>
        <v>Middle School</v>
      </c>
      <c r="J402" s="6" t="str">
        <f>IFERROR(__xludf.DUMMYFUNCTION("""COMPUTED_VALUE"""),"6")</f>
        <v>6</v>
      </c>
      <c r="K402" s="6" t="str">
        <f>IFERROR(__xludf.DUMMYFUNCTION("""COMPUTED_VALUE"""),"lyla.creedon@2hourlearning.com")</f>
        <v>lyla.creedon@2hourlearning.com</v>
      </c>
      <c r="L402" s="6" t="str">
        <f>IFERROR(__xludf.DUMMYFUNCTION("""COMPUTED_VALUE"""),"Alpha Anywhere (homeschool)")</f>
        <v>Alpha Anywhere (homeschool)</v>
      </c>
      <c r="M402" s="6" t="str">
        <f>IFERROR(__xludf.DUMMYFUNCTION("""COMPUTED_VALUE"""),"")</f>
        <v/>
      </c>
      <c r="N402" s="6" t="str">
        <f>IFERROR(__xludf.DUMMYFUNCTION("""COMPUTED_VALUE"""),"")</f>
        <v/>
      </c>
      <c r="O402" s="87" t="str">
        <f>IFERROR(__xludf.DUMMYFUNCTION("""COMPUTED_VALUE"""),"https://drive.google.com/drive/folders/10T2cTQHqEJZqE-st6uFKPoI?usp=share_link")</f>
        <v>https://drive.google.com/drive/folders/10T2cTQHqEJZqE-st6uFKPoI?usp=share_link</v>
      </c>
      <c r="P402" s="6" t="str">
        <f>IFERROR(__xludf.DUMMYFUNCTION("""COMPUTED_VALUE"""),"Lyla Creedon")</f>
        <v>Lyla Creedon</v>
      </c>
      <c r="Q402" s="6" t="str">
        <f>IFERROR(__xludf.DUMMYFUNCTION("""COMPUTED_VALUE"""),"MS")</f>
        <v>MS</v>
      </c>
      <c r="R402" s="6">
        <f>IFERROR(__xludf.DUMMYFUNCTION("""COMPUTED_VALUE"""),0.0)</f>
        <v>0</v>
      </c>
      <c r="S402" s="6" t="str">
        <f>IFERROR(__xludf.DUMMYFUNCTION("""COMPUTED_VALUE""")," ")</f>
        <v> </v>
      </c>
      <c r="T402" s="6" t="str">
        <f>IFERROR(__xludf.DUMMYFUNCTION("""COMPUTED_VALUE"""),"")</f>
        <v/>
      </c>
      <c r="U402" s="6" t="str">
        <f>IFERROR(__xludf.DUMMYFUNCTION("""COMPUTED_VALUE"""),"6")</f>
        <v>6</v>
      </c>
      <c r="V402" s="6" t="str">
        <f>IFERROR(__xludf.DUMMYFUNCTION("""COMPUTED_VALUE"""),"")</f>
        <v/>
      </c>
      <c r="W402" s="6" t="str">
        <f>IFERROR(__xludf.DUMMYFUNCTION("""COMPUTED_VALUE"""),"[]")</f>
        <v>[]</v>
      </c>
      <c r="X402" s="6" t="str">
        <f>IFERROR(__xludf.DUMMYFUNCTION("""COMPUTED_VALUE"""),"Enrolled")</f>
        <v>Enrolled</v>
      </c>
    </row>
    <row r="403">
      <c r="A403" s="6" t="str">
        <f>IFERROR(__xludf.DUMMYFUNCTION("""COMPUTED_VALUE"""),"000-7833")</f>
        <v>000-7833</v>
      </c>
      <c r="B403" s="6" t="str">
        <f>IFERROR(__xludf.DUMMYFUNCTION("""COMPUTED_VALUE"""),"0")</f>
        <v>0</v>
      </c>
      <c r="C403" s="6" t="str">
        <f>IFERROR(__xludf.DUMMYFUNCTION("""COMPUTED_VALUE"""),"7833")</f>
        <v>7833</v>
      </c>
      <c r="D403" s="6" t="str">
        <f>IFERROR(__xludf.DUMMYFUNCTION("""COMPUTED_VALUE"""),"Dea")</f>
        <v>Dea</v>
      </c>
      <c r="E403" s="6" t="str">
        <f>IFERROR(__xludf.DUMMYFUNCTION("""COMPUTED_VALUE"""),"Dea")</f>
        <v>Dea</v>
      </c>
      <c r="F403" s="6" t="str">
        <f>IFERROR(__xludf.DUMMYFUNCTION("""COMPUTED_VALUE"""),"Singh Chitalkar")</f>
        <v>Singh Chitalkar</v>
      </c>
      <c r="G403" s="6" t="str">
        <f>IFERROR(__xludf.DUMMYFUNCTION("""COMPUTED_VALUE"""),"06/01/2012")</f>
        <v>06/01/2012</v>
      </c>
      <c r="H403" s="6" t="str">
        <f>IFERROR(__xludf.DUMMYFUNCTION("""COMPUTED_VALUE"""),"female")</f>
        <v>female</v>
      </c>
      <c r="I403" s="6" t="str">
        <f>IFERROR(__xludf.DUMMYFUNCTION("""COMPUTED_VALUE"""),"Middle School")</f>
        <v>Middle School</v>
      </c>
      <c r="J403" s="6" t="str">
        <f>IFERROR(__xludf.DUMMYFUNCTION("""COMPUTED_VALUE"""),"8")</f>
        <v>8</v>
      </c>
      <c r="K403" s="6" t="str">
        <f>IFERROR(__xludf.DUMMYFUNCTION("""COMPUTED_VALUE"""),"dea.singhchitalkar@2hourlearning.com")</f>
        <v>dea.singhchitalkar@2hourlearning.com</v>
      </c>
      <c r="L403" s="6" t="str">
        <f>IFERROR(__xludf.DUMMYFUNCTION("""COMPUTED_VALUE"""),"Alpha Anywhere (homeschool)")</f>
        <v>Alpha Anywhere (homeschool)</v>
      </c>
      <c r="M403" s="6" t="str">
        <f>IFERROR(__xludf.DUMMYFUNCTION("""COMPUTED_VALUE"""),"")</f>
        <v/>
      </c>
      <c r="N403" s="6" t="str">
        <f>IFERROR(__xludf.DUMMYFUNCTION("""COMPUTED_VALUE"""),"")</f>
        <v/>
      </c>
      <c r="O403" s="87" t="str">
        <f>IFERROR(__xludf.DUMMYFUNCTION("""COMPUTED_VALUE"""),"https://drive.google.com/drive/folders/10T2cTQHqEJZqE-st6uFKPoI?usp=share_link")</f>
        <v>https://drive.google.com/drive/folders/10T2cTQHqEJZqE-st6uFKPoI?usp=share_link</v>
      </c>
      <c r="P403" s="6" t="str">
        <f>IFERROR(__xludf.DUMMYFUNCTION("""COMPUTED_VALUE"""),"Dea Singh Chitalkar")</f>
        <v>Dea Singh Chitalkar</v>
      </c>
      <c r="Q403" s="6" t="str">
        <f>IFERROR(__xludf.DUMMYFUNCTION("""COMPUTED_VALUE"""),"MS")</f>
        <v>MS</v>
      </c>
      <c r="R403" s="6">
        <f>IFERROR(__xludf.DUMMYFUNCTION("""COMPUTED_VALUE"""),0.0)</f>
        <v>0</v>
      </c>
      <c r="S403" s="6" t="str">
        <f>IFERROR(__xludf.DUMMYFUNCTION("""COMPUTED_VALUE""")," ")</f>
        <v> </v>
      </c>
      <c r="T403" s="6" t="str">
        <f>IFERROR(__xludf.DUMMYFUNCTION("""COMPUTED_VALUE"""),"")</f>
        <v/>
      </c>
      <c r="U403" s="6" t="str">
        <f>IFERROR(__xludf.DUMMYFUNCTION("""COMPUTED_VALUE"""),"8")</f>
        <v>8</v>
      </c>
      <c r="V403" s="6" t="str">
        <f>IFERROR(__xludf.DUMMYFUNCTION("""COMPUTED_VALUE"""),"")</f>
        <v/>
      </c>
      <c r="W403" s="6" t="str">
        <f>IFERROR(__xludf.DUMMYFUNCTION("""COMPUTED_VALUE"""),"[]")</f>
        <v>[]</v>
      </c>
      <c r="X403" s="6" t="str">
        <f>IFERROR(__xludf.DUMMYFUNCTION("""COMPUTED_VALUE"""),"Enrolled")</f>
        <v>Enrolled</v>
      </c>
    </row>
    <row r="404">
      <c r="A404" s="6" t="str">
        <f>IFERROR(__xludf.DUMMYFUNCTION("""COMPUTED_VALUE"""),"000-7834")</f>
        <v>000-7834</v>
      </c>
      <c r="B404" s="6" t="str">
        <f>IFERROR(__xludf.DUMMYFUNCTION("""COMPUTED_VALUE"""),"0")</f>
        <v>0</v>
      </c>
      <c r="C404" s="6" t="str">
        <f>IFERROR(__xludf.DUMMYFUNCTION("""COMPUTED_VALUE"""),"7834")</f>
        <v>7834</v>
      </c>
      <c r="D404" s="6" t="str">
        <f>IFERROR(__xludf.DUMMYFUNCTION("""COMPUTED_VALUE"""),"Dev")</f>
        <v>Dev</v>
      </c>
      <c r="E404" s="6" t="str">
        <f>IFERROR(__xludf.DUMMYFUNCTION("""COMPUTED_VALUE"""),"Dev")</f>
        <v>Dev</v>
      </c>
      <c r="F404" s="6" t="str">
        <f>IFERROR(__xludf.DUMMYFUNCTION("""COMPUTED_VALUE"""),"Singh Chitalkar")</f>
        <v>Singh Chitalkar</v>
      </c>
      <c r="G404" s="6" t="str">
        <f>IFERROR(__xludf.DUMMYFUNCTION("""COMPUTED_VALUE"""),"05/09/2017")</f>
        <v>05/09/2017</v>
      </c>
      <c r="H404" s="6" t="str">
        <f>IFERROR(__xludf.DUMMYFUNCTION("""COMPUTED_VALUE"""),"male")</f>
        <v>male</v>
      </c>
      <c r="I404" s="6" t="str">
        <f>IFERROR(__xludf.DUMMYFUNCTION("""COMPUTED_VALUE"""),"Level 1")</f>
        <v>Level 1</v>
      </c>
      <c r="J404" s="6" t="str">
        <f>IFERROR(__xludf.DUMMYFUNCTION("""COMPUTED_VALUE"""),"3")</f>
        <v>3</v>
      </c>
      <c r="K404" s="6" t="str">
        <f>IFERROR(__xludf.DUMMYFUNCTION("""COMPUTED_VALUE"""),"dev.singh.chitalkar@2hourlearning.com")</f>
        <v>dev.singh.chitalkar@2hourlearning.com</v>
      </c>
      <c r="L404" s="6" t="str">
        <f>IFERROR(__xludf.DUMMYFUNCTION("""COMPUTED_VALUE"""),"Alpha Anywhere (homeschool)")</f>
        <v>Alpha Anywhere (homeschool)</v>
      </c>
      <c r="M404" s="6" t="str">
        <f>IFERROR(__xludf.DUMMYFUNCTION("""COMPUTED_VALUE"""),"")</f>
        <v/>
      </c>
      <c r="N404" s="6" t="str">
        <f>IFERROR(__xludf.DUMMYFUNCTION("""COMPUTED_VALUE"""),"")</f>
        <v/>
      </c>
      <c r="O404" s="87" t="str">
        <f>IFERROR(__xludf.DUMMYFUNCTION("""COMPUTED_VALUE"""),"https://drive.google.com/drive/folders/10T2cTQHqEJZqE-st6uFKPoI?usp=share_link")</f>
        <v>https://drive.google.com/drive/folders/10T2cTQHqEJZqE-st6uFKPoI?usp=share_link</v>
      </c>
      <c r="P404" s="6" t="str">
        <f>IFERROR(__xludf.DUMMYFUNCTION("""COMPUTED_VALUE"""),"Dev Singh Chitalkar")</f>
        <v>Dev Singh Chitalkar</v>
      </c>
      <c r="Q404" s="6" t="str">
        <f>IFERROR(__xludf.DUMMYFUNCTION("""COMPUTED_VALUE"""),"L1")</f>
        <v>L1</v>
      </c>
      <c r="R404" s="6">
        <f>IFERROR(__xludf.DUMMYFUNCTION("""COMPUTED_VALUE"""),1.0)</f>
        <v>1</v>
      </c>
      <c r="S404" s="6" t="str">
        <f>IFERROR(__xludf.DUMMYFUNCTION("""COMPUTED_VALUE""")," ")</f>
        <v> </v>
      </c>
      <c r="T404" s="6" t="str">
        <f>IFERROR(__xludf.DUMMYFUNCTION("""COMPUTED_VALUE"""),"")</f>
        <v/>
      </c>
      <c r="U404" s="6" t="str">
        <f>IFERROR(__xludf.DUMMYFUNCTION("""COMPUTED_VALUE"""),"3")</f>
        <v>3</v>
      </c>
      <c r="V404" s="6" t="str">
        <f>IFERROR(__xludf.DUMMYFUNCTION("""COMPUTED_VALUE"""),"")</f>
        <v/>
      </c>
      <c r="W404" s="6" t="str">
        <f>IFERROR(__xludf.DUMMYFUNCTION("""COMPUTED_VALUE"""),"[]")</f>
        <v>[]</v>
      </c>
      <c r="X404" s="6" t="str">
        <f>IFERROR(__xludf.DUMMYFUNCTION("""COMPUTED_VALUE"""),"Enrolled")</f>
        <v>Enrolled</v>
      </c>
    </row>
    <row r="405">
      <c r="A405" s="6" t="str">
        <f>IFERROR(__xludf.DUMMYFUNCTION("""COMPUTED_VALUE"""),"000-7847")</f>
        <v>000-7847</v>
      </c>
      <c r="B405" s="6" t="str">
        <f>IFERROR(__xludf.DUMMYFUNCTION("""COMPUTED_VALUE"""),"0")</f>
        <v>0</v>
      </c>
      <c r="C405" s="6" t="str">
        <f>IFERROR(__xludf.DUMMYFUNCTION("""COMPUTED_VALUE"""),"7847")</f>
        <v>7847</v>
      </c>
      <c r="D405" s="6" t="str">
        <f>IFERROR(__xludf.DUMMYFUNCTION("""COMPUTED_VALUE"""),"Teddy")</f>
        <v>Teddy</v>
      </c>
      <c r="E405" s="6" t="str">
        <f>IFERROR(__xludf.DUMMYFUNCTION("""COMPUTED_VALUE"""),"Teddy")</f>
        <v>Teddy</v>
      </c>
      <c r="F405" s="6" t="str">
        <f>IFERROR(__xludf.DUMMYFUNCTION("""COMPUTED_VALUE"""),"Lister")</f>
        <v>Lister</v>
      </c>
      <c r="G405" s="6" t="str">
        <f>IFERROR(__xludf.DUMMYFUNCTION("""COMPUTED_VALUE"""),"03/31/2012")</f>
        <v>03/31/2012</v>
      </c>
      <c r="H405" s="6" t="str">
        <f>IFERROR(__xludf.DUMMYFUNCTION("""COMPUTED_VALUE"""),"male")</f>
        <v>male</v>
      </c>
      <c r="I405" s="6" t="str">
        <f>IFERROR(__xludf.DUMMYFUNCTION("""COMPUTED_VALUE"""),"Middle School")</f>
        <v>Middle School</v>
      </c>
      <c r="J405" s="6" t="str">
        <f>IFERROR(__xludf.DUMMYFUNCTION("""COMPUTED_VALUE"""),"8")</f>
        <v>8</v>
      </c>
      <c r="K405" s="6" t="str">
        <f>IFERROR(__xludf.DUMMYFUNCTION("""COMPUTED_VALUE"""),"teddy.lister@2hourlearning.com")</f>
        <v>teddy.lister@2hourlearning.com</v>
      </c>
      <c r="L405" s="6" t="str">
        <f>IFERROR(__xludf.DUMMYFUNCTION("""COMPUTED_VALUE"""),"Alpha Anywhere (homeschool)")</f>
        <v>Alpha Anywhere (homeschool)</v>
      </c>
      <c r="M405" s="6" t="str">
        <f>IFERROR(__xludf.DUMMYFUNCTION("""COMPUTED_VALUE"""),"")</f>
        <v/>
      </c>
      <c r="N405" s="6" t="str">
        <f>IFERROR(__xludf.DUMMYFUNCTION("""COMPUTED_VALUE"""),"")</f>
        <v/>
      </c>
      <c r="O405" s="87" t="str">
        <f>IFERROR(__xludf.DUMMYFUNCTION("""COMPUTED_VALUE"""),"https://drive.google.com/drive/folders/10T2cTQHqEJZqE-st6uFKPoI?usp=share_link")</f>
        <v>https://drive.google.com/drive/folders/10T2cTQHqEJZqE-st6uFKPoI?usp=share_link</v>
      </c>
      <c r="P405" s="6" t="str">
        <f>IFERROR(__xludf.DUMMYFUNCTION("""COMPUTED_VALUE"""),"Teddy Lister")</f>
        <v>Teddy Lister</v>
      </c>
      <c r="Q405" s="6" t="str">
        <f>IFERROR(__xludf.DUMMYFUNCTION("""COMPUTED_VALUE"""),"MS")</f>
        <v>MS</v>
      </c>
      <c r="R405" s="6">
        <f>IFERROR(__xludf.DUMMYFUNCTION("""COMPUTED_VALUE"""),0.0)</f>
        <v>0</v>
      </c>
      <c r="S405" s="6" t="str">
        <f>IFERROR(__xludf.DUMMYFUNCTION("""COMPUTED_VALUE""")," ")</f>
        <v> </v>
      </c>
      <c r="T405" s="6" t="str">
        <f>IFERROR(__xludf.DUMMYFUNCTION("""COMPUTED_VALUE"""),"")</f>
        <v/>
      </c>
      <c r="U405" s="6" t="str">
        <f>IFERROR(__xludf.DUMMYFUNCTION("""COMPUTED_VALUE"""),"8")</f>
        <v>8</v>
      </c>
      <c r="V405" s="6" t="str">
        <f>IFERROR(__xludf.DUMMYFUNCTION("""COMPUTED_VALUE"""),"")</f>
        <v/>
      </c>
      <c r="W405" s="6" t="str">
        <f>IFERROR(__xludf.DUMMYFUNCTION("""COMPUTED_VALUE"""),"[]")</f>
        <v>[]</v>
      </c>
      <c r="X405" s="6" t="str">
        <f>IFERROR(__xludf.DUMMYFUNCTION("""COMPUTED_VALUE"""),"Enrolled")</f>
        <v>Enrolled</v>
      </c>
    </row>
    <row r="406">
      <c r="A406" s="6" t="str">
        <f>IFERROR(__xludf.DUMMYFUNCTION("""COMPUTED_VALUE"""),"000-7854")</f>
        <v>000-7854</v>
      </c>
      <c r="B406" s="6" t="str">
        <f>IFERROR(__xludf.DUMMYFUNCTION("""COMPUTED_VALUE"""),"0")</f>
        <v>0</v>
      </c>
      <c r="C406" s="6" t="str">
        <f>IFERROR(__xludf.DUMMYFUNCTION("""COMPUTED_VALUE"""),"7854")</f>
        <v>7854</v>
      </c>
      <c r="D406" s="6" t="str">
        <f>IFERROR(__xludf.DUMMYFUNCTION("""COMPUTED_VALUE"""),"Miles")</f>
        <v>Miles</v>
      </c>
      <c r="E406" s="6" t="str">
        <f>IFERROR(__xludf.DUMMYFUNCTION("""COMPUTED_VALUE"""),"Milo")</f>
        <v>Milo</v>
      </c>
      <c r="F406" s="6" t="str">
        <f>IFERROR(__xludf.DUMMYFUNCTION("""COMPUTED_VALUE"""),"Huang")</f>
        <v>Huang</v>
      </c>
      <c r="G406" s="6" t="str">
        <f>IFERROR(__xludf.DUMMYFUNCTION("""COMPUTED_VALUE"""),"05/04/2015")</f>
        <v>05/04/2015</v>
      </c>
      <c r="H406" s="6" t="str">
        <f>IFERROR(__xludf.DUMMYFUNCTION("""COMPUTED_VALUE"""),"male")</f>
        <v>male</v>
      </c>
      <c r="I406" s="6" t="str">
        <f>IFERROR(__xludf.DUMMYFUNCTION("""COMPUTED_VALUE"""),"Level 2")</f>
        <v>Level 2</v>
      </c>
      <c r="J406" s="6" t="str">
        <f>IFERROR(__xludf.DUMMYFUNCTION("""COMPUTED_VALUE"""),"5")</f>
        <v>5</v>
      </c>
      <c r="K406" s="6" t="str">
        <f>IFERROR(__xludf.DUMMYFUNCTION("""COMPUTED_VALUE"""),"milo.huang@2hourlearning.com")</f>
        <v>milo.huang@2hourlearning.com</v>
      </c>
      <c r="L406" s="6" t="str">
        <f>IFERROR(__xludf.DUMMYFUNCTION("""COMPUTED_VALUE"""),"Alpha Anywhere (homeschool)")</f>
        <v>Alpha Anywhere (homeschool)</v>
      </c>
      <c r="M406" s="6" t="str">
        <f>IFERROR(__xludf.DUMMYFUNCTION("""COMPUTED_VALUE"""),"")</f>
        <v/>
      </c>
      <c r="N406" s="6" t="str">
        <f>IFERROR(__xludf.DUMMYFUNCTION("""COMPUTED_VALUE"""),"")</f>
        <v/>
      </c>
      <c r="O406" s="87" t="str">
        <f>IFERROR(__xludf.DUMMYFUNCTION("""COMPUTED_VALUE"""),"https://drive.google.com/drive/folders/10T2cTQHqEJZqE-st6uFKPoI?usp=share_link")</f>
        <v>https://drive.google.com/drive/folders/10T2cTQHqEJZqE-st6uFKPoI?usp=share_link</v>
      </c>
      <c r="P406" s="6" t="str">
        <f>IFERROR(__xludf.DUMMYFUNCTION("""COMPUTED_VALUE"""),"Milo Huang")</f>
        <v>Milo Huang</v>
      </c>
      <c r="Q406" s="6" t="str">
        <f>IFERROR(__xludf.DUMMYFUNCTION("""COMPUTED_VALUE"""),"L2")</f>
        <v>L2</v>
      </c>
      <c r="R406" s="6">
        <f>IFERROR(__xludf.DUMMYFUNCTION("""COMPUTED_VALUE"""),2.0)</f>
        <v>2</v>
      </c>
      <c r="S406" s="6" t="str">
        <f>IFERROR(__xludf.DUMMYFUNCTION("""COMPUTED_VALUE""")," ")</f>
        <v> </v>
      </c>
      <c r="T406" s="6" t="str">
        <f>IFERROR(__xludf.DUMMYFUNCTION("""COMPUTED_VALUE"""),"")</f>
        <v/>
      </c>
      <c r="U406" s="6" t="str">
        <f>IFERROR(__xludf.DUMMYFUNCTION("""COMPUTED_VALUE"""),"5")</f>
        <v>5</v>
      </c>
      <c r="V406" s="6" t="str">
        <f>IFERROR(__xludf.DUMMYFUNCTION("""COMPUTED_VALUE"""),"")</f>
        <v/>
      </c>
      <c r="W406" s="6" t="str">
        <f>IFERROR(__xludf.DUMMYFUNCTION("""COMPUTED_VALUE"""),"[]")</f>
        <v>[]</v>
      </c>
      <c r="X406" s="6" t="str">
        <f>IFERROR(__xludf.DUMMYFUNCTION("""COMPUTED_VALUE"""),"Enrolled")</f>
        <v>Enrolled</v>
      </c>
    </row>
    <row r="407">
      <c r="A407" s="6" t="str">
        <f>IFERROR(__xludf.DUMMYFUNCTION("""COMPUTED_VALUE"""),"000-7855")</f>
        <v>000-7855</v>
      </c>
      <c r="B407" s="6" t="str">
        <f>IFERROR(__xludf.DUMMYFUNCTION("""COMPUTED_VALUE"""),"0")</f>
        <v>0</v>
      </c>
      <c r="C407" s="6" t="str">
        <f>IFERROR(__xludf.DUMMYFUNCTION("""COMPUTED_VALUE"""),"7855")</f>
        <v>7855</v>
      </c>
      <c r="D407" s="6" t="str">
        <f>IFERROR(__xludf.DUMMYFUNCTION("""COMPUTED_VALUE"""),"Ronan")</f>
        <v>Ronan</v>
      </c>
      <c r="E407" s="6" t="str">
        <f>IFERROR(__xludf.DUMMYFUNCTION("""COMPUTED_VALUE"""),"")</f>
        <v/>
      </c>
      <c r="F407" s="6" t="str">
        <f>IFERROR(__xludf.DUMMYFUNCTION("""COMPUTED_VALUE"""),"Huang")</f>
        <v>Huang</v>
      </c>
      <c r="G407" s="6" t="str">
        <f>IFERROR(__xludf.DUMMYFUNCTION("""COMPUTED_VALUE"""),"06/15/2017")</f>
        <v>06/15/2017</v>
      </c>
      <c r="H407" s="6" t="str">
        <f>IFERROR(__xludf.DUMMYFUNCTION("""COMPUTED_VALUE"""),"Self Identify")</f>
        <v>Self Identify</v>
      </c>
      <c r="I407" s="6" t="str">
        <f>IFERROR(__xludf.DUMMYFUNCTION("""COMPUTED_VALUE"""),"Level 1")</f>
        <v>Level 1</v>
      </c>
      <c r="J407" s="6" t="str">
        <f>IFERROR(__xludf.DUMMYFUNCTION("""COMPUTED_VALUE"""),"3")</f>
        <v>3</v>
      </c>
      <c r="K407" s="6" t="str">
        <f>IFERROR(__xludf.DUMMYFUNCTION("""COMPUTED_VALUE"""),"ronan.huang@2hourlearning.com")</f>
        <v>ronan.huang@2hourlearning.com</v>
      </c>
      <c r="L407" s="6" t="str">
        <f>IFERROR(__xludf.DUMMYFUNCTION("""COMPUTED_VALUE"""),"Alpha Anywhere (homeschool)")</f>
        <v>Alpha Anywhere (homeschool)</v>
      </c>
      <c r="M407" s="6" t="str">
        <f>IFERROR(__xludf.DUMMYFUNCTION("""COMPUTED_VALUE"""),"")</f>
        <v/>
      </c>
      <c r="N407" s="6" t="str">
        <f>IFERROR(__xludf.DUMMYFUNCTION("""COMPUTED_VALUE"""),"")</f>
        <v/>
      </c>
      <c r="O407" s="87" t="str">
        <f>IFERROR(__xludf.DUMMYFUNCTION("""COMPUTED_VALUE"""),"https://drive.google.com/drive/folders/10T2cTQHqEJZqE-st6uFKPoI?usp=share_link")</f>
        <v>https://drive.google.com/drive/folders/10T2cTQHqEJZqE-st6uFKPoI?usp=share_link</v>
      </c>
      <c r="P407" s="6" t="str">
        <f>IFERROR(__xludf.DUMMYFUNCTION("""COMPUTED_VALUE"""),"Ronan Huang")</f>
        <v>Ronan Huang</v>
      </c>
      <c r="Q407" s="6" t="str">
        <f>IFERROR(__xludf.DUMMYFUNCTION("""COMPUTED_VALUE"""),"L1")</f>
        <v>L1</v>
      </c>
      <c r="R407" s="6">
        <f>IFERROR(__xludf.DUMMYFUNCTION("""COMPUTED_VALUE"""),1.0)</f>
        <v>1</v>
      </c>
      <c r="S407" s="6" t="str">
        <f>IFERROR(__xludf.DUMMYFUNCTION("""COMPUTED_VALUE""")," ")</f>
        <v> </v>
      </c>
      <c r="T407" s="6" t="str">
        <f>IFERROR(__xludf.DUMMYFUNCTION("""COMPUTED_VALUE"""),"")</f>
        <v/>
      </c>
      <c r="U407" s="6" t="str">
        <f>IFERROR(__xludf.DUMMYFUNCTION("""COMPUTED_VALUE"""),"3")</f>
        <v>3</v>
      </c>
      <c r="V407" s="6" t="str">
        <f>IFERROR(__xludf.DUMMYFUNCTION("""COMPUTED_VALUE"""),"")</f>
        <v/>
      </c>
      <c r="W407" s="6" t="str">
        <f>IFERROR(__xludf.DUMMYFUNCTION("""COMPUTED_VALUE"""),"[]")</f>
        <v>[]</v>
      </c>
      <c r="X407" s="6" t="str">
        <f>IFERROR(__xludf.DUMMYFUNCTION("""COMPUTED_VALUE"""),"Enrolled")</f>
        <v>Enrolled</v>
      </c>
    </row>
    <row r="408">
      <c r="A408" s="6" t="str">
        <f>IFERROR(__xludf.DUMMYFUNCTION("""COMPUTED_VALUE"""),"000-7856")</f>
        <v>000-7856</v>
      </c>
      <c r="B408" s="6" t="str">
        <f>IFERROR(__xludf.DUMMYFUNCTION("""COMPUTED_VALUE"""),"0")</f>
        <v>0</v>
      </c>
      <c r="C408" s="6" t="str">
        <f>IFERROR(__xludf.DUMMYFUNCTION("""COMPUTED_VALUE"""),"7856")</f>
        <v>7856</v>
      </c>
      <c r="D408" s="6" t="str">
        <f>IFERROR(__xludf.DUMMYFUNCTION("""COMPUTED_VALUE"""),"Maddison")</f>
        <v>Maddison</v>
      </c>
      <c r="E408" s="6" t="str">
        <f>IFERROR(__xludf.DUMMYFUNCTION("""COMPUTED_VALUE"""),"Maddison")</f>
        <v>Maddison</v>
      </c>
      <c r="F408" s="6" t="str">
        <f>IFERROR(__xludf.DUMMYFUNCTION("""COMPUTED_VALUE"""),"Carrillo")</f>
        <v>Carrillo</v>
      </c>
      <c r="G408" s="6" t="str">
        <f>IFERROR(__xludf.DUMMYFUNCTION("""COMPUTED_VALUE"""),"11/08/2013")</f>
        <v>11/08/2013</v>
      </c>
      <c r="H408" s="6" t="str">
        <f>IFERROR(__xludf.DUMMYFUNCTION("""COMPUTED_VALUE"""),"female")</f>
        <v>female</v>
      </c>
      <c r="I408" s="6" t="str">
        <f>IFERROR(__xludf.DUMMYFUNCTION("""COMPUTED_VALUE"""),"Middle School")</f>
        <v>Middle School</v>
      </c>
      <c r="J408" s="6" t="str">
        <f>IFERROR(__xludf.DUMMYFUNCTION("""COMPUTED_VALUE"""),"6")</f>
        <v>6</v>
      </c>
      <c r="K408" s="6" t="str">
        <f>IFERROR(__xludf.DUMMYFUNCTION("""COMPUTED_VALUE"""),"maddison.carrillo@2hourlearning.com")</f>
        <v>maddison.carrillo@2hourlearning.com</v>
      </c>
      <c r="L408" s="6" t="str">
        <f>IFERROR(__xludf.DUMMYFUNCTION("""COMPUTED_VALUE"""),"Alpha Anywhere (homeschool)")</f>
        <v>Alpha Anywhere (homeschool)</v>
      </c>
      <c r="M408" s="6" t="str">
        <f>IFERROR(__xludf.DUMMYFUNCTION("""COMPUTED_VALUE"""),"")</f>
        <v/>
      </c>
      <c r="N408" s="6" t="str">
        <f>IFERROR(__xludf.DUMMYFUNCTION("""COMPUTED_VALUE"""),"")</f>
        <v/>
      </c>
      <c r="O408" s="87" t="str">
        <f>IFERROR(__xludf.DUMMYFUNCTION("""COMPUTED_VALUE"""),"https://drive.google.com/drive/folders/10T2cTQHqEJZqE-st6uFKPoI?usp=share_link")</f>
        <v>https://drive.google.com/drive/folders/10T2cTQHqEJZqE-st6uFKPoI?usp=share_link</v>
      </c>
      <c r="P408" s="6" t="str">
        <f>IFERROR(__xludf.DUMMYFUNCTION("""COMPUTED_VALUE"""),"Maddison Carrillo")</f>
        <v>Maddison Carrillo</v>
      </c>
      <c r="Q408" s="6" t="str">
        <f>IFERROR(__xludf.DUMMYFUNCTION("""COMPUTED_VALUE"""),"MS")</f>
        <v>MS</v>
      </c>
      <c r="R408" s="6">
        <f>IFERROR(__xludf.DUMMYFUNCTION("""COMPUTED_VALUE"""),0.0)</f>
        <v>0</v>
      </c>
      <c r="S408" s="6" t="str">
        <f>IFERROR(__xludf.DUMMYFUNCTION("""COMPUTED_VALUE""")," ")</f>
        <v> </v>
      </c>
      <c r="T408" s="6" t="str">
        <f>IFERROR(__xludf.DUMMYFUNCTION("""COMPUTED_VALUE"""),"")</f>
        <v/>
      </c>
      <c r="U408" s="6" t="str">
        <f>IFERROR(__xludf.DUMMYFUNCTION("""COMPUTED_VALUE"""),"6")</f>
        <v>6</v>
      </c>
      <c r="V408" s="6" t="str">
        <f>IFERROR(__xludf.DUMMYFUNCTION("""COMPUTED_VALUE"""),"")</f>
        <v/>
      </c>
      <c r="W408" s="6" t="str">
        <f>IFERROR(__xludf.DUMMYFUNCTION("""COMPUTED_VALUE"""),"[]")</f>
        <v>[]</v>
      </c>
      <c r="X408" s="6" t="str">
        <f>IFERROR(__xludf.DUMMYFUNCTION("""COMPUTED_VALUE"""),"Enrolled")</f>
        <v>Enrolled</v>
      </c>
    </row>
    <row r="409">
      <c r="A409" s="6" t="str">
        <f>IFERROR(__xludf.DUMMYFUNCTION("""COMPUTED_VALUE"""),"000-7857")</f>
        <v>000-7857</v>
      </c>
      <c r="B409" s="6" t="str">
        <f>IFERROR(__xludf.DUMMYFUNCTION("""COMPUTED_VALUE"""),"0")</f>
        <v>0</v>
      </c>
      <c r="C409" s="6" t="str">
        <f>IFERROR(__xludf.DUMMYFUNCTION("""COMPUTED_VALUE"""),"7857")</f>
        <v>7857</v>
      </c>
      <c r="D409" s="6" t="str">
        <f>IFERROR(__xludf.DUMMYFUNCTION("""COMPUTED_VALUE"""),"Amelia")</f>
        <v>Amelia</v>
      </c>
      <c r="E409" s="6" t="str">
        <f>IFERROR(__xludf.DUMMYFUNCTION("""COMPUTED_VALUE"""),"Amelia")</f>
        <v>Amelia</v>
      </c>
      <c r="F409" s="6" t="str">
        <f>IFERROR(__xludf.DUMMYFUNCTION("""COMPUTED_VALUE"""),"Hart")</f>
        <v>Hart</v>
      </c>
      <c r="G409" s="6" t="str">
        <f>IFERROR(__xludf.DUMMYFUNCTION("""COMPUTED_VALUE"""),"03/23/2017")</f>
        <v>03/23/2017</v>
      </c>
      <c r="H409" s="6" t="str">
        <f>IFERROR(__xludf.DUMMYFUNCTION("""COMPUTED_VALUE"""),"female")</f>
        <v>female</v>
      </c>
      <c r="I409" s="6" t="str">
        <f>IFERROR(__xludf.DUMMYFUNCTION("""COMPUTED_VALUE"""),"Level 1")</f>
        <v>Level 1</v>
      </c>
      <c r="J409" s="6" t="str">
        <f>IFERROR(__xludf.DUMMYFUNCTION("""COMPUTED_VALUE"""),"3")</f>
        <v>3</v>
      </c>
      <c r="K409" s="6" t="str">
        <f>IFERROR(__xludf.DUMMYFUNCTION("""COMPUTED_VALUE"""),"amelia.hart@2hourlearning.com")</f>
        <v>amelia.hart@2hourlearning.com</v>
      </c>
      <c r="L409" s="6" t="str">
        <f>IFERROR(__xludf.DUMMYFUNCTION("""COMPUTED_VALUE"""),"Alpha Anywhere (homeschool)")</f>
        <v>Alpha Anywhere (homeschool)</v>
      </c>
      <c r="M409" s="6" t="str">
        <f>IFERROR(__xludf.DUMMYFUNCTION("""COMPUTED_VALUE"""),"")</f>
        <v/>
      </c>
      <c r="N409" s="6" t="str">
        <f>IFERROR(__xludf.DUMMYFUNCTION("""COMPUTED_VALUE"""),"")</f>
        <v/>
      </c>
      <c r="O409" s="87" t="str">
        <f>IFERROR(__xludf.DUMMYFUNCTION("""COMPUTED_VALUE"""),"https://drive.google.com/drive/folders/10T2cTQHqEJZqE-st6uFKPoI?usp=share_link")</f>
        <v>https://drive.google.com/drive/folders/10T2cTQHqEJZqE-st6uFKPoI?usp=share_link</v>
      </c>
      <c r="P409" s="6" t="str">
        <f>IFERROR(__xludf.DUMMYFUNCTION("""COMPUTED_VALUE"""),"Amelia Hart")</f>
        <v>Amelia Hart</v>
      </c>
      <c r="Q409" s="6" t="str">
        <f>IFERROR(__xludf.DUMMYFUNCTION("""COMPUTED_VALUE"""),"L1")</f>
        <v>L1</v>
      </c>
      <c r="R409" s="6">
        <f>IFERROR(__xludf.DUMMYFUNCTION("""COMPUTED_VALUE"""),1.0)</f>
        <v>1</v>
      </c>
      <c r="S409" s="6" t="str">
        <f>IFERROR(__xludf.DUMMYFUNCTION("""COMPUTED_VALUE""")," ")</f>
        <v> </v>
      </c>
      <c r="T409" s="6" t="str">
        <f>IFERROR(__xludf.DUMMYFUNCTION("""COMPUTED_VALUE"""),"")</f>
        <v/>
      </c>
      <c r="U409" s="6" t="str">
        <f>IFERROR(__xludf.DUMMYFUNCTION("""COMPUTED_VALUE"""),"3")</f>
        <v>3</v>
      </c>
      <c r="V409" s="6" t="str">
        <f>IFERROR(__xludf.DUMMYFUNCTION("""COMPUTED_VALUE"""),"")</f>
        <v/>
      </c>
      <c r="W409" s="6" t="str">
        <f>IFERROR(__xludf.DUMMYFUNCTION("""COMPUTED_VALUE"""),"[]")</f>
        <v>[]</v>
      </c>
      <c r="X409" s="6" t="str">
        <f>IFERROR(__xludf.DUMMYFUNCTION("""COMPUTED_VALUE"""),"Enrolled")</f>
        <v>Enrolled</v>
      </c>
    </row>
    <row r="410">
      <c r="A410" s="6" t="str">
        <f>IFERROR(__xludf.DUMMYFUNCTION("""COMPUTED_VALUE"""),"000-7873")</f>
        <v>000-7873</v>
      </c>
      <c r="B410" s="6" t="str">
        <f>IFERROR(__xludf.DUMMYFUNCTION("""COMPUTED_VALUE"""),"0")</f>
        <v>0</v>
      </c>
      <c r="C410" s="6" t="str">
        <f>IFERROR(__xludf.DUMMYFUNCTION("""COMPUTED_VALUE"""),"7873")</f>
        <v>7873</v>
      </c>
      <c r="D410" s="6" t="str">
        <f>IFERROR(__xludf.DUMMYFUNCTION("""COMPUTED_VALUE"""),"Avi")</f>
        <v>Avi</v>
      </c>
      <c r="E410" s="6" t="str">
        <f>IFERROR(__xludf.DUMMYFUNCTION("""COMPUTED_VALUE"""),"")</f>
        <v/>
      </c>
      <c r="F410" s="6" t="str">
        <f>IFERROR(__xludf.DUMMYFUNCTION("""COMPUTED_VALUE"""),"Datta")</f>
        <v>Datta</v>
      </c>
      <c r="G410" s="6" t="str">
        <f>IFERROR(__xludf.DUMMYFUNCTION("""COMPUTED_VALUE"""),"02/03/2012")</f>
        <v>02/03/2012</v>
      </c>
      <c r="H410" s="6" t="str">
        <f>IFERROR(__xludf.DUMMYFUNCTION("""COMPUTED_VALUE"""),"male")</f>
        <v>male</v>
      </c>
      <c r="I410" s="6" t="str">
        <f>IFERROR(__xludf.DUMMYFUNCTION("""COMPUTED_VALUE"""),"Middle School")</f>
        <v>Middle School</v>
      </c>
      <c r="J410" s="6" t="str">
        <f>IFERROR(__xludf.DUMMYFUNCTION("""COMPUTED_VALUE"""),"8")</f>
        <v>8</v>
      </c>
      <c r="K410" s="6" t="str">
        <f>IFERROR(__xludf.DUMMYFUNCTION("""COMPUTED_VALUE"""),"avi.datta@2hourlearning.com")</f>
        <v>avi.datta@2hourlearning.com</v>
      </c>
      <c r="L410" s="6" t="str">
        <f>IFERROR(__xludf.DUMMYFUNCTION("""COMPUTED_VALUE"""),"Alpha Anywhere (homeschool)")</f>
        <v>Alpha Anywhere (homeschool)</v>
      </c>
      <c r="M410" s="6" t="str">
        <f>IFERROR(__xludf.DUMMYFUNCTION("""COMPUTED_VALUE"""),"")</f>
        <v/>
      </c>
      <c r="N410" s="6" t="str">
        <f>IFERROR(__xludf.DUMMYFUNCTION("""COMPUTED_VALUE"""),"")</f>
        <v/>
      </c>
      <c r="O410" s="87" t="str">
        <f>IFERROR(__xludf.DUMMYFUNCTION("""COMPUTED_VALUE"""),"https://drive.google.com/drive/folders/10T2cTQHqEJZqE-st6uFKPoI?usp=share_link")</f>
        <v>https://drive.google.com/drive/folders/10T2cTQHqEJZqE-st6uFKPoI?usp=share_link</v>
      </c>
      <c r="P410" s="6" t="str">
        <f>IFERROR(__xludf.DUMMYFUNCTION("""COMPUTED_VALUE"""),"Avi Datta")</f>
        <v>Avi Datta</v>
      </c>
      <c r="Q410" s="6" t="str">
        <f>IFERROR(__xludf.DUMMYFUNCTION("""COMPUTED_VALUE"""),"MS")</f>
        <v>MS</v>
      </c>
      <c r="R410" s="6">
        <f>IFERROR(__xludf.DUMMYFUNCTION("""COMPUTED_VALUE"""),0.0)</f>
        <v>0</v>
      </c>
      <c r="S410" s="6" t="str">
        <f>IFERROR(__xludf.DUMMYFUNCTION("""COMPUTED_VALUE""")," ")</f>
        <v> </v>
      </c>
      <c r="T410" s="6" t="str">
        <f>IFERROR(__xludf.DUMMYFUNCTION("""COMPUTED_VALUE"""),"")</f>
        <v/>
      </c>
      <c r="U410" s="6" t="str">
        <f>IFERROR(__xludf.DUMMYFUNCTION("""COMPUTED_VALUE"""),"8")</f>
        <v>8</v>
      </c>
      <c r="V410" s="6" t="str">
        <f>IFERROR(__xludf.DUMMYFUNCTION("""COMPUTED_VALUE"""),"")</f>
        <v/>
      </c>
      <c r="W410" s="6" t="str">
        <f>IFERROR(__xludf.DUMMYFUNCTION("""COMPUTED_VALUE"""),"[]")</f>
        <v>[]</v>
      </c>
      <c r="X410" s="6" t="str">
        <f>IFERROR(__xludf.DUMMYFUNCTION("""COMPUTED_VALUE"""),"Enrolled")</f>
        <v>Enrolled</v>
      </c>
    </row>
    <row r="411">
      <c r="A411" s="6" t="str">
        <f>IFERROR(__xludf.DUMMYFUNCTION("""COMPUTED_VALUE"""),"000-7897")</f>
        <v>000-7897</v>
      </c>
      <c r="B411" s="6" t="str">
        <f>IFERROR(__xludf.DUMMYFUNCTION("""COMPUTED_VALUE"""),"0")</f>
        <v>0</v>
      </c>
      <c r="C411" s="6" t="str">
        <f>IFERROR(__xludf.DUMMYFUNCTION("""COMPUTED_VALUE"""),"7897")</f>
        <v>7897</v>
      </c>
      <c r="D411" s="6" t="str">
        <f>IFERROR(__xludf.DUMMYFUNCTION("""COMPUTED_VALUE"""),"Riley")</f>
        <v>Riley</v>
      </c>
      <c r="E411" s="6" t="str">
        <f>IFERROR(__xludf.DUMMYFUNCTION("""COMPUTED_VALUE"""),"")</f>
        <v/>
      </c>
      <c r="F411" s="6" t="str">
        <f>IFERROR(__xludf.DUMMYFUNCTION("""COMPUTED_VALUE"""),"Dulac")</f>
        <v>Dulac</v>
      </c>
      <c r="G411" s="6" t="str">
        <f>IFERROR(__xludf.DUMMYFUNCTION("""COMPUTED_VALUE"""),"02/19/2012")</f>
        <v>02/19/2012</v>
      </c>
      <c r="H411" s="6" t="str">
        <f>IFERROR(__xludf.DUMMYFUNCTION("""COMPUTED_VALUE"""),"male")</f>
        <v>male</v>
      </c>
      <c r="I411" s="6" t="str">
        <f>IFERROR(__xludf.DUMMYFUNCTION("""COMPUTED_VALUE"""),"Middle School")</f>
        <v>Middle School</v>
      </c>
      <c r="J411" s="6" t="str">
        <f>IFERROR(__xludf.DUMMYFUNCTION("""COMPUTED_VALUE"""),"8")</f>
        <v>8</v>
      </c>
      <c r="K411" s="6" t="str">
        <f>IFERROR(__xludf.DUMMYFUNCTION("""COMPUTED_VALUE"""),"riley.dulac@2hourlearning.com")</f>
        <v>riley.dulac@2hourlearning.com</v>
      </c>
      <c r="L411" s="6" t="str">
        <f>IFERROR(__xludf.DUMMYFUNCTION("""COMPUTED_VALUE"""),"Alpha Anywhere (homeschool)")</f>
        <v>Alpha Anywhere (homeschool)</v>
      </c>
      <c r="M411" s="6" t="str">
        <f>IFERROR(__xludf.DUMMYFUNCTION("""COMPUTED_VALUE"""),"")</f>
        <v/>
      </c>
      <c r="N411" s="6" t="str">
        <f>IFERROR(__xludf.DUMMYFUNCTION("""COMPUTED_VALUE"""),"")</f>
        <v/>
      </c>
      <c r="O411" s="87" t="str">
        <f>IFERROR(__xludf.DUMMYFUNCTION("""COMPUTED_VALUE"""),"https://drive.google.com/drive/folders/10T2cTQHqEJZqE-st6uFKPoI?usp=share_link")</f>
        <v>https://drive.google.com/drive/folders/10T2cTQHqEJZqE-st6uFKPoI?usp=share_link</v>
      </c>
      <c r="P411" s="6" t="str">
        <f>IFERROR(__xludf.DUMMYFUNCTION("""COMPUTED_VALUE"""),"Riley Dulac")</f>
        <v>Riley Dulac</v>
      </c>
      <c r="Q411" s="6" t="str">
        <f>IFERROR(__xludf.DUMMYFUNCTION("""COMPUTED_VALUE"""),"MS")</f>
        <v>MS</v>
      </c>
      <c r="R411" s="6">
        <f>IFERROR(__xludf.DUMMYFUNCTION("""COMPUTED_VALUE"""),0.0)</f>
        <v>0</v>
      </c>
      <c r="S411" s="6" t="str">
        <f>IFERROR(__xludf.DUMMYFUNCTION("""COMPUTED_VALUE""")," ")</f>
        <v> </v>
      </c>
      <c r="T411" s="6" t="str">
        <f>IFERROR(__xludf.DUMMYFUNCTION("""COMPUTED_VALUE"""),"")</f>
        <v/>
      </c>
      <c r="U411" s="6" t="str">
        <f>IFERROR(__xludf.DUMMYFUNCTION("""COMPUTED_VALUE"""),"8")</f>
        <v>8</v>
      </c>
      <c r="V411" s="6" t="str">
        <f>IFERROR(__xludf.DUMMYFUNCTION("""COMPUTED_VALUE"""),"")</f>
        <v/>
      </c>
      <c r="W411" s="6" t="str">
        <f>IFERROR(__xludf.DUMMYFUNCTION("""COMPUTED_VALUE"""),"[]")</f>
        <v>[]</v>
      </c>
      <c r="X411" s="6" t="str">
        <f>IFERROR(__xludf.DUMMYFUNCTION("""COMPUTED_VALUE"""),"Enrolled")</f>
        <v>Enrolled</v>
      </c>
    </row>
    <row r="412">
      <c r="A412" s="6" t="str">
        <f>IFERROR(__xludf.DUMMYFUNCTION("""COMPUTED_VALUE"""),"000-7910")</f>
        <v>000-7910</v>
      </c>
      <c r="B412" s="6" t="str">
        <f>IFERROR(__xludf.DUMMYFUNCTION("""COMPUTED_VALUE"""),"0")</f>
        <v>0</v>
      </c>
      <c r="C412" s="6" t="str">
        <f>IFERROR(__xludf.DUMMYFUNCTION("""COMPUTED_VALUE"""),"7910")</f>
        <v>7910</v>
      </c>
      <c r="D412" s="6" t="str">
        <f>IFERROR(__xludf.DUMMYFUNCTION("""COMPUTED_VALUE"""),"Jude")</f>
        <v>Jude</v>
      </c>
      <c r="E412" s="6" t="str">
        <f>IFERROR(__xludf.DUMMYFUNCTION("""COMPUTED_VALUE"""),"")</f>
        <v/>
      </c>
      <c r="F412" s="6" t="str">
        <f>IFERROR(__xludf.DUMMYFUNCTION("""COMPUTED_VALUE"""),"Terry")</f>
        <v>Terry</v>
      </c>
      <c r="G412" s="6" t="str">
        <f>IFERROR(__xludf.DUMMYFUNCTION("""COMPUTED_VALUE"""),"07/24/2014")</f>
        <v>07/24/2014</v>
      </c>
      <c r="H412" s="6" t="str">
        <f>IFERROR(__xludf.DUMMYFUNCTION("""COMPUTED_VALUE"""),"male")</f>
        <v>male</v>
      </c>
      <c r="I412" s="6" t="str">
        <f>IFERROR(__xludf.DUMMYFUNCTION("""COMPUTED_VALUE"""),"Middle School")</f>
        <v>Middle School</v>
      </c>
      <c r="J412" s="6" t="str">
        <f>IFERROR(__xludf.DUMMYFUNCTION("""COMPUTED_VALUE"""),"6")</f>
        <v>6</v>
      </c>
      <c r="K412" s="6" t="str">
        <f>IFERROR(__xludf.DUMMYFUNCTION("""COMPUTED_VALUE"""),"jude.terry@2hourlearning.com")</f>
        <v>jude.terry@2hourlearning.com</v>
      </c>
      <c r="L412" s="6" t="str">
        <f>IFERROR(__xludf.DUMMYFUNCTION("""COMPUTED_VALUE"""),"Alpha Anywhere (homeschool)")</f>
        <v>Alpha Anywhere (homeschool)</v>
      </c>
      <c r="M412" s="6" t="str">
        <f>IFERROR(__xludf.DUMMYFUNCTION("""COMPUTED_VALUE"""),"")</f>
        <v/>
      </c>
      <c r="N412" s="6" t="str">
        <f>IFERROR(__xludf.DUMMYFUNCTION("""COMPUTED_VALUE"""),"")</f>
        <v/>
      </c>
      <c r="O412" s="87" t="str">
        <f>IFERROR(__xludf.DUMMYFUNCTION("""COMPUTED_VALUE"""),"https://drive.google.com/drive/folders/10T2cTQHqEJZqE-st6uFKPoI?usp=share_link")</f>
        <v>https://drive.google.com/drive/folders/10T2cTQHqEJZqE-st6uFKPoI?usp=share_link</v>
      </c>
      <c r="P412" s="6" t="str">
        <f>IFERROR(__xludf.DUMMYFUNCTION("""COMPUTED_VALUE"""),"Jude Terry")</f>
        <v>Jude Terry</v>
      </c>
      <c r="Q412" s="6" t="str">
        <f>IFERROR(__xludf.DUMMYFUNCTION("""COMPUTED_VALUE"""),"MS")</f>
        <v>MS</v>
      </c>
      <c r="R412" s="6">
        <f>IFERROR(__xludf.DUMMYFUNCTION("""COMPUTED_VALUE"""),0.0)</f>
        <v>0</v>
      </c>
      <c r="S412" s="6" t="str">
        <f>IFERROR(__xludf.DUMMYFUNCTION("""COMPUTED_VALUE""")," ")</f>
        <v> </v>
      </c>
      <c r="T412" s="6" t="str">
        <f>IFERROR(__xludf.DUMMYFUNCTION("""COMPUTED_VALUE"""),"")</f>
        <v/>
      </c>
      <c r="U412" s="6" t="str">
        <f>IFERROR(__xludf.DUMMYFUNCTION("""COMPUTED_VALUE"""),"6")</f>
        <v>6</v>
      </c>
      <c r="V412" s="6" t="str">
        <f>IFERROR(__xludf.DUMMYFUNCTION("""COMPUTED_VALUE"""),"")</f>
        <v/>
      </c>
      <c r="W412" s="6" t="str">
        <f>IFERROR(__xludf.DUMMYFUNCTION("""COMPUTED_VALUE"""),"[]")</f>
        <v>[]</v>
      </c>
      <c r="X412" s="6" t="str">
        <f>IFERROR(__xludf.DUMMYFUNCTION("""COMPUTED_VALUE"""),"Enrolled")</f>
        <v>Enrolled</v>
      </c>
    </row>
    <row r="413">
      <c r="A413" s="6" t="str">
        <f>IFERROR(__xludf.DUMMYFUNCTION("""COMPUTED_VALUE"""),"000-7913")</f>
        <v>000-7913</v>
      </c>
      <c r="B413" s="6" t="str">
        <f>IFERROR(__xludf.DUMMYFUNCTION("""COMPUTED_VALUE"""),"0")</f>
        <v>0</v>
      </c>
      <c r="C413" s="6" t="str">
        <f>IFERROR(__xludf.DUMMYFUNCTION("""COMPUTED_VALUE"""),"7913")</f>
        <v>7913</v>
      </c>
      <c r="D413" s="6" t="str">
        <f>IFERROR(__xludf.DUMMYFUNCTION("""COMPUTED_VALUE"""),"Thomas")</f>
        <v>Thomas</v>
      </c>
      <c r="E413" s="6" t="str">
        <f>IFERROR(__xludf.DUMMYFUNCTION("""COMPUTED_VALUE"""),"")</f>
        <v/>
      </c>
      <c r="F413" s="6" t="str">
        <f>IFERROR(__xludf.DUMMYFUNCTION("""COMPUTED_VALUE"""),"Keefe")</f>
        <v>Keefe</v>
      </c>
      <c r="G413" s="6" t="str">
        <f>IFERROR(__xludf.DUMMYFUNCTION("""COMPUTED_VALUE"""),"04/29/2012")</f>
        <v>04/29/2012</v>
      </c>
      <c r="H413" s="6" t="str">
        <f>IFERROR(__xludf.DUMMYFUNCTION("""COMPUTED_VALUE"""),"male")</f>
        <v>male</v>
      </c>
      <c r="I413" s="6" t="str">
        <f>IFERROR(__xludf.DUMMYFUNCTION("""COMPUTED_VALUE"""),"Middle School")</f>
        <v>Middle School</v>
      </c>
      <c r="J413" s="6" t="str">
        <f>IFERROR(__xludf.DUMMYFUNCTION("""COMPUTED_VALUE"""),"8")</f>
        <v>8</v>
      </c>
      <c r="K413" s="6" t="str">
        <f>IFERROR(__xludf.DUMMYFUNCTION("""COMPUTED_VALUE"""),"thomas.keefe@2hourlearning.com")</f>
        <v>thomas.keefe@2hourlearning.com</v>
      </c>
      <c r="L413" s="6" t="str">
        <f>IFERROR(__xludf.DUMMYFUNCTION("""COMPUTED_VALUE"""),"Alpha Anywhere (homeschool)")</f>
        <v>Alpha Anywhere (homeschool)</v>
      </c>
      <c r="M413" s="6" t="str">
        <f>IFERROR(__xludf.DUMMYFUNCTION("""COMPUTED_VALUE"""),"")</f>
        <v/>
      </c>
      <c r="N413" s="6" t="str">
        <f>IFERROR(__xludf.DUMMYFUNCTION("""COMPUTED_VALUE"""),"")</f>
        <v/>
      </c>
      <c r="O413" s="87" t="str">
        <f>IFERROR(__xludf.DUMMYFUNCTION("""COMPUTED_VALUE"""),"https://drive.google.com/drive/folders/10T2cTQHqEJZqE-st6uFKPoI?usp=share_link")</f>
        <v>https://drive.google.com/drive/folders/10T2cTQHqEJZqE-st6uFKPoI?usp=share_link</v>
      </c>
      <c r="P413" s="6" t="str">
        <f>IFERROR(__xludf.DUMMYFUNCTION("""COMPUTED_VALUE"""),"Thomas Keefe")</f>
        <v>Thomas Keefe</v>
      </c>
      <c r="Q413" s="6" t="str">
        <f>IFERROR(__xludf.DUMMYFUNCTION("""COMPUTED_VALUE"""),"MS")</f>
        <v>MS</v>
      </c>
      <c r="R413" s="6">
        <f>IFERROR(__xludf.DUMMYFUNCTION("""COMPUTED_VALUE"""),0.0)</f>
        <v>0</v>
      </c>
      <c r="S413" s="6" t="str">
        <f>IFERROR(__xludf.DUMMYFUNCTION("""COMPUTED_VALUE""")," ")</f>
        <v> </v>
      </c>
      <c r="T413" s="6" t="str">
        <f>IFERROR(__xludf.DUMMYFUNCTION("""COMPUTED_VALUE"""),"")</f>
        <v/>
      </c>
      <c r="U413" s="6" t="str">
        <f>IFERROR(__xludf.DUMMYFUNCTION("""COMPUTED_VALUE"""),"8")</f>
        <v>8</v>
      </c>
      <c r="V413" s="6" t="str">
        <f>IFERROR(__xludf.DUMMYFUNCTION("""COMPUTED_VALUE"""),"")</f>
        <v/>
      </c>
      <c r="W413" s="6" t="str">
        <f>IFERROR(__xludf.DUMMYFUNCTION("""COMPUTED_VALUE"""),"[]")</f>
        <v>[]</v>
      </c>
      <c r="X413" s="6" t="str">
        <f>IFERROR(__xludf.DUMMYFUNCTION("""COMPUTED_VALUE"""),"Enrolled")</f>
        <v>Enrolled</v>
      </c>
    </row>
    <row r="414">
      <c r="A414" s="6" t="str">
        <f>IFERROR(__xludf.DUMMYFUNCTION("""COMPUTED_VALUE"""),"000-7931")</f>
        <v>000-7931</v>
      </c>
      <c r="B414" s="6" t="str">
        <f>IFERROR(__xludf.DUMMYFUNCTION("""COMPUTED_VALUE"""),"0")</f>
        <v>0</v>
      </c>
      <c r="C414" s="6" t="str">
        <f>IFERROR(__xludf.DUMMYFUNCTION("""COMPUTED_VALUE"""),"7931")</f>
        <v>7931</v>
      </c>
      <c r="D414" s="6" t="str">
        <f>IFERROR(__xludf.DUMMYFUNCTION("""COMPUTED_VALUE"""),"Robin")</f>
        <v>Robin</v>
      </c>
      <c r="E414" s="6" t="str">
        <f>IFERROR(__xludf.DUMMYFUNCTION("""COMPUTED_VALUE"""),"")</f>
        <v/>
      </c>
      <c r="F414" s="6" t="str">
        <f>IFERROR(__xludf.DUMMYFUNCTION("""COMPUTED_VALUE"""),"ONeal")</f>
        <v>ONeal</v>
      </c>
      <c r="G414" s="6" t="str">
        <f>IFERROR(__xludf.DUMMYFUNCTION("""COMPUTED_VALUE"""),"10/18/2014")</f>
        <v>10/18/2014</v>
      </c>
      <c r="H414" s="6" t="str">
        <f>IFERROR(__xludf.DUMMYFUNCTION("""COMPUTED_VALUE"""),"male")</f>
        <v>male</v>
      </c>
      <c r="I414" s="6" t="str">
        <f>IFERROR(__xludf.DUMMYFUNCTION("""COMPUTED_VALUE"""),"Level 2")</f>
        <v>Level 2</v>
      </c>
      <c r="J414" s="6" t="str">
        <f>IFERROR(__xludf.DUMMYFUNCTION("""COMPUTED_VALUE"""),"5")</f>
        <v>5</v>
      </c>
      <c r="K414" s="6" t="str">
        <f>IFERROR(__xludf.DUMMYFUNCTION("""COMPUTED_VALUE"""),"robin.oneal@2hourlearning.com")</f>
        <v>robin.oneal@2hourlearning.com</v>
      </c>
      <c r="L414" s="6" t="str">
        <f>IFERROR(__xludf.DUMMYFUNCTION("""COMPUTED_VALUE"""),"Alpha Anywhere (homeschool)")</f>
        <v>Alpha Anywhere (homeschool)</v>
      </c>
      <c r="M414" s="6" t="str">
        <f>IFERROR(__xludf.DUMMYFUNCTION("""COMPUTED_VALUE"""),"")</f>
        <v/>
      </c>
      <c r="N414" s="6" t="str">
        <f>IFERROR(__xludf.DUMMYFUNCTION("""COMPUTED_VALUE"""),"")</f>
        <v/>
      </c>
      <c r="O414" s="87" t="str">
        <f>IFERROR(__xludf.DUMMYFUNCTION("""COMPUTED_VALUE"""),"https://drive.google.com/drive/folders/10T2cTQHqEJZqE-st6uFKPoI?usp=share_link")</f>
        <v>https://drive.google.com/drive/folders/10T2cTQHqEJZqE-st6uFKPoI?usp=share_link</v>
      </c>
      <c r="P414" s="6" t="str">
        <f>IFERROR(__xludf.DUMMYFUNCTION("""COMPUTED_VALUE"""),"Robin ONeal")</f>
        <v>Robin ONeal</v>
      </c>
      <c r="Q414" s="6" t="str">
        <f>IFERROR(__xludf.DUMMYFUNCTION("""COMPUTED_VALUE"""),"L2")</f>
        <v>L2</v>
      </c>
      <c r="R414" s="6">
        <f>IFERROR(__xludf.DUMMYFUNCTION("""COMPUTED_VALUE"""),2.0)</f>
        <v>2</v>
      </c>
      <c r="S414" s="6" t="str">
        <f>IFERROR(__xludf.DUMMYFUNCTION("""COMPUTED_VALUE""")," ")</f>
        <v> </v>
      </c>
      <c r="T414" s="6" t="str">
        <f>IFERROR(__xludf.DUMMYFUNCTION("""COMPUTED_VALUE"""),"")</f>
        <v/>
      </c>
      <c r="U414" s="6" t="str">
        <f>IFERROR(__xludf.DUMMYFUNCTION("""COMPUTED_VALUE"""),"5")</f>
        <v>5</v>
      </c>
      <c r="V414" s="6" t="str">
        <f>IFERROR(__xludf.DUMMYFUNCTION("""COMPUTED_VALUE"""),"")</f>
        <v/>
      </c>
      <c r="W414" s="6" t="str">
        <f>IFERROR(__xludf.DUMMYFUNCTION("""COMPUTED_VALUE"""),"[]")</f>
        <v>[]</v>
      </c>
      <c r="X414" s="6" t="str">
        <f>IFERROR(__xludf.DUMMYFUNCTION("""COMPUTED_VALUE"""),"Enrolled")</f>
        <v>Enrolled</v>
      </c>
    </row>
    <row r="415">
      <c r="A415" s="6" t="str">
        <f>IFERROR(__xludf.DUMMYFUNCTION("""COMPUTED_VALUE"""),"000-7932")</f>
        <v>000-7932</v>
      </c>
      <c r="B415" s="6" t="str">
        <f>IFERROR(__xludf.DUMMYFUNCTION("""COMPUTED_VALUE"""),"0")</f>
        <v>0</v>
      </c>
      <c r="C415" s="6" t="str">
        <f>IFERROR(__xludf.DUMMYFUNCTION("""COMPUTED_VALUE"""),"7932")</f>
        <v>7932</v>
      </c>
      <c r="D415" s="6" t="str">
        <f>IFERROR(__xludf.DUMMYFUNCTION("""COMPUTED_VALUE"""),"Quinn")</f>
        <v>Quinn</v>
      </c>
      <c r="E415" s="6" t="str">
        <f>IFERROR(__xludf.DUMMYFUNCTION("""COMPUTED_VALUE"""),"")</f>
        <v/>
      </c>
      <c r="F415" s="6" t="str">
        <f>IFERROR(__xludf.DUMMYFUNCTION("""COMPUTED_VALUE"""),"ONeal")</f>
        <v>ONeal</v>
      </c>
      <c r="G415" s="6" t="str">
        <f>IFERROR(__xludf.DUMMYFUNCTION("""COMPUTED_VALUE"""),"02/17/2013")</f>
        <v>02/17/2013</v>
      </c>
      <c r="H415" s="6" t="str">
        <f>IFERROR(__xludf.DUMMYFUNCTION("""COMPUTED_VALUE"""),"male")</f>
        <v>male</v>
      </c>
      <c r="I415" s="6" t="str">
        <f>IFERROR(__xludf.DUMMYFUNCTION("""COMPUTED_VALUE"""),"Middle School")</f>
        <v>Middle School</v>
      </c>
      <c r="J415" s="6" t="str">
        <f>IFERROR(__xludf.DUMMYFUNCTION("""COMPUTED_VALUE"""),"7")</f>
        <v>7</v>
      </c>
      <c r="K415" s="6" t="str">
        <f>IFERROR(__xludf.DUMMYFUNCTION("""COMPUTED_VALUE"""),"quinn.oneal@2hourlearning.com")</f>
        <v>quinn.oneal@2hourlearning.com</v>
      </c>
      <c r="L415" s="6" t="str">
        <f>IFERROR(__xludf.DUMMYFUNCTION("""COMPUTED_VALUE"""),"Alpha Anywhere (homeschool)")</f>
        <v>Alpha Anywhere (homeschool)</v>
      </c>
      <c r="M415" s="6" t="str">
        <f>IFERROR(__xludf.DUMMYFUNCTION("""COMPUTED_VALUE"""),"")</f>
        <v/>
      </c>
      <c r="N415" s="6" t="str">
        <f>IFERROR(__xludf.DUMMYFUNCTION("""COMPUTED_VALUE"""),"")</f>
        <v/>
      </c>
      <c r="O415" s="87" t="str">
        <f>IFERROR(__xludf.DUMMYFUNCTION("""COMPUTED_VALUE"""),"https://drive.google.com/drive/folders/10T2cTQHqEJZqE-st6uFKPoI?usp=share_link")</f>
        <v>https://drive.google.com/drive/folders/10T2cTQHqEJZqE-st6uFKPoI?usp=share_link</v>
      </c>
      <c r="P415" s="6" t="str">
        <f>IFERROR(__xludf.DUMMYFUNCTION("""COMPUTED_VALUE"""),"Quinn ONeal")</f>
        <v>Quinn ONeal</v>
      </c>
      <c r="Q415" s="6" t="str">
        <f>IFERROR(__xludf.DUMMYFUNCTION("""COMPUTED_VALUE"""),"MS")</f>
        <v>MS</v>
      </c>
      <c r="R415" s="6">
        <f>IFERROR(__xludf.DUMMYFUNCTION("""COMPUTED_VALUE"""),0.0)</f>
        <v>0</v>
      </c>
      <c r="S415" s="6" t="str">
        <f>IFERROR(__xludf.DUMMYFUNCTION("""COMPUTED_VALUE""")," ")</f>
        <v> </v>
      </c>
      <c r="T415" s="6" t="str">
        <f>IFERROR(__xludf.DUMMYFUNCTION("""COMPUTED_VALUE"""),"")</f>
        <v/>
      </c>
      <c r="U415" s="6" t="str">
        <f>IFERROR(__xludf.DUMMYFUNCTION("""COMPUTED_VALUE"""),"7")</f>
        <v>7</v>
      </c>
      <c r="V415" s="6" t="str">
        <f>IFERROR(__xludf.DUMMYFUNCTION("""COMPUTED_VALUE"""),"")</f>
        <v/>
      </c>
      <c r="W415" s="6" t="str">
        <f>IFERROR(__xludf.DUMMYFUNCTION("""COMPUTED_VALUE"""),"[]")</f>
        <v>[]</v>
      </c>
      <c r="X415" s="6" t="str">
        <f>IFERROR(__xludf.DUMMYFUNCTION("""COMPUTED_VALUE"""),"Enrolled")</f>
        <v>Enrolled</v>
      </c>
    </row>
    <row r="416">
      <c r="A416" s="6" t="str">
        <f>IFERROR(__xludf.DUMMYFUNCTION("""COMPUTED_VALUE"""),"000-7933")</f>
        <v>000-7933</v>
      </c>
      <c r="B416" s="6" t="str">
        <f>IFERROR(__xludf.DUMMYFUNCTION("""COMPUTED_VALUE"""),"0")</f>
        <v>0</v>
      </c>
      <c r="C416" s="6" t="str">
        <f>IFERROR(__xludf.DUMMYFUNCTION("""COMPUTED_VALUE"""),"7933")</f>
        <v>7933</v>
      </c>
      <c r="D416" s="6" t="str">
        <f>IFERROR(__xludf.DUMMYFUNCTION("""COMPUTED_VALUE"""),"Scarlett")</f>
        <v>Scarlett</v>
      </c>
      <c r="E416" s="6" t="str">
        <f>IFERROR(__xludf.DUMMYFUNCTION("""COMPUTED_VALUE"""),"")</f>
        <v/>
      </c>
      <c r="F416" s="6" t="str">
        <f>IFERROR(__xludf.DUMMYFUNCTION("""COMPUTED_VALUE"""),"ONeal")</f>
        <v>ONeal</v>
      </c>
      <c r="G416" s="6" t="str">
        <f>IFERROR(__xludf.DUMMYFUNCTION("""COMPUTED_VALUE"""),"02/17/2013")</f>
        <v>02/17/2013</v>
      </c>
      <c r="H416" s="6" t="str">
        <f>IFERROR(__xludf.DUMMYFUNCTION("""COMPUTED_VALUE"""),"female")</f>
        <v>female</v>
      </c>
      <c r="I416" s="6" t="str">
        <f>IFERROR(__xludf.DUMMYFUNCTION("""COMPUTED_VALUE"""),"Middle School")</f>
        <v>Middle School</v>
      </c>
      <c r="J416" s="6" t="str">
        <f>IFERROR(__xludf.DUMMYFUNCTION("""COMPUTED_VALUE"""),"7")</f>
        <v>7</v>
      </c>
      <c r="K416" s="6" t="str">
        <f>IFERROR(__xludf.DUMMYFUNCTION("""COMPUTED_VALUE"""),"scarlett.oneal@2hourlearning.com")</f>
        <v>scarlett.oneal@2hourlearning.com</v>
      </c>
      <c r="L416" s="6" t="str">
        <f>IFERROR(__xludf.DUMMYFUNCTION("""COMPUTED_VALUE"""),"Alpha Anywhere (homeschool)")</f>
        <v>Alpha Anywhere (homeschool)</v>
      </c>
      <c r="M416" s="6" t="str">
        <f>IFERROR(__xludf.DUMMYFUNCTION("""COMPUTED_VALUE"""),"")</f>
        <v/>
      </c>
      <c r="N416" s="6" t="str">
        <f>IFERROR(__xludf.DUMMYFUNCTION("""COMPUTED_VALUE"""),"")</f>
        <v/>
      </c>
      <c r="O416" s="87" t="str">
        <f>IFERROR(__xludf.DUMMYFUNCTION("""COMPUTED_VALUE"""),"https://drive.google.com/drive/folders/10T2cTQHqEJZqE-st6uFKPoI?usp=share_link")</f>
        <v>https://drive.google.com/drive/folders/10T2cTQHqEJZqE-st6uFKPoI?usp=share_link</v>
      </c>
      <c r="P416" s="6" t="str">
        <f>IFERROR(__xludf.DUMMYFUNCTION("""COMPUTED_VALUE"""),"Scarlett ONeal")</f>
        <v>Scarlett ONeal</v>
      </c>
      <c r="Q416" s="6" t="str">
        <f>IFERROR(__xludf.DUMMYFUNCTION("""COMPUTED_VALUE"""),"MS")</f>
        <v>MS</v>
      </c>
      <c r="R416" s="6">
        <f>IFERROR(__xludf.DUMMYFUNCTION("""COMPUTED_VALUE"""),0.0)</f>
        <v>0</v>
      </c>
      <c r="S416" s="6" t="str">
        <f>IFERROR(__xludf.DUMMYFUNCTION("""COMPUTED_VALUE""")," ")</f>
        <v> </v>
      </c>
      <c r="T416" s="6" t="str">
        <f>IFERROR(__xludf.DUMMYFUNCTION("""COMPUTED_VALUE"""),"")</f>
        <v/>
      </c>
      <c r="U416" s="6" t="str">
        <f>IFERROR(__xludf.DUMMYFUNCTION("""COMPUTED_VALUE"""),"7")</f>
        <v>7</v>
      </c>
      <c r="V416" s="6" t="str">
        <f>IFERROR(__xludf.DUMMYFUNCTION("""COMPUTED_VALUE"""),"")</f>
        <v/>
      </c>
      <c r="W416" s="6" t="str">
        <f>IFERROR(__xludf.DUMMYFUNCTION("""COMPUTED_VALUE"""),"[]")</f>
        <v>[]</v>
      </c>
      <c r="X416" s="6" t="str">
        <f>IFERROR(__xludf.DUMMYFUNCTION("""COMPUTED_VALUE"""),"Enrolled")</f>
        <v>Enrolled</v>
      </c>
    </row>
    <row r="417">
      <c r="A417" s="6" t="str">
        <f>IFERROR(__xludf.DUMMYFUNCTION("""COMPUTED_VALUE"""),"000-7934")</f>
        <v>000-7934</v>
      </c>
      <c r="B417" s="6" t="str">
        <f>IFERROR(__xludf.DUMMYFUNCTION("""COMPUTED_VALUE"""),"0")</f>
        <v>0</v>
      </c>
      <c r="C417" s="6" t="str">
        <f>IFERROR(__xludf.DUMMYFUNCTION("""COMPUTED_VALUE"""),"7934")</f>
        <v>7934</v>
      </c>
      <c r="D417" s="6" t="str">
        <f>IFERROR(__xludf.DUMMYFUNCTION("""COMPUTED_VALUE"""),"Jaxon")</f>
        <v>Jaxon</v>
      </c>
      <c r="E417" s="6" t="str">
        <f>IFERROR(__xludf.DUMMYFUNCTION("""COMPUTED_VALUE"""),"")</f>
        <v/>
      </c>
      <c r="F417" s="6" t="str">
        <f>IFERROR(__xludf.DUMMYFUNCTION("""COMPUTED_VALUE"""),"Bombino")</f>
        <v>Bombino</v>
      </c>
      <c r="G417" s="6" t="str">
        <f>IFERROR(__xludf.DUMMYFUNCTION("""COMPUTED_VALUE"""),"07/17/2011")</f>
        <v>07/17/2011</v>
      </c>
      <c r="H417" s="6" t="str">
        <f>IFERROR(__xludf.DUMMYFUNCTION("""COMPUTED_VALUE"""),"male")</f>
        <v>male</v>
      </c>
      <c r="I417" s="6" t="str">
        <f>IFERROR(__xludf.DUMMYFUNCTION("""COMPUTED_VALUE"""),"Middle School")</f>
        <v>Middle School</v>
      </c>
      <c r="J417" s="6" t="str">
        <f>IFERROR(__xludf.DUMMYFUNCTION("""COMPUTED_VALUE"""),"8")</f>
        <v>8</v>
      </c>
      <c r="K417" s="6" t="str">
        <f>IFERROR(__xludf.DUMMYFUNCTION("""COMPUTED_VALUE"""),"jaxon.bombino1@2hourlearning.com")</f>
        <v>jaxon.bombino1@2hourlearning.com</v>
      </c>
      <c r="L417" s="6" t="str">
        <f>IFERROR(__xludf.DUMMYFUNCTION("""COMPUTED_VALUE"""),"Alpha Anywhere (homeschool)")</f>
        <v>Alpha Anywhere (homeschool)</v>
      </c>
      <c r="M417" s="6" t="str">
        <f>IFERROR(__xludf.DUMMYFUNCTION("""COMPUTED_VALUE"""),"")</f>
        <v/>
      </c>
      <c r="N417" s="6" t="str">
        <f>IFERROR(__xludf.DUMMYFUNCTION("""COMPUTED_VALUE"""),"")</f>
        <v/>
      </c>
      <c r="O417" s="87" t="str">
        <f>IFERROR(__xludf.DUMMYFUNCTION("""COMPUTED_VALUE"""),"https://drive.google.com/drive/folders/10T2cTQHqEJZqE-st6uFKPoI?usp=share_link")</f>
        <v>https://drive.google.com/drive/folders/10T2cTQHqEJZqE-st6uFKPoI?usp=share_link</v>
      </c>
      <c r="P417" s="6" t="str">
        <f>IFERROR(__xludf.DUMMYFUNCTION("""COMPUTED_VALUE"""),"Jaxon Bombino")</f>
        <v>Jaxon Bombino</v>
      </c>
      <c r="Q417" s="6" t="str">
        <f>IFERROR(__xludf.DUMMYFUNCTION("""COMPUTED_VALUE"""),"MS")</f>
        <v>MS</v>
      </c>
      <c r="R417" s="6">
        <f>IFERROR(__xludf.DUMMYFUNCTION("""COMPUTED_VALUE"""),0.0)</f>
        <v>0</v>
      </c>
      <c r="S417" s="6" t="str">
        <f>IFERROR(__xludf.DUMMYFUNCTION("""COMPUTED_VALUE""")," ")</f>
        <v> </v>
      </c>
      <c r="T417" s="6" t="str">
        <f>IFERROR(__xludf.DUMMYFUNCTION("""COMPUTED_VALUE"""),"")</f>
        <v/>
      </c>
      <c r="U417" s="6" t="str">
        <f>IFERROR(__xludf.DUMMYFUNCTION("""COMPUTED_VALUE"""),"8")</f>
        <v>8</v>
      </c>
      <c r="V417" s="6" t="str">
        <f>IFERROR(__xludf.DUMMYFUNCTION("""COMPUTED_VALUE"""),"")</f>
        <v/>
      </c>
      <c r="W417" s="6" t="str">
        <f>IFERROR(__xludf.DUMMYFUNCTION("""COMPUTED_VALUE"""),"[]")</f>
        <v>[]</v>
      </c>
      <c r="X417" s="6" t="str">
        <f>IFERROR(__xludf.DUMMYFUNCTION("""COMPUTED_VALUE"""),"Enrolled")</f>
        <v>Enrolled</v>
      </c>
    </row>
    <row r="418">
      <c r="A418" s="6" t="str">
        <f>IFERROR(__xludf.DUMMYFUNCTION("""COMPUTED_VALUE"""),"000-7949")</f>
        <v>000-7949</v>
      </c>
      <c r="B418" s="6" t="str">
        <f>IFERROR(__xludf.DUMMYFUNCTION("""COMPUTED_VALUE"""),"0")</f>
        <v>0</v>
      </c>
      <c r="C418" s="6" t="str">
        <f>IFERROR(__xludf.DUMMYFUNCTION("""COMPUTED_VALUE"""),"7949")</f>
        <v>7949</v>
      </c>
      <c r="D418" s="6" t="str">
        <f>IFERROR(__xludf.DUMMYFUNCTION("""COMPUTED_VALUE"""),"Maiya")</f>
        <v>Maiya</v>
      </c>
      <c r="E418" s="6" t="str">
        <f>IFERROR(__xludf.DUMMYFUNCTION("""COMPUTED_VALUE"""),"")</f>
        <v/>
      </c>
      <c r="F418" s="6" t="str">
        <f>IFERROR(__xludf.DUMMYFUNCTION("""COMPUTED_VALUE"""),"Baldoni")</f>
        <v>Baldoni</v>
      </c>
      <c r="G418" s="6" t="str">
        <f>IFERROR(__xludf.DUMMYFUNCTION("""COMPUTED_VALUE"""),"06/27/2015")</f>
        <v>06/27/2015</v>
      </c>
      <c r="H418" s="6" t="str">
        <f>IFERROR(__xludf.DUMMYFUNCTION("""COMPUTED_VALUE"""),"female")</f>
        <v>female</v>
      </c>
      <c r="I418" s="6" t="str">
        <f>IFERROR(__xludf.DUMMYFUNCTION("""COMPUTED_VALUE"""),"Level 2")</f>
        <v>Level 2</v>
      </c>
      <c r="J418" s="6" t="str">
        <f>IFERROR(__xludf.DUMMYFUNCTION("""COMPUTED_VALUE"""),"4")</f>
        <v>4</v>
      </c>
      <c r="K418" s="6" t="str">
        <f>IFERROR(__xludf.DUMMYFUNCTION("""COMPUTED_VALUE"""),"maiya.baldoni@2hourlearning.com")</f>
        <v>maiya.baldoni@2hourlearning.com</v>
      </c>
      <c r="L418" s="6" t="str">
        <f>IFERROR(__xludf.DUMMYFUNCTION("""COMPUTED_VALUE"""),"Alpha Anywhere (homeschool)")</f>
        <v>Alpha Anywhere (homeschool)</v>
      </c>
      <c r="M418" s="6" t="str">
        <f>IFERROR(__xludf.DUMMYFUNCTION("""COMPUTED_VALUE"""),"")</f>
        <v/>
      </c>
      <c r="N418" s="6" t="str">
        <f>IFERROR(__xludf.DUMMYFUNCTION("""COMPUTED_VALUE"""),"")</f>
        <v/>
      </c>
      <c r="O418" s="87" t="str">
        <f>IFERROR(__xludf.DUMMYFUNCTION("""COMPUTED_VALUE"""),"https://drive.google.com/drive/folders/10T2cTQHqEJZqE-st6uFKPoI?usp=share_link")</f>
        <v>https://drive.google.com/drive/folders/10T2cTQHqEJZqE-st6uFKPoI?usp=share_link</v>
      </c>
      <c r="P418" s="6" t="str">
        <f>IFERROR(__xludf.DUMMYFUNCTION("""COMPUTED_VALUE"""),"Maiya Baldoni")</f>
        <v>Maiya Baldoni</v>
      </c>
      <c r="Q418" s="6" t="str">
        <f>IFERROR(__xludf.DUMMYFUNCTION("""COMPUTED_VALUE"""),"L2")</f>
        <v>L2</v>
      </c>
      <c r="R418" s="6">
        <f>IFERROR(__xludf.DUMMYFUNCTION("""COMPUTED_VALUE"""),2.0)</f>
        <v>2</v>
      </c>
      <c r="S418" s="6" t="str">
        <f>IFERROR(__xludf.DUMMYFUNCTION("""COMPUTED_VALUE""")," ")</f>
        <v> </v>
      </c>
      <c r="T418" s="6" t="str">
        <f>IFERROR(__xludf.DUMMYFUNCTION("""COMPUTED_VALUE"""),"")</f>
        <v/>
      </c>
      <c r="U418" s="6" t="str">
        <f>IFERROR(__xludf.DUMMYFUNCTION("""COMPUTED_VALUE"""),"4")</f>
        <v>4</v>
      </c>
      <c r="V418" s="6" t="str">
        <f>IFERROR(__xludf.DUMMYFUNCTION("""COMPUTED_VALUE"""),"")</f>
        <v/>
      </c>
      <c r="W418" s="6" t="str">
        <f>IFERROR(__xludf.DUMMYFUNCTION("""COMPUTED_VALUE"""),"[]")</f>
        <v>[]</v>
      </c>
      <c r="X418" s="6" t="str">
        <f>IFERROR(__xludf.DUMMYFUNCTION("""COMPUTED_VALUE"""),"Enrolled")</f>
        <v>Enrolled</v>
      </c>
    </row>
    <row r="419">
      <c r="A419" s="6" t="str">
        <f>IFERROR(__xludf.DUMMYFUNCTION("""COMPUTED_VALUE"""),"000-7950")</f>
        <v>000-7950</v>
      </c>
      <c r="B419" s="6" t="str">
        <f>IFERROR(__xludf.DUMMYFUNCTION("""COMPUTED_VALUE"""),"0")</f>
        <v>0</v>
      </c>
      <c r="C419" s="6" t="str">
        <f>IFERROR(__xludf.DUMMYFUNCTION("""COMPUTED_VALUE"""),"7950")</f>
        <v>7950</v>
      </c>
      <c r="D419" s="6" t="str">
        <f>IFERROR(__xludf.DUMMYFUNCTION("""COMPUTED_VALUE"""),"Maxwell")</f>
        <v>Maxwell</v>
      </c>
      <c r="E419" s="6" t="str">
        <f>IFERROR(__xludf.DUMMYFUNCTION("""COMPUTED_VALUE"""),"")</f>
        <v/>
      </c>
      <c r="F419" s="6" t="str">
        <f>IFERROR(__xludf.DUMMYFUNCTION("""COMPUTED_VALUE"""),"Baldoni")</f>
        <v>Baldoni</v>
      </c>
      <c r="G419" s="6" t="str">
        <f>IFERROR(__xludf.DUMMYFUNCTION("""COMPUTED_VALUE"""),"10/18/2017")</f>
        <v>10/18/2017</v>
      </c>
      <c r="H419" s="6" t="str">
        <f>IFERROR(__xludf.DUMMYFUNCTION("""COMPUTED_VALUE"""),"male")</f>
        <v>male</v>
      </c>
      <c r="I419" s="6" t="str">
        <f>IFERROR(__xludf.DUMMYFUNCTION("""COMPUTED_VALUE"""),"Level 1")</f>
        <v>Level 1</v>
      </c>
      <c r="J419" s="6" t="str">
        <f>IFERROR(__xludf.DUMMYFUNCTION("""COMPUTED_VALUE"""),"2")</f>
        <v>2</v>
      </c>
      <c r="K419" s="6" t="str">
        <f>IFERROR(__xludf.DUMMYFUNCTION("""COMPUTED_VALUE"""),"maxwell.baldoni@2hourlearning.com")</f>
        <v>maxwell.baldoni@2hourlearning.com</v>
      </c>
      <c r="L419" s="6" t="str">
        <f>IFERROR(__xludf.DUMMYFUNCTION("""COMPUTED_VALUE"""),"Alpha Anywhere (homeschool)")</f>
        <v>Alpha Anywhere (homeschool)</v>
      </c>
      <c r="M419" s="6" t="str">
        <f>IFERROR(__xludf.DUMMYFUNCTION("""COMPUTED_VALUE"""),"")</f>
        <v/>
      </c>
      <c r="N419" s="6" t="str">
        <f>IFERROR(__xludf.DUMMYFUNCTION("""COMPUTED_VALUE"""),"")</f>
        <v/>
      </c>
      <c r="O419" s="87" t="str">
        <f>IFERROR(__xludf.DUMMYFUNCTION("""COMPUTED_VALUE"""),"https://drive.google.com/drive/folders/10T2cTQHqEJZqE-st6uFKPoI?usp=share_link")</f>
        <v>https://drive.google.com/drive/folders/10T2cTQHqEJZqE-st6uFKPoI?usp=share_link</v>
      </c>
      <c r="P419" s="6" t="str">
        <f>IFERROR(__xludf.DUMMYFUNCTION("""COMPUTED_VALUE"""),"Maxwell Baldoni")</f>
        <v>Maxwell Baldoni</v>
      </c>
      <c r="Q419" s="6" t="str">
        <f>IFERROR(__xludf.DUMMYFUNCTION("""COMPUTED_VALUE"""),"L1")</f>
        <v>L1</v>
      </c>
      <c r="R419" s="6">
        <f>IFERROR(__xludf.DUMMYFUNCTION("""COMPUTED_VALUE"""),1.0)</f>
        <v>1</v>
      </c>
      <c r="S419" s="6" t="str">
        <f>IFERROR(__xludf.DUMMYFUNCTION("""COMPUTED_VALUE""")," ")</f>
        <v> </v>
      </c>
      <c r="T419" s="6" t="str">
        <f>IFERROR(__xludf.DUMMYFUNCTION("""COMPUTED_VALUE"""),"")</f>
        <v/>
      </c>
      <c r="U419" s="6" t="str">
        <f>IFERROR(__xludf.DUMMYFUNCTION("""COMPUTED_VALUE"""),"2")</f>
        <v>2</v>
      </c>
      <c r="V419" s="6" t="str">
        <f>IFERROR(__xludf.DUMMYFUNCTION("""COMPUTED_VALUE"""),"")</f>
        <v/>
      </c>
      <c r="W419" s="6" t="str">
        <f>IFERROR(__xludf.DUMMYFUNCTION("""COMPUTED_VALUE"""),"[]")</f>
        <v>[]</v>
      </c>
      <c r="X419" s="6" t="str">
        <f>IFERROR(__xludf.DUMMYFUNCTION("""COMPUTED_VALUE"""),"Enrolled")</f>
        <v>Enrolled</v>
      </c>
    </row>
    <row r="420">
      <c r="A420" s="6" t="str">
        <f>IFERROR(__xludf.DUMMYFUNCTION("""COMPUTED_VALUE"""),"000-7959")</f>
        <v>000-7959</v>
      </c>
      <c r="B420" s="6" t="str">
        <f>IFERROR(__xludf.DUMMYFUNCTION("""COMPUTED_VALUE"""),"0")</f>
        <v>0</v>
      </c>
      <c r="C420" s="6" t="str">
        <f>IFERROR(__xludf.DUMMYFUNCTION("""COMPUTED_VALUE"""),"7959")</f>
        <v>7959</v>
      </c>
      <c r="D420" s="6" t="str">
        <f>IFERROR(__xludf.DUMMYFUNCTION("""COMPUTED_VALUE"""),"Orion")</f>
        <v>Orion</v>
      </c>
      <c r="E420" s="6" t="str">
        <f>IFERROR(__xludf.DUMMYFUNCTION("""COMPUTED_VALUE"""),"")</f>
        <v/>
      </c>
      <c r="F420" s="6" t="str">
        <f>IFERROR(__xludf.DUMMYFUNCTION("""COMPUTED_VALUE"""),"Winn")</f>
        <v>Winn</v>
      </c>
      <c r="G420" s="6" t="str">
        <f>IFERROR(__xludf.DUMMYFUNCTION("""COMPUTED_VALUE"""),"08/09/2015")</f>
        <v>08/09/2015</v>
      </c>
      <c r="H420" s="6" t="str">
        <f>IFERROR(__xludf.DUMMYFUNCTION("""COMPUTED_VALUE"""),"male")</f>
        <v>male</v>
      </c>
      <c r="I420" s="6" t="str">
        <f>IFERROR(__xludf.DUMMYFUNCTION("""COMPUTED_VALUE"""),"Level 2")</f>
        <v>Level 2</v>
      </c>
      <c r="J420" s="6" t="str">
        <f>IFERROR(__xludf.DUMMYFUNCTION("""COMPUTED_VALUE"""),"4")</f>
        <v>4</v>
      </c>
      <c r="K420" s="6" t="str">
        <f>IFERROR(__xludf.DUMMYFUNCTION("""COMPUTED_VALUE"""),"orion.winn@2hourlearning.com")</f>
        <v>orion.winn@2hourlearning.com</v>
      </c>
      <c r="L420" s="6" t="str">
        <f>IFERROR(__xludf.DUMMYFUNCTION("""COMPUTED_VALUE"""),"Alpha Anywhere (homeschool)")</f>
        <v>Alpha Anywhere (homeschool)</v>
      </c>
      <c r="M420" s="6" t="str">
        <f>IFERROR(__xludf.DUMMYFUNCTION("""COMPUTED_VALUE"""),"")</f>
        <v/>
      </c>
      <c r="N420" s="6" t="str">
        <f>IFERROR(__xludf.DUMMYFUNCTION("""COMPUTED_VALUE"""),"")</f>
        <v/>
      </c>
      <c r="O420" s="87" t="str">
        <f>IFERROR(__xludf.DUMMYFUNCTION("""COMPUTED_VALUE"""),"https://drive.google.com/drive/folders/10T2cTQHqEJZqE-st6uFKPoI?usp=share_link")</f>
        <v>https://drive.google.com/drive/folders/10T2cTQHqEJZqE-st6uFKPoI?usp=share_link</v>
      </c>
      <c r="P420" s="6" t="str">
        <f>IFERROR(__xludf.DUMMYFUNCTION("""COMPUTED_VALUE"""),"Orion Winn")</f>
        <v>Orion Winn</v>
      </c>
      <c r="Q420" s="6" t="str">
        <f>IFERROR(__xludf.DUMMYFUNCTION("""COMPUTED_VALUE"""),"L2")</f>
        <v>L2</v>
      </c>
      <c r="R420" s="6">
        <f>IFERROR(__xludf.DUMMYFUNCTION("""COMPUTED_VALUE"""),2.0)</f>
        <v>2</v>
      </c>
      <c r="S420" s="6" t="str">
        <f>IFERROR(__xludf.DUMMYFUNCTION("""COMPUTED_VALUE""")," ")</f>
        <v> </v>
      </c>
      <c r="T420" s="6" t="str">
        <f>IFERROR(__xludf.DUMMYFUNCTION("""COMPUTED_VALUE"""),"")</f>
        <v/>
      </c>
      <c r="U420" s="6" t="str">
        <f>IFERROR(__xludf.DUMMYFUNCTION("""COMPUTED_VALUE"""),"4")</f>
        <v>4</v>
      </c>
      <c r="V420" s="6" t="str">
        <f>IFERROR(__xludf.DUMMYFUNCTION("""COMPUTED_VALUE"""),"")</f>
        <v/>
      </c>
      <c r="W420" s="6" t="str">
        <f>IFERROR(__xludf.DUMMYFUNCTION("""COMPUTED_VALUE"""),"[]")</f>
        <v>[]</v>
      </c>
      <c r="X420" s="6" t="str">
        <f>IFERROR(__xludf.DUMMYFUNCTION("""COMPUTED_VALUE"""),"Enrolled")</f>
        <v>Enrolled</v>
      </c>
    </row>
    <row r="421">
      <c r="A421" s="6" t="str">
        <f>IFERROR(__xludf.DUMMYFUNCTION("""COMPUTED_VALUE"""),"000-7971")</f>
        <v>000-7971</v>
      </c>
      <c r="B421" s="6" t="str">
        <f>IFERROR(__xludf.DUMMYFUNCTION("""COMPUTED_VALUE"""),"0")</f>
        <v>0</v>
      </c>
      <c r="C421" s="6" t="str">
        <f>IFERROR(__xludf.DUMMYFUNCTION("""COMPUTED_VALUE"""),"7971")</f>
        <v>7971</v>
      </c>
      <c r="D421" s="6" t="str">
        <f>IFERROR(__xludf.DUMMYFUNCTION("""COMPUTED_VALUE"""),"Emilie")</f>
        <v>Emilie</v>
      </c>
      <c r="E421" s="6" t="str">
        <f>IFERROR(__xludf.DUMMYFUNCTION("""COMPUTED_VALUE"""),"")</f>
        <v/>
      </c>
      <c r="F421" s="6" t="str">
        <f>IFERROR(__xludf.DUMMYFUNCTION("""COMPUTED_VALUE"""),"Johnson")</f>
        <v>Johnson</v>
      </c>
      <c r="G421" s="6" t="str">
        <f>IFERROR(__xludf.DUMMYFUNCTION("""COMPUTED_VALUE"""),"03/30/2013")</f>
        <v>03/30/2013</v>
      </c>
      <c r="H421" s="6" t="str">
        <f>IFERROR(__xludf.DUMMYFUNCTION("""COMPUTED_VALUE"""),"female")</f>
        <v>female</v>
      </c>
      <c r="I421" s="6" t="str">
        <f>IFERROR(__xludf.DUMMYFUNCTION("""COMPUTED_VALUE"""),"Middle School")</f>
        <v>Middle School</v>
      </c>
      <c r="J421" s="6" t="str">
        <f>IFERROR(__xludf.DUMMYFUNCTION("""COMPUTED_VALUE"""),"7")</f>
        <v>7</v>
      </c>
      <c r="K421" s="6" t="str">
        <f>IFERROR(__xludf.DUMMYFUNCTION("""COMPUTED_VALUE"""),"emilie.johnson@2hourlearning.com")</f>
        <v>emilie.johnson@2hourlearning.com</v>
      </c>
      <c r="L421" s="6" t="str">
        <f>IFERROR(__xludf.DUMMYFUNCTION("""COMPUTED_VALUE"""),"Alpha Anywhere (homeschool)")</f>
        <v>Alpha Anywhere (homeschool)</v>
      </c>
      <c r="M421" s="6" t="str">
        <f>IFERROR(__xludf.DUMMYFUNCTION("""COMPUTED_VALUE"""),"")</f>
        <v/>
      </c>
      <c r="N421" s="6" t="str">
        <f>IFERROR(__xludf.DUMMYFUNCTION("""COMPUTED_VALUE"""),"")</f>
        <v/>
      </c>
      <c r="O421" s="87" t="str">
        <f>IFERROR(__xludf.DUMMYFUNCTION("""COMPUTED_VALUE"""),"https://drive.google.com/drive/folders/10T2cTQHqEJZqE-st6uFKPoI?usp=share_link")</f>
        <v>https://drive.google.com/drive/folders/10T2cTQHqEJZqE-st6uFKPoI?usp=share_link</v>
      </c>
      <c r="P421" s="6" t="str">
        <f>IFERROR(__xludf.DUMMYFUNCTION("""COMPUTED_VALUE"""),"Emilie Johnson")</f>
        <v>Emilie Johnson</v>
      </c>
      <c r="Q421" s="6" t="str">
        <f>IFERROR(__xludf.DUMMYFUNCTION("""COMPUTED_VALUE"""),"MS")</f>
        <v>MS</v>
      </c>
      <c r="R421" s="6">
        <f>IFERROR(__xludf.DUMMYFUNCTION("""COMPUTED_VALUE"""),0.0)</f>
        <v>0</v>
      </c>
      <c r="S421" s="6" t="str">
        <f>IFERROR(__xludf.DUMMYFUNCTION("""COMPUTED_VALUE""")," ")</f>
        <v> </v>
      </c>
      <c r="T421" s="6" t="str">
        <f>IFERROR(__xludf.DUMMYFUNCTION("""COMPUTED_VALUE"""),"")</f>
        <v/>
      </c>
      <c r="U421" s="6" t="str">
        <f>IFERROR(__xludf.DUMMYFUNCTION("""COMPUTED_VALUE"""),"7")</f>
        <v>7</v>
      </c>
      <c r="V421" s="6" t="str">
        <f>IFERROR(__xludf.DUMMYFUNCTION("""COMPUTED_VALUE"""),"")</f>
        <v/>
      </c>
      <c r="W421" s="6" t="str">
        <f>IFERROR(__xludf.DUMMYFUNCTION("""COMPUTED_VALUE"""),"[]")</f>
        <v>[]</v>
      </c>
      <c r="X421" s="6" t="str">
        <f>IFERROR(__xludf.DUMMYFUNCTION("""COMPUTED_VALUE"""),"Enrolled")</f>
        <v>Enrolled</v>
      </c>
    </row>
    <row r="422">
      <c r="A422" s="6" t="str">
        <f>IFERROR(__xludf.DUMMYFUNCTION("""COMPUTED_VALUE"""),"000-7981")</f>
        <v>000-7981</v>
      </c>
      <c r="B422" s="6" t="str">
        <f>IFERROR(__xludf.DUMMYFUNCTION("""COMPUTED_VALUE"""),"0")</f>
        <v>0</v>
      </c>
      <c r="C422" s="6" t="str">
        <f>IFERROR(__xludf.DUMMYFUNCTION("""COMPUTED_VALUE"""),"7981")</f>
        <v>7981</v>
      </c>
      <c r="D422" s="6" t="str">
        <f>IFERROR(__xludf.DUMMYFUNCTION("""COMPUTED_VALUE"""),"Miles")</f>
        <v>Miles</v>
      </c>
      <c r="E422" s="6" t="str">
        <f>IFERROR(__xludf.DUMMYFUNCTION("""COMPUTED_VALUE"""),"")</f>
        <v/>
      </c>
      <c r="F422" s="6" t="str">
        <f>IFERROR(__xludf.DUMMYFUNCTION("""COMPUTED_VALUE"""),"Weidlich")</f>
        <v>Weidlich</v>
      </c>
      <c r="G422" s="6" t="str">
        <f>IFERROR(__xludf.DUMMYFUNCTION("""COMPUTED_VALUE"""),"02/16/2015")</f>
        <v>02/16/2015</v>
      </c>
      <c r="H422" s="6" t="str">
        <f>IFERROR(__xludf.DUMMYFUNCTION("""COMPUTED_VALUE"""),"male")</f>
        <v>male</v>
      </c>
      <c r="I422" s="6" t="str">
        <f>IFERROR(__xludf.DUMMYFUNCTION("""COMPUTED_VALUE"""),"Level 2")</f>
        <v>Level 2</v>
      </c>
      <c r="J422" s="6" t="str">
        <f>IFERROR(__xludf.DUMMYFUNCTION("""COMPUTED_VALUE"""),"4")</f>
        <v>4</v>
      </c>
      <c r="K422" s="6" t="str">
        <f>IFERROR(__xludf.DUMMYFUNCTION("""COMPUTED_VALUE"""),"miles.weidlich@2hourlearning.com")</f>
        <v>miles.weidlich@2hourlearning.com</v>
      </c>
      <c r="L422" s="6" t="str">
        <f>IFERROR(__xludf.DUMMYFUNCTION("""COMPUTED_VALUE"""),"Alpha Anywhere (homeschool)")</f>
        <v>Alpha Anywhere (homeschool)</v>
      </c>
      <c r="M422" s="6" t="str">
        <f>IFERROR(__xludf.DUMMYFUNCTION("""COMPUTED_VALUE"""),"")</f>
        <v/>
      </c>
      <c r="N422" s="6" t="str">
        <f>IFERROR(__xludf.DUMMYFUNCTION("""COMPUTED_VALUE"""),"")</f>
        <v/>
      </c>
      <c r="O422" s="87" t="str">
        <f>IFERROR(__xludf.DUMMYFUNCTION("""COMPUTED_VALUE"""),"https://drive.google.com/drive/folders/10T2cTQHqEJZqE-st6uFKPoI?usp=share_link")</f>
        <v>https://drive.google.com/drive/folders/10T2cTQHqEJZqE-st6uFKPoI?usp=share_link</v>
      </c>
      <c r="P422" s="6" t="str">
        <f>IFERROR(__xludf.DUMMYFUNCTION("""COMPUTED_VALUE"""),"Miles Weidlich")</f>
        <v>Miles Weidlich</v>
      </c>
      <c r="Q422" s="6" t="str">
        <f>IFERROR(__xludf.DUMMYFUNCTION("""COMPUTED_VALUE"""),"L2")</f>
        <v>L2</v>
      </c>
      <c r="R422" s="6">
        <f>IFERROR(__xludf.DUMMYFUNCTION("""COMPUTED_VALUE"""),2.0)</f>
        <v>2</v>
      </c>
      <c r="S422" s="6" t="str">
        <f>IFERROR(__xludf.DUMMYFUNCTION("""COMPUTED_VALUE""")," ")</f>
        <v> </v>
      </c>
      <c r="T422" s="6" t="str">
        <f>IFERROR(__xludf.DUMMYFUNCTION("""COMPUTED_VALUE"""),"")</f>
        <v/>
      </c>
      <c r="U422" s="6" t="str">
        <f>IFERROR(__xludf.DUMMYFUNCTION("""COMPUTED_VALUE"""),"4")</f>
        <v>4</v>
      </c>
      <c r="V422" s="6" t="str">
        <f>IFERROR(__xludf.DUMMYFUNCTION("""COMPUTED_VALUE"""),"")</f>
        <v/>
      </c>
      <c r="W422" s="6" t="str">
        <f>IFERROR(__xludf.DUMMYFUNCTION("""COMPUTED_VALUE"""),"[]")</f>
        <v>[]</v>
      </c>
      <c r="X422" s="6" t="str">
        <f>IFERROR(__xludf.DUMMYFUNCTION("""COMPUTED_VALUE"""),"Enrolled")</f>
        <v>Enrolled</v>
      </c>
    </row>
    <row r="423">
      <c r="A423" s="6" t="str">
        <f>IFERROR(__xludf.DUMMYFUNCTION("""COMPUTED_VALUE"""),"000-8006")</f>
        <v>000-8006</v>
      </c>
      <c r="B423" s="6" t="str">
        <f>IFERROR(__xludf.DUMMYFUNCTION("""COMPUTED_VALUE"""),"0")</f>
        <v>0</v>
      </c>
      <c r="C423" s="6" t="str">
        <f>IFERROR(__xludf.DUMMYFUNCTION("""COMPUTED_VALUE"""),"8006")</f>
        <v>8006</v>
      </c>
      <c r="D423" s="6" t="str">
        <f>IFERROR(__xludf.DUMMYFUNCTION("""COMPUTED_VALUE"""),"Gage")</f>
        <v>Gage</v>
      </c>
      <c r="E423" s="6" t="str">
        <f>IFERROR(__xludf.DUMMYFUNCTION("""COMPUTED_VALUE"""),"")</f>
        <v/>
      </c>
      <c r="F423" s="6" t="str">
        <f>IFERROR(__xludf.DUMMYFUNCTION("""COMPUTED_VALUE"""),"Lucas")</f>
        <v>Lucas</v>
      </c>
      <c r="G423" s="6" t="str">
        <f>IFERROR(__xludf.DUMMYFUNCTION("""COMPUTED_VALUE"""),"01/05/2014")</f>
        <v>01/05/2014</v>
      </c>
      <c r="H423" s="6" t="str">
        <f>IFERROR(__xludf.DUMMYFUNCTION("""COMPUTED_VALUE"""),"Self Identify")</f>
        <v>Self Identify</v>
      </c>
      <c r="I423" s="6" t="str">
        <f>IFERROR(__xludf.DUMMYFUNCTION("""COMPUTED_VALUE"""),"Middle School")</f>
        <v>Middle School</v>
      </c>
      <c r="J423" s="6" t="str">
        <f>IFERROR(__xludf.DUMMYFUNCTION("""COMPUTED_VALUE"""),"6")</f>
        <v>6</v>
      </c>
      <c r="K423" s="6" t="str">
        <f>IFERROR(__xludf.DUMMYFUNCTION("""COMPUTED_VALUE"""),"gage.lucas@2hourlearning.com")</f>
        <v>gage.lucas@2hourlearning.com</v>
      </c>
      <c r="L423" s="6" t="str">
        <f>IFERROR(__xludf.DUMMYFUNCTION("""COMPUTED_VALUE"""),"Alpha Anywhere (homeschool)")</f>
        <v>Alpha Anywhere (homeschool)</v>
      </c>
      <c r="M423" s="6" t="str">
        <f>IFERROR(__xludf.DUMMYFUNCTION("""COMPUTED_VALUE"""),"")</f>
        <v/>
      </c>
      <c r="N423" s="6" t="str">
        <f>IFERROR(__xludf.DUMMYFUNCTION("""COMPUTED_VALUE"""),"")</f>
        <v/>
      </c>
      <c r="O423" s="87" t="str">
        <f>IFERROR(__xludf.DUMMYFUNCTION("""COMPUTED_VALUE"""),"https://drive.google.com/drive/folders/10T2cTQHqEJZqE-st6uFKPoI?usp=share_link")</f>
        <v>https://drive.google.com/drive/folders/10T2cTQHqEJZqE-st6uFKPoI?usp=share_link</v>
      </c>
      <c r="P423" s="6" t="str">
        <f>IFERROR(__xludf.DUMMYFUNCTION("""COMPUTED_VALUE"""),"Gage Lucas")</f>
        <v>Gage Lucas</v>
      </c>
      <c r="Q423" s="6" t="str">
        <f>IFERROR(__xludf.DUMMYFUNCTION("""COMPUTED_VALUE"""),"MS")</f>
        <v>MS</v>
      </c>
      <c r="R423" s="6">
        <f>IFERROR(__xludf.DUMMYFUNCTION("""COMPUTED_VALUE"""),0.0)</f>
        <v>0</v>
      </c>
      <c r="S423" s="6" t="str">
        <f>IFERROR(__xludf.DUMMYFUNCTION("""COMPUTED_VALUE""")," ")</f>
        <v> </v>
      </c>
      <c r="T423" s="6" t="str">
        <f>IFERROR(__xludf.DUMMYFUNCTION("""COMPUTED_VALUE"""),"")</f>
        <v/>
      </c>
      <c r="U423" s="6" t="str">
        <f>IFERROR(__xludf.DUMMYFUNCTION("""COMPUTED_VALUE"""),"6")</f>
        <v>6</v>
      </c>
      <c r="V423" s="6" t="str">
        <f>IFERROR(__xludf.DUMMYFUNCTION("""COMPUTED_VALUE"""),"")</f>
        <v/>
      </c>
      <c r="W423" s="6" t="str">
        <f>IFERROR(__xludf.DUMMYFUNCTION("""COMPUTED_VALUE"""),"[]")</f>
        <v>[]</v>
      </c>
      <c r="X423" s="6" t="str">
        <f>IFERROR(__xludf.DUMMYFUNCTION("""COMPUTED_VALUE"""),"Enrolled")</f>
        <v>Enrolled</v>
      </c>
    </row>
    <row r="424">
      <c r="A424" s="6" t="str">
        <f>IFERROR(__xludf.DUMMYFUNCTION("""COMPUTED_VALUE"""),"000-8022")</f>
        <v>000-8022</v>
      </c>
      <c r="B424" s="6" t="str">
        <f>IFERROR(__xludf.DUMMYFUNCTION("""COMPUTED_VALUE"""),"0")</f>
        <v>0</v>
      </c>
      <c r="C424" s="6" t="str">
        <f>IFERROR(__xludf.DUMMYFUNCTION("""COMPUTED_VALUE"""),"8022")</f>
        <v>8022</v>
      </c>
      <c r="D424" s="6" t="str">
        <f>IFERROR(__xludf.DUMMYFUNCTION("""COMPUTED_VALUE"""),"Gabriella")</f>
        <v>Gabriella</v>
      </c>
      <c r="E424" s="6" t="str">
        <f>IFERROR(__xludf.DUMMYFUNCTION("""COMPUTED_VALUE"""),"")</f>
        <v/>
      </c>
      <c r="F424" s="6" t="str">
        <f>IFERROR(__xludf.DUMMYFUNCTION("""COMPUTED_VALUE"""),"Pereira")</f>
        <v>Pereira</v>
      </c>
      <c r="G424" s="6" t="str">
        <f>IFERROR(__xludf.DUMMYFUNCTION("""COMPUTED_VALUE"""),"07/18/2014")</f>
        <v>07/18/2014</v>
      </c>
      <c r="H424" s="6" t="str">
        <f>IFERROR(__xludf.DUMMYFUNCTION("""COMPUTED_VALUE"""),"Self Identify")</f>
        <v>Self Identify</v>
      </c>
      <c r="I424" s="6" t="str">
        <f>IFERROR(__xludf.DUMMYFUNCTION("""COMPUTED_VALUE"""),"Middle School")</f>
        <v>Middle School</v>
      </c>
      <c r="J424" s="6" t="str">
        <f>IFERROR(__xludf.DUMMYFUNCTION("""COMPUTED_VALUE"""),"6")</f>
        <v>6</v>
      </c>
      <c r="K424" s="6" t="str">
        <f>IFERROR(__xludf.DUMMYFUNCTION("""COMPUTED_VALUE"""),"gabriella.pereira@2hourlearning.com")</f>
        <v>gabriella.pereira@2hourlearning.com</v>
      </c>
      <c r="L424" s="6" t="str">
        <f>IFERROR(__xludf.DUMMYFUNCTION("""COMPUTED_VALUE"""),"Alpha Anywhere (homeschool)")</f>
        <v>Alpha Anywhere (homeschool)</v>
      </c>
      <c r="M424" s="6" t="str">
        <f>IFERROR(__xludf.DUMMYFUNCTION("""COMPUTED_VALUE"""),"")</f>
        <v/>
      </c>
      <c r="N424" s="6" t="str">
        <f>IFERROR(__xludf.DUMMYFUNCTION("""COMPUTED_VALUE"""),"")</f>
        <v/>
      </c>
      <c r="O424" s="87" t="str">
        <f>IFERROR(__xludf.DUMMYFUNCTION("""COMPUTED_VALUE"""),"https://drive.google.com/drive/folders/10T2cTQHqEJZqE-st6uFKPoI?usp=share_link")</f>
        <v>https://drive.google.com/drive/folders/10T2cTQHqEJZqE-st6uFKPoI?usp=share_link</v>
      </c>
      <c r="P424" s="6" t="str">
        <f>IFERROR(__xludf.DUMMYFUNCTION("""COMPUTED_VALUE"""),"Gabriella Pereira")</f>
        <v>Gabriella Pereira</v>
      </c>
      <c r="Q424" s="6" t="str">
        <f>IFERROR(__xludf.DUMMYFUNCTION("""COMPUTED_VALUE"""),"MS")</f>
        <v>MS</v>
      </c>
      <c r="R424" s="6">
        <f>IFERROR(__xludf.DUMMYFUNCTION("""COMPUTED_VALUE"""),0.0)</f>
        <v>0</v>
      </c>
      <c r="S424" s="6" t="str">
        <f>IFERROR(__xludf.DUMMYFUNCTION("""COMPUTED_VALUE""")," ")</f>
        <v> </v>
      </c>
      <c r="T424" s="6" t="str">
        <f>IFERROR(__xludf.DUMMYFUNCTION("""COMPUTED_VALUE"""),"")</f>
        <v/>
      </c>
      <c r="U424" s="6" t="str">
        <f>IFERROR(__xludf.DUMMYFUNCTION("""COMPUTED_VALUE"""),"6")</f>
        <v>6</v>
      </c>
      <c r="V424" s="6" t="str">
        <f>IFERROR(__xludf.DUMMYFUNCTION("""COMPUTED_VALUE"""),"")</f>
        <v/>
      </c>
      <c r="W424" s="6" t="str">
        <f>IFERROR(__xludf.DUMMYFUNCTION("""COMPUTED_VALUE"""),"[]")</f>
        <v>[]</v>
      </c>
      <c r="X424" s="6" t="str">
        <f>IFERROR(__xludf.DUMMYFUNCTION("""COMPUTED_VALUE"""),"Enrolled")</f>
        <v>Enrolled</v>
      </c>
    </row>
    <row r="425">
      <c r="A425" s="6" t="str">
        <f>IFERROR(__xludf.DUMMYFUNCTION("""COMPUTED_VALUE"""),"000-8043")</f>
        <v>000-8043</v>
      </c>
      <c r="B425" s="6" t="str">
        <f>IFERROR(__xludf.DUMMYFUNCTION("""COMPUTED_VALUE"""),"0")</f>
        <v>0</v>
      </c>
      <c r="C425" s="6" t="str">
        <f>IFERROR(__xludf.DUMMYFUNCTION("""COMPUTED_VALUE"""),"8043")</f>
        <v>8043</v>
      </c>
      <c r="D425" s="6" t="str">
        <f>IFERROR(__xludf.DUMMYFUNCTION("""COMPUTED_VALUE"""),"Lawrence")</f>
        <v>Lawrence</v>
      </c>
      <c r="E425" s="6" t="str">
        <f>IFERROR(__xludf.DUMMYFUNCTION("""COMPUTED_VALUE"""),"")</f>
        <v/>
      </c>
      <c r="F425" s="6" t="str">
        <f>IFERROR(__xludf.DUMMYFUNCTION("""COMPUTED_VALUE"""),"Bradham")</f>
        <v>Bradham</v>
      </c>
      <c r="G425" s="6" t="str">
        <f>IFERROR(__xludf.DUMMYFUNCTION("""COMPUTED_VALUE"""),"01/05/2015")</f>
        <v>01/05/2015</v>
      </c>
      <c r="H425" s="6" t="str">
        <f>IFERROR(__xludf.DUMMYFUNCTION("""COMPUTED_VALUE"""),"male")</f>
        <v>male</v>
      </c>
      <c r="I425" s="6" t="str">
        <f>IFERROR(__xludf.DUMMYFUNCTION("""COMPUTED_VALUE"""),"Level 2")</f>
        <v>Level 2</v>
      </c>
      <c r="J425" s="6" t="str">
        <f>IFERROR(__xludf.DUMMYFUNCTION("""COMPUTED_VALUE"""),"5")</f>
        <v>5</v>
      </c>
      <c r="K425" s="6" t="str">
        <f>IFERROR(__xludf.DUMMYFUNCTION("""COMPUTED_VALUE"""),"lawrence.bradham@2hourlearning.com")</f>
        <v>lawrence.bradham@2hourlearning.com</v>
      </c>
      <c r="L425" s="6" t="str">
        <f>IFERROR(__xludf.DUMMYFUNCTION("""COMPUTED_VALUE"""),"Alpha Anywhere (homeschool)")</f>
        <v>Alpha Anywhere (homeschool)</v>
      </c>
      <c r="M425" s="6" t="str">
        <f>IFERROR(__xludf.DUMMYFUNCTION("""COMPUTED_VALUE"""),"")</f>
        <v/>
      </c>
      <c r="N425" s="6" t="str">
        <f>IFERROR(__xludf.DUMMYFUNCTION("""COMPUTED_VALUE"""),"")</f>
        <v/>
      </c>
      <c r="O425" s="87" t="str">
        <f>IFERROR(__xludf.DUMMYFUNCTION("""COMPUTED_VALUE"""),"https://drive.google.com/drive/folders/10T2cTQHqEJZqE-st6uFKPoI?usp=share_link")</f>
        <v>https://drive.google.com/drive/folders/10T2cTQHqEJZqE-st6uFKPoI?usp=share_link</v>
      </c>
      <c r="P425" s="6" t="str">
        <f>IFERROR(__xludf.DUMMYFUNCTION("""COMPUTED_VALUE"""),"Lawrence Bradham")</f>
        <v>Lawrence Bradham</v>
      </c>
      <c r="Q425" s="6" t="str">
        <f>IFERROR(__xludf.DUMMYFUNCTION("""COMPUTED_VALUE"""),"L2")</f>
        <v>L2</v>
      </c>
      <c r="R425" s="6">
        <f>IFERROR(__xludf.DUMMYFUNCTION("""COMPUTED_VALUE"""),2.0)</f>
        <v>2</v>
      </c>
      <c r="S425" s="6" t="str">
        <f>IFERROR(__xludf.DUMMYFUNCTION("""COMPUTED_VALUE""")," ")</f>
        <v> </v>
      </c>
      <c r="T425" s="6" t="str">
        <f>IFERROR(__xludf.DUMMYFUNCTION("""COMPUTED_VALUE"""),"")</f>
        <v/>
      </c>
      <c r="U425" s="6" t="str">
        <f>IFERROR(__xludf.DUMMYFUNCTION("""COMPUTED_VALUE"""),"5")</f>
        <v>5</v>
      </c>
      <c r="V425" s="6" t="str">
        <f>IFERROR(__xludf.DUMMYFUNCTION("""COMPUTED_VALUE"""),"")</f>
        <v/>
      </c>
      <c r="W425" s="6" t="str">
        <f>IFERROR(__xludf.DUMMYFUNCTION("""COMPUTED_VALUE"""),"[]")</f>
        <v>[]</v>
      </c>
      <c r="X425" s="6" t="str">
        <f>IFERROR(__xludf.DUMMYFUNCTION("""COMPUTED_VALUE"""),"Enrolled")</f>
        <v>Enrolled</v>
      </c>
    </row>
    <row r="426">
      <c r="A426" s="6" t="str">
        <f>IFERROR(__xludf.DUMMYFUNCTION("""COMPUTED_VALUE"""),"000-8044")</f>
        <v>000-8044</v>
      </c>
      <c r="B426" s="6" t="str">
        <f>IFERROR(__xludf.DUMMYFUNCTION("""COMPUTED_VALUE"""),"0")</f>
        <v>0</v>
      </c>
      <c r="C426" s="6" t="str">
        <f>IFERROR(__xludf.DUMMYFUNCTION("""COMPUTED_VALUE"""),"8044")</f>
        <v>8044</v>
      </c>
      <c r="D426" s="6" t="str">
        <f>IFERROR(__xludf.DUMMYFUNCTION("""COMPUTED_VALUE"""),"Noelle")</f>
        <v>Noelle</v>
      </c>
      <c r="E426" s="6" t="str">
        <f>IFERROR(__xludf.DUMMYFUNCTION("""COMPUTED_VALUE"""),"")</f>
        <v/>
      </c>
      <c r="F426" s="6" t="str">
        <f>IFERROR(__xludf.DUMMYFUNCTION("""COMPUTED_VALUE"""),"Sanders")</f>
        <v>Sanders</v>
      </c>
      <c r="G426" s="6" t="str">
        <f>IFERROR(__xludf.DUMMYFUNCTION("""COMPUTED_VALUE"""),"07/21/2014")</f>
        <v>07/21/2014</v>
      </c>
      <c r="H426" s="6" t="str">
        <f>IFERROR(__xludf.DUMMYFUNCTION("""COMPUTED_VALUE"""),"female")</f>
        <v>female</v>
      </c>
      <c r="I426" s="6" t="str">
        <f>IFERROR(__xludf.DUMMYFUNCTION("""COMPUTED_VALUE"""),"Middle School")</f>
        <v>Middle School</v>
      </c>
      <c r="J426" s="6" t="str">
        <f>IFERROR(__xludf.DUMMYFUNCTION("""COMPUTED_VALUE"""),"6")</f>
        <v>6</v>
      </c>
      <c r="K426" s="6" t="str">
        <f>IFERROR(__xludf.DUMMYFUNCTION("""COMPUTED_VALUE"""),"noelle.sanders@2hourlearning.com")</f>
        <v>noelle.sanders@2hourlearning.com</v>
      </c>
      <c r="L426" s="6" t="str">
        <f>IFERROR(__xludf.DUMMYFUNCTION("""COMPUTED_VALUE"""),"Alpha Anywhere (homeschool)")</f>
        <v>Alpha Anywhere (homeschool)</v>
      </c>
      <c r="M426" s="6" t="str">
        <f>IFERROR(__xludf.DUMMYFUNCTION("""COMPUTED_VALUE"""),"")</f>
        <v/>
      </c>
      <c r="N426" s="6" t="str">
        <f>IFERROR(__xludf.DUMMYFUNCTION("""COMPUTED_VALUE"""),"")</f>
        <v/>
      </c>
      <c r="O426" s="87" t="str">
        <f>IFERROR(__xludf.DUMMYFUNCTION("""COMPUTED_VALUE"""),"https://drive.google.com/drive/folders/10T2cTQHqEJZqE-st6uFKPoI?usp=share_link")</f>
        <v>https://drive.google.com/drive/folders/10T2cTQHqEJZqE-st6uFKPoI?usp=share_link</v>
      </c>
      <c r="P426" s="6" t="str">
        <f>IFERROR(__xludf.DUMMYFUNCTION("""COMPUTED_VALUE"""),"Noelle Sanders")</f>
        <v>Noelle Sanders</v>
      </c>
      <c r="Q426" s="6" t="str">
        <f>IFERROR(__xludf.DUMMYFUNCTION("""COMPUTED_VALUE"""),"MS")</f>
        <v>MS</v>
      </c>
      <c r="R426" s="6">
        <f>IFERROR(__xludf.DUMMYFUNCTION("""COMPUTED_VALUE"""),0.0)</f>
        <v>0</v>
      </c>
      <c r="S426" s="6" t="str">
        <f>IFERROR(__xludf.DUMMYFUNCTION("""COMPUTED_VALUE""")," ")</f>
        <v> </v>
      </c>
      <c r="T426" s="6" t="str">
        <f>IFERROR(__xludf.DUMMYFUNCTION("""COMPUTED_VALUE"""),"")</f>
        <v/>
      </c>
      <c r="U426" s="6" t="str">
        <f>IFERROR(__xludf.DUMMYFUNCTION("""COMPUTED_VALUE"""),"6")</f>
        <v>6</v>
      </c>
      <c r="V426" s="6" t="str">
        <f>IFERROR(__xludf.DUMMYFUNCTION("""COMPUTED_VALUE"""),"")</f>
        <v/>
      </c>
      <c r="W426" s="6" t="str">
        <f>IFERROR(__xludf.DUMMYFUNCTION("""COMPUTED_VALUE"""),"[]")</f>
        <v>[]</v>
      </c>
      <c r="X426" s="6" t="str">
        <f>IFERROR(__xludf.DUMMYFUNCTION("""COMPUTED_VALUE"""),"Enrolled")</f>
        <v>Enrolled</v>
      </c>
    </row>
    <row r="427">
      <c r="A427" s="6" t="str">
        <f>IFERROR(__xludf.DUMMYFUNCTION("""COMPUTED_VALUE"""),"000-8046")</f>
        <v>000-8046</v>
      </c>
      <c r="B427" s="6" t="str">
        <f>IFERROR(__xludf.DUMMYFUNCTION("""COMPUTED_VALUE"""),"0")</f>
        <v>0</v>
      </c>
      <c r="C427" s="6" t="str">
        <f>IFERROR(__xludf.DUMMYFUNCTION("""COMPUTED_VALUE"""),"8046")</f>
        <v>8046</v>
      </c>
      <c r="D427" s="6" t="str">
        <f>IFERROR(__xludf.DUMMYFUNCTION("""COMPUTED_VALUE"""),"Naomi")</f>
        <v>Naomi</v>
      </c>
      <c r="E427" s="6" t="str">
        <f>IFERROR(__xludf.DUMMYFUNCTION("""COMPUTED_VALUE"""),"")</f>
        <v/>
      </c>
      <c r="F427" s="6" t="str">
        <f>IFERROR(__xludf.DUMMYFUNCTION("""COMPUTED_VALUE"""),"Sanders")</f>
        <v>Sanders</v>
      </c>
      <c r="G427" s="6" t="str">
        <f>IFERROR(__xludf.DUMMYFUNCTION("""COMPUTED_VALUE"""),"07/14/2015")</f>
        <v>07/14/2015</v>
      </c>
      <c r="H427" s="6" t="str">
        <f>IFERROR(__xludf.DUMMYFUNCTION("""COMPUTED_VALUE"""),"female")</f>
        <v>female</v>
      </c>
      <c r="I427" s="6" t="str">
        <f>IFERROR(__xludf.DUMMYFUNCTION("""COMPUTED_VALUE"""),"Level 2")</f>
        <v>Level 2</v>
      </c>
      <c r="J427" s="6" t="str">
        <f>IFERROR(__xludf.DUMMYFUNCTION("""COMPUTED_VALUE"""),"5")</f>
        <v>5</v>
      </c>
      <c r="K427" s="6" t="str">
        <f>IFERROR(__xludf.DUMMYFUNCTION("""COMPUTED_VALUE"""),"naomi.sanders@2hourlearning.com")</f>
        <v>naomi.sanders@2hourlearning.com</v>
      </c>
      <c r="L427" s="6" t="str">
        <f>IFERROR(__xludf.DUMMYFUNCTION("""COMPUTED_VALUE"""),"Alpha Anywhere (homeschool)")</f>
        <v>Alpha Anywhere (homeschool)</v>
      </c>
      <c r="M427" s="6" t="str">
        <f>IFERROR(__xludf.DUMMYFUNCTION("""COMPUTED_VALUE"""),"")</f>
        <v/>
      </c>
      <c r="N427" s="6" t="str">
        <f>IFERROR(__xludf.DUMMYFUNCTION("""COMPUTED_VALUE"""),"")</f>
        <v/>
      </c>
      <c r="O427" s="87" t="str">
        <f>IFERROR(__xludf.DUMMYFUNCTION("""COMPUTED_VALUE"""),"https://drive.google.com/drive/folders/10T2cTQHqEJZqE-st6uFKPoI?usp=share_link")</f>
        <v>https://drive.google.com/drive/folders/10T2cTQHqEJZqE-st6uFKPoI?usp=share_link</v>
      </c>
      <c r="P427" s="6" t="str">
        <f>IFERROR(__xludf.DUMMYFUNCTION("""COMPUTED_VALUE"""),"Naomi Sanders")</f>
        <v>Naomi Sanders</v>
      </c>
      <c r="Q427" s="6" t="str">
        <f>IFERROR(__xludf.DUMMYFUNCTION("""COMPUTED_VALUE"""),"L2")</f>
        <v>L2</v>
      </c>
      <c r="R427" s="6">
        <f>IFERROR(__xludf.DUMMYFUNCTION("""COMPUTED_VALUE"""),2.0)</f>
        <v>2</v>
      </c>
      <c r="S427" s="6" t="str">
        <f>IFERROR(__xludf.DUMMYFUNCTION("""COMPUTED_VALUE""")," ")</f>
        <v> </v>
      </c>
      <c r="T427" s="6" t="str">
        <f>IFERROR(__xludf.DUMMYFUNCTION("""COMPUTED_VALUE"""),"")</f>
        <v/>
      </c>
      <c r="U427" s="6" t="str">
        <f>IFERROR(__xludf.DUMMYFUNCTION("""COMPUTED_VALUE"""),"5")</f>
        <v>5</v>
      </c>
      <c r="V427" s="6" t="str">
        <f>IFERROR(__xludf.DUMMYFUNCTION("""COMPUTED_VALUE"""),"")</f>
        <v/>
      </c>
      <c r="W427" s="6" t="str">
        <f>IFERROR(__xludf.DUMMYFUNCTION("""COMPUTED_VALUE"""),"[]")</f>
        <v>[]</v>
      </c>
      <c r="X427" s="6" t="str">
        <f>IFERROR(__xludf.DUMMYFUNCTION("""COMPUTED_VALUE"""),"Enrolled")</f>
        <v>Enrolled</v>
      </c>
    </row>
    <row r="428">
      <c r="A428" s="6" t="str">
        <f>IFERROR(__xludf.DUMMYFUNCTION("""COMPUTED_VALUE"""),"000-8047")</f>
        <v>000-8047</v>
      </c>
      <c r="B428" s="6" t="str">
        <f>IFERROR(__xludf.DUMMYFUNCTION("""COMPUTED_VALUE"""),"0")</f>
        <v>0</v>
      </c>
      <c r="C428" s="6" t="str">
        <f>IFERROR(__xludf.DUMMYFUNCTION("""COMPUTED_VALUE"""),"8047")</f>
        <v>8047</v>
      </c>
      <c r="D428" s="6" t="str">
        <f>IFERROR(__xludf.DUMMYFUNCTION("""COMPUTED_VALUE"""),"Callaway")</f>
        <v>Callaway</v>
      </c>
      <c r="E428" s="6" t="str">
        <f>IFERROR(__xludf.DUMMYFUNCTION("""COMPUTED_VALUE"""),"")</f>
        <v/>
      </c>
      <c r="F428" s="6" t="str">
        <f>IFERROR(__xludf.DUMMYFUNCTION("""COMPUTED_VALUE"""),"Earnest")</f>
        <v>Earnest</v>
      </c>
      <c r="G428" s="6" t="str">
        <f>IFERROR(__xludf.DUMMYFUNCTION("""COMPUTED_VALUE"""),"10/03/2015")</f>
        <v>10/03/2015</v>
      </c>
      <c r="H428" s="6" t="str">
        <f>IFERROR(__xludf.DUMMYFUNCTION("""COMPUTED_VALUE"""),"Self Identify")</f>
        <v>Self Identify</v>
      </c>
      <c r="I428" s="6" t="str">
        <f>IFERROR(__xludf.DUMMYFUNCTION("""COMPUTED_VALUE"""),"Level 2")</f>
        <v>Level 2</v>
      </c>
      <c r="J428" s="6" t="str">
        <f>IFERROR(__xludf.DUMMYFUNCTION("""COMPUTED_VALUE"""),"4")</f>
        <v>4</v>
      </c>
      <c r="K428" s="6" t="str">
        <f>IFERROR(__xludf.DUMMYFUNCTION("""COMPUTED_VALUE"""),"callaway.earnest@2hourlearning.com")</f>
        <v>callaway.earnest@2hourlearning.com</v>
      </c>
      <c r="L428" s="6" t="str">
        <f>IFERROR(__xludf.DUMMYFUNCTION("""COMPUTED_VALUE"""),"Alpha Anywhere (homeschool)")</f>
        <v>Alpha Anywhere (homeschool)</v>
      </c>
      <c r="M428" s="6" t="str">
        <f>IFERROR(__xludf.DUMMYFUNCTION("""COMPUTED_VALUE"""),"")</f>
        <v/>
      </c>
      <c r="N428" s="6" t="str">
        <f>IFERROR(__xludf.DUMMYFUNCTION("""COMPUTED_VALUE"""),"")</f>
        <v/>
      </c>
      <c r="O428" s="87" t="str">
        <f>IFERROR(__xludf.DUMMYFUNCTION("""COMPUTED_VALUE"""),"https://drive.google.com/drive/folders/10T2cTQHqEJZqE-st6uFKPoI?usp=share_link")</f>
        <v>https://drive.google.com/drive/folders/10T2cTQHqEJZqE-st6uFKPoI?usp=share_link</v>
      </c>
      <c r="P428" s="6" t="str">
        <f>IFERROR(__xludf.DUMMYFUNCTION("""COMPUTED_VALUE"""),"Callaway Earnest")</f>
        <v>Callaway Earnest</v>
      </c>
      <c r="Q428" s="6" t="str">
        <f>IFERROR(__xludf.DUMMYFUNCTION("""COMPUTED_VALUE"""),"L2")</f>
        <v>L2</v>
      </c>
      <c r="R428" s="6">
        <f>IFERROR(__xludf.DUMMYFUNCTION("""COMPUTED_VALUE"""),2.0)</f>
        <v>2</v>
      </c>
      <c r="S428" s="6" t="str">
        <f>IFERROR(__xludf.DUMMYFUNCTION("""COMPUTED_VALUE""")," ")</f>
        <v> </v>
      </c>
      <c r="T428" s="6" t="str">
        <f>IFERROR(__xludf.DUMMYFUNCTION("""COMPUTED_VALUE"""),"")</f>
        <v/>
      </c>
      <c r="U428" s="6" t="str">
        <f>IFERROR(__xludf.DUMMYFUNCTION("""COMPUTED_VALUE"""),"4")</f>
        <v>4</v>
      </c>
      <c r="V428" s="6" t="str">
        <f>IFERROR(__xludf.DUMMYFUNCTION("""COMPUTED_VALUE"""),"")</f>
        <v/>
      </c>
      <c r="W428" s="6" t="str">
        <f>IFERROR(__xludf.DUMMYFUNCTION("""COMPUTED_VALUE"""),"[]")</f>
        <v>[]</v>
      </c>
      <c r="X428" s="6" t="str">
        <f>IFERROR(__xludf.DUMMYFUNCTION("""COMPUTED_VALUE"""),"Enrolled")</f>
        <v>Enrolled</v>
      </c>
    </row>
    <row r="429">
      <c r="A429" s="6" t="str">
        <f>IFERROR(__xludf.DUMMYFUNCTION("""COMPUTED_VALUE"""),"000-8048")</f>
        <v>000-8048</v>
      </c>
      <c r="B429" s="6" t="str">
        <f>IFERROR(__xludf.DUMMYFUNCTION("""COMPUTED_VALUE"""),"0")</f>
        <v>0</v>
      </c>
      <c r="C429" s="6" t="str">
        <f>IFERROR(__xludf.DUMMYFUNCTION("""COMPUTED_VALUE"""),"8048")</f>
        <v>8048</v>
      </c>
      <c r="D429" s="6" t="str">
        <f>IFERROR(__xludf.DUMMYFUNCTION("""COMPUTED_VALUE"""),"Carlyle")</f>
        <v>Carlyle</v>
      </c>
      <c r="E429" s="6" t="str">
        <f>IFERROR(__xludf.DUMMYFUNCTION("""COMPUTED_VALUE"""),"")</f>
        <v/>
      </c>
      <c r="F429" s="6" t="str">
        <f>IFERROR(__xludf.DUMMYFUNCTION("""COMPUTED_VALUE"""),"Earnest")</f>
        <v>Earnest</v>
      </c>
      <c r="G429" s="6" t="str">
        <f>IFERROR(__xludf.DUMMYFUNCTION("""COMPUTED_VALUE"""),"05/19/2017")</f>
        <v>05/19/2017</v>
      </c>
      <c r="H429" s="6" t="str">
        <f>IFERROR(__xludf.DUMMYFUNCTION("""COMPUTED_VALUE"""),"Self Identify")</f>
        <v>Self Identify</v>
      </c>
      <c r="I429" s="6" t="str">
        <f>IFERROR(__xludf.DUMMYFUNCTION("""COMPUTED_VALUE"""),"Level 1")</f>
        <v>Level 1</v>
      </c>
      <c r="J429" s="6" t="str">
        <f>IFERROR(__xludf.DUMMYFUNCTION("""COMPUTED_VALUE"""),"3")</f>
        <v>3</v>
      </c>
      <c r="K429" s="6" t="str">
        <f>IFERROR(__xludf.DUMMYFUNCTION("""COMPUTED_VALUE"""),"carlyle.earnest@2hourlearning.com")</f>
        <v>carlyle.earnest@2hourlearning.com</v>
      </c>
      <c r="L429" s="6" t="str">
        <f>IFERROR(__xludf.DUMMYFUNCTION("""COMPUTED_VALUE"""),"Alpha Anywhere (homeschool)")</f>
        <v>Alpha Anywhere (homeschool)</v>
      </c>
      <c r="M429" s="6" t="str">
        <f>IFERROR(__xludf.DUMMYFUNCTION("""COMPUTED_VALUE"""),"")</f>
        <v/>
      </c>
      <c r="N429" s="6" t="str">
        <f>IFERROR(__xludf.DUMMYFUNCTION("""COMPUTED_VALUE"""),"")</f>
        <v/>
      </c>
      <c r="O429" s="87" t="str">
        <f>IFERROR(__xludf.DUMMYFUNCTION("""COMPUTED_VALUE"""),"https://drive.google.com/drive/folders/10T2cTQHqEJZqE-st6uFKPoI?usp=share_link")</f>
        <v>https://drive.google.com/drive/folders/10T2cTQHqEJZqE-st6uFKPoI?usp=share_link</v>
      </c>
      <c r="P429" s="6" t="str">
        <f>IFERROR(__xludf.DUMMYFUNCTION("""COMPUTED_VALUE"""),"Carlyle Earnest")</f>
        <v>Carlyle Earnest</v>
      </c>
      <c r="Q429" s="6" t="str">
        <f>IFERROR(__xludf.DUMMYFUNCTION("""COMPUTED_VALUE"""),"L1")</f>
        <v>L1</v>
      </c>
      <c r="R429" s="6">
        <f>IFERROR(__xludf.DUMMYFUNCTION("""COMPUTED_VALUE"""),1.0)</f>
        <v>1</v>
      </c>
      <c r="S429" s="6" t="str">
        <f>IFERROR(__xludf.DUMMYFUNCTION("""COMPUTED_VALUE""")," ")</f>
        <v> </v>
      </c>
      <c r="T429" s="6" t="str">
        <f>IFERROR(__xludf.DUMMYFUNCTION("""COMPUTED_VALUE"""),"")</f>
        <v/>
      </c>
      <c r="U429" s="6" t="str">
        <f>IFERROR(__xludf.DUMMYFUNCTION("""COMPUTED_VALUE"""),"3")</f>
        <v>3</v>
      </c>
      <c r="V429" s="6" t="str">
        <f>IFERROR(__xludf.DUMMYFUNCTION("""COMPUTED_VALUE"""),"")</f>
        <v/>
      </c>
      <c r="W429" s="6" t="str">
        <f>IFERROR(__xludf.DUMMYFUNCTION("""COMPUTED_VALUE"""),"[]")</f>
        <v>[]</v>
      </c>
      <c r="X429" s="6" t="str">
        <f>IFERROR(__xludf.DUMMYFUNCTION("""COMPUTED_VALUE"""),"Enrolled")</f>
        <v>Enrolled</v>
      </c>
    </row>
    <row r="430">
      <c r="A430" s="6" t="str">
        <f>IFERROR(__xludf.DUMMYFUNCTION("""COMPUTED_VALUE"""),"000-8053")</f>
        <v>000-8053</v>
      </c>
      <c r="B430" s="6" t="str">
        <f>IFERROR(__xludf.DUMMYFUNCTION("""COMPUTED_VALUE"""),"0")</f>
        <v>0</v>
      </c>
      <c r="C430" s="6" t="str">
        <f>IFERROR(__xludf.DUMMYFUNCTION("""COMPUTED_VALUE"""),"8053")</f>
        <v>8053</v>
      </c>
      <c r="D430" s="6" t="str">
        <f>IFERROR(__xludf.DUMMYFUNCTION("""COMPUTED_VALUE"""),"Avi")</f>
        <v>Avi</v>
      </c>
      <c r="E430" s="6" t="str">
        <f>IFERROR(__xludf.DUMMYFUNCTION("""COMPUTED_VALUE"""),"")</f>
        <v/>
      </c>
      <c r="F430" s="6" t="str">
        <f>IFERROR(__xludf.DUMMYFUNCTION("""COMPUTED_VALUE"""),"Shah")</f>
        <v>Shah</v>
      </c>
      <c r="G430" s="6" t="str">
        <f>IFERROR(__xludf.DUMMYFUNCTION("""COMPUTED_VALUE"""),"10/09/2014")</f>
        <v>10/09/2014</v>
      </c>
      <c r="H430" s="6" t="str">
        <f>IFERROR(__xludf.DUMMYFUNCTION("""COMPUTED_VALUE"""),"male")</f>
        <v>male</v>
      </c>
      <c r="I430" s="6" t="str">
        <f>IFERROR(__xludf.DUMMYFUNCTION("""COMPUTED_VALUE"""),"Level 2")</f>
        <v>Level 2</v>
      </c>
      <c r="J430" s="6" t="str">
        <f>IFERROR(__xludf.DUMMYFUNCTION("""COMPUTED_VALUE"""),"5")</f>
        <v>5</v>
      </c>
      <c r="K430" s="6" t="str">
        <f>IFERROR(__xludf.DUMMYFUNCTION("""COMPUTED_VALUE"""),"avi.shah@2hourlearning.com")</f>
        <v>avi.shah@2hourlearning.com</v>
      </c>
      <c r="L430" s="6" t="str">
        <f>IFERROR(__xludf.DUMMYFUNCTION("""COMPUTED_VALUE"""),"Alpha Anywhere (homeschool)")</f>
        <v>Alpha Anywhere (homeschool)</v>
      </c>
      <c r="M430" s="6" t="str">
        <f>IFERROR(__xludf.DUMMYFUNCTION("""COMPUTED_VALUE"""),"")</f>
        <v/>
      </c>
      <c r="N430" s="6" t="str">
        <f>IFERROR(__xludf.DUMMYFUNCTION("""COMPUTED_VALUE"""),"")</f>
        <v/>
      </c>
      <c r="O430" s="87" t="str">
        <f>IFERROR(__xludf.DUMMYFUNCTION("""COMPUTED_VALUE"""),"https://drive.google.com/drive/folders/10T2cTQHqEJZqE-st6uFKPoI?usp=share_link")</f>
        <v>https://drive.google.com/drive/folders/10T2cTQHqEJZqE-st6uFKPoI?usp=share_link</v>
      </c>
      <c r="P430" s="6" t="str">
        <f>IFERROR(__xludf.DUMMYFUNCTION("""COMPUTED_VALUE"""),"Avi Shah")</f>
        <v>Avi Shah</v>
      </c>
      <c r="Q430" s="6" t="str">
        <f>IFERROR(__xludf.DUMMYFUNCTION("""COMPUTED_VALUE"""),"L2")</f>
        <v>L2</v>
      </c>
      <c r="R430" s="6">
        <f>IFERROR(__xludf.DUMMYFUNCTION("""COMPUTED_VALUE"""),2.0)</f>
        <v>2</v>
      </c>
      <c r="S430" s="6" t="str">
        <f>IFERROR(__xludf.DUMMYFUNCTION("""COMPUTED_VALUE""")," ")</f>
        <v> </v>
      </c>
      <c r="T430" s="6" t="str">
        <f>IFERROR(__xludf.DUMMYFUNCTION("""COMPUTED_VALUE"""),"")</f>
        <v/>
      </c>
      <c r="U430" s="6" t="str">
        <f>IFERROR(__xludf.DUMMYFUNCTION("""COMPUTED_VALUE"""),"5")</f>
        <v>5</v>
      </c>
      <c r="V430" s="6" t="str">
        <f>IFERROR(__xludf.DUMMYFUNCTION("""COMPUTED_VALUE"""),"")</f>
        <v/>
      </c>
      <c r="W430" s="6" t="str">
        <f>IFERROR(__xludf.DUMMYFUNCTION("""COMPUTED_VALUE"""),"[]")</f>
        <v>[]</v>
      </c>
      <c r="X430" s="6" t="str">
        <f>IFERROR(__xludf.DUMMYFUNCTION("""COMPUTED_VALUE"""),"Enrolled")</f>
        <v>Enrolled</v>
      </c>
    </row>
    <row r="431">
      <c r="A431" s="6" t="str">
        <f>IFERROR(__xludf.DUMMYFUNCTION("""COMPUTED_VALUE"""),"000-8054")</f>
        <v>000-8054</v>
      </c>
      <c r="B431" s="6" t="str">
        <f>IFERROR(__xludf.DUMMYFUNCTION("""COMPUTED_VALUE"""),"0")</f>
        <v>0</v>
      </c>
      <c r="C431" s="6" t="str">
        <f>IFERROR(__xludf.DUMMYFUNCTION("""COMPUTED_VALUE"""),"8054")</f>
        <v>8054</v>
      </c>
      <c r="D431" s="6" t="str">
        <f>IFERROR(__xludf.DUMMYFUNCTION("""COMPUTED_VALUE"""),"Maya")</f>
        <v>Maya</v>
      </c>
      <c r="E431" s="6" t="str">
        <f>IFERROR(__xludf.DUMMYFUNCTION("""COMPUTED_VALUE"""),"")</f>
        <v/>
      </c>
      <c r="F431" s="6" t="str">
        <f>IFERROR(__xludf.DUMMYFUNCTION("""COMPUTED_VALUE"""),"Shah")</f>
        <v>Shah</v>
      </c>
      <c r="G431" s="6" t="str">
        <f>IFERROR(__xludf.DUMMYFUNCTION("""COMPUTED_VALUE"""),"11/15/2016")</f>
        <v>11/15/2016</v>
      </c>
      <c r="H431" s="6" t="str">
        <f>IFERROR(__xludf.DUMMYFUNCTION("""COMPUTED_VALUE"""),"female")</f>
        <v>female</v>
      </c>
      <c r="I431" s="6" t="str">
        <f>IFERROR(__xludf.DUMMYFUNCTION("""COMPUTED_VALUE"""),"Level 1")</f>
        <v>Level 1</v>
      </c>
      <c r="J431" s="6" t="str">
        <f>IFERROR(__xludf.DUMMYFUNCTION("""COMPUTED_VALUE"""),"3")</f>
        <v>3</v>
      </c>
      <c r="K431" s="6" t="str">
        <f>IFERROR(__xludf.DUMMYFUNCTION("""COMPUTED_VALUE"""),"maya.shah@2hourlearning.com")</f>
        <v>maya.shah@2hourlearning.com</v>
      </c>
      <c r="L431" s="6" t="str">
        <f>IFERROR(__xludf.DUMMYFUNCTION("""COMPUTED_VALUE"""),"Alpha Anywhere (homeschool)")</f>
        <v>Alpha Anywhere (homeschool)</v>
      </c>
      <c r="M431" s="6" t="str">
        <f>IFERROR(__xludf.DUMMYFUNCTION("""COMPUTED_VALUE"""),"")</f>
        <v/>
      </c>
      <c r="N431" s="6" t="str">
        <f>IFERROR(__xludf.DUMMYFUNCTION("""COMPUTED_VALUE"""),"")</f>
        <v/>
      </c>
      <c r="O431" s="87" t="str">
        <f>IFERROR(__xludf.DUMMYFUNCTION("""COMPUTED_VALUE"""),"https://drive.google.com/drive/folders/10T2cTQHqEJZqE-st6uFKPoI?usp=share_link")</f>
        <v>https://drive.google.com/drive/folders/10T2cTQHqEJZqE-st6uFKPoI?usp=share_link</v>
      </c>
      <c r="P431" s="6" t="str">
        <f>IFERROR(__xludf.DUMMYFUNCTION("""COMPUTED_VALUE"""),"Maya Shah")</f>
        <v>Maya Shah</v>
      </c>
      <c r="Q431" s="6" t="str">
        <f>IFERROR(__xludf.DUMMYFUNCTION("""COMPUTED_VALUE"""),"L1")</f>
        <v>L1</v>
      </c>
      <c r="R431" s="6">
        <f>IFERROR(__xludf.DUMMYFUNCTION("""COMPUTED_VALUE"""),1.0)</f>
        <v>1</v>
      </c>
      <c r="S431" s="6" t="str">
        <f>IFERROR(__xludf.DUMMYFUNCTION("""COMPUTED_VALUE""")," ")</f>
        <v> </v>
      </c>
      <c r="T431" s="6" t="str">
        <f>IFERROR(__xludf.DUMMYFUNCTION("""COMPUTED_VALUE"""),"")</f>
        <v/>
      </c>
      <c r="U431" s="6" t="str">
        <f>IFERROR(__xludf.DUMMYFUNCTION("""COMPUTED_VALUE"""),"3")</f>
        <v>3</v>
      </c>
      <c r="V431" s="6" t="str">
        <f>IFERROR(__xludf.DUMMYFUNCTION("""COMPUTED_VALUE"""),"")</f>
        <v/>
      </c>
      <c r="W431" s="6" t="str">
        <f>IFERROR(__xludf.DUMMYFUNCTION("""COMPUTED_VALUE"""),"[]")</f>
        <v>[]</v>
      </c>
      <c r="X431" s="6" t="str">
        <f>IFERROR(__xludf.DUMMYFUNCTION("""COMPUTED_VALUE"""),"Enrolled")</f>
        <v>Enrolled</v>
      </c>
    </row>
    <row r="432">
      <c r="A432" s="6" t="str">
        <f>IFERROR(__xludf.DUMMYFUNCTION("""COMPUTED_VALUE"""),"000-8066")</f>
        <v>000-8066</v>
      </c>
      <c r="B432" s="6" t="str">
        <f>IFERROR(__xludf.DUMMYFUNCTION("""COMPUTED_VALUE"""),"0")</f>
        <v>0</v>
      </c>
      <c r="C432" s="6" t="str">
        <f>IFERROR(__xludf.DUMMYFUNCTION("""COMPUTED_VALUE"""),"8066")</f>
        <v>8066</v>
      </c>
      <c r="D432" s="6" t="str">
        <f>IFERROR(__xludf.DUMMYFUNCTION("""COMPUTED_VALUE"""),"Ruby")</f>
        <v>Ruby</v>
      </c>
      <c r="E432" s="6" t="str">
        <f>IFERROR(__xludf.DUMMYFUNCTION("""COMPUTED_VALUE"""),"")</f>
        <v/>
      </c>
      <c r="F432" s="6" t="str">
        <f>IFERROR(__xludf.DUMMYFUNCTION("""COMPUTED_VALUE"""),"Shepherd")</f>
        <v>Shepherd</v>
      </c>
      <c r="G432" s="6" t="str">
        <f>IFERROR(__xludf.DUMMYFUNCTION("""COMPUTED_VALUE"""),"12/22/2010")</f>
        <v>12/22/2010</v>
      </c>
      <c r="H432" s="6" t="str">
        <f>IFERROR(__xludf.DUMMYFUNCTION("""COMPUTED_VALUE"""),"female")</f>
        <v>female</v>
      </c>
      <c r="I432" s="6" t="str">
        <f>IFERROR(__xludf.DUMMYFUNCTION("""COMPUTED_VALUE"""),"High School")</f>
        <v>High School</v>
      </c>
      <c r="J432" s="6" t="str">
        <f>IFERROR(__xludf.DUMMYFUNCTION("""COMPUTED_VALUE"""),"9")</f>
        <v>9</v>
      </c>
      <c r="K432" s="6" t="str">
        <f>IFERROR(__xludf.DUMMYFUNCTION("""COMPUTED_VALUE"""),"ruby.shepherd@2hourlearning.com")</f>
        <v>ruby.shepherd@2hourlearning.com</v>
      </c>
      <c r="L432" s="6" t="str">
        <f>IFERROR(__xludf.DUMMYFUNCTION("""COMPUTED_VALUE"""),"Alpha Anywhere (homeschool)")</f>
        <v>Alpha Anywhere (homeschool)</v>
      </c>
      <c r="M432" s="6" t="str">
        <f>IFERROR(__xludf.DUMMYFUNCTION("""COMPUTED_VALUE"""),"")</f>
        <v/>
      </c>
      <c r="N432" s="6" t="str">
        <f>IFERROR(__xludf.DUMMYFUNCTION("""COMPUTED_VALUE"""),"")</f>
        <v/>
      </c>
      <c r="O432" s="87" t="str">
        <f>IFERROR(__xludf.DUMMYFUNCTION("""COMPUTED_VALUE"""),"https://drive.google.com/drive/folders/10T2cTQHqEJZqE-st6uFKPoI?usp=share_link")</f>
        <v>https://drive.google.com/drive/folders/10T2cTQHqEJZqE-st6uFKPoI?usp=share_link</v>
      </c>
      <c r="P432" s="6" t="str">
        <f>IFERROR(__xludf.DUMMYFUNCTION("""COMPUTED_VALUE"""),"Ruby Shepherd")</f>
        <v>Ruby Shepherd</v>
      </c>
      <c r="Q432" s="6" t="str">
        <f>IFERROR(__xludf.DUMMYFUNCTION("""COMPUTED_VALUE"""),"HS")</f>
        <v>HS</v>
      </c>
      <c r="R432" s="6">
        <f>IFERROR(__xludf.DUMMYFUNCTION("""COMPUTED_VALUE"""),0.0)</f>
        <v>0</v>
      </c>
      <c r="S432" s="6" t="str">
        <f>IFERROR(__xludf.DUMMYFUNCTION("""COMPUTED_VALUE""")," ")</f>
        <v> </v>
      </c>
      <c r="T432" s="6" t="str">
        <f>IFERROR(__xludf.DUMMYFUNCTION("""COMPUTED_VALUE"""),"")</f>
        <v/>
      </c>
      <c r="U432" s="6" t="str">
        <f>IFERROR(__xludf.DUMMYFUNCTION("""COMPUTED_VALUE"""),"9")</f>
        <v>9</v>
      </c>
      <c r="V432" s="6" t="str">
        <f>IFERROR(__xludf.DUMMYFUNCTION("""COMPUTED_VALUE"""),"")</f>
        <v/>
      </c>
      <c r="W432" s="6" t="str">
        <f>IFERROR(__xludf.DUMMYFUNCTION("""COMPUTED_VALUE"""),"[]")</f>
        <v>[]</v>
      </c>
      <c r="X432" s="6" t="str">
        <f>IFERROR(__xludf.DUMMYFUNCTION("""COMPUTED_VALUE"""),"Enrolled")</f>
        <v>Enrolled</v>
      </c>
    </row>
    <row r="433">
      <c r="A433" s="6" t="str">
        <f>IFERROR(__xludf.DUMMYFUNCTION("""COMPUTED_VALUE"""),"000-8071")</f>
        <v>000-8071</v>
      </c>
      <c r="B433" s="6" t="str">
        <f>IFERROR(__xludf.DUMMYFUNCTION("""COMPUTED_VALUE"""),"0")</f>
        <v>0</v>
      </c>
      <c r="C433" s="6" t="str">
        <f>IFERROR(__xludf.DUMMYFUNCTION("""COMPUTED_VALUE"""),"8071")</f>
        <v>8071</v>
      </c>
      <c r="D433" s="6" t="str">
        <f>IFERROR(__xludf.DUMMYFUNCTION("""COMPUTED_VALUE"""),"Harrison")</f>
        <v>Harrison</v>
      </c>
      <c r="E433" s="6" t="str">
        <f>IFERROR(__xludf.DUMMYFUNCTION("""COMPUTED_VALUE"""),"")</f>
        <v/>
      </c>
      <c r="F433" s="6" t="str">
        <f>IFERROR(__xludf.DUMMYFUNCTION("""COMPUTED_VALUE"""),"Laskey")</f>
        <v>Laskey</v>
      </c>
      <c r="G433" s="6" t="str">
        <f>IFERROR(__xludf.DUMMYFUNCTION("""COMPUTED_VALUE"""),"01/03/2015")</f>
        <v>01/03/2015</v>
      </c>
      <c r="H433" s="6" t="str">
        <f>IFERROR(__xludf.DUMMYFUNCTION("""COMPUTED_VALUE"""),"male")</f>
        <v>male</v>
      </c>
      <c r="I433" s="6" t="str">
        <f>IFERROR(__xludf.DUMMYFUNCTION("""COMPUTED_VALUE"""),"Level 2")</f>
        <v>Level 2</v>
      </c>
      <c r="J433" s="6" t="str">
        <f>IFERROR(__xludf.DUMMYFUNCTION("""COMPUTED_VALUE"""),"5")</f>
        <v>5</v>
      </c>
      <c r="K433" s="6" t="str">
        <f>IFERROR(__xludf.DUMMYFUNCTION("""COMPUTED_VALUE"""),"harrison.laskey@2hourlearning.com")</f>
        <v>harrison.laskey@2hourlearning.com</v>
      </c>
      <c r="L433" s="6" t="str">
        <f>IFERROR(__xludf.DUMMYFUNCTION("""COMPUTED_VALUE"""),"Alpha Anywhere (homeschool)")</f>
        <v>Alpha Anywhere (homeschool)</v>
      </c>
      <c r="M433" s="6" t="str">
        <f>IFERROR(__xludf.DUMMYFUNCTION("""COMPUTED_VALUE"""),"")</f>
        <v/>
      </c>
      <c r="N433" s="6" t="str">
        <f>IFERROR(__xludf.DUMMYFUNCTION("""COMPUTED_VALUE"""),"")</f>
        <v/>
      </c>
      <c r="O433" s="87" t="str">
        <f>IFERROR(__xludf.DUMMYFUNCTION("""COMPUTED_VALUE"""),"https://drive.google.com/drive/folders/10T2cTQHqEJZqE-st6uFKPoI?usp=share_link")</f>
        <v>https://drive.google.com/drive/folders/10T2cTQHqEJZqE-st6uFKPoI?usp=share_link</v>
      </c>
      <c r="P433" s="6" t="str">
        <f>IFERROR(__xludf.DUMMYFUNCTION("""COMPUTED_VALUE"""),"Harrison Laskey")</f>
        <v>Harrison Laskey</v>
      </c>
      <c r="Q433" s="6" t="str">
        <f>IFERROR(__xludf.DUMMYFUNCTION("""COMPUTED_VALUE"""),"L2")</f>
        <v>L2</v>
      </c>
      <c r="R433" s="6">
        <f>IFERROR(__xludf.DUMMYFUNCTION("""COMPUTED_VALUE"""),2.0)</f>
        <v>2</v>
      </c>
      <c r="S433" s="6" t="str">
        <f>IFERROR(__xludf.DUMMYFUNCTION("""COMPUTED_VALUE""")," ")</f>
        <v> </v>
      </c>
      <c r="T433" s="6" t="str">
        <f>IFERROR(__xludf.DUMMYFUNCTION("""COMPUTED_VALUE"""),"")</f>
        <v/>
      </c>
      <c r="U433" s="6" t="str">
        <f>IFERROR(__xludf.DUMMYFUNCTION("""COMPUTED_VALUE"""),"5")</f>
        <v>5</v>
      </c>
      <c r="V433" s="6" t="str">
        <f>IFERROR(__xludf.DUMMYFUNCTION("""COMPUTED_VALUE"""),"")</f>
        <v/>
      </c>
      <c r="W433" s="6" t="str">
        <f>IFERROR(__xludf.DUMMYFUNCTION("""COMPUTED_VALUE"""),"[]")</f>
        <v>[]</v>
      </c>
      <c r="X433" s="6" t="str">
        <f>IFERROR(__xludf.DUMMYFUNCTION("""COMPUTED_VALUE"""),"Enrolled")</f>
        <v>Enrolled</v>
      </c>
    </row>
    <row r="434">
      <c r="A434" s="6" t="str">
        <f>IFERROR(__xludf.DUMMYFUNCTION("""COMPUTED_VALUE"""),"000-8078")</f>
        <v>000-8078</v>
      </c>
      <c r="B434" s="6" t="str">
        <f>IFERROR(__xludf.DUMMYFUNCTION("""COMPUTED_VALUE"""),"0")</f>
        <v>0</v>
      </c>
      <c r="C434" s="6" t="str">
        <f>IFERROR(__xludf.DUMMYFUNCTION("""COMPUTED_VALUE"""),"8078")</f>
        <v>8078</v>
      </c>
      <c r="D434" s="6" t="str">
        <f>IFERROR(__xludf.DUMMYFUNCTION("""COMPUTED_VALUE"""),"Gavin")</f>
        <v>Gavin</v>
      </c>
      <c r="E434" s="6" t="str">
        <f>IFERROR(__xludf.DUMMYFUNCTION("""COMPUTED_VALUE"""),"")</f>
        <v/>
      </c>
      <c r="F434" s="6" t="str">
        <f>IFERROR(__xludf.DUMMYFUNCTION("""COMPUTED_VALUE"""),"Larson")</f>
        <v>Larson</v>
      </c>
      <c r="G434" s="6" t="str">
        <f>IFERROR(__xludf.DUMMYFUNCTION("""COMPUTED_VALUE"""),"09/28/2010")</f>
        <v>09/28/2010</v>
      </c>
      <c r="H434" s="6" t="str">
        <f>IFERROR(__xludf.DUMMYFUNCTION("""COMPUTED_VALUE"""),"male")</f>
        <v>male</v>
      </c>
      <c r="I434" s="6" t="str">
        <f>IFERROR(__xludf.DUMMYFUNCTION("""COMPUTED_VALUE"""),"High School")</f>
        <v>High School</v>
      </c>
      <c r="J434" s="6" t="str">
        <f>IFERROR(__xludf.DUMMYFUNCTION("""COMPUTED_VALUE"""),"9")</f>
        <v>9</v>
      </c>
      <c r="K434" s="6" t="str">
        <f>IFERROR(__xludf.DUMMYFUNCTION("""COMPUTED_VALUE"""),"gavin.larson@2hourlearning.com")</f>
        <v>gavin.larson@2hourlearning.com</v>
      </c>
      <c r="L434" s="6" t="str">
        <f>IFERROR(__xludf.DUMMYFUNCTION("""COMPUTED_VALUE"""),"Alpha Anywhere (homeschool)")</f>
        <v>Alpha Anywhere (homeschool)</v>
      </c>
      <c r="M434" s="6" t="str">
        <f>IFERROR(__xludf.DUMMYFUNCTION("""COMPUTED_VALUE"""),"")</f>
        <v/>
      </c>
      <c r="N434" s="6" t="str">
        <f>IFERROR(__xludf.DUMMYFUNCTION("""COMPUTED_VALUE"""),"")</f>
        <v/>
      </c>
      <c r="O434" s="87" t="str">
        <f>IFERROR(__xludf.DUMMYFUNCTION("""COMPUTED_VALUE"""),"https://drive.google.com/drive/folders/10T2cTQHqEJZqE-st6uFKPoI?usp=share_link")</f>
        <v>https://drive.google.com/drive/folders/10T2cTQHqEJZqE-st6uFKPoI?usp=share_link</v>
      </c>
      <c r="P434" s="6" t="str">
        <f>IFERROR(__xludf.DUMMYFUNCTION("""COMPUTED_VALUE"""),"Gavin Larson")</f>
        <v>Gavin Larson</v>
      </c>
      <c r="Q434" s="6" t="str">
        <f>IFERROR(__xludf.DUMMYFUNCTION("""COMPUTED_VALUE"""),"HS")</f>
        <v>HS</v>
      </c>
      <c r="R434" s="6">
        <f>IFERROR(__xludf.DUMMYFUNCTION("""COMPUTED_VALUE"""),0.0)</f>
        <v>0</v>
      </c>
      <c r="S434" s="6" t="str">
        <f>IFERROR(__xludf.DUMMYFUNCTION("""COMPUTED_VALUE""")," ")</f>
        <v> </v>
      </c>
      <c r="T434" s="6" t="str">
        <f>IFERROR(__xludf.DUMMYFUNCTION("""COMPUTED_VALUE"""),"")</f>
        <v/>
      </c>
      <c r="U434" s="6" t="str">
        <f>IFERROR(__xludf.DUMMYFUNCTION("""COMPUTED_VALUE"""),"9")</f>
        <v>9</v>
      </c>
      <c r="V434" s="6" t="str">
        <f>IFERROR(__xludf.DUMMYFUNCTION("""COMPUTED_VALUE"""),"")</f>
        <v/>
      </c>
      <c r="W434" s="6" t="str">
        <f>IFERROR(__xludf.DUMMYFUNCTION("""COMPUTED_VALUE"""),"[]")</f>
        <v>[]</v>
      </c>
      <c r="X434" s="6" t="str">
        <f>IFERROR(__xludf.DUMMYFUNCTION("""COMPUTED_VALUE"""),"Enrolled")</f>
        <v>Enrolled</v>
      </c>
    </row>
    <row r="435">
      <c r="A435" s="6" t="str">
        <f>IFERROR(__xludf.DUMMYFUNCTION("""COMPUTED_VALUE"""),"000-8117")</f>
        <v>000-8117</v>
      </c>
      <c r="B435" s="6" t="str">
        <f>IFERROR(__xludf.DUMMYFUNCTION("""COMPUTED_VALUE"""),"0")</f>
        <v>0</v>
      </c>
      <c r="C435" s="6" t="str">
        <f>IFERROR(__xludf.DUMMYFUNCTION("""COMPUTED_VALUE"""),"8117")</f>
        <v>8117</v>
      </c>
      <c r="D435" s="6" t="str">
        <f>IFERROR(__xludf.DUMMYFUNCTION("""COMPUTED_VALUE"""),"Agatha")</f>
        <v>Agatha</v>
      </c>
      <c r="E435" s="6" t="str">
        <f>IFERROR(__xludf.DUMMYFUNCTION("""COMPUTED_VALUE"""),"")</f>
        <v/>
      </c>
      <c r="F435" s="6" t="str">
        <f>IFERROR(__xludf.DUMMYFUNCTION("""COMPUTED_VALUE"""),"Teitelbaum")</f>
        <v>Teitelbaum</v>
      </c>
      <c r="G435" s="6" t="str">
        <f>IFERROR(__xludf.DUMMYFUNCTION("""COMPUTED_VALUE"""),"07/02/2014")</f>
        <v>07/02/2014</v>
      </c>
      <c r="H435" s="6" t="str">
        <f>IFERROR(__xludf.DUMMYFUNCTION("""COMPUTED_VALUE"""),"female")</f>
        <v>female</v>
      </c>
      <c r="I435" s="6" t="str">
        <f>IFERROR(__xludf.DUMMYFUNCTION("""COMPUTED_VALUE"""),"Middle School")</f>
        <v>Middle School</v>
      </c>
      <c r="J435" s="6" t="str">
        <f>IFERROR(__xludf.DUMMYFUNCTION("""COMPUTED_VALUE"""),"6")</f>
        <v>6</v>
      </c>
      <c r="K435" s="6" t="str">
        <f>IFERROR(__xludf.DUMMYFUNCTION("""COMPUTED_VALUE"""),"agatha.teitelbaum@2hourlearning.com")</f>
        <v>agatha.teitelbaum@2hourlearning.com</v>
      </c>
      <c r="L435" s="6" t="str">
        <f>IFERROR(__xludf.DUMMYFUNCTION("""COMPUTED_VALUE"""),"Alpha Anywhere (homeschool)")</f>
        <v>Alpha Anywhere (homeschool)</v>
      </c>
      <c r="M435" s="6" t="str">
        <f>IFERROR(__xludf.DUMMYFUNCTION("""COMPUTED_VALUE"""),"")</f>
        <v/>
      </c>
      <c r="N435" s="6" t="str">
        <f>IFERROR(__xludf.DUMMYFUNCTION("""COMPUTED_VALUE"""),"")</f>
        <v/>
      </c>
      <c r="O435" s="87" t="str">
        <f>IFERROR(__xludf.DUMMYFUNCTION("""COMPUTED_VALUE"""),"https://drive.google.com/drive/folders/10T2cTQHqEJZqE-st6uFKPoI?usp=share_link")</f>
        <v>https://drive.google.com/drive/folders/10T2cTQHqEJZqE-st6uFKPoI?usp=share_link</v>
      </c>
      <c r="P435" s="6" t="str">
        <f>IFERROR(__xludf.DUMMYFUNCTION("""COMPUTED_VALUE"""),"Agatha Teitelbaum")</f>
        <v>Agatha Teitelbaum</v>
      </c>
      <c r="Q435" s="6" t="str">
        <f>IFERROR(__xludf.DUMMYFUNCTION("""COMPUTED_VALUE"""),"MS")</f>
        <v>MS</v>
      </c>
      <c r="R435" s="6">
        <f>IFERROR(__xludf.DUMMYFUNCTION("""COMPUTED_VALUE"""),0.0)</f>
        <v>0</v>
      </c>
      <c r="S435" s="6" t="str">
        <f>IFERROR(__xludf.DUMMYFUNCTION("""COMPUTED_VALUE""")," ")</f>
        <v> </v>
      </c>
      <c r="T435" s="6" t="str">
        <f>IFERROR(__xludf.DUMMYFUNCTION("""COMPUTED_VALUE"""),"")</f>
        <v/>
      </c>
      <c r="U435" s="6" t="str">
        <f>IFERROR(__xludf.DUMMYFUNCTION("""COMPUTED_VALUE"""),"6")</f>
        <v>6</v>
      </c>
      <c r="V435" s="6" t="str">
        <f>IFERROR(__xludf.DUMMYFUNCTION("""COMPUTED_VALUE"""),"")</f>
        <v/>
      </c>
      <c r="W435" s="6" t="str">
        <f>IFERROR(__xludf.DUMMYFUNCTION("""COMPUTED_VALUE"""),"[]")</f>
        <v>[]</v>
      </c>
      <c r="X435" s="6" t="str">
        <f>IFERROR(__xludf.DUMMYFUNCTION("""COMPUTED_VALUE"""),"Enrolled")</f>
        <v>Enrolled</v>
      </c>
    </row>
    <row r="436">
      <c r="A436" s="6" t="str">
        <f>IFERROR(__xludf.DUMMYFUNCTION("""COMPUTED_VALUE"""),"000-8125")</f>
        <v>000-8125</v>
      </c>
      <c r="B436" s="6" t="str">
        <f>IFERROR(__xludf.DUMMYFUNCTION("""COMPUTED_VALUE"""),"0")</f>
        <v>0</v>
      </c>
      <c r="C436" s="6" t="str">
        <f>IFERROR(__xludf.DUMMYFUNCTION("""COMPUTED_VALUE"""),"8125")</f>
        <v>8125</v>
      </c>
      <c r="D436" s="6" t="str">
        <f>IFERROR(__xludf.DUMMYFUNCTION("""COMPUTED_VALUE"""),"Vianne")</f>
        <v>Vianne</v>
      </c>
      <c r="E436" s="6" t="str">
        <f>IFERROR(__xludf.DUMMYFUNCTION("""COMPUTED_VALUE"""),"")</f>
        <v/>
      </c>
      <c r="F436" s="6" t="str">
        <f>IFERROR(__xludf.DUMMYFUNCTION("""COMPUTED_VALUE"""),"Ehnis")</f>
        <v>Ehnis</v>
      </c>
      <c r="G436" s="6" t="str">
        <f>IFERROR(__xludf.DUMMYFUNCTION("""COMPUTED_VALUE"""),"08/11/2013")</f>
        <v>08/11/2013</v>
      </c>
      <c r="H436" s="6" t="str">
        <f>IFERROR(__xludf.DUMMYFUNCTION("""COMPUTED_VALUE"""),"female")</f>
        <v>female</v>
      </c>
      <c r="I436" s="6" t="str">
        <f>IFERROR(__xludf.DUMMYFUNCTION("""COMPUTED_VALUE"""),"Middle School")</f>
        <v>Middle School</v>
      </c>
      <c r="J436" s="6" t="str">
        <f>IFERROR(__xludf.DUMMYFUNCTION("""COMPUTED_VALUE"""),"6")</f>
        <v>6</v>
      </c>
      <c r="K436" s="6" t="str">
        <f>IFERROR(__xludf.DUMMYFUNCTION("""COMPUTED_VALUE"""),"vianne.ehnis@2hourlearning.com")</f>
        <v>vianne.ehnis@2hourlearning.com</v>
      </c>
      <c r="L436" s="6" t="str">
        <f>IFERROR(__xludf.DUMMYFUNCTION("""COMPUTED_VALUE"""),"Alpha Anywhere (homeschool)")</f>
        <v>Alpha Anywhere (homeschool)</v>
      </c>
      <c r="M436" s="6" t="str">
        <f>IFERROR(__xludf.DUMMYFUNCTION("""COMPUTED_VALUE"""),"")</f>
        <v/>
      </c>
      <c r="N436" s="6" t="str">
        <f>IFERROR(__xludf.DUMMYFUNCTION("""COMPUTED_VALUE"""),"")</f>
        <v/>
      </c>
      <c r="O436" s="87" t="str">
        <f>IFERROR(__xludf.DUMMYFUNCTION("""COMPUTED_VALUE"""),"https://drive.google.com/drive/folders/10T2cTQHqEJZqE-st6uFKPoI?usp=share_link")</f>
        <v>https://drive.google.com/drive/folders/10T2cTQHqEJZqE-st6uFKPoI?usp=share_link</v>
      </c>
      <c r="P436" s="6" t="str">
        <f>IFERROR(__xludf.DUMMYFUNCTION("""COMPUTED_VALUE"""),"Vianne Ehnis")</f>
        <v>Vianne Ehnis</v>
      </c>
      <c r="Q436" s="6" t="str">
        <f>IFERROR(__xludf.DUMMYFUNCTION("""COMPUTED_VALUE"""),"MS")</f>
        <v>MS</v>
      </c>
      <c r="R436" s="6">
        <f>IFERROR(__xludf.DUMMYFUNCTION("""COMPUTED_VALUE"""),0.0)</f>
        <v>0</v>
      </c>
      <c r="S436" s="6" t="str">
        <f>IFERROR(__xludf.DUMMYFUNCTION("""COMPUTED_VALUE""")," ")</f>
        <v> </v>
      </c>
      <c r="T436" s="6" t="str">
        <f>IFERROR(__xludf.DUMMYFUNCTION("""COMPUTED_VALUE"""),"")</f>
        <v/>
      </c>
      <c r="U436" s="6" t="str">
        <f>IFERROR(__xludf.DUMMYFUNCTION("""COMPUTED_VALUE"""),"6")</f>
        <v>6</v>
      </c>
      <c r="V436" s="6" t="str">
        <f>IFERROR(__xludf.DUMMYFUNCTION("""COMPUTED_VALUE"""),"")</f>
        <v/>
      </c>
      <c r="W436" s="6" t="str">
        <f>IFERROR(__xludf.DUMMYFUNCTION("""COMPUTED_VALUE"""),"[]")</f>
        <v>[]</v>
      </c>
      <c r="X436" s="6" t="str">
        <f>IFERROR(__xludf.DUMMYFUNCTION("""COMPUTED_VALUE"""),"Enrolled")</f>
        <v>Enrolled</v>
      </c>
    </row>
    <row r="437">
      <c r="A437" s="6" t="str">
        <f>IFERROR(__xludf.DUMMYFUNCTION("""COMPUTED_VALUE"""),"000-8127")</f>
        <v>000-8127</v>
      </c>
      <c r="B437" s="6" t="str">
        <f>IFERROR(__xludf.DUMMYFUNCTION("""COMPUTED_VALUE"""),"0")</f>
        <v>0</v>
      </c>
      <c r="C437" s="6" t="str">
        <f>IFERROR(__xludf.DUMMYFUNCTION("""COMPUTED_VALUE"""),"8127")</f>
        <v>8127</v>
      </c>
      <c r="D437" s="6" t="str">
        <f>IFERROR(__xludf.DUMMYFUNCTION("""COMPUTED_VALUE"""),"Jacob")</f>
        <v>Jacob</v>
      </c>
      <c r="E437" s="6" t="str">
        <f>IFERROR(__xludf.DUMMYFUNCTION("""COMPUTED_VALUE"""),"")</f>
        <v/>
      </c>
      <c r="F437" s="6" t="str">
        <f>IFERROR(__xludf.DUMMYFUNCTION("""COMPUTED_VALUE"""),"Benitt")</f>
        <v>Benitt</v>
      </c>
      <c r="G437" s="6" t="str">
        <f>IFERROR(__xludf.DUMMYFUNCTION("""COMPUTED_VALUE"""),"09/23/2012")</f>
        <v>09/23/2012</v>
      </c>
      <c r="H437" s="6" t="str">
        <f>IFERROR(__xludf.DUMMYFUNCTION("""COMPUTED_VALUE"""),"Self Identify")</f>
        <v>Self Identify</v>
      </c>
      <c r="I437" s="6" t="str">
        <f>IFERROR(__xludf.DUMMYFUNCTION("""COMPUTED_VALUE"""),"Middle School")</f>
        <v>Middle School</v>
      </c>
      <c r="J437" s="6" t="str">
        <f>IFERROR(__xludf.DUMMYFUNCTION("""COMPUTED_VALUE"""),"7")</f>
        <v>7</v>
      </c>
      <c r="K437" s="6" t="str">
        <f>IFERROR(__xludf.DUMMYFUNCTION("""COMPUTED_VALUE"""),"jacob.benitt@2hourlearning.com")</f>
        <v>jacob.benitt@2hourlearning.com</v>
      </c>
      <c r="L437" s="6" t="str">
        <f>IFERROR(__xludf.DUMMYFUNCTION("""COMPUTED_VALUE"""),"Alpha Anywhere (homeschool)")</f>
        <v>Alpha Anywhere (homeschool)</v>
      </c>
      <c r="M437" s="6" t="str">
        <f>IFERROR(__xludf.DUMMYFUNCTION("""COMPUTED_VALUE"""),"")</f>
        <v/>
      </c>
      <c r="N437" s="6" t="str">
        <f>IFERROR(__xludf.DUMMYFUNCTION("""COMPUTED_VALUE"""),"")</f>
        <v/>
      </c>
      <c r="O437" s="87" t="str">
        <f>IFERROR(__xludf.DUMMYFUNCTION("""COMPUTED_VALUE"""),"https://drive.google.com/drive/folders/10T2cTQHqEJZqE-st6uFKPoI?usp=share_link")</f>
        <v>https://drive.google.com/drive/folders/10T2cTQHqEJZqE-st6uFKPoI?usp=share_link</v>
      </c>
      <c r="P437" s="6" t="str">
        <f>IFERROR(__xludf.DUMMYFUNCTION("""COMPUTED_VALUE"""),"Jacob Benitt")</f>
        <v>Jacob Benitt</v>
      </c>
      <c r="Q437" s="6" t="str">
        <f>IFERROR(__xludf.DUMMYFUNCTION("""COMPUTED_VALUE"""),"MS")</f>
        <v>MS</v>
      </c>
      <c r="R437" s="6">
        <f>IFERROR(__xludf.DUMMYFUNCTION("""COMPUTED_VALUE"""),0.0)</f>
        <v>0</v>
      </c>
      <c r="S437" s="6" t="str">
        <f>IFERROR(__xludf.DUMMYFUNCTION("""COMPUTED_VALUE""")," ")</f>
        <v> </v>
      </c>
      <c r="T437" s="6" t="str">
        <f>IFERROR(__xludf.DUMMYFUNCTION("""COMPUTED_VALUE"""),"")</f>
        <v/>
      </c>
      <c r="U437" s="6" t="str">
        <f>IFERROR(__xludf.DUMMYFUNCTION("""COMPUTED_VALUE"""),"7")</f>
        <v>7</v>
      </c>
      <c r="V437" s="6" t="str">
        <f>IFERROR(__xludf.DUMMYFUNCTION("""COMPUTED_VALUE"""),"")</f>
        <v/>
      </c>
      <c r="W437" s="6" t="str">
        <f>IFERROR(__xludf.DUMMYFUNCTION("""COMPUTED_VALUE"""),"[]")</f>
        <v>[]</v>
      </c>
      <c r="X437" s="6" t="str">
        <f>IFERROR(__xludf.DUMMYFUNCTION("""COMPUTED_VALUE"""),"Enrolled")</f>
        <v>Enrolled</v>
      </c>
    </row>
    <row r="438">
      <c r="A438" s="6" t="str">
        <f>IFERROR(__xludf.DUMMYFUNCTION("""COMPUTED_VALUE"""),"000-8149")</f>
        <v>000-8149</v>
      </c>
      <c r="B438" s="6" t="str">
        <f>IFERROR(__xludf.DUMMYFUNCTION("""COMPUTED_VALUE"""),"0")</f>
        <v>0</v>
      </c>
      <c r="C438" s="6" t="str">
        <f>IFERROR(__xludf.DUMMYFUNCTION("""COMPUTED_VALUE"""),"8149")</f>
        <v>8149</v>
      </c>
      <c r="D438" s="6" t="str">
        <f>IFERROR(__xludf.DUMMYFUNCTION("""COMPUTED_VALUE"""),"Harper")</f>
        <v>Harper</v>
      </c>
      <c r="E438" s="6" t="str">
        <f>IFERROR(__xludf.DUMMYFUNCTION("""COMPUTED_VALUE"""),"")</f>
        <v/>
      </c>
      <c r="F438" s="6" t="str">
        <f>IFERROR(__xludf.DUMMYFUNCTION("""COMPUTED_VALUE"""),"Zacko")</f>
        <v>Zacko</v>
      </c>
      <c r="G438" s="6" t="str">
        <f>IFERROR(__xludf.DUMMYFUNCTION("""COMPUTED_VALUE"""),"05/30/2014")</f>
        <v>05/30/2014</v>
      </c>
      <c r="H438" s="6" t="str">
        <f>IFERROR(__xludf.DUMMYFUNCTION("""COMPUTED_VALUE"""),"Self Identify")</f>
        <v>Self Identify</v>
      </c>
      <c r="I438" s="6" t="str">
        <f>IFERROR(__xludf.DUMMYFUNCTION("""COMPUTED_VALUE"""),"Middle School")</f>
        <v>Middle School</v>
      </c>
      <c r="J438" s="6" t="str">
        <f>IFERROR(__xludf.DUMMYFUNCTION("""COMPUTED_VALUE"""),"6")</f>
        <v>6</v>
      </c>
      <c r="K438" s="6" t="str">
        <f>IFERROR(__xludf.DUMMYFUNCTION("""COMPUTED_VALUE"""),"harper.zacko@2hourlearning.com")</f>
        <v>harper.zacko@2hourlearning.com</v>
      </c>
      <c r="L438" s="6" t="str">
        <f>IFERROR(__xludf.DUMMYFUNCTION("""COMPUTED_VALUE"""),"Alpha Anywhere (homeschool)")</f>
        <v>Alpha Anywhere (homeschool)</v>
      </c>
      <c r="M438" s="6" t="str">
        <f>IFERROR(__xludf.DUMMYFUNCTION("""COMPUTED_VALUE"""),"")</f>
        <v/>
      </c>
      <c r="N438" s="6" t="str">
        <f>IFERROR(__xludf.DUMMYFUNCTION("""COMPUTED_VALUE"""),"")</f>
        <v/>
      </c>
      <c r="O438" s="87" t="str">
        <f>IFERROR(__xludf.DUMMYFUNCTION("""COMPUTED_VALUE"""),"https://drive.google.com/drive/folders/10T2cTQHqEJZqE-st6uFKPoI?usp=share_link")</f>
        <v>https://drive.google.com/drive/folders/10T2cTQHqEJZqE-st6uFKPoI?usp=share_link</v>
      </c>
      <c r="P438" s="6" t="str">
        <f>IFERROR(__xludf.DUMMYFUNCTION("""COMPUTED_VALUE"""),"Harper Zacko")</f>
        <v>Harper Zacko</v>
      </c>
      <c r="Q438" s="6" t="str">
        <f>IFERROR(__xludf.DUMMYFUNCTION("""COMPUTED_VALUE"""),"MS")</f>
        <v>MS</v>
      </c>
      <c r="R438" s="6">
        <f>IFERROR(__xludf.DUMMYFUNCTION("""COMPUTED_VALUE"""),0.0)</f>
        <v>0</v>
      </c>
      <c r="S438" s="6" t="str">
        <f>IFERROR(__xludf.DUMMYFUNCTION("""COMPUTED_VALUE""")," ")</f>
        <v> </v>
      </c>
      <c r="T438" s="6" t="str">
        <f>IFERROR(__xludf.DUMMYFUNCTION("""COMPUTED_VALUE"""),"")</f>
        <v/>
      </c>
      <c r="U438" s="6" t="str">
        <f>IFERROR(__xludf.DUMMYFUNCTION("""COMPUTED_VALUE"""),"6")</f>
        <v>6</v>
      </c>
      <c r="V438" s="6" t="str">
        <f>IFERROR(__xludf.DUMMYFUNCTION("""COMPUTED_VALUE"""),"")</f>
        <v/>
      </c>
      <c r="W438" s="6" t="str">
        <f>IFERROR(__xludf.DUMMYFUNCTION("""COMPUTED_VALUE"""),"[]")</f>
        <v>[]</v>
      </c>
      <c r="X438" s="6" t="str">
        <f>IFERROR(__xludf.DUMMYFUNCTION("""COMPUTED_VALUE"""),"Enrolled")</f>
        <v>Enrolled</v>
      </c>
    </row>
    <row r="439">
      <c r="A439" s="6" t="str">
        <f>IFERROR(__xludf.DUMMYFUNCTION("""COMPUTED_VALUE"""),"000-8150")</f>
        <v>000-8150</v>
      </c>
      <c r="B439" s="6" t="str">
        <f>IFERROR(__xludf.DUMMYFUNCTION("""COMPUTED_VALUE"""),"0")</f>
        <v>0</v>
      </c>
      <c r="C439" s="6" t="str">
        <f>IFERROR(__xludf.DUMMYFUNCTION("""COMPUTED_VALUE"""),"8150")</f>
        <v>8150</v>
      </c>
      <c r="D439" s="6" t="str">
        <f>IFERROR(__xludf.DUMMYFUNCTION("""COMPUTED_VALUE"""),"Kennedy")</f>
        <v>Kennedy</v>
      </c>
      <c r="E439" s="6" t="str">
        <f>IFERROR(__xludf.DUMMYFUNCTION("""COMPUTED_VALUE"""),"")</f>
        <v/>
      </c>
      <c r="F439" s="6" t="str">
        <f>IFERROR(__xludf.DUMMYFUNCTION("""COMPUTED_VALUE"""),"Zacko")</f>
        <v>Zacko</v>
      </c>
      <c r="G439" s="6" t="str">
        <f>IFERROR(__xludf.DUMMYFUNCTION("""COMPUTED_VALUE"""),"04/08/2012")</f>
        <v>04/08/2012</v>
      </c>
      <c r="H439" s="6" t="str">
        <f>IFERROR(__xludf.DUMMYFUNCTION("""COMPUTED_VALUE"""),"Self Identify")</f>
        <v>Self Identify</v>
      </c>
      <c r="I439" s="6" t="str">
        <f>IFERROR(__xludf.DUMMYFUNCTION("""COMPUTED_VALUE"""),"Middle School")</f>
        <v>Middle School</v>
      </c>
      <c r="J439" s="6" t="str">
        <f>IFERROR(__xludf.DUMMYFUNCTION("""COMPUTED_VALUE"""),"8")</f>
        <v>8</v>
      </c>
      <c r="K439" s="6" t="str">
        <f>IFERROR(__xludf.DUMMYFUNCTION("""COMPUTED_VALUE"""),"kennedy.zacko@2hourlearning.com")</f>
        <v>kennedy.zacko@2hourlearning.com</v>
      </c>
      <c r="L439" s="6" t="str">
        <f>IFERROR(__xludf.DUMMYFUNCTION("""COMPUTED_VALUE"""),"Alpha Anywhere (homeschool)")</f>
        <v>Alpha Anywhere (homeschool)</v>
      </c>
      <c r="M439" s="6" t="str">
        <f>IFERROR(__xludf.DUMMYFUNCTION("""COMPUTED_VALUE"""),"")</f>
        <v/>
      </c>
      <c r="N439" s="6" t="str">
        <f>IFERROR(__xludf.DUMMYFUNCTION("""COMPUTED_VALUE"""),"")</f>
        <v/>
      </c>
      <c r="O439" s="87" t="str">
        <f>IFERROR(__xludf.DUMMYFUNCTION("""COMPUTED_VALUE"""),"https://drive.google.com/drive/folders/10T2cTQHqEJZqE-st6uFKPoI?usp=share_link")</f>
        <v>https://drive.google.com/drive/folders/10T2cTQHqEJZqE-st6uFKPoI?usp=share_link</v>
      </c>
      <c r="P439" s="6" t="str">
        <f>IFERROR(__xludf.DUMMYFUNCTION("""COMPUTED_VALUE"""),"Kennedy Zacko")</f>
        <v>Kennedy Zacko</v>
      </c>
      <c r="Q439" s="6" t="str">
        <f>IFERROR(__xludf.DUMMYFUNCTION("""COMPUTED_VALUE"""),"MS")</f>
        <v>MS</v>
      </c>
      <c r="R439" s="6">
        <f>IFERROR(__xludf.DUMMYFUNCTION("""COMPUTED_VALUE"""),0.0)</f>
        <v>0</v>
      </c>
      <c r="S439" s="6" t="str">
        <f>IFERROR(__xludf.DUMMYFUNCTION("""COMPUTED_VALUE""")," ")</f>
        <v> </v>
      </c>
      <c r="T439" s="6" t="str">
        <f>IFERROR(__xludf.DUMMYFUNCTION("""COMPUTED_VALUE"""),"")</f>
        <v/>
      </c>
      <c r="U439" s="6" t="str">
        <f>IFERROR(__xludf.DUMMYFUNCTION("""COMPUTED_VALUE"""),"8")</f>
        <v>8</v>
      </c>
      <c r="V439" s="6" t="str">
        <f>IFERROR(__xludf.DUMMYFUNCTION("""COMPUTED_VALUE"""),"")</f>
        <v/>
      </c>
      <c r="W439" s="6" t="str">
        <f>IFERROR(__xludf.DUMMYFUNCTION("""COMPUTED_VALUE"""),"[]")</f>
        <v>[]</v>
      </c>
      <c r="X439" s="6" t="str">
        <f>IFERROR(__xludf.DUMMYFUNCTION("""COMPUTED_VALUE"""),"Enrolled")</f>
        <v>Enrolled</v>
      </c>
    </row>
    <row r="440">
      <c r="A440" s="6" t="str">
        <f>IFERROR(__xludf.DUMMYFUNCTION("""COMPUTED_VALUE"""),"000-8151")</f>
        <v>000-8151</v>
      </c>
      <c r="B440" s="6" t="str">
        <f>IFERROR(__xludf.DUMMYFUNCTION("""COMPUTED_VALUE"""),"0")</f>
        <v>0</v>
      </c>
      <c r="C440" s="6" t="str">
        <f>IFERROR(__xludf.DUMMYFUNCTION("""COMPUTED_VALUE"""),"8151")</f>
        <v>8151</v>
      </c>
      <c r="D440" s="6" t="str">
        <f>IFERROR(__xludf.DUMMYFUNCTION("""COMPUTED_VALUE"""),"Briana")</f>
        <v>Briana</v>
      </c>
      <c r="E440" s="6" t="str">
        <f>IFERROR(__xludf.DUMMYFUNCTION("""COMPUTED_VALUE"""),"")</f>
        <v/>
      </c>
      <c r="F440" s="6" t="str">
        <f>IFERROR(__xludf.DUMMYFUNCTION("""COMPUTED_VALUE"""),"Rosenzweig")</f>
        <v>Rosenzweig</v>
      </c>
      <c r="G440" s="6" t="str">
        <f>IFERROR(__xludf.DUMMYFUNCTION("""COMPUTED_VALUE"""),"07/15/2008")</f>
        <v>07/15/2008</v>
      </c>
      <c r="H440" s="6" t="str">
        <f>IFERROR(__xludf.DUMMYFUNCTION("""COMPUTED_VALUE"""),"Self Identify")</f>
        <v>Self Identify</v>
      </c>
      <c r="I440" s="6" t="str">
        <f>IFERROR(__xludf.DUMMYFUNCTION("""COMPUTED_VALUE"""),"High School")</f>
        <v>High School</v>
      </c>
      <c r="J440" s="6" t="str">
        <f>IFERROR(__xludf.DUMMYFUNCTION("""COMPUTED_VALUE"""),"11")</f>
        <v>11</v>
      </c>
      <c r="K440" s="6" t="str">
        <f>IFERROR(__xludf.DUMMYFUNCTION("""COMPUTED_VALUE"""),"briana.rosenzweig@2hourlearning.com")</f>
        <v>briana.rosenzweig@2hourlearning.com</v>
      </c>
      <c r="L440" s="6" t="str">
        <f>IFERROR(__xludf.DUMMYFUNCTION("""COMPUTED_VALUE"""),"Alpha Anywhere (homeschool)")</f>
        <v>Alpha Anywhere (homeschool)</v>
      </c>
      <c r="M440" s="6" t="str">
        <f>IFERROR(__xludf.DUMMYFUNCTION("""COMPUTED_VALUE"""),"")</f>
        <v/>
      </c>
      <c r="N440" s="6" t="str">
        <f>IFERROR(__xludf.DUMMYFUNCTION("""COMPUTED_VALUE"""),"")</f>
        <v/>
      </c>
      <c r="O440" s="87" t="str">
        <f>IFERROR(__xludf.DUMMYFUNCTION("""COMPUTED_VALUE"""),"https://drive.google.com/drive/folders/10T2cTQHqEJZqE-st6uFKPoI?usp=share_link")</f>
        <v>https://drive.google.com/drive/folders/10T2cTQHqEJZqE-st6uFKPoI?usp=share_link</v>
      </c>
      <c r="P440" s="6" t="str">
        <f>IFERROR(__xludf.DUMMYFUNCTION("""COMPUTED_VALUE"""),"Briana Rosenzweig")</f>
        <v>Briana Rosenzweig</v>
      </c>
      <c r="Q440" s="6" t="str">
        <f>IFERROR(__xludf.DUMMYFUNCTION("""COMPUTED_VALUE"""),"HS")</f>
        <v>HS</v>
      </c>
      <c r="R440" s="6">
        <f>IFERROR(__xludf.DUMMYFUNCTION("""COMPUTED_VALUE"""),0.0)</f>
        <v>0</v>
      </c>
      <c r="S440" s="6" t="str">
        <f>IFERROR(__xludf.DUMMYFUNCTION("""COMPUTED_VALUE""")," ")</f>
        <v> </v>
      </c>
      <c r="T440" s="6" t="str">
        <f>IFERROR(__xludf.DUMMYFUNCTION("""COMPUTED_VALUE"""),"")</f>
        <v/>
      </c>
      <c r="U440" s="6" t="str">
        <f>IFERROR(__xludf.DUMMYFUNCTION("""COMPUTED_VALUE"""),"11")</f>
        <v>11</v>
      </c>
      <c r="V440" s="6" t="str">
        <f>IFERROR(__xludf.DUMMYFUNCTION("""COMPUTED_VALUE"""),"")</f>
        <v/>
      </c>
      <c r="W440" s="6" t="str">
        <f>IFERROR(__xludf.DUMMYFUNCTION("""COMPUTED_VALUE"""),"[]")</f>
        <v>[]</v>
      </c>
      <c r="X440" s="6" t="str">
        <f>IFERROR(__xludf.DUMMYFUNCTION("""COMPUTED_VALUE"""),"Enrolled")</f>
        <v>Enrolled</v>
      </c>
    </row>
    <row r="441">
      <c r="A441" s="6" t="str">
        <f>IFERROR(__xludf.DUMMYFUNCTION("""COMPUTED_VALUE"""),"000-8159")</f>
        <v>000-8159</v>
      </c>
      <c r="B441" s="6" t="str">
        <f>IFERROR(__xludf.DUMMYFUNCTION("""COMPUTED_VALUE"""),"0")</f>
        <v>0</v>
      </c>
      <c r="C441" s="6" t="str">
        <f>IFERROR(__xludf.DUMMYFUNCTION("""COMPUTED_VALUE"""),"8159")</f>
        <v>8159</v>
      </c>
      <c r="D441" s="6" t="str">
        <f>IFERROR(__xludf.DUMMYFUNCTION("""COMPUTED_VALUE"""),"Tuf")</f>
        <v>Tuf</v>
      </c>
      <c r="E441" s="6" t="str">
        <f>IFERROR(__xludf.DUMMYFUNCTION("""COMPUTED_VALUE"""),"")</f>
        <v/>
      </c>
      <c r="F441" s="6" t="str">
        <f>IFERROR(__xludf.DUMMYFUNCTION("""COMPUTED_VALUE"""),"Donohoo")</f>
        <v>Donohoo</v>
      </c>
      <c r="G441" s="6" t="str">
        <f>IFERROR(__xludf.DUMMYFUNCTION("""COMPUTED_VALUE"""),"06/11/2015")</f>
        <v>06/11/2015</v>
      </c>
      <c r="H441" s="6" t="str">
        <f>IFERROR(__xludf.DUMMYFUNCTION("""COMPUTED_VALUE"""),"Self Identify")</f>
        <v>Self Identify</v>
      </c>
      <c r="I441" s="6" t="str">
        <f>IFERROR(__xludf.DUMMYFUNCTION("""COMPUTED_VALUE"""),"Level 2")</f>
        <v>Level 2</v>
      </c>
      <c r="J441" s="6" t="str">
        <f>IFERROR(__xludf.DUMMYFUNCTION("""COMPUTED_VALUE"""),"5")</f>
        <v>5</v>
      </c>
      <c r="K441" s="6" t="str">
        <f>IFERROR(__xludf.DUMMYFUNCTION("""COMPUTED_VALUE"""),"tuf.donohoo@2hourlearning.com")</f>
        <v>tuf.donohoo@2hourlearning.com</v>
      </c>
      <c r="L441" s="6" t="str">
        <f>IFERROR(__xludf.DUMMYFUNCTION("""COMPUTED_VALUE"""),"Alpha Anywhere (homeschool)")</f>
        <v>Alpha Anywhere (homeschool)</v>
      </c>
      <c r="M441" s="6" t="str">
        <f>IFERROR(__xludf.DUMMYFUNCTION("""COMPUTED_VALUE"""),"")</f>
        <v/>
      </c>
      <c r="N441" s="6" t="str">
        <f>IFERROR(__xludf.DUMMYFUNCTION("""COMPUTED_VALUE"""),"")</f>
        <v/>
      </c>
      <c r="O441" s="87" t="str">
        <f>IFERROR(__xludf.DUMMYFUNCTION("""COMPUTED_VALUE"""),"https://drive.google.com/drive/folders/10T2cTQHqEJZqE-st6uFKPoI?usp=share_link")</f>
        <v>https://drive.google.com/drive/folders/10T2cTQHqEJZqE-st6uFKPoI?usp=share_link</v>
      </c>
      <c r="P441" s="6" t="str">
        <f>IFERROR(__xludf.DUMMYFUNCTION("""COMPUTED_VALUE"""),"Tuf Donohoo")</f>
        <v>Tuf Donohoo</v>
      </c>
      <c r="Q441" s="6" t="str">
        <f>IFERROR(__xludf.DUMMYFUNCTION("""COMPUTED_VALUE"""),"L2")</f>
        <v>L2</v>
      </c>
      <c r="R441" s="6">
        <f>IFERROR(__xludf.DUMMYFUNCTION("""COMPUTED_VALUE"""),2.0)</f>
        <v>2</v>
      </c>
      <c r="S441" s="6" t="str">
        <f>IFERROR(__xludf.DUMMYFUNCTION("""COMPUTED_VALUE""")," ")</f>
        <v> </v>
      </c>
      <c r="T441" s="6" t="str">
        <f>IFERROR(__xludf.DUMMYFUNCTION("""COMPUTED_VALUE"""),"")</f>
        <v/>
      </c>
      <c r="U441" s="6" t="str">
        <f>IFERROR(__xludf.DUMMYFUNCTION("""COMPUTED_VALUE"""),"5")</f>
        <v>5</v>
      </c>
      <c r="V441" s="6" t="str">
        <f>IFERROR(__xludf.DUMMYFUNCTION("""COMPUTED_VALUE"""),"")</f>
        <v/>
      </c>
      <c r="W441" s="6" t="str">
        <f>IFERROR(__xludf.DUMMYFUNCTION("""COMPUTED_VALUE"""),"[]")</f>
        <v>[]</v>
      </c>
      <c r="X441" s="6" t="str">
        <f>IFERROR(__xludf.DUMMYFUNCTION("""COMPUTED_VALUE"""),"Enrolled")</f>
        <v>Enrolled</v>
      </c>
    </row>
    <row r="442">
      <c r="A442" s="6" t="str">
        <f>IFERROR(__xludf.DUMMYFUNCTION("""COMPUTED_VALUE"""),"000-8178")</f>
        <v>000-8178</v>
      </c>
      <c r="B442" s="6" t="str">
        <f>IFERROR(__xludf.DUMMYFUNCTION("""COMPUTED_VALUE"""),"0")</f>
        <v>0</v>
      </c>
      <c r="C442" s="6" t="str">
        <f>IFERROR(__xludf.DUMMYFUNCTION("""COMPUTED_VALUE"""),"8178")</f>
        <v>8178</v>
      </c>
      <c r="D442" s="6" t="str">
        <f>IFERROR(__xludf.DUMMYFUNCTION("""COMPUTED_VALUE"""),"Terrell")</f>
        <v>Terrell</v>
      </c>
      <c r="E442" s="6" t="str">
        <f>IFERROR(__xludf.DUMMYFUNCTION("""COMPUTED_VALUE"""),"")</f>
        <v/>
      </c>
      <c r="F442" s="6" t="str">
        <f>IFERROR(__xludf.DUMMYFUNCTION("""COMPUTED_VALUE"""),"Robinson")</f>
        <v>Robinson</v>
      </c>
      <c r="G442" s="6" t="str">
        <f>IFERROR(__xludf.DUMMYFUNCTION("""COMPUTED_VALUE"""),"11/22/2011")</f>
        <v>11/22/2011</v>
      </c>
      <c r="H442" s="6" t="str">
        <f>IFERROR(__xludf.DUMMYFUNCTION("""COMPUTED_VALUE"""),"Self Identify")</f>
        <v>Self Identify</v>
      </c>
      <c r="I442" s="6" t="str">
        <f>IFERROR(__xludf.DUMMYFUNCTION("""COMPUTED_VALUE"""),"Middle School")</f>
        <v>Middle School</v>
      </c>
      <c r="J442" s="6" t="str">
        <f>IFERROR(__xludf.DUMMYFUNCTION("""COMPUTED_VALUE"""),"8")</f>
        <v>8</v>
      </c>
      <c r="K442" s="6" t="str">
        <f>IFERROR(__xludf.DUMMYFUNCTION("""COMPUTED_VALUE"""),"terrell.robinson@2hourlearning.com")</f>
        <v>terrell.robinson@2hourlearning.com</v>
      </c>
      <c r="L442" s="6" t="str">
        <f>IFERROR(__xludf.DUMMYFUNCTION("""COMPUTED_VALUE"""),"Alpha Anywhere (homeschool)")</f>
        <v>Alpha Anywhere (homeschool)</v>
      </c>
      <c r="M442" s="6" t="str">
        <f>IFERROR(__xludf.DUMMYFUNCTION("""COMPUTED_VALUE"""),"")</f>
        <v/>
      </c>
      <c r="N442" s="6" t="str">
        <f>IFERROR(__xludf.DUMMYFUNCTION("""COMPUTED_VALUE"""),"")</f>
        <v/>
      </c>
      <c r="O442" s="87" t="str">
        <f>IFERROR(__xludf.DUMMYFUNCTION("""COMPUTED_VALUE"""),"https://drive.google.com/drive/folders/10T2cTQHqEJZqE-st6uFKPoI?usp=share_link")</f>
        <v>https://drive.google.com/drive/folders/10T2cTQHqEJZqE-st6uFKPoI?usp=share_link</v>
      </c>
      <c r="P442" s="6" t="str">
        <f>IFERROR(__xludf.DUMMYFUNCTION("""COMPUTED_VALUE"""),"Terrell Robinson")</f>
        <v>Terrell Robinson</v>
      </c>
      <c r="Q442" s="6" t="str">
        <f>IFERROR(__xludf.DUMMYFUNCTION("""COMPUTED_VALUE"""),"MS")</f>
        <v>MS</v>
      </c>
      <c r="R442" s="6">
        <f>IFERROR(__xludf.DUMMYFUNCTION("""COMPUTED_VALUE"""),0.0)</f>
        <v>0</v>
      </c>
      <c r="S442" s="6" t="str">
        <f>IFERROR(__xludf.DUMMYFUNCTION("""COMPUTED_VALUE""")," ")</f>
        <v> </v>
      </c>
      <c r="T442" s="6" t="str">
        <f>IFERROR(__xludf.DUMMYFUNCTION("""COMPUTED_VALUE"""),"")</f>
        <v/>
      </c>
      <c r="U442" s="6" t="str">
        <f>IFERROR(__xludf.DUMMYFUNCTION("""COMPUTED_VALUE"""),"8")</f>
        <v>8</v>
      </c>
      <c r="V442" s="6" t="str">
        <f>IFERROR(__xludf.DUMMYFUNCTION("""COMPUTED_VALUE"""),"")</f>
        <v/>
      </c>
      <c r="W442" s="6" t="str">
        <f>IFERROR(__xludf.DUMMYFUNCTION("""COMPUTED_VALUE"""),"[]")</f>
        <v>[]</v>
      </c>
      <c r="X442" s="6" t="str">
        <f>IFERROR(__xludf.DUMMYFUNCTION("""COMPUTED_VALUE"""),"Enrolled")</f>
        <v>Enrolled</v>
      </c>
    </row>
    <row r="443">
      <c r="A443" s="6" t="str">
        <f>IFERROR(__xludf.DUMMYFUNCTION("""COMPUTED_VALUE"""),"000-8179")</f>
        <v>000-8179</v>
      </c>
      <c r="B443" s="6" t="str">
        <f>IFERROR(__xludf.DUMMYFUNCTION("""COMPUTED_VALUE"""),"0")</f>
        <v>0</v>
      </c>
      <c r="C443" s="6" t="str">
        <f>IFERROR(__xludf.DUMMYFUNCTION("""COMPUTED_VALUE"""),"8179")</f>
        <v>8179</v>
      </c>
      <c r="D443" s="6" t="str">
        <f>IFERROR(__xludf.DUMMYFUNCTION("""COMPUTED_VALUE"""),"Emma")</f>
        <v>Emma</v>
      </c>
      <c r="E443" s="6" t="str">
        <f>IFERROR(__xludf.DUMMYFUNCTION("""COMPUTED_VALUE"""),"")</f>
        <v/>
      </c>
      <c r="F443" s="6" t="str">
        <f>IFERROR(__xludf.DUMMYFUNCTION("""COMPUTED_VALUE"""),"Exstrom")</f>
        <v>Exstrom</v>
      </c>
      <c r="G443" s="6" t="str">
        <f>IFERROR(__xludf.DUMMYFUNCTION("""COMPUTED_VALUE"""),"07/25/2013")</f>
        <v>07/25/2013</v>
      </c>
      <c r="H443" s="6" t="str">
        <f>IFERROR(__xludf.DUMMYFUNCTION("""COMPUTED_VALUE"""),"Self Identify")</f>
        <v>Self Identify</v>
      </c>
      <c r="I443" s="6" t="str">
        <f>IFERROR(__xludf.DUMMYFUNCTION("""COMPUTED_VALUE"""),"Middle School")</f>
        <v>Middle School</v>
      </c>
      <c r="J443" s="6" t="str">
        <f>IFERROR(__xludf.DUMMYFUNCTION("""COMPUTED_VALUE"""),"6")</f>
        <v>6</v>
      </c>
      <c r="K443" s="6" t="str">
        <f>IFERROR(__xludf.DUMMYFUNCTION("""COMPUTED_VALUE"""),"emma.exstrom@2hourlearning.com")</f>
        <v>emma.exstrom@2hourlearning.com</v>
      </c>
      <c r="L443" s="6" t="str">
        <f>IFERROR(__xludf.DUMMYFUNCTION("""COMPUTED_VALUE"""),"Alpha Anywhere (homeschool)")</f>
        <v>Alpha Anywhere (homeschool)</v>
      </c>
      <c r="M443" s="6" t="str">
        <f>IFERROR(__xludf.DUMMYFUNCTION("""COMPUTED_VALUE"""),"")</f>
        <v/>
      </c>
      <c r="N443" s="6" t="str">
        <f>IFERROR(__xludf.DUMMYFUNCTION("""COMPUTED_VALUE"""),"")</f>
        <v/>
      </c>
      <c r="O443" s="87" t="str">
        <f>IFERROR(__xludf.DUMMYFUNCTION("""COMPUTED_VALUE"""),"https://drive.google.com/drive/folders/10T2cTQHqEJZqE-st6uFKPoI?usp=share_link")</f>
        <v>https://drive.google.com/drive/folders/10T2cTQHqEJZqE-st6uFKPoI?usp=share_link</v>
      </c>
      <c r="P443" s="6" t="str">
        <f>IFERROR(__xludf.DUMMYFUNCTION("""COMPUTED_VALUE"""),"Emma Exstrom")</f>
        <v>Emma Exstrom</v>
      </c>
      <c r="Q443" s="6" t="str">
        <f>IFERROR(__xludf.DUMMYFUNCTION("""COMPUTED_VALUE"""),"MS")</f>
        <v>MS</v>
      </c>
      <c r="R443" s="6">
        <f>IFERROR(__xludf.DUMMYFUNCTION("""COMPUTED_VALUE"""),0.0)</f>
        <v>0</v>
      </c>
      <c r="S443" s="6" t="str">
        <f>IFERROR(__xludf.DUMMYFUNCTION("""COMPUTED_VALUE""")," ")</f>
        <v> </v>
      </c>
      <c r="T443" s="6" t="str">
        <f>IFERROR(__xludf.DUMMYFUNCTION("""COMPUTED_VALUE"""),"")</f>
        <v/>
      </c>
      <c r="U443" s="6" t="str">
        <f>IFERROR(__xludf.DUMMYFUNCTION("""COMPUTED_VALUE"""),"6")</f>
        <v>6</v>
      </c>
      <c r="V443" s="6" t="str">
        <f>IFERROR(__xludf.DUMMYFUNCTION("""COMPUTED_VALUE"""),"")</f>
        <v/>
      </c>
      <c r="W443" s="6" t="str">
        <f>IFERROR(__xludf.DUMMYFUNCTION("""COMPUTED_VALUE"""),"[]")</f>
        <v>[]</v>
      </c>
      <c r="X443" s="6" t="str">
        <f>IFERROR(__xludf.DUMMYFUNCTION("""COMPUTED_VALUE"""),"Enrolled")</f>
        <v>Enrolled</v>
      </c>
    </row>
    <row r="444">
      <c r="A444" s="6" t="str">
        <f>IFERROR(__xludf.DUMMYFUNCTION("""COMPUTED_VALUE"""),"000-8214")</f>
        <v>000-8214</v>
      </c>
      <c r="B444" s="6" t="str">
        <f>IFERROR(__xludf.DUMMYFUNCTION("""COMPUTED_VALUE"""),"0")</f>
        <v>0</v>
      </c>
      <c r="C444" s="6" t="str">
        <f>IFERROR(__xludf.DUMMYFUNCTION("""COMPUTED_VALUE"""),"8214")</f>
        <v>8214</v>
      </c>
      <c r="D444" s="6" t="str">
        <f>IFERROR(__xludf.DUMMYFUNCTION("""COMPUTED_VALUE"""),"Patricia")</f>
        <v>Patricia</v>
      </c>
      <c r="E444" s="6" t="str">
        <f>IFERROR(__xludf.DUMMYFUNCTION("""COMPUTED_VALUE"""),"")</f>
        <v/>
      </c>
      <c r="F444" s="6" t="str">
        <f>IFERROR(__xludf.DUMMYFUNCTION("""COMPUTED_VALUE"""),"Owen")</f>
        <v>Owen</v>
      </c>
      <c r="G444" s="6" t="str">
        <f>IFERROR(__xludf.DUMMYFUNCTION("""COMPUTED_VALUE"""),"06/06/2015")</f>
        <v>06/06/2015</v>
      </c>
      <c r="H444" s="6" t="str">
        <f>IFERROR(__xludf.DUMMYFUNCTION("""COMPUTED_VALUE"""),"unspecified")</f>
        <v>unspecified</v>
      </c>
      <c r="I444" s="6" t="str">
        <f>IFERROR(__xludf.DUMMYFUNCTION("""COMPUTED_VALUE"""),"Level 2")</f>
        <v>Level 2</v>
      </c>
      <c r="J444" s="6" t="str">
        <f>IFERROR(__xludf.DUMMYFUNCTION("""COMPUTED_VALUE"""),"5")</f>
        <v>5</v>
      </c>
      <c r="K444" s="6" t="str">
        <f>IFERROR(__xludf.DUMMYFUNCTION("""COMPUTED_VALUE"""),"patricia.owen@2hourlearning.com")</f>
        <v>patricia.owen@2hourlearning.com</v>
      </c>
      <c r="L444" s="6" t="str">
        <f>IFERROR(__xludf.DUMMYFUNCTION("""COMPUTED_VALUE"""),"Alpha Anywhere (homeschool)")</f>
        <v>Alpha Anywhere (homeschool)</v>
      </c>
      <c r="M444" s="6" t="str">
        <f>IFERROR(__xludf.DUMMYFUNCTION("""COMPUTED_VALUE"""),"")</f>
        <v/>
      </c>
      <c r="N444" s="6" t="str">
        <f>IFERROR(__xludf.DUMMYFUNCTION("""COMPUTED_VALUE"""),"")</f>
        <v/>
      </c>
      <c r="O444" s="87" t="str">
        <f>IFERROR(__xludf.DUMMYFUNCTION("""COMPUTED_VALUE"""),"https://drive.google.com/drive/folders/10T2cTQHqEJZqE-st6uFKPoI?usp=share_link")</f>
        <v>https://drive.google.com/drive/folders/10T2cTQHqEJZqE-st6uFKPoI?usp=share_link</v>
      </c>
      <c r="P444" s="6" t="str">
        <f>IFERROR(__xludf.DUMMYFUNCTION("""COMPUTED_VALUE"""),"Patricia Owen")</f>
        <v>Patricia Owen</v>
      </c>
      <c r="Q444" s="6" t="str">
        <f>IFERROR(__xludf.DUMMYFUNCTION("""COMPUTED_VALUE"""),"L2")</f>
        <v>L2</v>
      </c>
      <c r="R444" s="6">
        <f>IFERROR(__xludf.DUMMYFUNCTION("""COMPUTED_VALUE"""),2.0)</f>
        <v>2</v>
      </c>
      <c r="S444" s="6" t="str">
        <f>IFERROR(__xludf.DUMMYFUNCTION("""COMPUTED_VALUE""")," ")</f>
        <v> </v>
      </c>
      <c r="T444" s="6" t="str">
        <f>IFERROR(__xludf.DUMMYFUNCTION("""COMPUTED_VALUE"""),"")</f>
        <v/>
      </c>
      <c r="U444" s="6" t="str">
        <f>IFERROR(__xludf.DUMMYFUNCTION("""COMPUTED_VALUE"""),"5")</f>
        <v>5</v>
      </c>
      <c r="V444" s="6" t="str">
        <f>IFERROR(__xludf.DUMMYFUNCTION("""COMPUTED_VALUE"""),"")</f>
        <v/>
      </c>
      <c r="W444" s="6" t="str">
        <f>IFERROR(__xludf.DUMMYFUNCTION("""COMPUTED_VALUE"""),"[]")</f>
        <v>[]</v>
      </c>
      <c r="X444" s="6" t="str">
        <f>IFERROR(__xludf.DUMMYFUNCTION("""COMPUTED_VALUE"""),"Enrolled")</f>
        <v>Enrolled</v>
      </c>
    </row>
    <row r="445">
      <c r="A445" s="6" t="str">
        <f>IFERROR(__xludf.DUMMYFUNCTION("""COMPUTED_VALUE"""),"000-8219")</f>
        <v>000-8219</v>
      </c>
      <c r="B445" s="6" t="str">
        <f>IFERROR(__xludf.DUMMYFUNCTION("""COMPUTED_VALUE"""),"0")</f>
        <v>0</v>
      </c>
      <c r="C445" s="6" t="str">
        <f>IFERROR(__xludf.DUMMYFUNCTION("""COMPUTED_VALUE"""),"8219")</f>
        <v>8219</v>
      </c>
      <c r="D445" s="6" t="str">
        <f>IFERROR(__xludf.DUMMYFUNCTION("""COMPUTED_VALUE"""),"Hazel")</f>
        <v>Hazel</v>
      </c>
      <c r="E445" s="6" t="str">
        <f>IFERROR(__xludf.DUMMYFUNCTION("""COMPUTED_VALUE"""),"")</f>
        <v/>
      </c>
      <c r="F445" s="6" t="str">
        <f>IFERROR(__xludf.DUMMYFUNCTION("""COMPUTED_VALUE"""),"Augustine")</f>
        <v>Augustine</v>
      </c>
      <c r="G445" s="6" t="str">
        <f>IFERROR(__xludf.DUMMYFUNCTION("""COMPUTED_VALUE"""),"09/25/2011")</f>
        <v>09/25/2011</v>
      </c>
      <c r="H445" s="6" t="str">
        <f>IFERROR(__xludf.DUMMYFUNCTION("""COMPUTED_VALUE"""),"male")</f>
        <v>male</v>
      </c>
      <c r="I445" s="6" t="str">
        <f>IFERROR(__xludf.DUMMYFUNCTION("""COMPUTED_VALUE"""),"Middle School")</f>
        <v>Middle School</v>
      </c>
      <c r="J445" s="6" t="str">
        <f>IFERROR(__xludf.DUMMYFUNCTION("""COMPUTED_VALUE"""),"8")</f>
        <v>8</v>
      </c>
      <c r="K445" s="6" t="str">
        <f>IFERROR(__xludf.DUMMYFUNCTION("""COMPUTED_VALUE"""),"hazel.augustine@2hourlearning.com")</f>
        <v>hazel.augustine@2hourlearning.com</v>
      </c>
      <c r="L445" s="6" t="str">
        <f>IFERROR(__xludf.DUMMYFUNCTION("""COMPUTED_VALUE"""),"Alpha Anywhere (homeschool)")</f>
        <v>Alpha Anywhere (homeschool)</v>
      </c>
      <c r="M445" s="6" t="str">
        <f>IFERROR(__xludf.DUMMYFUNCTION("""COMPUTED_VALUE"""),"")</f>
        <v/>
      </c>
      <c r="N445" s="6" t="str">
        <f>IFERROR(__xludf.DUMMYFUNCTION("""COMPUTED_VALUE"""),"")</f>
        <v/>
      </c>
      <c r="O445" s="87" t="str">
        <f>IFERROR(__xludf.DUMMYFUNCTION("""COMPUTED_VALUE"""),"https://drive.google.com/drive/folders/10T2cTQHqEJZqE-st6uFKPoI?usp=share_link")</f>
        <v>https://drive.google.com/drive/folders/10T2cTQHqEJZqE-st6uFKPoI?usp=share_link</v>
      </c>
      <c r="P445" s="6" t="str">
        <f>IFERROR(__xludf.DUMMYFUNCTION("""COMPUTED_VALUE"""),"Hazel Augustine")</f>
        <v>Hazel Augustine</v>
      </c>
      <c r="Q445" s="6" t="str">
        <f>IFERROR(__xludf.DUMMYFUNCTION("""COMPUTED_VALUE"""),"MS")</f>
        <v>MS</v>
      </c>
      <c r="R445" s="6">
        <f>IFERROR(__xludf.DUMMYFUNCTION("""COMPUTED_VALUE"""),0.0)</f>
        <v>0</v>
      </c>
      <c r="S445" s="6" t="str">
        <f>IFERROR(__xludf.DUMMYFUNCTION("""COMPUTED_VALUE""")," ")</f>
        <v> </v>
      </c>
      <c r="T445" s="6" t="str">
        <f>IFERROR(__xludf.DUMMYFUNCTION("""COMPUTED_VALUE"""),"")</f>
        <v/>
      </c>
      <c r="U445" s="6" t="str">
        <f>IFERROR(__xludf.DUMMYFUNCTION("""COMPUTED_VALUE"""),"8")</f>
        <v>8</v>
      </c>
      <c r="V445" s="6" t="str">
        <f>IFERROR(__xludf.DUMMYFUNCTION("""COMPUTED_VALUE"""),"")</f>
        <v/>
      </c>
      <c r="W445" s="6" t="str">
        <f>IFERROR(__xludf.DUMMYFUNCTION("""COMPUTED_VALUE"""),"[]")</f>
        <v>[]</v>
      </c>
      <c r="X445" s="6" t="str">
        <f>IFERROR(__xludf.DUMMYFUNCTION("""COMPUTED_VALUE"""),"Enrolled")</f>
        <v>Enrolled</v>
      </c>
    </row>
    <row r="446">
      <c r="A446" s="6" t="str">
        <f>IFERROR(__xludf.DUMMYFUNCTION("""COMPUTED_VALUE"""),"000-8220")</f>
        <v>000-8220</v>
      </c>
      <c r="B446" s="6" t="str">
        <f>IFERROR(__xludf.DUMMYFUNCTION("""COMPUTED_VALUE"""),"0")</f>
        <v>0</v>
      </c>
      <c r="C446" s="6" t="str">
        <f>IFERROR(__xludf.DUMMYFUNCTION("""COMPUTED_VALUE"""),"8220")</f>
        <v>8220</v>
      </c>
      <c r="D446" s="6" t="str">
        <f>IFERROR(__xludf.DUMMYFUNCTION("""COMPUTED_VALUE"""),"Iris")</f>
        <v>Iris</v>
      </c>
      <c r="E446" s="6" t="str">
        <f>IFERROR(__xludf.DUMMYFUNCTION("""COMPUTED_VALUE"""),"")</f>
        <v/>
      </c>
      <c r="F446" s="6" t="str">
        <f>IFERROR(__xludf.DUMMYFUNCTION("""COMPUTED_VALUE"""),"Augustine")</f>
        <v>Augustine</v>
      </c>
      <c r="G446" s="6" t="str">
        <f>IFERROR(__xludf.DUMMYFUNCTION("""COMPUTED_VALUE"""),"09/04/2016")</f>
        <v>09/04/2016</v>
      </c>
      <c r="H446" s="6" t="str">
        <f>IFERROR(__xludf.DUMMYFUNCTION("""COMPUTED_VALUE"""),"female")</f>
        <v>female</v>
      </c>
      <c r="I446" s="6" t="str">
        <f>IFERROR(__xludf.DUMMYFUNCTION("""COMPUTED_VALUE"""),"Level 1")</f>
        <v>Level 1</v>
      </c>
      <c r="J446" s="6" t="str">
        <f>IFERROR(__xludf.DUMMYFUNCTION("""COMPUTED_VALUE"""),"3")</f>
        <v>3</v>
      </c>
      <c r="K446" s="6" t="str">
        <f>IFERROR(__xludf.DUMMYFUNCTION("""COMPUTED_VALUE"""),"iris.augustine@2hourlearning.com")</f>
        <v>iris.augustine@2hourlearning.com</v>
      </c>
      <c r="L446" s="6" t="str">
        <f>IFERROR(__xludf.DUMMYFUNCTION("""COMPUTED_VALUE"""),"Alpha Anywhere (homeschool)")</f>
        <v>Alpha Anywhere (homeschool)</v>
      </c>
      <c r="M446" s="6" t="str">
        <f>IFERROR(__xludf.DUMMYFUNCTION("""COMPUTED_VALUE"""),"")</f>
        <v/>
      </c>
      <c r="N446" s="6" t="str">
        <f>IFERROR(__xludf.DUMMYFUNCTION("""COMPUTED_VALUE"""),"")</f>
        <v/>
      </c>
      <c r="O446" s="87" t="str">
        <f>IFERROR(__xludf.DUMMYFUNCTION("""COMPUTED_VALUE"""),"https://drive.google.com/drive/folders/10T2cTQHqEJZqE-st6uFKPoI?usp=share_link")</f>
        <v>https://drive.google.com/drive/folders/10T2cTQHqEJZqE-st6uFKPoI?usp=share_link</v>
      </c>
      <c r="P446" s="6" t="str">
        <f>IFERROR(__xludf.DUMMYFUNCTION("""COMPUTED_VALUE"""),"Iris Augustine")</f>
        <v>Iris Augustine</v>
      </c>
      <c r="Q446" s="6" t="str">
        <f>IFERROR(__xludf.DUMMYFUNCTION("""COMPUTED_VALUE"""),"L1")</f>
        <v>L1</v>
      </c>
      <c r="R446" s="6">
        <f>IFERROR(__xludf.DUMMYFUNCTION("""COMPUTED_VALUE"""),1.0)</f>
        <v>1</v>
      </c>
      <c r="S446" s="6" t="str">
        <f>IFERROR(__xludf.DUMMYFUNCTION("""COMPUTED_VALUE""")," ")</f>
        <v> </v>
      </c>
      <c r="T446" s="6" t="str">
        <f>IFERROR(__xludf.DUMMYFUNCTION("""COMPUTED_VALUE"""),"")</f>
        <v/>
      </c>
      <c r="U446" s="6" t="str">
        <f>IFERROR(__xludf.DUMMYFUNCTION("""COMPUTED_VALUE"""),"3")</f>
        <v>3</v>
      </c>
      <c r="V446" s="6" t="str">
        <f>IFERROR(__xludf.DUMMYFUNCTION("""COMPUTED_VALUE"""),"")</f>
        <v/>
      </c>
      <c r="W446" s="6" t="str">
        <f>IFERROR(__xludf.DUMMYFUNCTION("""COMPUTED_VALUE"""),"[]")</f>
        <v>[]</v>
      </c>
      <c r="X446" s="6" t="str">
        <f>IFERROR(__xludf.DUMMYFUNCTION("""COMPUTED_VALUE"""),"Enrolled")</f>
        <v>Enrolled</v>
      </c>
    </row>
    <row r="447">
      <c r="A447" s="6" t="str">
        <f>IFERROR(__xludf.DUMMYFUNCTION("""COMPUTED_VALUE"""),"000-8221")</f>
        <v>000-8221</v>
      </c>
      <c r="B447" s="6" t="str">
        <f>IFERROR(__xludf.DUMMYFUNCTION("""COMPUTED_VALUE"""),"0")</f>
        <v>0</v>
      </c>
      <c r="C447" s="6" t="str">
        <f>IFERROR(__xludf.DUMMYFUNCTION("""COMPUTED_VALUE"""),"8221")</f>
        <v>8221</v>
      </c>
      <c r="D447" s="6" t="str">
        <f>IFERROR(__xludf.DUMMYFUNCTION("""COMPUTED_VALUE"""),"Cameron")</f>
        <v>Cameron</v>
      </c>
      <c r="E447" s="6" t="str">
        <f>IFERROR(__xludf.DUMMYFUNCTION("""COMPUTED_VALUE"""),"")</f>
        <v/>
      </c>
      <c r="F447" s="6" t="str">
        <f>IFERROR(__xludf.DUMMYFUNCTION("""COMPUTED_VALUE"""),"Ellison")</f>
        <v>Ellison</v>
      </c>
      <c r="G447" s="6" t="str">
        <f>IFERROR(__xludf.DUMMYFUNCTION("""COMPUTED_VALUE"""),"09/29/2011")</f>
        <v>09/29/2011</v>
      </c>
      <c r="H447" s="6" t="str">
        <f>IFERROR(__xludf.DUMMYFUNCTION("""COMPUTED_VALUE"""),"male")</f>
        <v>male</v>
      </c>
      <c r="I447" s="6" t="str">
        <f>IFERROR(__xludf.DUMMYFUNCTION("""COMPUTED_VALUE"""),"Middle School")</f>
        <v>Middle School</v>
      </c>
      <c r="J447" s="6" t="str">
        <f>IFERROR(__xludf.DUMMYFUNCTION("""COMPUTED_VALUE"""),"8")</f>
        <v>8</v>
      </c>
      <c r="K447" s="6" t="str">
        <f>IFERROR(__xludf.DUMMYFUNCTION("""COMPUTED_VALUE"""),"cameron.ellison@2hourlearning.com")</f>
        <v>cameron.ellison@2hourlearning.com</v>
      </c>
      <c r="L447" s="6" t="str">
        <f>IFERROR(__xludf.DUMMYFUNCTION("""COMPUTED_VALUE"""),"Alpha Anywhere (homeschool)")</f>
        <v>Alpha Anywhere (homeschool)</v>
      </c>
      <c r="M447" s="6" t="str">
        <f>IFERROR(__xludf.DUMMYFUNCTION("""COMPUTED_VALUE"""),"")</f>
        <v/>
      </c>
      <c r="N447" s="6" t="str">
        <f>IFERROR(__xludf.DUMMYFUNCTION("""COMPUTED_VALUE"""),"")</f>
        <v/>
      </c>
      <c r="O447" s="87" t="str">
        <f>IFERROR(__xludf.DUMMYFUNCTION("""COMPUTED_VALUE"""),"https://drive.google.com/drive/folders/10T2cTQHqEJZqE-st6uFKPoI?usp=share_link")</f>
        <v>https://drive.google.com/drive/folders/10T2cTQHqEJZqE-st6uFKPoI?usp=share_link</v>
      </c>
      <c r="P447" s="6" t="str">
        <f>IFERROR(__xludf.DUMMYFUNCTION("""COMPUTED_VALUE"""),"Cameron Ellison")</f>
        <v>Cameron Ellison</v>
      </c>
      <c r="Q447" s="6" t="str">
        <f>IFERROR(__xludf.DUMMYFUNCTION("""COMPUTED_VALUE"""),"MS")</f>
        <v>MS</v>
      </c>
      <c r="R447" s="6">
        <f>IFERROR(__xludf.DUMMYFUNCTION("""COMPUTED_VALUE"""),0.0)</f>
        <v>0</v>
      </c>
      <c r="S447" s="6" t="str">
        <f>IFERROR(__xludf.DUMMYFUNCTION("""COMPUTED_VALUE""")," ")</f>
        <v> </v>
      </c>
      <c r="T447" s="6" t="str">
        <f>IFERROR(__xludf.DUMMYFUNCTION("""COMPUTED_VALUE"""),"")</f>
        <v/>
      </c>
      <c r="U447" s="6" t="str">
        <f>IFERROR(__xludf.DUMMYFUNCTION("""COMPUTED_VALUE"""),"8")</f>
        <v>8</v>
      </c>
      <c r="V447" s="6" t="str">
        <f>IFERROR(__xludf.DUMMYFUNCTION("""COMPUTED_VALUE"""),"")</f>
        <v/>
      </c>
      <c r="W447" s="6" t="str">
        <f>IFERROR(__xludf.DUMMYFUNCTION("""COMPUTED_VALUE"""),"[]")</f>
        <v>[]</v>
      </c>
      <c r="X447" s="6" t="str">
        <f>IFERROR(__xludf.DUMMYFUNCTION("""COMPUTED_VALUE"""),"Enrolled")</f>
        <v>Enrolled</v>
      </c>
    </row>
    <row r="448">
      <c r="A448" s="6" t="str">
        <f>IFERROR(__xludf.DUMMYFUNCTION("""COMPUTED_VALUE"""),"000-8222")</f>
        <v>000-8222</v>
      </c>
      <c r="B448" s="6" t="str">
        <f>IFERROR(__xludf.DUMMYFUNCTION("""COMPUTED_VALUE"""),"0")</f>
        <v>0</v>
      </c>
      <c r="C448" s="6" t="str">
        <f>IFERROR(__xludf.DUMMYFUNCTION("""COMPUTED_VALUE"""),"8222")</f>
        <v>8222</v>
      </c>
      <c r="D448" s="6" t="str">
        <f>IFERROR(__xludf.DUMMYFUNCTION("""COMPUTED_VALUE"""),"Landon")</f>
        <v>Landon</v>
      </c>
      <c r="E448" s="6" t="str">
        <f>IFERROR(__xludf.DUMMYFUNCTION("""COMPUTED_VALUE"""),"")</f>
        <v/>
      </c>
      <c r="F448" s="6" t="str">
        <f>IFERROR(__xludf.DUMMYFUNCTION("""COMPUTED_VALUE"""),"Ellison")</f>
        <v>Ellison</v>
      </c>
      <c r="G448" s="6" t="str">
        <f>IFERROR(__xludf.DUMMYFUNCTION("""COMPUTED_VALUE"""),"03/16/2014")</f>
        <v>03/16/2014</v>
      </c>
      <c r="H448" s="6" t="str">
        <f>IFERROR(__xludf.DUMMYFUNCTION("""COMPUTED_VALUE"""),"male")</f>
        <v>male</v>
      </c>
      <c r="I448" s="6" t="str">
        <f>IFERROR(__xludf.DUMMYFUNCTION("""COMPUTED_VALUE"""),"Middle School")</f>
        <v>Middle School</v>
      </c>
      <c r="J448" s="6" t="str">
        <f>IFERROR(__xludf.DUMMYFUNCTION("""COMPUTED_VALUE"""),"6")</f>
        <v>6</v>
      </c>
      <c r="K448" s="6" t="str">
        <f>IFERROR(__xludf.DUMMYFUNCTION("""COMPUTED_VALUE"""),"landon.ellison@2hourlearning.com")</f>
        <v>landon.ellison@2hourlearning.com</v>
      </c>
      <c r="L448" s="6" t="str">
        <f>IFERROR(__xludf.DUMMYFUNCTION("""COMPUTED_VALUE"""),"Alpha Anywhere (homeschool)")</f>
        <v>Alpha Anywhere (homeschool)</v>
      </c>
      <c r="M448" s="6" t="str">
        <f>IFERROR(__xludf.DUMMYFUNCTION("""COMPUTED_VALUE"""),"")</f>
        <v/>
      </c>
      <c r="N448" s="6" t="str">
        <f>IFERROR(__xludf.DUMMYFUNCTION("""COMPUTED_VALUE"""),"")</f>
        <v/>
      </c>
      <c r="O448" s="87" t="str">
        <f>IFERROR(__xludf.DUMMYFUNCTION("""COMPUTED_VALUE"""),"https://drive.google.com/drive/folders/10T2cTQHqEJZqE-st6uFKPoI?usp=share_link")</f>
        <v>https://drive.google.com/drive/folders/10T2cTQHqEJZqE-st6uFKPoI?usp=share_link</v>
      </c>
      <c r="P448" s="6" t="str">
        <f>IFERROR(__xludf.DUMMYFUNCTION("""COMPUTED_VALUE"""),"Landon Ellison")</f>
        <v>Landon Ellison</v>
      </c>
      <c r="Q448" s="6" t="str">
        <f>IFERROR(__xludf.DUMMYFUNCTION("""COMPUTED_VALUE"""),"MS")</f>
        <v>MS</v>
      </c>
      <c r="R448" s="6">
        <f>IFERROR(__xludf.DUMMYFUNCTION("""COMPUTED_VALUE"""),0.0)</f>
        <v>0</v>
      </c>
      <c r="S448" s="6" t="str">
        <f>IFERROR(__xludf.DUMMYFUNCTION("""COMPUTED_VALUE""")," ")</f>
        <v> </v>
      </c>
      <c r="T448" s="6" t="str">
        <f>IFERROR(__xludf.DUMMYFUNCTION("""COMPUTED_VALUE"""),"")</f>
        <v/>
      </c>
      <c r="U448" s="6" t="str">
        <f>IFERROR(__xludf.DUMMYFUNCTION("""COMPUTED_VALUE"""),"6")</f>
        <v>6</v>
      </c>
      <c r="V448" s="6" t="str">
        <f>IFERROR(__xludf.DUMMYFUNCTION("""COMPUTED_VALUE"""),"")</f>
        <v/>
      </c>
      <c r="W448" s="6" t="str">
        <f>IFERROR(__xludf.DUMMYFUNCTION("""COMPUTED_VALUE"""),"[]")</f>
        <v>[]</v>
      </c>
      <c r="X448" s="6" t="str">
        <f>IFERROR(__xludf.DUMMYFUNCTION("""COMPUTED_VALUE"""),"Enrolled")</f>
        <v>Enrolled</v>
      </c>
    </row>
    <row r="449">
      <c r="A449" s="6" t="str">
        <f>IFERROR(__xludf.DUMMYFUNCTION("""COMPUTED_VALUE"""),"000-8223")</f>
        <v>000-8223</v>
      </c>
      <c r="B449" s="6" t="str">
        <f>IFERROR(__xludf.DUMMYFUNCTION("""COMPUTED_VALUE"""),"0")</f>
        <v>0</v>
      </c>
      <c r="C449" s="6" t="str">
        <f>IFERROR(__xludf.DUMMYFUNCTION("""COMPUTED_VALUE"""),"8223")</f>
        <v>8223</v>
      </c>
      <c r="D449" s="6" t="str">
        <f>IFERROR(__xludf.DUMMYFUNCTION("""COMPUTED_VALUE"""),"Jay")</f>
        <v>Jay</v>
      </c>
      <c r="E449" s="6" t="str">
        <f>IFERROR(__xludf.DUMMYFUNCTION("""COMPUTED_VALUE"""),"")</f>
        <v/>
      </c>
      <c r="F449" s="6" t="str">
        <f>IFERROR(__xludf.DUMMYFUNCTION("""COMPUTED_VALUE"""),"Wood")</f>
        <v>Wood</v>
      </c>
      <c r="G449" s="6" t="str">
        <f>IFERROR(__xludf.DUMMYFUNCTION("""COMPUTED_VALUE"""),"04/30/2012")</f>
        <v>04/30/2012</v>
      </c>
      <c r="H449" s="6" t="str">
        <f>IFERROR(__xludf.DUMMYFUNCTION("""COMPUTED_VALUE"""),"male")</f>
        <v>male</v>
      </c>
      <c r="I449" s="6" t="str">
        <f>IFERROR(__xludf.DUMMYFUNCTION("""COMPUTED_VALUE"""),"Middle School")</f>
        <v>Middle School</v>
      </c>
      <c r="J449" s="6" t="str">
        <f>IFERROR(__xludf.DUMMYFUNCTION("""COMPUTED_VALUE"""),"8")</f>
        <v>8</v>
      </c>
      <c r="K449" s="6" t="str">
        <f>IFERROR(__xludf.DUMMYFUNCTION("""COMPUTED_VALUE"""),"jay.wood@2hourlearning.com")</f>
        <v>jay.wood@2hourlearning.com</v>
      </c>
      <c r="L449" s="6" t="str">
        <f>IFERROR(__xludf.DUMMYFUNCTION("""COMPUTED_VALUE"""),"Alpha Anywhere (homeschool)")</f>
        <v>Alpha Anywhere (homeschool)</v>
      </c>
      <c r="M449" s="6" t="str">
        <f>IFERROR(__xludf.DUMMYFUNCTION("""COMPUTED_VALUE"""),"")</f>
        <v/>
      </c>
      <c r="N449" s="6" t="str">
        <f>IFERROR(__xludf.DUMMYFUNCTION("""COMPUTED_VALUE"""),"")</f>
        <v/>
      </c>
      <c r="O449" s="87" t="str">
        <f>IFERROR(__xludf.DUMMYFUNCTION("""COMPUTED_VALUE"""),"https://drive.google.com/drive/folders/10T2cTQHqEJZqE-st6uFKPoI?usp=share_link")</f>
        <v>https://drive.google.com/drive/folders/10T2cTQHqEJZqE-st6uFKPoI?usp=share_link</v>
      </c>
      <c r="P449" s="6" t="str">
        <f>IFERROR(__xludf.DUMMYFUNCTION("""COMPUTED_VALUE"""),"Jay Wood")</f>
        <v>Jay Wood</v>
      </c>
      <c r="Q449" s="6" t="str">
        <f>IFERROR(__xludf.DUMMYFUNCTION("""COMPUTED_VALUE"""),"MS")</f>
        <v>MS</v>
      </c>
      <c r="R449" s="6">
        <f>IFERROR(__xludf.DUMMYFUNCTION("""COMPUTED_VALUE"""),0.0)</f>
        <v>0</v>
      </c>
      <c r="S449" s="6" t="str">
        <f>IFERROR(__xludf.DUMMYFUNCTION("""COMPUTED_VALUE""")," ")</f>
        <v> </v>
      </c>
      <c r="T449" s="6" t="str">
        <f>IFERROR(__xludf.DUMMYFUNCTION("""COMPUTED_VALUE"""),"")</f>
        <v/>
      </c>
      <c r="U449" s="6" t="str">
        <f>IFERROR(__xludf.DUMMYFUNCTION("""COMPUTED_VALUE"""),"8")</f>
        <v>8</v>
      </c>
      <c r="V449" s="6" t="str">
        <f>IFERROR(__xludf.DUMMYFUNCTION("""COMPUTED_VALUE"""),"")</f>
        <v/>
      </c>
      <c r="W449" s="6" t="str">
        <f>IFERROR(__xludf.DUMMYFUNCTION("""COMPUTED_VALUE"""),"[]")</f>
        <v>[]</v>
      </c>
      <c r="X449" s="6" t="str">
        <f>IFERROR(__xludf.DUMMYFUNCTION("""COMPUTED_VALUE"""),"Enrolled")</f>
        <v>Enrolled</v>
      </c>
    </row>
    <row r="450">
      <c r="A450" s="6" t="str">
        <f>IFERROR(__xludf.DUMMYFUNCTION("""COMPUTED_VALUE"""),"000-8227")</f>
        <v>000-8227</v>
      </c>
      <c r="B450" s="6" t="str">
        <f>IFERROR(__xludf.DUMMYFUNCTION("""COMPUTED_VALUE"""),"0")</f>
        <v>0</v>
      </c>
      <c r="C450" s="6" t="str">
        <f>IFERROR(__xludf.DUMMYFUNCTION("""COMPUTED_VALUE"""),"8227")</f>
        <v>8227</v>
      </c>
      <c r="D450" s="6" t="str">
        <f>IFERROR(__xludf.DUMMYFUNCTION("""COMPUTED_VALUE"""),"Cole")</f>
        <v>Cole</v>
      </c>
      <c r="E450" s="6" t="str">
        <f>IFERROR(__xludf.DUMMYFUNCTION("""COMPUTED_VALUE"""),"")</f>
        <v/>
      </c>
      <c r="F450" s="6" t="str">
        <f>IFERROR(__xludf.DUMMYFUNCTION("""COMPUTED_VALUE"""),"Tress")</f>
        <v>Tress</v>
      </c>
      <c r="G450" s="6" t="str">
        <f>IFERROR(__xludf.DUMMYFUNCTION("""COMPUTED_VALUE"""),"06/21/2013")</f>
        <v>06/21/2013</v>
      </c>
      <c r="H450" s="6" t="str">
        <f>IFERROR(__xludf.DUMMYFUNCTION("""COMPUTED_VALUE"""),"male")</f>
        <v>male</v>
      </c>
      <c r="I450" s="6" t="str">
        <f>IFERROR(__xludf.DUMMYFUNCTION("""COMPUTED_VALUE"""),"Middle School")</f>
        <v>Middle School</v>
      </c>
      <c r="J450" s="6" t="str">
        <f>IFERROR(__xludf.DUMMYFUNCTION("""COMPUTED_VALUE"""),"6")</f>
        <v>6</v>
      </c>
      <c r="K450" s="6" t="str">
        <f>IFERROR(__xludf.DUMMYFUNCTION("""COMPUTED_VALUE"""),"cole.tress@2hourlearning.com")</f>
        <v>cole.tress@2hourlearning.com</v>
      </c>
      <c r="L450" s="6" t="str">
        <f>IFERROR(__xludf.DUMMYFUNCTION("""COMPUTED_VALUE"""),"Alpha Anywhere (homeschool)")</f>
        <v>Alpha Anywhere (homeschool)</v>
      </c>
      <c r="M450" s="6" t="str">
        <f>IFERROR(__xludf.DUMMYFUNCTION("""COMPUTED_VALUE"""),"")</f>
        <v/>
      </c>
      <c r="N450" s="6" t="str">
        <f>IFERROR(__xludf.DUMMYFUNCTION("""COMPUTED_VALUE"""),"")</f>
        <v/>
      </c>
      <c r="O450" s="87" t="str">
        <f>IFERROR(__xludf.DUMMYFUNCTION("""COMPUTED_VALUE"""),"https://drive.google.com/drive/folders/10T2cTQHqEJZqE-st6uFKPoI?usp=share_link")</f>
        <v>https://drive.google.com/drive/folders/10T2cTQHqEJZqE-st6uFKPoI?usp=share_link</v>
      </c>
      <c r="P450" s="6" t="str">
        <f>IFERROR(__xludf.DUMMYFUNCTION("""COMPUTED_VALUE"""),"Cole Tress")</f>
        <v>Cole Tress</v>
      </c>
      <c r="Q450" s="6" t="str">
        <f>IFERROR(__xludf.DUMMYFUNCTION("""COMPUTED_VALUE"""),"MS")</f>
        <v>MS</v>
      </c>
      <c r="R450" s="6">
        <f>IFERROR(__xludf.DUMMYFUNCTION("""COMPUTED_VALUE"""),0.0)</f>
        <v>0</v>
      </c>
      <c r="S450" s="6" t="str">
        <f>IFERROR(__xludf.DUMMYFUNCTION("""COMPUTED_VALUE""")," ")</f>
        <v> </v>
      </c>
      <c r="T450" s="6" t="str">
        <f>IFERROR(__xludf.DUMMYFUNCTION("""COMPUTED_VALUE"""),"")</f>
        <v/>
      </c>
      <c r="U450" s="6" t="str">
        <f>IFERROR(__xludf.DUMMYFUNCTION("""COMPUTED_VALUE"""),"6")</f>
        <v>6</v>
      </c>
      <c r="V450" s="6" t="str">
        <f>IFERROR(__xludf.DUMMYFUNCTION("""COMPUTED_VALUE"""),"")</f>
        <v/>
      </c>
      <c r="W450" s="6" t="str">
        <f>IFERROR(__xludf.DUMMYFUNCTION("""COMPUTED_VALUE"""),"[]")</f>
        <v>[]</v>
      </c>
      <c r="X450" s="6" t="str">
        <f>IFERROR(__xludf.DUMMYFUNCTION("""COMPUTED_VALUE"""),"Enrolled")</f>
        <v>Enrolled</v>
      </c>
    </row>
    <row r="451">
      <c r="A451" s="6" t="str">
        <f>IFERROR(__xludf.DUMMYFUNCTION("""COMPUTED_VALUE"""),"000-8228")</f>
        <v>000-8228</v>
      </c>
      <c r="B451" s="6" t="str">
        <f>IFERROR(__xludf.DUMMYFUNCTION("""COMPUTED_VALUE"""),"0")</f>
        <v>0</v>
      </c>
      <c r="C451" s="6" t="str">
        <f>IFERROR(__xludf.DUMMYFUNCTION("""COMPUTED_VALUE"""),"8228")</f>
        <v>8228</v>
      </c>
      <c r="D451" s="6" t="str">
        <f>IFERROR(__xludf.DUMMYFUNCTION("""COMPUTED_VALUE"""),"Maria")</f>
        <v>Maria</v>
      </c>
      <c r="E451" s="6" t="str">
        <f>IFERROR(__xludf.DUMMYFUNCTION("""COMPUTED_VALUE"""),"")</f>
        <v/>
      </c>
      <c r="F451" s="6" t="str">
        <f>IFERROR(__xludf.DUMMYFUNCTION("""COMPUTED_VALUE"""),"Pereira")</f>
        <v>Pereira</v>
      </c>
      <c r="G451" s="6" t="str">
        <f>IFERROR(__xludf.DUMMYFUNCTION("""COMPUTED_VALUE"""),"09/08/2014")</f>
        <v>09/08/2014</v>
      </c>
      <c r="H451" s="6" t="str">
        <f>IFERROR(__xludf.DUMMYFUNCTION("""COMPUTED_VALUE"""),"female")</f>
        <v>female</v>
      </c>
      <c r="I451" s="6" t="str">
        <f>IFERROR(__xludf.DUMMYFUNCTION("""COMPUTED_VALUE"""),"Middle School")</f>
        <v>Middle School</v>
      </c>
      <c r="J451" s="6" t="str">
        <f>IFERROR(__xludf.DUMMYFUNCTION("""COMPUTED_VALUE"""),"6")</f>
        <v>6</v>
      </c>
      <c r="K451" s="6" t="str">
        <f>IFERROR(__xludf.DUMMYFUNCTION("""COMPUTED_VALUE"""),"maria.pereira@2hourlearning.com")</f>
        <v>maria.pereira@2hourlearning.com</v>
      </c>
      <c r="L451" s="6" t="str">
        <f>IFERROR(__xludf.DUMMYFUNCTION("""COMPUTED_VALUE"""),"Alpha Anywhere (homeschool)")</f>
        <v>Alpha Anywhere (homeschool)</v>
      </c>
      <c r="M451" s="6" t="str">
        <f>IFERROR(__xludf.DUMMYFUNCTION("""COMPUTED_VALUE"""),"")</f>
        <v/>
      </c>
      <c r="N451" s="6" t="str">
        <f>IFERROR(__xludf.DUMMYFUNCTION("""COMPUTED_VALUE"""),"")</f>
        <v/>
      </c>
      <c r="O451" s="87" t="str">
        <f>IFERROR(__xludf.DUMMYFUNCTION("""COMPUTED_VALUE"""),"https://drive.google.com/drive/folders/10T2cTQHqEJZqE-st6uFKPoI?usp=share_link")</f>
        <v>https://drive.google.com/drive/folders/10T2cTQHqEJZqE-st6uFKPoI?usp=share_link</v>
      </c>
      <c r="P451" s="6" t="str">
        <f>IFERROR(__xludf.DUMMYFUNCTION("""COMPUTED_VALUE"""),"Maria Pereira")</f>
        <v>Maria Pereira</v>
      </c>
      <c r="Q451" s="6" t="str">
        <f>IFERROR(__xludf.DUMMYFUNCTION("""COMPUTED_VALUE"""),"MS")</f>
        <v>MS</v>
      </c>
      <c r="R451" s="6">
        <f>IFERROR(__xludf.DUMMYFUNCTION("""COMPUTED_VALUE"""),0.0)</f>
        <v>0</v>
      </c>
      <c r="S451" s="6" t="str">
        <f>IFERROR(__xludf.DUMMYFUNCTION("""COMPUTED_VALUE""")," ")</f>
        <v> </v>
      </c>
      <c r="T451" s="6" t="str">
        <f>IFERROR(__xludf.DUMMYFUNCTION("""COMPUTED_VALUE"""),"")</f>
        <v/>
      </c>
      <c r="U451" s="6" t="str">
        <f>IFERROR(__xludf.DUMMYFUNCTION("""COMPUTED_VALUE"""),"6")</f>
        <v>6</v>
      </c>
      <c r="V451" s="6" t="str">
        <f>IFERROR(__xludf.DUMMYFUNCTION("""COMPUTED_VALUE"""),"")</f>
        <v/>
      </c>
      <c r="W451" s="6" t="str">
        <f>IFERROR(__xludf.DUMMYFUNCTION("""COMPUTED_VALUE"""),"[]")</f>
        <v>[]</v>
      </c>
      <c r="X451" s="6" t="str">
        <f>IFERROR(__xludf.DUMMYFUNCTION("""COMPUTED_VALUE"""),"Enrolled")</f>
        <v>Enrolled</v>
      </c>
    </row>
    <row r="452">
      <c r="A452" s="6" t="str">
        <f>IFERROR(__xludf.DUMMYFUNCTION("""COMPUTED_VALUE"""),"000-8229")</f>
        <v>000-8229</v>
      </c>
      <c r="B452" s="6" t="str">
        <f>IFERROR(__xludf.DUMMYFUNCTION("""COMPUTED_VALUE"""),"0")</f>
        <v>0</v>
      </c>
      <c r="C452" s="6" t="str">
        <f>IFERROR(__xludf.DUMMYFUNCTION("""COMPUTED_VALUE"""),"8229")</f>
        <v>8229</v>
      </c>
      <c r="D452" s="6" t="str">
        <f>IFERROR(__xludf.DUMMYFUNCTION("""COMPUTED_VALUE"""),"Emma")</f>
        <v>Emma</v>
      </c>
      <c r="E452" s="6" t="str">
        <f>IFERROR(__xludf.DUMMYFUNCTION("""COMPUTED_VALUE"""),"")</f>
        <v/>
      </c>
      <c r="F452" s="6" t="str">
        <f>IFERROR(__xludf.DUMMYFUNCTION("""COMPUTED_VALUE"""),"Filip")</f>
        <v>Filip</v>
      </c>
      <c r="G452" s="6" t="str">
        <f>IFERROR(__xludf.DUMMYFUNCTION("""COMPUTED_VALUE"""),"07/29/2017")</f>
        <v>07/29/2017</v>
      </c>
      <c r="H452" s="6" t="str">
        <f>IFERROR(__xludf.DUMMYFUNCTION("""COMPUTED_VALUE"""),"female")</f>
        <v>female</v>
      </c>
      <c r="I452" s="6" t="str">
        <f>IFERROR(__xludf.DUMMYFUNCTION("""COMPUTED_VALUE"""),"Level 1")</f>
        <v>Level 1</v>
      </c>
      <c r="J452" s="6" t="str">
        <f>IFERROR(__xludf.DUMMYFUNCTION("""COMPUTED_VALUE"""),"3")</f>
        <v>3</v>
      </c>
      <c r="K452" s="6" t="str">
        <f>IFERROR(__xludf.DUMMYFUNCTION("""COMPUTED_VALUE"""),"emma.filip@2hourlearning.com")</f>
        <v>emma.filip@2hourlearning.com</v>
      </c>
      <c r="L452" s="6" t="str">
        <f>IFERROR(__xludf.DUMMYFUNCTION("""COMPUTED_VALUE"""),"Alpha Anywhere (homeschool)")</f>
        <v>Alpha Anywhere (homeschool)</v>
      </c>
      <c r="M452" s="6" t="str">
        <f>IFERROR(__xludf.DUMMYFUNCTION("""COMPUTED_VALUE"""),"")</f>
        <v/>
      </c>
      <c r="N452" s="6" t="str">
        <f>IFERROR(__xludf.DUMMYFUNCTION("""COMPUTED_VALUE"""),"")</f>
        <v/>
      </c>
      <c r="O452" s="87" t="str">
        <f>IFERROR(__xludf.DUMMYFUNCTION("""COMPUTED_VALUE"""),"https://drive.google.com/drive/folders/10T2cTQHqEJZqE-st6uFKPoI?usp=share_link")</f>
        <v>https://drive.google.com/drive/folders/10T2cTQHqEJZqE-st6uFKPoI?usp=share_link</v>
      </c>
      <c r="P452" s="6" t="str">
        <f>IFERROR(__xludf.DUMMYFUNCTION("""COMPUTED_VALUE"""),"Emma Filip")</f>
        <v>Emma Filip</v>
      </c>
      <c r="Q452" s="6" t="str">
        <f>IFERROR(__xludf.DUMMYFUNCTION("""COMPUTED_VALUE"""),"L1")</f>
        <v>L1</v>
      </c>
      <c r="R452" s="6">
        <f>IFERROR(__xludf.DUMMYFUNCTION("""COMPUTED_VALUE"""),1.0)</f>
        <v>1</v>
      </c>
      <c r="S452" s="6" t="str">
        <f>IFERROR(__xludf.DUMMYFUNCTION("""COMPUTED_VALUE""")," ")</f>
        <v> </v>
      </c>
      <c r="T452" s="6" t="str">
        <f>IFERROR(__xludf.DUMMYFUNCTION("""COMPUTED_VALUE"""),"")</f>
        <v/>
      </c>
      <c r="U452" s="6" t="str">
        <f>IFERROR(__xludf.DUMMYFUNCTION("""COMPUTED_VALUE"""),"3")</f>
        <v>3</v>
      </c>
      <c r="V452" s="6" t="str">
        <f>IFERROR(__xludf.DUMMYFUNCTION("""COMPUTED_VALUE"""),"")</f>
        <v/>
      </c>
      <c r="W452" s="6" t="str">
        <f>IFERROR(__xludf.DUMMYFUNCTION("""COMPUTED_VALUE"""),"[]")</f>
        <v>[]</v>
      </c>
      <c r="X452" s="6" t="str">
        <f>IFERROR(__xludf.DUMMYFUNCTION("""COMPUTED_VALUE"""),"Enrolled")</f>
        <v>Enrolled</v>
      </c>
    </row>
    <row r="453">
      <c r="A453" s="6" t="str">
        <f>IFERROR(__xludf.DUMMYFUNCTION("""COMPUTED_VALUE"""),"000-8240")</f>
        <v>000-8240</v>
      </c>
      <c r="B453" s="6" t="str">
        <f>IFERROR(__xludf.DUMMYFUNCTION("""COMPUTED_VALUE"""),"0")</f>
        <v>0</v>
      </c>
      <c r="C453" s="6" t="str">
        <f>IFERROR(__xludf.DUMMYFUNCTION("""COMPUTED_VALUE"""),"8240")</f>
        <v>8240</v>
      </c>
      <c r="D453" s="6" t="str">
        <f>IFERROR(__xludf.DUMMYFUNCTION("""COMPUTED_VALUE"""),"Edina")</f>
        <v>Edina</v>
      </c>
      <c r="E453" s="6" t="str">
        <f>IFERROR(__xludf.DUMMYFUNCTION("""COMPUTED_VALUE"""),"")</f>
        <v/>
      </c>
      <c r="F453" s="6" t="str">
        <f>IFERROR(__xludf.DUMMYFUNCTION("""COMPUTED_VALUE"""),"Torres")</f>
        <v>Torres</v>
      </c>
      <c r="G453" s="6" t="str">
        <f>IFERROR(__xludf.DUMMYFUNCTION("""COMPUTED_VALUE"""),"09/11/2016")</f>
        <v>09/11/2016</v>
      </c>
      <c r="H453" s="6" t="str">
        <f>IFERROR(__xludf.DUMMYFUNCTION("""COMPUTED_VALUE"""),"female")</f>
        <v>female</v>
      </c>
      <c r="I453" s="6" t="str">
        <f>IFERROR(__xludf.DUMMYFUNCTION("""COMPUTED_VALUE"""),"Level 2")</f>
        <v>Level 2</v>
      </c>
      <c r="J453" s="6" t="str">
        <f>IFERROR(__xludf.DUMMYFUNCTION("""COMPUTED_VALUE"""),"4")</f>
        <v>4</v>
      </c>
      <c r="K453" s="6" t="str">
        <f>IFERROR(__xludf.DUMMYFUNCTION("""COMPUTED_VALUE"""),"edina.c.torres@2hourlearning.com")</f>
        <v>edina.c.torres@2hourlearning.com</v>
      </c>
      <c r="L453" s="6" t="str">
        <f>IFERROR(__xludf.DUMMYFUNCTION("""COMPUTED_VALUE"""),"Alpha Anywhere (homeschool)")</f>
        <v>Alpha Anywhere (homeschool)</v>
      </c>
      <c r="M453" s="6" t="str">
        <f>IFERROR(__xludf.DUMMYFUNCTION("""COMPUTED_VALUE"""),"")</f>
        <v/>
      </c>
      <c r="N453" s="6" t="str">
        <f>IFERROR(__xludf.DUMMYFUNCTION("""COMPUTED_VALUE"""),"")</f>
        <v/>
      </c>
      <c r="O453" s="87" t="str">
        <f>IFERROR(__xludf.DUMMYFUNCTION("""COMPUTED_VALUE"""),"https://drive.google.com/drive/folders/10T2cTQHqEJZqE-st6uFKPoI?usp=share_link")</f>
        <v>https://drive.google.com/drive/folders/10T2cTQHqEJZqE-st6uFKPoI?usp=share_link</v>
      </c>
      <c r="P453" s="6" t="str">
        <f>IFERROR(__xludf.DUMMYFUNCTION("""COMPUTED_VALUE"""),"Edina Torres")</f>
        <v>Edina Torres</v>
      </c>
      <c r="Q453" s="6" t="str">
        <f>IFERROR(__xludf.DUMMYFUNCTION("""COMPUTED_VALUE"""),"L2")</f>
        <v>L2</v>
      </c>
      <c r="R453" s="6">
        <f>IFERROR(__xludf.DUMMYFUNCTION("""COMPUTED_VALUE"""),2.0)</f>
        <v>2</v>
      </c>
      <c r="S453" s="6" t="str">
        <f>IFERROR(__xludf.DUMMYFUNCTION("""COMPUTED_VALUE""")," ")</f>
        <v> </v>
      </c>
      <c r="T453" s="6" t="str">
        <f>IFERROR(__xludf.DUMMYFUNCTION("""COMPUTED_VALUE"""),"")</f>
        <v/>
      </c>
      <c r="U453" s="6" t="str">
        <f>IFERROR(__xludf.DUMMYFUNCTION("""COMPUTED_VALUE"""),"4")</f>
        <v>4</v>
      </c>
      <c r="V453" s="6" t="str">
        <f>IFERROR(__xludf.DUMMYFUNCTION("""COMPUTED_VALUE"""),"")</f>
        <v/>
      </c>
      <c r="W453" s="6" t="str">
        <f>IFERROR(__xludf.DUMMYFUNCTION("""COMPUTED_VALUE"""),"[]")</f>
        <v>[]</v>
      </c>
      <c r="X453" s="6" t="str">
        <f>IFERROR(__xludf.DUMMYFUNCTION("""COMPUTED_VALUE"""),"Enrolled")</f>
        <v>Enrolled</v>
      </c>
    </row>
    <row r="454">
      <c r="A454" s="6" t="str">
        <f>IFERROR(__xludf.DUMMYFUNCTION("""COMPUTED_VALUE"""),"000-8241")</f>
        <v>000-8241</v>
      </c>
      <c r="B454" s="6" t="str">
        <f>IFERROR(__xludf.DUMMYFUNCTION("""COMPUTED_VALUE"""),"0")</f>
        <v>0</v>
      </c>
      <c r="C454" s="6" t="str">
        <f>IFERROR(__xludf.DUMMYFUNCTION("""COMPUTED_VALUE"""),"8241")</f>
        <v>8241</v>
      </c>
      <c r="D454" s="6" t="str">
        <f>IFERROR(__xludf.DUMMYFUNCTION("""COMPUTED_VALUE"""),"Akiva")</f>
        <v>Akiva</v>
      </c>
      <c r="E454" s="6" t="str">
        <f>IFERROR(__xludf.DUMMYFUNCTION("""COMPUTED_VALUE"""),"")</f>
        <v/>
      </c>
      <c r="F454" s="6" t="str">
        <f>IFERROR(__xludf.DUMMYFUNCTION("""COMPUTED_VALUE"""),"MacGregor")</f>
        <v>MacGregor</v>
      </c>
      <c r="G454" s="6" t="str">
        <f>IFERROR(__xludf.DUMMYFUNCTION("""COMPUTED_VALUE"""),"06/21/2014")</f>
        <v>06/21/2014</v>
      </c>
      <c r="H454" s="6" t="str">
        <f>IFERROR(__xludf.DUMMYFUNCTION("""COMPUTED_VALUE"""),"male")</f>
        <v>male</v>
      </c>
      <c r="I454" s="6" t="str">
        <f>IFERROR(__xludf.DUMMYFUNCTION("""COMPUTED_VALUE"""),"Middle School")</f>
        <v>Middle School</v>
      </c>
      <c r="J454" s="6" t="str">
        <f>IFERROR(__xludf.DUMMYFUNCTION("""COMPUTED_VALUE"""),"6")</f>
        <v>6</v>
      </c>
      <c r="K454" s="6" t="str">
        <f>IFERROR(__xludf.DUMMYFUNCTION("""COMPUTED_VALUE"""),"akiva.macgregor@2hourlearning.com")</f>
        <v>akiva.macgregor@2hourlearning.com</v>
      </c>
      <c r="L454" s="6" t="str">
        <f>IFERROR(__xludf.DUMMYFUNCTION("""COMPUTED_VALUE"""),"Alpha Anywhere (homeschool)")</f>
        <v>Alpha Anywhere (homeschool)</v>
      </c>
      <c r="M454" s="6" t="str">
        <f>IFERROR(__xludf.DUMMYFUNCTION("""COMPUTED_VALUE"""),"")</f>
        <v/>
      </c>
      <c r="N454" s="6" t="str">
        <f>IFERROR(__xludf.DUMMYFUNCTION("""COMPUTED_VALUE"""),"")</f>
        <v/>
      </c>
      <c r="O454" s="87" t="str">
        <f>IFERROR(__xludf.DUMMYFUNCTION("""COMPUTED_VALUE"""),"https://drive.google.com/drive/folders/10T2cTQHqEJZqE-st6uFKPoI?usp=share_link")</f>
        <v>https://drive.google.com/drive/folders/10T2cTQHqEJZqE-st6uFKPoI?usp=share_link</v>
      </c>
      <c r="P454" s="6" t="str">
        <f>IFERROR(__xludf.DUMMYFUNCTION("""COMPUTED_VALUE"""),"Akiva MacGregor")</f>
        <v>Akiva MacGregor</v>
      </c>
      <c r="Q454" s="6" t="str">
        <f>IFERROR(__xludf.DUMMYFUNCTION("""COMPUTED_VALUE"""),"MS")</f>
        <v>MS</v>
      </c>
      <c r="R454" s="6">
        <f>IFERROR(__xludf.DUMMYFUNCTION("""COMPUTED_VALUE"""),0.0)</f>
        <v>0</v>
      </c>
      <c r="S454" s="6" t="str">
        <f>IFERROR(__xludf.DUMMYFUNCTION("""COMPUTED_VALUE""")," ")</f>
        <v> </v>
      </c>
      <c r="T454" s="6" t="str">
        <f>IFERROR(__xludf.DUMMYFUNCTION("""COMPUTED_VALUE"""),"")</f>
        <v/>
      </c>
      <c r="U454" s="6" t="str">
        <f>IFERROR(__xludf.DUMMYFUNCTION("""COMPUTED_VALUE"""),"6")</f>
        <v>6</v>
      </c>
      <c r="V454" s="6" t="str">
        <f>IFERROR(__xludf.DUMMYFUNCTION("""COMPUTED_VALUE"""),"")</f>
        <v/>
      </c>
      <c r="W454" s="6" t="str">
        <f>IFERROR(__xludf.DUMMYFUNCTION("""COMPUTED_VALUE"""),"[]")</f>
        <v>[]</v>
      </c>
      <c r="X454" s="6" t="str">
        <f>IFERROR(__xludf.DUMMYFUNCTION("""COMPUTED_VALUE"""),"Enrolled")</f>
        <v>Enrolled</v>
      </c>
    </row>
    <row r="455">
      <c r="A455" s="6" t="str">
        <f>IFERROR(__xludf.DUMMYFUNCTION("""COMPUTED_VALUE"""),"000-8242")</f>
        <v>000-8242</v>
      </c>
      <c r="B455" s="6" t="str">
        <f>IFERROR(__xludf.DUMMYFUNCTION("""COMPUTED_VALUE"""),"0")</f>
        <v>0</v>
      </c>
      <c r="C455" s="6" t="str">
        <f>IFERROR(__xludf.DUMMYFUNCTION("""COMPUTED_VALUE"""),"8242")</f>
        <v>8242</v>
      </c>
      <c r="D455" s="6" t="str">
        <f>IFERROR(__xludf.DUMMYFUNCTION("""COMPUTED_VALUE"""),"Asher")</f>
        <v>Asher</v>
      </c>
      <c r="E455" s="6" t="str">
        <f>IFERROR(__xludf.DUMMYFUNCTION("""COMPUTED_VALUE"""),"")</f>
        <v/>
      </c>
      <c r="F455" s="6" t="str">
        <f>IFERROR(__xludf.DUMMYFUNCTION("""COMPUTED_VALUE"""),"MacGregor")</f>
        <v>MacGregor</v>
      </c>
      <c r="G455" s="6" t="str">
        <f>IFERROR(__xludf.DUMMYFUNCTION("""COMPUTED_VALUE"""),"06/08/2016")</f>
        <v>06/08/2016</v>
      </c>
      <c r="H455" s="6" t="str">
        <f>IFERROR(__xludf.DUMMYFUNCTION("""COMPUTED_VALUE"""),"male")</f>
        <v>male</v>
      </c>
      <c r="I455" s="6" t="str">
        <f>IFERROR(__xludf.DUMMYFUNCTION("""COMPUTED_VALUE"""),"Level 2")</f>
        <v>Level 2</v>
      </c>
      <c r="J455" s="6" t="str">
        <f>IFERROR(__xludf.DUMMYFUNCTION("""COMPUTED_VALUE"""),"4")</f>
        <v>4</v>
      </c>
      <c r="K455" s="6" t="str">
        <f>IFERROR(__xludf.DUMMYFUNCTION("""COMPUTED_VALUE"""),"asher.macgregor@2hourlearning.com")</f>
        <v>asher.macgregor@2hourlearning.com</v>
      </c>
      <c r="L455" s="6" t="str">
        <f>IFERROR(__xludf.DUMMYFUNCTION("""COMPUTED_VALUE"""),"Alpha Anywhere (homeschool)")</f>
        <v>Alpha Anywhere (homeschool)</v>
      </c>
      <c r="M455" s="6" t="str">
        <f>IFERROR(__xludf.DUMMYFUNCTION("""COMPUTED_VALUE"""),"")</f>
        <v/>
      </c>
      <c r="N455" s="6" t="str">
        <f>IFERROR(__xludf.DUMMYFUNCTION("""COMPUTED_VALUE"""),"")</f>
        <v/>
      </c>
      <c r="O455" s="87" t="str">
        <f>IFERROR(__xludf.DUMMYFUNCTION("""COMPUTED_VALUE"""),"https://drive.google.com/drive/folders/10T2cTQHqEJZqE-st6uFKPoI?usp=share_link")</f>
        <v>https://drive.google.com/drive/folders/10T2cTQHqEJZqE-st6uFKPoI?usp=share_link</v>
      </c>
      <c r="P455" s="6" t="str">
        <f>IFERROR(__xludf.DUMMYFUNCTION("""COMPUTED_VALUE"""),"Asher MacGregor")</f>
        <v>Asher MacGregor</v>
      </c>
      <c r="Q455" s="6" t="str">
        <f>IFERROR(__xludf.DUMMYFUNCTION("""COMPUTED_VALUE"""),"L2")</f>
        <v>L2</v>
      </c>
      <c r="R455" s="6">
        <f>IFERROR(__xludf.DUMMYFUNCTION("""COMPUTED_VALUE"""),2.0)</f>
        <v>2</v>
      </c>
      <c r="S455" s="6" t="str">
        <f>IFERROR(__xludf.DUMMYFUNCTION("""COMPUTED_VALUE""")," ")</f>
        <v> </v>
      </c>
      <c r="T455" s="6" t="str">
        <f>IFERROR(__xludf.DUMMYFUNCTION("""COMPUTED_VALUE"""),"")</f>
        <v/>
      </c>
      <c r="U455" s="6" t="str">
        <f>IFERROR(__xludf.DUMMYFUNCTION("""COMPUTED_VALUE"""),"4")</f>
        <v>4</v>
      </c>
      <c r="V455" s="6" t="str">
        <f>IFERROR(__xludf.DUMMYFUNCTION("""COMPUTED_VALUE"""),"")</f>
        <v/>
      </c>
      <c r="W455" s="6" t="str">
        <f>IFERROR(__xludf.DUMMYFUNCTION("""COMPUTED_VALUE"""),"[]")</f>
        <v>[]</v>
      </c>
      <c r="X455" s="6" t="str">
        <f>IFERROR(__xludf.DUMMYFUNCTION("""COMPUTED_VALUE"""),"Enrolled")</f>
        <v>Enrolled</v>
      </c>
    </row>
    <row r="456">
      <c r="A456" s="6" t="str">
        <f>IFERROR(__xludf.DUMMYFUNCTION("""COMPUTED_VALUE"""),"000-8249")</f>
        <v>000-8249</v>
      </c>
      <c r="B456" s="6" t="str">
        <f>IFERROR(__xludf.DUMMYFUNCTION("""COMPUTED_VALUE"""),"0")</f>
        <v>0</v>
      </c>
      <c r="C456" s="6" t="str">
        <f>IFERROR(__xludf.DUMMYFUNCTION("""COMPUTED_VALUE"""),"8249")</f>
        <v>8249</v>
      </c>
      <c r="D456" s="6" t="str">
        <f>IFERROR(__xludf.DUMMYFUNCTION("""COMPUTED_VALUE"""),"Chloe")</f>
        <v>Chloe</v>
      </c>
      <c r="E456" s="6" t="str">
        <f>IFERROR(__xludf.DUMMYFUNCTION("""COMPUTED_VALUE"""),"")</f>
        <v/>
      </c>
      <c r="F456" s="6" t="str">
        <f>IFERROR(__xludf.DUMMYFUNCTION("""COMPUTED_VALUE"""),"Munichiello")</f>
        <v>Munichiello</v>
      </c>
      <c r="G456" s="6" t="str">
        <f>IFERROR(__xludf.DUMMYFUNCTION("""COMPUTED_VALUE"""),"03/25/2017")</f>
        <v>03/25/2017</v>
      </c>
      <c r="H456" s="6" t="str">
        <f>IFERROR(__xludf.DUMMYFUNCTION("""COMPUTED_VALUE"""),"female")</f>
        <v>female</v>
      </c>
      <c r="I456" s="6" t="str">
        <f>IFERROR(__xludf.DUMMYFUNCTION("""COMPUTED_VALUE"""),"Level 1")</f>
        <v>Level 1</v>
      </c>
      <c r="J456" s="6" t="str">
        <f>IFERROR(__xludf.DUMMYFUNCTION("""COMPUTED_VALUE"""),"3")</f>
        <v>3</v>
      </c>
      <c r="K456" s="6" t="str">
        <f>IFERROR(__xludf.DUMMYFUNCTION("""COMPUTED_VALUE"""),"chloe.munichiello@2hourlearning.com")</f>
        <v>chloe.munichiello@2hourlearning.com</v>
      </c>
      <c r="L456" s="6" t="str">
        <f>IFERROR(__xludf.DUMMYFUNCTION("""COMPUTED_VALUE"""),"Alpha Anywhere (homeschool)")</f>
        <v>Alpha Anywhere (homeschool)</v>
      </c>
      <c r="M456" s="6" t="str">
        <f>IFERROR(__xludf.DUMMYFUNCTION("""COMPUTED_VALUE"""),"")</f>
        <v/>
      </c>
      <c r="N456" s="6" t="str">
        <f>IFERROR(__xludf.DUMMYFUNCTION("""COMPUTED_VALUE"""),"")</f>
        <v/>
      </c>
      <c r="O456" s="87" t="str">
        <f>IFERROR(__xludf.DUMMYFUNCTION("""COMPUTED_VALUE"""),"https://drive.google.com/drive/folders/10T2cTQHqEJZqE-st6uFKPoI?usp=share_link")</f>
        <v>https://drive.google.com/drive/folders/10T2cTQHqEJZqE-st6uFKPoI?usp=share_link</v>
      </c>
      <c r="P456" s="6" t="str">
        <f>IFERROR(__xludf.DUMMYFUNCTION("""COMPUTED_VALUE"""),"Chloe Munichiello")</f>
        <v>Chloe Munichiello</v>
      </c>
      <c r="Q456" s="6" t="str">
        <f>IFERROR(__xludf.DUMMYFUNCTION("""COMPUTED_VALUE"""),"L1")</f>
        <v>L1</v>
      </c>
      <c r="R456" s="6">
        <f>IFERROR(__xludf.DUMMYFUNCTION("""COMPUTED_VALUE"""),1.0)</f>
        <v>1</v>
      </c>
      <c r="S456" s="6" t="str">
        <f>IFERROR(__xludf.DUMMYFUNCTION("""COMPUTED_VALUE""")," ")</f>
        <v> </v>
      </c>
      <c r="T456" s="6" t="str">
        <f>IFERROR(__xludf.DUMMYFUNCTION("""COMPUTED_VALUE"""),"")</f>
        <v/>
      </c>
      <c r="U456" s="6" t="str">
        <f>IFERROR(__xludf.DUMMYFUNCTION("""COMPUTED_VALUE"""),"3")</f>
        <v>3</v>
      </c>
      <c r="V456" s="6" t="str">
        <f>IFERROR(__xludf.DUMMYFUNCTION("""COMPUTED_VALUE"""),"")</f>
        <v/>
      </c>
      <c r="W456" s="6" t="str">
        <f>IFERROR(__xludf.DUMMYFUNCTION("""COMPUTED_VALUE"""),"[]")</f>
        <v>[]</v>
      </c>
      <c r="X456" s="6" t="str">
        <f>IFERROR(__xludf.DUMMYFUNCTION("""COMPUTED_VALUE"""),"Enrolled")</f>
        <v>Enrolled</v>
      </c>
    </row>
    <row r="457">
      <c r="A457" s="6" t="str">
        <f>IFERROR(__xludf.DUMMYFUNCTION("""COMPUTED_VALUE"""),"000-8266")</f>
        <v>000-8266</v>
      </c>
      <c r="B457" s="6" t="str">
        <f>IFERROR(__xludf.DUMMYFUNCTION("""COMPUTED_VALUE"""),"0")</f>
        <v>0</v>
      </c>
      <c r="C457" s="6" t="str">
        <f>IFERROR(__xludf.DUMMYFUNCTION("""COMPUTED_VALUE"""),"8266")</f>
        <v>8266</v>
      </c>
      <c r="D457" s="6" t="str">
        <f>IFERROR(__xludf.DUMMYFUNCTION("""COMPUTED_VALUE"""),"Abdulmohsen")</f>
        <v>Abdulmohsen</v>
      </c>
      <c r="E457" s="6" t="str">
        <f>IFERROR(__xludf.DUMMYFUNCTION("""COMPUTED_VALUE"""),"")</f>
        <v/>
      </c>
      <c r="F457" s="6" t="str">
        <f>IFERROR(__xludf.DUMMYFUNCTION("""COMPUTED_VALUE"""),"Alfozan")</f>
        <v>Alfozan</v>
      </c>
      <c r="G457" s="6" t="str">
        <f>IFERROR(__xludf.DUMMYFUNCTION("""COMPUTED_VALUE"""),"12/16/2013")</f>
        <v>12/16/2013</v>
      </c>
      <c r="H457" s="6" t="str">
        <f>IFERROR(__xludf.DUMMYFUNCTION("""COMPUTED_VALUE"""),"male")</f>
        <v>male</v>
      </c>
      <c r="I457" s="6" t="str">
        <f>IFERROR(__xludf.DUMMYFUNCTION("""COMPUTED_VALUE"""),"Middle School")</f>
        <v>Middle School</v>
      </c>
      <c r="J457" s="6" t="str">
        <f>IFERROR(__xludf.DUMMYFUNCTION("""COMPUTED_VALUE"""),"7")</f>
        <v>7</v>
      </c>
      <c r="K457" s="6" t="str">
        <f>IFERROR(__xludf.DUMMYFUNCTION("""COMPUTED_VALUE"""),"abdulmohsen.alfozan@2hourlearning.com")</f>
        <v>abdulmohsen.alfozan@2hourlearning.com</v>
      </c>
      <c r="L457" s="6" t="str">
        <f>IFERROR(__xludf.DUMMYFUNCTION("""COMPUTED_VALUE"""),"Alpha Anywhere (homeschool)")</f>
        <v>Alpha Anywhere (homeschool)</v>
      </c>
      <c r="M457" s="6" t="str">
        <f>IFERROR(__xludf.DUMMYFUNCTION("""COMPUTED_VALUE"""),"")</f>
        <v/>
      </c>
      <c r="N457" s="6" t="str">
        <f>IFERROR(__xludf.DUMMYFUNCTION("""COMPUTED_VALUE"""),"")</f>
        <v/>
      </c>
      <c r="O457" s="87" t="str">
        <f>IFERROR(__xludf.DUMMYFUNCTION("""COMPUTED_VALUE"""),"https://drive.google.com/drive/folders/10T2cTQHqEJZqE-st6uFKPoI?usp=share_link")</f>
        <v>https://drive.google.com/drive/folders/10T2cTQHqEJZqE-st6uFKPoI?usp=share_link</v>
      </c>
      <c r="P457" s="6" t="str">
        <f>IFERROR(__xludf.DUMMYFUNCTION("""COMPUTED_VALUE"""),"Abdulmohsen Alfozan")</f>
        <v>Abdulmohsen Alfozan</v>
      </c>
      <c r="Q457" s="6" t="str">
        <f>IFERROR(__xludf.DUMMYFUNCTION("""COMPUTED_VALUE"""),"MS")</f>
        <v>MS</v>
      </c>
      <c r="R457" s="6">
        <f>IFERROR(__xludf.DUMMYFUNCTION("""COMPUTED_VALUE"""),0.0)</f>
        <v>0</v>
      </c>
      <c r="S457" s="6" t="str">
        <f>IFERROR(__xludf.DUMMYFUNCTION("""COMPUTED_VALUE""")," ")</f>
        <v> </v>
      </c>
      <c r="T457" s="6" t="str">
        <f>IFERROR(__xludf.DUMMYFUNCTION("""COMPUTED_VALUE"""),"")</f>
        <v/>
      </c>
      <c r="U457" s="6" t="str">
        <f>IFERROR(__xludf.DUMMYFUNCTION("""COMPUTED_VALUE"""),"7")</f>
        <v>7</v>
      </c>
      <c r="V457" s="6" t="str">
        <f>IFERROR(__xludf.DUMMYFUNCTION("""COMPUTED_VALUE"""),"")</f>
        <v/>
      </c>
      <c r="W457" s="6" t="str">
        <f>IFERROR(__xludf.DUMMYFUNCTION("""COMPUTED_VALUE"""),"[]")</f>
        <v>[]</v>
      </c>
      <c r="X457" s="6" t="str">
        <f>IFERROR(__xludf.DUMMYFUNCTION("""COMPUTED_VALUE"""),"Enrolled")</f>
        <v>Enrolled</v>
      </c>
    </row>
    <row r="458">
      <c r="A458" s="6" t="str">
        <f>IFERROR(__xludf.DUMMYFUNCTION("""COMPUTED_VALUE"""),"000-8267")</f>
        <v>000-8267</v>
      </c>
      <c r="B458" s="6" t="str">
        <f>IFERROR(__xludf.DUMMYFUNCTION("""COMPUTED_VALUE"""),"0")</f>
        <v>0</v>
      </c>
      <c r="C458" s="6" t="str">
        <f>IFERROR(__xludf.DUMMYFUNCTION("""COMPUTED_VALUE"""),"8267")</f>
        <v>8267</v>
      </c>
      <c r="D458" s="6" t="str">
        <f>IFERROR(__xludf.DUMMYFUNCTION("""COMPUTED_VALUE"""),"Mikey")</f>
        <v>Mikey</v>
      </c>
      <c r="E458" s="6" t="str">
        <f>IFERROR(__xludf.DUMMYFUNCTION("""COMPUTED_VALUE"""),"")</f>
        <v/>
      </c>
      <c r="F458" s="6" t="str">
        <f>IFERROR(__xludf.DUMMYFUNCTION("""COMPUTED_VALUE"""),"Jenkins")</f>
        <v>Jenkins</v>
      </c>
      <c r="G458" s="6" t="str">
        <f>IFERROR(__xludf.DUMMYFUNCTION("""COMPUTED_VALUE"""),"09/15/2015")</f>
        <v>09/15/2015</v>
      </c>
      <c r="H458" s="6" t="str">
        <f>IFERROR(__xludf.DUMMYFUNCTION("""COMPUTED_VALUE"""),"male")</f>
        <v>male</v>
      </c>
      <c r="I458" s="6" t="str">
        <f>IFERROR(__xludf.DUMMYFUNCTION("""COMPUTED_VALUE"""),"Level 2")</f>
        <v>Level 2</v>
      </c>
      <c r="J458" s="6" t="str">
        <f>IFERROR(__xludf.DUMMYFUNCTION("""COMPUTED_VALUE"""),"4")</f>
        <v>4</v>
      </c>
      <c r="K458" s="6" t="str">
        <f>IFERROR(__xludf.DUMMYFUNCTION("""COMPUTED_VALUE"""),"mikey.jenkins@2hourlearning.com")</f>
        <v>mikey.jenkins@2hourlearning.com</v>
      </c>
      <c r="L458" s="6" t="str">
        <f>IFERROR(__xludf.DUMMYFUNCTION("""COMPUTED_VALUE"""),"Alpha Anywhere (homeschool)")</f>
        <v>Alpha Anywhere (homeschool)</v>
      </c>
      <c r="M458" s="6" t="str">
        <f>IFERROR(__xludf.DUMMYFUNCTION("""COMPUTED_VALUE"""),"")</f>
        <v/>
      </c>
      <c r="N458" s="6" t="str">
        <f>IFERROR(__xludf.DUMMYFUNCTION("""COMPUTED_VALUE"""),"")</f>
        <v/>
      </c>
      <c r="O458" s="87" t="str">
        <f>IFERROR(__xludf.DUMMYFUNCTION("""COMPUTED_VALUE"""),"https://drive.google.com/drive/folders/10T2cTQHqEJZqE-st6uFKPoI?usp=share_link")</f>
        <v>https://drive.google.com/drive/folders/10T2cTQHqEJZqE-st6uFKPoI?usp=share_link</v>
      </c>
      <c r="P458" s="6" t="str">
        <f>IFERROR(__xludf.DUMMYFUNCTION("""COMPUTED_VALUE"""),"Mikey Jenkins")</f>
        <v>Mikey Jenkins</v>
      </c>
      <c r="Q458" s="6" t="str">
        <f>IFERROR(__xludf.DUMMYFUNCTION("""COMPUTED_VALUE"""),"L2")</f>
        <v>L2</v>
      </c>
      <c r="R458" s="6">
        <f>IFERROR(__xludf.DUMMYFUNCTION("""COMPUTED_VALUE"""),2.0)</f>
        <v>2</v>
      </c>
      <c r="S458" s="6" t="str">
        <f>IFERROR(__xludf.DUMMYFUNCTION("""COMPUTED_VALUE""")," ")</f>
        <v> </v>
      </c>
      <c r="T458" s="6" t="str">
        <f>IFERROR(__xludf.DUMMYFUNCTION("""COMPUTED_VALUE"""),"")</f>
        <v/>
      </c>
      <c r="U458" s="6" t="str">
        <f>IFERROR(__xludf.DUMMYFUNCTION("""COMPUTED_VALUE"""),"4")</f>
        <v>4</v>
      </c>
      <c r="V458" s="6" t="str">
        <f>IFERROR(__xludf.DUMMYFUNCTION("""COMPUTED_VALUE"""),"")</f>
        <v/>
      </c>
      <c r="W458" s="6" t="str">
        <f>IFERROR(__xludf.DUMMYFUNCTION("""COMPUTED_VALUE"""),"[]")</f>
        <v>[]</v>
      </c>
      <c r="X458" s="6" t="str">
        <f>IFERROR(__xludf.DUMMYFUNCTION("""COMPUTED_VALUE"""),"Enrolled")</f>
        <v>Enrolled</v>
      </c>
    </row>
    <row r="459">
      <c r="A459" s="6" t="str">
        <f>IFERROR(__xludf.DUMMYFUNCTION("""COMPUTED_VALUE"""),"000-8268")</f>
        <v>000-8268</v>
      </c>
      <c r="B459" s="6" t="str">
        <f>IFERROR(__xludf.DUMMYFUNCTION("""COMPUTED_VALUE"""),"0")</f>
        <v>0</v>
      </c>
      <c r="C459" s="6" t="str">
        <f>IFERROR(__xludf.DUMMYFUNCTION("""COMPUTED_VALUE"""),"8268")</f>
        <v>8268</v>
      </c>
      <c r="D459" s="6" t="str">
        <f>IFERROR(__xludf.DUMMYFUNCTION("""COMPUTED_VALUE"""),"Montana")</f>
        <v>Montana</v>
      </c>
      <c r="E459" s="6" t="str">
        <f>IFERROR(__xludf.DUMMYFUNCTION("""COMPUTED_VALUE"""),"")</f>
        <v/>
      </c>
      <c r="F459" s="6" t="str">
        <f>IFERROR(__xludf.DUMMYFUNCTION("""COMPUTED_VALUE"""),"Jenkins")</f>
        <v>Jenkins</v>
      </c>
      <c r="G459" s="6" t="str">
        <f>IFERROR(__xludf.DUMMYFUNCTION("""COMPUTED_VALUE"""),"10/11/2017")</f>
        <v>10/11/2017</v>
      </c>
      <c r="H459" s="6" t="str">
        <f>IFERROR(__xludf.DUMMYFUNCTION("""COMPUTED_VALUE"""),"female")</f>
        <v>female</v>
      </c>
      <c r="I459" s="6" t="str">
        <f>IFERROR(__xludf.DUMMYFUNCTION("""COMPUTED_VALUE"""),"Level 1")</f>
        <v>Level 1</v>
      </c>
      <c r="J459" s="6" t="str">
        <f>IFERROR(__xludf.DUMMYFUNCTION("""COMPUTED_VALUE"""),"2")</f>
        <v>2</v>
      </c>
      <c r="K459" s="6" t="str">
        <f>IFERROR(__xludf.DUMMYFUNCTION("""COMPUTED_VALUE"""),"montana.jenkins@2hourlearning.com")</f>
        <v>montana.jenkins@2hourlearning.com</v>
      </c>
      <c r="L459" s="6" t="str">
        <f>IFERROR(__xludf.DUMMYFUNCTION("""COMPUTED_VALUE"""),"Alpha Anywhere (homeschool)")</f>
        <v>Alpha Anywhere (homeschool)</v>
      </c>
      <c r="M459" s="6" t="str">
        <f>IFERROR(__xludf.DUMMYFUNCTION("""COMPUTED_VALUE"""),"")</f>
        <v/>
      </c>
      <c r="N459" s="6" t="str">
        <f>IFERROR(__xludf.DUMMYFUNCTION("""COMPUTED_VALUE"""),"")</f>
        <v/>
      </c>
      <c r="O459" s="87" t="str">
        <f>IFERROR(__xludf.DUMMYFUNCTION("""COMPUTED_VALUE"""),"https://drive.google.com/drive/folders/10T2cTQHqEJZqE-st6uFKPoI?usp=share_link")</f>
        <v>https://drive.google.com/drive/folders/10T2cTQHqEJZqE-st6uFKPoI?usp=share_link</v>
      </c>
      <c r="P459" s="6" t="str">
        <f>IFERROR(__xludf.DUMMYFUNCTION("""COMPUTED_VALUE"""),"Montana Jenkins")</f>
        <v>Montana Jenkins</v>
      </c>
      <c r="Q459" s="6" t="str">
        <f>IFERROR(__xludf.DUMMYFUNCTION("""COMPUTED_VALUE"""),"L1")</f>
        <v>L1</v>
      </c>
      <c r="R459" s="6">
        <f>IFERROR(__xludf.DUMMYFUNCTION("""COMPUTED_VALUE"""),1.0)</f>
        <v>1</v>
      </c>
      <c r="S459" s="6" t="str">
        <f>IFERROR(__xludf.DUMMYFUNCTION("""COMPUTED_VALUE""")," ")</f>
        <v> </v>
      </c>
      <c r="T459" s="6" t="str">
        <f>IFERROR(__xludf.DUMMYFUNCTION("""COMPUTED_VALUE"""),"")</f>
        <v/>
      </c>
      <c r="U459" s="6" t="str">
        <f>IFERROR(__xludf.DUMMYFUNCTION("""COMPUTED_VALUE"""),"2")</f>
        <v>2</v>
      </c>
      <c r="V459" s="6" t="str">
        <f>IFERROR(__xludf.DUMMYFUNCTION("""COMPUTED_VALUE"""),"")</f>
        <v/>
      </c>
      <c r="W459" s="6" t="str">
        <f>IFERROR(__xludf.DUMMYFUNCTION("""COMPUTED_VALUE"""),"[]")</f>
        <v>[]</v>
      </c>
      <c r="X459" s="6" t="str">
        <f>IFERROR(__xludf.DUMMYFUNCTION("""COMPUTED_VALUE"""),"Enrolled")</f>
        <v>Enrolled</v>
      </c>
    </row>
    <row r="460">
      <c r="A460" s="6" t="str">
        <f>IFERROR(__xludf.DUMMYFUNCTION("""COMPUTED_VALUE"""),"000-8276")</f>
        <v>000-8276</v>
      </c>
      <c r="B460" s="6" t="str">
        <f>IFERROR(__xludf.DUMMYFUNCTION("""COMPUTED_VALUE"""),"0")</f>
        <v>0</v>
      </c>
      <c r="C460" s="6" t="str">
        <f>IFERROR(__xludf.DUMMYFUNCTION("""COMPUTED_VALUE"""),"8276")</f>
        <v>8276</v>
      </c>
      <c r="D460" s="6" t="str">
        <f>IFERROR(__xludf.DUMMYFUNCTION("""COMPUTED_VALUE"""),"Graham")</f>
        <v>Graham</v>
      </c>
      <c r="E460" s="6" t="str">
        <f>IFERROR(__xludf.DUMMYFUNCTION("""COMPUTED_VALUE"""),"")</f>
        <v/>
      </c>
      <c r="F460" s="6" t="str">
        <f>IFERROR(__xludf.DUMMYFUNCTION("""COMPUTED_VALUE"""),"Wescott")</f>
        <v>Wescott</v>
      </c>
      <c r="G460" s="6" t="str">
        <f>IFERROR(__xludf.DUMMYFUNCTION("""COMPUTED_VALUE"""),"11/04/2014")</f>
        <v>11/04/2014</v>
      </c>
      <c r="H460" s="6" t="str">
        <f>IFERROR(__xludf.DUMMYFUNCTION("""COMPUTED_VALUE"""),"unspecified")</f>
        <v>unspecified</v>
      </c>
      <c r="I460" s="6" t="str">
        <f>IFERROR(__xludf.DUMMYFUNCTION("""COMPUTED_VALUE"""),"Level 2")</f>
        <v>Level 2</v>
      </c>
      <c r="J460" s="6" t="str">
        <f>IFERROR(__xludf.DUMMYFUNCTION("""COMPUTED_VALUE"""),"5")</f>
        <v>5</v>
      </c>
      <c r="K460" s="6" t="str">
        <f>IFERROR(__xludf.DUMMYFUNCTION("""COMPUTED_VALUE"""),"graham.wescott@2hourlearning.com")</f>
        <v>graham.wescott@2hourlearning.com</v>
      </c>
      <c r="L460" s="6" t="str">
        <f>IFERROR(__xludf.DUMMYFUNCTION("""COMPUTED_VALUE"""),"Alpha Anywhere (homeschool)")</f>
        <v>Alpha Anywhere (homeschool)</v>
      </c>
      <c r="M460" s="6" t="str">
        <f>IFERROR(__xludf.DUMMYFUNCTION("""COMPUTED_VALUE"""),"")</f>
        <v/>
      </c>
      <c r="N460" s="6" t="str">
        <f>IFERROR(__xludf.DUMMYFUNCTION("""COMPUTED_VALUE"""),"")</f>
        <v/>
      </c>
      <c r="O460" s="87" t="str">
        <f>IFERROR(__xludf.DUMMYFUNCTION("""COMPUTED_VALUE"""),"https://drive.google.com/drive/folders/10T2cTQHqEJZqE-st6uFKPoI?usp=share_link")</f>
        <v>https://drive.google.com/drive/folders/10T2cTQHqEJZqE-st6uFKPoI?usp=share_link</v>
      </c>
      <c r="P460" s="6" t="str">
        <f>IFERROR(__xludf.DUMMYFUNCTION("""COMPUTED_VALUE"""),"Graham Wescott")</f>
        <v>Graham Wescott</v>
      </c>
      <c r="Q460" s="6" t="str">
        <f>IFERROR(__xludf.DUMMYFUNCTION("""COMPUTED_VALUE"""),"L2")</f>
        <v>L2</v>
      </c>
      <c r="R460" s="6">
        <f>IFERROR(__xludf.DUMMYFUNCTION("""COMPUTED_VALUE"""),2.0)</f>
        <v>2</v>
      </c>
      <c r="S460" s="6" t="str">
        <f>IFERROR(__xludf.DUMMYFUNCTION("""COMPUTED_VALUE""")," ")</f>
        <v> </v>
      </c>
      <c r="T460" s="6" t="str">
        <f>IFERROR(__xludf.DUMMYFUNCTION("""COMPUTED_VALUE"""),"")</f>
        <v/>
      </c>
      <c r="U460" s="6" t="str">
        <f>IFERROR(__xludf.DUMMYFUNCTION("""COMPUTED_VALUE"""),"5")</f>
        <v>5</v>
      </c>
      <c r="V460" s="6" t="str">
        <f>IFERROR(__xludf.DUMMYFUNCTION("""COMPUTED_VALUE"""),"")</f>
        <v/>
      </c>
      <c r="W460" s="6" t="str">
        <f>IFERROR(__xludf.DUMMYFUNCTION("""COMPUTED_VALUE"""),"[]")</f>
        <v>[]</v>
      </c>
      <c r="X460" s="6" t="str">
        <f>IFERROR(__xludf.DUMMYFUNCTION("""COMPUTED_VALUE"""),"Enrolled")</f>
        <v>Enrolled</v>
      </c>
    </row>
    <row r="461">
      <c r="A461" s="6" t="str">
        <f>IFERROR(__xludf.DUMMYFUNCTION("""COMPUTED_VALUE"""),"000-8283")</f>
        <v>000-8283</v>
      </c>
      <c r="B461" s="6" t="str">
        <f>IFERROR(__xludf.DUMMYFUNCTION("""COMPUTED_VALUE"""),"0")</f>
        <v>0</v>
      </c>
      <c r="C461" s="6" t="str">
        <f>IFERROR(__xludf.DUMMYFUNCTION("""COMPUTED_VALUE"""),"8283")</f>
        <v>8283</v>
      </c>
      <c r="D461" s="6" t="str">
        <f>IFERROR(__xludf.DUMMYFUNCTION("""COMPUTED_VALUE"""),"Beau")</f>
        <v>Beau</v>
      </c>
      <c r="E461" s="6" t="str">
        <f>IFERROR(__xludf.DUMMYFUNCTION("""COMPUTED_VALUE"""),"")</f>
        <v/>
      </c>
      <c r="F461" s="6" t="str">
        <f>IFERROR(__xludf.DUMMYFUNCTION("""COMPUTED_VALUE"""),"Zettler")</f>
        <v>Zettler</v>
      </c>
      <c r="G461" s="6" t="str">
        <f>IFERROR(__xludf.DUMMYFUNCTION("""COMPUTED_VALUE"""),"04/02/2014")</f>
        <v>04/02/2014</v>
      </c>
      <c r="H461" s="6" t="str">
        <f>IFERROR(__xludf.DUMMYFUNCTION("""COMPUTED_VALUE"""),"male")</f>
        <v>male</v>
      </c>
      <c r="I461" s="6" t="str">
        <f>IFERROR(__xludf.DUMMYFUNCTION("""COMPUTED_VALUE"""),"Middle School")</f>
        <v>Middle School</v>
      </c>
      <c r="J461" s="6" t="str">
        <f>IFERROR(__xludf.DUMMYFUNCTION("""COMPUTED_VALUE"""),"7")</f>
        <v>7</v>
      </c>
      <c r="K461" s="6" t="str">
        <f>IFERROR(__xludf.DUMMYFUNCTION("""COMPUTED_VALUE"""),"beau.zettler@2hourlearning.com")</f>
        <v>beau.zettler@2hourlearning.com</v>
      </c>
      <c r="L461" s="6" t="str">
        <f>IFERROR(__xludf.DUMMYFUNCTION("""COMPUTED_VALUE"""),"Alpha Anywhere (homeschool)")</f>
        <v>Alpha Anywhere (homeschool)</v>
      </c>
      <c r="M461" s="6" t="str">
        <f>IFERROR(__xludf.DUMMYFUNCTION("""COMPUTED_VALUE"""),"")</f>
        <v/>
      </c>
      <c r="N461" s="6" t="str">
        <f>IFERROR(__xludf.DUMMYFUNCTION("""COMPUTED_VALUE"""),"")</f>
        <v/>
      </c>
      <c r="O461" s="87" t="str">
        <f>IFERROR(__xludf.DUMMYFUNCTION("""COMPUTED_VALUE"""),"https://drive.google.com/drive/folders/10T2cTQHqEJZqE-st6uFKPoI?usp=share_link")</f>
        <v>https://drive.google.com/drive/folders/10T2cTQHqEJZqE-st6uFKPoI?usp=share_link</v>
      </c>
      <c r="P461" s="6" t="str">
        <f>IFERROR(__xludf.DUMMYFUNCTION("""COMPUTED_VALUE"""),"Beau Zettler")</f>
        <v>Beau Zettler</v>
      </c>
      <c r="Q461" s="6" t="str">
        <f>IFERROR(__xludf.DUMMYFUNCTION("""COMPUTED_VALUE"""),"MS")</f>
        <v>MS</v>
      </c>
      <c r="R461" s="6">
        <f>IFERROR(__xludf.DUMMYFUNCTION("""COMPUTED_VALUE"""),0.0)</f>
        <v>0</v>
      </c>
      <c r="S461" s="6" t="str">
        <f>IFERROR(__xludf.DUMMYFUNCTION("""COMPUTED_VALUE""")," ")</f>
        <v> </v>
      </c>
      <c r="T461" s="6" t="str">
        <f>IFERROR(__xludf.DUMMYFUNCTION("""COMPUTED_VALUE"""),"")</f>
        <v/>
      </c>
      <c r="U461" s="6" t="str">
        <f>IFERROR(__xludf.DUMMYFUNCTION("""COMPUTED_VALUE"""),"7")</f>
        <v>7</v>
      </c>
      <c r="V461" s="6" t="str">
        <f>IFERROR(__xludf.DUMMYFUNCTION("""COMPUTED_VALUE"""),"")</f>
        <v/>
      </c>
      <c r="W461" s="6" t="str">
        <f>IFERROR(__xludf.DUMMYFUNCTION("""COMPUTED_VALUE"""),"[]")</f>
        <v>[]</v>
      </c>
      <c r="X461" s="6" t="str">
        <f>IFERROR(__xludf.DUMMYFUNCTION("""COMPUTED_VALUE"""),"Enrolled")</f>
        <v>Enrolled</v>
      </c>
    </row>
    <row r="462">
      <c r="A462" s="6" t="str">
        <f>IFERROR(__xludf.DUMMYFUNCTION("""COMPUTED_VALUE"""),"000-8284")</f>
        <v>000-8284</v>
      </c>
      <c r="B462" s="6" t="str">
        <f>IFERROR(__xludf.DUMMYFUNCTION("""COMPUTED_VALUE"""),"0")</f>
        <v>0</v>
      </c>
      <c r="C462" s="6" t="str">
        <f>IFERROR(__xludf.DUMMYFUNCTION("""COMPUTED_VALUE"""),"8284")</f>
        <v>8284</v>
      </c>
      <c r="D462" s="6" t="str">
        <f>IFERROR(__xludf.DUMMYFUNCTION("""COMPUTED_VALUE"""),"Jasmine")</f>
        <v>Jasmine</v>
      </c>
      <c r="E462" s="6" t="str">
        <f>IFERROR(__xludf.DUMMYFUNCTION("""COMPUTED_VALUE"""),"")</f>
        <v/>
      </c>
      <c r="F462" s="6" t="str">
        <f>IFERROR(__xludf.DUMMYFUNCTION("""COMPUTED_VALUE"""),"Zettler")</f>
        <v>Zettler</v>
      </c>
      <c r="G462" s="6" t="str">
        <f>IFERROR(__xludf.DUMMYFUNCTION("""COMPUTED_VALUE"""),"06/08/2011")</f>
        <v>06/08/2011</v>
      </c>
      <c r="H462" s="6" t="str">
        <f>IFERROR(__xludf.DUMMYFUNCTION("""COMPUTED_VALUE"""),"female")</f>
        <v>female</v>
      </c>
      <c r="I462" s="6" t="str">
        <f>IFERROR(__xludf.DUMMYFUNCTION("""COMPUTED_VALUE"""),"High School")</f>
        <v>High School</v>
      </c>
      <c r="J462" s="6" t="str">
        <f>IFERROR(__xludf.DUMMYFUNCTION("""COMPUTED_VALUE"""),"9")</f>
        <v>9</v>
      </c>
      <c r="K462" s="6" t="str">
        <f>IFERROR(__xludf.DUMMYFUNCTION("""COMPUTED_VALUE"""),"jasmine.zettler@2hourlearning.com")</f>
        <v>jasmine.zettler@2hourlearning.com</v>
      </c>
      <c r="L462" s="6" t="str">
        <f>IFERROR(__xludf.DUMMYFUNCTION("""COMPUTED_VALUE"""),"Alpha Anywhere (homeschool)")</f>
        <v>Alpha Anywhere (homeschool)</v>
      </c>
      <c r="M462" s="6" t="str">
        <f>IFERROR(__xludf.DUMMYFUNCTION("""COMPUTED_VALUE"""),"")</f>
        <v/>
      </c>
      <c r="N462" s="6" t="str">
        <f>IFERROR(__xludf.DUMMYFUNCTION("""COMPUTED_VALUE"""),"")</f>
        <v/>
      </c>
      <c r="O462" s="87" t="str">
        <f>IFERROR(__xludf.DUMMYFUNCTION("""COMPUTED_VALUE"""),"https://drive.google.com/drive/folders/10T2cTQHqEJZqE-st6uFKPoI?usp=share_link")</f>
        <v>https://drive.google.com/drive/folders/10T2cTQHqEJZqE-st6uFKPoI?usp=share_link</v>
      </c>
      <c r="P462" s="6" t="str">
        <f>IFERROR(__xludf.DUMMYFUNCTION("""COMPUTED_VALUE"""),"Jasmine Zettler")</f>
        <v>Jasmine Zettler</v>
      </c>
      <c r="Q462" s="6" t="str">
        <f>IFERROR(__xludf.DUMMYFUNCTION("""COMPUTED_VALUE"""),"HS")</f>
        <v>HS</v>
      </c>
      <c r="R462" s="6">
        <f>IFERROR(__xludf.DUMMYFUNCTION("""COMPUTED_VALUE"""),0.0)</f>
        <v>0</v>
      </c>
      <c r="S462" s="6" t="str">
        <f>IFERROR(__xludf.DUMMYFUNCTION("""COMPUTED_VALUE""")," ")</f>
        <v> </v>
      </c>
      <c r="T462" s="6" t="str">
        <f>IFERROR(__xludf.DUMMYFUNCTION("""COMPUTED_VALUE"""),"")</f>
        <v/>
      </c>
      <c r="U462" s="6" t="str">
        <f>IFERROR(__xludf.DUMMYFUNCTION("""COMPUTED_VALUE"""),"9")</f>
        <v>9</v>
      </c>
      <c r="V462" s="6" t="str">
        <f>IFERROR(__xludf.DUMMYFUNCTION("""COMPUTED_VALUE"""),"")</f>
        <v/>
      </c>
      <c r="W462" s="6" t="str">
        <f>IFERROR(__xludf.DUMMYFUNCTION("""COMPUTED_VALUE"""),"[]")</f>
        <v>[]</v>
      </c>
      <c r="X462" s="6" t="str">
        <f>IFERROR(__xludf.DUMMYFUNCTION("""COMPUTED_VALUE"""),"Enrolled")</f>
        <v>Enrolled</v>
      </c>
    </row>
    <row r="463">
      <c r="A463" s="6" t="str">
        <f>IFERROR(__xludf.DUMMYFUNCTION("""COMPUTED_VALUE"""),"000-8298")</f>
        <v>000-8298</v>
      </c>
      <c r="B463" s="6" t="str">
        <f>IFERROR(__xludf.DUMMYFUNCTION("""COMPUTED_VALUE"""),"0")</f>
        <v>0</v>
      </c>
      <c r="C463" s="6" t="str">
        <f>IFERROR(__xludf.DUMMYFUNCTION("""COMPUTED_VALUE"""),"8298")</f>
        <v>8298</v>
      </c>
      <c r="D463" s="6" t="str">
        <f>IFERROR(__xludf.DUMMYFUNCTION("""COMPUTED_VALUE"""),"Anisa")</f>
        <v>Anisa</v>
      </c>
      <c r="E463" s="6" t="str">
        <f>IFERROR(__xludf.DUMMYFUNCTION("""COMPUTED_VALUE"""),"")</f>
        <v/>
      </c>
      <c r="F463" s="6" t="str">
        <f>IFERROR(__xludf.DUMMYFUNCTION("""COMPUTED_VALUE"""),"Mccoy")</f>
        <v>Mccoy</v>
      </c>
      <c r="G463" s="6" t="str">
        <f>IFERROR(__xludf.DUMMYFUNCTION("""COMPUTED_VALUE"""),"11/03/2016")</f>
        <v>11/03/2016</v>
      </c>
      <c r="H463" s="6" t="str">
        <f>IFERROR(__xludf.DUMMYFUNCTION("""COMPUTED_VALUE"""),"unspecified")</f>
        <v>unspecified</v>
      </c>
      <c r="I463" s="6" t="str">
        <f>IFERROR(__xludf.DUMMYFUNCTION("""COMPUTED_VALUE"""),"Level 1")</f>
        <v>Level 1</v>
      </c>
      <c r="J463" s="6" t="str">
        <f>IFERROR(__xludf.DUMMYFUNCTION("""COMPUTED_VALUE"""),"3")</f>
        <v>3</v>
      </c>
      <c r="K463" s="6" t="str">
        <f>IFERROR(__xludf.DUMMYFUNCTION("""COMPUTED_VALUE"""),"anisa.mccoy@2hourlearning.com")</f>
        <v>anisa.mccoy@2hourlearning.com</v>
      </c>
      <c r="L463" s="6" t="str">
        <f>IFERROR(__xludf.DUMMYFUNCTION("""COMPUTED_VALUE"""),"Alpha Anywhere (homeschool)")</f>
        <v>Alpha Anywhere (homeschool)</v>
      </c>
      <c r="M463" s="6" t="str">
        <f>IFERROR(__xludf.DUMMYFUNCTION("""COMPUTED_VALUE"""),"")</f>
        <v/>
      </c>
      <c r="N463" s="6" t="str">
        <f>IFERROR(__xludf.DUMMYFUNCTION("""COMPUTED_VALUE"""),"")</f>
        <v/>
      </c>
      <c r="O463" s="87" t="str">
        <f>IFERROR(__xludf.DUMMYFUNCTION("""COMPUTED_VALUE"""),"https://drive.google.com/drive/folders/10T2cTQHqEJZqE-st6uFKPoI?usp=share_link")</f>
        <v>https://drive.google.com/drive/folders/10T2cTQHqEJZqE-st6uFKPoI?usp=share_link</v>
      </c>
      <c r="P463" s="6" t="str">
        <f>IFERROR(__xludf.DUMMYFUNCTION("""COMPUTED_VALUE"""),"Anisa Mccoy")</f>
        <v>Anisa Mccoy</v>
      </c>
      <c r="Q463" s="6" t="str">
        <f>IFERROR(__xludf.DUMMYFUNCTION("""COMPUTED_VALUE"""),"L1")</f>
        <v>L1</v>
      </c>
      <c r="R463" s="6">
        <f>IFERROR(__xludf.DUMMYFUNCTION("""COMPUTED_VALUE"""),1.0)</f>
        <v>1</v>
      </c>
      <c r="S463" s="6" t="str">
        <f>IFERROR(__xludf.DUMMYFUNCTION("""COMPUTED_VALUE""")," ")</f>
        <v> </v>
      </c>
      <c r="T463" s="6" t="str">
        <f>IFERROR(__xludf.DUMMYFUNCTION("""COMPUTED_VALUE"""),"")</f>
        <v/>
      </c>
      <c r="U463" s="6" t="str">
        <f>IFERROR(__xludf.DUMMYFUNCTION("""COMPUTED_VALUE"""),"3")</f>
        <v>3</v>
      </c>
      <c r="V463" s="6" t="str">
        <f>IFERROR(__xludf.DUMMYFUNCTION("""COMPUTED_VALUE"""),"")</f>
        <v/>
      </c>
      <c r="W463" s="6" t="str">
        <f>IFERROR(__xludf.DUMMYFUNCTION("""COMPUTED_VALUE"""),"[]")</f>
        <v>[]</v>
      </c>
      <c r="X463" s="6" t="str">
        <f>IFERROR(__xludf.DUMMYFUNCTION("""COMPUTED_VALUE"""),"Enrolled")</f>
        <v>Enrolled</v>
      </c>
    </row>
    <row r="464">
      <c r="A464" s="6" t="str">
        <f>IFERROR(__xludf.DUMMYFUNCTION("""COMPUTED_VALUE"""),"000-8302")</f>
        <v>000-8302</v>
      </c>
      <c r="B464" s="6" t="str">
        <f>IFERROR(__xludf.DUMMYFUNCTION("""COMPUTED_VALUE"""),"0")</f>
        <v>0</v>
      </c>
      <c r="C464" s="6" t="str">
        <f>IFERROR(__xludf.DUMMYFUNCTION("""COMPUTED_VALUE"""),"8302")</f>
        <v>8302</v>
      </c>
      <c r="D464" s="6" t="str">
        <f>IFERROR(__xludf.DUMMYFUNCTION("""COMPUTED_VALUE"""),"Micah")</f>
        <v>Micah</v>
      </c>
      <c r="E464" s="6" t="str">
        <f>IFERROR(__xludf.DUMMYFUNCTION("""COMPUTED_VALUE"""),"")</f>
        <v/>
      </c>
      <c r="F464" s="6" t="str">
        <f>IFERROR(__xludf.DUMMYFUNCTION("""COMPUTED_VALUE"""),"Clarke")</f>
        <v>Clarke</v>
      </c>
      <c r="G464" s="6" t="str">
        <f>IFERROR(__xludf.DUMMYFUNCTION("""COMPUTED_VALUE"""),"06/25/2013")</f>
        <v>06/25/2013</v>
      </c>
      <c r="H464" s="6" t="str">
        <f>IFERROR(__xludf.DUMMYFUNCTION("""COMPUTED_VALUE"""),"male")</f>
        <v>male</v>
      </c>
      <c r="I464" s="6" t="str">
        <f>IFERROR(__xludf.DUMMYFUNCTION("""COMPUTED_VALUE"""),"Middle School")</f>
        <v>Middle School</v>
      </c>
      <c r="J464" s="6" t="str">
        <f>IFERROR(__xludf.DUMMYFUNCTION("""COMPUTED_VALUE"""),"7")</f>
        <v>7</v>
      </c>
      <c r="K464" s="6" t="str">
        <f>IFERROR(__xludf.DUMMYFUNCTION("""COMPUTED_VALUE"""),"micah.clarke@2hourlearning.com")</f>
        <v>micah.clarke@2hourlearning.com</v>
      </c>
      <c r="L464" s="6" t="str">
        <f>IFERROR(__xludf.DUMMYFUNCTION("""COMPUTED_VALUE"""),"Alpha Anywhere (homeschool)")</f>
        <v>Alpha Anywhere (homeschool)</v>
      </c>
      <c r="M464" s="6" t="str">
        <f>IFERROR(__xludf.DUMMYFUNCTION("""COMPUTED_VALUE"""),"")</f>
        <v/>
      </c>
      <c r="N464" s="6" t="str">
        <f>IFERROR(__xludf.DUMMYFUNCTION("""COMPUTED_VALUE"""),"")</f>
        <v/>
      </c>
      <c r="O464" s="87" t="str">
        <f>IFERROR(__xludf.DUMMYFUNCTION("""COMPUTED_VALUE"""),"https://drive.google.com/drive/folders/10T2cTQHqEJZqE-st6uFKPoI?usp=share_link")</f>
        <v>https://drive.google.com/drive/folders/10T2cTQHqEJZqE-st6uFKPoI?usp=share_link</v>
      </c>
      <c r="P464" s="6" t="str">
        <f>IFERROR(__xludf.DUMMYFUNCTION("""COMPUTED_VALUE"""),"Micah Clarke")</f>
        <v>Micah Clarke</v>
      </c>
      <c r="Q464" s="6" t="str">
        <f>IFERROR(__xludf.DUMMYFUNCTION("""COMPUTED_VALUE"""),"MS")</f>
        <v>MS</v>
      </c>
      <c r="R464" s="6">
        <f>IFERROR(__xludf.DUMMYFUNCTION("""COMPUTED_VALUE"""),0.0)</f>
        <v>0</v>
      </c>
      <c r="S464" s="6" t="str">
        <f>IFERROR(__xludf.DUMMYFUNCTION("""COMPUTED_VALUE""")," ")</f>
        <v> </v>
      </c>
      <c r="T464" s="6" t="str">
        <f>IFERROR(__xludf.DUMMYFUNCTION("""COMPUTED_VALUE"""),"")</f>
        <v/>
      </c>
      <c r="U464" s="6" t="str">
        <f>IFERROR(__xludf.DUMMYFUNCTION("""COMPUTED_VALUE"""),"7")</f>
        <v>7</v>
      </c>
      <c r="V464" s="6" t="str">
        <f>IFERROR(__xludf.DUMMYFUNCTION("""COMPUTED_VALUE"""),"")</f>
        <v/>
      </c>
      <c r="W464" s="6" t="str">
        <f>IFERROR(__xludf.DUMMYFUNCTION("""COMPUTED_VALUE"""),"[]")</f>
        <v>[]</v>
      </c>
      <c r="X464" s="6" t="str">
        <f>IFERROR(__xludf.DUMMYFUNCTION("""COMPUTED_VALUE"""),"Enrolled")</f>
        <v>Enrolled</v>
      </c>
    </row>
    <row r="465">
      <c r="A465" s="6" t="str">
        <f>IFERROR(__xludf.DUMMYFUNCTION("""COMPUTED_VALUE"""),"000-8306")</f>
        <v>000-8306</v>
      </c>
      <c r="B465" s="6" t="str">
        <f>IFERROR(__xludf.DUMMYFUNCTION("""COMPUTED_VALUE"""),"0")</f>
        <v>0</v>
      </c>
      <c r="C465" s="6" t="str">
        <f>IFERROR(__xludf.DUMMYFUNCTION("""COMPUTED_VALUE"""),"8306")</f>
        <v>8306</v>
      </c>
      <c r="D465" s="6" t="str">
        <f>IFERROR(__xludf.DUMMYFUNCTION("""COMPUTED_VALUE"""),"Abe")</f>
        <v>Abe</v>
      </c>
      <c r="E465" s="6" t="str">
        <f>IFERROR(__xludf.DUMMYFUNCTION("""COMPUTED_VALUE"""),"")</f>
        <v/>
      </c>
      <c r="F465" s="6" t="str">
        <f>IFERROR(__xludf.DUMMYFUNCTION("""COMPUTED_VALUE"""),"Goodman")</f>
        <v>Goodman</v>
      </c>
      <c r="G465" s="6" t="str">
        <f>IFERROR(__xludf.DUMMYFUNCTION("""COMPUTED_VALUE"""),"09/09/2011")</f>
        <v>09/09/2011</v>
      </c>
      <c r="H465" s="6" t="str">
        <f>IFERROR(__xludf.DUMMYFUNCTION("""COMPUTED_VALUE"""),"male")</f>
        <v>male</v>
      </c>
      <c r="I465" s="6" t="str">
        <f>IFERROR(__xludf.DUMMYFUNCTION("""COMPUTED_VALUE"""),"Middle School")</f>
        <v>Middle School</v>
      </c>
      <c r="J465" s="6" t="str">
        <f>IFERROR(__xludf.DUMMYFUNCTION("""COMPUTED_VALUE"""),"8")</f>
        <v>8</v>
      </c>
      <c r="K465" s="6" t="str">
        <f>IFERROR(__xludf.DUMMYFUNCTION("""COMPUTED_VALUE"""),"abe.goodman@2hourlearning.com")</f>
        <v>abe.goodman@2hourlearning.com</v>
      </c>
      <c r="L465" s="6" t="str">
        <f>IFERROR(__xludf.DUMMYFUNCTION("""COMPUTED_VALUE"""),"Alpha Anywhere (homeschool)")</f>
        <v>Alpha Anywhere (homeschool)</v>
      </c>
      <c r="M465" s="6" t="str">
        <f>IFERROR(__xludf.DUMMYFUNCTION("""COMPUTED_VALUE"""),"")</f>
        <v/>
      </c>
      <c r="N465" s="6" t="str">
        <f>IFERROR(__xludf.DUMMYFUNCTION("""COMPUTED_VALUE"""),"")</f>
        <v/>
      </c>
      <c r="O465" s="87" t="str">
        <f>IFERROR(__xludf.DUMMYFUNCTION("""COMPUTED_VALUE"""),"https://drive.google.com/drive/folders/10T2cTQHqEJZqE-st6uFKPoI?usp=share_link")</f>
        <v>https://drive.google.com/drive/folders/10T2cTQHqEJZqE-st6uFKPoI?usp=share_link</v>
      </c>
      <c r="P465" s="6" t="str">
        <f>IFERROR(__xludf.DUMMYFUNCTION("""COMPUTED_VALUE"""),"Abe Goodman")</f>
        <v>Abe Goodman</v>
      </c>
      <c r="Q465" s="6" t="str">
        <f>IFERROR(__xludf.DUMMYFUNCTION("""COMPUTED_VALUE"""),"MS")</f>
        <v>MS</v>
      </c>
      <c r="R465" s="6">
        <f>IFERROR(__xludf.DUMMYFUNCTION("""COMPUTED_VALUE"""),0.0)</f>
        <v>0</v>
      </c>
      <c r="S465" s="6" t="str">
        <f>IFERROR(__xludf.DUMMYFUNCTION("""COMPUTED_VALUE""")," ")</f>
        <v> </v>
      </c>
      <c r="T465" s="6" t="str">
        <f>IFERROR(__xludf.DUMMYFUNCTION("""COMPUTED_VALUE"""),"")</f>
        <v/>
      </c>
      <c r="U465" s="6" t="str">
        <f>IFERROR(__xludf.DUMMYFUNCTION("""COMPUTED_VALUE"""),"8")</f>
        <v>8</v>
      </c>
      <c r="V465" s="6" t="str">
        <f>IFERROR(__xludf.DUMMYFUNCTION("""COMPUTED_VALUE"""),"")</f>
        <v/>
      </c>
      <c r="W465" s="6" t="str">
        <f>IFERROR(__xludf.DUMMYFUNCTION("""COMPUTED_VALUE"""),"[]")</f>
        <v>[]</v>
      </c>
      <c r="X465" s="6" t="str">
        <f>IFERROR(__xludf.DUMMYFUNCTION("""COMPUTED_VALUE"""),"Enrolled")</f>
        <v>Enrolled</v>
      </c>
    </row>
    <row r="466">
      <c r="A466" s="6" t="str">
        <f>IFERROR(__xludf.DUMMYFUNCTION("""COMPUTED_VALUE"""),"000-8307")</f>
        <v>000-8307</v>
      </c>
      <c r="B466" s="6" t="str">
        <f>IFERROR(__xludf.DUMMYFUNCTION("""COMPUTED_VALUE"""),"0")</f>
        <v>0</v>
      </c>
      <c r="C466" s="6" t="str">
        <f>IFERROR(__xludf.DUMMYFUNCTION("""COMPUTED_VALUE"""),"8307")</f>
        <v>8307</v>
      </c>
      <c r="D466" s="6" t="str">
        <f>IFERROR(__xludf.DUMMYFUNCTION("""COMPUTED_VALUE"""),"America")</f>
        <v>America</v>
      </c>
      <c r="E466" s="6" t="str">
        <f>IFERROR(__xludf.DUMMYFUNCTION("""COMPUTED_VALUE"""),"")</f>
        <v/>
      </c>
      <c r="F466" s="6" t="str">
        <f>IFERROR(__xludf.DUMMYFUNCTION("""COMPUTED_VALUE"""),"Upchurch")</f>
        <v>Upchurch</v>
      </c>
      <c r="G466" s="6" t="str">
        <f>IFERROR(__xludf.DUMMYFUNCTION("""COMPUTED_VALUE"""),"05/30/2011")</f>
        <v>05/30/2011</v>
      </c>
      <c r="H466" s="6" t="str">
        <f>IFERROR(__xludf.DUMMYFUNCTION("""COMPUTED_VALUE"""),"female")</f>
        <v>female</v>
      </c>
      <c r="I466" s="6" t="str">
        <f>IFERROR(__xludf.DUMMYFUNCTION("""COMPUTED_VALUE"""),"Middle School")</f>
        <v>Middle School</v>
      </c>
      <c r="J466" s="6" t="str">
        <f>IFERROR(__xludf.DUMMYFUNCTION("""COMPUTED_VALUE"""),"8")</f>
        <v>8</v>
      </c>
      <c r="K466" s="6" t="str">
        <f>IFERROR(__xludf.DUMMYFUNCTION("""COMPUTED_VALUE"""),"america.upchurch@2hourlearning.com")</f>
        <v>america.upchurch@2hourlearning.com</v>
      </c>
      <c r="L466" s="6" t="str">
        <f>IFERROR(__xludf.DUMMYFUNCTION("""COMPUTED_VALUE"""),"Alpha Anywhere (homeschool)")</f>
        <v>Alpha Anywhere (homeschool)</v>
      </c>
      <c r="M466" s="6" t="str">
        <f>IFERROR(__xludf.DUMMYFUNCTION("""COMPUTED_VALUE"""),"")</f>
        <v/>
      </c>
      <c r="N466" s="6" t="str">
        <f>IFERROR(__xludf.DUMMYFUNCTION("""COMPUTED_VALUE"""),"")</f>
        <v/>
      </c>
      <c r="O466" s="87" t="str">
        <f>IFERROR(__xludf.DUMMYFUNCTION("""COMPUTED_VALUE"""),"https://drive.google.com/drive/folders/10T2cTQHqEJZqE-st6uFKPoI?usp=share_link")</f>
        <v>https://drive.google.com/drive/folders/10T2cTQHqEJZqE-st6uFKPoI?usp=share_link</v>
      </c>
      <c r="P466" s="6" t="str">
        <f>IFERROR(__xludf.DUMMYFUNCTION("""COMPUTED_VALUE"""),"America Upchurch")</f>
        <v>America Upchurch</v>
      </c>
      <c r="Q466" s="6" t="str">
        <f>IFERROR(__xludf.DUMMYFUNCTION("""COMPUTED_VALUE"""),"MS")</f>
        <v>MS</v>
      </c>
      <c r="R466" s="6">
        <f>IFERROR(__xludf.DUMMYFUNCTION("""COMPUTED_VALUE"""),0.0)</f>
        <v>0</v>
      </c>
      <c r="S466" s="6" t="str">
        <f>IFERROR(__xludf.DUMMYFUNCTION("""COMPUTED_VALUE""")," ")</f>
        <v> </v>
      </c>
      <c r="T466" s="6" t="str">
        <f>IFERROR(__xludf.DUMMYFUNCTION("""COMPUTED_VALUE"""),"")</f>
        <v/>
      </c>
      <c r="U466" s="6" t="str">
        <f>IFERROR(__xludf.DUMMYFUNCTION("""COMPUTED_VALUE"""),"8")</f>
        <v>8</v>
      </c>
      <c r="V466" s="6" t="str">
        <f>IFERROR(__xludf.DUMMYFUNCTION("""COMPUTED_VALUE"""),"")</f>
        <v/>
      </c>
      <c r="W466" s="6" t="str">
        <f>IFERROR(__xludf.DUMMYFUNCTION("""COMPUTED_VALUE"""),"[]")</f>
        <v>[]</v>
      </c>
      <c r="X466" s="6" t="str">
        <f>IFERROR(__xludf.DUMMYFUNCTION("""COMPUTED_VALUE"""),"Enrolled")</f>
        <v>Enrolled</v>
      </c>
    </row>
    <row r="467">
      <c r="A467" s="6" t="str">
        <f>IFERROR(__xludf.DUMMYFUNCTION("""COMPUTED_VALUE"""),"000-8311")</f>
        <v>000-8311</v>
      </c>
      <c r="B467" s="6" t="str">
        <f>IFERROR(__xludf.DUMMYFUNCTION("""COMPUTED_VALUE"""),"0")</f>
        <v>0</v>
      </c>
      <c r="C467" s="6" t="str">
        <f>IFERROR(__xludf.DUMMYFUNCTION("""COMPUTED_VALUE"""),"8311")</f>
        <v>8311</v>
      </c>
      <c r="D467" s="6" t="str">
        <f>IFERROR(__xludf.DUMMYFUNCTION("""COMPUTED_VALUE"""),"Emma")</f>
        <v>Emma</v>
      </c>
      <c r="E467" s="6" t="str">
        <f>IFERROR(__xludf.DUMMYFUNCTION("""COMPUTED_VALUE"""),"")</f>
        <v/>
      </c>
      <c r="F467" s="6" t="str">
        <f>IFERROR(__xludf.DUMMYFUNCTION("""COMPUTED_VALUE"""),"Racioppi")</f>
        <v>Racioppi</v>
      </c>
      <c r="G467" s="6" t="str">
        <f>IFERROR(__xludf.DUMMYFUNCTION("""COMPUTED_VALUE"""),"08/10/2013")</f>
        <v>08/10/2013</v>
      </c>
      <c r="H467" s="6" t="str">
        <f>IFERROR(__xludf.DUMMYFUNCTION("""COMPUTED_VALUE"""),"female")</f>
        <v>female</v>
      </c>
      <c r="I467" s="6" t="str">
        <f>IFERROR(__xludf.DUMMYFUNCTION("""COMPUTED_VALUE"""),"Middle School")</f>
        <v>Middle School</v>
      </c>
      <c r="J467" s="6" t="str">
        <f>IFERROR(__xludf.DUMMYFUNCTION("""COMPUTED_VALUE"""),"7")</f>
        <v>7</v>
      </c>
      <c r="K467" s="6" t="str">
        <f>IFERROR(__xludf.DUMMYFUNCTION("""COMPUTED_VALUE"""),"emma.racioppi@2hourlearning.com")</f>
        <v>emma.racioppi@2hourlearning.com</v>
      </c>
      <c r="L467" s="6" t="str">
        <f>IFERROR(__xludf.DUMMYFUNCTION("""COMPUTED_VALUE"""),"Alpha Anywhere (homeschool)")</f>
        <v>Alpha Anywhere (homeschool)</v>
      </c>
      <c r="M467" s="6" t="str">
        <f>IFERROR(__xludf.DUMMYFUNCTION("""COMPUTED_VALUE"""),"")</f>
        <v/>
      </c>
      <c r="N467" s="6" t="str">
        <f>IFERROR(__xludf.DUMMYFUNCTION("""COMPUTED_VALUE"""),"")</f>
        <v/>
      </c>
      <c r="O467" s="87" t="str">
        <f>IFERROR(__xludf.DUMMYFUNCTION("""COMPUTED_VALUE"""),"https://drive.google.com/drive/folders/10T2cTQHqEJZqE-st6uFKPoI?usp=share_link")</f>
        <v>https://drive.google.com/drive/folders/10T2cTQHqEJZqE-st6uFKPoI?usp=share_link</v>
      </c>
      <c r="P467" s="6" t="str">
        <f>IFERROR(__xludf.DUMMYFUNCTION("""COMPUTED_VALUE"""),"Emma Racioppi")</f>
        <v>Emma Racioppi</v>
      </c>
      <c r="Q467" s="6" t="str">
        <f>IFERROR(__xludf.DUMMYFUNCTION("""COMPUTED_VALUE"""),"MS")</f>
        <v>MS</v>
      </c>
      <c r="R467" s="6">
        <f>IFERROR(__xludf.DUMMYFUNCTION("""COMPUTED_VALUE"""),0.0)</f>
        <v>0</v>
      </c>
      <c r="S467" s="6" t="str">
        <f>IFERROR(__xludf.DUMMYFUNCTION("""COMPUTED_VALUE""")," ")</f>
        <v> </v>
      </c>
      <c r="T467" s="6" t="str">
        <f>IFERROR(__xludf.DUMMYFUNCTION("""COMPUTED_VALUE"""),"")</f>
        <v/>
      </c>
      <c r="U467" s="6" t="str">
        <f>IFERROR(__xludf.DUMMYFUNCTION("""COMPUTED_VALUE"""),"7")</f>
        <v>7</v>
      </c>
      <c r="V467" s="6" t="str">
        <f>IFERROR(__xludf.DUMMYFUNCTION("""COMPUTED_VALUE"""),"")</f>
        <v/>
      </c>
      <c r="W467" s="6" t="str">
        <f>IFERROR(__xludf.DUMMYFUNCTION("""COMPUTED_VALUE"""),"[]")</f>
        <v>[]</v>
      </c>
      <c r="X467" s="6" t="str">
        <f>IFERROR(__xludf.DUMMYFUNCTION("""COMPUTED_VALUE"""),"Enrolled")</f>
        <v>Enrolled</v>
      </c>
    </row>
    <row r="468">
      <c r="A468" s="6" t="str">
        <f>IFERROR(__xludf.DUMMYFUNCTION("""COMPUTED_VALUE"""),"000-8312")</f>
        <v>000-8312</v>
      </c>
      <c r="B468" s="6" t="str">
        <f>IFERROR(__xludf.DUMMYFUNCTION("""COMPUTED_VALUE"""),"0")</f>
        <v>0</v>
      </c>
      <c r="C468" s="6" t="str">
        <f>IFERROR(__xludf.DUMMYFUNCTION("""COMPUTED_VALUE"""),"8312")</f>
        <v>8312</v>
      </c>
      <c r="D468" s="6" t="str">
        <f>IFERROR(__xludf.DUMMYFUNCTION("""COMPUTED_VALUE"""),"Katherine")</f>
        <v>Katherine</v>
      </c>
      <c r="E468" s="6" t="str">
        <f>IFERROR(__xludf.DUMMYFUNCTION("""COMPUTED_VALUE"""),"")</f>
        <v/>
      </c>
      <c r="F468" s="6" t="str">
        <f>IFERROR(__xludf.DUMMYFUNCTION("""COMPUTED_VALUE"""),"Racioppi")</f>
        <v>Racioppi</v>
      </c>
      <c r="G468" s="6" t="str">
        <f>IFERROR(__xludf.DUMMYFUNCTION("""COMPUTED_VALUE"""),"06/03/2015")</f>
        <v>06/03/2015</v>
      </c>
      <c r="H468" s="6" t="str">
        <f>IFERROR(__xludf.DUMMYFUNCTION("""COMPUTED_VALUE"""),"female")</f>
        <v>female</v>
      </c>
      <c r="I468" s="6" t="str">
        <f>IFERROR(__xludf.DUMMYFUNCTION("""COMPUTED_VALUE"""),"Level 2")</f>
        <v>Level 2</v>
      </c>
      <c r="J468" s="6" t="str">
        <f>IFERROR(__xludf.DUMMYFUNCTION("""COMPUTED_VALUE"""),"5")</f>
        <v>5</v>
      </c>
      <c r="K468" s="6" t="str">
        <f>IFERROR(__xludf.DUMMYFUNCTION("""COMPUTED_VALUE"""),"katherine.racioppi@2hourlearning.com")</f>
        <v>katherine.racioppi@2hourlearning.com</v>
      </c>
      <c r="L468" s="6" t="str">
        <f>IFERROR(__xludf.DUMMYFUNCTION("""COMPUTED_VALUE"""),"Alpha Anywhere (homeschool)")</f>
        <v>Alpha Anywhere (homeschool)</v>
      </c>
      <c r="M468" s="6" t="str">
        <f>IFERROR(__xludf.DUMMYFUNCTION("""COMPUTED_VALUE"""),"")</f>
        <v/>
      </c>
      <c r="N468" s="6" t="str">
        <f>IFERROR(__xludf.DUMMYFUNCTION("""COMPUTED_VALUE"""),"")</f>
        <v/>
      </c>
      <c r="O468" s="87" t="str">
        <f>IFERROR(__xludf.DUMMYFUNCTION("""COMPUTED_VALUE"""),"https://drive.google.com/drive/folders/10T2cTQHqEJZqE-st6uFKPoI?usp=share_link")</f>
        <v>https://drive.google.com/drive/folders/10T2cTQHqEJZqE-st6uFKPoI?usp=share_link</v>
      </c>
      <c r="P468" s="6" t="str">
        <f>IFERROR(__xludf.DUMMYFUNCTION("""COMPUTED_VALUE"""),"Katherine Racioppi")</f>
        <v>Katherine Racioppi</v>
      </c>
      <c r="Q468" s="6" t="str">
        <f>IFERROR(__xludf.DUMMYFUNCTION("""COMPUTED_VALUE"""),"L2")</f>
        <v>L2</v>
      </c>
      <c r="R468" s="6">
        <f>IFERROR(__xludf.DUMMYFUNCTION("""COMPUTED_VALUE"""),2.0)</f>
        <v>2</v>
      </c>
      <c r="S468" s="6" t="str">
        <f>IFERROR(__xludf.DUMMYFUNCTION("""COMPUTED_VALUE""")," ")</f>
        <v> </v>
      </c>
      <c r="T468" s="6" t="str">
        <f>IFERROR(__xludf.DUMMYFUNCTION("""COMPUTED_VALUE"""),"")</f>
        <v/>
      </c>
      <c r="U468" s="6" t="str">
        <f>IFERROR(__xludf.DUMMYFUNCTION("""COMPUTED_VALUE"""),"5")</f>
        <v>5</v>
      </c>
      <c r="V468" s="6" t="str">
        <f>IFERROR(__xludf.DUMMYFUNCTION("""COMPUTED_VALUE"""),"")</f>
        <v/>
      </c>
      <c r="W468" s="6" t="str">
        <f>IFERROR(__xludf.DUMMYFUNCTION("""COMPUTED_VALUE"""),"[]")</f>
        <v>[]</v>
      </c>
      <c r="X468" s="6" t="str">
        <f>IFERROR(__xludf.DUMMYFUNCTION("""COMPUTED_VALUE"""),"Enrolled")</f>
        <v>Enrolled</v>
      </c>
    </row>
    <row r="469">
      <c r="A469" s="6" t="str">
        <f>IFERROR(__xludf.DUMMYFUNCTION("""COMPUTED_VALUE"""),"000-8318")</f>
        <v>000-8318</v>
      </c>
      <c r="B469" s="6" t="str">
        <f>IFERROR(__xludf.DUMMYFUNCTION("""COMPUTED_VALUE"""),"0")</f>
        <v>0</v>
      </c>
      <c r="C469" s="6" t="str">
        <f>IFERROR(__xludf.DUMMYFUNCTION("""COMPUTED_VALUE"""),"8318")</f>
        <v>8318</v>
      </c>
      <c r="D469" s="6" t="str">
        <f>IFERROR(__xludf.DUMMYFUNCTION("""COMPUTED_VALUE"""),"Ellie")</f>
        <v>Ellie</v>
      </c>
      <c r="E469" s="6" t="str">
        <f>IFERROR(__xludf.DUMMYFUNCTION("""COMPUTED_VALUE"""),"")</f>
        <v/>
      </c>
      <c r="F469" s="6" t="str">
        <f>IFERROR(__xludf.DUMMYFUNCTION("""COMPUTED_VALUE"""),"Francis")</f>
        <v>Francis</v>
      </c>
      <c r="G469" s="6" t="str">
        <f>IFERROR(__xludf.DUMMYFUNCTION("""COMPUTED_VALUE"""),"12/07/2010")</f>
        <v>12/07/2010</v>
      </c>
      <c r="H469" s="6" t="str">
        <f>IFERROR(__xludf.DUMMYFUNCTION("""COMPUTED_VALUE"""),"female")</f>
        <v>female</v>
      </c>
      <c r="I469" s="6" t="str">
        <f>IFERROR(__xludf.DUMMYFUNCTION("""COMPUTED_VALUE"""),"High School")</f>
        <v>High School</v>
      </c>
      <c r="J469" s="6" t="str">
        <f>IFERROR(__xludf.DUMMYFUNCTION("""COMPUTED_VALUE"""),"9")</f>
        <v>9</v>
      </c>
      <c r="K469" s="6" t="str">
        <f>IFERROR(__xludf.DUMMYFUNCTION("""COMPUTED_VALUE"""),"ellie.francis@2hourlearning.com")</f>
        <v>ellie.francis@2hourlearning.com</v>
      </c>
      <c r="L469" s="6" t="str">
        <f>IFERROR(__xludf.DUMMYFUNCTION("""COMPUTED_VALUE"""),"Alpha Anywhere (homeschool)")</f>
        <v>Alpha Anywhere (homeschool)</v>
      </c>
      <c r="M469" s="6" t="str">
        <f>IFERROR(__xludf.DUMMYFUNCTION("""COMPUTED_VALUE"""),"")</f>
        <v/>
      </c>
      <c r="N469" s="6" t="str">
        <f>IFERROR(__xludf.DUMMYFUNCTION("""COMPUTED_VALUE"""),"")</f>
        <v/>
      </c>
      <c r="O469" s="87" t="str">
        <f>IFERROR(__xludf.DUMMYFUNCTION("""COMPUTED_VALUE"""),"https://drive.google.com/drive/folders/10T2cTQHqEJZqE-st6uFKPoI?usp=share_link")</f>
        <v>https://drive.google.com/drive/folders/10T2cTQHqEJZqE-st6uFKPoI?usp=share_link</v>
      </c>
      <c r="P469" s="6" t="str">
        <f>IFERROR(__xludf.DUMMYFUNCTION("""COMPUTED_VALUE"""),"Ellie Francis")</f>
        <v>Ellie Francis</v>
      </c>
      <c r="Q469" s="6" t="str">
        <f>IFERROR(__xludf.DUMMYFUNCTION("""COMPUTED_VALUE"""),"HS")</f>
        <v>HS</v>
      </c>
      <c r="R469" s="6">
        <f>IFERROR(__xludf.DUMMYFUNCTION("""COMPUTED_VALUE"""),0.0)</f>
        <v>0</v>
      </c>
      <c r="S469" s="6" t="str">
        <f>IFERROR(__xludf.DUMMYFUNCTION("""COMPUTED_VALUE""")," ")</f>
        <v> </v>
      </c>
      <c r="T469" s="6" t="str">
        <f>IFERROR(__xludf.DUMMYFUNCTION("""COMPUTED_VALUE"""),"")</f>
        <v/>
      </c>
      <c r="U469" s="6" t="str">
        <f>IFERROR(__xludf.DUMMYFUNCTION("""COMPUTED_VALUE"""),"9")</f>
        <v>9</v>
      </c>
      <c r="V469" s="6" t="str">
        <f>IFERROR(__xludf.DUMMYFUNCTION("""COMPUTED_VALUE"""),"")</f>
        <v/>
      </c>
      <c r="W469" s="6" t="str">
        <f>IFERROR(__xludf.DUMMYFUNCTION("""COMPUTED_VALUE"""),"[]")</f>
        <v>[]</v>
      </c>
      <c r="X469" s="6" t="str">
        <f>IFERROR(__xludf.DUMMYFUNCTION("""COMPUTED_VALUE"""),"Enrolled")</f>
        <v>Enrolled</v>
      </c>
    </row>
    <row r="470">
      <c r="A470" s="6" t="str">
        <f>IFERROR(__xludf.DUMMYFUNCTION("""COMPUTED_VALUE"""),"000-8325")</f>
        <v>000-8325</v>
      </c>
      <c r="B470" s="6" t="str">
        <f>IFERROR(__xludf.DUMMYFUNCTION("""COMPUTED_VALUE"""),"0")</f>
        <v>0</v>
      </c>
      <c r="C470" s="6" t="str">
        <f>IFERROR(__xludf.DUMMYFUNCTION("""COMPUTED_VALUE"""),"8325")</f>
        <v>8325</v>
      </c>
      <c r="D470" s="6" t="str">
        <f>IFERROR(__xludf.DUMMYFUNCTION("""COMPUTED_VALUE"""),"Della")</f>
        <v>Della</v>
      </c>
      <c r="E470" s="6" t="str">
        <f>IFERROR(__xludf.DUMMYFUNCTION("""COMPUTED_VALUE"""),"")</f>
        <v/>
      </c>
      <c r="F470" s="6" t="str">
        <f>IFERROR(__xludf.DUMMYFUNCTION("""COMPUTED_VALUE"""),"Kefauver")</f>
        <v>Kefauver</v>
      </c>
      <c r="G470" s="6" t="str">
        <f>IFERROR(__xludf.DUMMYFUNCTION("""COMPUTED_VALUE"""),"02/24/2016")</f>
        <v>02/24/2016</v>
      </c>
      <c r="H470" s="6" t="str">
        <f>IFERROR(__xludf.DUMMYFUNCTION("""COMPUTED_VALUE"""),"female")</f>
        <v>female</v>
      </c>
      <c r="I470" s="6" t="str">
        <f>IFERROR(__xludf.DUMMYFUNCTION("""COMPUTED_VALUE"""),"Level 2")</f>
        <v>Level 2</v>
      </c>
      <c r="J470" s="6" t="str">
        <f>IFERROR(__xludf.DUMMYFUNCTION("""COMPUTED_VALUE"""),"4")</f>
        <v>4</v>
      </c>
      <c r="K470" s="6" t="str">
        <f>IFERROR(__xludf.DUMMYFUNCTION("""COMPUTED_VALUE"""),"della.kefauver@2hourlearning.com")</f>
        <v>della.kefauver@2hourlearning.com</v>
      </c>
      <c r="L470" s="6" t="str">
        <f>IFERROR(__xludf.DUMMYFUNCTION("""COMPUTED_VALUE"""),"Alpha Anywhere (homeschool)")</f>
        <v>Alpha Anywhere (homeschool)</v>
      </c>
      <c r="M470" s="6" t="str">
        <f>IFERROR(__xludf.DUMMYFUNCTION("""COMPUTED_VALUE"""),"")</f>
        <v/>
      </c>
      <c r="N470" s="6" t="str">
        <f>IFERROR(__xludf.DUMMYFUNCTION("""COMPUTED_VALUE"""),"")</f>
        <v/>
      </c>
      <c r="O470" s="87" t="str">
        <f>IFERROR(__xludf.DUMMYFUNCTION("""COMPUTED_VALUE"""),"https://drive.google.com/drive/folders/10T2cTQHqEJZqE-st6uFKPoI?usp=share_link")</f>
        <v>https://drive.google.com/drive/folders/10T2cTQHqEJZqE-st6uFKPoI?usp=share_link</v>
      </c>
      <c r="P470" s="6" t="str">
        <f>IFERROR(__xludf.DUMMYFUNCTION("""COMPUTED_VALUE"""),"Della Kefauver")</f>
        <v>Della Kefauver</v>
      </c>
      <c r="Q470" s="6" t="str">
        <f>IFERROR(__xludf.DUMMYFUNCTION("""COMPUTED_VALUE"""),"L2")</f>
        <v>L2</v>
      </c>
      <c r="R470" s="6">
        <f>IFERROR(__xludf.DUMMYFUNCTION("""COMPUTED_VALUE"""),2.0)</f>
        <v>2</v>
      </c>
      <c r="S470" s="6" t="str">
        <f>IFERROR(__xludf.DUMMYFUNCTION("""COMPUTED_VALUE""")," ")</f>
        <v> </v>
      </c>
      <c r="T470" s="6" t="str">
        <f>IFERROR(__xludf.DUMMYFUNCTION("""COMPUTED_VALUE"""),"")</f>
        <v/>
      </c>
      <c r="U470" s="6" t="str">
        <f>IFERROR(__xludf.DUMMYFUNCTION("""COMPUTED_VALUE"""),"4")</f>
        <v>4</v>
      </c>
      <c r="V470" s="6" t="str">
        <f>IFERROR(__xludf.DUMMYFUNCTION("""COMPUTED_VALUE"""),"")</f>
        <v/>
      </c>
      <c r="W470" s="6" t="str">
        <f>IFERROR(__xludf.DUMMYFUNCTION("""COMPUTED_VALUE"""),"[]")</f>
        <v>[]</v>
      </c>
      <c r="X470" s="6" t="str">
        <f>IFERROR(__xludf.DUMMYFUNCTION("""COMPUTED_VALUE"""),"Enrolled")</f>
        <v>Enrolled</v>
      </c>
    </row>
    <row r="471">
      <c r="A471" s="6" t="str">
        <f>IFERROR(__xludf.DUMMYFUNCTION("""COMPUTED_VALUE"""),"000-8326")</f>
        <v>000-8326</v>
      </c>
      <c r="B471" s="6" t="str">
        <f>IFERROR(__xludf.DUMMYFUNCTION("""COMPUTED_VALUE"""),"0")</f>
        <v>0</v>
      </c>
      <c r="C471" s="6" t="str">
        <f>IFERROR(__xludf.DUMMYFUNCTION("""COMPUTED_VALUE"""),"8326")</f>
        <v>8326</v>
      </c>
      <c r="D471" s="6" t="str">
        <f>IFERROR(__xludf.DUMMYFUNCTION("""COMPUTED_VALUE"""),"Milena")</f>
        <v>Milena</v>
      </c>
      <c r="E471" s="6" t="str">
        <f>IFERROR(__xludf.DUMMYFUNCTION("""COMPUTED_VALUE"""),"")</f>
        <v/>
      </c>
      <c r="F471" s="6" t="str">
        <f>IFERROR(__xludf.DUMMYFUNCTION("""COMPUTED_VALUE"""),"Kefauver")</f>
        <v>Kefauver</v>
      </c>
      <c r="G471" s="6" t="str">
        <f>IFERROR(__xludf.DUMMYFUNCTION("""COMPUTED_VALUE"""),"03/03/2017")</f>
        <v>03/03/2017</v>
      </c>
      <c r="H471" s="6" t="str">
        <f>IFERROR(__xludf.DUMMYFUNCTION("""COMPUTED_VALUE"""),"female")</f>
        <v>female</v>
      </c>
      <c r="I471" s="6" t="str">
        <f>IFERROR(__xludf.DUMMYFUNCTION("""COMPUTED_VALUE"""),"Level 1")</f>
        <v>Level 1</v>
      </c>
      <c r="J471" s="6" t="str">
        <f>IFERROR(__xludf.DUMMYFUNCTION("""COMPUTED_VALUE"""),"3")</f>
        <v>3</v>
      </c>
      <c r="K471" s="6" t="str">
        <f>IFERROR(__xludf.DUMMYFUNCTION("""COMPUTED_VALUE"""),"milena.kefauver@2hourlearning.com")</f>
        <v>milena.kefauver@2hourlearning.com</v>
      </c>
      <c r="L471" s="6" t="str">
        <f>IFERROR(__xludf.DUMMYFUNCTION("""COMPUTED_VALUE"""),"Alpha Anywhere (homeschool)")</f>
        <v>Alpha Anywhere (homeschool)</v>
      </c>
      <c r="M471" s="6" t="str">
        <f>IFERROR(__xludf.DUMMYFUNCTION("""COMPUTED_VALUE"""),"")</f>
        <v/>
      </c>
      <c r="N471" s="6" t="str">
        <f>IFERROR(__xludf.DUMMYFUNCTION("""COMPUTED_VALUE"""),"")</f>
        <v/>
      </c>
      <c r="O471" s="87" t="str">
        <f>IFERROR(__xludf.DUMMYFUNCTION("""COMPUTED_VALUE"""),"https://drive.google.com/drive/folders/10T2cTQHqEJZqE-st6uFKPoI?usp=share_link")</f>
        <v>https://drive.google.com/drive/folders/10T2cTQHqEJZqE-st6uFKPoI?usp=share_link</v>
      </c>
      <c r="P471" s="6" t="str">
        <f>IFERROR(__xludf.DUMMYFUNCTION("""COMPUTED_VALUE"""),"Milena Kefauver")</f>
        <v>Milena Kefauver</v>
      </c>
      <c r="Q471" s="6" t="str">
        <f>IFERROR(__xludf.DUMMYFUNCTION("""COMPUTED_VALUE"""),"L1")</f>
        <v>L1</v>
      </c>
      <c r="R471" s="6">
        <f>IFERROR(__xludf.DUMMYFUNCTION("""COMPUTED_VALUE"""),1.0)</f>
        <v>1</v>
      </c>
      <c r="S471" s="6" t="str">
        <f>IFERROR(__xludf.DUMMYFUNCTION("""COMPUTED_VALUE""")," ")</f>
        <v> </v>
      </c>
      <c r="T471" s="6" t="str">
        <f>IFERROR(__xludf.DUMMYFUNCTION("""COMPUTED_VALUE"""),"")</f>
        <v/>
      </c>
      <c r="U471" s="6" t="str">
        <f>IFERROR(__xludf.DUMMYFUNCTION("""COMPUTED_VALUE"""),"3")</f>
        <v>3</v>
      </c>
      <c r="V471" s="6" t="str">
        <f>IFERROR(__xludf.DUMMYFUNCTION("""COMPUTED_VALUE"""),"")</f>
        <v/>
      </c>
      <c r="W471" s="6" t="str">
        <f>IFERROR(__xludf.DUMMYFUNCTION("""COMPUTED_VALUE"""),"[]")</f>
        <v>[]</v>
      </c>
      <c r="X471" s="6" t="str">
        <f>IFERROR(__xludf.DUMMYFUNCTION("""COMPUTED_VALUE"""),"Enrolled")</f>
        <v>Enrolled</v>
      </c>
    </row>
    <row r="472">
      <c r="A472" s="6" t="str">
        <f>IFERROR(__xludf.DUMMYFUNCTION("""COMPUTED_VALUE"""),"000-8342")</f>
        <v>000-8342</v>
      </c>
      <c r="B472" s="6" t="str">
        <f>IFERROR(__xludf.DUMMYFUNCTION("""COMPUTED_VALUE"""),"0")</f>
        <v>0</v>
      </c>
      <c r="C472" s="6" t="str">
        <f>IFERROR(__xludf.DUMMYFUNCTION("""COMPUTED_VALUE"""),"8342")</f>
        <v>8342</v>
      </c>
      <c r="D472" s="6" t="str">
        <f>IFERROR(__xludf.DUMMYFUNCTION("""COMPUTED_VALUE"""),"nico")</f>
        <v>nico</v>
      </c>
      <c r="E472" s="6" t="str">
        <f>IFERROR(__xludf.DUMMYFUNCTION("""COMPUTED_VALUE"""),"")</f>
        <v/>
      </c>
      <c r="F472" s="6" t="str">
        <f>IFERROR(__xludf.DUMMYFUNCTION("""COMPUTED_VALUE"""),"martin")</f>
        <v>martin</v>
      </c>
      <c r="G472" s="6" t="str">
        <f>IFERROR(__xludf.DUMMYFUNCTION("""COMPUTED_VALUE"""),"06/02/2014")</f>
        <v>06/02/2014</v>
      </c>
      <c r="H472" s="6" t="str">
        <f>IFERROR(__xludf.DUMMYFUNCTION("""COMPUTED_VALUE"""),"male")</f>
        <v>male</v>
      </c>
      <c r="I472" s="6" t="str">
        <f>IFERROR(__xludf.DUMMYFUNCTION("""COMPUTED_VALUE"""),"Middle School")</f>
        <v>Middle School</v>
      </c>
      <c r="J472" s="6" t="str">
        <f>IFERROR(__xludf.DUMMYFUNCTION("""COMPUTED_VALUE"""),"6")</f>
        <v>6</v>
      </c>
      <c r="K472" s="6" t="str">
        <f>IFERROR(__xludf.DUMMYFUNCTION("""COMPUTED_VALUE"""),"nico.s.martin@2hourlearning.com")</f>
        <v>nico.s.martin@2hourlearning.com</v>
      </c>
      <c r="L472" s="6" t="str">
        <f>IFERROR(__xludf.DUMMYFUNCTION("""COMPUTED_VALUE"""),"Alpha Anywhere (homeschool)")</f>
        <v>Alpha Anywhere (homeschool)</v>
      </c>
      <c r="M472" s="6" t="str">
        <f>IFERROR(__xludf.DUMMYFUNCTION("""COMPUTED_VALUE"""),"")</f>
        <v/>
      </c>
      <c r="N472" s="6" t="str">
        <f>IFERROR(__xludf.DUMMYFUNCTION("""COMPUTED_VALUE"""),"")</f>
        <v/>
      </c>
      <c r="O472" s="87" t="str">
        <f>IFERROR(__xludf.DUMMYFUNCTION("""COMPUTED_VALUE"""),"https://drive.google.com/drive/folders/10T2cTQHqEJZqE-st6uFKPoI?usp=share_link")</f>
        <v>https://drive.google.com/drive/folders/10T2cTQHqEJZqE-st6uFKPoI?usp=share_link</v>
      </c>
      <c r="P472" s="6" t="str">
        <f>IFERROR(__xludf.DUMMYFUNCTION("""COMPUTED_VALUE"""),"nico martin")</f>
        <v>nico martin</v>
      </c>
      <c r="Q472" s="6" t="str">
        <f>IFERROR(__xludf.DUMMYFUNCTION("""COMPUTED_VALUE"""),"MS")</f>
        <v>MS</v>
      </c>
      <c r="R472" s="6">
        <f>IFERROR(__xludf.DUMMYFUNCTION("""COMPUTED_VALUE"""),0.0)</f>
        <v>0</v>
      </c>
      <c r="S472" s="6" t="str">
        <f>IFERROR(__xludf.DUMMYFUNCTION("""COMPUTED_VALUE""")," ")</f>
        <v> </v>
      </c>
      <c r="T472" s="6" t="str">
        <f>IFERROR(__xludf.DUMMYFUNCTION("""COMPUTED_VALUE"""),"")</f>
        <v/>
      </c>
      <c r="U472" s="6" t="str">
        <f>IFERROR(__xludf.DUMMYFUNCTION("""COMPUTED_VALUE"""),"6")</f>
        <v>6</v>
      </c>
      <c r="V472" s="6" t="str">
        <f>IFERROR(__xludf.DUMMYFUNCTION("""COMPUTED_VALUE"""),"")</f>
        <v/>
      </c>
      <c r="W472" s="6" t="str">
        <f>IFERROR(__xludf.DUMMYFUNCTION("""COMPUTED_VALUE"""),"[]")</f>
        <v>[]</v>
      </c>
      <c r="X472" s="6" t="str">
        <f>IFERROR(__xludf.DUMMYFUNCTION("""COMPUTED_VALUE"""),"Enrolled")</f>
        <v>Enrolled</v>
      </c>
    </row>
    <row r="473">
      <c r="A473" s="6" t="str">
        <f>IFERROR(__xludf.DUMMYFUNCTION("""COMPUTED_VALUE"""),"000-8361")</f>
        <v>000-8361</v>
      </c>
      <c r="B473" s="6" t="str">
        <f>IFERROR(__xludf.DUMMYFUNCTION("""COMPUTED_VALUE"""),"0")</f>
        <v>0</v>
      </c>
      <c r="C473" s="6" t="str">
        <f>IFERROR(__xludf.DUMMYFUNCTION("""COMPUTED_VALUE"""),"8361")</f>
        <v>8361</v>
      </c>
      <c r="D473" s="6" t="str">
        <f>IFERROR(__xludf.DUMMYFUNCTION("""COMPUTED_VALUE"""),"Grayson")</f>
        <v>Grayson</v>
      </c>
      <c r="E473" s="6" t="str">
        <f>IFERROR(__xludf.DUMMYFUNCTION("""COMPUTED_VALUE"""),"")</f>
        <v/>
      </c>
      <c r="F473" s="6" t="str">
        <f>IFERROR(__xludf.DUMMYFUNCTION("""COMPUTED_VALUE"""),"Rabaud")</f>
        <v>Rabaud</v>
      </c>
      <c r="G473" s="6" t="str">
        <f>IFERROR(__xludf.DUMMYFUNCTION("""COMPUTED_VALUE"""),"11/01/2017")</f>
        <v>11/01/2017</v>
      </c>
      <c r="H473" s="6" t="str">
        <f>IFERROR(__xludf.DUMMYFUNCTION("""COMPUTED_VALUE"""),"male")</f>
        <v>male</v>
      </c>
      <c r="I473" s="6" t="str">
        <f>IFERROR(__xludf.DUMMYFUNCTION("""COMPUTED_VALUE"""),"Level 1")</f>
        <v>Level 1</v>
      </c>
      <c r="J473" s="6" t="str">
        <f>IFERROR(__xludf.DUMMYFUNCTION("""COMPUTED_VALUE"""),"3")</f>
        <v>3</v>
      </c>
      <c r="K473" s="6" t="str">
        <f>IFERROR(__xludf.DUMMYFUNCTION("""COMPUTED_VALUE"""),"grayson.rabaud@2hourlearning.com")</f>
        <v>grayson.rabaud@2hourlearning.com</v>
      </c>
      <c r="L473" s="6" t="str">
        <f>IFERROR(__xludf.DUMMYFUNCTION("""COMPUTED_VALUE"""),"Alpha Anywhere (homeschool)")</f>
        <v>Alpha Anywhere (homeschool)</v>
      </c>
      <c r="M473" s="6" t="str">
        <f>IFERROR(__xludf.DUMMYFUNCTION("""COMPUTED_VALUE"""),"")</f>
        <v/>
      </c>
      <c r="N473" s="6" t="str">
        <f>IFERROR(__xludf.DUMMYFUNCTION("""COMPUTED_VALUE"""),"")</f>
        <v/>
      </c>
      <c r="O473" s="87" t="str">
        <f>IFERROR(__xludf.DUMMYFUNCTION("""COMPUTED_VALUE"""),"https://drive.google.com/drive/folders/10T2cTQHqEJZqE-st6uFKPoI?usp=share_link")</f>
        <v>https://drive.google.com/drive/folders/10T2cTQHqEJZqE-st6uFKPoI?usp=share_link</v>
      </c>
      <c r="P473" s="6" t="str">
        <f>IFERROR(__xludf.DUMMYFUNCTION("""COMPUTED_VALUE"""),"Grayson Rabaud")</f>
        <v>Grayson Rabaud</v>
      </c>
      <c r="Q473" s="6" t="str">
        <f>IFERROR(__xludf.DUMMYFUNCTION("""COMPUTED_VALUE"""),"L1")</f>
        <v>L1</v>
      </c>
      <c r="R473" s="6">
        <f>IFERROR(__xludf.DUMMYFUNCTION("""COMPUTED_VALUE"""),1.0)</f>
        <v>1</v>
      </c>
      <c r="S473" s="6" t="str">
        <f>IFERROR(__xludf.DUMMYFUNCTION("""COMPUTED_VALUE""")," ")</f>
        <v> </v>
      </c>
      <c r="T473" s="6" t="str">
        <f>IFERROR(__xludf.DUMMYFUNCTION("""COMPUTED_VALUE"""),"")</f>
        <v/>
      </c>
      <c r="U473" s="6" t="str">
        <f>IFERROR(__xludf.DUMMYFUNCTION("""COMPUTED_VALUE"""),"3")</f>
        <v>3</v>
      </c>
      <c r="V473" s="6" t="str">
        <f>IFERROR(__xludf.DUMMYFUNCTION("""COMPUTED_VALUE"""),"")</f>
        <v/>
      </c>
      <c r="W473" s="6" t="str">
        <f>IFERROR(__xludf.DUMMYFUNCTION("""COMPUTED_VALUE"""),"[]")</f>
        <v>[]</v>
      </c>
      <c r="X473" s="6" t="str">
        <f>IFERROR(__xludf.DUMMYFUNCTION("""COMPUTED_VALUE"""),"Enrolled")</f>
        <v>Enrolled</v>
      </c>
    </row>
    <row r="474">
      <c r="A474" s="6" t="str">
        <f>IFERROR(__xludf.DUMMYFUNCTION("""COMPUTED_VALUE"""),"000-8374")</f>
        <v>000-8374</v>
      </c>
      <c r="B474" s="6" t="str">
        <f>IFERROR(__xludf.DUMMYFUNCTION("""COMPUTED_VALUE"""),"0")</f>
        <v>0</v>
      </c>
      <c r="C474" s="6" t="str">
        <f>IFERROR(__xludf.DUMMYFUNCTION("""COMPUTED_VALUE"""),"8374")</f>
        <v>8374</v>
      </c>
      <c r="D474" s="6" t="str">
        <f>IFERROR(__xludf.DUMMYFUNCTION("""COMPUTED_VALUE"""),"Eleanor")</f>
        <v>Eleanor</v>
      </c>
      <c r="E474" s="6" t="str">
        <f>IFERROR(__xludf.DUMMYFUNCTION("""COMPUTED_VALUE"""),"")</f>
        <v/>
      </c>
      <c r="F474" s="6" t="str">
        <f>IFERROR(__xludf.DUMMYFUNCTION("""COMPUTED_VALUE"""),"Patenaude")</f>
        <v>Patenaude</v>
      </c>
      <c r="G474" s="6" t="str">
        <f>IFERROR(__xludf.DUMMYFUNCTION("""COMPUTED_VALUE"""),"09/14/2014")</f>
        <v>09/14/2014</v>
      </c>
      <c r="H474" s="6" t="str">
        <f>IFERROR(__xludf.DUMMYFUNCTION("""COMPUTED_VALUE"""),"female")</f>
        <v>female</v>
      </c>
      <c r="I474" s="6" t="str">
        <f>IFERROR(__xludf.DUMMYFUNCTION("""COMPUTED_VALUE"""),"Level 2")</f>
        <v>Level 2</v>
      </c>
      <c r="J474" s="6" t="str">
        <f>IFERROR(__xludf.DUMMYFUNCTION("""COMPUTED_VALUE"""),"5")</f>
        <v>5</v>
      </c>
      <c r="K474" s="6" t="str">
        <f>IFERROR(__xludf.DUMMYFUNCTION("""COMPUTED_VALUE"""),"eleanor.patenaude@2hourlearning.com")</f>
        <v>eleanor.patenaude@2hourlearning.com</v>
      </c>
      <c r="L474" s="6" t="str">
        <f>IFERROR(__xludf.DUMMYFUNCTION("""COMPUTED_VALUE"""),"Alpha Anywhere (homeschool)")</f>
        <v>Alpha Anywhere (homeschool)</v>
      </c>
      <c r="M474" s="6" t="str">
        <f>IFERROR(__xludf.DUMMYFUNCTION("""COMPUTED_VALUE"""),"")</f>
        <v/>
      </c>
      <c r="N474" s="6" t="str">
        <f>IFERROR(__xludf.DUMMYFUNCTION("""COMPUTED_VALUE"""),"")</f>
        <v/>
      </c>
      <c r="O474" s="87" t="str">
        <f>IFERROR(__xludf.DUMMYFUNCTION("""COMPUTED_VALUE"""),"https://drive.google.com/drive/folders/10T2cTQHqEJZqE-st6uFKPoI?usp=share_link")</f>
        <v>https://drive.google.com/drive/folders/10T2cTQHqEJZqE-st6uFKPoI?usp=share_link</v>
      </c>
      <c r="P474" s="6" t="str">
        <f>IFERROR(__xludf.DUMMYFUNCTION("""COMPUTED_VALUE"""),"Eleanor Patenaude")</f>
        <v>Eleanor Patenaude</v>
      </c>
      <c r="Q474" s="6" t="str">
        <f>IFERROR(__xludf.DUMMYFUNCTION("""COMPUTED_VALUE"""),"L2")</f>
        <v>L2</v>
      </c>
      <c r="R474" s="6">
        <f>IFERROR(__xludf.DUMMYFUNCTION("""COMPUTED_VALUE"""),2.0)</f>
        <v>2</v>
      </c>
      <c r="S474" s="6" t="str">
        <f>IFERROR(__xludf.DUMMYFUNCTION("""COMPUTED_VALUE""")," ")</f>
        <v> </v>
      </c>
      <c r="T474" s="6" t="str">
        <f>IFERROR(__xludf.DUMMYFUNCTION("""COMPUTED_VALUE"""),"")</f>
        <v/>
      </c>
      <c r="U474" s="6" t="str">
        <f>IFERROR(__xludf.DUMMYFUNCTION("""COMPUTED_VALUE"""),"5")</f>
        <v>5</v>
      </c>
      <c r="V474" s="6" t="str">
        <f>IFERROR(__xludf.DUMMYFUNCTION("""COMPUTED_VALUE"""),"")</f>
        <v/>
      </c>
      <c r="W474" s="6" t="str">
        <f>IFERROR(__xludf.DUMMYFUNCTION("""COMPUTED_VALUE"""),"[]")</f>
        <v>[]</v>
      </c>
      <c r="X474" s="6" t="str">
        <f>IFERROR(__xludf.DUMMYFUNCTION("""COMPUTED_VALUE"""),"Enrolled")</f>
        <v>Enrolled</v>
      </c>
    </row>
    <row r="475">
      <c r="A475" s="6" t="str">
        <f>IFERROR(__xludf.DUMMYFUNCTION("""COMPUTED_VALUE"""),"000-8378")</f>
        <v>000-8378</v>
      </c>
      <c r="B475" s="6" t="str">
        <f>IFERROR(__xludf.DUMMYFUNCTION("""COMPUTED_VALUE"""),"0")</f>
        <v>0</v>
      </c>
      <c r="C475" s="6" t="str">
        <f>IFERROR(__xludf.DUMMYFUNCTION("""COMPUTED_VALUE"""),"8378")</f>
        <v>8378</v>
      </c>
      <c r="D475" s="6" t="str">
        <f>IFERROR(__xludf.DUMMYFUNCTION("""COMPUTED_VALUE"""),"Fitz")</f>
        <v>Fitz</v>
      </c>
      <c r="E475" s="6" t="str">
        <f>IFERROR(__xludf.DUMMYFUNCTION("""COMPUTED_VALUE"""),"")</f>
        <v/>
      </c>
      <c r="F475" s="6" t="str">
        <f>IFERROR(__xludf.DUMMYFUNCTION("""COMPUTED_VALUE"""),"Davis")</f>
        <v>Davis</v>
      </c>
      <c r="G475" s="6" t="str">
        <f>IFERROR(__xludf.DUMMYFUNCTION("""COMPUTED_VALUE"""),"07/14/2016")</f>
        <v>07/14/2016</v>
      </c>
      <c r="H475" s="6" t="str">
        <f>IFERROR(__xludf.DUMMYFUNCTION("""COMPUTED_VALUE"""),"male")</f>
        <v>male</v>
      </c>
      <c r="I475" s="6" t="str">
        <f>IFERROR(__xludf.DUMMYFUNCTION("""COMPUTED_VALUE"""),"Level 1")</f>
        <v>Level 1</v>
      </c>
      <c r="J475" s="6" t="str">
        <f>IFERROR(__xludf.DUMMYFUNCTION("""COMPUTED_VALUE"""),"3")</f>
        <v>3</v>
      </c>
      <c r="K475" s="6" t="str">
        <f>IFERROR(__xludf.DUMMYFUNCTION("""COMPUTED_VALUE"""),"fitz.davis@2hourlearning.com")</f>
        <v>fitz.davis@2hourlearning.com</v>
      </c>
      <c r="L475" s="6" t="str">
        <f>IFERROR(__xludf.DUMMYFUNCTION("""COMPUTED_VALUE"""),"Alpha Anywhere (homeschool)")</f>
        <v>Alpha Anywhere (homeschool)</v>
      </c>
      <c r="M475" s="6" t="str">
        <f>IFERROR(__xludf.DUMMYFUNCTION("""COMPUTED_VALUE"""),"")</f>
        <v/>
      </c>
      <c r="N475" s="6" t="str">
        <f>IFERROR(__xludf.DUMMYFUNCTION("""COMPUTED_VALUE"""),"")</f>
        <v/>
      </c>
      <c r="O475" s="87" t="str">
        <f>IFERROR(__xludf.DUMMYFUNCTION("""COMPUTED_VALUE"""),"https://drive.google.com/drive/folders/10T2cTQHqEJZqE-st6uFKPoI?usp=share_link")</f>
        <v>https://drive.google.com/drive/folders/10T2cTQHqEJZqE-st6uFKPoI?usp=share_link</v>
      </c>
      <c r="P475" s="6" t="str">
        <f>IFERROR(__xludf.DUMMYFUNCTION("""COMPUTED_VALUE"""),"Fitz Davis")</f>
        <v>Fitz Davis</v>
      </c>
      <c r="Q475" s="6" t="str">
        <f>IFERROR(__xludf.DUMMYFUNCTION("""COMPUTED_VALUE"""),"L1")</f>
        <v>L1</v>
      </c>
      <c r="R475" s="6">
        <f>IFERROR(__xludf.DUMMYFUNCTION("""COMPUTED_VALUE"""),1.0)</f>
        <v>1</v>
      </c>
      <c r="S475" s="6" t="str">
        <f>IFERROR(__xludf.DUMMYFUNCTION("""COMPUTED_VALUE""")," ")</f>
        <v> </v>
      </c>
      <c r="T475" s="6" t="str">
        <f>IFERROR(__xludf.DUMMYFUNCTION("""COMPUTED_VALUE"""),"")</f>
        <v/>
      </c>
      <c r="U475" s="6" t="str">
        <f>IFERROR(__xludf.DUMMYFUNCTION("""COMPUTED_VALUE"""),"3")</f>
        <v>3</v>
      </c>
      <c r="V475" s="6" t="str">
        <f>IFERROR(__xludf.DUMMYFUNCTION("""COMPUTED_VALUE"""),"")</f>
        <v/>
      </c>
      <c r="W475" s="6" t="str">
        <f>IFERROR(__xludf.DUMMYFUNCTION("""COMPUTED_VALUE"""),"[]")</f>
        <v>[]</v>
      </c>
      <c r="X475" s="6" t="str">
        <f>IFERROR(__xludf.DUMMYFUNCTION("""COMPUTED_VALUE"""),"Enrolled")</f>
        <v>Enrolled</v>
      </c>
    </row>
    <row r="476">
      <c r="A476" s="6" t="str">
        <f>IFERROR(__xludf.DUMMYFUNCTION("""COMPUTED_VALUE"""),"000-8389")</f>
        <v>000-8389</v>
      </c>
      <c r="B476" s="6" t="str">
        <f>IFERROR(__xludf.DUMMYFUNCTION("""COMPUTED_VALUE"""),"0")</f>
        <v>0</v>
      </c>
      <c r="C476" s="6" t="str">
        <f>IFERROR(__xludf.DUMMYFUNCTION("""COMPUTED_VALUE"""),"8389")</f>
        <v>8389</v>
      </c>
      <c r="D476" s="6" t="str">
        <f>IFERROR(__xludf.DUMMYFUNCTION("""COMPUTED_VALUE"""),"Nicolas")</f>
        <v>Nicolas</v>
      </c>
      <c r="E476" s="6" t="str">
        <f>IFERROR(__xludf.DUMMYFUNCTION("""COMPUTED_VALUE"""),"")</f>
        <v/>
      </c>
      <c r="F476" s="6" t="str">
        <f>IFERROR(__xludf.DUMMYFUNCTION("""COMPUTED_VALUE"""),"Padilla")</f>
        <v>Padilla</v>
      </c>
      <c r="G476" s="6" t="str">
        <f>IFERROR(__xludf.DUMMYFUNCTION("""COMPUTED_VALUE"""),"04/27/2016")</f>
        <v>04/27/2016</v>
      </c>
      <c r="H476" s="6" t="str">
        <f>IFERROR(__xludf.DUMMYFUNCTION("""COMPUTED_VALUE"""),"male")</f>
        <v>male</v>
      </c>
      <c r="I476" s="6" t="str">
        <f>IFERROR(__xludf.DUMMYFUNCTION("""COMPUTED_VALUE"""),"Level 2")</f>
        <v>Level 2</v>
      </c>
      <c r="J476" s="6" t="str">
        <f>IFERROR(__xludf.DUMMYFUNCTION("""COMPUTED_VALUE"""),"4")</f>
        <v>4</v>
      </c>
      <c r="K476" s="6" t="str">
        <f>IFERROR(__xludf.DUMMYFUNCTION("""COMPUTED_VALUE"""),"nicolas.padilla@2hourlearning.com")</f>
        <v>nicolas.padilla@2hourlearning.com</v>
      </c>
      <c r="L476" s="6" t="str">
        <f>IFERROR(__xludf.DUMMYFUNCTION("""COMPUTED_VALUE"""),"Alpha Anywhere (homeschool)")</f>
        <v>Alpha Anywhere (homeschool)</v>
      </c>
      <c r="M476" s="6" t="str">
        <f>IFERROR(__xludf.DUMMYFUNCTION("""COMPUTED_VALUE"""),"")</f>
        <v/>
      </c>
      <c r="N476" s="6" t="str">
        <f>IFERROR(__xludf.DUMMYFUNCTION("""COMPUTED_VALUE"""),"")</f>
        <v/>
      </c>
      <c r="O476" s="87" t="str">
        <f>IFERROR(__xludf.DUMMYFUNCTION("""COMPUTED_VALUE"""),"https://drive.google.com/drive/folders/10T2cTQHqEJZqE-st6uFKPoI?usp=share_link")</f>
        <v>https://drive.google.com/drive/folders/10T2cTQHqEJZqE-st6uFKPoI?usp=share_link</v>
      </c>
      <c r="P476" s="6" t="str">
        <f>IFERROR(__xludf.DUMMYFUNCTION("""COMPUTED_VALUE"""),"Nicolas Padilla")</f>
        <v>Nicolas Padilla</v>
      </c>
      <c r="Q476" s="6" t="str">
        <f>IFERROR(__xludf.DUMMYFUNCTION("""COMPUTED_VALUE"""),"L2")</f>
        <v>L2</v>
      </c>
      <c r="R476" s="6">
        <f>IFERROR(__xludf.DUMMYFUNCTION("""COMPUTED_VALUE"""),2.0)</f>
        <v>2</v>
      </c>
      <c r="S476" s="6" t="str">
        <f>IFERROR(__xludf.DUMMYFUNCTION("""COMPUTED_VALUE""")," ")</f>
        <v> </v>
      </c>
      <c r="T476" s="6" t="str">
        <f>IFERROR(__xludf.DUMMYFUNCTION("""COMPUTED_VALUE"""),"")</f>
        <v/>
      </c>
      <c r="U476" s="6" t="str">
        <f>IFERROR(__xludf.DUMMYFUNCTION("""COMPUTED_VALUE"""),"4")</f>
        <v>4</v>
      </c>
      <c r="V476" s="6" t="str">
        <f>IFERROR(__xludf.DUMMYFUNCTION("""COMPUTED_VALUE"""),"")</f>
        <v/>
      </c>
      <c r="W476" s="6" t="str">
        <f>IFERROR(__xludf.DUMMYFUNCTION("""COMPUTED_VALUE"""),"[]")</f>
        <v>[]</v>
      </c>
      <c r="X476" s="6" t="str">
        <f>IFERROR(__xludf.DUMMYFUNCTION("""COMPUTED_VALUE"""),"Enrolled")</f>
        <v>Enrolled</v>
      </c>
    </row>
    <row r="477">
      <c r="A477" s="6" t="str">
        <f>IFERROR(__xludf.DUMMYFUNCTION("""COMPUTED_VALUE"""),"000-8397")</f>
        <v>000-8397</v>
      </c>
      <c r="B477" s="6" t="str">
        <f>IFERROR(__xludf.DUMMYFUNCTION("""COMPUTED_VALUE"""),"0")</f>
        <v>0</v>
      </c>
      <c r="C477" s="6" t="str">
        <f>IFERROR(__xludf.DUMMYFUNCTION("""COMPUTED_VALUE"""),"8397")</f>
        <v>8397</v>
      </c>
      <c r="D477" s="6" t="str">
        <f>IFERROR(__xludf.DUMMYFUNCTION("""COMPUTED_VALUE"""),"Uthman")</f>
        <v>Uthman</v>
      </c>
      <c r="E477" s="6" t="str">
        <f>IFERROR(__xludf.DUMMYFUNCTION("""COMPUTED_VALUE"""),"")</f>
        <v/>
      </c>
      <c r="F477" s="6" t="str">
        <f>IFERROR(__xludf.DUMMYFUNCTION("""COMPUTED_VALUE"""),"Iqbal")</f>
        <v>Iqbal</v>
      </c>
      <c r="G477" s="6" t="str">
        <f>IFERROR(__xludf.DUMMYFUNCTION("""COMPUTED_VALUE"""),"08/01/2014")</f>
        <v>08/01/2014</v>
      </c>
      <c r="H477" s="6" t="str">
        <f>IFERROR(__xludf.DUMMYFUNCTION("""COMPUTED_VALUE"""),"male")</f>
        <v>male</v>
      </c>
      <c r="I477" s="6" t="str">
        <f>IFERROR(__xludf.DUMMYFUNCTION("""COMPUTED_VALUE"""),"Middle School")</f>
        <v>Middle School</v>
      </c>
      <c r="J477" s="6" t="str">
        <f>IFERROR(__xludf.DUMMYFUNCTION("""COMPUTED_VALUE"""),"7")</f>
        <v>7</v>
      </c>
      <c r="K477" s="6" t="str">
        <f>IFERROR(__xludf.DUMMYFUNCTION("""COMPUTED_VALUE"""),"uthman.iqbal@2hourlearning.com")</f>
        <v>uthman.iqbal@2hourlearning.com</v>
      </c>
      <c r="L477" s="6" t="str">
        <f>IFERROR(__xludf.DUMMYFUNCTION("""COMPUTED_VALUE"""),"Alpha Anywhere (homeschool)")</f>
        <v>Alpha Anywhere (homeschool)</v>
      </c>
      <c r="M477" s="6" t="str">
        <f>IFERROR(__xludf.DUMMYFUNCTION("""COMPUTED_VALUE"""),"")</f>
        <v/>
      </c>
      <c r="N477" s="6" t="str">
        <f>IFERROR(__xludf.DUMMYFUNCTION("""COMPUTED_VALUE"""),"")</f>
        <v/>
      </c>
      <c r="O477" s="87" t="str">
        <f>IFERROR(__xludf.DUMMYFUNCTION("""COMPUTED_VALUE"""),"https://drive.google.com/drive/folders/10T2cTQHqEJZqE-st6uFKPoI?usp=share_link")</f>
        <v>https://drive.google.com/drive/folders/10T2cTQHqEJZqE-st6uFKPoI?usp=share_link</v>
      </c>
      <c r="P477" s="6" t="str">
        <f>IFERROR(__xludf.DUMMYFUNCTION("""COMPUTED_VALUE"""),"Uthman Iqbal")</f>
        <v>Uthman Iqbal</v>
      </c>
      <c r="Q477" s="6" t="str">
        <f>IFERROR(__xludf.DUMMYFUNCTION("""COMPUTED_VALUE"""),"MS")</f>
        <v>MS</v>
      </c>
      <c r="R477" s="6">
        <f>IFERROR(__xludf.DUMMYFUNCTION("""COMPUTED_VALUE"""),0.0)</f>
        <v>0</v>
      </c>
      <c r="S477" s="6" t="str">
        <f>IFERROR(__xludf.DUMMYFUNCTION("""COMPUTED_VALUE""")," ")</f>
        <v> </v>
      </c>
      <c r="T477" s="6" t="str">
        <f>IFERROR(__xludf.DUMMYFUNCTION("""COMPUTED_VALUE"""),"")</f>
        <v/>
      </c>
      <c r="U477" s="6" t="str">
        <f>IFERROR(__xludf.DUMMYFUNCTION("""COMPUTED_VALUE"""),"7")</f>
        <v>7</v>
      </c>
      <c r="V477" s="6" t="str">
        <f>IFERROR(__xludf.DUMMYFUNCTION("""COMPUTED_VALUE"""),"")</f>
        <v/>
      </c>
      <c r="W477" s="6" t="str">
        <f>IFERROR(__xludf.DUMMYFUNCTION("""COMPUTED_VALUE"""),"[]")</f>
        <v>[]</v>
      </c>
      <c r="X477" s="6" t="str">
        <f>IFERROR(__xludf.DUMMYFUNCTION("""COMPUTED_VALUE"""),"Enrolled")</f>
        <v>Enrolled</v>
      </c>
    </row>
    <row r="478">
      <c r="A478" s="6" t="str">
        <f>IFERROR(__xludf.DUMMYFUNCTION("""COMPUTED_VALUE"""),"000-8404")</f>
        <v>000-8404</v>
      </c>
      <c r="B478" s="6" t="str">
        <f>IFERROR(__xludf.DUMMYFUNCTION("""COMPUTED_VALUE"""),"0")</f>
        <v>0</v>
      </c>
      <c r="C478" s="6" t="str">
        <f>IFERROR(__xludf.DUMMYFUNCTION("""COMPUTED_VALUE"""),"8404")</f>
        <v>8404</v>
      </c>
      <c r="D478" s="6" t="str">
        <f>IFERROR(__xludf.DUMMYFUNCTION("""COMPUTED_VALUE"""),"Claire")</f>
        <v>Claire</v>
      </c>
      <c r="E478" s="6" t="str">
        <f>IFERROR(__xludf.DUMMYFUNCTION("""COMPUTED_VALUE"""),"")</f>
        <v/>
      </c>
      <c r="F478" s="6" t="str">
        <f>IFERROR(__xludf.DUMMYFUNCTION("""COMPUTED_VALUE"""),"Louden")</f>
        <v>Louden</v>
      </c>
      <c r="G478" s="6" t="str">
        <f>IFERROR(__xludf.DUMMYFUNCTION("""COMPUTED_VALUE"""),"03/24/2015")</f>
        <v>03/24/2015</v>
      </c>
      <c r="H478" s="6" t="str">
        <f>IFERROR(__xludf.DUMMYFUNCTION("""COMPUTED_VALUE"""),"female")</f>
        <v>female</v>
      </c>
      <c r="I478" s="6" t="str">
        <f>IFERROR(__xludf.DUMMYFUNCTION("""COMPUTED_VALUE"""),"Level 2")</f>
        <v>Level 2</v>
      </c>
      <c r="J478" s="6" t="str">
        <f>IFERROR(__xludf.DUMMYFUNCTION("""COMPUTED_VALUE"""),"5")</f>
        <v>5</v>
      </c>
      <c r="K478" s="6" t="str">
        <f>IFERROR(__xludf.DUMMYFUNCTION("""COMPUTED_VALUE"""),"claire.louden@2hourlearning.com")</f>
        <v>claire.louden@2hourlearning.com</v>
      </c>
      <c r="L478" s="6" t="str">
        <f>IFERROR(__xludf.DUMMYFUNCTION("""COMPUTED_VALUE"""),"Alpha Anywhere (homeschool)")</f>
        <v>Alpha Anywhere (homeschool)</v>
      </c>
      <c r="M478" s="6" t="str">
        <f>IFERROR(__xludf.DUMMYFUNCTION("""COMPUTED_VALUE"""),"")</f>
        <v/>
      </c>
      <c r="N478" s="6" t="str">
        <f>IFERROR(__xludf.DUMMYFUNCTION("""COMPUTED_VALUE"""),"")</f>
        <v/>
      </c>
      <c r="O478" s="87" t="str">
        <f>IFERROR(__xludf.DUMMYFUNCTION("""COMPUTED_VALUE"""),"https://drive.google.com/drive/folders/10T2cTQHqEJZqE-st6uFKPoI?usp=share_link")</f>
        <v>https://drive.google.com/drive/folders/10T2cTQHqEJZqE-st6uFKPoI?usp=share_link</v>
      </c>
      <c r="P478" s="6" t="str">
        <f>IFERROR(__xludf.DUMMYFUNCTION("""COMPUTED_VALUE"""),"Claire Louden")</f>
        <v>Claire Louden</v>
      </c>
      <c r="Q478" s="6" t="str">
        <f>IFERROR(__xludf.DUMMYFUNCTION("""COMPUTED_VALUE"""),"L2")</f>
        <v>L2</v>
      </c>
      <c r="R478" s="6">
        <f>IFERROR(__xludf.DUMMYFUNCTION("""COMPUTED_VALUE"""),2.0)</f>
        <v>2</v>
      </c>
      <c r="S478" s="6" t="str">
        <f>IFERROR(__xludf.DUMMYFUNCTION("""COMPUTED_VALUE""")," ")</f>
        <v> </v>
      </c>
      <c r="T478" s="6" t="str">
        <f>IFERROR(__xludf.DUMMYFUNCTION("""COMPUTED_VALUE"""),"")</f>
        <v/>
      </c>
      <c r="U478" s="6" t="str">
        <f>IFERROR(__xludf.DUMMYFUNCTION("""COMPUTED_VALUE"""),"5")</f>
        <v>5</v>
      </c>
      <c r="V478" s="6" t="str">
        <f>IFERROR(__xludf.DUMMYFUNCTION("""COMPUTED_VALUE"""),"")</f>
        <v/>
      </c>
      <c r="W478" s="6" t="str">
        <f>IFERROR(__xludf.DUMMYFUNCTION("""COMPUTED_VALUE"""),"[]")</f>
        <v>[]</v>
      </c>
      <c r="X478" s="6" t="str">
        <f>IFERROR(__xludf.DUMMYFUNCTION("""COMPUTED_VALUE"""),"Enrolled")</f>
        <v>Enrolled</v>
      </c>
    </row>
    <row r="479">
      <c r="A479" s="6" t="str">
        <f>IFERROR(__xludf.DUMMYFUNCTION("""COMPUTED_VALUE"""),"000-8405")</f>
        <v>000-8405</v>
      </c>
      <c r="B479" s="6" t="str">
        <f>IFERROR(__xludf.DUMMYFUNCTION("""COMPUTED_VALUE"""),"0")</f>
        <v>0</v>
      </c>
      <c r="C479" s="6" t="str">
        <f>IFERROR(__xludf.DUMMYFUNCTION("""COMPUTED_VALUE"""),"8405")</f>
        <v>8405</v>
      </c>
      <c r="D479" s="6" t="str">
        <f>IFERROR(__xludf.DUMMYFUNCTION("""COMPUTED_VALUE"""),"Avery")</f>
        <v>Avery</v>
      </c>
      <c r="E479" s="6" t="str">
        <f>IFERROR(__xludf.DUMMYFUNCTION("""COMPUTED_VALUE"""),"")</f>
        <v/>
      </c>
      <c r="F479" s="6" t="str">
        <f>IFERROR(__xludf.DUMMYFUNCTION("""COMPUTED_VALUE"""),"Louden")</f>
        <v>Louden</v>
      </c>
      <c r="G479" s="6" t="str">
        <f>IFERROR(__xludf.DUMMYFUNCTION("""COMPUTED_VALUE"""),"11/28/2017")</f>
        <v>11/28/2017</v>
      </c>
      <c r="H479" s="6" t="str">
        <f>IFERROR(__xludf.DUMMYFUNCTION("""COMPUTED_VALUE"""),"female")</f>
        <v>female</v>
      </c>
      <c r="I479" s="6" t="str">
        <f>IFERROR(__xludf.DUMMYFUNCTION("""COMPUTED_VALUE"""),"Level 1")</f>
        <v>Level 1</v>
      </c>
      <c r="J479" s="6" t="str">
        <f>IFERROR(__xludf.DUMMYFUNCTION("""COMPUTED_VALUE"""),"2")</f>
        <v>2</v>
      </c>
      <c r="K479" s="6" t="str">
        <f>IFERROR(__xludf.DUMMYFUNCTION("""COMPUTED_VALUE"""),"avery.louden@2hourlearning.com")</f>
        <v>avery.louden@2hourlearning.com</v>
      </c>
      <c r="L479" s="6" t="str">
        <f>IFERROR(__xludf.DUMMYFUNCTION("""COMPUTED_VALUE"""),"Alpha Anywhere (homeschool)")</f>
        <v>Alpha Anywhere (homeschool)</v>
      </c>
      <c r="M479" s="6" t="str">
        <f>IFERROR(__xludf.DUMMYFUNCTION("""COMPUTED_VALUE"""),"")</f>
        <v/>
      </c>
      <c r="N479" s="6" t="str">
        <f>IFERROR(__xludf.DUMMYFUNCTION("""COMPUTED_VALUE"""),"")</f>
        <v/>
      </c>
      <c r="O479" s="87" t="str">
        <f>IFERROR(__xludf.DUMMYFUNCTION("""COMPUTED_VALUE"""),"https://drive.google.com/drive/folders/10T2cTQHqEJZqE-st6uFKPoI?usp=share_link")</f>
        <v>https://drive.google.com/drive/folders/10T2cTQHqEJZqE-st6uFKPoI?usp=share_link</v>
      </c>
      <c r="P479" s="6" t="str">
        <f>IFERROR(__xludf.DUMMYFUNCTION("""COMPUTED_VALUE"""),"Avery Louden")</f>
        <v>Avery Louden</v>
      </c>
      <c r="Q479" s="6" t="str">
        <f>IFERROR(__xludf.DUMMYFUNCTION("""COMPUTED_VALUE"""),"L1")</f>
        <v>L1</v>
      </c>
      <c r="R479" s="6">
        <f>IFERROR(__xludf.DUMMYFUNCTION("""COMPUTED_VALUE"""),1.0)</f>
        <v>1</v>
      </c>
      <c r="S479" s="6" t="str">
        <f>IFERROR(__xludf.DUMMYFUNCTION("""COMPUTED_VALUE""")," ")</f>
        <v> </v>
      </c>
      <c r="T479" s="6" t="str">
        <f>IFERROR(__xludf.DUMMYFUNCTION("""COMPUTED_VALUE"""),"")</f>
        <v/>
      </c>
      <c r="U479" s="6" t="str">
        <f>IFERROR(__xludf.DUMMYFUNCTION("""COMPUTED_VALUE"""),"2")</f>
        <v>2</v>
      </c>
      <c r="V479" s="6" t="str">
        <f>IFERROR(__xludf.DUMMYFUNCTION("""COMPUTED_VALUE"""),"")</f>
        <v/>
      </c>
      <c r="W479" s="6" t="str">
        <f>IFERROR(__xludf.DUMMYFUNCTION("""COMPUTED_VALUE"""),"[]")</f>
        <v>[]</v>
      </c>
      <c r="X479" s="6" t="str">
        <f>IFERROR(__xludf.DUMMYFUNCTION("""COMPUTED_VALUE"""),"Enrolled")</f>
        <v>Enrolled</v>
      </c>
    </row>
    <row r="480">
      <c r="A480" s="6" t="str">
        <f>IFERROR(__xludf.DUMMYFUNCTION("""COMPUTED_VALUE"""),"000-8435")</f>
        <v>000-8435</v>
      </c>
      <c r="B480" s="6" t="str">
        <f>IFERROR(__xludf.DUMMYFUNCTION("""COMPUTED_VALUE"""),"0")</f>
        <v>0</v>
      </c>
      <c r="C480" s="6" t="str">
        <f>IFERROR(__xludf.DUMMYFUNCTION("""COMPUTED_VALUE"""),"8435")</f>
        <v>8435</v>
      </c>
      <c r="D480" s="6" t="str">
        <f>IFERROR(__xludf.DUMMYFUNCTION("""COMPUTED_VALUE"""),"Gracie")</f>
        <v>Gracie</v>
      </c>
      <c r="E480" s="6" t="str">
        <f>IFERROR(__xludf.DUMMYFUNCTION("""COMPUTED_VALUE"""),"")</f>
        <v/>
      </c>
      <c r="F480" s="6" t="str">
        <f>IFERROR(__xludf.DUMMYFUNCTION("""COMPUTED_VALUE"""),"Dodd")</f>
        <v>Dodd</v>
      </c>
      <c r="G480" s="6" t="str">
        <f>IFERROR(__xludf.DUMMYFUNCTION("""COMPUTED_VALUE"""),"01/11/2014")</f>
        <v>01/11/2014</v>
      </c>
      <c r="H480" s="6" t="str">
        <f>IFERROR(__xludf.DUMMYFUNCTION("""COMPUTED_VALUE"""),"female")</f>
        <v>female</v>
      </c>
      <c r="I480" s="6" t="str">
        <f>IFERROR(__xludf.DUMMYFUNCTION("""COMPUTED_VALUE"""),"Middle School")</f>
        <v>Middle School</v>
      </c>
      <c r="J480" s="6" t="str">
        <f>IFERROR(__xludf.DUMMYFUNCTION("""COMPUTED_VALUE"""),"6")</f>
        <v>6</v>
      </c>
      <c r="K480" s="6" t="str">
        <f>IFERROR(__xludf.DUMMYFUNCTION("""COMPUTED_VALUE"""),"gracie.dodd@2hourlearning.com")</f>
        <v>gracie.dodd@2hourlearning.com</v>
      </c>
      <c r="L480" s="6" t="str">
        <f>IFERROR(__xludf.DUMMYFUNCTION("""COMPUTED_VALUE"""),"Alpha Anywhere (homeschool)")</f>
        <v>Alpha Anywhere (homeschool)</v>
      </c>
      <c r="M480" s="6" t="str">
        <f>IFERROR(__xludf.DUMMYFUNCTION("""COMPUTED_VALUE"""),"")</f>
        <v/>
      </c>
      <c r="N480" s="6" t="str">
        <f>IFERROR(__xludf.DUMMYFUNCTION("""COMPUTED_VALUE"""),"")</f>
        <v/>
      </c>
      <c r="O480" s="87" t="str">
        <f>IFERROR(__xludf.DUMMYFUNCTION("""COMPUTED_VALUE"""),"https://drive.google.com/drive/folders/10T2cTQHqEJZqE-st6uFKPoI?usp=share_link")</f>
        <v>https://drive.google.com/drive/folders/10T2cTQHqEJZqE-st6uFKPoI?usp=share_link</v>
      </c>
      <c r="P480" s="6" t="str">
        <f>IFERROR(__xludf.DUMMYFUNCTION("""COMPUTED_VALUE"""),"Gracie Dodd")</f>
        <v>Gracie Dodd</v>
      </c>
      <c r="Q480" s="6" t="str">
        <f>IFERROR(__xludf.DUMMYFUNCTION("""COMPUTED_VALUE"""),"MS")</f>
        <v>MS</v>
      </c>
      <c r="R480" s="6">
        <f>IFERROR(__xludf.DUMMYFUNCTION("""COMPUTED_VALUE"""),0.0)</f>
        <v>0</v>
      </c>
      <c r="S480" s="6" t="str">
        <f>IFERROR(__xludf.DUMMYFUNCTION("""COMPUTED_VALUE""")," ")</f>
        <v> </v>
      </c>
      <c r="T480" s="6" t="str">
        <f>IFERROR(__xludf.DUMMYFUNCTION("""COMPUTED_VALUE"""),"")</f>
        <v/>
      </c>
      <c r="U480" s="6" t="str">
        <f>IFERROR(__xludf.DUMMYFUNCTION("""COMPUTED_VALUE"""),"6")</f>
        <v>6</v>
      </c>
      <c r="V480" s="6" t="str">
        <f>IFERROR(__xludf.DUMMYFUNCTION("""COMPUTED_VALUE"""),"")</f>
        <v/>
      </c>
      <c r="W480" s="6" t="str">
        <f>IFERROR(__xludf.DUMMYFUNCTION("""COMPUTED_VALUE"""),"[]")</f>
        <v>[]</v>
      </c>
      <c r="X480" s="6" t="str">
        <f>IFERROR(__xludf.DUMMYFUNCTION("""COMPUTED_VALUE"""),"Enrolled")</f>
        <v>Enrolled</v>
      </c>
    </row>
    <row r="481">
      <c r="A481" s="6" t="str">
        <f>IFERROR(__xludf.DUMMYFUNCTION("""COMPUTED_VALUE"""),"000-8474")</f>
        <v>000-8474</v>
      </c>
      <c r="B481" s="6" t="str">
        <f>IFERROR(__xludf.DUMMYFUNCTION("""COMPUTED_VALUE"""),"0")</f>
        <v>0</v>
      </c>
      <c r="C481" s="6" t="str">
        <f>IFERROR(__xludf.DUMMYFUNCTION("""COMPUTED_VALUE"""),"8474")</f>
        <v>8474</v>
      </c>
      <c r="D481" s="6" t="str">
        <f>IFERROR(__xludf.DUMMYFUNCTION("""COMPUTED_VALUE"""),"Adelyn")</f>
        <v>Adelyn</v>
      </c>
      <c r="E481" s="6" t="str">
        <f>IFERROR(__xludf.DUMMYFUNCTION("""COMPUTED_VALUE"""),"")</f>
        <v/>
      </c>
      <c r="F481" s="6" t="str">
        <f>IFERROR(__xludf.DUMMYFUNCTION("""COMPUTED_VALUE"""),"Hall")</f>
        <v>Hall</v>
      </c>
      <c r="G481" s="6" t="str">
        <f>IFERROR(__xludf.DUMMYFUNCTION("""COMPUTED_VALUE"""),"06/02/2016")</f>
        <v>06/02/2016</v>
      </c>
      <c r="H481" s="6" t="str">
        <f>IFERROR(__xludf.DUMMYFUNCTION("""COMPUTED_VALUE"""),"female")</f>
        <v>female</v>
      </c>
      <c r="I481" s="6" t="str">
        <f>IFERROR(__xludf.DUMMYFUNCTION("""COMPUTED_VALUE"""),"Level 2")</f>
        <v>Level 2</v>
      </c>
      <c r="J481" s="6" t="str">
        <f>IFERROR(__xludf.DUMMYFUNCTION("""COMPUTED_VALUE"""),"4")</f>
        <v>4</v>
      </c>
      <c r="K481" s="6" t="str">
        <f>IFERROR(__xludf.DUMMYFUNCTION("""COMPUTED_VALUE"""),"adelyn.hall@2hourlearning.com")</f>
        <v>adelyn.hall@2hourlearning.com</v>
      </c>
      <c r="L481" s="6" t="str">
        <f>IFERROR(__xludf.DUMMYFUNCTION("""COMPUTED_VALUE"""),"Alpha Anywhere (homeschool)")</f>
        <v>Alpha Anywhere (homeschool)</v>
      </c>
      <c r="M481" s="6" t="str">
        <f>IFERROR(__xludf.DUMMYFUNCTION("""COMPUTED_VALUE"""),"")</f>
        <v/>
      </c>
      <c r="N481" s="6" t="str">
        <f>IFERROR(__xludf.DUMMYFUNCTION("""COMPUTED_VALUE"""),"")</f>
        <v/>
      </c>
      <c r="O481" s="87" t="str">
        <f>IFERROR(__xludf.DUMMYFUNCTION("""COMPUTED_VALUE"""),"https://drive.google.com/drive/folders/10T2cTQHqEJZqE-st6uFKPoI?usp=share_link")</f>
        <v>https://drive.google.com/drive/folders/10T2cTQHqEJZqE-st6uFKPoI?usp=share_link</v>
      </c>
      <c r="P481" s="6" t="str">
        <f>IFERROR(__xludf.DUMMYFUNCTION("""COMPUTED_VALUE"""),"Adelyn Hall")</f>
        <v>Adelyn Hall</v>
      </c>
      <c r="Q481" s="6" t="str">
        <f>IFERROR(__xludf.DUMMYFUNCTION("""COMPUTED_VALUE"""),"L2")</f>
        <v>L2</v>
      </c>
      <c r="R481" s="6">
        <f>IFERROR(__xludf.DUMMYFUNCTION("""COMPUTED_VALUE"""),2.0)</f>
        <v>2</v>
      </c>
      <c r="S481" s="6" t="str">
        <f>IFERROR(__xludf.DUMMYFUNCTION("""COMPUTED_VALUE""")," ")</f>
        <v> </v>
      </c>
      <c r="T481" s="6" t="str">
        <f>IFERROR(__xludf.DUMMYFUNCTION("""COMPUTED_VALUE"""),"")</f>
        <v/>
      </c>
      <c r="U481" s="6" t="str">
        <f>IFERROR(__xludf.DUMMYFUNCTION("""COMPUTED_VALUE"""),"4")</f>
        <v>4</v>
      </c>
      <c r="V481" s="6" t="str">
        <f>IFERROR(__xludf.DUMMYFUNCTION("""COMPUTED_VALUE"""),"")</f>
        <v/>
      </c>
      <c r="W481" s="6" t="str">
        <f>IFERROR(__xludf.DUMMYFUNCTION("""COMPUTED_VALUE"""),"[]")</f>
        <v>[]</v>
      </c>
      <c r="X481" s="6" t="str">
        <f>IFERROR(__xludf.DUMMYFUNCTION("""COMPUTED_VALUE"""),"Enrolled")</f>
        <v>Enrolled</v>
      </c>
    </row>
    <row r="482">
      <c r="A482" s="6" t="str">
        <f>IFERROR(__xludf.DUMMYFUNCTION("""COMPUTED_VALUE"""),"000-8477")</f>
        <v>000-8477</v>
      </c>
      <c r="B482" s="6" t="str">
        <f>IFERROR(__xludf.DUMMYFUNCTION("""COMPUTED_VALUE"""),"0")</f>
        <v>0</v>
      </c>
      <c r="C482" s="6" t="str">
        <f>IFERROR(__xludf.DUMMYFUNCTION("""COMPUTED_VALUE"""),"8477")</f>
        <v>8477</v>
      </c>
      <c r="D482" s="6" t="str">
        <f>IFERROR(__xludf.DUMMYFUNCTION("""COMPUTED_VALUE"""),"Matthew")</f>
        <v>Matthew</v>
      </c>
      <c r="E482" s="6" t="str">
        <f>IFERROR(__xludf.DUMMYFUNCTION("""COMPUTED_VALUE"""),"")</f>
        <v/>
      </c>
      <c r="F482" s="6" t="str">
        <f>IFERROR(__xludf.DUMMYFUNCTION("""COMPUTED_VALUE"""),"Besk")</f>
        <v>Besk</v>
      </c>
      <c r="G482" s="6" t="str">
        <f>IFERROR(__xludf.DUMMYFUNCTION("""COMPUTED_VALUE"""),"07/04/2013")</f>
        <v>07/04/2013</v>
      </c>
      <c r="H482" s="6" t="str">
        <f>IFERROR(__xludf.DUMMYFUNCTION("""COMPUTED_VALUE"""),"male")</f>
        <v>male</v>
      </c>
      <c r="I482" s="6" t="str">
        <f>IFERROR(__xludf.DUMMYFUNCTION("""COMPUTED_VALUE"""),"Middle School")</f>
        <v>Middle School</v>
      </c>
      <c r="J482" s="6" t="str">
        <f>IFERROR(__xludf.DUMMYFUNCTION("""COMPUTED_VALUE"""),"6")</f>
        <v>6</v>
      </c>
      <c r="K482" s="6" t="str">
        <f>IFERROR(__xludf.DUMMYFUNCTION("""COMPUTED_VALUE"""),"matthew.besk@2hourlearning.com")</f>
        <v>matthew.besk@2hourlearning.com</v>
      </c>
      <c r="L482" s="6" t="str">
        <f>IFERROR(__xludf.DUMMYFUNCTION("""COMPUTED_VALUE"""),"Alpha Anywhere (homeschool)")</f>
        <v>Alpha Anywhere (homeschool)</v>
      </c>
      <c r="M482" s="6" t="str">
        <f>IFERROR(__xludf.DUMMYFUNCTION("""COMPUTED_VALUE"""),"")</f>
        <v/>
      </c>
      <c r="N482" s="6" t="str">
        <f>IFERROR(__xludf.DUMMYFUNCTION("""COMPUTED_VALUE"""),"")</f>
        <v/>
      </c>
      <c r="O482" s="87" t="str">
        <f>IFERROR(__xludf.DUMMYFUNCTION("""COMPUTED_VALUE"""),"https://drive.google.com/drive/folders/10T2cTQHqEJZqE-st6uFKPoI?usp=share_link")</f>
        <v>https://drive.google.com/drive/folders/10T2cTQHqEJZqE-st6uFKPoI?usp=share_link</v>
      </c>
      <c r="P482" s="6" t="str">
        <f>IFERROR(__xludf.DUMMYFUNCTION("""COMPUTED_VALUE"""),"Matthew Besk")</f>
        <v>Matthew Besk</v>
      </c>
      <c r="Q482" s="6" t="str">
        <f>IFERROR(__xludf.DUMMYFUNCTION("""COMPUTED_VALUE"""),"MS")</f>
        <v>MS</v>
      </c>
      <c r="R482" s="6">
        <f>IFERROR(__xludf.DUMMYFUNCTION("""COMPUTED_VALUE"""),0.0)</f>
        <v>0</v>
      </c>
      <c r="S482" s="6" t="str">
        <f>IFERROR(__xludf.DUMMYFUNCTION("""COMPUTED_VALUE""")," ")</f>
        <v> </v>
      </c>
      <c r="T482" s="6" t="str">
        <f>IFERROR(__xludf.DUMMYFUNCTION("""COMPUTED_VALUE"""),"")</f>
        <v/>
      </c>
      <c r="U482" s="6" t="str">
        <f>IFERROR(__xludf.DUMMYFUNCTION("""COMPUTED_VALUE"""),"6")</f>
        <v>6</v>
      </c>
      <c r="V482" s="6" t="str">
        <f>IFERROR(__xludf.DUMMYFUNCTION("""COMPUTED_VALUE"""),"")</f>
        <v/>
      </c>
      <c r="W482" s="6" t="str">
        <f>IFERROR(__xludf.DUMMYFUNCTION("""COMPUTED_VALUE"""),"[]")</f>
        <v>[]</v>
      </c>
      <c r="X482" s="6" t="str">
        <f>IFERROR(__xludf.DUMMYFUNCTION("""COMPUTED_VALUE"""),"Enrolled")</f>
        <v>Enrolled</v>
      </c>
    </row>
    <row r="483">
      <c r="A483" s="6" t="str">
        <f>IFERROR(__xludf.DUMMYFUNCTION("""COMPUTED_VALUE"""),"000-8479")</f>
        <v>000-8479</v>
      </c>
      <c r="B483" s="6" t="str">
        <f>IFERROR(__xludf.DUMMYFUNCTION("""COMPUTED_VALUE"""),"0")</f>
        <v>0</v>
      </c>
      <c r="C483" s="6" t="str">
        <f>IFERROR(__xludf.DUMMYFUNCTION("""COMPUTED_VALUE"""),"8479")</f>
        <v>8479</v>
      </c>
      <c r="D483" s="6" t="str">
        <f>IFERROR(__xludf.DUMMYFUNCTION("""COMPUTED_VALUE"""),"Anthony")</f>
        <v>Anthony</v>
      </c>
      <c r="E483" s="6" t="str">
        <f>IFERROR(__xludf.DUMMYFUNCTION("""COMPUTED_VALUE"""),"")</f>
        <v/>
      </c>
      <c r="F483" s="6" t="str">
        <f>IFERROR(__xludf.DUMMYFUNCTION("""COMPUTED_VALUE"""),"Pieper")</f>
        <v>Pieper</v>
      </c>
      <c r="G483" s="6" t="str">
        <f>IFERROR(__xludf.DUMMYFUNCTION("""COMPUTED_VALUE"""),"01/02/2016")</f>
        <v>01/02/2016</v>
      </c>
      <c r="H483" s="6" t="str">
        <f>IFERROR(__xludf.DUMMYFUNCTION("""COMPUTED_VALUE"""),"male")</f>
        <v>male</v>
      </c>
      <c r="I483" s="6" t="str">
        <f>IFERROR(__xludf.DUMMYFUNCTION("""COMPUTED_VALUE"""),"Level 2")</f>
        <v>Level 2</v>
      </c>
      <c r="J483" s="6" t="str">
        <f>IFERROR(__xludf.DUMMYFUNCTION("""COMPUTED_VALUE"""),"5")</f>
        <v>5</v>
      </c>
      <c r="K483" s="6" t="str">
        <f>IFERROR(__xludf.DUMMYFUNCTION("""COMPUTED_VALUE"""),"anthony.pieper@2hourlearning.com")</f>
        <v>anthony.pieper@2hourlearning.com</v>
      </c>
      <c r="L483" s="6" t="str">
        <f>IFERROR(__xludf.DUMMYFUNCTION("""COMPUTED_VALUE"""),"Alpha Anywhere (homeschool)")</f>
        <v>Alpha Anywhere (homeschool)</v>
      </c>
      <c r="M483" s="6" t="str">
        <f>IFERROR(__xludf.DUMMYFUNCTION("""COMPUTED_VALUE"""),"")</f>
        <v/>
      </c>
      <c r="N483" s="6" t="str">
        <f>IFERROR(__xludf.DUMMYFUNCTION("""COMPUTED_VALUE"""),"")</f>
        <v/>
      </c>
      <c r="O483" s="87" t="str">
        <f>IFERROR(__xludf.DUMMYFUNCTION("""COMPUTED_VALUE"""),"https://drive.google.com/drive/folders/10T2cTQHqEJZqE-st6uFKPoI?usp=share_link")</f>
        <v>https://drive.google.com/drive/folders/10T2cTQHqEJZqE-st6uFKPoI?usp=share_link</v>
      </c>
      <c r="P483" s="6" t="str">
        <f>IFERROR(__xludf.DUMMYFUNCTION("""COMPUTED_VALUE"""),"Anthony Pieper")</f>
        <v>Anthony Pieper</v>
      </c>
      <c r="Q483" s="6" t="str">
        <f>IFERROR(__xludf.DUMMYFUNCTION("""COMPUTED_VALUE"""),"L2")</f>
        <v>L2</v>
      </c>
      <c r="R483" s="6">
        <f>IFERROR(__xludf.DUMMYFUNCTION("""COMPUTED_VALUE"""),2.0)</f>
        <v>2</v>
      </c>
      <c r="S483" s="6" t="str">
        <f>IFERROR(__xludf.DUMMYFUNCTION("""COMPUTED_VALUE""")," ")</f>
        <v> </v>
      </c>
      <c r="T483" s="6" t="str">
        <f>IFERROR(__xludf.DUMMYFUNCTION("""COMPUTED_VALUE"""),"")</f>
        <v/>
      </c>
      <c r="U483" s="6" t="str">
        <f>IFERROR(__xludf.DUMMYFUNCTION("""COMPUTED_VALUE"""),"5")</f>
        <v>5</v>
      </c>
      <c r="V483" s="6" t="str">
        <f>IFERROR(__xludf.DUMMYFUNCTION("""COMPUTED_VALUE"""),"")</f>
        <v/>
      </c>
      <c r="W483" s="6" t="str">
        <f>IFERROR(__xludf.DUMMYFUNCTION("""COMPUTED_VALUE"""),"[]")</f>
        <v>[]</v>
      </c>
      <c r="X483" s="6" t="str">
        <f>IFERROR(__xludf.DUMMYFUNCTION("""COMPUTED_VALUE"""),"Enrolled")</f>
        <v>Enrolled</v>
      </c>
    </row>
    <row r="484">
      <c r="A484" s="6" t="str">
        <f>IFERROR(__xludf.DUMMYFUNCTION("""COMPUTED_VALUE"""),"000-8491")</f>
        <v>000-8491</v>
      </c>
      <c r="B484" s="6" t="str">
        <f>IFERROR(__xludf.DUMMYFUNCTION("""COMPUTED_VALUE"""),"0")</f>
        <v>0</v>
      </c>
      <c r="C484" s="6" t="str">
        <f>IFERROR(__xludf.DUMMYFUNCTION("""COMPUTED_VALUE"""),"8491")</f>
        <v>8491</v>
      </c>
      <c r="D484" s="6" t="str">
        <f>IFERROR(__xludf.DUMMYFUNCTION("""COMPUTED_VALUE"""),"Vaiana")</f>
        <v>Vaiana</v>
      </c>
      <c r="E484" s="6" t="str">
        <f>IFERROR(__xludf.DUMMYFUNCTION("""COMPUTED_VALUE"""),"")</f>
        <v/>
      </c>
      <c r="F484" s="6" t="str">
        <f>IFERROR(__xludf.DUMMYFUNCTION("""COMPUTED_VALUE"""),"Tihoni")</f>
        <v>Tihoni</v>
      </c>
      <c r="G484" s="6" t="str">
        <f>IFERROR(__xludf.DUMMYFUNCTION("""COMPUTED_VALUE"""),"08/24/2013")</f>
        <v>08/24/2013</v>
      </c>
      <c r="H484" s="6" t="str">
        <f>IFERROR(__xludf.DUMMYFUNCTION("""COMPUTED_VALUE"""),"female")</f>
        <v>female</v>
      </c>
      <c r="I484" s="6" t="str">
        <f>IFERROR(__xludf.DUMMYFUNCTION("""COMPUTED_VALUE"""),"Middle School")</f>
        <v>Middle School</v>
      </c>
      <c r="J484" s="6" t="str">
        <f>IFERROR(__xludf.DUMMYFUNCTION("""COMPUTED_VALUE"""),"6")</f>
        <v>6</v>
      </c>
      <c r="K484" s="6" t="str">
        <f>IFERROR(__xludf.DUMMYFUNCTION("""COMPUTED_VALUE"""),"vaiana.tihoni@2hourlearning.com")</f>
        <v>vaiana.tihoni@2hourlearning.com</v>
      </c>
      <c r="L484" s="6" t="str">
        <f>IFERROR(__xludf.DUMMYFUNCTION("""COMPUTED_VALUE"""),"Alpha Anywhere (homeschool)")</f>
        <v>Alpha Anywhere (homeschool)</v>
      </c>
      <c r="M484" s="6" t="str">
        <f>IFERROR(__xludf.DUMMYFUNCTION("""COMPUTED_VALUE"""),"")</f>
        <v/>
      </c>
      <c r="N484" s="6" t="str">
        <f>IFERROR(__xludf.DUMMYFUNCTION("""COMPUTED_VALUE"""),"")</f>
        <v/>
      </c>
      <c r="O484" s="87" t="str">
        <f>IFERROR(__xludf.DUMMYFUNCTION("""COMPUTED_VALUE"""),"https://drive.google.com/drive/folders/10T2cTQHqEJZqE-st6uFKPoI?usp=share_link")</f>
        <v>https://drive.google.com/drive/folders/10T2cTQHqEJZqE-st6uFKPoI?usp=share_link</v>
      </c>
      <c r="P484" s="6" t="str">
        <f>IFERROR(__xludf.DUMMYFUNCTION("""COMPUTED_VALUE"""),"Vaiana Tihoni")</f>
        <v>Vaiana Tihoni</v>
      </c>
      <c r="Q484" s="6" t="str">
        <f>IFERROR(__xludf.DUMMYFUNCTION("""COMPUTED_VALUE"""),"MS")</f>
        <v>MS</v>
      </c>
      <c r="R484" s="6">
        <f>IFERROR(__xludf.DUMMYFUNCTION("""COMPUTED_VALUE"""),0.0)</f>
        <v>0</v>
      </c>
      <c r="S484" s="6" t="str">
        <f>IFERROR(__xludf.DUMMYFUNCTION("""COMPUTED_VALUE""")," ")</f>
        <v> </v>
      </c>
      <c r="T484" s="6" t="str">
        <f>IFERROR(__xludf.DUMMYFUNCTION("""COMPUTED_VALUE"""),"")</f>
        <v/>
      </c>
      <c r="U484" s="6" t="str">
        <f>IFERROR(__xludf.DUMMYFUNCTION("""COMPUTED_VALUE"""),"6")</f>
        <v>6</v>
      </c>
      <c r="V484" s="6" t="str">
        <f>IFERROR(__xludf.DUMMYFUNCTION("""COMPUTED_VALUE"""),"")</f>
        <v/>
      </c>
      <c r="W484" s="6" t="str">
        <f>IFERROR(__xludf.DUMMYFUNCTION("""COMPUTED_VALUE"""),"[]")</f>
        <v>[]</v>
      </c>
      <c r="X484" s="6" t="str">
        <f>IFERROR(__xludf.DUMMYFUNCTION("""COMPUTED_VALUE"""),"Enrolled")</f>
        <v>Enrolled</v>
      </c>
    </row>
    <row r="485">
      <c r="A485" s="6" t="str">
        <f>IFERROR(__xludf.DUMMYFUNCTION("""COMPUTED_VALUE"""),"000-8492")</f>
        <v>000-8492</v>
      </c>
      <c r="B485" s="6" t="str">
        <f>IFERROR(__xludf.DUMMYFUNCTION("""COMPUTED_VALUE"""),"0")</f>
        <v>0</v>
      </c>
      <c r="C485" s="6" t="str">
        <f>IFERROR(__xludf.DUMMYFUNCTION("""COMPUTED_VALUE"""),"8492")</f>
        <v>8492</v>
      </c>
      <c r="D485" s="6" t="str">
        <f>IFERROR(__xludf.DUMMYFUNCTION("""COMPUTED_VALUE"""),"Robert")</f>
        <v>Robert</v>
      </c>
      <c r="E485" s="6" t="str">
        <f>IFERROR(__xludf.DUMMYFUNCTION("""COMPUTED_VALUE"""),"")</f>
        <v/>
      </c>
      <c r="F485" s="6" t="str">
        <f>IFERROR(__xludf.DUMMYFUNCTION("""COMPUTED_VALUE"""),"Meyer")</f>
        <v>Meyer</v>
      </c>
      <c r="G485" s="6" t="str">
        <f>IFERROR(__xludf.DUMMYFUNCTION("""COMPUTED_VALUE"""),"05/16/2013")</f>
        <v>05/16/2013</v>
      </c>
      <c r="H485" s="6" t="str">
        <f>IFERROR(__xludf.DUMMYFUNCTION("""COMPUTED_VALUE"""),"male")</f>
        <v>male</v>
      </c>
      <c r="I485" s="6" t="str">
        <f>IFERROR(__xludf.DUMMYFUNCTION("""COMPUTED_VALUE"""),"Middle School")</f>
        <v>Middle School</v>
      </c>
      <c r="J485" s="6" t="str">
        <f>IFERROR(__xludf.DUMMYFUNCTION("""COMPUTED_VALUE"""),"7")</f>
        <v>7</v>
      </c>
      <c r="K485" s="6" t="str">
        <f>IFERROR(__xludf.DUMMYFUNCTION("""COMPUTED_VALUE"""),"robert.meyer@2hourlearning.com")</f>
        <v>robert.meyer@2hourlearning.com</v>
      </c>
      <c r="L485" s="6" t="str">
        <f>IFERROR(__xludf.DUMMYFUNCTION("""COMPUTED_VALUE"""),"Alpha Anywhere (homeschool)")</f>
        <v>Alpha Anywhere (homeschool)</v>
      </c>
      <c r="M485" s="6" t="str">
        <f>IFERROR(__xludf.DUMMYFUNCTION("""COMPUTED_VALUE"""),"")</f>
        <v/>
      </c>
      <c r="N485" s="6" t="str">
        <f>IFERROR(__xludf.DUMMYFUNCTION("""COMPUTED_VALUE"""),"")</f>
        <v/>
      </c>
      <c r="O485" s="87" t="str">
        <f>IFERROR(__xludf.DUMMYFUNCTION("""COMPUTED_VALUE"""),"https://drive.google.com/drive/folders/10T2cTQHqEJZqE-st6uFKPoI?usp=share_link")</f>
        <v>https://drive.google.com/drive/folders/10T2cTQHqEJZqE-st6uFKPoI?usp=share_link</v>
      </c>
      <c r="P485" s="6" t="str">
        <f>IFERROR(__xludf.DUMMYFUNCTION("""COMPUTED_VALUE"""),"Robert Meyer")</f>
        <v>Robert Meyer</v>
      </c>
      <c r="Q485" s="6" t="str">
        <f>IFERROR(__xludf.DUMMYFUNCTION("""COMPUTED_VALUE"""),"MS")</f>
        <v>MS</v>
      </c>
      <c r="R485" s="6">
        <f>IFERROR(__xludf.DUMMYFUNCTION("""COMPUTED_VALUE"""),0.0)</f>
        <v>0</v>
      </c>
      <c r="S485" s="6" t="str">
        <f>IFERROR(__xludf.DUMMYFUNCTION("""COMPUTED_VALUE""")," ")</f>
        <v> </v>
      </c>
      <c r="T485" s="6" t="str">
        <f>IFERROR(__xludf.DUMMYFUNCTION("""COMPUTED_VALUE"""),"")</f>
        <v/>
      </c>
      <c r="U485" s="6" t="str">
        <f>IFERROR(__xludf.DUMMYFUNCTION("""COMPUTED_VALUE"""),"7")</f>
        <v>7</v>
      </c>
      <c r="V485" s="6" t="str">
        <f>IFERROR(__xludf.DUMMYFUNCTION("""COMPUTED_VALUE"""),"")</f>
        <v/>
      </c>
      <c r="W485" s="6" t="str">
        <f>IFERROR(__xludf.DUMMYFUNCTION("""COMPUTED_VALUE"""),"[]")</f>
        <v>[]</v>
      </c>
      <c r="X485" s="6" t="str">
        <f>IFERROR(__xludf.DUMMYFUNCTION("""COMPUTED_VALUE"""),"Enrolled")</f>
        <v>Enrolled</v>
      </c>
    </row>
    <row r="486">
      <c r="A486" s="6" t="str">
        <f>IFERROR(__xludf.DUMMYFUNCTION("""COMPUTED_VALUE"""),"000-8494")</f>
        <v>000-8494</v>
      </c>
      <c r="B486" s="6" t="str">
        <f>IFERROR(__xludf.DUMMYFUNCTION("""COMPUTED_VALUE"""),"0")</f>
        <v>0</v>
      </c>
      <c r="C486" s="6" t="str">
        <f>IFERROR(__xludf.DUMMYFUNCTION("""COMPUTED_VALUE"""),"8494")</f>
        <v>8494</v>
      </c>
      <c r="D486" s="6" t="str">
        <f>IFERROR(__xludf.DUMMYFUNCTION("""COMPUTED_VALUE"""),"Aiden")</f>
        <v>Aiden</v>
      </c>
      <c r="E486" s="6" t="str">
        <f>IFERROR(__xludf.DUMMYFUNCTION("""COMPUTED_VALUE"""),"")</f>
        <v/>
      </c>
      <c r="F486" s="6" t="str">
        <f>IFERROR(__xludf.DUMMYFUNCTION("""COMPUTED_VALUE"""),"Meyer")</f>
        <v>Meyer</v>
      </c>
      <c r="G486" s="6" t="str">
        <f>IFERROR(__xludf.DUMMYFUNCTION("""COMPUTED_VALUE"""),"10/18/2016")</f>
        <v>10/18/2016</v>
      </c>
      <c r="H486" s="6" t="str">
        <f>IFERROR(__xludf.DUMMYFUNCTION("""COMPUTED_VALUE"""),"male")</f>
        <v>male</v>
      </c>
      <c r="I486" s="6" t="str">
        <f>IFERROR(__xludf.DUMMYFUNCTION("""COMPUTED_VALUE"""),"Level 1")</f>
        <v>Level 1</v>
      </c>
      <c r="J486" s="6" t="str">
        <f>IFERROR(__xludf.DUMMYFUNCTION("""COMPUTED_VALUE"""),"3")</f>
        <v>3</v>
      </c>
      <c r="K486" s="6" t="str">
        <f>IFERROR(__xludf.DUMMYFUNCTION("""COMPUTED_VALUE"""),"aiden.meyer@2hourlearning.com")</f>
        <v>aiden.meyer@2hourlearning.com</v>
      </c>
      <c r="L486" s="6" t="str">
        <f>IFERROR(__xludf.DUMMYFUNCTION("""COMPUTED_VALUE"""),"Alpha Anywhere (homeschool)")</f>
        <v>Alpha Anywhere (homeschool)</v>
      </c>
      <c r="M486" s="6" t="str">
        <f>IFERROR(__xludf.DUMMYFUNCTION("""COMPUTED_VALUE"""),"")</f>
        <v/>
      </c>
      <c r="N486" s="6" t="str">
        <f>IFERROR(__xludf.DUMMYFUNCTION("""COMPUTED_VALUE"""),"")</f>
        <v/>
      </c>
      <c r="O486" s="87" t="str">
        <f>IFERROR(__xludf.DUMMYFUNCTION("""COMPUTED_VALUE"""),"https://drive.google.com/drive/folders/10T2cTQHqEJZqE-st6uFKPoI?usp=share_link")</f>
        <v>https://drive.google.com/drive/folders/10T2cTQHqEJZqE-st6uFKPoI?usp=share_link</v>
      </c>
      <c r="P486" s="6" t="str">
        <f>IFERROR(__xludf.DUMMYFUNCTION("""COMPUTED_VALUE"""),"Aiden Meyer")</f>
        <v>Aiden Meyer</v>
      </c>
      <c r="Q486" s="6" t="str">
        <f>IFERROR(__xludf.DUMMYFUNCTION("""COMPUTED_VALUE"""),"L1")</f>
        <v>L1</v>
      </c>
      <c r="R486" s="6">
        <f>IFERROR(__xludf.DUMMYFUNCTION("""COMPUTED_VALUE"""),1.0)</f>
        <v>1</v>
      </c>
      <c r="S486" s="6" t="str">
        <f>IFERROR(__xludf.DUMMYFUNCTION("""COMPUTED_VALUE""")," ")</f>
        <v> </v>
      </c>
      <c r="T486" s="6" t="str">
        <f>IFERROR(__xludf.DUMMYFUNCTION("""COMPUTED_VALUE"""),"")</f>
        <v/>
      </c>
      <c r="U486" s="6" t="str">
        <f>IFERROR(__xludf.DUMMYFUNCTION("""COMPUTED_VALUE"""),"3")</f>
        <v>3</v>
      </c>
      <c r="V486" s="6" t="str">
        <f>IFERROR(__xludf.DUMMYFUNCTION("""COMPUTED_VALUE"""),"")</f>
        <v/>
      </c>
      <c r="W486" s="6" t="str">
        <f>IFERROR(__xludf.DUMMYFUNCTION("""COMPUTED_VALUE"""),"[]")</f>
        <v>[]</v>
      </c>
      <c r="X486" s="6" t="str">
        <f>IFERROR(__xludf.DUMMYFUNCTION("""COMPUTED_VALUE"""),"Enrolled")</f>
        <v>Enrolled</v>
      </c>
    </row>
    <row r="487">
      <c r="A487" s="6" t="str">
        <f>IFERROR(__xludf.DUMMYFUNCTION("""COMPUTED_VALUE"""),"000-8498")</f>
        <v>000-8498</v>
      </c>
      <c r="B487" s="6" t="str">
        <f>IFERROR(__xludf.DUMMYFUNCTION("""COMPUTED_VALUE"""),"0")</f>
        <v>0</v>
      </c>
      <c r="C487" s="6" t="str">
        <f>IFERROR(__xludf.DUMMYFUNCTION("""COMPUTED_VALUE"""),"8498")</f>
        <v>8498</v>
      </c>
      <c r="D487" s="6" t="str">
        <f>IFERROR(__xludf.DUMMYFUNCTION("""COMPUTED_VALUE"""),"Liam")</f>
        <v>Liam</v>
      </c>
      <c r="E487" s="6" t="str">
        <f>IFERROR(__xludf.DUMMYFUNCTION("""COMPUTED_VALUE"""),"")</f>
        <v/>
      </c>
      <c r="F487" s="6" t="str">
        <f>IFERROR(__xludf.DUMMYFUNCTION("""COMPUTED_VALUE"""),"Schmid")</f>
        <v>Schmid</v>
      </c>
      <c r="G487" s="6" t="str">
        <f>IFERROR(__xludf.DUMMYFUNCTION("""COMPUTED_VALUE"""),"11/05/2016")</f>
        <v>11/05/2016</v>
      </c>
      <c r="H487" s="6" t="str">
        <f>IFERROR(__xludf.DUMMYFUNCTION("""COMPUTED_VALUE"""),"male")</f>
        <v>male</v>
      </c>
      <c r="I487" s="6" t="str">
        <f>IFERROR(__xludf.DUMMYFUNCTION("""COMPUTED_VALUE"""),"Level 1")</f>
        <v>Level 1</v>
      </c>
      <c r="J487" s="6" t="str">
        <f>IFERROR(__xludf.DUMMYFUNCTION("""COMPUTED_VALUE"""),"3")</f>
        <v>3</v>
      </c>
      <c r="K487" s="6" t="str">
        <f>IFERROR(__xludf.DUMMYFUNCTION("""COMPUTED_VALUE"""),"liam.schmid1@2hourlearning.com")</f>
        <v>liam.schmid1@2hourlearning.com</v>
      </c>
      <c r="L487" s="6" t="str">
        <f>IFERROR(__xludf.DUMMYFUNCTION("""COMPUTED_VALUE"""),"Alpha Anywhere (homeschool)")</f>
        <v>Alpha Anywhere (homeschool)</v>
      </c>
      <c r="M487" s="6" t="str">
        <f>IFERROR(__xludf.DUMMYFUNCTION("""COMPUTED_VALUE"""),"")</f>
        <v/>
      </c>
      <c r="N487" s="6" t="str">
        <f>IFERROR(__xludf.DUMMYFUNCTION("""COMPUTED_VALUE"""),"")</f>
        <v/>
      </c>
      <c r="O487" s="87" t="str">
        <f>IFERROR(__xludf.DUMMYFUNCTION("""COMPUTED_VALUE"""),"https://drive.google.com/drive/folders/10T2cTQHqEJZqE-st6uFKPoI?usp=share_link")</f>
        <v>https://drive.google.com/drive/folders/10T2cTQHqEJZqE-st6uFKPoI?usp=share_link</v>
      </c>
      <c r="P487" s="6" t="str">
        <f>IFERROR(__xludf.DUMMYFUNCTION("""COMPUTED_VALUE"""),"Liam Schmid")</f>
        <v>Liam Schmid</v>
      </c>
      <c r="Q487" s="6" t="str">
        <f>IFERROR(__xludf.DUMMYFUNCTION("""COMPUTED_VALUE"""),"L1")</f>
        <v>L1</v>
      </c>
      <c r="R487" s="6">
        <f>IFERROR(__xludf.DUMMYFUNCTION("""COMPUTED_VALUE"""),1.0)</f>
        <v>1</v>
      </c>
      <c r="S487" s="6" t="str">
        <f>IFERROR(__xludf.DUMMYFUNCTION("""COMPUTED_VALUE""")," ")</f>
        <v> </v>
      </c>
      <c r="T487" s="6" t="str">
        <f>IFERROR(__xludf.DUMMYFUNCTION("""COMPUTED_VALUE"""),"")</f>
        <v/>
      </c>
      <c r="U487" s="6" t="str">
        <f>IFERROR(__xludf.DUMMYFUNCTION("""COMPUTED_VALUE"""),"3")</f>
        <v>3</v>
      </c>
      <c r="V487" s="6" t="str">
        <f>IFERROR(__xludf.DUMMYFUNCTION("""COMPUTED_VALUE"""),"")</f>
        <v/>
      </c>
      <c r="W487" s="6" t="str">
        <f>IFERROR(__xludf.DUMMYFUNCTION("""COMPUTED_VALUE"""),"[]")</f>
        <v>[]</v>
      </c>
      <c r="X487" s="6" t="str">
        <f>IFERROR(__xludf.DUMMYFUNCTION("""COMPUTED_VALUE"""),"Pending Review")</f>
        <v>Pending Review</v>
      </c>
    </row>
    <row r="488">
      <c r="A488" s="6" t="str">
        <f>IFERROR(__xludf.DUMMYFUNCTION("""COMPUTED_VALUE"""),"000-8510")</f>
        <v>000-8510</v>
      </c>
      <c r="B488" s="6" t="str">
        <f>IFERROR(__xludf.DUMMYFUNCTION("""COMPUTED_VALUE"""),"0")</f>
        <v>0</v>
      </c>
      <c r="C488" s="6" t="str">
        <f>IFERROR(__xludf.DUMMYFUNCTION("""COMPUTED_VALUE"""),"8510")</f>
        <v>8510</v>
      </c>
      <c r="D488" s="6" t="str">
        <f>IFERROR(__xludf.DUMMYFUNCTION("""COMPUTED_VALUE"""),"Gavin")</f>
        <v>Gavin</v>
      </c>
      <c r="E488" s="6" t="str">
        <f>IFERROR(__xludf.DUMMYFUNCTION("""COMPUTED_VALUE"""),"")</f>
        <v/>
      </c>
      <c r="F488" s="6" t="str">
        <f>IFERROR(__xludf.DUMMYFUNCTION("""COMPUTED_VALUE"""),"Vernon")</f>
        <v>Vernon</v>
      </c>
      <c r="G488" s="6" t="str">
        <f>IFERROR(__xludf.DUMMYFUNCTION("""COMPUTED_VALUE"""),"11/11/2016")</f>
        <v>11/11/2016</v>
      </c>
      <c r="H488" s="6" t="str">
        <f>IFERROR(__xludf.DUMMYFUNCTION("""COMPUTED_VALUE"""),"male")</f>
        <v>male</v>
      </c>
      <c r="I488" s="6" t="str">
        <f>IFERROR(__xludf.DUMMYFUNCTION("""COMPUTED_VALUE"""),"Level 1")</f>
        <v>Level 1</v>
      </c>
      <c r="J488" s="6" t="str">
        <f>IFERROR(__xludf.DUMMYFUNCTION("""COMPUTED_VALUE"""),"3")</f>
        <v>3</v>
      </c>
      <c r="K488" s="6" t="str">
        <f>IFERROR(__xludf.DUMMYFUNCTION("""COMPUTED_VALUE"""),"gavin.vernon@2hourlearning.com")</f>
        <v>gavin.vernon@2hourlearning.com</v>
      </c>
      <c r="L488" s="6" t="str">
        <f>IFERROR(__xludf.DUMMYFUNCTION("""COMPUTED_VALUE"""),"Alpha Anywhere (homeschool)")</f>
        <v>Alpha Anywhere (homeschool)</v>
      </c>
      <c r="M488" s="6" t="str">
        <f>IFERROR(__xludf.DUMMYFUNCTION("""COMPUTED_VALUE"""),"")</f>
        <v/>
      </c>
      <c r="N488" s="6" t="str">
        <f>IFERROR(__xludf.DUMMYFUNCTION("""COMPUTED_VALUE"""),"")</f>
        <v/>
      </c>
      <c r="O488" s="87" t="str">
        <f>IFERROR(__xludf.DUMMYFUNCTION("""COMPUTED_VALUE"""),"https://drive.google.com/drive/folders/10T2cTQHqEJZqE-st6uFKPoI?usp=share_link")</f>
        <v>https://drive.google.com/drive/folders/10T2cTQHqEJZqE-st6uFKPoI?usp=share_link</v>
      </c>
      <c r="P488" s="6" t="str">
        <f>IFERROR(__xludf.DUMMYFUNCTION("""COMPUTED_VALUE"""),"Gavin Vernon")</f>
        <v>Gavin Vernon</v>
      </c>
      <c r="Q488" s="6" t="str">
        <f>IFERROR(__xludf.DUMMYFUNCTION("""COMPUTED_VALUE"""),"L1")</f>
        <v>L1</v>
      </c>
      <c r="R488" s="6">
        <f>IFERROR(__xludf.DUMMYFUNCTION("""COMPUTED_VALUE"""),1.0)</f>
        <v>1</v>
      </c>
      <c r="S488" s="6" t="str">
        <f>IFERROR(__xludf.DUMMYFUNCTION("""COMPUTED_VALUE""")," ")</f>
        <v> </v>
      </c>
      <c r="T488" s="6" t="str">
        <f>IFERROR(__xludf.DUMMYFUNCTION("""COMPUTED_VALUE"""),"")</f>
        <v/>
      </c>
      <c r="U488" s="6" t="str">
        <f>IFERROR(__xludf.DUMMYFUNCTION("""COMPUTED_VALUE"""),"3")</f>
        <v>3</v>
      </c>
      <c r="V488" s="6" t="str">
        <f>IFERROR(__xludf.DUMMYFUNCTION("""COMPUTED_VALUE"""),"")</f>
        <v/>
      </c>
      <c r="W488" s="6" t="str">
        <f>IFERROR(__xludf.DUMMYFUNCTION("""COMPUTED_VALUE"""),"[]")</f>
        <v>[]</v>
      </c>
      <c r="X488" s="6" t="str">
        <f>IFERROR(__xludf.DUMMYFUNCTION("""COMPUTED_VALUE"""),"Enrolled")</f>
        <v>Enrolled</v>
      </c>
    </row>
    <row r="489">
      <c r="A489" s="6" t="str">
        <f>IFERROR(__xludf.DUMMYFUNCTION("""COMPUTED_VALUE"""),"000-8519")</f>
        <v>000-8519</v>
      </c>
      <c r="B489" s="6" t="str">
        <f>IFERROR(__xludf.DUMMYFUNCTION("""COMPUTED_VALUE"""),"0")</f>
        <v>0</v>
      </c>
      <c r="C489" s="6" t="str">
        <f>IFERROR(__xludf.DUMMYFUNCTION("""COMPUTED_VALUE"""),"8519")</f>
        <v>8519</v>
      </c>
      <c r="D489" s="6" t="str">
        <f>IFERROR(__xludf.DUMMYFUNCTION("""COMPUTED_VALUE"""),"Luca")</f>
        <v>Luca</v>
      </c>
      <c r="E489" s="6" t="str">
        <f>IFERROR(__xludf.DUMMYFUNCTION("""COMPUTED_VALUE"""),"")</f>
        <v/>
      </c>
      <c r="F489" s="6" t="str">
        <f>IFERROR(__xludf.DUMMYFUNCTION("""COMPUTED_VALUE"""),"Kuhn")</f>
        <v>Kuhn</v>
      </c>
      <c r="G489" s="6" t="str">
        <f>IFERROR(__xludf.DUMMYFUNCTION("""COMPUTED_VALUE"""),"01/07/2016")</f>
        <v>01/07/2016</v>
      </c>
      <c r="H489" s="6" t="str">
        <f>IFERROR(__xludf.DUMMYFUNCTION("""COMPUTED_VALUE"""),"male")</f>
        <v>male</v>
      </c>
      <c r="I489" s="6" t="str">
        <f>IFERROR(__xludf.DUMMYFUNCTION("""COMPUTED_VALUE"""),"Level 2")</f>
        <v>Level 2</v>
      </c>
      <c r="J489" s="6" t="str">
        <f>IFERROR(__xludf.DUMMYFUNCTION("""COMPUTED_VALUE"""),"4")</f>
        <v>4</v>
      </c>
      <c r="K489" s="6" t="str">
        <f>IFERROR(__xludf.DUMMYFUNCTION("""COMPUTED_VALUE"""),"luca.kuhn@2hourlearning.com")</f>
        <v>luca.kuhn@2hourlearning.com</v>
      </c>
      <c r="L489" s="6" t="str">
        <f>IFERROR(__xludf.DUMMYFUNCTION("""COMPUTED_VALUE"""),"Alpha Anywhere (homeschool)")</f>
        <v>Alpha Anywhere (homeschool)</v>
      </c>
      <c r="M489" s="6" t="str">
        <f>IFERROR(__xludf.DUMMYFUNCTION("""COMPUTED_VALUE"""),"")</f>
        <v/>
      </c>
      <c r="N489" s="6" t="str">
        <f>IFERROR(__xludf.DUMMYFUNCTION("""COMPUTED_VALUE"""),"")</f>
        <v/>
      </c>
      <c r="O489" s="87" t="str">
        <f>IFERROR(__xludf.DUMMYFUNCTION("""COMPUTED_VALUE"""),"https://drive.google.com/drive/folders/10T2cTQHqEJZqE-st6uFKPoI?usp=share_link")</f>
        <v>https://drive.google.com/drive/folders/10T2cTQHqEJZqE-st6uFKPoI?usp=share_link</v>
      </c>
      <c r="P489" s="6" t="str">
        <f>IFERROR(__xludf.DUMMYFUNCTION("""COMPUTED_VALUE"""),"Luca Kuhn")</f>
        <v>Luca Kuhn</v>
      </c>
      <c r="Q489" s="6" t="str">
        <f>IFERROR(__xludf.DUMMYFUNCTION("""COMPUTED_VALUE"""),"L2")</f>
        <v>L2</v>
      </c>
      <c r="R489" s="6">
        <f>IFERROR(__xludf.DUMMYFUNCTION("""COMPUTED_VALUE"""),2.0)</f>
        <v>2</v>
      </c>
      <c r="S489" s="6" t="str">
        <f>IFERROR(__xludf.DUMMYFUNCTION("""COMPUTED_VALUE""")," ")</f>
        <v> </v>
      </c>
      <c r="T489" s="6" t="str">
        <f>IFERROR(__xludf.DUMMYFUNCTION("""COMPUTED_VALUE"""),"")</f>
        <v/>
      </c>
      <c r="U489" s="6" t="str">
        <f>IFERROR(__xludf.DUMMYFUNCTION("""COMPUTED_VALUE"""),"4")</f>
        <v>4</v>
      </c>
      <c r="V489" s="6" t="str">
        <f>IFERROR(__xludf.DUMMYFUNCTION("""COMPUTED_VALUE"""),"")</f>
        <v/>
      </c>
      <c r="W489" s="6" t="str">
        <f>IFERROR(__xludf.DUMMYFUNCTION("""COMPUTED_VALUE"""),"[]")</f>
        <v>[]</v>
      </c>
      <c r="X489" s="6" t="str">
        <f>IFERROR(__xludf.DUMMYFUNCTION("""COMPUTED_VALUE"""),"Enrolled")</f>
        <v>Enrolled</v>
      </c>
    </row>
    <row r="490">
      <c r="A490" s="6" t="str">
        <f>IFERROR(__xludf.DUMMYFUNCTION("""COMPUTED_VALUE"""),"000-8520")</f>
        <v>000-8520</v>
      </c>
      <c r="B490" s="6" t="str">
        <f>IFERROR(__xludf.DUMMYFUNCTION("""COMPUTED_VALUE"""),"0")</f>
        <v>0</v>
      </c>
      <c r="C490" s="6" t="str">
        <f>IFERROR(__xludf.DUMMYFUNCTION("""COMPUTED_VALUE"""),"8520")</f>
        <v>8520</v>
      </c>
      <c r="D490" s="6" t="str">
        <f>IFERROR(__xludf.DUMMYFUNCTION("""COMPUTED_VALUE"""),"Liam")</f>
        <v>Liam</v>
      </c>
      <c r="E490" s="6" t="str">
        <f>IFERROR(__xludf.DUMMYFUNCTION("""COMPUTED_VALUE"""),"")</f>
        <v/>
      </c>
      <c r="F490" s="6" t="str">
        <f>IFERROR(__xludf.DUMMYFUNCTION("""COMPUTED_VALUE"""),"Kuhn")</f>
        <v>Kuhn</v>
      </c>
      <c r="G490" s="6" t="str">
        <f>IFERROR(__xludf.DUMMYFUNCTION("""COMPUTED_VALUE"""),"03/16/2017")</f>
        <v>03/16/2017</v>
      </c>
      <c r="H490" s="6" t="str">
        <f>IFERROR(__xludf.DUMMYFUNCTION("""COMPUTED_VALUE"""),"male")</f>
        <v>male</v>
      </c>
      <c r="I490" s="6" t="str">
        <f>IFERROR(__xludf.DUMMYFUNCTION("""COMPUTED_VALUE"""),"Level 1")</f>
        <v>Level 1</v>
      </c>
      <c r="J490" s="6" t="str">
        <f>IFERROR(__xludf.DUMMYFUNCTION("""COMPUTED_VALUE"""),"3")</f>
        <v>3</v>
      </c>
      <c r="K490" s="6" t="str">
        <f>IFERROR(__xludf.DUMMYFUNCTION("""COMPUTED_VALUE"""),"liam.kuhn@2hourlearning.com")</f>
        <v>liam.kuhn@2hourlearning.com</v>
      </c>
      <c r="L490" s="6" t="str">
        <f>IFERROR(__xludf.DUMMYFUNCTION("""COMPUTED_VALUE"""),"Alpha Anywhere (homeschool)")</f>
        <v>Alpha Anywhere (homeschool)</v>
      </c>
      <c r="M490" s="6" t="str">
        <f>IFERROR(__xludf.DUMMYFUNCTION("""COMPUTED_VALUE"""),"")</f>
        <v/>
      </c>
      <c r="N490" s="6" t="str">
        <f>IFERROR(__xludf.DUMMYFUNCTION("""COMPUTED_VALUE"""),"")</f>
        <v/>
      </c>
      <c r="O490" s="87" t="str">
        <f>IFERROR(__xludf.DUMMYFUNCTION("""COMPUTED_VALUE"""),"https://drive.google.com/drive/folders/10T2cTQHqEJZqE-st6uFKPoI?usp=share_link")</f>
        <v>https://drive.google.com/drive/folders/10T2cTQHqEJZqE-st6uFKPoI?usp=share_link</v>
      </c>
      <c r="P490" s="6" t="str">
        <f>IFERROR(__xludf.DUMMYFUNCTION("""COMPUTED_VALUE"""),"Liam Kuhn")</f>
        <v>Liam Kuhn</v>
      </c>
      <c r="Q490" s="6" t="str">
        <f>IFERROR(__xludf.DUMMYFUNCTION("""COMPUTED_VALUE"""),"L1")</f>
        <v>L1</v>
      </c>
      <c r="R490" s="6">
        <f>IFERROR(__xludf.DUMMYFUNCTION("""COMPUTED_VALUE"""),1.0)</f>
        <v>1</v>
      </c>
      <c r="S490" s="6" t="str">
        <f>IFERROR(__xludf.DUMMYFUNCTION("""COMPUTED_VALUE""")," ")</f>
        <v> </v>
      </c>
      <c r="T490" s="6" t="str">
        <f>IFERROR(__xludf.DUMMYFUNCTION("""COMPUTED_VALUE"""),"")</f>
        <v/>
      </c>
      <c r="U490" s="6" t="str">
        <f>IFERROR(__xludf.DUMMYFUNCTION("""COMPUTED_VALUE"""),"3")</f>
        <v>3</v>
      </c>
      <c r="V490" s="6" t="str">
        <f>IFERROR(__xludf.DUMMYFUNCTION("""COMPUTED_VALUE"""),"")</f>
        <v/>
      </c>
      <c r="W490" s="6" t="str">
        <f>IFERROR(__xludf.DUMMYFUNCTION("""COMPUTED_VALUE"""),"[]")</f>
        <v>[]</v>
      </c>
      <c r="X490" s="6" t="str">
        <f>IFERROR(__xludf.DUMMYFUNCTION("""COMPUTED_VALUE"""),"Enrolled")</f>
        <v>Enrolled</v>
      </c>
    </row>
    <row r="491">
      <c r="A491" s="6" t="str">
        <f>IFERROR(__xludf.DUMMYFUNCTION("""COMPUTED_VALUE"""),"000-8569")</f>
        <v>000-8569</v>
      </c>
      <c r="B491" s="6" t="str">
        <f>IFERROR(__xludf.DUMMYFUNCTION("""COMPUTED_VALUE"""),"0")</f>
        <v>0</v>
      </c>
      <c r="C491" s="6" t="str">
        <f>IFERROR(__xludf.DUMMYFUNCTION("""COMPUTED_VALUE"""),"8569")</f>
        <v>8569</v>
      </c>
      <c r="D491" s="6" t="str">
        <f>IFERROR(__xludf.DUMMYFUNCTION("""COMPUTED_VALUE"""),"Tennyson")</f>
        <v>Tennyson</v>
      </c>
      <c r="E491" s="6" t="str">
        <f>IFERROR(__xludf.DUMMYFUNCTION("""COMPUTED_VALUE"""),"")</f>
        <v/>
      </c>
      <c r="F491" s="6" t="str">
        <f>IFERROR(__xludf.DUMMYFUNCTION("""COMPUTED_VALUE"""),"Vernon")</f>
        <v>Vernon</v>
      </c>
      <c r="G491" s="6" t="str">
        <f>IFERROR(__xludf.DUMMYFUNCTION("""COMPUTED_VALUE"""),"09/03/2014")</f>
        <v>09/03/2014</v>
      </c>
      <c r="H491" s="6" t="str">
        <f>IFERROR(__xludf.DUMMYFUNCTION("""COMPUTED_VALUE"""),"female")</f>
        <v>female</v>
      </c>
      <c r="I491" s="6" t="str">
        <f>IFERROR(__xludf.DUMMYFUNCTION("""COMPUTED_VALUE"""),"Level 2")</f>
        <v>Level 2</v>
      </c>
      <c r="J491" s="6" t="str">
        <f>IFERROR(__xludf.DUMMYFUNCTION("""COMPUTED_VALUE"""),"5")</f>
        <v>5</v>
      </c>
      <c r="K491" s="6" t="str">
        <f>IFERROR(__xludf.DUMMYFUNCTION("""COMPUTED_VALUE"""),"tennyson.e.vernon@2hourlearning.com")</f>
        <v>tennyson.e.vernon@2hourlearning.com</v>
      </c>
      <c r="L491" s="6" t="str">
        <f>IFERROR(__xludf.DUMMYFUNCTION("""COMPUTED_VALUE"""),"Alpha Anywhere (homeschool)")</f>
        <v>Alpha Anywhere (homeschool)</v>
      </c>
      <c r="M491" s="6" t="str">
        <f>IFERROR(__xludf.DUMMYFUNCTION("""COMPUTED_VALUE"""),"")</f>
        <v/>
      </c>
      <c r="N491" s="6" t="str">
        <f>IFERROR(__xludf.DUMMYFUNCTION("""COMPUTED_VALUE"""),"")</f>
        <v/>
      </c>
      <c r="O491" s="87" t="str">
        <f>IFERROR(__xludf.DUMMYFUNCTION("""COMPUTED_VALUE"""),"https://drive.google.com/drive/folders/10T2cTQHqEJZqE-st6uFKPoI?usp=share_link")</f>
        <v>https://drive.google.com/drive/folders/10T2cTQHqEJZqE-st6uFKPoI?usp=share_link</v>
      </c>
      <c r="P491" s="6" t="str">
        <f>IFERROR(__xludf.DUMMYFUNCTION("""COMPUTED_VALUE"""),"Tennyson Vernon")</f>
        <v>Tennyson Vernon</v>
      </c>
      <c r="Q491" s="6" t="str">
        <f>IFERROR(__xludf.DUMMYFUNCTION("""COMPUTED_VALUE"""),"L2")</f>
        <v>L2</v>
      </c>
      <c r="R491" s="6">
        <f>IFERROR(__xludf.DUMMYFUNCTION("""COMPUTED_VALUE"""),2.0)</f>
        <v>2</v>
      </c>
      <c r="S491" s="6" t="str">
        <f>IFERROR(__xludf.DUMMYFUNCTION("""COMPUTED_VALUE""")," ")</f>
        <v> </v>
      </c>
      <c r="T491" s="6" t="str">
        <f>IFERROR(__xludf.DUMMYFUNCTION("""COMPUTED_VALUE"""),"")</f>
        <v/>
      </c>
      <c r="U491" s="6" t="str">
        <f>IFERROR(__xludf.DUMMYFUNCTION("""COMPUTED_VALUE"""),"5")</f>
        <v>5</v>
      </c>
      <c r="V491" s="6" t="str">
        <f>IFERROR(__xludf.DUMMYFUNCTION("""COMPUTED_VALUE"""),"")</f>
        <v/>
      </c>
      <c r="W491" s="6" t="str">
        <f>IFERROR(__xludf.DUMMYFUNCTION("""COMPUTED_VALUE"""),"[]")</f>
        <v>[]</v>
      </c>
      <c r="X491" s="6" t="str">
        <f>IFERROR(__xludf.DUMMYFUNCTION("""COMPUTED_VALUE"""),"Enrolled")</f>
        <v>Enrolled</v>
      </c>
    </row>
    <row r="492">
      <c r="A492" s="6" t="str">
        <f>IFERROR(__xludf.DUMMYFUNCTION("""COMPUTED_VALUE"""),"000-8575")</f>
        <v>000-8575</v>
      </c>
      <c r="B492" s="6" t="str">
        <f>IFERROR(__xludf.DUMMYFUNCTION("""COMPUTED_VALUE"""),"0")</f>
        <v>0</v>
      </c>
      <c r="C492" s="6" t="str">
        <f>IFERROR(__xludf.DUMMYFUNCTION("""COMPUTED_VALUE"""),"8575")</f>
        <v>8575</v>
      </c>
      <c r="D492" s="6" t="str">
        <f>IFERROR(__xludf.DUMMYFUNCTION("""COMPUTED_VALUE"""),"Cora")</f>
        <v>Cora</v>
      </c>
      <c r="E492" s="6" t="str">
        <f>IFERROR(__xludf.DUMMYFUNCTION("""COMPUTED_VALUE"""),"")</f>
        <v/>
      </c>
      <c r="F492" s="6" t="str">
        <f>IFERROR(__xludf.DUMMYFUNCTION("""COMPUTED_VALUE"""),"Taylor")</f>
        <v>Taylor</v>
      </c>
      <c r="G492" s="6" t="str">
        <f>IFERROR(__xludf.DUMMYFUNCTION("""COMPUTED_VALUE"""),"04/04/2016")</f>
        <v>04/04/2016</v>
      </c>
      <c r="H492" s="6" t="str">
        <f>IFERROR(__xludf.DUMMYFUNCTION("""COMPUTED_VALUE"""),"female")</f>
        <v>female</v>
      </c>
      <c r="I492" s="6" t="str">
        <f>IFERROR(__xludf.DUMMYFUNCTION("""COMPUTED_VALUE"""),"Level 2")</f>
        <v>Level 2</v>
      </c>
      <c r="J492" s="6" t="str">
        <f>IFERROR(__xludf.DUMMYFUNCTION("""COMPUTED_VALUE"""),"4")</f>
        <v>4</v>
      </c>
      <c r="K492" s="6" t="str">
        <f>IFERROR(__xludf.DUMMYFUNCTION("""COMPUTED_VALUE"""),"cora.taylor@2hourlearning.com")</f>
        <v>cora.taylor@2hourlearning.com</v>
      </c>
      <c r="L492" s="6" t="str">
        <f>IFERROR(__xludf.DUMMYFUNCTION("""COMPUTED_VALUE"""),"Alpha Anywhere (homeschool)")</f>
        <v>Alpha Anywhere (homeschool)</v>
      </c>
      <c r="M492" s="6" t="str">
        <f>IFERROR(__xludf.DUMMYFUNCTION("""COMPUTED_VALUE"""),"")</f>
        <v/>
      </c>
      <c r="N492" s="6" t="str">
        <f>IFERROR(__xludf.DUMMYFUNCTION("""COMPUTED_VALUE"""),"")</f>
        <v/>
      </c>
      <c r="O492" s="87" t="str">
        <f>IFERROR(__xludf.DUMMYFUNCTION("""COMPUTED_VALUE"""),"https://drive.google.com/drive/folders/10T2cTQHqEJZqE-st6uFKPoI?usp=share_link")</f>
        <v>https://drive.google.com/drive/folders/10T2cTQHqEJZqE-st6uFKPoI?usp=share_link</v>
      </c>
      <c r="P492" s="6" t="str">
        <f>IFERROR(__xludf.DUMMYFUNCTION("""COMPUTED_VALUE"""),"Cora Taylor")</f>
        <v>Cora Taylor</v>
      </c>
      <c r="Q492" s="6" t="str">
        <f>IFERROR(__xludf.DUMMYFUNCTION("""COMPUTED_VALUE"""),"L2")</f>
        <v>L2</v>
      </c>
      <c r="R492" s="6">
        <f>IFERROR(__xludf.DUMMYFUNCTION("""COMPUTED_VALUE"""),2.0)</f>
        <v>2</v>
      </c>
      <c r="S492" s="6" t="str">
        <f>IFERROR(__xludf.DUMMYFUNCTION("""COMPUTED_VALUE""")," ")</f>
        <v> </v>
      </c>
      <c r="T492" s="6" t="str">
        <f>IFERROR(__xludf.DUMMYFUNCTION("""COMPUTED_VALUE"""),"")</f>
        <v/>
      </c>
      <c r="U492" s="6" t="str">
        <f>IFERROR(__xludf.DUMMYFUNCTION("""COMPUTED_VALUE"""),"4")</f>
        <v>4</v>
      </c>
      <c r="V492" s="6" t="str">
        <f>IFERROR(__xludf.DUMMYFUNCTION("""COMPUTED_VALUE"""),"")</f>
        <v/>
      </c>
      <c r="W492" s="6" t="str">
        <f>IFERROR(__xludf.DUMMYFUNCTION("""COMPUTED_VALUE"""),"[]")</f>
        <v>[]</v>
      </c>
      <c r="X492" s="6" t="str">
        <f>IFERROR(__xludf.DUMMYFUNCTION("""COMPUTED_VALUE"""),"Enrolled")</f>
        <v>Enrolled</v>
      </c>
    </row>
    <row r="493">
      <c r="A493" s="6" t="str">
        <f>IFERROR(__xludf.DUMMYFUNCTION("""COMPUTED_VALUE"""),"000-8577")</f>
        <v>000-8577</v>
      </c>
      <c r="B493" s="6" t="str">
        <f>IFERROR(__xludf.DUMMYFUNCTION("""COMPUTED_VALUE"""),"0")</f>
        <v>0</v>
      </c>
      <c r="C493" s="6" t="str">
        <f>IFERROR(__xludf.DUMMYFUNCTION("""COMPUTED_VALUE"""),"8577")</f>
        <v>8577</v>
      </c>
      <c r="D493" s="6" t="str">
        <f>IFERROR(__xludf.DUMMYFUNCTION("""COMPUTED_VALUE"""),"Thomas")</f>
        <v>Thomas</v>
      </c>
      <c r="E493" s="6" t="str">
        <f>IFERROR(__xludf.DUMMYFUNCTION("""COMPUTED_VALUE"""),"")</f>
        <v/>
      </c>
      <c r="F493" s="6" t="str">
        <f>IFERROR(__xludf.DUMMYFUNCTION("""COMPUTED_VALUE"""),"Dalle Nogare")</f>
        <v>Dalle Nogare</v>
      </c>
      <c r="G493" s="6" t="str">
        <f>IFERROR(__xludf.DUMMYFUNCTION("""COMPUTED_VALUE"""),"02/26/2014")</f>
        <v>02/26/2014</v>
      </c>
      <c r="H493" s="6" t="str">
        <f>IFERROR(__xludf.DUMMYFUNCTION("""COMPUTED_VALUE"""),"male")</f>
        <v>male</v>
      </c>
      <c r="I493" s="6" t="str">
        <f>IFERROR(__xludf.DUMMYFUNCTION("""COMPUTED_VALUE"""),"Middle School")</f>
        <v>Middle School</v>
      </c>
      <c r="J493" s="6" t="str">
        <f>IFERROR(__xludf.DUMMYFUNCTION("""COMPUTED_VALUE"""),"6")</f>
        <v>6</v>
      </c>
      <c r="K493" s="6" t="str">
        <f>IFERROR(__xludf.DUMMYFUNCTION("""COMPUTED_VALUE"""),"thomas.dalle.nogare@2hourlearning.com")</f>
        <v>thomas.dalle.nogare@2hourlearning.com</v>
      </c>
      <c r="L493" s="6" t="str">
        <f>IFERROR(__xludf.DUMMYFUNCTION("""COMPUTED_VALUE"""),"Alpha Anywhere (homeschool)")</f>
        <v>Alpha Anywhere (homeschool)</v>
      </c>
      <c r="M493" s="6" t="str">
        <f>IFERROR(__xludf.DUMMYFUNCTION("""COMPUTED_VALUE"""),"")</f>
        <v/>
      </c>
      <c r="N493" s="6" t="str">
        <f>IFERROR(__xludf.DUMMYFUNCTION("""COMPUTED_VALUE"""),"")</f>
        <v/>
      </c>
      <c r="O493" s="87" t="str">
        <f>IFERROR(__xludf.DUMMYFUNCTION("""COMPUTED_VALUE"""),"https://drive.google.com/drive/folders/10T2cTQHqEJZqE-st6uFKPoI?usp=share_link")</f>
        <v>https://drive.google.com/drive/folders/10T2cTQHqEJZqE-st6uFKPoI?usp=share_link</v>
      </c>
      <c r="P493" s="6" t="str">
        <f>IFERROR(__xludf.DUMMYFUNCTION("""COMPUTED_VALUE"""),"Thomas Dalle Nogare")</f>
        <v>Thomas Dalle Nogare</v>
      </c>
      <c r="Q493" s="6" t="str">
        <f>IFERROR(__xludf.DUMMYFUNCTION("""COMPUTED_VALUE"""),"MS")</f>
        <v>MS</v>
      </c>
      <c r="R493" s="6">
        <f>IFERROR(__xludf.DUMMYFUNCTION("""COMPUTED_VALUE"""),0.0)</f>
        <v>0</v>
      </c>
      <c r="S493" s="6" t="str">
        <f>IFERROR(__xludf.DUMMYFUNCTION("""COMPUTED_VALUE""")," ")</f>
        <v> </v>
      </c>
      <c r="T493" s="6" t="str">
        <f>IFERROR(__xludf.DUMMYFUNCTION("""COMPUTED_VALUE"""),"")</f>
        <v/>
      </c>
      <c r="U493" s="6" t="str">
        <f>IFERROR(__xludf.DUMMYFUNCTION("""COMPUTED_VALUE"""),"6")</f>
        <v>6</v>
      </c>
      <c r="V493" s="6" t="str">
        <f>IFERROR(__xludf.DUMMYFUNCTION("""COMPUTED_VALUE"""),"")</f>
        <v/>
      </c>
      <c r="W493" s="6" t="str">
        <f>IFERROR(__xludf.DUMMYFUNCTION("""COMPUTED_VALUE"""),"[]")</f>
        <v>[]</v>
      </c>
      <c r="X493" s="6" t="str">
        <f>IFERROR(__xludf.DUMMYFUNCTION("""COMPUTED_VALUE"""),"Enrolled")</f>
        <v>Enrolled</v>
      </c>
    </row>
    <row r="494">
      <c r="A494" s="6" t="str">
        <f>IFERROR(__xludf.DUMMYFUNCTION("""COMPUTED_VALUE"""),"000-8579")</f>
        <v>000-8579</v>
      </c>
      <c r="B494" s="6" t="str">
        <f>IFERROR(__xludf.DUMMYFUNCTION("""COMPUTED_VALUE"""),"0")</f>
        <v>0</v>
      </c>
      <c r="C494" s="6" t="str">
        <f>IFERROR(__xludf.DUMMYFUNCTION("""COMPUTED_VALUE"""),"8579")</f>
        <v>8579</v>
      </c>
      <c r="D494" s="6" t="str">
        <f>IFERROR(__xludf.DUMMYFUNCTION("""COMPUTED_VALUE"""),"Liam")</f>
        <v>Liam</v>
      </c>
      <c r="E494" s="6" t="str">
        <f>IFERROR(__xludf.DUMMYFUNCTION("""COMPUTED_VALUE"""),"")</f>
        <v/>
      </c>
      <c r="F494" s="6" t="str">
        <f>IFERROR(__xludf.DUMMYFUNCTION("""COMPUTED_VALUE"""),"Schmid")</f>
        <v>Schmid</v>
      </c>
      <c r="G494" s="6" t="str">
        <f>IFERROR(__xludf.DUMMYFUNCTION("""COMPUTED_VALUE"""),"11/05/2015")</f>
        <v>11/05/2015</v>
      </c>
      <c r="H494" s="6" t="str">
        <f>IFERROR(__xludf.DUMMYFUNCTION("""COMPUTED_VALUE"""),"male")</f>
        <v>male</v>
      </c>
      <c r="I494" s="6" t="str">
        <f>IFERROR(__xludf.DUMMYFUNCTION("""COMPUTED_VALUE"""),"Level 2")</f>
        <v>Level 2</v>
      </c>
      <c r="J494" s="6" t="str">
        <f>IFERROR(__xludf.DUMMYFUNCTION("""COMPUTED_VALUE"""),"4")</f>
        <v>4</v>
      </c>
      <c r="K494" s="6" t="str">
        <f>IFERROR(__xludf.DUMMYFUNCTION("""COMPUTED_VALUE"""),"liam.schmid2@2hourlearning.com")</f>
        <v>liam.schmid2@2hourlearning.com</v>
      </c>
      <c r="L494" s="6" t="str">
        <f>IFERROR(__xludf.DUMMYFUNCTION("""COMPUTED_VALUE"""),"Alpha Anywhere (homeschool)")</f>
        <v>Alpha Anywhere (homeschool)</v>
      </c>
      <c r="M494" s="6" t="str">
        <f>IFERROR(__xludf.DUMMYFUNCTION("""COMPUTED_VALUE"""),"")</f>
        <v/>
      </c>
      <c r="N494" s="6" t="str">
        <f>IFERROR(__xludf.DUMMYFUNCTION("""COMPUTED_VALUE"""),"")</f>
        <v/>
      </c>
      <c r="O494" s="87" t="str">
        <f>IFERROR(__xludf.DUMMYFUNCTION("""COMPUTED_VALUE"""),"https://drive.google.com/drive/folders/10T2cTQHqEJZqE-st6uFKPoI?usp=share_link")</f>
        <v>https://drive.google.com/drive/folders/10T2cTQHqEJZqE-st6uFKPoI?usp=share_link</v>
      </c>
      <c r="P494" s="6" t="str">
        <f>IFERROR(__xludf.DUMMYFUNCTION("""COMPUTED_VALUE"""),"Liam Schmid")</f>
        <v>Liam Schmid</v>
      </c>
      <c r="Q494" s="6" t="str">
        <f>IFERROR(__xludf.DUMMYFUNCTION("""COMPUTED_VALUE"""),"L2")</f>
        <v>L2</v>
      </c>
      <c r="R494" s="6">
        <f>IFERROR(__xludf.DUMMYFUNCTION("""COMPUTED_VALUE"""),2.0)</f>
        <v>2</v>
      </c>
      <c r="S494" s="6" t="str">
        <f>IFERROR(__xludf.DUMMYFUNCTION("""COMPUTED_VALUE""")," ")</f>
        <v> </v>
      </c>
      <c r="T494" s="6" t="str">
        <f>IFERROR(__xludf.DUMMYFUNCTION("""COMPUTED_VALUE"""),"")</f>
        <v/>
      </c>
      <c r="U494" s="6" t="str">
        <f>IFERROR(__xludf.DUMMYFUNCTION("""COMPUTED_VALUE"""),"4")</f>
        <v>4</v>
      </c>
      <c r="V494" s="6" t="str">
        <f>IFERROR(__xludf.DUMMYFUNCTION("""COMPUTED_VALUE"""),"")</f>
        <v/>
      </c>
      <c r="W494" s="6" t="str">
        <f>IFERROR(__xludf.DUMMYFUNCTION("""COMPUTED_VALUE"""),"[]")</f>
        <v>[]</v>
      </c>
      <c r="X494" s="6" t="str">
        <f>IFERROR(__xludf.DUMMYFUNCTION("""COMPUTED_VALUE"""),"Pending Review")</f>
        <v>Pending Review</v>
      </c>
    </row>
    <row r="495">
      <c r="A495" s="6" t="str">
        <f>IFERROR(__xludf.DUMMYFUNCTION("""COMPUTED_VALUE"""),"000-8580")</f>
        <v>000-8580</v>
      </c>
      <c r="B495" s="6" t="str">
        <f>IFERROR(__xludf.DUMMYFUNCTION("""COMPUTED_VALUE"""),"0")</f>
        <v>0</v>
      </c>
      <c r="C495" s="6" t="str">
        <f>IFERROR(__xludf.DUMMYFUNCTION("""COMPUTED_VALUE"""),"8580")</f>
        <v>8580</v>
      </c>
      <c r="D495" s="6" t="str">
        <f>IFERROR(__xludf.DUMMYFUNCTION("""COMPUTED_VALUE"""),"John")</f>
        <v>John</v>
      </c>
      <c r="E495" s="6" t="str">
        <f>IFERROR(__xludf.DUMMYFUNCTION("""COMPUTED_VALUE"""),"")</f>
        <v/>
      </c>
      <c r="F495" s="6" t="str">
        <f>IFERROR(__xludf.DUMMYFUNCTION("""COMPUTED_VALUE"""),"Upchurch")</f>
        <v>Upchurch</v>
      </c>
      <c r="G495" s="6" t="str">
        <f>IFERROR(__xludf.DUMMYFUNCTION("""COMPUTED_VALUE"""),"03/04/2010")</f>
        <v>03/04/2010</v>
      </c>
      <c r="H495" s="6" t="str">
        <f>IFERROR(__xludf.DUMMYFUNCTION("""COMPUTED_VALUE"""),"male")</f>
        <v>male</v>
      </c>
      <c r="I495" s="6" t="str">
        <f>IFERROR(__xludf.DUMMYFUNCTION("""COMPUTED_VALUE"""),"High School")</f>
        <v>High School</v>
      </c>
      <c r="J495" s="6" t="str">
        <f>IFERROR(__xludf.DUMMYFUNCTION("""COMPUTED_VALUE"""),"9")</f>
        <v>9</v>
      </c>
      <c r="K495" s="6" t="str">
        <f>IFERROR(__xludf.DUMMYFUNCTION("""COMPUTED_VALUE"""),"john.upchurch@2hourlearning.com")</f>
        <v>john.upchurch@2hourlearning.com</v>
      </c>
      <c r="L495" s="6" t="str">
        <f>IFERROR(__xludf.DUMMYFUNCTION("""COMPUTED_VALUE"""),"Alpha Anywhere (homeschool)")</f>
        <v>Alpha Anywhere (homeschool)</v>
      </c>
      <c r="M495" s="6" t="str">
        <f>IFERROR(__xludf.DUMMYFUNCTION("""COMPUTED_VALUE"""),"")</f>
        <v/>
      </c>
      <c r="N495" s="6" t="str">
        <f>IFERROR(__xludf.DUMMYFUNCTION("""COMPUTED_VALUE"""),"")</f>
        <v/>
      </c>
      <c r="O495" s="87" t="str">
        <f>IFERROR(__xludf.DUMMYFUNCTION("""COMPUTED_VALUE"""),"https://drive.google.com/drive/folders/10T2cTQHqEJZqE-st6uFKPoI?usp=share_link")</f>
        <v>https://drive.google.com/drive/folders/10T2cTQHqEJZqE-st6uFKPoI?usp=share_link</v>
      </c>
      <c r="P495" s="6" t="str">
        <f>IFERROR(__xludf.DUMMYFUNCTION("""COMPUTED_VALUE"""),"John Upchurch")</f>
        <v>John Upchurch</v>
      </c>
      <c r="Q495" s="6" t="str">
        <f>IFERROR(__xludf.DUMMYFUNCTION("""COMPUTED_VALUE"""),"HS")</f>
        <v>HS</v>
      </c>
      <c r="R495" s="6">
        <f>IFERROR(__xludf.DUMMYFUNCTION("""COMPUTED_VALUE"""),0.0)</f>
        <v>0</v>
      </c>
      <c r="S495" s="6" t="str">
        <f>IFERROR(__xludf.DUMMYFUNCTION("""COMPUTED_VALUE""")," ")</f>
        <v> </v>
      </c>
      <c r="T495" s="6" t="str">
        <f>IFERROR(__xludf.DUMMYFUNCTION("""COMPUTED_VALUE"""),"")</f>
        <v/>
      </c>
      <c r="U495" s="6" t="str">
        <f>IFERROR(__xludf.DUMMYFUNCTION("""COMPUTED_VALUE"""),"9")</f>
        <v>9</v>
      </c>
      <c r="V495" s="6" t="str">
        <f>IFERROR(__xludf.DUMMYFUNCTION("""COMPUTED_VALUE"""),"")</f>
        <v/>
      </c>
      <c r="W495" s="6" t="str">
        <f>IFERROR(__xludf.DUMMYFUNCTION("""COMPUTED_VALUE"""),"[]")</f>
        <v>[]</v>
      </c>
      <c r="X495" s="6" t="str">
        <f>IFERROR(__xludf.DUMMYFUNCTION("""COMPUTED_VALUE"""),"Enrolled")</f>
        <v>Enrolled</v>
      </c>
    </row>
    <row r="496">
      <c r="A496" s="6" t="str">
        <f>IFERROR(__xludf.DUMMYFUNCTION("""COMPUTED_VALUE"""),"000-8582")</f>
        <v>000-8582</v>
      </c>
      <c r="B496" s="6" t="str">
        <f>IFERROR(__xludf.DUMMYFUNCTION("""COMPUTED_VALUE"""),"0")</f>
        <v>0</v>
      </c>
      <c r="C496" s="6" t="str">
        <f>IFERROR(__xludf.DUMMYFUNCTION("""COMPUTED_VALUE"""),"8582")</f>
        <v>8582</v>
      </c>
      <c r="D496" s="6" t="str">
        <f>IFERROR(__xludf.DUMMYFUNCTION("""COMPUTED_VALUE"""),"Jordyn")</f>
        <v>Jordyn</v>
      </c>
      <c r="E496" s="6" t="str">
        <f>IFERROR(__xludf.DUMMYFUNCTION("""COMPUTED_VALUE"""),"")</f>
        <v/>
      </c>
      <c r="F496" s="6" t="str">
        <f>IFERROR(__xludf.DUMMYFUNCTION("""COMPUTED_VALUE"""),"Moore")</f>
        <v>Moore</v>
      </c>
      <c r="G496" s="6" t="str">
        <f>IFERROR(__xludf.DUMMYFUNCTION("""COMPUTED_VALUE"""),"06/24/2009")</f>
        <v>06/24/2009</v>
      </c>
      <c r="H496" s="6" t="str">
        <f>IFERROR(__xludf.DUMMYFUNCTION("""COMPUTED_VALUE"""),"female")</f>
        <v>female</v>
      </c>
      <c r="I496" s="6" t="str">
        <f>IFERROR(__xludf.DUMMYFUNCTION("""COMPUTED_VALUE"""),"High School")</f>
        <v>High School</v>
      </c>
      <c r="J496" s="6" t="str">
        <f>IFERROR(__xludf.DUMMYFUNCTION("""COMPUTED_VALUE"""),"11")</f>
        <v>11</v>
      </c>
      <c r="K496" s="6" t="str">
        <f>IFERROR(__xludf.DUMMYFUNCTION("""COMPUTED_VALUE"""),"jordyn.moore@2hourlearning.com")</f>
        <v>jordyn.moore@2hourlearning.com</v>
      </c>
      <c r="L496" s="6" t="str">
        <f>IFERROR(__xludf.DUMMYFUNCTION("""COMPUTED_VALUE"""),"Alpha Anywhere (homeschool)")</f>
        <v>Alpha Anywhere (homeschool)</v>
      </c>
      <c r="M496" s="6" t="str">
        <f>IFERROR(__xludf.DUMMYFUNCTION("""COMPUTED_VALUE"""),"")</f>
        <v/>
      </c>
      <c r="N496" s="6" t="str">
        <f>IFERROR(__xludf.DUMMYFUNCTION("""COMPUTED_VALUE"""),"")</f>
        <v/>
      </c>
      <c r="O496" s="87" t="str">
        <f>IFERROR(__xludf.DUMMYFUNCTION("""COMPUTED_VALUE"""),"https://drive.google.com/drive/folders/10T2cTQHqEJZqE-st6uFKPoI?usp=share_link")</f>
        <v>https://drive.google.com/drive/folders/10T2cTQHqEJZqE-st6uFKPoI?usp=share_link</v>
      </c>
      <c r="P496" s="6" t="str">
        <f>IFERROR(__xludf.DUMMYFUNCTION("""COMPUTED_VALUE"""),"Jordyn Moore")</f>
        <v>Jordyn Moore</v>
      </c>
      <c r="Q496" s="6" t="str">
        <f>IFERROR(__xludf.DUMMYFUNCTION("""COMPUTED_VALUE"""),"HS")</f>
        <v>HS</v>
      </c>
      <c r="R496" s="6">
        <f>IFERROR(__xludf.DUMMYFUNCTION("""COMPUTED_VALUE"""),0.0)</f>
        <v>0</v>
      </c>
      <c r="S496" s="6" t="str">
        <f>IFERROR(__xludf.DUMMYFUNCTION("""COMPUTED_VALUE""")," ")</f>
        <v> </v>
      </c>
      <c r="T496" s="6" t="str">
        <f>IFERROR(__xludf.DUMMYFUNCTION("""COMPUTED_VALUE"""),"")</f>
        <v/>
      </c>
      <c r="U496" s="6" t="str">
        <f>IFERROR(__xludf.DUMMYFUNCTION("""COMPUTED_VALUE"""),"11")</f>
        <v>11</v>
      </c>
      <c r="V496" s="6" t="str">
        <f>IFERROR(__xludf.DUMMYFUNCTION("""COMPUTED_VALUE"""),"")</f>
        <v/>
      </c>
      <c r="W496" s="6" t="str">
        <f>IFERROR(__xludf.DUMMYFUNCTION("""COMPUTED_VALUE"""),"[]")</f>
        <v>[]</v>
      </c>
      <c r="X496" s="6" t="str">
        <f>IFERROR(__xludf.DUMMYFUNCTION("""COMPUTED_VALUE"""),"Pending Review")</f>
        <v>Pending Review</v>
      </c>
    </row>
    <row r="497">
      <c r="A497" s="6" t="str">
        <f>IFERROR(__xludf.DUMMYFUNCTION("""COMPUTED_VALUE"""),"000-8595")</f>
        <v>000-8595</v>
      </c>
      <c r="B497" s="6" t="str">
        <f>IFERROR(__xludf.DUMMYFUNCTION("""COMPUTED_VALUE"""),"0")</f>
        <v>0</v>
      </c>
      <c r="C497" s="6" t="str">
        <f>IFERROR(__xludf.DUMMYFUNCTION("""COMPUTED_VALUE"""),"8595")</f>
        <v>8595</v>
      </c>
      <c r="D497" s="6" t="str">
        <f>IFERROR(__xludf.DUMMYFUNCTION("""COMPUTED_VALUE"""),"Charles")</f>
        <v>Charles</v>
      </c>
      <c r="E497" s="6" t="str">
        <f>IFERROR(__xludf.DUMMYFUNCTION("""COMPUTED_VALUE"""),"")</f>
        <v/>
      </c>
      <c r="F497" s="6" t="str">
        <f>IFERROR(__xludf.DUMMYFUNCTION("""COMPUTED_VALUE"""),"Lee")</f>
        <v>Lee</v>
      </c>
      <c r="G497" s="6" t="str">
        <f>IFERROR(__xludf.DUMMYFUNCTION("""COMPUTED_VALUE"""),"09/27/2015")</f>
        <v>09/27/2015</v>
      </c>
      <c r="H497" s="6" t="str">
        <f>IFERROR(__xludf.DUMMYFUNCTION("""COMPUTED_VALUE"""),"male")</f>
        <v>male</v>
      </c>
      <c r="I497" s="6" t="str">
        <f>IFERROR(__xludf.DUMMYFUNCTION("""COMPUTED_VALUE"""),"Level 2")</f>
        <v>Level 2</v>
      </c>
      <c r="J497" s="6" t="str">
        <f>IFERROR(__xludf.DUMMYFUNCTION("""COMPUTED_VALUE"""),"4")</f>
        <v>4</v>
      </c>
      <c r="K497" s="6" t="str">
        <f>IFERROR(__xludf.DUMMYFUNCTION("""COMPUTED_VALUE"""),"charles.lee@2hourlearning.com")</f>
        <v>charles.lee@2hourlearning.com</v>
      </c>
      <c r="L497" s="6" t="str">
        <f>IFERROR(__xludf.DUMMYFUNCTION("""COMPUTED_VALUE"""),"Alpha Anywhere (homeschool)")</f>
        <v>Alpha Anywhere (homeschool)</v>
      </c>
      <c r="M497" s="6" t="str">
        <f>IFERROR(__xludf.DUMMYFUNCTION("""COMPUTED_VALUE"""),"")</f>
        <v/>
      </c>
      <c r="N497" s="6" t="str">
        <f>IFERROR(__xludf.DUMMYFUNCTION("""COMPUTED_VALUE"""),"")</f>
        <v/>
      </c>
      <c r="O497" s="87" t="str">
        <f>IFERROR(__xludf.DUMMYFUNCTION("""COMPUTED_VALUE"""),"https://drive.google.com/drive/folders/10T2cTQHqEJZqE-st6uFKPoI?usp=share_link")</f>
        <v>https://drive.google.com/drive/folders/10T2cTQHqEJZqE-st6uFKPoI?usp=share_link</v>
      </c>
      <c r="P497" s="6" t="str">
        <f>IFERROR(__xludf.DUMMYFUNCTION("""COMPUTED_VALUE"""),"Charles Lee")</f>
        <v>Charles Lee</v>
      </c>
      <c r="Q497" s="6" t="str">
        <f>IFERROR(__xludf.DUMMYFUNCTION("""COMPUTED_VALUE"""),"L2")</f>
        <v>L2</v>
      </c>
      <c r="R497" s="6">
        <f>IFERROR(__xludf.DUMMYFUNCTION("""COMPUTED_VALUE"""),2.0)</f>
        <v>2</v>
      </c>
      <c r="S497" s="6" t="str">
        <f>IFERROR(__xludf.DUMMYFUNCTION("""COMPUTED_VALUE""")," ")</f>
        <v> </v>
      </c>
      <c r="T497" s="6" t="str">
        <f>IFERROR(__xludf.DUMMYFUNCTION("""COMPUTED_VALUE"""),"")</f>
        <v/>
      </c>
      <c r="U497" s="6" t="str">
        <f>IFERROR(__xludf.DUMMYFUNCTION("""COMPUTED_VALUE"""),"4")</f>
        <v>4</v>
      </c>
      <c r="V497" s="6" t="str">
        <f>IFERROR(__xludf.DUMMYFUNCTION("""COMPUTED_VALUE"""),"")</f>
        <v/>
      </c>
      <c r="W497" s="6" t="str">
        <f>IFERROR(__xludf.DUMMYFUNCTION("""COMPUTED_VALUE"""),"[]")</f>
        <v>[]</v>
      </c>
      <c r="X497" s="6" t="str">
        <f>IFERROR(__xludf.DUMMYFUNCTION("""COMPUTED_VALUE"""),"Enrolled")</f>
        <v>Enrolled</v>
      </c>
    </row>
    <row r="498">
      <c r="A498" s="6" t="str">
        <f>IFERROR(__xludf.DUMMYFUNCTION("""COMPUTED_VALUE"""),"000-8596")</f>
        <v>000-8596</v>
      </c>
      <c r="B498" s="6" t="str">
        <f>IFERROR(__xludf.DUMMYFUNCTION("""COMPUTED_VALUE"""),"0")</f>
        <v>0</v>
      </c>
      <c r="C498" s="6" t="str">
        <f>IFERROR(__xludf.DUMMYFUNCTION("""COMPUTED_VALUE"""),"8596")</f>
        <v>8596</v>
      </c>
      <c r="D498" s="6" t="str">
        <f>IFERROR(__xludf.DUMMYFUNCTION("""COMPUTED_VALUE"""),"Elena")</f>
        <v>Elena</v>
      </c>
      <c r="E498" s="6" t="str">
        <f>IFERROR(__xludf.DUMMYFUNCTION("""COMPUTED_VALUE"""),"")</f>
        <v/>
      </c>
      <c r="F498" s="6" t="str">
        <f>IFERROR(__xludf.DUMMYFUNCTION("""COMPUTED_VALUE"""),"Lee")</f>
        <v>Lee</v>
      </c>
      <c r="G498" s="6" t="str">
        <f>IFERROR(__xludf.DUMMYFUNCTION("""COMPUTED_VALUE"""),"12/10/2017")</f>
        <v>12/10/2017</v>
      </c>
      <c r="H498" s="6" t="str">
        <f>IFERROR(__xludf.DUMMYFUNCTION("""COMPUTED_VALUE"""),"female")</f>
        <v>female</v>
      </c>
      <c r="I498" s="6" t="str">
        <f>IFERROR(__xludf.DUMMYFUNCTION("""COMPUTED_VALUE"""),"Level 1")</f>
        <v>Level 1</v>
      </c>
      <c r="J498" s="6" t="str">
        <f>IFERROR(__xludf.DUMMYFUNCTION("""COMPUTED_VALUE"""),"2")</f>
        <v>2</v>
      </c>
      <c r="K498" s="6" t="str">
        <f>IFERROR(__xludf.DUMMYFUNCTION("""COMPUTED_VALUE"""),"elena.lee@2hourlearning.com")</f>
        <v>elena.lee@2hourlearning.com</v>
      </c>
      <c r="L498" s="6" t="str">
        <f>IFERROR(__xludf.DUMMYFUNCTION("""COMPUTED_VALUE"""),"Alpha Anywhere (homeschool)")</f>
        <v>Alpha Anywhere (homeschool)</v>
      </c>
      <c r="M498" s="6" t="str">
        <f>IFERROR(__xludf.DUMMYFUNCTION("""COMPUTED_VALUE"""),"")</f>
        <v/>
      </c>
      <c r="N498" s="6" t="str">
        <f>IFERROR(__xludf.DUMMYFUNCTION("""COMPUTED_VALUE"""),"")</f>
        <v/>
      </c>
      <c r="O498" s="87" t="str">
        <f>IFERROR(__xludf.DUMMYFUNCTION("""COMPUTED_VALUE"""),"https://drive.google.com/drive/folders/10T2cTQHqEJZqE-st6uFKPoI?usp=share_link")</f>
        <v>https://drive.google.com/drive/folders/10T2cTQHqEJZqE-st6uFKPoI?usp=share_link</v>
      </c>
      <c r="P498" s="6" t="str">
        <f>IFERROR(__xludf.DUMMYFUNCTION("""COMPUTED_VALUE"""),"Elena Lee")</f>
        <v>Elena Lee</v>
      </c>
      <c r="Q498" s="6" t="str">
        <f>IFERROR(__xludf.DUMMYFUNCTION("""COMPUTED_VALUE"""),"L1")</f>
        <v>L1</v>
      </c>
      <c r="R498" s="6">
        <f>IFERROR(__xludf.DUMMYFUNCTION("""COMPUTED_VALUE"""),1.0)</f>
        <v>1</v>
      </c>
      <c r="S498" s="6" t="str">
        <f>IFERROR(__xludf.DUMMYFUNCTION("""COMPUTED_VALUE""")," ")</f>
        <v> </v>
      </c>
      <c r="T498" s="6" t="str">
        <f>IFERROR(__xludf.DUMMYFUNCTION("""COMPUTED_VALUE"""),"")</f>
        <v/>
      </c>
      <c r="U498" s="6" t="str">
        <f>IFERROR(__xludf.DUMMYFUNCTION("""COMPUTED_VALUE"""),"2")</f>
        <v>2</v>
      </c>
      <c r="V498" s="6" t="str">
        <f>IFERROR(__xludf.DUMMYFUNCTION("""COMPUTED_VALUE"""),"")</f>
        <v/>
      </c>
      <c r="W498" s="6" t="str">
        <f>IFERROR(__xludf.DUMMYFUNCTION("""COMPUTED_VALUE"""),"[]")</f>
        <v>[]</v>
      </c>
      <c r="X498" s="6" t="str">
        <f>IFERROR(__xludf.DUMMYFUNCTION("""COMPUTED_VALUE"""),"Enrolled")</f>
        <v>Enrolled</v>
      </c>
    </row>
    <row r="499">
      <c r="A499" s="6" t="str">
        <f>IFERROR(__xludf.DUMMYFUNCTION("""COMPUTED_VALUE"""),"000-8609")</f>
        <v>000-8609</v>
      </c>
      <c r="B499" s="6" t="str">
        <f>IFERROR(__xludf.DUMMYFUNCTION("""COMPUTED_VALUE"""),"0")</f>
        <v>0</v>
      </c>
      <c r="C499" s="6" t="str">
        <f>IFERROR(__xludf.DUMMYFUNCTION("""COMPUTED_VALUE"""),"8609")</f>
        <v>8609</v>
      </c>
      <c r="D499" s="6" t="str">
        <f>IFERROR(__xludf.DUMMYFUNCTION("""COMPUTED_VALUE"""),"Tobit")</f>
        <v>Tobit</v>
      </c>
      <c r="E499" s="6" t="str">
        <f>IFERROR(__xludf.DUMMYFUNCTION("""COMPUTED_VALUE"""),"")</f>
        <v/>
      </c>
      <c r="F499" s="6" t="str">
        <f>IFERROR(__xludf.DUMMYFUNCTION("""COMPUTED_VALUE"""),"Israel")</f>
        <v>Israel</v>
      </c>
      <c r="G499" s="6" t="str">
        <f>IFERROR(__xludf.DUMMYFUNCTION("""COMPUTED_VALUE"""),"06/11/2016")</f>
        <v>06/11/2016</v>
      </c>
      <c r="H499" s="6" t="str">
        <f>IFERROR(__xludf.DUMMYFUNCTION("""COMPUTED_VALUE"""),"male")</f>
        <v>male</v>
      </c>
      <c r="I499" s="6" t="str">
        <f>IFERROR(__xludf.DUMMYFUNCTION("""COMPUTED_VALUE"""),"Level 2")</f>
        <v>Level 2</v>
      </c>
      <c r="J499" s="6" t="str">
        <f>IFERROR(__xludf.DUMMYFUNCTION("""COMPUTED_VALUE"""),"4")</f>
        <v>4</v>
      </c>
      <c r="K499" s="6" t="str">
        <f>IFERROR(__xludf.DUMMYFUNCTION("""COMPUTED_VALUE"""),"tobit.israel@2hourlearning.com")</f>
        <v>tobit.israel@2hourlearning.com</v>
      </c>
      <c r="L499" s="6" t="str">
        <f>IFERROR(__xludf.DUMMYFUNCTION("""COMPUTED_VALUE"""),"Alpha Anywhere (homeschool)")</f>
        <v>Alpha Anywhere (homeschool)</v>
      </c>
      <c r="M499" s="6" t="str">
        <f>IFERROR(__xludf.DUMMYFUNCTION("""COMPUTED_VALUE"""),"")</f>
        <v/>
      </c>
      <c r="N499" s="6" t="str">
        <f>IFERROR(__xludf.DUMMYFUNCTION("""COMPUTED_VALUE"""),"")</f>
        <v/>
      </c>
      <c r="O499" s="87" t="str">
        <f>IFERROR(__xludf.DUMMYFUNCTION("""COMPUTED_VALUE"""),"https://drive.google.com/drive/folders/10T2cTQHqEJZqE-st6uFKPoI?usp=share_link")</f>
        <v>https://drive.google.com/drive/folders/10T2cTQHqEJZqE-st6uFKPoI?usp=share_link</v>
      </c>
      <c r="P499" s="6" t="str">
        <f>IFERROR(__xludf.DUMMYFUNCTION("""COMPUTED_VALUE"""),"Tobit Israel")</f>
        <v>Tobit Israel</v>
      </c>
      <c r="Q499" s="6" t="str">
        <f>IFERROR(__xludf.DUMMYFUNCTION("""COMPUTED_VALUE"""),"L2")</f>
        <v>L2</v>
      </c>
      <c r="R499" s="6">
        <f>IFERROR(__xludf.DUMMYFUNCTION("""COMPUTED_VALUE"""),2.0)</f>
        <v>2</v>
      </c>
      <c r="S499" s="6" t="str">
        <f>IFERROR(__xludf.DUMMYFUNCTION("""COMPUTED_VALUE""")," ")</f>
        <v> </v>
      </c>
      <c r="T499" s="6" t="str">
        <f>IFERROR(__xludf.DUMMYFUNCTION("""COMPUTED_VALUE"""),"")</f>
        <v/>
      </c>
      <c r="U499" s="6" t="str">
        <f>IFERROR(__xludf.DUMMYFUNCTION("""COMPUTED_VALUE"""),"4")</f>
        <v>4</v>
      </c>
      <c r="V499" s="6" t="str">
        <f>IFERROR(__xludf.DUMMYFUNCTION("""COMPUTED_VALUE"""),"")</f>
        <v/>
      </c>
      <c r="W499" s="6" t="str">
        <f>IFERROR(__xludf.DUMMYFUNCTION("""COMPUTED_VALUE"""),"[]")</f>
        <v>[]</v>
      </c>
      <c r="X499" s="6" t="str">
        <f>IFERROR(__xludf.DUMMYFUNCTION("""COMPUTED_VALUE"""),"Enrolled")</f>
        <v>Enrolled</v>
      </c>
    </row>
    <row r="500">
      <c r="A500" s="6" t="str">
        <f>IFERROR(__xludf.DUMMYFUNCTION("""COMPUTED_VALUE"""),"000-8640")</f>
        <v>000-8640</v>
      </c>
      <c r="B500" s="6" t="str">
        <f>IFERROR(__xludf.DUMMYFUNCTION("""COMPUTED_VALUE"""),"0")</f>
        <v>0</v>
      </c>
      <c r="C500" s="6" t="str">
        <f>IFERROR(__xludf.DUMMYFUNCTION("""COMPUTED_VALUE"""),"8640")</f>
        <v>8640</v>
      </c>
      <c r="D500" s="6" t="str">
        <f>IFERROR(__xludf.DUMMYFUNCTION("""COMPUTED_VALUE"""),"Rochus")</f>
        <v>Rochus</v>
      </c>
      <c r="E500" s="6" t="str">
        <f>IFERROR(__xludf.DUMMYFUNCTION("""COMPUTED_VALUE"""),"")</f>
        <v/>
      </c>
      <c r="F500" s="6" t="str">
        <f>IFERROR(__xludf.DUMMYFUNCTION("""COMPUTED_VALUE"""),"Owens")</f>
        <v>Owens</v>
      </c>
      <c r="G500" s="6" t="str">
        <f>IFERROR(__xludf.DUMMYFUNCTION("""COMPUTED_VALUE"""),"07/27/2016")</f>
        <v>07/27/2016</v>
      </c>
      <c r="H500" s="6" t="str">
        <f>IFERROR(__xludf.DUMMYFUNCTION("""COMPUTED_VALUE"""),"male")</f>
        <v>male</v>
      </c>
      <c r="I500" s="6" t="str">
        <f>IFERROR(__xludf.DUMMYFUNCTION("""COMPUTED_VALUE"""),"Level 2")</f>
        <v>Level 2</v>
      </c>
      <c r="J500" s="6" t="str">
        <f>IFERROR(__xludf.DUMMYFUNCTION("""COMPUTED_VALUE"""),"4")</f>
        <v>4</v>
      </c>
      <c r="K500" s="6" t="str">
        <f>IFERROR(__xludf.DUMMYFUNCTION("""COMPUTED_VALUE"""),"rochus.owens@2hourlearning.com")</f>
        <v>rochus.owens@2hourlearning.com</v>
      </c>
      <c r="L500" s="6" t="str">
        <f>IFERROR(__xludf.DUMMYFUNCTION("""COMPUTED_VALUE"""),"Alpha Anywhere (homeschool)")</f>
        <v>Alpha Anywhere (homeschool)</v>
      </c>
      <c r="M500" s="6" t="str">
        <f>IFERROR(__xludf.DUMMYFUNCTION("""COMPUTED_VALUE"""),"")</f>
        <v/>
      </c>
      <c r="N500" s="6" t="str">
        <f>IFERROR(__xludf.DUMMYFUNCTION("""COMPUTED_VALUE"""),"")</f>
        <v/>
      </c>
      <c r="O500" s="87" t="str">
        <f>IFERROR(__xludf.DUMMYFUNCTION("""COMPUTED_VALUE"""),"https://drive.google.com/drive/folders/10T2cTQHqEJZqE-st6uFKPoI?usp=share_link")</f>
        <v>https://drive.google.com/drive/folders/10T2cTQHqEJZqE-st6uFKPoI?usp=share_link</v>
      </c>
      <c r="P500" s="6" t="str">
        <f>IFERROR(__xludf.DUMMYFUNCTION("""COMPUTED_VALUE"""),"Rochus Owens")</f>
        <v>Rochus Owens</v>
      </c>
      <c r="Q500" s="6" t="str">
        <f>IFERROR(__xludf.DUMMYFUNCTION("""COMPUTED_VALUE"""),"L2")</f>
        <v>L2</v>
      </c>
      <c r="R500" s="6">
        <f>IFERROR(__xludf.DUMMYFUNCTION("""COMPUTED_VALUE"""),2.0)</f>
        <v>2</v>
      </c>
      <c r="S500" s="6" t="str">
        <f>IFERROR(__xludf.DUMMYFUNCTION("""COMPUTED_VALUE""")," ")</f>
        <v> </v>
      </c>
      <c r="T500" s="6" t="str">
        <f>IFERROR(__xludf.DUMMYFUNCTION("""COMPUTED_VALUE"""),"")</f>
        <v/>
      </c>
      <c r="U500" s="6" t="str">
        <f>IFERROR(__xludf.DUMMYFUNCTION("""COMPUTED_VALUE"""),"4")</f>
        <v>4</v>
      </c>
      <c r="V500" s="6" t="str">
        <f>IFERROR(__xludf.DUMMYFUNCTION("""COMPUTED_VALUE"""),"")</f>
        <v/>
      </c>
      <c r="W500" s="6" t="str">
        <f>IFERROR(__xludf.DUMMYFUNCTION("""COMPUTED_VALUE"""),"[]")</f>
        <v>[]</v>
      </c>
      <c r="X500" s="6" t="str">
        <f>IFERROR(__xludf.DUMMYFUNCTION("""COMPUTED_VALUE"""),"Enrolled")</f>
        <v>Enrolled</v>
      </c>
    </row>
    <row r="501">
      <c r="A501" s="6" t="str">
        <f>IFERROR(__xludf.DUMMYFUNCTION("""COMPUTED_VALUE"""),"000-8642")</f>
        <v>000-8642</v>
      </c>
      <c r="B501" s="6" t="str">
        <f>IFERROR(__xludf.DUMMYFUNCTION("""COMPUTED_VALUE"""),"0")</f>
        <v>0</v>
      </c>
      <c r="C501" s="6" t="str">
        <f>IFERROR(__xludf.DUMMYFUNCTION("""COMPUTED_VALUE"""),"8642")</f>
        <v>8642</v>
      </c>
      <c r="D501" s="6" t="str">
        <f>IFERROR(__xludf.DUMMYFUNCTION("""COMPUTED_VALUE"""),"Clay")</f>
        <v>Clay</v>
      </c>
      <c r="E501" s="6" t="str">
        <f>IFERROR(__xludf.DUMMYFUNCTION("""COMPUTED_VALUE"""),"")</f>
        <v/>
      </c>
      <c r="F501" s="6" t="str">
        <f>IFERROR(__xludf.DUMMYFUNCTION("""COMPUTED_VALUE"""),"Larson")</f>
        <v>Larson</v>
      </c>
      <c r="G501" s="6" t="str">
        <f>IFERROR(__xludf.DUMMYFUNCTION("""COMPUTED_VALUE"""),"05/02/2012")</f>
        <v>05/02/2012</v>
      </c>
      <c r="H501" s="6" t="str">
        <f>IFERROR(__xludf.DUMMYFUNCTION("""COMPUTED_VALUE"""),"male")</f>
        <v>male</v>
      </c>
      <c r="I501" s="6" t="str">
        <f>IFERROR(__xludf.DUMMYFUNCTION("""COMPUTED_VALUE"""),"Middle School")</f>
        <v>Middle School</v>
      </c>
      <c r="J501" s="6" t="str">
        <f>IFERROR(__xludf.DUMMYFUNCTION("""COMPUTED_VALUE"""),"8")</f>
        <v>8</v>
      </c>
      <c r="K501" s="6" t="str">
        <f>IFERROR(__xludf.DUMMYFUNCTION("""COMPUTED_VALUE"""),"clay.larson@2hourlearning.com")</f>
        <v>clay.larson@2hourlearning.com</v>
      </c>
      <c r="L501" s="6" t="str">
        <f>IFERROR(__xludf.DUMMYFUNCTION("""COMPUTED_VALUE"""),"Alpha Anywhere (homeschool)")</f>
        <v>Alpha Anywhere (homeschool)</v>
      </c>
      <c r="M501" s="6" t="str">
        <f>IFERROR(__xludf.DUMMYFUNCTION("""COMPUTED_VALUE"""),"")</f>
        <v/>
      </c>
      <c r="N501" s="6" t="str">
        <f>IFERROR(__xludf.DUMMYFUNCTION("""COMPUTED_VALUE"""),"")</f>
        <v/>
      </c>
      <c r="O501" s="87" t="str">
        <f>IFERROR(__xludf.DUMMYFUNCTION("""COMPUTED_VALUE"""),"https://drive.google.com/drive/folders/10T2cTQHqEJZqE-st6uFKPoI?usp=share_link")</f>
        <v>https://drive.google.com/drive/folders/10T2cTQHqEJZqE-st6uFKPoI?usp=share_link</v>
      </c>
      <c r="P501" s="6" t="str">
        <f>IFERROR(__xludf.DUMMYFUNCTION("""COMPUTED_VALUE"""),"Clay Larson")</f>
        <v>Clay Larson</v>
      </c>
      <c r="Q501" s="6" t="str">
        <f>IFERROR(__xludf.DUMMYFUNCTION("""COMPUTED_VALUE"""),"MS")</f>
        <v>MS</v>
      </c>
      <c r="R501" s="6">
        <f>IFERROR(__xludf.DUMMYFUNCTION("""COMPUTED_VALUE"""),0.0)</f>
        <v>0</v>
      </c>
      <c r="S501" s="6" t="str">
        <f>IFERROR(__xludf.DUMMYFUNCTION("""COMPUTED_VALUE""")," ")</f>
        <v> </v>
      </c>
      <c r="T501" s="6" t="str">
        <f>IFERROR(__xludf.DUMMYFUNCTION("""COMPUTED_VALUE"""),"")</f>
        <v/>
      </c>
      <c r="U501" s="6" t="str">
        <f>IFERROR(__xludf.DUMMYFUNCTION("""COMPUTED_VALUE"""),"8")</f>
        <v>8</v>
      </c>
      <c r="V501" s="6" t="str">
        <f>IFERROR(__xludf.DUMMYFUNCTION("""COMPUTED_VALUE"""),"")</f>
        <v/>
      </c>
      <c r="W501" s="6" t="str">
        <f>IFERROR(__xludf.DUMMYFUNCTION("""COMPUTED_VALUE"""),"[]")</f>
        <v>[]</v>
      </c>
      <c r="X501" s="6" t="str">
        <f>IFERROR(__xludf.DUMMYFUNCTION("""COMPUTED_VALUE"""),"Enrolled")</f>
        <v>Enrolled</v>
      </c>
    </row>
    <row r="502">
      <c r="A502" s="6" t="str">
        <f>IFERROR(__xludf.DUMMYFUNCTION("""COMPUTED_VALUE"""),"000-8643")</f>
        <v>000-8643</v>
      </c>
      <c r="B502" s="6" t="str">
        <f>IFERROR(__xludf.DUMMYFUNCTION("""COMPUTED_VALUE"""),"0")</f>
        <v>0</v>
      </c>
      <c r="C502" s="6" t="str">
        <f>IFERROR(__xludf.DUMMYFUNCTION("""COMPUTED_VALUE"""),"8643")</f>
        <v>8643</v>
      </c>
      <c r="D502" s="6" t="str">
        <f>IFERROR(__xludf.DUMMYFUNCTION("""COMPUTED_VALUE"""),"Porter")</f>
        <v>Porter</v>
      </c>
      <c r="E502" s="6" t="str">
        <f>IFERROR(__xludf.DUMMYFUNCTION("""COMPUTED_VALUE"""),"")</f>
        <v/>
      </c>
      <c r="F502" s="6" t="str">
        <f>IFERROR(__xludf.DUMMYFUNCTION("""COMPUTED_VALUE"""),"Larson")</f>
        <v>Larson</v>
      </c>
      <c r="G502" s="6" t="str">
        <f>IFERROR(__xludf.DUMMYFUNCTION("""COMPUTED_VALUE"""),"06/20/2014")</f>
        <v>06/20/2014</v>
      </c>
      <c r="H502" s="6" t="str">
        <f>IFERROR(__xludf.DUMMYFUNCTION("""COMPUTED_VALUE"""),"male")</f>
        <v>male</v>
      </c>
      <c r="I502" s="6" t="str">
        <f>IFERROR(__xludf.DUMMYFUNCTION("""COMPUTED_VALUE"""),"Middle School")</f>
        <v>Middle School</v>
      </c>
      <c r="J502" s="6" t="str">
        <f>IFERROR(__xludf.DUMMYFUNCTION("""COMPUTED_VALUE"""),"6")</f>
        <v>6</v>
      </c>
      <c r="K502" s="6" t="str">
        <f>IFERROR(__xludf.DUMMYFUNCTION("""COMPUTED_VALUE"""),"porter.larson@2hourlearning.com")</f>
        <v>porter.larson@2hourlearning.com</v>
      </c>
      <c r="L502" s="6" t="str">
        <f>IFERROR(__xludf.DUMMYFUNCTION("""COMPUTED_VALUE"""),"Alpha Anywhere (homeschool)")</f>
        <v>Alpha Anywhere (homeschool)</v>
      </c>
      <c r="M502" s="6" t="str">
        <f>IFERROR(__xludf.DUMMYFUNCTION("""COMPUTED_VALUE"""),"")</f>
        <v/>
      </c>
      <c r="N502" s="6" t="str">
        <f>IFERROR(__xludf.DUMMYFUNCTION("""COMPUTED_VALUE"""),"")</f>
        <v/>
      </c>
      <c r="O502" s="87" t="str">
        <f>IFERROR(__xludf.DUMMYFUNCTION("""COMPUTED_VALUE"""),"https://drive.google.com/drive/folders/10T2cTQHqEJZqE-st6uFKPoI?usp=share_link")</f>
        <v>https://drive.google.com/drive/folders/10T2cTQHqEJZqE-st6uFKPoI?usp=share_link</v>
      </c>
      <c r="P502" s="6" t="str">
        <f>IFERROR(__xludf.DUMMYFUNCTION("""COMPUTED_VALUE"""),"Porter Larson")</f>
        <v>Porter Larson</v>
      </c>
      <c r="Q502" s="6" t="str">
        <f>IFERROR(__xludf.DUMMYFUNCTION("""COMPUTED_VALUE"""),"MS")</f>
        <v>MS</v>
      </c>
      <c r="R502" s="6">
        <f>IFERROR(__xludf.DUMMYFUNCTION("""COMPUTED_VALUE"""),0.0)</f>
        <v>0</v>
      </c>
      <c r="S502" s="6" t="str">
        <f>IFERROR(__xludf.DUMMYFUNCTION("""COMPUTED_VALUE""")," ")</f>
        <v> </v>
      </c>
      <c r="T502" s="6" t="str">
        <f>IFERROR(__xludf.DUMMYFUNCTION("""COMPUTED_VALUE"""),"")</f>
        <v/>
      </c>
      <c r="U502" s="6" t="str">
        <f>IFERROR(__xludf.DUMMYFUNCTION("""COMPUTED_VALUE"""),"6")</f>
        <v>6</v>
      </c>
      <c r="V502" s="6" t="str">
        <f>IFERROR(__xludf.DUMMYFUNCTION("""COMPUTED_VALUE"""),"")</f>
        <v/>
      </c>
      <c r="W502" s="6" t="str">
        <f>IFERROR(__xludf.DUMMYFUNCTION("""COMPUTED_VALUE"""),"[]")</f>
        <v>[]</v>
      </c>
      <c r="X502" s="6" t="str">
        <f>IFERROR(__xludf.DUMMYFUNCTION("""COMPUTED_VALUE"""),"Enrolled")</f>
        <v>Enrolled</v>
      </c>
    </row>
    <row r="503">
      <c r="A503" s="6" t="str">
        <f>IFERROR(__xludf.DUMMYFUNCTION("""COMPUTED_VALUE"""),"000-8656")</f>
        <v>000-8656</v>
      </c>
      <c r="B503" s="6" t="str">
        <f>IFERROR(__xludf.DUMMYFUNCTION("""COMPUTED_VALUE"""),"0")</f>
        <v>0</v>
      </c>
      <c r="C503" s="6" t="str">
        <f>IFERROR(__xludf.DUMMYFUNCTION("""COMPUTED_VALUE"""),"8656")</f>
        <v>8656</v>
      </c>
      <c r="D503" s="6" t="str">
        <f>IFERROR(__xludf.DUMMYFUNCTION("""COMPUTED_VALUE"""),"Aryana")</f>
        <v>Aryana</v>
      </c>
      <c r="E503" s="6" t="str">
        <f>IFERROR(__xludf.DUMMYFUNCTION("""COMPUTED_VALUE"""),"")</f>
        <v/>
      </c>
      <c r="F503" s="6" t="str">
        <f>IFERROR(__xludf.DUMMYFUNCTION("""COMPUTED_VALUE"""),"Alejandro")</f>
        <v>Alejandro</v>
      </c>
      <c r="G503" s="6" t="str">
        <f>IFERROR(__xludf.DUMMYFUNCTION("""COMPUTED_VALUE"""),"08/28/2015")</f>
        <v>08/28/2015</v>
      </c>
      <c r="H503" s="6" t="str">
        <f>IFERROR(__xludf.DUMMYFUNCTION("""COMPUTED_VALUE"""),"female")</f>
        <v>female</v>
      </c>
      <c r="I503" s="6" t="str">
        <f>IFERROR(__xludf.DUMMYFUNCTION("""COMPUTED_VALUE"""),"Level 2")</f>
        <v>Level 2</v>
      </c>
      <c r="J503" s="6" t="str">
        <f>IFERROR(__xludf.DUMMYFUNCTION("""COMPUTED_VALUE"""),"5")</f>
        <v>5</v>
      </c>
      <c r="K503" s="6" t="str">
        <f>IFERROR(__xludf.DUMMYFUNCTION("""COMPUTED_VALUE"""),"aryana.alejandro@2hourlearning.com")</f>
        <v>aryana.alejandro@2hourlearning.com</v>
      </c>
      <c r="L503" s="6" t="str">
        <f>IFERROR(__xludf.DUMMYFUNCTION("""COMPUTED_VALUE"""),"Alpha Anywhere (homeschool)")</f>
        <v>Alpha Anywhere (homeschool)</v>
      </c>
      <c r="M503" s="6" t="str">
        <f>IFERROR(__xludf.DUMMYFUNCTION("""COMPUTED_VALUE"""),"")</f>
        <v/>
      </c>
      <c r="N503" s="6" t="str">
        <f>IFERROR(__xludf.DUMMYFUNCTION("""COMPUTED_VALUE"""),"")</f>
        <v/>
      </c>
      <c r="O503" s="87" t="str">
        <f>IFERROR(__xludf.DUMMYFUNCTION("""COMPUTED_VALUE"""),"https://drive.google.com/drive/folders/10T2cTQHqEJZqE-st6uFKPoI?usp=share_link")</f>
        <v>https://drive.google.com/drive/folders/10T2cTQHqEJZqE-st6uFKPoI?usp=share_link</v>
      </c>
      <c r="P503" s="6" t="str">
        <f>IFERROR(__xludf.DUMMYFUNCTION("""COMPUTED_VALUE"""),"Aryana Alejandro")</f>
        <v>Aryana Alejandro</v>
      </c>
      <c r="Q503" s="6" t="str">
        <f>IFERROR(__xludf.DUMMYFUNCTION("""COMPUTED_VALUE"""),"L2")</f>
        <v>L2</v>
      </c>
      <c r="R503" s="6">
        <f>IFERROR(__xludf.DUMMYFUNCTION("""COMPUTED_VALUE"""),2.0)</f>
        <v>2</v>
      </c>
      <c r="S503" s="6" t="str">
        <f>IFERROR(__xludf.DUMMYFUNCTION("""COMPUTED_VALUE""")," ")</f>
        <v> </v>
      </c>
      <c r="T503" s="6" t="str">
        <f>IFERROR(__xludf.DUMMYFUNCTION("""COMPUTED_VALUE"""),"")</f>
        <v/>
      </c>
      <c r="U503" s="6" t="str">
        <f>IFERROR(__xludf.DUMMYFUNCTION("""COMPUTED_VALUE"""),"5")</f>
        <v>5</v>
      </c>
      <c r="V503" s="6" t="str">
        <f>IFERROR(__xludf.DUMMYFUNCTION("""COMPUTED_VALUE"""),"")</f>
        <v/>
      </c>
      <c r="W503" s="6" t="str">
        <f>IFERROR(__xludf.DUMMYFUNCTION("""COMPUTED_VALUE"""),"[]")</f>
        <v>[]</v>
      </c>
      <c r="X503" s="6" t="str">
        <f>IFERROR(__xludf.DUMMYFUNCTION("""COMPUTED_VALUE"""),"Enrolled")</f>
        <v>Enrolled</v>
      </c>
    </row>
    <row r="504">
      <c r="A504" s="6" t="str">
        <f>IFERROR(__xludf.DUMMYFUNCTION("""COMPUTED_VALUE"""),"000-8662")</f>
        <v>000-8662</v>
      </c>
      <c r="B504" s="6" t="str">
        <f>IFERROR(__xludf.DUMMYFUNCTION("""COMPUTED_VALUE"""),"0")</f>
        <v>0</v>
      </c>
      <c r="C504" s="6" t="str">
        <f>IFERROR(__xludf.DUMMYFUNCTION("""COMPUTED_VALUE"""),"8662")</f>
        <v>8662</v>
      </c>
      <c r="D504" s="6" t="str">
        <f>IFERROR(__xludf.DUMMYFUNCTION("""COMPUTED_VALUE"""),"Andrew")</f>
        <v>Andrew</v>
      </c>
      <c r="E504" s="6" t="str">
        <f>IFERROR(__xludf.DUMMYFUNCTION("""COMPUTED_VALUE"""),"")</f>
        <v/>
      </c>
      <c r="F504" s="6" t="str">
        <f>IFERROR(__xludf.DUMMYFUNCTION("""COMPUTED_VALUE"""),"Southam")</f>
        <v>Southam</v>
      </c>
      <c r="G504" s="6" t="str">
        <f>IFERROR(__xludf.DUMMYFUNCTION("""COMPUTED_VALUE"""),"03/21/2014")</f>
        <v>03/21/2014</v>
      </c>
      <c r="H504" s="6" t="str">
        <f>IFERROR(__xludf.DUMMYFUNCTION("""COMPUTED_VALUE"""),"male")</f>
        <v>male</v>
      </c>
      <c r="I504" s="6" t="str">
        <f>IFERROR(__xludf.DUMMYFUNCTION("""COMPUTED_VALUE"""),"Middle School")</f>
        <v>Middle School</v>
      </c>
      <c r="J504" s="6" t="str">
        <f>IFERROR(__xludf.DUMMYFUNCTION("""COMPUTED_VALUE"""),"6")</f>
        <v>6</v>
      </c>
      <c r="K504" s="6" t="str">
        <f>IFERROR(__xludf.DUMMYFUNCTION("""COMPUTED_VALUE"""),"andrew.southam@2hourlearning.com")</f>
        <v>andrew.southam@2hourlearning.com</v>
      </c>
      <c r="L504" s="6" t="str">
        <f>IFERROR(__xludf.DUMMYFUNCTION("""COMPUTED_VALUE"""),"Alpha Anywhere (homeschool)")</f>
        <v>Alpha Anywhere (homeschool)</v>
      </c>
      <c r="M504" s="6" t="str">
        <f>IFERROR(__xludf.DUMMYFUNCTION("""COMPUTED_VALUE"""),"")</f>
        <v/>
      </c>
      <c r="N504" s="6" t="str">
        <f>IFERROR(__xludf.DUMMYFUNCTION("""COMPUTED_VALUE"""),"")</f>
        <v/>
      </c>
      <c r="O504" s="87" t="str">
        <f>IFERROR(__xludf.DUMMYFUNCTION("""COMPUTED_VALUE"""),"https://drive.google.com/drive/folders/10T2cTQHqEJZqE-st6uFKPoI?usp=share_link")</f>
        <v>https://drive.google.com/drive/folders/10T2cTQHqEJZqE-st6uFKPoI?usp=share_link</v>
      </c>
      <c r="P504" s="6" t="str">
        <f>IFERROR(__xludf.DUMMYFUNCTION("""COMPUTED_VALUE"""),"Andrew Southam")</f>
        <v>Andrew Southam</v>
      </c>
      <c r="Q504" s="6" t="str">
        <f>IFERROR(__xludf.DUMMYFUNCTION("""COMPUTED_VALUE"""),"MS")</f>
        <v>MS</v>
      </c>
      <c r="R504" s="6">
        <f>IFERROR(__xludf.DUMMYFUNCTION("""COMPUTED_VALUE"""),0.0)</f>
        <v>0</v>
      </c>
      <c r="S504" s="6" t="str">
        <f>IFERROR(__xludf.DUMMYFUNCTION("""COMPUTED_VALUE""")," ")</f>
        <v> </v>
      </c>
      <c r="T504" s="6" t="str">
        <f>IFERROR(__xludf.DUMMYFUNCTION("""COMPUTED_VALUE"""),"")</f>
        <v/>
      </c>
      <c r="U504" s="6" t="str">
        <f>IFERROR(__xludf.DUMMYFUNCTION("""COMPUTED_VALUE"""),"6")</f>
        <v>6</v>
      </c>
      <c r="V504" s="6" t="str">
        <f>IFERROR(__xludf.DUMMYFUNCTION("""COMPUTED_VALUE"""),"")</f>
        <v/>
      </c>
      <c r="W504" s="6" t="str">
        <f>IFERROR(__xludf.DUMMYFUNCTION("""COMPUTED_VALUE"""),"[]")</f>
        <v>[]</v>
      </c>
      <c r="X504" s="6" t="str">
        <f>IFERROR(__xludf.DUMMYFUNCTION("""COMPUTED_VALUE"""),"Enrolled")</f>
        <v>Enrolled</v>
      </c>
    </row>
    <row r="505">
      <c r="A505" s="6" t="str">
        <f>IFERROR(__xludf.DUMMYFUNCTION("""COMPUTED_VALUE"""),"000-8663")</f>
        <v>000-8663</v>
      </c>
      <c r="B505" s="6" t="str">
        <f>IFERROR(__xludf.DUMMYFUNCTION("""COMPUTED_VALUE"""),"0")</f>
        <v>0</v>
      </c>
      <c r="C505" s="6" t="str">
        <f>IFERROR(__xludf.DUMMYFUNCTION("""COMPUTED_VALUE"""),"8663")</f>
        <v>8663</v>
      </c>
      <c r="D505" s="6" t="str">
        <f>IFERROR(__xludf.DUMMYFUNCTION("""COMPUTED_VALUE"""),"Jack")</f>
        <v>Jack</v>
      </c>
      <c r="E505" s="6" t="str">
        <f>IFERROR(__xludf.DUMMYFUNCTION("""COMPUTED_VALUE"""),"")</f>
        <v/>
      </c>
      <c r="F505" s="6" t="str">
        <f>IFERROR(__xludf.DUMMYFUNCTION("""COMPUTED_VALUE"""),"Southam")</f>
        <v>Southam</v>
      </c>
      <c r="G505" s="6" t="str">
        <f>IFERROR(__xludf.DUMMYFUNCTION("""COMPUTED_VALUE"""),"02/08/2016")</f>
        <v>02/08/2016</v>
      </c>
      <c r="H505" s="6" t="str">
        <f>IFERROR(__xludf.DUMMYFUNCTION("""COMPUTED_VALUE"""),"male")</f>
        <v>male</v>
      </c>
      <c r="I505" s="6" t="str">
        <f>IFERROR(__xludf.DUMMYFUNCTION("""COMPUTED_VALUE"""),"Level 2")</f>
        <v>Level 2</v>
      </c>
      <c r="J505" s="6" t="str">
        <f>IFERROR(__xludf.DUMMYFUNCTION("""COMPUTED_VALUE"""),"4")</f>
        <v>4</v>
      </c>
      <c r="K505" s="6" t="str">
        <f>IFERROR(__xludf.DUMMYFUNCTION("""COMPUTED_VALUE"""),"jack.southam@2hourlearning.com")</f>
        <v>jack.southam@2hourlearning.com</v>
      </c>
      <c r="L505" s="6" t="str">
        <f>IFERROR(__xludf.DUMMYFUNCTION("""COMPUTED_VALUE"""),"Alpha Anywhere (homeschool)")</f>
        <v>Alpha Anywhere (homeschool)</v>
      </c>
      <c r="M505" s="6" t="str">
        <f>IFERROR(__xludf.DUMMYFUNCTION("""COMPUTED_VALUE"""),"")</f>
        <v/>
      </c>
      <c r="N505" s="6" t="str">
        <f>IFERROR(__xludf.DUMMYFUNCTION("""COMPUTED_VALUE"""),"")</f>
        <v/>
      </c>
      <c r="O505" s="87" t="str">
        <f>IFERROR(__xludf.DUMMYFUNCTION("""COMPUTED_VALUE"""),"https://drive.google.com/drive/folders/10T2cTQHqEJZqE-st6uFKPoI?usp=share_link")</f>
        <v>https://drive.google.com/drive/folders/10T2cTQHqEJZqE-st6uFKPoI?usp=share_link</v>
      </c>
      <c r="P505" s="6" t="str">
        <f>IFERROR(__xludf.DUMMYFUNCTION("""COMPUTED_VALUE"""),"Jack Southam")</f>
        <v>Jack Southam</v>
      </c>
      <c r="Q505" s="6" t="str">
        <f>IFERROR(__xludf.DUMMYFUNCTION("""COMPUTED_VALUE"""),"L2")</f>
        <v>L2</v>
      </c>
      <c r="R505" s="6">
        <f>IFERROR(__xludf.DUMMYFUNCTION("""COMPUTED_VALUE"""),2.0)</f>
        <v>2</v>
      </c>
      <c r="S505" s="6" t="str">
        <f>IFERROR(__xludf.DUMMYFUNCTION("""COMPUTED_VALUE""")," ")</f>
        <v> </v>
      </c>
      <c r="T505" s="6" t="str">
        <f>IFERROR(__xludf.DUMMYFUNCTION("""COMPUTED_VALUE"""),"")</f>
        <v/>
      </c>
      <c r="U505" s="6" t="str">
        <f>IFERROR(__xludf.DUMMYFUNCTION("""COMPUTED_VALUE"""),"4")</f>
        <v>4</v>
      </c>
      <c r="V505" s="6" t="str">
        <f>IFERROR(__xludf.DUMMYFUNCTION("""COMPUTED_VALUE"""),"")</f>
        <v/>
      </c>
      <c r="W505" s="6" t="str">
        <f>IFERROR(__xludf.DUMMYFUNCTION("""COMPUTED_VALUE"""),"[]")</f>
        <v>[]</v>
      </c>
      <c r="X505" s="6" t="str">
        <f>IFERROR(__xludf.DUMMYFUNCTION("""COMPUTED_VALUE"""),"Enrolled")</f>
        <v>Enrolled</v>
      </c>
    </row>
    <row r="506">
      <c r="A506" s="6" t="str">
        <f>IFERROR(__xludf.DUMMYFUNCTION("""COMPUTED_VALUE"""),"000-8665")</f>
        <v>000-8665</v>
      </c>
      <c r="B506" s="6" t="str">
        <f>IFERROR(__xludf.DUMMYFUNCTION("""COMPUTED_VALUE"""),"0")</f>
        <v>0</v>
      </c>
      <c r="C506" s="6" t="str">
        <f>IFERROR(__xludf.DUMMYFUNCTION("""COMPUTED_VALUE"""),"8665")</f>
        <v>8665</v>
      </c>
      <c r="D506" s="6" t="str">
        <f>IFERROR(__xludf.DUMMYFUNCTION("""COMPUTED_VALUE"""),"Gabriel")</f>
        <v>Gabriel</v>
      </c>
      <c r="E506" s="6" t="str">
        <f>IFERROR(__xludf.DUMMYFUNCTION("""COMPUTED_VALUE"""),"")</f>
        <v/>
      </c>
      <c r="F506" s="6" t="str">
        <f>IFERROR(__xludf.DUMMYFUNCTION("""COMPUTED_VALUE"""),"Crisp")</f>
        <v>Crisp</v>
      </c>
      <c r="G506" s="6" t="str">
        <f>IFERROR(__xludf.DUMMYFUNCTION("""COMPUTED_VALUE"""),"06/18/2015")</f>
        <v>06/18/2015</v>
      </c>
      <c r="H506" s="6" t="str">
        <f>IFERROR(__xludf.DUMMYFUNCTION("""COMPUTED_VALUE"""),"male")</f>
        <v>male</v>
      </c>
      <c r="I506" s="6" t="str">
        <f>IFERROR(__xludf.DUMMYFUNCTION("""COMPUTED_VALUE"""),"Level 2")</f>
        <v>Level 2</v>
      </c>
      <c r="J506" s="6" t="str">
        <f>IFERROR(__xludf.DUMMYFUNCTION("""COMPUTED_VALUE"""),"5")</f>
        <v>5</v>
      </c>
      <c r="K506" s="6" t="str">
        <f>IFERROR(__xludf.DUMMYFUNCTION("""COMPUTED_VALUE"""),"gabriel.crisp@2hourlearning.com")</f>
        <v>gabriel.crisp@2hourlearning.com</v>
      </c>
      <c r="L506" s="6" t="str">
        <f>IFERROR(__xludf.DUMMYFUNCTION("""COMPUTED_VALUE"""),"Alpha Anywhere (homeschool)")</f>
        <v>Alpha Anywhere (homeschool)</v>
      </c>
      <c r="M506" s="6" t="str">
        <f>IFERROR(__xludf.DUMMYFUNCTION("""COMPUTED_VALUE"""),"")</f>
        <v/>
      </c>
      <c r="N506" s="6" t="str">
        <f>IFERROR(__xludf.DUMMYFUNCTION("""COMPUTED_VALUE"""),"")</f>
        <v/>
      </c>
      <c r="O506" s="87" t="str">
        <f>IFERROR(__xludf.DUMMYFUNCTION("""COMPUTED_VALUE"""),"https://drive.google.com/drive/folders/10T2cTQHqEJZqE-st6uFKPoI?usp=share_link")</f>
        <v>https://drive.google.com/drive/folders/10T2cTQHqEJZqE-st6uFKPoI?usp=share_link</v>
      </c>
      <c r="P506" s="6" t="str">
        <f>IFERROR(__xludf.DUMMYFUNCTION("""COMPUTED_VALUE"""),"Gabriel Crisp")</f>
        <v>Gabriel Crisp</v>
      </c>
      <c r="Q506" s="6" t="str">
        <f>IFERROR(__xludf.DUMMYFUNCTION("""COMPUTED_VALUE"""),"L2")</f>
        <v>L2</v>
      </c>
      <c r="R506" s="6">
        <f>IFERROR(__xludf.DUMMYFUNCTION("""COMPUTED_VALUE"""),2.0)</f>
        <v>2</v>
      </c>
      <c r="S506" s="6" t="str">
        <f>IFERROR(__xludf.DUMMYFUNCTION("""COMPUTED_VALUE""")," ")</f>
        <v> </v>
      </c>
      <c r="T506" s="6" t="str">
        <f>IFERROR(__xludf.DUMMYFUNCTION("""COMPUTED_VALUE"""),"")</f>
        <v/>
      </c>
      <c r="U506" s="6" t="str">
        <f>IFERROR(__xludf.DUMMYFUNCTION("""COMPUTED_VALUE"""),"5")</f>
        <v>5</v>
      </c>
      <c r="V506" s="6" t="str">
        <f>IFERROR(__xludf.DUMMYFUNCTION("""COMPUTED_VALUE"""),"")</f>
        <v/>
      </c>
      <c r="W506" s="6" t="str">
        <f>IFERROR(__xludf.DUMMYFUNCTION("""COMPUTED_VALUE"""),"[]")</f>
        <v>[]</v>
      </c>
      <c r="X506" s="6" t="str">
        <f>IFERROR(__xludf.DUMMYFUNCTION("""COMPUTED_VALUE"""),"Enrolled")</f>
        <v>Enrolled</v>
      </c>
    </row>
    <row r="507">
      <c r="A507" s="6" t="str">
        <f>IFERROR(__xludf.DUMMYFUNCTION("""COMPUTED_VALUE"""),"000-8694")</f>
        <v>000-8694</v>
      </c>
      <c r="B507" s="6" t="str">
        <f>IFERROR(__xludf.DUMMYFUNCTION("""COMPUTED_VALUE"""),"0")</f>
        <v>0</v>
      </c>
      <c r="C507" s="6" t="str">
        <f>IFERROR(__xludf.DUMMYFUNCTION("""COMPUTED_VALUE"""),"8694")</f>
        <v>8694</v>
      </c>
      <c r="D507" s="6" t="str">
        <f>IFERROR(__xludf.DUMMYFUNCTION("""COMPUTED_VALUE"""),"Perry")</f>
        <v>Perry</v>
      </c>
      <c r="E507" s="6" t="str">
        <f>IFERROR(__xludf.DUMMYFUNCTION("""COMPUTED_VALUE"""),"")</f>
        <v/>
      </c>
      <c r="F507" s="6" t="str">
        <f>IFERROR(__xludf.DUMMYFUNCTION("""COMPUTED_VALUE"""),"Mulroy")</f>
        <v>Mulroy</v>
      </c>
      <c r="G507" s="6" t="str">
        <f>IFERROR(__xludf.DUMMYFUNCTION("""COMPUTED_VALUE"""),"08/03/2017")</f>
        <v>08/03/2017</v>
      </c>
      <c r="H507" s="6" t="str">
        <f>IFERROR(__xludf.DUMMYFUNCTION("""COMPUTED_VALUE"""),"male")</f>
        <v>male</v>
      </c>
      <c r="I507" s="6" t="str">
        <f>IFERROR(__xludf.DUMMYFUNCTION("""COMPUTED_VALUE"""),"Level 1")</f>
        <v>Level 1</v>
      </c>
      <c r="J507" s="6" t="str">
        <f>IFERROR(__xludf.DUMMYFUNCTION("""COMPUTED_VALUE"""),"3")</f>
        <v>3</v>
      </c>
      <c r="K507" s="6" t="str">
        <f>IFERROR(__xludf.DUMMYFUNCTION("""COMPUTED_VALUE"""),"perry.mulroy@2hourlearning.com")</f>
        <v>perry.mulroy@2hourlearning.com</v>
      </c>
      <c r="L507" s="6" t="str">
        <f>IFERROR(__xludf.DUMMYFUNCTION("""COMPUTED_VALUE"""),"Alpha Anywhere (homeschool)")</f>
        <v>Alpha Anywhere (homeschool)</v>
      </c>
      <c r="M507" s="6" t="str">
        <f>IFERROR(__xludf.DUMMYFUNCTION("""COMPUTED_VALUE"""),"")</f>
        <v/>
      </c>
      <c r="N507" s="6" t="str">
        <f>IFERROR(__xludf.DUMMYFUNCTION("""COMPUTED_VALUE"""),"")</f>
        <v/>
      </c>
      <c r="O507" s="87" t="str">
        <f>IFERROR(__xludf.DUMMYFUNCTION("""COMPUTED_VALUE"""),"https://drive.google.com/drive/folders/10T2cTQHqEJZqE-st6uFKPoI?usp=share_link")</f>
        <v>https://drive.google.com/drive/folders/10T2cTQHqEJZqE-st6uFKPoI?usp=share_link</v>
      </c>
      <c r="P507" s="6" t="str">
        <f>IFERROR(__xludf.DUMMYFUNCTION("""COMPUTED_VALUE"""),"Perry Mulroy")</f>
        <v>Perry Mulroy</v>
      </c>
      <c r="Q507" s="6" t="str">
        <f>IFERROR(__xludf.DUMMYFUNCTION("""COMPUTED_VALUE"""),"L1")</f>
        <v>L1</v>
      </c>
      <c r="R507" s="6">
        <f>IFERROR(__xludf.DUMMYFUNCTION("""COMPUTED_VALUE"""),1.0)</f>
        <v>1</v>
      </c>
      <c r="S507" s="6" t="str">
        <f>IFERROR(__xludf.DUMMYFUNCTION("""COMPUTED_VALUE""")," ")</f>
        <v> </v>
      </c>
      <c r="T507" s="6" t="str">
        <f>IFERROR(__xludf.DUMMYFUNCTION("""COMPUTED_VALUE"""),"")</f>
        <v/>
      </c>
      <c r="U507" s="6" t="str">
        <f>IFERROR(__xludf.DUMMYFUNCTION("""COMPUTED_VALUE"""),"3")</f>
        <v>3</v>
      </c>
      <c r="V507" s="6" t="str">
        <f>IFERROR(__xludf.DUMMYFUNCTION("""COMPUTED_VALUE"""),"")</f>
        <v/>
      </c>
      <c r="W507" s="6" t="str">
        <f>IFERROR(__xludf.DUMMYFUNCTION("""COMPUTED_VALUE"""),"[]")</f>
        <v>[]</v>
      </c>
      <c r="X507" s="6" t="str">
        <f>IFERROR(__xludf.DUMMYFUNCTION("""COMPUTED_VALUE"""),"Enrolled")</f>
        <v>Enrolled</v>
      </c>
    </row>
    <row r="508">
      <c r="A508" s="6" t="str">
        <f>IFERROR(__xludf.DUMMYFUNCTION("""COMPUTED_VALUE"""),"000-8721")</f>
        <v>000-8721</v>
      </c>
      <c r="B508" s="6" t="str">
        <f>IFERROR(__xludf.DUMMYFUNCTION("""COMPUTED_VALUE"""),"0")</f>
        <v>0</v>
      </c>
      <c r="C508" s="6" t="str">
        <f>IFERROR(__xludf.DUMMYFUNCTION("""COMPUTED_VALUE"""),"8721")</f>
        <v>8721</v>
      </c>
      <c r="D508" s="6" t="str">
        <f>IFERROR(__xludf.DUMMYFUNCTION("""COMPUTED_VALUE"""),"Rowe")</f>
        <v>Rowe</v>
      </c>
      <c r="E508" s="6" t="str">
        <f>IFERROR(__xludf.DUMMYFUNCTION("""COMPUTED_VALUE"""),"")</f>
        <v/>
      </c>
      <c r="F508" s="6" t="str">
        <f>IFERROR(__xludf.DUMMYFUNCTION("""COMPUTED_VALUE"""),"Christensen")</f>
        <v>Christensen</v>
      </c>
      <c r="G508" s="6" t="str">
        <f>IFERROR(__xludf.DUMMYFUNCTION("""COMPUTED_VALUE"""),"03/12/2013")</f>
        <v>03/12/2013</v>
      </c>
      <c r="H508" s="6" t="str">
        <f>IFERROR(__xludf.DUMMYFUNCTION("""COMPUTED_VALUE"""),"male")</f>
        <v>male</v>
      </c>
      <c r="I508" s="6" t="str">
        <f>IFERROR(__xludf.DUMMYFUNCTION("""COMPUTED_VALUE"""),"Middle School")</f>
        <v>Middle School</v>
      </c>
      <c r="J508" s="6" t="str">
        <f>IFERROR(__xludf.DUMMYFUNCTION("""COMPUTED_VALUE"""),"7")</f>
        <v>7</v>
      </c>
      <c r="K508" s="6" t="str">
        <f>IFERROR(__xludf.DUMMYFUNCTION("""COMPUTED_VALUE"""),"rowe.christensen@2hourlearning.com")</f>
        <v>rowe.christensen@2hourlearning.com</v>
      </c>
      <c r="L508" s="6" t="str">
        <f>IFERROR(__xludf.DUMMYFUNCTION("""COMPUTED_VALUE"""),"Alpha Anywhere (homeschool)")</f>
        <v>Alpha Anywhere (homeschool)</v>
      </c>
      <c r="M508" s="6" t="str">
        <f>IFERROR(__xludf.DUMMYFUNCTION("""COMPUTED_VALUE"""),"")</f>
        <v/>
      </c>
      <c r="N508" s="6" t="str">
        <f>IFERROR(__xludf.DUMMYFUNCTION("""COMPUTED_VALUE"""),"")</f>
        <v/>
      </c>
      <c r="O508" s="87" t="str">
        <f>IFERROR(__xludf.DUMMYFUNCTION("""COMPUTED_VALUE"""),"https://drive.google.com/drive/folders/10T2cTQHqEJZqE-st6uFKPoI?usp=share_link")</f>
        <v>https://drive.google.com/drive/folders/10T2cTQHqEJZqE-st6uFKPoI?usp=share_link</v>
      </c>
      <c r="P508" s="6" t="str">
        <f>IFERROR(__xludf.DUMMYFUNCTION("""COMPUTED_VALUE"""),"Rowe Christensen")</f>
        <v>Rowe Christensen</v>
      </c>
      <c r="Q508" s="6" t="str">
        <f>IFERROR(__xludf.DUMMYFUNCTION("""COMPUTED_VALUE"""),"MS")</f>
        <v>MS</v>
      </c>
      <c r="R508" s="6">
        <f>IFERROR(__xludf.DUMMYFUNCTION("""COMPUTED_VALUE"""),0.0)</f>
        <v>0</v>
      </c>
      <c r="S508" s="6" t="str">
        <f>IFERROR(__xludf.DUMMYFUNCTION("""COMPUTED_VALUE""")," ")</f>
        <v> </v>
      </c>
      <c r="T508" s="6" t="str">
        <f>IFERROR(__xludf.DUMMYFUNCTION("""COMPUTED_VALUE"""),"")</f>
        <v/>
      </c>
      <c r="U508" s="6" t="str">
        <f>IFERROR(__xludf.DUMMYFUNCTION("""COMPUTED_VALUE"""),"7")</f>
        <v>7</v>
      </c>
      <c r="V508" s="6" t="str">
        <f>IFERROR(__xludf.DUMMYFUNCTION("""COMPUTED_VALUE"""),"")</f>
        <v/>
      </c>
      <c r="W508" s="6" t="str">
        <f>IFERROR(__xludf.DUMMYFUNCTION("""COMPUTED_VALUE"""),"[]")</f>
        <v>[]</v>
      </c>
      <c r="X508" s="6" t="str">
        <f>IFERROR(__xludf.DUMMYFUNCTION("""COMPUTED_VALUE"""),"Enrolled")</f>
        <v>Enrolled</v>
      </c>
    </row>
    <row r="509">
      <c r="A509" s="6" t="str">
        <f>IFERROR(__xludf.DUMMYFUNCTION("""COMPUTED_VALUE"""),"000-8734")</f>
        <v>000-8734</v>
      </c>
      <c r="B509" s="6" t="str">
        <f>IFERROR(__xludf.DUMMYFUNCTION("""COMPUTED_VALUE"""),"0")</f>
        <v>0</v>
      </c>
      <c r="C509" s="6" t="str">
        <f>IFERROR(__xludf.DUMMYFUNCTION("""COMPUTED_VALUE"""),"8734")</f>
        <v>8734</v>
      </c>
      <c r="D509" s="6" t="str">
        <f>IFERROR(__xludf.DUMMYFUNCTION("""COMPUTED_VALUE"""),"Paula")</f>
        <v>Paula</v>
      </c>
      <c r="E509" s="6" t="str">
        <f>IFERROR(__xludf.DUMMYFUNCTION("""COMPUTED_VALUE"""),"")</f>
        <v/>
      </c>
      <c r="F509" s="6" t="str">
        <f>IFERROR(__xludf.DUMMYFUNCTION("""COMPUTED_VALUE"""),"Donovan")</f>
        <v>Donovan</v>
      </c>
      <c r="G509" s="6" t="str">
        <f>IFERROR(__xludf.DUMMYFUNCTION("""COMPUTED_VALUE"""),"04/17/2015")</f>
        <v>04/17/2015</v>
      </c>
      <c r="H509" s="6" t="str">
        <f>IFERROR(__xludf.DUMMYFUNCTION("""COMPUTED_VALUE"""),"female")</f>
        <v>female</v>
      </c>
      <c r="I509" s="6" t="str">
        <f>IFERROR(__xludf.DUMMYFUNCTION("""COMPUTED_VALUE"""),"Level 2")</f>
        <v>Level 2</v>
      </c>
      <c r="J509" s="6" t="str">
        <f>IFERROR(__xludf.DUMMYFUNCTION("""COMPUTED_VALUE"""),"5")</f>
        <v>5</v>
      </c>
      <c r="K509" s="6" t="str">
        <f>IFERROR(__xludf.DUMMYFUNCTION("""COMPUTED_VALUE"""),"paula.donovan@2hourlearning.com")</f>
        <v>paula.donovan@2hourlearning.com</v>
      </c>
      <c r="L509" s="6" t="str">
        <f>IFERROR(__xludf.DUMMYFUNCTION("""COMPUTED_VALUE"""),"Alpha Anywhere (homeschool)")</f>
        <v>Alpha Anywhere (homeschool)</v>
      </c>
      <c r="M509" s="6" t="str">
        <f>IFERROR(__xludf.DUMMYFUNCTION("""COMPUTED_VALUE"""),"")</f>
        <v/>
      </c>
      <c r="N509" s="6" t="str">
        <f>IFERROR(__xludf.DUMMYFUNCTION("""COMPUTED_VALUE"""),"")</f>
        <v/>
      </c>
      <c r="O509" s="87" t="str">
        <f>IFERROR(__xludf.DUMMYFUNCTION("""COMPUTED_VALUE"""),"https://drive.google.com/drive/folders/10T2cTQHqEJZqE-st6uFKPoI?usp=share_link")</f>
        <v>https://drive.google.com/drive/folders/10T2cTQHqEJZqE-st6uFKPoI?usp=share_link</v>
      </c>
      <c r="P509" s="6" t="str">
        <f>IFERROR(__xludf.DUMMYFUNCTION("""COMPUTED_VALUE"""),"Paula Donovan")</f>
        <v>Paula Donovan</v>
      </c>
      <c r="Q509" s="6" t="str">
        <f>IFERROR(__xludf.DUMMYFUNCTION("""COMPUTED_VALUE"""),"L2")</f>
        <v>L2</v>
      </c>
      <c r="R509" s="6">
        <f>IFERROR(__xludf.DUMMYFUNCTION("""COMPUTED_VALUE"""),2.0)</f>
        <v>2</v>
      </c>
      <c r="S509" s="6" t="str">
        <f>IFERROR(__xludf.DUMMYFUNCTION("""COMPUTED_VALUE""")," ")</f>
        <v> </v>
      </c>
      <c r="T509" s="6" t="str">
        <f>IFERROR(__xludf.DUMMYFUNCTION("""COMPUTED_VALUE"""),"")</f>
        <v/>
      </c>
      <c r="U509" s="6" t="str">
        <f>IFERROR(__xludf.DUMMYFUNCTION("""COMPUTED_VALUE"""),"5")</f>
        <v>5</v>
      </c>
      <c r="V509" s="6" t="str">
        <f>IFERROR(__xludf.DUMMYFUNCTION("""COMPUTED_VALUE"""),"")</f>
        <v/>
      </c>
      <c r="W509" s="6" t="str">
        <f>IFERROR(__xludf.DUMMYFUNCTION("""COMPUTED_VALUE"""),"[]")</f>
        <v>[]</v>
      </c>
      <c r="X509" s="6" t="str">
        <f>IFERROR(__xludf.DUMMYFUNCTION("""COMPUTED_VALUE"""),"Enrolled")</f>
        <v>Enrolled</v>
      </c>
    </row>
    <row r="510">
      <c r="A510" s="6" t="str">
        <f>IFERROR(__xludf.DUMMYFUNCTION("""COMPUTED_VALUE"""),"000-8742")</f>
        <v>000-8742</v>
      </c>
      <c r="B510" s="6" t="str">
        <f>IFERROR(__xludf.DUMMYFUNCTION("""COMPUTED_VALUE"""),"0")</f>
        <v>0</v>
      </c>
      <c r="C510" s="6" t="str">
        <f>IFERROR(__xludf.DUMMYFUNCTION("""COMPUTED_VALUE"""),"8742")</f>
        <v>8742</v>
      </c>
      <c r="D510" s="6" t="str">
        <f>IFERROR(__xludf.DUMMYFUNCTION("""COMPUTED_VALUE"""),"Avery")</f>
        <v>Avery</v>
      </c>
      <c r="E510" s="6" t="str">
        <f>IFERROR(__xludf.DUMMYFUNCTION("""COMPUTED_VALUE"""),"")</f>
        <v/>
      </c>
      <c r="F510" s="6" t="str">
        <f>IFERROR(__xludf.DUMMYFUNCTION("""COMPUTED_VALUE"""),"Vazquez")</f>
        <v>Vazquez</v>
      </c>
      <c r="G510" s="6" t="str">
        <f>IFERROR(__xludf.DUMMYFUNCTION("""COMPUTED_VALUE"""),"08/06/2015")</f>
        <v>08/06/2015</v>
      </c>
      <c r="H510" s="6" t="str">
        <f>IFERROR(__xludf.DUMMYFUNCTION("""COMPUTED_VALUE"""),"female")</f>
        <v>female</v>
      </c>
      <c r="I510" s="6" t="str">
        <f>IFERROR(__xludf.DUMMYFUNCTION("""COMPUTED_VALUE"""),"Level 2")</f>
        <v>Level 2</v>
      </c>
      <c r="J510" s="6" t="str">
        <f>IFERROR(__xludf.DUMMYFUNCTION("""COMPUTED_VALUE"""),"4")</f>
        <v>4</v>
      </c>
      <c r="K510" s="6" t="str">
        <f>IFERROR(__xludf.DUMMYFUNCTION("""COMPUTED_VALUE"""),"avery.vazquez@2hourlearning.com")</f>
        <v>avery.vazquez@2hourlearning.com</v>
      </c>
      <c r="L510" s="6" t="str">
        <f>IFERROR(__xludf.DUMMYFUNCTION("""COMPUTED_VALUE"""),"Alpha Anywhere (homeschool)")</f>
        <v>Alpha Anywhere (homeschool)</v>
      </c>
      <c r="M510" s="6" t="str">
        <f>IFERROR(__xludf.DUMMYFUNCTION("""COMPUTED_VALUE"""),"")</f>
        <v/>
      </c>
      <c r="N510" s="6" t="str">
        <f>IFERROR(__xludf.DUMMYFUNCTION("""COMPUTED_VALUE"""),"")</f>
        <v/>
      </c>
      <c r="O510" s="87" t="str">
        <f>IFERROR(__xludf.DUMMYFUNCTION("""COMPUTED_VALUE"""),"https://drive.google.com/drive/folders/10T2cTQHqEJZqE-st6uFKPoI?usp=share_link")</f>
        <v>https://drive.google.com/drive/folders/10T2cTQHqEJZqE-st6uFKPoI?usp=share_link</v>
      </c>
      <c r="P510" s="6" t="str">
        <f>IFERROR(__xludf.DUMMYFUNCTION("""COMPUTED_VALUE"""),"Avery Vazquez")</f>
        <v>Avery Vazquez</v>
      </c>
      <c r="Q510" s="6" t="str">
        <f>IFERROR(__xludf.DUMMYFUNCTION("""COMPUTED_VALUE"""),"L2")</f>
        <v>L2</v>
      </c>
      <c r="R510" s="6">
        <f>IFERROR(__xludf.DUMMYFUNCTION("""COMPUTED_VALUE"""),2.0)</f>
        <v>2</v>
      </c>
      <c r="S510" s="6" t="str">
        <f>IFERROR(__xludf.DUMMYFUNCTION("""COMPUTED_VALUE""")," ")</f>
        <v> </v>
      </c>
      <c r="T510" s="6" t="str">
        <f>IFERROR(__xludf.DUMMYFUNCTION("""COMPUTED_VALUE"""),"")</f>
        <v/>
      </c>
      <c r="U510" s="6" t="str">
        <f>IFERROR(__xludf.DUMMYFUNCTION("""COMPUTED_VALUE"""),"4")</f>
        <v>4</v>
      </c>
      <c r="V510" s="6" t="str">
        <f>IFERROR(__xludf.DUMMYFUNCTION("""COMPUTED_VALUE"""),"")</f>
        <v/>
      </c>
      <c r="W510" s="6" t="str">
        <f>IFERROR(__xludf.DUMMYFUNCTION("""COMPUTED_VALUE"""),"[]")</f>
        <v>[]</v>
      </c>
      <c r="X510" s="6" t="str">
        <f>IFERROR(__xludf.DUMMYFUNCTION("""COMPUTED_VALUE"""),"Enrolled")</f>
        <v>Enrolled</v>
      </c>
    </row>
    <row r="511">
      <c r="A511" s="6" t="str">
        <f>IFERROR(__xludf.DUMMYFUNCTION("""COMPUTED_VALUE"""),"000-8785")</f>
        <v>000-8785</v>
      </c>
      <c r="B511" s="6" t="str">
        <f>IFERROR(__xludf.DUMMYFUNCTION("""COMPUTED_VALUE"""),"0")</f>
        <v>0</v>
      </c>
      <c r="C511" s="6" t="str">
        <f>IFERROR(__xludf.DUMMYFUNCTION("""COMPUTED_VALUE"""),"8785")</f>
        <v>8785</v>
      </c>
      <c r="D511" s="6" t="str">
        <f>IFERROR(__xludf.DUMMYFUNCTION("""COMPUTED_VALUE"""),"Aevrie")</f>
        <v>Aevrie</v>
      </c>
      <c r="E511" s="6" t="str">
        <f>IFERROR(__xludf.DUMMYFUNCTION("""COMPUTED_VALUE"""),"")</f>
        <v/>
      </c>
      <c r="F511" s="6" t="str">
        <f>IFERROR(__xludf.DUMMYFUNCTION("""COMPUTED_VALUE"""),"Johnson")</f>
        <v>Johnson</v>
      </c>
      <c r="G511" s="6" t="str">
        <f>IFERROR(__xludf.DUMMYFUNCTION("""COMPUTED_VALUE"""),"11/22/2013")</f>
        <v>11/22/2013</v>
      </c>
      <c r="H511" s="6" t="str">
        <f>IFERROR(__xludf.DUMMYFUNCTION("""COMPUTED_VALUE"""),"female")</f>
        <v>female</v>
      </c>
      <c r="I511" s="6" t="str">
        <f>IFERROR(__xludf.DUMMYFUNCTION("""COMPUTED_VALUE"""),"Middle School")</f>
        <v>Middle School</v>
      </c>
      <c r="J511" s="6" t="str">
        <f>IFERROR(__xludf.DUMMYFUNCTION("""COMPUTED_VALUE"""),"6")</f>
        <v>6</v>
      </c>
      <c r="K511" s="6" t="str">
        <f>IFERROR(__xludf.DUMMYFUNCTION("""COMPUTED_VALUE"""),"aevrie.johnson@2hourlearning.com")</f>
        <v>aevrie.johnson@2hourlearning.com</v>
      </c>
      <c r="L511" s="6" t="str">
        <f>IFERROR(__xludf.DUMMYFUNCTION("""COMPUTED_VALUE"""),"Alpha Anywhere (homeschool)")</f>
        <v>Alpha Anywhere (homeschool)</v>
      </c>
      <c r="M511" s="6" t="str">
        <f>IFERROR(__xludf.DUMMYFUNCTION("""COMPUTED_VALUE"""),"")</f>
        <v/>
      </c>
      <c r="N511" s="6" t="str">
        <f>IFERROR(__xludf.DUMMYFUNCTION("""COMPUTED_VALUE"""),"")</f>
        <v/>
      </c>
      <c r="O511" s="87" t="str">
        <f>IFERROR(__xludf.DUMMYFUNCTION("""COMPUTED_VALUE"""),"https://drive.google.com/drive/folders/10T2cTQHqEJZqE-st6uFKPoI?usp=share_link")</f>
        <v>https://drive.google.com/drive/folders/10T2cTQHqEJZqE-st6uFKPoI?usp=share_link</v>
      </c>
      <c r="P511" s="6" t="str">
        <f>IFERROR(__xludf.DUMMYFUNCTION("""COMPUTED_VALUE"""),"Aevrie Johnson")</f>
        <v>Aevrie Johnson</v>
      </c>
      <c r="Q511" s="6" t="str">
        <f>IFERROR(__xludf.DUMMYFUNCTION("""COMPUTED_VALUE"""),"MS")</f>
        <v>MS</v>
      </c>
      <c r="R511" s="6">
        <f>IFERROR(__xludf.DUMMYFUNCTION("""COMPUTED_VALUE"""),0.0)</f>
        <v>0</v>
      </c>
      <c r="S511" s="6" t="str">
        <f>IFERROR(__xludf.DUMMYFUNCTION("""COMPUTED_VALUE""")," ")</f>
        <v> </v>
      </c>
      <c r="T511" s="6" t="str">
        <f>IFERROR(__xludf.DUMMYFUNCTION("""COMPUTED_VALUE"""),"")</f>
        <v/>
      </c>
      <c r="U511" s="6" t="str">
        <f>IFERROR(__xludf.DUMMYFUNCTION("""COMPUTED_VALUE"""),"6")</f>
        <v>6</v>
      </c>
      <c r="V511" s="6" t="str">
        <f>IFERROR(__xludf.DUMMYFUNCTION("""COMPUTED_VALUE"""),"")</f>
        <v/>
      </c>
      <c r="W511" s="6" t="str">
        <f>IFERROR(__xludf.DUMMYFUNCTION("""COMPUTED_VALUE"""),"[]")</f>
        <v>[]</v>
      </c>
      <c r="X511" s="6" t="str">
        <f>IFERROR(__xludf.DUMMYFUNCTION("""COMPUTED_VALUE"""),"Enrolled")</f>
        <v>Enrolled</v>
      </c>
    </row>
    <row r="512">
      <c r="A512" s="6" t="str">
        <f>IFERROR(__xludf.DUMMYFUNCTION("""COMPUTED_VALUE"""),"000-8796")</f>
        <v>000-8796</v>
      </c>
      <c r="B512" s="6" t="str">
        <f>IFERROR(__xludf.DUMMYFUNCTION("""COMPUTED_VALUE"""),"0")</f>
        <v>0</v>
      </c>
      <c r="C512" s="6" t="str">
        <f>IFERROR(__xludf.DUMMYFUNCTION("""COMPUTED_VALUE"""),"8796")</f>
        <v>8796</v>
      </c>
      <c r="D512" s="6" t="str">
        <f>IFERROR(__xludf.DUMMYFUNCTION("""COMPUTED_VALUE"""),"Scot")</f>
        <v>Scot</v>
      </c>
      <c r="E512" s="6" t="str">
        <f>IFERROR(__xludf.DUMMYFUNCTION("""COMPUTED_VALUE"""),"")</f>
        <v/>
      </c>
      <c r="F512" s="6" t="str">
        <f>IFERROR(__xludf.DUMMYFUNCTION("""COMPUTED_VALUE"""),"Murray")</f>
        <v>Murray</v>
      </c>
      <c r="G512" s="6" t="str">
        <f>IFERROR(__xludf.DUMMYFUNCTION("""COMPUTED_VALUE"""),"05/11/2013")</f>
        <v>05/11/2013</v>
      </c>
      <c r="H512" s="6" t="str">
        <f>IFERROR(__xludf.DUMMYFUNCTION("""COMPUTED_VALUE"""),"male")</f>
        <v>male</v>
      </c>
      <c r="I512" s="6" t="str">
        <f>IFERROR(__xludf.DUMMYFUNCTION("""COMPUTED_VALUE"""),"Middle School")</f>
        <v>Middle School</v>
      </c>
      <c r="J512" s="6" t="str">
        <f>IFERROR(__xludf.DUMMYFUNCTION("""COMPUTED_VALUE"""),"7")</f>
        <v>7</v>
      </c>
      <c r="K512" s="6" t="str">
        <f>IFERROR(__xludf.DUMMYFUNCTION("""COMPUTED_VALUE"""),"scot.murray@2hourlearning.com")</f>
        <v>scot.murray@2hourlearning.com</v>
      </c>
      <c r="L512" s="6" t="str">
        <f>IFERROR(__xludf.DUMMYFUNCTION("""COMPUTED_VALUE"""),"Alpha Anywhere (homeschool)")</f>
        <v>Alpha Anywhere (homeschool)</v>
      </c>
      <c r="M512" s="6" t="str">
        <f>IFERROR(__xludf.DUMMYFUNCTION("""COMPUTED_VALUE"""),"")</f>
        <v/>
      </c>
      <c r="N512" s="6" t="str">
        <f>IFERROR(__xludf.DUMMYFUNCTION("""COMPUTED_VALUE"""),"")</f>
        <v/>
      </c>
      <c r="O512" s="87" t="str">
        <f>IFERROR(__xludf.DUMMYFUNCTION("""COMPUTED_VALUE"""),"https://drive.google.com/drive/folders/10T2cTQHqEJZqE-st6uFKPoI?usp=share_link")</f>
        <v>https://drive.google.com/drive/folders/10T2cTQHqEJZqE-st6uFKPoI?usp=share_link</v>
      </c>
      <c r="P512" s="6" t="str">
        <f>IFERROR(__xludf.DUMMYFUNCTION("""COMPUTED_VALUE"""),"Scot Murray")</f>
        <v>Scot Murray</v>
      </c>
      <c r="Q512" s="6" t="str">
        <f>IFERROR(__xludf.DUMMYFUNCTION("""COMPUTED_VALUE"""),"MS")</f>
        <v>MS</v>
      </c>
      <c r="R512" s="6">
        <f>IFERROR(__xludf.DUMMYFUNCTION("""COMPUTED_VALUE"""),0.0)</f>
        <v>0</v>
      </c>
      <c r="S512" s="6" t="str">
        <f>IFERROR(__xludf.DUMMYFUNCTION("""COMPUTED_VALUE""")," ")</f>
        <v> </v>
      </c>
      <c r="T512" s="6" t="str">
        <f>IFERROR(__xludf.DUMMYFUNCTION("""COMPUTED_VALUE"""),"")</f>
        <v/>
      </c>
      <c r="U512" s="6" t="str">
        <f>IFERROR(__xludf.DUMMYFUNCTION("""COMPUTED_VALUE"""),"7")</f>
        <v>7</v>
      </c>
      <c r="V512" s="6" t="str">
        <f>IFERROR(__xludf.DUMMYFUNCTION("""COMPUTED_VALUE"""),"")</f>
        <v/>
      </c>
      <c r="W512" s="6" t="str">
        <f>IFERROR(__xludf.DUMMYFUNCTION("""COMPUTED_VALUE"""),"[]")</f>
        <v>[]</v>
      </c>
      <c r="X512" s="6" t="str">
        <f>IFERROR(__xludf.DUMMYFUNCTION("""COMPUTED_VALUE"""),"Enrolled")</f>
        <v>Enrolled</v>
      </c>
    </row>
    <row r="513">
      <c r="A513" s="6" t="str">
        <f>IFERROR(__xludf.DUMMYFUNCTION("""COMPUTED_VALUE"""),"000-8827")</f>
        <v>000-8827</v>
      </c>
      <c r="B513" s="6" t="str">
        <f>IFERROR(__xludf.DUMMYFUNCTION("""COMPUTED_VALUE"""),"0")</f>
        <v>0</v>
      </c>
      <c r="C513" s="6" t="str">
        <f>IFERROR(__xludf.DUMMYFUNCTION("""COMPUTED_VALUE"""),"8827")</f>
        <v>8827</v>
      </c>
      <c r="D513" s="6" t="str">
        <f>IFERROR(__xludf.DUMMYFUNCTION("""COMPUTED_VALUE"""),"Charlotte")</f>
        <v>Charlotte</v>
      </c>
      <c r="E513" s="6" t="str">
        <f>IFERROR(__xludf.DUMMYFUNCTION("""COMPUTED_VALUE"""),"")</f>
        <v/>
      </c>
      <c r="F513" s="6" t="str">
        <f>IFERROR(__xludf.DUMMYFUNCTION("""COMPUTED_VALUE"""),"Allen")</f>
        <v>Allen</v>
      </c>
      <c r="G513" s="6" t="str">
        <f>IFERROR(__xludf.DUMMYFUNCTION("""COMPUTED_VALUE"""),"05/18/2013")</f>
        <v>05/18/2013</v>
      </c>
      <c r="H513" s="6" t="str">
        <f>IFERROR(__xludf.DUMMYFUNCTION("""COMPUTED_VALUE"""),"female")</f>
        <v>female</v>
      </c>
      <c r="I513" s="6" t="str">
        <f>IFERROR(__xludf.DUMMYFUNCTION("""COMPUTED_VALUE"""),"Middle School")</f>
        <v>Middle School</v>
      </c>
      <c r="J513" s="6" t="str">
        <f>IFERROR(__xludf.DUMMYFUNCTION("""COMPUTED_VALUE"""),"7")</f>
        <v>7</v>
      </c>
      <c r="K513" s="6" t="str">
        <f>IFERROR(__xludf.DUMMYFUNCTION("""COMPUTED_VALUE"""),"charlotte.allen@2hourlearning.com")</f>
        <v>charlotte.allen@2hourlearning.com</v>
      </c>
      <c r="L513" s="6" t="str">
        <f>IFERROR(__xludf.DUMMYFUNCTION("""COMPUTED_VALUE"""),"Alpha Anywhere (homeschool)")</f>
        <v>Alpha Anywhere (homeschool)</v>
      </c>
      <c r="M513" s="6" t="str">
        <f>IFERROR(__xludf.DUMMYFUNCTION("""COMPUTED_VALUE"""),"")</f>
        <v/>
      </c>
      <c r="N513" s="6" t="str">
        <f>IFERROR(__xludf.DUMMYFUNCTION("""COMPUTED_VALUE"""),"")</f>
        <v/>
      </c>
      <c r="O513" s="87" t="str">
        <f>IFERROR(__xludf.DUMMYFUNCTION("""COMPUTED_VALUE"""),"https://drive.google.com/drive/folders/10T2cTQHqEJZqE-st6uFKPoI?usp=share_link")</f>
        <v>https://drive.google.com/drive/folders/10T2cTQHqEJZqE-st6uFKPoI?usp=share_link</v>
      </c>
      <c r="P513" s="6" t="str">
        <f>IFERROR(__xludf.DUMMYFUNCTION("""COMPUTED_VALUE"""),"Charlotte Allen")</f>
        <v>Charlotte Allen</v>
      </c>
      <c r="Q513" s="6" t="str">
        <f>IFERROR(__xludf.DUMMYFUNCTION("""COMPUTED_VALUE"""),"MS")</f>
        <v>MS</v>
      </c>
      <c r="R513" s="6">
        <f>IFERROR(__xludf.DUMMYFUNCTION("""COMPUTED_VALUE"""),0.0)</f>
        <v>0</v>
      </c>
      <c r="S513" s="6" t="str">
        <f>IFERROR(__xludf.DUMMYFUNCTION("""COMPUTED_VALUE""")," ")</f>
        <v> </v>
      </c>
      <c r="T513" s="6" t="str">
        <f>IFERROR(__xludf.DUMMYFUNCTION("""COMPUTED_VALUE"""),"")</f>
        <v/>
      </c>
      <c r="U513" s="6" t="str">
        <f>IFERROR(__xludf.DUMMYFUNCTION("""COMPUTED_VALUE"""),"7")</f>
        <v>7</v>
      </c>
      <c r="V513" s="6" t="str">
        <f>IFERROR(__xludf.DUMMYFUNCTION("""COMPUTED_VALUE"""),"")</f>
        <v/>
      </c>
      <c r="W513" s="6" t="str">
        <f>IFERROR(__xludf.DUMMYFUNCTION("""COMPUTED_VALUE"""),"[]")</f>
        <v>[]</v>
      </c>
      <c r="X513" s="6" t="str">
        <f>IFERROR(__xludf.DUMMYFUNCTION("""COMPUTED_VALUE"""),"Enrolled")</f>
        <v>Enrolled</v>
      </c>
    </row>
    <row r="514">
      <c r="A514" s="6" t="str">
        <f>IFERROR(__xludf.DUMMYFUNCTION("""COMPUTED_VALUE"""),"000-8831")</f>
        <v>000-8831</v>
      </c>
      <c r="B514" s="6" t="str">
        <f>IFERROR(__xludf.DUMMYFUNCTION("""COMPUTED_VALUE"""),"0")</f>
        <v>0</v>
      </c>
      <c r="C514" s="6" t="str">
        <f>IFERROR(__xludf.DUMMYFUNCTION("""COMPUTED_VALUE"""),"8831")</f>
        <v>8831</v>
      </c>
      <c r="D514" s="6" t="str">
        <f>IFERROR(__xludf.DUMMYFUNCTION("""COMPUTED_VALUE"""),"Vir")</f>
        <v>Vir</v>
      </c>
      <c r="E514" s="6" t="str">
        <f>IFERROR(__xludf.DUMMYFUNCTION("""COMPUTED_VALUE"""),"")</f>
        <v/>
      </c>
      <c r="F514" s="6" t="str">
        <f>IFERROR(__xludf.DUMMYFUNCTION("""COMPUTED_VALUE"""),"Shah")</f>
        <v>Shah</v>
      </c>
      <c r="G514" s="6" t="str">
        <f>IFERROR(__xludf.DUMMYFUNCTION("""COMPUTED_VALUE"""),"03/21/2016")</f>
        <v>03/21/2016</v>
      </c>
      <c r="H514" s="6" t="str">
        <f>IFERROR(__xludf.DUMMYFUNCTION("""COMPUTED_VALUE"""),"male")</f>
        <v>male</v>
      </c>
      <c r="I514" s="6" t="str">
        <f>IFERROR(__xludf.DUMMYFUNCTION("""COMPUTED_VALUE"""),"Level 2")</f>
        <v>Level 2</v>
      </c>
      <c r="J514" s="6" t="str">
        <f>IFERROR(__xludf.DUMMYFUNCTION("""COMPUTED_VALUE"""),"4")</f>
        <v>4</v>
      </c>
      <c r="K514" s="6" t="str">
        <f>IFERROR(__xludf.DUMMYFUNCTION("""COMPUTED_VALUE"""),"vir.shah@2hourlearning.com")</f>
        <v>vir.shah@2hourlearning.com</v>
      </c>
      <c r="L514" s="6" t="str">
        <f>IFERROR(__xludf.DUMMYFUNCTION("""COMPUTED_VALUE"""),"Alpha Anywhere (homeschool)")</f>
        <v>Alpha Anywhere (homeschool)</v>
      </c>
      <c r="M514" s="6" t="str">
        <f>IFERROR(__xludf.DUMMYFUNCTION("""COMPUTED_VALUE"""),"")</f>
        <v/>
      </c>
      <c r="N514" s="6" t="str">
        <f>IFERROR(__xludf.DUMMYFUNCTION("""COMPUTED_VALUE"""),"")</f>
        <v/>
      </c>
      <c r="O514" s="87" t="str">
        <f>IFERROR(__xludf.DUMMYFUNCTION("""COMPUTED_VALUE"""),"https://drive.google.com/drive/folders/10T2cTQHqEJZqE-st6uFKPoI?usp=share_link")</f>
        <v>https://drive.google.com/drive/folders/10T2cTQHqEJZqE-st6uFKPoI?usp=share_link</v>
      </c>
      <c r="P514" s="6" t="str">
        <f>IFERROR(__xludf.DUMMYFUNCTION("""COMPUTED_VALUE"""),"Vir Shah")</f>
        <v>Vir Shah</v>
      </c>
      <c r="Q514" s="6" t="str">
        <f>IFERROR(__xludf.DUMMYFUNCTION("""COMPUTED_VALUE"""),"L2")</f>
        <v>L2</v>
      </c>
      <c r="R514" s="6">
        <f>IFERROR(__xludf.DUMMYFUNCTION("""COMPUTED_VALUE"""),2.0)</f>
        <v>2</v>
      </c>
      <c r="S514" s="6" t="str">
        <f>IFERROR(__xludf.DUMMYFUNCTION("""COMPUTED_VALUE""")," ")</f>
        <v> </v>
      </c>
      <c r="T514" s="6" t="str">
        <f>IFERROR(__xludf.DUMMYFUNCTION("""COMPUTED_VALUE"""),"")</f>
        <v/>
      </c>
      <c r="U514" s="6" t="str">
        <f>IFERROR(__xludf.DUMMYFUNCTION("""COMPUTED_VALUE"""),"4")</f>
        <v>4</v>
      </c>
      <c r="V514" s="6" t="str">
        <f>IFERROR(__xludf.DUMMYFUNCTION("""COMPUTED_VALUE"""),"")</f>
        <v/>
      </c>
      <c r="W514" s="6" t="str">
        <f>IFERROR(__xludf.DUMMYFUNCTION("""COMPUTED_VALUE"""),"[]")</f>
        <v>[]</v>
      </c>
      <c r="X514" s="6" t="str">
        <f>IFERROR(__xludf.DUMMYFUNCTION("""COMPUTED_VALUE"""),"Enrolled")</f>
        <v>Enrolled</v>
      </c>
    </row>
    <row r="515">
      <c r="A515" s="6" t="str">
        <f>IFERROR(__xludf.DUMMYFUNCTION("""COMPUTED_VALUE"""),"000-8854")</f>
        <v>000-8854</v>
      </c>
      <c r="B515" s="6" t="str">
        <f>IFERROR(__xludf.DUMMYFUNCTION("""COMPUTED_VALUE"""),"0")</f>
        <v>0</v>
      </c>
      <c r="C515" s="6" t="str">
        <f>IFERROR(__xludf.DUMMYFUNCTION("""COMPUTED_VALUE"""),"8854")</f>
        <v>8854</v>
      </c>
      <c r="D515" s="6" t="str">
        <f>IFERROR(__xludf.DUMMYFUNCTION("""COMPUTED_VALUE"""),"Jaxon")</f>
        <v>Jaxon</v>
      </c>
      <c r="E515" s="6" t="str">
        <f>IFERROR(__xludf.DUMMYFUNCTION("""COMPUTED_VALUE"""),"")</f>
        <v/>
      </c>
      <c r="F515" s="6" t="str">
        <f>IFERROR(__xludf.DUMMYFUNCTION("""COMPUTED_VALUE"""),"Hodges")</f>
        <v>Hodges</v>
      </c>
      <c r="G515" s="6" t="str">
        <f>IFERROR(__xludf.DUMMYFUNCTION("""COMPUTED_VALUE"""),"01/21/2015")</f>
        <v>01/21/2015</v>
      </c>
      <c r="H515" s="6" t="str">
        <f>IFERROR(__xludf.DUMMYFUNCTION("""COMPUTED_VALUE"""),"unspecified")</f>
        <v>unspecified</v>
      </c>
      <c r="I515" s="6" t="str">
        <f>IFERROR(__xludf.DUMMYFUNCTION("""COMPUTED_VALUE"""),"Level 2")</f>
        <v>Level 2</v>
      </c>
      <c r="J515" s="6" t="str">
        <f>IFERROR(__xludf.DUMMYFUNCTION("""COMPUTED_VALUE"""),"5")</f>
        <v>5</v>
      </c>
      <c r="K515" s="6" t="str">
        <f>IFERROR(__xludf.DUMMYFUNCTION("""COMPUTED_VALUE"""),"jaxon.hodges@2hourlearning.com")</f>
        <v>jaxon.hodges@2hourlearning.com</v>
      </c>
      <c r="L515" s="6" t="str">
        <f>IFERROR(__xludf.DUMMYFUNCTION("""COMPUTED_VALUE"""),"Alpha Anywhere (homeschool)")</f>
        <v>Alpha Anywhere (homeschool)</v>
      </c>
      <c r="M515" s="6" t="str">
        <f>IFERROR(__xludf.DUMMYFUNCTION("""COMPUTED_VALUE"""),"")</f>
        <v/>
      </c>
      <c r="N515" s="6" t="str">
        <f>IFERROR(__xludf.DUMMYFUNCTION("""COMPUTED_VALUE"""),"")</f>
        <v/>
      </c>
      <c r="O515" s="87" t="str">
        <f>IFERROR(__xludf.DUMMYFUNCTION("""COMPUTED_VALUE"""),"https://drive.google.com/drive/folders/10T2cTQHqEJZqE-st6uFKPoI?usp=share_link")</f>
        <v>https://drive.google.com/drive/folders/10T2cTQHqEJZqE-st6uFKPoI?usp=share_link</v>
      </c>
      <c r="P515" s="6" t="str">
        <f>IFERROR(__xludf.DUMMYFUNCTION("""COMPUTED_VALUE"""),"Jaxon Hodges")</f>
        <v>Jaxon Hodges</v>
      </c>
      <c r="Q515" s="6" t="str">
        <f>IFERROR(__xludf.DUMMYFUNCTION("""COMPUTED_VALUE"""),"L2")</f>
        <v>L2</v>
      </c>
      <c r="R515" s="6">
        <f>IFERROR(__xludf.DUMMYFUNCTION("""COMPUTED_VALUE"""),2.0)</f>
        <v>2</v>
      </c>
      <c r="S515" s="6" t="str">
        <f>IFERROR(__xludf.DUMMYFUNCTION("""COMPUTED_VALUE""")," ")</f>
        <v> </v>
      </c>
      <c r="T515" s="6" t="str">
        <f>IFERROR(__xludf.DUMMYFUNCTION("""COMPUTED_VALUE"""),"")</f>
        <v/>
      </c>
      <c r="U515" s="6" t="str">
        <f>IFERROR(__xludf.DUMMYFUNCTION("""COMPUTED_VALUE"""),"5")</f>
        <v>5</v>
      </c>
      <c r="V515" s="6" t="str">
        <f>IFERROR(__xludf.DUMMYFUNCTION("""COMPUTED_VALUE"""),"")</f>
        <v/>
      </c>
      <c r="W515" s="6" t="str">
        <f>IFERROR(__xludf.DUMMYFUNCTION("""COMPUTED_VALUE"""),"[]")</f>
        <v>[]</v>
      </c>
      <c r="X515" s="6" t="str">
        <f>IFERROR(__xludf.DUMMYFUNCTION("""COMPUTED_VALUE"""),"Enrolled")</f>
        <v>Enrolled</v>
      </c>
    </row>
    <row r="516">
      <c r="A516" s="6" t="str">
        <f>IFERROR(__xludf.DUMMYFUNCTION("""COMPUTED_VALUE"""),"000-8867")</f>
        <v>000-8867</v>
      </c>
      <c r="B516" s="6" t="str">
        <f>IFERROR(__xludf.DUMMYFUNCTION("""COMPUTED_VALUE"""),"0")</f>
        <v>0</v>
      </c>
      <c r="C516" s="6" t="str">
        <f>IFERROR(__xludf.DUMMYFUNCTION("""COMPUTED_VALUE"""),"8867")</f>
        <v>8867</v>
      </c>
      <c r="D516" s="6" t="str">
        <f>IFERROR(__xludf.DUMMYFUNCTION("""COMPUTED_VALUE"""),"Isaac")</f>
        <v>Isaac</v>
      </c>
      <c r="E516" s="6" t="str">
        <f>IFERROR(__xludf.DUMMYFUNCTION("""COMPUTED_VALUE"""),"")</f>
        <v/>
      </c>
      <c r="F516" s="6" t="str">
        <f>IFERROR(__xludf.DUMMYFUNCTION("""COMPUTED_VALUE"""),"Pinkas")</f>
        <v>Pinkas</v>
      </c>
      <c r="G516" s="6" t="str">
        <f>IFERROR(__xludf.DUMMYFUNCTION("""COMPUTED_VALUE"""),"12/19/2017")</f>
        <v>12/19/2017</v>
      </c>
      <c r="H516" s="6" t="str">
        <f>IFERROR(__xludf.DUMMYFUNCTION("""COMPUTED_VALUE"""),"male")</f>
        <v>male</v>
      </c>
      <c r="I516" s="6" t="str">
        <f>IFERROR(__xludf.DUMMYFUNCTION("""COMPUTED_VALUE"""),"Level 1")</f>
        <v>Level 1</v>
      </c>
      <c r="J516" s="6" t="str">
        <f>IFERROR(__xludf.DUMMYFUNCTION("""COMPUTED_VALUE"""),"2")</f>
        <v>2</v>
      </c>
      <c r="K516" s="6" t="str">
        <f>IFERROR(__xludf.DUMMYFUNCTION("""COMPUTED_VALUE"""),"isaac.pinkas@2hourlearning.com")</f>
        <v>isaac.pinkas@2hourlearning.com</v>
      </c>
      <c r="L516" s="6" t="str">
        <f>IFERROR(__xludf.DUMMYFUNCTION("""COMPUTED_VALUE"""),"Alpha Anywhere (homeschool)")</f>
        <v>Alpha Anywhere (homeschool)</v>
      </c>
      <c r="M516" s="6" t="str">
        <f>IFERROR(__xludf.DUMMYFUNCTION("""COMPUTED_VALUE"""),"")</f>
        <v/>
      </c>
      <c r="N516" s="6" t="str">
        <f>IFERROR(__xludf.DUMMYFUNCTION("""COMPUTED_VALUE"""),"")</f>
        <v/>
      </c>
      <c r="O516" s="87" t="str">
        <f>IFERROR(__xludf.DUMMYFUNCTION("""COMPUTED_VALUE"""),"https://drive.google.com/drive/folders/10T2cTQHqEJZqE-st6uFKPoI?usp=share_link")</f>
        <v>https://drive.google.com/drive/folders/10T2cTQHqEJZqE-st6uFKPoI?usp=share_link</v>
      </c>
      <c r="P516" s="6" t="str">
        <f>IFERROR(__xludf.DUMMYFUNCTION("""COMPUTED_VALUE"""),"Isaac Pinkas")</f>
        <v>Isaac Pinkas</v>
      </c>
      <c r="Q516" s="6" t="str">
        <f>IFERROR(__xludf.DUMMYFUNCTION("""COMPUTED_VALUE"""),"L1")</f>
        <v>L1</v>
      </c>
      <c r="R516" s="6">
        <f>IFERROR(__xludf.DUMMYFUNCTION("""COMPUTED_VALUE"""),1.0)</f>
        <v>1</v>
      </c>
      <c r="S516" s="6" t="str">
        <f>IFERROR(__xludf.DUMMYFUNCTION("""COMPUTED_VALUE""")," ")</f>
        <v> </v>
      </c>
      <c r="T516" s="6" t="str">
        <f>IFERROR(__xludf.DUMMYFUNCTION("""COMPUTED_VALUE"""),"")</f>
        <v/>
      </c>
      <c r="U516" s="6" t="str">
        <f>IFERROR(__xludf.DUMMYFUNCTION("""COMPUTED_VALUE"""),"2")</f>
        <v>2</v>
      </c>
      <c r="V516" s="6" t="str">
        <f>IFERROR(__xludf.DUMMYFUNCTION("""COMPUTED_VALUE"""),"")</f>
        <v/>
      </c>
      <c r="W516" s="6" t="str">
        <f>IFERROR(__xludf.DUMMYFUNCTION("""COMPUTED_VALUE"""),"[]")</f>
        <v>[]</v>
      </c>
      <c r="X516" s="6" t="str">
        <f>IFERROR(__xludf.DUMMYFUNCTION("""COMPUTED_VALUE"""),"Enrolled")</f>
        <v>Enrolled</v>
      </c>
    </row>
    <row r="517">
      <c r="A517" s="6" t="str">
        <f>IFERROR(__xludf.DUMMYFUNCTION("""COMPUTED_VALUE"""),"000-8876")</f>
        <v>000-8876</v>
      </c>
      <c r="B517" s="6" t="str">
        <f>IFERROR(__xludf.DUMMYFUNCTION("""COMPUTED_VALUE"""),"0")</f>
        <v>0</v>
      </c>
      <c r="C517" s="6" t="str">
        <f>IFERROR(__xludf.DUMMYFUNCTION("""COMPUTED_VALUE"""),"8876")</f>
        <v>8876</v>
      </c>
      <c r="D517" s="6" t="str">
        <f>IFERROR(__xludf.DUMMYFUNCTION("""COMPUTED_VALUE"""),"Jaidyn")</f>
        <v>Jaidyn</v>
      </c>
      <c r="E517" s="6" t="str">
        <f>IFERROR(__xludf.DUMMYFUNCTION("""COMPUTED_VALUE"""),"")</f>
        <v/>
      </c>
      <c r="F517" s="6" t="str">
        <f>IFERROR(__xludf.DUMMYFUNCTION("""COMPUTED_VALUE"""),"Miller")</f>
        <v>Miller</v>
      </c>
      <c r="G517" s="6" t="str">
        <f>IFERROR(__xludf.DUMMYFUNCTION("""COMPUTED_VALUE"""),"11/09/2012")</f>
        <v>11/09/2012</v>
      </c>
      <c r="H517" s="6" t="str">
        <f>IFERROR(__xludf.DUMMYFUNCTION("""COMPUTED_VALUE"""),"female")</f>
        <v>female</v>
      </c>
      <c r="I517" s="6" t="str">
        <f>IFERROR(__xludf.DUMMYFUNCTION("""COMPUTED_VALUE"""),"Middle School")</f>
        <v>Middle School</v>
      </c>
      <c r="J517" s="6" t="str">
        <f>IFERROR(__xludf.DUMMYFUNCTION("""COMPUTED_VALUE"""),"7")</f>
        <v>7</v>
      </c>
      <c r="K517" s="6" t="str">
        <f>IFERROR(__xludf.DUMMYFUNCTION("""COMPUTED_VALUE"""),"jaidyn.miller@2hourlearning.com")</f>
        <v>jaidyn.miller@2hourlearning.com</v>
      </c>
      <c r="L517" s="6" t="str">
        <f>IFERROR(__xludf.DUMMYFUNCTION("""COMPUTED_VALUE"""),"Alpha Anywhere (homeschool)")</f>
        <v>Alpha Anywhere (homeschool)</v>
      </c>
      <c r="M517" s="6" t="str">
        <f>IFERROR(__xludf.DUMMYFUNCTION("""COMPUTED_VALUE"""),"")</f>
        <v/>
      </c>
      <c r="N517" s="6" t="str">
        <f>IFERROR(__xludf.DUMMYFUNCTION("""COMPUTED_VALUE"""),"")</f>
        <v/>
      </c>
      <c r="O517" s="87" t="str">
        <f>IFERROR(__xludf.DUMMYFUNCTION("""COMPUTED_VALUE"""),"https://drive.google.com/drive/folders/10T2cTQHqEJZqE-st6uFKPoI?usp=share_link")</f>
        <v>https://drive.google.com/drive/folders/10T2cTQHqEJZqE-st6uFKPoI?usp=share_link</v>
      </c>
      <c r="P517" s="6" t="str">
        <f>IFERROR(__xludf.DUMMYFUNCTION("""COMPUTED_VALUE"""),"Jaidyn Miller")</f>
        <v>Jaidyn Miller</v>
      </c>
      <c r="Q517" s="6" t="str">
        <f>IFERROR(__xludf.DUMMYFUNCTION("""COMPUTED_VALUE"""),"MS")</f>
        <v>MS</v>
      </c>
      <c r="R517" s="6">
        <f>IFERROR(__xludf.DUMMYFUNCTION("""COMPUTED_VALUE"""),0.0)</f>
        <v>0</v>
      </c>
      <c r="S517" s="6" t="str">
        <f>IFERROR(__xludf.DUMMYFUNCTION("""COMPUTED_VALUE""")," ")</f>
        <v> </v>
      </c>
      <c r="T517" s="6" t="str">
        <f>IFERROR(__xludf.DUMMYFUNCTION("""COMPUTED_VALUE"""),"")</f>
        <v/>
      </c>
      <c r="U517" s="6" t="str">
        <f>IFERROR(__xludf.DUMMYFUNCTION("""COMPUTED_VALUE"""),"7")</f>
        <v>7</v>
      </c>
      <c r="V517" s="6" t="str">
        <f>IFERROR(__xludf.DUMMYFUNCTION("""COMPUTED_VALUE"""),"")</f>
        <v/>
      </c>
      <c r="W517" s="6" t="str">
        <f>IFERROR(__xludf.DUMMYFUNCTION("""COMPUTED_VALUE"""),"[]")</f>
        <v>[]</v>
      </c>
      <c r="X517" s="6" t="str">
        <f>IFERROR(__xludf.DUMMYFUNCTION("""COMPUTED_VALUE"""),"Enrolled")</f>
        <v>Enrolled</v>
      </c>
    </row>
    <row r="518">
      <c r="A518" s="6" t="str">
        <f>IFERROR(__xludf.DUMMYFUNCTION("""COMPUTED_VALUE"""),"000-8878")</f>
        <v>000-8878</v>
      </c>
      <c r="B518" s="6" t="str">
        <f>IFERROR(__xludf.DUMMYFUNCTION("""COMPUTED_VALUE"""),"0")</f>
        <v>0</v>
      </c>
      <c r="C518" s="6" t="str">
        <f>IFERROR(__xludf.DUMMYFUNCTION("""COMPUTED_VALUE"""),"8878")</f>
        <v>8878</v>
      </c>
      <c r="D518" s="6" t="str">
        <f>IFERROR(__xludf.DUMMYFUNCTION("""COMPUTED_VALUE"""),"Finnegan")</f>
        <v>Finnegan</v>
      </c>
      <c r="E518" s="6" t="str">
        <f>IFERROR(__xludf.DUMMYFUNCTION("""COMPUTED_VALUE"""),"")</f>
        <v/>
      </c>
      <c r="F518" s="6" t="str">
        <f>IFERROR(__xludf.DUMMYFUNCTION("""COMPUTED_VALUE"""),"Roberts")</f>
        <v>Roberts</v>
      </c>
      <c r="G518" s="6" t="str">
        <f>IFERROR(__xludf.DUMMYFUNCTION("""COMPUTED_VALUE"""),"03/19/2014")</f>
        <v>03/19/2014</v>
      </c>
      <c r="H518" s="6" t="str">
        <f>IFERROR(__xludf.DUMMYFUNCTION("""COMPUTED_VALUE"""),"male")</f>
        <v>male</v>
      </c>
      <c r="I518" s="6" t="str">
        <f>IFERROR(__xludf.DUMMYFUNCTION("""COMPUTED_VALUE"""),"Middle School")</f>
        <v>Middle School</v>
      </c>
      <c r="J518" s="6" t="str">
        <f>IFERROR(__xludf.DUMMYFUNCTION("""COMPUTED_VALUE"""),"6")</f>
        <v>6</v>
      </c>
      <c r="K518" s="6" t="str">
        <f>IFERROR(__xludf.DUMMYFUNCTION("""COMPUTED_VALUE"""),"finnegan.roberts@2hourlearning.com")</f>
        <v>finnegan.roberts@2hourlearning.com</v>
      </c>
      <c r="L518" s="6" t="str">
        <f>IFERROR(__xludf.DUMMYFUNCTION("""COMPUTED_VALUE"""),"Alpha Anywhere (homeschool)")</f>
        <v>Alpha Anywhere (homeschool)</v>
      </c>
      <c r="M518" s="6" t="str">
        <f>IFERROR(__xludf.DUMMYFUNCTION("""COMPUTED_VALUE"""),"")</f>
        <v/>
      </c>
      <c r="N518" s="6" t="str">
        <f>IFERROR(__xludf.DUMMYFUNCTION("""COMPUTED_VALUE"""),"")</f>
        <v/>
      </c>
      <c r="O518" s="87" t="str">
        <f>IFERROR(__xludf.DUMMYFUNCTION("""COMPUTED_VALUE"""),"https://drive.google.com/drive/folders/10T2cTQHqEJZqE-st6uFKPoI?usp=share_link")</f>
        <v>https://drive.google.com/drive/folders/10T2cTQHqEJZqE-st6uFKPoI?usp=share_link</v>
      </c>
      <c r="P518" s="6" t="str">
        <f>IFERROR(__xludf.DUMMYFUNCTION("""COMPUTED_VALUE"""),"Finnegan Roberts")</f>
        <v>Finnegan Roberts</v>
      </c>
      <c r="Q518" s="6" t="str">
        <f>IFERROR(__xludf.DUMMYFUNCTION("""COMPUTED_VALUE"""),"MS")</f>
        <v>MS</v>
      </c>
      <c r="R518" s="6">
        <f>IFERROR(__xludf.DUMMYFUNCTION("""COMPUTED_VALUE"""),0.0)</f>
        <v>0</v>
      </c>
      <c r="S518" s="6" t="str">
        <f>IFERROR(__xludf.DUMMYFUNCTION("""COMPUTED_VALUE""")," ")</f>
        <v> </v>
      </c>
      <c r="T518" s="6" t="str">
        <f>IFERROR(__xludf.DUMMYFUNCTION("""COMPUTED_VALUE"""),"")</f>
        <v/>
      </c>
      <c r="U518" s="6" t="str">
        <f>IFERROR(__xludf.DUMMYFUNCTION("""COMPUTED_VALUE"""),"6")</f>
        <v>6</v>
      </c>
      <c r="V518" s="6" t="str">
        <f>IFERROR(__xludf.DUMMYFUNCTION("""COMPUTED_VALUE"""),"")</f>
        <v/>
      </c>
      <c r="W518" s="6" t="str">
        <f>IFERROR(__xludf.DUMMYFUNCTION("""COMPUTED_VALUE"""),"[]")</f>
        <v>[]</v>
      </c>
      <c r="X518" s="6" t="str">
        <f>IFERROR(__xludf.DUMMYFUNCTION("""COMPUTED_VALUE"""),"Enrolled")</f>
        <v>Enrolled</v>
      </c>
    </row>
    <row r="519">
      <c r="A519" s="6" t="str">
        <f>IFERROR(__xludf.DUMMYFUNCTION("""COMPUTED_VALUE"""),"000-8887")</f>
        <v>000-8887</v>
      </c>
      <c r="B519" s="6" t="str">
        <f>IFERROR(__xludf.DUMMYFUNCTION("""COMPUTED_VALUE"""),"0")</f>
        <v>0</v>
      </c>
      <c r="C519" s="6" t="str">
        <f>IFERROR(__xludf.DUMMYFUNCTION("""COMPUTED_VALUE"""),"8887")</f>
        <v>8887</v>
      </c>
      <c r="D519" s="6" t="str">
        <f>IFERROR(__xludf.DUMMYFUNCTION("""COMPUTED_VALUE"""),"Ayla")</f>
        <v>Ayla</v>
      </c>
      <c r="E519" s="6" t="str">
        <f>IFERROR(__xludf.DUMMYFUNCTION("""COMPUTED_VALUE"""),"")</f>
        <v/>
      </c>
      <c r="F519" s="6" t="str">
        <f>IFERROR(__xludf.DUMMYFUNCTION("""COMPUTED_VALUE"""),"Smith")</f>
        <v>Smith</v>
      </c>
      <c r="G519" s="6" t="str">
        <f>IFERROR(__xludf.DUMMYFUNCTION("""COMPUTED_VALUE"""),"10/05/2012")</f>
        <v>10/05/2012</v>
      </c>
      <c r="H519" s="6" t="str">
        <f>IFERROR(__xludf.DUMMYFUNCTION("""COMPUTED_VALUE"""),"female")</f>
        <v>female</v>
      </c>
      <c r="I519" s="6" t="str">
        <f>IFERROR(__xludf.DUMMYFUNCTION("""COMPUTED_VALUE"""),"Middle School")</f>
        <v>Middle School</v>
      </c>
      <c r="J519" s="6" t="str">
        <f>IFERROR(__xludf.DUMMYFUNCTION("""COMPUTED_VALUE"""),"7")</f>
        <v>7</v>
      </c>
      <c r="K519" s="6" t="str">
        <f>IFERROR(__xludf.DUMMYFUNCTION("""COMPUTED_VALUE"""),"ayla.smith@2hourlearning.com")</f>
        <v>ayla.smith@2hourlearning.com</v>
      </c>
      <c r="L519" s="6" t="str">
        <f>IFERROR(__xludf.DUMMYFUNCTION("""COMPUTED_VALUE"""),"Alpha Anywhere (homeschool)")</f>
        <v>Alpha Anywhere (homeschool)</v>
      </c>
      <c r="M519" s="6" t="str">
        <f>IFERROR(__xludf.DUMMYFUNCTION("""COMPUTED_VALUE"""),"")</f>
        <v/>
      </c>
      <c r="N519" s="6" t="str">
        <f>IFERROR(__xludf.DUMMYFUNCTION("""COMPUTED_VALUE"""),"")</f>
        <v/>
      </c>
      <c r="O519" s="87" t="str">
        <f>IFERROR(__xludf.DUMMYFUNCTION("""COMPUTED_VALUE"""),"https://drive.google.com/drive/folders/10T2cTQHqEJZqE-st6uFKPoI?usp=share_link")</f>
        <v>https://drive.google.com/drive/folders/10T2cTQHqEJZqE-st6uFKPoI?usp=share_link</v>
      </c>
      <c r="P519" s="6" t="str">
        <f>IFERROR(__xludf.DUMMYFUNCTION("""COMPUTED_VALUE"""),"Ayla Smith")</f>
        <v>Ayla Smith</v>
      </c>
      <c r="Q519" s="6" t="str">
        <f>IFERROR(__xludf.DUMMYFUNCTION("""COMPUTED_VALUE"""),"MS")</f>
        <v>MS</v>
      </c>
      <c r="R519" s="6">
        <f>IFERROR(__xludf.DUMMYFUNCTION("""COMPUTED_VALUE"""),0.0)</f>
        <v>0</v>
      </c>
      <c r="S519" s="6" t="str">
        <f>IFERROR(__xludf.DUMMYFUNCTION("""COMPUTED_VALUE""")," ")</f>
        <v> </v>
      </c>
      <c r="T519" s="6" t="str">
        <f>IFERROR(__xludf.DUMMYFUNCTION("""COMPUTED_VALUE"""),"")</f>
        <v/>
      </c>
      <c r="U519" s="6" t="str">
        <f>IFERROR(__xludf.DUMMYFUNCTION("""COMPUTED_VALUE"""),"7")</f>
        <v>7</v>
      </c>
      <c r="V519" s="6" t="str">
        <f>IFERROR(__xludf.DUMMYFUNCTION("""COMPUTED_VALUE"""),"")</f>
        <v/>
      </c>
      <c r="W519" s="6" t="str">
        <f>IFERROR(__xludf.DUMMYFUNCTION("""COMPUTED_VALUE"""),"[]")</f>
        <v>[]</v>
      </c>
      <c r="X519" s="6" t="str">
        <f>IFERROR(__xludf.DUMMYFUNCTION("""COMPUTED_VALUE"""),"Enrolled")</f>
        <v>Enrolled</v>
      </c>
    </row>
    <row r="520">
      <c r="A520" s="6" t="str">
        <f>IFERROR(__xludf.DUMMYFUNCTION("""COMPUTED_VALUE"""),"000-8892")</f>
        <v>000-8892</v>
      </c>
      <c r="B520" s="6" t="str">
        <f>IFERROR(__xludf.DUMMYFUNCTION("""COMPUTED_VALUE"""),"0")</f>
        <v>0</v>
      </c>
      <c r="C520" s="6" t="str">
        <f>IFERROR(__xludf.DUMMYFUNCTION("""COMPUTED_VALUE"""),"8892")</f>
        <v>8892</v>
      </c>
      <c r="D520" s="6" t="str">
        <f>IFERROR(__xludf.DUMMYFUNCTION("""COMPUTED_VALUE"""),"Rowen")</f>
        <v>Rowen</v>
      </c>
      <c r="E520" s="6" t="str">
        <f>IFERROR(__xludf.DUMMYFUNCTION("""COMPUTED_VALUE"""),"")</f>
        <v/>
      </c>
      <c r="F520" s="6" t="str">
        <f>IFERROR(__xludf.DUMMYFUNCTION("""COMPUTED_VALUE"""),"Breon")</f>
        <v>Breon</v>
      </c>
      <c r="G520" s="6" t="str">
        <f>IFERROR(__xludf.DUMMYFUNCTION("""COMPUTED_VALUE"""),"01/25/2013")</f>
        <v>01/25/2013</v>
      </c>
      <c r="H520" s="6" t="str">
        <f>IFERROR(__xludf.DUMMYFUNCTION("""COMPUTED_VALUE"""),"male")</f>
        <v>male</v>
      </c>
      <c r="I520" s="6" t="str">
        <f>IFERROR(__xludf.DUMMYFUNCTION("""COMPUTED_VALUE"""),"Middle School")</f>
        <v>Middle School</v>
      </c>
      <c r="J520" s="6" t="str">
        <f>IFERROR(__xludf.DUMMYFUNCTION("""COMPUTED_VALUE"""),"7")</f>
        <v>7</v>
      </c>
      <c r="K520" s="6" t="str">
        <f>IFERROR(__xludf.DUMMYFUNCTION("""COMPUTED_VALUE"""),"rowen.breon@2hourlearning.com")</f>
        <v>rowen.breon@2hourlearning.com</v>
      </c>
      <c r="L520" s="6" t="str">
        <f>IFERROR(__xludf.DUMMYFUNCTION("""COMPUTED_VALUE"""),"Alpha Anywhere (homeschool)")</f>
        <v>Alpha Anywhere (homeschool)</v>
      </c>
      <c r="M520" s="6" t="str">
        <f>IFERROR(__xludf.DUMMYFUNCTION("""COMPUTED_VALUE"""),"")</f>
        <v/>
      </c>
      <c r="N520" s="6" t="str">
        <f>IFERROR(__xludf.DUMMYFUNCTION("""COMPUTED_VALUE"""),"")</f>
        <v/>
      </c>
      <c r="O520" s="87" t="str">
        <f>IFERROR(__xludf.DUMMYFUNCTION("""COMPUTED_VALUE"""),"https://drive.google.com/drive/folders/10T2cTQHqEJZqE-st6uFKPoI?usp=share_link")</f>
        <v>https://drive.google.com/drive/folders/10T2cTQHqEJZqE-st6uFKPoI?usp=share_link</v>
      </c>
      <c r="P520" s="6" t="str">
        <f>IFERROR(__xludf.DUMMYFUNCTION("""COMPUTED_VALUE"""),"Rowen Breon")</f>
        <v>Rowen Breon</v>
      </c>
      <c r="Q520" s="6" t="str">
        <f>IFERROR(__xludf.DUMMYFUNCTION("""COMPUTED_VALUE"""),"MS")</f>
        <v>MS</v>
      </c>
      <c r="R520" s="6">
        <f>IFERROR(__xludf.DUMMYFUNCTION("""COMPUTED_VALUE"""),0.0)</f>
        <v>0</v>
      </c>
      <c r="S520" s="6" t="str">
        <f>IFERROR(__xludf.DUMMYFUNCTION("""COMPUTED_VALUE""")," ")</f>
        <v> </v>
      </c>
      <c r="T520" s="6" t="str">
        <f>IFERROR(__xludf.DUMMYFUNCTION("""COMPUTED_VALUE"""),"")</f>
        <v/>
      </c>
      <c r="U520" s="6" t="str">
        <f>IFERROR(__xludf.DUMMYFUNCTION("""COMPUTED_VALUE"""),"7")</f>
        <v>7</v>
      </c>
      <c r="V520" s="6" t="str">
        <f>IFERROR(__xludf.DUMMYFUNCTION("""COMPUTED_VALUE"""),"")</f>
        <v/>
      </c>
      <c r="W520" s="6" t="str">
        <f>IFERROR(__xludf.DUMMYFUNCTION("""COMPUTED_VALUE"""),"[]")</f>
        <v>[]</v>
      </c>
      <c r="X520" s="6" t="str">
        <f>IFERROR(__xludf.DUMMYFUNCTION("""COMPUTED_VALUE"""),"Enrolled")</f>
        <v>Enrolled</v>
      </c>
    </row>
    <row r="521">
      <c r="A521" s="6" t="str">
        <f>IFERROR(__xludf.DUMMYFUNCTION("""COMPUTED_VALUE"""),"000-8916")</f>
        <v>000-8916</v>
      </c>
      <c r="B521" s="6" t="str">
        <f>IFERROR(__xludf.DUMMYFUNCTION("""COMPUTED_VALUE"""),"0")</f>
        <v>0</v>
      </c>
      <c r="C521" s="6" t="str">
        <f>IFERROR(__xludf.DUMMYFUNCTION("""COMPUTED_VALUE"""),"8916")</f>
        <v>8916</v>
      </c>
      <c r="D521" s="6" t="str">
        <f>IFERROR(__xludf.DUMMYFUNCTION("""COMPUTED_VALUE"""),"Kenna")</f>
        <v>Kenna</v>
      </c>
      <c r="E521" s="6" t="str">
        <f>IFERROR(__xludf.DUMMYFUNCTION("""COMPUTED_VALUE"""),"")</f>
        <v/>
      </c>
      <c r="F521" s="6" t="str">
        <f>IFERROR(__xludf.DUMMYFUNCTION("""COMPUTED_VALUE"""),"Gilboa")</f>
        <v>Gilboa</v>
      </c>
      <c r="G521" s="6" t="str">
        <f>IFERROR(__xludf.DUMMYFUNCTION("""COMPUTED_VALUE"""),"05/07/2015")</f>
        <v>05/07/2015</v>
      </c>
      <c r="H521" s="6" t="str">
        <f>IFERROR(__xludf.DUMMYFUNCTION("""COMPUTED_VALUE"""),"female")</f>
        <v>female</v>
      </c>
      <c r="I521" s="6" t="str">
        <f>IFERROR(__xludf.DUMMYFUNCTION("""COMPUTED_VALUE"""),"Level 2")</f>
        <v>Level 2</v>
      </c>
      <c r="J521" s="6" t="str">
        <f>IFERROR(__xludf.DUMMYFUNCTION("""COMPUTED_VALUE"""),"4")</f>
        <v>4</v>
      </c>
      <c r="K521" s="6" t="str">
        <f>IFERROR(__xludf.DUMMYFUNCTION("""COMPUTED_VALUE"""),"kenna.gilboa@2hourlearning.com")</f>
        <v>kenna.gilboa@2hourlearning.com</v>
      </c>
      <c r="L521" s="6" t="str">
        <f>IFERROR(__xludf.DUMMYFUNCTION("""COMPUTED_VALUE"""),"Alpha Anywhere (homeschool)")</f>
        <v>Alpha Anywhere (homeschool)</v>
      </c>
      <c r="M521" s="6" t="str">
        <f>IFERROR(__xludf.DUMMYFUNCTION("""COMPUTED_VALUE"""),"")</f>
        <v/>
      </c>
      <c r="N521" s="6" t="str">
        <f>IFERROR(__xludf.DUMMYFUNCTION("""COMPUTED_VALUE"""),"")</f>
        <v/>
      </c>
      <c r="O521" s="87" t="str">
        <f>IFERROR(__xludf.DUMMYFUNCTION("""COMPUTED_VALUE"""),"https://drive.google.com/drive/folders/10T2cTQHqEJZqE-st6uFKPoI?usp=share_link")</f>
        <v>https://drive.google.com/drive/folders/10T2cTQHqEJZqE-st6uFKPoI?usp=share_link</v>
      </c>
      <c r="P521" s="6" t="str">
        <f>IFERROR(__xludf.DUMMYFUNCTION("""COMPUTED_VALUE"""),"Kenna Gilboa")</f>
        <v>Kenna Gilboa</v>
      </c>
      <c r="Q521" s="6" t="str">
        <f>IFERROR(__xludf.DUMMYFUNCTION("""COMPUTED_VALUE"""),"L2")</f>
        <v>L2</v>
      </c>
      <c r="R521" s="6">
        <f>IFERROR(__xludf.DUMMYFUNCTION("""COMPUTED_VALUE"""),2.0)</f>
        <v>2</v>
      </c>
      <c r="S521" s="6" t="str">
        <f>IFERROR(__xludf.DUMMYFUNCTION("""COMPUTED_VALUE""")," ")</f>
        <v> </v>
      </c>
      <c r="T521" s="6" t="str">
        <f>IFERROR(__xludf.DUMMYFUNCTION("""COMPUTED_VALUE"""),"")</f>
        <v/>
      </c>
      <c r="U521" s="6" t="str">
        <f>IFERROR(__xludf.DUMMYFUNCTION("""COMPUTED_VALUE"""),"4")</f>
        <v>4</v>
      </c>
      <c r="V521" s="6" t="str">
        <f>IFERROR(__xludf.DUMMYFUNCTION("""COMPUTED_VALUE"""),"")</f>
        <v/>
      </c>
      <c r="W521" s="6" t="str">
        <f>IFERROR(__xludf.DUMMYFUNCTION("""COMPUTED_VALUE"""),"[]")</f>
        <v>[]</v>
      </c>
      <c r="X521" s="6" t="str">
        <f>IFERROR(__xludf.DUMMYFUNCTION("""COMPUTED_VALUE"""),"Enrolled")</f>
        <v>Enrolled</v>
      </c>
    </row>
    <row r="522">
      <c r="A522" s="6" t="str">
        <f>IFERROR(__xludf.DUMMYFUNCTION("""COMPUTED_VALUE"""),"000-8941")</f>
        <v>000-8941</v>
      </c>
      <c r="B522" s="6" t="str">
        <f>IFERROR(__xludf.DUMMYFUNCTION("""COMPUTED_VALUE"""),"0")</f>
        <v>0</v>
      </c>
      <c r="C522" s="6" t="str">
        <f>IFERROR(__xludf.DUMMYFUNCTION("""COMPUTED_VALUE"""),"8941")</f>
        <v>8941</v>
      </c>
      <c r="D522" s="6" t="str">
        <f>IFERROR(__xludf.DUMMYFUNCTION("""COMPUTED_VALUE"""),"E")</f>
        <v>E</v>
      </c>
      <c r="E522" s="6" t="str">
        <f>IFERROR(__xludf.DUMMYFUNCTION("""COMPUTED_VALUE"""),"")</f>
        <v/>
      </c>
      <c r="F522" s="6" t="str">
        <f>IFERROR(__xludf.DUMMYFUNCTION("""COMPUTED_VALUE"""),"Anderson")</f>
        <v>Anderson</v>
      </c>
      <c r="G522" s="6" t="str">
        <f>IFERROR(__xludf.DUMMYFUNCTION("""COMPUTED_VALUE"""),"04/04/2013")</f>
        <v>04/04/2013</v>
      </c>
      <c r="H522" s="6" t="str">
        <f>IFERROR(__xludf.DUMMYFUNCTION("""COMPUTED_VALUE"""),"male")</f>
        <v>male</v>
      </c>
      <c r="I522" s="6" t="str">
        <f>IFERROR(__xludf.DUMMYFUNCTION("""COMPUTED_VALUE"""),"Middle School")</f>
        <v>Middle School</v>
      </c>
      <c r="J522" s="6" t="str">
        <f>IFERROR(__xludf.DUMMYFUNCTION("""COMPUTED_VALUE"""),"7")</f>
        <v>7</v>
      </c>
      <c r="K522" s="6" t="str">
        <f>IFERROR(__xludf.DUMMYFUNCTION("""COMPUTED_VALUE"""),"e.anderson@2hourlearning.com")</f>
        <v>e.anderson@2hourlearning.com</v>
      </c>
      <c r="L522" s="6" t="str">
        <f>IFERROR(__xludf.DUMMYFUNCTION("""COMPUTED_VALUE"""),"Alpha Anywhere (homeschool)")</f>
        <v>Alpha Anywhere (homeschool)</v>
      </c>
      <c r="M522" s="6" t="str">
        <f>IFERROR(__xludf.DUMMYFUNCTION("""COMPUTED_VALUE"""),"")</f>
        <v/>
      </c>
      <c r="N522" s="6" t="str">
        <f>IFERROR(__xludf.DUMMYFUNCTION("""COMPUTED_VALUE"""),"")</f>
        <v/>
      </c>
      <c r="O522" s="87" t="str">
        <f>IFERROR(__xludf.DUMMYFUNCTION("""COMPUTED_VALUE"""),"https://drive.google.com/drive/folders/10T2cTQHqEJZqE-st6uFKPoI?usp=share_link")</f>
        <v>https://drive.google.com/drive/folders/10T2cTQHqEJZqE-st6uFKPoI?usp=share_link</v>
      </c>
      <c r="P522" s="6" t="str">
        <f>IFERROR(__xludf.DUMMYFUNCTION("""COMPUTED_VALUE"""),"E Anderson")</f>
        <v>E Anderson</v>
      </c>
      <c r="Q522" s="6" t="str">
        <f>IFERROR(__xludf.DUMMYFUNCTION("""COMPUTED_VALUE"""),"MS")</f>
        <v>MS</v>
      </c>
      <c r="R522" s="6">
        <f>IFERROR(__xludf.DUMMYFUNCTION("""COMPUTED_VALUE"""),0.0)</f>
        <v>0</v>
      </c>
      <c r="S522" s="6" t="str">
        <f>IFERROR(__xludf.DUMMYFUNCTION("""COMPUTED_VALUE""")," ")</f>
        <v> </v>
      </c>
      <c r="T522" s="6" t="str">
        <f>IFERROR(__xludf.DUMMYFUNCTION("""COMPUTED_VALUE"""),"")</f>
        <v/>
      </c>
      <c r="U522" s="6" t="str">
        <f>IFERROR(__xludf.DUMMYFUNCTION("""COMPUTED_VALUE"""),"7")</f>
        <v>7</v>
      </c>
      <c r="V522" s="6" t="str">
        <f>IFERROR(__xludf.DUMMYFUNCTION("""COMPUTED_VALUE"""),"")</f>
        <v/>
      </c>
      <c r="W522" s="6" t="str">
        <f>IFERROR(__xludf.DUMMYFUNCTION("""COMPUTED_VALUE"""),"[]")</f>
        <v>[]</v>
      </c>
      <c r="X522" s="6" t="str">
        <f>IFERROR(__xludf.DUMMYFUNCTION("""COMPUTED_VALUE"""),"Enrolled")</f>
        <v>Enrolled</v>
      </c>
    </row>
    <row r="523">
      <c r="A523" s="6" t="str">
        <f>IFERROR(__xludf.DUMMYFUNCTION("""COMPUTED_VALUE"""),"000-8952")</f>
        <v>000-8952</v>
      </c>
      <c r="B523" s="6" t="str">
        <f>IFERROR(__xludf.DUMMYFUNCTION("""COMPUTED_VALUE"""),"0")</f>
        <v>0</v>
      </c>
      <c r="C523" s="6" t="str">
        <f>IFERROR(__xludf.DUMMYFUNCTION("""COMPUTED_VALUE"""),"8952")</f>
        <v>8952</v>
      </c>
      <c r="D523" s="6" t="str">
        <f>IFERROR(__xludf.DUMMYFUNCTION("""COMPUTED_VALUE"""),"Olivia")</f>
        <v>Olivia</v>
      </c>
      <c r="E523" s="6" t="str">
        <f>IFERROR(__xludf.DUMMYFUNCTION("""COMPUTED_VALUE"""),"")</f>
        <v/>
      </c>
      <c r="F523" s="6" t="str">
        <f>IFERROR(__xludf.DUMMYFUNCTION("""COMPUTED_VALUE"""),"Lee")</f>
        <v>Lee</v>
      </c>
      <c r="G523" s="6" t="str">
        <f>IFERROR(__xludf.DUMMYFUNCTION("""COMPUTED_VALUE"""),"02/25/2016")</f>
        <v>02/25/2016</v>
      </c>
      <c r="H523" s="6" t="str">
        <f>IFERROR(__xludf.DUMMYFUNCTION("""COMPUTED_VALUE"""),"female")</f>
        <v>female</v>
      </c>
      <c r="I523" s="6" t="str">
        <f>IFERROR(__xludf.DUMMYFUNCTION("""COMPUTED_VALUE"""),"Level 2")</f>
        <v>Level 2</v>
      </c>
      <c r="J523" s="6" t="str">
        <f>IFERROR(__xludf.DUMMYFUNCTION("""COMPUTED_VALUE"""),"4")</f>
        <v>4</v>
      </c>
      <c r="K523" s="6" t="str">
        <f>IFERROR(__xludf.DUMMYFUNCTION("""COMPUTED_VALUE"""),"olivia.lee@2hourlearning.com")</f>
        <v>olivia.lee@2hourlearning.com</v>
      </c>
      <c r="L523" s="6" t="str">
        <f>IFERROR(__xludf.DUMMYFUNCTION("""COMPUTED_VALUE"""),"Alpha Anywhere (homeschool)")</f>
        <v>Alpha Anywhere (homeschool)</v>
      </c>
      <c r="M523" s="6" t="str">
        <f>IFERROR(__xludf.DUMMYFUNCTION("""COMPUTED_VALUE"""),"")</f>
        <v/>
      </c>
      <c r="N523" s="6" t="str">
        <f>IFERROR(__xludf.DUMMYFUNCTION("""COMPUTED_VALUE"""),"")</f>
        <v/>
      </c>
      <c r="O523" s="87" t="str">
        <f>IFERROR(__xludf.DUMMYFUNCTION("""COMPUTED_VALUE"""),"https://drive.google.com/drive/folders/10T2cTQHqEJZqE-st6uFKPoI?usp=share_link")</f>
        <v>https://drive.google.com/drive/folders/10T2cTQHqEJZqE-st6uFKPoI?usp=share_link</v>
      </c>
      <c r="P523" s="6" t="str">
        <f>IFERROR(__xludf.DUMMYFUNCTION("""COMPUTED_VALUE"""),"Olivia Lee")</f>
        <v>Olivia Lee</v>
      </c>
      <c r="Q523" s="6" t="str">
        <f>IFERROR(__xludf.DUMMYFUNCTION("""COMPUTED_VALUE"""),"L2")</f>
        <v>L2</v>
      </c>
      <c r="R523" s="6">
        <f>IFERROR(__xludf.DUMMYFUNCTION("""COMPUTED_VALUE"""),2.0)</f>
        <v>2</v>
      </c>
      <c r="S523" s="6" t="str">
        <f>IFERROR(__xludf.DUMMYFUNCTION("""COMPUTED_VALUE""")," ")</f>
        <v> </v>
      </c>
      <c r="T523" s="6" t="str">
        <f>IFERROR(__xludf.DUMMYFUNCTION("""COMPUTED_VALUE"""),"")</f>
        <v/>
      </c>
      <c r="U523" s="6" t="str">
        <f>IFERROR(__xludf.DUMMYFUNCTION("""COMPUTED_VALUE"""),"4")</f>
        <v>4</v>
      </c>
      <c r="V523" s="6" t="str">
        <f>IFERROR(__xludf.DUMMYFUNCTION("""COMPUTED_VALUE"""),"")</f>
        <v/>
      </c>
      <c r="W523" s="6" t="str">
        <f>IFERROR(__xludf.DUMMYFUNCTION("""COMPUTED_VALUE"""),"[]")</f>
        <v>[]</v>
      </c>
      <c r="X523" s="6" t="str">
        <f>IFERROR(__xludf.DUMMYFUNCTION("""COMPUTED_VALUE"""),"Enrolled")</f>
        <v>Enrolled</v>
      </c>
    </row>
    <row r="524">
      <c r="A524" s="6" t="str">
        <f>IFERROR(__xludf.DUMMYFUNCTION("""COMPUTED_VALUE"""),"000-8959")</f>
        <v>000-8959</v>
      </c>
      <c r="B524" s="6" t="str">
        <f>IFERROR(__xludf.DUMMYFUNCTION("""COMPUTED_VALUE"""),"0")</f>
        <v>0</v>
      </c>
      <c r="C524" s="6" t="str">
        <f>IFERROR(__xludf.DUMMYFUNCTION("""COMPUTED_VALUE"""),"8959")</f>
        <v>8959</v>
      </c>
      <c r="D524" s="6" t="str">
        <f>IFERROR(__xludf.DUMMYFUNCTION("""COMPUTED_VALUE"""),"ryuuunosuke")</f>
        <v>ryuuunosuke</v>
      </c>
      <c r="E524" s="6" t="str">
        <f>IFERROR(__xludf.DUMMYFUNCTION("""COMPUTED_VALUE"""),"")</f>
        <v/>
      </c>
      <c r="F524" s="6" t="str">
        <f>IFERROR(__xludf.DUMMYFUNCTION("""COMPUTED_VALUE"""),"fujii")</f>
        <v>fujii</v>
      </c>
      <c r="G524" s="6" t="str">
        <f>IFERROR(__xludf.DUMMYFUNCTION("""COMPUTED_VALUE"""),"06/09/2017")</f>
        <v>06/09/2017</v>
      </c>
      <c r="H524" s="6" t="str">
        <f>IFERROR(__xludf.DUMMYFUNCTION("""COMPUTED_VALUE"""),"male")</f>
        <v>male</v>
      </c>
      <c r="I524" s="6" t="str">
        <f>IFERROR(__xludf.DUMMYFUNCTION("""COMPUTED_VALUE"""),"Learning Lab")</f>
        <v>Learning Lab</v>
      </c>
      <c r="J524" s="6" t="str">
        <f>IFERROR(__xludf.DUMMYFUNCTION("""COMPUTED_VALUE"""),"1")</f>
        <v>1</v>
      </c>
      <c r="K524" s="6" t="str">
        <f>IFERROR(__xludf.DUMMYFUNCTION("""COMPUTED_VALUE"""),"ryuuunosuke.fujii@2hourlearning.com")</f>
        <v>ryuuunosuke.fujii@2hourlearning.com</v>
      </c>
      <c r="L524" s="6" t="str">
        <f>IFERROR(__xludf.DUMMYFUNCTION("""COMPUTED_VALUE"""),"Alpha Anywhere (homeschool)")</f>
        <v>Alpha Anywhere (homeschool)</v>
      </c>
      <c r="M524" s="6" t="str">
        <f>IFERROR(__xludf.DUMMYFUNCTION("""COMPUTED_VALUE"""),"")</f>
        <v/>
      </c>
      <c r="N524" s="6" t="str">
        <f>IFERROR(__xludf.DUMMYFUNCTION("""COMPUTED_VALUE"""),"")</f>
        <v/>
      </c>
      <c r="O524" s="87" t="str">
        <f>IFERROR(__xludf.DUMMYFUNCTION("""COMPUTED_VALUE"""),"https://drive.google.com/drive/folders/10T2cTQHqEJZqE-st6uFKPoI?usp=share_link")</f>
        <v>https://drive.google.com/drive/folders/10T2cTQHqEJZqE-st6uFKPoI?usp=share_link</v>
      </c>
      <c r="P524" s="6" t="str">
        <f>IFERROR(__xludf.DUMMYFUNCTION("""COMPUTED_VALUE"""),"ryuuunosuke fujii")</f>
        <v>ryuuunosuke fujii</v>
      </c>
      <c r="Q524" s="6" t="str">
        <f>IFERROR(__xludf.DUMMYFUNCTION("""COMPUTED_VALUE"""),"LL")</f>
        <v>LL</v>
      </c>
      <c r="R524" s="6">
        <f>IFERROR(__xludf.DUMMYFUNCTION("""COMPUTED_VALUE"""),0.0)</f>
        <v>0</v>
      </c>
      <c r="S524" s="6" t="str">
        <f>IFERROR(__xludf.DUMMYFUNCTION("""COMPUTED_VALUE""")," ")</f>
        <v> </v>
      </c>
      <c r="T524" s="6" t="str">
        <f>IFERROR(__xludf.DUMMYFUNCTION("""COMPUTED_VALUE"""),"")</f>
        <v/>
      </c>
      <c r="U524" s="6" t="str">
        <f>IFERROR(__xludf.DUMMYFUNCTION("""COMPUTED_VALUE"""),"1")</f>
        <v>1</v>
      </c>
      <c r="V524" s="6" t="str">
        <f>IFERROR(__xludf.DUMMYFUNCTION("""COMPUTED_VALUE"""),"")</f>
        <v/>
      </c>
      <c r="W524" s="6" t="str">
        <f>IFERROR(__xludf.DUMMYFUNCTION("""COMPUTED_VALUE"""),"[]")</f>
        <v>[]</v>
      </c>
      <c r="X524" s="6" t="str">
        <f>IFERROR(__xludf.DUMMYFUNCTION("""COMPUTED_VALUE"""),"Enrolled")</f>
        <v>Enrolled</v>
      </c>
    </row>
    <row r="525">
      <c r="A525" s="6" t="str">
        <f>IFERROR(__xludf.DUMMYFUNCTION("""COMPUTED_VALUE"""),"000-8962")</f>
        <v>000-8962</v>
      </c>
      <c r="B525" s="6" t="str">
        <f>IFERROR(__xludf.DUMMYFUNCTION("""COMPUTED_VALUE"""),"0")</f>
        <v>0</v>
      </c>
      <c r="C525" s="6" t="str">
        <f>IFERROR(__xludf.DUMMYFUNCTION("""COMPUTED_VALUE"""),"8962")</f>
        <v>8962</v>
      </c>
      <c r="D525" s="6" t="str">
        <f>IFERROR(__xludf.DUMMYFUNCTION("""COMPUTED_VALUE"""),"Maxx")</f>
        <v>Maxx</v>
      </c>
      <c r="E525" s="6" t="str">
        <f>IFERROR(__xludf.DUMMYFUNCTION("""COMPUTED_VALUE"""),"")</f>
        <v/>
      </c>
      <c r="F525" s="6" t="str">
        <f>IFERROR(__xludf.DUMMYFUNCTION("""COMPUTED_VALUE"""),"Butler")</f>
        <v>Butler</v>
      </c>
      <c r="G525" s="6" t="str">
        <f>IFERROR(__xludf.DUMMYFUNCTION("""COMPUTED_VALUE"""),"09/23/2012")</f>
        <v>09/23/2012</v>
      </c>
      <c r="H525" s="6" t="str">
        <f>IFERROR(__xludf.DUMMYFUNCTION("""COMPUTED_VALUE"""),"male")</f>
        <v>male</v>
      </c>
      <c r="I525" s="6" t="str">
        <f>IFERROR(__xludf.DUMMYFUNCTION("""COMPUTED_VALUE"""),"Middle School")</f>
        <v>Middle School</v>
      </c>
      <c r="J525" s="6" t="str">
        <f>IFERROR(__xludf.DUMMYFUNCTION("""COMPUTED_VALUE"""),"8")</f>
        <v>8</v>
      </c>
      <c r="K525" s="6" t="str">
        <f>IFERROR(__xludf.DUMMYFUNCTION("""COMPUTED_VALUE"""),"maxx.butler@2hourlearning.com")</f>
        <v>maxx.butler@2hourlearning.com</v>
      </c>
      <c r="L525" s="6" t="str">
        <f>IFERROR(__xludf.DUMMYFUNCTION("""COMPUTED_VALUE"""),"Alpha Anywhere (homeschool)")</f>
        <v>Alpha Anywhere (homeschool)</v>
      </c>
      <c r="M525" s="6" t="str">
        <f>IFERROR(__xludf.DUMMYFUNCTION("""COMPUTED_VALUE"""),"")</f>
        <v/>
      </c>
      <c r="N525" s="6" t="str">
        <f>IFERROR(__xludf.DUMMYFUNCTION("""COMPUTED_VALUE"""),"")</f>
        <v/>
      </c>
      <c r="O525" s="87" t="str">
        <f>IFERROR(__xludf.DUMMYFUNCTION("""COMPUTED_VALUE"""),"https://drive.google.com/drive/folders/10T2cTQHqEJZqE-st6uFKPoI?usp=share_link")</f>
        <v>https://drive.google.com/drive/folders/10T2cTQHqEJZqE-st6uFKPoI?usp=share_link</v>
      </c>
      <c r="P525" s="6" t="str">
        <f>IFERROR(__xludf.DUMMYFUNCTION("""COMPUTED_VALUE"""),"Maxx Butler")</f>
        <v>Maxx Butler</v>
      </c>
      <c r="Q525" s="6" t="str">
        <f>IFERROR(__xludf.DUMMYFUNCTION("""COMPUTED_VALUE"""),"MS")</f>
        <v>MS</v>
      </c>
      <c r="R525" s="6">
        <f>IFERROR(__xludf.DUMMYFUNCTION("""COMPUTED_VALUE"""),0.0)</f>
        <v>0</v>
      </c>
      <c r="S525" s="6" t="str">
        <f>IFERROR(__xludf.DUMMYFUNCTION("""COMPUTED_VALUE""")," ")</f>
        <v> </v>
      </c>
      <c r="T525" s="6" t="str">
        <f>IFERROR(__xludf.DUMMYFUNCTION("""COMPUTED_VALUE"""),"")</f>
        <v/>
      </c>
      <c r="U525" s="6" t="str">
        <f>IFERROR(__xludf.DUMMYFUNCTION("""COMPUTED_VALUE"""),"8")</f>
        <v>8</v>
      </c>
      <c r="V525" s="6" t="str">
        <f>IFERROR(__xludf.DUMMYFUNCTION("""COMPUTED_VALUE"""),"")</f>
        <v/>
      </c>
      <c r="W525" s="6" t="str">
        <f>IFERROR(__xludf.DUMMYFUNCTION("""COMPUTED_VALUE"""),"[]")</f>
        <v>[]</v>
      </c>
      <c r="X525" s="6" t="str">
        <f>IFERROR(__xludf.DUMMYFUNCTION("""COMPUTED_VALUE"""),"Enrolled")</f>
        <v>Enrolled</v>
      </c>
    </row>
    <row r="526">
      <c r="A526" s="6" t="str">
        <f>IFERROR(__xludf.DUMMYFUNCTION("""COMPUTED_VALUE"""),"000-8967")</f>
        <v>000-8967</v>
      </c>
      <c r="B526" s="6" t="str">
        <f>IFERROR(__xludf.DUMMYFUNCTION("""COMPUTED_VALUE"""),"0")</f>
        <v>0</v>
      </c>
      <c r="C526" s="6" t="str">
        <f>IFERROR(__xludf.DUMMYFUNCTION("""COMPUTED_VALUE"""),"8967")</f>
        <v>8967</v>
      </c>
      <c r="D526" s="6" t="str">
        <f>IFERROR(__xludf.DUMMYFUNCTION("""COMPUTED_VALUE"""),"Lily")</f>
        <v>Lily</v>
      </c>
      <c r="E526" s="6" t="str">
        <f>IFERROR(__xludf.DUMMYFUNCTION("""COMPUTED_VALUE"""),"")</f>
        <v/>
      </c>
      <c r="F526" s="6" t="str">
        <f>IFERROR(__xludf.DUMMYFUNCTION("""COMPUTED_VALUE"""),"Blaich")</f>
        <v>Blaich</v>
      </c>
      <c r="G526" s="6" t="str">
        <f>IFERROR(__xludf.DUMMYFUNCTION("""COMPUTED_VALUE"""),"08/21/2016")</f>
        <v>08/21/2016</v>
      </c>
      <c r="H526" s="6" t="str">
        <f>IFERROR(__xludf.DUMMYFUNCTION("""COMPUTED_VALUE"""),"female")</f>
        <v>female</v>
      </c>
      <c r="I526" s="6" t="str">
        <f>IFERROR(__xludf.DUMMYFUNCTION("""COMPUTED_VALUE"""),"Level 2")</f>
        <v>Level 2</v>
      </c>
      <c r="J526" s="6" t="str">
        <f>IFERROR(__xludf.DUMMYFUNCTION("""COMPUTED_VALUE"""),"4")</f>
        <v>4</v>
      </c>
      <c r="K526" s="6" t="str">
        <f>IFERROR(__xludf.DUMMYFUNCTION("""COMPUTED_VALUE"""),"lily.blaich@2hourlearning.com")</f>
        <v>lily.blaich@2hourlearning.com</v>
      </c>
      <c r="L526" s="6" t="str">
        <f>IFERROR(__xludf.DUMMYFUNCTION("""COMPUTED_VALUE"""),"Alpha Anywhere (homeschool)")</f>
        <v>Alpha Anywhere (homeschool)</v>
      </c>
      <c r="M526" s="6" t="str">
        <f>IFERROR(__xludf.DUMMYFUNCTION("""COMPUTED_VALUE"""),"")</f>
        <v/>
      </c>
      <c r="N526" s="6" t="str">
        <f>IFERROR(__xludf.DUMMYFUNCTION("""COMPUTED_VALUE"""),"")</f>
        <v/>
      </c>
      <c r="O526" s="87" t="str">
        <f>IFERROR(__xludf.DUMMYFUNCTION("""COMPUTED_VALUE"""),"https://drive.google.com/drive/folders/10T2cTQHqEJZqE-st6uFKPoI?usp=share_link")</f>
        <v>https://drive.google.com/drive/folders/10T2cTQHqEJZqE-st6uFKPoI?usp=share_link</v>
      </c>
      <c r="P526" s="6" t="str">
        <f>IFERROR(__xludf.DUMMYFUNCTION("""COMPUTED_VALUE"""),"Lily Blaich")</f>
        <v>Lily Blaich</v>
      </c>
      <c r="Q526" s="6" t="str">
        <f>IFERROR(__xludf.DUMMYFUNCTION("""COMPUTED_VALUE"""),"L2")</f>
        <v>L2</v>
      </c>
      <c r="R526" s="6">
        <f>IFERROR(__xludf.DUMMYFUNCTION("""COMPUTED_VALUE"""),2.0)</f>
        <v>2</v>
      </c>
      <c r="S526" s="6" t="str">
        <f>IFERROR(__xludf.DUMMYFUNCTION("""COMPUTED_VALUE""")," ")</f>
        <v> </v>
      </c>
      <c r="T526" s="6" t="str">
        <f>IFERROR(__xludf.DUMMYFUNCTION("""COMPUTED_VALUE"""),"")</f>
        <v/>
      </c>
      <c r="U526" s="6" t="str">
        <f>IFERROR(__xludf.DUMMYFUNCTION("""COMPUTED_VALUE"""),"4")</f>
        <v>4</v>
      </c>
      <c r="V526" s="6" t="str">
        <f>IFERROR(__xludf.DUMMYFUNCTION("""COMPUTED_VALUE"""),"")</f>
        <v/>
      </c>
      <c r="W526" s="6" t="str">
        <f>IFERROR(__xludf.DUMMYFUNCTION("""COMPUTED_VALUE"""),"[]")</f>
        <v>[]</v>
      </c>
      <c r="X526" s="6" t="str">
        <f>IFERROR(__xludf.DUMMYFUNCTION("""COMPUTED_VALUE"""),"Enrolled")</f>
        <v>Enrolled</v>
      </c>
    </row>
    <row r="527">
      <c r="A527" s="6" t="str">
        <f>IFERROR(__xludf.DUMMYFUNCTION("""COMPUTED_VALUE"""),"000-9006")</f>
        <v>000-9006</v>
      </c>
      <c r="B527" s="6" t="str">
        <f>IFERROR(__xludf.DUMMYFUNCTION("""COMPUTED_VALUE"""),"0")</f>
        <v>0</v>
      </c>
      <c r="C527" s="6" t="str">
        <f>IFERROR(__xludf.DUMMYFUNCTION("""COMPUTED_VALUE"""),"9006")</f>
        <v>9006</v>
      </c>
      <c r="D527" s="6" t="str">
        <f>IFERROR(__xludf.DUMMYFUNCTION("""COMPUTED_VALUE"""),"Stone")</f>
        <v>Stone</v>
      </c>
      <c r="E527" s="6" t="str">
        <f>IFERROR(__xludf.DUMMYFUNCTION("""COMPUTED_VALUE"""),"")</f>
        <v/>
      </c>
      <c r="F527" s="6" t="str">
        <f>IFERROR(__xludf.DUMMYFUNCTION("""COMPUTED_VALUE"""),"Candelaria")</f>
        <v>Candelaria</v>
      </c>
      <c r="G527" s="6" t="str">
        <f>IFERROR(__xludf.DUMMYFUNCTION("""COMPUTED_VALUE"""),"12/05/2011")</f>
        <v>12/05/2011</v>
      </c>
      <c r="H527" s="6" t="str">
        <f>IFERROR(__xludf.DUMMYFUNCTION("""COMPUTED_VALUE"""),"male")</f>
        <v>male</v>
      </c>
      <c r="I527" s="6" t="str">
        <f>IFERROR(__xludf.DUMMYFUNCTION("""COMPUTED_VALUE"""),"Middle School")</f>
        <v>Middle School</v>
      </c>
      <c r="J527" s="6" t="str">
        <f>IFERROR(__xludf.DUMMYFUNCTION("""COMPUTED_VALUE"""),"8")</f>
        <v>8</v>
      </c>
      <c r="K527" s="6" t="str">
        <f>IFERROR(__xludf.DUMMYFUNCTION("""COMPUTED_VALUE"""),"stone.candelaria@2hourlearning.com")</f>
        <v>stone.candelaria@2hourlearning.com</v>
      </c>
      <c r="L527" s="6" t="str">
        <f>IFERROR(__xludf.DUMMYFUNCTION("""COMPUTED_VALUE"""),"Alpha Anywhere (homeschool)")</f>
        <v>Alpha Anywhere (homeschool)</v>
      </c>
      <c r="M527" s="6" t="str">
        <f>IFERROR(__xludf.DUMMYFUNCTION("""COMPUTED_VALUE"""),"")</f>
        <v/>
      </c>
      <c r="N527" s="6" t="str">
        <f>IFERROR(__xludf.DUMMYFUNCTION("""COMPUTED_VALUE"""),"")</f>
        <v/>
      </c>
      <c r="O527" s="87" t="str">
        <f>IFERROR(__xludf.DUMMYFUNCTION("""COMPUTED_VALUE"""),"https://drive.google.com/drive/folders/10T2cTQHqEJZqE-st6uFKPoI?usp=share_link")</f>
        <v>https://drive.google.com/drive/folders/10T2cTQHqEJZqE-st6uFKPoI?usp=share_link</v>
      </c>
      <c r="P527" s="6" t="str">
        <f>IFERROR(__xludf.DUMMYFUNCTION("""COMPUTED_VALUE"""),"Stone Candelaria")</f>
        <v>Stone Candelaria</v>
      </c>
      <c r="Q527" s="6" t="str">
        <f>IFERROR(__xludf.DUMMYFUNCTION("""COMPUTED_VALUE"""),"MS")</f>
        <v>MS</v>
      </c>
      <c r="R527" s="6">
        <f>IFERROR(__xludf.DUMMYFUNCTION("""COMPUTED_VALUE"""),0.0)</f>
        <v>0</v>
      </c>
      <c r="S527" s="6" t="str">
        <f>IFERROR(__xludf.DUMMYFUNCTION("""COMPUTED_VALUE""")," ")</f>
        <v> </v>
      </c>
      <c r="T527" s="6" t="str">
        <f>IFERROR(__xludf.DUMMYFUNCTION("""COMPUTED_VALUE"""),"")</f>
        <v/>
      </c>
      <c r="U527" s="6" t="str">
        <f>IFERROR(__xludf.DUMMYFUNCTION("""COMPUTED_VALUE"""),"8")</f>
        <v>8</v>
      </c>
      <c r="V527" s="6" t="str">
        <f>IFERROR(__xludf.DUMMYFUNCTION("""COMPUTED_VALUE"""),"")</f>
        <v/>
      </c>
      <c r="W527" s="6" t="str">
        <f>IFERROR(__xludf.DUMMYFUNCTION("""COMPUTED_VALUE"""),"[]")</f>
        <v>[]</v>
      </c>
      <c r="X527" s="6" t="str">
        <f>IFERROR(__xludf.DUMMYFUNCTION("""COMPUTED_VALUE"""),"Enrolled")</f>
        <v>Enrolled</v>
      </c>
    </row>
    <row r="528">
      <c r="A528" s="6" t="str">
        <f>IFERROR(__xludf.DUMMYFUNCTION("""COMPUTED_VALUE"""),"000-9012")</f>
        <v>000-9012</v>
      </c>
      <c r="B528" s="6" t="str">
        <f>IFERROR(__xludf.DUMMYFUNCTION("""COMPUTED_VALUE"""),"0")</f>
        <v>0</v>
      </c>
      <c r="C528" s="6" t="str">
        <f>IFERROR(__xludf.DUMMYFUNCTION("""COMPUTED_VALUE"""),"9012")</f>
        <v>9012</v>
      </c>
      <c r="D528" s="6" t="str">
        <f>IFERROR(__xludf.DUMMYFUNCTION("""COMPUTED_VALUE"""),"Mason")</f>
        <v>Mason</v>
      </c>
      <c r="E528" s="6" t="str">
        <f>IFERROR(__xludf.DUMMYFUNCTION("""COMPUTED_VALUE"""),"")</f>
        <v/>
      </c>
      <c r="F528" s="6" t="str">
        <f>IFERROR(__xludf.DUMMYFUNCTION("""COMPUTED_VALUE"""),"Fulgencio")</f>
        <v>Fulgencio</v>
      </c>
      <c r="G528" s="6" t="str">
        <f>IFERROR(__xludf.DUMMYFUNCTION("""COMPUTED_VALUE"""),"10/25/2015")</f>
        <v>10/25/2015</v>
      </c>
      <c r="H528" s="6" t="str">
        <f>IFERROR(__xludf.DUMMYFUNCTION("""COMPUTED_VALUE"""),"male")</f>
        <v>male</v>
      </c>
      <c r="I528" s="6" t="str">
        <f>IFERROR(__xludf.DUMMYFUNCTION("""COMPUTED_VALUE"""),"Level 2")</f>
        <v>Level 2</v>
      </c>
      <c r="J528" s="6" t="str">
        <f>IFERROR(__xludf.DUMMYFUNCTION("""COMPUTED_VALUE"""),"4")</f>
        <v>4</v>
      </c>
      <c r="K528" s="6" t="str">
        <f>IFERROR(__xludf.DUMMYFUNCTION("""COMPUTED_VALUE"""),"mason.fulgencio@2hourlearning.com")</f>
        <v>mason.fulgencio@2hourlearning.com</v>
      </c>
      <c r="L528" s="6" t="str">
        <f>IFERROR(__xludf.DUMMYFUNCTION("""COMPUTED_VALUE"""),"Alpha Anywhere (homeschool)")</f>
        <v>Alpha Anywhere (homeschool)</v>
      </c>
      <c r="M528" s="6" t="str">
        <f>IFERROR(__xludf.DUMMYFUNCTION("""COMPUTED_VALUE"""),"")</f>
        <v/>
      </c>
      <c r="N528" s="6" t="str">
        <f>IFERROR(__xludf.DUMMYFUNCTION("""COMPUTED_VALUE"""),"")</f>
        <v/>
      </c>
      <c r="O528" s="87" t="str">
        <f>IFERROR(__xludf.DUMMYFUNCTION("""COMPUTED_VALUE"""),"https://drive.google.com/drive/folders/10T2cTQHqEJZqE-st6uFKPoI?usp=share_link")</f>
        <v>https://drive.google.com/drive/folders/10T2cTQHqEJZqE-st6uFKPoI?usp=share_link</v>
      </c>
      <c r="P528" s="6" t="str">
        <f>IFERROR(__xludf.DUMMYFUNCTION("""COMPUTED_VALUE"""),"Mason Fulgencio")</f>
        <v>Mason Fulgencio</v>
      </c>
      <c r="Q528" s="6" t="str">
        <f>IFERROR(__xludf.DUMMYFUNCTION("""COMPUTED_VALUE"""),"L2")</f>
        <v>L2</v>
      </c>
      <c r="R528" s="6">
        <f>IFERROR(__xludf.DUMMYFUNCTION("""COMPUTED_VALUE"""),2.0)</f>
        <v>2</v>
      </c>
      <c r="S528" s="6" t="str">
        <f>IFERROR(__xludf.DUMMYFUNCTION("""COMPUTED_VALUE""")," ")</f>
        <v> </v>
      </c>
      <c r="T528" s="6" t="str">
        <f>IFERROR(__xludf.DUMMYFUNCTION("""COMPUTED_VALUE"""),"")</f>
        <v/>
      </c>
      <c r="U528" s="6" t="str">
        <f>IFERROR(__xludf.DUMMYFUNCTION("""COMPUTED_VALUE"""),"4")</f>
        <v>4</v>
      </c>
      <c r="V528" s="6" t="str">
        <f>IFERROR(__xludf.DUMMYFUNCTION("""COMPUTED_VALUE"""),"")</f>
        <v/>
      </c>
      <c r="W528" s="6" t="str">
        <f>IFERROR(__xludf.DUMMYFUNCTION("""COMPUTED_VALUE"""),"[]")</f>
        <v>[]</v>
      </c>
      <c r="X528" s="6" t="str">
        <f>IFERROR(__xludf.DUMMYFUNCTION("""COMPUTED_VALUE"""),"Enrolled")</f>
        <v>Enrolled</v>
      </c>
    </row>
    <row r="529">
      <c r="A529" s="6" t="str">
        <f>IFERROR(__xludf.DUMMYFUNCTION("""COMPUTED_VALUE"""),"000-9013")</f>
        <v>000-9013</v>
      </c>
      <c r="B529" s="6" t="str">
        <f>IFERROR(__xludf.DUMMYFUNCTION("""COMPUTED_VALUE"""),"0")</f>
        <v>0</v>
      </c>
      <c r="C529" s="6" t="str">
        <f>IFERROR(__xludf.DUMMYFUNCTION("""COMPUTED_VALUE"""),"9013")</f>
        <v>9013</v>
      </c>
      <c r="D529" s="6" t="str">
        <f>IFERROR(__xludf.DUMMYFUNCTION("""COMPUTED_VALUE"""),"Hadley")</f>
        <v>Hadley</v>
      </c>
      <c r="E529" s="6" t="str">
        <f>IFERROR(__xludf.DUMMYFUNCTION("""COMPUTED_VALUE"""),"")</f>
        <v/>
      </c>
      <c r="F529" s="6" t="str">
        <f>IFERROR(__xludf.DUMMYFUNCTION("""COMPUTED_VALUE"""),"Fulgencio")</f>
        <v>Fulgencio</v>
      </c>
      <c r="G529" s="6" t="str">
        <f>IFERROR(__xludf.DUMMYFUNCTION("""COMPUTED_VALUE"""),"07/31/2017")</f>
        <v>07/31/2017</v>
      </c>
      <c r="H529" s="6" t="str">
        <f>IFERROR(__xludf.DUMMYFUNCTION("""COMPUTED_VALUE"""),"female")</f>
        <v>female</v>
      </c>
      <c r="I529" s="6" t="str">
        <f>IFERROR(__xludf.DUMMYFUNCTION("""COMPUTED_VALUE"""),"Level 1")</f>
        <v>Level 1</v>
      </c>
      <c r="J529" s="6" t="str">
        <f>IFERROR(__xludf.DUMMYFUNCTION("""COMPUTED_VALUE"""),"3")</f>
        <v>3</v>
      </c>
      <c r="K529" s="6" t="str">
        <f>IFERROR(__xludf.DUMMYFUNCTION("""COMPUTED_VALUE"""),"hadley.fulgencio@2hourlearning.com")</f>
        <v>hadley.fulgencio@2hourlearning.com</v>
      </c>
      <c r="L529" s="6" t="str">
        <f>IFERROR(__xludf.DUMMYFUNCTION("""COMPUTED_VALUE"""),"Alpha Anywhere (homeschool)")</f>
        <v>Alpha Anywhere (homeschool)</v>
      </c>
      <c r="M529" s="6" t="str">
        <f>IFERROR(__xludf.DUMMYFUNCTION("""COMPUTED_VALUE"""),"")</f>
        <v/>
      </c>
      <c r="N529" s="6" t="str">
        <f>IFERROR(__xludf.DUMMYFUNCTION("""COMPUTED_VALUE"""),"")</f>
        <v/>
      </c>
      <c r="O529" s="87" t="str">
        <f>IFERROR(__xludf.DUMMYFUNCTION("""COMPUTED_VALUE"""),"https://drive.google.com/drive/folders/10T2cTQHqEJZqE-st6uFKPoI?usp=share_link")</f>
        <v>https://drive.google.com/drive/folders/10T2cTQHqEJZqE-st6uFKPoI?usp=share_link</v>
      </c>
      <c r="P529" s="6" t="str">
        <f>IFERROR(__xludf.DUMMYFUNCTION("""COMPUTED_VALUE"""),"Hadley Fulgencio")</f>
        <v>Hadley Fulgencio</v>
      </c>
      <c r="Q529" s="6" t="str">
        <f>IFERROR(__xludf.DUMMYFUNCTION("""COMPUTED_VALUE"""),"L1")</f>
        <v>L1</v>
      </c>
      <c r="R529" s="6">
        <f>IFERROR(__xludf.DUMMYFUNCTION("""COMPUTED_VALUE"""),1.0)</f>
        <v>1</v>
      </c>
      <c r="S529" s="6" t="str">
        <f>IFERROR(__xludf.DUMMYFUNCTION("""COMPUTED_VALUE""")," ")</f>
        <v> </v>
      </c>
      <c r="T529" s="6" t="str">
        <f>IFERROR(__xludf.DUMMYFUNCTION("""COMPUTED_VALUE"""),"")</f>
        <v/>
      </c>
      <c r="U529" s="6" t="str">
        <f>IFERROR(__xludf.DUMMYFUNCTION("""COMPUTED_VALUE"""),"3")</f>
        <v>3</v>
      </c>
      <c r="V529" s="6" t="str">
        <f>IFERROR(__xludf.DUMMYFUNCTION("""COMPUTED_VALUE"""),"")</f>
        <v/>
      </c>
      <c r="W529" s="6" t="str">
        <f>IFERROR(__xludf.DUMMYFUNCTION("""COMPUTED_VALUE"""),"[]")</f>
        <v>[]</v>
      </c>
      <c r="X529" s="6" t="str">
        <f>IFERROR(__xludf.DUMMYFUNCTION("""COMPUTED_VALUE"""),"Enrolled")</f>
        <v>Enrolled</v>
      </c>
    </row>
    <row r="530">
      <c r="A530" s="6" t="str">
        <f>IFERROR(__xludf.DUMMYFUNCTION("""COMPUTED_VALUE"""),"000-9030")</f>
        <v>000-9030</v>
      </c>
      <c r="B530" s="6" t="str">
        <f>IFERROR(__xludf.DUMMYFUNCTION("""COMPUTED_VALUE"""),"0")</f>
        <v>0</v>
      </c>
      <c r="C530" s="6" t="str">
        <f>IFERROR(__xludf.DUMMYFUNCTION("""COMPUTED_VALUE"""),"9030")</f>
        <v>9030</v>
      </c>
      <c r="D530" s="6" t="str">
        <f>IFERROR(__xludf.DUMMYFUNCTION("""COMPUTED_VALUE"""),"Emmy")</f>
        <v>Emmy</v>
      </c>
      <c r="E530" s="6" t="str">
        <f>IFERROR(__xludf.DUMMYFUNCTION("""COMPUTED_VALUE"""),"")</f>
        <v/>
      </c>
      <c r="F530" s="6" t="str">
        <f>IFERROR(__xludf.DUMMYFUNCTION("""COMPUTED_VALUE"""),"Barteau")</f>
        <v>Barteau</v>
      </c>
      <c r="G530" s="6" t="str">
        <f>IFERROR(__xludf.DUMMYFUNCTION("""COMPUTED_VALUE"""),"05/19/2013")</f>
        <v>05/19/2013</v>
      </c>
      <c r="H530" s="6" t="str">
        <f>IFERROR(__xludf.DUMMYFUNCTION("""COMPUTED_VALUE"""),"female")</f>
        <v>female</v>
      </c>
      <c r="I530" s="6" t="str">
        <f>IFERROR(__xludf.DUMMYFUNCTION("""COMPUTED_VALUE"""),"Middle School")</f>
        <v>Middle School</v>
      </c>
      <c r="J530" s="6" t="str">
        <f>IFERROR(__xludf.DUMMYFUNCTION("""COMPUTED_VALUE"""),"6")</f>
        <v>6</v>
      </c>
      <c r="K530" s="6" t="str">
        <f>IFERROR(__xludf.DUMMYFUNCTION("""COMPUTED_VALUE"""),"emmy.barteau@2hourlearning.com")</f>
        <v>emmy.barteau@2hourlearning.com</v>
      </c>
      <c r="L530" s="6" t="str">
        <f>IFERROR(__xludf.DUMMYFUNCTION("""COMPUTED_VALUE"""),"Alpha Anywhere (homeschool)")</f>
        <v>Alpha Anywhere (homeschool)</v>
      </c>
      <c r="M530" s="6" t="str">
        <f>IFERROR(__xludf.DUMMYFUNCTION("""COMPUTED_VALUE"""),"")</f>
        <v/>
      </c>
      <c r="N530" s="6" t="str">
        <f>IFERROR(__xludf.DUMMYFUNCTION("""COMPUTED_VALUE"""),"")</f>
        <v/>
      </c>
      <c r="O530" s="87" t="str">
        <f>IFERROR(__xludf.DUMMYFUNCTION("""COMPUTED_VALUE"""),"https://drive.google.com/drive/folders/10T2cTQHqEJZqE-st6uFKPoI?usp=share_link")</f>
        <v>https://drive.google.com/drive/folders/10T2cTQHqEJZqE-st6uFKPoI?usp=share_link</v>
      </c>
      <c r="P530" s="6" t="str">
        <f>IFERROR(__xludf.DUMMYFUNCTION("""COMPUTED_VALUE"""),"Emmy Barteau")</f>
        <v>Emmy Barteau</v>
      </c>
      <c r="Q530" s="6" t="str">
        <f>IFERROR(__xludf.DUMMYFUNCTION("""COMPUTED_VALUE"""),"MS")</f>
        <v>MS</v>
      </c>
      <c r="R530" s="6">
        <f>IFERROR(__xludf.DUMMYFUNCTION("""COMPUTED_VALUE"""),0.0)</f>
        <v>0</v>
      </c>
      <c r="S530" s="6" t="str">
        <f>IFERROR(__xludf.DUMMYFUNCTION("""COMPUTED_VALUE""")," ")</f>
        <v> </v>
      </c>
      <c r="T530" s="6" t="str">
        <f>IFERROR(__xludf.DUMMYFUNCTION("""COMPUTED_VALUE"""),"")</f>
        <v/>
      </c>
      <c r="U530" s="6" t="str">
        <f>IFERROR(__xludf.DUMMYFUNCTION("""COMPUTED_VALUE"""),"6")</f>
        <v>6</v>
      </c>
      <c r="V530" s="6" t="str">
        <f>IFERROR(__xludf.DUMMYFUNCTION("""COMPUTED_VALUE"""),"")</f>
        <v/>
      </c>
      <c r="W530" s="6" t="str">
        <f>IFERROR(__xludf.DUMMYFUNCTION("""COMPUTED_VALUE"""),"[]")</f>
        <v>[]</v>
      </c>
      <c r="X530" s="6" t="str">
        <f>IFERROR(__xludf.DUMMYFUNCTION("""COMPUTED_VALUE"""),"Enrolled")</f>
        <v>Enrolled</v>
      </c>
    </row>
    <row r="531">
      <c r="A531" s="6" t="str">
        <f>IFERROR(__xludf.DUMMYFUNCTION("""COMPUTED_VALUE"""),"000-9063")</f>
        <v>000-9063</v>
      </c>
      <c r="B531" s="6" t="str">
        <f>IFERROR(__xludf.DUMMYFUNCTION("""COMPUTED_VALUE"""),"0")</f>
        <v>0</v>
      </c>
      <c r="C531" s="6" t="str">
        <f>IFERROR(__xludf.DUMMYFUNCTION("""COMPUTED_VALUE"""),"9063")</f>
        <v>9063</v>
      </c>
      <c r="D531" s="6" t="str">
        <f>IFERROR(__xludf.DUMMYFUNCTION("""COMPUTED_VALUE"""),"Miya")</f>
        <v>Miya</v>
      </c>
      <c r="E531" s="6" t="str">
        <f>IFERROR(__xludf.DUMMYFUNCTION("""COMPUTED_VALUE"""),"")</f>
        <v/>
      </c>
      <c r="F531" s="6" t="str">
        <f>IFERROR(__xludf.DUMMYFUNCTION("""COMPUTED_VALUE"""),"Bigelow")</f>
        <v>Bigelow</v>
      </c>
      <c r="G531" s="6" t="str">
        <f>IFERROR(__xludf.DUMMYFUNCTION("""COMPUTED_VALUE"""),"07/26/2017")</f>
        <v>07/26/2017</v>
      </c>
      <c r="H531" s="6" t="str">
        <f>IFERROR(__xludf.DUMMYFUNCTION("""COMPUTED_VALUE"""),"female")</f>
        <v>female</v>
      </c>
      <c r="I531" s="6" t="str">
        <f>IFERROR(__xludf.DUMMYFUNCTION("""COMPUTED_VALUE"""),"Level 1")</f>
        <v>Level 1</v>
      </c>
      <c r="J531" s="6" t="str">
        <f>IFERROR(__xludf.DUMMYFUNCTION("""COMPUTED_VALUE"""),"3")</f>
        <v>3</v>
      </c>
      <c r="K531" s="6" t="str">
        <f>IFERROR(__xludf.DUMMYFUNCTION("""COMPUTED_VALUE"""),"miya.bigelow@2hourlearning.com")</f>
        <v>miya.bigelow@2hourlearning.com</v>
      </c>
      <c r="L531" s="6" t="str">
        <f>IFERROR(__xludf.DUMMYFUNCTION("""COMPUTED_VALUE"""),"Alpha Anywhere (homeschool)")</f>
        <v>Alpha Anywhere (homeschool)</v>
      </c>
      <c r="M531" s="6" t="str">
        <f>IFERROR(__xludf.DUMMYFUNCTION("""COMPUTED_VALUE"""),"")</f>
        <v/>
      </c>
      <c r="N531" s="6" t="str">
        <f>IFERROR(__xludf.DUMMYFUNCTION("""COMPUTED_VALUE"""),"")</f>
        <v/>
      </c>
      <c r="O531" s="87" t="str">
        <f>IFERROR(__xludf.DUMMYFUNCTION("""COMPUTED_VALUE"""),"https://drive.google.com/drive/folders/10T2cTQHqEJZqE-st6uFKPoI?usp=share_link")</f>
        <v>https://drive.google.com/drive/folders/10T2cTQHqEJZqE-st6uFKPoI?usp=share_link</v>
      </c>
      <c r="P531" s="6" t="str">
        <f>IFERROR(__xludf.DUMMYFUNCTION("""COMPUTED_VALUE"""),"Miya Bigelow")</f>
        <v>Miya Bigelow</v>
      </c>
      <c r="Q531" s="6" t="str">
        <f>IFERROR(__xludf.DUMMYFUNCTION("""COMPUTED_VALUE"""),"L1")</f>
        <v>L1</v>
      </c>
      <c r="R531" s="6">
        <f>IFERROR(__xludf.DUMMYFUNCTION("""COMPUTED_VALUE"""),1.0)</f>
        <v>1</v>
      </c>
      <c r="S531" s="6" t="str">
        <f>IFERROR(__xludf.DUMMYFUNCTION("""COMPUTED_VALUE""")," ")</f>
        <v> </v>
      </c>
      <c r="T531" s="6" t="str">
        <f>IFERROR(__xludf.DUMMYFUNCTION("""COMPUTED_VALUE"""),"")</f>
        <v/>
      </c>
      <c r="U531" s="6" t="str">
        <f>IFERROR(__xludf.DUMMYFUNCTION("""COMPUTED_VALUE"""),"3")</f>
        <v>3</v>
      </c>
      <c r="V531" s="6" t="str">
        <f>IFERROR(__xludf.DUMMYFUNCTION("""COMPUTED_VALUE"""),"")</f>
        <v/>
      </c>
      <c r="W531" s="6" t="str">
        <f>IFERROR(__xludf.DUMMYFUNCTION("""COMPUTED_VALUE"""),"[]")</f>
        <v>[]</v>
      </c>
      <c r="X531" s="6" t="str">
        <f>IFERROR(__xludf.DUMMYFUNCTION("""COMPUTED_VALUE"""),"Enrolled")</f>
        <v>Enrolled</v>
      </c>
    </row>
    <row r="532">
      <c r="A532" s="6" t="str">
        <f>IFERROR(__xludf.DUMMYFUNCTION("""COMPUTED_VALUE"""),"000-9064")</f>
        <v>000-9064</v>
      </c>
      <c r="B532" s="6" t="str">
        <f>IFERROR(__xludf.DUMMYFUNCTION("""COMPUTED_VALUE"""),"0")</f>
        <v>0</v>
      </c>
      <c r="C532" s="6" t="str">
        <f>IFERROR(__xludf.DUMMYFUNCTION("""COMPUTED_VALUE"""),"9064")</f>
        <v>9064</v>
      </c>
      <c r="D532" s="6" t="str">
        <f>IFERROR(__xludf.DUMMYFUNCTION("""COMPUTED_VALUE"""),"Henry")</f>
        <v>Henry</v>
      </c>
      <c r="E532" s="6" t="str">
        <f>IFERROR(__xludf.DUMMYFUNCTION("""COMPUTED_VALUE"""),"")</f>
        <v/>
      </c>
      <c r="F532" s="6" t="str">
        <f>IFERROR(__xludf.DUMMYFUNCTION("""COMPUTED_VALUE"""),"Best")</f>
        <v>Best</v>
      </c>
      <c r="G532" s="6" t="str">
        <f>IFERROR(__xludf.DUMMYFUNCTION("""COMPUTED_VALUE"""),"02/12/2013")</f>
        <v>02/12/2013</v>
      </c>
      <c r="H532" s="6" t="str">
        <f>IFERROR(__xludf.DUMMYFUNCTION("""COMPUTED_VALUE"""),"male")</f>
        <v>male</v>
      </c>
      <c r="I532" s="6" t="str">
        <f>IFERROR(__xludf.DUMMYFUNCTION("""COMPUTED_VALUE"""),"Middle School")</f>
        <v>Middle School</v>
      </c>
      <c r="J532" s="6" t="str">
        <f>IFERROR(__xludf.DUMMYFUNCTION("""COMPUTED_VALUE"""),"7")</f>
        <v>7</v>
      </c>
      <c r="K532" s="6" t="str">
        <f>IFERROR(__xludf.DUMMYFUNCTION("""COMPUTED_VALUE"""),"henry.best@2hourlearning.com")</f>
        <v>henry.best@2hourlearning.com</v>
      </c>
      <c r="L532" s="6" t="str">
        <f>IFERROR(__xludf.DUMMYFUNCTION("""COMPUTED_VALUE"""),"Alpha Anywhere (homeschool)")</f>
        <v>Alpha Anywhere (homeschool)</v>
      </c>
      <c r="M532" s="6" t="str">
        <f>IFERROR(__xludf.DUMMYFUNCTION("""COMPUTED_VALUE"""),"")</f>
        <v/>
      </c>
      <c r="N532" s="6" t="str">
        <f>IFERROR(__xludf.DUMMYFUNCTION("""COMPUTED_VALUE"""),"")</f>
        <v/>
      </c>
      <c r="O532" s="87" t="str">
        <f>IFERROR(__xludf.DUMMYFUNCTION("""COMPUTED_VALUE"""),"https://drive.google.com/drive/folders/10T2cTQHqEJZqE-st6uFKPoI?usp=share_link")</f>
        <v>https://drive.google.com/drive/folders/10T2cTQHqEJZqE-st6uFKPoI?usp=share_link</v>
      </c>
      <c r="P532" s="6" t="str">
        <f>IFERROR(__xludf.DUMMYFUNCTION("""COMPUTED_VALUE"""),"Henry Best")</f>
        <v>Henry Best</v>
      </c>
      <c r="Q532" s="6" t="str">
        <f>IFERROR(__xludf.DUMMYFUNCTION("""COMPUTED_VALUE"""),"MS")</f>
        <v>MS</v>
      </c>
      <c r="R532" s="6">
        <f>IFERROR(__xludf.DUMMYFUNCTION("""COMPUTED_VALUE"""),0.0)</f>
        <v>0</v>
      </c>
      <c r="S532" s="6" t="str">
        <f>IFERROR(__xludf.DUMMYFUNCTION("""COMPUTED_VALUE""")," ")</f>
        <v> </v>
      </c>
      <c r="T532" s="6" t="str">
        <f>IFERROR(__xludf.DUMMYFUNCTION("""COMPUTED_VALUE"""),"")</f>
        <v/>
      </c>
      <c r="U532" s="6" t="str">
        <f>IFERROR(__xludf.DUMMYFUNCTION("""COMPUTED_VALUE"""),"7")</f>
        <v>7</v>
      </c>
      <c r="V532" s="6" t="str">
        <f>IFERROR(__xludf.DUMMYFUNCTION("""COMPUTED_VALUE"""),"")</f>
        <v/>
      </c>
      <c r="W532" s="6" t="str">
        <f>IFERROR(__xludf.DUMMYFUNCTION("""COMPUTED_VALUE"""),"[]")</f>
        <v>[]</v>
      </c>
      <c r="X532" s="6" t="str">
        <f>IFERROR(__xludf.DUMMYFUNCTION("""COMPUTED_VALUE"""),"Enrolled")</f>
        <v>Enrolled</v>
      </c>
    </row>
    <row r="533">
      <c r="A533" s="6" t="str">
        <f>IFERROR(__xludf.DUMMYFUNCTION("""COMPUTED_VALUE"""),"000-9075")</f>
        <v>000-9075</v>
      </c>
      <c r="B533" s="6" t="str">
        <f>IFERROR(__xludf.DUMMYFUNCTION("""COMPUTED_VALUE"""),"0")</f>
        <v>0</v>
      </c>
      <c r="C533" s="6" t="str">
        <f>IFERROR(__xludf.DUMMYFUNCTION("""COMPUTED_VALUE"""),"9075")</f>
        <v>9075</v>
      </c>
      <c r="D533" s="6" t="str">
        <f>IFERROR(__xludf.DUMMYFUNCTION("""COMPUTED_VALUE"""),"Sofia Grace")</f>
        <v>Sofia Grace</v>
      </c>
      <c r="E533" s="6" t="str">
        <f>IFERROR(__xludf.DUMMYFUNCTION("""COMPUTED_VALUE"""),"")</f>
        <v/>
      </c>
      <c r="F533" s="6" t="str">
        <f>IFERROR(__xludf.DUMMYFUNCTION("""COMPUTED_VALUE"""),"Montgomery")</f>
        <v>Montgomery</v>
      </c>
      <c r="G533" s="6" t="str">
        <f>IFERROR(__xludf.DUMMYFUNCTION("""COMPUTED_VALUE"""),"01/14/2015")</f>
        <v>01/14/2015</v>
      </c>
      <c r="H533" s="6" t="str">
        <f>IFERROR(__xludf.DUMMYFUNCTION("""COMPUTED_VALUE"""),"female")</f>
        <v>female</v>
      </c>
      <c r="I533" s="6" t="str">
        <f>IFERROR(__xludf.DUMMYFUNCTION("""COMPUTED_VALUE"""),"Level 2")</f>
        <v>Level 2</v>
      </c>
      <c r="J533" s="6" t="str">
        <f>IFERROR(__xludf.DUMMYFUNCTION("""COMPUTED_VALUE"""),"5")</f>
        <v>5</v>
      </c>
      <c r="K533" s="6" t="str">
        <f>IFERROR(__xludf.DUMMYFUNCTION("""COMPUTED_VALUE"""),"sofia.grace.montgomery@2hourlearning.com")</f>
        <v>sofia.grace.montgomery@2hourlearning.com</v>
      </c>
      <c r="L533" s="6" t="str">
        <f>IFERROR(__xludf.DUMMYFUNCTION("""COMPUTED_VALUE"""),"Alpha Anywhere (homeschool)")</f>
        <v>Alpha Anywhere (homeschool)</v>
      </c>
      <c r="M533" s="6" t="str">
        <f>IFERROR(__xludf.DUMMYFUNCTION("""COMPUTED_VALUE"""),"")</f>
        <v/>
      </c>
      <c r="N533" s="6" t="str">
        <f>IFERROR(__xludf.DUMMYFUNCTION("""COMPUTED_VALUE"""),"")</f>
        <v/>
      </c>
      <c r="O533" s="87" t="str">
        <f>IFERROR(__xludf.DUMMYFUNCTION("""COMPUTED_VALUE"""),"https://drive.google.com/drive/folders/10T2cTQHqEJZqE-st6uFKPoI?usp=share_link")</f>
        <v>https://drive.google.com/drive/folders/10T2cTQHqEJZqE-st6uFKPoI?usp=share_link</v>
      </c>
      <c r="P533" s="6" t="str">
        <f>IFERROR(__xludf.DUMMYFUNCTION("""COMPUTED_VALUE"""),"Sofia Grace Montgomery")</f>
        <v>Sofia Grace Montgomery</v>
      </c>
      <c r="Q533" s="6" t="str">
        <f>IFERROR(__xludf.DUMMYFUNCTION("""COMPUTED_VALUE"""),"L2")</f>
        <v>L2</v>
      </c>
      <c r="R533" s="6">
        <f>IFERROR(__xludf.DUMMYFUNCTION("""COMPUTED_VALUE"""),2.0)</f>
        <v>2</v>
      </c>
      <c r="S533" s="6" t="str">
        <f>IFERROR(__xludf.DUMMYFUNCTION("""COMPUTED_VALUE""")," ")</f>
        <v> </v>
      </c>
      <c r="T533" s="6" t="str">
        <f>IFERROR(__xludf.DUMMYFUNCTION("""COMPUTED_VALUE"""),"")</f>
        <v/>
      </c>
      <c r="U533" s="6" t="str">
        <f>IFERROR(__xludf.DUMMYFUNCTION("""COMPUTED_VALUE"""),"5")</f>
        <v>5</v>
      </c>
      <c r="V533" s="6" t="str">
        <f>IFERROR(__xludf.DUMMYFUNCTION("""COMPUTED_VALUE"""),"")</f>
        <v/>
      </c>
      <c r="W533" s="6" t="str">
        <f>IFERROR(__xludf.DUMMYFUNCTION("""COMPUTED_VALUE"""),"[]")</f>
        <v>[]</v>
      </c>
      <c r="X533" s="6" t="str">
        <f>IFERROR(__xludf.DUMMYFUNCTION("""COMPUTED_VALUE"""),"Enrolled")</f>
        <v>Enrolled</v>
      </c>
    </row>
    <row r="534">
      <c r="A534" s="6" t="str">
        <f>IFERROR(__xludf.DUMMYFUNCTION("""COMPUTED_VALUE"""),"000-9076")</f>
        <v>000-9076</v>
      </c>
      <c r="B534" s="6" t="str">
        <f>IFERROR(__xludf.DUMMYFUNCTION("""COMPUTED_VALUE"""),"0")</f>
        <v>0</v>
      </c>
      <c r="C534" s="6" t="str">
        <f>IFERROR(__xludf.DUMMYFUNCTION("""COMPUTED_VALUE"""),"9076")</f>
        <v>9076</v>
      </c>
      <c r="D534" s="6" t="str">
        <f>IFERROR(__xludf.DUMMYFUNCTION("""COMPUTED_VALUE"""),"Julia Joy")</f>
        <v>Julia Joy</v>
      </c>
      <c r="E534" s="6" t="str">
        <f>IFERROR(__xludf.DUMMYFUNCTION("""COMPUTED_VALUE"""),"")</f>
        <v/>
      </c>
      <c r="F534" s="6" t="str">
        <f>IFERROR(__xludf.DUMMYFUNCTION("""COMPUTED_VALUE"""),"Montgomery")</f>
        <v>Montgomery</v>
      </c>
      <c r="G534" s="6" t="str">
        <f>IFERROR(__xludf.DUMMYFUNCTION("""COMPUTED_VALUE"""),"03/28/2017")</f>
        <v>03/28/2017</v>
      </c>
      <c r="H534" s="6" t="str">
        <f>IFERROR(__xludf.DUMMYFUNCTION("""COMPUTED_VALUE"""),"female")</f>
        <v>female</v>
      </c>
      <c r="I534" s="6" t="str">
        <f>IFERROR(__xludf.DUMMYFUNCTION("""COMPUTED_VALUE"""),"Level 1")</f>
        <v>Level 1</v>
      </c>
      <c r="J534" s="6" t="str">
        <f>IFERROR(__xludf.DUMMYFUNCTION("""COMPUTED_VALUE"""),"3")</f>
        <v>3</v>
      </c>
      <c r="K534" s="6" t="str">
        <f>IFERROR(__xludf.DUMMYFUNCTION("""COMPUTED_VALUE"""),"julia.joy.montgomery@2hourlearning.com")</f>
        <v>julia.joy.montgomery@2hourlearning.com</v>
      </c>
      <c r="L534" s="6" t="str">
        <f>IFERROR(__xludf.DUMMYFUNCTION("""COMPUTED_VALUE"""),"Alpha Anywhere (homeschool)")</f>
        <v>Alpha Anywhere (homeschool)</v>
      </c>
      <c r="M534" s="6" t="str">
        <f>IFERROR(__xludf.DUMMYFUNCTION("""COMPUTED_VALUE"""),"")</f>
        <v/>
      </c>
      <c r="N534" s="6" t="str">
        <f>IFERROR(__xludf.DUMMYFUNCTION("""COMPUTED_VALUE"""),"")</f>
        <v/>
      </c>
      <c r="O534" s="87" t="str">
        <f>IFERROR(__xludf.DUMMYFUNCTION("""COMPUTED_VALUE"""),"https://drive.google.com/drive/folders/10T2cTQHqEJZqE-st6uFKPoI?usp=share_link")</f>
        <v>https://drive.google.com/drive/folders/10T2cTQHqEJZqE-st6uFKPoI?usp=share_link</v>
      </c>
      <c r="P534" s="6" t="str">
        <f>IFERROR(__xludf.DUMMYFUNCTION("""COMPUTED_VALUE"""),"Julia Joy Montgomery")</f>
        <v>Julia Joy Montgomery</v>
      </c>
      <c r="Q534" s="6" t="str">
        <f>IFERROR(__xludf.DUMMYFUNCTION("""COMPUTED_VALUE"""),"L1")</f>
        <v>L1</v>
      </c>
      <c r="R534" s="6">
        <f>IFERROR(__xludf.DUMMYFUNCTION("""COMPUTED_VALUE"""),1.0)</f>
        <v>1</v>
      </c>
      <c r="S534" s="6" t="str">
        <f>IFERROR(__xludf.DUMMYFUNCTION("""COMPUTED_VALUE""")," ")</f>
        <v> </v>
      </c>
      <c r="T534" s="6" t="str">
        <f>IFERROR(__xludf.DUMMYFUNCTION("""COMPUTED_VALUE"""),"")</f>
        <v/>
      </c>
      <c r="U534" s="6" t="str">
        <f>IFERROR(__xludf.DUMMYFUNCTION("""COMPUTED_VALUE"""),"3")</f>
        <v>3</v>
      </c>
      <c r="V534" s="6" t="str">
        <f>IFERROR(__xludf.DUMMYFUNCTION("""COMPUTED_VALUE"""),"")</f>
        <v/>
      </c>
      <c r="W534" s="6" t="str">
        <f>IFERROR(__xludf.DUMMYFUNCTION("""COMPUTED_VALUE"""),"[]")</f>
        <v>[]</v>
      </c>
      <c r="X534" s="6" t="str">
        <f>IFERROR(__xludf.DUMMYFUNCTION("""COMPUTED_VALUE"""),"Enrolled")</f>
        <v>Enrolled</v>
      </c>
    </row>
    <row r="535">
      <c r="A535" s="6" t="str">
        <f>IFERROR(__xludf.DUMMYFUNCTION("""COMPUTED_VALUE"""),"000-9083")</f>
        <v>000-9083</v>
      </c>
      <c r="B535" s="6" t="str">
        <f>IFERROR(__xludf.DUMMYFUNCTION("""COMPUTED_VALUE"""),"0")</f>
        <v>0</v>
      </c>
      <c r="C535" s="6" t="str">
        <f>IFERROR(__xludf.DUMMYFUNCTION("""COMPUTED_VALUE"""),"9083")</f>
        <v>9083</v>
      </c>
      <c r="D535" s="6" t="str">
        <f>IFERROR(__xludf.DUMMYFUNCTION("""COMPUTED_VALUE"""),"Findlay")</f>
        <v>Findlay</v>
      </c>
      <c r="E535" s="6" t="str">
        <f>IFERROR(__xludf.DUMMYFUNCTION("""COMPUTED_VALUE"""),"")</f>
        <v/>
      </c>
      <c r="F535" s="6" t="str">
        <f>IFERROR(__xludf.DUMMYFUNCTION("""COMPUTED_VALUE"""),"Dougherty")</f>
        <v>Dougherty</v>
      </c>
      <c r="G535" s="6" t="str">
        <f>IFERROR(__xludf.DUMMYFUNCTION("""COMPUTED_VALUE"""),"10/29/2016")</f>
        <v>10/29/2016</v>
      </c>
      <c r="H535" s="6" t="str">
        <f>IFERROR(__xludf.DUMMYFUNCTION("""COMPUTED_VALUE"""),"male")</f>
        <v>male</v>
      </c>
      <c r="I535" s="6" t="str">
        <f>IFERROR(__xludf.DUMMYFUNCTION("""COMPUTED_VALUE"""),"Level 1")</f>
        <v>Level 1</v>
      </c>
      <c r="J535" s="6" t="str">
        <f>IFERROR(__xludf.DUMMYFUNCTION("""COMPUTED_VALUE"""),"3")</f>
        <v>3</v>
      </c>
      <c r="K535" s="6" t="str">
        <f>IFERROR(__xludf.DUMMYFUNCTION("""COMPUTED_VALUE"""),"findlay.dougherty@2hourlearning.com")</f>
        <v>findlay.dougherty@2hourlearning.com</v>
      </c>
      <c r="L535" s="6" t="str">
        <f>IFERROR(__xludf.DUMMYFUNCTION("""COMPUTED_VALUE"""),"Alpha Anywhere (homeschool)")</f>
        <v>Alpha Anywhere (homeschool)</v>
      </c>
      <c r="M535" s="6" t="str">
        <f>IFERROR(__xludf.DUMMYFUNCTION("""COMPUTED_VALUE"""),"")</f>
        <v/>
      </c>
      <c r="N535" s="6" t="str">
        <f>IFERROR(__xludf.DUMMYFUNCTION("""COMPUTED_VALUE"""),"")</f>
        <v/>
      </c>
      <c r="O535" s="87" t="str">
        <f>IFERROR(__xludf.DUMMYFUNCTION("""COMPUTED_VALUE"""),"https://drive.google.com/drive/folders/10T2cTQHqEJZqE-st6uFKPoI?usp=share_link")</f>
        <v>https://drive.google.com/drive/folders/10T2cTQHqEJZqE-st6uFKPoI?usp=share_link</v>
      </c>
      <c r="P535" s="6" t="str">
        <f>IFERROR(__xludf.DUMMYFUNCTION("""COMPUTED_VALUE"""),"Findlay Dougherty")</f>
        <v>Findlay Dougherty</v>
      </c>
      <c r="Q535" s="6" t="str">
        <f>IFERROR(__xludf.DUMMYFUNCTION("""COMPUTED_VALUE"""),"L1")</f>
        <v>L1</v>
      </c>
      <c r="R535" s="6">
        <f>IFERROR(__xludf.DUMMYFUNCTION("""COMPUTED_VALUE"""),1.0)</f>
        <v>1</v>
      </c>
      <c r="S535" s="6" t="str">
        <f>IFERROR(__xludf.DUMMYFUNCTION("""COMPUTED_VALUE""")," ")</f>
        <v> </v>
      </c>
      <c r="T535" s="6" t="str">
        <f>IFERROR(__xludf.DUMMYFUNCTION("""COMPUTED_VALUE"""),"")</f>
        <v/>
      </c>
      <c r="U535" s="6" t="str">
        <f>IFERROR(__xludf.DUMMYFUNCTION("""COMPUTED_VALUE"""),"3")</f>
        <v>3</v>
      </c>
      <c r="V535" s="6" t="str">
        <f>IFERROR(__xludf.DUMMYFUNCTION("""COMPUTED_VALUE"""),"")</f>
        <v/>
      </c>
      <c r="W535" s="6" t="str">
        <f>IFERROR(__xludf.DUMMYFUNCTION("""COMPUTED_VALUE"""),"[]")</f>
        <v>[]</v>
      </c>
      <c r="X535" s="6" t="str">
        <f>IFERROR(__xludf.DUMMYFUNCTION("""COMPUTED_VALUE"""),"Enrolled")</f>
        <v>Enrolled</v>
      </c>
    </row>
    <row r="536">
      <c r="A536" s="6" t="str">
        <f>IFERROR(__xludf.DUMMYFUNCTION("""COMPUTED_VALUE"""),"000-9093")</f>
        <v>000-9093</v>
      </c>
      <c r="B536" s="6" t="str">
        <f>IFERROR(__xludf.DUMMYFUNCTION("""COMPUTED_VALUE"""),"0")</f>
        <v>0</v>
      </c>
      <c r="C536" s="6" t="str">
        <f>IFERROR(__xludf.DUMMYFUNCTION("""COMPUTED_VALUE"""),"9093")</f>
        <v>9093</v>
      </c>
      <c r="D536" s="6" t="str">
        <f>IFERROR(__xludf.DUMMYFUNCTION("""COMPUTED_VALUE"""),"Joshua")</f>
        <v>Joshua</v>
      </c>
      <c r="E536" s="6" t="str">
        <f>IFERROR(__xludf.DUMMYFUNCTION("""COMPUTED_VALUE"""),"")</f>
        <v/>
      </c>
      <c r="F536" s="6" t="str">
        <f>IFERROR(__xludf.DUMMYFUNCTION("""COMPUTED_VALUE"""),"Whittymore")</f>
        <v>Whittymore</v>
      </c>
      <c r="G536" s="6" t="str">
        <f>IFERROR(__xludf.DUMMYFUNCTION("""COMPUTED_VALUE"""),"04/29/2017")</f>
        <v>04/29/2017</v>
      </c>
      <c r="H536" s="6" t="str">
        <f>IFERROR(__xludf.DUMMYFUNCTION("""COMPUTED_VALUE"""),"male")</f>
        <v>male</v>
      </c>
      <c r="I536" s="6" t="str">
        <f>IFERROR(__xludf.DUMMYFUNCTION("""COMPUTED_VALUE"""),"Level 1")</f>
        <v>Level 1</v>
      </c>
      <c r="J536" s="6" t="str">
        <f>IFERROR(__xludf.DUMMYFUNCTION("""COMPUTED_VALUE"""),"3")</f>
        <v>3</v>
      </c>
      <c r="K536" s="6" t="str">
        <f>IFERROR(__xludf.DUMMYFUNCTION("""COMPUTED_VALUE"""),"joshua.whittymore@2hourlearning.com")</f>
        <v>joshua.whittymore@2hourlearning.com</v>
      </c>
      <c r="L536" s="6" t="str">
        <f>IFERROR(__xludf.DUMMYFUNCTION("""COMPUTED_VALUE"""),"Alpha Anywhere (homeschool)")</f>
        <v>Alpha Anywhere (homeschool)</v>
      </c>
      <c r="M536" s="6" t="str">
        <f>IFERROR(__xludf.DUMMYFUNCTION("""COMPUTED_VALUE"""),"")</f>
        <v/>
      </c>
      <c r="N536" s="6" t="str">
        <f>IFERROR(__xludf.DUMMYFUNCTION("""COMPUTED_VALUE"""),"")</f>
        <v/>
      </c>
      <c r="O536" s="87" t="str">
        <f>IFERROR(__xludf.DUMMYFUNCTION("""COMPUTED_VALUE"""),"https://drive.google.com/drive/folders/10T2cTQHqEJZqE-st6uFKPoI?usp=share_link")</f>
        <v>https://drive.google.com/drive/folders/10T2cTQHqEJZqE-st6uFKPoI?usp=share_link</v>
      </c>
      <c r="P536" s="6" t="str">
        <f>IFERROR(__xludf.DUMMYFUNCTION("""COMPUTED_VALUE"""),"Joshua Whittymore")</f>
        <v>Joshua Whittymore</v>
      </c>
      <c r="Q536" s="6" t="str">
        <f>IFERROR(__xludf.DUMMYFUNCTION("""COMPUTED_VALUE"""),"L1")</f>
        <v>L1</v>
      </c>
      <c r="R536" s="6">
        <f>IFERROR(__xludf.DUMMYFUNCTION("""COMPUTED_VALUE"""),1.0)</f>
        <v>1</v>
      </c>
      <c r="S536" s="6" t="str">
        <f>IFERROR(__xludf.DUMMYFUNCTION("""COMPUTED_VALUE""")," ")</f>
        <v> </v>
      </c>
      <c r="T536" s="6" t="str">
        <f>IFERROR(__xludf.DUMMYFUNCTION("""COMPUTED_VALUE"""),"")</f>
        <v/>
      </c>
      <c r="U536" s="6" t="str">
        <f>IFERROR(__xludf.DUMMYFUNCTION("""COMPUTED_VALUE"""),"3")</f>
        <v>3</v>
      </c>
      <c r="V536" s="6" t="str">
        <f>IFERROR(__xludf.DUMMYFUNCTION("""COMPUTED_VALUE"""),"")</f>
        <v/>
      </c>
      <c r="W536" s="6" t="str">
        <f>IFERROR(__xludf.DUMMYFUNCTION("""COMPUTED_VALUE"""),"[]")</f>
        <v>[]</v>
      </c>
      <c r="X536" s="6" t="str">
        <f>IFERROR(__xludf.DUMMYFUNCTION("""COMPUTED_VALUE"""),"Enrolled")</f>
        <v>Enrolled</v>
      </c>
    </row>
    <row r="537">
      <c r="A537" s="6" t="str">
        <f>IFERROR(__xludf.DUMMYFUNCTION("""COMPUTED_VALUE"""),"000-9099")</f>
        <v>000-9099</v>
      </c>
      <c r="B537" s="6" t="str">
        <f>IFERROR(__xludf.DUMMYFUNCTION("""COMPUTED_VALUE"""),"0")</f>
        <v>0</v>
      </c>
      <c r="C537" s="6" t="str">
        <f>IFERROR(__xludf.DUMMYFUNCTION("""COMPUTED_VALUE"""),"9099")</f>
        <v>9099</v>
      </c>
      <c r="D537" s="6" t="str">
        <f>IFERROR(__xludf.DUMMYFUNCTION("""COMPUTED_VALUE"""),"Ella")</f>
        <v>Ella</v>
      </c>
      <c r="E537" s="6" t="str">
        <f>IFERROR(__xludf.DUMMYFUNCTION("""COMPUTED_VALUE"""),"")</f>
        <v/>
      </c>
      <c r="F537" s="6" t="str">
        <f>IFERROR(__xludf.DUMMYFUNCTION("""COMPUTED_VALUE"""),"Shapira")</f>
        <v>Shapira</v>
      </c>
      <c r="G537" s="6" t="str">
        <f>IFERROR(__xludf.DUMMYFUNCTION("""COMPUTED_VALUE"""),"12/10/2015")</f>
        <v>12/10/2015</v>
      </c>
      <c r="H537" s="6" t="str">
        <f>IFERROR(__xludf.DUMMYFUNCTION("""COMPUTED_VALUE"""),"female")</f>
        <v>female</v>
      </c>
      <c r="I537" s="6" t="str">
        <f>IFERROR(__xludf.DUMMYFUNCTION("""COMPUTED_VALUE"""),"Level 2")</f>
        <v>Level 2</v>
      </c>
      <c r="J537" s="6" t="str">
        <f>IFERROR(__xludf.DUMMYFUNCTION("""COMPUTED_VALUE"""),"4")</f>
        <v>4</v>
      </c>
      <c r="K537" s="6" t="str">
        <f>IFERROR(__xludf.DUMMYFUNCTION("""COMPUTED_VALUE"""),"ella.shapira@2hourlearning.com")</f>
        <v>ella.shapira@2hourlearning.com</v>
      </c>
      <c r="L537" s="6" t="str">
        <f>IFERROR(__xludf.DUMMYFUNCTION("""COMPUTED_VALUE"""),"Alpha Anywhere (homeschool)")</f>
        <v>Alpha Anywhere (homeschool)</v>
      </c>
      <c r="M537" s="6" t="str">
        <f>IFERROR(__xludf.DUMMYFUNCTION("""COMPUTED_VALUE"""),"")</f>
        <v/>
      </c>
      <c r="N537" s="6" t="str">
        <f>IFERROR(__xludf.DUMMYFUNCTION("""COMPUTED_VALUE"""),"")</f>
        <v/>
      </c>
      <c r="O537" s="87" t="str">
        <f>IFERROR(__xludf.DUMMYFUNCTION("""COMPUTED_VALUE"""),"https://drive.google.com/drive/folders/10T2cTQHqEJZqE-st6uFKPoI?usp=share_link")</f>
        <v>https://drive.google.com/drive/folders/10T2cTQHqEJZqE-st6uFKPoI?usp=share_link</v>
      </c>
      <c r="P537" s="6" t="str">
        <f>IFERROR(__xludf.DUMMYFUNCTION("""COMPUTED_VALUE"""),"Ella Shapira")</f>
        <v>Ella Shapira</v>
      </c>
      <c r="Q537" s="6" t="str">
        <f>IFERROR(__xludf.DUMMYFUNCTION("""COMPUTED_VALUE"""),"L2")</f>
        <v>L2</v>
      </c>
      <c r="R537" s="6">
        <f>IFERROR(__xludf.DUMMYFUNCTION("""COMPUTED_VALUE"""),2.0)</f>
        <v>2</v>
      </c>
      <c r="S537" s="6" t="str">
        <f>IFERROR(__xludf.DUMMYFUNCTION("""COMPUTED_VALUE""")," ")</f>
        <v> </v>
      </c>
      <c r="T537" s="6" t="str">
        <f>IFERROR(__xludf.DUMMYFUNCTION("""COMPUTED_VALUE"""),"")</f>
        <v/>
      </c>
      <c r="U537" s="6" t="str">
        <f>IFERROR(__xludf.DUMMYFUNCTION("""COMPUTED_VALUE"""),"4")</f>
        <v>4</v>
      </c>
      <c r="V537" s="6" t="str">
        <f>IFERROR(__xludf.DUMMYFUNCTION("""COMPUTED_VALUE"""),"")</f>
        <v/>
      </c>
      <c r="W537" s="6" t="str">
        <f>IFERROR(__xludf.DUMMYFUNCTION("""COMPUTED_VALUE"""),"[]")</f>
        <v>[]</v>
      </c>
      <c r="X537" s="6" t="str">
        <f>IFERROR(__xludf.DUMMYFUNCTION("""COMPUTED_VALUE"""),"Enrolled")</f>
        <v>Enrolled</v>
      </c>
    </row>
    <row r="538">
      <c r="A538" s="6" t="str">
        <f>IFERROR(__xludf.DUMMYFUNCTION("""COMPUTED_VALUE"""),"000-9107")</f>
        <v>000-9107</v>
      </c>
      <c r="B538" s="6" t="str">
        <f>IFERROR(__xludf.DUMMYFUNCTION("""COMPUTED_VALUE"""),"0")</f>
        <v>0</v>
      </c>
      <c r="C538" s="6" t="str">
        <f>IFERROR(__xludf.DUMMYFUNCTION("""COMPUTED_VALUE"""),"9107")</f>
        <v>9107</v>
      </c>
      <c r="D538" s="6" t="str">
        <f>IFERROR(__xludf.DUMMYFUNCTION("""COMPUTED_VALUE"""),"Liv")</f>
        <v>Liv</v>
      </c>
      <c r="E538" s="6" t="str">
        <f>IFERROR(__xludf.DUMMYFUNCTION("""COMPUTED_VALUE"""),"")</f>
        <v/>
      </c>
      <c r="F538" s="6" t="str">
        <f>IFERROR(__xludf.DUMMYFUNCTION("""COMPUTED_VALUE"""),"Carrillo")</f>
        <v>Carrillo</v>
      </c>
      <c r="G538" s="6" t="str">
        <f>IFERROR(__xludf.DUMMYFUNCTION("""COMPUTED_VALUE"""),"08/04/2016")</f>
        <v>08/04/2016</v>
      </c>
      <c r="H538" s="6" t="str">
        <f>IFERROR(__xludf.DUMMYFUNCTION("""COMPUTED_VALUE"""),"female")</f>
        <v>female</v>
      </c>
      <c r="I538" s="6" t="str">
        <f>IFERROR(__xludf.DUMMYFUNCTION("""COMPUTED_VALUE"""),"Level 2")</f>
        <v>Level 2</v>
      </c>
      <c r="J538" s="6" t="str">
        <f>IFERROR(__xludf.DUMMYFUNCTION("""COMPUTED_VALUE"""),"4")</f>
        <v>4</v>
      </c>
      <c r="K538" s="6" t="str">
        <f>IFERROR(__xludf.DUMMYFUNCTION("""COMPUTED_VALUE"""),"liv.carrillo@2hourlearning.com")</f>
        <v>liv.carrillo@2hourlearning.com</v>
      </c>
      <c r="L538" s="6" t="str">
        <f>IFERROR(__xludf.DUMMYFUNCTION("""COMPUTED_VALUE"""),"Alpha Anywhere (homeschool)")</f>
        <v>Alpha Anywhere (homeschool)</v>
      </c>
      <c r="M538" s="6" t="str">
        <f>IFERROR(__xludf.DUMMYFUNCTION("""COMPUTED_VALUE"""),"")</f>
        <v/>
      </c>
      <c r="N538" s="6" t="str">
        <f>IFERROR(__xludf.DUMMYFUNCTION("""COMPUTED_VALUE"""),"")</f>
        <v/>
      </c>
      <c r="O538" s="87" t="str">
        <f>IFERROR(__xludf.DUMMYFUNCTION("""COMPUTED_VALUE"""),"https://drive.google.com/drive/folders/10T2cTQHqEJZqE-st6uFKPoI?usp=share_link")</f>
        <v>https://drive.google.com/drive/folders/10T2cTQHqEJZqE-st6uFKPoI?usp=share_link</v>
      </c>
      <c r="P538" s="6" t="str">
        <f>IFERROR(__xludf.DUMMYFUNCTION("""COMPUTED_VALUE"""),"Liv Carrillo")</f>
        <v>Liv Carrillo</v>
      </c>
      <c r="Q538" s="6" t="str">
        <f>IFERROR(__xludf.DUMMYFUNCTION("""COMPUTED_VALUE"""),"L2")</f>
        <v>L2</v>
      </c>
      <c r="R538" s="6">
        <f>IFERROR(__xludf.DUMMYFUNCTION("""COMPUTED_VALUE"""),2.0)</f>
        <v>2</v>
      </c>
      <c r="S538" s="6" t="str">
        <f>IFERROR(__xludf.DUMMYFUNCTION("""COMPUTED_VALUE""")," ")</f>
        <v> </v>
      </c>
      <c r="T538" s="6" t="str">
        <f>IFERROR(__xludf.DUMMYFUNCTION("""COMPUTED_VALUE"""),"")</f>
        <v/>
      </c>
      <c r="U538" s="6" t="str">
        <f>IFERROR(__xludf.DUMMYFUNCTION("""COMPUTED_VALUE"""),"4")</f>
        <v>4</v>
      </c>
      <c r="V538" s="6" t="str">
        <f>IFERROR(__xludf.DUMMYFUNCTION("""COMPUTED_VALUE"""),"")</f>
        <v/>
      </c>
      <c r="W538" s="6" t="str">
        <f>IFERROR(__xludf.DUMMYFUNCTION("""COMPUTED_VALUE"""),"[]")</f>
        <v>[]</v>
      </c>
      <c r="X538" s="6" t="str">
        <f>IFERROR(__xludf.DUMMYFUNCTION("""COMPUTED_VALUE"""),"Enrolled")</f>
        <v>Enrolled</v>
      </c>
    </row>
    <row r="539">
      <c r="A539" s="6" t="str">
        <f>IFERROR(__xludf.DUMMYFUNCTION("""COMPUTED_VALUE"""),"000-9108")</f>
        <v>000-9108</v>
      </c>
      <c r="B539" s="6" t="str">
        <f>IFERROR(__xludf.DUMMYFUNCTION("""COMPUTED_VALUE"""),"0")</f>
        <v>0</v>
      </c>
      <c r="C539" s="6" t="str">
        <f>IFERROR(__xludf.DUMMYFUNCTION("""COMPUTED_VALUE"""),"9108")</f>
        <v>9108</v>
      </c>
      <c r="D539" s="6" t="str">
        <f>IFERROR(__xludf.DUMMYFUNCTION("""COMPUTED_VALUE"""),"John")</f>
        <v>John</v>
      </c>
      <c r="E539" s="6" t="str">
        <f>IFERROR(__xludf.DUMMYFUNCTION("""COMPUTED_VALUE"""),"")</f>
        <v/>
      </c>
      <c r="F539" s="6" t="str">
        <f>IFERROR(__xludf.DUMMYFUNCTION("""COMPUTED_VALUE"""),"Pollock")</f>
        <v>Pollock</v>
      </c>
      <c r="G539" s="6" t="str">
        <f>IFERROR(__xludf.DUMMYFUNCTION("""COMPUTED_VALUE"""),"08/19/2013")</f>
        <v>08/19/2013</v>
      </c>
      <c r="H539" s="6" t="str">
        <f>IFERROR(__xludf.DUMMYFUNCTION("""COMPUTED_VALUE"""),"male")</f>
        <v>male</v>
      </c>
      <c r="I539" s="6" t="str">
        <f>IFERROR(__xludf.DUMMYFUNCTION("""COMPUTED_VALUE"""),"Middle School")</f>
        <v>Middle School</v>
      </c>
      <c r="J539" s="6" t="str">
        <f>IFERROR(__xludf.DUMMYFUNCTION("""COMPUTED_VALUE"""),"6")</f>
        <v>6</v>
      </c>
      <c r="K539" s="6" t="str">
        <f>IFERROR(__xludf.DUMMYFUNCTION("""COMPUTED_VALUE"""),"john.pollock@2hourlearning.com")</f>
        <v>john.pollock@2hourlearning.com</v>
      </c>
      <c r="L539" s="6" t="str">
        <f>IFERROR(__xludf.DUMMYFUNCTION("""COMPUTED_VALUE"""),"Alpha Anywhere (homeschool)")</f>
        <v>Alpha Anywhere (homeschool)</v>
      </c>
      <c r="M539" s="6" t="str">
        <f>IFERROR(__xludf.DUMMYFUNCTION("""COMPUTED_VALUE"""),"")</f>
        <v/>
      </c>
      <c r="N539" s="6" t="str">
        <f>IFERROR(__xludf.DUMMYFUNCTION("""COMPUTED_VALUE"""),"")</f>
        <v/>
      </c>
      <c r="O539" s="87" t="str">
        <f>IFERROR(__xludf.DUMMYFUNCTION("""COMPUTED_VALUE"""),"https://drive.google.com/drive/folders/10T2cTQHqEJZqE-st6uFKPoI?usp=share_link")</f>
        <v>https://drive.google.com/drive/folders/10T2cTQHqEJZqE-st6uFKPoI?usp=share_link</v>
      </c>
      <c r="P539" s="6" t="str">
        <f>IFERROR(__xludf.DUMMYFUNCTION("""COMPUTED_VALUE"""),"John Pollock")</f>
        <v>John Pollock</v>
      </c>
      <c r="Q539" s="6" t="str">
        <f>IFERROR(__xludf.DUMMYFUNCTION("""COMPUTED_VALUE"""),"MS")</f>
        <v>MS</v>
      </c>
      <c r="R539" s="6">
        <f>IFERROR(__xludf.DUMMYFUNCTION("""COMPUTED_VALUE"""),0.0)</f>
        <v>0</v>
      </c>
      <c r="S539" s="6" t="str">
        <f>IFERROR(__xludf.DUMMYFUNCTION("""COMPUTED_VALUE""")," ")</f>
        <v> </v>
      </c>
      <c r="T539" s="6" t="str">
        <f>IFERROR(__xludf.DUMMYFUNCTION("""COMPUTED_VALUE"""),"")</f>
        <v/>
      </c>
      <c r="U539" s="6" t="str">
        <f>IFERROR(__xludf.DUMMYFUNCTION("""COMPUTED_VALUE"""),"6")</f>
        <v>6</v>
      </c>
      <c r="V539" s="6" t="str">
        <f>IFERROR(__xludf.DUMMYFUNCTION("""COMPUTED_VALUE"""),"")</f>
        <v/>
      </c>
      <c r="W539" s="6" t="str">
        <f>IFERROR(__xludf.DUMMYFUNCTION("""COMPUTED_VALUE"""),"[]")</f>
        <v>[]</v>
      </c>
      <c r="X539" s="6" t="str">
        <f>IFERROR(__xludf.DUMMYFUNCTION("""COMPUTED_VALUE"""),"Enrolled")</f>
        <v>Enrolled</v>
      </c>
    </row>
    <row r="540">
      <c r="A540" s="6" t="str">
        <f>IFERROR(__xludf.DUMMYFUNCTION("""COMPUTED_VALUE"""),"000-9119")</f>
        <v>000-9119</v>
      </c>
      <c r="B540" s="6" t="str">
        <f>IFERROR(__xludf.DUMMYFUNCTION("""COMPUTED_VALUE"""),"0")</f>
        <v>0</v>
      </c>
      <c r="C540" s="6" t="str">
        <f>IFERROR(__xludf.DUMMYFUNCTION("""COMPUTED_VALUE"""),"9119")</f>
        <v>9119</v>
      </c>
      <c r="D540" s="6" t="str">
        <f>IFERROR(__xludf.DUMMYFUNCTION("""COMPUTED_VALUE"""),"victoria")</f>
        <v>victoria</v>
      </c>
      <c r="E540" s="6" t="str">
        <f>IFERROR(__xludf.DUMMYFUNCTION("""COMPUTED_VALUE"""),"")</f>
        <v/>
      </c>
      <c r="F540" s="6" t="str">
        <f>IFERROR(__xludf.DUMMYFUNCTION("""COMPUTED_VALUE"""),"zhang")</f>
        <v>zhang</v>
      </c>
      <c r="G540" s="6" t="str">
        <f>IFERROR(__xludf.DUMMYFUNCTION("""COMPUTED_VALUE"""),"04/08/2011")</f>
        <v>04/08/2011</v>
      </c>
      <c r="H540" s="6" t="str">
        <f>IFERROR(__xludf.DUMMYFUNCTION("""COMPUTED_VALUE"""),"female")</f>
        <v>female</v>
      </c>
      <c r="I540" s="6" t="str">
        <f>IFERROR(__xludf.DUMMYFUNCTION("""COMPUTED_VALUE"""),"High School")</f>
        <v>High School</v>
      </c>
      <c r="J540" s="6" t="str">
        <f>IFERROR(__xludf.DUMMYFUNCTION("""COMPUTED_VALUE"""),"9")</f>
        <v>9</v>
      </c>
      <c r="K540" s="6" t="str">
        <f>IFERROR(__xludf.DUMMYFUNCTION("""COMPUTED_VALUE"""),"victoria.zhang@2hourlearning.com")</f>
        <v>victoria.zhang@2hourlearning.com</v>
      </c>
      <c r="L540" s="6" t="str">
        <f>IFERROR(__xludf.DUMMYFUNCTION("""COMPUTED_VALUE"""),"Alpha Anywhere (homeschool)")</f>
        <v>Alpha Anywhere (homeschool)</v>
      </c>
      <c r="M540" s="6" t="str">
        <f>IFERROR(__xludf.DUMMYFUNCTION("""COMPUTED_VALUE"""),"")</f>
        <v/>
      </c>
      <c r="N540" s="6" t="str">
        <f>IFERROR(__xludf.DUMMYFUNCTION("""COMPUTED_VALUE"""),"")</f>
        <v/>
      </c>
      <c r="O540" s="87" t="str">
        <f>IFERROR(__xludf.DUMMYFUNCTION("""COMPUTED_VALUE"""),"https://drive.google.com/drive/folders/10T2cTQHqEJZqE-st6uFKPoI?usp=share_link")</f>
        <v>https://drive.google.com/drive/folders/10T2cTQHqEJZqE-st6uFKPoI?usp=share_link</v>
      </c>
      <c r="P540" s="6" t="str">
        <f>IFERROR(__xludf.DUMMYFUNCTION("""COMPUTED_VALUE"""),"victoria zhang")</f>
        <v>victoria zhang</v>
      </c>
      <c r="Q540" s="6" t="str">
        <f>IFERROR(__xludf.DUMMYFUNCTION("""COMPUTED_VALUE"""),"HS")</f>
        <v>HS</v>
      </c>
      <c r="R540" s="6">
        <f>IFERROR(__xludf.DUMMYFUNCTION("""COMPUTED_VALUE"""),0.0)</f>
        <v>0</v>
      </c>
      <c r="S540" s="6" t="str">
        <f>IFERROR(__xludf.DUMMYFUNCTION("""COMPUTED_VALUE""")," ")</f>
        <v> </v>
      </c>
      <c r="T540" s="6" t="str">
        <f>IFERROR(__xludf.DUMMYFUNCTION("""COMPUTED_VALUE"""),"")</f>
        <v/>
      </c>
      <c r="U540" s="6" t="str">
        <f>IFERROR(__xludf.DUMMYFUNCTION("""COMPUTED_VALUE"""),"9")</f>
        <v>9</v>
      </c>
      <c r="V540" s="6" t="str">
        <f>IFERROR(__xludf.DUMMYFUNCTION("""COMPUTED_VALUE"""),"")</f>
        <v/>
      </c>
      <c r="W540" s="6" t="str">
        <f>IFERROR(__xludf.DUMMYFUNCTION("""COMPUTED_VALUE"""),"[]")</f>
        <v>[]</v>
      </c>
      <c r="X540" s="6" t="str">
        <f>IFERROR(__xludf.DUMMYFUNCTION("""COMPUTED_VALUE"""),"Enrolled")</f>
        <v>Enrolled</v>
      </c>
    </row>
    <row r="541">
      <c r="A541" s="6" t="str">
        <f>IFERROR(__xludf.DUMMYFUNCTION("""COMPUTED_VALUE"""),"000-9138")</f>
        <v>000-9138</v>
      </c>
      <c r="B541" s="6" t="str">
        <f>IFERROR(__xludf.DUMMYFUNCTION("""COMPUTED_VALUE"""),"0")</f>
        <v>0</v>
      </c>
      <c r="C541" s="6" t="str">
        <f>IFERROR(__xludf.DUMMYFUNCTION("""COMPUTED_VALUE"""),"9138")</f>
        <v>9138</v>
      </c>
      <c r="D541" s="6" t="str">
        <f>IFERROR(__xludf.DUMMYFUNCTION("""COMPUTED_VALUE"""),"Sunehri")</f>
        <v>Sunehri</v>
      </c>
      <c r="E541" s="6" t="str">
        <f>IFERROR(__xludf.DUMMYFUNCTION("""COMPUTED_VALUE"""),"")</f>
        <v/>
      </c>
      <c r="F541" s="6" t="str">
        <f>IFERROR(__xludf.DUMMYFUNCTION("""COMPUTED_VALUE"""),"Patel")</f>
        <v>Patel</v>
      </c>
      <c r="G541" s="6" t="str">
        <f>IFERROR(__xludf.DUMMYFUNCTION("""COMPUTED_VALUE"""),"10/10/2012")</f>
        <v>10/10/2012</v>
      </c>
      <c r="H541" s="6" t="str">
        <f>IFERROR(__xludf.DUMMYFUNCTION("""COMPUTED_VALUE"""),"female")</f>
        <v>female</v>
      </c>
      <c r="I541" s="6" t="str">
        <f>IFERROR(__xludf.DUMMYFUNCTION("""COMPUTED_VALUE"""),"Middle School")</f>
        <v>Middle School</v>
      </c>
      <c r="J541" s="6" t="str">
        <f>IFERROR(__xludf.DUMMYFUNCTION("""COMPUTED_VALUE"""),"7")</f>
        <v>7</v>
      </c>
      <c r="K541" s="6" t="str">
        <f>IFERROR(__xludf.DUMMYFUNCTION("""COMPUTED_VALUE"""),"sunehri.patel@2hourlearning.com")</f>
        <v>sunehri.patel@2hourlearning.com</v>
      </c>
      <c r="L541" s="6" t="str">
        <f>IFERROR(__xludf.DUMMYFUNCTION("""COMPUTED_VALUE"""),"Alpha Anywhere (homeschool)")</f>
        <v>Alpha Anywhere (homeschool)</v>
      </c>
      <c r="M541" s="6" t="str">
        <f>IFERROR(__xludf.DUMMYFUNCTION("""COMPUTED_VALUE"""),"")</f>
        <v/>
      </c>
      <c r="N541" s="6" t="str">
        <f>IFERROR(__xludf.DUMMYFUNCTION("""COMPUTED_VALUE"""),"")</f>
        <v/>
      </c>
      <c r="O541" s="87" t="str">
        <f>IFERROR(__xludf.DUMMYFUNCTION("""COMPUTED_VALUE"""),"https://drive.google.com/drive/folders/10T2cTQHqEJZqE-st6uFKPoI?usp=share_link")</f>
        <v>https://drive.google.com/drive/folders/10T2cTQHqEJZqE-st6uFKPoI?usp=share_link</v>
      </c>
      <c r="P541" s="6" t="str">
        <f>IFERROR(__xludf.DUMMYFUNCTION("""COMPUTED_VALUE"""),"Sunehri Patel")</f>
        <v>Sunehri Patel</v>
      </c>
      <c r="Q541" s="6" t="str">
        <f>IFERROR(__xludf.DUMMYFUNCTION("""COMPUTED_VALUE"""),"MS")</f>
        <v>MS</v>
      </c>
      <c r="R541" s="6">
        <f>IFERROR(__xludf.DUMMYFUNCTION("""COMPUTED_VALUE"""),0.0)</f>
        <v>0</v>
      </c>
      <c r="S541" s="6" t="str">
        <f>IFERROR(__xludf.DUMMYFUNCTION("""COMPUTED_VALUE""")," ")</f>
        <v> </v>
      </c>
      <c r="T541" s="6" t="str">
        <f>IFERROR(__xludf.DUMMYFUNCTION("""COMPUTED_VALUE"""),"")</f>
        <v/>
      </c>
      <c r="U541" s="6" t="str">
        <f>IFERROR(__xludf.DUMMYFUNCTION("""COMPUTED_VALUE"""),"7")</f>
        <v>7</v>
      </c>
      <c r="V541" s="6" t="str">
        <f>IFERROR(__xludf.DUMMYFUNCTION("""COMPUTED_VALUE"""),"")</f>
        <v/>
      </c>
      <c r="W541" s="6" t="str">
        <f>IFERROR(__xludf.DUMMYFUNCTION("""COMPUTED_VALUE"""),"[]")</f>
        <v>[]</v>
      </c>
      <c r="X541" s="6" t="str">
        <f>IFERROR(__xludf.DUMMYFUNCTION("""COMPUTED_VALUE"""),"Enrolled")</f>
        <v>Enrolled</v>
      </c>
    </row>
    <row r="542">
      <c r="A542" s="6" t="str">
        <f>IFERROR(__xludf.DUMMYFUNCTION("""COMPUTED_VALUE"""),"000-9169")</f>
        <v>000-9169</v>
      </c>
      <c r="B542" s="6" t="str">
        <f>IFERROR(__xludf.DUMMYFUNCTION("""COMPUTED_VALUE"""),"0")</f>
        <v>0</v>
      </c>
      <c r="C542" s="6" t="str">
        <f>IFERROR(__xludf.DUMMYFUNCTION("""COMPUTED_VALUE"""),"9169")</f>
        <v>9169</v>
      </c>
      <c r="D542" s="6" t="str">
        <f>IFERROR(__xludf.DUMMYFUNCTION("""COMPUTED_VALUE"""),"Laaha")</f>
        <v>Laaha</v>
      </c>
      <c r="E542" s="6" t="str">
        <f>IFERROR(__xludf.DUMMYFUNCTION("""COMPUTED_VALUE"""),"")</f>
        <v/>
      </c>
      <c r="F542" s="6" t="str">
        <f>IFERROR(__xludf.DUMMYFUNCTION("""COMPUTED_VALUE"""),"Magon")</f>
        <v>Magon</v>
      </c>
      <c r="G542" s="6" t="str">
        <f>IFERROR(__xludf.DUMMYFUNCTION("""COMPUTED_VALUE"""),"05/21/2014")</f>
        <v>05/21/2014</v>
      </c>
      <c r="H542" s="6" t="str">
        <f>IFERROR(__xludf.DUMMYFUNCTION("""COMPUTED_VALUE"""),"female")</f>
        <v>female</v>
      </c>
      <c r="I542" s="6" t="str">
        <f>IFERROR(__xludf.DUMMYFUNCTION("""COMPUTED_VALUE"""),"Middle School")</f>
        <v>Middle School</v>
      </c>
      <c r="J542" s="6" t="str">
        <f>IFERROR(__xludf.DUMMYFUNCTION("""COMPUTED_VALUE"""),"6")</f>
        <v>6</v>
      </c>
      <c r="K542" s="6" t="str">
        <f>IFERROR(__xludf.DUMMYFUNCTION("""COMPUTED_VALUE"""),"laaha.magon@2hourlearning.com")</f>
        <v>laaha.magon@2hourlearning.com</v>
      </c>
      <c r="L542" s="6" t="str">
        <f>IFERROR(__xludf.DUMMYFUNCTION("""COMPUTED_VALUE"""),"Alpha Anywhere (homeschool)")</f>
        <v>Alpha Anywhere (homeschool)</v>
      </c>
      <c r="M542" s="6" t="str">
        <f>IFERROR(__xludf.DUMMYFUNCTION("""COMPUTED_VALUE"""),"")</f>
        <v/>
      </c>
      <c r="N542" s="6" t="str">
        <f>IFERROR(__xludf.DUMMYFUNCTION("""COMPUTED_VALUE"""),"")</f>
        <v/>
      </c>
      <c r="O542" s="87" t="str">
        <f>IFERROR(__xludf.DUMMYFUNCTION("""COMPUTED_VALUE"""),"https://drive.google.com/drive/folders/10T2cTQHqEJZqE-st6uFKPoI?usp=share_link")</f>
        <v>https://drive.google.com/drive/folders/10T2cTQHqEJZqE-st6uFKPoI?usp=share_link</v>
      </c>
      <c r="P542" s="6" t="str">
        <f>IFERROR(__xludf.DUMMYFUNCTION("""COMPUTED_VALUE"""),"Laaha Magon")</f>
        <v>Laaha Magon</v>
      </c>
      <c r="Q542" s="6" t="str">
        <f>IFERROR(__xludf.DUMMYFUNCTION("""COMPUTED_VALUE"""),"MS")</f>
        <v>MS</v>
      </c>
      <c r="R542" s="6">
        <f>IFERROR(__xludf.DUMMYFUNCTION("""COMPUTED_VALUE"""),0.0)</f>
        <v>0</v>
      </c>
      <c r="S542" s="6" t="str">
        <f>IFERROR(__xludf.DUMMYFUNCTION("""COMPUTED_VALUE""")," ")</f>
        <v> </v>
      </c>
      <c r="T542" s="6" t="str">
        <f>IFERROR(__xludf.DUMMYFUNCTION("""COMPUTED_VALUE"""),"")</f>
        <v/>
      </c>
      <c r="U542" s="6" t="str">
        <f>IFERROR(__xludf.DUMMYFUNCTION("""COMPUTED_VALUE"""),"6")</f>
        <v>6</v>
      </c>
      <c r="V542" s="6" t="str">
        <f>IFERROR(__xludf.DUMMYFUNCTION("""COMPUTED_VALUE"""),"")</f>
        <v/>
      </c>
      <c r="W542" s="6" t="str">
        <f>IFERROR(__xludf.DUMMYFUNCTION("""COMPUTED_VALUE"""),"[]")</f>
        <v>[]</v>
      </c>
      <c r="X542" s="6" t="str">
        <f>IFERROR(__xludf.DUMMYFUNCTION("""COMPUTED_VALUE"""),"Enrolled")</f>
        <v>Enrolled</v>
      </c>
    </row>
    <row r="543">
      <c r="A543" s="6" t="str">
        <f>IFERROR(__xludf.DUMMYFUNCTION("""COMPUTED_VALUE"""),"000-9177")</f>
        <v>000-9177</v>
      </c>
      <c r="B543" s="6" t="str">
        <f>IFERROR(__xludf.DUMMYFUNCTION("""COMPUTED_VALUE"""),"0")</f>
        <v>0</v>
      </c>
      <c r="C543" s="6" t="str">
        <f>IFERROR(__xludf.DUMMYFUNCTION("""COMPUTED_VALUE"""),"9177")</f>
        <v>9177</v>
      </c>
      <c r="D543" s="6" t="str">
        <f>IFERROR(__xludf.DUMMYFUNCTION("""COMPUTED_VALUE"""),"Pie")</f>
        <v>Pie</v>
      </c>
      <c r="E543" s="6" t="str">
        <f>IFERROR(__xludf.DUMMYFUNCTION("""COMPUTED_VALUE"""),"")</f>
        <v/>
      </c>
      <c r="F543" s="6" t="str">
        <f>IFERROR(__xludf.DUMMYFUNCTION("""COMPUTED_VALUE"""),"Kipnes Poomyu")</f>
        <v>Kipnes Poomyu</v>
      </c>
      <c r="G543" s="6" t="str">
        <f>IFERROR(__xludf.DUMMYFUNCTION("""COMPUTED_VALUE"""),"03/06/2013")</f>
        <v>03/06/2013</v>
      </c>
      <c r="H543" s="6" t="str">
        <f>IFERROR(__xludf.DUMMYFUNCTION("""COMPUTED_VALUE"""),"female")</f>
        <v>female</v>
      </c>
      <c r="I543" s="6" t="str">
        <f>IFERROR(__xludf.DUMMYFUNCTION("""COMPUTED_VALUE"""),"Middle School")</f>
        <v>Middle School</v>
      </c>
      <c r="J543" s="6" t="str">
        <f>IFERROR(__xludf.DUMMYFUNCTION("""COMPUTED_VALUE"""),"7")</f>
        <v>7</v>
      </c>
      <c r="K543" s="6" t="str">
        <f>IFERROR(__xludf.DUMMYFUNCTION("""COMPUTED_VALUE"""),"pie.kipnes.poomyu@2hourlearning.com")</f>
        <v>pie.kipnes.poomyu@2hourlearning.com</v>
      </c>
      <c r="L543" s="6" t="str">
        <f>IFERROR(__xludf.DUMMYFUNCTION("""COMPUTED_VALUE"""),"Alpha Anywhere (homeschool)")</f>
        <v>Alpha Anywhere (homeschool)</v>
      </c>
      <c r="M543" s="6" t="str">
        <f>IFERROR(__xludf.DUMMYFUNCTION("""COMPUTED_VALUE"""),"")</f>
        <v/>
      </c>
      <c r="N543" s="6" t="str">
        <f>IFERROR(__xludf.DUMMYFUNCTION("""COMPUTED_VALUE"""),"")</f>
        <v/>
      </c>
      <c r="O543" s="87" t="str">
        <f>IFERROR(__xludf.DUMMYFUNCTION("""COMPUTED_VALUE"""),"https://drive.google.com/drive/folders/10T2cTQHqEJZqE-st6uFKPoI?usp=share_link")</f>
        <v>https://drive.google.com/drive/folders/10T2cTQHqEJZqE-st6uFKPoI?usp=share_link</v>
      </c>
      <c r="P543" s="6" t="str">
        <f>IFERROR(__xludf.DUMMYFUNCTION("""COMPUTED_VALUE"""),"Pie Kipnes Poomyu")</f>
        <v>Pie Kipnes Poomyu</v>
      </c>
      <c r="Q543" s="6" t="str">
        <f>IFERROR(__xludf.DUMMYFUNCTION("""COMPUTED_VALUE"""),"MS")</f>
        <v>MS</v>
      </c>
      <c r="R543" s="6">
        <f>IFERROR(__xludf.DUMMYFUNCTION("""COMPUTED_VALUE"""),0.0)</f>
        <v>0</v>
      </c>
      <c r="S543" s="6" t="str">
        <f>IFERROR(__xludf.DUMMYFUNCTION("""COMPUTED_VALUE""")," ")</f>
        <v> </v>
      </c>
      <c r="T543" s="6" t="str">
        <f>IFERROR(__xludf.DUMMYFUNCTION("""COMPUTED_VALUE"""),"")</f>
        <v/>
      </c>
      <c r="U543" s="6" t="str">
        <f>IFERROR(__xludf.DUMMYFUNCTION("""COMPUTED_VALUE"""),"7")</f>
        <v>7</v>
      </c>
      <c r="V543" s="6" t="str">
        <f>IFERROR(__xludf.DUMMYFUNCTION("""COMPUTED_VALUE"""),"")</f>
        <v/>
      </c>
      <c r="W543" s="6" t="str">
        <f>IFERROR(__xludf.DUMMYFUNCTION("""COMPUTED_VALUE"""),"[]")</f>
        <v>[]</v>
      </c>
      <c r="X543" s="6" t="str">
        <f>IFERROR(__xludf.DUMMYFUNCTION("""COMPUTED_VALUE"""),"Enrolled")</f>
        <v>Enrolled</v>
      </c>
    </row>
    <row r="544">
      <c r="A544" s="6" t="str">
        <f>IFERROR(__xludf.DUMMYFUNCTION("""COMPUTED_VALUE"""),"000-9181")</f>
        <v>000-9181</v>
      </c>
      <c r="B544" s="6" t="str">
        <f>IFERROR(__xludf.DUMMYFUNCTION("""COMPUTED_VALUE"""),"0")</f>
        <v>0</v>
      </c>
      <c r="C544" s="6" t="str">
        <f>IFERROR(__xludf.DUMMYFUNCTION("""COMPUTED_VALUE"""),"9181")</f>
        <v>9181</v>
      </c>
      <c r="D544" s="6" t="str">
        <f>IFERROR(__xludf.DUMMYFUNCTION("""COMPUTED_VALUE"""),"Julian")</f>
        <v>Julian</v>
      </c>
      <c r="E544" s="6" t="str">
        <f>IFERROR(__xludf.DUMMYFUNCTION("""COMPUTED_VALUE"""),"")</f>
        <v/>
      </c>
      <c r="F544" s="6" t="str">
        <f>IFERROR(__xludf.DUMMYFUNCTION("""COMPUTED_VALUE"""),"Laur")</f>
        <v>Laur</v>
      </c>
      <c r="G544" s="6" t="str">
        <f>IFERROR(__xludf.DUMMYFUNCTION("""COMPUTED_VALUE"""),"02/08/2018")</f>
        <v>02/08/2018</v>
      </c>
      <c r="H544" s="6" t="str">
        <f>IFERROR(__xludf.DUMMYFUNCTION("""COMPUTED_VALUE"""),"male")</f>
        <v>male</v>
      </c>
      <c r="I544" s="6" t="str">
        <f>IFERROR(__xludf.DUMMYFUNCTION("""COMPUTED_VALUE"""),"Level 1")</f>
        <v>Level 1</v>
      </c>
      <c r="J544" s="6" t="str">
        <f>IFERROR(__xludf.DUMMYFUNCTION("""COMPUTED_VALUE"""),"3")</f>
        <v>3</v>
      </c>
      <c r="K544" s="6" t="str">
        <f>IFERROR(__xludf.DUMMYFUNCTION("""COMPUTED_VALUE"""),"julian.laur@2hourlearning.com")</f>
        <v>julian.laur@2hourlearning.com</v>
      </c>
      <c r="L544" s="6" t="str">
        <f>IFERROR(__xludf.DUMMYFUNCTION("""COMPUTED_VALUE"""),"Alpha Anywhere (homeschool)")</f>
        <v>Alpha Anywhere (homeschool)</v>
      </c>
      <c r="M544" s="6" t="str">
        <f>IFERROR(__xludf.DUMMYFUNCTION("""COMPUTED_VALUE"""),"")</f>
        <v/>
      </c>
      <c r="N544" s="6" t="str">
        <f>IFERROR(__xludf.DUMMYFUNCTION("""COMPUTED_VALUE"""),"")</f>
        <v/>
      </c>
      <c r="O544" s="87" t="str">
        <f>IFERROR(__xludf.DUMMYFUNCTION("""COMPUTED_VALUE"""),"https://drive.google.com/drive/folders/10T2cTQHqEJZqE-st6uFKPoI?usp=share_link")</f>
        <v>https://drive.google.com/drive/folders/10T2cTQHqEJZqE-st6uFKPoI?usp=share_link</v>
      </c>
      <c r="P544" s="6" t="str">
        <f>IFERROR(__xludf.DUMMYFUNCTION("""COMPUTED_VALUE"""),"Julian Laur")</f>
        <v>Julian Laur</v>
      </c>
      <c r="Q544" s="6" t="str">
        <f>IFERROR(__xludf.DUMMYFUNCTION("""COMPUTED_VALUE"""),"L1")</f>
        <v>L1</v>
      </c>
      <c r="R544" s="6">
        <f>IFERROR(__xludf.DUMMYFUNCTION("""COMPUTED_VALUE"""),1.0)</f>
        <v>1</v>
      </c>
      <c r="S544" s="6" t="str">
        <f>IFERROR(__xludf.DUMMYFUNCTION("""COMPUTED_VALUE""")," ")</f>
        <v> </v>
      </c>
      <c r="T544" s="6" t="str">
        <f>IFERROR(__xludf.DUMMYFUNCTION("""COMPUTED_VALUE"""),"")</f>
        <v/>
      </c>
      <c r="U544" s="6" t="str">
        <f>IFERROR(__xludf.DUMMYFUNCTION("""COMPUTED_VALUE"""),"3")</f>
        <v>3</v>
      </c>
      <c r="V544" s="6" t="str">
        <f>IFERROR(__xludf.DUMMYFUNCTION("""COMPUTED_VALUE"""),"")</f>
        <v/>
      </c>
      <c r="W544" s="6" t="str">
        <f>IFERROR(__xludf.DUMMYFUNCTION("""COMPUTED_VALUE"""),"[]")</f>
        <v>[]</v>
      </c>
      <c r="X544" s="6" t="str">
        <f>IFERROR(__xludf.DUMMYFUNCTION("""COMPUTED_VALUE"""),"Enrolled")</f>
        <v>Enrolled</v>
      </c>
    </row>
    <row r="545">
      <c r="A545" s="6" t="str">
        <f>IFERROR(__xludf.DUMMYFUNCTION("""COMPUTED_VALUE"""),"000-9183")</f>
        <v>000-9183</v>
      </c>
      <c r="B545" s="6" t="str">
        <f>IFERROR(__xludf.DUMMYFUNCTION("""COMPUTED_VALUE"""),"0")</f>
        <v>0</v>
      </c>
      <c r="C545" s="6" t="str">
        <f>IFERROR(__xludf.DUMMYFUNCTION("""COMPUTED_VALUE"""),"9183")</f>
        <v>9183</v>
      </c>
      <c r="D545" s="6" t="str">
        <f>IFERROR(__xludf.DUMMYFUNCTION("""COMPUTED_VALUE"""),"Caden")</f>
        <v>Caden</v>
      </c>
      <c r="E545" s="6" t="str">
        <f>IFERROR(__xludf.DUMMYFUNCTION("""COMPUTED_VALUE"""),"")</f>
        <v/>
      </c>
      <c r="F545" s="6" t="str">
        <f>IFERROR(__xludf.DUMMYFUNCTION("""COMPUTED_VALUE"""),"Baker")</f>
        <v>Baker</v>
      </c>
      <c r="G545" s="6" t="str">
        <f>IFERROR(__xludf.DUMMYFUNCTION("""COMPUTED_VALUE"""),"03/19/2013")</f>
        <v>03/19/2013</v>
      </c>
      <c r="H545" s="6" t="str">
        <f>IFERROR(__xludf.DUMMYFUNCTION("""COMPUTED_VALUE"""),"male")</f>
        <v>male</v>
      </c>
      <c r="I545" s="6" t="str">
        <f>IFERROR(__xludf.DUMMYFUNCTION("""COMPUTED_VALUE"""),"Middle School")</f>
        <v>Middle School</v>
      </c>
      <c r="J545" s="6" t="str">
        <f>IFERROR(__xludf.DUMMYFUNCTION("""COMPUTED_VALUE"""),"6")</f>
        <v>6</v>
      </c>
      <c r="K545" s="6" t="str">
        <f>IFERROR(__xludf.DUMMYFUNCTION("""COMPUTED_VALUE"""),"caden.baker@2hourlearning.com")</f>
        <v>caden.baker@2hourlearning.com</v>
      </c>
      <c r="L545" s="6" t="str">
        <f>IFERROR(__xludf.DUMMYFUNCTION("""COMPUTED_VALUE"""),"Alpha Anywhere (homeschool)")</f>
        <v>Alpha Anywhere (homeschool)</v>
      </c>
      <c r="M545" s="6" t="str">
        <f>IFERROR(__xludf.DUMMYFUNCTION("""COMPUTED_VALUE"""),"")</f>
        <v/>
      </c>
      <c r="N545" s="6" t="str">
        <f>IFERROR(__xludf.DUMMYFUNCTION("""COMPUTED_VALUE"""),"")</f>
        <v/>
      </c>
      <c r="O545" s="87" t="str">
        <f>IFERROR(__xludf.DUMMYFUNCTION("""COMPUTED_VALUE"""),"https://drive.google.com/drive/folders/10T2cTQHqEJZqE-st6uFKPoI?usp=share_link")</f>
        <v>https://drive.google.com/drive/folders/10T2cTQHqEJZqE-st6uFKPoI?usp=share_link</v>
      </c>
      <c r="P545" s="6" t="str">
        <f>IFERROR(__xludf.DUMMYFUNCTION("""COMPUTED_VALUE"""),"Caden Baker")</f>
        <v>Caden Baker</v>
      </c>
      <c r="Q545" s="6" t="str">
        <f>IFERROR(__xludf.DUMMYFUNCTION("""COMPUTED_VALUE"""),"MS")</f>
        <v>MS</v>
      </c>
      <c r="R545" s="6">
        <f>IFERROR(__xludf.DUMMYFUNCTION("""COMPUTED_VALUE"""),0.0)</f>
        <v>0</v>
      </c>
      <c r="S545" s="6" t="str">
        <f>IFERROR(__xludf.DUMMYFUNCTION("""COMPUTED_VALUE""")," ")</f>
        <v> </v>
      </c>
      <c r="T545" s="6" t="str">
        <f>IFERROR(__xludf.DUMMYFUNCTION("""COMPUTED_VALUE"""),"")</f>
        <v/>
      </c>
      <c r="U545" s="6" t="str">
        <f>IFERROR(__xludf.DUMMYFUNCTION("""COMPUTED_VALUE"""),"6")</f>
        <v>6</v>
      </c>
      <c r="V545" s="6" t="str">
        <f>IFERROR(__xludf.DUMMYFUNCTION("""COMPUTED_VALUE"""),"")</f>
        <v/>
      </c>
      <c r="W545" s="6" t="str">
        <f>IFERROR(__xludf.DUMMYFUNCTION("""COMPUTED_VALUE"""),"[]")</f>
        <v>[]</v>
      </c>
      <c r="X545" s="6" t="str">
        <f>IFERROR(__xludf.DUMMYFUNCTION("""COMPUTED_VALUE"""),"Enrolled")</f>
        <v>Enrolled</v>
      </c>
    </row>
    <row r="546">
      <c r="A546" s="6" t="str">
        <f>IFERROR(__xludf.DUMMYFUNCTION("""COMPUTED_VALUE"""),"000-9189")</f>
        <v>000-9189</v>
      </c>
      <c r="B546" s="6" t="str">
        <f>IFERROR(__xludf.DUMMYFUNCTION("""COMPUTED_VALUE"""),"0")</f>
        <v>0</v>
      </c>
      <c r="C546" s="6" t="str">
        <f>IFERROR(__xludf.DUMMYFUNCTION("""COMPUTED_VALUE"""),"9189")</f>
        <v>9189</v>
      </c>
      <c r="D546" s="6" t="str">
        <f>IFERROR(__xludf.DUMMYFUNCTION("""COMPUTED_VALUE"""),"Christian")</f>
        <v>Christian</v>
      </c>
      <c r="E546" s="6" t="str">
        <f>IFERROR(__xludf.DUMMYFUNCTION("""COMPUTED_VALUE"""),"")</f>
        <v/>
      </c>
      <c r="F546" s="6" t="str">
        <f>IFERROR(__xludf.DUMMYFUNCTION("""COMPUTED_VALUE"""),"Rigucci")</f>
        <v>Rigucci</v>
      </c>
      <c r="G546" s="6" t="str">
        <f>IFERROR(__xludf.DUMMYFUNCTION("""COMPUTED_VALUE"""),"06/29/2012")</f>
        <v>06/29/2012</v>
      </c>
      <c r="H546" s="6" t="str">
        <f>IFERROR(__xludf.DUMMYFUNCTION("""COMPUTED_VALUE"""),"male")</f>
        <v>male</v>
      </c>
      <c r="I546" s="6" t="str">
        <f>IFERROR(__xludf.DUMMYFUNCTION("""COMPUTED_VALUE"""),"Middle School")</f>
        <v>Middle School</v>
      </c>
      <c r="J546" s="6" t="str">
        <f>IFERROR(__xludf.DUMMYFUNCTION("""COMPUTED_VALUE"""),"8")</f>
        <v>8</v>
      </c>
      <c r="K546" s="6" t="str">
        <f>IFERROR(__xludf.DUMMYFUNCTION("""COMPUTED_VALUE"""),"christian.rigucci@2hourlearning.com")</f>
        <v>christian.rigucci@2hourlearning.com</v>
      </c>
      <c r="L546" s="6" t="str">
        <f>IFERROR(__xludf.DUMMYFUNCTION("""COMPUTED_VALUE"""),"Alpha Anywhere (homeschool)")</f>
        <v>Alpha Anywhere (homeschool)</v>
      </c>
      <c r="M546" s="6" t="str">
        <f>IFERROR(__xludf.DUMMYFUNCTION("""COMPUTED_VALUE"""),"")</f>
        <v/>
      </c>
      <c r="N546" s="6" t="str">
        <f>IFERROR(__xludf.DUMMYFUNCTION("""COMPUTED_VALUE"""),"")</f>
        <v/>
      </c>
      <c r="O546" s="87" t="str">
        <f>IFERROR(__xludf.DUMMYFUNCTION("""COMPUTED_VALUE"""),"https://drive.google.com/drive/folders/10T2cTQHqEJZqE-st6uFKPoI?usp=share_link")</f>
        <v>https://drive.google.com/drive/folders/10T2cTQHqEJZqE-st6uFKPoI?usp=share_link</v>
      </c>
      <c r="P546" s="6" t="str">
        <f>IFERROR(__xludf.DUMMYFUNCTION("""COMPUTED_VALUE"""),"Christian Rigucci")</f>
        <v>Christian Rigucci</v>
      </c>
      <c r="Q546" s="6" t="str">
        <f>IFERROR(__xludf.DUMMYFUNCTION("""COMPUTED_VALUE"""),"MS")</f>
        <v>MS</v>
      </c>
      <c r="R546" s="6">
        <f>IFERROR(__xludf.DUMMYFUNCTION("""COMPUTED_VALUE"""),0.0)</f>
        <v>0</v>
      </c>
      <c r="S546" s="6" t="str">
        <f>IFERROR(__xludf.DUMMYFUNCTION("""COMPUTED_VALUE""")," ")</f>
        <v> </v>
      </c>
      <c r="T546" s="6" t="str">
        <f>IFERROR(__xludf.DUMMYFUNCTION("""COMPUTED_VALUE"""),"")</f>
        <v/>
      </c>
      <c r="U546" s="6" t="str">
        <f>IFERROR(__xludf.DUMMYFUNCTION("""COMPUTED_VALUE"""),"8")</f>
        <v>8</v>
      </c>
      <c r="V546" s="6" t="str">
        <f>IFERROR(__xludf.DUMMYFUNCTION("""COMPUTED_VALUE"""),"")</f>
        <v/>
      </c>
      <c r="W546" s="6" t="str">
        <f>IFERROR(__xludf.DUMMYFUNCTION("""COMPUTED_VALUE"""),"[]")</f>
        <v>[]</v>
      </c>
      <c r="X546" s="6" t="str">
        <f>IFERROR(__xludf.DUMMYFUNCTION("""COMPUTED_VALUE"""),"Enrolled")</f>
        <v>Enrolled</v>
      </c>
    </row>
    <row r="547">
      <c r="A547" s="6" t="str">
        <f>IFERROR(__xludf.DUMMYFUNCTION("""COMPUTED_VALUE"""),"001-0026")</f>
        <v>001-0026</v>
      </c>
      <c r="B547" s="6" t="str">
        <f>IFERROR(__xludf.DUMMYFUNCTION("""COMPUTED_VALUE"""),"1")</f>
        <v>1</v>
      </c>
      <c r="C547" s="6" t="str">
        <f>IFERROR(__xludf.DUMMYFUNCTION("""COMPUTED_VALUE"""),"0026")</f>
        <v>0026</v>
      </c>
      <c r="D547" s="6" t="str">
        <f>IFERROR(__xludf.DUMMYFUNCTION("""COMPUTED_VALUE"""),"Jude")</f>
        <v>Jude</v>
      </c>
      <c r="E547" s="6" t="str">
        <f>IFERROR(__xludf.DUMMYFUNCTION("""COMPUTED_VALUE"""),"Jude")</f>
        <v>Jude</v>
      </c>
      <c r="F547" s="6" t="str">
        <f>IFERROR(__xludf.DUMMYFUNCTION("""COMPUTED_VALUE"""),"Hock")</f>
        <v>Hock</v>
      </c>
      <c r="G547" s="6" t="str">
        <f>IFERROR(__xludf.DUMMYFUNCTION("""COMPUTED_VALUE"""),"10/04/2011")</f>
        <v>10/04/2011</v>
      </c>
      <c r="H547" s="6" t="str">
        <f>IFERROR(__xludf.DUMMYFUNCTION("""COMPUTED_VALUE"""),"male")</f>
        <v>male</v>
      </c>
      <c r="I547" s="6" t="str">
        <f>IFERROR(__xludf.DUMMYFUNCTION("""COMPUTED_VALUE"""),"Middle School")</f>
        <v>Middle School</v>
      </c>
      <c r="J547" s="6" t="str">
        <f>IFERROR(__xludf.DUMMYFUNCTION("""COMPUTED_VALUE"""),"8")</f>
        <v>8</v>
      </c>
      <c r="K547" s="6" t="str">
        <f>IFERROR(__xludf.DUMMYFUNCTION("""COMPUTED_VALUE"""),"jude.hock@alpha.school")</f>
        <v>jude.hock@alpha.school</v>
      </c>
      <c r="L547" s="6" t="str">
        <f>IFERROR(__xludf.DUMMYFUNCTION("""COMPUTED_VALUE"""),"Alpha School Austin")</f>
        <v>Alpha School Austin</v>
      </c>
      <c r="M547" s="6" t="str">
        <f>IFERROR(__xludf.DUMMYFUNCTION("""COMPUTED_VALUE"""),"")</f>
        <v/>
      </c>
      <c r="N547" s="6" t="str">
        <f>IFERROR(__xludf.DUMMYFUNCTION("""COMPUTED_VALUE"""),"")</f>
        <v/>
      </c>
      <c r="O547" s="87" t="str">
        <f>IFERROR(__xludf.DUMMYFUNCTION("""COMPUTED_VALUE"""),"https://drive.google.com/drive/folders/10T2cTQHqEJZqE-st6uFKPoI?usp=share_link")</f>
        <v>https://drive.google.com/drive/folders/10T2cTQHqEJZqE-st6uFKPoI?usp=share_link</v>
      </c>
      <c r="P547" s="6" t="str">
        <f>IFERROR(__xludf.DUMMYFUNCTION("""COMPUTED_VALUE"""),"Jude Hock")</f>
        <v>Jude Hock</v>
      </c>
      <c r="Q547" s="6" t="str">
        <f>IFERROR(__xludf.DUMMYFUNCTION("""COMPUTED_VALUE"""),"MS")</f>
        <v>MS</v>
      </c>
      <c r="R547" s="6">
        <f>IFERROR(__xludf.DUMMYFUNCTION("""COMPUTED_VALUE"""),0.0)</f>
        <v>0</v>
      </c>
      <c r="S547" s="6" t="str">
        <f>IFERROR(__xludf.DUMMYFUNCTION("""COMPUTED_VALUE"""),"Noah Lightfoot")</f>
        <v>Noah Lightfoot</v>
      </c>
      <c r="T547" s="6" t="str">
        <f>IFERROR(__xludf.DUMMYFUNCTION("""COMPUTED_VALUE"""),"noah.lightfoot@alpha.school")</f>
        <v>noah.lightfoot@alpha.school</v>
      </c>
      <c r="U547" s="6" t="str">
        <f>IFERROR(__xludf.DUMMYFUNCTION("""COMPUTED_VALUE"""),"8")</f>
        <v>8</v>
      </c>
      <c r="V547" s="6" t="str">
        <f>IFERROR(__xludf.DUMMYFUNCTION("""COMPUTED_VALUE"""),"")</f>
        <v/>
      </c>
      <c r="W547" s="6" t="str">
        <f>IFERROR(__xludf.DUMMYFUNCTION("""COMPUTED_VALUE"""),"[]")</f>
        <v>[]</v>
      </c>
      <c r="X547" s="6" t="str">
        <f>IFERROR(__xludf.DUMMYFUNCTION("""COMPUTED_VALUE"""),"Enrolled")</f>
        <v>Enrolled</v>
      </c>
    </row>
    <row r="548">
      <c r="A548" s="6" t="str">
        <f>IFERROR(__xludf.DUMMYFUNCTION("""COMPUTED_VALUE"""),"001-0030")</f>
        <v>001-0030</v>
      </c>
      <c r="B548" s="6" t="str">
        <f>IFERROR(__xludf.DUMMYFUNCTION("""COMPUTED_VALUE"""),"1")</f>
        <v>1</v>
      </c>
      <c r="C548" s="6" t="str">
        <f>IFERROR(__xludf.DUMMYFUNCTION("""COMPUTED_VALUE"""),"0030")</f>
        <v>0030</v>
      </c>
      <c r="D548" s="6" t="str">
        <f>IFERROR(__xludf.DUMMYFUNCTION("""COMPUTED_VALUE"""),"Elle")</f>
        <v>Elle</v>
      </c>
      <c r="E548" s="6" t="str">
        <f>IFERROR(__xludf.DUMMYFUNCTION("""COMPUTED_VALUE"""),"Elle")</f>
        <v>Elle</v>
      </c>
      <c r="F548" s="6" t="str">
        <f>IFERROR(__xludf.DUMMYFUNCTION("""COMPUTED_VALUE"""),"Liemandt")</f>
        <v>Liemandt</v>
      </c>
      <c r="G548" s="6" t="str">
        <f>IFERROR(__xludf.DUMMYFUNCTION("""COMPUTED_VALUE"""),"04/08/2008")</f>
        <v>04/08/2008</v>
      </c>
      <c r="H548" s="6" t="str">
        <f>IFERROR(__xludf.DUMMYFUNCTION("""COMPUTED_VALUE"""),"female")</f>
        <v>female</v>
      </c>
      <c r="I548" s="6" t="str">
        <f>IFERROR(__xludf.DUMMYFUNCTION("""COMPUTED_VALUE"""),"High School")</f>
        <v>High School</v>
      </c>
      <c r="J548" s="6" t="str">
        <f>IFERROR(__xludf.DUMMYFUNCTION("""COMPUTED_VALUE"""),"12")</f>
        <v>12</v>
      </c>
      <c r="K548" s="6" t="str">
        <f>IFERROR(__xludf.DUMMYFUNCTION("""COMPUTED_VALUE"""),"elle.liemandt@alpha.school")</f>
        <v>elle.liemandt@alpha.school</v>
      </c>
      <c r="L548" s="6" t="str">
        <f>IFERROR(__xludf.DUMMYFUNCTION("""COMPUTED_VALUE"""),"Alpha High School")</f>
        <v>Alpha High School</v>
      </c>
      <c r="M548" s="6" t="str">
        <f>IFERROR(__xludf.DUMMYFUNCTION("""COMPUTED_VALUE"""),"Waterloo")</f>
        <v>Waterloo</v>
      </c>
      <c r="N548" s="6" t="str">
        <f>IFERROR(__xludf.DUMMYFUNCTION("""COMPUTED_VALUE"""),"")</f>
        <v/>
      </c>
      <c r="O548" s="87" t="str">
        <f>IFERROR(__xludf.DUMMYFUNCTION("""COMPUTED_VALUE"""),"https://drive.google.com/drive/folders/10T2cTQHqEJZqE-st6uFKPoI?usp=share_link")</f>
        <v>https://drive.google.com/drive/folders/10T2cTQHqEJZqE-st6uFKPoI?usp=share_link</v>
      </c>
      <c r="P548" s="6" t="str">
        <f>IFERROR(__xludf.DUMMYFUNCTION("""COMPUTED_VALUE"""),"Elle Liemandt")</f>
        <v>Elle Liemandt</v>
      </c>
      <c r="Q548" s="6" t="str">
        <f>IFERROR(__xludf.DUMMYFUNCTION("""COMPUTED_VALUE"""),"HS")</f>
        <v>HS</v>
      </c>
      <c r="R548" s="6">
        <f>IFERROR(__xludf.DUMMYFUNCTION("""COMPUTED_VALUE"""),0.0)</f>
        <v>0</v>
      </c>
      <c r="S548" s="6" t="str">
        <f>IFERROR(__xludf.DUMMYFUNCTION("""COMPUTED_VALUE"""),"Cameron Sorsby")</f>
        <v>Cameron Sorsby</v>
      </c>
      <c r="T548" s="6" t="str">
        <f>IFERROR(__xludf.DUMMYFUNCTION("""COMPUTED_VALUE"""),"cameron.sorsby@alpha.school")</f>
        <v>cameron.sorsby@alpha.school</v>
      </c>
      <c r="U548" s="6" t="str">
        <f>IFERROR(__xludf.DUMMYFUNCTION("""COMPUTED_VALUE"""),"12")</f>
        <v>12</v>
      </c>
      <c r="V548" s="6" t="str">
        <f>IFERROR(__xludf.DUMMYFUNCTION("""COMPUTED_VALUE"""),"")</f>
        <v/>
      </c>
      <c r="W548" s="6" t="str">
        <f>IFERROR(__xludf.DUMMYFUNCTION("""COMPUTED_VALUE"""),"[]")</f>
        <v>[]</v>
      </c>
      <c r="X548" s="6" t="str">
        <f>IFERROR(__xludf.DUMMYFUNCTION("""COMPUTED_VALUE"""),"Enrolled")</f>
        <v>Enrolled</v>
      </c>
    </row>
    <row r="549">
      <c r="A549" s="6" t="str">
        <f>IFERROR(__xludf.DUMMYFUNCTION("""COMPUTED_VALUE"""),"001-0043")</f>
        <v>001-0043</v>
      </c>
      <c r="B549" s="6" t="str">
        <f>IFERROR(__xludf.DUMMYFUNCTION("""COMPUTED_VALUE"""),"1")</f>
        <v>1</v>
      </c>
      <c r="C549" s="6" t="str">
        <f>IFERROR(__xludf.DUMMYFUNCTION("""COMPUTED_VALUE"""),"0043")</f>
        <v>0043</v>
      </c>
      <c r="D549" s="6" t="str">
        <f>IFERROR(__xludf.DUMMYFUNCTION("""COMPUTED_VALUE"""),"Sloane")</f>
        <v>Sloane</v>
      </c>
      <c r="E549" s="6" t="str">
        <f>IFERROR(__xludf.DUMMYFUNCTION("""COMPUTED_VALUE"""),"Sloane")</f>
        <v>Sloane</v>
      </c>
      <c r="F549" s="6" t="str">
        <f>IFERROR(__xludf.DUMMYFUNCTION("""COMPUTED_VALUE"""),"Price")</f>
        <v>Price</v>
      </c>
      <c r="G549" s="6" t="str">
        <f>IFERROR(__xludf.DUMMYFUNCTION("""COMPUTED_VALUE"""),"12/30/2007")</f>
        <v>12/30/2007</v>
      </c>
      <c r="H549" s="6" t="str">
        <f>IFERROR(__xludf.DUMMYFUNCTION("""COMPUTED_VALUE"""),"F")</f>
        <v>F</v>
      </c>
      <c r="I549" s="6" t="str">
        <f>IFERROR(__xludf.DUMMYFUNCTION("""COMPUTED_VALUE"""),"High School")</f>
        <v>High School</v>
      </c>
      <c r="J549" s="6" t="str">
        <f>IFERROR(__xludf.DUMMYFUNCTION("""COMPUTED_VALUE"""),"12")</f>
        <v>12</v>
      </c>
      <c r="K549" s="6" t="str">
        <f>IFERROR(__xludf.DUMMYFUNCTION("""COMPUTED_VALUE"""),"sloane.price@alpha.school")</f>
        <v>sloane.price@alpha.school</v>
      </c>
      <c r="L549" s="6" t="str">
        <f>IFERROR(__xludf.DUMMYFUNCTION("""COMPUTED_VALUE"""),"Alpha High School")</f>
        <v>Alpha High School</v>
      </c>
      <c r="M549" s="6" t="str">
        <f>IFERROR(__xludf.DUMMYFUNCTION("""COMPUTED_VALUE"""),"SoCo")</f>
        <v>SoCo</v>
      </c>
      <c r="N549" s="6" t="str">
        <f>IFERROR(__xludf.DUMMYFUNCTION("""COMPUTED_VALUE"""),"")</f>
        <v/>
      </c>
      <c r="O549" s="87" t="str">
        <f>IFERROR(__xludf.DUMMYFUNCTION("""COMPUTED_VALUE"""),"https://drive.google.com/drive/folders/10T2cTQHqEJZqE-st6uFKPoI?usp=share_link")</f>
        <v>https://drive.google.com/drive/folders/10T2cTQHqEJZqE-st6uFKPoI?usp=share_link</v>
      </c>
      <c r="P549" s="6" t="str">
        <f>IFERROR(__xludf.DUMMYFUNCTION("""COMPUTED_VALUE"""),"Sloane Price")</f>
        <v>Sloane Price</v>
      </c>
      <c r="Q549" s="6" t="str">
        <f>IFERROR(__xludf.DUMMYFUNCTION("""COMPUTED_VALUE"""),"HS")</f>
        <v>HS</v>
      </c>
      <c r="R549" s="6">
        <f>IFERROR(__xludf.DUMMYFUNCTION("""COMPUTED_VALUE"""),0.0)</f>
        <v>0</v>
      </c>
      <c r="S549" s="6" t="str">
        <f>IFERROR(__xludf.DUMMYFUNCTION("""COMPUTED_VALUE"""),"Cameron Sorsby")</f>
        <v>Cameron Sorsby</v>
      </c>
      <c r="T549" s="6" t="str">
        <f>IFERROR(__xludf.DUMMYFUNCTION("""COMPUTED_VALUE"""),"cameron.sorsby@alpha.school")</f>
        <v>cameron.sorsby@alpha.school</v>
      </c>
      <c r="U549" s="6" t="str">
        <f>IFERROR(__xludf.DUMMYFUNCTION("""COMPUTED_VALUE"""),"12")</f>
        <v>12</v>
      </c>
      <c r="V549" s="6" t="str">
        <f>IFERROR(__xludf.DUMMYFUNCTION("""COMPUTED_VALUE"""),"")</f>
        <v/>
      </c>
      <c r="W549" s="6" t="str">
        <f>IFERROR(__xludf.DUMMYFUNCTION("""COMPUTED_VALUE"""),"[]")</f>
        <v>[]</v>
      </c>
      <c r="X549" s="6" t="str">
        <f>IFERROR(__xludf.DUMMYFUNCTION("""COMPUTED_VALUE"""),"Enrolled")</f>
        <v>Enrolled</v>
      </c>
    </row>
    <row r="550">
      <c r="A550" s="6" t="str">
        <f>IFERROR(__xludf.DUMMYFUNCTION("""COMPUTED_VALUE"""),"001-0046")</f>
        <v>001-0046</v>
      </c>
      <c r="B550" s="6" t="str">
        <f>IFERROR(__xludf.DUMMYFUNCTION("""COMPUTED_VALUE"""),"1")</f>
        <v>1</v>
      </c>
      <c r="C550" s="6" t="str">
        <f>IFERROR(__xludf.DUMMYFUNCTION("""COMPUTED_VALUE"""),"0046")</f>
        <v>0046</v>
      </c>
      <c r="D550" s="6" t="str">
        <f>IFERROR(__xludf.DUMMYFUNCTION("""COMPUTED_VALUE"""),"Madelena")</f>
        <v>Madelena</v>
      </c>
      <c r="E550" s="6" t="str">
        <f>IFERROR(__xludf.DUMMYFUNCTION("""COMPUTED_VALUE"""),"Maddie")</f>
        <v>Maddie</v>
      </c>
      <c r="F550" s="6" t="str">
        <f>IFERROR(__xludf.DUMMYFUNCTION("""COMPUTED_VALUE"""),"Price")</f>
        <v>Price</v>
      </c>
      <c r="G550" s="6" t="str">
        <f>IFERROR(__xludf.DUMMYFUNCTION("""COMPUTED_VALUE"""),"06/11/2008")</f>
        <v>06/11/2008</v>
      </c>
      <c r="H550" s="6" t="str">
        <f>IFERROR(__xludf.DUMMYFUNCTION("""COMPUTED_VALUE"""),"F")</f>
        <v>F</v>
      </c>
      <c r="I550" s="6" t="str">
        <f>IFERROR(__xludf.DUMMYFUNCTION("""COMPUTED_VALUE"""),"High School")</f>
        <v>High School</v>
      </c>
      <c r="J550" s="6" t="str">
        <f>IFERROR(__xludf.DUMMYFUNCTION("""COMPUTED_VALUE"""),"12")</f>
        <v>12</v>
      </c>
      <c r="K550" s="6" t="str">
        <f>IFERROR(__xludf.DUMMYFUNCTION("""COMPUTED_VALUE"""),"maddie.price@alpha.school")</f>
        <v>maddie.price@alpha.school</v>
      </c>
      <c r="L550" s="6" t="str">
        <f>IFERROR(__xludf.DUMMYFUNCTION("""COMPUTED_VALUE"""),"Alpha High School")</f>
        <v>Alpha High School</v>
      </c>
      <c r="M550" s="6" t="str">
        <f>IFERROR(__xludf.DUMMYFUNCTION("""COMPUTED_VALUE"""),"Chavez")</f>
        <v>Chavez</v>
      </c>
      <c r="N550" s="6" t="str">
        <f>IFERROR(__xludf.DUMMYFUNCTION("""COMPUTED_VALUE"""),"")</f>
        <v/>
      </c>
      <c r="O550" s="87" t="str">
        <f>IFERROR(__xludf.DUMMYFUNCTION("""COMPUTED_VALUE"""),"https://drive.google.com/drive/folders/10T2cTQHqEJZqE-st6uFKPoI?usp=share_link")</f>
        <v>https://drive.google.com/drive/folders/10T2cTQHqEJZqE-st6uFKPoI?usp=share_link</v>
      </c>
      <c r="P550" s="6" t="str">
        <f>IFERROR(__xludf.DUMMYFUNCTION("""COMPUTED_VALUE"""),"Maddie Price")</f>
        <v>Maddie Price</v>
      </c>
      <c r="Q550" s="6" t="str">
        <f>IFERROR(__xludf.DUMMYFUNCTION("""COMPUTED_VALUE"""),"HS")</f>
        <v>HS</v>
      </c>
      <c r="R550" s="6">
        <f>IFERROR(__xludf.DUMMYFUNCTION("""COMPUTED_VALUE"""),0.0)</f>
        <v>0</v>
      </c>
      <c r="S550" s="6" t="str">
        <f>IFERROR(__xludf.DUMMYFUNCTION("""COMPUTED_VALUE"""),"Cameron Sorsby")</f>
        <v>Cameron Sorsby</v>
      </c>
      <c r="T550" s="6" t="str">
        <f>IFERROR(__xludf.DUMMYFUNCTION("""COMPUTED_VALUE"""),"cameron.sorsby@alpha.school")</f>
        <v>cameron.sorsby@alpha.school</v>
      </c>
      <c r="U550" s="6" t="str">
        <f>IFERROR(__xludf.DUMMYFUNCTION("""COMPUTED_VALUE"""),"12")</f>
        <v>12</v>
      </c>
      <c r="V550" s="6" t="str">
        <f>IFERROR(__xludf.DUMMYFUNCTION("""COMPUTED_VALUE"""),"")</f>
        <v/>
      </c>
      <c r="W550" s="6" t="str">
        <f>IFERROR(__xludf.DUMMYFUNCTION("""COMPUTED_VALUE"""),"[]")</f>
        <v>[]</v>
      </c>
      <c r="X550" s="6" t="str">
        <f>IFERROR(__xludf.DUMMYFUNCTION("""COMPUTED_VALUE"""),"Enrolled")</f>
        <v>Enrolled</v>
      </c>
    </row>
    <row r="551">
      <c r="A551" s="6" t="str">
        <f>IFERROR(__xludf.DUMMYFUNCTION("""COMPUTED_VALUE"""),"001-0070")</f>
        <v>001-0070</v>
      </c>
      <c r="B551" s="6" t="str">
        <f>IFERROR(__xludf.DUMMYFUNCTION("""COMPUTED_VALUE"""),"1")</f>
        <v>1</v>
      </c>
      <c r="C551" s="6" t="str">
        <f>IFERROR(__xludf.DUMMYFUNCTION("""COMPUTED_VALUE"""),"0070")</f>
        <v>0070</v>
      </c>
      <c r="D551" s="6" t="str">
        <f>IFERROR(__xludf.DUMMYFUNCTION("""COMPUTED_VALUE"""),"Ali")</f>
        <v>Ali</v>
      </c>
      <c r="E551" s="6" t="str">
        <f>IFERROR(__xludf.DUMMYFUNCTION("""COMPUTED_VALUE"""),"Ali")</f>
        <v>Ali</v>
      </c>
      <c r="F551" s="6" t="str">
        <f>IFERROR(__xludf.DUMMYFUNCTION("""COMPUTED_VALUE"""),"Romman")</f>
        <v>Romman</v>
      </c>
      <c r="G551" s="6" t="str">
        <f>IFERROR(__xludf.DUMMYFUNCTION("""COMPUTED_VALUE"""),"03/28/2011")</f>
        <v>03/28/2011</v>
      </c>
      <c r="H551" s="6" t="str">
        <f>IFERROR(__xludf.DUMMYFUNCTION("""COMPUTED_VALUE"""),"male")</f>
        <v>male</v>
      </c>
      <c r="I551" s="6" t="str">
        <f>IFERROR(__xludf.DUMMYFUNCTION("""COMPUTED_VALUE"""),"High School")</f>
        <v>High School</v>
      </c>
      <c r="J551" s="6" t="str">
        <f>IFERROR(__xludf.DUMMYFUNCTION("""COMPUTED_VALUE"""),"9")</f>
        <v>9</v>
      </c>
      <c r="K551" s="6" t="str">
        <f>IFERROR(__xludf.DUMMYFUNCTION("""COMPUTED_VALUE"""),"ali.romman@alpha.school")</f>
        <v>ali.romman@alpha.school</v>
      </c>
      <c r="L551" s="6" t="str">
        <f>IFERROR(__xludf.DUMMYFUNCTION("""COMPUTED_VALUE"""),"Alpha High School")</f>
        <v>Alpha High School</v>
      </c>
      <c r="M551" s="6" t="str">
        <f>IFERROR(__xludf.DUMMYFUNCTION("""COMPUTED_VALUE"""),"")</f>
        <v/>
      </c>
      <c r="N551" s="6" t="str">
        <f>IFERROR(__xludf.DUMMYFUNCTION("""COMPUTED_VALUE"""),"")</f>
        <v/>
      </c>
      <c r="O551" s="87" t="str">
        <f>IFERROR(__xludf.DUMMYFUNCTION("""COMPUTED_VALUE"""),"https://drive.google.com/drive/folders/10T2cTQHqEJZqE-st6uFKPoI?usp=share_link")</f>
        <v>https://drive.google.com/drive/folders/10T2cTQHqEJZqE-st6uFKPoI?usp=share_link</v>
      </c>
      <c r="P551" s="6" t="str">
        <f>IFERROR(__xludf.DUMMYFUNCTION("""COMPUTED_VALUE"""),"Ali Romman")</f>
        <v>Ali Romman</v>
      </c>
      <c r="Q551" s="6" t="str">
        <f>IFERROR(__xludf.DUMMYFUNCTION("""COMPUTED_VALUE"""),"HS")</f>
        <v>HS</v>
      </c>
      <c r="R551" s="6">
        <f>IFERROR(__xludf.DUMMYFUNCTION("""COMPUTED_VALUE"""),0.0)</f>
        <v>0</v>
      </c>
      <c r="S551" s="6" t="str">
        <f>IFERROR(__xludf.DUMMYFUNCTION("""COMPUTED_VALUE"""),"Emily Findley")</f>
        <v>Emily Findley</v>
      </c>
      <c r="T551" s="6" t="str">
        <f>IFERROR(__xludf.DUMMYFUNCTION("""COMPUTED_VALUE"""),"emily.findley@alpha.school")</f>
        <v>emily.findley@alpha.school</v>
      </c>
      <c r="U551" s="6" t="str">
        <f>IFERROR(__xludf.DUMMYFUNCTION("""COMPUTED_VALUE"""),"9")</f>
        <v>9</v>
      </c>
      <c r="V551" s="6" t="str">
        <f>IFERROR(__xludf.DUMMYFUNCTION("""COMPUTED_VALUE"""),"")</f>
        <v/>
      </c>
      <c r="W551" s="6" t="str">
        <f>IFERROR(__xludf.DUMMYFUNCTION("""COMPUTED_VALUE"""),"[]")</f>
        <v>[]</v>
      </c>
      <c r="X551" s="6" t="str">
        <f>IFERROR(__xludf.DUMMYFUNCTION("""COMPUTED_VALUE"""),"Enrolled")</f>
        <v>Enrolled</v>
      </c>
    </row>
    <row r="552">
      <c r="A552" s="6" t="str">
        <f>IFERROR(__xludf.DUMMYFUNCTION("""COMPUTED_VALUE"""),"001-0092")</f>
        <v>001-0092</v>
      </c>
      <c r="B552" s="6" t="str">
        <f>IFERROR(__xludf.DUMMYFUNCTION("""COMPUTED_VALUE"""),"1")</f>
        <v>1</v>
      </c>
      <c r="C552" s="6" t="str">
        <f>IFERROR(__xludf.DUMMYFUNCTION("""COMPUTED_VALUE"""),"0092")</f>
        <v>0092</v>
      </c>
      <c r="D552" s="6" t="str">
        <f>IFERROR(__xludf.DUMMYFUNCTION("""COMPUTED_VALUE"""),"Parker")</f>
        <v>Parker</v>
      </c>
      <c r="E552" s="6" t="str">
        <f>IFERROR(__xludf.DUMMYFUNCTION("""COMPUTED_VALUE"""),"Parker")</f>
        <v>Parker</v>
      </c>
      <c r="F552" s="6" t="str">
        <f>IFERROR(__xludf.DUMMYFUNCTION("""COMPUTED_VALUE"""),"Pesek")</f>
        <v>Pesek</v>
      </c>
      <c r="G552" s="6" t="str">
        <f>IFERROR(__xludf.DUMMYFUNCTION("""COMPUTED_VALUE"""),"06/06/2012")</f>
        <v>06/06/2012</v>
      </c>
      <c r="H552" s="6" t="str">
        <f>IFERROR(__xludf.DUMMYFUNCTION("""COMPUTED_VALUE"""),"M")</f>
        <v>M</v>
      </c>
      <c r="I552" s="6" t="str">
        <f>IFERROR(__xludf.DUMMYFUNCTION("""COMPUTED_VALUE"""),"Middle School")</f>
        <v>Middle School</v>
      </c>
      <c r="J552" s="6" t="str">
        <f>IFERROR(__xludf.DUMMYFUNCTION("""COMPUTED_VALUE"""),"8")</f>
        <v>8</v>
      </c>
      <c r="K552" s="6" t="str">
        <f>IFERROR(__xludf.DUMMYFUNCTION("""COMPUTED_VALUE"""),"parker.pesek@alpha.school")</f>
        <v>parker.pesek@alpha.school</v>
      </c>
      <c r="L552" s="6" t="str">
        <f>IFERROR(__xludf.DUMMYFUNCTION("""COMPUTED_VALUE"""),"Alpha School Austin")</f>
        <v>Alpha School Austin</v>
      </c>
      <c r="M552" s="6" t="str">
        <f>IFERROR(__xludf.DUMMYFUNCTION("""COMPUTED_VALUE"""),"")</f>
        <v/>
      </c>
      <c r="N552" s="6" t="str">
        <f>IFERROR(__xludf.DUMMYFUNCTION("""COMPUTED_VALUE"""),"")</f>
        <v/>
      </c>
      <c r="O552" s="87" t="str">
        <f>IFERROR(__xludf.DUMMYFUNCTION("""COMPUTED_VALUE"""),"https://drive.google.com/drive/folders/10T2cTQHqEJZqE-st6uFKPoI?usp=share_link")</f>
        <v>https://drive.google.com/drive/folders/10T2cTQHqEJZqE-st6uFKPoI?usp=share_link</v>
      </c>
      <c r="P552" s="6" t="str">
        <f>IFERROR(__xludf.DUMMYFUNCTION("""COMPUTED_VALUE"""),"Parker Pesek")</f>
        <v>Parker Pesek</v>
      </c>
      <c r="Q552" s="6" t="str">
        <f>IFERROR(__xludf.DUMMYFUNCTION("""COMPUTED_VALUE"""),"MS")</f>
        <v>MS</v>
      </c>
      <c r="R552" s="6">
        <f>IFERROR(__xludf.DUMMYFUNCTION("""COMPUTED_VALUE"""),0.0)</f>
        <v>0</v>
      </c>
      <c r="S552" s="6" t="str">
        <f>IFERROR(__xludf.DUMMYFUNCTION("""COMPUTED_VALUE"""),"Lauren Hammond")</f>
        <v>Lauren Hammond</v>
      </c>
      <c r="T552" s="6" t="str">
        <f>IFERROR(__xludf.DUMMYFUNCTION("""COMPUTED_VALUE"""),"lauren.hammond@alpha.school")</f>
        <v>lauren.hammond@alpha.school</v>
      </c>
      <c r="U552" s="6" t="str">
        <f>IFERROR(__xludf.DUMMYFUNCTION("""COMPUTED_VALUE"""),"8")</f>
        <v>8</v>
      </c>
      <c r="V552" s="6" t="str">
        <f>IFERROR(__xludf.DUMMYFUNCTION("""COMPUTED_VALUE"""),"")</f>
        <v/>
      </c>
      <c r="W552" s="6" t="str">
        <f>IFERROR(__xludf.DUMMYFUNCTION("""COMPUTED_VALUE"""),"[Text-to-Speech,Solo Space,Extended Time]")</f>
        <v>[Text-to-Speech,Solo Space,Extended Time]</v>
      </c>
      <c r="X552" s="6" t="str">
        <f>IFERROR(__xludf.DUMMYFUNCTION("""COMPUTED_VALUE"""),"Enrolled")</f>
        <v>Enrolled</v>
      </c>
    </row>
    <row r="553">
      <c r="A553" s="6" t="str">
        <f>IFERROR(__xludf.DUMMYFUNCTION("""COMPUTED_VALUE"""),"001-0120")</f>
        <v>001-0120</v>
      </c>
      <c r="B553" s="6" t="str">
        <f>IFERROR(__xludf.DUMMYFUNCTION("""COMPUTED_VALUE"""),"1")</f>
        <v>1</v>
      </c>
      <c r="C553" s="6" t="str">
        <f>IFERROR(__xludf.DUMMYFUNCTION("""COMPUTED_VALUE"""),"0120")</f>
        <v>0120</v>
      </c>
      <c r="D553" s="6" t="str">
        <f>IFERROR(__xludf.DUMMYFUNCTION("""COMPUTED_VALUE"""),"Nadine")</f>
        <v>Nadine</v>
      </c>
      <c r="E553" s="6" t="str">
        <f>IFERROR(__xludf.DUMMYFUNCTION("""COMPUTED_VALUE"""),"Nadine")</f>
        <v>Nadine</v>
      </c>
      <c r="F553" s="6" t="str">
        <f>IFERROR(__xludf.DUMMYFUNCTION("""COMPUTED_VALUE"""),"Romman")</f>
        <v>Romman</v>
      </c>
      <c r="G553" s="6" t="str">
        <f>IFERROR(__xludf.DUMMYFUNCTION("""COMPUTED_VALUE"""),"01/09/2014")</f>
        <v>01/09/2014</v>
      </c>
      <c r="H553" s="6" t="str">
        <f>IFERROR(__xludf.DUMMYFUNCTION("""COMPUTED_VALUE"""),"female")</f>
        <v>female</v>
      </c>
      <c r="I553" s="6" t="str">
        <f>IFERROR(__xludf.DUMMYFUNCTION("""COMPUTED_VALUE"""),"Middle School")</f>
        <v>Middle School</v>
      </c>
      <c r="J553" s="6" t="str">
        <f>IFERROR(__xludf.DUMMYFUNCTION("""COMPUTED_VALUE"""),"6")</f>
        <v>6</v>
      </c>
      <c r="K553" s="6" t="str">
        <f>IFERROR(__xludf.DUMMYFUNCTION("""COMPUTED_VALUE"""),"nadine.romman@alpha.school")</f>
        <v>nadine.romman@alpha.school</v>
      </c>
      <c r="L553" s="6" t="str">
        <f>IFERROR(__xludf.DUMMYFUNCTION("""COMPUTED_VALUE"""),"Alpha School Austin")</f>
        <v>Alpha School Austin</v>
      </c>
      <c r="M553" s="6" t="str">
        <f>IFERROR(__xludf.DUMMYFUNCTION("""COMPUTED_VALUE"""),"")</f>
        <v/>
      </c>
      <c r="N553" s="6" t="str">
        <f>IFERROR(__xludf.DUMMYFUNCTION("""COMPUTED_VALUE"""),"")</f>
        <v/>
      </c>
      <c r="O553" s="87" t="str">
        <f>IFERROR(__xludf.DUMMYFUNCTION("""COMPUTED_VALUE"""),"https://drive.google.com/drive/folders/10T2cTQHqEJZqE-st6uFKPoI?usp=share_link")</f>
        <v>https://drive.google.com/drive/folders/10T2cTQHqEJZqE-st6uFKPoI?usp=share_link</v>
      </c>
      <c r="P553" s="6" t="str">
        <f>IFERROR(__xludf.DUMMYFUNCTION("""COMPUTED_VALUE"""),"Nadine Romman")</f>
        <v>Nadine Romman</v>
      </c>
      <c r="Q553" s="6" t="str">
        <f>IFERROR(__xludf.DUMMYFUNCTION("""COMPUTED_VALUE"""),"MS")</f>
        <v>MS</v>
      </c>
      <c r="R553" s="6">
        <f>IFERROR(__xludf.DUMMYFUNCTION("""COMPUTED_VALUE"""),0.0)</f>
        <v>0</v>
      </c>
      <c r="S553" s="6" t="str">
        <f>IFERROR(__xludf.DUMMYFUNCTION("""COMPUTED_VALUE"""),"Lauren Hammond")</f>
        <v>Lauren Hammond</v>
      </c>
      <c r="T553" s="6" t="str">
        <f>IFERROR(__xludf.DUMMYFUNCTION("""COMPUTED_VALUE"""),"lauren.hammond@alpha.school")</f>
        <v>lauren.hammond@alpha.school</v>
      </c>
      <c r="U553" s="6" t="str">
        <f>IFERROR(__xludf.DUMMYFUNCTION("""COMPUTED_VALUE"""),"6")</f>
        <v>6</v>
      </c>
      <c r="V553" s="6" t="str">
        <f>IFERROR(__xludf.DUMMYFUNCTION("""COMPUTED_VALUE"""),"")</f>
        <v/>
      </c>
      <c r="W553" s="6" t="str">
        <f>IFERROR(__xludf.DUMMYFUNCTION("""COMPUTED_VALUE"""),"[]")</f>
        <v>[]</v>
      </c>
      <c r="X553" s="6" t="str">
        <f>IFERROR(__xludf.DUMMYFUNCTION("""COMPUTED_VALUE"""),"Enrolled")</f>
        <v>Enrolled</v>
      </c>
    </row>
    <row r="554">
      <c r="A554" s="6" t="str">
        <f>IFERROR(__xludf.DUMMYFUNCTION("""COMPUTED_VALUE"""),"001-0129")</f>
        <v>001-0129</v>
      </c>
      <c r="B554" s="6" t="str">
        <f>IFERROR(__xludf.DUMMYFUNCTION("""COMPUTED_VALUE"""),"1")</f>
        <v>1</v>
      </c>
      <c r="C554" s="6" t="str">
        <f>IFERROR(__xludf.DUMMYFUNCTION("""COMPUTED_VALUE"""),"0129")</f>
        <v>0129</v>
      </c>
      <c r="D554" s="6" t="str">
        <f>IFERROR(__xludf.DUMMYFUNCTION("""COMPUTED_VALUE"""),"Sara Beth")</f>
        <v>Sara Beth</v>
      </c>
      <c r="E554" s="6" t="str">
        <f>IFERROR(__xludf.DUMMYFUNCTION("""COMPUTED_VALUE"""),"Sara Beth")</f>
        <v>Sara Beth</v>
      </c>
      <c r="F554" s="6" t="str">
        <f>IFERROR(__xludf.DUMMYFUNCTION("""COMPUTED_VALUE"""),"Way")</f>
        <v>Way</v>
      </c>
      <c r="G554" s="6" t="str">
        <f>IFERROR(__xludf.DUMMYFUNCTION("""COMPUTED_VALUE"""),"02/06/2009")</f>
        <v>02/06/2009</v>
      </c>
      <c r="H554" s="6" t="str">
        <f>IFERROR(__xludf.DUMMYFUNCTION("""COMPUTED_VALUE"""),"female")</f>
        <v>female</v>
      </c>
      <c r="I554" s="6" t="str">
        <f>IFERROR(__xludf.DUMMYFUNCTION("""COMPUTED_VALUE"""),"High School")</f>
        <v>High School</v>
      </c>
      <c r="J554" s="6" t="str">
        <f>IFERROR(__xludf.DUMMYFUNCTION("""COMPUTED_VALUE"""),"11")</f>
        <v>11</v>
      </c>
      <c r="K554" s="6" t="str">
        <f>IFERROR(__xludf.DUMMYFUNCTION("""COMPUTED_VALUE"""),"sarabeth.way@alpha.school")</f>
        <v>sarabeth.way@alpha.school</v>
      </c>
      <c r="L554" s="6" t="str">
        <f>IFERROR(__xludf.DUMMYFUNCTION("""COMPUTED_VALUE"""),"Alpha High School")</f>
        <v>Alpha High School</v>
      </c>
      <c r="M554" s="6" t="str">
        <f>IFERROR(__xludf.DUMMYFUNCTION("""COMPUTED_VALUE"""),"SoCo")</f>
        <v>SoCo</v>
      </c>
      <c r="N554" s="6" t="str">
        <f>IFERROR(__xludf.DUMMYFUNCTION("""COMPUTED_VALUE"""),"")</f>
        <v/>
      </c>
      <c r="O554" s="87" t="str">
        <f>IFERROR(__xludf.DUMMYFUNCTION("""COMPUTED_VALUE"""),"https://drive.google.com/drive/folders/10T2cTQHqEJZqE-st6uFKPoI?usp=share_link")</f>
        <v>https://drive.google.com/drive/folders/10T2cTQHqEJZqE-st6uFKPoI?usp=share_link</v>
      </c>
      <c r="P554" s="6" t="str">
        <f>IFERROR(__xludf.DUMMYFUNCTION("""COMPUTED_VALUE"""),"Sara Beth Way")</f>
        <v>Sara Beth Way</v>
      </c>
      <c r="Q554" s="6" t="str">
        <f>IFERROR(__xludf.DUMMYFUNCTION("""COMPUTED_VALUE"""),"HS")</f>
        <v>HS</v>
      </c>
      <c r="R554" s="6">
        <f>IFERROR(__xludf.DUMMYFUNCTION("""COMPUTED_VALUE"""),0.0)</f>
        <v>0</v>
      </c>
      <c r="S554" s="6" t="str">
        <f>IFERROR(__xludf.DUMMYFUNCTION("""COMPUTED_VALUE"""),"Chloe Belvin")</f>
        <v>Chloe Belvin</v>
      </c>
      <c r="T554" s="6" t="str">
        <f>IFERROR(__xludf.DUMMYFUNCTION("""COMPUTED_VALUE"""),"chloe.belvin@alpha.school")</f>
        <v>chloe.belvin@alpha.school</v>
      </c>
      <c r="U554" s="6" t="str">
        <f>IFERROR(__xludf.DUMMYFUNCTION("""COMPUTED_VALUE"""),"11")</f>
        <v>11</v>
      </c>
      <c r="V554" s="6" t="str">
        <f>IFERROR(__xludf.DUMMYFUNCTION("""COMPUTED_VALUE"""),"")</f>
        <v/>
      </c>
      <c r="W554" s="6" t="str">
        <f>IFERROR(__xludf.DUMMYFUNCTION("""COMPUTED_VALUE"""),"[Text-to-Speech,Solo Space]")</f>
        <v>[Text-to-Speech,Solo Space]</v>
      </c>
      <c r="X554" s="6" t="str">
        <f>IFERROR(__xludf.DUMMYFUNCTION("""COMPUTED_VALUE"""),"Enrolled")</f>
        <v>Enrolled</v>
      </c>
    </row>
    <row r="555">
      <c r="A555" s="6" t="str">
        <f>IFERROR(__xludf.DUMMYFUNCTION("""COMPUTED_VALUE"""),"001-0143")</f>
        <v>001-0143</v>
      </c>
      <c r="B555" s="6" t="str">
        <f>IFERROR(__xludf.DUMMYFUNCTION("""COMPUTED_VALUE"""),"1")</f>
        <v>1</v>
      </c>
      <c r="C555" s="6" t="str">
        <f>IFERROR(__xludf.DUMMYFUNCTION("""COMPUTED_VALUE"""),"0143")</f>
        <v>0143</v>
      </c>
      <c r="D555" s="6" t="str">
        <f>IFERROR(__xludf.DUMMYFUNCTION("""COMPUTED_VALUE"""),"Luke")</f>
        <v>Luke</v>
      </c>
      <c r="E555" s="6" t="str">
        <f>IFERROR(__xludf.DUMMYFUNCTION("""COMPUTED_VALUE"""),"Luke")</f>
        <v>Luke</v>
      </c>
      <c r="F555" s="6" t="str">
        <f>IFERROR(__xludf.DUMMYFUNCTION("""COMPUTED_VALUE"""),"Hock")</f>
        <v>Hock</v>
      </c>
      <c r="G555" s="6" t="str">
        <f>IFERROR(__xludf.DUMMYFUNCTION("""COMPUTED_VALUE"""),"07/31/2014")</f>
        <v>07/31/2014</v>
      </c>
      <c r="H555" s="6" t="str">
        <f>IFERROR(__xludf.DUMMYFUNCTION("""COMPUTED_VALUE"""),"male")</f>
        <v>male</v>
      </c>
      <c r="I555" s="6" t="str">
        <f>IFERROR(__xludf.DUMMYFUNCTION("""COMPUTED_VALUE"""),"Middle School")</f>
        <v>Middle School</v>
      </c>
      <c r="J555" s="6" t="str">
        <f>IFERROR(__xludf.DUMMYFUNCTION("""COMPUTED_VALUE"""),"6")</f>
        <v>6</v>
      </c>
      <c r="K555" s="6" t="str">
        <f>IFERROR(__xludf.DUMMYFUNCTION("""COMPUTED_VALUE"""),"luke.hock@alpha.school")</f>
        <v>luke.hock@alpha.school</v>
      </c>
      <c r="L555" s="6" t="str">
        <f>IFERROR(__xludf.DUMMYFUNCTION("""COMPUTED_VALUE"""),"Alpha School Austin")</f>
        <v>Alpha School Austin</v>
      </c>
      <c r="M555" s="6" t="str">
        <f>IFERROR(__xludf.DUMMYFUNCTION("""COMPUTED_VALUE"""),"")</f>
        <v/>
      </c>
      <c r="N555" s="6" t="str">
        <f>IFERROR(__xludf.DUMMYFUNCTION("""COMPUTED_VALUE"""),"")</f>
        <v/>
      </c>
      <c r="O555" s="87" t="str">
        <f>IFERROR(__xludf.DUMMYFUNCTION("""COMPUTED_VALUE"""),"https://drive.google.com/drive/folders/10T2cTQHqEJZqE-st6uFKPoI?usp=share_link")</f>
        <v>https://drive.google.com/drive/folders/10T2cTQHqEJZqE-st6uFKPoI?usp=share_link</v>
      </c>
      <c r="P555" s="6" t="str">
        <f>IFERROR(__xludf.DUMMYFUNCTION("""COMPUTED_VALUE"""),"Luke Hock")</f>
        <v>Luke Hock</v>
      </c>
      <c r="Q555" s="6" t="str">
        <f>IFERROR(__xludf.DUMMYFUNCTION("""COMPUTED_VALUE"""),"MS")</f>
        <v>MS</v>
      </c>
      <c r="R555" s="6">
        <f>IFERROR(__xludf.DUMMYFUNCTION("""COMPUTED_VALUE"""),0.0)</f>
        <v>0</v>
      </c>
      <c r="S555" s="6" t="str">
        <f>IFERROR(__xludf.DUMMYFUNCTION("""COMPUTED_VALUE"""),"Jawaan Delaney")</f>
        <v>Jawaan Delaney</v>
      </c>
      <c r="T555" s="6" t="str">
        <f>IFERROR(__xludf.DUMMYFUNCTION("""COMPUTED_VALUE"""),"jawaan.delaney@alpha.school")</f>
        <v>jawaan.delaney@alpha.school</v>
      </c>
      <c r="U555" s="6" t="str">
        <f>IFERROR(__xludf.DUMMYFUNCTION("""COMPUTED_VALUE"""),"6")</f>
        <v>6</v>
      </c>
      <c r="V555" s="6" t="str">
        <f>IFERROR(__xludf.DUMMYFUNCTION("""COMPUTED_VALUE"""),"")</f>
        <v/>
      </c>
      <c r="W555" s="6" t="str">
        <f>IFERROR(__xludf.DUMMYFUNCTION("""COMPUTED_VALUE"""),"[]")</f>
        <v>[]</v>
      </c>
      <c r="X555" s="6" t="str">
        <f>IFERROR(__xludf.DUMMYFUNCTION("""COMPUTED_VALUE"""),"Enrolled")</f>
        <v>Enrolled</v>
      </c>
    </row>
    <row r="556">
      <c r="A556" s="6" t="str">
        <f>IFERROR(__xludf.DUMMYFUNCTION("""COMPUTED_VALUE"""),"001-0144")</f>
        <v>001-0144</v>
      </c>
      <c r="B556" s="6" t="str">
        <f>IFERROR(__xludf.DUMMYFUNCTION("""COMPUTED_VALUE"""),"1")</f>
        <v>1</v>
      </c>
      <c r="C556" s="6" t="str">
        <f>IFERROR(__xludf.DUMMYFUNCTION("""COMPUTED_VALUE"""),"0144")</f>
        <v>0144</v>
      </c>
      <c r="D556" s="6" t="str">
        <f>IFERROR(__xludf.DUMMYFUNCTION("""COMPUTED_VALUE"""),"Elaina")</f>
        <v>Elaina</v>
      </c>
      <c r="E556" s="6" t="str">
        <f>IFERROR(__xludf.DUMMYFUNCTION("""COMPUTED_VALUE"""),"Elaina")</f>
        <v>Elaina</v>
      </c>
      <c r="F556" s="6" t="str">
        <f>IFERROR(__xludf.DUMMYFUNCTION("""COMPUTED_VALUE"""),"Robertson")</f>
        <v>Robertson</v>
      </c>
      <c r="G556" s="6" t="str">
        <f>IFERROR(__xludf.DUMMYFUNCTION("""COMPUTED_VALUE"""),"09/22/2014")</f>
        <v>09/22/2014</v>
      </c>
      <c r="H556" s="6" t="str">
        <f>IFERROR(__xludf.DUMMYFUNCTION("""COMPUTED_VALUE"""),"female")</f>
        <v>female</v>
      </c>
      <c r="I556" s="6" t="str">
        <f>IFERROR(__xludf.DUMMYFUNCTION("""COMPUTED_VALUE"""),"Level 2")</f>
        <v>Level 2</v>
      </c>
      <c r="J556" s="6" t="str">
        <f>IFERROR(__xludf.DUMMYFUNCTION("""COMPUTED_VALUE"""),"5")</f>
        <v>5</v>
      </c>
      <c r="K556" s="6" t="str">
        <f>IFERROR(__xludf.DUMMYFUNCTION("""COMPUTED_VALUE"""),"elaina.robertson@alpha.school")</f>
        <v>elaina.robertson@alpha.school</v>
      </c>
      <c r="L556" s="6" t="str">
        <f>IFERROR(__xludf.DUMMYFUNCTION("""COMPUTED_VALUE"""),"Alpha School Austin")</f>
        <v>Alpha School Austin</v>
      </c>
      <c r="M556" s="6" t="str">
        <f>IFERROR(__xludf.DUMMYFUNCTION("""COMPUTED_VALUE"""),"JP")</f>
        <v>JP</v>
      </c>
      <c r="N556" s="6" t="str">
        <f>IFERROR(__xludf.DUMMYFUNCTION("""COMPUTED_VALUE"""),"")</f>
        <v/>
      </c>
      <c r="O556" s="87" t="str">
        <f>IFERROR(__xludf.DUMMYFUNCTION("""COMPUTED_VALUE"""),"https://drive.google.com/drive/folders/10T2cTQHqEJZqE-st6uFKPoI?usp=share_link")</f>
        <v>https://drive.google.com/drive/folders/10T2cTQHqEJZqE-st6uFKPoI?usp=share_link</v>
      </c>
      <c r="P556" s="6" t="str">
        <f>IFERROR(__xludf.DUMMYFUNCTION("""COMPUTED_VALUE"""),"Elaina Robertson")</f>
        <v>Elaina Robertson</v>
      </c>
      <c r="Q556" s="6" t="str">
        <f>IFERROR(__xludf.DUMMYFUNCTION("""COMPUTED_VALUE"""),"L2")</f>
        <v>L2</v>
      </c>
      <c r="R556" s="6">
        <f>IFERROR(__xludf.DUMMYFUNCTION("""COMPUTED_VALUE"""),2.0)</f>
        <v>2</v>
      </c>
      <c r="S556" s="6" t="str">
        <f>IFERROR(__xludf.DUMMYFUNCTION("""COMPUTED_VALUE"""),"Noah Rodriguez")</f>
        <v>Noah Rodriguez</v>
      </c>
      <c r="T556" s="6" t="str">
        <f>IFERROR(__xludf.DUMMYFUNCTION("""COMPUTED_VALUE"""),"noah.rodriguez@alpha.school")</f>
        <v>noah.rodriguez@alpha.school</v>
      </c>
      <c r="U556" s="6" t="str">
        <f>IFERROR(__xludf.DUMMYFUNCTION("""COMPUTED_VALUE"""),"5")</f>
        <v>5</v>
      </c>
      <c r="V556" s="6" t="str">
        <f>IFERROR(__xludf.DUMMYFUNCTION("""COMPUTED_VALUE"""),"")</f>
        <v/>
      </c>
      <c r="W556" s="6" t="str">
        <f>IFERROR(__xludf.DUMMYFUNCTION("""COMPUTED_VALUE"""),"[]")</f>
        <v>[]</v>
      </c>
      <c r="X556" s="6" t="str">
        <f>IFERROR(__xludf.DUMMYFUNCTION("""COMPUTED_VALUE"""),"Enrolled")</f>
        <v>Enrolled</v>
      </c>
    </row>
    <row r="557">
      <c r="A557" s="6" t="str">
        <f>IFERROR(__xludf.DUMMYFUNCTION("""COMPUTED_VALUE"""),"001-0150")</f>
        <v>001-0150</v>
      </c>
      <c r="B557" s="6" t="str">
        <f>IFERROR(__xludf.DUMMYFUNCTION("""COMPUTED_VALUE"""),"1")</f>
        <v>1</v>
      </c>
      <c r="C557" s="6" t="str">
        <f>IFERROR(__xludf.DUMMYFUNCTION("""COMPUTED_VALUE"""),"0150")</f>
        <v>0150</v>
      </c>
      <c r="D557" s="6" t="str">
        <f>IFERROR(__xludf.DUMMYFUNCTION("""COMPUTED_VALUE"""),"Tate")</f>
        <v>Tate</v>
      </c>
      <c r="E557" s="6" t="str">
        <f>IFERROR(__xludf.DUMMYFUNCTION("""COMPUTED_VALUE"""),"Tate")</f>
        <v>Tate</v>
      </c>
      <c r="F557" s="6" t="str">
        <f>IFERROR(__xludf.DUMMYFUNCTION("""COMPUTED_VALUE"""),"Price")</f>
        <v>Price</v>
      </c>
      <c r="G557" s="6" t="str">
        <f>IFERROR(__xludf.DUMMYFUNCTION("""COMPUTED_VALUE"""),"12/29/2014")</f>
        <v>12/29/2014</v>
      </c>
      <c r="H557" s="6" t="str">
        <f>IFERROR(__xludf.DUMMYFUNCTION("""COMPUTED_VALUE"""),"female")</f>
        <v>female</v>
      </c>
      <c r="I557" s="6" t="str">
        <f>IFERROR(__xludf.DUMMYFUNCTION("""COMPUTED_VALUE"""),"Level 2")</f>
        <v>Level 2</v>
      </c>
      <c r="J557" s="6" t="str">
        <f>IFERROR(__xludf.DUMMYFUNCTION("""COMPUTED_VALUE"""),"5")</f>
        <v>5</v>
      </c>
      <c r="K557" s="6" t="str">
        <f>IFERROR(__xludf.DUMMYFUNCTION("""COMPUTED_VALUE"""),"tate.price@alpha.school")</f>
        <v>tate.price@alpha.school</v>
      </c>
      <c r="L557" s="6" t="str">
        <f>IFERROR(__xludf.DUMMYFUNCTION("""COMPUTED_VALUE"""),"Alpha School Austin")</f>
        <v>Alpha School Austin</v>
      </c>
      <c r="M557" s="6" t="str">
        <f>IFERROR(__xludf.DUMMYFUNCTION("""COMPUTED_VALUE"""),"")</f>
        <v/>
      </c>
      <c r="N557" s="6" t="str">
        <f>IFERROR(__xludf.DUMMYFUNCTION("""COMPUTED_VALUE"""),"")</f>
        <v/>
      </c>
      <c r="O557" s="87" t="str">
        <f>IFERROR(__xludf.DUMMYFUNCTION("""COMPUTED_VALUE"""),"https://drive.google.com/drive/folders/10T2cTQHqEJZqE-st6uFKPoI?usp=share_link")</f>
        <v>https://drive.google.com/drive/folders/10T2cTQHqEJZqE-st6uFKPoI?usp=share_link</v>
      </c>
      <c r="P557" s="6" t="str">
        <f>IFERROR(__xludf.DUMMYFUNCTION("""COMPUTED_VALUE"""),"Tate Price")</f>
        <v>Tate Price</v>
      </c>
      <c r="Q557" s="6" t="str">
        <f>IFERROR(__xludf.DUMMYFUNCTION("""COMPUTED_VALUE"""),"L2")</f>
        <v>L2</v>
      </c>
      <c r="R557" s="6">
        <f>IFERROR(__xludf.DUMMYFUNCTION("""COMPUTED_VALUE"""),2.0)</f>
        <v>2</v>
      </c>
      <c r="S557" s="6" t="str">
        <f>IFERROR(__xludf.DUMMYFUNCTION("""COMPUTED_VALUE"""),"Luke Phillips")</f>
        <v>Luke Phillips</v>
      </c>
      <c r="T557" s="6" t="str">
        <f>IFERROR(__xludf.DUMMYFUNCTION("""COMPUTED_VALUE"""),"luke.phillips@alpha.school")</f>
        <v>luke.phillips@alpha.school</v>
      </c>
      <c r="U557" s="6" t="str">
        <f>IFERROR(__xludf.DUMMYFUNCTION("""COMPUTED_VALUE"""),"5")</f>
        <v>5</v>
      </c>
      <c r="V557" s="6" t="str">
        <f>IFERROR(__xludf.DUMMYFUNCTION("""COMPUTED_VALUE"""),"")</f>
        <v/>
      </c>
      <c r="W557" s="6" t="str">
        <f>IFERROR(__xludf.DUMMYFUNCTION("""COMPUTED_VALUE"""),"[]")</f>
        <v>[]</v>
      </c>
      <c r="X557" s="6" t="str">
        <f>IFERROR(__xludf.DUMMYFUNCTION("""COMPUTED_VALUE"""),"Enrolled")</f>
        <v>Enrolled</v>
      </c>
    </row>
    <row r="558">
      <c r="A558" s="6" t="str">
        <f>IFERROR(__xludf.DUMMYFUNCTION("""COMPUTED_VALUE"""),"001-0156")</f>
        <v>001-0156</v>
      </c>
      <c r="B558" s="6" t="str">
        <f>IFERROR(__xludf.DUMMYFUNCTION("""COMPUTED_VALUE"""),"1")</f>
        <v>1</v>
      </c>
      <c r="C558" s="6" t="str">
        <f>IFERROR(__xludf.DUMMYFUNCTION("""COMPUTED_VALUE"""),"0156")</f>
        <v>0156</v>
      </c>
      <c r="D558" s="6" t="str">
        <f>IFERROR(__xludf.DUMMYFUNCTION("""COMPUTED_VALUE"""),"Zion")</f>
        <v>Zion</v>
      </c>
      <c r="E558" s="6" t="str">
        <f>IFERROR(__xludf.DUMMYFUNCTION("""COMPUTED_VALUE"""),"Zion")</f>
        <v>Zion</v>
      </c>
      <c r="F558" s="6" t="str">
        <f>IFERROR(__xludf.DUMMYFUNCTION("""COMPUTED_VALUE"""),"Clark")</f>
        <v>Clark</v>
      </c>
      <c r="G558" s="6" t="str">
        <f>IFERROR(__xludf.DUMMYFUNCTION("""COMPUTED_VALUE"""),"01/11/2015")</f>
        <v>01/11/2015</v>
      </c>
      <c r="H558" s="6" t="str">
        <f>IFERROR(__xludf.DUMMYFUNCTION("""COMPUTED_VALUE"""),"male")</f>
        <v>male</v>
      </c>
      <c r="I558" s="6" t="str">
        <f>IFERROR(__xludf.DUMMYFUNCTION("""COMPUTED_VALUE"""),"Level 2")</f>
        <v>Level 2</v>
      </c>
      <c r="J558" s="6" t="str">
        <f>IFERROR(__xludf.DUMMYFUNCTION("""COMPUTED_VALUE"""),"5")</f>
        <v>5</v>
      </c>
      <c r="K558" s="6" t="str">
        <f>IFERROR(__xludf.DUMMYFUNCTION("""COMPUTED_VALUE"""),"zion.clark@alpha.school")</f>
        <v>zion.clark@alpha.school</v>
      </c>
      <c r="L558" s="6" t="str">
        <f>IFERROR(__xludf.DUMMYFUNCTION("""COMPUTED_VALUE"""),"Alpha School Austin")</f>
        <v>Alpha School Austin</v>
      </c>
      <c r="M558" s="6" t="str">
        <f>IFERROR(__xludf.DUMMYFUNCTION("""COMPUTED_VALUE"""),"JW")</f>
        <v>JW</v>
      </c>
      <c r="N558" s="6" t="str">
        <f>IFERROR(__xludf.DUMMYFUNCTION("""COMPUTED_VALUE"""),"")</f>
        <v/>
      </c>
      <c r="O558" s="87" t="str">
        <f>IFERROR(__xludf.DUMMYFUNCTION("""COMPUTED_VALUE"""),"https://drive.google.com/drive/folders/10T2cTQHqEJZqE-st6uFKPoI?usp=share_link")</f>
        <v>https://drive.google.com/drive/folders/10T2cTQHqEJZqE-st6uFKPoI?usp=share_link</v>
      </c>
      <c r="P558" s="6" t="str">
        <f>IFERROR(__xludf.DUMMYFUNCTION("""COMPUTED_VALUE"""),"Zion Clark")</f>
        <v>Zion Clark</v>
      </c>
      <c r="Q558" s="6" t="str">
        <f>IFERROR(__xludf.DUMMYFUNCTION("""COMPUTED_VALUE"""),"L2")</f>
        <v>L2</v>
      </c>
      <c r="R558" s="6">
        <f>IFERROR(__xludf.DUMMYFUNCTION("""COMPUTED_VALUE"""),2.0)</f>
        <v>2</v>
      </c>
      <c r="S558" s="6" t="str">
        <f>IFERROR(__xludf.DUMMYFUNCTION("""COMPUTED_VALUE"""),"Kris Ponder")</f>
        <v>Kris Ponder</v>
      </c>
      <c r="T558" s="6" t="str">
        <f>IFERROR(__xludf.DUMMYFUNCTION("""COMPUTED_VALUE"""),"kris.ponder@alpha.school")</f>
        <v>kris.ponder@alpha.school</v>
      </c>
      <c r="U558" s="6" t="str">
        <f>IFERROR(__xludf.DUMMYFUNCTION("""COMPUTED_VALUE"""),"5")</f>
        <v>5</v>
      </c>
      <c r="V558" s="6" t="str">
        <f>IFERROR(__xludf.DUMMYFUNCTION("""COMPUTED_VALUE"""),"")</f>
        <v/>
      </c>
      <c r="W558" s="6" t="str">
        <f>IFERROR(__xludf.DUMMYFUNCTION("""COMPUTED_VALUE"""),"[]")</f>
        <v>[]</v>
      </c>
      <c r="X558" s="6" t="str">
        <f>IFERROR(__xludf.DUMMYFUNCTION("""COMPUTED_VALUE"""),"Enrolled")</f>
        <v>Enrolled</v>
      </c>
    </row>
    <row r="559">
      <c r="A559" s="6" t="str">
        <f>IFERROR(__xludf.DUMMYFUNCTION("""COMPUTED_VALUE"""),"001-0161")</f>
        <v>001-0161</v>
      </c>
      <c r="B559" s="6" t="str">
        <f>IFERROR(__xludf.DUMMYFUNCTION("""COMPUTED_VALUE"""),"1")</f>
        <v>1</v>
      </c>
      <c r="C559" s="6" t="str">
        <f>IFERROR(__xludf.DUMMYFUNCTION("""COMPUTED_VALUE"""),"0161")</f>
        <v>0161</v>
      </c>
      <c r="D559" s="6" t="str">
        <f>IFERROR(__xludf.DUMMYFUNCTION("""COMPUTED_VALUE"""),"Jack")</f>
        <v>Jack</v>
      </c>
      <c r="E559" s="6" t="str">
        <f>IFERROR(__xludf.DUMMYFUNCTION("""COMPUTED_VALUE"""),"Jack")</f>
        <v>Jack</v>
      </c>
      <c r="F559" s="6" t="str">
        <f>IFERROR(__xludf.DUMMYFUNCTION("""COMPUTED_VALUE"""),"Cotner")</f>
        <v>Cotner</v>
      </c>
      <c r="G559" s="6" t="str">
        <f>IFERROR(__xludf.DUMMYFUNCTION("""COMPUTED_VALUE"""),"03/14/2012")</f>
        <v>03/14/2012</v>
      </c>
      <c r="H559" s="6" t="str">
        <f>IFERROR(__xludf.DUMMYFUNCTION("""COMPUTED_VALUE"""),"male")</f>
        <v>male</v>
      </c>
      <c r="I559" s="6" t="str">
        <f>IFERROR(__xludf.DUMMYFUNCTION("""COMPUTED_VALUE"""),"Middle School")</f>
        <v>Middle School</v>
      </c>
      <c r="J559" s="6" t="str">
        <f>IFERROR(__xludf.DUMMYFUNCTION("""COMPUTED_VALUE"""),"8")</f>
        <v>8</v>
      </c>
      <c r="K559" s="6" t="str">
        <f>IFERROR(__xludf.DUMMYFUNCTION("""COMPUTED_VALUE"""),"jack.cotner@alpha.school")</f>
        <v>jack.cotner@alpha.school</v>
      </c>
      <c r="L559" s="6" t="str">
        <f>IFERROR(__xludf.DUMMYFUNCTION("""COMPUTED_VALUE"""),"Alpha School Austin")</f>
        <v>Alpha School Austin</v>
      </c>
      <c r="M559" s="6" t="str">
        <f>IFERROR(__xludf.DUMMYFUNCTION("""COMPUTED_VALUE"""),"")</f>
        <v/>
      </c>
      <c r="N559" s="6" t="str">
        <f>IFERROR(__xludf.DUMMYFUNCTION("""COMPUTED_VALUE"""),"")</f>
        <v/>
      </c>
      <c r="O559" s="87" t="str">
        <f>IFERROR(__xludf.DUMMYFUNCTION("""COMPUTED_VALUE"""),"https://drive.google.com/drive/folders/10T2cTQHqEJZqE-st6uFKPoI?usp=share_link")</f>
        <v>https://drive.google.com/drive/folders/10T2cTQHqEJZqE-st6uFKPoI?usp=share_link</v>
      </c>
      <c r="P559" s="6" t="str">
        <f>IFERROR(__xludf.DUMMYFUNCTION("""COMPUTED_VALUE"""),"Jack Cotner")</f>
        <v>Jack Cotner</v>
      </c>
      <c r="Q559" s="6" t="str">
        <f>IFERROR(__xludf.DUMMYFUNCTION("""COMPUTED_VALUE"""),"MS")</f>
        <v>MS</v>
      </c>
      <c r="R559" s="6">
        <f>IFERROR(__xludf.DUMMYFUNCTION("""COMPUTED_VALUE"""),0.0)</f>
        <v>0</v>
      </c>
      <c r="S559" s="6" t="str">
        <f>IFERROR(__xludf.DUMMYFUNCTION("""COMPUTED_VALUE"""),"Taylor Sweeney")</f>
        <v>Taylor Sweeney</v>
      </c>
      <c r="T559" s="6" t="str">
        <f>IFERROR(__xludf.DUMMYFUNCTION("""COMPUTED_VALUE"""),"taylor.sweeney@alpha.school")</f>
        <v>taylor.sweeney@alpha.school</v>
      </c>
      <c r="U559" s="6" t="str">
        <f>IFERROR(__xludf.DUMMYFUNCTION("""COMPUTED_VALUE"""),"8")</f>
        <v>8</v>
      </c>
      <c r="V559" s="6" t="str">
        <f>IFERROR(__xludf.DUMMYFUNCTION("""COMPUTED_VALUE"""),"")</f>
        <v/>
      </c>
      <c r="W559" s="6" t="str">
        <f>IFERROR(__xludf.DUMMYFUNCTION("""COMPUTED_VALUE"""),"[]")</f>
        <v>[]</v>
      </c>
      <c r="X559" s="6" t="str">
        <f>IFERROR(__xludf.DUMMYFUNCTION("""COMPUTED_VALUE"""),"Enrolled")</f>
        <v>Enrolled</v>
      </c>
    </row>
    <row r="560">
      <c r="A560" s="6" t="str">
        <f>IFERROR(__xludf.DUMMYFUNCTION("""COMPUTED_VALUE"""),"001-0162")</f>
        <v>001-0162</v>
      </c>
      <c r="B560" s="6" t="str">
        <f>IFERROR(__xludf.DUMMYFUNCTION("""COMPUTED_VALUE"""),"1")</f>
        <v>1</v>
      </c>
      <c r="C560" s="6" t="str">
        <f>IFERROR(__xludf.DUMMYFUNCTION("""COMPUTED_VALUE"""),"0162")</f>
        <v>0162</v>
      </c>
      <c r="D560" s="6" t="str">
        <f>IFERROR(__xludf.DUMMYFUNCTION("""COMPUTED_VALUE"""),"Emma")</f>
        <v>Emma</v>
      </c>
      <c r="E560" s="6" t="str">
        <f>IFERROR(__xludf.DUMMYFUNCTION("""COMPUTED_VALUE"""),"Emma")</f>
        <v>Emma</v>
      </c>
      <c r="F560" s="6" t="str">
        <f>IFERROR(__xludf.DUMMYFUNCTION("""COMPUTED_VALUE"""),"Cotner")</f>
        <v>Cotner</v>
      </c>
      <c r="G560" s="6" t="str">
        <f>IFERROR(__xludf.DUMMYFUNCTION("""COMPUTED_VALUE"""),"05/13/2010")</f>
        <v>05/13/2010</v>
      </c>
      <c r="H560" s="6" t="str">
        <f>IFERROR(__xludf.DUMMYFUNCTION("""COMPUTED_VALUE"""),"female")</f>
        <v>female</v>
      </c>
      <c r="I560" s="6" t="str">
        <f>IFERROR(__xludf.DUMMYFUNCTION("""COMPUTED_VALUE"""),"High School")</f>
        <v>High School</v>
      </c>
      <c r="J560" s="6" t="str">
        <f>IFERROR(__xludf.DUMMYFUNCTION("""COMPUTED_VALUE"""),"10")</f>
        <v>10</v>
      </c>
      <c r="K560" s="6" t="str">
        <f>IFERROR(__xludf.DUMMYFUNCTION("""COMPUTED_VALUE"""),"emma.cotner@alpha.school")</f>
        <v>emma.cotner@alpha.school</v>
      </c>
      <c r="L560" s="6" t="str">
        <f>IFERROR(__xludf.DUMMYFUNCTION("""COMPUTED_VALUE"""),"Alpha High School")</f>
        <v>Alpha High School</v>
      </c>
      <c r="M560" s="6" t="str">
        <f>IFERROR(__xludf.DUMMYFUNCTION("""COMPUTED_VALUE"""),"")</f>
        <v/>
      </c>
      <c r="N560" s="6" t="str">
        <f>IFERROR(__xludf.DUMMYFUNCTION("""COMPUTED_VALUE"""),"")</f>
        <v/>
      </c>
      <c r="O560" s="87" t="str">
        <f>IFERROR(__xludf.DUMMYFUNCTION("""COMPUTED_VALUE"""),"https://drive.google.com/drive/folders/10T2cTQHqEJZqE-st6uFKPoI?usp=share_link")</f>
        <v>https://drive.google.com/drive/folders/10T2cTQHqEJZqE-st6uFKPoI?usp=share_link</v>
      </c>
      <c r="P560" s="6" t="str">
        <f>IFERROR(__xludf.DUMMYFUNCTION("""COMPUTED_VALUE"""),"Emma Cotner")</f>
        <v>Emma Cotner</v>
      </c>
      <c r="Q560" s="6" t="str">
        <f>IFERROR(__xludf.DUMMYFUNCTION("""COMPUTED_VALUE"""),"HS")</f>
        <v>HS</v>
      </c>
      <c r="R560" s="6">
        <f>IFERROR(__xludf.DUMMYFUNCTION("""COMPUTED_VALUE"""),0.0)</f>
        <v>0</v>
      </c>
      <c r="S560" s="6" t="str">
        <f>IFERROR(__xludf.DUMMYFUNCTION("""COMPUTED_VALUE"""),"Chloe Belvin")</f>
        <v>Chloe Belvin</v>
      </c>
      <c r="T560" s="6" t="str">
        <f>IFERROR(__xludf.DUMMYFUNCTION("""COMPUTED_VALUE"""),"chloe.belvin@alpha.school")</f>
        <v>chloe.belvin@alpha.school</v>
      </c>
      <c r="U560" s="6" t="str">
        <f>IFERROR(__xludf.DUMMYFUNCTION("""COMPUTED_VALUE"""),"10")</f>
        <v>10</v>
      </c>
      <c r="V560" s="6" t="str">
        <f>IFERROR(__xludf.DUMMYFUNCTION("""COMPUTED_VALUE"""),"")</f>
        <v/>
      </c>
      <c r="W560" s="6" t="str">
        <f>IFERROR(__xludf.DUMMYFUNCTION("""COMPUTED_VALUE"""),"[]")</f>
        <v>[]</v>
      </c>
      <c r="X560" s="6" t="str">
        <f>IFERROR(__xludf.DUMMYFUNCTION("""COMPUTED_VALUE"""),"Enrolled")</f>
        <v>Enrolled</v>
      </c>
    </row>
    <row r="561">
      <c r="A561" s="6" t="str">
        <f>IFERROR(__xludf.DUMMYFUNCTION("""COMPUTED_VALUE"""),"001-0175")</f>
        <v>001-0175</v>
      </c>
      <c r="B561" s="6" t="str">
        <f>IFERROR(__xludf.DUMMYFUNCTION("""COMPUTED_VALUE"""),"1")</f>
        <v>1</v>
      </c>
      <c r="C561" s="6" t="str">
        <f>IFERROR(__xludf.DUMMYFUNCTION("""COMPUTED_VALUE"""),"0175")</f>
        <v>0175</v>
      </c>
      <c r="D561" s="6" t="str">
        <f>IFERROR(__xludf.DUMMYFUNCTION("""COMPUTED_VALUE"""),"Austin")</f>
        <v>Austin</v>
      </c>
      <c r="E561" s="6" t="str">
        <f>IFERROR(__xludf.DUMMYFUNCTION("""COMPUTED_VALUE"""),"Austin")</f>
        <v>Austin</v>
      </c>
      <c r="F561" s="6" t="str">
        <f>IFERROR(__xludf.DUMMYFUNCTION("""COMPUTED_VALUE"""),"Way")</f>
        <v>Way</v>
      </c>
      <c r="G561" s="6" t="str">
        <f>IFERROR(__xludf.DUMMYFUNCTION("""COMPUTED_VALUE"""),"02/06/2009")</f>
        <v>02/06/2009</v>
      </c>
      <c r="H561" s="6" t="str">
        <f>IFERROR(__xludf.DUMMYFUNCTION("""COMPUTED_VALUE"""),"M")</f>
        <v>M</v>
      </c>
      <c r="I561" s="6" t="str">
        <f>IFERROR(__xludf.DUMMYFUNCTION("""COMPUTED_VALUE"""),"High School")</f>
        <v>High School</v>
      </c>
      <c r="J561" s="6" t="str">
        <f>IFERROR(__xludf.DUMMYFUNCTION("""COMPUTED_VALUE"""),"11")</f>
        <v>11</v>
      </c>
      <c r="K561" s="6" t="str">
        <f>IFERROR(__xludf.DUMMYFUNCTION("""COMPUTED_VALUE"""),"austin.way@alpha.school")</f>
        <v>austin.way@alpha.school</v>
      </c>
      <c r="L561" s="6" t="str">
        <f>IFERROR(__xludf.DUMMYFUNCTION("""COMPUTED_VALUE"""),"Alpha High School")</f>
        <v>Alpha High School</v>
      </c>
      <c r="M561" s="6" t="str">
        <f>IFERROR(__xludf.DUMMYFUNCTION("""COMPUTED_VALUE"""),"Chavez")</f>
        <v>Chavez</v>
      </c>
      <c r="N561" s="6" t="str">
        <f>IFERROR(__xludf.DUMMYFUNCTION("""COMPUTED_VALUE"""),"")</f>
        <v/>
      </c>
      <c r="O561" s="87" t="str">
        <f>IFERROR(__xludf.DUMMYFUNCTION("""COMPUTED_VALUE"""),"https://drive.google.com/drive/folders/10T2cTQHqEJZqE-st6uFKPoI?usp=share_link")</f>
        <v>https://drive.google.com/drive/folders/10T2cTQHqEJZqE-st6uFKPoI?usp=share_link</v>
      </c>
      <c r="P561" s="6" t="str">
        <f>IFERROR(__xludf.DUMMYFUNCTION("""COMPUTED_VALUE"""),"Austin Way")</f>
        <v>Austin Way</v>
      </c>
      <c r="Q561" s="6" t="str">
        <f>IFERROR(__xludf.DUMMYFUNCTION("""COMPUTED_VALUE"""),"HS")</f>
        <v>HS</v>
      </c>
      <c r="R561" s="6">
        <f>IFERROR(__xludf.DUMMYFUNCTION("""COMPUTED_VALUE"""),0.0)</f>
        <v>0</v>
      </c>
      <c r="S561" s="6" t="str">
        <f>IFERROR(__xludf.DUMMYFUNCTION("""COMPUTED_VALUE"""),"Cameron Sorsby")</f>
        <v>Cameron Sorsby</v>
      </c>
      <c r="T561" s="6" t="str">
        <f>IFERROR(__xludf.DUMMYFUNCTION("""COMPUTED_VALUE"""),"cameron.sorsby@alpha.school")</f>
        <v>cameron.sorsby@alpha.school</v>
      </c>
      <c r="U561" s="6" t="str">
        <f>IFERROR(__xludf.DUMMYFUNCTION("""COMPUTED_VALUE"""),"11")</f>
        <v>11</v>
      </c>
      <c r="V561" s="6" t="str">
        <f>IFERROR(__xludf.DUMMYFUNCTION("""COMPUTED_VALUE"""),"")</f>
        <v/>
      </c>
      <c r="W561" s="6" t="str">
        <f>IFERROR(__xludf.DUMMYFUNCTION("""COMPUTED_VALUE"""),"[Text-to-Speech]")</f>
        <v>[Text-to-Speech]</v>
      </c>
      <c r="X561" s="6" t="str">
        <f>IFERROR(__xludf.DUMMYFUNCTION("""COMPUTED_VALUE"""),"Enrolled")</f>
        <v>Enrolled</v>
      </c>
    </row>
    <row r="562">
      <c r="A562" s="6" t="str">
        <f>IFERROR(__xludf.DUMMYFUNCTION("""COMPUTED_VALUE"""),"001-0196")</f>
        <v>001-0196</v>
      </c>
      <c r="B562" s="6" t="str">
        <f>IFERROR(__xludf.DUMMYFUNCTION("""COMPUTED_VALUE"""),"1")</f>
        <v>1</v>
      </c>
      <c r="C562" s="6" t="str">
        <f>IFERROR(__xludf.DUMMYFUNCTION("""COMPUTED_VALUE"""),"0196")</f>
        <v>0196</v>
      </c>
      <c r="D562" s="6" t="str">
        <f>IFERROR(__xludf.DUMMYFUNCTION("""COMPUTED_VALUE"""),"Jacob")</f>
        <v>Jacob</v>
      </c>
      <c r="E562" s="6" t="str">
        <f>IFERROR(__xludf.DUMMYFUNCTION("""COMPUTED_VALUE"""),"Jacob")</f>
        <v>Jacob</v>
      </c>
      <c r="F562" s="6" t="str">
        <f>IFERROR(__xludf.DUMMYFUNCTION("""COMPUTED_VALUE"""),"Kuchinsky")</f>
        <v>Kuchinsky</v>
      </c>
      <c r="G562" s="6" t="str">
        <f>IFERROR(__xludf.DUMMYFUNCTION("""COMPUTED_VALUE"""),"11/08/2011")</f>
        <v>11/08/2011</v>
      </c>
      <c r="H562" s="6" t="str">
        <f>IFERROR(__xludf.DUMMYFUNCTION("""COMPUTED_VALUE"""),"male")</f>
        <v>male</v>
      </c>
      <c r="I562" s="6" t="str">
        <f>IFERROR(__xludf.DUMMYFUNCTION("""COMPUTED_VALUE"""),"High School")</f>
        <v>High School</v>
      </c>
      <c r="J562" s="6" t="str">
        <f>IFERROR(__xludf.DUMMYFUNCTION("""COMPUTED_VALUE"""),"9")</f>
        <v>9</v>
      </c>
      <c r="K562" s="6" t="str">
        <f>IFERROR(__xludf.DUMMYFUNCTION("""COMPUTED_VALUE"""),"jacob.kuchinsky@alpha.school")</f>
        <v>jacob.kuchinsky@alpha.school</v>
      </c>
      <c r="L562" s="6" t="str">
        <f>IFERROR(__xludf.DUMMYFUNCTION("""COMPUTED_VALUE"""),"Alpha High School")</f>
        <v>Alpha High School</v>
      </c>
      <c r="M562" s="6" t="str">
        <f>IFERROR(__xludf.DUMMYFUNCTION("""COMPUTED_VALUE"""),"")</f>
        <v/>
      </c>
      <c r="N562" s="6" t="str">
        <f>IFERROR(__xludf.DUMMYFUNCTION("""COMPUTED_VALUE"""),"")</f>
        <v/>
      </c>
      <c r="O562" s="87" t="str">
        <f>IFERROR(__xludf.DUMMYFUNCTION("""COMPUTED_VALUE"""),"https://drive.google.com/drive/folders/10T2cTQHqEJZqE-st6uFKPoI?usp=share_link")</f>
        <v>https://drive.google.com/drive/folders/10T2cTQHqEJZqE-st6uFKPoI?usp=share_link</v>
      </c>
      <c r="P562" s="6" t="str">
        <f>IFERROR(__xludf.DUMMYFUNCTION("""COMPUTED_VALUE"""),"Jacob Kuchinsky")</f>
        <v>Jacob Kuchinsky</v>
      </c>
      <c r="Q562" s="6" t="str">
        <f>IFERROR(__xludf.DUMMYFUNCTION("""COMPUTED_VALUE"""),"HS")</f>
        <v>HS</v>
      </c>
      <c r="R562" s="6">
        <f>IFERROR(__xludf.DUMMYFUNCTION("""COMPUTED_VALUE"""),0.0)</f>
        <v>0</v>
      </c>
      <c r="S562" s="6" t="str">
        <f>IFERROR(__xludf.DUMMYFUNCTION("""COMPUTED_VALUE"""),"Emily Findley")</f>
        <v>Emily Findley</v>
      </c>
      <c r="T562" s="6" t="str">
        <f>IFERROR(__xludf.DUMMYFUNCTION("""COMPUTED_VALUE"""),"emily.findley@alpha.school")</f>
        <v>emily.findley@alpha.school</v>
      </c>
      <c r="U562" s="6" t="str">
        <f>IFERROR(__xludf.DUMMYFUNCTION("""COMPUTED_VALUE"""),"9")</f>
        <v>9</v>
      </c>
      <c r="V562" s="6" t="str">
        <f>IFERROR(__xludf.DUMMYFUNCTION("""COMPUTED_VALUE"""),"")</f>
        <v/>
      </c>
      <c r="W562" s="6" t="str">
        <f>IFERROR(__xludf.DUMMYFUNCTION("""COMPUTED_VALUE"""),"[]")</f>
        <v>[]</v>
      </c>
      <c r="X562" s="6" t="str">
        <f>IFERROR(__xludf.DUMMYFUNCTION("""COMPUTED_VALUE"""),"Enrolled")</f>
        <v>Enrolled</v>
      </c>
    </row>
    <row r="563">
      <c r="A563" s="6" t="str">
        <f>IFERROR(__xludf.DUMMYFUNCTION("""COMPUTED_VALUE"""),"001-0269")</f>
        <v>001-0269</v>
      </c>
      <c r="B563" s="6" t="str">
        <f>IFERROR(__xludf.DUMMYFUNCTION("""COMPUTED_VALUE"""),"1")</f>
        <v>1</v>
      </c>
      <c r="C563" s="6" t="str">
        <f>IFERROR(__xludf.DUMMYFUNCTION("""COMPUTED_VALUE"""),"0269")</f>
        <v>0269</v>
      </c>
      <c r="D563" s="6" t="str">
        <f>IFERROR(__xludf.DUMMYFUNCTION("""COMPUTED_VALUE"""),"Jackson")</f>
        <v>Jackson</v>
      </c>
      <c r="E563" s="6" t="str">
        <f>IFERROR(__xludf.DUMMYFUNCTION("""COMPUTED_VALUE"""),"Jackson")</f>
        <v>Jackson</v>
      </c>
      <c r="F563" s="6" t="str">
        <f>IFERROR(__xludf.DUMMYFUNCTION("""COMPUTED_VALUE"""),"Price")</f>
        <v>Price</v>
      </c>
      <c r="G563" s="6" t="str">
        <f>IFERROR(__xludf.DUMMYFUNCTION("""COMPUTED_VALUE"""),"01/22/2010")</f>
        <v>01/22/2010</v>
      </c>
      <c r="H563" s="6" t="str">
        <f>IFERROR(__xludf.DUMMYFUNCTION("""COMPUTED_VALUE"""),"male")</f>
        <v>male</v>
      </c>
      <c r="I563" s="6" t="str">
        <f>IFERROR(__xludf.DUMMYFUNCTION("""COMPUTED_VALUE"""),"High School")</f>
        <v>High School</v>
      </c>
      <c r="J563" s="6" t="str">
        <f>IFERROR(__xludf.DUMMYFUNCTION("""COMPUTED_VALUE"""),"10")</f>
        <v>10</v>
      </c>
      <c r="K563" s="6" t="str">
        <f>IFERROR(__xludf.DUMMYFUNCTION("""COMPUTED_VALUE"""),"jackson.price@alpha.school")</f>
        <v>jackson.price@alpha.school</v>
      </c>
      <c r="L563" s="6" t="str">
        <f>IFERROR(__xludf.DUMMYFUNCTION("""COMPUTED_VALUE"""),"Alpha High School")</f>
        <v>Alpha High School</v>
      </c>
      <c r="M563" s="6" t="str">
        <f>IFERROR(__xludf.DUMMYFUNCTION("""COMPUTED_VALUE"""),"")</f>
        <v/>
      </c>
      <c r="N563" s="6" t="str">
        <f>IFERROR(__xludf.DUMMYFUNCTION("""COMPUTED_VALUE"""),"")</f>
        <v/>
      </c>
      <c r="O563" s="87" t="str">
        <f>IFERROR(__xludf.DUMMYFUNCTION("""COMPUTED_VALUE"""),"https://drive.google.com/drive/folders/10T2cTQHqEJZqE-st6uFKPoI?usp=share_link")</f>
        <v>https://drive.google.com/drive/folders/10T2cTQHqEJZqE-st6uFKPoI?usp=share_link</v>
      </c>
      <c r="P563" s="6" t="str">
        <f>IFERROR(__xludf.DUMMYFUNCTION("""COMPUTED_VALUE"""),"Jackson Price")</f>
        <v>Jackson Price</v>
      </c>
      <c r="Q563" s="6" t="str">
        <f>IFERROR(__xludf.DUMMYFUNCTION("""COMPUTED_VALUE"""),"HS")</f>
        <v>HS</v>
      </c>
      <c r="R563" s="6">
        <f>IFERROR(__xludf.DUMMYFUNCTION("""COMPUTED_VALUE"""),0.0)</f>
        <v>0</v>
      </c>
      <c r="S563" s="6" t="str">
        <f>IFERROR(__xludf.DUMMYFUNCTION("""COMPUTED_VALUE"""),"Cameron Sorsby")</f>
        <v>Cameron Sorsby</v>
      </c>
      <c r="T563" s="6" t="str">
        <f>IFERROR(__xludf.DUMMYFUNCTION("""COMPUTED_VALUE"""),"cameron.sorsby@alpha.school")</f>
        <v>cameron.sorsby@alpha.school</v>
      </c>
      <c r="U563" s="6" t="str">
        <f>IFERROR(__xludf.DUMMYFUNCTION("""COMPUTED_VALUE"""),"10")</f>
        <v>10</v>
      </c>
      <c r="V563" s="6" t="str">
        <f>IFERROR(__xludf.DUMMYFUNCTION("""COMPUTED_VALUE"""),"")</f>
        <v/>
      </c>
      <c r="W563" s="6" t="str">
        <f>IFERROR(__xludf.DUMMYFUNCTION("""COMPUTED_VALUE"""),"[]")</f>
        <v>[]</v>
      </c>
      <c r="X563" s="6" t="str">
        <f>IFERROR(__xludf.DUMMYFUNCTION("""COMPUTED_VALUE"""),"Enrolled")</f>
        <v>Enrolled</v>
      </c>
    </row>
    <row r="564">
      <c r="A564" s="6" t="str">
        <f>IFERROR(__xludf.DUMMYFUNCTION("""COMPUTED_VALUE"""),"001-0300")</f>
        <v>001-0300</v>
      </c>
      <c r="B564" s="6" t="str">
        <f>IFERROR(__xludf.DUMMYFUNCTION("""COMPUTED_VALUE"""),"1")</f>
        <v>1</v>
      </c>
      <c r="C564" s="6" t="str">
        <f>IFERROR(__xludf.DUMMYFUNCTION("""COMPUTED_VALUE"""),"0300")</f>
        <v>0300</v>
      </c>
      <c r="D564" s="6" t="str">
        <f>IFERROR(__xludf.DUMMYFUNCTION("""COMPUTED_VALUE"""),"Sophia")</f>
        <v>Sophia</v>
      </c>
      <c r="E564" s="6" t="str">
        <f>IFERROR(__xludf.DUMMYFUNCTION("""COMPUTED_VALUE"""),"Sophia")</f>
        <v>Sophia</v>
      </c>
      <c r="F564" s="6" t="str">
        <f>IFERROR(__xludf.DUMMYFUNCTION("""COMPUTED_VALUE"""),"Reicher")</f>
        <v>Reicher</v>
      </c>
      <c r="G564" s="6" t="str">
        <f>IFERROR(__xludf.DUMMYFUNCTION("""COMPUTED_VALUE"""),"11/21/2015")</f>
        <v>11/21/2015</v>
      </c>
      <c r="H564" s="6" t="str">
        <f>IFERROR(__xludf.DUMMYFUNCTION("""COMPUTED_VALUE"""),"F")</f>
        <v>F</v>
      </c>
      <c r="I564" s="6" t="str">
        <f>IFERROR(__xludf.DUMMYFUNCTION("""COMPUTED_VALUE"""),"Level 2")</f>
        <v>Level 2</v>
      </c>
      <c r="J564" s="6" t="str">
        <f>IFERROR(__xludf.DUMMYFUNCTION("""COMPUTED_VALUE"""),"4")</f>
        <v>4</v>
      </c>
      <c r="K564" s="6" t="str">
        <f>IFERROR(__xludf.DUMMYFUNCTION("""COMPUTED_VALUE"""),"sophia.reicher@alpha.school")</f>
        <v>sophia.reicher@alpha.school</v>
      </c>
      <c r="L564" s="6" t="str">
        <f>IFERROR(__xludf.DUMMYFUNCTION("""COMPUTED_VALUE"""),"Alpha School Austin")</f>
        <v>Alpha School Austin</v>
      </c>
      <c r="M564" s="6" t="str">
        <f>IFERROR(__xludf.DUMMYFUNCTION("""COMPUTED_VALUE"""),"")</f>
        <v/>
      </c>
      <c r="N564" s="6" t="str">
        <f>IFERROR(__xludf.DUMMYFUNCTION("""COMPUTED_VALUE"""),"")</f>
        <v/>
      </c>
      <c r="O564" s="87" t="str">
        <f>IFERROR(__xludf.DUMMYFUNCTION("""COMPUTED_VALUE"""),"https://drive.google.com/drive/folders/10T2cTQHqEJZqE-st6uFKPoI?usp=share_link")</f>
        <v>https://drive.google.com/drive/folders/10T2cTQHqEJZqE-st6uFKPoI?usp=share_link</v>
      </c>
      <c r="P564" s="6" t="str">
        <f>IFERROR(__xludf.DUMMYFUNCTION("""COMPUTED_VALUE"""),"Sophia Reicher")</f>
        <v>Sophia Reicher</v>
      </c>
      <c r="Q564" s="6" t="str">
        <f>IFERROR(__xludf.DUMMYFUNCTION("""COMPUTED_VALUE"""),"L2")</f>
        <v>L2</v>
      </c>
      <c r="R564" s="6">
        <f>IFERROR(__xludf.DUMMYFUNCTION("""COMPUTED_VALUE"""),2.0)</f>
        <v>2</v>
      </c>
      <c r="S564" s="6" t="str">
        <f>IFERROR(__xludf.DUMMYFUNCTION("""COMPUTED_VALUE"""),"Kris Ponder")</f>
        <v>Kris Ponder</v>
      </c>
      <c r="T564" s="6" t="str">
        <f>IFERROR(__xludf.DUMMYFUNCTION("""COMPUTED_VALUE"""),"kris.ponder@alpha.school")</f>
        <v>kris.ponder@alpha.school</v>
      </c>
      <c r="U564" s="6" t="str">
        <f>IFERROR(__xludf.DUMMYFUNCTION("""COMPUTED_VALUE"""),"4")</f>
        <v>4</v>
      </c>
      <c r="V564" s="6" t="str">
        <f>IFERROR(__xludf.DUMMYFUNCTION("""COMPUTED_VALUE"""),"")</f>
        <v/>
      </c>
      <c r="W564" s="6" t="str">
        <f>IFERROR(__xludf.DUMMYFUNCTION("""COMPUTED_VALUE"""),"[]")</f>
        <v>[]</v>
      </c>
      <c r="X564" s="6" t="str">
        <f>IFERROR(__xludf.DUMMYFUNCTION("""COMPUTED_VALUE"""),"Enrolled")</f>
        <v>Enrolled</v>
      </c>
    </row>
    <row r="565">
      <c r="A565" s="6" t="str">
        <f>IFERROR(__xludf.DUMMYFUNCTION("""COMPUTED_VALUE"""),"001-0343")</f>
        <v>001-0343</v>
      </c>
      <c r="B565" s="6" t="str">
        <f>IFERROR(__xludf.DUMMYFUNCTION("""COMPUTED_VALUE"""),"1")</f>
        <v>1</v>
      </c>
      <c r="C565" s="6" t="str">
        <f>IFERROR(__xludf.DUMMYFUNCTION("""COMPUTED_VALUE"""),"0343")</f>
        <v>0343</v>
      </c>
      <c r="D565" s="6" t="str">
        <f>IFERROR(__xludf.DUMMYFUNCTION("""COMPUTED_VALUE"""),"Armin")</f>
        <v>Armin</v>
      </c>
      <c r="E565" s="6" t="str">
        <f>IFERROR(__xludf.DUMMYFUNCTION("""COMPUTED_VALUE"""),"Armin")</f>
        <v>Armin</v>
      </c>
      <c r="F565" s="6" t="str">
        <f>IFERROR(__xludf.DUMMYFUNCTION("""COMPUTED_VALUE"""),"Rouwet")</f>
        <v>Rouwet</v>
      </c>
      <c r="G565" s="6" t="str">
        <f>IFERROR(__xludf.DUMMYFUNCTION("""COMPUTED_VALUE"""),"08/29/2014")</f>
        <v>08/29/2014</v>
      </c>
      <c r="H565" s="6" t="str">
        <f>IFERROR(__xludf.DUMMYFUNCTION("""COMPUTED_VALUE"""),"male")</f>
        <v>male</v>
      </c>
      <c r="I565" s="6" t="str">
        <f>IFERROR(__xludf.DUMMYFUNCTION("""COMPUTED_VALUE"""),"Middle School")</f>
        <v>Middle School</v>
      </c>
      <c r="J565" s="6" t="str">
        <f>IFERROR(__xludf.DUMMYFUNCTION("""COMPUTED_VALUE"""),"6")</f>
        <v>6</v>
      </c>
      <c r="K565" s="6" t="str">
        <f>IFERROR(__xludf.DUMMYFUNCTION("""COMPUTED_VALUE"""),"armin.rouwet@alpha.school")</f>
        <v>armin.rouwet@alpha.school</v>
      </c>
      <c r="L565" s="6" t="str">
        <f>IFERROR(__xludf.DUMMYFUNCTION("""COMPUTED_VALUE"""),"Alpha School Austin")</f>
        <v>Alpha School Austin</v>
      </c>
      <c r="M565" s="6" t="str">
        <f>IFERROR(__xludf.DUMMYFUNCTION("""COMPUTED_VALUE"""),"")</f>
        <v/>
      </c>
      <c r="N565" s="6" t="str">
        <f>IFERROR(__xludf.DUMMYFUNCTION("""COMPUTED_VALUE"""),"")</f>
        <v/>
      </c>
      <c r="O565" s="87" t="str">
        <f>IFERROR(__xludf.DUMMYFUNCTION("""COMPUTED_VALUE"""),"https://drive.google.com/drive/folders/10T2cTQHqEJZqE-st6uFKPoI?usp=share_link")</f>
        <v>https://drive.google.com/drive/folders/10T2cTQHqEJZqE-st6uFKPoI?usp=share_link</v>
      </c>
      <c r="P565" s="6" t="str">
        <f>IFERROR(__xludf.DUMMYFUNCTION("""COMPUTED_VALUE"""),"Armin Rouwet")</f>
        <v>Armin Rouwet</v>
      </c>
      <c r="Q565" s="6" t="str">
        <f>IFERROR(__xludf.DUMMYFUNCTION("""COMPUTED_VALUE"""),"MS")</f>
        <v>MS</v>
      </c>
      <c r="R565" s="6">
        <f>IFERROR(__xludf.DUMMYFUNCTION("""COMPUTED_VALUE"""),0.0)</f>
        <v>0</v>
      </c>
      <c r="S565" s="6" t="str">
        <f>IFERROR(__xludf.DUMMYFUNCTION("""COMPUTED_VALUE"""),"Noah Lightfoot")</f>
        <v>Noah Lightfoot</v>
      </c>
      <c r="T565" s="6" t="str">
        <f>IFERROR(__xludf.DUMMYFUNCTION("""COMPUTED_VALUE"""),"noah.lightfoot@alpha.school")</f>
        <v>noah.lightfoot@alpha.school</v>
      </c>
      <c r="U565" s="6" t="str">
        <f>IFERROR(__xludf.DUMMYFUNCTION("""COMPUTED_VALUE"""),"6")</f>
        <v>6</v>
      </c>
      <c r="V565" s="6" t="str">
        <f>IFERROR(__xludf.DUMMYFUNCTION("""COMPUTED_VALUE"""),"")</f>
        <v/>
      </c>
      <c r="W565" s="6" t="str">
        <f>IFERROR(__xludf.DUMMYFUNCTION("""COMPUTED_VALUE"""),"[]")</f>
        <v>[]</v>
      </c>
      <c r="X565" s="6" t="str">
        <f>IFERROR(__xludf.DUMMYFUNCTION("""COMPUTED_VALUE"""),"Enrolled")</f>
        <v>Enrolled</v>
      </c>
    </row>
    <row r="566">
      <c r="A566" s="6" t="str">
        <f>IFERROR(__xludf.DUMMYFUNCTION("""COMPUTED_VALUE"""),"001-0346")</f>
        <v>001-0346</v>
      </c>
      <c r="B566" s="6" t="str">
        <f>IFERROR(__xludf.DUMMYFUNCTION("""COMPUTED_VALUE"""),"1")</f>
        <v>1</v>
      </c>
      <c r="C566" s="6" t="str">
        <f>IFERROR(__xludf.DUMMYFUNCTION("""COMPUTED_VALUE"""),"0346")</f>
        <v>0346</v>
      </c>
      <c r="D566" s="6" t="str">
        <f>IFERROR(__xludf.DUMMYFUNCTION("""COMPUTED_VALUE"""),"Madeleine")</f>
        <v>Madeleine</v>
      </c>
      <c r="E566" s="6" t="str">
        <f>IFERROR(__xludf.DUMMYFUNCTION("""COMPUTED_VALUE"""),"Lucia")</f>
        <v>Lucia</v>
      </c>
      <c r="F566" s="6" t="str">
        <f>IFERROR(__xludf.DUMMYFUNCTION("""COMPUTED_VALUE"""),"Scaletta")</f>
        <v>Scaletta</v>
      </c>
      <c r="G566" s="6" t="str">
        <f>IFERROR(__xludf.DUMMYFUNCTION("""COMPUTED_VALUE"""),"11/21/2006")</f>
        <v>11/21/2006</v>
      </c>
      <c r="H566" s="6" t="str">
        <f>IFERROR(__xludf.DUMMYFUNCTION("""COMPUTED_VALUE"""),"female")</f>
        <v>female</v>
      </c>
      <c r="I566" s="6" t="str">
        <f>IFERROR(__xludf.DUMMYFUNCTION("""COMPUTED_VALUE"""),"High School")</f>
        <v>High School</v>
      </c>
      <c r="J566" s="6" t="str">
        <f>IFERROR(__xludf.DUMMYFUNCTION("""COMPUTED_VALUE"""),"12")</f>
        <v>12</v>
      </c>
      <c r="K566" s="6" t="str">
        <f>IFERROR(__xludf.DUMMYFUNCTION("""COMPUTED_VALUE"""),"luka.scaletta@alpha.school")</f>
        <v>luka.scaletta@alpha.school</v>
      </c>
      <c r="L566" s="6" t="str">
        <f>IFERROR(__xludf.DUMMYFUNCTION("""COMPUTED_VALUE"""),"Alpha High School")</f>
        <v>Alpha High School</v>
      </c>
      <c r="M566" s="6" t="str">
        <f>IFERROR(__xludf.DUMMYFUNCTION("""COMPUTED_VALUE"""),"Zilker")</f>
        <v>Zilker</v>
      </c>
      <c r="N566" s="6" t="str">
        <f>IFERROR(__xludf.DUMMYFUNCTION("""COMPUTED_VALUE"""),"")</f>
        <v/>
      </c>
      <c r="O566" s="87" t="str">
        <f>IFERROR(__xludf.DUMMYFUNCTION("""COMPUTED_VALUE"""),"https://drive.google.com/drive/folders/10T2cTQHqEJZqE-st6uFKPoI?usp=share_link")</f>
        <v>https://drive.google.com/drive/folders/10T2cTQHqEJZqE-st6uFKPoI?usp=share_link</v>
      </c>
      <c r="P566" s="6" t="str">
        <f>IFERROR(__xludf.DUMMYFUNCTION("""COMPUTED_VALUE"""),"Lucia Scaletta")</f>
        <v>Lucia Scaletta</v>
      </c>
      <c r="Q566" s="6" t="str">
        <f>IFERROR(__xludf.DUMMYFUNCTION("""COMPUTED_VALUE"""),"HS")</f>
        <v>HS</v>
      </c>
      <c r="R566" s="6">
        <f>IFERROR(__xludf.DUMMYFUNCTION("""COMPUTED_VALUE"""),0.0)</f>
        <v>0</v>
      </c>
      <c r="S566" s="6" t="str">
        <f>IFERROR(__xludf.DUMMYFUNCTION("""COMPUTED_VALUE"""),"Effy Phillips")</f>
        <v>Effy Phillips</v>
      </c>
      <c r="T566" s="6" t="str">
        <f>IFERROR(__xludf.DUMMYFUNCTION("""COMPUTED_VALUE"""),"effy.phillips@alpha.school")</f>
        <v>effy.phillips@alpha.school</v>
      </c>
      <c r="U566" s="6" t="str">
        <f>IFERROR(__xludf.DUMMYFUNCTION("""COMPUTED_VALUE"""),"12")</f>
        <v>12</v>
      </c>
      <c r="V566" s="6" t="str">
        <f>IFERROR(__xludf.DUMMYFUNCTION("""COMPUTED_VALUE"""),"")</f>
        <v/>
      </c>
      <c r="W566" s="6" t="str">
        <f>IFERROR(__xludf.DUMMYFUNCTION("""COMPUTED_VALUE"""),"[]")</f>
        <v>[]</v>
      </c>
      <c r="X566" s="6" t="str">
        <f>IFERROR(__xludf.DUMMYFUNCTION("""COMPUTED_VALUE"""),"Enrolled")</f>
        <v>Enrolled</v>
      </c>
    </row>
    <row r="567">
      <c r="A567" s="6" t="str">
        <f>IFERROR(__xludf.DUMMYFUNCTION("""COMPUTED_VALUE"""),"001-0368")</f>
        <v>001-0368</v>
      </c>
      <c r="B567" s="6" t="str">
        <f>IFERROR(__xludf.DUMMYFUNCTION("""COMPUTED_VALUE"""),"1")</f>
        <v>1</v>
      </c>
      <c r="C567" s="6" t="str">
        <f>IFERROR(__xludf.DUMMYFUNCTION("""COMPUTED_VALUE"""),"0368")</f>
        <v>0368</v>
      </c>
      <c r="D567" s="6" t="str">
        <f>IFERROR(__xludf.DUMMYFUNCTION("""COMPUTED_VALUE"""),"Reed")</f>
        <v>Reed</v>
      </c>
      <c r="E567" s="6" t="str">
        <f>IFERROR(__xludf.DUMMYFUNCTION("""COMPUTED_VALUE"""),"Reed")</f>
        <v>Reed</v>
      </c>
      <c r="F567" s="6" t="str">
        <f>IFERROR(__xludf.DUMMYFUNCTION("""COMPUTED_VALUE"""),"Robertson")</f>
        <v>Robertson</v>
      </c>
      <c r="G567" s="6" t="str">
        <f>IFERROR(__xludf.DUMMYFUNCTION("""COMPUTED_VALUE"""),"11/06/2016")</f>
        <v>11/06/2016</v>
      </c>
      <c r="H567" s="6" t="str">
        <f>IFERROR(__xludf.DUMMYFUNCTION("""COMPUTED_VALUE"""),"male")</f>
        <v>male</v>
      </c>
      <c r="I567" s="6" t="str">
        <f>IFERROR(__xludf.DUMMYFUNCTION("""COMPUTED_VALUE"""),"Level 1")</f>
        <v>Level 1</v>
      </c>
      <c r="J567" s="6" t="str">
        <f>IFERROR(__xludf.DUMMYFUNCTION("""COMPUTED_VALUE"""),"3")</f>
        <v>3</v>
      </c>
      <c r="K567" s="6" t="str">
        <f>IFERROR(__xludf.DUMMYFUNCTION("""COMPUTED_VALUE"""),"reed.robertson@alpha.school")</f>
        <v>reed.robertson@alpha.school</v>
      </c>
      <c r="L567" s="6" t="str">
        <f>IFERROR(__xludf.DUMMYFUNCTION("""COMPUTED_VALUE"""),"Alpha School Austin")</f>
        <v>Alpha School Austin</v>
      </c>
      <c r="M567" s="6" t="str">
        <f>IFERROR(__xludf.DUMMYFUNCTION("""COMPUTED_VALUE"""),"JW")</f>
        <v>JW</v>
      </c>
      <c r="N567" s="6" t="str">
        <f>IFERROR(__xludf.DUMMYFUNCTION("""COMPUTED_VALUE"""),"")</f>
        <v/>
      </c>
      <c r="O567" s="87" t="str">
        <f>IFERROR(__xludf.DUMMYFUNCTION("""COMPUTED_VALUE"""),"https://drive.google.com/drive/folders/10T2cTQHqEJZqE-st6uFKPoI?usp=share_link")</f>
        <v>https://drive.google.com/drive/folders/10T2cTQHqEJZqE-st6uFKPoI?usp=share_link</v>
      </c>
      <c r="P567" s="6" t="str">
        <f>IFERROR(__xludf.DUMMYFUNCTION("""COMPUTED_VALUE"""),"Reed Robertson")</f>
        <v>Reed Robertson</v>
      </c>
      <c r="Q567" s="6" t="str">
        <f>IFERROR(__xludf.DUMMYFUNCTION("""COMPUTED_VALUE"""),"L1")</f>
        <v>L1</v>
      </c>
      <c r="R567" s="6">
        <f>IFERROR(__xludf.DUMMYFUNCTION("""COMPUTED_VALUE"""),1.0)</f>
        <v>1</v>
      </c>
      <c r="S567" s="6" t="str">
        <f>IFERROR(__xludf.DUMMYFUNCTION("""COMPUTED_VALUE"""),"Zoe Zimmerman")</f>
        <v>Zoe Zimmerman</v>
      </c>
      <c r="T567" s="6" t="str">
        <f>IFERROR(__xludf.DUMMYFUNCTION("""COMPUTED_VALUE"""),"zoe.zimmerman@alpha.school")</f>
        <v>zoe.zimmerman@alpha.school</v>
      </c>
      <c r="U567" s="6" t="str">
        <f>IFERROR(__xludf.DUMMYFUNCTION("""COMPUTED_VALUE"""),"3")</f>
        <v>3</v>
      </c>
      <c r="V567" s="6" t="str">
        <f>IFERROR(__xludf.DUMMYFUNCTION("""COMPUTED_VALUE"""),"")</f>
        <v/>
      </c>
      <c r="W567" s="6" t="str">
        <f>IFERROR(__xludf.DUMMYFUNCTION("""COMPUTED_VALUE"""),"[]")</f>
        <v>[]</v>
      </c>
      <c r="X567" s="6" t="str">
        <f>IFERROR(__xludf.DUMMYFUNCTION("""COMPUTED_VALUE"""),"Enrolled")</f>
        <v>Enrolled</v>
      </c>
    </row>
    <row r="568">
      <c r="A568" s="6" t="str">
        <f>IFERROR(__xludf.DUMMYFUNCTION("""COMPUTED_VALUE"""),"001-0375")</f>
        <v>001-0375</v>
      </c>
      <c r="B568" s="6" t="str">
        <f>IFERROR(__xludf.DUMMYFUNCTION("""COMPUTED_VALUE"""),"1")</f>
        <v>1</v>
      </c>
      <c r="C568" s="6" t="str">
        <f>IFERROR(__xludf.DUMMYFUNCTION("""COMPUTED_VALUE"""),"0375")</f>
        <v>0375</v>
      </c>
      <c r="D568" s="6" t="str">
        <f>IFERROR(__xludf.DUMMYFUNCTION("""COMPUTED_VALUE"""),"Brett")</f>
        <v>Brett</v>
      </c>
      <c r="E568" s="6" t="str">
        <f>IFERROR(__xludf.DUMMYFUNCTION("""COMPUTED_VALUE"""),"")</f>
        <v/>
      </c>
      <c r="F568" s="6" t="str">
        <f>IFERROR(__xludf.DUMMYFUNCTION("""COMPUTED_VALUE"""),"Noel")</f>
        <v>Noel</v>
      </c>
      <c r="G568" s="6" t="str">
        <f>IFERROR(__xludf.DUMMYFUNCTION("""COMPUTED_VALUE"""),"05/12/2017")</f>
        <v>05/12/2017</v>
      </c>
      <c r="H568" s="6" t="str">
        <f>IFERROR(__xludf.DUMMYFUNCTION("""COMPUTED_VALUE"""),"female")</f>
        <v>female</v>
      </c>
      <c r="I568" s="6" t="str">
        <f>IFERROR(__xludf.DUMMYFUNCTION("""COMPUTED_VALUE"""),"Level 1")</f>
        <v>Level 1</v>
      </c>
      <c r="J568" s="6" t="str">
        <f>IFERROR(__xludf.DUMMYFUNCTION("""COMPUTED_VALUE"""),"3")</f>
        <v>3</v>
      </c>
      <c r="K568" s="6" t="str">
        <f>IFERROR(__xludf.DUMMYFUNCTION("""COMPUTED_VALUE"""),"brett.noel@alpha.school")</f>
        <v>brett.noel@alpha.school</v>
      </c>
      <c r="L568" s="6" t="str">
        <f>IFERROR(__xludf.DUMMYFUNCTION("""COMPUTED_VALUE"""),"Alpha School Austin")</f>
        <v>Alpha School Austin</v>
      </c>
      <c r="M568" s="6" t="str">
        <f>IFERROR(__xludf.DUMMYFUNCTION("""COMPUTED_VALUE"""),"JP")</f>
        <v>JP</v>
      </c>
      <c r="N568" s="6" t="str">
        <f>IFERROR(__xludf.DUMMYFUNCTION("""COMPUTED_VALUE"""),"")</f>
        <v/>
      </c>
      <c r="O568" s="87" t="str">
        <f>IFERROR(__xludf.DUMMYFUNCTION("""COMPUTED_VALUE"""),"https://drive.google.com/drive/folders/10T2cTQHqEJZqE-st6uFKPoI?usp=share_link")</f>
        <v>https://drive.google.com/drive/folders/10T2cTQHqEJZqE-st6uFKPoI?usp=share_link</v>
      </c>
      <c r="P568" s="6" t="str">
        <f>IFERROR(__xludf.DUMMYFUNCTION("""COMPUTED_VALUE"""),"Brett Noel")</f>
        <v>Brett Noel</v>
      </c>
      <c r="Q568" s="6" t="str">
        <f>IFERROR(__xludf.DUMMYFUNCTION("""COMPUTED_VALUE"""),"L1")</f>
        <v>L1</v>
      </c>
      <c r="R568" s="6">
        <f>IFERROR(__xludf.DUMMYFUNCTION("""COMPUTED_VALUE"""),1.0)</f>
        <v>1</v>
      </c>
      <c r="S568" s="6" t="str">
        <f>IFERROR(__xludf.DUMMYFUNCTION("""COMPUTED_VALUE"""),"Jacob Frisch")</f>
        <v>Jacob Frisch</v>
      </c>
      <c r="T568" s="6" t="str">
        <f>IFERROR(__xludf.DUMMYFUNCTION("""COMPUTED_VALUE"""),"jacob.frisch@2hourlearning.com")</f>
        <v>jacob.frisch@2hourlearning.com</v>
      </c>
      <c r="U568" s="6" t="str">
        <f>IFERROR(__xludf.DUMMYFUNCTION("""COMPUTED_VALUE"""),"3")</f>
        <v>3</v>
      </c>
      <c r="V568" s="6" t="str">
        <f>IFERROR(__xludf.DUMMYFUNCTION("""COMPUTED_VALUE"""),"")</f>
        <v/>
      </c>
      <c r="W568" s="6" t="str">
        <f>IFERROR(__xludf.DUMMYFUNCTION("""COMPUTED_VALUE"""),"[]")</f>
        <v>[]</v>
      </c>
      <c r="X568" s="6" t="str">
        <f>IFERROR(__xludf.DUMMYFUNCTION("""COMPUTED_VALUE"""),"Enrolled")</f>
        <v>Enrolled</v>
      </c>
    </row>
    <row r="569">
      <c r="A569" s="6" t="str">
        <f>IFERROR(__xludf.DUMMYFUNCTION("""COMPUTED_VALUE"""),"001-0388")</f>
        <v>001-0388</v>
      </c>
      <c r="B569" s="6" t="str">
        <f>IFERROR(__xludf.DUMMYFUNCTION("""COMPUTED_VALUE"""),"1")</f>
        <v>1</v>
      </c>
      <c r="C569" s="6" t="str">
        <f>IFERROR(__xludf.DUMMYFUNCTION("""COMPUTED_VALUE"""),"0388")</f>
        <v>0388</v>
      </c>
      <c r="D569" s="6" t="str">
        <f>IFERROR(__xludf.DUMMYFUNCTION("""COMPUTED_VALUE"""),"August")</f>
        <v>August</v>
      </c>
      <c r="E569" s="6" t="str">
        <f>IFERROR(__xludf.DUMMYFUNCTION("""COMPUTED_VALUE"""),"Gus")</f>
        <v>Gus</v>
      </c>
      <c r="F569" s="6" t="str">
        <f>IFERROR(__xludf.DUMMYFUNCTION("""COMPUTED_VALUE"""),"Castillo")</f>
        <v>Castillo</v>
      </c>
      <c r="G569" s="6" t="str">
        <f>IFERROR(__xludf.DUMMYFUNCTION("""COMPUTED_VALUE"""),"08/21/2011")</f>
        <v>08/21/2011</v>
      </c>
      <c r="H569" s="6" t="str">
        <f>IFERROR(__xludf.DUMMYFUNCTION("""COMPUTED_VALUE"""),"male")</f>
        <v>male</v>
      </c>
      <c r="I569" s="6" t="str">
        <f>IFERROR(__xludf.DUMMYFUNCTION("""COMPUTED_VALUE"""),"High School")</f>
        <v>High School</v>
      </c>
      <c r="J569" s="6" t="str">
        <f>IFERROR(__xludf.DUMMYFUNCTION("""COMPUTED_VALUE"""),"9")</f>
        <v>9</v>
      </c>
      <c r="K569" s="6" t="str">
        <f>IFERROR(__xludf.DUMMYFUNCTION("""COMPUTED_VALUE"""),"gus.castillo@alpha.school")</f>
        <v>gus.castillo@alpha.school</v>
      </c>
      <c r="L569" s="6" t="str">
        <f>IFERROR(__xludf.DUMMYFUNCTION("""COMPUTED_VALUE"""),"Alpha High School")</f>
        <v>Alpha High School</v>
      </c>
      <c r="M569" s="6" t="str">
        <f>IFERROR(__xludf.DUMMYFUNCTION("""COMPUTED_VALUE"""),"")</f>
        <v/>
      </c>
      <c r="N569" s="6" t="str">
        <f>IFERROR(__xludf.DUMMYFUNCTION("""COMPUTED_VALUE"""),"")</f>
        <v/>
      </c>
      <c r="O569" s="87" t="str">
        <f>IFERROR(__xludf.DUMMYFUNCTION("""COMPUTED_VALUE"""),"https://drive.google.com/drive/folders/10T2cTQHqEJZqE-st6uFKPoI?usp=share_link")</f>
        <v>https://drive.google.com/drive/folders/10T2cTQHqEJZqE-st6uFKPoI?usp=share_link</v>
      </c>
      <c r="P569" s="6" t="str">
        <f>IFERROR(__xludf.DUMMYFUNCTION("""COMPUTED_VALUE"""),"Gus Castillo")</f>
        <v>Gus Castillo</v>
      </c>
      <c r="Q569" s="6" t="str">
        <f>IFERROR(__xludf.DUMMYFUNCTION("""COMPUTED_VALUE"""),"HS")</f>
        <v>HS</v>
      </c>
      <c r="R569" s="6">
        <f>IFERROR(__xludf.DUMMYFUNCTION("""COMPUTED_VALUE"""),0.0)</f>
        <v>0</v>
      </c>
      <c r="S569" s="6" t="str">
        <f>IFERROR(__xludf.DUMMYFUNCTION("""COMPUTED_VALUE"""),"Jebin Justin")</f>
        <v>Jebin Justin</v>
      </c>
      <c r="T569" s="6" t="str">
        <f>IFERROR(__xludf.DUMMYFUNCTION("""COMPUTED_VALUE"""),"jebin.justin@alpha.school")</f>
        <v>jebin.justin@alpha.school</v>
      </c>
      <c r="U569" s="6" t="str">
        <f>IFERROR(__xludf.DUMMYFUNCTION("""COMPUTED_VALUE"""),"9")</f>
        <v>9</v>
      </c>
      <c r="V569" s="6" t="str">
        <f>IFERROR(__xludf.DUMMYFUNCTION("""COMPUTED_VALUE"""),"")</f>
        <v/>
      </c>
      <c r="W569" s="6" t="str">
        <f>IFERROR(__xludf.DUMMYFUNCTION("""COMPUTED_VALUE"""),"[]")</f>
        <v>[]</v>
      </c>
      <c r="X569" s="6" t="str">
        <f>IFERROR(__xludf.DUMMYFUNCTION("""COMPUTED_VALUE"""),"Enrolled")</f>
        <v>Enrolled</v>
      </c>
    </row>
    <row r="570">
      <c r="A570" s="6" t="str">
        <f>IFERROR(__xludf.DUMMYFUNCTION("""COMPUTED_VALUE"""),"001-0394")</f>
        <v>001-0394</v>
      </c>
      <c r="B570" s="6" t="str">
        <f>IFERROR(__xludf.DUMMYFUNCTION("""COMPUTED_VALUE"""),"1")</f>
        <v>1</v>
      </c>
      <c r="C570" s="6" t="str">
        <f>IFERROR(__xludf.DUMMYFUNCTION("""COMPUTED_VALUE"""),"0394")</f>
        <v>0394</v>
      </c>
      <c r="D570" s="6" t="str">
        <f>IFERROR(__xludf.DUMMYFUNCTION("""COMPUTED_VALUE"""),"Brooke")</f>
        <v>Brooke</v>
      </c>
      <c r="E570" s="6" t="str">
        <f>IFERROR(__xludf.DUMMYFUNCTION("""COMPUTED_VALUE"""),"Brooke")</f>
        <v>Brooke</v>
      </c>
      <c r="F570" s="6" t="str">
        <f>IFERROR(__xludf.DUMMYFUNCTION("""COMPUTED_VALUE"""),"Tracy")</f>
        <v>Tracy</v>
      </c>
      <c r="G570" s="6" t="str">
        <f>IFERROR(__xludf.DUMMYFUNCTION("""COMPUTED_VALUE"""),"06/29/2016")</f>
        <v>06/29/2016</v>
      </c>
      <c r="H570" s="6" t="str">
        <f>IFERROR(__xludf.DUMMYFUNCTION("""COMPUTED_VALUE"""),"female")</f>
        <v>female</v>
      </c>
      <c r="I570" s="6" t="str">
        <f>IFERROR(__xludf.DUMMYFUNCTION("""COMPUTED_VALUE"""),"Level 2")</f>
        <v>Level 2</v>
      </c>
      <c r="J570" s="6" t="str">
        <f>IFERROR(__xludf.DUMMYFUNCTION("""COMPUTED_VALUE"""),"4")</f>
        <v>4</v>
      </c>
      <c r="K570" s="6" t="str">
        <f>IFERROR(__xludf.DUMMYFUNCTION("""COMPUTED_VALUE"""),"brooke.tracy@alpha.school")</f>
        <v>brooke.tracy@alpha.school</v>
      </c>
      <c r="L570" s="6" t="str">
        <f>IFERROR(__xludf.DUMMYFUNCTION("""COMPUTED_VALUE"""),"Alpha School Austin")</f>
        <v>Alpha School Austin</v>
      </c>
      <c r="M570" s="6" t="str">
        <f>IFERROR(__xludf.DUMMYFUNCTION("""COMPUTED_VALUE"""),"JP")</f>
        <v>JP</v>
      </c>
      <c r="N570" s="6" t="str">
        <f>IFERROR(__xludf.DUMMYFUNCTION("""COMPUTED_VALUE"""),"")</f>
        <v/>
      </c>
      <c r="O570" s="87" t="str">
        <f>IFERROR(__xludf.DUMMYFUNCTION("""COMPUTED_VALUE"""),"https://drive.google.com/drive/folders/10T2cTQHqEJZqE-st6uFKPoI?usp=share_link")</f>
        <v>https://drive.google.com/drive/folders/10T2cTQHqEJZqE-st6uFKPoI?usp=share_link</v>
      </c>
      <c r="P570" s="6" t="str">
        <f>IFERROR(__xludf.DUMMYFUNCTION("""COMPUTED_VALUE"""),"Brooke Tracy")</f>
        <v>Brooke Tracy</v>
      </c>
      <c r="Q570" s="6" t="str">
        <f>IFERROR(__xludf.DUMMYFUNCTION("""COMPUTED_VALUE"""),"L2")</f>
        <v>L2</v>
      </c>
      <c r="R570" s="6">
        <f>IFERROR(__xludf.DUMMYFUNCTION("""COMPUTED_VALUE"""),2.0)</f>
        <v>2</v>
      </c>
      <c r="S570" s="6" t="str">
        <f>IFERROR(__xludf.DUMMYFUNCTION("""COMPUTED_VALUE"""),"Emma Simon")</f>
        <v>Emma Simon</v>
      </c>
      <c r="T570" s="6" t="str">
        <f>IFERROR(__xludf.DUMMYFUNCTION("""COMPUTED_VALUE"""),"emma.simon@alpha.school")</f>
        <v>emma.simon@alpha.school</v>
      </c>
      <c r="U570" s="6" t="str">
        <f>IFERROR(__xludf.DUMMYFUNCTION("""COMPUTED_VALUE"""),"4")</f>
        <v>4</v>
      </c>
      <c r="V570" s="6" t="str">
        <f>IFERROR(__xludf.DUMMYFUNCTION("""COMPUTED_VALUE"""),"")</f>
        <v/>
      </c>
      <c r="W570" s="6" t="str">
        <f>IFERROR(__xludf.DUMMYFUNCTION("""COMPUTED_VALUE"""),"[]")</f>
        <v>[]</v>
      </c>
      <c r="X570" s="6" t="str">
        <f>IFERROR(__xludf.DUMMYFUNCTION("""COMPUTED_VALUE"""),"Enrolled")</f>
        <v>Enrolled</v>
      </c>
    </row>
    <row r="571">
      <c r="A571" s="6" t="str">
        <f>IFERROR(__xludf.DUMMYFUNCTION("""COMPUTED_VALUE"""),"001-0397")</f>
        <v>001-0397</v>
      </c>
      <c r="B571" s="6" t="str">
        <f>IFERROR(__xludf.DUMMYFUNCTION("""COMPUTED_VALUE"""),"1")</f>
        <v>1</v>
      </c>
      <c r="C571" s="6" t="str">
        <f>IFERROR(__xludf.DUMMYFUNCTION("""COMPUTED_VALUE"""),"0397")</f>
        <v>0397</v>
      </c>
      <c r="D571" s="6" t="str">
        <f>IFERROR(__xludf.DUMMYFUNCTION("""COMPUTED_VALUE"""),"Alyan")</f>
        <v>Alyan</v>
      </c>
      <c r="E571" s="6" t="str">
        <f>IFERROR(__xludf.DUMMYFUNCTION("""COMPUTED_VALUE"""),"Alyan")</f>
        <v>Alyan</v>
      </c>
      <c r="F571" s="6" t="str">
        <f>IFERROR(__xludf.DUMMYFUNCTION("""COMPUTED_VALUE"""),"Slizza")</f>
        <v>Slizza</v>
      </c>
      <c r="G571" s="6" t="str">
        <f>IFERROR(__xludf.DUMMYFUNCTION("""COMPUTED_VALUE"""),"03/03/2016")</f>
        <v>03/03/2016</v>
      </c>
      <c r="H571" s="6" t="str">
        <f>IFERROR(__xludf.DUMMYFUNCTION("""COMPUTED_VALUE"""),"male")</f>
        <v>male</v>
      </c>
      <c r="I571" s="6" t="str">
        <f>IFERROR(__xludf.DUMMYFUNCTION("""COMPUTED_VALUE"""),"Level 2")</f>
        <v>Level 2</v>
      </c>
      <c r="J571" s="6" t="str">
        <f>IFERROR(__xludf.DUMMYFUNCTION("""COMPUTED_VALUE"""),"4")</f>
        <v>4</v>
      </c>
      <c r="K571" s="6" t="str">
        <f>IFERROR(__xludf.DUMMYFUNCTION("""COMPUTED_VALUE"""),"alyan.slizza@alpha.school")</f>
        <v>alyan.slizza@alpha.school</v>
      </c>
      <c r="L571" s="6" t="str">
        <f>IFERROR(__xludf.DUMMYFUNCTION("""COMPUTED_VALUE"""),"Alpha School Austin")</f>
        <v>Alpha School Austin</v>
      </c>
      <c r="M571" s="6" t="str">
        <f>IFERROR(__xludf.DUMMYFUNCTION("""COMPUTED_VALUE"""),"JP")</f>
        <v>JP</v>
      </c>
      <c r="N571" s="6" t="str">
        <f>IFERROR(__xludf.DUMMYFUNCTION("""COMPUTED_VALUE"""),"")</f>
        <v/>
      </c>
      <c r="O571" s="87" t="str">
        <f>IFERROR(__xludf.DUMMYFUNCTION("""COMPUTED_VALUE"""),"https://drive.google.com/drive/folders/10T2cTQHqEJZqE-st6uFKPoI?usp=share_link")</f>
        <v>https://drive.google.com/drive/folders/10T2cTQHqEJZqE-st6uFKPoI?usp=share_link</v>
      </c>
      <c r="P571" s="6" t="str">
        <f>IFERROR(__xludf.DUMMYFUNCTION("""COMPUTED_VALUE"""),"Alyan Slizza")</f>
        <v>Alyan Slizza</v>
      </c>
      <c r="Q571" s="6" t="str">
        <f>IFERROR(__xludf.DUMMYFUNCTION("""COMPUTED_VALUE"""),"L2")</f>
        <v>L2</v>
      </c>
      <c r="R571" s="6">
        <f>IFERROR(__xludf.DUMMYFUNCTION("""COMPUTED_VALUE"""),2.0)</f>
        <v>2</v>
      </c>
      <c r="S571" s="6" t="str">
        <f>IFERROR(__xludf.DUMMYFUNCTION("""COMPUTED_VALUE"""),"Emma Simon")</f>
        <v>Emma Simon</v>
      </c>
      <c r="T571" s="6" t="str">
        <f>IFERROR(__xludf.DUMMYFUNCTION("""COMPUTED_VALUE"""),"emma.simon@alpha.school")</f>
        <v>emma.simon@alpha.school</v>
      </c>
      <c r="U571" s="6" t="str">
        <f>IFERROR(__xludf.DUMMYFUNCTION("""COMPUTED_VALUE"""),"4")</f>
        <v>4</v>
      </c>
      <c r="V571" s="6" t="str">
        <f>IFERROR(__xludf.DUMMYFUNCTION("""COMPUTED_VALUE"""),"")</f>
        <v/>
      </c>
      <c r="W571" s="6" t="str">
        <f>IFERROR(__xludf.DUMMYFUNCTION("""COMPUTED_VALUE"""),"[]")</f>
        <v>[]</v>
      </c>
      <c r="X571" s="6" t="str">
        <f>IFERROR(__xludf.DUMMYFUNCTION("""COMPUTED_VALUE"""),"Enrolled")</f>
        <v>Enrolled</v>
      </c>
    </row>
    <row r="572">
      <c r="A572" s="6" t="str">
        <f>IFERROR(__xludf.DUMMYFUNCTION("""COMPUTED_VALUE"""),"001-0408")</f>
        <v>001-0408</v>
      </c>
      <c r="B572" s="6" t="str">
        <f>IFERROR(__xludf.DUMMYFUNCTION("""COMPUTED_VALUE"""),"1")</f>
        <v>1</v>
      </c>
      <c r="C572" s="6" t="str">
        <f>IFERROR(__xludf.DUMMYFUNCTION("""COMPUTED_VALUE"""),"0408")</f>
        <v>0408</v>
      </c>
      <c r="D572" s="6" t="str">
        <f>IFERROR(__xludf.DUMMYFUNCTION("""COMPUTED_VALUE"""),"Duke")</f>
        <v>Duke</v>
      </c>
      <c r="E572" s="6" t="str">
        <f>IFERROR(__xludf.DUMMYFUNCTION("""COMPUTED_VALUE"""),"Duke")</f>
        <v>Duke</v>
      </c>
      <c r="F572" s="6" t="str">
        <f>IFERROR(__xludf.DUMMYFUNCTION("""COMPUTED_VALUE"""),"Ajouz")</f>
        <v>Ajouz</v>
      </c>
      <c r="G572" s="6" t="str">
        <f>IFERROR(__xludf.DUMMYFUNCTION("""COMPUTED_VALUE"""),"04/16/2015")</f>
        <v>04/16/2015</v>
      </c>
      <c r="H572" s="6" t="str">
        <f>IFERROR(__xludf.DUMMYFUNCTION("""COMPUTED_VALUE"""),"male")</f>
        <v>male</v>
      </c>
      <c r="I572" s="6" t="str">
        <f>IFERROR(__xludf.DUMMYFUNCTION("""COMPUTED_VALUE"""),"Level 2")</f>
        <v>Level 2</v>
      </c>
      <c r="J572" s="6" t="str">
        <f>IFERROR(__xludf.DUMMYFUNCTION("""COMPUTED_VALUE"""),"5")</f>
        <v>5</v>
      </c>
      <c r="K572" s="6" t="str">
        <f>IFERROR(__xludf.DUMMYFUNCTION("""COMPUTED_VALUE"""),"duke.ajouz@alpha.school")</f>
        <v>duke.ajouz@alpha.school</v>
      </c>
      <c r="L572" s="6" t="str">
        <f>IFERROR(__xludf.DUMMYFUNCTION("""COMPUTED_VALUE"""),"Alpha School Austin")</f>
        <v>Alpha School Austin</v>
      </c>
      <c r="M572" s="6" t="str">
        <f>IFERROR(__xludf.DUMMYFUNCTION("""COMPUTED_VALUE"""),"")</f>
        <v/>
      </c>
      <c r="N572" s="6" t="str">
        <f>IFERROR(__xludf.DUMMYFUNCTION("""COMPUTED_VALUE"""),"")</f>
        <v/>
      </c>
      <c r="O572" s="87" t="str">
        <f>IFERROR(__xludf.DUMMYFUNCTION("""COMPUTED_VALUE"""),"https://drive.google.com/drive/folders/10T2cTQHqEJZqE-st6uFKPoI?usp=share_link")</f>
        <v>https://drive.google.com/drive/folders/10T2cTQHqEJZqE-st6uFKPoI?usp=share_link</v>
      </c>
      <c r="P572" s="6" t="str">
        <f>IFERROR(__xludf.DUMMYFUNCTION("""COMPUTED_VALUE"""),"Duke Ajouz")</f>
        <v>Duke Ajouz</v>
      </c>
      <c r="Q572" s="6" t="str">
        <f>IFERROR(__xludf.DUMMYFUNCTION("""COMPUTED_VALUE"""),"L2")</f>
        <v>L2</v>
      </c>
      <c r="R572" s="6">
        <f>IFERROR(__xludf.DUMMYFUNCTION("""COMPUTED_VALUE"""),2.0)</f>
        <v>2</v>
      </c>
      <c r="S572" s="6" t="str">
        <f>IFERROR(__xludf.DUMMYFUNCTION("""COMPUTED_VALUE"""),"Alex Cruz")</f>
        <v>Alex Cruz</v>
      </c>
      <c r="T572" s="6" t="str">
        <f>IFERROR(__xludf.DUMMYFUNCTION("""COMPUTED_VALUE"""),"alex.cruz@sportsacademy.school")</f>
        <v>alex.cruz@sportsacademy.school</v>
      </c>
      <c r="U572" s="6" t="str">
        <f>IFERROR(__xludf.DUMMYFUNCTION("""COMPUTED_VALUE"""),"5")</f>
        <v>5</v>
      </c>
      <c r="V572" s="6" t="str">
        <f>IFERROR(__xludf.DUMMYFUNCTION("""COMPUTED_VALUE"""),"")</f>
        <v/>
      </c>
      <c r="W572" s="6" t="str">
        <f>IFERROR(__xludf.DUMMYFUNCTION("""COMPUTED_VALUE"""),"[]")</f>
        <v>[]</v>
      </c>
      <c r="X572" s="6" t="str">
        <f>IFERROR(__xludf.DUMMYFUNCTION("""COMPUTED_VALUE"""),"Enrolled")</f>
        <v>Enrolled</v>
      </c>
    </row>
    <row r="573">
      <c r="A573" s="6" t="str">
        <f>IFERROR(__xludf.DUMMYFUNCTION("""COMPUTED_VALUE"""),"001-0416")</f>
        <v>001-0416</v>
      </c>
      <c r="B573" s="6" t="str">
        <f>IFERROR(__xludf.DUMMYFUNCTION("""COMPUTED_VALUE"""),"1")</f>
        <v>1</v>
      </c>
      <c r="C573" s="6" t="str">
        <f>IFERROR(__xludf.DUMMYFUNCTION("""COMPUTED_VALUE"""),"0416")</f>
        <v>0416</v>
      </c>
      <c r="D573" s="6" t="str">
        <f>IFERROR(__xludf.DUMMYFUNCTION("""COMPUTED_VALUE"""),"Ella")</f>
        <v>Ella</v>
      </c>
      <c r="E573" s="6" t="str">
        <f>IFERROR(__xludf.DUMMYFUNCTION("""COMPUTED_VALUE"""),"Ella")</f>
        <v>Ella</v>
      </c>
      <c r="F573" s="6" t="str">
        <f>IFERROR(__xludf.DUMMYFUNCTION("""COMPUTED_VALUE"""),"McMurry")</f>
        <v>McMurry</v>
      </c>
      <c r="G573" s="6" t="str">
        <f>IFERROR(__xludf.DUMMYFUNCTION("""COMPUTED_VALUE"""),"06/14/2012")</f>
        <v>06/14/2012</v>
      </c>
      <c r="H573" s="6" t="str">
        <f>IFERROR(__xludf.DUMMYFUNCTION("""COMPUTED_VALUE"""),"female")</f>
        <v>female</v>
      </c>
      <c r="I573" s="6" t="str">
        <f>IFERROR(__xludf.DUMMYFUNCTION("""COMPUTED_VALUE"""),"Middle School")</f>
        <v>Middle School</v>
      </c>
      <c r="J573" s="6" t="str">
        <f>IFERROR(__xludf.DUMMYFUNCTION("""COMPUTED_VALUE"""),"8")</f>
        <v>8</v>
      </c>
      <c r="K573" s="6" t="str">
        <f>IFERROR(__xludf.DUMMYFUNCTION("""COMPUTED_VALUE"""),"ella.mcmurry@alpha.school")</f>
        <v>ella.mcmurry@alpha.school</v>
      </c>
      <c r="L573" s="6" t="str">
        <f>IFERROR(__xludf.DUMMYFUNCTION("""COMPUTED_VALUE"""),"Alpha School Austin")</f>
        <v>Alpha School Austin</v>
      </c>
      <c r="M573" s="6" t="str">
        <f>IFERROR(__xludf.DUMMYFUNCTION("""COMPUTED_VALUE"""),"")</f>
        <v/>
      </c>
      <c r="N573" s="6" t="str">
        <f>IFERROR(__xludf.DUMMYFUNCTION("""COMPUTED_VALUE"""),"")</f>
        <v/>
      </c>
      <c r="O573" s="87" t="str">
        <f>IFERROR(__xludf.DUMMYFUNCTION("""COMPUTED_VALUE"""),"https://drive.google.com/drive/folders/10T2cTQHqEJZqE-st6uFKPoI?usp=share_link")</f>
        <v>https://drive.google.com/drive/folders/10T2cTQHqEJZqE-st6uFKPoI?usp=share_link</v>
      </c>
      <c r="P573" s="6" t="str">
        <f>IFERROR(__xludf.DUMMYFUNCTION("""COMPUTED_VALUE"""),"Ella McMurry")</f>
        <v>Ella McMurry</v>
      </c>
      <c r="Q573" s="6" t="str">
        <f>IFERROR(__xludf.DUMMYFUNCTION("""COMPUTED_VALUE"""),"MS")</f>
        <v>MS</v>
      </c>
      <c r="R573" s="6">
        <f>IFERROR(__xludf.DUMMYFUNCTION("""COMPUTED_VALUE"""),0.0)</f>
        <v>0</v>
      </c>
      <c r="S573" s="6" t="str">
        <f>IFERROR(__xludf.DUMMYFUNCTION("""COMPUTED_VALUE"""),"Taylor Sweeney")</f>
        <v>Taylor Sweeney</v>
      </c>
      <c r="T573" s="6" t="str">
        <f>IFERROR(__xludf.DUMMYFUNCTION("""COMPUTED_VALUE"""),"taylor.sweeney@alpha.school")</f>
        <v>taylor.sweeney@alpha.school</v>
      </c>
      <c r="U573" s="6" t="str">
        <f>IFERROR(__xludf.DUMMYFUNCTION("""COMPUTED_VALUE"""),"8")</f>
        <v>8</v>
      </c>
      <c r="V573" s="6" t="str">
        <f>IFERROR(__xludf.DUMMYFUNCTION("""COMPUTED_VALUE"""),"")</f>
        <v/>
      </c>
      <c r="W573" s="6" t="str">
        <f>IFERROR(__xludf.DUMMYFUNCTION("""COMPUTED_VALUE"""),"[]")</f>
        <v>[]</v>
      </c>
      <c r="X573" s="6" t="str">
        <f>IFERROR(__xludf.DUMMYFUNCTION("""COMPUTED_VALUE"""),"Enrolled")</f>
        <v>Enrolled</v>
      </c>
    </row>
    <row r="574">
      <c r="A574" s="6" t="str">
        <f>IFERROR(__xludf.DUMMYFUNCTION("""COMPUTED_VALUE"""),"001-0428")</f>
        <v>001-0428</v>
      </c>
      <c r="B574" s="6" t="str">
        <f>IFERROR(__xludf.DUMMYFUNCTION("""COMPUTED_VALUE"""),"1")</f>
        <v>1</v>
      </c>
      <c r="C574" s="6" t="str">
        <f>IFERROR(__xludf.DUMMYFUNCTION("""COMPUTED_VALUE"""),"0428")</f>
        <v>0428</v>
      </c>
      <c r="D574" s="6" t="str">
        <f>IFERROR(__xludf.DUMMYFUNCTION("""COMPUTED_VALUE"""),"Edgar")</f>
        <v>Edgar</v>
      </c>
      <c r="E574" s="6" t="str">
        <f>IFERROR(__xludf.DUMMYFUNCTION("""COMPUTED_VALUE"""),"Edgar")</f>
        <v>Edgar</v>
      </c>
      <c r="F574" s="6" t="str">
        <f>IFERROR(__xludf.DUMMYFUNCTION("""COMPUTED_VALUE"""),"Shinar")</f>
        <v>Shinar</v>
      </c>
      <c r="G574" s="6" t="str">
        <f>IFERROR(__xludf.DUMMYFUNCTION("""COMPUTED_VALUE"""),"08/21/2014")</f>
        <v>08/21/2014</v>
      </c>
      <c r="H574" s="6" t="str">
        <f>IFERROR(__xludf.DUMMYFUNCTION("""COMPUTED_VALUE"""),"male")</f>
        <v>male</v>
      </c>
      <c r="I574" s="6" t="str">
        <f>IFERROR(__xludf.DUMMYFUNCTION("""COMPUTED_VALUE"""),"Middle School")</f>
        <v>Middle School</v>
      </c>
      <c r="J574" s="6" t="str">
        <f>IFERROR(__xludf.DUMMYFUNCTION("""COMPUTED_VALUE"""),"6")</f>
        <v>6</v>
      </c>
      <c r="K574" s="6" t="str">
        <f>IFERROR(__xludf.DUMMYFUNCTION("""COMPUTED_VALUE"""),"edgar.shinar@alpha.school")</f>
        <v>edgar.shinar@alpha.school</v>
      </c>
      <c r="L574" s="6" t="str">
        <f>IFERROR(__xludf.DUMMYFUNCTION("""COMPUTED_VALUE"""),"Alpha School Austin")</f>
        <v>Alpha School Austin</v>
      </c>
      <c r="M574" s="6" t="str">
        <f>IFERROR(__xludf.DUMMYFUNCTION("""COMPUTED_VALUE"""),"")</f>
        <v/>
      </c>
      <c r="N574" s="6" t="str">
        <f>IFERROR(__xludf.DUMMYFUNCTION("""COMPUTED_VALUE"""),"")</f>
        <v/>
      </c>
      <c r="O574" s="87" t="str">
        <f>IFERROR(__xludf.DUMMYFUNCTION("""COMPUTED_VALUE"""),"https://drive.google.com/drive/folders/10T2cTQHqEJZqE-st6uFKPoI?usp=share_link")</f>
        <v>https://drive.google.com/drive/folders/10T2cTQHqEJZqE-st6uFKPoI?usp=share_link</v>
      </c>
      <c r="P574" s="6" t="str">
        <f>IFERROR(__xludf.DUMMYFUNCTION("""COMPUTED_VALUE"""),"Edgar Shinar")</f>
        <v>Edgar Shinar</v>
      </c>
      <c r="Q574" s="6" t="str">
        <f>IFERROR(__xludf.DUMMYFUNCTION("""COMPUTED_VALUE"""),"MS")</f>
        <v>MS</v>
      </c>
      <c r="R574" s="6">
        <f>IFERROR(__xludf.DUMMYFUNCTION("""COMPUTED_VALUE"""),0.0)</f>
        <v>0</v>
      </c>
      <c r="S574" s="6" t="str">
        <f>IFERROR(__xludf.DUMMYFUNCTION("""COMPUTED_VALUE"""),"Lauren Hammond")</f>
        <v>Lauren Hammond</v>
      </c>
      <c r="T574" s="6" t="str">
        <f>IFERROR(__xludf.DUMMYFUNCTION("""COMPUTED_VALUE"""),"lauren.hammond@alpha.school")</f>
        <v>lauren.hammond@alpha.school</v>
      </c>
      <c r="U574" s="6" t="str">
        <f>IFERROR(__xludf.DUMMYFUNCTION("""COMPUTED_VALUE"""),"6")</f>
        <v>6</v>
      </c>
      <c r="V574" s="6" t="str">
        <f>IFERROR(__xludf.DUMMYFUNCTION("""COMPUTED_VALUE"""),"")</f>
        <v/>
      </c>
      <c r="W574" s="6" t="str">
        <f>IFERROR(__xludf.DUMMYFUNCTION("""COMPUTED_VALUE"""),"[]")</f>
        <v>[]</v>
      </c>
      <c r="X574" s="6" t="str">
        <f>IFERROR(__xludf.DUMMYFUNCTION("""COMPUTED_VALUE"""),"Enrolled")</f>
        <v>Enrolled</v>
      </c>
    </row>
    <row r="575">
      <c r="A575" s="6" t="str">
        <f>IFERROR(__xludf.DUMMYFUNCTION("""COMPUTED_VALUE"""),"001-0436")</f>
        <v>001-0436</v>
      </c>
      <c r="B575" s="6" t="str">
        <f>IFERROR(__xludf.DUMMYFUNCTION("""COMPUTED_VALUE"""),"1")</f>
        <v>1</v>
      </c>
      <c r="C575" s="6" t="str">
        <f>IFERROR(__xludf.DUMMYFUNCTION("""COMPUTED_VALUE"""),"0436")</f>
        <v>0436</v>
      </c>
      <c r="D575" s="6" t="str">
        <f>IFERROR(__xludf.DUMMYFUNCTION("""COMPUTED_VALUE"""),"Byron")</f>
        <v>Byron</v>
      </c>
      <c r="E575" s="6" t="str">
        <f>IFERROR(__xludf.DUMMYFUNCTION("""COMPUTED_VALUE"""),"Byron")</f>
        <v>Byron</v>
      </c>
      <c r="F575" s="6" t="str">
        <f>IFERROR(__xludf.DUMMYFUNCTION("""COMPUTED_VALUE"""),"Attridge")</f>
        <v>Attridge</v>
      </c>
      <c r="G575" s="6" t="str">
        <f>IFERROR(__xludf.DUMMYFUNCTION("""COMPUTED_VALUE"""),"02/26/2013")</f>
        <v>02/26/2013</v>
      </c>
      <c r="H575" s="6" t="str">
        <f>IFERROR(__xludf.DUMMYFUNCTION("""COMPUTED_VALUE"""),"male")</f>
        <v>male</v>
      </c>
      <c r="I575" s="6" t="str">
        <f>IFERROR(__xludf.DUMMYFUNCTION("""COMPUTED_VALUE"""),"Middle School")</f>
        <v>Middle School</v>
      </c>
      <c r="J575" s="6" t="str">
        <f>IFERROR(__xludf.DUMMYFUNCTION("""COMPUTED_VALUE"""),"7")</f>
        <v>7</v>
      </c>
      <c r="K575" s="6" t="str">
        <f>IFERROR(__xludf.DUMMYFUNCTION("""COMPUTED_VALUE"""),"byron.attridge@alpha.school")</f>
        <v>byron.attridge@alpha.school</v>
      </c>
      <c r="L575" s="6" t="str">
        <f>IFERROR(__xludf.DUMMYFUNCTION("""COMPUTED_VALUE"""),"Alpha School Austin")</f>
        <v>Alpha School Austin</v>
      </c>
      <c r="M575" s="6" t="str">
        <f>IFERROR(__xludf.DUMMYFUNCTION("""COMPUTED_VALUE"""),"")</f>
        <v/>
      </c>
      <c r="N575" s="6" t="str">
        <f>IFERROR(__xludf.DUMMYFUNCTION("""COMPUTED_VALUE"""),"")</f>
        <v/>
      </c>
      <c r="O575" s="87" t="str">
        <f>IFERROR(__xludf.DUMMYFUNCTION("""COMPUTED_VALUE"""),"https://drive.google.com/drive/folders/10T2cTQHqEJZqE-st6uFKPoI?usp=share_link")</f>
        <v>https://drive.google.com/drive/folders/10T2cTQHqEJZqE-st6uFKPoI?usp=share_link</v>
      </c>
      <c r="P575" s="6" t="str">
        <f>IFERROR(__xludf.DUMMYFUNCTION("""COMPUTED_VALUE"""),"Byron Attridge")</f>
        <v>Byron Attridge</v>
      </c>
      <c r="Q575" s="6" t="str">
        <f>IFERROR(__xludf.DUMMYFUNCTION("""COMPUTED_VALUE"""),"MS")</f>
        <v>MS</v>
      </c>
      <c r="R575" s="6">
        <f>IFERROR(__xludf.DUMMYFUNCTION("""COMPUTED_VALUE"""),0.0)</f>
        <v>0</v>
      </c>
      <c r="S575" s="6" t="str">
        <f>IFERROR(__xludf.DUMMYFUNCTION("""COMPUTED_VALUE"""),"Israel Adesina")</f>
        <v>Israel Adesina</v>
      </c>
      <c r="T575" s="6" t="str">
        <f>IFERROR(__xludf.DUMMYFUNCTION("""COMPUTED_VALUE"""),"israel.adesina@alpha.school")</f>
        <v>israel.adesina@alpha.school</v>
      </c>
      <c r="U575" s="6" t="str">
        <f>IFERROR(__xludf.DUMMYFUNCTION("""COMPUTED_VALUE"""),"7")</f>
        <v>7</v>
      </c>
      <c r="V575" s="6" t="str">
        <f>IFERROR(__xludf.DUMMYFUNCTION("""COMPUTED_VALUE"""),"")</f>
        <v/>
      </c>
      <c r="W575" s="6" t="str">
        <f>IFERROR(__xludf.DUMMYFUNCTION("""COMPUTED_VALUE"""),"[]")</f>
        <v>[]</v>
      </c>
      <c r="X575" s="6" t="str">
        <f>IFERROR(__xludf.DUMMYFUNCTION("""COMPUTED_VALUE"""),"Enrolled")</f>
        <v>Enrolled</v>
      </c>
    </row>
    <row r="576">
      <c r="A576" s="6" t="str">
        <f>IFERROR(__xludf.DUMMYFUNCTION("""COMPUTED_VALUE"""),"001-0444")</f>
        <v>001-0444</v>
      </c>
      <c r="B576" s="6" t="str">
        <f>IFERROR(__xludf.DUMMYFUNCTION("""COMPUTED_VALUE"""),"1")</f>
        <v>1</v>
      </c>
      <c r="C576" s="6" t="str">
        <f>IFERROR(__xludf.DUMMYFUNCTION("""COMPUTED_VALUE"""),"0444")</f>
        <v>0444</v>
      </c>
      <c r="D576" s="6" t="str">
        <f>IFERROR(__xludf.DUMMYFUNCTION("""COMPUTED_VALUE"""),"Patricia")</f>
        <v>Patricia</v>
      </c>
      <c r="E576" s="6" t="str">
        <f>IFERROR(__xludf.DUMMYFUNCTION("""COMPUTED_VALUE"""),"Paty")</f>
        <v>Paty</v>
      </c>
      <c r="F576" s="6" t="str">
        <f>IFERROR(__xludf.DUMMYFUNCTION("""COMPUTED_VALUE"""),"Margain-Junco")</f>
        <v>Margain-Junco</v>
      </c>
      <c r="G576" s="6" t="str">
        <f>IFERROR(__xludf.DUMMYFUNCTION("""COMPUTED_VALUE"""),"11/20/2008")</f>
        <v>11/20/2008</v>
      </c>
      <c r="H576" s="6" t="str">
        <f>IFERROR(__xludf.DUMMYFUNCTION("""COMPUTED_VALUE"""),"female")</f>
        <v>female</v>
      </c>
      <c r="I576" s="6" t="str">
        <f>IFERROR(__xludf.DUMMYFUNCTION("""COMPUTED_VALUE"""),"High School")</f>
        <v>High School</v>
      </c>
      <c r="J576" s="6" t="str">
        <f>IFERROR(__xludf.DUMMYFUNCTION("""COMPUTED_VALUE"""),"11")</f>
        <v>11</v>
      </c>
      <c r="K576" s="6" t="str">
        <f>IFERROR(__xludf.DUMMYFUNCTION("""COMPUTED_VALUE"""),"paty.margainjunco@alpha.school")</f>
        <v>paty.margainjunco@alpha.school</v>
      </c>
      <c r="L576" s="6" t="str">
        <f>IFERROR(__xludf.DUMMYFUNCTION("""COMPUTED_VALUE"""),"Alpha High School")</f>
        <v>Alpha High School</v>
      </c>
      <c r="M576" s="6" t="str">
        <f>IFERROR(__xludf.DUMMYFUNCTION("""COMPUTED_VALUE"""),"Zilker")</f>
        <v>Zilker</v>
      </c>
      <c r="N576" s="6" t="str">
        <f>IFERROR(__xludf.DUMMYFUNCTION("""COMPUTED_VALUE"""),"")</f>
        <v/>
      </c>
      <c r="O576" s="87" t="str">
        <f>IFERROR(__xludf.DUMMYFUNCTION("""COMPUTED_VALUE"""),"https://drive.google.com/drive/folders/10T2cTQHqEJZqE-st6uFKPoI?usp=share_link")</f>
        <v>https://drive.google.com/drive/folders/10T2cTQHqEJZqE-st6uFKPoI?usp=share_link</v>
      </c>
      <c r="P576" s="6" t="str">
        <f>IFERROR(__xludf.DUMMYFUNCTION("""COMPUTED_VALUE"""),"Paty Margain-Junco")</f>
        <v>Paty Margain-Junco</v>
      </c>
      <c r="Q576" s="6" t="str">
        <f>IFERROR(__xludf.DUMMYFUNCTION("""COMPUTED_VALUE"""),"HS")</f>
        <v>HS</v>
      </c>
      <c r="R576" s="6">
        <f>IFERROR(__xludf.DUMMYFUNCTION("""COMPUTED_VALUE"""),0.0)</f>
        <v>0</v>
      </c>
      <c r="S576" s="6" t="str">
        <f>IFERROR(__xludf.DUMMYFUNCTION("""COMPUTED_VALUE"""),"Chloe Belvin")</f>
        <v>Chloe Belvin</v>
      </c>
      <c r="T576" s="6" t="str">
        <f>IFERROR(__xludf.DUMMYFUNCTION("""COMPUTED_VALUE"""),"chloe.belvin@alpha.school")</f>
        <v>chloe.belvin@alpha.school</v>
      </c>
      <c r="U576" s="6" t="str">
        <f>IFERROR(__xludf.DUMMYFUNCTION("""COMPUTED_VALUE"""),"11")</f>
        <v>11</v>
      </c>
      <c r="V576" s="6" t="str">
        <f>IFERROR(__xludf.DUMMYFUNCTION("""COMPUTED_VALUE"""),"")</f>
        <v/>
      </c>
      <c r="W576" s="6" t="str">
        <f>IFERROR(__xludf.DUMMYFUNCTION("""COMPUTED_VALUE"""),"[]")</f>
        <v>[]</v>
      </c>
      <c r="X576" s="6" t="str">
        <f>IFERROR(__xludf.DUMMYFUNCTION("""COMPUTED_VALUE"""),"Enrolled")</f>
        <v>Enrolled</v>
      </c>
    </row>
    <row r="577">
      <c r="A577" s="6" t="str">
        <f>IFERROR(__xludf.DUMMYFUNCTION("""COMPUTED_VALUE"""),"001-0445")</f>
        <v>001-0445</v>
      </c>
      <c r="B577" s="6" t="str">
        <f>IFERROR(__xludf.DUMMYFUNCTION("""COMPUTED_VALUE"""),"1")</f>
        <v>1</v>
      </c>
      <c r="C577" s="6" t="str">
        <f>IFERROR(__xludf.DUMMYFUNCTION("""COMPUTED_VALUE"""),"0445")</f>
        <v>0445</v>
      </c>
      <c r="D577" s="6" t="str">
        <f>IFERROR(__xludf.DUMMYFUNCTION("""COMPUTED_VALUE"""),"Eduardo A.")</f>
        <v>Eduardo A.</v>
      </c>
      <c r="E577" s="6" t="str">
        <f>IFERROR(__xludf.DUMMYFUNCTION("""COMPUTED_VALUE"""),"Eddie")</f>
        <v>Eddie</v>
      </c>
      <c r="F577" s="6" t="str">
        <f>IFERROR(__xludf.DUMMYFUNCTION("""COMPUTED_VALUE"""),"Margain-Junco")</f>
        <v>Margain-Junco</v>
      </c>
      <c r="G577" s="6" t="str">
        <f>IFERROR(__xludf.DUMMYFUNCTION("""COMPUTED_VALUE"""),"08/09/2012")</f>
        <v>08/09/2012</v>
      </c>
      <c r="H577" s="6" t="str">
        <f>IFERROR(__xludf.DUMMYFUNCTION("""COMPUTED_VALUE"""),"male")</f>
        <v>male</v>
      </c>
      <c r="I577" s="6" t="str">
        <f>IFERROR(__xludf.DUMMYFUNCTION("""COMPUTED_VALUE"""),"Middle School")</f>
        <v>Middle School</v>
      </c>
      <c r="J577" s="6" t="str">
        <f>IFERROR(__xludf.DUMMYFUNCTION("""COMPUTED_VALUE"""),"7")</f>
        <v>7</v>
      </c>
      <c r="K577" s="6" t="str">
        <f>IFERROR(__xludf.DUMMYFUNCTION("""COMPUTED_VALUE"""),"eddie.margainjunco@alpha.school")</f>
        <v>eddie.margainjunco@alpha.school</v>
      </c>
      <c r="L577" s="6" t="str">
        <f>IFERROR(__xludf.DUMMYFUNCTION("""COMPUTED_VALUE"""),"Alpha School Austin")</f>
        <v>Alpha School Austin</v>
      </c>
      <c r="M577" s="6" t="str">
        <f>IFERROR(__xludf.DUMMYFUNCTION("""COMPUTED_VALUE"""),"")</f>
        <v/>
      </c>
      <c r="N577" s="6" t="str">
        <f>IFERROR(__xludf.DUMMYFUNCTION("""COMPUTED_VALUE"""),"")</f>
        <v/>
      </c>
      <c r="O577" s="87" t="str">
        <f>IFERROR(__xludf.DUMMYFUNCTION("""COMPUTED_VALUE"""),"https://drive.google.com/drive/folders/10T2cTQHqEJZqE-st6uFKPoI?usp=share_link")</f>
        <v>https://drive.google.com/drive/folders/10T2cTQHqEJZqE-st6uFKPoI?usp=share_link</v>
      </c>
      <c r="P577" s="6" t="str">
        <f>IFERROR(__xludf.DUMMYFUNCTION("""COMPUTED_VALUE"""),"Eddie Margain-Junco")</f>
        <v>Eddie Margain-Junco</v>
      </c>
      <c r="Q577" s="6" t="str">
        <f>IFERROR(__xludf.DUMMYFUNCTION("""COMPUTED_VALUE"""),"MS")</f>
        <v>MS</v>
      </c>
      <c r="R577" s="6">
        <f>IFERROR(__xludf.DUMMYFUNCTION("""COMPUTED_VALUE"""),0.0)</f>
        <v>0</v>
      </c>
      <c r="S577" s="6" t="str">
        <f>IFERROR(__xludf.DUMMYFUNCTION("""COMPUTED_VALUE"""),"Shaas Singh")</f>
        <v>Shaas Singh</v>
      </c>
      <c r="T577" s="6" t="str">
        <f>IFERROR(__xludf.DUMMYFUNCTION("""COMPUTED_VALUE"""),"shaas.singh@alpha.school")</f>
        <v>shaas.singh@alpha.school</v>
      </c>
      <c r="U577" s="6" t="str">
        <f>IFERROR(__xludf.DUMMYFUNCTION("""COMPUTED_VALUE"""),"7")</f>
        <v>7</v>
      </c>
      <c r="V577" s="6" t="str">
        <f>IFERROR(__xludf.DUMMYFUNCTION("""COMPUTED_VALUE"""),"")</f>
        <v/>
      </c>
      <c r="W577" s="6" t="str">
        <f>IFERROR(__xludf.DUMMYFUNCTION("""COMPUTED_VALUE"""),"[Text-to-Speech,Solo Space,Extended Time]")</f>
        <v>[Text-to-Speech,Solo Space,Extended Time]</v>
      </c>
      <c r="X577" s="6" t="str">
        <f>IFERROR(__xludf.DUMMYFUNCTION("""COMPUTED_VALUE"""),"Enrolled")</f>
        <v>Enrolled</v>
      </c>
    </row>
    <row r="578">
      <c r="A578" s="6" t="str">
        <f>IFERROR(__xludf.DUMMYFUNCTION("""COMPUTED_VALUE"""),"001-0447")</f>
        <v>001-0447</v>
      </c>
      <c r="B578" s="6" t="str">
        <f>IFERROR(__xludf.DUMMYFUNCTION("""COMPUTED_VALUE"""),"1")</f>
        <v>1</v>
      </c>
      <c r="C578" s="6" t="str">
        <f>IFERROR(__xludf.DUMMYFUNCTION("""COMPUTED_VALUE"""),"0447")</f>
        <v>0447</v>
      </c>
      <c r="D578" s="6" t="str">
        <f>IFERROR(__xludf.DUMMYFUNCTION("""COMPUTED_VALUE"""),"Adrienne")</f>
        <v>Adrienne</v>
      </c>
      <c r="E578" s="6" t="str">
        <f>IFERROR(__xludf.DUMMYFUNCTION("""COMPUTED_VALUE"""),"Adrienne")</f>
        <v>Adrienne</v>
      </c>
      <c r="F578" s="6" t="str">
        <f>IFERROR(__xludf.DUMMYFUNCTION("""COMPUTED_VALUE"""),"Laswell")</f>
        <v>Laswell</v>
      </c>
      <c r="G578" s="6" t="str">
        <f>IFERROR(__xludf.DUMMYFUNCTION("""COMPUTED_VALUE"""),"10/04/2011")</f>
        <v>10/04/2011</v>
      </c>
      <c r="H578" s="6" t="str">
        <f>IFERROR(__xludf.DUMMYFUNCTION("""COMPUTED_VALUE"""),"female")</f>
        <v>female</v>
      </c>
      <c r="I578" s="6" t="str">
        <f>IFERROR(__xludf.DUMMYFUNCTION("""COMPUTED_VALUE"""),"High School")</f>
        <v>High School</v>
      </c>
      <c r="J578" s="6" t="str">
        <f>IFERROR(__xludf.DUMMYFUNCTION("""COMPUTED_VALUE"""),"9")</f>
        <v>9</v>
      </c>
      <c r="K578" s="6" t="str">
        <f>IFERROR(__xludf.DUMMYFUNCTION("""COMPUTED_VALUE"""),"adrienne.laswell@alpha.school")</f>
        <v>adrienne.laswell@alpha.school</v>
      </c>
      <c r="L578" s="6" t="str">
        <f>IFERROR(__xludf.DUMMYFUNCTION("""COMPUTED_VALUE"""),"Alpha High School")</f>
        <v>Alpha High School</v>
      </c>
      <c r="M578" s="6" t="str">
        <f>IFERROR(__xludf.DUMMYFUNCTION("""COMPUTED_VALUE"""),"")</f>
        <v/>
      </c>
      <c r="N578" s="6" t="str">
        <f>IFERROR(__xludf.DUMMYFUNCTION("""COMPUTED_VALUE"""),"")</f>
        <v/>
      </c>
      <c r="O578" s="87" t="str">
        <f>IFERROR(__xludf.DUMMYFUNCTION("""COMPUTED_VALUE"""),"https://drive.google.com/drive/folders/10T2cTQHqEJZqE-st6uFKPoI?usp=share_link")</f>
        <v>https://drive.google.com/drive/folders/10T2cTQHqEJZqE-st6uFKPoI?usp=share_link</v>
      </c>
      <c r="P578" s="6" t="str">
        <f>IFERROR(__xludf.DUMMYFUNCTION("""COMPUTED_VALUE"""),"Adrienne Laswell")</f>
        <v>Adrienne Laswell</v>
      </c>
      <c r="Q578" s="6" t="str">
        <f>IFERROR(__xludf.DUMMYFUNCTION("""COMPUTED_VALUE"""),"HS")</f>
        <v>HS</v>
      </c>
      <c r="R578" s="6">
        <f>IFERROR(__xludf.DUMMYFUNCTION("""COMPUTED_VALUE"""),0.0)</f>
        <v>0</v>
      </c>
      <c r="S578" s="6" t="str">
        <f>IFERROR(__xludf.DUMMYFUNCTION("""COMPUTED_VALUE"""),"Emily Findley")</f>
        <v>Emily Findley</v>
      </c>
      <c r="T578" s="6" t="str">
        <f>IFERROR(__xludf.DUMMYFUNCTION("""COMPUTED_VALUE"""),"emily.findley@alpha.school")</f>
        <v>emily.findley@alpha.school</v>
      </c>
      <c r="U578" s="6" t="str">
        <f>IFERROR(__xludf.DUMMYFUNCTION("""COMPUTED_VALUE"""),"9")</f>
        <v>9</v>
      </c>
      <c r="V578" s="6" t="str">
        <f>IFERROR(__xludf.DUMMYFUNCTION("""COMPUTED_VALUE"""),"")</f>
        <v/>
      </c>
      <c r="W578" s="6" t="str">
        <f>IFERROR(__xludf.DUMMYFUNCTION("""COMPUTED_VALUE"""),"[]")</f>
        <v>[]</v>
      </c>
      <c r="X578" s="6" t="str">
        <f>IFERROR(__xludf.DUMMYFUNCTION("""COMPUTED_VALUE"""),"Enrolled")</f>
        <v>Enrolled</v>
      </c>
    </row>
    <row r="579">
      <c r="A579" s="6" t="str">
        <f>IFERROR(__xludf.DUMMYFUNCTION("""COMPUTED_VALUE"""),"001-0469")</f>
        <v>001-0469</v>
      </c>
      <c r="B579" s="6" t="str">
        <f>IFERROR(__xludf.DUMMYFUNCTION("""COMPUTED_VALUE"""),"1")</f>
        <v>1</v>
      </c>
      <c r="C579" s="6" t="str">
        <f>IFERROR(__xludf.DUMMYFUNCTION("""COMPUTED_VALUE"""),"0469")</f>
        <v>0469</v>
      </c>
      <c r="D579" s="6" t="str">
        <f>IFERROR(__xludf.DUMMYFUNCTION("""COMPUTED_VALUE"""),"Kai")</f>
        <v>Kai</v>
      </c>
      <c r="E579" s="6" t="str">
        <f>IFERROR(__xludf.DUMMYFUNCTION("""COMPUTED_VALUE"""),"")</f>
        <v/>
      </c>
      <c r="F579" s="6" t="str">
        <f>IFERROR(__xludf.DUMMYFUNCTION("""COMPUTED_VALUE"""),"Sticker")</f>
        <v>Sticker</v>
      </c>
      <c r="G579" s="6" t="str">
        <f>IFERROR(__xludf.DUMMYFUNCTION("""COMPUTED_VALUE"""),"02/06/2013")</f>
        <v>02/06/2013</v>
      </c>
      <c r="H579" s="6" t="str">
        <f>IFERROR(__xludf.DUMMYFUNCTION("""COMPUTED_VALUE"""),"male")</f>
        <v>male</v>
      </c>
      <c r="I579" s="6" t="str">
        <f>IFERROR(__xludf.DUMMYFUNCTION("""COMPUTED_VALUE"""),"Middle School")</f>
        <v>Middle School</v>
      </c>
      <c r="J579" s="6" t="str">
        <f>IFERROR(__xludf.DUMMYFUNCTION("""COMPUTED_VALUE"""),"7")</f>
        <v>7</v>
      </c>
      <c r="K579" s="6" t="str">
        <f>IFERROR(__xludf.DUMMYFUNCTION("""COMPUTED_VALUE"""),"kai.sticker@alpha.school")</f>
        <v>kai.sticker@alpha.school</v>
      </c>
      <c r="L579" s="6" t="str">
        <f>IFERROR(__xludf.DUMMYFUNCTION("""COMPUTED_VALUE"""),"Alpha School Austin")</f>
        <v>Alpha School Austin</v>
      </c>
      <c r="M579" s="6" t="str">
        <f>IFERROR(__xludf.DUMMYFUNCTION("""COMPUTED_VALUE"""),"")</f>
        <v/>
      </c>
      <c r="N579" s="6" t="str">
        <f>IFERROR(__xludf.DUMMYFUNCTION("""COMPUTED_VALUE"""),"")</f>
        <v/>
      </c>
      <c r="O579" s="87" t="str">
        <f>IFERROR(__xludf.DUMMYFUNCTION("""COMPUTED_VALUE"""),"https://drive.google.com/drive/folders/10T2cTQHqEJZqE-st6uFKPoI?usp=share_link")</f>
        <v>https://drive.google.com/drive/folders/10T2cTQHqEJZqE-st6uFKPoI?usp=share_link</v>
      </c>
      <c r="P579" s="6" t="str">
        <f>IFERROR(__xludf.DUMMYFUNCTION("""COMPUTED_VALUE"""),"Kai Sticker")</f>
        <v>Kai Sticker</v>
      </c>
      <c r="Q579" s="6" t="str">
        <f>IFERROR(__xludf.DUMMYFUNCTION("""COMPUTED_VALUE"""),"MS")</f>
        <v>MS</v>
      </c>
      <c r="R579" s="6">
        <f>IFERROR(__xludf.DUMMYFUNCTION("""COMPUTED_VALUE"""),0.0)</f>
        <v>0</v>
      </c>
      <c r="S579" s="6" t="str">
        <f>IFERROR(__xludf.DUMMYFUNCTION("""COMPUTED_VALUE"""),"Shaas Singh")</f>
        <v>Shaas Singh</v>
      </c>
      <c r="T579" s="6" t="str">
        <f>IFERROR(__xludf.DUMMYFUNCTION("""COMPUTED_VALUE"""),"shaas.singh@alpha.school")</f>
        <v>shaas.singh@alpha.school</v>
      </c>
      <c r="U579" s="6" t="str">
        <f>IFERROR(__xludf.DUMMYFUNCTION("""COMPUTED_VALUE"""),"7")</f>
        <v>7</v>
      </c>
      <c r="V579" s="6" t="str">
        <f>IFERROR(__xludf.DUMMYFUNCTION("""COMPUTED_VALUE"""),"")</f>
        <v/>
      </c>
      <c r="W579" s="6" t="str">
        <f>IFERROR(__xludf.DUMMYFUNCTION("""COMPUTED_VALUE"""),"[]")</f>
        <v>[]</v>
      </c>
      <c r="X579" s="6" t="str">
        <f>IFERROR(__xludf.DUMMYFUNCTION("""COMPUTED_VALUE"""),"Enrolled")</f>
        <v>Enrolled</v>
      </c>
    </row>
    <row r="580">
      <c r="A580" s="6" t="str">
        <f>IFERROR(__xludf.DUMMYFUNCTION("""COMPUTED_VALUE"""),"001-0471")</f>
        <v>001-0471</v>
      </c>
      <c r="B580" s="6" t="str">
        <f>IFERROR(__xludf.DUMMYFUNCTION("""COMPUTED_VALUE"""),"1")</f>
        <v>1</v>
      </c>
      <c r="C580" s="6" t="str">
        <f>IFERROR(__xludf.DUMMYFUNCTION("""COMPUTED_VALUE"""),"0471")</f>
        <v>0471</v>
      </c>
      <c r="D580" s="6" t="str">
        <f>IFERROR(__xludf.DUMMYFUNCTION("""COMPUTED_VALUE"""),"Aileya")</f>
        <v>Aileya</v>
      </c>
      <c r="E580" s="6" t="str">
        <f>IFERROR(__xludf.DUMMYFUNCTION("""COMPUTED_VALUE"""),"")</f>
        <v/>
      </c>
      <c r="F580" s="6" t="str">
        <f>IFERROR(__xludf.DUMMYFUNCTION("""COMPUTED_VALUE"""),"Klinefelter")</f>
        <v>Klinefelter</v>
      </c>
      <c r="G580" s="6" t="str">
        <f>IFERROR(__xludf.DUMMYFUNCTION("""COMPUTED_VALUE"""),"08/17/2012")</f>
        <v>08/17/2012</v>
      </c>
      <c r="H580" s="6" t="str">
        <f>IFERROR(__xludf.DUMMYFUNCTION("""COMPUTED_VALUE"""),"female")</f>
        <v>female</v>
      </c>
      <c r="I580" s="6" t="str">
        <f>IFERROR(__xludf.DUMMYFUNCTION("""COMPUTED_VALUE"""),"Middle School")</f>
        <v>Middle School</v>
      </c>
      <c r="J580" s="6" t="str">
        <f>IFERROR(__xludf.DUMMYFUNCTION("""COMPUTED_VALUE"""),"8")</f>
        <v>8</v>
      </c>
      <c r="K580" s="6" t="str">
        <f>IFERROR(__xludf.DUMMYFUNCTION("""COMPUTED_VALUE"""),"aileya.klinefelter@alpha.school")</f>
        <v>aileya.klinefelter@alpha.school</v>
      </c>
      <c r="L580" s="6" t="str">
        <f>IFERROR(__xludf.DUMMYFUNCTION("""COMPUTED_VALUE"""),"Alpha School Austin")</f>
        <v>Alpha School Austin</v>
      </c>
      <c r="M580" s="6" t="str">
        <f>IFERROR(__xludf.DUMMYFUNCTION("""COMPUTED_VALUE"""),"")</f>
        <v/>
      </c>
      <c r="N580" s="6" t="str">
        <f>IFERROR(__xludf.DUMMYFUNCTION("""COMPUTED_VALUE"""),"")</f>
        <v/>
      </c>
      <c r="O580" s="87" t="str">
        <f>IFERROR(__xludf.DUMMYFUNCTION("""COMPUTED_VALUE"""),"https://drive.google.com/drive/folders/10T2cTQHqEJZqE-st6uFKPoI?usp=share_link")</f>
        <v>https://drive.google.com/drive/folders/10T2cTQHqEJZqE-st6uFKPoI?usp=share_link</v>
      </c>
      <c r="P580" s="6" t="str">
        <f>IFERROR(__xludf.DUMMYFUNCTION("""COMPUTED_VALUE"""),"Aileya Klinefelter")</f>
        <v>Aileya Klinefelter</v>
      </c>
      <c r="Q580" s="6" t="str">
        <f>IFERROR(__xludf.DUMMYFUNCTION("""COMPUTED_VALUE"""),"MS")</f>
        <v>MS</v>
      </c>
      <c r="R580" s="6">
        <f>IFERROR(__xludf.DUMMYFUNCTION("""COMPUTED_VALUE"""),0.0)</f>
        <v>0</v>
      </c>
      <c r="S580" s="6" t="str">
        <f>IFERROR(__xludf.DUMMYFUNCTION("""COMPUTED_VALUE"""),"Taylor Sweeney")</f>
        <v>Taylor Sweeney</v>
      </c>
      <c r="T580" s="6" t="str">
        <f>IFERROR(__xludf.DUMMYFUNCTION("""COMPUTED_VALUE"""),"taylor.sweeney@alpha.school")</f>
        <v>taylor.sweeney@alpha.school</v>
      </c>
      <c r="U580" s="6" t="str">
        <f>IFERROR(__xludf.DUMMYFUNCTION("""COMPUTED_VALUE"""),"8")</f>
        <v>8</v>
      </c>
      <c r="V580" s="6" t="str">
        <f>IFERROR(__xludf.DUMMYFUNCTION("""COMPUTED_VALUE"""),"")</f>
        <v/>
      </c>
      <c r="W580" s="6" t="str">
        <f>IFERROR(__xludf.DUMMYFUNCTION("""COMPUTED_VALUE"""),"[]")</f>
        <v>[]</v>
      </c>
      <c r="X580" s="6" t="str">
        <f>IFERROR(__xludf.DUMMYFUNCTION("""COMPUTED_VALUE"""),"Enrolled")</f>
        <v>Enrolled</v>
      </c>
    </row>
    <row r="581">
      <c r="A581" s="6" t="str">
        <f>IFERROR(__xludf.DUMMYFUNCTION("""COMPUTED_VALUE"""),"001-0474")</f>
        <v>001-0474</v>
      </c>
      <c r="B581" s="6" t="str">
        <f>IFERROR(__xludf.DUMMYFUNCTION("""COMPUTED_VALUE"""),"1")</f>
        <v>1</v>
      </c>
      <c r="C581" s="6" t="str">
        <f>IFERROR(__xludf.DUMMYFUNCTION("""COMPUTED_VALUE"""),"0474")</f>
        <v>0474</v>
      </c>
      <c r="D581" s="6" t="str">
        <f>IFERROR(__xludf.DUMMYFUNCTION("""COMPUTED_VALUE"""),"Lukas")</f>
        <v>Lukas</v>
      </c>
      <c r="E581" s="6" t="str">
        <f>IFERROR(__xludf.DUMMYFUNCTION("""COMPUTED_VALUE"""),"Lukas")</f>
        <v>Lukas</v>
      </c>
      <c r="F581" s="6" t="str">
        <f>IFERROR(__xludf.DUMMYFUNCTION("""COMPUTED_VALUE"""),"Siers")</f>
        <v>Siers</v>
      </c>
      <c r="G581" s="6" t="str">
        <f>IFERROR(__xludf.DUMMYFUNCTION("""COMPUTED_VALUE"""),"02/20/2015")</f>
        <v>02/20/2015</v>
      </c>
      <c r="H581" s="6" t="str">
        <f>IFERROR(__xludf.DUMMYFUNCTION("""COMPUTED_VALUE"""),"M")</f>
        <v>M</v>
      </c>
      <c r="I581" s="6" t="str">
        <f>IFERROR(__xludf.DUMMYFUNCTION("""COMPUTED_VALUE"""),"Level 2")</f>
        <v>Level 2</v>
      </c>
      <c r="J581" s="6" t="str">
        <f>IFERROR(__xludf.DUMMYFUNCTION("""COMPUTED_VALUE"""),"5")</f>
        <v>5</v>
      </c>
      <c r="K581" s="6" t="str">
        <f>IFERROR(__xludf.DUMMYFUNCTION("""COMPUTED_VALUE"""),"lukas.siers@alpha.school")</f>
        <v>lukas.siers@alpha.school</v>
      </c>
      <c r="L581" s="6" t="str">
        <f>IFERROR(__xludf.DUMMYFUNCTION("""COMPUTED_VALUE"""),"Alpha School Austin")</f>
        <v>Alpha School Austin</v>
      </c>
      <c r="M581" s="6" t="str">
        <f>IFERROR(__xludf.DUMMYFUNCTION("""COMPUTED_VALUE"""),"JP")</f>
        <v>JP</v>
      </c>
      <c r="N581" s="6" t="str">
        <f>IFERROR(__xludf.DUMMYFUNCTION("""COMPUTED_VALUE"""),"")</f>
        <v/>
      </c>
      <c r="O581" s="87" t="str">
        <f>IFERROR(__xludf.DUMMYFUNCTION("""COMPUTED_VALUE"""),"https://drive.google.com/drive/folders/10T2cTQHqEJZqE-st6uFKPoI?usp=share_link")</f>
        <v>https://drive.google.com/drive/folders/10T2cTQHqEJZqE-st6uFKPoI?usp=share_link</v>
      </c>
      <c r="P581" s="6" t="str">
        <f>IFERROR(__xludf.DUMMYFUNCTION("""COMPUTED_VALUE"""),"Lukas Siers")</f>
        <v>Lukas Siers</v>
      </c>
      <c r="Q581" s="6" t="str">
        <f>IFERROR(__xludf.DUMMYFUNCTION("""COMPUTED_VALUE"""),"L2")</f>
        <v>L2</v>
      </c>
      <c r="R581" s="6">
        <f>IFERROR(__xludf.DUMMYFUNCTION("""COMPUTED_VALUE"""),2.0)</f>
        <v>2</v>
      </c>
      <c r="S581" s="6" t="str">
        <f>IFERROR(__xludf.DUMMYFUNCTION("""COMPUTED_VALUE"""),"Luke Phillips")</f>
        <v>Luke Phillips</v>
      </c>
      <c r="T581" s="6" t="str">
        <f>IFERROR(__xludf.DUMMYFUNCTION("""COMPUTED_VALUE"""),"luke.phillips@alpha.school")</f>
        <v>luke.phillips@alpha.school</v>
      </c>
      <c r="U581" s="6" t="str">
        <f>IFERROR(__xludf.DUMMYFUNCTION("""COMPUTED_VALUE"""),"5")</f>
        <v>5</v>
      </c>
      <c r="V581" s="6" t="str">
        <f>IFERROR(__xludf.DUMMYFUNCTION("""COMPUTED_VALUE"""),"")</f>
        <v/>
      </c>
      <c r="W581" s="6" t="str">
        <f>IFERROR(__xludf.DUMMYFUNCTION("""COMPUTED_VALUE"""),"[Text-to-Speech,Solo Space,Extended Time,50% Extended Time]")</f>
        <v>[Text-to-Speech,Solo Space,Extended Time,50% Extended Time]</v>
      </c>
      <c r="X581" s="6" t="str">
        <f>IFERROR(__xludf.DUMMYFUNCTION("""COMPUTED_VALUE"""),"Enrolled")</f>
        <v>Enrolled</v>
      </c>
    </row>
    <row r="582">
      <c r="A582" s="6" t="str">
        <f>IFERROR(__xludf.DUMMYFUNCTION("""COMPUTED_VALUE"""),"001-0475")</f>
        <v>001-0475</v>
      </c>
      <c r="B582" s="6" t="str">
        <f>IFERROR(__xludf.DUMMYFUNCTION("""COMPUTED_VALUE"""),"1")</f>
        <v>1</v>
      </c>
      <c r="C582" s="6" t="str">
        <f>IFERROR(__xludf.DUMMYFUNCTION("""COMPUTED_VALUE"""),"0475")</f>
        <v>0475</v>
      </c>
      <c r="D582" s="6" t="str">
        <f>IFERROR(__xludf.DUMMYFUNCTION("""COMPUTED_VALUE"""),"Jaxon")</f>
        <v>Jaxon</v>
      </c>
      <c r="E582" s="6" t="str">
        <f>IFERROR(__xludf.DUMMYFUNCTION("""COMPUTED_VALUE"""),"Jaxon")</f>
        <v>Jaxon</v>
      </c>
      <c r="F582" s="6" t="str">
        <f>IFERROR(__xludf.DUMMYFUNCTION("""COMPUTED_VALUE"""),"Siers")</f>
        <v>Siers</v>
      </c>
      <c r="G582" s="6" t="str">
        <f>IFERROR(__xludf.DUMMYFUNCTION("""COMPUTED_VALUE"""),"02/20/2015")</f>
        <v>02/20/2015</v>
      </c>
      <c r="H582" s="6" t="str">
        <f>IFERROR(__xludf.DUMMYFUNCTION("""COMPUTED_VALUE"""),"male")</f>
        <v>male</v>
      </c>
      <c r="I582" s="6" t="str">
        <f>IFERROR(__xludf.DUMMYFUNCTION("""COMPUTED_VALUE"""),"Level 2")</f>
        <v>Level 2</v>
      </c>
      <c r="J582" s="6" t="str">
        <f>IFERROR(__xludf.DUMMYFUNCTION("""COMPUTED_VALUE"""),"5")</f>
        <v>5</v>
      </c>
      <c r="K582" s="6" t="str">
        <f>IFERROR(__xludf.DUMMYFUNCTION("""COMPUTED_VALUE"""),"jaxon.siers@alpha.school")</f>
        <v>jaxon.siers@alpha.school</v>
      </c>
      <c r="L582" s="6" t="str">
        <f>IFERROR(__xludf.DUMMYFUNCTION("""COMPUTED_VALUE"""),"Alpha School Austin")</f>
        <v>Alpha School Austin</v>
      </c>
      <c r="M582" s="6" t="str">
        <f>IFERROR(__xludf.DUMMYFUNCTION("""COMPUTED_VALUE"""),"")</f>
        <v/>
      </c>
      <c r="N582" s="6" t="str">
        <f>IFERROR(__xludf.DUMMYFUNCTION("""COMPUTED_VALUE"""),"")</f>
        <v/>
      </c>
      <c r="O582" s="87" t="str">
        <f>IFERROR(__xludf.DUMMYFUNCTION("""COMPUTED_VALUE"""),"https://drive.google.com/drive/folders/10T2cTQHqEJZqE-st6uFKPoI?usp=share_link")</f>
        <v>https://drive.google.com/drive/folders/10T2cTQHqEJZqE-st6uFKPoI?usp=share_link</v>
      </c>
      <c r="P582" s="6" t="str">
        <f>IFERROR(__xludf.DUMMYFUNCTION("""COMPUTED_VALUE"""),"Jaxon Siers")</f>
        <v>Jaxon Siers</v>
      </c>
      <c r="Q582" s="6" t="str">
        <f>IFERROR(__xludf.DUMMYFUNCTION("""COMPUTED_VALUE"""),"L2")</f>
        <v>L2</v>
      </c>
      <c r="R582" s="6">
        <f>IFERROR(__xludf.DUMMYFUNCTION("""COMPUTED_VALUE"""),2.0)</f>
        <v>2</v>
      </c>
      <c r="S582" s="6" t="str">
        <f>IFERROR(__xludf.DUMMYFUNCTION("""COMPUTED_VALUE"""),"Alex Cruz")</f>
        <v>Alex Cruz</v>
      </c>
      <c r="T582" s="6" t="str">
        <f>IFERROR(__xludf.DUMMYFUNCTION("""COMPUTED_VALUE"""),"alex.cruz@sportsacademy.school")</f>
        <v>alex.cruz@sportsacademy.school</v>
      </c>
      <c r="U582" s="6" t="str">
        <f>IFERROR(__xludf.DUMMYFUNCTION("""COMPUTED_VALUE"""),"5")</f>
        <v>5</v>
      </c>
      <c r="V582" s="6" t="str">
        <f>IFERROR(__xludf.DUMMYFUNCTION("""COMPUTED_VALUE"""),"")</f>
        <v/>
      </c>
      <c r="W582" s="6" t="str">
        <f>IFERROR(__xludf.DUMMYFUNCTION("""COMPUTED_VALUE"""),"[]")</f>
        <v>[]</v>
      </c>
      <c r="X582" s="6" t="str">
        <f>IFERROR(__xludf.DUMMYFUNCTION("""COMPUTED_VALUE"""),"Enrolled")</f>
        <v>Enrolled</v>
      </c>
    </row>
    <row r="583">
      <c r="A583" s="6" t="str">
        <f>IFERROR(__xludf.DUMMYFUNCTION("""COMPUTED_VALUE"""),"001-0478")</f>
        <v>001-0478</v>
      </c>
      <c r="B583" s="6" t="str">
        <f>IFERROR(__xludf.DUMMYFUNCTION("""COMPUTED_VALUE"""),"1")</f>
        <v>1</v>
      </c>
      <c r="C583" s="6" t="str">
        <f>IFERROR(__xludf.DUMMYFUNCTION("""COMPUTED_VALUE"""),"0478")</f>
        <v>0478</v>
      </c>
      <c r="D583" s="6" t="str">
        <f>IFERROR(__xludf.DUMMYFUNCTION("""COMPUTED_VALUE"""),"George")</f>
        <v>George</v>
      </c>
      <c r="E583" s="6" t="str">
        <f>IFERROR(__xludf.DUMMYFUNCTION("""COMPUTED_VALUE"""),"George")</f>
        <v>George</v>
      </c>
      <c r="F583" s="6" t="str">
        <f>IFERROR(__xludf.DUMMYFUNCTION("""COMPUTED_VALUE"""),"Troxell")</f>
        <v>Troxell</v>
      </c>
      <c r="G583" s="6" t="str">
        <f>IFERROR(__xludf.DUMMYFUNCTION("""COMPUTED_VALUE"""),"10/11/2015")</f>
        <v>10/11/2015</v>
      </c>
      <c r="H583" s="6" t="str">
        <f>IFERROR(__xludf.DUMMYFUNCTION("""COMPUTED_VALUE"""),"male")</f>
        <v>male</v>
      </c>
      <c r="I583" s="6" t="str">
        <f>IFERROR(__xludf.DUMMYFUNCTION("""COMPUTED_VALUE"""),"Level 2")</f>
        <v>Level 2</v>
      </c>
      <c r="J583" s="6" t="str">
        <f>IFERROR(__xludf.DUMMYFUNCTION("""COMPUTED_VALUE"""),"4")</f>
        <v>4</v>
      </c>
      <c r="K583" s="6" t="str">
        <f>IFERROR(__xludf.DUMMYFUNCTION("""COMPUTED_VALUE"""),"george.troxell@alpha.school")</f>
        <v>george.troxell@alpha.school</v>
      </c>
      <c r="L583" s="6" t="str">
        <f>IFERROR(__xludf.DUMMYFUNCTION("""COMPUTED_VALUE"""),"Alpha School Austin")</f>
        <v>Alpha School Austin</v>
      </c>
      <c r="M583" s="6" t="str">
        <f>IFERROR(__xludf.DUMMYFUNCTION("""COMPUTED_VALUE"""),"JP")</f>
        <v>JP</v>
      </c>
      <c r="N583" s="6" t="str">
        <f>IFERROR(__xludf.DUMMYFUNCTION("""COMPUTED_VALUE"""),"")</f>
        <v/>
      </c>
      <c r="O583" s="87" t="str">
        <f>IFERROR(__xludf.DUMMYFUNCTION("""COMPUTED_VALUE"""),"https://drive.google.com/drive/folders/10T2cTQHqEJZqE-st6uFKPoI?usp=share_link")</f>
        <v>https://drive.google.com/drive/folders/10T2cTQHqEJZqE-st6uFKPoI?usp=share_link</v>
      </c>
      <c r="P583" s="6" t="str">
        <f>IFERROR(__xludf.DUMMYFUNCTION("""COMPUTED_VALUE"""),"George Troxell")</f>
        <v>George Troxell</v>
      </c>
      <c r="Q583" s="6" t="str">
        <f>IFERROR(__xludf.DUMMYFUNCTION("""COMPUTED_VALUE"""),"L2")</f>
        <v>L2</v>
      </c>
      <c r="R583" s="6">
        <f>IFERROR(__xludf.DUMMYFUNCTION("""COMPUTED_VALUE"""),2.0)</f>
        <v>2</v>
      </c>
      <c r="S583" s="6" t="str">
        <f>IFERROR(__xludf.DUMMYFUNCTION("""COMPUTED_VALUE"""),"Noah Rodriguez")</f>
        <v>Noah Rodriguez</v>
      </c>
      <c r="T583" s="6" t="str">
        <f>IFERROR(__xludf.DUMMYFUNCTION("""COMPUTED_VALUE"""),"noah.rodriguez@alpha.school")</f>
        <v>noah.rodriguez@alpha.school</v>
      </c>
      <c r="U583" s="6" t="str">
        <f>IFERROR(__xludf.DUMMYFUNCTION("""COMPUTED_VALUE"""),"4")</f>
        <v>4</v>
      </c>
      <c r="V583" s="6" t="str">
        <f>IFERROR(__xludf.DUMMYFUNCTION("""COMPUTED_VALUE"""),"")</f>
        <v/>
      </c>
      <c r="W583" s="6" t="str">
        <f>IFERROR(__xludf.DUMMYFUNCTION("""COMPUTED_VALUE"""),"[]")</f>
        <v>[]</v>
      </c>
      <c r="X583" s="6" t="str">
        <f>IFERROR(__xludf.DUMMYFUNCTION("""COMPUTED_VALUE"""),"Enrolled")</f>
        <v>Enrolled</v>
      </c>
    </row>
    <row r="584">
      <c r="A584" s="6" t="str">
        <f>IFERROR(__xludf.DUMMYFUNCTION("""COMPUTED_VALUE"""),"001-0483")</f>
        <v>001-0483</v>
      </c>
      <c r="B584" s="6" t="str">
        <f>IFERROR(__xludf.DUMMYFUNCTION("""COMPUTED_VALUE"""),"1")</f>
        <v>1</v>
      </c>
      <c r="C584" s="6" t="str">
        <f>IFERROR(__xludf.DUMMYFUNCTION("""COMPUTED_VALUE"""),"0483")</f>
        <v>0483</v>
      </c>
      <c r="D584" s="6" t="str">
        <f>IFERROR(__xludf.DUMMYFUNCTION("""COMPUTED_VALUE"""),"Raphael")</f>
        <v>Raphael</v>
      </c>
      <c r="E584" s="6" t="str">
        <f>IFERROR(__xludf.DUMMYFUNCTION("""COMPUTED_VALUE"""),"Raphael")</f>
        <v>Raphael</v>
      </c>
      <c r="F584" s="6" t="str">
        <f>IFERROR(__xludf.DUMMYFUNCTION("""COMPUTED_VALUE"""),"Shinar")</f>
        <v>Shinar</v>
      </c>
      <c r="G584" s="6" t="str">
        <f>IFERROR(__xludf.DUMMYFUNCTION("""COMPUTED_VALUE"""),"07/31/2017")</f>
        <v>07/31/2017</v>
      </c>
      <c r="H584" s="6" t="str">
        <f>IFERROR(__xludf.DUMMYFUNCTION("""COMPUTED_VALUE"""),"male")</f>
        <v>male</v>
      </c>
      <c r="I584" s="6" t="str">
        <f>IFERROR(__xludf.DUMMYFUNCTION("""COMPUTED_VALUE"""),"Level 1")</f>
        <v>Level 1</v>
      </c>
      <c r="J584" s="6" t="str">
        <f>IFERROR(__xludf.DUMMYFUNCTION("""COMPUTED_VALUE"""),"3")</f>
        <v>3</v>
      </c>
      <c r="K584" s="6" t="str">
        <f>IFERROR(__xludf.DUMMYFUNCTION("""COMPUTED_VALUE"""),"raphael.shinar@alpha.school")</f>
        <v>raphael.shinar@alpha.school</v>
      </c>
      <c r="L584" s="6" t="str">
        <f>IFERROR(__xludf.DUMMYFUNCTION("""COMPUTED_VALUE"""),"Alpha School Austin")</f>
        <v>Alpha School Austin</v>
      </c>
      <c r="M584" s="6" t="str">
        <f>IFERROR(__xludf.DUMMYFUNCTION("""COMPUTED_VALUE"""),"JW")</f>
        <v>JW</v>
      </c>
      <c r="N584" s="6" t="str">
        <f>IFERROR(__xludf.DUMMYFUNCTION("""COMPUTED_VALUE"""),"")</f>
        <v/>
      </c>
      <c r="O584" s="87" t="str">
        <f>IFERROR(__xludf.DUMMYFUNCTION("""COMPUTED_VALUE"""),"https://drive.google.com/drive/folders/10T2cTQHqEJZqE-st6uFKPoI?usp=share_link")</f>
        <v>https://drive.google.com/drive/folders/10T2cTQHqEJZqE-st6uFKPoI?usp=share_link</v>
      </c>
      <c r="P584" s="6" t="str">
        <f>IFERROR(__xludf.DUMMYFUNCTION("""COMPUTED_VALUE"""),"Raphael Shinar")</f>
        <v>Raphael Shinar</v>
      </c>
      <c r="Q584" s="6" t="str">
        <f>IFERROR(__xludf.DUMMYFUNCTION("""COMPUTED_VALUE"""),"L1")</f>
        <v>L1</v>
      </c>
      <c r="R584" s="6">
        <f>IFERROR(__xludf.DUMMYFUNCTION("""COMPUTED_VALUE"""),1.0)</f>
        <v>1</v>
      </c>
      <c r="S584" s="6" t="str">
        <f>IFERROR(__xludf.DUMMYFUNCTION("""COMPUTED_VALUE"""),"Faith Crenshaw")</f>
        <v>Faith Crenshaw</v>
      </c>
      <c r="T584" s="6" t="str">
        <f>IFERROR(__xludf.DUMMYFUNCTION("""COMPUTED_VALUE"""),"faith.crenshaw@alpha.school")</f>
        <v>faith.crenshaw@alpha.school</v>
      </c>
      <c r="U584" s="6" t="str">
        <f>IFERROR(__xludf.DUMMYFUNCTION("""COMPUTED_VALUE"""),"3")</f>
        <v>3</v>
      </c>
      <c r="V584" s="6" t="str">
        <f>IFERROR(__xludf.DUMMYFUNCTION("""COMPUTED_VALUE"""),"")</f>
        <v/>
      </c>
      <c r="W584" s="6" t="str">
        <f>IFERROR(__xludf.DUMMYFUNCTION("""COMPUTED_VALUE"""),"[]")</f>
        <v>[]</v>
      </c>
      <c r="X584" s="6" t="str">
        <f>IFERROR(__xludf.DUMMYFUNCTION("""COMPUTED_VALUE"""),"Enrolled")</f>
        <v>Enrolled</v>
      </c>
    </row>
    <row r="585">
      <c r="A585" s="6" t="str">
        <f>IFERROR(__xludf.DUMMYFUNCTION("""COMPUTED_VALUE"""),"001-0490")</f>
        <v>001-0490</v>
      </c>
      <c r="B585" s="6" t="str">
        <f>IFERROR(__xludf.DUMMYFUNCTION("""COMPUTED_VALUE"""),"1")</f>
        <v>1</v>
      </c>
      <c r="C585" s="6" t="str">
        <f>IFERROR(__xludf.DUMMYFUNCTION("""COMPUTED_VALUE"""),"0490")</f>
        <v>0490</v>
      </c>
      <c r="D585" s="6" t="str">
        <f>IFERROR(__xludf.DUMMYFUNCTION("""COMPUTED_VALUE"""),"James")</f>
        <v>James</v>
      </c>
      <c r="E585" s="6" t="str">
        <f>IFERROR(__xludf.DUMMYFUNCTION("""COMPUTED_VALUE"""),"James")</f>
        <v>James</v>
      </c>
      <c r="F585" s="6" t="str">
        <f>IFERROR(__xludf.DUMMYFUNCTION("""COMPUTED_VALUE"""),"Gregory")</f>
        <v>Gregory</v>
      </c>
      <c r="G585" s="6" t="str">
        <f>IFERROR(__xludf.DUMMYFUNCTION("""COMPUTED_VALUE"""),"08/26/2016")</f>
        <v>08/26/2016</v>
      </c>
      <c r="H585" s="6" t="str">
        <f>IFERROR(__xludf.DUMMYFUNCTION("""COMPUTED_VALUE"""),"male")</f>
        <v>male</v>
      </c>
      <c r="I585" s="6" t="str">
        <f>IFERROR(__xludf.DUMMYFUNCTION("""COMPUTED_VALUE"""),"Level 1")</f>
        <v>Level 1</v>
      </c>
      <c r="J585" s="6" t="str">
        <f>IFERROR(__xludf.DUMMYFUNCTION("""COMPUTED_VALUE"""),"3")</f>
        <v>3</v>
      </c>
      <c r="K585" s="6" t="str">
        <f>IFERROR(__xludf.DUMMYFUNCTION("""COMPUTED_VALUE"""),"james.gregory@alpha.school")</f>
        <v>james.gregory@alpha.school</v>
      </c>
      <c r="L585" s="6" t="str">
        <f>IFERROR(__xludf.DUMMYFUNCTION("""COMPUTED_VALUE"""),"Alpha School Austin")</f>
        <v>Alpha School Austin</v>
      </c>
      <c r="M585" s="6" t="str">
        <f>IFERROR(__xludf.DUMMYFUNCTION("""COMPUTED_VALUE"""),"JP")</f>
        <v>JP</v>
      </c>
      <c r="N585" s="6" t="str">
        <f>IFERROR(__xludf.DUMMYFUNCTION("""COMPUTED_VALUE"""),"")</f>
        <v/>
      </c>
      <c r="O585" s="87" t="str">
        <f>IFERROR(__xludf.DUMMYFUNCTION("""COMPUTED_VALUE"""),"https://drive.google.com/drive/folders/10T2cTQHqEJZqE-st6uFKPoI?usp=share_link")</f>
        <v>https://drive.google.com/drive/folders/10T2cTQHqEJZqE-st6uFKPoI?usp=share_link</v>
      </c>
      <c r="P585" s="6" t="str">
        <f>IFERROR(__xludf.DUMMYFUNCTION("""COMPUTED_VALUE"""),"James Gregory")</f>
        <v>James Gregory</v>
      </c>
      <c r="Q585" s="6" t="str">
        <f>IFERROR(__xludf.DUMMYFUNCTION("""COMPUTED_VALUE"""),"L1")</f>
        <v>L1</v>
      </c>
      <c r="R585" s="6">
        <f>IFERROR(__xludf.DUMMYFUNCTION("""COMPUTED_VALUE"""),1.0)</f>
        <v>1</v>
      </c>
      <c r="S585" s="6" t="str">
        <f>IFERROR(__xludf.DUMMYFUNCTION("""COMPUTED_VALUE"""),"Jacob Frisch")</f>
        <v>Jacob Frisch</v>
      </c>
      <c r="T585" s="6" t="str">
        <f>IFERROR(__xludf.DUMMYFUNCTION("""COMPUTED_VALUE"""),"jacob.frisch@2hourlearning.com")</f>
        <v>jacob.frisch@2hourlearning.com</v>
      </c>
      <c r="U585" s="6" t="str">
        <f>IFERROR(__xludf.DUMMYFUNCTION("""COMPUTED_VALUE"""),"3")</f>
        <v>3</v>
      </c>
      <c r="V585" s="6" t="str">
        <f>IFERROR(__xludf.DUMMYFUNCTION("""COMPUTED_VALUE"""),"")</f>
        <v/>
      </c>
      <c r="W585" s="6" t="str">
        <f>IFERROR(__xludf.DUMMYFUNCTION("""COMPUTED_VALUE"""),"[]")</f>
        <v>[]</v>
      </c>
      <c r="X585" s="6" t="str">
        <f>IFERROR(__xludf.DUMMYFUNCTION("""COMPUTED_VALUE"""),"Enrolled")</f>
        <v>Enrolled</v>
      </c>
    </row>
    <row r="586">
      <c r="A586" s="6" t="str">
        <f>IFERROR(__xludf.DUMMYFUNCTION("""COMPUTED_VALUE"""),"001-0491")</f>
        <v>001-0491</v>
      </c>
      <c r="B586" s="6" t="str">
        <f>IFERROR(__xludf.DUMMYFUNCTION("""COMPUTED_VALUE"""),"1")</f>
        <v>1</v>
      </c>
      <c r="C586" s="6" t="str">
        <f>IFERROR(__xludf.DUMMYFUNCTION("""COMPUTED_VALUE"""),"0491")</f>
        <v>0491</v>
      </c>
      <c r="D586" s="6" t="str">
        <f>IFERROR(__xludf.DUMMYFUNCTION("""COMPUTED_VALUE"""),"Naomi")</f>
        <v>Naomi</v>
      </c>
      <c r="E586" s="6" t="str">
        <f>IFERROR(__xludf.DUMMYFUNCTION("""COMPUTED_VALUE"""),"")</f>
        <v/>
      </c>
      <c r="F586" s="6" t="str">
        <f>IFERROR(__xludf.DUMMYFUNCTION("""COMPUTED_VALUE"""),"Kocek")</f>
        <v>Kocek</v>
      </c>
      <c r="G586" s="6" t="str">
        <f>IFERROR(__xludf.DUMMYFUNCTION("""COMPUTED_VALUE"""),"03/12/2012")</f>
        <v>03/12/2012</v>
      </c>
      <c r="H586" s="6" t="str">
        <f>IFERROR(__xludf.DUMMYFUNCTION("""COMPUTED_VALUE"""),"female")</f>
        <v>female</v>
      </c>
      <c r="I586" s="6" t="str">
        <f>IFERROR(__xludf.DUMMYFUNCTION("""COMPUTED_VALUE"""),"Middle School")</f>
        <v>Middle School</v>
      </c>
      <c r="J586" s="6" t="str">
        <f>IFERROR(__xludf.DUMMYFUNCTION("""COMPUTED_VALUE"""),"8")</f>
        <v>8</v>
      </c>
      <c r="K586" s="6" t="str">
        <f>IFERROR(__xludf.DUMMYFUNCTION("""COMPUTED_VALUE"""),"naomi.kocek@alpha.school")</f>
        <v>naomi.kocek@alpha.school</v>
      </c>
      <c r="L586" s="6" t="str">
        <f>IFERROR(__xludf.DUMMYFUNCTION("""COMPUTED_VALUE"""),"Alpha School Austin")</f>
        <v>Alpha School Austin</v>
      </c>
      <c r="M586" s="6" t="str">
        <f>IFERROR(__xludf.DUMMYFUNCTION("""COMPUTED_VALUE"""),"")</f>
        <v/>
      </c>
      <c r="N586" s="6" t="str">
        <f>IFERROR(__xludf.DUMMYFUNCTION("""COMPUTED_VALUE"""),"")</f>
        <v/>
      </c>
      <c r="O586" s="87" t="str">
        <f>IFERROR(__xludf.DUMMYFUNCTION("""COMPUTED_VALUE"""),"https://drive.google.com/drive/folders/10T2cTQHqEJZqE-st6uFKPoI?usp=share_link")</f>
        <v>https://drive.google.com/drive/folders/10T2cTQHqEJZqE-st6uFKPoI?usp=share_link</v>
      </c>
      <c r="P586" s="6" t="str">
        <f>IFERROR(__xludf.DUMMYFUNCTION("""COMPUTED_VALUE"""),"Naomi Kocek")</f>
        <v>Naomi Kocek</v>
      </c>
      <c r="Q586" s="6" t="str">
        <f>IFERROR(__xludf.DUMMYFUNCTION("""COMPUTED_VALUE"""),"MS")</f>
        <v>MS</v>
      </c>
      <c r="R586" s="6">
        <f>IFERROR(__xludf.DUMMYFUNCTION("""COMPUTED_VALUE"""),0.0)</f>
        <v>0</v>
      </c>
      <c r="S586" s="6" t="str">
        <f>IFERROR(__xludf.DUMMYFUNCTION("""COMPUTED_VALUE"""),"Noah Lightfoot")</f>
        <v>Noah Lightfoot</v>
      </c>
      <c r="T586" s="6" t="str">
        <f>IFERROR(__xludf.DUMMYFUNCTION("""COMPUTED_VALUE"""),"noah.lightfoot@alpha.school")</f>
        <v>noah.lightfoot@alpha.school</v>
      </c>
      <c r="U586" s="6" t="str">
        <f>IFERROR(__xludf.DUMMYFUNCTION("""COMPUTED_VALUE"""),"8")</f>
        <v>8</v>
      </c>
      <c r="V586" s="6" t="str">
        <f>IFERROR(__xludf.DUMMYFUNCTION("""COMPUTED_VALUE"""),"")</f>
        <v/>
      </c>
      <c r="W586" s="6" t="str">
        <f>IFERROR(__xludf.DUMMYFUNCTION("""COMPUTED_VALUE"""),"[]")</f>
        <v>[]</v>
      </c>
      <c r="X586" s="6" t="str">
        <f>IFERROR(__xludf.DUMMYFUNCTION("""COMPUTED_VALUE"""),"Enrolled")</f>
        <v>Enrolled</v>
      </c>
    </row>
    <row r="587">
      <c r="A587" s="6" t="str">
        <f>IFERROR(__xludf.DUMMYFUNCTION("""COMPUTED_VALUE"""),"001-0522")</f>
        <v>001-0522</v>
      </c>
      <c r="B587" s="6" t="str">
        <f>IFERROR(__xludf.DUMMYFUNCTION("""COMPUTED_VALUE"""),"1")</f>
        <v>1</v>
      </c>
      <c r="C587" s="6" t="str">
        <f>IFERROR(__xludf.DUMMYFUNCTION("""COMPUTED_VALUE"""),"0522")</f>
        <v>0522</v>
      </c>
      <c r="D587" s="6" t="str">
        <f>IFERROR(__xludf.DUMMYFUNCTION("""COMPUTED_VALUE"""),"Branson")</f>
        <v>Branson</v>
      </c>
      <c r="E587" s="6" t="str">
        <f>IFERROR(__xludf.DUMMYFUNCTION("""COMPUTED_VALUE"""),"Branson")</f>
        <v>Branson</v>
      </c>
      <c r="F587" s="6" t="str">
        <f>IFERROR(__xludf.DUMMYFUNCTION("""COMPUTED_VALUE"""),"Pfiester")</f>
        <v>Pfiester</v>
      </c>
      <c r="G587" s="6" t="str">
        <f>IFERROR(__xludf.DUMMYFUNCTION("""COMPUTED_VALUE"""),"12/26/2010")</f>
        <v>12/26/2010</v>
      </c>
      <c r="H587" s="6" t="str">
        <f>IFERROR(__xludf.DUMMYFUNCTION("""COMPUTED_VALUE"""),"male")</f>
        <v>male</v>
      </c>
      <c r="I587" s="6" t="str">
        <f>IFERROR(__xludf.DUMMYFUNCTION("""COMPUTED_VALUE"""),"High School")</f>
        <v>High School</v>
      </c>
      <c r="J587" s="6" t="str">
        <f>IFERROR(__xludf.DUMMYFUNCTION("""COMPUTED_VALUE"""),"9")</f>
        <v>9</v>
      </c>
      <c r="K587" s="6" t="str">
        <f>IFERROR(__xludf.DUMMYFUNCTION("""COMPUTED_VALUE"""),"branson.pfiester@alpha.school")</f>
        <v>branson.pfiester@alpha.school</v>
      </c>
      <c r="L587" s="6" t="str">
        <f>IFERROR(__xludf.DUMMYFUNCTION("""COMPUTED_VALUE"""),"Alpha High School")</f>
        <v>Alpha High School</v>
      </c>
      <c r="M587" s="6" t="str">
        <f>IFERROR(__xludf.DUMMYFUNCTION("""COMPUTED_VALUE"""),"")</f>
        <v/>
      </c>
      <c r="N587" s="6" t="str">
        <f>IFERROR(__xludf.DUMMYFUNCTION("""COMPUTED_VALUE"""),"")</f>
        <v/>
      </c>
      <c r="O587" s="87" t="str">
        <f>IFERROR(__xludf.DUMMYFUNCTION("""COMPUTED_VALUE"""),"https://drive.google.com/drive/folders/10T2cTQHqEJZqE-st6uFKPoI?usp=share_link")</f>
        <v>https://drive.google.com/drive/folders/10T2cTQHqEJZqE-st6uFKPoI?usp=share_link</v>
      </c>
      <c r="P587" s="6" t="str">
        <f>IFERROR(__xludf.DUMMYFUNCTION("""COMPUTED_VALUE"""),"Branson Pfiester")</f>
        <v>Branson Pfiester</v>
      </c>
      <c r="Q587" s="6" t="str">
        <f>IFERROR(__xludf.DUMMYFUNCTION("""COMPUTED_VALUE"""),"HS")</f>
        <v>HS</v>
      </c>
      <c r="R587" s="6">
        <f>IFERROR(__xludf.DUMMYFUNCTION("""COMPUTED_VALUE"""),0.0)</f>
        <v>0</v>
      </c>
      <c r="S587" s="6" t="str">
        <f>IFERROR(__xludf.DUMMYFUNCTION("""COMPUTED_VALUE"""),"Effy Phillips")</f>
        <v>Effy Phillips</v>
      </c>
      <c r="T587" s="6" t="str">
        <f>IFERROR(__xludf.DUMMYFUNCTION("""COMPUTED_VALUE"""),"effy.phillips@alpha.school")</f>
        <v>effy.phillips@alpha.school</v>
      </c>
      <c r="U587" s="6" t="str">
        <f>IFERROR(__xludf.DUMMYFUNCTION("""COMPUTED_VALUE"""),"9")</f>
        <v>9</v>
      </c>
      <c r="V587" s="6" t="str">
        <f>IFERROR(__xludf.DUMMYFUNCTION("""COMPUTED_VALUE"""),"")</f>
        <v/>
      </c>
      <c r="W587" s="6" t="str">
        <f>IFERROR(__xludf.DUMMYFUNCTION("""COMPUTED_VALUE"""),"[]")</f>
        <v>[]</v>
      </c>
      <c r="X587" s="6" t="str">
        <f>IFERROR(__xludf.DUMMYFUNCTION("""COMPUTED_VALUE"""),"Enrolled")</f>
        <v>Enrolled</v>
      </c>
    </row>
    <row r="588">
      <c r="A588" s="6" t="str">
        <f>IFERROR(__xludf.DUMMYFUNCTION("""COMPUTED_VALUE"""),"001-0523")</f>
        <v>001-0523</v>
      </c>
      <c r="B588" s="6" t="str">
        <f>IFERROR(__xludf.DUMMYFUNCTION("""COMPUTED_VALUE"""),"1")</f>
        <v>1</v>
      </c>
      <c r="C588" s="6" t="str">
        <f>IFERROR(__xludf.DUMMYFUNCTION("""COMPUTED_VALUE"""),"0523")</f>
        <v>0523</v>
      </c>
      <c r="D588" s="6" t="str">
        <f>IFERROR(__xludf.DUMMYFUNCTION("""COMPUTED_VALUE"""),"Shepperd")</f>
        <v>Shepperd</v>
      </c>
      <c r="E588" s="6" t="str">
        <f>IFERROR(__xludf.DUMMYFUNCTION("""COMPUTED_VALUE"""),"Shepperd")</f>
        <v>Shepperd</v>
      </c>
      <c r="F588" s="6" t="str">
        <f>IFERROR(__xludf.DUMMYFUNCTION("""COMPUTED_VALUE"""),"Pfiester")</f>
        <v>Pfiester</v>
      </c>
      <c r="G588" s="6" t="str">
        <f>IFERROR(__xludf.DUMMYFUNCTION("""COMPUTED_VALUE"""),"03/31/2013")</f>
        <v>03/31/2013</v>
      </c>
      <c r="H588" s="6" t="str">
        <f>IFERROR(__xludf.DUMMYFUNCTION("""COMPUTED_VALUE"""),"female")</f>
        <v>female</v>
      </c>
      <c r="I588" s="6" t="str">
        <f>IFERROR(__xludf.DUMMYFUNCTION("""COMPUTED_VALUE"""),"Middle School")</f>
        <v>Middle School</v>
      </c>
      <c r="J588" s="6" t="str">
        <f>IFERROR(__xludf.DUMMYFUNCTION("""COMPUTED_VALUE"""),"7")</f>
        <v>7</v>
      </c>
      <c r="K588" s="6" t="str">
        <f>IFERROR(__xludf.DUMMYFUNCTION("""COMPUTED_VALUE"""),"shepperd.pfiester@alpha.school")</f>
        <v>shepperd.pfiester@alpha.school</v>
      </c>
      <c r="L588" s="6" t="str">
        <f>IFERROR(__xludf.DUMMYFUNCTION("""COMPUTED_VALUE"""),"Alpha School Austin")</f>
        <v>Alpha School Austin</v>
      </c>
      <c r="M588" s="6" t="str">
        <f>IFERROR(__xludf.DUMMYFUNCTION("""COMPUTED_VALUE"""),"")</f>
        <v/>
      </c>
      <c r="N588" s="6" t="str">
        <f>IFERROR(__xludf.DUMMYFUNCTION("""COMPUTED_VALUE"""),"")</f>
        <v/>
      </c>
      <c r="O588" s="87" t="str">
        <f>IFERROR(__xludf.DUMMYFUNCTION("""COMPUTED_VALUE"""),"https://drive.google.com/drive/folders/10T2cTQHqEJZqE-st6uFKPoI?usp=share_link")</f>
        <v>https://drive.google.com/drive/folders/10T2cTQHqEJZqE-st6uFKPoI?usp=share_link</v>
      </c>
      <c r="P588" s="6" t="str">
        <f>IFERROR(__xludf.DUMMYFUNCTION("""COMPUTED_VALUE"""),"Shepperd Pfiester")</f>
        <v>Shepperd Pfiester</v>
      </c>
      <c r="Q588" s="6" t="str">
        <f>IFERROR(__xludf.DUMMYFUNCTION("""COMPUTED_VALUE"""),"MS")</f>
        <v>MS</v>
      </c>
      <c r="R588" s="6">
        <f>IFERROR(__xludf.DUMMYFUNCTION("""COMPUTED_VALUE"""),0.0)</f>
        <v>0</v>
      </c>
      <c r="S588" s="6" t="str">
        <f>IFERROR(__xludf.DUMMYFUNCTION("""COMPUTED_VALUE"""),"Noah Lightfoot")</f>
        <v>Noah Lightfoot</v>
      </c>
      <c r="T588" s="6" t="str">
        <f>IFERROR(__xludf.DUMMYFUNCTION("""COMPUTED_VALUE"""),"noah.lightfoot@alpha.school")</f>
        <v>noah.lightfoot@alpha.school</v>
      </c>
      <c r="U588" s="6" t="str">
        <f>IFERROR(__xludf.DUMMYFUNCTION("""COMPUTED_VALUE"""),"7")</f>
        <v>7</v>
      </c>
      <c r="V588" s="6" t="str">
        <f>IFERROR(__xludf.DUMMYFUNCTION("""COMPUTED_VALUE"""),"")</f>
        <v/>
      </c>
      <c r="W588" s="6" t="str">
        <f>IFERROR(__xludf.DUMMYFUNCTION("""COMPUTED_VALUE"""),"[]")</f>
        <v>[]</v>
      </c>
      <c r="X588" s="6" t="str">
        <f>IFERROR(__xludf.DUMMYFUNCTION("""COMPUTED_VALUE"""),"Enrolled")</f>
        <v>Enrolled</v>
      </c>
    </row>
    <row r="589">
      <c r="A589" s="6" t="str">
        <f>IFERROR(__xludf.DUMMYFUNCTION("""COMPUTED_VALUE"""),"001-0535")</f>
        <v>001-0535</v>
      </c>
      <c r="B589" s="6" t="str">
        <f>IFERROR(__xludf.DUMMYFUNCTION("""COMPUTED_VALUE"""),"1")</f>
        <v>1</v>
      </c>
      <c r="C589" s="6" t="str">
        <f>IFERROR(__xludf.DUMMYFUNCTION("""COMPUTED_VALUE"""),"0535")</f>
        <v>0535</v>
      </c>
      <c r="D589" s="6" t="str">
        <f>IFERROR(__xludf.DUMMYFUNCTION("""COMPUTED_VALUE"""),"Bailey")</f>
        <v>Bailey</v>
      </c>
      <c r="E589" s="6" t="str">
        <f>IFERROR(__xludf.DUMMYFUNCTION("""COMPUTED_VALUE"""),"Bailey")</f>
        <v>Bailey</v>
      </c>
      <c r="F589" s="6" t="str">
        <f>IFERROR(__xludf.DUMMYFUNCTION("""COMPUTED_VALUE"""),"Carlson")</f>
        <v>Carlson</v>
      </c>
      <c r="G589" s="6" t="str">
        <f>IFERROR(__xludf.DUMMYFUNCTION("""COMPUTED_VALUE"""),"10/11/2011")</f>
        <v>10/11/2011</v>
      </c>
      <c r="H589" s="6" t="str">
        <f>IFERROR(__xludf.DUMMYFUNCTION("""COMPUTED_VALUE"""),"female")</f>
        <v>female</v>
      </c>
      <c r="I589" s="6" t="str">
        <f>IFERROR(__xludf.DUMMYFUNCTION("""COMPUTED_VALUE"""),"Middle School")</f>
        <v>Middle School</v>
      </c>
      <c r="J589" s="6" t="str">
        <f>IFERROR(__xludf.DUMMYFUNCTION("""COMPUTED_VALUE"""),"8")</f>
        <v>8</v>
      </c>
      <c r="K589" s="6" t="str">
        <f>IFERROR(__xludf.DUMMYFUNCTION("""COMPUTED_VALUE"""),"bailey.carlson@alpha.school")</f>
        <v>bailey.carlson@alpha.school</v>
      </c>
      <c r="L589" s="6" t="str">
        <f>IFERROR(__xludf.DUMMYFUNCTION("""COMPUTED_VALUE"""),"Alpha School Austin")</f>
        <v>Alpha School Austin</v>
      </c>
      <c r="M589" s="6" t="str">
        <f>IFERROR(__xludf.DUMMYFUNCTION("""COMPUTED_VALUE"""),"")</f>
        <v/>
      </c>
      <c r="N589" s="6" t="str">
        <f>IFERROR(__xludf.DUMMYFUNCTION("""COMPUTED_VALUE"""),"")</f>
        <v/>
      </c>
      <c r="O589" s="87" t="str">
        <f>IFERROR(__xludf.DUMMYFUNCTION("""COMPUTED_VALUE"""),"https://drive.google.com/drive/folders/10T2cTQHqEJZqE-st6uFKPoI?usp=share_link")</f>
        <v>https://drive.google.com/drive/folders/10T2cTQHqEJZqE-st6uFKPoI?usp=share_link</v>
      </c>
      <c r="P589" s="6" t="str">
        <f>IFERROR(__xludf.DUMMYFUNCTION("""COMPUTED_VALUE"""),"Bailey Carlson")</f>
        <v>Bailey Carlson</v>
      </c>
      <c r="Q589" s="6" t="str">
        <f>IFERROR(__xludf.DUMMYFUNCTION("""COMPUTED_VALUE"""),"MS")</f>
        <v>MS</v>
      </c>
      <c r="R589" s="6">
        <f>IFERROR(__xludf.DUMMYFUNCTION("""COMPUTED_VALUE"""),0.0)</f>
        <v>0</v>
      </c>
      <c r="S589" s="6" t="str">
        <f>IFERROR(__xludf.DUMMYFUNCTION("""COMPUTED_VALUE"""),"Lauren Hammond")</f>
        <v>Lauren Hammond</v>
      </c>
      <c r="T589" s="6" t="str">
        <f>IFERROR(__xludf.DUMMYFUNCTION("""COMPUTED_VALUE"""),"lauren.hammond@alpha.school")</f>
        <v>lauren.hammond@alpha.school</v>
      </c>
      <c r="U589" s="6" t="str">
        <f>IFERROR(__xludf.DUMMYFUNCTION("""COMPUTED_VALUE"""),"8")</f>
        <v>8</v>
      </c>
      <c r="V589" s="6" t="str">
        <f>IFERROR(__xludf.DUMMYFUNCTION("""COMPUTED_VALUE"""),"")</f>
        <v/>
      </c>
      <c r="W589" s="6" t="str">
        <f>IFERROR(__xludf.DUMMYFUNCTION("""COMPUTED_VALUE"""),"[]")</f>
        <v>[]</v>
      </c>
      <c r="X589" s="6" t="str">
        <f>IFERROR(__xludf.DUMMYFUNCTION("""COMPUTED_VALUE"""),"Enrolled")</f>
        <v>Enrolled</v>
      </c>
    </row>
    <row r="590">
      <c r="A590" s="6" t="str">
        <f>IFERROR(__xludf.DUMMYFUNCTION("""COMPUTED_VALUE"""),"001-0539")</f>
        <v>001-0539</v>
      </c>
      <c r="B590" s="6" t="str">
        <f>IFERROR(__xludf.DUMMYFUNCTION("""COMPUTED_VALUE"""),"1")</f>
        <v>1</v>
      </c>
      <c r="C590" s="6" t="str">
        <f>IFERROR(__xludf.DUMMYFUNCTION("""COMPUTED_VALUE"""),"0539")</f>
        <v>0539</v>
      </c>
      <c r="D590" s="6" t="str">
        <f>IFERROR(__xludf.DUMMYFUNCTION("""COMPUTED_VALUE"""),"Greyson")</f>
        <v>Greyson</v>
      </c>
      <c r="E590" s="6" t="str">
        <f>IFERROR(__xludf.DUMMYFUNCTION("""COMPUTED_VALUE"""),"Grey")</f>
        <v>Grey</v>
      </c>
      <c r="F590" s="6" t="str">
        <f>IFERROR(__xludf.DUMMYFUNCTION("""COMPUTED_VALUE"""),"Walker")</f>
        <v>Walker</v>
      </c>
      <c r="G590" s="6" t="str">
        <f>IFERROR(__xludf.DUMMYFUNCTION("""COMPUTED_VALUE"""),"01/15/2011")</f>
        <v>01/15/2011</v>
      </c>
      <c r="H590" s="6" t="str">
        <f>IFERROR(__xludf.DUMMYFUNCTION("""COMPUTED_VALUE"""),"male")</f>
        <v>male</v>
      </c>
      <c r="I590" s="6" t="str">
        <f>IFERROR(__xludf.DUMMYFUNCTION("""COMPUTED_VALUE"""),"High School")</f>
        <v>High School</v>
      </c>
      <c r="J590" s="6" t="str">
        <f>IFERROR(__xludf.DUMMYFUNCTION("""COMPUTED_VALUE"""),"9")</f>
        <v>9</v>
      </c>
      <c r="K590" s="6" t="str">
        <f>IFERROR(__xludf.DUMMYFUNCTION("""COMPUTED_VALUE"""),"greyson.walker@alpha.school")</f>
        <v>greyson.walker@alpha.school</v>
      </c>
      <c r="L590" s="6" t="str">
        <f>IFERROR(__xludf.DUMMYFUNCTION("""COMPUTED_VALUE"""),"Alpha High School")</f>
        <v>Alpha High School</v>
      </c>
      <c r="M590" s="6" t="str">
        <f>IFERROR(__xludf.DUMMYFUNCTION("""COMPUTED_VALUE"""),"")</f>
        <v/>
      </c>
      <c r="N590" s="6" t="str">
        <f>IFERROR(__xludf.DUMMYFUNCTION("""COMPUTED_VALUE"""),"")</f>
        <v/>
      </c>
      <c r="O590" s="87" t="str">
        <f>IFERROR(__xludf.DUMMYFUNCTION("""COMPUTED_VALUE"""),"https://drive.google.com/drive/folders/10T2cTQHqEJZqE-st6uFKPoI?usp=share_link")</f>
        <v>https://drive.google.com/drive/folders/10T2cTQHqEJZqE-st6uFKPoI?usp=share_link</v>
      </c>
      <c r="P590" s="6" t="str">
        <f>IFERROR(__xludf.DUMMYFUNCTION("""COMPUTED_VALUE"""),"Grey Walker")</f>
        <v>Grey Walker</v>
      </c>
      <c r="Q590" s="6" t="str">
        <f>IFERROR(__xludf.DUMMYFUNCTION("""COMPUTED_VALUE"""),"HS")</f>
        <v>HS</v>
      </c>
      <c r="R590" s="6">
        <f>IFERROR(__xludf.DUMMYFUNCTION("""COMPUTED_VALUE"""),0.0)</f>
        <v>0</v>
      </c>
      <c r="S590" s="6" t="str">
        <f>IFERROR(__xludf.DUMMYFUNCTION("""COMPUTED_VALUE"""),"Jebin Justin")</f>
        <v>Jebin Justin</v>
      </c>
      <c r="T590" s="6" t="str">
        <f>IFERROR(__xludf.DUMMYFUNCTION("""COMPUTED_VALUE"""),"jebin.justin@alpha.school")</f>
        <v>jebin.justin@alpha.school</v>
      </c>
      <c r="U590" s="6" t="str">
        <f>IFERROR(__xludf.DUMMYFUNCTION("""COMPUTED_VALUE"""),"9")</f>
        <v>9</v>
      </c>
      <c r="V590" s="6" t="str">
        <f>IFERROR(__xludf.DUMMYFUNCTION("""COMPUTED_VALUE"""),"")</f>
        <v/>
      </c>
      <c r="W590" s="6" t="str">
        <f>IFERROR(__xludf.DUMMYFUNCTION("""COMPUTED_VALUE"""),"[]")</f>
        <v>[]</v>
      </c>
      <c r="X590" s="6" t="str">
        <f>IFERROR(__xludf.DUMMYFUNCTION("""COMPUTED_VALUE"""),"Enrolled")</f>
        <v>Enrolled</v>
      </c>
    </row>
    <row r="591">
      <c r="A591" s="6" t="str">
        <f>IFERROR(__xludf.DUMMYFUNCTION("""COMPUTED_VALUE"""),"001-0546")</f>
        <v>001-0546</v>
      </c>
      <c r="B591" s="6" t="str">
        <f>IFERROR(__xludf.DUMMYFUNCTION("""COMPUTED_VALUE"""),"1")</f>
        <v>1</v>
      </c>
      <c r="C591" s="6" t="str">
        <f>IFERROR(__xludf.DUMMYFUNCTION("""COMPUTED_VALUE"""),"0546")</f>
        <v>0546</v>
      </c>
      <c r="D591" s="6" t="str">
        <f>IFERROR(__xludf.DUMMYFUNCTION("""COMPUTED_VALUE"""),"Ross")</f>
        <v>Ross</v>
      </c>
      <c r="E591" s="6" t="str">
        <f>IFERROR(__xludf.DUMMYFUNCTION("""COMPUTED_VALUE"""),"Ross")</f>
        <v>Ross</v>
      </c>
      <c r="F591" s="6" t="str">
        <f>IFERROR(__xludf.DUMMYFUNCTION("""COMPUTED_VALUE"""),"Margraves")</f>
        <v>Margraves</v>
      </c>
      <c r="G591" s="6" t="str">
        <f>IFERROR(__xludf.DUMMYFUNCTION("""COMPUTED_VALUE"""),"06/03/2010")</f>
        <v>06/03/2010</v>
      </c>
      <c r="H591" s="6" t="str">
        <f>IFERROR(__xludf.DUMMYFUNCTION("""COMPUTED_VALUE"""),"male")</f>
        <v>male</v>
      </c>
      <c r="I591" s="6" t="str">
        <f>IFERROR(__xludf.DUMMYFUNCTION("""COMPUTED_VALUE"""),"High School")</f>
        <v>High School</v>
      </c>
      <c r="J591" s="6" t="str">
        <f>IFERROR(__xludf.DUMMYFUNCTION("""COMPUTED_VALUE"""),"9")</f>
        <v>9</v>
      </c>
      <c r="K591" s="6" t="str">
        <f>IFERROR(__xludf.DUMMYFUNCTION("""COMPUTED_VALUE"""),"ross.margraves@alpha.school")</f>
        <v>ross.margraves@alpha.school</v>
      </c>
      <c r="L591" s="6" t="str">
        <f>IFERROR(__xludf.DUMMYFUNCTION("""COMPUTED_VALUE"""),"Alpha High School")</f>
        <v>Alpha High School</v>
      </c>
      <c r="M591" s="6" t="str">
        <f>IFERROR(__xludf.DUMMYFUNCTION("""COMPUTED_VALUE"""),"")</f>
        <v/>
      </c>
      <c r="N591" s="6" t="str">
        <f>IFERROR(__xludf.DUMMYFUNCTION("""COMPUTED_VALUE"""),"")</f>
        <v/>
      </c>
      <c r="O591" s="87" t="str">
        <f>IFERROR(__xludf.DUMMYFUNCTION("""COMPUTED_VALUE"""),"https://drive.google.com/drive/folders/10T2cTQHqEJZqE-st6uFKPoI?usp=share_link")</f>
        <v>https://drive.google.com/drive/folders/10T2cTQHqEJZqE-st6uFKPoI?usp=share_link</v>
      </c>
      <c r="P591" s="6" t="str">
        <f>IFERROR(__xludf.DUMMYFUNCTION("""COMPUTED_VALUE"""),"Ross Margraves")</f>
        <v>Ross Margraves</v>
      </c>
      <c r="Q591" s="6" t="str">
        <f>IFERROR(__xludf.DUMMYFUNCTION("""COMPUTED_VALUE"""),"HS")</f>
        <v>HS</v>
      </c>
      <c r="R591" s="6">
        <f>IFERROR(__xludf.DUMMYFUNCTION("""COMPUTED_VALUE"""),0.0)</f>
        <v>0</v>
      </c>
      <c r="S591" s="6" t="str">
        <f>IFERROR(__xludf.DUMMYFUNCTION("""COMPUTED_VALUE"""),"Jebin Justin")</f>
        <v>Jebin Justin</v>
      </c>
      <c r="T591" s="6" t="str">
        <f>IFERROR(__xludf.DUMMYFUNCTION("""COMPUTED_VALUE"""),"jebin.justin@alpha.school")</f>
        <v>jebin.justin@alpha.school</v>
      </c>
      <c r="U591" s="6" t="str">
        <f>IFERROR(__xludf.DUMMYFUNCTION("""COMPUTED_VALUE"""),"9")</f>
        <v>9</v>
      </c>
      <c r="V591" s="6" t="str">
        <f>IFERROR(__xludf.DUMMYFUNCTION("""COMPUTED_VALUE"""),"")</f>
        <v/>
      </c>
      <c r="W591" s="6" t="str">
        <f>IFERROR(__xludf.DUMMYFUNCTION("""COMPUTED_VALUE"""),"[Text-to-Speech,Extended Time]")</f>
        <v>[Text-to-Speech,Extended Time]</v>
      </c>
      <c r="X591" s="6" t="str">
        <f>IFERROR(__xludf.DUMMYFUNCTION("""COMPUTED_VALUE"""),"Enrolled")</f>
        <v>Enrolled</v>
      </c>
    </row>
    <row r="592">
      <c r="A592" s="6" t="str">
        <f>IFERROR(__xludf.DUMMYFUNCTION("""COMPUTED_VALUE"""),"001-0561")</f>
        <v>001-0561</v>
      </c>
      <c r="B592" s="6" t="str">
        <f>IFERROR(__xludf.DUMMYFUNCTION("""COMPUTED_VALUE"""),"1")</f>
        <v>1</v>
      </c>
      <c r="C592" s="6" t="str">
        <f>IFERROR(__xludf.DUMMYFUNCTION("""COMPUTED_VALUE"""),"0561")</f>
        <v>0561</v>
      </c>
      <c r="D592" s="6" t="str">
        <f>IFERROR(__xludf.DUMMYFUNCTION("""COMPUTED_VALUE"""),"Anaya")</f>
        <v>Anaya</v>
      </c>
      <c r="E592" s="6" t="str">
        <f>IFERROR(__xludf.DUMMYFUNCTION("""COMPUTED_VALUE"""),"")</f>
        <v/>
      </c>
      <c r="F592" s="6" t="str">
        <f>IFERROR(__xludf.DUMMYFUNCTION("""COMPUTED_VALUE"""),"Lenington")</f>
        <v>Lenington</v>
      </c>
      <c r="G592" s="6" t="str">
        <f>IFERROR(__xludf.DUMMYFUNCTION("""COMPUTED_VALUE"""),"09/08/2014")</f>
        <v>09/08/2014</v>
      </c>
      <c r="H592" s="6" t="str">
        <f>IFERROR(__xludf.DUMMYFUNCTION("""COMPUTED_VALUE"""),"female")</f>
        <v>female</v>
      </c>
      <c r="I592" s="6" t="str">
        <f>IFERROR(__xludf.DUMMYFUNCTION("""COMPUTED_VALUE"""),"Level 2")</f>
        <v>Level 2</v>
      </c>
      <c r="J592" s="6" t="str">
        <f>IFERROR(__xludf.DUMMYFUNCTION("""COMPUTED_VALUE"""),"5")</f>
        <v>5</v>
      </c>
      <c r="K592" s="6" t="str">
        <f>IFERROR(__xludf.DUMMYFUNCTION("""COMPUTED_VALUE"""),"anaya.lenington@alpha.school")</f>
        <v>anaya.lenington@alpha.school</v>
      </c>
      <c r="L592" s="6" t="str">
        <f>IFERROR(__xludf.DUMMYFUNCTION("""COMPUTED_VALUE"""),"Alpha School Austin")</f>
        <v>Alpha School Austin</v>
      </c>
      <c r="M592" s="6" t="str">
        <f>IFERROR(__xludf.DUMMYFUNCTION("""COMPUTED_VALUE"""),"")</f>
        <v/>
      </c>
      <c r="N592" s="6" t="str">
        <f>IFERROR(__xludf.DUMMYFUNCTION("""COMPUTED_VALUE"""),"")</f>
        <v/>
      </c>
      <c r="O592" s="87" t="str">
        <f>IFERROR(__xludf.DUMMYFUNCTION("""COMPUTED_VALUE"""),"https://drive.google.com/drive/folders/10T2cTQHqEJZqE-st6uFKPoI?usp=share_link")</f>
        <v>https://drive.google.com/drive/folders/10T2cTQHqEJZqE-st6uFKPoI?usp=share_link</v>
      </c>
      <c r="P592" s="6" t="str">
        <f>IFERROR(__xludf.DUMMYFUNCTION("""COMPUTED_VALUE"""),"Anaya Lenington")</f>
        <v>Anaya Lenington</v>
      </c>
      <c r="Q592" s="6" t="str">
        <f>IFERROR(__xludf.DUMMYFUNCTION("""COMPUTED_VALUE"""),"L2")</f>
        <v>L2</v>
      </c>
      <c r="R592" s="6">
        <f>IFERROR(__xludf.DUMMYFUNCTION("""COMPUTED_VALUE"""),2.0)</f>
        <v>2</v>
      </c>
      <c r="S592" s="6" t="str">
        <f>IFERROR(__xludf.DUMMYFUNCTION("""COMPUTED_VALUE"""),"Alex Cruz")</f>
        <v>Alex Cruz</v>
      </c>
      <c r="T592" s="6" t="str">
        <f>IFERROR(__xludf.DUMMYFUNCTION("""COMPUTED_VALUE"""),"alex.cruz@sportsacademy.school")</f>
        <v>alex.cruz@sportsacademy.school</v>
      </c>
      <c r="U592" s="6" t="str">
        <f>IFERROR(__xludf.DUMMYFUNCTION("""COMPUTED_VALUE"""),"5")</f>
        <v>5</v>
      </c>
      <c r="V592" s="6" t="str">
        <f>IFERROR(__xludf.DUMMYFUNCTION("""COMPUTED_VALUE"""),"")</f>
        <v/>
      </c>
      <c r="W592" s="6" t="str">
        <f>IFERROR(__xludf.DUMMYFUNCTION("""COMPUTED_VALUE"""),"[Text-to-Speech,Solo Space,50% Extended Time]")</f>
        <v>[Text-to-Speech,Solo Space,50% Extended Time]</v>
      </c>
      <c r="X592" s="6" t="str">
        <f>IFERROR(__xludf.DUMMYFUNCTION("""COMPUTED_VALUE"""),"Enrolled")</f>
        <v>Enrolled</v>
      </c>
    </row>
    <row r="593">
      <c r="A593" s="6" t="str">
        <f>IFERROR(__xludf.DUMMYFUNCTION("""COMPUTED_VALUE"""),"001-0571")</f>
        <v>001-0571</v>
      </c>
      <c r="B593" s="6" t="str">
        <f>IFERROR(__xludf.DUMMYFUNCTION("""COMPUTED_VALUE"""),"1")</f>
        <v>1</v>
      </c>
      <c r="C593" s="6" t="str">
        <f>IFERROR(__xludf.DUMMYFUNCTION("""COMPUTED_VALUE"""),"0571")</f>
        <v>0571</v>
      </c>
      <c r="D593" s="6" t="str">
        <f>IFERROR(__xludf.DUMMYFUNCTION("""COMPUTED_VALUE"""),"Wyatt")</f>
        <v>Wyatt</v>
      </c>
      <c r="E593" s="6" t="str">
        <f>IFERROR(__xludf.DUMMYFUNCTION("""COMPUTED_VALUE"""),"")</f>
        <v/>
      </c>
      <c r="F593" s="6" t="str">
        <f>IFERROR(__xludf.DUMMYFUNCTION("""COMPUTED_VALUE"""),"Signor")</f>
        <v>Signor</v>
      </c>
      <c r="G593" s="6" t="str">
        <f>IFERROR(__xludf.DUMMYFUNCTION("""COMPUTED_VALUE"""),"02/15/2016")</f>
        <v>02/15/2016</v>
      </c>
      <c r="H593" s="6" t="str">
        <f>IFERROR(__xludf.DUMMYFUNCTION("""COMPUTED_VALUE"""),"male")</f>
        <v>male</v>
      </c>
      <c r="I593" s="6" t="str">
        <f>IFERROR(__xludf.DUMMYFUNCTION("""COMPUTED_VALUE"""),"Level 2")</f>
        <v>Level 2</v>
      </c>
      <c r="J593" s="6" t="str">
        <f>IFERROR(__xludf.DUMMYFUNCTION("""COMPUTED_VALUE"""),"4")</f>
        <v>4</v>
      </c>
      <c r="K593" s="6" t="str">
        <f>IFERROR(__xludf.DUMMYFUNCTION("""COMPUTED_VALUE"""),"wyatt.signor@alpha.school")</f>
        <v>wyatt.signor@alpha.school</v>
      </c>
      <c r="L593" s="6" t="str">
        <f>IFERROR(__xludf.DUMMYFUNCTION("""COMPUTED_VALUE"""),"Alpha School Austin")</f>
        <v>Alpha School Austin</v>
      </c>
      <c r="M593" s="6" t="str">
        <f>IFERROR(__xludf.DUMMYFUNCTION("""COMPUTED_VALUE"""),"JW")</f>
        <v>JW</v>
      </c>
      <c r="N593" s="6" t="str">
        <f>IFERROR(__xludf.DUMMYFUNCTION("""COMPUTED_VALUE"""),"")</f>
        <v/>
      </c>
      <c r="O593" s="87" t="str">
        <f>IFERROR(__xludf.DUMMYFUNCTION("""COMPUTED_VALUE"""),"https://drive.google.com/drive/folders/10T2cTQHqEJZqE-st6uFKPoI?usp=share_link")</f>
        <v>https://drive.google.com/drive/folders/10T2cTQHqEJZqE-st6uFKPoI?usp=share_link</v>
      </c>
      <c r="P593" s="6" t="str">
        <f>IFERROR(__xludf.DUMMYFUNCTION("""COMPUTED_VALUE"""),"Wyatt Signor")</f>
        <v>Wyatt Signor</v>
      </c>
      <c r="Q593" s="6" t="str">
        <f>IFERROR(__xludf.DUMMYFUNCTION("""COMPUTED_VALUE"""),"L2")</f>
        <v>L2</v>
      </c>
      <c r="R593" s="6">
        <f>IFERROR(__xludf.DUMMYFUNCTION("""COMPUTED_VALUE"""),2.0)</f>
        <v>2</v>
      </c>
      <c r="S593" s="6" t="str">
        <f>IFERROR(__xludf.DUMMYFUNCTION("""COMPUTED_VALUE"""),"Noah Rodriguez")</f>
        <v>Noah Rodriguez</v>
      </c>
      <c r="T593" s="6" t="str">
        <f>IFERROR(__xludf.DUMMYFUNCTION("""COMPUTED_VALUE"""),"noah.rodriguez@alpha.school")</f>
        <v>noah.rodriguez@alpha.school</v>
      </c>
      <c r="U593" s="6" t="str">
        <f>IFERROR(__xludf.DUMMYFUNCTION("""COMPUTED_VALUE"""),"4")</f>
        <v>4</v>
      </c>
      <c r="V593" s="6" t="str">
        <f>IFERROR(__xludf.DUMMYFUNCTION("""COMPUTED_VALUE"""),"")</f>
        <v/>
      </c>
      <c r="W593" s="6" t="str">
        <f>IFERROR(__xludf.DUMMYFUNCTION("""COMPUTED_VALUE"""),"[]")</f>
        <v>[]</v>
      </c>
      <c r="X593" s="6" t="str">
        <f>IFERROR(__xludf.DUMMYFUNCTION("""COMPUTED_VALUE"""),"Enrolled")</f>
        <v>Enrolled</v>
      </c>
    </row>
    <row r="594">
      <c r="A594" s="6" t="str">
        <f>IFERROR(__xludf.DUMMYFUNCTION("""COMPUTED_VALUE"""),"001-0577")</f>
        <v>001-0577</v>
      </c>
      <c r="B594" s="6" t="str">
        <f>IFERROR(__xludf.DUMMYFUNCTION("""COMPUTED_VALUE"""),"1")</f>
        <v>1</v>
      </c>
      <c r="C594" s="6" t="str">
        <f>IFERROR(__xludf.DUMMYFUNCTION("""COMPUTED_VALUE"""),"0577")</f>
        <v>0577</v>
      </c>
      <c r="D594" s="6" t="str">
        <f>IFERROR(__xludf.DUMMYFUNCTION("""COMPUTED_VALUE"""),"Benjamin Blake")</f>
        <v>Benjamin Blake</v>
      </c>
      <c r="E594" s="6" t="str">
        <f>IFERROR(__xludf.DUMMYFUNCTION("""COMPUTED_VALUE"""),"Blake")</f>
        <v>Blake</v>
      </c>
      <c r="F594" s="6" t="str">
        <f>IFERROR(__xludf.DUMMYFUNCTION("""COMPUTED_VALUE"""),"Flores")</f>
        <v>Flores</v>
      </c>
      <c r="G594" s="6" t="str">
        <f>IFERROR(__xludf.DUMMYFUNCTION("""COMPUTED_VALUE"""),"07/17/2012")</f>
        <v>07/17/2012</v>
      </c>
      <c r="H594" s="6" t="str">
        <f>IFERROR(__xludf.DUMMYFUNCTION("""COMPUTED_VALUE"""),"male")</f>
        <v>male</v>
      </c>
      <c r="I594" s="6" t="str">
        <f>IFERROR(__xludf.DUMMYFUNCTION("""COMPUTED_VALUE"""),"Middle School")</f>
        <v>Middle School</v>
      </c>
      <c r="J594" s="6" t="str">
        <f>IFERROR(__xludf.DUMMYFUNCTION("""COMPUTED_VALUE"""),"7")</f>
        <v>7</v>
      </c>
      <c r="K594" s="6" t="str">
        <f>IFERROR(__xludf.DUMMYFUNCTION("""COMPUTED_VALUE"""),"blake.flores@alpha.school")</f>
        <v>blake.flores@alpha.school</v>
      </c>
      <c r="L594" s="6" t="str">
        <f>IFERROR(__xludf.DUMMYFUNCTION("""COMPUTED_VALUE"""),"Alpha School Austin")</f>
        <v>Alpha School Austin</v>
      </c>
      <c r="M594" s="6" t="str">
        <f>IFERROR(__xludf.DUMMYFUNCTION("""COMPUTED_VALUE"""),"")</f>
        <v/>
      </c>
      <c r="N594" s="6" t="str">
        <f>IFERROR(__xludf.DUMMYFUNCTION("""COMPUTED_VALUE"""),"")</f>
        <v/>
      </c>
      <c r="O594" s="87" t="str">
        <f>IFERROR(__xludf.DUMMYFUNCTION("""COMPUTED_VALUE"""),"https://drive.google.com/drive/folders/10T2cTQHqEJZqE-st6uFKPoI?usp=share_link")</f>
        <v>https://drive.google.com/drive/folders/10T2cTQHqEJZqE-st6uFKPoI?usp=share_link</v>
      </c>
      <c r="P594" s="6" t="str">
        <f>IFERROR(__xludf.DUMMYFUNCTION("""COMPUTED_VALUE"""),"Blake Flores")</f>
        <v>Blake Flores</v>
      </c>
      <c r="Q594" s="6" t="str">
        <f>IFERROR(__xludf.DUMMYFUNCTION("""COMPUTED_VALUE"""),"MS")</f>
        <v>MS</v>
      </c>
      <c r="R594" s="6">
        <f>IFERROR(__xludf.DUMMYFUNCTION("""COMPUTED_VALUE"""),0.0)</f>
        <v>0</v>
      </c>
      <c r="S594" s="6" t="str">
        <f>IFERROR(__xludf.DUMMYFUNCTION("""COMPUTED_VALUE"""),"Shaas Singh")</f>
        <v>Shaas Singh</v>
      </c>
      <c r="T594" s="6" t="str">
        <f>IFERROR(__xludf.DUMMYFUNCTION("""COMPUTED_VALUE"""),"shaas.singh@alpha.school")</f>
        <v>shaas.singh@alpha.school</v>
      </c>
      <c r="U594" s="6" t="str">
        <f>IFERROR(__xludf.DUMMYFUNCTION("""COMPUTED_VALUE"""),"7")</f>
        <v>7</v>
      </c>
      <c r="V594" s="6" t="str">
        <f>IFERROR(__xludf.DUMMYFUNCTION("""COMPUTED_VALUE"""),"")</f>
        <v/>
      </c>
      <c r="W594" s="6" t="str">
        <f>IFERROR(__xludf.DUMMYFUNCTION("""COMPUTED_VALUE"""),"[]")</f>
        <v>[]</v>
      </c>
      <c r="X594" s="6" t="str">
        <f>IFERROR(__xludf.DUMMYFUNCTION("""COMPUTED_VALUE"""),"Enrolled")</f>
        <v>Enrolled</v>
      </c>
    </row>
    <row r="595">
      <c r="A595" s="6" t="str">
        <f>IFERROR(__xludf.DUMMYFUNCTION("""COMPUTED_VALUE"""),"001-0578")</f>
        <v>001-0578</v>
      </c>
      <c r="B595" s="6" t="str">
        <f>IFERROR(__xludf.DUMMYFUNCTION("""COMPUTED_VALUE"""),"1")</f>
        <v>1</v>
      </c>
      <c r="C595" s="6" t="str">
        <f>IFERROR(__xludf.DUMMYFUNCTION("""COMPUTED_VALUE"""),"0578")</f>
        <v>0578</v>
      </c>
      <c r="D595" s="6" t="str">
        <f>IFERROR(__xludf.DUMMYFUNCTION("""COMPUTED_VALUE"""),"Liamek")</f>
        <v>Liamek</v>
      </c>
      <c r="E595" s="6" t="str">
        <f>IFERROR(__xludf.DUMMYFUNCTION("""COMPUTED_VALUE"""),"Liam")</f>
        <v>Liam</v>
      </c>
      <c r="F595" s="6" t="str">
        <f>IFERROR(__xludf.DUMMYFUNCTION("""COMPUTED_VALUE"""),"Lenhardt")</f>
        <v>Lenhardt</v>
      </c>
      <c r="G595" s="6" t="str">
        <f>IFERROR(__xludf.DUMMYFUNCTION("""COMPUTED_VALUE"""),"07/25/2010")</f>
        <v>07/25/2010</v>
      </c>
      <c r="H595" s="6" t="str">
        <f>IFERROR(__xludf.DUMMYFUNCTION("""COMPUTED_VALUE"""),"M")</f>
        <v>M</v>
      </c>
      <c r="I595" s="6" t="str">
        <f>IFERROR(__xludf.DUMMYFUNCTION("""COMPUTED_VALUE"""),"High School")</f>
        <v>High School</v>
      </c>
      <c r="J595" s="6" t="str">
        <f>IFERROR(__xludf.DUMMYFUNCTION("""COMPUTED_VALUE"""),"10")</f>
        <v>10</v>
      </c>
      <c r="K595" s="6" t="str">
        <f>IFERROR(__xludf.DUMMYFUNCTION("""COMPUTED_VALUE"""),"liam.lenhardt@alpha.school")</f>
        <v>liam.lenhardt@alpha.school</v>
      </c>
      <c r="L595" s="6" t="str">
        <f>IFERROR(__xludf.DUMMYFUNCTION("""COMPUTED_VALUE"""),"Alpha High School")</f>
        <v>Alpha High School</v>
      </c>
      <c r="M595" s="6" t="str">
        <f>IFERROR(__xludf.DUMMYFUNCTION("""COMPUTED_VALUE"""),"")</f>
        <v/>
      </c>
      <c r="N595" s="6" t="str">
        <f>IFERROR(__xludf.DUMMYFUNCTION("""COMPUTED_VALUE"""),"")</f>
        <v/>
      </c>
      <c r="O595" s="87" t="str">
        <f>IFERROR(__xludf.DUMMYFUNCTION("""COMPUTED_VALUE"""),"https://drive.google.com/drive/folders/10T2cTQHqEJZqE-st6uFKPoI?usp=share_link")</f>
        <v>https://drive.google.com/drive/folders/10T2cTQHqEJZqE-st6uFKPoI?usp=share_link</v>
      </c>
      <c r="P595" s="6" t="str">
        <f>IFERROR(__xludf.DUMMYFUNCTION("""COMPUTED_VALUE"""),"Liam Lenhardt")</f>
        <v>Liam Lenhardt</v>
      </c>
      <c r="Q595" s="6" t="str">
        <f>IFERROR(__xludf.DUMMYFUNCTION("""COMPUTED_VALUE"""),"HS")</f>
        <v>HS</v>
      </c>
      <c r="R595" s="6">
        <f>IFERROR(__xludf.DUMMYFUNCTION("""COMPUTED_VALUE"""),0.0)</f>
        <v>0</v>
      </c>
      <c r="S595" s="6" t="str">
        <f>IFERROR(__xludf.DUMMYFUNCTION("""COMPUTED_VALUE"""),"Effy Phillips")</f>
        <v>Effy Phillips</v>
      </c>
      <c r="T595" s="6" t="str">
        <f>IFERROR(__xludf.DUMMYFUNCTION("""COMPUTED_VALUE"""),"effy.phillips@alpha.school")</f>
        <v>effy.phillips@alpha.school</v>
      </c>
      <c r="U595" s="6" t="str">
        <f>IFERROR(__xludf.DUMMYFUNCTION("""COMPUTED_VALUE"""),"10")</f>
        <v>10</v>
      </c>
      <c r="V595" s="6" t="str">
        <f>IFERROR(__xludf.DUMMYFUNCTION("""COMPUTED_VALUE"""),"")</f>
        <v/>
      </c>
      <c r="W595" s="6" t="str">
        <f>IFERROR(__xludf.DUMMYFUNCTION("""COMPUTED_VALUE"""),"[]")</f>
        <v>[]</v>
      </c>
      <c r="X595" s="6" t="str">
        <f>IFERROR(__xludf.DUMMYFUNCTION("""COMPUTED_VALUE"""),"Enrolled")</f>
        <v>Enrolled</v>
      </c>
    </row>
    <row r="596">
      <c r="A596" s="6" t="str">
        <f>IFERROR(__xludf.DUMMYFUNCTION("""COMPUTED_VALUE"""),"001-0579")</f>
        <v>001-0579</v>
      </c>
      <c r="B596" s="6" t="str">
        <f>IFERROR(__xludf.DUMMYFUNCTION("""COMPUTED_VALUE"""),"1")</f>
        <v>1</v>
      </c>
      <c r="C596" s="6" t="str">
        <f>IFERROR(__xludf.DUMMYFUNCTION("""COMPUTED_VALUE"""),"0579")</f>
        <v>0579</v>
      </c>
      <c r="D596" s="6" t="str">
        <f>IFERROR(__xludf.DUMMYFUNCTION("""COMPUTED_VALUE"""),"Luciana")</f>
        <v>Luciana</v>
      </c>
      <c r="E596" s="6" t="str">
        <f>IFERROR(__xludf.DUMMYFUNCTION("""COMPUTED_VALUE"""),"Lulu")</f>
        <v>Lulu</v>
      </c>
      <c r="F596" s="6" t="str">
        <f>IFERROR(__xludf.DUMMYFUNCTION("""COMPUTED_VALUE"""),"Bressan")</f>
        <v>Bressan</v>
      </c>
      <c r="G596" s="6" t="str">
        <f>IFERROR(__xludf.DUMMYFUNCTION("""COMPUTED_VALUE"""),"12/12/2011")</f>
        <v>12/12/2011</v>
      </c>
      <c r="H596" s="6" t="str">
        <f>IFERROR(__xludf.DUMMYFUNCTION("""COMPUTED_VALUE"""),"female")</f>
        <v>female</v>
      </c>
      <c r="I596" s="6" t="str">
        <f>IFERROR(__xludf.DUMMYFUNCTION("""COMPUTED_VALUE"""),"Middle School")</f>
        <v>Middle School</v>
      </c>
      <c r="J596" s="6" t="str">
        <f>IFERROR(__xludf.DUMMYFUNCTION("""COMPUTED_VALUE"""),"8")</f>
        <v>8</v>
      </c>
      <c r="K596" s="6" t="str">
        <f>IFERROR(__xludf.DUMMYFUNCTION("""COMPUTED_VALUE"""),"luciana.bressan@alpha.school")</f>
        <v>luciana.bressan@alpha.school</v>
      </c>
      <c r="L596" s="6" t="str">
        <f>IFERROR(__xludf.DUMMYFUNCTION("""COMPUTED_VALUE"""),"Alpha School Austin")</f>
        <v>Alpha School Austin</v>
      </c>
      <c r="M596" s="6" t="str">
        <f>IFERROR(__xludf.DUMMYFUNCTION("""COMPUTED_VALUE"""),"")</f>
        <v/>
      </c>
      <c r="N596" s="6" t="str">
        <f>IFERROR(__xludf.DUMMYFUNCTION("""COMPUTED_VALUE"""),"")</f>
        <v/>
      </c>
      <c r="O596" s="87" t="str">
        <f>IFERROR(__xludf.DUMMYFUNCTION("""COMPUTED_VALUE"""),"https://drive.google.com/drive/folders/10T2cTQHqEJZqE-st6uFKPoI?usp=share_link")</f>
        <v>https://drive.google.com/drive/folders/10T2cTQHqEJZqE-st6uFKPoI?usp=share_link</v>
      </c>
      <c r="P596" s="6" t="str">
        <f>IFERROR(__xludf.DUMMYFUNCTION("""COMPUTED_VALUE"""),"Lulu Bressan")</f>
        <v>Lulu Bressan</v>
      </c>
      <c r="Q596" s="6" t="str">
        <f>IFERROR(__xludf.DUMMYFUNCTION("""COMPUTED_VALUE"""),"MS")</f>
        <v>MS</v>
      </c>
      <c r="R596" s="6">
        <f>IFERROR(__xludf.DUMMYFUNCTION("""COMPUTED_VALUE"""),0.0)</f>
        <v>0</v>
      </c>
      <c r="S596" s="6" t="str">
        <f>IFERROR(__xludf.DUMMYFUNCTION("""COMPUTED_VALUE"""),"Lauren Hammond")</f>
        <v>Lauren Hammond</v>
      </c>
      <c r="T596" s="6" t="str">
        <f>IFERROR(__xludf.DUMMYFUNCTION("""COMPUTED_VALUE"""),"lauren.hammond@alpha.school")</f>
        <v>lauren.hammond@alpha.school</v>
      </c>
      <c r="U596" s="6" t="str">
        <f>IFERROR(__xludf.DUMMYFUNCTION("""COMPUTED_VALUE"""),"8")</f>
        <v>8</v>
      </c>
      <c r="V596" s="6" t="str">
        <f>IFERROR(__xludf.DUMMYFUNCTION("""COMPUTED_VALUE"""),"")</f>
        <v/>
      </c>
      <c r="W596" s="6" t="str">
        <f>IFERROR(__xludf.DUMMYFUNCTION("""COMPUTED_VALUE"""),"[]")</f>
        <v>[]</v>
      </c>
      <c r="X596" s="6" t="str">
        <f>IFERROR(__xludf.DUMMYFUNCTION("""COMPUTED_VALUE"""),"Enrolled")</f>
        <v>Enrolled</v>
      </c>
    </row>
    <row r="597">
      <c r="A597" s="6" t="str">
        <f>IFERROR(__xludf.DUMMYFUNCTION("""COMPUTED_VALUE"""),"001-0580")</f>
        <v>001-0580</v>
      </c>
      <c r="B597" s="6" t="str">
        <f>IFERROR(__xludf.DUMMYFUNCTION("""COMPUTED_VALUE"""),"1")</f>
        <v>1</v>
      </c>
      <c r="C597" s="6" t="str">
        <f>IFERROR(__xludf.DUMMYFUNCTION("""COMPUTED_VALUE"""),"0580")</f>
        <v>0580</v>
      </c>
      <c r="D597" s="6" t="str">
        <f>IFERROR(__xludf.DUMMYFUNCTION("""COMPUTED_VALUE"""),"Caleb")</f>
        <v>Caleb</v>
      </c>
      <c r="E597" s="6" t="str">
        <f>IFERROR(__xludf.DUMMYFUNCTION("""COMPUTED_VALUE"""),"Caleb")</f>
        <v>Caleb</v>
      </c>
      <c r="F597" s="6" t="str">
        <f>IFERROR(__xludf.DUMMYFUNCTION("""COMPUTED_VALUE"""),"Walker")</f>
        <v>Walker</v>
      </c>
      <c r="G597" s="6" t="str">
        <f>IFERROR(__xludf.DUMMYFUNCTION("""COMPUTED_VALUE"""),"02/06/2009")</f>
        <v>02/06/2009</v>
      </c>
      <c r="H597" s="6" t="str">
        <f>IFERROR(__xludf.DUMMYFUNCTION("""COMPUTED_VALUE"""),"male")</f>
        <v>male</v>
      </c>
      <c r="I597" s="6" t="str">
        <f>IFERROR(__xludf.DUMMYFUNCTION("""COMPUTED_VALUE"""),"High School")</f>
        <v>High School</v>
      </c>
      <c r="J597" s="6" t="str">
        <f>IFERROR(__xludf.DUMMYFUNCTION("""COMPUTED_VALUE"""),"11")</f>
        <v>11</v>
      </c>
      <c r="K597" s="6" t="str">
        <f>IFERROR(__xludf.DUMMYFUNCTION("""COMPUTED_VALUE"""),"caleb.walker@alpha.school")</f>
        <v>caleb.walker@alpha.school</v>
      </c>
      <c r="L597" s="6" t="str">
        <f>IFERROR(__xludf.DUMMYFUNCTION("""COMPUTED_VALUE"""),"Alpha High School")</f>
        <v>Alpha High School</v>
      </c>
      <c r="M597" s="6" t="str">
        <f>IFERROR(__xludf.DUMMYFUNCTION("""COMPUTED_VALUE"""),"")</f>
        <v/>
      </c>
      <c r="N597" s="6" t="str">
        <f>IFERROR(__xludf.DUMMYFUNCTION("""COMPUTED_VALUE"""),"")</f>
        <v/>
      </c>
      <c r="O597" s="87" t="str">
        <f>IFERROR(__xludf.DUMMYFUNCTION("""COMPUTED_VALUE"""),"https://drive.google.com/drive/folders/10T2cTQHqEJZqE-st6uFKPoI?usp=share_link")</f>
        <v>https://drive.google.com/drive/folders/10T2cTQHqEJZqE-st6uFKPoI?usp=share_link</v>
      </c>
      <c r="P597" s="6" t="str">
        <f>IFERROR(__xludf.DUMMYFUNCTION("""COMPUTED_VALUE"""),"Caleb Walker")</f>
        <v>Caleb Walker</v>
      </c>
      <c r="Q597" s="6" t="str">
        <f>IFERROR(__xludf.DUMMYFUNCTION("""COMPUTED_VALUE"""),"HS")</f>
        <v>HS</v>
      </c>
      <c r="R597" s="6">
        <f>IFERROR(__xludf.DUMMYFUNCTION("""COMPUTED_VALUE"""),0.0)</f>
        <v>0</v>
      </c>
      <c r="S597" s="6" t="str">
        <f>IFERROR(__xludf.DUMMYFUNCTION("""COMPUTED_VALUE"""),"Emily Findley")</f>
        <v>Emily Findley</v>
      </c>
      <c r="T597" s="6" t="str">
        <f>IFERROR(__xludf.DUMMYFUNCTION("""COMPUTED_VALUE"""),"emily.findley@alpha.school")</f>
        <v>emily.findley@alpha.school</v>
      </c>
      <c r="U597" s="6" t="str">
        <f>IFERROR(__xludf.DUMMYFUNCTION("""COMPUTED_VALUE"""),"11")</f>
        <v>11</v>
      </c>
      <c r="V597" s="6" t="str">
        <f>IFERROR(__xludf.DUMMYFUNCTION("""COMPUTED_VALUE"""),"")</f>
        <v/>
      </c>
      <c r="W597" s="6" t="str">
        <f>IFERROR(__xludf.DUMMYFUNCTION("""COMPUTED_VALUE"""),"[]")</f>
        <v>[]</v>
      </c>
      <c r="X597" s="6" t="str">
        <f>IFERROR(__xludf.DUMMYFUNCTION("""COMPUTED_VALUE"""),"Enrolled")</f>
        <v>Enrolled</v>
      </c>
    </row>
    <row r="598">
      <c r="A598" s="6" t="str">
        <f>IFERROR(__xludf.DUMMYFUNCTION("""COMPUTED_VALUE"""),"001-0598")</f>
        <v>001-0598</v>
      </c>
      <c r="B598" s="6" t="str">
        <f>IFERROR(__xludf.DUMMYFUNCTION("""COMPUTED_VALUE"""),"1")</f>
        <v>1</v>
      </c>
      <c r="C598" s="6" t="str">
        <f>IFERROR(__xludf.DUMMYFUNCTION("""COMPUTED_VALUE"""),"0598")</f>
        <v>0598</v>
      </c>
      <c r="D598" s="6" t="str">
        <f>IFERROR(__xludf.DUMMYFUNCTION("""COMPUTED_VALUE"""),"Rhys")</f>
        <v>Rhys</v>
      </c>
      <c r="E598" s="6" t="str">
        <f>IFERROR(__xludf.DUMMYFUNCTION("""COMPUTED_VALUE"""),"Rhys")</f>
        <v>Rhys</v>
      </c>
      <c r="F598" s="6" t="str">
        <f>IFERROR(__xludf.DUMMYFUNCTION("""COMPUTED_VALUE"""),"Björendahl")</f>
        <v>Björendahl</v>
      </c>
      <c r="G598" s="6" t="str">
        <f>IFERROR(__xludf.DUMMYFUNCTION("""COMPUTED_VALUE"""),"10/10/2011")</f>
        <v>10/10/2011</v>
      </c>
      <c r="H598" s="6" t="str">
        <f>IFERROR(__xludf.DUMMYFUNCTION("""COMPUTED_VALUE"""),"male")</f>
        <v>male</v>
      </c>
      <c r="I598" s="6" t="str">
        <f>IFERROR(__xludf.DUMMYFUNCTION("""COMPUTED_VALUE"""),"Middle School")</f>
        <v>Middle School</v>
      </c>
      <c r="J598" s="6" t="str">
        <f>IFERROR(__xludf.DUMMYFUNCTION("""COMPUTED_VALUE"""),"8")</f>
        <v>8</v>
      </c>
      <c r="K598" s="6" t="str">
        <f>IFERROR(__xludf.DUMMYFUNCTION("""COMPUTED_VALUE"""),"rhys.bjorendahl@alpha.school")</f>
        <v>rhys.bjorendahl@alpha.school</v>
      </c>
      <c r="L598" s="6" t="str">
        <f>IFERROR(__xludf.DUMMYFUNCTION("""COMPUTED_VALUE"""),"Alpha School Austin")</f>
        <v>Alpha School Austin</v>
      </c>
      <c r="M598" s="6" t="str">
        <f>IFERROR(__xludf.DUMMYFUNCTION("""COMPUTED_VALUE"""),"")</f>
        <v/>
      </c>
      <c r="N598" s="6" t="str">
        <f>IFERROR(__xludf.DUMMYFUNCTION("""COMPUTED_VALUE"""),"")</f>
        <v/>
      </c>
      <c r="O598" s="87" t="str">
        <f>IFERROR(__xludf.DUMMYFUNCTION("""COMPUTED_VALUE"""),"https://drive.google.com/drive/folders/10T2cTQHqEJZqE-st6uFKPoI?usp=share_link")</f>
        <v>https://drive.google.com/drive/folders/10T2cTQHqEJZqE-st6uFKPoI?usp=share_link</v>
      </c>
      <c r="P598" s="6" t="str">
        <f>IFERROR(__xludf.DUMMYFUNCTION("""COMPUTED_VALUE"""),"Rhys Björendahl")</f>
        <v>Rhys Björendahl</v>
      </c>
      <c r="Q598" s="6" t="str">
        <f>IFERROR(__xludf.DUMMYFUNCTION("""COMPUTED_VALUE"""),"MS")</f>
        <v>MS</v>
      </c>
      <c r="R598" s="6">
        <f>IFERROR(__xludf.DUMMYFUNCTION("""COMPUTED_VALUE"""),0.0)</f>
        <v>0</v>
      </c>
      <c r="S598" s="6" t="str">
        <f>IFERROR(__xludf.DUMMYFUNCTION("""COMPUTED_VALUE"""),"Jawaan Delaney")</f>
        <v>Jawaan Delaney</v>
      </c>
      <c r="T598" s="6" t="str">
        <f>IFERROR(__xludf.DUMMYFUNCTION("""COMPUTED_VALUE"""),"jawaan.delaney@alpha.school")</f>
        <v>jawaan.delaney@alpha.school</v>
      </c>
      <c r="U598" s="6" t="str">
        <f>IFERROR(__xludf.DUMMYFUNCTION("""COMPUTED_VALUE"""),"8")</f>
        <v>8</v>
      </c>
      <c r="V598" s="6" t="str">
        <f>IFERROR(__xludf.DUMMYFUNCTION("""COMPUTED_VALUE"""),"")</f>
        <v/>
      </c>
      <c r="W598" s="6" t="str">
        <f>IFERROR(__xludf.DUMMYFUNCTION("""COMPUTED_VALUE"""),"[]")</f>
        <v>[]</v>
      </c>
      <c r="X598" s="6" t="str">
        <f>IFERROR(__xludf.DUMMYFUNCTION("""COMPUTED_VALUE"""),"Enrolled")</f>
        <v>Enrolled</v>
      </c>
    </row>
    <row r="599">
      <c r="A599" s="6" t="str">
        <f>IFERROR(__xludf.DUMMYFUNCTION("""COMPUTED_VALUE"""),"001-0606")</f>
        <v>001-0606</v>
      </c>
      <c r="B599" s="6" t="str">
        <f>IFERROR(__xludf.DUMMYFUNCTION("""COMPUTED_VALUE"""),"1")</f>
        <v>1</v>
      </c>
      <c r="C599" s="6" t="str">
        <f>IFERROR(__xludf.DUMMYFUNCTION("""COMPUTED_VALUE"""),"0606")</f>
        <v>0606</v>
      </c>
      <c r="D599" s="6" t="str">
        <f>IFERROR(__xludf.DUMMYFUNCTION("""COMPUTED_VALUE"""),"Vivian")</f>
        <v>Vivian</v>
      </c>
      <c r="E599" s="6" t="str">
        <f>IFERROR(__xludf.DUMMYFUNCTION("""COMPUTED_VALUE"""),"Vivian")</f>
        <v>Vivian</v>
      </c>
      <c r="F599" s="6" t="str">
        <f>IFERROR(__xludf.DUMMYFUNCTION("""COMPUTED_VALUE"""),"Ajouz")</f>
        <v>Ajouz</v>
      </c>
      <c r="G599" s="6" t="str">
        <f>IFERROR(__xludf.DUMMYFUNCTION("""COMPUTED_VALUE"""),"06/10/2018")</f>
        <v>06/10/2018</v>
      </c>
      <c r="H599" s="6" t="str">
        <f>IFERROR(__xludf.DUMMYFUNCTION("""COMPUTED_VALUE"""),"female")</f>
        <v>female</v>
      </c>
      <c r="I599" s="6" t="str">
        <f>IFERROR(__xludf.DUMMYFUNCTION("""COMPUTED_VALUE"""),"Level 1")</f>
        <v>Level 1</v>
      </c>
      <c r="J599" s="6" t="str">
        <f>IFERROR(__xludf.DUMMYFUNCTION("""COMPUTED_VALUE"""),"2")</f>
        <v>2</v>
      </c>
      <c r="K599" s="6" t="str">
        <f>IFERROR(__xludf.DUMMYFUNCTION("""COMPUTED_VALUE"""),"vivian.ajouz@alpha.school")</f>
        <v>vivian.ajouz@alpha.school</v>
      </c>
      <c r="L599" s="6" t="str">
        <f>IFERROR(__xludf.DUMMYFUNCTION("""COMPUTED_VALUE"""),"Alpha School Austin")</f>
        <v>Alpha School Austin</v>
      </c>
      <c r="M599" s="6" t="str">
        <f>IFERROR(__xludf.DUMMYFUNCTION("""COMPUTED_VALUE"""),"")</f>
        <v/>
      </c>
      <c r="N599" s="6" t="str">
        <f>IFERROR(__xludf.DUMMYFUNCTION("""COMPUTED_VALUE"""),"")</f>
        <v/>
      </c>
      <c r="O599" s="87" t="str">
        <f>IFERROR(__xludf.DUMMYFUNCTION("""COMPUTED_VALUE"""),"https://drive.google.com/drive/folders/10T2cTQHqEJZqE-st6uFKPoI?usp=share_link")</f>
        <v>https://drive.google.com/drive/folders/10T2cTQHqEJZqE-st6uFKPoI?usp=share_link</v>
      </c>
      <c r="P599" s="6" t="str">
        <f>IFERROR(__xludf.DUMMYFUNCTION("""COMPUTED_VALUE"""),"Vivian Ajouz")</f>
        <v>Vivian Ajouz</v>
      </c>
      <c r="Q599" s="6" t="str">
        <f>IFERROR(__xludf.DUMMYFUNCTION("""COMPUTED_VALUE"""),"L1")</f>
        <v>L1</v>
      </c>
      <c r="R599" s="6">
        <f>IFERROR(__xludf.DUMMYFUNCTION("""COMPUTED_VALUE"""),1.0)</f>
        <v>1</v>
      </c>
      <c r="S599" s="6" t="str">
        <f>IFERROR(__xludf.DUMMYFUNCTION("""COMPUTED_VALUE"""),"Faith Crenshaw")</f>
        <v>Faith Crenshaw</v>
      </c>
      <c r="T599" s="6" t="str">
        <f>IFERROR(__xludf.DUMMYFUNCTION("""COMPUTED_VALUE"""),"faith.crenshaw@alpha.school")</f>
        <v>faith.crenshaw@alpha.school</v>
      </c>
      <c r="U599" s="6" t="str">
        <f>IFERROR(__xludf.DUMMYFUNCTION("""COMPUTED_VALUE"""),"2")</f>
        <v>2</v>
      </c>
      <c r="V599" s="6" t="str">
        <f>IFERROR(__xludf.DUMMYFUNCTION("""COMPUTED_VALUE"""),"")</f>
        <v/>
      </c>
      <c r="W599" s="6" t="str">
        <f>IFERROR(__xludf.DUMMYFUNCTION("""COMPUTED_VALUE"""),"[]")</f>
        <v>[]</v>
      </c>
      <c r="X599" s="6" t="str">
        <f>IFERROR(__xludf.DUMMYFUNCTION("""COMPUTED_VALUE"""),"Enrolled")</f>
        <v>Enrolled</v>
      </c>
    </row>
    <row r="600">
      <c r="A600" s="6" t="str">
        <f>IFERROR(__xludf.DUMMYFUNCTION("""COMPUTED_VALUE"""),"001-0607")</f>
        <v>001-0607</v>
      </c>
      <c r="B600" s="6" t="str">
        <f>IFERROR(__xludf.DUMMYFUNCTION("""COMPUTED_VALUE"""),"1")</f>
        <v>1</v>
      </c>
      <c r="C600" s="6" t="str">
        <f>IFERROR(__xludf.DUMMYFUNCTION("""COMPUTED_VALUE"""),"0607")</f>
        <v>0607</v>
      </c>
      <c r="D600" s="6" t="str">
        <f>IFERROR(__xludf.DUMMYFUNCTION("""COMPUTED_VALUE"""),"Rivers")</f>
        <v>Rivers</v>
      </c>
      <c r="E600" s="6" t="str">
        <f>IFERROR(__xludf.DUMMYFUNCTION("""COMPUTED_VALUE"""),"Rivers")</f>
        <v>Rivers</v>
      </c>
      <c r="F600" s="6" t="str">
        <f>IFERROR(__xludf.DUMMYFUNCTION("""COMPUTED_VALUE"""),"Yong")</f>
        <v>Yong</v>
      </c>
      <c r="G600" s="6" t="str">
        <f>IFERROR(__xludf.DUMMYFUNCTION("""COMPUTED_VALUE"""),"02/13/2017")</f>
        <v>02/13/2017</v>
      </c>
      <c r="H600" s="6" t="str">
        <f>IFERROR(__xludf.DUMMYFUNCTION("""COMPUTED_VALUE"""),"male")</f>
        <v>male</v>
      </c>
      <c r="I600" s="6" t="str">
        <f>IFERROR(__xludf.DUMMYFUNCTION("""COMPUTED_VALUE"""),"Level 1")</f>
        <v>Level 1</v>
      </c>
      <c r="J600" s="6" t="str">
        <f>IFERROR(__xludf.DUMMYFUNCTION("""COMPUTED_VALUE"""),"3")</f>
        <v>3</v>
      </c>
      <c r="K600" s="6" t="str">
        <f>IFERROR(__xludf.DUMMYFUNCTION("""COMPUTED_VALUE"""),"rivers.yong@alpha.school")</f>
        <v>rivers.yong@alpha.school</v>
      </c>
      <c r="L600" s="6" t="str">
        <f>IFERROR(__xludf.DUMMYFUNCTION("""COMPUTED_VALUE"""),"Alpha School Austin")</f>
        <v>Alpha School Austin</v>
      </c>
      <c r="M600" s="6" t="str">
        <f>IFERROR(__xludf.DUMMYFUNCTION("""COMPUTED_VALUE"""),"")</f>
        <v/>
      </c>
      <c r="N600" s="6" t="str">
        <f>IFERROR(__xludf.DUMMYFUNCTION("""COMPUTED_VALUE"""),"")</f>
        <v/>
      </c>
      <c r="O600" s="87" t="str">
        <f>IFERROR(__xludf.DUMMYFUNCTION("""COMPUTED_VALUE"""),"https://drive.google.com/drive/folders/10T2cTQHqEJZqE-st6uFKPoI?usp=share_link")</f>
        <v>https://drive.google.com/drive/folders/10T2cTQHqEJZqE-st6uFKPoI?usp=share_link</v>
      </c>
      <c r="P600" s="6" t="str">
        <f>IFERROR(__xludf.DUMMYFUNCTION("""COMPUTED_VALUE"""),"Rivers Yong")</f>
        <v>Rivers Yong</v>
      </c>
      <c r="Q600" s="6" t="str">
        <f>IFERROR(__xludf.DUMMYFUNCTION("""COMPUTED_VALUE"""),"L1")</f>
        <v>L1</v>
      </c>
      <c r="R600" s="6">
        <f>IFERROR(__xludf.DUMMYFUNCTION("""COMPUTED_VALUE"""),1.0)</f>
        <v>1</v>
      </c>
      <c r="S600" s="6" t="str">
        <f>IFERROR(__xludf.DUMMYFUNCTION("""COMPUTED_VALUE"""),"Zoe Zimmerman")</f>
        <v>Zoe Zimmerman</v>
      </c>
      <c r="T600" s="6" t="str">
        <f>IFERROR(__xludf.DUMMYFUNCTION("""COMPUTED_VALUE"""),"zoe.zimmerman@alpha.school")</f>
        <v>zoe.zimmerman@alpha.school</v>
      </c>
      <c r="U600" s="6" t="str">
        <f>IFERROR(__xludf.DUMMYFUNCTION("""COMPUTED_VALUE"""),"3")</f>
        <v>3</v>
      </c>
      <c r="V600" s="6" t="str">
        <f>IFERROR(__xludf.DUMMYFUNCTION("""COMPUTED_VALUE"""),"")</f>
        <v/>
      </c>
      <c r="W600" s="6" t="str">
        <f>IFERROR(__xludf.DUMMYFUNCTION("""COMPUTED_VALUE"""),"[]")</f>
        <v>[]</v>
      </c>
      <c r="X600" s="6" t="str">
        <f>IFERROR(__xludf.DUMMYFUNCTION("""COMPUTED_VALUE"""),"Enrolled")</f>
        <v>Enrolled</v>
      </c>
    </row>
    <row r="601">
      <c r="A601" s="6" t="str">
        <f>IFERROR(__xludf.DUMMYFUNCTION("""COMPUTED_VALUE"""),"001-0608")</f>
        <v>001-0608</v>
      </c>
      <c r="B601" s="6" t="str">
        <f>IFERROR(__xludf.DUMMYFUNCTION("""COMPUTED_VALUE"""),"1")</f>
        <v>1</v>
      </c>
      <c r="C601" s="6" t="str">
        <f>IFERROR(__xludf.DUMMYFUNCTION("""COMPUTED_VALUE"""),"0608")</f>
        <v>0608</v>
      </c>
      <c r="D601" s="6" t="str">
        <f>IFERROR(__xludf.DUMMYFUNCTION("""COMPUTED_VALUE"""),"Gia")</f>
        <v>Gia</v>
      </c>
      <c r="E601" s="6" t="str">
        <f>IFERROR(__xludf.DUMMYFUNCTION("""COMPUTED_VALUE"""),"Gia")</f>
        <v>Gia</v>
      </c>
      <c r="F601" s="6" t="str">
        <f>IFERROR(__xludf.DUMMYFUNCTION("""COMPUTED_VALUE"""),"Clark")</f>
        <v>Clark</v>
      </c>
      <c r="G601" s="6" t="str">
        <f>IFERROR(__xludf.DUMMYFUNCTION("""COMPUTED_VALUE"""),"01/15/2018")</f>
        <v>01/15/2018</v>
      </c>
      <c r="H601" s="6" t="str">
        <f>IFERROR(__xludf.DUMMYFUNCTION("""COMPUTED_VALUE"""),"female")</f>
        <v>female</v>
      </c>
      <c r="I601" s="6" t="str">
        <f>IFERROR(__xludf.DUMMYFUNCTION("""COMPUTED_VALUE"""),"Level 1")</f>
        <v>Level 1</v>
      </c>
      <c r="J601" s="6" t="str">
        <f>IFERROR(__xludf.DUMMYFUNCTION("""COMPUTED_VALUE"""),"2")</f>
        <v>2</v>
      </c>
      <c r="K601" s="6" t="str">
        <f>IFERROR(__xludf.DUMMYFUNCTION("""COMPUTED_VALUE"""),"gia.clark@alpha.school")</f>
        <v>gia.clark@alpha.school</v>
      </c>
      <c r="L601" s="6" t="str">
        <f>IFERROR(__xludf.DUMMYFUNCTION("""COMPUTED_VALUE"""),"Alpha School Austin")</f>
        <v>Alpha School Austin</v>
      </c>
      <c r="M601" s="6" t="str">
        <f>IFERROR(__xludf.DUMMYFUNCTION("""COMPUTED_VALUE"""),"")</f>
        <v/>
      </c>
      <c r="N601" s="6" t="str">
        <f>IFERROR(__xludf.DUMMYFUNCTION("""COMPUTED_VALUE"""),"")</f>
        <v/>
      </c>
      <c r="O601" s="87" t="str">
        <f>IFERROR(__xludf.DUMMYFUNCTION("""COMPUTED_VALUE"""),"https://drive.google.com/drive/folders/10T2cTQHqEJZqE-st6uFKPoI?usp=share_link")</f>
        <v>https://drive.google.com/drive/folders/10T2cTQHqEJZqE-st6uFKPoI?usp=share_link</v>
      </c>
      <c r="P601" s="6" t="str">
        <f>IFERROR(__xludf.DUMMYFUNCTION("""COMPUTED_VALUE"""),"Gia Clark")</f>
        <v>Gia Clark</v>
      </c>
      <c r="Q601" s="6" t="str">
        <f>IFERROR(__xludf.DUMMYFUNCTION("""COMPUTED_VALUE"""),"L1")</f>
        <v>L1</v>
      </c>
      <c r="R601" s="6">
        <f>IFERROR(__xludf.DUMMYFUNCTION("""COMPUTED_VALUE"""),1.0)</f>
        <v>1</v>
      </c>
      <c r="S601" s="6" t="str">
        <f>IFERROR(__xludf.DUMMYFUNCTION("""COMPUTED_VALUE"""),"Faith Crenshaw")</f>
        <v>Faith Crenshaw</v>
      </c>
      <c r="T601" s="6" t="str">
        <f>IFERROR(__xludf.DUMMYFUNCTION("""COMPUTED_VALUE"""),"faith.crenshaw@alpha.school")</f>
        <v>faith.crenshaw@alpha.school</v>
      </c>
      <c r="U601" s="6" t="str">
        <f>IFERROR(__xludf.DUMMYFUNCTION("""COMPUTED_VALUE"""),"2")</f>
        <v>2</v>
      </c>
      <c r="V601" s="6" t="str">
        <f>IFERROR(__xludf.DUMMYFUNCTION("""COMPUTED_VALUE"""),"")</f>
        <v/>
      </c>
      <c r="W601" s="6" t="str">
        <f>IFERROR(__xludf.DUMMYFUNCTION("""COMPUTED_VALUE"""),"[]")</f>
        <v>[]</v>
      </c>
      <c r="X601" s="6" t="str">
        <f>IFERROR(__xludf.DUMMYFUNCTION("""COMPUTED_VALUE"""),"Enrolled")</f>
        <v>Enrolled</v>
      </c>
    </row>
    <row r="602">
      <c r="A602" s="6" t="str">
        <f>IFERROR(__xludf.DUMMYFUNCTION("""COMPUTED_VALUE"""),"001-0614")</f>
        <v>001-0614</v>
      </c>
      <c r="B602" s="6" t="str">
        <f>IFERROR(__xludf.DUMMYFUNCTION("""COMPUTED_VALUE"""),"1")</f>
        <v>1</v>
      </c>
      <c r="C602" s="6" t="str">
        <f>IFERROR(__xludf.DUMMYFUNCTION("""COMPUTED_VALUE"""),"0614")</f>
        <v>0614</v>
      </c>
      <c r="D602" s="6" t="str">
        <f>IFERROR(__xludf.DUMMYFUNCTION("""COMPUTED_VALUE"""),"Blake")</f>
        <v>Blake</v>
      </c>
      <c r="E602" s="6" t="str">
        <f>IFERROR(__xludf.DUMMYFUNCTION("""COMPUTED_VALUE"""),"")</f>
        <v/>
      </c>
      <c r="F602" s="6" t="str">
        <f>IFERROR(__xludf.DUMMYFUNCTION("""COMPUTED_VALUE"""),"Price")</f>
        <v>Price</v>
      </c>
      <c r="G602" s="6" t="str">
        <f>IFERROR(__xludf.DUMMYFUNCTION("""COMPUTED_VALUE"""),"09/19/2018")</f>
        <v>09/19/2018</v>
      </c>
      <c r="H602" s="6" t="str">
        <f>IFERROR(__xludf.DUMMYFUNCTION("""COMPUTED_VALUE"""),"female")</f>
        <v>female</v>
      </c>
      <c r="I602" s="6" t="str">
        <f>IFERROR(__xludf.DUMMYFUNCTION("""COMPUTED_VALUE"""),"Level 1")</f>
        <v>Level 1</v>
      </c>
      <c r="J602" s="6" t="str">
        <f>IFERROR(__xludf.DUMMYFUNCTION("""COMPUTED_VALUE"""),"2")</f>
        <v>2</v>
      </c>
      <c r="K602" s="6" t="str">
        <f>IFERROR(__xludf.DUMMYFUNCTION("""COMPUTED_VALUE"""),"blake.price@alpha.school")</f>
        <v>blake.price@alpha.school</v>
      </c>
      <c r="L602" s="6" t="str">
        <f>IFERROR(__xludf.DUMMYFUNCTION("""COMPUTED_VALUE"""),"Alpha School Austin")</f>
        <v>Alpha School Austin</v>
      </c>
      <c r="M602" s="6" t="str">
        <f>IFERROR(__xludf.DUMMYFUNCTION("""COMPUTED_VALUE"""),"")</f>
        <v/>
      </c>
      <c r="N602" s="6" t="str">
        <f>IFERROR(__xludf.DUMMYFUNCTION("""COMPUTED_VALUE"""),"")</f>
        <v/>
      </c>
      <c r="O602" s="87" t="str">
        <f>IFERROR(__xludf.DUMMYFUNCTION("""COMPUTED_VALUE"""),"https://drive.google.com/drive/folders/10T2cTQHqEJZqE-st6uFKPoI?usp=share_link")</f>
        <v>https://drive.google.com/drive/folders/10T2cTQHqEJZqE-st6uFKPoI?usp=share_link</v>
      </c>
      <c r="P602" s="6" t="str">
        <f>IFERROR(__xludf.DUMMYFUNCTION("""COMPUTED_VALUE"""),"Blake Price")</f>
        <v>Blake Price</v>
      </c>
      <c r="Q602" s="6" t="str">
        <f>IFERROR(__xludf.DUMMYFUNCTION("""COMPUTED_VALUE"""),"L1")</f>
        <v>L1</v>
      </c>
      <c r="R602" s="6">
        <f>IFERROR(__xludf.DUMMYFUNCTION("""COMPUTED_VALUE"""),1.0)</f>
        <v>1</v>
      </c>
      <c r="S602" s="6" t="str">
        <f>IFERROR(__xludf.DUMMYFUNCTION("""COMPUTED_VALUE"""),"Camren Allred")</f>
        <v>Camren Allred</v>
      </c>
      <c r="T602" s="6" t="str">
        <f>IFERROR(__xludf.DUMMYFUNCTION("""COMPUTED_VALUE"""),"camren.allred@alpha.school")</f>
        <v>camren.allred@alpha.school</v>
      </c>
      <c r="U602" s="6" t="str">
        <f>IFERROR(__xludf.DUMMYFUNCTION("""COMPUTED_VALUE"""),"2")</f>
        <v>2</v>
      </c>
      <c r="V602" s="6" t="str">
        <f>IFERROR(__xludf.DUMMYFUNCTION("""COMPUTED_VALUE"""),"")</f>
        <v/>
      </c>
      <c r="W602" s="6" t="str">
        <f>IFERROR(__xludf.DUMMYFUNCTION("""COMPUTED_VALUE"""),"[]")</f>
        <v>[]</v>
      </c>
      <c r="X602" s="6" t="str">
        <f>IFERROR(__xludf.DUMMYFUNCTION("""COMPUTED_VALUE"""),"Enrolled")</f>
        <v>Enrolled</v>
      </c>
    </row>
    <row r="603">
      <c r="A603" s="6" t="str">
        <f>IFERROR(__xludf.DUMMYFUNCTION("""COMPUTED_VALUE"""),"001-0615")</f>
        <v>001-0615</v>
      </c>
      <c r="B603" s="6" t="str">
        <f>IFERROR(__xludf.DUMMYFUNCTION("""COMPUTED_VALUE"""),"1")</f>
        <v>1</v>
      </c>
      <c r="C603" s="6" t="str">
        <f>IFERROR(__xludf.DUMMYFUNCTION("""COMPUTED_VALUE"""),"0615")</f>
        <v>0615</v>
      </c>
      <c r="D603" s="6" t="str">
        <f>IFERROR(__xludf.DUMMYFUNCTION("""COMPUTED_VALUE"""),"Nour")</f>
        <v>Nour</v>
      </c>
      <c r="E603" s="6" t="str">
        <f>IFERROR(__xludf.DUMMYFUNCTION("""COMPUTED_VALUE"""),"Nour")</f>
        <v>Nour</v>
      </c>
      <c r="F603" s="6" t="str">
        <f>IFERROR(__xludf.DUMMYFUNCTION("""COMPUTED_VALUE"""),"Romman")</f>
        <v>Romman</v>
      </c>
      <c r="G603" s="6" t="str">
        <f>IFERROR(__xludf.DUMMYFUNCTION("""COMPUTED_VALUE"""),"05/16/2017")</f>
        <v>05/16/2017</v>
      </c>
      <c r="H603" s="6" t="str">
        <f>IFERROR(__xludf.DUMMYFUNCTION("""COMPUTED_VALUE"""),"female")</f>
        <v>female</v>
      </c>
      <c r="I603" s="6" t="str">
        <f>IFERROR(__xludf.DUMMYFUNCTION("""COMPUTED_VALUE"""),"Level 1")</f>
        <v>Level 1</v>
      </c>
      <c r="J603" s="6" t="str">
        <f>IFERROR(__xludf.DUMMYFUNCTION("""COMPUTED_VALUE"""),"3")</f>
        <v>3</v>
      </c>
      <c r="K603" s="6" t="str">
        <f>IFERROR(__xludf.DUMMYFUNCTION("""COMPUTED_VALUE"""),"nour.romman@alpha.school")</f>
        <v>nour.romman@alpha.school</v>
      </c>
      <c r="L603" s="6" t="str">
        <f>IFERROR(__xludf.DUMMYFUNCTION("""COMPUTED_VALUE"""),"Alpha School Austin")</f>
        <v>Alpha School Austin</v>
      </c>
      <c r="M603" s="6" t="str">
        <f>IFERROR(__xludf.DUMMYFUNCTION("""COMPUTED_VALUE"""),"")</f>
        <v/>
      </c>
      <c r="N603" s="6" t="str">
        <f>IFERROR(__xludf.DUMMYFUNCTION("""COMPUTED_VALUE"""),"")</f>
        <v/>
      </c>
      <c r="O603" s="87" t="str">
        <f>IFERROR(__xludf.DUMMYFUNCTION("""COMPUTED_VALUE"""),"https://drive.google.com/drive/folders/10T2cTQHqEJZqE-st6uFKPoI?usp=share_link")</f>
        <v>https://drive.google.com/drive/folders/10T2cTQHqEJZqE-st6uFKPoI?usp=share_link</v>
      </c>
      <c r="P603" s="6" t="str">
        <f>IFERROR(__xludf.DUMMYFUNCTION("""COMPUTED_VALUE"""),"Nour Romman")</f>
        <v>Nour Romman</v>
      </c>
      <c r="Q603" s="6" t="str">
        <f>IFERROR(__xludf.DUMMYFUNCTION("""COMPUTED_VALUE"""),"L1")</f>
        <v>L1</v>
      </c>
      <c r="R603" s="6">
        <f>IFERROR(__xludf.DUMMYFUNCTION("""COMPUTED_VALUE"""),1.0)</f>
        <v>1</v>
      </c>
      <c r="S603" s="6" t="str">
        <f>IFERROR(__xludf.DUMMYFUNCTION("""COMPUTED_VALUE"""),"Camren Allred")</f>
        <v>Camren Allred</v>
      </c>
      <c r="T603" s="6" t="str">
        <f>IFERROR(__xludf.DUMMYFUNCTION("""COMPUTED_VALUE"""),"camren.allred@alpha.school")</f>
        <v>camren.allred@alpha.school</v>
      </c>
      <c r="U603" s="6" t="str">
        <f>IFERROR(__xludf.DUMMYFUNCTION("""COMPUTED_VALUE"""),"3")</f>
        <v>3</v>
      </c>
      <c r="V603" s="6" t="str">
        <f>IFERROR(__xludf.DUMMYFUNCTION("""COMPUTED_VALUE"""),"")</f>
        <v/>
      </c>
      <c r="W603" s="6" t="str">
        <f>IFERROR(__xludf.DUMMYFUNCTION("""COMPUTED_VALUE"""),"[]")</f>
        <v>[]</v>
      </c>
      <c r="X603" s="6" t="str">
        <f>IFERROR(__xludf.DUMMYFUNCTION("""COMPUTED_VALUE"""),"Enrolled")</f>
        <v>Enrolled</v>
      </c>
    </row>
    <row r="604">
      <c r="A604" s="6" t="str">
        <f>IFERROR(__xludf.DUMMYFUNCTION("""COMPUTED_VALUE"""),"001-0617")</f>
        <v>001-0617</v>
      </c>
      <c r="B604" s="6" t="str">
        <f>IFERROR(__xludf.DUMMYFUNCTION("""COMPUTED_VALUE"""),"1")</f>
        <v>1</v>
      </c>
      <c r="C604" s="6" t="str">
        <f>IFERROR(__xludf.DUMMYFUNCTION("""COMPUTED_VALUE"""),"0617")</f>
        <v>0617</v>
      </c>
      <c r="D604" s="6" t="str">
        <f>IFERROR(__xludf.DUMMYFUNCTION("""COMPUTED_VALUE"""),"Kira")</f>
        <v>Kira</v>
      </c>
      <c r="E604" s="6" t="str">
        <f>IFERROR(__xludf.DUMMYFUNCTION("""COMPUTED_VALUE"""),"Kira")</f>
        <v>Kira</v>
      </c>
      <c r="F604" s="6" t="str">
        <f>IFERROR(__xludf.DUMMYFUNCTION("""COMPUTED_VALUE"""),"Fuerst")</f>
        <v>Fuerst</v>
      </c>
      <c r="G604" s="6" t="str">
        <f>IFERROR(__xludf.DUMMYFUNCTION("""COMPUTED_VALUE"""),"10/20/2014")</f>
        <v>10/20/2014</v>
      </c>
      <c r="H604" s="6" t="str">
        <f>IFERROR(__xludf.DUMMYFUNCTION("""COMPUTED_VALUE"""),"female")</f>
        <v>female</v>
      </c>
      <c r="I604" s="6" t="str">
        <f>IFERROR(__xludf.DUMMYFUNCTION("""COMPUTED_VALUE"""),"Level 2")</f>
        <v>Level 2</v>
      </c>
      <c r="J604" s="6" t="str">
        <f>IFERROR(__xludf.DUMMYFUNCTION("""COMPUTED_VALUE"""),"5")</f>
        <v>5</v>
      </c>
      <c r="K604" s="6" t="str">
        <f>IFERROR(__xludf.DUMMYFUNCTION("""COMPUTED_VALUE"""),"kira.fuerst@alpha.school")</f>
        <v>kira.fuerst@alpha.school</v>
      </c>
      <c r="L604" s="6" t="str">
        <f>IFERROR(__xludf.DUMMYFUNCTION("""COMPUTED_VALUE"""),"Alpha School Austin")</f>
        <v>Alpha School Austin</v>
      </c>
      <c r="M604" s="6" t="str">
        <f>IFERROR(__xludf.DUMMYFUNCTION("""COMPUTED_VALUE"""),"")</f>
        <v/>
      </c>
      <c r="N604" s="6" t="str">
        <f>IFERROR(__xludf.DUMMYFUNCTION("""COMPUTED_VALUE"""),"")</f>
        <v/>
      </c>
      <c r="O604" s="87" t="str">
        <f>IFERROR(__xludf.DUMMYFUNCTION("""COMPUTED_VALUE"""),"https://drive.google.com/drive/folders/10T2cTQHqEJZqE-st6uFKPoI?usp=share_link")</f>
        <v>https://drive.google.com/drive/folders/10T2cTQHqEJZqE-st6uFKPoI?usp=share_link</v>
      </c>
      <c r="P604" s="6" t="str">
        <f>IFERROR(__xludf.DUMMYFUNCTION("""COMPUTED_VALUE"""),"Kira Fuerst")</f>
        <v>Kira Fuerst</v>
      </c>
      <c r="Q604" s="6" t="str">
        <f>IFERROR(__xludf.DUMMYFUNCTION("""COMPUTED_VALUE"""),"L2")</f>
        <v>L2</v>
      </c>
      <c r="R604" s="6">
        <f>IFERROR(__xludf.DUMMYFUNCTION("""COMPUTED_VALUE"""),2.0)</f>
        <v>2</v>
      </c>
      <c r="S604" s="6" t="str">
        <f>IFERROR(__xludf.DUMMYFUNCTION("""COMPUTED_VALUE"""),"Alex Cruz")</f>
        <v>Alex Cruz</v>
      </c>
      <c r="T604" s="6" t="str">
        <f>IFERROR(__xludf.DUMMYFUNCTION("""COMPUTED_VALUE"""),"alex.cruz@sportsacademy.school")</f>
        <v>alex.cruz@sportsacademy.school</v>
      </c>
      <c r="U604" s="6" t="str">
        <f>IFERROR(__xludf.DUMMYFUNCTION("""COMPUTED_VALUE"""),"5")</f>
        <v>5</v>
      </c>
      <c r="V604" s="6" t="str">
        <f>IFERROR(__xludf.DUMMYFUNCTION("""COMPUTED_VALUE"""),"")</f>
        <v/>
      </c>
      <c r="W604" s="6" t="str">
        <f>IFERROR(__xludf.DUMMYFUNCTION("""COMPUTED_VALUE"""),"[]")</f>
        <v>[]</v>
      </c>
      <c r="X604" s="6" t="str">
        <f>IFERROR(__xludf.DUMMYFUNCTION("""COMPUTED_VALUE"""),"Enrolled")</f>
        <v>Enrolled</v>
      </c>
    </row>
    <row r="605">
      <c r="A605" s="6" t="str">
        <f>IFERROR(__xludf.DUMMYFUNCTION("""COMPUTED_VALUE"""),"001-0626")</f>
        <v>001-0626</v>
      </c>
      <c r="B605" s="6" t="str">
        <f>IFERROR(__xludf.DUMMYFUNCTION("""COMPUTED_VALUE"""),"1")</f>
        <v>1</v>
      </c>
      <c r="C605" s="6" t="str">
        <f>IFERROR(__xludf.DUMMYFUNCTION("""COMPUTED_VALUE"""),"0626")</f>
        <v>0626</v>
      </c>
      <c r="D605" s="6" t="str">
        <f>IFERROR(__xludf.DUMMYFUNCTION("""COMPUTED_VALUE"""),"Odeya")</f>
        <v>Odeya</v>
      </c>
      <c r="E605" s="6" t="str">
        <f>IFERROR(__xludf.DUMMYFUNCTION("""COMPUTED_VALUE"""),"Odeya")</f>
        <v>Odeya</v>
      </c>
      <c r="F605" s="6" t="str">
        <f>IFERROR(__xludf.DUMMYFUNCTION("""COMPUTED_VALUE"""),"Shinar")</f>
        <v>Shinar</v>
      </c>
      <c r="G605" s="6" t="str">
        <f>IFERROR(__xludf.DUMMYFUNCTION("""COMPUTED_VALUE"""),"12/14/2018")</f>
        <v>12/14/2018</v>
      </c>
      <c r="H605" s="6" t="str">
        <f>IFERROR(__xludf.DUMMYFUNCTION("""COMPUTED_VALUE"""),"female")</f>
        <v>female</v>
      </c>
      <c r="I605" s="6" t="str">
        <f>IFERROR(__xludf.DUMMYFUNCTION("""COMPUTED_VALUE"""),"Level 1")</f>
        <v>Level 1</v>
      </c>
      <c r="J605" s="6" t="str">
        <f>IFERROR(__xludf.DUMMYFUNCTION("""COMPUTED_VALUE"""),"2")</f>
        <v>2</v>
      </c>
      <c r="K605" s="6" t="str">
        <f>IFERROR(__xludf.DUMMYFUNCTION("""COMPUTED_VALUE"""),"odeya.shinar@alpha.school")</f>
        <v>odeya.shinar@alpha.school</v>
      </c>
      <c r="L605" s="6" t="str">
        <f>IFERROR(__xludf.DUMMYFUNCTION("""COMPUTED_VALUE"""),"Alpha School Austin")</f>
        <v>Alpha School Austin</v>
      </c>
      <c r="M605" s="6" t="str">
        <f>IFERROR(__xludf.DUMMYFUNCTION("""COMPUTED_VALUE"""),"")</f>
        <v/>
      </c>
      <c r="N605" s="6" t="str">
        <f>IFERROR(__xludf.DUMMYFUNCTION("""COMPUTED_VALUE"""),"")</f>
        <v/>
      </c>
      <c r="O605" s="87" t="str">
        <f>IFERROR(__xludf.DUMMYFUNCTION("""COMPUTED_VALUE"""),"https://drive.google.com/drive/folders/10T2cTQHqEJZqE-st6uFKPoI?usp=share_link")</f>
        <v>https://drive.google.com/drive/folders/10T2cTQHqEJZqE-st6uFKPoI?usp=share_link</v>
      </c>
      <c r="P605" s="6" t="str">
        <f>IFERROR(__xludf.DUMMYFUNCTION("""COMPUTED_VALUE"""),"Odeya Shinar")</f>
        <v>Odeya Shinar</v>
      </c>
      <c r="Q605" s="6" t="str">
        <f>IFERROR(__xludf.DUMMYFUNCTION("""COMPUTED_VALUE"""),"L1")</f>
        <v>L1</v>
      </c>
      <c r="R605" s="6">
        <f>IFERROR(__xludf.DUMMYFUNCTION("""COMPUTED_VALUE"""),1.0)</f>
        <v>1</v>
      </c>
      <c r="S605" s="6" t="str">
        <f>IFERROR(__xludf.DUMMYFUNCTION("""COMPUTED_VALUE"""),"Tanya Parker")</f>
        <v>Tanya Parker</v>
      </c>
      <c r="T605" s="6" t="str">
        <f>IFERROR(__xludf.DUMMYFUNCTION("""COMPUTED_VALUE"""),"tanya.parker@alpha.school")</f>
        <v>tanya.parker@alpha.school</v>
      </c>
      <c r="U605" s="6" t="str">
        <f>IFERROR(__xludf.DUMMYFUNCTION("""COMPUTED_VALUE"""),"2")</f>
        <v>2</v>
      </c>
      <c r="V605" s="6" t="str">
        <f>IFERROR(__xludf.DUMMYFUNCTION("""COMPUTED_VALUE"""),"")</f>
        <v/>
      </c>
      <c r="W605" s="6" t="str">
        <f>IFERROR(__xludf.DUMMYFUNCTION("""COMPUTED_VALUE"""),"[]")</f>
        <v>[]</v>
      </c>
      <c r="X605" s="6" t="str">
        <f>IFERROR(__xludf.DUMMYFUNCTION("""COMPUTED_VALUE"""),"Enrolled")</f>
        <v>Enrolled</v>
      </c>
    </row>
    <row r="606">
      <c r="A606" s="6" t="str">
        <f>IFERROR(__xludf.DUMMYFUNCTION("""COMPUTED_VALUE"""),"001-0634")</f>
        <v>001-0634</v>
      </c>
      <c r="B606" s="6" t="str">
        <f>IFERROR(__xludf.DUMMYFUNCTION("""COMPUTED_VALUE"""),"1")</f>
        <v>1</v>
      </c>
      <c r="C606" s="6" t="str">
        <f>IFERROR(__xludf.DUMMYFUNCTION("""COMPUTED_VALUE"""),"0634")</f>
        <v>0634</v>
      </c>
      <c r="D606" s="6" t="str">
        <f>IFERROR(__xludf.DUMMYFUNCTION("""COMPUTED_VALUE"""),"David")</f>
        <v>David</v>
      </c>
      <c r="E606" s="6" t="str">
        <f>IFERROR(__xludf.DUMMYFUNCTION("""COMPUTED_VALUE"""),"")</f>
        <v/>
      </c>
      <c r="F606" s="6" t="str">
        <f>IFERROR(__xludf.DUMMYFUNCTION("""COMPUTED_VALUE"""),"Nolan")</f>
        <v>Nolan</v>
      </c>
      <c r="G606" s="6" t="str">
        <f>IFERROR(__xludf.DUMMYFUNCTION("""COMPUTED_VALUE"""),"10/21/2015")</f>
        <v>10/21/2015</v>
      </c>
      <c r="H606" s="6" t="str">
        <f>IFERROR(__xludf.DUMMYFUNCTION("""COMPUTED_VALUE"""),"male")</f>
        <v>male</v>
      </c>
      <c r="I606" s="6" t="str">
        <f>IFERROR(__xludf.DUMMYFUNCTION("""COMPUTED_VALUE"""),"Level 2")</f>
        <v>Level 2</v>
      </c>
      <c r="J606" s="6" t="str">
        <f>IFERROR(__xludf.DUMMYFUNCTION("""COMPUTED_VALUE"""),"4")</f>
        <v>4</v>
      </c>
      <c r="K606" s="6" t="str">
        <f>IFERROR(__xludf.DUMMYFUNCTION("""COMPUTED_VALUE"""),"david.nolan@alpha.school")</f>
        <v>david.nolan@alpha.school</v>
      </c>
      <c r="L606" s="6" t="str">
        <f>IFERROR(__xludf.DUMMYFUNCTION("""COMPUTED_VALUE"""),"Alpha School Austin")</f>
        <v>Alpha School Austin</v>
      </c>
      <c r="M606" s="6" t="str">
        <f>IFERROR(__xludf.DUMMYFUNCTION("""COMPUTED_VALUE"""),"")</f>
        <v/>
      </c>
      <c r="N606" s="6" t="str">
        <f>IFERROR(__xludf.DUMMYFUNCTION("""COMPUTED_VALUE"""),"")</f>
        <v/>
      </c>
      <c r="O606" s="87" t="str">
        <f>IFERROR(__xludf.DUMMYFUNCTION("""COMPUTED_VALUE"""),"https://drive.google.com/drive/folders/10T2cTQHqEJZqE-st6uFKPoI?usp=share_link")</f>
        <v>https://drive.google.com/drive/folders/10T2cTQHqEJZqE-st6uFKPoI?usp=share_link</v>
      </c>
      <c r="P606" s="6" t="str">
        <f>IFERROR(__xludf.DUMMYFUNCTION("""COMPUTED_VALUE"""),"David Nolan")</f>
        <v>David Nolan</v>
      </c>
      <c r="Q606" s="6" t="str">
        <f>IFERROR(__xludf.DUMMYFUNCTION("""COMPUTED_VALUE"""),"L2")</f>
        <v>L2</v>
      </c>
      <c r="R606" s="6">
        <f>IFERROR(__xludf.DUMMYFUNCTION("""COMPUTED_VALUE"""),2.0)</f>
        <v>2</v>
      </c>
      <c r="S606" s="6" t="str">
        <f>IFERROR(__xludf.DUMMYFUNCTION("""COMPUTED_VALUE"""),"Luke Phillips")</f>
        <v>Luke Phillips</v>
      </c>
      <c r="T606" s="6" t="str">
        <f>IFERROR(__xludf.DUMMYFUNCTION("""COMPUTED_VALUE"""),"luke.phillips@alpha.school")</f>
        <v>luke.phillips@alpha.school</v>
      </c>
      <c r="U606" s="6" t="str">
        <f>IFERROR(__xludf.DUMMYFUNCTION("""COMPUTED_VALUE"""),"4")</f>
        <v>4</v>
      </c>
      <c r="V606" s="6" t="str">
        <f>IFERROR(__xludf.DUMMYFUNCTION("""COMPUTED_VALUE"""),"")</f>
        <v/>
      </c>
      <c r="W606" s="6" t="str">
        <f>IFERROR(__xludf.DUMMYFUNCTION("""COMPUTED_VALUE"""),"[]")</f>
        <v>[]</v>
      </c>
      <c r="X606" s="6" t="str">
        <f>IFERROR(__xludf.DUMMYFUNCTION("""COMPUTED_VALUE"""),"Enrolled")</f>
        <v>Enrolled</v>
      </c>
    </row>
    <row r="607">
      <c r="A607" s="6" t="str">
        <f>IFERROR(__xludf.DUMMYFUNCTION("""COMPUTED_VALUE"""),"001-0635")</f>
        <v>001-0635</v>
      </c>
      <c r="B607" s="6" t="str">
        <f>IFERROR(__xludf.DUMMYFUNCTION("""COMPUTED_VALUE"""),"1")</f>
        <v>1</v>
      </c>
      <c r="C607" s="6" t="str">
        <f>IFERROR(__xludf.DUMMYFUNCTION("""COMPUTED_VALUE"""),"0635")</f>
        <v>0635</v>
      </c>
      <c r="D607" s="6" t="str">
        <f>IFERROR(__xludf.DUMMYFUNCTION("""COMPUTED_VALUE"""),"Bandon")</f>
        <v>Bandon</v>
      </c>
      <c r="E607" s="6" t="str">
        <f>IFERROR(__xludf.DUMMYFUNCTION("""COMPUTED_VALUE"""),"Bandon")</f>
        <v>Bandon</v>
      </c>
      <c r="F607" s="6" t="str">
        <f>IFERROR(__xludf.DUMMYFUNCTION("""COMPUTED_VALUE"""),"Peterson")</f>
        <v>Peterson</v>
      </c>
      <c r="G607" s="6" t="str">
        <f>IFERROR(__xludf.DUMMYFUNCTION("""COMPUTED_VALUE"""),"06/17/2018")</f>
        <v>06/17/2018</v>
      </c>
      <c r="H607" s="6" t="str">
        <f>IFERROR(__xludf.DUMMYFUNCTION("""COMPUTED_VALUE"""),"male")</f>
        <v>male</v>
      </c>
      <c r="I607" s="6" t="str">
        <f>IFERROR(__xludf.DUMMYFUNCTION("""COMPUTED_VALUE"""),"Learning Lab")</f>
        <v>Learning Lab</v>
      </c>
      <c r="J607" s="6" t="str">
        <f>IFERROR(__xludf.DUMMYFUNCTION("""COMPUTED_VALUE"""),"1")</f>
        <v>1</v>
      </c>
      <c r="K607" s="6" t="str">
        <f>IFERROR(__xludf.DUMMYFUNCTION("""COMPUTED_VALUE"""),"bandon.peterson@alpha.school")</f>
        <v>bandon.peterson@alpha.school</v>
      </c>
      <c r="L607" s="6" t="str">
        <f>IFERROR(__xludf.DUMMYFUNCTION("""COMPUTED_VALUE"""),"Alpha School Austin")</f>
        <v>Alpha School Austin</v>
      </c>
      <c r="M607" s="6" t="str">
        <f>IFERROR(__xludf.DUMMYFUNCTION("""COMPUTED_VALUE"""),"")</f>
        <v/>
      </c>
      <c r="N607" s="6" t="str">
        <f>IFERROR(__xludf.DUMMYFUNCTION("""COMPUTED_VALUE"""),"")</f>
        <v/>
      </c>
      <c r="O607" s="87" t="str">
        <f>IFERROR(__xludf.DUMMYFUNCTION("""COMPUTED_VALUE"""),"https://drive.google.com/drive/folders/10T2cTQHqEJZqE-st6uFKPoI?usp=share_link")</f>
        <v>https://drive.google.com/drive/folders/10T2cTQHqEJZqE-st6uFKPoI?usp=share_link</v>
      </c>
      <c r="P607" s="6" t="str">
        <f>IFERROR(__xludf.DUMMYFUNCTION("""COMPUTED_VALUE"""),"Bandon Peterson")</f>
        <v>Bandon Peterson</v>
      </c>
      <c r="Q607" s="6" t="str">
        <f>IFERROR(__xludf.DUMMYFUNCTION("""COMPUTED_VALUE"""),"LL")</f>
        <v>LL</v>
      </c>
      <c r="R607" s="6">
        <f>IFERROR(__xludf.DUMMYFUNCTION("""COMPUTED_VALUE"""),0.0)</f>
        <v>0</v>
      </c>
      <c r="S607" s="6" t="str">
        <f>IFERROR(__xludf.DUMMYFUNCTION("""COMPUTED_VALUE"""),"Charity Villegas")</f>
        <v>Charity Villegas</v>
      </c>
      <c r="T607" s="6" t="str">
        <f>IFERROR(__xludf.DUMMYFUNCTION("""COMPUTED_VALUE"""),"charity.villegas@alpha.school")</f>
        <v>charity.villegas@alpha.school</v>
      </c>
      <c r="U607" s="6" t="str">
        <f>IFERROR(__xludf.DUMMYFUNCTION("""COMPUTED_VALUE"""),"1")</f>
        <v>1</v>
      </c>
      <c r="V607" s="6" t="str">
        <f>IFERROR(__xludf.DUMMYFUNCTION("""COMPUTED_VALUE"""),"")</f>
        <v/>
      </c>
      <c r="W607" s="6" t="str">
        <f>IFERROR(__xludf.DUMMYFUNCTION("""COMPUTED_VALUE"""),"[]")</f>
        <v>[]</v>
      </c>
      <c r="X607" s="6" t="str">
        <f>IFERROR(__xludf.DUMMYFUNCTION("""COMPUTED_VALUE"""),"Enrolled")</f>
        <v>Enrolled</v>
      </c>
    </row>
    <row r="608">
      <c r="A608" s="6" t="str">
        <f>IFERROR(__xludf.DUMMYFUNCTION("""COMPUTED_VALUE"""),"001-0636")</f>
        <v>001-0636</v>
      </c>
      <c r="B608" s="6" t="str">
        <f>IFERROR(__xludf.DUMMYFUNCTION("""COMPUTED_VALUE"""),"1")</f>
        <v>1</v>
      </c>
      <c r="C608" s="6" t="str">
        <f>IFERROR(__xludf.DUMMYFUNCTION("""COMPUTED_VALUE"""),"0636")</f>
        <v>0636</v>
      </c>
      <c r="D608" s="6" t="str">
        <f>IFERROR(__xludf.DUMMYFUNCTION("""COMPUTED_VALUE"""),"William")</f>
        <v>William</v>
      </c>
      <c r="E608" s="6" t="str">
        <f>IFERROR(__xludf.DUMMYFUNCTION("""COMPUTED_VALUE"""),"")</f>
        <v/>
      </c>
      <c r="F608" s="6" t="str">
        <f>IFERROR(__xludf.DUMMYFUNCTION("""COMPUTED_VALUE"""),"Nolan")</f>
        <v>Nolan</v>
      </c>
      <c r="G608" s="6" t="str">
        <f>IFERROR(__xludf.DUMMYFUNCTION("""COMPUTED_VALUE"""),"06/01/2018")</f>
        <v>06/01/2018</v>
      </c>
      <c r="H608" s="6" t="str">
        <f>IFERROR(__xludf.DUMMYFUNCTION("""COMPUTED_VALUE"""),"male")</f>
        <v>male</v>
      </c>
      <c r="I608" s="6" t="str">
        <f>IFERROR(__xludf.DUMMYFUNCTION("""COMPUTED_VALUE"""),"Level 1")</f>
        <v>Level 1</v>
      </c>
      <c r="J608" s="6" t="str">
        <f>IFERROR(__xludf.DUMMYFUNCTION("""COMPUTED_VALUE"""),"2")</f>
        <v>2</v>
      </c>
      <c r="K608" s="6" t="str">
        <f>IFERROR(__xludf.DUMMYFUNCTION("""COMPUTED_VALUE"""),"william.nolan@alpha.school")</f>
        <v>william.nolan@alpha.school</v>
      </c>
      <c r="L608" s="6" t="str">
        <f>IFERROR(__xludf.DUMMYFUNCTION("""COMPUTED_VALUE"""),"Alpha School Austin")</f>
        <v>Alpha School Austin</v>
      </c>
      <c r="M608" s="6" t="str">
        <f>IFERROR(__xludf.DUMMYFUNCTION("""COMPUTED_VALUE"""),"")</f>
        <v/>
      </c>
      <c r="N608" s="6" t="str">
        <f>IFERROR(__xludf.DUMMYFUNCTION("""COMPUTED_VALUE"""),"")</f>
        <v/>
      </c>
      <c r="O608" s="87" t="str">
        <f>IFERROR(__xludf.DUMMYFUNCTION("""COMPUTED_VALUE"""),"https://drive.google.com/drive/folders/10T2cTQHqEJZqE-st6uFKPoI?usp=share_link")</f>
        <v>https://drive.google.com/drive/folders/10T2cTQHqEJZqE-st6uFKPoI?usp=share_link</v>
      </c>
      <c r="P608" s="6" t="str">
        <f>IFERROR(__xludf.DUMMYFUNCTION("""COMPUTED_VALUE"""),"William Nolan")</f>
        <v>William Nolan</v>
      </c>
      <c r="Q608" s="6" t="str">
        <f>IFERROR(__xludf.DUMMYFUNCTION("""COMPUTED_VALUE"""),"L1")</f>
        <v>L1</v>
      </c>
      <c r="R608" s="6">
        <f>IFERROR(__xludf.DUMMYFUNCTION("""COMPUTED_VALUE"""),1.0)</f>
        <v>1</v>
      </c>
      <c r="S608" s="6" t="str">
        <f>IFERROR(__xludf.DUMMYFUNCTION("""COMPUTED_VALUE"""),"Faith Crenshaw")</f>
        <v>Faith Crenshaw</v>
      </c>
      <c r="T608" s="6" t="str">
        <f>IFERROR(__xludf.DUMMYFUNCTION("""COMPUTED_VALUE"""),"faith.crenshaw@alpha.school")</f>
        <v>faith.crenshaw@alpha.school</v>
      </c>
      <c r="U608" s="6" t="str">
        <f>IFERROR(__xludf.DUMMYFUNCTION("""COMPUTED_VALUE"""),"2")</f>
        <v>2</v>
      </c>
      <c r="V608" s="6" t="str">
        <f>IFERROR(__xludf.DUMMYFUNCTION("""COMPUTED_VALUE"""),"")</f>
        <v/>
      </c>
      <c r="W608" s="6" t="str">
        <f>IFERROR(__xludf.DUMMYFUNCTION("""COMPUTED_VALUE"""),"[]")</f>
        <v>[]</v>
      </c>
      <c r="X608" s="6" t="str">
        <f>IFERROR(__xludf.DUMMYFUNCTION("""COMPUTED_VALUE"""),"Enrolled")</f>
        <v>Enrolled</v>
      </c>
    </row>
    <row r="609">
      <c r="A609" s="6" t="str">
        <f>IFERROR(__xludf.DUMMYFUNCTION("""COMPUTED_VALUE"""),"001-0638")</f>
        <v>001-0638</v>
      </c>
      <c r="B609" s="6" t="str">
        <f>IFERROR(__xludf.DUMMYFUNCTION("""COMPUTED_VALUE"""),"1")</f>
        <v>1</v>
      </c>
      <c r="C609" s="6" t="str">
        <f>IFERROR(__xludf.DUMMYFUNCTION("""COMPUTED_VALUE"""),"0638")</f>
        <v>0638</v>
      </c>
      <c r="D609" s="6" t="str">
        <f>IFERROR(__xludf.DUMMYFUNCTION("""COMPUTED_VALUE"""),"Michael")</f>
        <v>Michael</v>
      </c>
      <c r="E609" s="6" t="str">
        <f>IFERROR(__xludf.DUMMYFUNCTION("""COMPUTED_VALUE"""),"Michael")</f>
        <v>Michael</v>
      </c>
      <c r="F609" s="6" t="str">
        <f>IFERROR(__xludf.DUMMYFUNCTION("""COMPUTED_VALUE"""),"Cai")</f>
        <v>Cai</v>
      </c>
      <c r="G609" s="6" t="str">
        <f>IFERROR(__xludf.DUMMYFUNCTION("""COMPUTED_VALUE"""),"12/17/2009")</f>
        <v>12/17/2009</v>
      </c>
      <c r="H609" s="6" t="str">
        <f>IFERROR(__xludf.DUMMYFUNCTION("""COMPUTED_VALUE"""),"male")</f>
        <v>male</v>
      </c>
      <c r="I609" s="6" t="str">
        <f>IFERROR(__xludf.DUMMYFUNCTION("""COMPUTED_VALUE"""),"High School")</f>
        <v>High School</v>
      </c>
      <c r="J609" s="6" t="str">
        <f>IFERROR(__xludf.DUMMYFUNCTION("""COMPUTED_VALUE"""),"10")</f>
        <v>10</v>
      </c>
      <c r="K609" s="6" t="str">
        <f>IFERROR(__xludf.DUMMYFUNCTION("""COMPUTED_VALUE"""),"michael.cai@alpha.school")</f>
        <v>michael.cai@alpha.school</v>
      </c>
      <c r="L609" s="6" t="str">
        <f>IFERROR(__xludf.DUMMYFUNCTION("""COMPUTED_VALUE"""),"Alpha High School")</f>
        <v>Alpha High School</v>
      </c>
      <c r="M609" s="6" t="str">
        <f>IFERROR(__xludf.DUMMYFUNCTION("""COMPUTED_VALUE"""),"")</f>
        <v/>
      </c>
      <c r="N609" s="6" t="str">
        <f>IFERROR(__xludf.DUMMYFUNCTION("""COMPUTED_VALUE"""),"")</f>
        <v/>
      </c>
      <c r="O609" s="87" t="str">
        <f>IFERROR(__xludf.DUMMYFUNCTION("""COMPUTED_VALUE"""),"https://drive.google.com/drive/folders/10T2cTQHqEJZqE-st6uFKPoI?usp=share_link")</f>
        <v>https://drive.google.com/drive/folders/10T2cTQHqEJZqE-st6uFKPoI?usp=share_link</v>
      </c>
      <c r="P609" s="6" t="str">
        <f>IFERROR(__xludf.DUMMYFUNCTION("""COMPUTED_VALUE"""),"Michael Cai")</f>
        <v>Michael Cai</v>
      </c>
      <c r="Q609" s="6" t="str">
        <f>IFERROR(__xludf.DUMMYFUNCTION("""COMPUTED_VALUE"""),"HS")</f>
        <v>HS</v>
      </c>
      <c r="R609" s="6">
        <f>IFERROR(__xludf.DUMMYFUNCTION("""COMPUTED_VALUE"""),0.0)</f>
        <v>0</v>
      </c>
      <c r="S609" s="6" t="str">
        <f>IFERROR(__xludf.DUMMYFUNCTION("""COMPUTED_VALUE"""),"Effy Phillips")</f>
        <v>Effy Phillips</v>
      </c>
      <c r="T609" s="6" t="str">
        <f>IFERROR(__xludf.DUMMYFUNCTION("""COMPUTED_VALUE"""),"effy.phillips@alpha.school")</f>
        <v>effy.phillips@alpha.school</v>
      </c>
      <c r="U609" s="6" t="str">
        <f>IFERROR(__xludf.DUMMYFUNCTION("""COMPUTED_VALUE"""),"10")</f>
        <v>10</v>
      </c>
      <c r="V609" s="6" t="str">
        <f>IFERROR(__xludf.DUMMYFUNCTION("""COMPUTED_VALUE"""),"")</f>
        <v/>
      </c>
      <c r="W609" s="6" t="str">
        <f>IFERROR(__xludf.DUMMYFUNCTION("""COMPUTED_VALUE"""),"[]")</f>
        <v>[]</v>
      </c>
      <c r="X609" s="6" t="str">
        <f>IFERROR(__xludf.DUMMYFUNCTION("""COMPUTED_VALUE"""),"Enrolled")</f>
        <v>Enrolled</v>
      </c>
    </row>
    <row r="610">
      <c r="A610" s="6" t="str">
        <f>IFERROR(__xludf.DUMMYFUNCTION("""COMPUTED_VALUE"""),"001-0672")</f>
        <v>001-0672</v>
      </c>
      <c r="B610" s="6" t="str">
        <f>IFERROR(__xludf.DUMMYFUNCTION("""COMPUTED_VALUE"""),"1")</f>
        <v>1</v>
      </c>
      <c r="C610" s="6" t="str">
        <f>IFERROR(__xludf.DUMMYFUNCTION("""COMPUTED_VALUE"""),"0672")</f>
        <v>0672</v>
      </c>
      <c r="D610" s="6" t="str">
        <f>IFERROR(__xludf.DUMMYFUNCTION("""COMPUTED_VALUE"""),"David")</f>
        <v>David</v>
      </c>
      <c r="E610" s="6" t="str">
        <f>IFERROR(__xludf.DUMMYFUNCTION("""COMPUTED_VALUE"""),"DaveyP")</f>
        <v>DaveyP</v>
      </c>
      <c r="F610" s="6" t="str">
        <f>IFERROR(__xludf.DUMMYFUNCTION("""COMPUTED_VALUE"""),"Paul")</f>
        <v>Paul</v>
      </c>
      <c r="G610" s="6" t="str">
        <f>IFERROR(__xludf.DUMMYFUNCTION("""COMPUTED_VALUE"""),"06/09/2015")</f>
        <v>06/09/2015</v>
      </c>
      <c r="H610" s="6" t="str">
        <f>IFERROR(__xludf.DUMMYFUNCTION("""COMPUTED_VALUE"""),"male")</f>
        <v>male</v>
      </c>
      <c r="I610" s="6" t="str">
        <f>IFERROR(__xludf.DUMMYFUNCTION("""COMPUTED_VALUE"""),"Level 2")</f>
        <v>Level 2</v>
      </c>
      <c r="J610" s="6" t="str">
        <f>IFERROR(__xludf.DUMMYFUNCTION("""COMPUTED_VALUE"""),"4")</f>
        <v>4</v>
      </c>
      <c r="K610" s="6" t="str">
        <f>IFERROR(__xludf.DUMMYFUNCTION("""COMPUTED_VALUE"""),"david.paul@alpha.school")</f>
        <v>david.paul@alpha.school</v>
      </c>
      <c r="L610" s="6" t="str">
        <f>IFERROR(__xludf.DUMMYFUNCTION("""COMPUTED_VALUE"""),"Alpha School Austin")</f>
        <v>Alpha School Austin</v>
      </c>
      <c r="M610" s="6" t="str">
        <f>IFERROR(__xludf.DUMMYFUNCTION("""COMPUTED_VALUE"""),"")</f>
        <v/>
      </c>
      <c r="N610" s="6" t="str">
        <f>IFERROR(__xludf.DUMMYFUNCTION("""COMPUTED_VALUE"""),"")</f>
        <v/>
      </c>
      <c r="O610" s="87" t="str">
        <f>IFERROR(__xludf.DUMMYFUNCTION("""COMPUTED_VALUE"""),"https://drive.google.com/drive/folders/10T2cTQHqEJZqE-st6uFKPoI?usp=share_link")</f>
        <v>https://drive.google.com/drive/folders/10T2cTQHqEJZqE-st6uFKPoI?usp=share_link</v>
      </c>
      <c r="P610" s="6" t="str">
        <f>IFERROR(__xludf.DUMMYFUNCTION("""COMPUTED_VALUE"""),"DaveyP Paul")</f>
        <v>DaveyP Paul</v>
      </c>
      <c r="Q610" s="6" t="str">
        <f>IFERROR(__xludf.DUMMYFUNCTION("""COMPUTED_VALUE"""),"L2")</f>
        <v>L2</v>
      </c>
      <c r="R610" s="6">
        <f>IFERROR(__xludf.DUMMYFUNCTION("""COMPUTED_VALUE"""),2.0)</f>
        <v>2</v>
      </c>
      <c r="S610" s="6" t="str">
        <f>IFERROR(__xludf.DUMMYFUNCTION("""COMPUTED_VALUE"""),"Alex Cruz")</f>
        <v>Alex Cruz</v>
      </c>
      <c r="T610" s="6" t="str">
        <f>IFERROR(__xludf.DUMMYFUNCTION("""COMPUTED_VALUE"""),"alex.cruz@sportsacademy.school")</f>
        <v>alex.cruz@sportsacademy.school</v>
      </c>
      <c r="U610" s="6" t="str">
        <f>IFERROR(__xludf.DUMMYFUNCTION("""COMPUTED_VALUE"""),"4")</f>
        <v>4</v>
      </c>
      <c r="V610" s="6" t="str">
        <f>IFERROR(__xludf.DUMMYFUNCTION("""COMPUTED_VALUE"""),"English")</f>
        <v>English</v>
      </c>
      <c r="W610" s="6" t="str">
        <f>IFERROR(__xludf.DUMMYFUNCTION("""COMPUTED_VALUE"""),"[]")</f>
        <v>[]</v>
      </c>
      <c r="X610" s="6" t="str">
        <f>IFERROR(__xludf.DUMMYFUNCTION("""COMPUTED_VALUE"""),"Enrolled")</f>
        <v>Enrolled</v>
      </c>
    </row>
    <row r="611">
      <c r="A611" s="6" t="str">
        <f>IFERROR(__xludf.DUMMYFUNCTION("""COMPUTED_VALUE"""),"001-0673")</f>
        <v>001-0673</v>
      </c>
      <c r="B611" s="6" t="str">
        <f>IFERROR(__xludf.DUMMYFUNCTION("""COMPUTED_VALUE"""),"1")</f>
        <v>1</v>
      </c>
      <c r="C611" s="6" t="str">
        <f>IFERROR(__xludf.DUMMYFUNCTION("""COMPUTED_VALUE"""),"0673")</f>
        <v>0673</v>
      </c>
      <c r="D611" s="6" t="str">
        <f>IFERROR(__xludf.DUMMYFUNCTION("""COMPUTED_VALUE"""),"Eleanor")</f>
        <v>Eleanor</v>
      </c>
      <c r="E611" s="6" t="str">
        <f>IFERROR(__xludf.DUMMYFUNCTION("""COMPUTED_VALUE"""),"Elle")</f>
        <v>Elle</v>
      </c>
      <c r="F611" s="6" t="str">
        <f>IFERROR(__xludf.DUMMYFUNCTION("""COMPUTED_VALUE"""),"Paul")</f>
        <v>Paul</v>
      </c>
      <c r="G611" s="6" t="str">
        <f>IFERROR(__xludf.DUMMYFUNCTION("""COMPUTED_VALUE"""),"06/29/2018")</f>
        <v>06/29/2018</v>
      </c>
      <c r="H611" s="6" t="str">
        <f>IFERROR(__xludf.DUMMYFUNCTION("""COMPUTED_VALUE"""),"female")</f>
        <v>female</v>
      </c>
      <c r="I611" s="6" t="str">
        <f>IFERROR(__xludf.DUMMYFUNCTION("""COMPUTED_VALUE"""),"Learning Lab")</f>
        <v>Learning Lab</v>
      </c>
      <c r="J611" s="6" t="str">
        <f>IFERROR(__xludf.DUMMYFUNCTION("""COMPUTED_VALUE"""),"1")</f>
        <v>1</v>
      </c>
      <c r="K611" s="6" t="str">
        <f>IFERROR(__xludf.DUMMYFUNCTION("""COMPUTED_VALUE"""),"eleanor.paul@alpha.school")</f>
        <v>eleanor.paul@alpha.school</v>
      </c>
      <c r="L611" s="6" t="str">
        <f>IFERROR(__xludf.DUMMYFUNCTION("""COMPUTED_VALUE"""),"Alpha School Austin")</f>
        <v>Alpha School Austin</v>
      </c>
      <c r="M611" s="6" t="str">
        <f>IFERROR(__xludf.DUMMYFUNCTION("""COMPUTED_VALUE"""),"")</f>
        <v/>
      </c>
      <c r="N611" s="6" t="str">
        <f>IFERROR(__xludf.DUMMYFUNCTION("""COMPUTED_VALUE"""),"")</f>
        <v/>
      </c>
      <c r="O611" s="87" t="str">
        <f>IFERROR(__xludf.DUMMYFUNCTION("""COMPUTED_VALUE"""),"https://drive.google.com/drive/folders/10T2cTQHqEJZqE-st6uFKPoI?usp=share_link")</f>
        <v>https://drive.google.com/drive/folders/10T2cTQHqEJZqE-st6uFKPoI?usp=share_link</v>
      </c>
      <c r="P611" s="6" t="str">
        <f>IFERROR(__xludf.DUMMYFUNCTION("""COMPUTED_VALUE"""),"Elle Paul")</f>
        <v>Elle Paul</v>
      </c>
      <c r="Q611" s="6" t="str">
        <f>IFERROR(__xludf.DUMMYFUNCTION("""COMPUTED_VALUE"""),"LL")</f>
        <v>LL</v>
      </c>
      <c r="R611" s="6">
        <f>IFERROR(__xludf.DUMMYFUNCTION("""COMPUTED_VALUE"""),0.0)</f>
        <v>0</v>
      </c>
      <c r="S611" s="6" t="str">
        <f>IFERROR(__xludf.DUMMYFUNCTION("""COMPUTED_VALUE"""),"Hannah Burkhauser")</f>
        <v>Hannah Burkhauser</v>
      </c>
      <c r="T611" s="6" t="str">
        <f>IFERROR(__xludf.DUMMYFUNCTION("""COMPUTED_VALUE"""),"hannah.burkhauser@alpha.school")</f>
        <v>hannah.burkhauser@alpha.school</v>
      </c>
      <c r="U611" s="6" t="str">
        <f>IFERROR(__xludf.DUMMYFUNCTION("""COMPUTED_VALUE"""),"1")</f>
        <v>1</v>
      </c>
      <c r="V611" s="6" t="str">
        <f>IFERROR(__xludf.DUMMYFUNCTION("""COMPUTED_VALUE"""),"English")</f>
        <v>English</v>
      </c>
      <c r="W611" s="6" t="str">
        <f>IFERROR(__xludf.DUMMYFUNCTION("""COMPUTED_VALUE"""),"[]")</f>
        <v>[]</v>
      </c>
      <c r="X611" s="6" t="str">
        <f>IFERROR(__xludf.DUMMYFUNCTION("""COMPUTED_VALUE"""),"Enrolled")</f>
        <v>Enrolled</v>
      </c>
    </row>
    <row r="612">
      <c r="A612" s="6" t="str">
        <f>IFERROR(__xludf.DUMMYFUNCTION("""COMPUTED_VALUE"""),"001-0674")</f>
        <v>001-0674</v>
      </c>
      <c r="B612" s="6" t="str">
        <f>IFERROR(__xludf.DUMMYFUNCTION("""COMPUTED_VALUE"""),"1")</f>
        <v>1</v>
      </c>
      <c r="C612" s="6" t="str">
        <f>IFERROR(__xludf.DUMMYFUNCTION("""COMPUTED_VALUE"""),"0674")</f>
        <v>0674</v>
      </c>
      <c r="D612" s="6" t="str">
        <f>IFERROR(__xludf.DUMMYFUNCTION("""COMPUTED_VALUE"""),"Connor")</f>
        <v>Connor</v>
      </c>
      <c r="E612" s="6" t="str">
        <f>IFERROR(__xludf.DUMMYFUNCTION("""COMPUTED_VALUE"""),"")</f>
        <v/>
      </c>
      <c r="F612" s="6" t="str">
        <f>IFERROR(__xludf.DUMMYFUNCTION("""COMPUTED_VALUE"""),"Cason")</f>
        <v>Cason</v>
      </c>
      <c r="G612" s="6" t="str">
        <f>IFERROR(__xludf.DUMMYFUNCTION("""COMPUTED_VALUE"""),"06/07/2013")</f>
        <v>06/07/2013</v>
      </c>
      <c r="H612" s="6" t="str">
        <f>IFERROR(__xludf.DUMMYFUNCTION("""COMPUTED_VALUE"""),"M")</f>
        <v>M</v>
      </c>
      <c r="I612" s="6" t="str">
        <f>IFERROR(__xludf.DUMMYFUNCTION("""COMPUTED_VALUE"""),"Level 2")</f>
        <v>Level 2</v>
      </c>
      <c r="J612" s="6" t="str">
        <f>IFERROR(__xludf.DUMMYFUNCTION("""COMPUTED_VALUE"""),"5")</f>
        <v>5</v>
      </c>
      <c r="K612" s="6" t="str">
        <f>IFERROR(__xludf.DUMMYFUNCTION("""COMPUTED_VALUE"""),"connor.cason@alpha.school")</f>
        <v>connor.cason@alpha.school</v>
      </c>
      <c r="L612" s="6" t="str">
        <f>IFERROR(__xludf.DUMMYFUNCTION("""COMPUTED_VALUE"""),"Alpha School Austin")</f>
        <v>Alpha School Austin</v>
      </c>
      <c r="M612" s="6" t="str">
        <f>IFERROR(__xludf.DUMMYFUNCTION("""COMPUTED_VALUE"""),"")</f>
        <v/>
      </c>
      <c r="N612" s="6" t="str">
        <f>IFERROR(__xludf.DUMMYFUNCTION("""COMPUTED_VALUE"""),"")</f>
        <v/>
      </c>
      <c r="O612" s="87" t="str">
        <f>IFERROR(__xludf.DUMMYFUNCTION("""COMPUTED_VALUE"""),"https://drive.google.com/drive/folders/10T2cTQHqEJZqE-st6uFKPoI?usp=share_link")</f>
        <v>https://drive.google.com/drive/folders/10T2cTQHqEJZqE-st6uFKPoI?usp=share_link</v>
      </c>
      <c r="P612" s="6" t="str">
        <f>IFERROR(__xludf.DUMMYFUNCTION("""COMPUTED_VALUE"""),"Connor Cason")</f>
        <v>Connor Cason</v>
      </c>
      <c r="Q612" s="6" t="str">
        <f>IFERROR(__xludf.DUMMYFUNCTION("""COMPUTED_VALUE"""),"L2")</f>
        <v>L2</v>
      </c>
      <c r="R612" s="6">
        <f>IFERROR(__xludf.DUMMYFUNCTION("""COMPUTED_VALUE"""),2.0)</f>
        <v>2</v>
      </c>
      <c r="S612" s="6" t="str">
        <f>IFERROR(__xludf.DUMMYFUNCTION("""COMPUTED_VALUE"""),"Brittany Kemme")</f>
        <v>Brittany Kemme</v>
      </c>
      <c r="T612" s="6" t="str">
        <f>IFERROR(__xludf.DUMMYFUNCTION("""COMPUTED_VALUE"""),"brittany.kemme@alpha.school")</f>
        <v>brittany.kemme@alpha.school</v>
      </c>
      <c r="U612" s="6" t="str">
        <f>IFERROR(__xludf.DUMMYFUNCTION("""COMPUTED_VALUE"""),"5")</f>
        <v>5</v>
      </c>
      <c r="V612" s="6" t="str">
        <f>IFERROR(__xludf.DUMMYFUNCTION("""COMPUTED_VALUE"""),"")</f>
        <v/>
      </c>
      <c r="W612" s="6" t="str">
        <f>IFERROR(__xludf.DUMMYFUNCTION("""COMPUTED_VALUE"""),"[]")</f>
        <v>[]</v>
      </c>
      <c r="X612" s="6" t="str">
        <f>IFERROR(__xludf.DUMMYFUNCTION("""COMPUTED_VALUE"""),"Enrolled")</f>
        <v>Enrolled</v>
      </c>
    </row>
    <row r="613">
      <c r="A613" s="6" t="str">
        <f>IFERROR(__xludf.DUMMYFUNCTION("""COMPUTED_VALUE"""),"001-0679")</f>
        <v>001-0679</v>
      </c>
      <c r="B613" s="6" t="str">
        <f>IFERROR(__xludf.DUMMYFUNCTION("""COMPUTED_VALUE"""),"1")</f>
        <v>1</v>
      </c>
      <c r="C613" s="6" t="str">
        <f>IFERROR(__xludf.DUMMYFUNCTION("""COMPUTED_VALUE"""),"0679")</f>
        <v>0679</v>
      </c>
      <c r="D613" s="6" t="str">
        <f>IFERROR(__xludf.DUMMYFUNCTION("""COMPUTED_VALUE"""),"Walter")</f>
        <v>Walter</v>
      </c>
      <c r="E613" s="6" t="str">
        <f>IFERROR(__xludf.DUMMYFUNCTION("""COMPUTED_VALUE"""),"Cruce")</f>
        <v>Cruce</v>
      </c>
      <c r="F613" s="6" t="str">
        <f>IFERROR(__xludf.DUMMYFUNCTION("""COMPUTED_VALUE"""),"Saunders IV")</f>
        <v>Saunders IV</v>
      </c>
      <c r="G613" s="6" t="str">
        <f>IFERROR(__xludf.DUMMYFUNCTION("""COMPUTED_VALUE"""),"05/13/2008")</f>
        <v>05/13/2008</v>
      </c>
      <c r="H613" s="6" t="str">
        <f>IFERROR(__xludf.DUMMYFUNCTION("""COMPUTED_VALUE"""),"male")</f>
        <v>male</v>
      </c>
      <c r="I613" s="6" t="str">
        <f>IFERROR(__xludf.DUMMYFUNCTION("""COMPUTED_VALUE"""),"High School")</f>
        <v>High School</v>
      </c>
      <c r="J613" s="6" t="str">
        <f>IFERROR(__xludf.DUMMYFUNCTION("""COMPUTED_VALUE"""),"11")</f>
        <v>11</v>
      </c>
      <c r="K613" s="6" t="str">
        <f>IFERROR(__xludf.DUMMYFUNCTION("""COMPUTED_VALUE"""),"cruce.saunders@alpha.school")</f>
        <v>cruce.saunders@alpha.school</v>
      </c>
      <c r="L613" s="6" t="str">
        <f>IFERROR(__xludf.DUMMYFUNCTION("""COMPUTED_VALUE"""),"Alpha High School")</f>
        <v>Alpha High School</v>
      </c>
      <c r="M613" s="6" t="str">
        <f>IFERROR(__xludf.DUMMYFUNCTION("""COMPUTED_VALUE"""),"")</f>
        <v/>
      </c>
      <c r="N613" s="6" t="str">
        <f>IFERROR(__xludf.DUMMYFUNCTION("""COMPUTED_VALUE"""),"")</f>
        <v/>
      </c>
      <c r="O613" s="87" t="str">
        <f>IFERROR(__xludf.DUMMYFUNCTION("""COMPUTED_VALUE"""),"https://drive.google.com/drive/folders/10T2cTQHqEJZqE-st6uFKPoI?usp=share_link")</f>
        <v>https://drive.google.com/drive/folders/10T2cTQHqEJZqE-st6uFKPoI?usp=share_link</v>
      </c>
      <c r="P613" s="6" t="str">
        <f>IFERROR(__xludf.DUMMYFUNCTION("""COMPUTED_VALUE"""),"Cruce Saunders IV")</f>
        <v>Cruce Saunders IV</v>
      </c>
      <c r="Q613" s="6" t="str">
        <f>IFERROR(__xludf.DUMMYFUNCTION("""COMPUTED_VALUE"""),"HS")</f>
        <v>HS</v>
      </c>
      <c r="R613" s="6">
        <f>IFERROR(__xludf.DUMMYFUNCTION("""COMPUTED_VALUE"""),0.0)</f>
        <v>0</v>
      </c>
      <c r="S613" s="6" t="str">
        <f>IFERROR(__xludf.DUMMYFUNCTION("""COMPUTED_VALUE"""),"Emily Findley")</f>
        <v>Emily Findley</v>
      </c>
      <c r="T613" s="6" t="str">
        <f>IFERROR(__xludf.DUMMYFUNCTION("""COMPUTED_VALUE"""),"emily.findley@alpha.school")</f>
        <v>emily.findley@alpha.school</v>
      </c>
      <c r="U613" s="6" t="str">
        <f>IFERROR(__xludf.DUMMYFUNCTION("""COMPUTED_VALUE"""),"11")</f>
        <v>11</v>
      </c>
      <c r="V613" s="6" t="str">
        <f>IFERROR(__xludf.DUMMYFUNCTION("""COMPUTED_VALUE"""),"English")</f>
        <v>English</v>
      </c>
      <c r="W613" s="6" t="str">
        <f>IFERROR(__xludf.DUMMYFUNCTION("""COMPUTED_VALUE"""),"[]")</f>
        <v>[]</v>
      </c>
      <c r="X613" s="6" t="str">
        <f>IFERROR(__xludf.DUMMYFUNCTION("""COMPUTED_VALUE"""),"Enrolled")</f>
        <v>Enrolled</v>
      </c>
    </row>
    <row r="614">
      <c r="A614" s="6" t="str">
        <f>IFERROR(__xludf.DUMMYFUNCTION("""COMPUTED_VALUE"""),"001-0681")</f>
        <v>001-0681</v>
      </c>
      <c r="B614" s="6" t="str">
        <f>IFERROR(__xludf.DUMMYFUNCTION("""COMPUTED_VALUE"""),"1")</f>
        <v>1</v>
      </c>
      <c r="C614" s="6" t="str">
        <f>IFERROR(__xludf.DUMMYFUNCTION("""COMPUTED_VALUE"""),"0681")</f>
        <v>0681</v>
      </c>
      <c r="D614" s="6" t="str">
        <f>IFERROR(__xludf.DUMMYFUNCTION("""COMPUTED_VALUE"""),"Rocco")</f>
        <v>Rocco</v>
      </c>
      <c r="E614" s="6" t="str">
        <f>IFERROR(__xludf.DUMMYFUNCTION("""COMPUTED_VALUE"""),"Rocco")</f>
        <v>Rocco</v>
      </c>
      <c r="F614" s="6" t="str">
        <f>IFERROR(__xludf.DUMMYFUNCTION("""COMPUTED_VALUE"""),"Benetti")</f>
        <v>Benetti</v>
      </c>
      <c r="G614" s="6" t="str">
        <f>IFERROR(__xludf.DUMMYFUNCTION("""COMPUTED_VALUE"""),"01/04/2014")</f>
        <v>01/04/2014</v>
      </c>
      <c r="H614" s="6" t="str">
        <f>IFERROR(__xludf.DUMMYFUNCTION("""COMPUTED_VALUE"""),"male")</f>
        <v>male</v>
      </c>
      <c r="I614" s="6" t="str">
        <f>IFERROR(__xludf.DUMMYFUNCTION("""COMPUTED_VALUE"""),"Middle School")</f>
        <v>Middle School</v>
      </c>
      <c r="J614" s="6" t="str">
        <f>IFERROR(__xludf.DUMMYFUNCTION("""COMPUTED_VALUE"""),"6")</f>
        <v>6</v>
      </c>
      <c r="K614" s="6" t="str">
        <f>IFERROR(__xludf.DUMMYFUNCTION("""COMPUTED_VALUE"""),"rocco.benetti@alpha.school")</f>
        <v>rocco.benetti@alpha.school</v>
      </c>
      <c r="L614" s="6" t="str">
        <f>IFERROR(__xludf.DUMMYFUNCTION("""COMPUTED_VALUE"""),"Alpha School Austin")</f>
        <v>Alpha School Austin</v>
      </c>
      <c r="M614" s="6" t="str">
        <f>IFERROR(__xludf.DUMMYFUNCTION("""COMPUTED_VALUE"""),"")</f>
        <v/>
      </c>
      <c r="N614" s="6" t="str">
        <f>IFERROR(__xludf.DUMMYFUNCTION("""COMPUTED_VALUE"""),"")</f>
        <v/>
      </c>
      <c r="O614" s="87" t="str">
        <f>IFERROR(__xludf.DUMMYFUNCTION("""COMPUTED_VALUE"""),"https://drive.google.com/drive/folders/10T2cTQHqEJZqE-st6uFKPoI?usp=share_link")</f>
        <v>https://drive.google.com/drive/folders/10T2cTQHqEJZqE-st6uFKPoI?usp=share_link</v>
      </c>
      <c r="P614" s="6" t="str">
        <f>IFERROR(__xludf.DUMMYFUNCTION("""COMPUTED_VALUE"""),"Rocco Benetti")</f>
        <v>Rocco Benetti</v>
      </c>
      <c r="Q614" s="6" t="str">
        <f>IFERROR(__xludf.DUMMYFUNCTION("""COMPUTED_VALUE"""),"MS")</f>
        <v>MS</v>
      </c>
      <c r="R614" s="6">
        <f>IFERROR(__xludf.DUMMYFUNCTION("""COMPUTED_VALUE"""),0.0)</f>
        <v>0</v>
      </c>
      <c r="S614" s="6" t="str">
        <f>IFERROR(__xludf.DUMMYFUNCTION("""COMPUTED_VALUE"""),"Noah Lightfoot")</f>
        <v>Noah Lightfoot</v>
      </c>
      <c r="T614" s="6" t="str">
        <f>IFERROR(__xludf.DUMMYFUNCTION("""COMPUTED_VALUE"""),"noah.lightfoot@alpha.school")</f>
        <v>noah.lightfoot@alpha.school</v>
      </c>
      <c r="U614" s="6" t="str">
        <f>IFERROR(__xludf.DUMMYFUNCTION("""COMPUTED_VALUE"""),"6")</f>
        <v>6</v>
      </c>
      <c r="V614" s="6" t="str">
        <f>IFERROR(__xludf.DUMMYFUNCTION("""COMPUTED_VALUE"""),"English")</f>
        <v>English</v>
      </c>
      <c r="W614" s="6" t="str">
        <f>IFERROR(__xludf.DUMMYFUNCTION("""COMPUTED_VALUE"""),"[]")</f>
        <v>[]</v>
      </c>
      <c r="X614" s="6" t="str">
        <f>IFERROR(__xludf.DUMMYFUNCTION("""COMPUTED_VALUE"""),"Enrolled")</f>
        <v>Enrolled</v>
      </c>
    </row>
    <row r="615">
      <c r="A615" s="6" t="str">
        <f>IFERROR(__xludf.DUMMYFUNCTION("""COMPUTED_VALUE"""),"001-0682")</f>
        <v>001-0682</v>
      </c>
      <c r="B615" s="6" t="str">
        <f>IFERROR(__xludf.DUMMYFUNCTION("""COMPUTED_VALUE"""),"1")</f>
        <v>1</v>
      </c>
      <c r="C615" s="6" t="str">
        <f>IFERROR(__xludf.DUMMYFUNCTION("""COMPUTED_VALUE"""),"0682")</f>
        <v>0682</v>
      </c>
      <c r="D615" s="6" t="str">
        <f>IFERROR(__xludf.DUMMYFUNCTION("""COMPUTED_VALUE"""),"Vayda")</f>
        <v>Vayda</v>
      </c>
      <c r="E615" s="6" t="str">
        <f>IFERROR(__xludf.DUMMYFUNCTION("""COMPUTED_VALUE"""),"")</f>
        <v/>
      </c>
      <c r="F615" s="6" t="str">
        <f>IFERROR(__xludf.DUMMYFUNCTION("""COMPUTED_VALUE"""),"Hendle")</f>
        <v>Hendle</v>
      </c>
      <c r="G615" s="6" t="str">
        <f>IFERROR(__xludf.DUMMYFUNCTION("""COMPUTED_VALUE"""),"07/13/2013")</f>
        <v>07/13/2013</v>
      </c>
      <c r="H615" s="6" t="str">
        <f>IFERROR(__xludf.DUMMYFUNCTION("""COMPUTED_VALUE"""),"female")</f>
        <v>female</v>
      </c>
      <c r="I615" s="6" t="str">
        <f>IFERROR(__xludf.DUMMYFUNCTION("""COMPUTED_VALUE"""),"Middle School")</f>
        <v>Middle School</v>
      </c>
      <c r="J615" s="6" t="str">
        <f>IFERROR(__xludf.DUMMYFUNCTION("""COMPUTED_VALUE"""),"6")</f>
        <v>6</v>
      </c>
      <c r="K615" s="6" t="str">
        <f>IFERROR(__xludf.DUMMYFUNCTION("""COMPUTED_VALUE"""),"vayda.hendle@alpha.school")</f>
        <v>vayda.hendle@alpha.school</v>
      </c>
      <c r="L615" s="6" t="str">
        <f>IFERROR(__xludf.DUMMYFUNCTION("""COMPUTED_VALUE"""),"Alpha School Austin")</f>
        <v>Alpha School Austin</v>
      </c>
      <c r="M615" s="6" t="str">
        <f>IFERROR(__xludf.DUMMYFUNCTION("""COMPUTED_VALUE"""),"")</f>
        <v/>
      </c>
      <c r="N615" s="6" t="str">
        <f>IFERROR(__xludf.DUMMYFUNCTION("""COMPUTED_VALUE"""),"")</f>
        <v/>
      </c>
      <c r="O615" s="87" t="str">
        <f>IFERROR(__xludf.DUMMYFUNCTION("""COMPUTED_VALUE"""),"https://drive.google.com/drive/folders/10T2cTQHqEJZqE-st6uFKPoI?usp=share_link")</f>
        <v>https://drive.google.com/drive/folders/10T2cTQHqEJZqE-st6uFKPoI?usp=share_link</v>
      </c>
      <c r="P615" s="6" t="str">
        <f>IFERROR(__xludf.DUMMYFUNCTION("""COMPUTED_VALUE"""),"Vayda Hendle")</f>
        <v>Vayda Hendle</v>
      </c>
      <c r="Q615" s="6" t="str">
        <f>IFERROR(__xludf.DUMMYFUNCTION("""COMPUTED_VALUE"""),"MS")</f>
        <v>MS</v>
      </c>
      <c r="R615" s="6">
        <f>IFERROR(__xludf.DUMMYFUNCTION("""COMPUTED_VALUE"""),0.0)</f>
        <v>0</v>
      </c>
      <c r="S615" s="6" t="str">
        <f>IFERROR(__xludf.DUMMYFUNCTION("""COMPUTED_VALUE"""),"Lauren Hammond")</f>
        <v>Lauren Hammond</v>
      </c>
      <c r="T615" s="6" t="str">
        <f>IFERROR(__xludf.DUMMYFUNCTION("""COMPUTED_VALUE"""),"lauren.hammond@alpha.school")</f>
        <v>lauren.hammond@alpha.school</v>
      </c>
      <c r="U615" s="6" t="str">
        <f>IFERROR(__xludf.DUMMYFUNCTION("""COMPUTED_VALUE"""),"6")</f>
        <v>6</v>
      </c>
      <c r="V615" s="6" t="str">
        <f>IFERROR(__xludf.DUMMYFUNCTION("""COMPUTED_VALUE"""),"English")</f>
        <v>English</v>
      </c>
      <c r="W615" s="6" t="str">
        <f>IFERROR(__xludf.DUMMYFUNCTION("""COMPUTED_VALUE"""),"[]")</f>
        <v>[]</v>
      </c>
      <c r="X615" s="6" t="str">
        <f>IFERROR(__xludf.DUMMYFUNCTION("""COMPUTED_VALUE"""),"Enrolled")</f>
        <v>Enrolled</v>
      </c>
    </row>
    <row r="616">
      <c r="A616" s="6" t="str">
        <f>IFERROR(__xludf.DUMMYFUNCTION("""COMPUTED_VALUE"""),"001-0684")</f>
        <v>001-0684</v>
      </c>
      <c r="B616" s="6" t="str">
        <f>IFERROR(__xludf.DUMMYFUNCTION("""COMPUTED_VALUE"""),"1")</f>
        <v>1</v>
      </c>
      <c r="C616" s="6" t="str">
        <f>IFERROR(__xludf.DUMMYFUNCTION("""COMPUTED_VALUE"""),"0684")</f>
        <v>0684</v>
      </c>
      <c r="D616" s="6" t="str">
        <f>IFERROR(__xludf.DUMMYFUNCTION("""COMPUTED_VALUE"""),"Oz")</f>
        <v>Oz</v>
      </c>
      <c r="E616" s="6" t="str">
        <f>IFERROR(__xludf.DUMMYFUNCTION("""COMPUTED_VALUE"""),"")</f>
        <v/>
      </c>
      <c r="F616" s="6" t="str">
        <f>IFERROR(__xludf.DUMMYFUNCTION("""COMPUTED_VALUE"""),"Robertson")</f>
        <v>Robertson</v>
      </c>
      <c r="G616" s="6" t="str">
        <f>IFERROR(__xludf.DUMMYFUNCTION("""COMPUTED_VALUE"""),"06/19/2019")</f>
        <v>06/19/2019</v>
      </c>
      <c r="H616" s="6" t="str">
        <f>IFERROR(__xludf.DUMMYFUNCTION("""COMPUTED_VALUE"""),"male")</f>
        <v>male</v>
      </c>
      <c r="I616" s="6" t="str">
        <f>IFERROR(__xludf.DUMMYFUNCTION("""COMPUTED_VALUE"""),"Learning Lab")</f>
        <v>Learning Lab</v>
      </c>
      <c r="J616" s="6" t="str">
        <f>IFERROR(__xludf.DUMMYFUNCTION("""COMPUTED_VALUE"""),"K")</f>
        <v>K</v>
      </c>
      <c r="K616" s="6" t="str">
        <f>IFERROR(__xludf.DUMMYFUNCTION("""COMPUTED_VALUE"""),"oz.robertson@alpha.school")</f>
        <v>oz.robertson@alpha.school</v>
      </c>
      <c r="L616" s="6" t="str">
        <f>IFERROR(__xludf.DUMMYFUNCTION("""COMPUTED_VALUE"""),"Alpha School Austin")</f>
        <v>Alpha School Austin</v>
      </c>
      <c r="M616" s="6" t="str">
        <f>IFERROR(__xludf.DUMMYFUNCTION("""COMPUTED_VALUE"""),"")</f>
        <v/>
      </c>
      <c r="N616" s="6" t="str">
        <f>IFERROR(__xludf.DUMMYFUNCTION("""COMPUTED_VALUE"""),"")</f>
        <v/>
      </c>
      <c r="O616" s="87" t="str">
        <f>IFERROR(__xludf.DUMMYFUNCTION("""COMPUTED_VALUE"""),"https://drive.google.com/drive/folders/10T2cTQHqEJZqE-st6uFKPoI?usp=share_link")</f>
        <v>https://drive.google.com/drive/folders/10T2cTQHqEJZqE-st6uFKPoI?usp=share_link</v>
      </c>
      <c r="P616" s="6" t="str">
        <f>IFERROR(__xludf.DUMMYFUNCTION("""COMPUTED_VALUE"""),"Oz Robertson")</f>
        <v>Oz Robertson</v>
      </c>
      <c r="Q616" s="6" t="str">
        <f>IFERROR(__xludf.DUMMYFUNCTION("""COMPUTED_VALUE"""),"LL")</f>
        <v>LL</v>
      </c>
      <c r="R616" s="6">
        <f>IFERROR(__xludf.DUMMYFUNCTION("""COMPUTED_VALUE"""),0.0)</f>
        <v>0</v>
      </c>
      <c r="S616" s="6" t="str">
        <f>IFERROR(__xludf.DUMMYFUNCTION("""COMPUTED_VALUE"""),"Charity Villegas")</f>
        <v>Charity Villegas</v>
      </c>
      <c r="T616" s="6" t="str">
        <f>IFERROR(__xludf.DUMMYFUNCTION("""COMPUTED_VALUE"""),"charity.villegas@alpha.school")</f>
        <v>charity.villegas@alpha.school</v>
      </c>
      <c r="U616" s="6" t="str">
        <f>IFERROR(__xludf.DUMMYFUNCTION("""COMPUTED_VALUE"""),"K")</f>
        <v>K</v>
      </c>
      <c r="V616" s="6" t="str">
        <f>IFERROR(__xludf.DUMMYFUNCTION("""COMPUTED_VALUE"""),"English")</f>
        <v>English</v>
      </c>
      <c r="W616" s="6" t="str">
        <f>IFERROR(__xludf.DUMMYFUNCTION("""COMPUTED_VALUE"""),"[]")</f>
        <v>[]</v>
      </c>
      <c r="X616" s="6" t="str">
        <f>IFERROR(__xludf.DUMMYFUNCTION("""COMPUTED_VALUE"""),"Enrolled")</f>
        <v>Enrolled</v>
      </c>
    </row>
    <row r="617">
      <c r="A617" s="6" t="str">
        <f>IFERROR(__xludf.DUMMYFUNCTION("""COMPUTED_VALUE"""),"001-0686")</f>
        <v>001-0686</v>
      </c>
      <c r="B617" s="6" t="str">
        <f>IFERROR(__xludf.DUMMYFUNCTION("""COMPUTED_VALUE"""),"1")</f>
        <v>1</v>
      </c>
      <c r="C617" s="6" t="str">
        <f>IFERROR(__xludf.DUMMYFUNCTION("""COMPUTED_VALUE"""),"0686")</f>
        <v>0686</v>
      </c>
      <c r="D617" s="6" t="str">
        <f>IFERROR(__xludf.DUMMYFUNCTION("""COMPUTED_VALUE"""),"Willa")</f>
        <v>Willa</v>
      </c>
      <c r="E617" s="6" t="str">
        <f>IFERROR(__xludf.DUMMYFUNCTION("""COMPUTED_VALUE"""),"")</f>
        <v/>
      </c>
      <c r="F617" s="6" t="str">
        <f>IFERROR(__xludf.DUMMYFUNCTION("""COMPUTED_VALUE"""),"Rubenstein")</f>
        <v>Rubenstein</v>
      </c>
      <c r="G617" s="6" t="str">
        <f>IFERROR(__xludf.DUMMYFUNCTION("""COMPUTED_VALUE"""),"03/28/2018")</f>
        <v>03/28/2018</v>
      </c>
      <c r="H617" s="6" t="str">
        <f>IFERROR(__xludf.DUMMYFUNCTION("""COMPUTED_VALUE"""),"F")</f>
        <v>F</v>
      </c>
      <c r="I617" s="6" t="str">
        <f>IFERROR(__xludf.DUMMYFUNCTION("""COMPUTED_VALUE"""),"Level 1")</f>
        <v>Level 1</v>
      </c>
      <c r="J617" s="6" t="str">
        <f>IFERROR(__xludf.DUMMYFUNCTION("""COMPUTED_VALUE"""),"2")</f>
        <v>2</v>
      </c>
      <c r="K617" s="6" t="str">
        <f>IFERROR(__xludf.DUMMYFUNCTION("""COMPUTED_VALUE"""),"willa.rubenstein@alpha.school")</f>
        <v>willa.rubenstein@alpha.school</v>
      </c>
      <c r="L617" s="6" t="str">
        <f>IFERROR(__xludf.DUMMYFUNCTION("""COMPUTED_VALUE"""),"Alpha School Austin")</f>
        <v>Alpha School Austin</v>
      </c>
      <c r="M617" s="6" t="str">
        <f>IFERROR(__xludf.DUMMYFUNCTION("""COMPUTED_VALUE"""),"")</f>
        <v/>
      </c>
      <c r="N617" s="6" t="str">
        <f>IFERROR(__xludf.DUMMYFUNCTION("""COMPUTED_VALUE"""),"")</f>
        <v/>
      </c>
      <c r="O617" s="87" t="str">
        <f>IFERROR(__xludf.DUMMYFUNCTION("""COMPUTED_VALUE"""),"https://drive.google.com/drive/folders/10T2cTQHqEJZqE-st6uFKPoI?usp=share_link")</f>
        <v>https://drive.google.com/drive/folders/10T2cTQHqEJZqE-st6uFKPoI?usp=share_link</v>
      </c>
      <c r="P617" s="6" t="str">
        <f>IFERROR(__xludf.DUMMYFUNCTION("""COMPUTED_VALUE"""),"Willa Rubenstein")</f>
        <v>Willa Rubenstein</v>
      </c>
      <c r="Q617" s="6" t="str">
        <f>IFERROR(__xludf.DUMMYFUNCTION("""COMPUTED_VALUE"""),"L1")</f>
        <v>L1</v>
      </c>
      <c r="R617" s="6">
        <f>IFERROR(__xludf.DUMMYFUNCTION("""COMPUTED_VALUE"""),1.0)</f>
        <v>1</v>
      </c>
      <c r="S617" s="6" t="str">
        <f>IFERROR(__xludf.DUMMYFUNCTION("""COMPUTED_VALUE"""),"Tanya Parker")</f>
        <v>Tanya Parker</v>
      </c>
      <c r="T617" s="6" t="str">
        <f>IFERROR(__xludf.DUMMYFUNCTION("""COMPUTED_VALUE"""),"tanya.parker@alpha.school")</f>
        <v>tanya.parker@alpha.school</v>
      </c>
      <c r="U617" s="6" t="str">
        <f>IFERROR(__xludf.DUMMYFUNCTION("""COMPUTED_VALUE"""),"2")</f>
        <v>2</v>
      </c>
      <c r="V617" s="6" t="str">
        <f>IFERROR(__xludf.DUMMYFUNCTION("""COMPUTED_VALUE"""),"")</f>
        <v/>
      </c>
      <c r="W617" s="6" t="str">
        <f>IFERROR(__xludf.DUMMYFUNCTION("""COMPUTED_VALUE"""),"[]")</f>
        <v>[]</v>
      </c>
      <c r="X617" s="6" t="str">
        <f>IFERROR(__xludf.DUMMYFUNCTION("""COMPUTED_VALUE"""),"Enrolled")</f>
        <v>Enrolled</v>
      </c>
    </row>
    <row r="618">
      <c r="A618" s="6" t="str">
        <f>IFERROR(__xludf.DUMMYFUNCTION("""COMPUTED_VALUE"""),"001-0688")</f>
        <v>001-0688</v>
      </c>
      <c r="B618" s="6" t="str">
        <f>IFERROR(__xludf.DUMMYFUNCTION("""COMPUTED_VALUE"""),"1")</f>
        <v>1</v>
      </c>
      <c r="C618" s="6" t="str">
        <f>IFERROR(__xludf.DUMMYFUNCTION("""COMPUTED_VALUE"""),"0688")</f>
        <v>0688</v>
      </c>
      <c r="D618" s="6" t="str">
        <f>IFERROR(__xludf.DUMMYFUNCTION("""COMPUTED_VALUE"""),"Elijah")</f>
        <v>Elijah</v>
      </c>
      <c r="E618" s="6" t="str">
        <f>IFERROR(__xludf.DUMMYFUNCTION("""COMPUTED_VALUE"""),"")</f>
        <v/>
      </c>
      <c r="F618" s="6" t="str">
        <f>IFERROR(__xludf.DUMMYFUNCTION("""COMPUTED_VALUE"""),"Knecht")</f>
        <v>Knecht</v>
      </c>
      <c r="G618" s="6" t="str">
        <f>IFERROR(__xludf.DUMMYFUNCTION("""COMPUTED_VALUE"""),"01/16/2019")</f>
        <v>01/16/2019</v>
      </c>
      <c r="H618" s="6" t="str">
        <f>IFERROR(__xludf.DUMMYFUNCTION("""COMPUTED_VALUE"""),"male")</f>
        <v>male</v>
      </c>
      <c r="I618" s="6" t="str">
        <f>IFERROR(__xludf.DUMMYFUNCTION("""COMPUTED_VALUE"""),"Learning Lab")</f>
        <v>Learning Lab</v>
      </c>
      <c r="J618" s="6" t="str">
        <f>IFERROR(__xludf.DUMMYFUNCTION("""COMPUTED_VALUE"""),"1")</f>
        <v>1</v>
      </c>
      <c r="K618" s="6" t="str">
        <f>IFERROR(__xludf.DUMMYFUNCTION("""COMPUTED_VALUE"""),"elijah.knecht@alpha.school")</f>
        <v>elijah.knecht@alpha.school</v>
      </c>
      <c r="L618" s="6" t="str">
        <f>IFERROR(__xludf.DUMMYFUNCTION("""COMPUTED_VALUE"""),"Alpha School Austin")</f>
        <v>Alpha School Austin</v>
      </c>
      <c r="M618" s="6" t="str">
        <f>IFERROR(__xludf.DUMMYFUNCTION("""COMPUTED_VALUE"""),"")</f>
        <v/>
      </c>
      <c r="N618" s="6" t="str">
        <f>IFERROR(__xludf.DUMMYFUNCTION("""COMPUTED_VALUE"""),"")</f>
        <v/>
      </c>
      <c r="O618" s="87" t="str">
        <f>IFERROR(__xludf.DUMMYFUNCTION("""COMPUTED_VALUE"""),"https://drive.google.com/drive/folders/10T2cTQHqEJZqE-st6uFKPoI?usp=share_link")</f>
        <v>https://drive.google.com/drive/folders/10T2cTQHqEJZqE-st6uFKPoI?usp=share_link</v>
      </c>
      <c r="P618" s="6" t="str">
        <f>IFERROR(__xludf.DUMMYFUNCTION("""COMPUTED_VALUE"""),"Elijah Knecht")</f>
        <v>Elijah Knecht</v>
      </c>
      <c r="Q618" s="6" t="str">
        <f>IFERROR(__xludf.DUMMYFUNCTION("""COMPUTED_VALUE"""),"LL")</f>
        <v>LL</v>
      </c>
      <c r="R618" s="6">
        <f>IFERROR(__xludf.DUMMYFUNCTION("""COMPUTED_VALUE"""),0.0)</f>
        <v>0</v>
      </c>
      <c r="S618" s="6" t="str">
        <f>IFERROR(__xludf.DUMMYFUNCTION("""COMPUTED_VALUE"""),"Charity Villegas")</f>
        <v>Charity Villegas</v>
      </c>
      <c r="T618" s="6" t="str">
        <f>IFERROR(__xludf.DUMMYFUNCTION("""COMPUTED_VALUE"""),"charity.villegas@alpha.school")</f>
        <v>charity.villegas@alpha.school</v>
      </c>
      <c r="U618" s="6" t="str">
        <f>IFERROR(__xludf.DUMMYFUNCTION("""COMPUTED_VALUE"""),"1")</f>
        <v>1</v>
      </c>
      <c r="V618" s="6" t="str">
        <f>IFERROR(__xludf.DUMMYFUNCTION("""COMPUTED_VALUE"""),"")</f>
        <v/>
      </c>
      <c r="W618" s="6" t="str">
        <f>IFERROR(__xludf.DUMMYFUNCTION("""COMPUTED_VALUE"""),"[]")</f>
        <v>[]</v>
      </c>
      <c r="X618" s="6" t="str">
        <f>IFERROR(__xludf.DUMMYFUNCTION("""COMPUTED_VALUE"""),"Enrolled")</f>
        <v>Enrolled</v>
      </c>
    </row>
    <row r="619">
      <c r="A619" s="6" t="str">
        <f>IFERROR(__xludf.DUMMYFUNCTION("""COMPUTED_VALUE"""),"001-0691")</f>
        <v>001-0691</v>
      </c>
      <c r="B619" s="6" t="str">
        <f>IFERROR(__xludf.DUMMYFUNCTION("""COMPUTED_VALUE"""),"1")</f>
        <v>1</v>
      </c>
      <c r="C619" s="6" t="str">
        <f>IFERROR(__xludf.DUMMYFUNCTION("""COMPUTED_VALUE"""),"0691")</f>
        <v>0691</v>
      </c>
      <c r="D619" s="6" t="str">
        <f>IFERROR(__xludf.DUMMYFUNCTION("""COMPUTED_VALUE"""),"James")</f>
        <v>James</v>
      </c>
      <c r="E619" s="6" t="str">
        <f>IFERROR(__xludf.DUMMYFUNCTION("""COMPUTED_VALUE"""),"Jimmy")</f>
        <v>Jimmy</v>
      </c>
      <c r="F619" s="6" t="str">
        <f>IFERROR(__xludf.DUMMYFUNCTION("""COMPUTED_VALUE"""),"Moore")</f>
        <v>Moore</v>
      </c>
      <c r="G619" s="6" t="str">
        <f>IFERROR(__xludf.DUMMYFUNCTION("""COMPUTED_VALUE"""),"08/01/2017")</f>
        <v>08/01/2017</v>
      </c>
      <c r="H619" s="6" t="str">
        <f>IFERROR(__xludf.DUMMYFUNCTION("""COMPUTED_VALUE"""),"male")</f>
        <v>male</v>
      </c>
      <c r="I619" s="6" t="str">
        <f>IFERROR(__xludf.DUMMYFUNCTION("""COMPUTED_VALUE"""),"Level 1")</f>
        <v>Level 1</v>
      </c>
      <c r="J619" s="6" t="str">
        <f>IFERROR(__xludf.DUMMYFUNCTION("""COMPUTED_VALUE"""),"2")</f>
        <v>2</v>
      </c>
      <c r="K619" s="6" t="str">
        <f>IFERROR(__xludf.DUMMYFUNCTION("""COMPUTED_VALUE"""),"jimmy.moore@alpha.school")</f>
        <v>jimmy.moore@alpha.school</v>
      </c>
      <c r="L619" s="6" t="str">
        <f>IFERROR(__xludf.DUMMYFUNCTION("""COMPUTED_VALUE"""),"Alpha School Austin")</f>
        <v>Alpha School Austin</v>
      </c>
      <c r="M619" s="6" t="str">
        <f>IFERROR(__xludf.DUMMYFUNCTION("""COMPUTED_VALUE"""),"")</f>
        <v/>
      </c>
      <c r="N619" s="6" t="str">
        <f>IFERROR(__xludf.DUMMYFUNCTION("""COMPUTED_VALUE"""),"")</f>
        <v/>
      </c>
      <c r="O619" s="87" t="str">
        <f>IFERROR(__xludf.DUMMYFUNCTION("""COMPUTED_VALUE"""),"https://drive.google.com/drive/folders/10T2cTQHqEJZqE-st6uFKPoI?usp=share_link")</f>
        <v>https://drive.google.com/drive/folders/10T2cTQHqEJZqE-st6uFKPoI?usp=share_link</v>
      </c>
      <c r="P619" s="6" t="str">
        <f>IFERROR(__xludf.DUMMYFUNCTION("""COMPUTED_VALUE"""),"Jimmy Moore")</f>
        <v>Jimmy Moore</v>
      </c>
      <c r="Q619" s="6" t="str">
        <f>IFERROR(__xludf.DUMMYFUNCTION("""COMPUTED_VALUE"""),"L1")</f>
        <v>L1</v>
      </c>
      <c r="R619" s="6">
        <f>IFERROR(__xludf.DUMMYFUNCTION("""COMPUTED_VALUE"""),1.0)</f>
        <v>1</v>
      </c>
      <c r="S619" s="6" t="str">
        <f>IFERROR(__xludf.DUMMYFUNCTION("""COMPUTED_VALUE"""),"Tanya Parker")</f>
        <v>Tanya Parker</v>
      </c>
      <c r="T619" s="6" t="str">
        <f>IFERROR(__xludf.DUMMYFUNCTION("""COMPUTED_VALUE"""),"tanya.parker@alpha.school")</f>
        <v>tanya.parker@alpha.school</v>
      </c>
      <c r="U619" s="6" t="str">
        <f>IFERROR(__xludf.DUMMYFUNCTION("""COMPUTED_VALUE"""),"2")</f>
        <v>2</v>
      </c>
      <c r="V619" s="6" t="str">
        <f>IFERROR(__xludf.DUMMYFUNCTION("""COMPUTED_VALUE"""),"English")</f>
        <v>English</v>
      </c>
      <c r="W619" s="6" t="str">
        <f>IFERROR(__xludf.DUMMYFUNCTION("""COMPUTED_VALUE"""),"[]")</f>
        <v>[]</v>
      </c>
      <c r="X619" s="6" t="str">
        <f>IFERROR(__xludf.DUMMYFUNCTION("""COMPUTED_VALUE"""),"Enrolled")</f>
        <v>Enrolled</v>
      </c>
    </row>
    <row r="620">
      <c r="A620" s="6" t="str">
        <f>IFERROR(__xludf.DUMMYFUNCTION("""COMPUTED_VALUE"""),"001-0692")</f>
        <v>001-0692</v>
      </c>
      <c r="B620" s="6" t="str">
        <f>IFERROR(__xludf.DUMMYFUNCTION("""COMPUTED_VALUE"""),"1")</f>
        <v>1</v>
      </c>
      <c r="C620" s="6" t="str">
        <f>IFERROR(__xludf.DUMMYFUNCTION("""COMPUTED_VALUE"""),"0692")</f>
        <v>0692</v>
      </c>
      <c r="D620" s="6" t="str">
        <f>IFERROR(__xludf.DUMMYFUNCTION("""COMPUTED_VALUE"""),"Aleina")</f>
        <v>Aleina</v>
      </c>
      <c r="E620" s="6" t="str">
        <f>IFERROR(__xludf.DUMMYFUNCTION("""COMPUTED_VALUE"""),"")</f>
        <v/>
      </c>
      <c r="F620" s="6" t="str">
        <f>IFERROR(__xludf.DUMMYFUNCTION("""COMPUTED_VALUE"""),"Boyce")</f>
        <v>Boyce</v>
      </c>
      <c r="G620" s="6" t="str">
        <f>IFERROR(__xludf.DUMMYFUNCTION("""COMPUTED_VALUE"""),"10/08/2016")</f>
        <v>10/08/2016</v>
      </c>
      <c r="H620" s="6" t="str">
        <f>IFERROR(__xludf.DUMMYFUNCTION("""COMPUTED_VALUE"""),"female")</f>
        <v>female</v>
      </c>
      <c r="I620" s="6" t="str">
        <f>IFERROR(__xludf.DUMMYFUNCTION("""COMPUTED_VALUE"""),"Level 2")</f>
        <v>Level 2</v>
      </c>
      <c r="J620" s="6" t="str">
        <f>IFERROR(__xludf.DUMMYFUNCTION("""COMPUTED_VALUE"""),"4")</f>
        <v>4</v>
      </c>
      <c r="K620" s="6" t="str">
        <f>IFERROR(__xludf.DUMMYFUNCTION("""COMPUTED_VALUE"""),"aleina.boyce@alpha.school")</f>
        <v>aleina.boyce@alpha.school</v>
      </c>
      <c r="L620" s="6" t="str">
        <f>IFERROR(__xludf.DUMMYFUNCTION("""COMPUTED_VALUE"""),"Alpha School Austin")</f>
        <v>Alpha School Austin</v>
      </c>
      <c r="M620" s="6" t="str">
        <f>IFERROR(__xludf.DUMMYFUNCTION("""COMPUTED_VALUE"""),"")</f>
        <v/>
      </c>
      <c r="N620" s="6" t="str">
        <f>IFERROR(__xludf.DUMMYFUNCTION("""COMPUTED_VALUE"""),"")</f>
        <v/>
      </c>
      <c r="O620" s="87" t="str">
        <f>IFERROR(__xludf.DUMMYFUNCTION("""COMPUTED_VALUE"""),"https://drive.google.com/drive/folders/10T2cTQHqEJZqE-st6uFKPoI?usp=share_link")</f>
        <v>https://drive.google.com/drive/folders/10T2cTQHqEJZqE-st6uFKPoI?usp=share_link</v>
      </c>
      <c r="P620" s="6" t="str">
        <f>IFERROR(__xludf.DUMMYFUNCTION("""COMPUTED_VALUE"""),"Aleina Boyce")</f>
        <v>Aleina Boyce</v>
      </c>
      <c r="Q620" s="6" t="str">
        <f>IFERROR(__xludf.DUMMYFUNCTION("""COMPUTED_VALUE"""),"L2")</f>
        <v>L2</v>
      </c>
      <c r="R620" s="6">
        <f>IFERROR(__xludf.DUMMYFUNCTION("""COMPUTED_VALUE"""),2.0)</f>
        <v>2</v>
      </c>
      <c r="S620" s="6" t="str">
        <f>IFERROR(__xludf.DUMMYFUNCTION("""COMPUTED_VALUE"""),"Brittany Kemme")</f>
        <v>Brittany Kemme</v>
      </c>
      <c r="T620" s="6" t="str">
        <f>IFERROR(__xludf.DUMMYFUNCTION("""COMPUTED_VALUE"""),"brittany.kemme@alpha.school")</f>
        <v>brittany.kemme@alpha.school</v>
      </c>
      <c r="U620" s="6" t="str">
        <f>IFERROR(__xludf.DUMMYFUNCTION("""COMPUTED_VALUE"""),"4")</f>
        <v>4</v>
      </c>
      <c r="V620" s="6" t="str">
        <f>IFERROR(__xludf.DUMMYFUNCTION("""COMPUTED_VALUE"""),"English")</f>
        <v>English</v>
      </c>
      <c r="W620" s="6" t="str">
        <f>IFERROR(__xludf.DUMMYFUNCTION("""COMPUTED_VALUE"""),"[]")</f>
        <v>[]</v>
      </c>
      <c r="X620" s="6" t="str">
        <f>IFERROR(__xludf.DUMMYFUNCTION("""COMPUTED_VALUE"""),"Enrolled")</f>
        <v>Enrolled</v>
      </c>
    </row>
    <row r="621">
      <c r="A621" s="6" t="str">
        <f>IFERROR(__xludf.DUMMYFUNCTION("""COMPUTED_VALUE"""),"001-0693")</f>
        <v>001-0693</v>
      </c>
      <c r="B621" s="6" t="str">
        <f>IFERROR(__xludf.DUMMYFUNCTION("""COMPUTED_VALUE"""),"1")</f>
        <v>1</v>
      </c>
      <c r="C621" s="6" t="str">
        <f>IFERROR(__xludf.DUMMYFUNCTION("""COMPUTED_VALUE"""),"0693")</f>
        <v>0693</v>
      </c>
      <c r="D621" s="6" t="str">
        <f>IFERROR(__xludf.DUMMYFUNCTION("""COMPUTED_VALUE"""),"Donnie")</f>
        <v>Donnie</v>
      </c>
      <c r="E621" s="6" t="str">
        <f>IFERROR(__xludf.DUMMYFUNCTION("""COMPUTED_VALUE"""),"")</f>
        <v/>
      </c>
      <c r="F621" s="6" t="str">
        <f>IFERROR(__xludf.DUMMYFUNCTION("""COMPUTED_VALUE"""),"Moore")</f>
        <v>Moore</v>
      </c>
      <c r="G621" s="6" t="str">
        <f>IFERROR(__xludf.DUMMYFUNCTION("""COMPUTED_VALUE"""),"08/27/2014")</f>
        <v>08/27/2014</v>
      </c>
      <c r="H621" s="6" t="str">
        <f>IFERROR(__xludf.DUMMYFUNCTION("""COMPUTED_VALUE"""),"male")</f>
        <v>male</v>
      </c>
      <c r="I621" s="6" t="str">
        <f>IFERROR(__xludf.DUMMYFUNCTION("""COMPUTED_VALUE"""),"Level 2")</f>
        <v>Level 2</v>
      </c>
      <c r="J621" s="6" t="str">
        <f>IFERROR(__xludf.DUMMYFUNCTION("""COMPUTED_VALUE"""),"5")</f>
        <v>5</v>
      </c>
      <c r="K621" s="6" t="str">
        <f>IFERROR(__xludf.DUMMYFUNCTION("""COMPUTED_VALUE"""),"donnie.moore@alpha.school")</f>
        <v>donnie.moore@alpha.school</v>
      </c>
      <c r="L621" s="6" t="str">
        <f>IFERROR(__xludf.DUMMYFUNCTION("""COMPUTED_VALUE"""),"Alpha School Austin")</f>
        <v>Alpha School Austin</v>
      </c>
      <c r="M621" s="6" t="str">
        <f>IFERROR(__xludf.DUMMYFUNCTION("""COMPUTED_VALUE"""),"")</f>
        <v/>
      </c>
      <c r="N621" s="6" t="str">
        <f>IFERROR(__xludf.DUMMYFUNCTION("""COMPUTED_VALUE"""),"")</f>
        <v/>
      </c>
      <c r="O621" s="87" t="str">
        <f>IFERROR(__xludf.DUMMYFUNCTION("""COMPUTED_VALUE"""),"https://drive.google.com/drive/folders/10T2cTQHqEJZqE-st6uFKPoI?usp=share_link")</f>
        <v>https://drive.google.com/drive/folders/10T2cTQHqEJZqE-st6uFKPoI?usp=share_link</v>
      </c>
      <c r="P621" s="6" t="str">
        <f>IFERROR(__xludf.DUMMYFUNCTION("""COMPUTED_VALUE"""),"Donnie Moore")</f>
        <v>Donnie Moore</v>
      </c>
      <c r="Q621" s="6" t="str">
        <f>IFERROR(__xludf.DUMMYFUNCTION("""COMPUTED_VALUE"""),"L2")</f>
        <v>L2</v>
      </c>
      <c r="R621" s="6">
        <f>IFERROR(__xludf.DUMMYFUNCTION("""COMPUTED_VALUE"""),2.0)</f>
        <v>2</v>
      </c>
      <c r="S621" s="6" t="str">
        <f>IFERROR(__xludf.DUMMYFUNCTION("""COMPUTED_VALUE"""),"Emma Simon")</f>
        <v>Emma Simon</v>
      </c>
      <c r="T621" s="6" t="str">
        <f>IFERROR(__xludf.DUMMYFUNCTION("""COMPUTED_VALUE"""),"emma.simon@alpha.school")</f>
        <v>emma.simon@alpha.school</v>
      </c>
      <c r="U621" s="6" t="str">
        <f>IFERROR(__xludf.DUMMYFUNCTION("""COMPUTED_VALUE"""),"5")</f>
        <v>5</v>
      </c>
      <c r="V621" s="6" t="str">
        <f>IFERROR(__xludf.DUMMYFUNCTION("""COMPUTED_VALUE"""),"English")</f>
        <v>English</v>
      </c>
      <c r="W621" s="6" t="str">
        <f>IFERROR(__xludf.DUMMYFUNCTION("""COMPUTED_VALUE"""),"[]")</f>
        <v>[]</v>
      </c>
      <c r="X621" s="6" t="str">
        <f>IFERROR(__xludf.DUMMYFUNCTION("""COMPUTED_VALUE"""),"Enrolled")</f>
        <v>Enrolled</v>
      </c>
    </row>
    <row r="622">
      <c r="A622" s="6" t="str">
        <f>IFERROR(__xludf.DUMMYFUNCTION("""COMPUTED_VALUE"""),"001-0694")</f>
        <v>001-0694</v>
      </c>
      <c r="B622" s="6" t="str">
        <f>IFERROR(__xludf.DUMMYFUNCTION("""COMPUTED_VALUE"""),"1")</f>
        <v>1</v>
      </c>
      <c r="C622" s="6" t="str">
        <f>IFERROR(__xludf.DUMMYFUNCTION("""COMPUTED_VALUE"""),"0694")</f>
        <v>0694</v>
      </c>
      <c r="D622" s="6" t="str">
        <f>IFERROR(__xludf.DUMMYFUNCTION("""COMPUTED_VALUE"""),"Dario")</f>
        <v>Dario</v>
      </c>
      <c r="E622" s="6" t="str">
        <f>IFERROR(__xludf.DUMMYFUNCTION("""COMPUTED_VALUE"""),"Dario")</f>
        <v>Dario</v>
      </c>
      <c r="F622" s="6" t="str">
        <f>IFERROR(__xludf.DUMMYFUNCTION("""COMPUTED_VALUE"""),"Poyatos Ramos")</f>
        <v>Poyatos Ramos</v>
      </c>
      <c r="G622" s="6" t="str">
        <f>IFERROR(__xludf.DUMMYFUNCTION("""COMPUTED_VALUE"""),"02/03/2013")</f>
        <v>02/03/2013</v>
      </c>
      <c r="H622" s="6" t="str">
        <f>IFERROR(__xludf.DUMMYFUNCTION("""COMPUTED_VALUE"""),"male")</f>
        <v>male</v>
      </c>
      <c r="I622" s="6" t="str">
        <f>IFERROR(__xludf.DUMMYFUNCTION("""COMPUTED_VALUE"""),"Middle School")</f>
        <v>Middle School</v>
      </c>
      <c r="J622" s="6" t="str">
        <f>IFERROR(__xludf.DUMMYFUNCTION("""COMPUTED_VALUE"""),"7")</f>
        <v>7</v>
      </c>
      <c r="K622" s="6" t="str">
        <f>IFERROR(__xludf.DUMMYFUNCTION("""COMPUTED_VALUE"""),"dario.ramos@alpha.school")</f>
        <v>dario.ramos@alpha.school</v>
      </c>
      <c r="L622" s="6" t="str">
        <f>IFERROR(__xludf.DUMMYFUNCTION("""COMPUTED_VALUE"""),"Alpha School Austin")</f>
        <v>Alpha School Austin</v>
      </c>
      <c r="M622" s="6" t="str">
        <f>IFERROR(__xludf.DUMMYFUNCTION("""COMPUTED_VALUE"""),"")</f>
        <v/>
      </c>
      <c r="N622" s="6" t="str">
        <f>IFERROR(__xludf.DUMMYFUNCTION("""COMPUTED_VALUE"""),"")</f>
        <v/>
      </c>
      <c r="O622" s="87" t="str">
        <f>IFERROR(__xludf.DUMMYFUNCTION("""COMPUTED_VALUE"""),"https://drive.google.com/drive/folders/10T2cTQHqEJZqE-st6uFKPoI?usp=share_link")</f>
        <v>https://drive.google.com/drive/folders/10T2cTQHqEJZqE-st6uFKPoI?usp=share_link</v>
      </c>
      <c r="P622" s="6" t="str">
        <f>IFERROR(__xludf.DUMMYFUNCTION("""COMPUTED_VALUE"""),"Dario Poyatos Ramos")</f>
        <v>Dario Poyatos Ramos</v>
      </c>
      <c r="Q622" s="6" t="str">
        <f>IFERROR(__xludf.DUMMYFUNCTION("""COMPUTED_VALUE"""),"MS")</f>
        <v>MS</v>
      </c>
      <c r="R622" s="6">
        <f>IFERROR(__xludf.DUMMYFUNCTION("""COMPUTED_VALUE"""),0.0)</f>
        <v>0</v>
      </c>
      <c r="S622" s="6" t="str">
        <f>IFERROR(__xludf.DUMMYFUNCTION("""COMPUTED_VALUE"""),"Taylor Sweeney")</f>
        <v>Taylor Sweeney</v>
      </c>
      <c r="T622" s="6" t="str">
        <f>IFERROR(__xludf.DUMMYFUNCTION("""COMPUTED_VALUE"""),"taylor.sweeney@alpha.school")</f>
        <v>taylor.sweeney@alpha.school</v>
      </c>
      <c r="U622" s="6" t="str">
        <f>IFERROR(__xludf.DUMMYFUNCTION("""COMPUTED_VALUE"""),"7")</f>
        <v>7</v>
      </c>
      <c r="V622" s="6" t="str">
        <f>IFERROR(__xludf.DUMMYFUNCTION("""COMPUTED_VALUE"""),"English")</f>
        <v>English</v>
      </c>
      <c r="W622" s="6" t="str">
        <f>IFERROR(__xludf.DUMMYFUNCTION("""COMPUTED_VALUE"""),"[]")</f>
        <v>[]</v>
      </c>
      <c r="X622" s="6" t="str">
        <f>IFERROR(__xludf.DUMMYFUNCTION("""COMPUTED_VALUE"""),"Enrolled")</f>
        <v>Enrolled</v>
      </c>
    </row>
    <row r="623">
      <c r="A623" s="6" t="str">
        <f>IFERROR(__xludf.DUMMYFUNCTION("""COMPUTED_VALUE"""),"001-0695")</f>
        <v>001-0695</v>
      </c>
      <c r="B623" s="6" t="str">
        <f>IFERROR(__xludf.DUMMYFUNCTION("""COMPUTED_VALUE"""),"1")</f>
        <v>1</v>
      </c>
      <c r="C623" s="6" t="str">
        <f>IFERROR(__xludf.DUMMYFUNCTION("""COMPUTED_VALUE"""),"0695")</f>
        <v>0695</v>
      </c>
      <c r="D623" s="6" t="str">
        <f>IFERROR(__xludf.DUMMYFUNCTION("""COMPUTED_VALUE"""),"Love")</f>
        <v>Love</v>
      </c>
      <c r="E623" s="6" t="str">
        <f>IFERROR(__xludf.DUMMYFUNCTION("""COMPUTED_VALUE"""),"Love")</f>
        <v>Love</v>
      </c>
      <c r="F623" s="6" t="str">
        <f>IFERROR(__xludf.DUMMYFUNCTION("""COMPUTED_VALUE"""),"Lalla-Pagan")</f>
        <v>Lalla-Pagan</v>
      </c>
      <c r="G623" s="6" t="str">
        <f>IFERROR(__xludf.DUMMYFUNCTION("""COMPUTED_VALUE"""),"03/30/2013")</f>
        <v>03/30/2013</v>
      </c>
      <c r="H623" s="6" t="str">
        <f>IFERROR(__xludf.DUMMYFUNCTION("""COMPUTED_VALUE"""),"female")</f>
        <v>female</v>
      </c>
      <c r="I623" s="6" t="str">
        <f>IFERROR(__xludf.DUMMYFUNCTION("""COMPUTED_VALUE"""),"Middle School")</f>
        <v>Middle School</v>
      </c>
      <c r="J623" s="6" t="str">
        <f>IFERROR(__xludf.DUMMYFUNCTION("""COMPUTED_VALUE"""),"7")</f>
        <v>7</v>
      </c>
      <c r="K623" s="6" t="str">
        <f>IFERROR(__xludf.DUMMYFUNCTION("""COMPUTED_VALUE"""),"love.lalla-pagan@alpha.school")</f>
        <v>love.lalla-pagan@alpha.school</v>
      </c>
      <c r="L623" s="6" t="str">
        <f>IFERROR(__xludf.DUMMYFUNCTION("""COMPUTED_VALUE"""),"Alpha School Austin")</f>
        <v>Alpha School Austin</v>
      </c>
      <c r="M623" s="6" t="str">
        <f>IFERROR(__xludf.DUMMYFUNCTION("""COMPUTED_VALUE"""),"")</f>
        <v/>
      </c>
      <c r="N623" s="6" t="str">
        <f>IFERROR(__xludf.DUMMYFUNCTION("""COMPUTED_VALUE"""),"")</f>
        <v/>
      </c>
      <c r="O623" s="87" t="str">
        <f>IFERROR(__xludf.DUMMYFUNCTION("""COMPUTED_VALUE"""),"https://drive.google.com/drive/folders/10T2cTQHqEJZqE-st6uFKPoI?usp=share_link")</f>
        <v>https://drive.google.com/drive/folders/10T2cTQHqEJZqE-st6uFKPoI?usp=share_link</v>
      </c>
      <c r="P623" s="6" t="str">
        <f>IFERROR(__xludf.DUMMYFUNCTION("""COMPUTED_VALUE"""),"Love Lalla-Pagan")</f>
        <v>Love Lalla-Pagan</v>
      </c>
      <c r="Q623" s="6" t="str">
        <f>IFERROR(__xludf.DUMMYFUNCTION("""COMPUTED_VALUE"""),"MS")</f>
        <v>MS</v>
      </c>
      <c r="R623" s="6">
        <f>IFERROR(__xludf.DUMMYFUNCTION("""COMPUTED_VALUE"""),0.0)</f>
        <v>0</v>
      </c>
      <c r="S623" s="6" t="str">
        <f>IFERROR(__xludf.DUMMYFUNCTION("""COMPUTED_VALUE"""),"Taylor Sweeney")</f>
        <v>Taylor Sweeney</v>
      </c>
      <c r="T623" s="6" t="str">
        <f>IFERROR(__xludf.DUMMYFUNCTION("""COMPUTED_VALUE"""),"taylor.sweeney@alpha.school")</f>
        <v>taylor.sweeney@alpha.school</v>
      </c>
      <c r="U623" s="6" t="str">
        <f>IFERROR(__xludf.DUMMYFUNCTION("""COMPUTED_VALUE"""),"7")</f>
        <v>7</v>
      </c>
      <c r="V623" s="6" t="str">
        <f>IFERROR(__xludf.DUMMYFUNCTION("""COMPUTED_VALUE"""),"English")</f>
        <v>English</v>
      </c>
      <c r="W623" s="6" t="str">
        <f>IFERROR(__xludf.DUMMYFUNCTION("""COMPUTED_VALUE"""),"[]")</f>
        <v>[]</v>
      </c>
      <c r="X623" s="6" t="str">
        <f>IFERROR(__xludf.DUMMYFUNCTION("""COMPUTED_VALUE"""),"Enrolled")</f>
        <v>Enrolled</v>
      </c>
    </row>
    <row r="624">
      <c r="A624" s="6" t="str">
        <f>IFERROR(__xludf.DUMMYFUNCTION("""COMPUTED_VALUE"""),"001-0696")</f>
        <v>001-0696</v>
      </c>
      <c r="B624" s="6" t="str">
        <f>IFERROR(__xludf.DUMMYFUNCTION("""COMPUTED_VALUE"""),"1")</f>
        <v>1</v>
      </c>
      <c r="C624" s="6" t="str">
        <f>IFERROR(__xludf.DUMMYFUNCTION("""COMPUTED_VALUE"""),"0696")</f>
        <v>0696</v>
      </c>
      <c r="D624" s="6" t="str">
        <f>IFERROR(__xludf.DUMMYFUNCTION("""COMPUTED_VALUE"""),"Aoife")</f>
        <v>Aoife</v>
      </c>
      <c r="E624" s="6" t="str">
        <f>IFERROR(__xludf.DUMMYFUNCTION("""COMPUTED_VALUE"""),"")</f>
        <v/>
      </c>
      <c r="F624" s="6" t="str">
        <f>IFERROR(__xludf.DUMMYFUNCTION("""COMPUTED_VALUE"""),"Moore")</f>
        <v>Moore</v>
      </c>
      <c r="G624" s="6" t="str">
        <f>IFERROR(__xludf.DUMMYFUNCTION("""COMPUTED_VALUE"""),"02/21/2012")</f>
        <v>02/21/2012</v>
      </c>
      <c r="H624" s="6" t="str">
        <f>IFERROR(__xludf.DUMMYFUNCTION("""COMPUTED_VALUE"""),"Other")</f>
        <v>Other</v>
      </c>
      <c r="I624" s="6" t="str">
        <f>IFERROR(__xludf.DUMMYFUNCTION("""COMPUTED_VALUE"""),"Middle School")</f>
        <v>Middle School</v>
      </c>
      <c r="J624" s="6" t="str">
        <f>IFERROR(__xludf.DUMMYFUNCTION("""COMPUTED_VALUE"""),"8")</f>
        <v>8</v>
      </c>
      <c r="K624" s="6" t="str">
        <f>IFERROR(__xludf.DUMMYFUNCTION("""COMPUTED_VALUE"""),"aoife.moore@alpha.school")</f>
        <v>aoife.moore@alpha.school</v>
      </c>
      <c r="L624" s="6" t="str">
        <f>IFERROR(__xludf.DUMMYFUNCTION("""COMPUTED_VALUE"""),"Alpha School Austin")</f>
        <v>Alpha School Austin</v>
      </c>
      <c r="M624" s="6" t="str">
        <f>IFERROR(__xludf.DUMMYFUNCTION("""COMPUTED_VALUE"""),"")</f>
        <v/>
      </c>
      <c r="N624" s="6" t="str">
        <f>IFERROR(__xludf.DUMMYFUNCTION("""COMPUTED_VALUE"""),"")</f>
        <v/>
      </c>
      <c r="O624" s="87" t="str">
        <f>IFERROR(__xludf.DUMMYFUNCTION("""COMPUTED_VALUE"""),"https://drive.google.com/drive/folders/10T2cTQHqEJZqE-st6uFKPoI?usp=share_link")</f>
        <v>https://drive.google.com/drive/folders/10T2cTQHqEJZqE-st6uFKPoI?usp=share_link</v>
      </c>
      <c r="P624" s="6" t="str">
        <f>IFERROR(__xludf.DUMMYFUNCTION("""COMPUTED_VALUE"""),"Aoife Moore")</f>
        <v>Aoife Moore</v>
      </c>
      <c r="Q624" s="6" t="str">
        <f>IFERROR(__xludf.DUMMYFUNCTION("""COMPUTED_VALUE"""),"MS")</f>
        <v>MS</v>
      </c>
      <c r="R624" s="6">
        <f>IFERROR(__xludf.DUMMYFUNCTION("""COMPUTED_VALUE"""),0.0)</f>
        <v>0</v>
      </c>
      <c r="S624" s="6" t="str">
        <f>IFERROR(__xludf.DUMMYFUNCTION("""COMPUTED_VALUE"""),"Jawaan Delaney")</f>
        <v>Jawaan Delaney</v>
      </c>
      <c r="T624" s="6" t="str">
        <f>IFERROR(__xludf.DUMMYFUNCTION("""COMPUTED_VALUE"""),"jawaan.delaney@alpha.school")</f>
        <v>jawaan.delaney@alpha.school</v>
      </c>
      <c r="U624" s="6" t="str">
        <f>IFERROR(__xludf.DUMMYFUNCTION("""COMPUTED_VALUE"""),"8")</f>
        <v>8</v>
      </c>
      <c r="V624" s="6" t="str">
        <f>IFERROR(__xludf.DUMMYFUNCTION("""COMPUTED_VALUE"""),"English")</f>
        <v>English</v>
      </c>
      <c r="W624" s="6" t="str">
        <f>IFERROR(__xludf.DUMMYFUNCTION("""COMPUTED_VALUE"""),"[]")</f>
        <v>[]</v>
      </c>
      <c r="X624" s="6" t="str">
        <f>IFERROR(__xludf.DUMMYFUNCTION("""COMPUTED_VALUE"""),"Enrolled")</f>
        <v>Enrolled</v>
      </c>
    </row>
    <row r="625">
      <c r="A625" s="6" t="str">
        <f>IFERROR(__xludf.DUMMYFUNCTION("""COMPUTED_VALUE"""),"001-0697")</f>
        <v>001-0697</v>
      </c>
      <c r="B625" s="6" t="str">
        <f>IFERROR(__xludf.DUMMYFUNCTION("""COMPUTED_VALUE"""),"1")</f>
        <v>1</v>
      </c>
      <c r="C625" s="6" t="str">
        <f>IFERROR(__xludf.DUMMYFUNCTION("""COMPUTED_VALUE"""),"0697")</f>
        <v>0697</v>
      </c>
      <c r="D625" s="6" t="str">
        <f>IFERROR(__xludf.DUMMYFUNCTION("""COMPUTED_VALUE"""),"Parker")</f>
        <v>Parker</v>
      </c>
      <c r="E625" s="6" t="str">
        <f>IFERROR(__xludf.DUMMYFUNCTION("""COMPUTED_VALUE"""),"Parker")</f>
        <v>Parker</v>
      </c>
      <c r="F625" s="6" t="str">
        <f>IFERROR(__xludf.DUMMYFUNCTION("""COMPUTED_VALUE"""),"Carlson")</f>
        <v>Carlson</v>
      </c>
      <c r="G625" s="6" t="str">
        <f>IFERROR(__xludf.DUMMYFUNCTION("""COMPUTED_VALUE"""),"06/12/2013")</f>
        <v>06/12/2013</v>
      </c>
      <c r="H625" s="6" t="str">
        <f>IFERROR(__xludf.DUMMYFUNCTION("""COMPUTED_VALUE"""),"female")</f>
        <v>female</v>
      </c>
      <c r="I625" s="6" t="str">
        <f>IFERROR(__xludf.DUMMYFUNCTION("""COMPUTED_VALUE"""),"Middle School")</f>
        <v>Middle School</v>
      </c>
      <c r="J625" s="6" t="str">
        <f>IFERROR(__xludf.DUMMYFUNCTION("""COMPUTED_VALUE"""),"7")</f>
        <v>7</v>
      </c>
      <c r="K625" s="6" t="str">
        <f>IFERROR(__xludf.DUMMYFUNCTION("""COMPUTED_VALUE"""),"parker.carlson@alpha.school")</f>
        <v>parker.carlson@alpha.school</v>
      </c>
      <c r="L625" s="6" t="str">
        <f>IFERROR(__xludf.DUMMYFUNCTION("""COMPUTED_VALUE"""),"Alpha School Austin")</f>
        <v>Alpha School Austin</v>
      </c>
      <c r="M625" s="6" t="str">
        <f>IFERROR(__xludf.DUMMYFUNCTION("""COMPUTED_VALUE"""),"")</f>
        <v/>
      </c>
      <c r="N625" s="6" t="str">
        <f>IFERROR(__xludf.DUMMYFUNCTION("""COMPUTED_VALUE"""),"")</f>
        <v/>
      </c>
      <c r="O625" s="87" t="str">
        <f>IFERROR(__xludf.DUMMYFUNCTION("""COMPUTED_VALUE"""),"https://drive.google.com/drive/folders/10T2cTQHqEJZqE-st6uFKPoI?usp=share_link")</f>
        <v>https://drive.google.com/drive/folders/10T2cTQHqEJZqE-st6uFKPoI?usp=share_link</v>
      </c>
      <c r="P625" s="6" t="str">
        <f>IFERROR(__xludf.DUMMYFUNCTION("""COMPUTED_VALUE"""),"Parker Carlson")</f>
        <v>Parker Carlson</v>
      </c>
      <c r="Q625" s="6" t="str">
        <f>IFERROR(__xludf.DUMMYFUNCTION("""COMPUTED_VALUE"""),"MS")</f>
        <v>MS</v>
      </c>
      <c r="R625" s="6">
        <f>IFERROR(__xludf.DUMMYFUNCTION("""COMPUTED_VALUE"""),0.0)</f>
        <v>0</v>
      </c>
      <c r="S625" s="6" t="str">
        <f>IFERROR(__xludf.DUMMYFUNCTION("""COMPUTED_VALUE"""),"Israel Adesina")</f>
        <v>Israel Adesina</v>
      </c>
      <c r="T625" s="6" t="str">
        <f>IFERROR(__xludf.DUMMYFUNCTION("""COMPUTED_VALUE"""),"israel.adesina@alpha.school")</f>
        <v>israel.adesina@alpha.school</v>
      </c>
      <c r="U625" s="6" t="str">
        <f>IFERROR(__xludf.DUMMYFUNCTION("""COMPUTED_VALUE"""),"7")</f>
        <v>7</v>
      </c>
      <c r="V625" s="6" t="str">
        <f>IFERROR(__xludf.DUMMYFUNCTION("""COMPUTED_VALUE"""),"")</f>
        <v/>
      </c>
      <c r="W625" s="6" t="str">
        <f>IFERROR(__xludf.DUMMYFUNCTION("""COMPUTED_VALUE"""),"[]")</f>
        <v>[]</v>
      </c>
      <c r="X625" s="6" t="str">
        <f>IFERROR(__xludf.DUMMYFUNCTION("""COMPUTED_VALUE"""),"Enrolled")</f>
        <v>Enrolled</v>
      </c>
    </row>
    <row r="626">
      <c r="A626" s="6" t="str">
        <f>IFERROR(__xludf.DUMMYFUNCTION("""COMPUTED_VALUE"""),"001-0698")</f>
        <v>001-0698</v>
      </c>
      <c r="B626" s="6" t="str">
        <f>IFERROR(__xludf.DUMMYFUNCTION("""COMPUTED_VALUE"""),"1")</f>
        <v>1</v>
      </c>
      <c r="C626" s="6" t="str">
        <f>IFERROR(__xludf.DUMMYFUNCTION("""COMPUTED_VALUE"""),"0698")</f>
        <v>0698</v>
      </c>
      <c r="D626" s="6" t="str">
        <f>IFERROR(__xludf.DUMMYFUNCTION("""COMPUTED_VALUE"""),"Jacob")</f>
        <v>Jacob</v>
      </c>
      <c r="E626" s="6" t="str">
        <f>IFERROR(__xludf.DUMMYFUNCTION("""COMPUTED_VALUE"""),"Jake")</f>
        <v>Jake</v>
      </c>
      <c r="F626" s="6" t="str">
        <f>IFERROR(__xludf.DUMMYFUNCTION("""COMPUTED_VALUE"""),"Signor")</f>
        <v>Signor</v>
      </c>
      <c r="G626" s="6" t="str">
        <f>IFERROR(__xludf.DUMMYFUNCTION("""COMPUTED_VALUE"""),"11/21/2017")</f>
        <v>11/21/2017</v>
      </c>
      <c r="H626" s="6" t="str">
        <f>IFERROR(__xludf.DUMMYFUNCTION("""COMPUTED_VALUE"""),"male")</f>
        <v>male</v>
      </c>
      <c r="I626" s="6" t="str">
        <f>IFERROR(__xludf.DUMMYFUNCTION("""COMPUTED_VALUE"""),"Level 1")</f>
        <v>Level 1</v>
      </c>
      <c r="J626" s="6" t="str">
        <f>IFERROR(__xludf.DUMMYFUNCTION("""COMPUTED_VALUE"""),"2")</f>
        <v>2</v>
      </c>
      <c r="K626" s="6" t="str">
        <f>IFERROR(__xludf.DUMMYFUNCTION("""COMPUTED_VALUE"""),"jacob.signor@alpha.school")</f>
        <v>jacob.signor@alpha.school</v>
      </c>
      <c r="L626" s="6" t="str">
        <f>IFERROR(__xludf.DUMMYFUNCTION("""COMPUTED_VALUE"""),"Alpha School Austin")</f>
        <v>Alpha School Austin</v>
      </c>
      <c r="M626" s="6" t="str">
        <f>IFERROR(__xludf.DUMMYFUNCTION("""COMPUTED_VALUE"""),"")</f>
        <v/>
      </c>
      <c r="N626" s="6" t="str">
        <f>IFERROR(__xludf.DUMMYFUNCTION("""COMPUTED_VALUE"""),"")</f>
        <v/>
      </c>
      <c r="O626" s="87" t="str">
        <f>IFERROR(__xludf.DUMMYFUNCTION("""COMPUTED_VALUE"""),"https://drive.google.com/drive/folders/10T2cTQHqEJZqE-st6uFKPoI?usp=share_link")</f>
        <v>https://drive.google.com/drive/folders/10T2cTQHqEJZqE-st6uFKPoI?usp=share_link</v>
      </c>
      <c r="P626" s="6" t="str">
        <f>IFERROR(__xludf.DUMMYFUNCTION("""COMPUTED_VALUE"""),"Jake Signor")</f>
        <v>Jake Signor</v>
      </c>
      <c r="Q626" s="6" t="str">
        <f>IFERROR(__xludf.DUMMYFUNCTION("""COMPUTED_VALUE"""),"L1")</f>
        <v>L1</v>
      </c>
      <c r="R626" s="6">
        <f>IFERROR(__xludf.DUMMYFUNCTION("""COMPUTED_VALUE"""),1.0)</f>
        <v>1</v>
      </c>
      <c r="S626" s="6" t="str">
        <f>IFERROR(__xludf.DUMMYFUNCTION("""COMPUTED_VALUE"""),"Jacob Frisch")</f>
        <v>Jacob Frisch</v>
      </c>
      <c r="T626" s="6" t="str">
        <f>IFERROR(__xludf.DUMMYFUNCTION("""COMPUTED_VALUE"""),"jacob.frisch@2hourlearning.com")</f>
        <v>jacob.frisch@2hourlearning.com</v>
      </c>
      <c r="U626" s="6" t="str">
        <f>IFERROR(__xludf.DUMMYFUNCTION("""COMPUTED_VALUE"""),"2")</f>
        <v>2</v>
      </c>
      <c r="V626" s="6" t="str">
        <f>IFERROR(__xludf.DUMMYFUNCTION("""COMPUTED_VALUE"""),"")</f>
        <v/>
      </c>
      <c r="W626" s="6" t="str">
        <f>IFERROR(__xludf.DUMMYFUNCTION("""COMPUTED_VALUE"""),"[]")</f>
        <v>[]</v>
      </c>
      <c r="X626" s="6" t="str">
        <f>IFERROR(__xludf.DUMMYFUNCTION("""COMPUTED_VALUE"""),"Enrolled")</f>
        <v>Enrolled</v>
      </c>
    </row>
    <row r="627">
      <c r="A627" s="6" t="str">
        <f>IFERROR(__xludf.DUMMYFUNCTION("""COMPUTED_VALUE"""),"001-0721")</f>
        <v>001-0721</v>
      </c>
      <c r="B627" s="6" t="str">
        <f>IFERROR(__xludf.DUMMYFUNCTION("""COMPUTED_VALUE"""),"1")</f>
        <v>1</v>
      </c>
      <c r="C627" s="6" t="str">
        <f>IFERROR(__xludf.DUMMYFUNCTION("""COMPUTED_VALUE"""),"0721")</f>
        <v>0721</v>
      </c>
      <c r="D627" s="6" t="str">
        <f>IFERROR(__xludf.DUMMYFUNCTION("""COMPUTED_VALUE"""),"Aiden")</f>
        <v>Aiden</v>
      </c>
      <c r="E627" s="6" t="str">
        <f>IFERROR(__xludf.DUMMYFUNCTION("""COMPUTED_VALUE"""),"")</f>
        <v/>
      </c>
      <c r="F627" s="6" t="str">
        <f>IFERROR(__xludf.DUMMYFUNCTION("""COMPUTED_VALUE"""),"Richardson")</f>
        <v>Richardson</v>
      </c>
      <c r="G627" s="6" t="str">
        <f>IFERROR(__xludf.DUMMYFUNCTION("""COMPUTED_VALUE"""),"09/12/2019")</f>
        <v>09/12/2019</v>
      </c>
      <c r="H627" s="6" t="str">
        <f>IFERROR(__xludf.DUMMYFUNCTION("""COMPUTED_VALUE"""),"male")</f>
        <v>male</v>
      </c>
      <c r="I627" s="6" t="str">
        <f>IFERROR(__xludf.DUMMYFUNCTION("""COMPUTED_VALUE"""),"Learning Lab")</f>
        <v>Learning Lab</v>
      </c>
      <c r="J627" s="6" t="str">
        <f>IFERROR(__xludf.DUMMYFUNCTION("""COMPUTED_VALUE"""),"1")</f>
        <v>1</v>
      </c>
      <c r="K627" s="6" t="str">
        <f>IFERROR(__xludf.DUMMYFUNCTION("""COMPUTED_VALUE"""),"aiden.richardson@alpha.school")</f>
        <v>aiden.richardson@alpha.school</v>
      </c>
      <c r="L627" s="6" t="str">
        <f>IFERROR(__xludf.DUMMYFUNCTION("""COMPUTED_VALUE"""),"Alpha School Austin")</f>
        <v>Alpha School Austin</v>
      </c>
      <c r="M627" s="6" t="str">
        <f>IFERROR(__xludf.DUMMYFUNCTION("""COMPUTED_VALUE"""),"")</f>
        <v/>
      </c>
      <c r="N627" s="6" t="str">
        <f>IFERROR(__xludf.DUMMYFUNCTION("""COMPUTED_VALUE"""),"")</f>
        <v/>
      </c>
      <c r="O627" s="87" t="str">
        <f>IFERROR(__xludf.DUMMYFUNCTION("""COMPUTED_VALUE"""),"https://drive.google.com/drive/folders/10T2cTQHqEJZqE-st6uFKPoI?usp=share_link")</f>
        <v>https://drive.google.com/drive/folders/10T2cTQHqEJZqE-st6uFKPoI?usp=share_link</v>
      </c>
      <c r="P627" s="6" t="str">
        <f>IFERROR(__xludf.DUMMYFUNCTION("""COMPUTED_VALUE"""),"Aiden Richardson")</f>
        <v>Aiden Richardson</v>
      </c>
      <c r="Q627" s="6" t="str">
        <f>IFERROR(__xludf.DUMMYFUNCTION("""COMPUTED_VALUE"""),"LL")</f>
        <v>LL</v>
      </c>
      <c r="R627" s="6">
        <f>IFERROR(__xludf.DUMMYFUNCTION("""COMPUTED_VALUE"""),0.0)</f>
        <v>0</v>
      </c>
      <c r="S627" s="6" t="str">
        <f>IFERROR(__xludf.DUMMYFUNCTION("""COMPUTED_VALUE"""),"Charity Villegas")</f>
        <v>Charity Villegas</v>
      </c>
      <c r="T627" s="6" t="str">
        <f>IFERROR(__xludf.DUMMYFUNCTION("""COMPUTED_VALUE"""),"charity.villegas@alpha.school")</f>
        <v>charity.villegas@alpha.school</v>
      </c>
      <c r="U627" s="6" t="str">
        <f>IFERROR(__xludf.DUMMYFUNCTION("""COMPUTED_VALUE"""),"1")</f>
        <v>1</v>
      </c>
      <c r="V627" s="6" t="str">
        <f>IFERROR(__xludf.DUMMYFUNCTION("""COMPUTED_VALUE"""),"English")</f>
        <v>English</v>
      </c>
      <c r="W627" s="6" t="str">
        <f>IFERROR(__xludf.DUMMYFUNCTION("""COMPUTED_VALUE"""),"[]")</f>
        <v>[]</v>
      </c>
      <c r="X627" s="6" t="str">
        <f>IFERROR(__xludf.DUMMYFUNCTION("""COMPUTED_VALUE"""),"Enrolled")</f>
        <v>Enrolled</v>
      </c>
    </row>
    <row r="628">
      <c r="A628" s="6" t="str">
        <f>IFERROR(__xludf.DUMMYFUNCTION("""COMPUTED_VALUE"""),"001-0722")</f>
        <v>001-0722</v>
      </c>
      <c r="B628" s="6" t="str">
        <f>IFERROR(__xludf.DUMMYFUNCTION("""COMPUTED_VALUE"""),"1")</f>
        <v>1</v>
      </c>
      <c r="C628" s="6" t="str">
        <f>IFERROR(__xludf.DUMMYFUNCTION("""COMPUTED_VALUE"""),"0722")</f>
        <v>0722</v>
      </c>
      <c r="D628" s="6" t="str">
        <f>IFERROR(__xludf.DUMMYFUNCTION("""COMPUTED_VALUE"""),"Nicolas")</f>
        <v>Nicolas</v>
      </c>
      <c r="E628" s="6" t="str">
        <f>IFERROR(__xludf.DUMMYFUNCTION("""COMPUTED_VALUE"""),"Nico")</f>
        <v>Nico</v>
      </c>
      <c r="F628" s="6" t="str">
        <f>IFERROR(__xludf.DUMMYFUNCTION("""COMPUTED_VALUE"""),"Blanco")</f>
        <v>Blanco</v>
      </c>
      <c r="G628" s="6" t="str">
        <f>IFERROR(__xludf.DUMMYFUNCTION("""COMPUTED_VALUE"""),"02/19/2019")</f>
        <v>02/19/2019</v>
      </c>
      <c r="H628" s="6" t="str">
        <f>IFERROR(__xludf.DUMMYFUNCTION("""COMPUTED_VALUE"""),"male")</f>
        <v>male</v>
      </c>
      <c r="I628" s="6" t="str">
        <f>IFERROR(__xludf.DUMMYFUNCTION("""COMPUTED_VALUE"""),"Learning Lab")</f>
        <v>Learning Lab</v>
      </c>
      <c r="J628" s="6" t="str">
        <f>IFERROR(__xludf.DUMMYFUNCTION("""COMPUTED_VALUE"""),"1")</f>
        <v>1</v>
      </c>
      <c r="K628" s="6" t="str">
        <f>IFERROR(__xludf.DUMMYFUNCTION("""COMPUTED_VALUE"""),"nico.blanco@alpha.school")</f>
        <v>nico.blanco@alpha.school</v>
      </c>
      <c r="L628" s="6" t="str">
        <f>IFERROR(__xludf.DUMMYFUNCTION("""COMPUTED_VALUE"""),"Alpha School Austin")</f>
        <v>Alpha School Austin</v>
      </c>
      <c r="M628" s="6" t="str">
        <f>IFERROR(__xludf.DUMMYFUNCTION("""COMPUTED_VALUE"""),"")</f>
        <v/>
      </c>
      <c r="N628" s="6" t="str">
        <f>IFERROR(__xludf.DUMMYFUNCTION("""COMPUTED_VALUE"""),"")</f>
        <v/>
      </c>
      <c r="O628" s="87" t="str">
        <f>IFERROR(__xludf.DUMMYFUNCTION("""COMPUTED_VALUE"""),"https://drive.google.com/drive/folders/10T2cTQHqEJZqE-st6uFKPoI?usp=share_link")</f>
        <v>https://drive.google.com/drive/folders/10T2cTQHqEJZqE-st6uFKPoI?usp=share_link</v>
      </c>
      <c r="P628" s="6" t="str">
        <f>IFERROR(__xludf.DUMMYFUNCTION("""COMPUTED_VALUE"""),"Nico Blanco")</f>
        <v>Nico Blanco</v>
      </c>
      <c r="Q628" s="6" t="str">
        <f>IFERROR(__xludf.DUMMYFUNCTION("""COMPUTED_VALUE"""),"LL")</f>
        <v>LL</v>
      </c>
      <c r="R628" s="6">
        <f>IFERROR(__xludf.DUMMYFUNCTION("""COMPUTED_VALUE"""),0.0)</f>
        <v>0</v>
      </c>
      <c r="S628" s="6" t="str">
        <f>IFERROR(__xludf.DUMMYFUNCTION("""COMPUTED_VALUE"""),"Darby Knox")</f>
        <v>Darby Knox</v>
      </c>
      <c r="T628" s="6" t="str">
        <f>IFERROR(__xludf.DUMMYFUNCTION("""COMPUTED_VALUE"""),"darby.knox@alpha.school")</f>
        <v>darby.knox@alpha.school</v>
      </c>
      <c r="U628" s="6" t="str">
        <f>IFERROR(__xludf.DUMMYFUNCTION("""COMPUTED_VALUE"""),"1")</f>
        <v>1</v>
      </c>
      <c r="V628" s="6" t="str">
        <f>IFERROR(__xludf.DUMMYFUNCTION("""COMPUTED_VALUE"""),"English")</f>
        <v>English</v>
      </c>
      <c r="W628" s="6" t="str">
        <f>IFERROR(__xludf.DUMMYFUNCTION("""COMPUTED_VALUE"""),"[]")</f>
        <v>[]</v>
      </c>
      <c r="X628" s="6" t="str">
        <f>IFERROR(__xludf.DUMMYFUNCTION("""COMPUTED_VALUE"""),"Enrolled")</f>
        <v>Enrolled</v>
      </c>
    </row>
    <row r="629">
      <c r="A629" s="6" t="str">
        <f>IFERROR(__xludf.DUMMYFUNCTION("""COMPUTED_VALUE"""),"001-0727")</f>
        <v>001-0727</v>
      </c>
      <c r="B629" s="6" t="str">
        <f>IFERROR(__xludf.DUMMYFUNCTION("""COMPUTED_VALUE"""),"1")</f>
        <v>1</v>
      </c>
      <c r="C629" s="6" t="str">
        <f>IFERROR(__xludf.DUMMYFUNCTION("""COMPUTED_VALUE"""),"0727")</f>
        <v>0727</v>
      </c>
      <c r="D629" s="6" t="str">
        <f>IFERROR(__xludf.DUMMYFUNCTION("""COMPUTED_VALUE"""),"Eva")</f>
        <v>Eva</v>
      </c>
      <c r="E629" s="6" t="str">
        <f>IFERROR(__xludf.DUMMYFUNCTION("""COMPUTED_VALUE"""),"")</f>
        <v/>
      </c>
      <c r="F629" s="6" t="str">
        <f>IFERROR(__xludf.DUMMYFUNCTION("""COMPUTED_VALUE"""),"Lenington")</f>
        <v>Lenington</v>
      </c>
      <c r="G629" s="6" t="str">
        <f>IFERROR(__xludf.DUMMYFUNCTION("""COMPUTED_VALUE"""),"11/14/2017")</f>
        <v>11/14/2017</v>
      </c>
      <c r="H629" s="6" t="str">
        <f>IFERROR(__xludf.DUMMYFUNCTION("""COMPUTED_VALUE"""),"F")</f>
        <v>F</v>
      </c>
      <c r="I629" s="6" t="str">
        <f>IFERROR(__xludf.DUMMYFUNCTION("""COMPUTED_VALUE"""),"Level 1")</f>
        <v>Level 1</v>
      </c>
      <c r="J629" s="6" t="str">
        <f>IFERROR(__xludf.DUMMYFUNCTION("""COMPUTED_VALUE"""),"2")</f>
        <v>2</v>
      </c>
      <c r="K629" s="6" t="str">
        <f>IFERROR(__xludf.DUMMYFUNCTION("""COMPUTED_VALUE"""),"eva.lenington@alpha.school")</f>
        <v>eva.lenington@alpha.school</v>
      </c>
      <c r="L629" s="6" t="str">
        <f>IFERROR(__xludf.DUMMYFUNCTION("""COMPUTED_VALUE"""),"Alpha School Austin")</f>
        <v>Alpha School Austin</v>
      </c>
      <c r="M629" s="6" t="str">
        <f>IFERROR(__xludf.DUMMYFUNCTION("""COMPUTED_VALUE"""),"")</f>
        <v/>
      </c>
      <c r="N629" s="6" t="str">
        <f>IFERROR(__xludf.DUMMYFUNCTION("""COMPUTED_VALUE"""),"")</f>
        <v/>
      </c>
      <c r="O629" s="87" t="str">
        <f>IFERROR(__xludf.DUMMYFUNCTION("""COMPUTED_VALUE"""),"https://drive.google.com/drive/folders/10T2cTQHqEJZqE-st6uFKPoI?usp=share_link")</f>
        <v>https://drive.google.com/drive/folders/10T2cTQHqEJZqE-st6uFKPoI?usp=share_link</v>
      </c>
      <c r="P629" s="6" t="str">
        <f>IFERROR(__xludf.DUMMYFUNCTION("""COMPUTED_VALUE"""),"Eva Lenington")</f>
        <v>Eva Lenington</v>
      </c>
      <c r="Q629" s="6" t="str">
        <f>IFERROR(__xludf.DUMMYFUNCTION("""COMPUTED_VALUE"""),"L1")</f>
        <v>L1</v>
      </c>
      <c r="R629" s="6">
        <f>IFERROR(__xludf.DUMMYFUNCTION("""COMPUTED_VALUE"""),1.0)</f>
        <v>1</v>
      </c>
      <c r="S629" s="6" t="str">
        <f>IFERROR(__xludf.DUMMYFUNCTION("""COMPUTED_VALUE"""),"Christie Ray")</f>
        <v>Christie Ray</v>
      </c>
      <c r="T629" s="6" t="str">
        <f>IFERROR(__xludf.DUMMYFUNCTION("""COMPUTED_VALUE"""),"christie.ray@2hourlearning.com")</f>
        <v>christie.ray@2hourlearning.com</v>
      </c>
      <c r="U629" s="6" t="str">
        <f>IFERROR(__xludf.DUMMYFUNCTION("""COMPUTED_VALUE"""),"2")</f>
        <v>2</v>
      </c>
      <c r="V629" s="6" t="str">
        <f>IFERROR(__xludf.DUMMYFUNCTION("""COMPUTED_VALUE"""),"English")</f>
        <v>English</v>
      </c>
      <c r="W629" s="6" t="str">
        <f>IFERROR(__xludf.DUMMYFUNCTION("""COMPUTED_VALUE"""),"[]")</f>
        <v>[]</v>
      </c>
      <c r="X629" s="6" t="str">
        <f>IFERROR(__xludf.DUMMYFUNCTION("""COMPUTED_VALUE"""),"Enrolled")</f>
        <v>Enrolled</v>
      </c>
    </row>
    <row r="630">
      <c r="A630" s="6" t="str">
        <f>IFERROR(__xludf.DUMMYFUNCTION("""COMPUTED_VALUE"""),"001-0728")</f>
        <v>001-0728</v>
      </c>
      <c r="B630" s="6" t="str">
        <f>IFERROR(__xludf.DUMMYFUNCTION("""COMPUTED_VALUE"""),"1")</f>
        <v>1</v>
      </c>
      <c r="C630" s="6" t="str">
        <f>IFERROR(__xludf.DUMMYFUNCTION("""COMPUTED_VALUE"""),"0728")</f>
        <v>0728</v>
      </c>
      <c r="D630" s="6" t="str">
        <f>IFERROR(__xludf.DUMMYFUNCTION("""COMPUTED_VALUE"""),"Grady")</f>
        <v>Grady</v>
      </c>
      <c r="E630" s="6" t="str">
        <f>IFERROR(__xludf.DUMMYFUNCTION("""COMPUTED_VALUE"""),"Grady")</f>
        <v>Grady</v>
      </c>
      <c r="F630" s="6" t="str">
        <f>IFERROR(__xludf.DUMMYFUNCTION("""COMPUTED_VALUE"""),"Swanson")</f>
        <v>Swanson</v>
      </c>
      <c r="G630" s="6" t="str">
        <f>IFERROR(__xludf.DUMMYFUNCTION("""COMPUTED_VALUE"""),"03/14/2011")</f>
        <v>03/14/2011</v>
      </c>
      <c r="H630" s="6" t="str">
        <f>IFERROR(__xludf.DUMMYFUNCTION("""COMPUTED_VALUE"""),"male")</f>
        <v>male</v>
      </c>
      <c r="I630" s="6" t="str">
        <f>IFERROR(__xludf.DUMMYFUNCTION("""COMPUTED_VALUE"""),"High School")</f>
        <v>High School</v>
      </c>
      <c r="J630" s="6" t="str">
        <f>IFERROR(__xludf.DUMMYFUNCTION("""COMPUTED_VALUE"""),"9")</f>
        <v>9</v>
      </c>
      <c r="K630" s="6" t="str">
        <f>IFERROR(__xludf.DUMMYFUNCTION("""COMPUTED_VALUE"""),"grady.swanson@alpha.school")</f>
        <v>grady.swanson@alpha.school</v>
      </c>
      <c r="L630" s="6" t="str">
        <f>IFERROR(__xludf.DUMMYFUNCTION("""COMPUTED_VALUE"""),"Alpha High School")</f>
        <v>Alpha High School</v>
      </c>
      <c r="M630" s="6" t="str">
        <f>IFERROR(__xludf.DUMMYFUNCTION("""COMPUTED_VALUE"""),"")</f>
        <v/>
      </c>
      <c r="N630" s="6" t="str">
        <f>IFERROR(__xludf.DUMMYFUNCTION("""COMPUTED_VALUE"""),"")</f>
        <v/>
      </c>
      <c r="O630" s="87" t="str">
        <f>IFERROR(__xludf.DUMMYFUNCTION("""COMPUTED_VALUE"""),"https://drive.google.com/drive/folders/10T2cTQHqEJZqE-st6uFKPoI?usp=share_link")</f>
        <v>https://drive.google.com/drive/folders/10T2cTQHqEJZqE-st6uFKPoI?usp=share_link</v>
      </c>
      <c r="P630" s="6" t="str">
        <f>IFERROR(__xludf.DUMMYFUNCTION("""COMPUTED_VALUE"""),"Grady Swanson")</f>
        <v>Grady Swanson</v>
      </c>
      <c r="Q630" s="6" t="str">
        <f>IFERROR(__xludf.DUMMYFUNCTION("""COMPUTED_VALUE"""),"HS")</f>
        <v>HS</v>
      </c>
      <c r="R630" s="6">
        <f>IFERROR(__xludf.DUMMYFUNCTION("""COMPUTED_VALUE"""),0.0)</f>
        <v>0</v>
      </c>
      <c r="S630" s="6" t="str">
        <f>IFERROR(__xludf.DUMMYFUNCTION("""COMPUTED_VALUE"""),"Cameron Sorsby")</f>
        <v>Cameron Sorsby</v>
      </c>
      <c r="T630" s="6" t="str">
        <f>IFERROR(__xludf.DUMMYFUNCTION("""COMPUTED_VALUE"""),"cameron.sorsby@alpha.school")</f>
        <v>cameron.sorsby@alpha.school</v>
      </c>
      <c r="U630" s="6" t="str">
        <f>IFERROR(__xludf.DUMMYFUNCTION("""COMPUTED_VALUE"""),"9")</f>
        <v>9</v>
      </c>
      <c r="V630" s="6" t="str">
        <f>IFERROR(__xludf.DUMMYFUNCTION("""COMPUTED_VALUE"""),"English")</f>
        <v>English</v>
      </c>
      <c r="W630" s="6" t="str">
        <f>IFERROR(__xludf.DUMMYFUNCTION("""COMPUTED_VALUE"""),"[]")</f>
        <v>[]</v>
      </c>
      <c r="X630" s="6" t="str">
        <f>IFERROR(__xludf.DUMMYFUNCTION("""COMPUTED_VALUE"""),"Enrolled")</f>
        <v>Enrolled</v>
      </c>
    </row>
    <row r="631">
      <c r="A631" s="6" t="str">
        <f>IFERROR(__xludf.DUMMYFUNCTION("""COMPUTED_VALUE"""),"001-0729")</f>
        <v>001-0729</v>
      </c>
      <c r="B631" s="6" t="str">
        <f>IFERROR(__xludf.DUMMYFUNCTION("""COMPUTED_VALUE"""),"1")</f>
        <v>1</v>
      </c>
      <c r="C631" s="6" t="str">
        <f>IFERROR(__xludf.DUMMYFUNCTION("""COMPUTED_VALUE"""),"0729")</f>
        <v>0729</v>
      </c>
      <c r="D631" s="6" t="str">
        <f>IFERROR(__xludf.DUMMYFUNCTION("""COMPUTED_VALUE"""),"Alexander")</f>
        <v>Alexander</v>
      </c>
      <c r="E631" s="6" t="str">
        <f>IFERROR(__xludf.DUMMYFUNCTION("""COMPUTED_VALUE"""),"Alex")</f>
        <v>Alex</v>
      </c>
      <c r="F631" s="6" t="str">
        <f>IFERROR(__xludf.DUMMYFUNCTION("""COMPUTED_VALUE"""),"Mathew")</f>
        <v>Mathew</v>
      </c>
      <c r="G631" s="6" t="str">
        <f>IFERROR(__xludf.DUMMYFUNCTION("""COMPUTED_VALUE"""),"10/03/2008")</f>
        <v>10/03/2008</v>
      </c>
      <c r="H631" s="6" t="str">
        <f>IFERROR(__xludf.DUMMYFUNCTION("""COMPUTED_VALUE"""),"male")</f>
        <v>male</v>
      </c>
      <c r="I631" s="6" t="str">
        <f>IFERROR(__xludf.DUMMYFUNCTION("""COMPUTED_VALUE"""),"High School")</f>
        <v>High School</v>
      </c>
      <c r="J631" s="6" t="str">
        <f>IFERROR(__xludf.DUMMYFUNCTION("""COMPUTED_VALUE"""),"12")</f>
        <v>12</v>
      </c>
      <c r="K631" s="6" t="str">
        <f>IFERROR(__xludf.DUMMYFUNCTION("""COMPUTED_VALUE"""),"alex.mathew@alpha.school")</f>
        <v>alex.mathew@alpha.school</v>
      </c>
      <c r="L631" s="6" t="str">
        <f>IFERROR(__xludf.DUMMYFUNCTION("""COMPUTED_VALUE"""),"Alpha High School")</f>
        <v>Alpha High School</v>
      </c>
      <c r="M631" s="6" t="str">
        <f>IFERROR(__xludf.DUMMYFUNCTION("""COMPUTED_VALUE"""),"")</f>
        <v/>
      </c>
      <c r="N631" s="6" t="str">
        <f>IFERROR(__xludf.DUMMYFUNCTION("""COMPUTED_VALUE"""),"")</f>
        <v/>
      </c>
      <c r="O631" s="87" t="str">
        <f>IFERROR(__xludf.DUMMYFUNCTION("""COMPUTED_VALUE"""),"https://drive.google.com/drive/folders/10T2cTQHqEJZqE-st6uFKPoI?usp=share_link")</f>
        <v>https://drive.google.com/drive/folders/10T2cTQHqEJZqE-st6uFKPoI?usp=share_link</v>
      </c>
      <c r="P631" s="6" t="str">
        <f>IFERROR(__xludf.DUMMYFUNCTION("""COMPUTED_VALUE"""),"Alex Mathew")</f>
        <v>Alex Mathew</v>
      </c>
      <c r="Q631" s="6" t="str">
        <f>IFERROR(__xludf.DUMMYFUNCTION("""COMPUTED_VALUE"""),"HS")</f>
        <v>HS</v>
      </c>
      <c r="R631" s="6">
        <f>IFERROR(__xludf.DUMMYFUNCTION("""COMPUTED_VALUE"""),0.0)</f>
        <v>0</v>
      </c>
      <c r="S631" s="6" t="str">
        <f>IFERROR(__xludf.DUMMYFUNCTION("""COMPUTED_VALUE"""),"Cameron Sorsby")</f>
        <v>Cameron Sorsby</v>
      </c>
      <c r="T631" s="6" t="str">
        <f>IFERROR(__xludf.DUMMYFUNCTION("""COMPUTED_VALUE"""),"cameron.sorsby@alpha.school")</f>
        <v>cameron.sorsby@alpha.school</v>
      </c>
      <c r="U631" s="6" t="str">
        <f>IFERROR(__xludf.DUMMYFUNCTION("""COMPUTED_VALUE"""),"12")</f>
        <v>12</v>
      </c>
      <c r="V631" s="6" t="str">
        <f>IFERROR(__xludf.DUMMYFUNCTION("""COMPUTED_VALUE"""),"English")</f>
        <v>English</v>
      </c>
      <c r="W631" s="6" t="str">
        <f>IFERROR(__xludf.DUMMYFUNCTION("""COMPUTED_VALUE"""),"[]")</f>
        <v>[]</v>
      </c>
      <c r="X631" s="6" t="str">
        <f>IFERROR(__xludf.DUMMYFUNCTION("""COMPUTED_VALUE"""),"Enrolled")</f>
        <v>Enrolled</v>
      </c>
    </row>
    <row r="632">
      <c r="A632" s="6" t="str">
        <f>IFERROR(__xludf.DUMMYFUNCTION("""COMPUTED_VALUE"""),"001-0730")</f>
        <v>001-0730</v>
      </c>
      <c r="B632" s="6" t="str">
        <f>IFERROR(__xludf.DUMMYFUNCTION("""COMPUTED_VALUE"""),"1")</f>
        <v>1</v>
      </c>
      <c r="C632" s="6" t="str">
        <f>IFERROR(__xludf.DUMMYFUNCTION("""COMPUTED_VALUE"""),"0730")</f>
        <v>0730</v>
      </c>
      <c r="D632" s="6" t="str">
        <f>IFERROR(__xludf.DUMMYFUNCTION("""COMPUTED_VALUE"""),"Emily")</f>
        <v>Emily</v>
      </c>
      <c r="E632" s="6" t="str">
        <f>IFERROR(__xludf.DUMMYFUNCTION("""COMPUTED_VALUE"""),"")</f>
        <v/>
      </c>
      <c r="F632" s="6" t="str">
        <f>IFERROR(__xludf.DUMMYFUNCTION("""COMPUTED_VALUE"""),"Smith")</f>
        <v>Smith</v>
      </c>
      <c r="G632" s="6" t="str">
        <f>IFERROR(__xludf.DUMMYFUNCTION("""COMPUTED_VALUE"""),"10/03/2007")</f>
        <v>10/03/2007</v>
      </c>
      <c r="H632" s="6" t="str">
        <f>IFERROR(__xludf.DUMMYFUNCTION("""COMPUTED_VALUE"""),"female")</f>
        <v>female</v>
      </c>
      <c r="I632" s="6" t="str">
        <f>IFERROR(__xludf.DUMMYFUNCTION("""COMPUTED_VALUE"""),"High School")</f>
        <v>High School</v>
      </c>
      <c r="J632" s="6" t="str">
        <f>IFERROR(__xludf.DUMMYFUNCTION("""COMPUTED_VALUE"""),"12")</f>
        <v>12</v>
      </c>
      <c r="K632" s="6" t="str">
        <f>IFERROR(__xludf.DUMMYFUNCTION("""COMPUTED_VALUE"""),"emily.smith@alpha.school")</f>
        <v>emily.smith@alpha.school</v>
      </c>
      <c r="L632" s="6" t="str">
        <f>IFERROR(__xludf.DUMMYFUNCTION("""COMPUTED_VALUE"""),"Alpha High School")</f>
        <v>Alpha High School</v>
      </c>
      <c r="M632" s="6" t="str">
        <f>IFERROR(__xludf.DUMMYFUNCTION("""COMPUTED_VALUE"""),"")</f>
        <v/>
      </c>
      <c r="N632" s="6" t="str">
        <f>IFERROR(__xludf.DUMMYFUNCTION("""COMPUTED_VALUE"""),"")</f>
        <v/>
      </c>
      <c r="O632" s="87" t="str">
        <f>IFERROR(__xludf.DUMMYFUNCTION("""COMPUTED_VALUE"""),"https://drive.google.com/drive/folders/10T2cTQHqEJZqE-st6uFKPoI?usp=share_link")</f>
        <v>https://drive.google.com/drive/folders/10T2cTQHqEJZqE-st6uFKPoI?usp=share_link</v>
      </c>
      <c r="P632" s="6" t="str">
        <f>IFERROR(__xludf.DUMMYFUNCTION("""COMPUTED_VALUE"""),"Emily Smith")</f>
        <v>Emily Smith</v>
      </c>
      <c r="Q632" s="6" t="str">
        <f>IFERROR(__xludf.DUMMYFUNCTION("""COMPUTED_VALUE"""),"HS")</f>
        <v>HS</v>
      </c>
      <c r="R632" s="6">
        <f>IFERROR(__xludf.DUMMYFUNCTION("""COMPUTED_VALUE"""),0.0)</f>
        <v>0</v>
      </c>
      <c r="S632" s="6" t="str">
        <f>IFERROR(__xludf.DUMMYFUNCTION("""COMPUTED_VALUE"""),"Jebin Justin")</f>
        <v>Jebin Justin</v>
      </c>
      <c r="T632" s="6" t="str">
        <f>IFERROR(__xludf.DUMMYFUNCTION("""COMPUTED_VALUE"""),"jebin.justin@alpha.school")</f>
        <v>jebin.justin@alpha.school</v>
      </c>
      <c r="U632" s="6" t="str">
        <f>IFERROR(__xludf.DUMMYFUNCTION("""COMPUTED_VALUE"""),"12")</f>
        <v>12</v>
      </c>
      <c r="V632" s="6" t="str">
        <f>IFERROR(__xludf.DUMMYFUNCTION("""COMPUTED_VALUE"""),"English")</f>
        <v>English</v>
      </c>
      <c r="W632" s="6" t="str">
        <f>IFERROR(__xludf.DUMMYFUNCTION("""COMPUTED_VALUE"""),"[]")</f>
        <v>[]</v>
      </c>
      <c r="X632" s="6" t="str">
        <f>IFERROR(__xludf.DUMMYFUNCTION("""COMPUTED_VALUE"""),"Enrolled")</f>
        <v>Enrolled</v>
      </c>
    </row>
    <row r="633">
      <c r="A633" s="6" t="str">
        <f>IFERROR(__xludf.DUMMYFUNCTION("""COMPUTED_VALUE"""),"001-0735")</f>
        <v>001-0735</v>
      </c>
      <c r="B633" s="6" t="str">
        <f>IFERROR(__xludf.DUMMYFUNCTION("""COMPUTED_VALUE"""),"1")</f>
        <v>1</v>
      </c>
      <c r="C633" s="6" t="str">
        <f>IFERROR(__xludf.DUMMYFUNCTION("""COMPUTED_VALUE"""),"0735")</f>
        <v>0735</v>
      </c>
      <c r="D633" s="6" t="str">
        <f>IFERROR(__xludf.DUMMYFUNCTION("""COMPUTED_VALUE"""),"Arden")</f>
        <v>Arden</v>
      </c>
      <c r="E633" s="6" t="str">
        <f>IFERROR(__xludf.DUMMYFUNCTION("""COMPUTED_VALUE"""),"Arden")</f>
        <v>Arden</v>
      </c>
      <c r="F633" s="6" t="str">
        <f>IFERROR(__xludf.DUMMYFUNCTION("""COMPUTED_VALUE"""),"McCord")</f>
        <v>McCord</v>
      </c>
      <c r="G633" s="6" t="str">
        <f>IFERROR(__xludf.DUMMYFUNCTION("""COMPUTED_VALUE"""),"06/19/2019")</f>
        <v>06/19/2019</v>
      </c>
      <c r="H633" s="6" t="str">
        <f>IFERROR(__xludf.DUMMYFUNCTION("""COMPUTED_VALUE"""),"female")</f>
        <v>female</v>
      </c>
      <c r="I633" s="6" t="str">
        <f>IFERROR(__xludf.DUMMYFUNCTION("""COMPUTED_VALUE"""),"Learning Lab")</f>
        <v>Learning Lab</v>
      </c>
      <c r="J633" s="6" t="str">
        <f>IFERROR(__xludf.DUMMYFUNCTION("""COMPUTED_VALUE"""),"1")</f>
        <v>1</v>
      </c>
      <c r="K633" s="6" t="str">
        <f>IFERROR(__xludf.DUMMYFUNCTION("""COMPUTED_VALUE"""),"arden.mccord@alpha.school")</f>
        <v>arden.mccord@alpha.school</v>
      </c>
      <c r="L633" s="6" t="str">
        <f>IFERROR(__xludf.DUMMYFUNCTION("""COMPUTED_VALUE"""),"Alpha School Austin")</f>
        <v>Alpha School Austin</v>
      </c>
      <c r="M633" s="6" t="str">
        <f>IFERROR(__xludf.DUMMYFUNCTION("""COMPUTED_VALUE"""),"")</f>
        <v/>
      </c>
      <c r="N633" s="6" t="str">
        <f>IFERROR(__xludf.DUMMYFUNCTION("""COMPUTED_VALUE"""),"")</f>
        <v/>
      </c>
      <c r="O633" s="87" t="str">
        <f>IFERROR(__xludf.DUMMYFUNCTION("""COMPUTED_VALUE"""),"https://drive.google.com/drive/folders/10T2cTQHqEJZqE-st6uFKPoI?usp=share_link")</f>
        <v>https://drive.google.com/drive/folders/10T2cTQHqEJZqE-st6uFKPoI?usp=share_link</v>
      </c>
      <c r="P633" s="6" t="str">
        <f>IFERROR(__xludf.DUMMYFUNCTION("""COMPUTED_VALUE"""),"Arden McCord")</f>
        <v>Arden McCord</v>
      </c>
      <c r="Q633" s="6" t="str">
        <f>IFERROR(__xludf.DUMMYFUNCTION("""COMPUTED_VALUE"""),"LL")</f>
        <v>LL</v>
      </c>
      <c r="R633" s="6">
        <f>IFERROR(__xludf.DUMMYFUNCTION("""COMPUTED_VALUE"""),0.0)</f>
        <v>0</v>
      </c>
      <c r="S633" s="6" t="str">
        <f>IFERROR(__xludf.DUMMYFUNCTION("""COMPUTED_VALUE"""),"Spencer Opatrny")</f>
        <v>Spencer Opatrny</v>
      </c>
      <c r="T633" s="6" t="str">
        <f>IFERROR(__xludf.DUMMYFUNCTION("""COMPUTED_VALUE"""),"spencer.opatrny@alpha.school")</f>
        <v>spencer.opatrny@alpha.school</v>
      </c>
      <c r="U633" s="6" t="str">
        <f>IFERROR(__xludf.DUMMYFUNCTION("""COMPUTED_VALUE"""),"1")</f>
        <v>1</v>
      </c>
      <c r="V633" s="6" t="str">
        <f>IFERROR(__xludf.DUMMYFUNCTION("""COMPUTED_VALUE"""),"English")</f>
        <v>English</v>
      </c>
      <c r="W633" s="6" t="str">
        <f>IFERROR(__xludf.DUMMYFUNCTION("""COMPUTED_VALUE"""),"[]")</f>
        <v>[]</v>
      </c>
      <c r="X633" s="6" t="str">
        <f>IFERROR(__xludf.DUMMYFUNCTION("""COMPUTED_VALUE"""),"Enrolled")</f>
        <v>Enrolled</v>
      </c>
    </row>
    <row r="634">
      <c r="A634" s="6" t="str">
        <f>IFERROR(__xludf.DUMMYFUNCTION("""COMPUTED_VALUE"""),"001-0740")</f>
        <v>001-0740</v>
      </c>
      <c r="B634" s="6" t="str">
        <f>IFERROR(__xludf.DUMMYFUNCTION("""COMPUTED_VALUE"""),"1")</f>
        <v>1</v>
      </c>
      <c r="C634" s="6" t="str">
        <f>IFERROR(__xludf.DUMMYFUNCTION("""COMPUTED_VALUE"""),"0740")</f>
        <v>0740</v>
      </c>
      <c r="D634" s="6" t="str">
        <f>IFERROR(__xludf.DUMMYFUNCTION("""COMPUTED_VALUE"""),"Reuben")</f>
        <v>Reuben</v>
      </c>
      <c r="E634" s="6" t="str">
        <f>IFERROR(__xludf.DUMMYFUNCTION("""COMPUTED_VALUE"""),"")</f>
        <v/>
      </c>
      <c r="F634" s="6" t="str">
        <f>IFERROR(__xludf.DUMMYFUNCTION("""COMPUTED_VALUE"""),"Runacres")</f>
        <v>Runacres</v>
      </c>
      <c r="G634" s="6" t="str">
        <f>IFERROR(__xludf.DUMMYFUNCTION("""COMPUTED_VALUE"""),"01/04/2008")</f>
        <v>01/04/2008</v>
      </c>
      <c r="H634" s="6" t="str">
        <f>IFERROR(__xludf.DUMMYFUNCTION("""COMPUTED_VALUE"""),"male")</f>
        <v>male</v>
      </c>
      <c r="I634" s="6" t="str">
        <f>IFERROR(__xludf.DUMMYFUNCTION("""COMPUTED_VALUE"""),"High School")</f>
        <v>High School</v>
      </c>
      <c r="J634" s="6" t="str">
        <f>IFERROR(__xludf.DUMMYFUNCTION("""COMPUTED_VALUE"""),"12")</f>
        <v>12</v>
      </c>
      <c r="K634" s="6" t="str">
        <f>IFERROR(__xludf.DUMMYFUNCTION("""COMPUTED_VALUE"""),"reuben.runacres@alpha.school")</f>
        <v>reuben.runacres@alpha.school</v>
      </c>
      <c r="L634" s="6" t="str">
        <f>IFERROR(__xludf.DUMMYFUNCTION("""COMPUTED_VALUE"""),"Alpha High School")</f>
        <v>Alpha High School</v>
      </c>
      <c r="M634" s="6" t="str">
        <f>IFERROR(__xludf.DUMMYFUNCTION("""COMPUTED_VALUE"""),"")</f>
        <v/>
      </c>
      <c r="N634" s="6" t="str">
        <f>IFERROR(__xludf.DUMMYFUNCTION("""COMPUTED_VALUE"""),"")</f>
        <v/>
      </c>
      <c r="O634" s="87" t="str">
        <f>IFERROR(__xludf.DUMMYFUNCTION("""COMPUTED_VALUE"""),"https://drive.google.com/drive/folders/10T2cTQHqEJZqE-st6uFKPoI?usp=share_link")</f>
        <v>https://drive.google.com/drive/folders/10T2cTQHqEJZqE-st6uFKPoI?usp=share_link</v>
      </c>
      <c r="P634" s="6" t="str">
        <f>IFERROR(__xludf.DUMMYFUNCTION("""COMPUTED_VALUE"""),"Reuben Runacres")</f>
        <v>Reuben Runacres</v>
      </c>
      <c r="Q634" s="6" t="str">
        <f>IFERROR(__xludf.DUMMYFUNCTION("""COMPUTED_VALUE"""),"HS")</f>
        <v>HS</v>
      </c>
      <c r="R634" s="6">
        <f>IFERROR(__xludf.DUMMYFUNCTION("""COMPUTED_VALUE"""),0.0)</f>
        <v>0</v>
      </c>
      <c r="S634" s="6" t="str">
        <f>IFERROR(__xludf.DUMMYFUNCTION("""COMPUTED_VALUE"""),"Cameron Sorsby")</f>
        <v>Cameron Sorsby</v>
      </c>
      <c r="T634" s="6" t="str">
        <f>IFERROR(__xludf.DUMMYFUNCTION("""COMPUTED_VALUE"""),"cameron.sorsby@alpha.school")</f>
        <v>cameron.sorsby@alpha.school</v>
      </c>
      <c r="U634" s="6" t="str">
        <f>IFERROR(__xludf.DUMMYFUNCTION("""COMPUTED_VALUE"""),"12")</f>
        <v>12</v>
      </c>
      <c r="V634" s="6" t="str">
        <f>IFERROR(__xludf.DUMMYFUNCTION("""COMPUTED_VALUE"""),"English")</f>
        <v>English</v>
      </c>
      <c r="W634" s="6" t="str">
        <f>IFERROR(__xludf.DUMMYFUNCTION("""COMPUTED_VALUE"""),"[]")</f>
        <v>[]</v>
      </c>
      <c r="X634" s="6" t="str">
        <f>IFERROR(__xludf.DUMMYFUNCTION("""COMPUTED_VALUE"""),"Enrolled")</f>
        <v>Enrolled</v>
      </c>
    </row>
    <row r="635">
      <c r="A635" s="6" t="str">
        <f>IFERROR(__xludf.DUMMYFUNCTION("""COMPUTED_VALUE"""),"001-0747")</f>
        <v>001-0747</v>
      </c>
      <c r="B635" s="6" t="str">
        <f>IFERROR(__xludf.DUMMYFUNCTION("""COMPUTED_VALUE"""),"1")</f>
        <v>1</v>
      </c>
      <c r="C635" s="6" t="str">
        <f>IFERROR(__xludf.DUMMYFUNCTION("""COMPUTED_VALUE"""),"0747")</f>
        <v>0747</v>
      </c>
      <c r="D635" s="6" t="str">
        <f>IFERROR(__xludf.DUMMYFUNCTION("""COMPUTED_VALUE"""),"Hayden")</f>
        <v>Hayden</v>
      </c>
      <c r="E635" s="6" t="str">
        <f>IFERROR(__xludf.DUMMYFUNCTION("""COMPUTED_VALUE"""),"Hayden")</f>
        <v>Hayden</v>
      </c>
      <c r="F635" s="6" t="str">
        <f>IFERROR(__xludf.DUMMYFUNCTION("""COMPUTED_VALUE"""),"Temcharoen")</f>
        <v>Temcharoen</v>
      </c>
      <c r="G635" s="6" t="str">
        <f>IFERROR(__xludf.DUMMYFUNCTION("""COMPUTED_VALUE"""),"08/30/2017")</f>
        <v>08/30/2017</v>
      </c>
      <c r="H635" s="6" t="str">
        <f>IFERROR(__xludf.DUMMYFUNCTION("""COMPUTED_VALUE"""),"male")</f>
        <v>male</v>
      </c>
      <c r="I635" s="6" t="str">
        <f>IFERROR(__xludf.DUMMYFUNCTION("""COMPUTED_VALUE"""),"Level 1")</f>
        <v>Level 1</v>
      </c>
      <c r="J635" s="6" t="str">
        <f>IFERROR(__xludf.DUMMYFUNCTION("""COMPUTED_VALUE"""),"2")</f>
        <v>2</v>
      </c>
      <c r="K635" s="6" t="str">
        <f>IFERROR(__xludf.DUMMYFUNCTION("""COMPUTED_VALUE"""),"hayden.temcharoen@alpha.school")</f>
        <v>hayden.temcharoen@alpha.school</v>
      </c>
      <c r="L635" s="6" t="str">
        <f>IFERROR(__xludf.DUMMYFUNCTION("""COMPUTED_VALUE"""),"Alpha School Austin")</f>
        <v>Alpha School Austin</v>
      </c>
      <c r="M635" s="6" t="str">
        <f>IFERROR(__xludf.DUMMYFUNCTION("""COMPUTED_VALUE"""),"")</f>
        <v/>
      </c>
      <c r="N635" s="6" t="str">
        <f>IFERROR(__xludf.DUMMYFUNCTION("""COMPUTED_VALUE"""),"")</f>
        <v/>
      </c>
      <c r="O635" s="87" t="str">
        <f>IFERROR(__xludf.DUMMYFUNCTION("""COMPUTED_VALUE"""),"https://drive.google.com/drive/folders/10T2cTQHqEJZqE-st6uFKPoI?usp=share_link")</f>
        <v>https://drive.google.com/drive/folders/10T2cTQHqEJZqE-st6uFKPoI?usp=share_link</v>
      </c>
      <c r="P635" s="6" t="str">
        <f>IFERROR(__xludf.DUMMYFUNCTION("""COMPUTED_VALUE"""),"Hayden Temcharoen")</f>
        <v>Hayden Temcharoen</v>
      </c>
      <c r="Q635" s="6" t="str">
        <f>IFERROR(__xludf.DUMMYFUNCTION("""COMPUTED_VALUE"""),"L1")</f>
        <v>L1</v>
      </c>
      <c r="R635" s="6">
        <f>IFERROR(__xludf.DUMMYFUNCTION("""COMPUTED_VALUE"""),1.0)</f>
        <v>1</v>
      </c>
      <c r="S635" s="6" t="str">
        <f>IFERROR(__xludf.DUMMYFUNCTION("""COMPUTED_VALUE"""),"Zoe Zimmerman")</f>
        <v>Zoe Zimmerman</v>
      </c>
      <c r="T635" s="6" t="str">
        <f>IFERROR(__xludf.DUMMYFUNCTION("""COMPUTED_VALUE"""),"zoe.zimmerman@alpha.school")</f>
        <v>zoe.zimmerman@alpha.school</v>
      </c>
      <c r="U635" s="6" t="str">
        <f>IFERROR(__xludf.DUMMYFUNCTION("""COMPUTED_VALUE"""),"2")</f>
        <v>2</v>
      </c>
      <c r="V635" s="6" t="str">
        <f>IFERROR(__xludf.DUMMYFUNCTION("""COMPUTED_VALUE"""),"English")</f>
        <v>English</v>
      </c>
      <c r="W635" s="6" t="str">
        <f>IFERROR(__xludf.DUMMYFUNCTION("""COMPUTED_VALUE"""),"[]")</f>
        <v>[]</v>
      </c>
      <c r="X635" s="6" t="str">
        <f>IFERROR(__xludf.DUMMYFUNCTION("""COMPUTED_VALUE"""),"Enrolled")</f>
        <v>Enrolled</v>
      </c>
    </row>
    <row r="636">
      <c r="A636" s="6" t="str">
        <f>IFERROR(__xludf.DUMMYFUNCTION("""COMPUTED_VALUE"""),"001-0748")</f>
        <v>001-0748</v>
      </c>
      <c r="B636" s="6" t="str">
        <f>IFERROR(__xludf.DUMMYFUNCTION("""COMPUTED_VALUE"""),"1")</f>
        <v>1</v>
      </c>
      <c r="C636" s="6" t="str">
        <f>IFERROR(__xludf.DUMMYFUNCTION("""COMPUTED_VALUE"""),"0748")</f>
        <v>0748</v>
      </c>
      <c r="D636" s="6" t="str">
        <f>IFERROR(__xludf.DUMMYFUNCTION("""COMPUTED_VALUE"""),"Lincoln")</f>
        <v>Lincoln</v>
      </c>
      <c r="E636" s="6" t="str">
        <f>IFERROR(__xludf.DUMMYFUNCTION("""COMPUTED_VALUE"""),"")</f>
        <v/>
      </c>
      <c r="F636" s="6" t="str">
        <f>IFERROR(__xludf.DUMMYFUNCTION("""COMPUTED_VALUE"""),"Thomas")</f>
        <v>Thomas</v>
      </c>
      <c r="G636" s="6" t="str">
        <f>IFERROR(__xludf.DUMMYFUNCTION("""COMPUTED_VALUE"""),"06/15/2009")</f>
        <v>06/15/2009</v>
      </c>
      <c r="H636" s="6" t="str">
        <f>IFERROR(__xludf.DUMMYFUNCTION("""COMPUTED_VALUE"""),"male")</f>
        <v>male</v>
      </c>
      <c r="I636" s="6" t="str">
        <f>IFERROR(__xludf.DUMMYFUNCTION("""COMPUTED_VALUE"""),"High School")</f>
        <v>High School</v>
      </c>
      <c r="J636" s="6" t="str">
        <f>IFERROR(__xludf.DUMMYFUNCTION("""COMPUTED_VALUE"""),"10")</f>
        <v>10</v>
      </c>
      <c r="K636" s="6" t="str">
        <f>IFERROR(__xludf.DUMMYFUNCTION("""COMPUTED_VALUE"""),"lincoln.thomas@alpha.school")</f>
        <v>lincoln.thomas@alpha.school</v>
      </c>
      <c r="L636" s="6" t="str">
        <f>IFERROR(__xludf.DUMMYFUNCTION("""COMPUTED_VALUE"""),"Alpha High School")</f>
        <v>Alpha High School</v>
      </c>
      <c r="M636" s="6" t="str">
        <f>IFERROR(__xludf.DUMMYFUNCTION("""COMPUTED_VALUE"""),"")</f>
        <v/>
      </c>
      <c r="N636" s="6" t="str">
        <f>IFERROR(__xludf.DUMMYFUNCTION("""COMPUTED_VALUE"""),"")</f>
        <v/>
      </c>
      <c r="O636" s="87" t="str">
        <f>IFERROR(__xludf.DUMMYFUNCTION("""COMPUTED_VALUE"""),"https://drive.google.com/drive/folders/10T2cTQHqEJZqE-st6uFKPoI?usp=share_link")</f>
        <v>https://drive.google.com/drive/folders/10T2cTQHqEJZqE-st6uFKPoI?usp=share_link</v>
      </c>
      <c r="P636" s="6" t="str">
        <f>IFERROR(__xludf.DUMMYFUNCTION("""COMPUTED_VALUE"""),"Lincoln Thomas")</f>
        <v>Lincoln Thomas</v>
      </c>
      <c r="Q636" s="6" t="str">
        <f>IFERROR(__xludf.DUMMYFUNCTION("""COMPUTED_VALUE"""),"HS")</f>
        <v>HS</v>
      </c>
      <c r="R636" s="6">
        <f>IFERROR(__xludf.DUMMYFUNCTION("""COMPUTED_VALUE"""),0.0)</f>
        <v>0</v>
      </c>
      <c r="S636" s="6" t="str">
        <f>IFERROR(__xludf.DUMMYFUNCTION("""COMPUTED_VALUE"""),"Emily Findley")</f>
        <v>Emily Findley</v>
      </c>
      <c r="T636" s="6" t="str">
        <f>IFERROR(__xludf.DUMMYFUNCTION("""COMPUTED_VALUE"""),"emily.findley@alpha.school")</f>
        <v>emily.findley@alpha.school</v>
      </c>
      <c r="U636" s="6" t="str">
        <f>IFERROR(__xludf.DUMMYFUNCTION("""COMPUTED_VALUE"""),"10")</f>
        <v>10</v>
      </c>
      <c r="V636" s="6" t="str">
        <f>IFERROR(__xludf.DUMMYFUNCTION("""COMPUTED_VALUE"""),"English")</f>
        <v>English</v>
      </c>
      <c r="W636" s="6" t="str">
        <f>IFERROR(__xludf.DUMMYFUNCTION("""COMPUTED_VALUE"""),"[]")</f>
        <v>[]</v>
      </c>
      <c r="X636" s="6" t="str">
        <f>IFERROR(__xludf.DUMMYFUNCTION("""COMPUTED_VALUE"""),"Enrolled")</f>
        <v>Enrolled</v>
      </c>
    </row>
    <row r="637">
      <c r="A637" s="6" t="str">
        <f>IFERROR(__xludf.DUMMYFUNCTION("""COMPUTED_VALUE"""),"001-0749")</f>
        <v>001-0749</v>
      </c>
      <c r="B637" s="6" t="str">
        <f>IFERROR(__xludf.DUMMYFUNCTION("""COMPUTED_VALUE"""),"1")</f>
        <v>1</v>
      </c>
      <c r="C637" s="6" t="str">
        <f>IFERROR(__xludf.DUMMYFUNCTION("""COMPUTED_VALUE"""),"0749")</f>
        <v>0749</v>
      </c>
      <c r="D637" s="6" t="str">
        <f>IFERROR(__xludf.DUMMYFUNCTION("""COMPUTED_VALUE"""),"Benjamin")</f>
        <v>Benjamin</v>
      </c>
      <c r="E637" s="6" t="str">
        <f>IFERROR(__xludf.DUMMYFUNCTION("""COMPUTED_VALUE"""),"Benny")</f>
        <v>Benny</v>
      </c>
      <c r="F637" s="6" t="str">
        <f>IFERROR(__xludf.DUMMYFUNCTION("""COMPUTED_VALUE"""),"Valles")</f>
        <v>Valles</v>
      </c>
      <c r="G637" s="6" t="str">
        <f>IFERROR(__xludf.DUMMYFUNCTION("""COMPUTED_VALUE"""),"09/02/2010")</f>
        <v>09/02/2010</v>
      </c>
      <c r="H637" s="6" t="str">
        <f>IFERROR(__xludf.DUMMYFUNCTION("""COMPUTED_VALUE"""),"male")</f>
        <v>male</v>
      </c>
      <c r="I637" s="6" t="str">
        <f>IFERROR(__xludf.DUMMYFUNCTION("""COMPUTED_VALUE"""),"High School")</f>
        <v>High School</v>
      </c>
      <c r="J637" s="6" t="str">
        <f>IFERROR(__xludf.DUMMYFUNCTION("""COMPUTED_VALUE"""),"9")</f>
        <v>9</v>
      </c>
      <c r="K637" s="6" t="str">
        <f>IFERROR(__xludf.DUMMYFUNCTION("""COMPUTED_VALUE"""),"benjamin.valles@alpha.school")</f>
        <v>benjamin.valles@alpha.school</v>
      </c>
      <c r="L637" s="6" t="str">
        <f>IFERROR(__xludf.DUMMYFUNCTION("""COMPUTED_VALUE"""),"Alpha High School")</f>
        <v>Alpha High School</v>
      </c>
      <c r="M637" s="6" t="str">
        <f>IFERROR(__xludf.DUMMYFUNCTION("""COMPUTED_VALUE"""),"")</f>
        <v/>
      </c>
      <c r="N637" s="6" t="str">
        <f>IFERROR(__xludf.DUMMYFUNCTION("""COMPUTED_VALUE"""),"")</f>
        <v/>
      </c>
      <c r="O637" s="87" t="str">
        <f>IFERROR(__xludf.DUMMYFUNCTION("""COMPUTED_VALUE"""),"https://drive.google.com/drive/folders/10T2cTQHqEJZqE-st6uFKPoI?usp=share_link")</f>
        <v>https://drive.google.com/drive/folders/10T2cTQHqEJZqE-st6uFKPoI?usp=share_link</v>
      </c>
      <c r="P637" s="6" t="str">
        <f>IFERROR(__xludf.DUMMYFUNCTION("""COMPUTED_VALUE"""),"Benny Valles")</f>
        <v>Benny Valles</v>
      </c>
      <c r="Q637" s="6" t="str">
        <f>IFERROR(__xludf.DUMMYFUNCTION("""COMPUTED_VALUE"""),"HS")</f>
        <v>HS</v>
      </c>
      <c r="R637" s="6">
        <f>IFERROR(__xludf.DUMMYFUNCTION("""COMPUTED_VALUE"""),0.0)</f>
        <v>0</v>
      </c>
      <c r="S637" s="6" t="str">
        <f>IFERROR(__xludf.DUMMYFUNCTION("""COMPUTED_VALUE"""),"Effy Phillips")</f>
        <v>Effy Phillips</v>
      </c>
      <c r="T637" s="6" t="str">
        <f>IFERROR(__xludf.DUMMYFUNCTION("""COMPUTED_VALUE"""),"effy.phillips@alpha.school")</f>
        <v>effy.phillips@alpha.school</v>
      </c>
      <c r="U637" s="6" t="str">
        <f>IFERROR(__xludf.DUMMYFUNCTION("""COMPUTED_VALUE"""),"9")</f>
        <v>9</v>
      </c>
      <c r="V637" s="6" t="str">
        <f>IFERROR(__xludf.DUMMYFUNCTION("""COMPUTED_VALUE"""),"English")</f>
        <v>English</v>
      </c>
      <c r="W637" s="6" t="str">
        <f>IFERROR(__xludf.DUMMYFUNCTION("""COMPUTED_VALUE"""),"[]")</f>
        <v>[]</v>
      </c>
      <c r="X637" s="6" t="str">
        <f>IFERROR(__xludf.DUMMYFUNCTION("""COMPUTED_VALUE"""),"Enrolled")</f>
        <v>Enrolled</v>
      </c>
    </row>
    <row r="638">
      <c r="A638" s="6" t="str">
        <f>IFERROR(__xludf.DUMMYFUNCTION("""COMPUTED_VALUE"""),"001-0751")</f>
        <v>001-0751</v>
      </c>
      <c r="B638" s="6" t="str">
        <f>IFERROR(__xludf.DUMMYFUNCTION("""COMPUTED_VALUE"""),"1")</f>
        <v>1</v>
      </c>
      <c r="C638" s="6" t="str">
        <f>IFERROR(__xludf.DUMMYFUNCTION("""COMPUTED_VALUE"""),"0751")</f>
        <v>0751</v>
      </c>
      <c r="D638" s="6" t="str">
        <f>IFERROR(__xludf.DUMMYFUNCTION("""COMPUTED_VALUE"""),"Ren")</f>
        <v>Ren</v>
      </c>
      <c r="E638" s="6" t="str">
        <f>IFERROR(__xludf.DUMMYFUNCTION("""COMPUTED_VALUE"""),"Ren")</f>
        <v>Ren</v>
      </c>
      <c r="F638" s="6" t="str">
        <f>IFERROR(__xludf.DUMMYFUNCTION("""COMPUTED_VALUE"""),"Sticker")</f>
        <v>Sticker</v>
      </c>
      <c r="G638" s="6" t="str">
        <f>IFERROR(__xludf.DUMMYFUNCTION("""COMPUTED_VALUE"""),"06/06/2017")</f>
        <v>06/06/2017</v>
      </c>
      <c r="H638" s="6" t="str">
        <f>IFERROR(__xludf.DUMMYFUNCTION("""COMPUTED_VALUE"""),"male")</f>
        <v>male</v>
      </c>
      <c r="I638" s="6" t="str">
        <f>IFERROR(__xludf.DUMMYFUNCTION("""COMPUTED_VALUE"""),"Level 1")</f>
        <v>Level 1</v>
      </c>
      <c r="J638" s="6" t="str">
        <f>IFERROR(__xludf.DUMMYFUNCTION("""COMPUTED_VALUE"""),"3")</f>
        <v>3</v>
      </c>
      <c r="K638" s="6" t="str">
        <f>IFERROR(__xludf.DUMMYFUNCTION("""COMPUTED_VALUE"""),"ren.sticker@alpha.school")</f>
        <v>ren.sticker@alpha.school</v>
      </c>
      <c r="L638" s="6" t="str">
        <f>IFERROR(__xludf.DUMMYFUNCTION("""COMPUTED_VALUE"""),"Alpha School Austin")</f>
        <v>Alpha School Austin</v>
      </c>
      <c r="M638" s="6" t="str">
        <f>IFERROR(__xludf.DUMMYFUNCTION("""COMPUTED_VALUE"""),"")</f>
        <v/>
      </c>
      <c r="N638" s="6" t="str">
        <f>IFERROR(__xludf.DUMMYFUNCTION("""COMPUTED_VALUE"""),"")</f>
        <v/>
      </c>
      <c r="O638" s="87" t="str">
        <f>IFERROR(__xludf.DUMMYFUNCTION("""COMPUTED_VALUE"""),"https://drive.google.com/drive/folders/10T2cTQHqEJZqE-st6uFKPoI?usp=share_link")</f>
        <v>https://drive.google.com/drive/folders/10T2cTQHqEJZqE-st6uFKPoI?usp=share_link</v>
      </c>
      <c r="P638" s="6" t="str">
        <f>IFERROR(__xludf.DUMMYFUNCTION("""COMPUTED_VALUE"""),"Ren Sticker")</f>
        <v>Ren Sticker</v>
      </c>
      <c r="Q638" s="6" t="str">
        <f>IFERROR(__xludf.DUMMYFUNCTION("""COMPUTED_VALUE"""),"L1")</f>
        <v>L1</v>
      </c>
      <c r="R638" s="6">
        <f>IFERROR(__xludf.DUMMYFUNCTION("""COMPUTED_VALUE"""),1.0)</f>
        <v>1</v>
      </c>
      <c r="S638" s="6" t="str">
        <f>IFERROR(__xludf.DUMMYFUNCTION("""COMPUTED_VALUE"""),"Camren Allred")</f>
        <v>Camren Allred</v>
      </c>
      <c r="T638" s="6" t="str">
        <f>IFERROR(__xludf.DUMMYFUNCTION("""COMPUTED_VALUE"""),"camren.allred@alpha.school")</f>
        <v>camren.allred@alpha.school</v>
      </c>
      <c r="U638" s="6" t="str">
        <f>IFERROR(__xludf.DUMMYFUNCTION("""COMPUTED_VALUE"""),"3")</f>
        <v>3</v>
      </c>
      <c r="V638" s="6" t="str">
        <f>IFERROR(__xludf.DUMMYFUNCTION("""COMPUTED_VALUE"""),"")</f>
        <v/>
      </c>
      <c r="W638" s="6" t="str">
        <f>IFERROR(__xludf.DUMMYFUNCTION("""COMPUTED_VALUE"""),"[]")</f>
        <v>[]</v>
      </c>
      <c r="X638" s="6" t="str">
        <f>IFERROR(__xludf.DUMMYFUNCTION("""COMPUTED_VALUE"""),"Enrolled")</f>
        <v>Enrolled</v>
      </c>
    </row>
    <row r="639">
      <c r="A639" s="6" t="str">
        <f>IFERROR(__xludf.DUMMYFUNCTION("""COMPUTED_VALUE"""),"001-0758")</f>
        <v>001-0758</v>
      </c>
      <c r="B639" s="6" t="str">
        <f>IFERROR(__xludf.DUMMYFUNCTION("""COMPUTED_VALUE"""),"1")</f>
        <v>1</v>
      </c>
      <c r="C639" s="6" t="str">
        <f>IFERROR(__xludf.DUMMYFUNCTION("""COMPUTED_VALUE"""),"0758")</f>
        <v>0758</v>
      </c>
      <c r="D639" s="6" t="str">
        <f>IFERROR(__xludf.DUMMYFUNCTION("""COMPUTED_VALUE"""),"Arman")</f>
        <v>Arman</v>
      </c>
      <c r="E639" s="6" t="str">
        <f>IFERROR(__xludf.DUMMYFUNCTION("""COMPUTED_VALUE"""),"")</f>
        <v/>
      </c>
      <c r="F639" s="6" t="str">
        <f>IFERROR(__xludf.DUMMYFUNCTION("""COMPUTED_VALUE"""),"Caberwal")</f>
        <v>Caberwal</v>
      </c>
      <c r="G639" s="6" t="str">
        <f>IFERROR(__xludf.DUMMYFUNCTION("""COMPUTED_VALUE"""),"09/25/2014")</f>
        <v>09/25/2014</v>
      </c>
      <c r="H639" s="6" t="str">
        <f>IFERROR(__xludf.DUMMYFUNCTION("""COMPUTED_VALUE"""),"male")</f>
        <v>male</v>
      </c>
      <c r="I639" s="6" t="str">
        <f>IFERROR(__xludf.DUMMYFUNCTION("""COMPUTED_VALUE"""),"Level 2")</f>
        <v>Level 2</v>
      </c>
      <c r="J639" s="6" t="str">
        <f>IFERROR(__xludf.DUMMYFUNCTION("""COMPUTED_VALUE"""),"5")</f>
        <v>5</v>
      </c>
      <c r="K639" s="6" t="str">
        <f>IFERROR(__xludf.DUMMYFUNCTION("""COMPUTED_VALUE"""),"arman.caberwal@alpha.school")</f>
        <v>arman.caberwal@alpha.school</v>
      </c>
      <c r="L639" s="6" t="str">
        <f>IFERROR(__xludf.DUMMYFUNCTION("""COMPUTED_VALUE"""),"Alpha School Austin")</f>
        <v>Alpha School Austin</v>
      </c>
      <c r="M639" s="6" t="str">
        <f>IFERROR(__xludf.DUMMYFUNCTION("""COMPUTED_VALUE"""),"")</f>
        <v/>
      </c>
      <c r="N639" s="6" t="str">
        <f>IFERROR(__xludf.DUMMYFUNCTION("""COMPUTED_VALUE"""),"")</f>
        <v/>
      </c>
      <c r="O639" s="87" t="str">
        <f>IFERROR(__xludf.DUMMYFUNCTION("""COMPUTED_VALUE"""),"https://drive.google.com/drive/folders/10T2cTQHqEJZqE-st6uFKPoI?usp=share_link")</f>
        <v>https://drive.google.com/drive/folders/10T2cTQHqEJZqE-st6uFKPoI?usp=share_link</v>
      </c>
      <c r="P639" s="6" t="str">
        <f>IFERROR(__xludf.DUMMYFUNCTION("""COMPUTED_VALUE"""),"Arman Caberwal")</f>
        <v>Arman Caberwal</v>
      </c>
      <c r="Q639" s="6" t="str">
        <f>IFERROR(__xludf.DUMMYFUNCTION("""COMPUTED_VALUE"""),"L2")</f>
        <v>L2</v>
      </c>
      <c r="R639" s="6">
        <f>IFERROR(__xludf.DUMMYFUNCTION("""COMPUTED_VALUE"""),2.0)</f>
        <v>2</v>
      </c>
      <c r="S639" s="6" t="str">
        <f>IFERROR(__xludf.DUMMYFUNCTION("""COMPUTED_VALUE"""),"Luke Phillips")</f>
        <v>Luke Phillips</v>
      </c>
      <c r="T639" s="6" t="str">
        <f>IFERROR(__xludf.DUMMYFUNCTION("""COMPUTED_VALUE"""),"luke.phillips@alpha.school")</f>
        <v>luke.phillips@alpha.school</v>
      </c>
      <c r="U639" s="6" t="str">
        <f>IFERROR(__xludf.DUMMYFUNCTION("""COMPUTED_VALUE"""),"5")</f>
        <v>5</v>
      </c>
      <c r="V639" s="6" t="str">
        <f>IFERROR(__xludf.DUMMYFUNCTION("""COMPUTED_VALUE"""),"")</f>
        <v/>
      </c>
      <c r="W639" s="6" t="str">
        <f>IFERROR(__xludf.DUMMYFUNCTION("""COMPUTED_VALUE"""),"[]")</f>
        <v>[]</v>
      </c>
      <c r="X639" s="6" t="str">
        <f>IFERROR(__xludf.DUMMYFUNCTION("""COMPUTED_VALUE"""),"Enrolled")</f>
        <v>Enrolled</v>
      </c>
    </row>
    <row r="640">
      <c r="A640" s="6" t="str">
        <f>IFERROR(__xludf.DUMMYFUNCTION("""COMPUTED_VALUE"""),"001-0759")</f>
        <v>001-0759</v>
      </c>
      <c r="B640" s="6" t="str">
        <f>IFERROR(__xludf.DUMMYFUNCTION("""COMPUTED_VALUE"""),"1")</f>
        <v>1</v>
      </c>
      <c r="C640" s="6" t="str">
        <f>IFERROR(__xludf.DUMMYFUNCTION("""COMPUTED_VALUE"""),"0759")</f>
        <v>0759</v>
      </c>
      <c r="D640" s="6" t="str">
        <f>IFERROR(__xludf.DUMMYFUNCTION("""COMPUTED_VALUE"""),"Arjun")</f>
        <v>Arjun</v>
      </c>
      <c r="E640" s="6" t="str">
        <f>IFERROR(__xludf.DUMMYFUNCTION("""COMPUTED_VALUE"""),"")</f>
        <v/>
      </c>
      <c r="F640" s="6" t="str">
        <f>IFERROR(__xludf.DUMMYFUNCTION("""COMPUTED_VALUE"""),"Caberwal")</f>
        <v>Caberwal</v>
      </c>
      <c r="G640" s="6" t="str">
        <f>IFERROR(__xludf.DUMMYFUNCTION("""COMPUTED_VALUE"""),"09/25/2014")</f>
        <v>09/25/2014</v>
      </c>
      <c r="H640" s="6" t="str">
        <f>IFERROR(__xludf.DUMMYFUNCTION("""COMPUTED_VALUE"""),"male")</f>
        <v>male</v>
      </c>
      <c r="I640" s="6" t="str">
        <f>IFERROR(__xludf.DUMMYFUNCTION("""COMPUTED_VALUE"""),"Level 2")</f>
        <v>Level 2</v>
      </c>
      <c r="J640" s="6" t="str">
        <f>IFERROR(__xludf.DUMMYFUNCTION("""COMPUTED_VALUE"""),"5")</f>
        <v>5</v>
      </c>
      <c r="K640" s="6" t="str">
        <f>IFERROR(__xludf.DUMMYFUNCTION("""COMPUTED_VALUE"""),"arjun.caberwal@alpha.school")</f>
        <v>arjun.caberwal@alpha.school</v>
      </c>
      <c r="L640" s="6" t="str">
        <f>IFERROR(__xludf.DUMMYFUNCTION("""COMPUTED_VALUE"""),"Alpha School Austin")</f>
        <v>Alpha School Austin</v>
      </c>
      <c r="M640" s="6" t="str">
        <f>IFERROR(__xludf.DUMMYFUNCTION("""COMPUTED_VALUE"""),"")</f>
        <v/>
      </c>
      <c r="N640" s="6" t="str">
        <f>IFERROR(__xludf.DUMMYFUNCTION("""COMPUTED_VALUE"""),"")</f>
        <v/>
      </c>
      <c r="O640" s="87" t="str">
        <f>IFERROR(__xludf.DUMMYFUNCTION("""COMPUTED_VALUE"""),"https://drive.google.com/drive/folders/10T2cTQHqEJZqE-st6uFKPoI?usp=share_link")</f>
        <v>https://drive.google.com/drive/folders/10T2cTQHqEJZqE-st6uFKPoI?usp=share_link</v>
      </c>
      <c r="P640" s="6" t="str">
        <f>IFERROR(__xludf.DUMMYFUNCTION("""COMPUTED_VALUE"""),"Arjun Caberwal")</f>
        <v>Arjun Caberwal</v>
      </c>
      <c r="Q640" s="6" t="str">
        <f>IFERROR(__xludf.DUMMYFUNCTION("""COMPUTED_VALUE"""),"L2")</f>
        <v>L2</v>
      </c>
      <c r="R640" s="6">
        <f>IFERROR(__xludf.DUMMYFUNCTION("""COMPUTED_VALUE"""),2.0)</f>
        <v>2</v>
      </c>
      <c r="S640" s="6" t="str">
        <f>IFERROR(__xludf.DUMMYFUNCTION("""COMPUTED_VALUE"""),"Emma Simon")</f>
        <v>Emma Simon</v>
      </c>
      <c r="T640" s="6" t="str">
        <f>IFERROR(__xludf.DUMMYFUNCTION("""COMPUTED_VALUE"""),"emma.simon@alpha.school")</f>
        <v>emma.simon@alpha.school</v>
      </c>
      <c r="U640" s="6" t="str">
        <f>IFERROR(__xludf.DUMMYFUNCTION("""COMPUTED_VALUE"""),"5")</f>
        <v>5</v>
      </c>
      <c r="V640" s="6" t="str">
        <f>IFERROR(__xludf.DUMMYFUNCTION("""COMPUTED_VALUE"""),"")</f>
        <v/>
      </c>
      <c r="W640" s="6" t="str">
        <f>IFERROR(__xludf.DUMMYFUNCTION("""COMPUTED_VALUE"""),"[]")</f>
        <v>[]</v>
      </c>
      <c r="X640" s="6" t="str">
        <f>IFERROR(__xludf.DUMMYFUNCTION("""COMPUTED_VALUE"""),"Enrolled")</f>
        <v>Enrolled</v>
      </c>
    </row>
    <row r="641">
      <c r="A641" s="6" t="str">
        <f>IFERROR(__xludf.DUMMYFUNCTION("""COMPUTED_VALUE"""),"001-0760")</f>
        <v>001-0760</v>
      </c>
      <c r="B641" s="6" t="str">
        <f>IFERROR(__xludf.DUMMYFUNCTION("""COMPUTED_VALUE"""),"1")</f>
        <v>1</v>
      </c>
      <c r="C641" s="6" t="str">
        <f>IFERROR(__xludf.DUMMYFUNCTION("""COMPUTED_VALUE"""),"0760")</f>
        <v>0760</v>
      </c>
      <c r="D641" s="6" t="str">
        <f>IFERROR(__xludf.DUMMYFUNCTION("""COMPUTED_VALUE"""),"Rania")</f>
        <v>Rania</v>
      </c>
      <c r="E641" s="6" t="str">
        <f>IFERROR(__xludf.DUMMYFUNCTION("""COMPUTED_VALUE"""),"")</f>
        <v/>
      </c>
      <c r="F641" s="6" t="str">
        <f>IFERROR(__xludf.DUMMYFUNCTION("""COMPUTED_VALUE"""),"Caberwal")</f>
        <v>Caberwal</v>
      </c>
      <c r="G641" s="6" t="str">
        <f>IFERROR(__xludf.DUMMYFUNCTION("""COMPUTED_VALUE"""),"05/28/2012")</f>
        <v>05/28/2012</v>
      </c>
      <c r="H641" s="6" t="str">
        <f>IFERROR(__xludf.DUMMYFUNCTION("""COMPUTED_VALUE"""),"female")</f>
        <v>female</v>
      </c>
      <c r="I641" s="6" t="str">
        <f>IFERROR(__xludf.DUMMYFUNCTION("""COMPUTED_VALUE"""),"Middle School")</f>
        <v>Middle School</v>
      </c>
      <c r="J641" s="6" t="str">
        <f>IFERROR(__xludf.DUMMYFUNCTION("""COMPUTED_VALUE"""),"7")</f>
        <v>7</v>
      </c>
      <c r="K641" s="6" t="str">
        <f>IFERROR(__xludf.DUMMYFUNCTION("""COMPUTED_VALUE"""),"rania.caberwal@alpha.school")</f>
        <v>rania.caberwal@alpha.school</v>
      </c>
      <c r="L641" s="6" t="str">
        <f>IFERROR(__xludf.DUMMYFUNCTION("""COMPUTED_VALUE"""),"Alpha School Austin")</f>
        <v>Alpha School Austin</v>
      </c>
      <c r="M641" s="6" t="str">
        <f>IFERROR(__xludf.DUMMYFUNCTION("""COMPUTED_VALUE"""),"")</f>
        <v/>
      </c>
      <c r="N641" s="6" t="str">
        <f>IFERROR(__xludf.DUMMYFUNCTION("""COMPUTED_VALUE"""),"")</f>
        <v/>
      </c>
      <c r="O641" s="87" t="str">
        <f>IFERROR(__xludf.DUMMYFUNCTION("""COMPUTED_VALUE"""),"https://drive.google.com/drive/folders/10T2cTQHqEJZqE-st6uFKPoI?usp=share_link")</f>
        <v>https://drive.google.com/drive/folders/10T2cTQHqEJZqE-st6uFKPoI?usp=share_link</v>
      </c>
      <c r="P641" s="6" t="str">
        <f>IFERROR(__xludf.DUMMYFUNCTION("""COMPUTED_VALUE"""),"Rania Caberwal")</f>
        <v>Rania Caberwal</v>
      </c>
      <c r="Q641" s="6" t="str">
        <f>IFERROR(__xludf.DUMMYFUNCTION("""COMPUTED_VALUE"""),"MS")</f>
        <v>MS</v>
      </c>
      <c r="R641" s="6">
        <f>IFERROR(__xludf.DUMMYFUNCTION("""COMPUTED_VALUE"""),0.0)</f>
        <v>0</v>
      </c>
      <c r="S641" s="6" t="str">
        <f>IFERROR(__xludf.DUMMYFUNCTION("""COMPUTED_VALUE"""),"Shaas Singh")</f>
        <v>Shaas Singh</v>
      </c>
      <c r="T641" s="6" t="str">
        <f>IFERROR(__xludf.DUMMYFUNCTION("""COMPUTED_VALUE"""),"shaas.singh@alpha.school")</f>
        <v>shaas.singh@alpha.school</v>
      </c>
      <c r="U641" s="6" t="str">
        <f>IFERROR(__xludf.DUMMYFUNCTION("""COMPUTED_VALUE"""),"7")</f>
        <v>7</v>
      </c>
      <c r="V641" s="6" t="str">
        <f>IFERROR(__xludf.DUMMYFUNCTION("""COMPUTED_VALUE"""),"")</f>
        <v/>
      </c>
      <c r="W641" s="6" t="str">
        <f>IFERROR(__xludf.DUMMYFUNCTION("""COMPUTED_VALUE"""),"[]")</f>
        <v>[]</v>
      </c>
      <c r="X641" s="6" t="str">
        <f>IFERROR(__xludf.DUMMYFUNCTION("""COMPUTED_VALUE"""),"Enrolled")</f>
        <v>Enrolled</v>
      </c>
    </row>
    <row r="642">
      <c r="A642" s="6" t="str">
        <f>IFERROR(__xludf.DUMMYFUNCTION("""COMPUTED_VALUE"""),"001-0769")</f>
        <v>001-0769</v>
      </c>
      <c r="B642" s="6" t="str">
        <f>IFERROR(__xludf.DUMMYFUNCTION("""COMPUTED_VALUE"""),"1")</f>
        <v>1</v>
      </c>
      <c r="C642" s="6" t="str">
        <f>IFERROR(__xludf.DUMMYFUNCTION("""COMPUTED_VALUE"""),"0769")</f>
        <v>0769</v>
      </c>
      <c r="D642" s="6" t="str">
        <f>IFERROR(__xludf.DUMMYFUNCTION("""COMPUTED_VALUE"""),"Anthem")</f>
        <v>Anthem</v>
      </c>
      <c r="E642" s="6" t="str">
        <f>IFERROR(__xludf.DUMMYFUNCTION("""COMPUTED_VALUE"""),"Anthem")</f>
        <v>Anthem</v>
      </c>
      <c r="F642" s="6" t="str">
        <f>IFERROR(__xludf.DUMMYFUNCTION("""COMPUTED_VALUE"""),"Thomas")</f>
        <v>Thomas</v>
      </c>
      <c r="G642" s="6" t="str">
        <f>IFERROR(__xludf.DUMMYFUNCTION("""COMPUTED_VALUE"""),"04/02/2019")</f>
        <v>04/02/2019</v>
      </c>
      <c r="H642" s="6" t="str">
        <f>IFERROR(__xludf.DUMMYFUNCTION("""COMPUTED_VALUE"""),"female")</f>
        <v>female</v>
      </c>
      <c r="I642" s="6" t="str">
        <f>IFERROR(__xludf.DUMMYFUNCTION("""COMPUTED_VALUE"""),"Learning Lab")</f>
        <v>Learning Lab</v>
      </c>
      <c r="J642" s="6" t="str">
        <f>IFERROR(__xludf.DUMMYFUNCTION("""COMPUTED_VALUE"""),"1")</f>
        <v>1</v>
      </c>
      <c r="K642" s="6" t="str">
        <f>IFERROR(__xludf.DUMMYFUNCTION("""COMPUTED_VALUE"""),"anthem.thomas@alpha.school")</f>
        <v>anthem.thomas@alpha.school</v>
      </c>
      <c r="L642" s="6" t="str">
        <f>IFERROR(__xludf.DUMMYFUNCTION("""COMPUTED_VALUE"""),"Alpha School Austin")</f>
        <v>Alpha School Austin</v>
      </c>
      <c r="M642" s="6" t="str">
        <f>IFERROR(__xludf.DUMMYFUNCTION("""COMPUTED_VALUE"""),"")</f>
        <v/>
      </c>
      <c r="N642" s="6" t="str">
        <f>IFERROR(__xludf.DUMMYFUNCTION("""COMPUTED_VALUE"""),"")</f>
        <v/>
      </c>
      <c r="O642" s="87" t="str">
        <f>IFERROR(__xludf.DUMMYFUNCTION("""COMPUTED_VALUE"""),"https://drive.google.com/drive/folders/10T2cTQHqEJZqE-st6uFKPoI?usp=share_link")</f>
        <v>https://drive.google.com/drive/folders/10T2cTQHqEJZqE-st6uFKPoI?usp=share_link</v>
      </c>
      <c r="P642" s="6" t="str">
        <f>IFERROR(__xludf.DUMMYFUNCTION("""COMPUTED_VALUE"""),"Anthem Thomas")</f>
        <v>Anthem Thomas</v>
      </c>
      <c r="Q642" s="6" t="str">
        <f>IFERROR(__xludf.DUMMYFUNCTION("""COMPUTED_VALUE"""),"LL")</f>
        <v>LL</v>
      </c>
      <c r="R642" s="6">
        <f>IFERROR(__xludf.DUMMYFUNCTION("""COMPUTED_VALUE"""),0.0)</f>
        <v>0</v>
      </c>
      <c r="S642" s="6" t="str">
        <f>IFERROR(__xludf.DUMMYFUNCTION("""COMPUTED_VALUE"""),"Carrington Haas")</f>
        <v>Carrington Haas</v>
      </c>
      <c r="T642" s="6" t="str">
        <f>IFERROR(__xludf.DUMMYFUNCTION("""COMPUTED_VALUE"""),"carrington.haas@alpha.school")</f>
        <v>carrington.haas@alpha.school</v>
      </c>
      <c r="U642" s="6" t="str">
        <f>IFERROR(__xludf.DUMMYFUNCTION("""COMPUTED_VALUE"""),"1")</f>
        <v>1</v>
      </c>
      <c r="V642" s="6" t="str">
        <f>IFERROR(__xludf.DUMMYFUNCTION("""COMPUTED_VALUE"""),"English")</f>
        <v>English</v>
      </c>
      <c r="W642" s="6" t="str">
        <f>IFERROR(__xludf.DUMMYFUNCTION("""COMPUTED_VALUE"""),"[]")</f>
        <v>[]</v>
      </c>
      <c r="X642" s="6" t="str">
        <f>IFERROR(__xludf.DUMMYFUNCTION("""COMPUTED_VALUE"""),"Enrolled")</f>
        <v>Enrolled</v>
      </c>
    </row>
    <row r="643">
      <c r="A643" s="6" t="str">
        <f>IFERROR(__xludf.DUMMYFUNCTION("""COMPUTED_VALUE"""),"001-0770")</f>
        <v>001-0770</v>
      </c>
      <c r="B643" s="6" t="str">
        <f>IFERROR(__xludf.DUMMYFUNCTION("""COMPUTED_VALUE"""),"1")</f>
        <v>1</v>
      </c>
      <c r="C643" s="6" t="str">
        <f>IFERROR(__xludf.DUMMYFUNCTION("""COMPUTED_VALUE"""),"0770")</f>
        <v>0770</v>
      </c>
      <c r="D643" s="6" t="str">
        <f>IFERROR(__xludf.DUMMYFUNCTION("""COMPUTED_VALUE"""),"Diego")</f>
        <v>Diego</v>
      </c>
      <c r="E643" s="6" t="str">
        <f>IFERROR(__xludf.DUMMYFUNCTION("""COMPUTED_VALUE"""),"")</f>
        <v/>
      </c>
      <c r="F643" s="6" t="str">
        <f>IFERROR(__xludf.DUMMYFUNCTION("""COMPUTED_VALUE"""),"Bash")</f>
        <v>Bash</v>
      </c>
      <c r="G643" s="6" t="str">
        <f>IFERROR(__xludf.DUMMYFUNCTION("""COMPUTED_VALUE"""),"05/08/2019")</f>
        <v>05/08/2019</v>
      </c>
      <c r="H643" s="6" t="str">
        <f>IFERROR(__xludf.DUMMYFUNCTION("""COMPUTED_VALUE"""),"male")</f>
        <v>male</v>
      </c>
      <c r="I643" s="6" t="str">
        <f>IFERROR(__xludf.DUMMYFUNCTION("""COMPUTED_VALUE"""),"Learning Lab")</f>
        <v>Learning Lab</v>
      </c>
      <c r="J643" s="6" t="str">
        <f>IFERROR(__xludf.DUMMYFUNCTION("""COMPUTED_VALUE"""),"1")</f>
        <v>1</v>
      </c>
      <c r="K643" s="6" t="str">
        <f>IFERROR(__xludf.DUMMYFUNCTION("""COMPUTED_VALUE"""),"diego.bash@alpha.school")</f>
        <v>diego.bash@alpha.school</v>
      </c>
      <c r="L643" s="6" t="str">
        <f>IFERROR(__xludf.DUMMYFUNCTION("""COMPUTED_VALUE"""),"Alpha School Austin")</f>
        <v>Alpha School Austin</v>
      </c>
      <c r="M643" s="6" t="str">
        <f>IFERROR(__xludf.DUMMYFUNCTION("""COMPUTED_VALUE"""),"")</f>
        <v/>
      </c>
      <c r="N643" s="6" t="str">
        <f>IFERROR(__xludf.DUMMYFUNCTION("""COMPUTED_VALUE"""),"")</f>
        <v/>
      </c>
      <c r="O643" s="87" t="str">
        <f>IFERROR(__xludf.DUMMYFUNCTION("""COMPUTED_VALUE"""),"https://drive.google.com/drive/folders/10T2cTQHqEJZqE-st6uFKPoI?usp=share_link")</f>
        <v>https://drive.google.com/drive/folders/10T2cTQHqEJZqE-st6uFKPoI?usp=share_link</v>
      </c>
      <c r="P643" s="6" t="str">
        <f>IFERROR(__xludf.DUMMYFUNCTION("""COMPUTED_VALUE"""),"Diego Bash")</f>
        <v>Diego Bash</v>
      </c>
      <c r="Q643" s="6" t="str">
        <f>IFERROR(__xludf.DUMMYFUNCTION("""COMPUTED_VALUE"""),"LL")</f>
        <v>LL</v>
      </c>
      <c r="R643" s="6">
        <f>IFERROR(__xludf.DUMMYFUNCTION("""COMPUTED_VALUE"""),0.0)</f>
        <v>0</v>
      </c>
      <c r="S643" s="6" t="str">
        <f>IFERROR(__xludf.DUMMYFUNCTION("""COMPUTED_VALUE"""),"Carrington Haas")</f>
        <v>Carrington Haas</v>
      </c>
      <c r="T643" s="6" t="str">
        <f>IFERROR(__xludf.DUMMYFUNCTION("""COMPUTED_VALUE"""),"carrington.haas@alpha.school")</f>
        <v>carrington.haas@alpha.school</v>
      </c>
      <c r="U643" s="6" t="str">
        <f>IFERROR(__xludf.DUMMYFUNCTION("""COMPUTED_VALUE"""),"1")</f>
        <v>1</v>
      </c>
      <c r="V643" s="6" t="str">
        <f>IFERROR(__xludf.DUMMYFUNCTION("""COMPUTED_VALUE"""),"English")</f>
        <v>English</v>
      </c>
      <c r="W643" s="6" t="str">
        <f>IFERROR(__xludf.DUMMYFUNCTION("""COMPUTED_VALUE"""),"[]")</f>
        <v>[]</v>
      </c>
      <c r="X643" s="6" t="str">
        <f>IFERROR(__xludf.DUMMYFUNCTION("""COMPUTED_VALUE"""),"Enrolled")</f>
        <v>Enrolled</v>
      </c>
    </row>
    <row r="644">
      <c r="A644" s="6" t="str">
        <f>IFERROR(__xludf.DUMMYFUNCTION("""COMPUTED_VALUE"""),"001-0784")</f>
        <v>001-0784</v>
      </c>
      <c r="B644" s="6" t="str">
        <f>IFERROR(__xludf.DUMMYFUNCTION("""COMPUTED_VALUE"""),"1")</f>
        <v>1</v>
      </c>
      <c r="C644" s="6" t="str">
        <f>IFERROR(__xludf.DUMMYFUNCTION("""COMPUTED_VALUE"""),"0784")</f>
        <v>0784</v>
      </c>
      <c r="D644" s="6" t="str">
        <f>IFERROR(__xludf.DUMMYFUNCTION("""COMPUTED_VALUE"""),"Roarke")</f>
        <v>Roarke</v>
      </c>
      <c r="E644" s="6" t="str">
        <f>IFERROR(__xludf.DUMMYFUNCTION("""COMPUTED_VALUE"""),"")</f>
        <v/>
      </c>
      <c r="F644" s="6" t="str">
        <f>IFERROR(__xludf.DUMMYFUNCTION("""COMPUTED_VALUE"""),"Radia")</f>
        <v>Radia</v>
      </c>
      <c r="G644" s="6" t="str">
        <f>IFERROR(__xludf.DUMMYFUNCTION("""COMPUTED_VALUE"""),"06/17/2012")</f>
        <v>06/17/2012</v>
      </c>
      <c r="H644" s="6" t="str">
        <f>IFERROR(__xludf.DUMMYFUNCTION("""COMPUTED_VALUE"""),"female")</f>
        <v>female</v>
      </c>
      <c r="I644" s="6" t="str">
        <f>IFERROR(__xludf.DUMMYFUNCTION("""COMPUTED_VALUE"""),"Middle School")</f>
        <v>Middle School</v>
      </c>
      <c r="J644" s="6" t="str">
        <f>IFERROR(__xludf.DUMMYFUNCTION("""COMPUTED_VALUE"""),"8")</f>
        <v>8</v>
      </c>
      <c r="K644" s="6" t="str">
        <f>IFERROR(__xludf.DUMMYFUNCTION("""COMPUTED_VALUE"""),"roarke.radia@alpha.school")</f>
        <v>roarke.radia@alpha.school</v>
      </c>
      <c r="L644" s="6" t="str">
        <f>IFERROR(__xludf.DUMMYFUNCTION("""COMPUTED_VALUE"""),"Alpha School Austin")</f>
        <v>Alpha School Austin</v>
      </c>
      <c r="M644" s="6" t="str">
        <f>IFERROR(__xludf.DUMMYFUNCTION("""COMPUTED_VALUE"""),"")</f>
        <v/>
      </c>
      <c r="N644" s="6" t="str">
        <f>IFERROR(__xludf.DUMMYFUNCTION("""COMPUTED_VALUE"""),"")</f>
        <v/>
      </c>
      <c r="O644" s="87" t="str">
        <f>IFERROR(__xludf.DUMMYFUNCTION("""COMPUTED_VALUE"""),"https://drive.google.com/drive/folders/10T2cTQHqEJZqE-st6uFKPoI?usp=share_link")</f>
        <v>https://drive.google.com/drive/folders/10T2cTQHqEJZqE-st6uFKPoI?usp=share_link</v>
      </c>
      <c r="P644" s="6" t="str">
        <f>IFERROR(__xludf.DUMMYFUNCTION("""COMPUTED_VALUE"""),"Roarke Radia")</f>
        <v>Roarke Radia</v>
      </c>
      <c r="Q644" s="6" t="str">
        <f>IFERROR(__xludf.DUMMYFUNCTION("""COMPUTED_VALUE"""),"MS")</f>
        <v>MS</v>
      </c>
      <c r="R644" s="6">
        <f>IFERROR(__xludf.DUMMYFUNCTION("""COMPUTED_VALUE"""),0.0)</f>
        <v>0</v>
      </c>
      <c r="S644" s="6" t="str">
        <f>IFERROR(__xludf.DUMMYFUNCTION("""COMPUTED_VALUE"""),"Shaas Singh")</f>
        <v>Shaas Singh</v>
      </c>
      <c r="T644" s="6" t="str">
        <f>IFERROR(__xludf.DUMMYFUNCTION("""COMPUTED_VALUE"""),"shaas.singh@alpha.school")</f>
        <v>shaas.singh@alpha.school</v>
      </c>
      <c r="U644" s="6" t="str">
        <f>IFERROR(__xludf.DUMMYFUNCTION("""COMPUTED_VALUE"""),"8")</f>
        <v>8</v>
      </c>
      <c r="V644" s="6" t="str">
        <f>IFERROR(__xludf.DUMMYFUNCTION("""COMPUTED_VALUE"""),"English")</f>
        <v>English</v>
      </c>
      <c r="W644" s="6" t="str">
        <f>IFERROR(__xludf.DUMMYFUNCTION("""COMPUTED_VALUE"""),"[]")</f>
        <v>[]</v>
      </c>
      <c r="X644" s="6" t="str">
        <f>IFERROR(__xludf.DUMMYFUNCTION("""COMPUTED_VALUE"""),"Enrolled")</f>
        <v>Enrolled</v>
      </c>
    </row>
    <row r="645">
      <c r="A645" s="6" t="str">
        <f>IFERROR(__xludf.DUMMYFUNCTION("""COMPUTED_VALUE"""),"001-0800")</f>
        <v>001-0800</v>
      </c>
      <c r="B645" s="6" t="str">
        <f>IFERROR(__xludf.DUMMYFUNCTION("""COMPUTED_VALUE"""),"1")</f>
        <v>1</v>
      </c>
      <c r="C645" s="6" t="str">
        <f>IFERROR(__xludf.DUMMYFUNCTION("""COMPUTED_VALUE"""),"0800")</f>
        <v>0800</v>
      </c>
      <c r="D645" s="6" t="str">
        <f>IFERROR(__xludf.DUMMYFUNCTION("""COMPUTED_VALUE"""),"L1 First")</f>
        <v>L1 First</v>
      </c>
      <c r="E645" s="6" t="str">
        <f>IFERROR(__xludf.DUMMYFUNCTION("""COMPUTED_VALUE"""),"")</f>
        <v/>
      </c>
      <c r="F645" s="6" t="str">
        <f>IFERROR(__xludf.DUMMYFUNCTION("""COMPUTED_VALUE"""),"User")</f>
        <v>User</v>
      </c>
      <c r="G645" s="6" t="str">
        <f>IFERROR(__xludf.DUMMYFUNCTION("""COMPUTED_VALUE"""),"01/01/2014")</f>
        <v>01/01/2014</v>
      </c>
      <c r="H645" s="6" t="str">
        <f>IFERROR(__xludf.DUMMYFUNCTION("""COMPUTED_VALUE"""),"Other")</f>
        <v>Other</v>
      </c>
      <c r="I645" s="6" t="str">
        <f>IFERROR(__xludf.DUMMYFUNCTION("""COMPUTED_VALUE"""),"Level 2")</f>
        <v>Level 2</v>
      </c>
      <c r="J645" s="6" t="str">
        <f>IFERROR(__xludf.DUMMYFUNCTION("""COMPUTED_VALUE"""),"5")</f>
        <v>5</v>
      </c>
      <c r="K645" s="6" t="str">
        <f>IFERROR(__xludf.DUMMYFUNCTION("""COMPUTED_VALUE"""),"l1.first.user@alpha.school")</f>
        <v>l1.first.user@alpha.school</v>
      </c>
      <c r="L645" s="6" t="str">
        <f>IFERROR(__xludf.DUMMYFUNCTION("""COMPUTED_VALUE"""),"Alpha School Austin")</f>
        <v>Alpha School Austin</v>
      </c>
      <c r="M645" s="6" t="str">
        <f>IFERROR(__xludf.DUMMYFUNCTION("""COMPUTED_VALUE"""),"Mock")</f>
        <v>Mock</v>
      </c>
      <c r="N645" s="6" t="str">
        <f>IFERROR(__xludf.DUMMYFUNCTION("""COMPUTED_VALUE"""),"")</f>
        <v/>
      </c>
      <c r="O645" s="87" t="str">
        <f>IFERROR(__xludf.DUMMYFUNCTION("""COMPUTED_VALUE"""),"https://drive.google.com/drive/folders/10T2cTQHqEJZqE-st6uFKPoI?usp=share_link")</f>
        <v>https://drive.google.com/drive/folders/10T2cTQHqEJZqE-st6uFKPoI?usp=share_link</v>
      </c>
      <c r="P645" s="6" t="str">
        <f>IFERROR(__xludf.DUMMYFUNCTION("""COMPUTED_VALUE"""),"L1 First User")</f>
        <v>L1 First User</v>
      </c>
      <c r="Q645" s="6" t="str">
        <f>IFERROR(__xludf.DUMMYFUNCTION("""COMPUTED_VALUE"""),"L2")</f>
        <v>L2</v>
      </c>
      <c r="R645" s="6">
        <f>IFERROR(__xludf.DUMMYFUNCTION("""COMPUTED_VALUE"""),2.0)</f>
        <v>2</v>
      </c>
      <c r="S645" s="6" t="str">
        <f>IFERROR(__xludf.DUMMYFUNCTION("""COMPUTED_VALUE""")," ")</f>
        <v> </v>
      </c>
      <c r="T645" s="6" t="str">
        <f>IFERROR(__xludf.DUMMYFUNCTION("""COMPUTED_VALUE"""),"")</f>
        <v/>
      </c>
      <c r="U645" s="6" t="str">
        <f>IFERROR(__xludf.DUMMYFUNCTION("""COMPUTED_VALUE"""),"5")</f>
        <v>5</v>
      </c>
      <c r="V645" s="6" t="str">
        <f>IFERROR(__xludf.DUMMYFUNCTION("""COMPUTED_VALUE"""),"English")</f>
        <v>English</v>
      </c>
      <c r="W645" s="6" t="str">
        <f>IFERROR(__xludf.DUMMYFUNCTION("""COMPUTED_VALUE"""),"[]")</f>
        <v>[]</v>
      </c>
      <c r="X645" s="6" t="str">
        <f>IFERROR(__xludf.DUMMYFUNCTION("""COMPUTED_VALUE"""),"Enrolled")</f>
        <v>Enrolled</v>
      </c>
    </row>
    <row r="646">
      <c r="A646" s="6" t="str">
        <f>IFERROR(__xludf.DUMMYFUNCTION("""COMPUTED_VALUE"""),"001-0801")</f>
        <v>001-0801</v>
      </c>
      <c r="B646" s="6" t="str">
        <f>IFERROR(__xludf.DUMMYFUNCTION("""COMPUTED_VALUE"""),"1")</f>
        <v>1</v>
      </c>
      <c r="C646" s="6" t="str">
        <f>IFERROR(__xludf.DUMMYFUNCTION("""COMPUTED_VALUE"""),"0801")</f>
        <v>0801</v>
      </c>
      <c r="D646" s="6" t="str">
        <f>IFERROR(__xludf.DUMMYFUNCTION("""COMPUTED_VALUE"""),"L1 Second")</f>
        <v>L1 Second</v>
      </c>
      <c r="E646" s="6" t="str">
        <f>IFERROR(__xludf.DUMMYFUNCTION("""COMPUTED_VALUE"""),"")</f>
        <v/>
      </c>
      <c r="F646" s="6" t="str">
        <f>IFERROR(__xludf.DUMMYFUNCTION("""COMPUTED_VALUE"""),"User")</f>
        <v>User</v>
      </c>
      <c r="G646" s="6" t="str">
        <f>IFERROR(__xludf.DUMMYFUNCTION("""COMPUTED_VALUE"""),"01/01/2014")</f>
        <v>01/01/2014</v>
      </c>
      <c r="H646" s="6" t="str">
        <f>IFERROR(__xludf.DUMMYFUNCTION("""COMPUTED_VALUE"""),"Other")</f>
        <v>Other</v>
      </c>
      <c r="I646" s="6" t="str">
        <f>IFERROR(__xludf.DUMMYFUNCTION("""COMPUTED_VALUE"""),"Level 2")</f>
        <v>Level 2</v>
      </c>
      <c r="J646" s="6" t="str">
        <f>IFERROR(__xludf.DUMMYFUNCTION("""COMPUTED_VALUE"""),"5")</f>
        <v>5</v>
      </c>
      <c r="K646" s="6" t="str">
        <f>IFERROR(__xludf.DUMMYFUNCTION("""COMPUTED_VALUE"""),"l1.second.user@alpha.school")</f>
        <v>l1.second.user@alpha.school</v>
      </c>
      <c r="L646" s="6" t="str">
        <f>IFERROR(__xludf.DUMMYFUNCTION("""COMPUTED_VALUE"""),"Alpha School Austin")</f>
        <v>Alpha School Austin</v>
      </c>
      <c r="M646" s="6" t="str">
        <f>IFERROR(__xludf.DUMMYFUNCTION("""COMPUTED_VALUE"""),"Mock")</f>
        <v>Mock</v>
      </c>
      <c r="N646" s="6" t="str">
        <f>IFERROR(__xludf.DUMMYFUNCTION("""COMPUTED_VALUE"""),"")</f>
        <v/>
      </c>
      <c r="O646" s="87" t="str">
        <f>IFERROR(__xludf.DUMMYFUNCTION("""COMPUTED_VALUE"""),"https://drive.google.com/drive/folders/10T2cTQHqEJZqE-st6uFKPoI?usp=share_link")</f>
        <v>https://drive.google.com/drive/folders/10T2cTQHqEJZqE-st6uFKPoI?usp=share_link</v>
      </c>
      <c r="P646" s="6" t="str">
        <f>IFERROR(__xludf.DUMMYFUNCTION("""COMPUTED_VALUE"""),"L1 Second User")</f>
        <v>L1 Second User</v>
      </c>
      <c r="Q646" s="6" t="str">
        <f>IFERROR(__xludf.DUMMYFUNCTION("""COMPUTED_VALUE"""),"L2")</f>
        <v>L2</v>
      </c>
      <c r="R646" s="6">
        <f>IFERROR(__xludf.DUMMYFUNCTION("""COMPUTED_VALUE"""),2.0)</f>
        <v>2</v>
      </c>
      <c r="S646" s="6" t="str">
        <f>IFERROR(__xludf.DUMMYFUNCTION("""COMPUTED_VALUE""")," ")</f>
        <v> </v>
      </c>
      <c r="T646" s="6" t="str">
        <f>IFERROR(__xludf.DUMMYFUNCTION("""COMPUTED_VALUE"""),"")</f>
        <v/>
      </c>
      <c r="U646" s="6" t="str">
        <f>IFERROR(__xludf.DUMMYFUNCTION("""COMPUTED_VALUE"""),"5")</f>
        <v>5</v>
      </c>
      <c r="V646" s="6" t="str">
        <f>IFERROR(__xludf.DUMMYFUNCTION("""COMPUTED_VALUE"""),"English")</f>
        <v>English</v>
      </c>
      <c r="W646" s="6" t="str">
        <f>IFERROR(__xludf.DUMMYFUNCTION("""COMPUTED_VALUE"""),"[]")</f>
        <v>[]</v>
      </c>
      <c r="X646" s="6" t="str">
        <f>IFERROR(__xludf.DUMMYFUNCTION("""COMPUTED_VALUE"""),"Enrolled")</f>
        <v>Enrolled</v>
      </c>
    </row>
    <row r="647">
      <c r="A647" s="6" t="str">
        <f>IFERROR(__xludf.DUMMYFUNCTION("""COMPUTED_VALUE"""),"001-0802")</f>
        <v>001-0802</v>
      </c>
      <c r="B647" s="6" t="str">
        <f>IFERROR(__xludf.DUMMYFUNCTION("""COMPUTED_VALUE"""),"1")</f>
        <v>1</v>
      </c>
      <c r="C647" s="6" t="str">
        <f>IFERROR(__xludf.DUMMYFUNCTION("""COMPUTED_VALUE"""),"0802")</f>
        <v>0802</v>
      </c>
      <c r="D647" s="6" t="str">
        <f>IFERROR(__xludf.DUMMYFUNCTION("""COMPUTED_VALUE"""),"Linc First")</f>
        <v>Linc First</v>
      </c>
      <c r="E647" s="6" t="str">
        <f>IFERROR(__xludf.DUMMYFUNCTION("""COMPUTED_VALUE"""),"")</f>
        <v/>
      </c>
      <c r="F647" s="6" t="str">
        <f>IFERROR(__xludf.DUMMYFUNCTION("""COMPUTED_VALUE"""),"User")</f>
        <v>User</v>
      </c>
      <c r="G647" s="6" t="str">
        <f>IFERROR(__xludf.DUMMYFUNCTION("""COMPUTED_VALUE"""),"01/01/2016")</f>
        <v>01/01/2016</v>
      </c>
      <c r="H647" s="6" t="str">
        <f>IFERROR(__xludf.DUMMYFUNCTION("""COMPUTED_VALUE"""),"Other")</f>
        <v>Other</v>
      </c>
      <c r="I647" s="6" t="str">
        <f>IFERROR(__xludf.DUMMYFUNCTION("""COMPUTED_VALUE"""),"Level 1")</f>
        <v>Level 1</v>
      </c>
      <c r="J647" s="6" t="str">
        <f>IFERROR(__xludf.DUMMYFUNCTION("""COMPUTED_VALUE"""),"3")</f>
        <v>3</v>
      </c>
      <c r="K647" s="6" t="str">
        <f>IFERROR(__xludf.DUMMYFUNCTION("""COMPUTED_VALUE"""),"linc.first.user@alpha.school")</f>
        <v>linc.first.user@alpha.school</v>
      </c>
      <c r="L647" s="6" t="str">
        <f>IFERROR(__xludf.DUMMYFUNCTION("""COMPUTED_VALUE"""),"Alpha School Austin")</f>
        <v>Alpha School Austin</v>
      </c>
      <c r="M647" s="6" t="str">
        <f>IFERROR(__xludf.DUMMYFUNCTION("""COMPUTED_VALUE"""),"Mock")</f>
        <v>Mock</v>
      </c>
      <c r="N647" s="6" t="str">
        <f>IFERROR(__xludf.DUMMYFUNCTION("""COMPUTED_VALUE"""),"")</f>
        <v/>
      </c>
      <c r="O647" s="87" t="str">
        <f>IFERROR(__xludf.DUMMYFUNCTION("""COMPUTED_VALUE"""),"https://drive.google.com/drive/folders/10T2cTQHqEJZqE-st6uFKPoI?usp=share_link")</f>
        <v>https://drive.google.com/drive/folders/10T2cTQHqEJZqE-st6uFKPoI?usp=share_link</v>
      </c>
      <c r="P647" s="6" t="str">
        <f>IFERROR(__xludf.DUMMYFUNCTION("""COMPUTED_VALUE"""),"Linc First User")</f>
        <v>Linc First User</v>
      </c>
      <c r="Q647" s="6" t="str">
        <f>IFERROR(__xludf.DUMMYFUNCTION("""COMPUTED_VALUE"""),"L1")</f>
        <v>L1</v>
      </c>
      <c r="R647" s="6">
        <f>IFERROR(__xludf.DUMMYFUNCTION("""COMPUTED_VALUE"""),1.0)</f>
        <v>1</v>
      </c>
      <c r="S647" s="6" t="str">
        <f>IFERROR(__xludf.DUMMYFUNCTION("""COMPUTED_VALUE""")," ")</f>
        <v> </v>
      </c>
      <c r="T647" s="6" t="str">
        <f>IFERROR(__xludf.DUMMYFUNCTION("""COMPUTED_VALUE"""),"")</f>
        <v/>
      </c>
      <c r="U647" s="6" t="str">
        <f>IFERROR(__xludf.DUMMYFUNCTION("""COMPUTED_VALUE"""),"3")</f>
        <v>3</v>
      </c>
      <c r="V647" s="6" t="str">
        <f>IFERROR(__xludf.DUMMYFUNCTION("""COMPUTED_VALUE"""),"English")</f>
        <v>English</v>
      </c>
      <c r="W647" s="6" t="str">
        <f>IFERROR(__xludf.DUMMYFUNCTION("""COMPUTED_VALUE"""),"[]")</f>
        <v>[]</v>
      </c>
      <c r="X647" s="6" t="str">
        <f>IFERROR(__xludf.DUMMYFUNCTION("""COMPUTED_VALUE"""),"Enrolled")</f>
        <v>Enrolled</v>
      </c>
    </row>
    <row r="648">
      <c r="A648" s="6" t="str">
        <f>IFERROR(__xludf.DUMMYFUNCTION("""COMPUTED_VALUE"""),"001-0803")</f>
        <v>001-0803</v>
      </c>
      <c r="B648" s="6" t="str">
        <f>IFERROR(__xludf.DUMMYFUNCTION("""COMPUTED_VALUE"""),"1")</f>
        <v>1</v>
      </c>
      <c r="C648" s="6" t="str">
        <f>IFERROR(__xludf.DUMMYFUNCTION("""COMPUTED_VALUE"""),"0803")</f>
        <v>0803</v>
      </c>
      <c r="D648" s="6" t="str">
        <f>IFERROR(__xludf.DUMMYFUNCTION("""COMPUTED_VALUE"""),"Linc Second")</f>
        <v>Linc Second</v>
      </c>
      <c r="E648" s="6" t="str">
        <f>IFERROR(__xludf.DUMMYFUNCTION("""COMPUTED_VALUE"""),"")</f>
        <v/>
      </c>
      <c r="F648" s="6" t="str">
        <f>IFERROR(__xludf.DUMMYFUNCTION("""COMPUTED_VALUE"""),"User")</f>
        <v>User</v>
      </c>
      <c r="G648" s="6" t="str">
        <f>IFERROR(__xludf.DUMMYFUNCTION("""COMPUTED_VALUE"""),"01/01/2016")</f>
        <v>01/01/2016</v>
      </c>
      <c r="H648" s="6" t="str">
        <f>IFERROR(__xludf.DUMMYFUNCTION("""COMPUTED_VALUE"""),"Other")</f>
        <v>Other</v>
      </c>
      <c r="I648" s="6" t="str">
        <f>IFERROR(__xludf.DUMMYFUNCTION("""COMPUTED_VALUE"""),"Level 1")</f>
        <v>Level 1</v>
      </c>
      <c r="J648" s="6" t="str">
        <f>IFERROR(__xludf.DUMMYFUNCTION("""COMPUTED_VALUE"""),"3")</f>
        <v>3</v>
      </c>
      <c r="K648" s="6" t="str">
        <f>IFERROR(__xludf.DUMMYFUNCTION("""COMPUTED_VALUE"""),"linc.second.user@alpha.school")</f>
        <v>linc.second.user@alpha.school</v>
      </c>
      <c r="L648" s="6" t="str">
        <f>IFERROR(__xludf.DUMMYFUNCTION("""COMPUTED_VALUE"""),"Alpha School Austin")</f>
        <v>Alpha School Austin</v>
      </c>
      <c r="M648" s="6" t="str">
        <f>IFERROR(__xludf.DUMMYFUNCTION("""COMPUTED_VALUE"""),"Mock")</f>
        <v>Mock</v>
      </c>
      <c r="N648" s="6" t="str">
        <f>IFERROR(__xludf.DUMMYFUNCTION("""COMPUTED_VALUE"""),"")</f>
        <v/>
      </c>
      <c r="O648" s="87" t="str">
        <f>IFERROR(__xludf.DUMMYFUNCTION("""COMPUTED_VALUE"""),"https://drive.google.com/drive/folders/10T2cTQHqEJZqE-st6uFKPoI?usp=share_link")</f>
        <v>https://drive.google.com/drive/folders/10T2cTQHqEJZqE-st6uFKPoI?usp=share_link</v>
      </c>
      <c r="P648" s="6" t="str">
        <f>IFERROR(__xludf.DUMMYFUNCTION("""COMPUTED_VALUE"""),"Linc Second User")</f>
        <v>Linc Second User</v>
      </c>
      <c r="Q648" s="6" t="str">
        <f>IFERROR(__xludf.DUMMYFUNCTION("""COMPUTED_VALUE"""),"L1")</f>
        <v>L1</v>
      </c>
      <c r="R648" s="6">
        <f>IFERROR(__xludf.DUMMYFUNCTION("""COMPUTED_VALUE"""),1.0)</f>
        <v>1</v>
      </c>
      <c r="S648" s="6" t="str">
        <f>IFERROR(__xludf.DUMMYFUNCTION("""COMPUTED_VALUE""")," ")</f>
        <v> </v>
      </c>
      <c r="T648" s="6" t="str">
        <f>IFERROR(__xludf.DUMMYFUNCTION("""COMPUTED_VALUE"""),"")</f>
        <v/>
      </c>
      <c r="U648" s="6" t="str">
        <f>IFERROR(__xludf.DUMMYFUNCTION("""COMPUTED_VALUE"""),"3")</f>
        <v>3</v>
      </c>
      <c r="V648" s="6" t="str">
        <f>IFERROR(__xludf.DUMMYFUNCTION("""COMPUTED_VALUE"""),"English")</f>
        <v>English</v>
      </c>
      <c r="W648" s="6" t="str">
        <f>IFERROR(__xludf.DUMMYFUNCTION("""COMPUTED_VALUE"""),"[]")</f>
        <v>[]</v>
      </c>
      <c r="X648" s="6" t="str">
        <f>IFERROR(__xludf.DUMMYFUNCTION("""COMPUTED_VALUE"""),"Enrolled")</f>
        <v>Enrolled</v>
      </c>
    </row>
    <row r="649">
      <c r="A649" s="6" t="str">
        <f>IFERROR(__xludf.DUMMYFUNCTION("""COMPUTED_VALUE"""),"001-0804")</f>
        <v>001-0804</v>
      </c>
      <c r="B649" s="6" t="str">
        <f>IFERROR(__xludf.DUMMYFUNCTION("""COMPUTED_VALUE"""),"1")</f>
        <v>1</v>
      </c>
      <c r="C649" s="6" t="str">
        <f>IFERROR(__xludf.DUMMYFUNCTION("""COMPUTED_VALUE"""),"0804")</f>
        <v>0804</v>
      </c>
      <c r="D649" s="6" t="str">
        <f>IFERROR(__xludf.DUMMYFUNCTION("""COMPUTED_VALUE"""),"LL First")</f>
        <v>LL First</v>
      </c>
      <c r="E649" s="6" t="str">
        <f>IFERROR(__xludf.DUMMYFUNCTION("""COMPUTED_VALUE"""),"")</f>
        <v/>
      </c>
      <c r="F649" s="6" t="str">
        <f>IFERROR(__xludf.DUMMYFUNCTION("""COMPUTED_VALUE"""),"User")</f>
        <v>User</v>
      </c>
      <c r="G649" s="6" t="str">
        <f>IFERROR(__xludf.DUMMYFUNCTION("""COMPUTED_VALUE"""),"01/01/2017")</f>
        <v>01/01/2017</v>
      </c>
      <c r="H649" s="6" t="str">
        <f>IFERROR(__xludf.DUMMYFUNCTION("""COMPUTED_VALUE"""),"Other")</f>
        <v>Other</v>
      </c>
      <c r="I649" s="6" t="str">
        <f>IFERROR(__xludf.DUMMYFUNCTION("""COMPUTED_VALUE"""),"Level 1")</f>
        <v>Level 1</v>
      </c>
      <c r="J649" s="6" t="str">
        <f>IFERROR(__xludf.DUMMYFUNCTION("""COMPUTED_VALUE"""),"2")</f>
        <v>2</v>
      </c>
      <c r="K649" s="6" t="str">
        <f>IFERROR(__xludf.DUMMYFUNCTION("""COMPUTED_VALUE"""),"ll.first.user@alpha.school")</f>
        <v>ll.first.user@alpha.school</v>
      </c>
      <c r="L649" s="6" t="str">
        <f>IFERROR(__xludf.DUMMYFUNCTION("""COMPUTED_VALUE"""),"Alpha School Austin")</f>
        <v>Alpha School Austin</v>
      </c>
      <c r="M649" s="6" t="str">
        <f>IFERROR(__xludf.DUMMYFUNCTION("""COMPUTED_VALUE"""),"Mock")</f>
        <v>Mock</v>
      </c>
      <c r="N649" s="6" t="str">
        <f>IFERROR(__xludf.DUMMYFUNCTION("""COMPUTED_VALUE"""),"")</f>
        <v/>
      </c>
      <c r="O649" s="87" t="str">
        <f>IFERROR(__xludf.DUMMYFUNCTION("""COMPUTED_VALUE"""),"https://drive.google.com/drive/folders/10T2cTQHqEJZqE-st6uFKPoI?usp=share_link")</f>
        <v>https://drive.google.com/drive/folders/10T2cTQHqEJZqE-st6uFKPoI?usp=share_link</v>
      </c>
      <c r="P649" s="6" t="str">
        <f>IFERROR(__xludf.DUMMYFUNCTION("""COMPUTED_VALUE"""),"LL First User")</f>
        <v>LL First User</v>
      </c>
      <c r="Q649" s="6" t="str">
        <f>IFERROR(__xludf.DUMMYFUNCTION("""COMPUTED_VALUE"""),"L1")</f>
        <v>L1</v>
      </c>
      <c r="R649" s="6">
        <f>IFERROR(__xludf.DUMMYFUNCTION("""COMPUTED_VALUE"""),1.0)</f>
        <v>1</v>
      </c>
      <c r="S649" s="6" t="str">
        <f>IFERROR(__xludf.DUMMYFUNCTION("""COMPUTED_VALUE""")," ")</f>
        <v> </v>
      </c>
      <c r="T649" s="6" t="str">
        <f>IFERROR(__xludf.DUMMYFUNCTION("""COMPUTED_VALUE"""),"")</f>
        <v/>
      </c>
      <c r="U649" s="6" t="str">
        <f>IFERROR(__xludf.DUMMYFUNCTION("""COMPUTED_VALUE"""),"2")</f>
        <v>2</v>
      </c>
      <c r="V649" s="6" t="str">
        <f>IFERROR(__xludf.DUMMYFUNCTION("""COMPUTED_VALUE"""),"English")</f>
        <v>English</v>
      </c>
      <c r="W649" s="6" t="str">
        <f>IFERROR(__xludf.DUMMYFUNCTION("""COMPUTED_VALUE"""),"[]")</f>
        <v>[]</v>
      </c>
      <c r="X649" s="6" t="str">
        <f>IFERROR(__xludf.DUMMYFUNCTION("""COMPUTED_VALUE"""),"Enrolled")</f>
        <v>Enrolled</v>
      </c>
    </row>
    <row r="650">
      <c r="A650" s="6" t="str">
        <f>IFERROR(__xludf.DUMMYFUNCTION("""COMPUTED_VALUE"""),"001-0805")</f>
        <v>001-0805</v>
      </c>
      <c r="B650" s="6" t="str">
        <f>IFERROR(__xludf.DUMMYFUNCTION("""COMPUTED_VALUE"""),"1")</f>
        <v>1</v>
      </c>
      <c r="C650" s="6" t="str">
        <f>IFERROR(__xludf.DUMMYFUNCTION("""COMPUTED_VALUE"""),"0805")</f>
        <v>0805</v>
      </c>
      <c r="D650" s="6" t="str">
        <f>IFERROR(__xludf.DUMMYFUNCTION("""COMPUTED_VALUE"""),"LL Second")</f>
        <v>LL Second</v>
      </c>
      <c r="E650" s="6" t="str">
        <f>IFERROR(__xludf.DUMMYFUNCTION("""COMPUTED_VALUE"""),"")</f>
        <v/>
      </c>
      <c r="F650" s="6" t="str">
        <f>IFERROR(__xludf.DUMMYFUNCTION("""COMPUTED_VALUE"""),"User")</f>
        <v>User</v>
      </c>
      <c r="G650" s="6" t="str">
        <f>IFERROR(__xludf.DUMMYFUNCTION("""COMPUTED_VALUE"""),"01/01/2017")</f>
        <v>01/01/2017</v>
      </c>
      <c r="H650" s="6" t="str">
        <f>IFERROR(__xludf.DUMMYFUNCTION("""COMPUTED_VALUE"""),"Other")</f>
        <v>Other</v>
      </c>
      <c r="I650" s="6" t="str">
        <f>IFERROR(__xludf.DUMMYFUNCTION("""COMPUTED_VALUE"""),"Level 1")</f>
        <v>Level 1</v>
      </c>
      <c r="J650" s="6" t="str">
        <f>IFERROR(__xludf.DUMMYFUNCTION("""COMPUTED_VALUE"""),"2")</f>
        <v>2</v>
      </c>
      <c r="K650" s="6" t="str">
        <f>IFERROR(__xludf.DUMMYFUNCTION("""COMPUTED_VALUE"""),"ll.second.user@alpha.school")</f>
        <v>ll.second.user@alpha.school</v>
      </c>
      <c r="L650" s="6" t="str">
        <f>IFERROR(__xludf.DUMMYFUNCTION("""COMPUTED_VALUE"""),"Alpha School Austin")</f>
        <v>Alpha School Austin</v>
      </c>
      <c r="M650" s="6" t="str">
        <f>IFERROR(__xludf.DUMMYFUNCTION("""COMPUTED_VALUE"""),"Mock")</f>
        <v>Mock</v>
      </c>
      <c r="N650" s="6" t="str">
        <f>IFERROR(__xludf.DUMMYFUNCTION("""COMPUTED_VALUE"""),"")</f>
        <v/>
      </c>
      <c r="O650" s="87" t="str">
        <f>IFERROR(__xludf.DUMMYFUNCTION("""COMPUTED_VALUE"""),"https://drive.google.com/drive/folders/10T2cTQHqEJZqE-st6uFKPoI?usp=share_link")</f>
        <v>https://drive.google.com/drive/folders/10T2cTQHqEJZqE-st6uFKPoI?usp=share_link</v>
      </c>
      <c r="P650" s="6" t="str">
        <f>IFERROR(__xludf.DUMMYFUNCTION("""COMPUTED_VALUE"""),"LL Second User")</f>
        <v>LL Second User</v>
      </c>
      <c r="Q650" s="6" t="str">
        <f>IFERROR(__xludf.DUMMYFUNCTION("""COMPUTED_VALUE"""),"L1")</f>
        <v>L1</v>
      </c>
      <c r="R650" s="6">
        <f>IFERROR(__xludf.DUMMYFUNCTION("""COMPUTED_VALUE"""),1.0)</f>
        <v>1</v>
      </c>
      <c r="S650" s="6" t="str">
        <f>IFERROR(__xludf.DUMMYFUNCTION("""COMPUTED_VALUE""")," ")</f>
        <v> </v>
      </c>
      <c r="T650" s="6" t="str">
        <f>IFERROR(__xludf.DUMMYFUNCTION("""COMPUTED_VALUE"""),"")</f>
        <v/>
      </c>
      <c r="U650" s="6" t="str">
        <f>IFERROR(__xludf.DUMMYFUNCTION("""COMPUTED_VALUE"""),"2")</f>
        <v>2</v>
      </c>
      <c r="V650" s="6" t="str">
        <f>IFERROR(__xludf.DUMMYFUNCTION("""COMPUTED_VALUE"""),"English")</f>
        <v>English</v>
      </c>
      <c r="W650" s="6" t="str">
        <f>IFERROR(__xludf.DUMMYFUNCTION("""COMPUTED_VALUE"""),"[]")</f>
        <v>[]</v>
      </c>
      <c r="X650" s="6" t="str">
        <f>IFERROR(__xludf.DUMMYFUNCTION("""COMPUTED_VALUE"""),"Enrolled")</f>
        <v>Enrolled</v>
      </c>
    </row>
    <row r="651">
      <c r="A651" s="6" t="str">
        <f>IFERROR(__xludf.DUMMYFUNCTION("""COMPUTED_VALUE"""),"001-0806")</f>
        <v>001-0806</v>
      </c>
      <c r="B651" s="6" t="str">
        <f>IFERROR(__xludf.DUMMYFUNCTION("""COMPUTED_VALUE"""),"1")</f>
        <v>1</v>
      </c>
      <c r="C651" s="6" t="str">
        <f>IFERROR(__xludf.DUMMYFUNCTION("""COMPUTED_VALUE"""),"0806")</f>
        <v>0806</v>
      </c>
      <c r="D651" s="6" t="str">
        <f>IFERROR(__xludf.DUMMYFUNCTION("""COMPUTED_VALUE"""),"L2 First")</f>
        <v>L2 First</v>
      </c>
      <c r="E651" s="6" t="str">
        <f>IFERROR(__xludf.DUMMYFUNCTION("""COMPUTED_VALUE"""),"")</f>
        <v/>
      </c>
      <c r="F651" s="6" t="str">
        <f>IFERROR(__xludf.DUMMYFUNCTION("""COMPUTED_VALUE"""),"User")</f>
        <v>User</v>
      </c>
      <c r="G651" s="6" t="str">
        <f>IFERROR(__xludf.DUMMYFUNCTION("""COMPUTED_VALUE"""),"01/01/2013")</f>
        <v>01/01/2013</v>
      </c>
      <c r="H651" s="6" t="str">
        <f>IFERROR(__xludf.DUMMYFUNCTION("""COMPUTED_VALUE"""),"Other")</f>
        <v>Other</v>
      </c>
      <c r="I651" s="6" t="str">
        <f>IFERROR(__xludf.DUMMYFUNCTION("""COMPUTED_VALUE"""),"Middle School")</f>
        <v>Middle School</v>
      </c>
      <c r="J651" s="6" t="str">
        <f>IFERROR(__xludf.DUMMYFUNCTION("""COMPUTED_VALUE"""),"6")</f>
        <v>6</v>
      </c>
      <c r="K651" s="6" t="str">
        <f>IFERROR(__xludf.DUMMYFUNCTION("""COMPUTED_VALUE"""),"l2.first.user@alpha.school")</f>
        <v>l2.first.user@alpha.school</v>
      </c>
      <c r="L651" s="6" t="str">
        <f>IFERROR(__xludf.DUMMYFUNCTION("""COMPUTED_VALUE"""),"Alpha School Austin")</f>
        <v>Alpha School Austin</v>
      </c>
      <c r="M651" s="6" t="str">
        <f>IFERROR(__xludf.DUMMYFUNCTION("""COMPUTED_VALUE"""),"Mock")</f>
        <v>Mock</v>
      </c>
      <c r="N651" s="6" t="str">
        <f>IFERROR(__xludf.DUMMYFUNCTION("""COMPUTED_VALUE"""),"")</f>
        <v/>
      </c>
      <c r="O651" s="87" t="str">
        <f>IFERROR(__xludf.DUMMYFUNCTION("""COMPUTED_VALUE"""),"https://drive.google.com/drive/folders/10T2cTQHqEJZqE-st6uFKPoI?usp=share_link")</f>
        <v>https://drive.google.com/drive/folders/10T2cTQHqEJZqE-st6uFKPoI?usp=share_link</v>
      </c>
      <c r="P651" s="6" t="str">
        <f>IFERROR(__xludf.DUMMYFUNCTION("""COMPUTED_VALUE"""),"L2 First User")</f>
        <v>L2 First User</v>
      </c>
      <c r="Q651" s="6" t="str">
        <f>IFERROR(__xludf.DUMMYFUNCTION("""COMPUTED_VALUE"""),"MS")</f>
        <v>MS</v>
      </c>
      <c r="R651" s="6">
        <f>IFERROR(__xludf.DUMMYFUNCTION("""COMPUTED_VALUE"""),0.0)</f>
        <v>0</v>
      </c>
      <c r="S651" s="6" t="str">
        <f>IFERROR(__xludf.DUMMYFUNCTION("""COMPUTED_VALUE""")," ")</f>
        <v> </v>
      </c>
      <c r="T651" s="6" t="str">
        <f>IFERROR(__xludf.DUMMYFUNCTION("""COMPUTED_VALUE"""),"")</f>
        <v/>
      </c>
      <c r="U651" s="6" t="str">
        <f>IFERROR(__xludf.DUMMYFUNCTION("""COMPUTED_VALUE"""),"6")</f>
        <v>6</v>
      </c>
      <c r="V651" s="6" t="str">
        <f>IFERROR(__xludf.DUMMYFUNCTION("""COMPUTED_VALUE"""),"English")</f>
        <v>English</v>
      </c>
      <c r="W651" s="6" t="str">
        <f>IFERROR(__xludf.DUMMYFUNCTION("""COMPUTED_VALUE"""),"[]")</f>
        <v>[]</v>
      </c>
      <c r="X651" s="6" t="str">
        <f>IFERROR(__xludf.DUMMYFUNCTION("""COMPUTED_VALUE"""),"Enrolled")</f>
        <v>Enrolled</v>
      </c>
    </row>
    <row r="652">
      <c r="A652" s="6" t="str">
        <f>IFERROR(__xludf.DUMMYFUNCTION("""COMPUTED_VALUE"""),"001-0807")</f>
        <v>001-0807</v>
      </c>
      <c r="B652" s="6" t="str">
        <f>IFERROR(__xludf.DUMMYFUNCTION("""COMPUTED_VALUE"""),"1")</f>
        <v>1</v>
      </c>
      <c r="C652" s="6" t="str">
        <f>IFERROR(__xludf.DUMMYFUNCTION("""COMPUTED_VALUE"""),"0807")</f>
        <v>0807</v>
      </c>
      <c r="D652" s="6" t="str">
        <f>IFERROR(__xludf.DUMMYFUNCTION("""COMPUTED_VALUE"""),"L2 Second")</f>
        <v>L2 Second</v>
      </c>
      <c r="E652" s="6" t="str">
        <f>IFERROR(__xludf.DUMMYFUNCTION("""COMPUTED_VALUE"""),"")</f>
        <v/>
      </c>
      <c r="F652" s="6" t="str">
        <f>IFERROR(__xludf.DUMMYFUNCTION("""COMPUTED_VALUE"""),"User")</f>
        <v>User</v>
      </c>
      <c r="G652" s="6" t="str">
        <f>IFERROR(__xludf.DUMMYFUNCTION("""COMPUTED_VALUE"""),"01/01/2013")</f>
        <v>01/01/2013</v>
      </c>
      <c r="H652" s="6" t="str">
        <f>IFERROR(__xludf.DUMMYFUNCTION("""COMPUTED_VALUE"""),"Other")</f>
        <v>Other</v>
      </c>
      <c r="I652" s="6" t="str">
        <f>IFERROR(__xludf.DUMMYFUNCTION("""COMPUTED_VALUE"""),"Middle School")</f>
        <v>Middle School</v>
      </c>
      <c r="J652" s="6" t="str">
        <f>IFERROR(__xludf.DUMMYFUNCTION("""COMPUTED_VALUE"""),"6")</f>
        <v>6</v>
      </c>
      <c r="K652" s="6" t="str">
        <f>IFERROR(__xludf.DUMMYFUNCTION("""COMPUTED_VALUE"""),"l2.second.user@alpha.school")</f>
        <v>l2.second.user@alpha.school</v>
      </c>
      <c r="L652" s="6" t="str">
        <f>IFERROR(__xludf.DUMMYFUNCTION("""COMPUTED_VALUE"""),"Alpha School Austin")</f>
        <v>Alpha School Austin</v>
      </c>
      <c r="M652" s="6" t="str">
        <f>IFERROR(__xludf.DUMMYFUNCTION("""COMPUTED_VALUE"""),"Mock")</f>
        <v>Mock</v>
      </c>
      <c r="N652" s="6" t="str">
        <f>IFERROR(__xludf.DUMMYFUNCTION("""COMPUTED_VALUE"""),"")</f>
        <v/>
      </c>
      <c r="O652" s="87" t="str">
        <f>IFERROR(__xludf.DUMMYFUNCTION("""COMPUTED_VALUE"""),"https://drive.google.com/drive/folders/10T2cTQHqEJZqE-st6uFKPoI?usp=share_link")</f>
        <v>https://drive.google.com/drive/folders/10T2cTQHqEJZqE-st6uFKPoI?usp=share_link</v>
      </c>
      <c r="P652" s="6" t="str">
        <f>IFERROR(__xludf.DUMMYFUNCTION("""COMPUTED_VALUE"""),"L2 Second User")</f>
        <v>L2 Second User</v>
      </c>
      <c r="Q652" s="6" t="str">
        <f>IFERROR(__xludf.DUMMYFUNCTION("""COMPUTED_VALUE"""),"MS")</f>
        <v>MS</v>
      </c>
      <c r="R652" s="6">
        <f>IFERROR(__xludf.DUMMYFUNCTION("""COMPUTED_VALUE"""),0.0)</f>
        <v>0</v>
      </c>
      <c r="S652" s="6" t="str">
        <f>IFERROR(__xludf.DUMMYFUNCTION("""COMPUTED_VALUE""")," ")</f>
        <v> </v>
      </c>
      <c r="T652" s="6" t="str">
        <f>IFERROR(__xludf.DUMMYFUNCTION("""COMPUTED_VALUE"""),"")</f>
        <v/>
      </c>
      <c r="U652" s="6" t="str">
        <f>IFERROR(__xludf.DUMMYFUNCTION("""COMPUTED_VALUE"""),"6")</f>
        <v>6</v>
      </c>
      <c r="V652" s="6" t="str">
        <f>IFERROR(__xludf.DUMMYFUNCTION("""COMPUTED_VALUE"""),"English")</f>
        <v>English</v>
      </c>
      <c r="W652" s="6" t="str">
        <f>IFERROR(__xludf.DUMMYFUNCTION("""COMPUTED_VALUE"""),"[]")</f>
        <v>[]</v>
      </c>
      <c r="X652" s="6" t="str">
        <f>IFERROR(__xludf.DUMMYFUNCTION("""COMPUTED_VALUE"""),"Enrolled")</f>
        <v>Enrolled</v>
      </c>
    </row>
    <row r="653">
      <c r="A653" s="6" t="str">
        <f>IFERROR(__xludf.DUMMYFUNCTION("""COMPUTED_VALUE"""),"001-0808")</f>
        <v>001-0808</v>
      </c>
      <c r="B653" s="6" t="str">
        <f>IFERROR(__xludf.DUMMYFUNCTION("""COMPUTED_VALUE"""),"1")</f>
        <v>1</v>
      </c>
      <c r="C653" s="6" t="str">
        <f>IFERROR(__xludf.DUMMYFUNCTION("""COMPUTED_VALUE"""),"0808")</f>
        <v>0808</v>
      </c>
      <c r="D653" s="6" t="str">
        <f>IFERROR(__xludf.DUMMYFUNCTION("""COMPUTED_VALUE"""),"L3 First")</f>
        <v>L3 First</v>
      </c>
      <c r="E653" s="6" t="str">
        <f>IFERROR(__xludf.DUMMYFUNCTION("""COMPUTED_VALUE"""),"")</f>
        <v/>
      </c>
      <c r="F653" s="6" t="str">
        <f>IFERROR(__xludf.DUMMYFUNCTION("""COMPUTED_VALUE"""),"User")</f>
        <v>User</v>
      </c>
      <c r="G653" s="6" t="str">
        <f>IFERROR(__xludf.DUMMYFUNCTION("""COMPUTED_VALUE"""),"01/01/2011")</f>
        <v>01/01/2011</v>
      </c>
      <c r="H653" s="6" t="str">
        <f>IFERROR(__xludf.DUMMYFUNCTION("""COMPUTED_VALUE"""),"Other")</f>
        <v>Other</v>
      </c>
      <c r="I653" s="6" t="str">
        <f>IFERROR(__xludf.DUMMYFUNCTION("""COMPUTED_VALUE"""),"High School")</f>
        <v>High School</v>
      </c>
      <c r="J653" s="6" t="str">
        <f>IFERROR(__xludf.DUMMYFUNCTION("""COMPUTED_VALUE"""),"9")</f>
        <v>9</v>
      </c>
      <c r="K653" s="6" t="str">
        <f>IFERROR(__xludf.DUMMYFUNCTION("""COMPUTED_VALUE"""),"l3.first.user@alpha.school")</f>
        <v>l3.first.user@alpha.school</v>
      </c>
      <c r="L653" s="6" t="str">
        <f>IFERROR(__xludf.DUMMYFUNCTION("""COMPUTED_VALUE"""),"Alpha School Austin")</f>
        <v>Alpha School Austin</v>
      </c>
      <c r="M653" s="6" t="str">
        <f>IFERROR(__xludf.DUMMYFUNCTION("""COMPUTED_VALUE"""),"Mock")</f>
        <v>Mock</v>
      </c>
      <c r="N653" s="6" t="str">
        <f>IFERROR(__xludf.DUMMYFUNCTION("""COMPUTED_VALUE"""),"")</f>
        <v/>
      </c>
      <c r="O653" s="87" t="str">
        <f>IFERROR(__xludf.DUMMYFUNCTION("""COMPUTED_VALUE"""),"https://drive.google.com/drive/folders/10T2cTQHqEJZqE-st6uFKPoI?usp=share_link")</f>
        <v>https://drive.google.com/drive/folders/10T2cTQHqEJZqE-st6uFKPoI?usp=share_link</v>
      </c>
      <c r="P653" s="6" t="str">
        <f>IFERROR(__xludf.DUMMYFUNCTION("""COMPUTED_VALUE"""),"L3 First User")</f>
        <v>L3 First User</v>
      </c>
      <c r="Q653" s="6" t="str">
        <f>IFERROR(__xludf.DUMMYFUNCTION("""COMPUTED_VALUE"""),"HS")</f>
        <v>HS</v>
      </c>
      <c r="R653" s="6">
        <f>IFERROR(__xludf.DUMMYFUNCTION("""COMPUTED_VALUE"""),0.0)</f>
        <v>0</v>
      </c>
      <c r="S653" s="6" t="str">
        <f>IFERROR(__xludf.DUMMYFUNCTION("""COMPUTED_VALUE""")," ")</f>
        <v> </v>
      </c>
      <c r="T653" s="6" t="str">
        <f>IFERROR(__xludf.DUMMYFUNCTION("""COMPUTED_VALUE"""),"")</f>
        <v/>
      </c>
      <c r="U653" s="6" t="str">
        <f>IFERROR(__xludf.DUMMYFUNCTION("""COMPUTED_VALUE"""),"9")</f>
        <v>9</v>
      </c>
      <c r="V653" s="6" t="str">
        <f>IFERROR(__xludf.DUMMYFUNCTION("""COMPUTED_VALUE"""),"English")</f>
        <v>English</v>
      </c>
      <c r="W653" s="6" t="str">
        <f>IFERROR(__xludf.DUMMYFUNCTION("""COMPUTED_VALUE"""),"[]")</f>
        <v>[]</v>
      </c>
      <c r="X653" s="6" t="str">
        <f>IFERROR(__xludf.DUMMYFUNCTION("""COMPUTED_VALUE"""),"Enrolled")</f>
        <v>Enrolled</v>
      </c>
    </row>
    <row r="654">
      <c r="A654" s="6" t="str">
        <f>IFERROR(__xludf.DUMMYFUNCTION("""COMPUTED_VALUE"""),"001-0809")</f>
        <v>001-0809</v>
      </c>
      <c r="B654" s="6" t="str">
        <f>IFERROR(__xludf.DUMMYFUNCTION("""COMPUTED_VALUE"""),"1")</f>
        <v>1</v>
      </c>
      <c r="C654" s="6" t="str">
        <f>IFERROR(__xludf.DUMMYFUNCTION("""COMPUTED_VALUE"""),"0809")</f>
        <v>0809</v>
      </c>
      <c r="D654" s="6" t="str">
        <f>IFERROR(__xludf.DUMMYFUNCTION("""COMPUTED_VALUE"""),"L3 Second")</f>
        <v>L3 Second</v>
      </c>
      <c r="E654" s="6" t="str">
        <f>IFERROR(__xludf.DUMMYFUNCTION("""COMPUTED_VALUE"""),"")</f>
        <v/>
      </c>
      <c r="F654" s="6" t="str">
        <f>IFERROR(__xludf.DUMMYFUNCTION("""COMPUTED_VALUE"""),"User")</f>
        <v>User</v>
      </c>
      <c r="G654" s="6" t="str">
        <f>IFERROR(__xludf.DUMMYFUNCTION("""COMPUTED_VALUE"""),"01/01/2011")</f>
        <v>01/01/2011</v>
      </c>
      <c r="H654" s="6" t="str">
        <f>IFERROR(__xludf.DUMMYFUNCTION("""COMPUTED_VALUE"""),"Other")</f>
        <v>Other</v>
      </c>
      <c r="I654" s="6" t="str">
        <f>IFERROR(__xludf.DUMMYFUNCTION("""COMPUTED_VALUE"""),"High School")</f>
        <v>High School</v>
      </c>
      <c r="J654" s="6" t="str">
        <f>IFERROR(__xludf.DUMMYFUNCTION("""COMPUTED_VALUE"""),"9")</f>
        <v>9</v>
      </c>
      <c r="K654" s="6" t="str">
        <f>IFERROR(__xludf.DUMMYFUNCTION("""COMPUTED_VALUE"""),"l3.second.user@alpha.school")</f>
        <v>l3.second.user@alpha.school</v>
      </c>
      <c r="L654" s="6" t="str">
        <f>IFERROR(__xludf.DUMMYFUNCTION("""COMPUTED_VALUE"""),"Alpha School Austin")</f>
        <v>Alpha School Austin</v>
      </c>
      <c r="M654" s="6" t="str">
        <f>IFERROR(__xludf.DUMMYFUNCTION("""COMPUTED_VALUE"""),"Mock")</f>
        <v>Mock</v>
      </c>
      <c r="N654" s="6" t="str">
        <f>IFERROR(__xludf.DUMMYFUNCTION("""COMPUTED_VALUE"""),"")</f>
        <v/>
      </c>
      <c r="O654" s="87" t="str">
        <f>IFERROR(__xludf.DUMMYFUNCTION("""COMPUTED_VALUE"""),"https://drive.google.com/drive/folders/10T2cTQHqEJZqE-st6uFKPoI?usp=share_link")</f>
        <v>https://drive.google.com/drive/folders/10T2cTQHqEJZqE-st6uFKPoI?usp=share_link</v>
      </c>
      <c r="P654" s="6" t="str">
        <f>IFERROR(__xludf.DUMMYFUNCTION("""COMPUTED_VALUE"""),"L3 Second User")</f>
        <v>L3 Second User</v>
      </c>
      <c r="Q654" s="6" t="str">
        <f>IFERROR(__xludf.DUMMYFUNCTION("""COMPUTED_VALUE"""),"HS")</f>
        <v>HS</v>
      </c>
      <c r="R654" s="6">
        <f>IFERROR(__xludf.DUMMYFUNCTION("""COMPUTED_VALUE"""),0.0)</f>
        <v>0</v>
      </c>
      <c r="S654" s="6" t="str">
        <f>IFERROR(__xludf.DUMMYFUNCTION("""COMPUTED_VALUE""")," ")</f>
        <v> </v>
      </c>
      <c r="T654" s="6" t="str">
        <f>IFERROR(__xludf.DUMMYFUNCTION("""COMPUTED_VALUE"""),"")</f>
        <v/>
      </c>
      <c r="U654" s="6" t="str">
        <f>IFERROR(__xludf.DUMMYFUNCTION("""COMPUTED_VALUE"""),"9")</f>
        <v>9</v>
      </c>
      <c r="V654" s="6" t="str">
        <f>IFERROR(__xludf.DUMMYFUNCTION("""COMPUTED_VALUE"""),"English")</f>
        <v>English</v>
      </c>
      <c r="W654" s="6" t="str">
        <f>IFERROR(__xludf.DUMMYFUNCTION("""COMPUTED_VALUE"""),"[]")</f>
        <v>[]</v>
      </c>
      <c r="X654" s="6" t="str">
        <f>IFERROR(__xludf.DUMMYFUNCTION("""COMPUTED_VALUE"""),"Enrolled")</f>
        <v>Enrolled</v>
      </c>
    </row>
    <row r="655">
      <c r="A655" s="6" t="str">
        <f>IFERROR(__xludf.DUMMYFUNCTION("""COMPUTED_VALUE"""),"001-0810")</f>
        <v>001-0810</v>
      </c>
      <c r="B655" s="6" t="str">
        <f>IFERROR(__xludf.DUMMYFUNCTION("""COMPUTED_VALUE"""),"1")</f>
        <v>1</v>
      </c>
      <c r="C655" s="6" t="str">
        <f>IFERROR(__xludf.DUMMYFUNCTION("""COMPUTED_VALUE"""),"0810")</f>
        <v>0810</v>
      </c>
      <c r="D655" s="6" t="str">
        <f>IFERROR(__xludf.DUMMYFUNCTION("""COMPUTED_VALUE"""),"L4 First")</f>
        <v>L4 First</v>
      </c>
      <c r="E655" s="6" t="str">
        <f>IFERROR(__xludf.DUMMYFUNCTION("""COMPUTED_VALUE"""),"")</f>
        <v/>
      </c>
      <c r="F655" s="6" t="str">
        <f>IFERROR(__xludf.DUMMYFUNCTION("""COMPUTED_VALUE"""),"User")</f>
        <v>User</v>
      </c>
      <c r="G655" s="6" t="str">
        <f>IFERROR(__xludf.DUMMYFUNCTION("""COMPUTED_VALUE"""),"01/01/2010")</f>
        <v>01/01/2010</v>
      </c>
      <c r="H655" s="6" t="str">
        <f>IFERROR(__xludf.DUMMYFUNCTION("""COMPUTED_VALUE"""),"Other")</f>
        <v>Other</v>
      </c>
      <c r="I655" s="6" t="str">
        <f>IFERROR(__xludf.DUMMYFUNCTION("""COMPUTED_VALUE"""),"High School")</f>
        <v>High School</v>
      </c>
      <c r="J655" s="6" t="str">
        <f>IFERROR(__xludf.DUMMYFUNCTION("""COMPUTED_VALUE"""),"11")</f>
        <v>11</v>
      </c>
      <c r="K655" s="6" t="str">
        <f>IFERROR(__xludf.DUMMYFUNCTION("""COMPUTED_VALUE"""),"l4.first.user@alpha.school")</f>
        <v>l4.first.user@alpha.school</v>
      </c>
      <c r="L655" s="6" t="str">
        <f>IFERROR(__xludf.DUMMYFUNCTION("""COMPUTED_VALUE"""),"Alpha High School")</f>
        <v>Alpha High School</v>
      </c>
      <c r="M655" s="6" t="str">
        <f>IFERROR(__xludf.DUMMYFUNCTION("""COMPUTED_VALUE"""),"Mock")</f>
        <v>Mock</v>
      </c>
      <c r="N655" s="6" t="str">
        <f>IFERROR(__xludf.DUMMYFUNCTION("""COMPUTED_VALUE"""),"")</f>
        <v/>
      </c>
      <c r="O655" s="87" t="str">
        <f>IFERROR(__xludf.DUMMYFUNCTION("""COMPUTED_VALUE"""),"https://drive.google.com/drive/folders/10T2cTQHqEJZqE-st6uFKPoI?usp=share_link")</f>
        <v>https://drive.google.com/drive/folders/10T2cTQHqEJZqE-st6uFKPoI?usp=share_link</v>
      </c>
      <c r="P655" s="6" t="str">
        <f>IFERROR(__xludf.DUMMYFUNCTION("""COMPUTED_VALUE"""),"L4 First User")</f>
        <v>L4 First User</v>
      </c>
      <c r="Q655" s="6" t="str">
        <f>IFERROR(__xludf.DUMMYFUNCTION("""COMPUTED_VALUE"""),"HS")</f>
        <v>HS</v>
      </c>
      <c r="R655" s="6">
        <f>IFERROR(__xludf.DUMMYFUNCTION("""COMPUTED_VALUE"""),0.0)</f>
        <v>0</v>
      </c>
      <c r="S655" s="6" t="str">
        <f>IFERROR(__xludf.DUMMYFUNCTION("""COMPUTED_VALUE""")," ")</f>
        <v> </v>
      </c>
      <c r="T655" s="6" t="str">
        <f>IFERROR(__xludf.DUMMYFUNCTION("""COMPUTED_VALUE"""),"")</f>
        <v/>
      </c>
      <c r="U655" s="6" t="str">
        <f>IFERROR(__xludf.DUMMYFUNCTION("""COMPUTED_VALUE"""),"11")</f>
        <v>11</v>
      </c>
      <c r="V655" s="6" t="str">
        <f>IFERROR(__xludf.DUMMYFUNCTION("""COMPUTED_VALUE"""),"English")</f>
        <v>English</v>
      </c>
      <c r="W655" s="6" t="str">
        <f>IFERROR(__xludf.DUMMYFUNCTION("""COMPUTED_VALUE"""),"[]")</f>
        <v>[]</v>
      </c>
      <c r="X655" s="6" t="str">
        <f>IFERROR(__xludf.DUMMYFUNCTION("""COMPUTED_VALUE"""),"Enrolled")</f>
        <v>Enrolled</v>
      </c>
    </row>
    <row r="656">
      <c r="A656" s="6" t="str">
        <f>IFERROR(__xludf.DUMMYFUNCTION("""COMPUTED_VALUE"""),"001-0812")</f>
        <v>001-0812</v>
      </c>
      <c r="B656" s="6" t="str">
        <f>IFERROR(__xludf.DUMMYFUNCTION("""COMPUTED_VALUE"""),"1")</f>
        <v>1</v>
      </c>
      <c r="C656" s="6" t="str">
        <f>IFERROR(__xludf.DUMMYFUNCTION("""COMPUTED_VALUE"""),"0812")</f>
        <v>0812</v>
      </c>
      <c r="D656" s="6" t="str">
        <f>IFERROR(__xludf.DUMMYFUNCTION("""COMPUTED_VALUE"""),"L4 Second")</f>
        <v>L4 Second</v>
      </c>
      <c r="E656" s="6" t="str">
        <f>IFERROR(__xludf.DUMMYFUNCTION("""COMPUTED_VALUE"""),"")</f>
        <v/>
      </c>
      <c r="F656" s="6" t="str">
        <f>IFERROR(__xludf.DUMMYFUNCTION("""COMPUTED_VALUE"""),"User")</f>
        <v>User</v>
      </c>
      <c r="G656" s="6" t="str">
        <f>IFERROR(__xludf.DUMMYFUNCTION("""COMPUTED_VALUE"""),"01/01/2010")</f>
        <v>01/01/2010</v>
      </c>
      <c r="H656" s="6" t="str">
        <f>IFERROR(__xludf.DUMMYFUNCTION("""COMPUTED_VALUE"""),"Other")</f>
        <v>Other</v>
      </c>
      <c r="I656" s="6" t="str">
        <f>IFERROR(__xludf.DUMMYFUNCTION("""COMPUTED_VALUE"""),"High School")</f>
        <v>High School</v>
      </c>
      <c r="J656" s="6" t="str">
        <f>IFERROR(__xludf.DUMMYFUNCTION("""COMPUTED_VALUE"""),"11")</f>
        <v>11</v>
      </c>
      <c r="K656" s="6" t="str">
        <f>IFERROR(__xludf.DUMMYFUNCTION("""COMPUTED_VALUE"""),"l4.second.user@alpha.school")</f>
        <v>l4.second.user@alpha.school</v>
      </c>
      <c r="L656" s="6" t="str">
        <f>IFERROR(__xludf.DUMMYFUNCTION("""COMPUTED_VALUE"""),"Alpha High School")</f>
        <v>Alpha High School</v>
      </c>
      <c r="M656" s="6" t="str">
        <f>IFERROR(__xludf.DUMMYFUNCTION("""COMPUTED_VALUE"""),"Mock")</f>
        <v>Mock</v>
      </c>
      <c r="N656" s="6" t="str">
        <f>IFERROR(__xludf.DUMMYFUNCTION("""COMPUTED_VALUE"""),"")</f>
        <v/>
      </c>
      <c r="O656" s="87" t="str">
        <f>IFERROR(__xludf.DUMMYFUNCTION("""COMPUTED_VALUE"""),"https://drive.google.com/drive/folders/10T2cTQHqEJZqE-st6uFKPoI?usp=share_link")</f>
        <v>https://drive.google.com/drive/folders/10T2cTQHqEJZqE-st6uFKPoI?usp=share_link</v>
      </c>
      <c r="P656" s="6" t="str">
        <f>IFERROR(__xludf.DUMMYFUNCTION("""COMPUTED_VALUE"""),"L4 Second User")</f>
        <v>L4 Second User</v>
      </c>
      <c r="Q656" s="6" t="str">
        <f>IFERROR(__xludf.DUMMYFUNCTION("""COMPUTED_VALUE"""),"HS")</f>
        <v>HS</v>
      </c>
      <c r="R656" s="6">
        <f>IFERROR(__xludf.DUMMYFUNCTION("""COMPUTED_VALUE"""),0.0)</f>
        <v>0</v>
      </c>
      <c r="S656" s="6" t="str">
        <f>IFERROR(__xludf.DUMMYFUNCTION("""COMPUTED_VALUE""")," ")</f>
        <v> </v>
      </c>
      <c r="T656" s="6" t="str">
        <f>IFERROR(__xludf.DUMMYFUNCTION("""COMPUTED_VALUE"""),"")</f>
        <v/>
      </c>
      <c r="U656" s="6" t="str">
        <f>IFERROR(__xludf.DUMMYFUNCTION("""COMPUTED_VALUE"""),"11")</f>
        <v>11</v>
      </c>
      <c r="V656" s="6" t="str">
        <f>IFERROR(__xludf.DUMMYFUNCTION("""COMPUTED_VALUE"""),"English")</f>
        <v>English</v>
      </c>
      <c r="W656" s="6" t="str">
        <f>IFERROR(__xludf.DUMMYFUNCTION("""COMPUTED_VALUE"""),"[]")</f>
        <v>[]</v>
      </c>
      <c r="X656" s="6" t="str">
        <f>IFERROR(__xludf.DUMMYFUNCTION("""COMPUTED_VALUE"""),"Enrolled")</f>
        <v>Enrolled</v>
      </c>
    </row>
    <row r="657">
      <c r="A657" s="6" t="str">
        <f>IFERROR(__xludf.DUMMYFUNCTION("""COMPUTED_VALUE"""),"001-0813")</f>
        <v>001-0813</v>
      </c>
      <c r="B657" s="6" t="str">
        <f>IFERROR(__xludf.DUMMYFUNCTION("""COMPUTED_VALUE"""),"1")</f>
        <v>1</v>
      </c>
      <c r="C657" s="6" t="str">
        <f>IFERROR(__xludf.DUMMYFUNCTION("""COMPUTED_VALUE"""),"0813")</f>
        <v>0813</v>
      </c>
      <c r="D657" s="6" t="str">
        <f>IFERROR(__xludf.DUMMYFUNCTION("""COMPUTED_VALUE"""),"Test")</f>
        <v>Test</v>
      </c>
      <c r="E657" s="6" t="str">
        <f>IFERROR(__xludf.DUMMYFUNCTION("""COMPUTED_VALUE"""),"")</f>
        <v/>
      </c>
      <c r="F657" s="6" t="str">
        <f>IFERROR(__xludf.DUMMYFUNCTION("""COMPUTED_VALUE"""),"Lci01")</f>
        <v>Lci01</v>
      </c>
      <c r="G657" s="6" t="str">
        <f>IFERROR(__xludf.DUMMYFUNCTION("""COMPUTED_VALUE"""),"12/03/2015")</f>
        <v>12/03/2015</v>
      </c>
      <c r="H657" s="6" t="str">
        <f>IFERROR(__xludf.DUMMYFUNCTION("""COMPUTED_VALUE"""),"F")</f>
        <v>F</v>
      </c>
      <c r="I657" s="6" t="str">
        <f>IFERROR(__xludf.DUMMYFUNCTION("""COMPUTED_VALUE"""),"Level 1")</f>
        <v>Level 1</v>
      </c>
      <c r="J657" s="6" t="str">
        <f>IFERROR(__xludf.DUMMYFUNCTION("""COMPUTED_VALUE"""),"3")</f>
        <v>3</v>
      </c>
      <c r="K657" s="6" t="str">
        <f>IFERROR(__xludf.DUMMYFUNCTION("""COMPUTED_VALUE"""),"test.lci01@alpha.school")</f>
        <v>test.lci01@alpha.school</v>
      </c>
      <c r="L657" s="6" t="str">
        <f>IFERROR(__xludf.DUMMYFUNCTION("""COMPUTED_VALUE"""),"Alpha School Austin")</f>
        <v>Alpha School Austin</v>
      </c>
      <c r="M657" s="6" t="str">
        <f>IFERROR(__xludf.DUMMYFUNCTION("""COMPUTED_VALUE"""),"Test")</f>
        <v>Test</v>
      </c>
      <c r="N657" s="6" t="str">
        <f>IFERROR(__xludf.DUMMYFUNCTION("""COMPUTED_VALUE"""),"")</f>
        <v/>
      </c>
      <c r="O657" s="87" t="str">
        <f>IFERROR(__xludf.DUMMYFUNCTION("""COMPUTED_VALUE"""),"https://drive.google.com/drive/folders/10T2cTQHqEJZqE-st6uFKPoI?usp=share_link")</f>
        <v>https://drive.google.com/drive/folders/10T2cTQHqEJZqE-st6uFKPoI?usp=share_link</v>
      </c>
      <c r="P657" s="6" t="str">
        <f>IFERROR(__xludf.DUMMYFUNCTION("""COMPUTED_VALUE"""),"Test Lci01")</f>
        <v>Test Lci01</v>
      </c>
      <c r="Q657" s="6" t="str">
        <f>IFERROR(__xludf.DUMMYFUNCTION("""COMPUTED_VALUE"""),"L1")</f>
        <v>L1</v>
      </c>
      <c r="R657" s="6">
        <f>IFERROR(__xludf.DUMMYFUNCTION("""COMPUTED_VALUE"""),1.0)</f>
        <v>1</v>
      </c>
      <c r="S657" s="6" t="str">
        <f>IFERROR(__xludf.DUMMYFUNCTION("""COMPUTED_VALUE""")," ")</f>
        <v> </v>
      </c>
      <c r="T657" s="6" t="str">
        <f>IFERROR(__xludf.DUMMYFUNCTION("""COMPUTED_VALUE"""),"")</f>
        <v/>
      </c>
      <c r="U657" s="6" t="str">
        <f>IFERROR(__xludf.DUMMYFUNCTION("""COMPUTED_VALUE"""),"3")</f>
        <v>3</v>
      </c>
      <c r="V657" s="6" t="str">
        <f>IFERROR(__xludf.DUMMYFUNCTION("""COMPUTED_VALUE"""),"English")</f>
        <v>English</v>
      </c>
      <c r="W657" s="6" t="str">
        <f>IFERROR(__xludf.DUMMYFUNCTION("""COMPUTED_VALUE"""),"[]")</f>
        <v>[]</v>
      </c>
      <c r="X657" s="6" t="str">
        <f>IFERROR(__xludf.DUMMYFUNCTION("""COMPUTED_VALUE"""),"Enrolled")</f>
        <v>Enrolled</v>
      </c>
    </row>
    <row r="658">
      <c r="A658" s="6" t="str">
        <f>IFERROR(__xludf.DUMMYFUNCTION("""COMPUTED_VALUE"""),"001-0814")</f>
        <v>001-0814</v>
      </c>
      <c r="B658" s="6" t="str">
        <f>IFERROR(__xludf.DUMMYFUNCTION("""COMPUTED_VALUE"""),"1")</f>
        <v>1</v>
      </c>
      <c r="C658" s="6" t="str">
        <f>IFERROR(__xludf.DUMMYFUNCTION("""COMPUTED_VALUE"""),"0814")</f>
        <v>0814</v>
      </c>
      <c r="D658" s="6" t="str">
        <f>IFERROR(__xludf.DUMMYFUNCTION("""COMPUTED_VALUE"""),"Test")</f>
        <v>Test</v>
      </c>
      <c r="E658" s="6" t="str">
        <f>IFERROR(__xludf.DUMMYFUNCTION("""COMPUTED_VALUE"""),"")</f>
        <v/>
      </c>
      <c r="F658" s="6" t="str">
        <f>IFERROR(__xludf.DUMMYFUNCTION("""COMPUTED_VALUE"""),"Lci02")</f>
        <v>Lci02</v>
      </c>
      <c r="G658" s="6" t="str">
        <f>IFERROR(__xludf.DUMMYFUNCTION("""COMPUTED_VALUE"""),"10/16/2014")</f>
        <v>10/16/2014</v>
      </c>
      <c r="H658" s="6" t="str">
        <f>IFERROR(__xludf.DUMMYFUNCTION("""COMPUTED_VALUE"""),"M")</f>
        <v>M</v>
      </c>
      <c r="I658" s="6" t="str">
        <f>IFERROR(__xludf.DUMMYFUNCTION("""COMPUTED_VALUE"""),"Level 2")</f>
        <v>Level 2</v>
      </c>
      <c r="J658" s="6" t="str">
        <f>IFERROR(__xludf.DUMMYFUNCTION("""COMPUTED_VALUE"""),"4")</f>
        <v>4</v>
      </c>
      <c r="K658" s="6" t="str">
        <f>IFERROR(__xludf.DUMMYFUNCTION("""COMPUTED_VALUE"""),"test.lci02@alpha.school")</f>
        <v>test.lci02@alpha.school</v>
      </c>
      <c r="L658" s="6" t="str">
        <f>IFERROR(__xludf.DUMMYFUNCTION("""COMPUTED_VALUE"""),"Alpha School Austin")</f>
        <v>Alpha School Austin</v>
      </c>
      <c r="M658" s="6" t="str">
        <f>IFERROR(__xludf.DUMMYFUNCTION("""COMPUTED_VALUE"""),"Test")</f>
        <v>Test</v>
      </c>
      <c r="N658" s="6" t="str">
        <f>IFERROR(__xludf.DUMMYFUNCTION("""COMPUTED_VALUE"""),"")</f>
        <v/>
      </c>
      <c r="O658" s="87" t="str">
        <f>IFERROR(__xludf.DUMMYFUNCTION("""COMPUTED_VALUE"""),"https://drive.google.com/drive/folders/10T2cTQHqEJZqE-st6uFKPoI?usp=share_link")</f>
        <v>https://drive.google.com/drive/folders/10T2cTQHqEJZqE-st6uFKPoI?usp=share_link</v>
      </c>
      <c r="P658" s="6" t="str">
        <f>IFERROR(__xludf.DUMMYFUNCTION("""COMPUTED_VALUE"""),"Test Lci02")</f>
        <v>Test Lci02</v>
      </c>
      <c r="Q658" s="6" t="str">
        <f>IFERROR(__xludf.DUMMYFUNCTION("""COMPUTED_VALUE"""),"L2")</f>
        <v>L2</v>
      </c>
      <c r="R658" s="6">
        <f>IFERROR(__xludf.DUMMYFUNCTION("""COMPUTED_VALUE"""),2.0)</f>
        <v>2</v>
      </c>
      <c r="S658" s="6" t="str">
        <f>IFERROR(__xludf.DUMMYFUNCTION("""COMPUTED_VALUE""")," ")</f>
        <v> </v>
      </c>
      <c r="T658" s="6" t="str">
        <f>IFERROR(__xludf.DUMMYFUNCTION("""COMPUTED_VALUE"""),"")</f>
        <v/>
      </c>
      <c r="U658" s="6" t="str">
        <f>IFERROR(__xludf.DUMMYFUNCTION("""COMPUTED_VALUE"""),"4")</f>
        <v>4</v>
      </c>
      <c r="V658" s="6" t="str">
        <f>IFERROR(__xludf.DUMMYFUNCTION("""COMPUTED_VALUE"""),"English")</f>
        <v>English</v>
      </c>
      <c r="W658" s="6" t="str">
        <f>IFERROR(__xludf.DUMMYFUNCTION("""COMPUTED_VALUE"""),"[]")</f>
        <v>[]</v>
      </c>
      <c r="X658" s="6" t="str">
        <f>IFERROR(__xludf.DUMMYFUNCTION("""COMPUTED_VALUE"""),"Enrolled")</f>
        <v>Enrolled</v>
      </c>
    </row>
    <row r="659">
      <c r="A659" s="6" t="str">
        <f>IFERROR(__xludf.DUMMYFUNCTION("""COMPUTED_VALUE"""),"001-0815")</f>
        <v>001-0815</v>
      </c>
      <c r="B659" s="6" t="str">
        <f>IFERROR(__xludf.DUMMYFUNCTION("""COMPUTED_VALUE"""),"1")</f>
        <v>1</v>
      </c>
      <c r="C659" s="6" t="str">
        <f>IFERROR(__xludf.DUMMYFUNCTION("""COMPUTED_VALUE"""),"0815")</f>
        <v>0815</v>
      </c>
      <c r="D659" s="6" t="str">
        <f>IFERROR(__xludf.DUMMYFUNCTION("""COMPUTED_VALUE"""),"Test")</f>
        <v>Test</v>
      </c>
      <c r="E659" s="6" t="str">
        <f>IFERROR(__xludf.DUMMYFUNCTION("""COMPUTED_VALUE"""),"")</f>
        <v/>
      </c>
      <c r="F659" s="6" t="str">
        <f>IFERROR(__xludf.DUMMYFUNCTION("""COMPUTED_VALUE"""),"Lci03")</f>
        <v>Lci03</v>
      </c>
      <c r="G659" s="6" t="str">
        <f>IFERROR(__xludf.DUMMYFUNCTION("""COMPUTED_VALUE"""),"05/09/2014")</f>
        <v>05/09/2014</v>
      </c>
      <c r="H659" s="6" t="str">
        <f>IFERROR(__xludf.DUMMYFUNCTION("""COMPUTED_VALUE"""),"F")</f>
        <v>F</v>
      </c>
      <c r="I659" s="6" t="str">
        <f>IFERROR(__xludf.DUMMYFUNCTION("""COMPUTED_VALUE"""),"Level 2")</f>
        <v>Level 2</v>
      </c>
      <c r="J659" s="6" t="str">
        <f>IFERROR(__xludf.DUMMYFUNCTION("""COMPUTED_VALUE"""),"5")</f>
        <v>5</v>
      </c>
      <c r="K659" s="6" t="str">
        <f>IFERROR(__xludf.DUMMYFUNCTION("""COMPUTED_VALUE"""),"test.lci03@alpha.school")</f>
        <v>test.lci03@alpha.school</v>
      </c>
      <c r="L659" s="6" t="str">
        <f>IFERROR(__xludf.DUMMYFUNCTION("""COMPUTED_VALUE"""),"Alpha School Austin")</f>
        <v>Alpha School Austin</v>
      </c>
      <c r="M659" s="6" t="str">
        <f>IFERROR(__xludf.DUMMYFUNCTION("""COMPUTED_VALUE"""),"Test")</f>
        <v>Test</v>
      </c>
      <c r="N659" s="6" t="str">
        <f>IFERROR(__xludf.DUMMYFUNCTION("""COMPUTED_VALUE"""),"")</f>
        <v/>
      </c>
      <c r="O659" s="87" t="str">
        <f>IFERROR(__xludf.DUMMYFUNCTION("""COMPUTED_VALUE"""),"https://drive.google.com/drive/folders/10T2cTQHqEJZqE-st6uFKPoI?usp=share_link")</f>
        <v>https://drive.google.com/drive/folders/10T2cTQHqEJZqE-st6uFKPoI?usp=share_link</v>
      </c>
      <c r="P659" s="6" t="str">
        <f>IFERROR(__xludf.DUMMYFUNCTION("""COMPUTED_VALUE"""),"Test Lci03")</f>
        <v>Test Lci03</v>
      </c>
      <c r="Q659" s="6" t="str">
        <f>IFERROR(__xludf.DUMMYFUNCTION("""COMPUTED_VALUE"""),"L2")</f>
        <v>L2</v>
      </c>
      <c r="R659" s="6">
        <f>IFERROR(__xludf.DUMMYFUNCTION("""COMPUTED_VALUE"""),2.0)</f>
        <v>2</v>
      </c>
      <c r="S659" s="6" t="str">
        <f>IFERROR(__xludf.DUMMYFUNCTION("""COMPUTED_VALUE""")," ")</f>
        <v> </v>
      </c>
      <c r="T659" s="6" t="str">
        <f>IFERROR(__xludf.DUMMYFUNCTION("""COMPUTED_VALUE"""),"")</f>
        <v/>
      </c>
      <c r="U659" s="6" t="str">
        <f>IFERROR(__xludf.DUMMYFUNCTION("""COMPUTED_VALUE"""),"5")</f>
        <v>5</v>
      </c>
      <c r="V659" s="6" t="str">
        <f>IFERROR(__xludf.DUMMYFUNCTION("""COMPUTED_VALUE"""),"English")</f>
        <v>English</v>
      </c>
      <c r="W659" s="6" t="str">
        <f>IFERROR(__xludf.DUMMYFUNCTION("""COMPUTED_VALUE"""),"[]")</f>
        <v>[]</v>
      </c>
      <c r="X659" s="6" t="str">
        <f>IFERROR(__xludf.DUMMYFUNCTION("""COMPUTED_VALUE"""),"Enrolled")</f>
        <v>Enrolled</v>
      </c>
    </row>
    <row r="660">
      <c r="A660" s="6" t="str">
        <f>IFERROR(__xludf.DUMMYFUNCTION("""COMPUTED_VALUE"""),"001-0816")</f>
        <v>001-0816</v>
      </c>
      <c r="B660" s="6" t="str">
        <f>IFERROR(__xludf.DUMMYFUNCTION("""COMPUTED_VALUE"""),"1")</f>
        <v>1</v>
      </c>
      <c r="C660" s="6" t="str">
        <f>IFERROR(__xludf.DUMMYFUNCTION("""COMPUTED_VALUE"""),"0816")</f>
        <v>0816</v>
      </c>
      <c r="D660" s="6" t="str">
        <f>IFERROR(__xludf.DUMMYFUNCTION("""COMPUTED_VALUE"""),"Test")</f>
        <v>Test</v>
      </c>
      <c r="E660" s="6" t="str">
        <f>IFERROR(__xludf.DUMMYFUNCTION("""COMPUTED_VALUE"""),"")</f>
        <v/>
      </c>
      <c r="F660" s="6" t="str">
        <f>IFERROR(__xludf.DUMMYFUNCTION("""COMPUTED_VALUE"""),"Lci04")</f>
        <v>Lci04</v>
      </c>
      <c r="G660" s="6" t="str">
        <f>IFERROR(__xludf.DUMMYFUNCTION("""COMPUTED_VALUE"""),"08/07/2013")</f>
        <v>08/07/2013</v>
      </c>
      <c r="H660" s="6" t="str">
        <f>IFERROR(__xludf.DUMMYFUNCTION("""COMPUTED_VALUE"""),"M")</f>
        <v>M</v>
      </c>
      <c r="I660" s="6" t="str">
        <f>IFERROR(__xludf.DUMMYFUNCTION("""COMPUTED_VALUE"""),"Middle School")</f>
        <v>Middle School</v>
      </c>
      <c r="J660" s="6" t="str">
        <f>IFERROR(__xludf.DUMMYFUNCTION("""COMPUTED_VALUE"""),"6")</f>
        <v>6</v>
      </c>
      <c r="K660" s="6" t="str">
        <f>IFERROR(__xludf.DUMMYFUNCTION("""COMPUTED_VALUE"""),"test.lci04@alpha.school")</f>
        <v>test.lci04@alpha.school</v>
      </c>
      <c r="L660" s="6" t="str">
        <f>IFERROR(__xludf.DUMMYFUNCTION("""COMPUTED_VALUE"""),"Alpha School Austin")</f>
        <v>Alpha School Austin</v>
      </c>
      <c r="M660" s="6" t="str">
        <f>IFERROR(__xludf.DUMMYFUNCTION("""COMPUTED_VALUE"""),"Test")</f>
        <v>Test</v>
      </c>
      <c r="N660" s="6" t="str">
        <f>IFERROR(__xludf.DUMMYFUNCTION("""COMPUTED_VALUE"""),"")</f>
        <v/>
      </c>
      <c r="O660" s="87" t="str">
        <f>IFERROR(__xludf.DUMMYFUNCTION("""COMPUTED_VALUE"""),"https://drive.google.com/drive/folders/10T2cTQHqEJZqE-st6uFKPoI?usp=share_link")</f>
        <v>https://drive.google.com/drive/folders/10T2cTQHqEJZqE-st6uFKPoI?usp=share_link</v>
      </c>
      <c r="P660" s="6" t="str">
        <f>IFERROR(__xludf.DUMMYFUNCTION("""COMPUTED_VALUE"""),"Test Lci04")</f>
        <v>Test Lci04</v>
      </c>
      <c r="Q660" s="6" t="str">
        <f>IFERROR(__xludf.DUMMYFUNCTION("""COMPUTED_VALUE"""),"MS")</f>
        <v>MS</v>
      </c>
      <c r="R660" s="6">
        <f>IFERROR(__xludf.DUMMYFUNCTION("""COMPUTED_VALUE"""),0.0)</f>
        <v>0</v>
      </c>
      <c r="S660" s="6" t="str">
        <f>IFERROR(__xludf.DUMMYFUNCTION("""COMPUTED_VALUE""")," ")</f>
        <v> </v>
      </c>
      <c r="T660" s="6" t="str">
        <f>IFERROR(__xludf.DUMMYFUNCTION("""COMPUTED_VALUE"""),"")</f>
        <v/>
      </c>
      <c r="U660" s="6" t="str">
        <f>IFERROR(__xludf.DUMMYFUNCTION("""COMPUTED_VALUE"""),"6")</f>
        <v>6</v>
      </c>
      <c r="V660" s="6" t="str">
        <f>IFERROR(__xludf.DUMMYFUNCTION("""COMPUTED_VALUE"""),"English")</f>
        <v>English</v>
      </c>
      <c r="W660" s="6" t="str">
        <f>IFERROR(__xludf.DUMMYFUNCTION("""COMPUTED_VALUE"""),"[]")</f>
        <v>[]</v>
      </c>
      <c r="X660" s="6" t="str">
        <f>IFERROR(__xludf.DUMMYFUNCTION("""COMPUTED_VALUE"""),"Enrolled")</f>
        <v>Enrolled</v>
      </c>
    </row>
    <row r="661">
      <c r="A661" s="6" t="str">
        <f>IFERROR(__xludf.DUMMYFUNCTION("""COMPUTED_VALUE"""),"001-0817")</f>
        <v>001-0817</v>
      </c>
      <c r="B661" s="6" t="str">
        <f>IFERROR(__xludf.DUMMYFUNCTION("""COMPUTED_VALUE"""),"1")</f>
        <v>1</v>
      </c>
      <c r="C661" s="6" t="str">
        <f>IFERROR(__xludf.DUMMYFUNCTION("""COMPUTED_VALUE"""),"0817")</f>
        <v>0817</v>
      </c>
      <c r="D661" s="6" t="str">
        <f>IFERROR(__xludf.DUMMYFUNCTION("""COMPUTED_VALUE"""),"Test")</f>
        <v>Test</v>
      </c>
      <c r="E661" s="6" t="str">
        <f>IFERROR(__xludf.DUMMYFUNCTION("""COMPUTED_VALUE"""),"")</f>
        <v/>
      </c>
      <c r="F661" s="6" t="str">
        <f>IFERROR(__xludf.DUMMYFUNCTION("""COMPUTED_VALUE"""),"Lci05")</f>
        <v>Lci05</v>
      </c>
      <c r="G661" s="6" t="str">
        <f>IFERROR(__xludf.DUMMYFUNCTION("""COMPUTED_VALUE"""),"10/21/2011")</f>
        <v>10/21/2011</v>
      </c>
      <c r="H661" s="6" t="str">
        <f>IFERROR(__xludf.DUMMYFUNCTION("""COMPUTED_VALUE"""),"F")</f>
        <v>F</v>
      </c>
      <c r="I661" s="6" t="str">
        <f>IFERROR(__xludf.DUMMYFUNCTION("""COMPUTED_VALUE"""),"Middle School")</f>
        <v>Middle School</v>
      </c>
      <c r="J661" s="6" t="str">
        <f>IFERROR(__xludf.DUMMYFUNCTION("""COMPUTED_VALUE"""),"7")</f>
        <v>7</v>
      </c>
      <c r="K661" s="6" t="str">
        <f>IFERROR(__xludf.DUMMYFUNCTION("""COMPUTED_VALUE"""),"test.lci05@alpha.school")</f>
        <v>test.lci05@alpha.school</v>
      </c>
      <c r="L661" s="6" t="str">
        <f>IFERROR(__xludf.DUMMYFUNCTION("""COMPUTED_VALUE"""),"Alpha School Austin")</f>
        <v>Alpha School Austin</v>
      </c>
      <c r="M661" s="6" t="str">
        <f>IFERROR(__xludf.DUMMYFUNCTION("""COMPUTED_VALUE"""),"Test")</f>
        <v>Test</v>
      </c>
      <c r="N661" s="6" t="str">
        <f>IFERROR(__xludf.DUMMYFUNCTION("""COMPUTED_VALUE"""),"")</f>
        <v/>
      </c>
      <c r="O661" s="87" t="str">
        <f>IFERROR(__xludf.DUMMYFUNCTION("""COMPUTED_VALUE"""),"https://drive.google.com/drive/folders/10T2cTQHqEJZqE-st6uFKPoI?usp=share_link")</f>
        <v>https://drive.google.com/drive/folders/10T2cTQHqEJZqE-st6uFKPoI?usp=share_link</v>
      </c>
      <c r="P661" s="6" t="str">
        <f>IFERROR(__xludf.DUMMYFUNCTION("""COMPUTED_VALUE"""),"Test Lci05")</f>
        <v>Test Lci05</v>
      </c>
      <c r="Q661" s="6" t="str">
        <f>IFERROR(__xludf.DUMMYFUNCTION("""COMPUTED_VALUE"""),"MS")</f>
        <v>MS</v>
      </c>
      <c r="R661" s="6">
        <f>IFERROR(__xludf.DUMMYFUNCTION("""COMPUTED_VALUE"""),0.0)</f>
        <v>0</v>
      </c>
      <c r="S661" s="6" t="str">
        <f>IFERROR(__xludf.DUMMYFUNCTION("""COMPUTED_VALUE""")," ")</f>
        <v> </v>
      </c>
      <c r="T661" s="6" t="str">
        <f>IFERROR(__xludf.DUMMYFUNCTION("""COMPUTED_VALUE"""),"")</f>
        <v/>
      </c>
      <c r="U661" s="6" t="str">
        <f>IFERROR(__xludf.DUMMYFUNCTION("""COMPUTED_VALUE"""),"7")</f>
        <v>7</v>
      </c>
      <c r="V661" s="6" t="str">
        <f>IFERROR(__xludf.DUMMYFUNCTION("""COMPUTED_VALUE"""),"English")</f>
        <v>English</v>
      </c>
      <c r="W661" s="6" t="str">
        <f>IFERROR(__xludf.DUMMYFUNCTION("""COMPUTED_VALUE"""),"[]")</f>
        <v>[]</v>
      </c>
      <c r="X661" s="6" t="str">
        <f>IFERROR(__xludf.DUMMYFUNCTION("""COMPUTED_VALUE"""),"Enrolled")</f>
        <v>Enrolled</v>
      </c>
    </row>
    <row r="662">
      <c r="A662" s="6" t="str">
        <f>IFERROR(__xludf.DUMMYFUNCTION("""COMPUTED_VALUE"""),"001-0818")</f>
        <v>001-0818</v>
      </c>
      <c r="B662" s="6" t="str">
        <f>IFERROR(__xludf.DUMMYFUNCTION("""COMPUTED_VALUE"""),"1")</f>
        <v>1</v>
      </c>
      <c r="C662" s="6" t="str">
        <f>IFERROR(__xludf.DUMMYFUNCTION("""COMPUTED_VALUE"""),"0818")</f>
        <v>0818</v>
      </c>
      <c r="D662" s="6" t="str">
        <f>IFERROR(__xludf.DUMMYFUNCTION("""COMPUTED_VALUE"""),"Test")</f>
        <v>Test</v>
      </c>
      <c r="E662" s="6" t="str">
        <f>IFERROR(__xludf.DUMMYFUNCTION("""COMPUTED_VALUE"""),"")</f>
        <v/>
      </c>
      <c r="F662" s="6" t="str">
        <f>IFERROR(__xludf.DUMMYFUNCTION("""COMPUTED_VALUE"""),"Lci06")</f>
        <v>Lci06</v>
      </c>
      <c r="G662" s="6" t="str">
        <f>IFERROR(__xludf.DUMMYFUNCTION("""COMPUTED_VALUE"""),"03/20/2011")</f>
        <v>03/20/2011</v>
      </c>
      <c r="H662" s="6" t="str">
        <f>IFERROR(__xludf.DUMMYFUNCTION("""COMPUTED_VALUE"""),"F")</f>
        <v>F</v>
      </c>
      <c r="I662" s="6" t="str">
        <f>IFERROR(__xludf.DUMMYFUNCTION("""COMPUTED_VALUE"""),"Middle School")</f>
        <v>Middle School</v>
      </c>
      <c r="J662" s="6" t="str">
        <f>IFERROR(__xludf.DUMMYFUNCTION("""COMPUTED_VALUE"""),"8")</f>
        <v>8</v>
      </c>
      <c r="K662" s="6" t="str">
        <f>IFERROR(__xludf.DUMMYFUNCTION("""COMPUTED_VALUE"""),"test.lci06@alpha.school")</f>
        <v>test.lci06@alpha.school</v>
      </c>
      <c r="L662" s="6" t="str">
        <f>IFERROR(__xludf.DUMMYFUNCTION("""COMPUTED_VALUE"""),"Alpha School Austin")</f>
        <v>Alpha School Austin</v>
      </c>
      <c r="M662" s="6" t="str">
        <f>IFERROR(__xludf.DUMMYFUNCTION("""COMPUTED_VALUE"""),"Test")</f>
        <v>Test</v>
      </c>
      <c r="N662" s="6" t="str">
        <f>IFERROR(__xludf.DUMMYFUNCTION("""COMPUTED_VALUE"""),"")</f>
        <v/>
      </c>
      <c r="O662" s="87" t="str">
        <f>IFERROR(__xludf.DUMMYFUNCTION("""COMPUTED_VALUE"""),"https://drive.google.com/drive/folders/10T2cTQHqEJZqE-st6uFKPoI?usp=share_link")</f>
        <v>https://drive.google.com/drive/folders/10T2cTQHqEJZqE-st6uFKPoI?usp=share_link</v>
      </c>
      <c r="P662" s="6" t="str">
        <f>IFERROR(__xludf.DUMMYFUNCTION("""COMPUTED_VALUE"""),"Test Lci06")</f>
        <v>Test Lci06</v>
      </c>
      <c r="Q662" s="6" t="str">
        <f>IFERROR(__xludf.DUMMYFUNCTION("""COMPUTED_VALUE"""),"MS")</f>
        <v>MS</v>
      </c>
      <c r="R662" s="6">
        <f>IFERROR(__xludf.DUMMYFUNCTION("""COMPUTED_VALUE"""),0.0)</f>
        <v>0</v>
      </c>
      <c r="S662" s="6" t="str">
        <f>IFERROR(__xludf.DUMMYFUNCTION("""COMPUTED_VALUE""")," ")</f>
        <v> </v>
      </c>
      <c r="T662" s="6" t="str">
        <f>IFERROR(__xludf.DUMMYFUNCTION("""COMPUTED_VALUE"""),"")</f>
        <v/>
      </c>
      <c r="U662" s="6" t="str">
        <f>IFERROR(__xludf.DUMMYFUNCTION("""COMPUTED_VALUE"""),"8")</f>
        <v>8</v>
      </c>
      <c r="V662" s="6" t="str">
        <f>IFERROR(__xludf.DUMMYFUNCTION("""COMPUTED_VALUE"""),"English")</f>
        <v>English</v>
      </c>
      <c r="W662" s="6" t="str">
        <f>IFERROR(__xludf.DUMMYFUNCTION("""COMPUTED_VALUE"""),"[]")</f>
        <v>[]</v>
      </c>
      <c r="X662" s="6" t="str">
        <f>IFERROR(__xludf.DUMMYFUNCTION("""COMPUTED_VALUE"""),"Enrolled")</f>
        <v>Enrolled</v>
      </c>
    </row>
    <row r="663">
      <c r="A663" s="6" t="str">
        <f>IFERROR(__xludf.DUMMYFUNCTION("""COMPUTED_VALUE"""),"001-0819")</f>
        <v>001-0819</v>
      </c>
      <c r="B663" s="6" t="str">
        <f>IFERROR(__xludf.DUMMYFUNCTION("""COMPUTED_VALUE"""),"1")</f>
        <v>1</v>
      </c>
      <c r="C663" s="6" t="str">
        <f>IFERROR(__xludf.DUMMYFUNCTION("""COMPUTED_VALUE"""),"0819")</f>
        <v>0819</v>
      </c>
      <c r="D663" s="6" t="str">
        <f>IFERROR(__xludf.DUMMYFUNCTION("""COMPUTED_VALUE"""),"Test")</f>
        <v>Test</v>
      </c>
      <c r="E663" s="6" t="str">
        <f>IFERROR(__xludf.DUMMYFUNCTION("""COMPUTED_VALUE"""),"")</f>
        <v/>
      </c>
      <c r="F663" s="6" t="str">
        <f>IFERROR(__xludf.DUMMYFUNCTION("""COMPUTED_VALUE"""),"Lci07")</f>
        <v>Lci07</v>
      </c>
      <c r="G663" s="6" t="str">
        <f>IFERROR(__xludf.DUMMYFUNCTION("""COMPUTED_VALUE"""),"11/15/2009")</f>
        <v>11/15/2009</v>
      </c>
      <c r="H663" s="6" t="str">
        <f>IFERROR(__xludf.DUMMYFUNCTION("""COMPUTED_VALUE"""),"M")</f>
        <v>M</v>
      </c>
      <c r="I663" s="6" t="str">
        <f>IFERROR(__xludf.DUMMYFUNCTION("""COMPUTED_VALUE"""),"High School")</f>
        <v>High School</v>
      </c>
      <c r="J663" s="6" t="str">
        <f>IFERROR(__xludf.DUMMYFUNCTION("""COMPUTED_VALUE"""),"9")</f>
        <v>9</v>
      </c>
      <c r="K663" s="6" t="str">
        <f>IFERROR(__xludf.DUMMYFUNCTION("""COMPUTED_VALUE"""),"test.lci07@alpha.school")</f>
        <v>test.lci07@alpha.school</v>
      </c>
      <c r="L663" s="6" t="str">
        <f>IFERROR(__xludf.DUMMYFUNCTION("""COMPUTED_VALUE"""),"Alpha School Austin")</f>
        <v>Alpha School Austin</v>
      </c>
      <c r="M663" s="6" t="str">
        <f>IFERROR(__xludf.DUMMYFUNCTION("""COMPUTED_VALUE"""),"Test")</f>
        <v>Test</v>
      </c>
      <c r="N663" s="6" t="str">
        <f>IFERROR(__xludf.DUMMYFUNCTION("""COMPUTED_VALUE"""),"")</f>
        <v/>
      </c>
      <c r="O663" s="87" t="str">
        <f>IFERROR(__xludf.DUMMYFUNCTION("""COMPUTED_VALUE"""),"https://drive.google.com/drive/folders/10T2cTQHqEJZqE-st6uFKPoI?usp=share_link")</f>
        <v>https://drive.google.com/drive/folders/10T2cTQHqEJZqE-st6uFKPoI?usp=share_link</v>
      </c>
      <c r="P663" s="6" t="str">
        <f>IFERROR(__xludf.DUMMYFUNCTION("""COMPUTED_VALUE"""),"Test Lci07")</f>
        <v>Test Lci07</v>
      </c>
      <c r="Q663" s="6" t="str">
        <f>IFERROR(__xludf.DUMMYFUNCTION("""COMPUTED_VALUE"""),"HS")</f>
        <v>HS</v>
      </c>
      <c r="R663" s="6">
        <f>IFERROR(__xludf.DUMMYFUNCTION("""COMPUTED_VALUE"""),0.0)</f>
        <v>0</v>
      </c>
      <c r="S663" s="6" t="str">
        <f>IFERROR(__xludf.DUMMYFUNCTION("""COMPUTED_VALUE""")," ")</f>
        <v> </v>
      </c>
      <c r="T663" s="6" t="str">
        <f>IFERROR(__xludf.DUMMYFUNCTION("""COMPUTED_VALUE"""),"")</f>
        <v/>
      </c>
      <c r="U663" s="6" t="str">
        <f>IFERROR(__xludf.DUMMYFUNCTION("""COMPUTED_VALUE"""),"9")</f>
        <v>9</v>
      </c>
      <c r="V663" s="6" t="str">
        <f>IFERROR(__xludf.DUMMYFUNCTION("""COMPUTED_VALUE"""),"English")</f>
        <v>English</v>
      </c>
      <c r="W663" s="6" t="str">
        <f>IFERROR(__xludf.DUMMYFUNCTION("""COMPUTED_VALUE"""),"[]")</f>
        <v>[]</v>
      </c>
      <c r="X663" s="6" t="str">
        <f>IFERROR(__xludf.DUMMYFUNCTION("""COMPUTED_VALUE"""),"Enrolled")</f>
        <v>Enrolled</v>
      </c>
    </row>
    <row r="664">
      <c r="A664" s="6" t="str">
        <f>IFERROR(__xludf.DUMMYFUNCTION("""COMPUTED_VALUE"""),"001-0820")</f>
        <v>001-0820</v>
      </c>
      <c r="B664" s="6" t="str">
        <f>IFERROR(__xludf.DUMMYFUNCTION("""COMPUTED_VALUE"""),"1")</f>
        <v>1</v>
      </c>
      <c r="C664" s="6" t="str">
        <f>IFERROR(__xludf.DUMMYFUNCTION("""COMPUTED_VALUE"""),"0820")</f>
        <v>0820</v>
      </c>
      <c r="D664" s="6" t="str">
        <f>IFERROR(__xludf.DUMMYFUNCTION("""COMPUTED_VALUE"""),"Test")</f>
        <v>Test</v>
      </c>
      <c r="E664" s="6" t="str">
        <f>IFERROR(__xludf.DUMMYFUNCTION("""COMPUTED_VALUE"""),"")</f>
        <v/>
      </c>
      <c r="F664" s="6" t="str">
        <f>IFERROR(__xludf.DUMMYFUNCTION("""COMPUTED_VALUE"""),"Lci08")</f>
        <v>Lci08</v>
      </c>
      <c r="G664" s="6" t="str">
        <f>IFERROR(__xludf.DUMMYFUNCTION("""COMPUTED_VALUE"""),"06/28/2009")</f>
        <v>06/28/2009</v>
      </c>
      <c r="H664" s="6" t="str">
        <f>IFERROR(__xludf.DUMMYFUNCTION("""COMPUTED_VALUE"""),"M")</f>
        <v>M</v>
      </c>
      <c r="I664" s="6" t="str">
        <f>IFERROR(__xludf.DUMMYFUNCTION("""COMPUTED_VALUE"""),"High School")</f>
        <v>High School</v>
      </c>
      <c r="J664" s="6" t="str">
        <f>IFERROR(__xludf.DUMMYFUNCTION("""COMPUTED_VALUE"""),"10")</f>
        <v>10</v>
      </c>
      <c r="K664" s="6" t="str">
        <f>IFERROR(__xludf.DUMMYFUNCTION("""COMPUTED_VALUE"""),"test.lci08@alpha.school")</f>
        <v>test.lci08@alpha.school</v>
      </c>
      <c r="L664" s="6" t="str">
        <f>IFERROR(__xludf.DUMMYFUNCTION("""COMPUTED_VALUE"""),"Alpha High School")</f>
        <v>Alpha High School</v>
      </c>
      <c r="M664" s="6" t="str">
        <f>IFERROR(__xludf.DUMMYFUNCTION("""COMPUTED_VALUE"""),"Test")</f>
        <v>Test</v>
      </c>
      <c r="N664" s="6" t="str">
        <f>IFERROR(__xludf.DUMMYFUNCTION("""COMPUTED_VALUE"""),"")</f>
        <v/>
      </c>
      <c r="O664" s="87" t="str">
        <f>IFERROR(__xludf.DUMMYFUNCTION("""COMPUTED_VALUE"""),"https://drive.google.com/drive/folders/10T2cTQHqEJZqE-st6uFKPoI?usp=share_link")</f>
        <v>https://drive.google.com/drive/folders/10T2cTQHqEJZqE-st6uFKPoI?usp=share_link</v>
      </c>
      <c r="P664" s="6" t="str">
        <f>IFERROR(__xludf.DUMMYFUNCTION("""COMPUTED_VALUE"""),"Test Lci08")</f>
        <v>Test Lci08</v>
      </c>
      <c r="Q664" s="6" t="str">
        <f>IFERROR(__xludf.DUMMYFUNCTION("""COMPUTED_VALUE"""),"HS")</f>
        <v>HS</v>
      </c>
      <c r="R664" s="6">
        <f>IFERROR(__xludf.DUMMYFUNCTION("""COMPUTED_VALUE"""),0.0)</f>
        <v>0</v>
      </c>
      <c r="S664" s="6" t="str">
        <f>IFERROR(__xludf.DUMMYFUNCTION("""COMPUTED_VALUE""")," ")</f>
        <v> </v>
      </c>
      <c r="T664" s="6" t="str">
        <f>IFERROR(__xludf.DUMMYFUNCTION("""COMPUTED_VALUE"""),"")</f>
        <v/>
      </c>
      <c r="U664" s="6" t="str">
        <f>IFERROR(__xludf.DUMMYFUNCTION("""COMPUTED_VALUE"""),"10")</f>
        <v>10</v>
      </c>
      <c r="V664" s="6" t="str">
        <f>IFERROR(__xludf.DUMMYFUNCTION("""COMPUTED_VALUE"""),"English")</f>
        <v>English</v>
      </c>
      <c r="W664" s="6" t="str">
        <f>IFERROR(__xludf.DUMMYFUNCTION("""COMPUTED_VALUE"""),"[]")</f>
        <v>[]</v>
      </c>
      <c r="X664" s="6" t="str">
        <f>IFERROR(__xludf.DUMMYFUNCTION("""COMPUTED_VALUE"""),"Enrolled")</f>
        <v>Enrolled</v>
      </c>
    </row>
    <row r="665">
      <c r="A665" s="6" t="str">
        <f>IFERROR(__xludf.DUMMYFUNCTION("""COMPUTED_VALUE"""),"001-0821")</f>
        <v>001-0821</v>
      </c>
      <c r="B665" s="6" t="str">
        <f>IFERROR(__xludf.DUMMYFUNCTION("""COMPUTED_VALUE"""),"1")</f>
        <v>1</v>
      </c>
      <c r="C665" s="6" t="str">
        <f>IFERROR(__xludf.DUMMYFUNCTION("""COMPUTED_VALUE"""),"0821")</f>
        <v>0821</v>
      </c>
      <c r="D665" s="6" t="str">
        <f>IFERROR(__xludf.DUMMYFUNCTION("""COMPUTED_VALUE"""),"Test")</f>
        <v>Test</v>
      </c>
      <c r="E665" s="6" t="str">
        <f>IFERROR(__xludf.DUMMYFUNCTION("""COMPUTED_VALUE"""),"")</f>
        <v/>
      </c>
      <c r="F665" s="6" t="str">
        <f>IFERROR(__xludf.DUMMYFUNCTION("""COMPUTED_VALUE"""),"Lci09")</f>
        <v>Lci09</v>
      </c>
      <c r="G665" s="6" t="str">
        <f>IFERROR(__xludf.DUMMYFUNCTION("""COMPUTED_VALUE"""),"07/18/2015")</f>
        <v>07/18/2015</v>
      </c>
      <c r="H665" s="6" t="str">
        <f>IFERROR(__xludf.DUMMYFUNCTION("""COMPUTED_VALUE"""),"F")</f>
        <v>F</v>
      </c>
      <c r="I665" s="6" t="str">
        <f>IFERROR(__xludf.DUMMYFUNCTION("""COMPUTED_VALUE"""),"Level 1")</f>
        <v>Level 1</v>
      </c>
      <c r="J665" s="6" t="str">
        <f>IFERROR(__xludf.DUMMYFUNCTION("""COMPUTED_VALUE"""),"3")</f>
        <v>3</v>
      </c>
      <c r="K665" s="6" t="str">
        <f>IFERROR(__xludf.DUMMYFUNCTION("""COMPUTED_VALUE"""),"test.lci09@alpha.school")</f>
        <v>test.lci09@alpha.school</v>
      </c>
      <c r="L665" s="6" t="str">
        <f>IFERROR(__xludf.DUMMYFUNCTION("""COMPUTED_VALUE"""),"Alpha High School")</f>
        <v>Alpha High School</v>
      </c>
      <c r="M665" s="6" t="str">
        <f>IFERROR(__xludf.DUMMYFUNCTION("""COMPUTED_VALUE"""),"Test")</f>
        <v>Test</v>
      </c>
      <c r="N665" s="6" t="str">
        <f>IFERROR(__xludf.DUMMYFUNCTION("""COMPUTED_VALUE"""),"")</f>
        <v/>
      </c>
      <c r="O665" s="87" t="str">
        <f>IFERROR(__xludf.DUMMYFUNCTION("""COMPUTED_VALUE"""),"https://drive.google.com/drive/folders/10T2cTQHqEJZqE-st6uFKPoI?usp=share_link")</f>
        <v>https://drive.google.com/drive/folders/10T2cTQHqEJZqE-st6uFKPoI?usp=share_link</v>
      </c>
      <c r="P665" s="6" t="str">
        <f>IFERROR(__xludf.DUMMYFUNCTION("""COMPUTED_VALUE"""),"Test Lci09")</f>
        <v>Test Lci09</v>
      </c>
      <c r="Q665" s="6" t="str">
        <f>IFERROR(__xludf.DUMMYFUNCTION("""COMPUTED_VALUE"""),"L1")</f>
        <v>L1</v>
      </c>
      <c r="R665" s="6">
        <f>IFERROR(__xludf.DUMMYFUNCTION("""COMPUTED_VALUE"""),1.0)</f>
        <v>1</v>
      </c>
      <c r="S665" s="6" t="str">
        <f>IFERROR(__xludf.DUMMYFUNCTION("""COMPUTED_VALUE"""),"Test Principal")</f>
        <v>Test Principal</v>
      </c>
      <c r="T665" s="6" t="str">
        <f>IFERROR(__xludf.DUMMYFUNCTION("""COMPUTED_VALUE"""),"test.principal@example.org")</f>
        <v>test.principal@example.org</v>
      </c>
      <c r="U665" s="6" t="str">
        <f>IFERROR(__xludf.DUMMYFUNCTION("""COMPUTED_VALUE"""),"3")</f>
        <v>3</v>
      </c>
      <c r="V665" s="6" t="str">
        <f>IFERROR(__xludf.DUMMYFUNCTION("""COMPUTED_VALUE"""),"English")</f>
        <v>English</v>
      </c>
      <c r="W665" s="6" t="str">
        <f>IFERROR(__xludf.DUMMYFUNCTION("""COMPUTED_VALUE"""),"[]")</f>
        <v>[]</v>
      </c>
      <c r="X665" s="6" t="str">
        <f>IFERROR(__xludf.DUMMYFUNCTION("""COMPUTED_VALUE"""),"Enrolled")</f>
        <v>Enrolled</v>
      </c>
    </row>
    <row r="666">
      <c r="A666" s="6" t="str">
        <f>IFERROR(__xludf.DUMMYFUNCTION("""COMPUTED_VALUE"""),"001-0822")</f>
        <v>001-0822</v>
      </c>
      <c r="B666" s="6" t="str">
        <f>IFERROR(__xludf.DUMMYFUNCTION("""COMPUTED_VALUE"""),"1")</f>
        <v>1</v>
      </c>
      <c r="C666" s="6" t="str">
        <f>IFERROR(__xludf.DUMMYFUNCTION("""COMPUTED_VALUE"""),"0822")</f>
        <v>0822</v>
      </c>
      <c r="D666" s="6" t="str">
        <f>IFERROR(__xludf.DUMMYFUNCTION("""COMPUTED_VALUE"""),"Test")</f>
        <v>Test</v>
      </c>
      <c r="E666" s="6" t="str">
        <f>IFERROR(__xludf.DUMMYFUNCTION("""COMPUTED_VALUE"""),"")</f>
        <v/>
      </c>
      <c r="F666" s="6" t="str">
        <f>IFERROR(__xludf.DUMMYFUNCTION("""COMPUTED_VALUE"""),"Lci10")</f>
        <v>Lci10</v>
      </c>
      <c r="G666" s="6" t="str">
        <f>IFERROR(__xludf.DUMMYFUNCTION("""COMPUTED_VALUE"""),"04/10/2012")</f>
        <v>04/10/2012</v>
      </c>
      <c r="H666" s="6" t="str">
        <f>IFERROR(__xludf.DUMMYFUNCTION("""COMPUTED_VALUE"""),"M")</f>
        <v>M</v>
      </c>
      <c r="I666" s="6" t="str">
        <f>IFERROR(__xludf.DUMMYFUNCTION("""COMPUTED_VALUE"""),"Middle School")</f>
        <v>Middle School</v>
      </c>
      <c r="J666" s="6" t="str">
        <f>IFERROR(__xludf.DUMMYFUNCTION("""COMPUTED_VALUE"""),"7")</f>
        <v>7</v>
      </c>
      <c r="K666" s="6" t="str">
        <f>IFERROR(__xludf.DUMMYFUNCTION("""COMPUTED_VALUE"""),"test.lci10@alpha.school")</f>
        <v>test.lci10@alpha.school</v>
      </c>
      <c r="L666" s="6" t="str">
        <f>IFERROR(__xludf.DUMMYFUNCTION("""COMPUTED_VALUE"""),"Alpha School Austin")</f>
        <v>Alpha School Austin</v>
      </c>
      <c r="M666" s="6" t="str">
        <f>IFERROR(__xludf.DUMMYFUNCTION("""COMPUTED_VALUE"""),"Test")</f>
        <v>Test</v>
      </c>
      <c r="N666" s="6" t="str">
        <f>IFERROR(__xludf.DUMMYFUNCTION("""COMPUTED_VALUE"""),"")</f>
        <v/>
      </c>
      <c r="O666" s="87" t="str">
        <f>IFERROR(__xludf.DUMMYFUNCTION("""COMPUTED_VALUE"""),"https://drive.google.com/drive/folders/10T2cTQHqEJZqE-st6uFKPoI?usp=share_link")</f>
        <v>https://drive.google.com/drive/folders/10T2cTQHqEJZqE-st6uFKPoI?usp=share_link</v>
      </c>
      <c r="P666" s="6" t="str">
        <f>IFERROR(__xludf.DUMMYFUNCTION("""COMPUTED_VALUE"""),"Test Lci10")</f>
        <v>Test Lci10</v>
      </c>
      <c r="Q666" s="6" t="str">
        <f>IFERROR(__xludf.DUMMYFUNCTION("""COMPUTED_VALUE"""),"MS")</f>
        <v>MS</v>
      </c>
      <c r="R666" s="6">
        <f>IFERROR(__xludf.DUMMYFUNCTION("""COMPUTED_VALUE"""),0.0)</f>
        <v>0</v>
      </c>
      <c r="S666" s="6" t="str">
        <f>IFERROR(__xludf.DUMMYFUNCTION("""COMPUTED_VALUE""")," ")</f>
        <v> </v>
      </c>
      <c r="T666" s="6" t="str">
        <f>IFERROR(__xludf.DUMMYFUNCTION("""COMPUTED_VALUE"""),"")</f>
        <v/>
      </c>
      <c r="U666" s="6" t="str">
        <f>IFERROR(__xludf.DUMMYFUNCTION("""COMPUTED_VALUE"""),"7")</f>
        <v>7</v>
      </c>
      <c r="V666" s="6" t="str">
        <f>IFERROR(__xludf.DUMMYFUNCTION("""COMPUTED_VALUE"""),"English")</f>
        <v>English</v>
      </c>
      <c r="W666" s="6" t="str">
        <f>IFERROR(__xludf.DUMMYFUNCTION("""COMPUTED_VALUE"""),"[]")</f>
        <v>[]</v>
      </c>
      <c r="X666" s="6" t="str">
        <f>IFERROR(__xludf.DUMMYFUNCTION("""COMPUTED_VALUE"""),"Enrolled")</f>
        <v>Enrolled</v>
      </c>
    </row>
    <row r="667">
      <c r="A667" s="6" t="str">
        <f>IFERROR(__xludf.DUMMYFUNCTION("""COMPUTED_VALUE"""),"001-0823")</f>
        <v>001-0823</v>
      </c>
      <c r="B667" s="6" t="str">
        <f>IFERROR(__xludf.DUMMYFUNCTION("""COMPUTED_VALUE"""),"1")</f>
        <v>1</v>
      </c>
      <c r="C667" s="6" t="str">
        <f>IFERROR(__xludf.DUMMYFUNCTION("""COMPUTED_VALUE"""),"0823")</f>
        <v>0823</v>
      </c>
      <c r="D667" s="6" t="str">
        <f>IFERROR(__xludf.DUMMYFUNCTION("""COMPUTED_VALUE"""),"Ella")</f>
        <v>Ella</v>
      </c>
      <c r="E667" s="6" t="str">
        <f>IFERROR(__xludf.DUMMYFUNCTION("""COMPUTED_VALUE"""),"")</f>
        <v/>
      </c>
      <c r="F667" s="6" t="str">
        <f>IFERROR(__xludf.DUMMYFUNCTION("""COMPUTED_VALUE"""),"Dietz")</f>
        <v>Dietz</v>
      </c>
      <c r="G667" s="6" t="str">
        <f>IFERROR(__xludf.DUMMYFUNCTION("""COMPUTED_VALUE"""),"05/20/2010")</f>
        <v>05/20/2010</v>
      </c>
      <c r="H667" s="6" t="str">
        <f>IFERROR(__xludf.DUMMYFUNCTION("""COMPUTED_VALUE"""),"female")</f>
        <v>female</v>
      </c>
      <c r="I667" s="6" t="str">
        <f>IFERROR(__xludf.DUMMYFUNCTION("""COMPUTED_VALUE"""),"High School")</f>
        <v>High School</v>
      </c>
      <c r="J667" s="6" t="str">
        <f>IFERROR(__xludf.DUMMYFUNCTION("""COMPUTED_VALUE"""),"10")</f>
        <v>10</v>
      </c>
      <c r="K667" s="6" t="str">
        <f>IFERROR(__xludf.DUMMYFUNCTION("""COMPUTED_VALUE"""),"ella.dietz@alpha.school")</f>
        <v>ella.dietz@alpha.school</v>
      </c>
      <c r="L667" s="6" t="str">
        <f>IFERROR(__xludf.DUMMYFUNCTION("""COMPUTED_VALUE"""),"Alpha High School")</f>
        <v>Alpha High School</v>
      </c>
      <c r="M667" s="6" t="str">
        <f>IFERROR(__xludf.DUMMYFUNCTION("""COMPUTED_VALUE"""),"")</f>
        <v/>
      </c>
      <c r="N667" s="6" t="str">
        <f>IFERROR(__xludf.DUMMYFUNCTION("""COMPUTED_VALUE"""),"")</f>
        <v/>
      </c>
      <c r="O667" s="87" t="str">
        <f>IFERROR(__xludf.DUMMYFUNCTION("""COMPUTED_VALUE"""),"https://drive.google.com/drive/folders/10T2cTQHqEJZqE-st6uFKPoI?usp=share_link")</f>
        <v>https://drive.google.com/drive/folders/10T2cTQHqEJZqE-st6uFKPoI?usp=share_link</v>
      </c>
      <c r="P667" s="6" t="str">
        <f>IFERROR(__xludf.DUMMYFUNCTION("""COMPUTED_VALUE"""),"Ella Dietz")</f>
        <v>Ella Dietz</v>
      </c>
      <c r="Q667" s="6" t="str">
        <f>IFERROR(__xludf.DUMMYFUNCTION("""COMPUTED_VALUE"""),"HS")</f>
        <v>HS</v>
      </c>
      <c r="R667" s="6">
        <f>IFERROR(__xludf.DUMMYFUNCTION("""COMPUTED_VALUE"""),0.0)</f>
        <v>0</v>
      </c>
      <c r="S667" s="6" t="str">
        <f>IFERROR(__xludf.DUMMYFUNCTION("""COMPUTED_VALUE"""),"Chloe Belvin")</f>
        <v>Chloe Belvin</v>
      </c>
      <c r="T667" s="6" t="str">
        <f>IFERROR(__xludf.DUMMYFUNCTION("""COMPUTED_VALUE"""),"chloe.belvin@alpha.school")</f>
        <v>chloe.belvin@alpha.school</v>
      </c>
      <c r="U667" s="6" t="str">
        <f>IFERROR(__xludf.DUMMYFUNCTION("""COMPUTED_VALUE"""),"10")</f>
        <v>10</v>
      </c>
      <c r="V667" s="6" t="str">
        <f>IFERROR(__xludf.DUMMYFUNCTION("""COMPUTED_VALUE"""),"English")</f>
        <v>English</v>
      </c>
      <c r="W667" s="6" t="str">
        <f>IFERROR(__xludf.DUMMYFUNCTION("""COMPUTED_VALUE"""),"[]")</f>
        <v>[]</v>
      </c>
      <c r="X667" s="6" t="str">
        <f>IFERROR(__xludf.DUMMYFUNCTION("""COMPUTED_VALUE"""),"Enrolled")</f>
        <v>Enrolled</v>
      </c>
    </row>
    <row r="668">
      <c r="A668" s="6" t="str">
        <f>IFERROR(__xludf.DUMMYFUNCTION("""COMPUTED_VALUE"""),"001-0824")</f>
        <v>001-0824</v>
      </c>
      <c r="B668" s="6" t="str">
        <f>IFERROR(__xludf.DUMMYFUNCTION("""COMPUTED_VALUE"""),"1")</f>
        <v>1</v>
      </c>
      <c r="C668" s="6" t="str">
        <f>IFERROR(__xludf.DUMMYFUNCTION("""COMPUTED_VALUE"""),"0824")</f>
        <v>0824</v>
      </c>
      <c r="D668" s="6" t="str">
        <f>IFERROR(__xludf.DUMMYFUNCTION("""COMPUTED_VALUE"""),"Tatum")</f>
        <v>Tatum</v>
      </c>
      <c r="E668" s="6" t="str">
        <f>IFERROR(__xludf.DUMMYFUNCTION("""COMPUTED_VALUE"""),"Tatum")</f>
        <v>Tatum</v>
      </c>
      <c r="F668" s="6" t="str">
        <f>IFERROR(__xludf.DUMMYFUNCTION("""COMPUTED_VALUE"""),"Lemkau")</f>
        <v>Lemkau</v>
      </c>
      <c r="G668" s="6" t="str">
        <f>IFERROR(__xludf.DUMMYFUNCTION("""COMPUTED_VALUE"""),"05/05/2007")</f>
        <v>05/05/2007</v>
      </c>
      <c r="H668" s="6" t="str">
        <f>IFERROR(__xludf.DUMMYFUNCTION("""COMPUTED_VALUE"""),"female")</f>
        <v>female</v>
      </c>
      <c r="I668" s="6" t="str">
        <f>IFERROR(__xludf.DUMMYFUNCTION("""COMPUTED_VALUE"""),"High School")</f>
        <v>High School</v>
      </c>
      <c r="J668" s="6" t="str">
        <f>IFERROR(__xludf.DUMMYFUNCTION("""COMPUTED_VALUE"""),"12")</f>
        <v>12</v>
      </c>
      <c r="K668" s="6" t="str">
        <f>IFERROR(__xludf.DUMMYFUNCTION("""COMPUTED_VALUE"""),"tatum.lemkau@alpha.school")</f>
        <v>tatum.lemkau@alpha.school</v>
      </c>
      <c r="L668" s="6" t="str">
        <f>IFERROR(__xludf.DUMMYFUNCTION("""COMPUTED_VALUE"""),"Alpha High School")</f>
        <v>Alpha High School</v>
      </c>
      <c r="M668" s="6" t="str">
        <f>IFERROR(__xludf.DUMMYFUNCTION("""COMPUTED_VALUE"""),"")</f>
        <v/>
      </c>
      <c r="N668" s="6" t="str">
        <f>IFERROR(__xludf.DUMMYFUNCTION("""COMPUTED_VALUE"""),"")</f>
        <v/>
      </c>
      <c r="O668" s="87" t="str">
        <f>IFERROR(__xludf.DUMMYFUNCTION("""COMPUTED_VALUE"""),"https://drive.google.com/drive/folders/10T2cTQHqEJZqE-st6uFKPoI?usp=share_link")</f>
        <v>https://drive.google.com/drive/folders/10T2cTQHqEJZqE-st6uFKPoI?usp=share_link</v>
      </c>
      <c r="P668" s="6" t="str">
        <f>IFERROR(__xludf.DUMMYFUNCTION("""COMPUTED_VALUE"""),"Tatum Lemkau")</f>
        <v>Tatum Lemkau</v>
      </c>
      <c r="Q668" s="6" t="str">
        <f>IFERROR(__xludf.DUMMYFUNCTION("""COMPUTED_VALUE"""),"HS")</f>
        <v>HS</v>
      </c>
      <c r="R668" s="6">
        <f>IFERROR(__xludf.DUMMYFUNCTION("""COMPUTED_VALUE"""),0.0)</f>
        <v>0</v>
      </c>
      <c r="S668" s="6" t="str">
        <f>IFERROR(__xludf.DUMMYFUNCTION("""COMPUTED_VALUE"""),"Effy Phillips")</f>
        <v>Effy Phillips</v>
      </c>
      <c r="T668" s="6" t="str">
        <f>IFERROR(__xludf.DUMMYFUNCTION("""COMPUTED_VALUE"""),"effy.phillips@alpha.school")</f>
        <v>effy.phillips@alpha.school</v>
      </c>
      <c r="U668" s="6" t="str">
        <f>IFERROR(__xludf.DUMMYFUNCTION("""COMPUTED_VALUE"""),"12")</f>
        <v>12</v>
      </c>
      <c r="V668" s="6" t="str">
        <f>IFERROR(__xludf.DUMMYFUNCTION("""COMPUTED_VALUE"""),"English")</f>
        <v>English</v>
      </c>
      <c r="W668" s="6" t="str">
        <f>IFERROR(__xludf.DUMMYFUNCTION("""COMPUTED_VALUE"""),"[50% Extended Time]")</f>
        <v>[50% Extended Time]</v>
      </c>
      <c r="X668" s="6" t="str">
        <f>IFERROR(__xludf.DUMMYFUNCTION("""COMPUTED_VALUE"""),"Enrolled")</f>
        <v>Enrolled</v>
      </c>
    </row>
    <row r="669">
      <c r="A669" s="6" t="str">
        <f>IFERROR(__xludf.DUMMYFUNCTION("""COMPUTED_VALUE"""),"001-0839")</f>
        <v>001-0839</v>
      </c>
      <c r="B669" s="6" t="str">
        <f>IFERROR(__xludf.DUMMYFUNCTION("""COMPUTED_VALUE"""),"1")</f>
        <v>1</v>
      </c>
      <c r="C669" s="6" t="str">
        <f>IFERROR(__xludf.DUMMYFUNCTION("""COMPUTED_VALUE"""),"0839")</f>
        <v>0839</v>
      </c>
      <c r="D669" s="6" t="str">
        <f>IFERROR(__xludf.DUMMYFUNCTION("""COMPUTED_VALUE"""),"Ella")</f>
        <v>Ella</v>
      </c>
      <c r="E669" s="6" t="str">
        <f>IFERROR(__xludf.DUMMYFUNCTION("""COMPUTED_VALUE"""),"")</f>
        <v/>
      </c>
      <c r="F669" s="6" t="str">
        <f>IFERROR(__xludf.DUMMYFUNCTION("""COMPUTED_VALUE"""),"Gremont")</f>
        <v>Gremont</v>
      </c>
      <c r="G669" s="6" t="str">
        <f>IFERROR(__xludf.DUMMYFUNCTION("""COMPUTED_VALUE"""),"02/10/2009")</f>
        <v>02/10/2009</v>
      </c>
      <c r="H669" s="6" t="str">
        <f>IFERROR(__xludf.DUMMYFUNCTION("""COMPUTED_VALUE"""),"female")</f>
        <v>female</v>
      </c>
      <c r="I669" s="6" t="str">
        <f>IFERROR(__xludf.DUMMYFUNCTION("""COMPUTED_VALUE"""),"High School")</f>
        <v>High School</v>
      </c>
      <c r="J669" s="6" t="str">
        <f>IFERROR(__xludf.DUMMYFUNCTION("""COMPUTED_VALUE"""),"11")</f>
        <v>11</v>
      </c>
      <c r="K669" s="6" t="str">
        <f>IFERROR(__xludf.DUMMYFUNCTION("""COMPUTED_VALUE"""),"ella.gremont@alpha.school")</f>
        <v>ella.gremont@alpha.school</v>
      </c>
      <c r="L669" s="6" t="str">
        <f>IFERROR(__xludf.DUMMYFUNCTION("""COMPUTED_VALUE"""),"Alpha High School")</f>
        <v>Alpha High School</v>
      </c>
      <c r="M669" s="6" t="str">
        <f>IFERROR(__xludf.DUMMYFUNCTION("""COMPUTED_VALUE"""),"")</f>
        <v/>
      </c>
      <c r="N669" s="6" t="str">
        <f>IFERROR(__xludf.DUMMYFUNCTION("""COMPUTED_VALUE"""),"")</f>
        <v/>
      </c>
      <c r="O669" s="87" t="str">
        <f>IFERROR(__xludf.DUMMYFUNCTION("""COMPUTED_VALUE"""),"https://drive.google.com/drive/folders/10T2cTQHqEJZqE-st6uFKPoI?usp=share_link")</f>
        <v>https://drive.google.com/drive/folders/10T2cTQHqEJZqE-st6uFKPoI?usp=share_link</v>
      </c>
      <c r="P669" s="6" t="str">
        <f>IFERROR(__xludf.DUMMYFUNCTION("""COMPUTED_VALUE"""),"Ella Gremont")</f>
        <v>Ella Gremont</v>
      </c>
      <c r="Q669" s="6" t="str">
        <f>IFERROR(__xludf.DUMMYFUNCTION("""COMPUTED_VALUE"""),"HS")</f>
        <v>HS</v>
      </c>
      <c r="R669" s="6">
        <f>IFERROR(__xludf.DUMMYFUNCTION("""COMPUTED_VALUE"""),0.0)</f>
        <v>0</v>
      </c>
      <c r="S669" s="6" t="str">
        <f>IFERROR(__xludf.DUMMYFUNCTION("""COMPUTED_VALUE"""),"Cameron Sorsby")</f>
        <v>Cameron Sorsby</v>
      </c>
      <c r="T669" s="6" t="str">
        <f>IFERROR(__xludf.DUMMYFUNCTION("""COMPUTED_VALUE"""),"cameron.sorsby@alpha.school")</f>
        <v>cameron.sorsby@alpha.school</v>
      </c>
      <c r="U669" s="6" t="str">
        <f>IFERROR(__xludf.DUMMYFUNCTION("""COMPUTED_VALUE"""),"11")</f>
        <v>11</v>
      </c>
      <c r="V669" s="6" t="str">
        <f>IFERROR(__xludf.DUMMYFUNCTION("""COMPUTED_VALUE"""),"")</f>
        <v/>
      </c>
      <c r="W669" s="6" t="str">
        <f>IFERROR(__xludf.DUMMYFUNCTION("""COMPUTED_VALUE"""),"[]")</f>
        <v>[]</v>
      </c>
      <c r="X669" s="6" t="str">
        <f>IFERROR(__xludf.DUMMYFUNCTION("""COMPUTED_VALUE"""),"Enrolled")</f>
        <v>Enrolled</v>
      </c>
    </row>
    <row r="670">
      <c r="A670" s="6" t="str">
        <f>IFERROR(__xludf.DUMMYFUNCTION("""COMPUTED_VALUE"""),"001-0843")</f>
        <v>001-0843</v>
      </c>
      <c r="B670" s="6" t="str">
        <f>IFERROR(__xludf.DUMMYFUNCTION("""COMPUTED_VALUE"""),"1")</f>
        <v>1</v>
      </c>
      <c r="C670" s="6" t="str">
        <f>IFERROR(__xludf.DUMMYFUNCTION("""COMPUTED_VALUE"""),"0843")</f>
        <v>0843</v>
      </c>
      <c r="D670" s="6" t="str">
        <f>IFERROR(__xludf.DUMMYFUNCTION("""COMPUTED_VALUE"""),"Zayen")</f>
        <v>Zayen</v>
      </c>
      <c r="E670" s="6" t="str">
        <f>IFERROR(__xludf.DUMMYFUNCTION("""COMPUTED_VALUE"""),"Zayen")</f>
        <v>Zayen</v>
      </c>
      <c r="F670" s="6" t="str">
        <f>IFERROR(__xludf.DUMMYFUNCTION("""COMPUTED_VALUE"""),"Szpitalak")</f>
        <v>Szpitalak</v>
      </c>
      <c r="G670" s="6" t="str">
        <f>IFERROR(__xludf.DUMMYFUNCTION("""COMPUTED_VALUE"""),"06/10/2011")</f>
        <v>06/10/2011</v>
      </c>
      <c r="H670" s="6" t="str">
        <f>IFERROR(__xludf.DUMMYFUNCTION("""COMPUTED_VALUE"""),"male")</f>
        <v>male</v>
      </c>
      <c r="I670" s="6" t="str">
        <f>IFERROR(__xludf.DUMMYFUNCTION("""COMPUTED_VALUE"""),"High School")</f>
        <v>High School</v>
      </c>
      <c r="J670" s="6" t="str">
        <f>IFERROR(__xludf.DUMMYFUNCTION("""COMPUTED_VALUE"""),"9")</f>
        <v>9</v>
      </c>
      <c r="K670" s="6" t="str">
        <f>IFERROR(__xludf.DUMMYFUNCTION("""COMPUTED_VALUE"""),"zayen.szpitalak@alpha.school")</f>
        <v>zayen.szpitalak@alpha.school</v>
      </c>
      <c r="L670" s="6" t="str">
        <f>IFERROR(__xludf.DUMMYFUNCTION("""COMPUTED_VALUE"""),"Alpha High School")</f>
        <v>Alpha High School</v>
      </c>
      <c r="M670" s="6" t="str">
        <f>IFERROR(__xludf.DUMMYFUNCTION("""COMPUTED_VALUE"""),"")</f>
        <v/>
      </c>
      <c r="N670" s="6" t="str">
        <f>IFERROR(__xludf.DUMMYFUNCTION("""COMPUTED_VALUE"""),"")</f>
        <v/>
      </c>
      <c r="O670" s="87" t="str">
        <f>IFERROR(__xludf.DUMMYFUNCTION("""COMPUTED_VALUE"""),"https://drive.google.com/drive/folders/10T2cTQHqEJZqE-st6uFKPoI?usp=share_link")</f>
        <v>https://drive.google.com/drive/folders/10T2cTQHqEJZqE-st6uFKPoI?usp=share_link</v>
      </c>
      <c r="P670" s="6" t="str">
        <f>IFERROR(__xludf.DUMMYFUNCTION("""COMPUTED_VALUE"""),"Zayen Szpitalak")</f>
        <v>Zayen Szpitalak</v>
      </c>
      <c r="Q670" s="6" t="str">
        <f>IFERROR(__xludf.DUMMYFUNCTION("""COMPUTED_VALUE"""),"HS")</f>
        <v>HS</v>
      </c>
      <c r="R670" s="6">
        <f>IFERROR(__xludf.DUMMYFUNCTION("""COMPUTED_VALUE"""),0.0)</f>
        <v>0</v>
      </c>
      <c r="S670" s="6" t="str">
        <f>IFERROR(__xludf.DUMMYFUNCTION("""COMPUTED_VALUE"""),"Jebin Justin")</f>
        <v>Jebin Justin</v>
      </c>
      <c r="T670" s="6" t="str">
        <f>IFERROR(__xludf.DUMMYFUNCTION("""COMPUTED_VALUE"""),"jebin.justin@alpha.school")</f>
        <v>jebin.justin@alpha.school</v>
      </c>
      <c r="U670" s="6" t="str">
        <f>IFERROR(__xludf.DUMMYFUNCTION("""COMPUTED_VALUE"""),"9")</f>
        <v>9</v>
      </c>
      <c r="V670" s="6" t="str">
        <f>IFERROR(__xludf.DUMMYFUNCTION("""COMPUTED_VALUE"""),"")</f>
        <v/>
      </c>
      <c r="W670" s="6" t="str">
        <f>IFERROR(__xludf.DUMMYFUNCTION("""COMPUTED_VALUE"""),"[]")</f>
        <v>[]</v>
      </c>
      <c r="X670" s="6" t="str">
        <f>IFERROR(__xludf.DUMMYFUNCTION("""COMPUTED_VALUE"""),"Enrolled")</f>
        <v>Enrolled</v>
      </c>
    </row>
    <row r="671">
      <c r="A671" s="6" t="str">
        <f>IFERROR(__xludf.DUMMYFUNCTION("""COMPUTED_VALUE"""),"001-0846")</f>
        <v>001-0846</v>
      </c>
      <c r="B671" s="6" t="str">
        <f>IFERROR(__xludf.DUMMYFUNCTION("""COMPUTED_VALUE"""),"1")</f>
        <v>1</v>
      </c>
      <c r="C671" s="6" t="str">
        <f>IFERROR(__xludf.DUMMYFUNCTION("""COMPUTED_VALUE"""),"0846")</f>
        <v>0846</v>
      </c>
      <c r="D671" s="6" t="str">
        <f>IFERROR(__xludf.DUMMYFUNCTION("""COMPUTED_VALUE"""),"Thomas")</f>
        <v>Thomas</v>
      </c>
      <c r="E671" s="6" t="str">
        <f>IFERROR(__xludf.DUMMYFUNCTION("""COMPUTED_VALUE"""),"Tommy")</f>
        <v>Tommy</v>
      </c>
      <c r="F671" s="6" t="str">
        <f>IFERROR(__xludf.DUMMYFUNCTION("""COMPUTED_VALUE"""),"Nolan")</f>
        <v>Nolan</v>
      </c>
      <c r="G671" s="6" t="str">
        <f>IFERROR(__xludf.DUMMYFUNCTION("""COMPUTED_VALUE"""),"04/03/2020")</f>
        <v>04/03/2020</v>
      </c>
      <c r="H671" s="6" t="str">
        <f>IFERROR(__xludf.DUMMYFUNCTION("""COMPUTED_VALUE"""),"male")</f>
        <v>male</v>
      </c>
      <c r="I671" s="6" t="str">
        <f>IFERROR(__xludf.DUMMYFUNCTION("""COMPUTED_VALUE"""),"Learning Lab")</f>
        <v>Learning Lab</v>
      </c>
      <c r="J671" s="6" t="str">
        <f>IFERROR(__xludf.DUMMYFUNCTION("""COMPUTED_VALUE"""),"K")</f>
        <v>K</v>
      </c>
      <c r="K671" s="6" t="str">
        <f>IFERROR(__xludf.DUMMYFUNCTION("""COMPUTED_VALUE"""),"tommy.nolan@alpha.school")</f>
        <v>tommy.nolan@alpha.school</v>
      </c>
      <c r="L671" s="6" t="str">
        <f>IFERROR(__xludf.DUMMYFUNCTION("""COMPUTED_VALUE"""),"Alpha School Austin")</f>
        <v>Alpha School Austin</v>
      </c>
      <c r="M671" s="6" t="str">
        <f>IFERROR(__xludf.DUMMYFUNCTION("""COMPUTED_VALUE"""),"")</f>
        <v/>
      </c>
      <c r="N671" s="6" t="str">
        <f>IFERROR(__xludf.DUMMYFUNCTION("""COMPUTED_VALUE"""),"")</f>
        <v/>
      </c>
      <c r="O671" s="87" t="str">
        <f>IFERROR(__xludf.DUMMYFUNCTION("""COMPUTED_VALUE"""),"https://drive.google.com/drive/folders/10T2cTQHqEJZqE-st6uFKPoI?usp=share_link")</f>
        <v>https://drive.google.com/drive/folders/10T2cTQHqEJZqE-st6uFKPoI?usp=share_link</v>
      </c>
      <c r="P671" s="6" t="str">
        <f>IFERROR(__xludf.DUMMYFUNCTION("""COMPUTED_VALUE"""),"Tommy Nolan")</f>
        <v>Tommy Nolan</v>
      </c>
      <c r="Q671" s="6" t="str">
        <f>IFERROR(__xludf.DUMMYFUNCTION("""COMPUTED_VALUE"""),"LL")</f>
        <v>LL</v>
      </c>
      <c r="R671" s="6">
        <f>IFERROR(__xludf.DUMMYFUNCTION("""COMPUTED_VALUE"""),0.0)</f>
        <v>0</v>
      </c>
      <c r="S671" s="6" t="str">
        <f>IFERROR(__xludf.DUMMYFUNCTION("""COMPUTED_VALUE"""),"Cole Dougherty")</f>
        <v>Cole Dougherty</v>
      </c>
      <c r="T671" s="6" t="str">
        <f>IFERROR(__xludf.DUMMYFUNCTION("""COMPUTED_VALUE"""),"cole.dougherty@alpha.school")</f>
        <v>cole.dougherty@alpha.school</v>
      </c>
      <c r="U671" s="6" t="str">
        <f>IFERROR(__xludf.DUMMYFUNCTION("""COMPUTED_VALUE"""),"K")</f>
        <v>K</v>
      </c>
      <c r="V671" s="6" t="str">
        <f>IFERROR(__xludf.DUMMYFUNCTION("""COMPUTED_VALUE"""),"")</f>
        <v/>
      </c>
      <c r="W671" s="6" t="str">
        <f>IFERROR(__xludf.DUMMYFUNCTION("""COMPUTED_VALUE"""),"[]")</f>
        <v>[]</v>
      </c>
      <c r="X671" s="6" t="str">
        <f>IFERROR(__xludf.DUMMYFUNCTION("""COMPUTED_VALUE"""),"Enrolled")</f>
        <v>Enrolled</v>
      </c>
    </row>
    <row r="672">
      <c r="A672" s="6" t="str">
        <f>IFERROR(__xludf.DUMMYFUNCTION("""COMPUTED_VALUE"""),"001-0848")</f>
        <v>001-0848</v>
      </c>
      <c r="B672" s="6" t="str">
        <f>IFERROR(__xludf.DUMMYFUNCTION("""COMPUTED_VALUE"""),"1")</f>
        <v>1</v>
      </c>
      <c r="C672" s="6" t="str">
        <f>IFERROR(__xludf.DUMMYFUNCTION("""COMPUTED_VALUE"""),"0848")</f>
        <v>0848</v>
      </c>
      <c r="D672" s="6" t="str">
        <f>IFERROR(__xludf.DUMMYFUNCTION("""COMPUTED_VALUE"""),"Ella")</f>
        <v>Ella</v>
      </c>
      <c r="E672" s="6" t="str">
        <f>IFERROR(__xludf.DUMMYFUNCTION("""COMPUTED_VALUE"""),"")</f>
        <v/>
      </c>
      <c r="F672" s="6" t="str">
        <f>IFERROR(__xludf.DUMMYFUNCTION("""COMPUTED_VALUE"""),"Clark")</f>
        <v>Clark</v>
      </c>
      <c r="G672" s="6" t="str">
        <f>IFERROR(__xludf.DUMMYFUNCTION("""COMPUTED_VALUE"""),"02/21/2020")</f>
        <v>02/21/2020</v>
      </c>
      <c r="H672" s="6" t="str">
        <f>IFERROR(__xludf.DUMMYFUNCTION("""COMPUTED_VALUE"""),"female")</f>
        <v>female</v>
      </c>
      <c r="I672" s="6" t="str">
        <f>IFERROR(__xludf.DUMMYFUNCTION("""COMPUTED_VALUE"""),"Learning Lab")</f>
        <v>Learning Lab</v>
      </c>
      <c r="J672" s="6" t="str">
        <f>IFERROR(__xludf.DUMMYFUNCTION("""COMPUTED_VALUE"""),"K")</f>
        <v>K</v>
      </c>
      <c r="K672" s="6" t="str">
        <f>IFERROR(__xludf.DUMMYFUNCTION("""COMPUTED_VALUE"""),"ella.clark@alpha.school")</f>
        <v>ella.clark@alpha.school</v>
      </c>
      <c r="L672" s="6" t="str">
        <f>IFERROR(__xludf.DUMMYFUNCTION("""COMPUTED_VALUE"""),"Alpha School Austin")</f>
        <v>Alpha School Austin</v>
      </c>
      <c r="M672" s="6" t="str">
        <f>IFERROR(__xludf.DUMMYFUNCTION("""COMPUTED_VALUE"""),"")</f>
        <v/>
      </c>
      <c r="N672" s="6" t="str">
        <f>IFERROR(__xludf.DUMMYFUNCTION("""COMPUTED_VALUE"""),"")</f>
        <v/>
      </c>
      <c r="O672" s="87" t="str">
        <f>IFERROR(__xludf.DUMMYFUNCTION("""COMPUTED_VALUE"""),"https://drive.google.com/drive/folders/10T2cTQHqEJZqE-st6uFKPoI?usp=share_link")</f>
        <v>https://drive.google.com/drive/folders/10T2cTQHqEJZqE-st6uFKPoI?usp=share_link</v>
      </c>
      <c r="P672" s="6" t="str">
        <f>IFERROR(__xludf.DUMMYFUNCTION("""COMPUTED_VALUE"""),"Ella Clark")</f>
        <v>Ella Clark</v>
      </c>
      <c r="Q672" s="6" t="str">
        <f>IFERROR(__xludf.DUMMYFUNCTION("""COMPUTED_VALUE"""),"LL")</f>
        <v>LL</v>
      </c>
      <c r="R672" s="6">
        <f>IFERROR(__xludf.DUMMYFUNCTION("""COMPUTED_VALUE"""),0.0)</f>
        <v>0</v>
      </c>
      <c r="S672" s="6" t="str">
        <f>IFERROR(__xludf.DUMMYFUNCTION("""COMPUTED_VALUE"""),"Carrington Haas")</f>
        <v>Carrington Haas</v>
      </c>
      <c r="T672" s="6" t="str">
        <f>IFERROR(__xludf.DUMMYFUNCTION("""COMPUTED_VALUE"""),"carrington.haas@alpha.school")</f>
        <v>carrington.haas@alpha.school</v>
      </c>
      <c r="U672" s="6" t="str">
        <f>IFERROR(__xludf.DUMMYFUNCTION("""COMPUTED_VALUE"""),"K")</f>
        <v>K</v>
      </c>
      <c r="V672" s="6" t="str">
        <f>IFERROR(__xludf.DUMMYFUNCTION("""COMPUTED_VALUE"""),"")</f>
        <v/>
      </c>
      <c r="W672" s="6" t="str">
        <f>IFERROR(__xludf.DUMMYFUNCTION("""COMPUTED_VALUE"""),"[]")</f>
        <v>[]</v>
      </c>
      <c r="X672" s="6" t="str">
        <f>IFERROR(__xludf.DUMMYFUNCTION("""COMPUTED_VALUE"""),"Enrolled")</f>
        <v>Enrolled</v>
      </c>
    </row>
    <row r="673">
      <c r="A673" s="6" t="str">
        <f>IFERROR(__xludf.DUMMYFUNCTION("""COMPUTED_VALUE"""),"001-0852")</f>
        <v>001-0852</v>
      </c>
      <c r="B673" s="6" t="str">
        <f>IFERROR(__xludf.DUMMYFUNCTION("""COMPUTED_VALUE"""),"1")</f>
        <v>1</v>
      </c>
      <c r="C673" s="6" t="str">
        <f>IFERROR(__xludf.DUMMYFUNCTION("""COMPUTED_VALUE"""),"0852")</f>
        <v>0852</v>
      </c>
      <c r="D673" s="6" t="str">
        <f>IFERROR(__xludf.DUMMYFUNCTION("""COMPUTED_VALUE"""),"Harper")</f>
        <v>Harper</v>
      </c>
      <c r="E673" s="6" t="str">
        <f>IFERROR(__xludf.DUMMYFUNCTION("""COMPUTED_VALUE"""),"Harper")</f>
        <v>Harper</v>
      </c>
      <c r="F673" s="6" t="str">
        <f>IFERROR(__xludf.DUMMYFUNCTION("""COMPUTED_VALUE"""),"Hawkins")</f>
        <v>Hawkins</v>
      </c>
      <c r="G673" s="6" t="str">
        <f>IFERROR(__xludf.DUMMYFUNCTION("""COMPUTED_VALUE"""),"05/27/2016")</f>
        <v>05/27/2016</v>
      </c>
      <c r="H673" s="6" t="str">
        <f>IFERROR(__xludf.DUMMYFUNCTION("""COMPUTED_VALUE"""),"female")</f>
        <v>female</v>
      </c>
      <c r="I673" s="6" t="str">
        <f>IFERROR(__xludf.DUMMYFUNCTION("""COMPUTED_VALUE"""),"Level 2")</f>
        <v>Level 2</v>
      </c>
      <c r="J673" s="6" t="str">
        <f>IFERROR(__xludf.DUMMYFUNCTION("""COMPUTED_VALUE"""),"4")</f>
        <v>4</v>
      </c>
      <c r="K673" s="6" t="str">
        <f>IFERROR(__xludf.DUMMYFUNCTION("""COMPUTED_VALUE"""),"harper.hawkins@alpha.school")</f>
        <v>harper.hawkins@alpha.school</v>
      </c>
      <c r="L673" s="6" t="str">
        <f>IFERROR(__xludf.DUMMYFUNCTION("""COMPUTED_VALUE"""),"Alpha School Austin")</f>
        <v>Alpha School Austin</v>
      </c>
      <c r="M673" s="6" t="str">
        <f>IFERROR(__xludf.DUMMYFUNCTION("""COMPUTED_VALUE"""),"")</f>
        <v/>
      </c>
      <c r="N673" s="6" t="str">
        <f>IFERROR(__xludf.DUMMYFUNCTION("""COMPUTED_VALUE"""),"")</f>
        <v/>
      </c>
      <c r="O673" s="87" t="str">
        <f>IFERROR(__xludf.DUMMYFUNCTION("""COMPUTED_VALUE"""),"https://drive.google.com/drive/folders/10T2cTQHqEJZqE-st6uFKPoI?usp=share_link")</f>
        <v>https://drive.google.com/drive/folders/10T2cTQHqEJZqE-st6uFKPoI?usp=share_link</v>
      </c>
      <c r="P673" s="6" t="str">
        <f>IFERROR(__xludf.DUMMYFUNCTION("""COMPUTED_VALUE"""),"Harper Hawkins")</f>
        <v>Harper Hawkins</v>
      </c>
      <c r="Q673" s="6" t="str">
        <f>IFERROR(__xludf.DUMMYFUNCTION("""COMPUTED_VALUE"""),"L2")</f>
        <v>L2</v>
      </c>
      <c r="R673" s="6">
        <f>IFERROR(__xludf.DUMMYFUNCTION("""COMPUTED_VALUE"""),2.0)</f>
        <v>2</v>
      </c>
      <c r="S673" s="6" t="str">
        <f>IFERROR(__xludf.DUMMYFUNCTION("""COMPUTED_VALUE"""),"Emma Simon")</f>
        <v>Emma Simon</v>
      </c>
      <c r="T673" s="6" t="str">
        <f>IFERROR(__xludf.DUMMYFUNCTION("""COMPUTED_VALUE"""),"emma.simon@alpha.school")</f>
        <v>emma.simon@alpha.school</v>
      </c>
      <c r="U673" s="6" t="str">
        <f>IFERROR(__xludf.DUMMYFUNCTION("""COMPUTED_VALUE"""),"4")</f>
        <v>4</v>
      </c>
      <c r="V673" s="6" t="str">
        <f>IFERROR(__xludf.DUMMYFUNCTION("""COMPUTED_VALUE"""),"")</f>
        <v/>
      </c>
      <c r="W673" s="6" t="str">
        <f>IFERROR(__xludf.DUMMYFUNCTION("""COMPUTED_VALUE"""),"[]")</f>
        <v>[]</v>
      </c>
      <c r="X673" s="6" t="str">
        <f>IFERROR(__xludf.DUMMYFUNCTION("""COMPUTED_VALUE"""),"Enrolled")</f>
        <v>Enrolled</v>
      </c>
    </row>
    <row r="674">
      <c r="A674" s="6" t="str">
        <f>IFERROR(__xludf.DUMMYFUNCTION("""COMPUTED_VALUE"""),"001-0854")</f>
        <v>001-0854</v>
      </c>
      <c r="B674" s="6" t="str">
        <f>IFERROR(__xludf.DUMMYFUNCTION("""COMPUTED_VALUE"""),"1")</f>
        <v>1</v>
      </c>
      <c r="C674" s="6" t="str">
        <f>IFERROR(__xludf.DUMMYFUNCTION("""COMPUTED_VALUE"""),"0854")</f>
        <v>0854</v>
      </c>
      <c r="D674" s="6" t="str">
        <f>IFERROR(__xludf.DUMMYFUNCTION("""COMPUTED_VALUE"""),"Jasper")</f>
        <v>Jasper</v>
      </c>
      <c r="E674" s="6" t="str">
        <f>IFERROR(__xludf.DUMMYFUNCTION("""COMPUTED_VALUE"""),"Jasper")</f>
        <v>Jasper</v>
      </c>
      <c r="F674" s="6" t="str">
        <f>IFERROR(__xludf.DUMMYFUNCTION("""COMPUTED_VALUE"""),"Dawson")</f>
        <v>Dawson</v>
      </c>
      <c r="G674" s="6" t="str">
        <f>IFERROR(__xludf.DUMMYFUNCTION("""COMPUTED_VALUE"""),"03/21/2021")</f>
        <v>03/21/2021</v>
      </c>
      <c r="H674" s="6" t="str">
        <f>IFERROR(__xludf.DUMMYFUNCTION("""COMPUTED_VALUE"""),"male")</f>
        <v>male</v>
      </c>
      <c r="I674" s="6" t="str">
        <f>IFERROR(__xludf.DUMMYFUNCTION("""COMPUTED_VALUE"""),"Wonder Lab")</f>
        <v>Wonder Lab</v>
      </c>
      <c r="J674" s="6" t="str">
        <f>IFERROR(__xludf.DUMMYFUNCTION("""COMPUTED_VALUE"""),"PK")</f>
        <v>PK</v>
      </c>
      <c r="K674" s="6" t="str">
        <f>IFERROR(__xludf.DUMMYFUNCTION("""COMPUTED_VALUE"""),"jasper.dawson@alpha.school")</f>
        <v>jasper.dawson@alpha.school</v>
      </c>
      <c r="L674" s="6" t="str">
        <f>IFERROR(__xludf.DUMMYFUNCTION("""COMPUTED_VALUE"""),"Alpha School Austin")</f>
        <v>Alpha School Austin</v>
      </c>
      <c r="M674" s="6" t="str">
        <f>IFERROR(__xludf.DUMMYFUNCTION("""COMPUTED_VALUE"""),"")</f>
        <v/>
      </c>
      <c r="N674" s="6" t="str">
        <f>IFERROR(__xludf.DUMMYFUNCTION("""COMPUTED_VALUE"""),"")</f>
        <v/>
      </c>
      <c r="O674" s="87" t="str">
        <f>IFERROR(__xludf.DUMMYFUNCTION("""COMPUTED_VALUE"""),"https://drive.google.com/drive/folders/10T2cTQHqEJZqE-st6uFKPoI?usp=share_link")</f>
        <v>https://drive.google.com/drive/folders/10T2cTQHqEJZqE-st6uFKPoI?usp=share_link</v>
      </c>
      <c r="P674" s="6" t="str">
        <f>IFERROR(__xludf.DUMMYFUNCTION("""COMPUTED_VALUE"""),"Jasper Dawson")</f>
        <v>Jasper Dawson</v>
      </c>
      <c r="Q674" s="6" t="str">
        <f>IFERROR(__xludf.DUMMYFUNCTION("""COMPUTED_VALUE"""),"WL")</f>
        <v>WL</v>
      </c>
      <c r="R674" s="6">
        <f>IFERROR(__xludf.DUMMYFUNCTION("""COMPUTED_VALUE"""),-1.0)</f>
        <v>-1</v>
      </c>
      <c r="S674" s="6" t="str">
        <f>IFERROR(__xludf.DUMMYFUNCTION("""COMPUTED_VALUE"""),"Anna Slaby")</f>
        <v>Anna Slaby</v>
      </c>
      <c r="T674" s="6" t="str">
        <f>IFERROR(__xludf.DUMMYFUNCTION("""COMPUTED_VALUE"""),"anna.slaby@alpha.school")</f>
        <v>anna.slaby@alpha.school</v>
      </c>
      <c r="U674" s="6" t="str">
        <f>IFERROR(__xludf.DUMMYFUNCTION("""COMPUTED_VALUE"""),"PK")</f>
        <v>PK</v>
      </c>
      <c r="V674" s="6" t="str">
        <f>IFERROR(__xludf.DUMMYFUNCTION("""COMPUTED_VALUE"""),"")</f>
        <v/>
      </c>
      <c r="W674" s="6" t="str">
        <f>IFERROR(__xludf.DUMMYFUNCTION("""COMPUTED_VALUE"""),"[]")</f>
        <v>[]</v>
      </c>
      <c r="X674" s="6" t="str">
        <f>IFERROR(__xludf.DUMMYFUNCTION("""COMPUTED_VALUE"""),"Enrolled")</f>
        <v>Enrolled</v>
      </c>
    </row>
    <row r="675">
      <c r="A675" s="6" t="str">
        <f>IFERROR(__xludf.DUMMYFUNCTION("""COMPUTED_VALUE"""),"001-0855")</f>
        <v>001-0855</v>
      </c>
      <c r="B675" s="6" t="str">
        <f>IFERROR(__xludf.DUMMYFUNCTION("""COMPUTED_VALUE"""),"1")</f>
        <v>1</v>
      </c>
      <c r="C675" s="6" t="str">
        <f>IFERROR(__xludf.DUMMYFUNCTION("""COMPUTED_VALUE"""),"0855")</f>
        <v>0855</v>
      </c>
      <c r="D675" s="6" t="str">
        <f>IFERROR(__xludf.DUMMYFUNCTION("""COMPUTED_VALUE"""),"Lila")</f>
        <v>Lila</v>
      </c>
      <c r="E675" s="6" t="str">
        <f>IFERROR(__xludf.DUMMYFUNCTION("""COMPUTED_VALUE"""),"Lila")</f>
        <v>Lila</v>
      </c>
      <c r="F675" s="6" t="str">
        <f>IFERROR(__xludf.DUMMYFUNCTION("""COMPUTED_VALUE"""),"Dawson")</f>
        <v>Dawson</v>
      </c>
      <c r="G675" s="6" t="str">
        <f>IFERROR(__xludf.DUMMYFUNCTION("""COMPUTED_VALUE"""),"09/23/2019")</f>
        <v>09/23/2019</v>
      </c>
      <c r="H675" s="6" t="str">
        <f>IFERROR(__xludf.DUMMYFUNCTION("""COMPUTED_VALUE"""),"female")</f>
        <v>female</v>
      </c>
      <c r="I675" s="6" t="str">
        <f>IFERROR(__xludf.DUMMYFUNCTION("""COMPUTED_VALUE"""),"Learning Lab")</f>
        <v>Learning Lab</v>
      </c>
      <c r="J675" s="6" t="str">
        <f>IFERROR(__xludf.DUMMYFUNCTION("""COMPUTED_VALUE"""),"K")</f>
        <v>K</v>
      </c>
      <c r="K675" s="6" t="str">
        <f>IFERROR(__xludf.DUMMYFUNCTION("""COMPUTED_VALUE"""),"lila.dawson@alpha.school")</f>
        <v>lila.dawson@alpha.school</v>
      </c>
      <c r="L675" s="6" t="str">
        <f>IFERROR(__xludf.DUMMYFUNCTION("""COMPUTED_VALUE"""),"Alpha School Austin")</f>
        <v>Alpha School Austin</v>
      </c>
      <c r="M675" s="6" t="str">
        <f>IFERROR(__xludf.DUMMYFUNCTION("""COMPUTED_VALUE"""),"")</f>
        <v/>
      </c>
      <c r="N675" s="6" t="str">
        <f>IFERROR(__xludf.DUMMYFUNCTION("""COMPUTED_VALUE"""),"")</f>
        <v/>
      </c>
      <c r="O675" s="87" t="str">
        <f>IFERROR(__xludf.DUMMYFUNCTION("""COMPUTED_VALUE"""),"https://drive.google.com/drive/folders/10T2cTQHqEJZqE-st6uFKPoI?usp=share_link")</f>
        <v>https://drive.google.com/drive/folders/10T2cTQHqEJZqE-st6uFKPoI?usp=share_link</v>
      </c>
      <c r="P675" s="6" t="str">
        <f>IFERROR(__xludf.DUMMYFUNCTION("""COMPUTED_VALUE"""),"Lila Dawson")</f>
        <v>Lila Dawson</v>
      </c>
      <c r="Q675" s="6" t="str">
        <f>IFERROR(__xludf.DUMMYFUNCTION("""COMPUTED_VALUE"""),"LL")</f>
        <v>LL</v>
      </c>
      <c r="R675" s="6">
        <f>IFERROR(__xludf.DUMMYFUNCTION("""COMPUTED_VALUE"""),0.0)</f>
        <v>0</v>
      </c>
      <c r="S675" s="6" t="str">
        <f>IFERROR(__xludf.DUMMYFUNCTION("""COMPUTED_VALUE"""),"Hannah Burkhauser")</f>
        <v>Hannah Burkhauser</v>
      </c>
      <c r="T675" s="6" t="str">
        <f>IFERROR(__xludf.DUMMYFUNCTION("""COMPUTED_VALUE"""),"hannah.burkhauser@alpha.school")</f>
        <v>hannah.burkhauser@alpha.school</v>
      </c>
      <c r="U675" s="6" t="str">
        <f>IFERROR(__xludf.DUMMYFUNCTION("""COMPUTED_VALUE"""),"K")</f>
        <v>K</v>
      </c>
      <c r="V675" s="6" t="str">
        <f>IFERROR(__xludf.DUMMYFUNCTION("""COMPUTED_VALUE"""),"")</f>
        <v/>
      </c>
      <c r="W675" s="6" t="str">
        <f>IFERROR(__xludf.DUMMYFUNCTION("""COMPUTED_VALUE"""),"[]")</f>
        <v>[]</v>
      </c>
      <c r="X675" s="6" t="str">
        <f>IFERROR(__xludf.DUMMYFUNCTION("""COMPUTED_VALUE"""),"Enrolled")</f>
        <v>Enrolled</v>
      </c>
    </row>
    <row r="676">
      <c r="A676" s="6" t="str">
        <f>IFERROR(__xludf.DUMMYFUNCTION("""COMPUTED_VALUE"""),"001-0857")</f>
        <v>001-0857</v>
      </c>
      <c r="B676" s="6" t="str">
        <f>IFERROR(__xludf.DUMMYFUNCTION("""COMPUTED_VALUE"""),"1")</f>
        <v>1</v>
      </c>
      <c r="C676" s="6" t="str">
        <f>IFERROR(__xludf.DUMMYFUNCTION("""COMPUTED_VALUE"""),"0857")</f>
        <v>0857</v>
      </c>
      <c r="D676" s="6" t="str">
        <f>IFERROR(__xludf.DUMMYFUNCTION("""COMPUTED_VALUE"""),"Kavin")</f>
        <v>Kavin</v>
      </c>
      <c r="E676" s="6" t="str">
        <f>IFERROR(__xludf.DUMMYFUNCTION("""COMPUTED_VALUE"""),"")</f>
        <v/>
      </c>
      <c r="F676" s="6" t="str">
        <f>IFERROR(__xludf.DUMMYFUNCTION("""COMPUTED_VALUE"""),"Lingham")</f>
        <v>Lingham</v>
      </c>
      <c r="G676" s="6" t="str">
        <f>IFERROR(__xludf.DUMMYFUNCTION("""COMPUTED_VALUE"""),"02/19/2010")</f>
        <v>02/19/2010</v>
      </c>
      <c r="H676" s="6" t="str">
        <f>IFERROR(__xludf.DUMMYFUNCTION("""COMPUTED_VALUE"""),"male")</f>
        <v>male</v>
      </c>
      <c r="I676" s="6" t="str">
        <f>IFERROR(__xludf.DUMMYFUNCTION("""COMPUTED_VALUE"""),"High School")</f>
        <v>High School</v>
      </c>
      <c r="J676" s="6" t="str">
        <f>IFERROR(__xludf.DUMMYFUNCTION("""COMPUTED_VALUE"""),"10")</f>
        <v>10</v>
      </c>
      <c r="K676" s="6" t="str">
        <f>IFERROR(__xludf.DUMMYFUNCTION("""COMPUTED_VALUE"""),"kavin.lingham@alpha.school")</f>
        <v>kavin.lingham@alpha.school</v>
      </c>
      <c r="L676" s="6" t="str">
        <f>IFERROR(__xludf.DUMMYFUNCTION("""COMPUTED_VALUE"""),"Alpha High School")</f>
        <v>Alpha High School</v>
      </c>
      <c r="M676" s="6" t="str">
        <f>IFERROR(__xludf.DUMMYFUNCTION("""COMPUTED_VALUE"""),"")</f>
        <v/>
      </c>
      <c r="N676" s="6" t="str">
        <f>IFERROR(__xludf.DUMMYFUNCTION("""COMPUTED_VALUE"""),"")</f>
        <v/>
      </c>
      <c r="O676" s="87" t="str">
        <f>IFERROR(__xludf.DUMMYFUNCTION("""COMPUTED_VALUE"""),"https://drive.google.com/drive/folders/10T2cTQHqEJZqE-st6uFKPoI?usp=share_link")</f>
        <v>https://drive.google.com/drive/folders/10T2cTQHqEJZqE-st6uFKPoI?usp=share_link</v>
      </c>
      <c r="P676" s="6" t="str">
        <f>IFERROR(__xludf.DUMMYFUNCTION("""COMPUTED_VALUE"""),"Kavin Lingham")</f>
        <v>Kavin Lingham</v>
      </c>
      <c r="Q676" s="6" t="str">
        <f>IFERROR(__xludf.DUMMYFUNCTION("""COMPUTED_VALUE"""),"HS")</f>
        <v>HS</v>
      </c>
      <c r="R676" s="6">
        <f>IFERROR(__xludf.DUMMYFUNCTION("""COMPUTED_VALUE"""),0.0)</f>
        <v>0</v>
      </c>
      <c r="S676" s="6" t="str">
        <f>IFERROR(__xludf.DUMMYFUNCTION("""COMPUTED_VALUE"""),"Effy Phillips")</f>
        <v>Effy Phillips</v>
      </c>
      <c r="T676" s="6" t="str">
        <f>IFERROR(__xludf.DUMMYFUNCTION("""COMPUTED_VALUE"""),"effy.phillips@alpha.school")</f>
        <v>effy.phillips@alpha.school</v>
      </c>
      <c r="U676" s="6" t="str">
        <f>IFERROR(__xludf.DUMMYFUNCTION("""COMPUTED_VALUE"""),"10")</f>
        <v>10</v>
      </c>
      <c r="V676" s="6" t="str">
        <f>IFERROR(__xludf.DUMMYFUNCTION("""COMPUTED_VALUE"""),"")</f>
        <v/>
      </c>
      <c r="W676" s="6" t="str">
        <f>IFERROR(__xludf.DUMMYFUNCTION("""COMPUTED_VALUE"""),"[]")</f>
        <v>[]</v>
      </c>
      <c r="X676" s="6" t="str">
        <f>IFERROR(__xludf.DUMMYFUNCTION("""COMPUTED_VALUE"""),"Enrolled")</f>
        <v>Enrolled</v>
      </c>
    </row>
    <row r="677">
      <c r="A677" s="6" t="str">
        <f>IFERROR(__xludf.DUMMYFUNCTION("""COMPUTED_VALUE"""),"001-0859")</f>
        <v>001-0859</v>
      </c>
      <c r="B677" s="6" t="str">
        <f>IFERROR(__xludf.DUMMYFUNCTION("""COMPUTED_VALUE"""),"1")</f>
        <v>1</v>
      </c>
      <c r="C677" s="6" t="str">
        <f>IFERROR(__xludf.DUMMYFUNCTION("""COMPUTED_VALUE"""),"0859")</f>
        <v>0859</v>
      </c>
      <c r="D677" s="6" t="str">
        <f>IFERROR(__xludf.DUMMYFUNCTION("""COMPUTED_VALUE"""),"Kaiden")</f>
        <v>Kaiden</v>
      </c>
      <c r="E677" s="6" t="str">
        <f>IFERROR(__xludf.DUMMYFUNCTION("""COMPUTED_VALUE"""),"")</f>
        <v/>
      </c>
      <c r="F677" s="6" t="str">
        <f>IFERROR(__xludf.DUMMYFUNCTION("""COMPUTED_VALUE"""),"Szpitalak")</f>
        <v>Szpitalak</v>
      </c>
      <c r="G677" s="6" t="str">
        <f>IFERROR(__xludf.DUMMYFUNCTION("""COMPUTED_VALUE"""),"01/21/2014")</f>
        <v>01/21/2014</v>
      </c>
      <c r="H677" s="6" t="str">
        <f>IFERROR(__xludf.DUMMYFUNCTION("""COMPUTED_VALUE"""),"male")</f>
        <v>male</v>
      </c>
      <c r="I677" s="6" t="str">
        <f>IFERROR(__xludf.DUMMYFUNCTION("""COMPUTED_VALUE"""),"Middle School")</f>
        <v>Middle School</v>
      </c>
      <c r="J677" s="6" t="str">
        <f>IFERROR(__xludf.DUMMYFUNCTION("""COMPUTED_VALUE"""),"6")</f>
        <v>6</v>
      </c>
      <c r="K677" s="6" t="str">
        <f>IFERROR(__xludf.DUMMYFUNCTION("""COMPUTED_VALUE"""),"kaiden.szpitalak@alpha.school")</f>
        <v>kaiden.szpitalak@alpha.school</v>
      </c>
      <c r="L677" s="6" t="str">
        <f>IFERROR(__xludf.DUMMYFUNCTION("""COMPUTED_VALUE"""),"Alpha School Austin")</f>
        <v>Alpha School Austin</v>
      </c>
      <c r="M677" s="6" t="str">
        <f>IFERROR(__xludf.DUMMYFUNCTION("""COMPUTED_VALUE"""),"")</f>
        <v/>
      </c>
      <c r="N677" s="6" t="str">
        <f>IFERROR(__xludf.DUMMYFUNCTION("""COMPUTED_VALUE"""),"")</f>
        <v/>
      </c>
      <c r="O677" s="87" t="str">
        <f>IFERROR(__xludf.DUMMYFUNCTION("""COMPUTED_VALUE"""),"https://drive.google.com/drive/folders/10T2cTQHqEJZqE-st6uFKPoI?usp=share_link")</f>
        <v>https://drive.google.com/drive/folders/10T2cTQHqEJZqE-st6uFKPoI?usp=share_link</v>
      </c>
      <c r="P677" s="6" t="str">
        <f>IFERROR(__xludf.DUMMYFUNCTION("""COMPUTED_VALUE"""),"Kaiden Szpitalak")</f>
        <v>Kaiden Szpitalak</v>
      </c>
      <c r="Q677" s="6" t="str">
        <f>IFERROR(__xludf.DUMMYFUNCTION("""COMPUTED_VALUE"""),"MS")</f>
        <v>MS</v>
      </c>
      <c r="R677" s="6">
        <f>IFERROR(__xludf.DUMMYFUNCTION("""COMPUTED_VALUE"""),0.0)</f>
        <v>0</v>
      </c>
      <c r="S677" s="6" t="str">
        <f>IFERROR(__xludf.DUMMYFUNCTION("""COMPUTED_VALUE"""),"Lauren Hammond")</f>
        <v>Lauren Hammond</v>
      </c>
      <c r="T677" s="6" t="str">
        <f>IFERROR(__xludf.DUMMYFUNCTION("""COMPUTED_VALUE"""),"lauren.hammond@alpha.school")</f>
        <v>lauren.hammond@alpha.school</v>
      </c>
      <c r="U677" s="6" t="str">
        <f>IFERROR(__xludf.DUMMYFUNCTION("""COMPUTED_VALUE"""),"6")</f>
        <v>6</v>
      </c>
      <c r="V677" s="6" t="str">
        <f>IFERROR(__xludf.DUMMYFUNCTION("""COMPUTED_VALUE"""),"")</f>
        <v/>
      </c>
      <c r="W677" s="6" t="str">
        <f>IFERROR(__xludf.DUMMYFUNCTION("""COMPUTED_VALUE"""),"[]")</f>
        <v>[]</v>
      </c>
      <c r="X677" s="6" t="str">
        <f>IFERROR(__xludf.DUMMYFUNCTION("""COMPUTED_VALUE"""),"Enrolled")</f>
        <v>Enrolled</v>
      </c>
    </row>
    <row r="678">
      <c r="A678" s="6" t="str">
        <f>IFERROR(__xludf.DUMMYFUNCTION("""COMPUTED_VALUE"""),"001-0861")</f>
        <v>001-0861</v>
      </c>
      <c r="B678" s="6" t="str">
        <f>IFERROR(__xludf.DUMMYFUNCTION("""COMPUTED_VALUE"""),"1")</f>
        <v>1</v>
      </c>
      <c r="C678" s="6" t="str">
        <f>IFERROR(__xludf.DUMMYFUNCTION("""COMPUTED_VALUE"""),"0861")</f>
        <v>0861</v>
      </c>
      <c r="D678" s="6" t="str">
        <f>IFERROR(__xludf.DUMMYFUNCTION("""COMPUTED_VALUE"""),"Rivers")</f>
        <v>Rivers</v>
      </c>
      <c r="E678" s="6" t="str">
        <f>IFERROR(__xludf.DUMMYFUNCTION("""COMPUTED_VALUE"""),"Rivers")</f>
        <v>Rivers</v>
      </c>
      <c r="F678" s="6" t="str">
        <f>IFERROR(__xludf.DUMMYFUNCTION("""COMPUTED_VALUE"""),"Morgan")</f>
        <v>Morgan</v>
      </c>
      <c r="G678" s="6" t="str">
        <f>IFERROR(__xludf.DUMMYFUNCTION("""COMPUTED_VALUE"""),"08/05/2020")</f>
        <v>08/05/2020</v>
      </c>
      <c r="H678" s="6" t="str">
        <f>IFERROR(__xludf.DUMMYFUNCTION("""COMPUTED_VALUE"""),"male")</f>
        <v>male</v>
      </c>
      <c r="I678" s="6" t="str">
        <f>IFERROR(__xludf.DUMMYFUNCTION("""COMPUTED_VALUE"""),"Wonder Lab")</f>
        <v>Wonder Lab</v>
      </c>
      <c r="J678" s="6" t="str">
        <f>IFERROR(__xludf.DUMMYFUNCTION("""COMPUTED_VALUE"""),"PK")</f>
        <v>PK</v>
      </c>
      <c r="K678" s="6" t="str">
        <f>IFERROR(__xludf.DUMMYFUNCTION("""COMPUTED_VALUE"""),"rivers.morgan@alpha.school")</f>
        <v>rivers.morgan@alpha.school</v>
      </c>
      <c r="L678" s="6" t="str">
        <f>IFERROR(__xludf.DUMMYFUNCTION("""COMPUTED_VALUE"""),"Alpha School Austin")</f>
        <v>Alpha School Austin</v>
      </c>
      <c r="M678" s="6" t="str">
        <f>IFERROR(__xludf.DUMMYFUNCTION("""COMPUTED_VALUE"""),"")</f>
        <v/>
      </c>
      <c r="N678" s="6" t="str">
        <f>IFERROR(__xludf.DUMMYFUNCTION("""COMPUTED_VALUE"""),"")</f>
        <v/>
      </c>
      <c r="O678" s="87" t="str">
        <f>IFERROR(__xludf.DUMMYFUNCTION("""COMPUTED_VALUE"""),"https://drive.google.com/drive/folders/10T2cTQHqEJZqE-st6uFKPoI?usp=share_link")</f>
        <v>https://drive.google.com/drive/folders/10T2cTQHqEJZqE-st6uFKPoI?usp=share_link</v>
      </c>
      <c r="P678" s="6" t="str">
        <f>IFERROR(__xludf.DUMMYFUNCTION("""COMPUTED_VALUE"""),"Rivers Morgan")</f>
        <v>Rivers Morgan</v>
      </c>
      <c r="Q678" s="6" t="str">
        <f>IFERROR(__xludf.DUMMYFUNCTION("""COMPUTED_VALUE"""),"WL")</f>
        <v>WL</v>
      </c>
      <c r="R678" s="6">
        <f>IFERROR(__xludf.DUMMYFUNCTION("""COMPUTED_VALUE"""),-1.0)</f>
        <v>-1</v>
      </c>
      <c r="S678" s="6" t="str">
        <f>IFERROR(__xludf.DUMMYFUNCTION("""COMPUTED_VALUE"""),"Mallory Carranza")</f>
        <v>Mallory Carranza</v>
      </c>
      <c r="T678" s="6" t="str">
        <f>IFERROR(__xludf.DUMMYFUNCTION("""COMPUTED_VALUE"""),"mallory.carranza@alpha.school")</f>
        <v>mallory.carranza@alpha.school</v>
      </c>
      <c r="U678" s="6" t="str">
        <f>IFERROR(__xludf.DUMMYFUNCTION("""COMPUTED_VALUE"""),"PK")</f>
        <v>PK</v>
      </c>
      <c r="V678" s="6" t="str">
        <f>IFERROR(__xludf.DUMMYFUNCTION("""COMPUTED_VALUE"""),"")</f>
        <v/>
      </c>
      <c r="W678" s="6" t="str">
        <f>IFERROR(__xludf.DUMMYFUNCTION("""COMPUTED_VALUE"""),"[]")</f>
        <v>[]</v>
      </c>
      <c r="X678" s="6" t="str">
        <f>IFERROR(__xludf.DUMMYFUNCTION("""COMPUTED_VALUE"""),"Enrolled")</f>
        <v>Enrolled</v>
      </c>
    </row>
    <row r="679">
      <c r="A679" s="6" t="str">
        <f>IFERROR(__xludf.DUMMYFUNCTION("""COMPUTED_VALUE"""),"001-0866")</f>
        <v>001-0866</v>
      </c>
      <c r="B679" s="6" t="str">
        <f>IFERROR(__xludf.DUMMYFUNCTION("""COMPUTED_VALUE"""),"1")</f>
        <v>1</v>
      </c>
      <c r="C679" s="6" t="str">
        <f>IFERROR(__xludf.DUMMYFUNCTION("""COMPUTED_VALUE"""),"0866")</f>
        <v>0866</v>
      </c>
      <c r="D679" s="6" t="str">
        <f>IFERROR(__xludf.DUMMYFUNCTION("""COMPUTED_VALUE"""),"Aheli")</f>
        <v>Aheli</v>
      </c>
      <c r="E679" s="6" t="str">
        <f>IFERROR(__xludf.DUMMYFUNCTION("""COMPUTED_VALUE"""),"")</f>
        <v/>
      </c>
      <c r="F679" s="6" t="str">
        <f>IFERROR(__xludf.DUMMYFUNCTION("""COMPUTED_VALUE"""),"Shah")</f>
        <v>Shah</v>
      </c>
      <c r="G679" s="6" t="str">
        <f>IFERROR(__xludf.DUMMYFUNCTION("""COMPUTED_VALUE"""),"12/17/2010")</f>
        <v>12/17/2010</v>
      </c>
      <c r="H679" s="6" t="str">
        <f>IFERROR(__xludf.DUMMYFUNCTION("""COMPUTED_VALUE"""),"female")</f>
        <v>female</v>
      </c>
      <c r="I679" s="6" t="str">
        <f>IFERROR(__xludf.DUMMYFUNCTION("""COMPUTED_VALUE"""),"High School")</f>
        <v>High School</v>
      </c>
      <c r="J679" s="6" t="str">
        <f>IFERROR(__xludf.DUMMYFUNCTION("""COMPUTED_VALUE"""),"9")</f>
        <v>9</v>
      </c>
      <c r="K679" s="6" t="str">
        <f>IFERROR(__xludf.DUMMYFUNCTION("""COMPUTED_VALUE"""),"aheli.shah@alpha.school")</f>
        <v>aheli.shah@alpha.school</v>
      </c>
      <c r="L679" s="6" t="str">
        <f>IFERROR(__xludf.DUMMYFUNCTION("""COMPUTED_VALUE"""),"Alpha High School")</f>
        <v>Alpha High School</v>
      </c>
      <c r="M679" s="6" t="str">
        <f>IFERROR(__xludf.DUMMYFUNCTION("""COMPUTED_VALUE"""),"")</f>
        <v/>
      </c>
      <c r="N679" s="6" t="str">
        <f>IFERROR(__xludf.DUMMYFUNCTION("""COMPUTED_VALUE"""),"")</f>
        <v/>
      </c>
      <c r="O679" s="87" t="str">
        <f>IFERROR(__xludf.DUMMYFUNCTION("""COMPUTED_VALUE"""),"https://drive.google.com/drive/folders/10T2cTQHqEJZqE-st6uFKPoI?usp=share_link")</f>
        <v>https://drive.google.com/drive/folders/10T2cTQHqEJZqE-st6uFKPoI?usp=share_link</v>
      </c>
      <c r="P679" s="6" t="str">
        <f>IFERROR(__xludf.DUMMYFUNCTION("""COMPUTED_VALUE"""),"Aheli Shah")</f>
        <v>Aheli Shah</v>
      </c>
      <c r="Q679" s="6" t="str">
        <f>IFERROR(__xludf.DUMMYFUNCTION("""COMPUTED_VALUE"""),"HS")</f>
        <v>HS</v>
      </c>
      <c r="R679" s="6">
        <f>IFERROR(__xludf.DUMMYFUNCTION("""COMPUTED_VALUE"""),0.0)</f>
        <v>0</v>
      </c>
      <c r="S679" s="6" t="str">
        <f>IFERROR(__xludf.DUMMYFUNCTION("""COMPUTED_VALUE"""),"Effy Phillips")</f>
        <v>Effy Phillips</v>
      </c>
      <c r="T679" s="6" t="str">
        <f>IFERROR(__xludf.DUMMYFUNCTION("""COMPUTED_VALUE"""),"effy.phillips@alpha.school")</f>
        <v>effy.phillips@alpha.school</v>
      </c>
      <c r="U679" s="6" t="str">
        <f>IFERROR(__xludf.DUMMYFUNCTION("""COMPUTED_VALUE"""),"9")</f>
        <v>9</v>
      </c>
      <c r="V679" s="6" t="str">
        <f>IFERROR(__xludf.DUMMYFUNCTION("""COMPUTED_VALUE"""),"")</f>
        <v/>
      </c>
      <c r="W679" s="6" t="str">
        <f>IFERROR(__xludf.DUMMYFUNCTION("""COMPUTED_VALUE"""),"[]")</f>
        <v>[]</v>
      </c>
      <c r="X679" s="6" t="str">
        <f>IFERROR(__xludf.DUMMYFUNCTION("""COMPUTED_VALUE"""),"Enrolled")</f>
        <v>Enrolled</v>
      </c>
    </row>
    <row r="680">
      <c r="A680" s="6" t="str">
        <f>IFERROR(__xludf.DUMMYFUNCTION("""COMPUTED_VALUE"""),"001-0867")</f>
        <v>001-0867</v>
      </c>
      <c r="B680" s="6" t="str">
        <f>IFERROR(__xludf.DUMMYFUNCTION("""COMPUTED_VALUE"""),"1")</f>
        <v>1</v>
      </c>
      <c r="C680" s="6" t="str">
        <f>IFERROR(__xludf.DUMMYFUNCTION("""COMPUTED_VALUE"""),"0867")</f>
        <v>0867</v>
      </c>
      <c r="D680" s="6" t="str">
        <f>IFERROR(__xludf.DUMMYFUNCTION("""COMPUTED_VALUE"""),"Kanhai")</f>
        <v>Kanhai</v>
      </c>
      <c r="E680" s="6" t="str">
        <f>IFERROR(__xludf.DUMMYFUNCTION("""COMPUTED_VALUE"""),"")</f>
        <v/>
      </c>
      <c r="F680" s="6" t="str">
        <f>IFERROR(__xludf.DUMMYFUNCTION("""COMPUTED_VALUE"""),"Shah")</f>
        <v>Shah</v>
      </c>
      <c r="G680" s="6" t="str">
        <f>IFERROR(__xludf.DUMMYFUNCTION("""COMPUTED_VALUE"""),"12/29/2012")</f>
        <v>12/29/2012</v>
      </c>
      <c r="H680" s="6" t="str">
        <f>IFERROR(__xludf.DUMMYFUNCTION("""COMPUTED_VALUE"""),"male")</f>
        <v>male</v>
      </c>
      <c r="I680" s="6" t="str">
        <f>IFERROR(__xludf.DUMMYFUNCTION("""COMPUTED_VALUE"""),"Middle School")</f>
        <v>Middle School</v>
      </c>
      <c r="J680" s="6" t="str">
        <f>IFERROR(__xludf.DUMMYFUNCTION("""COMPUTED_VALUE"""),"8")</f>
        <v>8</v>
      </c>
      <c r="K680" s="6" t="str">
        <f>IFERROR(__xludf.DUMMYFUNCTION("""COMPUTED_VALUE"""),"kanhai.shah@alpha.school")</f>
        <v>kanhai.shah@alpha.school</v>
      </c>
      <c r="L680" s="6" t="str">
        <f>IFERROR(__xludf.DUMMYFUNCTION("""COMPUTED_VALUE"""),"Alpha School Austin")</f>
        <v>Alpha School Austin</v>
      </c>
      <c r="M680" s="6" t="str">
        <f>IFERROR(__xludf.DUMMYFUNCTION("""COMPUTED_VALUE"""),"")</f>
        <v/>
      </c>
      <c r="N680" s="6" t="str">
        <f>IFERROR(__xludf.DUMMYFUNCTION("""COMPUTED_VALUE"""),"")</f>
        <v/>
      </c>
      <c r="O680" s="87" t="str">
        <f>IFERROR(__xludf.DUMMYFUNCTION("""COMPUTED_VALUE"""),"https://drive.google.com/drive/folders/10T2cTQHqEJZqE-st6uFKPoI?usp=share_link")</f>
        <v>https://drive.google.com/drive/folders/10T2cTQHqEJZqE-st6uFKPoI?usp=share_link</v>
      </c>
      <c r="P680" s="6" t="str">
        <f>IFERROR(__xludf.DUMMYFUNCTION("""COMPUTED_VALUE"""),"Kanhai Shah")</f>
        <v>Kanhai Shah</v>
      </c>
      <c r="Q680" s="6" t="str">
        <f>IFERROR(__xludf.DUMMYFUNCTION("""COMPUTED_VALUE"""),"MS")</f>
        <v>MS</v>
      </c>
      <c r="R680" s="6">
        <f>IFERROR(__xludf.DUMMYFUNCTION("""COMPUTED_VALUE"""),0.0)</f>
        <v>0</v>
      </c>
      <c r="S680" s="6" t="str">
        <f>IFERROR(__xludf.DUMMYFUNCTION("""COMPUTED_VALUE"""),"Israel Adesina")</f>
        <v>Israel Adesina</v>
      </c>
      <c r="T680" s="6" t="str">
        <f>IFERROR(__xludf.DUMMYFUNCTION("""COMPUTED_VALUE"""),"israel.adesina@alpha.school")</f>
        <v>israel.adesina@alpha.school</v>
      </c>
      <c r="U680" s="6" t="str">
        <f>IFERROR(__xludf.DUMMYFUNCTION("""COMPUTED_VALUE"""),"8")</f>
        <v>8</v>
      </c>
      <c r="V680" s="6" t="str">
        <f>IFERROR(__xludf.DUMMYFUNCTION("""COMPUTED_VALUE"""),"")</f>
        <v/>
      </c>
      <c r="W680" s="6" t="str">
        <f>IFERROR(__xludf.DUMMYFUNCTION("""COMPUTED_VALUE"""),"[]")</f>
        <v>[]</v>
      </c>
      <c r="X680" s="6" t="str">
        <f>IFERROR(__xludf.DUMMYFUNCTION("""COMPUTED_VALUE"""),"Enrolled")</f>
        <v>Enrolled</v>
      </c>
    </row>
    <row r="681">
      <c r="A681" s="6" t="str">
        <f>IFERROR(__xludf.DUMMYFUNCTION("""COMPUTED_VALUE"""),"001-0869")</f>
        <v>001-0869</v>
      </c>
      <c r="B681" s="6" t="str">
        <f>IFERROR(__xludf.DUMMYFUNCTION("""COMPUTED_VALUE"""),"1")</f>
        <v>1</v>
      </c>
      <c r="C681" s="6" t="str">
        <f>IFERROR(__xludf.DUMMYFUNCTION("""COMPUTED_VALUE"""),"0869")</f>
        <v>0869</v>
      </c>
      <c r="D681" s="6" t="str">
        <f>IFERROR(__xludf.DUMMYFUNCTION("""COMPUTED_VALUE"""),"Theodore")</f>
        <v>Theodore</v>
      </c>
      <c r="E681" s="6" t="str">
        <f>IFERROR(__xludf.DUMMYFUNCTION("""COMPUTED_VALUE"""),"Teddy")</f>
        <v>Teddy</v>
      </c>
      <c r="F681" s="6" t="str">
        <f>IFERROR(__xludf.DUMMYFUNCTION("""COMPUTED_VALUE"""),"Dipaola")</f>
        <v>Dipaola</v>
      </c>
      <c r="G681" s="6" t="str">
        <f>IFERROR(__xludf.DUMMYFUNCTION("""COMPUTED_VALUE"""),"10/27/2019")</f>
        <v>10/27/2019</v>
      </c>
      <c r="H681" s="6" t="str">
        <f>IFERROR(__xludf.DUMMYFUNCTION("""COMPUTED_VALUE"""),"male")</f>
        <v>male</v>
      </c>
      <c r="I681" s="6" t="str">
        <f>IFERROR(__xludf.DUMMYFUNCTION("""COMPUTED_VALUE"""),"Learning Lab")</f>
        <v>Learning Lab</v>
      </c>
      <c r="J681" s="6" t="str">
        <f>IFERROR(__xludf.DUMMYFUNCTION("""COMPUTED_VALUE"""),"K")</f>
        <v>K</v>
      </c>
      <c r="K681" s="6" t="str">
        <f>IFERROR(__xludf.DUMMYFUNCTION("""COMPUTED_VALUE"""),"teddy.dipaola@alpha.school")</f>
        <v>teddy.dipaola@alpha.school</v>
      </c>
      <c r="L681" s="6" t="str">
        <f>IFERROR(__xludf.DUMMYFUNCTION("""COMPUTED_VALUE"""),"Alpha School Austin")</f>
        <v>Alpha School Austin</v>
      </c>
      <c r="M681" s="6" t="str">
        <f>IFERROR(__xludf.DUMMYFUNCTION("""COMPUTED_VALUE"""),"")</f>
        <v/>
      </c>
      <c r="N681" s="6" t="str">
        <f>IFERROR(__xludf.DUMMYFUNCTION("""COMPUTED_VALUE"""),"")</f>
        <v/>
      </c>
      <c r="O681" s="87" t="str">
        <f>IFERROR(__xludf.DUMMYFUNCTION("""COMPUTED_VALUE"""),"https://drive.google.com/drive/folders/10T2cTQHqEJZqE-st6uFKPoI?usp=share_link")</f>
        <v>https://drive.google.com/drive/folders/10T2cTQHqEJZqE-st6uFKPoI?usp=share_link</v>
      </c>
      <c r="P681" s="6" t="str">
        <f>IFERROR(__xludf.DUMMYFUNCTION("""COMPUTED_VALUE"""),"Teddy Dipaola")</f>
        <v>Teddy Dipaola</v>
      </c>
      <c r="Q681" s="6" t="str">
        <f>IFERROR(__xludf.DUMMYFUNCTION("""COMPUTED_VALUE"""),"LL")</f>
        <v>LL</v>
      </c>
      <c r="R681" s="6">
        <f>IFERROR(__xludf.DUMMYFUNCTION("""COMPUTED_VALUE"""),0.0)</f>
        <v>0</v>
      </c>
      <c r="S681" s="6" t="str">
        <f>IFERROR(__xludf.DUMMYFUNCTION("""COMPUTED_VALUE"""),"Cole Dougherty")</f>
        <v>Cole Dougherty</v>
      </c>
      <c r="T681" s="6" t="str">
        <f>IFERROR(__xludf.DUMMYFUNCTION("""COMPUTED_VALUE"""),"cole.dougherty@alpha.school")</f>
        <v>cole.dougherty@alpha.school</v>
      </c>
      <c r="U681" s="6" t="str">
        <f>IFERROR(__xludf.DUMMYFUNCTION("""COMPUTED_VALUE"""),"K")</f>
        <v>K</v>
      </c>
      <c r="V681" s="6" t="str">
        <f>IFERROR(__xludf.DUMMYFUNCTION("""COMPUTED_VALUE"""),"")</f>
        <v/>
      </c>
      <c r="W681" s="6" t="str">
        <f>IFERROR(__xludf.DUMMYFUNCTION("""COMPUTED_VALUE"""),"[]")</f>
        <v>[]</v>
      </c>
      <c r="X681" s="6" t="str">
        <f>IFERROR(__xludf.DUMMYFUNCTION("""COMPUTED_VALUE"""),"Enrolled")</f>
        <v>Enrolled</v>
      </c>
    </row>
    <row r="682">
      <c r="A682" s="6" t="str">
        <f>IFERROR(__xludf.DUMMYFUNCTION("""COMPUTED_VALUE"""),"001-0879")</f>
        <v>001-0879</v>
      </c>
      <c r="B682" s="6" t="str">
        <f>IFERROR(__xludf.DUMMYFUNCTION("""COMPUTED_VALUE"""),"1")</f>
        <v>1</v>
      </c>
      <c r="C682" s="6" t="str">
        <f>IFERROR(__xludf.DUMMYFUNCTION("""COMPUTED_VALUE"""),"0879")</f>
        <v>0879</v>
      </c>
      <c r="D682" s="6" t="str">
        <f>IFERROR(__xludf.DUMMYFUNCTION("""COMPUTED_VALUE"""),"Test")</f>
        <v>Test</v>
      </c>
      <c r="E682" s="6" t="str">
        <f>IFERROR(__xludf.DUMMYFUNCTION("""COMPUTED_VALUE"""),"")</f>
        <v/>
      </c>
      <c r="F682" s="6" t="str">
        <f>IFERROR(__xludf.DUMMYFUNCTION("""COMPUTED_VALUE"""),"Account9")</f>
        <v>Account9</v>
      </c>
      <c r="G682" s="6" t="str">
        <f>IFERROR(__xludf.DUMMYFUNCTION("""COMPUTED_VALUE"""),"08/07/2015")</f>
        <v>08/07/2015</v>
      </c>
      <c r="H682" s="6" t="str">
        <f>IFERROR(__xludf.DUMMYFUNCTION("""COMPUTED_VALUE"""),"M")</f>
        <v>M</v>
      </c>
      <c r="I682" s="6" t="str">
        <f>IFERROR(__xludf.DUMMYFUNCTION("""COMPUTED_VALUE"""),"Level 2")</f>
        <v>Level 2</v>
      </c>
      <c r="J682" s="6" t="str">
        <f>IFERROR(__xludf.DUMMYFUNCTION("""COMPUTED_VALUE"""),"5")</f>
        <v>5</v>
      </c>
      <c r="K682" s="6" t="str">
        <f>IFERROR(__xludf.DUMMYFUNCTION("""COMPUTED_VALUE"""),"test.account9@alpha.school")</f>
        <v>test.account9@alpha.school</v>
      </c>
      <c r="L682" s="6" t="str">
        <f>IFERROR(__xludf.DUMMYFUNCTION("""COMPUTED_VALUE"""),"Alpha School Austin")</f>
        <v>Alpha School Austin</v>
      </c>
      <c r="M682" s="6" t="str">
        <f>IFERROR(__xludf.DUMMYFUNCTION("""COMPUTED_VALUE"""),"Mock")</f>
        <v>Mock</v>
      </c>
      <c r="N682" s="6" t="str">
        <f>IFERROR(__xludf.DUMMYFUNCTION("""COMPUTED_VALUE"""),"")</f>
        <v/>
      </c>
      <c r="O682" s="87" t="str">
        <f>IFERROR(__xludf.DUMMYFUNCTION("""COMPUTED_VALUE"""),"https://drive.google.com/drive/folders/10T2cTQHqEJZqE-st6uFKPoI?usp=share_link")</f>
        <v>https://drive.google.com/drive/folders/10T2cTQHqEJZqE-st6uFKPoI?usp=share_link</v>
      </c>
      <c r="P682" s="6" t="str">
        <f>IFERROR(__xludf.DUMMYFUNCTION("""COMPUTED_VALUE"""),"Test Account9")</f>
        <v>Test Account9</v>
      </c>
      <c r="Q682" s="6" t="str">
        <f>IFERROR(__xludf.DUMMYFUNCTION("""COMPUTED_VALUE"""),"L2")</f>
        <v>L2</v>
      </c>
      <c r="R682" s="6">
        <f>IFERROR(__xludf.DUMMYFUNCTION("""COMPUTED_VALUE"""),2.0)</f>
        <v>2</v>
      </c>
      <c r="S682" s="6" t="str">
        <f>IFERROR(__xludf.DUMMYFUNCTION("""COMPUTED_VALUE""")," ")</f>
        <v> </v>
      </c>
      <c r="T682" s="6" t="str">
        <f>IFERROR(__xludf.DUMMYFUNCTION("""COMPUTED_VALUE"""),"")</f>
        <v/>
      </c>
      <c r="U682" s="6" t="str">
        <f>IFERROR(__xludf.DUMMYFUNCTION("""COMPUTED_VALUE"""),"5")</f>
        <v>5</v>
      </c>
      <c r="V682" s="6" t="str">
        <f>IFERROR(__xludf.DUMMYFUNCTION("""COMPUTED_VALUE"""),"")</f>
        <v/>
      </c>
      <c r="W682" s="6" t="str">
        <f>IFERROR(__xludf.DUMMYFUNCTION("""COMPUTED_VALUE"""),"[]")</f>
        <v>[]</v>
      </c>
      <c r="X682" s="6" t="str">
        <f>IFERROR(__xludf.DUMMYFUNCTION("""COMPUTED_VALUE"""),"Enrolled")</f>
        <v>Enrolled</v>
      </c>
    </row>
    <row r="683">
      <c r="A683" s="6" t="str">
        <f>IFERROR(__xludf.DUMMYFUNCTION("""COMPUTED_VALUE"""),"001-0884")</f>
        <v>001-0884</v>
      </c>
      <c r="B683" s="6" t="str">
        <f>IFERROR(__xludf.DUMMYFUNCTION("""COMPUTED_VALUE"""),"1")</f>
        <v>1</v>
      </c>
      <c r="C683" s="6" t="str">
        <f>IFERROR(__xludf.DUMMYFUNCTION("""COMPUTED_VALUE"""),"0884")</f>
        <v>0884</v>
      </c>
      <c r="D683" s="6" t="str">
        <f>IFERROR(__xludf.DUMMYFUNCTION("""COMPUTED_VALUE"""),"Test")</f>
        <v>Test</v>
      </c>
      <c r="E683" s="6" t="str">
        <f>IFERROR(__xludf.DUMMYFUNCTION("""COMPUTED_VALUE"""),"")</f>
        <v/>
      </c>
      <c r="F683" s="6" t="str">
        <f>IFERROR(__xludf.DUMMYFUNCTION("""COMPUTED_VALUE"""),"Account6")</f>
        <v>Account6</v>
      </c>
      <c r="G683" s="6" t="str">
        <f>IFERROR(__xludf.DUMMYFUNCTION("""COMPUTED_VALUE"""),"08/18/2022")</f>
        <v>08/18/2022</v>
      </c>
      <c r="H683" s="6" t="str">
        <f>IFERROR(__xludf.DUMMYFUNCTION("""COMPUTED_VALUE"""),"M")</f>
        <v>M</v>
      </c>
      <c r="I683" s="6" t="str">
        <f>IFERROR(__xludf.DUMMYFUNCTION("""COMPUTED_VALUE"""),"Middle School")</f>
        <v>Middle School</v>
      </c>
      <c r="J683" s="6" t="str">
        <f>IFERROR(__xludf.DUMMYFUNCTION("""COMPUTED_VALUE"""),"6")</f>
        <v>6</v>
      </c>
      <c r="K683" s="6" t="str">
        <f>IFERROR(__xludf.DUMMYFUNCTION("""COMPUTED_VALUE"""),"test.account6@alpha.school")</f>
        <v>test.account6@alpha.school</v>
      </c>
      <c r="L683" s="6" t="str">
        <f>IFERROR(__xludf.DUMMYFUNCTION("""COMPUTED_VALUE"""),"Alpha School Austin")</f>
        <v>Alpha School Austin</v>
      </c>
      <c r="M683" s="6" t="str">
        <f>IFERROR(__xludf.DUMMYFUNCTION("""COMPUTED_VALUE"""),"Mock")</f>
        <v>Mock</v>
      </c>
      <c r="N683" s="6" t="str">
        <f>IFERROR(__xludf.DUMMYFUNCTION("""COMPUTED_VALUE"""),"")</f>
        <v/>
      </c>
      <c r="O683" s="87" t="str">
        <f>IFERROR(__xludf.DUMMYFUNCTION("""COMPUTED_VALUE"""),"https://drive.google.com/drive/folders/10T2cTQHqEJZqE-st6uFKPoI?usp=share_link")</f>
        <v>https://drive.google.com/drive/folders/10T2cTQHqEJZqE-st6uFKPoI?usp=share_link</v>
      </c>
      <c r="P683" s="6" t="str">
        <f>IFERROR(__xludf.DUMMYFUNCTION("""COMPUTED_VALUE"""),"Test Account6")</f>
        <v>Test Account6</v>
      </c>
      <c r="Q683" s="6" t="str">
        <f>IFERROR(__xludf.DUMMYFUNCTION("""COMPUTED_VALUE"""),"MS")</f>
        <v>MS</v>
      </c>
      <c r="R683" s="6">
        <f>IFERROR(__xludf.DUMMYFUNCTION("""COMPUTED_VALUE"""),0.0)</f>
        <v>0</v>
      </c>
      <c r="S683" s="6" t="str">
        <f>IFERROR(__xludf.DUMMYFUNCTION("""COMPUTED_VALUE""")," ")</f>
        <v> </v>
      </c>
      <c r="T683" s="6" t="str">
        <f>IFERROR(__xludf.DUMMYFUNCTION("""COMPUTED_VALUE"""),"")</f>
        <v/>
      </c>
      <c r="U683" s="6" t="str">
        <f>IFERROR(__xludf.DUMMYFUNCTION("""COMPUTED_VALUE"""),"6")</f>
        <v>6</v>
      </c>
      <c r="V683" s="6" t="str">
        <f>IFERROR(__xludf.DUMMYFUNCTION("""COMPUTED_VALUE"""),"")</f>
        <v/>
      </c>
      <c r="W683" s="6" t="str">
        <f>IFERROR(__xludf.DUMMYFUNCTION("""COMPUTED_VALUE"""),"[]")</f>
        <v>[]</v>
      </c>
      <c r="X683" s="6" t="str">
        <f>IFERROR(__xludf.DUMMYFUNCTION("""COMPUTED_VALUE"""),"Enrolled")</f>
        <v>Enrolled</v>
      </c>
    </row>
    <row r="684">
      <c r="A684" s="6" t="str">
        <f>IFERROR(__xludf.DUMMYFUNCTION("""COMPUTED_VALUE"""),"001-0885")</f>
        <v>001-0885</v>
      </c>
      <c r="B684" s="6" t="str">
        <f>IFERROR(__xludf.DUMMYFUNCTION("""COMPUTED_VALUE"""),"1")</f>
        <v>1</v>
      </c>
      <c r="C684" s="6" t="str">
        <f>IFERROR(__xludf.DUMMYFUNCTION("""COMPUTED_VALUE"""),"0885")</f>
        <v>0885</v>
      </c>
      <c r="D684" s="6" t="str">
        <f>IFERROR(__xludf.DUMMYFUNCTION("""COMPUTED_VALUE"""),"Test")</f>
        <v>Test</v>
      </c>
      <c r="E684" s="6" t="str">
        <f>IFERROR(__xludf.DUMMYFUNCTION("""COMPUTED_VALUE"""),"")</f>
        <v/>
      </c>
      <c r="F684" s="6" t="str">
        <f>IFERROR(__xludf.DUMMYFUNCTION("""COMPUTED_VALUE"""),"Account5")</f>
        <v>Account5</v>
      </c>
      <c r="G684" s="6" t="str">
        <f>IFERROR(__xludf.DUMMYFUNCTION("""COMPUTED_VALUE"""),"08/27/2015")</f>
        <v>08/27/2015</v>
      </c>
      <c r="H684" s="6" t="str">
        <f>IFERROR(__xludf.DUMMYFUNCTION("""COMPUTED_VALUE"""),"M")</f>
        <v>M</v>
      </c>
      <c r="I684" s="6" t="str">
        <f>IFERROR(__xludf.DUMMYFUNCTION("""COMPUTED_VALUE"""),"Middle School")</f>
        <v>Middle School</v>
      </c>
      <c r="J684" s="6" t="str">
        <f>IFERROR(__xludf.DUMMYFUNCTION("""COMPUTED_VALUE"""),"6")</f>
        <v>6</v>
      </c>
      <c r="K684" s="6" t="str">
        <f>IFERROR(__xludf.DUMMYFUNCTION("""COMPUTED_VALUE"""),"test.account5@alpha.school")</f>
        <v>test.account5@alpha.school</v>
      </c>
      <c r="L684" s="6" t="str">
        <f>IFERROR(__xludf.DUMMYFUNCTION("""COMPUTED_VALUE"""),"Alpha School Austin")</f>
        <v>Alpha School Austin</v>
      </c>
      <c r="M684" s="6" t="str">
        <f>IFERROR(__xludf.DUMMYFUNCTION("""COMPUTED_VALUE"""),"Mock")</f>
        <v>Mock</v>
      </c>
      <c r="N684" s="6" t="str">
        <f>IFERROR(__xludf.DUMMYFUNCTION("""COMPUTED_VALUE"""),"")</f>
        <v/>
      </c>
      <c r="O684" s="87" t="str">
        <f>IFERROR(__xludf.DUMMYFUNCTION("""COMPUTED_VALUE"""),"https://drive.google.com/drive/folders/10T2cTQHqEJZqE-st6uFKPoI?usp=share_link")</f>
        <v>https://drive.google.com/drive/folders/10T2cTQHqEJZqE-st6uFKPoI?usp=share_link</v>
      </c>
      <c r="P684" s="6" t="str">
        <f>IFERROR(__xludf.DUMMYFUNCTION("""COMPUTED_VALUE"""),"Test Account5")</f>
        <v>Test Account5</v>
      </c>
      <c r="Q684" s="6" t="str">
        <f>IFERROR(__xludf.DUMMYFUNCTION("""COMPUTED_VALUE"""),"MS")</f>
        <v>MS</v>
      </c>
      <c r="R684" s="6">
        <f>IFERROR(__xludf.DUMMYFUNCTION("""COMPUTED_VALUE"""),0.0)</f>
        <v>0</v>
      </c>
      <c r="S684" s="6" t="str">
        <f>IFERROR(__xludf.DUMMYFUNCTION("""COMPUTED_VALUE""")," ")</f>
        <v> </v>
      </c>
      <c r="T684" s="6" t="str">
        <f>IFERROR(__xludf.DUMMYFUNCTION("""COMPUTED_VALUE"""),"")</f>
        <v/>
      </c>
      <c r="U684" s="6" t="str">
        <f>IFERROR(__xludf.DUMMYFUNCTION("""COMPUTED_VALUE"""),"6")</f>
        <v>6</v>
      </c>
      <c r="V684" s="6" t="str">
        <f>IFERROR(__xludf.DUMMYFUNCTION("""COMPUTED_VALUE"""),"")</f>
        <v/>
      </c>
      <c r="W684" s="6" t="str">
        <f>IFERROR(__xludf.DUMMYFUNCTION("""COMPUTED_VALUE"""),"[]")</f>
        <v>[]</v>
      </c>
      <c r="X684" s="6" t="str">
        <f>IFERROR(__xludf.DUMMYFUNCTION("""COMPUTED_VALUE"""),"Enrolled")</f>
        <v>Enrolled</v>
      </c>
    </row>
    <row r="685">
      <c r="A685" s="6" t="str">
        <f>IFERROR(__xludf.DUMMYFUNCTION("""COMPUTED_VALUE"""),"001-0886")</f>
        <v>001-0886</v>
      </c>
      <c r="B685" s="6" t="str">
        <f>IFERROR(__xludf.DUMMYFUNCTION("""COMPUTED_VALUE"""),"1")</f>
        <v>1</v>
      </c>
      <c r="C685" s="6" t="str">
        <f>IFERROR(__xludf.DUMMYFUNCTION("""COMPUTED_VALUE"""),"0886")</f>
        <v>0886</v>
      </c>
      <c r="D685" s="6" t="str">
        <f>IFERROR(__xludf.DUMMYFUNCTION("""COMPUTED_VALUE"""),"Test")</f>
        <v>Test</v>
      </c>
      <c r="E685" s="6" t="str">
        <f>IFERROR(__xludf.DUMMYFUNCTION("""COMPUTED_VALUE"""),"")</f>
        <v/>
      </c>
      <c r="F685" s="6" t="str">
        <f>IFERROR(__xludf.DUMMYFUNCTION("""COMPUTED_VALUE"""),"Account4")</f>
        <v>Account4</v>
      </c>
      <c r="G685" s="6" t="str">
        <f>IFERROR(__xludf.DUMMYFUNCTION("""COMPUTED_VALUE"""),"08/28/2015")</f>
        <v>08/28/2015</v>
      </c>
      <c r="H685" s="6" t="str">
        <f>IFERROR(__xludf.DUMMYFUNCTION("""COMPUTED_VALUE"""),"F")</f>
        <v>F</v>
      </c>
      <c r="I685" s="6" t="str">
        <f>IFERROR(__xludf.DUMMYFUNCTION("""COMPUTED_VALUE"""),"Middle School")</f>
        <v>Middle School</v>
      </c>
      <c r="J685" s="6" t="str">
        <f>IFERROR(__xludf.DUMMYFUNCTION("""COMPUTED_VALUE"""),"6")</f>
        <v>6</v>
      </c>
      <c r="K685" s="6" t="str">
        <f>IFERROR(__xludf.DUMMYFUNCTION("""COMPUTED_VALUE"""),"test.account4@alpha.school")</f>
        <v>test.account4@alpha.school</v>
      </c>
      <c r="L685" s="6" t="str">
        <f>IFERROR(__xludf.DUMMYFUNCTION("""COMPUTED_VALUE"""),"Alpha School Austin")</f>
        <v>Alpha School Austin</v>
      </c>
      <c r="M685" s="6" t="str">
        <f>IFERROR(__xludf.DUMMYFUNCTION("""COMPUTED_VALUE"""),"Mock")</f>
        <v>Mock</v>
      </c>
      <c r="N685" s="6" t="str">
        <f>IFERROR(__xludf.DUMMYFUNCTION("""COMPUTED_VALUE"""),"")</f>
        <v/>
      </c>
      <c r="O685" s="87" t="str">
        <f>IFERROR(__xludf.DUMMYFUNCTION("""COMPUTED_VALUE"""),"https://drive.google.com/drive/folders/10T2cTQHqEJZqE-st6uFKPoI?usp=share_link")</f>
        <v>https://drive.google.com/drive/folders/10T2cTQHqEJZqE-st6uFKPoI?usp=share_link</v>
      </c>
      <c r="P685" s="6" t="str">
        <f>IFERROR(__xludf.DUMMYFUNCTION("""COMPUTED_VALUE"""),"Test Account4")</f>
        <v>Test Account4</v>
      </c>
      <c r="Q685" s="6" t="str">
        <f>IFERROR(__xludf.DUMMYFUNCTION("""COMPUTED_VALUE"""),"MS")</f>
        <v>MS</v>
      </c>
      <c r="R685" s="6">
        <f>IFERROR(__xludf.DUMMYFUNCTION("""COMPUTED_VALUE"""),0.0)</f>
        <v>0</v>
      </c>
      <c r="S685" s="6" t="str">
        <f>IFERROR(__xludf.DUMMYFUNCTION("""COMPUTED_VALUE""")," ")</f>
        <v> </v>
      </c>
      <c r="T685" s="6" t="str">
        <f>IFERROR(__xludf.DUMMYFUNCTION("""COMPUTED_VALUE"""),"")</f>
        <v/>
      </c>
      <c r="U685" s="6" t="str">
        <f>IFERROR(__xludf.DUMMYFUNCTION("""COMPUTED_VALUE"""),"6")</f>
        <v>6</v>
      </c>
      <c r="V685" s="6" t="str">
        <f>IFERROR(__xludf.DUMMYFUNCTION("""COMPUTED_VALUE"""),"")</f>
        <v/>
      </c>
      <c r="W685" s="6" t="str">
        <f>IFERROR(__xludf.DUMMYFUNCTION("""COMPUTED_VALUE"""),"[]")</f>
        <v>[]</v>
      </c>
      <c r="X685" s="6" t="str">
        <f>IFERROR(__xludf.DUMMYFUNCTION("""COMPUTED_VALUE"""),"Enrolled")</f>
        <v>Enrolled</v>
      </c>
    </row>
    <row r="686">
      <c r="A686" s="6" t="str">
        <f>IFERROR(__xludf.DUMMYFUNCTION("""COMPUTED_VALUE"""),"001-0887")</f>
        <v>001-0887</v>
      </c>
      <c r="B686" s="6" t="str">
        <f>IFERROR(__xludf.DUMMYFUNCTION("""COMPUTED_VALUE"""),"1")</f>
        <v>1</v>
      </c>
      <c r="C686" s="6" t="str">
        <f>IFERROR(__xludf.DUMMYFUNCTION("""COMPUTED_VALUE"""),"0887")</f>
        <v>0887</v>
      </c>
      <c r="D686" s="6" t="str">
        <f>IFERROR(__xludf.DUMMYFUNCTION("""COMPUTED_VALUE"""),"Test")</f>
        <v>Test</v>
      </c>
      <c r="E686" s="6" t="str">
        <f>IFERROR(__xludf.DUMMYFUNCTION("""COMPUTED_VALUE"""),"")</f>
        <v/>
      </c>
      <c r="F686" s="6" t="str">
        <f>IFERROR(__xludf.DUMMYFUNCTION("""COMPUTED_VALUE"""),"Account3")</f>
        <v>Account3</v>
      </c>
      <c r="G686" s="6" t="str">
        <f>IFERROR(__xludf.DUMMYFUNCTION("""COMPUTED_VALUE"""),"08/19/2015")</f>
        <v>08/19/2015</v>
      </c>
      <c r="H686" s="6" t="str">
        <f>IFERROR(__xludf.DUMMYFUNCTION("""COMPUTED_VALUE"""),"F")</f>
        <v>F</v>
      </c>
      <c r="I686" s="6" t="str">
        <f>IFERROR(__xludf.DUMMYFUNCTION("""COMPUTED_VALUE"""),"Middle School")</f>
        <v>Middle School</v>
      </c>
      <c r="J686" s="6" t="str">
        <f>IFERROR(__xludf.DUMMYFUNCTION("""COMPUTED_VALUE"""),"6")</f>
        <v>6</v>
      </c>
      <c r="K686" s="6" t="str">
        <f>IFERROR(__xludf.DUMMYFUNCTION("""COMPUTED_VALUE"""),"test.account3@alpha.school")</f>
        <v>test.account3@alpha.school</v>
      </c>
      <c r="L686" s="6" t="str">
        <f>IFERROR(__xludf.DUMMYFUNCTION("""COMPUTED_VALUE"""),"Alpha School Austin")</f>
        <v>Alpha School Austin</v>
      </c>
      <c r="M686" s="6" t="str">
        <f>IFERROR(__xludf.DUMMYFUNCTION("""COMPUTED_VALUE"""),"Mock")</f>
        <v>Mock</v>
      </c>
      <c r="N686" s="6" t="str">
        <f>IFERROR(__xludf.DUMMYFUNCTION("""COMPUTED_VALUE"""),"")</f>
        <v/>
      </c>
      <c r="O686" s="87" t="str">
        <f>IFERROR(__xludf.DUMMYFUNCTION("""COMPUTED_VALUE"""),"https://drive.google.com/drive/folders/10T2cTQHqEJZqE-st6uFKPoI?usp=share_link")</f>
        <v>https://drive.google.com/drive/folders/10T2cTQHqEJZqE-st6uFKPoI?usp=share_link</v>
      </c>
      <c r="P686" s="6" t="str">
        <f>IFERROR(__xludf.DUMMYFUNCTION("""COMPUTED_VALUE"""),"Test Account3")</f>
        <v>Test Account3</v>
      </c>
      <c r="Q686" s="6" t="str">
        <f>IFERROR(__xludf.DUMMYFUNCTION("""COMPUTED_VALUE"""),"MS")</f>
        <v>MS</v>
      </c>
      <c r="R686" s="6">
        <f>IFERROR(__xludf.DUMMYFUNCTION("""COMPUTED_VALUE"""),0.0)</f>
        <v>0</v>
      </c>
      <c r="S686" s="6" t="str">
        <f>IFERROR(__xludf.DUMMYFUNCTION("""COMPUTED_VALUE""")," ")</f>
        <v> </v>
      </c>
      <c r="T686" s="6" t="str">
        <f>IFERROR(__xludf.DUMMYFUNCTION("""COMPUTED_VALUE"""),"")</f>
        <v/>
      </c>
      <c r="U686" s="6" t="str">
        <f>IFERROR(__xludf.DUMMYFUNCTION("""COMPUTED_VALUE"""),"6")</f>
        <v>6</v>
      </c>
      <c r="V686" s="6" t="str">
        <f>IFERROR(__xludf.DUMMYFUNCTION("""COMPUTED_VALUE"""),"")</f>
        <v/>
      </c>
      <c r="W686" s="6" t="str">
        <f>IFERROR(__xludf.DUMMYFUNCTION("""COMPUTED_VALUE"""),"[]")</f>
        <v>[]</v>
      </c>
      <c r="X686" s="6" t="str">
        <f>IFERROR(__xludf.DUMMYFUNCTION("""COMPUTED_VALUE"""),"Enrolled")</f>
        <v>Enrolled</v>
      </c>
    </row>
    <row r="687">
      <c r="A687" s="6" t="str">
        <f>IFERROR(__xludf.DUMMYFUNCTION("""COMPUTED_VALUE"""),"001-0888")</f>
        <v>001-0888</v>
      </c>
      <c r="B687" s="6" t="str">
        <f>IFERROR(__xludf.DUMMYFUNCTION("""COMPUTED_VALUE"""),"1")</f>
        <v>1</v>
      </c>
      <c r="C687" s="6" t="str">
        <f>IFERROR(__xludf.DUMMYFUNCTION("""COMPUTED_VALUE"""),"0888")</f>
        <v>0888</v>
      </c>
      <c r="D687" s="6" t="str">
        <f>IFERROR(__xludf.DUMMYFUNCTION("""COMPUTED_VALUE"""),"Test")</f>
        <v>Test</v>
      </c>
      <c r="E687" s="6" t="str">
        <f>IFERROR(__xludf.DUMMYFUNCTION("""COMPUTED_VALUE"""),"")</f>
        <v/>
      </c>
      <c r="F687" s="6" t="str">
        <f>IFERROR(__xludf.DUMMYFUNCTION("""COMPUTED_VALUE"""),"Account2")</f>
        <v>Account2</v>
      </c>
      <c r="G687" s="6" t="str">
        <f>IFERROR(__xludf.DUMMYFUNCTION("""COMPUTED_VALUE"""),"08/09/2015")</f>
        <v>08/09/2015</v>
      </c>
      <c r="H687" s="6" t="str">
        <f>IFERROR(__xludf.DUMMYFUNCTION("""COMPUTED_VALUE"""),"F")</f>
        <v>F</v>
      </c>
      <c r="I687" s="6" t="str">
        <f>IFERROR(__xludf.DUMMYFUNCTION("""COMPUTED_VALUE"""),"Level 2")</f>
        <v>Level 2</v>
      </c>
      <c r="J687" s="6" t="str">
        <f>IFERROR(__xludf.DUMMYFUNCTION("""COMPUTED_VALUE"""),"5")</f>
        <v>5</v>
      </c>
      <c r="K687" s="6" t="str">
        <f>IFERROR(__xludf.DUMMYFUNCTION("""COMPUTED_VALUE"""),"test.account2@alpha.school")</f>
        <v>test.account2@alpha.school</v>
      </c>
      <c r="L687" s="6" t="str">
        <f>IFERROR(__xludf.DUMMYFUNCTION("""COMPUTED_VALUE"""),"Alpha School Austin")</f>
        <v>Alpha School Austin</v>
      </c>
      <c r="M687" s="6" t="str">
        <f>IFERROR(__xludf.DUMMYFUNCTION("""COMPUTED_VALUE"""),"Mock")</f>
        <v>Mock</v>
      </c>
      <c r="N687" s="6" t="str">
        <f>IFERROR(__xludf.DUMMYFUNCTION("""COMPUTED_VALUE"""),"")</f>
        <v/>
      </c>
      <c r="O687" s="87" t="str">
        <f>IFERROR(__xludf.DUMMYFUNCTION("""COMPUTED_VALUE"""),"https://drive.google.com/drive/folders/10T2cTQHqEJZqE-st6uFKPoI?usp=share_link")</f>
        <v>https://drive.google.com/drive/folders/10T2cTQHqEJZqE-st6uFKPoI?usp=share_link</v>
      </c>
      <c r="P687" s="6" t="str">
        <f>IFERROR(__xludf.DUMMYFUNCTION("""COMPUTED_VALUE"""),"Test Account2")</f>
        <v>Test Account2</v>
      </c>
      <c r="Q687" s="6" t="str">
        <f>IFERROR(__xludf.DUMMYFUNCTION("""COMPUTED_VALUE"""),"L2")</f>
        <v>L2</v>
      </c>
      <c r="R687" s="6">
        <f>IFERROR(__xludf.DUMMYFUNCTION("""COMPUTED_VALUE"""),2.0)</f>
        <v>2</v>
      </c>
      <c r="S687" s="6" t="str">
        <f>IFERROR(__xludf.DUMMYFUNCTION("""COMPUTED_VALUE""")," ")</f>
        <v> </v>
      </c>
      <c r="T687" s="6" t="str">
        <f>IFERROR(__xludf.DUMMYFUNCTION("""COMPUTED_VALUE"""),"")</f>
        <v/>
      </c>
      <c r="U687" s="6" t="str">
        <f>IFERROR(__xludf.DUMMYFUNCTION("""COMPUTED_VALUE"""),"5")</f>
        <v>5</v>
      </c>
      <c r="V687" s="6" t="str">
        <f>IFERROR(__xludf.DUMMYFUNCTION("""COMPUTED_VALUE"""),"")</f>
        <v/>
      </c>
      <c r="W687" s="6" t="str">
        <f>IFERROR(__xludf.DUMMYFUNCTION("""COMPUTED_VALUE"""),"[]")</f>
        <v>[]</v>
      </c>
      <c r="X687" s="6" t="str">
        <f>IFERROR(__xludf.DUMMYFUNCTION("""COMPUTED_VALUE"""),"Enrolled")</f>
        <v>Enrolled</v>
      </c>
    </row>
    <row r="688">
      <c r="A688" s="6" t="str">
        <f>IFERROR(__xludf.DUMMYFUNCTION("""COMPUTED_VALUE"""),"001-0889")</f>
        <v>001-0889</v>
      </c>
      <c r="B688" s="6" t="str">
        <f>IFERROR(__xludf.DUMMYFUNCTION("""COMPUTED_VALUE"""),"1")</f>
        <v>1</v>
      </c>
      <c r="C688" s="6" t="str">
        <f>IFERROR(__xludf.DUMMYFUNCTION("""COMPUTED_VALUE"""),"0889")</f>
        <v>0889</v>
      </c>
      <c r="D688" s="6" t="str">
        <f>IFERROR(__xludf.DUMMYFUNCTION("""COMPUTED_VALUE"""),"Test")</f>
        <v>Test</v>
      </c>
      <c r="E688" s="6" t="str">
        <f>IFERROR(__xludf.DUMMYFUNCTION("""COMPUTED_VALUE"""),"")</f>
        <v/>
      </c>
      <c r="F688" s="6" t="str">
        <f>IFERROR(__xludf.DUMMYFUNCTION("""COMPUTED_VALUE"""),"Account1")</f>
        <v>Account1</v>
      </c>
      <c r="G688" s="6" t="str">
        <f>IFERROR(__xludf.DUMMYFUNCTION("""COMPUTED_VALUE"""),"08/05/2015")</f>
        <v>08/05/2015</v>
      </c>
      <c r="H688" s="6" t="str">
        <f>IFERROR(__xludf.DUMMYFUNCTION("""COMPUTED_VALUE"""),"M")</f>
        <v>M</v>
      </c>
      <c r="I688" s="6" t="str">
        <f>IFERROR(__xludf.DUMMYFUNCTION("""COMPUTED_VALUE"""),"Middle School")</f>
        <v>Middle School</v>
      </c>
      <c r="J688" s="6" t="str">
        <f>IFERROR(__xludf.DUMMYFUNCTION("""COMPUTED_VALUE"""),"6")</f>
        <v>6</v>
      </c>
      <c r="K688" s="6" t="str">
        <f>IFERROR(__xludf.DUMMYFUNCTION("""COMPUTED_VALUE"""),"test.account1@alpha.school")</f>
        <v>test.account1@alpha.school</v>
      </c>
      <c r="L688" s="6" t="str">
        <f>IFERROR(__xludf.DUMMYFUNCTION("""COMPUTED_VALUE"""),"Alpha School Austin")</f>
        <v>Alpha School Austin</v>
      </c>
      <c r="M688" s="6" t="str">
        <f>IFERROR(__xludf.DUMMYFUNCTION("""COMPUTED_VALUE"""),"Mock")</f>
        <v>Mock</v>
      </c>
      <c r="N688" s="6" t="str">
        <f>IFERROR(__xludf.DUMMYFUNCTION("""COMPUTED_VALUE"""),"")</f>
        <v/>
      </c>
      <c r="O688" s="87" t="str">
        <f>IFERROR(__xludf.DUMMYFUNCTION("""COMPUTED_VALUE"""),"https://drive.google.com/drive/folders/10T2cTQHqEJZqE-st6uFKPoI?usp=share_link")</f>
        <v>https://drive.google.com/drive/folders/10T2cTQHqEJZqE-st6uFKPoI?usp=share_link</v>
      </c>
      <c r="P688" s="6" t="str">
        <f>IFERROR(__xludf.DUMMYFUNCTION("""COMPUTED_VALUE"""),"Test Account1")</f>
        <v>Test Account1</v>
      </c>
      <c r="Q688" s="6" t="str">
        <f>IFERROR(__xludf.DUMMYFUNCTION("""COMPUTED_VALUE"""),"MS")</f>
        <v>MS</v>
      </c>
      <c r="R688" s="6">
        <f>IFERROR(__xludf.DUMMYFUNCTION("""COMPUTED_VALUE"""),0.0)</f>
        <v>0</v>
      </c>
      <c r="S688" s="6" t="str">
        <f>IFERROR(__xludf.DUMMYFUNCTION("""COMPUTED_VALUE""")," ")</f>
        <v> </v>
      </c>
      <c r="T688" s="6" t="str">
        <f>IFERROR(__xludf.DUMMYFUNCTION("""COMPUTED_VALUE"""),"")</f>
        <v/>
      </c>
      <c r="U688" s="6" t="str">
        <f>IFERROR(__xludf.DUMMYFUNCTION("""COMPUTED_VALUE"""),"6")</f>
        <v>6</v>
      </c>
      <c r="V688" s="6" t="str">
        <f>IFERROR(__xludf.DUMMYFUNCTION("""COMPUTED_VALUE"""),"")</f>
        <v/>
      </c>
      <c r="W688" s="6" t="str">
        <f>IFERROR(__xludf.DUMMYFUNCTION("""COMPUTED_VALUE"""),"[]")</f>
        <v>[]</v>
      </c>
      <c r="X688" s="6" t="str">
        <f>IFERROR(__xludf.DUMMYFUNCTION("""COMPUTED_VALUE"""),"Enrolled")</f>
        <v>Enrolled</v>
      </c>
    </row>
    <row r="689">
      <c r="A689" s="6" t="str">
        <f>IFERROR(__xludf.DUMMYFUNCTION("""COMPUTED_VALUE"""),"001-0898")</f>
        <v>001-0898</v>
      </c>
      <c r="B689" s="6" t="str">
        <f>IFERROR(__xludf.DUMMYFUNCTION("""COMPUTED_VALUE"""),"1")</f>
        <v>1</v>
      </c>
      <c r="C689" s="6" t="str">
        <f>IFERROR(__xludf.DUMMYFUNCTION("""COMPUTED_VALUE"""),"0898")</f>
        <v>0898</v>
      </c>
      <c r="D689" s="6" t="str">
        <f>IFERROR(__xludf.DUMMYFUNCTION("""COMPUTED_VALUE"""),"Samuel")</f>
        <v>Samuel</v>
      </c>
      <c r="E689" s="6" t="str">
        <f>IFERROR(__xludf.DUMMYFUNCTION("""COMPUTED_VALUE"""),"Sam")</f>
        <v>Sam</v>
      </c>
      <c r="F689" s="6" t="str">
        <f>IFERROR(__xludf.DUMMYFUNCTION("""COMPUTED_VALUE"""),"Ratcliff")</f>
        <v>Ratcliff</v>
      </c>
      <c r="G689" s="6" t="str">
        <f>IFERROR(__xludf.DUMMYFUNCTION("""COMPUTED_VALUE"""),"05/21/2013")</f>
        <v>05/21/2013</v>
      </c>
      <c r="H689" s="6" t="str">
        <f>IFERROR(__xludf.DUMMYFUNCTION("""COMPUTED_VALUE"""),"male")</f>
        <v>male</v>
      </c>
      <c r="I689" s="6" t="str">
        <f>IFERROR(__xludf.DUMMYFUNCTION("""COMPUTED_VALUE"""),"Middle School")</f>
        <v>Middle School</v>
      </c>
      <c r="J689" s="6" t="str">
        <f>IFERROR(__xludf.DUMMYFUNCTION("""COMPUTED_VALUE"""),"7")</f>
        <v>7</v>
      </c>
      <c r="K689" s="6" t="str">
        <f>IFERROR(__xludf.DUMMYFUNCTION("""COMPUTED_VALUE"""),"sam.ratcliff@alpha.school")</f>
        <v>sam.ratcliff@alpha.school</v>
      </c>
      <c r="L689" s="6" t="str">
        <f>IFERROR(__xludf.DUMMYFUNCTION("""COMPUTED_VALUE"""),"Alpha School Austin")</f>
        <v>Alpha School Austin</v>
      </c>
      <c r="M689" s="6" t="str">
        <f>IFERROR(__xludf.DUMMYFUNCTION("""COMPUTED_VALUE"""),"")</f>
        <v/>
      </c>
      <c r="N689" s="6" t="str">
        <f>IFERROR(__xludf.DUMMYFUNCTION("""COMPUTED_VALUE"""),"")</f>
        <v/>
      </c>
      <c r="O689" s="87" t="str">
        <f>IFERROR(__xludf.DUMMYFUNCTION("""COMPUTED_VALUE"""),"https://drive.google.com/drive/folders/10T2cTQHqEJZqE-st6uFKPoI?usp=share_link")</f>
        <v>https://drive.google.com/drive/folders/10T2cTQHqEJZqE-st6uFKPoI?usp=share_link</v>
      </c>
      <c r="P689" s="6" t="str">
        <f>IFERROR(__xludf.DUMMYFUNCTION("""COMPUTED_VALUE"""),"Sam Ratcliff")</f>
        <v>Sam Ratcliff</v>
      </c>
      <c r="Q689" s="6" t="str">
        <f>IFERROR(__xludf.DUMMYFUNCTION("""COMPUTED_VALUE"""),"MS")</f>
        <v>MS</v>
      </c>
      <c r="R689" s="6">
        <f>IFERROR(__xludf.DUMMYFUNCTION("""COMPUTED_VALUE"""),0.0)</f>
        <v>0</v>
      </c>
      <c r="S689" s="6" t="str">
        <f>IFERROR(__xludf.DUMMYFUNCTION("""COMPUTED_VALUE"""),"Taylor Sweeney")</f>
        <v>Taylor Sweeney</v>
      </c>
      <c r="T689" s="6" t="str">
        <f>IFERROR(__xludf.DUMMYFUNCTION("""COMPUTED_VALUE"""),"taylor.sweeney@alpha.school")</f>
        <v>taylor.sweeney@alpha.school</v>
      </c>
      <c r="U689" s="6" t="str">
        <f>IFERROR(__xludf.DUMMYFUNCTION("""COMPUTED_VALUE"""),"7")</f>
        <v>7</v>
      </c>
      <c r="V689" s="6" t="str">
        <f>IFERROR(__xludf.DUMMYFUNCTION("""COMPUTED_VALUE"""),"")</f>
        <v/>
      </c>
      <c r="W689" s="6" t="str">
        <f>IFERROR(__xludf.DUMMYFUNCTION("""COMPUTED_VALUE"""),"[]")</f>
        <v>[]</v>
      </c>
      <c r="X689" s="6" t="str">
        <f>IFERROR(__xludf.DUMMYFUNCTION("""COMPUTED_VALUE"""),"Enrolled")</f>
        <v>Enrolled</v>
      </c>
    </row>
    <row r="690">
      <c r="A690" s="6" t="str">
        <f>IFERROR(__xludf.DUMMYFUNCTION("""COMPUTED_VALUE"""),"001-0901")</f>
        <v>001-0901</v>
      </c>
      <c r="B690" s="6" t="str">
        <f>IFERROR(__xludf.DUMMYFUNCTION("""COMPUTED_VALUE"""),"1")</f>
        <v>1</v>
      </c>
      <c r="C690" s="6" t="str">
        <f>IFERROR(__xludf.DUMMYFUNCTION("""COMPUTED_VALUE"""),"0901")</f>
        <v>0901</v>
      </c>
      <c r="D690" s="6" t="str">
        <f>IFERROR(__xludf.DUMMYFUNCTION("""COMPUTED_VALUE"""),"Shadow")</f>
        <v>Shadow</v>
      </c>
      <c r="E690" s="6" t="str">
        <f>IFERROR(__xludf.DUMMYFUNCTION("""COMPUTED_VALUE"""),"")</f>
        <v/>
      </c>
      <c r="F690" s="6" t="str">
        <f>IFERROR(__xludf.DUMMYFUNCTION("""COMPUTED_VALUE"""),"Linc")</f>
        <v>Linc</v>
      </c>
      <c r="G690" s="6" t="str">
        <f>IFERROR(__xludf.DUMMYFUNCTION("""COMPUTED_VALUE"""),"11/20/2023")</f>
        <v>11/20/2023</v>
      </c>
      <c r="H690" s="6" t="str">
        <f>IFERROR(__xludf.DUMMYFUNCTION("""COMPUTED_VALUE"""),"M")</f>
        <v>M</v>
      </c>
      <c r="I690" s="6" t="str">
        <f>IFERROR(__xludf.DUMMYFUNCTION("""COMPUTED_VALUE"""),"Level 1")</f>
        <v>Level 1</v>
      </c>
      <c r="J690" s="6" t="str">
        <f>IFERROR(__xludf.DUMMYFUNCTION("""COMPUTED_VALUE"""),"3")</f>
        <v>3</v>
      </c>
      <c r="K690" s="6" t="str">
        <f>IFERROR(__xludf.DUMMYFUNCTION("""COMPUTED_VALUE"""),"shadowlinc@alpha.school")</f>
        <v>shadowlinc@alpha.school</v>
      </c>
      <c r="L690" s="6" t="str">
        <f>IFERROR(__xludf.DUMMYFUNCTION("""COMPUTED_VALUE"""),"Alpha School Austin")</f>
        <v>Alpha School Austin</v>
      </c>
      <c r="M690" s="6" t="str">
        <f>IFERROR(__xludf.DUMMYFUNCTION("""COMPUTED_VALUE"""),"Shadow")</f>
        <v>Shadow</v>
      </c>
      <c r="N690" s="6" t="str">
        <f>IFERROR(__xludf.DUMMYFUNCTION("""COMPUTED_VALUE"""),"")</f>
        <v/>
      </c>
      <c r="O690" s="87" t="str">
        <f>IFERROR(__xludf.DUMMYFUNCTION("""COMPUTED_VALUE"""),"https://drive.google.com/drive/folders/10T2cTQHqEJZqE-st6uFKPoI?usp=share_link")</f>
        <v>https://drive.google.com/drive/folders/10T2cTQHqEJZqE-st6uFKPoI?usp=share_link</v>
      </c>
      <c r="P690" s="6" t="str">
        <f>IFERROR(__xludf.DUMMYFUNCTION("""COMPUTED_VALUE"""),"Shadow Linc")</f>
        <v>Shadow Linc</v>
      </c>
      <c r="Q690" s="6" t="str">
        <f>IFERROR(__xludf.DUMMYFUNCTION("""COMPUTED_VALUE"""),"L1")</f>
        <v>L1</v>
      </c>
      <c r="R690" s="6">
        <f>IFERROR(__xludf.DUMMYFUNCTION("""COMPUTED_VALUE"""),1.0)</f>
        <v>1</v>
      </c>
      <c r="S690" s="6" t="str">
        <f>IFERROR(__xludf.DUMMYFUNCTION("""COMPUTED_VALUE""")," ")</f>
        <v> </v>
      </c>
      <c r="T690" s="6" t="str">
        <f>IFERROR(__xludf.DUMMYFUNCTION("""COMPUTED_VALUE"""),"")</f>
        <v/>
      </c>
      <c r="U690" s="6" t="str">
        <f>IFERROR(__xludf.DUMMYFUNCTION("""COMPUTED_VALUE"""),"3")</f>
        <v>3</v>
      </c>
      <c r="V690" s="6" t="str">
        <f>IFERROR(__xludf.DUMMYFUNCTION("""COMPUTED_VALUE"""),"")</f>
        <v/>
      </c>
      <c r="W690" s="6" t="str">
        <f>IFERROR(__xludf.DUMMYFUNCTION("""COMPUTED_VALUE"""),"[]")</f>
        <v>[]</v>
      </c>
      <c r="X690" s="6" t="str">
        <f>IFERROR(__xludf.DUMMYFUNCTION("""COMPUTED_VALUE"""),"Enrolled")</f>
        <v>Enrolled</v>
      </c>
    </row>
    <row r="691">
      <c r="A691" s="6" t="str">
        <f>IFERROR(__xludf.DUMMYFUNCTION("""COMPUTED_VALUE"""),"001-0902")</f>
        <v>001-0902</v>
      </c>
      <c r="B691" s="6" t="str">
        <f>IFERROR(__xludf.DUMMYFUNCTION("""COMPUTED_VALUE"""),"1")</f>
        <v>1</v>
      </c>
      <c r="C691" s="6" t="str">
        <f>IFERROR(__xludf.DUMMYFUNCTION("""COMPUTED_VALUE"""),"0902")</f>
        <v>0902</v>
      </c>
      <c r="D691" s="6" t="str">
        <f>IFERROR(__xludf.DUMMYFUNCTION("""COMPUTED_VALUE"""),"Shadow")</f>
        <v>Shadow</v>
      </c>
      <c r="E691" s="6" t="str">
        <f>IFERROR(__xludf.DUMMYFUNCTION("""COMPUTED_VALUE"""),"")</f>
        <v/>
      </c>
      <c r="F691" s="6" t="str">
        <f>IFERROR(__xludf.DUMMYFUNCTION("""COMPUTED_VALUE"""),"Learning Lab")</f>
        <v>Learning Lab</v>
      </c>
      <c r="G691" s="6" t="str">
        <f>IFERROR(__xludf.DUMMYFUNCTION("""COMPUTED_VALUE"""),"09/28/2023")</f>
        <v>09/28/2023</v>
      </c>
      <c r="H691" s="6" t="str">
        <f>IFERROR(__xludf.DUMMYFUNCTION("""COMPUTED_VALUE"""),"M")</f>
        <v>M</v>
      </c>
      <c r="I691" s="6" t="str">
        <f>IFERROR(__xludf.DUMMYFUNCTION("""COMPUTED_VALUE"""),"Learning Lab")</f>
        <v>Learning Lab</v>
      </c>
      <c r="J691" s="6" t="str">
        <f>IFERROR(__xludf.DUMMYFUNCTION("""COMPUTED_VALUE"""),"1")</f>
        <v>1</v>
      </c>
      <c r="K691" s="6" t="str">
        <f>IFERROR(__xludf.DUMMYFUNCTION("""COMPUTED_VALUE"""),"shadowll@alpha.school")</f>
        <v>shadowll@alpha.school</v>
      </c>
      <c r="L691" s="6" t="str">
        <f>IFERROR(__xludf.DUMMYFUNCTION("""COMPUTED_VALUE"""),"Alpha School Austin")</f>
        <v>Alpha School Austin</v>
      </c>
      <c r="M691" s="6" t="str">
        <f>IFERROR(__xludf.DUMMYFUNCTION("""COMPUTED_VALUE"""),"Shadow")</f>
        <v>Shadow</v>
      </c>
      <c r="N691" s="6" t="str">
        <f>IFERROR(__xludf.DUMMYFUNCTION("""COMPUTED_VALUE"""),"")</f>
        <v/>
      </c>
      <c r="O691" s="87" t="str">
        <f>IFERROR(__xludf.DUMMYFUNCTION("""COMPUTED_VALUE"""),"https://drive.google.com/drive/folders/10T2cTQHqEJZqE-st6uFKPoI?usp=share_link")</f>
        <v>https://drive.google.com/drive/folders/10T2cTQHqEJZqE-st6uFKPoI?usp=share_link</v>
      </c>
      <c r="P691" s="6" t="str">
        <f>IFERROR(__xludf.DUMMYFUNCTION("""COMPUTED_VALUE"""),"Shadow Learning Lab")</f>
        <v>Shadow Learning Lab</v>
      </c>
      <c r="Q691" s="6" t="str">
        <f>IFERROR(__xludf.DUMMYFUNCTION("""COMPUTED_VALUE"""),"LL")</f>
        <v>LL</v>
      </c>
      <c r="R691" s="6">
        <f>IFERROR(__xludf.DUMMYFUNCTION("""COMPUTED_VALUE"""),0.0)</f>
        <v>0</v>
      </c>
      <c r="S691" s="6" t="str">
        <f>IFERROR(__xludf.DUMMYFUNCTION("""COMPUTED_VALUE""")," ")</f>
        <v> </v>
      </c>
      <c r="T691" s="6" t="str">
        <f>IFERROR(__xludf.DUMMYFUNCTION("""COMPUTED_VALUE"""),"")</f>
        <v/>
      </c>
      <c r="U691" s="6" t="str">
        <f>IFERROR(__xludf.DUMMYFUNCTION("""COMPUTED_VALUE"""),"1")</f>
        <v>1</v>
      </c>
      <c r="V691" s="6" t="str">
        <f>IFERROR(__xludf.DUMMYFUNCTION("""COMPUTED_VALUE"""),"")</f>
        <v/>
      </c>
      <c r="W691" s="6" t="str">
        <f>IFERROR(__xludf.DUMMYFUNCTION("""COMPUTED_VALUE"""),"[]")</f>
        <v>[]</v>
      </c>
      <c r="X691" s="6" t="str">
        <f>IFERROR(__xludf.DUMMYFUNCTION("""COMPUTED_VALUE"""),"Enrolled")</f>
        <v>Enrolled</v>
      </c>
    </row>
    <row r="692">
      <c r="A692" s="6" t="str">
        <f>IFERROR(__xludf.DUMMYFUNCTION("""COMPUTED_VALUE"""),"001-0903")</f>
        <v>001-0903</v>
      </c>
      <c r="B692" s="6" t="str">
        <f>IFERROR(__xludf.DUMMYFUNCTION("""COMPUTED_VALUE"""),"1")</f>
        <v>1</v>
      </c>
      <c r="C692" s="6" t="str">
        <f>IFERROR(__xludf.DUMMYFUNCTION("""COMPUTED_VALUE"""),"0903")</f>
        <v>0903</v>
      </c>
      <c r="D692" s="6" t="str">
        <f>IFERROR(__xludf.DUMMYFUNCTION("""COMPUTED_VALUE"""),"Shadow")</f>
        <v>Shadow</v>
      </c>
      <c r="E692" s="6" t="str">
        <f>IFERROR(__xludf.DUMMYFUNCTION("""COMPUTED_VALUE"""),"")</f>
        <v/>
      </c>
      <c r="F692" s="6" t="str">
        <f>IFERROR(__xludf.DUMMYFUNCTION("""COMPUTED_VALUE"""),"Level 1")</f>
        <v>Level 1</v>
      </c>
      <c r="G692" s="6" t="str">
        <f>IFERROR(__xludf.DUMMYFUNCTION("""COMPUTED_VALUE"""),"10/01/2023")</f>
        <v>10/01/2023</v>
      </c>
      <c r="H692" s="6" t="str">
        <f>IFERROR(__xludf.DUMMYFUNCTION("""COMPUTED_VALUE"""),"F")</f>
        <v>F</v>
      </c>
      <c r="I692" s="6" t="str">
        <f>IFERROR(__xludf.DUMMYFUNCTION("""COMPUTED_VALUE"""),"Level 2")</f>
        <v>Level 2</v>
      </c>
      <c r="J692" s="6" t="str">
        <f>IFERROR(__xludf.DUMMYFUNCTION("""COMPUTED_VALUE"""),"5")</f>
        <v>5</v>
      </c>
      <c r="K692" s="6" t="str">
        <f>IFERROR(__xludf.DUMMYFUNCTION("""COMPUTED_VALUE"""),"shadowl1@alpha.school")</f>
        <v>shadowl1@alpha.school</v>
      </c>
      <c r="L692" s="6" t="str">
        <f>IFERROR(__xludf.DUMMYFUNCTION("""COMPUTED_VALUE"""),"Alpha School Austin")</f>
        <v>Alpha School Austin</v>
      </c>
      <c r="M692" s="6" t="str">
        <f>IFERROR(__xludf.DUMMYFUNCTION("""COMPUTED_VALUE"""),"Shadow")</f>
        <v>Shadow</v>
      </c>
      <c r="N692" s="6" t="str">
        <f>IFERROR(__xludf.DUMMYFUNCTION("""COMPUTED_VALUE"""),"")</f>
        <v/>
      </c>
      <c r="O692" s="87" t="str">
        <f>IFERROR(__xludf.DUMMYFUNCTION("""COMPUTED_VALUE"""),"https://drive.google.com/drive/folders/10T2cTQHqEJZqE-st6uFKPoI?usp=share_link")</f>
        <v>https://drive.google.com/drive/folders/10T2cTQHqEJZqE-st6uFKPoI?usp=share_link</v>
      </c>
      <c r="P692" s="6" t="str">
        <f>IFERROR(__xludf.DUMMYFUNCTION("""COMPUTED_VALUE"""),"Shadow Level 1")</f>
        <v>Shadow Level 1</v>
      </c>
      <c r="Q692" s="6" t="str">
        <f>IFERROR(__xludf.DUMMYFUNCTION("""COMPUTED_VALUE"""),"L2")</f>
        <v>L2</v>
      </c>
      <c r="R692" s="6">
        <f>IFERROR(__xludf.DUMMYFUNCTION("""COMPUTED_VALUE"""),2.0)</f>
        <v>2</v>
      </c>
      <c r="S692" s="6" t="str">
        <f>IFERROR(__xludf.DUMMYFUNCTION("""COMPUTED_VALUE""")," ")</f>
        <v> </v>
      </c>
      <c r="T692" s="6" t="str">
        <f>IFERROR(__xludf.DUMMYFUNCTION("""COMPUTED_VALUE"""),"")</f>
        <v/>
      </c>
      <c r="U692" s="6" t="str">
        <f>IFERROR(__xludf.DUMMYFUNCTION("""COMPUTED_VALUE"""),"5")</f>
        <v>5</v>
      </c>
      <c r="V692" s="6" t="str">
        <f>IFERROR(__xludf.DUMMYFUNCTION("""COMPUTED_VALUE"""),"")</f>
        <v/>
      </c>
      <c r="W692" s="6" t="str">
        <f>IFERROR(__xludf.DUMMYFUNCTION("""COMPUTED_VALUE"""),"[]")</f>
        <v>[]</v>
      </c>
      <c r="X692" s="6" t="str">
        <f>IFERROR(__xludf.DUMMYFUNCTION("""COMPUTED_VALUE"""),"Enrolled")</f>
        <v>Enrolled</v>
      </c>
    </row>
    <row r="693">
      <c r="A693" s="6" t="str">
        <f>IFERROR(__xludf.DUMMYFUNCTION("""COMPUTED_VALUE"""),"001-0904")</f>
        <v>001-0904</v>
      </c>
      <c r="B693" s="6" t="str">
        <f>IFERROR(__xludf.DUMMYFUNCTION("""COMPUTED_VALUE"""),"1")</f>
        <v>1</v>
      </c>
      <c r="C693" s="6" t="str">
        <f>IFERROR(__xludf.DUMMYFUNCTION("""COMPUTED_VALUE"""),"0904")</f>
        <v>0904</v>
      </c>
      <c r="D693" s="6" t="str">
        <f>IFERROR(__xludf.DUMMYFUNCTION("""COMPUTED_VALUE"""),"Shadow")</f>
        <v>Shadow</v>
      </c>
      <c r="E693" s="6" t="str">
        <f>IFERROR(__xludf.DUMMYFUNCTION("""COMPUTED_VALUE"""),"")</f>
        <v/>
      </c>
      <c r="F693" s="6" t="str">
        <f>IFERROR(__xludf.DUMMYFUNCTION("""COMPUTED_VALUE"""),"level 2")</f>
        <v>level 2</v>
      </c>
      <c r="G693" s="6" t="str">
        <f>IFERROR(__xludf.DUMMYFUNCTION("""COMPUTED_VALUE"""),"10/29/2023")</f>
        <v>10/29/2023</v>
      </c>
      <c r="H693" s="6" t="str">
        <f>IFERROR(__xludf.DUMMYFUNCTION("""COMPUTED_VALUE"""),"F")</f>
        <v>F</v>
      </c>
      <c r="I693" s="6" t="str">
        <f>IFERROR(__xludf.DUMMYFUNCTION("""COMPUTED_VALUE"""),"Middle School")</f>
        <v>Middle School</v>
      </c>
      <c r="J693" s="6" t="str">
        <f>IFERROR(__xludf.DUMMYFUNCTION("""COMPUTED_VALUE"""),"6")</f>
        <v>6</v>
      </c>
      <c r="K693" s="6" t="str">
        <f>IFERROR(__xludf.DUMMYFUNCTION("""COMPUTED_VALUE"""),"shadowl2@alpha.school")</f>
        <v>shadowl2@alpha.school</v>
      </c>
      <c r="L693" s="6" t="str">
        <f>IFERROR(__xludf.DUMMYFUNCTION("""COMPUTED_VALUE"""),"Alpha School Austin")</f>
        <v>Alpha School Austin</v>
      </c>
      <c r="M693" s="6" t="str">
        <f>IFERROR(__xludf.DUMMYFUNCTION("""COMPUTED_VALUE"""),"Shadow")</f>
        <v>Shadow</v>
      </c>
      <c r="N693" s="6" t="str">
        <f>IFERROR(__xludf.DUMMYFUNCTION("""COMPUTED_VALUE"""),"")</f>
        <v/>
      </c>
      <c r="O693" s="87" t="str">
        <f>IFERROR(__xludf.DUMMYFUNCTION("""COMPUTED_VALUE"""),"https://drive.google.com/drive/folders/10T2cTQHqEJZqE-st6uFKPoI?usp=share_link")</f>
        <v>https://drive.google.com/drive/folders/10T2cTQHqEJZqE-st6uFKPoI?usp=share_link</v>
      </c>
      <c r="P693" s="6" t="str">
        <f>IFERROR(__xludf.DUMMYFUNCTION("""COMPUTED_VALUE"""),"Shadow level 2")</f>
        <v>Shadow level 2</v>
      </c>
      <c r="Q693" s="6" t="str">
        <f>IFERROR(__xludf.DUMMYFUNCTION("""COMPUTED_VALUE"""),"MS")</f>
        <v>MS</v>
      </c>
      <c r="R693" s="6">
        <f>IFERROR(__xludf.DUMMYFUNCTION("""COMPUTED_VALUE"""),0.0)</f>
        <v>0</v>
      </c>
      <c r="S693" s="6" t="str">
        <f>IFERROR(__xludf.DUMMYFUNCTION("""COMPUTED_VALUE""")," ")</f>
        <v> </v>
      </c>
      <c r="T693" s="6" t="str">
        <f>IFERROR(__xludf.DUMMYFUNCTION("""COMPUTED_VALUE"""),"")</f>
        <v/>
      </c>
      <c r="U693" s="6" t="str">
        <f>IFERROR(__xludf.DUMMYFUNCTION("""COMPUTED_VALUE"""),"6")</f>
        <v>6</v>
      </c>
      <c r="V693" s="6" t="str">
        <f>IFERROR(__xludf.DUMMYFUNCTION("""COMPUTED_VALUE"""),"")</f>
        <v/>
      </c>
      <c r="W693" s="6" t="str">
        <f>IFERROR(__xludf.DUMMYFUNCTION("""COMPUTED_VALUE"""),"[]")</f>
        <v>[]</v>
      </c>
      <c r="X693" s="6" t="str">
        <f>IFERROR(__xludf.DUMMYFUNCTION("""COMPUTED_VALUE"""),"Enrolled")</f>
        <v>Enrolled</v>
      </c>
    </row>
    <row r="694">
      <c r="A694" s="6" t="str">
        <f>IFERROR(__xludf.DUMMYFUNCTION("""COMPUTED_VALUE"""),"001-0905")</f>
        <v>001-0905</v>
      </c>
      <c r="B694" s="6" t="str">
        <f>IFERROR(__xludf.DUMMYFUNCTION("""COMPUTED_VALUE"""),"1")</f>
        <v>1</v>
      </c>
      <c r="C694" s="6" t="str">
        <f>IFERROR(__xludf.DUMMYFUNCTION("""COMPUTED_VALUE"""),"0905")</f>
        <v>0905</v>
      </c>
      <c r="D694" s="6" t="str">
        <f>IFERROR(__xludf.DUMMYFUNCTION("""COMPUTED_VALUE"""),"Shadow")</f>
        <v>Shadow</v>
      </c>
      <c r="E694" s="6" t="str">
        <f>IFERROR(__xludf.DUMMYFUNCTION("""COMPUTED_VALUE"""),"")</f>
        <v/>
      </c>
      <c r="F694" s="6" t="str">
        <f>IFERROR(__xludf.DUMMYFUNCTION("""COMPUTED_VALUE"""),"Level 3")</f>
        <v>Level 3</v>
      </c>
      <c r="G694" s="6" t="str">
        <f>IFERROR(__xludf.DUMMYFUNCTION("""COMPUTED_VALUE"""),"10/29/2023")</f>
        <v>10/29/2023</v>
      </c>
      <c r="H694" s="6" t="str">
        <f>IFERROR(__xludf.DUMMYFUNCTION("""COMPUTED_VALUE"""),"M")</f>
        <v>M</v>
      </c>
      <c r="I694" s="6" t="str">
        <f>IFERROR(__xludf.DUMMYFUNCTION("""COMPUTED_VALUE"""),"Middle School")</f>
        <v>Middle School</v>
      </c>
      <c r="J694" s="6" t="str">
        <f>IFERROR(__xludf.DUMMYFUNCTION("""COMPUTED_VALUE"""),"8")</f>
        <v>8</v>
      </c>
      <c r="K694" s="6" t="str">
        <f>IFERROR(__xludf.DUMMYFUNCTION("""COMPUTED_VALUE"""),"shadowl3@alpha.school")</f>
        <v>shadowl3@alpha.school</v>
      </c>
      <c r="L694" s="6" t="str">
        <f>IFERROR(__xludf.DUMMYFUNCTION("""COMPUTED_VALUE"""),"Alpha School Austin")</f>
        <v>Alpha School Austin</v>
      </c>
      <c r="M694" s="6" t="str">
        <f>IFERROR(__xludf.DUMMYFUNCTION("""COMPUTED_VALUE"""),"Shadow")</f>
        <v>Shadow</v>
      </c>
      <c r="N694" s="6" t="str">
        <f>IFERROR(__xludf.DUMMYFUNCTION("""COMPUTED_VALUE"""),"")</f>
        <v/>
      </c>
      <c r="O694" s="87" t="str">
        <f>IFERROR(__xludf.DUMMYFUNCTION("""COMPUTED_VALUE"""),"https://drive.google.com/drive/folders/10T2cTQHqEJZqE-st6uFKPoI?usp=share_link")</f>
        <v>https://drive.google.com/drive/folders/10T2cTQHqEJZqE-st6uFKPoI?usp=share_link</v>
      </c>
      <c r="P694" s="6" t="str">
        <f>IFERROR(__xludf.DUMMYFUNCTION("""COMPUTED_VALUE"""),"Shadow Level 3")</f>
        <v>Shadow Level 3</v>
      </c>
      <c r="Q694" s="6" t="str">
        <f>IFERROR(__xludf.DUMMYFUNCTION("""COMPUTED_VALUE"""),"MS")</f>
        <v>MS</v>
      </c>
      <c r="R694" s="6">
        <f>IFERROR(__xludf.DUMMYFUNCTION("""COMPUTED_VALUE"""),0.0)</f>
        <v>0</v>
      </c>
      <c r="S694" s="6" t="str">
        <f>IFERROR(__xludf.DUMMYFUNCTION("""COMPUTED_VALUE""")," ")</f>
        <v> </v>
      </c>
      <c r="T694" s="6" t="str">
        <f>IFERROR(__xludf.DUMMYFUNCTION("""COMPUTED_VALUE"""),"")</f>
        <v/>
      </c>
      <c r="U694" s="6" t="str">
        <f>IFERROR(__xludf.DUMMYFUNCTION("""COMPUTED_VALUE"""),"8")</f>
        <v>8</v>
      </c>
      <c r="V694" s="6" t="str">
        <f>IFERROR(__xludf.DUMMYFUNCTION("""COMPUTED_VALUE"""),"")</f>
        <v/>
      </c>
      <c r="W694" s="6" t="str">
        <f>IFERROR(__xludf.DUMMYFUNCTION("""COMPUTED_VALUE"""),"[]")</f>
        <v>[]</v>
      </c>
      <c r="X694" s="6" t="str">
        <f>IFERROR(__xludf.DUMMYFUNCTION("""COMPUTED_VALUE"""),"Enrolled")</f>
        <v>Enrolled</v>
      </c>
    </row>
    <row r="695">
      <c r="A695" s="6" t="str">
        <f>IFERROR(__xludf.DUMMYFUNCTION("""COMPUTED_VALUE"""),"001-0906")</f>
        <v>001-0906</v>
      </c>
      <c r="B695" s="6" t="str">
        <f>IFERROR(__xludf.DUMMYFUNCTION("""COMPUTED_VALUE"""),"1")</f>
        <v>1</v>
      </c>
      <c r="C695" s="6" t="str">
        <f>IFERROR(__xludf.DUMMYFUNCTION("""COMPUTED_VALUE"""),"0906")</f>
        <v>0906</v>
      </c>
      <c r="D695" s="6" t="str">
        <f>IFERROR(__xludf.DUMMYFUNCTION("""COMPUTED_VALUE"""),"Shadow")</f>
        <v>Shadow</v>
      </c>
      <c r="E695" s="6" t="str">
        <f>IFERROR(__xludf.DUMMYFUNCTION("""COMPUTED_VALUE"""),"")</f>
        <v/>
      </c>
      <c r="F695" s="6" t="str">
        <f>IFERROR(__xludf.DUMMYFUNCTION("""COMPUTED_VALUE"""),"level 4")</f>
        <v>level 4</v>
      </c>
      <c r="G695" s="6" t="str">
        <f>IFERROR(__xludf.DUMMYFUNCTION("""COMPUTED_VALUE"""),"10/29/2023")</f>
        <v>10/29/2023</v>
      </c>
      <c r="H695" s="6" t="str">
        <f>IFERROR(__xludf.DUMMYFUNCTION("""COMPUTED_VALUE"""),"M")</f>
        <v>M</v>
      </c>
      <c r="I695" s="6" t="str">
        <f>IFERROR(__xludf.DUMMYFUNCTION("""COMPUTED_VALUE"""),"High School")</f>
        <v>High School</v>
      </c>
      <c r="J695" s="6" t="str">
        <f>IFERROR(__xludf.DUMMYFUNCTION("""COMPUTED_VALUE"""),"10")</f>
        <v>10</v>
      </c>
      <c r="K695" s="6" t="str">
        <f>IFERROR(__xludf.DUMMYFUNCTION("""COMPUTED_VALUE"""),"shadowl4@alpha.school")</f>
        <v>shadowl4@alpha.school</v>
      </c>
      <c r="L695" s="6" t="str">
        <f>IFERROR(__xludf.DUMMYFUNCTION("""COMPUTED_VALUE"""),"Alpha School Austin")</f>
        <v>Alpha School Austin</v>
      </c>
      <c r="M695" s="6" t="str">
        <f>IFERROR(__xludf.DUMMYFUNCTION("""COMPUTED_VALUE"""),"Shadow")</f>
        <v>Shadow</v>
      </c>
      <c r="N695" s="6" t="str">
        <f>IFERROR(__xludf.DUMMYFUNCTION("""COMPUTED_VALUE"""),"")</f>
        <v/>
      </c>
      <c r="O695" s="87" t="str">
        <f>IFERROR(__xludf.DUMMYFUNCTION("""COMPUTED_VALUE"""),"https://drive.google.com/drive/folders/10T2cTQHqEJZqE-st6uFKPoI?usp=share_link")</f>
        <v>https://drive.google.com/drive/folders/10T2cTQHqEJZqE-st6uFKPoI?usp=share_link</v>
      </c>
      <c r="P695" s="6" t="str">
        <f>IFERROR(__xludf.DUMMYFUNCTION("""COMPUTED_VALUE"""),"Shadow level 4")</f>
        <v>Shadow level 4</v>
      </c>
      <c r="Q695" s="6" t="str">
        <f>IFERROR(__xludf.DUMMYFUNCTION("""COMPUTED_VALUE"""),"HS")</f>
        <v>HS</v>
      </c>
      <c r="R695" s="6">
        <f>IFERROR(__xludf.DUMMYFUNCTION("""COMPUTED_VALUE"""),0.0)</f>
        <v>0</v>
      </c>
      <c r="S695" s="6" t="str">
        <f>IFERROR(__xludf.DUMMYFUNCTION("""COMPUTED_VALUE""")," ")</f>
        <v> </v>
      </c>
      <c r="T695" s="6" t="str">
        <f>IFERROR(__xludf.DUMMYFUNCTION("""COMPUTED_VALUE"""),"")</f>
        <v/>
      </c>
      <c r="U695" s="6" t="str">
        <f>IFERROR(__xludf.DUMMYFUNCTION("""COMPUTED_VALUE"""),"10")</f>
        <v>10</v>
      </c>
      <c r="V695" s="6" t="str">
        <f>IFERROR(__xludf.DUMMYFUNCTION("""COMPUTED_VALUE"""),"")</f>
        <v/>
      </c>
      <c r="W695" s="6" t="str">
        <f>IFERROR(__xludf.DUMMYFUNCTION("""COMPUTED_VALUE"""),"[]")</f>
        <v>[]</v>
      </c>
      <c r="X695" s="6" t="str">
        <f>IFERROR(__xludf.DUMMYFUNCTION("""COMPUTED_VALUE"""),"Enrolled")</f>
        <v>Enrolled</v>
      </c>
    </row>
    <row r="696">
      <c r="A696" s="6" t="str">
        <f>IFERROR(__xludf.DUMMYFUNCTION("""COMPUTED_VALUE"""),"001-0916")</f>
        <v>001-0916</v>
      </c>
      <c r="B696" s="6" t="str">
        <f>IFERROR(__xludf.DUMMYFUNCTION("""COMPUTED_VALUE"""),"1")</f>
        <v>1</v>
      </c>
      <c r="C696" s="6" t="str">
        <f>IFERROR(__xludf.DUMMYFUNCTION("""COMPUTED_VALUE"""),"0916")</f>
        <v>0916</v>
      </c>
      <c r="D696" s="6" t="str">
        <f>IFERROR(__xludf.DUMMYFUNCTION("""COMPUTED_VALUE"""),"Gwendolyn")</f>
        <v>Gwendolyn</v>
      </c>
      <c r="E696" s="6" t="str">
        <f>IFERROR(__xludf.DUMMYFUNCTION("""COMPUTED_VALUE"""),"Gwendolyn")</f>
        <v>Gwendolyn</v>
      </c>
      <c r="F696" s="6" t="str">
        <f>IFERROR(__xludf.DUMMYFUNCTION("""COMPUTED_VALUE"""),"Meegan")</f>
        <v>Meegan</v>
      </c>
      <c r="G696" s="6" t="str">
        <f>IFERROR(__xludf.DUMMYFUNCTION("""COMPUTED_VALUE"""),"01/30/2012")</f>
        <v>01/30/2012</v>
      </c>
      <c r="H696" s="6" t="str">
        <f>IFERROR(__xludf.DUMMYFUNCTION("""COMPUTED_VALUE"""),"female")</f>
        <v>female</v>
      </c>
      <c r="I696" s="6" t="str">
        <f>IFERROR(__xludf.DUMMYFUNCTION("""COMPUTED_VALUE"""),"Middle School")</f>
        <v>Middle School</v>
      </c>
      <c r="J696" s="6" t="str">
        <f>IFERROR(__xludf.DUMMYFUNCTION("""COMPUTED_VALUE"""),"8")</f>
        <v>8</v>
      </c>
      <c r="K696" s="6" t="str">
        <f>IFERROR(__xludf.DUMMYFUNCTION("""COMPUTED_VALUE"""),"gwendolyn.meegan@alpha.school")</f>
        <v>gwendolyn.meegan@alpha.school</v>
      </c>
      <c r="L696" s="6" t="str">
        <f>IFERROR(__xludf.DUMMYFUNCTION("""COMPUTED_VALUE"""),"Alpha School Austin")</f>
        <v>Alpha School Austin</v>
      </c>
      <c r="M696" s="6" t="str">
        <f>IFERROR(__xludf.DUMMYFUNCTION("""COMPUTED_VALUE"""),"iloveschool")</f>
        <v>iloveschool</v>
      </c>
      <c r="N696" s="6" t="str">
        <f>IFERROR(__xludf.DUMMYFUNCTION("""COMPUTED_VALUE"""),"")</f>
        <v/>
      </c>
      <c r="O696" s="87" t="str">
        <f>IFERROR(__xludf.DUMMYFUNCTION("""COMPUTED_VALUE"""),"https://drive.google.com/drive/folders/10T2cTQHqEJZqE-st6uFKPoI?usp=share_link")</f>
        <v>https://drive.google.com/drive/folders/10T2cTQHqEJZqE-st6uFKPoI?usp=share_link</v>
      </c>
      <c r="P696" s="6" t="str">
        <f>IFERROR(__xludf.DUMMYFUNCTION("""COMPUTED_VALUE"""),"Gwendolyn Meegan")</f>
        <v>Gwendolyn Meegan</v>
      </c>
      <c r="Q696" s="6" t="str">
        <f>IFERROR(__xludf.DUMMYFUNCTION("""COMPUTED_VALUE"""),"MS")</f>
        <v>MS</v>
      </c>
      <c r="R696" s="6">
        <f>IFERROR(__xludf.DUMMYFUNCTION("""COMPUTED_VALUE"""),0.0)</f>
        <v>0</v>
      </c>
      <c r="S696" s="6" t="str">
        <f>IFERROR(__xludf.DUMMYFUNCTION("""COMPUTED_VALUE"""),"Taylor Sweeney")</f>
        <v>Taylor Sweeney</v>
      </c>
      <c r="T696" s="6" t="str">
        <f>IFERROR(__xludf.DUMMYFUNCTION("""COMPUTED_VALUE"""),"taylor.sweeney@alpha.school")</f>
        <v>taylor.sweeney@alpha.school</v>
      </c>
      <c r="U696" s="6" t="str">
        <f>IFERROR(__xludf.DUMMYFUNCTION("""COMPUTED_VALUE"""),"8")</f>
        <v>8</v>
      </c>
      <c r="V696" s="6" t="str">
        <f>IFERROR(__xludf.DUMMYFUNCTION("""COMPUTED_VALUE"""),"")</f>
        <v/>
      </c>
      <c r="W696" s="6" t="str">
        <f>IFERROR(__xludf.DUMMYFUNCTION("""COMPUTED_VALUE"""),"[]")</f>
        <v>[]</v>
      </c>
      <c r="X696" s="6" t="str">
        <f>IFERROR(__xludf.DUMMYFUNCTION("""COMPUTED_VALUE"""),"Enrolled")</f>
        <v>Enrolled</v>
      </c>
    </row>
    <row r="697">
      <c r="A697" s="6" t="str">
        <f>IFERROR(__xludf.DUMMYFUNCTION("""COMPUTED_VALUE"""),"001-0917")</f>
        <v>001-0917</v>
      </c>
      <c r="B697" s="6" t="str">
        <f>IFERROR(__xludf.DUMMYFUNCTION("""COMPUTED_VALUE"""),"1")</f>
        <v>1</v>
      </c>
      <c r="C697" s="6" t="str">
        <f>IFERROR(__xludf.DUMMYFUNCTION("""COMPUTED_VALUE"""),"0917")</f>
        <v>0917</v>
      </c>
      <c r="D697" s="6" t="str">
        <f>IFERROR(__xludf.DUMMYFUNCTION("""COMPUTED_VALUE"""),"Ellen")</f>
        <v>Ellen</v>
      </c>
      <c r="E697" s="6" t="str">
        <f>IFERROR(__xludf.DUMMYFUNCTION("""COMPUTED_VALUE"""),"Ellen")</f>
        <v>Ellen</v>
      </c>
      <c r="F697" s="6" t="str">
        <f>IFERROR(__xludf.DUMMYFUNCTION("""COMPUTED_VALUE"""),"Meegan")</f>
        <v>Meegan</v>
      </c>
      <c r="G697" s="6" t="str">
        <f>IFERROR(__xludf.DUMMYFUNCTION("""COMPUTED_VALUE"""),"07/30/2014")</f>
        <v>07/30/2014</v>
      </c>
      <c r="H697" s="6" t="str">
        <f>IFERROR(__xludf.DUMMYFUNCTION("""COMPUTED_VALUE"""),"female")</f>
        <v>female</v>
      </c>
      <c r="I697" s="6" t="str">
        <f>IFERROR(__xludf.DUMMYFUNCTION("""COMPUTED_VALUE"""),"Middle School")</f>
        <v>Middle School</v>
      </c>
      <c r="J697" s="6" t="str">
        <f>IFERROR(__xludf.DUMMYFUNCTION("""COMPUTED_VALUE"""),"6")</f>
        <v>6</v>
      </c>
      <c r="K697" s="6" t="str">
        <f>IFERROR(__xludf.DUMMYFUNCTION("""COMPUTED_VALUE"""),"ellen.meegan@alpha.school")</f>
        <v>ellen.meegan@alpha.school</v>
      </c>
      <c r="L697" s="6" t="str">
        <f>IFERROR(__xludf.DUMMYFUNCTION("""COMPUTED_VALUE"""),"Alpha School Austin")</f>
        <v>Alpha School Austin</v>
      </c>
      <c r="M697" s="6" t="str">
        <f>IFERROR(__xludf.DUMMYFUNCTION("""COMPUTED_VALUE"""),"")</f>
        <v/>
      </c>
      <c r="N697" s="6" t="str">
        <f>IFERROR(__xludf.DUMMYFUNCTION("""COMPUTED_VALUE"""),"")</f>
        <v/>
      </c>
      <c r="O697" s="87" t="str">
        <f>IFERROR(__xludf.DUMMYFUNCTION("""COMPUTED_VALUE"""),"https://drive.google.com/drive/folders/10T2cTQHqEJZqE-st6uFKPoI?usp=share_link")</f>
        <v>https://drive.google.com/drive/folders/10T2cTQHqEJZqE-st6uFKPoI?usp=share_link</v>
      </c>
      <c r="P697" s="6" t="str">
        <f>IFERROR(__xludf.DUMMYFUNCTION("""COMPUTED_VALUE"""),"Ellen Meegan")</f>
        <v>Ellen Meegan</v>
      </c>
      <c r="Q697" s="6" t="str">
        <f>IFERROR(__xludf.DUMMYFUNCTION("""COMPUTED_VALUE"""),"MS")</f>
        <v>MS</v>
      </c>
      <c r="R697" s="6">
        <f>IFERROR(__xludf.DUMMYFUNCTION("""COMPUTED_VALUE"""),0.0)</f>
        <v>0</v>
      </c>
      <c r="S697" s="6" t="str">
        <f>IFERROR(__xludf.DUMMYFUNCTION("""COMPUTED_VALUE"""),"Shaas Singh")</f>
        <v>Shaas Singh</v>
      </c>
      <c r="T697" s="6" t="str">
        <f>IFERROR(__xludf.DUMMYFUNCTION("""COMPUTED_VALUE"""),"shaas.singh@alpha.school")</f>
        <v>shaas.singh@alpha.school</v>
      </c>
      <c r="U697" s="6" t="str">
        <f>IFERROR(__xludf.DUMMYFUNCTION("""COMPUTED_VALUE"""),"6")</f>
        <v>6</v>
      </c>
      <c r="V697" s="6" t="str">
        <f>IFERROR(__xludf.DUMMYFUNCTION("""COMPUTED_VALUE"""),"")</f>
        <v/>
      </c>
      <c r="W697" s="6" t="str">
        <f>IFERROR(__xludf.DUMMYFUNCTION("""COMPUTED_VALUE"""),"[]")</f>
        <v>[]</v>
      </c>
      <c r="X697" s="6" t="str">
        <f>IFERROR(__xludf.DUMMYFUNCTION("""COMPUTED_VALUE"""),"Enrolled")</f>
        <v>Enrolled</v>
      </c>
    </row>
    <row r="698">
      <c r="A698" s="6" t="str">
        <f>IFERROR(__xludf.DUMMYFUNCTION("""COMPUTED_VALUE"""),"001-0921")</f>
        <v>001-0921</v>
      </c>
      <c r="B698" s="6" t="str">
        <f>IFERROR(__xludf.DUMMYFUNCTION("""COMPUTED_VALUE"""),"1")</f>
        <v>1</v>
      </c>
      <c r="C698" s="6" t="str">
        <f>IFERROR(__xludf.DUMMYFUNCTION("""COMPUTED_VALUE"""),"0921")</f>
        <v>0921</v>
      </c>
      <c r="D698" s="6" t="str">
        <f>IFERROR(__xludf.DUMMYFUNCTION("""COMPUTED_VALUE"""),"Leopold")</f>
        <v>Leopold</v>
      </c>
      <c r="E698" s="6" t="str">
        <f>IFERROR(__xludf.DUMMYFUNCTION("""COMPUTED_VALUE"""),"Leo")</f>
        <v>Leo</v>
      </c>
      <c r="F698" s="6" t="str">
        <f>IFERROR(__xludf.DUMMYFUNCTION("""COMPUTED_VALUE"""),"Levy")</f>
        <v>Levy</v>
      </c>
      <c r="G698" s="6" t="str">
        <f>IFERROR(__xludf.DUMMYFUNCTION("""COMPUTED_VALUE"""),"02/28/2020")</f>
        <v>02/28/2020</v>
      </c>
      <c r="H698" s="6" t="str">
        <f>IFERROR(__xludf.DUMMYFUNCTION("""COMPUTED_VALUE"""),"male")</f>
        <v>male</v>
      </c>
      <c r="I698" s="6" t="str">
        <f>IFERROR(__xludf.DUMMYFUNCTION("""COMPUTED_VALUE"""),"Learning Lab")</f>
        <v>Learning Lab</v>
      </c>
      <c r="J698" s="6" t="str">
        <f>IFERROR(__xludf.DUMMYFUNCTION("""COMPUTED_VALUE"""),"K")</f>
        <v>K</v>
      </c>
      <c r="K698" s="6" t="str">
        <f>IFERROR(__xludf.DUMMYFUNCTION("""COMPUTED_VALUE"""),"leopold.levy@alpha.school")</f>
        <v>leopold.levy@alpha.school</v>
      </c>
      <c r="L698" s="6" t="str">
        <f>IFERROR(__xludf.DUMMYFUNCTION("""COMPUTED_VALUE"""),"Alpha School Austin")</f>
        <v>Alpha School Austin</v>
      </c>
      <c r="M698" s="6" t="str">
        <f>IFERROR(__xludf.DUMMYFUNCTION("""COMPUTED_VALUE"""),"")</f>
        <v/>
      </c>
      <c r="N698" s="6" t="str">
        <f>IFERROR(__xludf.DUMMYFUNCTION("""COMPUTED_VALUE"""),"")</f>
        <v/>
      </c>
      <c r="O698" s="87" t="str">
        <f>IFERROR(__xludf.DUMMYFUNCTION("""COMPUTED_VALUE"""),"https://drive.google.com/drive/folders/10T2cTQHqEJZqE-st6uFKPoI?usp=share_link")</f>
        <v>https://drive.google.com/drive/folders/10T2cTQHqEJZqE-st6uFKPoI?usp=share_link</v>
      </c>
      <c r="P698" s="6" t="str">
        <f>IFERROR(__xludf.DUMMYFUNCTION("""COMPUTED_VALUE"""),"Leo Levy")</f>
        <v>Leo Levy</v>
      </c>
      <c r="Q698" s="6" t="str">
        <f>IFERROR(__xludf.DUMMYFUNCTION("""COMPUTED_VALUE"""),"LL")</f>
        <v>LL</v>
      </c>
      <c r="R698" s="6">
        <f>IFERROR(__xludf.DUMMYFUNCTION("""COMPUTED_VALUE"""),0.0)</f>
        <v>0</v>
      </c>
      <c r="S698" s="6" t="str">
        <f>IFERROR(__xludf.DUMMYFUNCTION("""COMPUTED_VALUE"""),"Spencer Opatrny")</f>
        <v>Spencer Opatrny</v>
      </c>
      <c r="T698" s="6" t="str">
        <f>IFERROR(__xludf.DUMMYFUNCTION("""COMPUTED_VALUE"""),"spencer.opatrny@alpha.school")</f>
        <v>spencer.opatrny@alpha.school</v>
      </c>
      <c r="U698" s="6" t="str">
        <f>IFERROR(__xludf.DUMMYFUNCTION("""COMPUTED_VALUE"""),"K")</f>
        <v>K</v>
      </c>
      <c r="V698" s="6" t="str">
        <f>IFERROR(__xludf.DUMMYFUNCTION("""COMPUTED_VALUE"""),"")</f>
        <v/>
      </c>
      <c r="W698" s="6" t="str">
        <f>IFERROR(__xludf.DUMMYFUNCTION("""COMPUTED_VALUE"""),"[]")</f>
        <v>[]</v>
      </c>
      <c r="X698" s="6" t="str">
        <f>IFERROR(__xludf.DUMMYFUNCTION("""COMPUTED_VALUE"""),"Enrolled")</f>
        <v>Enrolled</v>
      </c>
    </row>
    <row r="699">
      <c r="A699" s="6" t="str">
        <f>IFERROR(__xludf.DUMMYFUNCTION("""COMPUTED_VALUE"""),"001-0951")</f>
        <v>001-0951</v>
      </c>
      <c r="B699" s="6" t="str">
        <f>IFERROR(__xludf.DUMMYFUNCTION("""COMPUTED_VALUE"""),"1")</f>
        <v>1</v>
      </c>
      <c r="C699" s="6" t="str">
        <f>IFERROR(__xludf.DUMMYFUNCTION("""COMPUTED_VALUE"""),"0951")</f>
        <v>0951</v>
      </c>
      <c r="D699" s="6" t="str">
        <f>IFERROR(__xludf.DUMMYFUNCTION("""COMPUTED_VALUE"""),"Aria")</f>
        <v>Aria</v>
      </c>
      <c r="E699" s="6" t="str">
        <f>IFERROR(__xludf.DUMMYFUNCTION("""COMPUTED_VALUE"""),"Aria")</f>
        <v>Aria</v>
      </c>
      <c r="F699" s="6" t="str">
        <f>IFERROR(__xludf.DUMMYFUNCTION("""COMPUTED_VALUE"""),"Nicholls")</f>
        <v>Nicholls</v>
      </c>
      <c r="G699" s="6" t="str">
        <f>IFERROR(__xludf.DUMMYFUNCTION("""COMPUTED_VALUE"""),"12/04/2020")</f>
        <v>12/04/2020</v>
      </c>
      <c r="H699" s="6" t="str">
        <f>IFERROR(__xludf.DUMMYFUNCTION("""COMPUTED_VALUE"""),"female")</f>
        <v>female</v>
      </c>
      <c r="I699" s="6" t="str">
        <f>IFERROR(__xludf.DUMMYFUNCTION("""COMPUTED_VALUE"""),"Wonder Lab")</f>
        <v>Wonder Lab</v>
      </c>
      <c r="J699" s="6" t="str">
        <f>IFERROR(__xludf.DUMMYFUNCTION("""COMPUTED_VALUE"""),"PK")</f>
        <v>PK</v>
      </c>
      <c r="K699" s="6" t="str">
        <f>IFERROR(__xludf.DUMMYFUNCTION("""COMPUTED_VALUE"""),"aria.nicholls@alpha.school")</f>
        <v>aria.nicholls@alpha.school</v>
      </c>
      <c r="L699" s="6" t="str">
        <f>IFERROR(__xludf.DUMMYFUNCTION("""COMPUTED_VALUE"""),"Alpha School Austin")</f>
        <v>Alpha School Austin</v>
      </c>
      <c r="M699" s="6" t="str">
        <f>IFERROR(__xludf.DUMMYFUNCTION("""COMPUTED_VALUE"""),"")</f>
        <v/>
      </c>
      <c r="N699" s="6" t="str">
        <f>IFERROR(__xludf.DUMMYFUNCTION("""COMPUTED_VALUE"""),"")</f>
        <v/>
      </c>
      <c r="O699" s="87" t="str">
        <f>IFERROR(__xludf.DUMMYFUNCTION("""COMPUTED_VALUE"""),"https://drive.google.com/drive/folders/10T2cTQHqEJZqE-st6uFKPoI?usp=share_link")</f>
        <v>https://drive.google.com/drive/folders/10T2cTQHqEJZqE-st6uFKPoI?usp=share_link</v>
      </c>
      <c r="P699" s="6" t="str">
        <f>IFERROR(__xludf.DUMMYFUNCTION("""COMPUTED_VALUE"""),"Aria Nicholls")</f>
        <v>Aria Nicholls</v>
      </c>
      <c r="Q699" s="6" t="str">
        <f>IFERROR(__xludf.DUMMYFUNCTION("""COMPUTED_VALUE"""),"WL")</f>
        <v>WL</v>
      </c>
      <c r="R699" s="6">
        <f>IFERROR(__xludf.DUMMYFUNCTION("""COMPUTED_VALUE"""),-1.0)</f>
        <v>-1</v>
      </c>
      <c r="S699" s="6" t="str">
        <f>IFERROR(__xludf.DUMMYFUNCTION("""COMPUTED_VALUE"""),"Mallory Carranza")</f>
        <v>Mallory Carranza</v>
      </c>
      <c r="T699" s="6" t="str">
        <f>IFERROR(__xludf.DUMMYFUNCTION("""COMPUTED_VALUE"""),"mallory.carranza@alpha.school")</f>
        <v>mallory.carranza@alpha.school</v>
      </c>
      <c r="U699" s="6" t="str">
        <f>IFERROR(__xludf.DUMMYFUNCTION("""COMPUTED_VALUE"""),"PK")</f>
        <v>PK</v>
      </c>
      <c r="V699" s="6" t="str">
        <f>IFERROR(__xludf.DUMMYFUNCTION("""COMPUTED_VALUE"""),"")</f>
        <v/>
      </c>
      <c r="W699" s="6" t="str">
        <f>IFERROR(__xludf.DUMMYFUNCTION("""COMPUTED_VALUE"""),"[]")</f>
        <v>[]</v>
      </c>
      <c r="X699" s="6" t="str">
        <f>IFERROR(__xludf.DUMMYFUNCTION("""COMPUTED_VALUE"""),"Enrolled")</f>
        <v>Enrolled</v>
      </c>
    </row>
    <row r="700">
      <c r="A700" s="6" t="str">
        <f>IFERROR(__xludf.DUMMYFUNCTION("""COMPUTED_VALUE"""),"001-0956")</f>
        <v>001-0956</v>
      </c>
      <c r="B700" s="6" t="str">
        <f>IFERROR(__xludf.DUMMYFUNCTION("""COMPUTED_VALUE"""),"1")</f>
        <v>1</v>
      </c>
      <c r="C700" s="6" t="str">
        <f>IFERROR(__xludf.DUMMYFUNCTION("""COMPUTED_VALUE"""),"0956")</f>
        <v>0956</v>
      </c>
      <c r="D700" s="6" t="str">
        <f>IFERROR(__xludf.DUMMYFUNCTION("""COMPUTED_VALUE"""),"Stella")</f>
        <v>Stella</v>
      </c>
      <c r="E700" s="6" t="str">
        <f>IFERROR(__xludf.DUMMYFUNCTION("""COMPUTED_VALUE"""),"Stella")</f>
        <v>Stella</v>
      </c>
      <c r="F700" s="6" t="str">
        <f>IFERROR(__xludf.DUMMYFUNCTION("""COMPUTED_VALUE"""),"Cole")</f>
        <v>Cole</v>
      </c>
      <c r="G700" s="6" t="str">
        <f>IFERROR(__xludf.DUMMYFUNCTION("""COMPUTED_VALUE"""),"05/25/2010")</f>
        <v>05/25/2010</v>
      </c>
      <c r="H700" s="6" t="str">
        <f>IFERROR(__xludf.DUMMYFUNCTION("""COMPUTED_VALUE"""),"female")</f>
        <v>female</v>
      </c>
      <c r="I700" s="6" t="str">
        <f>IFERROR(__xludf.DUMMYFUNCTION("""COMPUTED_VALUE"""),"High School")</f>
        <v>High School</v>
      </c>
      <c r="J700" s="6" t="str">
        <f>IFERROR(__xludf.DUMMYFUNCTION("""COMPUTED_VALUE"""),"10")</f>
        <v>10</v>
      </c>
      <c r="K700" s="6" t="str">
        <f>IFERROR(__xludf.DUMMYFUNCTION("""COMPUTED_VALUE"""),"stella.cole@alpha.school")</f>
        <v>stella.cole@alpha.school</v>
      </c>
      <c r="L700" s="6" t="str">
        <f>IFERROR(__xludf.DUMMYFUNCTION("""COMPUTED_VALUE"""),"Alpha High School")</f>
        <v>Alpha High School</v>
      </c>
      <c r="M700" s="6" t="str">
        <f>IFERROR(__xludf.DUMMYFUNCTION("""COMPUTED_VALUE"""),"")</f>
        <v/>
      </c>
      <c r="N700" s="6" t="str">
        <f>IFERROR(__xludf.DUMMYFUNCTION("""COMPUTED_VALUE"""),"")</f>
        <v/>
      </c>
      <c r="O700" s="87" t="str">
        <f>IFERROR(__xludf.DUMMYFUNCTION("""COMPUTED_VALUE"""),"https://drive.google.com/drive/folders/10T2cTQHqEJZqE-st6uFKPoI?usp=share_link")</f>
        <v>https://drive.google.com/drive/folders/10T2cTQHqEJZqE-st6uFKPoI?usp=share_link</v>
      </c>
      <c r="P700" s="6" t="str">
        <f>IFERROR(__xludf.DUMMYFUNCTION("""COMPUTED_VALUE"""),"Stella Cole")</f>
        <v>Stella Cole</v>
      </c>
      <c r="Q700" s="6" t="str">
        <f>IFERROR(__xludf.DUMMYFUNCTION("""COMPUTED_VALUE"""),"HS")</f>
        <v>HS</v>
      </c>
      <c r="R700" s="6">
        <f>IFERROR(__xludf.DUMMYFUNCTION("""COMPUTED_VALUE"""),0.0)</f>
        <v>0</v>
      </c>
      <c r="S700" s="6" t="str">
        <f>IFERROR(__xludf.DUMMYFUNCTION("""COMPUTED_VALUE"""),"Effy Phillips")</f>
        <v>Effy Phillips</v>
      </c>
      <c r="T700" s="6" t="str">
        <f>IFERROR(__xludf.DUMMYFUNCTION("""COMPUTED_VALUE"""),"effy.phillips@alpha.school")</f>
        <v>effy.phillips@alpha.school</v>
      </c>
      <c r="U700" s="6" t="str">
        <f>IFERROR(__xludf.DUMMYFUNCTION("""COMPUTED_VALUE"""),"10")</f>
        <v>10</v>
      </c>
      <c r="V700" s="6" t="str">
        <f>IFERROR(__xludf.DUMMYFUNCTION("""COMPUTED_VALUE"""),"")</f>
        <v/>
      </c>
      <c r="W700" s="6" t="str">
        <f>IFERROR(__xludf.DUMMYFUNCTION("""COMPUTED_VALUE"""),"[]")</f>
        <v>[]</v>
      </c>
      <c r="X700" s="6" t="str">
        <f>IFERROR(__xludf.DUMMYFUNCTION("""COMPUTED_VALUE"""),"Enrolled")</f>
        <v>Enrolled</v>
      </c>
    </row>
    <row r="701">
      <c r="A701" s="6" t="str">
        <f>IFERROR(__xludf.DUMMYFUNCTION("""COMPUTED_VALUE"""),"001-0959")</f>
        <v>001-0959</v>
      </c>
      <c r="B701" s="6" t="str">
        <f>IFERROR(__xludf.DUMMYFUNCTION("""COMPUTED_VALUE"""),"1")</f>
        <v>1</v>
      </c>
      <c r="C701" s="6" t="str">
        <f>IFERROR(__xludf.DUMMYFUNCTION("""COMPUTED_VALUE"""),"0959")</f>
        <v>0959</v>
      </c>
      <c r="D701" s="6" t="str">
        <f>IFERROR(__xludf.DUMMYFUNCTION("""COMPUTED_VALUE"""),"Helio")</f>
        <v>Helio</v>
      </c>
      <c r="E701" s="6" t="str">
        <f>IFERROR(__xludf.DUMMYFUNCTION("""COMPUTED_VALUE"""),"Helio")</f>
        <v>Helio</v>
      </c>
      <c r="F701" s="6" t="str">
        <f>IFERROR(__xludf.DUMMYFUNCTION("""COMPUTED_VALUE"""),"Ortiz")</f>
        <v>Ortiz</v>
      </c>
      <c r="G701" s="6" t="str">
        <f>IFERROR(__xludf.DUMMYFUNCTION("""COMPUTED_VALUE"""),"08/04/2014")</f>
        <v>08/04/2014</v>
      </c>
      <c r="H701" s="6" t="str">
        <f>IFERROR(__xludf.DUMMYFUNCTION("""COMPUTED_VALUE"""),"male")</f>
        <v>male</v>
      </c>
      <c r="I701" s="6" t="str">
        <f>IFERROR(__xludf.DUMMYFUNCTION("""COMPUTED_VALUE"""),"Level 2")</f>
        <v>Level 2</v>
      </c>
      <c r="J701" s="6" t="str">
        <f>IFERROR(__xludf.DUMMYFUNCTION("""COMPUTED_VALUE"""),"5")</f>
        <v>5</v>
      </c>
      <c r="K701" s="6" t="str">
        <f>IFERROR(__xludf.DUMMYFUNCTION("""COMPUTED_VALUE"""),"helio.ortiz@alpha.school")</f>
        <v>helio.ortiz@alpha.school</v>
      </c>
      <c r="L701" s="6" t="str">
        <f>IFERROR(__xludf.DUMMYFUNCTION("""COMPUTED_VALUE"""),"Alpha School Austin")</f>
        <v>Alpha School Austin</v>
      </c>
      <c r="M701" s="6" t="str">
        <f>IFERROR(__xludf.DUMMYFUNCTION("""COMPUTED_VALUE"""),"")</f>
        <v/>
      </c>
      <c r="N701" s="6" t="str">
        <f>IFERROR(__xludf.DUMMYFUNCTION("""COMPUTED_VALUE"""),"")</f>
        <v/>
      </c>
      <c r="O701" s="87" t="str">
        <f>IFERROR(__xludf.DUMMYFUNCTION("""COMPUTED_VALUE"""),"https://drive.google.com/drive/folders/10T2cTQHqEJZqE-st6uFKPoI?usp=share_link")</f>
        <v>https://drive.google.com/drive/folders/10T2cTQHqEJZqE-st6uFKPoI?usp=share_link</v>
      </c>
      <c r="P701" s="6" t="str">
        <f>IFERROR(__xludf.DUMMYFUNCTION("""COMPUTED_VALUE"""),"Helio Ortiz")</f>
        <v>Helio Ortiz</v>
      </c>
      <c r="Q701" s="6" t="str">
        <f>IFERROR(__xludf.DUMMYFUNCTION("""COMPUTED_VALUE"""),"L2")</f>
        <v>L2</v>
      </c>
      <c r="R701" s="6">
        <f>IFERROR(__xludf.DUMMYFUNCTION("""COMPUTED_VALUE"""),2.0)</f>
        <v>2</v>
      </c>
      <c r="S701" s="6" t="str">
        <f>IFERROR(__xludf.DUMMYFUNCTION("""COMPUTED_VALUE"""),"Brittany Kemme")</f>
        <v>Brittany Kemme</v>
      </c>
      <c r="T701" s="6" t="str">
        <f>IFERROR(__xludf.DUMMYFUNCTION("""COMPUTED_VALUE"""),"brittany.kemme@alpha.school")</f>
        <v>brittany.kemme@alpha.school</v>
      </c>
      <c r="U701" s="6" t="str">
        <f>IFERROR(__xludf.DUMMYFUNCTION("""COMPUTED_VALUE"""),"5")</f>
        <v>5</v>
      </c>
      <c r="V701" s="6" t="str">
        <f>IFERROR(__xludf.DUMMYFUNCTION("""COMPUTED_VALUE"""),"")</f>
        <v/>
      </c>
      <c r="W701" s="6" t="str">
        <f>IFERROR(__xludf.DUMMYFUNCTION("""COMPUTED_VALUE"""),"[]")</f>
        <v>[]</v>
      </c>
      <c r="X701" s="6" t="str">
        <f>IFERROR(__xludf.DUMMYFUNCTION("""COMPUTED_VALUE"""),"Enrolled")</f>
        <v>Enrolled</v>
      </c>
    </row>
    <row r="702">
      <c r="A702" s="6" t="str">
        <f>IFERROR(__xludf.DUMMYFUNCTION("""COMPUTED_VALUE"""),"001-0962")</f>
        <v>001-0962</v>
      </c>
      <c r="B702" s="6" t="str">
        <f>IFERROR(__xludf.DUMMYFUNCTION("""COMPUTED_VALUE"""),"1")</f>
        <v>1</v>
      </c>
      <c r="C702" s="6" t="str">
        <f>IFERROR(__xludf.DUMMYFUNCTION("""COMPUTED_VALUE"""),"0962")</f>
        <v>0962</v>
      </c>
      <c r="D702" s="6" t="str">
        <f>IFERROR(__xludf.DUMMYFUNCTION("""COMPUTED_VALUE"""),"Ezra")</f>
        <v>Ezra</v>
      </c>
      <c r="E702" s="6" t="str">
        <f>IFERROR(__xludf.DUMMYFUNCTION("""COMPUTED_VALUE"""),"")</f>
        <v/>
      </c>
      <c r="F702" s="6" t="str">
        <f>IFERROR(__xludf.DUMMYFUNCTION("""COMPUTED_VALUE"""),"Allred")</f>
        <v>Allred</v>
      </c>
      <c r="G702" s="6" t="str">
        <f>IFERROR(__xludf.DUMMYFUNCTION("""COMPUTED_VALUE"""),"02/12/2018")</f>
        <v>02/12/2018</v>
      </c>
      <c r="H702" s="6" t="str">
        <f>IFERROR(__xludf.DUMMYFUNCTION("""COMPUTED_VALUE"""),"male")</f>
        <v>male</v>
      </c>
      <c r="I702" s="6" t="str">
        <f>IFERROR(__xludf.DUMMYFUNCTION("""COMPUTED_VALUE"""),"Level 1")</f>
        <v>Level 1</v>
      </c>
      <c r="J702" s="6" t="str">
        <f>IFERROR(__xludf.DUMMYFUNCTION("""COMPUTED_VALUE"""),"2")</f>
        <v>2</v>
      </c>
      <c r="K702" s="6" t="str">
        <f>IFERROR(__xludf.DUMMYFUNCTION("""COMPUTED_VALUE"""),"ezra.allred@alpha.school")</f>
        <v>ezra.allred@alpha.school</v>
      </c>
      <c r="L702" s="6" t="str">
        <f>IFERROR(__xludf.DUMMYFUNCTION("""COMPUTED_VALUE"""),"Alpha School Austin")</f>
        <v>Alpha School Austin</v>
      </c>
      <c r="M702" s="6" t="str">
        <f>IFERROR(__xludf.DUMMYFUNCTION("""COMPUTED_VALUE"""),"")</f>
        <v/>
      </c>
      <c r="N702" s="6" t="str">
        <f>IFERROR(__xludf.DUMMYFUNCTION("""COMPUTED_VALUE"""),"")</f>
        <v/>
      </c>
      <c r="O702" s="87" t="str">
        <f>IFERROR(__xludf.DUMMYFUNCTION("""COMPUTED_VALUE"""),"https://drive.google.com/drive/folders/10T2cTQHqEJZqE-st6uFKPoI?usp=share_link")</f>
        <v>https://drive.google.com/drive/folders/10T2cTQHqEJZqE-st6uFKPoI?usp=share_link</v>
      </c>
      <c r="P702" s="6" t="str">
        <f>IFERROR(__xludf.DUMMYFUNCTION("""COMPUTED_VALUE"""),"Ezra Allred")</f>
        <v>Ezra Allred</v>
      </c>
      <c r="Q702" s="6" t="str">
        <f>IFERROR(__xludf.DUMMYFUNCTION("""COMPUTED_VALUE"""),"L1")</f>
        <v>L1</v>
      </c>
      <c r="R702" s="6">
        <f>IFERROR(__xludf.DUMMYFUNCTION("""COMPUTED_VALUE"""),1.0)</f>
        <v>1</v>
      </c>
      <c r="S702" s="6" t="str">
        <f>IFERROR(__xludf.DUMMYFUNCTION("""COMPUTED_VALUE"""),"Jacob Frisch")</f>
        <v>Jacob Frisch</v>
      </c>
      <c r="T702" s="6" t="str">
        <f>IFERROR(__xludf.DUMMYFUNCTION("""COMPUTED_VALUE"""),"jacob.frisch@2hourlearning.com")</f>
        <v>jacob.frisch@2hourlearning.com</v>
      </c>
      <c r="U702" s="6" t="str">
        <f>IFERROR(__xludf.DUMMYFUNCTION("""COMPUTED_VALUE"""),"2")</f>
        <v>2</v>
      </c>
      <c r="V702" s="6" t="str">
        <f>IFERROR(__xludf.DUMMYFUNCTION("""COMPUTED_VALUE"""),"")</f>
        <v/>
      </c>
      <c r="W702" s="6" t="str">
        <f>IFERROR(__xludf.DUMMYFUNCTION("""COMPUTED_VALUE"""),"[]")</f>
        <v>[]</v>
      </c>
      <c r="X702" s="6" t="str">
        <f>IFERROR(__xludf.DUMMYFUNCTION("""COMPUTED_VALUE"""),"Enrolled")</f>
        <v>Enrolled</v>
      </c>
    </row>
    <row r="703">
      <c r="A703" s="6" t="str">
        <f>IFERROR(__xludf.DUMMYFUNCTION("""COMPUTED_VALUE"""),"001-0963")</f>
        <v>001-0963</v>
      </c>
      <c r="B703" s="6" t="str">
        <f>IFERROR(__xludf.DUMMYFUNCTION("""COMPUTED_VALUE"""),"1")</f>
        <v>1</v>
      </c>
      <c r="C703" s="6" t="str">
        <f>IFERROR(__xludf.DUMMYFUNCTION("""COMPUTED_VALUE"""),"0963")</f>
        <v>0963</v>
      </c>
      <c r="D703" s="6" t="str">
        <f>IFERROR(__xludf.DUMMYFUNCTION("""COMPUTED_VALUE"""),"Brooklyn")</f>
        <v>Brooklyn</v>
      </c>
      <c r="E703" s="6" t="str">
        <f>IFERROR(__xludf.DUMMYFUNCTION("""COMPUTED_VALUE"""),"Brooklyn")</f>
        <v>Brooklyn</v>
      </c>
      <c r="F703" s="6" t="str">
        <f>IFERROR(__xludf.DUMMYFUNCTION("""COMPUTED_VALUE"""),"Allred")</f>
        <v>Allred</v>
      </c>
      <c r="G703" s="6" t="str">
        <f>IFERROR(__xludf.DUMMYFUNCTION("""COMPUTED_VALUE"""),"08/10/2015")</f>
        <v>08/10/2015</v>
      </c>
      <c r="H703" s="6" t="str">
        <f>IFERROR(__xludf.DUMMYFUNCTION("""COMPUTED_VALUE"""),"female")</f>
        <v>female</v>
      </c>
      <c r="I703" s="6" t="str">
        <f>IFERROR(__xludf.DUMMYFUNCTION("""COMPUTED_VALUE"""),"Level 2")</f>
        <v>Level 2</v>
      </c>
      <c r="J703" s="6" t="str">
        <f>IFERROR(__xludf.DUMMYFUNCTION("""COMPUTED_VALUE"""),"5")</f>
        <v>5</v>
      </c>
      <c r="K703" s="6" t="str">
        <f>IFERROR(__xludf.DUMMYFUNCTION("""COMPUTED_VALUE"""),"brooklyn.allred@alpha.school")</f>
        <v>brooklyn.allred@alpha.school</v>
      </c>
      <c r="L703" s="6" t="str">
        <f>IFERROR(__xludf.DUMMYFUNCTION("""COMPUTED_VALUE"""),"Alpha School Austin")</f>
        <v>Alpha School Austin</v>
      </c>
      <c r="M703" s="6" t="str">
        <f>IFERROR(__xludf.DUMMYFUNCTION("""COMPUTED_VALUE"""),"")</f>
        <v/>
      </c>
      <c r="N703" s="6" t="str">
        <f>IFERROR(__xludf.DUMMYFUNCTION("""COMPUTED_VALUE"""),"")</f>
        <v/>
      </c>
      <c r="O703" s="87" t="str">
        <f>IFERROR(__xludf.DUMMYFUNCTION("""COMPUTED_VALUE"""),"https://drive.google.com/drive/folders/10T2cTQHqEJZqE-st6uFKPoI?usp=share_link")</f>
        <v>https://drive.google.com/drive/folders/10T2cTQHqEJZqE-st6uFKPoI?usp=share_link</v>
      </c>
      <c r="P703" s="6" t="str">
        <f>IFERROR(__xludf.DUMMYFUNCTION("""COMPUTED_VALUE"""),"Brooklyn Allred")</f>
        <v>Brooklyn Allred</v>
      </c>
      <c r="Q703" s="6" t="str">
        <f>IFERROR(__xludf.DUMMYFUNCTION("""COMPUTED_VALUE"""),"L2")</f>
        <v>L2</v>
      </c>
      <c r="R703" s="6">
        <f>IFERROR(__xludf.DUMMYFUNCTION("""COMPUTED_VALUE"""),2.0)</f>
        <v>2</v>
      </c>
      <c r="S703" s="6" t="str">
        <f>IFERROR(__xludf.DUMMYFUNCTION("""COMPUTED_VALUE"""),"Brittany Kemme")</f>
        <v>Brittany Kemme</v>
      </c>
      <c r="T703" s="6" t="str">
        <f>IFERROR(__xludf.DUMMYFUNCTION("""COMPUTED_VALUE"""),"brittany.kemme@alpha.school")</f>
        <v>brittany.kemme@alpha.school</v>
      </c>
      <c r="U703" s="6" t="str">
        <f>IFERROR(__xludf.DUMMYFUNCTION("""COMPUTED_VALUE"""),"5")</f>
        <v>5</v>
      </c>
      <c r="V703" s="6" t="str">
        <f>IFERROR(__xludf.DUMMYFUNCTION("""COMPUTED_VALUE"""),"")</f>
        <v/>
      </c>
      <c r="W703" s="6" t="str">
        <f>IFERROR(__xludf.DUMMYFUNCTION("""COMPUTED_VALUE"""),"[]")</f>
        <v>[]</v>
      </c>
      <c r="X703" s="6" t="str">
        <f>IFERROR(__xludf.DUMMYFUNCTION("""COMPUTED_VALUE"""),"Enrolled")</f>
        <v>Enrolled</v>
      </c>
    </row>
    <row r="704">
      <c r="A704" s="6" t="str">
        <f>IFERROR(__xludf.DUMMYFUNCTION("""COMPUTED_VALUE"""),"001-0966")</f>
        <v>001-0966</v>
      </c>
      <c r="B704" s="6" t="str">
        <f>IFERROR(__xludf.DUMMYFUNCTION("""COMPUTED_VALUE"""),"1")</f>
        <v>1</v>
      </c>
      <c r="C704" s="6" t="str">
        <f>IFERROR(__xludf.DUMMYFUNCTION("""COMPUTED_VALUE"""),"0966")</f>
        <v>0966</v>
      </c>
      <c r="D704" s="6" t="str">
        <f>IFERROR(__xludf.DUMMYFUNCTION("""COMPUTED_VALUE"""),"James")</f>
        <v>James</v>
      </c>
      <c r="E704" s="6" t="str">
        <f>IFERROR(__xludf.DUMMYFUNCTION("""COMPUTED_VALUE"""),"James")</f>
        <v>James</v>
      </c>
      <c r="F704" s="6" t="str">
        <f>IFERROR(__xludf.DUMMYFUNCTION("""COMPUTED_VALUE"""),"Chao-Breyer")</f>
        <v>Chao-Breyer</v>
      </c>
      <c r="G704" s="6" t="str">
        <f>IFERROR(__xludf.DUMMYFUNCTION("""COMPUTED_VALUE"""),"04/17/2020")</f>
        <v>04/17/2020</v>
      </c>
      <c r="H704" s="6" t="str">
        <f>IFERROR(__xludf.DUMMYFUNCTION("""COMPUTED_VALUE"""),"male")</f>
        <v>male</v>
      </c>
      <c r="I704" s="6" t="str">
        <f>IFERROR(__xludf.DUMMYFUNCTION("""COMPUTED_VALUE"""),"Learning Lab")</f>
        <v>Learning Lab</v>
      </c>
      <c r="J704" s="6" t="str">
        <f>IFERROR(__xludf.DUMMYFUNCTION("""COMPUTED_VALUE"""),"K")</f>
        <v>K</v>
      </c>
      <c r="K704" s="6" t="str">
        <f>IFERROR(__xludf.DUMMYFUNCTION("""COMPUTED_VALUE"""),"james.chao-breyer@alpha.school")</f>
        <v>james.chao-breyer@alpha.school</v>
      </c>
      <c r="L704" s="6" t="str">
        <f>IFERROR(__xludf.DUMMYFUNCTION("""COMPUTED_VALUE"""),"Alpha School Austin")</f>
        <v>Alpha School Austin</v>
      </c>
      <c r="M704" s="6" t="str">
        <f>IFERROR(__xludf.DUMMYFUNCTION("""COMPUTED_VALUE"""),"")</f>
        <v/>
      </c>
      <c r="N704" s="6" t="str">
        <f>IFERROR(__xludf.DUMMYFUNCTION("""COMPUTED_VALUE"""),"")</f>
        <v/>
      </c>
      <c r="O704" s="87" t="str">
        <f>IFERROR(__xludf.DUMMYFUNCTION("""COMPUTED_VALUE"""),"https://drive.google.com/drive/folders/10T2cTQHqEJZqE-st6uFKPoI?usp=share_link")</f>
        <v>https://drive.google.com/drive/folders/10T2cTQHqEJZqE-st6uFKPoI?usp=share_link</v>
      </c>
      <c r="P704" s="6" t="str">
        <f>IFERROR(__xludf.DUMMYFUNCTION("""COMPUTED_VALUE"""),"James Chao-Breyer")</f>
        <v>James Chao-Breyer</v>
      </c>
      <c r="Q704" s="6" t="str">
        <f>IFERROR(__xludf.DUMMYFUNCTION("""COMPUTED_VALUE"""),"LL")</f>
        <v>LL</v>
      </c>
      <c r="R704" s="6">
        <f>IFERROR(__xludf.DUMMYFUNCTION("""COMPUTED_VALUE"""),0.0)</f>
        <v>0</v>
      </c>
      <c r="S704" s="6" t="str">
        <f>IFERROR(__xludf.DUMMYFUNCTION("""COMPUTED_VALUE"""),"Cole Dougherty")</f>
        <v>Cole Dougherty</v>
      </c>
      <c r="T704" s="6" t="str">
        <f>IFERROR(__xludf.DUMMYFUNCTION("""COMPUTED_VALUE"""),"cole.dougherty@alpha.school")</f>
        <v>cole.dougherty@alpha.school</v>
      </c>
      <c r="U704" s="6" t="str">
        <f>IFERROR(__xludf.DUMMYFUNCTION("""COMPUTED_VALUE"""),"K")</f>
        <v>K</v>
      </c>
      <c r="V704" s="6" t="str">
        <f>IFERROR(__xludf.DUMMYFUNCTION("""COMPUTED_VALUE"""),"")</f>
        <v/>
      </c>
      <c r="W704" s="6" t="str">
        <f>IFERROR(__xludf.DUMMYFUNCTION("""COMPUTED_VALUE"""),"[]")</f>
        <v>[]</v>
      </c>
      <c r="X704" s="6" t="str">
        <f>IFERROR(__xludf.DUMMYFUNCTION("""COMPUTED_VALUE"""),"Enrolled")</f>
        <v>Enrolled</v>
      </c>
    </row>
    <row r="705">
      <c r="A705" s="6" t="str">
        <f>IFERROR(__xludf.DUMMYFUNCTION("""COMPUTED_VALUE"""),"001-0969")</f>
        <v>001-0969</v>
      </c>
      <c r="B705" s="6" t="str">
        <f>IFERROR(__xludf.DUMMYFUNCTION("""COMPUTED_VALUE"""),"1")</f>
        <v>1</v>
      </c>
      <c r="C705" s="6" t="str">
        <f>IFERROR(__xludf.DUMMYFUNCTION("""COMPUTED_VALUE"""),"0969")</f>
        <v>0969</v>
      </c>
      <c r="D705" s="6" t="str">
        <f>IFERROR(__xludf.DUMMYFUNCTION("""COMPUTED_VALUE"""),"Miguel")</f>
        <v>Miguel</v>
      </c>
      <c r="E705" s="6" t="str">
        <f>IFERROR(__xludf.DUMMYFUNCTION("""COMPUTED_VALUE"""),"")</f>
        <v/>
      </c>
      <c r="F705" s="6" t="str">
        <f>IFERROR(__xludf.DUMMYFUNCTION("""COMPUTED_VALUE"""),"Bash")</f>
        <v>Bash</v>
      </c>
      <c r="G705" s="6" t="str">
        <f>IFERROR(__xludf.DUMMYFUNCTION("""COMPUTED_VALUE"""),"03/24/2021")</f>
        <v>03/24/2021</v>
      </c>
      <c r="H705" s="6" t="str">
        <f>IFERROR(__xludf.DUMMYFUNCTION("""COMPUTED_VALUE"""),"male")</f>
        <v>male</v>
      </c>
      <c r="I705" s="6" t="str">
        <f>IFERROR(__xludf.DUMMYFUNCTION("""COMPUTED_VALUE"""),"Wonder Lab")</f>
        <v>Wonder Lab</v>
      </c>
      <c r="J705" s="6" t="str">
        <f>IFERROR(__xludf.DUMMYFUNCTION("""COMPUTED_VALUE"""),"PK")</f>
        <v>PK</v>
      </c>
      <c r="K705" s="6" t="str">
        <f>IFERROR(__xludf.DUMMYFUNCTION("""COMPUTED_VALUE"""),"miguel.bash@alpha.school")</f>
        <v>miguel.bash@alpha.school</v>
      </c>
      <c r="L705" s="6" t="str">
        <f>IFERROR(__xludf.DUMMYFUNCTION("""COMPUTED_VALUE"""),"Alpha School Austin")</f>
        <v>Alpha School Austin</v>
      </c>
      <c r="M705" s="6" t="str">
        <f>IFERROR(__xludf.DUMMYFUNCTION("""COMPUTED_VALUE"""),"")</f>
        <v/>
      </c>
      <c r="N705" s="6" t="str">
        <f>IFERROR(__xludf.DUMMYFUNCTION("""COMPUTED_VALUE"""),"")</f>
        <v/>
      </c>
      <c r="O705" s="87" t="str">
        <f>IFERROR(__xludf.DUMMYFUNCTION("""COMPUTED_VALUE"""),"https://drive.google.com/drive/folders/10T2cTQHqEJZqE-st6uFKPoI?usp=share_link")</f>
        <v>https://drive.google.com/drive/folders/10T2cTQHqEJZqE-st6uFKPoI?usp=share_link</v>
      </c>
      <c r="P705" s="6" t="str">
        <f>IFERROR(__xludf.DUMMYFUNCTION("""COMPUTED_VALUE"""),"Miguel Bash")</f>
        <v>Miguel Bash</v>
      </c>
      <c r="Q705" s="6" t="str">
        <f>IFERROR(__xludf.DUMMYFUNCTION("""COMPUTED_VALUE"""),"WL")</f>
        <v>WL</v>
      </c>
      <c r="R705" s="6">
        <f>IFERROR(__xludf.DUMMYFUNCTION("""COMPUTED_VALUE"""),-1.0)</f>
        <v>-1</v>
      </c>
      <c r="S705" s="6" t="str">
        <f>IFERROR(__xludf.DUMMYFUNCTION("""COMPUTED_VALUE"""),"Anna Slaby")</f>
        <v>Anna Slaby</v>
      </c>
      <c r="T705" s="6" t="str">
        <f>IFERROR(__xludf.DUMMYFUNCTION("""COMPUTED_VALUE"""),"anna.slaby@alpha.school")</f>
        <v>anna.slaby@alpha.school</v>
      </c>
      <c r="U705" s="6" t="str">
        <f>IFERROR(__xludf.DUMMYFUNCTION("""COMPUTED_VALUE"""),"PK")</f>
        <v>PK</v>
      </c>
      <c r="V705" s="6" t="str">
        <f>IFERROR(__xludf.DUMMYFUNCTION("""COMPUTED_VALUE"""),"")</f>
        <v/>
      </c>
      <c r="W705" s="6" t="str">
        <f>IFERROR(__xludf.DUMMYFUNCTION("""COMPUTED_VALUE"""),"[]")</f>
        <v>[]</v>
      </c>
      <c r="X705" s="6" t="str">
        <f>IFERROR(__xludf.DUMMYFUNCTION("""COMPUTED_VALUE"""),"Enrolled")</f>
        <v>Enrolled</v>
      </c>
    </row>
    <row r="706">
      <c r="A706" s="6" t="str">
        <f>IFERROR(__xludf.DUMMYFUNCTION("""COMPUTED_VALUE"""),"001-0975")</f>
        <v>001-0975</v>
      </c>
      <c r="B706" s="6" t="str">
        <f>IFERROR(__xludf.DUMMYFUNCTION("""COMPUTED_VALUE"""),"1")</f>
        <v>1</v>
      </c>
      <c r="C706" s="6" t="str">
        <f>IFERROR(__xludf.DUMMYFUNCTION("""COMPUTED_VALUE"""),"0975")</f>
        <v>0975</v>
      </c>
      <c r="D706" s="6" t="str">
        <f>IFERROR(__xludf.DUMMYFUNCTION("""COMPUTED_VALUE"""),"Nora")</f>
        <v>Nora</v>
      </c>
      <c r="E706" s="6" t="str">
        <f>IFERROR(__xludf.DUMMYFUNCTION("""COMPUTED_VALUE"""),"")</f>
        <v/>
      </c>
      <c r="F706" s="6" t="str">
        <f>IFERROR(__xludf.DUMMYFUNCTION("""COMPUTED_VALUE"""),"Rosenthal")</f>
        <v>Rosenthal</v>
      </c>
      <c r="G706" s="6" t="str">
        <f>IFERROR(__xludf.DUMMYFUNCTION("""COMPUTED_VALUE"""),"01/22/2020")</f>
        <v>01/22/2020</v>
      </c>
      <c r="H706" s="6" t="str">
        <f>IFERROR(__xludf.DUMMYFUNCTION("""COMPUTED_VALUE"""),"female")</f>
        <v>female</v>
      </c>
      <c r="I706" s="6" t="str">
        <f>IFERROR(__xludf.DUMMYFUNCTION("""COMPUTED_VALUE"""),"Learning Lab")</f>
        <v>Learning Lab</v>
      </c>
      <c r="J706" s="6" t="str">
        <f>IFERROR(__xludf.DUMMYFUNCTION("""COMPUTED_VALUE"""),"K")</f>
        <v>K</v>
      </c>
      <c r="K706" s="6" t="str">
        <f>IFERROR(__xludf.DUMMYFUNCTION("""COMPUTED_VALUE"""),"nora.rosenthal@alpha.school")</f>
        <v>nora.rosenthal@alpha.school</v>
      </c>
      <c r="L706" s="6" t="str">
        <f>IFERROR(__xludf.DUMMYFUNCTION("""COMPUTED_VALUE"""),"Alpha School Austin")</f>
        <v>Alpha School Austin</v>
      </c>
      <c r="M706" s="6" t="str">
        <f>IFERROR(__xludf.DUMMYFUNCTION("""COMPUTED_VALUE"""),"")</f>
        <v/>
      </c>
      <c r="N706" s="6" t="str">
        <f>IFERROR(__xludf.DUMMYFUNCTION("""COMPUTED_VALUE"""),"")</f>
        <v/>
      </c>
      <c r="O706" s="87" t="str">
        <f>IFERROR(__xludf.DUMMYFUNCTION("""COMPUTED_VALUE"""),"https://drive.google.com/drive/folders/10T2cTQHqEJZqE-st6uFKPoI?usp=share_link")</f>
        <v>https://drive.google.com/drive/folders/10T2cTQHqEJZqE-st6uFKPoI?usp=share_link</v>
      </c>
      <c r="P706" s="6" t="str">
        <f>IFERROR(__xludf.DUMMYFUNCTION("""COMPUTED_VALUE"""),"Nora Rosenthal")</f>
        <v>Nora Rosenthal</v>
      </c>
      <c r="Q706" s="6" t="str">
        <f>IFERROR(__xludf.DUMMYFUNCTION("""COMPUTED_VALUE"""),"LL")</f>
        <v>LL</v>
      </c>
      <c r="R706" s="6">
        <f>IFERROR(__xludf.DUMMYFUNCTION("""COMPUTED_VALUE"""),0.0)</f>
        <v>0</v>
      </c>
      <c r="S706" s="6" t="str">
        <f>IFERROR(__xludf.DUMMYFUNCTION("""COMPUTED_VALUE"""),"Darby Knox")</f>
        <v>Darby Knox</v>
      </c>
      <c r="T706" s="6" t="str">
        <f>IFERROR(__xludf.DUMMYFUNCTION("""COMPUTED_VALUE"""),"darby.knox@alpha.school")</f>
        <v>darby.knox@alpha.school</v>
      </c>
      <c r="U706" s="6" t="str">
        <f>IFERROR(__xludf.DUMMYFUNCTION("""COMPUTED_VALUE"""),"K")</f>
        <v>K</v>
      </c>
      <c r="V706" s="6" t="str">
        <f>IFERROR(__xludf.DUMMYFUNCTION("""COMPUTED_VALUE"""),"")</f>
        <v/>
      </c>
      <c r="W706" s="6" t="str">
        <f>IFERROR(__xludf.DUMMYFUNCTION("""COMPUTED_VALUE"""),"[]")</f>
        <v>[]</v>
      </c>
      <c r="X706" s="6" t="str">
        <f>IFERROR(__xludf.DUMMYFUNCTION("""COMPUTED_VALUE"""),"Enrolled")</f>
        <v>Enrolled</v>
      </c>
    </row>
    <row r="707">
      <c r="A707" s="6" t="str">
        <f>IFERROR(__xludf.DUMMYFUNCTION("""COMPUTED_VALUE"""),"001-0987")</f>
        <v>001-0987</v>
      </c>
      <c r="B707" s="6" t="str">
        <f>IFERROR(__xludf.DUMMYFUNCTION("""COMPUTED_VALUE"""),"1")</f>
        <v>1</v>
      </c>
      <c r="C707" s="6" t="str">
        <f>IFERROR(__xludf.DUMMYFUNCTION("""COMPUTED_VALUE"""),"0987")</f>
        <v>0987</v>
      </c>
      <c r="D707" s="6" t="str">
        <f>IFERROR(__xludf.DUMMYFUNCTION("""COMPUTED_VALUE"""),"Oliver")</f>
        <v>Oliver</v>
      </c>
      <c r="E707" s="6" t="str">
        <f>IFERROR(__xludf.DUMMYFUNCTION("""COMPUTED_VALUE"""),"Oliver")</f>
        <v>Oliver</v>
      </c>
      <c r="F707" s="6" t="str">
        <f>IFERROR(__xludf.DUMMYFUNCTION("""COMPUTED_VALUE"""),"Overton")</f>
        <v>Overton</v>
      </c>
      <c r="G707" s="6" t="str">
        <f>IFERROR(__xludf.DUMMYFUNCTION("""COMPUTED_VALUE"""),"03/21/2016")</f>
        <v>03/21/2016</v>
      </c>
      <c r="H707" s="6" t="str">
        <f>IFERROR(__xludf.DUMMYFUNCTION("""COMPUTED_VALUE"""),"male")</f>
        <v>male</v>
      </c>
      <c r="I707" s="6" t="str">
        <f>IFERROR(__xludf.DUMMYFUNCTION("""COMPUTED_VALUE"""),"Level 2")</f>
        <v>Level 2</v>
      </c>
      <c r="J707" s="6" t="str">
        <f>IFERROR(__xludf.DUMMYFUNCTION("""COMPUTED_VALUE"""),"4")</f>
        <v>4</v>
      </c>
      <c r="K707" s="6" t="str">
        <f>IFERROR(__xludf.DUMMYFUNCTION("""COMPUTED_VALUE"""),"oliver.overton@alpha.school")</f>
        <v>oliver.overton@alpha.school</v>
      </c>
      <c r="L707" s="6" t="str">
        <f>IFERROR(__xludf.DUMMYFUNCTION("""COMPUTED_VALUE"""),"Alpha School Austin")</f>
        <v>Alpha School Austin</v>
      </c>
      <c r="M707" s="6" t="str">
        <f>IFERROR(__xludf.DUMMYFUNCTION("""COMPUTED_VALUE"""),"")</f>
        <v/>
      </c>
      <c r="N707" s="6" t="str">
        <f>IFERROR(__xludf.DUMMYFUNCTION("""COMPUTED_VALUE"""),"")</f>
        <v/>
      </c>
      <c r="O707" s="87" t="str">
        <f>IFERROR(__xludf.DUMMYFUNCTION("""COMPUTED_VALUE"""),"https://drive.google.com/drive/folders/10T2cTQHqEJZqE-st6uFKPoI?usp=share_link")</f>
        <v>https://drive.google.com/drive/folders/10T2cTQHqEJZqE-st6uFKPoI?usp=share_link</v>
      </c>
      <c r="P707" s="6" t="str">
        <f>IFERROR(__xludf.DUMMYFUNCTION("""COMPUTED_VALUE"""),"Oliver Overton")</f>
        <v>Oliver Overton</v>
      </c>
      <c r="Q707" s="6" t="str">
        <f>IFERROR(__xludf.DUMMYFUNCTION("""COMPUTED_VALUE"""),"L2")</f>
        <v>L2</v>
      </c>
      <c r="R707" s="6">
        <f>IFERROR(__xludf.DUMMYFUNCTION("""COMPUTED_VALUE"""),2.0)</f>
        <v>2</v>
      </c>
      <c r="S707" s="6" t="str">
        <f>IFERROR(__xludf.DUMMYFUNCTION("""COMPUTED_VALUE"""),"Gaby Golombek")</f>
        <v>Gaby Golombek</v>
      </c>
      <c r="T707" s="6" t="str">
        <f>IFERROR(__xludf.DUMMYFUNCTION("""COMPUTED_VALUE"""),"gabriel.golombek@alpha.school")</f>
        <v>gabriel.golombek@alpha.school</v>
      </c>
      <c r="U707" s="6" t="str">
        <f>IFERROR(__xludf.DUMMYFUNCTION("""COMPUTED_VALUE"""),"4")</f>
        <v>4</v>
      </c>
      <c r="V707" s="6" t="str">
        <f>IFERROR(__xludf.DUMMYFUNCTION("""COMPUTED_VALUE"""),"")</f>
        <v/>
      </c>
      <c r="W707" s="6" t="str">
        <f>IFERROR(__xludf.DUMMYFUNCTION("""COMPUTED_VALUE"""),"[]")</f>
        <v>[]</v>
      </c>
      <c r="X707" s="6" t="str">
        <f>IFERROR(__xludf.DUMMYFUNCTION("""COMPUTED_VALUE"""),"Enrolled")</f>
        <v>Enrolled</v>
      </c>
    </row>
    <row r="708">
      <c r="A708" s="6" t="str">
        <f>IFERROR(__xludf.DUMMYFUNCTION("""COMPUTED_VALUE"""),"001-0988")</f>
        <v>001-0988</v>
      </c>
      <c r="B708" s="6" t="str">
        <f>IFERROR(__xludf.DUMMYFUNCTION("""COMPUTED_VALUE"""),"1")</f>
        <v>1</v>
      </c>
      <c r="C708" s="6" t="str">
        <f>IFERROR(__xludf.DUMMYFUNCTION("""COMPUTED_VALUE"""),"0988")</f>
        <v>0988</v>
      </c>
      <c r="D708" s="6" t="str">
        <f>IFERROR(__xludf.DUMMYFUNCTION("""COMPUTED_VALUE"""),"Savannah")</f>
        <v>Savannah</v>
      </c>
      <c r="E708" s="6" t="str">
        <f>IFERROR(__xludf.DUMMYFUNCTION("""COMPUTED_VALUE"""),"Savi")</f>
        <v>Savi</v>
      </c>
      <c r="F708" s="6" t="str">
        <f>IFERROR(__xludf.DUMMYFUNCTION("""COMPUTED_VALUE"""),"Richardson")</f>
        <v>Richardson</v>
      </c>
      <c r="G708" s="6" t="str">
        <f>IFERROR(__xludf.DUMMYFUNCTION("""COMPUTED_VALUE"""),"02/27/2019")</f>
        <v>02/27/2019</v>
      </c>
      <c r="H708" s="6" t="str">
        <f>IFERROR(__xludf.DUMMYFUNCTION("""COMPUTED_VALUE"""),"female")</f>
        <v>female</v>
      </c>
      <c r="I708" s="6" t="str">
        <f>IFERROR(__xludf.DUMMYFUNCTION("""COMPUTED_VALUE"""),"Learning Lab")</f>
        <v>Learning Lab</v>
      </c>
      <c r="J708" s="6" t="str">
        <f>IFERROR(__xludf.DUMMYFUNCTION("""COMPUTED_VALUE"""),"1")</f>
        <v>1</v>
      </c>
      <c r="K708" s="6" t="str">
        <f>IFERROR(__xludf.DUMMYFUNCTION("""COMPUTED_VALUE"""),"savannah.richardson@alpha.school")</f>
        <v>savannah.richardson@alpha.school</v>
      </c>
      <c r="L708" s="6" t="str">
        <f>IFERROR(__xludf.DUMMYFUNCTION("""COMPUTED_VALUE"""),"Alpha School Austin")</f>
        <v>Alpha School Austin</v>
      </c>
      <c r="M708" s="6" t="str">
        <f>IFERROR(__xludf.DUMMYFUNCTION("""COMPUTED_VALUE"""),"")</f>
        <v/>
      </c>
      <c r="N708" s="6" t="str">
        <f>IFERROR(__xludf.DUMMYFUNCTION("""COMPUTED_VALUE"""),"")</f>
        <v/>
      </c>
      <c r="O708" s="87" t="str">
        <f>IFERROR(__xludf.DUMMYFUNCTION("""COMPUTED_VALUE"""),"https://drive.google.com/drive/folders/10T2cTQHqEJZqE-st6uFKPoI?usp=share_link")</f>
        <v>https://drive.google.com/drive/folders/10T2cTQHqEJZqE-st6uFKPoI?usp=share_link</v>
      </c>
      <c r="P708" s="6" t="str">
        <f>IFERROR(__xludf.DUMMYFUNCTION("""COMPUTED_VALUE"""),"Savi Richardson")</f>
        <v>Savi Richardson</v>
      </c>
      <c r="Q708" s="6" t="str">
        <f>IFERROR(__xludf.DUMMYFUNCTION("""COMPUTED_VALUE"""),"LL")</f>
        <v>LL</v>
      </c>
      <c r="R708" s="6">
        <f>IFERROR(__xludf.DUMMYFUNCTION("""COMPUTED_VALUE"""),0.0)</f>
        <v>0</v>
      </c>
      <c r="S708" s="6" t="str">
        <f>IFERROR(__xludf.DUMMYFUNCTION("""COMPUTED_VALUE"""),"Spencer Opatrny")</f>
        <v>Spencer Opatrny</v>
      </c>
      <c r="T708" s="6" t="str">
        <f>IFERROR(__xludf.DUMMYFUNCTION("""COMPUTED_VALUE"""),"spencer.opatrny@alpha.school")</f>
        <v>spencer.opatrny@alpha.school</v>
      </c>
      <c r="U708" s="6" t="str">
        <f>IFERROR(__xludf.DUMMYFUNCTION("""COMPUTED_VALUE"""),"1")</f>
        <v>1</v>
      </c>
      <c r="V708" s="6" t="str">
        <f>IFERROR(__xludf.DUMMYFUNCTION("""COMPUTED_VALUE"""),"")</f>
        <v/>
      </c>
      <c r="W708" s="6" t="str">
        <f>IFERROR(__xludf.DUMMYFUNCTION("""COMPUTED_VALUE"""),"[]")</f>
        <v>[]</v>
      </c>
      <c r="X708" s="6" t="str">
        <f>IFERROR(__xludf.DUMMYFUNCTION("""COMPUTED_VALUE"""),"Enrolled")</f>
        <v>Enrolled</v>
      </c>
    </row>
    <row r="709">
      <c r="A709" s="6" t="str">
        <f>IFERROR(__xludf.DUMMYFUNCTION("""COMPUTED_VALUE"""),"001-0990")</f>
        <v>001-0990</v>
      </c>
      <c r="B709" s="6" t="str">
        <f>IFERROR(__xludf.DUMMYFUNCTION("""COMPUTED_VALUE"""),"1")</f>
        <v>1</v>
      </c>
      <c r="C709" s="6" t="str">
        <f>IFERROR(__xludf.DUMMYFUNCTION("""COMPUTED_VALUE"""),"0990")</f>
        <v>0990</v>
      </c>
      <c r="D709" s="6" t="str">
        <f>IFERROR(__xludf.DUMMYFUNCTION("""COMPUTED_VALUE"""),"Canberk")</f>
        <v>Canberk</v>
      </c>
      <c r="E709" s="6" t="str">
        <f>IFERROR(__xludf.DUMMYFUNCTION("""COMPUTED_VALUE"""),"")</f>
        <v/>
      </c>
      <c r="F709" s="6" t="str">
        <f>IFERROR(__xludf.DUMMYFUNCTION("""COMPUTED_VALUE"""),"Yuksel")</f>
        <v>Yuksel</v>
      </c>
      <c r="G709" s="6" t="str">
        <f>IFERROR(__xludf.DUMMYFUNCTION("""COMPUTED_VALUE"""),"08/05/2015")</f>
        <v>08/05/2015</v>
      </c>
      <c r="H709" s="6" t="str">
        <f>IFERROR(__xludf.DUMMYFUNCTION("""COMPUTED_VALUE"""),"M")</f>
        <v>M</v>
      </c>
      <c r="I709" s="6" t="str">
        <f>IFERROR(__xludf.DUMMYFUNCTION("""COMPUTED_VALUE"""),"Level 2")</f>
        <v>Level 2</v>
      </c>
      <c r="J709" s="6" t="str">
        <f>IFERROR(__xludf.DUMMYFUNCTION("""COMPUTED_VALUE"""),"4")</f>
        <v>4</v>
      </c>
      <c r="K709" s="6" t="str">
        <f>IFERROR(__xludf.DUMMYFUNCTION("""COMPUTED_VALUE"""),"canberk.yuksel@alpha.school")</f>
        <v>canberk.yuksel@alpha.school</v>
      </c>
      <c r="L709" s="6" t="str">
        <f>IFERROR(__xludf.DUMMYFUNCTION("""COMPUTED_VALUE"""),"Alpha School Austin")</f>
        <v>Alpha School Austin</v>
      </c>
      <c r="M709" s="6" t="str">
        <f>IFERROR(__xludf.DUMMYFUNCTION("""COMPUTED_VALUE"""),"Mock")</f>
        <v>Mock</v>
      </c>
      <c r="N709" s="6" t="str">
        <f>IFERROR(__xludf.DUMMYFUNCTION("""COMPUTED_VALUE"""),"")</f>
        <v/>
      </c>
      <c r="O709" s="87" t="str">
        <f>IFERROR(__xludf.DUMMYFUNCTION("""COMPUTED_VALUE"""),"https://drive.google.com/drive/folders/10T2cTQHqEJZqE-st6uFKPoI?usp=share_link")</f>
        <v>https://drive.google.com/drive/folders/10T2cTQHqEJZqE-st6uFKPoI?usp=share_link</v>
      </c>
      <c r="P709" s="6" t="str">
        <f>IFERROR(__xludf.DUMMYFUNCTION("""COMPUTED_VALUE"""),"Canberk Yuksel")</f>
        <v>Canberk Yuksel</v>
      </c>
      <c r="Q709" s="6" t="str">
        <f>IFERROR(__xludf.DUMMYFUNCTION("""COMPUTED_VALUE"""),"L2")</f>
        <v>L2</v>
      </c>
      <c r="R709" s="6">
        <f>IFERROR(__xludf.DUMMYFUNCTION("""COMPUTED_VALUE"""),2.0)</f>
        <v>2</v>
      </c>
      <c r="S709" s="6" t="str">
        <f>IFERROR(__xludf.DUMMYFUNCTION("""COMPUTED_VALUE""")," ")</f>
        <v> </v>
      </c>
      <c r="T709" s="6" t="str">
        <f>IFERROR(__xludf.DUMMYFUNCTION("""COMPUTED_VALUE"""),"")</f>
        <v/>
      </c>
      <c r="U709" s="6" t="str">
        <f>IFERROR(__xludf.DUMMYFUNCTION("""COMPUTED_VALUE"""),"4")</f>
        <v>4</v>
      </c>
      <c r="V709" s="6" t="str">
        <f>IFERROR(__xludf.DUMMYFUNCTION("""COMPUTED_VALUE"""),"")</f>
        <v/>
      </c>
      <c r="W709" s="6" t="str">
        <f>IFERROR(__xludf.DUMMYFUNCTION("""COMPUTED_VALUE"""),"[]")</f>
        <v>[]</v>
      </c>
      <c r="X709" s="6" t="str">
        <f>IFERROR(__xludf.DUMMYFUNCTION("""COMPUTED_VALUE"""),"Enrolled")</f>
        <v>Enrolled</v>
      </c>
    </row>
    <row r="710">
      <c r="A710" s="6" t="str">
        <f>IFERROR(__xludf.DUMMYFUNCTION("""COMPUTED_VALUE"""),"001-0991")</f>
        <v>001-0991</v>
      </c>
      <c r="B710" s="6" t="str">
        <f>IFERROR(__xludf.DUMMYFUNCTION("""COMPUTED_VALUE"""),"1")</f>
        <v>1</v>
      </c>
      <c r="C710" s="6" t="str">
        <f>IFERROR(__xludf.DUMMYFUNCTION("""COMPUTED_VALUE"""),"0991")</f>
        <v>0991</v>
      </c>
      <c r="D710" s="6" t="str">
        <f>IFERROR(__xludf.DUMMYFUNCTION("""COMPUTED_VALUE"""),"Test")</f>
        <v>Test</v>
      </c>
      <c r="E710" s="6" t="str">
        <f>IFERROR(__xludf.DUMMYFUNCTION("""COMPUTED_VALUE"""),"")</f>
        <v/>
      </c>
      <c r="F710" s="6" t="str">
        <f>IFERROR(__xludf.DUMMYFUNCTION("""COMPUTED_VALUE"""),"Academics")</f>
        <v>Academics</v>
      </c>
      <c r="G710" s="6" t="str">
        <f>IFERROR(__xludf.DUMMYFUNCTION("""COMPUTED_VALUE"""),"03/31/2015")</f>
        <v>03/31/2015</v>
      </c>
      <c r="H710" s="6" t="str">
        <f>IFERROR(__xludf.DUMMYFUNCTION("""COMPUTED_VALUE"""),"M")</f>
        <v>M</v>
      </c>
      <c r="I710" s="6" t="str">
        <f>IFERROR(__xludf.DUMMYFUNCTION("""COMPUTED_VALUE"""),"Level 2")</f>
        <v>Level 2</v>
      </c>
      <c r="J710" s="6" t="str">
        <f>IFERROR(__xludf.DUMMYFUNCTION("""COMPUTED_VALUE"""),"5")</f>
        <v>5</v>
      </c>
      <c r="K710" s="6" t="str">
        <f>IFERROR(__xludf.DUMMYFUNCTION("""COMPUTED_VALUE"""),"test.academics@alpha.school")</f>
        <v>test.academics@alpha.school</v>
      </c>
      <c r="L710" s="6" t="str">
        <f>IFERROR(__xludf.DUMMYFUNCTION("""COMPUTED_VALUE"""),"Alpha School Austin")</f>
        <v>Alpha School Austin</v>
      </c>
      <c r="M710" s="6" t="str">
        <f>IFERROR(__xludf.DUMMYFUNCTION("""COMPUTED_VALUE"""),"Mock")</f>
        <v>Mock</v>
      </c>
      <c r="N710" s="6" t="str">
        <f>IFERROR(__xludf.DUMMYFUNCTION("""COMPUTED_VALUE"""),"")</f>
        <v/>
      </c>
      <c r="O710" s="87" t="str">
        <f>IFERROR(__xludf.DUMMYFUNCTION("""COMPUTED_VALUE"""),"https://drive.google.com/drive/folders/10T2cTQHqEJZqE-st6uFKPoI?usp=share_link")</f>
        <v>https://drive.google.com/drive/folders/10T2cTQHqEJZqE-st6uFKPoI?usp=share_link</v>
      </c>
      <c r="P710" s="6" t="str">
        <f>IFERROR(__xludf.DUMMYFUNCTION("""COMPUTED_VALUE"""),"Test Academics")</f>
        <v>Test Academics</v>
      </c>
      <c r="Q710" s="6" t="str">
        <f>IFERROR(__xludf.DUMMYFUNCTION("""COMPUTED_VALUE"""),"L2")</f>
        <v>L2</v>
      </c>
      <c r="R710" s="6">
        <f>IFERROR(__xludf.DUMMYFUNCTION("""COMPUTED_VALUE"""),2.0)</f>
        <v>2</v>
      </c>
      <c r="S710" s="6" t="str">
        <f>IFERROR(__xludf.DUMMYFUNCTION("""COMPUTED_VALUE""")," ")</f>
        <v> </v>
      </c>
      <c r="T710" s="6" t="str">
        <f>IFERROR(__xludf.DUMMYFUNCTION("""COMPUTED_VALUE"""),"")</f>
        <v/>
      </c>
      <c r="U710" s="6" t="str">
        <f>IFERROR(__xludf.DUMMYFUNCTION("""COMPUTED_VALUE"""),"5")</f>
        <v>5</v>
      </c>
      <c r="V710" s="6" t="str">
        <f>IFERROR(__xludf.DUMMYFUNCTION("""COMPUTED_VALUE"""),"")</f>
        <v/>
      </c>
      <c r="W710" s="6" t="str">
        <f>IFERROR(__xludf.DUMMYFUNCTION("""COMPUTED_VALUE"""),"[]")</f>
        <v>[]</v>
      </c>
      <c r="X710" s="6" t="str">
        <f>IFERROR(__xludf.DUMMYFUNCTION("""COMPUTED_VALUE"""),"Enrolled")</f>
        <v>Enrolled</v>
      </c>
    </row>
    <row r="711">
      <c r="A711" s="6" t="str">
        <f>IFERROR(__xludf.DUMMYFUNCTION("""COMPUTED_VALUE"""),"001-0997")</f>
        <v>001-0997</v>
      </c>
      <c r="B711" s="6" t="str">
        <f>IFERROR(__xludf.DUMMYFUNCTION("""COMPUTED_VALUE"""),"1")</f>
        <v>1</v>
      </c>
      <c r="C711" s="6" t="str">
        <f>IFERROR(__xludf.DUMMYFUNCTION("""COMPUTED_VALUE"""),"0997")</f>
        <v>0997</v>
      </c>
      <c r="D711" s="6" t="str">
        <f>IFERROR(__xludf.DUMMYFUNCTION("""COMPUTED_VALUE"""),"Newuser")</f>
        <v>Newuser</v>
      </c>
      <c r="E711" s="6" t="str">
        <f>IFERROR(__xludf.DUMMYFUNCTION("""COMPUTED_VALUE"""),"")</f>
        <v/>
      </c>
      <c r="F711" s="6" t="str">
        <f>IFERROR(__xludf.DUMMYFUNCTION("""COMPUTED_VALUE"""),"Alpha")</f>
        <v>Alpha</v>
      </c>
      <c r="G711" s="6" t="str">
        <f>IFERROR(__xludf.DUMMYFUNCTION("""COMPUTED_VALUE"""),"08/10/2016")</f>
        <v>08/10/2016</v>
      </c>
      <c r="H711" s="6" t="str">
        <f>IFERROR(__xludf.DUMMYFUNCTION("""COMPUTED_VALUE"""),"M")</f>
        <v>M</v>
      </c>
      <c r="I711" s="6" t="str">
        <f>IFERROR(__xludf.DUMMYFUNCTION("""COMPUTED_VALUE"""),"Level 2")</f>
        <v>Level 2</v>
      </c>
      <c r="J711" s="6" t="str">
        <f>IFERROR(__xludf.DUMMYFUNCTION("""COMPUTED_VALUE"""),"5")</f>
        <v>5</v>
      </c>
      <c r="K711" s="6" t="str">
        <f>IFERROR(__xludf.DUMMYFUNCTION("""COMPUTED_VALUE"""),"new.user.alpha@alpha.school")</f>
        <v>new.user.alpha@alpha.school</v>
      </c>
      <c r="L711" s="6" t="str">
        <f>IFERROR(__xludf.DUMMYFUNCTION("""COMPUTED_VALUE"""),"Alpha School Austin")</f>
        <v>Alpha School Austin</v>
      </c>
      <c r="M711" s="6" t="str">
        <f>IFERROR(__xludf.DUMMYFUNCTION("""COMPUTED_VALUE"""),"Mock")</f>
        <v>Mock</v>
      </c>
      <c r="N711" s="6" t="str">
        <f>IFERROR(__xludf.DUMMYFUNCTION("""COMPUTED_VALUE"""),"")</f>
        <v/>
      </c>
      <c r="O711" s="87" t="str">
        <f>IFERROR(__xludf.DUMMYFUNCTION("""COMPUTED_VALUE"""),"https://drive.google.com/drive/folders/10T2cTQHqEJZqE-st6uFKPoI?usp=share_link")</f>
        <v>https://drive.google.com/drive/folders/10T2cTQHqEJZqE-st6uFKPoI?usp=share_link</v>
      </c>
      <c r="P711" s="6" t="str">
        <f>IFERROR(__xludf.DUMMYFUNCTION("""COMPUTED_VALUE"""),"Newuser Alpha")</f>
        <v>Newuser Alpha</v>
      </c>
      <c r="Q711" s="6" t="str">
        <f>IFERROR(__xludf.DUMMYFUNCTION("""COMPUTED_VALUE"""),"L2")</f>
        <v>L2</v>
      </c>
      <c r="R711" s="6">
        <f>IFERROR(__xludf.DUMMYFUNCTION("""COMPUTED_VALUE"""),2.0)</f>
        <v>2</v>
      </c>
      <c r="S711" s="6" t="str">
        <f>IFERROR(__xludf.DUMMYFUNCTION("""COMPUTED_VALUE""")," ")</f>
        <v> </v>
      </c>
      <c r="T711" s="6" t="str">
        <f>IFERROR(__xludf.DUMMYFUNCTION("""COMPUTED_VALUE"""),"")</f>
        <v/>
      </c>
      <c r="U711" s="6" t="str">
        <f>IFERROR(__xludf.DUMMYFUNCTION("""COMPUTED_VALUE"""),"5")</f>
        <v>5</v>
      </c>
      <c r="V711" s="6" t="str">
        <f>IFERROR(__xludf.DUMMYFUNCTION("""COMPUTED_VALUE"""),"")</f>
        <v/>
      </c>
      <c r="W711" s="6" t="str">
        <f>IFERROR(__xludf.DUMMYFUNCTION("""COMPUTED_VALUE"""),"[]")</f>
        <v>[]</v>
      </c>
      <c r="X711" s="6" t="str">
        <f>IFERROR(__xludf.DUMMYFUNCTION("""COMPUTED_VALUE"""),"Enrolled")</f>
        <v>Enrolled</v>
      </c>
    </row>
    <row r="712">
      <c r="A712" s="6" t="str">
        <f>IFERROR(__xludf.DUMMYFUNCTION("""COMPUTED_VALUE"""),"001-10325")</f>
        <v>001-10325</v>
      </c>
      <c r="B712" s="6" t="str">
        <f>IFERROR(__xludf.DUMMYFUNCTION("""COMPUTED_VALUE"""),"1")</f>
        <v>1</v>
      </c>
      <c r="C712" s="6" t="str">
        <f>IFERROR(__xludf.DUMMYFUNCTION("""COMPUTED_VALUE"""),"10325")</f>
        <v>10325</v>
      </c>
      <c r="D712" s="6" t="str">
        <f>IFERROR(__xludf.DUMMYFUNCTION("""COMPUTED_VALUE"""),"Allegra")</f>
        <v>Allegra</v>
      </c>
      <c r="E712" s="6" t="str">
        <f>IFERROR(__xludf.DUMMYFUNCTION("""COMPUTED_VALUE"""),"")</f>
        <v/>
      </c>
      <c r="F712" s="6" t="str">
        <f>IFERROR(__xludf.DUMMYFUNCTION("""COMPUTED_VALUE"""),"Mauro")</f>
        <v>Mauro</v>
      </c>
      <c r="G712" s="6" t="str">
        <f>IFERROR(__xludf.DUMMYFUNCTION("""COMPUTED_VALUE"""),"10/30/2012")</f>
        <v>10/30/2012</v>
      </c>
      <c r="H712" s="6" t="str">
        <f>IFERROR(__xludf.DUMMYFUNCTION("""COMPUTED_VALUE"""),"female")</f>
        <v>female</v>
      </c>
      <c r="I712" s="6" t="str">
        <f>IFERROR(__xludf.DUMMYFUNCTION("""COMPUTED_VALUE"""),"Middle School")</f>
        <v>Middle School</v>
      </c>
      <c r="J712" s="6" t="str">
        <f>IFERROR(__xludf.DUMMYFUNCTION("""COMPUTED_VALUE"""),"7")</f>
        <v>7</v>
      </c>
      <c r="K712" s="6" t="str">
        <f>IFERROR(__xludf.DUMMYFUNCTION("""COMPUTED_VALUE"""),"allegra.mauro@alpha.school")</f>
        <v>allegra.mauro@alpha.school</v>
      </c>
      <c r="L712" s="6" t="str">
        <f>IFERROR(__xludf.DUMMYFUNCTION("""COMPUTED_VALUE"""),"Alpha School Austin")</f>
        <v>Alpha School Austin</v>
      </c>
      <c r="M712" s="6" t="str">
        <f>IFERROR(__xludf.DUMMYFUNCTION("""COMPUTED_VALUE"""),"")</f>
        <v/>
      </c>
      <c r="N712" s="6" t="str">
        <f>IFERROR(__xludf.DUMMYFUNCTION("""COMPUTED_VALUE"""),"")</f>
        <v/>
      </c>
      <c r="O712" s="87" t="str">
        <f>IFERROR(__xludf.DUMMYFUNCTION("""COMPUTED_VALUE"""),"https://drive.google.com/drive/folders/10T2cTQHqEJZqE-st6uFKPoI?usp=share_link")</f>
        <v>https://drive.google.com/drive/folders/10T2cTQHqEJZqE-st6uFKPoI?usp=share_link</v>
      </c>
      <c r="P712" s="6" t="str">
        <f>IFERROR(__xludf.DUMMYFUNCTION("""COMPUTED_VALUE"""),"Allegra Mauro")</f>
        <v>Allegra Mauro</v>
      </c>
      <c r="Q712" s="6" t="str">
        <f>IFERROR(__xludf.DUMMYFUNCTION("""COMPUTED_VALUE"""),"MS")</f>
        <v>MS</v>
      </c>
      <c r="R712" s="6">
        <f>IFERROR(__xludf.DUMMYFUNCTION("""COMPUTED_VALUE"""),0.0)</f>
        <v>0</v>
      </c>
      <c r="S712" s="6" t="str">
        <f>IFERROR(__xludf.DUMMYFUNCTION("""COMPUTED_VALUE"""),"Shaas Singh")</f>
        <v>Shaas Singh</v>
      </c>
      <c r="T712" s="6" t="str">
        <f>IFERROR(__xludf.DUMMYFUNCTION("""COMPUTED_VALUE"""),"shaas.singh@alpha.school")</f>
        <v>shaas.singh@alpha.school</v>
      </c>
      <c r="U712" s="6" t="str">
        <f>IFERROR(__xludf.DUMMYFUNCTION("""COMPUTED_VALUE"""),"7")</f>
        <v>7</v>
      </c>
      <c r="V712" s="6" t="str">
        <f>IFERROR(__xludf.DUMMYFUNCTION("""COMPUTED_VALUE"""),"")</f>
        <v/>
      </c>
      <c r="W712" s="6" t="str">
        <f>IFERROR(__xludf.DUMMYFUNCTION("""COMPUTED_VALUE"""),"[]")</f>
        <v>[]</v>
      </c>
      <c r="X712" s="6" t="str">
        <f>IFERROR(__xludf.DUMMYFUNCTION("""COMPUTED_VALUE"""),"Enrolled")</f>
        <v>Enrolled</v>
      </c>
    </row>
    <row r="713">
      <c r="A713" s="6" t="str">
        <f>IFERROR(__xludf.DUMMYFUNCTION("""COMPUTED_VALUE"""),"001-10648")</f>
        <v>001-10648</v>
      </c>
      <c r="B713" s="6" t="str">
        <f>IFERROR(__xludf.DUMMYFUNCTION("""COMPUTED_VALUE"""),"1")</f>
        <v>1</v>
      </c>
      <c r="C713" s="6" t="str">
        <f>IFERROR(__xludf.DUMMYFUNCTION("""COMPUTED_VALUE"""),"10648")</f>
        <v>10648</v>
      </c>
      <c r="D713" s="6" t="str">
        <f>IFERROR(__xludf.DUMMYFUNCTION("""COMPUTED_VALUE"""),"Henry")</f>
        <v>Henry</v>
      </c>
      <c r="E713" s="6" t="str">
        <f>IFERROR(__xludf.DUMMYFUNCTION("""COMPUTED_VALUE"""),"Henry")</f>
        <v>Henry</v>
      </c>
      <c r="F713" s="6" t="str">
        <f>IFERROR(__xludf.DUMMYFUNCTION("""COMPUTED_VALUE"""),"Posey")</f>
        <v>Posey</v>
      </c>
      <c r="G713" s="6" t="str">
        <f>IFERROR(__xludf.DUMMYFUNCTION("""COMPUTED_VALUE"""),"01/12/2012")</f>
        <v>01/12/2012</v>
      </c>
      <c r="H713" s="6" t="str">
        <f>IFERROR(__xludf.DUMMYFUNCTION("""COMPUTED_VALUE"""),"male")</f>
        <v>male</v>
      </c>
      <c r="I713" s="6" t="str">
        <f>IFERROR(__xludf.DUMMYFUNCTION("""COMPUTED_VALUE"""),"Level 1")</f>
        <v>Level 1</v>
      </c>
      <c r="J713" s="6" t="str">
        <f>IFERROR(__xludf.DUMMYFUNCTION("""COMPUTED_VALUE"""),"3")</f>
        <v>3</v>
      </c>
      <c r="K713" s="6" t="str">
        <f>IFERROR(__xludf.DUMMYFUNCTION("""COMPUTED_VALUE"""),"henry.posey@alpha.school")</f>
        <v>henry.posey@alpha.school</v>
      </c>
      <c r="L713" s="6" t="str">
        <f>IFERROR(__xludf.DUMMYFUNCTION("""COMPUTED_VALUE"""),"Alpha School Austin")</f>
        <v>Alpha School Austin</v>
      </c>
      <c r="M713" s="6" t="str">
        <f>IFERROR(__xludf.DUMMYFUNCTION("""COMPUTED_VALUE"""),"")</f>
        <v/>
      </c>
      <c r="N713" s="6" t="str">
        <f>IFERROR(__xludf.DUMMYFUNCTION("""COMPUTED_VALUE"""),"")</f>
        <v/>
      </c>
      <c r="O713" s="87" t="str">
        <f>IFERROR(__xludf.DUMMYFUNCTION("""COMPUTED_VALUE"""),"https://drive.google.com/drive/folders/10T2cTQHqEJZqE-st6uFKPoI?usp=share_link")</f>
        <v>https://drive.google.com/drive/folders/10T2cTQHqEJZqE-st6uFKPoI?usp=share_link</v>
      </c>
      <c r="P713" s="6" t="str">
        <f>IFERROR(__xludf.DUMMYFUNCTION("""COMPUTED_VALUE"""),"Henry Posey")</f>
        <v>Henry Posey</v>
      </c>
      <c r="Q713" s="6" t="str">
        <f>IFERROR(__xludf.DUMMYFUNCTION("""COMPUTED_VALUE"""),"L1")</f>
        <v>L1</v>
      </c>
      <c r="R713" s="6">
        <f>IFERROR(__xludf.DUMMYFUNCTION("""COMPUTED_VALUE"""),1.0)</f>
        <v>1</v>
      </c>
      <c r="S713" s="6" t="str">
        <f>IFERROR(__xludf.DUMMYFUNCTION("""COMPUTED_VALUE""")," ")</f>
        <v> </v>
      </c>
      <c r="T713" s="6" t="str">
        <f>IFERROR(__xludf.DUMMYFUNCTION("""COMPUTED_VALUE"""),"")</f>
        <v/>
      </c>
      <c r="U713" s="6" t="str">
        <f>IFERROR(__xludf.DUMMYFUNCTION("""COMPUTED_VALUE"""),"3")</f>
        <v>3</v>
      </c>
      <c r="V713" s="6" t="str">
        <f>IFERROR(__xludf.DUMMYFUNCTION("""COMPUTED_VALUE"""),"")</f>
        <v/>
      </c>
      <c r="W713" s="6" t="str">
        <f>IFERROR(__xludf.DUMMYFUNCTION("""COMPUTED_VALUE"""),"[]")</f>
        <v>[]</v>
      </c>
      <c r="X713" s="6" t="str">
        <f>IFERROR(__xludf.DUMMYFUNCTION("""COMPUTED_VALUE"""),"Pending Review")</f>
        <v>Pending Review</v>
      </c>
    </row>
    <row r="714">
      <c r="A714" s="6" t="str">
        <f>IFERROR(__xludf.DUMMYFUNCTION("""COMPUTED_VALUE"""),"001-1203")</f>
        <v>001-1203</v>
      </c>
      <c r="B714" s="6" t="str">
        <f>IFERROR(__xludf.DUMMYFUNCTION("""COMPUTED_VALUE"""),"1")</f>
        <v>1</v>
      </c>
      <c r="C714" s="6" t="str">
        <f>IFERROR(__xludf.DUMMYFUNCTION("""COMPUTED_VALUE"""),"1203")</f>
        <v>1203</v>
      </c>
      <c r="D714" s="6" t="str">
        <f>IFERROR(__xludf.DUMMYFUNCTION("""COMPUTED_VALUE"""),"Scott")</f>
        <v>Scott</v>
      </c>
      <c r="E714" s="6" t="str">
        <f>IFERROR(__xludf.DUMMYFUNCTION("""COMPUTED_VALUE"""),"")</f>
        <v/>
      </c>
      <c r="F714" s="6" t="str">
        <f>IFERROR(__xludf.DUMMYFUNCTION("""COMPUTED_VALUE"""),"Baehr")</f>
        <v>Baehr</v>
      </c>
      <c r="G714" s="6" t="str">
        <f>IFERROR(__xludf.DUMMYFUNCTION("""COMPUTED_VALUE"""),"03/12/2018")</f>
        <v>03/12/2018</v>
      </c>
      <c r="H714" s="6" t="str">
        <f>IFERROR(__xludf.DUMMYFUNCTION("""COMPUTED_VALUE"""),"male")</f>
        <v>male</v>
      </c>
      <c r="I714" s="6" t="str">
        <f>IFERROR(__xludf.DUMMYFUNCTION("""COMPUTED_VALUE"""),"Learning Lab")</f>
        <v>Learning Lab</v>
      </c>
      <c r="J714" s="6" t="str">
        <f>IFERROR(__xludf.DUMMYFUNCTION("""COMPUTED_VALUE"""),"1")</f>
        <v>1</v>
      </c>
      <c r="K714" s="6" t="str">
        <f>IFERROR(__xludf.DUMMYFUNCTION("""COMPUTED_VALUE"""),"scott.baehr@alpha.school")</f>
        <v>scott.baehr@alpha.school</v>
      </c>
      <c r="L714" s="6" t="str">
        <f>IFERROR(__xludf.DUMMYFUNCTION("""COMPUTED_VALUE"""),"Alpha School Austin")</f>
        <v>Alpha School Austin</v>
      </c>
      <c r="M714" s="6" t="str">
        <f>IFERROR(__xludf.DUMMYFUNCTION("""COMPUTED_VALUE"""),"")</f>
        <v/>
      </c>
      <c r="N714" s="6" t="str">
        <f>IFERROR(__xludf.DUMMYFUNCTION("""COMPUTED_VALUE"""),"")</f>
        <v/>
      </c>
      <c r="O714" s="87" t="str">
        <f>IFERROR(__xludf.DUMMYFUNCTION("""COMPUTED_VALUE"""),"https://drive.google.com/drive/folders/10T2cTQHqEJZqE-st6uFKPoI?usp=share_link")</f>
        <v>https://drive.google.com/drive/folders/10T2cTQHqEJZqE-st6uFKPoI?usp=share_link</v>
      </c>
      <c r="P714" s="6" t="str">
        <f>IFERROR(__xludf.DUMMYFUNCTION("""COMPUTED_VALUE"""),"Scott Baehr")</f>
        <v>Scott Baehr</v>
      </c>
      <c r="Q714" s="6" t="str">
        <f>IFERROR(__xludf.DUMMYFUNCTION("""COMPUTED_VALUE"""),"LL")</f>
        <v>LL</v>
      </c>
      <c r="R714" s="6">
        <f>IFERROR(__xludf.DUMMYFUNCTION("""COMPUTED_VALUE"""),0.0)</f>
        <v>0</v>
      </c>
      <c r="S714" s="6" t="str">
        <f>IFERROR(__xludf.DUMMYFUNCTION("""COMPUTED_VALUE"""),"Darby Knox")</f>
        <v>Darby Knox</v>
      </c>
      <c r="T714" s="6" t="str">
        <f>IFERROR(__xludf.DUMMYFUNCTION("""COMPUTED_VALUE"""),"darby.knox@alpha.school")</f>
        <v>darby.knox@alpha.school</v>
      </c>
      <c r="U714" s="6" t="str">
        <f>IFERROR(__xludf.DUMMYFUNCTION("""COMPUTED_VALUE"""),"1")</f>
        <v>1</v>
      </c>
      <c r="V714" s="6" t="str">
        <f>IFERROR(__xludf.DUMMYFUNCTION("""COMPUTED_VALUE"""),"")</f>
        <v/>
      </c>
      <c r="W714" s="6" t="str">
        <f>IFERROR(__xludf.DUMMYFUNCTION("""COMPUTED_VALUE"""),"[]")</f>
        <v>[]</v>
      </c>
      <c r="X714" s="6" t="str">
        <f>IFERROR(__xludf.DUMMYFUNCTION("""COMPUTED_VALUE"""),"Enrolled")</f>
        <v>Enrolled</v>
      </c>
    </row>
    <row r="715">
      <c r="A715" s="6" t="str">
        <f>IFERROR(__xludf.DUMMYFUNCTION("""COMPUTED_VALUE"""),"001-1211")</f>
        <v>001-1211</v>
      </c>
      <c r="B715" s="6" t="str">
        <f>IFERROR(__xludf.DUMMYFUNCTION("""COMPUTED_VALUE"""),"1")</f>
        <v>1</v>
      </c>
      <c r="C715" s="6" t="str">
        <f>IFERROR(__xludf.DUMMYFUNCTION("""COMPUTED_VALUE"""),"1211")</f>
        <v>1211</v>
      </c>
      <c r="D715" s="6" t="str">
        <f>IFERROR(__xludf.DUMMYFUNCTION("""COMPUTED_VALUE"""),"Ian")</f>
        <v>Ian</v>
      </c>
      <c r="E715" s="6" t="str">
        <f>IFERROR(__xludf.DUMMYFUNCTION("""COMPUTED_VALUE"""),"")</f>
        <v/>
      </c>
      <c r="F715" s="6" t="str">
        <f>IFERROR(__xludf.DUMMYFUNCTION("""COMPUTED_VALUE"""),"Mentgen")</f>
        <v>Mentgen</v>
      </c>
      <c r="G715" s="6" t="str">
        <f>IFERROR(__xludf.DUMMYFUNCTION("""COMPUTED_VALUE"""),"04/05/2016")</f>
        <v>04/05/2016</v>
      </c>
      <c r="H715" s="6" t="str">
        <f>IFERROR(__xludf.DUMMYFUNCTION("""COMPUTED_VALUE"""),"male")</f>
        <v>male</v>
      </c>
      <c r="I715" s="6" t="str">
        <f>IFERROR(__xludf.DUMMYFUNCTION("""COMPUTED_VALUE"""),"Level 2")</f>
        <v>Level 2</v>
      </c>
      <c r="J715" s="6" t="str">
        <f>IFERROR(__xludf.DUMMYFUNCTION("""COMPUTED_VALUE"""),"4")</f>
        <v>4</v>
      </c>
      <c r="K715" s="6" t="str">
        <f>IFERROR(__xludf.DUMMYFUNCTION("""COMPUTED_VALUE"""),"ian.mentgen@alpha.school")</f>
        <v>ian.mentgen@alpha.school</v>
      </c>
      <c r="L715" s="6" t="str">
        <f>IFERROR(__xludf.DUMMYFUNCTION("""COMPUTED_VALUE"""),"Alpha School Austin")</f>
        <v>Alpha School Austin</v>
      </c>
      <c r="M715" s="6" t="str">
        <f>IFERROR(__xludf.DUMMYFUNCTION("""COMPUTED_VALUE"""),"")</f>
        <v/>
      </c>
      <c r="N715" s="6" t="str">
        <f>IFERROR(__xludf.DUMMYFUNCTION("""COMPUTED_VALUE"""),"")</f>
        <v/>
      </c>
      <c r="O715" s="87" t="str">
        <f>IFERROR(__xludf.DUMMYFUNCTION("""COMPUTED_VALUE"""),"https://drive.google.com/drive/folders/10T2cTQHqEJZqE-st6uFKPoI?usp=share_link")</f>
        <v>https://drive.google.com/drive/folders/10T2cTQHqEJZqE-st6uFKPoI?usp=share_link</v>
      </c>
      <c r="P715" s="6" t="str">
        <f>IFERROR(__xludf.DUMMYFUNCTION("""COMPUTED_VALUE"""),"Ian Mentgen")</f>
        <v>Ian Mentgen</v>
      </c>
      <c r="Q715" s="6" t="str">
        <f>IFERROR(__xludf.DUMMYFUNCTION("""COMPUTED_VALUE"""),"L2")</f>
        <v>L2</v>
      </c>
      <c r="R715" s="6">
        <f>IFERROR(__xludf.DUMMYFUNCTION("""COMPUTED_VALUE"""),2.0)</f>
        <v>2</v>
      </c>
      <c r="S715" s="6" t="str">
        <f>IFERROR(__xludf.DUMMYFUNCTION("""COMPUTED_VALUE"""),"Gaby Golombek")</f>
        <v>Gaby Golombek</v>
      </c>
      <c r="T715" s="6" t="str">
        <f>IFERROR(__xludf.DUMMYFUNCTION("""COMPUTED_VALUE"""),"gabriel.golombek@alpha.school")</f>
        <v>gabriel.golombek@alpha.school</v>
      </c>
      <c r="U715" s="6" t="str">
        <f>IFERROR(__xludf.DUMMYFUNCTION("""COMPUTED_VALUE"""),"4")</f>
        <v>4</v>
      </c>
      <c r="V715" s="6" t="str">
        <f>IFERROR(__xludf.DUMMYFUNCTION("""COMPUTED_VALUE"""),"")</f>
        <v/>
      </c>
      <c r="W715" s="6" t="str">
        <f>IFERROR(__xludf.DUMMYFUNCTION("""COMPUTED_VALUE"""),"[]")</f>
        <v>[]</v>
      </c>
      <c r="X715" s="6" t="str">
        <f>IFERROR(__xludf.DUMMYFUNCTION("""COMPUTED_VALUE"""),"Enrolled")</f>
        <v>Enrolled</v>
      </c>
    </row>
    <row r="716">
      <c r="A716" s="6" t="str">
        <f>IFERROR(__xludf.DUMMYFUNCTION("""COMPUTED_VALUE"""),"001-1212")</f>
        <v>001-1212</v>
      </c>
      <c r="B716" s="6" t="str">
        <f>IFERROR(__xludf.DUMMYFUNCTION("""COMPUTED_VALUE"""),"1")</f>
        <v>1</v>
      </c>
      <c r="C716" s="6" t="str">
        <f>IFERROR(__xludf.DUMMYFUNCTION("""COMPUTED_VALUE"""),"1212")</f>
        <v>1212</v>
      </c>
      <c r="D716" s="6" t="str">
        <f>IFERROR(__xludf.DUMMYFUNCTION("""COMPUTED_VALUE"""),"Elena")</f>
        <v>Elena</v>
      </c>
      <c r="E716" s="6" t="str">
        <f>IFERROR(__xludf.DUMMYFUNCTION("""COMPUTED_VALUE"""),"")</f>
        <v/>
      </c>
      <c r="F716" s="6" t="str">
        <f>IFERROR(__xludf.DUMMYFUNCTION("""COMPUTED_VALUE"""),"Mentgen")</f>
        <v>Mentgen</v>
      </c>
      <c r="G716" s="6" t="str">
        <f>IFERROR(__xludf.DUMMYFUNCTION("""COMPUTED_VALUE"""),"06/01/2014")</f>
        <v>06/01/2014</v>
      </c>
      <c r="H716" s="6" t="str">
        <f>IFERROR(__xludf.DUMMYFUNCTION("""COMPUTED_VALUE"""),"female")</f>
        <v>female</v>
      </c>
      <c r="I716" s="6" t="str">
        <f>IFERROR(__xludf.DUMMYFUNCTION("""COMPUTED_VALUE"""),"Middle School")</f>
        <v>Middle School</v>
      </c>
      <c r="J716" s="6" t="str">
        <f>IFERROR(__xludf.DUMMYFUNCTION("""COMPUTED_VALUE"""),"6")</f>
        <v>6</v>
      </c>
      <c r="K716" s="6" t="str">
        <f>IFERROR(__xludf.DUMMYFUNCTION("""COMPUTED_VALUE"""),"elena.mentgen@alpha.school")</f>
        <v>elena.mentgen@alpha.school</v>
      </c>
      <c r="L716" s="6" t="str">
        <f>IFERROR(__xludf.DUMMYFUNCTION("""COMPUTED_VALUE"""),"Alpha School Austin")</f>
        <v>Alpha School Austin</v>
      </c>
      <c r="M716" s="6" t="str">
        <f>IFERROR(__xludf.DUMMYFUNCTION("""COMPUTED_VALUE"""),"")</f>
        <v/>
      </c>
      <c r="N716" s="6" t="str">
        <f>IFERROR(__xludf.DUMMYFUNCTION("""COMPUTED_VALUE"""),"")</f>
        <v/>
      </c>
      <c r="O716" s="87" t="str">
        <f>IFERROR(__xludf.DUMMYFUNCTION("""COMPUTED_VALUE"""),"https://drive.google.com/drive/folders/10T2cTQHqEJZqE-st6uFKPoI?usp=share_link")</f>
        <v>https://drive.google.com/drive/folders/10T2cTQHqEJZqE-st6uFKPoI?usp=share_link</v>
      </c>
      <c r="P716" s="6" t="str">
        <f>IFERROR(__xludf.DUMMYFUNCTION("""COMPUTED_VALUE"""),"Elena Mentgen")</f>
        <v>Elena Mentgen</v>
      </c>
      <c r="Q716" s="6" t="str">
        <f>IFERROR(__xludf.DUMMYFUNCTION("""COMPUTED_VALUE"""),"MS")</f>
        <v>MS</v>
      </c>
      <c r="R716" s="6">
        <f>IFERROR(__xludf.DUMMYFUNCTION("""COMPUTED_VALUE"""),0.0)</f>
        <v>0</v>
      </c>
      <c r="S716" s="6" t="str">
        <f>IFERROR(__xludf.DUMMYFUNCTION("""COMPUTED_VALUE"""),"Jawaan Delaney")</f>
        <v>Jawaan Delaney</v>
      </c>
      <c r="T716" s="6" t="str">
        <f>IFERROR(__xludf.DUMMYFUNCTION("""COMPUTED_VALUE"""),"jawaan.delaney@alpha.school")</f>
        <v>jawaan.delaney@alpha.school</v>
      </c>
      <c r="U716" s="6" t="str">
        <f>IFERROR(__xludf.DUMMYFUNCTION("""COMPUTED_VALUE"""),"6")</f>
        <v>6</v>
      </c>
      <c r="V716" s="6" t="str">
        <f>IFERROR(__xludf.DUMMYFUNCTION("""COMPUTED_VALUE"""),"")</f>
        <v/>
      </c>
      <c r="W716" s="6" t="str">
        <f>IFERROR(__xludf.DUMMYFUNCTION("""COMPUTED_VALUE"""),"[]")</f>
        <v>[]</v>
      </c>
      <c r="X716" s="6" t="str">
        <f>IFERROR(__xludf.DUMMYFUNCTION("""COMPUTED_VALUE"""),"Enrolled")</f>
        <v>Enrolled</v>
      </c>
    </row>
    <row r="717">
      <c r="A717" s="6" t="str">
        <f>IFERROR(__xludf.DUMMYFUNCTION("""COMPUTED_VALUE"""),"001-1213")</f>
        <v>001-1213</v>
      </c>
      <c r="B717" s="6" t="str">
        <f>IFERROR(__xludf.DUMMYFUNCTION("""COMPUTED_VALUE"""),"1")</f>
        <v>1</v>
      </c>
      <c r="C717" s="6" t="str">
        <f>IFERROR(__xludf.DUMMYFUNCTION("""COMPUTED_VALUE"""),"1213")</f>
        <v>1213</v>
      </c>
      <c r="D717" s="6" t="str">
        <f>IFERROR(__xludf.DUMMYFUNCTION("""COMPUTED_VALUE"""),"Eva")</f>
        <v>Eva</v>
      </c>
      <c r="E717" s="6" t="str">
        <f>IFERROR(__xludf.DUMMYFUNCTION("""COMPUTED_VALUE"""),"")</f>
        <v/>
      </c>
      <c r="F717" s="6" t="str">
        <f>IFERROR(__xludf.DUMMYFUNCTION("""COMPUTED_VALUE"""),"Mentgen")</f>
        <v>Mentgen</v>
      </c>
      <c r="G717" s="6" t="str">
        <f>IFERROR(__xludf.DUMMYFUNCTION("""COMPUTED_VALUE"""),"07/27/2012")</f>
        <v>07/27/2012</v>
      </c>
      <c r="H717" s="6" t="str">
        <f>IFERROR(__xludf.DUMMYFUNCTION("""COMPUTED_VALUE"""),"female")</f>
        <v>female</v>
      </c>
      <c r="I717" s="6" t="str">
        <f>IFERROR(__xludf.DUMMYFUNCTION("""COMPUTED_VALUE"""),"Middle School")</f>
        <v>Middle School</v>
      </c>
      <c r="J717" s="6" t="str">
        <f>IFERROR(__xludf.DUMMYFUNCTION("""COMPUTED_VALUE"""),"8")</f>
        <v>8</v>
      </c>
      <c r="K717" s="6" t="str">
        <f>IFERROR(__xludf.DUMMYFUNCTION("""COMPUTED_VALUE"""),"eva.mentgen@alpha.school")</f>
        <v>eva.mentgen@alpha.school</v>
      </c>
      <c r="L717" s="6" t="str">
        <f>IFERROR(__xludf.DUMMYFUNCTION("""COMPUTED_VALUE"""),"Alpha School Austin")</f>
        <v>Alpha School Austin</v>
      </c>
      <c r="M717" s="6" t="str">
        <f>IFERROR(__xludf.DUMMYFUNCTION("""COMPUTED_VALUE"""),"")</f>
        <v/>
      </c>
      <c r="N717" s="6" t="str">
        <f>IFERROR(__xludf.DUMMYFUNCTION("""COMPUTED_VALUE"""),"")</f>
        <v/>
      </c>
      <c r="O717" s="87" t="str">
        <f>IFERROR(__xludf.DUMMYFUNCTION("""COMPUTED_VALUE"""),"https://drive.google.com/drive/folders/10T2cTQHqEJZqE-st6uFKPoI?usp=share_link")</f>
        <v>https://drive.google.com/drive/folders/10T2cTQHqEJZqE-st6uFKPoI?usp=share_link</v>
      </c>
      <c r="P717" s="6" t="str">
        <f>IFERROR(__xludf.DUMMYFUNCTION("""COMPUTED_VALUE"""),"Eva Mentgen")</f>
        <v>Eva Mentgen</v>
      </c>
      <c r="Q717" s="6" t="str">
        <f>IFERROR(__xludf.DUMMYFUNCTION("""COMPUTED_VALUE"""),"MS")</f>
        <v>MS</v>
      </c>
      <c r="R717" s="6">
        <f>IFERROR(__xludf.DUMMYFUNCTION("""COMPUTED_VALUE"""),0.0)</f>
        <v>0</v>
      </c>
      <c r="S717" s="6" t="str">
        <f>IFERROR(__xludf.DUMMYFUNCTION("""COMPUTED_VALUE"""),"Israel Adesina")</f>
        <v>Israel Adesina</v>
      </c>
      <c r="T717" s="6" t="str">
        <f>IFERROR(__xludf.DUMMYFUNCTION("""COMPUTED_VALUE"""),"israel.adesina@alpha.school")</f>
        <v>israel.adesina@alpha.school</v>
      </c>
      <c r="U717" s="6" t="str">
        <f>IFERROR(__xludf.DUMMYFUNCTION("""COMPUTED_VALUE"""),"8")</f>
        <v>8</v>
      </c>
      <c r="V717" s="6" t="str">
        <f>IFERROR(__xludf.DUMMYFUNCTION("""COMPUTED_VALUE"""),"")</f>
        <v/>
      </c>
      <c r="W717" s="6" t="str">
        <f>IFERROR(__xludf.DUMMYFUNCTION("""COMPUTED_VALUE"""),"[]")</f>
        <v>[]</v>
      </c>
      <c r="X717" s="6" t="str">
        <f>IFERROR(__xludf.DUMMYFUNCTION("""COMPUTED_VALUE"""),"Enrolled")</f>
        <v>Enrolled</v>
      </c>
    </row>
    <row r="718">
      <c r="A718" s="6" t="str">
        <f>IFERROR(__xludf.DUMMYFUNCTION("""COMPUTED_VALUE"""),"001-1220")</f>
        <v>001-1220</v>
      </c>
      <c r="B718" s="6" t="str">
        <f>IFERROR(__xludf.DUMMYFUNCTION("""COMPUTED_VALUE"""),"1")</f>
        <v>1</v>
      </c>
      <c r="C718" s="6" t="str">
        <f>IFERROR(__xludf.DUMMYFUNCTION("""COMPUTED_VALUE"""),"1220")</f>
        <v>1220</v>
      </c>
      <c r="D718" s="6" t="str">
        <f>IFERROR(__xludf.DUMMYFUNCTION("""COMPUTED_VALUE"""),"Test")</f>
        <v>Test</v>
      </c>
      <c r="E718" s="6" t="str">
        <f>IFERROR(__xludf.DUMMYFUNCTION("""COMPUTED_VALUE"""),"")</f>
        <v/>
      </c>
      <c r="F718" s="6" t="str">
        <f>IFERROR(__xludf.DUMMYFUNCTION("""COMPUTED_VALUE"""),"Timeback")</f>
        <v>Timeback</v>
      </c>
      <c r="G718" s="6" t="str">
        <f>IFERROR(__xludf.DUMMYFUNCTION("""COMPUTED_VALUE"""),"Invalid Date")</f>
        <v>Invalid Date</v>
      </c>
      <c r="H718" s="6" t="str">
        <f>IFERROR(__xludf.DUMMYFUNCTION("""COMPUTED_VALUE"""),"Self Identify")</f>
        <v>Self Identify</v>
      </c>
      <c r="I718" s="6" t="str">
        <f>IFERROR(__xludf.DUMMYFUNCTION("""COMPUTED_VALUE"""),"High School")</f>
        <v>High School</v>
      </c>
      <c r="J718" s="6" t="str">
        <f>IFERROR(__xludf.DUMMYFUNCTION("""COMPUTED_VALUE"""),"9")</f>
        <v>9</v>
      </c>
      <c r="K718" s="6" t="str">
        <f>IFERROR(__xludf.DUMMYFUNCTION("""COMPUTED_VALUE"""),"studyreeltest@alpha.school")</f>
        <v>studyreeltest@alpha.school</v>
      </c>
      <c r="L718" s="6" t="str">
        <f>IFERROR(__xludf.DUMMYFUNCTION("""COMPUTED_VALUE"""),"Alpha High School")</f>
        <v>Alpha High School</v>
      </c>
      <c r="M718" s="6" t="str">
        <f>IFERROR(__xludf.DUMMYFUNCTION("""COMPUTED_VALUE"""),"Test")</f>
        <v>Test</v>
      </c>
      <c r="N718" s="6" t="str">
        <f>IFERROR(__xludf.DUMMYFUNCTION("""COMPUTED_VALUE"""),"")</f>
        <v/>
      </c>
      <c r="O718" s="87" t="str">
        <f>IFERROR(__xludf.DUMMYFUNCTION("""COMPUTED_VALUE"""),"https://drive.google.com/drive/folders/10T2cTQHqEJZqE-st6uFKPoI?usp=share_link")</f>
        <v>https://drive.google.com/drive/folders/10T2cTQHqEJZqE-st6uFKPoI?usp=share_link</v>
      </c>
      <c r="P718" s="6" t="str">
        <f>IFERROR(__xludf.DUMMYFUNCTION("""COMPUTED_VALUE"""),"Test Timeback")</f>
        <v>Test Timeback</v>
      </c>
      <c r="Q718" s="6" t="str">
        <f>IFERROR(__xludf.DUMMYFUNCTION("""COMPUTED_VALUE"""),"HS")</f>
        <v>HS</v>
      </c>
      <c r="R718" s="6">
        <f>IFERROR(__xludf.DUMMYFUNCTION("""COMPUTED_VALUE"""),0.0)</f>
        <v>0</v>
      </c>
      <c r="S718" s="6" t="str">
        <f>IFERROR(__xludf.DUMMYFUNCTION("""COMPUTED_VALUE""")," ")</f>
        <v> </v>
      </c>
      <c r="T718" s="6" t="str">
        <f>IFERROR(__xludf.DUMMYFUNCTION("""COMPUTED_VALUE"""),"")</f>
        <v/>
      </c>
      <c r="U718" s="6" t="str">
        <f>IFERROR(__xludf.DUMMYFUNCTION("""COMPUTED_VALUE"""),"9")</f>
        <v>9</v>
      </c>
      <c r="V718" s="6" t="str">
        <f>IFERROR(__xludf.DUMMYFUNCTION("""COMPUTED_VALUE"""),"")</f>
        <v/>
      </c>
      <c r="W718" s="6" t="str">
        <f>IFERROR(__xludf.DUMMYFUNCTION("""COMPUTED_VALUE"""),"[]")</f>
        <v>[]</v>
      </c>
      <c r="X718" s="6" t="str">
        <f>IFERROR(__xludf.DUMMYFUNCTION("""COMPUTED_VALUE"""),"Enrolled")</f>
        <v>Enrolled</v>
      </c>
    </row>
    <row r="719">
      <c r="A719" s="6" t="str">
        <f>IFERROR(__xludf.DUMMYFUNCTION("""COMPUTED_VALUE"""),"001-1225")</f>
        <v>001-1225</v>
      </c>
      <c r="B719" s="6" t="str">
        <f>IFERROR(__xludf.DUMMYFUNCTION("""COMPUTED_VALUE"""),"1")</f>
        <v>1</v>
      </c>
      <c r="C719" s="6" t="str">
        <f>IFERROR(__xludf.DUMMYFUNCTION("""COMPUTED_VALUE"""),"1225")</f>
        <v>1225</v>
      </c>
      <c r="D719" s="6" t="str">
        <f>IFERROR(__xludf.DUMMYFUNCTION("""COMPUTED_VALUE"""),"Brady")</f>
        <v>Brady</v>
      </c>
      <c r="E719" s="6" t="str">
        <f>IFERROR(__xludf.DUMMYFUNCTION("""COMPUTED_VALUE"""),"")</f>
        <v/>
      </c>
      <c r="F719" s="6" t="str">
        <f>IFERROR(__xludf.DUMMYFUNCTION("""COMPUTED_VALUE"""),"York")</f>
        <v>York</v>
      </c>
      <c r="G719" s="6" t="str">
        <f>IFERROR(__xludf.DUMMYFUNCTION("""COMPUTED_VALUE"""),"10/05/2015")</f>
        <v>10/05/2015</v>
      </c>
      <c r="H719" s="6" t="str">
        <f>IFERROR(__xludf.DUMMYFUNCTION("""COMPUTED_VALUE"""),"male")</f>
        <v>male</v>
      </c>
      <c r="I719" s="6" t="str">
        <f>IFERROR(__xludf.DUMMYFUNCTION("""COMPUTED_VALUE"""),"Level 2")</f>
        <v>Level 2</v>
      </c>
      <c r="J719" s="6" t="str">
        <f>IFERROR(__xludf.DUMMYFUNCTION("""COMPUTED_VALUE"""),"4")</f>
        <v>4</v>
      </c>
      <c r="K719" s="6" t="str">
        <f>IFERROR(__xludf.DUMMYFUNCTION("""COMPUTED_VALUE"""),"brady.york@alpha.school")</f>
        <v>brady.york@alpha.school</v>
      </c>
      <c r="L719" s="6" t="str">
        <f>IFERROR(__xludf.DUMMYFUNCTION("""COMPUTED_VALUE"""),"Alpha School Austin")</f>
        <v>Alpha School Austin</v>
      </c>
      <c r="M719" s="6" t="str">
        <f>IFERROR(__xludf.DUMMYFUNCTION("""COMPUTED_VALUE"""),"")</f>
        <v/>
      </c>
      <c r="N719" s="6" t="str">
        <f>IFERROR(__xludf.DUMMYFUNCTION("""COMPUTED_VALUE"""),"")</f>
        <v/>
      </c>
      <c r="O719" s="87" t="str">
        <f>IFERROR(__xludf.DUMMYFUNCTION("""COMPUTED_VALUE"""),"https://drive.google.com/drive/folders/10T2cTQHqEJZqE-st6uFKPoI?usp=share_link")</f>
        <v>https://drive.google.com/drive/folders/10T2cTQHqEJZqE-st6uFKPoI?usp=share_link</v>
      </c>
      <c r="P719" s="6" t="str">
        <f>IFERROR(__xludf.DUMMYFUNCTION("""COMPUTED_VALUE"""),"Brady York")</f>
        <v>Brady York</v>
      </c>
      <c r="Q719" s="6" t="str">
        <f>IFERROR(__xludf.DUMMYFUNCTION("""COMPUTED_VALUE"""),"L2")</f>
        <v>L2</v>
      </c>
      <c r="R719" s="6">
        <f>IFERROR(__xludf.DUMMYFUNCTION("""COMPUTED_VALUE"""),2.0)</f>
        <v>2</v>
      </c>
      <c r="S719" s="6" t="str">
        <f>IFERROR(__xludf.DUMMYFUNCTION("""COMPUTED_VALUE"""),"Noah Rodriguez")</f>
        <v>Noah Rodriguez</v>
      </c>
      <c r="T719" s="6" t="str">
        <f>IFERROR(__xludf.DUMMYFUNCTION("""COMPUTED_VALUE"""),"noah.rodriguez@alpha.school")</f>
        <v>noah.rodriguez@alpha.school</v>
      </c>
      <c r="U719" s="6" t="str">
        <f>IFERROR(__xludf.DUMMYFUNCTION("""COMPUTED_VALUE"""),"4")</f>
        <v>4</v>
      </c>
      <c r="V719" s="6" t="str">
        <f>IFERROR(__xludf.DUMMYFUNCTION("""COMPUTED_VALUE"""),"")</f>
        <v/>
      </c>
      <c r="W719" s="6" t="str">
        <f>IFERROR(__xludf.DUMMYFUNCTION("""COMPUTED_VALUE"""),"[]")</f>
        <v>[]</v>
      </c>
      <c r="X719" s="6" t="str">
        <f>IFERROR(__xludf.DUMMYFUNCTION("""COMPUTED_VALUE"""),"Enrolled")</f>
        <v>Enrolled</v>
      </c>
    </row>
    <row r="720">
      <c r="A720" s="6" t="str">
        <f>IFERROR(__xludf.DUMMYFUNCTION("""COMPUTED_VALUE"""),"001-1234")</f>
        <v>001-1234</v>
      </c>
      <c r="B720" s="6" t="str">
        <f>IFERROR(__xludf.DUMMYFUNCTION("""COMPUTED_VALUE"""),"1")</f>
        <v>1</v>
      </c>
      <c r="C720" s="6" t="str">
        <f>IFERROR(__xludf.DUMMYFUNCTION("""COMPUTED_VALUE"""),"1234")</f>
        <v>1234</v>
      </c>
      <c r="D720" s="6" t="str">
        <f>IFERROR(__xludf.DUMMYFUNCTION("""COMPUTED_VALUE"""),"Erika")</f>
        <v>Erika</v>
      </c>
      <c r="E720" s="6" t="str">
        <f>IFERROR(__xludf.DUMMYFUNCTION("""COMPUTED_VALUE"""),"Erika")</f>
        <v>Erika</v>
      </c>
      <c r="F720" s="6" t="str">
        <f>IFERROR(__xludf.DUMMYFUNCTION("""COMPUTED_VALUE"""),"Rigby")</f>
        <v>Rigby</v>
      </c>
      <c r="G720" s="6" t="str">
        <f>IFERROR(__xludf.DUMMYFUNCTION("""COMPUTED_VALUE"""),"06/10/2011")</f>
        <v>06/10/2011</v>
      </c>
      <c r="H720" s="6" t="str">
        <f>IFERROR(__xludf.DUMMYFUNCTION("""COMPUTED_VALUE"""),"female")</f>
        <v>female</v>
      </c>
      <c r="I720" s="6" t="str">
        <f>IFERROR(__xludf.DUMMYFUNCTION("""COMPUTED_VALUE"""),"High School")</f>
        <v>High School</v>
      </c>
      <c r="J720" s="6" t="str">
        <f>IFERROR(__xludf.DUMMYFUNCTION("""COMPUTED_VALUE"""),"9")</f>
        <v>9</v>
      </c>
      <c r="K720" s="6" t="str">
        <f>IFERROR(__xludf.DUMMYFUNCTION("""COMPUTED_VALUE"""),"erika.rigby@alpha.school")</f>
        <v>erika.rigby@alpha.school</v>
      </c>
      <c r="L720" s="6" t="str">
        <f>IFERROR(__xludf.DUMMYFUNCTION("""COMPUTED_VALUE"""),"Alpha High School")</f>
        <v>Alpha High School</v>
      </c>
      <c r="M720" s="6" t="str">
        <f>IFERROR(__xludf.DUMMYFUNCTION("""COMPUTED_VALUE"""),"")</f>
        <v/>
      </c>
      <c r="N720" s="6" t="str">
        <f>IFERROR(__xludf.DUMMYFUNCTION("""COMPUTED_VALUE"""),"")</f>
        <v/>
      </c>
      <c r="O720" s="87" t="str">
        <f>IFERROR(__xludf.DUMMYFUNCTION("""COMPUTED_VALUE"""),"https://drive.google.com/drive/folders/10T2cTQHqEJZqE-st6uFKPoI?usp=share_link")</f>
        <v>https://drive.google.com/drive/folders/10T2cTQHqEJZqE-st6uFKPoI?usp=share_link</v>
      </c>
      <c r="P720" s="6" t="str">
        <f>IFERROR(__xludf.DUMMYFUNCTION("""COMPUTED_VALUE"""),"Erika Rigby")</f>
        <v>Erika Rigby</v>
      </c>
      <c r="Q720" s="6" t="str">
        <f>IFERROR(__xludf.DUMMYFUNCTION("""COMPUTED_VALUE"""),"HS")</f>
        <v>HS</v>
      </c>
      <c r="R720" s="6">
        <f>IFERROR(__xludf.DUMMYFUNCTION("""COMPUTED_VALUE"""),0.0)</f>
        <v>0</v>
      </c>
      <c r="S720" s="6" t="str">
        <f>IFERROR(__xludf.DUMMYFUNCTION("""COMPUTED_VALUE"""),"Chloe Belvin")</f>
        <v>Chloe Belvin</v>
      </c>
      <c r="T720" s="6" t="str">
        <f>IFERROR(__xludf.DUMMYFUNCTION("""COMPUTED_VALUE"""),"chloe.belvin@alpha.school")</f>
        <v>chloe.belvin@alpha.school</v>
      </c>
      <c r="U720" s="6" t="str">
        <f>IFERROR(__xludf.DUMMYFUNCTION("""COMPUTED_VALUE"""),"9")</f>
        <v>9</v>
      </c>
      <c r="V720" s="6" t="str">
        <f>IFERROR(__xludf.DUMMYFUNCTION("""COMPUTED_VALUE"""),"")</f>
        <v/>
      </c>
      <c r="W720" s="6" t="str">
        <f>IFERROR(__xludf.DUMMYFUNCTION("""COMPUTED_VALUE"""),"[]")</f>
        <v>[]</v>
      </c>
      <c r="X720" s="6" t="str">
        <f>IFERROR(__xludf.DUMMYFUNCTION("""COMPUTED_VALUE"""),"Enrolled")</f>
        <v>Enrolled</v>
      </c>
    </row>
    <row r="721">
      <c r="A721" s="6" t="str">
        <f>IFERROR(__xludf.DUMMYFUNCTION("""COMPUTED_VALUE"""),"001-1253")</f>
        <v>001-1253</v>
      </c>
      <c r="B721" s="6" t="str">
        <f>IFERROR(__xludf.DUMMYFUNCTION("""COMPUTED_VALUE"""),"1")</f>
        <v>1</v>
      </c>
      <c r="C721" s="6" t="str">
        <f>IFERROR(__xludf.DUMMYFUNCTION("""COMPUTED_VALUE"""),"1253")</f>
        <v>1253</v>
      </c>
      <c r="D721" s="6" t="str">
        <f>IFERROR(__xludf.DUMMYFUNCTION("""COMPUTED_VALUE"""),"Stella")</f>
        <v>Stella</v>
      </c>
      <c r="E721" s="6" t="str">
        <f>IFERROR(__xludf.DUMMYFUNCTION("""COMPUTED_VALUE"""),"Stella")</f>
        <v>Stella</v>
      </c>
      <c r="F721" s="6" t="str">
        <f>IFERROR(__xludf.DUMMYFUNCTION("""COMPUTED_VALUE"""),"Grams")</f>
        <v>Grams</v>
      </c>
      <c r="G721" s="6" t="str">
        <f>IFERROR(__xludf.DUMMYFUNCTION("""COMPUTED_VALUE"""),"03/31/2010")</f>
        <v>03/31/2010</v>
      </c>
      <c r="H721" s="6" t="str">
        <f>IFERROR(__xludf.DUMMYFUNCTION("""COMPUTED_VALUE"""),"female")</f>
        <v>female</v>
      </c>
      <c r="I721" s="6" t="str">
        <f>IFERROR(__xludf.DUMMYFUNCTION("""COMPUTED_VALUE"""),"High School")</f>
        <v>High School</v>
      </c>
      <c r="J721" s="6" t="str">
        <f>IFERROR(__xludf.DUMMYFUNCTION("""COMPUTED_VALUE"""),"10")</f>
        <v>10</v>
      </c>
      <c r="K721" s="6" t="str">
        <f>IFERROR(__xludf.DUMMYFUNCTION("""COMPUTED_VALUE"""),"stella.grams@alpha.school")</f>
        <v>stella.grams@alpha.school</v>
      </c>
      <c r="L721" s="6" t="str">
        <f>IFERROR(__xludf.DUMMYFUNCTION("""COMPUTED_VALUE"""),"Alpha High School")</f>
        <v>Alpha High School</v>
      </c>
      <c r="M721" s="6" t="str">
        <f>IFERROR(__xludf.DUMMYFUNCTION("""COMPUTED_VALUE"""),"")</f>
        <v/>
      </c>
      <c r="N721" s="6" t="str">
        <f>IFERROR(__xludf.DUMMYFUNCTION("""COMPUTED_VALUE"""),"")</f>
        <v/>
      </c>
      <c r="O721" s="87" t="str">
        <f>IFERROR(__xludf.DUMMYFUNCTION("""COMPUTED_VALUE"""),"https://drive.google.com/drive/folders/10T2cTQHqEJZqE-st6uFKPoI?usp=share_link")</f>
        <v>https://drive.google.com/drive/folders/10T2cTQHqEJZqE-st6uFKPoI?usp=share_link</v>
      </c>
      <c r="P721" s="6" t="str">
        <f>IFERROR(__xludf.DUMMYFUNCTION("""COMPUTED_VALUE"""),"Stella Grams")</f>
        <v>Stella Grams</v>
      </c>
      <c r="Q721" s="6" t="str">
        <f>IFERROR(__xludf.DUMMYFUNCTION("""COMPUTED_VALUE"""),"HS")</f>
        <v>HS</v>
      </c>
      <c r="R721" s="6">
        <f>IFERROR(__xludf.DUMMYFUNCTION("""COMPUTED_VALUE"""),0.0)</f>
        <v>0</v>
      </c>
      <c r="S721" s="6" t="str">
        <f>IFERROR(__xludf.DUMMYFUNCTION("""COMPUTED_VALUE"""),"Chloe Belvin")</f>
        <v>Chloe Belvin</v>
      </c>
      <c r="T721" s="6" t="str">
        <f>IFERROR(__xludf.DUMMYFUNCTION("""COMPUTED_VALUE"""),"chloe.belvin@alpha.school")</f>
        <v>chloe.belvin@alpha.school</v>
      </c>
      <c r="U721" s="6" t="str">
        <f>IFERROR(__xludf.DUMMYFUNCTION("""COMPUTED_VALUE"""),"10")</f>
        <v>10</v>
      </c>
      <c r="V721" s="6" t="str">
        <f>IFERROR(__xludf.DUMMYFUNCTION("""COMPUTED_VALUE"""),"")</f>
        <v/>
      </c>
      <c r="W721" s="6" t="str">
        <f>IFERROR(__xludf.DUMMYFUNCTION("""COMPUTED_VALUE"""),"[]")</f>
        <v>[]</v>
      </c>
      <c r="X721" s="6" t="str">
        <f>IFERROR(__xludf.DUMMYFUNCTION("""COMPUTED_VALUE"""),"Enrolled")</f>
        <v>Enrolled</v>
      </c>
    </row>
    <row r="722">
      <c r="A722" s="6" t="str">
        <f>IFERROR(__xludf.DUMMYFUNCTION("""COMPUTED_VALUE"""),"001-1254")</f>
        <v>001-1254</v>
      </c>
      <c r="B722" s="6" t="str">
        <f>IFERROR(__xludf.DUMMYFUNCTION("""COMPUTED_VALUE"""),"1")</f>
        <v>1</v>
      </c>
      <c r="C722" s="6" t="str">
        <f>IFERROR(__xludf.DUMMYFUNCTION("""COMPUTED_VALUE"""),"1254")</f>
        <v>1254</v>
      </c>
      <c r="D722" s="6" t="str">
        <f>IFERROR(__xludf.DUMMYFUNCTION("""COMPUTED_VALUE"""),"Madeleine")</f>
        <v>Madeleine</v>
      </c>
      <c r="E722" s="6" t="str">
        <f>IFERROR(__xludf.DUMMYFUNCTION("""COMPUTED_VALUE"""),"")</f>
        <v/>
      </c>
      <c r="F722" s="6" t="str">
        <f>IFERROR(__xludf.DUMMYFUNCTION("""COMPUTED_VALUE"""),"Grams")</f>
        <v>Grams</v>
      </c>
      <c r="G722" s="6" t="str">
        <f>IFERROR(__xludf.DUMMYFUNCTION("""COMPUTED_VALUE"""),"12/04/2008")</f>
        <v>12/04/2008</v>
      </c>
      <c r="H722" s="6" t="str">
        <f>IFERROR(__xludf.DUMMYFUNCTION("""COMPUTED_VALUE"""),"female")</f>
        <v>female</v>
      </c>
      <c r="I722" s="6" t="str">
        <f>IFERROR(__xludf.DUMMYFUNCTION("""COMPUTED_VALUE"""),"High School")</f>
        <v>High School</v>
      </c>
      <c r="J722" s="6" t="str">
        <f>IFERROR(__xludf.DUMMYFUNCTION("""COMPUTED_VALUE"""),"11")</f>
        <v>11</v>
      </c>
      <c r="K722" s="6" t="str">
        <f>IFERROR(__xludf.DUMMYFUNCTION("""COMPUTED_VALUE"""),"madeleine.grams@alpha.school")</f>
        <v>madeleine.grams@alpha.school</v>
      </c>
      <c r="L722" s="6" t="str">
        <f>IFERROR(__xludf.DUMMYFUNCTION("""COMPUTED_VALUE"""),"Alpha High School")</f>
        <v>Alpha High School</v>
      </c>
      <c r="M722" s="6" t="str">
        <f>IFERROR(__xludf.DUMMYFUNCTION("""COMPUTED_VALUE"""),"")</f>
        <v/>
      </c>
      <c r="N722" s="6" t="str">
        <f>IFERROR(__xludf.DUMMYFUNCTION("""COMPUTED_VALUE"""),"")</f>
        <v/>
      </c>
      <c r="O722" s="87" t="str">
        <f>IFERROR(__xludf.DUMMYFUNCTION("""COMPUTED_VALUE"""),"https://drive.google.com/drive/folders/10T2cTQHqEJZqE-st6uFKPoI?usp=share_link")</f>
        <v>https://drive.google.com/drive/folders/10T2cTQHqEJZqE-st6uFKPoI?usp=share_link</v>
      </c>
      <c r="P722" s="6" t="str">
        <f>IFERROR(__xludf.DUMMYFUNCTION("""COMPUTED_VALUE"""),"Madeleine Grams")</f>
        <v>Madeleine Grams</v>
      </c>
      <c r="Q722" s="6" t="str">
        <f>IFERROR(__xludf.DUMMYFUNCTION("""COMPUTED_VALUE"""),"HS")</f>
        <v>HS</v>
      </c>
      <c r="R722" s="6">
        <f>IFERROR(__xludf.DUMMYFUNCTION("""COMPUTED_VALUE"""),0.0)</f>
        <v>0</v>
      </c>
      <c r="S722" s="6" t="str">
        <f>IFERROR(__xludf.DUMMYFUNCTION("""COMPUTED_VALUE"""),"Chloe Belvin")</f>
        <v>Chloe Belvin</v>
      </c>
      <c r="T722" s="6" t="str">
        <f>IFERROR(__xludf.DUMMYFUNCTION("""COMPUTED_VALUE"""),"chloe.belvin@alpha.school")</f>
        <v>chloe.belvin@alpha.school</v>
      </c>
      <c r="U722" s="6" t="str">
        <f>IFERROR(__xludf.DUMMYFUNCTION("""COMPUTED_VALUE"""),"11")</f>
        <v>11</v>
      </c>
      <c r="V722" s="6" t="str">
        <f>IFERROR(__xludf.DUMMYFUNCTION("""COMPUTED_VALUE"""),"")</f>
        <v/>
      </c>
      <c r="W722" s="6" t="str">
        <f>IFERROR(__xludf.DUMMYFUNCTION("""COMPUTED_VALUE"""),"[]")</f>
        <v>[]</v>
      </c>
      <c r="X722" s="6" t="str">
        <f>IFERROR(__xludf.DUMMYFUNCTION("""COMPUTED_VALUE"""),"Enrolled")</f>
        <v>Enrolled</v>
      </c>
    </row>
    <row r="723">
      <c r="A723" s="6" t="str">
        <f>IFERROR(__xludf.DUMMYFUNCTION("""COMPUTED_VALUE"""),"001-1256")</f>
        <v>001-1256</v>
      </c>
      <c r="B723" s="6" t="str">
        <f>IFERROR(__xludf.DUMMYFUNCTION("""COMPUTED_VALUE"""),"1")</f>
        <v>1</v>
      </c>
      <c r="C723" s="6" t="str">
        <f>IFERROR(__xludf.DUMMYFUNCTION("""COMPUTED_VALUE"""),"1256")</f>
        <v>1256</v>
      </c>
      <c r="D723" s="6" t="str">
        <f>IFERROR(__xludf.DUMMYFUNCTION("""COMPUTED_VALUE"""),"Alita")</f>
        <v>Alita</v>
      </c>
      <c r="E723" s="6" t="str">
        <f>IFERROR(__xludf.DUMMYFUNCTION("""COMPUTED_VALUE"""),"")</f>
        <v/>
      </c>
      <c r="F723" s="6" t="str">
        <f>IFERROR(__xludf.DUMMYFUNCTION("""COMPUTED_VALUE"""),"Sanborn")</f>
        <v>Sanborn</v>
      </c>
      <c r="G723" s="6" t="str">
        <f>IFERROR(__xludf.DUMMYFUNCTION("""COMPUTED_VALUE"""),"10/16/2020")</f>
        <v>10/16/2020</v>
      </c>
      <c r="H723" s="6" t="str">
        <f>IFERROR(__xludf.DUMMYFUNCTION("""COMPUTED_VALUE"""),"female")</f>
        <v>female</v>
      </c>
      <c r="I723" s="6" t="str">
        <f>IFERROR(__xludf.DUMMYFUNCTION("""COMPUTED_VALUE"""),"Learning Lab")</f>
        <v>Learning Lab</v>
      </c>
      <c r="J723" s="6" t="str">
        <f>IFERROR(__xludf.DUMMYFUNCTION("""COMPUTED_VALUE"""),"K")</f>
        <v>K</v>
      </c>
      <c r="K723" s="6" t="str">
        <f>IFERROR(__xludf.DUMMYFUNCTION("""COMPUTED_VALUE"""),"alita.sanborn@alpha.school")</f>
        <v>alita.sanborn@alpha.school</v>
      </c>
      <c r="L723" s="6" t="str">
        <f>IFERROR(__xludf.DUMMYFUNCTION("""COMPUTED_VALUE"""),"Alpha School Austin")</f>
        <v>Alpha School Austin</v>
      </c>
      <c r="M723" s="6" t="str">
        <f>IFERROR(__xludf.DUMMYFUNCTION("""COMPUTED_VALUE"""),"")</f>
        <v/>
      </c>
      <c r="N723" s="6" t="str">
        <f>IFERROR(__xludf.DUMMYFUNCTION("""COMPUTED_VALUE"""),"")</f>
        <v/>
      </c>
      <c r="O723" s="87" t="str">
        <f>IFERROR(__xludf.DUMMYFUNCTION("""COMPUTED_VALUE"""),"https://drive.google.com/drive/folders/10T2cTQHqEJZqE-st6uFKPoI?usp=share_link")</f>
        <v>https://drive.google.com/drive/folders/10T2cTQHqEJZqE-st6uFKPoI?usp=share_link</v>
      </c>
      <c r="P723" s="6" t="str">
        <f>IFERROR(__xludf.DUMMYFUNCTION("""COMPUTED_VALUE"""),"Alita Sanborn")</f>
        <v>Alita Sanborn</v>
      </c>
      <c r="Q723" s="6" t="str">
        <f>IFERROR(__xludf.DUMMYFUNCTION("""COMPUTED_VALUE"""),"LL")</f>
        <v>LL</v>
      </c>
      <c r="R723" s="6">
        <f>IFERROR(__xludf.DUMMYFUNCTION("""COMPUTED_VALUE"""),0.0)</f>
        <v>0</v>
      </c>
      <c r="S723" s="6" t="str">
        <f>IFERROR(__xludf.DUMMYFUNCTION("""COMPUTED_VALUE"""),"Hannah Burkhauser")</f>
        <v>Hannah Burkhauser</v>
      </c>
      <c r="T723" s="6" t="str">
        <f>IFERROR(__xludf.DUMMYFUNCTION("""COMPUTED_VALUE"""),"hannah.burkhauser@alpha.school")</f>
        <v>hannah.burkhauser@alpha.school</v>
      </c>
      <c r="U723" s="6" t="str">
        <f>IFERROR(__xludf.DUMMYFUNCTION("""COMPUTED_VALUE"""),"K")</f>
        <v>K</v>
      </c>
      <c r="V723" s="6" t="str">
        <f>IFERROR(__xludf.DUMMYFUNCTION("""COMPUTED_VALUE"""),"")</f>
        <v/>
      </c>
      <c r="W723" s="6" t="str">
        <f>IFERROR(__xludf.DUMMYFUNCTION("""COMPUTED_VALUE"""),"[]")</f>
        <v>[]</v>
      </c>
      <c r="X723" s="6" t="str">
        <f>IFERROR(__xludf.DUMMYFUNCTION("""COMPUTED_VALUE"""),"Enrolled")</f>
        <v>Enrolled</v>
      </c>
    </row>
    <row r="724">
      <c r="A724" s="6" t="str">
        <f>IFERROR(__xludf.DUMMYFUNCTION("""COMPUTED_VALUE"""),"001-1902")</f>
        <v>001-1902</v>
      </c>
      <c r="B724" s="6" t="str">
        <f>IFERROR(__xludf.DUMMYFUNCTION("""COMPUTED_VALUE"""),"1")</f>
        <v>1</v>
      </c>
      <c r="C724" s="6" t="str">
        <f>IFERROR(__xludf.DUMMYFUNCTION("""COMPUTED_VALUE"""),"1902")</f>
        <v>1902</v>
      </c>
      <c r="D724" s="6" t="str">
        <f>IFERROR(__xludf.DUMMYFUNCTION("""COMPUTED_VALUE"""),"Gavin")</f>
        <v>Gavin</v>
      </c>
      <c r="E724" s="6" t="str">
        <f>IFERROR(__xludf.DUMMYFUNCTION("""COMPUTED_VALUE"""),"")</f>
        <v/>
      </c>
      <c r="F724" s="6" t="str">
        <f>IFERROR(__xludf.DUMMYFUNCTION("""COMPUTED_VALUE"""),"Ross - Test")</f>
        <v>Ross - Test</v>
      </c>
      <c r="G724" s="6" t="str">
        <f>IFERROR(__xludf.DUMMYFUNCTION("""COMPUTED_VALUE"""),"05/10/2010")</f>
        <v>05/10/2010</v>
      </c>
      <c r="H724" s="6" t="str">
        <f>IFERROR(__xludf.DUMMYFUNCTION("""COMPUTED_VALUE"""),"Self Identify")</f>
        <v>Self Identify</v>
      </c>
      <c r="I724" s="6" t="str">
        <f>IFERROR(__xludf.DUMMYFUNCTION("""COMPUTED_VALUE"""),"High School")</f>
        <v>High School</v>
      </c>
      <c r="J724" s="6" t="str">
        <f>IFERROR(__xludf.DUMMYFUNCTION("""COMPUTED_VALUE"""),"10")</f>
        <v>10</v>
      </c>
      <c r="K724" s="6" t="str">
        <f>IFERROR(__xludf.DUMMYFUNCTION("""COMPUTED_VALUE"""),"gavin.ross@2hourlearning.com")</f>
        <v>gavin.ross@2hourlearning.com</v>
      </c>
      <c r="L724" s="6" t="str">
        <f>IFERROR(__xludf.DUMMYFUNCTION("""COMPUTED_VALUE"""),"Alpha High School")</f>
        <v>Alpha High School</v>
      </c>
      <c r="M724" s="6" t="str">
        <f>IFERROR(__xludf.DUMMYFUNCTION("""COMPUTED_VALUE"""),"")</f>
        <v/>
      </c>
      <c r="N724" s="6" t="str">
        <f>IFERROR(__xludf.DUMMYFUNCTION("""COMPUTED_VALUE"""),"")</f>
        <v/>
      </c>
      <c r="O724" s="87" t="str">
        <f>IFERROR(__xludf.DUMMYFUNCTION("""COMPUTED_VALUE"""),"https://drive.google.com/drive/folders/10T2cTQHqEJZqE-st6uFKPoI?usp=share_link")</f>
        <v>https://drive.google.com/drive/folders/10T2cTQHqEJZqE-st6uFKPoI?usp=share_link</v>
      </c>
      <c r="P724" s="6" t="str">
        <f>IFERROR(__xludf.DUMMYFUNCTION("""COMPUTED_VALUE"""),"Gavin Ross - Test")</f>
        <v>Gavin Ross - Test</v>
      </c>
      <c r="Q724" s="6" t="str">
        <f>IFERROR(__xludf.DUMMYFUNCTION("""COMPUTED_VALUE"""),"HS")</f>
        <v>HS</v>
      </c>
      <c r="R724" s="6">
        <f>IFERROR(__xludf.DUMMYFUNCTION("""COMPUTED_VALUE"""),0.0)</f>
        <v>0</v>
      </c>
      <c r="S724" s="6" t="str">
        <f>IFERROR(__xludf.DUMMYFUNCTION("""COMPUTED_VALUE"""),"Cory Shelton")</f>
        <v>Cory Shelton</v>
      </c>
      <c r="T724" s="6" t="str">
        <f>IFERROR(__xludf.DUMMYFUNCTION("""COMPUTED_VALUE"""),"cory.shelton@alpha.school")</f>
        <v>cory.shelton@alpha.school</v>
      </c>
      <c r="U724" s="6" t="str">
        <f>IFERROR(__xludf.DUMMYFUNCTION("""COMPUTED_VALUE"""),"10")</f>
        <v>10</v>
      </c>
      <c r="V724" s="6" t="str">
        <f>IFERROR(__xludf.DUMMYFUNCTION("""COMPUTED_VALUE"""),"")</f>
        <v/>
      </c>
      <c r="W724" s="6" t="str">
        <f>IFERROR(__xludf.DUMMYFUNCTION("""COMPUTED_VALUE"""),"[]")</f>
        <v>[]</v>
      </c>
      <c r="X724" s="6" t="str">
        <f>IFERROR(__xludf.DUMMYFUNCTION("""COMPUTED_VALUE"""),"Pending Review")</f>
        <v>Pending Review</v>
      </c>
    </row>
    <row r="725">
      <c r="A725" s="6" t="str">
        <f>IFERROR(__xludf.DUMMYFUNCTION("""COMPUTED_VALUE"""),"001-1909")</f>
        <v>001-1909</v>
      </c>
      <c r="B725" s="6" t="str">
        <f>IFERROR(__xludf.DUMMYFUNCTION("""COMPUTED_VALUE"""),"1")</f>
        <v>1</v>
      </c>
      <c r="C725" s="6" t="str">
        <f>IFERROR(__xludf.DUMMYFUNCTION("""COMPUTED_VALUE"""),"1909")</f>
        <v>1909</v>
      </c>
      <c r="D725" s="6" t="str">
        <f>IFERROR(__xludf.DUMMYFUNCTION("""COMPUTED_VALUE"""),"Jamie")</f>
        <v>Jamie</v>
      </c>
      <c r="E725" s="6" t="str">
        <f>IFERROR(__xludf.DUMMYFUNCTION("""COMPUTED_VALUE"""),"Jamie")</f>
        <v>Jamie</v>
      </c>
      <c r="F725" s="6" t="str">
        <f>IFERROR(__xludf.DUMMYFUNCTION("""COMPUTED_VALUE"""),"Theunissen")</f>
        <v>Theunissen</v>
      </c>
      <c r="G725" s="6" t="str">
        <f>IFERROR(__xludf.DUMMYFUNCTION("""COMPUTED_VALUE"""),"08/11/2019")</f>
        <v>08/11/2019</v>
      </c>
      <c r="H725" s="6" t="str">
        <f>IFERROR(__xludf.DUMMYFUNCTION("""COMPUTED_VALUE"""),"male")</f>
        <v>male</v>
      </c>
      <c r="I725" s="6" t="str">
        <f>IFERROR(__xludf.DUMMYFUNCTION("""COMPUTED_VALUE"""),"Learning Lab")</f>
        <v>Learning Lab</v>
      </c>
      <c r="J725" s="6" t="str">
        <f>IFERROR(__xludf.DUMMYFUNCTION("""COMPUTED_VALUE"""),"K")</f>
        <v>K</v>
      </c>
      <c r="K725" s="6" t="str">
        <f>IFERROR(__xludf.DUMMYFUNCTION("""COMPUTED_VALUE"""),"jamie.theunissen@alpha.school")</f>
        <v>jamie.theunissen@alpha.school</v>
      </c>
      <c r="L725" s="6" t="str">
        <f>IFERROR(__xludf.DUMMYFUNCTION("""COMPUTED_VALUE"""),"Alpha School Austin")</f>
        <v>Alpha School Austin</v>
      </c>
      <c r="M725" s="6" t="str">
        <f>IFERROR(__xludf.DUMMYFUNCTION("""COMPUTED_VALUE"""),"")</f>
        <v/>
      </c>
      <c r="N725" s="6" t="str">
        <f>IFERROR(__xludf.DUMMYFUNCTION("""COMPUTED_VALUE"""),"")</f>
        <v/>
      </c>
      <c r="O725" s="87" t="str">
        <f>IFERROR(__xludf.DUMMYFUNCTION("""COMPUTED_VALUE"""),"https://drive.google.com/drive/folders/10T2cTQHqEJZqE-st6uFKPoI?usp=share_link")</f>
        <v>https://drive.google.com/drive/folders/10T2cTQHqEJZqE-st6uFKPoI?usp=share_link</v>
      </c>
      <c r="P725" s="6" t="str">
        <f>IFERROR(__xludf.DUMMYFUNCTION("""COMPUTED_VALUE"""),"Jamie Theunissen")</f>
        <v>Jamie Theunissen</v>
      </c>
      <c r="Q725" s="6" t="str">
        <f>IFERROR(__xludf.DUMMYFUNCTION("""COMPUTED_VALUE"""),"LL")</f>
        <v>LL</v>
      </c>
      <c r="R725" s="6">
        <f>IFERROR(__xludf.DUMMYFUNCTION("""COMPUTED_VALUE"""),0.0)</f>
        <v>0</v>
      </c>
      <c r="S725" s="6" t="str">
        <f>IFERROR(__xludf.DUMMYFUNCTION("""COMPUTED_VALUE"""),"Hannah Burkhauser")</f>
        <v>Hannah Burkhauser</v>
      </c>
      <c r="T725" s="6" t="str">
        <f>IFERROR(__xludf.DUMMYFUNCTION("""COMPUTED_VALUE"""),"hannah.burkhauser@alpha.school")</f>
        <v>hannah.burkhauser@alpha.school</v>
      </c>
      <c r="U725" s="6" t="str">
        <f>IFERROR(__xludf.DUMMYFUNCTION("""COMPUTED_VALUE"""),"K")</f>
        <v>K</v>
      </c>
      <c r="V725" s="6" t="str">
        <f>IFERROR(__xludf.DUMMYFUNCTION("""COMPUTED_VALUE"""),"")</f>
        <v/>
      </c>
      <c r="W725" s="6" t="str">
        <f>IFERROR(__xludf.DUMMYFUNCTION("""COMPUTED_VALUE"""),"[]")</f>
        <v>[]</v>
      </c>
      <c r="X725" s="6" t="str">
        <f>IFERROR(__xludf.DUMMYFUNCTION("""COMPUTED_VALUE"""),"Enrolled")</f>
        <v>Enrolled</v>
      </c>
    </row>
    <row r="726">
      <c r="A726" s="6" t="str">
        <f>IFERROR(__xludf.DUMMYFUNCTION("""COMPUTED_VALUE"""),"001-1912")</f>
        <v>001-1912</v>
      </c>
      <c r="B726" s="6" t="str">
        <f>IFERROR(__xludf.DUMMYFUNCTION("""COMPUTED_VALUE"""),"1")</f>
        <v>1</v>
      </c>
      <c r="C726" s="6" t="str">
        <f>IFERROR(__xludf.DUMMYFUNCTION("""COMPUTED_VALUE"""),"1912")</f>
        <v>1912</v>
      </c>
      <c r="D726" s="6" t="str">
        <f>IFERROR(__xludf.DUMMYFUNCTION("""COMPUTED_VALUE"""),"Reece")</f>
        <v>Reece</v>
      </c>
      <c r="E726" s="6" t="str">
        <f>IFERROR(__xludf.DUMMYFUNCTION("""COMPUTED_VALUE"""),"Reece")</f>
        <v>Reece</v>
      </c>
      <c r="F726" s="6" t="str">
        <f>IFERROR(__xludf.DUMMYFUNCTION("""COMPUTED_VALUE"""),"Knight")</f>
        <v>Knight</v>
      </c>
      <c r="G726" s="6" t="str">
        <f>IFERROR(__xludf.DUMMYFUNCTION("""COMPUTED_VALUE"""),"01/10/2011")</f>
        <v>01/10/2011</v>
      </c>
      <c r="H726" s="6" t="str">
        <f>IFERROR(__xludf.DUMMYFUNCTION("""COMPUTED_VALUE"""),"female")</f>
        <v>female</v>
      </c>
      <c r="I726" s="6" t="str">
        <f>IFERROR(__xludf.DUMMYFUNCTION("""COMPUTED_VALUE"""),"High School")</f>
        <v>High School</v>
      </c>
      <c r="J726" s="6" t="str">
        <f>IFERROR(__xludf.DUMMYFUNCTION("""COMPUTED_VALUE"""),"9")</f>
        <v>9</v>
      </c>
      <c r="K726" s="6" t="str">
        <f>IFERROR(__xludf.DUMMYFUNCTION("""COMPUTED_VALUE"""),"reece.knight@alpha.school")</f>
        <v>reece.knight@alpha.school</v>
      </c>
      <c r="L726" s="6" t="str">
        <f>IFERROR(__xludf.DUMMYFUNCTION("""COMPUTED_VALUE"""),"Alpha High School")</f>
        <v>Alpha High School</v>
      </c>
      <c r="M726" s="6" t="str">
        <f>IFERROR(__xludf.DUMMYFUNCTION("""COMPUTED_VALUE"""),"")</f>
        <v/>
      </c>
      <c r="N726" s="6" t="str">
        <f>IFERROR(__xludf.DUMMYFUNCTION("""COMPUTED_VALUE"""),"")</f>
        <v/>
      </c>
      <c r="O726" s="87" t="str">
        <f>IFERROR(__xludf.DUMMYFUNCTION("""COMPUTED_VALUE"""),"https://drive.google.com/drive/folders/10T2cTQHqEJZqE-st6uFKPoI?usp=share_link")</f>
        <v>https://drive.google.com/drive/folders/10T2cTQHqEJZqE-st6uFKPoI?usp=share_link</v>
      </c>
      <c r="P726" s="6" t="str">
        <f>IFERROR(__xludf.DUMMYFUNCTION("""COMPUTED_VALUE"""),"Reece Knight")</f>
        <v>Reece Knight</v>
      </c>
      <c r="Q726" s="6" t="str">
        <f>IFERROR(__xludf.DUMMYFUNCTION("""COMPUTED_VALUE"""),"HS")</f>
        <v>HS</v>
      </c>
      <c r="R726" s="6">
        <f>IFERROR(__xludf.DUMMYFUNCTION("""COMPUTED_VALUE"""),0.0)</f>
        <v>0</v>
      </c>
      <c r="S726" s="6" t="str">
        <f>IFERROR(__xludf.DUMMYFUNCTION("""COMPUTED_VALUE"""),"Emily Findley")</f>
        <v>Emily Findley</v>
      </c>
      <c r="T726" s="6" t="str">
        <f>IFERROR(__xludf.DUMMYFUNCTION("""COMPUTED_VALUE"""),"emily.findley@alpha.school")</f>
        <v>emily.findley@alpha.school</v>
      </c>
      <c r="U726" s="6" t="str">
        <f>IFERROR(__xludf.DUMMYFUNCTION("""COMPUTED_VALUE"""),"9")</f>
        <v>9</v>
      </c>
      <c r="V726" s="6" t="str">
        <f>IFERROR(__xludf.DUMMYFUNCTION("""COMPUTED_VALUE"""),"")</f>
        <v/>
      </c>
      <c r="W726" s="6" t="str">
        <f>IFERROR(__xludf.DUMMYFUNCTION("""COMPUTED_VALUE"""),"[]")</f>
        <v>[]</v>
      </c>
      <c r="X726" s="6" t="str">
        <f>IFERROR(__xludf.DUMMYFUNCTION("""COMPUTED_VALUE"""),"Enrolled")</f>
        <v>Enrolled</v>
      </c>
    </row>
    <row r="727">
      <c r="A727" s="6" t="str">
        <f>IFERROR(__xludf.DUMMYFUNCTION("""COMPUTED_VALUE"""),"001-1913")</f>
        <v>001-1913</v>
      </c>
      <c r="B727" s="6" t="str">
        <f>IFERROR(__xludf.DUMMYFUNCTION("""COMPUTED_VALUE"""),"1")</f>
        <v>1</v>
      </c>
      <c r="C727" s="6" t="str">
        <f>IFERROR(__xludf.DUMMYFUNCTION("""COMPUTED_VALUE"""),"1913")</f>
        <v>1913</v>
      </c>
      <c r="D727" s="6" t="str">
        <f>IFERROR(__xludf.DUMMYFUNCTION("""COMPUTED_VALUE"""),"Ezekiel")</f>
        <v>Ezekiel</v>
      </c>
      <c r="E727" s="6" t="str">
        <f>IFERROR(__xludf.DUMMYFUNCTION("""COMPUTED_VALUE"""),"Zeke")</f>
        <v>Zeke</v>
      </c>
      <c r="F727" s="6" t="str">
        <f>IFERROR(__xludf.DUMMYFUNCTION("""COMPUTED_VALUE"""),"Knight")</f>
        <v>Knight</v>
      </c>
      <c r="G727" s="6" t="str">
        <f>IFERROR(__xludf.DUMMYFUNCTION("""COMPUTED_VALUE"""),"02/21/2014")</f>
        <v>02/21/2014</v>
      </c>
      <c r="H727" s="6" t="str">
        <f>IFERROR(__xludf.DUMMYFUNCTION("""COMPUTED_VALUE"""),"male")</f>
        <v>male</v>
      </c>
      <c r="I727" s="6" t="str">
        <f>IFERROR(__xludf.DUMMYFUNCTION("""COMPUTED_VALUE"""),"Middle School")</f>
        <v>Middle School</v>
      </c>
      <c r="J727" s="6" t="str">
        <f>IFERROR(__xludf.DUMMYFUNCTION("""COMPUTED_VALUE"""),"6")</f>
        <v>6</v>
      </c>
      <c r="K727" s="6" t="str">
        <f>IFERROR(__xludf.DUMMYFUNCTION("""COMPUTED_VALUE"""),"ezekiel.knight@alpha.school")</f>
        <v>ezekiel.knight@alpha.school</v>
      </c>
      <c r="L727" s="6" t="str">
        <f>IFERROR(__xludf.DUMMYFUNCTION("""COMPUTED_VALUE"""),"Alpha School Austin")</f>
        <v>Alpha School Austin</v>
      </c>
      <c r="M727" s="6" t="str">
        <f>IFERROR(__xludf.DUMMYFUNCTION("""COMPUTED_VALUE"""),"")</f>
        <v/>
      </c>
      <c r="N727" s="6" t="str">
        <f>IFERROR(__xludf.DUMMYFUNCTION("""COMPUTED_VALUE"""),"")</f>
        <v/>
      </c>
      <c r="O727" s="87" t="str">
        <f>IFERROR(__xludf.DUMMYFUNCTION("""COMPUTED_VALUE"""),"https://drive.google.com/drive/folders/10T2cTQHqEJZqE-st6uFKPoI?usp=share_link")</f>
        <v>https://drive.google.com/drive/folders/10T2cTQHqEJZqE-st6uFKPoI?usp=share_link</v>
      </c>
      <c r="P727" s="6" t="str">
        <f>IFERROR(__xludf.DUMMYFUNCTION("""COMPUTED_VALUE"""),"Zeke Knight")</f>
        <v>Zeke Knight</v>
      </c>
      <c r="Q727" s="6" t="str">
        <f>IFERROR(__xludf.DUMMYFUNCTION("""COMPUTED_VALUE"""),"MS")</f>
        <v>MS</v>
      </c>
      <c r="R727" s="6">
        <f>IFERROR(__xludf.DUMMYFUNCTION("""COMPUTED_VALUE"""),0.0)</f>
        <v>0</v>
      </c>
      <c r="S727" s="6" t="str">
        <f>IFERROR(__xludf.DUMMYFUNCTION("""COMPUTED_VALUE"""),"Jawaan Delaney")</f>
        <v>Jawaan Delaney</v>
      </c>
      <c r="T727" s="6" t="str">
        <f>IFERROR(__xludf.DUMMYFUNCTION("""COMPUTED_VALUE"""),"jawaan.delaney@alpha.school")</f>
        <v>jawaan.delaney@alpha.school</v>
      </c>
      <c r="U727" s="6" t="str">
        <f>IFERROR(__xludf.DUMMYFUNCTION("""COMPUTED_VALUE"""),"6")</f>
        <v>6</v>
      </c>
      <c r="V727" s="6" t="str">
        <f>IFERROR(__xludf.DUMMYFUNCTION("""COMPUTED_VALUE"""),"")</f>
        <v/>
      </c>
      <c r="W727" s="6" t="str">
        <f>IFERROR(__xludf.DUMMYFUNCTION("""COMPUTED_VALUE"""),"[]")</f>
        <v>[]</v>
      </c>
      <c r="X727" s="6" t="str">
        <f>IFERROR(__xludf.DUMMYFUNCTION("""COMPUTED_VALUE"""),"Enrolled")</f>
        <v>Enrolled</v>
      </c>
    </row>
    <row r="728">
      <c r="A728" s="6" t="str">
        <f>IFERROR(__xludf.DUMMYFUNCTION("""COMPUTED_VALUE"""),"001-1921")</f>
        <v>001-1921</v>
      </c>
      <c r="B728" s="6" t="str">
        <f>IFERROR(__xludf.DUMMYFUNCTION("""COMPUTED_VALUE"""),"1")</f>
        <v>1</v>
      </c>
      <c r="C728" s="6" t="str">
        <f>IFERROR(__xludf.DUMMYFUNCTION("""COMPUTED_VALUE"""),"1921")</f>
        <v>1921</v>
      </c>
      <c r="D728" s="6" t="str">
        <f>IFERROR(__xludf.DUMMYFUNCTION("""COMPUTED_VALUE"""),"Hayden")</f>
        <v>Hayden</v>
      </c>
      <c r="E728" s="6" t="str">
        <f>IFERROR(__xludf.DUMMYFUNCTION("""COMPUTED_VALUE"""),"Hayden")</f>
        <v>Hayden</v>
      </c>
      <c r="F728" s="6" t="str">
        <f>IFERROR(__xludf.DUMMYFUNCTION("""COMPUTED_VALUE"""),"Jones")</f>
        <v>Jones</v>
      </c>
      <c r="G728" s="6" t="str">
        <f>IFERROR(__xludf.DUMMYFUNCTION("""COMPUTED_VALUE"""),"06/21/2019")</f>
        <v>06/21/2019</v>
      </c>
      <c r="H728" s="6" t="str">
        <f>IFERROR(__xludf.DUMMYFUNCTION("""COMPUTED_VALUE"""),"male")</f>
        <v>male</v>
      </c>
      <c r="I728" s="6" t="str">
        <f>IFERROR(__xludf.DUMMYFUNCTION("""COMPUTED_VALUE"""),"Learning Lab")</f>
        <v>Learning Lab</v>
      </c>
      <c r="J728" s="6" t="str">
        <f>IFERROR(__xludf.DUMMYFUNCTION("""COMPUTED_VALUE"""),"K")</f>
        <v>K</v>
      </c>
      <c r="K728" s="6" t="str">
        <f>IFERROR(__xludf.DUMMYFUNCTION("""COMPUTED_VALUE"""),"hayden.jones@alpha.school")</f>
        <v>hayden.jones@alpha.school</v>
      </c>
      <c r="L728" s="6" t="str">
        <f>IFERROR(__xludf.DUMMYFUNCTION("""COMPUTED_VALUE"""),"Alpha School Austin")</f>
        <v>Alpha School Austin</v>
      </c>
      <c r="M728" s="6" t="str">
        <f>IFERROR(__xludf.DUMMYFUNCTION("""COMPUTED_VALUE"""),"")</f>
        <v/>
      </c>
      <c r="N728" s="6" t="str">
        <f>IFERROR(__xludf.DUMMYFUNCTION("""COMPUTED_VALUE"""),"")</f>
        <v/>
      </c>
      <c r="O728" s="87" t="str">
        <f>IFERROR(__xludf.DUMMYFUNCTION("""COMPUTED_VALUE"""),"https://drive.google.com/drive/folders/10T2cTQHqEJZqE-st6uFKPoI?usp=share_link")</f>
        <v>https://drive.google.com/drive/folders/10T2cTQHqEJZqE-st6uFKPoI?usp=share_link</v>
      </c>
      <c r="P728" s="6" t="str">
        <f>IFERROR(__xludf.DUMMYFUNCTION("""COMPUTED_VALUE"""),"Hayden Jones")</f>
        <v>Hayden Jones</v>
      </c>
      <c r="Q728" s="6" t="str">
        <f>IFERROR(__xludf.DUMMYFUNCTION("""COMPUTED_VALUE"""),"LL")</f>
        <v>LL</v>
      </c>
      <c r="R728" s="6">
        <f>IFERROR(__xludf.DUMMYFUNCTION("""COMPUTED_VALUE"""),0.0)</f>
        <v>0</v>
      </c>
      <c r="S728" s="6" t="str">
        <f>IFERROR(__xludf.DUMMYFUNCTION("""COMPUTED_VALUE"""),"Cole Dougherty")</f>
        <v>Cole Dougherty</v>
      </c>
      <c r="T728" s="6" t="str">
        <f>IFERROR(__xludf.DUMMYFUNCTION("""COMPUTED_VALUE"""),"cole.dougherty@alpha.school")</f>
        <v>cole.dougherty@alpha.school</v>
      </c>
      <c r="U728" s="6" t="str">
        <f>IFERROR(__xludf.DUMMYFUNCTION("""COMPUTED_VALUE"""),"K")</f>
        <v>K</v>
      </c>
      <c r="V728" s="6" t="str">
        <f>IFERROR(__xludf.DUMMYFUNCTION("""COMPUTED_VALUE"""),"")</f>
        <v/>
      </c>
      <c r="W728" s="6" t="str">
        <f>IFERROR(__xludf.DUMMYFUNCTION("""COMPUTED_VALUE"""),"[]")</f>
        <v>[]</v>
      </c>
      <c r="X728" s="6" t="str">
        <f>IFERROR(__xludf.DUMMYFUNCTION("""COMPUTED_VALUE"""),"Enrolled")</f>
        <v>Enrolled</v>
      </c>
    </row>
    <row r="729">
      <c r="A729" s="6" t="str">
        <f>IFERROR(__xludf.DUMMYFUNCTION("""COMPUTED_VALUE"""),"001-1922")</f>
        <v>001-1922</v>
      </c>
      <c r="B729" s="6" t="str">
        <f>IFERROR(__xludf.DUMMYFUNCTION("""COMPUTED_VALUE"""),"1")</f>
        <v>1</v>
      </c>
      <c r="C729" s="6" t="str">
        <f>IFERROR(__xludf.DUMMYFUNCTION("""COMPUTED_VALUE"""),"1922")</f>
        <v>1922</v>
      </c>
      <c r="D729" s="6" t="str">
        <f>IFERROR(__xludf.DUMMYFUNCTION("""COMPUTED_VALUE"""),"Zara")</f>
        <v>Zara</v>
      </c>
      <c r="E729" s="6" t="str">
        <f>IFERROR(__xludf.DUMMYFUNCTION("""COMPUTED_VALUE"""),"")</f>
        <v/>
      </c>
      <c r="F729" s="6" t="str">
        <f>IFERROR(__xludf.DUMMYFUNCTION("""COMPUTED_VALUE"""),"La Pointe")</f>
        <v>La Pointe</v>
      </c>
      <c r="G729" s="6" t="str">
        <f>IFERROR(__xludf.DUMMYFUNCTION("""COMPUTED_VALUE"""),"05/14/2015")</f>
        <v>05/14/2015</v>
      </c>
      <c r="H729" s="6" t="str">
        <f>IFERROR(__xludf.DUMMYFUNCTION("""COMPUTED_VALUE"""),"female")</f>
        <v>female</v>
      </c>
      <c r="I729" s="6" t="str">
        <f>IFERROR(__xludf.DUMMYFUNCTION("""COMPUTED_VALUE"""),"Level 2")</f>
        <v>Level 2</v>
      </c>
      <c r="J729" s="6" t="str">
        <f>IFERROR(__xludf.DUMMYFUNCTION("""COMPUTED_VALUE"""),"5")</f>
        <v>5</v>
      </c>
      <c r="K729" s="6" t="str">
        <f>IFERROR(__xludf.DUMMYFUNCTION("""COMPUTED_VALUE"""),"zara.lapointe@alpha.school")</f>
        <v>zara.lapointe@alpha.school</v>
      </c>
      <c r="L729" s="6" t="str">
        <f>IFERROR(__xludf.DUMMYFUNCTION("""COMPUTED_VALUE"""),"Alpha School Austin")</f>
        <v>Alpha School Austin</v>
      </c>
      <c r="M729" s="6" t="str">
        <f>IFERROR(__xludf.DUMMYFUNCTION("""COMPUTED_VALUE"""),"")</f>
        <v/>
      </c>
      <c r="N729" s="6" t="str">
        <f>IFERROR(__xludf.DUMMYFUNCTION("""COMPUTED_VALUE"""),"")</f>
        <v/>
      </c>
      <c r="O729" s="87" t="str">
        <f>IFERROR(__xludf.DUMMYFUNCTION("""COMPUTED_VALUE"""),"https://drive.google.com/drive/folders/10T2cTQHqEJZqE-st6uFKPoI?usp=share_link")</f>
        <v>https://drive.google.com/drive/folders/10T2cTQHqEJZqE-st6uFKPoI?usp=share_link</v>
      </c>
      <c r="P729" s="6" t="str">
        <f>IFERROR(__xludf.DUMMYFUNCTION("""COMPUTED_VALUE"""),"Zara La Pointe")</f>
        <v>Zara La Pointe</v>
      </c>
      <c r="Q729" s="6" t="str">
        <f>IFERROR(__xludf.DUMMYFUNCTION("""COMPUTED_VALUE"""),"L2")</f>
        <v>L2</v>
      </c>
      <c r="R729" s="6">
        <f>IFERROR(__xludf.DUMMYFUNCTION("""COMPUTED_VALUE"""),2.0)</f>
        <v>2</v>
      </c>
      <c r="S729" s="6" t="str">
        <f>IFERROR(__xludf.DUMMYFUNCTION("""COMPUTED_VALUE"""),"Luke Phillips")</f>
        <v>Luke Phillips</v>
      </c>
      <c r="T729" s="6" t="str">
        <f>IFERROR(__xludf.DUMMYFUNCTION("""COMPUTED_VALUE"""),"luke.phillips@alpha.school")</f>
        <v>luke.phillips@alpha.school</v>
      </c>
      <c r="U729" s="6" t="str">
        <f>IFERROR(__xludf.DUMMYFUNCTION("""COMPUTED_VALUE"""),"5")</f>
        <v>5</v>
      </c>
      <c r="V729" s="6" t="str">
        <f>IFERROR(__xludf.DUMMYFUNCTION("""COMPUTED_VALUE"""),"")</f>
        <v/>
      </c>
      <c r="W729" s="6" t="str">
        <f>IFERROR(__xludf.DUMMYFUNCTION("""COMPUTED_VALUE"""),"[]")</f>
        <v>[]</v>
      </c>
      <c r="X729" s="6" t="str">
        <f>IFERROR(__xludf.DUMMYFUNCTION("""COMPUTED_VALUE"""),"Enrolled")</f>
        <v>Enrolled</v>
      </c>
    </row>
    <row r="730">
      <c r="A730" s="6" t="str">
        <f>IFERROR(__xludf.DUMMYFUNCTION("""COMPUTED_VALUE"""),"001-1936")</f>
        <v>001-1936</v>
      </c>
      <c r="B730" s="6" t="str">
        <f>IFERROR(__xludf.DUMMYFUNCTION("""COMPUTED_VALUE"""),"1")</f>
        <v>1</v>
      </c>
      <c r="C730" s="6" t="str">
        <f>IFERROR(__xludf.DUMMYFUNCTION("""COMPUTED_VALUE"""),"1936")</f>
        <v>1936</v>
      </c>
      <c r="D730" s="6" t="str">
        <f>IFERROR(__xludf.DUMMYFUNCTION("""COMPUTED_VALUE"""),"Valentina")</f>
        <v>Valentina</v>
      </c>
      <c r="E730" s="6" t="str">
        <f>IFERROR(__xludf.DUMMYFUNCTION("""COMPUTED_VALUE"""),"")</f>
        <v/>
      </c>
      <c r="F730" s="6" t="str">
        <f>IFERROR(__xludf.DUMMYFUNCTION("""COMPUTED_VALUE"""),"Melendez")</f>
        <v>Melendez</v>
      </c>
      <c r="G730" s="6" t="str">
        <f>IFERROR(__xludf.DUMMYFUNCTION("""COMPUTED_VALUE"""),"11/16/2012")</f>
        <v>11/16/2012</v>
      </c>
      <c r="H730" s="6" t="str">
        <f>IFERROR(__xludf.DUMMYFUNCTION("""COMPUTED_VALUE"""),"female")</f>
        <v>female</v>
      </c>
      <c r="I730" s="6" t="str">
        <f>IFERROR(__xludf.DUMMYFUNCTION("""COMPUTED_VALUE"""),"Middle School")</f>
        <v>Middle School</v>
      </c>
      <c r="J730" s="6" t="str">
        <f>IFERROR(__xludf.DUMMYFUNCTION("""COMPUTED_VALUE"""),"8")</f>
        <v>8</v>
      </c>
      <c r="K730" s="6" t="str">
        <f>IFERROR(__xludf.DUMMYFUNCTION("""COMPUTED_VALUE"""),"valentina.melendez@alpha.school")</f>
        <v>valentina.melendez@alpha.school</v>
      </c>
      <c r="L730" s="6" t="str">
        <f>IFERROR(__xludf.DUMMYFUNCTION("""COMPUTED_VALUE"""),"Alpha School Austin")</f>
        <v>Alpha School Austin</v>
      </c>
      <c r="M730" s="6" t="str">
        <f>IFERROR(__xludf.DUMMYFUNCTION("""COMPUTED_VALUE"""),"")</f>
        <v/>
      </c>
      <c r="N730" s="6" t="str">
        <f>IFERROR(__xludf.DUMMYFUNCTION("""COMPUTED_VALUE"""),"")</f>
        <v/>
      </c>
      <c r="O730" s="87" t="str">
        <f>IFERROR(__xludf.DUMMYFUNCTION("""COMPUTED_VALUE"""),"https://drive.google.com/drive/folders/10T2cTQHqEJZqE-st6uFKPoI?usp=share_link")</f>
        <v>https://drive.google.com/drive/folders/10T2cTQHqEJZqE-st6uFKPoI?usp=share_link</v>
      </c>
      <c r="P730" s="6" t="str">
        <f>IFERROR(__xludf.DUMMYFUNCTION("""COMPUTED_VALUE"""),"Valentina Melendez")</f>
        <v>Valentina Melendez</v>
      </c>
      <c r="Q730" s="6" t="str">
        <f>IFERROR(__xludf.DUMMYFUNCTION("""COMPUTED_VALUE"""),"MS")</f>
        <v>MS</v>
      </c>
      <c r="R730" s="6">
        <f>IFERROR(__xludf.DUMMYFUNCTION("""COMPUTED_VALUE"""),0.0)</f>
        <v>0</v>
      </c>
      <c r="S730" s="6" t="str">
        <f>IFERROR(__xludf.DUMMYFUNCTION("""COMPUTED_VALUE"""),"Israel Adesina")</f>
        <v>Israel Adesina</v>
      </c>
      <c r="T730" s="6" t="str">
        <f>IFERROR(__xludf.DUMMYFUNCTION("""COMPUTED_VALUE"""),"israel.adesina@alpha.school")</f>
        <v>israel.adesina@alpha.school</v>
      </c>
      <c r="U730" s="6" t="str">
        <f>IFERROR(__xludf.DUMMYFUNCTION("""COMPUTED_VALUE"""),"8")</f>
        <v>8</v>
      </c>
      <c r="V730" s="6" t="str">
        <f>IFERROR(__xludf.DUMMYFUNCTION("""COMPUTED_VALUE"""),"")</f>
        <v/>
      </c>
      <c r="W730" s="6" t="str">
        <f>IFERROR(__xludf.DUMMYFUNCTION("""COMPUTED_VALUE"""),"[]")</f>
        <v>[]</v>
      </c>
      <c r="X730" s="6" t="str">
        <f>IFERROR(__xludf.DUMMYFUNCTION("""COMPUTED_VALUE"""),"Enrolled")</f>
        <v>Enrolled</v>
      </c>
    </row>
    <row r="731">
      <c r="A731" s="6" t="str">
        <f>IFERROR(__xludf.DUMMYFUNCTION("""COMPUTED_VALUE"""),"001-1969")</f>
        <v>001-1969</v>
      </c>
      <c r="B731" s="6" t="str">
        <f>IFERROR(__xludf.DUMMYFUNCTION("""COMPUTED_VALUE"""),"1")</f>
        <v>1</v>
      </c>
      <c r="C731" s="6" t="str">
        <f>IFERROR(__xludf.DUMMYFUNCTION("""COMPUTED_VALUE"""),"1969")</f>
        <v>1969</v>
      </c>
      <c r="D731" s="6" t="str">
        <f>IFERROR(__xludf.DUMMYFUNCTION("""COMPUTED_VALUE"""),"Hayes")</f>
        <v>Hayes</v>
      </c>
      <c r="E731" s="6" t="str">
        <f>IFERROR(__xludf.DUMMYFUNCTION("""COMPUTED_VALUE"""),"Hayes")</f>
        <v>Hayes</v>
      </c>
      <c r="F731" s="6" t="str">
        <f>IFERROR(__xludf.DUMMYFUNCTION("""COMPUTED_VALUE"""),"Burman")</f>
        <v>Burman</v>
      </c>
      <c r="G731" s="6" t="str">
        <f>IFERROR(__xludf.DUMMYFUNCTION("""COMPUTED_VALUE"""),"12/28/2017")</f>
        <v>12/28/2017</v>
      </c>
      <c r="H731" s="6" t="str">
        <f>IFERROR(__xludf.DUMMYFUNCTION("""COMPUTED_VALUE"""),"male")</f>
        <v>male</v>
      </c>
      <c r="I731" s="6" t="str">
        <f>IFERROR(__xludf.DUMMYFUNCTION("""COMPUTED_VALUE"""),"Level 1")</f>
        <v>Level 1</v>
      </c>
      <c r="J731" s="6" t="str">
        <f>IFERROR(__xludf.DUMMYFUNCTION("""COMPUTED_VALUE"""),"2")</f>
        <v>2</v>
      </c>
      <c r="K731" s="6" t="str">
        <f>IFERROR(__xludf.DUMMYFUNCTION("""COMPUTED_VALUE"""),"hayes.burman@alpha.school")</f>
        <v>hayes.burman@alpha.school</v>
      </c>
      <c r="L731" s="6" t="str">
        <f>IFERROR(__xludf.DUMMYFUNCTION("""COMPUTED_VALUE"""),"Alpha School Austin")</f>
        <v>Alpha School Austin</v>
      </c>
      <c r="M731" s="6" t="str">
        <f>IFERROR(__xludf.DUMMYFUNCTION("""COMPUTED_VALUE"""),"")</f>
        <v/>
      </c>
      <c r="N731" s="6" t="str">
        <f>IFERROR(__xludf.DUMMYFUNCTION("""COMPUTED_VALUE"""),"")</f>
        <v/>
      </c>
      <c r="O731" s="87" t="str">
        <f>IFERROR(__xludf.DUMMYFUNCTION("""COMPUTED_VALUE"""),"https://drive.google.com/drive/folders/10T2cTQHqEJZqE-st6uFKPoI?usp=share_link")</f>
        <v>https://drive.google.com/drive/folders/10T2cTQHqEJZqE-st6uFKPoI?usp=share_link</v>
      </c>
      <c r="P731" s="6" t="str">
        <f>IFERROR(__xludf.DUMMYFUNCTION("""COMPUTED_VALUE"""),"Hayes Burman")</f>
        <v>Hayes Burman</v>
      </c>
      <c r="Q731" s="6" t="str">
        <f>IFERROR(__xludf.DUMMYFUNCTION("""COMPUTED_VALUE"""),"L1")</f>
        <v>L1</v>
      </c>
      <c r="R731" s="6">
        <f>IFERROR(__xludf.DUMMYFUNCTION("""COMPUTED_VALUE"""),1.0)</f>
        <v>1</v>
      </c>
      <c r="S731" s="6" t="str">
        <f>IFERROR(__xludf.DUMMYFUNCTION("""COMPUTED_VALUE"""),"Tanya Parker")</f>
        <v>Tanya Parker</v>
      </c>
      <c r="T731" s="6" t="str">
        <f>IFERROR(__xludf.DUMMYFUNCTION("""COMPUTED_VALUE"""),"tanya.parker@alpha.school")</f>
        <v>tanya.parker@alpha.school</v>
      </c>
      <c r="U731" s="6" t="str">
        <f>IFERROR(__xludf.DUMMYFUNCTION("""COMPUTED_VALUE"""),"2")</f>
        <v>2</v>
      </c>
      <c r="V731" s="6" t="str">
        <f>IFERROR(__xludf.DUMMYFUNCTION("""COMPUTED_VALUE"""),"")</f>
        <v/>
      </c>
      <c r="W731" s="6" t="str">
        <f>IFERROR(__xludf.DUMMYFUNCTION("""COMPUTED_VALUE"""),"[]")</f>
        <v>[]</v>
      </c>
      <c r="X731" s="6" t="str">
        <f>IFERROR(__xludf.DUMMYFUNCTION("""COMPUTED_VALUE"""),"Enrolled")</f>
        <v>Enrolled</v>
      </c>
    </row>
    <row r="732">
      <c r="A732" s="6" t="str">
        <f>IFERROR(__xludf.DUMMYFUNCTION("""COMPUTED_VALUE"""),"001-1973")</f>
        <v>001-1973</v>
      </c>
      <c r="B732" s="6" t="str">
        <f>IFERROR(__xludf.DUMMYFUNCTION("""COMPUTED_VALUE"""),"1")</f>
        <v>1</v>
      </c>
      <c r="C732" s="6" t="str">
        <f>IFERROR(__xludf.DUMMYFUNCTION("""COMPUTED_VALUE"""),"1973")</f>
        <v>1973</v>
      </c>
      <c r="D732" s="6" t="str">
        <f>IFERROR(__xludf.DUMMYFUNCTION("""COMPUTED_VALUE"""),"Sloane")</f>
        <v>Sloane</v>
      </c>
      <c r="E732" s="6" t="str">
        <f>IFERROR(__xludf.DUMMYFUNCTION("""COMPUTED_VALUE"""),"")</f>
        <v/>
      </c>
      <c r="F732" s="6" t="str">
        <f>IFERROR(__xludf.DUMMYFUNCTION("""COMPUTED_VALUE"""),"Derham")</f>
        <v>Derham</v>
      </c>
      <c r="G732" s="6" t="str">
        <f>IFERROR(__xludf.DUMMYFUNCTION("""COMPUTED_VALUE"""),"08/06/2020")</f>
        <v>08/06/2020</v>
      </c>
      <c r="H732" s="6" t="str">
        <f>IFERROR(__xludf.DUMMYFUNCTION("""COMPUTED_VALUE"""),"female")</f>
        <v>female</v>
      </c>
      <c r="I732" s="6" t="str">
        <f>IFERROR(__xludf.DUMMYFUNCTION("""COMPUTED_VALUE"""),"Wonder Lab")</f>
        <v>Wonder Lab</v>
      </c>
      <c r="J732" s="6" t="str">
        <f>IFERROR(__xludf.DUMMYFUNCTION("""COMPUTED_VALUE"""),"PK")</f>
        <v>PK</v>
      </c>
      <c r="K732" s="6" t="str">
        <f>IFERROR(__xludf.DUMMYFUNCTION("""COMPUTED_VALUE"""),"sloane.derham@alpha.school")</f>
        <v>sloane.derham@alpha.school</v>
      </c>
      <c r="L732" s="6" t="str">
        <f>IFERROR(__xludf.DUMMYFUNCTION("""COMPUTED_VALUE"""),"Alpha School Austin")</f>
        <v>Alpha School Austin</v>
      </c>
      <c r="M732" s="6" t="str">
        <f>IFERROR(__xludf.DUMMYFUNCTION("""COMPUTED_VALUE"""),"")</f>
        <v/>
      </c>
      <c r="N732" s="6" t="str">
        <f>IFERROR(__xludf.DUMMYFUNCTION("""COMPUTED_VALUE"""),"")</f>
        <v/>
      </c>
      <c r="O732" s="87" t="str">
        <f>IFERROR(__xludf.DUMMYFUNCTION("""COMPUTED_VALUE"""),"https://drive.google.com/drive/folders/10T2cTQHqEJZqE-st6uFKPoI?usp=share_link")</f>
        <v>https://drive.google.com/drive/folders/10T2cTQHqEJZqE-st6uFKPoI?usp=share_link</v>
      </c>
      <c r="P732" s="6" t="str">
        <f>IFERROR(__xludf.DUMMYFUNCTION("""COMPUTED_VALUE"""),"Sloane Derham")</f>
        <v>Sloane Derham</v>
      </c>
      <c r="Q732" s="6" t="str">
        <f>IFERROR(__xludf.DUMMYFUNCTION("""COMPUTED_VALUE"""),"WL")</f>
        <v>WL</v>
      </c>
      <c r="R732" s="6">
        <f>IFERROR(__xludf.DUMMYFUNCTION("""COMPUTED_VALUE"""),-1.0)</f>
        <v>-1</v>
      </c>
      <c r="S732" s="6" t="str">
        <f>IFERROR(__xludf.DUMMYFUNCTION("""COMPUTED_VALUE"""),"Anna Slaby")</f>
        <v>Anna Slaby</v>
      </c>
      <c r="T732" s="6" t="str">
        <f>IFERROR(__xludf.DUMMYFUNCTION("""COMPUTED_VALUE"""),"anna.slaby@alpha.school")</f>
        <v>anna.slaby@alpha.school</v>
      </c>
      <c r="U732" s="6" t="str">
        <f>IFERROR(__xludf.DUMMYFUNCTION("""COMPUTED_VALUE"""),"PK")</f>
        <v>PK</v>
      </c>
      <c r="V732" s="6" t="str">
        <f>IFERROR(__xludf.DUMMYFUNCTION("""COMPUTED_VALUE"""),"")</f>
        <v/>
      </c>
      <c r="W732" s="6" t="str">
        <f>IFERROR(__xludf.DUMMYFUNCTION("""COMPUTED_VALUE"""),"[]")</f>
        <v>[]</v>
      </c>
      <c r="X732" s="6" t="str">
        <f>IFERROR(__xludf.DUMMYFUNCTION("""COMPUTED_VALUE"""),"Enrolled")</f>
        <v>Enrolled</v>
      </c>
    </row>
    <row r="733">
      <c r="A733" s="6" t="str">
        <f>IFERROR(__xludf.DUMMYFUNCTION("""COMPUTED_VALUE"""),"001-1974")</f>
        <v>001-1974</v>
      </c>
      <c r="B733" s="6" t="str">
        <f>IFERROR(__xludf.DUMMYFUNCTION("""COMPUTED_VALUE"""),"1")</f>
        <v>1</v>
      </c>
      <c r="C733" s="6" t="str">
        <f>IFERROR(__xludf.DUMMYFUNCTION("""COMPUTED_VALUE"""),"1974")</f>
        <v>1974</v>
      </c>
      <c r="D733" s="6" t="str">
        <f>IFERROR(__xludf.DUMMYFUNCTION("""COMPUTED_VALUE"""),"Bobbi")</f>
        <v>Bobbi</v>
      </c>
      <c r="E733" s="6" t="str">
        <f>IFERROR(__xludf.DUMMYFUNCTION("""COMPUTED_VALUE"""),"Bobbi")</f>
        <v>Bobbi</v>
      </c>
      <c r="F733" s="6" t="str">
        <f>IFERROR(__xludf.DUMMYFUNCTION("""COMPUTED_VALUE"""),"Brown")</f>
        <v>Brown</v>
      </c>
      <c r="G733" s="6" t="str">
        <f>IFERROR(__xludf.DUMMYFUNCTION("""COMPUTED_VALUE"""),"01/30/2013")</f>
        <v>01/30/2013</v>
      </c>
      <c r="H733" s="6" t="str">
        <f>IFERROR(__xludf.DUMMYFUNCTION("""COMPUTED_VALUE"""),"female")</f>
        <v>female</v>
      </c>
      <c r="I733" s="6" t="str">
        <f>IFERROR(__xludf.DUMMYFUNCTION("""COMPUTED_VALUE"""),"Middle School")</f>
        <v>Middle School</v>
      </c>
      <c r="J733" s="6" t="str">
        <f>IFERROR(__xludf.DUMMYFUNCTION("""COMPUTED_VALUE"""),"7")</f>
        <v>7</v>
      </c>
      <c r="K733" s="6" t="str">
        <f>IFERROR(__xludf.DUMMYFUNCTION("""COMPUTED_VALUE"""),"bobbi.sue.brown@alpha.school")</f>
        <v>bobbi.sue.brown@alpha.school</v>
      </c>
      <c r="L733" s="6" t="str">
        <f>IFERROR(__xludf.DUMMYFUNCTION("""COMPUTED_VALUE"""),"Alpha School Austin")</f>
        <v>Alpha School Austin</v>
      </c>
      <c r="M733" s="6" t="str">
        <f>IFERROR(__xludf.DUMMYFUNCTION("""COMPUTED_VALUE"""),"")</f>
        <v/>
      </c>
      <c r="N733" s="6" t="str">
        <f>IFERROR(__xludf.DUMMYFUNCTION("""COMPUTED_VALUE"""),"")</f>
        <v/>
      </c>
      <c r="O733" s="87" t="str">
        <f>IFERROR(__xludf.DUMMYFUNCTION("""COMPUTED_VALUE"""),"https://drive.google.com/drive/folders/10T2cTQHqEJZqE-st6uFKPoI?usp=share_link")</f>
        <v>https://drive.google.com/drive/folders/10T2cTQHqEJZqE-st6uFKPoI?usp=share_link</v>
      </c>
      <c r="P733" s="6" t="str">
        <f>IFERROR(__xludf.DUMMYFUNCTION("""COMPUTED_VALUE"""),"Bobbi Brown")</f>
        <v>Bobbi Brown</v>
      </c>
      <c r="Q733" s="6" t="str">
        <f>IFERROR(__xludf.DUMMYFUNCTION("""COMPUTED_VALUE"""),"MS")</f>
        <v>MS</v>
      </c>
      <c r="R733" s="6">
        <f>IFERROR(__xludf.DUMMYFUNCTION("""COMPUTED_VALUE"""),0.0)</f>
        <v>0</v>
      </c>
      <c r="S733" s="6" t="str">
        <f>IFERROR(__xludf.DUMMYFUNCTION("""COMPUTED_VALUE"""),"Lauren Hammond")</f>
        <v>Lauren Hammond</v>
      </c>
      <c r="T733" s="6" t="str">
        <f>IFERROR(__xludf.DUMMYFUNCTION("""COMPUTED_VALUE"""),"lauren.hammond@alpha.school")</f>
        <v>lauren.hammond@alpha.school</v>
      </c>
      <c r="U733" s="6" t="str">
        <f>IFERROR(__xludf.DUMMYFUNCTION("""COMPUTED_VALUE"""),"7")</f>
        <v>7</v>
      </c>
      <c r="V733" s="6" t="str">
        <f>IFERROR(__xludf.DUMMYFUNCTION("""COMPUTED_VALUE"""),"")</f>
        <v/>
      </c>
      <c r="W733" s="6" t="str">
        <f>IFERROR(__xludf.DUMMYFUNCTION("""COMPUTED_VALUE"""),"[]")</f>
        <v>[]</v>
      </c>
      <c r="X733" s="6" t="str">
        <f>IFERROR(__xludf.DUMMYFUNCTION("""COMPUTED_VALUE"""),"Enrolled")</f>
        <v>Enrolled</v>
      </c>
    </row>
    <row r="734">
      <c r="A734" s="6" t="str">
        <f>IFERROR(__xludf.DUMMYFUNCTION("""COMPUTED_VALUE"""),"001-1980")</f>
        <v>001-1980</v>
      </c>
      <c r="B734" s="6" t="str">
        <f>IFERROR(__xludf.DUMMYFUNCTION("""COMPUTED_VALUE"""),"1")</f>
        <v>1</v>
      </c>
      <c r="C734" s="6" t="str">
        <f>IFERROR(__xludf.DUMMYFUNCTION("""COMPUTED_VALUE"""),"1980")</f>
        <v>1980</v>
      </c>
      <c r="D734" s="6" t="str">
        <f>IFERROR(__xludf.DUMMYFUNCTION("""COMPUTED_VALUE"""),"Riley")</f>
        <v>Riley</v>
      </c>
      <c r="E734" s="6" t="str">
        <f>IFERROR(__xludf.DUMMYFUNCTION("""COMPUTED_VALUE"""),"")</f>
        <v/>
      </c>
      <c r="F734" s="6" t="str">
        <f>IFERROR(__xludf.DUMMYFUNCTION("""COMPUTED_VALUE"""),"Rosenberg")</f>
        <v>Rosenberg</v>
      </c>
      <c r="G734" s="6" t="str">
        <f>IFERROR(__xludf.DUMMYFUNCTION("""COMPUTED_VALUE"""),"07/06/2019")</f>
        <v>07/06/2019</v>
      </c>
      <c r="H734" s="6" t="str">
        <f>IFERROR(__xludf.DUMMYFUNCTION("""COMPUTED_VALUE"""),"female")</f>
        <v>female</v>
      </c>
      <c r="I734" s="6" t="str">
        <f>IFERROR(__xludf.DUMMYFUNCTION("""COMPUTED_VALUE"""),"Learning Lab")</f>
        <v>Learning Lab</v>
      </c>
      <c r="J734" s="6" t="str">
        <f>IFERROR(__xludf.DUMMYFUNCTION("""COMPUTED_VALUE"""),"1")</f>
        <v>1</v>
      </c>
      <c r="K734" s="6" t="str">
        <f>IFERROR(__xludf.DUMMYFUNCTION("""COMPUTED_VALUE"""),"riley.rosenberg@alpha.school")</f>
        <v>riley.rosenberg@alpha.school</v>
      </c>
      <c r="L734" s="6" t="str">
        <f>IFERROR(__xludf.DUMMYFUNCTION("""COMPUTED_VALUE"""),"Alpha School Austin")</f>
        <v>Alpha School Austin</v>
      </c>
      <c r="M734" s="6" t="str">
        <f>IFERROR(__xludf.DUMMYFUNCTION("""COMPUTED_VALUE"""),"")</f>
        <v/>
      </c>
      <c r="N734" s="6" t="str">
        <f>IFERROR(__xludf.DUMMYFUNCTION("""COMPUTED_VALUE"""),"")</f>
        <v/>
      </c>
      <c r="O734" s="87" t="str">
        <f>IFERROR(__xludf.DUMMYFUNCTION("""COMPUTED_VALUE"""),"https://drive.google.com/drive/folders/10T2cTQHqEJZqE-st6uFKPoI?usp=share_link")</f>
        <v>https://drive.google.com/drive/folders/10T2cTQHqEJZqE-st6uFKPoI?usp=share_link</v>
      </c>
      <c r="P734" s="6" t="str">
        <f>IFERROR(__xludf.DUMMYFUNCTION("""COMPUTED_VALUE"""),"Riley Rosenberg")</f>
        <v>Riley Rosenberg</v>
      </c>
      <c r="Q734" s="6" t="str">
        <f>IFERROR(__xludf.DUMMYFUNCTION("""COMPUTED_VALUE"""),"LL")</f>
        <v>LL</v>
      </c>
      <c r="R734" s="6">
        <f>IFERROR(__xludf.DUMMYFUNCTION("""COMPUTED_VALUE"""),0.0)</f>
        <v>0</v>
      </c>
      <c r="S734" s="6" t="str">
        <f>IFERROR(__xludf.DUMMYFUNCTION("""COMPUTED_VALUE"""),"Darby Knox")</f>
        <v>Darby Knox</v>
      </c>
      <c r="T734" s="6" t="str">
        <f>IFERROR(__xludf.DUMMYFUNCTION("""COMPUTED_VALUE"""),"darby.knox@alpha.school")</f>
        <v>darby.knox@alpha.school</v>
      </c>
      <c r="U734" s="6" t="str">
        <f>IFERROR(__xludf.DUMMYFUNCTION("""COMPUTED_VALUE"""),"1")</f>
        <v>1</v>
      </c>
      <c r="V734" s="6" t="str">
        <f>IFERROR(__xludf.DUMMYFUNCTION("""COMPUTED_VALUE"""),"")</f>
        <v/>
      </c>
      <c r="W734" s="6" t="str">
        <f>IFERROR(__xludf.DUMMYFUNCTION("""COMPUTED_VALUE"""),"[]")</f>
        <v>[]</v>
      </c>
      <c r="X734" s="6" t="str">
        <f>IFERROR(__xludf.DUMMYFUNCTION("""COMPUTED_VALUE"""),"Enrolled")</f>
        <v>Enrolled</v>
      </c>
    </row>
    <row r="735">
      <c r="A735" s="6" t="str">
        <f>IFERROR(__xludf.DUMMYFUNCTION("""COMPUTED_VALUE"""),"001-2003")</f>
        <v>001-2003</v>
      </c>
      <c r="B735" s="6" t="str">
        <f>IFERROR(__xludf.DUMMYFUNCTION("""COMPUTED_VALUE"""),"1")</f>
        <v>1</v>
      </c>
      <c r="C735" s="6" t="str">
        <f>IFERROR(__xludf.DUMMYFUNCTION("""COMPUTED_VALUE"""),"2003")</f>
        <v>2003</v>
      </c>
      <c r="D735" s="6" t="str">
        <f>IFERROR(__xludf.DUMMYFUNCTION("""COMPUTED_VALUE"""),"Jack")</f>
        <v>Jack</v>
      </c>
      <c r="E735" s="6" t="str">
        <f>IFERROR(__xludf.DUMMYFUNCTION("""COMPUTED_VALUE"""),"")</f>
        <v/>
      </c>
      <c r="F735" s="6" t="str">
        <f>IFERROR(__xludf.DUMMYFUNCTION("""COMPUTED_VALUE"""),"Bromberg")</f>
        <v>Bromberg</v>
      </c>
      <c r="G735" s="6" t="str">
        <f>IFERROR(__xludf.DUMMYFUNCTION("""COMPUTED_VALUE"""),"07/06/2013")</f>
        <v>07/06/2013</v>
      </c>
      <c r="H735" s="6" t="str">
        <f>IFERROR(__xludf.DUMMYFUNCTION("""COMPUTED_VALUE"""),"male")</f>
        <v>male</v>
      </c>
      <c r="I735" s="6" t="str">
        <f>IFERROR(__xludf.DUMMYFUNCTION("""COMPUTED_VALUE"""),"Middle School")</f>
        <v>Middle School</v>
      </c>
      <c r="J735" s="6" t="str">
        <f>IFERROR(__xludf.DUMMYFUNCTION("""COMPUTED_VALUE"""),"6")</f>
        <v>6</v>
      </c>
      <c r="K735" s="6" t="str">
        <f>IFERROR(__xludf.DUMMYFUNCTION("""COMPUTED_VALUE"""),"jack.bromberg@alpha.school")</f>
        <v>jack.bromberg@alpha.school</v>
      </c>
      <c r="L735" s="6" t="str">
        <f>IFERROR(__xludf.DUMMYFUNCTION("""COMPUTED_VALUE"""),"Alpha School Austin")</f>
        <v>Alpha School Austin</v>
      </c>
      <c r="M735" s="6" t="str">
        <f>IFERROR(__xludf.DUMMYFUNCTION("""COMPUTED_VALUE"""),"")</f>
        <v/>
      </c>
      <c r="N735" s="6" t="str">
        <f>IFERROR(__xludf.DUMMYFUNCTION("""COMPUTED_VALUE"""),"")</f>
        <v/>
      </c>
      <c r="O735" s="87" t="str">
        <f>IFERROR(__xludf.DUMMYFUNCTION("""COMPUTED_VALUE"""),"https://drive.google.com/drive/folders/10T2cTQHqEJZqE-st6uFKPoI?usp=share_link")</f>
        <v>https://drive.google.com/drive/folders/10T2cTQHqEJZqE-st6uFKPoI?usp=share_link</v>
      </c>
      <c r="P735" s="6" t="str">
        <f>IFERROR(__xludf.DUMMYFUNCTION("""COMPUTED_VALUE"""),"Jack Bromberg")</f>
        <v>Jack Bromberg</v>
      </c>
      <c r="Q735" s="6" t="str">
        <f>IFERROR(__xludf.DUMMYFUNCTION("""COMPUTED_VALUE"""),"MS")</f>
        <v>MS</v>
      </c>
      <c r="R735" s="6">
        <f>IFERROR(__xludf.DUMMYFUNCTION("""COMPUTED_VALUE"""),0.0)</f>
        <v>0</v>
      </c>
      <c r="S735" s="6" t="str">
        <f>IFERROR(__xludf.DUMMYFUNCTION("""COMPUTED_VALUE"""),"Israel Adesina")</f>
        <v>Israel Adesina</v>
      </c>
      <c r="T735" s="6" t="str">
        <f>IFERROR(__xludf.DUMMYFUNCTION("""COMPUTED_VALUE"""),"israel.adesina@alpha.school")</f>
        <v>israel.adesina@alpha.school</v>
      </c>
      <c r="U735" s="6" t="str">
        <f>IFERROR(__xludf.DUMMYFUNCTION("""COMPUTED_VALUE"""),"6")</f>
        <v>6</v>
      </c>
      <c r="V735" s="6" t="str">
        <f>IFERROR(__xludf.DUMMYFUNCTION("""COMPUTED_VALUE"""),"")</f>
        <v/>
      </c>
      <c r="W735" s="6" t="str">
        <f>IFERROR(__xludf.DUMMYFUNCTION("""COMPUTED_VALUE"""),"[]")</f>
        <v>[]</v>
      </c>
      <c r="X735" s="6" t="str">
        <f>IFERROR(__xludf.DUMMYFUNCTION("""COMPUTED_VALUE"""),"Enrolled")</f>
        <v>Enrolled</v>
      </c>
    </row>
    <row r="736">
      <c r="A736" s="6" t="str">
        <f>IFERROR(__xludf.DUMMYFUNCTION("""COMPUTED_VALUE"""),"001-2004")</f>
        <v>001-2004</v>
      </c>
      <c r="B736" s="6" t="str">
        <f>IFERROR(__xludf.DUMMYFUNCTION("""COMPUTED_VALUE"""),"1")</f>
        <v>1</v>
      </c>
      <c r="C736" s="6" t="str">
        <f>IFERROR(__xludf.DUMMYFUNCTION("""COMPUTED_VALUE"""),"2004")</f>
        <v>2004</v>
      </c>
      <c r="D736" s="6" t="str">
        <f>IFERROR(__xludf.DUMMYFUNCTION("""COMPUTED_VALUE"""),"Jacob")</f>
        <v>Jacob</v>
      </c>
      <c r="E736" s="6" t="str">
        <f>IFERROR(__xludf.DUMMYFUNCTION("""COMPUTED_VALUE"""),"")</f>
        <v/>
      </c>
      <c r="F736" s="6" t="str">
        <f>IFERROR(__xludf.DUMMYFUNCTION("""COMPUTED_VALUE"""),"Atamas")</f>
        <v>Atamas</v>
      </c>
      <c r="G736" s="6" t="str">
        <f>IFERROR(__xludf.DUMMYFUNCTION("""COMPUTED_VALUE"""),"08/09/2014")</f>
        <v>08/09/2014</v>
      </c>
      <c r="H736" s="6" t="str">
        <f>IFERROR(__xludf.DUMMYFUNCTION("""COMPUTED_VALUE"""),"male")</f>
        <v>male</v>
      </c>
      <c r="I736" s="6" t="str">
        <f>IFERROR(__xludf.DUMMYFUNCTION("""COMPUTED_VALUE"""),"Middle School")</f>
        <v>Middle School</v>
      </c>
      <c r="J736" s="6" t="str">
        <f>IFERROR(__xludf.DUMMYFUNCTION("""COMPUTED_VALUE"""),"6")</f>
        <v>6</v>
      </c>
      <c r="K736" s="6" t="str">
        <f>IFERROR(__xludf.DUMMYFUNCTION("""COMPUTED_VALUE"""),"jacob.atamas@alpha.school")</f>
        <v>jacob.atamas@alpha.school</v>
      </c>
      <c r="L736" s="6" t="str">
        <f>IFERROR(__xludf.DUMMYFUNCTION("""COMPUTED_VALUE"""),"Alpha School Austin")</f>
        <v>Alpha School Austin</v>
      </c>
      <c r="M736" s="6" t="str">
        <f>IFERROR(__xludf.DUMMYFUNCTION("""COMPUTED_VALUE"""),"")</f>
        <v/>
      </c>
      <c r="N736" s="6" t="str">
        <f>IFERROR(__xludf.DUMMYFUNCTION("""COMPUTED_VALUE"""),"")</f>
        <v/>
      </c>
      <c r="O736" s="87" t="str">
        <f>IFERROR(__xludf.DUMMYFUNCTION("""COMPUTED_VALUE"""),"https://drive.google.com/drive/folders/10T2cTQHqEJZqE-st6uFKPoI?usp=share_link")</f>
        <v>https://drive.google.com/drive/folders/10T2cTQHqEJZqE-st6uFKPoI?usp=share_link</v>
      </c>
      <c r="P736" s="6" t="str">
        <f>IFERROR(__xludf.DUMMYFUNCTION("""COMPUTED_VALUE"""),"Jacob Atamas")</f>
        <v>Jacob Atamas</v>
      </c>
      <c r="Q736" s="6" t="str">
        <f>IFERROR(__xludf.DUMMYFUNCTION("""COMPUTED_VALUE"""),"MS")</f>
        <v>MS</v>
      </c>
      <c r="R736" s="6">
        <f>IFERROR(__xludf.DUMMYFUNCTION("""COMPUTED_VALUE"""),0.0)</f>
        <v>0</v>
      </c>
      <c r="S736" s="6" t="str">
        <f>IFERROR(__xludf.DUMMYFUNCTION("""COMPUTED_VALUE"""),"Jawaan Delaney")</f>
        <v>Jawaan Delaney</v>
      </c>
      <c r="T736" s="6" t="str">
        <f>IFERROR(__xludf.DUMMYFUNCTION("""COMPUTED_VALUE"""),"jawaan.delaney@alpha.school")</f>
        <v>jawaan.delaney@alpha.school</v>
      </c>
      <c r="U736" s="6" t="str">
        <f>IFERROR(__xludf.DUMMYFUNCTION("""COMPUTED_VALUE"""),"6")</f>
        <v>6</v>
      </c>
      <c r="V736" s="6" t="str">
        <f>IFERROR(__xludf.DUMMYFUNCTION("""COMPUTED_VALUE"""),"")</f>
        <v/>
      </c>
      <c r="W736" s="6" t="str">
        <f>IFERROR(__xludf.DUMMYFUNCTION("""COMPUTED_VALUE"""),"[]")</f>
        <v>[]</v>
      </c>
      <c r="X736" s="6" t="str">
        <f>IFERROR(__xludf.DUMMYFUNCTION("""COMPUTED_VALUE"""),"Enrolled")</f>
        <v>Enrolled</v>
      </c>
    </row>
    <row r="737">
      <c r="A737" s="6" t="str">
        <f>IFERROR(__xludf.DUMMYFUNCTION("""COMPUTED_VALUE"""),"001-2005")</f>
        <v>001-2005</v>
      </c>
      <c r="B737" s="6" t="str">
        <f>IFERROR(__xludf.DUMMYFUNCTION("""COMPUTED_VALUE"""),"1")</f>
        <v>1</v>
      </c>
      <c r="C737" s="6" t="str">
        <f>IFERROR(__xludf.DUMMYFUNCTION("""COMPUTED_VALUE"""),"2005")</f>
        <v>2005</v>
      </c>
      <c r="D737" s="6" t="str">
        <f>IFERROR(__xludf.DUMMYFUNCTION("""COMPUTED_VALUE"""),"Mila")</f>
        <v>Mila</v>
      </c>
      <c r="E737" s="6" t="str">
        <f>IFERROR(__xludf.DUMMYFUNCTION("""COMPUTED_VALUE"""),"")</f>
        <v/>
      </c>
      <c r="F737" s="6" t="str">
        <f>IFERROR(__xludf.DUMMYFUNCTION("""COMPUTED_VALUE"""),"Atamas")</f>
        <v>Atamas</v>
      </c>
      <c r="G737" s="6" t="str">
        <f>IFERROR(__xludf.DUMMYFUNCTION("""COMPUTED_VALUE"""),"08/09/2014")</f>
        <v>08/09/2014</v>
      </c>
      <c r="H737" s="6" t="str">
        <f>IFERROR(__xludf.DUMMYFUNCTION("""COMPUTED_VALUE"""),"female")</f>
        <v>female</v>
      </c>
      <c r="I737" s="6" t="str">
        <f>IFERROR(__xludf.DUMMYFUNCTION("""COMPUTED_VALUE"""),"Middle School")</f>
        <v>Middle School</v>
      </c>
      <c r="J737" s="6" t="str">
        <f>IFERROR(__xludf.DUMMYFUNCTION("""COMPUTED_VALUE"""),"6")</f>
        <v>6</v>
      </c>
      <c r="K737" s="6" t="str">
        <f>IFERROR(__xludf.DUMMYFUNCTION("""COMPUTED_VALUE"""),"mila.atamas@alpha.school")</f>
        <v>mila.atamas@alpha.school</v>
      </c>
      <c r="L737" s="6" t="str">
        <f>IFERROR(__xludf.DUMMYFUNCTION("""COMPUTED_VALUE"""),"Alpha School Austin")</f>
        <v>Alpha School Austin</v>
      </c>
      <c r="M737" s="6" t="str">
        <f>IFERROR(__xludf.DUMMYFUNCTION("""COMPUTED_VALUE"""),"")</f>
        <v/>
      </c>
      <c r="N737" s="6" t="str">
        <f>IFERROR(__xludf.DUMMYFUNCTION("""COMPUTED_VALUE"""),"")</f>
        <v/>
      </c>
      <c r="O737" s="87" t="str">
        <f>IFERROR(__xludf.DUMMYFUNCTION("""COMPUTED_VALUE"""),"https://drive.google.com/drive/folders/10T2cTQHqEJZqE-st6uFKPoI?usp=share_link")</f>
        <v>https://drive.google.com/drive/folders/10T2cTQHqEJZqE-st6uFKPoI?usp=share_link</v>
      </c>
      <c r="P737" s="6" t="str">
        <f>IFERROR(__xludf.DUMMYFUNCTION("""COMPUTED_VALUE"""),"Mila Atamas")</f>
        <v>Mila Atamas</v>
      </c>
      <c r="Q737" s="6" t="str">
        <f>IFERROR(__xludf.DUMMYFUNCTION("""COMPUTED_VALUE"""),"MS")</f>
        <v>MS</v>
      </c>
      <c r="R737" s="6">
        <f>IFERROR(__xludf.DUMMYFUNCTION("""COMPUTED_VALUE"""),0.0)</f>
        <v>0</v>
      </c>
      <c r="S737" s="6" t="str">
        <f>IFERROR(__xludf.DUMMYFUNCTION("""COMPUTED_VALUE"""),"Shaas Singh")</f>
        <v>Shaas Singh</v>
      </c>
      <c r="T737" s="6" t="str">
        <f>IFERROR(__xludf.DUMMYFUNCTION("""COMPUTED_VALUE"""),"shaas.singh@alpha.school")</f>
        <v>shaas.singh@alpha.school</v>
      </c>
      <c r="U737" s="6" t="str">
        <f>IFERROR(__xludf.DUMMYFUNCTION("""COMPUTED_VALUE"""),"6")</f>
        <v>6</v>
      </c>
      <c r="V737" s="6" t="str">
        <f>IFERROR(__xludf.DUMMYFUNCTION("""COMPUTED_VALUE"""),"")</f>
        <v/>
      </c>
      <c r="W737" s="6" t="str">
        <f>IFERROR(__xludf.DUMMYFUNCTION("""COMPUTED_VALUE"""),"[]")</f>
        <v>[]</v>
      </c>
      <c r="X737" s="6" t="str">
        <f>IFERROR(__xludf.DUMMYFUNCTION("""COMPUTED_VALUE"""),"Enrolled")</f>
        <v>Enrolled</v>
      </c>
    </row>
    <row r="738">
      <c r="A738" s="6" t="str">
        <f>IFERROR(__xludf.DUMMYFUNCTION("""COMPUTED_VALUE"""),"001-2009")</f>
        <v>001-2009</v>
      </c>
      <c r="B738" s="6" t="str">
        <f>IFERROR(__xludf.DUMMYFUNCTION("""COMPUTED_VALUE"""),"1")</f>
        <v>1</v>
      </c>
      <c r="C738" s="6" t="str">
        <f>IFERROR(__xludf.DUMMYFUNCTION("""COMPUTED_VALUE"""),"2009")</f>
        <v>2009</v>
      </c>
      <c r="D738" s="6" t="str">
        <f>IFERROR(__xludf.DUMMYFUNCTION("""COMPUTED_VALUE"""),"Hadassah")</f>
        <v>Hadassah</v>
      </c>
      <c r="E738" s="6" t="str">
        <f>IFERROR(__xludf.DUMMYFUNCTION("""COMPUTED_VALUE"""),"")</f>
        <v/>
      </c>
      <c r="F738" s="6" t="str">
        <f>IFERROR(__xludf.DUMMYFUNCTION("""COMPUTED_VALUE"""),"Atamas")</f>
        <v>Atamas</v>
      </c>
      <c r="G738" s="6" t="str">
        <f>IFERROR(__xludf.DUMMYFUNCTION("""COMPUTED_VALUE"""),"12/11/2019")</f>
        <v>12/11/2019</v>
      </c>
      <c r="H738" s="6" t="str">
        <f>IFERROR(__xludf.DUMMYFUNCTION("""COMPUTED_VALUE"""),"female")</f>
        <v>female</v>
      </c>
      <c r="I738" s="6" t="str">
        <f>IFERROR(__xludf.DUMMYFUNCTION("""COMPUTED_VALUE"""),"Learning Lab")</f>
        <v>Learning Lab</v>
      </c>
      <c r="J738" s="6" t="str">
        <f>IFERROR(__xludf.DUMMYFUNCTION("""COMPUTED_VALUE"""),"K")</f>
        <v>K</v>
      </c>
      <c r="K738" s="6" t="str">
        <f>IFERROR(__xludf.DUMMYFUNCTION("""COMPUTED_VALUE"""),"hadassah.atamas@alpha.school")</f>
        <v>hadassah.atamas@alpha.school</v>
      </c>
      <c r="L738" s="6" t="str">
        <f>IFERROR(__xludf.DUMMYFUNCTION("""COMPUTED_VALUE"""),"Alpha School Austin")</f>
        <v>Alpha School Austin</v>
      </c>
      <c r="M738" s="6" t="str">
        <f>IFERROR(__xludf.DUMMYFUNCTION("""COMPUTED_VALUE"""),"")</f>
        <v/>
      </c>
      <c r="N738" s="6" t="str">
        <f>IFERROR(__xludf.DUMMYFUNCTION("""COMPUTED_VALUE"""),"")</f>
        <v/>
      </c>
      <c r="O738" s="87" t="str">
        <f>IFERROR(__xludf.DUMMYFUNCTION("""COMPUTED_VALUE"""),"https://drive.google.com/drive/folders/10T2cTQHqEJZqE-st6uFKPoI?usp=share_link")</f>
        <v>https://drive.google.com/drive/folders/10T2cTQHqEJZqE-st6uFKPoI?usp=share_link</v>
      </c>
      <c r="P738" s="6" t="str">
        <f>IFERROR(__xludf.DUMMYFUNCTION("""COMPUTED_VALUE"""),"Hadassah Atamas")</f>
        <v>Hadassah Atamas</v>
      </c>
      <c r="Q738" s="6" t="str">
        <f>IFERROR(__xludf.DUMMYFUNCTION("""COMPUTED_VALUE"""),"LL")</f>
        <v>LL</v>
      </c>
      <c r="R738" s="6">
        <f>IFERROR(__xludf.DUMMYFUNCTION("""COMPUTED_VALUE"""),0.0)</f>
        <v>0</v>
      </c>
      <c r="S738" s="6" t="str">
        <f>IFERROR(__xludf.DUMMYFUNCTION("""COMPUTED_VALUE"""),"Darby Knox")</f>
        <v>Darby Knox</v>
      </c>
      <c r="T738" s="6" t="str">
        <f>IFERROR(__xludf.DUMMYFUNCTION("""COMPUTED_VALUE"""),"darby.knox@alpha.school")</f>
        <v>darby.knox@alpha.school</v>
      </c>
      <c r="U738" s="6" t="str">
        <f>IFERROR(__xludf.DUMMYFUNCTION("""COMPUTED_VALUE"""),"K")</f>
        <v>K</v>
      </c>
      <c r="V738" s="6" t="str">
        <f>IFERROR(__xludf.DUMMYFUNCTION("""COMPUTED_VALUE"""),"")</f>
        <v/>
      </c>
      <c r="W738" s="6" t="str">
        <f>IFERROR(__xludf.DUMMYFUNCTION("""COMPUTED_VALUE"""),"[]")</f>
        <v>[]</v>
      </c>
      <c r="X738" s="6" t="str">
        <f>IFERROR(__xludf.DUMMYFUNCTION("""COMPUTED_VALUE"""),"Enrolled")</f>
        <v>Enrolled</v>
      </c>
    </row>
    <row r="739">
      <c r="A739" s="6" t="str">
        <f>IFERROR(__xludf.DUMMYFUNCTION("""COMPUTED_VALUE"""),"001-2133")</f>
        <v>001-2133</v>
      </c>
      <c r="B739" s="6" t="str">
        <f>IFERROR(__xludf.DUMMYFUNCTION("""COMPUTED_VALUE"""),"1")</f>
        <v>1</v>
      </c>
      <c r="C739" s="6" t="str">
        <f>IFERROR(__xludf.DUMMYFUNCTION("""COMPUTED_VALUE"""),"2133")</f>
        <v>2133</v>
      </c>
      <c r="D739" s="6" t="str">
        <f>IFERROR(__xludf.DUMMYFUNCTION("""COMPUTED_VALUE"""),"Geetesh")</f>
        <v>Geetesh</v>
      </c>
      <c r="E739" s="6" t="str">
        <f>IFERROR(__xludf.DUMMYFUNCTION("""COMPUTED_VALUE"""),"")</f>
        <v/>
      </c>
      <c r="F739" s="6" t="str">
        <f>IFERROR(__xludf.DUMMYFUNCTION("""COMPUTED_VALUE"""),"Parelly")</f>
        <v>Parelly</v>
      </c>
      <c r="G739" s="6" t="str">
        <f>IFERROR(__xludf.DUMMYFUNCTION("""COMPUTED_VALUE"""),"01/27/2009")</f>
        <v>01/27/2009</v>
      </c>
      <c r="H739" s="6" t="str">
        <f>IFERROR(__xludf.DUMMYFUNCTION("""COMPUTED_VALUE"""),"Self Identify")</f>
        <v>Self Identify</v>
      </c>
      <c r="I739" s="6" t="str">
        <f>IFERROR(__xludf.DUMMYFUNCTION("""COMPUTED_VALUE"""),"High School")</f>
        <v>High School</v>
      </c>
      <c r="J739" s="6" t="str">
        <f>IFERROR(__xludf.DUMMYFUNCTION("""COMPUTED_VALUE"""),"11")</f>
        <v>11</v>
      </c>
      <c r="K739" s="6" t="str">
        <f>IFERROR(__xludf.DUMMYFUNCTION("""COMPUTED_VALUE"""),"geetesh.parelly@2hourlearning.com")</f>
        <v>geetesh.parelly@2hourlearning.com</v>
      </c>
      <c r="L739" s="6" t="str">
        <f>IFERROR(__xludf.DUMMYFUNCTION("""COMPUTED_VALUE"""),"Alpha High School")</f>
        <v>Alpha High School</v>
      </c>
      <c r="M739" s="6" t="str">
        <f>IFERROR(__xludf.DUMMYFUNCTION("""COMPUTED_VALUE"""),"")</f>
        <v/>
      </c>
      <c r="N739" s="6" t="str">
        <f>IFERROR(__xludf.DUMMYFUNCTION("""COMPUTED_VALUE"""),"")</f>
        <v/>
      </c>
      <c r="O739" s="87" t="str">
        <f>IFERROR(__xludf.DUMMYFUNCTION("""COMPUTED_VALUE"""),"https://drive.google.com/drive/folders/10T2cTQHqEJZqE-st6uFKPoI?usp=share_link")</f>
        <v>https://drive.google.com/drive/folders/10T2cTQHqEJZqE-st6uFKPoI?usp=share_link</v>
      </c>
      <c r="P739" s="6" t="str">
        <f>IFERROR(__xludf.DUMMYFUNCTION("""COMPUTED_VALUE"""),"Geetesh Parelly")</f>
        <v>Geetesh Parelly</v>
      </c>
      <c r="Q739" s="6" t="str">
        <f>IFERROR(__xludf.DUMMYFUNCTION("""COMPUTED_VALUE"""),"HS")</f>
        <v>HS</v>
      </c>
      <c r="R739" s="6">
        <f>IFERROR(__xludf.DUMMYFUNCTION("""COMPUTED_VALUE"""),0.0)</f>
        <v>0</v>
      </c>
      <c r="S739" s="6" t="str">
        <f>IFERROR(__xludf.DUMMYFUNCTION("""COMPUTED_VALUE"""),"Effy Phillips")</f>
        <v>Effy Phillips</v>
      </c>
      <c r="T739" s="6" t="str">
        <f>IFERROR(__xludf.DUMMYFUNCTION("""COMPUTED_VALUE"""),"effy.phillips@alpha.school")</f>
        <v>effy.phillips@alpha.school</v>
      </c>
      <c r="U739" s="6" t="str">
        <f>IFERROR(__xludf.DUMMYFUNCTION("""COMPUTED_VALUE"""),"11")</f>
        <v>11</v>
      </c>
      <c r="V739" s="6" t="str">
        <f>IFERROR(__xludf.DUMMYFUNCTION("""COMPUTED_VALUE"""),"")</f>
        <v/>
      </c>
      <c r="W739" s="6" t="str">
        <f>IFERROR(__xludf.DUMMYFUNCTION("""COMPUTED_VALUE"""),"[]")</f>
        <v>[]</v>
      </c>
      <c r="X739" s="6" t="str">
        <f>IFERROR(__xludf.DUMMYFUNCTION("""COMPUTED_VALUE"""),"Enrolled")</f>
        <v>Enrolled</v>
      </c>
    </row>
    <row r="740">
      <c r="A740" s="6" t="str">
        <f>IFERROR(__xludf.DUMMYFUNCTION("""COMPUTED_VALUE"""),"001-2160")</f>
        <v>001-2160</v>
      </c>
      <c r="B740" s="6" t="str">
        <f>IFERROR(__xludf.DUMMYFUNCTION("""COMPUTED_VALUE"""),"1")</f>
        <v>1</v>
      </c>
      <c r="C740" s="6" t="str">
        <f>IFERROR(__xludf.DUMMYFUNCTION("""COMPUTED_VALUE"""),"2160")</f>
        <v>2160</v>
      </c>
      <c r="D740" s="6" t="str">
        <f>IFERROR(__xludf.DUMMYFUNCTION("""COMPUTED_VALUE"""),"Reia")</f>
        <v>Reia</v>
      </c>
      <c r="E740" s="6" t="str">
        <f>IFERROR(__xludf.DUMMYFUNCTION("""COMPUTED_VALUE"""),"")</f>
        <v/>
      </c>
      <c r="F740" s="6" t="str">
        <f>IFERROR(__xludf.DUMMYFUNCTION("""COMPUTED_VALUE"""),"Wong")</f>
        <v>Wong</v>
      </c>
      <c r="G740" s="6" t="str">
        <f>IFERROR(__xludf.DUMMYFUNCTION("""COMPUTED_VALUE"""),"08/08/2020")</f>
        <v>08/08/2020</v>
      </c>
      <c r="H740" s="6" t="str">
        <f>IFERROR(__xludf.DUMMYFUNCTION("""COMPUTED_VALUE"""),"female")</f>
        <v>female</v>
      </c>
      <c r="I740" s="6" t="str">
        <f>IFERROR(__xludf.DUMMYFUNCTION("""COMPUTED_VALUE"""),"Learning Lab")</f>
        <v>Learning Lab</v>
      </c>
      <c r="J740" s="6" t="str">
        <f>IFERROR(__xludf.DUMMYFUNCTION("""COMPUTED_VALUE"""),"K")</f>
        <v>K</v>
      </c>
      <c r="K740" s="6" t="str">
        <f>IFERROR(__xludf.DUMMYFUNCTION("""COMPUTED_VALUE"""),"reia.wong@alpha.school")</f>
        <v>reia.wong@alpha.school</v>
      </c>
      <c r="L740" s="6" t="str">
        <f>IFERROR(__xludf.DUMMYFUNCTION("""COMPUTED_VALUE"""),"Alpha School Austin")</f>
        <v>Alpha School Austin</v>
      </c>
      <c r="M740" s="6" t="str">
        <f>IFERROR(__xludf.DUMMYFUNCTION("""COMPUTED_VALUE"""),"")</f>
        <v/>
      </c>
      <c r="N740" s="6" t="str">
        <f>IFERROR(__xludf.DUMMYFUNCTION("""COMPUTED_VALUE"""),"")</f>
        <v/>
      </c>
      <c r="O740" s="87" t="str">
        <f>IFERROR(__xludf.DUMMYFUNCTION("""COMPUTED_VALUE"""),"https://drive.google.com/drive/folders/10T2cTQHqEJZqE-st6uFKPoI?usp=share_link")</f>
        <v>https://drive.google.com/drive/folders/10T2cTQHqEJZqE-st6uFKPoI?usp=share_link</v>
      </c>
      <c r="P740" s="6" t="str">
        <f>IFERROR(__xludf.DUMMYFUNCTION("""COMPUTED_VALUE"""),"Reia Wong")</f>
        <v>Reia Wong</v>
      </c>
      <c r="Q740" s="6" t="str">
        <f>IFERROR(__xludf.DUMMYFUNCTION("""COMPUTED_VALUE"""),"LL")</f>
        <v>LL</v>
      </c>
      <c r="R740" s="6">
        <f>IFERROR(__xludf.DUMMYFUNCTION("""COMPUTED_VALUE"""),0.0)</f>
        <v>0</v>
      </c>
      <c r="S740" s="6" t="str">
        <f>IFERROR(__xludf.DUMMYFUNCTION("""COMPUTED_VALUE"""),"Spencer Opatrny")</f>
        <v>Spencer Opatrny</v>
      </c>
      <c r="T740" s="6" t="str">
        <f>IFERROR(__xludf.DUMMYFUNCTION("""COMPUTED_VALUE"""),"spencer.opatrny@alpha.school")</f>
        <v>spencer.opatrny@alpha.school</v>
      </c>
      <c r="U740" s="6" t="str">
        <f>IFERROR(__xludf.DUMMYFUNCTION("""COMPUTED_VALUE"""),"K")</f>
        <v>K</v>
      </c>
      <c r="V740" s="6" t="str">
        <f>IFERROR(__xludf.DUMMYFUNCTION("""COMPUTED_VALUE"""),"")</f>
        <v/>
      </c>
      <c r="W740" s="6" t="str">
        <f>IFERROR(__xludf.DUMMYFUNCTION("""COMPUTED_VALUE"""),"[]")</f>
        <v>[]</v>
      </c>
      <c r="X740" s="6" t="str">
        <f>IFERROR(__xludf.DUMMYFUNCTION("""COMPUTED_VALUE"""),"Enrolled")</f>
        <v>Enrolled</v>
      </c>
    </row>
    <row r="741">
      <c r="A741" s="6" t="str">
        <f>IFERROR(__xludf.DUMMYFUNCTION("""COMPUTED_VALUE"""),"001-2241")</f>
        <v>001-2241</v>
      </c>
      <c r="B741" s="6" t="str">
        <f>IFERROR(__xludf.DUMMYFUNCTION("""COMPUTED_VALUE"""),"1")</f>
        <v>1</v>
      </c>
      <c r="C741" s="6" t="str">
        <f>IFERROR(__xludf.DUMMYFUNCTION("""COMPUTED_VALUE"""),"2241")</f>
        <v>2241</v>
      </c>
      <c r="D741" s="6" t="str">
        <f>IFERROR(__xludf.DUMMYFUNCTION("""COMPUTED_VALUE"""),"Pierce")</f>
        <v>Pierce</v>
      </c>
      <c r="E741" s="6" t="str">
        <f>IFERROR(__xludf.DUMMYFUNCTION("""COMPUTED_VALUE"""),"Pierce")</f>
        <v>Pierce</v>
      </c>
      <c r="F741" s="6" t="str">
        <f>IFERROR(__xludf.DUMMYFUNCTION("""COMPUTED_VALUE"""),"McCord")</f>
        <v>McCord</v>
      </c>
      <c r="G741" s="6" t="str">
        <f>IFERROR(__xludf.DUMMYFUNCTION("""COMPUTED_VALUE"""),"05/24/2021")</f>
        <v>05/24/2021</v>
      </c>
      <c r="H741" s="6" t="str">
        <f>IFERROR(__xludf.DUMMYFUNCTION("""COMPUTED_VALUE"""),"male")</f>
        <v>male</v>
      </c>
      <c r="I741" s="6" t="str">
        <f>IFERROR(__xludf.DUMMYFUNCTION("""COMPUTED_VALUE"""),"Wonder Lab")</f>
        <v>Wonder Lab</v>
      </c>
      <c r="J741" s="6" t="str">
        <f>IFERROR(__xludf.DUMMYFUNCTION("""COMPUTED_VALUE"""),"PK")</f>
        <v>PK</v>
      </c>
      <c r="K741" s="6" t="str">
        <f>IFERROR(__xludf.DUMMYFUNCTION("""COMPUTED_VALUE"""),"pierce.mccord@alpha.school")</f>
        <v>pierce.mccord@alpha.school</v>
      </c>
      <c r="L741" s="6" t="str">
        <f>IFERROR(__xludf.DUMMYFUNCTION("""COMPUTED_VALUE"""),"Alpha School Austin")</f>
        <v>Alpha School Austin</v>
      </c>
      <c r="M741" s="6" t="str">
        <f>IFERROR(__xludf.DUMMYFUNCTION("""COMPUTED_VALUE"""),"")</f>
        <v/>
      </c>
      <c r="N741" s="6" t="str">
        <f>IFERROR(__xludf.DUMMYFUNCTION("""COMPUTED_VALUE"""),"")</f>
        <v/>
      </c>
      <c r="O741" s="87" t="str">
        <f>IFERROR(__xludf.DUMMYFUNCTION("""COMPUTED_VALUE"""),"https://drive.google.com/drive/folders/10T2cTQHqEJZqE-st6uFKPoI?usp=share_link")</f>
        <v>https://drive.google.com/drive/folders/10T2cTQHqEJZqE-st6uFKPoI?usp=share_link</v>
      </c>
      <c r="P741" s="6" t="str">
        <f>IFERROR(__xludf.DUMMYFUNCTION("""COMPUTED_VALUE"""),"Pierce McCord")</f>
        <v>Pierce McCord</v>
      </c>
      <c r="Q741" s="6" t="str">
        <f>IFERROR(__xludf.DUMMYFUNCTION("""COMPUTED_VALUE"""),"WL")</f>
        <v>WL</v>
      </c>
      <c r="R741" s="6">
        <f>IFERROR(__xludf.DUMMYFUNCTION("""COMPUTED_VALUE"""),-1.0)</f>
        <v>-1</v>
      </c>
      <c r="S741" s="6" t="str">
        <f>IFERROR(__xludf.DUMMYFUNCTION("""COMPUTED_VALUE"""),"Cassie Blessing")</f>
        <v>Cassie Blessing</v>
      </c>
      <c r="T741" s="6" t="str">
        <f>IFERROR(__xludf.DUMMYFUNCTION("""COMPUTED_VALUE"""),"cassandra.blessing@alpha.school")</f>
        <v>cassandra.blessing@alpha.school</v>
      </c>
      <c r="U741" s="6" t="str">
        <f>IFERROR(__xludf.DUMMYFUNCTION("""COMPUTED_VALUE"""),"PK")</f>
        <v>PK</v>
      </c>
      <c r="V741" s="6" t="str">
        <f>IFERROR(__xludf.DUMMYFUNCTION("""COMPUTED_VALUE"""),"")</f>
        <v/>
      </c>
      <c r="W741" s="6" t="str">
        <f>IFERROR(__xludf.DUMMYFUNCTION("""COMPUTED_VALUE"""),"[]")</f>
        <v>[]</v>
      </c>
      <c r="X741" s="6" t="str">
        <f>IFERROR(__xludf.DUMMYFUNCTION("""COMPUTED_VALUE"""),"Enrolled")</f>
        <v>Enrolled</v>
      </c>
    </row>
    <row r="742">
      <c r="A742" s="6" t="str">
        <f>IFERROR(__xludf.DUMMYFUNCTION("""COMPUTED_VALUE"""),"001-2269")</f>
        <v>001-2269</v>
      </c>
      <c r="B742" s="6" t="str">
        <f>IFERROR(__xludf.DUMMYFUNCTION("""COMPUTED_VALUE"""),"1")</f>
        <v>1</v>
      </c>
      <c r="C742" s="6" t="str">
        <f>IFERROR(__xludf.DUMMYFUNCTION("""COMPUTED_VALUE"""),"2269")</f>
        <v>2269</v>
      </c>
      <c r="D742" s="6" t="str">
        <f>IFERROR(__xludf.DUMMYFUNCTION("""COMPUTED_VALUE"""),"MollieAnne")</f>
        <v>MollieAnne</v>
      </c>
      <c r="E742" s="6" t="str">
        <f>IFERROR(__xludf.DUMMYFUNCTION("""COMPUTED_VALUE"""),"Mollie")</f>
        <v>Mollie</v>
      </c>
      <c r="F742" s="6" t="str">
        <f>IFERROR(__xludf.DUMMYFUNCTION("""COMPUTED_VALUE"""),"McDougald")</f>
        <v>McDougald</v>
      </c>
      <c r="G742" s="6" t="str">
        <f>IFERROR(__xludf.DUMMYFUNCTION("""COMPUTED_VALUE"""),"06/08/2009")</f>
        <v>06/08/2009</v>
      </c>
      <c r="H742" s="6" t="str">
        <f>IFERROR(__xludf.DUMMYFUNCTION("""COMPUTED_VALUE"""),"female")</f>
        <v>female</v>
      </c>
      <c r="I742" s="6" t="str">
        <f>IFERROR(__xludf.DUMMYFUNCTION("""COMPUTED_VALUE"""),"High School")</f>
        <v>High School</v>
      </c>
      <c r="J742" s="6" t="str">
        <f>IFERROR(__xludf.DUMMYFUNCTION("""COMPUTED_VALUE"""),"10")</f>
        <v>10</v>
      </c>
      <c r="K742" s="6" t="str">
        <f>IFERROR(__xludf.DUMMYFUNCTION("""COMPUTED_VALUE"""),"mollieanne.mcdougald@alpha.school")</f>
        <v>mollieanne.mcdougald@alpha.school</v>
      </c>
      <c r="L742" s="6" t="str">
        <f>IFERROR(__xludf.DUMMYFUNCTION("""COMPUTED_VALUE"""),"Alpha High School")</f>
        <v>Alpha High School</v>
      </c>
      <c r="M742" s="6" t="str">
        <f>IFERROR(__xludf.DUMMYFUNCTION("""COMPUTED_VALUE"""),"")</f>
        <v/>
      </c>
      <c r="N742" s="6" t="str">
        <f>IFERROR(__xludf.DUMMYFUNCTION("""COMPUTED_VALUE"""),"")</f>
        <v/>
      </c>
      <c r="O742" s="87" t="str">
        <f>IFERROR(__xludf.DUMMYFUNCTION("""COMPUTED_VALUE"""),"https://drive.google.com/drive/folders/10T2cTQHqEJZqE-st6uFKPoI?usp=share_link")</f>
        <v>https://drive.google.com/drive/folders/10T2cTQHqEJZqE-st6uFKPoI?usp=share_link</v>
      </c>
      <c r="P742" s="6" t="str">
        <f>IFERROR(__xludf.DUMMYFUNCTION("""COMPUTED_VALUE"""),"Mollie McDougald")</f>
        <v>Mollie McDougald</v>
      </c>
      <c r="Q742" s="6" t="str">
        <f>IFERROR(__xludf.DUMMYFUNCTION("""COMPUTED_VALUE"""),"HS")</f>
        <v>HS</v>
      </c>
      <c r="R742" s="6">
        <f>IFERROR(__xludf.DUMMYFUNCTION("""COMPUTED_VALUE"""),0.0)</f>
        <v>0</v>
      </c>
      <c r="S742" s="6" t="str">
        <f>IFERROR(__xludf.DUMMYFUNCTION("""COMPUTED_VALUE"""),"Emily Findley")</f>
        <v>Emily Findley</v>
      </c>
      <c r="T742" s="6" t="str">
        <f>IFERROR(__xludf.DUMMYFUNCTION("""COMPUTED_VALUE"""),"emily.findley@alpha.school")</f>
        <v>emily.findley@alpha.school</v>
      </c>
      <c r="U742" s="6" t="str">
        <f>IFERROR(__xludf.DUMMYFUNCTION("""COMPUTED_VALUE"""),"10")</f>
        <v>10</v>
      </c>
      <c r="V742" s="6" t="str">
        <f>IFERROR(__xludf.DUMMYFUNCTION("""COMPUTED_VALUE"""),"")</f>
        <v/>
      </c>
      <c r="W742" s="6" t="str">
        <f>IFERROR(__xludf.DUMMYFUNCTION("""COMPUTED_VALUE"""),"[]")</f>
        <v>[]</v>
      </c>
      <c r="X742" s="6" t="str">
        <f>IFERROR(__xludf.DUMMYFUNCTION("""COMPUTED_VALUE"""),"Enrolled")</f>
        <v>Enrolled</v>
      </c>
    </row>
    <row r="743">
      <c r="A743" s="6" t="str">
        <f>IFERROR(__xludf.DUMMYFUNCTION("""COMPUTED_VALUE"""),"001-2275")</f>
        <v>001-2275</v>
      </c>
      <c r="B743" s="6" t="str">
        <f>IFERROR(__xludf.DUMMYFUNCTION("""COMPUTED_VALUE"""),"1")</f>
        <v>1</v>
      </c>
      <c r="C743" s="6" t="str">
        <f>IFERROR(__xludf.DUMMYFUNCTION("""COMPUTED_VALUE"""),"2275")</f>
        <v>2275</v>
      </c>
      <c r="D743" s="6" t="str">
        <f>IFERROR(__xludf.DUMMYFUNCTION("""COMPUTED_VALUE"""),"Beau")</f>
        <v>Beau</v>
      </c>
      <c r="E743" s="6" t="str">
        <f>IFERROR(__xludf.DUMMYFUNCTION("""COMPUTED_VALUE"""),"Beau")</f>
        <v>Beau</v>
      </c>
      <c r="F743" s="6" t="str">
        <f>IFERROR(__xludf.DUMMYFUNCTION("""COMPUTED_VALUE"""),"Stern")</f>
        <v>Stern</v>
      </c>
      <c r="G743" s="6" t="str">
        <f>IFERROR(__xludf.DUMMYFUNCTION("""COMPUTED_VALUE"""),"06/16/2014")</f>
        <v>06/16/2014</v>
      </c>
      <c r="H743" s="6" t="str">
        <f>IFERROR(__xludf.DUMMYFUNCTION("""COMPUTED_VALUE"""),"male")</f>
        <v>male</v>
      </c>
      <c r="I743" s="6" t="str">
        <f>IFERROR(__xludf.DUMMYFUNCTION("""COMPUTED_VALUE"""),"Level 2")</f>
        <v>Level 2</v>
      </c>
      <c r="J743" s="6" t="str">
        <f>IFERROR(__xludf.DUMMYFUNCTION("""COMPUTED_VALUE"""),"5")</f>
        <v>5</v>
      </c>
      <c r="K743" s="6" t="str">
        <f>IFERROR(__xludf.DUMMYFUNCTION("""COMPUTED_VALUE"""),"beau.stern@alpha.school")</f>
        <v>beau.stern@alpha.school</v>
      </c>
      <c r="L743" s="6" t="str">
        <f>IFERROR(__xludf.DUMMYFUNCTION("""COMPUTED_VALUE"""),"Alpha School Austin")</f>
        <v>Alpha School Austin</v>
      </c>
      <c r="M743" s="6" t="str">
        <f>IFERROR(__xludf.DUMMYFUNCTION("""COMPUTED_VALUE"""),"")</f>
        <v/>
      </c>
      <c r="N743" s="6" t="str">
        <f>IFERROR(__xludf.DUMMYFUNCTION("""COMPUTED_VALUE"""),"")</f>
        <v/>
      </c>
      <c r="O743" s="87" t="str">
        <f>IFERROR(__xludf.DUMMYFUNCTION("""COMPUTED_VALUE"""),"https://drive.google.com/drive/folders/10T2cTQHqEJZqE-st6uFKPoI?usp=share_link")</f>
        <v>https://drive.google.com/drive/folders/10T2cTQHqEJZqE-st6uFKPoI?usp=share_link</v>
      </c>
      <c r="P743" s="6" t="str">
        <f>IFERROR(__xludf.DUMMYFUNCTION("""COMPUTED_VALUE"""),"Beau Stern")</f>
        <v>Beau Stern</v>
      </c>
      <c r="Q743" s="6" t="str">
        <f>IFERROR(__xludf.DUMMYFUNCTION("""COMPUTED_VALUE"""),"L2")</f>
        <v>L2</v>
      </c>
      <c r="R743" s="6">
        <f>IFERROR(__xludf.DUMMYFUNCTION("""COMPUTED_VALUE"""),2.0)</f>
        <v>2</v>
      </c>
      <c r="S743" s="6" t="str">
        <f>IFERROR(__xludf.DUMMYFUNCTION("""COMPUTED_VALUE"""),"Gaby Golombek")</f>
        <v>Gaby Golombek</v>
      </c>
      <c r="T743" s="6" t="str">
        <f>IFERROR(__xludf.DUMMYFUNCTION("""COMPUTED_VALUE"""),"gabriel.golombek@alpha.school")</f>
        <v>gabriel.golombek@alpha.school</v>
      </c>
      <c r="U743" s="6" t="str">
        <f>IFERROR(__xludf.DUMMYFUNCTION("""COMPUTED_VALUE"""),"5")</f>
        <v>5</v>
      </c>
      <c r="V743" s="6" t="str">
        <f>IFERROR(__xludf.DUMMYFUNCTION("""COMPUTED_VALUE"""),"")</f>
        <v/>
      </c>
      <c r="W743" s="6" t="str">
        <f>IFERROR(__xludf.DUMMYFUNCTION("""COMPUTED_VALUE"""),"[]")</f>
        <v>[]</v>
      </c>
      <c r="X743" s="6" t="str">
        <f>IFERROR(__xludf.DUMMYFUNCTION("""COMPUTED_VALUE"""),"Enrolled")</f>
        <v>Enrolled</v>
      </c>
    </row>
    <row r="744">
      <c r="A744" s="6" t="str">
        <f>IFERROR(__xludf.DUMMYFUNCTION("""COMPUTED_VALUE"""),"001-2286")</f>
        <v>001-2286</v>
      </c>
      <c r="B744" s="6" t="str">
        <f>IFERROR(__xludf.DUMMYFUNCTION("""COMPUTED_VALUE"""),"1")</f>
        <v>1</v>
      </c>
      <c r="C744" s="6" t="str">
        <f>IFERROR(__xludf.DUMMYFUNCTION("""COMPUTED_VALUE"""),"2286")</f>
        <v>2286</v>
      </c>
      <c r="D744" s="6" t="str">
        <f>IFERROR(__xludf.DUMMYFUNCTION("""COMPUTED_VALUE"""),"Noah")</f>
        <v>Noah</v>
      </c>
      <c r="E744" s="6" t="str">
        <f>IFERROR(__xludf.DUMMYFUNCTION("""COMPUTED_VALUE"""),"Noah")</f>
        <v>Noah</v>
      </c>
      <c r="F744" s="6" t="str">
        <f>IFERROR(__xludf.DUMMYFUNCTION("""COMPUTED_VALUE"""),"Cowher")</f>
        <v>Cowher</v>
      </c>
      <c r="G744" s="6" t="str">
        <f>IFERROR(__xludf.DUMMYFUNCTION("""COMPUTED_VALUE"""),"01/30/2013")</f>
        <v>01/30/2013</v>
      </c>
      <c r="H744" s="6" t="str">
        <f>IFERROR(__xludf.DUMMYFUNCTION("""COMPUTED_VALUE"""),"male")</f>
        <v>male</v>
      </c>
      <c r="I744" s="6" t="str">
        <f>IFERROR(__xludf.DUMMYFUNCTION("""COMPUTED_VALUE"""),"Middle School")</f>
        <v>Middle School</v>
      </c>
      <c r="J744" s="6" t="str">
        <f>IFERROR(__xludf.DUMMYFUNCTION("""COMPUTED_VALUE"""),"7")</f>
        <v>7</v>
      </c>
      <c r="K744" s="6" t="str">
        <f>IFERROR(__xludf.DUMMYFUNCTION("""COMPUTED_VALUE"""),"noah.cowher@alpha.school")</f>
        <v>noah.cowher@alpha.school</v>
      </c>
      <c r="L744" s="6" t="str">
        <f>IFERROR(__xludf.DUMMYFUNCTION("""COMPUTED_VALUE"""),"Alpha School Austin")</f>
        <v>Alpha School Austin</v>
      </c>
      <c r="M744" s="6" t="str">
        <f>IFERROR(__xludf.DUMMYFUNCTION("""COMPUTED_VALUE"""),"")</f>
        <v/>
      </c>
      <c r="N744" s="6" t="str">
        <f>IFERROR(__xludf.DUMMYFUNCTION("""COMPUTED_VALUE"""),"")</f>
        <v/>
      </c>
      <c r="O744" s="87" t="str">
        <f>IFERROR(__xludf.DUMMYFUNCTION("""COMPUTED_VALUE"""),"https://drive.google.com/drive/folders/10T2cTQHqEJZqE-st6uFKPoI?usp=share_link")</f>
        <v>https://drive.google.com/drive/folders/10T2cTQHqEJZqE-st6uFKPoI?usp=share_link</v>
      </c>
      <c r="P744" s="6" t="str">
        <f>IFERROR(__xludf.DUMMYFUNCTION("""COMPUTED_VALUE"""),"Noah Cowher")</f>
        <v>Noah Cowher</v>
      </c>
      <c r="Q744" s="6" t="str">
        <f>IFERROR(__xludf.DUMMYFUNCTION("""COMPUTED_VALUE"""),"MS")</f>
        <v>MS</v>
      </c>
      <c r="R744" s="6">
        <f>IFERROR(__xludf.DUMMYFUNCTION("""COMPUTED_VALUE"""),0.0)</f>
        <v>0</v>
      </c>
      <c r="S744" s="6" t="str">
        <f>IFERROR(__xludf.DUMMYFUNCTION("""COMPUTED_VALUE"""),"Taylor Sweeney")</f>
        <v>Taylor Sweeney</v>
      </c>
      <c r="T744" s="6" t="str">
        <f>IFERROR(__xludf.DUMMYFUNCTION("""COMPUTED_VALUE"""),"taylor.sweeney@alpha.school")</f>
        <v>taylor.sweeney@alpha.school</v>
      </c>
      <c r="U744" s="6" t="str">
        <f>IFERROR(__xludf.DUMMYFUNCTION("""COMPUTED_VALUE"""),"7")</f>
        <v>7</v>
      </c>
      <c r="V744" s="6" t="str">
        <f>IFERROR(__xludf.DUMMYFUNCTION("""COMPUTED_VALUE"""),"")</f>
        <v/>
      </c>
      <c r="W744" s="6" t="str">
        <f>IFERROR(__xludf.DUMMYFUNCTION("""COMPUTED_VALUE"""),"[]")</f>
        <v>[]</v>
      </c>
      <c r="X744" s="6" t="str">
        <f>IFERROR(__xludf.DUMMYFUNCTION("""COMPUTED_VALUE"""),"Enrolled")</f>
        <v>Enrolled</v>
      </c>
    </row>
    <row r="745">
      <c r="A745" s="6" t="str">
        <f>IFERROR(__xludf.DUMMYFUNCTION("""COMPUTED_VALUE"""),"001-2356")</f>
        <v>001-2356</v>
      </c>
      <c r="B745" s="6" t="str">
        <f>IFERROR(__xludf.DUMMYFUNCTION("""COMPUTED_VALUE"""),"1")</f>
        <v>1</v>
      </c>
      <c r="C745" s="6" t="str">
        <f>IFERROR(__xludf.DUMMYFUNCTION("""COMPUTED_VALUE"""),"2356")</f>
        <v>2356</v>
      </c>
      <c r="D745" s="6" t="str">
        <f>IFERROR(__xludf.DUMMYFUNCTION("""COMPUTED_VALUE"""),"Malaika")</f>
        <v>Malaika</v>
      </c>
      <c r="E745" s="6" t="str">
        <f>IFERROR(__xludf.DUMMYFUNCTION("""COMPUTED_VALUE"""),"Malaika")</f>
        <v>Malaika</v>
      </c>
      <c r="F745" s="6" t="str">
        <f>IFERROR(__xludf.DUMMYFUNCTION("""COMPUTED_VALUE"""),"Negrete")</f>
        <v>Negrete</v>
      </c>
      <c r="G745" s="6" t="str">
        <f>IFERROR(__xludf.DUMMYFUNCTION("""COMPUTED_VALUE"""),"11/11/2008")</f>
        <v>11/11/2008</v>
      </c>
      <c r="H745" s="6" t="str">
        <f>IFERROR(__xludf.DUMMYFUNCTION("""COMPUTED_VALUE"""),"female")</f>
        <v>female</v>
      </c>
      <c r="I745" s="6" t="str">
        <f>IFERROR(__xludf.DUMMYFUNCTION("""COMPUTED_VALUE"""),"High School")</f>
        <v>High School</v>
      </c>
      <c r="J745" s="6" t="str">
        <f>IFERROR(__xludf.DUMMYFUNCTION("""COMPUTED_VALUE"""),"11")</f>
        <v>11</v>
      </c>
      <c r="K745" s="6" t="str">
        <f>IFERROR(__xludf.DUMMYFUNCTION("""COMPUTED_VALUE"""),"malaika.negrete@alpha.school")</f>
        <v>malaika.negrete@alpha.school</v>
      </c>
      <c r="L745" s="6" t="str">
        <f>IFERROR(__xludf.DUMMYFUNCTION("""COMPUTED_VALUE"""),"Alpha High School")</f>
        <v>Alpha High School</v>
      </c>
      <c r="M745" s="6" t="str">
        <f>IFERROR(__xludf.DUMMYFUNCTION("""COMPUTED_VALUE"""),"")</f>
        <v/>
      </c>
      <c r="N745" s="6" t="str">
        <f>IFERROR(__xludf.DUMMYFUNCTION("""COMPUTED_VALUE"""),"")</f>
        <v/>
      </c>
      <c r="O745" s="87" t="str">
        <f>IFERROR(__xludf.DUMMYFUNCTION("""COMPUTED_VALUE"""),"https://drive.google.com/drive/folders/10T2cTQHqEJZqE-st6uFKPoI?usp=share_link")</f>
        <v>https://drive.google.com/drive/folders/10T2cTQHqEJZqE-st6uFKPoI?usp=share_link</v>
      </c>
      <c r="P745" s="6" t="str">
        <f>IFERROR(__xludf.DUMMYFUNCTION("""COMPUTED_VALUE"""),"Malaika Negrete")</f>
        <v>Malaika Negrete</v>
      </c>
      <c r="Q745" s="6" t="str">
        <f>IFERROR(__xludf.DUMMYFUNCTION("""COMPUTED_VALUE"""),"HS")</f>
        <v>HS</v>
      </c>
      <c r="R745" s="6">
        <f>IFERROR(__xludf.DUMMYFUNCTION("""COMPUTED_VALUE"""),0.0)</f>
        <v>0</v>
      </c>
      <c r="S745" s="6" t="str">
        <f>IFERROR(__xludf.DUMMYFUNCTION("""COMPUTED_VALUE"""),"Emily Findley")</f>
        <v>Emily Findley</v>
      </c>
      <c r="T745" s="6" t="str">
        <f>IFERROR(__xludf.DUMMYFUNCTION("""COMPUTED_VALUE"""),"emily.findley@alpha.school")</f>
        <v>emily.findley@alpha.school</v>
      </c>
      <c r="U745" s="6" t="str">
        <f>IFERROR(__xludf.DUMMYFUNCTION("""COMPUTED_VALUE"""),"11")</f>
        <v>11</v>
      </c>
      <c r="V745" s="6" t="str">
        <f>IFERROR(__xludf.DUMMYFUNCTION("""COMPUTED_VALUE"""),"")</f>
        <v/>
      </c>
      <c r="W745" s="6" t="str">
        <f>IFERROR(__xludf.DUMMYFUNCTION("""COMPUTED_VALUE"""),"[Text-to-Speech]")</f>
        <v>[Text-to-Speech]</v>
      </c>
      <c r="X745" s="6" t="str">
        <f>IFERROR(__xludf.DUMMYFUNCTION("""COMPUTED_VALUE"""),"Enrolled")</f>
        <v>Enrolled</v>
      </c>
    </row>
    <row r="746">
      <c r="A746" s="6" t="str">
        <f>IFERROR(__xludf.DUMMYFUNCTION("""COMPUTED_VALUE"""),"001-2357")</f>
        <v>001-2357</v>
      </c>
      <c r="B746" s="6" t="str">
        <f>IFERROR(__xludf.DUMMYFUNCTION("""COMPUTED_VALUE"""),"1")</f>
        <v>1</v>
      </c>
      <c r="C746" s="6" t="str">
        <f>IFERROR(__xludf.DUMMYFUNCTION("""COMPUTED_VALUE"""),"2357")</f>
        <v>2357</v>
      </c>
      <c r="D746" s="6" t="str">
        <f>IFERROR(__xludf.DUMMYFUNCTION("""COMPUTED_VALUE"""),"Iker")</f>
        <v>Iker</v>
      </c>
      <c r="E746" s="6" t="str">
        <f>IFERROR(__xludf.DUMMYFUNCTION("""COMPUTED_VALUE"""),"Iker")</f>
        <v>Iker</v>
      </c>
      <c r="F746" s="6" t="str">
        <f>IFERROR(__xludf.DUMMYFUNCTION("""COMPUTED_VALUE"""),"Negrete")</f>
        <v>Negrete</v>
      </c>
      <c r="G746" s="6" t="str">
        <f>IFERROR(__xludf.DUMMYFUNCTION("""COMPUTED_VALUE"""),"11/11/2011")</f>
        <v>11/11/2011</v>
      </c>
      <c r="H746" s="6" t="str">
        <f>IFERROR(__xludf.DUMMYFUNCTION("""COMPUTED_VALUE"""),"male")</f>
        <v>male</v>
      </c>
      <c r="I746" s="6" t="str">
        <f>IFERROR(__xludf.DUMMYFUNCTION("""COMPUTED_VALUE"""),"Middle School")</f>
        <v>Middle School</v>
      </c>
      <c r="J746" s="6" t="str">
        <f>IFERROR(__xludf.DUMMYFUNCTION("""COMPUTED_VALUE"""),"7")</f>
        <v>7</v>
      </c>
      <c r="K746" s="6" t="str">
        <f>IFERROR(__xludf.DUMMYFUNCTION("""COMPUTED_VALUE"""),"iker.negrete@alpha.school")</f>
        <v>iker.negrete@alpha.school</v>
      </c>
      <c r="L746" s="6" t="str">
        <f>IFERROR(__xludf.DUMMYFUNCTION("""COMPUTED_VALUE"""),"Alpha School Austin")</f>
        <v>Alpha School Austin</v>
      </c>
      <c r="M746" s="6" t="str">
        <f>IFERROR(__xludf.DUMMYFUNCTION("""COMPUTED_VALUE"""),"")</f>
        <v/>
      </c>
      <c r="N746" s="6" t="str">
        <f>IFERROR(__xludf.DUMMYFUNCTION("""COMPUTED_VALUE"""),"")</f>
        <v/>
      </c>
      <c r="O746" s="87" t="str">
        <f>IFERROR(__xludf.DUMMYFUNCTION("""COMPUTED_VALUE"""),"https://drive.google.com/drive/folders/10T2cTQHqEJZqE-st6uFKPoI?usp=share_link")</f>
        <v>https://drive.google.com/drive/folders/10T2cTQHqEJZqE-st6uFKPoI?usp=share_link</v>
      </c>
      <c r="P746" s="6" t="str">
        <f>IFERROR(__xludf.DUMMYFUNCTION("""COMPUTED_VALUE"""),"Iker Negrete")</f>
        <v>Iker Negrete</v>
      </c>
      <c r="Q746" s="6" t="str">
        <f>IFERROR(__xludf.DUMMYFUNCTION("""COMPUTED_VALUE"""),"MS")</f>
        <v>MS</v>
      </c>
      <c r="R746" s="6">
        <f>IFERROR(__xludf.DUMMYFUNCTION("""COMPUTED_VALUE"""),0.0)</f>
        <v>0</v>
      </c>
      <c r="S746" s="6" t="str">
        <f>IFERROR(__xludf.DUMMYFUNCTION("""COMPUTED_VALUE"""),"Jawaan Delaney")</f>
        <v>Jawaan Delaney</v>
      </c>
      <c r="T746" s="6" t="str">
        <f>IFERROR(__xludf.DUMMYFUNCTION("""COMPUTED_VALUE"""),"jawaan.delaney@alpha.school")</f>
        <v>jawaan.delaney@alpha.school</v>
      </c>
      <c r="U746" s="6" t="str">
        <f>IFERROR(__xludf.DUMMYFUNCTION("""COMPUTED_VALUE"""),"7")</f>
        <v>7</v>
      </c>
      <c r="V746" s="6" t="str">
        <f>IFERROR(__xludf.DUMMYFUNCTION("""COMPUTED_VALUE"""),"")</f>
        <v/>
      </c>
      <c r="W746" s="6" t="str">
        <f>IFERROR(__xludf.DUMMYFUNCTION("""COMPUTED_VALUE"""),"[]")</f>
        <v>[]</v>
      </c>
      <c r="X746" s="6" t="str">
        <f>IFERROR(__xludf.DUMMYFUNCTION("""COMPUTED_VALUE"""),"Enrolled")</f>
        <v>Enrolled</v>
      </c>
    </row>
    <row r="747">
      <c r="A747" s="6" t="str">
        <f>IFERROR(__xludf.DUMMYFUNCTION("""COMPUTED_VALUE"""),"001-2376")</f>
        <v>001-2376</v>
      </c>
      <c r="B747" s="6" t="str">
        <f>IFERROR(__xludf.DUMMYFUNCTION("""COMPUTED_VALUE"""),"1")</f>
        <v>1</v>
      </c>
      <c r="C747" s="6" t="str">
        <f>IFERROR(__xludf.DUMMYFUNCTION("""COMPUTED_VALUE"""),"2376")</f>
        <v>2376</v>
      </c>
      <c r="D747" s="6" t="str">
        <f>IFERROR(__xludf.DUMMYFUNCTION("""COMPUTED_VALUE"""),"Eric")</f>
        <v>Eric</v>
      </c>
      <c r="E747" s="6" t="str">
        <f>IFERROR(__xludf.DUMMYFUNCTION("""COMPUTED_VALUE"""),"Eric")</f>
        <v>Eric</v>
      </c>
      <c r="F747" s="6" t="str">
        <f>IFERROR(__xludf.DUMMYFUNCTION("""COMPUTED_VALUE"""),"Feltoon")</f>
        <v>Feltoon</v>
      </c>
      <c r="G747" s="6" t="str">
        <f>IFERROR(__xludf.DUMMYFUNCTION("""COMPUTED_VALUE"""),"05/25/2019")</f>
        <v>05/25/2019</v>
      </c>
      <c r="H747" s="6" t="str">
        <f>IFERROR(__xludf.DUMMYFUNCTION("""COMPUTED_VALUE"""),"male")</f>
        <v>male</v>
      </c>
      <c r="I747" s="6" t="str">
        <f>IFERROR(__xludf.DUMMYFUNCTION("""COMPUTED_VALUE"""),"Learning Lab")</f>
        <v>Learning Lab</v>
      </c>
      <c r="J747" s="6" t="str">
        <f>IFERROR(__xludf.DUMMYFUNCTION("""COMPUTED_VALUE"""),"1")</f>
        <v>1</v>
      </c>
      <c r="K747" s="6" t="str">
        <f>IFERROR(__xludf.DUMMYFUNCTION("""COMPUTED_VALUE"""),"eric.feltoon@alpha.school")</f>
        <v>eric.feltoon@alpha.school</v>
      </c>
      <c r="L747" s="6" t="str">
        <f>IFERROR(__xludf.DUMMYFUNCTION("""COMPUTED_VALUE"""),"Alpha School Austin")</f>
        <v>Alpha School Austin</v>
      </c>
      <c r="M747" s="6" t="str">
        <f>IFERROR(__xludf.DUMMYFUNCTION("""COMPUTED_VALUE"""),"")</f>
        <v/>
      </c>
      <c r="N747" s="6" t="str">
        <f>IFERROR(__xludf.DUMMYFUNCTION("""COMPUTED_VALUE"""),"")</f>
        <v/>
      </c>
      <c r="O747" s="87" t="str">
        <f>IFERROR(__xludf.DUMMYFUNCTION("""COMPUTED_VALUE"""),"https://drive.google.com/drive/folders/10T2cTQHqEJZqE-st6uFKPoI?usp=share_link")</f>
        <v>https://drive.google.com/drive/folders/10T2cTQHqEJZqE-st6uFKPoI?usp=share_link</v>
      </c>
      <c r="P747" s="6" t="str">
        <f>IFERROR(__xludf.DUMMYFUNCTION("""COMPUTED_VALUE"""),"Eric Feltoon")</f>
        <v>Eric Feltoon</v>
      </c>
      <c r="Q747" s="6" t="str">
        <f>IFERROR(__xludf.DUMMYFUNCTION("""COMPUTED_VALUE"""),"LL")</f>
        <v>LL</v>
      </c>
      <c r="R747" s="6">
        <f>IFERROR(__xludf.DUMMYFUNCTION("""COMPUTED_VALUE"""),0.0)</f>
        <v>0</v>
      </c>
      <c r="S747" s="6" t="str">
        <f>IFERROR(__xludf.DUMMYFUNCTION("""COMPUTED_VALUE"""),"Cole Dougherty")</f>
        <v>Cole Dougherty</v>
      </c>
      <c r="T747" s="6" t="str">
        <f>IFERROR(__xludf.DUMMYFUNCTION("""COMPUTED_VALUE"""),"cole.dougherty@alpha.school")</f>
        <v>cole.dougherty@alpha.school</v>
      </c>
      <c r="U747" s="6" t="str">
        <f>IFERROR(__xludf.DUMMYFUNCTION("""COMPUTED_VALUE"""),"1")</f>
        <v>1</v>
      </c>
      <c r="V747" s="6" t="str">
        <f>IFERROR(__xludf.DUMMYFUNCTION("""COMPUTED_VALUE"""),"")</f>
        <v/>
      </c>
      <c r="W747" s="6" t="str">
        <f>IFERROR(__xludf.DUMMYFUNCTION("""COMPUTED_VALUE"""),"[]")</f>
        <v>[]</v>
      </c>
      <c r="X747" s="6" t="str">
        <f>IFERROR(__xludf.DUMMYFUNCTION("""COMPUTED_VALUE"""),"Enrolled")</f>
        <v>Enrolled</v>
      </c>
    </row>
    <row r="748">
      <c r="A748" s="6" t="str">
        <f>IFERROR(__xludf.DUMMYFUNCTION("""COMPUTED_VALUE"""),"001-2378")</f>
        <v>001-2378</v>
      </c>
      <c r="B748" s="6" t="str">
        <f>IFERROR(__xludf.DUMMYFUNCTION("""COMPUTED_VALUE"""),"1")</f>
        <v>1</v>
      </c>
      <c r="C748" s="6" t="str">
        <f>IFERROR(__xludf.DUMMYFUNCTION("""COMPUTED_VALUE"""),"2378")</f>
        <v>2378</v>
      </c>
      <c r="D748" s="6" t="str">
        <f>IFERROR(__xludf.DUMMYFUNCTION("""COMPUTED_VALUE"""),"Ava")</f>
        <v>Ava</v>
      </c>
      <c r="E748" s="6" t="str">
        <f>IFERROR(__xludf.DUMMYFUNCTION("""COMPUTED_VALUE"""),"")</f>
        <v/>
      </c>
      <c r="F748" s="6" t="str">
        <f>IFERROR(__xludf.DUMMYFUNCTION("""COMPUTED_VALUE"""),"Ackerson")</f>
        <v>Ackerson</v>
      </c>
      <c r="G748" s="6" t="str">
        <f>IFERROR(__xludf.DUMMYFUNCTION("""COMPUTED_VALUE"""),"07/26/2014")</f>
        <v>07/26/2014</v>
      </c>
      <c r="H748" s="6" t="str">
        <f>IFERROR(__xludf.DUMMYFUNCTION("""COMPUTED_VALUE"""),"female")</f>
        <v>female</v>
      </c>
      <c r="I748" s="6" t="str">
        <f>IFERROR(__xludf.DUMMYFUNCTION("""COMPUTED_VALUE"""),"Level 2")</f>
        <v>Level 2</v>
      </c>
      <c r="J748" s="6" t="str">
        <f>IFERROR(__xludf.DUMMYFUNCTION("""COMPUTED_VALUE"""),"5")</f>
        <v>5</v>
      </c>
      <c r="K748" s="6" t="str">
        <f>IFERROR(__xludf.DUMMYFUNCTION("""COMPUTED_VALUE"""),"ava.ackerson@alpha.school")</f>
        <v>ava.ackerson@alpha.school</v>
      </c>
      <c r="L748" s="6" t="str">
        <f>IFERROR(__xludf.DUMMYFUNCTION("""COMPUTED_VALUE"""),"Alpha School Austin")</f>
        <v>Alpha School Austin</v>
      </c>
      <c r="M748" s="6" t="str">
        <f>IFERROR(__xludf.DUMMYFUNCTION("""COMPUTED_VALUE"""),"")</f>
        <v/>
      </c>
      <c r="N748" s="6" t="str">
        <f>IFERROR(__xludf.DUMMYFUNCTION("""COMPUTED_VALUE"""),"")</f>
        <v/>
      </c>
      <c r="O748" s="87" t="str">
        <f>IFERROR(__xludf.DUMMYFUNCTION("""COMPUTED_VALUE"""),"https://drive.google.com/drive/folders/10T2cTQHqEJZqE-st6uFKPoI?usp=share_link")</f>
        <v>https://drive.google.com/drive/folders/10T2cTQHqEJZqE-st6uFKPoI?usp=share_link</v>
      </c>
      <c r="P748" s="6" t="str">
        <f>IFERROR(__xludf.DUMMYFUNCTION("""COMPUTED_VALUE"""),"Ava Ackerson")</f>
        <v>Ava Ackerson</v>
      </c>
      <c r="Q748" s="6" t="str">
        <f>IFERROR(__xludf.DUMMYFUNCTION("""COMPUTED_VALUE"""),"L2")</f>
        <v>L2</v>
      </c>
      <c r="R748" s="6">
        <f>IFERROR(__xludf.DUMMYFUNCTION("""COMPUTED_VALUE"""),2.0)</f>
        <v>2</v>
      </c>
      <c r="S748" s="6" t="str">
        <f>IFERROR(__xludf.DUMMYFUNCTION("""COMPUTED_VALUE"""),"Gaby Golombek")</f>
        <v>Gaby Golombek</v>
      </c>
      <c r="T748" s="6" t="str">
        <f>IFERROR(__xludf.DUMMYFUNCTION("""COMPUTED_VALUE"""),"gabriel.golombek@alpha.school")</f>
        <v>gabriel.golombek@alpha.school</v>
      </c>
      <c r="U748" s="6" t="str">
        <f>IFERROR(__xludf.DUMMYFUNCTION("""COMPUTED_VALUE"""),"5")</f>
        <v>5</v>
      </c>
      <c r="V748" s="6" t="str">
        <f>IFERROR(__xludf.DUMMYFUNCTION("""COMPUTED_VALUE"""),"")</f>
        <v/>
      </c>
      <c r="W748" s="6" t="str">
        <f>IFERROR(__xludf.DUMMYFUNCTION("""COMPUTED_VALUE"""),"[]")</f>
        <v>[]</v>
      </c>
      <c r="X748" s="6" t="str">
        <f>IFERROR(__xludf.DUMMYFUNCTION("""COMPUTED_VALUE"""),"Enrolled")</f>
        <v>Enrolled</v>
      </c>
    </row>
    <row r="749">
      <c r="A749" s="6" t="str">
        <f>IFERROR(__xludf.DUMMYFUNCTION("""COMPUTED_VALUE"""),"001-2379")</f>
        <v>001-2379</v>
      </c>
      <c r="B749" s="6" t="str">
        <f>IFERROR(__xludf.DUMMYFUNCTION("""COMPUTED_VALUE"""),"1")</f>
        <v>1</v>
      </c>
      <c r="C749" s="6" t="str">
        <f>IFERROR(__xludf.DUMMYFUNCTION("""COMPUTED_VALUE"""),"2379")</f>
        <v>2379</v>
      </c>
      <c r="D749" s="6" t="str">
        <f>IFERROR(__xludf.DUMMYFUNCTION("""COMPUTED_VALUE"""),"Anya")</f>
        <v>Anya</v>
      </c>
      <c r="E749" s="6" t="str">
        <f>IFERROR(__xludf.DUMMYFUNCTION("""COMPUTED_VALUE"""),"")</f>
        <v/>
      </c>
      <c r="F749" s="6" t="str">
        <f>IFERROR(__xludf.DUMMYFUNCTION("""COMPUTED_VALUE"""),"Ackerson")</f>
        <v>Ackerson</v>
      </c>
      <c r="G749" s="6" t="str">
        <f>IFERROR(__xludf.DUMMYFUNCTION("""COMPUTED_VALUE"""),"07/26/2014")</f>
        <v>07/26/2014</v>
      </c>
      <c r="H749" s="6" t="str">
        <f>IFERROR(__xludf.DUMMYFUNCTION("""COMPUTED_VALUE"""),"female")</f>
        <v>female</v>
      </c>
      <c r="I749" s="6" t="str">
        <f>IFERROR(__xludf.DUMMYFUNCTION("""COMPUTED_VALUE"""),"Level 2")</f>
        <v>Level 2</v>
      </c>
      <c r="J749" s="6" t="str">
        <f>IFERROR(__xludf.DUMMYFUNCTION("""COMPUTED_VALUE"""),"5")</f>
        <v>5</v>
      </c>
      <c r="K749" s="6" t="str">
        <f>IFERROR(__xludf.DUMMYFUNCTION("""COMPUTED_VALUE"""),"anya.ackerson@alpha.school")</f>
        <v>anya.ackerson@alpha.school</v>
      </c>
      <c r="L749" s="6" t="str">
        <f>IFERROR(__xludf.DUMMYFUNCTION("""COMPUTED_VALUE"""),"Alpha School Austin")</f>
        <v>Alpha School Austin</v>
      </c>
      <c r="M749" s="6" t="str">
        <f>IFERROR(__xludf.DUMMYFUNCTION("""COMPUTED_VALUE"""),"")</f>
        <v/>
      </c>
      <c r="N749" s="6" t="str">
        <f>IFERROR(__xludf.DUMMYFUNCTION("""COMPUTED_VALUE"""),"")</f>
        <v/>
      </c>
      <c r="O749" s="87" t="str">
        <f>IFERROR(__xludf.DUMMYFUNCTION("""COMPUTED_VALUE"""),"https://drive.google.com/drive/folders/10T2cTQHqEJZqE-st6uFKPoI?usp=share_link")</f>
        <v>https://drive.google.com/drive/folders/10T2cTQHqEJZqE-st6uFKPoI?usp=share_link</v>
      </c>
      <c r="P749" s="6" t="str">
        <f>IFERROR(__xludf.DUMMYFUNCTION("""COMPUTED_VALUE"""),"Anya Ackerson")</f>
        <v>Anya Ackerson</v>
      </c>
      <c r="Q749" s="6" t="str">
        <f>IFERROR(__xludf.DUMMYFUNCTION("""COMPUTED_VALUE"""),"L2")</f>
        <v>L2</v>
      </c>
      <c r="R749" s="6">
        <f>IFERROR(__xludf.DUMMYFUNCTION("""COMPUTED_VALUE"""),2.0)</f>
        <v>2</v>
      </c>
      <c r="S749" s="6" t="str">
        <f>IFERROR(__xludf.DUMMYFUNCTION("""COMPUTED_VALUE"""),"Noah Rodriguez")</f>
        <v>Noah Rodriguez</v>
      </c>
      <c r="T749" s="6" t="str">
        <f>IFERROR(__xludf.DUMMYFUNCTION("""COMPUTED_VALUE"""),"noah.rodriguez@alpha.school")</f>
        <v>noah.rodriguez@alpha.school</v>
      </c>
      <c r="U749" s="6" t="str">
        <f>IFERROR(__xludf.DUMMYFUNCTION("""COMPUTED_VALUE"""),"5")</f>
        <v>5</v>
      </c>
      <c r="V749" s="6" t="str">
        <f>IFERROR(__xludf.DUMMYFUNCTION("""COMPUTED_VALUE"""),"")</f>
        <v/>
      </c>
      <c r="W749" s="6" t="str">
        <f>IFERROR(__xludf.DUMMYFUNCTION("""COMPUTED_VALUE"""),"[]")</f>
        <v>[]</v>
      </c>
      <c r="X749" s="6" t="str">
        <f>IFERROR(__xludf.DUMMYFUNCTION("""COMPUTED_VALUE"""),"Enrolled")</f>
        <v>Enrolled</v>
      </c>
    </row>
    <row r="750">
      <c r="A750" s="6" t="str">
        <f>IFERROR(__xludf.DUMMYFUNCTION("""COMPUTED_VALUE"""),"001-2380")</f>
        <v>001-2380</v>
      </c>
      <c r="B750" s="6" t="str">
        <f>IFERROR(__xludf.DUMMYFUNCTION("""COMPUTED_VALUE"""),"1")</f>
        <v>1</v>
      </c>
      <c r="C750" s="6" t="str">
        <f>IFERROR(__xludf.DUMMYFUNCTION("""COMPUTED_VALUE"""),"2380")</f>
        <v>2380</v>
      </c>
      <c r="D750" s="6" t="str">
        <f>IFERROR(__xludf.DUMMYFUNCTION("""COMPUTED_VALUE"""),"Maren")</f>
        <v>Maren</v>
      </c>
      <c r="E750" s="6" t="str">
        <f>IFERROR(__xludf.DUMMYFUNCTION("""COMPUTED_VALUE"""),"")</f>
        <v/>
      </c>
      <c r="F750" s="6" t="str">
        <f>IFERROR(__xludf.DUMMYFUNCTION("""COMPUTED_VALUE"""),"Ackerson")</f>
        <v>Ackerson</v>
      </c>
      <c r="G750" s="6" t="str">
        <f>IFERROR(__xludf.DUMMYFUNCTION("""COMPUTED_VALUE"""),"04/21/2017")</f>
        <v>04/21/2017</v>
      </c>
      <c r="H750" s="6" t="str">
        <f>IFERROR(__xludf.DUMMYFUNCTION("""COMPUTED_VALUE"""),"female")</f>
        <v>female</v>
      </c>
      <c r="I750" s="6" t="str">
        <f>IFERROR(__xludf.DUMMYFUNCTION("""COMPUTED_VALUE"""),"Level 1")</f>
        <v>Level 1</v>
      </c>
      <c r="J750" s="6" t="str">
        <f>IFERROR(__xludf.DUMMYFUNCTION("""COMPUTED_VALUE"""),"3")</f>
        <v>3</v>
      </c>
      <c r="K750" s="6" t="str">
        <f>IFERROR(__xludf.DUMMYFUNCTION("""COMPUTED_VALUE"""),"maren.ackerson@alpha.school")</f>
        <v>maren.ackerson@alpha.school</v>
      </c>
      <c r="L750" s="6" t="str">
        <f>IFERROR(__xludf.DUMMYFUNCTION("""COMPUTED_VALUE"""),"Alpha School Austin")</f>
        <v>Alpha School Austin</v>
      </c>
      <c r="M750" s="6" t="str">
        <f>IFERROR(__xludf.DUMMYFUNCTION("""COMPUTED_VALUE"""),"")</f>
        <v/>
      </c>
      <c r="N750" s="6" t="str">
        <f>IFERROR(__xludf.DUMMYFUNCTION("""COMPUTED_VALUE"""),"")</f>
        <v/>
      </c>
      <c r="O750" s="87" t="str">
        <f>IFERROR(__xludf.DUMMYFUNCTION("""COMPUTED_VALUE"""),"https://drive.google.com/drive/folders/10T2cTQHqEJZqE-st6uFKPoI?usp=share_link")</f>
        <v>https://drive.google.com/drive/folders/10T2cTQHqEJZqE-st6uFKPoI?usp=share_link</v>
      </c>
      <c r="P750" s="6" t="str">
        <f>IFERROR(__xludf.DUMMYFUNCTION("""COMPUTED_VALUE"""),"Maren Ackerson")</f>
        <v>Maren Ackerson</v>
      </c>
      <c r="Q750" s="6" t="str">
        <f>IFERROR(__xludf.DUMMYFUNCTION("""COMPUTED_VALUE"""),"L1")</f>
        <v>L1</v>
      </c>
      <c r="R750" s="6">
        <f>IFERROR(__xludf.DUMMYFUNCTION("""COMPUTED_VALUE"""),1.0)</f>
        <v>1</v>
      </c>
      <c r="S750" s="6" t="str">
        <f>IFERROR(__xludf.DUMMYFUNCTION("""COMPUTED_VALUE"""),"Christie Ray")</f>
        <v>Christie Ray</v>
      </c>
      <c r="T750" s="6" t="str">
        <f>IFERROR(__xludf.DUMMYFUNCTION("""COMPUTED_VALUE"""),"christie.ray@2hourlearning.com")</f>
        <v>christie.ray@2hourlearning.com</v>
      </c>
      <c r="U750" s="6" t="str">
        <f>IFERROR(__xludf.DUMMYFUNCTION("""COMPUTED_VALUE"""),"3")</f>
        <v>3</v>
      </c>
      <c r="V750" s="6" t="str">
        <f>IFERROR(__xludf.DUMMYFUNCTION("""COMPUTED_VALUE"""),"")</f>
        <v/>
      </c>
      <c r="W750" s="6" t="str">
        <f>IFERROR(__xludf.DUMMYFUNCTION("""COMPUTED_VALUE"""),"[]")</f>
        <v>[]</v>
      </c>
      <c r="X750" s="6" t="str">
        <f>IFERROR(__xludf.DUMMYFUNCTION("""COMPUTED_VALUE"""),"Enrolled")</f>
        <v>Enrolled</v>
      </c>
    </row>
    <row r="751">
      <c r="A751" s="6" t="str">
        <f>IFERROR(__xludf.DUMMYFUNCTION("""COMPUTED_VALUE"""),"001-2398")</f>
        <v>001-2398</v>
      </c>
      <c r="B751" s="6" t="str">
        <f>IFERROR(__xludf.DUMMYFUNCTION("""COMPUTED_VALUE"""),"1")</f>
        <v>1</v>
      </c>
      <c r="C751" s="6" t="str">
        <f>IFERROR(__xludf.DUMMYFUNCTION("""COMPUTED_VALUE"""),"2398")</f>
        <v>2398</v>
      </c>
      <c r="D751" s="6" t="str">
        <f>IFERROR(__xludf.DUMMYFUNCTION("""COMPUTED_VALUE"""),"Avra")</f>
        <v>Avra</v>
      </c>
      <c r="E751" s="6" t="str">
        <f>IFERROR(__xludf.DUMMYFUNCTION("""COMPUTED_VALUE"""),"Avra")</f>
        <v>Avra</v>
      </c>
      <c r="F751" s="6" t="str">
        <f>IFERROR(__xludf.DUMMYFUNCTION("""COMPUTED_VALUE"""),"Tujios")</f>
        <v>Tujios</v>
      </c>
      <c r="G751" s="6" t="str">
        <f>IFERROR(__xludf.DUMMYFUNCTION("""COMPUTED_VALUE"""),"05/11/2018")</f>
        <v>05/11/2018</v>
      </c>
      <c r="H751" s="6" t="str">
        <f>IFERROR(__xludf.DUMMYFUNCTION("""COMPUTED_VALUE"""),"female")</f>
        <v>female</v>
      </c>
      <c r="I751" s="6" t="str">
        <f>IFERROR(__xludf.DUMMYFUNCTION("""COMPUTED_VALUE"""),"Level 1")</f>
        <v>Level 1</v>
      </c>
      <c r="J751" s="6" t="str">
        <f>IFERROR(__xludf.DUMMYFUNCTION("""COMPUTED_VALUE"""),"2")</f>
        <v>2</v>
      </c>
      <c r="K751" s="6" t="str">
        <f>IFERROR(__xludf.DUMMYFUNCTION("""COMPUTED_VALUE"""),"avra.tujios@alpha.school")</f>
        <v>avra.tujios@alpha.school</v>
      </c>
      <c r="L751" s="6" t="str">
        <f>IFERROR(__xludf.DUMMYFUNCTION("""COMPUTED_VALUE"""),"Alpha School Austin")</f>
        <v>Alpha School Austin</v>
      </c>
      <c r="M751" s="6" t="str">
        <f>IFERROR(__xludf.DUMMYFUNCTION("""COMPUTED_VALUE"""),"")</f>
        <v/>
      </c>
      <c r="N751" s="6" t="str">
        <f>IFERROR(__xludf.DUMMYFUNCTION("""COMPUTED_VALUE"""),"")</f>
        <v/>
      </c>
      <c r="O751" s="87" t="str">
        <f>IFERROR(__xludf.DUMMYFUNCTION("""COMPUTED_VALUE"""),"https://drive.google.com/drive/folders/10T2cTQHqEJZqE-st6uFKPoI?usp=share_link")</f>
        <v>https://drive.google.com/drive/folders/10T2cTQHqEJZqE-st6uFKPoI?usp=share_link</v>
      </c>
      <c r="P751" s="6" t="str">
        <f>IFERROR(__xludf.DUMMYFUNCTION("""COMPUTED_VALUE"""),"Avra Tujios")</f>
        <v>Avra Tujios</v>
      </c>
      <c r="Q751" s="6" t="str">
        <f>IFERROR(__xludf.DUMMYFUNCTION("""COMPUTED_VALUE"""),"L1")</f>
        <v>L1</v>
      </c>
      <c r="R751" s="6">
        <f>IFERROR(__xludf.DUMMYFUNCTION("""COMPUTED_VALUE"""),1.0)</f>
        <v>1</v>
      </c>
      <c r="S751" s="6" t="str">
        <f>IFERROR(__xludf.DUMMYFUNCTION("""COMPUTED_VALUE"""),"Christie Ray")</f>
        <v>Christie Ray</v>
      </c>
      <c r="T751" s="6" t="str">
        <f>IFERROR(__xludf.DUMMYFUNCTION("""COMPUTED_VALUE"""),"christie.ray@2hourlearning.com")</f>
        <v>christie.ray@2hourlearning.com</v>
      </c>
      <c r="U751" s="6" t="str">
        <f>IFERROR(__xludf.DUMMYFUNCTION("""COMPUTED_VALUE"""),"2")</f>
        <v>2</v>
      </c>
      <c r="V751" s="6" t="str">
        <f>IFERROR(__xludf.DUMMYFUNCTION("""COMPUTED_VALUE"""),"")</f>
        <v/>
      </c>
      <c r="W751" s="6" t="str">
        <f>IFERROR(__xludf.DUMMYFUNCTION("""COMPUTED_VALUE"""),"[]")</f>
        <v>[]</v>
      </c>
      <c r="X751" s="6" t="str">
        <f>IFERROR(__xludf.DUMMYFUNCTION("""COMPUTED_VALUE"""),"Enrolled")</f>
        <v>Enrolled</v>
      </c>
    </row>
    <row r="752">
      <c r="A752" s="6" t="str">
        <f>IFERROR(__xludf.DUMMYFUNCTION("""COMPUTED_VALUE"""),"001-2404")</f>
        <v>001-2404</v>
      </c>
      <c r="B752" s="6" t="str">
        <f>IFERROR(__xludf.DUMMYFUNCTION("""COMPUTED_VALUE"""),"1")</f>
        <v>1</v>
      </c>
      <c r="C752" s="6" t="str">
        <f>IFERROR(__xludf.DUMMYFUNCTION("""COMPUTED_VALUE"""),"2404")</f>
        <v>2404</v>
      </c>
      <c r="D752" s="6" t="str">
        <f>IFERROR(__xludf.DUMMYFUNCTION("""COMPUTED_VALUE"""),"Sloka")</f>
        <v>Sloka</v>
      </c>
      <c r="E752" s="6" t="str">
        <f>IFERROR(__xludf.DUMMYFUNCTION("""COMPUTED_VALUE"""),"Sloka")</f>
        <v>Sloka</v>
      </c>
      <c r="F752" s="6" t="str">
        <f>IFERROR(__xludf.DUMMYFUNCTION("""COMPUTED_VALUE"""),"Vudumu")</f>
        <v>Vudumu</v>
      </c>
      <c r="G752" s="6" t="str">
        <f>IFERROR(__xludf.DUMMYFUNCTION("""COMPUTED_VALUE"""),"08/26/2009")</f>
        <v>08/26/2009</v>
      </c>
      <c r="H752" s="6" t="str">
        <f>IFERROR(__xludf.DUMMYFUNCTION("""COMPUTED_VALUE"""),"female")</f>
        <v>female</v>
      </c>
      <c r="I752" s="6" t="str">
        <f>IFERROR(__xludf.DUMMYFUNCTION("""COMPUTED_VALUE"""),"High School")</f>
        <v>High School</v>
      </c>
      <c r="J752" s="6" t="str">
        <f>IFERROR(__xludf.DUMMYFUNCTION("""COMPUTED_VALUE"""),"11")</f>
        <v>11</v>
      </c>
      <c r="K752" s="6" t="str">
        <f>IFERROR(__xludf.DUMMYFUNCTION("""COMPUTED_VALUE"""),"sloka.vudumu@2hourlearning.com")</f>
        <v>sloka.vudumu@2hourlearning.com</v>
      </c>
      <c r="L752" s="6" t="str">
        <f>IFERROR(__xludf.DUMMYFUNCTION("""COMPUTED_VALUE"""),"Alpha High School")</f>
        <v>Alpha High School</v>
      </c>
      <c r="M752" s="6" t="str">
        <f>IFERROR(__xludf.DUMMYFUNCTION("""COMPUTED_VALUE"""),"")</f>
        <v/>
      </c>
      <c r="N752" s="6" t="str">
        <f>IFERROR(__xludf.DUMMYFUNCTION("""COMPUTED_VALUE"""),"")</f>
        <v/>
      </c>
      <c r="O752" s="87" t="str">
        <f>IFERROR(__xludf.DUMMYFUNCTION("""COMPUTED_VALUE"""),"https://drive.google.com/drive/folders/10T2cTQHqEJZqE-st6uFKPoI?usp=share_link")</f>
        <v>https://drive.google.com/drive/folders/10T2cTQHqEJZqE-st6uFKPoI?usp=share_link</v>
      </c>
      <c r="P752" s="6" t="str">
        <f>IFERROR(__xludf.DUMMYFUNCTION("""COMPUTED_VALUE"""),"Sloka Vudumu")</f>
        <v>Sloka Vudumu</v>
      </c>
      <c r="Q752" s="6" t="str">
        <f>IFERROR(__xludf.DUMMYFUNCTION("""COMPUTED_VALUE"""),"HS")</f>
        <v>HS</v>
      </c>
      <c r="R752" s="6">
        <f>IFERROR(__xludf.DUMMYFUNCTION("""COMPUTED_VALUE"""),0.0)</f>
        <v>0</v>
      </c>
      <c r="S752" s="6" t="str">
        <f>IFERROR(__xludf.DUMMYFUNCTION("""COMPUTED_VALUE"""),"Emily Findley")</f>
        <v>Emily Findley</v>
      </c>
      <c r="T752" s="6" t="str">
        <f>IFERROR(__xludf.DUMMYFUNCTION("""COMPUTED_VALUE"""),"emily.findley@alpha.school")</f>
        <v>emily.findley@alpha.school</v>
      </c>
      <c r="U752" s="6" t="str">
        <f>IFERROR(__xludf.DUMMYFUNCTION("""COMPUTED_VALUE"""),"11")</f>
        <v>11</v>
      </c>
      <c r="V752" s="6" t="str">
        <f>IFERROR(__xludf.DUMMYFUNCTION("""COMPUTED_VALUE"""),"")</f>
        <v/>
      </c>
      <c r="W752" s="6" t="str">
        <f>IFERROR(__xludf.DUMMYFUNCTION("""COMPUTED_VALUE"""),"[]")</f>
        <v>[]</v>
      </c>
      <c r="X752" s="6" t="str">
        <f>IFERROR(__xludf.DUMMYFUNCTION("""COMPUTED_VALUE"""),"Enrolled")</f>
        <v>Enrolled</v>
      </c>
    </row>
    <row r="753">
      <c r="A753" s="6" t="str">
        <f>IFERROR(__xludf.DUMMYFUNCTION("""COMPUTED_VALUE"""),"001-2422")</f>
        <v>001-2422</v>
      </c>
      <c r="B753" s="6" t="str">
        <f>IFERROR(__xludf.DUMMYFUNCTION("""COMPUTED_VALUE"""),"1")</f>
        <v>1</v>
      </c>
      <c r="C753" s="6" t="str">
        <f>IFERROR(__xludf.DUMMYFUNCTION("""COMPUTED_VALUE"""),"2422")</f>
        <v>2422</v>
      </c>
      <c r="D753" s="6" t="str">
        <f>IFERROR(__xludf.DUMMYFUNCTION("""COMPUTED_VALUE"""),"Emilia")</f>
        <v>Emilia</v>
      </c>
      <c r="E753" s="6" t="str">
        <f>IFERROR(__xludf.DUMMYFUNCTION("""COMPUTED_VALUE"""),"")</f>
        <v/>
      </c>
      <c r="F753" s="6" t="str">
        <f>IFERROR(__xludf.DUMMYFUNCTION("""COMPUTED_VALUE"""),"Lobo")</f>
        <v>Lobo</v>
      </c>
      <c r="G753" s="6" t="str">
        <f>IFERROR(__xludf.DUMMYFUNCTION("""COMPUTED_VALUE"""),"07/10/2018")</f>
        <v>07/10/2018</v>
      </c>
      <c r="H753" s="6" t="str">
        <f>IFERROR(__xludf.DUMMYFUNCTION("""COMPUTED_VALUE"""),"female")</f>
        <v>female</v>
      </c>
      <c r="I753" s="6" t="str">
        <f>IFERROR(__xludf.DUMMYFUNCTION("""COMPUTED_VALUE"""),"Level 1")</f>
        <v>Level 1</v>
      </c>
      <c r="J753" s="6" t="str">
        <f>IFERROR(__xludf.DUMMYFUNCTION("""COMPUTED_VALUE"""),"2")</f>
        <v>2</v>
      </c>
      <c r="K753" s="6" t="str">
        <f>IFERROR(__xludf.DUMMYFUNCTION("""COMPUTED_VALUE"""),"emilia.lobo@alpha.school")</f>
        <v>emilia.lobo@alpha.school</v>
      </c>
      <c r="L753" s="6" t="str">
        <f>IFERROR(__xludf.DUMMYFUNCTION("""COMPUTED_VALUE"""),"Alpha School Austin")</f>
        <v>Alpha School Austin</v>
      </c>
      <c r="M753" s="6" t="str">
        <f>IFERROR(__xludf.DUMMYFUNCTION("""COMPUTED_VALUE"""),"")</f>
        <v/>
      </c>
      <c r="N753" s="6" t="str">
        <f>IFERROR(__xludf.DUMMYFUNCTION("""COMPUTED_VALUE"""),"")</f>
        <v/>
      </c>
      <c r="O753" s="87" t="str">
        <f>IFERROR(__xludf.DUMMYFUNCTION("""COMPUTED_VALUE"""),"https://drive.google.com/drive/folders/10T2cTQHqEJZqE-st6uFKPoI?usp=share_link")</f>
        <v>https://drive.google.com/drive/folders/10T2cTQHqEJZqE-st6uFKPoI?usp=share_link</v>
      </c>
      <c r="P753" s="6" t="str">
        <f>IFERROR(__xludf.DUMMYFUNCTION("""COMPUTED_VALUE"""),"Emilia Lobo")</f>
        <v>Emilia Lobo</v>
      </c>
      <c r="Q753" s="6" t="str">
        <f>IFERROR(__xludf.DUMMYFUNCTION("""COMPUTED_VALUE"""),"L1")</f>
        <v>L1</v>
      </c>
      <c r="R753" s="6">
        <f>IFERROR(__xludf.DUMMYFUNCTION("""COMPUTED_VALUE"""),1.0)</f>
        <v>1</v>
      </c>
      <c r="S753" s="6" t="str">
        <f>IFERROR(__xludf.DUMMYFUNCTION("""COMPUTED_VALUE"""),"Christie Ray")</f>
        <v>Christie Ray</v>
      </c>
      <c r="T753" s="6" t="str">
        <f>IFERROR(__xludf.DUMMYFUNCTION("""COMPUTED_VALUE"""),"christie.ray@2hourlearning.com")</f>
        <v>christie.ray@2hourlearning.com</v>
      </c>
      <c r="U753" s="6" t="str">
        <f>IFERROR(__xludf.DUMMYFUNCTION("""COMPUTED_VALUE"""),"2")</f>
        <v>2</v>
      </c>
      <c r="V753" s="6" t="str">
        <f>IFERROR(__xludf.DUMMYFUNCTION("""COMPUTED_VALUE"""),"")</f>
        <v/>
      </c>
      <c r="W753" s="6" t="str">
        <f>IFERROR(__xludf.DUMMYFUNCTION("""COMPUTED_VALUE"""),"[]")</f>
        <v>[]</v>
      </c>
      <c r="X753" s="6" t="str">
        <f>IFERROR(__xludf.DUMMYFUNCTION("""COMPUTED_VALUE"""),"Enrolled")</f>
        <v>Enrolled</v>
      </c>
    </row>
    <row r="754">
      <c r="A754" s="6" t="str">
        <f>IFERROR(__xludf.DUMMYFUNCTION("""COMPUTED_VALUE"""),"001-2424")</f>
        <v>001-2424</v>
      </c>
      <c r="B754" s="6" t="str">
        <f>IFERROR(__xludf.DUMMYFUNCTION("""COMPUTED_VALUE"""),"1")</f>
        <v>1</v>
      </c>
      <c r="C754" s="6" t="str">
        <f>IFERROR(__xludf.DUMMYFUNCTION("""COMPUTED_VALUE"""),"2424")</f>
        <v>2424</v>
      </c>
      <c r="D754" s="6" t="str">
        <f>IFERROR(__xludf.DUMMYFUNCTION("""COMPUTED_VALUE"""),"Andy")</f>
        <v>Andy</v>
      </c>
      <c r="E754" s="6" t="str">
        <f>IFERROR(__xludf.DUMMYFUNCTION("""COMPUTED_VALUE"""),"")</f>
        <v/>
      </c>
      <c r="F754" s="6" t="str">
        <f>IFERROR(__xludf.DUMMYFUNCTION("""COMPUTED_VALUE"""),"Test")</f>
        <v>Test</v>
      </c>
      <c r="G754" s="6" t="str">
        <f>IFERROR(__xludf.DUMMYFUNCTION("""COMPUTED_VALUE"""),"Invalid Date")</f>
        <v>Invalid Date</v>
      </c>
      <c r="H754" s="6" t="str">
        <f>IFERROR(__xludf.DUMMYFUNCTION("""COMPUTED_VALUE"""),"Self Identify")</f>
        <v>Self Identify</v>
      </c>
      <c r="I754" s="6" t="str">
        <f>IFERROR(__xludf.DUMMYFUNCTION("""COMPUTED_VALUE"""),"Middle School")</f>
        <v>Middle School</v>
      </c>
      <c r="J754" s="6" t="str">
        <f>IFERROR(__xludf.DUMMYFUNCTION("""COMPUTED_VALUE"""),"6")</f>
        <v>6</v>
      </c>
      <c r="K754" s="6" t="str">
        <f>IFERROR(__xludf.DUMMYFUNCTION("""COMPUTED_VALUE"""),"andy.test@alpha.school")</f>
        <v>andy.test@alpha.school</v>
      </c>
      <c r="L754" s="6" t="str">
        <f>IFERROR(__xludf.DUMMYFUNCTION("""COMPUTED_VALUE"""),"Alpha School Austin")</f>
        <v>Alpha School Austin</v>
      </c>
      <c r="M754" s="6" t="str">
        <f>IFERROR(__xludf.DUMMYFUNCTION("""COMPUTED_VALUE"""),"Test")</f>
        <v>Test</v>
      </c>
      <c r="N754" s="6" t="str">
        <f>IFERROR(__xludf.DUMMYFUNCTION("""COMPUTED_VALUE"""),"")</f>
        <v/>
      </c>
      <c r="O754" s="87" t="str">
        <f>IFERROR(__xludf.DUMMYFUNCTION("""COMPUTED_VALUE"""),"https://drive.google.com/drive/folders/10T2cTQHqEJZqE-st6uFKPoI?usp=share_link")</f>
        <v>https://drive.google.com/drive/folders/10T2cTQHqEJZqE-st6uFKPoI?usp=share_link</v>
      </c>
      <c r="P754" s="6" t="str">
        <f>IFERROR(__xludf.DUMMYFUNCTION("""COMPUTED_VALUE"""),"Andy Test")</f>
        <v>Andy Test</v>
      </c>
      <c r="Q754" s="6" t="str">
        <f>IFERROR(__xludf.DUMMYFUNCTION("""COMPUTED_VALUE"""),"MS")</f>
        <v>MS</v>
      </c>
      <c r="R754" s="6">
        <f>IFERROR(__xludf.DUMMYFUNCTION("""COMPUTED_VALUE"""),0.0)</f>
        <v>0</v>
      </c>
      <c r="S754" s="6" t="str">
        <f>IFERROR(__xludf.DUMMYFUNCTION("""COMPUTED_VALUE""")," ")</f>
        <v> </v>
      </c>
      <c r="T754" s="6" t="str">
        <f>IFERROR(__xludf.DUMMYFUNCTION("""COMPUTED_VALUE"""),"")</f>
        <v/>
      </c>
      <c r="U754" s="6" t="str">
        <f>IFERROR(__xludf.DUMMYFUNCTION("""COMPUTED_VALUE"""),"6")</f>
        <v>6</v>
      </c>
      <c r="V754" s="6" t="str">
        <f>IFERROR(__xludf.DUMMYFUNCTION("""COMPUTED_VALUE"""),"")</f>
        <v/>
      </c>
      <c r="W754" s="6" t="str">
        <f>IFERROR(__xludf.DUMMYFUNCTION("""COMPUTED_VALUE"""),"[]")</f>
        <v>[]</v>
      </c>
      <c r="X754" s="6" t="str">
        <f>IFERROR(__xludf.DUMMYFUNCTION("""COMPUTED_VALUE"""),"Enrolled")</f>
        <v>Enrolled</v>
      </c>
    </row>
    <row r="755">
      <c r="A755" s="6" t="str">
        <f>IFERROR(__xludf.DUMMYFUNCTION("""COMPUTED_VALUE"""),"001-2433")</f>
        <v>001-2433</v>
      </c>
      <c r="B755" s="6" t="str">
        <f>IFERROR(__xludf.DUMMYFUNCTION("""COMPUTED_VALUE"""),"1")</f>
        <v>1</v>
      </c>
      <c r="C755" s="6" t="str">
        <f>IFERROR(__xludf.DUMMYFUNCTION("""COMPUTED_VALUE"""),"2433")</f>
        <v>2433</v>
      </c>
      <c r="D755" s="6" t="str">
        <f>IFERROR(__xludf.DUMMYFUNCTION("""COMPUTED_VALUE"""),"HSTest")</f>
        <v>HSTest</v>
      </c>
      <c r="E755" s="6" t="str">
        <f>IFERROR(__xludf.DUMMYFUNCTION("""COMPUTED_VALUE"""),"")</f>
        <v/>
      </c>
      <c r="F755" s="6" t="str">
        <f>IFERROR(__xludf.DUMMYFUNCTION("""COMPUTED_VALUE"""),"Account1")</f>
        <v>Account1</v>
      </c>
      <c r="G755" s="6" t="str">
        <f>IFERROR(__xludf.DUMMYFUNCTION("""COMPUTED_VALUE"""),"Invalid Date")</f>
        <v>Invalid Date</v>
      </c>
      <c r="H755" s="6" t="str">
        <f>IFERROR(__xludf.DUMMYFUNCTION("""COMPUTED_VALUE"""),"Self Identify")</f>
        <v>Self Identify</v>
      </c>
      <c r="I755" s="6" t="str">
        <f>IFERROR(__xludf.DUMMYFUNCTION("""COMPUTED_VALUE"""),"High School")</f>
        <v>High School</v>
      </c>
      <c r="J755" s="6" t="str">
        <f>IFERROR(__xludf.DUMMYFUNCTION("""COMPUTED_VALUE"""),"10")</f>
        <v>10</v>
      </c>
      <c r="K755" s="6" t="str">
        <f>IFERROR(__xludf.DUMMYFUNCTION("""COMPUTED_VALUE"""),"hstest.account1@alpha.school")</f>
        <v>hstest.account1@alpha.school</v>
      </c>
      <c r="L755" s="6" t="str">
        <f>IFERROR(__xludf.DUMMYFUNCTION("""COMPUTED_VALUE"""),"Alpha High School")</f>
        <v>Alpha High School</v>
      </c>
      <c r="M755" s="6" t="str">
        <f>IFERROR(__xludf.DUMMYFUNCTION("""COMPUTED_VALUE"""),"Test")</f>
        <v>Test</v>
      </c>
      <c r="N755" s="6" t="str">
        <f>IFERROR(__xludf.DUMMYFUNCTION("""COMPUTED_VALUE"""),"")</f>
        <v/>
      </c>
      <c r="O755" s="87" t="str">
        <f>IFERROR(__xludf.DUMMYFUNCTION("""COMPUTED_VALUE"""),"https://drive.google.com/drive/folders/10T2cTQHqEJZqE-st6uFKPoI?usp=share_link")</f>
        <v>https://drive.google.com/drive/folders/10T2cTQHqEJZqE-st6uFKPoI?usp=share_link</v>
      </c>
      <c r="P755" s="6" t="str">
        <f>IFERROR(__xludf.DUMMYFUNCTION("""COMPUTED_VALUE"""),"HSTest Account1")</f>
        <v>HSTest Account1</v>
      </c>
      <c r="Q755" s="6" t="str">
        <f>IFERROR(__xludf.DUMMYFUNCTION("""COMPUTED_VALUE"""),"HS")</f>
        <v>HS</v>
      </c>
      <c r="R755" s="6">
        <f>IFERROR(__xludf.DUMMYFUNCTION("""COMPUTED_VALUE"""),0.0)</f>
        <v>0</v>
      </c>
      <c r="S755" s="6" t="str">
        <f>IFERROR(__xludf.DUMMYFUNCTION("""COMPUTED_VALUE""")," ")</f>
        <v> </v>
      </c>
      <c r="T755" s="6" t="str">
        <f>IFERROR(__xludf.DUMMYFUNCTION("""COMPUTED_VALUE"""),"")</f>
        <v/>
      </c>
      <c r="U755" s="6" t="str">
        <f>IFERROR(__xludf.DUMMYFUNCTION("""COMPUTED_VALUE"""),"10")</f>
        <v>10</v>
      </c>
      <c r="V755" s="6" t="str">
        <f>IFERROR(__xludf.DUMMYFUNCTION("""COMPUTED_VALUE"""),"")</f>
        <v/>
      </c>
      <c r="W755" s="6" t="str">
        <f>IFERROR(__xludf.DUMMYFUNCTION("""COMPUTED_VALUE"""),"[]")</f>
        <v>[]</v>
      </c>
      <c r="X755" s="6" t="str">
        <f>IFERROR(__xludf.DUMMYFUNCTION("""COMPUTED_VALUE"""),"Enrolled")</f>
        <v>Enrolled</v>
      </c>
    </row>
    <row r="756">
      <c r="A756" s="6" t="str">
        <f>IFERROR(__xludf.DUMMYFUNCTION("""COMPUTED_VALUE"""),"001-2434")</f>
        <v>001-2434</v>
      </c>
      <c r="B756" s="6" t="str">
        <f>IFERROR(__xludf.DUMMYFUNCTION("""COMPUTED_VALUE"""),"1")</f>
        <v>1</v>
      </c>
      <c r="C756" s="6" t="str">
        <f>IFERROR(__xludf.DUMMYFUNCTION("""COMPUTED_VALUE"""),"2434")</f>
        <v>2434</v>
      </c>
      <c r="D756" s="6" t="str">
        <f>IFERROR(__xludf.DUMMYFUNCTION("""COMPUTED_VALUE"""),"HSTest")</f>
        <v>HSTest</v>
      </c>
      <c r="E756" s="6" t="str">
        <f>IFERROR(__xludf.DUMMYFUNCTION("""COMPUTED_VALUE"""),"")</f>
        <v/>
      </c>
      <c r="F756" s="6" t="str">
        <f>IFERROR(__xludf.DUMMYFUNCTION("""COMPUTED_VALUE"""),"Account2")</f>
        <v>Account2</v>
      </c>
      <c r="G756" s="6" t="str">
        <f>IFERROR(__xludf.DUMMYFUNCTION("""COMPUTED_VALUE"""),"Invalid Date")</f>
        <v>Invalid Date</v>
      </c>
      <c r="H756" s="6" t="str">
        <f>IFERROR(__xludf.DUMMYFUNCTION("""COMPUTED_VALUE"""),"Self Identify")</f>
        <v>Self Identify</v>
      </c>
      <c r="I756" s="6" t="str">
        <f>IFERROR(__xludf.DUMMYFUNCTION("""COMPUTED_VALUE"""),"High School")</f>
        <v>High School</v>
      </c>
      <c r="J756" s="6" t="str">
        <f>IFERROR(__xludf.DUMMYFUNCTION("""COMPUTED_VALUE"""),"10")</f>
        <v>10</v>
      </c>
      <c r="K756" s="6" t="str">
        <f>IFERROR(__xludf.DUMMYFUNCTION("""COMPUTED_VALUE"""),"hstest.account2@alpha.school")</f>
        <v>hstest.account2@alpha.school</v>
      </c>
      <c r="L756" s="6" t="str">
        <f>IFERROR(__xludf.DUMMYFUNCTION("""COMPUTED_VALUE"""),"Alpha High School")</f>
        <v>Alpha High School</v>
      </c>
      <c r="M756" s="6" t="str">
        <f>IFERROR(__xludf.DUMMYFUNCTION("""COMPUTED_VALUE"""),"Test")</f>
        <v>Test</v>
      </c>
      <c r="N756" s="6" t="str">
        <f>IFERROR(__xludf.DUMMYFUNCTION("""COMPUTED_VALUE"""),"")</f>
        <v/>
      </c>
      <c r="O756" s="87" t="str">
        <f>IFERROR(__xludf.DUMMYFUNCTION("""COMPUTED_VALUE"""),"https://drive.google.com/drive/folders/10T2cTQHqEJZqE-st6uFKPoI?usp=share_link")</f>
        <v>https://drive.google.com/drive/folders/10T2cTQHqEJZqE-st6uFKPoI?usp=share_link</v>
      </c>
      <c r="P756" s="6" t="str">
        <f>IFERROR(__xludf.DUMMYFUNCTION("""COMPUTED_VALUE"""),"HSTest Account2")</f>
        <v>HSTest Account2</v>
      </c>
      <c r="Q756" s="6" t="str">
        <f>IFERROR(__xludf.DUMMYFUNCTION("""COMPUTED_VALUE"""),"HS")</f>
        <v>HS</v>
      </c>
      <c r="R756" s="6">
        <f>IFERROR(__xludf.DUMMYFUNCTION("""COMPUTED_VALUE"""),0.0)</f>
        <v>0</v>
      </c>
      <c r="S756" s="6" t="str">
        <f>IFERROR(__xludf.DUMMYFUNCTION("""COMPUTED_VALUE""")," ")</f>
        <v> </v>
      </c>
      <c r="T756" s="6" t="str">
        <f>IFERROR(__xludf.DUMMYFUNCTION("""COMPUTED_VALUE"""),"")</f>
        <v/>
      </c>
      <c r="U756" s="6" t="str">
        <f>IFERROR(__xludf.DUMMYFUNCTION("""COMPUTED_VALUE"""),"10")</f>
        <v>10</v>
      </c>
      <c r="V756" s="6" t="str">
        <f>IFERROR(__xludf.DUMMYFUNCTION("""COMPUTED_VALUE"""),"")</f>
        <v/>
      </c>
      <c r="W756" s="6" t="str">
        <f>IFERROR(__xludf.DUMMYFUNCTION("""COMPUTED_VALUE"""),"[]")</f>
        <v>[]</v>
      </c>
      <c r="X756" s="6" t="str">
        <f>IFERROR(__xludf.DUMMYFUNCTION("""COMPUTED_VALUE"""),"Enrolled")</f>
        <v>Enrolled</v>
      </c>
    </row>
    <row r="757">
      <c r="A757" s="6" t="str">
        <f>IFERROR(__xludf.DUMMYFUNCTION("""COMPUTED_VALUE"""),"001-2453")</f>
        <v>001-2453</v>
      </c>
      <c r="B757" s="6" t="str">
        <f>IFERROR(__xludf.DUMMYFUNCTION("""COMPUTED_VALUE"""),"1")</f>
        <v>1</v>
      </c>
      <c r="C757" s="6" t="str">
        <f>IFERROR(__xludf.DUMMYFUNCTION("""COMPUTED_VALUE"""),"2453")</f>
        <v>2453</v>
      </c>
      <c r="D757" s="6" t="str">
        <f>IFERROR(__xludf.DUMMYFUNCTION("""COMPUTED_VALUE"""),"Leila")</f>
        <v>Leila</v>
      </c>
      <c r="E757" s="6" t="str">
        <f>IFERROR(__xludf.DUMMYFUNCTION("""COMPUTED_VALUE"""),"Leila")</f>
        <v>Leila</v>
      </c>
      <c r="F757" s="6" t="str">
        <f>IFERROR(__xludf.DUMMYFUNCTION("""COMPUTED_VALUE"""),"Abony")</f>
        <v>Abony</v>
      </c>
      <c r="G757" s="6" t="str">
        <f>IFERROR(__xludf.DUMMYFUNCTION("""COMPUTED_VALUE"""),"04/08/2019")</f>
        <v>04/08/2019</v>
      </c>
      <c r="H757" s="6" t="str">
        <f>IFERROR(__xludf.DUMMYFUNCTION("""COMPUTED_VALUE"""),"female")</f>
        <v>female</v>
      </c>
      <c r="I757" s="6" t="str">
        <f>IFERROR(__xludf.DUMMYFUNCTION("""COMPUTED_VALUE"""),"Learning Lab")</f>
        <v>Learning Lab</v>
      </c>
      <c r="J757" s="6" t="str">
        <f>IFERROR(__xludf.DUMMYFUNCTION("""COMPUTED_VALUE"""),"1")</f>
        <v>1</v>
      </c>
      <c r="K757" s="6" t="str">
        <f>IFERROR(__xludf.DUMMYFUNCTION("""COMPUTED_VALUE"""),"leila.abony@alpha.school")</f>
        <v>leila.abony@alpha.school</v>
      </c>
      <c r="L757" s="6" t="str">
        <f>IFERROR(__xludf.DUMMYFUNCTION("""COMPUTED_VALUE"""),"Alpha School Austin")</f>
        <v>Alpha School Austin</v>
      </c>
      <c r="M757" s="6" t="str">
        <f>IFERROR(__xludf.DUMMYFUNCTION("""COMPUTED_VALUE"""),"")</f>
        <v/>
      </c>
      <c r="N757" s="6" t="str">
        <f>IFERROR(__xludf.DUMMYFUNCTION("""COMPUTED_VALUE"""),"")</f>
        <v/>
      </c>
      <c r="O757" s="87" t="str">
        <f>IFERROR(__xludf.DUMMYFUNCTION("""COMPUTED_VALUE"""),"https://drive.google.com/drive/folders/10T2cTQHqEJZqE-st6uFKPoI?usp=share_link")</f>
        <v>https://drive.google.com/drive/folders/10T2cTQHqEJZqE-st6uFKPoI?usp=share_link</v>
      </c>
      <c r="P757" s="6" t="str">
        <f>IFERROR(__xludf.DUMMYFUNCTION("""COMPUTED_VALUE"""),"Leila Abony")</f>
        <v>Leila Abony</v>
      </c>
      <c r="Q757" s="6" t="str">
        <f>IFERROR(__xludf.DUMMYFUNCTION("""COMPUTED_VALUE"""),"LL")</f>
        <v>LL</v>
      </c>
      <c r="R757" s="6">
        <f>IFERROR(__xludf.DUMMYFUNCTION("""COMPUTED_VALUE"""),0.0)</f>
        <v>0</v>
      </c>
      <c r="S757" s="6" t="str">
        <f>IFERROR(__xludf.DUMMYFUNCTION("""COMPUTED_VALUE"""),"Hannah Burkhauser")</f>
        <v>Hannah Burkhauser</v>
      </c>
      <c r="T757" s="6" t="str">
        <f>IFERROR(__xludf.DUMMYFUNCTION("""COMPUTED_VALUE"""),"hannah.burkhauser@alpha.school")</f>
        <v>hannah.burkhauser@alpha.school</v>
      </c>
      <c r="U757" s="6" t="str">
        <f>IFERROR(__xludf.DUMMYFUNCTION("""COMPUTED_VALUE"""),"1")</f>
        <v>1</v>
      </c>
      <c r="V757" s="6" t="str">
        <f>IFERROR(__xludf.DUMMYFUNCTION("""COMPUTED_VALUE"""),"")</f>
        <v/>
      </c>
      <c r="W757" s="6" t="str">
        <f>IFERROR(__xludf.DUMMYFUNCTION("""COMPUTED_VALUE"""),"[]")</f>
        <v>[]</v>
      </c>
      <c r="X757" s="6" t="str">
        <f>IFERROR(__xludf.DUMMYFUNCTION("""COMPUTED_VALUE"""),"Enrolled")</f>
        <v>Enrolled</v>
      </c>
    </row>
    <row r="758">
      <c r="A758" s="6" t="str">
        <f>IFERROR(__xludf.DUMMYFUNCTION("""COMPUTED_VALUE"""),"001-2458")</f>
        <v>001-2458</v>
      </c>
      <c r="B758" s="6" t="str">
        <f>IFERROR(__xludf.DUMMYFUNCTION("""COMPUTED_VALUE"""),"1")</f>
        <v>1</v>
      </c>
      <c r="C758" s="6" t="str">
        <f>IFERROR(__xludf.DUMMYFUNCTION("""COMPUTED_VALUE"""),"2458")</f>
        <v>2458</v>
      </c>
      <c r="D758" s="6" t="str">
        <f>IFERROR(__xludf.DUMMYFUNCTION("""COMPUTED_VALUE"""),"Jeremy")</f>
        <v>Jeremy</v>
      </c>
      <c r="E758" s="6" t="str">
        <f>IFERROR(__xludf.DUMMYFUNCTION("""COMPUTED_VALUE"""),"")</f>
        <v/>
      </c>
      <c r="F758" s="6" t="str">
        <f>IFERROR(__xludf.DUMMYFUNCTION("""COMPUTED_VALUE"""),"Wang")</f>
        <v>Wang</v>
      </c>
      <c r="G758" s="6" t="str">
        <f>IFERROR(__xludf.DUMMYFUNCTION("""COMPUTED_VALUE"""),"08/09/2009")</f>
        <v>08/09/2009</v>
      </c>
      <c r="H758" s="6" t="str">
        <f>IFERROR(__xludf.DUMMYFUNCTION("""COMPUTED_VALUE"""),"male")</f>
        <v>male</v>
      </c>
      <c r="I758" s="6" t="str">
        <f>IFERROR(__xludf.DUMMYFUNCTION("""COMPUTED_VALUE"""),"High School")</f>
        <v>High School</v>
      </c>
      <c r="J758" s="6" t="str">
        <f>IFERROR(__xludf.DUMMYFUNCTION("""COMPUTED_VALUE"""),"11")</f>
        <v>11</v>
      </c>
      <c r="K758" s="6" t="str">
        <f>IFERROR(__xludf.DUMMYFUNCTION("""COMPUTED_VALUE"""),"jeremy.wang@alpha.school")</f>
        <v>jeremy.wang@alpha.school</v>
      </c>
      <c r="L758" s="6" t="str">
        <f>IFERROR(__xludf.DUMMYFUNCTION("""COMPUTED_VALUE"""),"Alpha High School")</f>
        <v>Alpha High School</v>
      </c>
      <c r="M758" s="6" t="str">
        <f>IFERROR(__xludf.DUMMYFUNCTION("""COMPUTED_VALUE"""),"")</f>
        <v/>
      </c>
      <c r="N758" s="6" t="str">
        <f>IFERROR(__xludf.DUMMYFUNCTION("""COMPUTED_VALUE"""),"")</f>
        <v/>
      </c>
      <c r="O758" s="87" t="str">
        <f>IFERROR(__xludf.DUMMYFUNCTION("""COMPUTED_VALUE"""),"https://drive.google.com/drive/folders/10T2cTQHqEJZqE-st6uFKPoI?usp=share_link")</f>
        <v>https://drive.google.com/drive/folders/10T2cTQHqEJZqE-st6uFKPoI?usp=share_link</v>
      </c>
      <c r="P758" s="6" t="str">
        <f>IFERROR(__xludf.DUMMYFUNCTION("""COMPUTED_VALUE"""),"Jeremy Wang")</f>
        <v>Jeremy Wang</v>
      </c>
      <c r="Q758" s="6" t="str">
        <f>IFERROR(__xludf.DUMMYFUNCTION("""COMPUTED_VALUE"""),"HS")</f>
        <v>HS</v>
      </c>
      <c r="R758" s="6">
        <f>IFERROR(__xludf.DUMMYFUNCTION("""COMPUTED_VALUE"""),0.0)</f>
        <v>0</v>
      </c>
      <c r="S758" s="6" t="str">
        <f>IFERROR(__xludf.DUMMYFUNCTION("""COMPUTED_VALUE"""),"Emily Findley")</f>
        <v>Emily Findley</v>
      </c>
      <c r="T758" s="6" t="str">
        <f>IFERROR(__xludf.DUMMYFUNCTION("""COMPUTED_VALUE"""),"emily.findley@alpha.school")</f>
        <v>emily.findley@alpha.school</v>
      </c>
      <c r="U758" s="6" t="str">
        <f>IFERROR(__xludf.DUMMYFUNCTION("""COMPUTED_VALUE"""),"11")</f>
        <v>11</v>
      </c>
      <c r="V758" s="6" t="str">
        <f>IFERROR(__xludf.DUMMYFUNCTION("""COMPUTED_VALUE"""),"")</f>
        <v/>
      </c>
      <c r="W758" s="6" t="str">
        <f>IFERROR(__xludf.DUMMYFUNCTION("""COMPUTED_VALUE"""),"[]")</f>
        <v>[]</v>
      </c>
      <c r="X758" s="6" t="str">
        <f>IFERROR(__xludf.DUMMYFUNCTION("""COMPUTED_VALUE"""),"Enrolled")</f>
        <v>Enrolled</v>
      </c>
    </row>
    <row r="759">
      <c r="A759" s="6" t="str">
        <f>IFERROR(__xludf.DUMMYFUNCTION("""COMPUTED_VALUE"""),"001-2478")</f>
        <v>001-2478</v>
      </c>
      <c r="B759" s="6" t="str">
        <f>IFERROR(__xludf.DUMMYFUNCTION("""COMPUTED_VALUE"""),"1")</f>
        <v>1</v>
      </c>
      <c r="C759" s="6" t="str">
        <f>IFERROR(__xludf.DUMMYFUNCTION("""COMPUTED_VALUE"""),"2478")</f>
        <v>2478</v>
      </c>
      <c r="D759" s="6" t="str">
        <f>IFERROR(__xludf.DUMMYFUNCTION("""COMPUTED_VALUE"""),"Vera")</f>
        <v>Vera</v>
      </c>
      <c r="E759" s="6" t="str">
        <f>IFERROR(__xludf.DUMMYFUNCTION("""COMPUTED_VALUE"""),"")</f>
        <v/>
      </c>
      <c r="F759" s="6" t="str">
        <f>IFERROR(__xludf.DUMMYFUNCTION("""COMPUTED_VALUE"""),"Li")</f>
        <v>Li</v>
      </c>
      <c r="G759" s="6" t="str">
        <f>IFERROR(__xludf.DUMMYFUNCTION("""COMPUTED_VALUE"""),"03/06/2011")</f>
        <v>03/06/2011</v>
      </c>
      <c r="H759" s="6" t="str">
        <f>IFERROR(__xludf.DUMMYFUNCTION("""COMPUTED_VALUE"""),"female")</f>
        <v>female</v>
      </c>
      <c r="I759" s="6" t="str">
        <f>IFERROR(__xludf.DUMMYFUNCTION("""COMPUTED_VALUE"""),"High School")</f>
        <v>High School</v>
      </c>
      <c r="J759" s="6" t="str">
        <f>IFERROR(__xludf.DUMMYFUNCTION("""COMPUTED_VALUE"""),"9")</f>
        <v>9</v>
      </c>
      <c r="K759" s="6" t="str">
        <f>IFERROR(__xludf.DUMMYFUNCTION("""COMPUTED_VALUE"""),"vera.li@alpha.school")</f>
        <v>vera.li@alpha.school</v>
      </c>
      <c r="L759" s="6" t="str">
        <f>IFERROR(__xludf.DUMMYFUNCTION("""COMPUTED_VALUE"""),"Alpha High School")</f>
        <v>Alpha High School</v>
      </c>
      <c r="M759" s="6" t="str">
        <f>IFERROR(__xludf.DUMMYFUNCTION("""COMPUTED_VALUE"""),"")</f>
        <v/>
      </c>
      <c r="N759" s="6" t="str">
        <f>IFERROR(__xludf.DUMMYFUNCTION("""COMPUTED_VALUE"""),"")</f>
        <v/>
      </c>
      <c r="O759" s="87" t="str">
        <f>IFERROR(__xludf.DUMMYFUNCTION("""COMPUTED_VALUE"""),"https://drive.google.com/drive/folders/10T2cTQHqEJZqE-st6uFKPoI?usp=share_link")</f>
        <v>https://drive.google.com/drive/folders/10T2cTQHqEJZqE-st6uFKPoI?usp=share_link</v>
      </c>
      <c r="P759" s="6" t="str">
        <f>IFERROR(__xludf.DUMMYFUNCTION("""COMPUTED_VALUE"""),"Vera Li")</f>
        <v>Vera Li</v>
      </c>
      <c r="Q759" s="6" t="str">
        <f>IFERROR(__xludf.DUMMYFUNCTION("""COMPUTED_VALUE"""),"HS")</f>
        <v>HS</v>
      </c>
      <c r="R759" s="6">
        <f>IFERROR(__xludf.DUMMYFUNCTION("""COMPUTED_VALUE"""),0.0)</f>
        <v>0</v>
      </c>
      <c r="S759" s="6" t="str">
        <f>IFERROR(__xludf.DUMMYFUNCTION("""COMPUTED_VALUE"""),"Jebin Justin")</f>
        <v>Jebin Justin</v>
      </c>
      <c r="T759" s="6" t="str">
        <f>IFERROR(__xludf.DUMMYFUNCTION("""COMPUTED_VALUE"""),"jebin.justin@alpha.school")</f>
        <v>jebin.justin@alpha.school</v>
      </c>
      <c r="U759" s="6" t="str">
        <f>IFERROR(__xludf.DUMMYFUNCTION("""COMPUTED_VALUE"""),"9")</f>
        <v>9</v>
      </c>
      <c r="V759" s="6" t="str">
        <f>IFERROR(__xludf.DUMMYFUNCTION("""COMPUTED_VALUE"""),"")</f>
        <v/>
      </c>
      <c r="W759" s="6" t="str">
        <f>IFERROR(__xludf.DUMMYFUNCTION("""COMPUTED_VALUE"""),"[]")</f>
        <v>[]</v>
      </c>
      <c r="X759" s="6" t="str">
        <f>IFERROR(__xludf.DUMMYFUNCTION("""COMPUTED_VALUE"""),"Enrolled")</f>
        <v>Enrolled</v>
      </c>
    </row>
    <row r="760">
      <c r="A760" s="6" t="str">
        <f>IFERROR(__xludf.DUMMYFUNCTION("""COMPUTED_VALUE"""),"001-2505")</f>
        <v>001-2505</v>
      </c>
      <c r="B760" s="6" t="str">
        <f>IFERROR(__xludf.DUMMYFUNCTION("""COMPUTED_VALUE"""),"1")</f>
        <v>1</v>
      </c>
      <c r="C760" s="6" t="str">
        <f>IFERROR(__xludf.DUMMYFUNCTION("""COMPUTED_VALUE"""),"2505")</f>
        <v>2505</v>
      </c>
      <c r="D760" s="6" t="str">
        <f>IFERROR(__xludf.DUMMYFUNCTION("""COMPUTED_VALUE"""),"Nathaniel")</f>
        <v>Nathaniel</v>
      </c>
      <c r="E760" s="6" t="str">
        <f>IFERROR(__xludf.DUMMYFUNCTION("""COMPUTED_VALUE"""),"Nathan")</f>
        <v>Nathan</v>
      </c>
      <c r="F760" s="6" t="str">
        <f>IFERROR(__xludf.DUMMYFUNCTION("""COMPUTED_VALUE"""),"Scharf")</f>
        <v>Scharf</v>
      </c>
      <c r="G760" s="6" t="str">
        <f>IFERROR(__xludf.DUMMYFUNCTION("""COMPUTED_VALUE"""),"10/30/2013")</f>
        <v>10/30/2013</v>
      </c>
      <c r="H760" s="6" t="str">
        <f>IFERROR(__xludf.DUMMYFUNCTION("""COMPUTED_VALUE"""),"male")</f>
        <v>male</v>
      </c>
      <c r="I760" s="6" t="str">
        <f>IFERROR(__xludf.DUMMYFUNCTION("""COMPUTED_VALUE"""),"Middle School")</f>
        <v>Middle School</v>
      </c>
      <c r="J760" s="6" t="str">
        <f>IFERROR(__xludf.DUMMYFUNCTION("""COMPUTED_VALUE"""),"6")</f>
        <v>6</v>
      </c>
      <c r="K760" s="6" t="str">
        <f>IFERROR(__xludf.DUMMYFUNCTION("""COMPUTED_VALUE"""),"nathaniel.scharf@alpha.school")</f>
        <v>nathaniel.scharf@alpha.school</v>
      </c>
      <c r="L760" s="6" t="str">
        <f>IFERROR(__xludf.DUMMYFUNCTION("""COMPUTED_VALUE"""),"Alpha School Austin")</f>
        <v>Alpha School Austin</v>
      </c>
      <c r="M760" s="6" t="str">
        <f>IFERROR(__xludf.DUMMYFUNCTION("""COMPUTED_VALUE"""),"")</f>
        <v/>
      </c>
      <c r="N760" s="6" t="str">
        <f>IFERROR(__xludf.DUMMYFUNCTION("""COMPUTED_VALUE"""),"")</f>
        <v/>
      </c>
      <c r="O760" s="87" t="str">
        <f>IFERROR(__xludf.DUMMYFUNCTION("""COMPUTED_VALUE"""),"https://drive.google.com/drive/folders/10T2cTQHqEJZqE-st6uFKPoI?usp=share_link")</f>
        <v>https://drive.google.com/drive/folders/10T2cTQHqEJZqE-st6uFKPoI?usp=share_link</v>
      </c>
      <c r="P760" s="6" t="str">
        <f>IFERROR(__xludf.DUMMYFUNCTION("""COMPUTED_VALUE"""),"Nathan Scharf")</f>
        <v>Nathan Scharf</v>
      </c>
      <c r="Q760" s="6" t="str">
        <f>IFERROR(__xludf.DUMMYFUNCTION("""COMPUTED_VALUE"""),"MS")</f>
        <v>MS</v>
      </c>
      <c r="R760" s="6">
        <f>IFERROR(__xludf.DUMMYFUNCTION("""COMPUTED_VALUE"""),0.0)</f>
        <v>0</v>
      </c>
      <c r="S760" s="6" t="str">
        <f>IFERROR(__xludf.DUMMYFUNCTION("""COMPUTED_VALUE"""),"Noah Lightfoot")</f>
        <v>Noah Lightfoot</v>
      </c>
      <c r="T760" s="6" t="str">
        <f>IFERROR(__xludf.DUMMYFUNCTION("""COMPUTED_VALUE"""),"noah.lightfoot@alpha.school")</f>
        <v>noah.lightfoot@alpha.school</v>
      </c>
      <c r="U760" s="6" t="str">
        <f>IFERROR(__xludf.DUMMYFUNCTION("""COMPUTED_VALUE"""),"6")</f>
        <v>6</v>
      </c>
      <c r="V760" s="6" t="str">
        <f>IFERROR(__xludf.DUMMYFUNCTION("""COMPUTED_VALUE"""),"English")</f>
        <v>English</v>
      </c>
      <c r="W760" s="6" t="str">
        <f>IFERROR(__xludf.DUMMYFUNCTION("""COMPUTED_VALUE"""),"[]")</f>
        <v>[]</v>
      </c>
      <c r="X760" s="6" t="str">
        <f>IFERROR(__xludf.DUMMYFUNCTION("""COMPUTED_VALUE"""),"Enrolled")</f>
        <v>Enrolled</v>
      </c>
    </row>
    <row r="761">
      <c r="A761" s="6" t="str">
        <f>IFERROR(__xludf.DUMMYFUNCTION("""COMPUTED_VALUE"""),"001-2515")</f>
        <v>001-2515</v>
      </c>
      <c r="B761" s="6" t="str">
        <f>IFERROR(__xludf.DUMMYFUNCTION("""COMPUTED_VALUE"""),"1")</f>
        <v>1</v>
      </c>
      <c r="C761" s="6" t="str">
        <f>IFERROR(__xludf.DUMMYFUNCTION("""COMPUTED_VALUE"""),"2515")</f>
        <v>2515</v>
      </c>
      <c r="D761" s="6" t="str">
        <f>IFERROR(__xludf.DUMMYFUNCTION("""COMPUTED_VALUE"""),"Austin")</f>
        <v>Austin</v>
      </c>
      <c r="E761" s="6" t="str">
        <f>IFERROR(__xludf.DUMMYFUNCTION("""COMPUTED_VALUE"""),"")</f>
        <v/>
      </c>
      <c r="F761" s="6" t="str">
        <f>IFERROR(__xludf.DUMMYFUNCTION("""COMPUTED_VALUE"""),"Lin")</f>
        <v>Lin</v>
      </c>
      <c r="G761" s="6" t="str">
        <f>IFERROR(__xludf.DUMMYFUNCTION("""COMPUTED_VALUE"""),"12/29/2010")</f>
        <v>12/29/2010</v>
      </c>
      <c r="H761" s="6" t="str">
        <f>IFERROR(__xludf.DUMMYFUNCTION("""COMPUTED_VALUE"""),"female")</f>
        <v>female</v>
      </c>
      <c r="I761" s="6" t="str">
        <f>IFERROR(__xludf.DUMMYFUNCTION("""COMPUTED_VALUE"""),"High School")</f>
        <v>High School</v>
      </c>
      <c r="J761" s="6" t="str">
        <f>IFERROR(__xludf.DUMMYFUNCTION("""COMPUTED_VALUE"""),"9")</f>
        <v>9</v>
      </c>
      <c r="K761" s="6" t="str">
        <f>IFERROR(__xludf.DUMMYFUNCTION("""COMPUTED_VALUE"""),"austin.lin@alpha.school")</f>
        <v>austin.lin@alpha.school</v>
      </c>
      <c r="L761" s="6" t="str">
        <f>IFERROR(__xludf.DUMMYFUNCTION("""COMPUTED_VALUE"""),"Alpha High School")</f>
        <v>Alpha High School</v>
      </c>
      <c r="M761" s="6" t="str">
        <f>IFERROR(__xludf.DUMMYFUNCTION("""COMPUTED_VALUE"""),"")</f>
        <v/>
      </c>
      <c r="N761" s="6" t="str">
        <f>IFERROR(__xludf.DUMMYFUNCTION("""COMPUTED_VALUE"""),"")</f>
        <v/>
      </c>
      <c r="O761" s="87" t="str">
        <f>IFERROR(__xludf.DUMMYFUNCTION("""COMPUTED_VALUE"""),"https://drive.google.com/drive/folders/10T2cTQHqEJZqE-st6uFKPoI?usp=share_link")</f>
        <v>https://drive.google.com/drive/folders/10T2cTQHqEJZqE-st6uFKPoI?usp=share_link</v>
      </c>
      <c r="P761" s="6" t="str">
        <f>IFERROR(__xludf.DUMMYFUNCTION("""COMPUTED_VALUE"""),"Austin Lin")</f>
        <v>Austin Lin</v>
      </c>
      <c r="Q761" s="6" t="str">
        <f>IFERROR(__xludf.DUMMYFUNCTION("""COMPUTED_VALUE"""),"HS")</f>
        <v>HS</v>
      </c>
      <c r="R761" s="6">
        <f>IFERROR(__xludf.DUMMYFUNCTION("""COMPUTED_VALUE"""),0.0)</f>
        <v>0</v>
      </c>
      <c r="S761" s="6" t="str">
        <f>IFERROR(__xludf.DUMMYFUNCTION("""COMPUTED_VALUE"""),"Jebin Justin")</f>
        <v>Jebin Justin</v>
      </c>
      <c r="T761" s="6" t="str">
        <f>IFERROR(__xludf.DUMMYFUNCTION("""COMPUTED_VALUE"""),"jebin.justin@alpha.school")</f>
        <v>jebin.justin@alpha.school</v>
      </c>
      <c r="U761" s="6" t="str">
        <f>IFERROR(__xludf.DUMMYFUNCTION("""COMPUTED_VALUE"""),"9")</f>
        <v>9</v>
      </c>
      <c r="V761" s="6" t="str">
        <f>IFERROR(__xludf.DUMMYFUNCTION("""COMPUTED_VALUE"""),"")</f>
        <v/>
      </c>
      <c r="W761" s="6" t="str">
        <f>IFERROR(__xludf.DUMMYFUNCTION("""COMPUTED_VALUE"""),"[]")</f>
        <v>[]</v>
      </c>
      <c r="X761" s="6" t="str">
        <f>IFERROR(__xludf.DUMMYFUNCTION("""COMPUTED_VALUE"""),"Enrolled")</f>
        <v>Enrolled</v>
      </c>
    </row>
    <row r="762">
      <c r="A762" s="6" t="str">
        <f>IFERROR(__xludf.DUMMYFUNCTION("""COMPUTED_VALUE"""),"001-2539")</f>
        <v>001-2539</v>
      </c>
      <c r="B762" s="6" t="str">
        <f>IFERROR(__xludf.DUMMYFUNCTION("""COMPUTED_VALUE"""),"1")</f>
        <v>1</v>
      </c>
      <c r="C762" s="6" t="str">
        <f>IFERROR(__xludf.DUMMYFUNCTION("""COMPUTED_VALUE"""),"2539")</f>
        <v>2539</v>
      </c>
      <c r="D762" s="6" t="str">
        <f>IFERROR(__xludf.DUMMYFUNCTION("""COMPUTED_VALUE"""),"Aoife")</f>
        <v>Aoife</v>
      </c>
      <c r="E762" s="6" t="str">
        <f>IFERROR(__xludf.DUMMYFUNCTION("""COMPUTED_VALUE"""),"")</f>
        <v/>
      </c>
      <c r="F762" s="6" t="str">
        <f>IFERROR(__xludf.DUMMYFUNCTION("""COMPUTED_VALUE"""),"Huey")</f>
        <v>Huey</v>
      </c>
      <c r="G762" s="6" t="str">
        <f>IFERROR(__xludf.DUMMYFUNCTION("""COMPUTED_VALUE"""),"02/02/2010")</f>
        <v>02/02/2010</v>
      </c>
      <c r="H762" s="6" t="str">
        <f>IFERROR(__xludf.DUMMYFUNCTION("""COMPUTED_VALUE"""),"female")</f>
        <v>female</v>
      </c>
      <c r="I762" s="6" t="str">
        <f>IFERROR(__xludf.DUMMYFUNCTION("""COMPUTED_VALUE"""),"High School")</f>
        <v>High School</v>
      </c>
      <c r="J762" s="6" t="str">
        <f>IFERROR(__xludf.DUMMYFUNCTION("""COMPUTED_VALUE"""),"10")</f>
        <v>10</v>
      </c>
      <c r="K762" s="6" t="str">
        <f>IFERROR(__xludf.DUMMYFUNCTION("""COMPUTED_VALUE"""),"aoife.huey@alpha.school")</f>
        <v>aoife.huey@alpha.school</v>
      </c>
      <c r="L762" s="6" t="str">
        <f>IFERROR(__xludf.DUMMYFUNCTION("""COMPUTED_VALUE"""),"Alpha High School")</f>
        <v>Alpha High School</v>
      </c>
      <c r="M762" s="6" t="str">
        <f>IFERROR(__xludf.DUMMYFUNCTION("""COMPUTED_VALUE"""),"")</f>
        <v/>
      </c>
      <c r="N762" s="6" t="str">
        <f>IFERROR(__xludf.DUMMYFUNCTION("""COMPUTED_VALUE"""),"")</f>
        <v/>
      </c>
      <c r="O762" s="87" t="str">
        <f>IFERROR(__xludf.DUMMYFUNCTION("""COMPUTED_VALUE"""),"https://drive.google.com/drive/folders/10T2cTQHqEJZqE-st6uFKPoI?usp=share_link")</f>
        <v>https://drive.google.com/drive/folders/10T2cTQHqEJZqE-st6uFKPoI?usp=share_link</v>
      </c>
      <c r="P762" s="6" t="str">
        <f>IFERROR(__xludf.DUMMYFUNCTION("""COMPUTED_VALUE"""),"Aoife Huey")</f>
        <v>Aoife Huey</v>
      </c>
      <c r="Q762" s="6" t="str">
        <f>IFERROR(__xludf.DUMMYFUNCTION("""COMPUTED_VALUE"""),"HS")</f>
        <v>HS</v>
      </c>
      <c r="R762" s="6">
        <f>IFERROR(__xludf.DUMMYFUNCTION("""COMPUTED_VALUE"""),0.0)</f>
        <v>0</v>
      </c>
      <c r="S762" s="6" t="str">
        <f>IFERROR(__xludf.DUMMYFUNCTION("""COMPUTED_VALUE"""),"Effy Phillips")</f>
        <v>Effy Phillips</v>
      </c>
      <c r="T762" s="6" t="str">
        <f>IFERROR(__xludf.DUMMYFUNCTION("""COMPUTED_VALUE"""),"effy.phillips@alpha.school")</f>
        <v>effy.phillips@alpha.school</v>
      </c>
      <c r="U762" s="6" t="str">
        <f>IFERROR(__xludf.DUMMYFUNCTION("""COMPUTED_VALUE"""),"10")</f>
        <v>10</v>
      </c>
      <c r="V762" s="6" t="str">
        <f>IFERROR(__xludf.DUMMYFUNCTION("""COMPUTED_VALUE"""),"")</f>
        <v/>
      </c>
      <c r="W762" s="6" t="str">
        <f>IFERROR(__xludf.DUMMYFUNCTION("""COMPUTED_VALUE"""),"[]")</f>
        <v>[]</v>
      </c>
      <c r="X762" s="6" t="str">
        <f>IFERROR(__xludf.DUMMYFUNCTION("""COMPUTED_VALUE"""),"Enrolled")</f>
        <v>Enrolled</v>
      </c>
    </row>
    <row r="763">
      <c r="A763" s="6" t="str">
        <f>IFERROR(__xludf.DUMMYFUNCTION("""COMPUTED_VALUE"""),"001-2546")</f>
        <v>001-2546</v>
      </c>
      <c r="B763" s="6" t="str">
        <f>IFERROR(__xludf.DUMMYFUNCTION("""COMPUTED_VALUE"""),"1")</f>
        <v>1</v>
      </c>
      <c r="C763" s="6" t="str">
        <f>IFERROR(__xludf.DUMMYFUNCTION("""COMPUTED_VALUE"""),"2546")</f>
        <v>2546</v>
      </c>
      <c r="D763" s="6" t="str">
        <f>IFERROR(__xludf.DUMMYFUNCTION("""COMPUTED_VALUE"""),"Evan")</f>
        <v>Evan</v>
      </c>
      <c r="E763" s="6" t="str">
        <f>IFERROR(__xludf.DUMMYFUNCTION("""COMPUTED_VALUE"""),"Evan")</f>
        <v>Evan</v>
      </c>
      <c r="F763" s="6" t="str">
        <f>IFERROR(__xludf.DUMMYFUNCTION("""COMPUTED_VALUE"""),"Klein")</f>
        <v>Klein</v>
      </c>
      <c r="G763" s="6" t="str">
        <f>IFERROR(__xludf.DUMMYFUNCTION("""COMPUTED_VALUE"""),"07/15/2011")</f>
        <v>07/15/2011</v>
      </c>
      <c r="H763" s="6" t="str">
        <f>IFERROR(__xludf.DUMMYFUNCTION("""COMPUTED_VALUE"""),"male")</f>
        <v>male</v>
      </c>
      <c r="I763" s="6" t="str">
        <f>IFERROR(__xludf.DUMMYFUNCTION("""COMPUTED_VALUE"""),"High School")</f>
        <v>High School</v>
      </c>
      <c r="J763" s="6" t="str">
        <f>IFERROR(__xludf.DUMMYFUNCTION("""COMPUTED_VALUE"""),"9")</f>
        <v>9</v>
      </c>
      <c r="K763" s="6" t="str">
        <f>IFERROR(__xludf.DUMMYFUNCTION("""COMPUTED_VALUE"""),"evan.klein@alpha.school")</f>
        <v>evan.klein@alpha.school</v>
      </c>
      <c r="L763" s="6" t="str">
        <f>IFERROR(__xludf.DUMMYFUNCTION("""COMPUTED_VALUE"""),"Alpha High School")</f>
        <v>Alpha High School</v>
      </c>
      <c r="M763" s="6" t="str">
        <f>IFERROR(__xludf.DUMMYFUNCTION("""COMPUTED_VALUE"""),"")</f>
        <v/>
      </c>
      <c r="N763" s="6" t="str">
        <f>IFERROR(__xludf.DUMMYFUNCTION("""COMPUTED_VALUE"""),"")</f>
        <v/>
      </c>
      <c r="O763" s="87" t="str">
        <f>IFERROR(__xludf.DUMMYFUNCTION("""COMPUTED_VALUE"""),"https://drive.google.com/drive/folders/10T2cTQHqEJZqE-st6uFKPoI?usp=share_link")</f>
        <v>https://drive.google.com/drive/folders/10T2cTQHqEJZqE-st6uFKPoI?usp=share_link</v>
      </c>
      <c r="P763" s="6" t="str">
        <f>IFERROR(__xludf.DUMMYFUNCTION("""COMPUTED_VALUE"""),"Evan Klein")</f>
        <v>Evan Klein</v>
      </c>
      <c r="Q763" s="6" t="str">
        <f>IFERROR(__xludf.DUMMYFUNCTION("""COMPUTED_VALUE"""),"HS")</f>
        <v>HS</v>
      </c>
      <c r="R763" s="6">
        <f>IFERROR(__xludf.DUMMYFUNCTION("""COMPUTED_VALUE"""),0.0)</f>
        <v>0</v>
      </c>
      <c r="S763" s="6" t="str">
        <f>IFERROR(__xludf.DUMMYFUNCTION("""COMPUTED_VALUE"""),"Jebin Justin")</f>
        <v>Jebin Justin</v>
      </c>
      <c r="T763" s="6" t="str">
        <f>IFERROR(__xludf.DUMMYFUNCTION("""COMPUTED_VALUE"""),"jebin.justin@alpha.school")</f>
        <v>jebin.justin@alpha.school</v>
      </c>
      <c r="U763" s="6" t="str">
        <f>IFERROR(__xludf.DUMMYFUNCTION("""COMPUTED_VALUE"""),"9")</f>
        <v>9</v>
      </c>
      <c r="V763" s="6" t="str">
        <f>IFERROR(__xludf.DUMMYFUNCTION("""COMPUTED_VALUE"""),"")</f>
        <v/>
      </c>
      <c r="W763" s="6" t="str">
        <f>IFERROR(__xludf.DUMMYFUNCTION("""COMPUTED_VALUE"""),"[]")</f>
        <v>[]</v>
      </c>
      <c r="X763" s="6" t="str">
        <f>IFERROR(__xludf.DUMMYFUNCTION("""COMPUTED_VALUE"""),"Enrolled")</f>
        <v>Enrolled</v>
      </c>
    </row>
    <row r="764">
      <c r="A764" s="6" t="str">
        <f>IFERROR(__xludf.DUMMYFUNCTION("""COMPUTED_VALUE"""),"001-2550")</f>
        <v>001-2550</v>
      </c>
      <c r="B764" s="6" t="str">
        <f>IFERROR(__xludf.DUMMYFUNCTION("""COMPUTED_VALUE"""),"1")</f>
        <v>1</v>
      </c>
      <c r="C764" s="6" t="str">
        <f>IFERROR(__xludf.DUMMYFUNCTION("""COMPUTED_VALUE"""),"2550")</f>
        <v>2550</v>
      </c>
      <c r="D764" s="6" t="str">
        <f>IFERROR(__xludf.DUMMYFUNCTION("""COMPUTED_VALUE"""),"Katherine")</f>
        <v>Katherine</v>
      </c>
      <c r="E764" s="6" t="str">
        <f>IFERROR(__xludf.DUMMYFUNCTION("""COMPUTED_VALUE"""),"")</f>
        <v/>
      </c>
      <c r="F764" s="6" t="str">
        <f>IFERROR(__xludf.DUMMYFUNCTION("""COMPUTED_VALUE"""),"Du")</f>
        <v>Du</v>
      </c>
      <c r="G764" s="6" t="str">
        <f>IFERROR(__xludf.DUMMYFUNCTION("""COMPUTED_VALUE"""),"03/15/2016")</f>
        <v>03/15/2016</v>
      </c>
      <c r="H764" s="6" t="str">
        <f>IFERROR(__xludf.DUMMYFUNCTION("""COMPUTED_VALUE"""),"female")</f>
        <v>female</v>
      </c>
      <c r="I764" s="6" t="str">
        <f>IFERROR(__xludf.DUMMYFUNCTION("""COMPUTED_VALUE"""),"Level 2")</f>
        <v>Level 2</v>
      </c>
      <c r="J764" s="6" t="str">
        <f>IFERROR(__xludf.DUMMYFUNCTION("""COMPUTED_VALUE"""),"4")</f>
        <v>4</v>
      </c>
      <c r="K764" s="6" t="str">
        <f>IFERROR(__xludf.DUMMYFUNCTION("""COMPUTED_VALUE"""),"katherine.du@alpha.school")</f>
        <v>katherine.du@alpha.school</v>
      </c>
      <c r="L764" s="6" t="str">
        <f>IFERROR(__xludf.DUMMYFUNCTION("""COMPUTED_VALUE"""),"Alpha School Austin")</f>
        <v>Alpha School Austin</v>
      </c>
      <c r="M764" s="6" t="str">
        <f>IFERROR(__xludf.DUMMYFUNCTION("""COMPUTED_VALUE"""),"")</f>
        <v/>
      </c>
      <c r="N764" s="6" t="str">
        <f>IFERROR(__xludf.DUMMYFUNCTION("""COMPUTED_VALUE"""),"")</f>
        <v/>
      </c>
      <c r="O764" s="87" t="str">
        <f>IFERROR(__xludf.DUMMYFUNCTION("""COMPUTED_VALUE"""),"https://drive.google.com/drive/folders/10T2cTQHqEJZqE-st6uFKPoI?usp=share_link")</f>
        <v>https://drive.google.com/drive/folders/10T2cTQHqEJZqE-st6uFKPoI?usp=share_link</v>
      </c>
      <c r="P764" s="6" t="str">
        <f>IFERROR(__xludf.DUMMYFUNCTION("""COMPUTED_VALUE"""),"Katherine Du")</f>
        <v>Katherine Du</v>
      </c>
      <c r="Q764" s="6" t="str">
        <f>IFERROR(__xludf.DUMMYFUNCTION("""COMPUTED_VALUE"""),"L2")</f>
        <v>L2</v>
      </c>
      <c r="R764" s="6">
        <f>IFERROR(__xludf.DUMMYFUNCTION("""COMPUTED_VALUE"""),2.0)</f>
        <v>2</v>
      </c>
      <c r="S764" s="6" t="str">
        <f>IFERROR(__xludf.DUMMYFUNCTION("""COMPUTED_VALUE"""),"Kris Ponder")</f>
        <v>Kris Ponder</v>
      </c>
      <c r="T764" s="6" t="str">
        <f>IFERROR(__xludf.DUMMYFUNCTION("""COMPUTED_VALUE"""),"kris.ponder@alpha.school")</f>
        <v>kris.ponder@alpha.school</v>
      </c>
      <c r="U764" s="6" t="str">
        <f>IFERROR(__xludf.DUMMYFUNCTION("""COMPUTED_VALUE"""),"4")</f>
        <v>4</v>
      </c>
      <c r="V764" s="6" t="str">
        <f>IFERROR(__xludf.DUMMYFUNCTION("""COMPUTED_VALUE"""),"")</f>
        <v/>
      </c>
      <c r="W764" s="6" t="str">
        <f>IFERROR(__xludf.DUMMYFUNCTION("""COMPUTED_VALUE"""),"[]")</f>
        <v>[]</v>
      </c>
      <c r="X764" s="6" t="str">
        <f>IFERROR(__xludf.DUMMYFUNCTION("""COMPUTED_VALUE"""),"Enrolled")</f>
        <v>Enrolled</v>
      </c>
    </row>
    <row r="765">
      <c r="A765" s="6" t="str">
        <f>IFERROR(__xludf.DUMMYFUNCTION("""COMPUTED_VALUE"""),"001-2600")</f>
        <v>001-2600</v>
      </c>
      <c r="B765" s="6" t="str">
        <f>IFERROR(__xludf.DUMMYFUNCTION("""COMPUTED_VALUE"""),"1")</f>
        <v>1</v>
      </c>
      <c r="C765" s="6" t="str">
        <f>IFERROR(__xludf.DUMMYFUNCTION("""COMPUTED_VALUE"""),"2600")</f>
        <v>2600</v>
      </c>
      <c r="D765" s="6" t="str">
        <f>IFERROR(__xludf.DUMMYFUNCTION("""COMPUTED_VALUE"""),"Saachi")</f>
        <v>Saachi</v>
      </c>
      <c r="E765" s="6" t="str">
        <f>IFERROR(__xludf.DUMMYFUNCTION("""COMPUTED_VALUE"""),"")</f>
        <v/>
      </c>
      <c r="F765" s="6" t="str">
        <f>IFERROR(__xludf.DUMMYFUNCTION("""COMPUTED_VALUE"""),"Sharma")</f>
        <v>Sharma</v>
      </c>
      <c r="G765" s="6" t="str">
        <f>IFERROR(__xludf.DUMMYFUNCTION("""COMPUTED_VALUE"""),"05/30/2018")</f>
        <v>05/30/2018</v>
      </c>
      <c r="H765" s="6" t="str">
        <f>IFERROR(__xludf.DUMMYFUNCTION("""COMPUTED_VALUE"""),"female")</f>
        <v>female</v>
      </c>
      <c r="I765" s="6" t="str">
        <f>IFERROR(__xludf.DUMMYFUNCTION("""COMPUTED_VALUE"""),"Level 1")</f>
        <v>Level 1</v>
      </c>
      <c r="J765" s="6" t="str">
        <f>IFERROR(__xludf.DUMMYFUNCTION("""COMPUTED_VALUE"""),"2")</f>
        <v>2</v>
      </c>
      <c r="K765" s="6" t="str">
        <f>IFERROR(__xludf.DUMMYFUNCTION("""COMPUTED_VALUE"""),"saachi.sharma@alpha.school")</f>
        <v>saachi.sharma@alpha.school</v>
      </c>
      <c r="L765" s="6" t="str">
        <f>IFERROR(__xludf.DUMMYFUNCTION("""COMPUTED_VALUE"""),"Alpha School Austin")</f>
        <v>Alpha School Austin</v>
      </c>
      <c r="M765" s="6" t="str">
        <f>IFERROR(__xludf.DUMMYFUNCTION("""COMPUTED_VALUE"""),"")</f>
        <v/>
      </c>
      <c r="N765" s="6" t="str">
        <f>IFERROR(__xludf.DUMMYFUNCTION("""COMPUTED_VALUE"""),"")</f>
        <v/>
      </c>
      <c r="O765" s="87" t="str">
        <f>IFERROR(__xludf.DUMMYFUNCTION("""COMPUTED_VALUE"""),"https://drive.google.com/drive/folders/10T2cTQHqEJZqE-st6uFKPoI?usp=share_link")</f>
        <v>https://drive.google.com/drive/folders/10T2cTQHqEJZqE-st6uFKPoI?usp=share_link</v>
      </c>
      <c r="P765" s="6" t="str">
        <f>IFERROR(__xludf.DUMMYFUNCTION("""COMPUTED_VALUE"""),"Saachi Sharma")</f>
        <v>Saachi Sharma</v>
      </c>
      <c r="Q765" s="6" t="str">
        <f>IFERROR(__xludf.DUMMYFUNCTION("""COMPUTED_VALUE"""),"L1")</f>
        <v>L1</v>
      </c>
      <c r="R765" s="6">
        <f>IFERROR(__xludf.DUMMYFUNCTION("""COMPUTED_VALUE"""),1.0)</f>
        <v>1</v>
      </c>
      <c r="S765" s="6" t="str">
        <f>IFERROR(__xludf.DUMMYFUNCTION("""COMPUTED_VALUE"""),"Zoe Zimmerman")</f>
        <v>Zoe Zimmerman</v>
      </c>
      <c r="T765" s="6" t="str">
        <f>IFERROR(__xludf.DUMMYFUNCTION("""COMPUTED_VALUE"""),"zoe.zimmerman@alpha.school")</f>
        <v>zoe.zimmerman@alpha.school</v>
      </c>
      <c r="U765" s="6" t="str">
        <f>IFERROR(__xludf.DUMMYFUNCTION("""COMPUTED_VALUE"""),"2")</f>
        <v>2</v>
      </c>
      <c r="V765" s="6" t="str">
        <f>IFERROR(__xludf.DUMMYFUNCTION("""COMPUTED_VALUE"""),"")</f>
        <v/>
      </c>
      <c r="W765" s="6" t="str">
        <f>IFERROR(__xludf.DUMMYFUNCTION("""COMPUTED_VALUE"""),"[]")</f>
        <v>[]</v>
      </c>
      <c r="X765" s="6" t="str">
        <f>IFERROR(__xludf.DUMMYFUNCTION("""COMPUTED_VALUE"""),"Enrolled")</f>
        <v>Enrolled</v>
      </c>
    </row>
    <row r="766">
      <c r="A766" s="6" t="str">
        <f>IFERROR(__xludf.DUMMYFUNCTION("""COMPUTED_VALUE"""),"001-2621")</f>
        <v>001-2621</v>
      </c>
      <c r="B766" s="6" t="str">
        <f>IFERROR(__xludf.DUMMYFUNCTION("""COMPUTED_VALUE"""),"1")</f>
        <v>1</v>
      </c>
      <c r="C766" s="6" t="str">
        <f>IFERROR(__xludf.DUMMYFUNCTION("""COMPUTED_VALUE"""),"2621")</f>
        <v>2621</v>
      </c>
      <c r="D766" s="6" t="str">
        <f>IFERROR(__xludf.DUMMYFUNCTION("""COMPUTED_VALUE"""),"Desmond")</f>
        <v>Desmond</v>
      </c>
      <c r="E766" s="6" t="str">
        <f>IFERROR(__xludf.DUMMYFUNCTION("""COMPUTED_VALUE"""),"Des")</f>
        <v>Des</v>
      </c>
      <c r="F766" s="6" t="str">
        <f>IFERROR(__xludf.DUMMYFUNCTION("""COMPUTED_VALUE"""),"Pardi")</f>
        <v>Pardi</v>
      </c>
      <c r="G766" s="6" t="str">
        <f>IFERROR(__xludf.DUMMYFUNCTION("""COMPUTED_VALUE"""),"05/17/2013")</f>
        <v>05/17/2013</v>
      </c>
      <c r="H766" s="6" t="str">
        <f>IFERROR(__xludf.DUMMYFUNCTION("""COMPUTED_VALUE"""),"male")</f>
        <v>male</v>
      </c>
      <c r="I766" s="6" t="str">
        <f>IFERROR(__xludf.DUMMYFUNCTION("""COMPUTED_VALUE"""),"Middle School")</f>
        <v>Middle School</v>
      </c>
      <c r="J766" s="6" t="str">
        <f>IFERROR(__xludf.DUMMYFUNCTION("""COMPUTED_VALUE"""),"6")</f>
        <v>6</v>
      </c>
      <c r="K766" s="6" t="str">
        <f>IFERROR(__xludf.DUMMYFUNCTION("""COMPUTED_VALUE"""),"desmond.pardi@alpha.school")</f>
        <v>desmond.pardi@alpha.school</v>
      </c>
      <c r="L766" s="6" t="str">
        <f>IFERROR(__xludf.DUMMYFUNCTION("""COMPUTED_VALUE"""),"Alpha School Austin")</f>
        <v>Alpha School Austin</v>
      </c>
      <c r="M766" s="6" t="str">
        <f>IFERROR(__xludf.DUMMYFUNCTION("""COMPUTED_VALUE"""),"")</f>
        <v/>
      </c>
      <c r="N766" s="6" t="str">
        <f>IFERROR(__xludf.DUMMYFUNCTION("""COMPUTED_VALUE"""),"")</f>
        <v/>
      </c>
      <c r="O766" s="87" t="str">
        <f>IFERROR(__xludf.DUMMYFUNCTION("""COMPUTED_VALUE"""),"https://drive.google.com/drive/folders/10T2cTQHqEJZqE-st6uFKPoI?usp=share_link")</f>
        <v>https://drive.google.com/drive/folders/10T2cTQHqEJZqE-st6uFKPoI?usp=share_link</v>
      </c>
      <c r="P766" s="6" t="str">
        <f>IFERROR(__xludf.DUMMYFUNCTION("""COMPUTED_VALUE"""),"Des Pardi")</f>
        <v>Des Pardi</v>
      </c>
      <c r="Q766" s="6" t="str">
        <f>IFERROR(__xludf.DUMMYFUNCTION("""COMPUTED_VALUE"""),"MS")</f>
        <v>MS</v>
      </c>
      <c r="R766" s="6">
        <f>IFERROR(__xludf.DUMMYFUNCTION("""COMPUTED_VALUE"""),0.0)</f>
        <v>0</v>
      </c>
      <c r="S766" s="6" t="str">
        <f>IFERROR(__xludf.DUMMYFUNCTION("""COMPUTED_VALUE"""),"Jawaan Delaney")</f>
        <v>Jawaan Delaney</v>
      </c>
      <c r="T766" s="6" t="str">
        <f>IFERROR(__xludf.DUMMYFUNCTION("""COMPUTED_VALUE"""),"jawaan.delaney@alpha.school")</f>
        <v>jawaan.delaney@alpha.school</v>
      </c>
      <c r="U766" s="6" t="str">
        <f>IFERROR(__xludf.DUMMYFUNCTION("""COMPUTED_VALUE"""),"6")</f>
        <v>6</v>
      </c>
      <c r="V766" s="6" t="str">
        <f>IFERROR(__xludf.DUMMYFUNCTION("""COMPUTED_VALUE"""),"")</f>
        <v/>
      </c>
      <c r="W766" s="6" t="str">
        <f>IFERROR(__xludf.DUMMYFUNCTION("""COMPUTED_VALUE"""),"[]")</f>
        <v>[]</v>
      </c>
      <c r="X766" s="6" t="str">
        <f>IFERROR(__xludf.DUMMYFUNCTION("""COMPUTED_VALUE"""),"Enrolled")</f>
        <v>Enrolled</v>
      </c>
    </row>
    <row r="767">
      <c r="A767" s="6" t="str">
        <f>IFERROR(__xludf.DUMMYFUNCTION("""COMPUTED_VALUE"""),"001-2770")</f>
        <v>001-2770</v>
      </c>
      <c r="B767" s="6" t="str">
        <f>IFERROR(__xludf.DUMMYFUNCTION("""COMPUTED_VALUE"""),"1")</f>
        <v>1</v>
      </c>
      <c r="C767" s="6" t="str">
        <f>IFERROR(__xludf.DUMMYFUNCTION("""COMPUTED_VALUE"""),"2770")</f>
        <v>2770</v>
      </c>
      <c r="D767" s="6" t="str">
        <f>IFERROR(__xludf.DUMMYFUNCTION("""COMPUTED_VALUE"""),"Test 22")</f>
        <v>Test 22</v>
      </c>
      <c r="E767" s="6" t="str">
        <f>IFERROR(__xludf.DUMMYFUNCTION("""COMPUTED_VALUE"""),"")</f>
        <v/>
      </c>
      <c r="F767" s="6" t="str">
        <f>IFERROR(__xludf.DUMMYFUNCTION("""COMPUTED_VALUE"""),"_test_")</f>
        <v>_test_</v>
      </c>
      <c r="G767" s="6" t="str">
        <f>IFERROR(__xludf.DUMMYFUNCTION("""COMPUTED_VALUE"""),"05/01/2025")</f>
        <v>05/01/2025</v>
      </c>
      <c r="H767" s="6" t="str">
        <f>IFERROR(__xludf.DUMMYFUNCTION("""COMPUTED_VALUE"""),"Self Identify")</f>
        <v>Self Identify</v>
      </c>
      <c r="I767" s="6" t="str">
        <f>IFERROR(__xludf.DUMMYFUNCTION("""COMPUTED_VALUE"""),"Middle School")</f>
        <v>Middle School</v>
      </c>
      <c r="J767" s="6" t="str">
        <f>IFERROR(__xludf.DUMMYFUNCTION("""COMPUTED_VALUE"""),"6")</f>
        <v>6</v>
      </c>
      <c r="K767" s="6" t="str">
        <f>IFERROR(__xludf.DUMMYFUNCTION("""COMPUTED_VALUE"""),"test.22._test_@alpha.school")</f>
        <v>test.22._test_@alpha.school</v>
      </c>
      <c r="L767" s="6" t="str">
        <f>IFERROR(__xludf.DUMMYFUNCTION("""COMPUTED_VALUE"""),"Alpha High School")</f>
        <v>Alpha High School</v>
      </c>
      <c r="M767" s="6" t="str">
        <f>IFERROR(__xludf.DUMMYFUNCTION("""COMPUTED_VALUE"""),"Test")</f>
        <v>Test</v>
      </c>
      <c r="N767" s="6" t="str">
        <f>IFERROR(__xludf.DUMMYFUNCTION("""COMPUTED_VALUE"""),"")</f>
        <v/>
      </c>
      <c r="O767" s="87" t="str">
        <f>IFERROR(__xludf.DUMMYFUNCTION("""COMPUTED_VALUE"""),"https://drive.google.com/drive/folders/10T2cTQHqEJZqE-st6uFKPoI?usp=share_link")</f>
        <v>https://drive.google.com/drive/folders/10T2cTQHqEJZqE-st6uFKPoI?usp=share_link</v>
      </c>
      <c r="P767" s="6" t="str">
        <f>IFERROR(__xludf.DUMMYFUNCTION("""COMPUTED_VALUE"""),"Test 22 _test_")</f>
        <v>Test 22 _test_</v>
      </c>
      <c r="Q767" s="6" t="str">
        <f>IFERROR(__xludf.DUMMYFUNCTION("""COMPUTED_VALUE"""),"MS")</f>
        <v>MS</v>
      </c>
      <c r="R767" s="6">
        <f>IFERROR(__xludf.DUMMYFUNCTION("""COMPUTED_VALUE"""),0.0)</f>
        <v>0</v>
      </c>
      <c r="S767" s="6" t="str">
        <f>IFERROR(__xludf.DUMMYFUNCTION("""COMPUTED_VALUE""")," ")</f>
        <v> </v>
      </c>
      <c r="T767" s="6" t="str">
        <f>IFERROR(__xludf.DUMMYFUNCTION("""COMPUTED_VALUE"""),"")</f>
        <v/>
      </c>
      <c r="U767" s="6" t="str">
        <f>IFERROR(__xludf.DUMMYFUNCTION("""COMPUTED_VALUE"""),"6")</f>
        <v>6</v>
      </c>
      <c r="V767" s="6" t="str">
        <f>IFERROR(__xludf.DUMMYFUNCTION("""COMPUTED_VALUE"""),"")</f>
        <v/>
      </c>
      <c r="W767" s="6" t="str">
        <f>IFERROR(__xludf.DUMMYFUNCTION("""COMPUTED_VALUE"""),"[]")</f>
        <v>[]</v>
      </c>
      <c r="X767" s="6" t="str">
        <f>IFERROR(__xludf.DUMMYFUNCTION("""COMPUTED_VALUE"""),"Pending Review")</f>
        <v>Pending Review</v>
      </c>
    </row>
    <row r="768">
      <c r="A768" s="6" t="str">
        <f>IFERROR(__xludf.DUMMYFUNCTION("""COMPUTED_VALUE"""),"001-2894")</f>
        <v>001-2894</v>
      </c>
      <c r="B768" s="6" t="str">
        <f>IFERROR(__xludf.DUMMYFUNCTION("""COMPUTED_VALUE"""),"1")</f>
        <v>1</v>
      </c>
      <c r="C768" s="6" t="str">
        <f>IFERROR(__xludf.DUMMYFUNCTION("""COMPUTED_VALUE"""),"2894")</f>
        <v>2894</v>
      </c>
      <c r="D768" s="6" t="str">
        <f>IFERROR(__xludf.DUMMYFUNCTION("""COMPUTED_VALUE"""),"Ellis")</f>
        <v>Ellis</v>
      </c>
      <c r="E768" s="6" t="str">
        <f>IFERROR(__xludf.DUMMYFUNCTION("""COMPUTED_VALUE"""),"Ellis")</f>
        <v>Ellis</v>
      </c>
      <c r="F768" s="6" t="str">
        <f>IFERROR(__xludf.DUMMYFUNCTION("""COMPUTED_VALUE"""),"Kyung")</f>
        <v>Kyung</v>
      </c>
      <c r="G768" s="6" t="str">
        <f>IFERROR(__xludf.DUMMYFUNCTION("""COMPUTED_VALUE"""),"04/23/2020")</f>
        <v>04/23/2020</v>
      </c>
      <c r="H768" s="6" t="str">
        <f>IFERROR(__xludf.DUMMYFUNCTION("""COMPUTED_VALUE"""),"male")</f>
        <v>male</v>
      </c>
      <c r="I768" s="6" t="str">
        <f>IFERROR(__xludf.DUMMYFUNCTION("""COMPUTED_VALUE"""),"Learning Lab")</f>
        <v>Learning Lab</v>
      </c>
      <c r="J768" s="6" t="str">
        <f>IFERROR(__xludf.DUMMYFUNCTION("""COMPUTED_VALUE"""),"K")</f>
        <v>K</v>
      </c>
      <c r="K768" s="6" t="str">
        <f>IFERROR(__xludf.DUMMYFUNCTION("""COMPUTED_VALUE"""),"ellis.kyung@alpha.school")</f>
        <v>ellis.kyung@alpha.school</v>
      </c>
      <c r="L768" s="6" t="str">
        <f>IFERROR(__xludf.DUMMYFUNCTION("""COMPUTED_VALUE"""),"Alpha School Austin")</f>
        <v>Alpha School Austin</v>
      </c>
      <c r="M768" s="6" t="str">
        <f>IFERROR(__xludf.DUMMYFUNCTION("""COMPUTED_VALUE"""),"")</f>
        <v/>
      </c>
      <c r="N768" s="6" t="str">
        <f>IFERROR(__xludf.DUMMYFUNCTION("""COMPUTED_VALUE"""),"")</f>
        <v/>
      </c>
      <c r="O768" s="87" t="str">
        <f>IFERROR(__xludf.DUMMYFUNCTION("""COMPUTED_VALUE"""),"https://drive.google.com/drive/folders/10T2cTQHqEJZqE-st6uFKPoI?usp=share_link")</f>
        <v>https://drive.google.com/drive/folders/10T2cTQHqEJZqE-st6uFKPoI?usp=share_link</v>
      </c>
      <c r="P768" s="6" t="str">
        <f>IFERROR(__xludf.DUMMYFUNCTION("""COMPUTED_VALUE"""),"Ellis Kyung")</f>
        <v>Ellis Kyung</v>
      </c>
      <c r="Q768" s="6" t="str">
        <f>IFERROR(__xludf.DUMMYFUNCTION("""COMPUTED_VALUE"""),"LL")</f>
        <v>LL</v>
      </c>
      <c r="R768" s="6">
        <f>IFERROR(__xludf.DUMMYFUNCTION("""COMPUTED_VALUE"""),0.0)</f>
        <v>0</v>
      </c>
      <c r="S768" s="6" t="str">
        <f>IFERROR(__xludf.DUMMYFUNCTION("""COMPUTED_VALUE"""),"Carrington Haas")</f>
        <v>Carrington Haas</v>
      </c>
      <c r="T768" s="6" t="str">
        <f>IFERROR(__xludf.DUMMYFUNCTION("""COMPUTED_VALUE"""),"carrington.haas@alpha.school")</f>
        <v>carrington.haas@alpha.school</v>
      </c>
      <c r="U768" s="6" t="str">
        <f>IFERROR(__xludf.DUMMYFUNCTION("""COMPUTED_VALUE"""),"K")</f>
        <v>K</v>
      </c>
      <c r="V768" s="6" t="str">
        <f>IFERROR(__xludf.DUMMYFUNCTION("""COMPUTED_VALUE"""),"")</f>
        <v/>
      </c>
      <c r="W768" s="6" t="str">
        <f>IFERROR(__xludf.DUMMYFUNCTION("""COMPUTED_VALUE"""),"[]")</f>
        <v>[]</v>
      </c>
      <c r="X768" s="6" t="str">
        <f>IFERROR(__xludf.DUMMYFUNCTION("""COMPUTED_VALUE"""),"Enrolled")</f>
        <v>Enrolled</v>
      </c>
    </row>
    <row r="769">
      <c r="A769" s="6" t="str">
        <f>IFERROR(__xludf.DUMMYFUNCTION("""COMPUTED_VALUE"""),"001-2917")</f>
        <v>001-2917</v>
      </c>
      <c r="B769" s="6" t="str">
        <f>IFERROR(__xludf.DUMMYFUNCTION("""COMPUTED_VALUE"""),"1")</f>
        <v>1</v>
      </c>
      <c r="C769" s="6" t="str">
        <f>IFERROR(__xludf.DUMMYFUNCTION("""COMPUTED_VALUE"""),"2917")</f>
        <v>2917</v>
      </c>
      <c r="D769" s="6" t="str">
        <f>IFERROR(__xludf.DUMMYFUNCTION("""COMPUTED_VALUE"""),"Jane")</f>
        <v>Jane</v>
      </c>
      <c r="E769" s="6" t="str">
        <f>IFERROR(__xludf.DUMMYFUNCTION("""COMPUTED_VALUE"""),"")</f>
        <v/>
      </c>
      <c r="F769" s="6" t="str">
        <f>IFERROR(__xludf.DUMMYFUNCTION("""COMPUTED_VALUE"""),"Doe")</f>
        <v>Doe</v>
      </c>
      <c r="G769" s="6" t="str">
        <f>IFERROR(__xludf.DUMMYFUNCTION("""COMPUTED_VALUE"""),"03/22/2018")</f>
        <v>03/22/2018</v>
      </c>
      <c r="H769" s="6" t="str">
        <f>IFERROR(__xludf.DUMMYFUNCTION("""COMPUTED_VALUE"""),"Female")</f>
        <v>Female</v>
      </c>
      <c r="I769" s="6" t="str">
        <f>IFERROR(__xludf.DUMMYFUNCTION("""COMPUTED_VALUE"""),"Learning Lab")</f>
        <v>Learning Lab</v>
      </c>
      <c r="J769" s="6" t="str">
        <f>IFERROR(__xludf.DUMMYFUNCTION("""COMPUTED_VALUE"""),"K")</f>
        <v>K</v>
      </c>
      <c r="K769" s="6" t="str">
        <f>IFERROR(__xludf.DUMMYFUNCTION("""COMPUTED_VALUE"""),"jane.doe@alpha.school")</f>
        <v>jane.doe@alpha.school</v>
      </c>
      <c r="L769" s="6" t="str">
        <f>IFERROR(__xludf.DUMMYFUNCTION("""COMPUTED_VALUE"""),"Alpha School Austin")</f>
        <v>Alpha School Austin</v>
      </c>
      <c r="M769" s="6" t="str">
        <f>IFERROR(__xludf.DUMMYFUNCTION("""COMPUTED_VALUE"""),"")</f>
        <v/>
      </c>
      <c r="N769" s="6" t="str">
        <f>IFERROR(__xludf.DUMMYFUNCTION("""COMPUTED_VALUE"""),"")</f>
        <v/>
      </c>
      <c r="O769" s="87" t="str">
        <f>IFERROR(__xludf.DUMMYFUNCTION("""COMPUTED_VALUE"""),"https://drive.google.com/drive/folders/10T2cTQHqEJZqE-st6uFKPoI?usp=share_link")</f>
        <v>https://drive.google.com/drive/folders/10T2cTQHqEJZqE-st6uFKPoI?usp=share_link</v>
      </c>
      <c r="P769" s="6" t="str">
        <f>IFERROR(__xludf.DUMMYFUNCTION("""COMPUTED_VALUE"""),"Jane Doe")</f>
        <v>Jane Doe</v>
      </c>
      <c r="Q769" s="6" t="str">
        <f>IFERROR(__xludf.DUMMYFUNCTION("""COMPUTED_VALUE"""),"LL")</f>
        <v>LL</v>
      </c>
      <c r="R769" s="6">
        <f>IFERROR(__xludf.DUMMYFUNCTION("""COMPUTED_VALUE"""),0.0)</f>
        <v>0</v>
      </c>
      <c r="S769" s="6" t="str">
        <f>IFERROR(__xludf.DUMMYFUNCTION("""COMPUTED_VALUE""")," ")</f>
        <v> </v>
      </c>
      <c r="T769" s="6" t="str">
        <f>IFERROR(__xludf.DUMMYFUNCTION("""COMPUTED_VALUE"""),"")</f>
        <v/>
      </c>
      <c r="U769" s="6" t="str">
        <f>IFERROR(__xludf.DUMMYFUNCTION("""COMPUTED_VALUE"""),"K")</f>
        <v>K</v>
      </c>
      <c r="V769" s="6" t="str">
        <f>IFERROR(__xludf.DUMMYFUNCTION("""COMPUTED_VALUE"""),"Spanish")</f>
        <v>Spanish</v>
      </c>
      <c r="W769" s="6" t="str">
        <f>IFERROR(__xludf.DUMMYFUNCTION("""COMPUTED_VALUE"""),"[]")</f>
        <v>[]</v>
      </c>
      <c r="X769" s="6" t="str">
        <f>IFERROR(__xludf.DUMMYFUNCTION("""COMPUTED_VALUE"""),"Enrolled")</f>
        <v>Enrolled</v>
      </c>
    </row>
    <row r="770">
      <c r="A770" s="6" t="str">
        <f>IFERROR(__xludf.DUMMYFUNCTION("""COMPUTED_VALUE"""),"001-3359")</f>
        <v>001-3359</v>
      </c>
      <c r="B770" s="6" t="str">
        <f>IFERROR(__xludf.DUMMYFUNCTION("""COMPUTED_VALUE"""),"1")</f>
        <v>1</v>
      </c>
      <c r="C770" s="6" t="str">
        <f>IFERROR(__xludf.DUMMYFUNCTION("""COMPUTED_VALUE"""),"3359")</f>
        <v>3359</v>
      </c>
      <c r="D770" s="6" t="str">
        <f>IFERROR(__xludf.DUMMYFUNCTION("""COMPUTED_VALUE"""),"Blake")</f>
        <v>Blake</v>
      </c>
      <c r="E770" s="6" t="str">
        <f>IFERROR(__xludf.DUMMYFUNCTION("""COMPUTED_VALUE"""),"")</f>
        <v/>
      </c>
      <c r="F770" s="6" t="str">
        <f>IFERROR(__xludf.DUMMYFUNCTION("""COMPUTED_VALUE"""),"Puddlefoot")</f>
        <v>Puddlefoot</v>
      </c>
      <c r="G770" s="6" t="str">
        <f>IFERROR(__xludf.DUMMYFUNCTION("""COMPUTED_VALUE"""),"03/19/2018")</f>
        <v>03/19/2018</v>
      </c>
      <c r="H770" s="6" t="str">
        <f>IFERROR(__xludf.DUMMYFUNCTION("""COMPUTED_VALUE"""),"Male")</f>
        <v>Male</v>
      </c>
      <c r="I770" s="6" t="str">
        <f>IFERROR(__xludf.DUMMYFUNCTION("""COMPUTED_VALUE"""),"Learning Lab")</f>
        <v>Learning Lab</v>
      </c>
      <c r="J770" s="6" t="str">
        <f>IFERROR(__xludf.DUMMYFUNCTION("""COMPUTED_VALUE"""),"K")</f>
        <v>K</v>
      </c>
      <c r="K770" s="6" t="str">
        <f>IFERROR(__xludf.DUMMYFUNCTION("""COMPUTED_VALUE"""),"blake.puddlefoot@alpha.school")</f>
        <v>blake.puddlefoot@alpha.school</v>
      </c>
      <c r="L770" s="6" t="str">
        <f>IFERROR(__xludf.DUMMYFUNCTION("""COMPUTED_VALUE"""),"Alpha School Austin")</f>
        <v>Alpha School Austin</v>
      </c>
      <c r="M770" s="6" t="str">
        <f>IFERROR(__xludf.DUMMYFUNCTION("""COMPUTED_VALUE"""),"")</f>
        <v/>
      </c>
      <c r="N770" s="6" t="str">
        <f>IFERROR(__xludf.DUMMYFUNCTION("""COMPUTED_VALUE"""),"")</f>
        <v/>
      </c>
      <c r="O770" s="87" t="str">
        <f>IFERROR(__xludf.DUMMYFUNCTION("""COMPUTED_VALUE"""),"https://drive.google.com/drive/folders/10T2cTQHqEJZqE-st6uFKPoI?usp=share_link")</f>
        <v>https://drive.google.com/drive/folders/10T2cTQHqEJZqE-st6uFKPoI?usp=share_link</v>
      </c>
      <c r="P770" s="6" t="str">
        <f>IFERROR(__xludf.DUMMYFUNCTION("""COMPUTED_VALUE"""),"Blake Puddlefoot")</f>
        <v>Blake Puddlefoot</v>
      </c>
      <c r="Q770" s="6" t="str">
        <f>IFERROR(__xludf.DUMMYFUNCTION("""COMPUTED_VALUE"""),"LL")</f>
        <v>LL</v>
      </c>
      <c r="R770" s="6">
        <f>IFERROR(__xludf.DUMMYFUNCTION("""COMPUTED_VALUE"""),0.0)</f>
        <v>0</v>
      </c>
      <c r="S770" s="6" t="str">
        <f>IFERROR(__xludf.DUMMYFUNCTION("""COMPUTED_VALUE""")," ")</f>
        <v> </v>
      </c>
      <c r="T770" s="6" t="str">
        <f>IFERROR(__xludf.DUMMYFUNCTION("""COMPUTED_VALUE"""),"")</f>
        <v/>
      </c>
      <c r="U770" s="6" t="str">
        <f>IFERROR(__xludf.DUMMYFUNCTION("""COMPUTED_VALUE"""),"K")</f>
        <v>K</v>
      </c>
      <c r="V770" s="6" t="str">
        <f>IFERROR(__xludf.DUMMYFUNCTION("""COMPUTED_VALUE"""),"Spanish")</f>
        <v>Spanish</v>
      </c>
      <c r="W770" s="6" t="str">
        <f>IFERROR(__xludf.DUMMYFUNCTION("""COMPUTED_VALUE"""),"[]")</f>
        <v>[]</v>
      </c>
      <c r="X770" s="6" t="str">
        <f>IFERROR(__xludf.DUMMYFUNCTION("""COMPUTED_VALUE"""),"Enrolled")</f>
        <v>Enrolled</v>
      </c>
    </row>
    <row r="771">
      <c r="A771" s="6" t="str">
        <f>IFERROR(__xludf.DUMMYFUNCTION("""COMPUTED_VALUE"""),"001-3362")</f>
        <v>001-3362</v>
      </c>
      <c r="B771" s="6" t="str">
        <f>IFERROR(__xludf.DUMMYFUNCTION("""COMPUTED_VALUE"""),"1")</f>
        <v>1</v>
      </c>
      <c r="C771" s="6" t="str">
        <f>IFERROR(__xludf.DUMMYFUNCTION("""COMPUTED_VALUE"""),"3362")</f>
        <v>3362</v>
      </c>
      <c r="D771" s="6" t="str">
        <f>IFERROR(__xludf.DUMMYFUNCTION("""COMPUTED_VALUE"""),"Guide")</f>
        <v>Guide</v>
      </c>
      <c r="E771" s="6" t="str">
        <f>IFERROR(__xludf.DUMMYFUNCTION("""COMPUTED_VALUE"""),"")</f>
        <v/>
      </c>
      <c r="F771" s="6" t="str">
        <f>IFERROR(__xludf.DUMMYFUNCTION("""COMPUTED_VALUE"""),"Sixth Grade1")</f>
        <v>Sixth Grade1</v>
      </c>
      <c r="G771" s="6" t="str">
        <f>IFERROR(__xludf.DUMMYFUNCTION("""COMPUTED_VALUE"""),"01/01/2013")</f>
        <v>01/01/2013</v>
      </c>
      <c r="H771" s="6" t="str">
        <f>IFERROR(__xludf.DUMMYFUNCTION("""COMPUTED_VALUE"""),"Self Identify")</f>
        <v>Self Identify</v>
      </c>
      <c r="I771" s="6" t="str">
        <f>IFERROR(__xludf.DUMMYFUNCTION("""COMPUTED_VALUE"""),"Middle School")</f>
        <v>Middle School</v>
      </c>
      <c r="J771" s="6" t="str">
        <f>IFERROR(__xludf.DUMMYFUNCTION("""COMPUTED_VALUE"""),"6")</f>
        <v>6</v>
      </c>
      <c r="K771" s="6" t="str">
        <f>IFERROR(__xludf.DUMMYFUNCTION("""COMPUTED_VALUE"""),"guide.sixth1@alpha.school")</f>
        <v>guide.sixth1@alpha.school</v>
      </c>
      <c r="L771" s="6" t="str">
        <f>IFERROR(__xludf.DUMMYFUNCTION("""COMPUTED_VALUE"""),"Alpha School Austin")</f>
        <v>Alpha School Austin</v>
      </c>
      <c r="M771" s="6" t="str">
        <f>IFERROR(__xludf.DUMMYFUNCTION("""COMPUTED_VALUE"""),"Guide")</f>
        <v>Guide</v>
      </c>
      <c r="N771" s="6" t="str">
        <f>IFERROR(__xludf.DUMMYFUNCTION("""COMPUTED_VALUE"""),"")</f>
        <v/>
      </c>
      <c r="O771" s="87" t="str">
        <f>IFERROR(__xludf.DUMMYFUNCTION("""COMPUTED_VALUE"""),"https://drive.google.com/drive/folders/10T2cTQHqEJZqE-st6uFKPoI?usp=share_link")</f>
        <v>https://drive.google.com/drive/folders/10T2cTQHqEJZqE-st6uFKPoI?usp=share_link</v>
      </c>
      <c r="P771" s="6" t="str">
        <f>IFERROR(__xludf.DUMMYFUNCTION("""COMPUTED_VALUE"""),"Guide Sixth Grade1")</f>
        <v>Guide Sixth Grade1</v>
      </c>
      <c r="Q771" s="6" t="str">
        <f>IFERROR(__xludf.DUMMYFUNCTION("""COMPUTED_VALUE"""),"MS")</f>
        <v>MS</v>
      </c>
      <c r="R771" s="6">
        <f>IFERROR(__xludf.DUMMYFUNCTION("""COMPUTED_VALUE"""),0.0)</f>
        <v>0</v>
      </c>
      <c r="S771" s="6" t="str">
        <f>IFERROR(__xludf.DUMMYFUNCTION("""COMPUTED_VALUE""")," ")</f>
        <v> </v>
      </c>
      <c r="T771" s="6" t="str">
        <f>IFERROR(__xludf.DUMMYFUNCTION("""COMPUTED_VALUE"""),"")</f>
        <v/>
      </c>
      <c r="U771" s="6" t="str">
        <f>IFERROR(__xludf.DUMMYFUNCTION("""COMPUTED_VALUE"""),"6")</f>
        <v>6</v>
      </c>
      <c r="V771" s="6" t="str">
        <f>IFERROR(__xludf.DUMMYFUNCTION("""COMPUTED_VALUE"""),"")</f>
        <v/>
      </c>
      <c r="W771" s="6" t="str">
        <f>IFERROR(__xludf.DUMMYFUNCTION("""COMPUTED_VALUE"""),"[Text-to-Speech]")</f>
        <v>[Text-to-Speech]</v>
      </c>
      <c r="X771" s="6" t="str">
        <f>IFERROR(__xludf.DUMMYFUNCTION("""COMPUTED_VALUE"""),"Enrolled")</f>
        <v>Enrolled</v>
      </c>
    </row>
    <row r="772">
      <c r="A772" s="6" t="str">
        <f>IFERROR(__xludf.DUMMYFUNCTION("""COMPUTED_VALUE"""),"001-3363")</f>
        <v>001-3363</v>
      </c>
      <c r="B772" s="6" t="str">
        <f>IFERROR(__xludf.DUMMYFUNCTION("""COMPUTED_VALUE"""),"1")</f>
        <v>1</v>
      </c>
      <c r="C772" s="6" t="str">
        <f>IFERROR(__xludf.DUMMYFUNCTION("""COMPUTED_VALUE"""),"3363")</f>
        <v>3363</v>
      </c>
      <c r="D772" s="6" t="str">
        <f>IFERROR(__xludf.DUMMYFUNCTION("""COMPUTED_VALUE"""),"Guide")</f>
        <v>Guide</v>
      </c>
      <c r="E772" s="6" t="str">
        <f>IFERROR(__xludf.DUMMYFUNCTION("""COMPUTED_VALUE"""),"")</f>
        <v/>
      </c>
      <c r="F772" s="6" t="str">
        <f>IFERROR(__xludf.DUMMYFUNCTION("""COMPUTED_VALUE"""),"Sixth Grade2")</f>
        <v>Sixth Grade2</v>
      </c>
      <c r="G772" s="6" t="str">
        <f>IFERROR(__xludf.DUMMYFUNCTION("""COMPUTED_VALUE"""),"01/01/2013")</f>
        <v>01/01/2013</v>
      </c>
      <c r="H772" s="6" t="str">
        <f>IFERROR(__xludf.DUMMYFUNCTION("""COMPUTED_VALUE"""),"self_identify")</f>
        <v>self_identify</v>
      </c>
      <c r="I772" s="6" t="str">
        <f>IFERROR(__xludf.DUMMYFUNCTION("""COMPUTED_VALUE"""),"Middle School")</f>
        <v>Middle School</v>
      </c>
      <c r="J772" s="6" t="str">
        <f>IFERROR(__xludf.DUMMYFUNCTION("""COMPUTED_VALUE"""),"6")</f>
        <v>6</v>
      </c>
      <c r="K772" s="6" t="str">
        <f>IFERROR(__xludf.DUMMYFUNCTION("""COMPUTED_VALUE"""),"guide.sixth2@alpha.school")</f>
        <v>guide.sixth2@alpha.school</v>
      </c>
      <c r="L772" s="6" t="str">
        <f>IFERROR(__xludf.DUMMYFUNCTION("""COMPUTED_VALUE"""),"Alpha School Austin")</f>
        <v>Alpha School Austin</v>
      </c>
      <c r="M772" s="6" t="str">
        <f>IFERROR(__xludf.DUMMYFUNCTION("""COMPUTED_VALUE"""),"Guide")</f>
        <v>Guide</v>
      </c>
      <c r="N772" s="6" t="str">
        <f>IFERROR(__xludf.DUMMYFUNCTION("""COMPUTED_VALUE"""),"")</f>
        <v/>
      </c>
      <c r="O772" s="87" t="str">
        <f>IFERROR(__xludf.DUMMYFUNCTION("""COMPUTED_VALUE"""),"https://drive.google.com/drive/folders/10T2cTQHqEJZqE-st6uFKPoI?usp=share_link")</f>
        <v>https://drive.google.com/drive/folders/10T2cTQHqEJZqE-st6uFKPoI?usp=share_link</v>
      </c>
      <c r="P772" s="6" t="str">
        <f>IFERROR(__xludf.DUMMYFUNCTION("""COMPUTED_VALUE"""),"Guide Sixth Grade2")</f>
        <v>Guide Sixth Grade2</v>
      </c>
      <c r="Q772" s="6" t="str">
        <f>IFERROR(__xludf.DUMMYFUNCTION("""COMPUTED_VALUE"""),"MS")</f>
        <v>MS</v>
      </c>
      <c r="R772" s="6">
        <f>IFERROR(__xludf.DUMMYFUNCTION("""COMPUTED_VALUE"""),0.0)</f>
        <v>0</v>
      </c>
      <c r="S772" s="6" t="str">
        <f>IFERROR(__xludf.DUMMYFUNCTION("""COMPUTED_VALUE""")," ")</f>
        <v> </v>
      </c>
      <c r="T772" s="6" t="str">
        <f>IFERROR(__xludf.DUMMYFUNCTION("""COMPUTED_VALUE"""),"")</f>
        <v/>
      </c>
      <c r="U772" s="6" t="str">
        <f>IFERROR(__xludf.DUMMYFUNCTION("""COMPUTED_VALUE"""),"6")</f>
        <v>6</v>
      </c>
      <c r="V772" s="6" t="str">
        <f>IFERROR(__xludf.DUMMYFUNCTION("""COMPUTED_VALUE"""),"")</f>
        <v/>
      </c>
      <c r="W772" s="6" t="str">
        <f>IFERROR(__xludf.DUMMYFUNCTION("""COMPUTED_VALUE"""),"[]")</f>
        <v>[]</v>
      </c>
      <c r="X772" s="6" t="str">
        <f>IFERROR(__xludf.DUMMYFUNCTION("""COMPUTED_VALUE"""),"Enrolled")</f>
        <v>Enrolled</v>
      </c>
    </row>
    <row r="773">
      <c r="A773" s="6" t="str">
        <f>IFERROR(__xludf.DUMMYFUNCTION("""COMPUTED_VALUE"""),"001-3364")</f>
        <v>001-3364</v>
      </c>
      <c r="B773" s="6" t="str">
        <f>IFERROR(__xludf.DUMMYFUNCTION("""COMPUTED_VALUE"""),"1")</f>
        <v>1</v>
      </c>
      <c r="C773" s="6" t="str">
        <f>IFERROR(__xludf.DUMMYFUNCTION("""COMPUTED_VALUE"""),"3364")</f>
        <v>3364</v>
      </c>
      <c r="D773" s="6" t="str">
        <f>IFERROR(__xludf.DUMMYFUNCTION("""COMPUTED_VALUE"""),"Guide")</f>
        <v>Guide</v>
      </c>
      <c r="E773" s="6" t="str">
        <f>IFERROR(__xludf.DUMMYFUNCTION("""COMPUTED_VALUE"""),"")</f>
        <v/>
      </c>
      <c r="F773" s="6" t="str">
        <f>IFERROR(__xludf.DUMMYFUNCTION("""COMPUTED_VALUE"""),"Sixth Grade3")</f>
        <v>Sixth Grade3</v>
      </c>
      <c r="G773" s="6" t="str">
        <f>IFERROR(__xludf.DUMMYFUNCTION("""COMPUTED_VALUE"""),"01/01/2013")</f>
        <v>01/01/2013</v>
      </c>
      <c r="H773" s="6" t="str">
        <f>IFERROR(__xludf.DUMMYFUNCTION("""COMPUTED_VALUE"""),"self_identify")</f>
        <v>self_identify</v>
      </c>
      <c r="I773" s="6" t="str">
        <f>IFERROR(__xludf.DUMMYFUNCTION("""COMPUTED_VALUE"""),"Middle School")</f>
        <v>Middle School</v>
      </c>
      <c r="J773" s="6" t="str">
        <f>IFERROR(__xludf.DUMMYFUNCTION("""COMPUTED_VALUE"""),"6")</f>
        <v>6</v>
      </c>
      <c r="K773" s="6" t="str">
        <f>IFERROR(__xludf.DUMMYFUNCTION("""COMPUTED_VALUE"""),"guide.sixth3@alpha.school")</f>
        <v>guide.sixth3@alpha.school</v>
      </c>
      <c r="L773" s="6" t="str">
        <f>IFERROR(__xludf.DUMMYFUNCTION("""COMPUTED_VALUE"""),"Alpha School Austin")</f>
        <v>Alpha School Austin</v>
      </c>
      <c r="M773" s="6" t="str">
        <f>IFERROR(__xludf.DUMMYFUNCTION("""COMPUTED_VALUE"""),"Guide")</f>
        <v>Guide</v>
      </c>
      <c r="N773" s="6" t="str">
        <f>IFERROR(__xludf.DUMMYFUNCTION("""COMPUTED_VALUE"""),"")</f>
        <v/>
      </c>
      <c r="O773" s="87" t="str">
        <f>IFERROR(__xludf.DUMMYFUNCTION("""COMPUTED_VALUE"""),"https://drive.google.com/drive/folders/10T2cTQHqEJZqE-st6uFKPoI?usp=share_link")</f>
        <v>https://drive.google.com/drive/folders/10T2cTQHqEJZqE-st6uFKPoI?usp=share_link</v>
      </c>
      <c r="P773" s="6" t="str">
        <f>IFERROR(__xludf.DUMMYFUNCTION("""COMPUTED_VALUE"""),"Guide Sixth Grade3")</f>
        <v>Guide Sixth Grade3</v>
      </c>
      <c r="Q773" s="6" t="str">
        <f>IFERROR(__xludf.DUMMYFUNCTION("""COMPUTED_VALUE"""),"MS")</f>
        <v>MS</v>
      </c>
      <c r="R773" s="6">
        <f>IFERROR(__xludf.DUMMYFUNCTION("""COMPUTED_VALUE"""),0.0)</f>
        <v>0</v>
      </c>
      <c r="S773" s="6" t="str">
        <f>IFERROR(__xludf.DUMMYFUNCTION("""COMPUTED_VALUE""")," ")</f>
        <v> </v>
      </c>
      <c r="T773" s="6" t="str">
        <f>IFERROR(__xludf.DUMMYFUNCTION("""COMPUTED_VALUE"""),"")</f>
        <v/>
      </c>
      <c r="U773" s="6" t="str">
        <f>IFERROR(__xludf.DUMMYFUNCTION("""COMPUTED_VALUE"""),"6")</f>
        <v>6</v>
      </c>
      <c r="V773" s="6" t="str">
        <f>IFERROR(__xludf.DUMMYFUNCTION("""COMPUTED_VALUE"""),"")</f>
        <v/>
      </c>
      <c r="W773" s="6" t="str">
        <f>IFERROR(__xludf.DUMMYFUNCTION("""COMPUTED_VALUE"""),"[]")</f>
        <v>[]</v>
      </c>
      <c r="X773" s="6" t="str">
        <f>IFERROR(__xludf.DUMMYFUNCTION("""COMPUTED_VALUE"""),"Enrolled")</f>
        <v>Enrolled</v>
      </c>
    </row>
    <row r="774">
      <c r="A774" s="6" t="str">
        <f>IFERROR(__xludf.DUMMYFUNCTION("""COMPUTED_VALUE"""),"001-3365")</f>
        <v>001-3365</v>
      </c>
      <c r="B774" s="6" t="str">
        <f>IFERROR(__xludf.DUMMYFUNCTION("""COMPUTED_VALUE"""),"1")</f>
        <v>1</v>
      </c>
      <c r="C774" s="6" t="str">
        <f>IFERROR(__xludf.DUMMYFUNCTION("""COMPUTED_VALUE"""),"3365")</f>
        <v>3365</v>
      </c>
      <c r="D774" s="6" t="str">
        <f>IFERROR(__xludf.DUMMYFUNCTION("""COMPUTED_VALUE"""),"Guide")</f>
        <v>Guide</v>
      </c>
      <c r="E774" s="6" t="str">
        <f>IFERROR(__xludf.DUMMYFUNCTION("""COMPUTED_VALUE"""),"")</f>
        <v/>
      </c>
      <c r="F774" s="6" t="str">
        <f>IFERROR(__xludf.DUMMYFUNCTION("""COMPUTED_VALUE"""),"Sixth Grade4")</f>
        <v>Sixth Grade4</v>
      </c>
      <c r="G774" s="6" t="str">
        <f>IFERROR(__xludf.DUMMYFUNCTION("""COMPUTED_VALUE"""),"01/01/2013")</f>
        <v>01/01/2013</v>
      </c>
      <c r="H774" s="6" t="str">
        <f>IFERROR(__xludf.DUMMYFUNCTION("""COMPUTED_VALUE"""),"self_identify")</f>
        <v>self_identify</v>
      </c>
      <c r="I774" s="6" t="str">
        <f>IFERROR(__xludf.DUMMYFUNCTION("""COMPUTED_VALUE"""),"Middle School")</f>
        <v>Middle School</v>
      </c>
      <c r="J774" s="6" t="str">
        <f>IFERROR(__xludf.DUMMYFUNCTION("""COMPUTED_VALUE"""),"6")</f>
        <v>6</v>
      </c>
      <c r="K774" s="6" t="str">
        <f>IFERROR(__xludf.DUMMYFUNCTION("""COMPUTED_VALUE"""),"guide.sixth4@alpha.school")</f>
        <v>guide.sixth4@alpha.school</v>
      </c>
      <c r="L774" s="6" t="str">
        <f>IFERROR(__xludf.DUMMYFUNCTION("""COMPUTED_VALUE"""),"Alpha School Austin")</f>
        <v>Alpha School Austin</v>
      </c>
      <c r="M774" s="6" t="str">
        <f>IFERROR(__xludf.DUMMYFUNCTION("""COMPUTED_VALUE"""),"Guide")</f>
        <v>Guide</v>
      </c>
      <c r="N774" s="6" t="str">
        <f>IFERROR(__xludf.DUMMYFUNCTION("""COMPUTED_VALUE"""),"")</f>
        <v/>
      </c>
      <c r="O774" s="87" t="str">
        <f>IFERROR(__xludf.DUMMYFUNCTION("""COMPUTED_VALUE"""),"https://drive.google.com/drive/folders/10T2cTQHqEJZqE-st6uFKPoI?usp=share_link")</f>
        <v>https://drive.google.com/drive/folders/10T2cTQHqEJZqE-st6uFKPoI?usp=share_link</v>
      </c>
      <c r="P774" s="6" t="str">
        <f>IFERROR(__xludf.DUMMYFUNCTION("""COMPUTED_VALUE"""),"Guide Sixth Grade4")</f>
        <v>Guide Sixth Grade4</v>
      </c>
      <c r="Q774" s="6" t="str">
        <f>IFERROR(__xludf.DUMMYFUNCTION("""COMPUTED_VALUE"""),"MS")</f>
        <v>MS</v>
      </c>
      <c r="R774" s="6">
        <f>IFERROR(__xludf.DUMMYFUNCTION("""COMPUTED_VALUE"""),0.0)</f>
        <v>0</v>
      </c>
      <c r="S774" s="6" t="str">
        <f>IFERROR(__xludf.DUMMYFUNCTION("""COMPUTED_VALUE""")," ")</f>
        <v> </v>
      </c>
      <c r="T774" s="6" t="str">
        <f>IFERROR(__xludf.DUMMYFUNCTION("""COMPUTED_VALUE"""),"")</f>
        <v/>
      </c>
      <c r="U774" s="6" t="str">
        <f>IFERROR(__xludf.DUMMYFUNCTION("""COMPUTED_VALUE"""),"6")</f>
        <v>6</v>
      </c>
      <c r="V774" s="6" t="str">
        <f>IFERROR(__xludf.DUMMYFUNCTION("""COMPUTED_VALUE"""),"")</f>
        <v/>
      </c>
      <c r="W774" s="6" t="str">
        <f>IFERROR(__xludf.DUMMYFUNCTION("""COMPUTED_VALUE"""),"[]")</f>
        <v>[]</v>
      </c>
      <c r="X774" s="6" t="str">
        <f>IFERROR(__xludf.DUMMYFUNCTION("""COMPUTED_VALUE"""),"Enrolled")</f>
        <v>Enrolled</v>
      </c>
    </row>
    <row r="775">
      <c r="A775" s="6" t="str">
        <f>IFERROR(__xludf.DUMMYFUNCTION("""COMPUTED_VALUE"""),"001-3366")</f>
        <v>001-3366</v>
      </c>
      <c r="B775" s="6" t="str">
        <f>IFERROR(__xludf.DUMMYFUNCTION("""COMPUTED_VALUE"""),"1")</f>
        <v>1</v>
      </c>
      <c r="C775" s="6" t="str">
        <f>IFERROR(__xludf.DUMMYFUNCTION("""COMPUTED_VALUE"""),"3366")</f>
        <v>3366</v>
      </c>
      <c r="D775" s="6" t="str">
        <f>IFERROR(__xludf.DUMMYFUNCTION("""COMPUTED_VALUE"""),"Guide")</f>
        <v>Guide</v>
      </c>
      <c r="E775" s="6" t="str">
        <f>IFERROR(__xludf.DUMMYFUNCTION("""COMPUTED_VALUE"""),"")</f>
        <v/>
      </c>
      <c r="F775" s="6" t="str">
        <f>IFERROR(__xludf.DUMMYFUNCTION("""COMPUTED_VALUE"""),"Sixth Grade5")</f>
        <v>Sixth Grade5</v>
      </c>
      <c r="G775" s="6" t="str">
        <f>IFERROR(__xludf.DUMMYFUNCTION("""COMPUTED_VALUE"""),"01/01/2013")</f>
        <v>01/01/2013</v>
      </c>
      <c r="H775" s="6" t="str">
        <f>IFERROR(__xludf.DUMMYFUNCTION("""COMPUTED_VALUE"""),"self_identify")</f>
        <v>self_identify</v>
      </c>
      <c r="I775" s="6" t="str">
        <f>IFERROR(__xludf.DUMMYFUNCTION("""COMPUTED_VALUE"""),"Middle School")</f>
        <v>Middle School</v>
      </c>
      <c r="J775" s="6" t="str">
        <f>IFERROR(__xludf.DUMMYFUNCTION("""COMPUTED_VALUE"""),"6")</f>
        <v>6</v>
      </c>
      <c r="K775" s="6" t="str">
        <f>IFERROR(__xludf.DUMMYFUNCTION("""COMPUTED_VALUE"""),"guide.sixth5@alpha.school")</f>
        <v>guide.sixth5@alpha.school</v>
      </c>
      <c r="L775" s="6" t="str">
        <f>IFERROR(__xludf.DUMMYFUNCTION("""COMPUTED_VALUE"""),"Alpha School Austin")</f>
        <v>Alpha School Austin</v>
      </c>
      <c r="M775" s="6" t="str">
        <f>IFERROR(__xludf.DUMMYFUNCTION("""COMPUTED_VALUE"""),"Guide")</f>
        <v>Guide</v>
      </c>
      <c r="N775" s="6" t="str">
        <f>IFERROR(__xludf.DUMMYFUNCTION("""COMPUTED_VALUE"""),"")</f>
        <v/>
      </c>
      <c r="O775" s="87" t="str">
        <f>IFERROR(__xludf.DUMMYFUNCTION("""COMPUTED_VALUE"""),"https://drive.google.com/drive/folders/10T2cTQHqEJZqE-st6uFKPoI?usp=share_link")</f>
        <v>https://drive.google.com/drive/folders/10T2cTQHqEJZqE-st6uFKPoI?usp=share_link</v>
      </c>
      <c r="P775" s="6" t="str">
        <f>IFERROR(__xludf.DUMMYFUNCTION("""COMPUTED_VALUE"""),"Guide Sixth Grade5")</f>
        <v>Guide Sixth Grade5</v>
      </c>
      <c r="Q775" s="6" t="str">
        <f>IFERROR(__xludf.DUMMYFUNCTION("""COMPUTED_VALUE"""),"MS")</f>
        <v>MS</v>
      </c>
      <c r="R775" s="6">
        <f>IFERROR(__xludf.DUMMYFUNCTION("""COMPUTED_VALUE"""),0.0)</f>
        <v>0</v>
      </c>
      <c r="S775" s="6" t="str">
        <f>IFERROR(__xludf.DUMMYFUNCTION("""COMPUTED_VALUE""")," ")</f>
        <v> </v>
      </c>
      <c r="T775" s="6" t="str">
        <f>IFERROR(__xludf.DUMMYFUNCTION("""COMPUTED_VALUE"""),"")</f>
        <v/>
      </c>
      <c r="U775" s="6" t="str">
        <f>IFERROR(__xludf.DUMMYFUNCTION("""COMPUTED_VALUE"""),"6")</f>
        <v>6</v>
      </c>
      <c r="V775" s="6" t="str">
        <f>IFERROR(__xludf.DUMMYFUNCTION("""COMPUTED_VALUE"""),"")</f>
        <v/>
      </c>
      <c r="W775" s="6" t="str">
        <f>IFERROR(__xludf.DUMMYFUNCTION("""COMPUTED_VALUE"""),"[]")</f>
        <v>[]</v>
      </c>
      <c r="X775" s="6" t="str">
        <f>IFERROR(__xludf.DUMMYFUNCTION("""COMPUTED_VALUE"""),"Enrolled")</f>
        <v>Enrolled</v>
      </c>
    </row>
    <row r="776">
      <c r="A776" s="6" t="str">
        <f>IFERROR(__xludf.DUMMYFUNCTION("""COMPUTED_VALUE"""),"001-3367")</f>
        <v>001-3367</v>
      </c>
      <c r="B776" s="6" t="str">
        <f>IFERROR(__xludf.DUMMYFUNCTION("""COMPUTED_VALUE"""),"1")</f>
        <v>1</v>
      </c>
      <c r="C776" s="6" t="str">
        <f>IFERROR(__xludf.DUMMYFUNCTION("""COMPUTED_VALUE"""),"3367")</f>
        <v>3367</v>
      </c>
      <c r="D776" s="6" t="str">
        <f>IFERROR(__xludf.DUMMYFUNCTION("""COMPUTED_VALUE"""),"Guide")</f>
        <v>Guide</v>
      </c>
      <c r="E776" s="6" t="str">
        <f>IFERROR(__xludf.DUMMYFUNCTION("""COMPUTED_VALUE"""),"")</f>
        <v/>
      </c>
      <c r="F776" s="6" t="str">
        <f>IFERROR(__xludf.DUMMYFUNCTION("""COMPUTED_VALUE"""),"Sixth Grade6")</f>
        <v>Sixth Grade6</v>
      </c>
      <c r="G776" s="6" t="str">
        <f>IFERROR(__xludf.DUMMYFUNCTION("""COMPUTED_VALUE"""),"01/01/2013")</f>
        <v>01/01/2013</v>
      </c>
      <c r="H776" s="6" t="str">
        <f>IFERROR(__xludf.DUMMYFUNCTION("""COMPUTED_VALUE"""),"self_identify")</f>
        <v>self_identify</v>
      </c>
      <c r="I776" s="6" t="str">
        <f>IFERROR(__xludf.DUMMYFUNCTION("""COMPUTED_VALUE"""),"Middle School")</f>
        <v>Middle School</v>
      </c>
      <c r="J776" s="6" t="str">
        <f>IFERROR(__xludf.DUMMYFUNCTION("""COMPUTED_VALUE"""),"6")</f>
        <v>6</v>
      </c>
      <c r="K776" s="6" t="str">
        <f>IFERROR(__xludf.DUMMYFUNCTION("""COMPUTED_VALUE"""),"guide.sixth6@alpha.school")</f>
        <v>guide.sixth6@alpha.school</v>
      </c>
      <c r="L776" s="6" t="str">
        <f>IFERROR(__xludf.DUMMYFUNCTION("""COMPUTED_VALUE"""),"Alpha School Austin")</f>
        <v>Alpha School Austin</v>
      </c>
      <c r="M776" s="6" t="str">
        <f>IFERROR(__xludf.DUMMYFUNCTION("""COMPUTED_VALUE"""),"Guide")</f>
        <v>Guide</v>
      </c>
      <c r="N776" s="6" t="str">
        <f>IFERROR(__xludf.DUMMYFUNCTION("""COMPUTED_VALUE"""),"")</f>
        <v/>
      </c>
      <c r="O776" s="87" t="str">
        <f>IFERROR(__xludf.DUMMYFUNCTION("""COMPUTED_VALUE"""),"https://drive.google.com/drive/folders/10T2cTQHqEJZqE-st6uFKPoI?usp=share_link")</f>
        <v>https://drive.google.com/drive/folders/10T2cTQHqEJZqE-st6uFKPoI?usp=share_link</v>
      </c>
      <c r="P776" s="6" t="str">
        <f>IFERROR(__xludf.DUMMYFUNCTION("""COMPUTED_VALUE"""),"Guide Sixth Grade6")</f>
        <v>Guide Sixth Grade6</v>
      </c>
      <c r="Q776" s="6" t="str">
        <f>IFERROR(__xludf.DUMMYFUNCTION("""COMPUTED_VALUE"""),"MS")</f>
        <v>MS</v>
      </c>
      <c r="R776" s="6">
        <f>IFERROR(__xludf.DUMMYFUNCTION("""COMPUTED_VALUE"""),0.0)</f>
        <v>0</v>
      </c>
      <c r="S776" s="6" t="str">
        <f>IFERROR(__xludf.DUMMYFUNCTION("""COMPUTED_VALUE""")," ")</f>
        <v> </v>
      </c>
      <c r="T776" s="6" t="str">
        <f>IFERROR(__xludf.DUMMYFUNCTION("""COMPUTED_VALUE"""),"")</f>
        <v/>
      </c>
      <c r="U776" s="6" t="str">
        <f>IFERROR(__xludf.DUMMYFUNCTION("""COMPUTED_VALUE"""),"6")</f>
        <v>6</v>
      </c>
      <c r="V776" s="6" t="str">
        <f>IFERROR(__xludf.DUMMYFUNCTION("""COMPUTED_VALUE"""),"")</f>
        <v/>
      </c>
      <c r="W776" s="6" t="str">
        <f>IFERROR(__xludf.DUMMYFUNCTION("""COMPUTED_VALUE"""),"[]")</f>
        <v>[]</v>
      </c>
      <c r="X776" s="6" t="str">
        <f>IFERROR(__xludf.DUMMYFUNCTION("""COMPUTED_VALUE"""),"Enrolled")</f>
        <v>Enrolled</v>
      </c>
    </row>
    <row r="777">
      <c r="A777" s="6" t="str">
        <f>IFERROR(__xludf.DUMMYFUNCTION("""COMPUTED_VALUE"""),"001-3368")</f>
        <v>001-3368</v>
      </c>
      <c r="B777" s="6" t="str">
        <f>IFERROR(__xludf.DUMMYFUNCTION("""COMPUTED_VALUE"""),"1")</f>
        <v>1</v>
      </c>
      <c r="C777" s="6" t="str">
        <f>IFERROR(__xludf.DUMMYFUNCTION("""COMPUTED_VALUE"""),"3368")</f>
        <v>3368</v>
      </c>
      <c r="D777" s="6" t="str">
        <f>IFERROR(__xludf.DUMMYFUNCTION("""COMPUTED_VALUE"""),"Guide")</f>
        <v>Guide</v>
      </c>
      <c r="E777" s="6" t="str">
        <f>IFERROR(__xludf.DUMMYFUNCTION("""COMPUTED_VALUE"""),"")</f>
        <v/>
      </c>
      <c r="F777" s="6" t="str">
        <f>IFERROR(__xludf.DUMMYFUNCTION("""COMPUTED_VALUE"""),"Sixth Grade7")</f>
        <v>Sixth Grade7</v>
      </c>
      <c r="G777" s="6" t="str">
        <f>IFERROR(__xludf.DUMMYFUNCTION("""COMPUTED_VALUE"""),"01/01/2013")</f>
        <v>01/01/2013</v>
      </c>
      <c r="H777" s="6" t="str">
        <f>IFERROR(__xludf.DUMMYFUNCTION("""COMPUTED_VALUE"""),"self_identify")</f>
        <v>self_identify</v>
      </c>
      <c r="I777" s="6" t="str">
        <f>IFERROR(__xludf.DUMMYFUNCTION("""COMPUTED_VALUE"""),"Middle School")</f>
        <v>Middle School</v>
      </c>
      <c r="J777" s="6" t="str">
        <f>IFERROR(__xludf.DUMMYFUNCTION("""COMPUTED_VALUE"""),"6")</f>
        <v>6</v>
      </c>
      <c r="K777" s="6" t="str">
        <f>IFERROR(__xludf.DUMMYFUNCTION("""COMPUTED_VALUE"""),"guide.sixth7@alpha.school")</f>
        <v>guide.sixth7@alpha.school</v>
      </c>
      <c r="L777" s="6" t="str">
        <f>IFERROR(__xludf.DUMMYFUNCTION("""COMPUTED_VALUE"""),"Alpha School Austin")</f>
        <v>Alpha School Austin</v>
      </c>
      <c r="M777" s="6" t="str">
        <f>IFERROR(__xludf.DUMMYFUNCTION("""COMPUTED_VALUE"""),"Guide")</f>
        <v>Guide</v>
      </c>
      <c r="N777" s="6" t="str">
        <f>IFERROR(__xludf.DUMMYFUNCTION("""COMPUTED_VALUE"""),"")</f>
        <v/>
      </c>
      <c r="O777" s="87" t="str">
        <f>IFERROR(__xludf.DUMMYFUNCTION("""COMPUTED_VALUE"""),"https://drive.google.com/drive/folders/10T2cTQHqEJZqE-st6uFKPoI?usp=share_link")</f>
        <v>https://drive.google.com/drive/folders/10T2cTQHqEJZqE-st6uFKPoI?usp=share_link</v>
      </c>
      <c r="P777" s="6" t="str">
        <f>IFERROR(__xludf.DUMMYFUNCTION("""COMPUTED_VALUE"""),"Guide Sixth Grade7")</f>
        <v>Guide Sixth Grade7</v>
      </c>
      <c r="Q777" s="6" t="str">
        <f>IFERROR(__xludf.DUMMYFUNCTION("""COMPUTED_VALUE"""),"MS")</f>
        <v>MS</v>
      </c>
      <c r="R777" s="6">
        <f>IFERROR(__xludf.DUMMYFUNCTION("""COMPUTED_VALUE"""),0.0)</f>
        <v>0</v>
      </c>
      <c r="S777" s="6" t="str">
        <f>IFERROR(__xludf.DUMMYFUNCTION("""COMPUTED_VALUE""")," ")</f>
        <v> </v>
      </c>
      <c r="T777" s="6" t="str">
        <f>IFERROR(__xludf.DUMMYFUNCTION("""COMPUTED_VALUE"""),"")</f>
        <v/>
      </c>
      <c r="U777" s="6" t="str">
        <f>IFERROR(__xludf.DUMMYFUNCTION("""COMPUTED_VALUE"""),"6")</f>
        <v>6</v>
      </c>
      <c r="V777" s="6" t="str">
        <f>IFERROR(__xludf.DUMMYFUNCTION("""COMPUTED_VALUE"""),"")</f>
        <v/>
      </c>
      <c r="W777" s="6" t="str">
        <f>IFERROR(__xludf.DUMMYFUNCTION("""COMPUTED_VALUE"""),"[]")</f>
        <v>[]</v>
      </c>
      <c r="X777" s="6" t="str">
        <f>IFERROR(__xludf.DUMMYFUNCTION("""COMPUTED_VALUE"""),"Enrolled")</f>
        <v>Enrolled</v>
      </c>
    </row>
    <row r="778">
      <c r="A778" s="6" t="str">
        <f>IFERROR(__xludf.DUMMYFUNCTION("""COMPUTED_VALUE"""),"001-3491")</f>
        <v>001-3491</v>
      </c>
      <c r="B778" s="6" t="str">
        <f>IFERROR(__xludf.DUMMYFUNCTION("""COMPUTED_VALUE"""),"1")</f>
        <v>1</v>
      </c>
      <c r="C778" s="6" t="str">
        <f>IFERROR(__xludf.DUMMYFUNCTION("""COMPUTED_VALUE"""),"3491")</f>
        <v>3491</v>
      </c>
      <c r="D778" s="6" t="str">
        <f>IFERROR(__xludf.DUMMYFUNCTION("""COMPUTED_VALUE"""),"Vincent")</f>
        <v>Vincent</v>
      </c>
      <c r="E778" s="6" t="str">
        <f>IFERROR(__xludf.DUMMYFUNCTION("""COMPUTED_VALUE"""),"Vini")</f>
        <v>Vini</v>
      </c>
      <c r="F778" s="6" t="str">
        <f>IFERROR(__xludf.DUMMYFUNCTION("""COMPUTED_VALUE"""),"Blanco")</f>
        <v>Blanco</v>
      </c>
      <c r="G778" s="6" t="str">
        <f>IFERROR(__xludf.DUMMYFUNCTION("""COMPUTED_VALUE"""),"08/03/2021")</f>
        <v>08/03/2021</v>
      </c>
      <c r="H778" s="6" t="str">
        <f>IFERROR(__xludf.DUMMYFUNCTION("""COMPUTED_VALUE"""),"male")</f>
        <v>male</v>
      </c>
      <c r="I778" s="6" t="str">
        <f>IFERROR(__xludf.DUMMYFUNCTION("""COMPUTED_VALUE"""),"Wonder Lab")</f>
        <v>Wonder Lab</v>
      </c>
      <c r="J778" s="6" t="str">
        <f>IFERROR(__xludf.DUMMYFUNCTION("""COMPUTED_VALUE"""),"PK")</f>
        <v>PK</v>
      </c>
      <c r="K778" s="6" t="str">
        <f>IFERROR(__xludf.DUMMYFUNCTION("""COMPUTED_VALUE"""),"vincent.blanco@alpha.school")</f>
        <v>vincent.blanco@alpha.school</v>
      </c>
      <c r="L778" s="6" t="str">
        <f>IFERROR(__xludf.DUMMYFUNCTION("""COMPUTED_VALUE"""),"Alpha School Austin")</f>
        <v>Alpha School Austin</v>
      </c>
      <c r="M778" s="6" t="str">
        <f>IFERROR(__xludf.DUMMYFUNCTION("""COMPUTED_VALUE"""),"")</f>
        <v/>
      </c>
      <c r="N778" s="6" t="str">
        <f>IFERROR(__xludf.DUMMYFUNCTION("""COMPUTED_VALUE"""),"")</f>
        <v/>
      </c>
      <c r="O778" s="87" t="str">
        <f>IFERROR(__xludf.DUMMYFUNCTION("""COMPUTED_VALUE"""),"https://drive.google.com/drive/folders/10T2cTQHqEJZqE-st6uFKPoI?usp=share_link")</f>
        <v>https://drive.google.com/drive/folders/10T2cTQHqEJZqE-st6uFKPoI?usp=share_link</v>
      </c>
      <c r="P778" s="6" t="str">
        <f>IFERROR(__xludf.DUMMYFUNCTION("""COMPUTED_VALUE"""),"Vini Blanco")</f>
        <v>Vini Blanco</v>
      </c>
      <c r="Q778" s="6" t="str">
        <f>IFERROR(__xludf.DUMMYFUNCTION("""COMPUTED_VALUE"""),"WL")</f>
        <v>WL</v>
      </c>
      <c r="R778" s="6">
        <f>IFERROR(__xludf.DUMMYFUNCTION("""COMPUTED_VALUE"""),-1.0)</f>
        <v>-1</v>
      </c>
      <c r="S778" s="6" t="str">
        <f>IFERROR(__xludf.DUMMYFUNCTION("""COMPUTED_VALUE"""),"Cassie Blessing")</f>
        <v>Cassie Blessing</v>
      </c>
      <c r="T778" s="6" t="str">
        <f>IFERROR(__xludf.DUMMYFUNCTION("""COMPUTED_VALUE"""),"cassandra.blessing@alpha.school")</f>
        <v>cassandra.blessing@alpha.school</v>
      </c>
      <c r="U778" s="6" t="str">
        <f>IFERROR(__xludf.DUMMYFUNCTION("""COMPUTED_VALUE"""),"PK")</f>
        <v>PK</v>
      </c>
      <c r="V778" s="6" t="str">
        <f>IFERROR(__xludf.DUMMYFUNCTION("""COMPUTED_VALUE"""),"")</f>
        <v/>
      </c>
      <c r="W778" s="6" t="str">
        <f>IFERROR(__xludf.DUMMYFUNCTION("""COMPUTED_VALUE"""),"[]")</f>
        <v>[]</v>
      </c>
      <c r="X778" s="6" t="str">
        <f>IFERROR(__xludf.DUMMYFUNCTION("""COMPUTED_VALUE"""),"Enrolled")</f>
        <v>Enrolled</v>
      </c>
    </row>
    <row r="779">
      <c r="A779" s="6" t="str">
        <f>IFERROR(__xludf.DUMMYFUNCTION("""COMPUTED_VALUE"""),"001-3567")</f>
        <v>001-3567</v>
      </c>
      <c r="B779" s="6" t="str">
        <f>IFERROR(__xludf.DUMMYFUNCTION("""COMPUTED_VALUE"""),"1")</f>
        <v>1</v>
      </c>
      <c r="C779" s="6" t="str">
        <f>IFERROR(__xludf.DUMMYFUNCTION("""COMPUTED_VALUE"""),"3567")</f>
        <v>3567</v>
      </c>
      <c r="D779" s="6" t="str">
        <f>IFERROR(__xludf.DUMMYFUNCTION("""COMPUTED_VALUE"""),"Zoya")</f>
        <v>Zoya</v>
      </c>
      <c r="E779" s="6" t="str">
        <f>IFERROR(__xludf.DUMMYFUNCTION("""COMPUTED_VALUE"""),"Zoya")</f>
        <v>Zoya</v>
      </c>
      <c r="F779" s="6" t="str">
        <f>IFERROR(__xludf.DUMMYFUNCTION("""COMPUTED_VALUE"""),"Luna")</f>
        <v>Luna</v>
      </c>
      <c r="G779" s="6" t="str">
        <f>IFERROR(__xludf.DUMMYFUNCTION("""COMPUTED_VALUE"""),"12/29/2020")</f>
        <v>12/29/2020</v>
      </c>
      <c r="H779" s="6" t="str">
        <f>IFERROR(__xludf.DUMMYFUNCTION("""COMPUTED_VALUE"""),"female")</f>
        <v>female</v>
      </c>
      <c r="I779" s="6" t="str">
        <f>IFERROR(__xludf.DUMMYFUNCTION("""COMPUTED_VALUE"""),"Wonder Lab")</f>
        <v>Wonder Lab</v>
      </c>
      <c r="J779" s="6" t="str">
        <f>IFERROR(__xludf.DUMMYFUNCTION("""COMPUTED_VALUE"""),"PK")</f>
        <v>PK</v>
      </c>
      <c r="K779" s="6" t="str">
        <f>IFERROR(__xludf.DUMMYFUNCTION("""COMPUTED_VALUE"""),"zoya.luna@alpha.school")</f>
        <v>zoya.luna@alpha.school</v>
      </c>
      <c r="L779" s="6" t="str">
        <f>IFERROR(__xludf.DUMMYFUNCTION("""COMPUTED_VALUE"""),"Alpha School Austin")</f>
        <v>Alpha School Austin</v>
      </c>
      <c r="M779" s="6" t="str">
        <f>IFERROR(__xludf.DUMMYFUNCTION("""COMPUTED_VALUE"""),"")</f>
        <v/>
      </c>
      <c r="N779" s="6" t="str">
        <f>IFERROR(__xludf.DUMMYFUNCTION("""COMPUTED_VALUE"""),"")</f>
        <v/>
      </c>
      <c r="O779" s="87" t="str">
        <f>IFERROR(__xludf.DUMMYFUNCTION("""COMPUTED_VALUE"""),"https://drive.google.com/drive/folders/10T2cTQHqEJZqE-st6uFKPoI?usp=share_link")</f>
        <v>https://drive.google.com/drive/folders/10T2cTQHqEJZqE-st6uFKPoI?usp=share_link</v>
      </c>
      <c r="P779" s="6" t="str">
        <f>IFERROR(__xludf.DUMMYFUNCTION("""COMPUTED_VALUE"""),"Zoya Luna")</f>
        <v>Zoya Luna</v>
      </c>
      <c r="Q779" s="6" t="str">
        <f>IFERROR(__xludf.DUMMYFUNCTION("""COMPUTED_VALUE"""),"WL")</f>
        <v>WL</v>
      </c>
      <c r="R779" s="6">
        <f>IFERROR(__xludf.DUMMYFUNCTION("""COMPUTED_VALUE"""),-1.0)</f>
        <v>-1</v>
      </c>
      <c r="S779" s="6" t="str">
        <f>IFERROR(__xludf.DUMMYFUNCTION("""COMPUTED_VALUE"""),"Anna Slaby")</f>
        <v>Anna Slaby</v>
      </c>
      <c r="T779" s="6" t="str">
        <f>IFERROR(__xludf.DUMMYFUNCTION("""COMPUTED_VALUE"""),"anna.slaby@alpha.school")</f>
        <v>anna.slaby@alpha.school</v>
      </c>
      <c r="U779" s="6" t="str">
        <f>IFERROR(__xludf.DUMMYFUNCTION("""COMPUTED_VALUE"""),"PK")</f>
        <v>PK</v>
      </c>
      <c r="V779" s="6" t="str">
        <f>IFERROR(__xludf.DUMMYFUNCTION("""COMPUTED_VALUE"""),"")</f>
        <v/>
      </c>
      <c r="W779" s="6" t="str">
        <f>IFERROR(__xludf.DUMMYFUNCTION("""COMPUTED_VALUE"""),"[]")</f>
        <v>[]</v>
      </c>
      <c r="X779" s="6" t="str">
        <f>IFERROR(__xludf.DUMMYFUNCTION("""COMPUTED_VALUE"""),"Enrolled")</f>
        <v>Enrolled</v>
      </c>
    </row>
    <row r="780">
      <c r="A780" s="6" t="str">
        <f>IFERROR(__xludf.DUMMYFUNCTION("""COMPUTED_VALUE"""),"001-3621")</f>
        <v>001-3621</v>
      </c>
      <c r="B780" s="6" t="str">
        <f>IFERROR(__xludf.DUMMYFUNCTION("""COMPUTED_VALUE"""),"1")</f>
        <v>1</v>
      </c>
      <c r="C780" s="6" t="str">
        <f>IFERROR(__xludf.DUMMYFUNCTION("""COMPUTED_VALUE"""),"3621")</f>
        <v>3621</v>
      </c>
      <c r="D780" s="6" t="str">
        <f>IFERROR(__xludf.DUMMYFUNCTION("""COMPUTED_VALUE"""),"Alex")</f>
        <v>Alex</v>
      </c>
      <c r="E780" s="6" t="str">
        <f>IFERROR(__xludf.DUMMYFUNCTION("""COMPUTED_VALUE"""),"")</f>
        <v/>
      </c>
      <c r="F780" s="6" t="str">
        <f>IFERROR(__xludf.DUMMYFUNCTION("""COMPUTED_VALUE"""),"_test_Michel")</f>
        <v>_test_Michel</v>
      </c>
      <c r="G780" s="6" t="str">
        <f>IFERROR(__xludf.DUMMYFUNCTION("""COMPUTED_VALUE"""),"01/01/2014")</f>
        <v>01/01/2014</v>
      </c>
      <c r="H780" s="6" t="str">
        <f>IFERROR(__xludf.DUMMYFUNCTION("""COMPUTED_VALUE"""),"self_identify")</f>
        <v>self_identify</v>
      </c>
      <c r="I780" s="6" t="str">
        <f>IFERROR(__xludf.DUMMYFUNCTION("""COMPUTED_VALUE"""),"Middle School")</f>
        <v>Middle School</v>
      </c>
      <c r="J780" s="6" t="str">
        <f>IFERROR(__xludf.DUMMYFUNCTION("""COMPUTED_VALUE"""),"6")</f>
        <v>6</v>
      </c>
      <c r="K780" s="6" t="str">
        <f>IFERROR(__xludf.DUMMYFUNCTION("""COMPUTED_VALUE"""),"alex.michel@alpha.school")</f>
        <v>alex.michel@alpha.school</v>
      </c>
      <c r="L780" s="6" t="str">
        <f>IFERROR(__xludf.DUMMYFUNCTION("""COMPUTED_VALUE"""),"Alpha School Austin")</f>
        <v>Alpha School Austin</v>
      </c>
      <c r="M780" s="6" t="str">
        <f>IFERROR(__xludf.DUMMYFUNCTION("""COMPUTED_VALUE"""),"Test")</f>
        <v>Test</v>
      </c>
      <c r="N780" s="6" t="str">
        <f>IFERROR(__xludf.DUMMYFUNCTION("""COMPUTED_VALUE"""),"")</f>
        <v/>
      </c>
      <c r="O780" s="87" t="str">
        <f>IFERROR(__xludf.DUMMYFUNCTION("""COMPUTED_VALUE"""),"https://drive.google.com/drive/folders/10T2cTQHqEJZqE-st6uFKPoI?usp=share_link")</f>
        <v>https://drive.google.com/drive/folders/10T2cTQHqEJZqE-st6uFKPoI?usp=share_link</v>
      </c>
      <c r="P780" s="6" t="str">
        <f>IFERROR(__xludf.DUMMYFUNCTION("""COMPUTED_VALUE"""),"Alex _test_Michel")</f>
        <v>Alex _test_Michel</v>
      </c>
      <c r="Q780" s="6" t="str">
        <f>IFERROR(__xludf.DUMMYFUNCTION("""COMPUTED_VALUE"""),"MS")</f>
        <v>MS</v>
      </c>
      <c r="R780" s="6">
        <f>IFERROR(__xludf.DUMMYFUNCTION("""COMPUTED_VALUE"""),0.0)</f>
        <v>0</v>
      </c>
      <c r="S780" s="6" t="str">
        <f>IFERROR(__xludf.DUMMYFUNCTION("""COMPUTED_VALUE""")," ")</f>
        <v> </v>
      </c>
      <c r="T780" s="6" t="str">
        <f>IFERROR(__xludf.DUMMYFUNCTION("""COMPUTED_VALUE"""),"")</f>
        <v/>
      </c>
      <c r="U780" s="6" t="str">
        <f>IFERROR(__xludf.DUMMYFUNCTION("""COMPUTED_VALUE"""),"6")</f>
        <v>6</v>
      </c>
      <c r="V780" s="6" t="str">
        <f>IFERROR(__xludf.DUMMYFUNCTION("""COMPUTED_VALUE"""),"")</f>
        <v/>
      </c>
      <c r="W780" s="6" t="str">
        <f>IFERROR(__xludf.DUMMYFUNCTION("""COMPUTED_VALUE"""),"[]")</f>
        <v>[]</v>
      </c>
      <c r="X780" s="6" t="str">
        <f>IFERROR(__xludf.DUMMYFUNCTION("""COMPUTED_VALUE"""),"Enrolled")</f>
        <v>Enrolled</v>
      </c>
    </row>
    <row r="781">
      <c r="A781" s="6" t="str">
        <f>IFERROR(__xludf.DUMMYFUNCTION("""COMPUTED_VALUE"""),"001-3627")</f>
        <v>001-3627</v>
      </c>
      <c r="B781" s="6" t="str">
        <f>IFERROR(__xludf.DUMMYFUNCTION("""COMPUTED_VALUE"""),"1")</f>
        <v>1</v>
      </c>
      <c r="C781" s="6" t="str">
        <f>IFERROR(__xludf.DUMMYFUNCTION("""COMPUTED_VALUE"""),"3627")</f>
        <v>3627</v>
      </c>
      <c r="D781" s="6" t="str">
        <f>IFERROR(__xludf.DUMMYFUNCTION("""COMPUTED_VALUE"""),"Olivia")</f>
        <v>Olivia</v>
      </c>
      <c r="E781" s="6" t="str">
        <f>IFERROR(__xludf.DUMMYFUNCTION("""COMPUTED_VALUE"""),"")</f>
        <v/>
      </c>
      <c r="F781" s="6" t="str">
        <f>IFERROR(__xludf.DUMMYFUNCTION("""COMPUTED_VALUE"""),"Hirsch")</f>
        <v>Hirsch</v>
      </c>
      <c r="G781" s="6" t="str">
        <f>IFERROR(__xludf.DUMMYFUNCTION("""COMPUTED_VALUE"""),"10/28/2011")</f>
        <v>10/28/2011</v>
      </c>
      <c r="H781" s="6" t="str">
        <f>IFERROR(__xludf.DUMMYFUNCTION("""COMPUTED_VALUE"""),"female")</f>
        <v>female</v>
      </c>
      <c r="I781" s="6" t="str">
        <f>IFERROR(__xludf.DUMMYFUNCTION("""COMPUTED_VALUE"""),"Middle School")</f>
        <v>Middle School</v>
      </c>
      <c r="J781" s="6" t="str">
        <f>IFERROR(__xludf.DUMMYFUNCTION("""COMPUTED_VALUE"""),"8")</f>
        <v>8</v>
      </c>
      <c r="K781" s="6" t="str">
        <f>IFERROR(__xludf.DUMMYFUNCTION("""COMPUTED_VALUE"""),"olivia.hirsch@alpha.school")</f>
        <v>olivia.hirsch@alpha.school</v>
      </c>
      <c r="L781" s="6" t="str">
        <f>IFERROR(__xludf.DUMMYFUNCTION("""COMPUTED_VALUE"""),"Alpha School Austin")</f>
        <v>Alpha School Austin</v>
      </c>
      <c r="M781" s="6" t="str">
        <f>IFERROR(__xludf.DUMMYFUNCTION("""COMPUTED_VALUE"""),"")</f>
        <v/>
      </c>
      <c r="N781" s="6" t="str">
        <f>IFERROR(__xludf.DUMMYFUNCTION("""COMPUTED_VALUE"""),"")</f>
        <v/>
      </c>
      <c r="O781" s="87" t="str">
        <f>IFERROR(__xludf.DUMMYFUNCTION("""COMPUTED_VALUE"""),"https://drive.google.com/drive/folders/10T2cTQHqEJZqE-st6uFKPoI?usp=share_link")</f>
        <v>https://drive.google.com/drive/folders/10T2cTQHqEJZqE-st6uFKPoI?usp=share_link</v>
      </c>
      <c r="P781" s="6" t="str">
        <f>IFERROR(__xludf.DUMMYFUNCTION("""COMPUTED_VALUE"""),"Olivia Hirsch")</f>
        <v>Olivia Hirsch</v>
      </c>
      <c r="Q781" s="6" t="str">
        <f>IFERROR(__xludf.DUMMYFUNCTION("""COMPUTED_VALUE"""),"MS")</f>
        <v>MS</v>
      </c>
      <c r="R781" s="6">
        <f>IFERROR(__xludf.DUMMYFUNCTION("""COMPUTED_VALUE"""),0.0)</f>
        <v>0</v>
      </c>
      <c r="S781" s="6" t="str">
        <f>IFERROR(__xludf.DUMMYFUNCTION("""COMPUTED_VALUE"""),"Shaas Singh")</f>
        <v>Shaas Singh</v>
      </c>
      <c r="T781" s="6" t="str">
        <f>IFERROR(__xludf.DUMMYFUNCTION("""COMPUTED_VALUE"""),"shaas.singh@alpha.school")</f>
        <v>shaas.singh@alpha.school</v>
      </c>
      <c r="U781" s="6" t="str">
        <f>IFERROR(__xludf.DUMMYFUNCTION("""COMPUTED_VALUE"""),"8")</f>
        <v>8</v>
      </c>
      <c r="V781" s="6" t="str">
        <f>IFERROR(__xludf.DUMMYFUNCTION("""COMPUTED_VALUE"""),"")</f>
        <v/>
      </c>
      <c r="W781" s="6" t="str">
        <f>IFERROR(__xludf.DUMMYFUNCTION("""COMPUTED_VALUE"""),"[]")</f>
        <v>[]</v>
      </c>
      <c r="X781" s="6" t="str">
        <f>IFERROR(__xludf.DUMMYFUNCTION("""COMPUTED_VALUE"""),"Enrolled")</f>
        <v>Enrolled</v>
      </c>
    </row>
    <row r="782">
      <c r="A782" s="6" t="str">
        <f>IFERROR(__xludf.DUMMYFUNCTION("""COMPUTED_VALUE"""),"001-3663")</f>
        <v>001-3663</v>
      </c>
      <c r="B782" s="6" t="str">
        <f>IFERROR(__xludf.DUMMYFUNCTION("""COMPUTED_VALUE"""),"1")</f>
        <v>1</v>
      </c>
      <c r="C782" s="6" t="str">
        <f>IFERROR(__xludf.DUMMYFUNCTION("""COMPUTED_VALUE"""),"3663")</f>
        <v>3663</v>
      </c>
      <c r="D782" s="6" t="str">
        <f>IFERROR(__xludf.DUMMYFUNCTION("""COMPUTED_VALUE"""),"Rylan")</f>
        <v>Rylan</v>
      </c>
      <c r="E782" s="6" t="str">
        <f>IFERROR(__xludf.DUMMYFUNCTION("""COMPUTED_VALUE"""),"Rylan")</f>
        <v>Rylan</v>
      </c>
      <c r="F782" s="6" t="str">
        <f>IFERROR(__xludf.DUMMYFUNCTION("""COMPUTED_VALUE"""),"Joseph")</f>
        <v>Joseph</v>
      </c>
      <c r="G782" s="6" t="str">
        <f>IFERROR(__xludf.DUMMYFUNCTION("""COMPUTED_VALUE"""),"03/23/2020")</f>
        <v>03/23/2020</v>
      </c>
      <c r="H782" s="6" t="str">
        <f>IFERROR(__xludf.DUMMYFUNCTION("""COMPUTED_VALUE"""),"male")</f>
        <v>male</v>
      </c>
      <c r="I782" s="6" t="str">
        <f>IFERROR(__xludf.DUMMYFUNCTION("""COMPUTED_VALUE"""),"Learning Lab")</f>
        <v>Learning Lab</v>
      </c>
      <c r="J782" s="6" t="str">
        <f>IFERROR(__xludf.DUMMYFUNCTION("""COMPUTED_VALUE"""),"K")</f>
        <v>K</v>
      </c>
      <c r="K782" s="6" t="str">
        <f>IFERROR(__xludf.DUMMYFUNCTION("""COMPUTED_VALUE"""),"rylan.joseph@alpha.school")</f>
        <v>rylan.joseph@alpha.school</v>
      </c>
      <c r="L782" s="6" t="str">
        <f>IFERROR(__xludf.DUMMYFUNCTION("""COMPUTED_VALUE"""),"Alpha School Austin")</f>
        <v>Alpha School Austin</v>
      </c>
      <c r="M782" s="6" t="str">
        <f>IFERROR(__xludf.DUMMYFUNCTION("""COMPUTED_VALUE"""),"")</f>
        <v/>
      </c>
      <c r="N782" s="6" t="str">
        <f>IFERROR(__xludf.DUMMYFUNCTION("""COMPUTED_VALUE"""),"")</f>
        <v/>
      </c>
      <c r="O782" s="87" t="str">
        <f>IFERROR(__xludf.DUMMYFUNCTION("""COMPUTED_VALUE"""),"https://drive.google.com/drive/folders/10T2cTQHqEJZqE-st6uFKPoI?usp=share_link")</f>
        <v>https://drive.google.com/drive/folders/10T2cTQHqEJZqE-st6uFKPoI?usp=share_link</v>
      </c>
      <c r="P782" s="6" t="str">
        <f>IFERROR(__xludf.DUMMYFUNCTION("""COMPUTED_VALUE"""),"Rylan Joseph")</f>
        <v>Rylan Joseph</v>
      </c>
      <c r="Q782" s="6" t="str">
        <f>IFERROR(__xludf.DUMMYFUNCTION("""COMPUTED_VALUE"""),"LL")</f>
        <v>LL</v>
      </c>
      <c r="R782" s="6">
        <f>IFERROR(__xludf.DUMMYFUNCTION("""COMPUTED_VALUE"""),0.0)</f>
        <v>0</v>
      </c>
      <c r="S782" s="6" t="str">
        <f>IFERROR(__xludf.DUMMYFUNCTION("""COMPUTED_VALUE"""),"Carrington Haas")</f>
        <v>Carrington Haas</v>
      </c>
      <c r="T782" s="6" t="str">
        <f>IFERROR(__xludf.DUMMYFUNCTION("""COMPUTED_VALUE"""),"carrington.haas@alpha.school")</f>
        <v>carrington.haas@alpha.school</v>
      </c>
      <c r="U782" s="6" t="str">
        <f>IFERROR(__xludf.DUMMYFUNCTION("""COMPUTED_VALUE"""),"K")</f>
        <v>K</v>
      </c>
      <c r="V782" s="6" t="str">
        <f>IFERROR(__xludf.DUMMYFUNCTION("""COMPUTED_VALUE"""),"")</f>
        <v/>
      </c>
      <c r="W782" s="6" t="str">
        <f>IFERROR(__xludf.DUMMYFUNCTION("""COMPUTED_VALUE"""),"[]")</f>
        <v>[]</v>
      </c>
      <c r="X782" s="6" t="str">
        <f>IFERROR(__xludf.DUMMYFUNCTION("""COMPUTED_VALUE"""),"Enrolled")</f>
        <v>Enrolled</v>
      </c>
    </row>
    <row r="783">
      <c r="A783" s="6" t="str">
        <f>IFERROR(__xludf.DUMMYFUNCTION("""COMPUTED_VALUE"""),"001-3669")</f>
        <v>001-3669</v>
      </c>
      <c r="B783" s="6" t="str">
        <f>IFERROR(__xludf.DUMMYFUNCTION("""COMPUTED_VALUE"""),"1")</f>
        <v>1</v>
      </c>
      <c r="C783" s="6" t="str">
        <f>IFERROR(__xludf.DUMMYFUNCTION("""COMPUTED_VALUE"""),"3669")</f>
        <v>3669</v>
      </c>
      <c r="D783" s="6" t="str">
        <f>IFERROR(__xludf.DUMMYFUNCTION("""COMPUTED_VALUE"""),"Jacob")</f>
        <v>Jacob</v>
      </c>
      <c r="E783" s="6" t="str">
        <f>IFERROR(__xludf.DUMMYFUNCTION("""COMPUTED_VALUE"""),"Jacob")</f>
        <v>Jacob</v>
      </c>
      <c r="F783" s="6" t="str">
        <f>IFERROR(__xludf.DUMMYFUNCTION("""COMPUTED_VALUE"""),"Berman")</f>
        <v>Berman</v>
      </c>
      <c r="G783" s="6" t="str">
        <f>IFERROR(__xludf.DUMMYFUNCTION("""COMPUTED_VALUE"""),"09/02/2016")</f>
        <v>09/02/2016</v>
      </c>
      <c r="H783" s="6" t="str">
        <f>IFERROR(__xludf.DUMMYFUNCTION("""COMPUTED_VALUE"""),"male")</f>
        <v>male</v>
      </c>
      <c r="I783" s="6" t="str">
        <f>IFERROR(__xludf.DUMMYFUNCTION("""COMPUTED_VALUE"""),"Level 1")</f>
        <v>Level 1</v>
      </c>
      <c r="J783" s="6" t="str">
        <f>IFERROR(__xludf.DUMMYFUNCTION("""COMPUTED_VALUE"""),"3")</f>
        <v>3</v>
      </c>
      <c r="K783" s="6" t="str">
        <f>IFERROR(__xludf.DUMMYFUNCTION("""COMPUTED_VALUE"""),"jacob.berman@alpha.school")</f>
        <v>jacob.berman@alpha.school</v>
      </c>
      <c r="L783" s="6" t="str">
        <f>IFERROR(__xludf.DUMMYFUNCTION("""COMPUTED_VALUE"""),"Alpha School Austin")</f>
        <v>Alpha School Austin</v>
      </c>
      <c r="M783" s="6" t="str">
        <f>IFERROR(__xludf.DUMMYFUNCTION("""COMPUTED_VALUE"""),"")</f>
        <v/>
      </c>
      <c r="N783" s="6" t="str">
        <f>IFERROR(__xludf.DUMMYFUNCTION("""COMPUTED_VALUE"""),"")</f>
        <v/>
      </c>
      <c r="O783" s="87" t="str">
        <f>IFERROR(__xludf.DUMMYFUNCTION("""COMPUTED_VALUE"""),"https://drive.google.com/drive/folders/10T2cTQHqEJZqE-st6uFKPoI?usp=share_link")</f>
        <v>https://drive.google.com/drive/folders/10T2cTQHqEJZqE-st6uFKPoI?usp=share_link</v>
      </c>
      <c r="P783" s="6" t="str">
        <f>IFERROR(__xludf.DUMMYFUNCTION("""COMPUTED_VALUE"""),"Jacob Berman")</f>
        <v>Jacob Berman</v>
      </c>
      <c r="Q783" s="6" t="str">
        <f>IFERROR(__xludf.DUMMYFUNCTION("""COMPUTED_VALUE"""),"L1")</f>
        <v>L1</v>
      </c>
      <c r="R783" s="6">
        <f>IFERROR(__xludf.DUMMYFUNCTION("""COMPUTED_VALUE"""),1.0)</f>
        <v>1</v>
      </c>
      <c r="S783" s="6" t="str">
        <f>IFERROR(__xludf.DUMMYFUNCTION("""COMPUTED_VALUE"""),"Tanya Parker")</f>
        <v>Tanya Parker</v>
      </c>
      <c r="T783" s="6" t="str">
        <f>IFERROR(__xludf.DUMMYFUNCTION("""COMPUTED_VALUE"""),"tanya.parker@alpha.school")</f>
        <v>tanya.parker@alpha.school</v>
      </c>
      <c r="U783" s="6" t="str">
        <f>IFERROR(__xludf.DUMMYFUNCTION("""COMPUTED_VALUE"""),"3")</f>
        <v>3</v>
      </c>
      <c r="V783" s="6" t="str">
        <f>IFERROR(__xludf.DUMMYFUNCTION("""COMPUTED_VALUE"""),"")</f>
        <v/>
      </c>
      <c r="W783" s="6" t="str">
        <f>IFERROR(__xludf.DUMMYFUNCTION("""COMPUTED_VALUE"""),"[]")</f>
        <v>[]</v>
      </c>
      <c r="X783" s="6" t="str">
        <f>IFERROR(__xludf.DUMMYFUNCTION("""COMPUTED_VALUE"""),"Enrolled")</f>
        <v>Enrolled</v>
      </c>
    </row>
    <row r="784">
      <c r="A784" s="6" t="str">
        <f>IFERROR(__xludf.DUMMYFUNCTION("""COMPUTED_VALUE"""),"001-3939")</f>
        <v>001-3939</v>
      </c>
      <c r="B784" s="6" t="str">
        <f>IFERROR(__xludf.DUMMYFUNCTION("""COMPUTED_VALUE"""),"1")</f>
        <v>1</v>
      </c>
      <c r="C784" s="6" t="str">
        <f>IFERROR(__xludf.DUMMYFUNCTION("""COMPUTED_VALUE"""),"3939")</f>
        <v>3939</v>
      </c>
      <c r="D784" s="6" t="str">
        <f>IFERROR(__xludf.DUMMYFUNCTION("""COMPUTED_VALUE"""),"Nadia")</f>
        <v>Nadia</v>
      </c>
      <c r="E784" s="6" t="str">
        <f>IFERROR(__xludf.DUMMYFUNCTION("""COMPUTED_VALUE"""),"Nadia")</f>
        <v>Nadia</v>
      </c>
      <c r="F784" s="6" t="str">
        <f>IFERROR(__xludf.DUMMYFUNCTION("""COMPUTED_VALUE"""),"Mercer")</f>
        <v>Mercer</v>
      </c>
      <c r="G784" s="6" t="str">
        <f>IFERROR(__xludf.DUMMYFUNCTION("""COMPUTED_VALUE"""),"03/15/2021")</f>
        <v>03/15/2021</v>
      </c>
      <c r="H784" s="6" t="str">
        <f>IFERROR(__xludf.DUMMYFUNCTION("""COMPUTED_VALUE"""),"female")</f>
        <v>female</v>
      </c>
      <c r="I784" s="6" t="str">
        <f>IFERROR(__xludf.DUMMYFUNCTION("""COMPUTED_VALUE"""),"Wonder Lab")</f>
        <v>Wonder Lab</v>
      </c>
      <c r="J784" s="6" t="str">
        <f>IFERROR(__xludf.DUMMYFUNCTION("""COMPUTED_VALUE"""),"PK")</f>
        <v>PK</v>
      </c>
      <c r="K784" s="6" t="str">
        <f>IFERROR(__xludf.DUMMYFUNCTION("""COMPUTED_VALUE"""),"nadia.mercer@alpha.school")</f>
        <v>nadia.mercer@alpha.school</v>
      </c>
      <c r="L784" s="6" t="str">
        <f>IFERROR(__xludf.DUMMYFUNCTION("""COMPUTED_VALUE"""),"Alpha School Austin")</f>
        <v>Alpha School Austin</v>
      </c>
      <c r="M784" s="6" t="str">
        <f>IFERROR(__xludf.DUMMYFUNCTION("""COMPUTED_VALUE"""),"")</f>
        <v/>
      </c>
      <c r="N784" s="6" t="str">
        <f>IFERROR(__xludf.DUMMYFUNCTION("""COMPUTED_VALUE"""),"")</f>
        <v/>
      </c>
      <c r="O784" s="87" t="str">
        <f>IFERROR(__xludf.DUMMYFUNCTION("""COMPUTED_VALUE"""),"https://drive.google.com/drive/folders/10T2cTQHqEJZqE-st6uFKPoI?usp=share_link")</f>
        <v>https://drive.google.com/drive/folders/10T2cTQHqEJZqE-st6uFKPoI?usp=share_link</v>
      </c>
      <c r="P784" s="6" t="str">
        <f>IFERROR(__xludf.DUMMYFUNCTION("""COMPUTED_VALUE"""),"Nadia Mercer")</f>
        <v>Nadia Mercer</v>
      </c>
      <c r="Q784" s="6" t="str">
        <f>IFERROR(__xludf.DUMMYFUNCTION("""COMPUTED_VALUE"""),"WL")</f>
        <v>WL</v>
      </c>
      <c r="R784" s="6">
        <f>IFERROR(__xludf.DUMMYFUNCTION("""COMPUTED_VALUE"""),-1.0)</f>
        <v>-1</v>
      </c>
      <c r="S784" s="6" t="str">
        <f>IFERROR(__xludf.DUMMYFUNCTION("""COMPUTED_VALUE"""),"Cassie Blessing")</f>
        <v>Cassie Blessing</v>
      </c>
      <c r="T784" s="6" t="str">
        <f>IFERROR(__xludf.DUMMYFUNCTION("""COMPUTED_VALUE"""),"cassandra.blessing@alpha.school")</f>
        <v>cassandra.blessing@alpha.school</v>
      </c>
      <c r="U784" s="6" t="str">
        <f>IFERROR(__xludf.DUMMYFUNCTION("""COMPUTED_VALUE"""),"PK")</f>
        <v>PK</v>
      </c>
      <c r="V784" s="6" t="str">
        <f>IFERROR(__xludf.DUMMYFUNCTION("""COMPUTED_VALUE"""),"")</f>
        <v/>
      </c>
      <c r="W784" s="6" t="str">
        <f>IFERROR(__xludf.DUMMYFUNCTION("""COMPUTED_VALUE"""),"[]")</f>
        <v>[]</v>
      </c>
      <c r="X784" s="6" t="str">
        <f>IFERROR(__xludf.DUMMYFUNCTION("""COMPUTED_VALUE"""),"Enrolled")</f>
        <v>Enrolled</v>
      </c>
    </row>
    <row r="785">
      <c r="A785" s="6" t="str">
        <f>IFERROR(__xludf.DUMMYFUNCTION("""COMPUTED_VALUE"""),"001-4073")</f>
        <v>001-4073</v>
      </c>
      <c r="B785" s="6" t="str">
        <f>IFERROR(__xludf.DUMMYFUNCTION("""COMPUTED_VALUE"""),"1")</f>
        <v>1</v>
      </c>
      <c r="C785" s="6" t="str">
        <f>IFERROR(__xludf.DUMMYFUNCTION("""COMPUTED_VALUE"""),"4073")</f>
        <v>4073</v>
      </c>
      <c r="D785" s="6" t="str">
        <f>IFERROR(__xludf.DUMMYFUNCTION("""COMPUTED_VALUE"""),"Ferran Eashan")</f>
        <v>Ferran Eashan</v>
      </c>
      <c r="E785" s="6" t="str">
        <f>IFERROR(__xludf.DUMMYFUNCTION("""COMPUTED_VALUE"""),"Ferran")</f>
        <v>Ferran</v>
      </c>
      <c r="F785" s="6" t="str">
        <f>IFERROR(__xludf.DUMMYFUNCTION("""COMPUTED_VALUE"""),"Reddy")</f>
        <v>Reddy</v>
      </c>
      <c r="G785" s="6" t="str">
        <f>IFERROR(__xludf.DUMMYFUNCTION("""COMPUTED_VALUE"""),"11/08/2018")</f>
        <v>11/08/2018</v>
      </c>
      <c r="H785" s="6" t="str">
        <f>IFERROR(__xludf.DUMMYFUNCTION("""COMPUTED_VALUE"""),"male")</f>
        <v>male</v>
      </c>
      <c r="I785" s="6" t="str">
        <f>IFERROR(__xludf.DUMMYFUNCTION("""COMPUTED_VALUE"""),"Learning Lab")</f>
        <v>Learning Lab</v>
      </c>
      <c r="J785" s="6" t="str">
        <f>IFERROR(__xludf.DUMMYFUNCTION("""COMPUTED_VALUE"""),"1")</f>
        <v>1</v>
      </c>
      <c r="K785" s="6" t="str">
        <f>IFERROR(__xludf.DUMMYFUNCTION("""COMPUTED_VALUE"""),"ferran.eashan.reddy@alpha.school")</f>
        <v>ferran.eashan.reddy@alpha.school</v>
      </c>
      <c r="L785" s="6" t="str">
        <f>IFERROR(__xludf.DUMMYFUNCTION("""COMPUTED_VALUE"""),"Alpha School Austin")</f>
        <v>Alpha School Austin</v>
      </c>
      <c r="M785" s="6" t="str">
        <f>IFERROR(__xludf.DUMMYFUNCTION("""COMPUTED_VALUE"""),"")</f>
        <v/>
      </c>
      <c r="N785" s="6" t="str">
        <f>IFERROR(__xludf.DUMMYFUNCTION("""COMPUTED_VALUE"""),"")</f>
        <v/>
      </c>
      <c r="O785" s="87" t="str">
        <f>IFERROR(__xludf.DUMMYFUNCTION("""COMPUTED_VALUE"""),"https://drive.google.com/drive/folders/10T2cTQHqEJZqE-st6uFKPoI?usp=share_link")</f>
        <v>https://drive.google.com/drive/folders/10T2cTQHqEJZqE-st6uFKPoI?usp=share_link</v>
      </c>
      <c r="P785" s="6" t="str">
        <f>IFERROR(__xludf.DUMMYFUNCTION("""COMPUTED_VALUE"""),"Ferran Reddy")</f>
        <v>Ferran Reddy</v>
      </c>
      <c r="Q785" s="6" t="str">
        <f>IFERROR(__xludf.DUMMYFUNCTION("""COMPUTED_VALUE"""),"LL")</f>
        <v>LL</v>
      </c>
      <c r="R785" s="6">
        <f>IFERROR(__xludf.DUMMYFUNCTION("""COMPUTED_VALUE"""),0.0)</f>
        <v>0</v>
      </c>
      <c r="S785" s="6" t="str">
        <f>IFERROR(__xludf.DUMMYFUNCTION("""COMPUTED_VALUE"""),"Spencer Opatrny")</f>
        <v>Spencer Opatrny</v>
      </c>
      <c r="T785" s="6" t="str">
        <f>IFERROR(__xludf.DUMMYFUNCTION("""COMPUTED_VALUE"""),"spencer.opatrny@alpha.school")</f>
        <v>spencer.opatrny@alpha.school</v>
      </c>
      <c r="U785" s="6" t="str">
        <f>IFERROR(__xludf.DUMMYFUNCTION("""COMPUTED_VALUE"""),"1")</f>
        <v>1</v>
      </c>
      <c r="V785" s="6" t="str">
        <f>IFERROR(__xludf.DUMMYFUNCTION("""COMPUTED_VALUE"""),"")</f>
        <v/>
      </c>
      <c r="W785" s="6" t="str">
        <f>IFERROR(__xludf.DUMMYFUNCTION("""COMPUTED_VALUE"""),"[]")</f>
        <v>[]</v>
      </c>
      <c r="X785" s="6" t="str">
        <f>IFERROR(__xludf.DUMMYFUNCTION("""COMPUTED_VALUE"""),"Enrolled")</f>
        <v>Enrolled</v>
      </c>
    </row>
    <row r="786">
      <c r="A786" s="6" t="str">
        <f>IFERROR(__xludf.DUMMYFUNCTION("""COMPUTED_VALUE"""),"001-4370")</f>
        <v>001-4370</v>
      </c>
      <c r="B786" s="6" t="str">
        <f>IFERROR(__xludf.DUMMYFUNCTION("""COMPUTED_VALUE"""),"1")</f>
        <v>1</v>
      </c>
      <c r="C786" s="6" t="str">
        <f>IFERROR(__xludf.DUMMYFUNCTION("""COMPUTED_VALUE"""),"4370")</f>
        <v>4370</v>
      </c>
      <c r="D786" s="6" t="str">
        <f>IFERROR(__xludf.DUMMYFUNCTION("""COMPUTED_VALUE"""),"Said")</f>
        <v>Said</v>
      </c>
      <c r="E786" s="6" t="str">
        <f>IFERROR(__xludf.DUMMYFUNCTION("""COMPUTED_VALUE"""),"Saeed")</f>
        <v>Saeed</v>
      </c>
      <c r="F786" s="6" t="str">
        <f>IFERROR(__xludf.DUMMYFUNCTION("""COMPUTED_VALUE"""),"Tarawneh")</f>
        <v>Tarawneh</v>
      </c>
      <c r="G786" s="6" t="str">
        <f>IFERROR(__xludf.DUMMYFUNCTION("""COMPUTED_VALUE"""),"10/11/2009")</f>
        <v>10/11/2009</v>
      </c>
      <c r="H786" s="6" t="str">
        <f>IFERROR(__xludf.DUMMYFUNCTION("""COMPUTED_VALUE"""),"male")</f>
        <v>male</v>
      </c>
      <c r="I786" s="6" t="str">
        <f>IFERROR(__xludf.DUMMYFUNCTION("""COMPUTED_VALUE"""),"High School")</f>
        <v>High School</v>
      </c>
      <c r="J786" s="6" t="str">
        <f>IFERROR(__xludf.DUMMYFUNCTION("""COMPUTED_VALUE"""),"10")</f>
        <v>10</v>
      </c>
      <c r="K786" s="6" t="str">
        <f>IFERROR(__xludf.DUMMYFUNCTION("""COMPUTED_VALUE"""),"said.tarawneh@alpha.school")</f>
        <v>said.tarawneh@alpha.school</v>
      </c>
      <c r="L786" s="6" t="str">
        <f>IFERROR(__xludf.DUMMYFUNCTION("""COMPUTED_VALUE"""),"Alpha High School")</f>
        <v>Alpha High School</v>
      </c>
      <c r="M786" s="6" t="str">
        <f>IFERROR(__xludf.DUMMYFUNCTION("""COMPUTED_VALUE"""),"")</f>
        <v/>
      </c>
      <c r="N786" s="6" t="str">
        <f>IFERROR(__xludf.DUMMYFUNCTION("""COMPUTED_VALUE"""),"")</f>
        <v/>
      </c>
      <c r="O786" s="87" t="str">
        <f>IFERROR(__xludf.DUMMYFUNCTION("""COMPUTED_VALUE"""),"https://drive.google.com/drive/folders/10T2cTQHqEJZqE-st6uFKPoI?usp=share_link")</f>
        <v>https://drive.google.com/drive/folders/10T2cTQHqEJZqE-st6uFKPoI?usp=share_link</v>
      </c>
      <c r="P786" s="6" t="str">
        <f>IFERROR(__xludf.DUMMYFUNCTION("""COMPUTED_VALUE"""),"Saeed Tarawneh")</f>
        <v>Saeed Tarawneh</v>
      </c>
      <c r="Q786" s="6" t="str">
        <f>IFERROR(__xludf.DUMMYFUNCTION("""COMPUTED_VALUE"""),"HS")</f>
        <v>HS</v>
      </c>
      <c r="R786" s="6">
        <f>IFERROR(__xludf.DUMMYFUNCTION("""COMPUTED_VALUE"""),0.0)</f>
        <v>0</v>
      </c>
      <c r="S786" s="6" t="str">
        <f>IFERROR(__xludf.DUMMYFUNCTION("""COMPUTED_VALUE"""),"Cameron Sorsby")</f>
        <v>Cameron Sorsby</v>
      </c>
      <c r="T786" s="6" t="str">
        <f>IFERROR(__xludf.DUMMYFUNCTION("""COMPUTED_VALUE"""),"cameron.sorsby@alpha.school")</f>
        <v>cameron.sorsby@alpha.school</v>
      </c>
      <c r="U786" s="6" t="str">
        <f>IFERROR(__xludf.DUMMYFUNCTION("""COMPUTED_VALUE"""),"10")</f>
        <v>10</v>
      </c>
      <c r="V786" s="6" t="str">
        <f>IFERROR(__xludf.DUMMYFUNCTION("""COMPUTED_VALUE"""),"")</f>
        <v/>
      </c>
      <c r="W786" s="6" t="str">
        <f>IFERROR(__xludf.DUMMYFUNCTION("""COMPUTED_VALUE"""),"[]")</f>
        <v>[]</v>
      </c>
      <c r="X786" s="6" t="str">
        <f>IFERROR(__xludf.DUMMYFUNCTION("""COMPUTED_VALUE"""),"Enrolled")</f>
        <v>Enrolled</v>
      </c>
    </row>
    <row r="787">
      <c r="A787" s="6" t="str">
        <f>IFERROR(__xludf.DUMMYFUNCTION("""COMPUTED_VALUE"""),"001-4422")</f>
        <v>001-4422</v>
      </c>
      <c r="B787" s="6" t="str">
        <f>IFERROR(__xludf.DUMMYFUNCTION("""COMPUTED_VALUE"""),"1")</f>
        <v>1</v>
      </c>
      <c r="C787" s="6" t="str">
        <f>IFERROR(__xludf.DUMMYFUNCTION("""COMPUTED_VALUE"""),"4422")</f>
        <v>4422</v>
      </c>
      <c r="D787" s="6" t="str">
        <f>IFERROR(__xludf.DUMMYFUNCTION("""COMPUTED_VALUE"""),"William")</f>
        <v>William</v>
      </c>
      <c r="E787" s="6" t="str">
        <f>IFERROR(__xludf.DUMMYFUNCTION("""COMPUTED_VALUE"""),"Wills")</f>
        <v>Wills</v>
      </c>
      <c r="F787" s="6" t="str">
        <f>IFERROR(__xludf.DUMMYFUNCTION("""COMPUTED_VALUE"""),"Evans")</f>
        <v>Evans</v>
      </c>
      <c r="G787" s="6" t="str">
        <f>IFERROR(__xludf.DUMMYFUNCTION("""COMPUTED_VALUE"""),"07/10/2021")</f>
        <v>07/10/2021</v>
      </c>
      <c r="H787" s="6" t="str">
        <f>IFERROR(__xludf.DUMMYFUNCTION("""COMPUTED_VALUE"""),"male")</f>
        <v>male</v>
      </c>
      <c r="I787" s="6" t="str">
        <f>IFERROR(__xludf.DUMMYFUNCTION("""COMPUTED_VALUE"""),"Wonder Lab")</f>
        <v>Wonder Lab</v>
      </c>
      <c r="J787" s="6" t="str">
        <f>IFERROR(__xludf.DUMMYFUNCTION("""COMPUTED_VALUE"""),"PK")</f>
        <v>PK</v>
      </c>
      <c r="K787" s="6" t="str">
        <f>IFERROR(__xludf.DUMMYFUNCTION("""COMPUTED_VALUE"""),"william.evans@alpha.school")</f>
        <v>william.evans@alpha.school</v>
      </c>
      <c r="L787" s="6" t="str">
        <f>IFERROR(__xludf.DUMMYFUNCTION("""COMPUTED_VALUE"""),"Alpha School Austin")</f>
        <v>Alpha School Austin</v>
      </c>
      <c r="M787" s="6" t="str">
        <f>IFERROR(__xludf.DUMMYFUNCTION("""COMPUTED_VALUE"""),"")</f>
        <v/>
      </c>
      <c r="N787" s="6" t="str">
        <f>IFERROR(__xludf.DUMMYFUNCTION("""COMPUTED_VALUE"""),"")</f>
        <v/>
      </c>
      <c r="O787" s="87" t="str">
        <f>IFERROR(__xludf.DUMMYFUNCTION("""COMPUTED_VALUE"""),"https://drive.google.com/drive/folders/10T2cTQHqEJZqE-st6uFKPoI?usp=share_link")</f>
        <v>https://drive.google.com/drive/folders/10T2cTQHqEJZqE-st6uFKPoI?usp=share_link</v>
      </c>
      <c r="P787" s="6" t="str">
        <f>IFERROR(__xludf.DUMMYFUNCTION("""COMPUTED_VALUE"""),"Wills Evans")</f>
        <v>Wills Evans</v>
      </c>
      <c r="Q787" s="6" t="str">
        <f>IFERROR(__xludf.DUMMYFUNCTION("""COMPUTED_VALUE"""),"WL")</f>
        <v>WL</v>
      </c>
      <c r="R787" s="6">
        <f>IFERROR(__xludf.DUMMYFUNCTION("""COMPUTED_VALUE"""),-1.0)</f>
        <v>-1</v>
      </c>
      <c r="S787" s="6" t="str">
        <f>IFERROR(__xludf.DUMMYFUNCTION("""COMPUTED_VALUE"""),"Mallory Carranza")</f>
        <v>Mallory Carranza</v>
      </c>
      <c r="T787" s="6" t="str">
        <f>IFERROR(__xludf.DUMMYFUNCTION("""COMPUTED_VALUE"""),"mallory.carranza@alpha.school")</f>
        <v>mallory.carranza@alpha.school</v>
      </c>
      <c r="U787" s="6" t="str">
        <f>IFERROR(__xludf.DUMMYFUNCTION("""COMPUTED_VALUE"""),"PK")</f>
        <v>PK</v>
      </c>
      <c r="V787" s="6" t="str">
        <f>IFERROR(__xludf.DUMMYFUNCTION("""COMPUTED_VALUE"""),"")</f>
        <v/>
      </c>
      <c r="W787" s="6" t="str">
        <f>IFERROR(__xludf.DUMMYFUNCTION("""COMPUTED_VALUE"""),"[]")</f>
        <v>[]</v>
      </c>
      <c r="X787" s="6" t="str">
        <f>IFERROR(__xludf.DUMMYFUNCTION("""COMPUTED_VALUE"""),"Enrolled")</f>
        <v>Enrolled</v>
      </c>
    </row>
    <row r="788">
      <c r="A788" s="6" t="str">
        <f>IFERROR(__xludf.DUMMYFUNCTION("""COMPUTED_VALUE"""),"001-4434")</f>
        <v>001-4434</v>
      </c>
      <c r="B788" s="6" t="str">
        <f>IFERROR(__xludf.DUMMYFUNCTION("""COMPUTED_VALUE"""),"1")</f>
        <v>1</v>
      </c>
      <c r="C788" s="6" t="str">
        <f>IFERROR(__xludf.DUMMYFUNCTION("""COMPUTED_VALUE"""),"4434")</f>
        <v>4434</v>
      </c>
      <c r="D788" s="6" t="str">
        <f>IFERROR(__xludf.DUMMYFUNCTION("""COMPUTED_VALUE"""),"Tyson")</f>
        <v>Tyson</v>
      </c>
      <c r="E788" s="6" t="str">
        <f>IFERROR(__xludf.DUMMYFUNCTION("""COMPUTED_VALUE"""),"Tyson")</f>
        <v>Tyson</v>
      </c>
      <c r="F788" s="6" t="str">
        <f>IFERROR(__xludf.DUMMYFUNCTION("""COMPUTED_VALUE"""),"Karp")</f>
        <v>Karp</v>
      </c>
      <c r="G788" s="6" t="str">
        <f>IFERROR(__xludf.DUMMYFUNCTION("""COMPUTED_VALUE"""),"10/23/2013")</f>
        <v>10/23/2013</v>
      </c>
      <c r="H788" s="6" t="str">
        <f>IFERROR(__xludf.DUMMYFUNCTION("""COMPUTED_VALUE"""),"male")</f>
        <v>male</v>
      </c>
      <c r="I788" s="6" t="str">
        <f>IFERROR(__xludf.DUMMYFUNCTION("""COMPUTED_VALUE"""),"Middle School")</f>
        <v>Middle School</v>
      </c>
      <c r="J788" s="6" t="str">
        <f>IFERROR(__xludf.DUMMYFUNCTION("""COMPUTED_VALUE"""),"6")</f>
        <v>6</v>
      </c>
      <c r="K788" s="6" t="str">
        <f>IFERROR(__xludf.DUMMYFUNCTION("""COMPUTED_VALUE"""),"tyson.karp@alpha.school")</f>
        <v>tyson.karp@alpha.school</v>
      </c>
      <c r="L788" s="6" t="str">
        <f>IFERROR(__xludf.DUMMYFUNCTION("""COMPUTED_VALUE"""),"Alpha School Austin")</f>
        <v>Alpha School Austin</v>
      </c>
      <c r="M788" s="6" t="str">
        <f>IFERROR(__xludf.DUMMYFUNCTION("""COMPUTED_VALUE"""),"")</f>
        <v/>
      </c>
      <c r="N788" s="6" t="str">
        <f>IFERROR(__xludf.DUMMYFUNCTION("""COMPUTED_VALUE"""),"")</f>
        <v/>
      </c>
      <c r="O788" s="87" t="str">
        <f>IFERROR(__xludf.DUMMYFUNCTION("""COMPUTED_VALUE"""),"https://drive.google.com/drive/folders/10T2cTQHqEJZqE-st6uFKPoI?usp=share_link")</f>
        <v>https://drive.google.com/drive/folders/10T2cTQHqEJZqE-st6uFKPoI?usp=share_link</v>
      </c>
      <c r="P788" s="6" t="str">
        <f>IFERROR(__xludf.DUMMYFUNCTION("""COMPUTED_VALUE"""),"Tyson Karp")</f>
        <v>Tyson Karp</v>
      </c>
      <c r="Q788" s="6" t="str">
        <f>IFERROR(__xludf.DUMMYFUNCTION("""COMPUTED_VALUE"""),"MS")</f>
        <v>MS</v>
      </c>
      <c r="R788" s="6">
        <f>IFERROR(__xludf.DUMMYFUNCTION("""COMPUTED_VALUE"""),0.0)</f>
        <v>0</v>
      </c>
      <c r="S788" s="6" t="str">
        <f>IFERROR(__xludf.DUMMYFUNCTION("""COMPUTED_VALUE"""),"Israel Adesina")</f>
        <v>Israel Adesina</v>
      </c>
      <c r="T788" s="6" t="str">
        <f>IFERROR(__xludf.DUMMYFUNCTION("""COMPUTED_VALUE"""),"israel.adesina@alpha.school")</f>
        <v>israel.adesina@alpha.school</v>
      </c>
      <c r="U788" s="6" t="str">
        <f>IFERROR(__xludf.DUMMYFUNCTION("""COMPUTED_VALUE"""),"6")</f>
        <v>6</v>
      </c>
      <c r="V788" s="6" t="str">
        <f>IFERROR(__xludf.DUMMYFUNCTION("""COMPUTED_VALUE"""),"")</f>
        <v/>
      </c>
      <c r="W788" s="6" t="str">
        <f>IFERROR(__xludf.DUMMYFUNCTION("""COMPUTED_VALUE"""),"[]")</f>
        <v>[]</v>
      </c>
      <c r="X788" s="6" t="str">
        <f>IFERROR(__xludf.DUMMYFUNCTION("""COMPUTED_VALUE"""),"Enrolled")</f>
        <v>Enrolled</v>
      </c>
    </row>
    <row r="789">
      <c r="A789" s="6" t="str">
        <f>IFERROR(__xludf.DUMMYFUNCTION("""COMPUTED_VALUE"""),"001-4876")</f>
        <v>001-4876</v>
      </c>
      <c r="B789" s="6" t="str">
        <f>IFERROR(__xludf.DUMMYFUNCTION("""COMPUTED_VALUE"""),"1")</f>
        <v>1</v>
      </c>
      <c r="C789" s="6" t="str">
        <f>IFERROR(__xludf.DUMMYFUNCTION("""COMPUTED_VALUE"""),"4876")</f>
        <v>4876</v>
      </c>
      <c r="D789" s="6" t="str">
        <f>IFERROR(__xludf.DUMMYFUNCTION("""COMPUTED_VALUE"""),"GradePK")</f>
        <v>GradePK</v>
      </c>
      <c r="E789" s="6" t="str">
        <f>IFERROR(__xludf.DUMMYFUNCTION("""COMPUTED_VALUE"""),"")</f>
        <v/>
      </c>
      <c r="F789" s="6" t="str">
        <f>IFERROR(__xludf.DUMMYFUNCTION("""COMPUTED_VALUE"""),"Shadow5")</f>
        <v>Shadow5</v>
      </c>
      <c r="G789" s="6" t="str">
        <f>IFERROR(__xludf.DUMMYFUNCTION("""COMPUTED_VALUE"""),"01/01/2021")</f>
        <v>01/01/2021</v>
      </c>
      <c r="H789" s="6" t="str">
        <f>IFERROR(__xludf.DUMMYFUNCTION("""COMPUTED_VALUE"""),"Self Identify")</f>
        <v>Self Identify</v>
      </c>
      <c r="I789" s="6" t="str">
        <f>IFERROR(__xludf.DUMMYFUNCTION("""COMPUTED_VALUE"""),"Wonder Lab")</f>
        <v>Wonder Lab</v>
      </c>
      <c r="J789" s="6" t="str">
        <f>IFERROR(__xludf.DUMMYFUNCTION("""COMPUTED_VALUE"""),"PK")</f>
        <v>PK</v>
      </c>
      <c r="K789" s="6" t="str">
        <f>IFERROR(__xludf.DUMMYFUNCTION("""COMPUTED_VALUE"""),"gradepk.shadow5@alpha.school")</f>
        <v>gradepk.shadow5@alpha.school</v>
      </c>
      <c r="L789" s="6" t="str">
        <f>IFERROR(__xludf.DUMMYFUNCTION("""COMPUTED_VALUE"""),"Alpha School Austin")</f>
        <v>Alpha School Austin</v>
      </c>
      <c r="M789" s="6" t="str">
        <f>IFERROR(__xludf.DUMMYFUNCTION("""COMPUTED_VALUE"""),"Shadow")</f>
        <v>Shadow</v>
      </c>
      <c r="N789" s="6" t="str">
        <f>IFERROR(__xludf.DUMMYFUNCTION("""COMPUTED_VALUE"""),"")</f>
        <v/>
      </c>
      <c r="O789" s="87" t="str">
        <f>IFERROR(__xludf.DUMMYFUNCTION("""COMPUTED_VALUE"""),"https://drive.google.com/drive/folders/10T2cTQHqEJZqE-st6uFKPoI?usp=share_link")</f>
        <v>https://drive.google.com/drive/folders/10T2cTQHqEJZqE-st6uFKPoI?usp=share_link</v>
      </c>
      <c r="P789" s="6" t="str">
        <f>IFERROR(__xludf.DUMMYFUNCTION("""COMPUTED_VALUE"""),"GradePK Shadow5")</f>
        <v>GradePK Shadow5</v>
      </c>
      <c r="Q789" s="6" t="str">
        <f>IFERROR(__xludf.DUMMYFUNCTION("""COMPUTED_VALUE"""),"WL")</f>
        <v>WL</v>
      </c>
      <c r="R789" s="6">
        <f>IFERROR(__xludf.DUMMYFUNCTION("""COMPUTED_VALUE"""),-1.0)</f>
        <v>-1</v>
      </c>
      <c r="S789" s="6" t="str">
        <f>IFERROR(__xludf.DUMMYFUNCTION("""COMPUTED_VALUE""")," ")</f>
        <v> </v>
      </c>
      <c r="T789" s="6" t="str">
        <f>IFERROR(__xludf.DUMMYFUNCTION("""COMPUTED_VALUE"""),"")</f>
        <v/>
      </c>
      <c r="U789" s="6" t="str">
        <f>IFERROR(__xludf.DUMMYFUNCTION("""COMPUTED_VALUE"""),"PK")</f>
        <v>PK</v>
      </c>
      <c r="V789" s="6" t="str">
        <f>IFERROR(__xludf.DUMMYFUNCTION("""COMPUTED_VALUE"""),"")</f>
        <v/>
      </c>
      <c r="W789" s="6" t="str">
        <f>IFERROR(__xludf.DUMMYFUNCTION("""COMPUTED_VALUE"""),"[]")</f>
        <v>[]</v>
      </c>
      <c r="X789" s="6" t="str">
        <f>IFERROR(__xludf.DUMMYFUNCTION("""COMPUTED_VALUE"""),"Enrolled")</f>
        <v>Enrolled</v>
      </c>
    </row>
    <row r="790">
      <c r="A790" s="6" t="str">
        <f>IFERROR(__xludf.DUMMYFUNCTION("""COMPUTED_VALUE"""),"001-4940")</f>
        <v>001-4940</v>
      </c>
      <c r="B790" s="6" t="str">
        <f>IFERROR(__xludf.DUMMYFUNCTION("""COMPUTED_VALUE"""),"1")</f>
        <v>1</v>
      </c>
      <c r="C790" s="6" t="str">
        <f>IFERROR(__xludf.DUMMYFUNCTION("""COMPUTED_VALUE"""),"4940")</f>
        <v>4940</v>
      </c>
      <c r="D790" s="6" t="str">
        <f>IFERROR(__xludf.DUMMYFUNCTION("""COMPUTED_VALUE"""),"Yashar Student 2")</f>
        <v>Yashar Student 2</v>
      </c>
      <c r="E790" s="6" t="str">
        <f>IFERROR(__xludf.DUMMYFUNCTION("""COMPUTED_VALUE"""),"")</f>
        <v/>
      </c>
      <c r="F790" s="6" t="str">
        <f>IFERROR(__xludf.DUMMYFUNCTION("""COMPUTED_VALUE"""),"_test_")</f>
        <v>_test_</v>
      </c>
      <c r="G790" s="6" t="str">
        <f>IFERROR(__xludf.DUMMYFUNCTION("""COMPUTED_VALUE"""),"01/08/2023")</f>
        <v>01/08/2023</v>
      </c>
      <c r="H790" s="6" t="str">
        <f>IFERROR(__xludf.DUMMYFUNCTION("""COMPUTED_VALUE"""),"Self Identify")</f>
        <v>Self Identify</v>
      </c>
      <c r="I790" s="6" t="str">
        <f>IFERROR(__xludf.DUMMYFUNCTION("""COMPUTED_VALUE"""),"Level 1")</f>
        <v>Level 1</v>
      </c>
      <c r="J790" s="6" t="str">
        <f>IFERROR(__xludf.DUMMYFUNCTION("""COMPUTED_VALUE"""),"3")</f>
        <v>3</v>
      </c>
      <c r="K790" s="6" t="str">
        <f>IFERROR(__xludf.DUMMYFUNCTION("""COMPUTED_VALUE"""),"yasharstudent2.test@alpha.school")</f>
        <v>yasharstudent2.test@alpha.school</v>
      </c>
      <c r="L790" s="6" t="str">
        <f>IFERROR(__xludf.DUMMYFUNCTION("""COMPUTED_VALUE"""),"Alpha School Austin")</f>
        <v>Alpha School Austin</v>
      </c>
      <c r="M790" s="6" t="str">
        <f>IFERROR(__xludf.DUMMYFUNCTION("""COMPUTED_VALUE"""),"Test")</f>
        <v>Test</v>
      </c>
      <c r="N790" s="6" t="str">
        <f>IFERROR(__xludf.DUMMYFUNCTION("""COMPUTED_VALUE"""),"")</f>
        <v/>
      </c>
      <c r="O790" s="87" t="str">
        <f>IFERROR(__xludf.DUMMYFUNCTION("""COMPUTED_VALUE"""),"https://drive.google.com/drive/folders/10T2cTQHqEJZqE-st6uFKPoI?usp=share_link")</f>
        <v>https://drive.google.com/drive/folders/10T2cTQHqEJZqE-st6uFKPoI?usp=share_link</v>
      </c>
      <c r="P790" s="6" t="str">
        <f>IFERROR(__xludf.DUMMYFUNCTION("""COMPUTED_VALUE"""),"Yashar Student 2 _test_")</f>
        <v>Yashar Student 2 _test_</v>
      </c>
      <c r="Q790" s="6" t="str">
        <f>IFERROR(__xludf.DUMMYFUNCTION("""COMPUTED_VALUE"""),"L1")</f>
        <v>L1</v>
      </c>
      <c r="R790" s="6">
        <f>IFERROR(__xludf.DUMMYFUNCTION("""COMPUTED_VALUE"""),1.0)</f>
        <v>1</v>
      </c>
      <c r="S790" s="6" t="str">
        <f>IFERROR(__xludf.DUMMYFUNCTION("""COMPUTED_VALUE""")," ")</f>
        <v> </v>
      </c>
      <c r="T790" s="6" t="str">
        <f>IFERROR(__xludf.DUMMYFUNCTION("""COMPUTED_VALUE"""),"")</f>
        <v/>
      </c>
      <c r="U790" s="6" t="str">
        <f>IFERROR(__xludf.DUMMYFUNCTION("""COMPUTED_VALUE"""),"3")</f>
        <v>3</v>
      </c>
      <c r="V790" s="6" t="str">
        <f>IFERROR(__xludf.DUMMYFUNCTION("""COMPUTED_VALUE"""),"")</f>
        <v/>
      </c>
      <c r="W790" s="6" t="str">
        <f>IFERROR(__xludf.DUMMYFUNCTION("""COMPUTED_VALUE"""),"[]")</f>
        <v>[]</v>
      </c>
      <c r="X790" s="6" t="str">
        <f>IFERROR(__xludf.DUMMYFUNCTION("""COMPUTED_VALUE"""),"Pending Review")</f>
        <v>Pending Review</v>
      </c>
    </row>
    <row r="791">
      <c r="A791" s="6" t="str">
        <f>IFERROR(__xludf.DUMMYFUNCTION("""COMPUTED_VALUE"""),"001-5625")</f>
        <v>001-5625</v>
      </c>
      <c r="B791" s="6" t="str">
        <f>IFERROR(__xludf.DUMMYFUNCTION("""COMPUTED_VALUE"""),"1")</f>
        <v>1</v>
      </c>
      <c r="C791" s="6" t="str">
        <f>IFERROR(__xludf.DUMMYFUNCTION("""COMPUTED_VALUE"""),"5625")</f>
        <v>5625</v>
      </c>
      <c r="D791" s="6" t="str">
        <f>IFERROR(__xludf.DUMMYFUNCTION("""COMPUTED_VALUE"""),"Woodson")</f>
        <v>Woodson</v>
      </c>
      <c r="E791" s="6" t="str">
        <f>IFERROR(__xludf.DUMMYFUNCTION("""COMPUTED_VALUE"""),"Woody")</f>
        <v>Woody</v>
      </c>
      <c r="F791" s="6" t="str">
        <f>IFERROR(__xludf.DUMMYFUNCTION("""COMPUTED_VALUE"""),"Wilcox")</f>
        <v>Wilcox</v>
      </c>
      <c r="G791" s="6" t="str">
        <f>IFERROR(__xludf.DUMMYFUNCTION("""COMPUTED_VALUE"""),"11/02/2020")</f>
        <v>11/02/2020</v>
      </c>
      <c r="H791" s="6" t="str">
        <f>IFERROR(__xludf.DUMMYFUNCTION("""COMPUTED_VALUE"""),"male")</f>
        <v>male</v>
      </c>
      <c r="I791" s="6" t="str">
        <f>IFERROR(__xludf.DUMMYFUNCTION("""COMPUTED_VALUE"""),"Learning Lab")</f>
        <v>Learning Lab</v>
      </c>
      <c r="J791" s="6" t="str">
        <f>IFERROR(__xludf.DUMMYFUNCTION("""COMPUTED_VALUE"""),"K")</f>
        <v>K</v>
      </c>
      <c r="K791" s="6" t="str">
        <f>IFERROR(__xludf.DUMMYFUNCTION("""COMPUTED_VALUE"""),"woodson.wilcox@alpha.school")</f>
        <v>woodson.wilcox@alpha.school</v>
      </c>
      <c r="L791" s="6" t="str">
        <f>IFERROR(__xludf.DUMMYFUNCTION("""COMPUTED_VALUE"""),"Alpha School Austin")</f>
        <v>Alpha School Austin</v>
      </c>
      <c r="M791" s="6" t="str">
        <f>IFERROR(__xludf.DUMMYFUNCTION("""COMPUTED_VALUE"""),"")</f>
        <v/>
      </c>
      <c r="N791" s="6" t="str">
        <f>IFERROR(__xludf.DUMMYFUNCTION("""COMPUTED_VALUE"""),"")</f>
        <v/>
      </c>
      <c r="O791" s="87" t="str">
        <f>IFERROR(__xludf.DUMMYFUNCTION("""COMPUTED_VALUE"""),"https://drive.google.com/drive/folders/10T2cTQHqEJZqE-st6uFKPoI?usp=share_link")</f>
        <v>https://drive.google.com/drive/folders/10T2cTQHqEJZqE-st6uFKPoI?usp=share_link</v>
      </c>
      <c r="P791" s="6" t="str">
        <f>IFERROR(__xludf.DUMMYFUNCTION("""COMPUTED_VALUE"""),"Woody Wilcox")</f>
        <v>Woody Wilcox</v>
      </c>
      <c r="Q791" s="6" t="str">
        <f>IFERROR(__xludf.DUMMYFUNCTION("""COMPUTED_VALUE"""),"LL")</f>
        <v>LL</v>
      </c>
      <c r="R791" s="6">
        <f>IFERROR(__xludf.DUMMYFUNCTION("""COMPUTED_VALUE"""),0.0)</f>
        <v>0</v>
      </c>
      <c r="S791" s="6" t="str">
        <f>IFERROR(__xludf.DUMMYFUNCTION("""COMPUTED_VALUE"""),"Charity Villegas")</f>
        <v>Charity Villegas</v>
      </c>
      <c r="T791" s="6" t="str">
        <f>IFERROR(__xludf.DUMMYFUNCTION("""COMPUTED_VALUE"""),"charity.villegas@alpha.school")</f>
        <v>charity.villegas@alpha.school</v>
      </c>
      <c r="U791" s="6" t="str">
        <f>IFERROR(__xludf.DUMMYFUNCTION("""COMPUTED_VALUE"""),"K")</f>
        <v>K</v>
      </c>
      <c r="V791" s="6" t="str">
        <f>IFERROR(__xludf.DUMMYFUNCTION("""COMPUTED_VALUE"""),"")</f>
        <v/>
      </c>
      <c r="W791" s="6" t="str">
        <f>IFERROR(__xludf.DUMMYFUNCTION("""COMPUTED_VALUE"""),"[]")</f>
        <v>[]</v>
      </c>
      <c r="X791" s="6" t="str">
        <f>IFERROR(__xludf.DUMMYFUNCTION("""COMPUTED_VALUE"""),"Enrolled")</f>
        <v>Enrolled</v>
      </c>
    </row>
    <row r="792">
      <c r="A792" s="6" t="str">
        <f>IFERROR(__xludf.DUMMYFUNCTION("""COMPUTED_VALUE"""),"001-5630")</f>
        <v>001-5630</v>
      </c>
      <c r="B792" s="6" t="str">
        <f>IFERROR(__xludf.DUMMYFUNCTION("""COMPUTED_VALUE"""),"1")</f>
        <v>1</v>
      </c>
      <c r="C792" s="6" t="str">
        <f>IFERROR(__xludf.DUMMYFUNCTION("""COMPUTED_VALUE"""),"5630")</f>
        <v>5630</v>
      </c>
      <c r="D792" s="6" t="str">
        <f>IFERROR(__xludf.DUMMYFUNCTION("""COMPUTED_VALUE"""),"Asher")</f>
        <v>Asher</v>
      </c>
      <c r="E792" s="6" t="str">
        <f>IFERROR(__xludf.DUMMYFUNCTION("""COMPUTED_VALUE"""),"Ash")</f>
        <v>Ash</v>
      </c>
      <c r="F792" s="6" t="str">
        <f>IFERROR(__xludf.DUMMYFUNCTION("""COMPUTED_VALUE"""),"Hoogstraten")</f>
        <v>Hoogstraten</v>
      </c>
      <c r="G792" s="6" t="str">
        <f>IFERROR(__xludf.DUMMYFUNCTION("""COMPUTED_VALUE"""),"02/23/2021")</f>
        <v>02/23/2021</v>
      </c>
      <c r="H792" s="6" t="str">
        <f>IFERROR(__xludf.DUMMYFUNCTION("""COMPUTED_VALUE"""),"male")</f>
        <v>male</v>
      </c>
      <c r="I792" s="6" t="str">
        <f>IFERROR(__xludf.DUMMYFUNCTION("""COMPUTED_VALUE"""),"Wonder Lab")</f>
        <v>Wonder Lab</v>
      </c>
      <c r="J792" s="6" t="str">
        <f>IFERROR(__xludf.DUMMYFUNCTION("""COMPUTED_VALUE"""),"PK")</f>
        <v>PK</v>
      </c>
      <c r="K792" s="6" t="str">
        <f>IFERROR(__xludf.DUMMYFUNCTION("""COMPUTED_VALUE"""),"asher.hoogstraten@alpha.school")</f>
        <v>asher.hoogstraten@alpha.school</v>
      </c>
      <c r="L792" s="6" t="str">
        <f>IFERROR(__xludf.DUMMYFUNCTION("""COMPUTED_VALUE"""),"Alpha School Austin")</f>
        <v>Alpha School Austin</v>
      </c>
      <c r="M792" s="6" t="str">
        <f>IFERROR(__xludf.DUMMYFUNCTION("""COMPUTED_VALUE"""),"")</f>
        <v/>
      </c>
      <c r="N792" s="6" t="str">
        <f>IFERROR(__xludf.DUMMYFUNCTION("""COMPUTED_VALUE"""),"")</f>
        <v/>
      </c>
      <c r="O792" s="87" t="str">
        <f>IFERROR(__xludf.DUMMYFUNCTION("""COMPUTED_VALUE"""),"https://drive.google.com/drive/folders/10T2cTQHqEJZqE-st6uFKPoI?usp=share_link")</f>
        <v>https://drive.google.com/drive/folders/10T2cTQHqEJZqE-st6uFKPoI?usp=share_link</v>
      </c>
      <c r="P792" s="6" t="str">
        <f>IFERROR(__xludf.DUMMYFUNCTION("""COMPUTED_VALUE"""),"Ash Hoogstraten")</f>
        <v>Ash Hoogstraten</v>
      </c>
      <c r="Q792" s="6" t="str">
        <f>IFERROR(__xludf.DUMMYFUNCTION("""COMPUTED_VALUE"""),"WL")</f>
        <v>WL</v>
      </c>
      <c r="R792" s="6">
        <f>IFERROR(__xludf.DUMMYFUNCTION("""COMPUTED_VALUE"""),-1.0)</f>
        <v>-1</v>
      </c>
      <c r="S792" s="6" t="str">
        <f>IFERROR(__xludf.DUMMYFUNCTION("""COMPUTED_VALUE"""),"Mallory Carranza")</f>
        <v>Mallory Carranza</v>
      </c>
      <c r="T792" s="6" t="str">
        <f>IFERROR(__xludf.DUMMYFUNCTION("""COMPUTED_VALUE"""),"mallory.carranza@alpha.school")</f>
        <v>mallory.carranza@alpha.school</v>
      </c>
      <c r="U792" s="6" t="str">
        <f>IFERROR(__xludf.DUMMYFUNCTION("""COMPUTED_VALUE"""),"PK")</f>
        <v>PK</v>
      </c>
      <c r="V792" s="6" t="str">
        <f>IFERROR(__xludf.DUMMYFUNCTION("""COMPUTED_VALUE"""),"")</f>
        <v/>
      </c>
      <c r="W792" s="6" t="str">
        <f>IFERROR(__xludf.DUMMYFUNCTION("""COMPUTED_VALUE"""),"[]")</f>
        <v>[]</v>
      </c>
      <c r="X792" s="6" t="str">
        <f>IFERROR(__xludf.DUMMYFUNCTION("""COMPUTED_VALUE"""),"Enrolled")</f>
        <v>Enrolled</v>
      </c>
    </row>
    <row r="793">
      <c r="A793" s="6" t="str">
        <f>IFERROR(__xludf.DUMMYFUNCTION("""COMPUTED_VALUE"""),"001-6838")</f>
        <v>001-6838</v>
      </c>
      <c r="B793" s="6" t="str">
        <f>IFERROR(__xludf.DUMMYFUNCTION("""COMPUTED_VALUE"""),"1")</f>
        <v>1</v>
      </c>
      <c r="C793" s="6" t="str">
        <f>IFERROR(__xludf.DUMMYFUNCTION("""COMPUTED_VALUE"""),"6838")</f>
        <v>6838</v>
      </c>
      <c r="D793" s="6" t="str">
        <f>IFERROR(__xludf.DUMMYFUNCTION("""COMPUTED_VALUE"""),"Arlo")</f>
        <v>Arlo</v>
      </c>
      <c r="E793" s="6" t="str">
        <f>IFERROR(__xludf.DUMMYFUNCTION("""COMPUTED_VALUE"""),"")</f>
        <v/>
      </c>
      <c r="F793" s="6" t="str">
        <f>IFERROR(__xludf.DUMMYFUNCTION("""COMPUTED_VALUE"""),"Knecht")</f>
        <v>Knecht</v>
      </c>
      <c r="G793" s="6" t="str">
        <f>IFERROR(__xludf.DUMMYFUNCTION("""COMPUTED_VALUE"""),"04/07/2021")</f>
        <v>04/07/2021</v>
      </c>
      <c r="H793" s="6" t="str">
        <f>IFERROR(__xludf.DUMMYFUNCTION("""COMPUTED_VALUE"""),"male")</f>
        <v>male</v>
      </c>
      <c r="I793" s="6" t="str">
        <f>IFERROR(__xludf.DUMMYFUNCTION("""COMPUTED_VALUE"""),"Wonder Lab")</f>
        <v>Wonder Lab</v>
      </c>
      <c r="J793" s="6" t="str">
        <f>IFERROR(__xludf.DUMMYFUNCTION("""COMPUTED_VALUE"""),"PK")</f>
        <v>PK</v>
      </c>
      <c r="K793" s="6" t="str">
        <f>IFERROR(__xludf.DUMMYFUNCTION("""COMPUTED_VALUE"""),"arlo.knecht@alpha.school")</f>
        <v>arlo.knecht@alpha.school</v>
      </c>
      <c r="L793" s="6" t="str">
        <f>IFERROR(__xludf.DUMMYFUNCTION("""COMPUTED_VALUE"""),"Alpha School Austin")</f>
        <v>Alpha School Austin</v>
      </c>
      <c r="M793" s="6" t="str">
        <f>IFERROR(__xludf.DUMMYFUNCTION("""COMPUTED_VALUE"""),"")</f>
        <v/>
      </c>
      <c r="N793" s="6" t="str">
        <f>IFERROR(__xludf.DUMMYFUNCTION("""COMPUTED_VALUE"""),"")</f>
        <v/>
      </c>
      <c r="O793" s="87" t="str">
        <f>IFERROR(__xludf.DUMMYFUNCTION("""COMPUTED_VALUE"""),"https://drive.google.com/drive/folders/10T2cTQHqEJZqE-st6uFKPoI?usp=share_link")</f>
        <v>https://drive.google.com/drive/folders/10T2cTQHqEJZqE-st6uFKPoI?usp=share_link</v>
      </c>
      <c r="P793" s="6" t="str">
        <f>IFERROR(__xludf.DUMMYFUNCTION("""COMPUTED_VALUE"""),"Arlo Knecht")</f>
        <v>Arlo Knecht</v>
      </c>
      <c r="Q793" s="6" t="str">
        <f>IFERROR(__xludf.DUMMYFUNCTION("""COMPUTED_VALUE"""),"WL")</f>
        <v>WL</v>
      </c>
      <c r="R793" s="6">
        <f>IFERROR(__xludf.DUMMYFUNCTION("""COMPUTED_VALUE"""),-1.0)</f>
        <v>-1</v>
      </c>
      <c r="S793" s="6" t="str">
        <f>IFERROR(__xludf.DUMMYFUNCTION("""COMPUTED_VALUE"""),"Cassie Blessing")</f>
        <v>Cassie Blessing</v>
      </c>
      <c r="T793" s="6" t="str">
        <f>IFERROR(__xludf.DUMMYFUNCTION("""COMPUTED_VALUE"""),"cassandra.blessing@alpha.school")</f>
        <v>cassandra.blessing@alpha.school</v>
      </c>
      <c r="U793" s="6" t="str">
        <f>IFERROR(__xludf.DUMMYFUNCTION("""COMPUTED_VALUE"""),"PK")</f>
        <v>PK</v>
      </c>
      <c r="V793" s="6" t="str">
        <f>IFERROR(__xludf.DUMMYFUNCTION("""COMPUTED_VALUE"""),"")</f>
        <v/>
      </c>
      <c r="W793" s="6" t="str">
        <f>IFERROR(__xludf.DUMMYFUNCTION("""COMPUTED_VALUE"""),"[]")</f>
        <v>[]</v>
      </c>
      <c r="X793" s="6" t="str">
        <f>IFERROR(__xludf.DUMMYFUNCTION("""COMPUTED_VALUE"""),"Enrolled")</f>
        <v>Enrolled</v>
      </c>
    </row>
    <row r="794">
      <c r="A794" s="6" t="str">
        <f>IFERROR(__xludf.DUMMYFUNCTION("""COMPUTED_VALUE"""),"001-6870")</f>
        <v>001-6870</v>
      </c>
      <c r="B794" s="6" t="str">
        <f>IFERROR(__xludf.DUMMYFUNCTION("""COMPUTED_VALUE"""),"1")</f>
        <v>1</v>
      </c>
      <c r="C794" s="6" t="str">
        <f>IFERROR(__xludf.DUMMYFUNCTION("""COMPUTED_VALUE"""),"6870")</f>
        <v>6870</v>
      </c>
      <c r="D794" s="6" t="str">
        <f>IFERROR(__xludf.DUMMYFUNCTION("""COMPUTED_VALUE"""),"Taliah")</f>
        <v>Taliah</v>
      </c>
      <c r="E794" s="6" t="str">
        <f>IFERROR(__xludf.DUMMYFUNCTION("""COMPUTED_VALUE"""),"")</f>
        <v/>
      </c>
      <c r="F794" s="6" t="str">
        <f>IFERROR(__xludf.DUMMYFUNCTION("""COMPUTED_VALUE"""),"Granados")</f>
        <v>Granados</v>
      </c>
      <c r="G794" s="6" t="str">
        <f>IFERROR(__xludf.DUMMYFUNCTION("""COMPUTED_VALUE"""),"07/14/2015")</f>
        <v>07/14/2015</v>
      </c>
      <c r="H794" s="6" t="str">
        <f>IFERROR(__xludf.DUMMYFUNCTION("""COMPUTED_VALUE"""),"female")</f>
        <v>female</v>
      </c>
      <c r="I794" s="6" t="str">
        <f>IFERROR(__xludf.DUMMYFUNCTION("""COMPUTED_VALUE"""),"Level 2")</f>
        <v>Level 2</v>
      </c>
      <c r="J794" s="6" t="str">
        <f>IFERROR(__xludf.DUMMYFUNCTION("""COMPUTED_VALUE"""),"5")</f>
        <v>5</v>
      </c>
      <c r="K794" s="6" t="str">
        <f>IFERROR(__xludf.DUMMYFUNCTION("""COMPUTED_VALUE"""),"taliah.granados@alpha.school")</f>
        <v>taliah.granados@alpha.school</v>
      </c>
      <c r="L794" s="6" t="str">
        <f>IFERROR(__xludf.DUMMYFUNCTION("""COMPUTED_VALUE"""),"Alpha School Austin")</f>
        <v>Alpha School Austin</v>
      </c>
      <c r="M794" s="6" t="str">
        <f>IFERROR(__xludf.DUMMYFUNCTION("""COMPUTED_VALUE"""),"")</f>
        <v/>
      </c>
      <c r="N794" s="6" t="str">
        <f>IFERROR(__xludf.DUMMYFUNCTION("""COMPUTED_VALUE"""),"")</f>
        <v/>
      </c>
      <c r="O794" s="87" t="str">
        <f>IFERROR(__xludf.DUMMYFUNCTION("""COMPUTED_VALUE"""),"https://drive.google.com/drive/folders/10T2cTQHqEJZqE-st6uFKPoI?usp=share_link")</f>
        <v>https://drive.google.com/drive/folders/10T2cTQHqEJZqE-st6uFKPoI?usp=share_link</v>
      </c>
      <c r="P794" s="6" t="str">
        <f>IFERROR(__xludf.DUMMYFUNCTION("""COMPUTED_VALUE"""),"Taliah Granados")</f>
        <v>Taliah Granados</v>
      </c>
      <c r="Q794" s="6" t="str">
        <f>IFERROR(__xludf.DUMMYFUNCTION("""COMPUTED_VALUE"""),"L2")</f>
        <v>L2</v>
      </c>
      <c r="R794" s="6">
        <f>IFERROR(__xludf.DUMMYFUNCTION("""COMPUTED_VALUE"""),2.0)</f>
        <v>2</v>
      </c>
      <c r="S794" s="6" t="str">
        <f>IFERROR(__xludf.DUMMYFUNCTION("""COMPUTED_VALUE"""),"Brittany Kemme")</f>
        <v>Brittany Kemme</v>
      </c>
      <c r="T794" s="6" t="str">
        <f>IFERROR(__xludf.DUMMYFUNCTION("""COMPUTED_VALUE"""),"brittany.kemme@alpha.school")</f>
        <v>brittany.kemme@alpha.school</v>
      </c>
      <c r="U794" s="6" t="str">
        <f>IFERROR(__xludf.DUMMYFUNCTION("""COMPUTED_VALUE"""),"5")</f>
        <v>5</v>
      </c>
      <c r="V794" s="6" t="str">
        <f>IFERROR(__xludf.DUMMYFUNCTION("""COMPUTED_VALUE"""),"")</f>
        <v/>
      </c>
      <c r="W794" s="6" t="str">
        <f>IFERROR(__xludf.DUMMYFUNCTION("""COMPUTED_VALUE"""),"[]")</f>
        <v>[]</v>
      </c>
      <c r="X794" s="6" t="str">
        <f>IFERROR(__xludf.DUMMYFUNCTION("""COMPUTED_VALUE"""),"Enrolled")</f>
        <v>Enrolled</v>
      </c>
    </row>
    <row r="795">
      <c r="A795" s="6" t="str">
        <f>IFERROR(__xludf.DUMMYFUNCTION("""COMPUTED_VALUE"""),"001-6871")</f>
        <v>001-6871</v>
      </c>
      <c r="B795" s="6" t="str">
        <f>IFERROR(__xludf.DUMMYFUNCTION("""COMPUTED_VALUE"""),"1")</f>
        <v>1</v>
      </c>
      <c r="C795" s="6" t="str">
        <f>IFERROR(__xludf.DUMMYFUNCTION("""COMPUTED_VALUE"""),"6871")</f>
        <v>6871</v>
      </c>
      <c r="D795" s="6" t="str">
        <f>IFERROR(__xludf.DUMMYFUNCTION("""COMPUTED_VALUE"""),"Ellis")</f>
        <v>Ellis</v>
      </c>
      <c r="E795" s="6" t="str">
        <f>IFERROR(__xludf.DUMMYFUNCTION("""COMPUTED_VALUE"""),"Ellis")</f>
        <v>Ellis</v>
      </c>
      <c r="F795" s="6" t="str">
        <f>IFERROR(__xludf.DUMMYFUNCTION("""COMPUTED_VALUE"""),"Granados")</f>
        <v>Granados</v>
      </c>
      <c r="G795" s="6" t="str">
        <f>IFERROR(__xludf.DUMMYFUNCTION("""COMPUTED_VALUE"""),"02/12/2018")</f>
        <v>02/12/2018</v>
      </c>
      <c r="H795" s="6" t="str">
        <f>IFERROR(__xludf.DUMMYFUNCTION("""COMPUTED_VALUE"""),"male")</f>
        <v>male</v>
      </c>
      <c r="I795" s="6" t="str">
        <f>IFERROR(__xludf.DUMMYFUNCTION("""COMPUTED_VALUE"""),"Level 1")</f>
        <v>Level 1</v>
      </c>
      <c r="J795" s="6" t="str">
        <f>IFERROR(__xludf.DUMMYFUNCTION("""COMPUTED_VALUE"""),"2")</f>
        <v>2</v>
      </c>
      <c r="K795" s="6" t="str">
        <f>IFERROR(__xludf.DUMMYFUNCTION("""COMPUTED_VALUE"""),"ellis.granados@alpha.school")</f>
        <v>ellis.granados@alpha.school</v>
      </c>
      <c r="L795" s="6" t="str">
        <f>IFERROR(__xludf.DUMMYFUNCTION("""COMPUTED_VALUE"""),"Alpha School Austin")</f>
        <v>Alpha School Austin</v>
      </c>
      <c r="M795" s="6" t="str">
        <f>IFERROR(__xludf.DUMMYFUNCTION("""COMPUTED_VALUE"""),"")</f>
        <v/>
      </c>
      <c r="N795" s="6" t="str">
        <f>IFERROR(__xludf.DUMMYFUNCTION("""COMPUTED_VALUE"""),"")</f>
        <v/>
      </c>
      <c r="O795" s="87" t="str">
        <f>IFERROR(__xludf.DUMMYFUNCTION("""COMPUTED_VALUE"""),"https://drive.google.com/drive/folders/10T2cTQHqEJZqE-st6uFKPoI?usp=share_link")</f>
        <v>https://drive.google.com/drive/folders/10T2cTQHqEJZqE-st6uFKPoI?usp=share_link</v>
      </c>
      <c r="P795" s="6" t="str">
        <f>IFERROR(__xludf.DUMMYFUNCTION("""COMPUTED_VALUE"""),"Ellis Granados")</f>
        <v>Ellis Granados</v>
      </c>
      <c r="Q795" s="6" t="str">
        <f>IFERROR(__xludf.DUMMYFUNCTION("""COMPUTED_VALUE"""),"L1")</f>
        <v>L1</v>
      </c>
      <c r="R795" s="6">
        <f>IFERROR(__xludf.DUMMYFUNCTION("""COMPUTED_VALUE"""),1.0)</f>
        <v>1</v>
      </c>
      <c r="S795" s="6" t="str">
        <f>IFERROR(__xludf.DUMMYFUNCTION("""COMPUTED_VALUE"""),"Tanya Parker")</f>
        <v>Tanya Parker</v>
      </c>
      <c r="T795" s="6" t="str">
        <f>IFERROR(__xludf.DUMMYFUNCTION("""COMPUTED_VALUE"""),"tanya.parker@alpha.school")</f>
        <v>tanya.parker@alpha.school</v>
      </c>
      <c r="U795" s="6" t="str">
        <f>IFERROR(__xludf.DUMMYFUNCTION("""COMPUTED_VALUE"""),"2")</f>
        <v>2</v>
      </c>
      <c r="V795" s="6" t="str">
        <f>IFERROR(__xludf.DUMMYFUNCTION("""COMPUTED_VALUE"""),"")</f>
        <v/>
      </c>
      <c r="W795" s="6" t="str">
        <f>IFERROR(__xludf.DUMMYFUNCTION("""COMPUTED_VALUE"""),"[]")</f>
        <v>[]</v>
      </c>
      <c r="X795" s="6" t="str">
        <f>IFERROR(__xludf.DUMMYFUNCTION("""COMPUTED_VALUE"""),"Enrolled")</f>
        <v>Enrolled</v>
      </c>
    </row>
    <row r="796">
      <c r="A796" s="6" t="str">
        <f>IFERROR(__xludf.DUMMYFUNCTION("""COMPUTED_VALUE"""),"001-6907")</f>
        <v>001-6907</v>
      </c>
      <c r="B796" s="6" t="str">
        <f>IFERROR(__xludf.DUMMYFUNCTION("""COMPUTED_VALUE"""),"1")</f>
        <v>1</v>
      </c>
      <c r="C796" s="6" t="str">
        <f>IFERROR(__xludf.DUMMYFUNCTION("""COMPUTED_VALUE"""),"6907")</f>
        <v>6907</v>
      </c>
      <c r="D796" s="6" t="str">
        <f>IFERROR(__xludf.DUMMYFUNCTION("""COMPUTED_VALUE"""),"Francesca")</f>
        <v>Francesca</v>
      </c>
      <c r="E796" s="6" t="str">
        <f>IFERROR(__xludf.DUMMYFUNCTION("""COMPUTED_VALUE"""),"Frankie")</f>
        <v>Frankie</v>
      </c>
      <c r="F796" s="6" t="str">
        <f>IFERROR(__xludf.DUMMYFUNCTION("""COMPUTED_VALUE"""),"Faeder")</f>
        <v>Faeder</v>
      </c>
      <c r="G796" s="6" t="str">
        <f>IFERROR(__xludf.DUMMYFUNCTION("""COMPUTED_VALUE"""),"10/10/2021")</f>
        <v>10/10/2021</v>
      </c>
      <c r="H796" s="6" t="str">
        <f>IFERROR(__xludf.DUMMYFUNCTION("""COMPUTED_VALUE"""),"female")</f>
        <v>female</v>
      </c>
      <c r="I796" s="6" t="str">
        <f>IFERROR(__xludf.DUMMYFUNCTION("""COMPUTED_VALUE"""),"Wonder Lab")</f>
        <v>Wonder Lab</v>
      </c>
      <c r="J796" s="6" t="str">
        <f>IFERROR(__xludf.DUMMYFUNCTION("""COMPUTED_VALUE"""),"PK")</f>
        <v>PK</v>
      </c>
      <c r="K796" s="6" t="str">
        <f>IFERROR(__xludf.DUMMYFUNCTION("""COMPUTED_VALUE"""),"francesca.faeder@alpha.school")</f>
        <v>francesca.faeder@alpha.school</v>
      </c>
      <c r="L796" s="6" t="str">
        <f>IFERROR(__xludf.DUMMYFUNCTION("""COMPUTED_VALUE"""),"Alpha School Austin")</f>
        <v>Alpha School Austin</v>
      </c>
      <c r="M796" s="6" t="str">
        <f>IFERROR(__xludf.DUMMYFUNCTION("""COMPUTED_VALUE"""),"")</f>
        <v/>
      </c>
      <c r="N796" s="6" t="str">
        <f>IFERROR(__xludf.DUMMYFUNCTION("""COMPUTED_VALUE"""),"")</f>
        <v/>
      </c>
      <c r="O796" s="87" t="str">
        <f>IFERROR(__xludf.DUMMYFUNCTION("""COMPUTED_VALUE"""),"https://drive.google.com/drive/folders/10T2cTQHqEJZqE-st6uFKPoI?usp=share_link")</f>
        <v>https://drive.google.com/drive/folders/10T2cTQHqEJZqE-st6uFKPoI?usp=share_link</v>
      </c>
      <c r="P796" s="6" t="str">
        <f>IFERROR(__xludf.DUMMYFUNCTION("""COMPUTED_VALUE"""),"Frankie Faeder")</f>
        <v>Frankie Faeder</v>
      </c>
      <c r="Q796" s="6" t="str">
        <f>IFERROR(__xludf.DUMMYFUNCTION("""COMPUTED_VALUE"""),"WL")</f>
        <v>WL</v>
      </c>
      <c r="R796" s="6">
        <f>IFERROR(__xludf.DUMMYFUNCTION("""COMPUTED_VALUE"""),-1.0)</f>
        <v>-1</v>
      </c>
      <c r="S796" s="6" t="str">
        <f>IFERROR(__xludf.DUMMYFUNCTION("""COMPUTED_VALUE"""),"Anna Slaby")</f>
        <v>Anna Slaby</v>
      </c>
      <c r="T796" s="6" t="str">
        <f>IFERROR(__xludf.DUMMYFUNCTION("""COMPUTED_VALUE"""),"anna.slaby@alpha.school")</f>
        <v>anna.slaby@alpha.school</v>
      </c>
      <c r="U796" s="6" t="str">
        <f>IFERROR(__xludf.DUMMYFUNCTION("""COMPUTED_VALUE"""),"PK")</f>
        <v>PK</v>
      </c>
      <c r="V796" s="6" t="str">
        <f>IFERROR(__xludf.DUMMYFUNCTION("""COMPUTED_VALUE"""),"")</f>
        <v/>
      </c>
      <c r="W796" s="6" t="str">
        <f>IFERROR(__xludf.DUMMYFUNCTION("""COMPUTED_VALUE"""),"[]")</f>
        <v>[]</v>
      </c>
      <c r="X796" s="6" t="str">
        <f>IFERROR(__xludf.DUMMYFUNCTION("""COMPUTED_VALUE"""),"Enrolled")</f>
        <v>Enrolled</v>
      </c>
    </row>
    <row r="797">
      <c r="A797" s="6" t="str">
        <f>IFERROR(__xludf.DUMMYFUNCTION("""COMPUTED_VALUE"""),"001-7045")</f>
        <v>001-7045</v>
      </c>
      <c r="B797" s="6" t="str">
        <f>IFERROR(__xludf.DUMMYFUNCTION("""COMPUTED_VALUE"""),"1")</f>
        <v>1</v>
      </c>
      <c r="C797" s="6" t="str">
        <f>IFERROR(__xludf.DUMMYFUNCTION("""COMPUTED_VALUE"""),"7045")</f>
        <v>7045</v>
      </c>
      <c r="D797" s="6" t="str">
        <f>IFERROR(__xludf.DUMMYFUNCTION("""COMPUTED_VALUE"""),"Benjamin")</f>
        <v>Benjamin</v>
      </c>
      <c r="E797" s="6" t="str">
        <f>IFERROR(__xludf.DUMMYFUNCTION("""COMPUTED_VALUE"""),"Ben")</f>
        <v>Ben</v>
      </c>
      <c r="F797" s="6" t="str">
        <f>IFERROR(__xludf.DUMMYFUNCTION("""COMPUTED_VALUE"""),"Rosenbloom")</f>
        <v>Rosenbloom</v>
      </c>
      <c r="G797" s="6" t="str">
        <f>IFERROR(__xludf.DUMMYFUNCTION("""COMPUTED_VALUE"""),"12/30/2016")</f>
        <v>12/30/2016</v>
      </c>
      <c r="H797" s="6" t="str">
        <f>IFERROR(__xludf.DUMMYFUNCTION("""COMPUTED_VALUE"""),"male")</f>
        <v>male</v>
      </c>
      <c r="I797" s="6" t="str">
        <f>IFERROR(__xludf.DUMMYFUNCTION("""COMPUTED_VALUE"""),"Level 1")</f>
        <v>Level 1</v>
      </c>
      <c r="J797" s="6" t="str">
        <f>IFERROR(__xludf.DUMMYFUNCTION("""COMPUTED_VALUE"""),"3")</f>
        <v>3</v>
      </c>
      <c r="K797" s="6" t="str">
        <f>IFERROR(__xludf.DUMMYFUNCTION("""COMPUTED_VALUE"""),"benjamin.rosenbloom@alpha.school")</f>
        <v>benjamin.rosenbloom@alpha.school</v>
      </c>
      <c r="L797" s="6" t="str">
        <f>IFERROR(__xludf.DUMMYFUNCTION("""COMPUTED_VALUE"""),"Alpha School Austin")</f>
        <v>Alpha School Austin</v>
      </c>
      <c r="M797" s="6" t="str">
        <f>IFERROR(__xludf.DUMMYFUNCTION("""COMPUTED_VALUE"""),"")</f>
        <v/>
      </c>
      <c r="N797" s="6" t="str">
        <f>IFERROR(__xludf.DUMMYFUNCTION("""COMPUTED_VALUE"""),"")</f>
        <v/>
      </c>
      <c r="O797" s="87" t="str">
        <f>IFERROR(__xludf.DUMMYFUNCTION("""COMPUTED_VALUE"""),"https://drive.google.com/drive/folders/10T2cTQHqEJZqE-st6uFKPoI?usp=share_link")</f>
        <v>https://drive.google.com/drive/folders/10T2cTQHqEJZqE-st6uFKPoI?usp=share_link</v>
      </c>
      <c r="P797" s="6" t="str">
        <f>IFERROR(__xludf.DUMMYFUNCTION("""COMPUTED_VALUE"""),"Ben Rosenbloom")</f>
        <v>Ben Rosenbloom</v>
      </c>
      <c r="Q797" s="6" t="str">
        <f>IFERROR(__xludf.DUMMYFUNCTION("""COMPUTED_VALUE"""),"L1")</f>
        <v>L1</v>
      </c>
      <c r="R797" s="6">
        <f>IFERROR(__xludf.DUMMYFUNCTION("""COMPUTED_VALUE"""),1.0)</f>
        <v>1</v>
      </c>
      <c r="S797" s="6" t="str">
        <f>IFERROR(__xludf.DUMMYFUNCTION("""COMPUTED_VALUE"""),"Camren Allred")</f>
        <v>Camren Allred</v>
      </c>
      <c r="T797" s="6" t="str">
        <f>IFERROR(__xludf.DUMMYFUNCTION("""COMPUTED_VALUE"""),"camren.allred@alpha.school")</f>
        <v>camren.allred@alpha.school</v>
      </c>
      <c r="U797" s="6" t="str">
        <f>IFERROR(__xludf.DUMMYFUNCTION("""COMPUTED_VALUE"""),"3")</f>
        <v>3</v>
      </c>
      <c r="V797" s="6" t="str">
        <f>IFERROR(__xludf.DUMMYFUNCTION("""COMPUTED_VALUE"""),"")</f>
        <v/>
      </c>
      <c r="W797" s="6" t="str">
        <f>IFERROR(__xludf.DUMMYFUNCTION("""COMPUTED_VALUE"""),"[]")</f>
        <v>[]</v>
      </c>
      <c r="X797" s="6" t="str">
        <f>IFERROR(__xludf.DUMMYFUNCTION("""COMPUTED_VALUE"""),"Enrolled")</f>
        <v>Enrolled</v>
      </c>
    </row>
    <row r="798">
      <c r="A798" s="6" t="str">
        <f>IFERROR(__xludf.DUMMYFUNCTION("""COMPUTED_VALUE"""),"001-7194")</f>
        <v>001-7194</v>
      </c>
      <c r="B798" s="6" t="str">
        <f>IFERROR(__xludf.DUMMYFUNCTION("""COMPUTED_VALUE"""),"1")</f>
        <v>1</v>
      </c>
      <c r="C798" s="6" t="str">
        <f>IFERROR(__xludf.DUMMYFUNCTION("""COMPUTED_VALUE"""),"7194")</f>
        <v>7194</v>
      </c>
      <c r="D798" s="6" t="str">
        <f>IFERROR(__xludf.DUMMYFUNCTION("""COMPUTED_VALUE"""),"Nico")</f>
        <v>Nico</v>
      </c>
      <c r="E798" s="6" t="str">
        <f>IFERROR(__xludf.DUMMYFUNCTION("""COMPUTED_VALUE"""),"Neko")</f>
        <v>Neko</v>
      </c>
      <c r="F798" s="6" t="str">
        <f>IFERROR(__xludf.DUMMYFUNCTION("""COMPUTED_VALUE"""),"Lewis")</f>
        <v>Lewis</v>
      </c>
      <c r="G798" s="6" t="str">
        <f>IFERROR(__xludf.DUMMYFUNCTION("""COMPUTED_VALUE"""),"05/17/2015")</f>
        <v>05/17/2015</v>
      </c>
      <c r="H798" s="6" t="str">
        <f>IFERROR(__xludf.DUMMYFUNCTION("""COMPUTED_VALUE"""),"male")</f>
        <v>male</v>
      </c>
      <c r="I798" s="6" t="str">
        <f>IFERROR(__xludf.DUMMYFUNCTION("""COMPUTED_VALUE"""),"Level 2")</f>
        <v>Level 2</v>
      </c>
      <c r="J798" s="6" t="str">
        <f>IFERROR(__xludf.DUMMYFUNCTION("""COMPUTED_VALUE"""),"5")</f>
        <v>5</v>
      </c>
      <c r="K798" s="6" t="str">
        <f>IFERROR(__xludf.DUMMYFUNCTION("""COMPUTED_VALUE"""),"nico.lewis.1@alpha.school")</f>
        <v>nico.lewis.1@alpha.school</v>
      </c>
      <c r="L798" s="6" t="str">
        <f>IFERROR(__xludf.DUMMYFUNCTION("""COMPUTED_VALUE"""),"Alpha School Austin")</f>
        <v>Alpha School Austin</v>
      </c>
      <c r="M798" s="6" t="str">
        <f>IFERROR(__xludf.DUMMYFUNCTION("""COMPUTED_VALUE"""),"")</f>
        <v/>
      </c>
      <c r="N798" s="6" t="str">
        <f>IFERROR(__xludf.DUMMYFUNCTION("""COMPUTED_VALUE"""),"")</f>
        <v/>
      </c>
      <c r="O798" s="87" t="str">
        <f>IFERROR(__xludf.DUMMYFUNCTION("""COMPUTED_VALUE"""),"https://drive.google.com/drive/folders/10T2cTQHqEJZqE-st6uFKPoI?usp=share_link")</f>
        <v>https://drive.google.com/drive/folders/10T2cTQHqEJZqE-st6uFKPoI?usp=share_link</v>
      </c>
      <c r="P798" s="6" t="str">
        <f>IFERROR(__xludf.DUMMYFUNCTION("""COMPUTED_VALUE"""),"Neko Lewis")</f>
        <v>Neko Lewis</v>
      </c>
      <c r="Q798" s="6" t="str">
        <f>IFERROR(__xludf.DUMMYFUNCTION("""COMPUTED_VALUE"""),"L2")</f>
        <v>L2</v>
      </c>
      <c r="R798" s="6">
        <f>IFERROR(__xludf.DUMMYFUNCTION("""COMPUTED_VALUE"""),2.0)</f>
        <v>2</v>
      </c>
      <c r="S798" s="6" t="str">
        <f>IFERROR(__xludf.DUMMYFUNCTION("""COMPUTED_VALUE"""),"Kris Ponder")</f>
        <v>Kris Ponder</v>
      </c>
      <c r="T798" s="6" t="str">
        <f>IFERROR(__xludf.DUMMYFUNCTION("""COMPUTED_VALUE"""),"kris.ponder@alpha.school")</f>
        <v>kris.ponder@alpha.school</v>
      </c>
      <c r="U798" s="6" t="str">
        <f>IFERROR(__xludf.DUMMYFUNCTION("""COMPUTED_VALUE"""),"5")</f>
        <v>5</v>
      </c>
      <c r="V798" s="6" t="str">
        <f>IFERROR(__xludf.DUMMYFUNCTION("""COMPUTED_VALUE"""),"")</f>
        <v/>
      </c>
      <c r="W798" s="6" t="str">
        <f>IFERROR(__xludf.DUMMYFUNCTION("""COMPUTED_VALUE"""),"[]")</f>
        <v>[]</v>
      </c>
      <c r="X798" s="6" t="str">
        <f>IFERROR(__xludf.DUMMYFUNCTION("""COMPUTED_VALUE"""),"Enrolled")</f>
        <v>Enrolled</v>
      </c>
    </row>
    <row r="799">
      <c r="A799" s="6" t="str">
        <f>IFERROR(__xludf.DUMMYFUNCTION("""COMPUTED_VALUE"""),"001-7381")</f>
        <v>001-7381</v>
      </c>
      <c r="B799" s="6" t="str">
        <f>IFERROR(__xludf.DUMMYFUNCTION("""COMPUTED_VALUE"""),"1")</f>
        <v>1</v>
      </c>
      <c r="C799" s="6" t="str">
        <f>IFERROR(__xludf.DUMMYFUNCTION("""COMPUTED_VALUE"""),"7381")</f>
        <v>7381</v>
      </c>
      <c r="D799" s="6" t="str">
        <f>IFERROR(__xludf.DUMMYFUNCTION("""COMPUTED_VALUE"""),"Mikyle")</f>
        <v>Mikyle</v>
      </c>
      <c r="E799" s="6" t="str">
        <f>IFERROR(__xludf.DUMMYFUNCTION("""COMPUTED_VALUE"""),"")</f>
        <v/>
      </c>
      <c r="F799" s="6" t="str">
        <f>IFERROR(__xludf.DUMMYFUNCTION("""COMPUTED_VALUE"""),"Sattar")</f>
        <v>Sattar</v>
      </c>
      <c r="G799" s="6" t="str">
        <f>IFERROR(__xludf.DUMMYFUNCTION("""COMPUTED_VALUE"""),"03/02/2012")</f>
        <v>03/02/2012</v>
      </c>
      <c r="H799" s="6" t="str">
        <f>IFERROR(__xludf.DUMMYFUNCTION("""COMPUTED_VALUE"""),"male")</f>
        <v>male</v>
      </c>
      <c r="I799" s="6" t="str">
        <f>IFERROR(__xludf.DUMMYFUNCTION("""COMPUTED_VALUE"""),"Middle School")</f>
        <v>Middle School</v>
      </c>
      <c r="J799" s="6" t="str">
        <f>IFERROR(__xludf.DUMMYFUNCTION("""COMPUTED_VALUE"""),"8")</f>
        <v>8</v>
      </c>
      <c r="K799" s="6" t="str">
        <f>IFERROR(__xludf.DUMMYFUNCTION("""COMPUTED_VALUE"""),"mikyle.sattar@alpha.school")</f>
        <v>mikyle.sattar@alpha.school</v>
      </c>
      <c r="L799" s="6" t="str">
        <f>IFERROR(__xludf.DUMMYFUNCTION("""COMPUTED_VALUE"""),"Alpha School Austin")</f>
        <v>Alpha School Austin</v>
      </c>
      <c r="M799" s="6" t="str">
        <f>IFERROR(__xludf.DUMMYFUNCTION("""COMPUTED_VALUE"""),"")</f>
        <v/>
      </c>
      <c r="N799" s="6" t="str">
        <f>IFERROR(__xludf.DUMMYFUNCTION("""COMPUTED_VALUE"""),"")</f>
        <v/>
      </c>
      <c r="O799" s="87" t="str">
        <f>IFERROR(__xludf.DUMMYFUNCTION("""COMPUTED_VALUE"""),"https://drive.google.com/drive/folders/10T2cTQHqEJZqE-st6uFKPoI?usp=share_link")</f>
        <v>https://drive.google.com/drive/folders/10T2cTQHqEJZqE-st6uFKPoI?usp=share_link</v>
      </c>
      <c r="P799" s="6" t="str">
        <f>IFERROR(__xludf.DUMMYFUNCTION("""COMPUTED_VALUE"""),"Mikyle Sattar")</f>
        <v>Mikyle Sattar</v>
      </c>
      <c r="Q799" s="6" t="str">
        <f>IFERROR(__xludf.DUMMYFUNCTION("""COMPUTED_VALUE"""),"MS")</f>
        <v>MS</v>
      </c>
      <c r="R799" s="6">
        <f>IFERROR(__xludf.DUMMYFUNCTION("""COMPUTED_VALUE"""),0.0)</f>
        <v>0</v>
      </c>
      <c r="S799" s="6" t="str">
        <f>IFERROR(__xludf.DUMMYFUNCTION("""COMPUTED_VALUE"""),"Noah Lightfoot")</f>
        <v>Noah Lightfoot</v>
      </c>
      <c r="T799" s="6" t="str">
        <f>IFERROR(__xludf.DUMMYFUNCTION("""COMPUTED_VALUE"""),"noah.lightfoot@alpha.school")</f>
        <v>noah.lightfoot@alpha.school</v>
      </c>
      <c r="U799" s="6" t="str">
        <f>IFERROR(__xludf.DUMMYFUNCTION("""COMPUTED_VALUE"""),"8")</f>
        <v>8</v>
      </c>
      <c r="V799" s="6" t="str">
        <f>IFERROR(__xludf.DUMMYFUNCTION("""COMPUTED_VALUE"""),"")</f>
        <v/>
      </c>
      <c r="W799" s="6" t="str">
        <f>IFERROR(__xludf.DUMMYFUNCTION("""COMPUTED_VALUE"""),"[]")</f>
        <v>[]</v>
      </c>
      <c r="X799" s="6" t="str">
        <f>IFERROR(__xludf.DUMMYFUNCTION("""COMPUTED_VALUE"""),"Enrolled")</f>
        <v>Enrolled</v>
      </c>
    </row>
    <row r="800">
      <c r="A800" s="6" t="str">
        <f>IFERROR(__xludf.DUMMYFUNCTION("""COMPUTED_VALUE"""),"001-7655")</f>
        <v>001-7655</v>
      </c>
      <c r="B800" s="6" t="str">
        <f>IFERROR(__xludf.DUMMYFUNCTION("""COMPUTED_VALUE"""),"1")</f>
        <v>1</v>
      </c>
      <c r="C800" s="6" t="str">
        <f>IFERROR(__xludf.DUMMYFUNCTION("""COMPUTED_VALUE"""),"7655")</f>
        <v>7655</v>
      </c>
      <c r="D800" s="6" t="str">
        <f>IFERROR(__xludf.DUMMYFUNCTION("""COMPUTED_VALUE"""),"Artemis")</f>
        <v>Artemis</v>
      </c>
      <c r="E800" s="6" t="str">
        <f>IFERROR(__xludf.DUMMYFUNCTION("""COMPUTED_VALUE"""),"")</f>
        <v/>
      </c>
      <c r="F800" s="6" t="str">
        <f>IFERROR(__xludf.DUMMYFUNCTION("""COMPUTED_VALUE"""),"Schiettecatte")</f>
        <v>Schiettecatte</v>
      </c>
      <c r="G800" s="6" t="str">
        <f>IFERROR(__xludf.DUMMYFUNCTION("""COMPUTED_VALUE"""),"01/25/2009")</f>
        <v>01/25/2009</v>
      </c>
      <c r="H800" s="6" t="str">
        <f>IFERROR(__xludf.DUMMYFUNCTION("""COMPUTED_VALUE"""),"female")</f>
        <v>female</v>
      </c>
      <c r="I800" s="6" t="str">
        <f>IFERROR(__xludf.DUMMYFUNCTION("""COMPUTED_VALUE"""),"High School")</f>
        <v>High School</v>
      </c>
      <c r="J800" s="6" t="str">
        <f>IFERROR(__xludf.DUMMYFUNCTION("""COMPUTED_VALUE"""),"10")</f>
        <v>10</v>
      </c>
      <c r="K800" s="6" t="str">
        <f>IFERROR(__xludf.DUMMYFUNCTION("""COMPUTED_VALUE"""),"artemis.schiettecatte@alpha.school")</f>
        <v>artemis.schiettecatte@alpha.school</v>
      </c>
      <c r="L800" s="6" t="str">
        <f>IFERROR(__xludf.DUMMYFUNCTION("""COMPUTED_VALUE"""),"Alpha High School")</f>
        <v>Alpha High School</v>
      </c>
      <c r="M800" s="6" t="str">
        <f>IFERROR(__xludf.DUMMYFUNCTION("""COMPUTED_VALUE"""),"")</f>
        <v/>
      </c>
      <c r="N800" s="6" t="str">
        <f>IFERROR(__xludf.DUMMYFUNCTION("""COMPUTED_VALUE"""),"")</f>
        <v/>
      </c>
      <c r="O800" s="87" t="str">
        <f>IFERROR(__xludf.DUMMYFUNCTION("""COMPUTED_VALUE"""),"https://drive.google.com/drive/folders/10T2cTQHqEJZqE-st6uFKPoI?usp=share_link")</f>
        <v>https://drive.google.com/drive/folders/10T2cTQHqEJZqE-st6uFKPoI?usp=share_link</v>
      </c>
      <c r="P800" s="6" t="str">
        <f>IFERROR(__xludf.DUMMYFUNCTION("""COMPUTED_VALUE"""),"Artemis Schiettecatte")</f>
        <v>Artemis Schiettecatte</v>
      </c>
      <c r="Q800" s="6" t="str">
        <f>IFERROR(__xludf.DUMMYFUNCTION("""COMPUTED_VALUE"""),"HS")</f>
        <v>HS</v>
      </c>
      <c r="R800" s="6">
        <f>IFERROR(__xludf.DUMMYFUNCTION("""COMPUTED_VALUE"""),0.0)</f>
        <v>0</v>
      </c>
      <c r="S800" s="6" t="str">
        <f>IFERROR(__xludf.DUMMYFUNCTION("""COMPUTED_VALUE"""),"Jebin Justin")</f>
        <v>Jebin Justin</v>
      </c>
      <c r="T800" s="6" t="str">
        <f>IFERROR(__xludf.DUMMYFUNCTION("""COMPUTED_VALUE"""),"jebin.justin@alpha.school")</f>
        <v>jebin.justin@alpha.school</v>
      </c>
      <c r="U800" s="6" t="str">
        <f>IFERROR(__xludf.DUMMYFUNCTION("""COMPUTED_VALUE"""),"10")</f>
        <v>10</v>
      </c>
      <c r="V800" s="6" t="str">
        <f>IFERROR(__xludf.DUMMYFUNCTION("""COMPUTED_VALUE"""),"")</f>
        <v/>
      </c>
      <c r="W800" s="6" t="str">
        <f>IFERROR(__xludf.DUMMYFUNCTION("""COMPUTED_VALUE"""),"[]")</f>
        <v>[]</v>
      </c>
      <c r="X800" s="6" t="str">
        <f>IFERROR(__xludf.DUMMYFUNCTION("""COMPUTED_VALUE"""),"Enrolled")</f>
        <v>Enrolled</v>
      </c>
    </row>
    <row r="801">
      <c r="A801" s="6" t="str">
        <f>IFERROR(__xludf.DUMMYFUNCTION("""COMPUTED_VALUE"""),"001-7985")</f>
        <v>001-7985</v>
      </c>
      <c r="B801" s="6" t="str">
        <f>IFERROR(__xludf.DUMMYFUNCTION("""COMPUTED_VALUE"""),"1")</f>
        <v>1</v>
      </c>
      <c r="C801" s="6" t="str">
        <f>IFERROR(__xludf.DUMMYFUNCTION("""COMPUTED_VALUE"""),"7985")</f>
        <v>7985</v>
      </c>
      <c r="D801" s="6" t="str">
        <f>IFERROR(__xludf.DUMMYFUNCTION("""COMPUTED_VALUE"""),"Aira")</f>
        <v>Aira</v>
      </c>
      <c r="E801" s="6" t="str">
        <f>IFERROR(__xludf.DUMMYFUNCTION("""COMPUTED_VALUE"""),"Aira")</f>
        <v>Aira</v>
      </c>
      <c r="F801" s="6" t="str">
        <f>IFERROR(__xludf.DUMMYFUNCTION("""COMPUTED_VALUE"""),"Anirudha")</f>
        <v>Anirudha</v>
      </c>
      <c r="G801" s="6" t="str">
        <f>IFERROR(__xludf.DUMMYFUNCTION("""COMPUTED_VALUE"""),"09/08/2017")</f>
        <v>09/08/2017</v>
      </c>
      <c r="H801" s="6" t="str">
        <f>IFERROR(__xludf.DUMMYFUNCTION("""COMPUTED_VALUE"""),"female")</f>
        <v>female</v>
      </c>
      <c r="I801" s="6" t="str">
        <f>IFERROR(__xludf.DUMMYFUNCTION("""COMPUTED_VALUE"""),"Level 1")</f>
        <v>Level 1</v>
      </c>
      <c r="J801" s="6" t="str">
        <f>IFERROR(__xludf.DUMMYFUNCTION("""COMPUTED_VALUE"""),"2")</f>
        <v>2</v>
      </c>
      <c r="K801" s="6" t="str">
        <f>IFERROR(__xludf.DUMMYFUNCTION("""COMPUTED_VALUE"""),"aira.anirudha@alpha.school")</f>
        <v>aira.anirudha@alpha.school</v>
      </c>
      <c r="L801" s="6" t="str">
        <f>IFERROR(__xludf.DUMMYFUNCTION("""COMPUTED_VALUE"""),"Alpha School Austin")</f>
        <v>Alpha School Austin</v>
      </c>
      <c r="M801" s="6" t="str">
        <f>IFERROR(__xludf.DUMMYFUNCTION("""COMPUTED_VALUE"""),"")</f>
        <v/>
      </c>
      <c r="N801" s="6" t="str">
        <f>IFERROR(__xludf.DUMMYFUNCTION("""COMPUTED_VALUE"""),"")</f>
        <v/>
      </c>
      <c r="O801" s="87" t="str">
        <f>IFERROR(__xludf.DUMMYFUNCTION("""COMPUTED_VALUE"""),"https://drive.google.com/drive/folders/10T2cTQHqEJZqE-st6uFKPoI?usp=share_link")</f>
        <v>https://drive.google.com/drive/folders/10T2cTQHqEJZqE-st6uFKPoI?usp=share_link</v>
      </c>
      <c r="P801" s="6" t="str">
        <f>IFERROR(__xludf.DUMMYFUNCTION("""COMPUTED_VALUE"""),"Aira Anirudha")</f>
        <v>Aira Anirudha</v>
      </c>
      <c r="Q801" s="6" t="str">
        <f>IFERROR(__xludf.DUMMYFUNCTION("""COMPUTED_VALUE"""),"L1")</f>
        <v>L1</v>
      </c>
      <c r="R801" s="6">
        <f>IFERROR(__xludf.DUMMYFUNCTION("""COMPUTED_VALUE"""),1.0)</f>
        <v>1</v>
      </c>
      <c r="S801" s="6" t="str">
        <f>IFERROR(__xludf.DUMMYFUNCTION("""COMPUTED_VALUE"""),"Christie Ray")</f>
        <v>Christie Ray</v>
      </c>
      <c r="T801" s="6" t="str">
        <f>IFERROR(__xludf.DUMMYFUNCTION("""COMPUTED_VALUE"""),"christie.ray@2hourlearning.com")</f>
        <v>christie.ray@2hourlearning.com</v>
      </c>
      <c r="U801" s="6" t="str">
        <f>IFERROR(__xludf.DUMMYFUNCTION("""COMPUTED_VALUE"""),"2")</f>
        <v>2</v>
      </c>
      <c r="V801" s="6" t="str">
        <f>IFERROR(__xludf.DUMMYFUNCTION("""COMPUTED_VALUE"""),"")</f>
        <v/>
      </c>
      <c r="W801" s="6" t="str">
        <f>IFERROR(__xludf.DUMMYFUNCTION("""COMPUTED_VALUE"""),"[]")</f>
        <v>[]</v>
      </c>
      <c r="X801" s="6" t="str">
        <f>IFERROR(__xludf.DUMMYFUNCTION("""COMPUTED_VALUE"""),"Enrolled")</f>
        <v>Enrolled</v>
      </c>
    </row>
    <row r="802">
      <c r="A802" s="6" t="str">
        <f>IFERROR(__xludf.DUMMYFUNCTION("""COMPUTED_VALUE"""),"001-8020")</f>
        <v>001-8020</v>
      </c>
      <c r="B802" s="6" t="str">
        <f>IFERROR(__xludf.DUMMYFUNCTION("""COMPUTED_VALUE"""),"1")</f>
        <v>1</v>
      </c>
      <c r="C802" s="6" t="str">
        <f>IFERROR(__xludf.DUMMYFUNCTION("""COMPUTED_VALUE"""),"8020")</f>
        <v>8020</v>
      </c>
      <c r="D802" s="6" t="str">
        <f>IFERROR(__xludf.DUMMYFUNCTION("""COMPUTED_VALUE"""),"Armaan")</f>
        <v>Armaan</v>
      </c>
      <c r="E802" s="6" t="str">
        <f>IFERROR(__xludf.DUMMYFUNCTION("""COMPUTED_VALUE"""),"Armaan")</f>
        <v>Armaan</v>
      </c>
      <c r="F802" s="6" t="str">
        <f>IFERROR(__xludf.DUMMYFUNCTION("""COMPUTED_VALUE"""),"Kajani")</f>
        <v>Kajani</v>
      </c>
      <c r="G802" s="6" t="str">
        <f>IFERROR(__xludf.DUMMYFUNCTION("""COMPUTED_VALUE"""),"08/11/2012")</f>
        <v>08/11/2012</v>
      </c>
      <c r="H802" s="6" t="str">
        <f>IFERROR(__xludf.DUMMYFUNCTION("""COMPUTED_VALUE"""),"male")</f>
        <v>male</v>
      </c>
      <c r="I802" s="6" t="str">
        <f>IFERROR(__xludf.DUMMYFUNCTION("""COMPUTED_VALUE"""),"Middle School")</f>
        <v>Middle School</v>
      </c>
      <c r="J802" s="6" t="str">
        <f>IFERROR(__xludf.DUMMYFUNCTION("""COMPUTED_VALUE"""),"8")</f>
        <v>8</v>
      </c>
      <c r="K802" s="6" t="str">
        <f>IFERROR(__xludf.DUMMYFUNCTION("""COMPUTED_VALUE"""),"armaankavi.kajani@alpha.school")</f>
        <v>armaankavi.kajani@alpha.school</v>
      </c>
      <c r="L802" s="6" t="str">
        <f>IFERROR(__xludf.DUMMYFUNCTION("""COMPUTED_VALUE"""),"Alpha School Austin")</f>
        <v>Alpha School Austin</v>
      </c>
      <c r="M802" s="6" t="str">
        <f>IFERROR(__xludf.DUMMYFUNCTION("""COMPUTED_VALUE"""),"")</f>
        <v/>
      </c>
      <c r="N802" s="6" t="str">
        <f>IFERROR(__xludf.DUMMYFUNCTION("""COMPUTED_VALUE"""),"")</f>
        <v/>
      </c>
      <c r="O802" s="87" t="str">
        <f>IFERROR(__xludf.DUMMYFUNCTION("""COMPUTED_VALUE"""),"https://drive.google.com/drive/folders/10T2cTQHqEJZqE-st6uFKPoI?usp=share_link")</f>
        <v>https://drive.google.com/drive/folders/10T2cTQHqEJZqE-st6uFKPoI?usp=share_link</v>
      </c>
      <c r="P802" s="6" t="str">
        <f>IFERROR(__xludf.DUMMYFUNCTION("""COMPUTED_VALUE"""),"Armaan Kajani")</f>
        <v>Armaan Kajani</v>
      </c>
      <c r="Q802" s="6" t="str">
        <f>IFERROR(__xludf.DUMMYFUNCTION("""COMPUTED_VALUE"""),"MS")</f>
        <v>MS</v>
      </c>
      <c r="R802" s="6">
        <f>IFERROR(__xludf.DUMMYFUNCTION("""COMPUTED_VALUE"""),0.0)</f>
        <v>0</v>
      </c>
      <c r="S802" s="6" t="str">
        <f>IFERROR(__xludf.DUMMYFUNCTION("""COMPUTED_VALUE"""),"Israel Adesina")</f>
        <v>Israel Adesina</v>
      </c>
      <c r="T802" s="6" t="str">
        <f>IFERROR(__xludf.DUMMYFUNCTION("""COMPUTED_VALUE"""),"israel.adesina@alpha.school")</f>
        <v>israel.adesina@alpha.school</v>
      </c>
      <c r="U802" s="6" t="str">
        <f>IFERROR(__xludf.DUMMYFUNCTION("""COMPUTED_VALUE"""),"8")</f>
        <v>8</v>
      </c>
      <c r="V802" s="6" t="str">
        <f>IFERROR(__xludf.DUMMYFUNCTION("""COMPUTED_VALUE"""),"")</f>
        <v/>
      </c>
      <c r="W802" s="6" t="str">
        <f>IFERROR(__xludf.DUMMYFUNCTION("""COMPUTED_VALUE"""),"[]")</f>
        <v>[]</v>
      </c>
      <c r="X802" s="6" t="str">
        <f>IFERROR(__xludf.DUMMYFUNCTION("""COMPUTED_VALUE"""),"Enrolled")</f>
        <v>Enrolled</v>
      </c>
    </row>
    <row r="803">
      <c r="A803" s="6" t="str">
        <f>IFERROR(__xludf.DUMMYFUNCTION("""COMPUTED_VALUE"""),"001-8021")</f>
        <v>001-8021</v>
      </c>
      <c r="B803" s="6" t="str">
        <f>IFERROR(__xludf.DUMMYFUNCTION("""COMPUTED_VALUE"""),"1")</f>
        <v>1</v>
      </c>
      <c r="C803" s="6" t="str">
        <f>IFERROR(__xludf.DUMMYFUNCTION("""COMPUTED_VALUE"""),"8021")</f>
        <v>8021</v>
      </c>
      <c r="D803" s="6" t="str">
        <f>IFERROR(__xludf.DUMMYFUNCTION("""COMPUTED_VALUE"""),"Alisha")</f>
        <v>Alisha</v>
      </c>
      <c r="E803" s="6" t="str">
        <f>IFERROR(__xludf.DUMMYFUNCTION("""COMPUTED_VALUE"""),"Alisha")</f>
        <v>Alisha</v>
      </c>
      <c r="F803" s="6" t="str">
        <f>IFERROR(__xludf.DUMMYFUNCTION("""COMPUTED_VALUE"""),"Kajani")</f>
        <v>Kajani</v>
      </c>
      <c r="G803" s="6" t="str">
        <f>IFERROR(__xludf.DUMMYFUNCTION("""COMPUTED_VALUE"""),"03/23/2017")</f>
        <v>03/23/2017</v>
      </c>
      <c r="H803" s="6" t="str">
        <f>IFERROR(__xludf.DUMMYFUNCTION("""COMPUTED_VALUE"""),"female")</f>
        <v>female</v>
      </c>
      <c r="I803" s="6" t="str">
        <f>IFERROR(__xludf.DUMMYFUNCTION("""COMPUTED_VALUE"""),"Level 1")</f>
        <v>Level 1</v>
      </c>
      <c r="J803" s="6" t="str">
        <f>IFERROR(__xludf.DUMMYFUNCTION("""COMPUTED_VALUE"""),"3")</f>
        <v>3</v>
      </c>
      <c r="K803" s="6" t="str">
        <f>IFERROR(__xludf.DUMMYFUNCTION("""COMPUTED_VALUE"""),"alishazaha.kajani@alpha.school")</f>
        <v>alishazaha.kajani@alpha.school</v>
      </c>
      <c r="L803" s="6" t="str">
        <f>IFERROR(__xludf.DUMMYFUNCTION("""COMPUTED_VALUE"""),"Alpha School Austin")</f>
        <v>Alpha School Austin</v>
      </c>
      <c r="M803" s="6" t="str">
        <f>IFERROR(__xludf.DUMMYFUNCTION("""COMPUTED_VALUE"""),"")</f>
        <v/>
      </c>
      <c r="N803" s="6" t="str">
        <f>IFERROR(__xludf.DUMMYFUNCTION("""COMPUTED_VALUE"""),"")</f>
        <v/>
      </c>
      <c r="O803" s="87" t="str">
        <f>IFERROR(__xludf.DUMMYFUNCTION("""COMPUTED_VALUE"""),"https://drive.google.com/drive/folders/10T2cTQHqEJZqE-st6uFKPoI?usp=share_link")</f>
        <v>https://drive.google.com/drive/folders/10T2cTQHqEJZqE-st6uFKPoI?usp=share_link</v>
      </c>
      <c r="P803" s="6" t="str">
        <f>IFERROR(__xludf.DUMMYFUNCTION("""COMPUTED_VALUE"""),"Alisha Kajani")</f>
        <v>Alisha Kajani</v>
      </c>
      <c r="Q803" s="6" t="str">
        <f>IFERROR(__xludf.DUMMYFUNCTION("""COMPUTED_VALUE"""),"L1")</f>
        <v>L1</v>
      </c>
      <c r="R803" s="6">
        <f>IFERROR(__xludf.DUMMYFUNCTION("""COMPUTED_VALUE"""),1.0)</f>
        <v>1</v>
      </c>
      <c r="S803" s="6" t="str">
        <f>IFERROR(__xludf.DUMMYFUNCTION("""COMPUTED_VALUE"""),"Camren Allred")</f>
        <v>Camren Allred</v>
      </c>
      <c r="T803" s="6" t="str">
        <f>IFERROR(__xludf.DUMMYFUNCTION("""COMPUTED_VALUE"""),"camren.allred@alpha.school")</f>
        <v>camren.allred@alpha.school</v>
      </c>
      <c r="U803" s="6" t="str">
        <f>IFERROR(__xludf.DUMMYFUNCTION("""COMPUTED_VALUE"""),"3")</f>
        <v>3</v>
      </c>
      <c r="V803" s="6" t="str">
        <f>IFERROR(__xludf.DUMMYFUNCTION("""COMPUTED_VALUE"""),"")</f>
        <v/>
      </c>
      <c r="W803" s="6" t="str">
        <f>IFERROR(__xludf.DUMMYFUNCTION("""COMPUTED_VALUE"""),"[]")</f>
        <v>[]</v>
      </c>
      <c r="X803" s="6" t="str">
        <f>IFERROR(__xludf.DUMMYFUNCTION("""COMPUTED_VALUE"""),"Enrolled")</f>
        <v>Enrolled</v>
      </c>
    </row>
    <row r="804">
      <c r="A804" s="6" t="str">
        <f>IFERROR(__xludf.DUMMYFUNCTION("""COMPUTED_VALUE"""),"001-8028")</f>
        <v>001-8028</v>
      </c>
      <c r="B804" s="6" t="str">
        <f>IFERROR(__xludf.DUMMYFUNCTION("""COMPUTED_VALUE"""),"1")</f>
        <v>1</v>
      </c>
      <c r="C804" s="6" t="str">
        <f>IFERROR(__xludf.DUMMYFUNCTION("""COMPUTED_VALUE"""),"8028")</f>
        <v>8028</v>
      </c>
      <c r="D804" s="6" t="str">
        <f>IFERROR(__xludf.DUMMYFUNCTION("""COMPUTED_VALUE"""),"Thomas")</f>
        <v>Thomas</v>
      </c>
      <c r="E804" s="6" t="str">
        <f>IFERROR(__xludf.DUMMYFUNCTION("""COMPUTED_VALUE"""),"Tomas")</f>
        <v>Tomas</v>
      </c>
      <c r="F804" s="6" t="str">
        <f>IFERROR(__xludf.DUMMYFUNCTION("""COMPUTED_VALUE"""),"Gonzales")</f>
        <v>Gonzales</v>
      </c>
      <c r="G804" s="6" t="str">
        <f>IFERROR(__xludf.DUMMYFUNCTION("""COMPUTED_VALUE"""),"04/25/2018")</f>
        <v>04/25/2018</v>
      </c>
      <c r="H804" s="6" t="str">
        <f>IFERROR(__xludf.DUMMYFUNCTION("""COMPUTED_VALUE"""),"male")</f>
        <v>male</v>
      </c>
      <c r="I804" s="6" t="str">
        <f>IFERROR(__xludf.DUMMYFUNCTION("""COMPUTED_VALUE"""),"Level 1")</f>
        <v>Level 1</v>
      </c>
      <c r="J804" s="6" t="str">
        <f>IFERROR(__xludf.DUMMYFUNCTION("""COMPUTED_VALUE"""),"2")</f>
        <v>2</v>
      </c>
      <c r="K804" s="6" t="str">
        <f>IFERROR(__xludf.DUMMYFUNCTION("""COMPUTED_VALUE"""),"thomas.gonzales@alpha.school")</f>
        <v>thomas.gonzales@alpha.school</v>
      </c>
      <c r="L804" s="6" t="str">
        <f>IFERROR(__xludf.DUMMYFUNCTION("""COMPUTED_VALUE"""),"Alpha School Austin")</f>
        <v>Alpha School Austin</v>
      </c>
      <c r="M804" s="6" t="str">
        <f>IFERROR(__xludf.DUMMYFUNCTION("""COMPUTED_VALUE"""),"")</f>
        <v/>
      </c>
      <c r="N804" s="6" t="str">
        <f>IFERROR(__xludf.DUMMYFUNCTION("""COMPUTED_VALUE"""),"")</f>
        <v/>
      </c>
      <c r="O804" s="87" t="str">
        <f>IFERROR(__xludf.DUMMYFUNCTION("""COMPUTED_VALUE"""),"https://drive.google.com/drive/folders/10T2cTQHqEJZqE-st6uFKPoI?usp=share_link")</f>
        <v>https://drive.google.com/drive/folders/10T2cTQHqEJZqE-st6uFKPoI?usp=share_link</v>
      </c>
      <c r="P804" s="6" t="str">
        <f>IFERROR(__xludf.DUMMYFUNCTION("""COMPUTED_VALUE"""),"Tomas Gonzales")</f>
        <v>Tomas Gonzales</v>
      </c>
      <c r="Q804" s="6" t="str">
        <f>IFERROR(__xludf.DUMMYFUNCTION("""COMPUTED_VALUE"""),"L1")</f>
        <v>L1</v>
      </c>
      <c r="R804" s="6">
        <f>IFERROR(__xludf.DUMMYFUNCTION("""COMPUTED_VALUE"""),1.0)</f>
        <v>1</v>
      </c>
      <c r="S804" s="6" t="str">
        <f>IFERROR(__xludf.DUMMYFUNCTION("""COMPUTED_VALUE"""),"Jacob Frisch")</f>
        <v>Jacob Frisch</v>
      </c>
      <c r="T804" s="6" t="str">
        <f>IFERROR(__xludf.DUMMYFUNCTION("""COMPUTED_VALUE"""),"jacob.frisch@2hourlearning.com")</f>
        <v>jacob.frisch@2hourlearning.com</v>
      </c>
      <c r="U804" s="6" t="str">
        <f>IFERROR(__xludf.DUMMYFUNCTION("""COMPUTED_VALUE"""),"2")</f>
        <v>2</v>
      </c>
      <c r="V804" s="6" t="str">
        <f>IFERROR(__xludf.DUMMYFUNCTION("""COMPUTED_VALUE"""),"")</f>
        <v/>
      </c>
      <c r="W804" s="6" t="str">
        <f>IFERROR(__xludf.DUMMYFUNCTION("""COMPUTED_VALUE"""),"[]")</f>
        <v>[]</v>
      </c>
      <c r="X804" s="6" t="str">
        <f>IFERROR(__xludf.DUMMYFUNCTION("""COMPUTED_VALUE"""),"Enrolled")</f>
        <v>Enrolled</v>
      </c>
    </row>
    <row r="805">
      <c r="A805" s="6" t="str">
        <f>IFERROR(__xludf.DUMMYFUNCTION("""COMPUTED_VALUE"""),"001-8171")</f>
        <v>001-8171</v>
      </c>
      <c r="B805" s="6" t="str">
        <f>IFERROR(__xludf.DUMMYFUNCTION("""COMPUTED_VALUE"""),"1")</f>
        <v>1</v>
      </c>
      <c r="C805" s="6" t="str">
        <f>IFERROR(__xludf.DUMMYFUNCTION("""COMPUTED_VALUE"""),"8171")</f>
        <v>8171</v>
      </c>
      <c r="D805" s="6" t="str">
        <f>IFERROR(__xludf.DUMMYFUNCTION("""COMPUTED_VALUE"""),"Timeback")</f>
        <v>Timeback</v>
      </c>
      <c r="E805" s="6" t="str">
        <f>IFERROR(__xludf.DUMMYFUNCTION("""COMPUTED_VALUE"""),"")</f>
        <v/>
      </c>
      <c r="F805" s="6" t="str">
        <f>IFERROR(__xludf.DUMMYFUNCTION("""COMPUTED_VALUE"""),"Kindergartner")</f>
        <v>Kindergartner</v>
      </c>
      <c r="G805" s="6" t="str">
        <f>IFERROR(__xludf.DUMMYFUNCTION("""COMPUTED_VALUE"""),"01/15/2013")</f>
        <v>01/15/2013</v>
      </c>
      <c r="H805" s="6" t="str">
        <f>IFERROR(__xludf.DUMMYFUNCTION("""COMPUTED_VALUE"""),"Self Identify")</f>
        <v>Self Identify</v>
      </c>
      <c r="I805" s="6" t="str">
        <f>IFERROR(__xludf.DUMMYFUNCTION("""COMPUTED_VALUE"""),"Learning Lab")</f>
        <v>Learning Lab</v>
      </c>
      <c r="J805" s="6" t="str">
        <f>IFERROR(__xludf.DUMMYFUNCTION("""COMPUTED_VALUE"""),"K")</f>
        <v>K</v>
      </c>
      <c r="K805" s="6" t="str">
        <f>IFERROR(__xludf.DUMMYFUNCTION("""COMPUTED_VALUE"""),"timeback.kindergartner@alpha.school")</f>
        <v>timeback.kindergartner@alpha.school</v>
      </c>
      <c r="L805" s="6" t="str">
        <f>IFERROR(__xludf.DUMMYFUNCTION("""COMPUTED_VALUE"""),"Alpha School Austin")</f>
        <v>Alpha School Austin</v>
      </c>
      <c r="M805" s="6" t="str">
        <f>IFERROR(__xludf.DUMMYFUNCTION("""COMPUTED_VALUE"""),"Mock")</f>
        <v>Mock</v>
      </c>
      <c r="N805" s="6" t="str">
        <f>IFERROR(__xludf.DUMMYFUNCTION("""COMPUTED_VALUE"""),"")</f>
        <v/>
      </c>
      <c r="O805" s="87" t="str">
        <f>IFERROR(__xludf.DUMMYFUNCTION("""COMPUTED_VALUE"""),"https://drive.google.com/drive/folders/10T2cTQHqEJZqE-st6uFKPoI?usp=share_link")</f>
        <v>https://drive.google.com/drive/folders/10T2cTQHqEJZqE-st6uFKPoI?usp=share_link</v>
      </c>
      <c r="P805" s="6" t="str">
        <f>IFERROR(__xludf.DUMMYFUNCTION("""COMPUTED_VALUE"""),"Timeback Kindergartner")</f>
        <v>Timeback Kindergartner</v>
      </c>
      <c r="Q805" s="6" t="str">
        <f>IFERROR(__xludf.DUMMYFUNCTION("""COMPUTED_VALUE"""),"LL")</f>
        <v>LL</v>
      </c>
      <c r="R805" s="6">
        <f>IFERROR(__xludf.DUMMYFUNCTION("""COMPUTED_VALUE"""),0.0)</f>
        <v>0</v>
      </c>
      <c r="S805" s="6" t="str">
        <f>IFERROR(__xludf.DUMMYFUNCTION("""COMPUTED_VALUE""")," ")</f>
        <v> </v>
      </c>
      <c r="T805" s="6" t="str">
        <f>IFERROR(__xludf.DUMMYFUNCTION("""COMPUTED_VALUE"""),"")</f>
        <v/>
      </c>
      <c r="U805" s="6" t="str">
        <f>IFERROR(__xludf.DUMMYFUNCTION("""COMPUTED_VALUE"""),"K")</f>
        <v>K</v>
      </c>
      <c r="V805" s="6" t="str">
        <f>IFERROR(__xludf.DUMMYFUNCTION("""COMPUTED_VALUE"""),"")</f>
        <v/>
      </c>
      <c r="W805" s="6" t="str">
        <f>IFERROR(__xludf.DUMMYFUNCTION("""COMPUTED_VALUE"""),"[]")</f>
        <v>[]</v>
      </c>
      <c r="X805" s="6" t="str">
        <f>IFERROR(__xludf.DUMMYFUNCTION("""COMPUTED_VALUE"""),"Enrolled")</f>
        <v>Enrolled</v>
      </c>
    </row>
    <row r="806">
      <c r="A806" s="6" t="str">
        <f>IFERROR(__xludf.DUMMYFUNCTION("""COMPUTED_VALUE"""),"001-8172")</f>
        <v>001-8172</v>
      </c>
      <c r="B806" s="6" t="str">
        <f>IFERROR(__xludf.DUMMYFUNCTION("""COMPUTED_VALUE"""),"1")</f>
        <v>1</v>
      </c>
      <c r="C806" s="6" t="str">
        <f>IFERROR(__xludf.DUMMYFUNCTION("""COMPUTED_VALUE"""),"8172")</f>
        <v>8172</v>
      </c>
      <c r="D806" s="6" t="str">
        <f>IFERROR(__xludf.DUMMYFUNCTION("""COMPUTED_VALUE"""),"Timeback")</f>
        <v>Timeback</v>
      </c>
      <c r="E806" s="6" t="str">
        <f>IFERROR(__xludf.DUMMYFUNCTION("""COMPUTED_VALUE"""),"")</f>
        <v/>
      </c>
      <c r="F806" s="6" t="str">
        <f>IFERROR(__xludf.DUMMYFUNCTION("""COMPUTED_VALUE"""),"Firstgrader")</f>
        <v>Firstgrader</v>
      </c>
      <c r="G806" s="6" t="str">
        <f>IFERROR(__xludf.DUMMYFUNCTION("""COMPUTED_VALUE"""),"01/15/2013")</f>
        <v>01/15/2013</v>
      </c>
      <c r="H806" s="6" t="str">
        <f>IFERROR(__xludf.DUMMYFUNCTION("""COMPUTED_VALUE"""),"Self Identify")</f>
        <v>Self Identify</v>
      </c>
      <c r="I806" s="6" t="str">
        <f>IFERROR(__xludf.DUMMYFUNCTION("""COMPUTED_VALUE"""),"Learning Lab")</f>
        <v>Learning Lab</v>
      </c>
      <c r="J806" s="6" t="str">
        <f>IFERROR(__xludf.DUMMYFUNCTION("""COMPUTED_VALUE"""),"1")</f>
        <v>1</v>
      </c>
      <c r="K806" s="6" t="str">
        <f>IFERROR(__xludf.DUMMYFUNCTION("""COMPUTED_VALUE"""),"timeback.firstgrader@alpha.school")</f>
        <v>timeback.firstgrader@alpha.school</v>
      </c>
      <c r="L806" s="6" t="str">
        <f>IFERROR(__xludf.DUMMYFUNCTION("""COMPUTED_VALUE"""),"Alpha School Austin")</f>
        <v>Alpha School Austin</v>
      </c>
      <c r="M806" s="6" t="str">
        <f>IFERROR(__xludf.DUMMYFUNCTION("""COMPUTED_VALUE"""),"Mock")</f>
        <v>Mock</v>
      </c>
      <c r="N806" s="6" t="str">
        <f>IFERROR(__xludf.DUMMYFUNCTION("""COMPUTED_VALUE"""),"")</f>
        <v/>
      </c>
      <c r="O806" s="87" t="str">
        <f>IFERROR(__xludf.DUMMYFUNCTION("""COMPUTED_VALUE"""),"https://drive.google.com/drive/folders/10T2cTQHqEJZqE-st6uFKPoI?usp=share_link")</f>
        <v>https://drive.google.com/drive/folders/10T2cTQHqEJZqE-st6uFKPoI?usp=share_link</v>
      </c>
      <c r="P806" s="6" t="str">
        <f>IFERROR(__xludf.DUMMYFUNCTION("""COMPUTED_VALUE"""),"Timeback Firstgrader")</f>
        <v>Timeback Firstgrader</v>
      </c>
      <c r="Q806" s="6" t="str">
        <f>IFERROR(__xludf.DUMMYFUNCTION("""COMPUTED_VALUE"""),"LL")</f>
        <v>LL</v>
      </c>
      <c r="R806" s="6">
        <f>IFERROR(__xludf.DUMMYFUNCTION("""COMPUTED_VALUE"""),0.0)</f>
        <v>0</v>
      </c>
      <c r="S806" s="6" t="str">
        <f>IFERROR(__xludf.DUMMYFUNCTION("""COMPUTED_VALUE""")," ")</f>
        <v> </v>
      </c>
      <c r="T806" s="6" t="str">
        <f>IFERROR(__xludf.DUMMYFUNCTION("""COMPUTED_VALUE"""),"")</f>
        <v/>
      </c>
      <c r="U806" s="6" t="str">
        <f>IFERROR(__xludf.DUMMYFUNCTION("""COMPUTED_VALUE"""),"1")</f>
        <v>1</v>
      </c>
      <c r="V806" s="6" t="str">
        <f>IFERROR(__xludf.DUMMYFUNCTION("""COMPUTED_VALUE"""),"")</f>
        <v/>
      </c>
      <c r="W806" s="6" t="str">
        <f>IFERROR(__xludf.DUMMYFUNCTION("""COMPUTED_VALUE"""),"[]")</f>
        <v>[]</v>
      </c>
      <c r="X806" s="6" t="str">
        <f>IFERROR(__xludf.DUMMYFUNCTION("""COMPUTED_VALUE"""),"Enrolled")</f>
        <v>Enrolled</v>
      </c>
    </row>
    <row r="807">
      <c r="A807" s="6" t="str">
        <f>IFERROR(__xludf.DUMMYFUNCTION("""COMPUTED_VALUE"""),"001-8173")</f>
        <v>001-8173</v>
      </c>
      <c r="B807" s="6" t="str">
        <f>IFERROR(__xludf.DUMMYFUNCTION("""COMPUTED_VALUE"""),"1")</f>
        <v>1</v>
      </c>
      <c r="C807" s="6" t="str">
        <f>IFERROR(__xludf.DUMMYFUNCTION("""COMPUTED_VALUE"""),"8173")</f>
        <v>8173</v>
      </c>
      <c r="D807" s="6" t="str">
        <f>IFERROR(__xludf.DUMMYFUNCTION("""COMPUTED_VALUE"""),"Timeback")</f>
        <v>Timeback</v>
      </c>
      <c r="E807" s="6" t="str">
        <f>IFERROR(__xludf.DUMMYFUNCTION("""COMPUTED_VALUE"""),"")</f>
        <v/>
      </c>
      <c r="F807" s="6" t="str">
        <f>IFERROR(__xludf.DUMMYFUNCTION("""COMPUTED_VALUE"""),"Secondgrader")</f>
        <v>Secondgrader</v>
      </c>
      <c r="G807" s="6" t="str">
        <f>IFERROR(__xludf.DUMMYFUNCTION("""COMPUTED_VALUE"""),"01/15/2013")</f>
        <v>01/15/2013</v>
      </c>
      <c r="H807" s="6" t="str">
        <f>IFERROR(__xludf.DUMMYFUNCTION("""COMPUTED_VALUE"""),"Self Identify")</f>
        <v>Self Identify</v>
      </c>
      <c r="I807" s="6" t="str">
        <f>IFERROR(__xludf.DUMMYFUNCTION("""COMPUTED_VALUE"""),"Level 1")</f>
        <v>Level 1</v>
      </c>
      <c r="J807" s="6" t="str">
        <f>IFERROR(__xludf.DUMMYFUNCTION("""COMPUTED_VALUE"""),"2")</f>
        <v>2</v>
      </c>
      <c r="K807" s="6" t="str">
        <f>IFERROR(__xludf.DUMMYFUNCTION("""COMPUTED_VALUE"""),"timeback.secondgrader@alpha.school")</f>
        <v>timeback.secondgrader@alpha.school</v>
      </c>
      <c r="L807" s="6" t="str">
        <f>IFERROR(__xludf.DUMMYFUNCTION("""COMPUTED_VALUE"""),"Alpha School Austin")</f>
        <v>Alpha School Austin</v>
      </c>
      <c r="M807" s="6" t="str">
        <f>IFERROR(__xludf.DUMMYFUNCTION("""COMPUTED_VALUE"""),"Mock")</f>
        <v>Mock</v>
      </c>
      <c r="N807" s="6" t="str">
        <f>IFERROR(__xludf.DUMMYFUNCTION("""COMPUTED_VALUE"""),"")</f>
        <v/>
      </c>
      <c r="O807" s="87" t="str">
        <f>IFERROR(__xludf.DUMMYFUNCTION("""COMPUTED_VALUE"""),"https://drive.google.com/drive/folders/10T2cTQHqEJZqE-st6uFKPoI?usp=share_link")</f>
        <v>https://drive.google.com/drive/folders/10T2cTQHqEJZqE-st6uFKPoI?usp=share_link</v>
      </c>
      <c r="P807" s="6" t="str">
        <f>IFERROR(__xludf.DUMMYFUNCTION("""COMPUTED_VALUE"""),"Timeback Secondgrader")</f>
        <v>Timeback Secondgrader</v>
      </c>
      <c r="Q807" s="6" t="str">
        <f>IFERROR(__xludf.DUMMYFUNCTION("""COMPUTED_VALUE"""),"L1")</f>
        <v>L1</v>
      </c>
      <c r="R807" s="6">
        <f>IFERROR(__xludf.DUMMYFUNCTION("""COMPUTED_VALUE"""),1.0)</f>
        <v>1</v>
      </c>
      <c r="S807" s="6" t="str">
        <f>IFERROR(__xludf.DUMMYFUNCTION("""COMPUTED_VALUE""")," ")</f>
        <v> </v>
      </c>
      <c r="T807" s="6" t="str">
        <f>IFERROR(__xludf.DUMMYFUNCTION("""COMPUTED_VALUE"""),"")</f>
        <v/>
      </c>
      <c r="U807" s="6" t="str">
        <f>IFERROR(__xludf.DUMMYFUNCTION("""COMPUTED_VALUE"""),"2")</f>
        <v>2</v>
      </c>
      <c r="V807" s="6" t="str">
        <f>IFERROR(__xludf.DUMMYFUNCTION("""COMPUTED_VALUE"""),"")</f>
        <v/>
      </c>
      <c r="W807" s="6" t="str">
        <f>IFERROR(__xludf.DUMMYFUNCTION("""COMPUTED_VALUE"""),"[]")</f>
        <v>[]</v>
      </c>
      <c r="X807" s="6" t="str">
        <f>IFERROR(__xludf.DUMMYFUNCTION("""COMPUTED_VALUE"""),"Enrolled")</f>
        <v>Enrolled</v>
      </c>
    </row>
    <row r="808">
      <c r="A808" s="6" t="str">
        <f>IFERROR(__xludf.DUMMYFUNCTION("""COMPUTED_VALUE"""),"001-8174")</f>
        <v>001-8174</v>
      </c>
      <c r="B808" s="6" t="str">
        <f>IFERROR(__xludf.DUMMYFUNCTION("""COMPUTED_VALUE"""),"1")</f>
        <v>1</v>
      </c>
      <c r="C808" s="6" t="str">
        <f>IFERROR(__xludf.DUMMYFUNCTION("""COMPUTED_VALUE"""),"8174")</f>
        <v>8174</v>
      </c>
      <c r="D808" s="6" t="str">
        <f>IFERROR(__xludf.DUMMYFUNCTION("""COMPUTED_VALUE"""),"Timeback")</f>
        <v>Timeback</v>
      </c>
      <c r="E808" s="6" t="str">
        <f>IFERROR(__xludf.DUMMYFUNCTION("""COMPUTED_VALUE"""),"")</f>
        <v/>
      </c>
      <c r="F808" s="6" t="str">
        <f>IFERROR(__xludf.DUMMYFUNCTION("""COMPUTED_VALUE"""),"Thirdgrader")</f>
        <v>Thirdgrader</v>
      </c>
      <c r="G808" s="6" t="str">
        <f>IFERROR(__xludf.DUMMYFUNCTION("""COMPUTED_VALUE"""),"01/15/2013")</f>
        <v>01/15/2013</v>
      </c>
      <c r="H808" s="6" t="str">
        <f>IFERROR(__xludf.DUMMYFUNCTION("""COMPUTED_VALUE"""),"Self Identify")</f>
        <v>Self Identify</v>
      </c>
      <c r="I808" s="6" t="str">
        <f>IFERROR(__xludf.DUMMYFUNCTION("""COMPUTED_VALUE"""),"Level 1")</f>
        <v>Level 1</v>
      </c>
      <c r="J808" s="6" t="str">
        <f>IFERROR(__xludf.DUMMYFUNCTION("""COMPUTED_VALUE"""),"3")</f>
        <v>3</v>
      </c>
      <c r="K808" s="6" t="str">
        <f>IFERROR(__xludf.DUMMYFUNCTION("""COMPUTED_VALUE"""),"timeback.thirdgrader@alpha.school")</f>
        <v>timeback.thirdgrader@alpha.school</v>
      </c>
      <c r="L808" s="6" t="str">
        <f>IFERROR(__xludf.DUMMYFUNCTION("""COMPUTED_VALUE"""),"Alpha School Austin")</f>
        <v>Alpha School Austin</v>
      </c>
      <c r="M808" s="6" t="str">
        <f>IFERROR(__xludf.DUMMYFUNCTION("""COMPUTED_VALUE"""),"Mock")</f>
        <v>Mock</v>
      </c>
      <c r="N808" s="6" t="str">
        <f>IFERROR(__xludf.DUMMYFUNCTION("""COMPUTED_VALUE"""),"")</f>
        <v/>
      </c>
      <c r="O808" s="87" t="str">
        <f>IFERROR(__xludf.DUMMYFUNCTION("""COMPUTED_VALUE"""),"https://drive.google.com/drive/folders/10T2cTQHqEJZqE-st6uFKPoI?usp=share_link")</f>
        <v>https://drive.google.com/drive/folders/10T2cTQHqEJZqE-st6uFKPoI?usp=share_link</v>
      </c>
      <c r="P808" s="6" t="str">
        <f>IFERROR(__xludf.DUMMYFUNCTION("""COMPUTED_VALUE"""),"Timeback Thirdgrader")</f>
        <v>Timeback Thirdgrader</v>
      </c>
      <c r="Q808" s="6" t="str">
        <f>IFERROR(__xludf.DUMMYFUNCTION("""COMPUTED_VALUE"""),"L1")</f>
        <v>L1</v>
      </c>
      <c r="R808" s="6">
        <f>IFERROR(__xludf.DUMMYFUNCTION("""COMPUTED_VALUE"""),1.0)</f>
        <v>1</v>
      </c>
      <c r="S808" s="6" t="str">
        <f>IFERROR(__xludf.DUMMYFUNCTION("""COMPUTED_VALUE""")," ")</f>
        <v> </v>
      </c>
      <c r="T808" s="6" t="str">
        <f>IFERROR(__xludf.DUMMYFUNCTION("""COMPUTED_VALUE"""),"")</f>
        <v/>
      </c>
      <c r="U808" s="6" t="str">
        <f>IFERROR(__xludf.DUMMYFUNCTION("""COMPUTED_VALUE"""),"3")</f>
        <v>3</v>
      </c>
      <c r="V808" s="6" t="str">
        <f>IFERROR(__xludf.DUMMYFUNCTION("""COMPUTED_VALUE"""),"")</f>
        <v/>
      </c>
      <c r="W808" s="6" t="str">
        <f>IFERROR(__xludf.DUMMYFUNCTION("""COMPUTED_VALUE"""),"[]")</f>
        <v>[]</v>
      </c>
      <c r="X808" s="6" t="str">
        <f>IFERROR(__xludf.DUMMYFUNCTION("""COMPUTED_VALUE"""),"Enrolled")</f>
        <v>Enrolled</v>
      </c>
    </row>
    <row r="809">
      <c r="A809" s="6" t="str">
        <f>IFERROR(__xludf.DUMMYFUNCTION("""COMPUTED_VALUE"""),"001-8175")</f>
        <v>001-8175</v>
      </c>
      <c r="B809" s="6" t="str">
        <f>IFERROR(__xludf.DUMMYFUNCTION("""COMPUTED_VALUE"""),"1")</f>
        <v>1</v>
      </c>
      <c r="C809" s="6" t="str">
        <f>IFERROR(__xludf.DUMMYFUNCTION("""COMPUTED_VALUE"""),"8175")</f>
        <v>8175</v>
      </c>
      <c r="D809" s="6" t="str">
        <f>IFERROR(__xludf.DUMMYFUNCTION("""COMPUTED_VALUE"""),"Timeback")</f>
        <v>Timeback</v>
      </c>
      <c r="E809" s="6" t="str">
        <f>IFERROR(__xludf.DUMMYFUNCTION("""COMPUTED_VALUE"""),"")</f>
        <v/>
      </c>
      <c r="F809" s="6" t="str">
        <f>IFERROR(__xludf.DUMMYFUNCTION("""COMPUTED_VALUE"""),"Fourthgrader")</f>
        <v>Fourthgrader</v>
      </c>
      <c r="G809" s="6" t="str">
        <f>IFERROR(__xludf.DUMMYFUNCTION("""COMPUTED_VALUE"""),"01/15/2013")</f>
        <v>01/15/2013</v>
      </c>
      <c r="H809" s="6" t="str">
        <f>IFERROR(__xludf.DUMMYFUNCTION("""COMPUTED_VALUE"""),"Self Identify")</f>
        <v>Self Identify</v>
      </c>
      <c r="I809" s="6" t="str">
        <f>IFERROR(__xludf.DUMMYFUNCTION("""COMPUTED_VALUE"""),"Level 2")</f>
        <v>Level 2</v>
      </c>
      <c r="J809" s="6" t="str">
        <f>IFERROR(__xludf.DUMMYFUNCTION("""COMPUTED_VALUE"""),"4")</f>
        <v>4</v>
      </c>
      <c r="K809" s="6" t="str">
        <f>IFERROR(__xludf.DUMMYFUNCTION("""COMPUTED_VALUE"""),"timeback.fourthgrader@alpha.school")</f>
        <v>timeback.fourthgrader@alpha.school</v>
      </c>
      <c r="L809" s="6" t="str">
        <f>IFERROR(__xludf.DUMMYFUNCTION("""COMPUTED_VALUE"""),"Alpha School Austin")</f>
        <v>Alpha School Austin</v>
      </c>
      <c r="M809" s="6" t="str">
        <f>IFERROR(__xludf.DUMMYFUNCTION("""COMPUTED_VALUE"""),"Mock")</f>
        <v>Mock</v>
      </c>
      <c r="N809" s="6" t="str">
        <f>IFERROR(__xludf.DUMMYFUNCTION("""COMPUTED_VALUE"""),"")</f>
        <v/>
      </c>
      <c r="O809" s="87" t="str">
        <f>IFERROR(__xludf.DUMMYFUNCTION("""COMPUTED_VALUE"""),"https://drive.google.com/drive/folders/10T2cTQHqEJZqE-st6uFKPoI?usp=share_link")</f>
        <v>https://drive.google.com/drive/folders/10T2cTQHqEJZqE-st6uFKPoI?usp=share_link</v>
      </c>
      <c r="P809" s="6" t="str">
        <f>IFERROR(__xludf.DUMMYFUNCTION("""COMPUTED_VALUE"""),"Timeback Fourthgrader")</f>
        <v>Timeback Fourthgrader</v>
      </c>
      <c r="Q809" s="6" t="str">
        <f>IFERROR(__xludf.DUMMYFUNCTION("""COMPUTED_VALUE"""),"L2")</f>
        <v>L2</v>
      </c>
      <c r="R809" s="6">
        <f>IFERROR(__xludf.DUMMYFUNCTION("""COMPUTED_VALUE"""),2.0)</f>
        <v>2</v>
      </c>
      <c r="S809" s="6" t="str">
        <f>IFERROR(__xludf.DUMMYFUNCTION("""COMPUTED_VALUE""")," ")</f>
        <v> </v>
      </c>
      <c r="T809" s="6" t="str">
        <f>IFERROR(__xludf.DUMMYFUNCTION("""COMPUTED_VALUE"""),"")</f>
        <v/>
      </c>
      <c r="U809" s="6" t="str">
        <f>IFERROR(__xludf.DUMMYFUNCTION("""COMPUTED_VALUE"""),"4")</f>
        <v>4</v>
      </c>
      <c r="V809" s="6" t="str">
        <f>IFERROR(__xludf.DUMMYFUNCTION("""COMPUTED_VALUE"""),"")</f>
        <v/>
      </c>
      <c r="W809" s="6" t="str">
        <f>IFERROR(__xludf.DUMMYFUNCTION("""COMPUTED_VALUE"""),"[]")</f>
        <v>[]</v>
      </c>
      <c r="X809" s="6" t="str">
        <f>IFERROR(__xludf.DUMMYFUNCTION("""COMPUTED_VALUE"""),"Enrolled")</f>
        <v>Enrolled</v>
      </c>
    </row>
    <row r="810">
      <c r="A810" s="6" t="str">
        <f>IFERROR(__xludf.DUMMYFUNCTION("""COMPUTED_VALUE"""),"001-8176")</f>
        <v>001-8176</v>
      </c>
      <c r="B810" s="6" t="str">
        <f>IFERROR(__xludf.DUMMYFUNCTION("""COMPUTED_VALUE"""),"1")</f>
        <v>1</v>
      </c>
      <c r="C810" s="6" t="str">
        <f>IFERROR(__xludf.DUMMYFUNCTION("""COMPUTED_VALUE"""),"8176")</f>
        <v>8176</v>
      </c>
      <c r="D810" s="6" t="str">
        <f>IFERROR(__xludf.DUMMYFUNCTION("""COMPUTED_VALUE"""),"Timeback")</f>
        <v>Timeback</v>
      </c>
      <c r="E810" s="6" t="str">
        <f>IFERROR(__xludf.DUMMYFUNCTION("""COMPUTED_VALUE"""),"")</f>
        <v/>
      </c>
      <c r="F810" s="6" t="str">
        <f>IFERROR(__xludf.DUMMYFUNCTION("""COMPUTED_VALUE"""),"Fifthgrader")</f>
        <v>Fifthgrader</v>
      </c>
      <c r="G810" s="6" t="str">
        <f>IFERROR(__xludf.DUMMYFUNCTION("""COMPUTED_VALUE"""),"01/15/2013")</f>
        <v>01/15/2013</v>
      </c>
      <c r="H810" s="6" t="str">
        <f>IFERROR(__xludf.DUMMYFUNCTION("""COMPUTED_VALUE"""),"Self Identify")</f>
        <v>Self Identify</v>
      </c>
      <c r="I810" s="6" t="str">
        <f>IFERROR(__xludf.DUMMYFUNCTION("""COMPUTED_VALUE"""),"Level 2")</f>
        <v>Level 2</v>
      </c>
      <c r="J810" s="6" t="str">
        <f>IFERROR(__xludf.DUMMYFUNCTION("""COMPUTED_VALUE"""),"5")</f>
        <v>5</v>
      </c>
      <c r="K810" s="6" t="str">
        <f>IFERROR(__xludf.DUMMYFUNCTION("""COMPUTED_VALUE"""),"timeback.fifthgrader@alpha.school")</f>
        <v>timeback.fifthgrader@alpha.school</v>
      </c>
      <c r="L810" s="6" t="str">
        <f>IFERROR(__xludf.DUMMYFUNCTION("""COMPUTED_VALUE"""),"Alpha School Austin")</f>
        <v>Alpha School Austin</v>
      </c>
      <c r="M810" s="6" t="str">
        <f>IFERROR(__xludf.DUMMYFUNCTION("""COMPUTED_VALUE"""),"Mock")</f>
        <v>Mock</v>
      </c>
      <c r="N810" s="6" t="str">
        <f>IFERROR(__xludf.DUMMYFUNCTION("""COMPUTED_VALUE"""),"")</f>
        <v/>
      </c>
      <c r="O810" s="87" t="str">
        <f>IFERROR(__xludf.DUMMYFUNCTION("""COMPUTED_VALUE"""),"https://drive.google.com/drive/folders/10T2cTQHqEJZqE-st6uFKPoI?usp=share_link")</f>
        <v>https://drive.google.com/drive/folders/10T2cTQHqEJZqE-st6uFKPoI?usp=share_link</v>
      </c>
      <c r="P810" s="6" t="str">
        <f>IFERROR(__xludf.DUMMYFUNCTION("""COMPUTED_VALUE"""),"Timeback Fifthgrader")</f>
        <v>Timeback Fifthgrader</v>
      </c>
      <c r="Q810" s="6" t="str">
        <f>IFERROR(__xludf.DUMMYFUNCTION("""COMPUTED_VALUE"""),"L2")</f>
        <v>L2</v>
      </c>
      <c r="R810" s="6">
        <f>IFERROR(__xludf.DUMMYFUNCTION("""COMPUTED_VALUE"""),2.0)</f>
        <v>2</v>
      </c>
      <c r="S810" s="6" t="str">
        <f>IFERROR(__xludf.DUMMYFUNCTION("""COMPUTED_VALUE""")," ")</f>
        <v> </v>
      </c>
      <c r="T810" s="6" t="str">
        <f>IFERROR(__xludf.DUMMYFUNCTION("""COMPUTED_VALUE"""),"")</f>
        <v/>
      </c>
      <c r="U810" s="6" t="str">
        <f>IFERROR(__xludf.DUMMYFUNCTION("""COMPUTED_VALUE"""),"5")</f>
        <v>5</v>
      </c>
      <c r="V810" s="6" t="str">
        <f>IFERROR(__xludf.DUMMYFUNCTION("""COMPUTED_VALUE"""),"")</f>
        <v/>
      </c>
      <c r="W810" s="6" t="str">
        <f>IFERROR(__xludf.DUMMYFUNCTION("""COMPUTED_VALUE"""),"[]")</f>
        <v>[]</v>
      </c>
      <c r="X810" s="6" t="str">
        <f>IFERROR(__xludf.DUMMYFUNCTION("""COMPUTED_VALUE"""),"Enrolled")</f>
        <v>Enrolled</v>
      </c>
    </row>
    <row r="811">
      <c r="A811" s="6" t="str">
        <f>IFERROR(__xludf.DUMMYFUNCTION("""COMPUTED_VALUE"""),"001-8257")</f>
        <v>001-8257</v>
      </c>
      <c r="B811" s="6" t="str">
        <f>IFERROR(__xludf.DUMMYFUNCTION("""COMPUTED_VALUE"""),"1")</f>
        <v>1</v>
      </c>
      <c r="C811" s="6" t="str">
        <f>IFERROR(__xludf.DUMMYFUNCTION("""COMPUTED_VALUE"""),"8257")</f>
        <v>8257</v>
      </c>
      <c r="D811" s="6" t="str">
        <f>IFERROR(__xludf.DUMMYFUNCTION("""COMPUTED_VALUE"""),"Dean")</f>
        <v>Dean</v>
      </c>
      <c r="E811" s="6" t="str">
        <f>IFERROR(__xludf.DUMMYFUNCTION("""COMPUTED_VALUE"""),"")</f>
        <v/>
      </c>
      <c r="F811" s="6" t="str">
        <f>IFERROR(__xludf.DUMMYFUNCTION("""COMPUTED_VALUE"""),"Woods")</f>
        <v>Woods</v>
      </c>
      <c r="G811" s="6" t="str">
        <f>IFERROR(__xludf.DUMMYFUNCTION("""COMPUTED_VALUE"""),"01/15/2016")</f>
        <v>01/15/2016</v>
      </c>
      <c r="H811" s="6" t="str">
        <f>IFERROR(__xludf.DUMMYFUNCTION("""COMPUTED_VALUE"""),"male")</f>
        <v>male</v>
      </c>
      <c r="I811" s="6" t="str">
        <f>IFERROR(__xludf.DUMMYFUNCTION("""COMPUTED_VALUE"""),"Level 2")</f>
        <v>Level 2</v>
      </c>
      <c r="J811" s="6" t="str">
        <f>IFERROR(__xludf.DUMMYFUNCTION("""COMPUTED_VALUE"""),"4")</f>
        <v>4</v>
      </c>
      <c r="K811" s="6" t="str">
        <f>IFERROR(__xludf.DUMMYFUNCTION("""COMPUTED_VALUE"""),"dean.woods@alpha.school")</f>
        <v>dean.woods@alpha.school</v>
      </c>
      <c r="L811" s="6" t="str">
        <f>IFERROR(__xludf.DUMMYFUNCTION("""COMPUTED_VALUE"""),"Alpha School Austin")</f>
        <v>Alpha School Austin</v>
      </c>
      <c r="M811" s="6" t="str">
        <f>IFERROR(__xludf.DUMMYFUNCTION("""COMPUTED_VALUE"""),"")</f>
        <v/>
      </c>
      <c r="N811" s="6" t="str">
        <f>IFERROR(__xludf.DUMMYFUNCTION("""COMPUTED_VALUE"""),"")</f>
        <v/>
      </c>
      <c r="O811" s="87" t="str">
        <f>IFERROR(__xludf.DUMMYFUNCTION("""COMPUTED_VALUE"""),"https://drive.google.com/drive/folders/10T2cTQHqEJZqE-st6uFKPoI?usp=share_link")</f>
        <v>https://drive.google.com/drive/folders/10T2cTQHqEJZqE-st6uFKPoI?usp=share_link</v>
      </c>
      <c r="P811" s="6" t="str">
        <f>IFERROR(__xludf.DUMMYFUNCTION("""COMPUTED_VALUE"""),"Dean Woods")</f>
        <v>Dean Woods</v>
      </c>
      <c r="Q811" s="6" t="str">
        <f>IFERROR(__xludf.DUMMYFUNCTION("""COMPUTED_VALUE"""),"L2")</f>
        <v>L2</v>
      </c>
      <c r="R811" s="6">
        <f>IFERROR(__xludf.DUMMYFUNCTION("""COMPUTED_VALUE"""),2.0)</f>
        <v>2</v>
      </c>
      <c r="S811" s="6" t="str">
        <f>IFERROR(__xludf.DUMMYFUNCTION("""COMPUTED_VALUE"""),"Gaby Golombek")</f>
        <v>Gaby Golombek</v>
      </c>
      <c r="T811" s="6" t="str">
        <f>IFERROR(__xludf.DUMMYFUNCTION("""COMPUTED_VALUE"""),"gabriel.golombek@alpha.school")</f>
        <v>gabriel.golombek@alpha.school</v>
      </c>
      <c r="U811" s="6" t="str">
        <f>IFERROR(__xludf.DUMMYFUNCTION("""COMPUTED_VALUE"""),"4")</f>
        <v>4</v>
      </c>
      <c r="V811" s="6" t="str">
        <f>IFERROR(__xludf.DUMMYFUNCTION("""COMPUTED_VALUE"""),"")</f>
        <v/>
      </c>
      <c r="W811" s="6" t="str">
        <f>IFERROR(__xludf.DUMMYFUNCTION("""COMPUTED_VALUE"""),"[]")</f>
        <v>[]</v>
      </c>
      <c r="X811" s="6" t="str">
        <f>IFERROR(__xludf.DUMMYFUNCTION("""COMPUTED_VALUE"""),"Enrolled")</f>
        <v>Enrolled</v>
      </c>
    </row>
    <row r="812">
      <c r="A812" s="6" t="str">
        <f>IFERROR(__xludf.DUMMYFUNCTION("""COMPUTED_VALUE"""),"001-8258")</f>
        <v>001-8258</v>
      </c>
      <c r="B812" s="6" t="str">
        <f>IFERROR(__xludf.DUMMYFUNCTION("""COMPUTED_VALUE"""),"1")</f>
        <v>1</v>
      </c>
      <c r="C812" s="6" t="str">
        <f>IFERROR(__xludf.DUMMYFUNCTION("""COMPUTED_VALUE"""),"8258")</f>
        <v>8258</v>
      </c>
      <c r="D812" s="6" t="str">
        <f>IFERROR(__xludf.DUMMYFUNCTION("""COMPUTED_VALUE"""),"Daphne")</f>
        <v>Daphne</v>
      </c>
      <c r="E812" s="6" t="str">
        <f>IFERROR(__xludf.DUMMYFUNCTION("""COMPUTED_VALUE"""),"")</f>
        <v/>
      </c>
      <c r="F812" s="6" t="str">
        <f>IFERROR(__xludf.DUMMYFUNCTION("""COMPUTED_VALUE"""),"Woods")</f>
        <v>Woods</v>
      </c>
      <c r="G812" s="6" t="str">
        <f>IFERROR(__xludf.DUMMYFUNCTION("""COMPUTED_VALUE"""),"05/25/2013")</f>
        <v>05/25/2013</v>
      </c>
      <c r="H812" s="6" t="str">
        <f>IFERROR(__xludf.DUMMYFUNCTION("""COMPUTED_VALUE"""),"Self Identify")</f>
        <v>Self Identify</v>
      </c>
      <c r="I812" s="6" t="str">
        <f>IFERROR(__xludf.DUMMYFUNCTION("""COMPUTED_VALUE"""),"Middle School")</f>
        <v>Middle School</v>
      </c>
      <c r="J812" s="6" t="str">
        <f>IFERROR(__xludf.DUMMYFUNCTION("""COMPUTED_VALUE"""),"7")</f>
        <v>7</v>
      </c>
      <c r="K812" s="6" t="str">
        <f>IFERROR(__xludf.DUMMYFUNCTION("""COMPUTED_VALUE"""),"daphne.woods@alpha.school")</f>
        <v>daphne.woods@alpha.school</v>
      </c>
      <c r="L812" s="6" t="str">
        <f>IFERROR(__xludf.DUMMYFUNCTION("""COMPUTED_VALUE"""),"Alpha School Austin")</f>
        <v>Alpha School Austin</v>
      </c>
      <c r="M812" s="6" t="str">
        <f>IFERROR(__xludf.DUMMYFUNCTION("""COMPUTED_VALUE"""),"")</f>
        <v/>
      </c>
      <c r="N812" s="6" t="str">
        <f>IFERROR(__xludf.DUMMYFUNCTION("""COMPUTED_VALUE"""),"")</f>
        <v/>
      </c>
      <c r="O812" s="87" t="str">
        <f>IFERROR(__xludf.DUMMYFUNCTION("""COMPUTED_VALUE"""),"https://drive.google.com/drive/folders/10T2cTQHqEJZqE-st6uFKPoI?usp=share_link")</f>
        <v>https://drive.google.com/drive/folders/10T2cTQHqEJZqE-st6uFKPoI?usp=share_link</v>
      </c>
      <c r="P812" s="6" t="str">
        <f>IFERROR(__xludf.DUMMYFUNCTION("""COMPUTED_VALUE"""),"Daphne Woods")</f>
        <v>Daphne Woods</v>
      </c>
      <c r="Q812" s="6" t="str">
        <f>IFERROR(__xludf.DUMMYFUNCTION("""COMPUTED_VALUE"""),"MS")</f>
        <v>MS</v>
      </c>
      <c r="R812" s="6">
        <f>IFERROR(__xludf.DUMMYFUNCTION("""COMPUTED_VALUE"""),0.0)</f>
        <v>0</v>
      </c>
      <c r="S812" s="6" t="str">
        <f>IFERROR(__xludf.DUMMYFUNCTION("""COMPUTED_VALUE"""),"Noah Lightfoot")</f>
        <v>Noah Lightfoot</v>
      </c>
      <c r="T812" s="6" t="str">
        <f>IFERROR(__xludf.DUMMYFUNCTION("""COMPUTED_VALUE"""),"noah.lightfoot@alpha.school")</f>
        <v>noah.lightfoot@alpha.school</v>
      </c>
      <c r="U812" s="6" t="str">
        <f>IFERROR(__xludf.DUMMYFUNCTION("""COMPUTED_VALUE"""),"7")</f>
        <v>7</v>
      </c>
      <c r="V812" s="6" t="str">
        <f>IFERROR(__xludf.DUMMYFUNCTION("""COMPUTED_VALUE"""),"")</f>
        <v/>
      </c>
      <c r="W812" s="6" t="str">
        <f>IFERROR(__xludf.DUMMYFUNCTION("""COMPUTED_VALUE"""),"[]")</f>
        <v>[]</v>
      </c>
      <c r="X812" s="6" t="str">
        <f>IFERROR(__xludf.DUMMYFUNCTION("""COMPUTED_VALUE"""),"Enrolled")</f>
        <v>Enrolled</v>
      </c>
    </row>
    <row r="813">
      <c r="A813" s="6" t="str">
        <f>IFERROR(__xludf.DUMMYFUNCTION("""COMPUTED_VALUE"""),"001-8738")</f>
        <v>001-8738</v>
      </c>
      <c r="B813" s="6" t="str">
        <f>IFERROR(__xludf.DUMMYFUNCTION("""COMPUTED_VALUE"""),"1")</f>
        <v>1</v>
      </c>
      <c r="C813" s="6" t="str">
        <f>IFERROR(__xludf.DUMMYFUNCTION("""COMPUTED_VALUE"""),"8738")</f>
        <v>8738</v>
      </c>
      <c r="D813" s="6" t="str">
        <f>IFERROR(__xludf.DUMMYFUNCTION("""COMPUTED_VALUE"""),"Cruz")</f>
        <v>Cruz</v>
      </c>
      <c r="E813" s="6" t="str">
        <f>IFERROR(__xludf.DUMMYFUNCTION("""COMPUTED_VALUE"""),"Cruz")</f>
        <v>Cruz</v>
      </c>
      <c r="F813" s="6" t="str">
        <f>IFERROR(__xludf.DUMMYFUNCTION("""COMPUTED_VALUE"""),"Keller")</f>
        <v>Keller</v>
      </c>
      <c r="G813" s="6" t="str">
        <f>IFERROR(__xludf.DUMMYFUNCTION("""COMPUTED_VALUE"""),"09/29/2012")</f>
        <v>09/29/2012</v>
      </c>
      <c r="H813" s="6" t="str">
        <f>IFERROR(__xludf.DUMMYFUNCTION("""COMPUTED_VALUE"""),"female")</f>
        <v>female</v>
      </c>
      <c r="I813" s="6" t="str">
        <f>IFERROR(__xludf.DUMMYFUNCTION("""COMPUTED_VALUE"""),"Middle School")</f>
        <v>Middle School</v>
      </c>
      <c r="J813" s="6" t="str">
        <f>IFERROR(__xludf.DUMMYFUNCTION("""COMPUTED_VALUE"""),"7")</f>
        <v>7</v>
      </c>
      <c r="K813" s="6" t="str">
        <f>IFERROR(__xludf.DUMMYFUNCTION("""COMPUTED_VALUE"""),"cruz.keller@alpha.school")</f>
        <v>cruz.keller@alpha.school</v>
      </c>
      <c r="L813" s="6" t="str">
        <f>IFERROR(__xludf.DUMMYFUNCTION("""COMPUTED_VALUE"""),"Alpha School Austin")</f>
        <v>Alpha School Austin</v>
      </c>
      <c r="M813" s="6" t="str">
        <f>IFERROR(__xludf.DUMMYFUNCTION("""COMPUTED_VALUE"""),"")</f>
        <v/>
      </c>
      <c r="N813" s="6" t="str">
        <f>IFERROR(__xludf.DUMMYFUNCTION("""COMPUTED_VALUE"""),"")</f>
        <v/>
      </c>
      <c r="O813" s="87" t="str">
        <f>IFERROR(__xludf.DUMMYFUNCTION("""COMPUTED_VALUE"""),"https://drive.google.com/drive/folders/10T2cTQHqEJZqE-st6uFKPoI?usp=share_link")</f>
        <v>https://drive.google.com/drive/folders/10T2cTQHqEJZqE-st6uFKPoI?usp=share_link</v>
      </c>
      <c r="P813" s="6" t="str">
        <f>IFERROR(__xludf.DUMMYFUNCTION("""COMPUTED_VALUE"""),"Cruz Keller")</f>
        <v>Cruz Keller</v>
      </c>
      <c r="Q813" s="6" t="str">
        <f>IFERROR(__xludf.DUMMYFUNCTION("""COMPUTED_VALUE"""),"MS")</f>
        <v>MS</v>
      </c>
      <c r="R813" s="6">
        <f>IFERROR(__xludf.DUMMYFUNCTION("""COMPUTED_VALUE"""),0.0)</f>
        <v>0</v>
      </c>
      <c r="S813" s="6" t="str">
        <f>IFERROR(__xludf.DUMMYFUNCTION("""COMPUTED_VALUE"""),"Lauren Hammond")</f>
        <v>Lauren Hammond</v>
      </c>
      <c r="T813" s="6" t="str">
        <f>IFERROR(__xludf.DUMMYFUNCTION("""COMPUTED_VALUE"""),"lauren.hammond@alpha.school")</f>
        <v>lauren.hammond@alpha.school</v>
      </c>
      <c r="U813" s="6" t="str">
        <f>IFERROR(__xludf.DUMMYFUNCTION("""COMPUTED_VALUE"""),"7")</f>
        <v>7</v>
      </c>
      <c r="V813" s="6" t="str">
        <f>IFERROR(__xludf.DUMMYFUNCTION("""COMPUTED_VALUE"""),"")</f>
        <v/>
      </c>
      <c r="W813" s="6" t="str">
        <f>IFERROR(__xludf.DUMMYFUNCTION("""COMPUTED_VALUE"""),"[]")</f>
        <v>[]</v>
      </c>
      <c r="X813" s="6" t="str">
        <f>IFERROR(__xludf.DUMMYFUNCTION("""COMPUTED_VALUE"""),"Enrolled")</f>
        <v>Enrolled</v>
      </c>
    </row>
    <row r="814">
      <c r="A814" s="6" t="str">
        <f>IFERROR(__xludf.DUMMYFUNCTION("""COMPUTED_VALUE"""),"001-8749")</f>
        <v>001-8749</v>
      </c>
      <c r="B814" s="6" t="str">
        <f>IFERROR(__xludf.DUMMYFUNCTION("""COMPUTED_VALUE"""),"1")</f>
        <v>1</v>
      </c>
      <c r="C814" s="6" t="str">
        <f>IFERROR(__xludf.DUMMYFUNCTION("""COMPUTED_VALUE"""),"8749")</f>
        <v>8749</v>
      </c>
      <c r="D814" s="6" t="str">
        <f>IFERROR(__xludf.DUMMYFUNCTION("""COMPUTED_VALUE"""),"Ananya")</f>
        <v>Ananya</v>
      </c>
      <c r="E814" s="6" t="str">
        <f>IFERROR(__xludf.DUMMYFUNCTION("""COMPUTED_VALUE"""),"")</f>
        <v/>
      </c>
      <c r="F814" s="6" t="str">
        <f>IFERROR(__xludf.DUMMYFUNCTION("""COMPUTED_VALUE"""),"Kakarlapudi")</f>
        <v>Kakarlapudi</v>
      </c>
      <c r="G814" s="6" t="str">
        <f>IFERROR(__xludf.DUMMYFUNCTION("""COMPUTED_VALUE"""),"12/27/2008")</f>
        <v>12/27/2008</v>
      </c>
      <c r="H814" s="6" t="str">
        <f>IFERROR(__xludf.DUMMYFUNCTION("""COMPUTED_VALUE"""),"female")</f>
        <v>female</v>
      </c>
      <c r="I814" s="6" t="str">
        <f>IFERROR(__xludf.DUMMYFUNCTION("""COMPUTED_VALUE"""),"High School")</f>
        <v>High School</v>
      </c>
      <c r="J814" s="6" t="str">
        <f>IFERROR(__xludf.DUMMYFUNCTION("""COMPUTED_VALUE"""),"11")</f>
        <v>11</v>
      </c>
      <c r="K814" s="6" t="str">
        <f>IFERROR(__xludf.DUMMYFUNCTION("""COMPUTED_VALUE"""),"ananya.kakarlapudi@alpha.school")</f>
        <v>ananya.kakarlapudi@alpha.school</v>
      </c>
      <c r="L814" s="6" t="str">
        <f>IFERROR(__xludf.DUMMYFUNCTION("""COMPUTED_VALUE"""),"Alpha High School")</f>
        <v>Alpha High School</v>
      </c>
      <c r="M814" s="6" t="str">
        <f>IFERROR(__xludf.DUMMYFUNCTION("""COMPUTED_VALUE"""),"")</f>
        <v/>
      </c>
      <c r="N814" s="6" t="str">
        <f>IFERROR(__xludf.DUMMYFUNCTION("""COMPUTED_VALUE"""),"")</f>
        <v/>
      </c>
      <c r="O814" s="87" t="str">
        <f>IFERROR(__xludf.DUMMYFUNCTION("""COMPUTED_VALUE"""),"https://drive.google.com/drive/folders/10T2cTQHqEJZqE-st6uFKPoI?usp=share_link")</f>
        <v>https://drive.google.com/drive/folders/10T2cTQHqEJZqE-st6uFKPoI?usp=share_link</v>
      </c>
      <c r="P814" s="6" t="str">
        <f>IFERROR(__xludf.DUMMYFUNCTION("""COMPUTED_VALUE"""),"Ananya Kakarlapudi")</f>
        <v>Ananya Kakarlapudi</v>
      </c>
      <c r="Q814" s="6" t="str">
        <f>IFERROR(__xludf.DUMMYFUNCTION("""COMPUTED_VALUE"""),"HS")</f>
        <v>HS</v>
      </c>
      <c r="R814" s="6">
        <f>IFERROR(__xludf.DUMMYFUNCTION("""COMPUTED_VALUE"""),0.0)</f>
        <v>0</v>
      </c>
      <c r="S814" s="6" t="str">
        <f>IFERROR(__xludf.DUMMYFUNCTION("""COMPUTED_VALUE"""),"Chloe Belvin")</f>
        <v>Chloe Belvin</v>
      </c>
      <c r="T814" s="6" t="str">
        <f>IFERROR(__xludf.DUMMYFUNCTION("""COMPUTED_VALUE"""),"chloe.belvin@alpha.school")</f>
        <v>chloe.belvin@alpha.school</v>
      </c>
      <c r="U814" s="6" t="str">
        <f>IFERROR(__xludf.DUMMYFUNCTION("""COMPUTED_VALUE"""),"11")</f>
        <v>11</v>
      </c>
      <c r="V814" s="6" t="str">
        <f>IFERROR(__xludf.DUMMYFUNCTION("""COMPUTED_VALUE"""),"")</f>
        <v/>
      </c>
      <c r="W814" s="6" t="str">
        <f>IFERROR(__xludf.DUMMYFUNCTION("""COMPUTED_VALUE"""),"[]")</f>
        <v>[]</v>
      </c>
      <c r="X814" s="6" t="str">
        <f>IFERROR(__xludf.DUMMYFUNCTION("""COMPUTED_VALUE"""),"Enrolled")</f>
        <v>Enrolled</v>
      </c>
    </row>
    <row r="815">
      <c r="A815" s="6" t="str">
        <f>IFERROR(__xludf.DUMMYFUNCTION("""COMPUTED_VALUE"""),"001-8774")</f>
        <v>001-8774</v>
      </c>
      <c r="B815" s="6" t="str">
        <f>IFERROR(__xludf.DUMMYFUNCTION("""COMPUTED_VALUE"""),"1")</f>
        <v>1</v>
      </c>
      <c r="C815" s="6" t="str">
        <f>IFERROR(__xludf.DUMMYFUNCTION("""COMPUTED_VALUE"""),"8774")</f>
        <v>8774</v>
      </c>
      <c r="D815" s="6" t="str">
        <f>IFERROR(__xludf.DUMMYFUNCTION("""COMPUTED_VALUE"""),"Jessica")</f>
        <v>Jessica</v>
      </c>
      <c r="E815" s="6" t="str">
        <f>IFERROR(__xludf.DUMMYFUNCTION("""COMPUTED_VALUE"""),"Jessica")</f>
        <v>Jessica</v>
      </c>
      <c r="F815" s="6" t="str">
        <f>IFERROR(__xludf.DUMMYFUNCTION("""COMPUTED_VALUE"""),"Owenby")</f>
        <v>Owenby</v>
      </c>
      <c r="G815" s="6" t="str">
        <f>IFERROR(__xludf.DUMMYFUNCTION("""COMPUTED_VALUE"""),"09/16/2010")</f>
        <v>09/16/2010</v>
      </c>
      <c r="H815" s="6" t="str">
        <f>IFERROR(__xludf.DUMMYFUNCTION("""COMPUTED_VALUE"""),"female")</f>
        <v>female</v>
      </c>
      <c r="I815" s="6" t="str">
        <f>IFERROR(__xludf.DUMMYFUNCTION("""COMPUTED_VALUE"""),"High School")</f>
        <v>High School</v>
      </c>
      <c r="J815" s="6" t="str">
        <f>IFERROR(__xludf.DUMMYFUNCTION("""COMPUTED_VALUE"""),"9")</f>
        <v>9</v>
      </c>
      <c r="K815" s="6" t="str">
        <f>IFERROR(__xludf.DUMMYFUNCTION("""COMPUTED_VALUE"""),"jessica.owenby@alpha.school")</f>
        <v>jessica.owenby@alpha.school</v>
      </c>
      <c r="L815" s="6" t="str">
        <f>IFERROR(__xludf.DUMMYFUNCTION("""COMPUTED_VALUE"""),"Alpha High School")</f>
        <v>Alpha High School</v>
      </c>
      <c r="M815" s="6" t="str">
        <f>IFERROR(__xludf.DUMMYFUNCTION("""COMPUTED_VALUE"""),"")</f>
        <v/>
      </c>
      <c r="N815" s="6" t="str">
        <f>IFERROR(__xludf.DUMMYFUNCTION("""COMPUTED_VALUE"""),"")</f>
        <v/>
      </c>
      <c r="O815" s="87" t="str">
        <f>IFERROR(__xludf.DUMMYFUNCTION("""COMPUTED_VALUE"""),"https://drive.google.com/drive/folders/10T2cTQHqEJZqE-st6uFKPoI?usp=share_link")</f>
        <v>https://drive.google.com/drive/folders/10T2cTQHqEJZqE-st6uFKPoI?usp=share_link</v>
      </c>
      <c r="P815" s="6" t="str">
        <f>IFERROR(__xludf.DUMMYFUNCTION("""COMPUTED_VALUE"""),"Jessica Owenby")</f>
        <v>Jessica Owenby</v>
      </c>
      <c r="Q815" s="6" t="str">
        <f>IFERROR(__xludf.DUMMYFUNCTION("""COMPUTED_VALUE"""),"HS")</f>
        <v>HS</v>
      </c>
      <c r="R815" s="6">
        <f>IFERROR(__xludf.DUMMYFUNCTION("""COMPUTED_VALUE"""),0.0)</f>
        <v>0</v>
      </c>
      <c r="S815" s="6" t="str">
        <f>IFERROR(__xludf.DUMMYFUNCTION("""COMPUTED_VALUE"""),"Effy Phillips")</f>
        <v>Effy Phillips</v>
      </c>
      <c r="T815" s="6" t="str">
        <f>IFERROR(__xludf.DUMMYFUNCTION("""COMPUTED_VALUE"""),"effy.phillips@alpha.school")</f>
        <v>effy.phillips@alpha.school</v>
      </c>
      <c r="U815" s="6" t="str">
        <f>IFERROR(__xludf.DUMMYFUNCTION("""COMPUTED_VALUE"""),"9")</f>
        <v>9</v>
      </c>
      <c r="V815" s="6" t="str">
        <f>IFERROR(__xludf.DUMMYFUNCTION("""COMPUTED_VALUE"""),"")</f>
        <v/>
      </c>
      <c r="W815" s="6" t="str">
        <f>IFERROR(__xludf.DUMMYFUNCTION("""COMPUTED_VALUE"""),"[]")</f>
        <v>[]</v>
      </c>
      <c r="X815" s="6" t="str">
        <f>IFERROR(__xludf.DUMMYFUNCTION("""COMPUTED_VALUE"""),"Enrolled")</f>
        <v>Enrolled</v>
      </c>
    </row>
    <row r="816">
      <c r="A816" s="6" t="str">
        <f>IFERROR(__xludf.DUMMYFUNCTION("""COMPUTED_VALUE"""),"001-8926")</f>
        <v>001-8926</v>
      </c>
      <c r="B816" s="6" t="str">
        <f>IFERROR(__xludf.DUMMYFUNCTION("""COMPUTED_VALUE"""),"1")</f>
        <v>1</v>
      </c>
      <c r="C816" s="6" t="str">
        <f>IFERROR(__xludf.DUMMYFUNCTION("""COMPUTED_VALUE"""),"8926")</f>
        <v>8926</v>
      </c>
      <c r="D816" s="6" t="str">
        <f>IFERROR(__xludf.DUMMYFUNCTION("""COMPUTED_VALUE"""),"Ezra")</f>
        <v>Ezra</v>
      </c>
      <c r="E816" s="6" t="str">
        <f>IFERROR(__xludf.DUMMYFUNCTION("""COMPUTED_VALUE"""),"Ezra")</f>
        <v>Ezra</v>
      </c>
      <c r="F816" s="6" t="str">
        <f>IFERROR(__xludf.DUMMYFUNCTION("""COMPUTED_VALUE"""),"Robertson")</f>
        <v>Robertson</v>
      </c>
      <c r="G816" s="6" t="str">
        <f>IFERROR(__xludf.DUMMYFUNCTION("""COMPUTED_VALUE"""),"06/01/2021")</f>
        <v>06/01/2021</v>
      </c>
      <c r="H816" s="6" t="str">
        <f>IFERROR(__xludf.DUMMYFUNCTION("""COMPUTED_VALUE"""),"male")</f>
        <v>male</v>
      </c>
      <c r="I816" s="6" t="str">
        <f>IFERROR(__xludf.DUMMYFUNCTION("""COMPUTED_VALUE"""),"Wonder Lab")</f>
        <v>Wonder Lab</v>
      </c>
      <c r="J816" s="6" t="str">
        <f>IFERROR(__xludf.DUMMYFUNCTION("""COMPUTED_VALUE"""),"PK")</f>
        <v>PK</v>
      </c>
      <c r="K816" s="6" t="str">
        <f>IFERROR(__xludf.DUMMYFUNCTION("""COMPUTED_VALUE"""),"ezra.robertson@alpha.school")</f>
        <v>ezra.robertson@alpha.school</v>
      </c>
      <c r="L816" s="6" t="str">
        <f>IFERROR(__xludf.DUMMYFUNCTION("""COMPUTED_VALUE"""),"Alpha School Austin")</f>
        <v>Alpha School Austin</v>
      </c>
      <c r="M816" s="6" t="str">
        <f>IFERROR(__xludf.DUMMYFUNCTION("""COMPUTED_VALUE"""),"")</f>
        <v/>
      </c>
      <c r="N816" s="6" t="str">
        <f>IFERROR(__xludf.DUMMYFUNCTION("""COMPUTED_VALUE"""),"")</f>
        <v/>
      </c>
      <c r="O816" s="87" t="str">
        <f>IFERROR(__xludf.DUMMYFUNCTION("""COMPUTED_VALUE"""),"https://drive.google.com/drive/folders/10T2cTQHqEJZqE-st6uFKPoI?usp=share_link")</f>
        <v>https://drive.google.com/drive/folders/10T2cTQHqEJZqE-st6uFKPoI?usp=share_link</v>
      </c>
      <c r="P816" s="6" t="str">
        <f>IFERROR(__xludf.DUMMYFUNCTION("""COMPUTED_VALUE"""),"Ezra Robertson")</f>
        <v>Ezra Robertson</v>
      </c>
      <c r="Q816" s="6" t="str">
        <f>IFERROR(__xludf.DUMMYFUNCTION("""COMPUTED_VALUE"""),"WL")</f>
        <v>WL</v>
      </c>
      <c r="R816" s="6">
        <f>IFERROR(__xludf.DUMMYFUNCTION("""COMPUTED_VALUE"""),-1.0)</f>
        <v>-1</v>
      </c>
      <c r="S816" s="6" t="str">
        <f>IFERROR(__xludf.DUMMYFUNCTION("""COMPUTED_VALUE""")," ")</f>
        <v> </v>
      </c>
      <c r="T816" s="6" t="str">
        <f>IFERROR(__xludf.DUMMYFUNCTION("""COMPUTED_VALUE"""),"")</f>
        <v/>
      </c>
      <c r="U816" s="6" t="str">
        <f>IFERROR(__xludf.DUMMYFUNCTION("""COMPUTED_VALUE"""),"PK")</f>
        <v>PK</v>
      </c>
      <c r="V816" s="6" t="str">
        <f>IFERROR(__xludf.DUMMYFUNCTION("""COMPUTED_VALUE"""),"")</f>
        <v/>
      </c>
      <c r="W816" s="6" t="str">
        <f>IFERROR(__xludf.DUMMYFUNCTION("""COMPUTED_VALUE"""),"[]")</f>
        <v>[]</v>
      </c>
      <c r="X816" s="6" t="str">
        <f>IFERROR(__xludf.DUMMYFUNCTION("""COMPUTED_VALUE"""),"Pending Review")</f>
        <v>Pending Review</v>
      </c>
    </row>
    <row r="817">
      <c r="A817" s="6" t="str">
        <f>IFERROR(__xludf.DUMMYFUNCTION("""COMPUTED_VALUE"""),"001-9918")</f>
        <v>001-9918</v>
      </c>
      <c r="B817" s="6" t="str">
        <f>IFERROR(__xludf.DUMMYFUNCTION("""COMPUTED_VALUE"""),"1")</f>
        <v>1</v>
      </c>
      <c r="C817" s="6" t="str">
        <f>IFERROR(__xludf.DUMMYFUNCTION("""COMPUTED_VALUE"""),"9918")</f>
        <v>9918</v>
      </c>
      <c r="D817" s="6" t="str">
        <f>IFERROR(__xludf.DUMMYFUNCTION("""COMPUTED_VALUE"""),"Mock")</f>
        <v>Mock</v>
      </c>
      <c r="E817" s="6" t="str">
        <f>IFERROR(__xludf.DUMMYFUNCTION("""COMPUTED_VALUE"""),"")</f>
        <v/>
      </c>
      <c r="F817" s="6" t="str">
        <f>IFERROR(__xludf.DUMMYFUNCTION("""COMPUTED_VALUE"""),"Student 2")</f>
        <v>Student 2</v>
      </c>
      <c r="G817" s="6" t="str">
        <f>IFERROR(__xludf.DUMMYFUNCTION("""COMPUTED_VALUE"""),"08/28/2023")</f>
        <v>08/28/2023</v>
      </c>
      <c r="H817" s="6" t="str">
        <f>IFERROR(__xludf.DUMMYFUNCTION("""COMPUTED_VALUE"""),"F")</f>
        <v>F</v>
      </c>
      <c r="I817" s="6" t="str">
        <f>IFERROR(__xludf.DUMMYFUNCTION("""COMPUTED_VALUE"""),"High School")</f>
        <v>High School</v>
      </c>
      <c r="J817" s="6" t="str">
        <f>IFERROR(__xludf.DUMMYFUNCTION("""COMPUTED_VALUE"""),"11")</f>
        <v>11</v>
      </c>
      <c r="K817" s="6" t="str">
        <f>IFERROR(__xludf.DUMMYFUNCTION("""COMPUTED_VALUE"""),"mock.student2@alpha.school")</f>
        <v>mock.student2@alpha.school</v>
      </c>
      <c r="L817" s="6" t="str">
        <f>IFERROR(__xludf.DUMMYFUNCTION("""COMPUTED_VALUE"""),"Alpha High School")</f>
        <v>Alpha High School</v>
      </c>
      <c r="M817" s="6" t="str">
        <f>IFERROR(__xludf.DUMMYFUNCTION("""COMPUTED_VALUE"""),"Mock")</f>
        <v>Mock</v>
      </c>
      <c r="N817" s="6" t="str">
        <f>IFERROR(__xludf.DUMMYFUNCTION("""COMPUTED_VALUE"""),"")</f>
        <v/>
      </c>
      <c r="O817" s="87" t="str">
        <f>IFERROR(__xludf.DUMMYFUNCTION("""COMPUTED_VALUE"""),"https://drive.google.com/drive/folders/10T2cTQHqEJZqE-st6uFKPoI?usp=share_link")</f>
        <v>https://drive.google.com/drive/folders/10T2cTQHqEJZqE-st6uFKPoI?usp=share_link</v>
      </c>
      <c r="P817" s="6" t="str">
        <f>IFERROR(__xludf.DUMMYFUNCTION("""COMPUTED_VALUE"""),"Mock Student 2")</f>
        <v>Mock Student 2</v>
      </c>
      <c r="Q817" s="6" t="str">
        <f>IFERROR(__xludf.DUMMYFUNCTION("""COMPUTED_VALUE"""),"HS")</f>
        <v>HS</v>
      </c>
      <c r="R817" s="6">
        <f>IFERROR(__xludf.DUMMYFUNCTION("""COMPUTED_VALUE"""),0.0)</f>
        <v>0</v>
      </c>
      <c r="S817" s="6" t="str">
        <f>IFERROR(__xludf.DUMMYFUNCTION("""COMPUTED_VALUE""")," ")</f>
        <v> </v>
      </c>
      <c r="T817" s="6" t="str">
        <f>IFERROR(__xludf.DUMMYFUNCTION("""COMPUTED_VALUE"""),"")</f>
        <v/>
      </c>
      <c r="U817" s="6" t="str">
        <f>IFERROR(__xludf.DUMMYFUNCTION("""COMPUTED_VALUE"""),"11")</f>
        <v>11</v>
      </c>
      <c r="V817" s="6" t="str">
        <f>IFERROR(__xludf.DUMMYFUNCTION("""COMPUTED_VALUE"""),"")</f>
        <v/>
      </c>
      <c r="W817" s="6" t="str">
        <f>IFERROR(__xludf.DUMMYFUNCTION("""COMPUTED_VALUE"""),"[]")</f>
        <v>[]</v>
      </c>
      <c r="X817" s="6" t="str">
        <f>IFERROR(__xludf.DUMMYFUNCTION("""COMPUTED_VALUE"""),"Enrolled")</f>
        <v>Enrolled</v>
      </c>
    </row>
    <row r="818">
      <c r="A818" s="6" t="str">
        <f>IFERROR(__xludf.DUMMYFUNCTION("""COMPUTED_VALUE"""),"001-9919")</f>
        <v>001-9919</v>
      </c>
      <c r="B818" s="6" t="str">
        <f>IFERROR(__xludf.DUMMYFUNCTION("""COMPUTED_VALUE"""),"1")</f>
        <v>1</v>
      </c>
      <c r="C818" s="6" t="str">
        <f>IFERROR(__xludf.DUMMYFUNCTION("""COMPUTED_VALUE"""),"9919")</f>
        <v>9919</v>
      </c>
      <c r="D818" s="6" t="str">
        <f>IFERROR(__xludf.DUMMYFUNCTION("""COMPUTED_VALUE"""),"Mock")</f>
        <v>Mock</v>
      </c>
      <c r="E818" s="6" t="str">
        <f>IFERROR(__xludf.DUMMYFUNCTION("""COMPUTED_VALUE"""),"")</f>
        <v/>
      </c>
      <c r="F818" s="6" t="str">
        <f>IFERROR(__xludf.DUMMYFUNCTION("""COMPUTED_VALUE"""),"Student 1")</f>
        <v>Student 1</v>
      </c>
      <c r="G818" s="6" t="str">
        <f>IFERROR(__xludf.DUMMYFUNCTION("""COMPUTED_VALUE"""),"09/13/2023")</f>
        <v>09/13/2023</v>
      </c>
      <c r="H818" s="6" t="str">
        <f>IFERROR(__xludf.DUMMYFUNCTION("""COMPUTED_VALUE"""),"M")</f>
        <v>M</v>
      </c>
      <c r="I818" s="6" t="str">
        <f>IFERROR(__xludf.DUMMYFUNCTION("""COMPUTED_VALUE"""),"High School")</f>
        <v>High School</v>
      </c>
      <c r="J818" s="6" t="str">
        <f>IFERROR(__xludf.DUMMYFUNCTION("""COMPUTED_VALUE"""),"10")</f>
        <v>10</v>
      </c>
      <c r="K818" s="6" t="str">
        <f>IFERROR(__xludf.DUMMYFUNCTION("""COMPUTED_VALUE"""),"mock.student1@alpha.school")</f>
        <v>mock.student1@alpha.school</v>
      </c>
      <c r="L818" s="6" t="str">
        <f>IFERROR(__xludf.DUMMYFUNCTION("""COMPUTED_VALUE"""),"Alpha High School")</f>
        <v>Alpha High School</v>
      </c>
      <c r="M818" s="6" t="str">
        <f>IFERROR(__xludf.DUMMYFUNCTION("""COMPUTED_VALUE"""),"Mock")</f>
        <v>Mock</v>
      </c>
      <c r="N818" s="6" t="str">
        <f>IFERROR(__xludf.DUMMYFUNCTION("""COMPUTED_VALUE"""),"")</f>
        <v/>
      </c>
      <c r="O818" s="87" t="str">
        <f>IFERROR(__xludf.DUMMYFUNCTION("""COMPUTED_VALUE"""),"https://drive.google.com/drive/folders/10T2cTQHqEJZqE-st6uFKPoI?usp=share_link")</f>
        <v>https://drive.google.com/drive/folders/10T2cTQHqEJZqE-st6uFKPoI?usp=share_link</v>
      </c>
      <c r="P818" s="6" t="str">
        <f>IFERROR(__xludf.DUMMYFUNCTION("""COMPUTED_VALUE"""),"Mock Student 1")</f>
        <v>Mock Student 1</v>
      </c>
      <c r="Q818" s="6" t="str">
        <f>IFERROR(__xludf.DUMMYFUNCTION("""COMPUTED_VALUE"""),"HS")</f>
        <v>HS</v>
      </c>
      <c r="R818" s="6">
        <f>IFERROR(__xludf.DUMMYFUNCTION("""COMPUTED_VALUE"""),0.0)</f>
        <v>0</v>
      </c>
      <c r="S818" s="6" t="str">
        <f>IFERROR(__xludf.DUMMYFUNCTION("""COMPUTED_VALUE""")," ")</f>
        <v> </v>
      </c>
      <c r="T818" s="6" t="str">
        <f>IFERROR(__xludf.DUMMYFUNCTION("""COMPUTED_VALUE"""),"")</f>
        <v/>
      </c>
      <c r="U818" s="6" t="str">
        <f>IFERROR(__xludf.DUMMYFUNCTION("""COMPUTED_VALUE"""),"10")</f>
        <v>10</v>
      </c>
      <c r="V818" s="6" t="str">
        <f>IFERROR(__xludf.DUMMYFUNCTION("""COMPUTED_VALUE"""),"")</f>
        <v/>
      </c>
      <c r="W818" s="6" t="str">
        <f>IFERROR(__xludf.DUMMYFUNCTION("""COMPUTED_VALUE"""),"[]")</f>
        <v>[]</v>
      </c>
      <c r="X818" s="6" t="str">
        <f>IFERROR(__xludf.DUMMYFUNCTION("""COMPUTED_VALUE"""),"Enrolled")</f>
        <v>Enrolled</v>
      </c>
    </row>
    <row r="819">
      <c r="A819" s="6" t="str">
        <f>IFERROR(__xludf.DUMMYFUNCTION("""COMPUTED_VALUE"""),"001-9998")</f>
        <v>001-9998</v>
      </c>
      <c r="B819" s="6" t="str">
        <f>IFERROR(__xludf.DUMMYFUNCTION("""COMPUTED_VALUE"""),"1")</f>
        <v>1</v>
      </c>
      <c r="C819" s="6" t="str">
        <f>IFERROR(__xludf.DUMMYFUNCTION("""COMPUTED_VALUE"""),"9998")</f>
        <v>9998</v>
      </c>
      <c r="D819" s="6" t="str">
        <f>IFERROR(__xludf.DUMMYFUNCTION("""COMPUTED_VALUE"""),"CoachBot")</f>
        <v>CoachBot</v>
      </c>
      <c r="E819" s="6" t="str">
        <f>IFERROR(__xludf.DUMMYFUNCTION("""COMPUTED_VALUE"""),"CoachBot")</f>
        <v>CoachBot</v>
      </c>
      <c r="F819" s="6" t="str">
        <f>IFERROR(__xludf.DUMMYFUNCTION("""COMPUTED_VALUE"""),"Test")</f>
        <v>Test</v>
      </c>
      <c r="G819" s="6" t="str">
        <f>IFERROR(__xludf.DUMMYFUNCTION("""COMPUTED_VALUE"""),"01/01/1993")</f>
        <v>01/01/1993</v>
      </c>
      <c r="H819" s="6" t="str">
        <f>IFERROR(__xludf.DUMMYFUNCTION("""COMPUTED_VALUE"""),"M")</f>
        <v>M</v>
      </c>
      <c r="I819" s="6" t="str">
        <f>IFERROR(__xludf.DUMMYFUNCTION("""COMPUTED_VALUE"""),"Level 1")</f>
        <v>Level 1</v>
      </c>
      <c r="J819" s="6" t="str">
        <f>IFERROR(__xludf.DUMMYFUNCTION("""COMPUTED_VALUE"""),"2")</f>
        <v>2</v>
      </c>
      <c r="K819" s="6" t="str">
        <f>IFERROR(__xludf.DUMMYFUNCTION("""COMPUTED_VALUE"""),"coachbot@gt.school")</f>
        <v>coachbot@gt.school</v>
      </c>
      <c r="L819" s="6" t="str">
        <f>IFERROR(__xludf.DUMMYFUNCTION("""COMPUTED_VALUE"""),"Alpha School Austin")</f>
        <v>Alpha School Austin</v>
      </c>
      <c r="M819" s="6" t="str">
        <f>IFERROR(__xludf.DUMMYFUNCTION("""COMPUTED_VALUE"""),"Mock")</f>
        <v>Mock</v>
      </c>
      <c r="N819" s="6" t="str">
        <f>IFERROR(__xludf.DUMMYFUNCTION("""COMPUTED_VALUE"""),"")</f>
        <v/>
      </c>
      <c r="O819" s="87" t="str">
        <f>IFERROR(__xludf.DUMMYFUNCTION("""COMPUTED_VALUE"""),"https://drive.google.com/drive/folders/10T2cTQHqEJZqE-st6uFKPoI?usp=share_link")</f>
        <v>https://drive.google.com/drive/folders/10T2cTQHqEJZqE-st6uFKPoI?usp=share_link</v>
      </c>
      <c r="P819" s="6" t="str">
        <f>IFERROR(__xludf.DUMMYFUNCTION("""COMPUTED_VALUE"""),"CoachBot Test")</f>
        <v>CoachBot Test</v>
      </c>
      <c r="Q819" s="6" t="str">
        <f>IFERROR(__xludf.DUMMYFUNCTION("""COMPUTED_VALUE"""),"L1")</f>
        <v>L1</v>
      </c>
      <c r="R819" s="6">
        <f>IFERROR(__xludf.DUMMYFUNCTION("""COMPUTED_VALUE"""),1.0)</f>
        <v>1</v>
      </c>
      <c r="S819" s="6" t="str">
        <f>IFERROR(__xludf.DUMMYFUNCTION("""COMPUTED_VALUE""")," ")</f>
        <v> </v>
      </c>
      <c r="T819" s="6" t="str">
        <f>IFERROR(__xludf.DUMMYFUNCTION("""COMPUTED_VALUE"""),"")</f>
        <v/>
      </c>
      <c r="U819" s="6" t="str">
        <f>IFERROR(__xludf.DUMMYFUNCTION("""COMPUTED_VALUE"""),"2")</f>
        <v>2</v>
      </c>
      <c r="V819" s="6" t="str">
        <f>IFERROR(__xludf.DUMMYFUNCTION("""COMPUTED_VALUE"""),"")</f>
        <v/>
      </c>
      <c r="W819" s="6" t="str">
        <f>IFERROR(__xludf.DUMMYFUNCTION("""COMPUTED_VALUE"""),"[]")</f>
        <v>[]</v>
      </c>
      <c r="X819" s="6" t="str">
        <f>IFERROR(__xludf.DUMMYFUNCTION("""COMPUTED_VALUE"""),"Enrolled")</f>
        <v>Enrolled</v>
      </c>
    </row>
    <row r="820">
      <c r="A820" s="6" t="str">
        <f>IFERROR(__xludf.DUMMYFUNCTION("""COMPUTED_VALUE"""),"003-0543")</f>
        <v>003-0543</v>
      </c>
      <c r="B820" s="6" t="str">
        <f>IFERROR(__xludf.DUMMYFUNCTION("""COMPUTED_VALUE"""),"3")</f>
        <v>3</v>
      </c>
      <c r="C820" s="6" t="str">
        <f>IFERROR(__xludf.DUMMYFUNCTION("""COMPUTED_VALUE"""),"0543")</f>
        <v>0543</v>
      </c>
      <c r="D820" s="6" t="str">
        <f>IFERROR(__xludf.DUMMYFUNCTION("""COMPUTED_VALUE"""),"Aster")</f>
        <v>Aster</v>
      </c>
      <c r="E820" s="6" t="str">
        <f>IFERROR(__xludf.DUMMYFUNCTION("""COMPUTED_VALUE"""),"Aster")</f>
        <v>Aster</v>
      </c>
      <c r="F820" s="6" t="str">
        <f>IFERROR(__xludf.DUMMYFUNCTION("""COMPUTED_VALUE"""),"Burns")</f>
        <v>Burns</v>
      </c>
      <c r="G820" s="6" t="str">
        <f>IFERROR(__xludf.DUMMYFUNCTION("""COMPUTED_VALUE"""),"09/02/2016")</f>
        <v>09/02/2016</v>
      </c>
      <c r="H820" s="6" t="str">
        <f>IFERROR(__xludf.DUMMYFUNCTION("""COMPUTED_VALUE"""),"male")</f>
        <v>male</v>
      </c>
      <c r="I820" s="6" t="str">
        <f>IFERROR(__xludf.DUMMYFUNCTION("""COMPUTED_VALUE"""),"Level 1")</f>
        <v>Level 1</v>
      </c>
      <c r="J820" s="6" t="str">
        <f>IFERROR(__xludf.DUMMYFUNCTION("""COMPUTED_VALUE"""),"3")</f>
        <v>3</v>
      </c>
      <c r="K820" s="6" t="str">
        <f>IFERROR(__xludf.DUMMYFUNCTION("""COMPUTED_VALUE"""),"aster.burns@alpha.school")</f>
        <v>aster.burns@alpha.school</v>
      </c>
      <c r="L820" s="6" t="str">
        <f>IFERROR(__xludf.DUMMYFUNCTION("""COMPUTED_VALUE"""),"Alpha School Brownsville")</f>
        <v>Alpha School Brownsville</v>
      </c>
      <c r="M820" s="6" t="str">
        <f>IFERROR(__xludf.DUMMYFUNCTION("""COMPUTED_VALUE"""),"")</f>
        <v/>
      </c>
      <c r="N820" s="6" t="str">
        <f>IFERROR(__xludf.DUMMYFUNCTION("""COMPUTED_VALUE"""),"")</f>
        <v/>
      </c>
      <c r="O820" s="87" t="str">
        <f>IFERROR(__xludf.DUMMYFUNCTION("""COMPUTED_VALUE"""),"https://drive.google.com/drive/folders/10T2cTQHqEJZqE-st6uFKPoI?usp=share_link")</f>
        <v>https://drive.google.com/drive/folders/10T2cTQHqEJZqE-st6uFKPoI?usp=share_link</v>
      </c>
      <c r="P820" s="6" t="str">
        <f>IFERROR(__xludf.DUMMYFUNCTION("""COMPUTED_VALUE"""),"Aster Burns")</f>
        <v>Aster Burns</v>
      </c>
      <c r="Q820" s="6" t="str">
        <f>IFERROR(__xludf.DUMMYFUNCTION("""COMPUTED_VALUE"""),"L1")</f>
        <v>L1</v>
      </c>
      <c r="R820" s="6">
        <f>IFERROR(__xludf.DUMMYFUNCTION("""COMPUTED_VALUE"""),1.0)</f>
        <v>1</v>
      </c>
      <c r="S820" s="6" t="str">
        <f>IFERROR(__xludf.DUMMYFUNCTION("""COMPUTED_VALUE"""),"Desire Park")</f>
        <v>Desire Park</v>
      </c>
      <c r="T820" s="6" t="str">
        <f>IFERROR(__xludf.DUMMYFUNCTION("""COMPUTED_VALUE"""),"desire.park@alpha.school")</f>
        <v>desire.park@alpha.school</v>
      </c>
      <c r="U820" s="6" t="str">
        <f>IFERROR(__xludf.DUMMYFUNCTION("""COMPUTED_VALUE"""),"3")</f>
        <v>3</v>
      </c>
      <c r="V820" s="6" t="str">
        <f>IFERROR(__xludf.DUMMYFUNCTION("""COMPUTED_VALUE"""),"")</f>
        <v/>
      </c>
      <c r="W820" s="6" t="str">
        <f>IFERROR(__xludf.DUMMYFUNCTION("""COMPUTED_VALUE"""),"[]")</f>
        <v>[]</v>
      </c>
      <c r="X820" s="6" t="str">
        <f>IFERROR(__xludf.DUMMYFUNCTION("""COMPUTED_VALUE"""),"Enrolled")</f>
        <v>Enrolled</v>
      </c>
    </row>
    <row r="821">
      <c r="A821" s="6" t="str">
        <f>IFERROR(__xludf.DUMMYFUNCTION("""COMPUTED_VALUE"""),"003-0562")</f>
        <v>003-0562</v>
      </c>
      <c r="B821" s="6" t="str">
        <f>IFERROR(__xludf.DUMMYFUNCTION("""COMPUTED_VALUE"""),"3")</f>
        <v>3</v>
      </c>
      <c r="C821" s="6" t="str">
        <f>IFERROR(__xludf.DUMMYFUNCTION("""COMPUTED_VALUE"""),"0562")</f>
        <v>0562</v>
      </c>
      <c r="D821" s="6" t="str">
        <f>IFERROR(__xludf.DUMMYFUNCTION("""COMPUTED_VALUE"""),"Zarielle")</f>
        <v>Zarielle</v>
      </c>
      <c r="E821" s="6" t="str">
        <f>IFERROR(__xludf.DUMMYFUNCTION("""COMPUTED_VALUE"""),"Zarielle")</f>
        <v>Zarielle</v>
      </c>
      <c r="F821" s="6" t="str">
        <f>IFERROR(__xludf.DUMMYFUNCTION("""COMPUTED_VALUE"""),"Vela")</f>
        <v>Vela</v>
      </c>
      <c r="G821" s="6" t="str">
        <f>IFERROR(__xludf.DUMMYFUNCTION("""COMPUTED_VALUE"""),"03/24/2016")</f>
        <v>03/24/2016</v>
      </c>
      <c r="H821" s="6" t="str">
        <f>IFERROR(__xludf.DUMMYFUNCTION("""COMPUTED_VALUE"""),"female")</f>
        <v>female</v>
      </c>
      <c r="I821" s="6" t="str">
        <f>IFERROR(__xludf.DUMMYFUNCTION("""COMPUTED_VALUE"""),"Level 2")</f>
        <v>Level 2</v>
      </c>
      <c r="J821" s="6" t="str">
        <f>IFERROR(__xludf.DUMMYFUNCTION("""COMPUTED_VALUE"""),"4")</f>
        <v>4</v>
      </c>
      <c r="K821" s="6" t="str">
        <f>IFERROR(__xludf.DUMMYFUNCTION("""COMPUTED_VALUE"""),"zarielle.vela@alpha.school")</f>
        <v>zarielle.vela@alpha.school</v>
      </c>
      <c r="L821" s="6" t="str">
        <f>IFERROR(__xludf.DUMMYFUNCTION("""COMPUTED_VALUE"""),"Alpha School Brownsville")</f>
        <v>Alpha School Brownsville</v>
      </c>
      <c r="M821" s="6" t="str">
        <f>IFERROR(__xludf.DUMMYFUNCTION("""COMPUTED_VALUE"""),"")</f>
        <v/>
      </c>
      <c r="N821" s="6" t="str">
        <f>IFERROR(__xludf.DUMMYFUNCTION("""COMPUTED_VALUE"""),"")</f>
        <v/>
      </c>
      <c r="O821" s="87" t="str">
        <f>IFERROR(__xludf.DUMMYFUNCTION("""COMPUTED_VALUE"""),"https://drive.google.com/drive/folders/10T2cTQHqEJZqE-st6uFKPoI?usp=share_link")</f>
        <v>https://drive.google.com/drive/folders/10T2cTQHqEJZqE-st6uFKPoI?usp=share_link</v>
      </c>
      <c r="P821" s="6" t="str">
        <f>IFERROR(__xludf.DUMMYFUNCTION("""COMPUTED_VALUE"""),"Zarielle Vela")</f>
        <v>Zarielle Vela</v>
      </c>
      <c r="Q821" s="6" t="str">
        <f>IFERROR(__xludf.DUMMYFUNCTION("""COMPUTED_VALUE"""),"L2")</f>
        <v>L2</v>
      </c>
      <c r="R821" s="6">
        <f>IFERROR(__xludf.DUMMYFUNCTION("""COMPUTED_VALUE"""),2.0)</f>
        <v>2</v>
      </c>
      <c r="S821" s="6" t="str">
        <f>IFERROR(__xludf.DUMMYFUNCTION("""COMPUTED_VALUE"""),"Tyisha Brooks")</f>
        <v>Tyisha Brooks</v>
      </c>
      <c r="T821" s="6" t="str">
        <f>IFERROR(__xludf.DUMMYFUNCTION("""COMPUTED_VALUE"""),"tyisha.brooks@alpha.school")</f>
        <v>tyisha.brooks@alpha.school</v>
      </c>
      <c r="U821" s="6" t="str">
        <f>IFERROR(__xludf.DUMMYFUNCTION("""COMPUTED_VALUE"""),"4")</f>
        <v>4</v>
      </c>
      <c r="V821" s="6" t="str">
        <f>IFERROR(__xludf.DUMMYFUNCTION("""COMPUTED_VALUE"""),"")</f>
        <v/>
      </c>
      <c r="W821" s="6" t="str">
        <f>IFERROR(__xludf.DUMMYFUNCTION("""COMPUTED_VALUE"""),"[]")</f>
        <v>[]</v>
      </c>
      <c r="X821" s="6" t="str">
        <f>IFERROR(__xludf.DUMMYFUNCTION("""COMPUTED_VALUE"""),"Enrolled")</f>
        <v>Enrolled</v>
      </c>
    </row>
    <row r="822">
      <c r="A822" s="6" t="str">
        <f>IFERROR(__xludf.DUMMYFUNCTION("""COMPUTED_VALUE"""),"003-0601")</f>
        <v>003-0601</v>
      </c>
      <c r="B822" s="6" t="str">
        <f>IFERROR(__xludf.DUMMYFUNCTION("""COMPUTED_VALUE"""),"3")</f>
        <v>3</v>
      </c>
      <c r="C822" s="6" t="str">
        <f>IFERROR(__xludf.DUMMYFUNCTION("""COMPUTED_VALUE"""),"0601")</f>
        <v>0601</v>
      </c>
      <c r="D822" s="6" t="str">
        <f>IFERROR(__xludf.DUMMYFUNCTION("""COMPUTED_VALUE"""),"Alexander")</f>
        <v>Alexander</v>
      </c>
      <c r="E822" s="6" t="str">
        <f>IFERROR(__xludf.DUMMYFUNCTION("""COMPUTED_VALUE"""),"Sander")</f>
        <v>Sander</v>
      </c>
      <c r="F822" s="6" t="str">
        <f>IFERROR(__xludf.DUMMYFUNCTION("""COMPUTED_VALUE"""),"Gabler")</f>
        <v>Gabler</v>
      </c>
      <c r="G822" s="6" t="str">
        <f>IFERROR(__xludf.DUMMYFUNCTION("""COMPUTED_VALUE"""),"07/02/2012")</f>
        <v>07/02/2012</v>
      </c>
      <c r="H822" s="6" t="str">
        <f>IFERROR(__xludf.DUMMYFUNCTION("""COMPUTED_VALUE"""),"male")</f>
        <v>male</v>
      </c>
      <c r="I822" s="6" t="str">
        <f>IFERROR(__xludf.DUMMYFUNCTION("""COMPUTED_VALUE"""),"Middle School")</f>
        <v>Middle School</v>
      </c>
      <c r="J822" s="6" t="str">
        <f>IFERROR(__xludf.DUMMYFUNCTION("""COMPUTED_VALUE"""),"8")</f>
        <v>8</v>
      </c>
      <c r="K822" s="6" t="str">
        <f>IFERROR(__xludf.DUMMYFUNCTION("""COMPUTED_VALUE"""),"sander.gabler@alpha.school")</f>
        <v>sander.gabler@alpha.school</v>
      </c>
      <c r="L822" s="6" t="str">
        <f>IFERROR(__xludf.DUMMYFUNCTION("""COMPUTED_VALUE"""),"Alpha School Brownsville")</f>
        <v>Alpha School Brownsville</v>
      </c>
      <c r="M822" s="6" t="str">
        <f>IFERROR(__xludf.DUMMYFUNCTION("""COMPUTED_VALUE"""),"")</f>
        <v/>
      </c>
      <c r="N822" s="6" t="str">
        <f>IFERROR(__xludf.DUMMYFUNCTION("""COMPUTED_VALUE"""),"")</f>
        <v/>
      </c>
      <c r="O822" s="87" t="str">
        <f>IFERROR(__xludf.DUMMYFUNCTION("""COMPUTED_VALUE"""),"https://drive.google.com/drive/folders/10T2cTQHqEJZqE-st6uFKPoI?usp=share_link")</f>
        <v>https://drive.google.com/drive/folders/10T2cTQHqEJZqE-st6uFKPoI?usp=share_link</v>
      </c>
      <c r="P822" s="6" t="str">
        <f>IFERROR(__xludf.DUMMYFUNCTION("""COMPUTED_VALUE"""),"Sander Gabler")</f>
        <v>Sander Gabler</v>
      </c>
      <c r="Q822" s="6" t="str">
        <f>IFERROR(__xludf.DUMMYFUNCTION("""COMPUTED_VALUE"""),"MS")</f>
        <v>MS</v>
      </c>
      <c r="R822" s="6">
        <f>IFERROR(__xludf.DUMMYFUNCTION("""COMPUTED_VALUE"""),0.0)</f>
        <v>0</v>
      </c>
      <c r="S822" s="6" t="str">
        <f>IFERROR(__xludf.DUMMYFUNCTION("""COMPUTED_VALUE"""),"David Beaton")</f>
        <v>David Beaton</v>
      </c>
      <c r="T822" s="6" t="str">
        <f>IFERROR(__xludf.DUMMYFUNCTION("""COMPUTED_VALUE"""),"david.beaton@alpha.school")</f>
        <v>david.beaton@alpha.school</v>
      </c>
      <c r="U822" s="6" t="str">
        <f>IFERROR(__xludf.DUMMYFUNCTION("""COMPUTED_VALUE"""),"8")</f>
        <v>8</v>
      </c>
      <c r="V822" s="6" t="str">
        <f>IFERROR(__xludf.DUMMYFUNCTION("""COMPUTED_VALUE"""),"")</f>
        <v/>
      </c>
      <c r="W822" s="6" t="str">
        <f>IFERROR(__xludf.DUMMYFUNCTION("""COMPUTED_VALUE"""),"[]")</f>
        <v>[]</v>
      </c>
      <c r="X822" s="6" t="str">
        <f>IFERROR(__xludf.DUMMYFUNCTION("""COMPUTED_VALUE"""),"Enrolled")</f>
        <v>Enrolled</v>
      </c>
    </row>
    <row r="823">
      <c r="A823" s="6" t="str">
        <f>IFERROR(__xludf.DUMMYFUNCTION("""COMPUTED_VALUE"""),"003-0602")</f>
        <v>003-0602</v>
      </c>
      <c r="B823" s="6" t="str">
        <f>IFERROR(__xludf.DUMMYFUNCTION("""COMPUTED_VALUE"""),"3")</f>
        <v>3</v>
      </c>
      <c r="C823" s="6" t="str">
        <f>IFERROR(__xludf.DUMMYFUNCTION("""COMPUTED_VALUE"""),"0602")</f>
        <v>0602</v>
      </c>
      <c r="D823" s="6" t="str">
        <f>IFERROR(__xludf.DUMMYFUNCTION("""COMPUTED_VALUE"""),"Amelia")</f>
        <v>Amelia</v>
      </c>
      <c r="E823" s="6" t="str">
        <f>IFERROR(__xludf.DUMMYFUNCTION("""COMPUTED_VALUE"""),"Amelia")</f>
        <v>Amelia</v>
      </c>
      <c r="F823" s="6" t="str">
        <f>IFERROR(__xludf.DUMMYFUNCTION("""COMPUTED_VALUE"""),"Gabler")</f>
        <v>Gabler</v>
      </c>
      <c r="G823" s="6" t="str">
        <f>IFERROR(__xludf.DUMMYFUNCTION("""COMPUTED_VALUE"""),"11/18/2017")</f>
        <v>11/18/2017</v>
      </c>
      <c r="H823" s="6" t="str">
        <f>IFERROR(__xludf.DUMMYFUNCTION("""COMPUTED_VALUE"""),"female")</f>
        <v>female</v>
      </c>
      <c r="I823" s="6" t="str">
        <f>IFERROR(__xludf.DUMMYFUNCTION("""COMPUTED_VALUE"""),"Level 1")</f>
        <v>Level 1</v>
      </c>
      <c r="J823" s="6" t="str">
        <f>IFERROR(__xludf.DUMMYFUNCTION("""COMPUTED_VALUE"""),"2")</f>
        <v>2</v>
      </c>
      <c r="K823" s="6" t="str">
        <f>IFERROR(__xludf.DUMMYFUNCTION("""COMPUTED_VALUE"""),"amelia.gabler@alpha.school")</f>
        <v>amelia.gabler@alpha.school</v>
      </c>
      <c r="L823" s="6" t="str">
        <f>IFERROR(__xludf.DUMMYFUNCTION("""COMPUTED_VALUE"""),"Alpha School Brownsville")</f>
        <v>Alpha School Brownsville</v>
      </c>
      <c r="M823" s="6" t="str">
        <f>IFERROR(__xludf.DUMMYFUNCTION("""COMPUTED_VALUE"""),"")</f>
        <v/>
      </c>
      <c r="N823" s="6" t="str">
        <f>IFERROR(__xludf.DUMMYFUNCTION("""COMPUTED_VALUE"""),"")</f>
        <v/>
      </c>
      <c r="O823" s="87" t="str">
        <f>IFERROR(__xludf.DUMMYFUNCTION("""COMPUTED_VALUE"""),"https://drive.google.com/drive/folders/10T2cTQHqEJZqE-st6uFKPoI?usp=share_link")</f>
        <v>https://drive.google.com/drive/folders/10T2cTQHqEJZqE-st6uFKPoI?usp=share_link</v>
      </c>
      <c r="P823" s="6" t="str">
        <f>IFERROR(__xludf.DUMMYFUNCTION("""COMPUTED_VALUE"""),"Amelia Gabler")</f>
        <v>Amelia Gabler</v>
      </c>
      <c r="Q823" s="6" t="str">
        <f>IFERROR(__xludf.DUMMYFUNCTION("""COMPUTED_VALUE"""),"L1")</f>
        <v>L1</v>
      </c>
      <c r="R823" s="6">
        <f>IFERROR(__xludf.DUMMYFUNCTION("""COMPUTED_VALUE"""),1.0)</f>
        <v>1</v>
      </c>
      <c r="S823" s="6" t="str">
        <f>IFERROR(__xludf.DUMMYFUNCTION("""COMPUTED_VALUE"""),"Desire Park")</f>
        <v>Desire Park</v>
      </c>
      <c r="T823" s="6" t="str">
        <f>IFERROR(__xludf.DUMMYFUNCTION("""COMPUTED_VALUE"""),"desire.park@alpha.school")</f>
        <v>desire.park@alpha.school</v>
      </c>
      <c r="U823" s="6" t="str">
        <f>IFERROR(__xludf.DUMMYFUNCTION("""COMPUTED_VALUE"""),"2")</f>
        <v>2</v>
      </c>
      <c r="V823" s="6" t="str">
        <f>IFERROR(__xludf.DUMMYFUNCTION("""COMPUTED_VALUE"""),"")</f>
        <v/>
      </c>
      <c r="W823" s="6" t="str">
        <f>IFERROR(__xludf.DUMMYFUNCTION("""COMPUTED_VALUE"""),"[]")</f>
        <v>[]</v>
      </c>
      <c r="X823" s="6" t="str">
        <f>IFERROR(__xludf.DUMMYFUNCTION("""COMPUTED_VALUE"""),"Enrolled")</f>
        <v>Enrolled</v>
      </c>
    </row>
    <row r="824">
      <c r="A824" s="6" t="str">
        <f>IFERROR(__xludf.DUMMYFUNCTION("""COMPUTED_VALUE"""),"003-0603")</f>
        <v>003-0603</v>
      </c>
      <c r="B824" s="6" t="str">
        <f>IFERROR(__xludf.DUMMYFUNCTION("""COMPUTED_VALUE"""),"3")</f>
        <v>3</v>
      </c>
      <c r="C824" s="6" t="str">
        <f>IFERROR(__xludf.DUMMYFUNCTION("""COMPUTED_VALUE"""),"0603")</f>
        <v>0603</v>
      </c>
      <c r="D824" s="6" t="str">
        <f>IFERROR(__xludf.DUMMYFUNCTION("""COMPUTED_VALUE"""),"Evelyn")</f>
        <v>Evelyn</v>
      </c>
      <c r="E824" s="6" t="str">
        <f>IFERROR(__xludf.DUMMYFUNCTION("""COMPUTED_VALUE"""),"Evelyn")</f>
        <v>Evelyn</v>
      </c>
      <c r="F824" s="6" t="str">
        <f>IFERROR(__xludf.DUMMYFUNCTION("""COMPUTED_VALUE"""),"Gabler")</f>
        <v>Gabler</v>
      </c>
      <c r="G824" s="6" t="str">
        <f>IFERROR(__xludf.DUMMYFUNCTION("""COMPUTED_VALUE"""),"02/17/2014")</f>
        <v>02/17/2014</v>
      </c>
      <c r="H824" s="6" t="str">
        <f>IFERROR(__xludf.DUMMYFUNCTION("""COMPUTED_VALUE"""),"female")</f>
        <v>female</v>
      </c>
      <c r="I824" s="6" t="str">
        <f>IFERROR(__xludf.DUMMYFUNCTION("""COMPUTED_VALUE"""),"Middle School")</f>
        <v>Middle School</v>
      </c>
      <c r="J824" s="6" t="str">
        <f>IFERROR(__xludf.DUMMYFUNCTION("""COMPUTED_VALUE"""),"6")</f>
        <v>6</v>
      </c>
      <c r="K824" s="6" t="str">
        <f>IFERROR(__xludf.DUMMYFUNCTION("""COMPUTED_VALUE"""),"evelyn.gabler@alpha.school")</f>
        <v>evelyn.gabler@alpha.school</v>
      </c>
      <c r="L824" s="6" t="str">
        <f>IFERROR(__xludf.DUMMYFUNCTION("""COMPUTED_VALUE"""),"Alpha School Brownsville")</f>
        <v>Alpha School Brownsville</v>
      </c>
      <c r="M824" s="6" t="str">
        <f>IFERROR(__xludf.DUMMYFUNCTION("""COMPUTED_VALUE"""),"")</f>
        <v/>
      </c>
      <c r="N824" s="6" t="str">
        <f>IFERROR(__xludf.DUMMYFUNCTION("""COMPUTED_VALUE"""),"")</f>
        <v/>
      </c>
      <c r="O824" s="87" t="str">
        <f>IFERROR(__xludf.DUMMYFUNCTION("""COMPUTED_VALUE"""),"https://drive.google.com/drive/folders/10T2cTQHqEJZqE-st6uFKPoI?usp=share_link")</f>
        <v>https://drive.google.com/drive/folders/10T2cTQHqEJZqE-st6uFKPoI?usp=share_link</v>
      </c>
      <c r="P824" s="6" t="str">
        <f>IFERROR(__xludf.DUMMYFUNCTION("""COMPUTED_VALUE"""),"Evelyn Gabler")</f>
        <v>Evelyn Gabler</v>
      </c>
      <c r="Q824" s="6" t="str">
        <f>IFERROR(__xludf.DUMMYFUNCTION("""COMPUTED_VALUE"""),"MS")</f>
        <v>MS</v>
      </c>
      <c r="R824" s="6">
        <f>IFERROR(__xludf.DUMMYFUNCTION("""COMPUTED_VALUE"""),0.0)</f>
        <v>0</v>
      </c>
      <c r="S824" s="6" t="str">
        <f>IFERROR(__xludf.DUMMYFUNCTION("""COMPUTED_VALUE"""),"David Beaton")</f>
        <v>David Beaton</v>
      </c>
      <c r="T824" s="6" t="str">
        <f>IFERROR(__xludf.DUMMYFUNCTION("""COMPUTED_VALUE"""),"david.beaton@alpha.school")</f>
        <v>david.beaton@alpha.school</v>
      </c>
      <c r="U824" s="6" t="str">
        <f>IFERROR(__xludf.DUMMYFUNCTION("""COMPUTED_VALUE"""),"6")</f>
        <v>6</v>
      </c>
      <c r="V824" s="6" t="str">
        <f>IFERROR(__xludf.DUMMYFUNCTION("""COMPUTED_VALUE"""),"")</f>
        <v/>
      </c>
      <c r="W824" s="6" t="str">
        <f>IFERROR(__xludf.DUMMYFUNCTION("""COMPUTED_VALUE"""),"[]")</f>
        <v>[]</v>
      </c>
      <c r="X824" s="6" t="str">
        <f>IFERROR(__xludf.DUMMYFUNCTION("""COMPUTED_VALUE"""),"Enrolled")</f>
        <v>Enrolled</v>
      </c>
    </row>
    <row r="825">
      <c r="A825" s="6" t="str">
        <f>IFERROR(__xludf.DUMMYFUNCTION("""COMPUTED_VALUE"""),"003-0610")</f>
        <v>003-0610</v>
      </c>
      <c r="B825" s="6" t="str">
        <f>IFERROR(__xludf.DUMMYFUNCTION("""COMPUTED_VALUE"""),"3")</f>
        <v>3</v>
      </c>
      <c r="C825" s="6" t="str">
        <f>IFERROR(__xludf.DUMMYFUNCTION("""COMPUTED_VALUE"""),"0610")</f>
        <v>0610</v>
      </c>
      <c r="D825" s="6" t="str">
        <f>IFERROR(__xludf.DUMMYFUNCTION("""COMPUTED_VALUE"""),"Savannah")</f>
        <v>Savannah</v>
      </c>
      <c r="E825" s="6" t="str">
        <f>IFERROR(__xludf.DUMMYFUNCTION("""COMPUTED_VALUE"""),"Savannah")</f>
        <v>Savannah</v>
      </c>
      <c r="F825" s="6" t="str">
        <f>IFERROR(__xludf.DUMMYFUNCTION("""COMPUTED_VALUE"""),"Marrero")</f>
        <v>Marrero</v>
      </c>
      <c r="G825" s="6" t="str">
        <f>IFERROR(__xludf.DUMMYFUNCTION("""COMPUTED_VALUE"""),"06/09/2012")</f>
        <v>06/09/2012</v>
      </c>
      <c r="H825" s="6" t="str">
        <f>IFERROR(__xludf.DUMMYFUNCTION("""COMPUTED_VALUE"""),"female")</f>
        <v>female</v>
      </c>
      <c r="I825" s="6" t="str">
        <f>IFERROR(__xludf.DUMMYFUNCTION("""COMPUTED_VALUE"""),"Middle School")</f>
        <v>Middle School</v>
      </c>
      <c r="J825" s="6" t="str">
        <f>IFERROR(__xludf.DUMMYFUNCTION("""COMPUTED_VALUE"""),"8")</f>
        <v>8</v>
      </c>
      <c r="K825" s="6" t="str">
        <f>IFERROR(__xludf.DUMMYFUNCTION("""COMPUTED_VALUE"""),"savannah.marrero@alpha.school")</f>
        <v>savannah.marrero@alpha.school</v>
      </c>
      <c r="L825" s="6" t="str">
        <f>IFERROR(__xludf.DUMMYFUNCTION("""COMPUTED_VALUE"""),"Alpha School Brownsville")</f>
        <v>Alpha School Brownsville</v>
      </c>
      <c r="M825" s="6" t="str">
        <f>IFERROR(__xludf.DUMMYFUNCTION("""COMPUTED_VALUE"""),"")</f>
        <v/>
      </c>
      <c r="N825" s="6" t="str">
        <f>IFERROR(__xludf.DUMMYFUNCTION("""COMPUTED_VALUE"""),"")</f>
        <v/>
      </c>
      <c r="O825" s="87" t="str">
        <f>IFERROR(__xludf.DUMMYFUNCTION("""COMPUTED_VALUE"""),"https://drive.google.com/drive/folders/10T2cTQHqEJZqE-st6uFKPoI?usp=share_link")</f>
        <v>https://drive.google.com/drive/folders/10T2cTQHqEJZqE-st6uFKPoI?usp=share_link</v>
      </c>
      <c r="P825" s="6" t="str">
        <f>IFERROR(__xludf.DUMMYFUNCTION("""COMPUTED_VALUE"""),"Savannah Marrero")</f>
        <v>Savannah Marrero</v>
      </c>
      <c r="Q825" s="6" t="str">
        <f>IFERROR(__xludf.DUMMYFUNCTION("""COMPUTED_VALUE"""),"MS")</f>
        <v>MS</v>
      </c>
      <c r="R825" s="6">
        <f>IFERROR(__xludf.DUMMYFUNCTION("""COMPUTED_VALUE"""),0.0)</f>
        <v>0</v>
      </c>
      <c r="S825" s="6" t="str">
        <f>IFERROR(__xludf.DUMMYFUNCTION("""COMPUTED_VALUE"""),"David Beaton")</f>
        <v>David Beaton</v>
      </c>
      <c r="T825" s="6" t="str">
        <f>IFERROR(__xludf.DUMMYFUNCTION("""COMPUTED_VALUE"""),"david.beaton@alpha.school")</f>
        <v>david.beaton@alpha.school</v>
      </c>
      <c r="U825" s="6" t="str">
        <f>IFERROR(__xludf.DUMMYFUNCTION("""COMPUTED_VALUE"""),"8")</f>
        <v>8</v>
      </c>
      <c r="V825" s="6" t="str">
        <f>IFERROR(__xludf.DUMMYFUNCTION("""COMPUTED_VALUE"""),"")</f>
        <v/>
      </c>
      <c r="W825" s="6" t="str">
        <f>IFERROR(__xludf.DUMMYFUNCTION("""COMPUTED_VALUE"""),"[]")</f>
        <v>[]</v>
      </c>
      <c r="X825" s="6" t="str">
        <f>IFERROR(__xludf.DUMMYFUNCTION("""COMPUTED_VALUE"""),"Enrolled")</f>
        <v>Enrolled</v>
      </c>
    </row>
    <row r="826">
      <c r="A826" s="6" t="str">
        <f>IFERROR(__xludf.DUMMYFUNCTION("""COMPUTED_VALUE"""),"003-0611")</f>
        <v>003-0611</v>
      </c>
      <c r="B826" s="6" t="str">
        <f>IFERROR(__xludf.DUMMYFUNCTION("""COMPUTED_VALUE"""),"3")</f>
        <v>3</v>
      </c>
      <c r="C826" s="6" t="str">
        <f>IFERROR(__xludf.DUMMYFUNCTION("""COMPUTED_VALUE"""),"0611")</f>
        <v>0611</v>
      </c>
      <c r="D826" s="6" t="str">
        <f>IFERROR(__xludf.DUMMYFUNCTION("""COMPUTED_VALUE"""),"Lavender")</f>
        <v>Lavender</v>
      </c>
      <c r="E826" s="6" t="str">
        <f>IFERROR(__xludf.DUMMYFUNCTION("""COMPUTED_VALUE"""),"Lavender")</f>
        <v>Lavender</v>
      </c>
      <c r="F826" s="6" t="str">
        <f>IFERROR(__xludf.DUMMYFUNCTION("""COMPUTED_VALUE"""),"Marrero")</f>
        <v>Marrero</v>
      </c>
      <c r="G826" s="6" t="str">
        <f>IFERROR(__xludf.DUMMYFUNCTION("""COMPUTED_VALUE"""),"11/19/2013")</f>
        <v>11/19/2013</v>
      </c>
      <c r="H826" s="6" t="str">
        <f>IFERROR(__xludf.DUMMYFUNCTION("""COMPUTED_VALUE"""),"female")</f>
        <v>female</v>
      </c>
      <c r="I826" s="6" t="str">
        <f>IFERROR(__xludf.DUMMYFUNCTION("""COMPUTED_VALUE"""),"Middle School")</f>
        <v>Middle School</v>
      </c>
      <c r="J826" s="6" t="str">
        <f>IFERROR(__xludf.DUMMYFUNCTION("""COMPUTED_VALUE"""),"6")</f>
        <v>6</v>
      </c>
      <c r="K826" s="6" t="str">
        <f>IFERROR(__xludf.DUMMYFUNCTION("""COMPUTED_VALUE"""),"lavender.marrero@alpha.school")</f>
        <v>lavender.marrero@alpha.school</v>
      </c>
      <c r="L826" s="6" t="str">
        <f>IFERROR(__xludf.DUMMYFUNCTION("""COMPUTED_VALUE"""),"Alpha School Brownsville")</f>
        <v>Alpha School Brownsville</v>
      </c>
      <c r="M826" s="6" t="str">
        <f>IFERROR(__xludf.DUMMYFUNCTION("""COMPUTED_VALUE"""),"")</f>
        <v/>
      </c>
      <c r="N826" s="6" t="str">
        <f>IFERROR(__xludf.DUMMYFUNCTION("""COMPUTED_VALUE"""),"")</f>
        <v/>
      </c>
      <c r="O826" s="87" t="str">
        <f>IFERROR(__xludf.DUMMYFUNCTION("""COMPUTED_VALUE"""),"https://drive.google.com/drive/folders/10T2cTQHqEJZqE-st6uFKPoI?usp=share_link")</f>
        <v>https://drive.google.com/drive/folders/10T2cTQHqEJZqE-st6uFKPoI?usp=share_link</v>
      </c>
      <c r="P826" s="6" t="str">
        <f>IFERROR(__xludf.DUMMYFUNCTION("""COMPUTED_VALUE"""),"Lavender Marrero")</f>
        <v>Lavender Marrero</v>
      </c>
      <c r="Q826" s="6" t="str">
        <f>IFERROR(__xludf.DUMMYFUNCTION("""COMPUTED_VALUE"""),"MS")</f>
        <v>MS</v>
      </c>
      <c r="R826" s="6">
        <f>IFERROR(__xludf.DUMMYFUNCTION("""COMPUTED_VALUE"""),0.0)</f>
        <v>0</v>
      </c>
      <c r="S826" s="6" t="str">
        <f>IFERROR(__xludf.DUMMYFUNCTION("""COMPUTED_VALUE"""),"David Beaton")</f>
        <v>David Beaton</v>
      </c>
      <c r="T826" s="6" t="str">
        <f>IFERROR(__xludf.DUMMYFUNCTION("""COMPUTED_VALUE"""),"david.beaton@alpha.school")</f>
        <v>david.beaton@alpha.school</v>
      </c>
      <c r="U826" s="6" t="str">
        <f>IFERROR(__xludf.DUMMYFUNCTION("""COMPUTED_VALUE"""),"6")</f>
        <v>6</v>
      </c>
      <c r="V826" s="6" t="str">
        <f>IFERROR(__xludf.DUMMYFUNCTION("""COMPUTED_VALUE"""),"")</f>
        <v/>
      </c>
      <c r="W826" s="6" t="str">
        <f>IFERROR(__xludf.DUMMYFUNCTION("""COMPUTED_VALUE"""),"[]")</f>
        <v>[]</v>
      </c>
      <c r="X826" s="6" t="str">
        <f>IFERROR(__xludf.DUMMYFUNCTION("""COMPUTED_VALUE"""),"Enrolled")</f>
        <v>Enrolled</v>
      </c>
    </row>
    <row r="827">
      <c r="A827" s="6" t="str">
        <f>IFERROR(__xludf.DUMMYFUNCTION("""COMPUTED_VALUE"""),"003-0619")</f>
        <v>003-0619</v>
      </c>
      <c r="B827" s="6" t="str">
        <f>IFERROR(__xludf.DUMMYFUNCTION("""COMPUTED_VALUE"""),"3")</f>
        <v>3</v>
      </c>
      <c r="C827" s="6" t="str">
        <f>IFERROR(__xludf.DUMMYFUNCTION("""COMPUTED_VALUE"""),"0619")</f>
        <v>0619</v>
      </c>
      <c r="D827" s="6" t="str">
        <f>IFERROR(__xludf.DUMMYFUNCTION("""COMPUTED_VALUE"""),"Orion")</f>
        <v>Orion</v>
      </c>
      <c r="E827" s="6" t="str">
        <f>IFERROR(__xludf.DUMMYFUNCTION("""COMPUTED_VALUE"""),"")</f>
        <v/>
      </c>
      <c r="F827" s="6" t="str">
        <f>IFERROR(__xludf.DUMMYFUNCTION("""COMPUTED_VALUE"""),"Campbell")</f>
        <v>Campbell</v>
      </c>
      <c r="G827" s="6" t="str">
        <f>IFERROR(__xludf.DUMMYFUNCTION("""COMPUTED_VALUE"""),"12/31/2011")</f>
        <v>12/31/2011</v>
      </c>
      <c r="H827" s="6" t="str">
        <f>IFERROR(__xludf.DUMMYFUNCTION("""COMPUTED_VALUE"""),"female")</f>
        <v>female</v>
      </c>
      <c r="I827" s="6" t="str">
        <f>IFERROR(__xludf.DUMMYFUNCTION("""COMPUTED_VALUE"""),"Middle School")</f>
        <v>Middle School</v>
      </c>
      <c r="J827" s="6" t="str">
        <f>IFERROR(__xludf.DUMMYFUNCTION("""COMPUTED_VALUE"""),"8")</f>
        <v>8</v>
      </c>
      <c r="K827" s="6" t="str">
        <f>IFERROR(__xludf.DUMMYFUNCTION("""COMPUTED_VALUE"""),"orion.campbell@alpha.school")</f>
        <v>orion.campbell@alpha.school</v>
      </c>
      <c r="L827" s="6" t="str">
        <f>IFERROR(__xludf.DUMMYFUNCTION("""COMPUTED_VALUE"""),"Alpha School Brownsville")</f>
        <v>Alpha School Brownsville</v>
      </c>
      <c r="M827" s="6" t="str">
        <f>IFERROR(__xludf.DUMMYFUNCTION("""COMPUTED_VALUE"""),"")</f>
        <v/>
      </c>
      <c r="N827" s="6" t="str">
        <f>IFERROR(__xludf.DUMMYFUNCTION("""COMPUTED_VALUE"""),"")</f>
        <v/>
      </c>
      <c r="O827" s="87" t="str">
        <f>IFERROR(__xludf.DUMMYFUNCTION("""COMPUTED_VALUE"""),"https://drive.google.com/drive/folders/10T2cTQHqEJZqE-st6uFKPoI?usp=share_link")</f>
        <v>https://drive.google.com/drive/folders/10T2cTQHqEJZqE-st6uFKPoI?usp=share_link</v>
      </c>
      <c r="P827" s="6" t="str">
        <f>IFERROR(__xludf.DUMMYFUNCTION("""COMPUTED_VALUE"""),"Orion Campbell")</f>
        <v>Orion Campbell</v>
      </c>
      <c r="Q827" s="6" t="str">
        <f>IFERROR(__xludf.DUMMYFUNCTION("""COMPUTED_VALUE"""),"MS")</f>
        <v>MS</v>
      </c>
      <c r="R827" s="6">
        <f>IFERROR(__xludf.DUMMYFUNCTION("""COMPUTED_VALUE"""),0.0)</f>
        <v>0</v>
      </c>
      <c r="S827" s="6" t="str">
        <f>IFERROR(__xludf.DUMMYFUNCTION("""COMPUTED_VALUE"""),"David Beaton")</f>
        <v>David Beaton</v>
      </c>
      <c r="T827" s="6" t="str">
        <f>IFERROR(__xludf.DUMMYFUNCTION("""COMPUTED_VALUE"""),"david.beaton@alpha.school")</f>
        <v>david.beaton@alpha.school</v>
      </c>
      <c r="U827" s="6" t="str">
        <f>IFERROR(__xludf.DUMMYFUNCTION("""COMPUTED_VALUE"""),"8")</f>
        <v>8</v>
      </c>
      <c r="V827" s="6" t="str">
        <f>IFERROR(__xludf.DUMMYFUNCTION("""COMPUTED_VALUE"""),"")</f>
        <v/>
      </c>
      <c r="W827" s="6" t="str">
        <f>IFERROR(__xludf.DUMMYFUNCTION("""COMPUTED_VALUE"""),"[Solo Space,Extended Time]")</f>
        <v>[Solo Space,Extended Time]</v>
      </c>
      <c r="X827" s="6" t="str">
        <f>IFERROR(__xludf.DUMMYFUNCTION("""COMPUTED_VALUE"""),"Enrolled")</f>
        <v>Enrolled</v>
      </c>
    </row>
    <row r="828">
      <c r="A828" s="6" t="str">
        <f>IFERROR(__xludf.DUMMYFUNCTION("""COMPUTED_VALUE"""),"003-0620")</f>
        <v>003-0620</v>
      </c>
      <c r="B828" s="6" t="str">
        <f>IFERROR(__xludf.DUMMYFUNCTION("""COMPUTED_VALUE"""),"3")</f>
        <v>3</v>
      </c>
      <c r="C828" s="6" t="str">
        <f>IFERROR(__xludf.DUMMYFUNCTION("""COMPUTED_VALUE"""),"0620")</f>
        <v>0620</v>
      </c>
      <c r="D828" s="6" t="str">
        <f>IFERROR(__xludf.DUMMYFUNCTION("""COMPUTED_VALUE"""),"Logan")</f>
        <v>Logan</v>
      </c>
      <c r="E828" s="6" t="str">
        <f>IFERROR(__xludf.DUMMYFUNCTION("""COMPUTED_VALUE"""),"")</f>
        <v/>
      </c>
      <c r="F828" s="6" t="str">
        <f>IFERROR(__xludf.DUMMYFUNCTION("""COMPUTED_VALUE"""),"Campbell")</f>
        <v>Campbell</v>
      </c>
      <c r="G828" s="6" t="str">
        <f>IFERROR(__xludf.DUMMYFUNCTION("""COMPUTED_VALUE"""),"03/31/2015")</f>
        <v>03/31/2015</v>
      </c>
      <c r="H828" s="6" t="str">
        <f>IFERROR(__xludf.DUMMYFUNCTION("""COMPUTED_VALUE"""),"male")</f>
        <v>male</v>
      </c>
      <c r="I828" s="6" t="str">
        <f>IFERROR(__xludf.DUMMYFUNCTION("""COMPUTED_VALUE"""),"Level 2")</f>
        <v>Level 2</v>
      </c>
      <c r="J828" s="6" t="str">
        <f>IFERROR(__xludf.DUMMYFUNCTION("""COMPUTED_VALUE"""),"5")</f>
        <v>5</v>
      </c>
      <c r="K828" s="6" t="str">
        <f>IFERROR(__xludf.DUMMYFUNCTION("""COMPUTED_VALUE"""),"logan.campbell@alpha.school")</f>
        <v>logan.campbell@alpha.school</v>
      </c>
      <c r="L828" s="6" t="str">
        <f>IFERROR(__xludf.DUMMYFUNCTION("""COMPUTED_VALUE"""),"Alpha School Brownsville")</f>
        <v>Alpha School Brownsville</v>
      </c>
      <c r="M828" s="6" t="str">
        <f>IFERROR(__xludf.DUMMYFUNCTION("""COMPUTED_VALUE"""),"")</f>
        <v/>
      </c>
      <c r="N828" s="6" t="str">
        <f>IFERROR(__xludf.DUMMYFUNCTION("""COMPUTED_VALUE"""),"")</f>
        <v/>
      </c>
      <c r="O828" s="87" t="str">
        <f>IFERROR(__xludf.DUMMYFUNCTION("""COMPUTED_VALUE"""),"https://drive.google.com/drive/folders/10T2cTQHqEJZqE-st6uFKPoI?usp=share_link")</f>
        <v>https://drive.google.com/drive/folders/10T2cTQHqEJZqE-st6uFKPoI?usp=share_link</v>
      </c>
      <c r="P828" s="6" t="str">
        <f>IFERROR(__xludf.DUMMYFUNCTION("""COMPUTED_VALUE"""),"Logan Campbell")</f>
        <v>Logan Campbell</v>
      </c>
      <c r="Q828" s="6" t="str">
        <f>IFERROR(__xludf.DUMMYFUNCTION("""COMPUTED_VALUE"""),"L2")</f>
        <v>L2</v>
      </c>
      <c r="R828" s="6">
        <f>IFERROR(__xludf.DUMMYFUNCTION("""COMPUTED_VALUE"""),2.0)</f>
        <v>2</v>
      </c>
      <c r="S828" s="6" t="str">
        <f>IFERROR(__xludf.DUMMYFUNCTION("""COMPUTED_VALUE"""),"Tyisha Brooks")</f>
        <v>Tyisha Brooks</v>
      </c>
      <c r="T828" s="6" t="str">
        <f>IFERROR(__xludf.DUMMYFUNCTION("""COMPUTED_VALUE"""),"tyisha.brooks@alpha.school")</f>
        <v>tyisha.brooks@alpha.school</v>
      </c>
      <c r="U828" s="6" t="str">
        <f>IFERROR(__xludf.DUMMYFUNCTION("""COMPUTED_VALUE"""),"5")</f>
        <v>5</v>
      </c>
      <c r="V828" s="6" t="str">
        <f>IFERROR(__xludf.DUMMYFUNCTION("""COMPUTED_VALUE"""),"")</f>
        <v/>
      </c>
      <c r="W828" s="6" t="str">
        <f>IFERROR(__xludf.DUMMYFUNCTION("""COMPUTED_VALUE"""),"[]")</f>
        <v>[]</v>
      </c>
      <c r="X828" s="6" t="str">
        <f>IFERROR(__xludf.DUMMYFUNCTION("""COMPUTED_VALUE"""),"Enrolled")</f>
        <v>Enrolled</v>
      </c>
    </row>
    <row r="829">
      <c r="A829" s="6" t="str">
        <f>IFERROR(__xludf.DUMMYFUNCTION("""COMPUTED_VALUE"""),"003-0629")</f>
        <v>003-0629</v>
      </c>
      <c r="B829" s="6" t="str">
        <f>IFERROR(__xludf.DUMMYFUNCTION("""COMPUTED_VALUE"""),"3")</f>
        <v>3</v>
      </c>
      <c r="C829" s="6" t="str">
        <f>IFERROR(__xludf.DUMMYFUNCTION("""COMPUTED_VALUE"""),"0629")</f>
        <v>0629</v>
      </c>
      <c r="D829" s="6" t="str">
        <f>IFERROR(__xludf.DUMMYFUNCTION("""COMPUTED_VALUE"""),"Sarah")</f>
        <v>Sarah</v>
      </c>
      <c r="E829" s="6" t="str">
        <f>IFERROR(__xludf.DUMMYFUNCTION("""COMPUTED_VALUE"""),"Sarah")</f>
        <v>Sarah</v>
      </c>
      <c r="F829" s="6" t="str">
        <f>IFERROR(__xludf.DUMMYFUNCTION("""COMPUTED_VALUE"""),"Hunter")</f>
        <v>Hunter</v>
      </c>
      <c r="G829" s="6" t="str">
        <f>IFERROR(__xludf.DUMMYFUNCTION("""COMPUTED_VALUE"""),"12/16/2015")</f>
        <v>12/16/2015</v>
      </c>
      <c r="H829" s="6" t="str">
        <f>IFERROR(__xludf.DUMMYFUNCTION("""COMPUTED_VALUE"""),"female")</f>
        <v>female</v>
      </c>
      <c r="I829" s="6" t="str">
        <f>IFERROR(__xludf.DUMMYFUNCTION("""COMPUTED_VALUE"""),"Level 2")</f>
        <v>Level 2</v>
      </c>
      <c r="J829" s="6" t="str">
        <f>IFERROR(__xludf.DUMMYFUNCTION("""COMPUTED_VALUE"""),"4")</f>
        <v>4</v>
      </c>
      <c r="K829" s="6" t="str">
        <f>IFERROR(__xludf.DUMMYFUNCTION("""COMPUTED_VALUE"""),"sarah.hunter@alpha.school")</f>
        <v>sarah.hunter@alpha.school</v>
      </c>
      <c r="L829" s="6" t="str">
        <f>IFERROR(__xludf.DUMMYFUNCTION("""COMPUTED_VALUE"""),"Alpha School Brownsville")</f>
        <v>Alpha School Brownsville</v>
      </c>
      <c r="M829" s="6" t="str">
        <f>IFERROR(__xludf.DUMMYFUNCTION("""COMPUTED_VALUE"""),"")</f>
        <v/>
      </c>
      <c r="N829" s="6" t="str">
        <f>IFERROR(__xludf.DUMMYFUNCTION("""COMPUTED_VALUE"""),"")</f>
        <v/>
      </c>
      <c r="O829" s="87" t="str">
        <f>IFERROR(__xludf.DUMMYFUNCTION("""COMPUTED_VALUE"""),"https://drive.google.com/drive/folders/10T2cTQHqEJZqE-st6uFKPoI?usp=share_link")</f>
        <v>https://drive.google.com/drive/folders/10T2cTQHqEJZqE-st6uFKPoI?usp=share_link</v>
      </c>
      <c r="P829" s="6" t="str">
        <f>IFERROR(__xludf.DUMMYFUNCTION("""COMPUTED_VALUE"""),"Sarah Hunter")</f>
        <v>Sarah Hunter</v>
      </c>
      <c r="Q829" s="6" t="str">
        <f>IFERROR(__xludf.DUMMYFUNCTION("""COMPUTED_VALUE"""),"L2")</f>
        <v>L2</v>
      </c>
      <c r="R829" s="6">
        <f>IFERROR(__xludf.DUMMYFUNCTION("""COMPUTED_VALUE"""),2.0)</f>
        <v>2</v>
      </c>
      <c r="S829" s="6" t="str">
        <f>IFERROR(__xludf.DUMMYFUNCTION("""COMPUTED_VALUE"""),"Tyisha Brooks")</f>
        <v>Tyisha Brooks</v>
      </c>
      <c r="T829" s="6" t="str">
        <f>IFERROR(__xludf.DUMMYFUNCTION("""COMPUTED_VALUE"""),"tyisha.brooks@alpha.school")</f>
        <v>tyisha.brooks@alpha.school</v>
      </c>
      <c r="U829" s="6" t="str">
        <f>IFERROR(__xludf.DUMMYFUNCTION("""COMPUTED_VALUE"""),"4")</f>
        <v>4</v>
      </c>
      <c r="V829" s="6" t="str">
        <f>IFERROR(__xludf.DUMMYFUNCTION("""COMPUTED_VALUE"""),"")</f>
        <v/>
      </c>
      <c r="W829" s="6" t="str">
        <f>IFERROR(__xludf.DUMMYFUNCTION("""COMPUTED_VALUE"""),"[]")</f>
        <v>[]</v>
      </c>
      <c r="X829" s="6" t="str">
        <f>IFERROR(__xludf.DUMMYFUNCTION("""COMPUTED_VALUE"""),"Enrolled")</f>
        <v>Enrolled</v>
      </c>
    </row>
    <row r="830">
      <c r="A830" s="6" t="str">
        <f>IFERROR(__xludf.DUMMYFUNCTION("""COMPUTED_VALUE"""),"003-0631")</f>
        <v>003-0631</v>
      </c>
      <c r="B830" s="6" t="str">
        <f>IFERROR(__xludf.DUMMYFUNCTION("""COMPUTED_VALUE"""),"3")</f>
        <v>3</v>
      </c>
      <c r="C830" s="6" t="str">
        <f>IFERROR(__xludf.DUMMYFUNCTION("""COMPUTED_VALUE"""),"0631")</f>
        <v>0631</v>
      </c>
      <c r="D830" s="6" t="str">
        <f>IFERROR(__xludf.DUMMYFUNCTION("""COMPUTED_VALUE"""),"Abigail")</f>
        <v>Abigail</v>
      </c>
      <c r="E830" s="6" t="str">
        <f>IFERROR(__xludf.DUMMYFUNCTION("""COMPUTED_VALUE"""),"Abigail")</f>
        <v>Abigail</v>
      </c>
      <c r="F830" s="6" t="str">
        <f>IFERROR(__xludf.DUMMYFUNCTION("""COMPUTED_VALUE"""),"Hunter")</f>
        <v>Hunter</v>
      </c>
      <c r="G830" s="6" t="str">
        <f>IFERROR(__xludf.DUMMYFUNCTION("""COMPUTED_VALUE"""),"06/20/2017")</f>
        <v>06/20/2017</v>
      </c>
      <c r="H830" s="6" t="str">
        <f>IFERROR(__xludf.DUMMYFUNCTION("""COMPUTED_VALUE"""),"female")</f>
        <v>female</v>
      </c>
      <c r="I830" s="6" t="str">
        <f>IFERROR(__xludf.DUMMYFUNCTION("""COMPUTED_VALUE"""),"Level 1")</f>
        <v>Level 1</v>
      </c>
      <c r="J830" s="6" t="str">
        <f>IFERROR(__xludf.DUMMYFUNCTION("""COMPUTED_VALUE"""),"3")</f>
        <v>3</v>
      </c>
      <c r="K830" s="6" t="str">
        <f>IFERROR(__xludf.DUMMYFUNCTION("""COMPUTED_VALUE"""),"abigail.hunter@alpha.school")</f>
        <v>abigail.hunter@alpha.school</v>
      </c>
      <c r="L830" s="6" t="str">
        <f>IFERROR(__xludf.DUMMYFUNCTION("""COMPUTED_VALUE"""),"Alpha School Brownsville")</f>
        <v>Alpha School Brownsville</v>
      </c>
      <c r="M830" s="6" t="str">
        <f>IFERROR(__xludf.DUMMYFUNCTION("""COMPUTED_VALUE"""),"")</f>
        <v/>
      </c>
      <c r="N830" s="6" t="str">
        <f>IFERROR(__xludf.DUMMYFUNCTION("""COMPUTED_VALUE"""),"")</f>
        <v/>
      </c>
      <c r="O830" s="87" t="str">
        <f>IFERROR(__xludf.DUMMYFUNCTION("""COMPUTED_VALUE"""),"https://drive.google.com/drive/folders/10T2cTQHqEJZqE-st6uFKPoI?usp=share_link")</f>
        <v>https://drive.google.com/drive/folders/10T2cTQHqEJZqE-st6uFKPoI?usp=share_link</v>
      </c>
      <c r="P830" s="6" t="str">
        <f>IFERROR(__xludf.DUMMYFUNCTION("""COMPUTED_VALUE"""),"Abigail Hunter")</f>
        <v>Abigail Hunter</v>
      </c>
      <c r="Q830" s="6" t="str">
        <f>IFERROR(__xludf.DUMMYFUNCTION("""COMPUTED_VALUE"""),"L1")</f>
        <v>L1</v>
      </c>
      <c r="R830" s="6">
        <f>IFERROR(__xludf.DUMMYFUNCTION("""COMPUTED_VALUE"""),1.0)</f>
        <v>1</v>
      </c>
      <c r="S830" s="6" t="str">
        <f>IFERROR(__xludf.DUMMYFUNCTION("""COMPUTED_VALUE"""),"Desire Park")</f>
        <v>Desire Park</v>
      </c>
      <c r="T830" s="6" t="str">
        <f>IFERROR(__xludf.DUMMYFUNCTION("""COMPUTED_VALUE"""),"desire.park@alpha.school")</f>
        <v>desire.park@alpha.school</v>
      </c>
      <c r="U830" s="6" t="str">
        <f>IFERROR(__xludf.DUMMYFUNCTION("""COMPUTED_VALUE"""),"3")</f>
        <v>3</v>
      </c>
      <c r="V830" s="6" t="str">
        <f>IFERROR(__xludf.DUMMYFUNCTION("""COMPUTED_VALUE"""),"")</f>
        <v/>
      </c>
      <c r="W830" s="6" t="str">
        <f>IFERROR(__xludf.DUMMYFUNCTION("""COMPUTED_VALUE"""),"[]")</f>
        <v>[]</v>
      </c>
      <c r="X830" s="6" t="str">
        <f>IFERROR(__xludf.DUMMYFUNCTION("""COMPUTED_VALUE"""),"Enrolled")</f>
        <v>Enrolled</v>
      </c>
    </row>
    <row r="831">
      <c r="A831" s="6" t="str">
        <f>IFERROR(__xludf.DUMMYFUNCTION("""COMPUTED_VALUE"""),"003-0642")</f>
        <v>003-0642</v>
      </c>
      <c r="B831" s="6" t="str">
        <f>IFERROR(__xludf.DUMMYFUNCTION("""COMPUTED_VALUE"""),"3")</f>
        <v>3</v>
      </c>
      <c r="C831" s="6" t="str">
        <f>IFERROR(__xludf.DUMMYFUNCTION("""COMPUTED_VALUE"""),"0642")</f>
        <v>0642</v>
      </c>
      <c r="D831" s="6" t="str">
        <f>IFERROR(__xludf.DUMMYFUNCTION("""COMPUTED_VALUE"""),"Edward")</f>
        <v>Edward</v>
      </c>
      <c r="E831" s="6" t="str">
        <f>IFERROR(__xludf.DUMMYFUNCTION("""COMPUTED_VALUE"""),"")</f>
        <v/>
      </c>
      <c r="F831" s="6" t="str">
        <f>IFERROR(__xludf.DUMMYFUNCTION("""COMPUTED_VALUE"""),"Qu")</f>
        <v>Qu</v>
      </c>
      <c r="G831" s="6" t="str">
        <f>IFERROR(__xludf.DUMMYFUNCTION("""COMPUTED_VALUE"""),"08/12/2019")</f>
        <v>08/12/2019</v>
      </c>
      <c r="H831" s="6" t="str">
        <f>IFERROR(__xludf.DUMMYFUNCTION("""COMPUTED_VALUE"""),"male")</f>
        <v>male</v>
      </c>
      <c r="I831" s="6" t="str">
        <f>IFERROR(__xludf.DUMMYFUNCTION("""COMPUTED_VALUE"""),"Learning Lab")</f>
        <v>Learning Lab</v>
      </c>
      <c r="J831" s="6" t="str">
        <f>IFERROR(__xludf.DUMMYFUNCTION("""COMPUTED_VALUE"""),"K")</f>
        <v>K</v>
      </c>
      <c r="K831" s="6" t="str">
        <f>IFERROR(__xludf.DUMMYFUNCTION("""COMPUTED_VALUE"""),"edward.qu@alpha.school")</f>
        <v>edward.qu@alpha.school</v>
      </c>
      <c r="L831" s="6" t="str">
        <f>IFERROR(__xludf.DUMMYFUNCTION("""COMPUTED_VALUE"""),"Alpha School Brownsville")</f>
        <v>Alpha School Brownsville</v>
      </c>
      <c r="M831" s="6" t="str">
        <f>IFERROR(__xludf.DUMMYFUNCTION("""COMPUTED_VALUE"""),"")</f>
        <v/>
      </c>
      <c r="N831" s="6" t="str">
        <f>IFERROR(__xludf.DUMMYFUNCTION("""COMPUTED_VALUE"""),"")</f>
        <v/>
      </c>
      <c r="O831" s="87" t="str">
        <f>IFERROR(__xludf.DUMMYFUNCTION("""COMPUTED_VALUE"""),"https://drive.google.com/drive/folders/10T2cTQHqEJZqE-st6uFKPoI?usp=share_link")</f>
        <v>https://drive.google.com/drive/folders/10T2cTQHqEJZqE-st6uFKPoI?usp=share_link</v>
      </c>
      <c r="P831" s="6" t="str">
        <f>IFERROR(__xludf.DUMMYFUNCTION("""COMPUTED_VALUE"""),"Edward Qu")</f>
        <v>Edward Qu</v>
      </c>
      <c r="Q831" s="6" t="str">
        <f>IFERROR(__xludf.DUMMYFUNCTION("""COMPUTED_VALUE"""),"LL")</f>
        <v>LL</v>
      </c>
      <c r="R831" s="6">
        <f>IFERROR(__xludf.DUMMYFUNCTION("""COMPUTED_VALUE"""),0.0)</f>
        <v>0</v>
      </c>
      <c r="S831" s="6" t="str">
        <f>IFERROR(__xludf.DUMMYFUNCTION("""COMPUTED_VALUE"""),"Samantha Hilton")</f>
        <v>Samantha Hilton</v>
      </c>
      <c r="T831" s="6" t="str">
        <f>IFERROR(__xludf.DUMMYFUNCTION("""COMPUTED_VALUE"""),"samantha.hilton@alpha.school")</f>
        <v>samantha.hilton@alpha.school</v>
      </c>
      <c r="U831" s="6" t="str">
        <f>IFERROR(__xludf.DUMMYFUNCTION("""COMPUTED_VALUE"""),"K")</f>
        <v>K</v>
      </c>
      <c r="V831" s="6" t="str">
        <f>IFERROR(__xludf.DUMMYFUNCTION("""COMPUTED_VALUE"""),"")</f>
        <v/>
      </c>
      <c r="W831" s="6" t="str">
        <f>IFERROR(__xludf.DUMMYFUNCTION("""COMPUTED_VALUE"""),"[]")</f>
        <v>[]</v>
      </c>
      <c r="X831" s="6" t="str">
        <f>IFERROR(__xludf.DUMMYFUNCTION("""COMPUTED_VALUE"""),"Enrolled")</f>
        <v>Enrolled</v>
      </c>
    </row>
    <row r="832">
      <c r="A832" s="6" t="str">
        <f>IFERROR(__xludf.DUMMYFUNCTION("""COMPUTED_VALUE"""),"003-0643")</f>
        <v>003-0643</v>
      </c>
      <c r="B832" s="6" t="str">
        <f>IFERROR(__xludf.DUMMYFUNCTION("""COMPUTED_VALUE"""),"3")</f>
        <v>3</v>
      </c>
      <c r="C832" s="6" t="str">
        <f>IFERROR(__xludf.DUMMYFUNCTION("""COMPUTED_VALUE"""),"0643")</f>
        <v>0643</v>
      </c>
      <c r="D832" s="6" t="str">
        <f>IFERROR(__xludf.DUMMYFUNCTION("""COMPUTED_VALUE"""),"Elijah")</f>
        <v>Elijah</v>
      </c>
      <c r="E832" s="6" t="str">
        <f>IFERROR(__xludf.DUMMYFUNCTION("""COMPUTED_VALUE"""),"")</f>
        <v/>
      </c>
      <c r="F832" s="6" t="str">
        <f>IFERROR(__xludf.DUMMYFUNCTION("""COMPUTED_VALUE"""),"Hunter")</f>
        <v>Hunter</v>
      </c>
      <c r="G832" s="6" t="str">
        <f>IFERROR(__xludf.DUMMYFUNCTION("""COMPUTED_VALUE"""),"06/01/2019")</f>
        <v>06/01/2019</v>
      </c>
      <c r="H832" s="6" t="str">
        <f>IFERROR(__xludf.DUMMYFUNCTION("""COMPUTED_VALUE"""),"male")</f>
        <v>male</v>
      </c>
      <c r="I832" s="6" t="str">
        <f>IFERROR(__xludf.DUMMYFUNCTION("""COMPUTED_VALUE"""),"Learning Lab")</f>
        <v>Learning Lab</v>
      </c>
      <c r="J832" s="6" t="str">
        <f>IFERROR(__xludf.DUMMYFUNCTION("""COMPUTED_VALUE"""),"1")</f>
        <v>1</v>
      </c>
      <c r="K832" s="6" t="str">
        <f>IFERROR(__xludf.DUMMYFUNCTION("""COMPUTED_VALUE"""),"elijah.hunter@alpha.school")</f>
        <v>elijah.hunter@alpha.school</v>
      </c>
      <c r="L832" s="6" t="str">
        <f>IFERROR(__xludf.DUMMYFUNCTION("""COMPUTED_VALUE"""),"Alpha School Brownsville")</f>
        <v>Alpha School Brownsville</v>
      </c>
      <c r="M832" s="6" t="str">
        <f>IFERROR(__xludf.DUMMYFUNCTION("""COMPUTED_VALUE"""),"")</f>
        <v/>
      </c>
      <c r="N832" s="6" t="str">
        <f>IFERROR(__xludf.DUMMYFUNCTION("""COMPUTED_VALUE"""),"")</f>
        <v/>
      </c>
      <c r="O832" s="87" t="str">
        <f>IFERROR(__xludf.DUMMYFUNCTION("""COMPUTED_VALUE"""),"https://drive.google.com/drive/folders/10T2cTQHqEJZqE-st6uFKPoI?usp=share_link")</f>
        <v>https://drive.google.com/drive/folders/10T2cTQHqEJZqE-st6uFKPoI?usp=share_link</v>
      </c>
      <c r="P832" s="6" t="str">
        <f>IFERROR(__xludf.DUMMYFUNCTION("""COMPUTED_VALUE"""),"Elijah Hunter")</f>
        <v>Elijah Hunter</v>
      </c>
      <c r="Q832" s="6" t="str">
        <f>IFERROR(__xludf.DUMMYFUNCTION("""COMPUTED_VALUE"""),"LL")</f>
        <v>LL</v>
      </c>
      <c r="R832" s="6">
        <f>IFERROR(__xludf.DUMMYFUNCTION("""COMPUTED_VALUE"""),0.0)</f>
        <v>0</v>
      </c>
      <c r="S832" s="6" t="str">
        <f>IFERROR(__xludf.DUMMYFUNCTION("""COMPUTED_VALUE"""),"Samantha Hilton")</f>
        <v>Samantha Hilton</v>
      </c>
      <c r="T832" s="6" t="str">
        <f>IFERROR(__xludf.DUMMYFUNCTION("""COMPUTED_VALUE"""),"samantha.hilton@alpha.school")</f>
        <v>samantha.hilton@alpha.school</v>
      </c>
      <c r="U832" s="6" t="str">
        <f>IFERROR(__xludf.DUMMYFUNCTION("""COMPUTED_VALUE"""),"1")</f>
        <v>1</v>
      </c>
      <c r="V832" s="6" t="str">
        <f>IFERROR(__xludf.DUMMYFUNCTION("""COMPUTED_VALUE"""),"")</f>
        <v/>
      </c>
      <c r="W832" s="6" t="str">
        <f>IFERROR(__xludf.DUMMYFUNCTION("""COMPUTED_VALUE"""),"[]")</f>
        <v>[]</v>
      </c>
      <c r="X832" s="6" t="str">
        <f>IFERROR(__xludf.DUMMYFUNCTION("""COMPUTED_VALUE"""),"Enrolled")</f>
        <v>Enrolled</v>
      </c>
    </row>
    <row r="833">
      <c r="A833" s="6" t="str">
        <f>IFERROR(__xludf.DUMMYFUNCTION("""COMPUTED_VALUE"""),"003-0644")</f>
        <v>003-0644</v>
      </c>
      <c r="B833" s="6" t="str">
        <f>IFERROR(__xludf.DUMMYFUNCTION("""COMPUTED_VALUE"""),"3")</f>
        <v>3</v>
      </c>
      <c r="C833" s="6" t="str">
        <f>IFERROR(__xludf.DUMMYFUNCTION("""COMPUTED_VALUE"""),"0644")</f>
        <v>0644</v>
      </c>
      <c r="D833" s="6" t="str">
        <f>IFERROR(__xludf.DUMMYFUNCTION("""COMPUTED_VALUE"""),"Raegan")</f>
        <v>Raegan</v>
      </c>
      <c r="E833" s="6" t="str">
        <f>IFERROR(__xludf.DUMMYFUNCTION("""COMPUTED_VALUE"""),"Raegan")</f>
        <v>Raegan</v>
      </c>
      <c r="F833" s="6" t="str">
        <f>IFERROR(__xludf.DUMMYFUNCTION("""COMPUTED_VALUE"""),"Middleton")</f>
        <v>Middleton</v>
      </c>
      <c r="G833" s="6" t="str">
        <f>IFERROR(__xludf.DUMMYFUNCTION("""COMPUTED_VALUE"""),"01/07/2013")</f>
        <v>01/07/2013</v>
      </c>
      <c r="H833" s="6" t="str">
        <f>IFERROR(__xludf.DUMMYFUNCTION("""COMPUTED_VALUE"""),"female")</f>
        <v>female</v>
      </c>
      <c r="I833" s="6" t="str">
        <f>IFERROR(__xludf.DUMMYFUNCTION("""COMPUTED_VALUE"""),"Middle School")</f>
        <v>Middle School</v>
      </c>
      <c r="J833" s="6" t="str">
        <f>IFERROR(__xludf.DUMMYFUNCTION("""COMPUTED_VALUE"""),"7")</f>
        <v>7</v>
      </c>
      <c r="K833" s="6" t="str">
        <f>IFERROR(__xludf.DUMMYFUNCTION("""COMPUTED_VALUE"""),"raegan.middleton@alpha.school")</f>
        <v>raegan.middleton@alpha.school</v>
      </c>
      <c r="L833" s="6" t="str">
        <f>IFERROR(__xludf.DUMMYFUNCTION("""COMPUTED_VALUE"""),"Alpha School Brownsville")</f>
        <v>Alpha School Brownsville</v>
      </c>
      <c r="M833" s="6" t="str">
        <f>IFERROR(__xludf.DUMMYFUNCTION("""COMPUTED_VALUE"""),"")</f>
        <v/>
      </c>
      <c r="N833" s="6" t="str">
        <f>IFERROR(__xludf.DUMMYFUNCTION("""COMPUTED_VALUE"""),"")</f>
        <v/>
      </c>
      <c r="O833" s="87" t="str">
        <f>IFERROR(__xludf.DUMMYFUNCTION("""COMPUTED_VALUE"""),"https://drive.google.com/drive/folders/10T2cTQHqEJZqE-st6uFKPoI?usp=share_link")</f>
        <v>https://drive.google.com/drive/folders/10T2cTQHqEJZqE-st6uFKPoI?usp=share_link</v>
      </c>
      <c r="P833" s="6" t="str">
        <f>IFERROR(__xludf.DUMMYFUNCTION("""COMPUTED_VALUE"""),"Raegan Middleton")</f>
        <v>Raegan Middleton</v>
      </c>
      <c r="Q833" s="6" t="str">
        <f>IFERROR(__xludf.DUMMYFUNCTION("""COMPUTED_VALUE"""),"MS")</f>
        <v>MS</v>
      </c>
      <c r="R833" s="6">
        <f>IFERROR(__xludf.DUMMYFUNCTION("""COMPUTED_VALUE"""),0.0)</f>
        <v>0</v>
      </c>
      <c r="S833" s="6" t="str">
        <f>IFERROR(__xludf.DUMMYFUNCTION("""COMPUTED_VALUE"""),"David Beaton")</f>
        <v>David Beaton</v>
      </c>
      <c r="T833" s="6" t="str">
        <f>IFERROR(__xludf.DUMMYFUNCTION("""COMPUTED_VALUE"""),"david.beaton@alpha.school")</f>
        <v>david.beaton@alpha.school</v>
      </c>
      <c r="U833" s="6" t="str">
        <f>IFERROR(__xludf.DUMMYFUNCTION("""COMPUTED_VALUE"""),"7")</f>
        <v>7</v>
      </c>
      <c r="V833" s="6" t="str">
        <f>IFERROR(__xludf.DUMMYFUNCTION("""COMPUTED_VALUE"""),"English")</f>
        <v>English</v>
      </c>
      <c r="W833" s="6" t="str">
        <f>IFERROR(__xludf.DUMMYFUNCTION("""COMPUTED_VALUE"""),"[]")</f>
        <v>[]</v>
      </c>
      <c r="X833" s="6" t="str">
        <f>IFERROR(__xludf.DUMMYFUNCTION("""COMPUTED_VALUE"""),"Enrolled")</f>
        <v>Enrolled</v>
      </c>
    </row>
    <row r="834">
      <c r="A834" s="6" t="str">
        <f>IFERROR(__xludf.DUMMYFUNCTION("""COMPUTED_VALUE"""),"003-0647")</f>
        <v>003-0647</v>
      </c>
      <c r="B834" s="6" t="str">
        <f>IFERROR(__xludf.DUMMYFUNCTION("""COMPUTED_VALUE"""),"3")</f>
        <v>3</v>
      </c>
      <c r="C834" s="6" t="str">
        <f>IFERROR(__xludf.DUMMYFUNCTION("""COMPUTED_VALUE"""),"0647")</f>
        <v>0647</v>
      </c>
      <c r="D834" s="6" t="str">
        <f>IFERROR(__xludf.DUMMYFUNCTION("""COMPUTED_VALUE"""),"Emma")</f>
        <v>Emma</v>
      </c>
      <c r="E834" s="6" t="str">
        <f>IFERROR(__xludf.DUMMYFUNCTION("""COMPUTED_VALUE"""),"")</f>
        <v/>
      </c>
      <c r="F834" s="6" t="str">
        <f>IFERROR(__xludf.DUMMYFUNCTION("""COMPUTED_VALUE"""),"Garcia Lerma")</f>
        <v>Garcia Lerma</v>
      </c>
      <c r="G834" s="6" t="str">
        <f>IFERROR(__xludf.DUMMYFUNCTION("""COMPUTED_VALUE"""),"09/14/2020")</f>
        <v>09/14/2020</v>
      </c>
      <c r="H834" s="6" t="str">
        <f>IFERROR(__xludf.DUMMYFUNCTION("""COMPUTED_VALUE"""),"female")</f>
        <v>female</v>
      </c>
      <c r="I834" s="6" t="str">
        <f>IFERROR(__xludf.DUMMYFUNCTION("""COMPUTED_VALUE"""),"Wonder Lab")</f>
        <v>Wonder Lab</v>
      </c>
      <c r="J834" s="6" t="str">
        <f>IFERROR(__xludf.DUMMYFUNCTION("""COMPUTED_VALUE"""),"PK")</f>
        <v>PK</v>
      </c>
      <c r="K834" s="6" t="str">
        <f>IFERROR(__xludf.DUMMYFUNCTION("""COMPUTED_VALUE"""),"emma.garcialerma@alpha.school")</f>
        <v>emma.garcialerma@alpha.school</v>
      </c>
      <c r="L834" s="6" t="str">
        <f>IFERROR(__xludf.DUMMYFUNCTION("""COMPUTED_VALUE"""),"Alpha School Brownsville")</f>
        <v>Alpha School Brownsville</v>
      </c>
      <c r="M834" s="6" t="str">
        <f>IFERROR(__xludf.DUMMYFUNCTION("""COMPUTED_VALUE"""),"")</f>
        <v/>
      </c>
      <c r="N834" s="6" t="str">
        <f>IFERROR(__xludf.DUMMYFUNCTION("""COMPUTED_VALUE"""),"")</f>
        <v/>
      </c>
      <c r="O834" s="87" t="str">
        <f>IFERROR(__xludf.DUMMYFUNCTION("""COMPUTED_VALUE"""),"https://drive.google.com/drive/folders/10T2cTQHqEJZqE-st6uFKPoI?usp=share_link")</f>
        <v>https://drive.google.com/drive/folders/10T2cTQHqEJZqE-st6uFKPoI?usp=share_link</v>
      </c>
      <c r="P834" s="6" t="str">
        <f>IFERROR(__xludf.DUMMYFUNCTION("""COMPUTED_VALUE"""),"Emma Garcia Lerma")</f>
        <v>Emma Garcia Lerma</v>
      </c>
      <c r="Q834" s="6" t="str">
        <f>IFERROR(__xludf.DUMMYFUNCTION("""COMPUTED_VALUE"""),"WL")</f>
        <v>WL</v>
      </c>
      <c r="R834" s="6">
        <f>IFERROR(__xludf.DUMMYFUNCTION("""COMPUTED_VALUE"""),-1.0)</f>
        <v>-1</v>
      </c>
      <c r="S834" s="6" t="str">
        <f>IFERROR(__xludf.DUMMYFUNCTION("""COMPUTED_VALUE"""),"Patricia Kelley")</f>
        <v>Patricia Kelley</v>
      </c>
      <c r="T834" s="6" t="str">
        <f>IFERROR(__xludf.DUMMYFUNCTION("""COMPUTED_VALUE"""),"patricia.kelley@alpha.school")</f>
        <v>patricia.kelley@alpha.school</v>
      </c>
      <c r="U834" s="6" t="str">
        <f>IFERROR(__xludf.DUMMYFUNCTION("""COMPUTED_VALUE"""),"PK")</f>
        <v>PK</v>
      </c>
      <c r="V834" s="6" t="str">
        <f>IFERROR(__xludf.DUMMYFUNCTION("""COMPUTED_VALUE"""),"")</f>
        <v/>
      </c>
      <c r="W834" s="6" t="str">
        <f>IFERROR(__xludf.DUMMYFUNCTION("""COMPUTED_VALUE"""),"[]")</f>
        <v>[]</v>
      </c>
      <c r="X834" s="6" t="str">
        <f>IFERROR(__xludf.DUMMYFUNCTION("""COMPUTED_VALUE"""),"Enrolled")</f>
        <v>Enrolled</v>
      </c>
    </row>
    <row r="835">
      <c r="A835" s="6" t="str">
        <f>IFERROR(__xludf.DUMMYFUNCTION("""COMPUTED_VALUE"""),"003-0651")</f>
        <v>003-0651</v>
      </c>
      <c r="B835" s="6" t="str">
        <f>IFERROR(__xludf.DUMMYFUNCTION("""COMPUTED_VALUE"""),"3")</f>
        <v>3</v>
      </c>
      <c r="C835" s="6" t="str">
        <f>IFERROR(__xludf.DUMMYFUNCTION("""COMPUTED_VALUE"""),"0651")</f>
        <v>0651</v>
      </c>
      <c r="D835" s="6" t="str">
        <f>IFERROR(__xludf.DUMMYFUNCTION("""COMPUTED_VALUE"""),"Emery")</f>
        <v>Emery</v>
      </c>
      <c r="E835" s="6" t="str">
        <f>IFERROR(__xludf.DUMMYFUNCTION("""COMPUTED_VALUE"""),"Emery")</f>
        <v>Emery</v>
      </c>
      <c r="F835" s="6" t="str">
        <f>IFERROR(__xludf.DUMMYFUNCTION("""COMPUTED_VALUE"""),"Cox")</f>
        <v>Cox</v>
      </c>
      <c r="G835" s="6" t="str">
        <f>IFERROR(__xludf.DUMMYFUNCTION("""COMPUTED_VALUE"""),"05/15/2018")</f>
        <v>05/15/2018</v>
      </c>
      <c r="H835" s="6" t="str">
        <f>IFERROR(__xludf.DUMMYFUNCTION("""COMPUTED_VALUE"""),"male")</f>
        <v>male</v>
      </c>
      <c r="I835" s="6" t="str">
        <f>IFERROR(__xludf.DUMMYFUNCTION("""COMPUTED_VALUE"""),"Level 1")</f>
        <v>Level 1</v>
      </c>
      <c r="J835" s="6" t="str">
        <f>IFERROR(__xludf.DUMMYFUNCTION("""COMPUTED_VALUE"""),"2")</f>
        <v>2</v>
      </c>
      <c r="K835" s="6" t="str">
        <f>IFERROR(__xludf.DUMMYFUNCTION("""COMPUTED_VALUE"""),"emery.cox@alpha.school")</f>
        <v>emery.cox@alpha.school</v>
      </c>
      <c r="L835" s="6" t="str">
        <f>IFERROR(__xludf.DUMMYFUNCTION("""COMPUTED_VALUE"""),"Alpha School Brownsville")</f>
        <v>Alpha School Brownsville</v>
      </c>
      <c r="M835" s="6" t="str">
        <f>IFERROR(__xludf.DUMMYFUNCTION("""COMPUTED_VALUE"""),"")</f>
        <v/>
      </c>
      <c r="N835" s="6" t="str">
        <f>IFERROR(__xludf.DUMMYFUNCTION("""COMPUTED_VALUE"""),"")</f>
        <v/>
      </c>
      <c r="O835" s="87" t="str">
        <f>IFERROR(__xludf.DUMMYFUNCTION("""COMPUTED_VALUE"""),"https://drive.google.com/drive/folders/10T2cTQHqEJZqE-st6uFKPoI?usp=share_link")</f>
        <v>https://drive.google.com/drive/folders/10T2cTQHqEJZqE-st6uFKPoI?usp=share_link</v>
      </c>
      <c r="P835" s="6" t="str">
        <f>IFERROR(__xludf.DUMMYFUNCTION("""COMPUTED_VALUE"""),"Emery Cox")</f>
        <v>Emery Cox</v>
      </c>
      <c r="Q835" s="6" t="str">
        <f>IFERROR(__xludf.DUMMYFUNCTION("""COMPUTED_VALUE"""),"L1")</f>
        <v>L1</v>
      </c>
      <c r="R835" s="6">
        <f>IFERROR(__xludf.DUMMYFUNCTION("""COMPUTED_VALUE"""),1.0)</f>
        <v>1</v>
      </c>
      <c r="S835" s="6" t="str">
        <f>IFERROR(__xludf.DUMMYFUNCTION("""COMPUTED_VALUE"""),"Desire Park")</f>
        <v>Desire Park</v>
      </c>
      <c r="T835" s="6" t="str">
        <f>IFERROR(__xludf.DUMMYFUNCTION("""COMPUTED_VALUE"""),"desire.park@alpha.school")</f>
        <v>desire.park@alpha.school</v>
      </c>
      <c r="U835" s="6" t="str">
        <f>IFERROR(__xludf.DUMMYFUNCTION("""COMPUTED_VALUE"""),"2")</f>
        <v>2</v>
      </c>
      <c r="V835" s="6" t="str">
        <f>IFERROR(__xludf.DUMMYFUNCTION("""COMPUTED_VALUE"""),"")</f>
        <v/>
      </c>
      <c r="W835" s="6" t="str">
        <f>IFERROR(__xludf.DUMMYFUNCTION("""COMPUTED_VALUE"""),"[]")</f>
        <v>[]</v>
      </c>
      <c r="X835" s="6" t="str">
        <f>IFERROR(__xludf.DUMMYFUNCTION("""COMPUTED_VALUE"""),"Enrolled")</f>
        <v>Enrolled</v>
      </c>
    </row>
    <row r="836">
      <c r="A836" s="6" t="str">
        <f>IFERROR(__xludf.DUMMYFUNCTION("""COMPUTED_VALUE"""),"003-0653")</f>
        <v>003-0653</v>
      </c>
      <c r="B836" s="6" t="str">
        <f>IFERROR(__xludf.DUMMYFUNCTION("""COMPUTED_VALUE"""),"3")</f>
        <v>3</v>
      </c>
      <c r="C836" s="6" t="str">
        <f>IFERROR(__xludf.DUMMYFUNCTION("""COMPUTED_VALUE"""),"0653")</f>
        <v>0653</v>
      </c>
      <c r="D836" s="6" t="str">
        <f>IFERROR(__xludf.DUMMYFUNCTION("""COMPUTED_VALUE"""),"Leonardo")</f>
        <v>Leonardo</v>
      </c>
      <c r="E836" s="6" t="str">
        <f>IFERROR(__xludf.DUMMYFUNCTION("""COMPUTED_VALUE"""),"Leo")</f>
        <v>Leo</v>
      </c>
      <c r="F836" s="6" t="str">
        <f>IFERROR(__xludf.DUMMYFUNCTION("""COMPUTED_VALUE"""),"Wright")</f>
        <v>Wright</v>
      </c>
      <c r="G836" s="6" t="str">
        <f>IFERROR(__xludf.DUMMYFUNCTION("""COMPUTED_VALUE"""),"07/11/2018")</f>
        <v>07/11/2018</v>
      </c>
      <c r="H836" s="6" t="str">
        <f>IFERROR(__xludf.DUMMYFUNCTION("""COMPUTED_VALUE"""),"male")</f>
        <v>male</v>
      </c>
      <c r="I836" s="6" t="str">
        <f>IFERROR(__xludf.DUMMYFUNCTION("""COMPUTED_VALUE"""),"Level 1")</f>
        <v>Level 1</v>
      </c>
      <c r="J836" s="6" t="str">
        <f>IFERROR(__xludf.DUMMYFUNCTION("""COMPUTED_VALUE"""),"2")</f>
        <v>2</v>
      </c>
      <c r="K836" s="6" t="str">
        <f>IFERROR(__xludf.DUMMYFUNCTION("""COMPUTED_VALUE"""),"leo.wright@alpha.school")</f>
        <v>leo.wright@alpha.school</v>
      </c>
      <c r="L836" s="6" t="str">
        <f>IFERROR(__xludf.DUMMYFUNCTION("""COMPUTED_VALUE"""),"Alpha School Brownsville")</f>
        <v>Alpha School Brownsville</v>
      </c>
      <c r="M836" s="6" t="str">
        <f>IFERROR(__xludf.DUMMYFUNCTION("""COMPUTED_VALUE"""),"")</f>
        <v/>
      </c>
      <c r="N836" s="6" t="str">
        <f>IFERROR(__xludf.DUMMYFUNCTION("""COMPUTED_VALUE"""),"")</f>
        <v/>
      </c>
      <c r="O836" s="87" t="str">
        <f>IFERROR(__xludf.DUMMYFUNCTION("""COMPUTED_VALUE"""),"https://drive.google.com/drive/folders/10T2cTQHqEJZqE-st6uFKPoI?usp=share_link")</f>
        <v>https://drive.google.com/drive/folders/10T2cTQHqEJZqE-st6uFKPoI?usp=share_link</v>
      </c>
      <c r="P836" s="6" t="str">
        <f>IFERROR(__xludf.DUMMYFUNCTION("""COMPUTED_VALUE"""),"Leo Wright")</f>
        <v>Leo Wright</v>
      </c>
      <c r="Q836" s="6" t="str">
        <f>IFERROR(__xludf.DUMMYFUNCTION("""COMPUTED_VALUE"""),"L1")</f>
        <v>L1</v>
      </c>
      <c r="R836" s="6">
        <f>IFERROR(__xludf.DUMMYFUNCTION("""COMPUTED_VALUE"""),1.0)</f>
        <v>1</v>
      </c>
      <c r="S836" s="6" t="str">
        <f>IFERROR(__xludf.DUMMYFUNCTION("""COMPUTED_VALUE"""),"Desire Park")</f>
        <v>Desire Park</v>
      </c>
      <c r="T836" s="6" t="str">
        <f>IFERROR(__xludf.DUMMYFUNCTION("""COMPUTED_VALUE"""),"desire.park@alpha.school")</f>
        <v>desire.park@alpha.school</v>
      </c>
      <c r="U836" s="6" t="str">
        <f>IFERROR(__xludf.DUMMYFUNCTION("""COMPUTED_VALUE"""),"2")</f>
        <v>2</v>
      </c>
      <c r="V836" s="6" t="str">
        <f>IFERROR(__xludf.DUMMYFUNCTION("""COMPUTED_VALUE"""),"")</f>
        <v/>
      </c>
      <c r="W836" s="6" t="str">
        <f>IFERROR(__xludf.DUMMYFUNCTION("""COMPUTED_VALUE"""),"[]")</f>
        <v>[]</v>
      </c>
      <c r="X836" s="6" t="str">
        <f>IFERROR(__xludf.DUMMYFUNCTION("""COMPUTED_VALUE"""),"Enrolled")</f>
        <v>Enrolled</v>
      </c>
    </row>
    <row r="837">
      <c r="A837" s="6" t="str">
        <f>IFERROR(__xludf.DUMMYFUNCTION("""COMPUTED_VALUE"""),"003-0662")</f>
        <v>003-0662</v>
      </c>
      <c r="B837" s="6" t="str">
        <f>IFERROR(__xludf.DUMMYFUNCTION("""COMPUTED_VALUE"""),"3")</f>
        <v>3</v>
      </c>
      <c r="C837" s="6" t="str">
        <f>IFERROR(__xludf.DUMMYFUNCTION("""COMPUTED_VALUE"""),"0662")</f>
        <v>0662</v>
      </c>
      <c r="D837" s="6" t="str">
        <f>IFERROR(__xludf.DUMMYFUNCTION("""COMPUTED_VALUE"""),"Christopher “C.J.”")</f>
        <v>Christopher “C.J.”</v>
      </c>
      <c r="E837" s="6" t="str">
        <f>IFERROR(__xludf.DUMMYFUNCTION("""COMPUTED_VALUE"""),"C.J.")</f>
        <v>C.J.</v>
      </c>
      <c r="F837" s="6" t="str">
        <f>IFERROR(__xludf.DUMMYFUNCTION("""COMPUTED_VALUE"""),"Wright")</f>
        <v>Wright</v>
      </c>
      <c r="G837" s="6" t="str">
        <f>IFERROR(__xludf.DUMMYFUNCTION("""COMPUTED_VALUE"""),"09/16/2016")</f>
        <v>09/16/2016</v>
      </c>
      <c r="H837" s="6" t="str">
        <f>IFERROR(__xludf.DUMMYFUNCTION("""COMPUTED_VALUE"""),"male")</f>
        <v>male</v>
      </c>
      <c r="I837" s="6" t="str">
        <f>IFERROR(__xludf.DUMMYFUNCTION("""COMPUTED_VALUE"""),"Level 1")</f>
        <v>Level 1</v>
      </c>
      <c r="J837" s="6" t="str">
        <f>IFERROR(__xludf.DUMMYFUNCTION("""COMPUTED_VALUE"""),"3")</f>
        <v>3</v>
      </c>
      <c r="K837" s="6" t="str">
        <f>IFERROR(__xludf.DUMMYFUNCTION("""COMPUTED_VALUE"""),"cj.wright@alpha.school")</f>
        <v>cj.wright@alpha.school</v>
      </c>
      <c r="L837" s="6" t="str">
        <f>IFERROR(__xludf.DUMMYFUNCTION("""COMPUTED_VALUE"""),"Alpha School Brownsville")</f>
        <v>Alpha School Brownsville</v>
      </c>
      <c r="M837" s="6" t="str">
        <f>IFERROR(__xludf.DUMMYFUNCTION("""COMPUTED_VALUE"""),"")</f>
        <v/>
      </c>
      <c r="N837" s="6" t="str">
        <f>IFERROR(__xludf.DUMMYFUNCTION("""COMPUTED_VALUE"""),"")</f>
        <v/>
      </c>
      <c r="O837" s="87" t="str">
        <f>IFERROR(__xludf.DUMMYFUNCTION("""COMPUTED_VALUE"""),"https://drive.google.com/drive/folders/10T2cTQHqEJZqE-st6uFKPoI?usp=share_link")</f>
        <v>https://drive.google.com/drive/folders/10T2cTQHqEJZqE-st6uFKPoI?usp=share_link</v>
      </c>
      <c r="P837" s="6" t="str">
        <f>IFERROR(__xludf.DUMMYFUNCTION("""COMPUTED_VALUE"""),"C.J. Wright")</f>
        <v>C.J. Wright</v>
      </c>
      <c r="Q837" s="6" t="str">
        <f>IFERROR(__xludf.DUMMYFUNCTION("""COMPUTED_VALUE"""),"L1")</f>
        <v>L1</v>
      </c>
      <c r="R837" s="6">
        <f>IFERROR(__xludf.DUMMYFUNCTION("""COMPUTED_VALUE"""),1.0)</f>
        <v>1</v>
      </c>
      <c r="S837" s="6" t="str">
        <f>IFERROR(__xludf.DUMMYFUNCTION("""COMPUTED_VALUE"""),"Desire Park")</f>
        <v>Desire Park</v>
      </c>
      <c r="T837" s="6" t="str">
        <f>IFERROR(__xludf.DUMMYFUNCTION("""COMPUTED_VALUE"""),"desire.park@alpha.school")</f>
        <v>desire.park@alpha.school</v>
      </c>
      <c r="U837" s="6" t="str">
        <f>IFERROR(__xludf.DUMMYFUNCTION("""COMPUTED_VALUE"""),"3")</f>
        <v>3</v>
      </c>
      <c r="V837" s="6" t="str">
        <f>IFERROR(__xludf.DUMMYFUNCTION("""COMPUTED_VALUE"""),"")</f>
        <v/>
      </c>
      <c r="W837" s="6" t="str">
        <f>IFERROR(__xludf.DUMMYFUNCTION("""COMPUTED_VALUE"""),"[]")</f>
        <v>[]</v>
      </c>
      <c r="X837" s="6" t="str">
        <f>IFERROR(__xludf.DUMMYFUNCTION("""COMPUTED_VALUE"""),"Enrolled")</f>
        <v>Enrolled</v>
      </c>
    </row>
    <row r="838">
      <c r="A838" s="6" t="str">
        <f>IFERROR(__xludf.DUMMYFUNCTION("""COMPUTED_VALUE"""),"003-0663")</f>
        <v>003-0663</v>
      </c>
      <c r="B838" s="6" t="str">
        <f>IFERROR(__xludf.DUMMYFUNCTION("""COMPUTED_VALUE"""),"3")</f>
        <v>3</v>
      </c>
      <c r="C838" s="6" t="str">
        <f>IFERROR(__xludf.DUMMYFUNCTION("""COMPUTED_VALUE"""),"0663")</f>
        <v>0663</v>
      </c>
      <c r="D838" s="6" t="str">
        <f>IFERROR(__xludf.DUMMYFUNCTION("""COMPUTED_VALUE"""),"Victoria")</f>
        <v>Victoria</v>
      </c>
      <c r="E838" s="6" t="str">
        <f>IFERROR(__xludf.DUMMYFUNCTION("""COMPUTED_VALUE"""),"Victoria")</f>
        <v>Victoria</v>
      </c>
      <c r="F838" s="6" t="str">
        <f>IFERROR(__xludf.DUMMYFUNCTION("""COMPUTED_VALUE"""),"Leal")</f>
        <v>Leal</v>
      </c>
      <c r="G838" s="6" t="str">
        <f>IFERROR(__xludf.DUMMYFUNCTION("""COMPUTED_VALUE"""),"01/24/2019")</f>
        <v>01/24/2019</v>
      </c>
      <c r="H838" s="6" t="str">
        <f>IFERROR(__xludf.DUMMYFUNCTION("""COMPUTED_VALUE"""),"female")</f>
        <v>female</v>
      </c>
      <c r="I838" s="6" t="str">
        <f>IFERROR(__xludf.DUMMYFUNCTION("""COMPUTED_VALUE"""),"Learning Lab")</f>
        <v>Learning Lab</v>
      </c>
      <c r="J838" s="6" t="str">
        <f>IFERROR(__xludf.DUMMYFUNCTION("""COMPUTED_VALUE"""),"1")</f>
        <v>1</v>
      </c>
      <c r="K838" s="6" t="str">
        <f>IFERROR(__xludf.DUMMYFUNCTION("""COMPUTED_VALUE"""),"victoria.leal@alpha.school")</f>
        <v>victoria.leal@alpha.school</v>
      </c>
      <c r="L838" s="6" t="str">
        <f>IFERROR(__xludf.DUMMYFUNCTION("""COMPUTED_VALUE"""),"Alpha School Brownsville")</f>
        <v>Alpha School Brownsville</v>
      </c>
      <c r="M838" s="6" t="str">
        <f>IFERROR(__xludf.DUMMYFUNCTION("""COMPUTED_VALUE"""),"")</f>
        <v/>
      </c>
      <c r="N838" s="6" t="str">
        <f>IFERROR(__xludf.DUMMYFUNCTION("""COMPUTED_VALUE"""),"")</f>
        <v/>
      </c>
      <c r="O838" s="87" t="str">
        <f>IFERROR(__xludf.DUMMYFUNCTION("""COMPUTED_VALUE"""),"https://drive.google.com/drive/folders/10T2cTQHqEJZqE-st6uFKPoI?usp=share_link")</f>
        <v>https://drive.google.com/drive/folders/10T2cTQHqEJZqE-st6uFKPoI?usp=share_link</v>
      </c>
      <c r="P838" s="6" t="str">
        <f>IFERROR(__xludf.DUMMYFUNCTION("""COMPUTED_VALUE"""),"Victoria Leal")</f>
        <v>Victoria Leal</v>
      </c>
      <c r="Q838" s="6" t="str">
        <f>IFERROR(__xludf.DUMMYFUNCTION("""COMPUTED_VALUE"""),"LL")</f>
        <v>LL</v>
      </c>
      <c r="R838" s="6">
        <f>IFERROR(__xludf.DUMMYFUNCTION("""COMPUTED_VALUE"""),0.0)</f>
        <v>0</v>
      </c>
      <c r="S838" s="6" t="str">
        <f>IFERROR(__xludf.DUMMYFUNCTION("""COMPUTED_VALUE"""),"Samantha Hilton")</f>
        <v>Samantha Hilton</v>
      </c>
      <c r="T838" s="6" t="str">
        <f>IFERROR(__xludf.DUMMYFUNCTION("""COMPUTED_VALUE"""),"samantha.hilton@alpha.school")</f>
        <v>samantha.hilton@alpha.school</v>
      </c>
      <c r="U838" s="6" t="str">
        <f>IFERROR(__xludf.DUMMYFUNCTION("""COMPUTED_VALUE"""),"1")</f>
        <v>1</v>
      </c>
      <c r="V838" s="6" t="str">
        <f>IFERROR(__xludf.DUMMYFUNCTION("""COMPUTED_VALUE"""),"English")</f>
        <v>English</v>
      </c>
      <c r="W838" s="6" t="str">
        <f>IFERROR(__xludf.DUMMYFUNCTION("""COMPUTED_VALUE"""),"[]")</f>
        <v>[]</v>
      </c>
      <c r="X838" s="6" t="str">
        <f>IFERROR(__xludf.DUMMYFUNCTION("""COMPUTED_VALUE"""),"Enrolled")</f>
        <v>Enrolled</v>
      </c>
    </row>
    <row r="839">
      <c r="A839" s="6" t="str">
        <f>IFERROR(__xludf.DUMMYFUNCTION("""COMPUTED_VALUE"""),"003-0687")</f>
        <v>003-0687</v>
      </c>
      <c r="B839" s="6" t="str">
        <f>IFERROR(__xludf.DUMMYFUNCTION("""COMPUTED_VALUE"""),"3")</f>
        <v>3</v>
      </c>
      <c r="C839" s="6" t="str">
        <f>IFERROR(__xludf.DUMMYFUNCTION("""COMPUTED_VALUE"""),"0687")</f>
        <v>0687</v>
      </c>
      <c r="D839" s="6" t="str">
        <f>IFERROR(__xludf.DUMMYFUNCTION("""COMPUTED_VALUE"""),"Lucy")</f>
        <v>Lucy</v>
      </c>
      <c r="E839" s="6" t="str">
        <f>IFERROR(__xludf.DUMMYFUNCTION("""COMPUTED_VALUE"""),"")</f>
        <v/>
      </c>
      <c r="F839" s="6" t="str">
        <f>IFERROR(__xludf.DUMMYFUNCTION("""COMPUTED_VALUE"""),"Peden")</f>
        <v>Peden</v>
      </c>
      <c r="G839" s="6" t="str">
        <f>IFERROR(__xludf.DUMMYFUNCTION("""COMPUTED_VALUE"""),"08/29/2019")</f>
        <v>08/29/2019</v>
      </c>
      <c r="H839" s="6" t="str">
        <f>IFERROR(__xludf.DUMMYFUNCTION("""COMPUTED_VALUE"""),"female")</f>
        <v>female</v>
      </c>
      <c r="I839" s="6" t="str">
        <f>IFERROR(__xludf.DUMMYFUNCTION("""COMPUTED_VALUE"""),"Learning Lab")</f>
        <v>Learning Lab</v>
      </c>
      <c r="J839" s="6" t="str">
        <f>IFERROR(__xludf.DUMMYFUNCTION("""COMPUTED_VALUE"""),"K")</f>
        <v>K</v>
      </c>
      <c r="K839" s="6" t="str">
        <f>IFERROR(__xludf.DUMMYFUNCTION("""COMPUTED_VALUE"""),"lucy.peden@alpha.school")</f>
        <v>lucy.peden@alpha.school</v>
      </c>
      <c r="L839" s="6" t="str">
        <f>IFERROR(__xludf.DUMMYFUNCTION("""COMPUTED_VALUE"""),"Alpha School Brownsville")</f>
        <v>Alpha School Brownsville</v>
      </c>
      <c r="M839" s="6" t="str">
        <f>IFERROR(__xludf.DUMMYFUNCTION("""COMPUTED_VALUE"""),"")</f>
        <v/>
      </c>
      <c r="N839" s="6" t="str">
        <f>IFERROR(__xludf.DUMMYFUNCTION("""COMPUTED_VALUE"""),"")</f>
        <v/>
      </c>
      <c r="O839" s="87" t="str">
        <f>IFERROR(__xludf.DUMMYFUNCTION("""COMPUTED_VALUE"""),"https://drive.google.com/drive/folders/10T2cTQHqEJZqE-st6uFKPoI?usp=share_link")</f>
        <v>https://drive.google.com/drive/folders/10T2cTQHqEJZqE-st6uFKPoI?usp=share_link</v>
      </c>
      <c r="P839" s="6" t="str">
        <f>IFERROR(__xludf.DUMMYFUNCTION("""COMPUTED_VALUE"""),"Lucy Peden")</f>
        <v>Lucy Peden</v>
      </c>
      <c r="Q839" s="6" t="str">
        <f>IFERROR(__xludf.DUMMYFUNCTION("""COMPUTED_VALUE"""),"LL")</f>
        <v>LL</v>
      </c>
      <c r="R839" s="6">
        <f>IFERROR(__xludf.DUMMYFUNCTION("""COMPUTED_VALUE"""),0.0)</f>
        <v>0</v>
      </c>
      <c r="S839" s="6" t="str">
        <f>IFERROR(__xludf.DUMMYFUNCTION("""COMPUTED_VALUE"""),"Samantha Hilton")</f>
        <v>Samantha Hilton</v>
      </c>
      <c r="T839" s="6" t="str">
        <f>IFERROR(__xludf.DUMMYFUNCTION("""COMPUTED_VALUE"""),"samantha.hilton@alpha.school")</f>
        <v>samantha.hilton@alpha.school</v>
      </c>
      <c r="U839" s="6" t="str">
        <f>IFERROR(__xludf.DUMMYFUNCTION("""COMPUTED_VALUE"""),"K")</f>
        <v>K</v>
      </c>
      <c r="V839" s="6" t="str">
        <f>IFERROR(__xludf.DUMMYFUNCTION("""COMPUTED_VALUE"""),"English")</f>
        <v>English</v>
      </c>
      <c r="W839" s="6" t="str">
        <f>IFERROR(__xludf.DUMMYFUNCTION("""COMPUTED_VALUE"""),"[]")</f>
        <v>[]</v>
      </c>
      <c r="X839" s="6" t="str">
        <f>IFERROR(__xludf.DUMMYFUNCTION("""COMPUTED_VALUE"""),"Enrolled")</f>
        <v>Enrolled</v>
      </c>
    </row>
    <row r="840">
      <c r="A840" s="6" t="str">
        <f>IFERROR(__xludf.DUMMYFUNCTION("""COMPUTED_VALUE"""),"003-0689")</f>
        <v>003-0689</v>
      </c>
      <c r="B840" s="6" t="str">
        <f>IFERROR(__xludf.DUMMYFUNCTION("""COMPUTED_VALUE"""),"3")</f>
        <v>3</v>
      </c>
      <c r="C840" s="6" t="str">
        <f>IFERROR(__xludf.DUMMYFUNCTION("""COMPUTED_VALUE"""),"0689")</f>
        <v>0689</v>
      </c>
      <c r="D840" s="6" t="str">
        <f>IFERROR(__xludf.DUMMYFUNCTION("""COMPUTED_VALUE"""),"Zoey")</f>
        <v>Zoey</v>
      </c>
      <c r="E840" s="6" t="str">
        <f>IFERROR(__xludf.DUMMYFUNCTION("""COMPUTED_VALUE"""),"")</f>
        <v/>
      </c>
      <c r="F840" s="6" t="str">
        <f>IFERROR(__xludf.DUMMYFUNCTION("""COMPUTED_VALUE"""),"Peden")</f>
        <v>Peden</v>
      </c>
      <c r="G840" s="6" t="str">
        <f>IFERROR(__xludf.DUMMYFUNCTION("""COMPUTED_VALUE"""),"12/04/2017")</f>
        <v>12/04/2017</v>
      </c>
      <c r="H840" s="6" t="str">
        <f>IFERROR(__xludf.DUMMYFUNCTION("""COMPUTED_VALUE"""),"female")</f>
        <v>female</v>
      </c>
      <c r="I840" s="6" t="str">
        <f>IFERROR(__xludf.DUMMYFUNCTION("""COMPUTED_VALUE"""),"Level 1")</f>
        <v>Level 1</v>
      </c>
      <c r="J840" s="6" t="str">
        <f>IFERROR(__xludf.DUMMYFUNCTION("""COMPUTED_VALUE"""),"2")</f>
        <v>2</v>
      </c>
      <c r="K840" s="6" t="str">
        <f>IFERROR(__xludf.DUMMYFUNCTION("""COMPUTED_VALUE"""),"zoey.peden@alpha.school")</f>
        <v>zoey.peden@alpha.school</v>
      </c>
      <c r="L840" s="6" t="str">
        <f>IFERROR(__xludf.DUMMYFUNCTION("""COMPUTED_VALUE"""),"Alpha School Brownsville")</f>
        <v>Alpha School Brownsville</v>
      </c>
      <c r="M840" s="6" t="str">
        <f>IFERROR(__xludf.DUMMYFUNCTION("""COMPUTED_VALUE"""),"")</f>
        <v/>
      </c>
      <c r="N840" s="6" t="str">
        <f>IFERROR(__xludf.DUMMYFUNCTION("""COMPUTED_VALUE"""),"")</f>
        <v/>
      </c>
      <c r="O840" s="87" t="str">
        <f>IFERROR(__xludf.DUMMYFUNCTION("""COMPUTED_VALUE"""),"https://drive.google.com/drive/folders/10T2cTQHqEJZqE-st6uFKPoI?usp=share_link")</f>
        <v>https://drive.google.com/drive/folders/10T2cTQHqEJZqE-st6uFKPoI?usp=share_link</v>
      </c>
      <c r="P840" s="6" t="str">
        <f>IFERROR(__xludf.DUMMYFUNCTION("""COMPUTED_VALUE"""),"Zoey Peden")</f>
        <v>Zoey Peden</v>
      </c>
      <c r="Q840" s="6" t="str">
        <f>IFERROR(__xludf.DUMMYFUNCTION("""COMPUTED_VALUE"""),"L1")</f>
        <v>L1</v>
      </c>
      <c r="R840" s="6">
        <f>IFERROR(__xludf.DUMMYFUNCTION("""COMPUTED_VALUE"""),1.0)</f>
        <v>1</v>
      </c>
      <c r="S840" s="6" t="str">
        <f>IFERROR(__xludf.DUMMYFUNCTION("""COMPUTED_VALUE"""),"Desire Park")</f>
        <v>Desire Park</v>
      </c>
      <c r="T840" s="6" t="str">
        <f>IFERROR(__xludf.DUMMYFUNCTION("""COMPUTED_VALUE"""),"desire.park@alpha.school")</f>
        <v>desire.park@alpha.school</v>
      </c>
      <c r="U840" s="6" t="str">
        <f>IFERROR(__xludf.DUMMYFUNCTION("""COMPUTED_VALUE"""),"2")</f>
        <v>2</v>
      </c>
      <c r="V840" s="6" t="str">
        <f>IFERROR(__xludf.DUMMYFUNCTION("""COMPUTED_VALUE"""),"English")</f>
        <v>English</v>
      </c>
      <c r="W840" s="6" t="str">
        <f>IFERROR(__xludf.DUMMYFUNCTION("""COMPUTED_VALUE"""),"[]")</f>
        <v>[]</v>
      </c>
      <c r="X840" s="6" t="str">
        <f>IFERROR(__xludf.DUMMYFUNCTION("""COMPUTED_VALUE"""),"Enrolled")</f>
        <v>Enrolled</v>
      </c>
    </row>
    <row r="841">
      <c r="A841" s="6" t="str">
        <f>IFERROR(__xludf.DUMMYFUNCTION("""COMPUTED_VALUE"""),"003-0699")</f>
        <v>003-0699</v>
      </c>
      <c r="B841" s="6" t="str">
        <f>IFERROR(__xludf.DUMMYFUNCTION("""COMPUTED_VALUE"""),"3")</f>
        <v>3</v>
      </c>
      <c r="C841" s="6" t="str">
        <f>IFERROR(__xludf.DUMMYFUNCTION("""COMPUTED_VALUE"""),"0699")</f>
        <v>0699</v>
      </c>
      <c r="D841" s="6" t="str">
        <f>IFERROR(__xludf.DUMMYFUNCTION("""COMPUTED_VALUE"""),"Virginia")</f>
        <v>Virginia</v>
      </c>
      <c r="E841" s="6" t="str">
        <f>IFERROR(__xludf.DUMMYFUNCTION("""COMPUTED_VALUE"""),"Ginny")</f>
        <v>Ginny</v>
      </c>
      <c r="F841" s="6" t="str">
        <f>IFERROR(__xludf.DUMMYFUNCTION("""COMPUTED_VALUE"""),"Gray")</f>
        <v>Gray</v>
      </c>
      <c r="G841" s="6" t="str">
        <f>IFERROR(__xludf.DUMMYFUNCTION("""COMPUTED_VALUE"""),"08/25/2016")</f>
        <v>08/25/2016</v>
      </c>
      <c r="H841" s="6" t="str">
        <f>IFERROR(__xludf.DUMMYFUNCTION("""COMPUTED_VALUE"""),"female")</f>
        <v>female</v>
      </c>
      <c r="I841" s="6" t="str">
        <f>IFERROR(__xludf.DUMMYFUNCTION("""COMPUTED_VALUE"""),"Level 2")</f>
        <v>Level 2</v>
      </c>
      <c r="J841" s="6" t="str">
        <f>IFERROR(__xludf.DUMMYFUNCTION("""COMPUTED_VALUE"""),"4")</f>
        <v>4</v>
      </c>
      <c r="K841" s="6" t="str">
        <f>IFERROR(__xludf.DUMMYFUNCTION("""COMPUTED_VALUE"""),"virginia.gray@alpha.school")</f>
        <v>virginia.gray@alpha.school</v>
      </c>
      <c r="L841" s="6" t="str">
        <f>IFERROR(__xludf.DUMMYFUNCTION("""COMPUTED_VALUE"""),"Alpha School Brownsville")</f>
        <v>Alpha School Brownsville</v>
      </c>
      <c r="M841" s="6" t="str">
        <f>IFERROR(__xludf.DUMMYFUNCTION("""COMPUTED_VALUE"""),"")</f>
        <v/>
      </c>
      <c r="N841" s="6" t="str">
        <f>IFERROR(__xludf.DUMMYFUNCTION("""COMPUTED_VALUE"""),"")</f>
        <v/>
      </c>
      <c r="O841" s="87" t="str">
        <f>IFERROR(__xludf.DUMMYFUNCTION("""COMPUTED_VALUE"""),"https://drive.google.com/drive/folders/10T2cTQHqEJZqE-st6uFKPoI?usp=share_link")</f>
        <v>https://drive.google.com/drive/folders/10T2cTQHqEJZqE-st6uFKPoI?usp=share_link</v>
      </c>
      <c r="P841" s="6" t="str">
        <f>IFERROR(__xludf.DUMMYFUNCTION("""COMPUTED_VALUE"""),"Ginny Gray")</f>
        <v>Ginny Gray</v>
      </c>
      <c r="Q841" s="6" t="str">
        <f>IFERROR(__xludf.DUMMYFUNCTION("""COMPUTED_VALUE"""),"L2")</f>
        <v>L2</v>
      </c>
      <c r="R841" s="6">
        <f>IFERROR(__xludf.DUMMYFUNCTION("""COMPUTED_VALUE"""),2.0)</f>
        <v>2</v>
      </c>
      <c r="S841" s="6" t="str">
        <f>IFERROR(__xludf.DUMMYFUNCTION("""COMPUTED_VALUE"""),"Tyisha Brooks")</f>
        <v>Tyisha Brooks</v>
      </c>
      <c r="T841" s="6" t="str">
        <f>IFERROR(__xludf.DUMMYFUNCTION("""COMPUTED_VALUE"""),"tyisha.brooks@alpha.school")</f>
        <v>tyisha.brooks@alpha.school</v>
      </c>
      <c r="U841" s="6" t="str">
        <f>IFERROR(__xludf.DUMMYFUNCTION("""COMPUTED_VALUE"""),"4")</f>
        <v>4</v>
      </c>
      <c r="V841" s="6" t="str">
        <f>IFERROR(__xludf.DUMMYFUNCTION("""COMPUTED_VALUE"""),"English")</f>
        <v>English</v>
      </c>
      <c r="W841" s="6" t="str">
        <f>IFERROR(__xludf.DUMMYFUNCTION("""COMPUTED_VALUE"""),"[]")</f>
        <v>[]</v>
      </c>
      <c r="X841" s="6" t="str">
        <f>IFERROR(__xludf.DUMMYFUNCTION("""COMPUTED_VALUE"""),"Enrolled")</f>
        <v>Enrolled</v>
      </c>
    </row>
    <row r="842">
      <c r="A842" s="6" t="str">
        <f>IFERROR(__xludf.DUMMYFUNCTION("""COMPUTED_VALUE"""),"003-0700")</f>
        <v>003-0700</v>
      </c>
      <c r="B842" s="6" t="str">
        <f>IFERROR(__xludf.DUMMYFUNCTION("""COMPUTED_VALUE"""),"3")</f>
        <v>3</v>
      </c>
      <c r="C842" s="6" t="str">
        <f>IFERROR(__xludf.DUMMYFUNCTION("""COMPUTED_VALUE"""),"0700")</f>
        <v>0700</v>
      </c>
      <c r="D842" s="6" t="str">
        <f>IFERROR(__xludf.DUMMYFUNCTION("""COMPUTED_VALUE"""),"Geraldine")</f>
        <v>Geraldine</v>
      </c>
      <c r="E842" s="6" t="str">
        <f>IFERROR(__xludf.DUMMYFUNCTION("""COMPUTED_VALUE"""),"Gigi")</f>
        <v>Gigi</v>
      </c>
      <c r="F842" s="6" t="str">
        <f>IFERROR(__xludf.DUMMYFUNCTION("""COMPUTED_VALUE"""),"Gurrola")</f>
        <v>Gurrola</v>
      </c>
      <c r="G842" s="6" t="str">
        <f>IFERROR(__xludf.DUMMYFUNCTION("""COMPUTED_VALUE"""),"05/21/2019")</f>
        <v>05/21/2019</v>
      </c>
      <c r="H842" s="6" t="str">
        <f>IFERROR(__xludf.DUMMYFUNCTION("""COMPUTED_VALUE"""),"female")</f>
        <v>female</v>
      </c>
      <c r="I842" s="6" t="str">
        <f>IFERROR(__xludf.DUMMYFUNCTION("""COMPUTED_VALUE"""),"Learning Lab")</f>
        <v>Learning Lab</v>
      </c>
      <c r="J842" s="6" t="str">
        <f>IFERROR(__xludf.DUMMYFUNCTION("""COMPUTED_VALUE"""),"1")</f>
        <v>1</v>
      </c>
      <c r="K842" s="6" t="str">
        <f>IFERROR(__xludf.DUMMYFUNCTION("""COMPUTED_VALUE"""),"geraldine.gurrola@alpha.school")</f>
        <v>geraldine.gurrola@alpha.school</v>
      </c>
      <c r="L842" s="6" t="str">
        <f>IFERROR(__xludf.DUMMYFUNCTION("""COMPUTED_VALUE"""),"Alpha School Brownsville")</f>
        <v>Alpha School Brownsville</v>
      </c>
      <c r="M842" s="6" t="str">
        <f>IFERROR(__xludf.DUMMYFUNCTION("""COMPUTED_VALUE"""),"")</f>
        <v/>
      </c>
      <c r="N842" s="6" t="str">
        <f>IFERROR(__xludf.DUMMYFUNCTION("""COMPUTED_VALUE"""),"")</f>
        <v/>
      </c>
      <c r="O842" s="87" t="str">
        <f>IFERROR(__xludf.DUMMYFUNCTION("""COMPUTED_VALUE"""),"https://drive.google.com/drive/folders/10T2cTQHqEJZqE-st6uFKPoI?usp=share_link")</f>
        <v>https://drive.google.com/drive/folders/10T2cTQHqEJZqE-st6uFKPoI?usp=share_link</v>
      </c>
      <c r="P842" s="6" t="str">
        <f>IFERROR(__xludf.DUMMYFUNCTION("""COMPUTED_VALUE"""),"Gigi Gurrola")</f>
        <v>Gigi Gurrola</v>
      </c>
      <c r="Q842" s="6" t="str">
        <f>IFERROR(__xludf.DUMMYFUNCTION("""COMPUTED_VALUE"""),"LL")</f>
        <v>LL</v>
      </c>
      <c r="R842" s="6">
        <f>IFERROR(__xludf.DUMMYFUNCTION("""COMPUTED_VALUE"""),0.0)</f>
        <v>0</v>
      </c>
      <c r="S842" s="6" t="str">
        <f>IFERROR(__xludf.DUMMYFUNCTION("""COMPUTED_VALUE"""),"Samantha Hilton")</f>
        <v>Samantha Hilton</v>
      </c>
      <c r="T842" s="6" t="str">
        <f>IFERROR(__xludf.DUMMYFUNCTION("""COMPUTED_VALUE"""),"samantha.hilton@alpha.school")</f>
        <v>samantha.hilton@alpha.school</v>
      </c>
      <c r="U842" s="6" t="str">
        <f>IFERROR(__xludf.DUMMYFUNCTION("""COMPUTED_VALUE"""),"1")</f>
        <v>1</v>
      </c>
      <c r="V842" s="6" t="str">
        <f>IFERROR(__xludf.DUMMYFUNCTION("""COMPUTED_VALUE"""),"English")</f>
        <v>English</v>
      </c>
      <c r="W842" s="6" t="str">
        <f>IFERROR(__xludf.DUMMYFUNCTION("""COMPUTED_VALUE"""),"[]")</f>
        <v>[]</v>
      </c>
      <c r="X842" s="6" t="str">
        <f>IFERROR(__xludf.DUMMYFUNCTION("""COMPUTED_VALUE"""),"Enrolled")</f>
        <v>Enrolled</v>
      </c>
    </row>
    <row r="843">
      <c r="A843" s="6" t="str">
        <f>IFERROR(__xludf.DUMMYFUNCTION("""COMPUTED_VALUE"""),"003-0703")</f>
        <v>003-0703</v>
      </c>
      <c r="B843" s="6" t="str">
        <f>IFERROR(__xludf.DUMMYFUNCTION("""COMPUTED_VALUE"""),"3")</f>
        <v>3</v>
      </c>
      <c r="C843" s="6" t="str">
        <f>IFERROR(__xludf.DUMMYFUNCTION("""COMPUTED_VALUE"""),"0703")</f>
        <v>0703</v>
      </c>
      <c r="D843" s="6" t="str">
        <f>IFERROR(__xludf.DUMMYFUNCTION("""COMPUTED_VALUE"""),"Ethan")</f>
        <v>Ethan</v>
      </c>
      <c r="E843" s="6" t="str">
        <f>IFERROR(__xludf.DUMMYFUNCTION("""COMPUTED_VALUE"""),"")</f>
        <v/>
      </c>
      <c r="F843" s="6" t="str">
        <f>IFERROR(__xludf.DUMMYFUNCTION("""COMPUTED_VALUE"""),"Bale")</f>
        <v>Bale</v>
      </c>
      <c r="G843" s="6" t="str">
        <f>IFERROR(__xludf.DUMMYFUNCTION("""COMPUTED_VALUE"""),"04/19/2018")</f>
        <v>04/19/2018</v>
      </c>
      <c r="H843" s="6" t="str">
        <f>IFERROR(__xludf.DUMMYFUNCTION("""COMPUTED_VALUE"""),"male")</f>
        <v>male</v>
      </c>
      <c r="I843" s="6" t="str">
        <f>IFERROR(__xludf.DUMMYFUNCTION("""COMPUTED_VALUE"""),"Level 1")</f>
        <v>Level 1</v>
      </c>
      <c r="J843" s="6" t="str">
        <f>IFERROR(__xludf.DUMMYFUNCTION("""COMPUTED_VALUE"""),"2")</f>
        <v>2</v>
      </c>
      <c r="K843" s="6" t="str">
        <f>IFERROR(__xludf.DUMMYFUNCTION("""COMPUTED_VALUE"""),"ethan.bale@alpha.school")</f>
        <v>ethan.bale@alpha.school</v>
      </c>
      <c r="L843" s="6" t="str">
        <f>IFERROR(__xludf.DUMMYFUNCTION("""COMPUTED_VALUE"""),"Alpha School Brownsville")</f>
        <v>Alpha School Brownsville</v>
      </c>
      <c r="M843" s="6" t="str">
        <f>IFERROR(__xludf.DUMMYFUNCTION("""COMPUTED_VALUE"""),"")</f>
        <v/>
      </c>
      <c r="N843" s="6" t="str">
        <f>IFERROR(__xludf.DUMMYFUNCTION("""COMPUTED_VALUE"""),"")</f>
        <v/>
      </c>
      <c r="O843" s="87" t="str">
        <f>IFERROR(__xludf.DUMMYFUNCTION("""COMPUTED_VALUE"""),"https://drive.google.com/drive/folders/10T2cTQHqEJZqE-st6uFKPoI?usp=share_link")</f>
        <v>https://drive.google.com/drive/folders/10T2cTQHqEJZqE-st6uFKPoI?usp=share_link</v>
      </c>
      <c r="P843" s="6" t="str">
        <f>IFERROR(__xludf.DUMMYFUNCTION("""COMPUTED_VALUE"""),"Ethan Bale")</f>
        <v>Ethan Bale</v>
      </c>
      <c r="Q843" s="6" t="str">
        <f>IFERROR(__xludf.DUMMYFUNCTION("""COMPUTED_VALUE"""),"L1")</f>
        <v>L1</v>
      </c>
      <c r="R843" s="6">
        <f>IFERROR(__xludf.DUMMYFUNCTION("""COMPUTED_VALUE"""),1.0)</f>
        <v>1</v>
      </c>
      <c r="S843" s="6" t="str">
        <f>IFERROR(__xludf.DUMMYFUNCTION("""COMPUTED_VALUE"""),"Desire Park")</f>
        <v>Desire Park</v>
      </c>
      <c r="T843" s="6" t="str">
        <f>IFERROR(__xludf.DUMMYFUNCTION("""COMPUTED_VALUE"""),"desire.park@alpha.school")</f>
        <v>desire.park@alpha.school</v>
      </c>
      <c r="U843" s="6" t="str">
        <f>IFERROR(__xludf.DUMMYFUNCTION("""COMPUTED_VALUE"""),"2")</f>
        <v>2</v>
      </c>
      <c r="V843" s="6" t="str">
        <f>IFERROR(__xludf.DUMMYFUNCTION("""COMPUTED_VALUE"""),"English")</f>
        <v>English</v>
      </c>
      <c r="W843" s="6" t="str">
        <f>IFERROR(__xludf.DUMMYFUNCTION("""COMPUTED_VALUE"""),"[]")</f>
        <v>[]</v>
      </c>
      <c r="X843" s="6" t="str">
        <f>IFERROR(__xludf.DUMMYFUNCTION("""COMPUTED_VALUE"""),"Enrolled")</f>
        <v>Enrolled</v>
      </c>
    </row>
    <row r="844">
      <c r="A844" s="6" t="str">
        <f>IFERROR(__xludf.DUMMYFUNCTION("""COMPUTED_VALUE"""),"003-0724")</f>
        <v>003-0724</v>
      </c>
      <c r="B844" s="6" t="str">
        <f>IFERROR(__xludf.DUMMYFUNCTION("""COMPUTED_VALUE"""),"3")</f>
        <v>3</v>
      </c>
      <c r="C844" s="6" t="str">
        <f>IFERROR(__xludf.DUMMYFUNCTION("""COMPUTED_VALUE"""),"0724")</f>
        <v>0724</v>
      </c>
      <c r="D844" s="6" t="str">
        <f>IFERROR(__xludf.DUMMYFUNCTION("""COMPUTED_VALUE"""),"Luisela")</f>
        <v>Luisela</v>
      </c>
      <c r="E844" s="6" t="str">
        <f>IFERROR(__xludf.DUMMYFUNCTION("""COMPUTED_VALUE"""),"Luisela")</f>
        <v>Luisela</v>
      </c>
      <c r="F844" s="6" t="str">
        <f>IFERROR(__xludf.DUMMYFUNCTION("""COMPUTED_VALUE"""),"Almanza")</f>
        <v>Almanza</v>
      </c>
      <c r="G844" s="6" t="str">
        <f>IFERROR(__xludf.DUMMYFUNCTION("""COMPUTED_VALUE"""),"08/20/2019")</f>
        <v>08/20/2019</v>
      </c>
      <c r="H844" s="6" t="str">
        <f>IFERROR(__xludf.DUMMYFUNCTION("""COMPUTED_VALUE"""),"female")</f>
        <v>female</v>
      </c>
      <c r="I844" s="6" t="str">
        <f>IFERROR(__xludf.DUMMYFUNCTION("""COMPUTED_VALUE"""),"Learning Lab")</f>
        <v>Learning Lab</v>
      </c>
      <c r="J844" s="6" t="str">
        <f>IFERROR(__xludf.DUMMYFUNCTION("""COMPUTED_VALUE"""),"1")</f>
        <v>1</v>
      </c>
      <c r="K844" s="6" t="str">
        <f>IFERROR(__xludf.DUMMYFUNCTION("""COMPUTED_VALUE"""),"luisela.almanza@alpha.school")</f>
        <v>luisela.almanza@alpha.school</v>
      </c>
      <c r="L844" s="6" t="str">
        <f>IFERROR(__xludf.DUMMYFUNCTION("""COMPUTED_VALUE"""),"Alpha School Brownsville")</f>
        <v>Alpha School Brownsville</v>
      </c>
      <c r="M844" s="6" t="str">
        <f>IFERROR(__xludf.DUMMYFUNCTION("""COMPUTED_VALUE"""),"")</f>
        <v/>
      </c>
      <c r="N844" s="6" t="str">
        <f>IFERROR(__xludf.DUMMYFUNCTION("""COMPUTED_VALUE"""),"")</f>
        <v/>
      </c>
      <c r="O844" s="87" t="str">
        <f>IFERROR(__xludf.DUMMYFUNCTION("""COMPUTED_VALUE"""),"https://drive.google.com/drive/folders/10T2cTQHqEJZqE-st6uFKPoI?usp=share_link")</f>
        <v>https://drive.google.com/drive/folders/10T2cTQHqEJZqE-st6uFKPoI?usp=share_link</v>
      </c>
      <c r="P844" s="6" t="str">
        <f>IFERROR(__xludf.DUMMYFUNCTION("""COMPUTED_VALUE"""),"Luisela Almanza")</f>
        <v>Luisela Almanza</v>
      </c>
      <c r="Q844" s="6" t="str">
        <f>IFERROR(__xludf.DUMMYFUNCTION("""COMPUTED_VALUE"""),"LL")</f>
        <v>LL</v>
      </c>
      <c r="R844" s="6">
        <f>IFERROR(__xludf.DUMMYFUNCTION("""COMPUTED_VALUE"""),0.0)</f>
        <v>0</v>
      </c>
      <c r="S844" s="6" t="str">
        <f>IFERROR(__xludf.DUMMYFUNCTION("""COMPUTED_VALUE"""),"Samantha Hilton")</f>
        <v>Samantha Hilton</v>
      </c>
      <c r="T844" s="6" t="str">
        <f>IFERROR(__xludf.DUMMYFUNCTION("""COMPUTED_VALUE"""),"samantha.hilton@alpha.school")</f>
        <v>samantha.hilton@alpha.school</v>
      </c>
      <c r="U844" s="6" t="str">
        <f>IFERROR(__xludf.DUMMYFUNCTION("""COMPUTED_VALUE"""),"1")</f>
        <v>1</v>
      </c>
      <c r="V844" s="6" t="str">
        <f>IFERROR(__xludf.DUMMYFUNCTION("""COMPUTED_VALUE"""),"English")</f>
        <v>English</v>
      </c>
      <c r="W844" s="6" t="str">
        <f>IFERROR(__xludf.DUMMYFUNCTION("""COMPUTED_VALUE"""),"[]")</f>
        <v>[]</v>
      </c>
      <c r="X844" s="6" t="str">
        <f>IFERROR(__xludf.DUMMYFUNCTION("""COMPUTED_VALUE"""),"Enrolled")</f>
        <v>Enrolled</v>
      </c>
    </row>
    <row r="845">
      <c r="A845" s="6" t="str">
        <f>IFERROR(__xludf.DUMMYFUNCTION("""COMPUTED_VALUE"""),"003-0725")</f>
        <v>003-0725</v>
      </c>
      <c r="B845" s="6" t="str">
        <f>IFERROR(__xludf.DUMMYFUNCTION("""COMPUTED_VALUE"""),"3")</f>
        <v>3</v>
      </c>
      <c r="C845" s="6" t="str">
        <f>IFERROR(__xludf.DUMMYFUNCTION("""COMPUTED_VALUE"""),"0725")</f>
        <v>0725</v>
      </c>
      <c r="D845" s="6" t="str">
        <f>IFERROR(__xludf.DUMMYFUNCTION("""COMPUTED_VALUE"""),"Rafaela")</f>
        <v>Rafaela</v>
      </c>
      <c r="E845" s="6" t="str">
        <f>IFERROR(__xludf.DUMMYFUNCTION("""COMPUTED_VALUE"""),"Rafaela")</f>
        <v>Rafaela</v>
      </c>
      <c r="F845" s="6" t="str">
        <f>IFERROR(__xludf.DUMMYFUNCTION("""COMPUTED_VALUE"""),"Almanza")</f>
        <v>Almanza</v>
      </c>
      <c r="G845" s="6" t="str">
        <f>IFERROR(__xludf.DUMMYFUNCTION("""COMPUTED_VALUE"""),"08/20/2019")</f>
        <v>08/20/2019</v>
      </c>
      <c r="H845" s="6" t="str">
        <f>IFERROR(__xludf.DUMMYFUNCTION("""COMPUTED_VALUE"""),"female")</f>
        <v>female</v>
      </c>
      <c r="I845" s="6" t="str">
        <f>IFERROR(__xludf.DUMMYFUNCTION("""COMPUTED_VALUE"""),"Learning Lab")</f>
        <v>Learning Lab</v>
      </c>
      <c r="J845" s="6" t="str">
        <f>IFERROR(__xludf.DUMMYFUNCTION("""COMPUTED_VALUE"""),"1")</f>
        <v>1</v>
      </c>
      <c r="K845" s="6" t="str">
        <f>IFERROR(__xludf.DUMMYFUNCTION("""COMPUTED_VALUE"""),"rafaela.almanza@alpha.school")</f>
        <v>rafaela.almanza@alpha.school</v>
      </c>
      <c r="L845" s="6" t="str">
        <f>IFERROR(__xludf.DUMMYFUNCTION("""COMPUTED_VALUE"""),"Alpha School Brownsville")</f>
        <v>Alpha School Brownsville</v>
      </c>
      <c r="M845" s="6" t="str">
        <f>IFERROR(__xludf.DUMMYFUNCTION("""COMPUTED_VALUE"""),"")</f>
        <v/>
      </c>
      <c r="N845" s="6" t="str">
        <f>IFERROR(__xludf.DUMMYFUNCTION("""COMPUTED_VALUE"""),"")</f>
        <v/>
      </c>
      <c r="O845" s="87" t="str">
        <f>IFERROR(__xludf.DUMMYFUNCTION("""COMPUTED_VALUE"""),"https://drive.google.com/drive/folders/10T2cTQHqEJZqE-st6uFKPoI?usp=share_link")</f>
        <v>https://drive.google.com/drive/folders/10T2cTQHqEJZqE-st6uFKPoI?usp=share_link</v>
      </c>
      <c r="P845" s="6" t="str">
        <f>IFERROR(__xludf.DUMMYFUNCTION("""COMPUTED_VALUE"""),"Rafaela Almanza")</f>
        <v>Rafaela Almanza</v>
      </c>
      <c r="Q845" s="6" t="str">
        <f>IFERROR(__xludf.DUMMYFUNCTION("""COMPUTED_VALUE"""),"LL")</f>
        <v>LL</v>
      </c>
      <c r="R845" s="6">
        <f>IFERROR(__xludf.DUMMYFUNCTION("""COMPUTED_VALUE"""),0.0)</f>
        <v>0</v>
      </c>
      <c r="S845" s="6" t="str">
        <f>IFERROR(__xludf.DUMMYFUNCTION("""COMPUTED_VALUE"""),"Samantha Hilton")</f>
        <v>Samantha Hilton</v>
      </c>
      <c r="T845" s="6" t="str">
        <f>IFERROR(__xludf.DUMMYFUNCTION("""COMPUTED_VALUE"""),"samantha.hilton@alpha.school")</f>
        <v>samantha.hilton@alpha.school</v>
      </c>
      <c r="U845" s="6" t="str">
        <f>IFERROR(__xludf.DUMMYFUNCTION("""COMPUTED_VALUE"""),"1")</f>
        <v>1</v>
      </c>
      <c r="V845" s="6" t="str">
        <f>IFERROR(__xludf.DUMMYFUNCTION("""COMPUTED_VALUE"""),"English")</f>
        <v>English</v>
      </c>
      <c r="W845" s="6" t="str">
        <f>IFERROR(__xludf.DUMMYFUNCTION("""COMPUTED_VALUE"""),"[]")</f>
        <v>[]</v>
      </c>
      <c r="X845" s="6" t="str">
        <f>IFERROR(__xludf.DUMMYFUNCTION("""COMPUTED_VALUE"""),"Enrolled")</f>
        <v>Enrolled</v>
      </c>
    </row>
    <row r="846">
      <c r="A846" s="6" t="str">
        <f>IFERROR(__xludf.DUMMYFUNCTION("""COMPUTED_VALUE"""),"003-0726")</f>
        <v>003-0726</v>
      </c>
      <c r="B846" s="6" t="str">
        <f>IFERROR(__xludf.DUMMYFUNCTION("""COMPUTED_VALUE"""),"3")</f>
        <v>3</v>
      </c>
      <c r="C846" s="6" t="str">
        <f>IFERROR(__xludf.DUMMYFUNCTION("""COMPUTED_VALUE"""),"0726")</f>
        <v>0726</v>
      </c>
      <c r="D846" s="6" t="str">
        <f>IFERROR(__xludf.DUMMYFUNCTION("""COMPUTED_VALUE"""),"Maya")</f>
        <v>Maya</v>
      </c>
      <c r="E846" s="6" t="str">
        <f>IFERROR(__xludf.DUMMYFUNCTION("""COMPUTED_VALUE"""),"")</f>
        <v/>
      </c>
      <c r="F846" s="6" t="str">
        <f>IFERROR(__xludf.DUMMYFUNCTION("""COMPUTED_VALUE"""),"Muthuswamy")</f>
        <v>Muthuswamy</v>
      </c>
      <c r="G846" s="6" t="str">
        <f>IFERROR(__xludf.DUMMYFUNCTION("""COMPUTED_VALUE"""),"05/22/2020")</f>
        <v>05/22/2020</v>
      </c>
      <c r="H846" s="6" t="str">
        <f>IFERROR(__xludf.DUMMYFUNCTION("""COMPUTED_VALUE"""),"female")</f>
        <v>female</v>
      </c>
      <c r="I846" s="6" t="str">
        <f>IFERROR(__xludf.DUMMYFUNCTION("""COMPUTED_VALUE"""),"Learning Lab")</f>
        <v>Learning Lab</v>
      </c>
      <c r="J846" s="6" t="str">
        <f>IFERROR(__xludf.DUMMYFUNCTION("""COMPUTED_VALUE"""),"K")</f>
        <v>K</v>
      </c>
      <c r="K846" s="6" t="str">
        <f>IFERROR(__xludf.DUMMYFUNCTION("""COMPUTED_VALUE"""),"maya.muthuswamy@alpha.school")</f>
        <v>maya.muthuswamy@alpha.school</v>
      </c>
      <c r="L846" s="6" t="str">
        <f>IFERROR(__xludf.DUMMYFUNCTION("""COMPUTED_VALUE"""),"Alpha School Brownsville")</f>
        <v>Alpha School Brownsville</v>
      </c>
      <c r="M846" s="6" t="str">
        <f>IFERROR(__xludf.DUMMYFUNCTION("""COMPUTED_VALUE"""),"")</f>
        <v/>
      </c>
      <c r="N846" s="6" t="str">
        <f>IFERROR(__xludf.DUMMYFUNCTION("""COMPUTED_VALUE"""),"")</f>
        <v/>
      </c>
      <c r="O846" s="87" t="str">
        <f>IFERROR(__xludf.DUMMYFUNCTION("""COMPUTED_VALUE"""),"https://drive.google.com/drive/folders/10T2cTQHqEJZqE-st6uFKPoI?usp=share_link")</f>
        <v>https://drive.google.com/drive/folders/10T2cTQHqEJZqE-st6uFKPoI?usp=share_link</v>
      </c>
      <c r="P846" s="6" t="str">
        <f>IFERROR(__xludf.DUMMYFUNCTION("""COMPUTED_VALUE"""),"Maya Muthuswamy")</f>
        <v>Maya Muthuswamy</v>
      </c>
      <c r="Q846" s="6" t="str">
        <f>IFERROR(__xludf.DUMMYFUNCTION("""COMPUTED_VALUE"""),"LL")</f>
        <v>LL</v>
      </c>
      <c r="R846" s="6">
        <f>IFERROR(__xludf.DUMMYFUNCTION("""COMPUTED_VALUE"""),0.0)</f>
        <v>0</v>
      </c>
      <c r="S846" s="6" t="str">
        <f>IFERROR(__xludf.DUMMYFUNCTION("""COMPUTED_VALUE"""),"Samantha Hilton")</f>
        <v>Samantha Hilton</v>
      </c>
      <c r="T846" s="6" t="str">
        <f>IFERROR(__xludf.DUMMYFUNCTION("""COMPUTED_VALUE"""),"samantha.hilton@alpha.school")</f>
        <v>samantha.hilton@alpha.school</v>
      </c>
      <c r="U846" s="6" t="str">
        <f>IFERROR(__xludf.DUMMYFUNCTION("""COMPUTED_VALUE"""),"K")</f>
        <v>K</v>
      </c>
      <c r="V846" s="6" t="str">
        <f>IFERROR(__xludf.DUMMYFUNCTION("""COMPUTED_VALUE"""),"English")</f>
        <v>English</v>
      </c>
      <c r="W846" s="6" t="str">
        <f>IFERROR(__xludf.DUMMYFUNCTION("""COMPUTED_VALUE"""),"[]")</f>
        <v>[]</v>
      </c>
      <c r="X846" s="6" t="str">
        <f>IFERROR(__xludf.DUMMYFUNCTION("""COMPUTED_VALUE"""),"Enrolled")</f>
        <v>Enrolled</v>
      </c>
    </row>
    <row r="847">
      <c r="A847" s="6" t="str">
        <f>IFERROR(__xludf.DUMMYFUNCTION("""COMPUTED_VALUE"""),"003-0731")</f>
        <v>003-0731</v>
      </c>
      <c r="B847" s="6" t="str">
        <f>IFERROR(__xludf.DUMMYFUNCTION("""COMPUTED_VALUE"""),"3")</f>
        <v>3</v>
      </c>
      <c r="C847" s="6" t="str">
        <f>IFERROR(__xludf.DUMMYFUNCTION("""COMPUTED_VALUE"""),"0731")</f>
        <v>0731</v>
      </c>
      <c r="D847" s="6" t="str">
        <f>IFERROR(__xludf.DUMMYFUNCTION("""COMPUTED_VALUE"""),"Sebastian")</f>
        <v>Sebastian</v>
      </c>
      <c r="E847" s="6" t="str">
        <f>IFERROR(__xludf.DUMMYFUNCTION("""COMPUTED_VALUE"""),"Seby")</f>
        <v>Seby</v>
      </c>
      <c r="F847" s="6" t="str">
        <f>IFERROR(__xludf.DUMMYFUNCTION("""COMPUTED_VALUE"""),"Holzhauer")</f>
        <v>Holzhauer</v>
      </c>
      <c r="G847" s="6" t="str">
        <f>IFERROR(__xludf.DUMMYFUNCTION("""COMPUTED_VALUE"""),"12/13/2019")</f>
        <v>12/13/2019</v>
      </c>
      <c r="H847" s="6" t="str">
        <f>IFERROR(__xludf.DUMMYFUNCTION("""COMPUTED_VALUE"""),"male")</f>
        <v>male</v>
      </c>
      <c r="I847" s="6" t="str">
        <f>IFERROR(__xludf.DUMMYFUNCTION("""COMPUTED_VALUE"""),"Learning Lab")</f>
        <v>Learning Lab</v>
      </c>
      <c r="J847" s="6" t="str">
        <f>IFERROR(__xludf.DUMMYFUNCTION("""COMPUTED_VALUE"""),"K")</f>
        <v>K</v>
      </c>
      <c r="K847" s="6" t="str">
        <f>IFERROR(__xludf.DUMMYFUNCTION("""COMPUTED_VALUE"""),"seby.holzhauer@alpha.school")</f>
        <v>seby.holzhauer@alpha.school</v>
      </c>
      <c r="L847" s="6" t="str">
        <f>IFERROR(__xludf.DUMMYFUNCTION("""COMPUTED_VALUE"""),"Alpha School Brownsville")</f>
        <v>Alpha School Brownsville</v>
      </c>
      <c r="M847" s="6" t="str">
        <f>IFERROR(__xludf.DUMMYFUNCTION("""COMPUTED_VALUE"""),"")</f>
        <v/>
      </c>
      <c r="N847" s="6" t="str">
        <f>IFERROR(__xludf.DUMMYFUNCTION("""COMPUTED_VALUE"""),"")</f>
        <v/>
      </c>
      <c r="O847" s="87" t="str">
        <f>IFERROR(__xludf.DUMMYFUNCTION("""COMPUTED_VALUE"""),"https://drive.google.com/drive/folders/10T2cTQHqEJZqE-st6uFKPoI?usp=share_link")</f>
        <v>https://drive.google.com/drive/folders/10T2cTQHqEJZqE-st6uFKPoI?usp=share_link</v>
      </c>
      <c r="P847" s="6" t="str">
        <f>IFERROR(__xludf.DUMMYFUNCTION("""COMPUTED_VALUE"""),"Seby Holzhauer")</f>
        <v>Seby Holzhauer</v>
      </c>
      <c r="Q847" s="6" t="str">
        <f>IFERROR(__xludf.DUMMYFUNCTION("""COMPUTED_VALUE"""),"LL")</f>
        <v>LL</v>
      </c>
      <c r="R847" s="6">
        <f>IFERROR(__xludf.DUMMYFUNCTION("""COMPUTED_VALUE"""),0.0)</f>
        <v>0</v>
      </c>
      <c r="S847" s="6" t="str">
        <f>IFERROR(__xludf.DUMMYFUNCTION("""COMPUTED_VALUE"""),"Samantha Hilton")</f>
        <v>Samantha Hilton</v>
      </c>
      <c r="T847" s="6" t="str">
        <f>IFERROR(__xludf.DUMMYFUNCTION("""COMPUTED_VALUE"""),"samantha.hilton@alpha.school")</f>
        <v>samantha.hilton@alpha.school</v>
      </c>
      <c r="U847" s="6" t="str">
        <f>IFERROR(__xludf.DUMMYFUNCTION("""COMPUTED_VALUE"""),"K")</f>
        <v>K</v>
      </c>
      <c r="V847" s="6" t="str">
        <f>IFERROR(__xludf.DUMMYFUNCTION("""COMPUTED_VALUE"""),"English")</f>
        <v>English</v>
      </c>
      <c r="W847" s="6" t="str">
        <f>IFERROR(__xludf.DUMMYFUNCTION("""COMPUTED_VALUE"""),"[]")</f>
        <v>[]</v>
      </c>
      <c r="X847" s="6" t="str">
        <f>IFERROR(__xludf.DUMMYFUNCTION("""COMPUTED_VALUE"""),"Enrolled")</f>
        <v>Enrolled</v>
      </c>
    </row>
    <row r="848">
      <c r="A848" s="6" t="str">
        <f>IFERROR(__xludf.DUMMYFUNCTION("""COMPUTED_VALUE"""),"003-0732")</f>
        <v>003-0732</v>
      </c>
      <c r="B848" s="6" t="str">
        <f>IFERROR(__xludf.DUMMYFUNCTION("""COMPUTED_VALUE"""),"3")</f>
        <v>3</v>
      </c>
      <c r="C848" s="6" t="str">
        <f>IFERROR(__xludf.DUMMYFUNCTION("""COMPUTED_VALUE"""),"0732")</f>
        <v>0732</v>
      </c>
      <c r="D848" s="6" t="str">
        <f>IFERROR(__xludf.DUMMYFUNCTION("""COMPUTED_VALUE"""),"Lily")</f>
        <v>Lily</v>
      </c>
      <c r="E848" s="6" t="str">
        <f>IFERROR(__xludf.DUMMYFUNCTION("""COMPUTED_VALUE"""),"")</f>
        <v/>
      </c>
      <c r="F848" s="6" t="str">
        <f>IFERROR(__xludf.DUMMYFUNCTION("""COMPUTED_VALUE"""),"Gray")</f>
        <v>Gray</v>
      </c>
      <c r="G848" s="6" t="str">
        <f>IFERROR(__xludf.DUMMYFUNCTION("""COMPUTED_VALUE"""),"12/03/2012")</f>
        <v>12/03/2012</v>
      </c>
      <c r="H848" s="6" t="str">
        <f>IFERROR(__xludf.DUMMYFUNCTION("""COMPUTED_VALUE"""),"female")</f>
        <v>female</v>
      </c>
      <c r="I848" s="6" t="str">
        <f>IFERROR(__xludf.DUMMYFUNCTION("""COMPUTED_VALUE"""),"Middle School")</f>
        <v>Middle School</v>
      </c>
      <c r="J848" s="6" t="str">
        <f>IFERROR(__xludf.DUMMYFUNCTION("""COMPUTED_VALUE"""),"7")</f>
        <v>7</v>
      </c>
      <c r="K848" s="6" t="str">
        <f>IFERROR(__xludf.DUMMYFUNCTION("""COMPUTED_VALUE"""),"lily.gray@alpha.school")</f>
        <v>lily.gray@alpha.school</v>
      </c>
      <c r="L848" s="6" t="str">
        <f>IFERROR(__xludf.DUMMYFUNCTION("""COMPUTED_VALUE"""),"Alpha School Brownsville")</f>
        <v>Alpha School Brownsville</v>
      </c>
      <c r="M848" s="6" t="str">
        <f>IFERROR(__xludf.DUMMYFUNCTION("""COMPUTED_VALUE"""),"")</f>
        <v/>
      </c>
      <c r="N848" s="6" t="str">
        <f>IFERROR(__xludf.DUMMYFUNCTION("""COMPUTED_VALUE"""),"")</f>
        <v/>
      </c>
      <c r="O848" s="87" t="str">
        <f>IFERROR(__xludf.DUMMYFUNCTION("""COMPUTED_VALUE"""),"https://drive.google.com/drive/folders/10T2cTQHqEJZqE-st6uFKPoI?usp=share_link")</f>
        <v>https://drive.google.com/drive/folders/10T2cTQHqEJZqE-st6uFKPoI?usp=share_link</v>
      </c>
      <c r="P848" s="6" t="str">
        <f>IFERROR(__xludf.DUMMYFUNCTION("""COMPUTED_VALUE"""),"Lily Gray")</f>
        <v>Lily Gray</v>
      </c>
      <c r="Q848" s="6" t="str">
        <f>IFERROR(__xludf.DUMMYFUNCTION("""COMPUTED_VALUE"""),"MS")</f>
        <v>MS</v>
      </c>
      <c r="R848" s="6">
        <f>IFERROR(__xludf.DUMMYFUNCTION("""COMPUTED_VALUE"""),0.0)</f>
        <v>0</v>
      </c>
      <c r="S848" s="6" t="str">
        <f>IFERROR(__xludf.DUMMYFUNCTION("""COMPUTED_VALUE"""),"David Beaton")</f>
        <v>David Beaton</v>
      </c>
      <c r="T848" s="6" t="str">
        <f>IFERROR(__xludf.DUMMYFUNCTION("""COMPUTED_VALUE"""),"david.beaton@alpha.school")</f>
        <v>david.beaton@alpha.school</v>
      </c>
      <c r="U848" s="6" t="str">
        <f>IFERROR(__xludf.DUMMYFUNCTION("""COMPUTED_VALUE"""),"7")</f>
        <v>7</v>
      </c>
      <c r="V848" s="6" t="str">
        <f>IFERROR(__xludf.DUMMYFUNCTION("""COMPUTED_VALUE"""),"English")</f>
        <v>English</v>
      </c>
      <c r="W848" s="6" t="str">
        <f>IFERROR(__xludf.DUMMYFUNCTION("""COMPUTED_VALUE"""),"[]")</f>
        <v>[]</v>
      </c>
      <c r="X848" s="6" t="str">
        <f>IFERROR(__xludf.DUMMYFUNCTION("""COMPUTED_VALUE"""),"Enrolled")</f>
        <v>Enrolled</v>
      </c>
    </row>
    <row r="849">
      <c r="A849" s="6" t="str">
        <f>IFERROR(__xludf.DUMMYFUNCTION("""COMPUTED_VALUE"""),"003-0733")</f>
        <v>003-0733</v>
      </c>
      <c r="B849" s="6" t="str">
        <f>IFERROR(__xludf.DUMMYFUNCTION("""COMPUTED_VALUE"""),"3")</f>
        <v>3</v>
      </c>
      <c r="C849" s="6" t="str">
        <f>IFERROR(__xludf.DUMMYFUNCTION("""COMPUTED_VALUE"""),"0733")</f>
        <v>0733</v>
      </c>
      <c r="D849" s="6" t="str">
        <f>IFERROR(__xludf.DUMMYFUNCTION("""COMPUTED_VALUE"""),"Marcus")</f>
        <v>Marcus</v>
      </c>
      <c r="E849" s="6" t="str">
        <f>IFERROR(__xludf.DUMMYFUNCTION("""COMPUTED_VALUE"""),"Marcus")</f>
        <v>Marcus</v>
      </c>
      <c r="F849" s="6" t="str">
        <f>IFERROR(__xludf.DUMMYFUNCTION("""COMPUTED_VALUE"""),"Fuentes")</f>
        <v>Fuentes</v>
      </c>
      <c r="G849" s="6" t="str">
        <f>IFERROR(__xludf.DUMMYFUNCTION("""COMPUTED_VALUE"""),"07/26/2013")</f>
        <v>07/26/2013</v>
      </c>
      <c r="H849" s="6" t="str">
        <f>IFERROR(__xludf.DUMMYFUNCTION("""COMPUTED_VALUE"""),"male")</f>
        <v>male</v>
      </c>
      <c r="I849" s="6" t="str">
        <f>IFERROR(__xludf.DUMMYFUNCTION("""COMPUTED_VALUE"""),"Middle School")</f>
        <v>Middle School</v>
      </c>
      <c r="J849" s="6" t="str">
        <f>IFERROR(__xludf.DUMMYFUNCTION("""COMPUTED_VALUE"""),"7")</f>
        <v>7</v>
      </c>
      <c r="K849" s="6" t="str">
        <f>IFERROR(__xludf.DUMMYFUNCTION("""COMPUTED_VALUE"""),"marcus.fuentes@alpha.school")</f>
        <v>marcus.fuentes@alpha.school</v>
      </c>
      <c r="L849" s="6" t="str">
        <f>IFERROR(__xludf.DUMMYFUNCTION("""COMPUTED_VALUE"""),"Alpha School Brownsville")</f>
        <v>Alpha School Brownsville</v>
      </c>
      <c r="M849" s="6" t="str">
        <f>IFERROR(__xludf.DUMMYFUNCTION("""COMPUTED_VALUE"""),"")</f>
        <v/>
      </c>
      <c r="N849" s="6" t="str">
        <f>IFERROR(__xludf.DUMMYFUNCTION("""COMPUTED_VALUE"""),"")</f>
        <v/>
      </c>
      <c r="O849" s="87" t="str">
        <f>IFERROR(__xludf.DUMMYFUNCTION("""COMPUTED_VALUE"""),"https://drive.google.com/drive/folders/10T2cTQHqEJZqE-st6uFKPoI?usp=share_link")</f>
        <v>https://drive.google.com/drive/folders/10T2cTQHqEJZqE-st6uFKPoI?usp=share_link</v>
      </c>
      <c r="P849" s="6" t="str">
        <f>IFERROR(__xludf.DUMMYFUNCTION("""COMPUTED_VALUE"""),"Marcus Fuentes")</f>
        <v>Marcus Fuentes</v>
      </c>
      <c r="Q849" s="6" t="str">
        <f>IFERROR(__xludf.DUMMYFUNCTION("""COMPUTED_VALUE"""),"MS")</f>
        <v>MS</v>
      </c>
      <c r="R849" s="6">
        <f>IFERROR(__xludf.DUMMYFUNCTION("""COMPUTED_VALUE"""),0.0)</f>
        <v>0</v>
      </c>
      <c r="S849" s="6" t="str">
        <f>IFERROR(__xludf.DUMMYFUNCTION("""COMPUTED_VALUE"""),"David Beaton")</f>
        <v>David Beaton</v>
      </c>
      <c r="T849" s="6" t="str">
        <f>IFERROR(__xludf.DUMMYFUNCTION("""COMPUTED_VALUE"""),"david.beaton@alpha.school")</f>
        <v>david.beaton@alpha.school</v>
      </c>
      <c r="U849" s="6" t="str">
        <f>IFERROR(__xludf.DUMMYFUNCTION("""COMPUTED_VALUE"""),"7")</f>
        <v>7</v>
      </c>
      <c r="V849" s="6" t="str">
        <f>IFERROR(__xludf.DUMMYFUNCTION("""COMPUTED_VALUE"""),"English")</f>
        <v>English</v>
      </c>
      <c r="W849" s="6" t="str">
        <f>IFERROR(__xludf.DUMMYFUNCTION("""COMPUTED_VALUE"""),"[]")</f>
        <v>[]</v>
      </c>
      <c r="X849" s="6" t="str">
        <f>IFERROR(__xludf.DUMMYFUNCTION("""COMPUTED_VALUE"""),"Enrolled")</f>
        <v>Enrolled</v>
      </c>
    </row>
    <row r="850">
      <c r="A850" s="6" t="str">
        <f>IFERROR(__xludf.DUMMYFUNCTION("""COMPUTED_VALUE"""),"003-0736")</f>
        <v>003-0736</v>
      </c>
      <c r="B850" s="6" t="str">
        <f>IFERROR(__xludf.DUMMYFUNCTION("""COMPUTED_VALUE"""),"3")</f>
        <v>3</v>
      </c>
      <c r="C850" s="6" t="str">
        <f>IFERROR(__xludf.DUMMYFUNCTION("""COMPUTED_VALUE"""),"0736")</f>
        <v>0736</v>
      </c>
      <c r="D850" s="6" t="str">
        <f>IFERROR(__xludf.DUMMYFUNCTION("""COMPUTED_VALUE"""),"Sebastian")</f>
        <v>Sebastian</v>
      </c>
      <c r="E850" s="6" t="str">
        <f>IFERROR(__xludf.DUMMYFUNCTION("""COMPUTED_VALUE"""),"Bash")</f>
        <v>Bash</v>
      </c>
      <c r="F850" s="6" t="str">
        <f>IFERROR(__xludf.DUMMYFUNCTION("""COMPUTED_VALUE"""),"Salazar")</f>
        <v>Salazar</v>
      </c>
      <c r="G850" s="6" t="str">
        <f>IFERROR(__xludf.DUMMYFUNCTION("""COMPUTED_VALUE"""),"04/11/2018")</f>
        <v>04/11/2018</v>
      </c>
      <c r="H850" s="6" t="str">
        <f>IFERROR(__xludf.DUMMYFUNCTION("""COMPUTED_VALUE"""),"male")</f>
        <v>male</v>
      </c>
      <c r="I850" s="6" t="str">
        <f>IFERROR(__xludf.DUMMYFUNCTION("""COMPUTED_VALUE"""),"Level 1")</f>
        <v>Level 1</v>
      </c>
      <c r="J850" s="6" t="str">
        <f>IFERROR(__xludf.DUMMYFUNCTION("""COMPUTED_VALUE"""),"2")</f>
        <v>2</v>
      </c>
      <c r="K850" s="6" t="str">
        <f>IFERROR(__xludf.DUMMYFUNCTION("""COMPUTED_VALUE"""),"sebastian.salazar@alpha.school")</f>
        <v>sebastian.salazar@alpha.school</v>
      </c>
      <c r="L850" s="6" t="str">
        <f>IFERROR(__xludf.DUMMYFUNCTION("""COMPUTED_VALUE"""),"Alpha School Brownsville")</f>
        <v>Alpha School Brownsville</v>
      </c>
      <c r="M850" s="6" t="str">
        <f>IFERROR(__xludf.DUMMYFUNCTION("""COMPUTED_VALUE"""),"")</f>
        <v/>
      </c>
      <c r="N850" s="6" t="str">
        <f>IFERROR(__xludf.DUMMYFUNCTION("""COMPUTED_VALUE"""),"")</f>
        <v/>
      </c>
      <c r="O850" s="87" t="str">
        <f>IFERROR(__xludf.DUMMYFUNCTION("""COMPUTED_VALUE"""),"https://drive.google.com/drive/folders/10T2cTQHqEJZqE-st6uFKPoI?usp=share_link")</f>
        <v>https://drive.google.com/drive/folders/10T2cTQHqEJZqE-st6uFKPoI?usp=share_link</v>
      </c>
      <c r="P850" s="6" t="str">
        <f>IFERROR(__xludf.DUMMYFUNCTION("""COMPUTED_VALUE"""),"Bash Salazar")</f>
        <v>Bash Salazar</v>
      </c>
      <c r="Q850" s="6" t="str">
        <f>IFERROR(__xludf.DUMMYFUNCTION("""COMPUTED_VALUE"""),"L1")</f>
        <v>L1</v>
      </c>
      <c r="R850" s="6">
        <f>IFERROR(__xludf.DUMMYFUNCTION("""COMPUTED_VALUE"""),1.0)</f>
        <v>1</v>
      </c>
      <c r="S850" s="6" t="str">
        <f>IFERROR(__xludf.DUMMYFUNCTION("""COMPUTED_VALUE"""),"Desire Park")</f>
        <v>Desire Park</v>
      </c>
      <c r="T850" s="6" t="str">
        <f>IFERROR(__xludf.DUMMYFUNCTION("""COMPUTED_VALUE"""),"desire.park@alpha.school")</f>
        <v>desire.park@alpha.school</v>
      </c>
      <c r="U850" s="6" t="str">
        <f>IFERROR(__xludf.DUMMYFUNCTION("""COMPUTED_VALUE"""),"2")</f>
        <v>2</v>
      </c>
      <c r="V850" s="6" t="str">
        <f>IFERROR(__xludf.DUMMYFUNCTION("""COMPUTED_VALUE"""),"English")</f>
        <v>English</v>
      </c>
      <c r="W850" s="6" t="str">
        <f>IFERROR(__xludf.DUMMYFUNCTION("""COMPUTED_VALUE"""),"[]")</f>
        <v>[]</v>
      </c>
      <c r="X850" s="6" t="str">
        <f>IFERROR(__xludf.DUMMYFUNCTION("""COMPUTED_VALUE"""),"Enrolled")</f>
        <v>Enrolled</v>
      </c>
    </row>
    <row r="851">
      <c r="A851" s="6" t="str">
        <f>IFERROR(__xludf.DUMMYFUNCTION("""COMPUTED_VALUE"""),"003-0738")</f>
        <v>003-0738</v>
      </c>
      <c r="B851" s="6" t="str">
        <f>IFERROR(__xludf.DUMMYFUNCTION("""COMPUTED_VALUE"""),"3")</f>
        <v>3</v>
      </c>
      <c r="C851" s="6" t="str">
        <f>IFERROR(__xludf.DUMMYFUNCTION("""COMPUTED_VALUE"""),"0738")</f>
        <v>0738</v>
      </c>
      <c r="D851" s="6" t="str">
        <f>IFERROR(__xludf.DUMMYFUNCTION("""COMPUTED_VALUE"""),"Emma")</f>
        <v>Emma</v>
      </c>
      <c r="E851" s="6" t="str">
        <f>IFERROR(__xludf.DUMMYFUNCTION("""COMPUTED_VALUE"""),"")</f>
        <v/>
      </c>
      <c r="F851" s="6" t="str">
        <f>IFERROR(__xludf.DUMMYFUNCTION("""COMPUTED_VALUE"""),"Schipper")</f>
        <v>Schipper</v>
      </c>
      <c r="G851" s="6" t="str">
        <f>IFERROR(__xludf.DUMMYFUNCTION("""COMPUTED_VALUE"""),"10/18/2018")</f>
        <v>10/18/2018</v>
      </c>
      <c r="H851" s="6" t="str">
        <f>IFERROR(__xludf.DUMMYFUNCTION("""COMPUTED_VALUE"""),"female")</f>
        <v>female</v>
      </c>
      <c r="I851" s="6" t="str">
        <f>IFERROR(__xludf.DUMMYFUNCTION("""COMPUTED_VALUE"""),"Learning Lab")</f>
        <v>Learning Lab</v>
      </c>
      <c r="J851" s="6" t="str">
        <f>IFERROR(__xludf.DUMMYFUNCTION("""COMPUTED_VALUE"""),"K")</f>
        <v>K</v>
      </c>
      <c r="K851" s="6" t="str">
        <f>IFERROR(__xludf.DUMMYFUNCTION("""COMPUTED_VALUE"""),"emma.schipper@alpha.school")</f>
        <v>emma.schipper@alpha.school</v>
      </c>
      <c r="L851" s="6" t="str">
        <f>IFERROR(__xludf.DUMMYFUNCTION("""COMPUTED_VALUE"""),"Alpha School Brownsville")</f>
        <v>Alpha School Brownsville</v>
      </c>
      <c r="M851" s="6" t="str">
        <f>IFERROR(__xludf.DUMMYFUNCTION("""COMPUTED_VALUE"""),"")</f>
        <v/>
      </c>
      <c r="N851" s="6" t="str">
        <f>IFERROR(__xludf.DUMMYFUNCTION("""COMPUTED_VALUE"""),"")</f>
        <v/>
      </c>
      <c r="O851" s="87" t="str">
        <f>IFERROR(__xludf.DUMMYFUNCTION("""COMPUTED_VALUE"""),"https://drive.google.com/drive/folders/10T2cTQHqEJZqE-st6uFKPoI?usp=share_link")</f>
        <v>https://drive.google.com/drive/folders/10T2cTQHqEJZqE-st6uFKPoI?usp=share_link</v>
      </c>
      <c r="P851" s="6" t="str">
        <f>IFERROR(__xludf.DUMMYFUNCTION("""COMPUTED_VALUE"""),"Emma Schipper")</f>
        <v>Emma Schipper</v>
      </c>
      <c r="Q851" s="6" t="str">
        <f>IFERROR(__xludf.DUMMYFUNCTION("""COMPUTED_VALUE"""),"LL")</f>
        <v>LL</v>
      </c>
      <c r="R851" s="6">
        <f>IFERROR(__xludf.DUMMYFUNCTION("""COMPUTED_VALUE"""),0.0)</f>
        <v>0</v>
      </c>
      <c r="S851" s="6" t="str">
        <f>IFERROR(__xludf.DUMMYFUNCTION("""COMPUTED_VALUE"""),"Samantha Hilton")</f>
        <v>Samantha Hilton</v>
      </c>
      <c r="T851" s="6" t="str">
        <f>IFERROR(__xludf.DUMMYFUNCTION("""COMPUTED_VALUE"""),"samantha.hilton@alpha.school")</f>
        <v>samantha.hilton@alpha.school</v>
      </c>
      <c r="U851" s="6" t="str">
        <f>IFERROR(__xludf.DUMMYFUNCTION("""COMPUTED_VALUE"""),"K")</f>
        <v>K</v>
      </c>
      <c r="V851" s="6" t="str">
        <f>IFERROR(__xludf.DUMMYFUNCTION("""COMPUTED_VALUE"""),"English")</f>
        <v>English</v>
      </c>
      <c r="W851" s="6" t="str">
        <f>IFERROR(__xludf.DUMMYFUNCTION("""COMPUTED_VALUE"""),"[]")</f>
        <v>[]</v>
      </c>
      <c r="X851" s="6" t="str">
        <f>IFERROR(__xludf.DUMMYFUNCTION("""COMPUTED_VALUE"""),"Enrolled")</f>
        <v>Enrolled</v>
      </c>
    </row>
    <row r="852">
      <c r="A852" s="6" t="str">
        <f>IFERROR(__xludf.DUMMYFUNCTION("""COMPUTED_VALUE"""),"003-0739")</f>
        <v>003-0739</v>
      </c>
      <c r="B852" s="6" t="str">
        <f>IFERROR(__xludf.DUMMYFUNCTION("""COMPUTED_VALUE"""),"3")</f>
        <v>3</v>
      </c>
      <c r="C852" s="6" t="str">
        <f>IFERROR(__xludf.DUMMYFUNCTION("""COMPUTED_VALUE"""),"0739")</f>
        <v>0739</v>
      </c>
      <c r="D852" s="6" t="str">
        <f>IFERROR(__xludf.DUMMYFUNCTION("""COMPUTED_VALUE"""),"Sarah")</f>
        <v>Sarah</v>
      </c>
      <c r="E852" s="6" t="str">
        <f>IFERROR(__xludf.DUMMYFUNCTION("""COMPUTED_VALUE"""),"")</f>
        <v/>
      </c>
      <c r="F852" s="6" t="str">
        <f>IFERROR(__xludf.DUMMYFUNCTION("""COMPUTED_VALUE"""),"Schipper")</f>
        <v>Schipper</v>
      </c>
      <c r="G852" s="6" t="str">
        <f>IFERROR(__xludf.DUMMYFUNCTION("""COMPUTED_VALUE"""),"10/18/2018")</f>
        <v>10/18/2018</v>
      </c>
      <c r="H852" s="6" t="str">
        <f>IFERROR(__xludf.DUMMYFUNCTION("""COMPUTED_VALUE"""),"female")</f>
        <v>female</v>
      </c>
      <c r="I852" s="6" t="str">
        <f>IFERROR(__xludf.DUMMYFUNCTION("""COMPUTED_VALUE"""),"Level 1")</f>
        <v>Level 1</v>
      </c>
      <c r="J852" s="6" t="str">
        <f>IFERROR(__xludf.DUMMYFUNCTION("""COMPUTED_VALUE"""),"1")</f>
        <v>1</v>
      </c>
      <c r="K852" s="6" t="str">
        <f>IFERROR(__xludf.DUMMYFUNCTION("""COMPUTED_VALUE"""),"sarah.schipper@alpha.school")</f>
        <v>sarah.schipper@alpha.school</v>
      </c>
      <c r="L852" s="6" t="str">
        <f>IFERROR(__xludf.DUMMYFUNCTION("""COMPUTED_VALUE"""),"Alpha School Brownsville")</f>
        <v>Alpha School Brownsville</v>
      </c>
      <c r="M852" s="6" t="str">
        <f>IFERROR(__xludf.DUMMYFUNCTION("""COMPUTED_VALUE"""),"")</f>
        <v/>
      </c>
      <c r="N852" s="6" t="str">
        <f>IFERROR(__xludf.DUMMYFUNCTION("""COMPUTED_VALUE"""),"")</f>
        <v/>
      </c>
      <c r="O852" s="87" t="str">
        <f>IFERROR(__xludf.DUMMYFUNCTION("""COMPUTED_VALUE"""),"https://drive.google.com/drive/folders/10T2cTQHqEJZqE-st6uFKPoI?usp=share_link")</f>
        <v>https://drive.google.com/drive/folders/10T2cTQHqEJZqE-st6uFKPoI?usp=share_link</v>
      </c>
      <c r="P852" s="6" t="str">
        <f>IFERROR(__xludf.DUMMYFUNCTION("""COMPUTED_VALUE"""),"Sarah Schipper")</f>
        <v>Sarah Schipper</v>
      </c>
      <c r="Q852" s="6" t="str">
        <f>IFERROR(__xludf.DUMMYFUNCTION("""COMPUTED_VALUE"""),"L1")</f>
        <v>L1</v>
      </c>
      <c r="R852" s="6">
        <f>IFERROR(__xludf.DUMMYFUNCTION("""COMPUTED_VALUE"""),1.0)</f>
        <v>1</v>
      </c>
      <c r="S852" s="6" t="str">
        <f>IFERROR(__xludf.DUMMYFUNCTION("""COMPUTED_VALUE"""),"Desire Park")</f>
        <v>Desire Park</v>
      </c>
      <c r="T852" s="6" t="str">
        <f>IFERROR(__xludf.DUMMYFUNCTION("""COMPUTED_VALUE"""),"desire.park@alpha.school")</f>
        <v>desire.park@alpha.school</v>
      </c>
      <c r="U852" s="6" t="str">
        <f>IFERROR(__xludf.DUMMYFUNCTION("""COMPUTED_VALUE"""),"1")</f>
        <v>1</v>
      </c>
      <c r="V852" s="6" t="str">
        <f>IFERROR(__xludf.DUMMYFUNCTION("""COMPUTED_VALUE"""),"English")</f>
        <v>English</v>
      </c>
      <c r="W852" s="6" t="str">
        <f>IFERROR(__xludf.DUMMYFUNCTION("""COMPUTED_VALUE"""),"[]")</f>
        <v>[]</v>
      </c>
      <c r="X852" s="6" t="str">
        <f>IFERROR(__xludf.DUMMYFUNCTION("""COMPUTED_VALUE"""),"Enrolled")</f>
        <v>Enrolled</v>
      </c>
    </row>
    <row r="853">
      <c r="A853" s="6" t="str">
        <f>IFERROR(__xludf.DUMMYFUNCTION("""COMPUTED_VALUE"""),"003-0745")</f>
        <v>003-0745</v>
      </c>
      <c r="B853" s="6" t="str">
        <f>IFERROR(__xludf.DUMMYFUNCTION("""COMPUTED_VALUE"""),"3")</f>
        <v>3</v>
      </c>
      <c r="C853" s="6" t="str">
        <f>IFERROR(__xludf.DUMMYFUNCTION("""COMPUTED_VALUE"""),"0745")</f>
        <v>0745</v>
      </c>
      <c r="D853" s="6" t="str">
        <f>IFERROR(__xludf.DUMMYFUNCTION("""COMPUTED_VALUE"""),"Vigo")</f>
        <v>Vigo</v>
      </c>
      <c r="E853" s="6" t="str">
        <f>IFERROR(__xludf.DUMMYFUNCTION("""COMPUTED_VALUE"""),"")</f>
        <v/>
      </c>
      <c r="F853" s="6" t="str">
        <f>IFERROR(__xludf.DUMMYFUNCTION("""COMPUTED_VALUE"""),"Levin")</f>
        <v>Levin</v>
      </c>
      <c r="G853" s="6" t="str">
        <f>IFERROR(__xludf.DUMMYFUNCTION("""COMPUTED_VALUE"""),"03/27/2019")</f>
        <v>03/27/2019</v>
      </c>
      <c r="H853" s="6" t="str">
        <f>IFERROR(__xludf.DUMMYFUNCTION("""COMPUTED_VALUE"""),"female")</f>
        <v>female</v>
      </c>
      <c r="I853" s="6" t="str">
        <f>IFERROR(__xludf.DUMMYFUNCTION("""COMPUTED_VALUE"""),"Level 1")</f>
        <v>Level 1</v>
      </c>
      <c r="J853" s="6" t="str">
        <f>IFERROR(__xludf.DUMMYFUNCTION("""COMPUTED_VALUE"""),"1")</f>
        <v>1</v>
      </c>
      <c r="K853" s="6" t="str">
        <f>IFERROR(__xludf.DUMMYFUNCTION("""COMPUTED_VALUE"""),"vigo.levin@alpha.school")</f>
        <v>vigo.levin@alpha.school</v>
      </c>
      <c r="L853" s="6" t="str">
        <f>IFERROR(__xludf.DUMMYFUNCTION("""COMPUTED_VALUE"""),"Alpha School Brownsville")</f>
        <v>Alpha School Brownsville</v>
      </c>
      <c r="M853" s="6" t="str">
        <f>IFERROR(__xludf.DUMMYFUNCTION("""COMPUTED_VALUE"""),"")</f>
        <v/>
      </c>
      <c r="N853" s="6" t="str">
        <f>IFERROR(__xludf.DUMMYFUNCTION("""COMPUTED_VALUE"""),"")</f>
        <v/>
      </c>
      <c r="O853" s="87" t="str">
        <f>IFERROR(__xludf.DUMMYFUNCTION("""COMPUTED_VALUE"""),"https://drive.google.com/drive/folders/10T2cTQHqEJZqE-st6uFKPoI?usp=share_link")</f>
        <v>https://drive.google.com/drive/folders/10T2cTQHqEJZqE-st6uFKPoI?usp=share_link</v>
      </c>
      <c r="P853" s="6" t="str">
        <f>IFERROR(__xludf.DUMMYFUNCTION("""COMPUTED_VALUE"""),"Vigo Levin")</f>
        <v>Vigo Levin</v>
      </c>
      <c r="Q853" s="6" t="str">
        <f>IFERROR(__xludf.DUMMYFUNCTION("""COMPUTED_VALUE"""),"L1")</f>
        <v>L1</v>
      </c>
      <c r="R853" s="6">
        <f>IFERROR(__xludf.DUMMYFUNCTION("""COMPUTED_VALUE"""),1.0)</f>
        <v>1</v>
      </c>
      <c r="S853" s="6" t="str">
        <f>IFERROR(__xludf.DUMMYFUNCTION("""COMPUTED_VALUE"""),"Desire Park")</f>
        <v>Desire Park</v>
      </c>
      <c r="T853" s="6" t="str">
        <f>IFERROR(__xludf.DUMMYFUNCTION("""COMPUTED_VALUE"""),"desire.park@alpha.school")</f>
        <v>desire.park@alpha.school</v>
      </c>
      <c r="U853" s="6" t="str">
        <f>IFERROR(__xludf.DUMMYFUNCTION("""COMPUTED_VALUE"""),"1")</f>
        <v>1</v>
      </c>
      <c r="V853" s="6" t="str">
        <f>IFERROR(__xludf.DUMMYFUNCTION("""COMPUTED_VALUE"""),"English")</f>
        <v>English</v>
      </c>
      <c r="W853" s="6" t="str">
        <f>IFERROR(__xludf.DUMMYFUNCTION("""COMPUTED_VALUE"""),"[]")</f>
        <v>[]</v>
      </c>
      <c r="X853" s="6" t="str">
        <f>IFERROR(__xludf.DUMMYFUNCTION("""COMPUTED_VALUE"""),"Enrolled")</f>
        <v>Enrolled</v>
      </c>
    </row>
    <row r="854">
      <c r="A854" s="6" t="str">
        <f>IFERROR(__xludf.DUMMYFUNCTION("""COMPUTED_VALUE"""),"003-0746")</f>
        <v>003-0746</v>
      </c>
      <c r="B854" s="6" t="str">
        <f>IFERROR(__xludf.DUMMYFUNCTION("""COMPUTED_VALUE"""),"3")</f>
        <v>3</v>
      </c>
      <c r="C854" s="6" t="str">
        <f>IFERROR(__xludf.DUMMYFUNCTION("""COMPUTED_VALUE"""),"0746")</f>
        <v>0746</v>
      </c>
      <c r="D854" s="6" t="str">
        <f>IFERROR(__xludf.DUMMYFUNCTION("""COMPUTED_VALUE"""),"Ramsey")</f>
        <v>Ramsey</v>
      </c>
      <c r="E854" s="6" t="str">
        <f>IFERROR(__xludf.DUMMYFUNCTION("""COMPUTED_VALUE"""),"")</f>
        <v/>
      </c>
      <c r="F854" s="6" t="str">
        <f>IFERROR(__xludf.DUMMYFUNCTION("""COMPUTED_VALUE"""),"Levin")</f>
        <v>Levin</v>
      </c>
      <c r="G854" s="6" t="str">
        <f>IFERROR(__xludf.DUMMYFUNCTION("""COMPUTED_VALUE"""),"07/26/2015")</f>
        <v>07/26/2015</v>
      </c>
      <c r="H854" s="6" t="str">
        <f>IFERROR(__xludf.DUMMYFUNCTION("""COMPUTED_VALUE"""),"male")</f>
        <v>male</v>
      </c>
      <c r="I854" s="6" t="str">
        <f>IFERROR(__xludf.DUMMYFUNCTION("""COMPUTED_VALUE"""),"Level 2")</f>
        <v>Level 2</v>
      </c>
      <c r="J854" s="6" t="str">
        <f>IFERROR(__xludf.DUMMYFUNCTION("""COMPUTED_VALUE"""),"5")</f>
        <v>5</v>
      </c>
      <c r="K854" s="6" t="str">
        <f>IFERROR(__xludf.DUMMYFUNCTION("""COMPUTED_VALUE"""),"ramsey.levin@alpha.school")</f>
        <v>ramsey.levin@alpha.school</v>
      </c>
      <c r="L854" s="6" t="str">
        <f>IFERROR(__xludf.DUMMYFUNCTION("""COMPUTED_VALUE"""),"Alpha School Brownsville")</f>
        <v>Alpha School Brownsville</v>
      </c>
      <c r="M854" s="6" t="str">
        <f>IFERROR(__xludf.DUMMYFUNCTION("""COMPUTED_VALUE"""),"")</f>
        <v/>
      </c>
      <c r="N854" s="6" t="str">
        <f>IFERROR(__xludf.DUMMYFUNCTION("""COMPUTED_VALUE"""),"")</f>
        <v/>
      </c>
      <c r="O854" s="87" t="str">
        <f>IFERROR(__xludf.DUMMYFUNCTION("""COMPUTED_VALUE"""),"https://drive.google.com/drive/folders/10T2cTQHqEJZqE-st6uFKPoI?usp=share_link")</f>
        <v>https://drive.google.com/drive/folders/10T2cTQHqEJZqE-st6uFKPoI?usp=share_link</v>
      </c>
      <c r="P854" s="6" t="str">
        <f>IFERROR(__xludf.DUMMYFUNCTION("""COMPUTED_VALUE"""),"Ramsey Levin")</f>
        <v>Ramsey Levin</v>
      </c>
      <c r="Q854" s="6" t="str">
        <f>IFERROR(__xludf.DUMMYFUNCTION("""COMPUTED_VALUE"""),"L2")</f>
        <v>L2</v>
      </c>
      <c r="R854" s="6">
        <f>IFERROR(__xludf.DUMMYFUNCTION("""COMPUTED_VALUE"""),2.0)</f>
        <v>2</v>
      </c>
      <c r="S854" s="6" t="str">
        <f>IFERROR(__xludf.DUMMYFUNCTION("""COMPUTED_VALUE"""),"Tyisha Brooks")</f>
        <v>Tyisha Brooks</v>
      </c>
      <c r="T854" s="6" t="str">
        <f>IFERROR(__xludf.DUMMYFUNCTION("""COMPUTED_VALUE"""),"tyisha.brooks@alpha.school")</f>
        <v>tyisha.brooks@alpha.school</v>
      </c>
      <c r="U854" s="6" t="str">
        <f>IFERROR(__xludf.DUMMYFUNCTION("""COMPUTED_VALUE"""),"5")</f>
        <v>5</v>
      </c>
      <c r="V854" s="6" t="str">
        <f>IFERROR(__xludf.DUMMYFUNCTION("""COMPUTED_VALUE"""),"English")</f>
        <v>English</v>
      </c>
      <c r="W854" s="6" t="str">
        <f>IFERROR(__xludf.DUMMYFUNCTION("""COMPUTED_VALUE"""),"[]")</f>
        <v>[]</v>
      </c>
      <c r="X854" s="6" t="str">
        <f>IFERROR(__xludf.DUMMYFUNCTION("""COMPUTED_VALUE"""),"Enrolled")</f>
        <v>Enrolled</v>
      </c>
    </row>
    <row r="855">
      <c r="A855" s="6" t="str">
        <f>IFERROR(__xludf.DUMMYFUNCTION("""COMPUTED_VALUE"""),"003-0782")</f>
        <v>003-0782</v>
      </c>
      <c r="B855" s="6" t="str">
        <f>IFERROR(__xludf.DUMMYFUNCTION("""COMPUTED_VALUE"""),"3")</f>
        <v>3</v>
      </c>
      <c r="C855" s="6" t="str">
        <f>IFERROR(__xludf.DUMMYFUNCTION("""COMPUTED_VALUE"""),"0782")</f>
        <v>0782</v>
      </c>
      <c r="D855" s="6" t="str">
        <f>IFERROR(__xludf.DUMMYFUNCTION("""COMPUTED_VALUE"""),"Mekhayll")</f>
        <v>Mekhayll</v>
      </c>
      <c r="E855" s="6" t="str">
        <f>IFERROR(__xludf.DUMMYFUNCTION("""COMPUTED_VALUE"""),"Meka")</f>
        <v>Meka</v>
      </c>
      <c r="F855" s="6" t="str">
        <f>IFERROR(__xludf.DUMMYFUNCTION("""COMPUTED_VALUE"""),"Hossaini-Joudrey")</f>
        <v>Hossaini-Joudrey</v>
      </c>
      <c r="G855" s="6" t="str">
        <f>IFERROR(__xludf.DUMMYFUNCTION("""COMPUTED_VALUE"""),"10/18/2018")</f>
        <v>10/18/2018</v>
      </c>
      <c r="H855" s="6" t="str">
        <f>IFERROR(__xludf.DUMMYFUNCTION("""COMPUTED_VALUE"""),"male")</f>
        <v>male</v>
      </c>
      <c r="I855" s="6" t="str">
        <f>IFERROR(__xludf.DUMMYFUNCTION("""COMPUTED_VALUE"""),"Level 1")</f>
        <v>Level 1</v>
      </c>
      <c r="J855" s="6" t="str">
        <f>IFERROR(__xludf.DUMMYFUNCTION("""COMPUTED_VALUE"""),"1")</f>
        <v>1</v>
      </c>
      <c r="K855" s="6" t="str">
        <f>IFERROR(__xludf.DUMMYFUNCTION("""COMPUTED_VALUE"""),"mekhayll.joudrey@alpha.school")</f>
        <v>mekhayll.joudrey@alpha.school</v>
      </c>
      <c r="L855" s="6" t="str">
        <f>IFERROR(__xludf.DUMMYFUNCTION("""COMPUTED_VALUE"""),"Alpha School Brownsville")</f>
        <v>Alpha School Brownsville</v>
      </c>
      <c r="M855" s="6" t="str">
        <f>IFERROR(__xludf.DUMMYFUNCTION("""COMPUTED_VALUE"""),"")</f>
        <v/>
      </c>
      <c r="N855" s="6" t="str">
        <f>IFERROR(__xludf.DUMMYFUNCTION("""COMPUTED_VALUE"""),"")</f>
        <v/>
      </c>
      <c r="O855" s="87" t="str">
        <f>IFERROR(__xludf.DUMMYFUNCTION("""COMPUTED_VALUE"""),"https://drive.google.com/drive/folders/10T2cTQHqEJZqE-st6uFKPoI?usp=share_link")</f>
        <v>https://drive.google.com/drive/folders/10T2cTQHqEJZqE-st6uFKPoI?usp=share_link</v>
      </c>
      <c r="P855" s="6" t="str">
        <f>IFERROR(__xludf.DUMMYFUNCTION("""COMPUTED_VALUE"""),"Meka Hossaini-Joudrey")</f>
        <v>Meka Hossaini-Joudrey</v>
      </c>
      <c r="Q855" s="6" t="str">
        <f>IFERROR(__xludf.DUMMYFUNCTION("""COMPUTED_VALUE"""),"L1")</f>
        <v>L1</v>
      </c>
      <c r="R855" s="6">
        <f>IFERROR(__xludf.DUMMYFUNCTION("""COMPUTED_VALUE"""),1.0)</f>
        <v>1</v>
      </c>
      <c r="S855" s="6" t="str">
        <f>IFERROR(__xludf.DUMMYFUNCTION("""COMPUTED_VALUE"""),"Desire Park")</f>
        <v>Desire Park</v>
      </c>
      <c r="T855" s="6" t="str">
        <f>IFERROR(__xludf.DUMMYFUNCTION("""COMPUTED_VALUE"""),"desire.park@alpha.school")</f>
        <v>desire.park@alpha.school</v>
      </c>
      <c r="U855" s="6" t="str">
        <f>IFERROR(__xludf.DUMMYFUNCTION("""COMPUTED_VALUE"""),"1")</f>
        <v>1</v>
      </c>
      <c r="V855" s="6" t="str">
        <f>IFERROR(__xludf.DUMMYFUNCTION("""COMPUTED_VALUE"""),"English")</f>
        <v>English</v>
      </c>
      <c r="W855" s="6" t="str">
        <f>IFERROR(__xludf.DUMMYFUNCTION("""COMPUTED_VALUE"""),"[]")</f>
        <v>[]</v>
      </c>
      <c r="X855" s="6" t="str">
        <f>IFERROR(__xludf.DUMMYFUNCTION("""COMPUTED_VALUE"""),"Enrolled")</f>
        <v>Enrolled</v>
      </c>
    </row>
    <row r="856">
      <c r="A856" s="6" t="str">
        <f>IFERROR(__xludf.DUMMYFUNCTION("""COMPUTED_VALUE"""),"003-1252")</f>
        <v>003-1252</v>
      </c>
      <c r="B856" s="6" t="str">
        <f>IFERROR(__xludf.DUMMYFUNCTION("""COMPUTED_VALUE"""),"3")</f>
        <v>3</v>
      </c>
      <c r="C856" s="6" t="str">
        <f>IFERROR(__xludf.DUMMYFUNCTION("""COMPUTED_VALUE"""),"1252")</f>
        <v>1252</v>
      </c>
      <c r="D856" s="6" t="str">
        <f>IFERROR(__xludf.DUMMYFUNCTION("""COMPUTED_VALUE"""),"John")</f>
        <v>John</v>
      </c>
      <c r="E856" s="6" t="str">
        <f>IFERROR(__xludf.DUMMYFUNCTION("""COMPUTED_VALUE"""),"Johnny")</f>
        <v>Johnny</v>
      </c>
      <c r="F856" s="6" t="str">
        <f>IFERROR(__xludf.DUMMYFUNCTION("""COMPUTED_VALUE"""),"Darcy")</f>
        <v>Darcy</v>
      </c>
      <c r="G856" s="6" t="str">
        <f>IFERROR(__xludf.DUMMYFUNCTION("""COMPUTED_VALUE"""),"12/27/2012")</f>
        <v>12/27/2012</v>
      </c>
      <c r="H856" s="6" t="str">
        <f>IFERROR(__xludf.DUMMYFUNCTION("""COMPUTED_VALUE"""),"male")</f>
        <v>male</v>
      </c>
      <c r="I856" s="6" t="str">
        <f>IFERROR(__xludf.DUMMYFUNCTION("""COMPUTED_VALUE"""),"Middle School")</f>
        <v>Middle School</v>
      </c>
      <c r="J856" s="6" t="str">
        <f>IFERROR(__xludf.DUMMYFUNCTION("""COMPUTED_VALUE"""),"7")</f>
        <v>7</v>
      </c>
      <c r="K856" s="6" t="str">
        <f>IFERROR(__xludf.DUMMYFUNCTION("""COMPUTED_VALUE"""),"johnny.darcy@alpha.school")</f>
        <v>johnny.darcy@alpha.school</v>
      </c>
      <c r="L856" s="6" t="str">
        <f>IFERROR(__xludf.DUMMYFUNCTION("""COMPUTED_VALUE"""),"Alpha School Brownsville")</f>
        <v>Alpha School Brownsville</v>
      </c>
      <c r="M856" s="6" t="str">
        <f>IFERROR(__xludf.DUMMYFUNCTION("""COMPUTED_VALUE"""),"")</f>
        <v/>
      </c>
      <c r="N856" s="6" t="str">
        <f>IFERROR(__xludf.DUMMYFUNCTION("""COMPUTED_VALUE"""),"")</f>
        <v/>
      </c>
      <c r="O856" s="87" t="str">
        <f>IFERROR(__xludf.DUMMYFUNCTION("""COMPUTED_VALUE"""),"https://drive.google.com/drive/folders/10T2cTQHqEJZqE-st6uFKPoI?usp=share_link")</f>
        <v>https://drive.google.com/drive/folders/10T2cTQHqEJZqE-st6uFKPoI?usp=share_link</v>
      </c>
      <c r="P856" s="6" t="str">
        <f>IFERROR(__xludf.DUMMYFUNCTION("""COMPUTED_VALUE"""),"Johnny Darcy")</f>
        <v>Johnny Darcy</v>
      </c>
      <c r="Q856" s="6" t="str">
        <f>IFERROR(__xludf.DUMMYFUNCTION("""COMPUTED_VALUE"""),"MS")</f>
        <v>MS</v>
      </c>
      <c r="R856" s="6">
        <f>IFERROR(__xludf.DUMMYFUNCTION("""COMPUTED_VALUE"""),0.0)</f>
        <v>0</v>
      </c>
      <c r="S856" s="6" t="str">
        <f>IFERROR(__xludf.DUMMYFUNCTION("""COMPUTED_VALUE"""),"David Beaton")</f>
        <v>David Beaton</v>
      </c>
      <c r="T856" s="6" t="str">
        <f>IFERROR(__xludf.DUMMYFUNCTION("""COMPUTED_VALUE"""),"david.beaton@alpha.school")</f>
        <v>david.beaton@alpha.school</v>
      </c>
      <c r="U856" s="6" t="str">
        <f>IFERROR(__xludf.DUMMYFUNCTION("""COMPUTED_VALUE"""),"7")</f>
        <v>7</v>
      </c>
      <c r="V856" s="6" t="str">
        <f>IFERROR(__xludf.DUMMYFUNCTION("""COMPUTED_VALUE"""),"English")</f>
        <v>English</v>
      </c>
      <c r="W856" s="6" t="str">
        <f>IFERROR(__xludf.DUMMYFUNCTION("""COMPUTED_VALUE"""),"[]")</f>
        <v>[]</v>
      </c>
      <c r="X856" s="6" t="str">
        <f>IFERROR(__xludf.DUMMYFUNCTION("""COMPUTED_VALUE"""),"Enrolled")</f>
        <v>Enrolled</v>
      </c>
    </row>
    <row r="857">
      <c r="A857" s="6" t="str">
        <f>IFERROR(__xludf.DUMMYFUNCTION("""COMPUTED_VALUE"""),"003-2383")</f>
        <v>003-2383</v>
      </c>
      <c r="B857" s="6" t="str">
        <f>IFERROR(__xludf.DUMMYFUNCTION("""COMPUTED_VALUE"""),"3")</f>
        <v>3</v>
      </c>
      <c r="C857" s="6" t="str">
        <f>IFERROR(__xludf.DUMMYFUNCTION("""COMPUTED_VALUE"""),"2383")</f>
        <v>2383</v>
      </c>
      <c r="D857" s="6" t="str">
        <f>IFERROR(__xludf.DUMMYFUNCTION("""COMPUTED_VALUE"""),"Theodore")</f>
        <v>Theodore</v>
      </c>
      <c r="E857" s="6" t="str">
        <f>IFERROR(__xludf.DUMMYFUNCTION("""COMPUTED_VALUE"""),"")</f>
        <v/>
      </c>
      <c r="F857" s="6" t="str">
        <f>IFERROR(__xludf.DUMMYFUNCTION("""COMPUTED_VALUE"""),"Salgado-Singer")</f>
        <v>Salgado-Singer</v>
      </c>
      <c r="G857" s="6" t="str">
        <f>IFERROR(__xludf.DUMMYFUNCTION("""COMPUTED_VALUE"""),"10/11/2016")</f>
        <v>10/11/2016</v>
      </c>
      <c r="H857" s="6" t="str">
        <f>IFERROR(__xludf.DUMMYFUNCTION("""COMPUTED_VALUE"""),"male")</f>
        <v>male</v>
      </c>
      <c r="I857" s="6" t="str">
        <f>IFERROR(__xludf.DUMMYFUNCTION("""COMPUTED_VALUE"""),"Level 1")</f>
        <v>Level 1</v>
      </c>
      <c r="J857" s="6" t="str">
        <f>IFERROR(__xludf.DUMMYFUNCTION("""COMPUTED_VALUE"""),"3")</f>
        <v>3</v>
      </c>
      <c r="K857" s="6" t="str">
        <f>IFERROR(__xludf.DUMMYFUNCTION("""COMPUTED_VALUE"""),"theodore.salgado-singer@alpha.school")</f>
        <v>theodore.salgado-singer@alpha.school</v>
      </c>
      <c r="L857" s="6" t="str">
        <f>IFERROR(__xludf.DUMMYFUNCTION("""COMPUTED_VALUE"""),"Alpha School Brownsville")</f>
        <v>Alpha School Brownsville</v>
      </c>
      <c r="M857" s="6" t="str">
        <f>IFERROR(__xludf.DUMMYFUNCTION("""COMPUTED_VALUE"""),"")</f>
        <v/>
      </c>
      <c r="N857" s="6" t="str">
        <f>IFERROR(__xludf.DUMMYFUNCTION("""COMPUTED_VALUE"""),"")</f>
        <v/>
      </c>
      <c r="O857" s="87" t="str">
        <f>IFERROR(__xludf.DUMMYFUNCTION("""COMPUTED_VALUE"""),"https://drive.google.com/drive/folders/10T2cTQHqEJZqE-st6uFKPoI?usp=share_link")</f>
        <v>https://drive.google.com/drive/folders/10T2cTQHqEJZqE-st6uFKPoI?usp=share_link</v>
      </c>
      <c r="P857" s="6" t="str">
        <f>IFERROR(__xludf.DUMMYFUNCTION("""COMPUTED_VALUE"""),"Theodore Salgado-Singer")</f>
        <v>Theodore Salgado-Singer</v>
      </c>
      <c r="Q857" s="6" t="str">
        <f>IFERROR(__xludf.DUMMYFUNCTION("""COMPUTED_VALUE"""),"L1")</f>
        <v>L1</v>
      </c>
      <c r="R857" s="6">
        <f>IFERROR(__xludf.DUMMYFUNCTION("""COMPUTED_VALUE"""),1.0)</f>
        <v>1</v>
      </c>
      <c r="S857" s="6" t="str">
        <f>IFERROR(__xludf.DUMMYFUNCTION("""COMPUTED_VALUE"""),"Desire Park")</f>
        <v>Desire Park</v>
      </c>
      <c r="T857" s="6" t="str">
        <f>IFERROR(__xludf.DUMMYFUNCTION("""COMPUTED_VALUE"""),"desire.park@alpha.school")</f>
        <v>desire.park@alpha.school</v>
      </c>
      <c r="U857" s="6" t="str">
        <f>IFERROR(__xludf.DUMMYFUNCTION("""COMPUTED_VALUE"""),"3")</f>
        <v>3</v>
      </c>
      <c r="V857" s="6" t="str">
        <f>IFERROR(__xludf.DUMMYFUNCTION("""COMPUTED_VALUE"""),"")</f>
        <v/>
      </c>
      <c r="W857" s="6" t="str">
        <f>IFERROR(__xludf.DUMMYFUNCTION("""COMPUTED_VALUE"""),"[]")</f>
        <v>[]</v>
      </c>
      <c r="X857" s="6" t="str">
        <f>IFERROR(__xludf.DUMMYFUNCTION("""COMPUTED_VALUE"""),"Enrolled")</f>
        <v>Enrolled</v>
      </c>
    </row>
    <row r="858">
      <c r="A858" s="6" t="str">
        <f>IFERROR(__xludf.DUMMYFUNCTION("""COMPUTED_VALUE"""),"003-2614")</f>
        <v>003-2614</v>
      </c>
      <c r="B858" s="6" t="str">
        <f>IFERROR(__xludf.DUMMYFUNCTION("""COMPUTED_VALUE"""),"3")</f>
        <v>3</v>
      </c>
      <c r="C858" s="6" t="str">
        <f>IFERROR(__xludf.DUMMYFUNCTION("""COMPUTED_VALUE"""),"2614")</f>
        <v>2614</v>
      </c>
      <c r="D858" s="6" t="str">
        <f>IFERROR(__xludf.DUMMYFUNCTION("""COMPUTED_VALUE"""),"Hyrule Kenobi")</f>
        <v>Hyrule Kenobi</v>
      </c>
      <c r="E858" s="6" t="str">
        <f>IFERROR(__xludf.DUMMYFUNCTION("""COMPUTED_VALUE"""),"Hyrule")</f>
        <v>Hyrule</v>
      </c>
      <c r="F858" s="6" t="str">
        <f>IFERROR(__xludf.DUMMYFUNCTION("""COMPUTED_VALUE"""),"Petrelli")</f>
        <v>Petrelli</v>
      </c>
      <c r="G858" s="6" t="str">
        <f>IFERROR(__xludf.DUMMYFUNCTION("""COMPUTED_VALUE"""),"08/27/2015")</f>
        <v>08/27/2015</v>
      </c>
      <c r="H858" s="6" t="str">
        <f>IFERROR(__xludf.DUMMYFUNCTION("""COMPUTED_VALUE"""),"male")</f>
        <v>male</v>
      </c>
      <c r="I858" s="6" t="str">
        <f>IFERROR(__xludf.DUMMYFUNCTION("""COMPUTED_VALUE"""),"Level 2")</f>
        <v>Level 2</v>
      </c>
      <c r="J858" s="6" t="str">
        <f>IFERROR(__xludf.DUMMYFUNCTION("""COMPUTED_VALUE"""),"5")</f>
        <v>5</v>
      </c>
      <c r="K858" s="6" t="str">
        <f>IFERROR(__xludf.DUMMYFUNCTION("""COMPUTED_VALUE"""),"hyrule.kenobi.petrelli@alpha.school")</f>
        <v>hyrule.kenobi.petrelli@alpha.school</v>
      </c>
      <c r="L858" s="6" t="str">
        <f>IFERROR(__xludf.DUMMYFUNCTION("""COMPUTED_VALUE"""),"Alpha School Brownsville")</f>
        <v>Alpha School Brownsville</v>
      </c>
      <c r="M858" s="6" t="str">
        <f>IFERROR(__xludf.DUMMYFUNCTION("""COMPUTED_VALUE"""),"")</f>
        <v/>
      </c>
      <c r="N858" s="6" t="str">
        <f>IFERROR(__xludf.DUMMYFUNCTION("""COMPUTED_VALUE"""),"")</f>
        <v/>
      </c>
      <c r="O858" s="87" t="str">
        <f>IFERROR(__xludf.DUMMYFUNCTION("""COMPUTED_VALUE"""),"https://drive.google.com/drive/folders/10T2cTQHqEJZqE-st6uFKPoI?usp=share_link")</f>
        <v>https://drive.google.com/drive/folders/10T2cTQHqEJZqE-st6uFKPoI?usp=share_link</v>
      </c>
      <c r="P858" s="6" t="str">
        <f>IFERROR(__xludf.DUMMYFUNCTION("""COMPUTED_VALUE"""),"Hyrule Petrelli")</f>
        <v>Hyrule Petrelli</v>
      </c>
      <c r="Q858" s="6" t="str">
        <f>IFERROR(__xludf.DUMMYFUNCTION("""COMPUTED_VALUE"""),"L2")</f>
        <v>L2</v>
      </c>
      <c r="R858" s="6">
        <f>IFERROR(__xludf.DUMMYFUNCTION("""COMPUTED_VALUE"""),2.0)</f>
        <v>2</v>
      </c>
      <c r="S858" s="6" t="str">
        <f>IFERROR(__xludf.DUMMYFUNCTION("""COMPUTED_VALUE"""),"Tyisha Brooks")</f>
        <v>Tyisha Brooks</v>
      </c>
      <c r="T858" s="6" t="str">
        <f>IFERROR(__xludf.DUMMYFUNCTION("""COMPUTED_VALUE"""),"tyisha.brooks@alpha.school")</f>
        <v>tyisha.brooks@alpha.school</v>
      </c>
      <c r="U858" s="6" t="str">
        <f>IFERROR(__xludf.DUMMYFUNCTION("""COMPUTED_VALUE"""),"5")</f>
        <v>5</v>
      </c>
      <c r="V858" s="6" t="str">
        <f>IFERROR(__xludf.DUMMYFUNCTION("""COMPUTED_VALUE"""),"")</f>
        <v/>
      </c>
      <c r="W858" s="6" t="str">
        <f>IFERROR(__xludf.DUMMYFUNCTION("""COMPUTED_VALUE"""),"[]")</f>
        <v>[]</v>
      </c>
      <c r="X858" s="6" t="str">
        <f>IFERROR(__xludf.DUMMYFUNCTION("""COMPUTED_VALUE"""),"Enrolled")</f>
        <v>Enrolled</v>
      </c>
    </row>
    <row r="859">
      <c r="A859" s="6" t="str">
        <f>IFERROR(__xludf.DUMMYFUNCTION("""COMPUTED_VALUE"""),"003-3348")</f>
        <v>003-3348</v>
      </c>
      <c r="B859" s="6" t="str">
        <f>IFERROR(__xludf.DUMMYFUNCTION("""COMPUTED_VALUE"""),"3")</f>
        <v>3</v>
      </c>
      <c r="C859" s="6" t="str">
        <f>IFERROR(__xludf.DUMMYFUNCTION("""COMPUTED_VALUE"""),"3348")</f>
        <v>3348</v>
      </c>
      <c r="D859" s="6" t="str">
        <f>IFERROR(__xludf.DUMMYFUNCTION("""COMPUTED_VALUE"""),"Brooklyn")</f>
        <v>Brooklyn</v>
      </c>
      <c r="E859" s="6" t="str">
        <f>IFERROR(__xludf.DUMMYFUNCTION("""COMPUTED_VALUE"""),"")</f>
        <v/>
      </c>
      <c r="F859" s="6" t="str">
        <f>IFERROR(__xludf.DUMMYFUNCTION("""COMPUTED_VALUE"""),"Baez")</f>
        <v>Baez</v>
      </c>
      <c r="G859" s="6" t="str">
        <f>IFERROR(__xludf.DUMMYFUNCTION("""COMPUTED_VALUE"""),"05/19/2021")</f>
        <v>05/19/2021</v>
      </c>
      <c r="H859" s="6" t="str">
        <f>IFERROR(__xludf.DUMMYFUNCTION("""COMPUTED_VALUE"""),"Self Identify")</f>
        <v>Self Identify</v>
      </c>
      <c r="I859" s="6" t="str">
        <f>IFERROR(__xludf.DUMMYFUNCTION("""COMPUTED_VALUE"""),"Wonder Lab")</f>
        <v>Wonder Lab</v>
      </c>
      <c r="J859" s="6" t="str">
        <f>IFERROR(__xludf.DUMMYFUNCTION("""COMPUTED_VALUE"""),"PK")</f>
        <v>PK</v>
      </c>
      <c r="K859" s="6" t="str">
        <f>IFERROR(__xludf.DUMMYFUNCTION("""COMPUTED_VALUE"""),"brooklyn.baez@alpha.school")</f>
        <v>brooklyn.baez@alpha.school</v>
      </c>
      <c r="L859" s="6" t="str">
        <f>IFERROR(__xludf.DUMMYFUNCTION("""COMPUTED_VALUE"""),"Alpha School Brownsville")</f>
        <v>Alpha School Brownsville</v>
      </c>
      <c r="M859" s="6" t="str">
        <f>IFERROR(__xludf.DUMMYFUNCTION("""COMPUTED_VALUE"""),"")</f>
        <v/>
      </c>
      <c r="N859" s="6" t="str">
        <f>IFERROR(__xludf.DUMMYFUNCTION("""COMPUTED_VALUE"""),"")</f>
        <v/>
      </c>
      <c r="O859" s="87" t="str">
        <f>IFERROR(__xludf.DUMMYFUNCTION("""COMPUTED_VALUE"""),"https://drive.google.com/drive/folders/10T2cTQHqEJZqE-st6uFKPoI?usp=share_link")</f>
        <v>https://drive.google.com/drive/folders/10T2cTQHqEJZqE-st6uFKPoI?usp=share_link</v>
      </c>
      <c r="P859" s="6" t="str">
        <f>IFERROR(__xludf.DUMMYFUNCTION("""COMPUTED_VALUE"""),"Brooklyn Baez")</f>
        <v>Brooklyn Baez</v>
      </c>
      <c r="Q859" s="6" t="str">
        <f>IFERROR(__xludf.DUMMYFUNCTION("""COMPUTED_VALUE"""),"WL")</f>
        <v>WL</v>
      </c>
      <c r="R859" s="6">
        <f>IFERROR(__xludf.DUMMYFUNCTION("""COMPUTED_VALUE"""),-1.0)</f>
        <v>-1</v>
      </c>
      <c r="S859" s="6" t="str">
        <f>IFERROR(__xludf.DUMMYFUNCTION("""COMPUTED_VALUE"""),"Patricia Kelley")</f>
        <v>Patricia Kelley</v>
      </c>
      <c r="T859" s="6" t="str">
        <f>IFERROR(__xludf.DUMMYFUNCTION("""COMPUTED_VALUE"""),"patricia.kelley@alpha.school")</f>
        <v>patricia.kelley@alpha.school</v>
      </c>
      <c r="U859" s="6" t="str">
        <f>IFERROR(__xludf.DUMMYFUNCTION("""COMPUTED_VALUE"""),"PK")</f>
        <v>PK</v>
      </c>
      <c r="V859" s="6" t="str">
        <f>IFERROR(__xludf.DUMMYFUNCTION("""COMPUTED_VALUE"""),"")</f>
        <v/>
      </c>
      <c r="W859" s="6" t="str">
        <f>IFERROR(__xludf.DUMMYFUNCTION("""COMPUTED_VALUE"""),"[]")</f>
        <v>[]</v>
      </c>
      <c r="X859" s="6" t="str">
        <f>IFERROR(__xludf.DUMMYFUNCTION("""COMPUTED_VALUE"""),"Enrolled")</f>
        <v>Enrolled</v>
      </c>
    </row>
    <row r="860">
      <c r="A860" s="6" t="str">
        <f>IFERROR(__xludf.DUMMYFUNCTION("""COMPUTED_VALUE"""),"003-4351")</f>
        <v>003-4351</v>
      </c>
      <c r="B860" s="6" t="str">
        <f>IFERROR(__xludf.DUMMYFUNCTION("""COMPUTED_VALUE"""),"3")</f>
        <v>3</v>
      </c>
      <c r="C860" s="6" t="str">
        <f>IFERROR(__xludf.DUMMYFUNCTION("""COMPUTED_VALUE"""),"4351")</f>
        <v>4351</v>
      </c>
      <c r="D860" s="6" t="str">
        <f>IFERROR(__xludf.DUMMYFUNCTION("""COMPUTED_VALUE"""),"Cristobal")</f>
        <v>Cristobal</v>
      </c>
      <c r="E860" s="6" t="str">
        <f>IFERROR(__xludf.DUMMYFUNCTION("""COMPUTED_VALUE"""),"Cristobal")</f>
        <v>Cristobal</v>
      </c>
      <c r="F860" s="6" t="str">
        <f>IFERROR(__xludf.DUMMYFUNCTION("""COMPUTED_VALUE"""),"Delgado")</f>
        <v>Delgado</v>
      </c>
      <c r="G860" s="6" t="str">
        <f>IFERROR(__xludf.DUMMYFUNCTION("""COMPUTED_VALUE"""),"09/11/2015")</f>
        <v>09/11/2015</v>
      </c>
      <c r="H860" s="6" t="str">
        <f>IFERROR(__xludf.DUMMYFUNCTION("""COMPUTED_VALUE"""),"male")</f>
        <v>male</v>
      </c>
      <c r="I860" s="6" t="str">
        <f>IFERROR(__xludf.DUMMYFUNCTION("""COMPUTED_VALUE"""),"Level 2")</f>
        <v>Level 2</v>
      </c>
      <c r="J860" s="6" t="str">
        <f>IFERROR(__xludf.DUMMYFUNCTION("""COMPUTED_VALUE"""),"4")</f>
        <v>4</v>
      </c>
      <c r="K860" s="6" t="str">
        <f>IFERROR(__xludf.DUMMYFUNCTION("""COMPUTED_VALUE"""),"cristobal.delgado@alpha.school")</f>
        <v>cristobal.delgado@alpha.school</v>
      </c>
      <c r="L860" s="6" t="str">
        <f>IFERROR(__xludf.DUMMYFUNCTION("""COMPUTED_VALUE"""),"Alpha School Brownsville")</f>
        <v>Alpha School Brownsville</v>
      </c>
      <c r="M860" s="6" t="str">
        <f>IFERROR(__xludf.DUMMYFUNCTION("""COMPUTED_VALUE"""),"")</f>
        <v/>
      </c>
      <c r="N860" s="6" t="str">
        <f>IFERROR(__xludf.DUMMYFUNCTION("""COMPUTED_VALUE"""),"")</f>
        <v/>
      </c>
      <c r="O860" s="87" t="str">
        <f>IFERROR(__xludf.DUMMYFUNCTION("""COMPUTED_VALUE"""),"https://drive.google.com/drive/folders/10T2cTQHqEJZqE-st6uFKPoI?usp=share_link")</f>
        <v>https://drive.google.com/drive/folders/10T2cTQHqEJZqE-st6uFKPoI?usp=share_link</v>
      </c>
      <c r="P860" s="6" t="str">
        <f>IFERROR(__xludf.DUMMYFUNCTION("""COMPUTED_VALUE"""),"Cristobal Delgado")</f>
        <v>Cristobal Delgado</v>
      </c>
      <c r="Q860" s="6" t="str">
        <f>IFERROR(__xludf.DUMMYFUNCTION("""COMPUTED_VALUE"""),"L2")</f>
        <v>L2</v>
      </c>
      <c r="R860" s="6">
        <f>IFERROR(__xludf.DUMMYFUNCTION("""COMPUTED_VALUE"""),2.0)</f>
        <v>2</v>
      </c>
      <c r="S860" s="6" t="str">
        <f>IFERROR(__xludf.DUMMYFUNCTION("""COMPUTED_VALUE"""),"Tyisha Brooks")</f>
        <v>Tyisha Brooks</v>
      </c>
      <c r="T860" s="6" t="str">
        <f>IFERROR(__xludf.DUMMYFUNCTION("""COMPUTED_VALUE"""),"tyisha.brooks@alpha.school")</f>
        <v>tyisha.brooks@alpha.school</v>
      </c>
      <c r="U860" s="6" t="str">
        <f>IFERROR(__xludf.DUMMYFUNCTION("""COMPUTED_VALUE"""),"4")</f>
        <v>4</v>
      </c>
      <c r="V860" s="6" t="str">
        <f>IFERROR(__xludf.DUMMYFUNCTION("""COMPUTED_VALUE"""),"")</f>
        <v/>
      </c>
      <c r="W860" s="6" t="str">
        <f>IFERROR(__xludf.DUMMYFUNCTION("""COMPUTED_VALUE"""),"[]")</f>
        <v>[]</v>
      </c>
      <c r="X860" s="6" t="str">
        <f>IFERROR(__xludf.DUMMYFUNCTION("""COMPUTED_VALUE"""),"Enrolled")</f>
        <v>Enrolled</v>
      </c>
    </row>
    <row r="861">
      <c r="A861" s="6" t="str">
        <f>IFERROR(__xludf.DUMMYFUNCTION("""COMPUTED_VALUE"""),"003-4808")</f>
        <v>003-4808</v>
      </c>
      <c r="B861" s="6" t="str">
        <f>IFERROR(__xludf.DUMMYFUNCTION("""COMPUTED_VALUE"""),"3")</f>
        <v>3</v>
      </c>
      <c r="C861" s="6" t="str">
        <f>IFERROR(__xludf.DUMMYFUNCTION("""COMPUTED_VALUE"""),"4808")</f>
        <v>4808</v>
      </c>
      <c r="D861" s="6" t="str">
        <f>IFERROR(__xludf.DUMMYFUNCTION("""COMPUTED_VALUE"""),"Thiago")</f>
        <v>Thiago</v>
      </c>
      <c r="E861" s="6" t="str">
        <f>IFERROR(__xludf.DUMMYFUNCTION("""COMPUTED_VALUE"""),"Thiago")</f>
        <v>Thiago</v>
      </c>
      <c r="F861" s="6" t="str">
        <f>IFERROR(__xludf.DUMMYFUNCTION("""COMPUTED_VALUE"""),"Rodriguez Penzo")</f>
        <v>Rodriguez Penzo</v>
      </c>
      <c r="G861" s="6" t="str">
        <f>IFERROR(__xludf.DUMMYFUNCTION("""COMPUTED_VALUE"""),"03/20/2021")</f>
        <v>03/20/2021</v>
      </c>
      <c r="H861" s="6" t="str">
        <f>IFERROR(__xludf.DUMMYFUNCTION("""COMPUTED_VALUE"""),"male")</f>
        <v>male</v>
      </c>
      <c r="I861" s="6" t="str">
        <f>IFERROR(__xludf.DUMMYFUNCTION("""COMPUTED_VALUE"""),"Wonder Lab")</f>
        <v>Wonder Lab</v>
      </c>
      <c r="J861" s="6" t="str">
        <f>IFERROR(__xludf.DUMMYFUNCTION("""COMPUTED_VALUE"""),"PK")</f>
        <v>PK</v>
      </c>
      <c r="K861" s="6" t="str">
        <f>IFERROR(__xludf.DUMMYFUNCTION("""COMPUTED_VALUE"""),"thiago.rodriguezpenzo@alpha.school")</f>
        <v>thiago.rodriguezpenzo@alpha.school</v>
      </c>
      <c r="L861" s="6" t="str">
        <f>IFERROR(__xludf.DUMMYFUNCTION("""COMPUTED_VALUE"""),"Alpha School Brownsville")</f>
        <v>Alpha School Brownsville</v>
      </c>
      <c r="M861" s="6" t="str">
        <f>IFERROR(__xludf.DUMMYFUNCTION("""COMPUTED_VALUE"""),"")</f>
        <v/>
      </c>
      <c r="N861" s="6" t="str">
        <f>IFERROR(__xludf.DUMMYFUNCTION("""COMPUTED_VALUE"""),"")</f>
        <v/>
      </c>
      <c r="O861" s="87" t="str">
        <f>IFERROR(__xludf.DUMMYFUNCTION("""COMPUTED_VALUE"""),"https://drive.google.com/drive/folders/10T2cTQHqEJZqE-st6uFKPoI?usp=share_link")</f>
        <v>https://drive.google.com/drive/folders/10T2cTQHqEJZqE-st6uFKPoI?usp=share_link</v>
      </c>
      <c r="P861" s="6" t="str">
        <f>IFERROR(__xludf.DUMMYFUNCTION("""COMPUTED_VALUE"""),"Thiago Rodriguez Penzo")</f>
        <v>Thiago Rodriguez Penzo</v>
      </c>
      <c r="Q861" s="6" t="str">
        <f>IFERROR(__xludf.DUMMYFUNCTION("""COMPUTED_VALUE"""),"WL")</f>
        <v>WL</v>
      </c>
      <c r="R861" s="6">
        <f>IFERROR(__xludf.DUMMYFUNCTION("""COMPUTED_VALUE"""),-1.0)</f>
        <v>-1</v>
      </c>
      <c r="S861" s="6" t="str">
        <f>IFERROR(__xludf.DUMMYFUNCTION("""COMPUTED_VALUE"""),"Patricia Kelley")</f>
        <v>Patricia Kelley</v>
      </c>
      <c r="T861" s="6" t="str">
        <f>IFERROR(__xludf.DUMMYFUNCTION("""COMPUTED_VALUE"""),"patricia.kelley@alpha.school")</f>
        <v>patricia.kelley@alpha.school</v>
      </c>
      <c r="U861" s="6" t="str">
        <f>IFERROR(__xludf.DUMMYFUNCTION("""COMPUTED_VALUE"""),"PK")</f>
        <v>PK</v>
      </c>
      <c r="V861" s="6" t="str">
        <f>IFERROR(__xludf.DUMMYFUNCTION("""COMPUTED_VALUE"""),"")</f>
        <v/>
      </c>
      <c r="W861" s="6" t="str">
        <f>IFERROR(__xludf.DUMMYFUNCTION("""COMPUTED_VALUE"""),"[]")</f>
        <v>[]</v>
      </c>
      <c r="X861" s="6" t="str">
        <f>IFERROR(__xludf.DUMMYFUNCTION("""COMPUTED_VALUE"""),"Enrolled")</f>
        <v>Enrolled</v>
      </c>
    </row>
    <row r="862">
      <c r="A862" s="6" t="str">
        <f>IFERROR(__xludf.DUMMYFUNCTION("""COMPUTED_VALUE"""),"005-0744")</f>
        <v>005-0744</v>
      </c>
      <c r="B862" s="6" t="str">
        <f>IFERROR(__xludf.DUMMYFUNCTION("""COMPUTED_VALUE"""),"5")</f>
        <v>5</v>
      </c>
      <c r="C862" s="6" t="str">
        <f>IFERROR(__xludf.DUMMYFUNCTION("""COMPUTED_VALUE"""),"0744")</f>
        <v>0744</v>
      </c>
      <c r="D862" s="6" t="str">
        <f>IFERROR(__xludf.DUMMYFUNCTION("""COMPUTED_VALUE"""),"Bennett")</f>
        <v>Bennett</v>
      </c>
      <c r="E862" s="6" t="str">
        <f>IFERROR(__xludf.DUMMYFUNCTION("""COMPUTED_VALUE"""),"Bennett")</f>
        <v>Bennett</v>
      </c>
      <c r="F862" s="6" t="str">
        <f>IFERROR(__xludf.DUMMYFUNCTION("""COMPUTED_VALUE"""),"Morris")</f>
        <v>Morris</v>
      </c>
      <c r="G862" s="6" t="str">
        <f>IFERROR(__xludf.DUMMYFUNCTION("""COMPUTED_VALUE"""),"07/08/2011")</f>
        <v>07/08/2011</v>
      </c>
      <c r="H862" s="6" t="str">
        <f>IFERROR(__xludf.DUMMYFUNCTION("""COMPUTED_VALUE"""),"male")</f>
        <v>male</v>
      </c>
      <c r="I862" s="6" t="str">
        <f>IFERROR(__xludf.DUMMYFUNCTION("""COMPUTED_VALUE"""),"Middle School")</f>
        <v>Middle School</v>
      </c>
      <c r="J862" s="6" t="str">
        <f>IFERROR(__xludf.DUMMYFUNCTION("""COMPUTED_VALUE"""),"8")</f>
        <v>8</v>
      </c>
      <c r="K862" s="6" t="str">
        <f>IFERROR(__xludf.DUMMYFUNCTION("""COMPUTED_VALUE"""),"bennett.morris@nextgenacademy.school")</f>
        <v>bennett.morris@nextgenacademy.school</v>
      </c>
      <c r="L862" s="6" t="str">
        <f>IFERROR(__xludf.DUMMYFUNCTION("""COMPUTED_VALUE"""),"NextGen Academy")</f>
        <v>NextGen Academy</v>
      </c>
      <c r="M862" s="6" t="str">
        <f>IFERROR(__xludf.DUMMYFUNCTION("""COMPUTED_VALUE"""),"")</f>
        <v/>
      </c>
      <c r="N862" s="6" t="str">
        <f>IFERROR(__xludf.DUMMYFUNCTION("""COMPUTED_VALUE"""),"")</f>
        <v/>
      </c>
      <c r="O862" s="87" t="str">
        <f>IFERROR(__xludf.DUMMYFUNCTION("""COMPUTED_VALUE"""),"https://drive.google.com/drive/folders/10T2cTQHqEJZqE-st6uFKPoI?usp=share_link")</f>
        <v>https://drive.google.com/drive/folders/10T2cTQHqEJZqE-st6uFKPoI?usp=share_link</v>
      </c>
      <c r="P862" s="6" t="str">
        <f>IFERROR(__xludf.DUMMYFUNCTION("""COMPUTED_VALUE"""),"Bennett Morris")</f>
        <v>Bennett Morris</v>
      </c>
      <c r="Q862" s="6" t="str">
        <f>IFERROR(__xludf.DUMMYFUNCTION("""COMPUTED_VALUE"""),"MS")</f>
        <v>MS</v>
      </c>
      <c r="R862" s="6">
        <f>IFERROR(__xludf.DUMMYFUNCTION("""COMPUTED_VALUE"""),0.0)</f>
        <v>0</v>
      </c>
      <c r="S862" s="6" t="str">
        <f>IFERROR(__xludf.DUMMYFUNCTION("""COMPUTED_VALUE"""),"Beau Sydes")</f>
        <v>Beau Sydes</v>
      </c>
      <c r="T862" s="6" t="str">
        <f>IFERROR(__xludf.DUMMYFUNCTION("""COMPUTED_VALUE"""),"beau.sydes@esports.school")</f>
        <v>beau.sydes@esports.school</v>
      </c>
      <c r="U862" s="6" t="str">
        <f>IFERROR(__xludf.DUMMYFUNCTION("""COMPUTED_VALUE"""),"8")</f>
        <v>8</v>
      </c>
      <c r="V862" s="6" t="str">
        <f>IFERROR(__xludf.DUMMYFUNCTION("""COMPUTED_VALUE"""),"English")</f>
        <v>English</v>
      </c>
      <c r="W862" s="6" t="str">
        <f>IFERROR(__xludf.DUMMYFUNCTION("""COMPUTED_VALUE"""),"[]")</f>
        <v>[]</v>
      </c>
      <c r="X862" s="6" t="str">
        <f>IFERROR(__xludf.DUMMYFUNCTION("""COMPUTED_VALUE"""),"Enrolled")</f>
        <v>Enrolled</v>
      </c>
    </row>
    <row r="863">
      <c r="A863" s="6" t="str">
        <f>IFERROR(__xludf.DUMMYFUNCTION("""COMPUTED_VALUE"""),"005-0755")</f>
        <v>005-0755</v>
      </c>
      <c r="B863" s="6" t="str">
        <f>IFERROR(__xludf.DUMMYFUNCTION("""COMPUTED_VALUE"""),"5")</f>
        <v>5</v>
      </c>
      <c r="C863" s="6" t="str">
        <f>IFERROR(__xludf.DUMMYFUNCTION("""COMPUTED_VALUE"""),"0755")</f>
        <v>0755</v>
      </c>
      <c r="D863" s="6" t="str">
        <f>IFERROR(__xludf.DUMMYFUNCTION("""COMPUTED_VALUE"""),"Felix")</f>
        <v>Felix</v>
      </c>
      <c r="E863" s="6" t="str">
        <f>IFERROR(__xludf.DUMMYFUNCTION("""COMPUTED_VALUE"""),"Felix")</f>
        <v>Felix</v>
      </c>
      <c r="F863" s="6" t="str">
        <f>IFERROR(__xludf.DUMMYFUNCTION("""COMPUTED_VALUE"""),"Cole")</f>
        <v>Cole</v>
      </c>
      <c r="G863" s="6" t="str">
        <f>IFERROR(__xludf.DUMMYFUNCTION("""COMPUTED_VALUE"""),"10/05/2012")</f>
        <v>10/05/2012</v>
      </c>
      <c r="H863" s="6" t="str">
        <f>IFERROR(__xludf.DUMMYFUNCTION("""COMPUTED_VALUE"""),"male")</f>
        <v>male</v>
      </c>
      <c r="I863" s="6" t="str">
        <f>IFERROR(__xludf.DUMMYFUNCTION("""COMPUTED_VALUE"""),"Middle School")</f>
        <v>Middle School</v>
      </c>
      <c r="J863" s="6" t="str">
        <f>IFERROR(__xludf.DUMMYFUNCTION("""COMPUTED_VALUE"""),"7")</f>
        <v>7</v>
      </c>
      <c r="K863" s="6" t="str">
        <f>IFERROR(__xludf.DUMMYFUNCTION("""COMPUTED_VALUE"""),"felix.cole@nextgenacademy.school")</f>
        <v>felix.cole@nextgenacademy.school</v>
      </c>
      <c r="L863" s="6" t="str">
        <f>IFERROR(__xludf.DUMMYFUNCTION("""COMPUTED_VALUE"""),"NextGen Academy")</f>
        <v>NextGen Academy</v>
      </c>
      <c r="M863" s="6" t="str">
        <f>IFERROR(__xludf.DUMMYFUNCTION("""COMPUTED_VALUE"""),"")</f>
        <v/>
      </c>
      <c r="N863" s="6" t="str">
        <f>IFERROR(__xludf.DUMMYFUNCTION("""COMPUTED_VALUE"""),"")</f>
        <v/>
      </c>
      <c r="O863" s="87" t="str">
        <f>IFERROR(__xludf.DUMMYFUNCTION("""COMPUTED_VALUE"""),"https://drive.google.com/drive/folders/10T2cTQHqEJZqE-st6uFKPoI?usp=share_link")</f>
        <v>https://drive.google.com/drive/folders/10T2cTQHqEJZqE-st6uFKPoI?usp=share_link</v>
      </c>
      <c r="P863" s="6" t="str">
        <f>IFERROR(__xludf.DUMMYFUNCTION("""COMPUTED_VALUE"""),"Felix Cole")</f>
        <v>Felix Cole</v>
      </c>
      <c r="Q863" s="6" t="str">
        <f>IFERROR(__xludf.DUMMYFUNCTION("""COMPUTED_VALUE"""),"MS")</f>
        <v>MS</v>
      </c>
      <c r="R863" s="6">
        <f>IFERROR(__xludf.DUMMYFUNCTION("""COMPUTED_VALUE"""),0.0)</f>
        <v>0</v>
      </c>
      <c r="S863" s="6" t="str">
        <f>IFERROR(__xludf.DUMMYFUNCTION("""COMPUTED_VALUE"""),"Beau Sydes")</f>
        <v>Beau Sydes</v>
      </c>
      <c r="T863" s="6" t="str">
        <f>IFERROR(__xludf.DUMMYFUNCTION("""COMPUTED_VALUE"""),"beau.sydes@esports.school")</f>
        <v>beau.sydes@esports.school</v>
      </c>
      <c r="U863" s="6" t="str">
        <f>IFERROR(__xludf.DUMMYFUNCTION("""COMPUTED_VALUE"""),"7")</f>
        <v>7</v>
      </c>
      <c r="V863" s="6" t="str">
        <f>IFERROR(__xludf.DUMMYFUNCTION("""COMPUTED_VALUE"""),"English")</f>
        <v>English</v>
      </c>
      <c r="W863" s="6" t="str">
        <f>IFERROR(__xludf.DUMMYFUNCTION("""COMPUTED_VALUE"""),"[]")</f>
        <v>[]</v>
      </c>
      <c r="X863" s="6" t="str">
        <f>IFERROR(__xludf.DUMMYFUNCTION("""COMPUTED_VALUE"""),"Enrolled")</f>
        <v>Enrolled</v>
      </c>
    </row>
    <row r="864">
      <c r="A864" s="6" t="str">
        <f>IFERROR(__xludf.DUMMYFUNCTION("""COMPUTED_VALUE"""),"005-0998")</f>
        <v>005-0998</v>
      </c>
      <c r="B864" s="6" t="str">
        <f>IFERROR(__xludf.DUMMYFUNCTION("""COMPUTED_VALUE"""),"5")</f>
        <v>5</v>
      </c>
      <c r="C864" s="6" t="str">
        <f>IFERROR(__xludf.DUMMYFUNCTION("""COMPUTED_VALUE"""),"0998")</f>
        <v>0998</v>
      </c>
      <c r="D864" s="6" t="str">
        <f>IFERROR(__xludf.DUMMYFUNCTION("""COMPUTED_VALUE"""),"Test")</f>
        <v>Test</v>
      </c>
      <c r="E864" s="6" t="str">
        <f>IFERROR(__xludf.DUMMYFUNCTION("""COMPUTED_VALUE"""),"")</f>
        <v/>
      </c>
      <c r="F864" s="6" t="str">
        <f>IFERROR(__xludf.DUMMYFUNCTION("""COMPUTED_VALUE"""),"Account2")</f>
        <v>Account2</v>
      </c>
      <c r="G864" s="6" t="str">
        <f>IFERROR(__xludf.DUMMYFUNCTION("""COMPUTED_VALUE"""),"01/01/2024")</f>
        <v>01/01/2024</v>
      </c>
      <c r="H864" s="6" t="str">
        <f>IFERROR(__xludf.DUMMYFUNCTION("""COMPUTED_VALUE"""),"M")</f>
        <v>M</v>
      </c>
      <c r="I864" s="6" t="str">
        <f>IFERROR(__xludf.DUMMYFUNCTION("""COMPUTED_VALUE"""),"Level 2")</f>
        <v>Level 2</v>
      </c>
      <c r="J864" s="6" t="str">
        <f>IFERROR(__xludf.DUMMYFUNCTION("""COMPUTED_VALUE"""),"5")</f>
        <v>5</v>
      </c>
      <c r="K864" s="6" t="str">
        <f>IFERROR(__xludf.DUMMYFUNCTION("""COMPUTED_VALUE"""),"test.account2@2hourlearning.com")</f>
        <v>test.account2@2hourlearning.com</v>
      </c>
      <c r="L864" s="6" t="str">
        <f>IFERROR(__xludf.DUMMYFUNCTION("""COMPUTED_VALUE"""),"NextGen Academy")</f>
        <v>NextGen Academy</v>
      </c>
      <c r="M864" s="6" t="str">
        <f>IFERROR(__xludf.DUMMYFUNCTION("""COMPUTED_VALUE"""),"Mock")</f>
        <v>Mock</v>
      </c>
      <c r="N864" s="6" t="str">
        <f>IFERROR(__xludf.DUMMYFUNCTION("""COMPUTED_VALUE"""),"")</f>
        <v/>
      </c>
      <c r="O864" s="87" t="str">
        <f>IFERROR(__xludf.DUMMYFUNCTION("""COMPUTED_VALUE"""),"https://drive.google.com/drive/folders/10T2cTQHqEJZqE-st6uFKPoI?usp=share_link")</f>
        <v>https://drive.google.com/drive/folders/10T2cTQHqEJZqE-st6uFKPoI?usp=share_link</v>
      </c>
      <c r="P864" s="6" t="str">
        <f>IFERROR(__xludf.DUMMYFUNCTION("""COMPUTED_VALUE"""),"Test Account2")</f>
        <v>Test Account2</v>
      </c>
      <c r="Q864" s="6" t="str">
        <f>IFERROR(__xludf.DUMMYFUNCTION("""COMPUTED_VALUE"""),"L2")</f>
        <v>L2</v>
      </c>
      <c r="R864" s="6">
        <f>IFERROR(__xludf.DUMMYFUNCTION("""COMPUTED_VALUE"""),2.0)</f>
        <v>2</v>
      </c>
      <c r="S864" s="6" t="str">
        <f>IFERROR(__xludf.DUMMYFUNCTION("""COMPUTED_VALUE""")," ")</f>
        <v> </v>
      </c>
      <c r="T864" s="6" t="str">
        <f>IFERROR(__xludf.DUMMYFUNCTION("""COMPUTED_VALUE"""),"")</f>
        <v/>
      </c>
      <c r="U864" s="6" t="str">
        <f>IFERROR(__xludf.DUMMYFUNCTION("""COMPUTED_VALUE"""),"5")</f>
        <v>5</v>
      </c>
      <c r="V864" s="6" t="str">
        <f>IFERROR(__xludf.DUMMYFUNCTION("""COMPUTED_VALUE"""),"English")</f>
        <v>English</v>
      </c>
      <c r="W864" s="6" t="str">
        <f>IFERROR(__xludf.DUMMYFUNCTION("""COMPUTED_VALUE"""),"[]")</f>
        <v>[]</v>
      </c>
      <c r="X864" s="6" t="str">
        <f>IFERROR(__xludf.DUMMYFUNCTION("""COMPUTED_VALUE"""),"Enrolled")</f>
        <v>Enrolled</v>
      </c>
    </row>
    <row r="865">
      <c r="A865" s="6" t="str">
        <f>IFERROR(__xludf.DUMMYFUNCTION("""COMPUTED_VALUE"""),"005-10645")</f>
        <v>005-10645</v>
      </c>
      <c r="B865" s="6" t="str">
        <f>IFERROR(__xludf.DUMMYFUNCTION("""COMPUTED_VALUE"""),"5")</f>
        <v>5</v>
      </c>
      <c r="C865" s="6" t="str">
        <f>IFERROR(__xludf.DUMMYFUNCTION("""COMPUTED_VALUE"""),"10645")</f>
        <v>10645</v>
      </c>
      <c r="D865" s="6" t="str">
        <f>IFERROR(__xludf.DUMMYFUNCTION("""COMPUTED_VALUE"""),"Rowan")</f>
        <v>Rowan</v>
      </c>
      <c r="E865" s="6" t="str">
        <f>IFERROR(__xludf.DUMMYFUNCTION("""COMPUTED_VALUE"""),"Rowan")</f>
        <v>Rowan</v>
      </c>
      <c r="F865" s="6" t="str">
        <f>IFERROR(__xludf.DUMMYFUNCTION("""COMPUTED_VALUE"""),"Wyatt")</f>
        <v>Wyatt</v>
      </c>
      <c r="G865" s="6" t="str">
        <f>IFERROR(__xludf.DUMMYFUNCTION("""COMPUTED_VALUE"""),"03/15/2015")</f>
        <v>03/15/2015</v>
      </c>
      <c r="H865" s="6" t="str">
        <f>IFERROR(__xludf.DUMMYFUNCTION("""COMPUTED_VALUE"""),"male")</f>
        <v>male</v>
      </c>
      <c r="I865" s="6" t="str">
        <f>IFERROR(__xludf.DUMMYFUNCTION("""COMPUTED_VALUE"""),"Level 2")</f>
        <v>Level 2</v>
      </c>
      <c r="J865" s="6" t="str">
        <f>IFERROR(__xludf.DUMMYFUNCTION("""COMPUTED_VALUE"""),"5")</f>
        <v>5</v>
      </c>
      <c r="K865" s="6" t="str">
        <f>IFERROR(__xludf.DUMMYFUNCTION("""COMPUTED_VALUE"""),"rowan.wyatt@nextgenacademy.school")</f>
        <v>rowan.wyatt@nextgenacademy.school</v>
      </c>
      <c r="L865" s="6" t="str">
        <f>IFERROR(__xludf.DUMMYFUNCTION("""COMPUTED_VALUE"""),"NextGen Academy")</f>
        <v>NextGen Academy</v>
      </c>
      <c r="M865" s="6" t="str">
        <f>IFERROR(__xludf.DUMMYFUNCTION("""COMPUTED_VALUE"""),"")</f>
        <v/>
      </c>
      <c r="N865" s="6" t="str">
        <f>IFERROR(__xludf.DUMMYFUNCTION("""COMPUTED_VALUE"""),"")</f>
        <v/>
      </c>
      <c r="O865" s="87" t="str">
        <f>IFERROR(__xludf.DUMMYFUNCTION("""COMPUTED_VALUE"""),"https://drive.google.com/drive/folders/10T2cTQHqEJZqE-st6uFKPoI?usp=share_link")</f>
        <v>https://drive.google.com/drive/folders/10T2cTQHqEJZqE-st6uFKPoI?usp=share_link</v>
      </c>
      <c r="P865" s="6" t="str">
        <f>IFERROR(__xludf.DUMMYFUNCTION("""COMPUTED_VALUE"""),"Rowan Wyatt")</f>
        <v>Rowan Wyatt</v>
      </c>
      <c r="Q865" s="6" t="str">
        <f>IFERROR(__xludf.DUMMYFUNCTION("""COMPUTED_VALUE"""),"L2")</f>
        <v>L2</v>
      </c>
      <c r="R865" s="6">
        <f>IFERROR(__xludf.DUMMYFUNCTION("""COMPUTED_VALUE"""),2.0)</f>
        <v>2</v>
      </c>
      <c r="S865" s="6" t="str">
        <f>IFERROR(__xludf.DUMMYFUNCTION("""COMPUTED_VALUE"""),"Nick Boyer")</f>
        <v>Nick Boyer</v>
      </c>
      <c r="T865" s="6" t="str">
        <f>IFERROR(__xludf.DUMMYFUNCTION("""COMPUTED_VALUE"""),"nick.boyer@esports.school")</f>
        <v>nick.boyer@esports.school</v>
      </c>
      <c r="U865" s="6" t="str">
        <f>IFERROR(__xludf.DUMMYFUNCTION("""COMPUTED_VALUE"""),"5")</f>
        <v>5</v>
      </c>
      <c r="V865" s="6" t="str">
        <f>IFERROR(__xludf.DUMMYFUNCTION("""COMPUTED_VALUE"""),"")</f>
        <v/>
      </c>
      <c r="W865" s="6" t="str">
        <f>IFERROR(__xludf.DUMMYFUNCTION("""COMPUTED_VALUE"""),"[]")</f>
        <v>[]</v>
      </c>
      <c r="X865" s="6" t="str">
        <f>IFERROR(__xludf.DUMMYFUNCTION("""COMPUTED_VALUE"""),"Enrolled")</f>
        <v>Enrolled</v>
      </c>
    </row>
    <row r="866">
      <c r="A866" s="6" t="str">
        <f>IFERROR(__xludf.DUMMYFUNCTION("""COMPUTED_VALUE"""),"005-10982")</f>
        <v>005-10982</v>
      </c>
      <c r="B866" s="6" t="str">
        <f>IFERROR(__xludf.DUMMYFUNCTION("""COMPUTED_VALUE"""),"5")</f>
        <v>5</v>
      </c>
      <c r="C866" s="6" t="str">
        <f>IFERROR(__xludf.DUMMYFUNCTION("""COMPUTED_VALUE"""),"10982")</f>
        <v>10982</v>
      </c>
      <c r="D866" s="6" t="str">
        <f>IFERROR(__xludf.DUMMYFUNCTION("""COMPUTED_VALUE"""),"Connor")</f>
        <v>Connor</v>
      </c>
      <c r="E866" s="6" t="str">
        <f>IFERROR(__xludf.DUMMYFUNCTION("""COMPUTED_VALUE"""),"")</f>
        <v/>
      </c>
      <c r="F866" s="6" t="str">
        <f>IFERROR(__xludf.DUMMYFUNCTION("""COMPUTED_VALUE"""),"Moubry")</f>
        <v>Moubry</v>
      </c>
      <c r="G866" s="6" t="str">
        <f>IFERROR(__xludf.DUMMYFUNCTION("""COMPUTED_VALUE"""),"09/29/2015")</f>
        <v>09/29/2015</v>
      </c>
      <c r="H866" s="6" t="str">
        <f>IFERROR(__xludf.DUMMYFUNCTION("""COMPUTED_VALUE"""),"male")</f>
        <v>male</v>
      </c>
      <c r="I866" s="6" t="str">
        <f>IFERROR(__xludf.DUMMYFUNCTION("""COMPUTED_VALUE"""),"Level 2")</f>
        <v>Level 2</v>
      </c>
      <c r="J866" s="6" t="str">
        <f>IFERROR(__xludf.DUMMYFUNCTION("""COMPUTED_VALUE"""),"4")</f>
        <v>4</v>
      </c>
      <c r="K866" s="6" t="str">
        <f>IFERROR(__xludf.DUMMYFUNCTION("""COMPUTED_VALUE"""),"connor.moubry@nextgenacademy.school")</f>
        <v>connor.moubry@nextgenacademy.school</v>
      </c>
      <c r="L866" s="6" t="str">
        <f>IFERROR(__xludf.DUMMYFUNCTION("""COMPUTED_VALUE"""),"NextGen Academy")</f>
        <v>NextGen Academy</v>
      </c>
      <c r="M866" s="6" t="str">
        <f>IFERROR(__xludf.DUMMYFUNCTION("""COMPUTED_VALUE"""),"")</f>
        <v/>
      </c>
      <c r="N866" s="6" t="str">
        <f>IFERROR(__xludf.DUMMYFUNCTION("""COMPUTED_VALUE"""),"")</f>
        <v/>
      </c>
      <c r="O866" s="87" t="str">
        <f>IFERROR(__xludf.DUMMYFUNCTION("""COMPUTED_VALUE"""),"https://drive.google.com/drive/folders/10T2cTQHqEJZqE-st6uFKPoI?usp=share_link")</f>
        <v>https://drive.google.com/drive/folders/10T2cTQHqEJZqE-st6uFKPoI?usp=share_link</v>
      </c>
      <c r="P866" s="6" t="str">
        <f>IFERROR(__xludf.DUMMYFUNCTION("""COMPUTED_VALUE"""),"Connor Moubry")</f>
        <v>Connor Moubry</v>
      </c>
      <c r="Q866" s="6" t="str">
        <f>IFERROR(__xludf.DUMMYFUNCTION("""COMPUTED_VALUE"""),"L2")</f>
        <v>L2</v>
      </c>
      <c r="R866" s="6">
        <f>IFERROR(__xludf.DUMMYFUNCTION("""COMPUTED_VALUE"""),2.0)</f>
        <v>2</v>
      </c>
      <c r="S866" s="6" t="str">
        <f>IFERROR(__xludf.DUMMYFUNCTION("""COMPUTED_VALUE"""),"Nick Boyer")</f>
        <v>Nick Boyer</v>
      </c>
      <c r="T866" s="6" t="str">
        <f>IFERROR(__xludf.DUMMYFUNCTION("""COMPUTED_VALUE"""),"nick.boyer@esports.school")</f>
        <v>nick.boyer@esports.school</v>
      </c>
      <c r="U866" s="6" t="str">
        <f>IFERROR(__xludf.DUMMYFUNCTION("""COMPUTED_VALUE"""),"4")</f>
        <v>4</v>
      </c>
      <c r="V866" s="6" t="str">
        <f>IFERROR(__xludf.DUMMYFUNCTION("""COMPUTED_VALUE"""),"")</f>
        <v/>
      </c>
      <c r="W866" s="6" t="str">
        <f>IFERROR(__xludf.DUMMYFUNCTION("""COMPUTED_VALUE"""),"[]")</f>
        <v>[]</v>
      </c>
      <c r="X866" s="6" t="str">
        <f>IFERROR(__xludf.DUMMYFUNCTION("""COMPUTED_VALUE"""),"Enrolled")</f>
        <v>Enrolled</v>
      </c>
    </row>
    <row r="867">
      <c r="A867" s="6" t="str">
        <f>IFERROR(__xludf.DUMMYFUNCTION("""COMPUTED_VALUE"""),"005-2657")</f>
        <v>005-2657</v>
      </c>
      <c r="B867" s="6" t="str">
        <f>IFERROR(__xludf.DUMMYFUNCTION("""COMPUTED_VALUE"""),"5")</f>
        <v>5</v>
      </c>
      <c r="C867" s="6" t="str">
        <f>IFERROR(__xludf.DUMMYFUNCTION("""COMPUTED_VALUE"""),"2657")</f>
        <v>2657</v>
      </c>
      <c r="D867" s="6" t="str">
        <f>IFERROR(__xludf.DUMMYFUNCTION("""COMPUTED_VALUE"""),"Lorenzo")</f>
        <v>Lorenzo</v>
      </c>
      <c r="E867" s="6" t="str">
        <f>IFERROR(__xludf.DUMMYFUNCTION("""COMPUTED_VALUE"""),"Lorenzo")</f>
        <v>Lorenzo</v>
      </c>
      <c r="F867" s="6" t="str">
        <f>IFERROR(__xludf.DUMMYFUNCTION("""COMPUTED_VALUE"""),"Mooso")</f>
        <v>Mooso</v>
      </c>
      <c r="G867" s="6" t="str">
        <f>IFERROR(__xludf.DUMMYFUNCTION("""COMPUTED_VALUE"""),"08/12/2015")</f>
        <v>08/12/2015</v>
      </c>
      <c r="H867" s="6" t="str">
        <f>IFERROR(__xludf.DUMMYFUNCTION("""COMPUTED_VALUE"""),"male")</f>
        <v>male</v>
      </c>
      <c r="I867" s="6" t="str">
        <f>IFERROR(__xludf.DUMMYFUNCTION("""COMPUTED_VALUE"""),"Level 2")</f>
        <v>Level 2</v>
      </c>
      <c r="J867" s="6" t="str">
        <f>IFERROR(__xludf.DUMMYFUNCTION("""COMPUTED_VALUE"""),"5")</f>
        <v>5</v>
      </c>
      <c r="K867" s="6" t="str">
        <f>IFERROR(__xludf.DUMMYFUNCTION("""COMPUTED_VALUE"""),"lorenzo.mooso@nextgenacademy.school")</f>
        <v>lorenzo.mooso@nextgenacademy.school</v>
      </c>
      <c r="L867" s="6" t="str">
        <f>IFERROR(__xludf.DUMMYFUNCTION("""COMPUTED_VALUE"""),"NextGen Academy")</f>
        <v>NextGen Academy</v>
      </c>
      <c r="M867" s="6" t="str">
        <f>IFERROR(__xludf.DUMMYFUNCTION("""COMPUTED_VALUE"""),"")</f>
        <v/>
      </c>
      <c r="N867" s="6" t="str">
        <f>IFERROR(__xludf.DUMMYFUNCTION("""COMPUTED_VALUE"""),"")</f>
        <v/>
      </c>
      <c r="O867" s="87" t="str">
        <f>IFERROR(__xludf.DUMMYFUNCTION("""COMPUTED_VALUE"""),"https://drive.google.com/drive/folders/10T2cTQHqEJZqE-st6uFKPoI?usp=share_link")</f>
        <v>https://drive.google.com/drive/folders/10T2cTQHqEJZqE-st6uFKPoI?usp=share_link</v>
      </c>
      <c r="P867" s="6" t="str">
        <f>IFERROR(__xludf.DUMMYFUNCTION("""COMPUTED_VALUE"""),"Lorenzo Mooso")</f>
        <v>Lorenzo Mooso</v>
      </c>
      <c r="Q867" s="6" t="str">
        <f>IFERROR(__xludf.DUMMYFUNCTION("""COMPUTED_VALUE"""),"L2")</f>
        <v>L2</v>
      </c>
      <c r="R867" s="6">
        <f>IFERROR(__xludf.DUMMYFUNCTION("""COMPUTED_VALUE"""),2.0)</f>
        <v>2</v>
      </c>
      <c r="S867" s="6" t="str">
        <f>IFERROR(__xludf.DUMMYFUNCTION("""COMPUTED_VALUE"""),"Nick Boyer")</f>
        <v>Nick Boyer</v>
      </c>
      <c r="T867" s="6" t="str">
        <f>IFERROR(__xludf.DUMMYFUNCTION("""COMPUTED_VALUE"""),"nick.boyer@esports.school")</f>
        <v>nick.boyer@esports.school</v>
      </c>
      <c r="U867" s="6" t="str">
        <f>IFERROR(__xludf.DUMMYFUNCTION("""COMPUTED_VALUE"""),"5")</f>
        <v>5</v>
      </c>
      <c r="V867" s="6" t="str">
        <f>IFERROR(__xludf.DUMMYFUNCTION("""COMPUTED_VALUE"""),"")</f>
        <v/>
      </c>
      <c r="W867" s="6" t="str">
        <f>IFERROR(__xludf.DUMMYFUNCTION("""COMPUTED_VALUE"""),"[]")</f>
        <v>[]</v>
      </c>
      <c r="X867" s="6" t="str">
        <f>IFERROR(__xludf.DUMMYFUNCTION("""COMPUTED_VALUE"""),"Enrolled")</f>
        <v>Enrolled</v>
      </c>
    </row>
    <row r="868">
      <c r="A868" s="6" t="str">
        <f>IFERROR(__xludf.DUMMYFUNCTION("""COMPUTED_VALUE"""),"005-2848")</f>
        <v>005-2848</v>
      </c>
      <c r="B868" s="6" t="str">
        <f>IFERROR(__xludf.DUMMYFUNCTION("""COMPUTED_VALUE"""),"5")</f>
        <v>5</v>
      </c>
      <c r="C868" s="6" t="str">
        <f>IFERROR(__xludf.DUMMYFUNCTION("""COMPUTED_VALUE"""),"2848")</f>
        <v>2848</v>
      </c>
      <c r="D868" s="6" t="str">
        <f>IFERROR(__xludf.DUMMYFUNCTION("""COMPUTED_VALUE"""),"Ansel")</f>
        <v>Ansel</v>
      </c>
      <c r="E868" s="6" t="str">
        <f>IFERROR(__xludf.DUMMYFUNCTION("""COMPUTED_VALUE"""),"Ansel")</f>
        <v>Ansel</v>
      </c>
      <c r="F868" s="6" t="str">
        <f>IFERROR(__xludf.DUMMYFUNCTION("""COMPUTED_VALUE"""),"Coffey")</f>
        <v>Coffey</v>
      </c>
      <c r="G868" s="6" t="str">
        <f>IFERROR(__xludf.DUMMYFUNCTION("""COMPUTED_VALUE"""),"10/14/2014")</f>
        <v>10/14/2014</v>
      </c>
      <c r="H868" s="6" t="str">
        <f>IFERROR(__xludf.DUMMYFUNCTION("""COMPUTED_VALUE"""),"male")</f>
        <v>male</v>
      </c>
      <c r="I868" s="6" t="str">
        <f>IFERROR(__xludf.DUMMYFUNCTION("""COMPUTED_VALUE"""),"Level 2")</f>
        <v>Level 2</v>
      </c>
      <c r="J868" s="6" t="str">
        <f>IFERROR(__xludf.DUMMYFUNCTION("""COMPUTED_VALUE"""),"5")</f>
        <v>5</v>
      </c>
      <c r="K868" s="6" t="str">
        <f>IFERROR(__xludf.DUMMYFUNCTION("""COMPUTED_VALUE"""),"ansel.coffey@nextgenacademy.school")</f>
        <v>ansel.coffey@nextgenacademy.school</v>
      </c>
      <c r="L868" s="6" t="str">
        <f>IFERROR(__xludf.DUMMYFUNCTION("""COMPUTED_VALUE"""),"NextGen Academy")</f>
        <v>NextGen Academy</v>
      </c>
      <c r="M868" s="6" t="str">
        <f>IFERROR(__xludf.DUMMYFUNCTION("""COMPUTED_VALUE"""),"")</f>
        <v/>
      </c>
      <c r="N868" s="6" t="str">
        <f>IFERROR(__xludf.DUMMYFUNCTION("""COMPUTED_VALUE"""),"")</f>
        <v/>
      </c>
      <c r="O868" s="87" t="str">
        <f>IFERROR(__xludf.DUMMYFUNCTION("""COMPUTED_VALUE"""),"https://drive.google.com/drive/folders/10T2cTQHqEJZqE-st6uFKPoI?usp=share_link")</f>
        <v>https://drive.google.com/drive/folders/10T2cTQHqEJZqE-st6uFKPoI?usp=share_link</v>
      </c>
      <c r="P868" s="6" t="str">
        <f>IFERROR(__xludf.DUMMYFUNCTION("""COMPUTED_VALUE"""),"Ansel Coffey")</f>
        <v>Ansel Coffey</v>
      </c>
      <c r="Q868" s="6" t="str">
        <f>IFERROR(__xludf.DUMMYFUNCTION("""COMPUTED_VALUE"""),"L2")</f>
        <v>L2</v>
      </c>
      <c r="R868" s="6">
        <f>IFERROR(__xludf.DUMMYFUNCTION("""COMPUTED_VALUE"""),2.0)</f>
        <v>2</v>
      </c>
      <c r="S868" s="6" t="str">
        <f>IFERROR(__xludf.DUMMYFUNCTION("""COMPUTED_VALUE"""),"Nick Boyer")</f>
        <v>Nick Boyer</v>
      </c>
      <c r="T868" s="6" t="str">
        <f>IFERROR(__xludf.DUMMYFUNCTION("""COMPUTED_VALUE"""),"nick.boyer@esports.school")</f>
        <v>nick.boyer@esports.school</v>
      </c>
      <c r="U868" s="6" t="str">
        <f>IFERROR(__xludf.DUMMYFUNCTION("""COMPUTED_VALUE"""),"5")</f>
        <v>5</v>
      </c>
      <c r="V868" s="6" t="str">
        <f>IFERROR(__xludf.DUMMYFUNCTION("""COMPUTED_VALUE"""),"")</f>
        <v/>
      </c>
      <c r="W868" s="6" t="str">
        <f>IFERROR(__xludf.DUMMYFUNCTION("""COMPUTED_VALUE"""),"[]")</f>
        <v>[]</v>
      </c>
      <c r="X868" s="6" t="str">
        <f>IFERROR(__xludf.DUMMYFUNCTION("""COMPUTED_VALUE"""),"Enrolled")</f>
        <v>Enrolled</v>
      </c>
    </row>
    <row r="869">
      <c r="A869" s="6" t="str">
        <f>IFERROR(__xludf.DUMMYFUNCTION("""COMPUTED_VALUE"""),"005-3265")</f>
        <v>005-3265</v>
      </c>
      <c r="B869" s="6" t="str">
        <f>IFERROR(__xludf.DUMMYFUNCTION("""COMPUTED_VALUE"""),"5")</f>
        <v>5</v>
      </c>
      <c r="C869" s="6" t="str">
        <f>IFERROR(__xludf.DUMMYFUNCTION("""COMPUTED_VALUE"""),"3265")</f>
        <v>3265</v>
      </c>
      <c r="D869" s="6" t="str">
        <f>IFERROR(__xludf.DUMMYFUNCTION("""COMPUTED_VALUE"""),"Jon_Ash")</f>
        <v>Jon_Ash</v>
      </c>
      <c r="E869" s="6" t="str">
        <f>IFERROR(__xludf.DUMMYFUNCTION("""COMPUTED_VALUE"""),"")</f>
        <v/>
      </c>
      <c r="F869" s="6" t="str">
        <f>IFERROR(__xludf.DUMMYFUNCTION("""COMPUTED_VALUE"""),"Victorian Jr")</f>
        <v>Victorian Jr</v>
      </c>
      <c r="G869" s="6" t="str">
        <f>IFERROR(__xludf.DUMMYFUNCTION("""COMPUTED_VALUE"""),"05/13/2003")</f>
        <v>05/13/2003</v>
      </c>
      <c r="H869" s="6" t="str">
        <f>IFERROR(__xludf.DUMMYFUNCTION("""COMPUTED_VALUE"""),"Other")</f>
        <v>Other</v>
      </c>
      <c r="I869" s="6" t="str">
        <f>IFERROR(__xludf.DUMMYFUNCTION("""COMPUTED_VALUE"""),"Learning Lab")</f>
        <v>Learning Lab</v>
      </c>
      <c r="J869" s="6" t="str">
        <f>IFERROR(__xludf.DUMMYFUNCTION("""COMPUTED_VALUE"""),"1")</f>
        <v>1</v>
      </c>
      <c r="K869" s="6" t="str">
        <f>IFERROR(__xludf.DUMMYFUNCTION("""COMPUTED_VALUE"""),"victorianjrfam@gmail.com")</f>
        <v>victorianjrfam@gmail.com</v>
      </c>
      <c r="L869" s="6" t="str">
        <f>IFERROR(__xludf.DUMMYFUNCTION("""COMPUTED_VALUE"""),"NextGen Academy")</f>
        <v>NextGen Academy</v>
      </c>
      <c r="M869" s="6" t="str">
        <f>IFERROR(__xludf.DUMMYFUNCTION("""COMPUTED_VALUE"""),"Test")</f>
        <v>Test</v>
      </c>
      <c r="N869" s="6" t="str">
        <f>IFERROR(__xludf.DUMMYFUNCTION("""COMPUTED_VALUE"""),"")</f>
        <v/>
      </c>
      <c r="O869" s="87" t="str">
        <f>IFERROR(__xludf.DUMMYFUNCTION("""COMPUTED_VALUE"""),"https://drive.google.com/drive/folders/10T2cTQHqEJZqE-st6uFKPoI?usp=share_link")</f>
        <v>https://drive.google.com/drive/folders/10T2cTQHqEJZqE-st6uFKPoI?usp=share_link</v>
      </c>
      <c r="P869" s="6" t="str">
        <f>IFERROR(__xludf.DUMMYFUNCTION("""COMPUTED_VALUE"""),"Jon_Ash Victorian Jr")</f>
        <v>Jon_Ash Victorian Jr</v>
      </c>
      <c r="Q869" s="6" t="str">
        <f>IFERROR(__xludf.DUMMYFUNCTION("""COMPUTED_VALUE"""),"LL")</f>
        <v>LL</v>
      </c>
      <c r="R869" s="6">
        <f>IFERROR(__xludf.DUMMYFUNCTION("""COMPUTED_VALUE"""),0.0)</f>
        <v>0</v>
      </c>
      <c r="S869" s="6" t="str">
        <f>IFERROR(__xludf.DUMMYFUNCTION("""COMPUTED_VALUE""")," ")</f>
        <v> </v>
      </c>
      <c r="T869" s="6" t="str">
        <f>IFERROR(__xludf.DUMMYFUNCTION("""COMPUTED_VALUE"""),"")</f>
        <v/>
      </c>
      <c r="U869" s="6" t="str">
        <f>IFERROR(__xludf.DUMMYFUNCTION("""COMPUTED_VALUE"""),"1")</f>
        <v>1</v>
      </c>
      <c r="V869" s="6" t="str">
        <f>IFERROR(__xludf.DUMMYFUNCTION("""COMPUTED_VALUE"""),"English")</f>
        <v>English</v>
      </c>
      <c r="W869" s="6" t="str">
        <f>IFERROR(__xludf.DUMMYFUNCTION("""COMPUTED_VALUE"""),"[]")</f>
        <v>[]</v>
      </c>
      <c r="X869" s="6" t="str">
        <f>IFERROR(__xludf.DUMMYFUNCTION("""COMPUTED_VALUE"""),"Enrolled")</f>
        <v>Enrolled</v>
      </c>
    </row>
    <row r="870">
      <c r="A870" s="6" t="str">
        <f>IFERROR(__xludf.DUMMYFUNCTION("""COMPUTED_VALUE"""),"005-3336")</f>
        <v>005-3336</v>
      </c>
      <c r="B870" s="6" t="str">
        <f>IFERROR(__xludf.DUMMYFUNCTION("""COMPUTED_VALUE"""),"5")</f>
        <v>5</v>
      </c>
      <c r="C870" s="6" t="str">
        <f>IFERROR(__xludf.DUMMYFUNCTION("""COMPUTED_VALUE"""),"3336")</f>
        <v>3336</v>
      </c>
      <c r="D870" s="6" t="str">
        <f>IFERROR(__xludf.DUMMYFUNCTION("""COMPUTED_VALUE"""),"Jacob")</f>
        <v>Jacob</v>
      </c>
      <c r="E870" s="6" t="str">
        <f>IFERROR(__xludf.DUMMYFUNCTION("""COMPUTED_VALUE"""),"")</f>
        <v/>
      </c>
      <c r="F870" s="6" t="str">
        <f>IFERROR(__xludf.DUMMYFUNCTION("""COMPUTED_VALUE"""),"Mooso")</f>
        <v>Mooso</v>
      </c>
      <c r="G870" s="6" t="str">
        <f>IFERROR(__xludf.DUMMYFUNCTION("""COMPUTED_VALUE"""),"05/17/2017")</f>
        <v>05/17/2017</v>
      </c>
      <c r="H870" s="6" t="str">
        <f>IFERROR(__xludf.DUMMYFUNCTION("""COMPUTED_VALUE"""),"male")</f>
        <v>male</v>
      </c>
      <c r="I870" s="6" t="str">
        <f>IFERROR(__xludf.DUMMYFUNCTION("""COMPUTED_VALUE"""),"Level 1")</f>
        <v>Level 1</v>
      </c>
      <c r="J870" s="6" t="str">
        <f>IFERROR(__xludf.DUMMYFUNCTION("""COMPUTED_VALUE"""),"3")</f>
        <v>3</v>
      </c>
      <c r="K870" s="6" t="str">
        <f>IFERROR(__xludf.DUMMYFUNCTION("""COMPUTED_VALUE"""),"jacob.mooso@nextgenacademy.school")</f>
        <v>jacob.mooso@nextgenacademy.school</v>
      </c>
      <c r="L870" s="6" t="str">
        <f>IFERROR(__xludf.DUMMYFUNCTION("""COMPUTED_VALUE"""),"NextGen Academy")</f>
        <v>NextGen Academy</v>
      </c>
      <c r="M870" s="6" t="str">
        <f>IFERROR(__xludf.DUMMYFUNCTION("""COMPUTED_VALUE"""),"")</f>
        <v/>
      </c>
      <c r="N870" s="6" t="str">
        <f>IFERROR(__xludf.DUMMYFUNCTION("""COMPUTED_VALUE"""),"")</f>
        <v/>
      </c>
      <c r="O870" s="87" t="str">
        <f>IFERROR(__xludf.DUMMYFUNCTION("""COMPUTED_VALUE"""),"https://drive.google.com/drive/folders/10T2cTQHqEJZqE-st6uFKPoI?usp=share_link")</f>
        <v>https://drive.google.com/drive/folders/10T2cTQHqEJZqE-st6uFKPoI?usp=share_link</v>
      </c>
      <c r="P870" s="6" t="str">
        <f>IFERROR(__xludf.DUMMYFUNCTION("""COMPUTED_VALUE"""),"Jacob Mooso")</f>
        <v>Jacob Mooso</v>
      </c>
      <c r="Q870" s="6" t="str">
        <f>IFERROR(__xludf.DUMMYFUNCTION("""COMPUTED_VALUE"""),"L1")</f>
        <v>L1</v>
      </c>
      <c r="R870" s="6">
        <f>IFERROR(__xludf.DUMMYFUNCTION("""COMPUTED_VALUE"""),1.0)</f>
        <v>1</v>
      </c>
      <c r="S870" s="6" t="str">
        <f>IFERROR(__xludf.DUMMYFUNCTION("""COMPUTED_VALUE"""),"Nick Boyer")</f>
        <v>Nick Boyer</v>
      </c>
      <c r="T870" s="6" t="str">
        <f>IFERROR(__xludf.DUMMYFUNCTION("""COMPUTED_VALUE"""),"nick.boyer@esports.school")</f>
        <v>nick.boyer@esports.school</v>
      </c>
      <c r="U870" s="6" t="str">
        <f>IFERROR(__xludf.DUMMYFUNCTION("""COMPUTED_VALUE"""),"3")</f>
        <v>3</v>
      </c>
      <c r="V870" s="6" t="str">
        <f>IFERROR(__xludf.DUMMYFUNCTION("""COMPUTED_VALUE"""),"")</f>
        <v/>
      </c>
      <c r="W870" s="6" t="str">
        <f>IFERROR(__xludf.DUMMYFUNCTION("""COMPUTED_VALUE"""),"[]")</f>
        <v>[]</v>
      </c>
      <c r="X870" s="6" t="str">
        <f>IFERROR(__xludf.DUMMYFUNCTION("""COMPUTED_VALUE"""),"Enrolled")</f>
        <v>Enrolled</v>
      </c>
    </row>
    <row r="871">
      <c r="A871" s="6" t="str">
        <f>IFERROR(__xludf.DUMMYFUNCTION("""COMPUTED_VALUE"""),"005-6875")</f>
        <v>005-6875</v>
      </c>
      <c r="B871" s="6" t="str">
        <f>IFERROR(__xludf.DUMMYFUNCTION("""COMPUTED_VALUE"""),"5")</f>
        <v>5</v>
      </c>
      <c r="C871" s="6" t="str">
        <f>IFERROR(__xludf.DUMMYFUNCTION("""COMPUTED_VALUE"""),"6875")</f>
        <v>6875</v>
      </c>
      <c r="D871" s="6" t="str">
        <f>IFERROR(__xludf.DUMMYFUNCTION("""COMPUTED_VALUE"""),"Ziggy")</f>
        <v>Ziggy</v>
      </c>
      <c r="E871" s="6" t="str">
        <f>IFERROR(__xludf.DUMMYFUNCTION("""COMPUTED_VALUE"""),"")</f>
        <v/>
      </c>
      <c r="F871" s="6" t="str">
        <f>IFERROR(__xludf.DUMMYFUNCTION("""COMPUTED_VALUE"""),"Marley")</f>
        <v>Marley</v>
      </c>
      <c r="G871" s="6" t="str">
        <f>IFERROR(__xludf.DUMMYFUNCTION("""COMPUTED_VALUE"""),"09/03/2025")</f>
        <v>09/03/2025</v>
      </c>
      <c r="H871" s="6" t="str">
        <f>IFERROR(__xludf.DUMMYFUNCTION("""COMPUTED_VALUE"""),"Self Identify")</f>
        <v>Self Identify</v>
      </c>
      <c r="I871" s="6" t="str">
        <f>IFERROR(__xludf.DUMMYFUNCTION("""COMPUTED_VALUE"""),"Level 2")</f>
        <v>Level 2</v>
      </c>
      <c r="J871" s="6" t="str">
        <f>IFERROR(__xludf.DUMMYFUNCTION("""COMPUTED_VALUE"""),"4")</f>
        <v>4</v>
      </c>
      <c r="K871" s="6" t="str">
        <f>IFERROR(__xludf.DUMMYFUNCTION("""COMPUTED_VALUE"""),"ziggy.marley@nextgenacademy.school")</f>
        <v>ziggy.marley@nextgenacademy.school</v>
      </c>
      <c r="L871" s="6" t="str">
        <f>IFERROR(__xludf.DUMMYFUNCTION("""COMPUTED_VALUE"""),"NextGen Academy")</f>
        <v>NextGen Academy</v>
      </c>
      <c r="M871" s="6" t="str">
        <f>IFERROR(__xludf.DUMMYFUNCTION("""COMPUTED_VALUE"""),"")</f>
        <v/>
      </c>
      <c r="N871" s="6" t="str">
        <f>IFERROR(__xludf.DUMMYFUNCTION("""COMPUTED_VALUE"""),"")</f>
        <v/>
      </c>
      <c r="O871" s="87" t="str">
        <f>IFERROR(__xludf.DUMMYFUNCTION("""COMPUTED_VALUE"""),"https://drive.google.com/drive/folders/10T2cTQHqEJZqE-st6uFKPoI?usp=share_link")</f>
        <v>https://drive.google.com/drive/folders/10T2cTQHqEJZqE-st6uFKPoI?usp=share_link</v>
      </c>
      <c r="P871" s="6" t="str">
        <f>IFERROR(__xludf.DUMMYFUNCTION("""COMPUTED_VALUE"""),"Ziggy Marley")</f>
        <v>Ziggy Marley</v>
      </c>
      <c r="Q871" s="6" t="str">
        <f>IFERROR(__xludf.DUMMYFUNCTION("""COMPUTED_VALUE"""),"L2")</f>
        <v>L2</v>
      </c>
      <c r="R871" s="6">
        <f>IFERROR(__xludf.DUMMYFUNCTION("""COMPUTED_VALUE"""),2.0)</f>
        <v>2</v>
      </c>
      <c r="S871" s="6" t="str">
        <f>IFERROR(__xludf.DUMMYFUNCTION("""COMPUTED_VALUE""")," ")</f>
        <v> </v>
      </c>
      <c r="T871" s="6" t="str">
        <f>IFERROR(__xludf.DUMMYFUNCTION("""COMPUTED_VALUE"""),"")</f>
        <v/>
      </c>
      <c r="U871" s="6" t="str">
        <f>IFERROR(__xludf.DUMMYFUNCTION("""COMPUTED_VALUE"""),"4")</f>
        <v>4</v>
      </c>
      <c r="V871" s="6" t="str">
        <f>IFERROR(__xludf.DUMMYFUNCTION("""COMPUTED_VALUE"""),"")</f>
        <v/>
      </c>
      <c r="W871" s="6" t="str">
        <f>IFERROR(__xludf.DUMMYFUNCTION("""COMPUTED_VALUE"""),"[]")</f>
        <v>[]</v>
      </c>
      <c r="X871" s="6" t="str">
        <f>IFERROR(__xludf.DUMMYFUNCTION("""COMPUTED_VALUE"""),"Enrolled")</f>
        <v>Enrolled</v>
      </c>
    </row>
    <row r="872">
      <c r="A872" s="6" t="str">
        <f>IFERROR(__xludf.DUMMYFUNCTION("""COMPUTED_VALUE"""),"005-7057")</f>
        <v>005-7057</v>
      </c>
      <c r="B872" s="6" t="str">
        <f>IFERROR(__xludf.DUMMYFUNCTION("""COMPUTED_VALUE"""),"5")</f>
        <v>5</v>
      </c>
      <c r="C872" s="6" t="str">
        <f>IFERROR(__xludf.DUMMYFUNCTION("""COMPUTED_VALUE"""),"7057")</f>
        <v>7057</v>
      </c>
      <c r="D872" s="6" t="str">
        <f>IFERROR(__xludf.DUMMYFUNCTION("""COMPUTED_VALUE"""),"Neo")</f>
        <v>Neo</v>
      </c>
      <c r="E872" s="6" t="str">
        <f>IFERROR(__xludf.DUMMYFUNCTION("""COMPUTED_VALUE"""),"")</f>
        <v/>
      </c>
      <c r="F872" s="6" t="str">
        <f>IFERROR(__xludf.DUMMYFUNCTION("""COMPUTED_VALUE"""),"Injam")</f>
        <v>Injam</v>
      </c>
      <c r="G872" s="6" t="str">
        <f>IFERROR(__xludf.DUMMYFUNCTION("""COMPUTED_VALUE"""),"04/20/2018")</f>
        <v>04/20/2018</v>
      </c>
      <c r="H872" s="6" t="str">
        <f>IFERROR(__xludf.DUMMYFUNCTION("""COMPUTED_VALUE"""),"male")</f>
        <v>male</v>
      </c>
      <c r="I872" s="6" t="str">
        <f>IFERROR(__xludf.DUMMYFUNCTION("""COMPUTED_VALUE"""),"Level 1")</f>
        <v>Level 1</v>
      </c>
      <c r="J872" s="6" t="str">
        <f>IFERROR(__xludf.DUMMYFUNCTION("""COMPUTED_VALUE"""),"2")</f>
        <v>2</v>
      </c>
      <c r="K872" s="6" t="str">
        <f>IFERROR(__xludf.DUMMYFUNCTION("""COMPUTED_VALUE"""),"neo.injam@nextgenacademy.school")</f>
        <v>neo.injam@nextgenacademy.school</v>
      </c>
      <c r="L872" s="6" t="str">
        <f>IFERROR(__xludf.DUMMYFUNCTION("""COMPUTED_VALUE"""),"NextGen Academy")</f>
        <v>NextGen Academy</v>
      </c>
      <c r="M872" s="6" t="str">
        <f>IFERROR(__xludf.DUMMYFUNCTION("""COMPUTED_VALUE"""),"")</f>
        <v/>
      </c>
      <c r="N872" s="6" t="str">
        <f>IFERROR(__xludf.DUMMYFUNCTION("""COMPUTED_VALUE"""),"")</f>
        <v/>
      </c>
      <c r="O872" s="87" t="str">
        <f>IFERROR(__xludf.DUMMYFUNCTION("""COMPUTED_VALUE"""),"https://drive.google.com/drive/folders/10T2cTQHqEJZqE-st6uFKPoI?usp=share_link")</f>
        <v>https://drive.google.com/drive/folders/10T2cTQHqEJZqE-st6uFKPoI?usp=share_link</v>
      </c>
      <c r="P872" s="6" t="str">
        <f>IFERROR(__xludf.DUMMYFUNCTION("""COMPUTED_VALUE"""),"Neo Injam")</f>
        <v>Neo Injam</v>
      </c>
      <c r="Q872" s="6" t="str">
        <f>IFERROR(__xludf.DUMMYFUNCTION("""COMPUTED_VALUE"""),"L1")</f>
        <v>L1</v>
      </c>
      <c r="R872" s="6">
        <f>IFERROR(__xludf.DUMMYFUNCTION("""COMPUTED_VALUE"""),1.0)</f>
        <v>1</v>
      </c>
      <c r="S872" s="6" t="str">
        <f>IFERROR(__xludf.DUMMYFUNCTION("""COMPUTED_VALUE"""),"Nick Boyer")</f>
        <v>Nick Boyer</v>
      </c>
      <c r="T872" s="6" t="str">
        <f>IFERROR(__xludf.DUMMYFUNCTION("""COMPUTED_VALUE"""),"nick.boyer@esports.school")</f>
        <v>nick.boyer@esports.school</v>
      </c>
      <c r="U872" s="6" t="str">
        <f>IFERROR(__xludf.DUMMYFUNCTION("""COMPUTED_VALUE"""),"2")</f>
        <v>2</v>
      </c>
      <c r="V872" s="6" t="str">
        <f>IFERROR(__xludf.DUMMYFUNCTION("""COMPUTED_VALUE"""),"")</f>
        <v/>
      </c>
      <c r="W872" s="6" t="str">
        <f>IFERROR(__xludf.DUMMYFUNCTION("""COMPUTED_VALUE"""),"[]")</f>
        <v>[]</v>
      </c>
      <c r="X872" s="6" t="str">
        <f>IFERROR(__xludf.DUMMYFUNCTION("""COMPUTED_VALUE"""),"Enrolled")</f>
        <v>Enrolled</v>
      </c>
    </row>
    <row r="873">
      <c r="A873" s="6" t="str">
        <f>IFERROR(__xludf.DUMMYFUNCTION("""COMPUTED_VALUE"""),"005-8871")</f>
        <v>005-8871</v>
      </c>
      <c r="B873" s="6" t="str">
        <f>IFERROR(__xludf.DUMMYFUNCTION("""COMPUTED_VALUE"""),"5")</f>
        <v>5</v>
      </c>
      <c r="C873" s="6" t="str">
        <f>IFERROR(__xludf.DUMMYFUNCTION("""COMPUTED_VALUE"""),"8871")</f>
        <v>8871</v>
      </c>
      <c r="D873" s="6" t="str">
        <f>IFERROR(__xludf.DUMMYFUNCTION("""COMPUTED_VALUE"""),"Mox")</f>
        <v>Mox</v>
      </c>
      <c r="E873" s="6" t="str">
        <f>IFERROR(__xludf.DUMMYFUNCTION("""COMPUTED_VALUE"""),"")</f>
        <v/>
      </c>
      <c r="F873" s="6" t="str">
        <f>IFERROR(__xludf.DUMMYFUNCTION("""COMPUTED_VALUE"""),"McCuistion")</f>
        <v>McCuistion</v>
      </c>
      <c r="G873" s="6" t="str">
        <f>IFERROR(__xludf.DUMMYFUNCTION("""COMPUTED_VALUE"""),"02/23/2015")</f>
        <v>02/23/2015</v>
      </c>
      <c r="H873" s="6" t="str">
        <f>IFERROR(__xludf.DUMMYFUNCTION("""COMPUTED_VALUE"""),"male")</f>
        <v>male</v>
      </c>
      <c r="I873" s="6" t="str">
        <f>IFERROR(__xludf.DUMMYFUNCTION("""COMPUTED_VALUE"""),"Level 2")</f>
        <v>Level 2</v>
      </c>
      <c r="J873" s="6" t="str">
        <f>IFERROR(__xludf.DUMMYFUNCTION("""COMPUTED_VALUE"""),"4")</f>
        <v>4</v>
      </c>
      <c r="K873" s="6" t="str">
        <f>IFERROR(__xludf.DUMMYFUNCTION("""COMPUTED_VALUE"""),"mox.mccuistion@nextgenacademy.school")</f>
        <v>mox.mccuistion@nextgenacademy.school</v>
      </c>
      <c r="L873" s="6" t="str">
        <f>IFERROR(__xludf.DUMMYFUNCTION("""COMPUTED_VALUE"""),"NextGen Academy")</f>
        <v>NextGen Academy</v>
      </c>
      <c r="M873" s="6" t="str">
        <f>IFERROR(__xludf.DUMMYFUNCTION("""COMPUTED_VALUE"""),"")</f>
        <v/>
      </c>
      <c r="N873" s="6" t="str">
        <f>IFERROR(__xludf.DUMMYFUNCTION("""COMPUTED_VALUE"""),"")</f>
        <v/>
      </c>
      <c r="O873" s="87" t="str">
        <f>IFERROR(__xludf.DUMMYFUNCTION("""COMPUTED_VALUE"""),"https://drive.google.com/drive/folders/10T2cTQHqEJZqE-st6uFKPoI?usp=share_link")</f>
        <v>https://drive.google.com/drive/folders/10T2cTQHqEJZqE-st6uFKPoI?usp=share_link</v>
      </c>
      <c r="P873" s="6" t="str">
        <f>IFERROR(__xludf.DUMMYFUNCTION("""COMPUTED_VALUE"""),"Mox McCuistion")</f>
        <v>Mox McCuistion</v>
      </c>
      <c r="Q873" s="6" t="str">
        <f>IFERROR(__xludf.DUMMYFUNCTION("""COMPUTED_VALUE"""),"L2")</f>
        <v>L2</v>
      </c>
      <c r="R873" s="6">
        <f>IFERROR(__xludf.DUMMYFUNCTION("""COMPUTED_VALUE"""),2.0)</f>
        <v>2</v>
      </c>
      <c r="S873" s="6" t="str">
        <f>IFERROR(__xludf.DUMMYFUNCTION("""COMPUTED_VALUE"""),"Nick Boyer")</f>
        <v>Nick Boyer</v>
      </c>
      <c r="T873" s="6" t="str">
        <f>IFERROR(__xludf.DUMMYFUNCTION("""COMPUTED_VALUE"""),"nick.boyer@esports.school")</f>
        <v>nick.boyer@esports.school</v>
      </c>
      <c r="U873" s="6" t="str">
        <f>IFERROR(__xludf.DUMMYFUNCTION("""COMPUTED_VALUE"""),"4")</f>
        <v>4</v>
      </c>
      <c r="V873" s="6" t="str">
        <f>IFERROR(__xludf.DUMMYFUNCTION("""COMPUTED_VALUE"""),"")</f>
        <v/>
      </c>
      <c r="W873" s="6" t="str">
        <f>IFERROR(__xludf.DUMMYFUNCTION("""COMPUTED_VALUE"""),"[]")</f>
        <v>[]</v>
      </c>
      <c r="X873" s="6" t="str">
        <f>IFERROR(__xludf.DUMMYFUNCTION("""COMPUTED_VALUE"""),"Enrolled")</f>
        <v>Enrolled</v>
      </c>
    </row>
    <row r="874">
      <c r="A874" s="6" t="str">
        <f>IFERROR(__xludf.DUMMYFUNCTION("""COMPUTED_VALUE"""),"005-8918")</f>
        <v>005-8918</v>
      </c>
      <c r="B874" s="6" t="str">
        <f>IFERROR(__xludf.DUMMYFUNCTION("""COMPUTED_VALUE"""),"5")</f>
        <v>5</v>
      </c>
      <c r="C874" s="6" t="str">
        <f>IFERROR(__xludf.DUMMYFUNCTION("""COMPUTED_VALUE"""),"8918")</f>
        <v>8918</v>
      </c>
      <c r="D874" s="6" t="str">
        <f>IFERROR(__xludf.DUMMYFUNCTION("""COMPUTED_VALUE"""),"Jax")</f>
        <v>Jax</v>
      </c>
      <c r="E874" s="6" t="str">
        <f>IFERROR(__xludf.DUMMYFUNCTION("""COMPUTED_VALUE"""),"Jax")</f>
        <v>Jax</v>
      </c>
      <c r="F874" s="6" t="str">
        <f>IFERROR(__xludf.DUMMYFUNCTION("""COMPUTED_VALUE"""),"McCuistion")</f>
        <v>McCuistion</v>
      </c>
      <c r="G874" s="6" t="str">
        <f>IFERROR(__xludf.DUMMYFUNCTION("""COMPUTED_VALUE"""),"01/18/2018")</f>
        <v>01/18/2018</v>
      </c>
      <c r="H874" s="6" t="str">
        <f>IFERROR(__xludf.DUMMYFUNCTION("""COMPUTED_VALUE"""),"male")</f>
        <v>male</v>
      </c>
      <c r="I874" s="6" t="str">
        <f>IFERROR(__xludf.DUMMYFUNCTION("""COMPUTED_VALUE"""),"Level 1")</f>
        <v>Level 1</v>
      </c>
      <c r="J874" s="6" t="str">
        <f>IFERROR(__xludf.DUMMYFUNCTION("""COMPUTED_VALUE"""),"2")</f>
        <v>2</v>
      </c>
      <c r="K874" s="6" t="str">
        <f>IFERROR(__xludf.DUMMYFUNCTION("""COMPUTED_VALUE"""),"jax.mccuistion@nextgenacademy.school")</f>
        <v>jax.mccuistion@nextgenacademy.school</v>
      </c>
      <c r="L874" s="6" t="str">
        <f>IFERROR(__xludf.DUMMYFUNCTION("""COMPUTED_VALUE"""),"NextGen Academy")</f>
        <v>NextGen Academy</v>
      </c>
      <c r="M874" s="6" t="str">
        <f>IFERROR(__xludf.DUMMYFUNCTION("""COMPUTED_VALUE"""),"")</f>
        <v/>
      </c>
      <c r="N874" s="6" t="str">
        <f>IFERROR(__xludf.DUMMYFUNCTION("""COMPUTED_VALUE"""),"")</f>
        <v/>
      </c>
      <c r="O874" s="87" t="str">
        <f>IFERROR(__xludf.DUMMYFUNCTION("""COMPUTED_VALUE"""),"https://drive.google.com/drive/folders/10T2cTQHqEJZqE-st6uFKPoI?usp=share_link")</f>
        <v>https://drive.google.com/drive/folders/10T2cTQHqEJZqE-st6uFKPoI?usp=share_link</v>
      </c>
      <c r="P874" s="6" t="str">
        <f>IFERROR(__xludf.DUMMYFUNCTION("""COMPUTED_VALUE"""),"Jax McCuistion")</f>
        <v>Jax McCuistion</v>
      </c>
      <c r="Q874" s="6" t="str">
        <f>IFERROR(__xludf.DUMMYFUNCTION("""COMPUTED_VALUE"""),"L1")</f>
        <v>L1</v>
      </c>
      <c r="R874" s="6">
        <f>IFERROR(__xludf.DUMMYFUNCTION("""COMPUTED_VALUE"""),1.0)</f>
        <v>1</v>
      </c>
      <c r="S874" s="6" t="str">
        <f>IFERROR(__xludf.DUMMYFUNCTION("""COMPUTED_VALUE"""),"Nick Boyer")</f>
        <v>Nick Boyer</v>
      </c>
      <c r="T874" s="6" t="str">
        <f>IFERROR(__xludf.DUMMYFUNCTION("""COMPUTED_VALUE"""),"nick.boyer@esports.school")</f>
        <v>nick.boyer@esports.school</v>
      </c>
      <c r="U874" s="6" t="str">
        <f>IFERROR(__xludf.DUMMYFUNCTION("""COMPUTED_VALUE"""),"2")</f>
        <v>2</v>
      </c>
      <c r="V874" s="6" t="str">
        <f>IFERROR(__xludf.DUMMYFUNCTION("""COMPUTED_VALUE"""),"")</f>
        <v/>
      </c>
      <c r="W874" s="6" t="str">
        <f>IFERROR(__xludf.DUMMYFUNCTION("""COMPUTED_VALUE"""),"[]")</f>
        <v>[]</v>
      </c>
      <c r="X874" s="6" t="str">
        <f>IFERROR(__xludf.DUMMYFUNCTION("""COMPUTED_VALUE"""),"Enrolled")</f>
        <v>Enrolled</v>
      </c>
    </row>
    <row r="875">
      <c r="A875" s="6" t="str">
        <f>IFERROR(__xludf.DUMMYFUNCTION("""COMPUTED_VALUE"""),"005-9001")</f>
        <v>005-9001</v>
      </c>
      <c r="B875" s="6" t="str">
        <f>IFERROR(__xludf.DUMMYFUNCTION("""COMPUTED_VALUE"""),"5")</f>
        <v>5</v>
      </c>
      <c r="C875" s="6" t="str">
        <f>IFERROR(__xludf.DUMMYFUNCTION("""COMPUTED_VALUE"""),"9001")</f>
        <v>9001</v>
      </c>
      <c r="D875" s="6" t="str">
        <f>IFERROR(__xludf.DUMMYFUNCTION("""COMPUTED_VALUE"""),"test")</f>
        <v>test</v>
      </c>
      <c r="E875" s="6" t="str">
        <f>IFERROR(__xludf.DUMMYFUNCTION("""COMPUTED_VALUE"""),"")</f>
        <v/>
      </c>
      <c r="F875" s="6" t="str">
        <f>IFERROR(__xludf.DUMMYFUNCTION("""COMPUTED_VALUE"""),"l2 student1")</f>
        <v>l2 student1</v>
      </c>
      <c r="G875" s="6" t="str">
        <f>IFERROR(__xludf.DUMMYFUNCTION("""COMPUTED_VALUE"""),"12/01/2016")</f>
        <v>12/01/2016</v>
      </c>
      <c r="H875" s="6" t="str">
        <f>IFERROR(__xludf.DUMMYFUNCTION("""COMPUTED_VALUE"""),"M")</f>
        <v>M</v>
      </c>
      <c r="I875" s="6" t="str">
        <f>IFERROR(__xludf.DUMMYFUNCTION("""COMPUTED_VALUE"""),"Middle School")</f>
        <v>Middle School</v>
      </c>
      <c r="J875" s="6" t="str">
        <f>IFERROR(__xludf.DUMMYFUNCTION("""COMPUTED_VALUE"""),"6")</f>
        <v>6</v>
      </c>
      <c r="K875" s="6" t="str">
        <f>IFERROR(__xludf.DUMMYFUNCTION("""COMPUTED_VALUE"""),"test.l2student1@esports.school")</f>
        <v>test.l2student1@esports.school</v>
      </c>
      <c r="L875" s="6" t="str">
        <f>IFERROR(__xludf.DUMMYFUNCTION("""COMPUTED_VALUE"""),"NextGen Academy")</f>
        <v>NextGen Academy</v>
      </c>
      <c r="M875" s="6" t="str">
        <f>IFERROR(__xludf.DUMMYFUNCTION("""COMPUTED_VALUE"""),"Mock")</f>
        <v>Mock</v>
      </c>
      <c r="N875" s="6" t="str">
        <f>IFERROR(__xludf.DUMMYFUNCTION("""COMPUTED_VALUE"""),"")</f>
        <v/>
      </c>
      <c r="O875" s="87" t="str">
        <f>IFERROR(__xludf.DUMMYFUNCTION("""COMPUTED_VALUE"""),"https://drive.google.com/drive/folders/10T2cTQHqEJZqE-st6uFKPoI?usp=share_link")</f>
        <v>https://drive.google.com/drive/folders/10T2cTQHqEJZqE-st6uFKPoI?usp=share_link</v>
      </c>
      <c r="P875" s="6" t="str">
        <f>IFERROR(__xludf.DUMMYFUNCTION("""COMPUTED_VALUE"""),"test l2 student1")</f>
        <v>test l2 student1</v>
      </c>
      <c r="Q875" s="6" t="str">
        <f>IFERROR(__xludf.DUMMYFUNCTION("""COMPUTED_VALUE"""),"MS")</f>
        <v>MS</v>
      </c>
      <c r="R875" s="6">
        <f>IFERROR(__xludf.DUMMYFUNCTION("""COMPUTED_VALUE"""),0.0)</f>
        <v>0</v>
      </c>
      <c r="S875" s="6" t="str">
        <f>IFERROR(__xludf.DUMMYFUNCTION("""COMPUTED_VALUE""")," ")</f>
        <v> </v>
      </c>
      <c r="T875" s="6" t="str">
        <f>IFERROR(__xludf.DUMMYFUNCTION("""COMPUTED_VALUE"""),"")</f>
        <v/>
      </c>
      <c r="U875" s="6" t="str">
        <f>IFERROR(__xludf.DUMMYFUNCTION("""COMPUTED_VALUE"""),"6")</f>
        <v>6</v>
      </c>
      <c r="V875" s="6" t="str">
        <f>IFERROR(__xludf.DUMMYFUNCTION("""COMPUTED_VALUE"""),"")</f>
        <v/>
      </c>
      <c r="W875" s="6" t="str">
        <f>IFERROR(__xludf.DUMMYFUNCTION("""COMPUTED_VALUE"""),"[]")</f>
        <v>[]</v>
      </c>
      <c r="X875" s="6" t="str">
        <f>IFERROR(__xludf.DUMMYFUNCTION("""COMPUTED_VALUE"""),"Enrolled")</f>
        <v>Enrolled</v>
      </c>
    </row>
    <row r="876">
      <c r="A876" s="6" t="str">
        <f>IFERROR(__xludf.DUMMYFUNCTION("""COMPUTED_VALUE"""),"005-9002")</f>
        <v>005-9002</v>
      </c>
      <c r="B876" s="6" t="str">
        <f>IFERROR(__xludf.DUMMYFUNCTION("""COMPUTED_VALUE"""),"5")</f>
        <v>5</v>
      </c>
      <c r="C876" s="6" t="str">
        <f>IFERROR(__xludf.DUMMYFUNCTION("""COMPUTED_VALUE"""),"9002")</f>
        <v>9002</v>
      </c>
      <c r="D876" s="6" t="str">
        <f>IFERROR(__xludf.DUMMYFUNCTION("""COMPUTED_VALUE"""),"test")</f>
        <v>test</v>
      </c>
      <c r="E876" s="6" t="str">
        <f>IFERROR(__xludf.DUMMYFUNCTION("""COMPUTED_VALUE"""),"")</f>
        <v/>
      </c>
      <c r="F876" s="6" t="str">
        <f>IFERROR(__xludf.DUMMYFUNCTION("""COMPUTED_VALUE"""),"l3 student1")</f>
        <v>l3 student1</v>
      </c>
      <c r="G876" s="6" t="str">
        <f>IFERROR(__xludf.DUMMYFUNCTION("""COMPUTED_VALUE"""),"12/01/2013")</f>
        <v>12/01/2013</v>
      </c>
      <c r="H876" s="6" t="str">
        <f>IFERROR(__xludf.DUMMYFUNCTION("""COMPUTED_VALUE"""),"F")</f>
        <v>F</v>
      </c>
      <c r="I876" s="6" t="str">
        <f>IFERROR(__xludf.DUMMYFUNCTION("""COMPUTED_VALUE"""),"Middle School")</f>
        <v>Middle School</v>
      </c>
      <c r="J876" s="6" t="str">
        <f>IFERROR(__xludf.DUMMYFUNCTION("""COMPUTED_VALUE"""),"8")</f>
        <v>8</v>
      </c>
      <c r="K876" s="6" t="str">
        <f>IFERROR(__xludf.DUMMYFUNCTION("""COMPUTED_VALUE"""),"test.l3student1@esports.school")</f>
        <v>test.l3student1@esports.school</v>
      </c>
      <c r="L876" s="6" t="str">
        <f>IFERROR(__xludf.DUMMYFUNCTION("""COMPUTED_VALUE"""),"NextGen Academy")</f>
        <v>NextGen Academy</v>
      </c>
      <c r="M876" s="6" t="str">
        <f>IFERROR(__xludf.DUMMYFUNCTION("""COMPUTED_VALUE"""),"Mock")</f>
        <v>Mock</v>
      </c>
      <c r="N876" s="6" t="str">
        <f>IFERROR(__xludf.DUMMYFUNCTION("""COMPUTED_VALUE"""),"")</f>
        <v/>
      </c>
      <c r="O876" s="87" t="str">
        <f>IFERROR(__xludf.DUMMYFUNCTION("""COMPUTED_VALUE"""),"https://drive.google.com/drive/folders/10T2cTQHqEJZqE-st6uFKPoI?usp=share_link")</f>
        <v>https://drive.google.com/drive/folders/10T2cTQHqEJZqE-st6uFKPoI?usp=share_link</v>
      </c>
      <c r="P876" s="6" t="str">
        <f>IFERROR(__xludf.DUMMYFUNCTION("""COMPUTED_VALUE"""),"test l3 student1")</f>
        <v>test l3 student1</v>
      </c>
      <c r="Q876" s="6" t="str">
        <f>IFERROR(__xludf.DUMMYFUNCTION("""COMPUTED_VALUE"""),"MS")</f>
        <v>MS</v>
      </c>
      <c r="R876" s="6">
        <f>IFERROR(__xludf.DUMMYFUNCTION("""COMPUTED_VALUE"""),0.0)</f>
        <v>0</v>
      </c>
      <c r="S876" s="6" t="str">
        <f>IFERROR(__xludf.DUMMYFUNCTION("""COMPUTED_VALUE""")," ")</f>
        <v> </v>
      </c>
      <c r="T876" s="6" t="str">
        <f>IFERROR(__xludf.DUMMYFUNCTION("""COMPUTED_VALUE"""),"")</f>
        <v/>
      </c>
      <c r="U876" s="6" t="str">
        <f>IFERROR(__xludf.DUMMYFUNCTION("""COMPUTED_VALUE"""),"8")</f>
        <v>8</v>
      </c>
      <c r="V876" s="6" t="str">
        <f>IFERROR(__xludf.DUMMYFUNCTION("""COMPUTED_VALUE"""),"")</f>
        <v/>
      </c>
      <c r="W876" s="6" t="str">
        <f>IFERROR(__xludf.DUMMYFUNCTION("""COMPUTED_VALUE"""),"[]")</f>
        <v>[]</v>
      </c>
      <c r="X876" s="6" t="str">
        <f>IFERROR(__xludf.DUMMYFUNCTION("""COMPUTED_VALUE"""),"Enrolled")</f>
        <v>Enrolled</v>
      </c>
    </row>
    <row r="877">
      <c r="A877" s="6" t="str">
        <f>IFERROR(__xludf.DUMMYFUNCTION("""COMPUTED_VALUE"""),"009-1000")</f>
        <v>009-1000</v>
      </c>
      <c r="B877" s="6" t="str">
        <f>IFERROR(__xludf.DUMMYFUNCTION("""COMPUTED_VALUE"""),"9")</f>
        <v>9</v>
      </c>
      <c r="C877" s="6" t="str">
        <f>IFERROR(__xludf.DUMMYFUNCTION("""COMPUTED_VALUE"""),"1000")</f>
        <v>1000</v>
      </c>
      <c r="D877" s="6" t="str">
        <f>IFERROR(__xludf.DUMMYFUNCTION("""COMPUTED_VALUE"""),"Valeriia")</f>
        <v>Valeriia</v>
      </c>
      <c r="E877" s="6" t="str">
        <f>IFERROR(__xludf.DUMMYFUNCTION("""COMPUTED_VALUE"""),"")</f>
        <v/>
      </c>
      <c r="F877" s="6" t="str">
        <f>IFERROR(__xludf.DUMMYFUNCTION("""COMPUTED_VALUE"""),"Lysytsia")</f>
        <v>Lysytsia</v>
      </c>
      <c r="G877" s="6" t="str">
        <f>IFERROR(__xludf.DUMMYFUNCTION("""COMPUTED_VALUE"""),"01/01/2010")</f>
        <v>01/01/2010</v>
      </c>
      <c r="H877" s="6" t="str">
        <f>IFERROR(__xludf.DUMMYFUNCTION("""COMPUTED_VALUE"""),"F")</f>
        <v>F</v>
      </c>
      <c r="I877" s="6" t="str">
        <f>IFERROR(__xludf.DUMMYFUNCTION("""COMPUTED_VALUE"""),"High School")</f>
        <v>High School</v>
      </c>
      <c r="J877" s="6" t="str">
        <f>IFERROR(__xludf.DUMMYFUNCTION("""COMPUTED_VALUE"""),"9")</f>
        <v>9</v>
      </c>
      <c r="K877" s="6" t="str">
        <f>IFERROR(__xludf.DUMMYFUNCTION("""COMPUTED_VALUE"""),"valeriia.lysytsia@2hourlearning.com")</f>
        <v>valeriia.lysytsia@2hourlearning.com</v>
      </c>
      <c r="L877" s="6" t="str">
        <f>IFERROR(__xludf.DUMMYFUNCTION("""COMPUTED_VALUE"""),"Learn and Earn Poland")</f>
        <v>Learn and Earn Poland</v>
      </c>
      <c r="M877" s="6" t="str">
        <f>IFERROR(__xludf.DUMMYFUNCTION("""COMPUTED_VALUE"""),"")</f>
        <v/>
      </c>
      <c r="N877" s="6" t="str">
        <f>IFERROR(__xludf.DUMMYFUNCTION("""COMPUTED_VALUE"""),"")</f>
        <v/>
      </c>
      <c r="O877" s="87" t="str">
        <f>IFERROR(__xludf.DUMMYFUNCTION("""COMPUTED_VALUE"""),"https://drive.google.com/drive/folders/10T2cTQHqEJZqE-st6uFKPoI?usp=share_link")</f>
        <v>https://drive.google.com/drive/folders/10T2cTQHqEJZqE-st6uFKPoI?usp=share_link</v>
      </c>
      <c r="P877" s="6" t="str">
        <f>IFERROR(__xludf.DUMMYFUNCTION("""COMPUTED_VALUE"""),"Valeriia Lysytsia")</f>
        <v>Valeriia Lysytsia</v>
      </c>
      <c r="Q877" s="6" t="str">
        <f>IFERROR(__xludf.DUMMYFUNCTION("""COMPUTED_VALUE"""),"HS")</f>
        <v>HS</v>
      </c>
      <c r="R877" s="6">
        <f>IFERROR(__xludf.DUMMYFUNCTION("""COMPUTED_VALUE"""),0.0)</f>
        <v>0</v>
      </c>
      <c r="S877" s="6" t="str">
        <f>IFERROR(__xludf.DUMMYFUNCTION("""COMPUTED_VALUE""")," ")</f>
        <v> </v>
      </c>
      <c r="T877" s="6" t="str">
        <f>IFERROR(__xludf.DUMMYFUNCTION("""COMPUTED_VALUE"""),"")</f>
        <v/>
      </c>
      <c r="U877" s="6" t="str">
        <f>IFERROR(__xludf.DUMMYFUNCTION("""COMPUTED_VALUE"""),"9")</f>
        <v>9</v>
      </c>
      <c r="V877" s="6" t="str">
        <f>IFERROR(__xludf.DUMMYFUNCTION("""COMPUTED_VALUE"""),"English")</f>
        <v>English</v>
      </c>
      <c r="W877" s="6" t="str">
        <f>IFERROR(__xludf.DUMMYFUNCTION("""COMPUTED_VALUE"""),"[]")</f>
        <v>[]</v>
      </c>
      <c r="X877" s="6" t="str">
        <f>IFERROR(__xludf.DUMMYFUNCTION("""COMPUTED_VALUE"""),"Enrolled")</f>
        <v>Enrolled</v>
      </c>
    </row>
    <row r="878">
      <c r="A878" s="6" t="str">
        <f>IFERROR(__xludf.DUMMYFUNCTION("""COMPUTED_VALUE"""),"009-1001")</f>
        <v>009-1001</v>
      </c>
      <c r="B878" s="6" t="str">
        <f>IFERROR(__xludf.DUMMYFUNCTION("""COMPUTED_VALUE"""),"9")</f>
        <v>9</v>
      </c>
      <c r="C878" s="6" t="str">
        <f>IFERROR(__xludf.DUMMYFUNCTION("""COMPUTED_VALUE"""),"1001")</f>
        <v>1001</v>
      </c>
      <c r="D878" s="6" t="str">
        <f>IFERROR(__xludf.DUMMYFUNCTION("""COMPUTED_VALUE"""),"Zhydetska")</f>
        <v>Zhydetska</v>
      </c>
      <c r="E878" s="6" t="str">
        <f>IFERROR(__xludf.DUMMYFUNCTION("""COMPUTED_VALUE"""),"")</f>
        <v/>
      </c>
      <c r="F878" s="6" t="str">
        <f>IFERROR(__xludf.DUMMYFUNCTION("""COMPUTED_VALUE"""),"Tetiana")</f>
        <v>Tetiana</v>
      </c>
      <c r="G878" s="6" t="str">
        <f>IFERROR(__xludf.DUMMYFUNCTION("""COMPUTED_VALUE"""),"01/01/2017")</f>
        <v>01/01/2017</v>
      </c>
      <c r="H878" s="6" t="str">
        <f>IFERROR(__xludf.DUMMYFUNCTION("""COMPUTED_VALUE"""),"Self Identify")</f>
        <v>Self Identify</v>
      </c>
      <c r="I878" s="6" t="str">
        <f>IFERROR(__xludf.DUMMYFUNCTION("""COMPUTED_VALUE"""),"Level 1")</f>
        <v>Level 1</v>
      </c>
      <c r="J878" s="6" t="str">
        <f>IFERROR(__xludf.DUMMYFUNCTION("""COMPUTED_VALUE"""),"2")</f>
        <v>2</v>
      </c>
      <c r="K878" s="6" t="str">
        <f>IFERROR(__xludf.DUMMYFUNCTION("""COMPUTED_VALUE"""),"zhydetska.tetiana@2hourlearning.com")</f>
        <v>zhydetska.tetiana@2hourlearning.com</v>
      </c>
      <c r="L878" s="6" t="str">
        <f>IFERROR(__xludf.DUMMYFUNCTION("""COMPUTED_VALUE"""),"Learn and Earn Poland")</f>
        <v>Learn and Earn Poland</v>
      </c>
      <c r="M878" s="6" t="str">
        <f>IFERROR(__xludf.DUMMYFUNCTION("""COMPUTED_VALUE"""),"")</f>
        <v/>
      </c>
      <c r="N878" s="6" t="str">
        <f>IFERROR(__xludf.DUMMYFUNCTION("""COMPUTED_VALUE"""),"")</f>
        <v/>
      </c>
      <c r="O878" s="87" t="str">
        <f>IFERROR(__xludf.DUMMYFUNCTION("""COMPUTED_VALUE"""),"https://drive.google.com/drive/folders/10T2cTQHqEJZqE-st6uFKPoI?usp=share_link")</f>
        <v>https://drive.google.com/drive/folders/10T2cTQHqEJZqE-st6uFKPoI?usp=share_link</v>
      </c>
      <c r="P878" s="6" t="str">
        <f>IFERROR(__xludf.DUMMYFUNCTION("""COMPUTED_VALUE"""),"Zhydetska Tetiana")</f>
        <v>Zhydetska Tetiana</v>
      </c>
      <c r="Q878" s="6" t="str">
        <f>IFERROR(__xludf.DUMMYFUNCTION("""COMPUTED_VALUE"""),"L1")</f>
        <v>L1</v>
      </c>
      <c r="R878" s="6">
        <f>IFERROR(__xludf.DUMMYFUNCTION("""COMPUTED_VALUE"""),1.0)</f>
        <v>1</v>
      </c>
      <c r="S878" s="6" t="str">
        <f>IFERROR(__xludf.DUMMYFUNCTION("""COMPUTED_VALUE""")," ")</f>
        <v> </v>
      </c>
      <c r="T878" s="6" t="str">
        <f>IFERROR(__xludf.DUMMYFUNCTION("""COMPUTED_VALUE"""),"")</f>
        <v/>
      </c>
      <c r="U878" s="6" t="str">
        <f>IFERROR(__xludf.DUMMYFUNCTION("""COMPUTED_VALUE"""),"2")</f>
        <v>2</v>
      </c>
      <c r="V878" s="6" t="str">
        <f>IFERROR(__xludf.DUMMYFUNCTION("""COMPUTED_VALUE"""),"English")</f>
        <v>English</v>
      </c>
      <c r="W878" s="6" t="str">
        <f>IFERROR(__xludf.DUMMYFUNCTION("""COMPUTED_VALUE"""),"[]")</f>
        <v>[]</v>
      </c>
      <c r="X878" s="6" t="str">
        <f>IFERROR(__xludf.DUMMYFUNCTION("""COMPUTED_VALUE"""),"Enrolled")</f>
        <v>Enrolled</v>
      </c>
    </row>
    <row r="879">
      <c r="A879" s="6" t="str">
        <f>IFERROR(__xludf.DUMMYFUNCTION("""COMPUTED_VALUE"""),"009-1002")</f>
        <v>009-1002</v>
      </c>
      <c r="B879" s="6" t="str">
        <f>IFERROR(__xludf.DUMMYFUNCTION("""COMPUTED_VALUE"""),"9")</f>
        <v>9</v>
      </c>
      <c r="C879" s="6" t="str">
        <f>IFERROR(__xludf.DUMMYFUNCTION("""COMPUTED_VALUE"""),"1002")</f>
        <v>1002</v>
      </c>
      <c r="D879" s="6" t="str">
        <f>IFERROR(__xludf.DUMMYFUNCTION("""COMPUTED_VALUE"""),"Davyd")</f>
        <v>Davyd</v>
      </c>
      <c r="E879" s="6" t="str">
        <f>IFERROR(__xludf.DUMMYFUNCTION("""COMPUTED_VALUE"""),"")</f>
        <v/>
      </c>
      <c r="F879" s="6" t="str">
        <f>IFERROR(__xludf.DUMMYFUNCTION("""COMPUTED_VALUE"""),"Maievskyi")</f>
        <v>Maievskyi</v>
      </c>
      <c r="G879" s="6" t="str">
        <f>IFERROR(__xludf.DUMMYFUNCTION("""COMPUTED_VALUE"""),"01/01/2017")</f>
        <v>01/01/2017</v>
      </c>
      <c r="H879" s="6" t="str">
        <f>IFERROR(__xludf.DUMMYFUNCTION("""COMPUTED_VALUE"""),"Self Identify")</f>
        <v>Self Identify</v>
      </c>
      <c r="I879" s="6" t="str">
        <f>IFERROR(__xludf.DUMMYFUNCTION("""COMPUTED_VALUE"""),"Level 1")</f>
        <v>Level 1</v>
      </c>
      <c r="J879" s="6" t="str">
        <f>IFERROR(__xludf.DUMMYFUNCTION("""COMPUTED_VALUE"""),"2")</f>
        <v>2</v>
      </c>
      <c r="K879" s="6" t="str">
        <f>IFERROR(__xludf.DUMMYFUNCTION("""COMPUTED_VALUE"""),"davyd.maievskyi@2hourlearning.com")</f>
        <v>davyd.maievskyi@2hourlearning.com</v>
      </c>
      <c r="L879" s="6" t="str">
        <f>IFERROR(__xludf.DUMMYFUNCTION("""COMPUTED_VALUE"""),"Learn and Earn Poland")</f>
        <v>Learn and Earn Poland</v>
      </c>
      <c r="M879" s="6" t="str">
        <f>IFERROR(__xludf.DUMMYFUNCTION("""COMPUTED_VALUE"""),"")</f>
        <v/>
      </c>
      <c r="N879" s="6" t="str">
        <f>IFERROR(__xludf.DUMMYFUNCTION("""COMPUTED_VALUE"""),"")</f>
        <v/>
      </c>
      <c r="O879" s="87" t="str">
        <f>IFERROR(__xludf.DUMMYFUNCTION("""COMPUTED_VALUE"""),"https://drive.google.com/drive/folders/10T2cTQHqEJZqE-st6uFKPoI?usp=share_link")</f>
        <v>https://drive.google.com/drive/folders/10T2cTQHqEJZqE-st6uFKPoI?usp=share_link</v>
      </c>
      <c r="P879" s="6" t="str">
        <f>IFERROR(__xludf.DUMMYFUNCTION("""COMPUTED_VALUE"""),"Davyd Maievskyi")</f>
        <v>Davyd Maievskyi</v>
      </c>
      <c r="Q879" s="6" t="str">
        <f>IFERROR(__xludf.DUMMYFUNCTION("""COMPUTED_VALUE"""),"L1")</f>
        <v>L1</v>
      </c>
      <c r="R879" s="6">
        <f>IFERROR(__xludf.DUMMYFUNCTION("""COMPUTED_VALUE"""),1.0)</f>
        <v>1</v>
      </c>
      <c r="S879" s="6" t="str">
        <f>IFERROR(__xludf.DUMMYFUNCTION("""COMPUTED_VALUE""")," ")</f>
        <v> </v>
      </c>
      <c r="T879" s="6" t="str">
        <f>IFERROR(__xludf.DUMMYFUNCTION("""COMPUTED_VALUE"""),"")</f>
        <v/>
      </c>
      <c r="U879" s="6" t="str">
        <f>IFERROR(__xludf.DUMMYFUNCTION("""COMPUTED_VALUE"""),"2")</f>
        <v>2</v>
      </c>
      <c r="V879" s="6" t="str">
        <f>IFERROR(__xludf.DUMMYFUNCTION("""COMPUTED_VALUE"""),"English")</f>
        <v>English</v>
      </c>
      <c r="W879" s="6" t="str">
        <f>IFERROR(__xludf.DUMMYFUNCTION("""COMPUTED_VALUE"""),"[]")</f>
        <v>[]</v>
      </c>
      <c r="X879" s="6" t="str">
        <f>IFERROR(__xludf.DUMMYFUNCTION("""COMPUTED_VALUE"""),"Enrolled")</f>
        <v>Enrolled</v>
      </c>
    </row>
    <row r="880">
      <c r="A880" s="6" t="str">
        <f>IFERROR(__xludf.DUMMYFUNCTION("""COMPUTED_VALUE"""),"009-1003")</f>
        <v>009-1003</v>
      </c>
      <c r="B880" s="6" t="str">
        <f>IFERROR(__xludf.DUMMYFUNCTION("""COMPUTED_VALUE"""),"9")</f>
        <v>9</v>
      </c>
      <c r="C880" s="6" t="str">
        <f>IFERROR(__xludf.DUMMYFUNCTION("""COMPUTED_VALUE"""),"1003")</f>
        <v>1003</v>
      </c>
      <c r="D880" s="6" t="str">
        <f>IFERROR(__xludf.DUMMYFUNCTION("""COMPUTED_VALUE"""),"Vadim")</f>
        <v>Vadim</v>
      </c>
      <c r="E880" s="6" t="str">
        <f>IFERROR(__xludf.DUMMYFUNCTION("""COMPUTED_VALUE"""),"")</f>
        <v/>
      </c>
      <c r="F880" s="6" t="str">
        <f>IFERROR(__xludf.DUMMYFUNCTION("""COMPUTED_VALUE"""),"Vakurin")</f>
        <v>Vakurin</v>
      </c>
      <c r="G880" s="6" t="str">
        <f>IFERROR(__xludf.DUMMYFUNCTION("""COMPUTED_VALUE"""),"01/01/2017")</f>
        <v>01/01/2017</v>
      </c>
      <c r="H880" s="6" t="str">
        <f>IFERROR(__xludf.DUMMYFUNCTION("""COMPUTED_VALUE"""),"Self Identify")</f>
        <v>Self Identify</v>
      </c>
      <c r="I880" s="6" t="str">
        <f>IFERROR(__xludf.DUMMYFUNCTION("""COMPUTED_VALUE"""),"Level 1")</f>
        <v>Level 1</v>
      </c>
      <c r="J880" s="6" t="str">
        <f>IFERROR(__xludf.DUMMYFUNCTION("""COMPUTED_VALUE"""),"3")</f>
        <v>3</v>
      </c>
      <c r="K880" s="6" t="str">
        <f>IFERROR(__xludf.DUMMYFUNCTION("""COMPUTED_VALUE"""),"vadim.vakurin@2hourlearning.com")</f>
        <v>vadim.vakurin@2hourlearning.com</v>
      </c>
      <c r="L880" s="6" t="str">
        <f>IFERROR(__xludf.DUMMYFUNCTION("""COMPUTED_VALUE"""),"Learn and Earn Poland")</f>
        <v>Learn and Earn Poland</v>
      </c>
      <c r="M880" s="6" t="str">
        <f>IFERROR(__xludf.DUMMYFUNCTION("""COMPUTED_VALUE"""),"")</f>
        <v/>
      </c>
      <c r="N880" s="6" t="str">
        <f>IFERROR(__xludf.DUMMYFUNCTION("""COMPUTED_VALUE"""),"")</f>
        <v/>
      </c>
      <c r="O880" s="87" t="str">
        <f>IFERROR(__xludf.DUMMYFUNCTION("""COMPUTED_VALUE"""),"https://drive.google.com/drive/folders/10T2cTQHqEJZqE-st6uFKPoI?usp=share_link")</f>
        <v>https://drive.google.com/drive/folders/10T2cTQHqEJZqE-st6uFKPoI?usp=share_link</v>
      </c>
      <c r="P880" s="6" t="str">
        <f>IFERROR(__xludf.DUMMYFUNCTION("""COMPUTED_VALUE"""),"Vadim Vakurin")</f>
        <v>Vadim Vakurin</v>
      </c>
      <c r="Q880" s="6" t="str">
        <f>IFERROR(__xludf.DUMMYFUNCTION("""COMPUTED_VALUE"""),"L1")</f>
        <v>L1</v>
      </c>
      <c r="R880" s="6">
        <f>IFERROR(__xludf.DUMMYFUNCTION("""COMPUTED_VALUE"""),1.0)</f>
        <v>1</v>
      </c>
      <c r="S880" s="6" t="str">
        <f>IFERROR(__xludf.DUMMYFUNCTION("""COMPUTED_VALUE""")," ")</f>
        <v> </v>
      </c>
      <c r="T880" s="6" t="str">
        <f>IFERROR(__xludf.DUMMYFUNCTION("""COMPUTED_VALUE"""),"")</f>
        <v/>
      </c>
      <c r="U880" s="6" t="str">
        <f>IFERROR(__xludf.DUMMYFUNCTION("""COMPUTED_VALUE"""),"3")</f>
        <v>3</v>
      </c>
      <c r="V880" s="6" t="str">
        <f>IFERROR(__xludf.DUMMYFUNCTION("""COMPUTED_VALUE"""),"English")</f>
        <v>English</v>
      </c>
      <c r="W880" s="6" t="str">
        <f>IFERROR(__xludf.DUMMYFUNCTION("""COMPUTED_VALUE"""),"[]")</f>
        <v>[]</v>
      </c>
      <c r="X880" s="6" t="str">
        <f>IFERROR(__xludf.DUMMYFUNCTION("""COMPUTED_VALUE"""),"Enrolled")</f>
        <v>Enrolled</v>
      </c>
    </row>
    <row r="881">
      <c r="A881" s="6" t="str">
        <f>IFERROR(__xludf.DUMMYFUNCTION("""COMPUTED_VALUE"""),"009-1004")</f>
        <v>009-1004</v>
      </c>
      <c r="B881" s="6" t="str">
        <f>IFERROR(__xludf.DUMMYFUNCTION("""COMPUTED_VALUE"""),"9")</f>
        <v>9</v>
      </c>
      <c r="C881" s="6" t="str">
        <f>IFERROR(__xludf.DUMMYFUNCTION("""COMPUTED_VALUE"""),"1004")</f>
        <v>1004</v>
      </c>
      <c r="D881" s="6" t="str">
        <f>IFERROR(__xludf.DUMMYFUNCTION("""COMPUTED_VALUE"""),"Aliesia")</f>
        <v>Aliesia</v>
      </c>
      <c r="E881" s="6" t="str">
        <f>IFERROR(__xludf.DUMMYFUNCTION("""COMPUTED_VALUE"""),"")</f>
        <v/>
      </c>
      <c r="F881" s="6" t="str">
        <f>IFERROR(__xludf.DUMMYFUNCTION("""COMPUTED_VALUE"""),"Vialkova")</f>
        <v>Vialkova</v>
      </c>
      <c r="G881" s="6" t="str">
        <f>IFERROR(__xludf.DUMMYFUNCTION("""COMPUTED_VALUE"""),"01/01/2017")</f>
        <v>01/01/2017</v>
      </c>
      <c r="H881" s="6" t="str">
        <f>IFERROR(__xludf.DUMMYFUNCTION("""COMPUTED_VALUE"""),"Self Identify")</f>
        <v>Self Identify</v>
      </c>
      <c r="I881" s="6" t="str">
        <f>IFERROR(__xludf.DUMMYFUNCTION("""COMPUTED_VALUE"""),"Level 1")</f>
        <v>Level 1</v>
      </c>
      <c r="J881" s="6" t="str">
        <f>IFERROR(__xludf.DUMMYFUNCTION("""COMPUTED_VALUE"""),"3")</f>
        <v>3</v>
      </c>
      <c r="K881" s="6" t="str">
        <f>IFERROR(__xludf.DUMMYFUNCTION("""COMPUTED_VALUE"""),"aliesia.vialkova@2hourlearning.com")</f>
        <v>aliesia.vialkova@2hourlearning.com</v>
      </c>
      <c r="L881" s="6" t="str">
        <f>IFERROR(__xludf.DUMMYFUNCTION("""COMPUTED_VALUE"""),"Learn and Earn Poland")</f>
        <v>Learn and Earn Poland</v>
      </c>
      <c r="M881" s="6" t="str">
        <f>IFERROR(__xludf.DUMMYFUNCTION("""COMPUTED_VALUE"""),"")</f>
        <v/>
      </c>
      <c r="N881" s="6" t="str">
        <f>IFERROR(__xludf.DUMMYFUNCTION("""COMPUTED_VALUE"""),"")</f>
        <v/>
      </c>
      <c r="O881" s="87" t="str">
        <f>IFERROR(__xludf.DUMMYFUNCTION("""COMPUTED_VALUE"""),"https://drive.google.com/drive/folders/10T2cTQHqEJZqE-st6uFKPoI?usp=share_link")</f>
        <v>https://drive.google.com/drive/folders/10T2cTQHqEJZqE-st6uFKPoI?usp=share_link</v>
      </c>
      <c r="P881" s="6" t="str">
        <f>IFERROR(__xludf.DUMMYFUNCTION("""COMPUTED_VALUE"""),"Aliesia Vialkova")</f>
        <v>Aliesia Vialkova</v>
      </c>
      <c r="Q881" s="6" t="str">
        <f>IFERROR(__xludf.DUMMYFUNCTION("""COMPUTED_VALUE"""),"L1")</f>
        <v>L1</v>
      </c>
      <c r="R881" s="6">
        <f>IFERROR(__xludf.DUMMYFUNCTION("""COMPUTED_VALUE"""),1.0)</f>
        <v>1</v>
      </c>
      <c r="S881" s="6" t="str">
        <f>IFERROR(__xludf.DUMMYFUNCTION("""COMPUTED_VALUE""")," ")</f>
        <v> </v>
      </c>
      <c r="T881" s="6" t="str">
        <f>IFERROR(__xludf.DUMMYFUNCTION("""COMPUTED_VALUE"""),"")</f>
        <v/>
      </c>
      <c r="U881" s="6" t="str">
        <f>IFERROR(__xludf.DUMMYFUNCTION("""COMPUTED_VALUE"""),"3")</f>
        <v>3</v>
      </c>
      <c r="V881" s="6" t="str">
        <f>IFERROR(__xludf.DUMMYFUNCTION("""COMPUTED_VALUE"""),"English")</f>
        <v>English</v>
      </c>
      <c r="W881" s="6" t="str">
        <f>IFERROR(__xludf.DUMMYFUNCTION("""COMPUTED_VALUE"""),"[]")</f>
        <v>[]</v>
      </c>
      <c r="X881" s="6" t="str">
        <f>IFERROR(__xludf.DUMMYFUNCTION("""COMPUTED_VALUE"""),"Enrolled")</f>
        <v>Enrolled</v>
      </c>
    </row>
    <row r="882">
      <c r="A882" s="6" t="str">
        <f>IFERROR(__xludf.DUMMYFUNCTION("""COMPUTED_VALUE"""),"009-1005")</f>
        <v>009-1005</v>
      </c>
      <c r="B882" s="6" t="str">
        <f>IFERROR(__xludf.DUMMYFUNCTION("""COMPUTED_VALUE"""),"9")</f>
        <v>9</v>
      </c>
      <c r="C882" s="6" t="str">
        <f>IFERROR(__xludf.DUMMYFUNCTION("""COMPUTED_VALUE"""),"1005")</f>
        <v>1005</v>
      </c>
      <c r="D882" s="6" t="str">
        <f>IFERROR(__xludf.DUMMYFUNCTION("""COMPUTED_VALUE"""),"Veronika")</f>
        <v>Veronika</v>
      </c>
      <c r="E882" s="6" t="str">
        <f>IFERROR(__xludf.DUMMYFUNCTION("""COMPUTED_VALUE"""),"")</f>
        <v/>
      </c>
      <c r="F882" s="6" t="str">
        <f>IFERROR(__xludf.DUMMYFUNCTION("""COMPUTED_VALUE"""),"Sapaeva")</f>
        <v>Sapaeva</v>
      </c>
      <c r="G882" s="6" t="str">
        <f>IFERROR(__xludf.DUMMYFUNCTION("""COMPUTED_VALUE"""),"01/01/2017")</f>
        <v>01/01/2017</v>
      </c>
      <c r="H882" s="6" t="str">
        <f>IFERROR(__xludf.DUMMYFUNCTION("""COMPUTED_VALUE"""),"Self Identify")</f>
        <v>Self Identify</v>
      </c>
      <c r="I882" s="6" t="str">
        <f>IFERROR(__xludf.DUMMYFUNCTION("""COMPUTED_VALUE"""),"Level 1")</f>
        <v>Level 1</v>
      </c>
      <c r="J882" s="6" t="str">
        <f>IFERROR(__xludf.DUMMYFUNCTION("""COMPUTED_VALUE"""),"3")</f>
        <v>3</v>
      </c>
      <c r="K882" s="6" t="str">
        <f>IFERROR(__xludf.DUMMYFUNCTION("""COMPUTED_VALUE"""),"veronika.sapaeva@2hourlearning.com")</f>
        <v>veronika.sapaeva@2hourlearning.com</v>
      </c>
      <c r="L882" s="6" t="str">
        <f>IFERROR(__xludf.DUMMYFUNCTION("""COMPUTED_VALUE"""),"Learn and Earn Poland")</f>
        <v>Learn and Earn Poland</v>
      </c>
      <c r="M882" s="6" t="str">
        <f>IFERROR(__xludf.DUMMYFUNCTION("""COMPUTED_VALUE"""),"")</f>
        <v/>
      </c>
      <c r="N882" s="6" t="str">
        <f>IFERROR(__xludf.DUMMYFUNCTION("""COMPUTED_VALUE"""),"")</f>
        <v/>
      </c>
      <c r="O882" s="87" t="str">
        <f>IFERROR(__xludf.DUMMYFUNCTION("""COMPUTED_VALUE"""),"https://drive.google.com/drive/folders/10T2cTQHqEJZqE-st6uFKPoI?usp=share_link")</f>
        <v>https://drive.google.com/drive/folders/10T2cTQHqEJZqE-st6uFKPoI?usp=share_link</v>
      </c>
      <c r="P882" s="6" t="str">
        <f>IFERROR(__xludf.DUMMYFUNCTION("""COMPUTED_VALUE"""),"Veronika Sapaeva")</f>
        <v>Veronika Sapaeva</v>
      </c>
      <c r="Q882" s="6" t="str">
        <f>IFERROR(__xludf.DUMMYFUNCTION("""COMPUTED_VALUE"""),"L1")</f>
        <v>L1</v>
      </c>
      <c r="R882" s="6">
        <f>IFERROR(__xludf.DUMMYFUNCTION("""COMPUTED_VALUE"""),1.0)</f>
        <v>1</v>
      </c>
      <c r="S882" s="6" t="str">
        <f>IFERROR(__xludf.DUMMYFUNCTION("""COMPUTED_VALUE""")," ")</f>
        <v> </v>
      </c>
      <c r="T882" s="6" t="str">
        <f>IFERROR(__xludf.DUMMYFUNCTION("""COMPUTED_VALUE"""),"")</f>
        <v/>
      </c>
      <c r="U882" s="6" t="str">
        <f>IFERROR(__xludf.DUMMYFUNCTION("""COMPUTED_VALUE"""),"3")</f>
        <v>3</v>
      </c>
      <c r="V882" s="6" t="str">
        <f>IFERROR(__xludf.DUMMYFUNCTION("""COMPUTED_VALUE"""),"English")</f>
        <v>English</v>
      </c>
      <c r="W882" s="6" t="str">
        <f>IFERROR(__xludf.DUMMYFUNCTION("""COMPUTED_VALUE"""),"[]")</f>
        <v>[]</v>
      </c>
      <c r="X882" s="6" t="str">
        <f>IFERROR(__xludf.DUMMYFUNCTION("""COMPUTED_VALUE"""),"Enrolled")</f>
        <v>Enrolled</v>
      </c>
    </row>
    <row r="883">
      <c r="A883" s="6" t="str">
        <f>IFERROR(__xludf.DUMMYFUNCTION("""COMPUTED_VALUE"""),"009-1006")</f>
        <v>009-1006</v>
      </c>
      <c r="B883" s="6" t="str">
        <f>IFERROR(__xludf.DUMMYFUNCTION("""COMPUTED_VALUE"""),"9")</f>
        <v>9</v>
      </c>
      <c r="C883" s="6" t="str">
        <f>IFERROR(__xludf.DUMMYFUNCTION("""COMPUTED_VALUE"""),"1006")</f>
        <v>1006</v>
      </c>
      <c r="D883" s="6" t="str">
        <f>IFERROR(__xludf.DUMMYFUNCTION("""COMPUTED_VALUE"""),"Vladyslav")</f>
        <v>Vladyslav</v>
      </c>
      <c r="E883" s="6" t="str">
        <f>IFERROR(__xludf.DUMMYFUNCTION("""COMPUTED_VALUE"""),"")</f>
        <v/>
      </c>
      <c r="F883" s="6" t="str">
        <f>IFERROR(__xludf.DUMMYFUNCTION("""COMPUTED_VALUE"""),"Nikolaiev")</f>
        <v>Nikolaiev</v>
      </c>
      <c r="G883" s="6" t="str">
        <f>IFERROR(__xludf.DUMMYFUNCTION("""COMPUTED_VALUE"""),"01/01/2017")</f>
        <v>01/01/2017</v>
      </c>
      <c r="H883" s="6" t="str">
        <f>IFERROR(__xludf.DUMMYFUNCTION("""COMPUTED_VALUE"""),"Self Identify")</f>
        <v>Self Identify</v>
      </c>
      <c r="I883" s="6" t="str">
        <f>IFERROR(__xludf.DUMMYFUNCTION("""COMPUTED_VALUE"""),"Level 1")</f>
        <v>Level 1</v>
      </c>
      <c r="J883" s="6" t="str">
        <f>IFERROR(__xludf.DUMMYFUNCTION("""COMPUTED_VALUE"""),"3")</f>
        <v>3</v>
      </c>
      <c r="K883" s="6" t="str">
        <f>IFERROR(__xludf.DUMMYFUNCTION("""COMPUTED_VALUE"""),"vladyslav.nikolaiev@2hourlearning.com")</f>
        <v>vladyslav.nikolaiev@2hourlearning.com</v>
      </c>
      <c r="L883" s="6" t="str">
        <f>IFERROR(__xludf.DUMMYFUNCTION("""COMPUTED_VALUE"""),"Learn and Earn Poland")</f>
        <v>Learn and Earn Poland</v>
      </c>
      <c r="M883" s="6" t="str">
        <f>IFERROR(__xludf.DUMMYFUNCTION("""COMPUTED_VALUE"""),"")</f>
        <v/>
      </c>
      <c r="N883" s="6" t="str">
        <f>IFERROR(__xludf.DUMMYFUNCTION("""COMPUTED_VALUE"""),"")</f>
        <v/>
      </c>
      <c r="O883" s="87" t="str">
        <f>IFERROR(__xludf.DUMMYFUNCTION("""COMPUTED_VALUE"""),"https://drive.google.com/drive/folders/10T2cTQHqEJZqE-st6uFKPoI?usp=share_link")</f>
        <v>https://drive.google.com/drive/folders/10T2cTQHqEJZqE-st6uFKPoI?usp=share_link</v>
      </c>
      <c r="P883" s="6" t="str">
        <f>IFERROR(__xludf.DUMMYFUNCTION("""COMPUTED_VALUE"""),"Vladyslav Nikolaiev")</f>
        <v>Vladyslav Nikolaiev</v>
      </c>
      <c r="Q883" s="6" t="str">
        <f>IFERROR(__xludf.DUMMYFUNCTION("""COMPUTED_VALUE"""),"L1")</f>
        <v>L1</v>
      </c>
      <c r="R883" s="6">
        <f>IFERROR(__xludf.DUMMYFUNCTION("""COMPUTED_VALUE"""),1.0)</f>
        <v>1</v>
      </c>
      <c r="S883" s="6" t="str">
        <f>IFERROR(__xludf.DUMMYFUNCTION("""COMPUTED_VALUE""")," ")</f>
        <v> </v>
      </c>
      <c r="T883" s="6" t="str">
        <f>IFERROR(__xludf.DUMMYFUNCTION("""COMPUTED_VALUE"""),"")</f>
        <v/>
      </c>
      <c r="U883" s="6" t="str">
        <f>IFERROR(__xludf.DUMMYFUNCTION("""COMPUTED_VALUE"""),"3")</f>
        <v>3</v>
      </c>
      <c r="V883" s="6" t="str">
        <f>IFERROR(__xludf.DUMMYFUNCTION("""COMPUTED_VALUE"""),"English")</f>
        <v>English</v>
      </c>
      <c r="W883" s="6" t="str">
        <f>IFERROR(__xludf.DUMMYFUNCTION("""COMPUTED_VALUE"""),"[]")</f>
        <v>[]</v>
      </c>
      <c r="X883" s="6" t="str">
        <f>IFERROR(__xludf.DUMMYFUNCTION("""COMPUTED_VALUE"""),"Enrolled")</f>
        <v>Enrolled</v>
      </c>
    </row>
    <row r="884">
      <c r="A884" s="6" t="str">
        <f>IFERROR(__xludf.DUMMYFUNCTION("""COMPUTED_VALUE"""),"009-1007")</f>
        <v>009-1007</v>
      </c>
      <c r="B884" s="6" t="str">
        <f>IFERROR(__xludf.DUMMYFUNCTION("""COMPUTED_VALUE"""),"9")</f>
        <v>9</v>
      </c>
      <c r="C884" s="6" t="str">
        <f>IFERROR(__xludf.DUMMYFUNCTION("""COMPUTED_VALUE"""),"1007")</f>
        <v>1007</v>
      </c>
      <c r="D884" s="6" t="str">
        <f>IFERROR(__xludf.DUMMYFUNCTION("""COMPUTED_VALUE"""),"Klymenko")</f>
        <v>Klymenko</v>
      </c>
      <c r="E884" s="6" t="str">
        <f>IFERROR(__xludf.DUMMYFUNCTION("""COMPUTED_VALUE"""),"")</f>
        <v/>
      </c>
      <c r="F884" s="6" t="str">
        <f>IFERROR(__xludf.DUMMYFUNCTION("""COMPUTED_VALUE"""),"Anna-Mariij")</f>
        <v>Anna-Mariij</v>
      </c>
      <c r="G884" s="6" t="str">
        <f>IFERROR(__xludf.DUMMYFUNCTION("""COMPUTED_VALUE"""),"01/01/2017")</f>
        <v>01/01/2017</v>
      </c>
      <c r="H884" s="6" t="str">
        <f>IFERROR(__xludf.DUMMYFUNCTION("""COMPUTED_VALUE"""),"Self Identify")</f>
        <v>Self Identify</v>
      </c>
      <c r="I884" s="6" t="str">
        <f>IFERROR(__xludf.DUMMYFUNCTION("""COMPUTED_VALUE"""),"Level 1")</f>
        <v>Level 1</v>
      </c>
      <c r="J884" s="6" t="str">
        <f>IFERROR(__xludf.DUMMYFUNCTION("""COMPUTED_VALUE"""),"3")</f>
        <v>3</v>
      </c>
      <c r="K884" s="6" t="str">
        <f>IFERROR(__xludf.DUMMYFUNCTION("""COMPUTED_VALUE"""),"klymenko.anna-mariij@2hourlearning.com")</f>
        <v>klymenko.anna-mariij@2hourlearning.com</v>
      </c>
      <c r="L884" s="6" t="str">
        <f>IFERROR(__xludf.DUMMYFUNCTION("""COMPUTED_VALUE"""),"Learn and Earn Poland")</f>
        <v>Learn and Earn Poland</v>
      </c>
      <c r="M884" s="6" t="str">
        <f>IFERROR(__xludf.DUMMYFUNCTION("""COMPUTED_VALUE"""),"")</f>
        <v/>
      </c>
      <c r="N884" s="6" t="str">
        <f>IFERROR(__xludf.DUMMYFUNCTION("""COMPUTED_VALUE"""),"")</f>
        <v/>
      </c>
      <c r="O884" s="87" t="str">
        <f>IFERROR(__xludf.DUMMYFUNCTION("""COMPUTED_VALUE"""),"https://drive.google.com/drive/folders/10T2cTQHqEJZqE-st6uFKPoI?usp=share_link")</f>
        <v>https://drive.google.com/drive/folders/10T2cTQHqEJZqE-st6uFKPoI?usp=share_link</v>
      </c>
      <c r="P884" s="6" t="str">
        <f>IFERROR(__xludf.DUMMYFUNCTION("""COMPUTED_VALUE"""),"Klymenko Anna-Mariij")</f>
        <v>Klymenko Anna-Mariij</v>
      </c>
      <c r="Q884" s="6" t="str">
        <f>IFERROR(__xludf.DUMMYFUNCTION("""COMPUTED_VALUE"""),"L1")</f>
        <v>L1</v>
      </c>
      <c r="R884" s="6">
        <f>IFERROR(__xludf.DUMMYFUNCTION("""COMPUTED_VALUE"""),1.0)</f>
        <v>1</v>
      </c>
      <c r="S884" s="6" t="str">
        <f>IFERROR(__xludf.DUMMYFUNCTION("""COMPUTED_VALUE""")," ")</f>
        <v> </v>
      </c>
      <c r="T884" s="6" t="str">
        <f>IFERROR(__xludf.DUMMYFUNCTION("""COMPUTED_VALUE"""),"")</f>
        <v/>
      </c>
      <c r="U884" s="6" t="str">
        <f>IFERROR(__xludf.DUMMYFUNCTION("""COMPUTED_VALUE"""),"3")</f>
        <v>3</v>
      </c>
      <c r="V884" s="6" t="str">
        <f>IFERROR(__xludf.DUMMYFUNCTION("""COMPUTED_VALUE"""),"English")</f>
        <v>English</v>
      </c>
      <c r="W884" s="6" t="str">
        <f>IFERROR(__xludf.DUMMYFUNCTION("""COMPUTED_VALUE"""),"[]")</f>
        <v>[]</v>
      </c>
      <c r="X884" s="6" t="str">
        <f>IFERROR(__xludf.DUMMYFUNCTION("""COMPUTED_VALUE"""),"Enrolled")</f>
        <v>Enrolled</v>
      </c>
    </row>
    <row r="885">
      <c r="A885" s="6" t="str">
        <f>IFERROR(__xludf.DUMMYFUNCTION("""COMPUTED_VALUE"""),"009-1008")</f>
        <v>009-1008</v>
      </c>
      <c r="B885" s="6" t="str">
        <f>IFERROR(__xludf.DUMMYFUNCTION("""COMPUTED_VALUE"""),"9")</f>
        <v>9</v>
      </c>
      <c r="C885" s="6" t="str">
        <f>IFERROR(__xludf.DUMMYFUNCTION("""COMPUTED_VALUE"""),"1008")</f>
        <v>1008</v>
      </c>
      <c r="D885" s="6" t="str">
        <f>IFERROR(__xludf.DUMMYFUNCTION("""COMPUTED_VALUE"""),"Mariia")</f>
        <v>Mariia</v>
      </c>
      <c r="E885" s="6" t="str">
        <f>IFERROR(__xludf.DUMMYFUNCTION("""COMPUTED_VALUE"""),"")</f>
        <v/>
      </c>
      <c r="F885" s="6" t="str">
        <f>IFERROR(__xludf.DUMMYFUNCTION("""COMPUTED_VALUE"""),"Ostapenko")</f>
        <v>Ostapenko</v>
      </c>
      <c r="G885" s="6" t="str">
        <f>IFERROR(__xludf.DUMMYFUNCTION("""COMPUTED_VALUE"""),"01/01/2017")</f>
        <v>01/01/2017</v>
      </c>
      <c r="H885" s="6" t="str">
        <f>IFERROR(__xludf.DUMMYFUNCTION("""COMPUTED_VALUE"""),"Self Identify")</f>
        <v>Self Identify</v>
      </c>
      <c r="I885" s="6" t="str">
        <f>IFERROR(__xludf.DUMMYFUNCTION("""COMPUTED_VALUE"""),"Level 1")</f>
        <v>Level 1</v>
      </c>
      <c r="J885" s="6" t="str">
        <f>IFERROR(__xludf.DUMMYFUNCTION("""COMPUTED_VALUE"""),"3")</f>
        <v>3</v>
      </c>
      <c r="K885" s="6" t="str">
        <f>IFERROR(__xludf.DUMMYFUNCTION("""COMPUTED_VALUE"""),"mariia.ostapenko@2hourlearning.com")</f>
        <v>mariia.ostapenko@2hourlearning.com</v>
      </c>
      <c r="L885" s="6" t="str">
        <f>IFERROR(__xludf.DUMMYFUNCTION("""COMPUTED_VALUE"""),"Learn and Earn Poland")</f>
        <v>Learn and Earn Poland</v>
      </c>
      <c r="M885" s="6" t="str">
        <f>IFERROR(__xludf.DUMMYFUNCTION("""COMPUTED_VALUE"""),"")</f>
        <v/>
      </c>
      <c r="N885" s="6" t="str">
        <f>IFERROR(__xludf.DUMMYFUNCTION("""COMPUTED_VALUE"""),"")</f>
        <v/>
      </c>
      <c r="O885" s="87" t="str">
        <f>IFERROR(__xludf.DUMMYFUNCTION("""COMPUTED_VALUE"""),"https://drive.google.com/drive/folders/10T2cTQHqEJZqE-st6uFKPoI?usp=share_link")</f>
        <v>https://drive.google.com/drive/folders/10T2cTQHqEJZqE-st6uFKPoI?usp=share_link</v>
      </c>
      <c r="P885" s="6" t="str">
        <f>IFERROR(__xludf.DUMMYFUNCTION("""COMPUTED_VALUE"""),"Mariia Ostapenko")</f>
        <v>Mariia Ostapenko</v>
      </c>
      <c r="Q885" s="6" t="str">
        <f>IFERROR(__xludf.DUMMYFUNCTION("""COMPUTED_VALUE"""),"L1")</f>
        <v>L1</v>
      </c>
      <c r="R885" s="6">
        <f>IFERROR(__xludf.DUMMYFUNCTION("""COMPUTED_VALUE"""),1.0)</f>
        <v>1</v>
      </c>
      <c r="S885" s="6" t="str">
        <f>IFERROR(__xludf.DUMMYFUNCTION("""COMPUTED_VALUE""")," ")</f>
        <v> </v>
      </c>
      <c r="T885" s="6" t="str">
        <f>IFERROR(__xludf.DUMMYFUNCTION("""COMPUTED_VALUE"""),"")</f>
        <v/>
      </c>
      <c r="U885" s="6" t="str">
        <f>IFERROR(__xludf.DUMMYFUNCTION("""COMPUTED_VALUE"""),"3")</f>
        <v>3</v>
      </c>
      <c r="V885" s="6" t="str">
        <f>IFERROR(__xludf.DUMMYFUNCTION("""COMPUTED_VALUE"""),"English")</f>
        <v>English</v>
      </c>
      <c r="W885" s="6" t="str">
        <f>IFERROR(__xludf.DUMMYFUNCTION("""COMPUTED_VALUE"""),"[]")</f>
        <v>[]</v>
      </c>
      <c r="X885" s="6" t="str">
        <f>IFERROR(__xludf.DUMMYFUNCTION("""COMPUTED_VALUE"""),"Enrolled")</f>
        <v>Enrolled</v>
      </c>
    </row>
    <row r="886">
      <c r="A886" s="6" t="str">
        <f>IFERROR(__xludf.DUMMYFUNCTION("""COMPUTED_VALUE"""),"009-1009")</f>
        <v>009-1009</v>
      </c>
      <c r="B886" s="6" t="str">
        <f>IFERROR(__xludf.DUMMYFUNCTION("""COMPUTED_VALUE"""),"9")</f>
        <v>9</v>
      </c>
      <c r="C886" s="6" t="str">
        <f>IFERROR(__xludf.DUMMYFUNCTION("""COMPUTED_VALUE"""),"1009")</f>
        <v>1009</v>
      </c>
      <c r="D886" s="6" t="str">
        <f>IFERROR(__xludf.DUMMYFUNCTION("""COMPUTED_VALUE"""),"Rudiuk")</f>
        <v>Rudiuk</v>
      </c>
      <c r="E886" s="6" t="str">
        <f>IFERROR(__xludf.DUMMYFUNCTION("""COMPUTED_VALUE"""),"")</f>
        <v/>
      </c>
      <c r="F886" s="6" t="str">
        <f>IFERROR(__xludf.DUMMYFUNCTION("""COMPUTED_VALUE"""),"Vlastymyr")</f>
        <v>Vlastymyr</v>
      </c>
      <c r="G886" s="6" t="str">
        <f>IFERROR(__xludf.DUMMYFUNCTION("""COMPUTED_VALUE"""),"01/01/2017")</f>
        <v>01/01/2017</v>
      </c>
      <c r="H886" s="6" t="str">
        <f>IFERROR(__xludf.DUMMYFUNCTION("""COMPUTED_VALUE"""),"Self Identify")</f>
        <v>Self Identify</v>
      </c>
      <c r="I886" s="6" t="str">
        <f>IFERROR(__xludf.DUMMYFUNCTION("""COMPUTED_VALUE"""),"Level 1")</f>
        <v>Level 1</v>
      </c>
      <c r="J886" s="6" t="str">
        <f>IFERROR(__xludf.DUMMYFUNCTION("""COMPUTED_VALUE"""),"3")</f>
        <v>3</v>
      </c>
      <c r="K886" s="6" t="str">
        <f>IFERROR(__xludf.DUMMYFUNCTION("""COMPUTED_VALUE"""),"rudiuk.vlastymyr@2hourlearning.com")</f>
        <v>rudiuk.vlastymyr@2hourlearning.com</v>
      </c>
      <c r="L886" s="6" t="str">
        <f>IFERROR(__xludf.DUMMYFUNCTION("""COMPUTED_VALUE"""),"Learn and Earn Poland")</f>
        <v>Learn and Earn Poland</v>
      </c>
      <c r="M886" s="6" t="str">
        <f>IFERROR(__xludf.DUMMYFUNCTION("""COMPUTED_VALUE"""),"")</f>
        <v/>
      </c>
      <c r="N886" s="6" t="str">
        <f>IFERROR(__xludf.DUMMYFUNCTION("""COMPUTED_VALUE"""),"")</f>
        <v/>
      </c>
      <c r="O886" s="87" t="str">
        <f>IFERROR(__xludf.DUMMYFUNCTION("""COMPUTED_VALUE"""),"https://drive.google.com/drive/folders/10T2cTQHqEJZqE-st6uFKPoI?usp=share_link")</f>
        <v>https://drive.google.com/drive/folders/10T2cTQHqEJZqE-st6uFKPoI?usp=share_link</v>
      </c>
      <c r="P886" s="6" t="str">
        <f>IFERROR(__xludf.DUMMYFUNCTION("""COMPUTED_VALUE"""),"Rudiuk Vlastymyr")</f>
        <v>Rudiuk Vlastymyr</v>
      </c>
      <c r="Q886" s="6" t="str">
        <f>IFERROR(__xludf.DUMMYFUNCTION("""COMPUTED_VALUE"""),"L1")</f>
        <v>L1</v>
      </c>
      <c r="R886" s="6">
        <f>IFERROR(__xludf.DUMMYFUNCTION("""COMPUTED_VALUE"""),1.0)</f>
        <v>1</v>
      </c>
      <c r="S886" s="6" t="str">
        <f>IFERROR(__xludf.DUMMYFUNCTION("""COMPUTED_VALUE""")," ")</f>
        <v> </v>
      </c>
      <c r="T886" s="6" t="str">
        <f>IFERROR(__xludf.DUMMYFUNCTION("""COMPUTED_VALUE"""),"")</f>
        <v/>
      </c>
      <c r="U886" s="6" t="str">
        <f>IFERROR(__xludf.DUMMYFUNCTION("""COMPUTED_VALUE"""),"3")</f>
        <v>3</v>
      </c>
      <c r="V886" s="6" t="str">
        <f>IFERROR(__xludf.DUMMYFUNCTION("""COMPUTED_VALUE"""),"English")</f>
        <v>English</v>
      </c>
      <c r="W886" s="6" t="str">
        <f>IFERROR(__xludf.DUMMYFUNCTION("""COMPUTED_VALUE"""),"[]")</f>
        <v>[]</v>
      </c>
      <c r="X886" s="6" t="str">
        <f>IFERROR(__xludf.DUMMYFUNCTION("""COMPUTED_VALUE"""),"Enrolled")</f>
        <v>Enrolled</v>
      </c>
    </row>
    <row r="887">
      <c r="A887" s="6" t="str">
        <f>IFERROR(__xludf.DUMMYFUNCTION("""COMPUTED_VALUE"""),"009-1010")</f>
        <v>009-1010</v>
      </c>
      <c r="B887" s="6" t="str">
        <f>IFERROR(__xludf.DUMMYFUNCTION("""COMPUTED_VALUE"""),"9")</f>
        <v>9</v>
      </c>
      <c r="C887" s="6" t="str">
        <f>IFERROR(__xludf.DUMMYFUNCTION("""COMPUTED_VALUE"""),"1010")</f>
        <v>1010</v>
      </c>
      <c r="D887" s="6" t="str">
        <f>IFERROR(__xludf.DUMMYFUNCTION("""COMPUTED_VALUE"""),"Zhydetska")</f>
        <v>Zhydetska</v>
      </c>
      <c r="E887" s="6" t="str">
        <f>IFERROR(__xludf.DUMMYFUNCTION("""COMPUTED_VALUE"""),"")</f>
        <v/>
      </c>
      <c r="F887" s="6" t="str">
        <f>IFERROR(__xludf.DUMMYFUNCTION("""COMPUTED_VALUE"""),"Mariia")</f>
        <v>Mariia</v>
      </c>
      <c r="G887" s="6" t="str">
        <f>IFERROR(__xludf.DUMMYFUNCTION("""COMPUTED_VALUE"""),"01/01/2021")</f>
        <v>01/01/2021</v>
      </c>
      <c r="H887" s="6" t="str">
        <f>IFERROR(__xludf.DUMMYFUNCTION("""COMPUTED_VALUE"""),"Self Identify")</f>
        <v>Self Identify</v>
      </c>
      <c r="I887" s="6" t="str">
        <f>IFERROR(__xludf.DUMMYFUNCTION("""COMPUTED_VALUE"""),"Level 2")</f>
        <v>Level 2</v>
      </c>
      <c r="J887" s="6" t="str">
        <f>IFERROR(__xludf.DUMMYFUNCTION("""COMPUTED_VALUE"""),"4")</f>
        <v>4</v>
      </c>
      <c r="K887" s="6" t="str">
        <f>IFERROR(__xludf.DUMMYFUNCTION("""COMPUTED_VALUE"""),"zhydetska.mariia@2hourlearning.com")</f>
        <v>zhydetska.mariia@2hourlearning.com</v>
      </c>
      <c r="L887" s="6" t="str">
        <f>IFERROR(__xludf.DUMMYFUNCTION("""COMPUTED_VALUE"""),"Learn and Earn Poland")</f>
        <v>Learn and Earn Poland</v>
      </c>
      <c r="M887" s="6" t="str">
        <f>IFERROR(__xludf.DUMMYFUNCTION("""COMPUTED_VALUE"""),"")</f>
        <v/>
      </c>
      <c r="N887" s="6" t="str">
        <f>IFERROR(__xludf.DUMMYFUNCTION("""COMPUTED_VALUE"""),"")</f>
        <v/>
      </c>
      <c r="O887" s="87" t="str">
        <f>IFERROR(__xludf.DUMMYFUNCTION("""COMPUTED_VALUE"""),"https://drive.google.com/drive/folders/10T2cTQHqEJZqE-st6uFKPoI?usp=share_link")</f>
        <v>https://drive.google.com/drive/folders/10T2cTQHqEJZqE-st6uFKPoI?usp=share_link</v>
      </c>
      <c r="P887" s="6" t="str">
        <f>IFERROR(__xludf.DUMMYFUNCTION("""COMPUTED_VALUE"""),"Zhydetska Mariia")</f>
        <v>Zhydetska Mariia</v>
      </c>
      <c r="Q887" s="6" t="str">
        <f>IFERROR(__xludf.DUMMYFUNCTION("""COMPUTED_VALUE"""),"L2")</f>
        <v>L2</v>
      </c>
      <c r="R887" s="6">
        <f>IFERROR(__xludf.DUMMYFUNCTION("""COMPUTED_VALUE"""),2.0)</f>
        <v>2</v>
      </c>
      <c r="S887" s="6" t="str">
        <f>IFERROR(__xludf.DUMMYFUNCTION("""COMPUTED_VALUE""")," ")</f>
        <v> </v>
      </c>
      <c r="T887" s="6" t="str">
        <f>IFERROR(__xludf.DUMMYFUNCTION("""COMPUTED_VALUE"""),"")</f>
        <v/>
      </c>
      <c r="U887" s="6" t="str">
        <f>IFERROR(__xludf.DUMMYFUNCTION("""COMPUTED_VALUE"""),"4")</f>
        <v>4</v>
      </c>
      <c r="V887" s="6" t="str">
        <f>IFERROR(__xludf.DUMMYFUNCTION("""COMPUTED_VALUE"""),"English")</f>
        <v>English</v>
      </c>
      <c r="W887" s="6" t="str">
        <f>IFERROR(__xludf.DUMMYFUNCTION("""COMPUTED_VALUE"""),"[]")</f>
        <v>[]</v>
      </c>
      <c r="X887" s="6" t="str">
        <f>IFERROR(__xludf.DUMMYFUNCTION("""COMPUTED_VALUE"""),"Enrolled")</f>
        <v>Enrolled</v>
      </c>
    </row>
    <row r="888">
      <c r="A888" s="6" t="str">
        <f>IFERROR(__xludf.DUMMYFUNCTION("""COMPUTED_VALUE"""),"009-1011")</f>
        <v>009-1011</v>
      </c>
      <c r="B888" s="6" t="str">
        <f>IFERROR(__xludf.DUMMYFUNCTION("""COMPUTED_VALUE"""),"9")</f>
        <v>9</v>
      </c>
      <c r="C888" s="6" t="str">
        <f>IFERROR(__xludf.DUMMYFUNCTION("""COMPUTED_VALUE"""),"1011")</f>
        <v>1011</v>
      </c>
      <c r="D888" s="6" t="str">
        <f>IFERROR(__xludf.DUMMYFUNCTION("""COMPUTED_VALUE"""),"Tymur")</f>
        <v>Tymur</v>
      </c>
      <c r="E888" s="6" t="str">
        <f>IFERROR(__xludf.DUMMYFUNCTION("""COMPUTED_VALUE"""),"")</f>
        <v/>
      </c>
      <c r="F888" s="6" t="str">
        <f>IFERROR(__xludf.DUMMYFUNCTION("""COMPUTED_VALUE"""),"Sapaev")</f>
        <v>Sapaev</v>
      </c>
      <c r="G888" s="6" t="str">
        <f>IFERROR(__xludf.DUMMYFUNCTION("""COMPUTED_VALUE"""),"01/01/2021")</f>
        <v>01/01/2021</v>
      </c>
      <c r="H888" s="6" t="str">
        <f>IFERROR(__xludf.DUMMYFUNCTION("""COMPUTED_VALUE"""),"Self Identify")</f>
        <v>Self Identify</v>
      </c>
      <c r="I888" s="6" t="str">
        <f>IFERROR(__xludf.DUMMYFUNCTION("""COMPUTED_VALUE"""),"Level 2")</f>
        <v>Level 2</v>
      </c>
      <c r="J888" s="6" t="str">
        <f>IFERROR(__xludf.DUMMYFUNCTION("""COMPUTED_VALUE"""),"4")</f>
        <v>4</v>
      </c>
      <c r="K888" s="6" t="str">
        <f>IFERROR(__xludf.DUMMYFUNCTION("""COMPUTED_VALUE"""),"tymur.sapaev@2hourlearning.com")</f>
        <v>tymur.sapaev@2hourlearning.com</v>
      </c>
      <c r="L888" s="6" t="str">
        <f>IFERROR(__xludf.DUMMYFUNCTION("""COMPUTED_VALUE"""),"Learn and Earn Poland")</f>
        <v>Learn and Earn Poland</v>
      </c>
      <c r="M888" s="6" t="str">
        <f>IFERROR(__xludf.DUMMYFUNCTION("""COMPUTED_VALUE"""),"")</f>
        <v/>
      </c>
      <c r="N888" s="6" t="str">
        <f>IFERROR(__xludf.DUMMYFUNCTION("""COMPUTED_VALUE"""),"")</f>
        <v/>
      </c>
      <c r="O888" s="87" t="str">
        <f>IFERROR(__xludf.DUMMYFUNCTION("""COMPUTED_VALUE"""),"https://drive.google.com/drive/folders/10T2cTQHqEJZqE-st6uFKPoI?usp=share_link")</f>
        <v>https://drive.google.com/drive/folders/10T2cTQHqEJZqE-st6uFKPoI?usp=share_link</v>
      </c>
      <c r="P888" s="6" t="str">
        <f>IFERROR(__xludf.DUMMYFUNCTION("""COMPUTED_VALUE"""),"Tymur Sapaev")</f>
        <v>Tymur Sapaev</v>
      </c>
      <c r="Q888" s="6" t="str">
        <f>IFERROR(__xludf.DUMMYFUNCTION("""COMPUTED_VALUE"""),"L2")</f>
        <v>L2</v>
      </c>
      <c r="R888" s="6">
        <f>IFERROR(__xludf.DUMMYFUNCTION("""COMPUTED_VALUE"""),2.0)</f>
        <v>2</v>
      </c>
      <c r="S888" s="6" t="str">
        <f>IFERROR(__xludf.DUMMYFUNCTION("""COMPUTED_VALUE""")," ")</f>
        <v> </v>
      </c>
      <c r="T888" s="6" t="str">
        <f>IFERROR(__xludf.DUMMYFUNCTION("""COMPUTED_VALUE"""),"")</f>
        <v/>
      </c>
      <c r="U888" s="6" t="str">
        <f>IFERROR(__xludf.DUMMYFUNCTION("""COMPUTED_VALUE"""),"4")</f>
        <v>4</v>
      </c>
      <c r="V888" s="6" t="str">
        <f>IFERROR(__xludf.DUMMYFUNCTION("""COMPUTED_VALUE"""),"English")</f>
        <v>English</v>
      </c>
      <c r="W888" s="6" t="str">
        <f>IFERROR(__xludf.DUMMYFUNCTION("""COMPUTED_VALUE"""),"[]")</f>
        <v>[]</v>
      </c>
      <c r="X888" s="6" t="str">
        <f>IFERROR(__xludf.DUMMYFUNCTION("""COMPUTED_VALUE"""),"Enrolled")</f>
        <v>Enrolled</v>
      </c>
    </row>
    <row r="889">
      <c r="A889" s="6" t="str">
        <f>IFERROR(__xludf.DUMMYFUNCTION("""COMPUTED_VALUE"""),"009-1012")</f>
        <v>009-1012</v>
      </c>
      <c r="B889" s="6" t="str">
        <f>IFERROR(__xludf.DUMMYFUNCTION("""COMPUTED_VALUE"""),"9")</f>
        <v>9</v>
      </c>
      <c r="C889" s="6" t="str">
        <f>IFERROR(__xludf.DUMMYFUNCTION("""COMPUTED_VALUE"""),"1012")</f>
        <v>1012</v>
      </c>
      <c r="D889" s="6" t="str">
        <f>IFERROR(__xludf.DUMMYFUNCTION("""COMPUTED_VALUE"""),"Klymenko")</f>
        <v>Klymenko</v>
      </c>
      <c r="E889" s="6" t="str">
        <f>IFERROR(__xludf.DUMMYFUNCTION("""COMPUTED_VALUE"""),"")</f>
        <v/>
      </c>
      <c r="F889" s="6" t="str">
        <f>IFERROR(__xludf.DUMMYFUNCTION("""COMPUTED_VALUE"""),"Ivan")</f>
        <v>Ivan</v>
      </c>
      <c r="G889" s="6" t="str">
        <f>IFERROR(__xludf.DUMMYFUNCTION("""COMPUTED_VALUE"""),"01/01/2021")</f>
        <v>01/01/2021</v>
      </c>
      <c r="H889" s="6" t="str">
        <f>IFERROR(__xludf.DUMMYFUNCTION("""COMPUTED_VALUE"""),"Self Identify")</f>
        <v>Self Identify</v>
      </c>
      <c r="I889" s="6" t="str">
        <f>IFERROR(__xludf.DUMMYFUNCTION("""COMPUTED_VALUE"""),"Level 2")</f>
        <v>Level 2</v>
      </c>
      <c r="J889" s="6" t="str">
        <f>IFERROR(__xludf.DUMMYFUNCTION("""COMPUTED_VALUE"""),"4")</f>
        <v>4</v>
      </c>
      <c r="K889" s="6" t="str">
        <f>IFERROR(__xludf.DUMMYFUNCTION("""COMPUTED_VALUE"""),"klymenko.ivan@2hourlearning.com")</f>
        <v>klymenko.ivan@2hourlearning.com</v>
      </c>
      <c r="L889" s="6" t="str">
        <f>IFERROR(__xludf.DUMMYFUNCTION("""COMPUTED_VALUE"""),"Learn and Earn Poland")</f>
        <v>Learn and Earn Poland</v>
      </c>
      <c r="M889" s="6" t="str">
        <f>IFERROR(__xludf.DUMMYFUNCTION("""COMPUTED_VALUE"""),"")</f>
        <v/>
      </c>
      <c r="N889" s="6" t="str">
        <f>IFERROR(__xludf.DUMMYFUNCTION("""COMPUTED_VALUE"""),"")</f>
        <v/>
      </c>
      <c r="O889" s="87" t="str">
        <f>IFERROR(__xludf.DUMMYFUNCTION("""COMPUTED_VALUE"""),"https://drive.google.com/drive/folders/10T2cTQHqEJZqE-st6uFKPoI?usp=share_link")</f>
        <v>https://drive.google.com/drive/folders/10T2cTQHqEJZqE-st6uFKPoI?usp=share_link</v>
      </c>
      <c r="P889" s="6" t="str">
        <f>IFERROR(__xludf.DUMMYFUNCTION("""COMPUTED_VALUE"""),"Klymenko Ivan")</f>
        <v>Klymenko Ivan</v>
      </c>
      <c r="Q889" s="6" t="str">
        <f>IFERROR(__xludf.DUMMYFUNCTION("""COMPUTED_VALUE"""),"L2")</f>
        <v>L2</v>
      </c>
      <c r="R889" s="6">
        <f>IFERROR(__xludf.DUMMYFUNCTION("""COMPUTED_VALUE"""),2.0)</f>
        <v>2</v>
      </c>
      <c r="S889" s="6" t="str">
        <f>IFERROR(__xludf.DUMMYFUNCTION("""COMPUTED_VALUE""")," ")</f>
        <v> </v>
      </c>
      <c r="T889" s="6" t="str">
        <f>IFERROR(__xludf.DUMMYFUNCTION("""COMPUTED_VALUE"""),"")</f>
        <v/>
      </c>
      <c r="U889" s="6" t="str">
        <f>IFERROR(__xludf.DUMMYFUNCTION("""COMPUTED_VALUE"""),"4")</f>
        <v>4</v>
      </c>
      <c r="V889" s="6" t="str">
        <f>IFERROR(__xludf.DUMMYFUNCTION("""COMPUTED_VALUE"""),"English")</f>
        <v>English</v>
      </c>
      <c r="W889" s="6" t="str">
        <f>IFERROR(__xludf.DUMMYFUNCTION("""COMPUTED_VALUE"""),"[]")</f>
        <v>[]</v>
      </c>
      <c r="X889" s="6" t="str">
        <f>IFERROR(__xludf.DUMMYFUNCTION("""COMPUTED_VALUE"""),"Enrolled")</f>
        <v>Enrolled</v>
      </c>
    </row>
    <row r="890">
      <c r="A890" s="6" t="str">
        <f>IFERROR(__xludf.DUMMYFUNCTION("""COMPUTED_VALUE"""),"009-1013")</f>
        <v>009-1013</v>
      </c>
      <c r="B890" s="6" t="str">
        <f>IFERROR(__xludf.DUMMYFUNCTION("""COMPUTED_VALUE"""),"9")</f>
        <v>9</v>
      </c>
      <c r="C890" s="6" t="str">
        <f>IFERROR(__xludf.DUMMYFUNCTION("""COMPUTED_VALUE"""),"1013")</f>
        <v>1013</v>
      </c>
      <c r="D890" s="6" t="str">
        <f>IFERROR(__xludf.DUMMYFUNCTION("""COMPUTED_VALUE"""),"Mykola")</f>
        <v>Mykola</v>
      </c>
      <c r="E890" s="6" t="str">
        <f>IFERROR(__xludf.DUMMYFUNCTION("""COMPUTED_VALUE"""),"")</f>
        <v/>
      </c>
      <c r="F890" s="6" t="str">
        <f>IFERROR(__xludf.DUMMYFUNCTION("""COMPUTED_VALUE"""),"Klochkov")</f>
        <v>Klochkov</v>
      </c>
      <c r="G890" s="6" t="str">
        <f>IFERROR(__xludf.DUMMYFUNCTION("""COMPUTED_VALUE"""),"01/01/2021")</f>
        <v>01/01/2021</v>
      </c>
      <c r="H890" s="6" t="str">
        <f>IFERROR(__xludf.DUMMYFUNCTION("""COMPUTED_VALUE"""),"Self Identify")</f>
        <v>Self Identify</v>
      </c>
      <c r="I890" s="6" t="str">
        <f>IFERROR(__xludf.DUMMYFUNCTION("""COMPUTED_VALUE"""),"Level 2")</f>
        <v>Level 2</v>
      </c>
      <c r="J890" s="6" t="str">
        <f>IFERROR(__xludf.DUMMYFUNCTION("""COMPUTED_VALUE"""),"4")</f>
        <v>4</v>
      </c>
      <c r="K890" s="6" t="str">
        <f>IFERROR(__xludf.DUMMYFUNCTION("""COMPUTED_VALUE"""),"mykola.klochkov@2hourlearning.com")</f>
        <v>mykola.klochkov@2hourlearning.com</v>
      </c>
      <c r="L890" s="6" t="str">
        <f>IFERROR(__xludf.DUMMYFUNCTION("""COMPUTED_VALUE"""),"Learn and Earn Poland")</f>
        <v>Learn and Earn Poland</v>
      </c>
      <c r="M890" s="6" t="str">
        <f>IFERROR(__xludf.DUMMYFUNCTION("""COMPUTED_VALUE"""),"")</f>
        <v/>
      </c>
      <c r="N890" s="6" t="str">
        <f>IFERROR(__xludf.DUMMYFUNCTION("""COMPUTED_VALUE"""),"")</f>
        <v/>
      </c>
      <c r="O890" s="87" t="str">
        <f>IFERROR(__xludf.DUMMYFUNCTION("""COMPUTED_VALUE"""),"https://drive.google.com/drive/folders/10T2cTQHqEJZqE-st6uFKPoI?usp=share_link")</f>
        <v>https://drive.google.com/drive/folders/10T2cTQHqEJZqE-st6uFKPoI?usp=share_link</v>
      </c>
      <c r="P890" s="6" t="str">
        <f>IFERROR(__xludf.DUMMYFUNCTION("""COMPUTED_VALUE"""),"Mykola Klochkov")</f>
        <v>Mykola Klochkov</v>
      </c>
      <c r="Q890" s="6" t="str">
        <f>IFERROR(__xludf.DUMMYFUNCTION("""COMPUTED_VALUE"""),"L2")</f>
        <v>L2</v>
      </c>
      <c r="R890" s="6">
        <f>IFERROR(__xludf.DUMMYFUNCTION("""COMPUTED_VALUE"""),2.0)</f>
        <v>2</v>
      </c>
      <c r="S890" s="6" t="str">
        <f>IFERROR(__xludf.DUMMYFUNCTION("""COMPUTED_VALUE""")," ")</f>
        <v> </v>
      </c>
      <c r="T890" s="6" t="str">
        <f>IFERROR(__xludf.DUMMYFUNCTION("""COMPUTED_VALUE"""),"")</f>
        <v/>
      </c>
      <c r="U890" s="6" t="str">
        <f>IFERROR(__xludf.DUMMYFUNCTION("""COMPUTED_VALUE"""),"4")</f>
        <v>4</v>
      </c>
      <c r="V890" s="6" t="str">
        <f>IFERROR(__xludf.DUMMYFUNCTION("""COMPUTED_VALUE"""),"English")</f>
        <v>English</v>
      </c>
      <c r="W890" s="6" t="str">
        <f>IFERROR(__xludf.DUMMYFUNCTION("""COMPUTED_VALUE"""),"[]")</f>
        <v>[]</v>
      </c>
      <c r="X890" s="6" t="str">
        <f>IFERROR(__xludf.DUMMYFUNCTION("""COMPUTED_VALUE"""),"Enrolled")</f>
        <v>Enrolled</v>
      </c>
    </row>
    <row r="891">
      <c r="A891" s="6" t="str">
        <f>IFERROR(__xludf.DUMMYFUNCTION("""COMPUTED_VALUE"""),"009-1014")</f>
        <v>009-1014</v>
      </c>
      <c r="B891" s="6" t="str">
        <f>IFERROR(__xludf.DUMMYFUNCTION("""COMPUTED_VALUE"""),"9")</f>
        <v>9</v>
      </c>
      <c r="C891" s="6" t="str">
        <f>IFERROR(__xludf.DUMMYFUNCTION("""COMPUTED_VALUE"""),"1014")</f>
        <v>1014</v>
      </c>
      <c r="D891" s="6" t="str">
        <f>IFERROR(__xludf.DUMMYFUNCTION("""COMPUTED_VALUE"""),"Tymur")</f>
        <v>Tymur</v>
      </c>
      <c r="E891" s="6" t="str">
        <f>IFERROR(__xludf.DUMMYFUNCTION("""COMPUTED_VALUE"""),"")</f>
        <v/>
      </c>
      <c r="F891" s="6" t="str">
        <f>IFERROR(__xludf.DUMMYFUNCTION("""COMPUTED_VALUE"""),"Davydov")</f>
        <v>Davydov</v>
      </c>
      <c r="G891" s="6" t="str">
        <f>IFERROR(__xludf.DUMMYFUNCTION("""COMPUTED_VALUE"""),"01/01/2021")</f>
        <v>01/01/2021</v>
      </c>
      <c r="H891" s="6" t="str">
        <f>IFERROR(__xludf.DUMMYFUNCTION("""COMPUTED_VALUE"""),"Self Identify")</f>
        <v>Self Identify</v>
      </c>
      <c r="I891" s="6" t="str">
        <f>IFERROR(__xludf.DUMMYFUNCTION("""COMPUTED_VALUE"""),"Level 2")</f>
        <v>Level 2</v>
      </c>
      <c r="J891" s="6" t="str">
        <f>IFERROR(__xludf.DUMMYFUNCTION("""COMPUTED_VALUE"""),"4")</f>
        <v>4</v>
      </c>
      <c r="K891" s="6" t="str">
        <f>IFERROR(__xludf.DUMMYFUNCTION("""COMPUTED_VALUE"""),"tymur.davydov@2hourlearning.com")</f>
        <v>tymur.davydov@2hourlearning.com</v>
      </c>
      <c r="L891" s="6" t="str">
        <f>IFERROR(__xludf.DUMMYFUNCTION("""COMPUTED_VALUE"""),"Learn and Earn Poland")</f>
        <v>Learn and Earn Poland</v>
      </c>
      <c r="M891" s="6" t="str">
        <f>IFERROR(__xludf.DUMMYFUNCTION("""COMPUTED_VALUE"""),"")</f>
        <v/>
      </c>
      <c r="N891" s="6" t="str">
        <f>IFERROR(__xludf.DUMMYFUNCTION("""COMPUTED_VALUE"""),"")</f>
        <v/>
      </c>
      <c r="O891" s="87" t="str">
        <f>IFERROR(__xludf.DUMMYFUNCTION("""COMPUTED_VALUE"""),"https://drive.google.com/drive/folders/10T2cTQHqEJZqE-st6uFKPoI?usp=share_link")</f>
        <v>https://drive.google.com/drive/folders/10T2cTQHqEJZqE-st6uFKPoI?usp=share_link</v>
      </c>
      <c r="P891" s="6" t="str">
        <f>IFERROR(__xludf.DUMMYFUNCTION("""COMPUTED_VALUE"""),"Tymur Davydov")</f>
        <v>Tymur Davydov</v>
      </c>
      <c r="Q891" s="6" t="str">
        <f>IFERROR(__xludf.DUMMYFUNCTION("""COMPUTED_VALUE"""),"L2")</f>
        <v>L2</v>
      </c>
      <c r="R891" s="6">
        <f>IFERROR(__xludf.DUMMYFUNCTION("""COMPUTED_VALUE"""),2.0)</f>
        <v>2</v>
      </c>
      <c r="S891" s="6" t="str">
        <f>IFERROR(__xludf.DUMMYFUNCTION("""COMPUTED_VALUE""")," ")</f>
        <v> </v>
      </c>
      <c r="T891" s="6" t="str">
        <f>IFERROR(__xludf.DUMMYFUNCTION("""COMPUTED_VALUE"""),"")</f>
        <v/>
      </c>
      <c r="U891" s="6" t="str">
        <f>IFERROR(__xludf.DUMMYFUNCTION("""COMPUTED_VALUE"""),"4")</f>
        <v>4</v>
      </c>
      <c r="V891" s="6" t="str">
        <f>IFERROR(__xludf.DUMMYFUNCTION("""COMPUTED_VALUE"""),"English")</f>
        <v>English</v>
      </c>
      <c r="W891" s="6" t="str">
        <f>IFERROR(__xludf.DUMMYFUNCTION("""COMPUTED_VALUE"""),"[]")</f>
        <v>[]</v>
      </c>
      <c r="X891" s="6" t="str">
        <f>IFERROR(__xludf.DUMMYFUNCTION("""COMPUTED_VALUE"""),"Enrolled")</f>
        <v>Enrolled</v>
      </c>
    </row>
    <row r="892">
      <c r="A892" s="6" t="str">
        <f>IFERROR(__xludf.DUMMYFUNCTION("""COMPUTED_VALUE"""),"009-1015")</f>
        <v>009-1015</v>
      </c>
      <c r="B892" s="6" t="str">
        <f>IFERROR(__xludf.DUMMYFUNCTION("""COMPUTED_VALUE"""),"9")</f>
        <v>9</v>
      </c>
      <c r="C892" s="6" t="str">
        <f>IFERROR(__xludf.DUMMYFUNCTION("""COMPUTED_VALUE"""),"1015")</f>
        <v>1015</v>
      </c>
      <c r="D892" s="6" t="str">
        <f>IFERROR(__xludf.DUMMYFUNCTION("""COMPUTED_VALUE"""),"Feyt")</f>
        <v>Feyt</v>
      </c>
      <c r="E892" s="6" t="str">
        <f>IFERROR(__xludf.DUMMYFUNCTION("""COMPUTED_VALUE"""),"")</f>
        <v/>
      </c>
      <c r="F892" s="6" t="str">
        <f>IFERROR(__xludf.DUMMYFUNCTION("""COMPUTED_VALUE"""),"Moroz")</f>
        <v>Moroz</v>
      </c>
      <c r="G892" s="6" t="str">
        <f>IFERROR(__xludf.DUMMYFUNCTION("""COMPUTED_VALUE"""),"01/01/2021")</f>
        <v>01/01/2021</v>
      </c>
      <c r="H892" s="6" t="str">
        <f>IFERROR(__xludf.DUMMYFUNCTION("""COMPUTED_VALUE"""),"Self Identify")</f>
        <v>Self Identify</v>
      </c>
      <c r="I892" s="6" t="str">
        <f>IFERROR(__xludf.DUMMYFUNCTION("""COMPUTED_VALUE"""),"Level 2")</f>
        <v>Level 2</v>
      </c>
      <c r="J892" s="6" t="str">
        <f>IFERROR(__xludf.DUMMYFUNCTION("""COMPUTED_VALUE"""),"4")</f>
        <v>4</v>
      </c>
      <c r="K892" s="6" t="str">
        <f>IFERROR(__xludf.DUMMYFUNCTION("""COMPUTED_VALUE"""),"feyt.moroz@2hourlearning.com")</f>
        <v>feyt.moroz@2hourlearning.com</v>
      </c>
      <c r="L892" s="6" t="str">
        <f>IFERROR(__xludf.DUMMYFUNCTION("""COMPUTED_VALUE"""),"Learn and Earn Poland")</f>
        <v>Learn and Earn Poland</v>
      </c>
      <c r="M892" s="6" t="str">
        <f>IFERROR(__xludf.DUMMYFUNCTION("""COMPUTED_VALUE"""),"")</f>
        <v/>
      </c>
      <c r="N892" s="6" t="str">
        <f>IFERROR(__xludf.DUMMYFUNCTION("""COMPUTED_VALUE"""),"")</f>
        <v/>
      </c>
      <c r="O892" s="87" t="str">
        <f>IFERROR(__xludf.DUMMYFUNCTION("""COMPUTED_VALUE"""),"https://drive.google.com/drive/folders/10T2cTQHqEJZqE-st6uFKPoI?usp=share_link")</f>
        <v>https://drive.google.com/drive/folders/10T2cTQHqEJZqE-st6uFKPoI?usp=share_link</v>
      </c>
      <c r="P892" s="6" t="str">
        <f>IFERROR(__xludf.DUMMYFUNCTION("""COMPUTED_VALUE"""),"Feyt Moroz")</f>
        <v>Feyt Moroz</v>
      </c>
      <c r="Q892" s="6" t="str">
        <f>IFERROR(__xludf.DUMMYFUNCTION("""COMPUTED_VALUE"""),"L2")</f>
        <v>L2</v>
      </c>
      <c r="R892" s="6">
        <f>IFERROR(__xludf.DUMMYFUNCTION("""COMPUTED_VALUE"""),2.0)</f>
        <v>2</v>
      </c>
      <c r="S892" s="6" t="str">
        <f>IFERROR(__xludf.DUMMYFUNCTION("""COMPUTED_VALUE""")," ")</f>
        <v> </v>
      </c>
      <c r="T892" s="6" t="str">
        <f>IFERROR(__xludf.DUMMYFUNCTION("""COMPUTED_VALUE"""),"")</f>
        <v/>
      </c>
      <c r="U892" s="6" t="str">
        <f>IFERROR(__xludf.DUMMYFUNCTION("""COMPUTED_VALUE"""),"4")</f>
        <v>4</v>
      </c>
      <c r="V892" s="6" t="str">
        <f>IFERROR(__xludf.DUMMYFUNCTION("""COMPUTED_VALUE"""),"English")</f>
        <v>English</v>
      </c>
      <c r="W892" s="6" t="str">
        <f>IFERROR(__xludf.DUMMYFUNCTION("""COMPUTED_VALUE"""),"[]")</f>
        <v>[]</v>
      </c>
      <c r="X892" s="6" t="str">
        <f>IFERROR(__xludf.DUMMYFUNCTION("""COMPUTED_VALUE"""),"Enrolled")</f>
        <v>Enrolled</v>
      </c>
    </row>
    <row r="893">
      <c r="A893" s="6" t="str">
        <f>IFERROR(__xludf.DUMMYFUNCTION("""COMPUTED_VALUE"""),"009-1016")</f>
        <v>009-1016</v>
      </c>
      <c r="B893" s="6" t="str">
        <f>IFERROR(__xludf.DUMMYFUNCTION("""COMPUTED_VALUE"""),"9")</f>
        <v>9</v>
      </c>
      <c r="C893" s="6" t="str">
        <f>IFERROR(__xludf.DUMMYFUNCTION("""COMPUTED_VALUE"""),"1016")</f>
        <v>1016</v>
      </c>
      <c r="D893" s="6" t="str">
        <f>IFERROR(__xludf.DUMMYFUNCTION("""COMPUTED_VALUE"""),"Valeriia")</f>
        <v>Valeriia</v>
      </c>
      <c r="E893" s="6" t="str">
        <f>IFERROR(__xludf.DUMMYFUNCTION("""COMPUTED_VALUE"""),"")</f>
        <v/>
      </c>
      <c r="F893" s="6" t="str">
        <f>IFERROR(__xludf.DUMMYFUNCTION("""COMPUTED_VALUE"""),"Sitalo")</f>
        <v>Sitalo</v>
      </c>
      <c r="G893" s="6" t="str">
        <f>IFERROR(__xludf.DUMMYFUNCTION("""COMPUTED_VALUE"""),"01/01/2021")</f>
        <v>01/01/2021</v>
      </c>
      <c r="H893" s="6" t="str">
        <f>IFERROR(__xludf.DUMMYFUNCTION("""COMPUTED_VALUE"""),"Self Identify")</f>
        <v>Self Identify</v>
      </c>
      <c r="I893" s="6" t="str">
        <f>IFERROR(__xludf.DUMMYFUNCTION("""COMPUTED_VALUE"""),"Level 2")</f>
        <v>Level 2</v>
      </c>
      <c r="J893" s="6" t="str">
        <f>IFERROR(__xludf.DUMMYFUNCTION("""COMPUTED_VALUE"""),"4")</f>
        <v>4</v>
      </c>
      <c r="K893" s="6" t="str">
        <f>IFERROR(__xludf.DUMMYFUNCTION("""COMPUTED_VALUE"""),"valeriia.sitalo@2hourlearning.com")</f>
        <v>valeriia.sitalo@2hourlearning.com</v>
      </c>
      <c r="L893" s="6" t="str">
        <f>IFERROR(__xludf.DUMMYFUNCTION("""COMPUTED_VALUE"""),"Learn and Earn Poland")</f>
        <v>Learn and Earn Poland</v>
      </c>
      <c r="M893" s="6" t="str">
        <f>IFERROR(__xludf.DUMMYFUNCTION("""COMPUTED_VALUE"""),"")</f>
        <v/>
      </c>
      <c r="N893" s="6" t="str">
        <f>IFERROR(__xludf.DUMMYFUNCTION("""COMPUTED_VALUE"""),"")</f>
        <v/>
      </c>
      <c r="O893" s="87" t="str">
        <f>IFERROR(__xludf.DUMMYFUNCTION("""COMPUTED_VALUE"""),"https://drive.google.com/drive/folders/10T2cTQHqEJZqE-st6uFKPoI?usp=share_link")</f>
        <v>https://drive.google.com/drive/folders/10T2cTQHqEJZqE-st6uFKPoI?usp=share_link</v>
      </c>
      <c r="P893" s="6" t="str">
        <f>IFERROR(__xludf.DUMMYFUNCTION("""COMPUTED_VALUE"""),"Valeriia Sitalo")</f>
        <v>Valeriia Sitalo</v>
      </c>
      <c r="Q893" s="6" t="str">
        <f>IFERROR(__xludf.DUMMYFUNCTION("""COMPUTED_VALUE"""),"L2")</f>
        <v>L2</v>
      </c>
      <c r="R893" s="6">
        <f>IFERROR(__xludf.DUMMYFUNCTION("""COMPUTED_VALUE"""),2.0)</f>
        <v>2</v>
      </c>
      <c r="S893" s="6" t="str">
        <f>IFERROR(__xludf.DUMMYFUNCTION("""COMPUTED_VALUE""")," ")</f>
        <v> </v>
      </c>
      <c r="T893" s="6" t="str">
        <f>IFERROR(__xludf.DUMMYFUNCTION("""COMPUTED_VALUE"""),"")</f>
        <v/>
      </c>
      <c r="U893" s="6" t="str">
        <f>IFERROR(__xludf.DUMMYFUNCTION("""COMPUTED_VALUE"""),"4")</f>
        <v>4</v>
      </c>
      <c r="V893" s="6" t="str">
        <f>IFERROR(__xludf.DUMMYFUNCTION("""COMPUTED_VALUE"""),"English")</f>
        <v>English</v>
      </c>
      <c r="W893" s="6" t="str">
        <f>IFERROR(__xludf.DUMMYFUNCTION("""COMPUTED_VALUE"""),"[]")</f>
        <v>[]</v>
      </c>
      <c r="X893" s="6" t="str">
        <f>IFERROR(__xludf.DUMMYFUNCTION("""COMPUTED_VALUE"""),"Enrolled")</f>
        <v>Enrolled</v>
      </c>
    </row>
    <row r="894">
      <c r="A894" s="6" t="str">
        <f>IFERROR(__xludf.DUMMYFUNCTION("""COMPUTED_VALUE"""),"009-1017")</f>
        <v>009-1017</v>
      </c>
      <c r="B894" s="6" t="str">
        <f>IFERROR(__xludf.DUMMYFUNCTION("""COMPUTED_VALUE"""),"9")</f>
        <v>9</v>
      </c>
      <c r="C894" s="6" t="str">
        <f>IFERROR(__xludf.DUMMYFUNCTION("""COMPUTED_VALUE"""),"1017")</f>
        <v>1017</v>
      </c>
      <c r="D894" s="6" t="str">
        <f>IFERROR(__xludf.DUMMYFUNCTION("""COMPUTED_VALUE"""),"Nazar")</f>
        <v>Nazar</v>
      </c>
      <c r="E894" s="6" t="str">
        <f>IFERROR(__xludf.DUMMYFUNCTION("""COMPUTED_VALUE"""),"")</f>
        <v/>
      </c>
      <c r="F894" s="6" t="str">
        <f>IFERROR(__xludf.DUMMYFUNCTION("""COMPUTED_VALUE"""),"Kuznetsov")</f>
        <v>Kuznetsov</v>
      </c>
      <c r="G894" s="6" t="str">
        <f>IFERROR(__xludf.DUMMYFUNCTION("""COMPUTED_VALUE"""),"01/01/2020")</f>
        <v>01/01/2020</v>
      </c>
      <c r="H894" s="6" t="str">
        <f>IFERROR(__xludf.DUMMYFUNCTION("""COMPUTED_VALUE"""),"Self Identify")</f>
        <v>Self Identify</v>
      </c>
      <c r="I894" s="6" t="str">
        <f>IFERROR(__xludf.DUMMYFUNCTION("""COMPUTED_VALUE"""),"Level 2")</f>
        <v>Level 2</v>
      </c>
      <c r="J894" s="6" t="str">
        <f>IFERROR(__xludf.DUMMYFUNCTION("""COMPUTED_VALUE"""),"5")</f>
        <v>5</v>
      </c>
      <c r="K894" s="6" t="str">
        <f>IFERROR(__xludf.DUMMYFUNCTION("""COMPUTED_VALUE"""),"nazar.kuznetsov@2hourlearning.com")</f>
        <v>nazar.kuznetsov@2hourlearning.com</v>
      </c>
      <c r="L894" s="6" t="str">
        <f>IFERROR(__xludf.DUMMYFUNCTION("""COMPUTED_VALUE"""),"Learn and Earn Poland")</f>
        <v>Learn and Earn Poland</v>
      </c>
      <c r="M894" s="6" t="str">
        <f>IFERROR(__xludf.DUMMYFUNCTION("""COMPUTED_VALUE"""),"")</f>
        <v/>
      </c>
      <c r="N894" s="6" t="str">
        <f>IFERROR(__xludf.DUMMYFUNCTION("""COMPUTED_VALUE"""),"")</f>
        <v/>
      </c>
      <c r="O894" s="87" t="str">
        <f>IFERROR(__xludf.DUMMYFUNCTION("""COMPUTED_VALUE"""),"https://drive.google.com/drive/folders/10T2cTQHqEJZqE-st6uFKPoI?usp=share_link")</f>
        <v>https://drive.google.com/drive/folders/10T2cTQHqEJZqE-st6uFKPoI?usp=share_link</v>
      </c>
      <c r="P894" s="6" t="str">
        <f>IFERROR(__xludf.DUMMYFUNCTION("""COMPUTED_VALUE"""),"Nazar Kuznetsov")</f>
        <v>Nazar Kuznetsov</v>
      </c>
      <c r="Q894" s="6" t="str">
        <f>IFERROR(__xludf.DUMMYFUNCTION("""COMPUTED_VALUE"""),"L2")</f>
        <v>L2</v>
      </c>
      <c r="R894" s="6">
        <f>IFERROR(__xludf.DUMMYFUNCTION("""COMPUTED_VALUE"""),2.0)</f>
        <v>2</v>
      </c>
      <c r="S894" s="6" t="str">
        <f>IFERROR(__xludf.DUMMYFUNCTION("""COMPUTED_VALUE""")," ")</f>
        <v> </v>
      </c>
      <c r="T894" s="6" t="str">
        <f>IFERROR(__xludf.DUMMYFUNCTION("""COMPUTED_VALUE"""),"")</f>
        <v/>
      </c>
      <c r="U894" s="6" t="str">
        <f>IFERROR(__xludf.DUMMYFUNCTION("""COMPUTED_VALUE"""),"5")</f>
        <v>5</v>
      </c>
      <c r="V894" s="6" t="str">
        <f>IFERROR(__xludf.DUMMYFUNCTION("""COMPUTED_VALUE"""),"English")</f>
        <v>English</v>
      </c>
      <c r="W894" s="6" t="str">
        <f>IFERROR(__xludf.DUMMYFUNCTION("""COMPUTED_VALUE"""),"[]")</f>
        <v>[]</v>
      </c>
      <c r="X894" s="6" t="str">
        <f>IFERROR(__xludf.DUMMYFUNCTION("""COMPUTED_VALUE"""),"Enrolled")</f>
        <v>Enrolled</v>
      </c>
    </row>
    <row r="895">
      <c r="A895" s="6" t="str">
        <f>IFERROR(__xludf.DUMMYFUNCTION("""COMPUTED_VALUE"""),"009-1018")</f>
        <v>009-1018</v>
      </c>
      <c r="B895" s="6" t="str">
        <f>IFERROR(__xludf.DUMMYFUNCTION("""COMPUTED_VALUE"""),"9")</f>
        <v>9</v>
      </c>
      <c r="C895" s="6" t="str">
        <f>IFERROR(__xludf.DUMMYFUNCTION("""COMPUTED_VALUE"""),"1018")</f>
        <v>1018</v>
      </c>
      <c r="D895" s="6" t="str">
        <f>IFERROR(__xludf.DUMMYFUNCTION("""COMPUTED_VALUE"""),"Volodymyr")</f>
        <v>Volodymyr</v>
      </c>
      <c r="E895" s="6" t="str">
        <f>IFERROR(__xludf.DUMMYFUNCTION("""COMPUTED_VALUE"""),"")</f>
        <v/>
      </c>
      <c r="F895" s="6" t="str">
        <f>IFERROR(__xludf.DUMMYFUNCTION("""COMPUTED_VALUE"""),"Kudelia")</f>
        <v>Kudelia</v>
      </c>
      <c r="G895" s="6" t="str">
        <f>IFERROR(__xludf.DUMMYFUNCTION("""COMPUTED_VALUE"""),"01/01/2020")</f>
        <v>01/01/2020</v>
      </c>
      <c r="H895" s="6" t="str">
        <f>IFERROR(__xludf.DUMMYFUNCTION("""COMPUTED_VALUE"""),"Self Identify")</f>
        <v>Self Identify</v>
      </c>
      <c r="I895" s="6" t="str">
        <f>IFERROR(__xludf.DUMMYFUNCTION("""COMPUTED_VALUE"""),"Level 2")</f>
        <v>Level 2</v>
      </c>
      <c r="J895" s="6" t="str">
        <f>IFERROR(__xludf.DUMMYFUNCTION("""COMPUTED_VALUE"""),"5")</f>
        <v>5</v>
      </c>
      <c r="K895" s="6" t="str">
        <f>IFERROR(__xludf.DUMMYFUNCTION("""COMPUTED_VALUE"""),"volodymyr.kudelia@2hourlearning.com")</f>
        <v>volodymyr.kudelia@2hourlearning.com</v>
      </c>
      <c r="L895" s="6" t="str">
        <f>IFERROR(__xludf.DUMMYFUNCTION("""COMPUTED_VALUE"""),"Learn and Earn Poland")</f>
        <v>Learn and Earn Poland</v>
      </c>
      <c r="M895" s="6" t="str">
        <f>IFERROR(__xludf.DUMMYFUNCTION("""COMPUTED_VALUE"""),"")</f>
        <v/>
      </c>
      <c r="N895" s="6" t="str">
        <f>IFERROR(__xludf.DUMMYFUNCTION("""COMPUTED_VALUE"""),"")</f>
        <v/>
      </c>
      <c r="O895" s="87" t="str">
        <f>IFERROR(__xludf.DUMMYFUNCTION("""COMPUTED_VALUE"""),"https://drive.google.com/drive/folders/10T2cTQHqEJZqE-st6uFKPoI?usp=share_link")</f>
        <v>https://drive.google.com/drive/folders/10T2cTQHqEJZqE-st6uFKPoI?usp=share_link</v>
      </c>
      <c r="P895" s="6" t="str">
        <f>IFERROR(__xludf.DUMMYFUNCTION("""COMPUTED_VALUE"""),"Volodymyr Kudelia")</f>
        <v>Volodymyr Kudelia</v>
      </c>
      <c r="Q895" s="6" t="str">
        <f>IFERROR(__xludf.DUMMYFUNCTION("""COMPUTED_VALUE"""),"L2")</f>
        <v>L2</v>
      </c>
      <c r="R895" s="6">
        <f>IFERROR(__xludf.DUMMYFUNCTION("""COMPUTED_VALUE"""),2.0)</f>
        <v>2</v>
      </c>
      <c r="S895" s="6" t="str">
        <f>IFERROR(__xludf.DUMMYFUNCTION("""COMPUTED_VALUE""")," ")</f>
        <v> </v>
      </c>
      <c r="T895" s="6" t="str">
        <f>IFERROR(__xludf.DUMMYFUNCTION("""COMPUTED_VALUE"""),"")</f>
        <v/>
      </c>
      <c r="U895" s="6" t="str">
        <f>IFERROR(__xludf.DUMMYFUNCTION("""COMPUTED_VALUE"""),"5")</f>
        <v>5</v>
      </c>
      <c r="V895" s="6" t="str">
        <f>IFERROR(__xludf.DUMMYFUNCTION("""COMPUTED_VALUE"""),"English")</f>
        <v>English</v>
      </c>
      <c r="W895" s="6" t="str">
        <f>IFERROR(__xludf.DUMMYFUNCTION("""COMPUTED_VALUE"""),"[]")</f>
        <v>[]</v>
      </c>
      <c r="X895" s="6" t="str">
        <f>IFERROR(__xludf.DUMMYFUNCTION("""COMPUTED_VALUE"""),"Enrolled")</f>
        <v>Enrolled</v>
      </c>
    </row>
    <row r="896">
      <c r="A896" s="6" t="str">
        <f>IFERROR(__xludf.DUMMYFUNCTION("""COMPUTED_VALUE"""),"009-1019")</f>
        <v>009-1019</v>
      </c>
      <c r="B896" s="6" t="str">
        <f>IFERROR(__xludf.DUMMYFUNCTION("""COMPUTED_VALUE"""),"9")</f>
        <v>9</v>
      </c>
      <c r="C896" s="6" t="str">
        <f>IFERROR(__xludf.DUMMYFUNCTION("""COMPUTED_VALUE"""),"1019")</f>
        <v>1019</v>
      </c>
      <c r="D896" s="6" t="str">
        <f>IFERROR(__xludf.DUMMYFUNCTION("""COMPUTED_VALUE"""),"Andrii")</f>
        <v>Andrii</v>
      </c>
      <c r="E896" s="6" t="str">
        <f>IFERROR(__xludf.DUMMYFUNCTION("""COMPUTED_VALUE"""),"")</f>
        <v/>
      </c>
      <c r="F896" s="6" t="str">
        <f>IFERROR(__xludf.DUMMYFUNCTION("""COMPUTED_VALUE"""),"Marushchak")</f>
        <v>Marushchak</v>
      </c>
      <c r="G896" s="6" t="str">
        <f>IFERROR(__xludf.DUMMYFUNCTION("""COMPUTED_VALUE"""),"01/01/2020")</f>
        <v>01/01/2020</v>
      </c>
      <c r="H896" s="6" t="str">
        <f>IFERROR(__xludf.DUMMYFUNCTION("""COMPUTED_VALUE"""),"Self Identify")</f>
        <v>Self Identify</v>
      </c>
      <c r="I896" s="6" t="str">
        <f>IFERROR(__xludf.DUMMYFUNCTION("""COMPUTED_VALUE"""),"Level 2")</f>
        <v>Level 2</v>
      </c>
      <c r="J896" s="6" t="str">
        <f>IFERROR(__xludf.DUMMYFUNCTION("""COMPUTED_VALUE"""),"5")</f>
        <v>5</v>
      </c>
      <c r="K896" s="6" t="str">
        <f>IFERROR(__xludf.DUMMYFUNCTION("""COMPUTED_VALUE"""),"andrii.marushchak@2hourlearning.com")</f>
        <v>andrii.marushchak@2hourlearning.com</v>
      </c>
      <c r="L896" s="6" t="str">
        <f>IFERROR(__xludf.DUMMYFUNCTION("""COMPUTED_VALUE"""),"Learn and Earn Poland")</f>
        <v>Learn and Earn Poland</v>
      </c>
      <c r="M896" s="6" t="str">
        <f>IFERROR(__xludf.DUMMYFUNCTION("""COMPUTED_VALUE"""),"")</f>
        <v/>
      </c>
      <c r="N896" s="6" t="str">
        <f>IFERROR(__xludf.DUMMYFUNCTION("""COMPUTED_VALUE"""),"")</f>
        <v/>
      </c>
      <c r="O896" s="87" t="str">
        <f>IFERROR(__xludf.DUMMYFUNCTION("""COMPUTED_VALUE"""),"https://drive.google.com/drive/folders/10T2cTQHqEJZqE-st6uFKPoI?usp=share_link")</f>
        <v>https://drive.google.com/drive/folders/10T2cTQHqEJZqE-st6uFKPoI?usp=share_link</v>
      </c>
      <c r="P896" s="6" t="str">
        <f>IFERROR(__xludf.DUMMYFUNCTION("""COMPUTED_VALUE"""),"Andrii Marushchak")</f>
        <v>Andrii Marushchak</v>
      </c>
      <c r="Q896" s="6" t="str">
        <f>IFERROR(__xludf.DUMMYFUNCTION("""COMPUTED_VALUE"""),"L2")</f>
        <v>L2</v>
      </c>
      <c r="R896" s="6">
        <f>IFERROR(__xludf.DUMMYFUNCTION("""COMPUTED_VALUE"""),2.0)</f>
        <v>2</v>
      </c>
      <c r="S896" s="6" t="str">
        <f>IFERROR(__xludf.DUMMYFUNCTION("""COMPUTED_VALUE""")," ")</f>
        <v> </v>
      </c>
      <c r="T896" s="6" t="str">
        <f>IFERROR(__xludf.DUMMYFUNCTION("""COMPUTED_VALUE"""),"")</f>
        <v/>
      </c>
      <c r="U896" s="6" t="str">
        <f>IFERROR(__xludf.DUMMYFUNCTION("""COMPUTED_VALUE"""),"5")</f>
        <v>5</v>
      </c>
      <c r="V896" s="6" t="str">
        <f>IFERROR(__xludf.DUMMYFUNCTION("""COMPUTED_VALUE"""),"English")</f>
        <v>English</v>
      </c>
      <c r="W896" s="6" t="str">
        <f>IFERROR(__xludf.DUMMYFUNCTION("""COMPUTED_VALUE"""),"[]")</f>
        <v>[]</v>
      </c>
      <c r="X896" s="6" t="str">
        <f>IFERROR(__xludf.DUMMYFUNCTION("""COMPUTED_VALUE"""),"Enrolled")</f>
        <v>Enrolled</v>
      </c>
    </row>
    <row r="897">
      <c r="A897" s="6" t="str">
        <f>IFERROR(__xludf.DUMMYFUNCTION("""COMPUTED_VALUE"""),"009-1020")</f>
        <v>009-1020</v>
      </c>
      <c r="B897" s="6" t="str">
        <f>IFERROR(__xludf.DUMMYFUNCTION("""COMPUTED_VALUE"""),"9")</f>
        <v>9</v>
      </c>
      <c r="C897" s="6" t="str">
        <f>IFERROR(__xludf.DUMMYFUNCTION("""COMPUTED_VALUE"""),"1020")</f>
        <v>1020</v>
      </c>
      <c r="D897" s="6" t="str">
        <f>IFERROR(__xludf.DUMMYFUNCTION("""COMPUTED_VALUE"""),"Sifia")</f>
        <v>Sifia</v>
      </c>
      <c r="E897" s="6" t="str">
        <f>IFERROR(__xludf.DUMMYFUNCTION("""COMPUTED_VALUE"""),"")</f>
        <v/>
      </c>
      <c r="F897" s="6" t="str">
        <f>IFERROR(__xludf.DUMMYFUNCTION("""COMPUTED_VALUE"""),"Matiyuk")</f>
        <v>Matiyuk</v>
      </c>
      <c r="G897" s="6" t="str">
        <f>IFERROR(__xludf.DUMMYFUNCTION("""COMPUTED_VALUE"""),"01/01/2020")</f>
        <v>01/01/2020</v>
      </c>
      <c r="H897" s="6" t="str">
        <f>IFERROR(__xludf.DUMMYFUNCTION("""COMPUTED_VALUE"""),"Self Identify")</f>
        <v>Self Identify</v>
      </c>
      <c r="I897" s="6" t="str">
        <f>IFERROR(__xludf.DUMMYFUNCTION("""COMPUTED_VALUE"""),"Level 2")</f>
        <v>Level 2</v>
      </c>
      <c r="J897" s="6" t="str">
        <f>IFERROR(__xludf.DUMMYFUNCTION("""COMPUTED_VALUE"""),"5")</f>
        <v>5</v>
      </c>
      <c r="K897" s="6" t="str">
        <f>IFERROR(__xludf.DUMMYFUNCTION("""COMPUTED_VALUE"""),"sifia.matiyuk@2hourlearning.com")</f>
        <v>sifia.matiyuk@2hourlearning.com</v>
      </c>
      <c r="L897" s="6" t="str">
        <f>IFERROR(__xludf.DUMMYFUNCTION("""COMPUTED_VALUE"""),"Learn and Earn Poland")</f>
        <v>Learn and Earn Poland</v>
      </c>
      <c r="M897" s="6" t="str">
        <f>IFERROR(__xludf.DUMMYFUNCTION("""COMPUTED_VALUE"""),"")</f>
        <v/>
      </c>
      <c r="N897" s="6" t="str">
        <f>IFERROR(__xludf.DUMMYFUNCTION("""COMPUTED_VALUE"""),"")</f>
        <v/>
      </c>
      <c r="O897" s="87" t="str">
        <f>IFERROR(__xludf.DUMMYFUNCTION("""COMPUTED_VALUE"""),"https://drive.google.com/drive/folders/10T2cTQHqEJZqE-st6uFKPoI?usp=share_link")</f>
        <v>https://drive.google.com/drive/folders/10T2cTQHqEJZqE-st6uFKPoI?usp=share_link</v>
      </c>
      <c r="P897" s="6" t="str">
        <f>IFERROR(__xludf.DUMMYFUNCTION("""COMPUTED_VALUE"""),"Sifia Matiyuk")</f>
        <v>Sifia Matiyuk</v>
      </c>
      <c r="Q897" s="6" t="str">
        <f>IFERROR(__xludf.DUMMYFUNCTION("""COMPUTED_VALUE"""),"L2")</f>
        <v>L2</v>
      </c>
      <c r="R897" s="6">
        <f>IFERROR(__xludf.DUMMYFUNCTION("""COMPUTED_VALUE"""),2.0)</f>
        <v>2</v>
      </c>
      <c r="S897" s="6" t="str">
        <f>IFERROR(__xludf.DUMMYFUNCTION("""COMPUTED_VALUE""")," ")</f>
        <v> </v>
      </c>
      <c r="T897" s="6" t="str">
        <f>IFERROR(__xludf.DUMMYFUNCTION("""COMPUTED_VALUE"""),"")</f>
        <v/>
      </c>
      <c r="U897" s="6" t="str">
        <f>IFERROR(__xludf.DUMMYFUNCTION("""COMPUTED_VALUE"""),"5")</f>
        <v>5</v>
      </c>
      <c r="V897" s="6" t="str">
        <f>IFERROR(__xludf.DUMMYFUNCTION("""COMPUTED_VALUE"""),"English")</f>
        <v>English</v>
      </c>
      <c r="W897" s="6" t="str">
        <f>IFERROR(__xludf.DUMMYFUNCTION("""COMPUTED_VALUE"""),"[]")</f>
        <v>[]</v>
      </c>
      <c r="X897" s="6" t="str">
        <f>IFERROR(__xludf.DUMMYFUNCTION("""COMPUTED_VALUE"""),"Enrolled")</f>
        <v>Enrolled</v>
      </c>
    </row>
    <row r="898">
      <c r="A898" s="6" t="str">
        <f>IFERROR(__xludf.DUMMYFUNCTION("""COMPUTED_VALUE"""),"009-1021")</f>
        <v>009-1021</v>
      </c>
      <c r="B898" s="6" t="str">
        <f>IFERROR(__xludf.DUMMYFUNCTION("""COMPUTED_VALUE"""),"9")</f>
        <v>9</v>
      </c>
      <c r="C898" s="6" t="str">
        <f>IFERROR(__xludf.DUMMYFUNCTION("""COMPUTED_VALUE"""),"1021")</f>
        <v>1021</v>
      </c>
      <c r="D898" s="6" t="str">
        <f>IFERROR(__xludf.DUMMYFUNCTION("""COMPUTED_VALUE"""),"Anna")</f>
        <v>Anna</v>
      </c>
      <c r="E898" s="6" t="str">
        <f>IFERROR(__xludf.DUMMYFUNCTION("""COMPUTED_VALUE"""),"")</f>
        <v/>
      </c>
      <c r="F898" s="6" t="str">
        <f>IFERROR(__xludf.DUMMYFUNCTION("""COMPUTED_VALUE"""),"Kudelia")</f>
        <v>Kudelia</v>
      </c>
      <c r="G898" s="6" t="str">
        <f>IFERROR(__xludf.DUMMYFUNCTION("""COMPUTED_VALUE"""),"01/01/2019")</f>
        <v>01/01/2019</v>
      </c>
      <c r="H898" s="6" t="str">
        <f>IFERROR(__xludf.DUMMYFUNCTION("""COMPUTED_VALUE"""),"Self Identify")</f>
        <v>Self Identify</v>
      </c>
      <c r="I898" s="6" t="str">
        <f>IFERROR(__xludf.DUMMYFUNCTION("""COMPUTED_VALUE"""),"Middle School")</f>
        <v>Middle School</v>
      </c>
      <c r="J898" s="6" t="str">
        <f>IFERROR(__xludf.DUMMYFUNCTION("""COMPUTED_VALUE"""),"6")</f>
        <v>6</v>
      </c>
      <c r="K898" s="6" t="str">
        <f>IFERROR(__xludf.DUMMYFUNCTION("""COMPUTED_VALUE"""),"anna.kudelia@2hourlearning.com")</f>
        <v>anna.kudelia@2hourlearning.com</v>
      </c>
      <c r="L898" s="6" t="str">
        <f>IFERROR(__xludf.DUMMYFUNCTION("""COMPUTED_VALUE"""),"Learn and Earn Poland")</f>
        <v>Learn and Earn Poland</v>
      </c>
      <c r="M898" s="6" t="str">
        <f>IFERROR(__xludf.DUMMYFUNCTION("""COMPUTED_VALUE"""),"")</f>
        <v/>
      </c>
      <c r="N898" s="6" t="str">
        <f>IFERROR(__xludf.DUMMYFUNCTION("""COMPUTED_VALUE"""),"")</f>
        <v/>
      </c>
      <c r="O898" s="87" t="str">
        <f>IFERROR(__xludf.DUMMYFUNCTION("""COMPUTED_VALUE"""),"https://drive.google.com/drive/folders/10T2cTQHqEJZqE-st6uFKPoI?usp=share_link")</f>
        <v>https://drive.google.com/drive/folders/10T2cTQHqEJZqE-st6uFKPoI?usp=share_link</v>
      </c>
      <c r="P898" s="6" t="str">
        <f>IFERROR(__xludf.DUMMYFUNCTION("""COMPUTED_VALUE"""),"Anna Kudelia")</f>
        <v>Anna Kudelia</v>
      </c>
      <c r="Q898" s="6" t="str">
        <f>IFERROR(__xludf.DUMMYFUNCTION("""COMPUTED_VALUE"""),"MS")</f>
        <v>MS</v>
      </c>
      <c r="R898" s="6">
        <f>IFERROR(__xludf.DUMMYFUNCTION("""COMPUTED_VALUE"""),0.0)</f>
        <v>0</v>
      </c>
      <c r="S898" s="6" t="str">
        <f>IFERROR(__xludf.DUMMYFUNCTION("""COMPUTED_VALUE""")," ")</f>
        <v> </v>
      </c>
      <c r="T898" s="6" t="str">
        <f>IFERROR(__xludf.DUMMYFUNCTION("""COMPUTED_VALUE"""),"")</f>
        <v/>
      </c>
      <c r="U898" s="6" t="str">
        <f>IFERROR(__xludf.DUMMYFUNCTION("""COMPUTED_VALUE"""),"6")</f>
        <v>6</v>
      </c>
      <c r="V898" s="6" t="str">
        <f>IFERROR(__xludf.DUMMYFUNCTION("""COMPUTED_VALUE"""),"English")</f>
        <v>English</v>
      </c>
      <c r="W898" s="6" t="str">
        <f>IFERROR(__xludf.DUMMYFUNCTION("""COMPUTED_VALUE"""),"[]")</f>
        <v>[]</v>
      </c>
      <c r="X898" s="6" t="str">
        <f>IFERROR(__xludf.DUMMYFUNCTION("""COMPUTED_VALUE"""),"Enrolled")</f>
        <v>Enrolled</v>
      </c>
    </row>
    <row r="899">
      <c r="A899" s="6" t="str">
        <f>IFERROR(__xludf.DUMMYFUNCTION("""COMPUTED_VALUE"""),"009-1022")</f>
        <v>009-1022</v>
      </c>
      <c r="B899" s="6" t="str">
        <f>IFERROR(__xludf.DUMMYFUNCTION("""COMPUTED_VALUE"""),"9")</f>
        <v>9</v>
      </c>
      <c r="C899" s="6" t="str">
        <f>IFERROR(__xludf.DUMMYFUNCTION("""COMPUTED_VALUE"""),"1022")</f>
        <v>1022</v>
      </c>
      <c r="D899" s="6" t="str">
        <f>IFERROR(__xludf.DUMMYFUNCTION("""COMPUTED_VALUE"""),"Pavlo")</f>
        <v>Pavlo</v>
      </c>
      <c r="E899" s="6" t="str">
        <f>IFERROR(__xludf.DUMMYFUNCTION("""COMPUTED_VALUE"""),"")</f>
        <v/>
      </c>
      <c r="F899" s="6" t="str">
        <f>IFERROR(__xludf.DUMMYFUNCTION("""COMPUTED_VALUE"""),"Sheptun")</f>
        <v>Sheptun</v>
      </c>
      <c r="G899" s="6" t="str">
        <f>IFERROR(__xludf.DUMMYFUNCTION("""COMPUTED_VALUE"""),"01/01/2019")</f>
        <v>01/01/2019</v>
      </c>
      <c r="H899" s="6" t="str">
        <f>IFERROR(__xludf.DUMMYFUNCTION("""COMPUTED_VALUE"""),"Self Identify")</f>
        <v>Self Identify</v>
      </c>
      <c r="I899" s="6" t="str">
        <f>IFERROR(__xludf.DUMMYFUNCTION("""COMPUTED_VALUE"""),"Middle School")</f>
        <v>Middle School</v>
      </c>
      <c r="J899" s="6" t="str">
        <f>IFERROR(__xludf.DUMMYFUNCTION("""COMPUTED_VALUE"""),"6")</f>
        <v>6</v>
      </c>
      <c r="K899" s="6" t="str">
        <f>IFERROR(__xludf.DUMMYFUNCTION("""COMPUTED_VALUE"""),"pavlo.sheptun@2hourlearning.com")</f>
        <v>pavlo.sheptun@2hourlearning.com</v>
      </c>
      <c r="L899" s="6" t="str">
        <f>IFERROR(__xludf.DUMMYFUNCTION("""COMPUTED_VALUE"""),"Learn and Earn Poland")</f>
        <v>Learn and Earn Poland</v>
      </c>
      <c r="M899" s="6" t="str">
        <f>IFERROR(__xludf.DUMMYFUNCTION("""COMPUTED_VALUE"""),"")</f>
        <v/>
      </c>
      <c r="N899" s="6" t="str">
        <f>IFERROR(__xludf.DUMMYFUNCTION("""COMPUTED_VALUE"""),"")</f>
        <v/>
      </c>
      <c r="O899" s="87" t="str">
        <f>IFERROR(__xludf.DUMMYFUNCTION("""COMPUTED_VALUE"""),"https://drive.google.com/drive/folders/10T2cTQHqEJZqE-st6uFKPoI?usp=share_link")</f>
        <v>https://drive.google.com/drive/folders/10T2cTQHqEJZqE-st6uFKPoI?usp=share_link</v>
      </c>
      <c r="P899" s="6" t="str">
        <f>IFERROR(__xludf.DUMMYFUNCTION("""COMPUTED_VALUE"""),"Pavlo Sheptun")</f>
        <v>Pavlo Sheptun</v>
      </c>
      <c r="Q899" s="6" t="str">
        <f>IFERROR(__xludf.DUMMYFUNCTION("""COMPUTED_VALUE"""),"MS")</f>
        <v>MS</v>
      </c>
      <c r="R899" s="6">
        <f>IFERROR(__xludf.DUMMYFUNCTION("""COMPUTED_VALUE"""),0.0)</f>
        <v>0</v>
      </c>
      <c r="S899" s="6" t="str">
        <f>IFERROR(__xludf.DUMMYFUNCTION("""COMPUTED_VALUE""")," ")</f>
        <v> </v>
      </c>
      <c r="T899" s="6" t="str">
        <f>IFERROR(__xludf.DUMMYFUNCTION("""COMPUTED_VALUE"""),"")</f>
        <v/>
      </c>
      <c r="U899" s="6" t="str">
        <f>IFERROR(__xludf.DUMMYFUNCTION("""COMPUTED_VALUE"""),"6")</f>
        <v>6</v>
      </c>
      <c r="V899" s="6" t="str">
        <f>IFERROR(__xludf.DUMMYFUNCTION("""COMPUTED_VALUE"""),"English")</f>
        <v>English</v>
      </c>
      <c r="W899" s="6" t="str">
        <f>IFERROR(__xludf.DUMMYFUNCTION("""COMPUTED_VALUE"""),"[]")</f>
        <v>[]</v>
      </c>
      <c r="X899" s="6" t="str">
        <f>IFERROR(__xludf.DUMMYFUNCTION("""COMPUTED_VALUE"""),"Enrolled")</f>
        <v>Enrolled</v>
      </c>
    </row>
    <row r="900">
      <c r="A900" s="6" t="str">
        <f>IFERROR(__xludf.DUMMYFUNCTION("""COMPUTED_VALUE"""),"009-1023")</f>
        <v>009-1023</v>
      </c>
      <c r="B900" s="6" t="str">
        <f>IFERROR(__xludf.DUMMYFUNCTION("""COMPUTED_VALUE"""),"9")</f>
        <v>9</v>
      </c>
      <c r="C900" s="6" t="str">
        <f>IFERROR(__xludf.DUMMYFUNCTION("""COMPUTED_VALUE"""),"1023")</f>
        <v>1023</v>
      </c>
      <c r="D900" s="6" t="str">
        <f>IFERROR(__xludf.DUMMYFUNCTION("""COMPUTED_VALUE"""),"Anna")</f>
        <v>Anna</v>
      </c>
      <c r="E900" s="6" t="str">
        <f>IFERROR(__xludf.DUMMYFUNCTION("""COMPUTED_VALUE"""),"")</f>
        <v/>
      </c>
      <c r="F900" s="6" t="str">
        <f>IFERROR(__xludf.DUMMYFUNCTION("""COMPUTED_VALUE"""),"Bukharova")</f>
        <v>Bukharova</v>
      </c>
      <c r="G900" s="6" t="str">
        <f>IFERROR(__xludf.DUMMYFUNCTION("""COMPUTED_VALUE"""),"01/01/2019")</f>
        <v>01/01/2019</v>
      </c>
      <c r="H900" s="6" t="str">
        <f>IFERROR(__xludf.DUMMYFUNCTION("""COMPUTED_VALUE"""),"Self Identify")</f>
        <v>Self Identify</v>
      </c>
      <c r="I900" s="6" t="str">
        <f>IFERROR(__xludf.DUMMYFUNCTION("""COMPUTED_VALUE"""),"Middle School")</f>
        <v>Middle School</v>
      </c>
      <c r="J900" s="6" t="str">
        <f>IFERROR(__xludf.DUMMYFUNCTION("""COMPUTED_VALUE"""),"6")</f>
        <v>6</v>
      </c>
      <c r="K900" s="6" t="str">
        <f>IFERROR(__xludf.DUMMYFUNCTION("""COMPUTED_VALUE"""),"anna.bukharova@2hourlearning.com")</f>
        <v>anna.bukharova@2hourlearning.com</v>
      </c>
      <c r="L900" s="6" t="str">
        <f>IFERROR(__xludf.DUMMYFUNCTION("""COMPUTED_VALUE"""),"Learn and Earn Poland")</f>
        <v>Learn and Earn Poland</v>
      </c>
      <c r="M900" s="6" t="str">
        <f>IFERROR(__xludf.DUMMYFUNCTION("""COMPUTED_VALUE"""),"")</f>
        <v/>
      </c>
      <c r="N900" s="6" t="str">
        <f>IFERROR(__xludf.DUMMYFUNCTION("""COMPUTED_VALUE"""),"")</f>
        <v/>
      </c>
      <c r="O900" s="87" t="str">
        <f>IFERROR(__xludf.DUMMYFUNCTION("""COMPUTED_VALUE"""),"https://drive.google.com/drive/folders/10T2cTQHqEJZqE-st6uFKPoI?usp=share_link")</f>
        <v>https://drive.google.com/drive/folders/10T2cTQHqEJZqE-st6uFKPoI?usp=share_link</v>
      </c>
      <c r="P900" s="6" t="str">
        <f>IFERROR(__xludf.DUMMYFUNCTION("""COMPUTED_VALUE"""),"Anna Bukharova")</f>
        <v>Anna Bukharova</v>
      </c>
      <c r="Q900" s="6" t="str">
        <f>IFERROR(__xludf.DUMMYFUNCTION("""COMPUTED_VALUE"""),"MS")</f>
        <v>MS</v>
      </c>
      <c r="R900" s="6">
        <f>IFERROR(__xludf.DUMMYFUNCTION("""COMPUTED_VALUE"""),0.0)</f>
        <v>0</v>
      </c>
      <c r="S900" s="6" t="str">
        <f>IFERROR(__xludf.DUMMYFUNCTION("""COMPUTED_VALUE""")," ")</f>
        <v> </v>
      </c>
      <c r="T900" s="6" t="str">
        <f>IFERROR(__xludf.DUMMYFUNCTION("""COMPUTED_VALUE"""),"")</f>
        <v/>
      </c>
      <c r="U900" s="6" t="str">
        <f>IFERROR(__xludf.DUMMYFUNCTION("""COMPUTED_VALUE"""),"6")</f>
        <v>6</v>
      </c>
      <c r="V900" s="6" t="str">
        <f>IFERROR(__xludf.DUMMYFUNCTION("""COMPUTED_VALUE"""),"English")</f>
        <v>English</v>
      </c>
      <c r="W900" s="6" t="str">
        <f>IFERROR(__xludf.DUMMYFUNCTION("""COMPUTED_VALUE"""),"[]")</f>
        <v>[]</v>
      </c>
      <c r="X900" s="6" t="str">
        <f>IFERROR(__xludf.DUMMYFUNCTION("""COMPUTED_VALUE"""),"Enrolled")</f>
        <v>Enrolled</v>
      </c>
    </row>
    <row r="901">
      <c r="A901" s="6" t="str">
        <f>IFERROR(__xludf.DUMMYFUNCTION("""COMPUTED_VALUE"""),"009-1024")</f>
        <v>009-1024</v>
      </c>
      <c r="B901" s="6" t="str">
        <f>IFERROR(__xludf.DUMMYFUNCTION("""COMPUTED_VALUE"""),"9")</f>
        <v>9</v>
      </c>
      <c r="C901" s="6" t="str">
        <f>IFERROR(__xludf.DUMMYFUNCTION("""COMPUTED_VALUE"""),"1024")</f>
        <v>1024</v>
      </c>
      <c r="D901" s="6" t="str">
        <f>IFERROR(__xludf.DUMMYFUNCTION("""COMPUTED_VALUE"""),"Danylo")</f>
        <v>Danylo</v>
      </c>
      <c r="E901" s="6" t="str">
        <f>IFERROR(__xludf.DUMMYFUNCTION("""COMPUTED_VALUE"""),"")</f>
        <v/>
      </c>
      <c r="F901" s="6" t="str">
        <f>IFERROR(__xludf.DUMMYFUNCTION("""COMPUTED_VALUE"""),"Bondarenko")</f>
        <v>Bondarenko</v>
      </c>
      <c r="G901" s="6" t="str">
        <f>IFERROR(__xludf.DUMMYFUNCTION("""COMPUTED_VALUE"""),"01/01/2019")</f>
        <v>01/01/2019</v>
      </c>
      <c r="H901" s="6" t="str">
        <f>IFERROR(__xludf.DUMMYFUNCTION("""COMPUTED_VALUE"""),"Self Identify")</f>
        <v>Self Identify</v>
      </c>
      <c r="I901" s="6" t="str">
        <f>IFERROR(__xludf.DUMMYFUNCTION("""COMPUTED_VALUE"""),"Middle School")</f>
        <v>Middle School</v>
      </c>
      <c r="J901" s="6" t="str">
        <f>IFERROR(__xludf.DUMMYFUNCTION("""COMPUTED_VALUE"""),"6")</f>
        <v>6</v>
      </c>
      <c r="K901" s="6" t="str">
        <f>IFERROR(__xludf.DUMMYFUNCTION("""COMPUTED_VALUE"""),"danylo.bondarenko@2hourlearning.com")</f>
        <v>danylo.bondarenko@2hourlearning.com</v>
      </c>
      <c r="L901" s="6" t="str">
        <f>IFERROR(__xludf.DUMMYFUNCTION("""COMPUTED_VALUE"""),"Learn and Earn Poland")</f>
        <v>Learn and Earn Poland</v>
      </c>
      <c r="M901" s="6" t="str">
        <f>IFERROR(__xludf.DUMMYFUNCTION("""COMPUTED_VALUE"""),"")</f>
        <v/>
      </c>
      <c r="N901" s="6" t="str">
        <f>IFERROR(__xludf.DUMMYFUNCTION("""COMPUTED_VALUE"""),"")</f>
        <v/>
      </c>
      <c r="O901" s="87" t="str">
        <f>IFERROR(__xludf.DUMMYFUNCTION("""COMPUTED_VALUE"""),"https://drive.google.com/drive/folders/10T2cTQHqEJZqE-st6uFKPoI?usp=share_link")</f>
        <v>https://drive.google.com/drive/folders/10T2cTQHqEJZqE-st6uFKPoI?usp=share_link</v>
      </c>
      <c r="P901" s="6" t="str">
        <f>IFERROR(__xludf.DUMMYFUNCTION("""COMPUTED_VALUE"""),"Danylo Bondarenko")</f>
        <v>Danylo Bondarenko</v>
      </c>
      <c r="Q901" s="6" t="str">
        <f>IFERROR(__xludf.DUMMYFUNCTION("""COMPUTED_VALUE"""),"MS")</f>
        <v>MS</v>
      </c>
      <c r="R901" s="6">
        <f>IFERROR(__xludf.DUMMYFUNCTION("""COMPUTED_VALUE"""),0.0)</f>
        <v>0</v>
      </c>
      <c r="S901" s="6" t="str">
        <f>IFERROR(__xludf.DUMMYFUNCTION("""COMPUTED_VALUE""")," ")</f>
        <v> </v>
      </c>
      <c r="T901" s="6" t="str">
        <f>IFERROR(__xludf.DUMMYFUNCTION("""COMPUTED_VALUE"""),"")</f>
        <v/>
      </c>
      <c r="U901" s="6" t="str">
        <f>IFERROR(__xludf.DUMMYFUNCTION("""COMPUTED_VALUE"""),"6")</f>
        <v>6</v>
      </c>
      <c r="V901" s="6" t="str">
        <f>IFERROR(__xludf.DUMMYFUNCTION("""COMPUTED_VALUE"""),"English")</f>
        <v>English</v>
      </c>
      <c r="W901" s="6" t="str">
        <f>IFERROR(__xludf.DUMMYFUNCTION("""COMPUTED_VALUE"""),"[]")</f>
        <v>[]</v>
      </c>
      <c r="X901" s="6" t="str">
        <f>IFERROR(__xludf.DUMMYFUNCTION("""COMPUTED_VALUE"""),"Enrolled")</f>
        <v>Enrolled</v>
      </c>
    </row>
    <row r="902">
      <c r="A902" s="6" t="str">
        <f>IFERROR(__xludf.DUMMYFUNCTION("""COMPUTED_VALUE"""),"009-1025")</f>
        <v>009-1025</v>
      </c>
      <c r="B902" s="6" t="str">
        <f>IFERROR(__xludf.DUMMYFUNCTION("""COMPUTED_VALUE"""),"9")</f>
        <v>9</v>
      </c>
      <c r="C902" s="6" t="str">
        <f>IFERROR(__xludf.DUMMYFUNCTION("""COMPUTED_VALUE"""),"1025")</f>
        <v>1025</v>
      </c>
      <c r="D902" s="6" t="str">
        <f>IFERROR(__xludf.DUMMYFUNCTION("""COMPUTED_VALUE"""),"Lolita")</f>
        <v>Lolita</v>
      </c>
      <c r="E902" s="6" t="str">
        <f>IFERROR(__xludf.DUMMYFUNCTION("""COMPUTED_VALUE"""),"")</f>
        <v/>
      </c>
      <c r="F902" s="6" t="str">
        <f>IFERROR(__xludf.DUMMYFUNCTION("""COMPUTED_VALUE"""),"Dontsova")</f>
        <v>Dontsova</v>
      </c>
      <c r="G902" s="6" t="str">
        <f>IFERROR(__xludf.DUMMYFUNCTION("""COMPUTED_VALUE"""),"01/01/2019")</f>
        <v>01/01/2019</v>
      </c>
      <c r="H902" s="6" t="str">
        <f>IFERROR(__xludf.DUMMYFUNCTION("""COMPUTED_VALUE"""),"Self Identify")</f>
        <v>Self Identify</v>
      </c>
      <c r="I902" s="6" t="str">
        <f>IFERROR(__xludf.DUMMYFUNCTION("""COMPUTED_VALUE"""),"Middle School")</f>
        <v>Middle School</v>
      </c>
      <c r="J902" s="6" t="str">
        <f>IFERROR(__xludf.DUMMYFUNCTION("""COMPUTED_VALUE"""),"6")</f>
        <v>6</v>
      </c>
      <c r="K902" s="6" t="str">
        <f>IFERROR(__xludf.DUMMYFUNCTION("""COMPUTED_VALUE"""),"lolita.dontsova@2hourlearning.com")</f>
        <v>lolita.dontsova@2hourlearning.com</v>
      </c>
      <c r="L902" s="6" t="str">
        <f>IFERROR(__xludf.DUMMYFUNCTION("""COMPUTED_VALUE"""),"Learn and Earn Poland")</f>
        <v>Learn and Earn Poland</v>
      </c>
      <c r="M902" s="6" t="str">
        <f>IFERROR(__xludf.DUMMYFUNCTION("""COMPUTED_VALUE"""),"")</f>
        <v/>
      </c>
      <c r="N902" s="6" t="str">
        <f>IFERROR(__xludf.DUMMYFUNCTION("""COMPUTED_VALUE"""),"")</f>
        <v/>
      </c>
      <c r="O902" s="87" t="str">
        <f>IFERROR(__xludf.DUMMYFUNCTION("""COMPUTED_VALUE"""),"https://drive.google.com/drive/folders/10T2cTQHqEJZqE-st6uFKPoI?usp=share_link")</f>
        <v>https://drive.google.com/drive/folders/10T2cTQHqEJZqE-st6uFKPoI?usp=share_link</v>
      </c>
      <c r="P902" s="6" t="str">
        <f>IFERROR(__xludf.DUMMYFUNCTION("""COMPUTED_VALUE"""),"Lolita Dontsova")</f>
        <v>Lolita Dontsova</v>
      </c>
      <c r="Q902" s="6" t="str">
        <f>IFERROR(__xludf.DUMMYFUNCTION("""COMPUTED_VALUE"""),"MS")</f>
        <v>MS</v>
      </c>
      <c r="R902" s="6">
        <f>IFERROR(__xludf.DUMMYFUNCTION("""COMPUTED_VALUE"""),0.0)</f>
        <v>0</v>
      </c>
      <c r="S902" s="6" t="str">
        <f>IFERROR(__xludf.DUMMYFUNCTION("""COMPUTED_VALUE""")," ")</f>
        <v> </v>
      </c>
      <c r="T902" s="6" t="str">
        <f>IFERROR(__xludf.DUMMYFUNCTION("""COMPUTED_VALUE"""),"")</f>
        <v/>
      </c>
      <c r="U902" s="6" t="str">
        <f>IFERROR(__xludf.DUMMYFUNCTION("""COMPUTED_VALUE"""),"6")</f>
        <v>6</v>
      </c>
      <c r="V902" s="6" t="str">
        <f>IFERROR(__xludf.DUMMYFUNCTION("""COMPUTED_VALUE"""),"English")</f>
        <v>English</v>
      </c>
      <c r="W902" s="6" t="str">
        <f>IFERROR(__xludf.DUMMYFUNCTION("""COMPUTED_VALUE"""),"[]")</f>
        <v>[]</v>
      </c>
      <c r="X902" s="6" t="str">
        <f>IFERROR(__xludf.DUMMYFUNCTION("""COMPUTED_VALUE"""),"Enrolled")</f>
        <v>Enrolled</v>
      </c>
    </row>
    <row r="903">
      <c r="A903" s="6" t="str">
        <f>IFERROR(__xludf.DUMMYFUNCTION("""COMPUTED_VALUE"""),"009-1026")</f>
        <v>009-1026</v>
      </c>
      <c r="B903" s="6" t="str">
        <f>IFERROR(__xludf.DUMMYFUNCTION("""COMPUTED_VALUE"""),"9")</f>
        <v>9</v>
      </c>
      <c r="C903" s="6" t="str">
        <f>IFERROR(__xludf.DUMMYFUNCTION("""COMPUTED_VALUE"""),"1026")</f>
        <v>1026</v>
      </c>
      <c r="D903" s="6" t="str">
        <f>IFERROR(__xludf.DUMMYFUNCTION("""COMPUTED_VALUE"""),"Izotov")</f>
        <v>Izotov</v>
      </c>
      <c r="E903" s="6" t="str">
        <f>IFERROR(__xludf.DUMMYFUNCTION("""COMPUTED_VALUE"""),"")</f>
        <v/>
      </c>
      <c r="F903" s="6" t="str">
        <f>IFERROR(__xludf.DUMMYFUNCTION("""COMPUTED_VALUE"""),"Artem")</f>
        <v>Artem</v>
      </c>
      <c r="G903" s="6" t="str">
        <f>IFERROR(__xludf.DUMMYFUNCTION("""COMPUTED_VALUE"""),"01/01/2019")</f>
        <v>01/01/2019</v>
      </c>
      <c r="H903" s="6" t="str">
        <f>IFERROR(__xludf.DUMMYFUNCTION("""COMPUTED_VALUE"""),"Self Identify")</f>
        <v>Self Identify</v>
      </c>
      <c r="I903" s="6" t="str">
        <f>IFERROR(__xludf.DUMMYFUNCTION("""COMPUTED_VALUE"""),"Middle School")</f>
        <v>Middle School</v>
      </c>
      <c r="J903" s="6" t="str">
        <f>IFERROR(__xludf.DUMMYFUNCTION("""COMPUTED_VALUE"""),"6")</f>
        <v>6</v>
      </c>
      <c r="K903" s="6" t="str">
        <f>IFERROR(__xludf.DUMMYFUNCTION("""COMPUTED_VALUE"""),"izotov.artem@2hourlearning.com")</f>
        <v>izotov.artem@2hourlearning.com</v>
      </c>
      <c r="L903" s="6" t="str">
        <f>IFERROR(__xludf.DUMMYFUNCTION("""COMPUTED_VALUE"""),"Learn and Earn Poland")</f>
        <v>Learn and Earn Poland</v>
      </c>
      <c r="M903" s="6" t="str">
        <f>IFERROR(__xludf.DUMMYFUNCTION("""COMPUTED_VALUE"""),"")</f>
        <v/>
      </c>
      <c r="N903" s="6" t="str">
        <f>IFERROR(__xludf.DUMMYFUNCTION("""COMPUTED_VALUE"""),"")</f>
        <v/>
      </c>
      <c r="O903" s="87" t="str">
        <f>IFERROR(__xludf.DUMMYFUNCTION("""COMPUTED_VALUE"""),"https://drive.google.com/drive/folders/10T2cTQHqEJZqE-st6uFKPoI?usp=share_link")</f>
        <v>https://drive.google.com/drive/folders/10T2cTQHqEJZqE-st6uFKPoI?usp=share_link</v>
      </c>
      <c r="P903" s="6" t="str">
        <f>IFERROR(__xludf.DUMMYFUNCTION("""COMPUTED_VALUE"""),"Izotov Artem")</f>
        <v>Izotov Artem</v>
      </c>
      <c r="Q903" s="6" t="str">
        <f>IFERROR(__xludf.DUMMYFUNCTION("""COMPUTED_VALUE"""),"MS")</f>
        <v>MS</v>
      </c>
      <c r="R903" s="6">
        <f>IFERROR(__xludf.DUMMYFUNCTION("""COMPUTED_VALUE"""),0.0)</f>
        <v>0</v>
      </c>
      <c r="S903" s="6" t="str">
        <f>IFERROR(__xludf.DUMMYFUNCTION("""COMPUTED_VALUE""")," ")</f>
        <v> </v>
      </c>
      <c r="T903" s="6" t="str">
        <f>IFERROR(__xludf.DUMMYFUNCTION("""COMPUTED_VALUE"""),"")</f>
        <v/>
      </c>
      <c r="U903" s="6" t="str">
        <f>IFERROR(__xludf.DUMMYFUNCTION("""COMPUTED_VALUE"""),"6")</f>
        <v>6</v>
      </c>
      <c r="V903" s="6" t="str">
        <f>IFERROR(__xludf.DUMMYFUNCTION("""COMPUTED_VALUE"""),"English")</f>
        <v>English</v>
      </c>
      <c r="W903" s="6" t="str">
        <f>IFERROR(__xludf.DUMMYFUNCTION("""COMPUTED_VALUE"""),"[]")</f>
        <v>[]</v>
      </c>
      <c r="X903" s="6" t="str">
        <f>IFERROR(__xludf.DUMMYFUNCTION("""COMPUTED_VALUE"""),"Enrolled")</f>
        <v>Enrolled</v>
      </c>
    </row>
    <row r="904">
      <c r="A904" s="6" t="str">
        <f>IFERROR(__xludf.DUMMYFUNCTION("""COMPUTED_VALUE"""),"009-1027")</f>
        <v>009-1027</v>
      </c>
      <c r="B904" s="6" t="str">
        <f>IFERROR(__xludf.DUMMYFUNCTION("""COMPUTED_VALUE"""),"9")</f>
        <v>9</v>
      </c>
      <c r="C904" s="6" t="str">
        <f>IFERROR(__xludf.DUMMYFUNCTION("""COMPUTED_VALUE"""),"1027")</f>
        <v>1027</v>
      </c>
      <c r="D904" s="6" t="str">
        <f>IFERROR(__xludf.DUMMYFUNCTION("""COMPUTED_VALUE"""),"Tamara")</f>
        <v>Tamara</v>
      </c>
      <c r="E904" s="6" t="str">
        <f>IFERROR(__xludf.DUMMYFUNCTION("""COMPUTED_VALUE"""),"")</f>
        <v/>
      </c>
      <c r="F904" s="6" t="str">
        <f>IFERROR(__xludf.DUMMYFUNCTION("""COMPUTED_VALUE"""),"Moskina")</f>
        <v>Moskina</v>
      </c>
      <c r="G904" s="6" t="str">
        <f>IFERROR(__xludf.DUMMYFUNCTION("""COMPUTED_VALUE"""),"01/01/2019")</f>
        <v>01/01/2019</v>
      </c>
      <c r="H904" s="6" t="str">
        <f>IFERROR(__xludf.DUMMYFUNCTION("""COMPUTED_VALUE"""),"Self Identify")</f>
        <v>Self Identify</v>
      </c>
      <c r="I904" s="6" t="str">
        <f>IFERROR(__xludf.DUMMYFUNCTION("""COMPUTED_VALUE"""),"Middle School")</f>
        <v>Middle School</v>
      </c>
      <c r="J904" s="6" t="str">
        <f>IFERROR(__xludf.DUMMYFUNCTION("""COMPUTED_VALUE"""),"6")</f>
        <v>6</v>
      </c>
      <c r="K904" s="6" t="str">
        <f>IFERROR(__xludf.DUMMYFUNCTION("""COMPUTED_VALUE"""),"tamara.moskina@2hourlearning.com")</f>
        <v>tamara.moskina@2hourlearning.com</v>
      </c>
      <c r="L904" s="6" t="str">
        <f>IFERROR(__xludf.DUMMYFUNCTION("""COMPUTED_VALUE"""),"Learn and Earn Poland")</f>
        <v>Learn and Earn Poland</v>
      </c>
      <c r="M904" s="6" t="str">
        <f>IFERROR(__xludf.DUMMYFUNCTION("""COMPUTED_VALUE"""),"")</f>
        <v/>
      </c>
      <c r="N904" s="6" t="str">
        <f>IFERROR(__xludf.DUMMYFUNCTION("""COMPUTED_VALUE"""),"")</f>
        <v/>
      </c>
      <c r="O904" s="87" t="str">
        <f>IFERROR(__xludf.DUMMYFUNCTION("""COMPUTED_VALUE"""),"https://drive.google.com/drive/folders/10T2cTQHqEJZqE-st6uFKPoI?usp=share_link")</f>
        <v>https://drive.google.com/drive/folders/10T2cTQHqEJZqE-st6uFKPoI?usp=share_link</v>
      </c>
      <c r="P904" s="6" t="str">
        <f>IFERROR(__xludf.DUMMYFUNCTION("""COMPUTED_VALUE"""),"Tamara Moskina")</f>
        <v>Tamara Moskina</v>
      </c>
      <c r="Q904" s="6" t="str">
        <f>IFERROR(__xludf.DUMMYFUNCTION("""COMPUTED_VALUE"""),"MS")</f>
        <v>MS</v>
      </c>
      <c r="R904" s="6">
        <f>IFERROR(__xludf.DUMMYFUNCTION("""COMPUTED_VALUE"""),0.0)</f>
        <v>0</v>
      </c>
      <c r="S904" s="6" t="str">
        <f>IFERROR(__xludf.DUMMYFUNCTION("""COMPUTED_VALUE""")," ")</f>
        <v> </v>
      </c>
      <c r="T904" s="6" t="str">
        <f>IFERROR(__xludf.DUMMYFUNCTION("""COMPUTED_VALUE"""),"")</f>
        <v/>
      </c>
      <c r="U904" s="6" t="str">
        <f>IFERROR(__xludf.DUMMYFUNCTION("""COMPUTED_VALUE"""),"6")</f>
        <v>6</v>
      </c>
      <c r="V904" s="6" t="str">
        <f>IFERROR(__xludf.DUMMYFUNCTION("""COMPUTED_VALUE"""),"English")</f>
        <v>English</v>
      </c>
      <c r="W904" s="6" t="str">
        <f>IFERROR(__xludf.DUMMYFUNCTION("""COMPUTED_VALUE"""),"[]")</f>
        <v>[]</v>
      </c>
      <c r="X904" s="6" t="str">
        <f>IFERROR(__xludf.DUMMYFUNCTION("""COMPUTED_VALUE"""),"Enrolled")</f>
        <v>Enrolled</v>
      </c>
    </row>
    <row r="905">
      <c r="A905" s="6" t="str">
        <f>IFERROR(__xludf.DUMMYFUNCTION("""COMPUTED_VALUE"""),"009-1028")</f>
        <v>009-1028</v>
      </c>
      <c r="B905" s="6" t="str">
        <f>IFERROR(__xludf.DUMMYFUNCTION("""COMPUTED_VALUE"""),"9")</f>
        <v>9</v>
      </c>
      <c r="C905" s="6" t="str">
        <f>IFERROR(__xludf.DUMMYFUNCTION("""COMPUTED_VALUE"""),"1028")</f>
        <v>1028</v>
      </c>
      <c r="D905" s="6" t="str">
        <f>IFERROR(__xludf.DUMMYFUNCTION("""COMPUTED_VALUE"""),"Veronika")</f>
        <v>Veronika</v>
      </c>
      <c r="E905" s="6" t="str">
        <f>IFERROR(__xludf.DUMMYFUNCTION("""COMPUTED_VALUE"""),"")</f>
        <v/>
      </c>
      <c r="F905" s="6" t="str">
        <f>IFERROR(__xludf.DUMMYFUNCTION("""COMPUTED_VALUE"""),"Varfolomieievy")</f>
        <v>Varfolomieievy</v>
      </c>
      <c r="G905" s="6" t="str">
        <f>IFERROR(__xludf.DUMMYFUNCTION("""COMPUTED_VALUE"""),"01/01/2018")</f>
        <v>01/01/2018</v>
      </c>
      <c r="H905" s="6" t="str">
        <f>IFERROR(__xludf.DUMMYFUNCTION("""COMPUTED_VALUE"""),"Self Identify")</f>
        <v>Self Identify</v>
      </c>
      <c r="I905" s="6" t="str">
        <f>IFERROR(__xludf.DUMMYFUNCTION("""COMPUTED_VALUE"""),"Middle School")</f>
        <v>Middle School</v>
      </c>
      <c r="J905" s="6" t="str">
        <f>IFERROR(__xludf.DUMMYFUNCTION("""COMPUTED_VALUE"""),"7")</f>
        <v>7</v>
      </c>
      <c r="K905" s="6" t="str">
        <f>IFERROR(__xludf.DUMMYFUNCTION("""COMPUTED_VALUE"""),"veronika.varfolomieievy@2hourlearning.com")</f>
        <v>veronika.varfolomieievy@2hourlearning.com</v>
      </c>
      <c r="L905" s="6" t="str">
        <f>IFERROR(__xludf.DUMMYFUNCTION("""COMPUTED_VALUE"""),"Learn and Earn Poland")</f>
        <v>Learn and Earn Poland</v>
      </c>
      <c r="M905" s="6" t="str">
        <f>IFERROR(__xludf.DUMMYFUNCTION("""COMPUTED_VALUE"""),"")</f>
        <v/>
      </c>
      <c r="N905" s="6" t="str">
        <f>IFERROR(__xludf.DUMMYFUNCTION("""COMPUTED_VALUE"""),"")</f>
        <v/>
      </c>
      <c r="O905" s="87" t="str">
        <f>IFERROR(__xludf.DUMMYFUNCTION("""COMPUTED_VALUE"""),"https://drive.google.com/drive/folders/10T2cTQHqEJZqE-st6uFKPoI?usp=share_link")</f>
        <v>https://drive.google.com/drive/folders/10T2cTQHqEJZqE-st6uFKPoI?usp=share_link</v>
      </c>
      <c r="P905" s="6" t="str">
        <f>IFERROR(__xludf.DUMMYFUNCTION("""COMPUTED_VALUE"""),"Veronika Varfolomieievy")</f>
        <v>Veronika Varfolomieievy</v>
      </c>
      <c r="Q905" s="6" t="str">
        <f>IFERROR(__xludf.DUMMYFUNCTION("""COMPUTED_VALUE"""),"MS")</f>
        <v>MS</v>
      </c>
      <c r="R905" s="6">
        <f>IFERROR(__xludf.DUMMYFUNCTION("""COMPUTED_VALUE"""),0.0)</f>
        <v>0</v>
      </c>
      <c r="S905" s="6" t="str">
        <f>IFERROR(__xludf.DUMMYFUNCTION("""COMPUTED_VALUE""")," ")</f>
        <v> </v>
      </c>
      <c r="T905" s="6" t="str">
        <f>IFERROR(__xludf.DUMMYFUNCTION("""COMPUTED_VALUE"""),"")</f>
        <v/>
      </c>
      <c r="U905" s="6" t="str">
        <f>IFERROR(__xludf.DUMMYFUNCTION("""COMPUTED_VALUE"""),"7")</f>
        <v>7</v>
      </c>
      <c r="V905" s="6" t="str">
        <f>IFERROR(__xludf.DUMMYFUNCTION("""COMPUTED_VALUE"""),"English")</f>
        <v>English</v>
      </c>
      <c r="W905" s="6" t="str">
        <f>IFERROR(__xludf.DUMMYFUNCTION("""COMPUTED_VALUE"""),"[]")</f>
        <v>[]</v>
      </c>
      <c r="X905" s="6" t="str">
        <f>IFERROR(__xludf.DUMMYFUNCTION("""COMPUTED_VALUE"""),"Enrolled")</f>
        <v>Enrolled</v>
      </c>
    </row>
    <row r="906">
      <c r="A906" s="6" t="str">
        <f>IFERROR(__xludf.DUMMYFUNCTION("""COMPUTED_VALUE"""),"009-1029")</f>
        <v>009-1029</v>
      </c>
      <c r="B906" s="6" t="str">
        <f>IFERROR(__xludf.DUMMYFUNCTION("""COMPUTED_VALUE"""),"9")</f>
        <v>9</v>
      </c>
      <c r="C906" s="6" t="str">
        <f>IFERROR(__xludf.DUMMYFUNCTION("""COMPUTED_VALUE"""),"1029")</f>
        <v>1029</v>
      </c>
      <c r="D906" s="6" t="str">
        <f>IFERROR(__xludf.DUMMYFUNCTION("""COMPUTED_VALUE"""),"Zhydetska")</f>
        <v>Zhydetska</v>
      </c>
      <c r="E906" s="6" t="str">
        <f>IFERROR(__xludf.DUMMYFUNCTION("""COMPUTED_VALUE"""),"")</f>
        <v/>
      </c>
      <c r="F906" s="6" t="str">
        <f>IFERROR(__xludf.DUMMYFUNCTION("""COMPUTED_VALUE"""),"Sofia")</f>
        <v>Sofia</v>
      </c>
      <c r="G906" s="6" t="str">
        <f>IFERROR(__xludf.DUMMYFUNCTION("""COMPUTED_VALUE"""),"01/01/2018")</f>
        <v>01/01/2018</v>
      </c>
      <c r="H906" s="6" t="str">
        <f>IFERROR(__xludf.DUMMYFUNCTION("""COMPUTED_VALUE"""),"Self Identify")</f>
        <v>Self Identify</v>
      </c>
      <c r="I906" s="6" t="str">
        <f>IFERROR(__xludf.DUMMYFUNCTION("""COMPUTED_VALUE"""),"Middle School")</f>
        <v>Middle School</v>
      </c>
      <c r="J906" s="6" t="str">
        <f>IFERROR(__xludf.DUMMYFUNCTION("""COMPUTED_VALUE"""),"7")</f>
        <v>7</v>
      </c>
      <c r="K906" s="6" t="str">
        <f>IFERROR(__xludf.DUMMYFUNCTION("""COMPUTED_VALUE"""),"zhydetska.sofia@2hourlearning.com")</f>
        <v>zhydetska.sofia@2hourlearning.com</v>
      </c>
      <c r="L906" s="6" t="str">
        <f>IFERROR(__xludf.DUMMYFUNCTION("""COMPUTED_VALUE"""),"Learn and Earn Poland")</f>
        <v>Learn and Earn Poland</v>
      </c>
      <c r="M906" s="6" t="str">
        <f>IFERROR(__xludf.DUMMYFUNCTION("""COMPUTED_VALUE"""),"")</f>
        <v/>
      </c>
      <c r="N906" s="6" t="str">
        <f>IFERROR(__xludf.DUMMYFUNCTION("""COMPUTED_VALUE"""),"")</f>
        <v/>
      </c>
      <c r="O906" s="87" t="str">
        <f>IFERROR(__xludf.DUMMYFUNCTION("""COMPUTED_VALUE"""),"https://drive.google.com/drive/folders/10T2cTQHqEJZqE-st6uFKPoI?usp=share_link")</f>
        <v>https://drive.google.com/drive/folders/10T2cTQHqEJZqE-st6uFKPoI?usp=share_link</v>
      </c>
      <c r="P906" s="6" t="str">
        <f>IFERROR(__xludf.DUMMYFUNCTION("""COMPUTED_VALUE"""),"Zhydetska Sofia")</f>
        <v>Zhydetska Sofia</v>
      </c>
      <c r="Q906" s="6" t="str">
        <f>IFERROR(__xludf.DUMMYFUNCTION("""COMPUTED_VALUE"""),"MS")</f>
        <v>MS</v>
      </c>
      <c r="R906" s="6">
        <f>IFERROR(__xludf.DUMMYFUNCTION("""COMPUTED_VALUE"""),0.0)</f>
        <v>0</v>
      </c>
      <c r="S906" s="6" t="str">
        <f>IFERROR(__xludf.DUMMYFUNCTION("""COMPUTED_VALUE""")," ")</f>
        <v> </v>
      </c>
      <c r="T906" s="6" t="str">
        <f>IFERROR(__xludf.DUMMYFUNCTION("""COMPUTED_VALUE"""),"")</f>
        <v/>
      </c>
      <c r="U906" s="6" t="str">
        <f>IFERROR(__xludf.DUMMYFUNCTION("""COMPUTED_VALUE"""),"7")</f>
        <v>7</v>
      </c>
      <c r="V906" s="6" t="str">
        <f>IFERROR(__xludf.DUMMYFUNCTION("""COMPUTED_VALUE"""),"English")</f>
        <v>English</v>
      </c>
      <c r="W906" s="6" t="str">
        <f>IFERROR(__xludf.DUMMYFUNCTION("""COMPUTED_VALUE"""),"[]")</f>
        <v>[]</v>
      </c>
      <c r="X906" s="6" t="str">
        <f>IFERROR(__xludf.DUMMYFUNCTION("""COMPUTED_VALUE"""),"Enrolled")</f>
        <v>Enrolled</v>
      </c>
    </row>
    <row r="907">
      <c r="A907" s="6" t="str">
        <f>IFERROR(__xludf.DUMMYFUNCTION("""COMPUTED_VALUE"""),"009-1030")</f>
        <v>009-1030</v>
      </c>
      <c r="B907" s="6" t="str">
        <f>IFERROR(__xludf.DUMMYFUNCTION("""COMPUTED_VALUE"""),"9")</f>
        <v>9</v>
      </c>
      <c r="C907" s="6" t="str">
        <f>IFERROR(__xludf.DUMMYFUNCTION("""COMPUTED_VALUE"""),"1030")</f>
        <v>1030</v>
      </c>
      <c r="D907" s="6" t="str">
        <f>IFERROR(__xludf.DUMMYFUNCTION("""COMPUTED_VALUE"""),"Yaroslava")</f>
        <v>Yaroslava</v>
      </c>
      <c r="E907" s="6" t="str">
        <f>IFERROR(__xludf.DUMMYFUNCTION("""COMPUTED_VALUE"""),"")</f>
        <v/>
      </c>
      <c r="F907" s="6" t="str">
        <f>IFERROR(__xludf.DUMMYFUNCTION("""COMPUTED_VALUE"""),"Khorkova")</f>
        <v>Khorkova</v>
      </c>
      <c r="G907" s="6" t="str">
        <f>IFERROR(__xludf.DUMMYFUNCTION("""COMPUTED_VALUE"""),"01/01/2018")</f>
        <v>01/01/2018</v>
      </c>
      <c r="H907" s="6" t="str">
        <f>IFERROR(__xludf.DUMMYFUNCTION("""COMPUTED_VALUE"""),"Self Identify")</f>
        <v>Self Identify</v>
      </c>
      <c r="I907" s="6" t="str">
        <f>IFERROR(__xludf.DUMMYFUNCTION("""COMPUTED_VALUE"""),"Middle School")</f>
        <v>Middle School</v>
      </c>
      <c r="J907" s="6" t="str">
        <f>IFERROR(__xludf.DUMMYFUNCTION("""COMPUTED_VALUE"""),"7")</f>
        <v>7</v>
      </c>
      <c r="K907" s="6" t="str">
        <f>IFERROR(__xludf.DUMMYFUNCTION("""COMPUTED_VALUE"""),"yaroslava.khorkova@2hourlearning.com")</f>
        <v>yaroslava.khorkova@2hourlearning.com</v>
      </c>
      <c r="L907" s="6" t="str">
        <f>IFERROR(__xludf.DUMMYFUNCTION("""COMPUTED_VALUE"""),"Learn and Earn Poland")</f>
        <v>Learn and Earn Poland</v>
      </c>
      <c r="M907" s="6" t="str">
        <f>IFERROR(__xludf.DUMMYFUNCTION("""COMPUTED_VALUE"""),"")</f>
        <v/>
      </c>
      <c r="N907" s="6" t="str">
        <f>IFERROR(__xludf.DUMMYFUNCTION("""COMPUTED_VALUE"""),"")</f>
        <v/>
      </c>
      <c r="O907" s="87" t="str">
        <f>IFERROR(__xludf.DUMMYFUNCTION("""COMPUTED_VALUE"""),"https://drive.google.com/drive/folders/10T2cTQHqEJZqE-st6uFKPoI?usp=share_link")</f>
        <v>https://drive.google.com/drive/folders/10T2cTQHqEJZqE-st6uFKPoI?usp=share_link</v>
      </c>
      <c r="P907" s="6" t="str">
        <f>IFERROR(__xludf.DUMMYFUNCTION("""COMPUTED_VALUE"""),"Yaroslava Khorkova")</f>
        <v>Yaroslava Khorkova</v>
      </c>
      <c r="Q907" s="6" t="str">
        <f>IFERROR(__xludf.DUMMYFUNCTION("""COMPUTED_VALUE"""),"MS")</f>
        <v>MS</v>
      </c>
      <c r="R907" s="6">
        <f>IFERROR(__xludf.DUMMYFUNCTION("""COMPUTED_VALUE"""),0.0)</f>
        <v>0</v>
      </c>
      <c r="S907" s="6" t="str">
        <f>IFERROR(__xludf.DUMMYFUNCTION("""COMPUTED_VALUE""")," ")</f>
        <v> </v>
      </c>
      <c r="T907" s="6" t="str">
        <f>IFERROR(__xludf.DUMMYFUNCTION("""COMPUTED_VALUE"""),"")</f>
        <v/>
      </c>
      <c r="U907" s="6" t="str">
        <f>IFERROR(__xludf.DUMMYFUNCTION("""COMPUTED_VALUE"""),"7")</f>
        <v>7</v>
      </c>
      <c r="V907" s="6" t="str">
        <f>IFERROR(__xludf.DUMMYFUNCTION("""COMPUTED_VALUE"""),"English")</f>
        <v>English</v>
      </c>
      <c r="W907" s="6" t="str">
        <f>IFERROR(__xludf.DUMMYFUNCTION("""COMPUTED_VALUE"""),"[]")</f>
        <v>[]</v>
      </c>
      <c r="X907" s="6" t="str">
        <f>IFERROR(__xludf.DUMMYFUNCTION("""COMPUTED_VALUE"""),"Enrolled")</f>
        <v>Enrolled</v>
      </c>
    </row>
    <row r="908">
      <c r="A908" s="6" t="str">
        <f>IFERROR(__xludf.DUMMYFUNCTION("""COMPUTED_VALUE"""),"009-1031")</f>
        <v>009-1031</v>
      </c>
      <c r="B908" s="6" t="str">
        <f>IFERROR(__xludf.DUMMYFUNCTION("""COMPUTED_VALUE"""),"9")</f>
        <v>9</v>
      </c>
      <c r="C908" s="6" t="str">
        <f>IFERROR(__xludf.DUMMYFUNCTION("""COMPUTED_VALUE"""),"1031")</f>
        <v>1031</v>
      </c>
      <c r="D908" s="6" t="str">
        <f>IFERROR(__xludf.DUMMYFUNCTION("""COMPUTED_VALUE"""),"Danylo")</f>
        <v>Danylo</v>
      </c>
      <c r="E908" s="6" t="str">
        <f>IFERROR(__xludf.DUMMYFUNCTION("""COMPUTED_VALUE"""),"")</f>
        <v/>
      </c>
      <c r="F908" s="6" t="str">
        <f>IFERROR(__xludf.DUMMYFUNCTION("""COMPUTED_VALUE"""),"Kozolup")</f>
        <v>Kozolup</v>
      </c>
      <c r="G908" s="6" t="str">
        <f>IFERROR(__xludf.DUMMYFUNCTION("""COMPUTED_VALUE"""),"01/01/2018")</f>
        <v>01/01/2018</v>
      </c>
      <c r="H908" s="6" t="str">
        <f>IFERROR(__xludf.DUMMYFUNCTION("""COMPUTED_VALUE"""),"Self Identify")</f>
        <v>Self Identify</v>
      </c>
      <c r="I908" s="6" t="str">
        <f>IFERROR(__xludf.DUMMYFUNCTION("""COMPUTED_VALUE"""),"Middle School")</f>
        <v>Middle School</v>
      </c>
      <c r="J908" s="6" t="str">
        <f>IFERROR(__xludf.DUMMYFUNCTION("""COMPUTED_VALUE"""),"7")</f>
        <v>7</v>
      </c>
      <c r="K908" s="6" t="str">
        <f>IFERROR(__xludf.DUMMYFUNCTION("""COMPUTED_VALUE"""),"danylo.kozolup@2hourlearning.com")</f>
        <v>danylo.kozolup@2hourlearning.com</v>
      </c>
      <c r="L908" s="6" t="str">
        <f>IFERROR(__xludf.DUMMYFUNCTION("""COMPUTED_VALUE"""),"Learn and Earn Poland")</f>
        <v>Learn and Earn Poland</v>
      </c>
      <c r="M908" s="6" t="str">
        <f>IFERROR(__xludf.DUMMYFUNCTION("""COMPUTED_VALUE"""),"")</f>
        <v/>
      </c>
      <c r="N908" s="6" t="str">
        <f>IFERROR(__xludf.DUMMYFUNCTION("""COMPUTED_VALUE"""),"")</f>
        <v/>
      </c>
      <c r="O908" s="87" t="str">
        <f>IFERROR(__xludf.DUMMYFUNCTION("""COMPUTED_VALUE"""),"https://drive.google.com/drive/folders/10T2cTQHqEJZqE-st6uFKPoI?usp=share_link")</f>
        <v>https://drive.google.com/drive/folders/10T2cTQHqEJZqE-st6uFKPoI?usp=share_link</v>
      </c>
      <c r="P908" s="6" t="str">
        <f>IFERROR(__xludf.DUMMYFUNCTION("""COMPUTED_VALUE"""),"Danylo Kozolup")</f>
        <v>Danylo Kozolup</v>
      </c>
      <c r="Q908" s="6" t="str">
        <f>IFERROR(__xludf.DUMMYFUNCTION("""COMPUTED_VALUE"""),"MS")</f>
        <v>MS</v>
      </c>
      <c r="R908" s="6">
        <f>IFERROR(__xludf.DUMMYFUNCTION("""COMPUTED_VALUE"""),0.0)</f>
        <v>0</v>
      </c>
      <c r="S908" s="6" t="str">
        <f>IFERROR(__xludf.DUMMYFUNCTION("""COMPUTED_VALUE""")," ")</f>
        <v> </v>
      </c>
      <c r="T908" s="6" t="str">
        <f>IFERROR(__xludf.DUMMYFUNCTION("""COMPUTED_VALUE"""),"")</f>
        <v/>
      </c>
      <c r="U908" s="6" t="str">
        <f>IFERROR(__xludf.DUMMYFUNCTION("""COMPUTED_VALUE"""),"7")</f>
        <v>7</v>
      </c>
      <c r="V908" s="6" t="str">
        <f>IFERROR(__xludf.DUMMYFUNCTION("""COMPUTED_VALUE"""),"English")</f>
        <v>English</v>
      </c>
      <c r="W908" s="6" t="str">
        <f>IFERROR(__xludf.DUMMYFUNCTION("""COMPUTED_VALUE"""),"[]")</f>
        <v>[]</v>
      </c>
      <c r="X908" s="6" t="str">
        <f>IFERROR(__xludf.DUMMYFUNCTION("""COMPUTED_VALUE"""),"Enrolled")</f>
        <v>Enrolled</v>
      </c>
    </row>
    <row r="909">
      <c r="A909" s="6" t="str">
        <f>IFERROR(__xludf.DUMMYFUNCTION("""COMPUTED_VALUE"""),"009-1032")</f>
        <v>009-1032</v>
      </c>
      <c r="B909" s="6" t="str">
        <f>IFERROR(__xludf.DUMMYFUNCTION("""COMPUTED_VALUE"""),"9")</f>
        <v>9</v>
      </c>
      <c r="C909" s="6" t="str">
        <f>IFERROR(__xludf.DUMMYFUNCTION("""COMPUTED_VALUE"""),"1032")</f>
        <v>1032</v>
      </c>
      <c r="D909" s="6" t="str">
        <f>IFERROR(__xludf.DUMMYFUNCTION("""COMPUTED_VALUE"""),"Sobol")</f>
        <v>Sobol</v>
      </c>
      <c r="E909" s="6" t="str">
        <f>IFERROR(__xludf.DUMMYFUNCTION("""COMPUTED_VALUE"""),"")</f>
        <v/>
      </c>
      <c r="F909" s="6" t="str">
        <f>IFERROR(__xludf.DUMMYFUNCTION("""COMPUTED_VALUE"""),"Mariya")</f>
        <v>Mariya</v>
      </c>
      <c r="G909" s="6" t="str">
        <f>IFERROR(__xludf.DUMMYFUNCTION("""COMPUTED_VALUE"""),"01/01/2018")</f>
        <v>01/01/2018</v>
      </c>
      <c r="H909" s="6" t="str">
        <f>IFERROR(__xludf.DUMMYFUNCTION("""COMPUTED_VALUE"""),"Self Identify")</f>
        <v>Self Identify</v>
      </c>
      <c r="I909" s="6" t="str">
        <f>IFERROR(__xludf.DUMMYFUNCTION("""COMPUTED_VALUE"""),"Middle School")</f>
        <v>Middle School</v>
      </c>
      <c r="J909" s="6" t="str">
        <f>IFERROR(__xludf.DUMMYFUNCTION("""COMPUTED_VALUE"""),"7")</f>
        <v>7</v>
      </c>
      <c r="K909" s="6" t="str">
        <f>IFERROR(__xludf.DUMMYFUNCTION("""COMPUTED_VALUE"""),"sobol.mariya@2hourlearning.com")</f>
        <v>sobol.mariya@2hourlearning.com</v>
      </c>
      <c r="L909" s="6" t="str">
        <f>IFERROR(__xludf.DUMMYFUNCTION("""COMPUTED_VALUE"""),"Learn and Earn Poland")</f>
        <v>Learn and Earn Poland</v>
      </c>
      <c r="M909" s="6" t="str">
        <f>IFERROR(__xludf.DUMMYFUNCTION("""COMPUTED_VALUE"""),"")</f>
        <v/>
      </c>
      <c r="N909" s="6" t="str">
        <f>IFERROR(__xludf.DUMMYFUNCTION("""COMPUTED_VALUE"""),"")</f>
        <v/>
      </c>
      <c r="O909" s="87" t="str">
        <f>IFERROR(__xludf.DUMMYFUNCTION("""COMPUTED_VALUE"""),"https://drive.google.com/drive/folders/10T2cTQHqEJZqE-st6uFKPoI?usp=share_link")</f>
        <v>https://drive.google.com/drive/folders/10T2cTQHqEJZqE-st6uFKPoI?usp=share_link</v>
      </c>
      <c r="P909" s="6" t="str">
        <f>IFERROR(__xludf.DUMMYFUNCTION("""COMPUTED_VALUE"""),"Sobol Mariya")</f>
        <v>Sobol Mariya</v>
      </c>
      <c r="Q909" s="6" t="str">
        <f>IFERROR(__xludf.DUMMYFUNCTION("""COMPUTED_VALUE"""),"MS")</f>
        <v>MS</v>
      </c>
      <c r="R909" s="6">
        <f>IFERROR(__xludf.DUMMYFUNCTION("""COMPUTED_VALUE"""),0.0)</f>
        <v>0</v>
      </c>
      <c r="S909" s="6" t="str">
        <f>IFERROR(__xludf.DUMMYFUNCTION("""COMPUTED_VALUE""")," ")</f>
        <v> </v>
      </c>
      <c r="T909" s="6" t="str">
        <f>IFERROR(__xludf.DUMMYFUNCTION("""COMPUTED_VALUE"""),"")</f>
        <v/>
      </c>
      <c r="U909" s="6" t="str">
        <f>IFERROR(__xludf.DUMMYFUNCTION("""COMPUTED_VALUE"""),"7")</f>
        <v>7</v>
      </c>
      <c r="V909" s="6" t="str">
        <f>IFERROR(__xludf.DUMMYFUNCTION("""COMPUTED_VALUE"""),"English")</f>
        <v>English</v>
      </c>
      <c r="W909" s="6" t="str">
        <f>IFERROR(__xludf.DUMMYFUNCTION("""COMPUTED_VALUE"""),"[]")</f>
        <v>[]</v>
      </c>
      <c r="X909" s="6" t="str">
        <f>IFERROR(__xludf.DUMMYFUNCTION("""COMPUTED_VALUE"""),"Enrolled")</f>
        <v>Enrolled</v>
      </c>
    </row>
    <row r="910">
      <c r="A910" s="6" t="str">
        <f>IFERROR(__xludf.DUMMYFUNCTION("""COMPUTED_VALUE"""),"009-1033")</f>
        <v>009-1033</v>
      </c>
      <c r="B910" s="6" t="str">
        <f>IFERROR(__xludf.DUMMYFUNCTION("""COMPUTED_VALUE"""),"9")</f>
        <v>9</v>
      </c>
      <c r="C910" s="6" t="str">
        <f>IFERROR(__xludf.DUMMYFUNCTION("""COMPUTED_VALUE"""),"1033")</f>
        <v>1033</v>
      </c>
      <c r="D910" s="6" t="str">
        <f>IFERROR(__xludf.DUMMYFUNCTION("""COMPUTED_VALUE"""),"Yuna")</f>
        <v>Yuna</v>
      </c>
      <c r="E910" s="6" t="str">
        <f>IFERROR(__xludf.DUMMYFUNCTION("""COMPUTED_VALUE"""),"")</f>
        <v/>
      </c>
      <c r="F910" s="6" t="str">
        <f>IFERROR(__xludf.DUMMYFUNCTION("""COMPUTED_VALUE"""),"Isaieva")</f>
        <v>Isaieva</v>
      </c>
      <c r="G910" s="6" t="str">
        <f>IFERROR(__xludf.DUMMYFUNCTION("""COMPUTED_VALUE"""),"01/01/2017")</f>
        <v>01/01/2017</v>
      </c>
      <c r="H910" s="6" t="str">
        <f>IFERROR(__xludf.DUMMYFUNCTION("""COMPUTED_VALUE"""),"Self Identify")</f>
        <v>Self Identify</v>
      </c>
      <c r="I910" s="6" t="str">
        <f>IFERROR(__xludf.DUMMYFUNCTION("""COMPUTED_VALUE"""),"Middle School")</f>
        <v>Middle School</v>
      </c>
      <c r="J910" s="6" t="str">
        <f>IFERROR(__xludf.DUMMYFUNCTION("""COMPUTED_VALUE"""),"8")</f>
        <v>8</v>
      </c>
      <c r="K910" s="6" t="str">
        <f>IFERROR(__xludf.DUMMYFUNCTION("""COMPUTED_VALUE"""),"yuna.isaieva@2hourlearning.com")</f>
        <v>yuna.isaieva@2hourlearning.com</v>
      </c>
      <c r="L910" s="6" t="str">
        <f>IFERROR(__xludf.DUMMYFUNCTION("""COMPUTED_VALUE"""),"Learn and Earn Poland")</f>
        <v>Learn and Earn Poland</v>
      </c>
      <c r="M910" s="6" t="str">
        <f>IFERROR(__xludf.DUMMYFUNCTION("""COMPUTED_VALUE"""),"")</f>
        <v/>
      </c>
      <c r="N910" s="6" t="str">
        <f>IFERROR(__xludf.DUMMYFUNCTION("""COMPUTED_VALUE"""),"")</f>
        <v/>
      </c>
      <c r="O910" s="87" t="str">
        <f>IFERROR(__xludf.DUMMYFUNCTION("""COMPUTED_VALUE"""),"https://drive.google.com/drive/folders/10T2cTQHqEJZqE-st6uFKPoI?usp=share_link")</f>
        <v>https://drive.google.com/drive/folders/10T2cTQHqEJZqE-st6uFKPoI?usp=share_link</v>
      </c>
      <c r="P910" s="6" t="str">
        <f>IFERROR(__xludf.DUMMYFUNCTION("""COMPUTED_VALUE"""),"Yuna Isaieva")</f>
        <v>Yuna Isaieva</v>
      </c>
      <c r="Q910" s="6" t="str">
        <f>IFERROR(__xludf.DUMMYFUNCTION("""COMPUTED_VALUE"""),"MS")</f>
        <v>MS</v>
      </c>
      <c r="R910" s="6">
        <f>IFERROR(__xludf.DUMMYFUNCTION("""COMPUTED_VALUE"""),0.0)</f>
        <v>0</v>
      </c>
      <c r="S910" s="6" t="str">
        <f>IFERROR(__xludf.DUMMYFUNCTION("""COMPUTED_VALUE""")," ")</f>
        <v> </v>
      </c>
      <c r="T910" s="6" t="str">
        <f>IFERROR(__xludf.DUMMYFUNCTION("""COMPUTED_VALUE"""),"")</f>
        <v/>
      </c>
      <c r="U910" s="6" t="str">
        <f>IFERROR(__xludf.DUMMYFUNCTION("""COMPUTED_VALUE"""),"8")</f>
        <v>8</v>
      </c>
      <c r="V910" s="6" t="str">
        <f>IFERROR(__xludf.DUMMYFUNCTION("""COMPUTED_VALUE"""),"English")</f>
        <v>English</v>
      </c>
      <c r="W910" s="6" t="str">
        <f>IFERROR(__xludf.DUMMYFUNCTION("""COMPUTED_VALUE"""),"[]")</f>
        <v>[]</v>
      </c>
      <c r="X910" s="6" t="str">
        <f>IFERROR(__xludf.DUMMYFUNCTION("""COMPUTED_VALUE"""),"Enrolled")</f>
        <v>Enrolled</v>
      </c>
    </row>
    <row r="911">
      <c r="A911" s="6" t="str">
        <f>IFERROR(__xludf.DUMMYFUNCTION("""COMPUTED_VALUE"""),"009-1034")</f>
        <v>009-1034</v>
      </c>
      <c r="B911" s="6" t="str">
        <f>IFERROR(__xludf.DUMMYFUNCTION("""COMPUTED_VALUE"""),"9")</f>
        <v>9</v>
      </c>
      <c r="C911" s="6" t="str">
        <f>IFERROR(__xludf.DUMMYFUNCTION("""COMPUTED_VALUE"""),"1034")</f>
        <v>1034</v>
      </c>
      <c r="D911" s="6" t="str">
        <f>IFERROR(__xludf.DUMMYFUNCTION("""COMPUTED_VALUE"""),"Zhydetska")</f>
        <v>Zhydetska</v>
      </c>
      <c r="E911" s="6" t="str">
        <f>IFERROR(__xludf.DUMMYFUNCTION("""COMPUTED_VALUE"""),"")</f>
        <v/>
      </c>
      <c r="F911" s="6" t="str">
        <f>IFERROR(__xludf.DUMMYFUNCTION("""COMPUTED_VALUE"""),"Yuliia")</f>
        <v>Yuliia</v>
      </c>
      <c r="G911" s="6" t="str">
        <f>IFERROR(__xludf.DUMMYFUNCTION("""COMPUTED_VALUE"""),"01/01/2016")</f>
        <v>01/01/2016</v>
      </c>
      <c r="H911" s="6" t="str">
        <f>IFERROR(__xludf.DUMMYFUNCTION("""COMPUTED_VALUE"""),"Self Identify")</f>
        <v>Self Identify</v>
      </c>
      <c r="I911" s="6" t="str">
        <f>IFERROR(__xludf.DUMMYFUNCTION("""COMPUTED_VALUE"""),"High School")</f>
        <v>High School</v>
      </c>
      <c r="J911" s="6" t="str">
        <f>IFERROR(__xludf.DUMMYFUNCTION("""COMPUTED_VALUE"""),"9")</f>
        <v>9</v>
      </c>
      <c r="K911" s="6" t="str">
        <f>IFERROR(__xludf.DUMMYFUNCTION("""COMPUTED_VALUE"""),"zhydetska.yuliia@2hourlearning.com")</f>
        <v>zhydetska.yuliia@2hourlearning.com</v>
      </c>
      <c r="L911" s="6" t="str">
        <f>IFERROR(__xludf.DUMMYFUNCTION("""COMPUTED_VALUE"""),"Learn and Earn Poland")</f>
        <v>Learn and Earn Poland</v>
      </c>
      <c r="M911" s="6" t="str">
        <f>IFERROR(__xludf.DUMMYFUNCTION("""COMPUTED_VALUE"""),"")</f>
        <v/>
      </c>
      <c r="N911" s="6" t="str">
        <f>IFERROR(__xludf.DUMMYFUNCTION("""COMPUTED_VALUE"""),"")</f>
        <v/>
      </c>
      <c r="O911" s="87" t="str">
        <f>IFERROR(__xludf.DUMMYFUNCTION("""COMPUTED_VALUE"""),"https://drive.google.com/drive/folders/10T2cTQHqEJZqE-st6uFKPoI?usp=share_link")</f>
        <v>https://drive.google.com/drive/folders/10T2cTQHqEJZqE-st6uFKPoI?usp=share_link</v>
      </c>
      <c r="P911" s="6" t="str">
        <f>IFERROR(__xludf.DUMMYFUNCTION("""COMPUTED_VALUE"""),"Zhydetska Yuliia")</f>
        <v>Zhydetska Yuliia</v>
      </c>
      <c r="Q911" s="6" t="str">
        <f>IFERROR(__xludf.DUMMYFUNCTION("""COMPUTED_VALUE"""),"HS")</f>
        <v>HS</v>
      </c>
      <c r="R911" s="6">
        <f>IFERROR(__xludf.DUMMYFUNCTION("""COMPUTED_VALUE"""),0.0)</f>
        <v>0</v>
      </c>
      <c r="S911" s="6" t="str">
        <f>IFERROR(__xludf.DUMMYFUNCTION("""COMPUTED_VALUE""")," ")</f>
        <v> </v>
      </c>
      <c r="T911" s="6" t="str">
        <f>IFERROR(__xludf.DUMMYFUNCTION("""COMPUTED_VALUE"""),"")</f>
        <v/>
      </c>
      <c r="U911" s="6" t="str">
        <f>IFERROR(__xludf.DUMMYFUNCTION("""COMPUTED_VALUE"""),"9")</f>
        <v>9</v>
      </c>
      <c r="V911" s="6" t="str">
        <f>IFERROR(__xludf.DUMMYFUNCTION("""COMPUTED_VALUE"""),"English")</f>
        <v>English</v>
      </c>
      <c r="W911" s="6" t="str">
        <f>IFERROR(__xludf.DUMMYFUNCTION("""COMPUTED_VALUE"""),"[]")</f>
        <v>[]</v>
      </c>
      <c r="X911" s="6" t="str">
        <f>IFERROR(__xludf.DUMMYFUNCTION("""COMPUTED_VALUE"""),"Enrolled")</f>
        <v>Enrolled</v>
      </c>
    </row>
    <row r="912">
      <c r="A912" s="6" t="str">
        <f>IFERROR(__xludf.DUMMYFUNCTION("""COMPUTED_VALUE"""),"009-1035")</f>
        <v>009-1035</v>
      </c>
      <c r="B912" s="6" t="str">
        <f>IFERROR(__xludf.DUMMYFUNCTION("""COMPUTED_VALUE"""),"9")</f>
        <v>9</v>
      </c>
      <c r="C912" s="6" t="str">
        <f>IFERROR(__xludf.DUMMYFUNCTION("""COMPUTED_VALUE"""),"1035")</f>
        <v>1035</v>
      </c>
      <c r="D912" s="6" t="str">
        <f>IFERROR(__xludf.DUMMYFUNCTION("""COMPUTED_VALUE"""),"Mariia")</f>
        <v>Mariia</v>
      </c>
      <c r="E912" s="6" t="str">
        <f>IFERROR(__xludf.DUMMYFUNCTION("""COMPUTED_VALUE"""),"")</f>
        <v/>
      </c>
      <c r="F912" s="6" t="str">
        <f>IFERROR(__xludf.DUMMYFUNCTION("""COMPUTED_VALUE"""),"Fedorenko")</f>
        <v>Fedorenko</v>
      </c>
      <c r="G912" s="6" t="str">
        <f>IFERROR(__xludf.DUMMYFUNCTION("""COMPUTED_VALUE"""),"01/01/2016")</f>
        <v>01/01/2016</v>
      </c>
      <c r="H912" s="6" t="str">
        <f>IFERROR(__xludf.DUMMYFUNCTION("""COMPUTED_VALUE"""),"Self Identify")</f>
        <v>Self Identify</v>
      </c>
      <c r="I912" s="6" t="str">
        <f>IFERROR(__xludf.DUMMYFUNCTION("""COMPUTED_VALUE"""),"High School")</f>
        <v>High School</v>
      </c>
      <c r="J912" s="6" t="str">
        <f>IFERROR(__xludf.DUMMYFUNCTION("""COMPUTED_VALUE"""),"9")</f>
        <v>9</v>
      </c>
      <c r="K912" s="6" t="str">
        <f>IFERROR(__xludf.DUMMYFUNCTION("""COMPUTED_VALUE"""),"mariia.fedorenko@2hourlearning.com")</f>
        <v>mariia.fedorenko@2hourlearning.com</v>
      </c>
      <c r="L912" s="6" t="str">
        <f>IFERROR(__xludf.DUMMYFUNCTION("""COMPUTED_VALUE"""),"Learn and Earn Poland")</f>
        <v>Learn and Earn Poland</v>
      </c>
      <c r="M912" s="6" t="str">
        <f>IFERROR(__xludf.DUMMYFUNCTION("""COMPUTED_VALUE"""),"")</f>
        <v/>
      </c>
      <c r="N912" s="6" t="str">
        <f>IFERROR(__xludf.DUMMYFUNCTION("""COMPUTED_VALUE"""),"")</f>
        <v/>
      </c>
      <c r="O912" s="87" t="str">
        <f>IFERROR(__xludf.DUMMYFUNCTION("""COMPUTED_VALUE"""),"https://drive.google.com/drive/folders/10T2cTQHqEJZqE-st6uFKPoI?usp=share_link")</f>
        <v>https://drive.google.com/drive/folders/10T2cTQHqEJZqE-st6uFKPoI?usp=share_link</v>
      </c>
      <c r="P912" s="6" t="str">
        <f>IFERROR(__xludf.DUMMYFUNCTION("""COMPUTED_VALUE"""),"Mariia Fedorenko")</f>
        <v>Mariia Fedorenko</v>
      </c>
      <c r="Q912" s="6" t="str">
        <f>IFERROR(__xludf.DUMMYFUNCTION("""COMPUTED_VALUE"""),"HS")</f>
        <v>HS</v>
      </c>
      <c r="R912" s="6">
        <f>IFERROR(__xludf.DUMMYFUNCTION("""COMPUTED_VALUE"""),0.0)</f>
        <v>0</v>
      </c>
      <c r="S912" s="6" t="str">
        <f>IFERROR(__xludf.DUMMYFUNCTION("""COMPUTED_VALUE""")," ")</f>
        <v> </v>
      </c>
      <c r="T912" s="6" t="str">
        <f>IFERROR(__xludf.DUMMYFUNCTION("""COMPUTED_VALUE"""),"")</f>
        <v/>
      </c>
      <c r="U912" s="6" t="str">
        <f>IFERROR(__xludf.DUMMYFUNCTION("""COMPUTED_VALUE"""),"9")</f>
        <v>9</v>
      </c>
      <c r="V912" s="6" t="str">
        <f>IFERROR(__xludf.DUMMYFUNCTION("""COMPUTED_VALUE"""),"English")</f>
        <v>English</v>
      </c>
      <c r="W912" s="6" t="str">
        <f>IFERROR(__xludf.DUMMYFUNCTION("""COMPUTED_VALUE"""),"[]")</f>
        <v>[]</v>
      </c>
      <c r="X912" s="6" t="str">
        <f>IFERROR(__xludf.DUMMYFUNCTION("""COMPUTED_VALUE"""),"Enrolled")</f>
        <v>Enrolled</v>
      </c>
    </row>
    <row r="913">
      <c r="A913" s="6" t="str">
        <f>IFERROR(__xludf.DUMMYFUNCTION("""COMPUTED_VALUE"""),"009-1036")</f>
        <v>009-1036</v>
      </c>
      <c r="B913" s="6" t="str">
        <f>IFERROR(__xludf.DUMMYFUNCTION("""COMPUTED_VALUE"""),"9")</f>
        <v>9</v>
      </c>
      <c r="C913" s="6" t="str">
        <f>IFERROR(__xludf.DUMMYFUNCTION("""COMPUTED_VALUE"""),"1036")</f>
        <v>1036</v>
      </c>
      <c r="D913" s="6" t="str">
        <f>IFERROR(__xludf.DUMMYFUNCTION("""COMPUTED_VALUE"""),"Maksym")</f>
        <v>Maksym</v>
      </c>
      <c r="E913" s="6" t="str">
        <f>IFERROR(__xludf.DUMMYFUNCTION("""COMPUTED_VALUE"""),"")</f>
        <v/>
      </c>
      <c r="F913" s="6" t="str">
        <f>IFERROR(__xludf.DUMMYFUNCTION("""COMPUTED_VALUE"""),"Lazariev")</f>
        <v>Lazariev</v>
      </c>
      <c r="G913" s="6" t="str">
        <f>IFERROR(__xludf.DUMMYFUNCTION("""COMPUTED_VALUE"""),"01/01/2016")</f>
        <v>01/01/2016</v>
      </c>
      <c r="H913" s="6" t="str">
        <f>IFERROR(__xludf.DUMMYFUNCTION("""COMPUTED_VALUE"""),"Self Identify")</f>
        <v>Self Identify</v>
      </c>
      <c r="I913" s="6" t="str">
        <f>IFERROR(__xludf.DUMMYFUNCTION("""COMPUTED_VALUE"""),"High School")</f>
        <v>High School</v>
      </c>
      <c r="J913" s="6" t="str">
        <f>IFERROR(__xludf.DUMMYFUNCTION("""COMPUTED_VALUE"""),"9")</f>
        <v>9</v>
      </c>
      <c r="K913" s="6" t="str">
        <f>IFERROR(__xludf.DUMMYFUNCTION("""COMPUTED_VALUE"""),"maksym.lazariev@2hourlearning.com")</f>
        <v>maksym.lazariev@2hourlearning.com</v>
      </c>
      <c r="L913" s="6" t="str">
        <f>IFERROR(__xludf.DUMMYFUNCTION("""COMPUTED_VALUE"""),"Learn and Earn Poland")</f>
        <v>Learn and Earn Poland</v>
      </c>
      <c r="M913" s="6" t="str">
        <f>IFERROR(__xludf.DUMMYFUNCTION("""COMPUTED_VALUE"""),"")</f>
        <v/>
      </c>
      <c r="N913" s="6" t="str">
        <f>IFERROR(__xludf.DUMMYFUNCTION("""COMPUTED_VALUE"""),"")</f>
        <v/>
      </c>
      <c r="O913" s="87" t="str">
        <f>IFERROR(__xludf.DUMMYFUNCTION("""COMPUTED_VALUE"""),"https://drive.google.com/drive/folders/10T2cTQHqEJZqE-st6uFKPoI?usp=share_link")</f>
        <v>https://drive.google.com/drive/folders/10T2cTQHqEJZqE-st6uFKPoI?usp=share_link</v>
      </c>
      <c r="P913" s="6" t="str">
        <f>IFERROR(__xludf.DUMMYFUNCTION("""COMPUTED_VALUE"""),"Maksym Lazariev")</f>
        <v>Maksym Lazariev</v>
      </c>
      <c r="Q913" s="6" t="str">
        <f>IFERROR(__xludf.DUMMYFUNCTION("""COMPUTED_VALUE"""),"HS")</f>
        <v>HS</v>
      </c>
      <c r="R913" s="6">
        <f>IFERROR(__xludf.DUMMYFUNCTION("""COMPUTED_VALUE"""),0.0)</f>
        <v>0</v>
      </c>
      <c r="S913" s="6" t="str">
        <f>IFERROR(__xludf.DUMMYFUNCTION("""COMPUTED_VALUE""")," ")</f>
        <v> </v>
      </c>
      <c r="T913" s="6" t="str">
        <f>IFERROR(__xludf.DUMMYFUNCTION("""COMPUTED_VALUE"""),"")</f>
        <v/>
      </c>
      <c r="U913" s="6" t="str">
        <f>IFERROR(__xludf.DUMMYFUNCTION("""COMPUTED_VALUE"""),"9")</f>
        <v>9</v>
      </c>
      <c r="V913" s="6" t="str">
        <f>IFERROR(__xludf.DUMMYFUNCTION("""COMPUTED_VALUE"""),"English")</f>
        <v>English</v>
      </c>
      <c r="W913" s="6" t="str">
        <f>IFERROR(__xludf.DUMMYFUNCTION("""COMPUTED_VALUE"""),"[]")</f>
        <v>[]</v>
      </c>
      <c r="X913" s="6" t="str">
        <f>IFERROR(__xludf.DUMMYFUNCTION("""COMPUTED_VALUE"""),"Enrolled")</f>
        <v>Enrolled</v>
      </c>
    </row>
    <row r="914">
      <c r="A914" s="6" t="str">
        <f>IFERROR(__xludf.DUMMYFUNCTION("""COMPUTED_VALUE"""),"009-1037")</f>
        <v>009-1037</v>
      </c>
      <c r="B914" s="6" t="str">
        <f>IFERROR(__xludf.DUMMYFUNCTION("""COMPUTED_VALUE"""),"9")</f>
        <v>9</v>
      </c>
      <c r="C914" s="6" t="str">
        <f>IFERROR(__xludf.DUMMYFUNCTION("""COMPUTED_VALUE"""),"1037")</f>
        <v>1037</v>
      </c>
      <c r="D914" s="6" t="str">
        <f>IFERROR(__xludf.DUMMYFUNCTION("""COMPUTED_VALUE"""),"Arina")</f>
        <v>Arina</v>
      </c>
      <c r="E914" s="6" t="str">
        <f>IFERROR(__xludf.DUMMYFUNCTION("""COMPUTED_VALUE"""),"")</f>
        <v/>
      </c>
      <c r="F914" s="6" t="str">
        <f>IFERROR(__xludf.DUMMYFUNCTION("""COMPUTED_VALUE"""),"Izotova")</f>
        <v>Izotova</v>
      </c>
      <c r="G914" s="6" t="str">
        <f>IFERROR(__xludf.DUMMYFUNCTION("""COMPUTED_VALUE"""),"01/01/2016")</f>
        <v>01/01/2016</v>
      </c>
      <c r="H914" s="6" t="str">
        <f>IFERROR(__xludf.DUMMYFUNCTION("""COMPUTED_VALUE"""),"Self Identify")</f>
        <v>Self Identify</v>
      </c>
      <c r="I914" s="6" t="str">
        <f>IFERROR(__xludf.DUMMYFUNCTION("""COMPUTED_VALUE"""),"High School")</f>
        <v>High School</v>
      </c>
      <c r="J914" s="6" t="str">
        <f>IFERROR(__xludf.DUMMYFUNCTION("""COMPUTED_VALUE"""),"9")</f>
        <v>9</v>
      </c>
      <c r="K914" s="6" t="str">
        <f>IFERROR(__xludf.DUMMYFUNCTION("""COMPUTED_VALUE"""),"arina.izotova@2hourlearning.com")</f>
        <v>arina.izotova@2hourlearning.com</v>
      </c>
      <c r="L914" s="6" t="str">
        <f>IFERROR(__xludf.DUMMYFUNCTION("""COMPUTED_VALUE"""),"Learn and Earn Poland")</f>
        <v>Learn and Earn Poland</v>
      </c>
      <c r="M914" s="6" t="str">
        <f>IFERROR(__xludf.DUMMYFUNCTION("""COMPUTED_VALUE"""),"")</f>
        <v/>
      </c>
      <c r="N914" s="6" t="str">
        <f>IFERROR(__xludf.DUMMYFUNCTION("""COMPUTED_VALUE"""),"")</f>
        <v/>
      </c>
      <c r="O914" s="87" t="str">
        <f>IFERROR(__xludf.DUMMYFUNCTION("""COMPUTED_VALUE"""),"https://drive.google.com/drive/folders/10T2cTQHqEJZqE-st6uFKPoI?usp=share_link")</f>
        <v>https://drive.google.com/drive/folders/10T2cTQHqEJZqE-st6uFKPoI?usp=share_link</v>
      </c>
      <c r="P914" s="6" t="str">
        <f>IFERROR(__xludf.DUMMYFUNCTION("""COMPUTED_VALUE"""),"Arina Izotova")</f>
        <v>Arina Izotova</v>
      </c>
      <c r="Q914" s="6" t="str">
        <f>IFERROR(__xludf.DUMMYFUNCTION("""COMPUTED_VALUE"""),"HS")</f>
        <v>HS</v>
      </c>
      <c r="R914" s="6">
        <f>IFERROR(__xludf.DUMMYFUNCTION("""COMPUTED_VALUE"""),0.0)</f>
        <v>0</v>
      </c>
      <c r="S914" s="6" t="str">
        <f>IFERROR(__xludf.DUMMYFUNCTION("""COMPUTED_VALUE""")," ")</f>
        <v> </v>
      </c>
      <c r="T914" s="6" t="str">
        <f>IFERROR(__xludf.DUMMYFUNCTION("""COMPUTED_VALUE"""),"")</f>
        <v/>
      </c>
      <c r="U914" s="6" t="str">
        <f>IFERROR(__xludf.DUMMYFUNCTION("""COMPUTED_VALUE"""),"9")</f>
        <v>9</v>
      </c>
      <c r="V914" s="6" t="str">
        <f>IFERROR(__xludf.DUMMYFUNCTION("""COMPUTED_VALUE"""),"English")</f>
        <v>English</v>
      </c>
      <c r="W914" s="6" t="str">
        <f>IFERROR(__xludf.DUMMYFUNCTION("""COMPUTED_VALUE"""),"[]")</f>
        <v>[]</v>
      </c>
      <c r="X914" s="6" t="str">
        <f>IFERROR(__xludf.DUMMYFUNCTION("""COMPUTED_VALUE"""),"Enrolled")</f>
        <v>Enrolled</v>
      </c>
    </row>
    <row r="915">
      <c r="A915" s="6" t="str">
        <f>IFERROR(__xludf.DUMMYFUNCTION("""COMPUTED_VALUE"""),"009-1038")</f>
        <v>009-1038</v>
      </c>
      <c r="B915" s="6" t="str">
        <f>IFERROR(__xludf.DUMMYFUNCTION("""COMPUTED_VALUE"""),"9")</f>
        <v>9</v>
      </c>
      <c r="C915" s="6" t="str">
        <f>IFERROR(__xludf.DUMMYFUNCTION("""COMPUTED_VALUE"""),"1038")</f>
        <v>1038</v>
      </c>
      <c r="D915" s="6" t="str">
        <f>IFERROR(__xludf.DUMMYFUNCTION("""COMPUTED_VALUE"""),"Andrii")</f>
        <v>Andrii</v>
      </c>
      <c r="E915" s="6" t="str">
        <f>IFERROR(__xludf.DUMMYFUNCTION("""COMPUTED_VALUE"""),"")</f>
        <v/>
      </c>
      <c r="F915" s="6" t="str">
        <f>IFERROR(__xludf.DUMMYFUNCTION("""COMPUTED_VALUE"""),"Zakladnyi")</f>
        <v>Zakladnyi</v>
      </c>
      <c r="G915" s="6" t="str">
        <f>IFERROR(__xludf.DUMMYFUNCTION("""COMPUTED_VALUE"""),"01/01/2016")</f>
        <v>01/01/2016</v>
      </c>
      <c r="H915" s="6" t="str">
        <f>IFERROR(__xludf.DUMMYFUNCTION("""COMPUTED_VALUE"""),"Self Identify")</f>
        <v>Self Identify</v>
      </c>
      <c r="I915" s="6" t="str">
        <f>IFERROR(__xludf.DUMMYFUNCTION("""COMPUTED_VALUE"""),"High School")</f>
        <v>High School</v>
      </c>
      <c r="J915" s="6" t="str">
        <f>IFERROR(__xludf.DUMMYFUNCTION("""COMPUTED_VALUE"""),"9")</f>
        <v>9</v>
      </c>
      <c r="K915" s="6" t="str">
        <f>IFERROR(__xludf.DUMMYFUNCTION("""COMPUTED_VALUE"""),"andrii.zakladnyi@2hourlearning.com")</f>
        <v>andrii.zakladnyi@2hourlearning.com</v>
      </c>
      <c r="L915" s="6" t="str">
        <f>IFERROR(__xludf.DUMMYFUNCTION("""COMPUTED_VALUE"""),"Learn and Earn Poland")</f>
        <v>Learn and Earn Poland</v>
      </c>
      <c r="M915" s="6" t="str">
        <f>IFERROR(__xludf.DUMMYFUNCTION("""COMPUTED_VALUE"""),"")</f>
        <v/>
      </c>
      <c r="N915" s="6" t="str">
        <f>IFERROR(__xludf.DUMMYFUNCTION("""COMPUTED_VALUE"""),"")</f>
        <v/>
      </c>
      <c r="O915" s="87" t="str">
        <f>IFERROR(__xludf.DUMMYFUNCTION("""COMPUTED_VALUE"""),"https://drive.google.com/drive/folders/10T2cTQHqEJZqE-st6uFKPoI?usp=share_link")</f>
        <v>https://drive.google.com/drive/folders/10T2cTQHqEJZqE-st6uFKPoI?usp=share_link</v>
      </c>
      <c r="P915" s="6" t="str">
        <f>IFERROR(__xludf.DUMMYFUNCTION("""COMPUTED_VALUE"""),"Andrii Zakladnyi")</f>
        <v>Andrii Zakladnyi</v>
      </c>
      <c r="Q915" s="6" t="str">
        <f>IFERROR(__xludf.DUMMYFUNCTION("""COMPUTED_VALUE"""),"HS")</f>
        <v>HS</v>
      </c>
      <c r="R915" s="6">
        <f>IFERROR(__xludf.DUMMYFUNCTION("""COMPUTED_VALUE"""),0.0)</f>
        <v>0</v>
      </c>
      <c r="S915" s="6" t="str">
        <f>IFERROR(__xludf.DUMMYFUNCTION("""COMPUTED_VALUE""")," ")</f>
        <v> </v>
      </c>
      <c r="T915" s="6" t="str">
        <f>IFERROR(__xludf.DUMMYFUNCTION("""COMPUTED_VALUE"""),"")</f>
        <v/>
      </c>
      <c r="U915" s="6" t="str">
        <f>IFERROR(__xludf.DUMMYFUNCTION("""COMPUTED_VALUE"""),"9")</f>
        <v>9</v>
      </c>
      <c r="V915" s="6" t="str">
        <f>IFERROR(__xludf.DUMMYFUNCTION("""COMPUTED_VALUE"""),"English")</f>
        <v>English</v>
      </c>
      <c r="W915" s="6" t="str">
        <f>IFERROR(__xludf.DUMMYFUNCTION("""COMPUTED_VALUE"""),"[]")</f>
        <v>[]</v>
      </c>
      <c r="X915" s="6" t="str">
        <f>IFERROR(__xludf.DUMMYFUNCTION("""COMPUTED_VALUE"""),"Enrolled")</f>
        <v>Enrolled</v>
      </c>
    </row>
    <row r="916">
      <c r="A916" s="6" t="str">
        <f>IFERROR(__xludf.DUMMYFUNCTION("""COMPUTED_VALUE"""),"009-1039")</f>
        <v>009-1039</v>
      </c>
      <c r="B916" s="6" t="str">
        <f>IFERROR(__xludf.DUMMYFUNCTION("""COMPUTED_VALUE"""),"9")</f>
        <v>9</v>
      </c>
      <c r="C916" s="6" t="str">
        <f>IFERROR(__xludf.DUMMYFUNCTION("""COMPUTED_VALUE"""),"1039")</f>
        <v>1039</v>
      </c>
      <c r="D916" s="6" t="str">
        <f>IFERROR(__xludf.DUMMYFUNCTION("""COMPUTED_VALUE"""),"Fedelesh")</f>
        <v>Fedelesh</v>
      </c>
      <c r="E916" s="6" t="str">
        <f>IFERROR(__xludf.DUMMYFUNCTION("""COMPUTED_VALUE"""),"")</f>
        <v/>
      </c>
      <c r="F916" s="6" t="str">
        <f>IFERROR(__xludf.DUMMYFUNCTION("""COMPUTED_VALUE"""),"Karina")</f>
        <v>Karina</v>
      </c>
      <c r="G916" s="6" t="str">
        <f>IFERROR(__xludf.DUMMYFUNCTION("""COMPUTED_VALUE"""),"01/01/2016")</f>
        <v>01/01/2016</v>
      </c>
      <c r="H916" s="6" t="str">
        <f>IFERROR(__xludf.DUMMYFUNCTION("""COMPUTED_VALUE"""),"Self Identify")</f>
        <v>Self Identify</v>
      </c>
      <c r="I916" s="6" t="str">
        <f>IFERROR(__xludf.DUMMYFUNCTION("""COMPUTED_VALUE"""),"High School")</f>
        <v>High School</v>
      </c>
      <c r="J916" s="6" t="str">
        <f>IFERROR(__xludf.DUMMYFUNCTION("""COMPUTED_VALUE"""),"9")</f>
        <v>9</v>
      </c>
      <c r="K916" s="6" t="str">
        <f>IFERROR(__xludf.DUMMYFUNCTION("""COMPUTED_VALUE"""),"fedelesh.karina@2hourlearning.com")</f>
        <v>fedelesh.karina@2hourlearning.com</v>
      </c>
      <c r="L916" s="6" t="str">
        <f>IFERROR(__xludf.DUMMYFUNCTION("""COMPUTED_VALUE"""),"Learn and Earn Poland")</f>
        <v>Learn and Earn Poland</v>
      </c>
      <c r="M916" s="6" t="str">
        <f>IFERROR(__xludf.DUMMYFUNCTION("""COMPUTED_VALUE"""),"")</f>
        <v/>
      </c>
      <c r="N916" s="6" t="str">
        <f>IFERROR(__xludf.DUMMYFUNCTION("""COMPUTED_VALUE"""),"")</f>
        <v/>
      </c>
      <c r="O916" s="87" t="str">
        <f>IFERROR(__xludf.DUMMYFUNCTION("""COMPUTED_VALUE"""),"https://drive.google.com/drive/folders/10T2cTQHqEJZqE-st6uFKPoI?usp=share_link")</f>
        <v>https://drive.google.com/drive/folders/10T2cTQHqEJZqE-st6uFKPoI?usp=share_link</v>
      </c>
      <c r="P916" s="6" t="str">
        <f>IFERROR(__xludf.DUMMYFUNCTION("""COMPUTED_VALUE"""),"Fedelesh Karina")</f>
        <v>Fedelesh Karina</v>
      </c>
      <c r="Q916" s="6" t="str">
        <f>IFERROR(__xludf.DUMMYFUNCTION("""COMPUTED_VALUE"""),"HS")</f>
        <v>HS</v>
      </c>
      <c r="R916" s="6">
        <f>IFERROR(__xludf.DUMMYFUNCTION("""COMPUTED_VALUE"""),0.0)</f>
        <v>0</v>
      </c>
      <c r="S916" s="6" t="str">
        <f>IFERROR(__xludf.DUMMYFUNCTION("""COMPUTED_VALUE""")," ")</f>
        <v> </v>
      </c>
      <c r="T916" s="6" t="str">
        <f>IFERROR(__xludf.DUMMYFUNCTION("""COMPUTED_VALUE"""),"")</f>
        <v/>
      </c>
      <c r="U916" s="6" t="str">
        <f>IFERROR(__xludf.DUMMYFUNCTION("""COMPUTED_VALUE"""),"9")</f>
        <v>9</v>
      </c>
      <c r="V916" s="6" t="str">
        <f>IFERROR(__xludf.DUMMYFUNCTION("""COMPUTED_VALUE"""),"English")</f>
        <v>English</v>
      </c>
      <c r="W916" s="6" t="str">
        <f>IFERROR(__xludf.DUMMYFUNCTION("""COMPUTED_VALUE"""),"[]")</f>
        <v>[]</v>
      </c>
      <c r="X916" s="6" t="str">
        <f>IFERROR(__xludf.DUMMYFUNCTION("""COMPUTED_VALUE"""),"Enrolled")</f>
        <v>Enrolled</v>
      </c>
    </row>
    <row r="917">
      <c r="A917" s="6" t="str">
        <f>IFERROR(__xludf.DUMMYFUNCTION("""COMPUTED_VALUE"""),"009-1040")</f>
        <v>009-1040</v>
      </c>
      <c r="B917" s="6" t="str">
        <f>IFERROR(__xludf.DUMMYFUNCTION("""COMPUTED_VALUE"""),"9")</f>
        <v>9</v>
      </c>
      <c r="C917" s="6" t="str">
        <f>IFERROR(__xludf.DUMMYFUNCTION("""COMPUTED_VALUE"""),"1040")</f>
        <v>1040</v>
      </c>
      <c r="D917" s="6" t="str">
        <f>IFERROR(__xludf.DUMMYFUNCTION("""COMPUTED_VALUE"""),"Lunhu")</f>
        <v>Lunhu</v>
      </c>
      <c r="E917" s="6" t="str">
        <f>IFERROR(__xludf.DUMMYFUNCTION("""COMPUTED_VALUE"""),"")</f>
        <v/>
      </c>
      <c r="F917" s="6" t="str">
        <f>IFERROR(__xludf.DUMMYFUNCTION("""COMPUTED_VALUE"""),"Mykyta")</f>
        <v>Mykyta</v>
      </c>
      <c r="G917" s="6" t="str">
        <f>IFERROR(__xludf.DUMMYFUNCTION("""COMPUTED_VALUE"""),"01/01/2016")</f>
        <v>01/01/2016</v>
      </c>
      <c r="H917" s="6" t="str">
        <f>IFERROR(__xludf.DUMMYFUNCTION("""COMPUTED_VALUE"""),"Self Identify")</f>
        <v>Self Identify</v>
      </c>
      <c r="I917" s="6" t="str">
        <f>IFERROR(__xludf.DUMMYFUNCTION("""COMPUTED_VALUE"""),"High School")</f>
        <v>High School</v>
      </c>
      <c r="J917" s="6" t="str">
        <f>IFERROR(__xludf.DUMMYFUNCTION("""COMPUTED_VALUE"""),"9")</f>
        <v>9</v>
      </c>
      <c r="K917" s="6" t="str">
        <f>IFERROR(__xludf.DUMMYFUNCTION("""COMPUTED_VALUE"""),"lunhu.mykyta@2hourlearning.com")</f>
        <v>lunhu.mykyta@2hourlearning.com</v>
      </c>
      <c r="L917" s="6" t="str">
        <f>IFERROR(__xludf.DUMMYFUNCTION("""COMPUTED_VALUE"""),"Learn and Earn Poland")</f>
        <v>Learn and Earn Poland</v>
      </c>
      <c r="M917" s="6" t="str">
        <f>IFERROR(__xludf.DUMMYFUNCTION("""COMPUTED_VALUE"""),"")</f>
        <v/>
      </c>
      <c r="N917" s="6" t="str">
        <f>IFERROR(__xludf.DUMMYFUNCTION("""COMPUTED_VALUE"""),"")</f>
        <v/>
      </c>
      <c r="O917" s="87" t="str">
        <f>IFERROR(__xludf.DUMMYFUNCTION("""COMPUTED_VALUE"""),"https://drive.google.com/drive/folders/10T2cTQHqEJZqE-st6uFKPoI?usp=share_link")</f>
        <v>https://drive.google.com/drive/folders/10T2cTQHqEJZqE-st6uFKPoI?usp=share_link</v>
      </c>
      <c r="P917" s="6" t="str">
        <f>IFERROR(__xludf.DUMMYFUNCTION("""COMPUTED_VALUE"""),"Lunhu Mykyta")</f>
        <v>Lunhu Mykyta</v>
      </c>
      <c r="Q917" s="6" t="str">
        <f>IFERROR(__xludf.DUMMYFUNCTION("""COMPUTED_VALUE"""),"HS")</f>
        <v>HS</v>
      </c>
      <c r="R917" s="6">
        <f>IFERROR(__xludf.DUMMYFUNCTION("""COMPUTED_VALUE"""),0.0)</f>
        <v>0</v>
      </c>
      <c r="S917" s="6" t="str">
        <f>IFERROR(__xludf.DUMMYFUNCTION("""COMPUTED_VALUE""")," ")</f>
        <v> </v>
      </c>
      <c r="T917" s="6" t="str">
        <f>IFERROR(__xludf.DUMMYFUNCTION("""COMPUTED_VALUE"""),"")</f>
        <v/>
      </c>
      <c r="U917" s="6" t="str">
        <f>IFERROR(__xludf.DUMMYFUNCTION("""COMPUTED_VALUE"""),"9")</f>
        <v>9</v>
      </c>
      <c r="V917" s="6" t="str">
        <f>IFERROR(__xludf.DUMMYFUNCTION("""COMPUTED_VALUE"""),"English")</f>
        <v>English</v>
      </c>
      <c r="W917" s="6" t="str">
        <f>IFERROR(__xludf.DUMMYFUNCTION("""COMPUTED_VALUE"""),"[]")</f>
        <v>[]</v>
      </c>
      <c r="X917" s="6" t="str">
        <f>IFERROR(__xludf.DUMMYFUNCTION("""COMPUTED_VALUE"""),"Enrolled")</f>
        <v>Enrolled</v>
      </c>
    </row>
    <row r="918">
      <c r="A918" s="6" t="str">
        <f>IFERROR(__xludf.DUMMYFUNCTION("""COMPUTED_VALUE"""),"009-1041")</f>
        <v>009-1041</v>
      </c>
      <c r="B918" s="6" t="str">
        <f>IFERROR(__xludf.DUMMYFUNCTION("""COMPUTED_VALUE"""),"9")</f>
        <v>9</v>
      </c>
      <c r="C918" s="6" t="str">
        <f>IFERROR(__xludf.DUMMYFUNCTION("""COMPUTED_VALUE"""),"1041")</f>
        <v>1041</v>
      </c>
      <c r="D918" s="6" t="str">
        <f>IFERROR(__xludf.DUMMYFUNCTION("""COMPUTED_VALUE"""),"Tetiana")</f>
        <v>Tetiana</v>
      </c>
      <c r="E918" s="6" t="str">
        <f>IFERROR(__xludf.DUMMYFUNCTION("""COMPUTED_VALUE"""),"")</f>
        <v/>
      </c>
      <c r="F918" s="6" t="str">
        <f>IFERROR(__xludf.DUMMYFUNCTION("""COMPUTED_VALUE"""),"Chumak")</f>
        <v>Chumak</v>
      </c>
      <c r="G918" s="6" t="str">
        <f>IFERROR(__xludf.DUMMYFUNCTION("""COMPUTED_VALUE"""),"01/01/2016")</f>
        <v>01/01/2016</v>
      </c>
      <c r="H918" s="6" t="str">
        <f>IFERROR(__xludf.DUMMYFUNCTION("""COMPUTED_VALUE"""),"Self Identify")</f>
        <v>Self Identify</v>
      </c>
      <c r="I918" s="6" t="str">
        <f>IFERROR(__xludf.DUMMYFUNCTION("""COMPUTED_VALUE"""),"High School")</f>
        <v>High School</v>
      </c>
      <c r="J918" s="6" t="str">
        <f>IFERROR(__xludf.DUMMYFUNCTION("""COMPUTED_VALUE"""),"9")</f>
        <v>9</v>
      </c>
      <c r="K918" s="6" t="str">
        <f>IFERROR(__xludf.DUMMYFUNCTION("""COMPUTED_VALUE"""),"tetiana.chumak@2hourlearning.com")</f>
        <v>tetiana.chumak@2hourlearning.com</v>
      </c>
      <c r="L918" s="6" t="str">
        <f>IFERROR(__xludf.DUMMYFUNCTION("""COMPUTED_VALUE"""),"Learn and Earn Poland")</f>
        <v>Learn and Earn Poland</v>
      </c>
      <c r="M918" s="6" t="str">
        <f>IFERROR(__xludf.DUMMYFUNCTION("""COMPUTED_VALUE"""),"")</f>
        <v/>
      </c>
      <c r="N918" s="6" t="str">
        <f>IFERROR(__xludf.DUMMYFUNCTION("""COMPUTED_VALUE"""),"")</f>
        <v/>
      </c>
      <c r="O918" s="87" t="str">
        <f>IFERROR(__xludf.DUMMYFUNCTION("""COMPUTED_VALUE"""),"https://drive.google.com/drive/folders/10T2cTQHqEJZqE-st6uFKPoI?usp=share_link")</f>
        <v>https://drive.google.com/drive/folders/10T2cTQHqEJZqE-st6uFKPoI?usp=share_link</v>
      </c>
      <c r="P918" s="6" t="str">
        <f>IFERROR(__xludf.DUMMYFUNCTION("""COMPUTED_VALUE"""),"Tetiana Chumak")</f>
        <v>Tetiana Chumak</v>
      </c>
      <c r="Q918" s="6" t="str">
        <f>IFERROR(__xludf.DUMMYFUNCTION("""COMPUTED_VALUE"""),"HS")</f>
        <v>HS</v>
      </c>
      <c r="R918" s="6">
        <f>IFERROR(__xludf.DUMMYFUNCTION("""COMPUTED_VALUE"""),0.0)</f>
        <v>0</v>
      </c>
      <c r="S918" s="6" t="str">
        <f>IFERROR(__xludf.DUMMYFUNCTION("""COMPUTED_VALUE""")," ")</f>
        <v> </v>
      </c>
      <c r="T918" s="6" t="str">
        <f>IFERROR(__xludf.DUMMYFUNCTION("""COMPUTED_VALUE"""),"")</f>
        <v/>
      </c>
      <c r="U918" s="6" t="str">
        <f>IFERROR(__xludf.DUMMYFUNCTION("""COMPUTED_VALUE"""),"9")</f>
        <v>9</v>
      </c>
      <c r="V918" s="6" t="str">
        <f>IFERROR(__xludf.DUMMYFUNCTION("""COMPUTED_VALUE"""),"English")</f>
        <v>English</v>
      </c>
      <c r="W918" s="6" t="str">
        <f>IFERROR(__xludf.DUMMYFUNCTION("""COMPUTED_VALUE"""),"[]")</f>
        <v>[]</v>
      </c>
      <c r="X918" s="6" t="str">
        <f>IFERROR(__xludf.DUMMYFUNCTION("""COMPUTED_VALUE"""),"Enrolled")</f>
        <v>Enrolled</v>
      </c>
    </row>
    <row r="919">
      <c r="A919" s="6" t="str">
        <f>IFERROR(__xludf.DUMMYFUNCTION("""COMPUTED_VALUE"""),"009-1042")</f>
        <v>009-1042</v>
      </c>
      <c r="B919" s="6" t="str">
        <f>IFERROR(__xludf.DUMMYFUNCTION("""COMPUTED_VALUE"""),"9")</f>
        <v>9</v>
      </c>
      <c r="C919" s="6" t="str">
        <f>IFERROR(__xludf.DUMMYFUNCTION("""COMPUTED_VALUE"""),"1042")</f>
        <v>1042</v>
      </c>
      <c r="D919" s="6" t="str">
        <f>IFERROR(__xludf.DUMMYFUNCTION("""COMPUTED_VALUE"""),"Milana")</f>
        <v>Milana</v>
      </c>
      <c r="E919" s="6" t="str">
        <f>IFERROR(__xludf.DUMMYFUNCTION("""COMPUTED_VALUE"""),"")</f>
        <v/>
      </c>
      <c r="F919" s="6" t="str">
        <f>IFERROR(__xludf.DUMMYFUNCTION("""COMPUTED_VALUE"""),"Kopych")</f>
        <v>Kopych</v>
      </c>
      <c r="G919" s="6" t="str">
        <f>IFERROR(__xludf.DUMMYFUNCTION("""COMPUTED_VALUE"""),"01/01/2015")</f>
        <v>01/01/2015</v>
      </c>
      <c r="H919" s="6" t="str">
        <f>IFERROR(__xludf.DUMMYFUNCTION("""COMPUTED_VALUE"""),"Self Identify")</f>
        <v>Self Identify</v>
      </c>
      <c r="I919" s="6" t="str">
        <f>IFERROR(__xludf.DUMMYFUNCTION("""COMPUTED_VALUE"""),"High School")</f>
        <v>High School</v>
      </c>
      <c r="J919" s="6" t="str">
        <f>IFERROR(__xludf.DUMMYFUNCTION("""COMPUTED_VALUE"""),"10")</f>
        <v>10</v>
      </c>
      <c r="K919" s="6" t="str">
        <f>IFERROR(__xludf.DUMMYFUNCTION("""COMPUTED_VALUE"""),"milana.kopych@2hourlearning.com")</f>
        <v>milana.kopych@2hourlearning.com</v>
      </c>
      <c r="L919" s="6" t="str">
        <f>IFERROR(__xludf.DUMMYFUNCTION("""COMPUTED_VALUE"""),"Learn and Earn Poland")</f>
        <v>Learn and Earn Poland</v>
      </c>
      <c r="M919" s="6" t="str">
        <f>IFERROR(__xludf.DUMMYFUNCTION("""COMPUTED_VALUE"""),"")</f>
        <v/>
      </c>
      <c r="N919" s="6" t="str">
        <f>IFERROR(__xludf.DUMMYFUNCTION("""COMPUTED_VALUE"""),"")</f>
        <v/>
      </c>
      <c r="O919" s="87" t="str">
        <f>IFERROR(__xludf.DUMMYFUNCTION("""COMPUTED_VALUE"""),"https://drive.google.com/drive/folders/10T2cTQHqEJZqE-st6uFKPoI?usp=share_link")</f>
        <v>https://drive.google.com/drive/folders/10T2cTQHqEJZqE-st6uFKPoI?usp=share_link</v>
      </c>
      <c r="P919" s="6" t="str">
        <f>IFERROR(__xludf.DUMMYFUNCTION("""COMPUTED_VALUE"""),"Milana Kopych")</f>
        <v>Milana Kopych</v>
      </c>
      <c r="Q919" s="6" t="str">
        <f>IFERROR(__xludf.DUMMYFUNCTION("""COMPUTED_VALUE"""),"HS")</f>
        <v>HS</v>
      </c>
      <c r="R919" s="6">
        <f>IFERROR(__xludf.DUMMYFUNCTION("""COMPUTED_VALUE"""),0.0)</f>
        <v>0</v>
      </c>
      <c r="S919" s="6" t="str">
        <f>IFERROR(__xludf.DUMMYFUNCTION("""COMPUTED_VALUE""")," ")</f>
        <v> </v>
      </c>
      <c r="T919" s="6" t="str">
        <f>IFERROR(__xludf.DUMMYFUNCTION("""COMPUTED_VALUE"""),"")</f>
        <v/>
      </c>
      <c r="U919" s="6" t="str">
        <f>IFERROR(__xludf.DUMMYFUNCTION("""COMPUTED_VALUE"""),"10")</f>
        <v>10</v>
      </c>
      <c r="V919" s="6" t="str">
        <f>IFERROR(__xludf.DUMMYFUNCTION("""COMPUTED_VALUE"""),"English")</f>
        <v>English</v>
      </c>
      <c r="W919" s="6" t="str">
        <f>IFERROR(__xludf.DUMMYFUNCTION("""COMPUTED_VALUE"""),"[]")</f>
        <v>[]</v>
      </c>
      <c r="X919" s="6" t="str">
        <f>IFERROR(__xludf.DUMMYFUNCTION("""COMPUTED_VALUE"""),"Enrolled")</f>
        <v>Enrolled</v>
      </c>
    </row>
    <row r="920">
      <c r="A920" s="6" t="str">
        <f>IFERROR(__xludf.DUMMYFUNCTION("""COMPUTED_VALUE"""),"009-1043")</f>
        <v>009-1043</v>
      </c>
      <c r="B920" s="6" t="str">
        <f>IFERROR(__xludf.DUMMYFUNCTION("""COMPUTED_VALUE"""),"9")</f>
        <v>9</v>
      </c>
      <c r="C920" s="6" t="str">
        <f>IFERROR(__xludf.DUMMYFUNCTION("""COMPUTED_VALUE"""),"1043")</f>
        <v>1043</v>
      </c>
      <c r="D920" s="6" t="str">
        <f>IFERROR(__xludf.DUMMYFUNCTION("""COMPUTED_VALUE"""),"Iryna")</f>
        <v>Iryna</v>
      </c>
      <c r="E920" s="6" t="str">
        <f>IFERROR(__xludf.DUMMYFUNCTION("""COMPUTED_VALUE"""),"")</f>
        <v/>
      </c>
      <c r="F920" s="6" t="str">
        <f>IFERROR(__xludf.DUMMYFUNCTION("""COMPUTED_VALUE"""),"Kozolup")</f>
        <v>Kozolup</v>
      </c>
      <c r="G920" s="6" t="str">
        <f>IFERROR(__xludf.DUMMYFUNCTION("""COMPUTED_VALUE"""),"01/01/2015")</f>
        <v>01/01/2015</v>
      </c>
      <c r="H920" s="6" t="str">
        <f>IFERROR(__xludf.DUMMYFUNCTION("""COMPUTED_VALUE"""),"Self Identify")</f>
        <v>Self Identify</v>
      </c>
      <c r="I920" s="6" t="str">
        <f>IFERROR(__xludf.DUMMYFUNCTION("""COMPUTED_VALUE"""),"High School")</f>
        <v>High School</v>
      </c>
      <c r="J920" s="6" t="str">
        <f>IFERROR(__xludf.DUMMYFUNCTION("""COMPUTED_VALUE"""),"10")</f>
        <v>10</v>
      </c>
      <c r="K920" s="6" t="str">
        <f>IFERROR(__xludf.DUMMYFUNCTION("""COMPUTED_VALUE"""),"iryna.kozolup@2hourlearning.com")</f>
        <v>iryna.kozolup@2hourlearning.com</v>
      </c>
      <c r="L920" s="6" t="str">
        <f>IFERROR(__xludf.DUMMYFUNCTION("""COMPUTED_VALUE"""),"Learn and Earn Poland")</f>
        <v>Learn and Earn Poland</v>
      </c>
      <c r="M920" s="6" t="str">
        <f>IFERROR(__xludf.DUMMYFUNCTION("""COMPUTED_VALUE"""),"")</f>
        <v/>
      </c>
      <c r="N920" s="6" t="str">
        <f>IFERROR(__xludf.DUMMYFUNCTION("""COMPUTED_VALUE"""),"")</f>
        <v/>
      </c>
      <c r="O920" s="87" t="str">
        <f>IFERROR(__xludf.DUMMYFUNCTION("""COMPUTED_VALUE"""),"https://drive.google.com/drive/folders/10T2cTQHqEJZqE-st6uFKPoI?usp=share_link")</f>
        <v>https://drive.google.com/drive/folders/10T2cTQHqEJZqE-st6uFKPoI?usp=share_link</v>
      </c>
      <c r="P920" s="6" t="str">
        <f>IFERROR(__xludf.DUMMYFUNCTION("""COMPUTED_VALUE"""),"Iryna Kozolup")</f>
        <v>Iryna Kozolup</v>
      </c>
      <c r="Q920" s="6" t="str">
        <f>IFERROR(__xludf.DUMMYFUNCTION("""COMPUTED_VALUE"""),"HS")</f>
        <v>HS</v>
      </c>
      <c r="R920" s="6">
        <f>IFERROR(__xludf.DUMMYFUNCTION("""COMPUTED_VALUE"""),0.0)</f>
        <v>0</v>
      </c>
      <c r="S920" s="6" t="str">
        <f>IFERROR(__xludf.DUMMYFUNCTION("""COMPUTED_VALUE""")," ")</f>
        <v> </v>
      </c>
      <c r="T920" s="6" t="str">
        <f>IFERROR(__xludf.DUMMYFUNCTION("""COMPUTED_VALUE"""),"")</f>
        <v/>
      </c>
      <c r="U920" s="6" t="str">
        <f>IFERROR(__xludf.DUMMYFUNCTION("""COMPUTED_VALUE"""),"10")</f>
        <v>10</v>
      </c>
      <c r="V920" s="6" t="str">
        <f>IFERROR(__xludf.DUMMYFUNCTION("""COMPUTED_VALUE"""),"English")</f>
        <v>English</v>
      </c>
      <c r="W920" s="6" t="str">
        <f>IFERROR(__xludf.DUMMYFUNCTION("""COMPUTED_VALUE"""),"[]")</f>
        <v>[]</v>
      </c>
      <c r="X920" s="6" t="str">
        <f>IFERROR(__xludf.DUMMYFUNCTION("""COMPUTED_VALUE"""),"Enrolled")</f>
        <v>Enrolled</v>
      </c>
    </row>
    <row r="921">
      <c r="A921" s="6" t="str">
        <f>IFERROR(__xludf.DUMMYFUNCTION("""COMPUTED_VALUE"""),"009-1044")</f>
        <v>009-1044</v>
      </c>
      <c r="B921" s="6" t="str">
        <f>IFERROR(__xludf.DUMMYFUNCTION("""COMPUTED_VALUE"""),"9")</f>
        <v>9</v>
      </c>
      <c r="C921" s="6" t="str">
        <f>IFERROR(__xludf.DUMMYFUNCTION("""COMPUTED_VALUE"""),"1044")</f>
        <v>1044</v>
      </c>
      <c r="D921" s="6" t="str">
        <f>IFERROR(__xludf.DUMMYFUNCTION("""COMPUTED_VALUE"""),"Mykola")</f>
        <v>Mykola</v>
      </c>
      <c r="E921" s="6" t="str">
        <f>IFERROR(__xludf.DUMMYFUNCTION("""COMPUTED_VALUE"""),"")</f>
        <v/>
      </c>
      <c r="F921" s="6" t="str">
        <f>IFERROR(__xludf.DUMMYFUNCTION("""COMPUTED_VALUE"""),"Shevchuk")</f>
        <v>Shevchuk</v>
      </c>
      <c r="G921" s="6" t="str">
        <f>IFERROR(__xludf.DUMMYFUNCTION("""COMPUTED_VALUE"""),"01/01/2015")</f>
        <v>01/01/2015</v>
      </c>
      <c r="H921" s="6" t="str">
        <f>IFERROR(__xludf.DUMMYFUNCTION("""COMPUTED_VALUE"""),"Self Identify")</f>
        <v>Self Identify</v>
      </c>
      <c r="I921" s="6" t="str">
        <f>IFERROR(__xludf.DUMMYFUNCTION("""COMPUTED_VALUE"""),"High School")</f>
        <v>High School</v>
      </c>
      <c r="J921" s="6" t="str">
        <f>IFERROR(__xludf.DUMMYFUNCTION("""COMPUTED_VALUE"""),"10")</f>
        <v>10</v>
      </c>
      <c r="K921" s="6" t="str">
        <f>IFERROR(__xludf.DUMMYFUNCTION("""COMPUTED_VALUE"""),"mykola.shevchuk@2hourlearning.com")</f>
        <v>mykola.shevchuk@2hourlearning.com</v>
      </c>
      <c r="L921" s="6" t="str">
        <f>IFERROR(__xludf.DUMMYFUNCTION("""COMPUTED_VALUE"""),"Learn and Earn Poland")</f>
        <v>Learn and Earn Poland</v>
      </c>
      <c r="M921" s="6" t="str">
        <f>IFERROR(__xludf.DUMMYFUNCTION("""COMPUTED_VALUE"""),"")</f>
        <v/>
      </c>
      <c r="N921" s="6" t="str">
        <f>IFERROR(__xludf.DUMMYFUNCTION("""COMPUTED_VALUE"""),"")</f>
        <v/>
      </c>
      <c r="O921" s="87" t="str">
        <f>IFERROR(__xludf.DUMMYFUNCTION("""COMPUTED_VALUE"""),"https://drive.google.com/drive/folders/10T2cTQHqEJZqE-st6uFKPoI?usp=share_link")</f>
        <v>https://drive.google.com/drive/folders/10T2cTQHqEJZqE-st6uFKPoI?usp=share_link</v>
      </c>
      <c r="P921" s="6" t="str">
        <f>IFERROR(__xludf.DUMMYFUNCTION("""COMPUTED_VALUE"""),"Mykola Shevchuk")</f>
        <v>Mykola Shevchuk</v>
      </c>
      <c r="Q921" s="6" t="str">
        <f>IFERROR(__xludf.DUMMYFUNCTION("""COMPUTED_VALUE"""),"HS")</f>
        <v>HS</v>
      </c>
      <c r="R921" s="6">
        <f>IFERROR(__xludf.DUMMYFUNCTION("""COMPUTED_VALUE"""),0.0)</f>
        <v>0</v>
      </c>
      <c r="S921" s="6" t="str">
        <f>IFERROR(__xludf.DUMMYFUNCTION("""COMPUTED_VALUE""")," ")</f>
        <v> </v>
      </c>
      <c r="T921" s="6" t="str">
        <f>IFERROR(__xludf.DUMMYFUNCTION("""COMPUTED_VALUE"""),"")</f>
        <v/>
      </c>
      <c r="U921" s="6" t="str">
        <f>IFERROR(__xludf.DUMMYFUNCTION("""COMPUTED_VALUE"""),"10")</f>
        <v>10</v>
      </c>
      <c r="V921" s="6" t="str">
        <f>IFERROR(__xludf.DUMMYFUNCTION("""COMPUTED_VALUE"""),"English")</f>
        <v>English</v>
      </c>
      <c r="W921" s="6" t="str">
        <f>IFERROR(__xludf.DUMMYFUNCTION("""COMPUTED_VALUE"""),"[]")</f>
        <v>[]</v>
      </c>
      <c r="X921" s="6" t="str">
        <f>IFERROR(__xludf.DUMMYFUNCTION("""COMPUTED_VALUE"""),"Enrolled")</f>
        <v>Enrolled</v>
      </c>
    </row>
    <row r="922">
      <c r="A922" s="6" t="str">
        <f>IFERROR(__xludf.DUMMYFUNCTION("""COMPUTED_VALUE"""),"009-1045")</f>
        <v>009-1045</v>
      </c>
      <c r="B922" s="6" t="str">
        <f>IFERROR(__xludf.DUMMYFUNCTION("""COMPUTED_VALUE"""),"9")</f>
        <v>9</v>
      </c>
      <c r="C922" s="6" t="str">
        <f>IFERROR(__xludf.DUMMYFUNCTION("""COMPUTED_VALUE"""),"1045")</f>
        <v>1045</v>
      </c>
      <c r="D922" s="6" t="str">
        <f>IFERROR(__xludf.DUMMYFUNCTION("""COMPUTED_VALUE"""),"Zhydetska")</f>
        <v>Zhydetska</v>
      </c>
      <c r="E922" s="6" t="str">
        <f>IFERROR(__xludf.DUMMYFUNCTION("""COMPUTED_VALUE"""),"")</f>
        <v/>
      </c>
      <c r="F922" s="6" t="str">
        <f>IFERROR(__xludf.DUMMYFUNCTION("""COMPUTED_VALUE"""),"Oleksandra")</f>
        <v>Oleksandra</v>
      </c>
      <c r="G922" s="6" t="str">
        <f>IFERROR(__xludf.DUMMYFUNCTION("""COMPUTED_VALUE"""),"01/01/2014")</f>
        <v>01/01/2014</v>
      </c>
      <c r="H922" s="6" t="str">
        <f>IFERROR(__xludf.DUMMYFUNCTION("""COMPUTED_VALUE"""),"Self Identify")</f>
        <v>Self Identify</v>
      </c>
      <c r="I922" s="6" t="str">
        <f>IFERROR(__xludf.DUMMYFUNCTION("""COMPUTED_VALUE"""),"High School")</f>
        <v>High School</v>
      </c>
      <c r="J922" s="6" t="str">
        <f>IFERROR(__xludf.DUMMYFUNCTION("""COMPUTED_VALUE"""),"11")</f>
        <v>11</v>
      </c>
      <c r="K922" s="6" t="str">
        <f>IFERROR(__xludf.DUMMYFUNCTION("""COMPUTED_VALUE"""),"zhydetska.oleksandra@2hourlearning.com")</f>
        <v>zhydetska.oleksandra@2hourlearning.com</v>
      </c>
      <c r="L922" s="6" t="str">
        <f>IFERROR(__xludf.DUMMYFUNCTION("""COMPUTED_VALUE"""),"Learn and Earn Poland")</f>
        <v>Learn and Earn Poland</v>
      </c>
      <c r="M922" s="6" t="str">
        <f>IFERROR(__xludf.DUMMYFUNCTION("""COMPUTED_VALUE"""),"")</f>
        <v/>
      </c>
      <c r="N922" s="6" t="str">
        <f>IFERROR(__xludf.DUMMYFUNCTION("""COMPUTED_VALUE"""),"")</f>
        <v/>
      </c>
      <c r="O922" s="87" t="str">
        <f>IFERROR(__xludf.DUMMYFUNCTION("""COMPUTED_VALUE"""),"https://drive.google.com/drive/folders/10T2cTQHqEJZqE-st6uFKPoI?usp=share_link")</f>
        <v>https://drive.google.com/drive/folders/10T2cTQHqEJZqE-st6uFKPoI?usp=share_link</v>
      </c>
      <c r="P922" s="6" t="str">
        <f>IFERROR(__xludf.DUMMYFUNCTION("""COMPUTED_VALUE"""),"Zhydetska Oleksandra")</f>
        <v>Zhydetska Oleksandra</v>
      </c>
      <c r="Q922" s="6" t="str">
        <f>IFERROR(__xludf.DUMMYFUNCTION("""COMPUTED_VALUE"""),"HS")</f>
        <v>HS</v>
      </c>
      <c r="R922" s="6">
        <f>IFERROR(__xludf.DUMMYFUNCTION("""COMPUTED_VALUE"""),0.0)</f>
        <v>0</v>
      </c>
      <c r="S922" s="6" t="str">
        <f>IFERROR(__xludf.DUMMYFUNCTION("""COMPUTED_VALUE""")," ")</f>
        <v> </v>
      </c>
      <c r="T922" s="6" t="str">
        <f>IFERROR(__xludf.DUMMYFUNCTION("""COMPUTED_VALUE"""),"")</f>
        <v/>
      </c>
      <c r="U922" s="6" t="str">
        <f>IFERROR(__xludf.DUMMYFUNCTION("""COMPUTED_VALUE"""),"11")</f>
        <v>11</v>
      </c>
      <c r="V922" s="6" t="str">
        <f>IFERROR(__xludf.DUMMYFUNCTION("""COMPUTED_VALUE"""),"English")</f>
        <v>English</v>
      </c>
      <c r="W922" s="6" t="str">
        <f>IFERROR(__xludf.DUMMYFUNCTION("""COMPUTED_VALUE"""),"[]")</f>
        <v>[]</v>
      </c>
      <c r="X922" s="6" t="str">
        <f>IFERROR(__xludf.DUMMYFUNCTION("""COMPUTED_VALUE"""),"Enrolled")</f>
        <v>Enrolled</v>
      </c>
    </row>
    <row r="923">
      <c r="A923" s="6" t="str">
        <f>IFERROR(__xludf.DUMMYFUNCTION("""COMPUTED_VALUE"""),"009-1046")</f>
        <v>009-1046</v>
      </c>
      <c r="B923" s="6" t="str">
        <f>IFERROR(__xludf.DUMMYFUNCTION("""COMPUTED_VALUE"""),"9")</f>
        <v>9</v>
      </c>
      <c r="C923" s="6" t="str">
        <f>IFERROR(__xludf.DUMMYFUNCTION("""COMPUTED_VALUE"""),"1046")</f>
        <v>1046</v>
      </c>
      <c r="D923" s="6" t="str">
        <f>IFERROR(__xludf.DUMMYFUNCTION("""COMPUTED_VALUE"""),"Vladyslav")</f>
        <v>Vladyslav</v>
      </c>
      <c r="E923" s="6" t="str">
        <f>IFERROR(__xludf.DUMMYFUNCTION("""COMPUTED_VALUE"""),"")</f>
        <v/>
      </c>
      <c r="F923" s="6" t="str">
        <f>IFERROR(__xludf.DUMMYFUNCTION("""COMPUTED_VALUE"""),"Khorkov")</f>
        <v>Khorkov</v>
      </c>
      <c r="G923" s="6" t="str">
        <f>IFERROR(__xludf.DUMMYFUNCTION("""COMPUTED_VALUE"""),"01/01/2014")</f>
        <v>01/01/2014</v>
      </c>
      <c r="H923" s="6" t="str">
        <f>IFERROR(__xludf.DUMMYFUNCTION("""COMPUTED_VALUE"""),"Self Identify")</f>
        <v>Self Identify</v>
      </c>
      <c r="I923" s="6" t="str">
        <f>IFERROR(__xludf.DUMMYFUNCTION("""COMPUTED_VALUE"""),"High School")</f>
        <v>High School</v>
      </c>
      <c r="J923" s="6" t="str">
        <f>IFERROR(__xludf.DUMMYFUNCTION("""COMPUTED_VALUE"""),"11")</f>
        <v>11</v>
      </c>
      <c r="K923" s="6" t="str">
        <f>IFERROR(__xludf.DUMMYFUNCTION("""COMPUTED_VALUE"""),"vladyslav.khorkov@2hourlearning.com")</f>
        <v>vladyslav.khorkov@2hourlearning.com</v>
      </c>
      <c r="L923" s="6" t="str">
        <f>IFERROR(__xludf.DUMMYFUNCTION("""COMPUTED_VALUE"""),"Learn and Earn Poland")</f>
        <v>Learn and Earn Poland</v>
      </c>
      <c r="M923" s="6" t="str">
        <f>IFERROR(__xludf.DUMMYFUNCTION("""COMPUTED_VALUE"""),"")</f>
        <v/>
      </c>
      <c r="N923" s="6" t="str">
        <f>IFERROR(__xludf.DUMMYFUNCTION("""COMPUTED_VALUE"""),"")</f>
        <v/>
      </c>
      <c r="O923" s="87" t="str">
        <f>IFERROR(__xludf.DUMMYFUNCTION("""COMPUTED_VALUE"""),"https://drive.google.com/drive/folders/10T2cTQHqEJZqE-st6uFKPoI?usp=share_link")</f>
        <v>https://drive.google.com/drive/folders/10T2cTQHqEJZqE-st6uFKPoI?usp=share_link</v>
      </c>
      <c r="P923" s="6" t="str">
        <f>IFERROR(__xludf.DUMMYFUNCTION("""COMPUTED_VALUE"""),"Vladyslav Khorkov")</f>
        <v>Vladyslav Khorkov</v>
      </c>
      <c r="Q923" s="6" t="str">
        <f>IFERROR(__xludf.DUMMYFUNCTION("""COMPUTED_VALUE"""),"HS")</f>
        <v>HS</v>
      </c>
      <c r="R923" s="6">
        <f>IFERROR(__xludf.DUMMYFUNCTION("""COMPUTED_VALUE"""),0.0)</f>
        <v>0</v>
      </c>
      <c r="S923" s="6" t="str">
        <f>IFERROR(__xludf.DUMMYFUNCTION("""COMPUTED_VALUE""")," ")</f>
        <v> </v>
      </c>
      <c r="T923" s="6" t="str">
        <f>IFERROR(__xludf.DUMMYFUNCTION("""COMPUTED_VALUE"""),"")</f>
        <v/>
      </c>
      <c r="U923" s="6" t="str">
        <f>IFERROR(__xludf.DUMMYFUNCTION("""COMPUTED_VALUE"""),"11")</f>
        <v>11</v>
      </c>
      <c r="V923" s="6" t="str">
        <f>IFERROR(__xludf.DUMMYFUNCTION("""COMPUTED_VALUE"""),"English")</f>
        <v>English</v>
      </c>
      <c r="W923" s="6" t="str">
        <f>IFERROR(__xludf.DUMMYFUNCTION("""COMPUTED_VALUE"""),"[]")</f>
        <v>[]</v>
      </c>
      <c r="X923" s="6" t="str">
        <f>IFERROR(__xludf.DUMMYFUNCTION("""COMPUTED_VALUE"""),"Enrolled")</f>
        <v>Enrolled</v>
      </c>
    </row>
    <row r="924">
      <c r="A924" s="6" t="str">
        <f>IFERROR(__xludf.DUMMYFUNCTION("""COMPUTED_VALUE"""),"009-1047")</f>
        <v>009-1047</v>
      </c>
      <c r="B924" s="6" t="str">
        <f>IFERROR(__xludf.DUMMYFUNCTION("""COMPUTED_VALUE"""),"9")</f>
        <v>9</v>
      </c>
      <c r="C924" s="6" t="str">
        <f>IFERROR(__xludf.DUMMYFUNCTION("""COMPUTED_VALUE"""),"1047")</f>
        <v>1047</v>
      </c>
      <c r="D924" s="6" t="str">
        <f>IFERROR(__xludf.DUMMYFUNCTION("""COMPUTED_VALUE"""),"Andrii")</f>
        <v>Andrii</v>
      </c>
      <c r="E924" s="6" t="str">
        <f>IFERROR(__xludf.DUMMYFUNCTION("""COMPUTED_VALUE"""),"")</f>
        <v/>
      </c>
      <c r="F924" s="6" t="str">
        <f>IFERROR(__xludf.DUMMYFUNCTION("""COMPUTED_VALUE"""),"Mudryk")</f>
        <v>Mudryk</v>
      </c>
      <c r="G924" s="6" t="str">
        <f>IFERROR(__xludf.DUMMYFUNCTION("""COMPUTED_VALUE"""),"01/01/2014")</f>
        <v>01/01/2014</v>
      </c>
      <c r="H924" s="6" t="str">
        <f>IFERROR(__xludf.DUMMYFUNCTION("""COMPUTED_VALUE"""),"Self Identify")</f>
        <v>Self Identify</v>
      </c>
      <c r="I924" s="6" t="str">
        <f>IFERROR(__xludf.DUMMYFUNCTION("""COMPUTED_VALUE"""),"High School")</f>
        <v>High School</v>
      </c>
      <c r="J924" s="6" t="str">
        <f>IFERROR(__xludf.DUMMYFUNCTION("""COMPUTED_VALUE"""),"11")</f>
        <v>11</v>
      </c>
      <c r="K924" s="6" t="str">
        <f>IFERROR(__xludf.DUMMYFUNCTION("""COMPUTED_VALUE"""),"andrii.mudryk@2hourlearning.com")</f>
        <v>andrii.mudryk@2hourlearning.com</v>
      </c>
      <c r="L924" s="6" t="str">
        <f>IFERROR(__xludf.DUMMYFUNCTION("""COMPUTED_VALUE"""),"Learn and Earn Poland")</f>
        <v>Learn and Earn Poland</v>
      </c>
      <c r="M924" s="6" t="str">
        <f>IFERROR(__xludf.DUMMYFUNCTION("""COMPUTED_VALUE"""),"")</f>
        <v/>
      </c>
      <c r="N924" s="6" t="str">
        <f>IFERROR(__xludf.DUMMYFUNCTION("""COMPUTED_VALUE"""),"")</f>
        <v/>
      </c>
      <c r="O924" s="87" t="str">
        <f>IFERROR(__xludf.DUMMYFUNCTION("""COMPUTED_VALUE"""),"https://drive.google.com/drive/folders/10T2cTQHqEJZqE-st6uFKPoI?usp=share_link")</f>
        <v>https://drive.google.com/drive/folders/10T2cTQHqEJZqE-st6uFKPoI?usp=share_link</v>
      </c>
      <c r="P924" s="6" t="str">
        <f>IFERROR(__xludf.DUMMYFUNCTION("""COMPUTED_VALUE"""),"Andrii Mudryk")</f>
        <v>Andrii Mudryk</v>
      </c>
      <c r="Q924" s="6" t="str">
        <f>IFERROR(__xludf.DUMMYFUNCTION("""COMPUTED_VALUE"""),"HS")</f>
        <v>HS</v>
      </c>
      <c r="R924" s="6">
        <f>IFERROR(__xludf.DUMMYFUNCTION("""COMPUTED_VALUE"""),0.0)</f>
        <v>0</v>
      </c>
      <c r="S924" s="6" t="str">
        <f>IFERROR(__xludf.DUMMYFUNCTION("""COMPUTED_VALUE""")," ")</f>
        <v> </v>
      </c>
      <c r="T924" s="6" t="str">
        <f>IFERROR(__xludf.DUMMYFUNCTION("""COMPUTED_VALUE"""),"")</f>
        <v/>
      </c>
      <c r="U924" s="6" t="str">
        <f>IFERROR(__xludf.DUMMYFUNCTION("""COMPUTED_VALUE"""),"11")</f>
        <v>11</v>
      </c>
      <c r="V924" s="6" t="str">
        <f>IFERROR(__xludf.DUMMYFUNCTION("""COMPUTED_VALUE"""),"English")</f>
        <v>English</v>
      </c>
      <c r="W924" s="6" t="str">
        <f>IFERROR(__xludf.DUMMYFUNCTION("""COMPUTED_VALUE"""),"[]")</f>
        <v>[]</v>
      </c>
      <c r="X924" s="6" t="str">
        <f>IFERROR(__xludf.DUMMYFUNCTION("""COMPUTED_VALUE"""),"Enrolled")</f>
        <v>Enrolled</v>
      </c>
    </row>
    <row r="925">
      <c r="A925" s="6" t="str">
        <f>IFERROR(__xludf.DUMMYFUNCTION("""COMPUTED_VALUE"""),"009-1048")</f>
        <v>009-1048</v>
      </c>
      <c r="B925" s="6" t="str">
        <f>IFERROR(__xludf.DUMMYFUNCTION("""COMPUTED_VALUE"""),"9")</f>
        <v>9</v>
      </c>
      <c r="C925" s="6" t="str">
        <f>IFERROR(__xludf.DUMMYFUNCTION("""COMPUTED_VALUE"""),"1048")</f>
        <v>1048</v>
      </c>
      <c r="D925" s="6" t="str">
        <f>IFERROR(__xludf.DUMMYFUNCTION("""COMPUTED_VALUE"""),"Romanovskyi")</f>
        <v>Romanovskyi</v>
      </c>
      <c r="E925" s="6" t="str">
        <f>IFERROR(__xludf.DUMMYFUNCTION("""COMPUTED_VALUE"""),"")</f>
        <v/>
      </c>
      <c r="F925" s="6" t="str">
        <f>IFERROR(__xludf.DUMMYFUNCTION("""COMPUTED_VALUE"""),"Yaroslav")</f>
        <v>Yaroslav</v>
      </c>
      <c r="G925" s="6" t="str">
        <f>IFERROR(__xludf.DUMMYFUNCTION("""COMPUTED_VALUE"""),"01/01/2014")</f>
        <v>01/01/2014</v>
      </c>
      <c r="H925" s="6" t="str">
        <f>IFERROR(__xludf.DUMMYFUNCTION("""COMPUTED_VALUE"""),"Self Identify")</f>
        <v>Self Identify</v>
      </c>
      <c r="I925" s="6" t="str">
        <f>IFERROR(__xludf.DUMMYFUNCTION("""COMPUTED_VALUE"""),"High School")</f>
        <v>High School</v>
      </c>
      <c r="J925" s="6" t="str">
        <f>IFERROR(__xludf.DUMMYFUNCTION("""COMPUTED_VALUE"""),"11")</f>
        <v>11</v>
      </c>
      <c r="K925" s="6" t="str">
        <f>IFERROR(__xludf.DUMMYFUNCTION("""COMPUTED_VALUE"""),"romanovskyi.yaroslav@2hourlearning.com")</f>
        <v>romanovskyi.yaroslav@2hourlearning.com</v>
      </c>
      <c r="L925" s="6" t="str">
        <f>IFERROR(__xludf.DUMMYFUNCTION("""COMPUTED_VALUE"""),"Learn and Earn Poland")</f>
        <v>Learn and Earn Poland</v>
      </c>
      <c r="M925" s="6" t="str">
        <f>IFERROR(__xludf.DUMMYFUNCTION("""COMPUTED_VALUE"""),"")</f>
        <v/>
      </c>
      <c r="N925" s="6" t="str">
        <f>IFERROR(__xludf.DUMMYFUNCTION("""COMPUTED_VALUE"""),"")</f>
        <v/>
      </c>
      <c r="O925" s="87" t="str">
        <f>IFERROR(__xludf.DUMMYFUNCTION("""COMPUTED_VALUE"""),"https://drive.google.com/drive/folders/10T2cTQHqEJZqE-st6uFKPoI?usp=share_link")</f>
        <v>https://drive.google.com/drive/folders/10T2cTQHqEJZqE-st6uFKPoI?usp=share_link</v>
      </c>
      <c r="P925" s="6" t="str">
        <f>IFERROR(__xludf.DUMMYFUNCTION("""COMPUTED_VALUE"""),"Romanovskyi Yaroslav")</f>
        <v>Romanovskyi Yaroslav</v>
      </c>
      <c r="Q925" s="6" t="str">
        <f>IFERROR(__xludf.DUMMYFUNCTION("""COMPUTED_VALUE"""),"HS")</f>
        <v>HS</v>
      </c>
      <c r="R925" s="6">
        <f>IFERROR(__xludf.DUMMYFUNCTION("""COMPUTED_VALUE"""),0.0)</f>
        <v>0</v>
      </c>
      <c r="S925" s="6" t="str">
        <f>IFERROR(__xludf.DUMMYFUNCTION("""COMPUTED_VALUE""")," ")</f>
        <v> </v>
      </c>
      <c r="T925" s="6" t="str">
        <f>IFERROR(__xludf.DUMMYFUNCTION("""COMPUTED_VALUE"""),"")</f>
        <v/>
      </c>
      <c r="U925" s="6" t="str">
        <f>IFERROR(__xludf.DUMMYFUNCTION("""COMPUTED_VALUE"""),"11")</f>
        <v>11</v>
      </c>
      <c r="V925" s="6" t="str">
        <f>IFERROR(__xludf.DUMMYFUNCTION("""COMPUTED_VALUE"""),"English")</f>
        <v>English</v>
      </c>
      <c r="W925" s="6" t="str">
        <f>IFERROR(__xludf.DUMMYFUNCTION("""COMPUTED_VALUE"""),"[]")</f>
        <v>[]</v>
      </c>
      <c r="X925" s="6" t="str">
        <f>IFERROR(__xludf.DUMMYFUNCTION("""COMPUTED_VALUE"""),"Enrolled")</f>
        <v>Enrolled</v>
      </c>
    </row>
    <row r="926">
      <c r="A926" s="6" t="str">
        <f>IFERROR(__xludf.DUMMYFUNCTION("""COMPUTED_VALUE"""),"009-1049")</f>
        <v>009-1049</v>
      </c>
      <c r="B926" s="6" t="str">
        <f>IFERROR(__xludf.DUMMYFUNCTION("""COMPUTED_VALUE"""),"9")</f>
        <v>9</v>
      </c>
      <c r="C926" s="6" t="str">
        <f>IFERROR(__xludf.DUMMYFUNCTION("""COMPUTED_VALUE"""),"1049")</f>
        <v>1049</v>
      </c>
      <c r="D926" s="6" t="str">
        <f>IFERROR(__xludf.DUMMYFUNCTION("""COMPUTED_VALUE"""),"Kustovska")</f>
        <v>Kustovska</v>
      </c>
      <c r="E926" s="6" t="str">
        <f>IFERROR(__xludf.DUMMYFUNCTION("""COMPUTED_VALUE"""),"")</f>
        <v/>
      </c>
      <c r="F926" s="6" t="str">
        <f>IFERROR(__xludf.DUMMYFUNCTION("""COMPUTED_VALUE"""),"Polina")</f>
        <v>Polina</v>
      </c>
      <c r="G926" s="6" t="str">
        <f>IFERROR(__xludf.DUMMYFUNCTION("""COMPUTED_VALUE"""),"01/01/2013")</f>
        <v>01/01/2013</v>
      </c>
      <c r="H926" s="6" t="str">
        <f>IFERROR(__xludf.DUMMYFUNCTION("""COMPUTED_VALUE"""),"Self Identify")</f>
        <v>Self Identify</v>
      </c>
      <c r="I926" s="6" t="str">
        <f>IFERROR(__xludf.DUMMYFUNCTION("""COMPUTED_VALUE"""),"High School")</f>
        <v>High School</v>
      </c>
      <c r="J926" s="6" t="str">
        <f>IFERROR(__xludf.DUMMYFUNCTION("""COMPUTED_VALUE"""),"12")</f>
        <v>12</v>
      </c>
      <c r="K926" s="6" t="str">
        <f>IFERROR(__xludf.DUMMYFUNCTION("""COMPUTED_VALUE"""),"kustovska.polina@2hourlearning.com")</f>
        <v>kustovska.polina@2hourlearning.com</v>
      </c>
      <c r="L926" s="6" t="str">
        <f>IFERROR(__xludf.DUMMYFUNCTION("""COMPUTED_VALUE"""),"Learn and Earn Poland")</f>
        <v>Learn and Earn Poland</v>
      </c>
      <c r="M926" s="6" t="str">
        <f>IFERROR(__xludf.DUMMYFUNCTION("""COMPUTED_VALUE"""),"")</f>
        <v/>
      </c>
      <c r="N926" s="6" t="str">
        <f>IFERROR(__xludf.DUMMYFUNCTION("""COMPUTED_VALUE"""),"")</f>
        <v/>
      </c>
      <c r="O926" s="87" t="str">
        <f>IFERROR(__xludf.DUMMYFUNCTION("""COMPUTED_VALUE"""),"https://drive.google.com/drive/folders/10T2cTQHqEJZqE-st6uFKPoI?usp=share_link")</f>
        <v>https://drive.google.com/drive/folders/10T2cTQHqEJZqE-st6uFKPoI?usp=share_link</v>
      </c>
      <c r="P926" s="6" t="str">
        <f>IFERROR(__xludf.DUMMYFUNCTION("""COMPUTED_VALUE"""),"Kustovska Polina")</f>
        <v>Kustovska Polina</v>
      </c>
      <c r="Q926" s="6" t="str">
        <f>IFERROR(__xludf.DUMMYFUNCTION("""COMPUTED_VALUE"""),"HS")</f>
        <v>HS</v>
      </c>
      <c r="R926" s="6">
        <f>IFERROR(__xludf.DUMMYFUNCTION("""COMPUTED_VALUE"""),0.0)</f>
        <v>0</v>
      </c>
      <c r="S926" s="6" t="str">
        <f>IFERROR(__xludf.DUMMYFUNCTION("""COMPUTED_VALUE""")," ")</f>
        <v> </v>
      </c>
      <c r="T926" s="6" t="str">
        <f>IFERROR(__xludf.DUMMYFUNCTION("""COMPUTED_VALUE"""),"")</f>
        <v/>
      </c>
      <c r="U926" s="6" t="str">
        <f>IFERROR(__xludf.DUMMYFUNCTION("""COMPUTED_VALUE"""),"12")</f>
        <v>12</v>
      </c>
      <c r="V926" s="6" t="str">
        <f>IFERROR(__xludf.DUMMYFUNCTION("""COMPUTED_VALUE"""),"English")</f>
        <v>English</v>
      </c>
      <c r="W926" s="6" t="str">
        <f>IFERROR(__xludf.DUMMYFUNCTION("""COMPUTED_VALUE"""),"[]")</f>
        <v>[]</v>
      </c>
      <c r="X926" s="6" t="str">
        <f>IFERROR(__xludf.DUMMYFUNCTION("""COMPUTED_VALUE"""),"Enrolled")</f>
        <v>Enrolled</v>
      </c>
    </row>
    <row r="927">
      <c r="A927" s="6" t="str">
        <f>IFERROR(__xludf.DUMMYFUNCTION("""COMPUTED_VALUE"""),"009-1050")</f>
        <v>009-1050</v>
      </c>
      <c r="B927" s="6" t="str">
        <f>IFERROR(__xludf.DUMMYFUNCTION("""COMPUTED_VALUE"""),"9")</f>
        <v>9</v>
      </c>
      <c r="C927" s="6" t="str">
        <f>IFERROR(__xludf.DUMMYFUNCTION("""COMPUTED_VALUE"""),"1050")</f>
        <v>1050</v>
      </c>
      <c r="D927" s="6" t="str">
        <f>IFERROR(__xludf.DUMMYFUNCTION("""COMPUTED_VALUE"""),"Lev")</f>
        <v>Lev</v>
      </c>
      <c r="E927" s="6" t="str">
        <f>IFERROR(__xludf.DUMMYFUNCTION("""COMPUTED_VALUE"""),"")</f>
        <v/>
      </c>
      <c r="F927" s="6" t="str">
        <f>IFERROR(__xludf.DUMMYFUNCTION("""COMPUTED_VALUE"""),"Hvozdetskyi")</f>
        <v>Hvozdetskyi</v>
      </c>
      <c r="G927" s="6" t="str">
        <f>IFERROR(__xludf.DUMMYFUNCTION("""COMPUTED_VALUE"""),"01/01/2013")</f>
        <v>01/01/2013</v>
      </c>
      <c r="H927" s="6" t="str">
        <f>IFERROR(__xludf.DUMMYFUNCTION("""COMPUTED_VALUE"""),"Self Identify")</f>
        <v>Self Identify</v>
      </c>
      <c r="I927" s="6" t="str">
        <f>IFERROR(__xludf.DUMMYFUNCTION("""COMPUTED_VALUE"""),"High School")</f>
        <v>High School</v>
      </c>
      <c r="J927" s="6" t="str">
        <f>IFERROR(__xludf.DUMMYFUNCTION("""COMPUTED_VALUE"""),"12")</f>
        <v>12</v>
      </c>
      <c r="K927" s="6" t="str">
        <f>IFERROR(__xludf.DUMMYFUNCTION("""COMPUTED_VALUE"""),"lev.hvozdetskyi@2hourlearning.com")</f>
        <v>lev.hvozdetskyi@2hourlearning.com</v>
      </c>
      <c r="L927" s="6" t="str">
        <f>IFERROR(__xludf.DUMMYFUNCTION("""COMPUTED_VALUE"""),"Learn and Earn Poland")</f>
        <v>Learn and Earn Poland</v>
      </c>
      <c r="M927" s="6" t="str">
        <f>IFERROR(__xludf.DUMMYFUNCTION("""COMPUTED_VALUE"""),"")</f>
        <v/>
      </c>
      <c r="N927" s="6" t="str">
        <f>IFERROR(__xludf.DUMMYFUNCTION("""COMPUTED_VALUE"""),"")</f>
        <v/>
      </c>
      <c r="O927" s="87" t="str">
        <f>IFERROR(__xludf.DUMMYFUNCTION("""COMPUTED_VALUE"""),"https://drive.google.com/drive/folders/10T2cTQHqEJZqE-st6uFKPoI?usp=share_link")</f>
        <v>https://drive.google.com/drive/folders/10T2cTQHqEJZqE-st6uFKPoI?usp=share_link</v>
      </c>
      <c r="P927" s="6" t="str">
        <f>IFERROR(__xludf.DUMMYFUNCTION("""COMPUTED_VALUE"""),"Lev Hvozdetskyi")</f>
        <v>Lev Hvozdetskyi</v>
      </c>
      <c r="Q927" s="6" t="str">
        <f>IFERROR(__xludf.DUMMYFUNCTION("""COMPUTED_VALUE"""),"HS")</f>
        <v>HS</v>
      </c>
      <c r="R927" s="6">
        <f>IFERROR(__xludf.DUMMYFUNCTION("""COMPUTED_VALUE"""),0.0)</f>
        <v>0</v>
      </c>
      <c r="S927" s="6" t="str">
        <f>IFERROR(__xludf.DUMMYFUNCTION("""COMPUTED_VALUE""")," ")</f>
        <v> </v>
      </c>
      <c r="T927" s="6" t="str">
        <f>IFERROR(__xludf.DUMMYFUNCTION("""COMPUTED_VALUE"""),"")</f>
        <v/>
      </c>
      <c r="U927" s="6" t="str">
        <f>IFERROR(__xludf.DUMMYFUNCTION("""COMPUTED_VALUE"""),"12")</f>
        <v>12</v>
      </c>
      <c r="V927" s="6" t="str">
        <f>IFERROR(__xludf.DUMMYFUNCTION("""COMPUTED_VALUE"""),"English")</f>
        <v>English</v>
      </c>
      <c r="W927" s="6" t="str">
        <f>IFERROR(__xludf.DUMMYFUNCTION("""COMPUTED_VALUE"""),"[]")</f>
        <v>[]</v>
      </c>
      <c r="X927" s="6" t="str">
        <f>IFERROR(__xludf.DUMMYFUNCTION("""COMPUTED_VALUE"""),"Enrolled")</f>
        <v>Enrolled</v>
      </c>
    </row>
    <row r="928">
      <c r="A928" s="6" t="str">
        <f>IFERROR(__xludf.DUMMYFUNCTION("""COMPUTED_VALUE"""),"009-1051")</f>
        <v>009-1051</v>
      </c>
      <c r="B928" s="6" t="str">
        <f>IFERROR(__xludf.DUMMYFUNCTION("""COMPUTED_VALUE"""),"9")</f>
        <v>9</v>
      </c>
      <c r="C928" s="6" t="str">
        <f>IFERROR(__xludf.DUMMYFUNCTION("""COMPUTED_VALUE"""),"1051")</f>
        <v>1051</v>
      </c>
      <c r="D928" s="6" t="str">
        <f>IFERROR(__xludf.DUMMYFUNCTION("""COMPUTED_VALUE"""),"Sofia")</f>
        <v>Sofia</v>
      </c>
      <c r="E928" s="6" t="str">
        <f>IFERROR(__xludf.DUMMYFUNCTION("""COMPUTED_VALUE"""),"")</f>
        <v/>
      </c>
      <c r="F928" s="6" t="str">
        <f>IFERROR(__xludf.DUMMYFUNCTION("""COMPUTED_VALUE"""),"Rudiuk")</f>
        <v>Rudiuk</v>
      </c>
      <c r="G928" s="6" t="str">
        <f>IFERROR(__xludf.DUMMYFUNCTION("""COMPUTED_VALUE"""),"01/01/2013")</f>
        <v>01/01/2013</v>
      </c>
      <c r="H928" s="6" t="str">
        <f>IFERROR(__xludf.DUMMYFUNCTION("""COMPUTED_VALUE"""),"Self Identify")</f>
        <v>Self Identify</v>
      </c>
      <c r="I928" s="6" t="str">
        <f>IFERROR(__xludf.DUMMYFUNCTION("""COMPUTED_VALUE"""),"High School")</f>
        <v>High School</v>
      </c>
      <c r="J928" s="6" t="str">
        <f>IFERROR(__xludf.DUMMYFUNCTION("""COMPUTED_VALUE"""),"12")</f>
        <v>12</v>
      </c>
      <c r="K928" s="6" t="str">
        <f>IFERROR(__xludf.DUMMYFUNCTION("""COMPUTED_VALUE"""),"sofia.rudiuk@2hourlearning.com")</f>
        <v>sofia.rudiuk@2hourlearning.com</v>
      </c>
      <c r="L928" s="6" t="str">
        <f>IFERROR(__xludf.DUMMYFUNCTION("""COMPUTED_VALUE"""),"Learn and Earn Poland")</f>
        <v>Learn and Earn Poland</v>
      </c>
      <c r="M928" s="6" t="str">
        <f>IFERROR(__xludf.DUMMYFUNCTION("""COMPUTED_VALUE"""),"")</f>
        <v/>
      </c>
      <c r="N928" s="6" t="str">
        <f>IFERROR(__xludf.DUMMYFUNCTION("""COMPUTED_VALUE"""),"")</f>
        <v/>
      </c>
      <c r="O928" s="87" t="str">
        <f>IFERROR(__xludf.DUMMYFUNCTION("""COMPUTED_VALUE"""),"https://drive.google.com/drive/folders/10T2cTQHqEJZqE-st6uFKPoI?usp=share_link")</f>
        <v>https://drive.google.com/drive/folders/10T2cTQHqEJZqE-st6uFKPoI?usp=share_link</v>
      </c>
      <c r="P928" s="6" t="str">
        <f>IFERROR(__xludf.DUMMYFUNCTION("""COMPUTED_VALUE"""),"Sofia Rudiuk")</f>
        <v>Sofia Rudiuk</v>
      </c>
      <c r="Q928" s="6" t="str">
        <f>IFERROR(__xludf.DUMMYFUNCTION("""COMPUTED_VALUE"""),"HS")</f>
        <v>HS</v>
      </c>
      <c r="R928" s="6">
        <f>IFERROR(__xludf.DUMMYFUNCTION("""COMPUTED_VALUE"""),0.0)</f>
        <v>0</v>
      </c>
      <c r="S928" s="6" t="str">
        <f>IFERROR(__xludf.DUMMYFUNCTION("""COMPUTED_VALUE""")," ")</f>
        <v> </v>
      </c>
      <c r="T928" s="6" t="str">
        <f>IFERROR(__xludf.DUMMYFUNCTION("""COMPUTED_VALUE"""),"")</f>
        <v/>
      </c>
      <c r="U928" s="6" t="str">
        <f>IFERROR(__xludf.DUMMYFUNCTION("""COMPUTED_VALUE"""),"12")</f>
        <v>12</v>
      </c>
      <c r="V928" s="6" t="str">
        <f>IFERROR(__xludf.DUMMYFUNCTION("""COMPUTED_VALUE"""),"English")</f>
        <v>English</v>
      </c>
      <c r="W928" s="6" t="str">
        <f>IFERROR(__xludf.DUMMYFUNCTION("""COMPUTED_VALUE"""),"[]")</f>
        <v>[]</v>
      </c>
      <c r="X928" s="6" t="str">
        <f>IFERROR(__xludf.DUMMYFUNCTION("""COMPUTED_VALUE"""),"Enrolled")</f>
        <v>Enrolled</v>
      </c>
    </row>
    <row r="929">
      <c r="A929" s="6" t="str">
        <f>IFERROR(__xludf.DUMMYFUNCTION("""COMPUTED_VALUE"""),"009-1052")</f>
        <v>009-1052</v>
      </c>
      <c r="B929" s="6" t="str">
        <f>IFERROR(__xludf.DUMMYFUNCTION("""COMPUTED_VALUE"""),"9")</f>
        <v>9</v>
      </c>
      <c r="C929" s="6" t="str">
        <f>IFERROR(__xludf.DUMMYFUNCTION("""COMPUTED_VALUE"""),"1052")</f>
        <v>1052</v>
      </c>
      <c r="D929" s="6" t="str">
        <f>IFERROR(__xludf.DUMMYFUNCTION("""COMPUTED_VALUE"""),"Test")</f>
        <v>Test</v>
      </c>
      <c r="E929" s="6" t="str">
        <f>IFERROR(__xludf.DUMMYFUNCTION("""COMPUTED_VALUE"""),"")</f>
        <v/>
      </c>
      <c r="F929" s="6" t="str">
        <f>IFERROR(__xludf.DUMMYFUNCTION("""COMPUTED_VALUE"""),"Poland")</f>
        <v>Poland</v>
      </c>
      <c r="G929" s="6" t="str">
        <f>IFERROR(__xludf.DUMMYFUNCTION("""COMPUTED_VALUE"""),"01/01/2013")</f>
        <v>01/01/2013</v>
      </c>
      <c r="H929" s="6" t="str">
        <f>IFERROR(__xludf.DUMMYFUNCTION("""COMPUTED_VALUE"""),"Self Identify")</f>
        <v>Self Identify</v>
      </c>
      <c r="I929" s="6" t="str">
        <f>IFERROR(__xludf.DUMMYFUNCTION("""COMPUTED_VALUE"""),"Middle School")</f>
        <v>Middle School</v>
      </c>
      <c r="J929" s="6" t="str">
        <f>IFERROR(__xludf.DUMMYFUNCTION("""COMPUTED_VALUE"""),"7")</f>
        <v>7</v>
      </c>
      <c r="K929" s="6" t="str">
        <f>IFERROR(__xludf.DUMMYFUNCTION("""COMPUTED_VALUE"""),"test.poland@2hourlearning.com")</f>
        <v>test.poland@2hourlearning.com</v>
      </c>
      <c r="L929" s="6" t="str">
        <f>IFERROR(__xludf.DUMMYFUNCTION("""COMPUTED_VALUE"""),"Learn and Earn Poland")</f>
        <v>Learn and Earn Poland</v>
      </c>
      <c r="M929" s="6" t="str">
        <f>IFERROR(__xludf.DUMMYFUNCTION("""COMPUTED_VALUE"""),"Mock")</f>
        <v>Mock</v>
      </c>
      <c r="N929" s="6" t="str">
        <f>IFERROR(__xludf.DUMMYFUNCTION("""COMPUTED_VALUE"""),"")</f>
        <v/>
      </c>
      <c r="O929" s="87" t="str">
        <f>IFERROR(__xludf.DUMMYFUNCTION("""COMPUTED_VALUE"""),"https://drive.google.com/drive/folders/10T2cTQHqEJZqE-st6uFKPoI?usp=share_link")</f>
        <v>https://drive.google.com/drive/folders/10T2cTQHqEJZqE-st6uFKPoI?usp=share_link</v>
      </c>
      <c r="P929" s="6" t="str">
        <f>IFERROR(__xludf.DUMMYFUNCTION("""COMPUTED_VALUE"""),"Test Poland")</f>
        <v>Test Poland</v>
      </c>
      <c r="Q929" s="6" t="str">
        <f>IFERROR(__xludf.DUMMYFUNCTION("""COMPUTED_VALUE"""),"MS")</f>
        <v>MS</v>
      </c>
      <c r="R929" s="6">
        <f>IFERROR(__xludf.DUMMYFUNCTION("""COMPUTED_VALUE"""),0.0)</f>
        <v>0</v>
      </c>
      <c r="S929" s="6" t="str">
        <f>IFERROR(__xludf.DUMMYFUNCTION("""COMPUTED_VALUE""")," ")</f>
        <v> </v>
      </c>
      <c r="T929" s="6" t="str">
        <f>IFERROR(__xludf.DUMMYFUNCTION("""COMPUTED_VALUE"""),"")</f>
        <v/>
      </c>
      <c r="U929" s="6" t="str">
        <f>IFERROR(__xludf.DUMMYFUNCTION("""COMPUTED_VALUE"""),"7")</f>
        <v>7</v>
      </c>
      <c r="V929" s="6" t="str">
        <f>IFERROR(__xludf.DUMMYFUNCTION("""COMPUTED_VALUE"""),"English")</f>
        <v>English</v>
      </c>
      <c r="W929" s="6" t="str">
        <f>IFERROR(__xludf.DUMMYFUNCTION("""COMPUTED_VALUE"""),"[]")</f>
        <v>[]</v>
      </c>
      <c r="X929" s="6" t="str">
        <f>IFERROR(__xludf.DUMMYFUNCTION("""COMPUTED_VALUE"""),"Enrolled")</f>
        <v>Enrolled</v>
      </c>
    </row>
    <row r="930">
      <c r="A930" s="6" t="str">
        <f>IFERROR(__xludf.DUMMYFUNCTION("""COMPUTED_VALUE"""),"009-1053")</f>
        <v>009-1053</v>
      </c>
      <c r="B930" s="6" t="str">
        <f>IFERROR(__xludf.DUMMYFUNCTION("""COMPUTED_VALUE"""),"9")</f>
        <v>9</v>
      </c>
      <c r="C930" s="6" t="str">
        <f>IFERROR(__xludf.DUMMYFUNCTION("""COMPUTED_VALUE"""),"1053")</f>
        <v>1053</v>
      </c>
      <c r="D930" s="6" t="str">
        <f>IFERROR(__xludf.DUMMYFUNCTION("""COMPUTED_VALUE"""),"Timur")</f>
        <v>Timur</v>
      </c>
      <c r="E930" s="6" t="str">
        <f>IFERROR(__xludf.DUMMYFUNCTION("""COMPUTED_VALUE"""),"")</f>
        <v/>
      </c>
      <c r="F930" s="6" t="str">
        <f>IFERROR(__xludf.DUMMYFUNCTION("""COMPUTED_VALUE"""),"Pavlov")</f>
        <v>Pavlov</v>
      </c>
      <c r="G930" s="6" t="str">
        <f>IFERROR(__xludf.DUMMYFUNCTION("""COMPUTED_VALUE"""),"01/01/2010")</f>
        <v>01/01/2010</v>
      </c>
      <c r="H930" s="6" t="str">
        <f>IFERROR(__xludf.DUMMYFUNCTION("""COMPUTED_VALUE"""),"M")</f>
        <v>M</v>
      </c>
      <c r="I930" s="6" t="str">
        <f>IFERROR(__xludf.DUMMYFUNCTION("""COMPUTED_VALUE"""),"High School")</f>
        <v>High School</v>
      </c>
      <c r="J930" s="6" t="str">
        <f>IFERROR(__xludf.DUMMYFUNCTION("""COMPUTED_VALUE"""),"10")</f>
        <v>10</v>
      </c>
      <c r="K930" s="6" t="str">
        <f>IFERROR(__xludf.DUMMYFUNCTION("""COMPUTED_VALUE"""),"timur.pavlov@2hourlearning.com")</f>
        <v>timur.pavlov@2hourlearning.com</v>
      </c>
      <c r="L930" s="6" t="str">
        <f>IFERROR(__xludf.DUMMYFUNCTION("""COMPUTED_VALUE"""),"Learn and Earn Poland")</f>
        <v>Learn and Earn Poland</v>
      </c>
      <c r="M930" s="6" t="str">
        <f>IFERROR(__xludf.DUMMYFUNCTION("""COMPUTED_VALUE"""),"")</f>
        <v/>
      </c>
      <c r="N930" s="6" t="str">
        <f>IFERROR(__xludf.DUMMYFUNCTION("""COMPUTED_VALUE"""),"")</f>
        <v/>
      </c>
      <c r="O930" s="87" t="str">
        <f>IFERROR(__xludf.DUMMYFUNCTION("""COMPUTED_VALUE"""),"https://drive.google.com/drive/folders/10T2cTQHqEJZqE-st6uFKPoI?usp=share_link")</f>
        <v>https://drive.google.com/drive/folders/10T2cTQHqEJZqE-st6uFKPoI?usp=share_link</v>
      </c>
      <c r="P930" s="6" t="str">
        <f>IFERROR(__xludf.DUMMYFUNCTION("""COMPUTED_VALUE"""),"Timur Pavlov")</f>
        <v>Timur Pavlov</v>
      </c>
      <c r="Q930" s="6" t="str">
        <f>IFERROR(__xludf.DUMMYFUNCTION("""COMPUTED_VALUE"""),"HS")</f>
        <v>HS</v>
      </c>
      <c r="R930" s="6">
        <f>IFERROR(__xludf.DUMMYFUNCTION("""COMPUTED_VALUE"""),0.0)</f>
        <v>0</v>
      </c>
      <c r="S930" s="6" t="str">
        <f>IFERROR(__xludf.DUMMYFUNCTION("""COMPUTED_VALUE""")," ")</f>
        <v> </v>
      </c>
      <c r="T930" s="6" t="str">
        <f>IFERROR(__xludf.DUMMYFUNCTION("""COMPUTED_VALUE"""),"")</f>
        <v/>
      </c>
      <c r="U930" s="6" t="str">
        <f>IFERROR(__xludf.DUMMYFUNCTION("""COMPUTED_VALUE"""),"10")</f>
        <v>10</v>
      </c>
      <c r="V930" s="6" t="str">
        <f>IFERROR(__xludf.DUMMYFUNCTION("""COMPUTED_VALUE"""),"English")</f>
        <v>English</v>
      </c>
      <c r="W930" s="6" t="str">
        <f>IFERROR(__xludf.DUMMYFUNCTION("""COMPUTED_VALUE"""),"[]")</f>
        <v>[]</v>
      </c>
      <c r="X930" s="6" t="str">
        <f>IFERROR(__xludf.DUMMYFUNCTION("""COMPUTED_VALUE"""),"Enrolled")</f>
        <v>Enrolled</v>
      </c>
    </row>
    <row r="931">
      <c r="A931" s="6" t="str">
        <f>IFERROR(__xludf.DUMMYFUNCTION("""COMPUTED_VALUE"""),"009-1054")</f>
        <v>009-1054</v>
      </c>
      <c r="B931" s="6" t="str">
        <f>IFERROR(__xludf.DUMMYFUNCTION("""COMPUTED_VALUE"""),"9")</f>
        <v>9</v>
      </c>
      <c r="C931" s="6" t="str">
        <f>IFERROR(__xludf.DUMMYFUNCTION("""COMPUTED_VALUE"""),"1054")</f>
        <v>1054</v>
      </c>
      <c r="D931" s="6" t="str">
        <f>IFERROR(__xludf.DUMMYFUNCTION("""COMPUTED_VALUE"""),"Ulana")</f>
        <v>Ulana</v>
      </c>
      <c r="E931" s="6" t="str">
        <f>IFERROR(__xludf.DUMMYFUNCTION("""COMPUTED_VALUE"""),"")</f>
        <v/>
      </c>
      <c r="F931" s="6" t="str">
        <f>IFERROR(__xludf.DUMMYFUNCTION("""COMPUTED_VALUE"""),"Pavlova")</f>
        <v>Pavlova</v>
      </c>
      <c r="G931" s="6" t="str">
        <f>IFERROR(__xludf.DUMMYFUNCTION("""COMPUTED_VALUE"""),"01/01/2013")</f>
        <v>01/01/2013</v>
      </c>
      <c r="H931" s="6" t="str">
        <f>IFERROR(__xludf.DUMMYFUNCTION("""COMPUTED_VALUE"""),"F")</f>
        <v>F</v>
      </c>
      <c r="I931" s="6" t="str">
        <f>IFERROR(__xludf.DUMMYFUNCTION("""COMPUTED_VALUE"""),"Middle School")</f>
        <v>Middle School</v>
      </c>
      <c r="J931" s="6" t="str">
        <f>IFERROR(__xludf.DUMMYFUNCTION("""COMPUTED_VALUE"""),"7")</f>
        <v>7</v>
      </c>
      <c r="K931" s="6" t="str">
        <f>IFERROR(__xludf.DUMMYFUNCTION("""COMPUTED_VALUE"""),"ulana.pavlova@2hourlearning.com")</f>
        <v>ulana.pavlova@2hourlearning.com</v>
      </c>
      <c r="L931" s="6" t="str">
        <f>IFERROR(__xludf.DUMMYFUNCTION("""COMPUTED_VALUE"""),"Learn and Earn Poland")</f>
        <v>Learn and Earn Poland</v>
      </c>
      <c r="M931" s="6" t="str">
        <f>IFERROR(__xludf.DUMMYFUNCTION("""COMPUTED_VALUE"""),"")</f>
        <v/>
      </c>
      <c r="N931" s="6" t="str">
        <f>IFERROR(__xludf.DUMMYFUNCTION("""COMPUTED_VALUE"""),"")</f>
        <v/>
      </c>
      <c r="O931" s="87" t="str">
        <f>IFERROR(__xludf.DUMMYFUNCTION("""COMPUTED_VALUE"""),"https://drive.google.com/drive/folders/10T2cTQHqEJZqE-st6uFKPoI?usp=share_link")</f>
        <v>https://drive.google.com/drive/folders/10T2cTQHqEJZqE-st6uFKPoI?usp=share_link</v>
      </c>
      <c r="P931" s="6" t="str">
        <f>IFERROR(__xludf.DUMMYFUNCTION("""COMPUTED_VALUE"""),"Ulana Pavlova")</f>
        <v>Ulana Pavlova</v>
      </c>
      <c r="Q931" s="6" t="str">
        <f>IFERROR(__xludf.DUMMYFUNCTION("""COMPUTED_VALUE"""),"MS")</f>
        <v>MS</v>
      </c>
      <c r="R931" s="6">
        <f>IFERROR(__xludf.DUMMYFUNCTION("""COMPUTED_VALUE"""),0.0)</f>
        <v>0</v>
      </c>
      <c r="S931" s="6" t="str">
        <f>IFERROR(__xludf.DUMMYFUNCTION("""COMPUTED_VALUE""")," ")</f>
        <v> </v>
      </c>
      <c r="T931" s="6" t="str">
        <f>IFERROR(__xludf.DUMMYFUNCTION("""COMPUTED_VALUE"""),"")</f>
        <v/>
      </c>
      <c r="U931" s="6" t="str">
        <f>IFERROR(__xludf.DUMMYFUNCTION("""COMPUTED_VALUE"""),"7")</f>
        <v>7</v>
      </c>
      <c r="V931" s="6" t="str">
        <f>IFERROR(__xludf.DUMMYFUNCTION("""COMPUTED_VALUE"""),"English")</f>
        <v>English</v>
      </c>
      <c r="W931" s="6" t="str">
        <f>IFERROR(__xludf.DUMMYFUNCTION("""COMPUTED_VALUE"""),"[]")</f>
        <v>[]</v>
      </c>
      <c r="X931" s="6" t="str">
        <f>IFERROR(__xludf.DUMMYFUNCTION("""COMPUTED_VALUE"""),"Enrolled")</f>
        <v>Enrolled</v>
      </c>
    </row>
    <row r="932">
      <c r="A932" s="6" t="str">
        <f>IFERROR(__xludf.DUMMYFUNCTION("""COMPUTED_VALUE"""),"009-1055")</f>
        <v>009-1055</v>
      </c>
      <c r="B932" s="6" t="str">
        <f>IFERROR(__xludf.DUMMYFUNCTION("""COMPUTED_VALUE"""),"9")</f>
        <v>9</v>
      </c>
      <c r="C932" s="6" t="str">
        <f>IFERROR(__xludf.DUMMYFUNCTION("""COMPUTED_VALUE"""),"1055")</f>
        <v>1055</v>
      </c>
      <c r="D932" s="6" t="str">
        <f>IFERROR(__xludf.DUMMYFUNCTION("""COMPUTED_VALUE"""),"Mariia")</f>
        <v>Mariia</v>
      </c>
      <c r="E932" s="6" t="str">
        <f>IFERROR(__xludf.DUMMYFUNCTION("""COMPUTED_VALUE"""),"")</f>
        <v/>
      </c>
      <c r="F932" s="6" t="str">
        <f>IFERROR(__xludf.DUMMYFUNCTION("""COMPUTED_VALUE"""),"Romantseva")</f>
        <v>Romantseva</v>
      </c>
      <c r="G932" s="6" t="str">
        <f>IFERROR(__xludf.DUMMYFUNCTION("""COMPUTED_VALUE"""),"01/01/2018")</f>
        <v>01/01/2018</v>
      </c>
      <c r="H932" s="6" t="str">
        <f>IFERROR(__xludf.DUMMYFUNCTION("""COMPUTED_VALUE"""),"Self Identify")</f>
        <v>Self Identify</v>
      </c>
      <c r="I932" s="6" t="str">
        <f>IFERROR(__xludf.DUMMYFUNCTION("""COMPUTED_VALUE"""),"Learning Lab")</f>
        <v>Learning Lab</v>
      </c>
      <c r="J932" s="6" t="str">
        <f>IFERROR(__xludf.DUMMYFUNCTION("""COMPUTED_VALUE"""),"1")</f>
        <v>1</v>
      </c>
      <c r="K932" s="6" t="str">
        <f>IFERROR(__xludf.DUMMYFUNCTION("""COMPUTED_VALUE"""),"mariia.romantseva@2hourlearning.com")</f>
        <v>mariia.romantseva@2hourlearning.com</v>
      </c>
      <c r="L932" s="6" t="str">
        <f>IFERROR(__xludf.DUMMYFUNCTION("""COMPUTED_VALUE"""),"Learn and Earn Poland")</f>
        <v>Learn and Earn Poland</v>
      </c>
      <c r="M932" s="6" t="str">
        <f>IFERROR(__xludf.DUMMYFUNCTION("""COMPUTED_VALUE"""),"")</f>
        <v/>
      </c>
      <c r="N932" s="6" t="str">
        <f>IFERROR(__xludf.DUMMYFUNCTION("""COMPUTED_VALUE"""),"")</f>
        <v/>
      </c>
      <c r="O932" s="87" t="str">
        <f>IFERROR(__xludf.DUMMYFUNCTION("""COMPUTED_VALUE"""),"https://drive.google.com/drive/folders/10T2cTQHqEJZqE-st6uFKPoI?usp=share_link")</f>
        <v>https://drive.google.com/drive/folders/10T2cTQHqEJZqE-st6uFKPoI?usp=share_link</v>
      </c>
      <c r="P932" s="6" t="str">
        <f>IFERROR(__xludf.DUMMYFUNCTION("""COMPUTED_VALUE"""),"Mariia Romantseva")</f>
        <v>Mariia Romantseva</v>
      </c>
      <c r="Q932" s="6" t="str">
        <f>IFERROR(__xludf.DUMMYFUNCTION("""COMPUTED_VALUE"""),"LL")</f>
        <v>LL</v>
      </c>
      <c r="R932" s="6">
        <f>IFERROR(__xludf.DUMMYFUNCTION("""COMPUTED_VALUE"""),0.0)</f>
        <v>0</v>
      </c>
      <c r="S932" s="6" t="str">
        <f>IFERROR(__xludf.DUMMYFUNCTION("""COMPUTED_VALUE""")," ")</f>
        <v> </v>
      </c>
      <c r="T932" s="6" t="str">
        <f>IFERROR(__xludf.DUMMYFUNCTION("""COMPUTED_VALUE"""),"")</f>
        <v/>
      </c>
      <c r="U932" s="6" t="str">
        <f>IFERROR(__xludf.DUMMYFUNCTION("""COMPUTED_VALUE"""),"1")</f>
        <v>1</v>
      </c>
      <c r="V932" s="6" t="str">
        <f>IFERROR(__xludf.DUMMYFUNCTION("""COMPUTED_VALUE"""),"English")</f>
        <v>English</v>
      </c>
      <c r="W932" s="6" t="str">
        <f>IFERROR(__xludf.DUMMYFUNCTION("""COMPUTED_VALUE"""),"[]")</f>
        <v>[]</v>
      </c>
      <c r="X932" s="6" t="str">
        <f>IFERROR(__xludf.DUMMYFUNCTION("""COMPUTED_VALUE"""),"Enrolled")</f>
        <v>Enrolled</v>
      </c>
    </row>
    <row r="933">
      <c r="A933" s="6" t="str">
        <f>IFERROR(__xludf.DUMMYFUNCTION("""COMPUTED_VALUE"""),"009-1056")</f>
        <v>009-1056</v>
      </c>
      <c r="B933" s="6" t="str">
        <f>IFERROR(__xludf.DUMMYFUNCTION("""COMPUTED_VALUE"""),"9")</f>
        <v>9</v>
      </c>
      <c r="C933" s="6" t="str">
        <f>IFERROR(__xludf.DUMMYFUNCTION("""COMPUTED_VALUE"""),"1056")</f>
        <v>1056</v>
      </c>
      <c r="D933" s="6" t="str">
        <f>IFERROR(__xludf.DUMMYFUNCTION("""COMPUTED_VALUE"""),"Polina")</f>
        <v>Polina</v>
      </c>
      <c r="E933" s="6" t="str">
        <f>IFERROR(__xludf.DUMMYFUNCTION("""COMPUTED_VALUE"""),"")</f>
        <v/>
      </c>
      <c r="F933" s="6" t="str">
        <f>IFERROR(__xludf.DUMMYFUNCTION("""COMPUTED_VALUE"""),"Kozak")</f>
        <v>Kozak</v>
      </c>
      <c r="G933" s="6" t="str">
        <f>IFERROR(__xludf.DUMMYFUNCTION("""COMPUTED_VALUE"""),"01/01/2018")</f>
        <v>01/01/2018</v>
      </c>
      <c r="H933" s="6" t="str">
        <f>IFERROR(__xludf.DUMMYFUNCTION("""COMPUTED_VALUE"""),"Self Identify")</f>
        <v>Self Identify</v>
      </c>
      <c r="I933" s="6" t="str">
        <f>IFERROR(__xludf.DUMMYFUNCTION("""COMPUTED_VALUE"""),"Learning Lab")</f>
        <v>Learning Lab</v>
      </c>
      <c r="J933" s="6" t="str">
        <f>IFERROR(__xludf.DUMMYFUNCTION("""COMPUTED_VALUE"""),"1")</f>
        <v>1</v>
      </c>
      <c r="K933" s="6" t="str">
        <f>IFERROR(__xludf.DUMMYFUNCTION("""COMPUTED_VALUE"""),"polina.kozak@2hourlearning.com")</f>
        <v>polina.kozak@2hourlearning.com</v>
      </c>
      <c r="L933" s="6" t="str">
        <f>IFERROR(__xludf.DUMMYFUNCTION("""COMPUTED_VALUE"""),"Learn and Earn Poland")</f>
        <v>Learn and Earn Poland</v>
      </c>
      <c r="M933" s="6" t="str">
        <f>IFERROR(__xludf.DUMMYFUNCTION("""COMPUTED_VALUE"""),"")</f>
        <v/>
      </c>
      <c r="N933" s="6" t="str">
        <f>IFERROR(__xludf.DUMMYFUNCTION("""COMPUTED_VALUE"""),"")</f>
        <v/>
      </c>
      <c r="O933" s="87" t="str">
        <f>IFERROR(__xludf.DUMMYFUNCTION("""COMPUTED_VALUE"""),"https://drive.google.com/drive/folders/10T2cTQHqEJZqE-st6uFKPoI?usp=share_link")</f>
        <v>https://drive.google.com/drive/folders/10T2cTQHqEJZqE-st6uFKPoI?usp=share_link</v>
      </c>
      <c r="P933" s="6" t="str">
        <f>IFERROR(__xludf.DUMMYFUNCTION("""COMPUTED_VALUE"""),"Polina Kozak")</f>
        <v>Polina Kozak</v>
      </c>
      <c r="Q933" s="6" t="str">
        <f>IFERROR(__xludf.DUMMYFUNCTION("""COMPUTED_VALUE"""),"LL")</f>
        <v>LL</v>
      </c>
      <c r="R933" s="6">
        <f>IFERROR(__xludf.DUMMYFUNCTION("""COMPUTED_VALUE"""),0.0)</f>
        <v>0</v>
      </c>
      <c r="S933" s="6" t="str">
        <f>IFERROR(__xludf.DUMMYFUNCTION("""COMPUTED_VALUE""")," ")</f>
        <v> </v>
      </c>
      <c r="T933" s="6" t="str">
        <f>IFERROR(__xludf.DUMMYFUNCTION("""COMPUTED_VALUE"""),"")</f>
        <v/>
      </c>
      <c r="U933" s="6" t="str">
        <f>IFERROR(__xludf.DUMMYFUNCTION("""COMPUTED_VALUE"""),"1")</f>
        <v>1</v>
      </c>
      <c r="V933" s="6" t="str">
        <f>IFERROR(__xludf.DUMMYFUNCTION("""COMPUTED_VALUE"""),"English")</f>
        <v>English</v>
      </c>
      <c r="W933" s="6" t="str">
        <f>IFERROR(__xludf.DUMMYFUNCTION("""COMPUTED_VALUE"""),"[]")</f>
        <v>[]</v>
      </c>
      <c r="X933" s="6" t="str">
        <f>IFERROR(__xludf.DUMMYFUNCTION("""COMPUTED_VALUE"""),"Enrolled")</f>
        <v>Enrolled</v>
      </c>
    </row>
    <row r="934">
      <c r="A934" s="6" t="str">
        <f>IFERROR(__xludf.DUMMYFUNCTION("""COMPUTED_VALUE"""),"009-1057")</f>
        <v>009-1057</v>
      </c>
      <c r="B934" s="6" t="str">
        <f>IFERROR(__xludf.DUMMYFUNCTION("""COMPUTED_VALUE"""),"9")</f>
        <v>9</v>
      </c>
      <c r="C934" s="6" t="str">
        <f>IFERROR(__xludf.DUMMYFUNCTION("""COMPUTED_VALUE"""),"1057")</f>
        <v>1057</v>
      </c>
      <c r="D934" s="6" t="str">
        <f>IFERROR(__xludf.DUMMYFUNCTION("""COMPUTED_VALUE"""),"Tetiana")</f>
        <v>Tetiana</v>
      </c>
      <c r="E934" s="6" t="str">
        <f>IFERROR(__xludf.DUMMYFUNCTION("""COMPUTED_VALUE"""),"")</f>
        <v/>
      </c>
      <c r="F934" s="6" t="str">
        <f>IFERROR(__xludf.DUMMYFUNCTION("""COMPUTED_VALUE"""),"Savinova")</f>
        <v>Savinova</v>
      </c>
      <c r="G934" s="6" t="str">
        <f>IFERROR(__xludf.DUMMYFUNCTION("""COMPUTED_VALUE"""),"01/01/2018")</f>
        <v>01/01/2018</v>
      </c>
      <c r="H934" s="6" t="str">
        <f>IFERROR(__xludf.DUMMYFUNCTION("""COMPUTED_VALUE"""),"Self Identify")</f>
        <v>Self Identify</v>
      </c>
      <c r="I934" s="6" t="str">
        <f>IFERROR(__xludf.DUMMYFUNCTION("""COMPUTED_VALUE"""),"Learning Lab")</f>
        <v>Learning Lab</v>
      </c>
      <c r="J934" s="6" t="str">
        <f>IFERROR(__xludf.DUMMYFUNCTION("""COMPUTED_VALUE"""),"1")</f>
        <v>1</v>
      </c>
      <c r="K934" s="6" t="str">
        <f>IFERROR(__xludf.DUMMYFUNCTION("""COMPUTED_VALUE"""),"tetiana.savinova@2hourlearning.com")</f>
        <v>tetiana.savinova@2hourlearning.com</v>
      </c>
      <c r="L934" s="6" t="str">
        <f>IFERROR(__xludf.DUMMYFUNCTION("""COMPUTED_VALUE"""),"Learn and Earn Poland")</f>
        <v>Learn and Earn Poland</v>
      </c>
      <c r="M934" s="6" t="str">
        <f>IFERROR(__xludf.DUMMYFUNCTION("""COMPUTED_VALUE"""),"")</f>
        <v/>
      </c>
      <c r="N934" s="6" t="str">
        <f>IFERROR(__xludf.DUMMYFUNCTION("""COMPUTED_VALUE"""),"")</f>
        <v/>
      </c>
      <c r="O934" s="87" t="str">
        <f>IFERROR(__xludf.DUMMYFUNCTION("""COMPUTED_VALUE"""),"https://drive.google.com/drive/folders/10T2cTQHqEJZqE-st6uFKPoI?usp=share_link")</f>
        <v>https://drive.google.com/drive/folders/10T2cTQHqEJZqE-st6uFKPoI?usp=share_link</v>
      </c>
      <c r="P934" s="6" t="str">
        <f>IFERROR(__xludf.DUMMYFUNCTION("""COMPUTED_VALUE"""),"Tetiana Savinova")</f>
        <v>Tetiana Savinova</v>
      </c>
      <c r="Q934" s="6" t="str">
        <f>IFERROR(__xludf.DUMMYFUNCTION("""COMPUTED_VALUE"""),"LL")</f>
        <v>LL</v>
      </c>
      <c r="R934" s="6">
        <f>IFERROR(__xludf.DUMMYFUNCTION("""COMPUTED_VALUE"""),0.0)</f>
        <v>0</v>
      </c>
      <c r="S934" s="6" t="str">
        <f>IFERROR(__xludf.DUMMYFUNCTION("""COMPUTED_VALUE""")," ")</f>
        <v> </v>
      </c>
      <c r="T934" s="6" t="str">
        <f>IFERROR(__xludf.DUMMYFUNCTION("""COMPUTED_VALUE"""),"")</f>
        <v/>
      </c>
      <c r="U934" s="6" t="str">
        <f>IFERROR(__xludf.DUMMYFUNCTION("""COMPUTED_VALUE"""),"1")</f>
        <v>1</v>
      </c>
      <c r="V934" s="6" t="str">
        <f>IFERROR(__xludf.DUMMYFUNCTION("""COMPUTED_VALUE"""),"English")</f>
        <v>English</v>
      </c>
      <c r="W934" s="6" t="str">
        <f>IFERROR(__xludf.DUMMYFUNCTION("""COMPUTED_VALUE"""),"[]")</f>
        <v>[]</v>
      </c>
      <c r="X934" s="6" t="str">
        <f>IFERROR(__xludf.DUMMYFUNCTION("""COMPUTED_VALUE"""),"Enrolled")</f>
        <v>Enrolled</v>
      </c>
    </row>
    <row r="935">
      <c r="A935" s="6" t="str">
        <f>IFERROR(__xludf.DUMMYFUNCTION("""COMPUTED_VALUE"""),"009-1058")</f>
        <v>009-1058</v>
      </c>
      <c r="B935" s="6" t="str">
        <f>IFERROR(__xludf.DUMMYFUNCTION("""COMPUTED_VALUE"""),"9")</f>
        <v>9</v>
      </c>
      <c r="C935" s="6" t="str">
        <f>IFERROR(__xludf.DUMMYFUNCTION("""COMPUTED_VALUE"""),"1058")</f>
        <v>1058</v>
      </c>
      <c r="D935" s="6" t="str">
        <f>IFERROR(__xludf.DUMMYFUNCTION("""COMPUTED_VALUE"""),"Alisa")</f>
        <v>Alisa</v>
      </c>
      <c r="E935" s="6" t="str">
        <f>IFERROR(__xludf.DUMMYFUNCTION("""COMPUTED_VALUE"""),"")</f>
        <v/>
      </c>
      <c r="F935" s="6" t="str">
        <f>IFERROR(__xludf.DUMMYFUNCTION("""COMPUTED_VALUE"""),"Hramushko")</f>
        <v>Hramushko</v>
      </c>
      <c r="G935" s="6" t="str">
        <f>IFERROR(__xludf.DUMMYFUNCTION("""COMPUTED_VALUE"""),"01/01/2017")</f>
        <v>01/01/2017</v>
      </c>
      <c r="H935" s="6" t="str">
        <f>IFERROR(__xludf.DUMMYFUNCTION("""COMPUTED_VALUE"""),"Self Identify")</f>
        <v>Self Identify</v>
      </c>
      <c r="I935" s="6" t="str">
        <f>IFERROR(__xludf.DUMMYFUNCTION("""COMPUTED_VALUE"""),"Level 1")</f>
        <v>Level 1</v>
      </c>
      <c r="J935" s="6" t="str">
        <f>IFERROR(__xludf.DUMMYFUNCTION("""COMPUTED_VALUE"""),"2")</f>
        <v>2</v>
      </c>
      <c r="K935" s="6" t="str">
        <f>IFERROR(__xludf.DUMMYFUNCTION("""COMPUTED_VALUE"""),"alisa.hramushko@2hourlearning.com")</f>
        <v>alisa.hramushko@2hourlearning.com</v>
      </c>
      <c r="L935" s="6" t="str">
        <f>IFERROR(__xludf.DUMMYFUNCTION("""COMPUTED_VALUE"""),"Learn and Earn Poland")</f>
        <v>Learn and Earn Poland</v>
      </c>
      <c r="M935" s="6" t="str">
        <f>IFERROR(__xludf.DUMMYFUNCTION("""COMPUTED_VALUE"""),"")</f>
        <v/>
      </c>
      <c r="N935" s="6" t="str">
        <f>IFERROR(__xludf.DUMMYFUNCTION("""COMPUTED_VALUE"""),"")</f>
        <v/>
      </c>
      <c r="O935" s="87" t="str">
        <f>IFERROR(__xludf.DUMMYFUNCTION("""COMPUTED_VALUE"""),"https://drive.google.com/drive/folders/10T2cTQHqEJZqE-st6uFKPoI?usp=share_link")</f>
        <v>https://drive.google.com/drive/folders/10T2cTQHqEJZqE-st6uFKPoI?usp=share_link</v>
      </c>
      <c r="P935" s="6" t="str">
        <f>IFERROR(__xludf.DUMMYFUNCTION("""COMPUTED_VALUE"""),"Alisa Hramushko")</f>
        <v>Alisa Hramushko</v>
      </c>
      <c r="Q935" s="6" t="str">
        <f>IFERROR(__xludf.DUMMYFUNCTION("""COMPUTED_VALUE"""),"L1")</f>
        <v>L1</v>
      </c>
      <c r="R935" s="6">
        <f>IFERROR(__xludf.DUMMYFUNCTION("""COMPUTED_VALUE"""),1.0)</f>
        <v>1</v>
      </c>
      <c r="S935" s="6" t="str">
        <f>IFERROR(__xludf.DUMMYFUNCTION("""COMPUTED_VALUE""")," ")</f>
        <v> </v>
      </c>
      <c r="T935" s="6" t="str">
        <f>IFERROR(__xludf.DUMMYFUNCTION("""COMPUTED_VALUE"""),"")</f>
        <v/>
      </c>
      <c r="U935" s="6" t="str">
        <f>IFERROR(__xludf.DUMMYFUNCTION("""COMPUTED_VALUE"""),"2")</f>
        <v>2</v>
      </c>
      <c r="V935" s="6" t="str">
        <f>IFERROR(__xludf.DUMMYFUNCTION("""COMPUTED_VALUE"""),"English")</f>
        <v>English</v>
      </c>
      <c r="W935" s="6" t="str">
        <f>IFERROR(__xludf.DUMMYFUNCTION("""COMPUTED_VALUE"""),"[]")</f>
        <v>[]</v>
      </c>
      <c r="X935" s="6" t="str">
        <f>IFERROR(__xludf.DUMMYFUNCTION("""COMPUTED_VALUE"""),"Enrolled")</f>
        <v>Enrolled</v>
      </c>
    </row>
    <row r="936">
      <c r="A936" s="6" t="str">
        <f>IFERROR(__xludf.DUMMYFUNCTION("""COMPUTED_VALUE"""),"009-1059")</f>
        <v>009-1059</v>
      </c>
      <c r="B936" s="6" t="str">
        <f>IFERROR(__xludf.DUMMYFUNCTION("""COMPUTED_VALUE"""),"9")</f>
        <v>9</v>
      </c>
      <c r="C936" s="6" t="str">
        <f>IFERROR(__xludf.DUMMYFUNCTION("""COMPUTED_VALUE"""),"1059")</f>
        <v>1059</v>
      </c>
      <c r="D936" s="6" t="str">
        <f>IFERROR(__xludf.DUMMYFUNCTION("""COMPUTED_VALUE"""),"Mariana")</f>
        <v>Mariana</v>
      </c>
      <c r="E936" s="6" t="str">
        <f>IFERROR(__xludf.DUMMYFUNCTION("""COMPUTED_VALUE"""),"")</f>
        <v/>
      </c>
      <c r="F936" s="6" t="str">
        <f>IFERROR(__xludf.DUMMYFUNCTION("""COMPUTED_VALUE"""),"Artemieva")</f>
        <v>Artemieva</v>
      </c>
      <c r="G936" s="6" t="str">
        <f>IFERROR(__xludf.DUMMYFUNCTION("""COMPUTED_VALUE"""),"01/01/2017")</f>
        <v>01/01/2017</v>
      </c>
      <c r="H936" s="6" t="str">
        <f>IFERROR(__xludf.DUMMYFUNCTION("""COMPUTED_VALUE"""),"Self Identify")</f>
        <v>Self Identify</v>
      </c>
      <c r="I936" s="6" t="str">
        <f>IFERROR(__xludf.DUMMYFUNCTION("""COMPUTED_VALUE"""),"Level 1")</f>
        <v>Level 1</v>
      </c>
      <c r="J936" s="6" t="str">
        <f>IFERROR(__xludf.DUMMYFUNCTION("""COMPUTED_VALUE"""),"2")</f>
        <v>2</v>
      </c>
      <c r="K936" s="6" t="str">
        <f>IFERROR(__xludf.DUMMYFUNCTION("""COMPUTED_VALUE"""),"mariana.artemieva@2hourlearning.com")</f>
        <v>mariana.artemieva@2hourlearning.com</v>
      </c>
      <c r="L936" s="6" t="str">
        <f>IFERROR(__xludf.DUMMYFUNCTION("""COMPUTED_VALUE"""),"Learn and Earn Poland")</f>
        <v>Learn and Earn Poland</v>
      </c>
      <c r="M936" s="6" t="str">
        <f>IFERROR(__xludf.DUMMYFUNCTION("""COMPUTED_VALUE"""),"")</f>
        <v/>
      </c>
      <c r="N936" s="6" t="str">
        <f>IFERROR(__xludf.DUMMYFUNCTION("""COMPUTED_VALUE"""),"")</f>
        <v/>
      </c>
      <c r="O936" s="87" t="str">
        <f>IFERROR(__xludf.DUMMYFUNCTION("""COMPUTED_VALUE"""),"https://drive.google.com/drive/folders/10T2cTQHqEJZqE-st6uFKPoI?usp=share_link")</f>
        <v>https://drive.google.com/drive/folders/10T2cTQHqEJZqE-st6uFKPoI?usp=share_link</v>
      </c>
      <c r="P936" s="6" t="str">
        <f>IFERROR(__xludf.DUMMYFUNCTION("""COMPUTED_VALUE"""),"Mariana Artemieva")</f>
        <v>Mariana Artemieva</v>
      </c>
      <c r="Q936" s="6" t="str">
        <f>IFERROR(__xludf.DUMMYFUNCTION("""COMPUTED_VALUE"""),"L1")</f>
        <v>L1</v>
      </c>
      <c r="R936" s="6">
        <f>IFERROR(__xludf.DUMMYFUNCTION("""COMPUTED_VALUE"""),1.0)</f>
        <v>1</v>
      </c>
      <c r="S936" s="6" t="str">
        <f>IFERROR(__xludf.DUMMYFUNCTION("""COMPUTED_VALUE""")," ")</f>
        <v> </v>
      </c>
      <c r="T936" s="6" t="str">
        <f>IFERROR(__xludf.DUMMYFUNCTION("""COMPUTED_VALUE"""),"")</f>
        <v/>
      </c>
      <c r="U936" s="6" t="str">
        <f>IFERROR(__xludf.DUMMYFUNCTION("""COMPUTED_VALUE"""),"2")</f>
        <v>2</v>
      </c>
      <c r="V936" s="6" t="str">
        <f>IFERROR(__xludf.DUMMYFUNCTION("""COMPUTED_VALUE"""),"English")</f>
        <v>English</v>
      </c>
      <c r="W936" s="6" t="str">
        <f>IFERROR(__xludf.DUMMYFUNCTION("""COMPUTED_VALUE"""),"[]")</f>
        <v>[]</v>
      </c>
      <c r="X936" s="6" t="str">
        <f>IFERROR(__xludf.DUMMYFUNCTION("""COMPUTED_VALUE"""),"Enrolled")</f>
        <v>Enrolled</v>
      </c>
    </row>
    <row r="937">
      <c r="A937" s="6" t="str">
        <f>IFERROR(__xludf.DUMMYFUNCTION("""COMPUTED_VALUE"""),"009-1060")</f>
        <v>009-1060</v>
      </c>
      <c r="B937" s="6" t="str">
        <f>IFERROR(__xludf.DUMMYFUNCTION("""COMPUTED_VALUE"""),"9")</f>
        <v>9</v>
      </c>
      <c r="C937" s="6" t="str">
        <f>IFERROR(__xludf.DUMMYFUNCTION("""COMPUTED_VALUE"""),"1060")</f>
        <v>1060</v>
      </c>
      <c r="D937" s="6" t="str">
        <f>IFERROR(__xludf.DUMMYFUNCTION("""COMPUTED_VALUE"""),"Mariia")</f>
        <v>Mariia</v>
      </c>
      <c r="E937" s="6" t="str">
        <f>IFERROR(__xludf.DUMMYFUNCTION("""COMPUTED_VALUE"""),"")</f>
        <v/>
      </c>
      <c r="F937" s="6" t="str">
        <f>IFERROR(__xludf.DUMMYFUNCTION("""COMPUTED_VALUE"""),"Lashchenko")</f>
        <v>Lashchenko</v>
      </c>
      <c r="G937" s="6" t="str">
        <f>IFERROR(__xludf.DUMMYFUNCTION("""COMPUTED_VALUE"""),"01/01/2017")</f>
        <v>01/01/2017</v>
      </c>
      <c r="H937" s="6" t="str">
        <f>IFERROR(__xludf.DUMMYFUNCTION("""COMPUTED_VALUE"""),"Self Identify")</f>
        <v>Self Identify</v>
      </c>
      <c r="I937" s="6" t="str">
        <f>IFERROR(__xludf.DUMMYFUNCTION("""COMPUTED_VALUE"""),"Level 1")</f>
        <v>Level 1</v>
      </c>
      <c r="J937" s="6" t="str">
        <f>IFERROR(__xludf.DUMMYFUNCTION("""COMPUTED_VALUE"""),"2")</f>
        <v>2</v>
      </c>
      <c r="K937" s="6" t="str">
        <f>IFERROR(__xludf.DUMMYFUNCTION("""COMPUTED_VALUE"""),"mariia.lashchenko@2hourlearning.com")</f>
        <v>mariia.lashchenko@2hourlearning.com</v>
      </c>
      <c r="L937" s="6" t="str">
        <f>IFERROR(__xludf.DUMMYFUNCTION("""COMPUTED_VALUE"""),"Learn and Earn Poland")</f>
        <v>Learn and Earn Poland</v>
      </c>
      <c r="M937" s="6" t="str">
        <f>IFERROR(__xludf.DUMMYFUNCTION("""COMPUTED_VALUE"""),"")</f>
        <v/>
      </c>
      <c r="N937" s="6" t="str">
        <f>IFERROR(__xludf.DUMMYFUNCTION("""COMPUTED_VALUE"""),"")</f>
        <v/>
      </c>
      <c r="O937" s="87" t="str">
        <f>IFERROR(__xludf.DUMMYFUNCTION("""COMPUTED_VALUE"""),"https://drive.google.com/drive/folders/10T2cTQHqEJZqE-st6uFKPoI?usp=share_link")</f>
        <v>https://drive.google.com/drive/folders/10T2cTQHqEJZqE-st6uFKPoI?usp=share_link</v>
      </c>
      <c r="P937" s="6" t="str">
        <f>IFERROR(__xludf.DUMMYFUNCTION("""COMPUTED_VALUE"""),"Mariia Lashchenko")</f>
        <v>Mariia Lashchenko</v>
      </c>
      <c r="Q937" s="6" t="str">
        <f>IFERROR(__xludf.DUMMYFUNCTION("""COMPUTED_VALUE"""),"L1")</f>
        <v>L1</v>
      </c>
      <c r="R937" s="6">
        <f>IFERROR(__xludf.DUMMYFUNCTION("""COMPUTED_VALUE"""),1.0)</f>
        <v>1</v>
      </c>
      <c r="S937" s="6" t="str">
        <f>IFERROR(__xludf.DUMMYFUNCTION("""COMPUTED_VALUE""")," ")</f>
        <v> </v>
      </c>
      <c r="T937" s="6" t="str">
        <f>IFERROR(__xludf.DUMMYFUNCTION("""COMPUTED_VALUE"""),"")</f>
        <v/>
      </c>
      <c r="U937" s="6" t="str">
        <f>IFERROR(__xludf.DUMMYFUNCTION("""COMPUTED_VALUE"""),"2")</f>
        <v>2</v>
      </c>
      <c r="V937" s="6" t="str">
        <f>IFERROR(__xludf.DUMMYFUNCTION("""COMPUTED_VALUE"""),"English")</f>
        <v>English</v>
      </c>
      <c r="W937" s="6" t="str">
        <f>IFERROR(__xludf.DUMMYFUNCTION("""COMPUTED_VALUE"""),"[]")</f>
        <v>[]</v>
      </c>
      <c r="X937" s="6" t="str">
        <f>IFERROR(__xludf.DUMMYFUNCTION("""COMPUTED_VALUE"""),"Enrolled")</f>
        <v>Enrolled</v>
      </c>
    </row>
    <row r="938">
      <c r="A938" s="6" t="str">
        <f>IFERROR(__xludf.DUMMYFUNCTION("""COMPUTED_VALUE"""),"009-1061")</f>
        <v>009-1061</v>
      </c>
      <c r="B938" s="6" t="str">
        <f>IFERROR(__xludf.DUMMYFUNCTION("""COMPUTED_VALUE"""),"9")</f>
        <v>9</v>
      </c>
      <c r="C938" s="6" t="str">
        <f>IFERROR(__xludf.DUMMYFUNCTION("""COMPUTED_VALUE"""),"1061")</f>
        <v>1061</v>
      </c>
      <c r="D938" s="6" t="str">
        <f>IFERROR(__xludf.DUMMYFUNCTION("""COMPUTED_VALUE"""),"Ivan")</f>
        <v>Ivan</v>
      </c>
      <c r="E938" s="6" t="str">
        <f>IFERROR(__xludf.DUMMYFUNCTION("""COMPUTED_VALUE"""),"")</f>
        <v/>
      </c>
      <c r="F938" s="6" t="str">
        <f>IFERROR(__xludf.DUMMYFUNCTION("""COMPUTED_VALUE"""),"Delfas")</f>
        <v>Delfas</v>
      </c>
      <c r="G938" s="6" t="str">
        <f>IFERROR(__xludf.DUMMYFUNCTION("""COMPUTED_VALUE"""),"01/01/2016")</f>
        <v>01/01/2016</v>
      </c>
      <c r="H938" s="6" t="str">
        <f>IFERROR(__xludf.DUMMYFUNCTION("""COMPUTED_VALUE"""),"Self Identify")</f>
        <v>Self Identify</v>
      </c>
      <c r="I938" s="6" t="str">
        <f>IFERROR(__xludf.DUMMYFUNCTION("""COMPUTED_VALUE"""),"Level 1")</f>
        <v>Level 1</v>
      </c>
      <c r="J938" s="6" t="str">
        <f>IFERROR(__xludf.DUMMYFUNCTION("""COMPUTED_VALUE"""),"3")</f>
        <v>3</v>
      </c>
      <c r="K938" s="6" t="str">
        <f>IFERROR(__xludf.DUMMYFUNCTION("""COMPUTED_VALUE"""),"ivan.delfas@2hourlearning.com")</f>
        <v>ivan.delfas@2hourlearning.com</v>
      </c>
      <c r="L938" s="6" t="str">
        <f>IFERROR(__xludf.DUMMYFUNCTION("""COMPUTED_VALUE"""),"Learn and Earn Poland")</f>
        <v>Learn and Earn Poland</v>
      </c>
      <c r="M938" s="6" t="str">
        <f>IFERROR(__xludf.DUMMYFUNCTION("""COMPUTED_VALUE"""),"")</f>
        <v/>
      </c>
      <c r="N938" s="6" t="str">
        <f>IFERROR(__xludf.DUMMYFUNCTION("""COMPUTED_VALUE"""),"")</f>
        <v/>
      </c>
      <c r="O938" s="87" t="str">
        <f>IFERROR(__xludf.DUMMYFUNCTION("""COMPUTED_VALUE"""),"https://drive.google.com/drive/folders/10T2cTQHqEJZqE-st6uFKPoI?usp=share_link")</f>
        <v>https://drive.google.com/drive/folders/10T2cTQHqEJZqE-st6uFKPoI?usp=share_link</v>
      </c>
      <c r="P938" s="6" t="str">
        <f>IFERROR(__xludf.DUMMYFUNCTION("""COMPUTED_VALUE"""),"Ivan Delfas")</f>
        <v>Ivan Delfas</v>
      </c>
      <c r="Q938" s="6" t="str">
        <f>IFERROR(__xludf.DUMMYFUNCTION("""COMPUTED_VALUE"""),"L1")</f>
        <v>L1</v>
      </c>
      <c r="R938" s="6">
        <f>IFERROR(__xludf.DUMMYFUNCTION("""COMPUTED_VALUE"""),1.0)</f>
        <v>1</v>
      </c>
      <c r="S938" s="6" t="str">
        <f>IFERROR(__xludf.DUMMYFUNCTION("""COMPUTED_VALUE""")," ")</f>
        <v> </v>
      </c>
      <c r="T938" s="6" t="str">
        <f>IFERROR(__xludf.DUMMYFUNCTION("""COMPUTED_VALUE"""),"")</f>
        <v/>
      </c>
      <c r="U938" s="6" t="str">
        <f>IFERROR(__xludf.DUMMYFUNCTION("""COMPUTED_VALUE"""),"3")</f>
        <v>3</v>
      </c>
      <c r="V938" s="6" t="str">
        <f>IFERROR(__xludf.DUMMYFUNCTION("""COMPUTED_VALUE"""),"English")</f>
        <v>English</v>
      </c>
      <c r="W938" s="6" t="str">
        <f>IFERROR(__xludf.DUMMYFUNCTION("""COMPUTED_VALUE"""),"[]")</f>
        <v>[]</v>
      </c>
      <c r="X938" s="6" t="str">
        <f>IFERROR(__xludf.DUMMYFUNCTION("""COMPUTED_VALUE"""),"Enrolled")</f>
        <v>Enrolled</v>
      </c>
    </row>
    <row r="939">
      <c r="A939" s="6" t="str">
        <f>IFERROR(__xludf.DUMMYFUNCTION("""COMPUTED_VALUE"""),"009-1062")</f>
        <v>009-1062</v>
      </c>
      <c r="B939" s="6" t="str">
        <f>IFERROR(__xludf.DUMMYFUNCTION("""COMPUTED_VALUE"""),"9")</f>
        <v>9</v>
      </c>
      <c r="C939" s="6" t="str">
        <f>IFERROR(__xludf.DUMMYFUNCTION("""COMPUTED_VALUE"""),"1062")</f>
        <v>1062</v>
      </c>
      <c r="D939" s="6" t="str">
        <f>IFERROR(__xludf.DUMMYFUNCTION("""COMPUTED_VALUE"""),"Kateryna")</f>
        <v>Kateryna</v>
      </c>
      <c r="E939" s="6" t="str">
        <f>IFERROR(__xludf.DUMMYFUNCTION("""COMPUTED_VALUE"""),"")</f>
        <v/>
      </c>
      <c r="F939" s="6" t="str">
        <f>IFERROR(__xludf.DUMMYFUNCTION("""COMPUTED_VALUE"""),"Bubenets")</f>
        <v>Bubenets</v>
      </c>
      <c r="G939" s="6" t="str">
        <f>IFERROR(__xludf.DUMMYFUNCTION("""COMPUTED_VALUE"""),"01/01/2016")</f>
        <v>01/01/2016</v>
      </c>
      <c r="H939" s="6" t="str">
        <f>IFERROR(__xludf.DUMMYFUNCTION("""COMPUTED_VALUE"""),"Self Identify")</f>
        <v>Self Identify</v>
      </c>
      <c r="I939" s="6" t="str">
        <f>IFERROR(__xludf.DUMMYFUNCTION("""COMPUTED_VALUE"""),"Level 1")</f>
        <v>Level 1</v>
      </c>
      <c r="J939" s="6" t="str">
        <f>IFERROR(__xludf.DUMMYFUNCTION("""COMPUTED_VALUE"""),"3")</f>
        <v>3</v>
      </c>
      <c r="K939" s="6" t="str">
        <f>IFERROR(__xludf.DUMMYFUNCTION("""COMPUTED_VALUE"""),"kateryna.bubenets@2hourlearning.com")</f>
        <v>kateryna.bubenets@2hourlearning.com</v>
      </c>
      <c r="L939" s="6" t="str">
        <f>IFERROR(__xludf.DUMMYFUNCTION("""COMPUTED_VALUE"""),"Learn and Earn Poland")</f>
        <v>Learn and Earn Poland</v>
      </c>
      <c r="M939" s="6" t="str">
        <f>IFERROR(__xludf.DUMMYFUNCTION("""COMPUTED_VALUE"""),"")</f>
        <v/>
      </c>
      <c r="N939" s="6" t="str">
        <f>IFERROR(__xludf.DUMMYFUNCTION("""COMPUTED_VALUE"""),"")</f>
        <v/>
      </c>
      <c r="O939" s="87" t="str">
        <f>IFERROR(__xludf.DUMMYFUNCTION("""COMPUTED_VALUE"""),"https://drive.google.com/drive/folders/10T2cTQHqEJZqE-st6uFKPoI?usp=share_link")</f>
        <v>https://drive.google.com/drive/folders/10T2cTQHqEJZqE-st6uFKPoI?usp=share_link</v>
      </c>
      <c r="P939" s="6" t="str">
        <f>IFERROR(__xludf.DUMMYFUNCTION("""COMPUTED_VALUE"""),"Kateryna Bubenets")</f>
        <v>Kateryna Bubenets</v>
      </c>
      <c r="Q939" s="6" t="str">
        <f>IFERROR(__xludf.DUMMYFUNCTION("""COMPUTED_VALUE"""),"L1")</f>
        <v>L1</v>
      </c>
      <c r="R939" s="6">
        <f>IFERROR(__xludf.DUMMYFUNCTION("""COMPUTED_VALUE"""),1.0)</f>
        <v>1</v>
      </c>
      <c r="S939" s="6" t="str">
        <f>IFERROR(__xludf.DUMMYFUNCTION("""COMPUTED_VALUE""")," ")</f>
        <v> </v>
      </c>
      <c r="T939" s="6" t="str">
        <f>IFERROR(__xludf.DUMMYFUNCTION("""COMPUTED_VALUE"""),"")</f>
        <v/>
      </c>
      <c r="U939" s="6" t="str">
        <f>IFERROR(__xludf.DUMMYFUNCTION("""COMPUTED_VALUE"""),"3")</f>
        <v>3</v>
      </c>
      <c r="V939" s="6" t="str">
        <f>IFERROR(__xludf.DUMMYFUNCTION("""COMPUTED_VALUE"""),"English")</f>
        <v>English</v>
      </c>
      <c r="W939" s="6" t="str">
        <f>IFERROR(__xludf.DUMMYFUNCTION("""COMPUTED_VALUE"""),"[]")</f>
        <v>[]</v>
      </c>
      <c r="X939" s="6" t="str">
        <f>IFERROR(__xludf.DUMMYFUNCTION("""COMPUTED_VALUE"""),"Enrolled")</f>
        <v>Enrolled</v>
      </c>
    </row>
    <row r="940">
      <c r="A940" s="6" t="str">
        <f>IFERROR(__xludf.DUMMYFUNCTION("""COMPUTED_VALUE"""),"009-1063")</f>
        <v>009-1063</v>
      </c>
      <c r="B940" s="6" t="str">
        <f>IFERROR(__xludf.DUMMYFUNCTION("""COMPUTED_VALUE"""),"9")</f>
        <v>9</v>
      </c>
      <c r="C940" s="6" t="str">
        <f>IFERROR(__xludf.DUMMYFUNCTION("""COMPUTED_VALUE"""),"1063")</f>
        <v>1063</v>
      </c>
      <c r="D940" s="6" t="str">
        <f>IFERROR(__xludf.DUMMYFUNCTION("""COMPUTED_VALUE"""),"Kyrylo")</f>
        <v>Kyrylo</v>
      </c>
      <c r="E940" s="6" t="str">
        <f>IFERROR(__xludf.DUMMYFUNCTION("""COMPUTED_VALUE"""),"")</f>
        <v/>
      </c>
      <c r="F940" s="6" t="str">
        <f>IFERROR(__xludf.DUMMYFUNCTION("""COMPUTED_VALUE"""),"Kotov")</f>
        <v>Kotov</v>
      </c>
      <c r="G940" s="6" t="str">
        <f>IFERROR(__xludf.DUMMYFUNCTION("""COMPUTED_VALUE"""),"01/01/2016")</f>
        <v>01/01/2016</v>
      </c>
      <c r="H940" s="6" t="str">
        <f>IFERROR(__xludf.DUMMYFUNCTION("""COMPUTED_VALUE"""),"Self Identify")</f>
        <v>Self Identify</v>
      </c>
      <c r="I940" s="6" t="str">
        <f>IFERROR(__xludf.DUMMYFUNCTION("""COMPUTED_VALUE"""),"Level 1")</f>
        <v>Level 1</v>
      </c>
      <c r="J940" s="6" t="str">
        <f>IFERROR(__xludf.DUMMYFUNCTION("""COMPUTED_VALUE"""),"3")</f>
        <v>3</v>
      </c>
      <c r="K940" s="6" t="str">
        <f>IFERROR(__xludf.DUMMYFUNCTION("""COMPUTED_VALUE"""),"kyrylo.kotov@2hourlearning.com")</f>
        <v>kyrylo.kotov@2hourlearning.com</v>
      </c>
      <c r="L940" s="6" t="str">
        <f>IFERROR(__xludf.DUMMYFUNCTION("""COMPUTED_VALUE"""),"Learn and Earn Poland")</f>
        <v>Learn and Earn Poland</v>
      </c>
      <c r="M940" s="6" t="str">
        <f>IFERROR(__xludf.DUMMYFUNCTION("""COMPUTED_VALUE"""),"")</f>
        <v/>
      </c>
      <c r="N940" s="6" t="str">
        <f>IFERROR(__xludf.DUMMYFUNCTION("""COMPUTED_VALUE"""),"")</f>
        <v/>
      </c>
      <c r="O940" s="87" t="str">
        <f>IFERROR(__xludf.DUMMYFUNCTION("""COMPUTED_VALUE"""),"https://drive.google.com/drive/folders/10T2cTQHqEJZqE-st6uFKPoI?usp=share_link")</f>
        <v>https://drive.google.com/drive/folders/10T2cTQHqEJZqE-st6uFKPoI?usp=share_link</v>
      </c>
      <c r="P940" s="6" t="str">
        <f>IFERROR(__xludf.DUMMYFUNCTION("""COMPUTED_VALUE"""),"Kyrylo Kotov")</f>
        <v>Kyrylo Kotov</v>
      </c>
      <c r="Q940" s="6" t="str">
        <f>IFERROR(__xludf.DUMMYFUNCTION("""COMPUTED_VALUE"""),"L1")</f>
        <v>L1</v>
      </c>
      <c r="R940" s="6">
        <f>IFERROR(__xludf.DUMMYFUNCTION("""COMPUTED_VALUE"""),1.0)</f>
        <v>1</v>
      </c>
      <c r="S940" s="6" t="str">
        <f>IFERROR(__xludf.DUMMYFUNCTION("""COMPUTED_VALUE""")," ")</f>
        <v> </v>
      </c>
      <c r="T940" s="6" t="str">
        <f>IFERROR(__xludf.DUMMYFUNCTION("""COMPUTED_VALUE"""),"")</f>
        <v/>
      </c>
      <c r="U940" s="6" t="str">
        <f>IFERROR(__xludf.DUMMYFUNCTION("""COMPUTED_VALUE"""),"3")</f>
        <v>3</v>
      </c>
      <c r="V940" s="6" t="str">
        <f>IFERROR(__xludf.DUMMYFUNCTION("""COMPUTED_VALUE"""),"English")</f>
        <v>English</v>
      </c>
      <c r="W940" s="6" t="str">
        <f>IFERROR(__xludf.DUMMYFUNCTION("""COMPUTED_VALUE"""),"[]")</f>
        <v>[]</v>
      </c>
      <c r="X940" s="6" t="str">
        <f>IFERROR(__xludf.DUMMYFUNCTION("""COMPUTED_VALUE"""),"Enrolled")</f>
        <v>Enrolled</v>
      </c>
    </row>
    <row r="941">
      <c r="A941" s="6" t="str">
        <f>IFERROR(__xludf.DUMMYFUNCTION("""COMPUTED_VALUE"""),"009-1064")</f>
        <v>009-1064</v>
      </c>
      <c r="B941" s="6" t="str">
        <f>IFERROR(__xludf.DUMMYFUNCTION("""COMPUTED_VALUE"""),"9")</f>
        <v>9</v>
      </c>
      <c r="C941" s="6" t="str">
        <f>IFERROR(__xludf.DUMMYFUNCTION("""COMPUTED_VALUE"""),"1064")</f>
        <v>1064</v>
      </c>
      <c r="D941" s="6" t="str">
        <f>IFERROR(__xludf.DUMMYFUNCTION("""COMPUTED_VALUE"""),"Sofiia")</f>
        <v>Sofiia</v>
      </c>
      <c r="E941" s="6" t="str">
        <f>IFERROR(__xludf.DUMMYFUNCTION("""COMPUTED_VALUE"""),"")</f>
        <v/>
      </c>
      <c r="F941" s="6" t="str">
        <f>IFERROR(__xludf.DUMMYFUNCTION("""COMPUTED_VALUE"""),"Lebedieva")</f>
        <v>Lebedieva</v>
      </c>
      <c r="G941" s="6" t="str">
        <f>IFERROR(__xludf.DUMMYFUNCTION("""COMPUTED_VALUE"""),"01/01/2016")</f>
        <v>01/01/2016</v>
      </c>
      <c r="H941" s="6" t="str">
        <f>IFERROR(__xludf.DUMMYFUNCTION("""COMPUTED_VALUE"""),"Self Identify")</f>
        <v>Self Identify</v>
      </c>
      <c r="I941" s="6" t="str">
        <f>IFERROR(__xludf.DUMMYFUNCTION("""COMPUTED_VALUE"""),"Level 1")</f>
        <v>Level 1</v>
      </c>
      <c r="J941" s="6" t="str">
        <f>IFERROR(__xludf.DUMMYFUNCTION("""COMPUTED_VALUE"""),"3")</f>
        <v>3</v>
      </c>
      <c r="K941" s="6" t="str">
        <f>IFERROR(__xludf.DUMMYFUNCTION("""COMPUTED_VALUE"""),"sofiia.lebedieva@2hourlearning.com")</f>
        <v>sofiia.lebedieva@2hourlearning.com</v>
      </c>
      <c r="L941" s="6" t="str">
        <f>IFERROR(__xludf.DUMMYFUNCTION("""COMPUTED_VALUE"""),"Learn and Earn Poland")</f>
        <v>Learn and Earn Poland</v>
      </c>
      <c r="M941" s="6" t="str">
        <f>IFERROR(__xludf.DUMMYFUNCTION("""COMPUTED_VALUE"""),"")</f>
        <v/>
      </c>
      <c r="N941" s="6" t="str">
        <f>IFERROR(__xludf.DUMMYFUNCTION("""COMPUTED_VALUE"""),"")</f>
        <v/>
      </c>
      <c r="O941" s="87" t="str">
        <f>IFERROR(__xludf.DUMMYFUNCTION("""COMPUTED_VALUE"""),"https://drive.google.com/drive/folders/10T2cTQHqEJZqE-st6uFKPoI?usp=share_link")</f>
        <v>https://drive.google.com/drive/folders/10T2cTQHqEJZqE-st6uFKPoI?usp=share_link</v>
      </c>
      <c r="P941" s="6" t="str">
        <f>IFERROR(__xludf.DUMMYFUNCTION("""COMPUTED_VALUE"""),"Sofiia Lebedieva")</f>
        <v>Sofiia Lebedieva</v>
      </c>
      <c r="Q941" s="6" t="str">
        <f>IFERROR(__xludf.DUMMYFUNCTION("""COMPUTED_VALUE"""),"L1")</f>
        <v>L1</v>
      </c>
      <c r="R941" s="6">
        <f>IFERROR(__xludf.DUMMYFUNCTION("""COMPUTED_VALUE"""),1.0)</f>
        <v>1</v>
      </c>
      <c r="S941" s="6" t="str">
        <f>IFERROR(__xludf.DUMMYFUNCTION("""COMPUTED_VALUE""")," ")</f>
        <v> </v>
      </c>
      <c r="T941" s="6" t="str">
        <f>IFERROR(__xludf.DUMMYFUNCTION("""COMPUTED_VALUE"""),"")</f>
        <v/>
      </c>
      <c r="U941" s="6" t="str">
        <f>IFERROR(__xludf.DUMMYFUNCTION("""COMPUTED_VALUE"""),"3")</f>
        <v>3</v>
      </c>
      <c r="V941" s="6" t="str">
        <f>IFERROR(__xludf.DUMMYFUNCTION("""COMPUTED_VALUE"""),"English")</f>
        <v>English</v>
      </c>
      <c r="W941" s="6" t="str">
        <f>IFERROR(__xludf.DUMMYFUNCTION("""COMPUTED_VALUE"""),"[]")</f>
        <v>[]</v>
      </c>
      <c r="X941" s="6" t="str">
        <f>IFERROR(__xludf.DUMMYFUNCTION("""COMPUTED_VALUE"""),"Enrolled")</f>
        <v>Enrolled</v>
      </c>
    </row>
    <row r="942">
      <c r="A942" s="6" t="str">
        <f>IFERROR(__xludf.DUMMYFUNCTION("""COMPUTED_VALUE"""),"009-1065")</f>
        <v>009-1065</v>
      </c>
      <c r="B942" s="6" t="str">
        <f>IFERROR(__xludf.DUMMYFUNCTION("""COMPUTED_VALUE"""),"9")</f>
        <v>9</v>
      </c>
      <c r="C942" s="6" t="str">
        <f>IFERROR(__xludf.DUMMYFUNCTION("""COMPUTED_VALUE"""),"1065")</f>
        <v>1065</v>
      </c>
      <c r="D942" s="6" t="str">
        <f>IFERROR(__xludf.DUMMYFUNCTION("""COMPUTED_VALUE"""),"Anastasiia")</f>
        <v>Anastasiia</v>
      </c>
      <c r="E942" s="6" t="str">
        <f>IFERROR(__xludf.DUMMYFUNCTION("""COMPUTED_VALUE"""),"")</f>
        <v/>
      </c>
      <c r="F942" s="6" t="str">
        <f>IFERROR(__xludf.DUMMYFUNCTION("""COMPUTED_VALUE"""),"Stoliarchuk")</f>
        <v>Stoliarchuk</v>
      </c>
      <c r="G942" s="6" t="str">
        <f>IFERROR(__xludf.DUMMYFUNCTION("""COMPUTED_VALUE"""),"01/01/2015")</f>
        <v>01/01/2015</v>
      </c>
      <c r="H942" s="6" t="str">
        <f>IFERROR(__xludf.DUMMYFUNCTION("""COMPUTED_VALUE"""),"Self Identify")</f>
        <v>Self Identify</v>
      </c>
      <c r="I942" s="6" t="str">
        <f>IFERROR(__xludf.DUMMYFUNCTION("""COMPUTED_VALUE"""),"Level 2")</f>
        <v>Level 2</v>
      </c>
      <c r="J942" s="6" t="str">
        <f>IFERROR(__xludf.DUMMYFUNCTION("""COMPUTED_VALUE"""),"4")</f>
        <v>4</v>
      </c>
      <c r="K942" s="6" t="str">
        <f>IFERROR(__xludf.DUMMYFUNCTION("""COMPUTED_VALUE"""),"anastasiia.stoliarchuk@2hourlearning.com")</f>
        <v>anastasiia.stoliarchuk@2hourlearning.com</v>
      </c>
      <c r="L942" s="6" t="str">
        <f>IFERROR(__xludf.DUMMYFUNCTION("""COMPUTED_VALUE"""),"Learn and Earn Poland")</f>
        <v>Learn and Earn Poland</v>
      </c>
      <c r="M942" s="6" t="str">
        <f>IFERROR(__xludf.DUMMYFUNCTION("""COMPUTED_VALUE"""),"")</f>
        <v/>
      </c>
      <c r="N942" s="6" t="str">
        <f>IFERROR(__xludf.DUMMYFUNCTION("""COMPUTED_VALUE"""),"")</f>
        <v/>
      </c>
      <c r="O942" s="87" t="str">
        <f>IFERROR(__xludf.DUMMYFUNCTION("""COMPUTED_VALUE"""),"https://drive.google.com/drive/folders/10T2cTQHqEJZqE-st6uFKPoI?usp=share_link")</f>
        <v>https://drive.google.com/drive/folders/10T2cTQHqEJZqE-st6uFKPoI?usp=share_link</v>
      </c>
      <c r="P942" s="6" t="str">
        <f>IFERROR(__xludf.DUMMYFUNCTION("""COMPUTED_VALUE"""),"Anastasiia Stoliarchuk")</f>
        <v>Anastasiia Stoliarchuk</v>
      </c>
      <c r="Q942" s="6" t="str">
        <f>IFERROR(__xludf.DUMMYFUNCTION("""COMPUTED_VALUE"""),"L2")</f>
        <v>L2</v>
      </c>
      <c r="R942" s="6">
        <f>IFERROR(__xludf.DUMMYFUNCTION("""COMPUTED_VALUE"""),2.0)</f>
        <v>2</v>
      </c>
      <c r="S942" s="6" t="str">
        <f>IFERROR(__xludf.DUMMYFUNCTION("""COMPUTED_VALUE""")," ")</f>
        <v> </v>
      </c>
      <c r="T942" s="6" t="str">
        <f>IFERROR(__xludf.DUMMYFUNCTION("""COMPUTED_VALUE"""),"")</f>
        <v/>
      </c>
      <c r="U942" s="6" t="str">
        <f>IFERROR(__xludf.DUMMYFUNCTION("""COMPUTED_VALUE"""),"4")</f>
        <v>4</v>
      </c>
      <c r="V942" s="6" t="str">
        <f>IFERROR(__xludf.DUMMYFUNCTION("""COMPUTED_VALUE"""),"English")</f>
        <v>English</v>
      </c>
      <c r="W942" s="6" t="str">
        <f>IFERROR(__xludf.DUMMYFUNCTION("""COMPUTED_VALUE"""),"[]")</f>
        <v>[]</v>
      </c>
      <c r="X942" s="6" t="str">
        <f>IFERROR(__xludf.DUMMYFUNCTION("""COMPUTED_VALUE"""),"Enrolled")</f>
        <v>Enrolled</v>
      </c>
    </row>
    <row r="943">
      <c r="A943" s="6" t="str">
        <f>IFERROR(__xludf.DUMMYFUNCTION("""COMPUTED_VALUE"""),"009-1066")</f>
        <v>009-1066</v>
      </c>
      <c r="B943" s="6" t="str">
        <f>IFERROR(__xludf.DUMMYFUNCTION("""COMPUTED_VALUE"""),"9")</f>
        <v>9</v>
      </c>
      <c r="C943" s="6" t="str">
        <f>IFERROR(__xludf.DUMMYFUNCTION("""COMPUTED_VALUE"""),"1066")</f>
        <v>1066</v>
      </c>
      <c r="D943" s="6" t="str">
        <f>IFERROR(__xludf.DUMMYFUNCTION("""COMPUTED_VALUE"""),"Aryna")</f>
        <v>Aryna</v>
      </c>
      <c r="E943" s="6" t="str">
        <f>IFERROR(__xludf.DUMMYFUNCTION("""COMPUTED_VALUE"""),"")</f>
        <v/>
      </c>
      <c r="F943" s="6" t="str">
        <f>IFERROR(__xludf.DUMMYFUNCTION("""COMPUTED_VALUE"""),"Artemieva")</f>
        <v>Artemieva</v>
      </c>
      <c r="G943" s="6" t="str">
        <f>IFERROR(__xludf.DUMMYFUNCTION("""COMPUTED_VALUE"""),"01/01/2015")</f>
        <v>01/01/2015</v>
      </c>
      <c r="H943" s="6" t="str">
        <f>IFERROR(__xludf.DUMMYFUNCTION("""COMPUTED_VALUE"""),"Self Identify")</f>
        <v>Self Identify</v>
      </c>
      <c r="I943" s="6" t="str">
        <f>IFERROR(__xludf.DUMMYFUNCTION("""COMPUTED_VALUE"""),"Level 2")</f>
        <v>Level 2</v>
      </c>
      <c r="J943" s="6" t="str">
        <f>IFERROR(__xludf.DUMMYFUNCTION("""COMPUTED_VALUE"""),"4")</f>
        <v>4</v>
      </c>
      <c r="K943" s="6" t="str">
        <f>IFERROR(__xludf.DUMMYFUNCTION("""COMPUTED_VALUE"""),"aryna.artemieva@2hourlearning.com")</f>
        <v>aryna.artemieva@2hourlearning.com</v>
      </c>
      <c r="L943" s="6" t="str">
        <f>IFERROR(__xludf.DUMMYFUNCTION("""COMPUTED_VALUE"""),"Learn and Earn Poland")</f>
        <v>Learn and Earn Poland</v>
      </c>
      <c r="M943" s="6" t="str">
        <f>IFERROR(__xludf.DUMMYFUNCTION("""COMPUTED_VALUE"""),"")</f>
        <v/>
      </c>
      <c r="N943" s="6" t="str">
        <f>IFERROR(__xludf.DUMMYFUNCTION("""COMPUTED_VALUE"""),"")</f>
        <v/>
      </c>
      <c r="O943" s="87" t="str">
        <f>IFERROR(__xludf.DUMMYFUNCTION("""COMPUTED_VALUE"""),"https://drive.google.com/drive/folders/10T2cTQHqEJZqE-st6uFKPoI?usp=share_link")</f>
        <v>https://drive.google.com/drive/folders/10T2cTQHqEJZqE-st6uFKPoI?usp=share_link</v>
      </c>
      <c r="P943" s="6" t="str">
        <f>IFERROR(__xludf.DUMMYFUNCTION("""COMPUTED_VALUE"""),"Aryna Artemieva")</f>
        <v>Aryna Artemieva</v>
      </c>
      <c r="Q943" s="6" t="str">
        <f>IFERROR(__xludf.DUMMYFUNCTION("""COMPUTED_VALUE"""),"L2")</f>
        <v>L2</v>
      </c>
      <c r="R943" s="6">
        <f>IFERROR(__xludf.DUMMYFUNCTION("""COMPUTED_VALUE"""),2.0)</f>
        <v>2</v>
      </c>
      <c r="S943" s="6" t="str">
        <f>IFERROR(__xludf.DUMMYFUNCTION("""COMPUTED_VALUE""")," ")</f>
        <v> </v>
      </c>
      <c r="T943" s="6" t="str">
        <f>IFERROR(__xludf.DUMMYFUNCTION("""COMPUTED_VALUE"""),"")</f>
        <v/>
      </c>
      <c r="U943" s="6" t="str">
        <f>IFERROR(__xludf.DUMMYFUNCTION("""COMPUTED_VALUE"""),"4")</f>
        <v>4</v>
      </c>
      <c r="V943" s="6" t="str">
        <f>IFERROR(__xludf.DUMMYFUNCTION("""COMPUTED_VALUE"""),"English")</f>
        <v>English</v>
      </c>
      <c r="W943" s="6" t="str">
        <f>IFERROR(__xludf.DUMMYFUNCTION("""COMPUTED_VALUE"""),"[]")</f>
        <v>[]</v>
      </c>
      <c r="X943" s="6" t="str">
        <f>IFERROR(__xludf.DUMMYFUNCTION("""COMPUTED_VALUE"""),"Enrolled")</f>
        <v>Enrolled</v>
      </c>
    </row>
    <row r="944">
      <c r="A944" s="6" t="str">
        <f>IFERROR(__xludf.DUMMYFUNCTION("""COMPUTED_VALUE"""),"009-1067")</f>
        <v>009-1067</v>
      </c>
      <c r="B944" s="6" t="str">
        <f>IFERROR(__xludf.DUMMYFUNCTION("""COMPUTED_VALUE"""),"9")</f>
        <v>9</v>
      </c>
      <c r="C944" s="6" t="str">
        <f>IFERROR(__xludf.DUMMYFUNCTION("""COMPUTED_VALUE"""),"1067")</f>
        <v>1067</v>
      </c>
      <c r="D944" s="6" t="str">
        <f>IFERROR(__xludf.DUMMYFUNCTION("""COMPUTED_VALUE"""),"Bohdan")</f>
        <v>Bohdan</v>
      </c>
      <c r="E944" s="6" t="str">
        <f>IFERROR(__xludf.DUMMYFUNCTION("""COMPUTED_VALUE"""),"")</f>
        <v/>
      </c>
      <c r="F944" s="6" t="str">
        <f>IFERROR(__xludf.DUMMYFUNCTION("""COMPUTED_VALUE"""),"Pasechnyk")</f>
        <v>Pasechnyk</v>
      </c>
      <c r="G944" s="6" t="str">
        <f>IFERROR(__xludf.DUMMYFUNCTION("""COMPUTED_VALUE"""),"01/01/2015")</f>
        <v>01/01/2015</v>
      </c>
      <c r="H944" s="6" t="str">
        <f>IFERROR(__xludf.DUMMYFUNCTION("""COMPUTED_VALUE"""),"Self Identify")</f>
        <v>Self Identify</v>
      </c>
      <c r="I944" s="6" t="str">
        <f>IFERROR(__xludf.DUMMYFUNCTION("""COMPUTED_VALUE"""),"Level 2")</f>
        <v>Level 2</v>
      </c>
      <c r="J944" s="6" t="str">
        <f>IFERROR(__xludf.DUMMYFUNCTION("""COMPUTED_VALUE"""),"4")</f>
        <v>4</v>
      </c>
      <c r="K944" s="6" t="str">
        <f>IFERROR(__xludf.DUMMYFUNCTION("""COMPUTED_VALUE"""),"bohdan.pasechnyk@2hourlearning.com")</f>
        <v>bohdan.pasechnyk@2hourlearning.com</v>
      </c>
      <c r="L944" s="6" t="str">
        <f>IFERROR(__xludf.DUMMYFUNCTION("""COMPUTED_VALUE"""),"Learn and Earn Poland")</f>
        <v>Learn and Earn Poland</v>
      </c>
      <c r="M944" s="6" t="str">
        <f>IFERROR(__xludf.DUMMYFUNCTION("""COMPUTED_VALUE"""),"")</f>
        <v/>
      </c>
      <c r="N944" s="6" t="str">
        <f>IFERROR(__xludf.DUMMYFUNCTION("""COMPUTED_VALUE"""),"")</f>
        <v/>
      </c>
      <c r="O944" s="87" t="str">
        <f>IFERROR(__xludf.DUMMYFUNCTION("""COMPUTED_VALUE"""),"https://drive.google.com/drive/folders/10T2cTQHqEJZqE-st6uFKPoI?usp=share_link")</f>
        <v>https://drive.google.com/drive/folders/10T2cTQHqEJZqE-st6uFKPoI?usp=share_link</v>
      </c>
      <c r="P944" s="6" t="str">
        <f>IFERROR(__xludf.DUMMYFUNCTION("""COMPUTED_VALUE"""),"Bohdan Pasechnyk")</f>
        <v>Bohdan Pasechnyk</v>
      </c>
      <c r="Q944" s="6" t="str">
        <f>IFERROR(__xludf.DUMMYFUNCTION("""COMPUTED_VALUE"""),"L2")</f>
        <v>L2</v>
      </c>
      <c r="R944" s="6">
        <f>IFERROR(__xludf.DUMMYFUNCTION("""COMPUTED_VALUE"""),2.0)</f>
        <v>2</v>
      </c>
      <c r="S944" s="6" t="str">
        <f>IFERROR(__xludf.DUMMYFUNCTION("""COMPUTED_VALUE""")," ")</f>
        <v> </v>
      </c>
      <c r="T944" s="6" t="str">
        <f>IFERROR(__xludf.DUMMYFUNCTION("""COMPUTED_VALUE"""),"")</f>
        <v/>
      </c>
      <c r="U944" s="6" t="str">
        <f>IFERROR(__xludf.DUMMYFUNCTION("""COMPUTED_VALUE"""),"4")</f>
        <v>4</v>
      </c>
      <c r="V944" s="6" t="str">
        <f>IFERROR(__xludf.DUMMYFUNCTION("""COMPUTED_VALUE"""),"English")</f>
        <v>English</v>
      </c>
      <c r="W944" s="6" t="str">
        <f>IFERROR(__xludf.DUMMYFUNCTION("""COMPUTED_VALUE"""),"[]")</f>
        <v>[]</v>
      </c>
      <c r="X944" s="6" t="str">
        <f>IFERROR(__xludf.DUMMYFUNCTION("""COMPUTED_VALUE"""),"Enrolled")</f>
        <v>Enrolled</v>
      </c>
    </row>
    <row r="945">
      <c r="A945" s="6" t="str">
        <f>IFERROR(__xludf.DUMMYFUNCTION("""COMPUTED_VALUE"""),"009-1068")</f>
        <v>009-1068</v>
      </c>
      <c r="B945" s="6" t="str">
        <f>IFERROR(__xludf.DUMMYFUNCTION("""COMPUTED_VALUE"""),"9")</f>
        <v>9</v>
      </c>
      <c r="C945" s="6" t="str">
        <f>IFERROR(__xludf.DUMMYFUNCTION("""COMPUTED_VALUE"""),"1068")</f>
        <v>1068</v>
      </c>
      <c r="D945" s="6" t="str">
        <f>IFERROR(__xludf.DUMMYFUNCTION("""COMPUTED_VALUE"""),"Protsenko")</f>
        <v>Protsenko</v>
      </c>
      <c r="E945" s="6" t="str">
        <f>IFERROR(__xludf.DUMMYFUNCTION("""COMPUTED_VALUE"""),"")</f>
        <v/>
      </c>
      <c r="F945" s="6" t="str">
        <f>IFERROR(__xludf.DUMMYFUNCTION("""COMPUTED_VALUE"""),"Danylo")</f>
        <v>Danylo</v>
      </c>
      <c r="G945" s="6" t="str">
        <f>IFERROR(__xludf.DUMMYFUNCTION("""COMPUTED_VALUE"""),"01/01/2015")</f>
        <v>01/01/2015</v>
      </c>
      <c r="H945" s="6" t="str">
        <f>IFERROR(__xludf.DUMMYFUNCTION("""COMPUTED_VALUE"""),"Self Identify")</f>
        <v>Self Identify</v>
      </c>
      <c r="I945" s="6" t="str">
        <f>IFERROR(__xludf.DUMMYFUNCTION("""COMPUTED_VALUE"""),"Level 2")</f>
        <v>Level 2</v>
      </c>
      <c r="J945" s="6" t="str">
        <f>IFERROR(__xludf.DUMMYFUNCTION("""COMPUTED_VALUE"""),"4")</f>
        <v>4</v>
      </c>
      <c r="K945" s="6" t="str">
        <f>IFERROR(__xludf.DUMMYFUNCTION("""COMPUTED_VALUE"""),"protsenko.danylo@2hourlearning.com")</f>
        <v>protsenko.danylo@2hourlearning.com</v>
      </c>
      <c r="L945" s="6" t="str">
        <f>IFERROR(__xludf.DUMMYFUNCTION("""COMPUTED_VALUE"""),"Learn and Earn Poland")</f>
        <v>Learn and Earn Poland</v>
      </c>
      <c r="M945" s="6" t="str">
        <f>IFERROR(__xludf.DUMMYFUNCTION("""COMPUTED_VALUE"""),"")</f>
        <v/>
      </c>
      <c r="N945" s="6" t="str">
        <f>IFERROR(__xludf.DUMMYFUNCTION("""COMPUTED_VALUE"""),"")</f>
        <v/>
      </c>
      <c r="O945" s="87" t="str">
        <f>IFERROR(__xludf.DUMMYFUNCTION("""COMPUTED_VALUE"""),"https://drive.google.com/drive/folders/10T2cTQHqEJZqE-st6uFKPoI?usp=share_link")</f>
        <v>https://drive.google.com/drive/folders/10T2cTQHqEJZqE-st6uFKPoI?usp=share_link</v>
      </c>
      <c r="P945" s="6" t="str">
        <f>IFERROR(__xludf.DUMMYFUNCTION("""COMPUTED_VALUE"""),"Protsenko Danylo")</f>
        <v>Protsenko Danylo</v>
      </c>
      <c r="Q945" s="6" t="str">
        <f>IFERROR(__xludf.DUMMYFUNCTION("""COMPUTED_VALUE"""),"L2")</f>
        <v>L2</v>
      </c>
      <c r="R945" s="6">
        <f>IFERROR(__xludf.DUMMYFUNCTION("""COMPUTED_VALUE"""),2.0)</f>
        <v>2</v>
      </c>
      <c r="S945" s="6" t="str">
        <f>IFERROR(__xludf.DUMMYFUNCTION("""COMPUTED_VALUE""")," ")</f>
        <v> </v>
      </c>
      <c r="T945" s="6" t="str">
        <f>IFERROR(__xludf.DUMMYFUNCTION("""COMPUTED_VALUE"""),"")</f>
        <v/>
      </c>
      <c r="U945" s="6" t="str">
        <f>IFERROR(__xludf.DUMMYFUNCTION("""COMPUTED_VALUE"""),"4")</f>
        <v>4</v>
      </c>
      <c r="V945" s="6" t="str">
        <f>IFERROR(__xludf.DUMMYFUNCTION("""COMPUTED_VALUE"""),"English")</f>
        <v>English</v>
      </c>
      <c r="W945" s="6" t="str">
        <f>IFERROR(__xludf.DUMMYFUNCTION("""COMPUTED_VALUE"""),"[]")</f>
        <v>[]</v>
      </c>
      <c r="X945" s="6" t="str">
        <f>IFERROR(__xludf.DUMMYFUNCTION("""COMPUTED_VALUE"""),"Enrolled")</f>
        <v>Enrolled</v>
      </c>
    </row>
    <row r="946">
      <c r="A946" s="6" t="str">
        <f>IFERROR(__xludf.DUMMYFUNCTION("""COMPUTED_VALUE"""),"009-1069")</f>
        <v>009-1069</v>
      </c>
      <c r="B946" s="6" t="str">
        <f>IFERROR(__xludf.DUMMYFUNCTION("""COMPUTED_VALUE"""),"9")</f>
        <v>9</v>
      </c>
      <c r="C946" s="6" t="str">
        <f>IFERROR(__xludf.DUMMYFUNCTION("""COMPUTED_VALUE"""),"1069")</f>
        <v>1069</v>
      </c>
      <c r="D946" s="6" t="str">
        <f>IFERROR(__xludf.DUMMYFUNCTION("""COMPUTED_VALUE"""),"Svitlana")</f>
        <v>Svitlana</v>
      </c>
      <c r="E946" s="6" t="str">
        <f>IFERROR(__xludf.DUMMYFUNCTION("""COMPUTED_VALUE"""),"")</f>
        <v/>
      </c>
      <c r="F946" s="6" t="str">
        <f>IFERROR(__xludf.DUMMYFUNCTION("""COMPUTED_VALUE"""),"Prokhortseva")</f>
        <v>Prokhortseva</v>
      </c>
      <c r="G946" s="6" t="str">
        <f>IFERROR(__xludf.DUMMYFUNCTION("""COMPUTED_VALUE"""),"01/01/2014")</f>
        <v>01/01/2014</v>
      </c>
      <c r="H946" s="6" t="str">
        <f>IFERROR(__xludf.DUMMYFUNCTION("""COMPUTED_VALUE"""),"Self Identify")</f>
        <v>Self Identify</v>
      </c>
      <c r="I946" s="6" t="str">
        <f>IFERROR(__xludf.DUMMYFUNCTION("""COMPUTED_VALUE"""),"Level 2")</f>
        <v>Level 2</v>
      </c>
      <c r="J946" s="6" t="str">
        <f>IFERROR(__xludf.DUMMYFUNCTION("""COMPUTED_VALUE"""),"4")</f>
        <v>4</v>
      </c>
      <c r="K946" s="6" t="str">
        <f>IFERROR(__xludf.DUMMYFUNCTION("""COMPUTED_VALUE"""),"svitlana.prokhortseva@2hourlearning.com")</f>
        <v>svitlana.prokhortseva@2hourlearning.com</v>
      </c>
      <c r="L946" s="6" t="str">
        <f>IFERROR(__xludf.DUMMYFUNCTION("""COMPUTED_VALUE"""),"Learn and Earn Poland")</f>
        <v>Learn and Earn Poland</v>
      </c>
      <c r="M946" s="6" t="str">
        <f>IFERROR(__xludf.DUMMYFUNCTION("""COMPUTED_VALUE"""),"")</f>
        <v/>
      </c>
      <c r="N946" s="6" t="str">
        <f>IFERROR(__xludf.DUMMYFUNCTION("""COMPUTED_VALUE"""),"")</f>
        <v/>
      </c>
      <c r="O946" s="87" t="str">
        <f>IFERROR(__xludf.DUMMYFUNCTION("""COMPUTED_VALUE"""),"https://drive.google.com/drive/folders/10T2cTQHqEJZqE-st6uFKPoI?usp=share_link")</f>
        <v>https://drive.google.com/drive/folders/10T2cTQHqEJZqE-st6uFKPoI?usp=share_link</v>
      </c>
      <c r="P946" s="6" t="str">
        <f>IFERROR(__xludf.DUMMYFUNCTION("""COMPUTED_VALUE"""),"Svitlana Prokhortseva")</f>
        <v>Svitlana Prokhortseva</v>
      </c>
      <c r="Q946" s="6" t="str">
        <f>IFERROR(__xludf.DUMMYFUNCTION("""COMPUTED_VALUE"""),"L2")</f>
        <v>L2</v>
      </c>
      <c r="R946" s="6">
        <f>IFERROR(__xludf.DUMMYFUNCTION("""COMPUTED_VALUE"""),2.0)</f>
        <v>2</v>
      </c>
      <c r="S946" s="6" t="str">
        <f>IFERROR(__xludf.DUMMYFUNCTION("""COMPUTED_VALUE""")," ")</f>
        <v> </v>
      </c>
      <c r="T946" s="6" t="str">
        <f>IFERROR(__xludf.DUMMYFUNCTION("""COMPUTED_VALUE"""),"")</f>
        <v/>
      </c>
      <c r="U946" s="6" t="str">
        <f>IFERROR(__xludf.DUMMYFUNCTION("""COMPUTED_VALUE"""),"4")</f>
        <v>4</v>
      </c>
      <c r="V946" s="6" t="str">
        <f>IFERROR(__xludf.DUMMYFUNCTION("""COMPUTED_VALUE"""),"English")</f>
        <v>English</v>
      </c>
      <c r="W946" s="6" t="str">
        <f>IFERROR(__xludf.DUMMYFUNCTION("""COMPUTED_VALUE"""),"[]")</f>
        <v>[]</v>
      </c>
      <c r="X946" s="6" t="str">
        <f>IFERROR(__xludf.DUMMYFUNCTION("""COMPUTED_VALUE"""),"Enrolled")</f>
        <v>Enrolled</v>
      </c>
    </row>
    <row r="947">
      <c r="A947" s="6" t="str">
        <f>IFERROR(__xludf.DUMMYFUNCTION("""COMPUTED_VALUE"""),"009-1070")</f>
        <v>009-1070</v>
      </c>
      <c r="B947" s="6" t="str">
        <f>IFERROR(__xludf.DUMMYFUNCTION("""COMPUTED_VALUE"""),"9")</f>
        <v>9</v>
      </c>
      <c r="C947" s="6" t="str">
        <f>IFERROR(__xludf.DUMMYFUNCTION("""COMPUTED_VALUE"""),"1070")</f>
        <v>1070</v>
      </c>
      <c r="D947" s="6" t="str">
        <f>IFERROR(__xludf.DUMMYFUNCTION("""COMPUTED_VALUE"""),"Oleksandr")</f>
        <v>Oleksandr</v>
      </c>
      <c r="E947" s="6" t="str">
        <f>IFERROR(__xludf.DUMMYFUNCTION("""COMPUTED_VALUE"""),"")</f>
        <v/>
      </c>
      <c r="F947" s="6" t="str">
        <f>IFERROR(__xludf.DUMMYFUNCTION("""COMPUTED_VALUE"""),"Kaliuzhnyi")</f>
        <v>Kaliuzhnyi</v>
      </c>
      <c r="G947" s="6" t="str">
        <f>IFERROR(__xludf.DUMMYFUNCTION("""COMPUTED_VALUE"""),"01/01/2013")</f>
        <v>01/01/2013</v>
      </c>
      <c r="H947" s="6" t="str">
        <f>IFERROR(__xludf.DUMMYFUNCTION("""COMPUTED_VALUE"""),"Self Identify")</f>
        <v>Self Identify</v>
      </c>
      <c r="I947" s="6" t="str">
        <f>IFERROR(__xludf.DUMMYFUNCTION("""COMPUTED_VALUE"""),"Level 2")</f>
        <v>Level 2</v>
      </c>
      <c r="J947" s="6" t="str">
        <f>IFERROR(__xludf.DUMMYFUNCTION("""COMPUTED_VALUE"""),"5")</f>
        <v>5</v>
      </c>
      <c r="K947" s="6" t="str">
        <f>IFERROR(__xludf.DUMMYFUNCTION("""COMPUTED_VALUE"""),"oleksandr.kaliuzhnyi@2hourlearning.com")</f>
        <v>oleksandr.kaliuzhnyi@2hourlearning.com</v>
      </c>
      <c r="L947" s="6" t="str">
        <f>IFERROR(__xludf.DUMMYFUNCTION("""COMPUTED_VALUE"""),"Learn and Earn Poland")</f>
        <v>Learn and Earn Poland</v>
      </c>
      <c r="M947" s="6" t="str">
        <f>IFERROR(__xludf.DUMMYFUNCTION("""COMPUTED_VALUE"""),"")</f>
        <v/>
      </c>
      <c r="N947" s="6" t="str">
        <f>IFERROR(__xludf.DUMMYFUNCTION("""COMPUTED_VALUE"""),"")</f>
        <v/>
      </c>
      <c r="O947" s="87" t="str">
        <f>IFERROR(__xludf.DUMMYFUNCTION("""COMPUTED_VALUE"""),"https://drive.google.com/drive/folders/10T2cTQHqEJZqE-st6uFKPoI?usp=share_link")</f>
        <v>https://drive.google.com/drive/folders/10T2cTQHqEJZqE-st6uFKPoI?usp=share_link</v>
      </c>
      <c r="P947" s="6" t="str">
        <f>IFERROR(__xludf.DUMMYFUNCTION("""COMPUTED_VALUE"""),"Oleksandr Kaliuzhnyi")</f>
        <v>Oleksandr Kaliuzhnyi</v>
      </c>
      <c r="Q947" s="6" t="str">
        <f>IFERROR(__xludf.DUMMYFUNCTION("""COMPUTED_VALUE"""),"L2")</f>
        <v>L2</v>
      </c>
      <c r="R947" s="6">
        <f>IFERROR(__xludf.DUMMYFUNCTION("""COMPUTED_VALUE"""),2.0)</f>
        <v>2</v>
      </c>
      <c r="S947" s="6" t="str">
        <f>IFERROR(__xludf.DUMMYFUNCTION("""COMPUTED_VALUE""")," ")</f>
        <v> </v>
      </c>
      <c r="T947" s="6" t="str">
        <f>IFERROR(__xludf.DUMMYFUNCTION("""COMPUTED_VALUE"""),"")</f>
        <v/>
      </c>
      <c r="U947" s="6" t="str">
        <f>IFERROR(__xludf.DUMMYFUNCTION("""COMPUTED_VALUE"""),"5")</f>
        <v>5</v>
      </c>
      <c r="V947" s="6" t="str">
        <f>IFERROR(__xludf.DUMMYFUNCTION("""COMPUTED_VALUE"""),"English")</f>
        <v>English</v>
      </c>
      <c r="W947" s="6" t="str">
        <f>IFERROR(__xludf.DUMMYFUNCTION("""COMPUTED_VALUE"""),"[]")</f>
        <v>[]</v>
      </c>
      <c r="X947" s="6" t="str">
        <f>IFERROR(__xludf.DUMMYFUNCTION("""COMPUTED_VALUE"""),"Enrolled")</f>
        <v>Enrolled</v>
      </c>
    </row>
    <row r="948">
      <c r="A948" s="6" t="str">
        <f>IFERROR(__xludf.DUMMYFUNCTION("""COMPUTED_VALUE"""),"009-1071")</f>
        <v>009-1071</v>
      </c>
      <c r="B948" s="6" t="str">
        <f>IFERROR(__xludf.DUMMYFUNCTION("""COMPUTED_VALUE"""),"9")</f>
        <v>9</v>
      </c>
      <c r="C948" s="6" t="str">
        <f>IFERROR(__xludf.DUMMYFUNCTION("""COMPUTED_VALUE"""),"1071")</f>
        <v>1071</v>
      </c>
      <c r="D948" s="6" t="str">
        <f>IFERROR(__xludf.DUMMYFUNCTION("""COMPUTED_VALUE"""),"Denys")</f>
        <v>Denys</v>
      </c>
      <c r="E948" s="6" t="str">
        <f>IFERROR(__xludf.DUMMYFUNCTION("""COMPUTED_VALUE"""),"")</f>
        <v/>
      </c>
      <c r="F948" s="6" t="str">
        <f>IFERROR(__xludf.DUMMYFUNCTION("""COMPUTED_VALUE"""),"Nizelskyi")</f>
        <v>Nizelskyi</v>
      </c>
      <c r="G948" s="6" t="str">
        <f>IFERROR(__xludf.DUMMYFUNCTION("""COMPUTED_VALUE"""),"01/01/2013")</f>
        <v>01/01/2013</v>
      </c>
      <c r="H948" s="6" t="str">
        <f>IFERROR(__xludf.DUMMYFUNCTION("""COMPUTED_VALUE"""),"Self Identify")</f>
        <v>Self Identify</v>
      </c>
      <c r="I948" s="6" t="str">
        <f>IFERROR(__xludf.DUMMYFUNCTION("""COMPUTED_VALUE"""),"Middle School")</f>
        <v>Middle School</v>
      </c>
      <c r="J948" s="6" t="str">
        <f>IFERROR(__xludf.DUMMYFUNCTION("""COMPUTED_VALUE"""),"6")</f>
        <v>6</v>
      </c>
      <c r="K948" s="6" t="str">
        <f>IFERROR(__xludf.DUMMYFUNCTION("""COMPUTED_VALUE"""),"denys.nizelskyi@2hourlearning.com")</f>
        <v>denys.nizelskyi@2hourlearning.com</v>
      </c>
      <c r="L948" s="6" t="str">
        <f>IFERROR(__xludf.DUMMYFUNCTION("""COMPUTED_VALUE"""),"Learn and Earn Poland")</f>
        <v>Learn and Earn Poland</v>
      </c>
      <c r="M948" s="6" t="str">
        <f>IFERROR(__xludf.DUMMYFUNCTION("""COMPUTED_VALUE"""),"")</f>
        <v/>
      </c>
      <c r="N948" s="6" t="str">
        <f>IFERROR(__xludf.DUMMYFUNCTION("""COMPUTED_VALUE"""),"")</f>
        <v/>
      </c>
      <c r="O948" s="87" t="str">
        <f>IFERROR(__xludf.DUMMYFUNCTION("""COMPUTED_VALUE"""),"https://drive.google.com/drive/folders/10T2cTQHqEJZqE-st6uFKPoI?usp=share_link")</f>
        <v>https://drive.google.com/drive/folders/10T2cTQHqEJZqE-st6uFKPoI?usp=share_link</v>
      </c>
      <c r="P948" s="6" t="str">
        <f>IFERROR(__xludf.DUMMYFUNCTION("""COMPUTED_VALUE"""),"Denys Nizelskyi")</f>
        <v>Denys Nizelskyi</v>
      </c>
      <c r="Q948" s="6" t="str">
        <f>IFERROR(__xludf.DUMMYFUNCTION("""COMPUTED_VALUE"""),"MS")</f>
        <v>MS</v>
      </c>
      <c r="R948" s="6">
        <f>IFERROR(__xludf.DUMMYFUNCTION("""COMPUTED_VALUE"""),0.0)</f>
        <v>0</v>
      </c>
      <c r="S948" s="6" t="str">
        <f>IFERROR(__xludf.DUMMYFUNCTION("""COMPUTED_VALUE""")," ")</f>
        <v> </v>
      </c>
      <c r="T948" s="6" t="str">
        <f>IFERROR(__xludf.DUMMYFUNCTION("""COMPUTED_VALUE"""),"")</f>
        <v/>
      </c>
      <c r="U948" s="6" t="str">
        <f>IFERROR(__xludf.DUMMYFUNCTION("""COMPUTED_VALUE"""),"6")</f>
        <v>6</v>
      </c>
      <c r="V948" s="6" t="str">
        <f>IFERROR(__xludf.DUMMYFUNCTION("""COMPUTED_VALUE"""),"English")</f>
        <v>English</v>
      </c>
      <c r="W948" s="6" t="str">
        <f>IFERROR(__xludf.DUMMYFUNCTION("""COMPUTED_VALUE"""),"[]")</f>
        <v>[]</v>
      </c>
      <c r="X948" s="6" t="str">
        <f>IFERROR(__xludf.DUMMYFUNCTION("""COMPUTED_VALUE"""),"Enrolled")</f>
        <v>Enrolled</v>
      </c>
    </row>
    <row r="949">
      <c r="A949" s="6" t="str">
        <f>IFERROR(__xludf.DUMMYFUNCTION("""COMPUTED_VALUE"""),"009-1072")</f>
        <v>009-1072</v>
      </c>
      <c r="B949" s="6" t="str">
        <f>IFERROR(__xludf.DUMMYFUNCTION("""COMPUTED_VALUE"""),"9")</f>
        <v>9</v>
      </c>
      <c r="C949" s="6" t="str">
        <f>IFERROR(__xludf.DUMMYFUNCTION("""COMPUTED_VALUE"""),"1072")</f>
        <v>1072</v>
      </c>
      <c r="D949" s="6" t="str">
        <f>IFERROR(__xludf.DUMMYFUNCTION("""COMPUTED_VALUE"""),"Jaroslaw")</f>
        <v>Jaroslaw</v>
      </c>
      <c r="E949" s="6" t="str">
        <f>IFERROR(__xludf.DUMMYFUNCTION("""COMPUTED_VALUE"""),"")</f>
        <v/>
      </c>
      <c r="F949" s="6" t="str">
        <f>IFERROR(__xludf.DUMMYFUNCTION("""COMPUTED_VALUE"""),"Nizelskyi")</f>
        <v>Nizelskyi</v>
      </c>
      <c r="G949" s="6" t="str">
        <f>IFERROR(__xludf.DUMMYFUNCTION("""COMPUTED_VALUE"""),"01/01/2013")</f>
        <v>01/01/2013</v>
      </c>
      <c r="H949" s="6" t="str">
        <f>IFERROR(__xludf.DUMMYFUNCTION("""COMPUTED_VALUE"""),"Self Identify")</f>
        <v>Self Identify</v>
      </c>
      <c r="I949" s="6" t="str">
        <f>IFERROR(__xludf.DUMMYFUNCTION("""COMPUTED_VALUE"""),"Middle School")</f>
        <v>Middle School</v>
      </c>
      <c r="J949" s="6" t="str">
        <f>IFERROR(__xludf.DUMMYFUNCTION("""COMPUTED_VALUE"""),"6")</f>
        <v>6</v>
      </c>
      <c r="K949" s="6" t="str">
        <f>IFERROR(__xludf.DUMMYFUNCTION("""COMPUTED_VALUE"""),"jaroslaw.nizelskyi@2hourlearning.com")</f>
        <v>jaroslaw.nizelskyi@2hourlearning.com</v>
      </c>
      <c r="L949" s="6" t="str">
        <f>IFERROR(__xludf.DUMMYFUNCTION("""COMPUTED_VALUE"""),"Learn and Earn Poland")</f>
        <v>Learn and Earn Poland</v>
      </c>
      <c r="M949" s="6" t="str">
        <f>IFERROR(__xludf.DUMMYFUNCTION("""COMPUTED_VALUE"""),"")</f>
        <v/>
      </c>
      <c r="N949" s="6" t="str">
        <f>IFERROR(__xludf.DUMMYFUNCTION("""COMPUTED_VALUE"""),"")</f>
        <v/>
      </c>
      <c r="O949" s="87" t="str">
        <f>IFERROR(__xludf.DUMMYFUNCTION("""COMPUTED_VALUE"""),"https://drive.google.com/drive/folders/10T2cTQHqEJZqE-st6uFKPoI?usp=share_link")</f>
        <v>https://drive.google.com/drive/folders/10T2cTQHqEJZqE-st6uFKPoI?usp=share_link</v>
      </c>
      <c r="P949" s="6" t="str">
        <f>IFERROR(__xludf.DUMMYFUNCTION("""COMPUTED_VALUE"""),"Jaroslaw Nizelskyi")</f>
        <v>Jaroslaw Nizelskyi</v>
      </c>
      <c r="Q949" s="6" t="str">
        <f>IFERROR(__xludf.DUMMYFUNCTION("""COMPUTED_VALUE"""),"MS")</f>
        <v>MS</v>
      </c>
      <c r="R949" s="6">
        <f>IFERROR(__xludf.DUMMYFUNCTION("""COMPUTED_VALUE"""),0.0)</f>
        <v>0</v>
      </c>
      <c r="S949" s="6" t="str">
        <f>IFERROR(__xludf.DUMMYFUNCTION("""COMPUTED_VALUE""")," ")</f>
        <v> </v>
      </c>
      <c r="T949" s="6" t="str">
        <f>IFERROR(__xludf.DUMMYFUNCTION("""COMPUTED_VALUE"""),"")</f>
        <v/>
      </c>
      <c r="U949" s="6" t="str">
        <f>IFERROR(__xludf.DUMMYFUNCTION("""COMPUTED_VALUE"""),"6")</f>
        <v>6</v>
      </c>
      <c r="V949" s="6" t="str">
        <f>IFERROR(__xludf.DUMMYFUNCTION("""COMPUTED_VALUE"""),"English")</f>
        <v>English</v>
      </c>
      <c r="W949" s="6" t="str">
        <f>IFERROR(__xludf.DUMMYFUNCTION("""COMPUTED_VALUE"""),"[]")</f>
        <v>[]</v>
      </c>
      <c r="X949" s="6" t="str">
        <f>IFERROR(__xludf.DUMMYFUNCTION("""COMPUTED_VALUE"""),"Enrolled")</f>
        <v>Enrolled</v>
      </c>
    </row>
    <row r="950">
      <c r="A950" s="6" t="str">
        <f>IFERROR(__xludf.DUMMYFUNCTION("""COMPUTED_VALUE"""),"009-1073")</f>
        <v>009-1073</v>
      </c>
      <c r="B950" s="6" t="str">
        <f>IFERROR(__xludf.DUMMYFUNCTION("""COMPUTED_VALUE"""),"9")</f>
        <v>9</v>
      </c>
      <c r="C950" s="6" t="str">
        <f>IFERROR(__xludf.DUMMYFUNCTION("""COMPUTED_VALUE"""),"1073")</f>
        <v>1073</v>
      </c>
      <c r="D950" s="6" t="str">
        <f>IFERROR(__xludf.DUMMYFUNCTION("""COMPUTED_VALUE"""),"Kateryna")</f>
        <v>Kateryna</v>
      </c>
      <c r="E950" s="6" t="str">
        <f>IFERROR(__xludf.DUMMYFUNCTION("""COMPUTED_VALUE"""),"")</f>
        <v/>
      </c>
      <c r="F950" s="6" t="str">
        <f>IFERROR(__xludf.DUMMYFUNCTION("""COMPUTED_VALUE"""),"Romantseva")</f>
        <v>Romantseva</v>
      </c>
      <c r="G950" s="6" t="str">
        <f>IFERROR(__xludf.DUMMYFUNCTION("""COMPUTED_VALUE"""),"01/01/2013")</f>
        <v>01/01/2013</v>
      </c>
      <c r="H950" s="6" t="str">
        <f>IFERROR(__xludf.DUMMYFUNCTION("""COMPUTED_VALUE"""),"Self Identify")</f>
        <v>Self Identify</v>
      </c>
      <c r="I950" s="6" t="str">
        <f>IFERROR(__xludf.DUMMYFUNCTION("""COMPUTED_VALUE"""),"Middle School")</f>
        <v>Middle School</v>
      </c>
      <c r="J950" s="6" t="str">
        <f>IFERROR(__xludf.DUMMYFUNCTION("""COMPUTED_VALUE"""),"6")</f>
        <v>6</v>
      </c>
      <c r="K950" s="6" t="str">
        <f>IFERROR(__xludf.DUMMYFUNCTION("""COMPUTED_VALUE"""),"kateryna.romantseva@2hourlearning.com")</f>
        <v>kateryna.romantseva@2hourlearning.com</v>
      </c>
      <c r="L950" s="6" t="str">
        <f>IFERROR(__xludf.DUMMYFUNCTION("""COMPUTED_VALUE"""),"Learn and Earn Poland")</f>
        <v>Learn and Earn Poland</v>
      </c>
      <c r="M950" s="6" t="str">
        <f>IFERROR(__xludf.DUMMYFUNCTION("""COMPUTED_VALUE"""),"")</f>
        <v/>
      </c>
      <c r="N950" s="6" t="str">
        <f>IFERROR(__xludf.DUMMYFUNCTION("""COMPUTED_VALUE"""),"")</f>
        <v/>
      </c>
      <c r="O950" s="87" t="str">
        <f>IFERROR(__xludf.DUMMYFUNCTION("""COMPUTED_VALUE"""),"https://drive.google.com/drive/folders/10T2cTQHqEJZqE-st6uFKPoI?usp=share_link")</f>
        <v>https://drive.google.com/drive/folders/10T2cTQHqEJZqE-st6uFKPoI?usp=share_link</v>
      </c>
      <c r="P950" s="6" t="str">
        <f>IFERROR(__xludf.DUMMYFUNCTION("""COMPUTED_VALUE"""),"Kateryna Romantseva")</f>
        <v>Kateryna Romantseva</v>
      </c>
      <c r="Q950" s="6" t="str">
        <f>IFERROR(__xludf.DUMMYFUNCTION("""COMPUTED_VALUE"""),"MS")</f>
        <v>MS</v>
      </c>
      <c r="R950" s="6">
        <f>IFERROR(__xludf.DUMMYFUNCTION("""COMPUTED_VALUE"""),0.0)</f>
        <v>0</v>
      </c>
      <c r="S950" s="6" t="str">
        <f>IFERROR(__xludf.DUMMYFUNCTION("""COMPUTED_VALUE""")," ")</f>
        <v> </v>
      </c>
      <c r="T950" s="6" t="str">
        <f>IFERROR(__xludf.DUMMYFUNCTION("""COMPUTED_VALUE"""),"")</f>
        <v/>
      </c>
      <c r="U950" s="6" t="str">
        <f>IFERROR(__xludf.DUMMYFUNCTION("""COMPUTED_VALUE"""),"6")</f>
        <v>6</v>
      </c>
      <c r="V950" s="6" t="str">
        <f>IFERROR(__xludf.DUMMYFUNCTION("""COMPUTED_VALUE"""),"English")</f>
        <v>English</v>
      </c>
      <c r="W950" s="6" t="str">
        <f>IFERROR(__xludf.DUMMYFUNCTION("""COMPUTED_VALUE"""),"[]")</f>
        <v>[]</v>
      </c>
      <c r="X950" s="6" t="str">
        <f>IFERROR(__xludf.DUMMYFUNCTION("""COMPUTED_VALUE"""),"Enrolled")</f>
        <v>Enrolled</v>
      </c>
    </row>
    <row r="951">
      <c r="A951" s="6" t="str">
        <f>IFERROR(__xludf.DUMMYFUNCTION("""COMPUTED_VALUE"""),"009-1074")</f>
        <v>009-1074</v>
      </c>
      <c r="B951" s="6" t="str">
        <f>IFERROR(__xludf.DUMMYFUNCTION("""COMPUTED_VALUE"""),"9")</f>
        <v>9</v>
      </c>
      <c r="C951" s="6" t="str">
        <f>IFERROR(__xludf.DUMMYFUNCTION("""COMPUTED_VALUE"""),"1074")</f>
        <v>1074</v>
      </c>
      <c r="D951" s="6" t="str">
        <f>IFERROR(__xludf.DUMMYFUNCTION("""COMPUTED_VALUE"""),"Nika")</f>
        <v>Nika</v>
      </c>
      <c r="E951" s="6" t="str">
        <f>IFERROR(__xludf.DUMMYFUNCTION("""COMPUTED_VALUE"""),"")</f>
        <v/>
      </c>
      <c r="F951" s="6" t="str">
        <f>IFERROR(__xludf.DUMMYFUNCTION("""COMPUTED_VALUE"""),"Raketska")</f>
        <v>Raketska</v>
      </c>
      <c r="G951" s="6" t="str">
        <f>IFERROR(__xludf.DUMMYFUNCTION("""COMPUTED_VALUE"""),"01/01/2013")</f>
        <v>01/01/2013</v>
      </c>
      <c r="H951" s="6" t="str">
        <f>IFERROR(__xludf.DUMMYFUNCTION("""COMPUTED_VALUE"""),"Self Identify")</f>
        <v>Self Identify</v>
      </c>
      <c r="I951" s="6" t="str">
        <f>IFERROR(__xludf.DUMMYFUNCTION("""COMPUTED_VALUE"""),"Middle School")</f>
        <v>Middle School</v>
      </c>
      <c r="J951" s="6" t="str">
        <f>IFERROR(__xludf.DUMMYFUNCTION("""COMPUTED_VALUE"""),"6")</f>
        <v>6</v>
      </c>
      <c r="K951" s="6" t="str">
        <f>IFERROR(__xludf.DUMMYFUNCTION("""COMPUTED_VALUE"""),"nika.raketska@2hourlearning.com")</f>
        <v>nika.raketska@2hourlearning.com</v>
      </c>
      <c r="L951" s="6" t="str">
        <f>IFERROR(__xludf.DUMMYFUNCTION("""COMPUTED_VALUE"""),"Learn and Earn Poland")</f>
        <v>Learn and Earn Poland</v>
      </c>
      <c r="M951" s="6" t="str">
        <f>IFERROR(__xludf.DUMMYFUNCTION("""COMPUTED_VALUE"""),"")</f>
        <v/>
      </c>
      <c r="N951" s="6" t="str">
        <f>IFERROR(__xludf.DUMMYFUNCTION("""COMPUTED_VALUE"""),"")</f>
        <v/>
      </c>
      <c r="O951" s="87" t="str">
        <f>IFERROR(__xludf.DUMMYFUNCTION("""COMPUTED_VALUE"""),"https://drive.google.com/drive/folders/10T2cTQHqEJZqE-st6uFKPoI?usp=share_link")</f>
        <v>https://drive.google.com/drive/folders/10T2cTQHqEJZqE-st6uFKPoI?usp=share_link</v>
      </c>
      <c r="P951" s="6" t="str">
        <f>IFERROR(__xludf.DUMMYFUNCTION("""COMPUTED_VALUE"""),"Nika Raketska")</f>
        <v>Nika Raketska</v>
      </c>
      <c r="Q951" s="6" t="str">
        <f>IFERROR(__xludf.DUMMYFUNCTION("""COMPUTED_VALUE"""),"MS")</f>
        <v>MS</v>
      </c>
      <c r="R951" s="6">
        <f>IFERROR(__xludf.DUMMYFUNCTION("""COMPUTED_VALUE"""),0.0)</f>
        <v>0</v>
      </c>
      <c r="S951" s="6" t="str">
        <f>IFERROR(__xludf.DUMMYFUNCTION("""COMPUTED_VALUE""")," ")</f>
        <v> </v>
      </c>
      <c r="T951" s="6" t="str">
        <f>IFERROR(__xludf.DUMMYFUNCTION("""COMPUTED_VALUE"""),"")</f>
        <v/>
      </c>
      <c r="U951" s="6" t="str">
        <f>IFERROR(__xludf.DUMMYFUNCTION("""COMPUTED_VALUE"""),"6")</f>
        <v>6</v>
      </c>
      <c r="V951" s="6" t="str">
        <f>IFERROR(__xludf.DUMMYFUNCTION("""COMPUTED_VALUE"""),"English")</f>
        <v>English</v>
      </c>
      <c r="W951" s="6" t="str">
        <f>IFERROR(__xludf.DUMMYFUNCTION("""COMPUTED_VALUE"""),"[]")</f>
        <v>[]</v>
      </c>
      <c r="X951" s="6" t="str">
        <f>IFERROR(__xludf.DUMMYFUNCTION("""COMPUTED_VALUE"""),"Enrolled")</f>
        <v>Enrolled</v>
      </c>
    </row>
    <row r="952">
      <c r="A952" s="6" t="str">
        <f>IFERROR(__xludf.DUMMYFUNCTION("""COMPUTED_VALUE"""),"009-1075")</f>
        <v>009-1075</v>
      </c>
      <c r="B952" s="6" t="str">
        <f>IFERROR(__xludf.DUMMYFUNCTION("""COMPUTED_VALUE"""),"9")</f>
        <v>9</v>
      </c>
      <c r="C952" s="6" t="str">
        <f>IFERROR(__xludf.DUMMYFUNCTION("""COMPUTED_VALUE"""),"1075")</f>
        <v>1075</v>
      </c>
      <c r="D952" s="6" t="str">
        <f>IFERROR(__xludf.DUMMYFUNCTION("""COMPUTED_VALUE"""),"Volodymyr")</f>
        <v>Volodymyr</v>
      </c>
      <c r="E952" s="6" t="str">
        <f>IFERROR(__xludf.DUMMYFUNCTION("""COMPUTED_VALUE"""),"")</f>
        <v/>
      </c>
      <c r="F952" s="6" t="str">
        <f>IFERROR(__xludf.DUMMYFUNCTION("""COMPUTED_VALUE"""),"Slobodianiuk")</f>
        <v>Slobodianiuk</v>
      </c>
      <c r="G952" s="6" t="str">
        <f>IFERROR(__xludf.DUMMYFUNCTION("""COMPUTED_VALUE"""),"01/01/2013")</f>
        <v>01/01/2013</v>
      </c>
      <c r="H952" s="6" t="str">
        <f>IFERROR(__xludf.DUMMYFUNCTION("""COMPUTED_VALUE"""),"Self Identify")</f>
        <v>Self Identify</v>
      </c>
      <c r="I952" s="6" t="str">
        <f>IFERROR(__xludf.DUMMYFUNCTION("""COMPUTED_VALUE"""),"Middle School")</f>
        <v>Middle School</v>
      </c>
      <c r="J952" s="6" t="str">
        <f>IFERROR(__xludf.DUMMYFUNCTION("""COMPUTED_VALUE"""),"6")</f>
        <v>6</v>
      </c>
      <c r="K952" s="6" t="str">
        <f>IFERROR(__xludf.DUMMYFUNCTION("""COMPUTED_VALUE"""),"volodymyr.slobodianiuk@2hourlearning.com")</f>
        <v>volodymyr.slobodianiuk@2hourlearning.com</v>
      </c>
      <c r="L952" s="6" t="str">
        <f>IFERROR(__xludf.DUMMYFUNCTION("""COMPUTED_VALUE"""),"Learn and Earn Poland")</f>
        <v>Learn and Earn Poland</v>
      </c>
      <c r="M952" s="6" t="str">
        <f>IFERROR(__xludf.DUMMYFUNCTION("""COMPUTED_VALUE"""),"")</f>
        <v/>
      </c>
      <c r="N952" s="6" t="str">
        <f>IFERROR(__xludf.DUMMYFUNCTION("""COMPUTED_VALUE"""),"")</f>
        <v/>
      </c>
      <c r="O952" s="87" t="str">
        <f>IFERROR(__xludf.DUMMYFUNCTION("""COMPUTED_VALUE"""),"https://drive.google.com/drive/folders/10T2cTQHqEJZqE-st6uFKPoI?usp=share_link")</f>
        <v>https://drive.google.com/drive/folders/10T2cTQHqEJZqE-st6uFKPoI?usp=share_link</v>
      </c>
      <c r="P952" s="6" t="str">
        <f>IFERROR(__xludf.DUMMYFUNCTION("""COMPUTED_VALUE"""),"Volodymyr Slobodianiuk")</f>
        <v>Volodymyr Slobodianiuk</v>
      </c>
      <c r="Q952" s="6" t="str">
        <f>IFERROR(__xludf.DUMMYFUNCTION("""COMPUTED_VALUE"""),"MS")</f>
        <v>MS</v>
      </c>
      <c r="R952" s="6">
        <f>IFERROR(__xludf.DUMMYFUNCTION("""COMPUTED_VALUE"""),0.0)</f>
        <v>0</v>
      </c>
      <c r="S952" s="6" t="str">
        <f>IFERROR(__xludf.DUMMYFUNCTION("""COMPUTED_VALUE""")," ")</f>
        <v> </v>
      </c>
      <c r="T952" s="6" t="str">
        <f>IFERROR(__xludf.DUMMYFUNCTION("""COMPUTED_VALUE"""),"")</f>
        <v/>
      </c>
      <c r="U952" s="6" t="str">
        <f>IFERROR(__xludf.DUMMYFUNCTION("""COMPUTED_VALUE"""),"6")</f>
        <v>6</v>
      </c>
      <c r="V952" s="6" t="str">
        <f>IFERROR(__xludf.DUMMYFUNCTION("""COMPUTED_VALUE"""),"English")</f>
        <v>English</v>
      </c>
      <c r="W952" s="6" t="str">
        <f>IFERROR(__xludf.DUMMYFUNCTION("""COMPUTED_VALUE"""),"[]")</f>
        <v>[]</v>
      </c>
      <c r="X952" s="6" t="str">
        <f>IFERROR(__xludf.DUMMYFUNCTION("""COMPUTED_VALUE"""),"Enrolled")</f>
        <v>Enrolled</v>
      </c>
    </row>
    <row r="953">
      <c r="A953" s="6" t="str">
        <f>IFERROR(__xludf.DUMMYFUNCTION("""COMPUTED_VALUE"""),"009-1076")</f>
        <v>009-1076</v>
      </c>
      <c r="B953" s="6" t="str">
        <f>IFERROR(__xludf.DUMMYFUNCTION("""COMPUTED_VALUE"""),"9")</f>
        <v>9</v>
      </c>
      <c r="C953" s="6" t="str">
        <f>IFERROR(__xludf.DUMMYFUNCTION("""COMPUTED_VALUE"""),"1076")</f>
        <v>1076</v>
      </c>
      <c r="D953" s="6" t="str">
        <f>IFERROR(__xludf.DUMMYFUNCTION("""COMPUTED_VALUE"""),"Yevheniia")</f>
        <v>Yevheniia</v>
      </c>
      <c r="E953" s="6" t="str">
        <f>IFERROR(__xludf.DUMMYFUNCTION("""COMPUTED_VALUE"""),"")</f>
        <v/>
      </c>
      <c r="F953" s="6" t="str">
        <f>IFERROR(__xludf.DUMMYFUNCTION("""COMPUTED_VALUE"""),"Dozhdova")</f>
        <v>Dozhdova</v>
      </c>
      <c r="G953" s="6" t="str">
        <f>IFERROR(__xludf.DUMMYFUNCTION("""COMPUTED_VALUE"""),"01/01/2013")</f>
        <v>01/01/2013</v>
      </c>
      <c r="H953" s="6" t="str">
        <f>IFERROR(__xludf.DUMMYFUNCTION("""COMPUTED_VALUE"""),"Self Identify")</f>
        <v>Self Identify</v>
      </c>
      <c r="I953" s="6" t="str">
        <f>IFERROR(__xludf.DUMMYFUNCTION("""COMPUTED_VALUE"""),"Middle School")</f>
        <v>Middle School</v>
      </c>
      <c r="J953" s="6" t="str">
        <f>IFERROR(__xludf.DUMMYFUNCTION("""COMPUTED_VALUE"""),"6")</f>
        <v>6</v>
      </c>
      <c r="K953" s="6" t="str">
        <f>IFERROR(__xludf.DUMMYFUNCTION("""COMPUTED_VALUE"""),"yevheniia.dozhdova@2hourlearning.com")</f>
        <v>yevheniia.dozhdova@2hourlearning.com</v>
      </c>
      <c r="L953" s="6" t="str">
        <f>IFERROR(__xludf.DUMMYFUNCTION("""COMPUTED_VALUE"""),"Learn and Earn Poland")</f>
        <v>Learn and Earn Poland</v>
      </c>
      <c r="M953" s="6" t="str">
        <f>IFERROR(__xludf.DUMMYFUNCTION("""COMPUTED_VALUE"""),"")</f>
        <v/>
      </c>
      <c r="N953" s="6" t="str">
        <f>IFERROR(__xludf.DUMMYFUNCTION("""COMPUTED_VALUE"""),"")</f>
        <v/>
      </c>
      <c r="O953" s="87" t="str">
        <f>IFERROR(__xludf.DUMMYFUNCTION("""COMPUTED_VALUE"""),"https://drive.google.com/drive/folders/10T2cTQHqEJZqE-st6uFKPoI?usp=share_link")</f>
        <v>https://drive.google.com/drive/folders/10T2cTQHqEJZqE-st6uFKPoI?usp=share_link</v>
      </c>
      <c r="P953" s="6" t="str">
        <f>IFERROR(__xludf.DUMMYFUNCTION("""COMPUTED_VALUE"""),"Yevheniia Dozhdova")</f>
        <v>Yevheniia Dozhdova</v>
      </c>
      <c r="Q953" s="6" t="str">
        <f>IFERROR(__xludf.DUMMYFUNCTION("""COMPUTED_VALUE"""),"MS")</f>
        <v>MS</v>
      </c>
      <c r="R953" s="6">
        <f>IFERROR(__xludf.DUMMYFUNCTION("""COMPUTED_VALUE"""),0.0)</f>
        <v>0</v>
      </c>
      <c r="S953" s="6" t="str">
        <f>IFERROR(__xludf.DUMMYFUNCTION("""COMPUTED_VALUE""")," ")</f>
        <v> </v>
      </c>
      <c r="T953" s="6" t="str">
        <f>IFERROR(__xludf.DUMMYFUNCTION("""COMPUTED_VALUE"""),"")</f>
        <v/>
      </c>
      <c r="U953" s="6" t="str">
        <f>IFERROR(__xludf.DUMMYFUNCTION("""COMPUTED_VALUE"""),"6")</f>
        <v>6</v>
      </c>
      <c r="V953" s="6" t="str">
        <f>IFERROR(__xludf.DUMMYFUNCTION("""COMPUTED_VALUE"""),"English")</f>
        <v>English</v>
      </c>
      <c r="W953" s="6" t="str">
        <f>IFERROR(__xludf.DUMMYFUNCTION("""COMPUTED_VALUE"""),"[]")</f>
        <v>[]</v>
      </c>
      <c r="X953" s="6" t="str">
        <f>IFERROR(__xludf.DUMMYFUNCTION("""COMPUTED_VALUE"""),"Enrolled")</f>
        <v>Enrolled</v>
      </c>
    </row>
    <row r="954">
      <c r="A954" s="6" t="str">
        <f>IFERROR(__xludf.DUMMYFUNCTION("""COMPUTED_VALUE"""),"009-1077")</f>
        <v>009-1077</v>
      </c>
      <c r="B954" s="6" t="str">
        <f>IFERROR(__xludf.DUMMYFUNCTION("""COMPUTED_VALUE"""),"9")</f>
        <v>9</v>
      </c>
      <c r="C954" s="6" t="str">
        <f>IFERROR(__xludf.DUMMYFUNCTION("""COMPUTED_VALUE"""),"1077")</f>
        <v>1077</v>
      </c>
      <c r="D954" s="6" t="str">
        <f>IFERROR(__xludf.DUMMYFUNCTION("""COMPUTED_VALUE"""),"Andrii")</f>
        <v>Andrii</v>
      </c>
      <c r="E954" s="6" t="str">
        <f>IFERROR(__xludf.DUMMYFUNCTION("""COMPUTED_VALUE"""),"")</f>
        <v/>
      </c>
      <c r="F954" s="6" t="str">
        <f>IFERROR(__xludf.DUMMYFUNCTION("""COMPUTED_VALUE"""),"Loiko")</f>
        <v>Loiko</v>
      </c>
      <c r="G954" s="6" t="str">
        <f>IFERROR(__xludf.DUMMYFUNCTION("""COMPUTED_VALUE"""),"01/01/2012")</f>
        <v>01/01/2012</v>
      </c>
      <c r="H954" s="6" t="str">
        <f>IFERROR(__xludf.DUMMYFUNCTION("""COMPUTED_VALUE"""),"Self Identify")</f>
        <v>Self Identify</v>
      </c>
      <c r="I954" s="6" t="str">
        <f>IFERROR(__xludf.DUMMYFUNCTION("""COMPUTED_VALUE"""),"Middle School")</f>
        <v>Middle School</v>
      </c>
      <c r="J954" s="6" t="str">
        <f>IFERROR(__xludf.DUMMYFUNCTION("""COMPUTED_VALUE"""),"7")</f>
        <v>7</v>
      </c>
      <c r="K954" s="6" t="str">
        <f>IFERROR(__xludf.DUMMYFUNCTION("""COMPUTED_VALUE"""),"andrii.loiko@2hourlearning.com")</f>
        <v>andrii.loiko@2hourlearning.com</v>
      </c>
      <c r="L954" s="6" t="str">
        <f>IFERROR(__xludf.DUMMYFUNCTION("""COMPUTED_VALUE"""),"Learn and Earn Poland")</f>
        <v>Learn and Earn Poland</v>
      </c>
      <c r="M954" s="6" t="str">
        <f>IFERROR(__xludf.DUMMYFUNCTION("""COMPUTED_VALUE"""),"")</f>
        <v/>
      </c>
      <c r="N954" s="6" t="str">
        <f>IFERROR(__xludf.DUMMYFUNCTION("""COMPUTED_VALUE"""),"")</f>
        <v/>
      </c>
      <c r="O954" s="87" t="str">
        <f>IFERROR(__xludf.DUMMYFUNCTION("""COMPUTED_VALUE"""),"https://drive.google.com/drive/folders/10T2cTQHqEJZqE-st6uFKPoI?usp=share_link")</f>
        <v>https://drive.google.com/drive/folders/10T2cTQHqEJZqE-st6uFKPoI?usp=share_link</v>
      </c>
      <c r="P954" s="6" t="str">
        <f>IFERROR(__xludf.DUMMYFUNCTION("""COMPUTED_VALUE"""),"Andrii Loiko")</f>
        <v>Andrii Loiko</v>
      </c>
      <c r="Q954" s="6" t="str">
        <f>IFERROR(__xludf.DUMMYFUNCTION("""COMPUTED_VALUE"""),"MS")</f>
        <v>MS</v>
      </c>
      <c r="R954" s="6">
        <f>IFERROR(__xludf.DUMMYFUNCTION("""COMPUTED_VALUE"""),0.0)</f>
        <v>0</v>
      </c>
      <c r="S954" s="6" t="str">
        <f>IFERROR(__xludf.DUMMYFUNCTION("""COMPUTED_VALUE""")," ")</f>
        <v> </v>
      </c>
      <c r="T954" s="6" t="str">
        <f>IFERROR(__xludf.DUMMYFUNCTION("""COMPUTED_VALUE"""),"")</f>
        <v/>
      </c>
      <c r="U954" s="6" t="str">
        <f>IFERROR(__xludf.DUMMYFUNCTION("""COMPUTED_VALUE"""),"7")</f>
        <v>7</v>
      </c>
      <c r="V954" s="6" t="str">
        <f>IFERROR(__xludf.DUMMYFUNCTION("""COMPUTED_VALUE"""),"English")</f>
        <v>English</v>
      </c>
      <c r="W954" s="6" t="str">
        <f>IFERROR(__xludf.DUMMYFUNCTION("""COMPUTED_VALUE"""),"[]")</f>
        <v>[]</v>
      </c>
      <c r="X954" s="6" t="str">
        <f>IFERROR(__xludf.DUMMYFUNCTION("""COMPUTED_VALUE"""),"Enrolled")</f>
        <v>Enrolled</v>
      </c>
    </row>
    <row r="955">
      <c r="A955" s="6" t="str">
        <f>IFERROR(__xludf.DUMMYFUNCTION("""COMPUTED_VALUE"""),"009-1078")</f>
        <v>009-1078</v>
      </c>
      <c r="B955" s="6" t="str">
        <f>IFERROR(__xludf.DUMMYFUNCTION("""COMPUTED_VALUE"""),"9")</f>
        <v>9</v>
      </c>
      <c r="C955" s="6" t="str">
        <f>IFERROR(__xludf.DUMMYFUNCTION("""COMPUTED_VALUE"""),"1078")</f>
        <v>1078</v>
      </c>
      <c r="D955" s="6" t="str">
        <f>IFERROR(__xludf.DUMMYFUNCTION("""COMPUTED_VALUE"""),"Daria")</f>
        <v>Daria</v>
      </c>
      <c r="E955" s="6" t="str">
        <f>IFERROR(__xludf.DUMMYFUNCTION("""COMPUTED_VALUE"""),"")</f>
        <v/>
      </c>
      <c r="F955" s="6" t="str">
        <f>IFERROR(__xludf.DUMMYFUNCTION("""COMPUTED_VALUE"""),"Norikova")</f>
        <v>Norikova</v>
      </c>
      <c r="G955" s="6" t="str">
        <f>IFERROR(__xludf.DUMMYFUNCTION("""COMPUTED_VALUE"""),"01/01/2012")</f>
        <v>01/01/2012</v>
      </c>
      <c r="H955" s="6" t="str">
        <f>IFERROR(__xludf.DUMMYFUNCTION("""COMPUTED_VALUE"""),"Self Identify")</f>
        <v>Self Identify</v>
      </c>
      <c r="I955" s="6" t="str">
        <f>IFERROR(__xludf.DUMMYFUNCTION("""COMPUTED_VALUE"""),"Middle School")</f>
        <v>Middle School</v>
      </c>
      <c r="J955" s="6" t="str">
        <f>IFERROR(__xludf.DUMMYFUNCTION("""COMPUTED_VALUE"""),"7")</f>
        <v>7</v>
      </c>
      <c r="K955" s="6" t="str">
        <f>IFERROR(__xludf.DUMMYFUNCTION("""COMPUTED_VALUE"""),"daria.norikova@2hourlearning.com")</f>
        <v>daria.norikova@2hourlearning.com</v>
      </c>
      <c r="L955" s="6" t="str">
        <f>IFERROR(__xludf.DUMMYFUNCTION("""COMPUTED_VALUE"""),"Learn and Earn Poland")</f>
        <v>Learn and Earn Poland</v>
      </c>
      <c r="M955" s="6" t="str">
        <f>IFERROR(__xludf.DUMMYFUNCTION("""COMPUTED_VALUE"""),"")</f>
        <v/>
      </c>
      <c r="N955" s="6" t="str">
        <f>IFERROR(__xludf.DUMMYFUNCTION("""COMPUTED_VALUE"""),"")</f>
        <v/>
      </c>
      <c r="O955" s="87" t="str">
        <f>IFERROR(__xludf.DUMMYFUNCTION("""COMPUTED_VALUE"""),"https://drive.google.com/drive/folders/10T2cTQHqEJZqE-st6uFKPoI?usp=share_link")</f>
        <v>https://drive.google.com/drive/folders/10T2cTQHqEJZqE-st6uFKPoI?usp=share_link</v>
      </c>
      <c r="P955" s="6" t="str">
        <f>IFERROR(__xludf.DUMMYFUNCTION("""COMPUTED_VALUE"""),"Daria Norikova")</f>
        <v>Daria Norikova</v>
      </c>
      <c r="Q955" s="6" t="str">
        <f>IFERROR(__xludf.DUMMYFUNCTION("""COMPUTED_VALUE"""),"MS")</f>
        <v>MS</v>
      </c>
      <c r="R955" s="6">
        <f>IFERROR(__xludf.DUMMYFUNCTION("""COMPUTED_VALUE"""),0.0)</f>
        <v>0</v>
      </c>
      <c r="S955" s="6" t="str">
        <f>IFERROR(__xludf.DUMMYFUNCTION("""COMPUTED_VALUE""")," ")</f>
        <v> </v>
      </c>
      <c r="T955" s="6" t="str">
        <f>IFERROR(__xludf.DUMMYFUNCTION("""COMPUTED_VALUE"""),"")</f>
        <v/>
      </c>
      <c r="U955" s="6" t="str">
        <f>IFERROR(__xludf.DUMMYFUNCTION("""COMPUTED_VALUE"""),"7")</f>
        <v>7</v>
      </c>
      <c r="V955" s="6" t="str">
        <f>IFERROR(__xludf.DUMMYFUNCTION("""COMPUTED_VALUE"""),"English")</f>
        <v>English</v>
      </c>
      <c r="W955" s="6" t="str">
        <f>IFERROR(__xludf.DUMMYFUNCTION("""COMPUTED_VALUE"""),"[]")</f>
        <v>[]</v>
      </c>
      <c r="X955" s="6" t="str">
        <f>IFERROR(__xludf.DUMMYFUNCTION("""COMPUTED_VALUE"""),"Enrolled")</f>
        <v>Enrolled</v>
      </c>
    </row>
    <row r="956">
      <c r="A956" s="6" t="str">
        <f>IFERROR(__xludf.DUMMYFUNCTION("""COMPUTED_VALUE"""),"009-1079")</f>
        <v>009-1079</v>
      </c>
      <c r="B956" s="6" t="str">
        <f>IFERROR(__xludf.DUMMYFUNCTION("""COMPUTED_VALUE"""),"9")</f>
        <v>9</v>
      </c>
      <c r="C956" s="6" t="str">
        <f>IFERROR(__xludf.DUMMYFUNCTION("""COMPUTED_VALUE"""),"1079")</f>
        <v>1079</v>
      </c>
      <c r="D956" s="6" t="str">
        <f>IFERROR(__xludf.DUMMYFUNCTION("""COMPUTED_VALUE"""),"Makar")</f>
        <v>Makar</v>
      </c>
      <c r="E956" s="6" t="str">
        <f>IFERROR(__xludf.DUMMYFUNCTION("""COMPUTED_VALUE"""),"")</f>
        <v/>
      </c>
      <c r="F956" s="6" t="str">
        <f>IFERROR(__xludf.DUMMYFUNCTION("""COMPUTED_VALUE"""),"Vasilev")</f>
        <v>Vasilev</v>
      </c>
      <c r="G956" s="6" t="str">
        <f>IFERROR(__xludf.DUMMYFUNCTION("""COMPUTED_VALUE"""),"01/01/2012")</f>
        <v>01/01/2012</v>
      </c>
      <c r="H956" s="6" t="str">
        <f>IFERROR(__xludf.DUMMYFUNCTION("""COMPUTED_VALUE"""),"Self Identify")</f>
        <v>Self Identify</v>
      </c>
      <c r="I956" s="6" t="str">
        <f>IFERROR(__xludf.DUMMYFUNCTION("""COMPUTED_VALUE"""),"Middle School")</f>
        <v>Middle School</v>
      </c>
      <c r="J956" s="6" t="str">
        <f>IFERROR(__xludf.DUMMYFUNCTION("""COMPUTED_VALUE"""),"7")</f>
        <v>7</v>
      </c>
      <c r="K956" s="6" t="str">
        <f>IFERROR(__xludf.DUMMYFUNCTION("""COMPUTED_VALUE"""),"makar.vasilev@2hourlearning.com")</f>
        <v>makar.vasilev@2hourlearning.com</v>
      </c>
      <c r="L956" s="6" t="str">
        <f>IFERROR(__xludf.DUMMYFUNCTION("""COMPUTED_VALUE"""),"Learn and Earn Poland")</f>
        <v>Learn and Earn Poland</v>
      </c>
      <c r="M956" s="6" t="str">
        <f>IFERROR(__xludf.DUMMYFUNCTION("""COMPUTED_VALUE"""),"")</f>
        <v/>
      </c>
      <c r="N956" s="6" t="str">
        <f>IFERROR(__xludf.DUMMYFUNCTION("""COMPUTED_VALUE"""),"")</f>
        <v/>
      </c>
      <c r="O956" s="87" t="str">
        <f>IFERROR(__xludf.DUMMYFUNCTION("""COMPUTED_VALUE"""),"https://drive.google.com/drive/folders/10T2cTQHqEJZqE-st6uFKPoI?usp=share_link")</f>
        <v>https://drive.google.com/drive/folders/10T2cTQHqEJZqE-st6uFKPoI?usp=share_link</v>
      </c>
      <c r="P956" s="6" t="str">
        <f>IFERROR(__xludf.DUMMYFUNCTION("""COMPUTED_VALUE"""),"Makar Vasilev")</f>
        <v>Makar Vasilev</v>
      </c>
      <c r="Q956" s="6" t="str">
        <f>IFERROR(__xludf.DUMMYFUNCTION("""COMPUTED_VALUE"""),"MS")</f>
        <v>MS</v>
      </c>
      <c r="R956" s="6">
        <f>IFERROR(__xludf.DUMMYFUNCTION("""COMPUTED_VALUE"""),0.0)</f>
        <v>0</v>
      </c>
      <c r="S956" s="6" t="str">
        <f>IFERROR(__xludf.DUMMYFUNCTION("""COMPUTED_VALUE""")," ")</f>
        <v> </v>
      </c>
      <c r="T956" s="6" t="str">
        <f>IFERROR(__xludf.DUMMYFUNCTION("""COMPUTED_VALUE"""),"")</f>
        <v/>
      </c>
      <c r="U956" s="6" t="str">
        <f>IFERROR(__xludf.DUMMYFUNCTION("""COMPUTED_VALUE"""),"7")</f>
        <v>7</v>
      </c>
      <c r="V956" s="6" t="str">
        <f>IFERROR(__xludf.DUMMYFUNCTION("""COMPUTED_VALUE"""),"English")</f>
        <v>English</v>
      </c>
      <c r="W956" s="6" t="str">
        <f>IFERROR(__xludf.DUMMYFUNCTION("""COMPUTED_VALUE"""),"[]")</f>
        <v>[]</v>
      </c>
      <c r="X956" s="6" t="str">
        <f>IFERROR(__xludf.DUMMYFUNCTION("""COMPUTED_VALUE"""),"Enrolled")</f>
        <v>Enrolled</v>
      </c>
    </row>
    <row r="957">
      <c r="A957" s="6" t="str">
        <f>IFERROR(__xludf.DUMMYFUNCTION("""COMPUTED_VALUE"""),"009-1080")</f>
        <v>009-1080</v>
      </c>
      <c r="B957" s="6" t="str">
        <f>IFERROR(__xludf.DUMMYFUNCTION("""COMPUTED_VALUE"""),"9")</f>
        <v>9</v>
      </c>
      <c r="C957" s="6" t="str">
        <f>IFERROR(__xludf.DUMMYFUNCTION("""COMPUTED_VALUE"""),"1080")</f>
        <v>1080</v>
      </c>
      <c r="D957" s="6" t="str">
        <f>IFERROR(__xludf.DUMMYFUNCTION("""COMPUTED_VALUE"""),"Polina")</f>
        <v>Polina</v>
      </c>
      <c r="E957" s="6" t="str">
        <f>IFERROR(__xludf.DUMMYFUNCTION("""COMPUTED_VALUE"""),"")</f>
        <v/>
      </c>
      <c r="F957" s="6" t="str">
        <f>IFERROR(__xludf.DUMMYFUNCTION("""COMPUTED_VALUE"""),"Kot")</f>
        <v>Kot</v>
      </c>
      <c r="G957" s="6" t="str">
        <f>IFERROR(__xludf.DUMMYFUNCTION("""COMPUTED_VALUE"""),"01/01/2012")</f>
        <v>01/01/2012</v>
      </c>
      <c r="H957" s="6" t="str">
        <f>IFERROR(__xludf.DUMMYFUNCTION("""COMPUTED_VALUE"""),"Self Identify")</f>
        <v>Self Identify</v>
      </c>
      <c r="I957" s="6" t="str">
        <f>IFERROR(__xludf.DUMMYFUNCTION("""COMPUTED_VALUE"""),"Middle School")</f>
        <v>Middle School</v>
      </c>
      <c r="J957" s="6" t="str">
        <f>IFERROR(__xludf.DUMMYFUNCTION("""COMPUTED_VALUE"""),"7")</f>
        <v>7</v>
      </c>
      <c r="K957" s="6" t="str">
        <f>IFERROR(__xludf.DUMMYFUNCTION("""COMPUTED_VALUE"""),"polina.kot@2hourlearning.com")</f>
        <v>polina.kot@2hourlearning.com</v>
      </c>
      <c r="L957" s="6" t="str">
        <f>IFERROR(__xludf.DUMMYFUNCTION("""COMPUTED_VALUE"""),"Learn and Earn Poland")</f>
        <v>Learn and Earn Poland</v>
      </c>
      <c r="M957" s="6" t="str">
        <f>IFERROR(__xludf.DUMMYFUNCTION("""COMPUTED_VALUE"""),"")</f>
        <v/>
      </c>
      <c r="N957" s="6" t="str">
        <f>IFERROR(__xludf.DUMMYFUNCTION("""COMPUTED_VALUE"""),"")</f>
        <v/>
      </c>
      <c r="O957" s="87" t="str">
        <f>IFERROR(__xludf.DUMMYFUNCTION("""COMPUTED_VALUE"""),"https://drive.google.com/drive/folders/10T2cTQHqEJZqE-st6uFKPoI?usp=share_link")</f>
        <v>https://drive.google.com/drive/folders/10T2cTQHqEJZqE-st6uFKPoI?usp=share_link</v>
      </c>
      <c r="P957" s="6" t="str">
        <f>IFERROR(__xludf.DUMMYFUNCTION("""COMPUTED_VALUE"""),"Polina Kot")</f>
        <v>Polina Kot</v>
      </c>
      <c r="Q957" s="6" t="str">
        <f>IFERROR(__xludf.DUMMYFUNCTION("""COMPUTED_VALUE"""),"MS")</f>
        <v>MS</v>
      </c>
      <c r="R957" s="6">
        <f>IFERROR(__xludf.DUMMYFUNCTION("""COMPUTED_VALUE"""),0.0)</f>
        <v>0</v>
      </c>
      <c r="S957" s="6" t="str">
        <f>IFERROR(__xludf.DUMMYFUNCTION("""COMPUTED_VALUE""")," ")</f>
        <v> </v>
      </c>
      <c r="T957" s="6" t="str">
        <f>IFERROR(__xludf.DUMMYFUNCTION("""COMPUTED_VALUE"""),"")</f>
        <v/>
      </c>
      <c r="U957" s="6" t="str">
        <f>IFERROR(__xludf.DUMMYFUNCTION("""COMPUTED_VALUE"""),"7")</f>
        <v>7</v>
      </c>
      <c r="V957" s="6" t="str">
        <f>IFERROR(__xludf.DUMMYFUNCTION("""COMPUTED_VALUE"""),"English")</f>
        <v>English</v>
      </c>
      <c r="W957" s="6" t="str">
        <f>IFERROR(__xludf.DUMMYFUNCTION("""COMPUTED_VALUE"""),"[]")</f>
        <v>[]</v>
      </c>
      <c r="X957" s="6" t="str">
        <f>IFERROR(__xludf.DUMMYFUNCTION("""COMPUTED_VALUE"""),"Enrolled")</f>
        <v>Enrolled</v>
      </c>
    </row>
    <row r="958">
      <c r="A958" s="6" t="str">
        <f>IFERROR(__xludf.DUMMYFUNCTION("""COMPUTED_VALUE"""),"009-1081")</f>
        <v>009-1081</v>
      </c>
      <c r="B958" s="6" t="str">
        <f>IFERROR(__xludf.DUMMYFUNCTION("""COMPUTED_VALUE"""),"9")</f>
        <v>9</v>
      </c>
      <c r="C958" s="6" t="str">
        <f>IFERROR(__xludf.DUMMYFUNCTION("""COMPUTED_VALUE"""),"1081")</f>
        <v>1081</v>
      </c>
      <c r="D958" s="6" t="str">
        <f>IFERROR(__xludf.DUMMYFUNCTION("""COMPUTED_VALUE"""),"Rostyslav")</f>
        <v>Rostyslav</v>
      </c>
      <c r="E958" s="6" t="str">
        <f>IFERROR(__xludf.DUMMYFUNCTION("""COMPUTED_VALUE"""),"")</f>
        <v/>
      </c>
      <c r="F958" s="6" t="str">
        <f>IFERROR(__xludf.DUMMYFUNCTION("""COMPUTED_VALUE"""),"Branovskyi")</f>
        <v>Branovskyi</v>
      </c>
      <c r="G958" s="6" t="str">
        <f>IFERROR(__xludf.DUMMYFUNCTION("""COMPUTED_VALUE"""),"01/01/2012")</f>
        <v>01/01/2012</v>
      </c>
      <c r="H958" s="6" t="str">
        <f>IFERROR(__xludf.DUMMYFUNCTION("""COMPUTED_VALUE"""),"Self Identify")</f>
        <v>Self Identify</v>
      </c>
      <c r="I958" s="6" t="str">
        <f>IFERROR(__xludf.DUMMYFUNCTION("""COMPUTED_VALUE"""),"Middle School")</f>
        <v>Middle School</v>
      </c>
      <c r="J958" s="6" t="str">
        <f>IFERROR(__xludf.DUMMYFUNCTION("""COMPUTED_VALUE"""),"7")</f>
        <v>7</v>
      </c>
      <c r="K958" s="6" t="str">
        <f>IFERROR(__xludf.DUMMYFUNCTION("""COMPUTED_VALUE"""),"rostyslav.branovskyi@2hourlearning.com")</f>
        <v>rostyslav.branovskyi@2hourlearning.com</v>
      </c>
      <c r="L958" s="6" t="str">
        <f>IFERROR(__xludf.DUMMYFUNCTION("""COMPUTED_VALUE"""),"Learn and Earn Poland")</f>
        <v>Learn and Earn Poland</v>
      </c>
      <c r="M958" s="6" t="str">
        <f>IFERROR(__xludf.DUMMYFUNCTION("""COMPUTED_VALUE"""),"")</f>
        <v/>
      </c>
      <c r="N958" s="6" t="str">
        <f>IFERROR(__xludf.DUMMYFUNCTION("""COMPUTED_VALUE"""),"")</f>
        <v/>
      </c>
      <c r="O958" s="87" t="str">
        <f>IFERROR(__xludf.DUMMYFUNCTION("""COMPUTED_VALUE"""),"https://drive.google.com/drive/folders/10T2cTQHqEJZqE-st6uFKPoI?usp=share_link")</f>
        <v>https://drive.google.com/drive/folders/10T2cTQHqEJZqE-st6uFKPoI?usp=share_link</v>
      </c>
      <c r="P958" s="6" t="str">
        <f>IFERROR(__xludf.DUMMYFUNCTION("""COMPUTED_VALUE"""),"Rostyslav Branovskyi")</f>
        <v>Rostyslav Branovskyi</v>
      </c>
      <c r="Q958" s="6" t="str">
        <f>IFERROR(__xludf.DUMMYFUNCTION("""COMPUTED_VALUE"""),"MS")</f>
        <v>MS</v>
      </c>
      <c r="R958" s="6">
        <f>IFERROR(__xludf.DUMMYFUNCTION("""COMPUTED_VALUE"""),0.0)</f>
        <v>0</v>
      </c>
      <c r="S958" s="6" t="str">
        <f>IFERROR(__xludf.DUMMYFUNCTION("""COMPUTED_VALUE""")," ")</f>
        <v> </v>
      </c>
      <c r="T958" s="6" t="str">
        <f>IFERROR(__xludf.DUMMYFUNCTION("""COMPUTED_VALUE"""),"")</f>
        <v/>
      </c>
      <c r="U958" s="6" t="str">
        <f>IFERROR(__xludf.DUMMYFUNCTION("""COMPUTED_VALUE"""),"7")</f>
        <v>7</v>
      </c>
      <c r="V958" s="6" t="str">
        <f>IFERROR(__xludf.DUMMYFUNCTION("""COMPUTED_VALUE"""),"English")</f>
        <v>English</v>
      </c>
      <c r="W958" s="6" t="str">
        <f>IFERROR(__xludf.DUMMYFUNCTION("""COMPUTED_VALUE"""),"[]")</f>
        <v>[]</v>
      </c>
      <c r="X958" s="6" t="str">
        <f>IFERROR(__xludf.DUMMYFUNCTION("""COMPUTED_VALUE"""),"Enrolled")</f>
        <v>Enrolled</v>
      </c>
    </row>
    <row r="959">
      <c r="A959" s="6" t="str">
        <f>IFERROR(__xludf.DUMMYFUNCTION("""COMPUTED_VALUE"""),"009-1082")</f>
        <v>009-1082</v>
      </c>
      <c r="B959" s="6" t="str">
        <f>IFERROR(__xludf.DUMMYFUNCTION("""COMPUTED_VALUE"""),"9")</f>
        <v>9</v>
      </c>
      <c r="C959" s="6" t="str">
        <f>IFERROR(__xludf.DUMMYFUNCTION("""COMPUTED_VALUE"""),"1082")</f>
        <v>1082</v>
      </c>
      <c r="D959" s="6" t="str">
        <f>IFERROR(__xludf.DUMMYFUNCTION("""COMPUTED_VALUE"""),"Bogdan")</f>
        <v>Bogdan</v>
      </c>
      <c r="E959" s="6" t="str">
        <f>IFERROR(__xludf.DUMMYFUNCTION("""COMPUTED_VALUE"""),"")</f>
        <v/>
      </c>
      <c r="F959" s="6" t="str">
        <f>IFERROR(__xludf.DUMMYFUNCTION("""COMPUTED_VALUE"""),"Plakhuta")</f>
        <v>Plakhuta</v>
      </c>
      <c r="G959" s="6" t="str">
        <f>IFERROR(__xludf.DUMMYFUNCTION("""COMPUTED_VALUE"""),"01/01/2011")</f>
        <v>01/01/2011</v>
      </c>
      <c r="H959" s="6" t="str">
        <f>IFERROR(__xludf.DUMMYFUNCTION("""COMPUTED_VALUE"""),"Self Identify")</f>
        <v>Self Identify</v>
      </c>
      <c r="I959" s="6" t="str">
        <f>IFERROR(__xludf.DUMMYFUNCTION("""COMPUTED_VALUE"""),"Middle School")</f>
        <v>Middle School</v>
      </c>
      <c r="J959" s="6" t="str">
        <f>IFERROR(__xludf.DUMMYFUNCTION("""COMPUTED_VALUE"""),"8")</f>
        <v>8</v>
      </c>
      <c r="K959" s="6" t="str">
        <f>IFERROR(__xludf.DUMMYFUNCTION("""COMPUTED_VALUE"""),"bogdan.plakhuta@2hourlearning.com")</f>
        <v>bogdan.plakhuta@2hourlearning.com</v>
      </c>
      <c r="L959" s="6" t="str">
        <f>IFERROR(__xludf.DUMMYFUNCTION("""COMPUTED_VALUE"""),"Learn and Earn Poland")</f>
        <v>Learn and Earn Poland</v>
      </c>
      <c r="M959" s="6" t="str">
        <f>IFERROR(__xludf.DUMMYFUNCTION("""COMPUTED_VALUE"""),"")</f>
        <v/>
      </c>
      <c r="N959" s="6" t="str">
        <f>IFERROR(__xludf.DUMMYFUNCTION("""COMPUTED_VALUE"""),"")</f>
        <v/>
      </c>
      <c r="O959" s="87" t="str">
        <f>IFERROR(__xludf.DUMMYFUNCTION("""COMPUTED_VALUE"""),"https://drive.google.com/drive/folders/10T2cTQHqEJZqE-st6uFKPoI?usp=share_link")</f>
        <v>https://drive.google.com/drive/folders/10T2cTQHqEJZqE-st6uFKPoI?usp=share_link</v>
      </c>
      <c r="P959" s="6" t="str">
        <f>IFERROR(__xludf.DUMMYFUNCTION("""COMPUTED_VALUE"""),"Bogdan Plakhuta")</f>
        <v>Bogdan Plakhuta</v>
      </c>
      <c r="Q959" s="6" t="str">
        <f>IFERROR(__xludf.DUMMYFUNCTION("""COMPUTED_VALUE"""),"MS")</f>
        <v>MS</v>
      </c>
      <c r="R959" s="6">
        <f>IFERROR(__xludf.DUMMYFUNCTION("""COMPUTED_VALUE"""),0.0)</f>
        <v>0</v>
      </c>
      <c r="S959" s="6" t="str">
        <f>IFERROR(__xludf.DUMMYFUNCTION("""COMPUTED_VALUE""")," ")</f>
        <v> </v>
      </c>
      <c r="T959" s="6" t="str">
        <f>IFERROR(__xludf.DUMMYFUNCTION("""COMPUTED_VALUE"""),"")</f>
        <v/>
      </c>
      <c r="U959" s="6" t="str">
        <f>IFERROR(__xludf.DUMMYFUNCTION("""COMPUTED_VALUE"""),"8")</f>
        <v>8</v>
      </c>
      <c r="V959" s="6" t="str">
        <f>IFERROR(__xludf.DUMMYFUNCTION("""COMPUTED_VALUE"""),"English")</f>
        <v>English</v>
      </c>
      <c r="W959" s="6" t="str">
        <f>IFERROR(__xludf.DUMMYFUNCTION("""COMPUTED_VALUE"""),"[]")</f>
        <v>[]</v>
      </c>
      <c r="X959" s="6" t="str">
        <f>IFERROR(__xludf.DUMMYFUNCTION("""COMPUTED_VALUE"""),"Enrolled")</f>
        <v>Enrolled</v>
      </c>
    </row>
    <row r="960">
      <c r="A960" s="6" t="str">
        <f>IFERROR(__xludf.DUMMYFUNCTION("""COMPUTED_VALUE"""),"009-1083")</f>
        <v>009-1083</v>
      </c>
      <c r="B960" s="6" t="str">
        <f>IFERROR(__xludf.DUMMYFUNCTION("""COMPUTED_VALUE"""),"9")</f>
        <v>9</v>
      </c>
      <c r="C960" s="6" t="str">
        <f>IFERROR(__xludf.DUMMYFUNCTION("""COMPUTED_VALUE"""),"1083")</f>
        <v>1083</v>
      </c>
      <c r="D960" s="6" t="str">
        <f>IFERROR(__xludf.DUMMYFUNCTION("""COMPUTED_VALUE"""),"Kira")</f>
        <v>Kira</v>
      </c>
      <c r="E960" s="6" t="str">
        <f>IFERROR(__xludf.DUMMYFUNCTION("""COMPUTED_VALUE"""),"")</f>
        <v/>
      </c>
      <c r="F960" s="6" t="str">
        <f>IFERROR(__xludf.DUMMYFUNCTION("""COMPUTED_VALUE"""),"Likhachova")</f>
        <v>Likhachova</v>
      </c>
      <c r="G960" s="6" t="str">
        <f>IFERROR(__xludf.DUMMYFUNCTION("""COMPUTED_VALUE"""),"01/01/2011")</f>
        <v>01/01/2011</v>
      </c>
      <c r="H960" s="6" t="str">
        <f>IFERROR(__xludf.DUMMYFUNCTION("""COMPUTED_VALUE"""),"Self Identify")</f>
        <v>Self Identify</v>
      </c>
      <c r="I960" s="6" t="str">
        <f>IFERROR(__xludf.DUMMYFUNCTION("""COMPUTED_VALUE"""),"Middle School")</f>
        <v>Middle School</v>
      </c>
      <c r="J960" s="6" t="str">
        <f>IFERROR(__xludf.DUMMYFUNCTION("""COMPUTED_VALUE"""),"8")</f>
        <v>8</v>
      </c>
      <c r="K960" s="6" t="str">
        <f>IFERROR(__xludf.DUMMYFUNCTION("""COMPUTED_VALUE"""),"kira.likhachova@2hourlearning.com")</f>
        <v>kira.likhachova@2hourlearning.com</v>
      </c>
      <c r="L960" s="6" t="str">
        <f>IFERROR(__xludf.DUMMYFUNCTION("""COMPUTED_VALUE"""),"Learn and Earn Poland")</f>
        <v>Learn and Earn Poland</v>
      </c>
      <c r="M960" s="6" t="str">
        <f>IFERROR(__xludf.DUMMYFUNCTION("""COMPUTED_VALUE"""),"")</f>
        <v/>
      </c>
      <c r="N960" s="6" t="str">
        <f>IFERROR(__xludf.DUMMYFUNCTION("""COMPUTED_VALUE"""),"")</f>
        <v/>
      </c>
      <c r="O960" s="87" t="str">
        <f>IFERROR(__xludf.DUMMYFUNCTION("""COMPUTED_VALUE"""),"https://drive.google.com/drive/folders/10T2cTQHqEJZqE-st6uFKPoI?usp=share_link")</f>
        <v>https://drive.google.com/drive/folders/10T2cTQHqEJZqE-st6uFKPoI?usp=share_link</v>
      </c>
      <c r="P960" s="6" t="str">
        <f>IFERROR(__xludf.DUMMYFUNCTION("""COMPUTED_VALUE"""),"Kira Likhachova")</f>
        <v>Kira Likhachova</v>
      </c>
      <c r="Q960" s="6" t="str">
        <f>IFERROR(__xludf.DUMMYFUNCTION("""COMPUTED_VALUE"""),"MS")</f>
        <v>MS</v>
      </c>
      <c r="R960" s="6">
        <f>IFERROR(__xludf.DUMMYFUNCTION("""COMPUTED_VALUE"""),0.0)</f>
        <v>0</v>
      </c>
      <c r="S960" s="6" t="str">
        <f>IFERROR(__xludf.DUMMYFUNCTION("""COMPUTED_VALUE""")," ")</f>
        <v> </v>
      </c>
      <c r="T960" s="6" t="str">
        <f>IFERROR(__xludf.DUMMYFUNCTION("""COMPUTED_VALUE"""),"")</f>
        <v/>
      </c>
      <c r="U960" s="6" t="str">
        <f>IFERROR(__xludf.DUMMYFUNCTION("""COMPUTED_VALUE"""),"8")</f>
        <v>8</v>
      </c>
      <c r="V960" s="6" t="str">
        <f>IFERROR(__xludf.DUMMYFUNCTION("""COMPUTED_VALUE"""),"English")</f>
        <v>English</v>
      </c>
      <c r="W960" s="6" t="str">
        <f>IFERROR(__xludf.DUMMYFUNCTION("""COMPUTED_VALUE"""),"[]")</f>
        <v>[]</v>
      </c>
      <c r="X960" s="6" t="str">
        <f>IFERROR(__xludf.DUMMYFUNCTION("""COMPUTED_VALUE"""),"Enrolled")</f>
        <v>Enrolled</v>
      </c>
    </row>
    <row r="961">
      <c r="A961" s="6" t="str">
        <f>IFERROR(__xludf.DUMMYFUNCTION("""COMPUTED_VALUE"""),"009-1084")</f>
        <v>009-1084</v>
      </c>
      <c r="B961" s="6" t="str">
        <f>IFERROR(__xludf.DUMMYFUNCTION("""COMPUTED_VALUE"""),"9")</f>
        <v>9</v>
      </c>
      <c r="C961" s="6" t="str">
        <f>IFERROR(__xludf.DUMMYFUNCTION("""COMPUTED_VALUE"""),"1084")</f>
        <v>1084</v>
      </c>
      <c r="D961" s="6" t="str">
        <f>IFERROR(__xludf.DUMMYFUNCTION("""COMPUTED_VALUE"""),"Kostiantyn")</f>
        <v>Kostiantyn</v>
      </c>
      <c r="E961" s="6" t="str">
        <f>IFERROR(__xludf.DUMMYFUNCTION("""COMPUTED_VALUE"""),"")</f>
        <v/>
      </c>
      <c r="F961" s="6" t="str">
        <f>IFERROR(__xludf.DUMMYFUNCTION("""COMPUTED_VALUE"""),"Hnatiuk")</f>
        <v>Hnatiuk</v>
      </c>
      <c r="G961" s="6" t="str">
        <f>IFERROR(__xludf.DUMMYFUNCTION("""COMPUTED_VALUE"""),"01/01/2011")</f>
        <v>01/01/2011</v>
      </c>
      <c r="H961" s="6" t="str">
        <f>IFERROR(__xludf.DUMMYFUNCTION("""COMPUTED_VALUE"""),"Self Identify")</f>
        <v>Self Identify</v>
      </c>
      <c r="I961" s="6" t="str">
        <f>IFERROR(__xludf.DUMMYFUNCTION("""COMPUTED_VALUE"""),"Middle School")</f>
        <v>Middle School</v>
      </c>
      <c r="J961" s="6" t="str">
        <f>IFERROR(__xludf.DUMMYFUNCTION("""COMPUTED_VALUE"""),"8")</f>
        <v>8</v>
      </c>
      <c r="K961" s="6" t="str">
        <f>IFERROR(__xludf.DUMMYFUNCTION("""COMPUTED_VALUE"""),"kostiantyn.hnatiuk@2hourlearning.com")</f>
        <v>kostiantyn.hnatiuk@2hourlearning.com</v>
      </c>
      <c r="L961" s="6" t="str">
        <f>IFERROR(__xludf.DUMMYFUNCTION("""COMPUTED_VALUE"""),"Learn and Earn Poland")</f>
        <v>Learn and Earn Poland</v>
      </c>
      <c r="M961" s="6" t="str">
        <f>IFERROR(__xludf.DUMMYFUNCTION("""COMPUTED_VALUE"""),"")</f>
        <v/>
      </c>
      <c r="N961" s="6" t="str">
        <f>IFERROR(__xludf.DUMMYFUNCTION("""COMPUTED_VALUE"""),"")</f>
        <v/>
      </c>
      <c r="O961" s="87" t="str">
        <f>IFERROR(__xludf.DUMMYFUNCTION("""COMPUTED_VALUE"""),"https://drive.google.com/drive/folders/10T2cTQHqEJZqE-st6uFKPoI?usp=share_link")</f>
        <v>https://drive.google.com/drive/folders/10T2cTQHqEJZqE-st6uFKPoI?usp=share_link</v>
      </c>
      <c r="P961" s="6" t="str">
        <f>IFERROR(__xludf.DUMMYFUNCTION("""COMPUTED_VALUE"""),"Kostiantyn Hnatiuk")</f>
        <v>Kostiantyn Hnatiuk</v>
      </c>
      <c r="Q961" s="6" t="str">
        <f>IFERROR(__xludf.DUMMYFUNCTION("""COMPUTED_VALUE"""),"MS")</f>
        <v>MS</v>
      </c>
      <c r="R961" s="6">
        <f>IFERROR(__xludf.DUMMYFUNCTION("""COMPUTED_VALUE"""),0.0)</f>
        <v>0</v>
      </c>
      <c r="S961" s="6" t="str">
        <f>IFERROR(__xludf.DUMMYFUNCTION("""COMPUTED_VALUE""")," ")</f>
        <v> </v>
      </c>
      <c r="T961" s="6" t="str">
        <f>IFERROR(__xludf.DUMMYFUNCTION("""COMPUTED_VALUE"""),"")</f>
        <v/>
      </c>
      <c r="U961" s="6" t="str">
        <f>IFERROR(__xludf.DUMMYFUNCTION("""COMPUTED_VALUE"""),"8")</f>
        <v>8</v>
      </c>
      <c r="V961" s="6" t="str">
        <f>IFERROR(__xludf.DUMMYFUNCTION("""COMPUTED_VALUE"""),"English")</f>
        <v>English</v>
      </c>
      <c r="W961" s="6" t="str">
        <f>IFERROR(__xludf.DUMMYFUNCTION("""COMPUTED_VALUE"""),"[]")</f>
        <v>[]</v>
      </c>
      <c r="X961" s="6" t="str">
        <f>IFERROR(__xludf.DUMMYFUNCTION("""COMPUTED_VALUE"""),"Enrolled")</f>
        <v>Enrolled</v>
      </c>
    </row>
    <row r="962">
      <c r="A962" s="6" t="str">
        <f>IFERROR(__xludf.DUMMYFUNCTION("""COMPUTED_VALUE"""),"009-1085")</f>
        <v>009-1085</v>
      </c>
      <c r="B962" s="6" t="str">
        <f>IFERROR(__xludf.DUMMYFUNCTION("""COMPUTED_VALUE"""),"9")</f>
        <v>9</v>
      </c>
      <c r="C962" s="6" t="str">
        <f>IFERROR(__xludf.DUMMYFUNCTION("""COMPUTED_VALUE"""),"1085")</f>
        <v>1085</v>
      </c>
      <c r="D962" s="6" t="str">
        <f>IFERROR(__xludf.DUMMYFUNCTION("""COMPUTED_VALUE"""),"Kseniia")</f>
        <v>Kseniia</v>
      </c>
      <c r="E962" s="6" t="str">
        <f>IFERROR(__xludf.DUMMYFUNCTION("""COMPUTED_VALUE"""),"")</f>
        <v/>
      </c>
      <c r="F962" s="6" t="str">
        <f>IFERROR(__xludf.DUMMYFUNCTION("""COMPUTED_VALUE"""),"Zavadska")</f>
        <v>Zavadska</v>
      </c>
      <c r="G962" s="6" t="str">
        <f>IFERROR(__xludf.DUMMYFUNCTION("""COMPUTED_VALUE"""),"01/01/2011")</f>
        <v>01/01/2011</v>
      </c>
      <c r="H962" s="6" t="str">
        <f>IFERROR(__xludf.DUMMYFUNCTION("""COMPUTED_VALUE"""),"Self Identify")</f>
        <v>Self Identify</v>
      </c>
      <c r="I962" s="6" t="str">
        <f>IFERROR(__xludf.DUMMYFUNCTION("""COMPUTED_VALUE"""),"Middle School")</f>
        <v>Middle School</v>
      </c>
      <c r="J962" s="6" t="str">
        <f>IFERROR(__xludf.DUMMYFUNCTION("""COMPUTED_VALUE"""),"8")</f>
        <v>8</v>
      </c>
      <c r="K962" s="6" t="str">
        <f>IFERROR(__xludf.DUMMYFUNCTION("""COMPUTED_VALUE"""),"kseniia.zavadska@2hourlearning.com")</f>
        <v>kseniia.zavadska@2hourlearning.com</v>
      </c>
      <c r="L962" s="6" t="str">
        <f>IFERROR(__xludf.DUMMYFUNCTION("""COMPUTED_VALUE"""),"Learn and Earn Poland")</f>
        <v>Learn and Earn Poland</v>
      </c>
      <c r="M962" s="6" t="str">
        <f>IFERROR(__xludf.DUMMYFUNCTION("""COMPUTED_VALUE"""),"")</f>
        <v/>
      </c>
      <c r="N962" s="6" t="str">
        <f>IFERROR(__xludf.DUMMYFUNCTION("""COMPUTED_VALUE"""),"")</f>
        <v/>
      </c>
      <c r="O962" s="87" t="str">
        <f>IFERROR(__xludf.DUMMYFUNCTION("""COMPUTED_VALUE"""),"https://drive.google.com/drive/folders/10T2cTQHqEJZqE-st6uFKPoI?usp=share_link")</f>
        <v>https://drive.google.com/drive/folders/10T2cTQHqEJZqE-st6uFKPoI?usp=share_link</v>
      </c>
      <c r="P962" s="6" t="str">
        <f>IFERROR(__xludf.DUMMYFUNCTION("""COMPUTED_VALUE"""),"Kseniia Zavadska")</f>
        <v>Kseniia Zavadska</v>
      </c>
      <c r="Q962" s="6" t="str">
        <f>IFERROR(__xludf.DUMMYFUNCTION("""COMPUTED_VALUE"""),"MS")</f>
        <v>MS</v>
      </c>
      <c r="R962" s="6">
        <f>IFERROR(__xludf.DUMMYFUNCTION("""COMPUTED_VALUE"""),0.0)</f>
        <v>0</v>
      </c>
      <c r="S962" s="6" t="str">
        <f>IFERROR(__xludf.DUMMYFUNCTION("""COMPUTED_VALUE""")," ")</f>
        <v> </v>
      </c>
      <c r="T962" s="6" t="str">
        <f>IFERROR(__xludf.DUMMYFUNCTION("""COMPUTED_VALUE"""),"")</f>
        <v/>
      </c>
      <c r="U962" s="6" t="str">
        <f>IFERROR(__xludf.DUMMYFUNCTION("""COMPUTED_VALUE"""),"8")</f>
        <v>8</v>
      </c>
      <c r="V962" s="6" t="str">
        <f>IFERROR(__xludf.DUMMYFUNCTION("""COMPUTED_VALUE"""),"English")</f>
        <v>English</v>
      </c>
      <c r="W962" s="6" t="str">
        <f>IFERROR(__xludf.DUMMYFUNCTION("""COMPUTED_VALUE"""),"[]")</f>
        <v>[]</v>
      </c>
      <c r="X962" s="6" t="str">
        <f>IFERROR(__xludf.DUMMYFUNCTION("""COMPUTED_VALUE"""),"Enrolled")</f>
        <v>Enrolled</v>
      </c>
    </row>
    <row r="963">
      <c r="A963" s="6" t="str">
        <f>IFERROR(__xludf.DUMMYFUNCTION("""COMPUTED_VALUE"""),"009-1086")</f>
        <v>009-1086</v>
      </c>
      <c r="B963" s="6" t="str">
        <f>IFERROR(__xludf.DUMMYFUNCTION("""COMPUTED_VALUE"""),"9")</f>
        <v>9</v>
      </c>
      <c r="C963" s="6" t="str">
        <f>IFERROR(__xludf.DUMMYFUNCTION("""COMPUTED_VALUE"""),"1086")</f>
        <v>1086</v>
      </c>
      <c r="D963" s="6" t="str">
        <f>IFERROR(__xludf.DUMMYFUNCTION("""COMPUTED_VALUE"""),"Nikita")</f>
        <v>Nikita</v>
      </c>
      <c r="E963" s="6" t="str">
        <f>IFERROR(__xludf.DUMMYFUNCTION("""COMPUTED_VALUE"""),"")</f>
        <v/>
      </c>
      <c r="F963" s="6" t="str">
        <f>IFERROR(__xludf.DUMMYFUNCTION("""COMPUTED_VALUE"""),"Kornienko")</f>
        <v>Kornienko</v>
      </c>
      <c r="G963" s="6" t="str">
        <f>IFERROR(__xludf.DUMMYFUNCTION("""COMPUTED_VALUE"""),"01/01/2011")</f>
        <v>01/01/2011</v>
      </c>
      <c r="H963" s="6" t="str">
        <f>IFERROR(__xludf.DUMMYFUNCTION("""COMPUTED_VALUE"""),"Self Identify")</f>
        <v>Self Identify</v>
      </c>
      <c r="I963" s="6" t="str">
        <f>IFERROR(__xludf.DUMMYFUNCTION("""COMPUTED_VALUE"""),"Middle School")</f>
        <v>Middle School</v>
      </c>
      <c r="J963" s="6" t="str">
        <f>IFERROR(__xludf.DUMMYFUNCTION("""COMPUTED_VALUE"""),"8")</f>
        <v>8</v>
      </c>
      <c r="K963" s="6" t="str">
        <f>IFERROR(__xludf.DUMMYFUNCTION("""COMPUTED_VALUE"""),"nikita.kornienko@2hourlearning.com")</f>
        <v>nikita.kornienko@2hourlearning.com</v>
      </c>
      <c r="L963" s="6" t="str">
        <f>IFERROR(__xludf.DUMMYFUNCTION("""COMPUTED_VALUE"""),"Learn and Earn Poland")</f>
        <v>Learn and Earn Poland</v>
      </c>
      <c r="M963" s="6" t="str">
        <f>IFERROR(__xludf.DUMMYFUNCTION("""COMPUTED_VALUE"""),"")</f>
        <v/>
      </c>
      <c r="N963" s="6" t="str">
        <f>IFERROR(__xludf.DUMMYFUNCTION("""COMPUTED_VALUE"""),"")</f>
        <v/>
      </c>
      <c r="O963" s="87" t="str">
        <f>IFERROR(__xludf.DUMMYFUNCTION("""COMPUTED_VALUE"""),"https://drive.google.com/drive/folders/10T2cTQHqEJZqE-st6uFKPoI?usp=share_link")</f>
        <v>https://drive.google.com/drive/folders/10T2cTQHqEJZqE-st6uFKPoI?usp=share_link</v>
      </c>
      <c r="P963" s="6" t="str">
        <f>IFERROR(__xludf.DUMMYFUNCTION("""COMPUTED_VALUE"""),"Nikita Kornienko")</f>
        <v>Nikita Kornienko</v>
      </c>
      <c r="Q963" s="6" t="str">
        <f>IFERROR(__xludf.DUMMYFUNCTION("""COMPUTED_VALUE"""),"MS")</f>
        <v>MS</v>
      </c>
      <c r="R963" s="6">
        <f>IFERROR(__xludf.DUMMYFUNCTION("""COMPUTED_VALUE"""),0.0)</f>
        <v>0</v>
      </c>
      <c r="S963" s="6" t="str">
        <f>IFERROR(__xludf.DUMMYFUNCTION("""COMPUTED_VALUE""")," ")</f>
        <v> </v>
      </c>
      <c r="T963" s="6" t="str">
        <f>IFERROR(__xludf.DUMMYFUNCTION("""COMPUTED_VALUE"""),"")</f>
        <v/>
      </c>
      <c r="U963" s="6" t="str">
        <f>IFERROR(__xludf.DUMMYFUNCTION("""COMPUTED_VALUE"""),"8")</f>
        <v>8</v>
      </c>
      <c r="V963" s="6" t="str">
        <f>IFERROR(__xludf.DUMMYFUNCTION("""COMPUTED_VALUE"""),"English")</f>
        <v>English</v>
      </c>
      <c r="W963" s="6" t="str">
        <f>IFERROR(__xludf.DUMMYFUNCTION("""COMPUTED_VALUE"""),"[]")</f>
        <v>[]</v>
      </c>
      <c r="X963" s="6" t="str">
        <f>IFERROR(__xludf.DUMMYFUNCTION("""COMPUTED_VALUE"""),"Enrolled")</f>
        <v>Enrolled</v>
      </c>
    </row>
    <row r="964">
      <c r="A964" s="6" t="str">
        <f>IFERROR(__xludf.DUMMYFUNCTION("""COMPUTED_VALUE"""),"009-1087")</f>
        <v>009-1087</v>
      </c>
      <c r="B964" s="6" t="str">
        <f>IFERROR(__xludf.DUMMYFUNCTION("""COMPUTED_VALUE"""),"9")</f>
        <v>9</v>
      </c>
      <c r="C964" s="6" t="str">
        <f>IFERROR(__xludf.DUMMYFUNCTION("""COMPUTED_VALUE"""),"1087")</f>
        <v>1087</v>
      </c>
      <c r="D964" s="6" t="str">
        <f>IFERROR(__xludf.DUMMYFUNCTION("""COMPUTED_VALUE"""),"Nikita")</f>
        <v>Nikita</v>
      </c>
      <c r="E964" s="6" t="str">
        <f>IFERROR(__xludf.DUMMYFUNCTION("""COMPUTED_VALUE"""),"")</f>
        <v/>
      </c>
      <c r="F964" s="6" t="str">
        <f>IFERROR(__xludf.DUMMYFUNCTION("""COMPUTED_VALUE"""),"Valkov")</f>
        <v>Valkov</v>
      </c>
      <c r="G964" s="6" t="str">
        <f>IFERROR(__xludf.DUMMYFUNCTION("""COMPUTED_VALUE"""),"01/01/2011")</f>
        <v>01/01/2011</v>
      </c>
      <c r="H964" s="6" t="str">
        <f>IFERROR(__xludf.DUMMYFUNCTION("""COMPUTED_VALUE"""),"Self Identify")</f>
        <v>Self Identify</v>
      </c>
      <c r="I964" s="6" t="str">
        <f>IFERROR(__xludf.DUMMYFUNCTION("""COMPUTED_VALUE"""),"Middle School")</f>
        <v>Middle School</v>
      </c>
      <c r="J964" s="6" t="str">
        <f>IFERROR(__xludf.DUMMYFUNCTION("""COMPUTED_VALUE"""),"8")</f>
        <v>8</v>
      </c>
      <c r="K964" s="6" t="str">
        <f>IFERROR(__xludf.DUMMYFUNCTION("""COMPUTED_VALUE"""),"nikita.valkov@2hourlearning.com")</f>
        <v>nikita.valkov@2hourlearning.com</v>
      </c>
      <c r="L964" s="6" t="str">
        <f>IFERROR(__xludf.DUMMYFUNCTION("""COMPUTED_VALUE"""),"Learn and Earn Poland")</f>
        <v>Learn and Earn Poland</v>
      </c>
      <c r="M964" s="6" t="str">
        <f>IFERROR(__xludf.DUMMYFUNCTION("""COMPUTED_VALUE"""),"")</f>
        <v/>
      </c>
      <c r="N964" s="6" t="str">
        <f>IFERROR(__xludf.DUMMYFUNCTION("""COMPUTED_VALUE"""),"")</f>
        <v/>
      </c>
      <c r="O964" s="87" t="str">
        <f>IFERROR(__xludf.DUMMYFUNCTION("""COMPUTED_VALUE"""),"https://drive.google.com/drive/folders/10T2cTQHqEJZqE-st6uFKPoI?usp=share_link")</f>
        <v>https://drive.google.com/drive/folders/10T2cTQHqEJZqE-st6uFKPoI?usp=share_link</v>
      </c>
      <c r="P964" s="6" t="str">
        <f>IFERROR(__xludf.DUMMYFUNCTION("""COMPUTED_VALUE"""),"Nikita Valkov")</f>
        <v>Nikita Valkov</v>
      </c>
      <c r="Q964" s="6" t="str">
        <f>IFERROR(__xludf.DUMMYFUNCTION("""COMPUTED_VALUE"""),"MS")</f>
        <v>MS</v>
      </c>
      <c r="R964" s="6">
        <f>IFERROR(__xludf.DUMMYFUNCTION("""COMPUTED_VALUE"""),0.0)</f>
        <v>0</v>
      </c>
      <c r="S964" s="6" t="str">
        <f>IFERROR(__xludf.DUMMYFUNCTION("""COMPUTED_VALUE""")," ")</f>
        <v> </v>
      </c>
      <c r="T964" s="6" t="str">
        <f>IFERROR(__xludf.DUMMYFUNCTION("""COMPUTED_VALUE"""),"")</f>
        <v/>
      </c>
      <c r="U964" s="6" t="str">
        <f>IFERROR(__xludf.DUMMYFUNCTION("""COMPUTED_VALUE"""),"8")</f>
        <v>8</v>
      </c>
      <c r="V964" s="6" t="str">
        <f>IFERROR(__xludf.DUMMYFUNCTION("""COMPUTED_VALUE"""),"English")</f>
        <v>English</v>
      </c>
      <c r="W964" s="6" t="str">
        <f>IFERROR(__xludf.DUMMYFUNCTION("""COMPUTED_VALUE"""),"[]")</f>
        <v>[]</v>
      </c>
      <c r="X964" s="6" t="str">
        <f>IFERROR(__xludf.DUMMYFUNCTION("""COMPUTED_VALUE"""),"Enrolled")</f>
        <v>Enrolled</v>
      </c>
    </row>
    <row r="965">
      <c r="A965" s="6" t="str">
        <f>IFERROR(__xludf.DUMMYFUNCTION("""COMPUTED_VALUE"""),"009-1088")</f>
        <v>009-1088</v>
      </c>
      <c r="B965" s="6" t="str">
        <f>IFERROR(__xludf.DUMMYFUNCTION("""COMPUTED_VALUE"""),"9")</f>
        <v>9</v>
      </c>
      <c r="C965" s="6" t="str">
        <f>IFERROR(__xludf.DUMMYFUNCTION("""COMPUTED_VALUE"""),"1088")</f>
        <v>1088</v>
      </c>
      <c r="D965" s="6" t="str">
        <f>IFERROR(__xludf.DUMMYFUNCTION("""COMPUTED_VALUE"""),"Snizhana")</f>
        <v>Snizhana</v>
      </c>
      <c r="E965" s="6" t="str">
        <f>IFERROR(__xludf.DUMMYFUNCTION("""COMPUTED_VALUE"""),"")</f>
        <v/>
      </c>
      <c r="F965" s="6" t="str">
        <f>IFERROR(__xludf.DUMMYFUNCTION("""COMPUTED_VALUE"""),"Likhachova")</f>
        <v>Likhachova</v>
      </c>
      <c r="G965" s="6" t="str">
        <f>IFERROR(__xludf.DUMMYFUNCTION("""COMPUTED_VALUE"""),"01/01/2011")</f>
        <v>01/01/2011</v>
      </c>
      <c r="H965" s="6" t="str">
        <f>IFERROR(__xludf.DUMMYFUNCTION("""COMPUTED_VALUE"""),"Self Identify")</f>
        <v>Self Identify</v>
      </c>
      <c r="I965" s="6" t="str">
        <f>IFERROR(__xludf.DUMMYFUNCTION("""COMPUTED_VALUE"""),"Middle School")</f>
        <v>Middle School</v>
      </c>
      <c r="J965" s="6" t="str">
        <f>IFERROR(__xludf.DUMMYFUNCTION("""COMPUTED_VALUE"""),"8")</f>
        <v>8</v>
      </c>
      <c r="K965" s="6" t="str">
        <f>IFERROR(__xludf.DUMMYFUNCTION("""COMPUTED_VALUE"""),"snizhana.likhachova@2hourlearning.com")</f>
        <v>snizhana.likhachova@2hourlearning.com</v>
      </c>
      <c r="L965" s="6" t="str">
        <f>IFERROR(__xludf.DUMMYFUNCTION("""COMPUTED_VALUE"""),"Learn and Earn Poland")</f>
        <v>Learn and Earn Poland</v>
      </c>
      <c r="M965" s="6" t="str">
        <f>IFERROR(__xludf.DUMMYFUNCTION("""COMPUTED_VALUE"""),"")</f>
        <v/>
      </c>
      <c r="N965" s="6" t="str">
        <f>IFERROR(__xludf.DUMMYFUNCTION("""COMPUTED_VALUE"""),"")</f>
        <v/>
      </c>
      <c r="O965" s="87" t="str">
        <f>IFERROR(__xludf.DUMMYFUNCTION("""COMPUTED_VALUE"""),"https://drive.google.com/drive/folders/10T2cTQHqEJZqE-st6uFKPoI?usp=share_link")</f>
        <v>https://drive.google.com/drive/folders/10T2cTQHqEJZqE-st6uFKPoI?usp=share_link</v>
      </c>
      <c r="P965" s="6" t="str">
        <f>IFERROR(__xludf.DUMMYFUNCTION("""COMPUTED_VALUE"""),"Snizhana Likhachova")</f>
        <v>Snizhana Likhachova</v>
      </c>
      <c r="Q965" s="6" t="str">
        <f>IFERROR(__xludf.DUMMYFUNCTION("""COMPUTED_VALUE"""),"MS")</f>
        <v>MS</v>
      </c>
      <c r="R965" s="6">
        <f>IFERROR(__xludf.DUMMYFUNCTION("""COMPUTED_VALUE"""),0.0)</f>
        <v>0</v>
      </c>
      <c r="S965" s="6" t="str">
        <f>IFERROR(__xludf.DUMMYFUNCTION("""COMPUTED_VALUE""")," ")</f>
        <v> </v>
      </c>
      <c r="T965" s="6" t="str">
        <f>IFERROR(__xludf.DUMMYFUNCTION("""COMPUTED_VALUE"""),"")</f>
        <v/>
      </c>
      <c r="U965" s="6" t="str">
        <f>IFERROR(__xludf.DUMMYFUNCTION("""COMPUTED_VALUE"""),"8")</f>
        <v>8</v>
      </c>
      <c r="V965" s="6" t="str">
        <f>IFERROR(__xludf.DUMMYFUNCTION("""COMPUTED_VALUE"""),"English")</f>
        <v>English</v>
      </c>
      <c r="W965" s="6" t="str">
        <f>IFERROR(__xludf.DUMMYFUNCTION("""COMPUTED_VALUE"""),"[]")</f>
        <v>[]</v>
      </c>
      <c r="X965" s="6" t="str">
        <f>IFERROR(__xludf.DUMMYFUNCTION("""COMPUTED_VALUE"""),"Enrolled")</f>
        <v>Enrolled</v>
      </c>
    </row>
    <row r="966">
      <c r="A966" s="6" t="str">
        <f>IFERROR(__xludf.DUMMYFUNCTION("""COMPUTED_VALUE"""),"009-1089")</f>
        <v>009-1089</v>
      </c>
      <c r="B966" s="6" t="str">
        <f>IFERROR(__xludf.DUMMYFUNCTION("""COMPUTED_VALUE"""),"9")</f>
        <v>9</v>
      </c>
      <c r="C966" s="6" t="str">
        <f>IFERROR(__xludf.DUMMYFUNCTION("""COMPUTED_VALUE"""),"1089")</f>
        <v>1089</v>
      </c>
      <c r="D966" s="6" t="str">
        <f>IFERROR(__xludf.DUMMYFUNCTION("""COMPUTED_VALUE"""),"Vechirko")</f>
        <v>Vechirko</v>
      </c>
      <c r="E966" s="6" t="str">
        <f>IFERROR(__xludf.DUMMYFUNCTION("""COMPUTED_VALUE"""),"")</f>
        <v/>
      </c>
      <c r="F966" s="6" t="str">
        <f>IFERROR(__xludf.DUMMYFUNCTION("""COMPUTED_VALUE"""),"Oleksii")</f>
        <v>Oleksii</v>
      </c>
      <c r="G966" s="6" t="str">
        <f>IFERROR(__xludf.DUMMYFUNCTION("""COMPUTED_VALUE"""),"01/01/2011")</f>
        <v>01/01/2011</v>
      </c>
      <c r="H966" s="6" t="str">
        <f>IFERROR(__xludf.DUMMYFUNCTION("""COMPUTED_VALUE"""),"Self Identify")</f>
        <v>Self Identify</v>
      </c>
      <c r="I966" s="6" t="str">
        <f>IFERROR(__xludf.DUMMYFUNCTION("""COMPUTED_VALUE"""),"Middle School")</f>
        <v>Middle School</v>
      </c>
      <c r="J966" s="6" t="str">
        <f>IFERROR(__xludf.DUMMYFUNCTION("""COMPUTED_VALUE"""),"8")</f>
        <v>8</v>
      </c>
      <c r="K966" s="6" t="str">
        <f>IFERROR(__xludf.DUMMYFUNCTION("""COMPUTED_VALUE"""),"vechirko.oleksii@2hourlearning.com")</f>
        <v>vechirko.oleksii@2hourlearning.com</v>
      </c>
      <c r="L966" s="6" t="str">
        <f>IFERROR(__xludf.DUMMYFUNCTION("""COMPUTED_VALUE"""),"Learn and Earn Poland")</f>
        <v>Learn and Earn Poland</v>
      </c>
      <c r="M966" s="6" t="str">
        <f>IFERROR(__xludf.DUMMYFUNCTION("""COMPUTED_VALUE"""),"")</f>
        <v/>
      </c>
      <c r="N966" s="6" t="str">
        <f>IFERROR(__xludf.DUMMYFUNCTION("""COMPUTED_VALUE"""),"")</f>
        <v/>
      </c>
      <c r="O966" s="87" t="str">
        <f>IFERROR(__xludf.DUMMYFUNCTION("""COMPUTED_VALUE"""),"https://drive.google.com/drive/folders/10T2cTQHqEJZqE-st6uFKPoI?usp=share_link")</f>
        <v>https://drive.google.com/drive/folders/10T2cTQHqEJZqE-st6uFKPoI?usp=share_link</v>
      </c>
      <c r="P966" s="6" t="str">
        <f>IFERROR(__xludf.DUMMYFUNCTION("""COMPUTED_VALUE"""),"Vechirko Oleksii")</f>
        <v>Vechirko Oleksii</v>
      </c>
      <c r="Q966" s="6" t="str">
        <f>IFERROR(__xludf.DUMMYFUNCTION("""COMPUTED_VALUE"""),"MS")</f>
        <v>MS</v>
      </c>
      <c r="R966" s="6">
        <f>IFERROR(__xludf.DUMMYFUNCTION("""COMPUTED_VALUE"""),0.0)</f>
        <v>0</v>
      </c>
      <c r="S966" s="6" t="str">
        <f>IFERROR(__xludf.DUMMYFUNCTION("""COMPUTED_VALUE""")," ")</f>
        <v> </v>
      </c>
      <c r="T966" s="6" t="str">
        <f>IFERROR(__xludf.DUMMYFUNCTION("""COMPUTED_VALUE"""),"")</f>
        <v/>
      </c>
      <c r="U966" s="6" t="str">
        <f>IFERROR(__xludf.DUMMYFUNCTION("""COMPUTED_VALUE"""),"8")</f>
        <v>8</v>
      </c>
      <c r="V966" s="6" t="str">
        <f>IFERROR(__xludf.DUMMYFUNCTION("""COMPUTED_VALUE"""),"English")</f>
        <v>English</v>
      </c>
      <c r="W966" s="6" t="str">
        <f>IFERROR(__xludf.DUMMYFUNCTION("""COMPUTED_VALUE"""),"[]")</f>
        <v>[]</v>
      </c>
      <c r="X966" s="6" t="str">
        <f>IFERROR(__xludf.DUMMYFUNCTION("""COMPUTED_VALUE"""),"Enrolled")</f>
        <v>Enrolled</v>
      </c>
    </row>
    <row r="967">
      <c r="A967" s="6" t="str">
        <f>IFERROR(__xludf.DUMMYFUNCTION("""COMPUTED_VALUE"""),"009-1090")</f>
        <v>009-1090</v>
      </c>
      <c r="B967" s="6" t="str">
        <f>IFERROR(__xludf.DUMMYFUNCTION("""COMPUTED_VALUE"""),"9")</f>
        <v>9</v>
      </c>
      <c r="C967" s="6" t="str">
        <f>IFERROR(__xludf.DUMMYFUNCTION("""COMPUTED_VALUE"""),"1090")</f>
        <v>1090</v>
      </c>
      <c r="D967" s="6" t="str">
        <f>IFERROR(__xludf.DUMMYFUNCTION("""COMPUTED_VALUE"""),"Zlatoslava")</f>
        <v>Zlatoslava</v>
      </c>
      <c r="E967" s="6" t="str">
        <f>IFERROR(__xludf.DUMMYFUNCTION("""COMPUTED_VALUE"""),"")</f>
        <v/>
      </c>
      <c r="F967" s="6" t="str">
        <f>IFERROR(__xludf.DUMMYFUNCTION("""COMPUTED_VALUE"""),"Ivantsova")</f>
        <v>Ivantsova</v>
      </c>
      <c r="G967" s="6" t="str">
        <f>IFERROR(__xludf.DUMMYFUNCTION("""COMPUTED_VALUE"""),"01/01/2011")</f>
        <v>01/01/2011</v>
      </c>
      <c r="H967" s="6" t="str">
        <f>IFERROR(__xludf.DUMMYFUNCTION("""COMPUTED_VALUE"""),"Self Identify")</f>
        <v>Self Identify</v>
      </c>
      <c r="I967" s="6" t="str">
        <f>IFERROR(__xludf.DUMMYFUNCTION("""COMPUTED_VALUE"""),"Middle School")</f>
        <v>Middle School</v>
      </c>
      <c r="J967" s="6" t="str">
        <f>IFERROR(__xludf.DUMMYFUNCTION("""COMPUTED_VALUE"""),"8")</f>
        <v>8</v>
      </c>
      <c r="K967" s="6" t="str">
        <f>IFERROR(__xludf.DUMMYFUNCTION("""COMPUTED_VALUE"""),"zlatoslava.ivantsova@2hourlearning.com")</f>
        <v>zlatoslava.ivantsova@2hourlearning.com</v>
      </c>
      <c r="L967" s="6" t="str">
        <f>IFERROR(__xludf.DUMMYFUNCTION("""COMPUTED_VALUE"""),"Learn and Earn Poland")</f>
        <v>Learn and Earn Poland</v>
      </c>
      <c r="M967" s="6" t="str">
        <f>IFERROR(__xludf.DUMMYFUNCTION("""COMPUTED_VALUE"""),"")</f>
        <v/>
      </c>
      <c r="N967" s="6" t="str">
        <f>IFERROR(__xludf.DUMMYFUNCTION("""COMPUTED_VALUE"""),"")</f>
        <v/>
      </c>
      <c r="O967" s="87" t="str">
        <f>IFERROR(__xludf.DUMMYFUNCTION("""COMPUTED_VALUE"""),"https://drive.google.com/drive/folders/10T2cTQHqEJZqE-st6uFKPoI?usp=share_link")</f>
        <v>https://drive.google.com/drive/folders/10T2cTQHqEJZqE-st6uFKPoI?usp=share_link</v>
      </c>
      <c r="P967" s="6" t="str">
        <f>IFERROR(__xludf.DUMMYFUNCTION("""COMPUTED_VALUE"""),"Zlatoslava Ivantsova")</f>
        <v>Zlatoslava Ivantsova</v>
      </c>
      <c r="Q967" s="6" t="str">
        <f>IFERROR(__xludf.DUMMYFUNCTION("""COMPUTED_VALUE"""),"MS")</f>
        <v>MS</v>
      </c>
      <c r="R967" s="6">
        <f>IFERROR(__xludf.DUMMYFUNCTION("""COMPUTED_VALUE"""),0.0)</f>
        <v>0</v>
      </c>
      <c r="S967" s="6" t="str">
        <f>IFERROR(__xludf.DUMMYFUNCTION("""COMPUTED_VALUE""")," ")</f>
        <v> </v>
      </c>
      <c r="T967" s="6" t="str">
        <f>IFERROR(__xludf.DUMMYFUNCTION("""COMPUTED_VALUE"""),"")</f>
        <v/>
      </c>
      <c r="U967" s="6" t="str">
        <f>IFERROR(__xludf.DUMMYFUNCTION("""COMPUTED_VALUE"""),"8")</f>
        <v>8</v>
      </c>
      <c r="V967" s="6" t="str">
        <f>IFERROR(__xludf.DUMMYFUNCTION("""COMPUTED_VALUE"""),"English")</f>
        <v>English</v>
      </c>
      <c r="W967" s="6" t="str">
        <f>IFERROR(__xludf.DUMMYFUNCTION("""COMPUTED_VALUE"""),"[]")</f>
        <v>[]</v>
      </c>
      <c r="X967" s="6" t="str">
        <f>IFERROR(__xludf.DUMMYFUNCTION("""COMPUTED_VALUE"""),"Enrolled")</f>
        <v>Enrolled</v>
      </c>
    </row>
    <row r="968">
      <c r="A968" s="6" t="str">
        <f>IFERROR(__xludf.DUMMYFUNCTION("""COMPUTED_VALUE"""),"009-1091")</f>
        <v>009-1091</v>
      </c>
      <c r="B968" s="6" t="str">
        <f>IFERROR(__xludf.DUMMYFUNCTION("""COMPUTED_VALUE"""),"9")</f>
        <v>9</v>
      </c>
      <c r="C968" s="6" t="str">
        <f>IFERROR(__xludf.DUMMYFUNCTION("""COMPUTED_VALUE"""),"1091")</f>
        <v>1091</v>
      </c>
      <c r="D968" s="6" t="str">
        <f>IFERROR(__xludf.DUMMYFUNCTION("""COMPUTED_VALUE"""),"Artur")</f>
        <v>Artur</v>
      </c>
      <c r="E968" s="6" t="str">
        <f>IFERROR(__xludf.DUMMYFUNCTION("""COMPUTED_VALUE"""),"")</f>
        <v/>
      </c>
      <c r="F968" s="6" t="str">
        <f>IFERROR(__xludf.DUMMYFUNCTION("""COMPUTED_VALUE"""),"Simkin")</f>
        <v>Simkin</v>
      </c>
      <c r="G968" s="6" t="str">
        <f>IFERROR(__xludf.DUMMYFUNCTION("""COMPUTED_VALUE"""),"01/01/2010")</f>
        <v>01/01/2010</v>
      </c>
      <c r="H968" s="6" t="str">
        <f>IFERROR(__xludf.DUMMYFUNCTION("""COMPUTED_VALUE"""),"Self Identify")</f>
        <v>Self Identify</v>
      </c>
      <c r="I968" s="6" t="str">
        <f>IFERROR(__xludf.DUMMYFUNCTION("""COMPUTED_VALUE"""),"High School")</f>
        <v>High School</v>
      </c>
      <c r="J968" s="6" t="str">
        <f>IFERROR(__xludf.DUMMYFUNCTION("""COMPUTED_VALUE"""),"9")</f>
        <v>9</v>
      </c>
      <c r="K968" s="6" t="str">
        <f>IFERROR(__xludf.DUMMYFUNCTION("""COMPUTED_VALUE"""),"artur.simkin@2hourlearning.com")</f>
        <v>artur.simkin@2hourlearning.com</v>
      </c>
      <c r="L968" s="6" t="str">
        <f>IFERROR(__xludf.DUMMYFUNCTION("""COMPUTED_VALUE"""),"Learn and Earn Poland")</f>
        <v>Learn and Earn Poland</v>
      </c>
      <c r="M968" s="6" t="str">
        <f>IFERROR(__xludf.DUMMYFUNCTION("""COMPUTED_VALUE"""),"")</f>
        <v/>
      </c>
      <c r="N968" s="6" t="str">
        <f>IFERROR(__xludf.DUMMYFUNCTION("""COMPUTED_VALUE"""),"")</f>
        <v/>
      </c>
      <c r="O968" s="87" t="str">
        <f>IFERROR(__xludf.DUMMYFUNCTION("""COMPUTED_VALUE"""),"https://drive.google.com/drive/folders/10T2cTQHqEJZqE-st6uFKPoI?usp=share_link")</f>
        <v>https://drive.google.com/drive/folders/10T2cTQHqEJZqE-st6uFKPoI?usp=share_link</v>
      </c>
      <c r="P968" s="6" t="str">
        <f>IFERROR(__xludf.DUMMYFUNCTION("""COMPUTED_VALUE"""),"Artur Simkin")</f>
        <v>Artur Simkin</v>
      </c>
      <c r="Q968" s="6" t="str">
        <f>IFERROR(__xludf.DUMMYFUNCTION("""COMPUTED_VALUE"""),"HS")</f>
        <v>HS</v>
      </c>
      <c r="R968" s="6">
        <f>IFERROR(__xludf.DUMMYFUNCTION("""COMPUTED_VALUE"""),0.0)</f>
        <v>0</v>
      </c>
      <c r="S968" s="6" t="str">
        <f>IFERROR(__xludf.DUMMYFUNCTION("""COMPUTED_VALUE""")," ")</f>
        <v> </v>
      </c>
      <c r="T968" s="6" t="str">
        <f>IFERROR(__xludf.DUMMYFUNCTION("""COMPUTED_VALUE"""),"")</f>
        <v/>
      </c>
      <c r="U968" s="6" t="str">
        <f>IFERROR(__xludf.DUMMYFUNCTION("""COMPUTED_VALUE"""),"9")</f>
        <v>9</v>
      </c>
      <c r="V968" s="6" t="str">
        <f>IFERROR(__xludf.DUMMYFUNCTION("""COMPUTED_VALUE"""),"English")</f>
        <v>English</v>
      </c>
      <c r="W968" s="6" t="str">
        <f>IFERROR(__xludf.DUMMYFUNCTION("""COMPUTED_VALUE"""),"[]")</f>
        <v>[]</v>
      </c>
      <c r="X968" s="6" t="str">
        <f>IFERROR(__xludf.DUMMYFUNCTION("""COMPUTED_VALUE"""),"Enrolled")</f>
        <v>Enrolled</v>
      </c>
    </row>
    <row r="969">
      <c r="A969" s="6" t="str">
        <f>IFERROR(__xludf.DUMMYFUNCTION("""COMPUTED_VALUE"""),"009-1092")</f>
        <v>009-1092</v>
      </c>
      <c r="B969" s="6" t="str">
        <f>IFERROR(__xludf.DUMMYFUNCTION("""COMPUTED_VALUE"""),"9")</f>
        <v>9</v>
      </c>
      <c r="C969" s="6" t="str">
        <f>IFERROR(__xludf.DUMMYFUNCTION("""COMPUTED_VALUE"""),"1092")</f>
        <v>1092</v>
      </c>
      <c r="D969" s="6" t="str">
        <f>IFERROR(__xludf.DUMMYFUNCTION("""COMPUTED_VALUE"""),"Maksim")</f>
        <v>Maksim</v>
      </c>
      <c r="E969" s="6" t="str">
        <f>IFERROR(__xludf.DUMMYFUNCTION("""COMPUTED_VALUE"""),"")</f>
        <v/>
      </c>
      <c r="F969" s="6" t="str">
        <f>IFERROR(__xludf.DUMMYFUNCTION("""COMPUTED_VALUE"""),"Rozhkov")</f>
        <v>Rozhkov</v>
      </c>
      <c r="G969" s="6" t="str">
        <f>IFERROR(__xludf.DUMMYFUNCTION("""COMPUTED_VALUE"""),"01/01/2010")</f>
        <v>01/01/2010</v>
      </c>
      <c r="H969" s="6" t="str">
        <f>IFERROR(__xludf.DUMMYFUNCTION("""COMPUTED_VALUE"""),"Self Identify")</f>
        <v>Self Identify</v>
      </c>
      <c r="I969" s="6" t="str">
        <f>IFERROR(__xludf.DUMMYFUNCTION("""COMPUTED_VALUE"""),"High School")</f>
        <v>High School</v>
      </c>
      <c r="J969" s="6" t="str">
        <f>IFERROR(__xludf.DUMMYFUNCTION("""COMPUTED_VALUE"""),"9")</f>
        <v>9</v>
      </c>
      <c r="K969" s="6" t="str">
        <f>IFERROR(__xludf.DUMMYFUNCTION("""COMPUTED_VALUE"""),"maksim.rozhkov@2hourlearning.com")</f>
        <v>maksim.rozhkov@2hourlearning.com</v>
      </c>
      <c r="L969" s="6" t="str">
        <f>IFERROR(__xludf.DUMMYFUNCTION("""COMPUTED_VALUE"""),"Learn and Earn Poland")</f>
        <v>Learn and Earn Poland</v>
      </c>
      <c r="M969" s="6" t="str">
        <f>IFERROR(__xludf.DUMMYFUNCTION("""COMPUTED_VALUE"""),"")</f>
        <v/>
      </c>
      <c r="N969" s="6" t="str">
        <f>IFERROR(__xludf.DUMMYFUNCTION("""COMPUTED_VALUE"""),"")</f>
        <v/>
      </c>
      <c r="O969" s="87" t="str">
        <f>IFERROR(__xludf.DUMMYFUNCTION("""COMPUTED_VALUE"""),"https://drive.google.com/drive/folders/10T2cTQHqEJZqE-st6uFKPoI?usp=share_link")</f>
        <v>https://drive.google.com/drive/folders/10T2cTQHqEJZqE-st6uFKPoI?usp=share_link</v>
      </c>
      <c r="P969" s="6" t="str">
        <f>IFERROR(__xludf.DUMMYFUNCTION("""COMPUTED_VALUE"""),"Maksim Rozhkov")</f>
        <v>Maksim Rozhkov</v>
      </c>
      <c r="Q969" s="6" t="str">
        <f>IFERROR(__xludf.DUMMYFUNCTION("""COMPUTED_VALUE"""),"HS")</f>
        <v>HS</v>
      </c>
      <c r="R969" s="6">
        <f>IFERROR(__xludf.DUMMYFUNCTION("""COMPUTED_VALUE"""),0.0)</f>
        <v>0</v>
      </c>
      <c r="S969" s="6" t="str">
        <f>IFERROR(__xludf.DUMMYFUNCTION("""COMPUTED_VALUE""")," ")</f>
        <v> </v>
      </c>
      <c r="T969" s="6" t="str">
        <f>IFERROR(__xludf.DUMMYFUNCTION("""COMPUTED_VALUE"""),"")</f>
        <v/>
      </c>
      <c r="U969" s="6" t="str">
        <f>IFERROR(__xludf.DUMMYFUNCTION("""COMPUTED_VALUE"""),"9")</f>
        <v>9</v>
      </c>
      <c r="V969" s="6" t="str">
        <f>IFERROR(__xludf.DUMMYFUNCTION("""COMPUTED_VALUE"""),"English")</f>
        <v>English</v>
      </c>
      <c r="W969" s="6" t="str">
        <f>IFERROR(__xludf.DUMMYFUNCTION("""COMPUTED_VALUE"""),"[]")</f>
        <v>[]</v>
      </c>
      <c r="X969" s="6" t="str">
        <f>IFERROR(__xludf.DUMMYFUNCTION("""COMPUTED_VALUE"""),"Enrolled")</f>
        <v>Enrolled</v>
      </c>
    </row>
    <row r="970">
      <c r="A970" s="6" t="str">
        <f>IFERROR(__xludf.DUMMYFUNCTION("""COMPUTED_VALUE"""),"009-1093")</f>
        <v>009-1093</v>
      </c>
      <c r="B970" s="6" t="str">
        <f>IFERROR(__xludf.DUMMYFUNCTION("""COMPUTED_VALUE"""),"9")</f>
        <v>9</v>
      </c>
      <c r="C970" s="6" t="str">
        <f>IFERROR(__xludf.DUMMYFUNCTION("""COMPUTED_VALUE"""),"1093")</f>
        <v>1093</v>
      </c>
      <c r="D970" s="6" t="str">
        <f>IFERROR(__xludf.DUMMYFUNCTION("""COMPUTED_VALUE"""),"Maksym")</f>
        <v>Maksym</v>
      </c>
      <c r="E970" s="6" t="str">
        <f>IFERROR(__xludf.DUMMYFUNCTION("""COMPUTED_VALUE"""),"")</f>
        <v/>
      </c>
      <c r="F970" s="6" t="str">
        <f>IFERROR(__xludf.DUMMYFUNCTION("""COMPUTED_VALUE"""),"Martynov")</f>
        <v>Martynov</v>
      </c>
      <c r="G970" s="6" t="str">
        <f>IFERROR(__xludf.DUMMYFUNCTION("""COMPUTED_VALUE"""),"01/01/2010")</f>
        <v>01/01/2010</v>
      </c>
      <c r="H970" s="6" t="str">
        <f>IFERROR(__xludf.DUMMYFUNCTION("""COMPUTED_VALUE"""),"Self Identify")</f>
        <v>Self Identify</v>
      </c>
      <c r="I970" s="6" t="str">
        <f>IFERROR(__xludf.DUMMYFUNCTION("""COMPUTED_VALUE"""),"High School")</f>
        <v>High School</v>
      </c>
      <c r="J970" s="6" t="str">
        <f>IFERROR(__xludf.DUMMYFUNCTION("""COMPUTED_VALUE"""),"9")</f>
        <v>9</v>
      </c>
      <c r="K970" s="6" t="str">
        <f>IFERROR(__xludf.DUMMYFUNCTION("""COMPUTED_VALUE"""),"maksym.martynov@2hourlearning.com")</f>
        <v>maksym.martynov@2hourlearning.com</v>
      </c>
      <c r="L970" s="6" t="str">
        <f>IFERROR(__xludf.DUMMYFUNCTION("""COMPUTED_VALUE"""),"Learn and Earn Poland")</f>
        <v>Learn and Earn Poland</v>
      </c>
      <c r="M970" s="6" t="str">
        <f>IFERROR(__xludf.DUMMYFUNCTION("""COMPUTED_VALUE"""),"")</f>
        <v/>
      </c>
      <c r="N970" s="6" t="str">
        <f>IFERROR(__xludf.DUMMYFUNCTION("""COMPUTED_VALUE"""),"")</f>
        <v/>
      </c>
      <c r="O970" s="87" t="str">
        <f>IFERROR(__xludf.DUMMYFUNCTION("""COMPUTED_VALUE"""),"https://drive.google.com/drive/folders/10T2cTQHqEJZqE-st6uFKPoI?usp=share_link")</f>
        <v>https://drive.google.com/drive/folders/10T2cTQHqEJZqE-st6uFKPoI?usp=share_link</v>
      </c>
      <c r="P970" s="6" t="str">
        <f>IFERROR(__xludf.DUMMYFUNCTION("""COMPUTED_VALUE"""),"Maksym Martynov")</f>
        <v>Maksym Martynov</v>
      </c>
      <c r="Q970" s="6" t="str">
        <f>IFERROR(__xludf.DUMMYFUNCTION("""COMPUTED_VALUE"""),"HS")</f>
        <v>HS</v>
      </c>
      <c r="R970" s="6">
        <f>IFERROR(__xludf.DUMMYFUNCTION("""COMPUTED_VALUE"""),0.0)</f>
        <v>0</v>
      </c>
      <c r="S970" s="6" t="str">
        <f>IFERROR(__xludf.DUMMYFUNCTION("""COMPUTED_VALUE""")," ")</f>
        <v> </v>
      </c>
      <c r="T970" s="6" t="str">
        <f>IFERROR(__xludf.DUMMYFUNCTION("""COMPUTED_VALUE"""),"")</f>
        <v/>
      </c>
      <c r="U970" s="6" t="str">
        <f>IFERROR(__xludf.DUMMYFUNCTION("""COMPUTED_VALUE"""),"9")</f>
        <v>9</v>
      </c>
      <c r="V970" s="6" t="str">
        <f>IFERROR(__xludf.DUMMYFUNCTION("""COMPUTED_VALUE"""),"English")</f>
        <v>English</v>
      </c>
      <c r="W970" s="6" t="str">
        <f>IFERROR(__xludf.DUMMYFUNCTION("""COMPUTED_VALUE"""),"[]")</f>
        <v>[]</v>
      </c>
      <c r="X970" s="6" t="str">
        <f>IFERROR(__xludf.DUMMYFUNCTION("""COMPUTED_VALUE"""),"Enrolled")</f>
        <v>Enrolled</v>
      </c>
    </row>
    <row r="971">
      <c r="A971" s="6" t="str">
        <f>IFERROR(__xludf.DUMMYFUNCTION("""COMPUTED_VALUE"""),"009-1094")</f>
        <v>009-1094</v>
      </c>
      <c r="B971" s="6" t="str">
        <f>IFERROR(__xludf.DUMMYFUNCTION("""COMPUTED_VALUE"""),"9")</f>
        <v>9</v>
      </c>
      <c r="C971" s="6" t="str">
        <f>IFERROR(__xludf.DUMMYFUNCTION("""COMPUTED_VALUE"""),"1094")</f>
        <v>1094</v>
      </c>
      <c r="D971" s="6" t="str">
        <f>IFERROR(__xludf.DUMMYFUNCTION("""COMPUTED_VALUE"""),"Tereza")</f>
        <v>Tereza</v>
      </c>
      <c r="E971" s="6" t="str">
        <f>IFERROR(__xludf.DUMMYFUNCTION("""COMPUTED_VALUE"""),"")</f>
        <v/>
      </c>
      <c r="F971" s="6" t="str">
        <f>IFERROR(__xludf.DUMMYFUNCTION("""COMPUTED_VALUE"""),"Branovska")</f>
        <v>Branovska</v>
      </c>
      <c r="G971" s="6" t="str">
        <f>IFERROR(__xludf.DUMMYFUNCTION("""COMPUTED_VALUE"""),"01/01/2010")</f>
        <v>01/01/2010</v>
      </c>
      <c r="H971" s="6" t="str">
        <f>IFERROR(__xludf.DUMMYFUNCTION("""COMPUTED_VALUE"""),"Self Identify")</f>
        <v>Self Identify</v>
      </c>
      <c r="I971" s="6" t="str">
        <f>IFERROR(__xludf.DUMMYFUNCTION("""COMPUTED_VALUE"""),"High School")</f>
        <v>High School</v>
      </c>
      <c r="J971" s="6" t="str">
        <f>IFERROR(__xludf.DUMMYFUNCTION("""COMPUTED_VALUE"""),"9")</f>
        <v>9</v>
      </c>
      <c r="K971" s="6" t="str">
        <f>IFERROR(__xludf.DUMMYFUNCTION("""COMPUTED_VALUE"""),"tereza.branovska@2hourlearning.com")</f>
        <v>tereza.branovska@2hourlearning.com</v>
      </c>
      <c r="L971" s="6" t="str">
        <f>IFERROR(__xludf.DUMMYFUNCTION("""COMPUTED_VALUE"""),"Learn and Earn Poland")</f>
        <v>Learn and Earn Poland</v>
      </c>
      <c r="M971" s="6" t="str">
        <f>IFERROR(__xludf.DUMMYFUNCTION("""COMPUTED_VALUE"""),"")</f>
        <v/>
      </c>
      <c r="N971" s="6" t="str">
        <f>IFERROR(__xludf.DUMMYFUNCTION("""COMPUTED_VALUE"""),"")</f>
        <v/>
      </c>
      <c r="O971" s="87" t="str">
        <f>IFERROR(__xludf.DUMMYFUNCTION("""COMPUTED_VALUE"""),"https://drive.google.com/drive/folders/10T2cTQHqEJZqE-st6uFKPoI?usp=share_link")</f>
        <v>https://drive.google.com/drive/folders/10T2cTQHqEJZqE-st6uFKPoI?usp=share_link</v>
      </c>
      <c r="P971" s="6" t="str">
        <f>IFERROR(__xludf.DUMMYFUNCTION("""COMPUTED_VALUE"""),"Tereza Branovska")</f>
        <v>Tereza Branovska</v>
      </c>
      <c r="Q971" s="6" t="str">
        <f>IFERROR(__xludf.DUMMYFUNCTION("""COMPUTED_VALUE"""),"HS")</f>
        <v>HS</v>
      </c>
      <c r="R971" s="6">
        <f>IFERROR(__xludf.DUMMYFUNCTION("""COMPUTED_VALUE"""),0.0)</f>
        <v>0</v>
      </c>
      <c r="S971" s="6" t="str">
        <f>IFERROR(__xludf.DUMMYFUNCTION("""COMPUTED_VALUE""")," ")</f>
        <v> </v>
      </c>
      <c r="T971" s="6" t="str">
        <f>IFERROR(__xludf.DUMMYFUNCTION("""COMPUTED_VALUE"""),"")</f>
        <v/>
      </c>
      <c r="U971" s="6" t="str">
        <f>IFERROR(__xludf.DUMMYFUNCTION("""COMPUTED_VALUE"""),"9")</f>
        <v>9</v>
      </c>
      <c r="V971" s="6" t="str">
        <f>IFERROR(__xludf.DUMMYFUNCTION("""COMPUTED_VALUE"""),"English")</f>
        <v>English</v>
      </c>
      <c r="W971" s="6" t="str">
        <f>IFERROR(__xludf.DUMMYFUNCTION("""COMPUTED_VALUE"""),"[]")</f>
        <v>[]</v>
      </c>
      <c r="X971" s="6" t="str">
        <f>IFERROR(__xludf.DUMMYFUNCTION("""COMPUTED_VALUE"""),"Enrolled")</f>
        <v>Enrolled</v>
      </c>
    </row>
    <row r="972">
      <c r="A972" s="6" t="str">
        <f>IFERROR(__xludf.DUMMYFUNCTION("""COMPUTED_VALUE"""),"009-1095")</f>
        <v>009-1095</v>
      </c>
      <c r="B972" s="6" t="str">
        <f>IFERROR(__xludf.DUMMYFUNCTION("""COMPUTED_VALUE"""),"9")</f>
        <v>9</v>
      </c>
      <c r="C972" s="6" t="str">
        <f>IFERROR(__xludf.DUMMYFUNCTION("""COMPUTED_VALUE"""),"1095")</f>
        <v>1095</v>
      </c>
      <c r="D972" s="6" t="str">
        <f>IFERROR(__xludf.DUMMYFUNCTION("""COMPUTED_VALUE"""),"Kapustian")</f>
        <v>Kapustian</v>
      </c>
      <c r="E972" s="6" t="str">
        <f>IFERROR(__xludf.DUMMYFUNCTION("""COMPUTED_VALUE"""),"")</f>
        <v/>
      </c>
      <c r="F972" s="6" t="str">
        <f>IFERROR(__xludf.DUMMYFUNCTION("""COMPUTED_VALUE"""),"Mikita")</f>
        <v>Mikita</v>
      </c>
      <c r="G972" s="6" t="str">
        <f>IFERROR(__xludf.DUMMYFUNCTION("""COMPUTED_VALUE"""),"01/01/2009")</f>
        <v>01/01/2009</v>
      </c>
      <c r="H972" s="6" t="str">
        <f>IFERROR(__xludf.DUMMYFUNCTION("""COMPUTED_VALUE"""),"Self Identify")</f>
        <v>Self Identify</v>
      </c>
      <c r="I972" s="6" t="str">
        <f>IFERROR(__xludf.DUMMYFUNCTION("""COMPUTED_VALUE"""),"High School")</f>
        <v>High School</v>
      </c>
      <c r="J972" s="6" t="str">
        <f>IFERROR(__xludf.DUMMYFUNCTION("""COMPUTED_VALUE"""),"10")</f>
        <v>10</v>
      </c>
      <c r="K972" s="6" t="str">
        <f>IFERROR(__xludf.DUMMYFUNCTION("""COMPUTED_VALUE"""),"kapustian.mikita@2hourlearning.com")</f>
        <v>kapustian.mikita@2hourlearning.com</v>
      </c>
      <c r="L972" s="6" t="str">
        <f>IFERROR(__xludf.DUMMYFUNCTION("""COMPUTED_VALUE"""),"Learn and Earn Poland")</f>
        <v>Learn and Earn Poland</v>
      </c>
      <c r="M972" s="6" t="str">
        <f>IFERROR(__xludf.DUMMYFUNCTION("""COMPUTED_VALUE"""),"")</f>
        <v/>
      </c>
      <c r="N972" s="6" t="str">
        <f>IFERROR(__xludf.DUMMYFUNCTION("""COMPUTED_VALUE"""),"")</f>
        <v/>
      </c>
      <c r="O972" s="87" t="str">
        <f>IFERROR(__xludf.DUMMYFUNCTION("""COMPUTED_VALUE"""),"https://drive.google.com/drive/folders/10T2cTQHqEJZqE-st6uFKPoI?usp=share_link")</f>
        <v>https://drive.google.com/drive/folders/10T2cTQHqEJZqE-st6uFKPoI?usp=share_link</v>
      </c>
      <c r="P972" s="6" t="str">
        <f>IFERROR(__xludf.DUMMYFUNCTION("""COMPUTED_VALUE"""),"Kapustian Mikita")</f>
        <v>Kapustian Mikita</v>
      </c>
      <c r="Q972" s="6" t="str">
        <f>IFERROR(__xludf.DUMMYFUNCTION("""COMPUTED_VALUE"""),"HS")</f>
        <v>HS</v>
      </c>
      <c r="R972" s="6">
        <f>IFERROR(__xludf.DUMMYFUNCTION("""COMPUTED_VALUE"""),0.0)</f>
        <v>0</v>
      </c>
      <c r="S972" s="6" t="str">
        <f>IFERROR(__xludf.DUMMYFUNCTION("""COMPUTED_VALUE""")," ")</f>
        <v> </v>
      </c>
      <c r="T972" s="6" t="str">
        <f>IFERROR(__xludf.DUMMYFUNCTION("""COMPUTED_VALUE"""),"")</f>
        <v/>
      </c>
      <c r="U972" s="6" t="str">
        <f>IFERROR(__xludf.DUMMYFUNCTION("""COMPUTED_VALUE"""),"10")</f>
        <v>10</v>
      </c>
      <c r="V972" s="6" t="str">
        <f>IFERROR(__xludf.DUMMYFUNCTION("""COMPUTED_VALUE"""),"English")</f>
        <v>English</v>
      </c>
      <c r="W972" s="6" t="str">
        <f>IFERROR(__xludf.DUMMYFUNCTION("""COMPUTED_VALUE"""),"[]")</f>
        <v>[]</v>
      </c>
      <c r="X972" s="6" t="str">
        <f>IFERROR(__xludf.DUMMYFUNCTION("""COMPUTED_VALUE"""),"Enrolled")</f>
        <v>Enrolled</v>
      </c>
    </row>
    <row r="973">
      <c r="A973" s="6" t="str">
        <f>IFERROR(__xludf.DUMMYFUNCTION("""COMPUTED_VALUE"""),"009-1096")</f>
        <v>009-1096</v>
      </c>
      <c r="B973" s="6" t="str">
        <f>IFERROR(__xludf.DUMMYFUNCTION("""COMPUTED_VALUE"""),"9")</f>
        <v>9</v>
      </c>
      <c r="C973" s="6" t="str">
        <f>IFERROR(__xludf.DUMMYFUNCTION("""COMPUTED_VALUE"""),"1096")</f>
        <v>1096</v>
      </c>
      <c r="D973" s="6" t="str">
        <f>IFERROR(__xludf.DUMMYFUNCTION("""COMPUTED_VALUE"""),"Mykyta")</f>
        <v>Mykyta</v>
      </c>
      <c r="E973" s="6" t="str">
        <f>IFERROR(__xludf.DUMMYFUNCTION("""COMPUTED_VALUE"""),"")</f>
        <v/>
      </c>
      <c r="F973" s="6" t="str">
        <f>IFERROR(__xludf.DUMMYFUNCTION("""COMPUTED_VALUE"""),"Klochko")</f>
        <v>Klochko</v>
      </c>
      <c r="G973" s="6" t="str">
        <f>IFERROR(__xludf.DUMMYFUNCTION("""COMPUTED_VALUE"""),"01/01/2009")</f>
        <v>01/01/2009</v>
      </c>
      <c r="H973" s="6" t="str">
        <f>IFERROR(__xludf.DUMMYFUNCTION("""COMPUTED_VALUE"""),"Self Identify")</f>
        <v>Self Identify</v>
      </c>
      <c r="I973" s="6" t="str">
        <f>IFERROR(__xludf.DUMMYFUNCTION("""COMPUTED_VALUE"""),"High School")</f>
        <v>High School</v>
      </c>
      <c r="J973" s="6" t="str">
        <f>IFERROR(__xludf.DUMMYFUNCTION("""COMPUTED_VALUE"""),"10")</f>
        <v>10</v>
      </c>
      <c r="K973" s="6" t="str">
        <f>IFERROR(__xludf.DUMMYFUNCTION("""COMPUTED_VALUE"""),"mykyta.klochko@2hourlearning.com")</f>
        <v>mykyta.klochko@2hourlearning.com</v>
      </c>
      <c r="L973" s="6" t="str">
        <f>IFERROR(__xludf.DUMMYFUNCTION("""COMPUTED_VALUE"""),"Learn and Earn Poland")</f>
        <v>Learn and Earn Poland</v>
      </c>
      <c r="M973" s="6" t="str">
        <f>IFERROR(__xludf.DUMMYFUNCTION("""COMPUTED_VALUE"""),"")</f>
        <v/>
      </c>
      <c r="N973" s="6" t="str">
        <f>IFERROR(__xludf.DUMMYFUNCTION("""COMPUTED_VALUE"""),"")</f>
        <v/>
      </c>
      <c r="O973" s="87" t="str">
        <f>IFERROR(__xludf.DUMMYFUNCTION("""COMPUTED_VALUE"""),"https://drive.google.com/drive/folders/10T2cTQHqEJZqE-st6uFKPoI?usp=share_link")</f>
        <v>https://drive.google.com/drive/folders/10T2cTQHqEJZqE-st6uFKPoI?usp=share_link</v>
      </c>
      <c r="P973" s="6" t="str">
        <f>IFERROR(__xludf.DUMMYFUNCTION("""COMPUTED_VALUE"""),"Mykyta Klochko")</f>
        <v>Mykyta Klochko</v>
      </c>
      <c r="Q973" s="6" t="str">
        <f>IFERROR(__xludf.DUMMYFUNCTION("""COMPUTED_VALUE"""),"HS")</f>
        <v>HS</v>
      </c>
      <c r="R973" s="6">
        <f>IFERROR(__xludf.DUMMYFUNCTION("""COMPUTED_VALUE"""),0.0)</f>
        <v>0</v>
      </c>
      <c r="S973" s="6" t="str">
        <f>IFERROR(__xludf.DUMMYFUNCTION("""COMPUTED_VALUE""")," ")</f>
        <v> </v>
      </c>
      <c r="T973" s="6" t="str">
        <f>IFERROR(__xludf.DUMMYFUNCTION("""COMPUTED_VALUE"""),"")</f>
        <v/>
      </c>
      <c r="U973" s="6" t="str">
        <f>IFERROR(__xludf.DUMMYFUNCTION("""COMPUTED_VALUE"""),"10")</f>
        <v>10</v>
      </c>
      <c r="V973" s="6" t="str">
        <f>IFERROR(__xludf.DUMMYFUNCTION("""COMPUTED_VALUE"""),"English")</f>
        <v>English</v>
      </c>
      <c r="W973" s="6" t="str">
        <f>IFERROR(__xludf.DUMMYFUNCTION("""COMPUTED_VALUE"""),"[]")</f>
        <v>[]</v>
      </c>
      <c r="X973" s="6" t="str">
        <f>IFERROR(__xludf.DUMMYFUNCTION("""COMPUTED_VALUE"""),"Enrolled")</f>
        <v>Enrolled</v>
      </c>
    </row>
    <row r="974">
      <c r="A974" s="6" t="str">
        <f>IFERROR(__xludf.DUMMYFUNCTION("""COMPUTED_VALUE"""),"009-1097")</f>
        <v>009-1097</v>
      </c>
      <c r="B974" s="6" t="str">
        <f>IFERROR(__xludf.DUMMYFUNCTION("""COMPUTED_VALUE"""),"9")</f>
        <v>9</v>
      </c>
      <c r="C974" s="6" t="str">
        <f>IFERROR(__xludf.DUMMYFUNCTION("""COMPUTED_VALUE"""),"1097")</f>
        <v>1097</v>
      </c>
      <c r="D974" s="6" t="str">
        <f>IFERROR(__xludf.DUMMYFUNCTION("""COMPUTED_VALUE"""),"Solomiya")</f>
        <v>Solomiya</v>
      </c>
      <c r="E974" s="6" t="str">
        <f>IFERROR(__xludf.DUMMYFUNCTION("""COMPUTED_VALUE"""),"")</f>
        <v/>
      </c>
      <c r="F974" s="6" t="str">
        <f>IFERROR(__xludf.DUMMYFUNCTION("""COMPUTED_VALUE"""),"Andreychuk")</f>
        <v>Andreychuk</v>
      </c>
      <c r="G974" s="6" t="str">
        <f>IFERROR(__xludf.DUMMYFUNCTION("""COMPUTED_VALUE"""),"01/01/2009")</f>
        <v>01/01/2009</v>
      </c>
      <c r="H974" s="6" t="str">
        <f>IFERROR(__xludf.DUMMYFUNCTION("""COMPUTED_VALUE"""),"Self Identify")</f>
        <v>Self Identify</v>
      </c>
      <c r="I974" s="6" t="str">
        <f>IFERROR(__xludf.DUMMYFUNCTION("""COMPUTED_VALUE"""),"High School")</f>
        <v>High School</v>
      </c>
      <c r="J974" s="6" t="str">
        <f>IFERROR(__xludf.DUMMYFUNCTION("""COMPUTED_VALUE"""),"10")</f>
        <v>10</v>
      </c>
      <c r="K974" s="6" t="str">
        <f>IFERROR(__xludf.DUMMYFUNCTION("""COMPUTED_VALUE"""),"solomiya.andreychuk@2hourlearning.com")</f>
        <v>solomiya.andreychuk@2hourlearning.com</v>
      </c>
      <c r="L974" s="6" t="str">
        <f>IFERROR(__xludf.DUMMYFUNCTION("""COMPUTED_VALUE"""),"Learn and Earn Poland")</f>
        <v>Learn and Earn Poland</v>
      </c>
      <c r="M974" s="6" t="str">
        <f>IFERROR(__xludf.DUMMYFUNCTION("""COMPUTED_VALUE"""),"")</f>
        <v/>
      </c>
      <c r="N974" s="6" t="str">
        <f>IFERROR(__xludf.DUMMYFUNCTION("""COMPUTED_VALUE"""),"")</f>
        <v/>
      </c>
      <c r="O974" s="87" t="str">
        <f>IFERROR(__xludf.DUMMYFUNCTION("""COMPUTED_VALUE"""),"https://drive.google.com/drive/folders/10T2cTQHqEJZqE-st6uFKPoI?usp=share_link")</f>
        <v>https://drive.google.com/drive/folders/10T2cTQHqEJZqE-st6uFKPoI?usp=share_link</v>
      </c>
      <c r="P974" s="6" t="str">
        <f>IFERROR(__xludf.DUMMYFUNCTION("""COMPUTED_VALUE"""),"Solomiya Andreychuk")</f>
        <v>Solomiya Andreychuk</v>
      </c>
      <c r="Q974" s="6" t="str">
        <f>IFERROR(__xludf.DUMMYFUNCTION("""COMPUTED_VALUE"""),"HS")</f>
        <v>HS</v>
      </c>
      <c r="R974" s="6">
        <f>IFERROR(__xludf.DUMMYFUNCTION("""COMPUTED_VALUE"""),0.0)</f>
        <v>0</v>
      </c>
      <c r="S974" s="6" t="str">
        <f>IFERROR(__xludf.DUMMYFUNCTION("""COMPUTED_VALUE""")," ")</f>
        <v> </v>
      </c>
      <c r="T974" s="6" t="str">
        <f>IFERROR(__xludf.DUMMYFUNCTION("""COMPUTED_VALUE"""),"")</f>
        <v/>
      </c>
      <c r="U974" s="6" t="str">
        <f>IFERROR(__xludf.DUMMYFUNCTION("""COMPUTED_VALUE"""),"10")</f>
        <v>10</v>
      </c>
      <c r="V974" s="6" t="str">
        <f>IFERROR(__xludf.DUMMYFUNCTION("""COMPUTED_VALUE"""),"English")</f>
        <v>English</v>
      </c>
      <c r="W974" s="6" t="str">
        <f>IFERROR(__xludf.DUMMYFUNCTION("""COMPUTED_VALUE"""),"[]")</f>
        <v>[]</v>
      </c>
      <c r="X974" s="6" t="str">
        <f>IFERROR(__xludf.DUMMYFUNCTION("""COMPUTED_VALUE"""),"Enrolled")</f>
        <v>Enrolled</v>
      </c>
    </row>
    <row r="975">
      <c r="A975" s="6" t="str">
        <f>IFERROR(__xludf.DUMMYFUNCTION("""COMPUTED_VALUE"""),"009-1098")</f>
        <v>009-1098</v>
      </c>
      <c r="B975" s="6" t="str">
        <f>IFERROR(__xludf.DUMMYFUNCTION("""COMPUTED_VALUE"""),"9")</f>
        <v>9</v>
      </c>
      <c r="C975" s="6" t="str">
        <f>IFERROR(__xludf.DUMMYFUNCTION("""COMPUTED_VALUE"""),"1098")</f>
        <v>1098</v>
      </c>
      <c r="D975" s="6" t="str">
        <f>IFERROR(__xludf.DUMMYFUNCTION("""COMPUTED_VALUE"""),"Anton")</f>
        <v>Anton</v>
      </c>
      <c r="E975" s="6" t="str">
        <f>IFERROR(__xludf.DUMMYFUNCTION("""COMPUTED_VALUE"""),"")</f>
        <v/>
      </c>
      <c r="F975" s="6" t="str">
        <f>IFERROR(__xludf.DUMMYFUNCTION("""COMPUTED_VALUE"""),"Savinov")</f>
        <v>Savinov</v>
      </c>
      <c r="G975" s="6" t="str">
        <f>IFERROR(__xludf.DUMMYFUNCTION("""COMPUTED_VALUE"""),"01/01/2008")</f>
        <v>01/01/2008</v>
      </c>
      <c r="H975" s="6" t="str">
        <f>IFERROR(__xludf.DUMMYFUNCTION("""COMPUTED_VALUE"""),"Self Identify")</f>
        <v>Self Identify</v>
      </c>
      <c r="I975" s="6" t="str">
        <f>IFERROR(__xludf.DUMMYFUNCTION("""COMPUTED_VALUE"""),"High School")</f>
        <v>High School</v>
      </c>
      <c r="J975" s="6" t="str">
        <f>IFERROR(__xludf.DUMMYFUNCTION("""COMPUTED_VALUE"""),"11")</f>
        <v>11</v>
      </c>
      <c r="K975" s="6" t="str">
        <f>IFERROR(__xludf.DUMMYFUNCTION("""COMPUTED_VALUE"""),"anton.savinov@2hourlearning.com")</f>
        <v>anton.savinov@2hourlearning.com</v>
      </c>
      <c r="L975" s="6" t="str">
        <f>IFERROR(__xludf.DUMMYFUNCTION("""COMPUTED_VALUE"""),"Learn and Earn Poland")</f>
        <v>Learn and Earn Poland</v>
      </c>
      <c r="M975" s="6" t="str">
        <f>IFERROR(__xludf.DUMMYFUNCTION("""COMPUTED_VALUE"""),"")</f>
        <v/>
      </c>
      <c r="N975" s="6" t="str">
        <f>IFERROR(__xludf.DUMMYFUNCTION("""COMPUTED_VALUE"""),"")</f>
        <v/>
      </c>
      <c r="O975" s="87" t="str">
        <f>IFERROR(__xludf.DUMMYFUNCTION("""COMPUTED_VALUE"""),"https://drive.google.com/drive/folders/10T2cTQHqEJZqE-st6uFKPoI?usp=share_link")</f>
        <v>https://drive.google.com/drive/folders/10T2cTQHqEJZqE-st6uFKPoI?usp=share_link</v>
      </c>
      <c r="P975" s="6" t="str">
        <f>IFERROR(__xludf.DUMMYFUNCTION("""COMPUTED_VALUE"""),"Anton Savinov")</f>
        <v>Anton Savinov</v>
      </c>
      <c r="Q975" s="6" t="str">
        <f>IFERROR(__xludf.DUMMYFUNCTION("""COMPUTED_VALUE"""),"HS")</f>
        <v>HS</v>
      </c>
      <c r="R975" s="6">
        <f>IFERROR(__xludf.DUMMYFUNCTION("""COMPUTED_VALUE"""),0.0)</f>
        <v>0</v>
      </c>
      <c r="S975" s="6" t="str">
        <f>IFERROR(__xludf.DUMMYFUNCTION("""COMPUTED_VALUE""")," ")</f>
        <v> </v>
      </c>
      <c r="T975" s="6" t="str">
        <f>IFERROR(__xludf.DUMMYFUNCTION("""COMPUTED_VALUE"""),"")</f>
        <v/>
      </c>
      <c r="U975" s="6" t="str">
        <f>IFERROR(__xludf.DUMMYFUNCTION("""COMPUTED_VALUE"""),"11")</f>
        <v>11</v>
      </c>
      <c r="V975" s="6" t="str">
        <f>IFERROR(__xludf.DUMMYFUNCTION("""COMPUTED_VALUE"""),"English")</f>
        <v>English</v>
      </c>
      <c r="W975" s="6" t="str">
        <f>IFERROR(__xludf.DUMMYFUNCTION("""COMPUTED_VALUE"""),"[]")</f>
        <v>[]</v>
      </c>
      <c r="X975" s="6" t="str">
        <f>IFERROR(__xludf.DUMMYFUNCTION("""COMPUTED_VALUE"""),"Enrolled")</f>
        <v>Enrolled</v>
      </c>
    </row>
    <row r="976">
      <c r="A976" s="6" t="str">
        <f>IFERROR(__xludf.DUMMYFUNCTION("""COMPUTED_VALUE"""),"009-1099")</f>
        <v>009-1099</v>
      </c>
      <c r="B976" s="6" t="str">
        <f>IFERROR(__xludf.DUMMYFUNCTION("""COMPUTED_VALUE"""),"9")</f>
        <v>9</v>
      </c>
      <c r="C976" s="6" t="str">
        <f>IFERROR(__xludf.DUMMYFUNCTION("""COMPUTED_VALUE"""),"1099")</f>
        <v>1099</v>
      </c>
      <c r="D976" s="6" t="str">
        <f>IFERROR(__xludf.DUMMYFUNCTION("""COMPUTED_VALUE"""),"Roman")</f>
        <v>Roman</v>
      </c>
      <c r="E976" s="6" t="str">
        <f>IFERROR(__xludf.DUMMYFUNCTION("""COMPUTED_VALUE"""),"")</f>
        <v/>
      </c>
      <c r="F976" s="6" t="str">
        <f>IFERROR(__xludf.DUMMYFUNCTION("""COMPUTED_VALUE"""),"Sorochak")</f>
        <v>Sorochak</v>
      </c>
      <c r="G976" s="6" t="str">
        <f>IFERROR(__xludf.DUMMYFUNCTION("""COMPUTED_VALUE"""),"01/01/2008")</f>
        <v>01/01/2008</v>
      </c>
      <c r="H976" s="6" t="str">
        <f>IFERROR(__xludf.DUMMYFUNCTION("""COMPUTED_VALUE"""),"Self Identify")</f>
        <v>Self Identify</v>
      </c>
      <c r="I976" s="6" t="str">
        <f>IFERROR(__xludf.DUMMYFUNCTION("""COMPUTED_VALUE"""),"High School")</f>
        <v>High School</v>
      </c>
      <c r="J976" s="6" t="str">
        <f>IFERROR(__xludf.DUMMYFUNCTION("""COMPUTED_VALUE"""),"11")</f>
        <v>11</v>
      </c>
      <c r="K976" s="6" t="str">
        <f>IFERROR(__xludf.DUMMYFUNCTION("""COMPUTED_VALUE"""),"roman.sorochak@2hourlearning.com")</f>
        <v>roman.sorochak@2hourlearning.com</v>
      </c>
      <c r="L976" s="6" t="str">
        <f>IFERROR(__xludf.DUMMYFUNCTION("""COMPUTED_VALUE"""),"Learn and Earn Poland")</f>
        <v>Learn and Earn Poland</v>
      </c>
      <c r="M976" s="6" t="str">
        <f>IFERROR(__xludf.DUMMYFUNCTION("""COMPUTED_VALUE"""),"")</f>
        <v/>
      </c>
      <c r="N976" s="6" t="str">
        <f>IFERROR(__xludf.DUMMYFUNCTION("""COMPUTED_VALUE"""),"")</f>
        <v/>
      </c>
      <c r="O976" s="87" t="str">
        <f>IFERROR(__xludf.DUMMYFUNCTION("""COMPUTED_VALUE"""),"https://drive.google.com/drive/folders/10T2cTQHqEJZqE-st6uFKPoI?usp=share_link")</f>
        <v>https://drive.google.com/drive/folders/10T2cTQHqEJZqE-st6uFKPoI?usp=share_link</v>
      </c>
      <c r="P976" s="6" t="str">
        <f>IFERROR(__xludf.DUMMYFUNCTION("""COMPUTED_VALUE"""),"Roman Sorochak")</f>
        <v>Roman Sorochak</v>
      </c>
      <c r="Q976" s="6" t="str">
        <f>IFERROR(__xludf.DUMMYFUNCTION("""COMPUTED_VALUE"""),"HS")</f>
        <v>HS</v>
      </c>
      <c r="R976" s="6">
        <f>IFERROR(__xludf.DUMMYFUNCTION("""COMPUTED_VALUE"""),0.0)</f>
        <v>0</v>
      </c>
      <c r="S976" s="6" t="str">
        <f>IFERROR(__xludf.DUMMYFUNCTION("""COMPUTED_VALUE""")," ")</f>
        <v> </v>
      </c>
      <c r="T976" s="6" t="str">
        <f>IFERROR(__xludf.DUMMYFUNCTION("""COMPUTED_VALUE"""),"")</f>
        <v/>
      </c>
      <c r="U976" s="6" t="str">
        <f>IFERROR(__xludf.DUMMYFUNCTION("""COMPUTED_VALUE"""),"11")</f>
        <v>11</v>
      </c>
      <c r="V976" s="6" t="str">
        <f>IFERROR(__xludf.DUMMYFUNCTION("""COMPUTED_VALUE"""),"English")</f>
        <v>English</v>
      </c>
      <c r="W976" s="6" t="str">
        <f>IFERROR(__xludf.DUMMYFUNCTION("""COMPUTED_VALUE"""),"[]")</f>
        <v>[]</v>
      </c>
      <c r="X976" s="6" t="str">
        <f>IFERROR(__xludf.DUMMYFUNCTION("""COMPUTED_VALUE"""),"Enrolled")</f>
        <v>Enrolled</v>
      </c>
    </row>
    <row r="977">
      <c r="A977" s="6" t="str">
        <f>IFERROR(__xludf.DUMMYFUNCTION("""COMPUTED_VALUE"""),"009-1100")</f>
        <v>009-1100</v>
      </c>
      <c r="B977" s="6" t="str">
        <f>IFERROR(__xludf.DUMMYFUNCTION("""COMPUTED_VALUE"""),"9")</f>
        <v>9</v>
      </c>
      <c r="C977" s="6" t="str">
        <f>IFERROR(__xludf.DUMMYFUNCTION("""COMPUTED_VALUE"""),"1100")</f>
        <v>1100</v>
      </c>
      <c r="D977" s="6" t="str">
        <f>IFERROR(__xludf.DUMMYFUNCTION("""COMPUTED_VALUE"""),"Tamila")</f>
        <v>Tamila</v>
      </c>
      <c r="E977" s="6" t="str">
        <f>IFERROR(__xludf.DUMMYFUNCTION("""COMPUTED_VALUE"""),"")</f>
        <v/>
      </c>
      <c r="F977" s="6" t="str">
        <f>IFERROR(__xludf.DUMMYFUNCTION("""COMPUTED_VALUE"""),"Mydianka")</f>
        <v>Mydianka</v>
      </c>
      <c r="G977" s="6" t="str">
        <f>IFERROR(__xludf.DUMMYFUNCTION("""COMPUTED_VALUE"""),"01/01/2008")</f>
        <v>01/01/2008</v>
      </c>
      <c r="H977" s="6" t="str">
        <f>IFERROR(__xludf.DUMMYFUNCTION("""COMPUTED_VALUE"""),"Self Identify")</f>
        <v>Self Identify</v>
      </c>
      <c r="I977" s="6" t="str">
        <f>IFERROR(__xludf.DUMMYFUNCTION("""COMPUTED_VALUE"""),"High School")</f>
        <v>High School</v>
      </c>
      <c r="J977" s="6" t="str">
        <f>IFERROR(__xludf.DUMMYFUNCTION("""COMPUTED_VALUE"""),"11")</f>
        <v>11</v>
      </c>
      <c r="K977" s="6" t="str">
        <f>IFERROR(__xludf.DUMMYFUNCTION("""COMPUTED_VALUE"""),"tamila.mydianka@2hourlearning.com")</f>
        <v>tamila.mydianka@2hourlearning.com</v>
      </c>
      <c r="L977" s="6" t="str">
        <f>IFERROR(__xludf.DUMMYFUNCTION("""COMPUTED_VALUE"""),"Learn and Earn Poland")</f>
        <v>Learn and Earn Poland</v>
      </c>
      <c r="M977" s="6" t="str">
        <f>IFERROR(__xludf.DUMMYFUNCTION("""COMPUTED_VALUE"""),"")</f>
        <v/>
      </c>
      <c r="N977" s="6" t="str">
        <f>IFERROR(__xludf.DUMMYFUNCTION("""COMPUTED_VALUE"""),"")</f>
        <v/>
      </c>
      <c r="O977" s="87" t="str">
        <f>IFERROR(__xludf.DUMMYFUNCTION("""COMPUTED_VALUE"""),"https://drive.google.com/drive/folders/10T2cTQHqEJZqE-st6uFKPoI?usp=share_link")</f>
        <v>https://drive.google.com/drive/folders/10T2cTQHqEJZqE-st6uFKPoI?usp=share_link</v>
      </c>
      <c r="P977" s="6" t="str">
        <f>IFERROR(__xludf.DUMMYFUNCTION("""COMPUTED_VALUE"""),"Tamila Mydianka")</f>
        <v>Tamila Mydianka</v>
      </c>
      <c r="Q977" s="6" t="str">
        <f>IFERROR(__xludf.DUMMYFUNCTION("""COMPUTED_VALUE"""),"HS")</f>
        <v>HS</v>
      </c>
      <c r="R977" s="6">
        <f>IFERROR(__xludf.DUMMYFUNCTION("""COMPUTED_VALUE"""),0.0)</f>
        <v>0</v>
      </c>
      <c r="S977" s="6" t="str">
        <f>IFERROR(__xludf.DUMMYFUNCTION("""COMPUTED_VALUE""")," ")</f>
        <v> </v>
      </c>
      <c r="T977" s="6" t="str">
        <f>IFERROR(__xludf.DUMMYFUNCTION("""COMPUTED_VALUE"""),"")</f>
        <v/>
      </c>
      <c r="U977" s="6" t="str">
        <f>IFERROR(__xludf.DUMMYFUNCTION("""COMPUTED_VALUE"""),"11")</f>
        <v>11</v>
      </c>
      <c r="V977" s="6" t="str">
        <f>IFERROR(__xludf.DUMMYFUNCTION("""COMPUTED_VALUE"""),"English")</f>
        <v>English</v>
      </c>
      <c r="W977" s="6" t="str">
        <f>IFERROR(__xludf.DUMMYFUNCTION("""COMPUTED_VALUE"""),"[]")</f>
        <v>[]</v>
      </c>
      <c r="X977" s="6" t="str">
        <f>IFERROR(__xludf.DUMMYFUNCTION("""COMPUTED_VALUE"""),"Enrolled")</f>
        <v>Enrolled</v>
      </c>
    </row>
    <row r="978">
      <c r="A978" s="6" t="str">
        <f>IFERROR(__xludf.DUMMYFUNCTION("""COMPUTED_VALUE"""),"009-1101")</f>
        <v>009-1101</v>
      </c>
      <c r="B978" s="6" t="str">
        <f>IFERROR(__xludf.DUMMYFUNCTION("""COMPUTED_VALUE"""),"9")</f>
        <v>9</v>
      </c>
      <c r="C978" s="6" t="str">
        <f>IFERROR(__xludf.DUMMYFUNCTION("""COMPUTED_VALUE"""),"1101")</f>
        <v>1101</v>
      </c>
      <c r="D978" s="6" t="str">
        <f>IFERROR(__xludf.DUMMYFUNCTION("""COMPUTED_VALUE"""),"Merkulova")</f>
        <v>Merkulova</v>
      </c>
      <c r="E978" s="6" t="str">
        <f>IFERROR(__xludf.DUMMYFUNCTION("""COMPUTED_VALUE"""),"")</f>
        <v/>
      </c>
      <c r="F978" s="6" t="str">
        <f>IFERROR(__xludf.DUMMYFUNCTION("""COMPUTED_VALUE"""),"Veronika")</f>
        <v>Veronika</v>
      </c>
      <c r="G978" s="6" t="str">
        <f>IFERROR(__xludf.DUMMYFUNCTION("""COMPUTED_VALUE"""),"01/01/2007")</f>
        <v>01/01/2007</v>
      </c>
      <c r="H978" s="6" t="str">
        <f>IFERROR(__xludf.DUMMYFUNCTION("""COMPUTED_VALUE"""),"Self Identify")</f>
        <v>Self Identify</v>
      </c>
      <c r="I978" s="6" t="str">
        <f>IFERROR(__xludf.DUMMYFUNCTION("""COMPUTED_VALUE"""),"High School")</f>
        <v>High School</v>
      </c>
      <c r="J978" s="6" t="str">
        <f>IFERROR(__xludf.DUMMYFUNCTION("""COMPUTED_VALUE"""),"12")</f>
        <v>12</v>
      </c>
      <c r="K978" s="6" t="str">
        <f>IFERROR(__xludf.DUMMYFUNCTION("""COMPUTED_VALUE"""),"merkulova.veronika@2hourlearning.com")</f>
        <v>merkulova.veronika@2hourlearning.com</v>
      </c>
      <c r="L978" s="6" t="str">
        <f>IFERROR(__xludf.DUMMYFUNCTION("""COMPUTED_VALUE"""),"Learn and Earn Poland")</f>
        <v>Learn and Earn Poland</v>
      </c>
      <c r="M978" s="6" t="str">
        <f>IFERROR(__xludf.DUMMYFUNCTION("""COMPUTED_VALUE"""),"")</f>
        <v/>
      </c>
      <c r="N978" s="6" t="str">
        <f>IFERROR(__xludf.DUMMYFUNCTION("""COMPUTED_VALUE"""),"")</f>
        <v/>
      </c>
      <c r="O978" s="87" t="str">
        <f>IFERROR(__xludf.DUMMYFUNCTION("""COMPUTED_VALUE"""),"https://drive.google.com/drive/folders/10T2cTQHqEJZqE-st6uFKPoI?usp=share_link")</f>
        <v>https://drive.google.com/drive/folders/10T2cTQHqEJZqE-st6uFKPoI?usp=share_link</v>
      </c>
      <c r="P978" s="6" t="str">
        <f>IFERROR(__xludf.DUMMYFUNCTION("""COMPUTED_VALUE"""),"Merkulova Veronika")</f>
        <v>Merkulova Veronika</v>
      </c>
      <c r="Q978" s="6" t="str">
        <f>IFERROR(__xludf.DUMMYFUNCTION("""COMPUTED_VALUE"""),"HS")</f>
        <v>HS</v>
      </c>
      <c r="R978" s="6">
        <f>IFERROR(__xludf.DUMMYFUNCTION("""COMPUTED_VALUE"""),0.0)</f>
        <v>0</v>
      </c>
      <c r="S978" s="6" t="str">
        <f>IFERROR(__xludf.DUMMYFUNCTION("""COMPUTED_VALUE""")," ")</f>
        <v> </v>
      </c>
      <c r="T978" s="6" t="str">
        <f>IFERROR(__xludf.DUMMYFUNCTION("""COMPUTED_VALUE"""),"")</f>
        <v/>
      </c>
      <c r="U978" s="6" t="str">
        <f>IFERROR(__xludf.DUMMYFUNCTION("""COMPUTED_VALUE"""),"12")</f>
        <v>12</v>
      </c>
      <c r="V978" s="6" t="str">
        <f>IFERROR(__xludf.DUMMYFUNCTION("""COMPUTED_VALUE"""),"English")</f>
        <v>English</v>
      </c>
      <c r="W978" s="6" t="str">
        <f>IFERROR(__xludf.DUMMYFUNCTION("""COMPUTED_VALUE"""),"[]")</f>
        <v>[]</v>
      </c>
      <c r="X978" s="6" t="str">
        <f>IFERROR(__xludf.DUMMYFUNCTION("""COMPUTED_VALUE"""),"Enrolled")</f>
        <v>Enrolled</v>
      </c>
    </row>
    <row r="979">
      <c r="A979" s="6" t="str">
        <f>IFERROR(__xludf.DUMMYFUNCTION("""COMPUTED_VALUE"""),"009-1102")</f>
        <v>009-1102</v>
      </c>
      <c r="B979" s="6" t="str">
        <f>IFERROR(__xludf.DUMMYFUNCTION("""COMPUTED_VALUE"""),"9")</f>
        <v>9</v>
      </c>
      <c r="C979" s="6" t="str">
        <f>IFERROR(__xludf.DUMMYFUNCTION("""COMPUTED_VALUE"""),"1102")</f>
        <v>1102</v>
      </c>
      <c r="D979" s="6" t="str">
        <f>IFERROR(__xludf.DUMMYFUNCTION("""COMPUTED_VALUE"""),"Maksym")</f>
        <v>Maksym</v>
      </c>
      <c r="E979" s="6" t="str">
        <f>IFERROR(__xludf.DUMMYFUNCTION("""COMPUTED_VALUE"""),"")</f>
        <v/>
      </c>
      <c r="F979" s="6" t="str">
        <f>IFERROR(__xludf.DUMMYFUNCTION("""COMPUTED_VALUE"""),"Riadinskyi")</f>
        <v>Riadinskyi</v>
      </c>
      <c r="G979" s="6" t="str">
        <f>IFERROR(__xludf.DUMMYFUNCTION("""COMPUTED_VALUE"""),"01/01/2018")</f>
        <v>01/01/2018</v>
      </c>
      <c r="H979" s="6" t="str">
        <f>IFERROR(__xludf.DUMMYFUNCTION("""COMPUTED_VALUE"""),"M")</f>
        <v>M</v>
      </c>
      <c r="I979" s="6" t="str">
        <f>IFERROR(__xludf.DUMMYFUNCTION("""COMPUTED_VALUE"""),"Learning Lab")</f>
        <v>Learning Lab</v>
      </c>
      <c r="J979" s="6" t="str">
        <f>IFERROR(__xludf.DUMMYFUNCTION("""COMPUTED_VALUE"""),"1")</f>
        <v>1</v>
      </c>
      <c r="K979" s="6" t="str">
        <f>IFERROR(__xludf.DUMMYFUNCTION("""COMPUTED_VALUE"""),"maksym.riadinskyi@2hourlearning.com")</f>
        <v>maksym.riadinskyi@2hourlearning.com</v>
      </c>
      <c r="L979" s="6" t="str">
        <f>IFERROR(__xludf.DUMMYFUNCTION("""COMPUTED_VALUE"""),"Learn and Earn Poland")</f>
        <v>Learn and Earn Poland</v>
      </c>
      <c r="M979" s="6" t="str">
        <f>IFERROR(__xludf.DUMMYFUNCTION("""COMPUTED_VALUE"""),"")</f>
        <v/>
      </c>
      <c r="N979" s="6" t="str">
        <f>IFERROR(__xludf.DUMMYFUNCTION("""COMPUTED_VALUE"""),"")</f>
        <v/>
      </c>
      <c r="O979" s="87" t="str">
        <f>IFERROR(__xludf.DUMMYFUNCTION("""COMPUTED_VALUE"""),"https://drive.google.com/drive/folders/10T2cTQHqEJZqE-st6uFKPoI?usp=share_link")</f>
        <v>https://drive.google.com/drive/folders/10T2cTQHqEJZqE-st6uFKPoI?usp=share_link</v>
      </c>
      <c r="P979" s="6" t="str">
        <f>IFERROR(__xludf.DUMMYFUNCTION("""COMPUTED_VALUE"""),"Maksym Riadinskyi")</f>
        <v>Maksym Riadinskyi</v>
      </c>
      <c r="Q979" s="6" t="str">
        <f>IFERROR(__xludf.DUMMYFUNCTION("""COMPUTED_VALUE"""),"LL")</f>
        <v>LL</v>
      </c>
      <c r="R979" s="6">
        <f>IFERROR(__xludf.DUMMYFUNCTION("""COMPUTED_VALUE"""),0.0)</f>
        <v>0</v>
      </c>
      <c r="S979" s="6" t="str">
        <f>IFERROR(__xludf.DUMMYFUNCTION("""COMPUTED_VALUE""")," ")</f>
        <v> </v>
      </c>
      <c r="T979" s="6" t="str">
        <f>IFERROR(__xludf.DUMMYFUNCTION("""COMPUTED_VALUE"""),"")</f>
        <v/>
      </c>
      <c r="U979" s="6" t="str">
        <f>IFERROR(__xludf.DUMMYFUNCTION("""COMPUTED_VALUE"""),"1")</f>
        <v>1</v>
      </c>
      <c r="V979" s="6" t="str">
        <f>IFERROR(__xludf.DUMMYFUNCTION("""COMPUTED_VALUE"""),"English")</f>
        <v>English</v>
      </c>
      <c r="W979" s="6" t="str">
        <f>IFERROR(__xludf.DUMMYFUNCTION("""COMPUTED_VALUE"""),"[]")</f>
        <v>[]</v>
      </c>
      <c r="X979" s="6" t="str">
        <f>IFERROR(__xludf.DUMMYFUNCTION("""COMPUTED_VALUE"""),"Enrolled")</f>
        <v>Enrolled</v>
      </c>
    </row>
    <row r="980">
      <c r="A980" s="6" t="str">
        <f>IFERROR(__xludf.DUMMYFUNCTION("""COMPUTED_VALUE"""),"009-1103")</f>
        <v>009-1103</v>
      </c>
      <c r="B980" s="6" t="str">
        <f>IFERROR(__xludf.DUMMYFUNCTION("""COMPUTED_VALUE"""),"9")</f>
        <v>9</v>
      </c>
      <c r="C980" s="6" t="str">
        <f>IFERROR(__xludf.DUMMYFUNCTION("""COMPUTED_VALUE"""),"1103")</f>
        <v>1103</v>
      </c>
      <c r="D980" s="6" t="str">
        <f>IFERROR(__xludf.DUMMYFUNCTION("""COMPUTED_VALUE"""),"Kirill")</f>
        <v>Kirill</v>
      </c>
      <c r="E980" s="6" t="str">
        <f>IFERROR(__xludf.DUMMYFUNCTION("""COMPUTED_VALUE"""),"")</f>
        <v/>
      </c>
      <c r="F980" s="6" t="str">
        <f>IFERROR(__xludf.DUMMYFUNCTION("""COMPUTED_VALUE"""),"Mikhailichenko")</f>
        <v>Mikhailichenko</v>
      </c>
      <c r="G980" s="6" t="str">
        <f>IFERROR(__xludf.DUMMYFUNCTION("""COMPUTED_VALUE"""),"01/01/2018")</f>
        <v>01/01/2018</v>
      </c>
      <c r="H980" s="6" t="str">
        <f>IFERROR(__xludf.DUMMYFUNCTION("""COMPUTED_VALUE"""),"Self Identify")</f>
        <v>Self Identify</v>
      </c>
      <c r="I980" s="6" t="str">
        <f>IFERROR(__xludf.DUMMYFUNCTION("""COMPUTED_VALUE"""),"Learning Lab")</f>
        <v>Learning Lab</v>
      </c>
      <c r="J980" s="6" t="str">
        <f>IFERROR(__xludf.DUMMYFUNCTION("""COMPUTED_VALUE"""),"1")</f>
        <v>1</v>
      </c>
      <c r="K980" s="6" t="str">
        <f>IFERROR(__xludf.DUMMYFUNCTION("""COMPUTED_VALUE"""),"kirill.mikhailichenko@2hourlearning.com")</f>
        <v>kirill.mikhailichenko@2hourlearning.com</v>
      </c>
      <c r="L980" s="6" t="str">
        <f>IFERROR(__xludf.DUMMYFUNCTION("""COMPUTED_VALUE"""),"Learn and Earn Poland")</f>
        <v>Learn and Earn Poland</v>
      </c>
      <c r="M980" s="6" t="str">
        <f>IFERROR(__xludf.DUMMYFUNCTION("""COMPUTED_VALUE"""),"")</f>
        <v/>
      </c>
      <c r="N980" s="6" t="str">
        <f>IFERROR(__xludf.DUMMYFUNCTION("""COMPUTED_VALUE"""),"")</f>
        <v/>
      </c>
      <c r="O980" s="87" t="str">
        <f>IFERROR(__xludf.DUMMYFUNCTION("""COMPUTED_VALUE"""),"https://drive.google.com/drive/folders/10T2cTQHqEJZqE-st6uFKPoI?usp=share_link")</f>
        <v>https://drive.google.com/drive/folders/10T2cTQHqEJZqE-st6uFKPoI?usp=share_link</v>
      </c>
      <c r="P980" s="6" t="str">
        <f>IFERROR(__xludf.DUMMYFUNCTION("""COMPUTED_VALUE"""),"Kirill Mikhailichenko")</f>
        <v>Kirill Mikhailichenko</v>
      </c>
      <c r="Q980" s="6" t="str">
        <f>IFERROR(__xludf.DUMMYFUNCTION("""COMPUTED_VALUE"""),"LL")</f>
        <v>LL</v>
      </c>
      <c r="R980" s="6">
        <f>IFERROR(__xludf.DUMMYFUNCTION("""COMPUTED_VALUE"""),0.0)</f>
        <v>0</v>
      </c>
      <c r="S980" s="6" t="str">
        <f>IFERROR(__xludf.DUMMYFUNCTION("""COMPUTED_VALUE""")," ")</f>
        <v> </v>
      </c>
      <c r="T980" s="6" t="str">
        <f>IFERROR(__xludf.DUMMYFUNCTION("""COMPUTED_VALUE"""),"")</f>
        <v/>
      </c>
      <c r="U980" s="6" t="str">
        <f>IFERROR(__xludf.DUMMYFUNCTION("""COMPUTED_VALUE"""),"1")</f>
        <v>1</v>
      </c>
      <c r="V980" s="6" t="str">
        <f>IFERROR(__xludf.DUMMYFUNCTION("""COMPUTED_VALUE"""),"English")</f>
        <v>English</v>
      </c>
      <c r="W980" s="6" t="str">
        <f>IFERROR(__xludf.DUMMYFUNCTION("""COMPUTED_VALUE"""),"[]")</f>
        <v>[]</v>
      </c>
      <c r="X980" s="6" t="str">
        <f>IFERROR(__xludf.DUMMYFUNCTION("""COMPUTED_VALUE"""),"Enrolled")</f>
        <v>Enrolled</v>
      </c>
    </row>
    <row r="981">
      <c r="A981" s="6" t="str">
        <f>IFERROR(__xludf.DUMMYFUNCTION("""COMPUTED_VALUE"""),"009-1104")</f>
        <v>009-1104</v>
      </c>
      <c r="B981" s="6" t="str">
        <f>IFERROR(__xludf.DUMMYFUNCTION("""COMPUTED_VALUE"""),"9")</f>
        <v>9</v>
      </c>
      <c r="C981" s="6" t="str">
        <f>IFERROR(__xludf.DUMMYFUNCTION("""COMPUTED_VALUE"""),"1104")</f>
        <v>1104</v>
      </c>
      <c r="D981" s="6" t="str">
        <f>IFERROR(__xludf.DUMMYFUNCTION("""COMPUTED_VALUE"""),"Tymur")</f>
        <v>Tymur</v>
      </c>
      <c r="E981" s="6" t="str">
        <f>IFERROR(__xludf.DUMMYFUNCTION("""COMPUTED_VALUE"""),"")</f>
        <v/>
      </c>
      <c r="F981" s="6" t="str">
        <f>IFERROR(__xludf.DUMMYFUNCTION("""COMPUTED_VALUE"""),"Tykhomyrov")</f>
        <v>Tykhomyrov</v>
      </c>
      <c r="G981" s="6" t="str">
        <f>IFERROR(__xludf.DUMMYFUNCTION("""COMPUTED_VALUE"""),"01/01/2017")</f>
        <v>01/01/2017</v>
      </c>
      <c r="H981" s="6" t="str">
        <f>IFERROR(__xludf.DUMMYFUNCTION("""COMPUTED_VALUE"""),"Self Identify")</f>
        <v>Self Identify</v>
      </c>
      <c r="I981" s="6" t="str">
        <f>IFERROR(__xludf.DUMMYFUNCTION("""COMPUTED_VALUE"""),"Level 1")</f>
        <v>Level 1</v>
      </c>
      <c r="J981" s="6" t="str">
        <f>IFERROR(__xludf.DUMMYFUNCTION("""COMPUTED_VALUE"""),"2")</f>
        <v>2</v>
      </c>
      <c r="K981" s="6" t="str">
        <f>IFERROR(__xludf.DUMMYFUNCTION("""COMPUTED_VALUE"""),"tymur.tykhomyrov@2hourlearning.com")</f>
        <v>tymur.tykhomyrov@2hourlearning.com</v>
      </c>
      <c r="L981" s="6" t="str">
        <f>IFERROR(__xludf.DUMMYFUNCTION("""COMPUTED_VALUE"""),"Learn and Earn Poland")</f>
        <v>Learn and Earn Poland</v>
      </c>
      <c r="M981" s="6" t="str">
        <f>IFERROR(__xludf.DUMMYFUNCTION("""COMPUTED_VALUE"""),"")</f>
        <v/>
      </c>
      <c r="N981" s="6" t="str">
        <f>IFERROR(__xludf.DUMMYFUNCTION("""COMPUTED_VALUE"""),"")</f>
        <v/>
      </c>
      <c r="O981" s="87" t="str">
        <f>IFERROR(__xludf.DUMMYFUNCTION("""COMPUTED_VALUE"""),"https://drive.google.com/drive/folders/10T2cTQHqEJZqE-st6uFKPoI?usp=share_link")</f>
        <v>https://drive.google.com/drive/folders/10T2cTQHqEJZqE-st6uFKPoI?usp=share_link</v>
      </c>
      <c r="P981" s="6" t="str">
        <f>IFERROR(__xludf.DUMMYFUNCTION("""COMPUTED_VALUE"""),"Tymur Tykhomyrov")</f>
        <v>Tymur Tykhomyrov</v>
      </c>
      <c r="Q981" s="6" t="str">
        <f>IFERROR(__xludf.DUMMYFUNCTION("""COMPUTED_VALUE"""),"L1")</f>
        <v>L1</v>
      </c>
      <c r="R981" s="6">
        <f>IFERROR(__xludf.DUMMYFUNCTION("""COMPUTED_VALUE"""),1.0)</f>
        <v>1</v>
      </c>
      <c r="S981" s="6" t="str">
        <f>IFERROR(__xludf.DUMMYFUNCTION("""COMPUTED_VALUE""")," ")</f>
        <v> </v>
      </c>
      <c r="T981" s="6" t="str">
        <f>IFERROR(__xludf.DUMMYFUNCTION("""COMPUTED_VALUE"""),"")</f>
        <v/>
      </c>
      <c r="U981" s="6" t="str">
        <f>IFERROR(__xludf.DUMMYFUNCTION("""COMPUTED_VALUE"""),"2")</f>
        <v>2</v>
      </c>
      <c r="V981" s="6" t="str">
        <f>IFERROR(__xludf.DUMMYFUNCTION("""COMPUTED_VALUE"""),"English")</f>
        <v>English</v>
      </c>
      <c r="W981" s="6" t="str">
        <f>IFERROR(__xludf.DUMMYFUNCTION("""COMPUTED_VALUE"""),"[]")</f>
        <v>[]</v>
      </c>
      <c r="X981" s="6" t="str">
        <f>IFERROR(__xludf.DUMMYFUNCTION("""COMPUTED_VALUE"""),"Enrolled")</f>
        <v>Enrolled</v>
      </c>
    </row>
    <row r="982">
      <c r="A982" s="6" t="str">
        <f>IFERROR(__xludf.DUMMYFUNCTION("""COMPUTED_VALUE"""),"009-1105")</f>
        <v>009-1105</v>
      </c>
      <c r="B982" s="6" t="str">
        <f>IFERROR(__xludf.DUMMYFUNCTION("""COMPUTED_VALUE"""),"9")</f>
        <v>9</v>
      </c>
      <c r="C982" s="6" t="str">
        <f>IFERROR(__xludf.DUMMYFUNCTION("""COMPUTED_VALUE"""),"1105")</f>
        <v>1105</v>
      </c>
      <c r="D982" s="6" t="str">
        <f>IFERROR(__xludf.DUMMYFUNCTION("""COMPUTED_VALUE"""),"Artem")</f>
        <v>Artem</v>
      </c>
      <c r="E982" s="6" t="str">
        <f>IFERROR(__xludf.DUMMYFUNCTION("""COMPUTED_VALUE"""),"")</f>
        <v/>
      </c>
      <c r="F982" s="6" t="str">
        <f>IFERROR(__xludf.DUMMYFUNCTION("""COMPUTED_VALUE"""),"Kasarab")</f>
        <v>Kasarab</v>
      </c>
      <c r="G982" s="6" t="str">
        <f>IFERROR(__xludf.DUMMYFUNCTION("""COMPUTED_VALUE"""),"01/01/2017")</f>
        <v>01/01/2017</v>
      </c>
      <c r="H982" s="6" t="str">
        <f>IFERROR(__xludf.DUMMYFUNCTION("""COMPUTED_VALUE"""),"Self Identify")</f>
        <v>Self Identify</v>
      </c>
      <c r="I982" s="6" t="str">
        <f>IFERROR(__xludf.DUMMYFUNCTION("""COMPUTED_VALUE"""),"Level 1")</f>
        <v>Level 1</v>
      </c>
      <c r="J982" s="6" t="str">
        <f>IFERROR(__xludf.DUMMYFUNCTION("""COMPUTED_VALUE"""),"2")</f>
        <v>2</v>
      </c>
      <c r="K982" s="6" t="str">
        <f>IFERROR(__xludf.DUMMYFUNCTION("""COMPUTED_VALUE"""),"artem.kasarab@2hourlearning.com")</f>
        <v>artem.kasarab@2hourlearning.com</v>
      </c>
      <c r="L982" s="6" t="str">
        <f>IFERROR(__xludf.DUMMYFUNCTION("""COMPUTED_VALUE"""),"Learn and Earn Poland")</f>
        <v>Learn and Earn Poland</v>
      </c>
      <c r="M982" s="6" t="str">
        <f>IFERROR(__xludf.DUMMYFUNCTION("""COMPUTED_VALUE"""),"")</f>
        <v/>
      </c>
      <c r="N982" s="6" t="str">
        <f>IFERROR(__xludf.DUMMYFUNCTION("""COMPUTED_VALUE"""),"")</f>
        <v/>
      </c>
      <c r="O982" s="87" t="str">
        <f>IFERROR(__xludf.DUMMYFUNCTION("""COMPUTED_VALUE"""),"https://drive.google.com/drive/folders/10T2cTQHqEJZqE-st6uFKPoI?usp=share_link")</f>
        <v>https://drive.google.com/drive/folders/10T2cTQHqEJZqE-st6uFKPoI?usp=share_link</v>
      </c>
      <c r="P982" s="6" t="str">
        <f>IFERROR(__xludf.DUMMYFUNCTION("""COMPUTED_VALUE"""),"Artem Kasarab")</f>
        <v>Artem Kasarab</v>
      </c>
      <c r="Q982" s="6" t="str">
        <f>IFERROR(__xludf.DUMMYFUNCTION("""COMPUTED_VALUE"""),"L1")</f>
        <v>L1</v>
      </c>
      <c r="R982" s="6">
        <f>IFERROR(__xludf.DUMMYFUNCTION("""COMPUTED_VALUE"""),1.0)</f>
        <v>1</v>
      </c>
      <c r="S982" s="6" t="str">
        <f>IFERROR(__xludf.DUMMYFUNCTION("""COMPUTED_VALUE""")," ")</f>
        <v> </v>
      </c>
      <c r="T982" s="6" t="str">
        <f>IFERROR(__xludf.DUMMYFUNCTION("""COMPUTED_VALUE"""),"")</f>
        <v/>
      </c>
      <c r="U982" s="6" t="str">
        <f>IFERROR(__xludf.DUMMYFUNCTION("""COMPUTED_VALUE"""),"2")</f>
        <v>2</v>
      </c>
      <c r="V982" s="6" t="str">
        <f>IFERROR(__xludf.DUMMYFUNCTION("""COMPUTED_VALUE"""),"English")</f>
        <v>English</v>
      </c>
      <c r="W982" s="6" t="str">
        <f>IFERROR(__xludf.DUMMYFUNCTION("""COMPUTED_VALUE"""),"[]")</f>
        <v>[]</v>
      </c>
      <c r="X982" s="6" t="str">
        <f>IFERROR(__xludf.DUMMYFUNCTION("""COMPUTED_VALUE"""),"Enrolled")</f>
        <v>Enrolled</v>
      </c>
    </row>
    <row r="983">
      <c r="A983" s="6" t="str">
        <f>IFERROR(__xludf.DUMMYFUNCTION("""COMPUTED_VALUE"""),"009-1106")</f>
        <v>009-1106</v>
      </c>
      <c r="B983" s="6" t="str">
        <f>IFERROR(__xludf.DUMMYFUNCTION("""COMPUTED_VALUE"""),"9")</f>
        <v>9</v>
      </c>
      <c r="C983" s="6" t="str">
        <f>IFERROR(__xludf.DUMMYFUNCTION("""COMPUTED_VALUE"""),"1106")</f>
        <v>1106</v>
      </c>
      <c r="D983" s="6" t="str">
        <f>IFERROR(__xludf.DUMMYFUNCTION("""COMPUTED_VALUE"""),"Sofiia")</f>
        <v>Sofiia</v>
      </c>
      <c r="E983" s="6" t="str">
        <f>IFERROR(__xludf.DUMMYFUNCTION("""COMPUTED_VALUE"""),"")</f>
        <v/>
      </c>
      <c r="F983" s="6" t="str">
        <f>IFERROR(__xludf.DUMMYFUNCTION("""COMPUTED_VALUE"""),"Shved")</f>
        <v>Shved</v>
      </c>
      <c r="G983" s="6" t="str">
        <f>IFERROR(__xludf.DUMMYFUNCTION("""COMPUTED_VALUE"""),"01/01/2017")</f>
        <v>01/01/2017</v>
      </c>
      <c r="H983" s="6" t="str">
        <f>IFERROR(__xludf.DUMMYFUNCTION("""COMPUTED_VALUE"""),"Self Identify")</f>
        <v>Self Identify</v>
      </c>
      <c r="I983" s="6" t="str">
        <f>IFERROR(__xludf.DUMMYFUNCTION("""COMPUTED_VALUE"""),"Level 1")</f>
        <v>Level 1</v>
      </c>
      <c r="J983" s="6" t="str">
        <f>IFERROR(__xludf.DUMMYFUNCTION("""COMPUTED_VALUE"""),"2")</f>
        <v>2</v>
      </c>
      <c r="K983" s="6" t="str">
        <f>IFERROR(__xludf.DUMMYFUNCTION("""COMPUTED_VALUE"""),"sofiia.shved@2hourlearning.com")</f>
        <v>sofiia.shved@2hourlearning.com</v>
      </c>
      <c r="L983" s="6" t="str">
        <f>IFERROR(__xludf.DUMMYFUNCTION("""COMPUTED_VALUE"""),"Learn and Earn Poland")</f>
        <v>Learn and Earn Poland</v>
      </c>
      <c r="M983" s="6" t="str">
        <f>IFERROR(__xludf.DUMMYFUNCTION("""COMPUTED_VALUE"""),"")</f>
        <v/>
      </c>
      <c r="N983" s="6" t="str">
        <f>IFERROR(__xludf.DUMMYFUNCTION("""COMPUTED_VALUE"""),"")</f>
        <v/>
      </c>
      <c r="O983" s="87" t="str">
        <f>IFERROR(__xludf.DUMMYFUNCTION("""COMPUTED_VALUE"""),"https://drive.google.com/drive/folders/10T2cTQHqEJZqE-st6uFKPoI?usp=share_link")</f>
        <v>https://drive.google.com/drive/folders/10T2cTQHqEJZqE-st6uFKPoI?usp=share_link</v>
      </c>
      <c r="P983" s="6" t="str">
        <f>IFERROR(__xludf.DUMMYFUNCTION("""COMPUTED_VALUE"""),"Sofiia Shved")</f>
        <v>Sofiia Shved</v>
      </c>
      <c r="Q983" s="6" t="str">
        <f>IFERROR(__xludf.DUMMYFUNCTION("""COMPUTED_VALUE"""),"L1")</f>
        <v>L1</v>
      </c>
      <c r="R983" s="6">
        <f>IFERROR(__xludf.DUMMYFUNCTION("""COMPUTED_VALUE"""),1.0)</f>
        <v>1</v>
      </c>
      <c r="S983" s="6" t="str">
        <f>IFERROR(__xludf.DUMMYFUNCTION("""COMPUTED_VALUE""")," ")</f>
        <v> </v>
      </c>
      <c r="T983" s="6" t="str">
        <f>IFERROR(__xludf.DUMMYFUNCTION("""COMPUTED_VALUE"""),"")</f>
        <v/>
      </c>
      <c r="U983" s="6" t="str">
        <f>IFERROR(__xludf.DUMMYFUNCTION("""COMPUTED_VALUE"""),"2")</f>
        <v>2</v>
      </c>
      <c r="V983" s="6" t="str">
        <f>IFERROR(__xludf.DUMMYFUNCTION("""COMPUTED_VALUE"""),"English")</f>
        <v>English</v>
      </c>
      <c r="W983" s="6" t="str">
        <f>IFERROR(__xludf.DUMMYFUNCTION("""COMPUTED_VALUE"""),"[]")</f>
        <v>[]</v>
      </c>
      <c r="X983" s="6" t="str">
        <f>IFERROR(__xludf.DUMMYFUNCTION("""COMPUTED_VALUE"""),"Enrolled")</f>
        <v>Enrolled</v>
      </c>
    </row>
    <row r="984">
      <c r="A984" s="6" t="str">
        <f>IFERROR(__xludf.DUMMYFUNCTION("""COMPUTED_VALUE"""),"009-1107")</f>
        <v>009-1107</v>
      </c>
      <c r="B984" s="6" t="str">
        <f>IFERROR(__xludf.DUMMYFUNCTION("""COMPUTED_VALUE"""),"9")</f>
        <v>9</v>
      </c>
      <c r="C984" s="6" t="str">
        <f>IFERROR(__xludf.DUMMYFUNCTION("""COMPUTED_VALUE"""),"1107")</f>
        <v>1107</v>
      </c>
      <c r="D984" s="6" t="str">
        <f>IFERROR(__xludf.DUMMYFUNCTION("""COMPUTED_VALUE"""),"Yelizaveta")</f>
        <v>Yelizaveta</v>
      </c>
      <c r="E984" s="6" t="str">
        <f>IFERROR(__xludf.DUMMYFUNCTION("""COMPUTED_VALUE"""),"")</f>
        <v/>
      </c>
      <c r="F984" s="6" t="str">
        <f>IFERROR(__xludf.DUMMYFUNCTION("""COMPUTED_VALUE"""),"Zhupynska")</f>
        <v>Zhupynska</v>
      </c>
      <c r="G984" s="6" t="str">
        <f>IFERROR(__xludf.DUMMYFUNCTION("""COMPUTED_VALUE"""),"01/01/2017")</f>
        <v>01/01/2017</v>
      </c>
      <c r="H984" s="6" t="str">
        <f>IFERROR(__xludf.DUMMYFUNCTION("""COMPUTED_VALUE"""),"Self Identify")</f>
        <v>Self Identify</v>
      </c>
      <c r="I984" s="6" t="str">
        <f>IFERROR(__xludf.DUMMYFUNCTION("""COMPUTED_VALUE"""),"Level 1")</f>
        <v>Level 1</v>
      </c>
      <c r="J984" s="6" t="str">
        <f>IFERROR(__xludf.DUMMYFUNCTION("""COMPUTED_VALUE"""),"2")</f>
        <v>2</v>
      </c>
      <c r="K984" s="6" t="str">
        <f>IFERROR(__xludf.DUMMYFUNCTION("""COMPUTED_VALUE"""),"yelizaveta.zhupynska@2hourlearning.com")</f>
        <v>yelizaveta.zhupynska@2hourlearning.com</v>
      </c>
      <c r="L984" s="6" t="str">
        <f>IFERROR(__xludf.DUMMYFUNCTION("""COMPUTED_VALUE"""),"Learn and Earn Poland")</f>
        <v>Learn and Earn Poland</v>
      </c>
      <c r="M984" s="6" t="str">
        <f>IFERROR(__xludf.DUMMYFUNCTION("""COMPUTED_VALUE"""),"")</f>
        <v/>
      </c>
      <c r="N984" s="6" t="str">
        <f>IFERROR(__xludf.DUMMYFUNCTION("""COMPUTED_VALUE"""),"")</f>
        <v/>
      </c>
      <c r="O984" s="87" t="str">
        <f>IFERROR(__xludf.DUMMYFUNCTION("""COMPUTED_VALUE"""),"https://drive.google.com/drive/folders/10T2cTQHqEJZqE-st6uFKPoI?usp=share_link")</f>
        <v>https://drive.google.com/drive/folders/10T2cTQHqEJZqE-st6uFKPoI?usp=share_link</v>
      </c>
      <c r="P984" s="6" t="str">
        <f>IFERROR(__xludf.DUMMYFUNCTION("""COMPUTED_VALUE"""),"Yelizaveta Zhupynska")</f>
        <v>Yelizaveta Zhupynska</v>
      </c>
      <c r="Q984" s="6" t="str">
        <f>IFERROR(__xludf.DUMMYFUNCTION("""COMPUTED_VALUE"""),"L1")</f>
        <v>L1</v>
      </c>
      <c r="R984" s="6">
        <f>IFERROR(__xludf.DUMMYFUNCTION("""COMPUTED_VALUE"""),1.0)</f>
        <v>1</v>
      </c>
      <c r="S984" s="6" t="str">
        <f>IFERROR(__xludf.DUMMYFUNCTION("""COMPUTED_VALUE""")," ")</f>
        <v> </v>
      </c>
      <c r="T984" s="6" t="str">
        <f>IFERROR(__xludf.DUMMYFUNCTION("""COMPUTED_VALUE"""),"")</f>
        <v/>
      </c>
      <c r="U984" s="6" t="str">
        <f>IFERROR(__xludf.DUMMYFUNCTION("""COMPUTED_VALUE"""),"2")</f>
        <v>2</v>
      </c>
      <c r="V984" s="6" t="str">
        <f>IFERROR(__xludf.DUMMYFUNCTION("""COMPUTED_VALUE"""),"English")</f>
        <v>English</v>
      </c>
      <c r="W984" s="6" t="str">
        <f>IFERROR(__xludf.DUMMYFUNCTION("""COMPUTED_VALUE"""),"[]")</f>
        <v>[]</v>
      </c>
      <c r="X984" s="6" t="str">
        <f>IFERROR(__xludf.DUMMYFUNCTION("""COMPUTED_VALUE"""),"Enrolled")</f>
        <v>Enrolled</v>
      </c>
    </row>
    <row r="985">
      <c r="A985" s="6" t="str">
        <f>IFERROR(__xludf.DUMMYFUNCTION("""COMPUTED_VALUE"""),"009-1109")</f>
        <v>009-1109</v>
      </c>
      <c r="B985" s="6" t="str">
        <f>IFERROR(__xludf.DUMMYFUNCTION("""COMPUTED_VALUE"""),"9")</f>
        <v>9</v>
      </c>
      <c r="C985" s="6" t="str">
        <f>IFERROR(__xludf.DUMMYFUNCTION("""COMPUTED_VALUE"""),"1109")</f>
        <v>1109</v>
      </c>
      <c r="D985" s="6" t="str">
        <f>IFERROR(__xludf.DUMMYFUNCTION("""COMPUTED_VALUE"""),"Chirpak")</f>
        <v>Chirpak</v>
      </c>
      <c r="E985" s="6" t="str">
        <f>IFERROR(__xludf.DUMMYFUNCTION("""COMPUTED_VALUE"""),"")</f>
        <v/>
      </c>
      <c r="F985" s="6" t="str">
        <f>IFERROR(__xludf.DUMMYFUNCTION("""COMPUTED_VALUE"""),"Anna")</f>
        <v>Anna</v>
      </c>
      <c r="G985" s="6" t="str">
        <f>IFERROR(__xludf.DUMMYFUNCTION("""COMPUTED_VALUE"""),"01/01/2016")</f>
        <v>01/01/2016</v>
      </c>
      <c r="H985" s="6" t="str">
        <f>IFERROR(__xludf.DUMMYFUNCTION("""COMPUTED_VALUE"""),"Self Identify")</f>
        <v>Self Identify</v>
      </c>
      <c r="I985" s="6" t="str">
        <f>IFERROR(__xludf.DUMMYFUNCTION("""COMPUTED_VALUE"""),"Level 1")</f>
        <v>Level 1</v>
      </c>
      <c r="J985" s="6" t="str">
        <f>IFERROR(__xludf.DUMMYFUNCTION("""COMPUTED_VALUE"""),"3")</f>
        <v>3</v>
      </c>
      <c r="K985" s="6" t="str">
        <f>IFERROR(__xludf.DUMMYFUNCTION("""COMPUTED_VALUE"""),"chirpak.anna@2hourlearning.com")</f>
        <v>chirpak.anna@2hourlearning.com</v>
      </c>
      <c r="L985" s="6" t="str">
        <f>IFERROR(__xludf.DUMMYFUNCTION("""COMPUTED_VALUE"""),"Learn and Earn Poland")</f>
        <v>Learn and Earn Poland</v>
      </c>
      <c r="M985" s="6" t="str">
        <f>IFERROR(__xludf.DUMMYFUNCTION("""COMPUTED_VALUE"""),"Budapest Alpha")</f>
        <v>Budapest Alpha</v>
      </c>
      <c r="N985" s="6" t="str">
        <f>IFERROR(__xludf.DUMMYFUNCTION("""COMPUTED_VALUE"""),"")</f>
        <v/>
      </c>
      <c r="O985" s="87" t="str">
        <f>IFERROR(__xludf.DUMMYFUNCTION("""COMPUTED_VALUE"""),"https://drive.google.com/drive/folders/10T2cTQHqEJZqE-st6uFKPoI?usp=share_link")</f>
        <v>https://drive.google.com/drive/folders/10T2cTQHqEJZqE-st6uFKPoI?usp=share_link</v>
      </c>
      <c r="P985" s="6" t="str">
        <f>IFERROR(__xludf.DUMMYFUNCTION("""COMPUTED_VALUE"""),"Chirpak Anna")</f>
        <v>Chirpak Anna</v>
      </c>
      <c r="Q985" s="6" t="str">
        <f>IFERROR(__xludf.DUMMYFUNCTION("""COMPUTED_VALUE"""),"L1")</f>
        <v>L1</v>
      </c>
      <c r="R985" s="6">
        <f>IFERROR(__xludf.DUMMYFUNCTION("""COMPUTED_VALUE"""),1.0)</f>
        <v>1</v>
      </c>
      <c r="S985" s="6" t="str">
        <f>IFERROR(__xludf.DUMMYFUNCTION("""COMPUTED_VALUE""")," ")</f>
        <v> </v>
      </c>
      <c r="T985" s="6" t="str">
        <f>IFERROR(__xludf.DUMMYFUNCTION("""COMPUTED_VALUE"""),"")</f>
        <v/>
      </c>
      <c r="U985" s="6" t="str">
        <f>IFERROR(__xludf.DUMMYFUNCTION("""COMPUTED_VALUE"""),"3")</f>
        <v>3</v>
      </c>
      <c r="V985" s="6" t="str">
        <f>IFERROR(__xludf.DUMMYFUNCTION("""COMPUTED_VALUE"""),"English")</f>
        <v>English</v>
      </c>
      <c r="W985" s="6" t="str">
        <f>IFERROR(__xludf.DUMMYFUNCTION("""COMPUTED_VALUE"""),"[]")</f>
        <v>[]</v>
      </c>
      <c r="X985" s="6" t="str">
        <f>IFERROR(__xludf.DUMMYFUNCTION("""COMPUTED_VALUE"""),"Enrolled")</f>
        <v>Enrolled</v>
      </c>
    </row>
    <row r="986">
      <c r="A986" s="6" t="str">
        <f>IFERROR(__xludf.DUMMYFUNCTION("""COMPUTED_VALUE"""),"009-1110")</f>
        <v>009-1110</v>
      </c>
      <c r="B986" s="6" t="str">
        <f>IFERROR(__xludf.DUMMYFUNCTION("""COMPUTED_VALUE"""),"9")</f>
        <v>9</v>
      </c>
      <c r="C986" s="6" t="str">
        <f>IFERROR(__xludf.DUMMYFUNCTION("""COMPUTED_VALUE"""),"1110")</f>
        <v>1110</v>
      </c>
      <c r="D986" s="6" t="str">
        <f>IFERROR(__xludf.DUMMYFUNCTION("""COMPUTED_VALUE"""),"Anna")</f>
        <v>Anna</v>
      </c>
      <c r="E986" s="6" t="str">
        <f>IFERROR(__xludf.DUMMYFUNCTION("""COMPUTED_VALUE"""),"")</f>
        <v/>
      </c>
      <c r="F986" s="6" t="str">
        <f>IFERROR(__xludf.DUMMYFUNCTION("""COMPUTED_VALUE"""),"Zaplava")</f>
        <v>Zaplava</v>
      </c>
      <c r="G986" s="6" t="str">
        <f>IFERROR(__xludf.DUMMYFUNCTION("""COMPUTED_VALUE"""),"01/01/2016")</f>
        <v>01/01/2016</v>
      </c>
      <c r="H986" s="6" t="str">
        <f>IFERROR(__xludf.DUMMYFUNCTION("""COMPUTED_VALUE"""),"Self Identify")</f>
        <v>Self Identify</v>
      </c>
      <c r="I986" s="6" t="str">
        <f>IFERROR(__xludf.DUMMYFUNCTION("""COMPUTED_VALUE"""),"Level 1")</f>
        <v>Level 1</v>
      </c>
      <c r="J986" s="6" t="str">
        <f>IFERROR(__xludf.DUMMYFUNCTION("""COMPUTED_VALUE"""),"3")</f>
        <v>3</v>
      </c>
      <c r="K986" s="6" t="str">
        <f>IFERROR(__xludf.DUMMYFUNCTION("""COMPUTED_VALUE"""),"anna.zaplava@2hourlearning.com")</f>
        <v>anna.zaplava@2hourlearning.com</v>
      </c>
      <c r="L986" s="6" t="str">
        <f>IFERROR(__xludf.DUMMYFUNCTION("""COMPUTED_VALUE"""),"Learn and Earn Poland")</f>
        <v>Learn and Earn Poland</v>
      </c>
      <c r="M986" s="6" t="str">
        <f>IFERROR(__xludf.DUMMYFUNCTION("""COMPUTED_VALUE"""),"")</f>
        <v/>
      </c>
      <c r="N986" s="6" t="str">
        <f>IFERROR(__xludf.DUMMYFUNCTION("""COMPUTED_VALUE"""),"")</f>
        <v/>
      </c>
      <c r="O986" s="87" t="str">
        <f>IFERROR(__xludf.DUMMYFUNCTION("""COMPUTED_VALUE"""),"https://drive.google.com/drive/folders/10T2cTQHqEJZqE-st6uFKPoI?usp=share_link")</f>
        <v>https://drive.google.com/drive/folders/10T2cTQHqEJZqE-st6uFKPoI?usp=share_link</v>
      </c>
      <c r="P986" s="6" t="str">
        <f>IFERROR(__xludf.DUMMYFUNCTION("""COMPUTED_VALUE"""),"Anna Zaplava")</f>
        <v>Anna Zaplava</v>
      </c>
      <c r="Q986" s="6" t="str">
        <f>IFERROR(__xludf.DUMMYFUNCTION("""COMPUTED_VALUE"""),"L1")</f>
        <v>L1</v>
      </c>
      <c r="R986" s="6">
        <f>IFERROR(__xludf.DUMMYFUNCTION("""COMPUTED_VALUE"""),1.0)</f>
        <v>1</v>
      </c>
      <c r="S986" s="6" t="str">
        <f>IFERROR(__xludf.DUMMYFUNCTION("""COMPUTED_VALUE""")," ")</f>
        <v> </v>
      </c>
      <c r="T986" s="6" t="str">
        <f>IFERROR(__xludf.DUMMYFUNCTION("""COMPUTED_VALUE"""),"")</f>
        <v/>
      </c>
      <c r="U986" s="6" t="str">
        <f>IFERROR(__xludf.DUMMYFUNCTION("""COMPUTED_VALUE"""),"3")</f>
        <v>3</v>
      </c>
      <c r="V986" s="6" t="str">
        <f>IFERROR(__xludf.DUMMYFUNCTION("""COMPUTED_VALUE"""),"English")</f>
        <v>English</v>
      </c>
      <c r="W986" s="6" t="str">
        <f>IFERROR(__xludf.DUMMYFUNCTION("""COMPUTED_VALUE"""),"[]")</f>
        <v>[]</v>
      </c>
      <c r="X986" s="6" t="str">
        <f>IFERROR(__xludf.DUMMYFUNCTION("""COMPUTED_VALUE"""),"Enrolled")</f>
        <v>Enrolled</v>
      </c>
    </row>
    <row r="987">
      <c r="A987" s="6" t="str">
        <f>IFERROR(__xludf.DUMMYFUNCTION("""COMPUTED_VALUE"""),"009-1111")</f>
        <v>009-1111</v>
      </c>
      <c r="B987" s="6" t="str">
        <f>IFERROR(__xludf.DUMMYFUNCTION("""COMPUTED_VALUE"""),"9")</f>
        <v>9</v>
      </c>
      <c r="C987" s="6" t="str">
        <f>IFERROR(__xludf.DUMMYFUNCTION("""COMPUTED_VALUE"""),"1111")</f>
        <v>1111</v>
      </c>
      <c r="D987" s="6" t="str">
        <f>IFERROR(__xludf.DUMMYFUNCTION("""COMPUTED_VALUE"""),"Yelyzaveta")</f>
        <v>Yelyzaveta</v>
      </c>
      <c r="E987" s="6" t="str">
        <f>IFERROR(__xludf.DUMMYFUNCTION("""COMPUTED_VALUE"""),"")</f>
        <v/>
      </c>
      <c r="F987" s="6" t="str">
        <f>IFERROR(__xludf.DUMMYFUNCTION("""COMPUTED_VALUE"""),"Brahina")</f>
        <v>Brahina</v>
      </c>
      <c r="G987" s="6" t="str">
        <f>IFERROR(__xludf.DUMMYFUNCTION("""COMPUTED_VALUE"""),"01/01/2016")</f>
        <v>01/01/2016</v>
      </c>
      <c r="H987" s="6" t="str">
        <f>IFERROR(__xludf.DUMMYFUNCTION("""COMPUTED_VALUE"""),"Self Identify")</f>
        <v>Self Identify</v>
      </c>
      <c r="I987" s="6" t="str">
        <f>IFERROR(__xludf.DUMMYFUNCTION("""COMPUTED_VALUE"""),"Level 1")</f>
        <v>Level 1</v>
      </c>
      <c r="J987" s="6" t="str">
        <f>IFERROR(__xludf.DUMMYFUNCTION("""COMPUTED_VALUE"""),"3")</f>
        <v>3</v>
      </c>
      <c r="K987" s="6" t="str">
        <f>IFERROR(__xludf.DUMMYFUNCTION("""COMPUTED_VALUE"""),"yelyzaveta.brahina@2hourlearning.com")</f>
        <v>yelyzaveta.brahina@2hourlearning.com</v>
      </c>
      <c r="L987" s="6" t="str">
        <f>IFERROR(__xludf.DUMMYFUNCTION("""COMPUTED_VALUE"""),"Learn and Earn Poland")</f>
        <v>Learn and Earn Poland</v>
      </c>
      <c r="M987" s="6" t="str">
        <f>IFERROR(__xludf.DUMMYFUNCTION("""COMPUTED_VALUE"""),"")</f>
        <v/>
      </c>
      <c r="N987" s="6" t="str">
        <f>IFERROR(__xludf.DUMMYFUNCTION("""COMPUTED_VALUE"""),"")</f>
        <v/>
      </c>
      <c r="O987" s="87" t="str">
        <f>IFERROR(__xludf.DUMMYFUNCTION("""COMPUTED_VALUE"""),"https://drive.google.com/drive/folders/10T2cTQHqEJZqE-st6uFKPoI?usp=share_link")</f>
        <v>https://drive.google.com/drive/folders/10T2cTQHqEJZqE-st6uFKPoI?usp=share_link</v>
      </c>
      <c r="P987" s="6" t="str">
        <f>IFERROR(__xludf.DUMMYFUNCTION("""COMPUTED_VALUE"""),"Yelyzaveta Brahina")</f>
        <v>Yelyzaveta Brahina</v>
      </c>
      <c r="Q987" s="6" t="str">
        <f>IFERROR(__xludf.DUMMYFUNCTION("""COMPUTED_VALUE"""),"L1")</f>
        <v>L1</v>
      </c>
      <c r="R987" s="6">
        <f>IFERROR(__xludf.DUMMYFUNCTION("""COMPUTED_VALUE"""),1.0)</f>
        <v>1</v>
      </c>
      <c r="S987" s="6" t="str">
        <f>IFERROR(__xludf.DUMMYFUNCTION("""COMPUTED_VALUE""")," ")</f>
        <v> </v>
      </c>
      <c r="T987" s="6" t="str">
        <f>IFERROR(__xludf.DUMMYFUNCTION("""COMPUTED_VALUE"""),"")</f>
        <v/>
      </c>
      <c r="U987" s="6" t="str">
        <f>IFERROR(__xludf.DUMMYFUNCTION("""COMPUTED_VALUE"""),"3")</f>
        <v>3</v>
      </c>
      <c r="V987" s="6" t="str">
        <f>IFERROR(__xludf.DUMMYFUNCTION("""COMPUTED_VALUE"""),"English")</f>
        <v>English</v>
      </c>
      <c r="W987" s="6" t="str">
        <f>IFERROR(__xludf.DUMMYFUNCTION("""COMPUTED_VALUE"""),"[]")</f>
        <v>[]</v>
      </c>
      <c r="X987" s="6" t="str">
        <f>IFERROR(__xludf.DUMMYFUNCTION("""COMPUTED_VALUE"""),"Enrolled")</f>
        <v>Enrolled</v>
      </c>
    </row>
    <row r="988">
      <c r="A988" s="6" t="str">
        <f>IFERROR(__xludf.DUMMYFUNCTION("""COMPUTED_VALUE"""),"009-1112")</f>
        <v>009-1112</v>
      </c>
      <c r="B988" s="6" t="str">
        <f>IFERROR(__xludf.DUMMYFUNCTION("""COMPUTED_VALUE"""),"9")</f>
        <v>9</v>
      </c>
      <c r="C988" s="6" t="str">
        <f>IFERROR(__xludf.DUMMYFUNCTION("""COMPUTED_VALUE"""),"1112")</f>
        <v>1112</v>
      </c>
      <c r="D988" s="6" t="str">
        <f>IFERROR(__xludf.DUMMYFUNCTION("""COMPUTED_VALUE"""),"Yevstropova")</f>
        <v>Yevstropova</v>
      </c>
      <c r="E988" s="6" t="str">
        <f>IFERROR(__xludf.DUMMYFUNCTION("""COMPUTED_VALUE"""),"")</f>
        <v/>
      </c>
      <c r="F988" s="6" t="str">
        <f>IFERROR(__xludf.DUMMYFUNCTION("""COMPUTED_VALUE"""),"Tereza")</f>
        <v>Tereza</v>
      </c>
      <c r="G988" s="6" t="str">
        <f>IFERROR(__xludf.DUMMYFUNCTION("""COMPUTED_VALUE"""),"01/01/2016")</f>
        <v>01/01/2016</v>
      </c>
      <c r="H988" s="6" t="str">
        <f>IFERROR(__xludf.DUMMYFUNCTION("""COMPUTED_VALUE"""),"Self Identify")</f>
        <v>Self Identify</v>
      </c>
      <c r="I988" s="6" t="str">
        <f>IFERROR(__xludf.DUMMYFUNCTION("""COMPUTED_VALUE"""),"Level 1")</f>
        <v>Level 1</v>
      </c>
      <c r="J988" s="6" t="str">
        <f>IFERROR(__xludf.DUMMYFUNCTION("""COMPUTED_VALUE"""),"3")</f>
        <v>3</v>
      </c>
      <c r="K988" s="6" t="str">
        <f>IFERROR(__xludf.DUMMYFUNCTION("""COMPUTED_VALUE"""),"yevstropova.tereza@2hourlearning.com")</f>
        <v>yevstropova.tereza@2hourlearning.com</v>
      </c>
      <c r="L988" s="6" t="str">
        <f>IFERROR(__xludf.DUMMYFUNCTION("""COMPUTED_VALUE"""),"Learn and Earn Poland")</f>
        <v>Learn and Earn Poland</v>
      </c>
      <c r="M988" s="6" t="str">
        <f>IFERROR(__xludf.DUMMYFUNCTION("""COMPUTED_VALUE"""),"")</f>
        <v/>
      </c>
      <c r="N988" s="6" t="str">
        <f>IFERROR(__xludf.DUMMYFUNCTION("""COMPUTED_VALUE"""),"")</f>
        <v/>
      </c>
      <c r="O988" s="87" t="str">
        <f>IFERROR(__xludf.DUMMYFUNCTION("""COMPUTED_VALUE"""),"https://drive.google.com/drive/folders/10T2cTQHqEJZqE-st6uFKPoI?usp=share_link")</f>
        <v>https://drive.google.com/drive/folders/10T2cTQHqEJZqE-st6uFKPoI?usp=share_link</v>
      </c>
      <c r="P988" s="6" t="str">
        <f>IFERROR(__xludf.DUMMYFUNCTION("""COMPUTED_VALUE"""),"Yevstropova Tereza")</f>
        <v>Yevstropova Tereza</v>
      </c>
      <c r="Q988" s="6" t="str">
        <f>IFERROR(__xludf.DUMMYFUNCTION("""COMPUTED_VALUE"""),"L1")</f>
        <v>L1</v>
      </c>
      <c r="R988" s="6">
        <f>IFERROR(__xludf.DUMMYFUNCTION("""COMPUTED_VALUE"""),1.0)</f>
        <v>1</v>
      </c>
      <c r="S988" s="6" t="str">
        <f>IFERROR(__xludf.DUMMYFUNCTION("""COMPUTED_VALUE""")," ")</f>
        <v> </v>
      </c>
      <c r="T988" s="6" t="str">
        <f>IFERROR(__xludf.DUMMYFUNCTION("""COMPUTED_VALUE"""),"")</f>
        <v/>
      </c>
      <c r="U988" s="6" t="str">
        <f>IFERROR(__xludf.DUMMYFUNCTION("""COMPUTED_VALUE"""),"3")</f>
        <v>3</v>
      </c>
      <c r="V988" s="6" t="str">
        <f>IFERROR(__xludf.DUMMYFUNCTION("""COMPUTED_VALUE"""),"English")</f>
        <v>English</v>
      </c>
      <c r="W988" s="6" t="str">
        <f>IFERROR(__xludf.DUMMYFUNCTION("""COMPUTED_VALUE"""),"[]")</f>
        <v>[]</v>
      </c>
      <c r="X988" s="6" t="str">
        <f>IFERROR(__xludf.DUMMYFUNCTION("""COMPUTED_VALUE"""),"Enrolled")</f>
        <v>Enrolled</v>
      </c>
    </row>
    <row r="989">
      <c r="A989" s="6" t="str">
        <f>IFERROR(__xludf.DUMMYFUNCTION("""COMPUTED_VALUE"""),"009-1113")</f>
        <v>009-1113</v>
      </c>
      <c r="B989" s="6" t="str">
        <f>IFERROR(__xludf.DUMMYFUNCTION("""COMPUTED_VALUE"""),"9")</f>
        <v>9</v>
      </c>
      <c r="C989" s="6" t="str">
        <f>IFERROR(__xludf.DUMMYFUNCTION("""COMPUTED_VALUE"""),"1113")</f>
        <v>1113</v>
      </c>
      <c r="D989" s="6" t="str">
        <f>IFERROR(__xludf.DUMMYFUNCTION("""COMPUTED_VALUE"""),"Sebestyen")</f>
        <v>Sebestyen</v>
      </c>
      <c r="E989" s="6" t="str">
        <f>IFERROR(__xludf.DUMMYFUNCTION("""COMPUTED_VALUE"""),"")</f>
        <v/>
      </c>
      <c r="F989" s="6" t="str">
        <f>IFERROR(__xludf.DUMMYFUNCTION("""COMPUTED_VALUE"""),"Dorka")</f>
        <v>Dorka</v>
      </c>
      <c r="G989" s="6" t="str">
        <f>IFERROR(__xludf.DUMMYFUNCTION("""COMPUTED_VALUE"""),"01/01/2016")</f>
        <v>01/01/2016</v>
      </c>
      <c r="H989" s="6" t="str">
        <f>IFERROR(__xludf.DUMMYFUNCTION("""COMPUTED_VALUE"""),"Self Identify")</f>
        <v>Self Identify</v>
      </c>
      <c r="I989" s="6" t="str">
        <f>IFERROR(__xludf.DUMMYFUNCTION("""COMPUTED_VALUE"""),"Level 1")</f>
        <v>Level 1</v>
      </c>
      <c r="J989" s="6" t="str">
        <f>IFERROR(__xludf.DUMMYFUNCTION("""COMPUTED_VALUE"""),"3")</f>
        <v>3</v>
      </c>
      <c r="K989" s="6" t="str">
        <f>IFERROR(__xludf.DUMMYFUNCTION("""COMPUTED_VALUE"""),"sebestyen.dorka@2hourlearning.com")</f>
        <v>sebestyen.dorka@2hourlearning.com</v>
      </c>
      <c r="L989" s="6" t="str">
        <f>IFERROR(__xludf.DUMMYFUNCTION("""COMPUTED_VALUE"""),"Learn and Earn Poland")</f>
        <v>Learn and Earn Poland</v>
      </c>
      <c r="M989" s="6" t="str">
        <f>IFERROR(__xludf.DUMMYFUNCTION("""COMPUTED_VALUE"""),"")</f>
        <v/>
      </c>
      <c r="N989" s="6" t="str">
        <f>IFERROR(__xludf.DUMMYFUNCTION("""COMPUTED_VALUE"""),"")</f>
        <v/>
      </c>
      <c r="O989" s="87" t="str">
        <f>IFERROR(__xludf.DUMMYFUNCTION("""COMPUTED_VALUE"""),"https://drive.google.com/drive/folders/10T2cTQHqEJZqE-st6uFKPoI?usp=share_link")</f>
        <v>https://drive.google.com/drive/folders/10T2cTQHqEJZqE-st6uFKPoI?usp=share_link</v>
      </c>
      <c r="P989" s="6" t="str">
        <f>IFERROR(__xludf.DUMMYFUNCTION("""COMPUTED_VALUE"""),"Sebestyen Dorka")</f>
        <v>Sebestyen Dorka</v>
      </c>
      <c r="Q989" s="6" t="str">
        <f>IFERROR(__xludf.DUMMYFUNCTION("""COMPUTED_VALUE"""),"L1")</f>
        <v>L1</v>
      </c>
      <c r="R989" s="6">
        <f>IFERROR(__xludf.DUMMYFUNCTION("""COMPUTED_VALUE"""),1.0)</f>
        <v>1</v>
      </c>
      <c r="S989" s="6" t="str">
        <f>IFERROR(__xludf.DUMMYFUNCTION("""COMPUTED_VALUE""")," ")</f>
        <v> </v>
      </c>
      <c r="T989" s="6" t="str">
        <f>IFERROR(__xludf.DUMMYFUNCTION("""COMPUTED_VALUE"""),"")</f>
        <v/>
      </c>
      <c r="U989" s="6" t="str">
        <f>IFERROR(__xludf.DUMMYFUNCTION("""COMPUTED_VALUE"""),"3")</f>
        <v>3</v>
      </c>
      <c r="V989" s="6" t="str">
        <f>IFERROR(__xludf.DUMMYFUNCTION("""COMPUTED_VALUE"""),"English")</f>
        <v>English</v>
      </c>
      <c r="W989" s="6" t="str">
        <f>IFERROR(__xludf.DUMMYFUNCTION("""COMPUTED_VALUE"""),"[]")</f>
        <v>[]</v>
      </c>
      <c r="X989" s="6" t="str">
        <f>IFERROR(__xludf.DUMMYFUNCTION("""COMPUTED_VALUE"""),"Enrolled")</f>
        <v>Enrolled</v>
      </c>
    </row>
    <row r="990">
      <c r="A990" s="6" t="str">
        <f>IFERROR(__xludf.DUMMYFUNCTION("""COMPUTED_VALUE"""),"009-1114")</f>
        <v>009-1114</v>
      </c>
      <c r="B990" s="6" t="str">
        <f>IFERROR(__xludf.DUMMYFUNCTION("""COMPUTED_VALUE"""),"9")</f>
        <v>9</v>
      </c>
      <c r="C990" s="6" t="str">
        <f>IFERROR(__xludf.DUMMYFUNCTION("""COMPUTED_VALUE"""),"1114")</f>
        <v>1114</v>
      </c>
      <c r="D990" s="6" t="str">
        <f>IFERROR(__xludf.DUMMYFUNCTION("""COMPUTED_VALUE"""),"Sebestyen")</f>
        <v>Sebestyen</v>
      </c>
      <c r="E990" s="6" t="str">
        <f>IFERROR(__xludf.DUMMYFUNCTION("""COMPUTED_VALUE"""),"")</f>
        <v/>
      </c>
      <c r="F990" s="6" t="str">
        <f>IFERROR(__xludf.DUMMYFUNCTION("""COMPUTED_VALUE"""),"Patrik")</f>
        <v>Patrik</v>
      </c>
      <c r="G990" s="6" t="str">
        <f>IFERROR(__xludf.DUMMYFUNCTION("""COMPUTED_VALUE"""),"01/01/2016")</f>
        <v>01/01/2016</v>
      </c>
      <c r="H990" s="6" t="str">
        <f>IFERROR(__xludf.DUMMYFUNCTION("""COMPUTED_VALUE"""),"Self Identify")</f>
        <v>Self Identify</v>
      </c>
      <c r="I990" s="6" t="str">
        <f>IFERROR(__xludf.DUMMYFUNCTION("""COMPUTED_VALUE"""),"Level 1")</f>
        <v>Level 1</v>
      </c>
      <c r="J990" s="6" t="str">
        <f>IFERROR(__xludf.DUMMYFUNCTION("""COMPUTED_VALUE"""),"3")</f>
        <v>3</v>
      </c>
      <c r="K990" s="6" t="str">
        <f>IFERROR(__xludf.DUMMYFUNCTION("""COMPUTED_VALUE"""),"sebestyen.patrik@2hourlearning.com")</f>
        <v>sebestyen.patrik@2hourlearning.com</v>
      </c>
      <c r="L990" s="6" t="str">
        <f>IFERROR(__xludf.DUMMYFUNCTION("""COMPUTED_VALUE"""),"Learn and Earn Poland")</f>
        <v>Learn and Earn Poland</v>
      </c>
      <c r="M990" s="6" t="str">
        <f>IFERROR(__xludf.DUMMYFUNCTION("""COMPUTED_VALUE"""),"")</f>
        <v/>
      </c>
      <c r="N990" s="6" t="str">
        <f>IFERROR(__xludf.DUMMYFUNCTION("""COMPUTED_VALUE"""),"")</f>
        <v/>
      </c>
      <c r="O990" s="87" t="str">
        <f>IFERROR(__xludf.DUMMYFUNCTION("""COMPUTED_VALUE"""),"https://drive.google.com/drive/folders/10T2cTQHqEJZqE-st6uFKPoI?usp=share_link")</f>
        <v>https://drive.google.com/drive/folders/10T2cTQHqEJZqE-st6uFKPoI?usp=share_link</v>
      </c>
      <c r="P990" s="6" t="str">
        <f>IFERROR(__xludf.DUMMYFUNCTION("""COMPUTED_VALUE"""),"Sebestyen Patrik")</f>
        <v>Sebestyen Patrik</v>
      </c>
      <c r="Q990" s="6" t="str">
        <f>IFERROR(__xludf.DUMMYFUNCTION("""COMPUTED_VALUE"""),"L1")</f>
        <v>L1</v>
      </c>
      <c r="R990" s="6">
        <f>IFERROR(__xludf.DUMMYFUNCTION("""COMPUTED_VALUE"""),1.0)</f>
        <v>1</v>
      </c>
      <c r="S990" s="6" t="str">
        <f>IFERROR(__xludf.DUMMYFUNCTION("""COMPUTED_VALUE""")," ")</f>
        <v> </v>
      </c>
      <c r="T990" s="6" t="str">
        <f>IFERROR(__xludf.DUMMYFUNCTION("""COMPUTED_VALUE"""),"")</f>
        <v/>
      </c>
      <c r="U990" s="6" t="str">
        <f>IFERROR(__xludf.DUMMYFUNCTION("""COMPUTED_VALUE"""),"3")</f>
        <v>3</v>
      </c>
      <c r="V990" s="6" t="str">
        <f>IFERROR(__xludf.DUMMYFUNCTION("""COMPUTED_VALUE"""),"English")</f>
        <v>English</v>
      </c>
      <c r="W990" s="6" t="str">
        <f>IFERROR(__xludf.DUMMYFUNCTION("""COMPUTED_VALUE"""),"[]")</f>
        <v>[]</v>
      </c>
      <c r="X990" s="6" t="str">
        <f>IFERROR(__xludf.DUMMYFUNCTION("""COMPUTED_VALUE"""),"Enrolled")</f>
        <v>Enrolled</v>
      </c>
    </row>
    <row r="991">
      <c r="A991" s="6" t="str">
        <f>IFERROR(__xludf.DUMMYFUNCTION("""COMPUTED_VALUE"""),"009-1115")</f>
        <v>009-1115</v>
      </c>
      <c r="B991" s="6" t="str">
        <f>IFERROR(__xludf.DUMMYFUNCTION("""COMPUTED_VALUE"""),"9")</f>
        <v>9</v>
      </c>
      <c r="C991" s="6" t="str">
        <f>IFERROR(__xludf.DUMMYFUNCTION("""COMPUTED_VALUE"""),"1115")</f>
        <v>1115</v>
      </c>
      <c r="D991" s="6" t="str">
        <f>IFERROR(__xludf.DUMMYFUNCTION("""COMPUTED_VALUE"""),"Ispir")</f>
        <v>Ispir</v>
      </c>
      <c r="E991" s="6" t="str">
        <f>IFERROR(__xludf.DUMMYFUNCTION("""COMPUTED_VALUE"""),"")</f>
        <v/>
      </c>
      <c r="F991" s="6" t="str">
        <f>IFERROR(__xludf.DUMMYFUNCTION("""COMPUTED_VALUE"""),"Yelyzaveta")</f>
        <v>Yelyzaveta</v>
      </c>
      <c r="G991" s="6" t="str">
        <f>IFERROR(__xludf.DUMMYFUNCTION("""COMPUTED_VALUE"""),"01/01/2016")</f>
        <v>01/01/2016</v>
      </c>
      <c r="H991" s="6" t="str">
        <f>IFERROR(__xludf.DUMMYFUNCTION("""COMPUTED_VALUE"""),"Self Identify")</f>
        <v>Self Identify</v>
      </c>
      <c r="I991" s="6" t="str">
        <f>IFERROR(__xludf.DUMMYFUNCTION("""COMPUTED_VALUE"""),"Level 1")</f>
        <v>Level 1</v>
      </c>
      <c r="J991" s="6" t="str">
        <f>IFERROR(__xludf.DUMMYFUNCTION("""COMPUTED_VALUE"""),"3")</f>
        <v>3</v>
      </c>
      <c r="K991" s="6" t="str">
        <f>IFERROR(__xludf.DUMMYFUNCTION("""COMPUTED_VALUE"""),"ispir.yelyzaveta@2hourlearning.com")</f>
        <v>ispir.yelyzaveta@2hourlearning.com</v>
      </c>
      <c r="L991" s="6" t="str">
        <f>IFERROR(__xludf.DUMMYFUNCTION("""COMPUTED_VALUE"""),"Learn and Earn Poland")</f>
        <v>Learn and Earn Poland</v>
      </c>
      <c r="M991" s="6" t="str">
        <f>IFERROR(__xludf.DUMMYFUNCTION("""COMPUTED_VALUE"""),"")</f>
        <v/>
      </c>
      <c r="N991" s="6" t="str">
        <f>IFERROR(__xludf.DUMMYFUNCTION("""COMPUTED_VALUE"""),"")</f>
        <v/>
      </c>
      <c r="O991" s="87" t="str">
        <f>IFERROR(__xludf.DUMMYFUNCTION("""COMPUTED_VALUE"""),"https://drive.google.com/drive/folders/10T2cTQHqEJZqE-st6uFKPoI?usp=share_link")</f>
        <v>https://drive.google.com/drive/folders/10T2cTQHqEJZqE-st6uFKPoI?usp=share_link</v>
      </c>
      <c r="P991" s="6" t="str">
        <f>IFERROR(__xludf.DUMMYFUNCTION("""COMPUTED_VALUE"""),"Ispir Yelyzaveta")</f>
        <v>Ispir Yelyzaveta</v>
      </c>
      <c r="Q991" s="6" t="str">
        <f>IFERROR(__xludf.DUMMYFUNCTION("""COMPUTED_VALUE"""),"L1")</f>
        <v>L1</v>
      </c>
      <c r="R991" s="6">
        <f>IFERROR(__xludf.DUMMYFUNCTION("""COMPUTED_VALUE"""),1.0)</f>
        <v>1</v>
      </c>
      <c r="S991" s="6" t="str">
        <f>IFERROR(__xludf.DUMMYFUNCTION("""COMPUTED_VALUE""")," ")</f>
        <v> </v>
      </c>
      <c r="T991" s="6" t="str">
        <f>IFERROR(__xludf.DUMMYFUNCTION("""COMPUTED_VALUE"""),"")</f>
        <v/>
      </c>
      <c r="U991" s="6" t="str">
        <f>IFERROR(__xludf.DUMMYFUNCTION("""COMPUTED_VALUE"""),"3")</f>
        <v>3</v>
      </c>
      <c r="V991" s="6" t="str">
        <f>IFERROR(__xludf.DUMMYFUNCTION("""COMPUTED_VALUE"""),"English")</f>
        <v>English</v>
      </c>
      <c r="W991" s="6" t="str">
        <f>IFERROR(__xludf.DUMMYFUNCTION("""COMPUTED_VALUE"""),"[]")</f>
        <v>[]</v>
      </c>
      <c r="X991" s="6" t="str">
        <f>IFERROR(__xludf.DUMMYFUNCTION("""COMPUTED_VALUE"""),"Enrolled")</f>
        <v>Enrolled</v>
      </c>
    </row>
    <row r="992">
      <c r="A992" s="6" t="str">
        <f>IFERROR(__xludf.DUMMYFUNCTION("""COMPUTED_VALUE"""),"009-1116")</f>
        <v>009-1116</v>
      </c>
      <c r="B992" s="6" t="str">
        <f>IFERROR(__xludf.DUMMYFUNCTION("""COMPUTED_VALUE"""),"9")</f>
        <v>9</v>
      </c>
      <c r="C992" s="6" t="str">
        <f>IFERROR(__xludf.DUMMYFUNCTION("""COMPUTED_VALUE"""),"1116")</f>
        <v>1116</v>
      </c>
      <c r="D992" s="6" t="str">
        <f>IFERROR(__xludf.DUMMYFUNCTION("""COMPUTED_VALUE"""),"Zlata")</f>
        <v>Zlata</v>
      </c>
      <c r="E992" s="6" t="str">
        <f>IFERROR(__xludf.DUMMYFUNCTION("""COMPUTED_VALUE"""),"")</f>
        <v/>
      </c>
      <c r="F992" s="6" t="str">
        <f>IFERROR(__xludf.DUMMYFUNCTION("""COMPUTED_VALUE"""),"Levytska")</f>
        <v>Levytska</v>
      </c>
      <c r="G992" s="6" t="str">
        <f>IFERROR(__xludf.DUMMYFUNCTION("""COMPUTED_VALUE"""),"01/01/2016")</f>
        <v>01/01/2016</v>
      </c>
      <c r="H992" s="6" t="str">
        <f>IFERROR(__xludf.DUMMYFUNCTION("""COMPUTED_VALUE"""),"Self Identify")</f>
        <v>Self Identify</v>
      </c>
      <c r="I992" s="6" t="str">
        <f>IFERROR(__xludf.DUMMYFUNCTION("""COMPUTED_VALUE"""),"Level 1")</f>
        <v>Level 1</v>
      </c>
      <c r="J992" s="6" t="str">
        <f>IFERROR(__xludf.DUMMYFUNCTION("""COMPUTED_VALUE"""),"3")</f>
        <v>3</v>
      </c>
      <c r="K992" s="6" t="str">
        <f>IFERROR(__xludf.DUMMYFUNCTION("""COMPUTED_VALUE"""),"zlata.levytska@2hourlearning.com")</f>
        <v>zlata.levytska@2hourlearning.com</v>
      </c>
      <c r="L992" s="6" t="str">
        <f>IFERROR(__xludf.DUMMYFUNCTION("""COMPUTED_VALUE"""),"Learn and Earn Poland")</f>
        <v>Learn and Earn Poland</v>
      </c>
      <c r="M992" s="6" t="str">
        <f>IFERROR(__xludf.DUMMYFUNCTION("""COMPUTED_VALUE"""),"")</f>
        <v/>
      </c>
      <c r="N992" s="6" t="str">
        <f>IFERROR(__xludf.DUMMYFUNCTION("""COMPUTED_VALUE"""),"")</f>
        <v/>
      </c>
      <c r="O992" s="87" t="str">
        <f>IFERROR(__xludf.DUMMYFUNCTION("""COMPUTED_VALUE"""),"https://drive.google.com/drive/folders/10T2cTQHqEJZqE-st6uFKPoI?usp=share_link")</f>
        <v>https://drive.google.com/drive/folders/10T2cTQHqEJZqE-st6uFKPoI?usp=share_link</v>
      </c>
      <c r="P992" s="6" t="str">
        <f>IFERROR(__xludf.DUMMYFUNCTION("""COMPUTED_VALUE"""),"Zlata Levytska")</f>
        <v>Zlata Levytska</v>
      </c>
      <c r="Q992" s="6" t="str">
        <f>IFERROR(__xludf.DUMMYFUNCTION("""COMPUTED_VALUE"""),"L1")</f>
        <v>L1</v>
      </c>
      <c r="R992" s="6">
        <f>IFERROR(__xludf.DUMMYFUNCTION("""COMPUTED_VALUE"""),1.0)</f>
        <v>1</v>
      </c>
      <c r="S992" s="6" t="str">
        <f>IFERROR(__xludf.DUMMYFUNCTION("""COMPUTED_VALUE""")," ")</f>
        <v> </v>
      </c>
      <c r="T992" s="6" t="str">
        <f>IFERROR(__xludf.DUMMYFUNCTION("""COMPUTED_VALUE"""),"")</f>
        <v/>
      </c>
      <c r="U992" s="6" t="str">
        <f>IFERROR(__xludf.DUMMYFUNCTION("""COMPUTED_VALUE"""),"3")</f>
        <v>3</v>
      </c>
      <c r="V992" s="6" t="str">
        <f>IFERROR(__xludf.DUMMYFUNCTION("""COMPUTED_VALUE"""),"English")</f>
        <v>English</v>
      </c>
      <c r="W992" s="6" t="str">
        <f>IFERROR(__xludf.DUMMYFUNCTION("""COMPUTED_VALUE"""),"[]")</f>
        <v>[]</v>
      </c>
      <c r="X992" s="6" t="str">
        <f>IFERROR(__xludf.DUMMYFUNCTION("""COMPUTED_VALUE"""),"Enrolled")</f>
        <v>Enrolled</v>
      </c>
    </row>
    <row r="993">
      <c r="A993" s="6" t="str">
        <f>IFERROR(__xludf.DUMMYFUNCTION("""COMPUTED_VALUE"""),"009-1117")</f>
        <v>009-1117</v>
      </c>
      <c r="B993" s="6" t="str">
        <f>IFERROR(__xludf.DUMMYFUNCTION("""COMPUTED_VALUE"""),"9")</f>
        <v>9</v>
      </c>
      <c r="C993" s="6" t="str">
        <f>IFERROR(__xludf.DUMMYFUNCTION("""COMPUTED_VALUE"""),"1117")</f>
        <v>1117</v>
      </c>
      <c r="D993" s="6" t="str">
        <f>IFERROR(__xludf.DUMMYFUNCTION("""COMPUTED_VALUE"""),"Artem")</f>
        <v>Artem</v>
      </c>
      <c r="E993" s="6" t="str">
        <f>IFERROR(__xludf.DUMMYFUNCTION("""COMPUTED_VALUE"""),"")</f>
        <v/>
      </c>
      <c r="F993" s="6" t="str">
        <f>IFERROR(__xludf.DUMMYFUNCTION("""COMPUTED_VALUE"""),"Khvorostov")</f>
        <v>Khvorostov</v>
      </c>
      <c r="G993" s="6" t="str">
        <f>IFERROR(__xludf.DUMMYFUNCTION("""COMPUTED_VALUE"""),"01/01/2016")</f>
        <v>01/01/2016</v>
      </c>
      <c r="H993" s="6" t="str">
        <f>IFERROR(__xludf.DUMMYFUNCTION("""COMPUTED_VALUE"""),"Self Identify")</f>
        <v>Self Identify</v>
      </c>
      <c r="I993" s="6" t="str">
        <f>IFERROR(__xludf.DUMMYFUNCTION("""COMPUTED_VALUE"""),"Level 1")</f>
        <v>Level 1</v>
      </c>
      <c r="J993" s="6" t="str">
        <f>IFERROR(__xludf.DUMMYFUNCTION("""COMPUTED_VALUE"""),"3")</f>
        <v>3</v>
      </c>
      <c r="K993" s="6" t="str">
        <f>IFERROR(__xludf.DUMMYFUNCTION("""COMPUTED_VALUE"""),"artem.khvorostov@2hourlearning.com")</f>
        <v>artem.khvorostov@2hourlearning.com</v>
      </c>
      <c r="L993" s="6" t="str">
        <f>IFERROR(__xludf.DUMMYFUNCTION("""COMPUTED_VALUE"""),"Learn and Earn Poland")</f>
        <v>Learn and Earn Poland</v>
      </c>
      <c r="M993" s="6" t="str">
        <f>IFERROR(__xludf.DUMMYFUNCTION("""COMPUTED_VALUE"""),"")</f>
        <v/>
      </c>
      <c r="N993" s="6" t="str">
        <f>IFERROR(__xludf.DUMMYFUNCTION("""COMPUTED_VALUE"""),"")</f>
        <v/>
      </c>
      <c r="O993" s="87" t="str">
        <f>IFERROR(__xludf.DUMMYFUNCTION("""COMPUTED_VALUE"""),"https://drive.google.com/drive/folders/10T2cTQHqEJZqE-st6uFKPoI?usp=share_link")</f>
        <v>https://drive.google.com/drive/folders/10T2cTQHqEJZqE-st6uFKPoI?usp=share_link</v>
      </c>
      <c r="P993" s="6" t="str">
        <f>IFERROR(__xludf.DUMMYFUNCTION("""COMPUTED_VALUE"""),"Artem Khvorostov")</f>
        <v>Artem Khvorostov</v>
      </c>
      <c r="Q993" s="6" t="str">
        <f>IFERROR(__xludf.DUMMYFUNCTION("""COMPUTED_VALUE"""),"L1")</f>
        <v>L1</v>
      </c>
      <c r="R993" s="6">
        <f>IFERROR(__xludf.DUMMYFUNCTION("""COMPUTED_VALUE"""),1.0)</f>
        <v>1</v>
      </c>
      <c r="S993" s="6" t="str">
        <f>IFERROR(__xludf.DUMMYFUNCTION("""COMPUTED_VALUE""")," ")</f>
        <v> </v>
      </c>
      <c r="T993" s="6" t="str">
        <f>IFERROR(__xludf.DUMMYFUNCTION("""COMPUTED_VALUE"""),"")</f>
        <v/>
      </c>
      <c r="U993" s="6" t="str">
        <f>IFERROR(__xludf.DUMMYFUNCTION("""COMPUTED_VALUE"""),"3")</f>
        <v>3</v>
      </c>
      <c r="V993" s="6" t="str">
        <f>IFERROR(__xludf.DUMMYFUNCTION("""COMPUTED_VALUE"""),"English")</f>
        <v>English</v>
      </c>
      <c r="W993" s="6" t="str">
        <f>IFERROR(__xludf.DUMMYFUNCTION("""COMPUTED_VALUE"""),"[]")</f>
        <v>[]</v>
      </c>
      <c r="X993" s="6" t="str">
        <f>IFERROR(__xludf.DUMMYFUNCTION("""COMPUTED_VALUE"""),"Enrolled")</f>
        <v>Enrolled</v>
      </c>
    </row>
    <row r="994">
      <c r="A994" s="6" t="str">
        <f>IFERROR(__xludf.DUMMYFUNCTION("""COMPUTED_VALUE"""),"009-1118")</f>
        <v>009-1118</v>
      </c>
      <c r="B994" s="6" t="str">
        <f>IFERROR(__xludf.DUMMYFUNCTION("""COMPUTED_VALUE"""),"9")</f>
        <v>9</v>
      </c>
      <c r="C994" s="6" t="str">
        <f>IFERROR(__xludf.DUMMYFUNCTION("""COMPUTED_VALUE"""),"1118")</f>
        <v>1118</v>
      </c>
      <c r="D994" s="6" t="str">
        <f>IFERROR(__xludf.DUMMYFUNCTION("""COMPUTED_VALUE"""),"Kyryl")</f>
        <v>Kyryl</v>
      </c>
      <c r="E994" s="6" t="str">
        <f>IFERROR(__xludf.DUMMYFUNCTION("""COMPUTED_VALUE"""),"")</f>
        <v/>
      </c>
      <c r="F994" s="6" t="str">
        <f>IFERROR(__xludf.DUMMYFUNCTION("""COMPUTED_VALUE"""),"Lavrynchuk")</f>
        <v>Lavrynchuk</v>
      </c>
      <c r="G994" s="6" t="str">
        <f>IFERROR(__xludf.DUMMYFUNCTION("""COMPUTED_VALUE"""),"01/01/2015")</f>
        <v>01/01/2015</v>
      </c>
      <c r="H994" s="6" t="str">
        <f>IFERROR(__xludf.DUMMYFUNCTION("""COMPUTED_VALUE"""),"Self Identify")</f>
        <v>Self Identify</v>
      </c>
      <c r="I994" s="6" t="str">
        <f>IFERROR(__xludf.DUMMYFUNCTION("""COMPUTED_VALUE"""),"Level 2")</f>
        <v>Level 2</v>
      </c>
      <c r="J994" s="6" t="str">
        <f>IFERROR(__xludf.DUMMYFUNCTION("""COMPUTED_VALUE"""),"4")</f>
        <v>4</v>
      </c>
      <c r="K994" s="6" t="str">
        <f>IFERROR(__xludf.DUMMYFUNCTION("""COMPUTED_VALUE"""),"kyryl.lavrynchuk@2hourlearning.com")</f>
        <v>kyryl.lavrynchuk@2hourlearning.com</v>
      </c>
      <c r="L994" s="6" t="str">
        <f>IFERROR(__xludf.DUMMYFUNCTION("""COMPUTED_VALUE"""),"Learn and Earn Poland")</f>
        <v>Learn and Earn Poland</v>
      </c>
      <c r="M994" s="6" t="str">
        <f>IFERROR(__xludf.DUMMYFUNCTION("""COMPUTED_VALUE"""),"")</f>
        <v/>
      </c>
      <c r="N994" s="6" t="str">
        <f>IFERROR(__xludf.DUMMYFUNCTION("""COMPUTED_VALUE"""),"")</f>
        <v/>
      </c>
      <c r="O994" s="87" t="str">
        <f>IFERROR(__xludf.DUMMYFUNCTION("""COMPUTED_VALUE"""),"https://drive.google.com/drive/folders/10T2cTQHqEJZqE-st6uFKPoI?usp=share_link")</f>
        <v>https://drive.google.com/drive/folders/10T2cTQHqEJZqE-st6uFKPoI?usp=share_link</v>
      </c>
      <c r="P994" s="6" t="str">
        <f>IFERROR(__xludf.DUMMYFUNCTION("""COMPUTED_VALUE"""),"Kyryl Lavrynchuk")</f>
        <v>Kyryl Lavrynchuk</v>
      </c>
      <c r="Q994" s="6" t="str">
        <f>IFERROR(__xludf.DUMMYFUNCTION("""COMPUTED_VALUE"""),"L2")</f>
        <v>L2</v>
      </c>
      <c r="R994" s="6">
        <f>IFERROR(__xludf.DUMMYFUNCTION("""COMPUTED_VALUE"""),2.0)</f>
        <v>2</v>
      </c>
      <c r="S994" s="6" t="str">
        <f>IFERROR(__xludf.DUMMYFUNCTION("""COMPUTED_VALUE""")," ")</f>
        <v> </v>
      </c>
      <c r="T994" s="6" t="str">
        <f>IFERROR(__xludf.DUMMYFUNCTION("""COMPUTED_VALUE"""),"")</f>
        <v/>
      </c>
      <c r="U994" s="6" t="str">
        <f>IFERROR(__xludf.DUMMYFUNCTION("""COMPUTED_VALUE"""),"4")</f>
        <v>4</v>
      </c>
      <c r="V994" s="6" t="str">
        <f>IFERROR(__xludf.DUMMYFUNCTION("""COMPUTED_VALUE"""),"English")</f>
        <v>English</v>
      </c>
      <c r="W994" s="6" t="str">
        <f>IFERROR(__xludf.DUMMYFUNCTION("""COMPUTED_VALUE"""),"[]")</f>
        <v>[]</v>
      </c>
      <c r="X994" s="6" t="str">
        <f>IFERROR(__xludf.DUMMYFUNCTION("""COMPUTED_VALUE"""),"Enrolled")</f>
        <v>Enrolled</v>
      </c>
    </row>
    <row r="995">
      <c r="A995" s="6" t="str">
        <f>IFERROR(__xludf.DUMMYFUNCTION("""COMPUTED_VALUE"""),"009-1119")</f>
        <v>009-1119</v>
      </c>
      <c r="B995" s="6" t="str">
        <f>IFERROR(__xludf.DUMMYFUNCTION("""COMPUTED_VALUE"""),"9")</f>
        <v>9</v>
      </c>
      <c r="C995" s="6" t="str">
        <f>IFERROR(__xludf.DUMMYFUNCTION("""COMPUTED_VALUE"""),"1119")</f>
        <v>1119</v>
      </c>
      <c r="D995" s="6" t="str">
        <f>IFERROR(__xludf.DUMMYFUNCTION("""COMPUTED_VALUE"""),"Veronika")</f>
        <v>Veronika</v>
      </c>
      <c r="E995" s="6" t="str">
        <f>IFERROR(__xludf.DUMMYFUNCTION("""COMPUTED_VALUE"""),"")</f>
        <v/>
      </c>
      <c r="F995" s="6" t="str">
        <f>IFERROR(__xludf.DUMMYFUNCTION("""COMPUTED_VALUE"""),"Marchenko")</f>
        <v>Marchenko</v>
      </c>
      <c r="G995" s="6" t="str">
        <f>IFERROR(__xludf.DUMMYFUNCTION("""COMPUTED_VALUE"""),"01/01/2015")</f>
        <v>01/01/2015</v>
      </c>
      <c r="H995" s="6" t="str">
        <f>IFERROR(__xludf.DUMMYFUNCTION("""COMPUTED_VALUE"""),"Self Identify")</f>
        <v>Self Identify</v>
      </c>
      <c r="I995" s="6" t="str">
        <f>IFERROR(__xludf.DUMMYFUNCTION("""COMPUTED_VALUE"""),"Level 2")</f>
        <v>Level 2</v>
      </c>
      <c r="J995" s="6" t="str">
        <f>IFERROR(__xludf.DUMMYFUNCTION("""COMPUTED_VALUE"""),"4")</f>
        <v>4</v>
      </c>
      <c r="K995" s="6" t="str">
        <f>IFERROR(__xludf.DUMMYFUNCTION("""COMPUTED_VALUE"""),"veronika.marchenko@2hourlearning.com")</f>
        <v>veronika.marchenko@2hourlearning.com</v>
      </c>
      <c r="L995" s="6" t="str">
        <f>IFERROR(__xludf.DUMMYFUNCTION("""COMPUTED_VALUE"""),"Learn and Earn Poland")</f>
        <v>Learn and Earn Poland</v>
      </c>
      <c r="M995" s="6" t="str">
        <f>IFERROR(__xludf.DUMMYFUNCTION("""COMPUTED_VALUE"""),"")</f>
        <v/>
      </c>
      <c r="N995" s="6" t="str">
        <f>IFERROR(__xludf.DUMMYFUNCTION("""COMPUTED_VALUE"""),"")</f>
        <v/>
      </c>
      <c r="O995" s="87" t="str">
        <f>IFERROR(__xludf.DUMMYFUNCTION("""COMPUTED_VALUE"""),"https://drive.google.com/drive/folders/10T2cTQHqEJZqE-st6uFKPoI?usp=share_link")</f>
        <v>https://drive.google.com/drive/folders/10T2cTQHqEJZqE-st6uFKPoI?usp=share_link</v>
      </c>
      <c r="P995" s="6" t="str">
        <f>IFERROR(__xludf.DUMMYFUNCTION("""COMPUTED_VALUE"""),"Veronika Marchenko")</f>
        <v>Veronika Marchenko</v>
      </c>
      <c r="Q995" s="6" t="str">
        <f>IFERROR(__xludf.DUMMYFUNCTION("""COMPUTED_VALUE"""),"L2")</f>
        <v>L2</v>
      </c>
      <c r="R995" s="6">
        <f>IFERROR(__xludf.DUMMYFUNCTION("""COMPUTED_VALUE"""),2.0)</f>
        <v>2</v>
      </c>
      <c r="S995" s="6" t="str">
        <f>IFERROR(__xludf.DUMMYFUNCTION("""COMPUTED_VALUE""")," ")</f>
        <v> </v>
      </c>
      <c r="T995" s="6" t="str">
        <f>IFERROR(__xludf.DUMMYFUNCTION("""COMPUTED_VALUE"""),"")</f>
        <v/>
      </c>
      <c r="U995" s="6" t="str">
        <f>IFERROR(__xludf.DUMMYFUNCTION("""COMPUTED_VALUE"""),"4")</f>
        <v>4</v>
      </c>
      <c r="V995" s="6" t="str">
        <f>IFERROR(__xludf.DUMMYFUNCTION("""COMPUTED_VALUE"""),"English")</f>
        <v>English</v>
      </c>
      <c r="W995" s="6" t="str">
        <f>IFERROR(__xludf.DUMMYFUNCTION("""COMPUTED_VALUE"""),"[]")</f>
        <v>[]</v>
      </c>
      <c r="X995" s="6" t="str">
        <f>IFERROR(__xludf.DUMMYFUNCTION("""COMPUTED_VALUE"""),"Enrolled")</f>
        <v>Enrolled</v>
      </c>
    </row>
    <row r="996">
      <c r="A996" s="6" t="str">
        <f>IFERROR(__xludf.DUMMYFUNCTION("""COMPUTED_VALUE"""),"009-1120")</f>
        <v>009-1120</v>
      </c>
      <c r="B996" s="6" t="str">
        <f>IFERROR(__xludf.DUMMYFUNCTION("""COMPUTED_VALUE"""),"9")</f>
        <v>9</v>
      </c>
      <c r="C996" s="6" t="str">
        <f>IFERROR(__xludf.DUMMYFUNCTION("""COMPUTED_VALUE"""),"1120")</f>
        <v>1120</v>
      </c>
      <c r="D996" s="6" t="str">
        <f>IFERROR(__xludf.DUMMYFUNCTION("""COMPUTED_VALUE"""),"Nazar")</f>
        <v>Nazar</v>
      </c>
      <c r="E996" s="6" t="str">
        <f>IFERROR(__xludf.DUMMYFUNCTION("""COMPUTED_VALUE"""),"")</f>
        <v/>
      </c>
      <c r="F996" s="6" t="str">
        <f>IFERROR(__xludf.DUMMYFUNCTION("""COMPUTED_VALUE"""),"Vorobiov")</f>
        <v>Vorobiov</v>
      </c>
      <c r="G996" s="6" t="str">
        <f>IFERROR(__xludf.DUMMYFUNCTION("""COMPUTED_VALUE"""),"01/01/2015")</f>
        <v>01/01/2015</v>
      </c>
      <c r="H996" s="6" t="str">
        <f>IFERROR(__xludf.DUMMYFUNCTION("""COMPUTED_VALUE"""),"Self Identify")</f>
        <v>Self Identify</v>
      </c>
      <c r="I996" s="6" t="str">
        <f>IFERROR(__xludf.DUMMYFUNCTION("""COMPUTED_VALUE"""),"Level 2")</f>
        <v>Level 2</v>
      </c>
      <c r="J996" s="6" t="str">
        <f>IFERROR(__xludf.DUMMYFUNCTION("""COMPUTED_VALUE"""),"4")</f>
        <v>4</v>
      </c>
      <c r="K996" s="6" t="str">
        <f>IFERROR(__xludf.DUMMYFUNCTION("""COMPUTED_VALUE"""),"nazar.vorobiov@2hourlearning.com")</f>
        <v>nazar.vorobiov@2hourlearning.com</v>
      </c>
      <c r="L996" s="6" t="str">
        <f>IFERROR(__xludf.DUMMYFUNCTION("""COMPUTED_VALUE"""),"Learn and Earn Poland")</f>
        <v>Learn and Earn Poland</v>
      </c>
      <c r="M996" s="6" t="str">
        <f>IFERROR(__xludf.DUMMYFUNCTION("""COMPUTED_VALUE"""),"")</f>
        <v/>
      </c>
      <c r="N996" s="6" t="str">
        <f>IFERROR(__xludf.DUMMYFUNCTION("""COMPUTED_VALUE"""),"")</f>
        <v/>
      </c>
      <c r="O996" s="87" t="str">
        <f>IFERROR(__xludf.DUMMYFUNCTION("""COMPUTED_VALUE"""),"https://drive.google.com/drive/folders/10T2cTQHqEJZqE-st6uFKPoI?usp=share_link")</f>
        <v>https://drive.google.com/drive/folders/10T2cTQHqEJZqE-st6uFKPoI?usp=share_link</v>
      </c>
      <c r="P996" s="6" t="str">
        <f>IFERROR(__xludf.DUMMYFUNCTION("""COMPUTED_VALUE"""),"Nazar Vorobiov")</f>
        <v>Nazar Vorobiov</v>
      </c>
      <c r="Q996" s="6" t="str">
        <f>IFERROR(__xludf.DUMMYFUNCTION("""COMPUTED_VALUE"""),"L2")</f>
        <v>L2</v>
      </c>
      <c r="R996" s="6">
        <f>IFERROR(__xludf.DUMMYFUNCTION("""COMPUTED_VALUE"""),2.0)</f>
        <v>2</v>
      </c>
      <c r="S996" s="6" t="str">
        <f>IFERROR(__xludf.DUMMYFUNCTION("""COMPUTED_VALUE""")," ")</f>
        <v> </v>
      </c>
      <c r="T996" s="6" t="str">
        <f>IFERROR(__xludf.DUMMYFUNCTION("""COMPUTED_VALUE"""),"")</f>
        <v/>
      </c>
      <c r="U996" s="6" t="str">
        <f>IFERROR(__xludf.DUMMYFUNCTION("""COMPUTED_VALUE"""),"4")</f>
        <v>4</v>
      </c>
      <c r="V996" s="6" t="str">
        <f>IFERROR(__xludf.DUMMYFUNCTION("""COMPUTED_VALUE"""),"English")</f>
        <v>English</v>
      </c>
      <c r="W996" s="6" t="str">
        <f>IFERROR(__xludf.DUMMYFUNCTION("""COMPUTED_VALUE"""),"[]")</f>
        <v>[]</v>
      </c>
      <c r="X996" s="6" t="str">
        <f>IFERROR(__xludf.DUMMYFUNCTION("""COMPUTED_VALUE"""),"Enrolled")</f>
        <v>Enrolled</v>
      </c>
    </row>
    <row r="997">
      <c r="A997" s="6" t="str">
        <f>IFERROR(__xludf.DUMMYFUNCTION("""COMPUTED_VALUE"""),"009-1121")</f>
        <v>009-1121</v>
      </c>
      <c r="B997" s="6" t="str">
        <f>IFERROR(__xludf.DUMMYFUNCTION("""COMPUTED_VALUE"""),"9")</f>
        <v>9</v>
      </c>
      <c r="C997" s="6" t="str">
        <f>IFERROR(__xludf.DUMMYFUNCTION("""COMPUTED_VALUE"""),"1121")</f>
        <v>1121</v>
      </c>
      <c r="D997" s="6" t="str">
        <f>IFERROR(__xludf.DUMMYFUNCTION("""COMPUTED_VALUE"""),"Sofiia")</f>
        <v>Sofiia</v>
      </c>
      <c r="E997" s="6" t="str">
        <f>IFERROR(__xludf.DUMMYFUNCTION("""COMPUTED_VALUE"""),"")</f>
        <v/>
      </c>
      <c r="F997" s="6" t="str">
        <f>IFERROR(__xludf.DUMMYFUNCTION("""COMPUTED_VALUE"""),"Vasylenko")</f>
        <v>Vasylenko</v>
      </c>
      <c r="G997" s="6" t="str">
        <f>IFERROR(__xludf.DUMMYFUNCTION("""COMPUTED_VALUE"""),"01/01/2015")</f>
        <v>01/01/2015</v>
      </c>
      <c r="H997" s="6" t="str">
        <f>IFERROR(__xludf.DUMMYFUNCTION("""COMPUTED_VALUE"""),"Self Identify")</f>
        <v>Self Identify</v>
      </c>
      <c r="I997" s="6" t="str">
        <f>IFERROR(__xludf.DUMMYFUNCTION("""COMPUTED_VALUE"""),"Level 2")</f>
        <v>Level 2</v>
      </c>
      <c r="J997" s="6" t="str">
        <f>IFERROR(__xludf.DUMMYFUNCTION("""COMPUTED_VALUE"""),"4")</f>
        <v>4</v>
      </c>
      <c r="K997" s="6" t="str">
        <f>IFERROR(__xludf.DUMMYFUNCTION("""COMPUTED_VALUE"""),"sofiia.vasylenko@2hourlearning.com")</f>
        <v>sofiia.vasylenko@2hourlearning.com</v>
      </c>
      <c r="L997" s="6" t="str">
        <f>IFERROR(__xludf.DUMMYFUNCTION("""COMPUTED_VALUE"""),"Learn and Earn Poland")</f>
        <v>Learn and Earn Poland</v>
      </c>
      <c r="M997" s="6" t="str">
        <f>IFERROR(__xludf.DUMMYFUNCTION("""COMPUTED_VALUE"""),"")</f>
        <v/>
      </c>
      <c r="N997" s="6" t="str">
        <f>IFERROR(__xludf.DUMMYFUNCTION("""COMPUTED_VALUE"""),"")</f>
        <v/>
      </c>
      <c r="O997" s="87" t="str">
        <f>IFERROR(__xludf.DUMMYFUNCTION("""COMPUTED_VALUE"""),"https://drive.google.com/drive/folders/10T2cTQHqEJZqE-st6uFKPoI?usp=share_link")</f>
        <v>https://drive.google.com/drive/folders/10T2cTQHqEJZqE-st6uFKPoI?usp=share_link</v>
      </c>
      <c r="P997" s="6" t="str">
        <f>IFERROR(__xludf.DUMMYFUNCTION("""COMPUTED_VALUE"""),"Sofiia Vasylenko")</f>
        <v>Sofiia Vasylenko</v>
      </c>
      <c r="Q997" s="6" t="str">
        <f>IFERROR(__xludf.DUMMYFUNCTION("""COMPUTED_VALUE"""),"L2")</f>
        <v>L2</v>
      </c>
      <c r="R997" s="6">
        <f>IFERROR(__xludf.DUMMYFUNCTION("""COMPUTED_VALUE"""),2.0)</f>
        <v>2</v>
      </c>
      <c r="S997" s="6" t="str">
        <f>IFERROR(__xludf.DUMMYFUNCTION("""COMPUTED_VALUE""")," ")</f>
        <v> </v>
      </c>
      <c r="T997" s="6" t="str">
        <f>IFERROR(__xludf.DUMMYFUNCTION("""COMPUTED_VALUE"""),"")</f>
        <v/>
      </c>
      <c r="U997" s="6" t="str">
        <f>IFERROR(__xludf.DUMMYFUNCTION("""COMPUTED_VALUE"""),"4")</f>
        <v>4</v>
      </c>
      <c r="V997" s="6" t="str">
        <f>IFERROR(__xludf.DUMMYFUNCTION("""COMPUTED_VALUE"""),"English")</f>
        <v>English</v>
      </c>
      <c r="W997" s="6" t="str">
        <f>IFERROR(__xludf.DUMMYFUNCTION("""COMPUTED_VALUE"""),"[]")</f>
        <v>[]</v>
      </c>
      <c r="X997" s="6" t="str">
        <f>IFERROR(__xludf.DUMMYFUNCTION("""COMPUTED_VALUE"""),"Enrolled")</f>
        <v>Enrolled</v>
      </c>
    </row>
    <row r="998">
      <c r="A998" s="6" t="str">
        <f>IFERROR(__xludf.DUMMYFUNCTION("""COMPUTED_VALUE"""),"009-1122")</f>
        <v>009-1122</v>
      </c>
      <c r="B998" s="6" t="str">
        <f>IFERROR(__xludf.DUMMYFUNCTION("""COMPUTED_VALUE"""),"9")</f>
        <v>9</v>
      </c>
      <c r="C998" s="6" t="str">
        <f>IFERROR(__xludf.DUMMYFUNCTION("""COMPUTED_VALUE"""),"1122")</f>
        <v>1122</v>
      </c>
      <c r="D998" s="6" t="str">
        <f>IFERROR(__xludf.DUMMYFUNCTION("""COMPUTED_VALUE"""),"Maria")</f>
        <v>Maria</v>
      </c>
      <c r="E998" s="6" t="str">
        <f>IFERROR(__xludf.DUMMYFUNCTION("""COMPUTED_VALUE"""),"")</f>
        <v/>
      </c>
      <c r="F998" s="6" t="str">
        <f>IFERROR(__xludf.DUMMYFUNCTION("""COMPUTED_VALUE"""),"Doroshenko")</f>
        <v>Doroshenko</v>
      </c>
      <c r="G998" s="6" t="str">
        <f>IFERROR(__xludf.DUMMYFUNCTION("""COMPUTED_VALUE"""),"01/01/2015")</f>
        <v>01/01/2015</v>
      </c>
      <c r="H998" s="6" t="str">
        <f>IFERROR(__xludf.DUMMYFUNCTION("""COMPUTED_VALUE"""),"Self Identify")</f>
        <v>Self Identify</v>
      </c>
      <c r="I998" s="6" t="str">
        <f>IFERROR(__xludf.DUMMYFUNCTION("""COMPUTED_VALUE"""),"Level 2")</f>
        <v>Level 2</v>
      </c>
      <c r="J998" s="6" t="str">
        <f>IFERROR(__xludf.DUMMYFUNCTION("""COMPUTED_VALUE"""),"4")</f>
        <v>4</v>
      </c>
      <c r="K998" s="6" t="str">
        <f>IFERROR(__xludf.DUMMYFUNCTION("""COMPUTED_VALUE"""),"maria.doroshenko@2hourlearning.com")</f>
        <v>maria.doroshenko@2hourlearning.com</v>
      </c>
      <c r="L998" s="6" t="str">
        <f>IFERROR(__xludf.DUMMYFUNCTION("""COMPUTED_VALUE"""),"Learn and Earn Poland")</f>
        <v>Learn and Earn Poland</v>
      </c>
      <c r="M998" s="6" t="str">
        <f>IFERROR(__xludf.DUMMYFUNCTION("""COMPUTED_VALUE"""),"")</f>
        <v/>
      </c>
      <c r="N998" s="6" t="str">
        <f>IFERROR(__xludf.DUMMYFUNCTION("""COMPUTED_VALUE"""),"")</f>
        <v/>
      </c>
      <c r="O998" s="87" t="str">
        <f>IFERROR(__xludf.DUMMYFUNCTION("""COMPUTED_VALUE"""),"https://drive.google.com/drive/folders/10T2cTQHqEJZqE-st6uFKPoI?usp=share_link")</f>
        <v>https://drive.google.com/drive/folders/10T2cTQHqEJZqE-st6uFKPoI?usp=share_link</v>
      </c>
      <c r="P998" s="6" t="str">
        <f>IFERROR(__xludf.DUMMYFUNCTION("""COMPUTED_VALUE"""),"Maria Doroshenko")</f>
        <v>Maria Doroshenko</v>
      </c>
      <c r="Q998" s="6" t="str">
        <f>IFERROR(__xludf.DUMMYFUNCTION("""COMPUTED_VALUE"""),"L2")</f>
        <v>L2</v>
      </c>
      <c r="R998" s="6">
        <f>IFERROR(__xludf.DUMMYFUNCTION("""COMPUTED_VALUE"""),2.0)</f>
        <v>2</v>
      </c>
      <c r="S998" s="6" t="str">
        <f>IFERROR(__xludf.DUMMYFUNCTION("""COMPUTED_VALUE""")," ")</f>
        <v> </v>
      </c>
      <c r="T998" s="6" t="str">
        <f>IFERROR(__xludf.DUMMYFUNCTION("""COMPUTED_VALUE"""),"")</f>
        <v/>
      </c>
      <c r="U998" s="6" t="str">
        <f>IFERROR(__xludf.DUMMYFUNCTION("""COMPUTED_VALUE"""),"4")</f>
        <v>4</v>
      </c>
      <c r="V998" s="6" t="str">
        <f>IFERROR(__xludf.DUMMYFUNCTION("""COMPUTED_VALUE"""),"English")</f>
        <v>English</v>
      </c>
      <c r="W998" s="6" t="str">
        <f>IFERROR(__xludf.DUMMYFUNCTION("""COMPUTED_VALUE"""),"[]")</f>
        <v>[]</v>
      </c>
      <c r="X998" s="6" t="str">
        <f>IFERROR(__xludf.DUMMYFUNCTION("""COMPUTED_VALUE"""),"Enrolled")</f>
        <v>Enrolled</v>
      </c>
    </row>
    <row r="999">
      <c r="A999" s="6" t="str">
        <f>IFERROR(__xludf.DUMMYFUNCTION("""COMPUTED_VALUE"""),"009-1123")</f>
        <v>009-1123</v>
      </c>
      <c r="B999" s="6" t="str">
        <f>IFERROR(__xludf.DUMMYFUNCTION("""COMPUTED_VALUE"""),"9")</f>
        <v>9</v>
      </c>
      <c r="C999" s="6" t="str">
        <f>IFERROR(__xludf.DUMMYFUNCTION("""COMPUTED_VALUE"""),"1123")</f>
        <v>1123</v>
      </c>
      <c r="D999" s="6" t="str">
        <f>IFERROR(__xludf.DUMMYFUNCTION("""COMPUTED_VALUE"""),"Yeva")</f>
        <v>Yeva</v>
      </c>
      <c r="E999" s="6" t="str">
        <f>IFERROR(__xludf.DUMMYFUNCTION("""COMPUTED_VALUE"""),"")</f>
        <v/>
      </c>
      <c r="F999" s="6" t="str">
        <f>IFERROR(__xludf.DUMMYFUNCTION("""COMPUTED_VALUE"""),"Vyshynska")</f>
        <v>Vyshynska</v>
      </c>
      <c r="G999" s="6" t="str">
        <f>IFERROR(__xludf.DUMMYFUNCTION("""COMPUTED_VALUE"""),"01/01/2015")</f>
        <v>01/01/2015</v>
      </c>
      <c r="H999" s="6" t="str">
        <f>IFERROR(__xludf.DUMMYFUNCTION("""COMPUTED_VALUE"""),"Self Identify")</f>
        <v>Self Identify</v>
      </c>
      <c r="I999" s="6" t="str">
        <f>IFERROR(__xludf.DUMMYFUNCTION("""COMPUTED_VALUE"""),"Level 2")</f>
        <v>Level 2</v>
      </c>
      <c r="J999" s="6" t="str">
        <f>IFERROR(__xludf.DUMMYFUNCTION("""COMPUTED_VALUE"""),"4")</f>
        <v>4</v>
      </c>
      <c r="K999" s="6" t="str">
        <f>IFERROR(__xludf.DUMMYFUNCTION("""COMPUTED_VALUE"""),"yeva.vyshynska@2hourlearning.com")</f>
        <v>yeva.vyshynska@2hourlearning.com</v>
      </c>
      <c r="L999" s="6" t="str">
        <f>IFERROR(__xludf.DUMMYFUNCTION("""COMPUTED_VALUE"""),"Learn and Earn Poland")</f>
        <v>Learn and Earn Poland</v>
      </c>
      <c r="M999" s="6" t="str">
        <f>IFERROR(__xludf.DUMMYFUNCTION("""COMPUTED_VALUE"""),"")</f>
        <v/>
      </c>
      <c r="N999" s="6" t="str">
        <f>IFERROR(__xludf.DUMMYFUNCTION("""COMPUTED_VALUE"""),"")</f>
        <v/>
      </c>
      <c r="O999" s="87" t="str">
        <f>IFERROR(__xludf.DUMMYFUNCTION("""COMPUTED_VALUE"""),"https://drive.google.com/drive/folders/10T2cTQHqEJZqE-st6uFKPoI?usp=share_link")</f>
        <v>https://drive.google.com/drive/folders/10T2cTQHqEJZqE-st6uFKPoI?usp=share_link</v>
      </c>
      <c r="P999" s="6" t="str">
        <f>IFERROR(__xludf.DUMMYFUNCTION("""COMPUTED_VALUE"""),"Yeva Vyshynska")</f>
        <v>Yeva Vyshynska</v>
      </c>
      <c r="Q999" s="6" t="str">
        <f>IFERROR(__xludf.DUMMYFUNCTION("""COMPUTED_VALUE"""),"L2")</f>
        <v>L2</v>
      </c>
      <c r="R999" s="6">
        <f>IFERROR(__xludf.DUMMYFUNCTION("""COMPUTED_VALUE"""),2.0)</f>
        <v>2</v>
      </c>
      <c r="S999" s="6" t="str">
        <f>IFERROR(__xludf.DUMMYFUNCTION("""COMPUTED_VALUE""")," ")</f>
        <v> </v>
      </c>
      <c r="T999" s="6" t="str">
        <f>IFERROR(__xludf.DUMMYFUNCTION("""COMPUTED_VALUE"""),"")</f>
        <v/>
      </c>
      <c r="U999" s="6" t="str">
        <f>IFERROR(__xludf.DUMMYFUNCTION("""COMPUTED_VALUE"""),"4")</f>
        <v>4</v>
      </c>
      <c r="V999" s="6" t="str">
        <f>IFERROR(__xludf.DUMMYFUNCTION("""COMPUTED_VALUE"""),"English")</f>
        <v>English</v>
      </c>
      <c r="W999" s="6" t="str">
        <f>IFERROR(__xludf.DUMMYFUNCTION("""COMPUTED_VALUE"""),"[]")</f>
        <v>[]</v>
      </c>
      <c r="X999" s="6" t="str">
        <f>IFERROR(__xludf.DUMMYFUNCTION("""COMPUTED_VALUE"""),"Enrolled")</f>
        <v>Enrolled</v>
      </c>
    </row>
    <row r="1000">
      <c r="A1000" s="6" t="str">
        <f>IFERROR(__xludf.DUMMYFUNCTION("""COMPUTED_VALUE"""),"009-1124")</f>
        <v>009-1124</v>
      </c>
      <c r="B1000" s="6" t="str">
        <f>IFERROR(__xludf.DUMMYFUNCTION("""COMPUTED_VALUE"""),"9")</f>
        <v>9</v>
      </c>
      <c r="C1000" s="6" t="str">
        <f>IFERROR(__xludf.DUMMYFUNCTION("""COMPUTED_VALUE"""),"1124")</f>
        <v>1124</v>
      </c>
      <c r="D1000" s="6" t="str">
        <f>IFERROR(__xludf.DUMMYFUNCTION("""COMPUTED_VALUE"""),"Yar")</f>
        <v>Yar</v>
      </c>
      <c r="E1000" s="6" t="str">
        <f>IFERROR(__xludf.DUMMYFUNCTION("""COMPUTED_VALUE"""),"")</f>
        <v/>
      </c>
      <c r="F1000" s="6" t="str">
        <f>IFERROR(__xludf.DUMMYFUNCTION("""COMPUTED_VALUE"""),"Kovalenko")</f>
        <v>Kovalenko</v>
      </c>
      <c r="G1000" s="6" t="str">
        <f>IFERROR(__xludf.DUMMYFUNCTION("""COMPUTED_VALUE"""),"01/01/2015")</f>
        <v>01/01/2015</v>
      </c>
      <c r="H1000" s="6" t="str">
        <f>IFERROR(__xludf.DUMMYFUNCTION("""COMPUTED_VALUE"""),"Self Identify")</f>
        <v>Self Identify</v>
      </c>
      <c r="I1000" s="6" t="str">
        <f>IFERROR(__xludf.DUMMYFUNCTION("""COMPUTED_VALUE"""),"Level 2")</f>
        <v>Level 2</v>
      </c>
      <c r="J1000" s="6" t="str">
        <f>IFERROR(__xludf.DUMMYFUNCTION("""COMPUTED_VALUE"""),"4")</f>
        <v>4</v>
      </c>
      <c r="K1000" s="6" t="str">
        <f>IFERROR(__xludf.DUMMYFUNCTION("""COMPUTED_VALUE"""),"yar.kovalenko@2hourlearning.com")</f>
        <v>yar.kovalenko@2hourlearning.com</v>
      </c>
      <c r="L1000" s="6" t="str">
        <f>IFERROR(__xludf.DUMMYFUNCTION("""COMPUTED_VALUE"""),"Learn and Earn Poland")</f>
        <v>Learn and Earn Poland</v>
      </c>
      <c r="M1000" s="6" t="str">
        <f>IFERROR(__xludf.DUMMYFUNCTION("""COMPUTED_VALUE"""),"")</f>
        <v/>
      </c>
      <c r="N1000" s="6" t="str">
        <f>IFERROR(__xludf.DUMMYFUNCTION("""COMPUTED_VALUE"""),"")</f>
        <v/>
      </c>
      <c r="O1000" s="87" t="str">
        <f>IFERROR(__xludf.DUMMYFUNCTION("""COMPUTED_VALUE"""),"https://drive.google.com/drive/folders/10T2cTQHqEJZqE-st6uFKPoI?usp=share_link")</f>
        <v>https://drive.google.com/drive/folders/10T2cTQHqEJZqE-st6uFKPoI?usp=share_link</v>
      </c>
      <c r="P1000" s="6" t="str">
        <f>IFERROR(__xludf.DUMMYFUNCTION("""COMPUTED_VALUE"""),"Yar Kovalenko")</f>
        <v>Yar Kovalenko</v>
      </c>
      <c r="Q1000" s="6" t="str">
        <f>IFERROR(__xludf.DUMMYFUNCTION("""COMPUTED_VALUE"""),"L2")</f>
        <v>L2</v>
      </c>
      <c r="R1000" s="6">
        <f>IFERROR(__xludf.DUMMYFUNCTION("""COMPUTED_VALUE"""),2.0)</f>
        <v>2</v>
      </c>
      <c r="S1000" s="6" t="str">
        <f>IFERROR(__xludf.DUMMYFUNCTION("""COMPUTED_VALUE""")," ")</f>
        <v> </v>
      </c>
      <c r="T1000" s="6" t="str">
        <f>IFERROR(__xludf.DUMMYFUNCTION("""COMPUTED_VALUE"""),"")</f>
        <v/>
      </c>
      <c r="U1000" s="6" t="str">
        <f>IFERROR(__xludf.DUMMYFUNCTION("""COMPUTED_VALUE"""),"4")</f>
        <v>4</v>
      </c>
      <c r="V1000" s="6" t="str">
        <f>IFERROR(__xludf.DUMMYFUNCTION("""COMPUTED_VALUE"""),"English")</f>
        <v>English</v>
      </c>
      <c r="W1000" s="6" t="str">
        <f>IFERROR(__xludf.DUMMYFUNCTION("""COMPUTED_VALUE"""),"[]")</f>
        <v>[]</v>
      </c>
      <c r="X1000" s="6" t="str">
        <f>IFERROR(__xludf.DUMMYFUNCTION("""COMPUTED_VALUE"""),"Enrolled")</f>
        <v>Enrolled</v>
      </c>
    </row>
    <row r="1001">
      <c r="A1001" s="6" t="str">
        <f>IFERROR(__xludf.DUMMYFUNCTION("""COMPUTED_VALUE"""),"009-1125")</f>
        <v>009-1125</v>
      </c>
      <c r="B1001" s="6" t="str">
        <f>IFERROR(__xludf.DUMMYFUNCTION("""COMPUTED_VALUE"""),"9")</f>
        <v>9</v>
      </c>
      <c r="C1001" s="6" t="str">
        <f>IFERROR(__xludf.DUMMYFUNCTION("""COMPUTED_VALUE"""),"1125")</f>
        <v>1125</v>
      </c>
      <c r="D1001" s="6" t="str">
        <f>IFERROR(__xludf.DUMMYFUNCTION("""COMPUTED_VALUE"""),"Ivan")</f>
        <v>Ivan</v>
      </c>
      <c r="E1001" s="6" t="str">
        <f>IFERROR(__xludf.DUMMYFUNCTION("""COMPUTED_VALUE"""),"")</f>
        <v/>
      </c>
      <c r="F1001" s="6" t="str">
        <f>IFERROR(__xludf.DUMMYFUNCTION("""COMPUTED_VALUE"""),"Koliesnik")</f>
        <v>Koliesnik</v>
      </c>
      <c r="G1001" s="6" t="str">
        <f>IFERROR(__xludf.DUMMYFUNCTION("""COMPUTED_VALUE"""),"01/01/2014")</f>
        <v>01/01/2014</v>
      </c>
      <c r="H1001" s="6" t="str">
        <f>IFERROR(__xludf.DUMMYFUNCTION("""COMPUTED_VALUE"""),"Self Identify")</f>
        <v>Self Identify</v>
      </c>
      <c r="I1001" s="6" t="str">
        <f>IFERROR(__xludf.DUMMYFUNCTION("""COMPUTED_VALUE"""),"Level 2")</f>
        <v>Level 2</v>
      </c>
      <c r="J1001" s="6" t="str">
        <f>IFERROR(__xludf.DUMMYFUNCTION("""COMPUTED_VALUE"""),"5")</f>
        <v>5</v>
      </c>
      <c r="K1001" s="6" t="str">
        <f>IFERROR(__xludf.DUMMYFUNCTION("""COMPUTED_VALUE"""),"ivan.koliesnik@2hourlearning.com")</f>
        <v>ivan.koliesnik@2hourlearning.com</v>
      </c>
      <c r="L1001" s="6" t="str">
        <f>IFERROR(__xludf.DUMMYFUNCTION("""COMPUTED_VALUE"""),"Learn and Earn Poland")</f>
        <v>Learn and Earn Poland</v>
      </c>
      <c r="M1001" s="6" t="str">
        <f>IFERROR(__xludf.DUMMYFUNCTION("""COMPUTED_VALUE"""),"")</f>
        <v/>
      </c>
      <c r="N1001" s="6" t="str">
        <f>IFERROR(__xludf.DUMMYFUNCTION("""COMPUTED_VALUE"""),"")</f>
        <v/>
      </c>
      <c r="O1001" s="87" t="str">
        <f>IFERROR(__xludf.DUMMYFUNCTION("""COMPUTED_VALUE"""),"https://drive.google.com/drive/folders/10T2cTQHqEJZqE-st6uFKPoI?usp=share_link")</f>
        <v>https://drive.google.com/drive/folders/10T2cTQHqEJZqE-st6uFKPoI?usp=share_link</v>
      </c>
      <c r="P1001" s="6" t="str">
        <f>IFERROR(__xludf.DUMMYFUNCTION("""COMPUTED_VALUE"""),"Ivan Koliesnik")</f>
        <v>Ivan Koliesnik</v>
      </c>
      <c r="Q1001" s="6" t="str">
        <f>IFERROR(__xludf.DUMMYFUNCTION("""COMPUTED_VALUE"""),"L2")</f>
        <v>L2</v>
      </c>
      <c r="R1001" s="6">
        <f>IFERROR(__xludf.DUMMYFUNCTION("""COMPUTED_VALUE"""),2.0)</f>
        <v>2</v>
      </c>
      <c r="S1001" s="6" t="str">
        <f>IFERROR(__xludf.DUMMYFUNCTION("""COMPUTED_VALUE""")," ")</f>
        <v> </v>
      </c>
      <c r="T1001" s="6" t="str">
        <f>IFERROR(__xludf.DUMMYFUNCTION("""COMPUTED_VALUE"""),"")</f>
        <v/>
      </c>
      <c r="U1001" s="6" t="str">
        <f>IFERROR(__xludf.DUMMYFUNCTION("""COMPUTED_VALUE"""),"5")</f>
        <v>5</v>
      </c>
      <c r="V1001" s="6" t="str">
        <f>IFERROR(__xludf.DUMMYFUNCTION("""COMPUTED_VALUE"""),"English")</f>
        <v>English</v>
      </c>
      <c r="W1001" s="6" t="str">
        <f>IFERROR(__xludf.DUMMYFUNCTION("""COMPUTED_VALUE"""),"[]")</f>
        <v>[]</v>
      </c>
      <c r="X1001" s="6" t="str">
        <f>IFERROR(__xludf.DUMMYFUNCTION("""COMPUTED_VALUE"""),"Enrolled")</f>
        <v>Enrolled</v>
      </c>
    </row>
    <row r="1002">
      <c r="A1002" s="6" t="str">
        <f>IFERROR(__xludf.DUMMYFUNCTION("""COMPUTED_VALUE"""),"009-1126")</f>
        <v>009-1126</v>
      </c>
      <c r="B1002" s="6" t="str">
        <f>IFERROR(__xludf.DUMMYFUNCTION("""COMPUTED_VALUE"""),"9")</f>
        <v>9</v>
      </c>
      <c r="C1002" s="6" t="str">
        <f>IFERROR(__xludf.DUMMYFUNCTION("""COMPUTED_VALUE"""),"1126")</f>
        <v>1126</v>
      </c>
      <c r="D1002" s="6" t="str">
        <f>IFERROR(__xludf.DUMMYFUNCTION("""COMPUTED_VALUE"""),"Angelina")</f>
        <v>Angelina</v>
      </c>
      <c r="E1002" s="6" t="str">
        <f>IFERROR(__xludf.DUMMYFUNCTION("""COMPUTED_VALUE"""),"")</f>
        <v/>
      </c>
      <c r="F1002" s="6" t="str">
        <f>IFERROR(__xludf.DUMMYFUNCTION("""COMPUTED_VALUE"""),"Milowanowa")</f>
        <v>Milowanowa</v>
      </c>
      <c r="G1002" s="6" t="str">
        <f>IFERROR(__xludf.DUMMYFUNCTION("""COMPUTED_VALUE"""),"01/01/2014")</f>
        <v>01/01/2014</v>
      </c>
      <c r="H1002" s="6" t="str">
        <f>IFERROR(__xludf.DUMMYFUNCTION("""COMPUTED_VALUE"""),"Self Identify")</f>
        <v>Self Identify</v>
      </c>
      <c r="I1002" s="6" t="str">
        <f>IFERROR(__xludf.DUMMYFUNCTION("""COMPUTED_VALUE"""),"Level 2")</f>
        <v>Level 2</v>
      </c>
      <c r="J1002" s="6" t="str">
        <f>IFERROR(__xludf.DUMMYFUNCTION("""COMPUTED_VALUE"""),"5")</f>
        <v>5</v>
      </c>
      <c r="K1002" s="6" t="str">
        <f>IFERROR(__xludf.DUMMYFUNCTION("""COMPUTED_VALUE"""),"angelina.milowanowa@2hourlearning.com")</f>
        <v>angelina.milowanowa@2hourlearning.com</v>
      </c>
      <c r="L1002" s="6" t="str">
        <f>IFERROR(__xludf.DUMMYFUNCTION("""COMPUTED_VALUE"""),"Learn and Earn Poland")</f>
        <v>Learn and Earn Poland</v>
      </c>
      <c r="M1002" s="6" t="str">
        <f>IFERROR(__xludf.DUMMYFUNCTION("""COMPUTED_VALUE"""),"")</f>
        <v/>
      </c>
      <c r="N1002" s="6" t="str">
        <f>IFERROR(__xludf.DUMMYFUNCTION("""COMPUTED_VALUE"""),"")</f>
        <v/>
      </c>
      <c r="O1002" s="87" t="str">
        <f>IFERROR(__xludf.DUMMYFUNCTION("""COMPUTED_VALUE"""),"https://drive.google.com/drive/folders/10T2cTQHqEJZqE-st6uFKPoI?usp=share_link")</f>
        <v>https://drive.google.com/drive/folders/10T2cTQHqEJZqE-st6uFKPoI?usp=share_link</v>
      </c>
      <c r="P1002" s="6" t="str">
        <f>IFERROR(__xludf.DUMMYFUNCTION("""COMPUTED_VALUE"""),"Angelina Milowanowa")</f>
        <v>Angelina Milowanowa</v>
      </c>
      <c r="Q1002" s="6" t="str">
        <f>IFERROR(__xludf.DUMMYFUNCTION("""COMPUTED_VALUE"""),"L2")</f>
        <v>L2</v>
      </c>
      <c r="R1002" s="6">
        <f>IFERROR(__xludf.DUMMYFUNCTION("""COMPUTED_VALUE"""),2.0)</f>
        <v>2</v>
      </c>
      <c r="S1002" s="6" t="str">
        <f>IFERROR(__xludf.DUMMYFUNCTION("""COMPUTED_VALUE""")," ")</f>
        <v> </v>
      </c>
      <c r="T1002" s="6" t="str">
        <f>IFERROR(__xludf.DUMMYFUNCTION("""COMPUTED_VALUE"""),"")</f>
        <v/>
      </c>
      <c r="U1002" s="6" t="str">
        <f>IFERROR(__xludf.DUMMYFUNCTION("""COMPUTED_VALUE"""),"5")</f>
        <v>5</v>
      </c>
      <c r="V1002" s="6" t="str">
        <f>IFERROR(__xludf.DUMMYFUNCTION("""COMPUTED_VALUE"""),"English")</f>
        <v>English</v>
      </c>
      <c r="W1002" s="6" t="str">
        <f>IFERROR(__xludf.DUMMYFUNCTION("""COMPUTED_VALUE"""),"[]")</f>
        <v>[]</v>
      </c>
      <c r="X1002" s="6" t="str">
        <f>IFERROR(__xludf.DUMMYFUNCTION("""COMPUTED_VALUE"""),"Enrolled")</f>
        <v>Enrolled</v>
      </c>
    </row>
    <row r="1003">
      <c r="A1003" s="6" t="str">
        <f>IFERROR(__xludf.DUMMYFUNCTION("""COMPUTED_VALUE"""),"009-1127")</f>
        <v>009-1127</v>
      </c>
      <c r="B1003" s="6" t="str">
        <f>IFERROR(__xludf.DUMMYFUNCTION("""COMPUTED_VALUE"""),"9")</f>
        <v>9</v>
      </c>
      <c r="C1003" s="6" t="str">
        <f>IFERROR(__xludf.DUMMYFUNCTION("""COMPUTED_VALUE"""),"1127")</f>
        <v>1127</v>
      </c>
      <c r="D1003" s="6" t="str">
        <f>IFERROR(__xludf.DUMMYFUNCTION("""COMPUTED_VALUE"""),"Vakulyuk")</f>
        <v>Vakulyuk</v>
      </c>
      <c r="E1003" s="6" t="str">
        <f>IFERROR(__xludf.DUMMYFUNCTION("""COMPUTED_VALUE"""),"")</f>
        <v/>
      </c>
      <c r="F1003" s="6" t="str">
        <f>IFERROR(__xludf.DUMMYFUNCTION("""COMPUTED_VALUE"""),"Sofia")</f>
        <v>Sofia</v>
      </c>
      <c r="G1003" s="6" t="str">
        <f>IFERROR(__xludf.DUMMYFUNCTION("""COMPUTED_VALUE"""),"01/01/2014")</f>
        <v>01/01/2014</v>
      </c>
      <c r="H1003" s="6" t="str">
        <f>IFERROR(__xludf.DUMMYFUNCTION("""COMPUTED_VALUE"""),"Self Identify")</f>
        <v>Self Identify</v>
      </c>
      <c r="I1003" s="6" t="str">
        <f>IFERROR(__xludf.DUMMYFUNCTION("""COMPUTED_VALUE"""),"Level 2")</f>
        <v>Level 2</v>
      </c>
      <c r="J1003" s="6" t="str">
        <f>IFERROR(__xludf.DUMMYFUNCTION("""COMPUTED_VALUE"""),"5")</f>
        <v>5</v>
      </c>
      <c r="K1003" s="6" t="str">
        <f>IFERROR(__xludf.DUMMYFUNCTION("""COMPUTED_VALUE"""),"vakulyuk.sofia@2hourlearning.com")</f>
        <v>vakulyuk.sofia@2hourlearning.com</v>
      </c>
      <c r="L1003" s="6" t="str">
        <f>IFERROR(__xludf.DUMMYFUNCTION("""COMPUTED_VALUE"""),"Learn and Earn Poland")</f>
        <v>Learn and Earn Poland</v>
      </c>
      <c r="M1003" s="6" t="str">
        <f>IFERROR(__xludf.DUMMYFUNCTION("""COMPUTED_VALUE"""),"")</f>
        <v/>
      </c>
      <c r="N1003" s="6" t="str">
        <f>IFERROR(__xludf.DUMMYFUNCTION("""COMPUTED_VALUE"""),"")</f>
        <v/>
      </c>
      <c r="O1003" s="87" t="str">
        <f>IFERROR(__xludf.DUMMYFUNCTION("""COMPUTED_VALUE"""),"https://drive.google.com/drive/folders/10T2cTQHqEJZqE-st6uFKPoI?usp=share_link")</f>
        <v>https://drive.google.com/drive/folders/10T2cTQHqEJZqE-st6uFKPoI?usp=share_link</v>
      </c>
      <c r="P1003" s="6" t="str">
        <f>IFERROR(__xludf.DUMMYFUNCTION("""COMPUTED_VALUE"""),"Vakulyuk Sofia")</f>
        <v>Vakulyuk Sofia</v>
      </c>
      <c r="Q1003" s="6" t="str">
        <f>IFERROR(__xludf.DUMMYFUNCTION("""COMPUTED_VALUE"""),"L2")</f>
        <v>L2</v>
      </c>
      <c r="R1003" s="6">
        <f>IFERROR(__xludf.DUMMYFUNCTION("""COMPUTED_VALUE"""),2.0)</f>
        <v>2</v>
      </c>
      <c r="S1003" s="6" t="str">
        <f>IFERROR(__xludf.DUMMYFUNCTION("""COMPUTED_VALUE""")," ")</f>
        <v> </v>
      </c>
      <c r="T1003" s="6" t="str">
        <f>IFERROR(__xludf.DUMMYFUNCTION("""COMPUTED_VALUE"""),"")</f>
        <v/>
      </c>
      <c r="U1003" s="6" t="str">
        <f>IFERROR(__xludf.DUMMYFUNCTION("""COMPUTED_VALUE"""),"5")</f>
        <v>5</v>
      </c>
      <c r="V1003" s="6" t="str">
        <f>IFERROR(__xludf.DUMMYFUNCTION("""COMPUTED_VALUE"""),"English")</f>
        <v>English</v>
      </c>
      <c r="W1003" s="6" t="str">
        <f>IFERROR(__xludf.DUMMYFUNCTION("""COMPUTED_VALUE"""),"[]")</f>
        <v>[]</v>
      </c>
      <c r="X1003" s="6" t="str">
        <f>IFERROR(__xludf.DUMMYFUNCTION("""COMPUTED_VALUE"""),"Enrolled")</f>
        <v>Enrolled</v>
      </c>
    </row>
    <row r="1004">
      <c r="A1004" s="6" t="str">
        <f>IFERROR(__xludf.DUMMYFUNCTION("""COMPUTED_VALUE"""),"009-1128")</f>
        <v>009-1128</v>
      </c>
      <c r="B1004" s="6" t="str">
        <f>IFERROR(__xludf.DUMMYFUNCTION("""COMPUTED_VALUE"""),"9")</f>
        <v>9</v>
      </c>
      <c r="C1004" s="6" t="str">
        <f>IFERROR(__xludf.DUMMYFUNCTION("""COMPUTED_VALUE"""),"1128")</f>
        <v>1128</v>
      </c>
      <c r="D1004" s="6" t="str">
        <f>IFERROR(__xludf.DUMMYFUNCTION("""COMPUTED_VALUE"""),"Sofiia")</f>
        <v>Sofiia</v>
      </c>
      <c r="E1004" s="6" t="str">
        <f>IFERROR(__xludf.DUMMYFUNCTION("""COMPUTED_VALUE"""),"")</f>
        <v/>
      </c>
      <c r="F1004" s="6" t="str">
        <f>IFERROR(__xludf.DUMMYFUNCTION("""COMPUTED_VALUE"""),"Zhukova")</f>
        <v>Zhukova</v>
      </c>
      <c r="G1004" s="6" t="str">
        <f>IFERROR(__xludf.DUMMYFUNCTION("""COMPUTED_VALUE"""),"01/01/2013")</f>
        <v>01/01/2013</v>
      </c>
      <c r="H1004" s="6" t="str">
        <f>IFERROR(__xludf.DUMMYFUNCTION("""COMPUTED_VALUE"""),"Self Identify")</f>
        <v>Self Identify</v>
      </c>
      <c r="I1004" s="6" t="str">
        <f>IFERROR(__xludf.DUMMYFUNCTION("""COMPUTED_VALUE"""),"Middle School")</f>
        <v>Middle School</v>
      </c>
      <c r="J1004" s="6" t="str">
        <f>IFERROR(__xludf.DUMMYFUNCTION("""COMPUTED_VALUE"""),"6")</f>
        <v>6</v>
      </c>
      <c r="K1004" s="6" t="str">
        <f>IFERROR(__xludf.DUMMYFUNCTION("""COMPUTED_VALUE"""),"sofiia.zhukova@2hourlearning.com")</f>
        <v>sofiia.zhukova@2hourlearning.com</v>
      </c>
      <c r="L1004" s="6" t="str">
        <f>IFERROR(__xludf.DUMMYFUNCTION("""COMPUTED_VALUE"""),"Learn and Earn Poland")</f>
        <v>Learn and Earn Poland</v>
      </c>
      <c r="M1004" s="6" t="str">
        <f>IFERROR(__xludf.DUMMYFUNCTION("""COMPUTED_VALUE"""),"")</f>
        <v/>
      </c>
      <c r="N1004" s="6" t="str">
        <f>IFERROR(__xludf.DUMMYFUNCTION("""COMPUTED_VALUE"""),"")</f>
        <v/>
      </c>
      <c r="O1004" s="87" t="str">
        <f>IFERROR(__xludf.DUMMYFUNCTION("""COMPUTED_VALUE"""),"https://drive.google.com/drive/folders/10T2cTQHqEJZqE-st6uFKPoI?usp=share_link")</f>
        <v>https://drive.google.com/drive/folders/10T2cTQHqEJZqE-st6uFKPoI?usp=share_link</v>
      </c>
      <c r="P1004" s="6" t="str">
        <f>IFERROR(__xludf.DUMMYFUNCTION("""COMPUTED_VALUE"""),"Sofiia Zhukova")</f>
        <v>Sofiia Zhukova</v>
      </c>
      <c r="Q1004" s="6" t="str">
        <f>IFERROR(__xludf.DUMMYFUNCTION("""COMPUTED_VALUE"""),"MS")</f>
        <v>MS</v>
      </c>
      <c r="R1004" s="6">
        <f>IFERROR(__xludf.DUMMYFUNCTION("""COMPUTED_VALUE"""),0.0)</f>
        <v>0</v>
      </c>
      <c r="S1004" s="6" t="str">
        <f>IFERROR(__xludf.DUMMYFUNCTION("""COMPUTED_VALUE""")," ")</f>
        <v> </v>
      </c>
      <c r="T1004" s="6" t="str">
        <f>IFERROR(__xludf.DUMMYFUNCTION("""COMPUTED_VALUE"""),"")</f>
        <v/>
      </c>
      <c r="U1004" s="6" t="str">
        <f>IFERROR(__xludf.DUMMYFUNCTION("""COMPUTED_VALUE"""),"6")</f>
        <v>6</v>
      </c>
      <c r="V1004" s="6" t="str">
        <f>IFERROR(__xludf.DUMMYFUNCTION("""COMPUTED_VALUE"""),"English")</f>
        <v>English</v>
      </c>
      <c r="W1004" s="6" t="str">
        <f>IFERROR(__xludf.DUMMYFUNCTION("""COMPUTED_VALUE"""),"[]")</f>
        <v>[]</v>
      </c>
      <c r="X1004" s="6" t="str">
        <f>IFERROR(__xludf.DUMMYFUNCTION("""COMPUTED_VALUE"""),"Enrolled")</f>
        <v>Enrolled</v>
      </c>
    </row>
    <row r="1005">
      <c r="A1005" s="6" t="str">
        <f>IFERROR(__xludf.DUMMYFUNCTION("""COMPUTED_VALUE"""),"009-1129")</f>
        <v>009-1129</v>
      </c>
      <c r="B1005" s="6" t="str">
        <f>IFERROR(__xludf.DUMMYFUNCTION("""COMPUTED_VALUE"""),"9")</f>
        <v>9</v>
      </c>
      <c r="C1005" s="6" t="str">
        <f>IFERROR(__xludf.DUMMYFUNCTION("""COMPUTED_VALUE"""),"1129")</f>
        <v>1129</v>
      </c>
      <c r="D1005" s="6" t="str">
        <f>IFERROR(__xludf.DUMMYFUNCTION("""COMPUTED_VALUE"""),"Mykyta")</f>
        <v>Mykyta</v>
      </c>
      <c r="E1005" s="6" t="str">
        <f>IFERROR(__xludf.DUMMYFUNCTION("""COMPUTED_VALUE"""),"")</f>
        <v/>
      </c>
      <c r="F1005" s="6" t="str">
        <f>IFERROR(__xludf.DUMMYFUNCTION("""COMPUTED_VALUE"""),"Kosmachov")</f>
        <v>Kosmachov</v>
      </c>
      <c r="G1005" s="6" t="str">
        <f>IFERROR(__xludf.DUMMYFUNCTION("""COMPUTED_VALUE"""),"01/01/2013")</f>
        <v>01/01/2013</v>
      </c>
      <c r="H1005" s="6" t="str">
        <f>IFERROR(__xludf.DUMMYFUNCTION("""COMPUTED_VALUE"""),"Self Identify")</f>
        <v>Self Identify</v>
      </c>
      <c r="I1005" s="6" t="str">
        <f>IFERROR(__xludf.DUMMYFUNCTION("""COMPUTED_VALUE"""),"Middle School")</f>
        <v>Middle School</v>
      </c>
      <c r="J1005" s="6" t="str">
        <f>IFERROR(__xludf.DUMMYFUNCTION("""COMPUTED_VALUE"""),"6")</f>
        <v>6</v>
      </c>
      <c r="K1005" s="6" t="str">
        <f>IFERROR(__xludf.DUMMYFUNCTION("""COMPUTED_VALUE"""),"mykyta.kosmachov@2hourlearning.com")</f>
        <v>mykyta.kosmachov@2hourlearning.com</v>
      </c>
      <c r="L1005" s="6" t="str">
        <f>IFERROR(__xludf.DUMMYFUNCTION("""COMPUTED_VALUE"""),"Learn and Earn Poland")</f>
        <v>Learn and Earn Poland</v>
      </c>
      <c r="M1005" s="6" t="str">
        <f>IFERROR(__xludf.DUMMYFUNCTION("""COMPUTED_VALUE"""),"")</f>
        <v/>
      </c>
      <c r="N1005" s="6" t="str">
        <f>IFERROR(__xludf.DUMMYFUNCTION("""COMPUTED_VALUE"""),"")</f>
        <v/>
      </c>
      <c r="O1005" s="87" t="str">
        <f>IFERROR(__xludf.DUMMYFUNCTION("""COMPUTED_VALUE"""),"https://drive.google.com/drive/folders/10T2cTQHqEJZqE-st6uFKPoI?usp=share_link")</f>
        <v>https://drive.google.com/drive/folders/10T2cTQHqEJZqE-st6uFKPoI?usp=share_link</v>
      </c>
      <c r="P1005" s="6" t="str">
        <f>IFERROR(__xludf.DUMMYFUNCTION("""COMPUTED_VALUE"""),"Mykyta Kosmachov")</f>
        <v>Mykyta Kosmachov</v>
      </c>
      <c r="Q1005" s="6" t="str">
        <f>IFERROR(__xludf.DUMMYFUNCTION("""COMPUTED_VALUE"""),"MS")</f>
        <v>MS</v>
      </c>
      <c r="R1005" s="6">
        <f>IFERROR(__xludf.DUMMYFUNCTION("""COMPUTED_VALUE"""),0.0)</f>
        <v>0</v>
      </c>
      <c r="S1005" s="6" t="str">
        <f>IFERROR(__xludf.DUMMYFUNCTION("""COMPUTED_VALUE""")," ")</f>
        <v> </v>
      </c>
      <c r="T1005" s="6" t="str">
        <f>IFERROR(__xludf.DUMMYFUNCTION("""COMPUTED_VALUE"""),"")</f>
        <v/>
      </c>
      <c r="U1005" s="6" t="str">
        <f>IFERROR(__xludf.DUMMYFUNCTION("""COMPUTED_VALUE"""),"6")</f>
        <v>6</v>
      </c>
      <c r="V1005" s="6" t="str">
        <f>IFERROR(__xludf.DUMMYFUNCTION("""COMPUTED_VALUE"""),"English")</f>
        <v>English</v>
      </c>
      <c r="W1005" s="6" t="str">
        <f>IFERROR(__xludf.DUMMYFUNCTION("""COMPUTED_VALUE"""),"[]")</f>
        <v>[]</v>
      </c>
      <c r="X1005" s="6" t="str">
        <f>IFERROR(__xludf.DUMMYFUNCTION("""COMPUTED_VALUE"""),"Enrolled")</f>
        <v>Enrolled</v>
      </c>
    </row>
    <row r="1006">
      <c r="A1006" s="6" t="str">
        <f>IFERROR(__xludf.DUMMYFUNCTION("""COMPUTED_VALUE"""),"009-1130")</f>
        <v>009-1130</v>
      </c>
      <c r="B1006" s="6" t="str">
        <f>IFERROR(__xludf.DUMMYFUNCTION("""COMPUTED_VALUE"""),"9")</f>
        <v>9</v>
      </c>
      <c r="C1006" s="6" t="str">
        <f>IFERROR(__xludf.DUMMYFUNCTION("""COMPUTED_VALUE"""),"1130")</f>
        <v>1130</v>
      </c>
      <c r="D1006" s="6" t="str">
        <f>IFERROR(__xludf.DUMMYFUNCTION("""COMPUTED_VALUE"""),"Anastasiia")</f>
        <v>Anastasiia</v>
      </c>
      <c r="E1006" s="6" t="str">
        <f>IFERROR(__xludf.DUMMYFUNCTION("""COMPUTED_VALUE"""),"")</f>
        <v/>
      </c>
      <c r="F1006" s="6" t="str">
        <f>IFERROR(__xludf.DUMMYFUNCTION("""COMPUTED_VALUE"""),"Zinkovska")</f>
        <v>Zinkovska</v>
      </c>
      <c r="G1006" s="6" t="str">
        <f>IFERROR(__xludf.DUMMYFUNCTION("""COMPUTED_VALUE"""),"01/01/2013")</f>
        <v>01/01/2013</v>
      </c>
      <c r="H1006" s="6" t="str">
        <f>IFERROR(__xludf.DUMMYFUNCTION("""COMPUTED_VALUE"""),"Self Identify")</f>
        <v>Self Identify</v>
      </c>
      <c r="I1006" s="6" t="str">
        <f>IFERROR(__xludf.DUMMYFUNCTION("""COMPUTED_VALUE"""),"Middle School")</f>
        <v>Middle School</v>
      </c>
      <c r="J1006" s="6" t="str">
        <f>IFERROR(__xludf.DUMMYFUNCTION("""COMPUTED_VALUE"""),"6")</f>
        <v>6</v>
      </c>
      <c r="K1006" s="6" t="str">
        <f>IFERROR(__xludf.DUMMYFUNCTION("""COMPUTED_VALUE"""),"anastasiia.zinkovska@2hourlearning.com")</f>
        <v>anastasiia.zinkovska@2hourlearning.com</v>
      </c>
      <c r="L1006" s="6" t="str">
        <f>IFERROR(__xludf.DUMMYFUNCTION("""COMPUTED_VALUE"""),"Learn and Earn Poland")</f>
        <v>Learn and Earn Poland</v>
      </c>
      <c r="M1006" s="6" t="str">
        <f>IFERROR(__xludf.DUMMYFUNCTION("""COMPUTED_VALUE"""),"")</f>
        <v/>
      </c>
      <c r="N1006" s="6" t="str">
        <f>IFERROR(__xludf.DUMMYFUNCTION("""COMPUTED_VALUE"""),"")</f>
        <v/>
      </c>
      <c r="O1006" s="87" t="str">
        <f>IFERROR(__xludf.DUMMYFUNCTION("""COMPUTED_VALUE"""),"https://drive.google.com/drive/folders/10T2cTQHqEJZqE-st6uFKPoI?usp=share_link")</f>
        <v>https://drive.google.com/drive/folders/10T2cTQHqEJZqE-st6uFKPoI?usp=share_link</v>
      </c>
      <c r="P1006" s="6" t="str">
        <f>IFERROR(__xludf.DUMMYFUNCTION("""COMPUTED_VALUE"""),"Anastasiia Zinkovska")</f>
        <v>Anastasiia Zinkovska</v>
      </c>
      <c r="Q1006" s="6" t="str">
        <f>IFERROR(__xludf.DUMMYFUNCTION("""COMPUTED_VALUE"""),"MS")</f>
        <v>MS</v>
      </c>
      <c r="R1006" s="6">
        <f>IFERROR(__xludf.DUMMYFUNCTION("""COMPUTED_VALUE"""),0.0)</f>
        <v>0</v>
      </c>
      <c r="S1006" s="6" t="str">
        <f>IFERROR(__xludf.DUMMYFUNCTION("""COMPUTED_VALUE""")," ")</f>
        <v> </v>
      </c>
      <c r="T1006" s="6" t="str">
        <f>IFERROR(__xludf.DUMMYFUNCTION("""COMPUTED_VALUE"""),"")</f>
        <v/>
      </c>
      <c r="U1006" s="6" t="str">
        <f>IFERROR(__xludf.DUMMYFUNCTION("""COMPUTED_VALUE"""),"6")</f>
        <v>6</v>
      </c>
      <c r="V1006" s="6" t="str">
        <f>IFERROR(__xludf.DUMMYFUNCTION("""COMPUTED_VALUE"""),"English")</f>
        <v>English</v>
      </c>
      <c r="W1006" s="6" t="str">
        <f>IFERROR(__xludf.DUMMYFUNCTION("""COMPUTED_VALUE"""),"[]")</f>
        <v>[]</v>
      </c>
      <c r="X1006" s="6" t="str">
        <f>IFERROR(__xludf.DUMMYFUNCTION("""COMPUTED_VALUE"""),"Enrolled")</f>
        <v>Enrolled</v>
      </c>
    </row>
    <row r="1007">
      <c r="A1007" s="6" t="str">
        <f>IFERROR(__xludf.DUMMYFUNCTION("""COMPUTED_VALUE"""),"009-1131")</f>
        <v>009-1131</v>
      </c>
      <c r="B1007" s="6" t="str">
        <f>IFERROR(__xludf.DUMMYFUNCTION("""COMPUTED_VALUE"""),"9")</f>
        <v>9</v>
      </c>
      <c r="C1007" s="6" t="str">
        <f>IFERROR(__xludf.DUMMYFUNCTION("""COMPUTED_VALUE"""),"1131")</f>
        <v>1131</v>
      </c>
      <c r="D1007" s="6" t="str">
        <f>IFERROR(__xludf.DUMMYFUNCTION("""COMPUTED_VALUE"""),"Kostiantyn")</f>
        <v>Kostiantyn</v>
      </c>
      <c r="E1007" s="6" t="str">
        <f>IFERROR(__xludf.DUMMYFUNCTION("""COMPUTED_VALUE"""),"")</f>
        <v/>
      </c>
      <c r="F1007" s="6" t="str">
        <f>IFERROR(__xludf.DUMMYFUNCTION("""COMPUTED_VALUE"""),"Reznichenko")</f>
        <v>Reznichenko</v>
      </c>
      <c r="G1007" s="6" t="str">
        <f>IFERROR(__xludf.DUMMYFUNCTION("""COMPUTED_VALUE"""),"01/01/2013")</f>
        <v>01/01/2013</v>
      </c>
      <c r="H1007" s="6" t="str">
        <f>IFERROR(__xludf.DUMMYFUNCTION("""COMPUTED_VALUE"""),"Self Identify")</f>
        <v>Self Identify</v>
      </c>
      <c r="I1007" s="6" t="str">
        <f>IFERROR(__xludf.DUMMYFUNCTION("""COMPUTED_VALUE"""),"Middle School")</f>
        <v>Middle School</v>
      </c>
      <c r="J1007" s="6" t="str">
        <f>IFERROR(__xludf.DUMMYFUNCTION("""COMPUTED_VALUE"""),"6")</f>
        <v>6</v>
      </c>
      <c r="K1007" s="6" t="str">
        <f>IFERROR(__xludf.DUMMYFUNCTION("""COMPUTED_VALUE"""),"kostiantyn.reznichenko@2hourlearning.com")</f>
        <v>kostiantyn.reznichenko@2hourlearning.com</v>
      </c>
      <c r="L1007" s="6" t="str">
        <f>IFERROR(__xludf.DUMMYFUNCTION("""COMPUTED_VALUE"""),"Learn and Earn Poland")</f>
        <v>Learn and Earn Poland</v>
      </c>
      <c r="M1007" s="6" t="str">
        <f>IFERROR(__xludf.DUMMYFUNCTION("""COMPUTED_VALUE"""),"")</f>
        <v/>
      </c>
      <c r="N1007" s="6" t="str">
        <f>IFERROR(__xludf.DUMMYFUNCTION("""COMPUTED_VALUE"""),"")</f>
        <v/>
      </c>
      <c r="O1007" s="87" t="str">
        <f>IFERROR(__xludf.DUMMYFUNCTION("""COMPUTED_VALUE"""),"https://drive.google.com/drive/folders/10T2cTQHqEJZqE-st6uFKPoI?usp=share_link")</f>
        <v>https://drive.google.com/drive/folders/10T2cTQHqEJZqE-st6uFKPoI?usp=share_link</v>
      </c>
      <c r="P1007" s="6" t="str">
        <f>IFERROR(__xludf.DUMMYFUNCTION("""COMPUTED_VALUE"""),"Kostiantyn Reznichenko")</f>
        <v>Kostiantyn Reznichenko</v>
      </c>
      <c r="Q1007" s="6" t="str">
        <f>IFERROR(__xludf.DUMMYFUNCTION("""COMPUTED_VALUE"""),"MS")</f>
        <v>MS</v>
      </c>
      <c r="R1007" s="6">
        <f>IFERROR(__xludf.DUMMYFUNCTION("""COMPUTED_VALUE"""),0.0)</f>
        <v>0</v>
      </c>
      <c r="S1007" s="6" t="str">
        <f>IFERROR(__xludf.DUMMYFUNCTION("""COMPUTED_VALUE""")," ")</f>
        <v> </v>
      </c>
      <c r="T1007" s="6" t="str">
        <f>IFERROR(__xludf.DUMMYFUNCTION("""COMPUTED_VALUE"""),"")</f>
        <v/>
      </c>
      <c r="U1007" s="6" t="str">
        <f>IFERROR(__xludf.DUMMYFUNCTION("""COMPUTED_VALUE"""),"6")</f>
        <v>6</v>
      </c>
      <c r="V1007" s="6" t="str">
        <f>IFERROR(__xludf.DUMMYFUNCTION("""COMPUTED_VALUE"""),"English")</f>
        <v>English</v>
      </c>
      <c r="W1007" s="6" t="str">
        <f>IFERROR(__xludf.DUMMYFUNCTION("""COMPUTED_VALUE"""),"[]")</f>
        <v>[]</v>
      </c>
      <c r="X1007" s="6" t="str">
        <f>IFERROR(__xludf.DUMMYFUNCTION("""COMPUTED_VALUE"""),"Enrolled")</f>
        <v>Enrolled</v>
      </c>
    </row>
    <row r="1008">
      <c r="A1008" s="6" t="str">
        <f>IFERROR(__xludf.DUMMYFUNCTION("""COMPUTED_VALUE"""),"009-1132")</f>
        <v>009-1132</v>
      </c>
      <c r="B1008" s="6" t="str">
        <f>IFERROR(__xludf.DUMMYFUNCTION("""COMPUTED_VALUE"""),"9")</f>
        <v>9</v>
      </c>
      <c r="C1008" s="6" t="str">
        <f>IFERROR(__xludf.DUMMYFUNCTION("""COMPUTED_VALUE"""),"1132")</f>
        <v>1132</v>
      </c>
      <c r="D1008" s="6" t="str">
        <f>IFERROR(__xludf.DUMMYFUNCTION("""COMPUTED_VALUE"""),"Mikhaylichenko")</f>
        <v>Mikhaylichenko</v>
      </c>
      <c r="E1008" s="6" t="str">
        <f>IFERROR(__xludf.DUMMYFUNCTION("""COMPUTED_VALUE"""),"")</f>
        <v/>
      </c>
      <c r="F1008" s="6" t="str">
        <f>IFERROR(__xludf.DUMMYFUNCTION("""COMPUTED_VALUE"""),"Yeva")</f>
        <v>Yeva</v>
      </c>
      <c r="G1008" s="6" t="str">
        <f>IFERROR(__xludf.DUMMYFUNCTION("""COMPUTED_VALUE"""),"01/01/2013")</f>
        <v>01/01/2013</v>
      </c>
      <c r="H1008" s="6" t="str">
        <f>IFERROR(__xludf.DUMMYFUNCTION("""COMPUTED_VALUE"""),"Self Identify")</f>
        <v>Self Identify</v>
      </c>
      <c r="I1008" s="6" t="str">
        <f>IFERROR(__xludf.DUMMYFUNCTION("""COMPUTED_VALUE"""),"Middle School")</f>
        <v>Middle School</v>
      </c>
      <c r="J1008" s="6" t="str">
        <f>IFERROR(__xludf.DUMMYFUNCTION("""COMPUTED_VALUE"""),"6")</f>
        <v>6</v>
      </c>
      <c r="K1008" s="6" t="str">
        <f>IFERROR(__xludf.DUMMYFUNCTION("""COMPUTED_VALUE"""),"mikhaylichenko.yeva@2hourlearning.com")</f>
        <v>mikhaylichenko.yeva@2hourlearning.com</v>
      </c>
      <c r="L1008" s="6" t="str">
        <f>IFERROR(__xludf.DUMMYFUNCTION("""COMPUTED_VALUE"""),"Learn and Earn Poland")</f>
        <v>Learn and Earn Poland</v>
      </c>
      <c r="M1008" s="6" t="str">
        <f>IFERROR(__xludf.DUMMYFUNCTION("""COMPUTED_VALUE"""),"")</f>
        <v/>
      </c>
      <c r="N1008" s="6" t="str">
        <f>IFERROR(__xludf.DUMMYFUNCTION("""COMPUTED_VALUE"""),"")</f>
        <v/>
      </c>
      <c r="O1008" s="87" t="str">
        <f>IFERROR(__xludf.DUMMYFUNCTION("""COMPUTED_VALUE"""),"https://drive.google.com/drive/folders/10T2cTQHqEJZqE-st6uFKPoI?usp=share_link")</f>
        <v>https://drive.google.com/drive/folders/10T2cTQHqEJZqE-st6uFKPoI?usp=share_link</v>
      </c>
      <c r="P1008" s="6" t="str">
        <f>IFERROR(__xludf.DUMMYFUNCTION("""COMPUTED_VALUE"""),"Mikhaylichenko Yeva")</f>
        <v>Mikhaylichenko Yeva</v>
      </c>
      <c r="Q1008" s="6" t="str">
        <f>IFERROR(__xludf.DUMMYFUNCTION("""COMPUTED_VALUE"""),"MS")</f>
        <v>MS</v>
      </c>
      <c r="R1008" s="6">
        <f>IFERROR(__xludf.DUMMYFUNCTION("""COMPUTED_VALUE"""),0.0)</f>
        <v>0</v>
      </c>
      <c r="S1008" s="6" t="str">
        <f>IFERROR(__xludf.DUMMYFUNCTION("""COMPUTED_VALUE""")," ")</f>
        <v> </v>
      </c>
      <c r="T1008" s="6" t="str">
        <f>IFERROR(__xludf.DUMMYFUNCTION("""COMPUTED_VALUE"""),"")</f>
        <v/>
      </c>
      <c r="U1008" s="6" t="str">
        <f>IFERROR(__xludf.DUMMYFUNCTION("""COMPUTED_VALUE"""),"6")</f>
        <v>6</v>
      </c>
      <c r="V1008" s="6" t="str">
        <f>IFERROR(__xludf.DUMMYFUNCTION("""COMPUTED_VALUE"""),"English")</f>
        <v>English</v>
      </c>
      <c r="W1008" s="6" t="str">
        <f>IFERROR(__xludf.DUMMYFUNCTION("""COMPUTED_VALUE"""),"[]")</f>
        <v>[]</v>
      </c>
      <c r="X1008" s="6" t="str">
        <f>IFERROR(__xludf.DUMMYFUNCTION("""COMPUTED_VALUE"""),"Enrolled")</f>
        <v>Enrolled</v>
      </c>
    </row>
    <row r="1009">
      <c r="A1009" s="6" t="str">
        <f>IFERROR(__xludf.DUMMYFUNCTION("""COMPUTED_VALUE"""),"009-1133")</f>
        <v>009-1133</v>
      </c>
      <c r="B1009" s="6" t="str">
        <f>IFERROR(__xludf.DUMMYFUNCTION("""COMPUTED_VALUE"""),"9")</f>
        <v>9</v>
      </c>
      <c r="C1009" s="6" t="str">
        <f>IFERROR(__xludf.DUMMYFUNCTION("""COMPUTED_VALUE"""),"1133")</f>
        <v>1133</v>
      </c>
      <c r="D1009" s="6" t="str">
        <f>IFERROR(__xludf.DUMMYFUNCTION("""COMPUTED_VALUE"""),"Marta")</f>
        <v>Marta</v>
      </c>
      <c r="E1009" s="6" t="str">
        <f>IFERROR(__xludf.DUMMYFUNCTION("""COMPUTED_VALUE"""),"")</f>
        <v/>
      </c>
      <c r="F1009" s="6" t="str">
        <f>IFERROR(__xludf.DUMMYFUNCTION("""COMPUTED_VALUE"""),"Lozovyk")</f>
        <v>Lozovyk</v>
      </c>
      <c r="G1009" s="6" t="str">
        <f>IFERROR(__xludf.DUMMYFUNCTION("""COMPUTED_VALUE"""),"01/01/2013")</f>
        <v>01/01/2013</v>
      </c>
      <c r="H1009" s="6" t="str">
        <f>IFERROR(__xludf.DUMMYFUNCTION("""COMPUTED_VALUE"""),"Self Identify")</f>
        <v>Self Identify</v>
      </c>
      <c r="I1009" s="6" t="str">
        <f>IFERROR(__xludf.DUMMYFUNCTION("""COMPUTED_VALUE"""),"Middle School")</f>
        <v>Middle School</v>
      </c>
      <c r="J1009" s="6" t="str">
        <f>IFERROR(__xludf.DUMMYFUNCTION("""COMPUTED_VALUE"""),"6")</f>
        <v>6</v>
      </c>
      <c r="K1009" s="6" t="str">
        <f>IFERROR(__xludf.DUMMYFUNCTION("""COMPUTED_VALUE"""),"marta.lozovyk@2hourlearning.com")</f>
        <v>marta.lozovyk@2hourlearning.com</v>
      </c>
      <c r="L1009" s="6" t="str">
        <f>IFERROR(__xludf.DUMMYFUNCTION("""COMPUTED_VALUE"""),"Learn and Earn Poland")</f>
        <v>Learn and Earn Poland</v>
      </c>
      <c r="M1009" s="6" t="str">
        <f>IFERROR(__xludf.DUMMYFUNCTION("""COMPUTED_VALUE"""),"")</f>
        <v/>
      </c>
      <c r="N1009" s="6" t="str">
        <f>IFERROR(__xludf.DUMMYFUNCTION("""COMPUTED_VALUE"""),"")</f>
        <v/>
      </c>
      <c r="O1009" s="87" t="str">
        <f>IFERROR(__xludf.DUMMYFUNCTION("""COMPUTED_VALUE"""),"https://drive.google.com/drive/folders/10T2cTQHqEJZqE-st6uFKPoI?usp=share_link")</f>
        <v>https://drive.google.com/drive/folders/10T2cTQHqEJZqE-st6uFKPoI?usp=share_link</v>
      </c>
      <c r="P1009" s="6" t="str">
        <f>IFERROR(__xludf.DUMMYFUNCTION("""COMPUTED_VALUE"""),"Marta Lozovyk")</f>
        <v>Marta Lozovyk</v>
      </c>
      <c r="Q1009" s="6" t="str">
        <f>IFERROR(__xludf.DUMMYFUNCTION("""COMPUTED_VALUE"""),"MS")</f>
        <v>MS</v>
      </c>
      <c r="R1009" s="6">
        <f>IFERROR(__xludf.DUMMYFUNCTION("""COMPUTED_VALUE"""),0.0)</f>
        <v>0</v>
      </c>
      <c r="S1009" s="6" t="str">
        <f>IFERROR(__xludf.DUMMYFUNCTION("""COMPUTED_VALUE""")," ")</f>
        <v> </v>
      </c>
      <c r="T1009" s="6" t="str">
        <f>IFERROR(__xludf.DUMMYFUNCTION("""COMPUTED_VALUE"""),"")</f>
        <v/>
      </c>
      <c r="U1009" s="6" t="str">
        <f>IFERROR(__xludf.DUMMYFUNCTION("""COMPUTED_VALUE"""),"6")</f>
        <v>6</v>
      </c>
      <c r="V1009" s="6" t="str">
        <f>IFERROR(__xludf.DUMMYFUNCTION("""COMPUTED_VALUE"""),"English")</f>
        <v>English</v>
      </c>
      <c r="W1009" s="6" t="str">
        <f>IFERROR(__xludf.DUMMYFUNCTION("""COMPUTED_VALUE"""),"[]")</f>
        <v>[]</v>
      </c>
      <c r="X1009" s="6" t="str">
        <f>IFERROR(__xludf.DUMMYFUNCTION("""COMPUTED_VALUE"""),"Enrolled")</f>
        <v>Enrolled</v>
      </c>
    </row>
    <row r="1010">
      <c r="A1010" s="6" t="str">
        <f>IFERROR(__xludf.DUMMYFUNCTION("""COMPUTED_VALUE"""),"009-1134")</f>
        <v>009-1134</v>
      </c>
      <c r="B1010" s="6" t="str">
        <f>IFERROR(__xludf.DUMMYFUNCTION("""COMPUTED_VALUE"""),"9")</f>
        <v>9</v>
      </c>
      <c r="C1010" s="6" t="str">
        <f>IFERROR(__xludf.DUMMYFUNCTION("""COMPUTED_VALUE"""),"1134")</f>
        <v>1134</v>
      </c>
      <c r="D1010" s="6" t="str">
        <f>IFERROR(__xludf.DUMMYFUNCTION("""COMPUTED_VALUE"""),"Valeriia")</f>
        <v>Valeriia</v>
      </c>
      <c r="E1010" s="6" t="str">
        <f>IFERROR(__xludf.DUMMYFUNCTION("""COMPUTED_VALUE"""),"")</f>
        <v/>
      </c>
      <c r="F1010" s="6" t="str">
        <f>IFERROR(__xludf.DUMMYFUNCTION("""COMPUTED_VALUE"""),"Charkovska")</f>
        <v>Charkovska</v>
      </c>
      <c r="G1010" s="6" t="str">
        <f>IFERROR(__xludf.DUMMYFUNCTION("""COMPUTED_VALUE"""),"01/01/2013")</f>
        <v>01/01/2013</v>
      </c>
      <c r="H1010" s="6" t="str">
        <f>IFERROR(__xludf.DUMMYFUNCTION("""COMPUTED_VALUE"""),"Self Identify")</f>
        <v>Self Identify</v>
      </c>
      <c r="I1010" s="6" t="str">
        <f>IFERROR(__xludf.DUMMYFUNCTION("""COMPUTED_VALUE"""),"Middle School")</f>
        <v>Middle School</v>
      </c>
      <c r="J1010" s="6" t="str">
        <f>IFERROR(__xludf.DUMMYFUNCTION("""COMPUTED_VALUE"""),"6")</f>
        <v>6</v>
      </c>
      <c r="K1010" s="6" t="str">
        <f>IFERROR(__xludf.DUMMYFUNCTION("""COMPUTED_VALUE"""),"valeriia.charkovska@2hourlearning.com")</f>
        <v>valeriia.charkovska@2hourlearning.com</v>
      </c>
      <c r="L1010" s="6" t="str">
        <f>IFERROR(__xludf.DUMMYFUNCTION("""COMPUTED_VALUE"""),"Learn and Earn Poland")</f>
        <v>Learn and Earn Poland</v>
      </c>
      <c r="M1010" s="6" t="str">
        <f>IFERROR(__xludf.DUMMYFUNCTION("""COMPUTED_VALUE"""),"")</f>
        <v/>
      </c>
      <c r="N1010" s="6" t="str">
        <f>IFERROR(__xludf.DUMMYFUNCTION("""COMPUTED_VALUE"""),"")</f>
        <v/>
      </c>
      <c r="O1010" s="87" t="str">
        <f>IFERROR(__xludf.DUMMYFUNCTION("""COMPUTED_VALUE"""),"https://drive.google.com/drive/folders/10T2cTQHqEJZqE-st6uFKPoI?usp=share_link")</f>
        <v>https://drive.google.com/drive/folders/10T2cTQHqEJZqE-st6uFKPoI?usp=share_link</v>
      </c>
      <c r="P1010" s="6" t="str">
        <f>IFERROR(__xludf.DUMMYFUNCTION("""COMPUTED_VALUE"""),"Valeriia Charkovska")</f>
        <v>Valeriia Charkovska</v>
      </c>
      <c r="Q1010" s="6" t="str">
        <f>IFERROR(__xludf.DUMMYFUNCTION("""COMPUTED_VALUE"""),"MS")</f>
        <v>MS</v>
      </c>
      <c r="R1010" s="6">
        <f>IFERROR(__xludf.DUMMYFUNCTION("""COMPUTED_VALUE"""),0.0)</f>
        <v>0</v>
      </c>
      <c r="S1010" s="6" t="str">
        <f>IFERROR(__xludf.DUMMYFUNCTION("""COMPUTED_VALUE""")," ")</f>
        <v> </v>
      </c>
      <c r="T1010" s="6" t="str">
        <f>IFERROR(__xludf.DUMMYFUNCTION("""COMPUTED_VALUE"""),"")</f>
        <v/>
      </c>
      <c r="U1010" s="6" t="str">
        <f>IFERROR(__xludf.DUMMYFUNCTION("""COMPUTED_VALUE"""),"6")</f>
        <v>6</v>
      </c>
      <c r="V1010" s="6" t="str">
        <f>IFERROR(__xludf.DUMMYFUNCTION("""COMPUTED_VALUE"""),"English")</f>
        <v>English</v>
      </c>
      <c r="W1010" s="6" t="str">
        <f>IFERROR(__xludf.DUMMYFUNCTION("""COMPUTED_VALUE"""),"[]")</f>
        <v>[]</v>
      </c>
      <c r="X1010" s="6" t="str">
        <f>IFERROR(__xludf.DUMMYFUNCTION("""COMPUTED_VALUE"""),"Enrolled")</f>
        <v>Enrolled</v>
      </c>
    </row>
    <row r="1011">
      <c r="A1011" s="6" t="str">
        <f>IFERROR(__xludf.DUMMYFUNCTION("""COMPUTED_VALUE"""),"009-1135")</f>
        <v>009-1135</v>
      </c>
      <c r="B1011" s="6" t="str">
        <f>IFERROR(__xludf.DUMMYFUNCTION("""COMPUTED_VALUE"""),"9")</f>
        <v>9</v>
      </c>
      <c r="C1011" s="6" t="str">
        <f>IFERROR(__xludf.DUMMYFUNCTION("""COMPUTED_VALUE"""),"1135")</f>
        <v>1135</v>
      </c>
      <c r="D1011" s="6" t="str">
        <f>IFERROR(__xludf.DUMMYFUNCTION("""COMPUTED_VALUE"""),"Tima")</f>
        <v>Tima</v>
      </c>
      <c r="E1011" s="6" t="str">
        <f>IFERROR(__xludf.DUMMYFUNCTION("""COMPUTED_VALUE"""),"")</f>
        <v/>
      </c>
      <c r="F1011" s="6" t="str">
        <f>IFERROR(__xludf.DUMMYFUNCTION("""COMPUTED_VALUE"""),"Myzuka")</f>
        <v>Myzuka</v>
      </c>
      <c r="G1011" s="6" t="str">
        <f>IFERROR(__xludf.DUMMYFUNCTION("""COMPUTED_VALUE"""),"01/01/2013")</f>
        <v>01/01/2013</v>
      </c>
      <c r="H1011" s="6" t="str">
        <f>IFERROR(__xludf.DUMMYFUNCTION("""COMPUTED_VALUE"""),"Self Identify")</f>
        <v>Self Identify</v>
      </c>
      <c r="I1011" s="6" t="str">
        <f>IFERROR(__xludf.DUMMYFUNCTION("""COMPUTED_VALUE"""),"Middle School")</f>
        <v>Middle School</v>
      </c>
      <c r="J1011" s="6" t="str">
        <f>IFERROR(__xludf.DUMMYFUNCTION("""COMPUTED_VALUE"""),"6")</f>
        <v>6</v>
      </c>
      <c r="K1011" s="6" t="str">
        <f>IFERROR(__xludf.DUMMYFUNCTION("""COMPUTED_VALUE"""),"tima.myzuka@2hourlearning.com")</f>
        <v>tima.myzuka@2hourlearning.com</v>
      </c>
      <c r="L1011" s="6" t="str">
        <f>IFERROR(__xludf.DUMMYFUNCTION("""COMPUTED_VALUE"""),"Learn and Earn Poland")</f>
        <v>Learn and Earn Poland</v>
      </c>
      <c r="M1011" s="6" t="str">
        <f>IFERROR(__xludf.DUMMYFUNCTION("""COMPUTED_VALUE"""),"")</f>
        <v/>
      </c>
      <c r="N1011" s="6" t="str">
        <f>IFERROR(__xludf.DUMMYFUNCTION("""COMPUTED_VALUE"""),"")</f>
        <v/>
      </c>
      <c r="O1011" s="87" t="str">
        <f>IFERROR(__xludf.DUMMYFUNCTION("""COMPUTED_VALUE"""),"https://drive.google.com/drive/folders/10T2cTQHqEJZqE-st6uFKPoI?usp=share_link")</f>
        <v>https://drive.google.com/drive/folders/10T2cTQHqEJZqE-st6uFKPoI?usp=share_link</v>
      </c>
      <c r="P1011" s="6" t="str">
        <f>IFERROR(__xludf.DUMMYFUNCTION("""COMPUTED_VALUE"""),"Tima Myzuka")</f>
        <v>Tima Myzuka</v>
      </c>
      <c r="Q1011" s="6" t="str">
        <f>IFERROR(__xludf.DUMMYFUNCTION("""COMPUTED_VALUE"""),"MS")</f>
        <v>MS</v>
      </c>
      <c r="R1011" s="6">
        <f>IFERROR(__xludf.DUMMYFUNCTION("""COMPUTED_VALUE"""),0.0)</f>
        <v>0</v>
      </c>
      <c r="S1011" s="6" t="str">
        <f>IFERROR(__xludf.DUMMYFUNCTION("""COMPUTED_VALUE""")," ")</f>
        <v> </v>
      </c>
      <c r="T1011" s="6" t="str">
        <f>IFERROR(__xludf.DUMMYFUNCTION("""COMPUTED_VALUE"""),"")</f>
        <v/>
      </c>
      <c r="U1011" s="6" t="str">
        <f>IFERROR(__xludf.DUMMYFUNCTION("""COMPUTED_VALUE"""),"6")</f>
        <v>6</v>
      </c>
      <c r="V1011" s="6" t="str">
        <f>IFERROR(__xludf.DUMMYFUNCTION("""COMPUTED_VALUE"""),"English")</f>
        <v>English</v>
      </c>
      <c r="W1011" s="6" t="str">
        <f>IFERROR(__xludf.DUMMYFUNCTION("""COMPUTED_VALUE"""),"[]")</f>
        <v>[]</v>
      </c>
      <c r="X1011" s="6" t="str">
        <f>IFERROR(__xludf.DUMMYFUNCTION("""COMPUTED_VALUE"""),"Enrolled")</f>
        <v>Enrolled</v>
      </c>
    </row>
    <row r="1012">
      <c r="A1012" s="6" t="str">
        <f>IFERROR(__xludf.DUMMYFUNCTION("""COMPUTED_VALUE"""),"009-1136")</f>
        <v>009-1136</v>
      </c>
      <c r="B1012" s="6" t="str">
        <f>IFERROR(__xludf.DUMMYFUNCTION("""COMPUTED_VALUE"""),"9")</f>
        <v>9</v>
      </c>
      <c r="C1012" s="6" t="str">
        <f>IFERROR(__xludf.DUMMYFUNCTION("""COMPUTED_VALUE"""),"1136")</f>
        <v>1136</v>
      </c>
      <c r="D1012" s="6" t="str">
        <f>IFERROR(__xludf.DUMMYFUNCTION("""COMPUTED_VALUE"""),"Bogdan")</f>
        <v>Bogdan</v>
      </c>
      <c r="E1012" s="6" t="str">
        <f>IFERROR(__xludf.DUMMYFUNCTION("""COMPUTED_VALUE"""),"")</f>
        <v/>
      </c>
      <c r="F1012" s="6" t="str">
        <f>IFERROR(__xludf.DUMMYFUNCTION("""COMPUTED_VALUE"""),"Frolov")</f>
        <v>Frolov</v>
      </c>
      <c r="G1012" s="6" t="str">
        <f>IFERROR(__xludf.DUMMYFUNCTION("""COMPUTED_VALUE"""),"01/01/2013")</f>
        <v>01/01/2013</v>
      </c>
      <c r="H1012" s="6" t="str">
        <f>IFERROR(__xludf.DUMMYFUNCTION("""COMPUTED_VALUE"""),"Self Identify")</f>
        <v>Self Identify</v>
      </c>
      <c r="I1012" s="6" t="str">
        <f>IFERROR(__xludf.DUMMYFUNCTION("""COMPUTED_VALUE"""),"Middle School")</f>
        <v>Middle School</v>
      </c>
      <c r="J1012" s="6" t="str">
        <f>IFERROR(__xludf.DUMMYFUNCTION("""COMPUTED_VALUE"""),"6")</f>
        <v>6</v>
      </c>
      <c r="K1012" s="6" t="str">
        <f>IFERROR(__xludf.DUMMYFUNCTION("""COMPUTED_VALUE"""),"bogdan.frolov@2hourlearning.com")</f>
        <v>bogdan.frolov@2hourlearning.com</v>
      </c>
      <c r="L1012" s="6" t="str">
        <f>IFERROR(__xludf.DUMMYFUNCTION("""COMPUTED_VALUE"""),"Learn and Earn Poland")</f>
        <v>Learn and Earn Poland</v>
      </c>
      <c r="M1012" s="6" t="str">
        <f>IFERROR(__xludf.DUMMYFUNCTION("""COMPUTED_VALUE"""),"")</f>
        <v/>
      </c>
      <c r="N1012" s="6" t="str">
        <f>IFERROR(__xludf.DUMMYFUNCTION("""COMPUTED_VALUE"""),"")</f>
        <v/>
      </c>
      <c r="O1012" s="87" t="str">
        <f>IFERROR(__xludf.DUMMYFUNCTION("""COMPUTED_VALUE"""),"https://drive.google.com/drive/folders/10T2cTQHqEJZqE-st6uFKPoI?usp=share_link")</f>
        <v>https://drive.google.com/drive/folders/10T2cTQHqEJZqE-st6uFKPoI?usp=share_link</v>
      </c>
      <c r="P1012" s="6" t="str">
        <f>IFERROR(__xludf.DUMMYFUNCTION("""COMPUTED_VALUE"""),"Bogdan Frolov")</f>
        <v>Bogdan Frolov</v>
      </c>
      <c r="Q1012" s="6" t="str">
        <f>IFERROR(__xludf.DUMMYFUNCTION("""COMPUTED_VALUE"""),"MS")</f>
        <v>MS</v>
      </c>
      <c r="R1012" s="6">
        <f>IFERROR(__xludf.DUMMYFUNCTION("""COMPUTED_VALUE"""),0.0)</f>
        <v>0</v>
      </c>
      <c r="S1012" s="6" t="str">
        <f>IFERROR(__xludf.DUMMYFUNCTION("""COMPUTED_VALUE""")," ")</f>
        <v> </v>
      </c>
      <c r="T1012" s="6" t="str">
        <f>IFERROR(__xludf.DUMMYFUNCTION("""COMPUTED_VALUE"""),"")</f>
        <v/>
      </c>
      <c r="U1012" s="6" t="str">
        <f>IFERROR(__xludf.DUMMYFUNCTION("""COMPUTED_VALUE"""),"6")</f>
        <v>6</v>
      </c>
      <c r="V1012" s="6" t="str">
        <f>IFERROR(__xludf.DUMMYFUNCTION("""COMPUTED_VALUE"""),"English")</f>
        <v>English</v>
      </c>
      <c r="W1012" s="6" t="str">
        <f>IFERROR(__xludf.DUMMYFUNCTION("""COMPUTED_VALUE"""),"[]")</f>
        <v>[]</v>
      </c>
      <c r="X1012" s="6" t="str">
        <f>IFERROR(__xludf.DUMMYFUNCTION("""COMPUTED_VALUE"""),"Enrolled")</f>
        <v>Enrolled</v>
      </c>
    </row>
    <row r="1013">
      <c r="A1013" s="6" t="str">
        <f>IFERROR(__xludf.DUMMYFUNCTION("""COMPUTED_VALUE"""),"009-1137")</f>
        <v>009-1137</v>
      </c>
      <c r="B1013" s="6" t="str">
        <f>IFERROR(__xludf.DUMMYFUNCTION("""COMPUTED_VALUE"""),"9")</f>
        <v>9</v>
      </c>
      <c r="C1013" s="6" t="str">
        <f>IFERROR(__xludf.DUMMYFUNCTION("""COMPUTED_VALUE"""),"1137")</f>
        <v>1137</v>
      </c>
      <c r="D1013" s="6" t="str">
        <f>IFERROR(__xludf.DUMMYFUNCTION("""COMPUTED_VALUE"""),"Poliakova")</f>
        <v>Poliakova</v>
      </c>
      <c r="E1013" s="6" t="str">
        <f>IFERROR(__xludf.DUMMYFUNCTION("""COMPUTED_VALUE"""),"")</f>
        <v/>
      </c>
      <c r="F1013" s="6" t="str">
        <f>IFERROR(__xludf.DUMMYFUNCTION("""COMPUTED_VALUE"""),"Anna")</f>
        <v>Anna</v>
      </c>
      <c r="G1013" s="6" t="str">
        <f>IFERROR(__xludf.DUMMYFUNCTION("""COMPUTED_VALUE"""),"01/01/2013")</f>
        <v>01/01/2013</v>
      </c>
      <c r="H1013" s="6" t="str">
        <f>IFERROR(__xludf.DUMMYFUNCTION("""COMPUTED_VALUE"""),"Self Identify")</f>
        <v>Self Identify</v>
      </c>
      <c r="I1013" s="6" t="str">
        <f>IFERROR(__xludf.DUMMYFUNCTION("""COMPUTED_VALUE"""),"Middle School")</f>
        <v>Middle School</v>
      </c>
      <c r="J1013" s="6" t="str">
        <f>IFERROR(__xludf.DUMMYFUNCTION("""COMPUTED_VALUE"""),"6")</f>
        <v>6</v>
      </c>
      <c r="K1013" s="6" t="str">
        <f>IFERROR(__xludf.DUMMYFUNCTION("""COMPUTED_VALUE"""),"poliakova.anna@2hourlearning.com")</f>
        <v>poliakova.anna@2hourlearning.com</v>
      </c>
      <c r="L1013" s="6" t="str">
        <f>IFERROR(__xludf.DUMMYFUNCTION("""COMPUTED_VALUE"""),"Learn and Earn Poland")</f>
        <v>Learn and Earn Poland</v>
      </c>
      <c r="M1013" s="6" t="str">
        <f>IFERROR(__xludf.DUMMYFUNCTION("""COMPUTED_VALUE"""),"")</f>
        <v/>
      </c>
      <c r="N1013" s="6" t="str">
        <f>IFERROR(__xludf.DUMMYFUNCTION("""COMPUTED_VALUE"""),"")</f>
        <v/>
      </c>
      <c r="O1013" s="87" t="str">
        <f>IFERROR(__xludf.DUMMYFUNCTION("""COMPUTED_VALUE"""),"https://drive.google.com/drive/folders/10T2cTQHqEJZqE-st6uFKPoI?usp=share_link")</f>
        <v>https://drive.google.com/drive/folders/10T2cTQHqEJZqE-st6uFKPoI?usp=share_link</v>
      </c>
      <c r="P1013" s="6" t="str">
        <f>IFERROR(__xludf.DUMMYFUNCTION("""COMPUTED_VALUE"""),"Poliakova Anna")</f>
        <v>Poliakova Anna</v>
      </c>
      <c r="Q1013" s="6" t="str">
        <f>IFERROR(__xludf.DUMMYFUNCTION("""COMPUTED_VALUE"""),"MS")</f>
        <v>MS</v>
      </c>
      <c r="R1013" s="6">
        <f>IFERROR(__xludf.DUMMYFUNCTION("""COMPUTED_VALUE"""),0.0)</f>
        <v>0</v>
      </c>
      <c r="S1013" s="6" t="str">
        <f>IFERROR(__xludf.DUMMYFUNCTION("""COMPUTED_VALUE""")," ")</f>
        <v> </v>
      </c>
      <c r="T1013" s="6" t="str">
        <f>IFERROR(__xludf.DUMMYFUNCTION("""COMPUTED_VALUE"""),"")</f>
        <v/>
      </c>
      <c r="U1013" s="6" t="str">
        <f>IFERROR(__xludf.DUMMYFUNCTION("""COMPUTED_VALUE"""),"6")</f>
        <v>6</v>
      </c>
      <c r="V1013" s="6" t="str">
        <f>IFERROR(__xludf.DUMMYFUNCTION("""COMPUTED_VALUE"""),"English")</f>
        <v>English</v>
      </c>
      <c r="W1013" s="6" t="str">
        <f>IFERROR(__xludf.DUMMYFUNCTION("""COMPUTED_VALUE"""),"[]")</f>
        <v>[]</v>
      </c>
      <c r="X1013" s="6" t="str">
        <f>IFERROR(__xludf.DUMMYFUNCTION("""COMPUTED_VALUE"""),"Enrolled")</f>
        <v>Enrolled</v>
      </c>
    </row>
    <row r="1014">
      <c r="A1014" s="6" t="str">
        <f>IFERROR(__xludf.DUMMYFUNCTION("""COMPUTED_VALUE"""),"009-1138")</f>
        <v>009-1138</v>
      </c>
      <c r="B1014" s="6" t="str">
        <f>IFERROR(__xludf.DUMMYFUNCTION("""COMPUTED_VALUE"""),"9")</f>
        <v>9</v>
      </c>
      <c r="C1014" s="6" t="str">
        <f>IFERROR(__xludf.DUMMYFUNCTION("""COMPUTED_VALUE"""),"1138")</f>
        <v>1138</v>
      </c>
      <c r="D1014" s="6" t="str">
        <f>IFERROR(__xludf.DUMMYFUNCTION("""COMPUTED_VALUE"""),"Ivan")</f>
        <v>Ivan</v>
      </c>
      <c r="E1014" s="6" t="str">
        <f>IFERROR(__xludf.DUMMYFUNCTION("""COMPUTED_VALUE"""),"")</f>
        <v/>
      </c>
      <c r="F1014" s="6" t="str">
        <f>IFERROR(__xludf.DUMMYFUNCTION("""COMPUTED_VALUE"""),"Deineko")</f>
        <v>Deineko</v>
      </c>
      <c r="G1014" s="6" t="str">
        <f>IFERROR(__xludf.DUMMYFUNCTION("""COMPUTED_VALUE"""),"01/01/2013")</f>
        <v>01/01/2013</v>
      </c>
      <c r="H1014" s="6" t="str">
        <f>IFERROR(__xludf.DUMMYFUNCTION("""COMPUTED_VALUE"""),"Self Identify")</f>
        <v>Self Identify</v>
      </c>
      <c r="I1014" s="6" t="str">
        <f>IFERROR(__xludf.DUMMYFUNCTION("""COMPUTED_VALUE"""),"Middle School")</f>
        <v>Middle School</v>
      </c>
      <c r="J1014" s="6" t="str">
        <f>IFERROR(__xludf.DUMMYFUNCTION("""COMPUTED_VALUE"""),"6")</f>
        <v>6</v>
      </c>
      <c r="K1014" s="6" t="str">
        <f>IFERROR(__xludf.DUMMYFUNCTION("""COMPUTED_VALUE"""),"ivan.deineko@2hourlearning.com")</f>
        <v>ivan.deineko@2hourlearning.com</v>
      </c>
      <c r="L1014" s="6" t="str">
        <f>IFERROR(__xludf.DUMMYFUNCTION("""COMPUTED_VALUE"""),"Learn and Earn Poland")</f>
        <v>Learn and Earn Poland</v>
      </c>
      <c r="M1014" s="6" t="str">
        <f>IFERROR(__xludf.DUMMYFUNCTION("""COMPUTED_VALUE"""),"")</f>
        <v/>
      </c>
      <c r="N1014" s="6" t="str">
        <f>IFERROR(__xludf.DUMMYFUNCTION("""COMPUTED_VALUE"""),"")</f>
        <v/>
      </c>
      <c r="O1014" s="87" t="str">
        <f>IFERROR(__xludf.DUMMYFUNCTION("""COMPUTED_VALUE"""),"https://drive.google.com/drive/folders/10T2cTQHqEJZqE-st6uFKPoI?usp=share_link")</f>
        <v>https://drive.google.com/drive/folders/10T2cTQHqEJZqE-st6uFKPoI?usp=share_link</v>
      </c>
      <c r="P1014" s="6" t="str">
        <f>IFERROR(__xludf.DUMMYFUNCTION("""COMPUTED_VALUE"""),"Ivan Deineko")</f>
        <v>Ivan Deineko</v>
      </c>
      <c r="Q1014" s="6" t="str">
        <f>IFERROR(__xludf.DUMMYFUNCTION("""COMPUTED_VALUE"""),"MS")</f>
        <v>MS</v>
      </c>
      <c r="R1014" s="6">
        <f>IFERROR(__xludf.DUMMYFUNCTION("""COMPUTED_VALUE"""),0.0)</f>
        <v>0</v>
      </c>
      <c r="S1014" s="6" t="str">
        <f>IFERROR(__xludf.DUMMYFUNCTION("""COMPUTED_VALUE""")," ")</f>
        <v> </v>
      </c>
      <c r="T1014" s="6" t="str">
        <f>IFERROR(__xludf.DUMMYFUNCTION("""COMPUTED_VALUE"""),"")</f>
        <v/>
      </c>
      <c r="U1014" s="6" t="str">
        <f>IFERROR(__xludf.DUMMYFUNCTION("""COMPUTED_VALUE"""),"6")</f>
        <v>6</v>
      </c>
      <c r="V1014" s="6" t="str">
        <f>IFERROR(__xludf.DUMMYFUNCTION("""COMPUTED_VALUE"""),"English")</f>
        <v>English</v>
      </c>
      <c r="W1014" s="6" t="str">
        <f>IFERROR(__xludf.DUMMYFUNCTION("""COMPUTED_VALUE"""),"[]")</f>
        <v>[]</v>
      </c>
      <c r="X1014" s="6" t="str">
        <f>IFERROR(__xludf.DUMMYFUNCTION("""COMPUTED_VALUE"""),"Enrolled")</f>
        <v>Enrolled</v>
      </c>
    </row>
    <row r="1015">
      <c r="A1015" s="6" t="str">
        <f>IFERROR(__xludf.DUMMYFUNCTION("""COMPUTED_VALUE"""),"009-1139")</f>
        <v>009-1139</v>
      </c>
      <c r="B1015" s="6" t="str">
        <f>IFERROR(__xludf.DUMMYFUNCTION("""COMPUTED_VALUE"""),"9")</f>
        <v>9</v>
      </c>
      <c r="C1015" s="6" t="str">
        <f>IFERROR(__xludf.DUMMYFUNCTION("""COMPUTED_VALUE"""),"1139")</f>
        <v>1139</v>
      </c>
      <c r="D1015" s="6" t="str">
        <f>IFERROR(__xludf.DUMMYFUNCTION("""COMPUTED_VALUE"""),"Chelovska")</f>
        <v>Chelovska</v>
      </c>
      <c r="E1015" s="6" t="str">
        <f>IFERROR(__xludf.DUMMYFUNCTION("""COMPUTED_VALUE"""),"")</f>
        <v/>
      </c>
      <c r="F1015" s="6" t="str">
        <f>IFERROR(__xludf.DUMMYFUNCTION("""COMPUTED_VALUE"""),"Anna")</f>
        <v>Anna</v>
      </c>
      <c r="G1015" s="6" t="str">
        <f>IFERROR(__xludf.DUMMYFUNCTION("""COMPUTED_VALUE"""),"01/01/2013")</f>
        <v>01/01/2013</v>
      </c>
      <c r="H1015" s="6" t="str">
        <f>IFERROR(__xludf.DUMMYFUNCTION("""COMPUTED_VALUE"""),"Self Identify")</f>
        <v>Self Identify</v>
      </c>
      <c r="I1015" s="6" t="str">
        <f>IFERROR(__xludf.DUMMYFUNCTION("""COMPUTED_VALUE"""),"Middle School")</f>
        <v>Middle School</v>
      </c>
      <c r="J1015" s="6" t="str">
        <f>IFERROR(__xludf.DUMMYFUNCTION("""COMPUTED_VALUE"""),"6")</f>
        <v>6</v>
      </c>
      <c r="K1015" s="6" t="str">
        <f>IFERROR(__xludf.DUMMYFUNCTION("""COMPUTED_VALUE"""),"chelovska.anna@2hourlearning.com")</f>
        <v>chelovska.anna@2hourlearning.com</v>
      </c>
      <c r="L1015" s="6" t="str">
        <f>IFERROR(__xludf.DUMMYFUNCTION("""COMPUTED_VALUE"""),"Learn and Earn Poland")</f>
        <v>Learn and Earn Poland</v>
      </c>
      <c r="M1015" s="6" t="str">
        <f>IFERROR(__xludf.DUMMYFUNCTION("""COMPUTED_VALUE"""),"")</f>
        <v/>
      </c>
      <c r="N1015" s="6" t="str">
        <f>IFERROR(__xludf.DUMMYFUNCTION("""COMPUTED_VALUE"""),"")</f>
        <v/>
      </c>
      <c r="O1015" s="87" t="str">
        <f>IFERROR(__xludf.DUMMYFUNCTION("""COMPUTED_VALUE"""),"https://drive.google.com/drive/folders/10T2cTQHqEJZqE-st6uFKPoI?usp=share_link")</f>
        <v>https://drive.google.com/drive/folders/10T2cTQHqEJZqE-st6uFKPoI?usp=share_link</v>
      </c>
      <c r="P1015" s="6" t="str">
        <f>IFERROR(__xludf.DUMMYFUNCTION("""COMPUTED_VALUE"""),"Chelovska Anna")</f>
        <v>Chelovska Anna</v>
      </c>
      <c r="Q1015" s="6" t="str">
        <f>IFERROR(__xludf.DUMMYFUNCTION("""COMPUTED_VALUE"""),"MS")</f>
        <v>MS</v>
      </c>
      <c r="R1015" s="6">
        <f>IFERROR(__xludf.DUMMYFUNCTION("""COMPUTED_VALUE"""),0.0)</f>
        <v>0</v>
      </c>
      <c r="S1015" s="6" t="str">
        <f>IFERROR(__xludf.DUMMYFUNCTION("""COMPUTED_VALUE""")," ")</f>
        <v> </v>
      </c>
      <c r="T1015" s="6" t="str">
        <f>IFERROR(__xludf.DUMMYFUNCTION("""COMPUTED_VALUE"""),"")</f>
        <v/>
      </c>
      <c r="U1015" s="6" t="str">
        <f>IFERROR(__xludf.DUMMYFUNCTION("""COMPUTED_VALUE"""),"6")</f>
        <v>6</v>
      </c>
      <c r="V1015" s="6" t="str">
        <f>IFERROR(__xludf.DUMMYFUNCTION("""COMPUTED_VALUE"""),"English")</f>
        <v>English</v>
      </c>
      <c r="W1015" s="6" t="str">
        <f>IFERROR(__xludf.DUMMYFUNCTION("""COMPUTED_VALUE"""),"[]")</f>
        <v>[]</v>
      </c>
      <c r="X1015" s="6" t="str">
        <f>IFERROR(__xludf.DUMMYFUNCTION("""COMPUTED_VALUE"""),"Enrolled")</f>
        <v>Enrolled</v>
      </c>
    </row>
    <row r="1016">
      <c r="A1016" s="6" t="str">
        <f>IFERROR(__xludf.DUMMYFUNCTION("""COMPUTED_VALUE"""),"009-1140")</f>
        <v>009-1140</v>
      </c>
      <c r="B1016" s="6" t="str">
        <f>IFERROR(__xludf.DUMMYFUNCTION("""COMPUTED_VALUE"""),"9")</f>
        <v>9</v>
      </c>
      <c r="C1016" s="6" t="str">
        <f>IFERROR(__xludf.DUMMYFUNCTION("""COMPUTED_VALUE"""),"1140")</f>
        <v>1140</v>
      </c>
      <c r="D1016" s="6" t="str">
        <f>IFERROR(__xludf.DUMMYFUNCTION("""COMPUTED_VALUE"""),"Hakalo")</f>
        <v>Hakalo</v>
      </c>
      <c r="E1016" s="6" t="str">
        <f>IFERROR(__xludf.DUMMYFUNCTION("""COMPUTED_VALUE"""),"")</f>
        <v/>
      </c>
      <c r="F1016" s="6" t="str">
        <f>IFERROR(__xludf.DUMMYFUNCTION("""COMPUTED_VALUE"""),"Yevhen")</f>
        <v>Yevhen</v>
      </c>
      <c r="G1016" s="6" t="str">
        <f>IFERROR(__xludf.DUMMYFUNCTION("""COMPUTED_VALUE"""),"01/01/2012")</f>
        <v>01/01/2012</v>
      </c>
      <c r="H1016" s="6" t="str">
        <f>IFERROR(__xludf.DUMMYFUNCTION("""COMPUTED_VALUE"""),"Self Identify")</f>
        <v>Self Identify</v>
      </c>
      <c r="I1016" s="6" t="str">
        <f>IFERROR(__xludf.DUMMYFUNCTION("""COMPUTED_VALUE"""),"Middle School")</f>
        <v>Middle School</v>
      </c>
      <c r="J1016" s="6" t="str">
        <f>IFERROR(__xludf.DUMMYFUNCTION("""COMPUTED_VALUE"""),"7")</f>
        <v>7</v>
      </c>
      <c r="K1016" s="6" t="str">
        <f>IFERROR(__xludf.DUMMYFUNCTION("""COMPUTED_VALUE"""),"hakalo.yevhen@2hourlearning.com")</f>
        <v>hakalo.yevhen@2hourlearning.com</v>
      </c>
      <c r="L1016" s="6" t="str">
        <f>IFERROR(__xludf.DUMMYFUNCTION("""COMPUTED_VALUE"""),"Learn and Earn Poland")</f>
        <v>Learn and Earn Poland</v>
      </c>
      <c r="M1016" s="6" t="str">
        <f>IFERROR(__xludf.DUMMYFUNCTION("""COMPUTED_VALUE"""),"")</f>
        <v/>
      </c>
      <c r="N1016" s="6" t="str">
        <f>IFERROR(__xludf.DUMMYFUNCTION("""COMPUTED_VALUE"""),"")</f>
        <v/>
      </c>
      <c r="O1016" s="87" t="str">
        <f>IFERROR(__xludf.DUMMYFUNCTION("""COMPUTED_VALUE"""),"https://drive.google.com/drive/folders/10T2cTQHqEJZqE-st6uFKPoI?usp=share_link")</f>
        <v>https://drive.google.com/drive/folders/10T2cTQHqEJZqE-st6uFKPoI?usp=share_link</v>
      </c>
      <c r="P1016" s="6" t="str">
        <f>IFERROR(__xludf.DUMMYFUNCTION("""COMPUTED_VALUE"""),"Hakalo Yevhen")</f>
        <v>Hakalo Yevhen</v>
      </c>
      <c r="Q1016" s="6" t="str">
        <f>IFERROR(__xludf.DUMMYFUNCTION("""COMPUTED_VALUE"""),"MS")</f>
        <v>MS</v>
      </c>
      <c r="R1016" s="6">
        <f>IFERROR(__xludf.DUMMYFUNCTION("""COMPUTED_VALUE"""),0.0)</f>
        <v>0</v>
      </c>
      <c r="S1016" s="6" t="str">
        <f>IFERROR(__xludf.DUMMYFUNCTION("""COMPUTED_VALUE""")," ")</f>
        <v> </v>
      </c>
      <c r="T1016" s="6" t="str">
        <f>IFERROR(__xludf.DUMMYFUNCTION("""COMPUTED_VALUE"""),"")</f>
        <v/>
      </c>
      <c r="U1016" s="6" t="str">
        <f>IFERROR(__xludf.DUMMYFUNCTION("""COMPUTED_VALUE"""),"7")</f>
        <v>7</v>
      </c>
      <c r="V1016" s="6" t="str">
        <f>IFERROR(__xludf.DUMMYFUNCTION("""COMPUTED_VALUE"""),"English")</f>
        <v>English</v>
      </c>
      <c r="W1016" s="6" t="str">
        <f>IFERROR(__xludf.DUMMYFUNCTION("""COMPUTED_VALUE"""),"[]")</f>
        <v>[]</v>
      </c>
      <c r="X1016" s="6" t="str">
        <f>IFERROR(__xludf.DUMMYFUNCTION("""COMPUTED_VALUE"""),"Enrolled")</f>
        <v>Enrolled</v>
      </c>
    </row>
    <row r="1017">
      <c r="A1017" s="6" t="str">
        <f>IFERROR(__xludf.DUMMYFUNCTION("""COMPUTED_VALUE"""),"009-1141")</f>
        <v>009-1141</v>
      </c>
      <c r="B1017" s="6" t="str">
        <f>IFERROR(__xludf.DUMMYFUNCTION("""COMPUTED_VALUE"""),"9")</f>
        <v>9</v>
      </c>
      <c r="C1017" s="6" t="str">
        <f>IFERROR(__xludf.DUMMYFUNCTION("""COMPUTED_VALUE"""),"1141")</f>
        <v>1141</v>
      </c>
      <c r="D1017" s="6" t="str">
        <f>IFERROR(__xludf.DUMMYFUNCTION("""COMPUTED_VALUE"""),"Chirpak")</f>
        <v>Chirpak</v>
      </c>
      <c r="E1017" s="6" t="str">
        <f>IFERROR(__xludf.DUMMYFUNCTION("""COMPUTED_VALUE"""),"")</f>
        <v/>
      </c>
      <c r="F1017" s="6" t="str">
        <f>IFERROR(__xludf.DUMMYFUNCTION("""COMPUTED_VALUE"""),"Kristof")</f>
        <v>Kristof</v>
      </c>
      <c r="G1017" s="6" t="str">
        <f>IFERROR(__xludf.DUMMYFUNCTION("""COMPUTED_VALUE"""),"01/01/2012")</f>
        <v>01/01/2012</v>
      </c>
      <c r="H1017" s="6" t="str">
        <f>IFERROR(__xludf.DUMMYFUNCTION("""COMPUTED_VALUE"""),"Self Identify")</f>
        <v>Self Identify</v>
      </c>
      <c r="I1017" s="6" t="str">
        <f>IFERROR(__xludf.DUMMYFUNCTION("""COMPUTED_VALUE"""),"Middle School")</f>
        <v>Middle School</v>
      </c>
      <c r="J1017" s="6" t="str">
        <f>IFERROR(__xludf.DUMMYFUNCTION("""COMPUTED_VALUE"""),"7")</f>
        <v>7</v>
      </c>
      <c r="K1017" s="6" t="str">
        <f>IFERROR(__xludf.DUMMYFUNCTION("""COMPUTED_VALUE"""),"chirpak.kristof@2hourlearning.com")</f>
        <v>chirpak.kristof@2hourlearning.com</v>
      </c>
      <c r="L1017" s="6" t="str">
        <f>IFERROR(__xludf.DUMMYFUNCTION("""COMPUTED_VALUE"""),"Learn and Earn Poland")</f>
        <v>Learn and Earn Poland</v>
      </c>
      <c r="M1017" s="6" t="str">
        <f>IFERROR(__xludf.DUMMYFUNCTION("""COMPUTED_VALUE"""),"")</f>
        <v/>
      </c>
      <c r="N1017" s="6" t="str">
        <f>IFERROR(__xludf.DUMMYFUNCTION("""COMPUTED_VALUE"""),"")</f>
        <v/>
      </c>
      <c r="O1017" s="87" t="str">
        <f>IFERROR(__xludf.DUMMYFUNCTION("""COMPUTED_VALUE"""),"https://drive.google.com/drive/folders/10T2cTQHqEJZqE-st6uFKPoI?usp=share_link")</f>
        <v>https://drive.google.com/drive/folders/10T2cTQHqEJZqE-st6uFKPoI?usp=share_link</v>
      </c>
      <c r="P1017" s="6" t="str">
        <f>IFERROR(__xludf.DUMMYFUNCTION("""COMPUTED_VALUE"""),"Chirpak Kristof")</f>
        <v>Chirpak Kristof</v>
      </c>
      <c r="Q1017" s="6" t="str">
        <f>IFERROR(__xludf.DUMMYFUNCTION("""COMPUTED_VALUE"""),"MS")</f>
        <v>MS</v>
      </c>
      <c r="R1017" s="6">
        <f>IFERROR(__xludf.DUMMYFUNCTION("""COMPUTED_VALUE"""),0.0)</f>
        <v>0</v>
      </c>
      <c r="S1017" s="6" t="str">
        <f>IFERROR(__xludf.DUMMYFUNCTION("""COMPUTED_VALUE""")," ")</f>
        <v> </v>
      </c>
      <c r="T1017" s="6" t="str">
        <f>IFERROR(__xludf.DUMMYFUNCTION("""COMPUTED_VALUE"""),"")</f>
        <v/>
      </c>
      <c r="U1017" s="6" t="str">
        <f>IFERROR(__xludf.DUMMYFUNCTION("""COMPUTED_VALUE"""),"7")</f>
        <v>7</v>
      </c>
      <c r="V1017" s="6" t="str">
        <f>IFERROR(__xludf.DUMMYFUNCTION("""COMPUTED_VALUE"""),"English")</f>
        <v>English</v>
      </c>
      <c r="W1017" s="6" t="str">
        <f>IFERROR(__xludf.DUMMYFUNCTION("""COMPUTED_VALUE"""),"[]")</f>
        <v>[]</v>
      </c>
      <c r="X1017" s="6" t="str">
        <f>IFERROR(__xludf.DUMMYFUNCTION("""COMPUTED_VALUE"""),"Enrolled")</f>
        <v>Enrolled</v>
      </c>
    </row>
    <row r="1018">
      <c r="A1018" s="6" t="str">
        <f>IFERROR(__xludf.DUMMYFUNCTION("""COMPUTED_VALUE"""),"009-1142")</f>
        <v>009-1142</v>
      </c>
      <c r="B1018" s="6" t="str">
        <f>IFERROR(__xludf.DUMMYFUNCTION("""COMPUTED_VALUE"""),"9")</f>
        <v>9</v>
      </c>
      <c r="C1018" s="6" t="str">
        <f>IFERROR(__xludf.DUMMYFUNCTION("""COMPUTED_VALUE"""),"1142")</f>
        <v>1142</v>
      </c>
      <c r="D1018" s="6" t="str">
        <f>IFERROR(__xludf.DUMMYFUNCTION("""COMPUTED_VALUE"""),"Berkovskyi")</f>
        <v>Berkovskyi</v>
      </c>
      <c r="E1018" s="6" t="str">
        <f>IFERROR(__xludf.DUMMYFUNCTION("""COMPUTED_VALUE"""),"")</f>
        <v/>
      </c>
      <c r="F1018" s="6" t="str">
        <f>IFERROR(__xludf.DUMMYFUNCTION("""COMPUTED_VALUE"""),"Artem")</f>
        <v>Artem</v>
      </c>
      <c r="G1018" s="6" t="str">
        <f>IFERROR(__xludf.DUMMYFUNCTION("""COMPUTED_VALUE"""),"01/01/2012")</f>
        <v>01/01/2012</v>
      </c>
      <c r="H1018" s="6" t="str">
        <f>IFERROR(__xludf.DUMMYFUNCTION("""COMPUTED_VALUE"""),"Self Identify")</f>
        <v>Self Identify</v>
      </c>
      <c r="I1018" s="6" t="str">
        <f>IFERROR(__xludf.DUMMYFUNCTION("""COMPUTED_VALUE"""),"Middle School")</f>
        <v>Middle School</v>
      </c>
      <c r="J1018" s="6" t="str">
        <f>IFERROR(__xludf.DUMMYFUNCTION("""COMPUTED_VALUE"""),"7")</f>
        <v>7</v>
      </c>
      <c r="K1018" s="6" t="str">
        <f>IFERROR(__xludf.DUMMYFUNCTION("""COMPUTED_VALUE"""),"berkovskyi.artem@2hourlearning.com")</f>
        <v>berkovskyi.artem@2hourlearning.com</v>
      </c>
      <c r="L1018" s="6" t="str">
        <f>IFERROR(__xludf.DUMMYFUNCTION("""COMPUTED_VALUE"""),"Learn and Earn Poland")</f>
        <v>Learn and Earn Poland</v>
      </c>
      <c r="M1018" s="6" t="str">
        <f>IFERROR(__xludf.DUMMYFUNCTION("""COMPUTED_VALUE"""),"")</f>
        <v/>
      </c>
      <c r="N1018" s="6" t="str">
        <f>IFERROR(__xludf.DUMMYFUNCTION("""COMPUTED_VALUE"""),"")</f>
        <v/>
      </c>
      <c r="O1018" s="87" t="str">
        <f>IFERROR(__xludf.DUMMYFUNCTION("""COMPUTED_VALUE"""),"https://drive.google.com/drive/folders/10T2cTQHqEJZqE-st6uFKPoI?usp=share_link")</f>
        <v>https://drive.google.com/drive/folders/10T2cTQHqEJZqE-st6uFKPoI?usp=share_link</v>
      </c>
      <c r="P1018" s="6" t="str">
        <f>IFERROR(__xludf.DUMMYFUNCTION("""COMPUTED_VALUE"""),"Berkovskyi Artem")</f>
        <v>Berkovskyi Artem</v>
      </c>
      <c r="Q1018" s="6" t="str">
        <f>IFERROR(__xludf.DUMMYFUNCTION("""COMPUTED_VALUE"""),"MS")</f>
        <v>MS</v>
      </c>
      <c r="R1018" s="6">
        <f>IFERROR(__xludf.DUMMYFUNCTION("""COMPUTED_VALUE"""),0.0)</f>
        <v>0</v>
      </c>
      <c r="S1018" s="6" t="str">
        <f>IFERROR(__xludf.DUMMYFUNCTION("""COMPUTED_VALUE""")," ")</f>
        <v> </v>
      </c>
      <c r="T1018" s="6" t="str">
        <f>IFERROR(__xludf.DUMMYFUNCTION("""COMPUTED_VALUE"""),"")</f>
        <v/>
      </c>
      <c r="U1018" s="6" t="str">
        <f>IFERROR(__xludf.DUMMYFUNCTION("""COMPUTED_VALUE"""),"7")</f>
        <v>7</v>
      </c>
      <c r="V1018" s="6" t="str">
        <f>IFERROR(__xludf.DUMMYFUNCTION("""COMPUTED_VALUE"""),"English")</f>
        <v>English</v>
      </c>
      <c r="W1018" s="6" t="str">
        <f>IFERROR(__xludf.DUMMYFUNCTION("""COMPUTED_VALUE"""),"[]")</f>
        <v>[]</v>
      </c>
      <c r="X1018" s="6" t="str">
        <f>IFERROR(__xludf.DUMMYFUNCTION("""COMPUTED_VALUE"""),"Enrolled")</f>
        <v>Enrolled</v>
      </c>
    </row>
    <row r="1019">
      <c r="A1019" s="6" t="str">
        <f>IFERROR(__xludf.DUMMYFUNCTION("""COMPUTED_VALUE"""),"009-1143")</f>
        <v>009-1143</v>
      </c>
      <c r="B1019" s="6" t="str">
        <f>IFERROR(__xludf.DUMMYFUNCTION("""COMPUTED_VALUE"""),"9")</f>
        <v>9</v>
      </c>
      <c r="C1019" s="6" t="str">
        <f>IFERROR(__xludf.DUMMYFUNCTION("""COMPUTED_VALUE"""),"1143")</f>
        <v>1143</v>
      </c>
      <c r="D1019" s="6" t="str">
        <f>IFERROR(__xludf.DUMMYFUNCTION("""COMPUTED_VALUE"""),"Arina")</f>
        <v>Arina</v>
      </c>
      <c r="E1019" s="6" t="str">
        <f>IFERROR(__xludf.DUMMYFUNCTION("""COMPUTED_VALUE"""),"")</f>
        <v/>
      </c>
      <c r="F1019" s="6" t="str">
        <f>IFERROR(__xludf.DUMMYFUNCTION("""COMPUTED_VALUE"""),"Zabolotna")</f>
        <v>Zabolotna</v>
      </c>
      <c r="G1019" s="6" t="str">
        <f>IFERROR(__xludf.DUMMYFUNCTION("""COMPUTED_VALUE"""),"01/01/2012")</f>
        <v>01/01/2012</v>
      </c>
      <c r="H1019" s="6" t="str">
        <f>IFERROR(__xludf.DUMMYFUNCTION("""COMPUTED_VALUE"""),"Self Identify")</f>
        <v>Self Identify</v>
      </c>
      <c r="I1019" s="6" t="str">
        <f>IFERROR(__xludf.DUMMYFUNCTION("""COMPUTED_VALUE"""),"Middle School")</f>
        <v>Middle School</v>
      </c>
      <c r="J1019" s="6" t="str">
        <f>IFERROR(__xludf.DUMMYFUNCTION("""COMPUTED_VALUE"""),"7")</f>
        <v>7</v>
      </c>
      <c r="K1019" s="6" t="str">
        <f>IFERROR(__xludf.DUMMYFUNCTION("""COMPUTED_VALUE"""),"arina.zabolotna@2hourlearning.com")</f>
        <v>arina.zabolotna@2hourlearning.com</v>
      </c>
      <c r="L1019" s="6" t="str">
        <f>IFERROR(__xludf.DUMMYFUNCTION("""COMPUTED_VALUE"""),"Learn and Earn Poland")</f>
        <v>Learn and Earn Poland</v>
      </c>
      <c r="M1019" s="6" t="str">
        <f>IFERROR(__xludf.DUMMYFUNCTION("""COMPUTED_VALUE"""),"")</f>
        <v/>
      </c>
      <c r="N1019" s="6" t="str">
        <f>IFERROR(__xludf.DUMMYFUNCTION("""COMPUTED_VALUE"""),"")</f>
        <v/>
      </c>
      <c r="O1019" s="87" t="str">
        <f>IFERROR(__xludf.DUMMYFUNCTION("""COMPUTED_VALUE"""),"https://drive.google.com/drive/folders/10T2cTQHqEJZqE-st6uFKPoI?usp=share_link")</f>
        <v>https://drive.google.com/drive/folders/10T2cTQHqEJZqE-st6uFKPoI?usp=share_link</v>
      </c>
      <c r="P1019" s="6" t="str">
        <f>IFERROR(__xludf.DUMMYFUNCTION("""COMPUTED_VALUE"""),"Arina Zabolotna")</f>
        <v>Arina Zabolotna</v>
      </c>
      <c r="Q1019" s="6" t="str">
        <f>IFERROR(__xludf.DUMMYFUNCTION("""COMPUTED_VALUE"""),"MS")</f>
        <v>MS</v>
      </c>
      <c r="R1019" s="6">
        <f>IFERROR(__xludf.DUMMYFUNCTION("""COMPUTED_VALUE"""),0.0)</f>
        <v>0</v>
      </c>
      <c r="S1019" s="6" t="str">
        <f>IFERROR(__xludf.DUMMYFUNCTION("""COMPUTED_VALUE""")," ")</f>
        <v> </v>
      </c>
      <c r="T1019" s="6" t="str">
        <f>IFERROR(__xludf.DUMMYFUNCTION("""COMPUTED_VALUE"""),"")</f>
        <v/>
      </c>
      <c r="U1019" s="6" t="str">
        <f>IFERROR(__xludf.DUMMYFUNCTION("""COMPUTED_VALUE"""),"7")</f>
        <v>7</v>
      </c>
      <c r="V1019" s="6" t="str">
        <f>IFERROR(__xludf.DUMMYFUNCTION("""COMPUTED_VALUE"""),"English")</f>
        <v>English</v>
      </c>
      <c r="W1019" s="6" t="str">
        <f>IFERROR(__xludf.DUMMYFUNCTION("""COMPUTED_VALUE"""),"[]")</f>
        <v>[]</v>
      </c>
      <c r="X1019" s="6" t="str">
        <f>IFERROR(__xludf.DUMMYFUNCTION("""COMPUTED_VALUE"""),"Enrolled")</f>
        <v>Enrolled</v>
      </c>
    </row>
    <row r="1020">
      <c r="A1020" s="6" t="str">
        <f>IFERROR(__xludf.DUMMYFUNCTION("""COMPUTED_VALUE"""),"009-1144")</f>
        <v>009-1144</v>
      </c>
      <c r="B1020" s="6" t="str">
        <f>IFERROR(__xludf.DUMMYFUNCTION("""COMPUTED_VALUE"""),"9")</f>
        <v>9</v>
      </c>
      <c r="C1020" s="6" t="str">
        <f>IFERROR(__xludf.DUMMYFUNCTION("""COMPUTED_VALUE"""),"1144")</f>
        <v>1144</v>
      </c>
      <c r="D1020" s="6" t="str">
        <f>IFERROR(__xludf.DUMMYFUNCTION("""COMPUTED_VALUE"""),"Kyrylo")</f>
        <v>Kyrylo</v>
      </c>
      <c r="E1020" s="6" t="str">
        <f>IFERROR(__xludf.DUMMYFUNCTION("""COMPUTED_VALUE"""),"")</f>
        <v/>
      </c>
      <c r="F1020" s="6" t="str">
        <f>IFERROR(__xludf.DUMMYFUNCTION("""COMPUTED_VALUE"""),"Marchenko")</f>
        <v>Marchenko</v>
      </c>
      <c r="G1020" s="6" t="str">
        <f>IFERROR(__xludf.DUMMYFUNCTION("""COMPUTED_VALUE"""),"01/01/2012")</f>
        <v>01/01/2012</v>
      </c>
      <c r="H1020" s="6" t="str">
        <f>IFERROR(__xludf.DUMMYFUNCTION("""COMPUTED_VALUE"""),"Self Identify")</f>
        <v>Self Identify</v>
      </c>
      <c r="I1020" s="6" t="str">
        <f>IFERROR(__xludf.DUMMYFUNCTION("""COMPUTED_VALUE"""),"Middle School")</f>
        <v>Middle School</v>
      </c>
      <c r="J1020" s="6" t="str">
        <f>IFERROR(__xludf.DUMMYFUNCTION("""COMPUTED_VALUE"""),"7")</f>
        <v>7</v>
      </c>
      <c r="K1020" s="6" t="str">
        <f>IFERROR(__xludf.DUMMYFUNCTION("""COMPUTED_VALUE"""),"kyrylo.marchenko@2hourlearning.com")</f>
        <v>kyrylo.marchenko@2hourlearning.com</v>
      </c>
      <c r="L1020" s="6" t="str">
        <f>IFERROR(__xludf.DUMMYFUNCTION("""COMPUTED_VALUE"""),"Learn and Earn Poland")</f>
        <v>Learn and Earn Poland</v>
      </c>
      <c r="M1020" s="6" t="str">
        <f>IFERROR(__xludf.DUMMYFUNCTION("""COMPUTED_VALUE"""),"")</f>
        <v/>
      </c>
      <c r="N1020" s="6" t="str">
        <f>IFERROR(__xludf.DUMMYFUNCTION("""COMPUTED_VALUE"""),"")</f>
        <v/>
      </c>
      <c r="O1020" s="87" t="str">
        <f>IFERROR(__xludf.DUMMYFUNCTION("""COMPUTED_VALUE"""),"https://drive.google.com/drive/folders/10T2cTQHqEJZqE-st6uFKPoI?usp=share_link")</f>
        <v>https://drive.google.com/drive/folders/10T2cTQHqEJZqE-st6uFKPoI?usp=share_link</v>
      </c>
      <c r="P1020" s="6" t="str">
        <f>IFERROR(__xludf.DUMMYFUNCTION("""COMPUTED_VALUE"""),"Kyrylo Marchenko")</f>
        <v>Kyrylo Marchenko</v>
      </c>
      <c r="Q1020" s="6" t="str">
        <f>IFERROR(__xludf.DUMMYFUNCTION("""COMPUTED_VALUE"""),"MS")</f>
        <v>MS</v>
      </c>
      <c r="R1020" s="6">
        <f>IFERROR(__xludf.DUMMYFUNCTION("""COMPUTED_VALUE"""),0.0)</f>
        <v>0</v>
      </c>
      <c r="S1020" s="6" t="str">
        <f>IFERROR(__xludf.DUMMYFUNCTION("""COMPUTED_VALUE""")," ")</f>
        <v> </v>
      </c>
      <c r="T1020" s="6" t="str">
        <f>IFERROR(__xludf.DUMMYFUNCTION("""COMPUTED_VALUE"""),"")</f>
        <v/>
      </c>
      <c r="U1020" s="6" t="str">
        <f>IFERROR(__xludf.DUMMYFUNCTION("""COMPUTED_VALUE"""),"7")</f>
        <v>7</v>
      </c>
      <c r="V1020" s="6" t="str">
        <f>IFERROR(__xludf.DUMMYFUNCTION("""COMPUTED_VALUE"""),"English")</f>
        <v>English</v>
      </c>
      <c r="W1020" s="6" t="str">
        <f>IFERROR(__xludf.DUMMYFUNCTION("""COMPUTED_VALUE"""),"[]")</f>
        <v>[]</v>
      </c>
      <c r="X1020" s="6" t="str">
        <f>IFERROR(__xludf.DUMMYFUNCTION("""COMPUTED_VALUE"""),"Enrolled")</f>
        <v>Enrolled</v>
      </c>
    </row>
    <row r="1021">
      <c r="A1021" s="6" t="str">
        <f>IFERROR(__xludf.DUMMYFUNCTION("""COMPUTED_VALUE"""),"009-1145")</f>
        <v>009-1145</v>
      </c>
      <c r="B1021" s="6" t="str">
        <f>IFERROR(__xludf.DUMMYFUNCTION("""COMPUTED_VALUE"""),"9")</f>
        <v>9</v>
      </c>
      <c r="C1021" s="6" t="str">
        <f>IFERROR(__xludf.DUMMYFUNCTION("""COMPUTED_VALUE"""),"1145")</f>
        <v>1145</v>
      </c>
      <c r="D1021" s="6" t="str">
        <f>IFERROR(__xludf.DUMMYFUNCTION("""COMPUTED_VALUE"""),"Oleksandr")</f>
        <v>Oleksandr</v>
      </c>
      <c r="E1021" s="6" t="str">
        <f>IFERROR(__xludf.DUMMYFUNCTION("""COMPUTED_VALUE"""),"")</f>
        <v/>
      </c>
      <c r="F1021" s="6" t="str">
        <f>IFERROR(__xludf.DUMMYFUNCTION("""COMPUTED_VALUE"""),"Provorov")</f>
        <v>Provorov</v>
      </c>
      <c r="G1021" s="6" t="str">
        <f>IFERROR(__xludf.DUMMYFUNCTION("""COMPUTED_VALUE"""),"01/01/2012")</f>
        <v>01/01/2012</v>
      </c>
      <c r="H1021" s="6" t="str">
        <f>IFERROR(__xludf.DUMMYFUNCTION("""COMPUTED_VALUE"""),"Self Identify")</f>
        <v>Self Identify</v>
      </c>
      <c r="I1021" s="6" t="str">
        <f>IFERROR(__xludf.DUMMYFUNCTION("""COMPUTED_VALUE"""),"Middle School")</f>
        <v>Middle School</v>
      </c>
      <c r="J1021" s="6" t="str">
        <f>IFERROR(__xludf.DUMMYFUNCTION("""COMPUTED_VALUE"""),"7")</f>
        <v>7</v>
      </c>
      <c r="K1021" s="6" t="str">
        <f>IFERROR(__xludf.DUMMYFUNCTION("""COMPUTED_VALUE"""),"oleksandr.provorov@2hourlearning.com")</f>
        <v>oleksandr.provorov@2hourlearning.com</v>
      </c>
      <c r="L1021" s="6" t="str">
        <f>IFERROR(__xludf.DUMMYFUNCTION("""COMPUTED_VALUE"""),"Learn and Earn Poland")</f>
        <v>Learn and Earn Poland</v>
      </c>
      <c r="M1021" s="6" t="str">
        <f>IFERROR(__xludf.DUMMYFUNCTION("""COMPUTED_VALUE"""),"")</f>
        <v/>
      </c>
      <c r="N1021" s="6" t="str">
        <f>IFERROR(__xludf.DUMMYFUNCTION("""COMPUTED_VALUE"""),"")</f>
        <v/>
      </c>
      <c r="O1021" s="87" t="str">
        <f>IFERROR(__xludf.DUMMYFUNCTION("""COMPUTED_VALUE"""),"https://drive.google.com/drive/folders/10T2cTQHqEJZqE-st6uFKPoI?usp=share_link")</f>
        <v>https://drive.google.com/drive/folders/10T2cTQHqEJZqE-st6uFKPoI?usp=share_link</v>
      </c>
      <c r="P1021" s="6" t="str">
        <f>IFERROR(__xludf.DUMMYFUNCTION("""COMPUTED_VALUE"""),"Oleksandr Provorov")</f>
        <v>Oleksandr Provorov</v>
      </c>
      <c r="Q1021" s="6" t="str">
        <f>IFERROR(__xludf.DUMMYFUNCTION("""COMPUTED_VALUE"""),"MS")</f>
        <v>MS</v>
      </c>
      <c r="R1021" s="6">
        <f>IFERROR(__xludf.DUMMYFUNCTION("""COMPUTED_VALUE"""),0.0)</f>
        <v>0</v>
      </c>
      <c r="S1021" s="6" t="str">
        <f>IFERROR(__xludf.DUMMYFUNCTION("""COMPUTED_VALUE""")," ")</f>
        <v> </v>
      </c>
      <c r="T1021" s="6" t="str">
        <f>IFERROR(__xludf.DUMMYFUNCTION("""COMPUTED_VALUE"""),"")</f>
        <v/>
      </c>
      <c r="U1021" s="6" t="str">
        <f>IFERROR(__xludf.DUMMYFUNCTION("""COMPUTED_VALUE"""),"7")</f>
        <v>7</v>
      </c>
      <c r="V1021" s="6" t="str">
        <f>IFERROR(__xludf.DUMMYFUNCTION("""COMPUTED_VALUE"""),"English")</f>
        <v>English</v>
      </c>
      <c r="W1021" s="6" t="str">
        <f>IFERROR(__xludf.DUMMYFUNCTION("""COMPUTED_VALUE"""),"[]")</f>
        <v>[]</v>
      </c>
      <c r="X1021" s="6" t="str">
        <f>IFERROR(__xludf.DUMMYFUNCTION("""COMPUTED_VALUE"""),"Enrolled")</f>
        <v>Enrolled</v>
      </c>
    </row>
    <row r="1022">
      <c r="A1022" s="6" t="str">
        <f>IFERROR(__xludf.DUMMYFUNCTION("""COMPUTED_VALUE"""),"009-1146")</f>
        <v>009-1146</v>
      </c>
      <c r="B1022" s="6" t="str">
        <f>IFERROR(__xludf.DUMMYFUNCTION("""COMPUTED_VALUE"""),"9")</f>
        <v>9</v>
      </c>
      <c r="C1022" s="6" t="str">
        <f>IFERROR(__xludf.DUMMYFUNCTION("""COMPUTED_VALUE"""),"1146")</f>
        <v>1146</v>
      </c>
      <c r="D1022" s="6" t="str">
        <f>IFERROR(__xludf.DUMMYFUNCTION("""COMPUTED_VALUE"""),"Zhurbyk")</f>
        <v>Zhurbyk</v>
      </c>
      <c r="E1022" s="6" t="str">
        <f>IFERROR(__xludf.DUMMYFUNCTION("""COMPUTED_VALUE"""),"")</f>
        <v/>
      </c>
      <c r="F1022" s="6" t="str">
        <f>IFERROR(__xludf.DUMMYFUNCTION("""COMPUTED_VALUE"""),"Yelyzaveta")</f>
        <v>Yelyzaveta</v>
      </c>
      <c r="G1022" s="6" t="str">
        <f>IFERROR(__xludf.DUMMYFUNCTION("""COMPUTED_VALUE"""),"01/01/2012")</f>
        <v>01/01/2012</v>
      </c>
      <c r="H1022" s="6" t="str">
        <f>IFERROR(__xludf.DUMMYFUNCTION("""COMPUTED_VALUE"""),"Self Identify")</f>
        <v>Self Identify</v>
      </c>
      <c r="I1022" s="6" t="str">
        <f>IFERROR(__xludf.DUMMYFUNCTION("""COMPUTED_VALUE"""),"Middle School")</f>
        <v>Middle School</v>
      </c>
      <c r="J1022" s="6" t="str">
        <f>IFERROR(__xludf.DUMMYFUNCTION("""COMPUTED_VALUE"""),"7")</f>
        <v>7</v>
      </c>
      <c r="K1022" s="6" t="str">
        <f>IFERROR(__xludf.DUMMYFUNCTION("""COMPUTED_VALUE"""),"zhurbyk.yelyzaveta@2hourlearning.com")</f>
        <v>zhurbyk.yelyzaveta@2hourlearning.com</v>
      </c>
      <c r="L1022" s="6" t="str">
        <f>IFERROR(__xludf.DUMMYFUNCTION("""COMPUTED_VALUE"""),"Learn and Earn Poland")</f>
        <v>Learn and Earn Poland</v>
      </c>
      <c r="M1022" s="6" t="str">
        <f>IFERROR(__xludf.DUMMYFUNCTION("""COMPUTED_VALUE"""),"")</f>
        <v/>
      </c>
      <c r="N1022" s="6" t="str">
        <f>IFERROR(__xludf.DUMMYFUNCTION("""COMPUTED_VALUE"""),"")</f>
        <v/>
      </c>
      <c r="O1022" s="87" t="str">
        <f>IFERROR(__xludf.DUMMYFUNCTION("""COMPUTED_VALUE"""),"https://drive.google.com/drive/folders/10T2cTQHqEJZqE-st6uFKPoI?usp=share_link")</f>
        <v>https://drive.google.com/drive/folders/10T2cTQHqEJZqE-st6uFKPoI?usp=share_link</v>
      </c>
      <c r="P1022" s="6" t="str">
        <f>IFERROR(__xludf.DUMMYFUNCTION("""COMPUTED_VALUE"""),"Zhurbyk Yelyzaveta")</f>
        <v>Zhurbyk Yelyzaveta</v>
      </c>
      <c r="Q1022" s="6" t="str">
        <f>IFERROR(__xludf.DUMMYFUNCTION("""COMPUTED_VALUE"""),"MS")</f>
        <v>MS</v>
      </c>
      <c r="R1022" s="6">
        <f>IFERROR(__xludf.DUMMYFUNCTION("""COMPUTED_VALUE"""),0.0)</f>
        <v>0</v>
      </c>
      <c r="S1022" s="6" t="str">
        <f>IFERROR(__xludf.DUMMYFUNCTION("""COMPUTED_VALUE""")," ")</f>
        <v> </v>
      </c>
      <c r="T1022" s="6" t="str">
        <f>IFERROR(__xludf.DUMMYFUNCTION("""COMPUTED_VALUE"""),"")</f>
        <v/>
      </c>
      <c r="U1022" s="6" t="str">
        <f>IFERROR(__xludf.DUMMYFUNCTION("""COMPUTED_VALUE"""),"7")</f>
        <v>7</v>
      </c>
      <c r="V1022" s="6" t="str">
        <f>IFERROR(__xludf.DUMMYFUNCTION("""COMPUTED_VALUE"""),"English")</f>
        <v>English</v>
      </c>
      <c r="W1022" s="6" t="str">
        <f>IFERROR(__xludf.DUMMYFUNCTION("""COMPUTED_VALUE"""),"[]")</f>
        <v>[]</v>
      </c>
      <c r="X1022" s="6" t="str">
        <f>IFERROR(__xludf.DUMMYFUNCTION("""COMPUTED_VALUE"""),"Enrolled")</f>
        <v>Enrolled</v>
      </c>
    </row>
    <row r="1023">
      <c r="A1023" s="6" t="str">
        <f>IFERROR(__xludf.DUMMYFUNCTION("""COMPUTED_VALUE"""),"009-1147")</f>
        <v>009-1147</v>
      </c>
      <c r="B1023" s="6" t="str">
        <f>IFERROR(__xludf.DUMMYFUNCTION("""COMPUTED_VALUE"""),"9")</f>
        <v>9</v>
      </c>
      <c r="C1023" s="6" t="str">
        <f>IFERROR(__xludf.DUMMYFUNCTION("""COMPUTED_VALUE"""),"1147")</f>
        <v>1147</v>
      </c>
      <c r="D1023" s="6" t="str">
        <f>IFERROR(__xludf.DUMMYFUNCTION("""COMPUTED_VALUE"""),"Maksym")</f>
        <v>Maksym</v>
      </c>
      <c r="E1023" s="6" t="str">
        <f>IFERROR(__xludf.DUMMYFUNCTION("""COMPUTED_VALUE"""),"")</f>
        <v/>
      </c>
      <c r="F1023" s="6" t="str">
        <f>IFERROR(__xludf.DUMMYFUNCTION("""COMPUTED_VALUE"""),"Dolyna")</f>
        <v>Dolyna</v>
      </c>
      <c r="G1023" s="6" t="str">
        <f>IFERROR(__xludf.DUMMYFUNCTION("""COMPUTED_VALUE"""),"01/01/2012")</f>
        <v>01/01/2012</v>
      </c>
      <c r="H1023" s="6" t="str">
        <f>IFERROR(__xludf.DUMMYFUNCTION("""COMPUTED_VALUE"""),"Self Identify")</f>
        <v>Self Identify</v>
      </c>
      <c r="I1023" s="6" t="str">
        <f>IFERROR(__xludf.DUMMYFUNCTION("""COMPUTED_VALUE"""),"Middle School")</f>
        <v>Middle School</v>
      </c>
      <c r="J1023" s="6" t="str">
        <f>IFERROR(__xludf.DUMMYFUNCTION("""COMPUTED_VALUE"""),"7")</f>
        <v>7</v>
      </c>
      <c r="K1023" s="6" t="str">
        <f>IFERROR(__xludf.DUMMYFUNCTION("""COMPUTED_VALUE"""),"maksym.dolyna@2hourlearning.com")</f>
        <v>maksym.dolyna@2hourlearning.com</v>
      </c>
      <c r="L1023" s="6" t="str">
        <f>IFERROR(__xludf.DUMMYFUNCTION("""COMPUTED_VALUE"""),"Learn and Earn Poland")</f>
        <v>Learn and Earn Poland</v>
      </c>
      <c r="M1023" s="6" t="str">
        <f>IFERROR(__xludf.DUMMYFUNCTION("""COMPUTED_VALUE"""),"")</f>
        <v/>
      </c>
      <c r="N1023" s="6" t="str">
        <f>IFERROR(__xludf.DUMMYFUNCTION("""COMPUTED_VALUE"""),"")</f>
        <v/>
      </c>
      <c r="O1023" s="87" t="str">
        <f>IFERROR(__xludf.DUMMYFUNCTION("""COMPUTED_VALUE"""),"https://drive.google.com/drive/folders/10T2cTQHqEJZqE-st6uFKPoI?usp=share_link")</f>
        <v>https://drive.google.com/drive/folders/10T2cTQHqEJZqE-st6uFKPoI?usp=share_link</v>
      </c>
      <c r="P1023" s="6" t="str">
        <f>IFERROR(__xludf.DUMMYFUNCTION("""COMPUTED_VALUE"""),"Maksym Dolyna")</f>
        <v>Maksym Dolyna</v>
      </c>
      <c r="Q1023" s="6" t="str">
        <f>IFERROR(__xludf.DUMMYFUNCTION("""COMPUTED_VALUE"""),"MS")</f>
        <v>MS</v>
      </c>
      <c r="R1023" s="6">
        <f>IFERROR(__xludf.DUMMYFUNCTION("""COMPUTED_VALUE"""),0.0)</f>
        <v>0</v>
      </c>
      <c r="S1023" s="6" t="str">
        <f>IFERROR(__xludf.DUMMYFUNCTION("""COMPUTED_VALUE""")," ")</f>
        <v> </v>
      </c>
      <c r="T1023" s="6" t="str">
        <f>IFERROR(__xludf.DUMMYFUNCTION("""COMPUTED_VALUE"""),"")</f>
        <v/>
      </c>
      <c r="U1023" s="6" t="str">
        <f>IFERROR(__xludf.DUMMYFUNCTION("""COMPUTED_VALUE"""),"7")</f>
        <v>7</v>
      </c>
      <c r="V1023" s="6" t="str">
        <f>IFERROR(__xludf.DUMMYFUNCTION("""COMPUTED_VALUE"""),"English")</f>
        <v>English</v>
      </c>
      <c r="W1023" s="6" t="str">
        <f>IFERROR(__xludf.DUMMYFUNCTION("""COMPUTED_VALUE"""),"[]")</f>
        <v>[]</v>
      </c>
      <c r="X1023" s="6" t="str">
        <f>IFERROR(__xludf.DUMMYFUNCTION("""COMPUTED_VALUE"""),"Enrolled")</f>
        <v>Enrolled</v>
      </c>
    </row>
    <row r="1024">
      <c r="A1024" s="6" t="str">
        <f>IFERROR(__xludf.DUMMYFUNCTION("""COMPUTED_VALUE"""),"009-1148")</f>
        <v>009-1148</v>
      </c>
      <c r="B1024" s="6" t="str">
        <f>IFERROR(__xludf.DUMMYFUNCTION("""COMPUTED_VALUE"""),"9")</f>
        <v>9</v>
      </c>
      <c r="C1024" s="6" t="str">
        <f>IFERROR(__xludf.DUMMYFUNCTION("""COMPUTED_VALUE"""),"1148")</f>
        <v>1148</v>
      </c>
      <c r="D1024" s="6" t="str">
        <f>IFERROR(__xludf.DUMMYFUNCTION("""COMPUTED_VALUE"""),"Solomiia")</f>
        <v>Solomiia</v>
      </c>
      <c r="E1024" s="6" t="str">
        <f>IFERROR(__xludf.DUMMYFUNCTION("""COMPUTED_VALUE"""),"")</f>
        <v/>
      </c>
      <c r="F1024" s="6" t="str">
        <f>IFERROR(__xludf.DUMMYFUNCTION("""COMPUTED_VALUE"""),"Levytska")</f>
        <v>Levytska</v>
      </c>
      <c r="G1024" s="6" t="str">
        <f>IFERROR(__xludf.DUMMYFUNCTION("""COMPUTED_VALUE"""),"01/01/2012")</f>
        <v>01/01/2012</v>
      </c>
      <c r="H1024" s="6" t="str">
        <f>IFERROR(__xludf.DUMMYFUNCTION("""COMPUTED_VALUE"""),"Self Identify")</f>
        <v>Self Identify</v>
      </c>
      <c r="I1024" s="6" t="str">
        <f>IFERROR(__xludf.DUMMYFUNCTION("""COMPUTED_VALUE"""),"Middle School")</f>
        <v>Middle School</v>
      </c>
      <c r="J1024" s="6" t="str">
        <f>IFERROR(__xludf.DUMMYFUNCTION("""COMPUTED_VALUE"""),"7")</f>
        <v>7</v>
      </c>
      <c r="K1024" s="6" t="str">
        <f>IFERROR(__xludf.DUMMYFUNCTION("""COMPUTED_VALUE"""),"solomiia.levytska@2hourlearning.com")</f>
        <v>solomiia.levytska@2hourlearning.com</v>
      </c>
      <c r="L1024" s="6" t="str">
        <f>IFERROR(__xludf.DUMMYFUNCTION("""COMPUTED_VALUE"""),"Learn and Earn Poland")</f>
        <v>Learn and Earn Poland</v>
      </c>
      <c r="M1024" s="6" t="str">
        <f>IFERROR(__xludf.DUMMYFUNCTION("""COMPUTED_VALUE"""),"")</f>
        <v/>
      </c>
      <c r="N1024" s="6" t="str">
        <f>IFERROR(__xludf.DUMMYFUNCTION("""COMPUTED_VALUE"""),"")</f>
        <v/>
      </c>
      <c r="O1024" s="87" t="str">
        <f>IFERROR(__xludf.DUMMYFUNCTION("""COMPUTED_VALUE"""),"https://drive.google.com/drive/folders/10T2cTQHqEJZqE-st6uFKPoI?usp=share_link")</f>
        <v>https://drive.google.com/drive/folders/10T2cTQHqEJZqE-st6uFKPoI?usp=share_link</v>
      </c>
      <c r="P1024" s="6" t="str">
        <f>IFERROR(__xludf.DUMMYFUNCTION("""COMPUTED_VALUE"""),"Solomiia Levytska")</f>
        <v>Solomiia Levytska</v>
      </c>
      <c r="Q1024" s="6" t="str">
        <f>IFERROR(__xludf.DUMMYFUNCTION("""COMPUTED_VALUE"""),"MS")</f>
        <v>MS</v>
      </c>
      <c r="R1024" s="6">
        <f>IFERROR(__xludf.DUMMYFUNCTION("""COMPUTED_VALUE"""),0.0)</f>
        <v>0</v>
      </c>
      <c r="S1024" s="6" t="str">
        <f>IFERROR(__xludf.DUMMYFUNCTION("""COMPUTED_VALUE""")," ")</f>
        <v> </v>
      </c>
      <c r="T1024" s="6" t="str">
        <f>IFERROR(__xludf.DUMMYFUNCTION("""COMPUTED_VALUE"""),"")</f>
        <v/>
      </c>
      <c r="U1024" s="6" t="str">
        <f>IFERROR(__xludf.DUMMYFUNCTION("""COMPUTED_VALUE"""),"7")</f>
        <v>7</v>
      </c>
      <c r="V1024" s="6" t="str">
        <f>IFERROR(__xludf.DUMMYFUNCTION("""COMPUTED_VALUE"""),"English")</f>
        <v>English</v>
      </c>
      <c r="W1024" s="6" t="str">
        <f>IFERROR(__xludf.DUMMYFUNCTION("""COMPUTED_VALUE"""),"[]")</f>
        <v>[]</v>
      </c>
      <c r="X1024" s="6" t="str">
        <f>IFERROR(__xludf.DUMMYFUNCTION("""COMPUTED_VALUE"""),"Enrolled")</f>
        <v>Enrolled</v>
      </c>
    </row>
    <row r="1025">
      <c r="A1025" s="6" t="str">
        <f>IFERROR(__xludf.DUMMYFUNCTION("""COMPUTED_VALUE"""),"009-1149")</f>
        <v>009-1149</v>
      </c>
      <c r="B1025" s="6" t="str">
        <f>IFERROR(__xludf.DUMMYFUNCTION("""COMPUTED_VALUE"""),"9")</f>
        <v>9</v>
      </c>
      <c r="C1025" s="6" t="str">
        <f>IFERROR(__xludf.DUMMYFUNCTION("""COMPUTED_VALUE"""),"1149")</f>
        <v>1149</v>
      </c>
      <c r="D1025" s="6" t="str">
        <f>IFERROR(__xludf.DUMMYFUNCTION("""COMPUTED_VALUE"""),"Arthur")</f>
        <v>Arthur</v>
      </c>
      <c r="E1025" s="6" t="str">
        <f>IFERROR(__xludf.DUMMYFUNCTION("""COMPUTED_VALUE"""),"")</f>
        <v/>
      </c>
      <c r="F1025" s="6" t="str">
        <f>IFERROR(__xludf.DUMMYFUNCTION("""COMPUTED_VALUE"""),"Yankovenko")</f>
        <v>Yankovenko</v>
      </c>
      <c r="G1025" s="6" t="str">
        <f>IFERROR(__xludf.DUMMYFUNCTION("""COMPUTED_VALUE"""),"01/01/2012")</f>
        <v>01/01/2012</v>
      </c>
      <c r="H1025" s="6" t="str">
        <f>IFERROR(__xludf.DUMMYFUNCTION("""COMPUTED_VALUE"""),"Self Identify")</f>
        <v>Self Identify</v>
      </c>
      <c r="I1025" s="6" t="str">
        <f>IFERROR(__xludf.DUMMYFUNCTION("""COMPUTED_VALUE"""),"Middle School")</f>
        <v>Middle School</v>
      </c>
      <c r="J1025" s="6" t="str">
        <f>IFERROR(__xludf.DUMMYFUNCTION("""COMPUTED_VALUE"""),"7")</f>
        <v>7</v>
      </c>
      <c r="K1025" s="6" t="str">
        <f>IFERROR(__xludf.DUMMYFUNCTION("""COMPUTED_VALUE"""),"arthur.yankovenko@2hourlearning.com")</f>
        <v>arthur.yankovenko@2hourlearning.com</v>
      </c>
      <c r="L1025" s="6" t="str">
        <f>IFERROR(__xludf.DUMMYFUNCTION("""COMPUTED_VALUE"""),"Learn and Earn Poland")</f>
        <v>Learn and Earn Poland</v>
      </c>
      <c r="M1025" s="6" t="str">
        <f>IFERROR(__xludf.DUMMYFUNCTION("""COMPUTED_VALUE"""),"")</f>
        <v/>
      </c>
      <c r="N1025" s="6" t="str">
        <f>IFERROR(__xludf.DUMMYFUNCTION("""COMPUTED_VALUE"""),"")</f>
        <v/>
      </c>
      <c r="O1025" s="87" t="str">
        <f>IFERROR(__xludf.DUMMYFUNCTION("""COMPUTED_VALUE"""),"https://drive.google.com/drive/folders/10T2cTQHqEJZqE-st6uFKPoI?usp=share_link")</f>
        <v>https://drive.google.com/drive/folders/10T2cTQHqEJZqE-st6uFKPoI?usp=share_link</v>
      </c>
      <c r="P1025" s="6" t="str">
        <f>IFERROR(__xludf.DUMMYFUNCTION("""COMPUTED_VALUE"""),"Arthur Yankovenko")</f>
        <v>Arthur Yankovenko</v>
      </c>
      <c r="Q1025" s="6" t="str">
        <f>IFERROR(__xludf.DUMMYFUNCTION("""COMPUTED_VALUE"""),"MS")</f>
        <v>MS</v>
      </c>
      <c r="R1025" s="6">
        <f>IFERROR(__xludf.DUMMYFUNCTION("""COMPUTED_VALUE"""),0.0)</f>
        <v>0</v>
      </c>
      <c r="S1025" s="6" t="str">
        <f>IFERROR(__xludf.DUMMYFUNCTION("""COMPUTED_VALUE""")," ")</f>
        <v> </v>
      </c>
      <c r="T1025" s="6" t="str">
        <f>IFERROR(__xludf.DUMMYFUNCTION("""COMPUTED_VALUE"""),"")</f>
        <v/>
      </c>
      <c r="U1025" s="6" t="str">
        <f>IFERROR(__xludf.DUMMYFUNCTION("""COMPUTED_VALUE"""),"7")</f>
        <v>7</v>
      </c>
      <c r="V1025" s="6" t="str">
        <f>IFERROR(__xludf.DUMMYFUNCTION("""COMPUTED_VALUE"""),"English")</f>
        <v>English</v>
      </c>
      <c r="W1025" s="6" t="str">
        <f>IFERROR(__xludf.DUMMYFUNCTION("""COMPUTED_VALUE"""),"[]")</f>
        <v>[]</v>
      </c>
      <c r="X1025" s="6" t="str">
        <f>IFERROR(__xludf.DUMMYFUNCTION("""COMPUTED_VALUE"""),"Enrolled")</f>
        <v>Enrolled</v>
      </c>
    </row>
    <row r="1026">
      <c r="A1026" s="6" t="str">
        <f>IFERROR(__xludf.DUMMYFUNCTION("""COMPUTED_VALUE"""),"009-1150")</f>
        <v>009-1150</v>
      </c>
      <c r="B1026" s="6" t="str">
        <f>IFERROR(__xludf.DUMMYFUNCTION("""COMPUTED_VALUE"""),"9")</f>
        <v>9</v>
      </c>
      <c r="C1026" s="6" t="str">
        <f>IFERROR(__xludf.DUMMYFUNCTION("""COMPUTED_VALUE"""),"1150")</f>
        <v>1150</v>
      </c>
      <c r="D1026" s="6" t="str">
        <f>IFERROR(__xludf.DUMMYFUNCTION("""COMPUTED_VALUE"""),"Deme")</f>
        <v>Deme</v>
      </c>
      <c r="E1026" s="6" t="str">
        <f>IFERROR(__xludf.DUMMYFUNCTION("""COMPUTED_VALUE"""),"")</f>
        <v/>
      </c>
      <c r="F1026" s="6" t="str">
        <f>IFERROR(__xludf.DUMMYFUNCTION("""COMPUTED_VALUE"""),"Stella")</f>
        <v>Stella</v>
      </c>
      <c r="G1026" s="6" t="str">
        <f>IFERROR(__xludf.DUMMYFUNCTION("""COMPUTED_VALUE"""),"01/01/2011")</f>
        <v>01/01/2011</v>
      </c>
      <c r="H1026" s="6" t="str">
        <f>IFERROR(__xludf.DUMMYFUNCTION("""COMPUTED_VALUE"""),"Self Identify")</f>
        <v>Self Identify</v>
      </c>
      <c r="I1026" s="6" t="str">
        <f>IFERROR(__xludf.DUMMYFUNCTION("""COMPUTED_VALUE"""),"Middle School")</f>
        <v>Middle School</v>
      </c>
      <c r="J1026" s="6" t="str">
        <f>IFERROR(__xludf.DUMMYFUNCTION("""COMPUTED_VALUE"""),"8")</f>
        <v>8</v>
      </c>
      <c r="K1026" s="6" t="str">
        <f>IFERROR(__xludf.DUMMYFUNCTION("""COMPUTED_VALUE"""),"deme.stella@2hourlearning.com")</f>
        <v>deme.stella@2hourlearning.com</v>
      </c>
      <c r="L1026" s="6" t="str">
        <f>IFERROR(__xludf.DUMMYFUNCTION("""COMPUTED_VALUE"""),"Learn and Earn Poland")</f>
        <v>Learn and Earn Poland</v>
      </c>
      <c r="M1026" s="6" t="str">
        <f>IFERROR(__xludf.DUMMYFUNCTION("""COMPUTED_VALUE"""),"")</f>
        <v/>
      </c>
      <c r="N1026" s="6" t="str">
        <f>IFERROR(__xludf.DUMMYFUNCTION("""COMPUTED_VALUE"""),"")</f>
        <v/>
      </c>
      <c r="O1026" s="87" t="str">
        <f>IFERROR(__xludf.DUMMYFUNCTION("""COMPUTED_VALUE"""),"https://drive.google.com/drive/folders/10T2cTQHqEJZqE-st6uFKPoI?usp=share_link")</f>
        <v>https://drive.google.com/drive/folders/10T2cTQHqEJZqE-st6uFKPoI?usp=share_link</v>
      </c>
      <c r="P1026" s="6" t="str">
        <f>IFERROR(__xludf.DUMMYFUNCTION("""COMPUTED_VALUE"""),"Deme Stella")</f>
        <v>Deme Stella</v>
      </c>
      <c r="Q1026" s="6" t="str">
        <f>IFERROR(__xludf.DUMMYFUNCTION("""COMPUTED_VALUE"""),"MS")</f>
        <v>MS</v>
      </c>
      <c r="R1026" s="6">
        <f>IFERROR(__xludf.DUMMYFUNCTION("""COMPUTED_VALUE"""),0.0)</f>
        <v>0</v>
      </c>
      <c r="S1026" s="6" t="str">
        <f>IFERROR(__xludf.DUMMYFUNCTION("""COMPUTED_VALUE""")," ")</f>
        <v> </v>
      </c>
      <c r="T1026" s="6" t="str">
        <f>IFERROR(__xludf.DUMMYFUNCTION("""COMPUTED_VALUE"""),"")</f>
        <v/>
      </c>
      <c r="U1026" s="6" t="str">
        <f>IFERROR(__xludf.DUMMYFUNCTION("""COMPUTED_VALUE"""),"8")</f>
        <v>8</v>
      </c>
      <c r="V1026" s="6" t="str">
        <f>IFERROR(__xludf.DUMMYFUNCTION("""COMPUTED_VALUE"""),"English")</f>
        <v>English</v>
      </c>
      <c r="W1026" s="6" t="str">
        <f>IFERROR(__xludf.DUMMYFUNCTION("""COMPUTED_VALUE"""),"[]")</f>
        <v>[]</v>
      </c>
      <c r="X1026" s="6" t="str">
        <f>IFERROR(__xludf.DUMMYFUNCTION("""COMPUTED_VALUE"""),"Enrolled")</f>
        <v>Enrolled</v>
      </c>
    </row>
    <row r="1027">
      <c r="A1027" s="6" t="str">
        <f>IFERROR(__xludf.DUMMYFUNCTION("""COMPUTED_VALUE"""),"009-1151")</f>
        <v>009-1151</v>
      </c>
      <c r="B1027" s="6" t="str">
        <f>IFERROR(__xludf.DUMMYFUNCTION("""COMPUTED_VALUE"""),"9")</f>
        <v>9</v>
      </c>
      <c r="C1027" s="6" t="str">
        <f>IFERROR(__xludf.DUMMYFUNCTION("""COMPUTED_VALUE"""),"1151")</f>
        <v>1151</v>
      </c>
      <c r="D1027" s="6" t="str">
        <f>IFERROR(__xludf.DUMMYFUNCTION("""COMPUTED_VALUE"""),"Vakulyuk")</f>
        <v>Vakulyuk</v>
      </c>
      <c r="E1027" s="6" t="str">
        <f>IFERROR(__xludf.DUMMYFUNCTION("""COMPUTED_VALUE"""),"")</f>
        <v/>
      </c>
      <c r="F1027" s="6" t="str">
        <f>IFERROR(__xludf.DUMMYFUNCTION("""COMPUTED_VALUE"""),"Yana")</f>
        <v>Yana</v>
      </c>
      <c r="G1027" s="6" t="str">
        <f>IFERROR(__xludf.DUMMYFUNCTION("""COMPUTED_VALUE"""),"01/01/2011")</f>
        <v>01/01/2011</v>
      </c>
      <c r="H1027" s="6" t="str">
        <f>IFERROR(__xludf.DUMMYFUNCTION("""COMPUTED_VALUE"""),"Self Identify")</f>
        <v>Self Identify</v>
      </c>
      <c r="I1027" s="6" t="str">
        <f>IFERROR(__xludf.DUMMYFUNCTION("""COMPUTED_VALUE"""),"Middle School")</f>
        <v>Middle School</v>
      </c>
      <c r="J1027" s="6" t="str">
        <f>IFERROR(__xludf.DUMMYFUNCTION("""COMPUTED_VALUE"""),"8")</f>
        <v>8</v>
      </c>
      <c r="K1027" s="6" t="str">
        <f>IFERROR(__xludf.DUMMYFUNCTION("""COMPUTED_VALUE"""),"vakulyuk.yana@2hourlearning.com")</f>
        <v>vakulyuk.yana@2hourlearning.com</v>
      </c>
      <c r="L1027" s="6" t="str">
        <f>IFERROR(__xludf.DUMMYFUNCTION("""COMPUTED_VALUE"""),"Learn and Earn Poland")</f>
        <v>Learn and Earn Poland</v>
      </c>
      <c r="M1027" s="6" t="str">
        <f>IFERROR(__xludf.DUMMYFUNCTION("""COMPUTED_VALUE"""),"")</f>
        <v/>
      </c>
      <c r="N1027" s="6" t="str">
        <f>IFERROR(__xludf.DUMMYFUNCTION("""COMPUTED_VALUE"""),"")</f>
        <v/>
      </c>
      <c r="O1027" s="87" t="str">
        <f>IFERROR(__xludf.DUMMYFUNCTION("""COMPUTED_VALUE"""),"https://drive.google.com/drive/folders/10T2cTQHqEJZqE-st6uFKPoI?usp=share_link")</f>
        <v>https://drive.google.com/drive/folders/10T2cTQHqEJZqE-st6uFKPoI?usp=share_link</v>
      </c>
      <c r="P1027" s="6" t="str">
        <f>IFERROR(__xludf.DUMMYFUNCTION("""COMPUTED_VALUE"""),"Vakulyuk Yana")</f>
        <v>Vakulyuk Yana</v>
      </c>
      <c r="Q1027" s="6" t="str">
        <f>IFERROR(__xludf.DUMMYFUNCTION("""COMPUTED_VALUE"""),"MS")</f>
        <v>MS</v>
      </c>
      <c r="R1027" s="6">
        <f>IFERROR(__xludf.DUMMYFUNCTION("""COMPUTED_VALUE"""),0.0)</f>
        <v>0</v>
      </c>
      <c r="S1027" s="6" t="str">
        <f>IFERROR(__xludf.DUMMYFUNCTION("""COMPUTED_VALUE""")," ")</f>
        <v> </v>
      </c>
      <c r="T1027" s="6" t="str">
        <f>IFERROR(__xludf.DUMMYFUNCTION("""COMPUTED_VALUE"""),"")</f>
        <v/>
      </c>
      <c r="U1027" s="6" t="str">
        <f>IFERROR(__xludf.DUMMYFUNCTION("""COMPUTED_VALUE"""),"8")</f>
        <v>8</v>
      </c>
      <c r="V1027" s="6" t="str">
        <f>IFERROR(__xludf.DUMMYFUNCTION("""COMPUTED_VALUE"""),"English")</f>
        <v>English</v>
      </c>
      <c r="W1027" s="6" t="str">
        <f>IFERROR(__xludf.DUMMYFUNCTION("""COMPUTED_VALUE"""),"[]")</f>
        <v>[]</v>
      </c>
      <c r="X1027" s="6" t="str">
        <f>IFERROR(__xludf.DUMMYFUNCTION("""COMPUTED_VALUE"""),"Enrolled")</f>
        <v>Enrolled</v>
      </c>
    </row>
    <row r="1028">
      <c r="A1028" s="6" t="str">
        <f>IFERROR(__xludf.DUMMYFUNCTION("""COMPUTED_VALUE"""),"009-1152")</f>
        <v>009-1152</v>
      </c>
      <c r="B1028" s="6" t="str">
        <f>IFERROR(__xludf.DUMMYFUNCTION("""COMPUTED_VALUE"""),"9")</f>
        <v>9</v>
      </c>
      <c r="C1028" s="6" t="str">
        <f>IFERROR(__xludf.DUMMYFUNCTION("""COMPUTED_VALUE"""),"1152")</f>
        <v>1152</v>
      </c>
      <c r="D1028" s="6" t="str">
        <f>IFERROR(__xludf.DUMMYFUNCTION("""COMPUTED_VALUE"""),"Maksym")</f>
        <v>Maksym</v>
      </c>
      <c r="E1028" s="6" t="str">
        <f>IFERROR(__xludf.DUMMYFUNCTION("""COMPUTED_VALUE"""),"")</f>
        <v/>
      </c>
      <c r="F1028" s="6" t="str">
        <f>IFERROR(__xludf.DUMMYFUNCTION("""COMPUTED_VALUE"""),"Povkh")</f>
        <v>Povkh</v>
      </c>
      <c r="G1028" s="6" t="str">
        <f>IFERROR(__xludf.DUMMYFUNCTION("""COMPUTED_VALUE"""),"01/01/2011")</f>
        <v>01/01/2011</v>
      </c>
      <c r="H1028" s="6" t="str">
        <f>IFERROR(__xludf.DUMMYFUNCTION("""COMPUTED_VALUE"""),"Self Identify")</f>
        <v>Self Identify</v>
      </c>
      <c r="I1028" s="6" t="str">
        <f>IFERROR(__xludf.DUMMYFUNCTION("""COMPUTED_VALUE"""),"Middle School")</f>
        <v>Middle School</v>
      </c>
      <c r="J1028" s="6" t="str">
        <f>IFERROR(__xludf.DUMMYFUNCTION("""COMPUTED_VALUE"""),"8")</f>
        <v>8</v>
      </c>
      <c r="K1028" s="6" t="str">
        <f>IFERROR(__xludf.DUMMYFUNCTION("""COMPUTED_VALUE"""),"maksym.povkh@2hourlearning.com")</f>
        <v>maksym.povkh@2hourlearning.com</v>
      </c>
      <c r="L1028" s="6" t="str">
        <f>IFERROR(__xludf.DUMMYFUNCTION("""COMPUTED_VALUE"""),"Learn and Earn Poland")</f>
        <v>Learn and Earn Poland</v>
      </c>
      <c r="M1028" s="6" t="str">
        <f>IFERROR(__xludf.DUMMYFUNCTION("""COMPUTED_VALUE"""),"")</f>
        <v/>
      </c>
      <c r="N1028" s="6" t="str">
        <f>IFERROR(__xludf.DUMMYFUNCTION("""COMPUTED_VALUE"""),"")</f>
        <v/>
      </c>
      <c r="O1028" s="87" t="str">
        <f>IFERROR(__xludf.DUMMYFUNCTION("""COMPUTED_VALUE"""),"https://drive.google.com/drive/folders/10T2cTQHqEJZqE-st6uFKPoI?usp=share_link")</f>
        <v>https://drive.google.com/drive/folders/10T2cTQHqEJZqE-st6uFKPoI?usp=share_link</v>
      </c>
      <c r="P1028" s="6" t="str">
        <f>IFERROR(__xludf.DUMMYFUNCTION("""COMPUTED_VALUE"""),"Maksym Povkh")</f>
        <v>Maksym Povkh</v>
      </c>
      <c r="Q1028" s="6" t="str">
        <f>IFERROR(__xludf.DUMMYFUNCTION("""COMPUTED_VALUE"""),"MS")</f>
        <v>MS</v>
      </c>
      <c r="R1028" s="6">
        <f>IFERROR(__xludf.DUMMYFUNCTION("""COMPUTED_VALUE"""),0.0)</f>
        <v>0</v>
      </c>
      <c r="S1028" s="6" t="str">
        <f>IFERROR(__xludf.DUMMYFUNCTION("""COMPUTED_VALUE""")," ")</f>
        <v> </v>
      </c>
      <c r="T1028" s="6" t="str">
        <f>IFERROR(__xludf.DUMMYFUNCTION("""COMPUTED_VALUE"""),"")</f>
        <v/>
      </c>
      <c r="U1028" s="6" t="str">
        <f>IFERROR(__xludf.DUMMYFUNCTION("""COMPUTED_VALUE"""),"8")</f>
        <v>8</v>
      </c>
      <c r="V1028" s="6" t="str">
        <f>IFERROR(__xludf.DUMMYFUNCTION("""COMPUTED_VALUE"""),"English")</f>
        <v>English</v>
      </c>
      <c r="W1028" s="6" t="str">
        <f>IFERROR(__xludf.DUMMYFUNCTION("""COMPUTED_VALUE"""),"[]")</f>
        <v>[]</v>
      </c>
      <c r="X1028" s="6" t="str">
        <f>IFERROR(__xludf.DUMMYFUNCTION("""COMPUTED_VALUE"""),"Enrolled")</f>
        <v>Enrolled</v>
      </c>
    </row>
    <row r="1029">
      <c r="A1029" s="6" t="str">
        <f>IFERROR(__xludf.DUMMYFUNCTION("""COMPUTED_VALUE"""),"009-1153")</f>
        <v>009-1153</v>
      </c>
      <c r="B1029" s="6" t="str">
        <f>IFERROR(__xludf.DUMMYFUNCTION("""COMPUTED_VALUE"""),"9")</f>
        <v>9</v>
      </c>
      <c r="C1029" s="6" t="str">
        <f>IFERROR(__xludf.DUMMYFUNCTION("""COMPUTED_VALUE"""),"1153")</f>
        <v>1153</v>
      </c>
      <c r="D1029" s="6" t="str">
        <f>IFERROR(__xludf.DUMMYFUNCTION("""COMPUTED_VALUE"""),"Kateryna")</f>
        <v>Kateryna</v>
      </c>
      <c r="E1029" s="6" t="str">
        <f>IFERROR(__xludf.DUMMYFUNCTION("""COMPUTED_VALUE"""),"")</f>
        <v/>
      </c>
      <c r="F1029" s="6" t="str">
        <f>IFERROR(__xludf.DUMMYFUNCTION("""COMPUTED_VALUE"""),"Kerbut")</f>
        <v>Kerbut</v>
      </c>
      <c r="G1029" s="6" t="str">
        <f>IFERROR(__xludf.DUMMYFUNCTION("""COMPUTED_VALUE"""),"01/01/2011")</f>
        <v>01/01/2011</v>
      </c>
      <c r="H1029" s="6" t="str">
        <f>IFERROR(__xludf.DUMMYFUNCTION("""COMPUTED_VALUE"""),"Self Identify")</f>
        <v>Self Identify</v>
      </c>
      <c r="I1029" s="6" t="str">
        <f>IFERROR(__xludf.DUMMYFUNCTION("""COMPUTED_VALUE"""),"Middle School")</f>
        <v>Middle School</v>
      </c>
      <c r="J1029" s="6" t="str">
        <f>IFERROR(__xludf.DUMMYFUNCTION("""COMPUTED_VALUE"""),"8")</f>
        <v>8</v>
      </c>
      <c r="K1029" s="6" t="str">
        <f>IFERROR(__xludf.DUMMYFUNCTION("""COMPUTED_VALUE"""),"kateryna.kerbut@2hourlearning.com")</f>
        <v>kateryna.kerbut@2hourlearning.com</v>
      </c>
      <c r="L1029" s="6" t="str">
        <f>IFERROR(__xludf.DUMMYFUNCTION("""COMPUTED_VALUE"""),"Learn and Earn Poland")</f>
        <v>Learn and Earn Poland</v>
      </c>
      <c r="M1029" s="6" t="str">
        <f>IFERROR(__xludf.DUMMYFUNCTION("""COMPUTED_VALUE"""),"")</f>
        <v/>
      </c>
      <c r="N1029" s="6" t="str">
        <f>IFERROR(__xludf.DUMMYFUNCTION("""COMPUTED_VALUE"""),"")</f>
        <v/>
      </c>
      <c r="O1029" s="87" t="str">
        <f>IFERROR(__xludf.DUMMYFUNCTION("""COMPUTED_VALUE"""),"https://drive.google.com/drive/folders/10T2cTQHqEJZqE-st6uFKPoI?usp=share_link")</f>
        <v>https://drive.google.com/drive/folders/10T2cTQHqEJZqE-st6uFKPoI?usp=share_link</v>
      </c>
      <c r="P1029" s="6" t="str">
        <f>IFERROR(__xludf.DUMMYFUNCTION("""COMPUTED_VALUE"""),"Kateryna Kerbut")</f>
        <v>Kateryna Kerbut</v>
      </c>
      <c r="Q1029" s="6" t="str">
        <f>IFERROR(__xludf.DUMMYFUNCTION("""COMPUTED_VALUE"""),"MS")</f>
        <v>MS</v>
      </c>
      <c r="R1029" s="6">
        <f>IFERROR(__xludf.DUMMYFUNCTION("""COMPUTED_VALUE"""),0.0)</f>
        <v>0</v>
      </c>
      <c r="S1029" s="6" t="str">
        <f>IFERROR(__xludf.DUMMYFUNCTION("""COMPUTED_VALUE""")," ")</f>
        <v> </v>
      </c>
      <c r="T1029" s="6" t="str">
        <f>IFERROR(__xludf.DUMMYFUNCTION("""COMPUTED_VALUE"""),"")</f>
        <v/>
      </c>
      <c r="U1029" s="6" t="str">
        <f>IFERROR(__xludf.DUMMYFUNCTION("""COMPUTED_VALUE"""),"8")</f>
        <v>8</v>
      </c>
      <c r="V1029" s="6" t="str">
        <f>IFERROR(__xludf.DUMMYFUNCTION("""COMPUTED_VALUE"""),"English")</f>
        <v>English</v>
      </c>
      <c r="W1029" s="6" t="str">
        <f>IFERROR(__xludf.DUMMYFUNCTION("""COMPUTED_VALUE"""),"[]")</f>
        <v>[]</v>
      </c>
      <c r="X1029" s="6" t="str">
        <f>IFERROR(__xludf.DUMMYFUNCTION("""COMPUTED_VALUE"""),"Enrolled")</f>
        <v>Enrolled</v>
      </c>
    </row>
    <row r="1030">
      <c r="A1030" s="6" t="str">
        <f>IFERROR(__xludf.DUMMYFUNCTION("""COMPUTED_VALUE"""),"009-1154")</f>
        <v>009-1154</v>
      </c>
      <c r="B1030" s="6" t="str">
        <f>IFERROR(__xludf.DUMMYFUNCTION("""COMPUTED_VALUE"""),"9")</f>
        <v>9</v>
      </c>
      <c r="C1030" s="6" t="str">
        <f>IFERROR(__xludf.DUMMYFUNCTION("""COMPUTED_VALUE"""),"1154")</f>
        <v>1154</v>
      </c>
      <c r="D1030" s="6" t="str">
        <f>IFERROR(__xludf.DUMMYFUNCTION("""COMPUTED_VALUE"""),"Yurii")</f>
        <v>Yurii</v>
      </c>
      <c r="E1030" s="6" t="str">
        <f>IFERROR(__xludf.DUMMYFUNCTION("""COMPUTED_VALUE"""),"")</f>
        <v/>
      </c>
      <c r="F1030" s="6" t="str">
        <f>IFERROR(__xludf.DUMMYFUNCTION("""COMPUTED_VALUE"""),"Kostiuk")</f>
        <v>Kostiuk</v>
      </c>
      <c r="G1030" s="6" t="str">
        <f>IFERROR(__xludf.DUMMYFUNCTION("""COMPUTED_VALUE"""),"01/01/2010")</f>
        <v>01/01/2010</v>
      </c>
      <c r="H1030" s="6" t="str">
        <f>IFERROR(__xludf.DUMMYFUNCTION("""COMPUTED_VALUE"""),"Self Identify")</f>
        <v>Self Identify</v>
      </c>
      <c r="I1030" s="6" t="str">
        <f>IFERROR(__xludf.DUMMYFUNCTION("""COMPUTED_VALUE"""),"High School")</f>
        <v>High School</v>
      </c>
      <c r="J1030" s="6" t="str">
        <f>IFERROR(__xludf.DUMMYFUNCTION("""COMPUTED_VALUE"""),"9")</f>
        <v>9</v>
      </c>
      <c r="K1030" s="6" t="str">
        <f>IFERROR(__xludf.DUMMYFUNCTION("""COMPUTED_VALUE"""),"yurii.kostiuk@2hourlearning.com")</f>
        <v>yurii.kostiuk@2hourlearning.com</v>
      </c>
      <c r="L1030" s="6" t="str">
        <f>IFERROR(__xludf.DUMMYFUNCTION("""COMPUTED_VALUE"""),"Learn and Earn Poland")</f>
        <v>Learn and Earn Poland</v>
      </c>
      <c r="M1030" s="6" t="str">
        <f>IFERROR(__xludf.DUMMYFUNCTION("""COMPUTED_VALUE"""),"")</f>
        <v/>
      </c>
      <c r="N1030" s="6" t="str">
        <f>IFERROR(__xludf.DUMMYFUNCTION("""COMPUTED_VALUE"""),"")</f>
        <v/>
      </c>
      <c r="O1030" s="87" t="str">
        <f>IFERROR(__xludf.DUMMYFUNCTION("""COMPUTED_VALUE"""),"https://drive.google.com/drive/folders/10T2cTQHqEJZqE-st6uFKPoI?usp=share_link")</f>
        <v>https://drive.google.com/drive/folders/10T2cTQHqEJZqE-st6uFKPoI?usp=share_link</v>
      </c>
      <c r="P1030" s="6" t="str">
        <f>IFERROR(__xludf.DUMMYFUNCTION("""COMPUTED_VALUE"""),"Yurii Kostiuk")</f>
        <v>Yurii Kostiuk</v>
      </c>
      <c r="Q1030" s="6" t="str">
        <f>IFERROR(__xludf.DUMMYFUNCTION("""COMPUTED_VALUE"""),"HS")</f>
        <v>HS</v>
      </c>
      <c r="R1030" s="6">
        <f>IFERROR(__xludf.DUMMYFUNCTION("""COMPUTED_VALUE"""),0.0)</f>
        <v>0</v>
      </c>
      <c r="S1030" s="6" t="str">
        <f>IFERROR(__xludf.DUMMYFUNCTION("""COMPUTED_VALUE""")," ")</f>
        <v> </v>
      </c>
      <c r="T1030" s="6" t="str">
        <f>IFERROR(__xludf.DUMMYFUNCTION("""COMPUTED_VALUE"""),"")</f>
        <v/>
      </c>
      <c r="U1030" s="6" t="str">
        <f>IFERROR(__xludf.DUMMYFUNCTION("""COMPUTED_VALUE"""),"9")</f>
        <v>9</v>
      </c>
      <c r="V1030" s="6" t="str">
        <f>IFERROR(__xludf.DUMMYFUNCTION("""COMPUTED_VALUE"""),"English")</f>
        <v>English</v>
      </c>
      <c r="W1030" s="6" t="str">
        <f>IFERROR(__xludf.DUMMYFUNCTION("""COMPUTED_VALUE"""),"[]")</f>
        <v>[]</v>
      </c>
      <c r="X1030" s="6" t="str">
        <f>IFERROR(__xludf.DUMMYFUNCTION("""COMPUTED_VALUE"""),"Enrolled")</f>
        <v>Enrolled</v>
      </c>
    </row>
    <row r="1031">
      <c r="A1031" s="6" t="str">
        <f>IFERROR(__xludf.DUMMYFUNCTION("""COMPUTED_VALUE"""),"009-1155")</f>
        <v>009-1155</v>
      </c>
      <c r="B1031" s="6" t="str">
        <f>IFERROR(__xludf.DUMMYFUNCTION("""COMPUTED_VALUE"""),"9")</f>
        <v>9</v>
      </c>
      <c r="C1031" s="6" t="str">
        <f>IFERROR(__xludf.DUMMYFUNCTION("""COMPUTED_VALUE"""),"1155")</f>
        <v>1155</v>
      </c>
      <c r="D1031" s="6" t="str">
        <f>IFERROR(__xludf.DUMMYFUNCTION("""COMPUTED_VALUE"""),"Polina")</f>
        <v>Polina</v>
      </c>
      <c r="E1031" s="6" t="str">
        <f>IFERROR(__xludf.DUMMYFUNCTION("""COMPUTED_VALUE"""),"")</f>
        <v/>
      </c>
      <c r="F1031" s="6" t="str">
        <f>IFERROR(__xludf.DUMMYFUNCTION("""COMPUTED_VALUE"""),"Shylo")</f>
        <v>Shylo</v>
      </c>
      <c r="G1031" s="6" t="str">
        <f>IFERROR(__xludf.DUMMYFUNCTION("""COMPUTED_VALUE"""),"01/01/2010")</f>
        <v>01/01/2010</v>
      </c>
      <c r="H1031" s="6" t="str">
        <f>IFERROR(__xludf.DUMMYFUNCTION("""COMPUTED_VALUE"""),"Self Identify")</f>
        <v>Self Identify</v>
      </c>
      <c r="I1031" s="6" t="str">
        <f>IFERROR(__xludf.DUMMYFUNCTION("""COMPUTED_VALUE"""),"High School")</f>
        <v>High School</v>
      </c>
      <c r="J1031" s="6" t="str">
        <f>IFERROR(__xludf.DUMMYFUNCTION("""COMPUTED_VALUE"""),"9")</f>
        <v>9</v>
      </c>
      <c r="K1031" s="6" t="str">
        <f>IFERROR(__xludf.DUMMYFUNCTION("""COMPUTED_VALUE"""),"polina.shylo@2hourlearning.com")</f>
        <v>polina.shylo@2hourlearning.com</v>
      </c>
      <c r="L1031" s="6" t="str">
        <f>IFERROR(__xludf.DUMMYFUNCTION("""COMPUTED_VALUE"""),"Learn and Earn Poland")</f>
        <v>Learn and Earn Poland</v>
      </c>
      <c r="M1031" s="6" t="str">
        <f>IFERROR(__xludf.DUMMYFUNCTION("""COMPUTED_VALUE"""),"")</f>
        <v/>
      </c>
      <c r="N1031" s="6" t="str">
        <f>IFERROR(__xludf.DUMMYFUNCTION("""COMPUTED_VALUE"""),"")</f>
        <v/>
      </c>
      <c r="O1031" s="87" t="str">
        <f>IFERROR(__xludf.DUMMYFUNCTION("""COMPUTED_VALUE"""),"https://drive.google.com/drive/folders/10T2cTQHqEJZqE-st6uFKPoI?usp=share_link")</f>
        <v>https://drive.google.com/drive/folders/10T2cTQHqEJZqE-st6uFKPoI?usp=share_link</v>
      </c>
      <c r="P1031" s="6" t="str">
        <f>IFERROR(__xludf.DUMMYFUNCTION("""COMPUTED_VALUE"""),"Polina Shylo")</f>
        <v>Polina Shylo</v>
      </c>
      <c r="Q1031" s="6" t="str">
        <f>IFERROR(__xludf.DUMMYFUNCTION("""COMPUTED_VALUE"""),"HS")</f>
        <v>HS</v>
      </c>
      <c r="R1031" s="6">
        <f>IFERROR(__xludf.DUMMYFUNCTION("""COMPUTED_VALUE"""),0.0)</f>
        <v>0</v>
      </c>
      <c r="S1031" s="6" t="str">
        <f>IFERROR(__xludf.DUMMYFUNCTION("""COMPUTED_VALUE""")," ")</f>
        <v> </v>
      </c>
      <c r="T1031" s="6" t="str">
        <f>IFERROR(__xludf.DUMMYFUNCTION("""COMPUTED_VALUE"""),"")</f>
        <v/>
      </c>
      <c r="U1031" s="6" t="str">
        <f>IFERROR(__xludf.DUMMYFUNCTION("""COMPUTED_VALUE"""),"9")</f>
        <v>9</v>
      </c>
      <c r="V1031" s="6" t="str">
        <f>IFERROR(__xludf.DUMMYFUNCTION("""COMPUTED_VALUE"""),"English")</f>
        <v>English</v>
      </c>
      <c r="W1031" s="6" t="str">
        <f>IFERROR(__xludf.DUMMYFUNCTION("""COMPUTED_VALUE"""),"[]")</f>
        <v>[]</v>
      </c>
      <c r="X1031" s="6" t="str">
        <f>IFERROR(__xludf.DUMMYFUNCTION("""COMPUTED_VALUE"""),"Enrolled")</f>
        <v>Enrolled</v>
      </c>
    </row>
    <row r="1032">
      <c r="A1032" s="6" t="str">
        <f>IFERROR(__xludf.DUMMYFUNCTION("""COMPUTED_VALUE"""),"009-1156")</f>
        <v>009-1156</v>
      </c>
      <c r="B1032" s="6" t="str">
        <f>IFERROR(__xludf.DUMMYFUNCTION("""COMPUTED_VALUE"""),"9")</f>
        <v>9</v>
      </c>
      <c r="C1032" s="6" t="str">
        <f>IFERROR(__xludf.DUMMYFUNCTION("""COMPUTED_VALUE"""),"1156")</f>
        <v>1156</v>
      </c>
      <c r="D1032" s="6" t="str">
        <f>IFERROR(__xludf.DUMMYFUNCTION("""COMPUTED_VALUE"""),"Pavlo")</f>
        <v>Pavlo</v>
      </c>
      <c r="E1032" s="6" t="str">
        <f>IFERROR(__xludf.DUMMYFUNCTION("""COMPUTED_VALUE"""),"")</f>
        <v/>
      </c>
      <c r="F1032" s="6" t="str">
        <f>IFERROR(__xludf.DUMMYFUNCTION("""COMPUTED_VALUE"""),"Charkovskyi")</f>
        <v>Charkovskyi</v>
      </c>
      <c r="G1032" s="6" t="str">
        <f>IFERROR(__xludf.DUMMYFUNCTION("""COMPUTED_VALUE"""),"01/01/2010")</f>
        <v>01/01/2010</v>
      </c>
      <c r="H1032" s="6" t="str">
        <f>IFERROR(__xludf.DUMMYFUNCTION("""COMPUTED_VALUE"""),"Self Identify")</f>
        <v>Self Identify</v>
      </c>
      <c r="I1032" s="6" t="str">
        <f>IFERROR(__xludf.DUMMYFUNCTION("""COMPUTED_VALUE"""),"High School")</f>
        <v>High School</v>
      </c>
      <c r="J1032" s="6" t="str">
        <f>IFERROR(__xludf.DUMMYFUNCTION("""COMPUTED_VALUE"""),"9")</f>
        <v>9</v>
      </c>
      <c r="K1032" s="6" t="str">
        <f>IFERROR(__xludf.DUMMYFUNCTION("""COMPUTED_VALUE"""),"pavlo.charkovskyi@2hourlearning.com")</f>
        <v>pavlo.charkovskyi@2hourlearning.com</v>
      </c>
      <c r="L1032" s="6" t="str">
        <f>IFERROR(__xludf.DUMMYFUNCTION("""COMPUTED_VALUE"""),"Learn and Earn Poland")</f>
        <v>Learn and Earn Poland</v>
      </c>
      <c r="M1032" s="6" t="str">
        <f>IFERROR(__xludf.DUMMYFUNCTION("""COMPUTED_VALUE"""),"")</f>
        <v/>
      </c>
      <c r="N1032" s="6" t="str">
        <f>IFERROR(__xludf.DUMMYFUNCTION("""COMPUTED_VALUE"""),"")</f>
        <v/>
      </c>
      <c r="O1032" s="87" t="str">
        <f>IFERROR(__xludf.DUMMYFUNCTION("""COMPUTED_VALUE"""),"https://drive.google.com/drive/folders/10T2cTQHqEJZqE-st6uFKPoI?usp=share_link")</f>
        <v>https://drive.google.com/drive/folders/10T2cTQHqEJZqE-st6uFKPoI?usp=share_link</v>
      </c>
      <c r="P1032" s="6" t="str">
        <f>IFERROR(__xludf.DUMMYFUNCTION("""COMPUTED_VALUE"""),"Pavlo Charkovskyi")</f>
        <v>Pavlo Charkovskyi</v>
      </c>
      <c r="Q1032" s="6" t="str">
        <f>IFERROR(__xludf.DUMMYFUNCTION("""COMPUTED_VALUE"""),"HS")</f>
        <v>HS</v>
      </c>
      <c r="R1032" s="6">
        <f>IFERROR(__xludf.DUMMYFUNCTION("""COMPUTED_VALUE"""),0.0)</f>
        <v>0</v>
      </c>
      <c r="S1032" s="6" t="str">
        <f>IFERROR(__xludf.DUMMYFUNCTION("""COMPUTED_VALUE""")," ")</f>
        <v> </v>
      </c>
      <c r="T1032" s="6" t="str">
        <f>IFERROR(__xludf.DUMMYFUNCTION("""COMPUTED_VALUE"""),"")</f>
        <v/>
      </c>
      <c r="U1032" s="6" t="str">
        <f>IFERROR(__xludf.DUMMYFUNCTION("""COMPUTED_VALUE"""),"9")</f>
        <v>9</v>
      </c>
      <c r="V1032" s="6" t="str">
        <f>IFERROR(__xludf.DUMMYFUNCTION("""COMPUTED_VALUE"""),"English")</f>
        <v>English</v>
      </c>
      <c r="W1032" s="6" t="str">
        <f>IFERROR(__xludf.DUMMYFUNCTION("""COMPUTED_VALUE"""),"[]")</f>
        <v>[]</v>
      </c>
      <c r="X1032" s="6" t="str">
        <f>IFERROR(__xludf.DUMMYFUNCTION("""COMPUTED_VALUE"""),"Enrolled")</f>
        <v>Enrolled</v>
      </c>
    </row>
    <row r="1033">
      <c r="A1033" s="6" t="str">
        <f>IFERROR(__xludf.DUMMYFUNCTION("""COMPUTED_VALUE"""),"009-1157")</f>
        <v>009-1157</v>
      </c>
      <c r="B1033" s="6" t="str">
        <f>IFERROR(__xludf.DUMMYFUNCTION("""COMPUTED_VALUE"""),"9")</f>
        <v>9</v>
      </c>
      <c r="C1033" s="6" t="str">
        <f>IFERROR(__xludf.DUMMYFUNCTION("""COMPUTED_VALUE"""),"1157")</f>
        <v>1157</v>
      </c>
      <c r="D1033" s="6" t="str">
        <f>IFERROR(__xludf.DUMMYFUNCTION("""COMPUTED_VALUE"""),"Yroslav")</f>
        <v>Yroslav</v>
      </c>
      <c r="E1033" s="6" t="str">
        <f>IFERROR(__xludf.DUMMYFUNCTION("""COMPUTED_VALUE"""),"")</f>
        <v/>
      </c>
      <c r="F1033" s="6" t="str">
        <f>IFERROR(__xludf.DUMMYFUNCTION("""COMPUTED_VALUE"""),"Samarskyi")</f>
        <v>Samarskyi</v>
      </c>
      <c r="G1033" s="6" t="str">
        <f>IFERROR(__xludf.DUMMYFUNCTION("""COMPUTED_VALUE"""),"01/01/2010")</f>
        <v>01/01/2010</v>
      </c>
      <c r="H1033" s="6" t="str">
        <f>IFERROR(__xludf.DUMMYFUNCTION("""COMPUTED_VALUE"""),"Self Identify")</f>
        <v>Self Identify</v>
      </c>
      <c r="I1033" s="6" t="str">
        <f>IFERROR(__xludf.DUMMYFUNCTION("""COMPUTED_VALUE"""),"High School")</f>
        <v>High School</v>
      </c>
      <c r="J1033" s="6" t="str">
        <f>IFERROR(__xludf.DUMMYFUNCTION("""COMPUTED_VALUE"""),"9")</f>
        <v>9</v>
      </c>
      <c r="K1033" s="6" t="str">
        <f>IFERROR(__xludf.DUMMYFUNCTION("""COMPUTED_VALUE"""),"yroslav.samarskyi@2hourlearning.com")</f>
        <v>yroslav.samarskyi@2hourlearning.com</v>
      </c>
      <c r="L1033" s="6" t="str">
        <f>IFERROR(__xludf.DUMMYFUNCTION("""COMPUTED_VALUE"""),"Learn and Earn Poland")</f>
        <v>Learn and Earn Poland</v>
      </c>
      <c r="M1033" s="6" t="str">
        <f>IFERROR(__xludf.DUMMYFUNCTION("""COMPUTED_VALUE"""),"")</f>
        <v/>
      </c>
      <c r="N1033" s="6" t="str">
        <f>IFERROR(__xludf.DUMMYFUNCTION("""COMPUTED_VALUE"""),"")</f>
        <v/>
      </c>
      <c r="O1033" s="87" t="str">
        <f>IFERROR(__xludf.DUMMYFUNCTION("""COMPUTED_VALUE"""),"https://drive.google.com/drive/folders/10T2cTQHqEJZqE-st6uFKPoI?usp=share_link")</f>
        <v>https://drive.google.com/drive/folders/10T2cTQHqEJZqE-st6uFKPoI?usp=share_link</v>
      </c>
      <c r="P1033" s="6" t="str">
        <f>IFERROR(__xludf.DUMMYFUNCTION("""COMPUTED_VALUE"""),"Yroslav Samarskyi")</f>
        <v>Yroslav Samarskyi</v>
      </c>
      <c r="Q1033" s="6" t="str">
        <f>IFERROR(__xludf.DUMMYFUNCTION("""COMPUTED_VALUE"""),"HS")</f>
        <v>HS</v>
      </c>
      <c r="R1033" s="6">
        <f>IFERROR(__xludf.DUMMYFUNCTION("""COMPUTED_VALUE"""),0.0)</f>
        <v>0</v>
      </c>
      <c r="S1033" s="6" t="str">
        <f>IFERROR(__xludf.DUMMYFUNCTION("""COMPUTED_VALUE""")," ")</f>
        <v> </v>
      </c>
      <c r="T1033" s="6" t="str">
        <f>IFERROR(__xludf.DUMMYFUNCTION("""COMPUTED_VALUE"""),"")</f>
        <v/>
      </c>
      <c r="U1033" s="6" t="str">
        <f>IFERROR(__xludf.DUMMYFUNCTION("""COMPUTED_VALUE"""),"9")</f>
        <v>9</v>
      </c>
      <c r="V1033" s="6" t="str">
        <f>IFERROR(__xludf.DUMMYFUNCTION("""COMPUTED_VALUE"""),"English")</f>
        <v>English</v>
      </c>
      <c r="W1033" s="6" t="str">
        <f>IFERROR(__xludf.DUMMYFUNCTION("""COMPUTED_VALUE"""),"[]")</f>
        <v>[]</v>
      </c>
      <c r="X1033" s="6" t="str">
        <f>IFERROR(__xludf.DUMMYFUNCTION("""COMPUTED_VALUE"""),"Enrolled")</f>
        <v>Enrolled</v>
      </c>
    </row>
    <row r="1034">
      <c r="A1034" s="6" t="str">
        <f>IFERROR(__xludf.DUMMYFUNCTION("""COMPUTED_VALUE"""),"009-1158")</f>
        <v>009-1158</v>
      </c>
      <c r="B1034" s="6" t="str">
        <f>IFERROR(__xludf.DUMMYFUNCTION("""COMPUTED_VALUE"""),"9")</f>
        <v>9</v>
      </c>
      <c r="C1034" s="6" t="str">
        <f>IFERROR(__xludf.DUMMYFUNCTION("""COMPUTED_VALUE"""),"1158")</f>
        <v>1158</v>
      </c>
      <c r="D1034" s="6" t="str">
        <f>IFERROR(__xludf.DUMMYFUNCTION("""COMPUTED_VALUE"""),"Taisiia")</f>
        <v>Taisiia</v>
      </c>
      <c r="E1034" s="6" t="str">
        <f>IFERROR(__xludf.DUMMYFUNCTION("""COMPUTED_VALUE"""),"")</f>
        <v/>
      </c>
      <c r="F1034" s="6" t="str">
        <f>IFERROR(__xludf.DUMMYFUNCTION("""COMPUTED_VALUE"""),"Brichak")</f>
        <v>Brichak</v>
      </c>
      <c r="G1034" s="6" t="str">
        <f>IFERROR(__xludf.DUMMYFUNCTION("""COMPUTED_VALUE"""),"01/01/2010")</f>
        <v>01/01/2010</v>
      </c>
      <c r="H1034" s="6" t="str">
        <f>IFERROR(__xludf.DUMMYFUNCTION("""COMPUTED_VALUE"""),"Self Identify")</f>
        <v>Self Identify</v>
      </c>
      <c r="I1034" s="6" t="str">
        <f>IFERROR(__xludf.DUMMYFUNCTION("""COMPUTED_VALUE"""),"High School")</f>
        <v>High School</v>
      </c>
      <c r="J1034" s="6" t="str">
        <f>IFERROR(__xludf.DUMMYFUNCTION("""COMPUTED_VALUE"""),"9")</f>
        <v>9</v>
      </c>
      <c r="K1034" s="6" t="str">
        <f>IFERROR(__xludf.DUMMYFUNCTION("""COMPUTED_VALUE"""),"taisiia.brichak@2hourlearning.com")</f>
        <v>taisiia.brichak@2hourlearning.com</v>
      </c>
      <c r="L1034" s="6" t="str">
        <f>IFERROR(__xludf.DUMMYFUNCTION("""COMPUTED_VALUE"""),"Learn and Earn Poland")</f>
        <v>Learn and Earn Poland</v>
      </c>
      <c r="M1034" s="6" t="str">
        <f>IFERROR(__xludf.DUMMYFUNCTION("""COMPUTED_VALUE"""),"")</f>
        <v/>
      </c>
      <c r="N1034" s="6" t="str">
        <f>IFERROR(__xludf.DUMMYFUNCTION("""COMPUTED_VALUE"""),"")</f>
        <v/>
      </c>
      <c r="O1034" s="87" t="str">
        <f>IFERROR(__xludf.DUMMYFUNCTION("""COMPUTED_VALUE"""),"https://drive.google.com/drive/folders/10T2cTQHqEJZqE-st6uFKPoI?usp=share_link")</f>
        <v>https://drive.google.com/drive/folders/10T2cTQHqEJZqE-st6uFKPoI?usp=share_link</v>
      </c>
      <c r="P1034" s="6" t="str">
        <f>IFERROR(__xludf.DUMMYFUNCTION("""COMPUTED_VALUE"""),"Taisiia Brichak")</f>
        <v>Taisiia Brichak</v>
      </c>
      <c r="Q1034" s="6" t="str">
        <f>IFERROR(__xludf.DUMMYFUNCTION("""COMPUTED_VALUE"""),"HS")</f>
        <v>HS</v>
      </c>
      <c r="R1034" s="6">
        <f>IFERROR(__xludf.DUMMYFUNCTION("""COMPUTED_VALUE"""),0.0)</f>
        <v>0</v>
      </c>
      <c r="S1034" s="6" t="str">
        <f>IFERROR(__xludf.DUMMYFUNCTION("""COMPUTED_VALUE""")," ")</f>
        <v> </v>
      </c>
      <c r="T1034" s="6" t="str">
        <f>IFERROR(__xludf.DUMMYFUNCTION("""COMPUTED_VALUE"""),"")</f>
        <v/>
      </c>
      <c r="U1034" s="6" t="str">
        <f>IFERROR(__xludf.DUMMYFUNCTION("""COMPUTED_VALUE"""),"9")</f>
        <v>9</v>
      </c>
      <c r="V1034" s="6" t="str">
        <f>IFERROR(__xludf.DUMMYFUNCTION("""COMPUTED_VALUE"""),"English")</f>
        <v>English</v>
      </c>
      <c r="W1034" s="6" t="str">
        <f>IFERROR(__xludf.DUMMYFUNCTION("""COMPUTED_VALUE"""),"[]")</f>
        <v>[]</v>
      </c>
      <c r="X1034" s="6" t="str">
        <f>IFERROR(__xludf.DUMMYFUNCTION("""COMPUTED_VALUE"""),"Enrolled")</f>
        <v>Enrolled</v>
      </c>
    </row>
    <row r="1035">
      <c r="A1035" s="6" t="str">
        <f>IFERROR(__xludf.DUMMYFUNCTION("""COMPUTED_VALUE"""),"009-1159")</f>
        <v>009-1159</v>
      </c>
      <c r="B1035" s="6" t="str">
        <f>IFERROR(__xludf.DUMMYFUNCTION("""COMPUTED_VALUE"""),"9")</f>
        <v>9</v>
      </c>
      <c r="C1035" s="6" t="str">
        <f>IFERROR(__xludf.DUMMYFUNCTION("""COMPUTED_VALUE"""),"1159")</f>
        <v>1159</v>
      </c>
      <c r="D1035" s="6" t="str">
        <f>IFERROR(__xludf.DUMMYFUNCTION("""COMPUTED_VALUE"""),"Hlib")</f>
        <v>Hlib</v>
      </c>
      <c r="E1035" s="6" t="str">
        <f>IFERROR(__xludf.DUMMYFUNCTION("""COMPUTED_VALUE"""),"")</f>
        <v/>
      </c>
      <c r="F1035" s="6" t="str">
        <f>IFERROR(__xludf.DUMMYFUNCTION("""COMPUTED_VALUE"""),"Koval")</f>
        <v>Koval</v>
      </c>
      <c r="G1035" s="6" t="str">
        <f>IFERROR(__xludf.DUMMYFUNCTION("""COMPUTED_VALUE"""),"01/01/2010")</f>
        <v>01/01/2010</v>
      </c>
      <c r="H1035" s="6" t="str">
        <f>IFERROR(__xludf.DUMMYFUNCTION("""COMPUTED_VALUE"""),"Self Identify")</f>
        <v>Self Identify</v>
      </c>
      <c r="I1035" s="6" t="str">
        <f>IFERROR(__xludf.DUMMYFUNCTION("""COMPUTED_VALUE"""),"High School")</f>
        <v>High School</v>
      </c>
      <c r="J1035" s="6" t="str">
        <f>IFERROR(__xludf.DUMMYFUNCTION("""COMPUTED_VALUE"""),"9")</f>
        <v>9</v>
      </c>
      <c r="K1035" s="6" t="str">
        <f>IFERROR(__xludf.DUMMYFUNCTION("""COMPUTED_VALUE"""),"hlib.koval@2hourlearning.com")</f>
        <v>hlib.koval@2hourlearning.com</v>
      </c>
      <c r="L1035" s="6" t="str">
        <f>IFERROR(__xludf.DUMMYFUNCTION("""COMPUTED_VALUE"""),"Learn and Earn Poland")</f>
        <v>Learn and Earn Poland</v>
      </c>
      <c r="M1035" s="6" t="str">
        <f>IFERROR(__xludf.DUMMYFUNCTION("""COMPUTED_VALUE"""),"")</f>
        <v/>
      </c>
      <c r="N1035" s="6" t="str">
        <f>IFERROR(__xludf.DUMMYFUNCTION("""COMPUTED_VALUE"""),"")</f>
        <v/>
      </c>
      <c r="O1035" s="87" t="str">
        <f>IFERROR(__xludf.DUMMYFUNCTION("""COMPUTED_VALUE"""),"https://drive.google.com/drive/folders/10T2cTQHqEJZqE-st6uFKPoI?usp=share_link")</f>
        <v>https://drive.google.com/drive/folders/10T2cTQHqEJZqE-st6uFKPoI?usp=share_link</v>
      </c>
      <c r="P1035" s="6" t="str">
        <f>IFERROR(__xludf.DUMMYFUNCTION("""COMPUTED_VALUE"""),"Hlib Koval")</f>
        <v>Hlib Koval</v>
      </c>
      <c r="Q1035" s="6" t="str">
        <f>IFERROR(__xludf.DUMMYFUNCTION("""COMPUTED_VALUE"""),"HS")</f>
        <v>HS</v>
      </c>
      <c r="R1035" s="6">
        <f>IFERROR(__xludf.DUMMYFUNCTION("""COMPUTED_VALUE"""),0.0)</f>
        <v>0</v>
      </c>
      <c r="S1035" s="6" t="str">
        <f>IFERROR(__xludf.DUMMYFUNCTION("""COMPUTED_VALUE""")," ")</f>
        <v> </v>
      </c>
      <c r="T1035" s="6" t="str">
        <f>IFERROR(__xludf.DUMMYFUNCTION("""COMPUTED_VALUE"""),"")</f>
        <v/>
      </c>
      <c r="U1035" s="6" t="str">
        <f>IFERROR(__xludf.DUMMYFUNCTION("""COMPUTED_VALUE"""),"9")</f>
        <v>9</v>
      </c>
      <c r="V1035" s="6" t="str">
        <f>IFERROR(__xludf.DUMMYFUNCTION("""COMPUTED_VALUE"""),"English")</f>
        <v>English</v>
      </c>
      <c r="W1035" s="6" t="str">
        <f>IFERROR(__xludf.DUMMYFUNCTION("""COMPUTED_VALUE"""),"[]")</f>
        <v>[]</v>
      </c>
      <c r="X1035" s="6" t="str">
        <f>IFERROR(__xludf.DUMMYFUNCTION("""COMPUTED_VALUE"""),"Enrolled")</f>
        <v>Enrolled</v>
      </c>
    </row>
    <row r="1036">
      <c r="A1036" s="6" t="str">
        <f>IFERROR(__xludf.DUMMYFUNCTION("""COMPUTED_VALUE"""),"009-1160")</f>
        <v>009-1160</v>
      </c>
      <c r="B1036" s="6" t="str">
        <f>IFERROR(__xludf.DUMMYFUNCTION("""COMPUTED_VALUE"""),"9")</f>
        <v>9</v>
      </c>
      <c r="C1036" s="6" t="str">
        <f>IFERROR(__xludf.DUMMYFUNCTION("""COMPUTED_VALUE"""),"1160")</f>
        <v>1160</v>
      </c>
      <c r="D1036" s="6" t="str">
        <f>IFERROR(__xludf.DUMMYFUNCTION("""COMPUTED_VALUE"""),"Roksolana")</f>
        <v>Roksolana</v>
      </c>
      <c r="E1036" s="6" t="str">
        <f>IFERROR(__xludf.DUMMYFUNCTION("""COMPUTED_VALUE"""),"")</f>
        <v/>
      </c>
      <c r="F1036" s="6" t="str">
        <f>IFERROR(__xludf.DUMMYFUNCTION("""COMPUTED_VALUE"""),"Levytska")</f>
        <v>Levytska</v>
      </c>
      <c r="G1036" s="6" t="str">
        <f>IFERROR(__xludf.DUMMYFUNCTION("""COMPUTED_VALUE"""),"01/01/2010")</f>
        <v>01/01/2010</v>
      </c>
      <c r="H1036" s="6" t="str">
        <f>IFERROR(__xludf.DUMMYFUNCTION("""COMPUTED_VALUE"""),"Self Identify")</f>
        <v>Self Identify</v>
      </c>
      <c r="I1036" s="6" t="str">
        <f>IFERROR(__xludf.DUMMYFUNCTION("""COMPUTED_VALUE"""),"High School")</f>
        <v>High School</v>
      </c>
      <c r="J1036" s="6" t="str">
        <f>IFERROR(__xludf.DUMMYFUNCTION("""COMPUTED_VALUE"""),"9")</f>
        <v>9</v>
      </c>
      <c r="K1036" s="6" t="str">
        <f>IFERROR(__xludf.DUMMYFUNCTION("""COMPUTED_VALUE"""),"roksolana.levytska@2hourlearning.com")</f>
        <v>roksolana.levytska@2hourlearning.com</v>
      </c>
      <c r="L1036" s="6" t="str">
        <f>IFERROR(__xludf.DUMMYFUNCTION("""COMPUTED_VALUE"""),"Learn and Earn Poland")</f>
        <v>Learn and Earn Poland</v>
      </c>
      <c r="M1036" s="6" t="str">
        <f>IFERROR(__xludf.DUMMYFUNCTION("""COMPUTED_VALUE"""),"")</f>
        <v/>
      </c>
      <c r="N1036" s="6" t="str">
        <f>IFERROR(__xludf.DUMMYFUNCTION("""COMPUTED_VALUE"""),"")</f>
        <v/>
      </c>
      <c r="O1036" s="87" t="str">
        <f>IFERROR(__xludf.DUMMYFUNCTION("""COMPUTED_VALUE"""),"https://drive.google.com/drive/folders/10T2cTQHqEJZqE-st6uFKPoI?usp=share_link")</f>
        <v>https://drive.google.com/drive/folders/10T2cTQHqEJZqE-st6uFKPoI?usp=share_link</v>
      </c>
      <c r="P1036" s="6" t="str">
        <f>IFERROR(__xludf.DUMMYFUNCTION("""COMPUTED_VALUE"""),"Roksolana Levytska")</f>
        <v>Roksolana Levytska</v>
      </c>
      <c r="Q1036" s="6" t="str">
        <f>IFERROR(__xludf.DUMMYFUNCTION("""COMPUTED_VALUE"""),"HS")</f>
        <v>HS</v>
      </c>
      <c r="R1036" s="6">
        <f>IFERROR(__xludf.DUMMYFUNCTION("""COMPUTED_VALUE"""),0.0)</f>
        <v>0</v>
      </c>
      <c r="S1036" s="6" t="str">
        <f>IFERROR(__xludf.DUMMYFUNCTION("""COMPUTED_VALUE""")," ")</f>
        <v> </v>
      </c>
      <c r="T1036" s="6" t="str">
        <f>IFERROR(__xludf.DUMMYFUNCTION("""COMPUTED_VALUE"""),"")</f>
        <v/>
      </c>
      <c r="U1036" s="6" t="str">
        <f>IFERROR(__xludf.DUMMYFUNCTION("""COMPUTED_VALUE"""),"9")</f>
        <v>9</v>
      </c>
      <c r="V1036" s="6" t="str">
        <f>IFERROR(__xludf.DUMMYFUNCTION("""COMPUTED_VALUE"""),"English")</f>
        <v>English</v>
      </c>
      <c r="W1036" s="6" t="str">
        <f>IFERROR(__xludf.DUMMYFUNCTION("""COMPUTED_VALUE"""),"[]")</f>
        <v>[]</v>
      </c>
      <c r="X1036" s="6" t="str">
        <f>IFERROR(__xludf.DUMMYFUNCTION("""COMPUTED_VALUE"""),"Enrolled")</f>
        <v>Enrolled</v>
      </c>
    </row>
    <row r="1037">
      <c r="A1037" s="6" t="str">
        <f>IFERROR(__xludf.DUMMYFUNCTION("""COMPUTED_VALUE"""),"009-1161")</f>
        <v>009-1161</v>
      </c>
      <c r="B1037" s="6" t="str">
        <f>IFERROR(__xludf.DUMMYFUNCTION("""COMPUTED_VALUE"""),"9")</f>
        <v>9</v>
      </c>
      <c r="C1037" s="6" t="str">
        <f>IFERROR(__xludf.DUMMYFUNCTION("""COMPUTED_VALUE"""),"1161")</f>
        <v>1161</v>
      </c>
      <c r="D1037" s="6" t="str">
        <f>IFERROR(__xludf.DUMMYFUNCTION("""COMPUTED_VALUE"""),"Roman")</f>
        <v>Roman</v>
      </c>
      <c r="E1037" s="6" t="str">
        <f>IFERROR(__xludf.DUMMYFUNCTION("""COMPUTED_VALUE"""),"")</f>
        <v/>
      </c>
      <c r="F1037" s="6" t="str">
        <f>IFERROR(__xludf.DUMMYFUNCTION("""COMPUTED_VALUE"""),"Vasiura")</f>
        <v>Vasiura</v>
      </c>
      <c r="G1037" s="6" t="str">
        <f>IFERROR(__xludf.DUMMYFUNCTION("""COMPUTED_VALUE"""),"01/01/2010")</f>
        <v>01/01/2010</v>
      </c>
      <c r="H1037" s="6" t="str">
        <f>IFERROR(__xludf.DUMMYFUNCTION("""COMPUTED_VALUE"""),"Self Identify")</f>
        <v>Self Identify</v>
      </c>
      <c r="I1037" s="6" t="str">
        <f>IFERROR(__xludf.DUMMYFUNCTION("""COMPUTED_VALUE"""),"High School")</f>
        <v>High School</v>
      </c>
      <c r="J1037" s="6" t="str">
        <f>IFERROR(__xludf.DUMMYFUNCTION("""COMPUTED_VALUE"""),"9")</f>
        <v>9</v>
      </c>
      <c r="K1037" s="6" t="str">
        <f>IFERROR(__xludf.DUMMYFUNCTION("""COMPUTED_VALUE"""),"roman.vasiura@2hourlearning.com")</f>
        <v>roman.vasiura@2hourlearning.com</v>
      </c>
      <c r="L1037" s="6" t="str">
        <f>IFERROR(__xludf.DUMMYFUNCTION("""COMPUTED_VALUE"""),"Learn and Earn Poland")</f>
        <v>Learn and Earn Poland</v>
      </c>
      <c r="M1037" s="6" t="str">
        <f>IFERROR(__xludf.DUMMYFUNCTION("""COMPUTED_VALUE"""),"")</f>
        <v/>
      </c>
      <c r="N1037" s="6" t="str">
        <f>IFERROR(__xludf.DUMMYFUNCTION("""COMPUTED_VALUE"""),"")</f>
        <v/>
      </c>
      <c r="O1037" s="87" t="str">
        <f>IFERROR(__xludf.DUMMYFUNCTION("""COMPUTED_VALUE"""),"https://drive.google.com/drive/folders/10T2cTQHqEJZqE-st6uFKPoI?usp=share_link")</f>
        <v>https://drive.google.com/drive/folders/10T2cTQHqEJZqE-st6uFKPoI?usp=share_link</v>
      </c>
      <c r="P1037" s="6" t="str">
        <f>IFERROR(__xludf.DUMMYFUNCTION("""COMPUTED_VALUE"""),"Roman Vasiura")</f>
        <v>Roman Vasiura</v>
      </c>
      <c r="Q1037" s="6" t="str">
        <f>IFERROR(__xludf.DUMMYFUNCTION("""COMPUTED_VALUE"""),"HS")</f>
        <v>HS</v>
      </c>
      <c r="R1037" s="6">
        <f>IFERROR(__xludf.DUMMYFUNCTION("""COMPUTED_VALUE"""),0.0)</f>
        <v>0</v>
      </c>
      <c r="S1037" s="6" t="str">
        <f>IFERROR(__xludf.DUMMYFUNCTION("""COMPUTED_VALUE""")," ")</f>
        <v> </v>
      </c>
      <c r="T1037" s="6" t="str">
        <f>IFERROR(__xludf.DUMMYFUNCTION("""COMPUTED_VALUE"""),"")</f>
        <v/>
      </c>
      <c r="U1037" s="6" t="str">
        <f>IFERROR(__xludf.DUMMYFUNCTION("""COMPUTED_VALUE"""),"9")</f>
        <v>9</v>
      </c>
      <c r="V1037" s="6" t="str">
        <f>IFERROR(__xludf.DUMMYFUNCTION("""COMPUTED_VALUE"""),"English")</f>
        <v>English</v>
      </c>
      <c r="W1037" s="6" t="str">
        <f>IFERROR(__xludf.DUMMYFUNCTION("""COMPUTED_VALUE"""),"[]")</f>
        <v>[]</v>
      </c>
      <c r="X1037" s="6" t="str">
        <f>IFERROR(__xludf.DUMMYFUNCTION("""COMPUTED_VALUE"""),"Enrolled")</f>
        <v>Enrolled</v>
      </c>
    </row>
    <row r="1038">
      <c r="A1038" s="6" t="str">
        <f>IFERROR(__xludf.DUMMYFUNCTION("""COMPUTED_VALUE"""),"009-1162")</f>
        <v>009-1162</v>
      </c>
      <c r="B1038" s="6" t="str">
        <f>IFERROR(__xludf.DUMMYFUNCTION("""COMPUTED_VALUE"""),"9")</f>
        <v>9</v>
      </c>
      <c r="C1038" s="6" t="str">
        <f>IFERROR(__xludf.DUMMYFUNCTION("""COMPUTED_VALUE"""),"1162")</f>
        <v>1162</v>
      </c>
      <c r="D1038" s="6" t="str">
        <f>IFERROR(__xludf.DUMMYFUNCTION("""COMPUTED_VALUE"""),"Hunko")</f>
        <v>Hunko</v>
      </c>
      <c r="E1038" s="6" t="str">
        <f>IFERROR(__xludf.DUMMYFUNCTION("""COMPUTED_VALUE"""),"")</f>
        <v/>
      </c>
      <c r="F1038" s="6" t="str">
        <f>IFERROR(__xludf.DUMMYFUNCTION("""COMPUTED_VALUE"""),"Artem")</f>
        <v>Artem</v>
      </c>
      <c r="G1038" s="6" t="str">
        <f>IFERROR(__xludf.DUMMYFUNCTION("""COMPUTED_VALUE"""),"01/01/2010")</f>
        <v>01/01/2010</v>
      </c>
      <c r="H1038" s="6" t="str">
        <f>IFERROR(__xludf.DUMMYFUNCTION("""COMPUTED_VALUE"""),"Self Identify")</f>
        <v>Self Identify</v>
      </c>
      <c r="I1038" s="6" t="str">
        <f>IFERROR(__xludf.DUMMYFUNCTION("""COMPUTED_VALUE"""),"High School")</f>
        <v>High School</v>
      </c>
      <c r="J1038" s="6" t="str">
        <f>IFERROR(__xludf.DUMMYFUNCTION("""COMPUTED_VALUE"""),"9")</f>
        <v>9</v>
      </c>
      <c r="K1038" s="6" t="str">
        <f>IFERROR(__xludf.DUMMYFUNCTION("""COMPUTED_VALUE"""),"hunko.artem@2hourlearning.com")</f>
        <v>hunko.artem@2hourlearning.com</v>
      </c>
      <c r="L1038" s="6" t="str">
        <f>IFERROR(__xludf.DUMMYFUNCTION("""COMPUTED_VALUE"""),"Learn and Earn Poland")</f>
        <v>Learn and Earn Poland</v>
      </c>
      <c r="M1038" s="6" t="str">
        <f>IFERROR(__xludf.DUMMYFUNCTION("""COMPUTED_VALUE"""),"")</f>
        <v/>
      </c>
      <c r="N1038" s="6" t="str">
        <f>IFERROR(__xludf.DUMMYFUNCTION("""COMPUTED_VALUE"""),"")</f>
        <v/>
      </c>
      <c r="O1038" s="87" t="str">
        <f>IFERROR(__xludf.DUMMYFUNCTION("""COMPUTED_VALUE"""),"https://drive.google.com/drive/folders/10T2cTQHqEJZqE-st6uFKPoI?usp=share_link")</f>
        <v>https://drive.google.com/drive/folders/10T2cTQHqEJZqE-st6uFKPoI?usp=share_link</v>
      </c>
      <c r="P1038" s="6" t="str">
        <f>IFERROR(__xludf.DUMMYFUNCTION("""COMPUTED_VALUE"""),"Hunko Artem")</f>
        <v>Hunko Artem</v>
      </c>
      <c r="Q1038" s="6" t="str">
        <f>IFERROR(__xludf.DUMMYFUNCTION("""COMPUTED_VALUE"""),"HS")</f>
        <v>HS</v>
      </c>
      <c r="R1038" s="6">
        <f>IFERROR(__xludf.DUMMYFUNCTION("""COMPUTED_VALUE"""),0.0)</f>
        <v>0</v>
      </c>
      <c r="S1038" s="6" t="str">
        <f>IFERROR(__xludf.DUMMYFUNCTION("""COMPUTED_VALUE""")," ")</f>
        <v> </v>
      </c>
      <c r="T1038" s="6" t="str">
        <f>IFERROR(__xludf.DUMMYFUNCTION("""COMPUTED_VALUE"""),"")</f>
        <v/>
      </c>
      <c r="U1038" s="6" t="str">
        <f>IFERROR(__xludf.DUMMYFUNCTION("""COMPUTED_VALUE"""),"9")</f>
        <v>9</v>
      </c>
      <c r="V1038" s="6" t="str">
        <f>IFERROR(__xludf.DUMMYFUNCTION("""COMPUTED_VALUE"""),"English")</f>
        <v>English</v>
      </c>
      <c r="W1038" s="6" t="str">
        <f>IFERROR(__xludf.DUMMYFUNCTION("""COMPUTED_VALUE"""),"[]")</f>
        <v>[]</v>
      </c>
      <c r="X1038" s="6" t="str">
        <f>IFERROR(__xludf.DUMMYFUNCTION("""COMPUTED_VALUE"""),"Enrolled")</f>
        <v>Enrolled</v>
      </c>
    </row>
    <row r="1039">
      <c r="A1039" s="6" t="str">
        <f>IFERROR(__xludf.DUMMYFUNCTION("""COMPUTED_VALUE"""),"009-1163")</f>
        <v>009-1163</v>
      </c>
      <c r="B1039" s="6" t="str">
        <f>IFERROR(__xludf.DUMMYFUNCTION("""COMPUTED_VALUE"""),"9")</f>
        <v>9</v>
      </c>
      <c r="C1039" s="6" t="str">
        <f>IFERROR(__xludf.DUMMYFUNCTION("""COMPUTED_VALUE"""),"1163")</f>
        <v>1163</v>
      </c>
      <c r="D1039" s="6" t="str">
        <f>IFERROR(__xludf.DUMMYFUNCTION("""COMPUTED_VALUE"""),"Palii")</f>
        <v>Palii</v>
      </c>
      <c r="E1039" s="6" t="str">
        <f>IFERROR(__xludf.DUMMYFUNCTION("""COMPUTED_VALUE"""),"")</f>
        <v/>
      </c>
      <c r="F1039" s="6" t="str">
        <f>IFERROR(__xludf.DUMMYFUNCTION("""COMPUTED_VALUE"""),"Yaroslav")</f>
        <v>Yaroslav</v>
      </c>
      <c r="G1039" s="6" t="str">
        <f>IFERROR(__xludf.DUMMYFUNCTION("""COMPUTED_VALUE"""),"01/01/2010")</f>
        <v>01/01/2010</v>
      </c>
      <c r="H1039" s="6" t="str">
        <f>IFERROR(__xludf.DUMMYFUNCTION("""COMPUTED_VALUE"""),"Self Identify")</f>
        <v>Self Identify</v>
      </c>
      <c r="I1039" s="6" t="str">
        <f>IFERROR(__xludf.DUMMYFUNCTION("""COMPUTED_VALUE"""),"High School")</f>
        <v>High School</v>
      </c>
      <c r="J1039" s="6" t="str">
        <f>IFERROR(__xludf.DUMMYFUNCTION("""COMPUTED_VALUE"""),"9")</f>
        <v>9</v>
      </c>
      <c r="K1039" s="6" t="str">
        <f>IFERROR(__xludf.DUMMYFUNCTION("""COMPUTED_VALUE"""),"palii.yaroslav@2hourlearning.com")</f>
        <v>palii.yaroslav@2hourlearning.com</v>
      </c>
      <c r="L1039" s="6" t="str">
        <f>IFERROR(__xludf.DUMMYFUNCTION("""COMPUTED_VALUE"""),"Learn and Earn Poland")</f>
        <v>Learn and Earn Poland</v>
      </c>
      <c r="M1039" s="6" t="str">
        <f>IFERROR(__xludf.DUMMYFUNCTION("""COMPUTED_VALUE"""),"")</f>
        <v/>
      </c>
      <c r="N1039" s="6" t="str">
        <f>IFERROR(__xludf.DUMMYFUNCTION("""COMPUTED_VALUE"""),"")</f>
        <v/>
      </c>
      <c r="O1039" s="87" t="str">
        <f>IFERROR(__xludf.DUMMYFUNCTION("""COMPUTED_VALUE"""),"https://drive.google.com/drive/folders/10T2cTQHqEJZqE-st6uFKPoI?usp=share_link")</f>
        <v>https://drive.google.com/drive/folders/10T2cTQHqEJZqE-st6uFKPoI?usp=share_link</v>
      </c>
      <c r="P1039" s="6" t="str">
        <f>IFERROR(__xludf.DUMMYFUNCTION("""COMPUTED_VALUE"""),"Palii Yaroslav")</f>
        <v>Palii Yaroslav</v>
      </c>
      <c r="Q1039" s="6" t="str">
        <f>IFERROR(__xludf.DUMMYFUNCTION("""COMPUTED_VALUE"""),"HS")</f>
        <v>HS</v>
      </c>
      <c r="R1039" s="6">
        <f>IFERROR(__xludf.DUMMYFUNCTION("""COMPUTED_VALUE"""),0.0)</f>
        <v>0</v>
      </c>
      <c r="S1039" s="6" t="str">
        <f>IFERROR(__xludf.DUMMYFUNCTION("""COMPUTED_VALUE""")," ")</f>
        <v> </v>
      </c>
      <c r="T1039" s="6" t="str">
        <f>IFERROR(__xludf.DUMMYFUNCTION("""COMPUTED_VALUE"""),"")</f>
        <v/>
      </c>
      <c r="U1039" s="6" t="str">
        <f>IFERROR(__xludf.DUMMYFUNCTION("""COMPUTED_VALUE"""),"9")</f>
        <v>9</v>
      </c>
      <c r="V1039" s="6" t="str">
        <f>IFERROR(__xludf.DUMMYFUNCTION("""COMPUTED_VALUE"""),"English")</f>
        <v>English</v>
      </c>
      <c r="W1039" s="6" t="str">
        <f>IFERROR(__xludf.DUMMYFUNCTION("""COMPUTED_VALUE"""),"[]")</f>
        <v>[]</v>
      </c>
      <c r="X1039" s="6" t="str">
        <f>IFERROR(__xludf.DUMMYFUNCTION("""COMPUTED_VALUE"""),"Enrolled")</f>
        <v>Enrolled</v>
      </c>
    </row>
    <row r="1040">
      <c r="A1040" s="6" t="str">
        <f>IFERROR(__xludf.DUMMYFUNCTION("""COMPUTED_VALUE"""),"009-1164")</f>
        <v>009-1164</v>
      </c>
      <c r="B1040" s="6" t="str">
        <f>IFERROR(__xludf.DUMMYFUNCTION("""COMPUTED_VALUE"""),"9")</f>
        <v>9</v>
      </c>
      <c r="C1040" s="6" t="str">
        <f>IFERROR(__xludf.DUMMYFUNCTION("""COMPUTED_VALUE"""),"1164")</f>
        <v>1164</v>
      </c>
      <c r="D1040" s="6" t="str">
        <f>IFERROR(__xludf.DUMMYFUNCTION("""COMPUTED_VALUE"""),"Chirpak")</f>
        <v>Chirpak</v>
      </c>
      <c r="E1040" s="6" t="str">
        <f>IFERROR(__xludf.DUMMYFUNCTION("""COMPUTED_VALUE"""),"")</f>
        <v/>
      </c>
      <c r="F1040" s="6" t="str">
        <f>IFERROR(__xludf.DUMMYFUNCTION("""COMPUTED_VALUE"""),"Ester")</f>
        <v>Ester</v>
      </c>
      <c r="G1040" s="6" t="str">
        <f>IFERROR(__xludf.DUMMYFUNCTION("""COMPUTED_VALUE"""),"01/01/2009")</f>
        <v>01/01/2009</v>
      </c>
      <c r="H1040" s="6" t="str">
        <f>IFERROR(__xludf.DUMMYFUNCTION("""COMPUTED_VALUE"""),"Self Identify")</f>
        <v>Self Identify</v>
      </c>
      <c r="I1040" s="6" t="str">
        <f>IFERROR(__xludf.DUMMYFUNCTION("""COMPUTED_VALUE"""),"High School")</f>
        <v>High School</v>
      </c>
      <c r="J1040" s="6" t="str">
        <f>IFERROR(__xludf.DUMMYFUNCTION("""COMPUTED_VALUE"""),"10")</f>
        <v>10</v>
      </c>
      <c r="K1040" s="6" t="str">
        <f>IFERROR(__xludf.DUMMYFUNCTION("""COMPUTED_VALUE"""),"chirpak.ester@2hourlearning.com")</f>
        <v>chirpak.ester@2hourlearning.com</v>
      </c>
      <c r="L1040" s="6" t="str">
        <f>IFERROR(__xludf.DUMMYFUNCTION("""COMPUTED_VALUE"""),"Learn and Earn Poland")</f>
        <v>Learn and Earn Poland</v>
      </c>
      <c r="M1040" s="6" t="str">
        <f>IFERROR(__xludf.DUMMYFUNCTION("""COMPUTED_VALUE"""),"")</f>
        <v/>
      </c>
      <c r="N1040" s="6" t="str">
        <f>IFERROR(__xludf.DUMMYFUNCTION("""COMPUTED_VALUE"""),"")</f>
        <v/>
      </c>
      <c r="O1040" s="87" t="str">
        <f>IFERROR(__xludf.DUMMYFUNCTION("""COMPUTED_VALUE"""),"https://drive.google.com/drive/folders/10T2cTQHqEJZqE-st6uFKPoI?usp=share_link")</f>
        <v>https://drive.google.com/drive/folders/10T2cTQHqEJZqE-st6uFKPoI?usp=share_link</v>
      </c>
      <c r="P1040" s="6" t="str">
        <f>IFERROR(__xludf.DUMMYFUNCTION("""COMPUTED_VALUE"""),"Chirpak Ester")</f>
        <v>Chirpak Ester</v>
      </c>
      <c r="Q1040" s="6" t="str">
        <f>IFERROR(__xludf.DUMMYFUNCTION("""COMPUTED_VALUE"""),"HS")</f>
        <v>HS</v>
      </c>
      <c r="R1040" s="6">
        <f>IFERROR(__xludf.DUMMYFUNCTION("""COMPUTED_VALUE"""),0.0)</f>
        <v>0</v>
      </c>
      <c r="S1040" s="6" t="str">
        <f>IFERROR(__xludf.DUMMYFUNCTION("""COMPUTED_VALUE""")," ")</f>
        <v> </v>
      </c>
      <c r="T1040" s="6" t="str">
        <f>IFERROR(__xludf.DUMMYFUNCTION("""COMPUTED_VALUE"""),"")</f>
        <v/>
      </c>
      <c r="U1040" s="6" t="str">
        <f>IFERROR(__xludf.DUMMYFUNCTION("""COMPUTED_VALUE"""),"10")</f>
        <v>10</v>
      </c>
      <c r="V1040" s="6" t="str">
        <f>IFERROR(__xludf.DUMMYFUNCTION("""COMPUTED_VALUE"""),"English")</f>
        <v>English</v>
      </c>
      <c r="W1040" s="6" t="str">
        <f>IFERROR(__xludf.DUMMYFUNCTION("""COMPUTED_VALUE"""),"[]")</f>
        <v>[]</v>
      </c>
      <c r="X1040" s="6" t="str">
        <f>IFERROR(__xludf.DUMMYFUNCTION("""COMPUTED_VALUE"""),"Enrolled")</f>
        <v>Enrolled</v>
      </c>
    </row>
    <row r="1041">
      <c r="A1041" s="6" t="str">
        <f>IFERROR(__xludf.DUMMYFUNCTION("""COMPUTED_VALUE"""),"009-1165")</f>
        <v>009-1165</v>
      </c>
      <c r="B1041" s="6" t="str">
        <f>IFERROR(__xludf.DUMMYFUNCTION("""COMPUTED_VALUE"""),"9")</f>
        <v>9</v>
      </c>
      <c r="C1041" s="6" t="str">
        <f>IFERROR(__xludf.DUMMYFUNCTION("""COMPUTED_VALUE"""),"1165")</f>
        <v>1165</v>
      </c>
      <c r="D1041" s="6" t="str">
        <f>IFERROR(__xludf.DUMMYFUNCTION("""COMPUTED_VALUE"""),"Bilov")</f>
        <v>Bilov</v>
      </c>
      <c r="E1041" s="6" t="str">
        <f>IFERROR(__xludf.DUMMYFUNCTION("""COMPUTED_VALUE"""),"")</f>
        <v/>
      </c>
      <c r="F1041" s="6" t="str">
        <f>IFERROR(__xludf.DUMMYFUNCTION("""COMPUTED_VALUE"""),"Arsenii")</f>
        <v>Arsenii</v>
      </c>
      <c r="G1041" s="6" t="str">
        <f>IFERROR(__xludf.DUMMYFUNCTION("""COMPUTED_VALUE"""),"01/01/2009")</f>
        <v>01/01/2009</v>
      </c>
      <c r="H1041" s="6" t="str">
        <f>IFERROR(__xludf.DUMMYFUNCTION("""COMPUTED_VALUE"""),"Self Identify")</f>
        <v>Self Identify</v>
      </c>
      <c r="I1041" s="6" t="str">
        <f>IFERROR(__xludf.DUMMYFUNCTION("""COMPUTED_VALUE"""),"High School")</f>
        <v>High School</v>
      </c>
      <c r="J1041" s="6" t="str">
        <f>IFERROR(__xludf.DUMMYFUNCTION("""COMPUTED_VALUE"""),"10")</f>
        <v>10</v>
      </c>
      <c r="K1041" s="6" t="str">
        <f>IFERROR(__xludf.DUMMYFUNCTION("""COMPUTED_VALUE"""),"bilov.arsenii@2hourlearning.com")</f>
        <v>bilov.arsenii@2hourlearning.com</v>
      </c>
      <c r="L1041" s="6" t="str">
        <f>IFERROR(__xludf.DUMMYFUNCTION("""COMPUTED_VALUE"""),"Learn and Earn Poland")</f>
        <v>Learn and Earn Poland</v>
      </c>
      <c r="M1041" s="6" t="str">
        <f>IFERROR(__xludf.DUMMYFUNCTION("""COMPUTED_VALUE"""),"")</f>
        <v/>
      </c>
      <c r="N1041" s="6" t="str">
        <f>IFERROR(__xludf.DUMMYFUNCTION("""COMPUTED_VALUE"""),"")</f>
        <v/>
      </c>
      <c r="O1041" s="87" t="str">
        <f>IFERROR(__xludf.DUMMYFUNCTION("""COMPUTED_VALUE"""),"https://drive.google.com/drive/folders/10T2cTQHqEJZqE-st6uFKPoI?usp=share_link")</f>
        <v>https://drive.google.com/drive/folders/10T2cTQHqEJZqE-st6uFKPoI?usp=share_link</v>
      </c>
      <c r="P1041" s="6" t="str">
        <f>IFERROR(__xludf.DUMMYFUNCTION("""COMPUTED_VALUE"""),"Bilov Arsenii")</f>
        <v>Bilov Arsenii</v>
      </c>
      <c r="Q1041" s="6" t="str">
        <f>IFERROR(__xludf.DUMMYFUNCTION("""COMPUTED_VALUE"""),"HS")</f>
        <v>HS</v>
      </c>
      <c r="R1041" s="6">
        <f>IFERROR(__xludf.DUMMYFUNCTION("""COMPUTED_VALUE"""),0.0)</f>
        <v>0</v>
      </c>
      <c r="S1041" s="6" t="str">
        <f>IFERROR(__xludf.DUMMYFUNCTION("""COMPUTED_VALUE""")," ")</f>
        <v> </v>
      </c>
      <c r="T1041" s="6" t="str">
        <f>IFERROR(__xludf.DUMMYFUNCTION("""COMPUTED_VALUE"""),"")</f>
        <v/>
      </c>
      <c r="U1041" s="6" t="str">
        <f>IFERROR(__xludf.DUMMYFUNCTION("""COMPUTED_VALUE"""),"10")</f>
        <v>10</v>
      </c>
      <c r="V1041" s="6" t="str">
        <f>IFERROR(__xludf.DUMMYFUNCTION("""COMPUTED_VALUE"""),"English")</f>
        <v>English</v>
      </c>
      <c r="W1041" s="6" t="str">
        <f>IFERROR(__xludf.DUMMYFUNCTION("""COMPUTED_VALUE"""),"[]")</f>
        <v>[]</v>
      </c>
      <c r="X1041" s="6" t="str">
        <f>IFERROR(__xludf.DUMMYFUNCTION("""COMPUTED_VALUE"""),"Enrolled")</f>
        <v>Enrolled</v>
      </c>
    </row>
    <row r="1042">
      <c r="A1042" s="6" t="str">
        <f>IFERROR(__xludf.DUMMYFUNCTION("""COMPUTED_VALUE"""),"009-1166")</f>
        <v>009-1166</v>
      </c>
      <c r="B1042" s="6" t="str">
        <f>IFERROR(__xludf.DUMMYFUNCTION("""COMPUTED_VALUE"""),"9")</f>
        <v>9</v>
      </c>
      <c r="C1042" s="6" t="str">
        <f>IFERROR(__xludf.DUMMYFUNCTION("""COMPUTED_VALUE"""),"1166")</f>
        <v>1166</v>
      </c>
      <c r="D1042" s="6" t="str">
        <f>IFERROR(__xludf.DUMMYFUNCTION("""COMPUTED_VALUE"""),"Daria")</f>
        <v>Daria</v>
      </c>
      <c r="E1042" s="6" t="str">
        <f>IFERROR(__xludf.DUMMYFUNCTION("""COMPUTED_VALUE"""),"")</f>
        <v/>
      </c>
      <c r="F1042" s="6" t="str">
        <f>IFERROR(__xludf.DUMMYFUNCTION("""COMPUTED_VALUE"""),"Novenko")</f>
        <v>Novenko</v>
      </c>
      <c r="G1042" s="6" t="str">
        <f>IFERROR(__xludf.DUMMYFUNCTION("""COMPUTED_VALUE"""),"01/01/2009")</f>
        <v>01/01/2009</v>
      </c>
      <c r="H1042" s="6" t="str">
        <f>IFERROR(__xludf.DUMMYFUNCTION("""COMPUTED_VALUE"""),"Self Identify")</f>
        <v>Self Identify</v>
      </c>
      <c r="I1042" s="6" t="str">
        <f>IFERROR(__xludf.DUMMYFUNCTION("""COMPUTED_VALUE"""),"High School")</f>
        <v>High School</v>
      </c>
      <c r="J1042" s="6" t="str">
        <f>IFERROR(__xludf.DUMMYFUNCTION("""COMPUTED_VALUE"""),"10")</f>
        <v>10</v>
      </c>
      <c r="K1042" s="6" t="str">
        <f>IFERROR(__xludf.DUMMYFUNCTION("""COMPUTED_VALUE"""),"daria.novenko@2hourlearning.com")</f>
        <v>daria.novenko@2hourlearning.com</v>
      </c>
      <c r="L1042" s="6" t="str">
        <f>IFERROR(__xludf.DUMMYFUNCTION("""COMPUTED_VALUE"""),"Learn and Earn Poland")</f>
        <v>Learn and Earn Poland</v>
      </c>
      <c r="M1042" s="6" t="str">
        <f>IFERROR(__xludf.DUMMYFUNCTION("""COMPUTED_VALUE"""),"")</f>
        <v/>
      </c>
      <c r="N1042" s="6" t="str">
        <f>IFERROR(__xludf.DUMMYFUNCTION("""COMPUTED_VALUE"""),"")</f>
        <v/>
      </c>
      <c r="O1042" s="87" t="str">
        <f>IFERROR(__xludf.DUMMYFUNCTION("""COMPUTED_VALUE"""),"https://drive.google.com/drive/folders/10T2cTQHqEJZqE-st6uFKPoI?usp=share_link")</f>
        <v>https://drive.google.com/drive/folders/10T2cTQHqEJZqE-st6uFKPoI?usp=share_link</v>
      </c>
      <c r="P1042" s="6" t="str">
        <f>IFERROR(__xludf.DUMMYFUNCTION("""COMPUTED_VALUE"""),"Daria Novenko")</f>
        <v>Daria Novenko</v>
      </c>
      <c r="Q1042" s="6" t="str">
        <f>IFERROR(__xludf.DUMMYFUNCTION("""COMPUTED_VALUE"""),"HS")</f>
        <v>HS</v>
      </c>
      <c r="R1042" s="6">
        <f>IFERROR(__xludf.DUMMYFUNCTION("""COMPUTED_VALUE"""),0.0)</f>
        <v>0</v>
      </c>
      <c r="S1042" s="6" t="str">
        <f>IFERROR(__xludf.DUMMYFUNCTION("""COMPUTED_VALUE""")," ")</f>
        <v> </v>
      </c>
      <c r="T1042" s="6" t="str">
        <f>IFERROR(__xludf.DUMMYFUNCTION("""COMPUTED_VALUE"""),"")</f>
        <v/>
      </c>
      <c r="U1042" s="6" t="str">
        <f>IFERROR(__xludf.DUMMYFUNCTION("""COMPUTED_VALUE"""),"10")</f>
        <v>10</v>
      </c>
      <c r="V1042" s="6" t="str">
        <f>IFERROR(__xludf.DUMMYFUNCTION("""COMPUTED_VALUE"""),"English")</f>
        <v>English</v>
      </c>
      <c r="W1042" s="6" t="str">
        <f>IFERROR(__xludf.DUMMYFUNCTION("""COMPUTED_VALUE"""),"[]")</f>
        <v>[]</v>
      </c>
      <c r="X1042" s="6" t="str">
        <f>IFERROR(__xludf.DUMMYFUNCTION("""COMPUTED_VALUE"""),"Enrolled")</f>
        <v>Enrolled</v>
      </c>
    </row>
    <row r="1043">
      <c r="A1043" s="6" t="str">
        <f>IFERROR(__xludf.DUMMYFUNCTION("""COMPUTED_VALUE"""),"009-1168")</f>
        <v>009-1168</v>
      </c>
      <c r="B1043" s="6" t="str">
        <f>IFERROR(__xludf.DUMMYFUNCTION("""COMPUTED_VALUE"""),"9")</f>
        <v>9</v>
      </c>
      <c r="C1043" s="6" t="str">
        <f>IFERROR(__xludf.DUMMYFUNCTION("""COMPUTED_VALUE"""),"1168")</f>
        <v>1168</v>
      </c>
      <c r="D1043" s="6" t="str">
        <f>IFERROR(__xludf.DUMMYFUNCTION("""COMPUTED_VALUE"""),"Davydenko")</f>
        <v>Davydenko</v>
      </c>
      <c r="E1043" s="6" t="str">
        <f>IFERROR(__xludf.DUMMYFUNCTION("""COMPUTED_VALUE"""),"")</f>
        <v/>
      </c>
      <c r="F1043" s="6" t="str">
        <f>IFERROR(__xludf.DUMMYFUNCTION("""COMPUTED_VALUE"""),"Yevhenii")</f>
        <v>Yevhenii</v>
      </c>
      <c r="G1043" s="6" t="str">
        <f>IFERROR(__xludf.DUMMYFUNCTION("""COMPUTED_VALUE"""),"01/01/2009")</f>
        <v>01/01/2009</v>
      </c>
      <c r="H1043" s="6" t="str">
        <f>IFERROR(__xludf.DUMMYFUNCTION("""COMPUTED_VALUE"""),"Self Identify")</f>
        <v>Self Identify</v>
      </c>
      <c r="I1043" s="6" t="str">
        <f>IFERROR(__xludf.DUMMYFUNCTION("""COMPUTED_VALUE"""),"High School")</f>
        <v>High School</v>
      </c>
      <c r="J1043" s="6" t="str">
        <f>IFERROR(__xludf.DUMMYFUNCTION("""COMPUTED_VALUE"""),"10")</f>
        <v>10</v>
      </c>
      <c r="K1043" s="6" t="str">
        <f>IFERROR(__xludf.DUMMYFUNCTION("""COMPUTED_VALUE"""),"davydenko.yevhenii@2hourlearning.com")</f>
        <v>davydenko.yevhenii@2hourlearning.com</v>
      </c>
      <c r="L1043" s="6" t="str">
        <f>IFERROR(__xludf.DUMMYFUNCTION("""COMPUTED_VALUE"""),"Learn and Earn Poland")</f>
        <v>Learn and Earn Poland</v>
      </c>
      <c r="M1043" s="6" t="str">
        <f>IFERROR(__xludf.DUMMYFUNCTION("""COMPUTED_VALUE"""),"")</f>
        <v/>
      </c>
      <c r="N1043" s="6" t="str">
        <f>IFERROR(__xludf.DUMMYFUNCTION("""COMPUTED_VALUE"""),"")</f>
        <v/>
      </c>
      <c r="O1043" s="87" t="str">
        <f>IFERROR(__xludf.DUMMYFUNCTION("""COMPUTED_VALUE"""),"https://drive.google.com/drive/folders/10T2cTQHqEJZqE-st6uFKPoI?usp=share_link")</f>
        <v>https://drive.google.com/drive/folders/10T2cTQHqEJZqE-st6uFKPoI?usp=share_link</v>
      </c>
      <c r="P1043" s="6" t="str">
        <f>IFERROR(__xludf.DUMMYFUNCTION("""COMPUTED_VALUE"""),"Davydenko Yevhenii")</f>
        <v>Davydenko Yevhenii</v>
      </c>
      <c r="Q1043" s="6" t="str">
        <f>IFERROR(__xludf.DUMMYFUNCTION("""COMPUTED_VALUE"""),"HS")</f>
        <v>HS</v>
      </c>
      <c r="R1043" s="6">
        <f>IFERROR(__xludf.DUMMYFUNCTION("""COMPUTED_VALUE"""),0.0)</f>
        <v>0</v>
      </c>
      <c r="S1043" s="6" t="str">
        <f>IFERROR(__xludf.DUMMYFUNCTION("""COMPUTED_VALUE""")," ")</f>
        <v> </v>
      </c>
      <c r="T1043" s="6" t="str">
        <f>IFERROR(__xludf.DUMMYFUNCTION("""COMPUTED_VALUE"""),"")</f>
        <v/>
      </c>
      <c r="U1043" s="6" t="str">
        <f>IFERROR(__xludf.DUMMYFUNCTION("""COMPUTED_VALUE"""),"10")</f>
        <v>10</v>
      </c>
      <c r="V1043" s="6" t="str">
        <f>IFERROR(__xludf.DUMMYFUNCTION("""COMPUTED_VALUE"""),"English")</f>
        <v>English</v>
      </c>
      <c r="W1043" s="6" t="str">
        <f>IFERROR(__xludf.DUMMYFUNCTION("""COMPUTED_VALUE"""),"[]")</f>
        <v>[]</v>
      </c>
      <c r="X1043" s="6" t="str">
        <f>IFERROR(__xludf.DUMMYFUNCTION("""COMPUTED_VALUE"""),"Enrolled")</f>
        <v>Enrolled</v>
      </c>
    </row>
    <row r="1044">
      <c r="A1044" s="6" t="str">
        <f>IFERROR(__xludf.DUMMYFUNCTION("""COMPUTED_VALUE"""),"009-1169")</f>
        <v>009-1169</v>
      </c>
      <c r="B1044" s="6" t="str">
        <f>IFERROR(__xludf.DUMMYFUNCTION("""COMPUTED_VALUE"""),"9")</f>
        <v>9</v>
      </c>
      <c r="C1044" s="6" t="str">
        <f>IFERROR(__xludf.DUMMYFUNCTION("""COMPUTED_VALUE"""),"1169")</f>
        <v>1169</v>
      </c>
      <c r="D1044" s="6" t="str">
        <f>IFERROR(__xludf.DUMMYFUNCTION("""COMPUTED_VALUE"""),"Sebestyen")</f>
        <v>Sebestyen</v>
      </c>
      <c r="E1044" s="6" t="str">
        <f>IFERROR(__xludf.DUMMYFUNCTION("""COMPUTED_VALUE"""),"")</f>
        <v/>
      </c>
      <c r="F1044" s="6" t="str">
        <f>IFERROR(__xludf.DUMMYFUNCTION("""COMPUTED_VALUE"""),"Mark")</f>
        <v>Mark</v>
      </c>
      <c r="G1044" s="6" t="str">
        <f>IFERROR(__xludf.DUMMYFUNCTION("""COMPUTED_VALUE"""),"01/01/2009")</f>
        <v>01/01/2009</v>
      </c>
      <c r="H1044" s="6" t="str">
        <f>IFERROR(__xludf.DUMMYFUNCTION("""COMPUTED_VALUE"""),"Self Identify")</f>
        <v>Self Identify</v>
      </c>
      <c r="I1044" s="6" t="str">
        <f>IFERROR(__xludf.DUMMYFUNCTION("""COMPUTED_VALUE"""),"High School")</f>
        <v>High School</v>
      </c>
      <c r="J1044" s="6" t="str">
        <f>IFERROR(__xludf.DUMMYFUNCTION("""COMPUTED_VALUE"""),"10")</f>
        <v>10</v>
      </c>
      <c r="K1044" s="6" t="str">
        <f>IFERROR(__xludf.DUMMYFUNCTION("""COMPUTED_VALUE"""),"sebestyen.mark@2hourlearning.com")</f>
        <v>sebestyen.mark@2hourlearning.com</v>
      </c>
      <c r="L1044" s="6" t="str">
        <f>IFERROR(__xludf.DUMMYFUNCTION("""COMPUTED_VALUE"""),"Learn and Earn Poland")</f>
        <v>Learn and Earn Poland</v>
      </c>
      <c r="M1044" s="6" t="str">
        <f>IFERROR(__xludf.DUMMYFUNCTION("""COMPUTED_VALUE"""),"")</f>
        <v/>
      </c>
      <c r="N1044" s="6" t="str">
        <f>IFERROR(__xludf.DUMMYFUNCTION("""COMPUTED_VALUE"""),"")</f>
        <v/>
      </c>
      <c r="O1044" s="87" t="str">
        <f>IFERROR(__xludf.DUMMYFUNCTION("""COMPUTED_VALUE"""),"https://drive.google.com/drive/folders/10T2cTQHqEJZqE-st6uFKPoI?usp=share_link")</f>
        <v>https://drive.google.com/drive/folders/10T2cTQHqEJZqE-st6uFKPoI?usp=share_link</v>
      </c>
      <c r="P1044" s="6" t="str">
        <f>IFERROR(__xludf.DUMMYFUNCTION("""COMPUTED_VALUE"""),"Sebestyen Mark")</f>
        <v>Sebestyen Mark</v>
      </c>
      <c r="Q1044" s="6" t="str">
        <f>IFERROR(__xludf.DUMMYFUNCTION("""COMPUTED_VALUE"""),"HS")</f>
        <v>HS</v>
      </c>
      <c r="R1044" s="6">
        <f>IFERROR(__xludf.DUMMYFUNCTION("""COMPUTED_VALUE"""),0.0)</f>
        <v>0</v>
      </c>
      <c r="S1044" s="6" t="str">
        <f>IFERROR(__xludf.DUMMYFUNCTION("""COMPUTED_VALUE""")," ")</f>
        <v> </v>
      </c>
      <c r="T1044" s="6" t="str">
        <f>IFERROR(__xludf.DUMMYFUNCTION("""COMPUTED_VALUE"""),"")</f>
        <v/>
      </c>
      <c r="U1044" s="6" t="str">
        <f>IFERROR(__xludf.DUMMYFUNCTION("""COMPUTED_VALUE"""),"10")</f>
        <v>10</v>
      </c>
      <c r="V1044" s="6" t="str">
        <f>IFERROR(__xludf.DUMMYFUNCTION("""COMPUTED_VALUE"""),"English")</f>
        <v>English</v>
      </c>
      <c r="W1044" s="6" t="str">
        <f>IFERROR(__xludf.DUMMYFUNCTION("""COMPUTED_VALUE"""),"[]")</f>
        <v>[]</v>
      </c>
      <c r="X1044" s="6" t="str">
        <f>IFERROR(__xludf.DUMMYFUNCTION("""COMPUTED_VALUE"""),"Enrolled")</f>
        <v>Enrolled</v>
      </c>
    </row>
    <row r="1045">
      <c r="A1045" s="6" t="str">
        <f>IFERROR(__xludf.DUMMYFUNCTION("""COMPUTED_VALUE"""),"009-1170")</f>
        <v>009-1170</v>
      </c>
      <c r="B1045" s="6" t="str">
        <f>IFERROR(__xludf.DUMMYFUNCTION("""COMPUTED_VALUE"""),"9")</f>
        <v>9</v>
      </c>
      <c r="C1045" s="6" t="str">
        <f>IFERROR(__xludf.DUMMYFUNCTION("""COMPUTED_VALUE"""),"1170")</f>
        <v>1170</v>
      </c>
      <c r="D1045" s="6" t="str">
        <f>IFERROR(__xludf.DUMMYFUNCTION("""COMPUTED_VALUE"""),"Marta")</f>
        <v>Marta</v>
      </c>
      <c r="E1045" s="6" t="str">
        <f>IFERROR(__xludf.DUMMYFUNCTION("""COMPUTED_VALUE"""),"")</f>
        <v/>
      </c>
      <c r="F1045" s="6" t="str">
        <f>IFERROR(__xludf.DUMMYFUNCTION("""COMPUTED_VALUE"""),"Nagy")</f>
        <v>Nagy</v>
      </c>
      <c r="G1045" s="6" t="str">
        <f>IFERROR(__xludf.DUMMYFUNCTION("""COMPUTED_VALUE"""),"01/01/2009")</f>
        <v>01/01/2009</v>
      </c>
      <c r="H1045" s="6" t="str">
        <f>IFERROR(__xludf.DUMMYFUNCTION("""COMPUTED_VALUE"""),"Self Identify")</f>
        <v>Self Identify</v>
      </c>
      <c r="I1045" s="6" t="str">
        <f>IFERROR(__xludf.DUMMYFUNCTION("""COMPUTED_VALUE"""),"High School")</f>
        <v>High School</v>
      </c>
      <c r="J1045" s="6" t="str">
        <f>IFERROR(__xludf.DUMMYFUNCTION("""COMPUTED_VALUE"""),"10")</f>
        <v>10</v>
      </c>
      <c r="K1045" s="6" t="str">
        <f>IFERROR(__xludf.DUMMYFUNCTION("""COMPUTED_VALUE"""),"marta.nagy@2hourlearning.com")</f>
        <v>marta.nagy@2hourlearning.com</v>
      </c>
      <c r="L1045" s="6" t="str">
        <f>IFERROR(__xludf.DUMMYFUNCTION("""COMPUTED_VALUE"""),"Learn and Earn Poland")</f>
        <v>Learn and Earn Poland</v>
      </c>
      <c r="M1045" s="6" t="str">
        <f>IFERROR(__xludf.DUMMYFUNCTION("""COMPUTED_VALUE"""),"")</f>
        <v/>
      </c>
      <c r="N1045" s="6" t="str">
        <f>IFERROR(__xludf.DUMMYFUNCTION("""COMPUTED_VALUE"""),"")</f>
        <v/>
      </c>
      <c r="O1045" s="87" t="str">
        <f>IFERROR(__xludf.DUMMYFUNCTION("""COMPUTED_VALUE"""),"https://drive.google.com/drive/folders/10T2cTQHqEJZqE-st6uFKPoI?usp=share_link")</f>
        <v>https://drive.google.com/drive/folders/10T2cTQHqEJZqE-st6uFKPoI?usp=share_link</v>
      </c>
      <c r="P1045" s="6" t="str">
        <f>IFERROR(__xludf.DUMMYFUNCTION("""COMPUTED_VALUE"""),"Marta Nagy")</f>
        <v>Marta Nagy</v>
      </c>
      <c r="Q1045" s="6" t="str">
        <f>IFERROR(__xludf.DUMMYFUNCTION("""COMPUTED_VALUE"""),"HS")</f>
        <v>HS</v>
      </c>
      <c r="R1045" s="6">
        <f>IFERROR(__xludf.DUMMYFUNCTION("""COMPUTED_VALUE"""),0.0)</f>
        <v>0</v>
      </c>
      <c r="S1045" s="6" t="str">
        <f>IFERROR(__xludf.DUMMYFUNCTION("""COMPUTED_VALUE""")," ")</f>
        <v> </v>
      </c>
      <c r="T1045" s="6" t="str">
        <f>IFERROR(__xludf.DUMMYFUNCTION("""COMPUTED_VALUE"""),"")</f>
        <v/>
      </c>
      <c r="U1045" s="6" t="str">
        <f>IFERROR(__xludf.DUMMYFUNCTION("""COMPUTED_VALUE"""),"10")</f>
        <v>10</v>
      </c>
      <c r="V1045" s="6" t="str">
        <f>IFERROR(__xludf.DUMMYFUNCTION("""COMPUTED_VALUE"""),"English")</f>
        <v>English</v>
      </c>
      <c r="W1045" s="6" t="str">
        <f>IFERROR(__xludf.DUMMYFUNCTION("""COMPUTED_VALUE"""),"[]")</f>
        <v>[]</v>
      </c>
      <c r="X1045" s="6" t="str">
        <f>IFERROR(__xludf.DUMMYFUNCTION("""COMPUTED_VALUE"""),"Enrolled")</f>
        <v>Enrolled</v>
      </c>
    </row>
    <row r="1046">
      <c r="A1046" s="6" t="str">
        <f>IFERROR(__xludf.DUMMYFUNCTION("""COMPUTED_VALUE"""),"009-1171")</f>
        <v>009-1171</v>
      </c>
      <c r="B1046" s="6" t="str">
        <f>IFERROR(__xludf.DUMMYFUNCTION("""COMPUTED_VALUE"""),"9")</f>
        <v>9</v>
      </c>
      <c r="C1046" s="6" t="str">
        <f>IFERROR(__xludf.DUMMYFUNCTION("""COMPUTED_VALUE"""),"1171")</f>
        <v>1171</v>
      </c>
      <c r="D1046" s="6" t="str">
        <f>IFERROR(__xludf.DUMMYFUNCTION("""COMPUTED_VALUE"""),"Anastasia")</f>
        <v>Anastasia</v>
      </c>
      <c r="E1046" s="6" t="str">
        <f>IFERROR(__xludf.DUMMYFUNCTION("""COMPUTED_VALUE"""),"")</f>
        <v/>
      </c>
      <c r="F1046" s="6" t="str">
        <f>IFERROR(__xludf.DUMMYFUNCTION("""COMPUTED_VALUE"""),"Pelekhata")</f>
        <v>Pelekhata</v>
      </c>
      <c r="G1046" s="6" t="str">
        <f>IFERROR(__xludf.DUMMYFUNCTION("""COMPUTED_VALUE"""),"01/01/2009")</f>
        <v>01/01/2009</v>
      </c>
      <c r="H1046" s="6" t="str">
        <f>IFERROR(__xludf.DUMMYFUNCTION("""COMPUTED_VALUE"""),"Self Identify")</f>
        <v>Self Identify</v>
      </c>
      <c r="I1046" s="6" t="str">
        <f>IFERROR(__xludf.DUMMYFUNCTION("""COMPUTED_VALUE"""),"High School")</f>
        <v>High School</v>
      </c>
      <c r="J1046" s="6" t="str">
        <f>IFERROR(__xludf.DUMMYFUNCTION("""COMPUTED_VALUE"""),"10")</f>
        <v>10</v>
      </c>
      <c r="K1046" s="6" t="str">
        <f>IFERROR(__xludf.DUMMYFUNCTION("""COMPUTED_VALUE"""),"anastasia.pelekhata@2hourlearning.com")</f>
        <v>anastasia.pelekhata@2hourlearning.com</v>
      </c>
      <c r="L1046" s="6" t="str">
        <f>IFERROR(__xludf.DUMMYFUNCTION("""COMPUTED_VALUE"""),"Learn and Earn Poland")</f>
        <v>Learn and Earn Poland</v>
      </c>
      <c r="M1046" s="6" t="str">
        <f>IFERROR(__xludf.DUMMYFUNCTION("""COMPUTED_VALUE"""),"")</f>
        <v/>
      </c>
      <c r="N1046" s="6" t="str">
        <f>IFERROR(__xludf.DUMMYFUNCTION("""COMPUTED_VALUE"""),"")</f>
        <v/>
      </c>
      <c r="O1046" s="87" t="str">
        <f>IFERROR(__xludf.DUMMYFUNCTION("""COMPUTED_VALUE"""),"https://drive.google.com/drive/folders/10T2cTQHqEJZqE-st6uFKPoI?usp=share_link")</f>
        <v>https://drive.google.com/drive/folders/10T2cTQHqEJZqE-st6uFKPoI?usp=share_link</v>
      </c>
      <c r="P1046" s="6" t="str">
        <f>IFERROR(__xludf.DUMMYFUNCTION("""COMPUTED_VALUE"""),"Anastasia Pelekhata")</f>
        <v>Anastasia Pelekhata</v>
      </c>
      <c r="Q1046" s="6" t="str">
        <f>IFERROR(__xludf.DUMMYFUNCTION("""COMPUTED_VALUE"""),"HS")</f>
        <v>HS</v>
      </c>
      <c r="R1046" s="6">
        <f>IFERROR(__xludf.DUMMYFUNCTION("""COMPUTED_VALUE"""),0.0)</f>
        <v>0</v>
      </c>
      <c r="S1046" s="6" t="str">
        <f>IFERROR(__xludf.DUMMYFUNCTION("""COMPUTED_VALUE""")," ")</f>
        <v> </v>
      </c>
      <c r="T1046" s="6" t="str">
        <f>IFERROR(__xludf.DUMMYFUNCTION("""COMPUTED_VALUE"""),"")</f>
        <v/>
      </c>
      <c r="U1046" s="6" t="str">
        <f>IFERROR(__xludf.DUMMYFUNCTION("""COMPUTED_VALUE"""),"10")</f>
        <v>10</v>
      </c>
      <c r="V1046" s="6" t="str">
        <f>IFERROR(__xludf.DUMMYFUNCTION("""COMPUTED_VALUE"""),"English")</f>
        <v>English</v>
      </c>
      <c r="W1046" s="6" t="str">
        <f>IFERROR(__xludf.DUMMYFUNCTION("""COMPUTED_VALUE"""),"[]")</f>
        <v>[]</v>
      </c>
      <c r="X1046" s="6" t="str">
        <f>IFERROR(__xludf.DUMMYFUNCTION("""COMPUTED_VALUE"""),"Enrolled")</f>
        <v>Enrolled</v>
      </c>
    </row>
    <row r="1047">
      <c r="A1047" s="6" t="str">
        <f>IFERROR(__xludf.DUMMYFUNCTION("""COMPUTED_VALUE"""),"009-1172")</f>
        <v>009-1172</v>
      </c>
      <c r="B1047" s="6" t="str">
        <f>IFERROR(__xludf.DUMMYFUNCTION("""COMPUTED_VALUE"""),"9")</f>
        <v>9</v>
      </c>
      <c r="C1047" s="6" t="str">
        <f>IFERROR(__xludf.DUMMYFUNCTION("""COMPUTED_VALUE"""),"1172")</f>
        <v>1172</v>
      </c>
      <c r="D1047" s="6" t="str">
        <f>IFERROR(__xludf.DUMMYFUNCTION("""COMPUTED_VALUE"""),"Mandziuk")</f>
        <v>Mandziuk</v>
      </c>
      <c r="E1047" s="6" t="str">
        <f>IFERROR(__xludf.DUMMYFUNCTION("""COMPUTED_VALUE"""),"")</f>
        <v/>
      </c>
      <c r="F1047" s="6" t="str">
        <f>IFERROR(__xludf.DUMMYFUNCTION("""COMPUTED_VALUE"""),"Maksym")</f>
        <v>Maksym</v>
      </c>
      <c r="G1047" s="6" t="str">
        <f>IFERROR(__xludf.DUMMYFUNCTION("""COMPUTED_VALUE"""),"01/01/2009")</f>
        <v>01/01/2009</v>
      </c>
      <c r="H1047" s="6" t="str">
        <f>IFERROR(__xludf.DUMMYFUNCTION("""COMPUTED_VALUE"""),"Self Identify")</f>
        <v>Self Identify</v>
      </c>
      <c r="I1047" s="6" t="str">
        <f>IFERROR(__xludf.DUMMYFUNCTION("""COMPUTED_VALUE"""),"High School")</f>
        <v>High School</v>
      </c>
      <c r="J1047" s="6" t="str">
        <f>IFERROR(__xludf.DUMMYFUNCTION("""COMPUTED_VALUE"""),"10")</f>
        <v>10</v>
      </c>
      <c r="K1047" s="6" t="str">
        <f>IFERROR(__xludf.DUMMYFUNCTION("""COMPUTED_VALUE"""),"mandziuk.maksym@2hourlearning.com")</f>
        <v>mandziuk.maksym@2hourlearning.com</v>
      </c>
      <c r="L1047" s="6" t="str">
        <f>IFERROR(__xludf.DUMMYFUNCTION("""COMPUTED_VALUE"""),"Learn and Earn Poland")</f>
        <v>Learn and Earn Poland</v>
      </c>
      <c r="M1047" s="6" t="str">
        <f>IFERROR(__xludf.DUMMYFUNCTION("""COMPUTED_VALUE"""),"")</f>
        <v/>
      </c>
      <c r="N1047" s="6" t="str">
        <f>IFERROR(__xludf.DUMMYFUNCTION("""COMPUTED_VALUE"""),"")</f>
        <v/>
      </c>
      <c r="O1047" s="87" t="str">
        <f>IFERROR(__xludf.DUMMYFUNCTION("""COMPUTED_VALUE"""),"https://drive.google.com/drive/folders/10T2cTQHqEJZqE-st6uFKPoI?usp=share_link")</f>
        <v>https://drive.google.com/drive/folders/10T2cTQHqEJZqE-st6uFKPoI?usp=share_link</v>
      </c>
      <c r="P1047" s="6" t="str">
        <f>IFERROR(__xludf.DUMMYFUNCTION("""COMPUTED_VALUE"""),"Mandziuk Maksym")</f>
        <v>Mandziuk Maksym</v>
      </c>
      <c r="Q1047" s="6" t="str">
        <f>IFERROR(__xludf.DUMMYFUNCTION("""COMPUTED_VALUE"""),"HS")</f>
        <v>HS</v>
      </c>
      <c r="R1047" s="6">
        <f>IFERROR(__xludf.DUMMYFUNCTION("""COMPUTED_VALUE"""),0.0)</f>
        <v>0</v>
      </c>
      <c r="S1047" s="6" t="str">
        <f>IFERROR(__xludf.DUMMYFUNCTION("""COMPUTED_VALUE""")," ")</f>
        <v> </v>
      </c>
      <c r="T1047" s="6" t="str">
        <f>IFERROR(__xludf.DUMMYFUNCTION("""COMPUTED_VALUE"""),"")</f>
        <v/>
      </c>
      <c r="U1047" s="6" t="str">
        <f>IFERROR(__xludf.DUMMYFUNCTION("""COMPUTED_VALUE"""),"10")</f>
        <v>10</v>
      </c>
      <c r="V1047" s="6" t="str">
        <f>IFERROR(__xludf.DUMMYFUNCTION("""COMPUTED_VALUE"""),"English")</f>
        <v>English</v>
      </c>
      <c r="W1047" s="6" t="str">
        <f>IFERROR(__xludf.DUMMYFUNCTION("""COMPUTED_VALUE"""),"[]")</f>
        <v>[]</v>
      </c>
      <c r="X1047" s="6" t="str">
        <f>IFERROR(__xludf.DUMMYFUNCTION("""COMPUTED_VALUE"""),"Enrolled")</f>
        <v>Enrolled</v>
      </c>
    </row>
    <row r="1048">
      <c r="A1048" s="6" t="str">
        <f>IFERROR(__xludf.DUMMYFUNCTION("""COMPUTED_VALUE"""),"009-1173")</f>
        <v>009-1173</v>
      </c>
      <c r="B1048" s="6" t="str">
        <f>IFERROR(__xludf.DUMMYFUNCTION("""COMPUTED_VALUE"""),"9")</f>
        <v>9</v>
      </c>
      <c r="C1048" s="6" t="str">
        <f>IFERROR(__xludf.DUMMYFUNCTION("""COMPUTED_VALUE"""),"1173")</f>
        <v>1173</v>
      </c>
      <c r="D1048" s="6" t="str">
        <f>IFERROR(__xludf.DUMMYFUNCTION("""COMPUTED_VALUE"""),"Elena")</f>
        <v>Elena</v>
      </c>
      <c r="E1048" s="6" t="str">
        <f>IFERROR(__xludf.DUMMYFUNCTION("""COMPUTED_VALUE"""),"")</f>
        <v/>
      </c>
      <c r="F1048" s="6" t="str">
        <f>IFERROR(__xludf.DUMMYFUNCTION("""COMPUTED_VALUE"""),"Biro")</f>
        <v>Biro</v>
      </c>
      <c r="G1048" s="6" t="str">
        <f>IFERROR(__xludf.DUMMYFUNCTION("""COMPUTED_VALUE"""),"01/01/2008")</f>
        <v>01/01/2008</v>
      </c>
      <c r="H1048" s="6" t="str">
        <f>IFERROR(__xludf.DUMMYFUNCTION("""COMPUTED_VALUE"""),"Self Identify")</f>
        <v>Self Identify</v>
      </c>
      <c r="I1048" s="6" t="str">
        <f>IFERROR(__xludf.DUMMYFUNCTION("""COMPUTED_VALUE"""),"High School")</f>
        <v>High School</v>
      </c>
      <c r="J1048" s="6" t="str">
        <f>IFERROR(__xludf.DUMMYFUNCTION("""COMPUTED_VALUE"""),"11")</f>
        <v>11</v>
      </c>
      <c r="K1048" s="6" t="str">
        <f>IFERROR(__xludf.DUMMYFUNCTION("""COMPUTED_VALUE"""),"elena.biro@2hourlearning.com")</f>
        <v>elena.biro@2hourlearning.com</v>
      </c>
      <c r="L1048" s="6" t="str">
        <f>IFERROR(__xludf.DUMMYFUNCTION("""COMPUTED_VALUE"""),"Learn and Earn Poland")</f>
        <v>Learn and Earn Poland</v>
      </c>
      <c r="M1048" s="6" t="str">
        <f>IFERROR(__xludf.DUMMYFUNCTION("""COMPUTED_VALUE"""),"")</f>
        <v/>
      </c>
      <c r="N1048" s="6" t="str">
        <f>IFERROR(__xludf.DUMMYFUNCTION("""COMPUTED_VALUE"""),"")</f>
        <v/>
      </c>
      <c r="O1048" s="87" t="str">
        <f>IFERROR(__xludf.DUMMYFUNCTION("""COMPUTED_VALUE"""),"https://drive.google.com/drive/folders/10T2cTQHqEJZqE-st6uFKPoI?usp=share_link")</f>
        <v>https://drive.google.com/drive/folders/10T2cTQHqEJZqE-st6uFKPoI?usp=share_link</v>
      </c>
      <c r="P1048" s="6" t="str">
        <f>IFERROR(__xludf.DUMMYFUNCTION("""COMPUTED_VALUE"""),"Elena Biro")</f>
        <v>Elena Biro</v>
      </c>
      <c r="Q1048" s="6" t="str">
        <f>IFERROR(__xludf.DUMMYFUNCTION("""COMPUTED_VALUE"""),"HS")</f>
        <v>HS</v>
      </c>
      <c r="R1048" s="6">
        <f>IFERROR(__xludf.DUMMYFUNCTION("""COMPUTED_VALUE"""),0.0)</f>
        <v>0</v>
      </c>
      <c r="S1048" s="6" t="str">
        <f>IFERROR(__xludf.DUMMYFUNCTION("""COMPUTED_VALUE""")," ")</f>
        <v> </v>
      </c>
      <c r="T1048" s="6" t="str">
        <f>IFERROR(__xludf.DUMMYFUNCTION("""COMPUTED_VALUE"""),"")</f>
        <v/>
      </c>
      <c r="U1048" s="6" t="str">
        <f>IFERROR(__xludf.DUMMYFUNCTION("""COMPUTED_VALUE"""),"11")</f>
        <v>11</v>
      </c>
      <c r="V1048" s="6" t="str">
        <f>IFERROR(__xludf.DUMMYFUNCTION("""COMPUTED_VALUE"""),"English")</f>
        <v>English</v>
      </c>
      <c r="W1048" s="6" t="str">
        <f>IFERROR(__xludf.DUMMYFUNCTION("""COMPUTED_VALUE"""),"[]")</f>
        <v>[]</v>
      </c>
      <c r="X1048" s="6" t="str">
        <f>IFERROR(__xludf.DUMMYFUNCTION("""COMPUTED_VALUE"""),"Enrolled")</f>
        <v>Enrolled</v>
      </c>
    </row>
    <row r="1049">
      <c r="A1049" s="6" t="str">
        <f>IFERROR(__xludf.DUMMYFUNCTION("""COMPUTED_VALUE"""),"009-1174")</f>
        <v>009-1174</v>
      </c>
      <c r="B1049" s="6" t="str">
        <f>IFERROR(__xludf.DUMMYFUNCTION("""COMPUTED_VALUE"""),"9")</f>
        <v>9</v>
      </c>
      <c r="C1049" s="6" t="str">
        <f>IFERROR(__xludf.DUMMYFUNCTION("""COMPUTED_VALUE"""),"1174")</f>
        <v>1174</v>
      </c>
      <c r="D1049" s="6" t="str">
        <f>IFERROR(__xludf.DUMMYFUNCTION("""COMPUTED_VALUE"""),"Anastasiia")</f>
        <v>Anastasiia</v>
      </c>
      <c r="E1049" s="6" t="str">
        <f>IFERROR(__xludf.DUMMYFUNCTION("""COMPUTED_VALUE"""),"")</f>
        <v/>
      </c>
      <c r="F1049" s="6" t="str">
        <f>IFERROR(__xludf.DUMMYFUNCTION("""COMPUTED_VALUE"""),"Telep")</f>
        <v>Telep</v>
      </c>
      <c r="G1049" s="6" t="str">
        <f>IFERROR(__xludf.DUMMYFUNCTION("""COMPUTED_VALUE"""),"01/01/2008")</f>
        <v>01/01/2008</v>
      </c>
      <c r="H1049" s="6" t="str">
        <f>IFERROR(__xludf.DUMMYFUNCTION("""COMPUTED_VALUE"""),"Self Identify")</f>
        <v>Self Identify</v>
      </c>
      <c r="I1049" s="6" t="str">
        <f>IFERROR(__xludf.DUMMYFUNCTION("""COMPUTED_VALUE"""),"High School")</f>
        <v>High School</v>
      </c>
      <c r="J1049" s="6" t="str">
        <f>IFERROR(__xludf.DUMMYFUNCTION("""COMPUTED_VALUE"""),"11")</f>
        <v>11</v>
      </c>
      <c r="K1049" s="6" t="str">
        <f>IFERROR(__xludf.DUMMYFUNCTION("""COMPUTED_VALUE"""),"anastasiia.telep@2hourlearning.com")</f>
        <v>anastasiia.telep@2hourlearning.com</v>
      </c>
      <c r="L1049" s="6" t="str">
        <f>IFERROR(__xludf.DUMMYFUNCTION("""COMPUTED_VALUE"""),"Learn and Earn Poland")</f>
        <v>Learn and Earn Poland</v>
      </c>
      <c r="M1049" s="6" t="str">
        <f>IFERROR(__xludf.DUMMYFUNCTION("""COMPUTED_VALUE"""),"")</f>
        <v/>
      </c>
      <c r="N1049" s="6" t="str">
        <f>IFERROR(__xludf.DUMMYFUNCTION("""COMPUTED_VALUE"""),"")</f>
        <v/>
      </c>
      <c r="O1049" s="87" t="str">
        <f>IFERROR(__xludf.DUMMYFUNCTION("""COMPUTED_VALUE"""),"https://drive.google.com/drive/folders/10T2cTQHqEJZqE-st6uFKPoI?usp=share_link")</f>
        <v>https://drive.google.com/drive/folders/10T2cTQHqEJZqE-st6uFKPoI?usp=share_link</v>
      </c>
      <c r="P1049" s="6" t="str">
        <f>IFERROR(__xludf.DUMMYFUNCTION("""COMPUTED_VALUE"""),"Anastasiia Telep")</f>
        <v>Anastasiia Telep</v>
      </c>
      <c r="Q1049" s="6" t="str">
        <f>IFERROR(__xludf.DUMMYFUNCTION("""COMPUTED_VALUE"""),"HS")</f>
        <v>HS</v>
      </c>
      <c r="R1049" s="6">
        <f>IFERROR(__xludf.DUMMYFUNCTION("""COMPUTED_VALUE"""),0.0)</f>
        <v>0</v>
      </c>
      <c r="S1049" s="6" t="str">
        <f>IFERROR(__xludf.DUMMYFUNCTION("""COMPUTED_VALUE""")," ")</f>
        <v> </v>
      </c>
      <c r="T1049" s="6" t="str">
        <f>IFERROR(__xludf.DUMMYFUNCTION("""COMPUTED_VALUE"""),"")</f>
        <v/>
      </c>
      <c r="U1049" s="6" t="str">
        <f>IFERROR(__xludf.DUMMYFUNCTION("""COMPUTED_VALUE"""),"11")</f>
        <v>11</v>
      </c>
      <c r="V1049" s="6" t="str">
        <f>IFERROR(__xludf.DUMMYFUNCTION("""COMPUTED_VALUE"""),"English")</f>
        <v>English</v>
      </c>
      <c r="W1049" s="6" t="str">
        <f>IFERROR(__xludf.DUMMYFUNCTION("""COMPUTED_VALUE"""),"[]")</f>
        <v>[]</v>
      </c>
      <c r="X1049" s="6" t="str">
        <f>IFERROR(__xludf.DUMMYFUNCTION("""COMPUTED_VALUE"""),"Enrolled")</f>
        <v>Enrolled</v>
      </c>
    </row>
    <row r="1050">
      <c r="A1050" s="6" t="str">
        <f>IFERROR(__xludf.DUMMYFUNCTION("""COMPUTED_VALUE"""),"009-1175")</f>
        <v>009-1175</v>
      </c>
      <c r="B1050" s="6" t="str">
        <f>IFERROR(__xludf.DUMMYFUNCTION("""COMPUTED_VALUE"""),"9")</f>
        <v>9</v>
      </c>
      <c r="C1050" s="6" t="str">
        <f>IFERROR(__xludf.DUMMYFUNCTION("""COMPUTED_VALUE"""),"1175")</f>
        <v>1175</v>
      </c>
      <c r="D1050" s="6" t="str">
        <f>IFERROR(__xludf.DUMMYFUNCTION("""COMPUTED_VALUE"""),"Violetta")</f>
        <v>Violetta</v>
      </c>
      <c r="E1050" s="6" t="str">
        <f>IFERROR(__xludf.DUMMYFUNCTION("""COMPUTED_VALUE"""),"")</f>
        <v/>
      </c>
      <c r="F1050" s="6" t="str">
        <f>IFERROR(__xludf.DUMMYFUNCTION("""COMPUTED_VALUE"""),"Ryzhova")</f>
        <v>Ryzhova</v>
      </c>
      <c r="G1050" s="6" t="str">
        <f>IFERROR(__xludf.DUMMYFUNCTION("""COMPUTED_VALUE"""),"01/01/2008")</f>
        <v>01/01/2008</v>
      </c>
      <c r="H1050" s="6" t="str">
        <f>IFERROR(__xludf.DUMMYFUNCTION("""COMPUTED_VALUE"""),"Self Identify")</f>
        <v>Self Identify</v>
      </c>
      <c r="I1050" s="6" t="str">
        <f>IFERROR(__xludf.DUMMYFUNCTION("""COMPUTED_VALUE"""),"High School")</f>
        <v>High School</v>
      </c>
      <c r="J1050" s="6" t="str">
        <f>IFERROR(__xludf.DUMMYFUNCTION("""COMPUTED_VALUE"""),"11")</f>
        <v>11</v>
      </c>
      <c r="K1050" s="6" t="str">
        <f>IFERROR(__xludf.DUMMYFUNCTION("""COMPUTED_VALUE"""),"violetta.ryzhova@2hourlearning.com")</f>
        <v>violetta.ryzhova@2hourlearning.com</v>
      </c>
      <c r="L1050" s="6" t="str">
        <f>IFERROR(__xludf.DUMMYFUNCTION("""COMPUTED_VALUE"""),"Learn and Earn Poland")</f>
        <v>Learn and Earn Poland</v>
      </c>
      <c r="M1050" s="6" t="str">
        <f>IFERROR(__xludf.DUMMYFUNCTION("""COMPUTED_VALUE"""),"")</f>
        <v/>
      </c>
      <c r="N1050" s="6" t="str">
        <f>IFERROR(__xludf.DUMMYFUNCTION("""COMPUTED_VALUE"""),"")</f>
        <v/>
      </c>
      <c r="O1050" s="87" t="str">
        <f>IFERROR(__xludf.DUMMYFUNCTION("""COMPUTED_VALUE"""),"https://drive.google.com/drive/folders/10T2cTQHqEJZqE-st6uFKPoI?usp=share_link")</f>
        <v>https://drive.google.com/drive/folders/10T2cTQHqEJZqE-st6uFKPoI?usp=share_link</v>
      </c>
      <c r="P1050" s="6" t="str">
        <f>IFERROR(__xludf.DUMMYFUNCTION("""COMPUTED_VALUE"""),"Violetta Ryzhova")</f>
        <v>Violetta Ryzhova</v>
      </c>
      <c r="Q1050" s="6" t="str">
        <f>IFERROR(__xludf.DUMMYFUNCTION("""COMPUTED_VALUE"""),"HS")</f>
        <v>HS</v>
      </c>
      <c r="R1050" s="6">
        <f>IFERROR(__xludf.DUMMYFUNCTION("""COMPUTED_VALUE"""),0.0)</f>
        <v>0</v>
      </c>
      <c r="S1050" s="6" t="str">
        <f>IFERROR(__xludf.DUMMYFUNCTION("""COMPUTED_VALUE""")," ")</f>
        <v> </v>
      </c>
      <c r="T1050" s="6" t="str">
        <f>IFERROR(__xludf.DUMMYFUNCTION("""COMPUTED_VALUE"""),"")</f>
        <v/>
      </c>
      <c r="U1050" s="6" t="str">
        <f>IFERROR(__xludf.DUMMYFUNCTION("""COMPUTED_VALUE"""),"11")</f>
        <v>11</v>
      </c>
      <c r="V1050" s="6" t="str">
        <f>IFERROR(__xludf.DUMMYFUNCTION("""COMPUTED_VALUE"""),"English")</f>
        <v>English</v>
      </c>
      <c r="W1050" s="6" t="str">
        <f>IFERROR(__xludf.DUMMYFUNCTION("""COMPUTED_VALUE"""),"[]")</f>
        <v>[]</v>
      </c>
      <c r="X1050" s="6" t="str">
        <f>IFERROR(__xludf.DUMMYFUNCTION("""COMPUTED_VALUE"""),"Enrolled")</f>
        <v>Enrolled</v>
      </c>
    </row>
    <row r="1051">
      <c r="A1051" s="6" t="str">
        <f>IFERROR(__xludf.DUMMYFUNCTION("""COMPUTED_VALUE"""),"009-1176")</f>
        <v>009-1176</v>
      </c>
      <c r="B1051" s="6" t="str">
        <f>IFERROR(__xludf.DUMMYFUNCTION("""COMPUTED_VALUE"""),"9")</f>
        <v>9</v>
      </c>
      <c r="C1051" s="6" t="str">
        <f>IFERROR(__xludf.DUMMYFUNCTION("""COMPUTED_VALUE"""),"1176")</f>
        <v>1176</v>
      </c>
      <c r="D1051" s="6" t="str">
        <f>IFERROR(__xludf.DUMMYFUNCTION("""COMPUTED_VALUE"""),"Alina")</f>
        <v>Alina</v>
      </c>
      <c r="E1051" s="6" t="str">
        <f>IFERROR(__xludf.DUMMYFUNCTION("""COMPUTED_VALUE"""),"")</f>
        <v/>
      </c>
      <c r="F1051" s="6" t="str">
        <f>IFERROR(__xludf.DUMMYFUNCTION("""COMPUTED_VALUE"""),"Kurylo")</f>
        <v>Kurylo</v>
      </c>
      <c r="G1051" s="6" t="str">
        <f>IFERROR(__xludf.DUMMYFUNCTION("""COMPUTED_VALUE"""),"01/01/2008")</f>
        <v>01/01/2008</v>
      </c>
      <c r="H1051" s="6" t="str">
        <f>IFERROR(__xludf.DUMMYFUNCTION("""COMPUTED_VALUE"""),"Self Identify")</f>
        <v>Self Identify</v>
      </c>
      <c r="I1051" s="6" t="str">
        <f>IFERROR(__xludf.DUMMYFUNCTION("""COMPUTED_VALUE"""),"High School")</f>
        <v>High School</v>
      </c>
      <c r="J1051" s="6" t="str">
        <f>IFERROR(__xludf.DUMMYFUNCTION("""COMPUTED_VALUE"""),"11")</f>
        <v>11</v>
      </c>
      <c r="K1051" s="6" t="str">
        <f>IFERROR(__xludf.DUMMYFUNCTION("""COMPUTED_VALUE"""),"alina.kurylo@2hourlearning.com")</f>
        <v>alina.kurylo@2hourlearning.com</v>
      </c>
      <c r="L1051" s="6" t="str">
        <f>IFERROR(__xludf.DUMMYFUNCTION("""COMPUTED_VALUE"""),"Learn and Earn Poland")</f>
        <v>Learn and Earn Poland</v>
      </c>
      <c r="M1051" s="6" t="str">
        <f>IFERROR(__xludf.DUMMYFUNCTION("""COMPUTED_VALUE"""),"")</f>
        <v/>
      </c>
      <c r="N1051" s="6" t="str">
        <f>IFERROR(__xludf.DUMMYFUNCTION("""COMPUTED_VALUE"""),"")</f>
        <v/>
      </c>
      <c r="O1051" s="87" t="str">
        <f>IFERROR(__xludf.DUMMYFUNCTION("""COMPUTED_VALUE"""),"https://drive.google.com/drive/folders/10T2cTQHqEJZqE-st6uFKPoI?usp=share_link")</f>
        <v>https://drive.google.com/drive/folders/10T2cTQHqEJZqE-st6uFKPoI?usp=share_link</v>
      </c>
      <c r="P1051" s="6" t="str">
        <f>IFERROR(__xludf.DUMMYFUNCTION("""COMPUTED_VALUE"""),"Alina Kurylo")</f>
        <v>Alina Kurylo</v>
      </c>
      <c r="Q1051" s="6" t="str">
        <f>IFERROR(__xludf.DUMMYFUNCTION("""COMPUTED_VALUE"""),"HS")</f>
        <v>HS</v>
      </c>
      <c r="R1051" s="6">
        <f>IFERROR(__xludf.DUMMYFUNCTION("""COMPUTED_VALUE"""),0.0)</f>
        <v>0</v>
      </c>
      <c r="S1051" s="6" t="str">
        <f>IFERROR(__xludf.DUMMYFUNCTION("""COMPUTED_VALUE""")," ")</f>
        <v> </v>
      </c>
      <c r="T1051" s="6" t="str">
        <f>IFERROR(__xludf.DUMMYFUNCTION("""COMPUTED_VALUE"""),"")</f>
        <v/>
      </c>
      <c r="U1051" s="6" t="str">
        <f>IFERROR(__xludf.DUMMYFUNCTION("""COMPUTED_VALUE"""),"11")</f>
        <v>11</v>
      </c>
      <c r="V1051" s="6" t="str">
        <f>IFERROR(__xludf.DUMMYFUNCTION("""COMPUTED_VALUE"""),"English")</f>
        <v>English</v>
      </c>
      <c r="W1051" s="6" t="str">
        <f>IFERROR(__xludf.DUMMYFUNCTION("""COMPUTED_VALUE"""),"[]")</f>
        <v>[]</v>
      </c>
      <c r="X1051" s="6" t="str">
        <f>IFERROR(__xludf.DUMMYFUNCTION("""COMPUTED_VALUE"""),"Enrolled")</f>
        <v>Enrolled</v>
      </c>
    </row>
    <row r="1052">
      <c r="A1052" s="6" t="str">
        <f>IFERROR(__xludf.DUMMYFUNCTION("""COMPUTED_VALUE"""),"009-1177")</f>
        <v>009-1177</v>
      </c>
      <c r="B1052" s="6" t="str">
        <f>IFERROR(__xludf.DUMMYFUNCTION("""COMPUTED_VALUE"""),"9")</f>
        <v>9</v>
      </c>
      <c r="C1052" s="6" t="str">
        <f>IFERROR(__xludf.DUMMYFUNCTION("""COMPUTED_VALUE"""),"1177")</f>
        <v>1177</v>
      </c>
      <c r="D1052" s="6" t="str">
        <f>IFERROR(__xludf.DUMMYFUNCTION("""COMPUTED_VALUE"""),"Holovnitska")</f>
        <v>Holovnitska</v>
      </c>
      <c r="E1052" s="6" t="str">
        <f>IFERROR(__xludf.DUMMYFUNCTION("""COMPUTED_VALUE"""),"")</f>
        <v/>
      </c>
      <c r="F1052" s="6" t="str">
        <f>IFERROR(__xludf.DUMMYFUNCTION("""COMPUTED_VALUE"""),"Veronika")</f>
        <v>Veronika</v>
      </c>
      <c r="G1052" s="6" t="str">
        <f>IFERROR(__xludf.DUMMYFUNCTION("""COMPUTED_VALUE"""),"01/01/2008")</f>
        <v>01/01/2008</v>
      </c>
      <c r="H1052" s="6" t="str">
        <f>IFERROR(__xludf.DUMMYFUNCTION("""COMPUTED_VALUE"""),"Self Identify")</f>
        <v>Self Identify</v>
      </c>
      <c r="I1052" s="6" t="str">
        <f>IFERROR(__xludf.DUMMYFUNCTION("""COMPUTED_VALUE"""),"High School")</f>
        <v>High School</v>
      </c>
      <c r="J1052" s="6" t="str">
        <f>IFERROR(__xludf.DUMMYFUNCTION("""COMPUTED_VALUE"""),"11")</f>
        <v>11</v>
      </c>
      <c r="K1052" s="6" t="str">
        <f>IFERROR(__xludf.DUMMYFUNCTION("""COMPUTED_VALUE"""),"holovnitska.veronika@2hourlearning.com")</f>
        <v>holovnitska.veronika@2hourlearning.com</v>
      </c>
      <c r="L1052" s="6" t="str">
        <f>IFERROR(__xludf.DUMMYFUNCTION("""COMPUTED_VALUE"""),"Learn and Earn Poland")</f>
        <v>Learn and Earn Poland</v>
      </c>
      <c r="M1052" s="6" t="str">
        <f>IFERROR(__xludf.DUMMYFUNCTION("""COMPUTED_VALUE"""),"")</f>
        <v/>
      </c>
      <c r="N1052" s="6" t="str">
        <f>IFERROR(__xludf.DUMMYFUNCTION("""COMPUTED_VALUE"""),"")</f>
        <v/>
      </c>
      <c r="O1052" s="87" t="str">
        <f>IFERROR(__xludf.DUMMYFUNCTION("""COMPUTED_VALUE"""),"https://drive.google.com/drive/folders/10T2cTQHqEJZqE-st6uFKPoI?usp=share_link")</f>
        <v>https://drive.google.com/drive/folders/10T2cTQHqEJZqE-st6uFKPoI?usp=share_link</v>
      </c>
      <c r="P1052" s="6" t="str">
        <f>IFERROR(__xludf.DUMMYFUNCTION("""COMPUTED_VALUE"""),"Holovnitska Veronika")</f>
        <v>Holovnitska Veronika</v>
      </c>
      <c r="Q1052" s="6" t="str">
        <f>IFERROR(__xludf.DUMMYFUNCTION("""COMPUTED_VALUE"""),"HS")</f>
        <v>HS</v>
      </c>
      <c r="R1052" s="6">
        <f>IFERROR(__xludf.DUMMYFUNCTION("""COMPUTED_VALUE"""),0.0)</f>
        <v>0</v>
      </c>
      <c r="S1052" s="6" t="str">
        <f>IFERROR(__xludf.DUMMYFUNCTION("""COMPUTED_VALUE""")," ")</f>
        <v> </v>
      </c>
      <c r="T1052" s="6" t="str">
        <f>IFERROR(__xludf.DUMMYFUNCTION("""COMPUTED_VALUE"""),"")</f>
        <v/>
      </c>
      <c r="U1052" s="6" t="str">
        <f>IFERROR(__xludf.DUMMYFUNCTION("""COMPUTED_VALUE"""),"11")</f>
        <v>11</v>
      </c>
      <c r="V1052" s="6" t="str">
        <f>IFERROR(__xludf.DUMMYFUNCTION("""COMPUTED_VALUE"""),"English")</f>
        <v>English</v>
      </c>
      <c r="W1052" s="6" t="str">
        <f>IFERROR(__xludf.DUMMYFUNCTION("""COMPUTED_VALUE"""),"[]")</f>
        <v>[]</v>
      </c>
      <c r="X1052" s="6" t="str">
        <f>IFERROR(__xludf.DUMMYFUNCTION("""COMPUTED_VALUE"""),"Enrolled")</f>
        <v>Enrolled</v>
      </c>
    </row>
    <row r="1053">
      <c r="A1053" s="6" t="str">
        <f>IFERROR(__xludf.DUMMYFUNCTION("""COMPUTED_VALUE"""),"009-1178")</f>
        <v>009-1178</v>
      </c>
      <c r="B1053" s="6" t="str">
        <f>IFERROR(__xludf.DUMMYFUNCTION("""COMPUTED_VALUE"""),"9")</f>
        <v>9</v>
      </c>
      <c r="C1053" s="6" t="str">
        <f>IFERROR(__xludf.DUMMYFUNCTION("""COMPUTED_VALUE"""),"1178")</f>
        <v>1178</v>
      </c>
      <c r="D1053" s="6" t="str">
        <f>IFERROR(__xludf.DUMMYFUNCTION("""COMPUTED_VALUE"""),"Olexandr")</f>
        <v>Olexandr</v>
      </c>
      <c r="E1053" s="6" t="str">
        <f>IFERROR(__xludf.DUMMYFUNCTION("""COMPUTED_VALUE"""),"")</f>
        <v/>
      </c>
      <c r="F1053" s="6" t="str">
        <f>IFERROR(__xludf.DUMMYFUNCTION("""COMPUTED_VALUE"""),"Kiziurin")</f>
        <v>Kiziurin</v>
      </c>
      <c r="G1053" s="6" t="str">
        <f>IFERROR(__xludf.DUMMYFUNCTION("""COMPUTED_VALUE"""),"01/01/2008")</f>
        <v>01/01/2008</v>
      </c>
      <c r="H1053" s="6" t="str">
        <f>IFERROR(__xludf.DUMMYFUNCTION("""COMPUTED_VALUE"""),"Self Identify")</f>
        <v>Self Identify</v>
      </c>
      <c r="I1053" s="6" t="str">
        <f>IFERROR(__xludf.DUMMYFUNCTION("""COMPUTED_VALUE"""),"High School")</f>
        <v>High School</v>
      </c>
      <c r="J1053" s="6" t="str">
        <f>IFERROR(__xludf.DUMMYFUNCTION("""COMPUTED_VALUE"""),"11")</f>
        <v>11</v>
      </c>
      <c r="K1053" s="6" t="str">
        <f>IFERROR(__xludf.DUMMYFUNCTION("""COMPUTED_VALUE"""),"olexandr.kiziurin@2hourlearning.com")</f>
        <v>olexandr.kiziurin@2hourlearning.com</v>
      </c>
      <c r="L1053" s="6" t="str">
        <f>IFERROR(__xludf.DUMMYFUNCTION("""COMPUTED_VALUE"""),"Learn and Earn Poland")</f>
        <v>Learn and Earn Poland</v>
      </c>
      <c r="M1053" s="6" t="str">
        <f>IFERROR(__xludf.DUMMYFUNCTION("""COMPUTED_VALUE"""),"")</f>
        <v/>
      </c>
      <c r="N1053" s="6" t="str">
        <f>IFERROR(__xludf.DUMMYFUNCTION("""COMPUTED_VALUE"""),"")</f>
        <v/>
      </c>
      <c r="O1053" s="87" t="str">
        <f>IFERROR(__xludf.DUMMYFUNCTION("""COMPUTED_VALUE"""),"https://drive.google.com/drive/folders/10T2cTQHqEJZqE-st6uFKPoI?usp=share_link")</f>
        <v>https://drive.google.com/drive/folders/10T2cTQHqEJZqE-st6uFKPoI?usp=share_link</v>
      </c>
      <c r="P1053" s="6" t="str">
        <f>IFERROR(__xludf.DUMMYFUNCTION("""COMPUTED_VALUE"""),"Olexandr Kiziurin")</f>
        <v>Olexandr Kiziurin</v>
      </c>
      <c r="Q1053" s="6" t="str">
        <f>IFERROR(__xludf.DUMMYFUNCTION("""COMPUTED_VALUE"""),"HS")</f>
        <v>HS</v>
      </c>
      <c r="R1053" s="6">
        <f>IFERROR(__xludf.DUMMYFUNCTION("""COMPUTED_VALUE"""),0.0)</f>
        <v>0</v>
      </c>
      <c r="S1053" s="6" t="str">
        <f>IFERROR(__xludf.DUMMYFUNCTION("""COMPUTED_VALUE""")," ")</f>
        <v> </v>
      </c>
      <c r="T1053" s="6" t="str">
        <f>IFERROR(__xludf.DUMMYFUNCTION("""COMPUTED_VALUE"""),"")</f>
        <v/>
      </c>
      <c r="U1053" s="6" t="str">
        <f>IFERROR(__xludf.DUMMYFUNCTION("""COMPUTED_VALUE"""),"11")</f>
        <v>11</v>
      </c>
      <c r="V1053" s="6" t="str">
        <f>IFERROR(__xludf.DUMMYFUNCTION("""COMPUTED_VALUE"""),"English")</f>
        <v>English</v>
      </c>
      <c r="W1053" s="6" t="str">
        <f>IFERROR(__xludf.DUMMYFUNCTION("""COMPUTED_VALUE"""),"[]")</f>
        <v>[]</v>
      </c>
      <c r="X1053" s="6" t="str">
        <f>IFERROR(__xludf.DUMMYFUNCTION("""COMPUTED_VALUE"""),"Enrolled")</f>
        <v>Enrolled</v>
      </c>
    </row>
    <row r="1054">
      <c r="A1054" s="6" t="str">
        <f>IFERROR(__xludf.DUMMYFUNCTION("""COMPUTED_VALUE"""),"009-1179")</f>
        <v>009-1179</v>
      </c>
      <c r="B1054" s="6" t="str">
        <f>IFERROR(__xludf.DUMMYFUNCTION("""COMPUTED_VALUE"""),"9")</f>
        <v>9</v>
      </c>
      <c r="C1054" s="6" t="str">
        <f>IFERROR(__xludf.DUMMYFUNCTION("""COMPUTED_VALUE"""),"1179")</f>
        <v>1179</v>
      </c>
      <c r="D1054" s="6" t="str">
        <f>IFERROR(__xludf.DUMMYFUNCTION("""COMPUTED_VALUE"""),"Abramchuk")</f>
        <v>Abramchuk</v>
      </c>
      <c r="E1054" s="6" t="str">
        <f>IFERROR(__xludf.DUMMYFUNCTION("""COMPUTED_VALUE"""),"")</f>
        <v/>
      </c>
      <c r="F1054" s="6" t="str">
        <f>IFERROR(__xludf.DUMMYFUNCTION("""COMPUTED_VALUE"""),"Oleh")</f>
        <v>Oleh</v>
      </c>
      <c r="G1054" s="6" t="str">
        <f>IFERROR(__xludf.DUMMYFUNCTION("""COMPUTED_VALUE"""),"01/01/2008")</f>
        <v>01/01/2008</v>
      </c>
      <c r="H1054" s="6" t="str">
        <f>IFERROR(__xludf.DUMMYFUNCTION("""COMPUTED_VALUE"""),"Self Identify")</f>
        <v>Self Identify</v>
      </c>
      <c r="I1054" s="6" t="str">
        <f>IFERROR(__xludf.DUMMYFUNCTION("""COMPUTED_VALUE"""),"High School")</f>
        <v>High School</v>
      </c>
      <c r="J1054" s="6" t="str">
        <f>IFERROR(__xludf.DUMMYFUNCTION("""COMPUTED_VALUE"""),"11")</f>
        <v>11</v>
      </c>
      <c r="K1054" s="6" t="str">
        <f>IFERROR(__xludf.DUMMYFUNCTION("""COMPUTED_VALUE"""),"abramchuk.oleh@2hourlearning.com")</f>
        <v>abramchuk.oleh@2hourlearning.com</v>
      </c>
      <c r="L1054" s="6" t="str">
        <f>IFERROR(__xludf.DUMMYFUNCTION("""COMPUTED_VALUE"""),"Learn and Earn Poland")</f>
        <v>Learn and Earn Poland</v>
      </c>
      <c r="M1054" s="6" t="str">
        <f>IFERROR(__xludf.DUMMYFUNCTION("""COMPUTED_VALUE"""),"")</f>
        <v/>
      </c>
      <c r="N1054" s="6" t="str">
        <f>IFERROR(__xludf.DUMMYFUNCTION("""COMPUTED_VALUE"""),"")</f>
        <v/>
      </c>
      <c r="O1054" s="87" t="str">
        <f>IFERROR(__xludf.DUMMYFUNCTION("""COMPUTED_VALUE"""),"https://drive.google.com/drive/folders/10T2cTQHqEJZqE-st6uFKPoI?usp=share_link")</f>
        <v>https://drive.google.com/drive/folders/10T2cTQHqEJZqE-st6uFKPoI?usp=share_link</v>
      </c>
      <c r="P1054" s="6" t="str">
        <f>IFERROR(__xludf.DUMMYFUNCTION("""COMPUTED_VALUE"""),"Abramchuk Oleh")</f>
        <v>Abramchuk Oleh</v>
      </c>
      <c r="Q1054" s="6" t="str">
        <f>IFERROR(__xludf.DUMMYFUNCTION("""COMPUTED_VALUE"""),"HS")</f>
        <v>HS</v>
      </c>
      <c r="R1054" s="6">
        <f>IFERROR(__xludf.DUMMYFUNCTION("""COMPUTED_VALUE"""),0.0)</f>
        <v>0</v>
      </c>
      <c r="S1054" s="6" t="str">
        <f>IFERROR(__xludf.DUMMYFUNCTION("""COMPUTED_VALUE""")," ")</f>
        <v> </v>
      </c>
      <c r="T1054" s="6" t="str">
        <f>IFERROR(__xludf.DUMMYFUNCTION("""COMPUTED_VALUE"""),"")</f>
        <v/>
      </c>
      <c r="U1054" s="6" t="str">
        <f>IFERROR(__xludf.DUMMYFUNCTION("""COMPUTED_VALUE"""),"11")</f>
        <v>11</v>
      </c>
      <c r="V1054" s="6" t="str">
        <f>IFERROR(__xludf.DUMMYFUNCTION("""COMPUTED_VALUE"""),"English")</f>
        <v>English</v>
      </c>
      <c r="W1054" s="6" t="str">
        <f>IFERROR(__xludf.DUMMYFUNCTION("""COMPUTED_VALUE"""),"[]")</f>
        <v>[]</v>
      </c>
      <c r="X1054" s="6" t="str">
        <f>IFERROR(__xludf.DUMMYFUNCTION("""COMPUTED_VALUE"""),"Enrolled")</f>
        <v>Enrolled</v>
      </c>
    </row>
    <row r="1055">
      <c r="A1055" s="6" t="str">
        <f>IFERROR(__xludf.DUMMYFUNCTION("""COMPUTED_VALUE"""),"009-1180")</f>
        <v>009-1180</v>
      </c>
      <c r="B1055" s="6" t="str">
        <f>IFERROR(__xludf.DUMMYFUNCTION("""COMPUTED_VALUE"""),"9")</f>
        <v>9</v>
      </c>
      <c r="C1055" s="6" t="str">
        <f>IFERROR(__xludf.DUMMYFUNCTION("""COMPUTED_VALUE"""),"1180")</f>
        <v>1180</v>
      </c>
      <c r="D1055" s="6" t="str">
        <f>IFERROR(__xludf.DUMMYFUNCTION("""COMPUTED_VALUE"""),"Holovchak")</f>
        <v>Holovchak</v>
      </c>
      <c r="E1055" s="6" t="str">
        <f>IFERROR(__xludf.DUMMYFUNCTION("""COMPUTED_VALUE"""),"")</f>
        <v/>
      </c>
      <c r="F1055" s="6" t="str">
        <f>IFERROR(__xludf.DUMMYFUNCTION("""COMPUTED_VALUE"""),"Vitalii")</f>
        <v>Vitalii</v>
      </c>
      <c r="G1055" s="6" t="str">
        <f>IFERROR(__xludf.DUMMYFUNCTION("""COMPUTED_VALUE"""),"01/01/2008")</f>
        <v>01/01/2008</v>
      </c>
      <c r="H1055" s="6" t="str">
        <f>IFERROR(__xludf.DUMMYFUNCTION("""COMPUTED_VALUE"""),"Self Identify")</f>
        <v>Self Identify</v>
      </c>
      <c r="I1055" s="6" t="str">
        <f>IFERROR(__xludf.DUMMYFUNCTION("""COMPUTED_VALUE"""),"High School")</f>
        <v>High School</v>
      </c>
      <c r="J1055" s="6" t="str">
        <f>IFERROR(__xludf.DUMMYFUNCTION("""COMPUTED_VALUE"""),"11")</f>
        <v>11</v>
      </c>
      <c r="K1055" s="6" t="str">
        <f>IFERROR(__xludf.DUMMYFUNCTION("""COMPUTED_VALUE"""),"holovchak.vitalii@2hourlearning.com")</f>
        <v>holovchak.vitalii@2hourlearning.com</v>
      </c>
      <c r="L1055" s="6" t="str">
        <f>IFERROR(__xludf.DUMMYFUNCTION("""COMPUTED_VALUE"""),"Learn and Earn Poland")</f>
        <v>Learn and Earn Poland</v>
      </c>
      <c r="M1055" s="6" t="str">
        <f>IFERROR(__xludf.DUMMYFUNCTION("""COMPUTED_VALUE"""),"")</f>
        <v/>
      </c>
      <c r="N1055" s="6" t="str">
        <f>IFERROR(__xludf.DUMMYFUNCTION("""COMPUTED_VALUE"""),"")</f>
        <v/>
      </c>
      <c r="O1055" s="87" t="str">
        <f>IFERROR(__xludf.DUMMYFUNCTION("""COMPUTED_VALUE"""),"https://drive.google.com/drive/folders/10T2cTQHqEJZqE-st6uFKPoI?usp=share_link")</f>
        <v>https://drive.google.com/drive/folders/10T2cTQHqEJZqE-st6uFKPoI?usp=share_link</v>
      </c>
      <c r="P1055" s="6" t="str">
        <f>IFERROR(__xludf.DUMMYFUNCTION("""COMPUTED_VALUE"""),"Holovchak Vitalii")</f>
        <v>Holovchak Vitalii</v>
      </c>
      <c r="Q1055" s="6" t="str">
        <f>IFERROR(__xludf.DUMMYFUNCTION("""COMPUTED_VALUE"""),"HS")</f>
        <v>HS</v>
      </c>
      <c r="R1055" s="6">
        <f>IFERROR(__xludf.DUMMYFUNCTION("""COMPUTED_VALUE"""),0.0)</f>
        <v>0</v>
      </c>
      <c r="S1055" s="6" t="str">
        <f>IFERROR(__xludf.DUMMYFUNCTION("""COMPUTED_VALUE""")," ")</f>
        <v> </v>
      </c>
      <c r="T1055" s="6" t="str">
        <f>IFERROR(__xludf.DUMMYFUNCTION("""COMPUTED_VALUE"""),"")</f>
        <v/>
      </c>
      <c r="U1055" s="6" t="str">
        <f>IFERROR(__xludf.DUMMYFUNCTION("""COMPUTED_VALUE"""),"11")</f>
        <v>11</v>
      </c>
      <c r="V1055" s="6" t="str">
        <f>IFERROR(__xludf.DUMMYFUNCTION("""COMPUTED_VALUE"""),"English")</f>
        <v>English</v>
      </c>
      <c r="W1055" s="6" t="str">
        <f>IFERROR(__xludf.DUMMYFUNCTION("""COMPUTED_VALUE"""),"[]")</f>
        <v>[]</v>
      </c>
      <c r="X1055" s="6" t="str">
        <f>IFERROR(__xludf.DUMMYFUNCTION("""COMPUTED_VALUE"""),"Enrolled")</f>
        <v>Enrolled</v>
      </c>
    </row>
    <row r="1056">
      <c r="A1056" s="6" t="str">
        <f>IFERROR(__xludf.DUMMYFUNCTION("""COMPUTED_VALUE"""),"009-1181")</f>
        <v>009-1181</v>
      </c>
      <c r="B1056" s="6" t="str">
        <f>IFERROR(__xludf.DUMMYFUNCTION("""COMPUTED_VALUE"""),"9")</f>
        <v>9</v>
      </c>
      <c r="C1056" s="6" t="str">
        <f>IFERROR(__xludf.DUMMYFUNCTION("""COMPUTED_VALUE"""),"1181")</f>
        <v>1181</v>
      </c>
      <c r="D1056" s="6" t="str">
        <f>IFERROR(__xludf.DUMMYFUNCTION("""COMPUTED_VALUE"""),"Denysiuk")</f>
        <v>Denysiuk</v>
      </c>
      <c r="E1056" s="6" t="str">
        <f>IFERROR(__xludf.DUMMYFUNCTION("""COMPUTED_VALUE"""),"")</f>
        <v/>
      </c>
      <c r="F1056" s="6" t="str">
        <f>IFERROR(__xludf.DUMMYFUNCTION("""COMPUTED_VALUE"""),"Daryna")</f>
        <v>Daryna</v>
      </c>
      <c r="G1056" s="6" t="str">
        <f>IFERROR(__xludf.DUMMYFUNCTION("""COMPUTED_VALUE"""),"01/01/2008")</f>
        <v>01/01/2008</v>
      </c>
      <c r="H1056" s="6" t="str">
        <f>IFERROR(__xludf.DUMMYFUNCTION("""COMPUTED_VALUE"""),"Self Identify")</f>
        <v>Self Identify</v>
      </c>
      <c r="I1056" s="6" t="str">
        <f>IFERROR(__xludf.DUMMYFUNCTION("""COMPUTED_VALUE"""),"High School")</f>
        <v>High School</v>
      </c>
      <c r="J1056" s="6" t="str">
        <f>IFERROR(__xludf.DUMMYFUNCTION("""COMPUTED_VALUE"""),"11")</f>
        <v>11</v>
      </c>
      <c r="K1056" s="6" t="str">
        <f>IFERROR(__xludf.DUMMYFUNCTION("""COMPUTED_VALUE"""),"denysiuk.daryna@2hourlearning.com")</f>
        <v>denysiuk.daryna@2hourlearning.com</v>
      </c>
      <c r="L1056" s="6" t="str">
        <f>IFERROR(__xludf.DUMMYFUNCTION("""COMPUTED_VALUE"""),"Learn and Earn Poland")</f>
        <v>Learn and Earn Poland</v>
      </c>
      <c r="M1056" s="6" t="str">
        <f>IFERROR(__xludf.DUMMYFUNCTION("""COMPUTED_VALUE"""),"")</f>
        <v/>
      </c>
      <c r="N1056" s="6" t="str">
        <f>IFERROR(__xludf.DUMMYFUNCTION("""COMPUTED_VALUE"""),"")</f>
        <v/>
      </c>
      <c r="O1056" s="87" t="str">
        <f>IFERROR(__xludf.DUMMYFUNCTION("""COMPUTED_VALUE"""),"https://drive.google.com/drive/folders/10T2cTQHqEJZqE-st6uFKPoI?usp=share_link")</f>
        <v>https://drive.google.com/drive/folders/10T2cTQHqEJZqE-st6uFKPoI?usp=share_link</v>
      </c>
      <c r="P1056" s="6" t="str">
        <f>IFERROR(__xludf.DUMMYFUNCTION("""COMPUTED_VALUE"""),"Denysiuk Daryna")</f>
        <v>Denysiuk Daryna</v>
      </c>
      <c r="Q1056" s="6" t="str">
        <f>IFERROR(__xludf.DUMMYFUNCTION("""COMPUTED_VALUE"""),"HS")</f>
        <v>HS</v>
      </c>
      <c r="R1056" s="6">
        <f>IFERROR(__xludf.DUMMYFUNCTION("""COMPUTED_VALUE"""),0.0)</f>
        <v>0</v>
      </c>
      <c r="S1056" s="6" t="str">
        <f>IFERROR(__xludf.DUMMYFUNCTION("""COMPUTED_VALUE""")," ")</f>
        <v> </v>
      </c>
      <c r="T1056" s="6" t="str">
        <f>IFERROR(__xludf.DUMMYFUNCTION("""COMPUTED_VALUE"""),"")</f>
        <v/>
      </c>
      <c r="U1056" s="6" t="str">
        <f>IFERROR(__xludf.DUMMYFUNCTION("""COMPUTED_VALUE"""),"11")</f>
        <v>11</v>
      </c>
      <c r="V1056" s="6" t="str">
        <f>IFERROR(__xludf.DUMMYFUNCTION("""COMPUTED_VALUE"""),"English")</f>
        <v>English</v>
      </c>
      <c r="W1056" s="6" t="str">
        <f>IFERROR(__xludf.DUMMYFUNCTION("""COMPUTED_VALUE"""),"[]")</f>
        <v>[]</v>
      </c>
      <c r="X1056" s="6" t="str">
        <f>IFERROR(__xludf.DUMMYFUNCTION("""COMPUTED_VALUE"""),"Enrolled")</f>
        <v>Enrolled</v>
      </c>
    </row>
    <row r="1057">
      <c r="A1057" s="6" t="str">
        <f>IFERROR(__xludf.DUMMYFUNCTION("""COMPUTED_VALUE"""),"009-1182")</f>
        <v>009-1182</v>
      </c>
      <c r="B1057" s="6" t="str">
        <f>IFERROR(__xludf.DUMMYFUNCTION("""COMPUTED_VALUE"""),"9")</f>
        <v>9</v>
      </c>
      <c r="C1057" s="6" t="str">
        <f>IFERROR(__xludf.DUMMYFUNCTION("""COMPUTED_VALUE"""),"1182")</f>
        <v>1182</v>
      </c>
      <c r="D1057" s="6" t="str">
        <f>IFERROR(__xludf.DUMMYFUNCTION("""COMPUTED_VALUE"""),"Kudriavtseva")</f>
        <v>Kudriavtseva</v>
      </c>
      <c r="E1057" s="6" t="str">
        <f>IFERROR(__xludf.DUMMYFUNCTION("""COMPUTED_VALUE"""),"")</f>
        <v/>
      </c>
      <c r="F1057" s="6" t="str">
        <f>IFERROR(__xludf.DUMMYFUNCTION("""COMPUTED_VALUE"""),"Daryna")</f>
        <v>Daryna</v>
      </c>
      <c r="G1057" s="6" t="str">
        <f>IFERROR(__xludf.DUMMYFUNCTION("""COMPUTED_VALUE"""),"01/01/2008")</f>
        <v>01/01/2008</v>
      </c>
      <c r="H1057" s="6" t="str">
        <f>IFERROR(__xludf.DUMMYFUNCTION("""COMPUTED_VALUE"""),"Self Identify")</f>
        <v>Self Identify</v>
      </c>
      <c r="I1057" s="6" t="str">
        <f>IFERROR(__xludf.DUMMYFUNCTION("""COMPUTED_VALUE"""),"High School")</f>
        <v>High School</v>
      </c>
      <c r="J1057" s="6" t="str">
        <f>IFERROR(__xludf.DUMMYFUNCTION("""COMPUTED_VALUE"""),"11")</f>
        <v>11</v>
      </c>
      <c r="K1057" s="6" t="str">
        <f>IFERROR(__xludf.DUMMYFUNCTION("""COMPUTED_VALUE"""),"kudriavtseva.daryna@2hourlearning.com")</f>
        <v>kudriavtseva.daryna@2hourlearning.com</v>
      </c>
      <c r="L1057" s="6" t="str">
        <f>IFERROR(__xludf.DUMMYFUNCTION("""COMPUTED_VALUE"""),"Learn and Earn Poland")</f>
        <v>Learn and Earn Poland</v>
      </c>
      <c r="M1057" s="6" t="str">
        <f>IFERROR(__xludf.DUMMYFUNCTION("""COMPUTED_VALUE"""),"")</f>
        <v/>
      </c>
      <c r="N1057" s="6" t="str">
        <f>IFERROR(__xludf.DUMMYFUNCTION("""COMPUTED_VALUE"""),"")</f>
        <v/>
      </c>
      <c r="O1057" s="87" t="str">
        <f>IFERROR(__xludf.DUMMYFUNCTION("""COMPUTED_VALUE"""),"https://drive.google.com/drive/folders/10T2cTQHqEJZqE-st6uFKPoI?usp=share_link")</f>
        <v>https://drive.google.com/drive/folders/10T2cTQHqEJZqE-st6uFKPoI?usp=share_link</v>
      </c>
      <c r="P1057" s="6" t="str">
        <f>IFERROR(__xludf.DUMMYFUNCTION("""COMPUTED_VALUE"""),"Kudriavtseva Daryna")</f>
        <v>Kudriavtseva Daryna</v>
      </c>
      <c r="Q1057" s="6" t="str">
        <f>IFERROR(__xludf.DUMMYFUNCTION("""COMPUTED_VALUE"""),"HS")</f>
        <v>HS</v>
      </c>
      <c r="R1057" s="6">
        <f>IFERROR(__xludf.DUMMYFUNCTION("""COMPUTED_VALUE"""),0.0)</f>
        <v>0</v>
      </c>
      <c r="S1057" s="6" t="str">
        <f>IFERROR(__xludf.DUMMYFUNCTION("""COMPUTED_VALUE""")," ")</f>
        <v> </v>
      </c>
      <c r="T1057" s="6" t="str">
        <f>IFERROR(__xludf.DUMMYFUNCTION("""COMPUTED_VALUE"""),"")</f>
        <v/>
      </c>
      <c r="U1057" s="6" t="str">
        <f>IFERROR(__xludf.DUMMYFUNCTION("""COMPUTED_VALUE"""),"11")</f>
        <v>11</v>
      </c>
      <c r="V1057" s="6" t="str">
        <f>IFERROR(__xludf.DUMMYFUNCTION("""COMPUTED_VALUE"""),"English")</f>
        <v>English</v>
      </c>
      <c r="W1057" s="6" t="str">
        <f>IFERROR(__xludf.DUMMYFUNCTION("""COMPUTED_VALUE"""),"[]")</f>
        <v>[]</v>
      </c>
      <c r="X1057" s="6" t="str">
        <f>IFERROR(__xludf.DUMMYFUNCTION("""COMPUTED_VALUE"""),"Enrolled")</f>
        <v>Enrolled</v>
      </c>
    </row>
    <row r="1058">
      <c r="A1058" s="6" t="str">
        <f>IFERROR(__xludf.DUMMYFUNCTION("""COMPUTED_VALUE"""),"009-1183")</f>
        <v>009-1183</v>
      </c>
      <c r="B1058" s="6" t="str">
        <f>IFERROR(__xludf.DUMMYFUNCTION("""COMPUTED_VALUE"""),"9")</f>
        <v>9</v>
      </c>
      <c r="C1058" s="6" t="str">
        <f>IFERROR(__xludf.DUMMYFUNCTION("""COMPUTED_VALUE"""),"1183")</f>
        <v>1183</v>
      </c>
      <c r="D1058" s="6" t="str">
        <f>IFERROR(__xludf.DUMMYFUNCTION("""COMPUTED_VALUE"""),"Mykhalchuk")</f>
        <v>Mykhalchuk</v>
      </c>
      <c r="E1058" s="6" t="str">
        <f>IFERROR(__xludf.DUMMYFUNCTION("""COMPUTED_VALUE"""),"")</f>
        <v/>
      </c>
      <c r="F1058" s="6" t="str">
        <f>IFERROR(__xludf.DUMMYFUNCTION("""COMPUTED_VALUE"""),"Anna")</f>
        <v>Anna</v>
      </c>
      <c r="G1058" s="6" t="str">
        <f>IFERROR(__xludf.DUMMYFUNCTION("""COMPUTED_VALUE"""),"01/01/2008")</f>
        <v>01/01/2008</v>
      </c>
      <c r="H1058" s="6" t="str">
        <f>IFERROR(__xludf.DUMMYFUNCTION("""COMPUTED_VALUE"""),"Self Identify")</f>
        <v>Self Identify</v>
      </c>
      <c r="I1058" s="6" t="str">
        <f>IFERROR(__xludf.DUMMYFUNCTION("""COMPUTED_VALUE"""),"High School")</f>
        <v>High School</v>
      </c>
      <c r="J1058" s="6" t="str">
        <f>IFERROR(__xludf.DUMMYFUNCTION("""COMPUTED_VALUE"""),"11")</f>
        <v>11</v>
      </c>
      <c r="K1058" s="6" t="str">
        <f>IFERROR(__xludf.DUMMYFUNCTION("""COMPUTED_VALUE"""),"mykhalchuk.anna@2hourlearning.com")</f>
        <v>mykhalchuk.anna@2hourlearning.com</v>
      </c>
      <c r="L1058" s="6" t="str">
        <f>IFERROR(__xludf.DUMMYFUNCTION("""COMPUTED_VALUE"""),"Learn and Earn Poland")</f>
        <v>Learn and Earn Poland</v>
      </c>
      <c r="M1058" s="6" t="str">
        <f>IFERROR(__xludf.DUMMYFUNCTION("""COMPUTED_VALUE"""),"")</f>
        <v/>
      </c>
      <c r="N1058" s="6" t="str">
        <f>IFERROR(__xludf.DUMMYFUNCTION("""COMPUTED_VALUE"""),"")</f>
        <v/>
      </c>
      <c r="O1058" s="87" t="str">
        <f>IFERROR(__xludf.DUMMYFUNCTION("""COMPUTED_VALUE"""),"https://drive.google.com/drive/folders/10T2cTQHqEJZqE-st6uFKPoI?usp=share_link")</f>
        <v>https://drive.google.com/drive/folders/10T2cTQHqEJZqE-st6uFKPoI?usp=share_link</v>
      </c>
      <c r="P1058" s="6" t="str">
        <f>IFERROR(__xludf.DUMMYFUNCTION("""COMPUTED_VALUE"""),"Mykhalchuk Anna")</f>
        <v>Mykhalchuk Anna</v>
      </c>
      <c r="Q1058" s="6" t="str">
        <f>IFERROR(__xludf.DUMMYFUNCTION("""COMPUTED_VALUE"""),"HS")</f>
        <v>HS</v>
      </c>
      <c r="R1058" s="6">
        <f>IFERROR(__xludf.DUMMYFUNCTION("""COMPUTED_VALUE"""),0.0)</f>
        <v>0</v>
      </c>
      <c r="S1058" s="6" t="str">
        <f>IFERROR(__xludf.DUMMYFUNCTION("""COMPUTED_VALUE""")," ")</f>
        <v> </v>
      </c>
      <c r="T1058" s="6" t="str">
        <f>IFERROR(__xludf.DUMMYFUNCTION("""COMPUTED_VALUE"""),"")</f>
        <v/>
      </c>
      <c r="U1058" s="6" t="str">
        <f>IFERROR(__xludf.DUMMYFUNCTION("""COMPUTED_VALUE"""),"11")</f>
        <v>11</v>
      </c>
      <c r="V1058" s="6" t="str">
        <f>IFERROR(__xludf.DUMMYFUNCTION("""COMPUTED_VALUE"""),"English")</f>
        <v>English</v>
      </c>
      <c r="W1058" s="6" t="str">
        <f>IFERROR(__xludf.DUMMYFUNCTION("""COMPUTED_VALUE"""),"[]")</f>
        <v>[]</v>
      </c>
      <c r="X1058" s="6" t="str">
        <f>IFERROR(__xludf.DUMMYFUNCTION("""COMPUTED_VALUE"""),"Enrolled")</f>
        <v>Enrolled</v>
      </c>
    </row>
    <row r="1059">
      <c r="A1059" s="6" t="str">
        <f>IFERROR(__xludf.DUMMYFUNCTION("""COMPUTED_VALUE"""),"009-1184")</f>
        <v>009-1184</v>
      </c>
      <c r="B1059" s="6" t="str">
        <f>IFERROR(__xludf.DUMMYFUNCTION("""COMPUTED_VALUE"""),"9")</f>
        <v>9</v>
      </c>
      <c r="C1059" s="6" t="str">
        <f>IFERROR(__xludf.DUMMYFUNCTION("""COMPUTED_VALUE"""),"1184")</f>
        <v>1184</v>
      </c>
      <c r="D1059" s="6" t="str">
        <f>IFERROR(__xludf.DUMMYFUNCTION("""COMPUTED_VALUE"""),"Nikitin")</f>
        <v>Nikitin</v>
      </c>
      <c r="E1059" s="6" t="str">
        <f>IFERROR(__xludf.DUMMYFUNCTION("""COMPUTED_VALUE"""),"")</f>
        <v/>
      </c>
      <c r="F1059" s="6" t="str">
        <f>IFERROR(__xludf.DUMMYFUNCTION("""COMPUTED_VALUE"""),"Bohdan")</f>
        <v>Bohdan</v>
      </c>
      <c r="G1059" s="6" t="str">
        <f>IFERROR(__xludf.DUMMYFUNCTION("""COMPUTED_VALUE"""),"01/01/2008")</f>
        <v>01/01/2008</v>
      </c>
      <c r="H1059" s="6" t="str">
        <f>IFERROR(__xludf.DUMMYFUNCTION("""COMPUTED_VALUE"""),"Self Identify")</f>
        <v>Self Identify</v>
      </c>
      <c r="I1059" s="6" t="str">
        <f>IFERROR(__xludf.DUMMYFUNCTION("""COMPUTED_VALUE"""),"High School")</f>
        <v>High School</v>
      </c>
      <c r="J1059" s="6" t="str">
        <f>IFERROR(__xludf.DUMMYFUNCTION("""COMPUTED_VALUE"""),"11")</f>
        <v>11</v>
      </c>
      <c r="K1059" s="6" t="str">
        <f>IFERROR(__xludf.DUMMYFUNCTION("""COMPUTED_VALUE"""),"nikitin.bohdan@2hourlearning.com")</f>
        <v>nikitin.bohdan@2hourlearning.com</v>
      </c>
      <c r="L1059" s="6" t="str">
        <f>IFERROR(__xludf.DUMMYFUNCTION("""COMPUTED_VALUE"""),"Learn and Earn Poland")</f>
        <v>Learn and Earn Poland</v>
      </c>
      <c r="M1059" s="6" t="str">
        <f>IFERROR(__xludf.DUMMYFUNCTION("""COMPUTED_VALUE"""),"")</f>
        <v/>
      </c>
      <c r="N1059" s="6" t="str">
        <f>IFERROR(__xludf.DUMMYFUNCTION("""COMPUTED_VALUE"""),"")</f>
        <v/>
      </c>
      <c r="O1059" s="87" t="str">
        <f>IFERROR(__xludf.DUMMYFUNCTION("""COMPUTED_VALUE"""),"https://drive.google.com/drive/folders/10T2cTQHqEJZqE-st6uFKPoI?usp=share_link")</f>
        <v>https://drive.google.com/drive/folders/10T2cTQHqEJZqE-st6uFKPoI?usp=share_link</v>
      </c>
      <c r="P1059" s="6" t="str">
        <f>IFERROR(__xludf.DUMMYFUNCTION("""COMPUTED_VALUE"""),"Nikitin Bohdan")</f>
        <v>Nikitin Bohdan</v>
      </c>
      <c r="Q1059" s="6" t="str">
        <f>IFERROR(__xludf.DUMMYFUNCTION("""COMPUTED_VALUE"""),"HS")</f>
        <v>HS</v>
      </c>
      <c r="R1059" s="6">
        <f>IFERROR(__xludf.DUMMYFUNCTION("""COMPUTED_VALUE"""),0.0)</f>
        <v>0</v>
      </c>
      <c r="S1059" s="6" t="str">
        <f>IFERROR(__xludf.DUMMYFUNCTION("""COMPUTED_VALUE""")," ")</f>
        <v> </v>
      </c>
      <c r="T1059" s="6" t="str">
        <f>IFERROR(__xludf.DUMMYFUNCTION("""COMPUTED_VALUE"""),"")</f>
        <v/>
      </c>
      <c r="U1059" s="6" t="str">
        <f>IFERROR(__xludf.DUMMYFUNCTION("""COMPUTED_VALUE"""),"11")</f>
        <v>11</v>
      </c>
      <c r="V1059" s="6" t="str">
        <f>IFERROR(__xludf.DUMMYFUNCTION("""COMPUTED_VALUE"""),"English")</f>
        <v>English</v>
      </c>
      <c r="W1059" s="6" t="str">
        <f>IFERROR(__xludf.DUMMYFUNCTION("""COMPUTED_VALUE"""),"[]")</f>
        <v>[]</v>
      </c>
      <c r="X1059" s="6" t="str">
        <f>IFERROR(__xludf.DUMMYFUNCTION("""COMPUTED_VALUE"""),"Enrolled")</f>
        <v>Enrolled</v>
      </c>
    </row>
    <row r="1060">
      <c r="A1060" s="6" t="str">
        <f>IFERROR(__xludf.DUMMYFUNCTION("""COMPUTED_VALUE"""),"009-1185")</f>
        <v>009-1185</v>
      </c>
      <c r="B1060" s="6" t="str">
        <f>IFERROR(__xludf.DUMMYFUNCTION("""COMPUTED_VALUE"""),"9")</f>
        <v>9</v>
      </c>
      <c r="C1060" s="6" t="str">
        <f>IFERROR(__xludf.DUMMYFUNCTION("""COMPUTED_VALUE"""),"1185")</f>
        <v>1185</v>
      </c>
      <c r="D1060" s="6" t="str">
        <f>IFERROR(__xludf.DUMMYFUNCTION("""COMPUTED_VALUE"""),"Sobchuk")</f>
        <v>Sobchuk</v>
      </c>
      <c r="E1060" s="6" t="str">
        <f>IFERROR(__xludf.DUMMYFUNCTION("""COMPUTED_VALUE"""),"")</f>
        <v/>
      </c>
      <c r="F1060" s="6" t="str">
        <f>IFERROR(__xludf.DUMMYFUNCTION("""COMPUTED_VALUE"""),"Liza")</f>
        <v>Liza</v>
      </c>
      <c r="G1060" s="6" t="str">
        <f>IFERROR(__xludf.DUMMYFUNCTION("""COMPUTED_VALUE"""),"01/01/2008")</f>
        <v>01/01/2008</v>
      </c>
      <c r="H1060" s="6" t="str">
        <f>IFERROR(__xludf.DUMMYFUNCTION("""COMPUTED_VALUE"""),"Self Identify")</f>
        <v>Self Identify</v>
      </c>
      <c r="I1060" s="6" t="str">
        <f>IFERROR(__xludf.DUMMYFUNCTION("""COMPUTED_VALUE"""),"High School")</f>
        <v>High School</v>
      </c>
      <c r="J1060" s="6" t="str">
        <f>IFERROR(__xludf.DUMMYFUNCTION("""COMPUTED_VALUE"""),"11")</f>
        <v>11</v>
      </c>
      <c r="K1060" s="6" t="str">
        <f>IFERROR(__xludf.DUMMYFUNCTION("""COMPUTED_VALUE"""),"sobchuk.liza@2hourlearning.com")</f>
        <v>sobchuk.liza@2hourlearning.com</v>
      </c>
      <c r="L1060" s="6" t="str">
        <f>IFERROR(__xludf.DUMMYFUNCTION("""COMPUTED_VALUE"""),"Learn and Earn Poland")</f>
        <v>Learn and Earn Poland</v>
      </c>
      <c r="M1060" s="6" t="str">
        <f>IFERROR(__xludf.DUMMYFUNCTION("""COMPUTED_VALUE"""),"")</f>
        <v/>
      </c>
      <c r="N1060" s="6" t="str">
        <f>IFERROR(__xludf.DUMMYFUNCTION("""COMPUTED_VALUE"""),"")</f>
        <v/>
      </c>
      <c r="O1060" s="87" t="str">
        <f>IFERROR(__xludf.DUMMYFUNCTION("""COMPUTED_VALUE"""),"https://drive.google.com/drive/folders/10T2cTQHqEJZqE-st6uFKPoI?usp=share_link")</f>
        <v>https://drive.google.com/drive/folders/10T2cTQHqEJZqE-st6uFKPoI?usp=share_link</v>
      </c>
      <c r="P1060" s="6" t="str">
        <f>IFERROR(__xludf.DUMMYFUNCTION("""COMPUTED_VALUE"""),"Sobchuk Liza")</f>
        <v>Sobchuk Liza</v>
      </c>
      <c r="Q1060" s="6" t="str">
        <f>IFERROR(__xludf.DUMMYFUNCTION("""COMPUTED_VALUE"""),"HS")</f>
        <v>HS</v>
      </c>
      <c r="R1060" s="6">
        <f>IFERROR(__xludf.DUMMYFUNCTION("""COMPUTED_VALUE"""),0.0)</f>
        <v>0</v>
      </c>
      <c r="S1060" s="6" t="str">
        <f>IFERROR(__xludf.DUMMYFUNCTION("""COMPUTED_VALUE""")," ")</f>
        <v> </v>
      </c>
      <c r="T1060" s="6" t="str">
        <f>IFERROR(__xludf.DUMMYFUNCTION("""COMPUTED_VALUE"""),"")</f>
        <v/>
      </c>
      <c r="U1060" s="6" t="str">
        <f>IFERROR(__xludf.DUMMYFUNCTION("""COMPUTED_VALUE"""),"11")</f>
        <v>11</v>
      </c>
      <c r="V1060" s="6" t="str">
        <f>IFERROR(__xludf.DUMMYFUNCTION("""COMPUTED_VALUE"""),"English")</f>
        <v>English</v>
      </c>
      <c r="W1060" s="6" t="str">
        <f>IFERROR(__xludf.DUMMYFUNCTION("""COMPUTED_VALUE"""),"[]")</f>
        <v>[]</v>
      </c>
      <c r="X1060" s="6" t="str">
        <f>IFERROR(__xludf.DUMMYFUNCTION("""COMPUTED_VALUE"""),"Enrolled")</f>
        <v>Enrolled</v>
      </c>
    </row>
    <row r="1061">
      <c r="A1061" s="6" t="str">
        <f>IFERROR(__xludf.DUMMYFUNCTION("""COMPUTED_VALUE"""),"009-1186")</f>
        <v>009-1186</v>
      </c>
      <c r="B1061" s="6" t="str">
        <f>IFERROR(__xludf.DUMMYFUNCTION("""COMPUTED_VALUE"""),"9")</f>
        <v>9</v>
      </c>
      <c r="C1061" s="6" t="str">
        <f>IFERROR(__xludf.DUMMYFUNCTION("""COMPUTED_VALUE"""),"1186")</f>
        <v>1186</v>
      </c>
      <c r="D1061" s="6" t="str">
        <f>IFERROR(__xludf.DUMMYFUNCTION("""COMPUTED_VALUE"""),"Valeria")</f>
        <v>Valeria</v>
      </c>
      <c r="E1061" s="6" t="str">
        <f>IFERROR(__xludf.DUMMYFUNCTION("""COMPUTED_VALUE"""),"")</f>
        <v/>
      </c>
      <c r="F1061" s="6" t="str">
        <f>IFERROR(__xludf.DUMMYFUNCTION("""COMPUTED_VALUE"""),"Redko")</f>
        <v>Redko</v>
      </c>
      <c r="G1061" s="6" t="str">
        <f>IFERROR(__xludf.DUMMYFUNCTION("""COMPUTED_VALUE"""),"01/01/2007")</f>
        <v>01/01/2007</v>
      </c>
      <c r="H1061" s="6" t="str">
        <f>IFERROR(__xludf.DUMMYFUNCTION("""COMPUTED_VALUE"""),"Self Identify")</f>
        <v>Self Identify</v>
      </c>
      <c r="I1061" s="6" t="str">
        <f>IFERROR(__xludf.DUMMYFUNCTION("""COMPUTED_VALUE"""),"High School")</f>
        <v>High School</v>
      </c>
      <c r="J1061" s="6" t="str">
        <f>IFERROR(__xludf.DUMMYFUNCTION("""COMPUTED_VALUE"""),"12")</f>
        <v>12</v>
      </c>
      <c r="K1061" s="6" t="str">
        <f>IFERROR(__xludf.DUMMYFUNCTION("""COMPUTED_VALUE"""),"valeria.redko@2hourlearning.com")</f>
        <v>valeria.redko@2hourlearning.com</v>
      </c>
      <c r="L1061" s="6" t="str">
        <f>IFERROR(__xludf.DUMMYFUNCTION("""COMPUTED_VALUE"""),"Learn and Earn Poland")</f>
        <v>Learn and Earn Poland</v>
      </c>
      <c r="M1061" s="6" t="str">
        <f>IFERROR(__xludf.DUMMYFUNCTION("""COMPUTED_VALUE"""),"")</f>
        <v/>
      </c>
      <c r="N1061" s="6" t="str">
        <f>IFERROR(__xludf.DUMMYFUNCTION("""COMPUTED_VALUE"""),"")</f>
        <v/>
      </c>
      <c r="O1061" s="87" t="str">
        <f>IFERROR(__xludf.DUMMYFUNCTION("""COMPUTED_VALUE"""),"https://drive.google.com/drive/folders/10T2cTQHqEJZqE-st6uFKPoI?usp=share_link")</f>
        <v>https://drive.google.com/drive/folders/10T2cTQHqEJZqE-st6uFKPoI?usp=share_link</v>
      </c>
      <c r="P1061" s="6" t="str">
        <f>IFERROR(__xludf.DUMMYFUNCTION("""COMPUTED_VALUE"""),"Valeria Redko")</f>
        <v>Valeria Redko</v>
      </c>
      <c r="Q1061" s="6" t="str">
        <f>IFERROR(__xludf.DUMMYFUNCTION("""COMPUTED_VALUE"""),"HS")</f>
        <v>HS</v>
      </c>
      <c r="R1061" s="6">
        <f>IFERROR(__xludf.DUMMYFUNCTION("""COMPUTED_VALUE"""),0.0)</f>
        <v>0</v>
      </c>
      <c r="S1061" s="6" t="str">
        <f>IFERROR(__xludf.DUMMYFUNCTION("""COMPUTED_VALUE""")," ")</f>
        <v> </v>
      </c>
      <c r="T1061" s="6" t="str">
        <f>IFERROR(__xludf.DUMMYFUNCTION("""COMPUTED_VALUE"""),"")</f>
        <v/>
      </c>
      <c r="U1061" s="6" t="str">
        <f>IFERROR(__xludf.DUMMYFUNCTION("""COMPUTED_VALUE"""),"12")</f>
        <v>12</v>
      </c>
      <c r="V1061" s="6" t="str">
        <f>IFERROR(__xludf.DUMMYFUNCTION("""COMPUTED_VALUE"""),"English")</f>
        <v>English</v>
      </c>
      <c r="W1061" s="6" t="str">
        <f>IFERROR(__xludf.DUMMYFUNCTION("""COMPUTED_VALUE"""),"[]")</f>
        <v>[]</v>
      </c>
      <c r="X1061" s="6" t="str">
        <f>IFERROR(__xludf.DUMMYFUNCTION("""COMPUTED_VALUE"""),"Enrolled")</f>
        <v>Enrolled</v>
      </c>
    </row>
    <row r="1062">
      <c r="A1062" s="6" t="str">
        <f>IFERROR(__xludf.DUMMYFUNCTION("""COMPUTED_VALUE"""),"009-1187")</f>
        <v>009-1187</v>
      </c>
      <c r="B1062" s="6" t="str">
        <f>IFERROR(__xludf.DUMMYFUNCTION("""COMPUTED_VALUE"""),"9")</f>
        <v>9</v>
      </c>
      <c r="C1062" s="6" t="str">
        <f>IFERROR(__xludf.DUMMYFUNCTION("""COMPUTED_VALUE"""),"1187")</f>
        <v>1187</v>
      </c>
      <c r="D1062" s="6" t="str">
        <f>IFERROR(__xludf.DUMMYFUNCTION("""COMPUTED_VALUE"""),"Alina")</f>
        <v>Alina</v>
      </c>
      <c r="E1062" s="6" t="str">
        <f>IFERROR(__xludf.DUMMYFUNCTION("""COMPUTED_VALUE"""),"")</f>
        <v/>
      </c>
      <c r="F1062" s="6" t="str">
        <f>IFERROR(__xludf.DUMMYFUNCTION("""COMPUTED_VALUE"""),"Lustoklad")</f>
        <v>Lustoklad</v>
      </c>
      <c r="G1062" s="6" t="str">
        <f>IFERROR(__xludf.DUMMYFUNCTION("""COMPUTED_VALUE"""),"01/01/2007")</f>
        <v>01/01/2007</v>
      </c>
      <c r="H1062" s="6" t="str">
        <f>IFERROR(__xludf.DUMMYFUNCTION("""COMPUTED_VALUE"""),"Self Identify")</f>
        <v>Self Identify</v>
      </c>
      <c r="I1062" s="6" t="str">
        <f>IFERROR(__xludf.DUMMYFUNCTION("""COMPUTED_VALUE"""),"High School")</f>
        <v>High School</v>
      </c>
      <c r="J1062" s="6" t="str">
        <f>IFERROR(__xludf.DUMMYFUNCTION("""COMPUTED_VALUE"""),"12")</f>
        <v>12</v>
      </c>
      <c r="K1062" s="6" t="str">
        <f>IFERROR(__xludf.DUMMYFUNCTION("""COMPUTED_VALUE"""),"alina.lustoklad@2hourlearning.com")</f>
        <v>alina.lustoklad@2hourlearning.com</v>
      </c>
      <c r="L1062" s="6" t="str">
        <f>IFERROR(__xludf.DUMMYFUNCTION("""COMPUTED_VALUE"""),"Learn and Earn Poland")</f>
        <v>Learn and Earn Poland</v>
      </c>
      <c r="M1062" s="6" t="str">
        <f>IFERROR(__xludf.DUMMYFUNCTION("""COMPUTED_VALUE"""),"")</f>
        <v/>
      </c>
      <c r="N1062" s="6" t="str">
        <f>IFERROR(__xludf.DUMMYFUNCTION("""COMPUTED_VALUE"""),"")</f>
        <v/>
      </c>
      <c r="O1062" s="87" t="str">
        <f>IFERROR(__xludf.DUMMYFUNCTION("""COMPUTED_VALUE"""),"https://drive.google.com/drive/folders/10T2cTQHqEJZqE-st6uFKPoI?usp=share_link")</f>
        <v>https://drive.google.com/drive/folders/10T2cTQHqEJZqE-st6uFKPoI?usp=share_link</v>
      </c>
      <c r="P1062" s="6" t="str">
        <f>IFERROR(__xludf.DUMMYFUNCTION("""COMPUTED_VALUE"""),"Alina Lustoklad")</f>
        <v>Alina Lustoklad</v>
      </c>
      <c r="Q1062" s="6" t="str">
        <f>IFERROR(__xludf.DUMMYFUNCTION("""COMPUTED_VALUE"""),"HS")</f>
        <v>HS</v>
      </c>
      <c r="R1062" s="6">
        <f>IFERROR(__xludf.DUMMYFUNCTION("""COMPUTED_VALUE"""),0.0)</f>
        <v>0</v>
      </c>
      <c r="S1062" s="6" t="str">
        <f>IFERROR(__xludf.DUMMYFUNCTION("""COMPUTED_VALUE""")," ")</f>
        <v> </v>
      </c>
      <c r="T1062" s="6" t="str">
        <f>IFERROR(__xludf.DUMMYFUNCTION("""COMPUTED_VALUE"""),"")</f>
        <v/>
      </c>
      <c r="U1062" s="6" t="str">
        <f>IFERROR(__xludf.DUMMYFUNCTION("""COMPUTED_VALUE"""),"12")</f>
        <v>12</v>
      </c>
      <c r="V1062" s="6" t="str">
        <f>IFERROR(__xludf.DUMMYFUNCTION("""COMPUTED_VALUE"""),"English")</f>
        <v>English</v>
      </c>
      <c r="W1062" s="6" t="str">
        <f>IFERROR(__xludf.DUMMYFUNCTION("""COMPUTED_VALUE"""),"[]")</f>
        <v>[]</v>
      </c>
      <c r="X1062" s="6" t="str">
        <f>IFERROR(__xludf.DUMMYFUNCTION("""COMPUTED_VALUE"""),"Enrolled")</f>
        <v>Enrolled</v>
      </c>
    </row>
    <row r="1063">
      <c r="A1063" s="6" t="str">
        <f>IFERROR(__xludf.DUMMYFUNCTION("""COMPUTED_VALUE"""),"009-1188")</f>
        <v>009-1188</v>
      </c>
      <c r="B1063" s="6" t="str">
        <f>IFERROR(__xludf.DUMMYFUNCTION("""COMPUTED_VALUE"""),"9")</f>
        <v>9</v>
      </c>
      <c r="C1063" s="6" t="str">
        <f>IFERROR(__xludf.DUMMYFUNCTION("""COMPUTED_VALUE"""),"1188")</f>
        <v>1188</v>
      </c>
      <c r="D1063" s="6" t="str">
        <f>IFERROR(__xludf.DUMMYFUNCTION("""COMPUTED_VALUE"""),"Daniil")</f>
        <v>Daniil</v>
      </c>
      <c r="E1063" s="6" t="str">
        <f>IFERROR(__xludf.DUMMYFUNCTION("""COMPUTED_VALUE"""),"")</f>
        <v/>
      </c>
      <c r="F1063" s="6" t="str">
        <f>IFERROR(__xludf.DUMMYFUNCTION("""COMPUTED_VALUE"""),"Semianov")</f>
        <v>Semianov</v>
      </c>
      <c r="G1063" s="6" t="str">
        <f>IFERROR(__xludf.DUMMYFUNCTION("""COMPUTED_VALUE"""),"01/01/2007")</f>
        <v>01/01/2007</v>
      </c>
      <c r="H1063" s="6" t="str">
        <f>IFERROR(__xludf.DUMMYFUNCTION("""COMPUTED_VALUE"""),"Self Identify")</f>
        <v>Self Identify</v>
      </c>
      <c r="I1063" s="6" t="str">
        <f>IFERROR(__xludf.DUMMYFUNCTION("""COMPUTED_VALUE"""),"High School")</f>
        <v>High School</v>
      </c>
      <c r="J1063" s="6" t="str">
        <f>IFERROR(__xludf.DUMMYFUNCTION("""COMPUTED_VALUE"""),"12")</f>
        <v>12</v>
      </c>
      <c r="K1063" s="6" t="str">
        <f>IFERROR(__xludf.DUMMYFUNCTION("""COMPUTED_VALUE"""),"daniil.semianov@2hourlearning.com")</f>
        <v>daniil.semianov@2hourlearning.com</v>
      </c>
      <c r="L1063" s="6" t="str">
        <f>IFERROR(__xludf.DUMMYFUNCTION("""COMPUTED_VALUE"""),"Learn and Earn Poland")</f>
        <v>Learn and Earn Poland</v>
      </c>
      <c r="M1063" s="6" t="str">
        <f>IFERROR(__xludf.DUMMYFUNCTION("""COMPUTED_VALUE"""),"")</f>
        <v/>
      </c>
      <c r="N1063" s="6" t="str">
        <f>IFERROR(__xludf.DUMMYFUNCTION("""COMPUTED_VALUE"""),"")</f>
        <v/>
      </c>
      <c r="O1063" s="87" t="str">
        <f>IFERROR(__xludf.DUMMYFUNCTION("""COMPUTED_VALUE"""),"https://drive.google.com/drive/folders/10T2cTQHqEJZqE-st6uFKPoI?usp=share_link")</f>
        <v>https://drive.google.com/drive/folders/10T2cTQHqEJZqE-st6uFKPoI?usp=share_link</v>
      </c>
      <c r="P1063" s="6" t="str">
        <f>IFERROR(__xludf.DUMMYFUNCTION("""COMPUTED_VALUE"""),"Daniil Semianov")</f>
        <v>Daniil Semianov</v>
      </c>
      <c r="Q1063" s="6" t="str">
        <f>IFERROR(__xludf.DUMMYFUNCTION("""COMPUTED_VALUE"""),"HS")</f>
        <v>HS</v>
      </c>
      <c r="R1063" s="6">
        <f>IFERROR(__xludf.DUMMYFUNCTION("""COMPUTED_VALUE"""),0.0)</f>
        <v>0</v>
      </c>
      <c r="S1063" s="6" t="str">
        <f>IFERROR(__xludf.DUMMYFUNCTION("""COMPUTED_VALUE""")," ")</f>
        <v> </v>
      </c>
      <c r="T1063" s="6" t="str">
        <f>IFERROR(__xludf.DUMMYFUNCTION("""COMPUTED_VALUE"""),"")</f>
        <v/>
      </c>
      <c r="U1063" s="6" t="str">
        <f>IFERROR(__xludf.DUMMYFUNCTION("""COMPUTED_VALUE"""),"12")</f>
        <v>12</v>
      </c>
      <c r="V1063" s="6" t="str">
        <f>IFERROR(__xludf.DUMMYFUNCTION("""COMPUTED_VALUE"""),"English")</f>
        <v>English</v>
      </c>
      <c r="W1063" s="6" t="str">
        <f>IFERROR(__xludf.DUMMYFUNCTION("""COMPUTED_VALUE"""),"[]")</f>
        <v>[]</v>
      </c>
      <c r="X1063" s="6" t="str">
        <f>IFERROR(__xludf.DUMMYFUNCTION("""COMPUTED_VALUE"""),"Enrolled")</f>
        <v>Enrolled</v>
      </c>
    </row>
    <row r="1064">
      <c r="A1064" s="6" t="str">
        <f>IFERROR(__xludf.DUMMYFUNCTION("""COMPUTED_VALUE"""),"009-1189")</f>
        <v>009-1189</v>
      </c>
      <c r="B1064" s="6" t="str">
        <f>IFERROR(__xludf.DUMMYFUNCTION("""COMPUTED_VALUE"""),"9")</f>
        <v>9</v>
      </c>
      <c r="C1064" s="6" t="str">
        <f>IFERROR(__xludf.DUMMYFUNCTION("""COMPUTED_VALUE"""),"1189")</f>
        <v>1189</v>
      </c>
      <c r="D1064" s="6" t="str">
        <f>IFERROR(__xludf.DUMMYFUNCTION("""COMPUTED_VALUE"""),"Novenko")</f>
        <v>Novenko</v>
      </c>
      <c r="E1064" s="6" t="str">
        <f>IFERROR(__xludf.DUMMYFUNCTION("""COMPUTED_VALUE"""),"")</f>
        <v/>
      </c>
      <c r="F1064" s="6" t="str">
        <f>IFERROR(__xludf.DUMMYFUNCTION("""COMPUTED_VALUE"""),"Artem")</f>
        <v>Artem</v>
      </c>
      <c r="G1064" s="6" t="str">
        <f>IFERROR(__xludf.DUMMYFUNCTION("""COMPUTED_VALUE"""),"01/01/2007")</f>
        <v>01/01/2007</v>
      </c>
      <c r="H1064" s="6" t="str">
        <f>IFERROR(__xludf.DUMMYFUNCTION("""COMPUTED_VALUE"""),"Self Identify")</f>
        <v>Self Identify</v>
      </c>
      <c r="I1064" s="6" t="str">
        <f>IFERROR(__xludf.DUMMYFUNCTION("""COMPUTED_VALUE"""),"High School")</f>
        <v>High School</v>
      </c>
      <c r="J1064" s="6" t="str">
        <f>IFERROR(__xludf.DUMMYFUNCTION("""COMPUTED_VALUE"""),"12")</f>
        <v>12</v>
      </c>
      <c r="K1064" s="6" t="str">
        <f>IFERROR(__xludf.DUMMYFUNCTION("""COMPUTED_VALUE"""),"novenko.artem@2hourlearning.com")</f>
        <v>novenko.artem@2hourlearning.com</v>
      </c>
      <c r="L1064" s="6" t="str">
        <f>IFERROR(__xludf.DUMMYFUNCTION("""COMPUTED_VALUE"""),"Learn and Earn Poland")</f>
        <v>Learn and Earn Poland</v>
      </c>
      <c r="M1064" s="6" t="str">
        <f>IFERROR(__xludf.DUMMYFUNCTION("""COMPUTED_VALUE"""),"")</f>
        <v/>
      </c>
      <c r="N1064" s="6" t="str">
        <f>IFERROR(__xludf.DUMMYFUNCTION("""COMPUTED_VALUE"""),"")</f>
        <v/>
      </c>
      <c r="O1064" s="87" t="str">
        <f>IFERROR(__xludf.DUMMYFUNCTION("""COMPUTED_VALUE"""),"https://drive.google.com/drive/folders/10T2cTQHqEJZqE-st6uFKPoI?usp=share_link")</f>
        <v>https://drive.google.com/drive/folders/10T2cTQHqEJZqE-st6uFKPoI?usp=share_link</v>
      </c>
      <c r="P1064" s="6" t="str">
        <f>IFERROR(__xludf.DUMMYFUNCTION("""COMPUTED_VALUE"""),"Novenko Artem")</f>
        <v>Novenko Artem</v>
      </c>
      <c r="Q1064" s="6" t="str">
        <f>IFERROR(__xludf.DUMMYFUNCTION("""COMPUTED_VALUE"""),"HS")</f>
        <v>HS</v>
      </c>
      <c r="R1064" s="6">
        <f>IFERROR(__xludf.DUMMYFUNCTION("""COMPUTED_VALUE"""),0.0)</f>
        <v>0</v>
      </c>
      <c r="S1064" s="6" t="str">
        <f>IFERROR(__xludf.DUMMYFUNCTION("""COMPUTED_VALUE""")," ")</f>
        <v> </v>
      </c>
      <c r="T1064" s="6" t="str">
        <f>IFERROR(__xludf.DUMMYFUNCTION("""COMPUTED_VALUE"""),"")</f>
        <v/>
      </c>
      <c r="U1064" s="6" t="str">
        <f>IFERROR(__xludf.DUMMYFUNCTION("""COMPUTED_VALUE"""),"12")</f>
        <v>12</v>
      </c>
      <c r="V1064" s="6" t="str">
        <f>IFERROR(__xludf.DUMMYFUNCTION("""COMPUTED_VALUE"""),"English")</f>
        <v>English</v>
      </c>
      <c r="W1064" s="6" t="str">
        <f>IFERROR(__xludf.DUMMYFUNCTION("""COMPUTED_VALUE"""),"[]")</f>
        <v>[]</v>
      </c>
      <c r="X1064" s="6" t="str">
        <f>IFERROR(__xludf.DUMMYFUNCTION("""COMPUTED_VALUE"""),"Enrolled")</f>
        <v>Enrolled</v>
      </c>
    </row>
    <row r="1065">
      <c r="A1065" s="6" t="str">
        <f>IFERROR(__xludf.DUMMYFUNCTION("""COMPUTED_VALUE"""),"009-1190")</f>
        <v>009-1190</v>
      </c>
      <c r="B1065" s="6" t="str">
        <f>IFERROR(__xludf.DUMMYFUNCTION("""COMPUTED_VALUE"""),"9")</f>
        <v>9</v>
      </c>
      <c r="C1065" s="6" t="str">
        <f>IFERROR(__xludf.DUMMYFUNCTION("""COMPUTED_VALUE"""),"1190")</f>
        <v>1190</v>
      </c>
      <c r="D1065" s="6" t="str">
        <f>IFERROR(__xludf.DUMMYFUNCTION("""COMPUTED_VALUE"""),"Veremii")</f>
        <v>Veremii</v>
      </c>
      <c r="E1065" s="6" t="str">
        <f>IFERROR(__xludf.DUMMYFUNCTION("""COMPUTED_VALUE"""),"")</f>
        <v/>
      </c>
      <c r="F1065" s="6" t="str">
        <f>IFERROR(__xludf.DUMMYFUNCTION("""COMPUTED_VALUE"""),"Alina")</f>
        <v>Alina</v>
      </c>
      <c r="G1065" s="6" t="str">
        <f>IFERROR(__xludf.DUMMYFUNCTION("""COMPUTED_VALUE"""),"01/01/2007")</f>
        <v>01/01/2007</v>
      </c>
      <c r="H1065" s="6" t="str">
        <f>IFERROR(__xludf.DUMMYFUNCTION("""COMPUTED_VALUE"""),"Self Identify")</f>
        <v>Self Identify</v>
      </c>
      <c r="I1065" s="6" t="str">
        <f>IFERROR(__xludf.DUMMYFUNCTION("""COMPUTED_VALUE"""),"High School")</f>
        <v>High School</v>
      </c>
      <c r="J1065" s="6" t="str">
        <f>IFERROR(__xludf.DUMMYFUNCTION("""COMPUTED_VALUE"""),"12")</f>
        <v>12</v>
      </c>
      <c r="K1065" s="6" t="str">
        <f>IFERROR(__xludf.DUMMYFUNCTION("""COMPUTED_VALUE"""),"veremii.alina@2hourlearning.com")</f>
        <v>veremii.alina@2hourlearning.com</v>
      </c>
      <c r="L1065" s="6" t="str">
        <f>IFERROR(__xludf.DUMMYFUNCTION("""COMPUTED_VALUE"""),"Learn and Earn Poland")</f>
        <v>Learn and Earn Poland</v>
      </c>
      <c r="M1065" s="6" t="str">
        <f>IFERROR(__xludf.DUMMYFUNCTION("""COMPUTED_VALUE"""),"")</f>
        <v/>
      </c>
      <c r="N1065" s="6" t="str">
        <f>IFERROR(__xludf.DUMMYFUNCTION("""COMPUTED_VALUE"""),"")</f>
        <v/>
      </c>
      <c r="O1065" s="87" t="str">
        <f>IFERROR(__xludf.DUMMYFUNCTION("""COMPUTED_VALUE"""),"https://drive.google.com/drive/folders/10T2cTQHqEJZqE-st6uFKPoI?usp=share_link")</f>
        <v>https://drive.google.com/drive/folders/10T2cTQHqEJZqE-st6uFKPoI?usp=share_link</v>
      </c>
      <c r="P1065" s="6" t="str">
        <f>IFERROR(__xludf.DUMMYFUNCTION("""COMPUTED_VALUE"""),"Veremii Alina")</f>
        <v>Veremii Alina</v>
      </c>
      <c r="Q1065" s="6" t="str">
        <f>IFERROR(__xludf.DUMMYFUNCTION("""COMPUTED_VALUE"""),"HS")</f>
        <v>HS</v>
      </c>
      <c r="R1065" s="6">
        <f>IFERROR(__xludf.DUMMYFUNCTION("""COMPUTED_VALUE"""),0.0)</f>
        <v>0</v>
      </c>
      <c r="S1065" s="6" t="str">
        <f>IFERROR(__xludf.DUMMYFUNCTION("""COMPUTED_VALUE""")," ")</f>
        <v> </v>
      </c>
      <c r="T1065" s="6" t="str">
        <f>IFERROR(__xludf.DUMMYFUNCTION("""COMPUTED_VALUE"""),"")</f>
        <v/>
      </c>
      <c r="U1065" s="6" t="str">
        <f>IFERROR(__xludf.DUMMYFUNCTION("""COMPUTED_VALUE"""),"12")</f>
        <v>12</v>
      </c>
      <c r="V1065" s="6" t="str">
        <f>IFERROR(__xludf.DUMMYFUNCTION("""COMPUTED_VALUE"""),"English")</f>
        <v>English</v>
      </c>
      <c r="W1065" s="6" t="str">
        <f>IFERROR(__xludf.DUMMYFUNCTION("""COMPUTED_VALUE"""),"[]")</f>
        <v>[]</v>
      </c>
      <c r="X1065" s="6" t="str">
        <f>IFERROR(__xludf.DUMMYFUNCTION("""COMPUTED_VALUE"""),"Enrolled")</f>
        <v>Enrolled</v>
      </c>
    </row>
    <row r="1066">
      <c r="A1066" s="6" t="str">
        <f>IFERROR(__xludf.DUMMYFUNCTION("""COMPUTED_VALUE"""),"009-1191")</f>
        <v>009-1191</v>
      </c>
      <c r="B1066" s="6" t="str">
        <f>IFERROR(__xludf.DUMMYFUNCTION("""COMPUTED_VALUE"""),"9")</f>
        <v>9</v>
      </c>
      <c r="C1066" s="6" t="str">
        <f>IFERROR(__xludf.DUMMYFUNCTION("""COMPUTED_VALUE"""),"1191")</f>
        <v>1191</v>
      </c>
      <c r="D1066" s="6" t="str">
        <f>IFERROR(__xludf.DUMMYFUNCTION("""COMPUTED_VALUE"""),"Demchynska")</f>
        <v>Demchynska</v>
      </c>
      <c r="E1066" s="6" t="str">
        <f>IFERROR(__xludf.DUMMYFUNCTION("""COMPUTED_VALUE"""),"")</f>
        <v/>
      </c>
      <c r="F1066" s="6" t="str">
        <f>IFERROR(__xludf.DUMMYFUNCTION("""COMPUTED_VALUE"""),"Nastia")</f>
        <v>Nastia</v>
      </c>
      <c r="G1066" s="6" t="str">
        <f>IFERROR(__xludf.DUMMYFUNCTION("""COMPUTED_VALUE"""),"01/01/2007")</f>
        <v>01/01/2007</v>
      </c>
      <c r="H1066" s="6" t="str">
        <f>IFERROR(__xludf.DUMMYFUNCTION("""COMPUTED_VALUE"""),"Self Identify")</f>
        <v>Self Identify</v>
      </c>
      <c r="I1066" s="6" t="str">
        <f>IFERROR(__xludf.DUMMYFUNCTION("""COMPUTED_VALUE"""),"High School")</f>
        <v>High School</v>
      </c>
      <c r="J1066" s="6" t="str">
        <f>IFERROR(__xludf.DUMMYFUNCTION("""COMPUTED_VALUE"""),"12")</f>
        <v>12</v>
      </c>
      <c r="K1066" s="6" t="str">
        <f>IFERROR(__xludf.DUMMYFUNCTION("""COMPUTED_VALUE"""),"demchynska.nastia@2hourlearning.com")</f>
        <v>demchynska.nastia@2hourlearning.com</v>
      </c>
      <c r="L1066" s="6" t="str">
        <f>IFERROR(__xludf.DUMMYFUNCTION("""COMPUTED_VALUE"""),"Learn and Earn Poland")</f>
        <v>Learn and Earn Poland</v>
      </c>
      <c r="M1066" s="6" t="str">
        <f>IFERROR(__xludf.DUMMYFUNCTION("""COMPUTED_VALUE"""),"")</f>
        <v/>
      </c>
      <c r="N1066" s="6" t="str">
        <f>IFERROR(__xludf.DUMMYFUNCTION("""COMPUTED_VALUE"""),"")</f>
        <v/>
      </c>
      <c r="O1066" s="87" t="str">
        <f>IFERROR(__xludf.DUMMYFUNCTION("""COMPUTED_VALUE"""),"https://drive.google.com/drive/folders/10T2cTQHqEJZqE-st6uFKPoI?usp=share_link")</f>
        <v>https://drive.google.com/drive/folders/10T2cTQHqEJZqE-st6uFKPoI?usp=share_link</v>
      </c>
      <c r="P1066" s="6" t="str">
        <f>IFERROR(__xludf.DUMMYFUNCTION("""COMPUTED_VALUE"""),"Demchynska Nastia")</f>
        <v>Demchynska Nastia</v>
      </c>
      <c r="Q1066" s="6" t="str">
        <f>IFERROR(__xludf.DUMMYFUNCTION("""COMPUTED_VALUE"""),"HS")</f>
        <v>HS</v>
      </c>
      <c r="R1066" s="6">
        <f>IFERROR(__xludf.DUMMYFUNCTION("""COMPUTED_VALUE"""),0.0)</f>
        <v>0</v>
      </c>
      <c r="S1066" s="6" t="str">
        <f>IFERROR(__xludf.DUMMYFUNCTION("""COMPUTED_VALUE""")," ")</f>
        <v> </v>
      </c>
      <c r="T1066" s="6" t="str">
        <f>IFERROR(__xludf.DUMMYFUNCTION("""COMPUTED_VALUE"""),"")</f>
        <v/>
      </c>
      <c r="U1066" s="6" t="str">
        <f>IFERROR(__xludf.DUMMYFUNCTION("""COMPUTED_VALUE"""),"12")</f>
        <v>12</v>
      </c>
      <c r="V1066" s="6" t="str">
        <f>IFERROR(__xludf.DUMMYFUNCTION("""COMPUTED_VALUE"""),"English")</f>
        <v>English</v>
      </c>
      <c r="W1066" s="6" t="str">
        <f>IFERROR(__xludf.DUMMYFUNCTION("""COMPUTED_VALUE"""),"[]")</f>
        <v>[]</v>
      </c>
      <c r="X1066" s="6" t="str">
        <f>IFERROR(__xludf.DUMMYFUNCTION("""COMPUTED_VALUE"""),"Enrolled")</f>
        <v>Enrolled</v>
      </c>
    </row>
    <row r="1067">
      <c r="A1067" s="6" t="str">
        <f>IFERROR(__xludf.DUMMYFUNCTION("""COMPUTED_VALUE"""),"009-1192")</f>
        <v>009-1192</v>
      </c>
      <c r="B1067" s="6" t="str">
        <f>IFERROR(__xludf.DUMMYFUNCTION("""COMPUTED_VALUE"""),"9")</f>
        <v>9</v>
      </c>
      <c r="C1067" s="6" t="str">
        <f>IFERROR(__xludf.DUMMYFUNCTION("""COMPUTED_VALUE"""),"1192")</f>
        <v>1192</v>
      </c>
      <c r="D1067" s="6" t="str">
        <f>IFERROR(__xludf.DUMMYFUNCTION("""COMPUTED_VALUE"""),"Kysliak")</f>
        <v>Kysliak</v>
      </c>
      <c r="E1067" s="6" t="str">
        <f>IFERROR(__xludf.DUMMYFUNCTION("""COMPUTED_VALUE"""),"")</f>
        <v/>
      </c>
      <c r="F1067" s="6" t="str">
        <f>IFERROR(__xludf.DUMMYFUNCTION("""COMPUTED_VALUE"""),"Viktoriia")</f>
        <v>Viktoriia</v>
      </c>
      <c r="G1067" s="6" t="str">
        <f>IFERROR(__xludf.DUMMYFUNCTION("""COMPUTED_VALUE"""),"01/01/2007")</f>
        <v>01/01/2007</v>
      </c>
      <c r="H1067" s="6" t="str">
        <f>IFERROR(__xludf.DUMMYFUNCTION("""COMPUTED_VALUE"""),"Self Identify")</f>
        <v>Self Identify</v>
      </c>
      <c r="I1067" s="6" t="str">
        <f>IFERROR(__xludf.DUMMYFUNCTION("""COMPUTED_VALUE"""),"High School")</f>
        <v>High School</v>
      </c>
      <c r="J1067" s="6" t="str">
        <f>IFERROR(__xludf.DUMMYFUNCTION("""COMPUTED_VALUE"""),"12")</f>
        <v>12</v>
      </c>
      <c r="K1067" s="6" t="str">
        <f>IFERROR(__xludf.DUMMYFUNCTION("""COMPUTED_VALUE"""),"kysliak.viktoriia@2hourlearning.com")</f>
        <v>kysliak.viktoriia@2hourlearning.com</v>
      </c>
      <c r="L1067" s="6" t="str">
        <f>IFERROR(__xludf.DUMMYFUNCTION("""COMPUTED_VALUE"""),"Learn and Earn Poland")</f>
        <v>Learn and Earn Poland</v>
      </c>
      <c r="M1067" s="6" t="str">
        <f>IFERROR(__xludf.DUMMYFUNCTION("""COMPUTED_VALUE"""),"")</f>
        <v/>
      </c>
      <c r="N1067" s="6" t="str">
        <f>IFERROR(__xludf.DUMMYFUNCTION("""COMPUTED_VALUE"""),"")</f>
        <v/>
      </c>
      <c r="O1067" s="87" t="str">
        <f>IFERROR(__xludf.DUMMYFUNCTION("""COMPUTED_VALUE"""),"https://drive.google.com/drive/folders/10T2cTQHqEJZqE-st6uFKPoI?usp=share_link")</f>
        <v>https://drive.google.com/drive/folders/10T2cTQHqEJZqE-st6uFKPoI?usp=share_link</v>
      </c>
      <c r="P1067" s="6" t="str">
        <f>IFERROR(__xludf.DUMMYFUNCTION("""COMPUTED_VALUE"""),"Kysliak Viktoriia")</f>
        <v>Kysliak Viktoriia</v>
      </c>
      <c r="Q1067" s="6" t="str">
        <f>IFERROR(__xludf.DUMMYFUNCTION("""COMPUTED_VALUE"""),"HS")</f>
        <v>HS</v>
      </c>
      <c r="R1067" s="6">
        <f>IFERROR(__xludf.DUMMYFUNCTION("""COMPUTED_VALUE"""),0.0)</f>
        <v>0</v>
      </c>
      <c r="S1067" s="6" t="str">
        <f>IFERROR(__xludf.DUMMYFUNCTION("""COMPUTED_VALUE""")," ")</f>
        <v> </v>
      </c>
      <c r="T1067" s="6" t="str">
        <f>IFERROR(__xludf.DUMMYFUNCTION("""COMPUTED_VALUE"""),"")</f>
        <v/>
      </c>
      <c r="U1067" s="6" t="str">
        <f>IFERROR(__xludf.DUMMYFUNCTION("""COMPUTED_VALUE"""),"12")</f>
        <v>12</v>
      </c>
      <c r="V1067" s="6" t="str">
        <f>IFERROR(__xludf.DUMMYFUNCTION("""COMPUTED_VALUE"""),"English")</f>
        <v>English</v>
      </c>
      <c r="W1067" s="6" t="str">
        <f>IFERROR(__xludf.DUMMYFUNCTION("""COMPUTED_VALUE"""),"[]")</f>
        <v>[]</v>
      </c>
      <c r="X1067" s="6" t="str">
        <f>IFERROR(__xludf.DUMMYFUNCTION("""COMPUTED_VALUE"""),"Enrolled")</f>
        <v>Enrolled</v>
      </c>
    </row>
    <row r="1068">
      <c r="A1068" s="6" t="str">
        <f>IFERROR(__xludf.DUMMYFUNCTION("""COMPUTED_VALUE"""),"009-1193")</f>
        <v>009-1193</v>
      </c>
      <c r="B1068" s="6" t="str">
        <f>IFERROR(__xludf.DUMMYFUNCTION("""COMPUTED_VALUE"""),"9")</f>
        <v>9</v>
      </c>
      <c r="C1068" s="6" t="str">
        <f>IFERROR(__xludf.DUMMYFUNCTION("""COMPUTED_VALUE"""),"1193")</f>
        <v>1193</v>
      </c>
      <c r="D1068" s="6" t="str">
        <f>IFERROR(__xludf.DUMMYFUNCTION("""COMPUTED_VALUE"""),"Kurchyk")</f>
        <v>Kurchyk</v>
      </c>
      <c r="E1068" s="6" t="str">
        <f>IFERROR(__xludf.DUMMYFUNCTION("""COMPUTED_VALUE"""),"")</f>
        <v/>
      </c>
      <c r="F1068" s="6" t="str">
        <f>IFERROR(__xludf.DUMMYFUNCTION("""COMPUTED_VALUE"""),"Anhelina")</f>
        <v>Anhelina</v>
      </c>
      <c r="G1068" s="6" t="str">
        <f>IFERROR(__xludf.DUMMYFUNCTION("""COMPUTED_VALUE"""),"01/01/2007")</f>
        <v>01/01/2007</v>
      </c>
      <c r="H1068" s="6" t="str">
        <f>IFERROR(__xludf.DUMMYFUNCTION("""COMPUTED_VALUE"""),"Self Identify")</f>
        <v>Self Identify</v>
      </c>
      <c r="I1068" s="6" t="str">
        <f>IFERROR(__xludf.DUMMYFUNCTION("""COMPUTED_VALUE"""),"High School")</f>
        <v>High School</v>
      </c>
      <c r="J1068" s="6" t="str">
        <f>IFERROR(__xludf.DUMMYFUNCTION("""COMPUTED_VALUE"""),"12")</f>
        <v>12</v>
      </c>
      <c r="K1068" s="6" t="str">
        <f>IFERROR(__xludf.DUMMYFUNCTION("""COMPUTED_VALUE"""),"kurchyk.anhelina@2hourlearning.com")</f>
        <v>kurchyk.anhelina@2hourlearning.com</v>
      </c>
      <c r="L1068" s="6" t="str">
        <f>IFERROR(__xludf.DUMMYFUNCTION("""COMPUTED_VALUE"""),"Learn and Earn Poland")</f>
        <v>Learn and Earn Poland</v>
      </c>
      <c r="M1068" s="6" t="str">
        <f>IFERROR(__xludf.DUMMYFUNCTION("""COMPUTED_VALUE"""),"")</f>
        <v/>
      </c>
      <c r="N1068" s="6" t="str">
        <f>IFERROR(__xludf.DUMMYFUNCTION("""COMPUTED_VALUE"""),"")</f>
        <v/>
      </c>
      <c r="O1068" s="87" t="str">
        <f>IFERROR(__xludf.DUMMYFUNCTION("""COMPUTED_VALUE"""),"https://drive.google.com/drive/folders/10T2cTQHqEJZqE-st6uFKPoI?usp=share_link")</f>
        <v>https://drive.google.com/drive/folders/10T2cTQHqEJZqE-st6uFKPoI?usp=share_link</v>
      </c>
      <c r="P1068" s="6" t="str">
        <f>IFERROR(__xludf.DUMMYFUNCTION("""COMPUTED_VALUE"""),"Kurchyk Anhelina")</f>
        <v>Kurchyk Anhelina</v>
      </c>
      <c r="Q1068" s="6" t="str">
        <f>IFERROR(__xludf.DUMMYFUNCTION("""COMPUTED_VALUE"""),"HS")</f>
        <v>HS</v>
      </c>
      <c r="R1068" s="6">
        <f>IFERROR(__xludf.DUMMYFUNCTION("""COMPUTED_VALUE"""),0.0)</f>
        <v>0</v>
      </c>
      <c r="S1068" s="6" t="str">
        <f>IFERROR(__xludf.DUMMYFUNCTION("""COMPUTED_VALUE""")," ")</f>
        <v> </v>
      </c>
      <c r="T1068" s="6" t="str">
        <f>IFERROR(__xludf.DUMMYFUNCTION("""COMPUTED_VALUE"""),"")</f>
        <v/>
      </c>
      <c r="U1068" s="6" t="str">
        <f>IFERROR(__xludf.DUMMYFUNCTION("""COMPUTED_VALUE"""),"12")</f>
        <v>12</v>
      </c>
      <c r="V1068" s="6" t="str">
        <f>IFERROR(__xludf.DUMMYFUNCTION("""COMPUTED_VALUE"""),"English")</f>
        <v>English</v>
      </c>
      <c r="W1068" s="6" t="str">
        <f>IFERROR(__xludf.DUMMYFUNCTION("""COMPUTED_VALUE"""),"[]")</f>
        <v>[]</v>
      </c>
      <c r="X1068" s="6" t="str">
        <f>IFERROR(__xludf.DUMMYFUNCTION("""COMPUTED_VALUE"""),"Enrolled")</f>
        <v>Enrolled</v>
      </c>
    </row>
    <row r="1069">
      <c r="A1069" s="6" t="str">
        <f>IFERROR(__xludf.DUMMYFUNCTION("""COMPUTED_VALUE"""),"009-1194")</f>
        <v>009-1194</v>
      </c>
      <c r="B1069" s="6" t="str">
        <f>IFERROR(__xludf.DUMMYFUNCTION("""COMPUTED_VALUE"""),"9")</f>
        <v>9</v>
      </c>
      <c r="C1069" s="6" t="str">
        <f>IFERROR(__xludf.DUMMYFUNCTION("""COMPUTED_VALUE"""),"1194")</f>
        <v>1194</v>
      </c>
      <c r="D1069" s="6" t="str">
        <f>IFERROR(__xludf.DUMMYFUNCTION("""COMPUTED_VALUE"""),"Lishchuk")</f>
        <v>Lishchuk</v>
      </c>
      <c r="E1069" s="6" t="str">
        <f>IFERROR(__xludf.DUMMYFUNCTION("""COMPUTED_VALUE"""),"")</f>
        <v/>
      </c>
      <c r="F1069" s="6" t="str">
        <f>IFERROR(__xludf.DUMMYFUNCTION("""COMPUTED_VALUE"""),"Daryna")</f>
        <v>Daryna</v>
      </c>
      <c r="G1069" s="6" t="str">
        <f>IFERROR(__xludf.DUMMYFUNCTION("""COMPUTED_VALUE"""),"01/01/2007")</f>
        <v>01/01/2007</v>
      </c>
      <c r="H1069" s="6" t="str">
        <f>IFERROR(__xludf.DUMMYFUNCTION("""COMPUTED_VALUE"""),"Self Identify")</f>
        <v>Self Identify</v>
      </c>
      <c r="I1069" s="6" t="str">
        <f>IFERROR(__xludf.DUMMYFUNCTION("""COMPUTED_VALUE"""),"High School")</f>
        <v>High School</v>
      </c>
      <c r="J1069" s="6" t="str">
        <f>IFERROR(__xludf.DUMMYFUNCTION("""COMPUTED_VALUE"""),"12")</f>
        <v>12</v>
      </c>
      <c r="K1069" s="6" t="str">
        <f>IFERROR(__xludf.DUMMYFUNCTION("""COMPUTED_VALUE"""),"lishchuk.daryna@2hourlearning.com")</f>
        <v>lishchuk.daryna@2hourlearning.com</v>
      </c>
      <c r="L1069" s="6" t="str">
        <f>IFERROR(__xludf.DUMMYFUNCTION("""COMPUTED_VALUE"""),"Learn and Earn Poland")</f>
        <v>Learn and Earn Poland</v>
      </c>
      <c r="M1069" s="6" t="str">
        <f>IFERROR(__xludf.DUMMYFUNCTION("""COMPUTED_VALUE"""),"")</f>
        <v/>
      </c>
      <c r="N1069" s="6" t="str">
        <f>IFERROR(__xludf.DUMMYFUNCTION("""COMPUTED_VALUE"""),"")</f>
        <v/>
      </c>
      <c r="O1069" s="87" t="str">
        <f>IFERROR(__xludf.DUMMYFUNCTION("""COMPUTED_VALUE"""),"https://drive.google.com/drive/folders/10T2cTQHqEJZqE-st6uFKPoI?usp=share_link")</f>
        <v>https://drive.google.com/drive/folders/10T2cTQHqEJZqE-st6uFKPoI?usp=share_link</v>
      </c>
      <c r="P1069" s="6" t="str">
        <f>IFERROR(__xludf.DUMMYFUNCTION("""COMPUTED_VALUE"""),"Lishchuk Daryna")</f>
        <v>Lishchuk Daryna</v>
      </c>
      <c r="Q1069" s="6" t="str">
        <f>IFERROR(__xludf.DUMMYFUNCTION("""COMPUTED_VALUE"""),"HS")</f>
        <v>HS</v>
      </c>
      <c r="R1069" s="6">
        <f>IFERROR(__xludf.DUMMYFUNCTION("""COMPUTED_VALUE"""),0.0)</f>
        <v>0</v>
      </c>
      <c r="S1069" s="6" t="str">
        <f>IFERROR(__xludf.DUMMYFUNCTION("""COMPUTED_VALUE""")," ")</f>
        <v> </v>
      </c>
      <c r="T1069" s="6" t="str">
        <f>IFERROR(__xludf.DUMMYFUNCTION("""COMPUTED_VALUE"""),"")</f>
        <v/>
      </c>
      <c r="U1069" s="6" t="str">
        <f>IFERROR(__xludf.DUMMYFUNCTION("""COMPUTED_VALUE"""),"12")</f>
        <v>12</v>
      </c>
      <c r="V1069" s="6" t="str">
        <f>IFERROR(__xludf.DUMMYFUNCTION("""COMPUTED_VALUE"""),"English")</f>
        <v>English</v>
      </c>
      <c r="W1069" s="6" t="str">
        <f>IFERROR(__xludf.DUMMYFUNCTION("""COMPUTED_VALUE"""),"[]")</f>
        <v>[]</v>
      </c>
      <c r="X1069" s="6" t="str">
        <f>IFERROR(__xludf.DUMMYFUNCTION("""COMPUTED_VALUE"""),"Enrolled")</f>
        <v>Enrolled</v>
      </c>
    </row>
    <row r="1070">
      <c r="A1070" s="6" t="str">
        <f>IFERROR(__xludf.DUMMYFUNCTION("""COMPUTED_VALUE"""),"009-1195")</f>
        <v>009-1195</v>
      </c>
      <c r="B1070" s="6" t="str">
        <f>IFERROR(__xludf.DUMMYFUNCTION("""COMPUTED_VALUE"""),"9")</f>
        <v>9</v>
      </c>
      <c r="C1070" s="6" t="str">
        <f>IFERROR(__xludf.DUMMYFUNCTION("""COMPUTED_VALUE"""),"1195")</f>
        <v>1195</v>
      </c>
      <c r="D1070" s="6" t="str">
        <f>IFERROR(__xludf.DUMMYFUNCTION("""COMPUTED_VALUE"""),"Makarov")</f>
        <v>Makarov</v>
      </c>
      <c r="E1070" s="6" t="str">
        <f>IFERROR(__xludf.DUMMYFUNCTION("""COMPUTED_VALUE"""),"")</f>
        <v/>
      </c>
      <c r="F1070" s="6" t="str">
        <f>IFERROR(__xludf.DUMMYFUNCTION("""COMPUTED_VALUE"""),"Serhii")</f>
        <v>Serhii</v>
      </c>
      <c r="G1070" s="6" t="str">
        <f>IFERROR(__xludf.DUMMYFUNCTION("""COMPUTED_VALUE"""),"01/01/2007")</f>
        <v>01/01/2007</v>
      </c>
      <c r="H1070" s="6" t="str">
        <f>IFERROR(__xludf.DUMMYFUNCTION("""COMPUTED_VALUE"""),"Self Identify")</f>
        <v>Self Identify</v>
      </c>
      <c r="I1070" s="6" t="str">
        <f>IFERROR(__xludf.DUMMYFUNCTION("""COMPUTED_VALUE"""),"High School")</f>
        <v>High School</v>
      </c>
      <c r="J1070" s="6" t="str">
        <f>IFERROR(__xludf.DUMMYFUNCTION("""COMPUTED_VALUE"""),"12")</f>
        <v>12</v>
      </c>
      <c r="K1070" s="6" t="str">
        <f>IFERROR(__xludf.DUMMYFUNCTION("""COMPUTED_VALUE"""),"makarov.serhii@2hourlearning.com")</f>
        <v>makarov.serhii@2hourlearning.com</v>
      </c>
      <c r="L1070" s="6" t="str">
        <f>IFERROR(__xludf.DUMMYFUNCTION("""COMPUTED_VALUE"""),"Learn and Earn Poland")</f>
        <v>Learn and Earn Poland</v>
      </c>
      <c r="M1070" s="6" t="str">
        <f>IFERROR(__xludf.DUMMYFUNCTION("""COMPUTED_VALUE"""),"")</f>
        <v/>
      </c>
      <c r="N1070" s="6" t="str">
        <f>IFERROR(__xludf.DUMMYFUNCTION("""COMPUTED_VALUE"""),"")</f>
        <v/>
      </c>
      <c r="O1070" s="87" t="str">
        <f>IFERROR(__xludf.DUMMYFUNCTION("""COMPUTED_VALUE"""),"https://drive.google.com/drive/folders/10T2cTQHqEJZqE-st6uFKPoI?usp=share_link")</f>
        <v>https://drive.google.com/drive/folders/10T2cTQHqEJZqE-st6uFKPoI?usp=share_link</v>
      </c>
      <c r="P1070" s="6" t="str">
        <f>IFERROR(__xludf.DUMMYFUNCTION("""COMPUTED_VALUE"""),"Makarov Serhii")</f>
        <v>Makarov Serhii</v>
      </c>
      <c r="Q1070" s="6" t="str">
        <f>IFERROR(__xludf.DUMMYFUNCTION("""COMPUTED_VALUE"""),"HS")</f>
        <v>HS</v>
      </c>
      <c r="R1070" s="6">
        <f>IFERROR(__xludf.DUMMYFUNCTION("""COMPUTED_VALUE"""),0.0)</f>
        <v>0</v>
      </c>
      <c r="S1070" s="6" t="str">
        <f>IFERROR(__xludf.DUMMYFUNCTION("""COMPUTED_VALUE""")," ")</f>
        <v> </v>
      </c>
      <c r="T1070" s="6" t="str">
        <f>IFERROR(__xludf.DUMMYFUNCTION("""COMPUTED_VALUE"""),"")</f>
        <v/>
      </c>
      <c r="U1070" s="6" t="str">
        <f>IFERROR(__xludf.DUMMYFUNCTION("""COMPUTED_VALUE"""),"12")</f>
        <v>12</v>
      </c>
      <c r="V1070" s="6" t="str">
        <f>IFERROR(__xludf.DUMMYFUNCTION("""COMPUTED_VALUE"""),"English")</f>
        <v>English</v>
      </c>
      <c r="W1070" s="6" t="str">
        <f>IFERROR(__xludf.DUMMYFUNCTION("""COMPUTED_VALUE"""),"[]")</f>
        <v>[]</v>
      </c>
      <c r="X1070" s="6" t="str">
        <f>IFERROR(__xludf.DUMMYFUNCTION("""COMPUTED_VALUE"""),"Enrolled")</f>
        <v>Enrolled</v>
      </c>
    </row>
    <row r="1071">
      <c r="A1071" s="6" t="str">
        <f>IFERROR(__xludf.DUMMYFUNCTION("""COMPUTED_VALUE"""),"009-1196")</f>
        <v>009-1196</v>
      </c>
      <c r="B1071" s="6" t="str">
        <f>IFERROR(__xludf.DUMMYFUNCTION("""COMPUTED_VALUE"""),"9")</f>
        <v>9</v>
      </c>
      <c r="C1071" s="6" t="str">
        <f>IFERROR(__xludf.DUMMYFUNCTION("""COMPUTED_VALUE"""),"1196")</f>
        <v>1196</v>
      </c>
      <c r="D1071" s="6" t="str">
        <f>IFERROR(__xludf.DUMMYFUNCTION("""COMPUTED_VALUE"""),"Palii")</f>
        <v>Palii</v>
      </c>
      <c r="E1071" s="6" t="str">
        <f>IFERROR(__xludf.DUMMYFUNCTION("""COMPUTED_VALUE"""),"")</f>
        <v/>
      </c>
      <c r="F1071" s="6" t="str">
        <f>IFERROR(__xludf.DUMMYFUNCTION("""COMPUTED_VALUE"""),"Valentyn")</f>
        <v>Valentyn</v>
      </c>
      <c r="G1071" s="6" t="str">
        <f>IFERROR(__xludf.DUMMYFUNCTION("""COMPUTED_VALUE"""),"01/01/2007")</f>
        <v>01/01/2007</v>
      </c>
      <c r="H1071" s="6" t="str">
        <f>IFERROR(__xludf.DUMMYFUNCTION("""COMPUTED_VALUE"""),"Self Identify")</f>
        <v>Self Identify</v>
      </c>
      <c r="I1071" s="6" t="str">
        <f>IFERROR(__xludf.DUMMYFUNCTION("""COMPUTED_VALUE"""),"High School")</f>
        <v>High School</v>
      </c>
      <c r="J1071" s="6" t="str">
        <f>IFERROR(__xludf.DUMMYFUNCTION("""COMPUTED_VALUE"""),"12")</f>
        <v>12</v>
      </c>
      <c r="K1071" s="6" t="str">
        <f>IFERROR(__xludf.DUMMYFUNCTION("""COMPUTED_VALUE"""),"palii.valentyn@2hourlearning.com")</f>
        <v>palii.valentyn@2hourlearning.com</v>
      </c>
      <c r="L1071" s="6" t="str">
        <f>IFERROR(__xludf.DUMMYFUNCTION("""COMPUTED_VALUE"""),"Learn and Earn Poland")</f>
        <v>Learn and Earn Poland</v>
      </c>
      <c r="M1071" s="6" t="str">
        <f>IFERROR(__xludf.DUMMYFUNCTION("""COMPUTED_VALUE"""),"")</f>
        <v/>
      </c>
      <c r="N1071" s="6" t="str">
        <f>IFERROR(__xludf.DUMMYFUNCTION("""COMPUTED_VALUE"""),"")</f>
        <v/>
      </c>
      <c r="O1071" s="87" t="str">
        <f>IFERROR(__xludf.DUMMYFUNCTION("""COMPUTED_VALUE"""),"https://drive.google.com/drive/folders/10T2cTQHqEJZqE-st6uFKPoI?usp=share_link")</f>
        <v>https://drive.google.com/drive/folders/10T2cTQHqEJZqE-st6uFKPoI?usp=share_link</v>
      </c>
      <c r="P1071" s="6" t="str">
        <f>IFERROR(__xludf.DUMMYFUNCTION("""COMPUTED_VALUE"""),"Palii Valentyn")</f>
        <v>Palii Valentyn</v>
      </c>
      <c r="Q1071" s="6" t="str">
        <f>IFERROR(__xludf.DUMMYFUNCTION("""COMPUTED_VALUE"""),"HS")</f>
        <v>HS</v>
      </c>
      <c r="R1071" s="6">
        <f>IFERROR(__xludf.DUMMYFUNCTION("""COMPUTED_VALUE"""),0.0)</f>
        <v>0</v>
      </c>
      <c r="S1071" s="6" t="str">
        <f>IFERROR(__xludf.DUMMYFUNCTION("""COMPUTED_VALUE""")," ")</f>
        <v> </v>
      </c>
      <c r="T1071" s="6" t="str">
        <f>IFERROR(__xludf.DUMMYFUNCTION("""COMPUTED_VALUE"""),"")</f>
        <v/>
      </c>
      <c r="U1071" s="6" t="str">
        <f>IFERROR(__xludf.DUMMYFUNCTION("""COMPUTED_VALUE"""),"12")</f>
        <v>12</v>
      </c>
      <c r="V1071" s="6" t="str">
        <f>IFERROR(__xludf.DUMMYFUNCTION("""COMPUTED_VALUE"""),"English")</f>
        <v>English</v>
      </c>
      <c r="W1071" s="6" t="str">
        <f>IFERROR(__xludf.DUMMYFUNCTION("""COMPUTED_VALUE"""),"[]")</f>
        <v>[]</v>
      </c>
      <c r="X1071" s="6" t="str">
        <f>IFERROR(__xludf.DUMMYFUNCTION("""COMPUTED_VALUE"""),"Enrolled")</f>
        <v>Enrolled</v>
      </c>
    </row>
    <row r="1072">
      <c r="A1072" s="6" t="str">
        <f>IFERROR(__xludf.DUMMYFUNCTION("""COMPUTED_VALUE"""),"009-1197")</f>
        <v>009-1197</v>
      </c>
      <c r="B1072" s="6" t="str">
        <f>IFERROR(__xludf.DUMMYFUNCTION("""COMPUTED_VALUE"""),"9")</f>
        <v>9</v>
      </c>
      <c r="C1072" s="6" t="str">
        <f>IFERROR(__xludf.DUMMYFUNCTION("""COMPUTED_VALUE"""),"1197")</f>
        <v>1197</v>
      </c>
      <c r="D1072" s="6" t="str">
        <f>IFERROR(__xludf.DUMMYFUNCTION("""COMPUTED_VALUE"""),"Pashko")</f>
        <v>Pashko</v>
      </c>
      <c r="E1072" s="6" t="str">
        <f>IFERROR(__xludf.DUMMYFUNCTION("""COMPUTED_VALUE"""),"")</f>
        <v/>
      </c>
      <c r="F1072" s="6" t="str">
        <f>IFERROR(__xludf.DUMMYFUNCTION("""COMPUTED_VALUE"""),"Vadym")</f>
        <v>Vadym</v>
      </c>
      <c r="G1072" s="6" t="str">
        <f>IFERROR(__xludf.DUMMYFUNCTION("""COMPUTED_VALUE"""),"01/01/2007")</f>
        <v>01/01/2007</v>
      </c>
      <c r="H1072" s="6" t="str">
        <f>IFERROR(__xludf.DUMMYFUNCTION("""COMPUTED_VALUE"""),"Self Identify")</f>
        <v>Self Identify</v>
      </c>
      <c r="I1072" s="6" t="str">
        <f>IFERROR(__xludf.DUMMYFUNCTION("""COMPUTED_VALUE"""),"High School")</f>
        <v>High School</v>
      </c>
      <c r="J1072" s="6" t="str">
        <f>IFERROR(__xludf.DUMMYFUNCTION("""COMPUTED_VALUE"""),"12")</f>
        <v>12</v>
      </c>
      <c r="K1072" s="6" t="str">
        <f>IFERROR(__xludf.DUMMYFUNCTION("""COMPUTED_VALUE"""),"pashko.vadym@2hourlearning.com")</f>
        <v>pashko.vadym@2hourlearning.com</v>
      </c>
      <c r="L1072" s="6" t="str">
        <f>IFERROR(__xludf.DUMMYFUNCTION("""COMPUTED_VALUE"""),"Learn and Earn Poland")</f>
        <v>Learn and Earn Poland</v>
      </c>
      <c r="M1072" s="6" t="str">
        <f>IFERROR(__xludf.DUMMYFUNCTION("""COMPUTED_VALUE"""),"")</f>
        <v/>
      </c>
      <c r="N1072" s="6" t="str">
        <f>IFERROR(__xludf.DUMMYFUNCTION("""COMPUTED_VALUE"""),"")</f>
        <v/>
      </c>
      <c r="O1072" s="87" t="str">
        <f>IFERROR(__xludf.DUMMYFUNCTION("""COMPUTED_VALUE"""),"https://drive.google.com/drive/folders/10T2cTQHqEJZqE-st6uFKPoI?usp=share_link")</f>
        <v>https://drive.google.com/drive/folders/10T2cTQHqEJZqE-st6uFKPoI?usp=share_link</v>
      </c>
      <c r="P1072" s="6" t="str">
        <f>IFERROR(__xludf.DUMMYFUNCTION("""COMPUTED_VALUE"""),"Pashko Vadym")</f>
        <v>Pashko Vadym</v>
      </c>
      <c r="Q1072" s="6" t="str">
        <f>IFERROR(__xludf.DUMMYFUNCTION("""COMPUTED_VALUE"""),"HS")</f>
        <v>HS</v>
      </c>
      <c r="R1072" s="6">
        <f>IFERROR(__xludf.DUMMYFUNCTION("""COMPUTED_VALUE"""),0.0)</f>
        <v>0</v>
      </c>
      <c r="S1072" s="6" t="str">
        <f>IFERROR(__xludf.DUMMYFUNCTION("""COMPUTED_VALUE""")," ")</f>
        <v> </v>
      </c>
      <c r="T1072" s="6" t="str">
        <f>IFERROR(__xludf.DUMMYFUNCTION("""COMPUTED_VALUE"""),"")</f>
        <v/>
      </c>
      <c r="U1072" s="6" t="str">
        <f>IFERROR(__xludf.DUMMYFUNCTION("""COMPUTED_VALUE"""),"12")</f>
        <v>12</v>
      </c>
      <c r="V1072" s="6" t="str">
        <f>IFERROR(__xludf.DUMMYFUNCTION("""COMPUTED_VALUE"""),"English")</f>
        <v>English</v>
      </c>
      <c r="W1072" s="6" t="str">
        <f>IFERROR(__xludf.DUMMYFUNCTION("""COMPUTED_VALUE"""),"[]")</f>
        <v>[]</v>
      </c>
      <c r="X1072" s="6" t="str">
        <f>IFERROR(__xludf.DUMMYFUNCTION("""COMPUTED_VALUE"""),"Enrolled")</f>
        <v>Enrolled</v>
      </c>
    </row>
    <row r="1073">
      <c r="A1073" s="6" t="str">
        <f>IFERROR(__xludf.DUMMYFUNCTION("""COMPUTED_VALUE"""),"009-1198")</f>
        <v>009-1198</v>
      </c>
      <c r="B1073" s="6" t="str">
        <f>IFERROR(__xludf.DUMMYFUNCTION("""COMPUTED_VALUE"""),"9")</f>
        <v>9</v>
      </c>
      <c r="C1073" s="6" t="str">
        <f>IFERROR(__xludf.DUMMYFUNCTION("""COMPUTED_VALUE"""),"1198")</f>
        <v>1198</v>
      </c>
      <c r="D1073" s="6" t="str">
        <f>IFERROR(__xludf.DUMMYFUNCTION("""COMPUTED_VALUE"""),"Fedorchuk")</f>
        <v>Fedorchuk</v>
      </c>
      <c r="E1073" s="6" t="str">
        <f>IFERROR(__xludf.DUMMYFUNCTION("""COMPUTED_VALUE"""),"")</f>
        <v/>
      </c>
      <c r="F1073" s="6" t="str">
        <f>IFERROR(__xludf.DUMMYFUNCTION("""COMPUTED_VALUE"""),"Dmytro")</f>
        <v>Dmytro</v>
      </c>
      <c r="G1073" s="6" t="str">
        <f>IFERROR(__xludf.DUMMYFUNCTION("""COMPUTED_VALUE"""),"01/01/2007")</f>
        <v>01/01/2007</v>
      </c>
      <c r="H1073" s="6" t="str">
        <f>IFERROR(__xludf.DUMMYFUNCTION("""COMPUTED_VALUE"""),"Self Identify")</f>
        <v>Self Identify</v>
      </c>
      <c r="I1073" s="6" t="str">
        <f>IFERROR(__xludf.DUMMYFUNCTION("""COMPUTED_VALUE"""),"High School")</f>
        <v>High School</v>
      </c>
      <c r="J1073" s="6" t="str">
        <f>IFERROR(__xludf.DUMMYFUNCTION("""COMPUTED_VALUE"""),"12")</f>
        <v>12</v>
      </c>
      <c r="K1073" s="6" t="str">
        <f>IFERROR(__xludf.DUMMYFUNCTION("""COMPUTED_VALUE"""),"fedorchuk.dmytro@2hourlearning.com")</f>
        <v>fedorchuk.dmytro@2hourlearning.com</v>
      </c>
      <c r="L1073" s="6" t="str">
        <f>IFERROR(__xludf.DUMMYFUNCTION("""COMPUTED_VALUE"""),"Learn and Earn Poland")</f>
        <v>Learn and Earn Poland</v>
      </c>
      <c r="M1073" s="6" t="str">
        <f>IFERROR(__xludf.DUMMYFUNCTION("""COMPUTED_VALUE"""),"")</f>
        <v/>
      </c>
      <c r="N1073" s="6" t="str">
        <f>IFERROR(__xludf.DUMMYFUNCTION("""COMPUTED_VALUE"""),"")</f>
        <v/>
      </c>
      <c r="O1073" s="87" t="str">
        <f>IFERROR(__xludf.DUMMYFUNCTION("""COMPUTED_VALUE"""),"https://drive.google.com/drive/folders/10T2cTQHqEJZqE-st6uFKPoI?usp=share_link")</f>
        <v>https://drive.google.com/drive/folders/10T2cTQHqEJZqE-st6uFKPoI?usp=share_link</v>
      </c>
      <c r="P1073" s="6" t="str">
        <f>IFERROR(__xludf.DUMMYFUNCTION("""COMPUTED_VALUE"""),"Fedorchuk Dmytro")</f>
        <v>Fedorchuk Dmytro</v>
      </c>
      <c r="Q1073" s="6" t="str">
        <f>IFERROR(__xludf.DUMMYFUNCTION("""COMPUTED_VALUE"""),"HS")</f>
        <v>HS</v>
      </c>
      <c r="R1073" s="6">
        <f>IFERROR(__xludf.DUMMYFUNCTION("""COMPUTED_VALUE"""),0.0)</f>
        <v>0</v>
      </c>
      <c r="S1073" s="6" t="str">
        <f>IFERROR(__xludf.DUMMYFUNCTION("""COMPUTED_VALUE""")," ")</f>
        <v> </v>
      </c>
      <c r="T1073" s="6" t="str">
        <f>IFERROR(__xludf.DUMMYFUNCTION("""COMPUTED_VALUE"""),"")</f>
        <v/>
      </c>
      <c r="U1073" s="6" t="str">
        <f>IFERROR(__xludf.DUMMYFUNCTION("""COMPUTED_VALUE"""),"12")</f>
        <v>12</v>
      </c>
      <c r="V1073" s="6" t="str">
        <f>IFERROR(__xludf.DUMMYFUNCTION("""COMPUTED_VALUE"""),"English")</f>
        <v>English</v>
      </c>
      <c r="W1073" s="6" t="str">
        <f>IFERROR(__xludf.DUMMYFUNCTION("""COMPUTED_VALUE"""),"[]")</f>
        <v>[]</v>
      </c>
      <c r="X1073" s="6" t="str">
        <f>IFERROR(__xludf.DUMMYFUNCTION("""COMPUTED_VALUE"""),"Enrolled")</f>
        <v>Enrolled</v>
      </c>
    </row>
    <row r="1074">
      <c r="A1074" s="6" t="str">
        <f>IFERROR(__xludf.DUMMYFUNCTION("""COMPUTED_VALUE"""),"009-1199")</f>
        <v>009-1199</v>
      </c>
      <c r="B1074" s="6" t="str">
        <f>IFERROR(__xludf.DUMMYFUNCTION("""COMPUTED_VALUE"""),"9")</f>
        <v>9</v>
      </c>
      <c r="C1074" s="6" t="str">
        <f>IFERROR(__xludf.DUMMYFUNCTION("""COMPUTED_VALUE"""),"1199")</f>
        <v>1199</v>
      </c>
      <c r="D1074" s="6" t="str">
        <f>IFERROR(__xludf.DUMMYFUNCTION("""COMPUTED_VALUE"""),"Yushchyk")</f>
        <v>Yushchyk</v>
      </c>
      <c r="E1074" s="6" t="str">
        <f>IFERROR(__xludf.DUMMYFUNCTION("""COMPUTED_VALUE"""),"")</f>
        <v/>
      </c>
      <c r="F1074" s="6" t="str">
        <f>IFERROR(__xludf.DUMMYFUNCTION("""COMPUTED_VALUE"""),"Viktoriia")</f>
        <v>Viktoriia</v>
      </c>
      <c r="G1074" s="6" t="str">
        <f>IFERROR(__xludf.DUMMYFUNCTION("""COMPUTED_VALUE"""),"01/01/2007")</f>
        <v>01/01/2007</v>
      </c>
      <c r="H1074" s="6" t="str">
        <f>IFERROR(__xludf.DUMMYFUNCTION("""COMPUTED_VALUE"""),"Self Identify")</f>
        <v>Self Identify</v>
      </c>
      <c r="I1074" s="6" t="str">
        <f>IFERROR(__xludf.DUMMYFUNCTION("""COMPUTED_VALUE"""),"High School")</f>
        <v>High School</v>
      </c>
      <c r="J1074" s="6" t="str">
        <f>IFERROR(__xludf.DUMMYFUNCTION("""COMPUTED_VALUE"""),"12")</f>
        <v>12</v>
      </c>
      <c r="K1074" s="6" t="str">
        <f>IFERROR(__xludf.DUMMYFUNCTION("""COMPUTED_VALUE"""),"yushchyk.viktoriia@2hourlearning.com")</f>
        <v>yushchyk.viktoriia@2hourlearning.com</v>
      </c>
      <c r="L1074" s="6" t="str">
        <f>IFERROR(__xludf.DUMMYFUNCTION("""COMPUTED_VALUE"""),"Learn and Earn Poland")</f>
        <v>Learn and Earn Poland</v>
      </c>
      <c r="M1074" s="6" t="str">
        <f>IFERROR(__xludf.DUMMYFUNCTION("""COMPUTED_VALUE"""),"")</f>
        <v/>
      </c>
      <c r="N1074" s="6" t="str">
        <f>IFERROR(__xludf.DUMMYFUNCTION("""COMPUTED_VALUE"""),"")</f>
        <v/>
      </c>
      <c r="O1074" s="87" t="str">
        <f>IFERROR(__xludf.DUMMYFUNCTION("""COMPUTED_VALUE"""),"https://drive.google.com/drive/folders/10T2cTQHqEJZqE-st6uFKPoI?usp=share_link")</f>
        <v>https://drive.google.com/drive/folders/10T2cTQHqEJZqE-st6uFKPoI?usp=share_link</v>
      </c>
      <c r="P1074" s="6" t="str">
        <f>IFERROR(__xludf.DUMMYFUNCTION("""COMPUTED_VALUE"""),"Yushchyk Viktoriia")</f>
        <v>Yushchyk Viktoriia</v>
      </c>
      <c r="Q1074" s="6" t="str">
        <f>IFERROR(__xludf.DUMMYFUNCTION("""COMPUTED_VALUE"""),"HS")</f>
        <v>HS</v>
      </c>
      <c r="R1074" s="6">
        <f>IFERROR(__xludf.DUMMYFUNCTION("""COMPUTED_VALUE"""),0.0)</f>
        <v>0</v>
      </c>
      <c r="S1074" s="6" t="str">
        <f>IFERROR(__xludf.DUMMYFUNCTION("""COMPUTED_VALUE""")," ")</f>
        <v> </v>
      </c>
      <c r="T1074" s="6" t="str">
        <f>IFERROR(__xludf.DUMMYFUNCTION("""COMPUTED_VALUE"""),"")</f>
        <v/>
      </c>
      <c r="U1074" s="6" t="str">
        <f>IFERROR(__xludf.DUMMYFUNCTION("""COMPUTED_VALUE"""),"12")</f>
        <v>12</v>
      </c>
      <c r="V1074" s="6" t="str">
        <f>IFERROR(__xludf.DUMMYFUNCTION("""COMPUTED_VALUE"""),"English")</f>
        <v>English</v>
      </c>
      <c r="W1074" s="6" t="str">
        <f>IFERROR(__xludf.DUMMYFUNCTION("""COMPUTED_VALUE"""),"[]")</f>
        <v>[]</v>
      </c>
      <c r="X1074" s="6" t="str">
        <f>IFERROR(__xludf.DUMMYFUNCTION("""COMPUTED_VALUE"""),"Enrolled")</f>
        <v>Enrolled</v>
      </c>
    </row>
    <row r="1075">
      <c r="A1075" s="6" t="str">
        <f>IFERROR(__xludf.DUMMYFUNCTION("""COMPUTED_VALUE"""),"009-1200")</f>
        <v>009-1200</v>
      </c>
      <c r="B1075" s="6" t="str">
        <f>IFERROR(__xludf.DUMMYFUNCTION("""COMPUTED_VALUE"""),"9")</f>
        <v>9</v>
      </c>
      <c r="C1075" s="6" t="str">
        <f>IFERROR(__xludf.DUMMYFUNCTION("""COMPUTED_VALUE"""),"1200")</f>
        <v>1200</v>
      </c>
      <c r="D1075" s="6" t="str">
        <f>IFERROR(__xludf.DUMMYFUNCTION("""COMPUTED_VALUE"""),"Huk")</f>
        <v>Huk</v>
      </c>
      <c r="E1075" s="6" t="str">
        <f>IFERROR(__xludf.DUMMYFUNCTION("""COMPUTED_VALUE"""),"")</f>
        <v/>
      </c>
      <c r="F1075" s="6" t="str">
        <f>IFERROR(__xludf.DUMMYFUNCTION("""COMPUTED_VALUE"""),"Kateryna")</f>
        <v>Kateryna</v>
      </c>
      <c r="G1075" s="6" t="str">
        <f>IFERROR(__xludf.DUMMYFUNCTION("""COMPUTED_VALUE"""),"01/01/2009")</f>
        <v>01/01/2009</v>
      </c>
      <c r="H1075" s="6" t="str">
        <f>IFERROR(__xludf.DUMMYFUNCTION("""COMPUTED_VALUE"""),"Self Identify")</f>
        <v>Self Identify</v>
      </c>
      <c r="I1075" s="6" t="str">
        <f>IFERROR(__xludf.DUMMYFUNCTION("""COMPUTED_VALUE"""),"High School")</f>
        <v>High School</v>
      </c>
      <c r="J1075" s="6" t="str">
        <f>IFERROR(__xludf.DUMMYFUNCTION("""COMPUTED_VALUE"""),"10")</f>
        <v>10</v>
      </c>
      <c r="K1075" s="6" t="str">
        <f>IFERROR(__xludf.DUMMYFUNCTION("""COMPUTED_VALUE"""),"huk.kateryna@2hourlearning.com")</f>
        <v>huk.kateryna@2hourlearning.com</v>
      </c>
      <c r="L1075" s="6" t="str">
        <f>IFERROR(__xludf.DUMMYFUNCTION("""COMPUTED_VALUE"""),"Learn and Earn Poland")</f>
        <v>Learn and Earn Poland</v>
      </c>
      <c r="M1075" s="6" t="str">
        <f>IFERROR(__xludf.DUMMYFUNCTION("""COMPUTED_VALUE"""),"")</f>
        <v/>
      </c>
      <c r="N1075" s="6" t="str">
        <f>IFERROR(__xludf.DUMMYFUNCTION("""COMPUTED_VALUE"""),"")</f>
        <v/>
      </c>
      <c r="O1075" s="87" t="str">
        <f>IFERROR(__xludf.DUMMYFUNCTION("""COMPUTED_VALUE"""),"https://drive.google.com/drive/folders/10T2cTQHqEJZqE-st6uFKPoI?usp=share_link")</f>
        <v>https://drive.google.com/drive/folders/10T2cTQHqEJZqE-st6uFKPoI?usp=share_link</v>
      </c>
      <c r="P1075" s="6" t="str">
        <f>IFERROR(__xludf.DUMMYFUNCTION("""COMPUTED_VALUE"""),"Huk Kateryna")</f>
        <v>Huk Kateryna</v>
      </c>
      <c r="Q1075" s="6" t="str">
        <f>IFERROR(__xludf.DUMMYFUNCTION("""COMPUTED_VALUE"""),"HS")</f>
        <v>HS</v>
      </c>
      <c r="R1075" s="6">
        <f>IFERROR(__xludf.DUMMYFUNCTION("""COMPUTED_VALUE"""),0.0)</f>
        <v>0</v>
      </c>
      <c r="S1075" s="6" t="str">
        <f>IFERROR(__xludf.DUMMYFUNCTION("""COMPUTED_VALUE""")," ")</f>
        <v> </v>
      </c>
      <c r="T1075" s="6" t="str">
        <f>IFERROR(__xludf.DUMMYFUNCTION("""COMPUTED_VALUE"""),"")</f>
        <v/>
      </c>
      <c r="U1075" s="6" t="str">
        <f>IFERROR(__xludf.DUMMYFUNCTION("""COMPUTED_VALUE"""),"10")</f>
        <v>10</v>
      </c>
      <c r="V1075" s="6" t="str">
        <f>IFERROR(__xludf.DUMMYFUNCTION("""COMPUTED_VALUE"""),"English")</f>
        <v>English</v>
      </c>
      <c r="W1075" s="6" t="str">
        <f>IFERROR(__xludf.DUMMYFUNCTION("""COMPUTED_VALUE"""),"[]")</f>
        <v>[]</v>
      </c>
      <c r="X1075" s="6" t="str">
        <f>IFERROR(__xludf.DUMMYFUNCTION("""COMPUTED_VALUE"""),"Enrolled")</f>
        <v>Enrolled</v>
      </c>
    </row>
    <row r="1076">
      <c r="A1076" s="6" t="str">
        <f>IFERROR(__xludf.DUMMYFUNCTION("""COMPUTED_VALUE"""),"009-1201")</f>
        <v>009-1201</v>
      </c>
      <c r="B1076" s="6" t="str">
        <f>IFERROR(__xludf.DUMMYFUNCTION("""COMPUTED_VALUE"""),"9")</f>
        <v>9</v>
      </c>
      <c r="C1076" s="6" t="str">
        <f>IFERROR(__xludf.DUMMYFUNCTION("""COMPUTED_VALUE"""),"1201")</f>
        <v>1201</v>
      </c>
      <c r="D1076" s="6" t="str">
        <f>IFERROR(__xludf.DUMMYFUNCTION("""COMPUTED_VALUE"""),"Huk")</f>
        <v>Huk</v>
      </c>
      <c r="E1076" s="6" t="str">
        <f>IFERROR(__xludf.DUMMYFUNCTION("""COMPUTED_VALUE"""),"")</f>
        <v/>
      </c>
      <c r="F1076" s="6" t="str">
        <f>IFERROR(__xludf.DUMMYFUNCTION("""COMPUTED_VALUE"""),"Veronika")</f>
        <v>Veronika</v>
      </c>
      <c r="G1076" s="6" t="str">
        <f>IFERROR(__xludf.DUMMYFUNCTION("""COMPUTED_VALUE"""),"01/01/2013")</f>
        <v>01/01/2013</v>
      </c>
      <c r="H1076" s="6" t="str">
        <f>IFERROR(__xludf.DUMMYFUNCTION("""COMPUTED_VALUE"""),"Self Identify")</f>
        <v>Self Identify</v>
      </c>
      <c r="I1076" s="6" t="str">
        <f>IFERROR(__xludf.DUMMYFUNCTION("""COMPUTED_VALUE"""),"Middle School")</f>
        <v>Middle School</v>
      </c>
      <c r="J1076" s="6" t="str">
        <f>IFERROR(__xludf.DUMMYFUNCTION("""COMPUTED_VALUE"""),"7")</f>
        <v>7</v>
      </c>
      <c r="K1076" s="6" t="str">
        <f>IFERROR(__xludf.DUMMYFUNCTION("""COMPUTED_VALUE"""),"huk.veronika@2hourlearning.com")</f>
        <v>huk.veronika@2hourlearning.com</v>
      </c>
      <c r="L1076" s="6" t="str">
        <f>IFERROR(__xludf.DUMMYFUNCTION("""COMPUTED_VALUE"""),"Learn and Earn Poland")</f>
        <v>Learn and Earn Poland</v>
      </c>
      <c r="M1076" s="6" t="str">
        <f>IFERROR(__xludf.DUMMYFUNCTION("""COMPUTED_VALUE"""),"")</f>
        <v/>
      </c>
      <c r="N1076" s="6" t="str">
        <f>IFERROR(__xludf.DUMMYFUNCTION("""COMPUTED_VALUE"""),"")</f>
        <v/>
      </c>
      <c r="O1076" s="87" t="str">
        <f>IFERROR(__xludf.DUMMYFUNCTION("""COMPUTED_VALUE"""),"https://drive.google.com/drive/folders/10T2cTQHqEJZqE-st6uFKPoI?usp=share_link")</f>
        <v>https://drive.google.com/drive/folders/10T2cTQHqEJZqE-st6uFKPoI?usp=share_link</v>
      </c>
      <c r="P1076" s="6" t="str">
        <f>IFERROR(__xludf.DUMMYFUNCTION("""COMPUTED_VALUE"""),"Huk Veronika")</f>
        <v>Huk Veronika</v>
      </c>
      <c r="Q1076" s="6" t="str">
        <f>IFERROR(__xludf.DUMMYFUNCTION("""COMPUTED_VALUE"""),"MS")</f>
        <v>MS</v>
      </c>
      <c r="R1076" s="6">
        <f>IFERROR(__xludf.DUMMYFUNCTION("""COMPUTED_VALUE"""),0.0)</f>
        <v>0</v>
      </c>
      <c r="S1076" s="6" t="str">
        <f>IFERROR(__xludf.DUMMYFUNCTION("""COMPUTED_VALUE""")," ")</f>
        <v> </v>
      </c>
      <c r="T1076" s="6" t="str">
        <f>IFERROR(__xludf.DUMMYFUNCTION("""COMPUTED_VALUE"""),"")</f>
        <v/>
      </c>
      <c r="U1076" s="6" t="str">
        <f>IFERROR(__xludf.DUMMYFUNCTION("""COMPUTED_VALUE"""),"7")</f>
        <v>7</v>
      </c>
      <c r="V1076" s="6" t="str">
        <f>IFERROR(__xludf.DUMMYFUNCTION("""COMPUTED_VALUE"""),"English")</f>
        <v>English</v>
      </c>
      <c r="W1076" s="6" t="str">
        <f>IFERROR(__xludf.DUMMYFUNCTION("""COMPUTED_VALUE"""),"[]")</f>
        <v>[]</v>
      </c>
      <c r="X1076" s="6" t="str">
        <f>IFERROR(__xludf.DUMMYFUNCTION("""COMPUTED_VALUE"""),"Enrolled")</f>
        <v>Enrolled</v>
      </c>
    </row>
    <row r="1077">
      <c r="A1077" s="6" t="str">
        <f>IFERROR(__xludf.DUMMYFUNCTION("""COMPUTED_VALUE"""),"009-1202")</f>
        <v>009-1202</v>
      </c>
      <c r="B1077" s="6" t="str">
        <f>IFERROR(__xludf.DUMMYFUNCTION("""COMPUTED_VALUE"""),"9")</f>
        <v>9</v>
      </c>
      <c r="C1077" s="6" t="str">
        <f>IFERROR(__xludf.DUMMYFUNCTION("""COMPUTED_VALUE"""),"1202")</f>
        <v>1202</v>
      </c>
      <c r="D1077" s="6" t="str">
        <f>IFERROR(__xludf.DUMMYFUNCTION("""COMPUTED_VALUE"""),"Zoltan")</f>
        <v>Zoltan</v>
      </c>
      <c r="E1077" s="6" t="str">
        <f>IFERROR(__xludf.DUMMYFUNCTION("""COMPUTED_VALUE"""),"")</f>
        <v/>
      </c>
      <c r="F1077" s="6" t="str">
        <f>IFERROR(__xludf.DUMMYFUNCTION("""COMPUTED_VALUE"""),"Szalontai")</f>
        <v>Szalontai</v>
      </c>
      <c r="G1077" s="6" t="str">
        <f>IFERROR(__xludf.DUMMYFUNCTION("""COMPUTED_VALUE"""),"01/01/2013")</f>
        <v>01/01/2013</v>
      </c>
      <c r="H1077" s="6" t="str">
        <f>IFERROR(__xludf.DUMMYFUNCTION("""COMPUTED_VALUE"""),"M")</f>
        <v>M</v>
      </c>
      <c r="I1077" s="6" t="str">
        <f>IFERROR(__xludf.DUMMYFUNCTION("""COMPUTED_VALUE"""),"Middle School")</f>
        <v>Middle School</v>
      </c>
      <c r="J1077" s="6" t="str">
        <f>IFERROR(__xludf.DUMMYFUNCTION("""COMPUTED_VALUE"""),"6")</f>
        <v>6</v>
      </c>
      <c r="K1077" s="6" t="str">
        <f>IFERROR(__xludf.DUMMYFUNCTION("""COMPUTED_VALUE"""),"zoltan.szalontai@2hrlearning.com")</f>
        <v>zoltan.szalontai@2hrlearning.com</v>
      </c>
      <c r="L1077" s="6" t="str">
        <f>IFERROR(__xludf.DUMMYFUNCTION("""COMPUTED_VALUE"""),"Learn and Earn Poland")</f>
        <v>Learn and Earn Poland</v>
      </c>
      <c r="M1077" s="6" t="str">
        <f>IFERROR(__xludf.DUMMYFUNCTION("""COMPUTED_VALUE"""),"")</f>
        <v/>
      </c>
      <c r="N1077" s="6" t="str">
        <f>IFERROR(__xludf.DUMMYFUNCTION("""COMPUTED_VALUE"""),"")</f>
        <v/>
      </c>
      <c r="O1077" s="87" t="str">
        <f>IFERROR(__xludf.DUMMYFUNCTION("""COMPUTED_VALUE"""),"https://drive.google.com/drive/folders/10T2cTQHqEJZqE-st6uFKPoI?usp=share_link")</f>
        <v>https://drive.google.com/drive/folders/10T2cTQHqEJZqE-st6uFKPoI?usp=share_link</v>
      </c>
      <c r="P1077" s="6" t="str">
        <f>IFERROR(__xludf.DUMMYFUNCTION("""COMPUTED_VALUE"""),"Zoltan Szalontai")</f>
        <v>Zoltan Szalontai</v>
      </c>
      <c r="Q1077" s="6" t="str">
        <f>IFERROR(__xludf.DUMMYFUNCTION("""COMPUTED_VALUE"""),"MS")</f>
        <v>MS</v>
      </c>
      <c r="R1077" s="6">
        <f>IFERROR(__xludf.DUMMYFUNCTION("""COMPUTED_VALUE"""),0.0)</f>
        <v>0</v>
      </c>
      <c r="S1077" s="6" t="str">
        <f>IFERROR(__xludf.DUMMYFUNCTION("""COMPUTED_VALUE""")," ")</f>
        <v> </v>
      </c>
      <c r="T1077" s="6" t="str">
        <f>IFERROR(__xludf.DUMMYFUNCTION("""COMPUTED_VALUE"""),"")</f>
        <v/>
      </c>
      <c r="U1077" s="6" t="str">
        <f>IFERROR(__xludf.DUMMYFUNCTION("""COMPUTED_VALUE"""),"6")</f>
        <v>6</v>
      </c>
      <c r="V1077" s="6" t="str">
        <f>IFERROR(__xludf.DUMMYFUNCTION("""COMPUTED_VALUE"""),"English")</f>
        <v>English</v>
      </c>
      <c r="W1077" s="6" t="str">
        <f>IFERROR(__xludf.DUMMYFUNCTION("""COMPUTED_VALUE"""),"[]")</f>
        <v>[]</v>
      </c>
      <c r="X1077" s="6" t="str">
        <f>IFERROR(__xludf.DUMMYFUNCTION("""COMPUTED_VALUE"""),"Enrolled")</f>
        <v>Enrolled</v>
      </c>
    </row>
    <row r="1078">
      <c r="A1078" s="6" t="str">
        <f>IFERROR(__xludf.DUMMYFUNCTION("""COMPUTED_VALUE"""),"009-1268")</f>
        <v>009-1268</v>
      </c>
      <c r="B1078" s="6" t="str">
        <f>IFERROR(__xludf.DUMMYFUNCTION("""COMPUTED_VALUE"""),"9")</f>
        <v>9</v>
      </c>
      <c r="C1078" s="6" t="str">
        <f>IFERROR(__xludf.DUMMYFUNCTION("""COMPUTED_VALUE"""),"1268")</f>
        <v>1268</v>
      </c>
      <c r="D1078" s="6" t="str">
        <f>IFERROR(__xludf.DUMMYFUNCTION("""COMPUTED_VALUE"""),"Olena")</f>
        <v>Olena</v>
      </c>
      <c r="E1078" s="6" t="str">
        <f>IFERROR(__xludf.DUMMYFUNCTION("""COMPUTED_VALUE"""),"")</f>
        <v/>
      </c>
      <c r="F1078" s="6" t="str">
        <f>IFERROR(__xludf.DUMMYFUNCTION("""COMPUTED_VALUE"""),"Zayats")</f>
        <v>Zayats</v>
      </c>
      <c r="G1078" s="6" t="str">
        <f>IFERROR(__xludf.DUMMYFUNCTION("""COMPUTED_VALUE"""),"01/01/2008")</f>
        <v>01/01/2008</v>
      </c>
      <c r="H1078" s="6" t="str">
        <f>IFERROR(__xludf.DUMMYFUNCTION("""COMPUTED_VALUE"""),"F")</f>
        <v>F</v>
      </c>
      <c r="I1078" s="6" t="str">
        <f>IFERROR(__xludf.DUMMYFUNCTION("""COMPUTED_VALUE"""),"High School")</f>
        <v>High School</v>
      </c>
      <c r="J1078" s="6" t="str">
        <f>IFERROR(__xludf.DUMMYFUNCTION("""COMPUTED_VALUE"""),"10")</f>
        <v>10</v>
      </c>
      <c r="K1078" s="6" t="str">
        <f>IFERROR(__xludf.DUMMYFUNCTION("""COMPUTED_VALUE"""),"olena.zayats@2hourlearning.com")</f>
        <v>olena.zayats@2hourlearning.com</v>
      </c>
      <c r="L1078" s="6" t="str">
        <f>IFERROR(__xludf.DUMMYFUNCTION("""COMPUTED_VALUE"""),"Learn and Earn Poland")</f>
        <v>Learn and Earn Poland</v>
      </c>
      <c r="M1078" s="6" t="str">
        <f>IFERROR(__xludf.DUMMYFUNCTION("""COMPUTED_VALUE"""),"")</f>
        <v/>
      </c>
      <c r="N1078" s="6" t="str">
        <f>IFERROR(__xludf.DUMMYFUNCTION("""COMPUTED_VALUE"""),"")</f>
        <v/>
      </c>
      <c r="O1078" s="87" t="str">
        <f>IFERROR(__xludf.DUMMYFUNCTION("""COMPUTED_VALUE"""),"https://drive.google.com/drive/folders/10T2cTQHqEJZqE-st6uFKPoI?usp=share_link")</f>
        <v>https://drive.google.com/drive/folders/10T2cTQHqEJZqE-st6uFKPoI?usp=share_link</v>
      </c>
      <c r="P1078" s="6" t="str">
        <f>IFERROR(__xludf.DUMMYFUNCTION("""COMPUTED_VALUE"""),"Olena Zayats")</f>
        <v>Olena Zayats</v>
      </c>
      <c r="Q1078" s="6" t="str">
        <f>IFERROR(__xludf.DUMMYFUNCTION("""COMPUTED_VALUE"""),"HS")</f>
        <v>HS</v>
      </c>
      <c r="R1078" s="6">
        <f>IFERROR(__xludf.DUMMYFUNCTION("""COMPUTED_VALUE"""),0.0)</f>
        <v>0</v>
      </c>
      <c r="S1078" s="6" t="str">
        <f>IFERROR(__xludf.DUMMYFUNCTION("""COMPUTED_VALUE""")," ")</f>
        <v> </v>
      </c>
      <c r="T1078" s="6" t="str">
        <f>IFERROR(__xludf.DUMMYFUNCTION("""COMPUTED_VALUE"""),"")</f>
        <v/>
      </c>
      <c r="U1078" s="6" t="str">
        <f>IFERROR(__xludf.DUMMYFUNCTION("""COMPUTED_VALUE"""),"10")</f>
        <v>10</v>
      </c>
      <c r="V1078" s="6" t="str">
        <f>IFERROR(__xludf.DUMMYFUNCTION("""COMPUTED_VALUE"""),"English")</f>
        <v>English</v>
      </c>
      <c r="W1078" s="6" t="str">
        <f>IFERROR(__xludf.DUMMYFUNCTION("""COMPUTED_VALUE"""),"[]")</f>
        <v>[]</v>
      </c>
      <c r="X1078" s="6" t="str">
        <f>IFERROR(__xludf.DUMMYFUNCTION("""COMPUTED_VALUE"""),"Enrolled")</f>
        <v>Enrolled</v>
      </c>
    </row>
    <row r="1079">
      <c r="A1079" s="6" t="str">
        <f>IFERROR(__xludf.DUMMYFUNCTION("""COMPUTED_VALUE"""),"009-1269")</f>
        <v>009-1269</v>
      </c>
      <c r="B1079" s="6" t="str">
        <f>IFERROR(__xludf.DUMMYFUNCTION("""COMPUTED_VALUE"""),"9")</f>
        <v>9</v>
      </c>
      <c r="C1079" s="6" t="str">
        <f>IFERROR(__xludf.DUMMYFUNCTION("""COMPUTED_VALUE"""),"1269")</f>
        <v>1269</v>
      </c>
      <c r="D1079" s="6" t="str">
        <f>IFERROR(__xludf.DUMMYFUNCTION("""COMPUTED_VALUE"""),"Maksym")</f>
        <v>Maksym</v>
      </c>
      <c r="E1079" s="6" t="str">
        <f>IFERROR(__xludf.DUMMYFUNCTION("""COMPUTED_VALUE"""),"")</f>
        <v/>
      </c>
      <c r="F1079" s="6" t="str">
        <f>IFERROR(__xludf.DUMMYFUNCTION("""COMPUTED_VALUE"""),"Zayats")</f>
        <v>Zayats</v>
      </c>
      <c r="G1079" s="6" t="str">
        <f>IFERROR(__xludf.DUMMYFUNCTION("""COMPUTED_VALUE"""),"01/01/2014")</f>
        <v>01/01/2014</v>
      </c>
      <c r="H1079" s="6" t="str">
        <f>IFERROR(__xludf.DUMMYFUNCTION("""COMPUTED_VALUE"""),"M")</f>
        <v>M</v>
      </c>
      <c r="I1079" s="6" t="str">
        <f>IFERROR(__xludf.DUMMYFUNCTION("""COMPUTED_VALUE"""),"Level 2")</f>
        <v>Level 2</v>
      </c>
      <c r="J1079" s="6" t="str">
        <f>IFERROR(__xludf.DUMMYFUNCTION("""COMPUTED_VALUE"""),"4")</f>
        <v>4</v>
      </c>
      <c r="K1079" s="6" t="str">
        <f>IFERROR(__xludf.DUMMYFUNCTION("""COMPUTED_VALUE"""),"maksym.zayats@2hourlearning.com")</f>
        <v>maksym.zayats@2hourlearning.com</v>
      </c>
      <c r="L1079" s="6" t="str">
        <f>IFERROR(__xludf.DUMMYFUNCTION("""COMPUTED_VALUE"""),"Learn and Earn Poland")</f>
        <v>Learn and Earn Poland</v>
      </c>
      <c r="M1079" s="6" t="str">
        <f>IFERROR(__xludf.DUMMYFUNCTION("""COMPUTED_VALUE"""),"")</f>
        <v/>
      </c>
      <c r="N1079" s="6" t="str">
        <f>IFERROR(__xludf.DUMMYFUNCTION("""COMPUTED_VALUE"""),"")</f>
        <v/>
      </c>
      <c r="O1079" s="87" t="str">
        <f>IFERROR(__xludf.DUMMYFUNCTION("""COMPUTED_VALUE"""),"https://drive.google.com/drive/folders/10T2cTQHqEJZqE-st6uFKPoI?usp=share_link")</f>
        <v>https://drive.google.com/drive/folders/10T2cTQHqEJZqE-st6uFKPoI?usp=share_link</v>
      </c>
      <c r="P1079" s="6" t="str">
        <f>IFERROR(__xludf.DUMMYFUNCTION("""COMPUTED_VALUE"""),"Maksym Zayats")</f>
        <v>Maksym Zayats</v>
      </c>
      <c r="Q1079" s="6" t="str">
        <f>IFERROR(__xludf.DUMMYFUNCTION("""COMPUTED_VALUE"""),"L2")</f>
        <v>L2</v>
      </c>
      <c r="R1079" s="6">
        <f>IFERROR(__xludf.DUMMYFUNCTION("""COMPUTED_VALUE"""),2.0)</f>
        <v>2</v>
      </c>
      <c r="S1079" s="6" t="str">
        <f>IFERROR(__xludf.DUMMYFUNCTION("""COMPUTED_VALUE""")," ")</f>
        <v> </v>
      </c>
      <c r="T1079" s="6" t="str">
        <f>IFERROR(__xludf.DUMMYFUNCTION("""COMPUTED_VALUE"""),"")</f>
        <v/>
      </c>
      <c r="U1079" s="6" t="str">
        <f>IFERROR(__xludf.DUMMYFUNCTION("""COMPUTED_VALUE"""),"4")</f>
        <v>4</v>
      </c>
      <c r="V1079" s="6" t="str">
        <f>IFERROR(__xludf.DUMMYFUNCTION("""COMPUTED_VALUE"""),"English")</f>
        <v>English</v>
      </c>
      <c r="W1079" s="6" t="str">
        <f>IFERROR(__xludf.DUMMYFUNCTION("""COMPUTED_VALUE"""),"[]")</f>
        <v>[]</v>
      </c>
      <c r="X1079" s="6" t="str">
        <f>IFERROR(__xludf.DUMMYFUNCTION("""COMPUTED_VALUE"""),"Enrolled")</f>
        <v>Enrolled</v>
      </c>
    </row>
    <row r="1080">
      <c r="A1080" s="6" t="str">
        <f>IFERROR(__xludf.DUMMYFUNCTION("""COMPUTED_VALUE"""),"009-1270")</f>
        <v>009-1270</v>
      </c>
      <c r="B1080" s="6" t="str">
        <f>IFERROR(__xludf.DUMMYFUNCTION("""COMPUTED_VALUE"""),"9")</f>
        <v>9</v>
      </c>
      <c r="C1080" s="6" t="str">
        <f>IFERROR(__xludf.DUMMYFUNCTION("""COMPUTED_VALUE"""),"1270")</f>
        <v>1270</v>
      </c>
      <c r="D1080" s="6" t="str">
        <f>IFERROR(__xludf.DUMMYFUNCTION("""COMPUTED_VALUE"""),"Daniil")</f>
        <v>Daniil</v>
      </c>
      <c r="E1080" s="6" t="str">
        <f>IFERROR(__xludf.DUMMYFUNCTION("""COMPUTED_VALUE"""),"")</f>
        <v/>
      </c>
      <c r="F1080" s="6" t="str">
        <f>IFERROR(__xludf.DUMMYFUNCTION("""COMPUTED_VALUE"""),"Gromoviy")</f>
        <v>Gromoviy</v>
      </c>
      <c r="G1080" s="6" t="str">
        <f>IFERROR(__xludf.DUMMYFUNCTION("""COMPUTED_VALUE"""),"01/01/2014")</f>
        <v>01/01/2014</v>
      </c>
      <c r="H1080" s="6" t="str">
        <f>IFERROR(__xludf.DUMMYFUNCTION("""COMPUTED_VALUE"""),"M")</f>
        <v>M</v>
      </c>
      <c r="I1080" s="6" t="str">
        <f>IFERROR(__xludf.DUMMYFUNCTION("""COMPUTED_VALUE"""),"Level 2")</f>
        <v>Level 2</v>
      </c>
      <c r="J1080" s="6" t="str">
        <f>IFERROR(__xludf.DUMMYFUNCTION("""COMPUTED_VALUE"""),"4")</f>
        <v>4</v>
      </c>
      <c r="K1080" s="6" t="str">
        <f>IFERROR(__xludf.DUMMYFUNCTION("""COMPUTED_VALUE"""),"daniil.gromoviy@2hourlearning.com")</f>
        <v>daniil.gromoviy@2hourlearning.com</v>
      </c>
      <c r="L1080" s="6" t="str">
        <f>IFERROR(__xludf.DUMMYFUNCTION("""COMPUTED_VALUE"""),"Learn and Earn Poland")</f>
        <v>Learn and Earn Poland</v>
      </c>
      <c r="M1080" s="6" t="str">
        <f>IFERROR(__xludf.DUMMYFUNCTION("""COMPUTED_VALUE"""),"")</f>
        <v/>
      </c>
      <c r="N1080" s="6" t="str">
        <f>IFERROR(__xludf.DUMMYFUNCTION("""COMPUTED_VALUE"""),"")</f>
        <v/>
      </c>
      <c r="O1080" s="87" t="str">
        <f>IFERROR(__xludf.DUMMYFUNCTION("""COMPUTED_VALUE"""),"https://drive.google.com/drive/folders/10T2cTQHqEJZqE-st6uFKPoI?usp=share_link")</f>
        <v>https://drive.google.com/drive/folders/10T2cTQHqEJZqE-st6uFKPoI?usp=share_link</v>
      </c>
      <c r="P1080" s="6" t="str">
        <f>IFERROR(__xludf.DUMMYFUNCTION("""COMPUTED_VALUE"""),"Daniil Gromoviy")</f>
        <v>Daniil Gromoviy</v>
      </c>
      <c r="Q1080" s="6" t="str">
        <f>IFERROR(__xludf.DUMMYFUNCTION("""COMPUTED_VALUE"""),"L2")</f>
        <v>L2</v>
      </c>
      <c r="R1080" s="6">
        <f>IFERROR(__xludf.DUMMYFUNCTION("""COMPUTED_VALUE"""),2.0)</f>
        <v>2</v>
      </c>
      <c r="S1080" s="6" t="str">
        <f>IFERROR(__xludf.DUMMYFUNCTION("""COMPUTED_VALUE""")," ")</f>
        <v> </v>
      </c>
      <c r="T1080" s="6" t="str">
        <f>IFERROR(__xludf.DUMMYFUNCTION("""COMPUTED_VALUE"""),"")</f>
        <v/>
      </c>
      <c r="U1080" s="6" t="str">
        <f>IFERROR(__xludf.DUMMYFUNCTION("""COMPUTED_VALUE"""),"4")</f>
        <v>4</v>
      </c>
      <c r="V1080" s="6" t="str">
        <f>IFERROR(__xludf.DUMMYFUNCTION("""COMPUTED_VALUE"""),"English")</f>
        <v>English</v>
      </c>
      <c r="W1080" s="6" t="str">
        <f>IFERROR(__xludf.DUMMYFUNCTION("""COMPUTED_VALUE"""),"[]")</f>
        <v>[]</v>
      </c>
      <c r="X1080" s="6" t="str">
        <f>IFERROR(__xludf.DUMMYFUNCTION("""COMPUTED_VALUE"""),"Enrolled")</f>
        <v>Enrolled</v>
      </c>
    </row>
    <row r="1081">
      <c r="A1081" s="6" t="str">
        <f>IFERROR(__xludf.DUMMYFUNCTION("""COMPUTED_VALUE"""),"009-1300")</f>
        <v>009-1300</v>
      </c>
      <c r="B1081" s="6" t="str">
        <f>IFERROR(__xludf.DUMMYFUNCTION("""COMPUTED_VALUE"""),"9")</f>
        <v>9</v>
      </c>
      <c r="C1081" s="6" t="str">
        <f>IFERROR(__xludf.DUMMYFUNCTION("""COMPUTED_VALUE"""),"1300")</f>
        <v>1300</v>
      </c>
      <c r="D1081" s="6" t="str">
        <f>IFERROR(__xludf.DUMMYFUNCTION("""COMPUTED_VALUE"""),"Andrii")</f>
        <v>Andrii</v>
      </c>
      <c r="E1081" s="6" t="str">
        <f>IFERROR(__xludf.DUMMYFUNCTION("""COMPUTED_VALUE"""),"")</f>
        <v/>
      </c>
      <c r="F1081" s="6" t="str">
        <f>IFERROR(__xludf.DUMMYFUNCTION("""COMPUTED_VALUE"""),"Shopiak")</f>
        <v>Shopiak</v>
      </c>
      <c r="G1081" s="6" t="str">
        <f>IFERROR(__xludf.DUMMYFUNCTION("""COMPUTED_VALUE"""),"01/01/2009")</f>
        <v>01/01/2009</v>
      </c>
      <c r="H1081" s="6" t="str">
        <f>IFERROR(__xludf.DUMMYFUNCTION("""COMPUTED_VALUE"""),"Self Identify")</f>
        <v>Self Identify</v>
      </c>
      <c r="I1081" s="6" t="str">
        <f>IFERROR(__xludf.DUMMYFUNCTION("""COMPUTED_VALUE"""),"High School")</f>
        <v>High School</v>
      </c>
      <c r="J1081" s="6" t="str">
        <f>IFERROR(__xludf.DUMMYFUNCTION("""COMPUTED_VALUE"""),"10")</f>
        <v>10</v>
      </c>
      <c r="K1081" s="6" t="str">
        <f>IFERROR(__xludf.DUMMYFUNCTION("""COMPUTED_VALUE"""),"andrii.shopiak@2hourlearning.com")</f>
        <v>andrii.shopiak@2hourlearning.com</v>
      </c>
      <c r="L1081" s="6" t="str">
        <f>IFERROR(__xludf.DUMMYFUNCTION("""COMPUTED_VALUE"""),"Learn and Earn Poland")</f>
        <v>Learn and Earn Poland</v>
      </c>
      <c r="M1081" s="6" t="str">
        <f>IFERROR(__xludf.DUMMYFUNCTION("""COMPUTED_VALUE"""),"Poland ex-GTS")</f>
        <v>Poland ex-GTS</v>
      </c>
      <c r="N1081" s="6" t="str">
        <f>IFERROR(__xludf.DUMMYFUNCTION("""COMPUTED_VALUE"""),"")</f>
        <v/>
      </c>
      <c r="O1081" s="87" t="str">
        <f>IFERROR(__xludf.DUMMYFUNCTION("""COMPUTED_VALUE"""),"https://drive.google.com/drive/folders/10T2cTQHqEJZqE-st6uFKPoI?usp=share_link")</f>
        <v>https://drive.google.com/drive/folders/10T2cTQHqEJZqE-st6uFKPoI?usp=share_link</v>
      </c>
      <c r="P1081" s="6" t="str">
        <f>IFERROR(__xludf.DUMMYFUNCTION("""COMPUTED_VALUE"""),"Andrii Shopiak")</f>
        <v>Andrii Shopiak</v>
      </c>
      <c r="Q1081" s="6" t="str">
        <f>IFERROR(__xludf.DUMMYFUNCTION("""COMPUTED_VALUE"""),"HS")</f>
        <v>HS</v>
      </c>
      <c r="R1081" s="6">
        <f>IFERROR(__xludf.DUMMYFUNCTION("""COMPUTED_VALUE"""),0.0)</f>
        <v>0</v>
      </c>
      <c r="S1081" s="6" t="str">
        <f>IFERROR(__xludf.DUMMYFUNCTION("""COMPUTED_VALUE""")," ")</f>
        <v> </v>
      </c>
      <c r="T1081" s="6" t="str">
        <f>IFERROR(__xludf.DUMMYFUNCTION("""COMPUTED_VALUE"""),"")</f>
        <v/>
      </c>
      <c r="U1081" s="6" t="str">
        <f>IFERROR(__xludf.DUMMYFUNCTION("""COMPUTED_VALUE"""),"10")</f>
        <v>10</v>
      </c>
      <c r="V1081" s="6" t="str">
        <f>IFERROR(__xludf.DUMMYFUNCTION("""COMPUTED_VALUE"""),"English")</f>
        <v>English</v>
      </c>
      <c r="W1081" s="6" t="str">
        <f>IFERROR(__xludf.DUMMYFUNCTION("""COMPUTED_VALUE"""),"[]")</f>
        <v>[]</v>
      </c>
      <c r="X1081" s="6" t="str">
        <f>IFERROR(__xludf.DUMMYFUNCTION("""COMPUTED_VALUE"""),"Enrolled")</f>
        <v>Enrolled</v>
      </c>
    </row>
    <row r="1082">
      <c r="A1082" s="6" t="str">
        <f>IFERROR(__xludf.DUMMYFUNCTION("""COMPUTED_VALUE"""),"009-1301")</f>
        <v>009-1301</v>
      </c>
      <c r="B1082" s="6" t="str">
        <f>IFERROR(__xludf.DUMMYFUNCTION("""COMPUTED_VALUE"""),"9")</f>
        <v>9</v>
      </c>
      <c r="C1082" s="6" t="str">
        <f>IFERROR(__xludf.DUMMYFUNCTION("""COMPUTED_VALUE"""),"1301")</f>
        <v>1301</v>
      </c>
      <c r="D1082" s="6" t="str">
        <f>IFERROR(__xludf.DUMMYFUNCTION("""COMPUTED_VALUE"""),"Oleksii")</f>
        <v>Oleksii</v>
      </c>
      <c r="E1082" s="6" t="str">
        <f>IFERROR(__xludf.DUMMYFUNCTION("""COMPUTED_VALUE"""),"")</f>
        <v/>
      </c>
      <c r="F1082" s="6" t="str">
        <f>IFERROR(__xludf.DUMMYFUNCTION("""COMPUTED_VALUE"""),"Rakhuba")</f>
        <v>Rakhuba</v>
      </c>
      <c r="G1082" s="6" t="str">
        <f>IFERROR(__xludf.DUMMYFUNCTION("""COMPUTED_VALUE"""),"01/01/2014")</f>
        <v>01/01/2014</v>
      </c>
      <c r="H1082" s="6" t="str">
        <f>IFERROR(__xludf.DUMMYFUNCTION("""COMPUTED_VALUE"""),"Self Identify")</f>
        <v>Self Identify</v>
      </c>
      <c r="I1082" s="6" t="str">
        <f>IFERROR(__xludf.DUMMYFUNCTION("""COMPUTED_VALUE"""),"Level 2")</f>
        <v>Level 2</v>
      </c>
      <c r="J1082" s="6" t="str">
        <f>IFERROR(__xludf.DUMMYFUNCTION("""COMPUTED_VALUE"""),"5")</f>
        <v>5</v>
      </c>
      <c r="K1082" s="6" t="str">
        <f>IFERROR(__xludf.DUMMYFUNCTION("""COMPUTED_VALUE"""),"oleksii.rakhuba@2hourlearning.com")</f>
        <v>oleksii.rakhuba@2hourlearning.com</v>
      </c>
      <c r="L1082" s="6" t="str">
        <f>IFERROR(__xludf.DUMMYFUNCTION("""COMPUTED_VALUE"""),"Learn and Earn Poland")</f>
        <v>Learn and Earn Poland</v>
      </c>
      <c r="M1082" s="6" t="str">
        <f>IFERROR(__xludf.DUMMYFUNCTION("""COMPUTED_VALUE"""),"Poland ex-GTS")</f>
        <v>Poland ex-GTS</v>
      </c>
      <c r="N1082" s="6" t="str">
        <f>IFERROR(__xludf.DUMMYFUNCTION("""COMPUTED_VALUE"""),"")</f>
        <v/>
      </c>
      <c r="O1082" s="87" t="str">
        <f>IFERROR(__xludf.DUMMYFUNCTION("""COMPUTED_VALUE"""),"https://drive.google.com/drive/folders/10T2cTQHqEJZqE-st6uFKPoI?usp=share_link")</f>
        <v>https://drive.google.com/drive/folders/10T2cTQHqEJZqE-st6uFKPoI?usp=share_link</v>
      </c>
      <c r="P1082" s="6" t="str">
        <f>IFERROR(__xludf.DUMMYFUNCTION("""COMPUTED_VALUE"""),"Oleksii Rakhuba")</f>
        <v>Oleksii Rakhuba</v>
      </c>
      <c r="Q1082" s="6" t="str">
        <f>IFERROR(__xludf.DUMMYFUNCTION("""COMPUTED_VALUE"""),"L2")</f>
        <v>L2</v>
      </c>
      <c r="R1082" s="6">
        <f>IFERROR(__xludf.DUMMYFUNCTION("""COMPUTED_VALUE"""),2.0)</f>
        <v>2</v>
      </c>
      <c r="S1082" s="6" t="str">
        <f>IFERROR(__xludf.DUMMYFUNCTION("""COMPUTED_VALUE""")," ")</f>
        <v> </v>
      </c>
      <c r="T1082" s="6" t="str">
        <f>IFERROR(__xludf.DUMMYFUNCTION("""COMPUTED_VALUE"""),"")</f>
        <v/>
      </c>
      <c r="U1082" s="6" t="str">
        <f>IFERROR(__xludf.DUMMYFUNCTION("""COMPUTED_VALUE"""),"5")</f>
        <v>5</v>
      </c>
      <c r="V1082" s="6" t="str">
        <f>IFERROR(__xludf.DUMMYFUNCTION("""COMPUTED_VALUE"""),"English")</f>
        <v>English</v>
      </c>
      <c r="W1082" s="6" t="str">
        <f>IFERROR(__xludf.DUMMYFUNCTION("""COMPUTED_VALUE"""),"[]")</f>
        <v>[]</v>
      </c>
      <c r="X1082" s="6" t="str">
        <f>IFERROR(__xludf.DUMMYFUNCTION("""COMPUTED_VALUE"""),"Enrolled")</f>
        <v>Enrolled</v>
      </c>
    </row>
    <row r="1083">
      <c r="A1083" s="6" t="str">
        <f>IFERROR(__xludf.DUMMYFUNCTION("""COMPUTED_VALUE"""),"009-1302")</f>
        <v>009-1302</v>
      </c>
      <c r="B1083" s="6" t="str">
        <f>IFERROR(__xludf.DUMMYFUNCTION("""COMPUTED_VALUE"""),"9")</f>
        <v>9</v>
      </c>
      <c r="C1083" s="6" t="str">
        <f>IFERROR(__xludf.DUMMYFUNCTION("""COMPUTED_VALUE"""),"1302")</f>
        <v>1302</v>
      </c>
      <c r="D1083" s="6" t="str">
        <f>IFERROR(__xludf.DUMMYFUNCTION("""COMPUTED_VALUE"""),"Artemii")</f>
        <v>Artemii</v>
      </c>
      <c r="E1083" s="6" t="str">
        <f>IFERROR(__xludf.DUMMYFUNCTION("""COMPUTED_VALUE"""),"")</f>
        <v/>
      </c>
      <c r="F1083" s="6" t="str">
        <f>IFERROR(__xludf.DUMMYFUNCTION("""COMPUTED_VALUE"""),"Stryzhak")</f>
        <v>Stryzhak</v>
      </c>
      <c r="G1083" s="6" t="str">
        <f>IFERROR(__xludf.DUMMYFUNCTION("""COMPUTED_VALUE"""),"01/01/2017")</f>
        <v>01/01/2017</v>
      </c>
      <c r="H1083" s="6" t="str">
        <f>IFERROR(__xludf.DUMMYFUNCTION("""COMPUTED_VALUE"""),"Self Identify")</f>
        <v>Self Identify</v>
      </c>
      <c r="I1083" s="6" t="str">
        <f>IFERROR(__xludf.DUMMYFUNCTION("""COMPUTED_VALUE"""),"Level 1")</f>
        <v>Level 1</v>
      </c>
      <c r="J1083" s="6" t="str">
        <f>IFERROR(__xludf.DUMMYFUNCTION("""COMPUTED_VALUE"""),"2")</f>
        <v>2</v>
      </c>
      <c r="K1083" s="6" t="str">
        <f>IFERROR(__xludf.DUMMYFUNCTION("""COMPUTED_VALUE"""),"artemii.stryzhak@2hourlearning.com")</f>
        <v>artemii.stryzhak@2hourlearning.com</v>
      </c>
      <c r="L1083" s="6" t="str">
        <f>IFERROR(__xludf.DUMMYFUNCTION("""COMPUTED_VALUE"""),"Learn and Earn Poland")</f>
        <v>Learn and Earn Poland</v>
      </c>
      <c r="M1083" s="6" t="str">
        <f>IFERROR(__xludf.DUMMYFUNCTION("""COMPUTED_VALUE"""),"Poland ex-GTS")</f>
        <v>Poland ex-GTS</v>
      </c>
      <c r="N1083" s="6" t="str">
        <f>IFERROR(__xludf.DUMMYFUNCTION("""COMPUTED_VALUE"""),"")</f>
        <v/>
      </c>
      <c r="O1083" s="87" t="str">
        <f>IFERROR(__xludf.DUMMYFUNCTION("""COMPUTED_VALUE"""),"https://drive.google.com/drive/folders/10T2cTQHqEJZqE-st6uFKPoI?usp=share_link")</f>
        <v>https://drive.google.com/drive/folders/10T2cTQHqEJZqE-st6uFKPoI?usp=share_link</v>
      </c>
      <c r="P1083" s="6" t="str">
        <f>IFERROR(__xludf.DUMMYFUNCTION("""COMPUTED_VALUE"""),"Artemii Stryzhak")</f>
        <v>Artemii Stryzhak</v>
      </c>
      <c r="Q1083" s="6" t="str">
        <f>IFERROR(__xludf.DUMMYFUNCTION("""COMPUTED_VALUE"""),"L1")</f>
        <v>L1</v>
      </c>
      <c r="R1083" s="6">
        <f>IFERROR(__xludf.DUMMYFUNCTION("""COMPUTED_VALUE"""),1.0)</f>
        <v>1</v>
      </c>
      <c r="S1083" s="6" t="str">
        <f>IFERROR(__xludf.DUMMYFUNCTION("""COMPUTED_VALUE""")," ")</f>
        <v> </v>
      </c>
      <c r="T1083" s="6" t="str">
        <f>IFERROR(__xludf.DUMMYFUNCTION("""COMPUTED_VALUE"""),"")</f>
        <v/>
      </c>
      <c r="U1083" s="6" t="str">
        <f>IFERROR(__xludf.DUMMYFUNCTION("""COMPUTED_VALUE"""),"2")</f>
        <v>2</v>
      </c>
      <c r="V1083" s="6" t="str">
        <f>IFERROR(__xludf.DUMMYFUNCTION("""COMPUTED_VALUE"""),"English")</f>
        <v>English</v>
      </c>
      <c r="W1083" s="6" t="str">
        <f>IFERROR(__xludf.DUMMYFUNCTION("""COMPUTED_VALUE"""),"[]")</f>
        <v>[]</v>
      </c>
      <c r="X1083" s="6" t="str">
        <f>IFERROR(__xludf.DUMMYFUNCTION("""COMPUTED_VALUE"""),"Enrolled")</f>
        <v>Enrolled</v>
      </c>
    </row>
    <row r="1084">
      <c r="A1084" s="6" t="str">
        <f>IFERROR(__xludf.DUMMYFUNCTION("""COMPUTED_VALUE"""),"009-1303")</f>
        <v>009-1303</v>
      </c>
      <c r="B1084" s="6" t="str">
        <f>IFERROR(__xludf.DUMMYFUNCTION("""COMPUTED_VALUE"""),"9")</f>
        <v>9</v>
      </c>
      <c r="C1084" s="6" t="str">
        <f>IFERROR(__xludf.DUMMYFUNCTION("""COMPUTED_VALUE"""),"1303")</f>
        <v>1303</v>
      </c>
      <c r="D1084" s="6" t="str">
        <f>IFERROR(__xludf.DUMMYFUNCTION("""COMPUTED_VALUE"""),"Eva")</f>
        <v>Eva</v>
      </c>
      <c r="E1084" s="6" t="str">
        <f>IFERROR(__xludf.DUMMYFUNCTION("""COMPUTED_VALUE"""),"")</f>
        <v/>
      </c>
      <c r="F1084" s="6" t="str">
        <f>IFERROR(__xludf.DUMMYFUNCTION("""COMPUTED_VALUE"""),"Bazhan")</f>
        <v>Bazhan</v>
      </c>
      <c r="G1084" s="6" t="str">
        <f>IFERROR(__xludf.DUMMYFUNCTION("""COMPUTED_VALUE"""),"01/01/2009")</f>
        <v>01/01/2009</v>
      </c>
      <c r="H1084" s="6" t="str">
        <f>IFERROR(__xludf.DUMMYFUNCTION("""COMPUTED_VALUE"""),"Self Identify")</f>
        <v>Self Identify</v>
      </c>
      <c r="I1084" s="6" t="str">
        <f>IFERROR(__xludf.DUMMYFUNCTION("""COMPUTED_VALUE"""),"High School")</f>
        <v>High School</v>
      </c>
      <c r="J1084" s="6" t="str">
        <f>IFERROR(__xludf.DUMMYFUNCTION("""COMPUTED_VALUE"""),"10")</f>
        <v>10</v>
      </c>
      <c r="K1084" s="6" t="str">
        <f>IFERROR(__xludf.DUMMYFUNCTION("""COMPUTED_VALUE"""),"eva.bazhan@2hourlearning.com")</f>
        <v>eva.bazhan@2hourlearning.com</v>
      </c>
      <c r="L1084" s="6" t="str">
        <f>IFERROR(__xludf.DUMMYFUNCTION("""COMPUTED_VALUE"""),"Learn and Earn Poland")</f>
        <v>Learn and Earn Poland</v>
      </c>
      <c r="M1084" s="6" t="str">
        <f>IFERROR(__xludf.DUMMYFUNCTION("""COMPUTED_VALUE"""),"Poland ex-GTS")</f>
        <v>Poland ex-GTS</v>
      </c>
      <c r="N1084" s="6" t="str">
        <f>IFERROR(__xludf.DUMMYFUNCTION("""COMPUTED_VALUE"""),"")</f>
        <v/>
      </c>
      <c r="O1084" s="87" t="str">
        <f>IFERROR(__xludf.DUMMYFUNCTION("""COMPUTED_VALUE"""),"https://drive.google.com/drive/folders/10T2cTQHqEJZqE-st6uFKPoI?usp=share_link")</f>
        <v>https://drive.google.com/drive/folders/10T2cTQHqEJZqE-st6uFKPoI?usp=share_link</v>
      </c>
      <c r="P1084" s="6" t="str">
        <f>IFERROR(__xludf.DUMMYFUNCTION("""COMPUTED_VALUE"""),"Eva Bazhan")</f>
        <v>Eva Bazhan</v>
      </c>
      <c r="Q1084" s="6" t="str">
        <f>IFERROR(__xludf.DUMMYFUNCTION("""COMPUTED_VALUE"""),"HS")</f>
        <v>HS</v>
      </c>
      <c r="R1084" s="6">
        <f>IFERROR(__xludf.DUMMYFUNCTION("""COMPUTED_VALUE"""),0.0)</f>
        <v>0</v>
      </c>
      <c r="S1084" s="6" t="str">
        <f>IFERROR(__xludf.DUMMYFUNCTION("""COMPUTED_VALUE""")," ")</f>
        <v> </v>
      </c>
      <c r="T1084" s="6" t="str">
        <f>IFERROR(__xludf.DUMMYFUNCTION("""COMPUTED_VALUE"""),"")</f>
        <v/>
      </c>
      <c r="U1084" s="6" t="str">
        <f>IFERROR(__xludf.DUMMYFUNCTION("""COMPUTED_VALUE"""),"10")</f>
        <v>10</v>
      </c>
      <c r="V1084" s="6" t="str">
        <f>IFERROR(__xludf.DUMMYFUNCTION("""COMPUTED_VALUE"""),"English")</f>
        <v>English</v>
      </c>
      <c r="W1084" s="6" t="str">
        <f>IFERROR(__xludf.DUMMYFUNCTION("""COMPUTED_VALUE"""),"[]")</f>
        <v>[]</v>
      </c>
      <c r="X1084" s="6" t="str">
        <f>IFERROR(__xludf.DUMMYFUNCTION("""COMPUTED_VALUE"""),"Enrolled")</f>
        <v>Enrolled</v>
      </c>
    </row>
    <row r="1085">
      <c r="A1085" s="6" t="str">
        <f>IFERROR(__xludf.DUMMYFUNCTION("""COMPUTED_VALUE"""),"009-1304")</f>
        <v>009-1304</v>
      </c>
      <c r="B1085" s="6" t="str">
        <f>IFERROR(__xludf.DUMMYFUNCTION("""COMPUTED_VALUE"""),"9")</f>
        <v>9</v>
      </c>
      <c r="C1085" s="6" t="str">
        <f>IFERROR(__xludf.DUMMYFUNCTION("""COMPUTED_VALUE"""),"1304")</f>
        <v>1304</v>
      </c>
      <c r="D1085" s="6" t="str">
        <f>IFERROR(__xludf.DUMMYFUNCTION("""COMPUTED_VALUE"""),"Anton")</f>
        <v>Anton</v>
      </c>
      <c r="E1085" s="6" t="str">
        <f>IFERROR(__xludf.DUMMYFUNCTION("""COMPUTED_VALUE"""),"")</f>
        <v/>
      </c>
      <c r="F1085" s="6" t="str">
        <f>IFERROR(__xludf.DUMMYFUNCTION("""COMPUTED_VALUE"""),"Fediushyn")</f>
        <v>Fediushyn</v>
      </c>
      <c r="G1085" s="6" t="str">
        <f>IFERROR(__xludf.DUMMYFUNCTION("""COMPUTED_VALUE"""),"01/01/2007")</f>
        <v>01/01/2007</v>
      </c>
      <c r="H1085" s="6" t="str">
        <f>IFERROR(__xludf.DUMMYFUNCTION("""COMPUTED_VALUE"""),"Self Identify")</f>
        <v>Self Identify</v>
      </c>
      <c r="I1085" s="6" t="str">
        <f>IFERROR(__xludf.DUMMYFUNCTION("""COMPUTED_VALUE"""),"High School")</f>
        <v>High School</v>
      </c>
      <c r="J1085" s="6" t="str">
        <f>IFERROR(__xludf.DUMMYFUNCTION("""COMPUTED_VALUE"""),"12")</f>
        <v>12</v>
      </c>
      <c r="K1085" s="6" t="str">
        <f>IFERROR(__xludf.DUMMYFUNCTION("""COMPUTED_VALUE"""),"anton.fediushyn@2hourlearning.com")</f>
        <v>anton.fediushyn@2hourlearning.com</v>
      </c>
      <c r="L1085" s="6" t="str">
        <f>IFERROR(__xludf.DUMMYFUNCTION("""COMPUTED_VALUE"""),"Learn and Earn Poland")</f>
        <v>Learn and Earn Poland</v>
      </c>
      <c r="M1085" s="6" t="str">
        <f>IFERROR(__xludf.DUMMYFUNCTION("""COMPUTED_VALUE"""),"Poland ex-GTS")</f>
        <v>Poland ex-GTS</v>
      </c>
      <c r="N1085" s="6" t="str">
        <f>IFERROR(__xludf.DUMMYFUNCTION("""COMPUTED_VALUE"""),"")</f>
        <v/>
      </c>
      <c r="O1085" s="87" t="str">
        <f>IFERROR(__xludf.DUMMYFUNCTION("""COMPUTED_VALUE"""),"https://drive.google.com/drive/folders/10T2cTQHqEJZqE-st6uFKPoI?usp=share_link")</f>
        <v>https://drive.google.com/drive/folders/10T2cTQHqEJZqE-st6uFKPoI?usp=share_link</v>
      </c>
      <c r="P1085" s="6" t="str">
        <f>IFERROR(__xludf.DUMMYFUNCTION("""COMPUTED_VALUE"""),"Anton Fediushyn")</f>
        <v>Anton Fediushyn</v>
      </c>
      <c r="Q1085" s="6" t="str">
        <f>IFERROR(__xludf.DUMMYFUNCTION("""COMPUTED_VALUE"""),"HS")</f>
        <v>HS</v>
      </c>
      <c r="R1085" s="6">
        <f>IFERROR(__xludf.DUMMYFUNCTION("""COMPUTED_VALUE"""),0.0)</f>
        <v>0</v>
      </c>
      <c r="S1085" s="6" t="str">
        <f>IFERROR(__xludf.DUMMYFUNCTION("""COMPUTED_VALUE""")," ")</f>
        <v> </v>
      </c>
      <c r="T1085" s="6" t="str">
        <f>IFERROR(__xludf.DUMMYFUNCTION("""COMPUTED_VALUE"""),"")</f>
        <v/>
      </c>
      <c r="U1085" s="6" t="str">
        <f>IFERROR(__xludf.DUMMYFUNCTION("""COMPUTED_VALUE"""),"12")</f>
        <v>12</v>
      </c>
      <c r="V1085" s="6" t="str">
        <f>IFERROR(__xludf.DUMMYFUNCTION("""COMPUTED_VALUE"""),"English")</f>
        <v>English</v>
      </c>
      <c r="W1085" s="6" t="str">
        <f>IFERROR(__xludf.DUMMYFUNCTION("""COMPUTED_VALUE"""),"[]")</f>
        <v>[]</v>
      </c>
      <c r="X1085" s="6" t="str">
        <f>IFERROR(__xludf.DUMMYFUNCTION("""COMPUTED_VALUE"""),"Enrolled")</f>
        <v>Enrolled</v>
      </c>
    </row>
    <row r="1086">
      <c r="A1086" s="6" t="str">
        <f>IFERROR(__xludf.DUMMYFUNCTION("""COMPUTED_VALUE"""),"009-1305")</f>
        <v>009-1305</v>
      </c>
      <c r="B1086" s="6" t="str">
        <f>IFERROR(__xludf.DUMMYFUNCTION("""COMPUTED_VALUE"""),"9")</f>
        <v>9</v>
      </c>
      <c r="C1086" s="6" t="str">
        <f>IFERROR(__xludf.DUMMYFUNCTION("""COMPUTED_VALUE"""),"1305")</f>
        <v>1305</v>
      </c>
      <c r="D1086" s="6" t="str">
        <f>IFERROR(__xludf.DUMMYFUNCTION("""COMPUTED_VALUE"""),"Yakym")</f>
        <v>Yakym</v>
      </c>
      <c r="E1086" s="6" t="str">
        <f>IFERROR(__xludf.DUMMYFUNCTION("""COMPUTED_VALUE"""),"")</f>
        <v/>
      </c>
      <c r="F1086" s="6" t="str">
        <f>IFERROR(__xludf.DUMMYFUNCTION("""COMPUTED_VALUE"""),"Chupriianovskyi")</f>
        <v>Chupriianovskyi</v>
      </c>
      <c r="G1086" s="6" t="str">
        <f>IFERROR(__xludf.DUMMYFUNCTION("""COMPUTED_VALUE"""),"01/01/2013")</f>
        <v>01/01/2013</v>
      </c>
      <c r="H1086" s="6" t="str">
        <f>IFERROR(__xludf.DUMMYFUNCTION("""COMPUTED_VALUE"""),"Self Identify")</f>
        <v>Self Identify</v>
      </c>
      <c r="I1086" s="6" t="str">
        <f>IFERROR(__xludf.DUMMYFUNCTION("""COMPUTED_VALUE"""),"Middle School")</f>
        <v>Middle School</v>
      </c>
      <c r="J1086" s="6" t="str">
        <f>IFERROR(__xludf.DUMMYFUNCTION("""COMPUTED_VALUE"""),"6")</f>
        <v>6</v>
      </c>
      <c r="K1086" s="6" t="str">
        <f>IFERROR(__xludf.DUMMYFUNCTION("""COMPUTED_VALUE"""),"yakym.chupriianovskyi@2hourlearning.com")</f>
        <v>yakym.chupriianovskyi@2hourlearning.com</v>
      </c>
      <c r="L1086" s="6" t="str">
        <f>IFERROR(__xludf.DUMMYFUNCTION("""COMPUTED_VALUE"""),"Learn and Earn Poland")</f>
        <v>Learn and Earn Poland</v>
      </c>
      <c r="M1086" s="6" t="str">
        <f>IFERROR(__xludf.DUMMYFUNCTION("""COMPUTED_VALUE"""),"Poland ex-GTS")</f>
        <v>Poland ex-GTS</v>
      </c>
      <c r="N1086" s="6" t="str">
        <f>IFERROR(__xludf.DUMMYFUNCTION("""COMPUTED_VALUE"""),"")</f>
        <v/>
      </c>
      <c r="O1086" s="87" t="str">
        <f>IFERROR(__xludf.DUMMYFUNCTION("""COMPUTED_VALUE"""),"https://drive.google.com/drive/folders/10T2cTQHqEJZqE-st6uFKPoI?usp=share_link")</f>
        <v>https://drive.google.com/drive/folders/10T2cTQHqEJZqE-st6uFKPoI?usp=share_link</v>
      </c>
      <c r="P1086" s="6" t="str">
        <f>IFERROR(__xludf.DUMMYFUNCTION("""COMPUTED_VALUE"""),"Yakym Chupriianovskyi")</f>
        <v>Yakym Chupriianovskyi</v>
      </c>
      <c r="Q1086" s="6" t="str">
        <f>IFERROR(__xludf.DUMMYFUNCTION("""COMPUTED_VALUE"""),"MS")</f>
        <v>MS</v>
      </c>
      <c r="R1086" s="6">
        <f>IFERROR(__xludf.DUMMYFUNCTION("""COMPUTED_VALUE"""),0.0)</f>
        <v>0</v>
      </c>
      <c r="S1086" s="6" t="str">
        <f>IFERROR(__xludf.DUMMYFUNCTION("""COMPUTED_VALUE""")," ")</f>
        <v> </v>
      </c>
      <c r="T1086" s="6" t="str">
        <f>IFERROR(__xludf.DUMMYFUNCTION("""COMPUTED_VALUE"""),"")</f>
        <v/>
      </c>
      <c r="U1086" s="6" t="str">
        <f>IFERROR(__xludf.DUMMYFUNCTION("""COMPUTED_VALUE"""),"6")</f>
        <v>6</v>
      </c>
      <c r="V1086" s="6" t="str">
        <f>IFERROR(__xludf.DUMMYFUNCTION("""COMPUTED_VALUE"""),"English")</f>
        <v>English</v>
      </c>
      <c r="W1086" s="6" t="str">
        <f>IFERROR(__xludf.DUMMYFUNCTION("""COMPUTED_VALUE"""),"[]")</f>
        <v>[]</v>
      </c>
      <c r="X1086" s="6" t="str">
        <f>IFERROR(__xludf.DUMMYFUNCTION("""COMPUTED_VALUE"""),"Enrolled")</f>
        <v>Enrolled</v>
      </c>
    </row>
    <row r="1087">
      <c r="A1087" s="6" t="str">
        <f>IFERROR(__xludf.DUMMYFUNCTION("""COMPUTED_VALUE"""),"009-1306")</f>
        <v>009-1306</v>
      </c>
      <c r="B1087" s="6" t="str">
        <f>IFERROR(__xludf.DUMMYFUNCTION("""COMPUTED_VALUE"""),"9")</f>
        <v>9</v>
      </c>
      <c r="C1087" s="6" t="str">
        <f>IFERROR(__xludf.DUMMYFUNCTION("""COMPUTED_VALUE"""),"1306")</f>
        <v>1306</v>
      </c>
      <c r="D1087" s="6" t="str">
        <f>IFERROR(__xludf.DUMMYFUNCTION("""COMPUTED_VALUE"""),"Anastasiia")</f>
        <v>Anastasiia</v>
      </c>
      <c r="E1087" s="6" t="str">
        <f>IFERROR(__xludf.DUMMYFUNCTION("""COMPUTED_VALUE"""),"")</f>
        <v/>
      </c>
      <c r="F1087" s="6" t="str">
        <f>IFERROR(__xludf.DUMMYFUNCTION("""COMPUTED_VALUE"""),"Filatova")</f>
        <v>Filatova</v>
      </c>
      <c r="G1087" s="6" t="str">
        <f>IFERROR(__xludf.DUMMYFUNCTION("""COMPUTED_VALUE"""),"01/01/2013")</f>
        <v>01/01/2013</v>
      </c>
      <c r="H1087" s="6" t="str">
        <f>IFERROR(__xludf.DUMMYFUNCTION("""COMPUTED_VALUE"""),"Self Identify")</f>
        <v>Self Identify</v>
      </c>
      <c r="I1087" s="6" t="str">
        <f>IFERROR(__xludf.DUMMYFUNCTION("""COMPUTED_VALUE"""),"Middle School")</f>
        <v>Middle School</v>
      </c>
      <c r="J1087" s="6" t="str">
        <f>IFERROR(__xludf.DUMMYFUNCTION("""COMPUTED_VALUE"""),"6")</f>
        <v>6</v>
      </c>
      <c r="K1087" s="6" t="str">
        <f>IFERROR(__xludf.DUMMYFUNCTION("""COMPUTED_VALUE"""),"anastasiia.filatova@2hourlearning.com")</f>
        <v>anastasiia.filatova@2hourlearning.com</v>
      </c>
      <c r="L1087" s="6" t="str">
        <f>IFERROR(__xludf.DUMMYFUNCTION("""COMPUTED_VALUE"""),"Learn and Earn Poland")</f>
        <v>Learn and Earn Poland</v>
      </c>
      <c r="M1087" s="6" t="str">
        <f>IFERROR(__xludf.DUMMYFUNCTION("""COMPUTED_VALUE"""),"Poland ex-GTS")</f>
        <v>Poland ex-GTS</v>
      </c>
      <c r="N1087" s="6" t="str">
        <f>IFERROR(__xludf.DUMMYFUNCTION("""COMPUTED_VALUE"""),"")</f>
        <v/>
      </c>
      <c r="O1087" s="87" t="str">
        <f>IFERROR(__xludf.DUMMYFUNCTION("""COMPUTED_VALUE"""),"https://drive.google.com/drive/folders/10T2cTQHqEJZqE-st6uFKPoI?usp=share_link")</f>
        <v>https://drive.google.com/drive/folders/10T2cTQHqEJZqE-st6uFKPoI?usp=share_link</v>
      </c>
      <c r="P1087" s="6" t="str">
        <f>IFERROR(__xludf.DUMMYFUNCTION("""COMPUTED_VALUE"""),"Anastasiia Filatova")</f>
        <v>Anastasiia Filatova</v>
      </c>
      <c r="Q1087" s="6" t="str">
        <f>IFERROR(__xludf.DUMMYFUNCTION("""COMPUTED_VALUE"""),"MS")</f>
        <v>MS</v>
      </c>
      <c r="R1087" s="6">
        <f>IFERROR(__xludf.DUMMYFUNCTION("""COMPUTED_VALUE"""),0.0)</f>
        <v>0</v>
      </c>
      <c r="S1087" s="6" t="str">
        <f>IFERROR(__xludf.DUMMYFUNCTION("""COMPUTED_VALUE""")," ")</f>
        <v> </v>
      </c>
      <c r="T1087" s="6" t="str">
        <f>IFERROR(__xludf.DUMMYFUNCTION("""COMPUTED_VALUE"""),"")</f>
        <v/>
      </c>
      <c r="U1087" s="6" t="str">
        <f>IFERROR(__xludf.DUMMYFUNCTION("""COMPUTED_VALUE"""),"6")</f>
        <v>6</v>
      </c>
      <c r="V1087" s="6" t="str">
        <f>IFERROR(__xludf.DUMMYFUNCTION("""COMPUTED_VALUE"""),"English")</f>
        <v>English</v>
      </c>
      <c r="W1087" s="6" t="str">
        <f>IFERROR(__xludf.DUMMYFUNCTION("""COMPUTED_VALUE"""),"[]")</f>
        <v>[]</v>
      </c>
      <c r="X1087" s="6" t="str">
        <f>IFERROR(__xludf.DUMMYFUNCTION("""COMPUTED_VALUE"""),"Enrolled")</f>
        <v>Enrolled</v>
      </c>
    </row>
    <row r="1088">
      <c r="A1088" s="6" t="str">
        <f>IFERROR(__xludf.DUMMYFUNCTION("""COMPUTED_VALUE"""),"009-1307")</f>
        <v>009-1307</v>
      </c>
      <c r="B1088" s="6" t="str">
        <f>IFERROR(__xludf.DUMMYFUNCTION("""COMPUTED_VALUE"""),"9")</f>
        <v>9</v>
      </c>
      <c r="C1088" s="6" t="str">
        <f>IFERROR(__xludf.DUMMYFUNCTION("""COMPUTED_VALUE"""),"1307")</f>
        <v>1307</v>
      </c>
      <c r="D1088" s="6" t="str">
        <f>IFERROR(__xludf.DUMMYFUNCTION("""COMPUTED_VALUE"""),"Lev")</f>
        <v>Lev</v>
      </c>
      <c r="E1088" s="6" t="str">
        <f>IFERROR(__xludf.DUMMYFUNCTION("""COMPUTED_VALUE"""),"")</f>
        <v/>
      </c>
      <c r="F1088" s="6" t="str">
        <f>IFERROR(__xludf.DUMMYFUNCTION("""COMPUTED_VALUE"""),"Dryzhakov")</f>
        <v>Dryzhakov</v>
      </c>
      <c r="G1088" s="6" t="str">
        <f>IFERROR(__xludf.DUMMYFUNCTION("""COMPUTED_VALUE"""),"01/01/2015")</f>
        <v>01/01/2015</v>
      </c>
      <c r="H1088" s="6" t="str">
        <f>IFERROR(__xludf.DUMMYFUNCTION("""COMPUTED_VALUE"""),"Self Identify")</f>
        <v>Self Identify</v>
      </c>
      <c r="I1088" s="6" t="str">
        <f>IFERROR(__xludf.DUMMYFUNCTION("""COMPUTED_VALUE"""),"Level 2")</f>
        <v>Level 2</v>
      </c>
      <c r="J1088" s="6" t="str">
        <f>IFERROR(__xludf.DUMMYFUNCTION("""COMPUTED_VALUE"""),"4")</f>
        <v>4</v>
      </c>
      <c r="K1088" s="6" t="str">
        <f>IFERROR(__xludf.DUMMYFUNCTION("""COMPUTED_VALUE"""),"lev.dryzhakov@2hourlearning.com")</f>
        <v>lev.dryzhakov@2hourlearning.com</v>
      </c>
      <c r="L1088" s="6" t="str">
        <f>IFERROR(__xludf.DUMMYFUNCTION("""COMPUTED_VALUE"""),"Learn and Earn Poland")</f>
        <v>Learn and Earn Poland</v>
      </c>
      <c r="M1088" s="6" t="str">
        <f>IFERROR(__xludf.DUMMYFUNCTION("""COMPUTED_VALUE"""),"Poland ex-GTS")</f>
        <v>Poland ex-GTS</v>
      </c>
      <c r="N1088" s="6" t="str">
        <f>IFERROR(__xludf.DUMMYFUNCTION("""COMPUTED_VALUE"""),"")</f>
        <v/>
      </c>
      <c r="O1088" s="87" t="str">
        <f>IFERROR(__xludf.DUMMYFUNCTION("""COMPUTED_VALUE"""),"https://drive.google.com/drive/folders/10T2cTQHqEJZqE-st6uFKPoI?usp=share_link")</f>
        <v>https://drive.google.com/drive/folders/10T2cTQHqEJZqE-st6uFKPoI?usp=share_link</v>
      </c>
      <c r="P1088" s="6" t="str">
        <f>IFERROR(__xludf.DUMMYFUNCTION("""COMPUTED_VALUE"""),"Lev Dryzhakov")</f>
        <v>Lev Dryzhakov</v>
      </c>
      <c r="Q1088" s="6" t="str">
        <f>IFERROR(__xludf.DUMMYFUNCTION("""COMPUTED_VALUE"""),"L2")</f>
        <v>L2</v>
      </c>
      <c r="R1088" s="6">
        <f>IFERROR(__xludf.DUMMYFUNCTION("""COMPUTED_VALUE"""),2.0)</f>
        <v>2</v>
      </c>
      <c r="S1088" s="6" t="str">
        <f>IFERROR(__xludf.DUMMYFUNCTION("""COMPUTED_VALUE""")," ")</f>
        <v> </v>
      </c>
      <c r="T1088" s="6" t="str">
        <f>IFERROR(__xludf.DUMMYFUNCTION("""COMPUTED_VALUE"""),"")</f>
        <v/>
      </c>
      <c r="U1088" s="6" t="str">
        <f>IFERROR(__xludf.DUMMYFUNCTION("""COMPUTED_VALUE"""),"4")</f>
        <v>4</v>
      </c>
      <c r="V1088" s="6" t="str">
        <f>IFERROR(__xludf.DUMMYFUNCTION("""COMPUTED_VALUE"""),"English")</f>
        <v>English</v>
      </c>
      <c r="W1088" s="6" t="str">
        <f>IFERROR(__xludf.DUMMYFUNCTION("""COMPUTED_VALUE"""),"[]")</f>
        <v>[]</v>
      </c>
      <c r="X1088" s="6" t="str">
        <f>IFERROR(__xludf.DUMMYFUNCTION("""COMPUTED_VALUE"""),"Enrolled")</f>
        <v>Enrolled</v>
      </c>
    </row>
    <row r="1089">
      <c r="A1089" s="6" t="str">
        <f>IFERROR(__xludf.DUMMYFUNCTION("""COMPUTED_VALUE"""),"009-1308")</f>
        <v>009-1308</v>
      </c>
      <c r="B1089" s="6" t="str">
        <f>IFERROR(__xludf.DUMMYFUNCTION("""COMPUTED_VALUE"""),"9")</f>
        <v>9</v>
      </c>
      <c r="C1089" s="6" t="str">
        <f>IFERROR(__xludf.DUMMYFUNCTION("""COMPUTED_VALUE"""),"1308")</f>
        <v>1308</v>
      </c>
      <c r="D1089" s="6" t="str">
        <f>IFERROR(__xludf.DUMMYFUNCTION("""COMPUTED_VALUE"""),"Daryna")</f>
        <v>Daryna</v>
      </c>
      <c r="E1089" s="6" t="str">
        <f>IFERROR(__xludf.DUMMYFUNCTION("""COMPUTED_VALUE"""),"")</f>
        <v/>
      </c>
      <c r="F1089" s="6" t="str">
        <f>IFERROR(__xludf.DUMMYFUNCTION("""COMPUTED_VALUE"""),"Dolzhykova")</f>
        <v>Dolzhykova</v>
      </c>
      <c r="G1089" s="6" t="str">
        <f>IFERROR(__xludf.DUMMYFUNCTION("""COMPUTED_VALUE"""),"01/01/2016")</f>
        <v>01/01/2016</v>
      </c>
      <c r="H1089" s="6" t="str">
        <f>IFERROR(__xludf.DUMMYFUNCTION("""COMPUTED_VALUE"""),"Self Identify")</f>
        <v>Self Identify</v>
      </c>
      <c r="I1089" s="6" t="str">
        <f>IFERROR(__xludf.DUMMYFUNCTION("""COMPUTED_VALUE"""),"Level 1")</f>
        <v>Level 1</v>
      </c>
      <c r="J1089" s="6" t="str">
        <f>IFERROR(__xludf.DUMMYFUNCTION("""COMPUTED_VALUE"""),"3")</f>
        <v>3</v>
      </c>
      <c r="K1089" s="6" t="str">
        <f>IFERROR(__xludf.DUMMYFUNCTION("""COMPUTED_VALUE"""),"daryna.dolzhykova@2hourlearning.com")</f>
        <v>daryna.dolzhykova@2hourlearning.com</v>
      </c>
      <c r="L1089" s="6" t="str">
        <f>IFERROR(__xludf.DUMMYFUNCTION("""COMPUTED_VALUE"""),"Learn and Earn Poland")</f>
        <v>Learn and Earn Poland</v>
      </c>
      <c r="M1089" s="6" t="str">
        <f>IFERROR(__xludf.DUMMYFUNCTION("""COMPUTED_VALUE"""),"Poland ex-GTS")</f>
        <v>Poland ex-GTS</v>
      </c>
      <c r="N1089" s="6" t="str">
        <f>IFERROR(__xludf.DUMMYFUNCTION("""COMPUTED_VALUE"""),"")</f>
        <v/>
      </c>
      <c r="O1089" s="87" t="str">
        <f>IFERROR(__xludf.DUMMYFUNCTION("""COMPUTED_VALUE"""),"https://drive.google.com/drive/folders/10T2cTQHqEJZqE-st6uFKPoI?usp=share_link")</f>
        <v>https://drive.google.com/drive/folders/10T2cTQHqEJZqE-st6uFKPoI?usp=share_link</v>
      </c>
      <c r="P1089" s="6" t="str">
        <f>IFERROR(__xludf.DUMMYFUNCTION("""COMPUTED_VALUE"""),"Daryna Dolzhykova")</f>
        <v>Daryna Dolzhykova</v>
      </c>
      <c r="Q1089" s="6" t="str">
        <f>IFERROR(__xludf.DUMMYFUNCTION("""COMPUTED_VALUE"""),"L1")</f>
        <v>L1</v>
      </c>
      <c r="R1089" s="6">
        <f>IFERROR(__xludf.DUMMYFUNCTION("""COMPUTED_VALUE"""),1.0)</f>
        <v>1</v>
      </c>
      <c r="S1089" s="6" t="str">
        <f>IFERROR(__xludf.DUMMYFUNCTION("""COMPUTED_VALUE""")," ")</f>
        <v> </v>
      </c>
      <c r="T1089" s="6" t="str">
        <f>IFERROR(__xludf.DUMMYFUNCTION("""COMPUTED_VALUE"""),"")</f>
        <v/>
      </c>
      <c r="U1089" s="6" t="str">
        <f>IFERROR(__xludf.DUMMYFUNCTION("""COMPUTED_VALUE"""),"3")</f>
        <v>3</v>
      </c>
      <c r="V1089" s="6" t="str">
        <f>IFERROR(__xludf.DUMMYFUNCTION("""COMPUTED_VALUE"""),"English")</f>
        <v>English</v>
      </c>
      <c r="W1089" s="6" t="str">
        <f>IFERROR(__xludf.DUMMYFUNCTION("""COMPUTED_VALUE"""),"[]")</f>
        <v>[]</v>
      </c>
      <c r="X1089" s="6" t="str">
        <f>IFERROR(__xludf.DUMMYFUNCTION("""COMPUTED_VALUE"""),"Enrolled")</f>
        <v>Enrolled</v>
      </c>
    </row>
    <row r="1090">
      <c r="A1090" s="6" t="str">
        <f>IFERROR(__xludf.DUMMYFUNCTION("""COMPUTED_VALUE"""),"009-1309")</f>
        <v>009-1309</v>
      </c>
      <c r="B1090" s="6" t="str">
        <f>IFERROR(__xludf.DUMMYFUNCTION("""COMPUTED_VALUE"""),"9")</f>
        <v>9</v>
      </c>
      <c r="C1090" s="6" t="str">
        <f>IFERROR(__xludf.DUMMYFUNCTION("""COMPUTED_VALUE"""),"1309")</f>
        <v>1309</v>
      </c>
      <c r="D1090" s="6" t="str">
        <f>IFERROR(__xludf.DUMMYFUNCTION("""COMPUTED_VALUE"""),"Oleksandr")</f>
        <v>Oleksandr</v>
      </c>
      <c r="E1090" s="6" t="str">
        <f>IFERROR(__xludf.DUMMYFUNCTION("""COMPUTED_VALUE"""),"")</f>
        <v/>
      </c>
      <c r="F1090" s="6" t="str">
        <f>IFERROR(__xludf.DUMMYFUNCTION("""COMPUTED_VALUE"""),"Levytskyi")</f>
        <v>Levytskyi</v>
      </c>
      <c r="G1090" s="6" t="str">
        <f>IFERROR(__xludf.DUMMYFUNCTION("""COMPUTED_VALUE"""),"01/01/2010")</f>
        <v>01/01/2010</v>
      </c>
      <c r="H1090" s="6" t="str">
        <f>IFERROR(__xludf.DUMMYFUNCTION("""COMPUTED_VALUE"""),"Self Identify")</f>
        <v>Self Identify</v>
      </c>
      <c r="I1090" s="6" t="str">
        <f>IFERROR(__xludf.DUMMYFUNCTION("""COMPUTED_VALUE"""),"High School")</f>
        <v>High School</v>
      </c>
      <c r="J1090" s="6" t="str">
        <f>IFERROR(__xludf.DUMMYFUNCTION("""COMPUTED_VALUE"""),"9")</f>
        <v>9</v>
      </c>
      <c r="K1090" s="6" t="str">
        <f>IFERROR(__xludf.DUMMYFUNCTION("""COMPUTED_VALUE"""),"oleksandr.levytskyi@2hourlearning.com")</f>
        <v>oleksandr.levytskyi@2hourlearning.com</v>
      </c>
      <c r="L1090" s="6" t="str">
        <f>IFERROR(__xludf.DUMMYFUNCTION("""COMPUTED_VALUE"""),"Learn and Earn Poland")</f>
        <v>Learn and Earn Poland</v>
      </c>
      <c r="M1090" s="6" t="str">
        <f>IFERROR(__xludf.DUMMYFUNCTION("""COMPUTED_VALUE"""),"Poland ex-GTS")</f>
        <v>Poland ex-GTS</v>
      </c>
      <c r="N1090" s="6" t="str">
        <f>IFERROR(__xludf.DUMMYFUNCTION("""COMPUTED_VALUE"""),"")</f>
        <v/>
      </c>
      <c r="O1090" s="87" t="str">
        <f>IFERROR(__xludf.DUMMYFUNCTION("""COMPUTED_VALUE"""),"https://drive.google.com/drive/folders/10T2cTQHqEJZqE-st6uFKPoI?usp=share_link")</f>
        <v>https://drive.google.com/drive/folders/10T2cTQHqEJZqE-st6uFKPoI?usp=share_link</v>
      </c>
      <c r="P1090" s="6" t="str">
        <f>IFERROR(__xludf.DUMMYFUNCTION("""COMPUTED_VALUE"""),"Oleksandr Levytskyi")</f>
        <v>Oleksandr Levytskyi</v>
      </c>
      <c r="Q1090" s="6" t="str">
        <f>IFERROR(__xludf.DUMMYFUNCTION("""COMPUTED_VALUE"""),"HS")</f>
        <v>HS</v>
      </c>
      <c r="R1090" s="6">
        <f>IFERROR(__xludf.DUMMYFUNCTION("""COMPUTED_VALUE"""),0.0)</f>
        <v>0</v>
      </c>
      <c r="S1090" s="6" t="str">
        <f>IFERROR(__xludf.DUMMYFUNCTION("""COMPUTED_VALUE""")," ")</f>
        <v> </v>
      </c>
      <c r="T1090" s="6" t="str">
        <f>IFERROR(__xludf.DUMMYFUNCTION("""COMPUTED_VALUE"""),"")</f>
        <v/>
      </c>
      <c r="U1090" s="6" t="str">
        <f>IFERROR(__xludf.DUMMYFUNCTION("""COMPUTED_VALUE"""),"9")</f>
        <v>9</v>
      </c>
      <c r="V1090" s="6" t="str">
        <f>IFERROR(__xludf.DUMMYFUNCTION("""COMPUTED_VALUE"""),"English")</f>
        <v>English</v>
      </c>
      <c r="W1090" s="6" t="str">
        <f>IFERROR(__xludf.DUMMYFUNCTION("""COMPUTED_VALUE"""),"[]")</f>
        <v>[]</v>
      </c>
      <c r="X1090" s="6" t="str">
        <f>IFERROR(__xludf.DUMMYFUNCTION("""COMPUTED_VALUE"""),"Enrolled")</f>
        <v>Enrolled</v>
      </c>
    </row>
    <row r="1091">
      <c r="A1091" s="6" t="str">
        <f>IFERROR(__xludf.DUMMYFUNCTION("""COMPUTED_VALUE"""),"009-1310")</f>
        <v>009-1310</v>
      </c>
      <c r="B1091" s="6" t="str">
        <f>IFERROR(__xludf.DUMMYFUNCTION("""COMPUTED_VALUE"""),"9")</f>
        <v>9</v>
      </c>
      <c r="C1091" s="6" t="str">
        <f>IFERROR(__xludf.DUMMYFUNCTION("""COMPUTED_VALUE"""),"1310")</f>
        <v>1310</v>
      </c>
      <c r="D1091" s="6" t="str">
        <f>IFERROR(__xludf.DUMMYFUNCTION("""COMPUTED_VALUE"""),"Alim")</f>
        <v>Alim</v>
      </c>
      <c r="E1091" s="6" t="str">
        <f>IFERROR(__xludf.DUMMYFUNCTION("""COMPUTED_VALUE"""),"")</f>
        <v/>
      </c>
      <c r="F1091" s="6" t="str">
        <f>IFERROR(__xludf.DUMMYFUNCTION("""COMPUTED_VALUE"""),"Protsenko")</f>
        <v>Protsenko</v>
      </c>
      <c r="G1091" s="6" t="str">
        <f>IFERROR(__xludf.DUMMYFUNCTION("""COMPUTED_VALUE"""),"01/01/2012")</f>
        <v>01/01/2012</v>
      </c>
      <c r="H1091" s="6" t="str">
        <f>IFERROR(__xludf.DUMMYFUNCTION("""COMPUTED_VALUE"""),"Self Identify")</f>
        <v>Self Identify</v>
      </c>
      <c r="I1091" s="6" t="str">
        <f>IFERROR(__xludf.DUMMYFUNCTION("""COMPUTED_VALUE"""),"Middle School")</f>
        <v>Middle School</v>
      </c>
      <c r="J1091" s="6" t="str">
        <f>IFERROR(__xludf.DUMMYFUNCTION("""COMPUTED_VALUE"""),"7")</f>
        <v>7</v>
      </c>
      <c r="K1091" s="6" t="str">
        <f>IFERROR(__xludf.DUMMYFUNCTION("""COMPUTED_VALUE"""),"alim.protsenko@2hourlearning.com")</f>
        <v>alim.protsenko@2hourlearning.com</v>
      </c>
      <c r="L1091" s="6" t="str">
        <f>IFERROR(__xludf.DUMMYFUNCTION("""COMPUTED_VALUE"""),"Learn and Earn Poland")</f>
        <v>Learn and Earn Poland</v>
      </c>
      <c r="M1091" s="6" t="str">
        <f>IFERROR(__xludf.DUMMYFUNCTION("""COMPUTED_VALUE"""),"Poland ex-GTS")</f>
        <v>Poland ex-GTS</v>
      </c>
      <c r="N1091" s="6" t="str">
        <f>IFERROR(__xludf.DUMMYFUNCTION("""COMPUTED_VALUE"""),"")</f>
        <v/>
      </c>
      <c r="O1091" s="87" t="str">
        <f>IFERROR(__xludf.DUMMYFUNCTION("""COMPUTED_VALUE"""),"https://drive.google.com/drive/folders/10T2cTQHqEJZqE-st6uFKPoI?usp=share_link")</f>
        <v>https://drive.google.com/drive/folders/10T2cTQHqEJZqE-st6uFKPoI?usp=share_link</v>
      </c>
      <c r="P1091" s="6" t="str">
        <f>IFERROR(__xludf.DUMMYFUNCTION("""COMPUTED_VALUE"""),"Alim Protsenko")</f>
        <v>Alim Protsenko</v>
      </c>
      <c r="Q1091" s="6" t="str">
        <f>IFERROR(__xludf.DUMMYFUNCTION("""COMPUTED_VALUE"""),"MS")</f>
        <v>MS</v>
      </c>
      <c r="R1091" s="6">
        <f>IFERROR(__xludf.DUMMYFUNCTION("""COMPUTED_VALUE"""),0.0)</f>
        <v>0</v>
      </c>
      <c r="S1091" s="6" t="str">
        <f>IFERROR(__xludf.DUMMYFUNCTION("""COMPUTED_VALUE""")," ")</f>
        <v> </v>
      </c>
      <c r="T1091" s="6" t="str">
        <f>IFERROR(__xludf.DUMMYFUNCTION("""COMPUTED_VALUE"""),"")</f>
        <v/>
      </c>
      <c r="U1091" s="6" t="str">
        <f>IFERROR(__xludf.DUMMYFUNCTION("""COMPUTED_VALUE"""),"7")</f>
        <v>7</v>
      </c>
      <c r="V1091" s="6" t="str">
        <f>IFERROR(__xludf.DUMMYFUNCTION("""COMPUTED_VALUE"""),"English")</f>
        <v>English</v>
      </c>
      <c r="W1091" s="6" t="str">
        <f>IFERROR(__xludf.DUMMYFUNCTION("""COMPUTED_VALUE"""),"[]")</f>
        <v>[]</v>
      </c>
      <c r="X1091" s="6" t="str">
        <f>IFERROR(__xludf.DUMMYFUNCTION("""COMPUTED_VALUE"""),"Enrolled")</f>
        <v>Enrolled</v>
      </c>
    </row>
    <row r="1092">
      <c r="A1092" s="6" t="str">
        <f>IFERROR(__xludf.DUMMYFUNCTION("""COMPUTED_VALUE"""),"009-1311")</f>
        <v>009-1311</v>
      </c>
      <c r="B1092" s="6" t="str">
        <f>IFERROR(__xludf.DUMMYFUNCTION("""COMPUTED_VALUE"""),"9")</f>
        <v>9</v>
      </c>
      <c r="C1092" s="6" t="str">
        <f>IFERROR(__xludf.DUMMYFUNCTION("""COMPUTED_VALUE"""),"1311")</f>
        <v>1311</v>
      </c>
      <c r="D1092" s="6" t="str">
        <f>IFERROR(__xludf.DUMMYFUNCTION("""COMPUTED_VALUE"""),"Amalia")</f>
        <v>Amalia</v>
      </c>
      <c r="E1092" s="6" t="str">
        <f>IFERROR(__xludf.DUMMYFUNCTION("""COMPUTED_VALUE"""),"")</f>
        <v/>
      </c>
      <c r="F1092" s="6" t="str">
        <f>IFERROR(__xludf.DUMMYFUNCTION("""COMPUTED_VALUE"""),"Filatova")</f>
        <v>Filatova</v>
      </c>
      <c r="G1092" s="6" t="str">
        <f>IFERROR(__xludf.DUMMYFUNCTION("""COMPUTED_VALUE"""),"01/01/2011")</f>
        <v>01/01/2011</v>
      </c>
      <c r="H1092" s="6" t="str">
        <f>IFERROR(__xludf.DUMMYFUNCTION("""COMPUTED_VALUE"""),"Self Identify")</f>
        <v>Self Identify</v>
      </c>
      <c r="I1092" s="6" t="str">
        <f>IFERROR(__xludf.DUMMYFUNCTION("""COMPUTED_VALUE"""),"Middle School")</f>
        <v>Middle School</v>
      </c>
      <c r="J1092" s="6" t="str">
        <f>IFERROR(__xludf.DUMMYFUNCTION("""COMPUTED_VALUE"""),"8")</f>
        <v>8</v>
      </c>
      <c r="K1092" s="6" t="str">
        <f>IFERROR(__xludf.DUMMYFUNCTION("""COMPUTED_VALUE"""),"amalia.filatova@2hourlearning.com")</f>
        <v>amalia.filatova@2hourlearning.com</v>
      </c>
      <c r="L1092" s="6" t="str">
        <f>IFERROR(__xludf.DUMMYFUNCTION("""COMPUTED_VALUE"""),"Learn and Earn Poland")</f>
        <v>Learn and Earn Poland</v>
      </c>
      <c r="M1092" s="6" t="str">
        <f>IFERROR(__xludf.DUMMYFUNCTION("""COMPUTED_VALUE"""),"Poland ex-GTS")</f>
        <v>Poland ex-GTS</v>
      </c>
      <c r="N1092" s="6" t="str">
        <f>IFERROR(__xludf.DUMMYFUNCTION("""COMPUTED_VALUE"""),"")</f>
        <v/>
      </c>
      <c r="O1092" s="87" t="str">
        <f>IFERROR(__xludf.DUMMYFUNCTION("""COMPUTED_VALUE"""),"https://drive.google.com/drive/folders/10T2cTQHqEJZqE-st6uFKPoI?usp=share_link")</f>
        <v>https://drive.google.com/drive/folders/10T2cTQHqEJZqE-st6uFKPoI?usp=share_link</v>
      </c>
      <c r="P1092" s="6" t="str">
        <f>IFERROR(__xludf.DUMMYFUNCTION("""COMPUTED_VALUE"""),"Amalia Filatova")</f>
        <v>Amalia Filatova</v>
      </c>
      <c r="Q1092" s="6" t="str">
        <f>IFERROR(__xludf.DUMMYFUNCTION("""COMPUTED_VALUE"""),"MS")</f>
        <v>MS</v>
      </c>
      <c r="R1092" s="6">
        <f>IFERROR(__xludf.DUMMYFUNCTION("""COMPUTED_VALUE"""),0.0)</f>
        <v>0</v>
      </c>
      <c r="S1092" s="6" t="str">
        <f>IFERROR(__xludf.DUMMYFUNCTION("""COMPUTED_VALUE""")," ")</f>
        <v> </v>
      </c>
      <c r="T1092" s="6" t="str">
        <f>IFERROR(__xludf.DUMMYFUNCTION("""COMPUTED_VALUE"""),"")</f>
        <v/>
      </c>
      <c r="U1092" s="6" t="str">
        <f>IFERROR(__xludf.DUMMYFUNCTION("""COMPUTED_VALUE"""),"8")</f>
        <v>8</v>
      </c>
      <c r="V1092" s="6" t="str">
        <f>IFERROR(__xludf.DUMMYFUNCTION("""COMPUTED_VALUE"""),"English")</f>
        <v>English</v>
      </c>
      <c r="W1092" s="6" t="str">
        <f>IFERROR(__xludf.DUMMYFUNCTION("""COMPUTED_VALUE"""),"[]")</f>
        <v>[]</v>
      </c>
      <c r="X1092" s="6" t="str">
        <f>IFERROR(__xludf.DUMMYFUNCTION("""COMPUTED_VALUE"""),"Enrolled")</f>
        <v>Enrolled</v>
      </c>
    </row>
    <row r="1093">
      <c r="A1093" s="6" t="str">
        <f>IFERROR(__xludf.DUMMYFUNCTION("""COMPUTED_VALUE"""),"009-1312")</f>
        <v>009-1312</v>
      </c>
      <c r="B1093" s="6" t="str">
        <f>IFERROR(__xludf.DUMMYFUNCTION("""COMPUTED_VALUE"""),"9")</f>
        <v>9</v>
      </c>
      <c r="C1093" s="6" t="str">
        <f>IFERROR(__xludf.DUMMYFUNCTION("""COMPUTED_VALUE"""),"1312")</f>
        <v>1312</v>
      </c>
      <c r="D1093" s="6" t="str">
        <f>IFERROR(__xludf.DUMMYFUNCTION("""COMPUTED_VALUE"""),"Olha")</f>
        <v>Olha</v>
      </c>
      <c r="E1093" s="6" t="str">
        <f>IFERROR(__xludf.DUMMYFUNCTION("""COMPUTED_VALUE"""),"")</f>
        <v/>
      </c>
      <c r="F1093" s="6" t="str">
        <f>IFERROR(__xludf.DUMMYFUNCTION("""COMPUTED_VALUE"""),"Vynohradova")</f>
        <v>Vynohradova</v>
      </c>
      <c r="G1093" s="6" t="str">
        <f>IFERROR(__xludf.DUMMYFUNCTION("""COMPUTED_VALUE"""),"01/01/2008")</f>
        <v>01/01/2008</v>
      </c>
      <c r="H1093" s="6" t="str">
        <f>IFERROR(__xludf.DUMMYFUNCTION("""COMPUTED_VALUE"""),"Self Identify")</f>
        <v>Self Identify</v>
      </c>
      <c r="I1093" s="6" t="str">
        <f>IFERROR(__xludf.DUMMYFUNCTION("""COMPUTED_VALUE"""),"High School")</f>
        <v>High School</v>
      </c>
      <c r="J1093" s="6" t="str">
        <f>IFERROR(__xludf.DUMMYFUNCTION("""COMPUTED_VALUE"""),"11")</f>
        <v>11</v>
      </c>
      <c r="K1093" s="6" t="str">
        <f>IFERROR(__xludf.DUMMYFUNCTION("""COMPUTED_VALUE"""),"olha.vynohradova@2hourlearning.com")</f>
        <v>olha.vynohradova@2hourlearning.com</v>
      </c>
      <c r="L1093" s="6" t="str">
        <f>IFERROR(__xludf.DUMMYFUNCTION("""COMPUTED_VALUE"""),"Learn and Earn Poland")</f>
        <v>Learn and Earn Poland</v>
      </c>
      <c r="M1093" s="6" t="str">
        <f>IFERROR(__xludf.DUMMYFUNCTION("""COMPUTED_VALUE"""),"Poland ex-GTS")</f>
        <v>Poland ex-GTS</v>
      </c>
      <c r="N1093" s="6" t="str">
        <f>IFERROR(__xludf.DUMMYFUNCTION("""COMPUTED_VALUE"""),"")</f>
        <v/>
      </c>
      <c r="O1093" s="87" t="str">
        <f>IFERROR(__xludf.DUMMYFUNCTION("""COMPUTED_VALUE"""),"https://drive.google.com/drive/folders/10T2cTQHqEJZqE-st6uFKPoI?usp=share_link")</f>
        <v>https://drive.google.com/drive/folders/10T2cTQHqEJZqE-st6uFKPoI?usp=share_link</v>
      </c>
      <c r="P1093" s="6" t="str">
        <f>IFERROR(__xludf.DUMMYFUNCTION("""COMPUTED_VALUE"""),"Olha Vynohradova")</f>
        <v>Olha Vynohradova</v>
      </c>
      <c r="Q1093" s="6" t="str">
        <f>IFERROR(__xludf.DUMMYFUNCTION("""COMPUTED_VALUE"""),"HS")</f>
        <v>HS</v>
      </c>
      <c r="R1093" s="6">
        <f>IFERROR(__xludf.DUMMYFUNCTION("""COMPUTED_VALUE"""),0.0)</f>
        <v>0</v>
      </c>
      <c r="S1093" s="6" t="str">
        <f>IFERROR(__xludf.DUMMYFUNCTION("""COMPUTED_VALUE""")," ")</f>
        <v> </v>
      </c>
      <c r="T1093" s="6" t="str">
        <f>IFERROR(__xludf.DUMMYFUNCTION("""COMPUTED_VALUE"""),"")</f>
        <v/>
      </c>
      <c r="U1093" s="6" t="str">
        <f>IFERROR(__xludf.DUMMYFUNCTION("""COMPUTED_VALUE"""),"11")</f>
        <v>11</v>
      </c>
      <c r="V1093" s="6" t="str">
        <f>IFERROR(__xludf.DUMMYFUNCTION("""COMPUTED_VALUE"""),"English")</f>
        <v>English</v>
      </c>
      <c r="W1093" s="6" t="str">
        <f>IFERROR(__xludf.DUMMYFUNCTION("""COMPUTED_VALUE"""),"[]")</f>
        <v>[]</v>
      </c>
      <c r="X1093" s="6" t="str">
        <f>IFERROR(__xludf.DUMMYFUNCTION("""COMPUTED_VALUE"""),"Enrolled")</f>
        <v>Enrolled</v>
      </c>
    </row>
    <row r="1094">
      <c r="A1094" s="6" t="str">
        <f>IFERROR(__xludf.DUMMYFUNCTION("""COMPUTED_VALUE"""),"009-1313")</f>
        <v>009-1313</v>
      </c>
      <c r="B1094" s="6" t="str">
        <f>IFERROR(__xludf.DUMMYFUNCTION("""COMPUTED_VALUE"""),"9")</f>
        <v>9</v>
      </c>
      <c r="C1094" s="6" t="str">
        <f>IFERROR(__xludf.DUMMYFUNCTION("""COMPUTED_VALUE"""),"1313")</f>
        <v>1313</v>
      </c>
      <c r="D1094" s="6" t="str">
        <f>IFERROR(__xludf.DUMMYFUNCTION("""COMPUTED_VALUE"""),"Sofia")</f>
        <v>Sofia</v>
      </c>
      <c r="E1094" s="6" t="str">
        <f>IFERROR(__xludf.DUMMYFUNCTION("""COMPUTED_VALUE"""),"")</f>
        <v/>
      </c>
      <c r="F1094" s="6" t="str">
        <f>IFERROR(__xludf.DUMMYFUNCTION("""COMPUTED_VALUE"""),"Zhuk")</f>
        <v>Zhuk</v>
      </c>
      <c r="G1094" s="6" t="str">
        <f>IFERROR(__xludf.DUMMYFUNCTION("""COMPUTED_VALUE"""),"01/01/2014")</f>
        <v>01/01/2014</v>
      </c>
      <c r="H1094" s="6" t="str">
        <f>IFERROR(__xludf.DUMMYFUNCTION("""COMPUTED_VALUE"""),"Self Identify")</f>
        <v>Self Identify</v>
      </c>
      <c r="I1094" s="6" t="str">
        <f>IFERROR(__xludf.DUMMYFUNCTION("""COMPUTED_VALUE"""),"Level 2")</f>
        <v>Level 2</v>
      </c>
      <c r="J1094" s="6" t="str">
        <f>IFERROR(__xludf.DUMMYFUNCTION("""COMPUTED_VALUE"""),"5")</f>
        <v>5</v>
      </c>
      <c r="K1094" s="6" t="str">
        <f>IFERROR(__xludf.DUMMYFUNCTION("""COMPUTED_VALUE"""),"sofia.zhuk@2hourlearning.com")</f>
        <v>sofia.zhuk@2hourlearning.com</v>
      </c>
      <c r="L1094" s="6" t="str">
        <f>IFERROR(__xludf.DUMMYFUNCTION("""COMPUTED_VALUE"""),"Learn and Earn Poland")</f>
        <v>Learn and Earn Poland</v>
      </c>
      <c r="M1094" s="6" t="str">
        <f>IFERROR(__xludf.DUMMYFUNCTION("""COMPUTED_VALUE"""),"Poland ex-GTS")</f>
        <v>Poland ex-GTS</v>
      </c>
      <c r="N1094" s="6" t="str">
        <f>IFERROR(__xludf.DUMMYFUNCTION("""COMPUTED_VALUE"""),"")</f>
        <v/>
      </c>
      <c r="O1094" s="87" t="str">
        <f>IFERROR(__xludf.DUMMYFUNCTION("""COMPUTED_VALUE"""),"https://drive.google.com/drive/folders/10T2cTQHqEJZqE-st6uFKPoI?usp=share_link")</f>
        <v>https://drive.google.com/drive/folders/10T2cTQHqEJZqE-st6uFKPoI?usp=share_link</v>
      </c>
      <c r="P1094" s="6" t="str">
        <f>IFERROR(__xludf.DUMMYFUNCTION("""COMPUTED_VALUE"""),"Sofia Zhuk")</f>
        <v>Sofia Zhuk</v>
      </c>
      <c r="Q1094" s="6" t="str">
        <f>IFERROR(__xludf.DUMMYFUNCTION("""COMPUTED_VALUE"""),"L2")</f>
        <v>L2</v>
      </c>
      <c r="R1094" s="6">
        <f>IFERROR(__xludf.DUMMYFUNCTION("""COMPUTED_VALUE"""),2.0)</f>
        <v>2</v>
      </c>
      <c r="S1094" s="6" t="str">
        <f>IFERROR(__xludf.DUMMYFUNCTION("""COMPUTED_VALUE""")," ")</f>
        <v> </v>
      </c>
      <c r="T1094" s="6" t="str">
        <f>IFERROR(__xludf.DUMMYFUNCTION("""COMPUTED_VALUE"""),"")</f>
        <v/>
      </c>
      <c r="U1094" s="6" t="str">
        <f>IFERROR(__xludf.DUMMYFUNCTION("""COMPUTED_VALUE"""),"5")</f>
        <v>5</v>
      </c>
      <c r="V1094" s="6" t="str">
        <f>IFERROR(__xludf.DUMMYFUNCTION("""COMPUTED_VALUE"""),"English")</f>
        <v>English</v>
      </c>
      <c r="W1094" s="6" t="str">
        <f>IFERROR(__xludf.DUMMYFUNCTION("""COMPUTED_VALUE"""),"[]")</f>
        <v>[]</v>
      </c>
      <c r="X1094" s="6" t="str">
        <f>IFERROR(__xludf.DUMMYFUNCTION("""COMPUTED_VALUE"""),"Enrolled")</f>
        <v>Enrolled</v>
      </c>
    </row>
    <row r="1095">
      <c r="A1095" s="6" t="str">
        <f>IFERROR(__xludf.DUMMYFUNCTION("""COMPUTED_VALUE"""),"009-1314")</f>
        <v>009-1314</v>
      </c>
      <c r="B1095" s="6" t="str">
        <f>IFERROR(__xludf.DUMMYFUNCTION("""COMPUTED_VALUE"""),"9")</f>
        <v>9</v>
      </c>
      <c r="C1095" s="6" t="str">
        <f>IFERROR(__xludf.DUMMYFUNCTION("""COMPUTED_VALUE"""),"1314")</f>
        <v>1314</v>
      </c>
      <c r="D1095" s="6" t="str">
        <f>IFERROR(__xludf.DUMMYFUNCTION("""COMPUTED_VALUE"""),"Anhelina")</f>
        <v>Anhelina</v>
      </c>
      <c r="E1095" s="6" t="str">
        <f>IFERROR(__xludf.DUMMYFUNCTION("""COMPUTED_VALUE"""),"")</f>
        <v/>
      </c>
      <c r="F1095" s="6" t="str">
        <f>IFERROR(__xludf.DUMMYFUNCTION("""COMPUTED_VALUE"""),"Chernetska")</f>
        <v>Chernetska</v>
      </c>
      <c r="G1095" s="6" t="str">
        <f>IFERROR(__xludf.DUMMYFUNCTION("""COMPUTED_VALUE"""),"01/01/2009")</f>
        <v>01/01/2009</v>
      </c>
      <c r="H1095" s="6" t="str">
        <f>IFERROR(__xludf.DUMMYFUNCTION("""COMPUTED_VALUE"""),"Self Identify")</f>
        <v>Self Identify</v>
      </c>
      <c r="I1095" s="6" t="str">
        <f>IFERROR(__xludf.DUMMYFUNCTION("""COMPUTED_VALUE"""),"High School")</f>
        <v>High School</v>
      </c>
      <c r="J1095" s="6" t="str">
        <f>IFERROR(__xludf.DUMMYFUNCTION("""COMPUTED_VALUE"""),"10")</f>
        <v>10</v>
      </c>
      <c r="K1095" s="6" t="str">
        <f>IFERROR(__xludf.DUMMYFUNCTION("""COMPUTED_VALUE"""),"anhelina.chernetska@2hourlearning.com")</f>
        <v>anhelina.chernetska@2hourlearning.com</v>
      </c>
      <c r="L1095" s="6" t="str">
        <f>IFERROR(__xludf.DUMMYFUNCTION("""COMPUTED_VALUE"""),"Learn and Earn Poland")</f>
        <v>Learn and Earn Poland</v>
      </c>
      <c r="M1095" s="6" t="str">
        <f>IFERROR(__xludf.DUMMYFUNCTION("""COMPUTED_VALUE"""),"Poland ex-GTS")</f>
        <v>Poland ex-GTS</v>
      </c>
      <c r="N1095" s="6" t="str">
        <f>IFERROR(__xludf.DUMMYFUNCTION("""COMPUTED_VALUE"""),"")</f>
        <v/>
      </c>
      <c r="O1095" s="87" t="str">
        <f>IFERROR(__xludf.DUMMYFUNCTION("""COMPUTED_VALUE"""),"https://drive.google.com/drive/folders/10T2cTQHqEJZqE-st6uFKPoI?usp=share_link")</f>
        <v>https://drive.google.com/drive/folders/10T2cTQHqEJZqE-st6uFKPoI?usp=share_link</v>
      </c>
      <c r="P1095" s="6" t="str">
        <f>IFERROR(__xludf.DUMMYFUNCTION("""COMPUTED_VALUE"""),"Anhelina Chernetska")</f>
        <v>Anhelina Chernetska</v>
      </c>
      <c r="Q1095" s="6" t="str">
        <f>IFERROR(__xludf.DUMMYFUNCTION("""COMPUTED_VALUE"""),"HS")</f>
        <v>HS</v>
      </c>
      <c r="R1095" s="6">
        <f>IFERROR(__xludf.DUMMYFUNCTION("""COMPUTED_VALUE"""),0.0)</f>
        <v>0</v>
      </c>
      <c r="S1095" s="6" t="str">
        <f>IFERROR(__xludf.DUMMYFUNCTION("""COMPUTED_VALUE""")," ")</f>
        <v> </v>
      </c>
      <c r="T1095" s="6" t="str">
        <f>IFERROR(__xludf.DUMMYFUNCTION("""COMPUTED_VALUE"""),"")</f>
        <v/>
      </c>
      <c r="U1095" s="6" t="str">
        <f>IFERROR(__xludf.DUMMYFUNCTION("""COMPUTED_VALUE"""),"10")</f>
        <v>10</v>
      </c>
      <c r="V1095" s="6" t="str">
        <f>IFERROR(__xludf.DUMMYFUNCTION("""COMPUTED_VALUE"""),"English")</f>
        <v>English</v>
      </c>
      <c r="W1095" s="6" t="str">
        <f>IFERROR(__xludf.DUMMYFUNCTION("""COMPUTED_VALUE"""),"[]")</f>
        <v>[]</v>
      </c>
      <c r="X1095" s="6" t="str">
        <f>IFERROR(__xludf.DUMMYFUNCTION("""COMPUTED_VALUE"""),"Enrolled")</f>
        <v>Enrolled</v>
      </c>
    </row>
    <row r="1096">
      <c r="A1096" s="6" t="str">
        <f>IFERROR(__xludf.DUMMYFUNCTION("""COMPUTED_VALUE"""),"009-1315")</f>
        <v>009-1315</v>
      </c>
      <c r="B1096" s="6" t="str">
        <f>IFERROR(__xludf.DUMMYFUNCTION("""COMPUTED_VALUE"""),"9")</f>
        <v>9</v>
      </c>
      <c r="C1096" s="6" t="str">
        <f>IFERROR(__xludf.DUMMYFUNCTION("""COMPUTED_VALUE"""),"1315")</f>
        <v>1315</v>
      </c>
      <c r="D1096" s="6" t="str">
        <f>IFERROR(__xludf.DUMMYFUNCTION("""COMPUTED_VALUE"""),"Arsen")</f>
        <v>Arsen</v>
      </c>
      <c r="E1096" s="6" t="str">
        <f>IFERROR(__xludf.DUMMYFUNCTION("""COMPUTED_VALUE"""),"")</f>
        <v/>
      </c>
      <c r="F1096" s="6" t="str">
        <f>IFERROR(__xludf.DUMMYFUNCTION("""COMPUTED_VALUE"""),"Forostiak")</f>
        <v>Forostiak</v>
      </c>
      <c r="G1096" s="6" t="str">
        <f>IFERROR(__xludf.DUMMYFUNCTION("""COMPUTED_VALUE"""),"01/01/2018")</f>
        <v>01/01/2018</v>
      </c>
      <c r="H1096" s="6" t="str">
        <f>IFERROR(__xludf.DUMMYFUNCTION("""COMPUTED_VALUE"""),"Self Identify")</f>
        <v>Self Identify</v>
      </c>
      <c r="I1096" s="6" t="str">
        <f>IFERROR(__xludf.DUMMYFUNCTION("""COMPUTED_VALUE"""),"Learning Lab")</f>
        <v>Learning Lab</v>
      </c>
      <c r="J1096" s="6" t="str">
        <f>IFERROR(__xludf.DUMMYFUNCTION("""COMPUTED_VALUE"""),"1")</f>
        <v>1</v>
      </c>
      <c r="K1096" s="6" t="str">
        <f>IFERROR(__xludf.DUMMYFUNCTION("""COMPUTED_VALUE"""),"arsen.forostiak@2hourlearning.com")</f>
        <v>arsen.forostiak@2hourlearning.com</v>
      </c>
      <c r="L1096" s="6" t="str">
        <f>IFERROR(__xludf.DUMMYFUNCTION("""COMPUTED_VALUE"""),"Learn and Earn Poland")</f>
        <v>Learn and Earn Poland</v>
      </c>
      <c r="M1096" s="6" t="str">
        <f>IFERROR(__xludf.DUMMYFUNCTION("""COMPUTED_VALUE"""),"Poland ex-GTS")</f>
        <v>Poland ex-GTS</v>
      </c>
      <c r="N1096" s="6" t="str">
        <f>IFERROR(__xludf.DUMMYFUNCTION("""COMPUTED_VALUE"""),"")</f>
        <v/>
      </c>
      <c r="O1096" s="87" t="str">
        <f>IFERROR(__xludf.DUMMYFUNCTION("""COMPUTED_VALUE"""),"https://drive.google.com/drive/folders/10T2cTQHqEJZqE-st6uFKPoI?usp=share_link")</f>
        <v>https://drive.google.com/drive/folders/10T2cTQHqEJZqE-st6uFKPoI?usp=share_link</v>
      </c>
      <c r="P1096" s="6" t="str">
        <f>IFERROR(__xludf.DUMMYFUNCTION("""COMPUTED_VALUE"""),"Arsen Forostiak")</f>
        <v>Arsen Forostiak</v>
      </c>
      <c r="Q1096" s="6" t="str">
        <f>IFERROR(__xludf.DUMMYFUNCTION("""COMPUTED_VALUE"""),"LL")</f>
        <v>LL</v>
      </c>
      <c r="R1096" s="6">
        <f>IFERROR(__xludf.DUMMYFUNCTION("""COMPUTED_VALUE"""),0.0)</f>
        <v>0</v>
      </c>
      <c r="S1096" s="6" t="str">
        <f>IFERROR(__xludf.DUMMYFUNCTION("""COMPUTED_VALUE""")," ")</f>
        <v> </v>
      </c>
      <c r="T1096" s="6" t="str">
        <f>IFERROR(__xludf.DUMMYFUNCTION("""COMPUTED_VALUE"""),"")</f>
        <v/>
      </c>
      <c r="U1096" s="6" t="str">
        <f>IFERROR(__xludf.DUMMYFUNCTION("""COMPUTED_VALUE"""),"1")</f>
        <v>1</v>
      </c>
      <c r="V1096" s="6" t="str">
        <f>IFERROR(__xludf.DUMMYFUNCTION("""COMPUTED_VALUE"""),"English")</f>
        <v>English</v>
      </c>
      <c r="W1096" s="6" t="str">
        <f>IFERROR(__xludf.DUMMYFUNCTION("""COMPUTED_VALUE"""),"[]")</f>
        <v>[]</v>
      </c>
      <c r="X1096" s="6" t="str">
        <f>IFERROR(__xludf.DUMMYFUNCTION("""COMPUTED_VALUE"""),"Enrolled")</f>
        <v>Enrolled</v>
      </c>
    </row>
    <row r="1097">
      <c r="A1097" s="6" t="str">
        <f>IFERROR(__xludf.DUMMYFUNCTION("""COMPUTED_VALUE"""),"009-1316")</f>
        <v>009-1316</v>
      </c>
      <c r="B1097" s="6" t="str">
        <f>IFERROR(__xludf.DUMMYFUNCTION("""COMPUTED_VALUE"""),"9")</f>
        <v>9</v>
      </c>
      <c r="C1097" s="6" t="str">
        <f>IFERROR(__xludf.DUMMYFUNCTION("""COMPUTED_VALUE"""),"1316")</f>
        <v>1316</v>
      </c>
      <c r="D1097" s="6" t="str">
        <f>IFERROR(__xludf.DUMMYFUNCTION("""COMPUTED_VALUE"""),"Anna")</f>
        <v>Anna</v>
      </c>
      <c r="E1097" s="6" t="str">
        <f>IFERROR(__xludf.DUMMYFUNCTION("""COMPUTED_VALUE"""),"")</f>
        <v/>
      </c>
      <c r="F1097" s="6" t="str">
        <f>IFERROR(__xludf.DUMMYFUNCTION("""COMPUTED_VALUE"""),"Lemeza")</f>
        <v>Lemeza</v>
      </c>
      <c r="G1097" s="6" t="str">
        <f>IFERROR(__xludf.DUMMYFUNCTION("""COMPUTED_VALUE"""),"01/01/2015")</f>
        <v>01/01/2015</v>
      </c>
      <c r="H1097" s="6" t="str">
        <f>IFERROR(__xludf.DUMMYFUNCTION("""COMPUTED_VALUE"""),"Self Identify")</f>
        <v>Self Identify</v>
      </c>
      <c r="I1097" s="6" t="str">
        <f>IFERROR(__xludf.DUMMYFUNCTION("""COMPUTED_VALUE"""),"Level 2")</f>
        <v>Level 2</v>
      </c>
      <c r="J1097" s="6" t="str">
        <f>IFERROR(__xludf.DUMMYFUNCTION("""COMPUTED_VALUE"""),"4")</f>
        <v>4</v>
      </c>
      <c r="K1097" s="6" t="str">
        <f>IFERROR(__xludf.DUMMYFUNCTION("""COMPUTED_VALUE"""),"anna.lemeza@2hourlearning.com")</f>
        <v>anna.lemeza@2hourlearning.com</v>
      </c>
      <c r="L1097" s="6" t="str">
        <f>IFERROR(__xludf.DUMMYFUNCTION("""COMPUTED_VALUE"""),"Learn and Earn Poland")</f>
        <v>Learn and Earn Poland</v>
      </c>
      <c r="M1097" s="6" t="str">
        <f>IFERROR(__xludf.DUMMYFUNCTION("""COMPUTED_VALUE"""),"Poland ex-GTS")</f>
        <v>Poland ex-GTS</v>
      </c>
      <c r="N1097" s="6" t="str">
        <f>IFERROR(__xludf.DUMMYFUNCTION("""COMPUTED_VALUE"""),"")</f>
        <v/>
      </c>
      <c r="O1097" s="87" t="str">
        <f>IFERROR(__xludf.DUMMYFUNCTION("""COMPUTED_VALUE"""),"https://drive.google.com/drive/folders/10T2cTQHqEJZqE-st6uFKPoI?usp=share_link")</f>
        <v>https://drive.google.com/drive/folders/10T2cTQHqEJZqE-st6uFKPoI?usp=share_link</v>
      </c>
      <c r="P1097" s="6" t="str">
        <f>IFERROR(__xludf.DUMMYFUNCTION("""COMPUTED_VALUE"""),"Anna Lemeza")</f>
        <v>Anna Lemeza</v>
      </c>
      <c r="Q1097" s="6" t="str">
        <f>IFERROR(__xludf.DUMMYFUNCTION("""COMPUTED_VALUE"""),"L2")</f>
        <v>L2</v>
      </c>
      <c r="R1097" s="6">
        <f>IFERROR(__xludf.DUMMYFUNCTION("""COMPUTED_VALUE"""),2.0)</f>
        <v>2</v>
      </c>
      <c r="S1097" s="6" t="str">
        <f>IFERROR(__xludf.DUMMYFUNCTION("""COMPUTED_VALUE""")," ")</f>
        <v> </v>
      </c>
      <c r="T1097" s="6" t="str">
        <f>IFERROR(__xludf.DUMMYFUNCTION("""COMPUTED_VALUE"""),"")</f>
        <v/>
      </c>
      <c r="U1097" s="6" t="str">
        <f>IFERROR(__xludf.DUMMYFUNCTION("""COMPUTED_VALUE"""),"4")</f>
        <v>4</v>
      </c>
      <c r="V1097" s="6" t="str">
        <f>IFERROR(__xludf.DUMMYFUNCTION("""COMPUTED_VALUE"""),"English")</f>
        <v>English</v>
      </c>
      <c r="W1097" s="6" t="str">
        <f>IFERROR(__xludf.DUMMYFUNCTION("""COMPUTED_VALUE"""),"[]")</f>
        <v>[]</v>
      </c>
      <c r="X1097" s="6" t="str">
        <f>IFERROR(__xludf.DUMMYFUNCTION("""COMPUTED_VALUE"""),"Enrolled")</f>
        <v>Enrolled</v>
      </c>
    </row>
    <row r="1098">
      <c r="A1098" s="6" t="str">
        <f>IFERROR(__xludf.DUMMYFUNCTION("""COMPUTED_VALUE"""),"009-1317")</f>
        <v>009-1317</v>
      </c>
      <c r="B1098" s="6" t="str">
        <f>IFERROR(__xludf.DUMMYFUNCTION("""COMPUTED_VALUE"""),"9")</f>
        <v>9</v>
      </c>
      <c r="C1098" s="6" t="str">
        <f>IFERROR(__xludf.DUMMYFUNCTION("""COMPUTED_VALUE"""),"1317")</f>
        <v>1317</v>
      </c>
      <c r="D1098" s="6" t="str">
        <f>IFERROR(__xludf.DUMMYFUNCTION("""COMPUTED_VALUE"""),"Yaroslav")</f>
        <v>Yaroslav</v>
      </c>
      <c r="E1098" s="6" t="str">
        <f>IFERROR(__xludf.DUMMYFUNCTION("""COMPUTED_VALUE"""),"")</f>
        <v/>
      </c>
      <c r="F1098" s="6" t="str">
        <f>IFERROR(__xludf.DUMMYFUNCTION("""COMPUTED_VALUE"""),"Chernenko")</f>
        <v>Chernenko</v>
      </c>
      <c r="G1098" s="6" t="str">
        <f>IFERROR(__xludf.DUMMYFUNCTION("""COMPUTED_VALUE"""),"01/01/2016")</f>
        <v>01/01/2016</v>
      </c>
      <c r="H1098" s="6" t="str">
        <f>IFERROR(__xludf.DUMMYFUNCTION("""COMPUTED_VALUE"""),"Self Identify")</f>
        <v>Self Identify</v>
      </c>
      <c r="I1098" s="6" t="str">
        <f>IFERROR(__xludf.DUMMYFUNCTION("""COMPUTED_VALUE"""),"Level 1")</f>
        <v>Level 1</v>
      </c>
      <c r="J1098" s="6" t="str">
        <f>IFERROR(__xludf.DUMMYFUNCTION("""COMPUTED_VALUE"""),"3")</f>
        <v>3</v>
      </c>
      <c r="K1098" s="6" t="str">
        <f>IFERROR(__xludf.DUMMYFUNCTION("""COMPUTED_VALUE"""),"yaroslav.chernenko@2hourlearning.com")</f>
        <v>yaroslav.chernenko@2hourlearning.com</v>
      </c>
      <c r="L1098" s="6" t="str">
        <f>IFERROR(__xludf.DUMMYFUNCTION("""COMPUTED_VALUE"""),"Learn and Earn Poland")</f>
        <v>Learn and Earn Poland</v>
      </c>
      <c r="M1098" s="6" t="str">
        <f>IFERROR(__xludf.DUMMYFUNCTION("""COMPUTED_VALUE"""),"Poland ex-GTS")</f>
        <v>Poland ex-GTS</v>
      </c>
      <c r="N1098" s="6" t="str">
        <f>IFERROR(__xludf.DUMMYFUNCTION("""COMPUTED_VALUE"""),"")</f>
        <v/>
      </c>
      <c r="O1098" s="87" t="str">
        <f>IFERROR(__xludf.DUMMYFUNCTION("""COMPUTED_VALUE"""),"https://drive.google.com/drive/folders/10T2cTQHqEJZqE-st6uFKPoI?usp=share_link")</f>
        <v>https://drive.google.com/drive/folders/10T2cTQHqEJZqE-st6uFKPoI?usp=share_link</v>
      </c>
      <c r="P1098" s="6" t="str">
        <f>IFERROR(__xludf.DUMMYFUNCTION("""COMPUTED_VALUE"""),"Yaroslav Chernenko")</f>
        <v>Yaroslav Chernenko</v>
      </c>
      <c r="Q1098" s="6" t="str">
        <f>IFERROR(__xludf.DUMMYFUNCTION("""COMPUTED_VALUE"""),"L1")</f>
        <v>L1</v>
      </c>
      <c r="R1098" s="6">
        <f>IFERROR(__xludf.DUMMYFUNCTION("""COMPUTED_VALUE"""),1.0)</f>
        <v>1</v>
      </c>
      <c r="S1098" s="6" t="str">
        <f>IFERROR(__xludf.DUMMYFUNCTION("""COMPUTED_VALUE""")," ")</f>
        <v> </v>
      </c>
      <c r="T1098" s="6" t="str">
        <f>IFERROR(__xludf.DUMMYFUNCTION("""COMPUTED_VALUE"""),"")</f>
        <v/>
      </c>
      <c r="U1098" s="6" t="str">
        <f>IFERROR(__xludf.DUMMYFUNCTION("""COMPUTED_VALUE"""),"3")</f>
        <v>3</v>
      </c>
      <c r="V1098" s="6" t="str">
        <f>IFERROR(__xludf.DUMMYFUNCTION("""COMPUTED_VALUE"""),"English")</f>
        <v>English</v>
      </c>
      <c r="W1098" s="6" t="str">
        <f>IFERROR(__xludf.DUMMYFUNCTION("""COMPUTED_VALUE"""),"[]")</f>
        <v>[]</v>
      </c>
      <c r="X1098" s="6" t="str">
        <f>IFERROR(__xludf.DUMMYFUNCTION("""COMPUTED_VALUE"""),"Enrolled")</f>
        <v>Enrolled</v>
      </c>
    </row>
    <row r="1099">
      <c r="A1099" s="6" t="str">
        <f>IFERROR(__xludf.DUMMYFUNCTION("""COMPUTED_VALUE"""),"009-1318")</f>
        <v>009-1318</v>
      </c>
      <c r="B1099" s="6" t="str">
        <f>IFERROR(__xludf.DUMMYFUNCTION("""COMPUTED_VALUE"""),"9")</f>
        <v>9</v>
      </c>
      <c r="C1099" s="6" t="str">
        <f>IFERROR(__xludf.DUMMYFUNCTION("""COMPUTED_VALUE"""),"1318")</f>
        <v>1318</v>
      </c>
      <c r="D1099" s="6" t="str">
        <f>IFERROR(__xludf.DUMMYFUNCTION("""COMPUTED_VALUE"""),"Arina")</f>
        <v>Arina</v>
      </c>
      <c r="E1099" s="6" t="str">
        <f>IFERROR(__xludf.DUMMYFUNCTION("""COMPUTED_VALUE"""),"")</f>
        <v/>
      </c>
      <c r="F1099" s="6" t="str">
        <f>IFERROR(__xludf.DUMMYFUNCTION("""COMPUTED_VALUE"""),"Ostrolutska")</f>
        <v>Ostrolutska</v>
      </c>
      <c r="G1099" s="6" t="str">
        <f>IFERROR(__xludf.DUMMYFUNCTION("""COMPUTED_VALUE"""),"01/01/2015")</f>
        <v>01/01/2015</v>
      </c>
      <c r="H1099" s="6" t="str">
        <f>IFERROR(__xludf.DUMMYFUNCTION("""COMPUTED_VALUE"""),"Self Identify")</f>
        <v>Self Identify</v>
      </c>
      <c r="I1099" s="6" t="str">
        <f>IFERROR(__xludf.DUMMYFUNCTION("""COMPUTED_VALUE"""),"Level 2")</f>
        <v>Level 2</v>
      </c>
      <c r="J1099" s="6" t="str">
        <f>IFERROR(__xludf.DUMMYFUNCTION("""COMPUTED_VALUE"""),"4")</f>
        <v>4</v>
      </c>
      <c r="K1099" s="6" t="str">
        <f>IFERROR(__xludf.DUMMYFUNCTION("""COMPUTED_VALUE"""),"arina.ostrolutska@2hourlearning.com")</f>
        <v>arina.ostrolutska@2hourlearning.com</v>
      </c>
      <c r="L1099" s="6" t="str">
        <f>IFERROR(__xludf.DUMMYFUNCTION("""COMPUTED_VALUE"""),"Learn and Earn Poland")</f>
        <v>Learn and Earn Poland</v>
      </c>
      <c r="M1099" s="6" t="str">
        <f>IFERROR(__xludf.DUMMYFUNCTION("""COMPUTED_VALUE"""),"Poland ex-GTS")</f>
        <v>Poland ex-GTS</v>
      </c>
      <c r="N1099" s="6" t="str">
        <f>IFERROR(__xludf.DUMMYFUNCTION("""COMPUTED_VALUE"""),"")</f>
        <v/>
      </c>
      <c r="O1099" s="87" t="str">
        <f>IFERROR(__xludf.DUMMYFUNCTION("""COMPUTED_VALUE"""),"https://drive.google.com/drive/folders/10T2cTQHqEJZqE-st6uFKPoI?usp=share_link")</f>
        <v>https://drive.google.com/drive/folders/10T2cTQHqEJZqE-st6uFKPoI?usp=share_link</v>
      </c>
      <c r="P1099" s="6" t="str">
        <f>IFERROR(__xludf.DUMMYFUNCTION("""COMPUTED_VALUE"""),"Arina Ostrolutska")</f>
        <v>Arina Ostrolutska</v>
      </c>
      <c r="Q1099" s="6" t="str">
        <f>IFERROR(__xludf.DUMMYFUNCTION("""COMPUTED_VALUE"""),"L2")</f>
        <v>L2</v>
      </c>
      <c r="R1099" s="6">
        <f>IFERROR(__xludf.DUMMYFUNCTION("""COMPUTED_VALUE"""),2.0)</f>
        <v>2</v>
      </c>
      <c r="S1099" s="6" t="str">
        <f>IFERROR(__xludf.DUMMYFUNCTION("""COMPUTED_VALUE""")," ")</f>
        <v> </v>
      </c>
      <c r="T1099" s="6" t="str">
        <f>IFERROR(__xludf.DUMMYFUNCTION("""COMPUTED_VALUE"""),"")</f>
        <v/>
      </c>
      <c r="U1099" s="6" t="str">
        <f>IFERROR(__xludf.DUMMYFUNCTION("""COMPUTED_VALUE"""),"4")</f>
        <v>4</v>
      </c>
      <c r="V1099" s="6" t="str">
        <f>IFERROR(__xludf.DUMMYFUNCTION("""COMPUTED_VALUE"""),"English")</f>
        <v>English</v>
      </c>
      <c r="W1099" s="6" t="str">
        <f>IFERROR(__xludf.DUMMYFUNCTION("""COMPUTED_VALUE"""),"[]")</f>
        <v>[]</v>
      </c>
      <c r="X1099" s="6" t="str">
        <f>IFERROR(__xludf.DUMMYFUNCTION("""COMPUTED_VALUE"""),"Enrolled")</f>
        <v>Enrolled</v>
      </c>
    </row>
    <row r="1100">
      <c r="A1100" s="6" t="str">
        <f>IFERROR(__xludf.DUMMYFUNCTION("""COMPUTED_VALUE"""),"009-1319")</f>
        <v>009-1319</v>
      </c>
      <c r="B1100" s="6" t="str">
        <f>IFERROR(__xludf.DUMMYFUNCTION("""COMPUTED_VALUE"""),"9")</f>
        <v>9</v>
      </c>
      <c r="C1100" s="6" t="str">
        <f>IFERROR(__xludf.DUMMYFUNCTION("""COMPUTED_VALUE"""),"1319")</f>
        <v>1319</v>
      </c>
      <c r="D1100" s="6" t="str">
        <f>IFERROR(__xludf.DUMMYFUNCTION("""COMPUTED_VALUE"""),"Artem")</f>
        <v>Artem</v>
      </c>
      <c r="E1100" s="6" t="str">
        <f>IFERROR(__xludf.DUMMYFUNCTION("""COMPUTED_VALUE"""),"")</f>
        <v/>
      </c>
      <c r="F1100" s="6" t="str">
        <f>IFERROR(__xludf.DUMMYFUNCTION("""COMPUTED_VALUE"""),"Hudyk")</f>
        <v>Hudyk</v>
      </c>
      <c r="G1100" s="6" t="str">
        <f>IFERROR(__xludf.DUMMYFUNCTION("""COMPUTED_VALUE"""),"01/01/2013")</f>
        <v>01/01/2013</v>
      </c>
      <c r="H1100" s="6" t="str">
        <f>IFERROR(__xludf.DUMMYFUNCTION("""COMPUTED_VALUE"""),"Self Identify")</f>
        <v>Self Identify</v>
      </c>
      <c r="I1100" s="6" t="str">
        <f>IFERROR(__xludf.DUMMYFUNCTION("""COMPUTED_VALUE"""),"Middle School")</f>
        <v>Middle School</v>
      </c>
      <c r="J1100" s="6" t="str">
        <f>IFERROR(__xludf.DUMMYFUNCTION("""COMPUTED_VALUE"""),"6")</f>
        <v>6</v>
      </c>
      <c r="K1100" s="6" t="str">
        <f>IFERROR(__xludf.DUMMYFUNCTION("""COMPUTED_VALUE"""),"artem.hudyk@2hourlearning.com")</f>
        <v>artem.hudyk@2hourlearning.com</v>
      </c>
      <c r="L1100" s="6" t="str">
        <f>IFERROR(__xludf.DUMMYFUNCTION("""COMPUTED_VALUE"""),"Learn and Earn Poland")</f>
        <v>Learn and Earn Poland</v>
      </c>
      <c r="M1100" s="6" t="str">
        <f>IFERROR(__xludf.DUMMYFUNCTION("""COMPUTED_VALUE"""),"Poland ex-GTS")</f>
        <v>Poland ex-GTS</v>
      </c>
      <c r="N1100" s="6" t="str">
        <f>IFERROR(__xludf.DUMMYFUNCTION("""COMPUTED_VALUE"""),"")</f>
        <v/>
      </c>
      <c r="O1100" s="87" t="str">
        <f>IFERROR(__xludf.DUMMYFUNCTION("""COMPUTED_VALUE"""),"https://drive.google.com/drive/folders/10T2cTQHqEJZqE-st6uFKPoI?usp=share_link")</f>
        <v>https://drive.google.com/drive/folders/10T2cTQHqEJZqE-st6uFKPoI?usp=share_link</v>
      </c>
      <c r="P1100" s="6" t="str">
        <f>IFERROR(__xludf.DUMMYFUNCTION("""COMPUTED_VALUE"""),"Artem Hudyk")</f>
        <v>Artem Hudyk</v>
      </c>
      <c r="Q1100" s="6" t="str">
        <f>IFERROR(__xludf.DUMMYFUNCTION("""COMPUTED_VALUE"""),"MS")</f>
        <v>MS</v>
      </c>
      <c r="R1100" s="6">
        <f>IFERROR(__xludf.DUMMYFUNCTION("""COMPUTED_VALUE"""),0.0)</f>
        <v>0</v>
      </c>
      <c r="S1100" s="6" t="str">
        <f>IFERROR(__xludf.DUMMYFUNCTION("""COMPUTED_VALUE""")," ")</f>
        <v> </v>
      </c>
      <c r="T1100" s="6" t="str">
        <f>IFERROR(__xludf.DUMMYFUNCTION("""COMPUTED_VALUE"""),"")</f>
        <v/>
      </c>
      <c r="U1100" s="6" t="str">
        <f>IFERROR(__xludf.DUMMYFUNCTION("""COMPUTED_VALUE"""),"6")</f>
        <v>6</v>
      </c>
      <c r="V1100" s="6" t="str">
        <f>IFERROR(__xludf.DUMMYFUNCTION("""COMPUTED_VALUE"""),"English")</f>
        <v>English</v>
      </c>
      <c r="W1100" s="6" t="str">
        <f>IFERROR(__xludf.DUMMYFUNCTION("""COMPUTED_VALUE"""),"[]")</f>
        <v>[]</v>
      </c>
      <c r="X1100" s="6" t="str">
        <f>IFERROR(__xludf.DUMMYFUNCTION("""COMPUTED_VALUE"""),"Enrolled")</f>
        <v>Enrolled</v>
      </c>
    </row>
    <row r="1101">
      <c r="A1101" s="6" t="str">
        <f>IFERROR(__xludf.DUMMYFUNCTION("""COMPUTED_VALUE"""),"009-1320")</f>
        <v>009-1320</v>
      </c>
      <c r="B1101" s="6" t="str">
        <f>IFERROR(__xludf.DUMMYFUNCTION("""COMPUTED_VALUE"""),"9")</f>
        <v>9</v>
      </c>
      <c r="C1101" s="6" t="str">
        <f>IFERROR(__xludf.DUMMYFUNCTION("""COMPUTED_VALUE"""),"1320")</f>
        <v>1320</v>
      </c>
      <c r="D1101" s="6" t="str">
        <f>IFERROR(__xludf.DUMMYFUNCTION("""COMPUTED_VALUE"""),"Ihor")</f>
        <v>Ihor</v>
      </c>
      <c r="E1101" s="6" t="str">
        <f>IFERROR(__xludf.DUMMYFUNCTION("""COMPUTED_VALUE"""),"")</f>
        <v/>
      </c>
      <c r="F1101" s="6" t="str">
        <f>IFERROR(__xludf.DUMMYFUNCTION("""COMPUTED_VALUE"""),"Artiukh")</f>
        <v>Artiukh</v>
      </c>
      <c r="G1101" s="6" t="str">
        <f>IFERROR(__xludf.DUMMYFUNCTION("""COMPUTED_VALUE"""),"01/01/2018")</f>
        <v>01/01/2018</v>
      </c>
      <c r="H1101" s="6" t="str">
        <f>IFERROR(__xludf.DUMMYFUNCTION("""COMPUTED_VALUE"""),"Self Identify")</f>
        <v>Self Identify</v>
      </c>
      <c r="I1101" s="6" t="str">
        <f>IFERROR(__xludf.DUMMYFUNCTION("""COMPUTED_VALUE"""),"Learning Lab")</f>
        <v>Learning Lab</v>
      </c>
      <c r="J1101" s="6" t="str">
        <f>IFERROR(__xludf.DUMMYFUNCTION("""COMPUTED_VALUE"""),"1")</f>
        <v>1</v>
      </c>
      <c r="K1101" s="6" t="str">
        <f>IFERROR(__xludf.DUMMYFUNCTION("""COMPUTED_VALUE"""),"ihor.artiukh@2hourlearning.com")</f>
        <v>ihor.artiukh@2hourlearning.com</v>
      </c>
      <c r="L1101" s="6" t="str">
        <f>IFERROR(__xludf.DUMMYFUNCTION("""COMPUTED_VALUE"""),"Learn and Earn Poland")</f>
        <v>Learn and Earn Poland</v>
      </c>
      <c r="M1101" s="6" t="str">
        <f>IFERROR(__xludf.DUMMYFUNCTION("""COMPUTED_VALUE"""),"Poland ex-GTS")</f>
        <v>Poland ex-GTS</v>
      </c>
      <c r="N1101" s="6" t="str">
        <f>IFERROR(__xludf.DUMMYFUNCTION("""COMPUTED_VALUE"""),"")</f>
        <v/>
      </c>
      <c r="O1101" s="87" t="str">
        <f>IFERROR(__xludf.DUMMYFUNCTION("""COMPUTED_VALUE"""),"https://drive.google.com/drive/folders/10T2cTQHqEJZqE-st6uFKPoI?usp=share_link")</f>
        <v>https://drive.google.com/drive/folders/10T2cTQHqEJZqE-st6uFKPoI?usp=share_link</v>
      </c>
      <c r="P1101" s="6" t="str">
        <f>IFERROR(__xludf.DUMMYFUNCTION("""COMPUTED_VALUE"""),"Ihor Artiukh")</f>
        <v>Ihor Artiukh</v>
      </c>
      <c r="Q1101" s="6" t="str">
        <f>IFERROR(__xludf.DUMMYFUNCTION("""COMPUTED_VALUE"""),"LL")</f>
        <v>LL</v>
      </c>
      <c r="R1101" s="6">
        <f>IFERROR(__xludf.DUMMYFUNCTION("""COMPUTED_VALUE"""),0.0)</f>
        <v>0</v>
      </c>
      <c r="S1101" s="6" t="str">
        <f>IFERROR(__xludf.DUMMYFUNCTION("""COMPUTED_VALUE""")," ")</f>
        <v> </v>
      </c>
      <c r="T1101" s="6" t="str">
        <f>IFERROR(__xludf.DUMMYFUNCTION("""COMPUTED_VALUE"""),"")</f>
        <v/>
      </c>
      <c r="U1101" s="6" t="str">
        <f>IFERROR(__xludf.DUMMYFUNCTION("""COMPUTED_VALUE"""),"1")</f>
        <v>1</v>
      </c>
      <c r="V1101" s="6" t="str">
        <f>IFERROR(__xludf.DUMMYFUNCTION("""COMPUTED_VALUE"""),"English")</f>
        <v>English</v>
      </c>
      <c r="W1101" s="6" t="str">
        <f>IFERROR(__xludf.DUMMYFUNCTION("""COMPUTED_VALUE"""),"[]")</f>
        <v>[]</v>
      </c>
      <c r="X1101" s="6" t="str">
        <f>IFERROR(__xludf.DUMMYFUNCTION("""COMPUTED_VALUE"""),"Enrolled")</f>
        <v>Enrolled</v>
      </c>
    </row>
    <row r="1102">
      <c r="A1102" s="6" t="str">
        <f>IFERROR(__xludf.DUMMYFUNCTION("""COMPUTED_VALUE"""),"009-1321")</f>
        <v>009-1321</v>
      </c>
      <c r="B1102" s="6" t="str">
        <f>IFERROR(__xludf.DUMMYFUNCTION("""COMPUTED_VALUE"""),"9")</f>
        <v>9</v>
      </c>
      <c r="C1102" s="6" t="str">
        <f>IFERROR(__xludf.DUMMYFUNCTION("""COMPUTED_VALUE"""),"1321")</f>
        <v>1321</v>
      </c>
      <c r="D1102" s="6" t="str">
        <f>IFERROR(__xludf.DUMMYFUNCTION("""COMPUTED_VALUE"""),"Kateryna")</f>
        <v>Kateryna</v>
      </c>
      <c r="E1102" s="6" t="str">
        <f>IFERROR(__xludf.DUMMYFUNCTION("""COMPUTED_VALUE"""),"")</f>
        <v/>
      </c>
      <c r="F1102" s="6" t="str">
        <f>IFERROR(__xludf.DUMMYFUNCTION("""COMPUTED_VALUE"""),"Basiuk")</f>
        <v>Basiuk</v>
      </c>
      <c r="G1102" s="6" t="str">
        <f>IFERROR(__xludf.DUMMYFUNCTION("""COMPUTED_VALUE"""),"01/01/2016")</f>
        <v>01/01/2016</v>
      </c>
      <c r="H1102" s="6" t="str">
        <f>IFERROR(__xludf.DUMMYFUNCTION("""COMPUTED_VALUE"""),"Self Identify")</f>
        <v>Self Identify</v>
      </c>
      <c r="I1102" s="6" t="str">
        <f>IFERROR(__xludf.DUMMYFUNCTION("""COMPUTED_VALUE"""),"Level 1")</f>
        <v>Level 1</v>
      </c>
      <c r="J1102" s="6" t="str">
        <f>IFERROR(__xludf.DUMMYFUNCTION("""COMPUTED_VALUE"""),"3")</f>
        <v>3</v>
      </c>
      <c r="K1102" s="6" t="str">
        <f>IFERROR(__xludf.DUMMYFUNCTION("""COMPUTED_VALUE"""),"kateryna.basiuk@2hourlearning.com")</f>
        <v>kateryna.basiuk@2hourlearning.com</v>
      </c>
      <c r="L1102" s="6" t="str">
        <f>IFERROR(__xludf.DUMMYFUNCTION("""COMPUTED_VALUE"""),"Learn and Earn Poland")</f>
        <v>Learn and Earn Poland</v>
      </c>
      <c r="M1102" s="6" t="str">
        <f>IFERROR(__xludf.DUMMYFUNCTION("""COMPUTED_VALUE"""),"Poland ex-GTS")</f>
        <v>Poland ex-GTS</v>
      </c>
      <c r="N1102" s="6" t="str">
        <f>IFERROR(__xludf.DUMMYFUNCTION("""COMPUTED_VALUE"""),"")</f>
        <v/>
      </c>
      <c r="O1102" s="87" t="str">
        <f>IFERROR(__xludf.DUMMYFUNCTION("""COMPUTED_VALUE"""),"https://drive.google.com/drive/folders/10T2cTQHqEJZqE-st6uFKPoI?usp=share_link")</f>
        <v>https://drive.google.com/drive/folders/10T2cTQHqEJZqE-st6uFKPoI?usp=share_link</v>
      </c>
      <c r="P1102" s="6" t="str">
        <f>IFERROR(__xludf.DUMMYFUNCTION("""COMPUTED_VALUE"""),"Kateryna Basiuk")</f>
        <v>Kateryna Basiuk</v>
      </c>
      <c r="Q1102" s="6" t="str">
        <f>IFERROR(__xludf.DUMMYFUNCTION("""COMPUTED_VALUE"""),"L1")</f>
        <v>L1</v>
      </c>
      <c r="R1102" s="6">
        <f>IFERROR(__xludf.DUMMYFUNCTION("""COMPUTED_VALUE"""),1.0)</f>
        <v>1</v>
      </c>
      <c r="S1102" s="6" t="str">
        <f>IFERROR(__xludf.DUMMYFUNCTION("""COMPUTED_VALUE""")," ")</f>
        <v> </v>
      </c>
      <c r="T1102" s="6" t="str">
        <f>IFERROR(__xludf.DUMMYFUNCTION("""COMPUTED_VALUE"""),"")</f>
        <v/>
      </c>
      <c r="U1102" s="6" t="str">
        <f>IFERROR(__xludf.DUMMYFUNCTION("""COMPUTED_VALUE"""),"3")</f>
        <v>3</v>
      </c>
      <c r="V1102" s="6" t="str">
        <f>IFERROR(__xludf.DUMMYFUNCTION("""COMPUTED_VALUE"""),"English")</f>
        <v>English</v>
      </c>
      <c r="W1102" s="6" t="str">
        <f>IFERROR(__xludf.DUMMYFUNCTION("""COMPUTED_VALUE"""),"[]")</f>
        <v>[]</v>
      </c>
      <c r="X1102" s="6" t="str">
        <f>IFERROR(__xludf.DUMMYFUNCTION("""COMPUTED_VALUE"""),"Enrolled")</f>
        <v>Enrolled</v>
      </c>
    </row>
    <row r="1103">
      <c r="A1103" s="6" t="str">
        <f>IFERROR(__xludf.DUMMYFUNCTION("""COMPUTED_VALUE"""),"009-1322")</f>
        <v>009-1322</v>
      </c>
      <c r="B1103" s="6" t="str">
        <f>IFERROR(__xludf.DUMMYFUNCTION("""COMPUTED_VALUE"""),"9")</f>
        <v>9</v>
      </c>
      <c r="C1103" s="6" t="str">
        <f>IFERROR(__xludf.DUMMYFUNCTION("""COMPUTED_VALUE"""),"1322")</f>
        <v>1322</v>
      </c>
      <c r="D1103" s="6" t="str">
        <f>IFERROR(__xludf.DUMMYFUNCTION("""COMPUTED_VALUE"""),"Bianka")</f>
        <v>Bianka</v>
      </c>
      <c r="E1103" s="6" t="str">
        <f>IFERROR(__xludf.DUMMYFUNCTION("""COMPUTED_VALUE"""),"")</f>
        <v/>
      </c>
      <c r="F1103" s="6" t="str">
        <f>IFERROR(__xludf.DUMMYFUNCTION("""COMPUTED_VALUE"""),"Beregi")</f>
        <v>Beregi</v>
      </c>
      <c r="G1103" s="6" t="str">
        <f>IFERROR(__xludf.DUMMYFUNCTION("""COMPUTED_VALUE"""),"01/01/2013")</f>
        <v>01/01/2013</v>
      </c>
      <c r="H1103" s="6" t="str">
        <f>IFERROR(__xludf.DUMMYFUNCTION("""COMPUTED_VALUE"""),"Self Identify")</f>
        <v>Self Identify</v>
      </c>
      <c r="I1103" s="6" t="str">
        <f>IFERROR(__xludf.DUMMYFUNCTION("""COMPUTED_VALUE"""),"Middle School")</f>
        <v>Middle School</v>
      </c>
      <c r="J1103" s="6" t="str">
        <f>IFERROR(__xludf.DUMMYFUNCTION("""COMPUTED_VALUE"""),"6")</f>
        <v>6</v>
      </c>
      <c r="K1103" s="6" t="str">
        <f>IFERROR(__xludf.DUMMYFUNCTION("""COMPUTED_VALUE"""),"bianka.beregi@2hourlearning.com")</f>
        <v>bianka.beregi@2hourlearning.com</v>
      </c>
      <c r="L1103" s="6" t="str">
        <f>IFERROR(__xludf.DUMMYFUNCTION("""COMPUTED_VALUE"""),"Learn and Earn Poland")</f>
        <v>Learn and Earn Poland</v>
      </c>
      <c r="M1103" s="6" t="str">
        <f>IFERROR(__xludf.DUMMYFUNCTION("""COMPUTED_VALUE"""),"Poland ex-GTS")</f>
        <v>Poland ex-GTS</v>
      </c>
      <c r="N1103" s="6" t="str">
        <f>IFERROR(__xludf.DUMMYFUNCTION("""COMPUTED_VALUE"""),"")</f>
        <v/>
      </c>
      <c r="O1103" s="87" t="str">
        <f>IFERROR(__xludf.DUMMYFUNCTION("""COMPUTED_VALUE"""),"https://drive.google.com/drive/folders/10T2cTQHqEJZqE-st6uFKPoI?usp=share_link")</f>
        <v>https://drive.google.com/drive/folders/10T2cTQHqEJZqE-st6uFKPoI?usp=share_link</v>
      </c>
      <c r="P1103" s="6" t="str">
        <f>IFERROR(__xludf.DUMMYFUNCTION("""COMPUTED_VALUE"""),"Bianka Beregi")</f>
        <v>Bianka Beregi</v>
      </c>
      <c r="Q1103" s="6" t="str">
        <f>IFERROR(__xludf.DUMMYFUNCTION("""COMPUTED_VALUE"""),"MS")</f>
        <v>MS</v>
      </c>
      <c r="R1103" s="6">
        <f>IFERROR(__xludf.DUMMYFUNCTION("""COMPUTED_VALUE"""),0.0)</f>
        <v>0</v>
      </c>
      <c r="S1103" s="6" t="str">
        <f>IFERROR(__xludf.DUMMYFUNCTION("""COMPUTED_VALUE""")," ")</f>
        <v> </v>
      </c>
      <c r="T1103" s="6" t="str">
        <f>IFERROR(__xludf.DUMMYFUNCTION("""COMPUTED_VALUE"""),"")</f>
        <v/>
      </c>
      <c r="U1103" s="6" t="str">
        <f>IFERROR(__xludf.DUMMYFUNCTION("""COMPUTED_VALUE"""),"6")</f>
        <v>6</v>
      </c>
      <c r="V1103" s="6" t="str">
        <f>IFERROR(__xludf.DUMMYFUNCTION("""COMPUTED_VALUE"""),"English")</f>
        <v>English</v>
      </c>
      <c r="W1103" s="6" t="str">
        <f>IFERROR(__xludf.DUMMYFUNCTION("""COMPUTED_VALUE"""),"[]")</f>
        <v>[]</v>
      </c>
      <c r="X1103" s="6" t="str">
        <f>IFERROR(__xludf.DUMMYFUNCTION("""COMPUTED_VALUE"""),"Enrolled")</f>
        <v>Enrolled</v>
      </c>
    </row>
    <row r="1104">
      <c r="A1104" s="6" t="str">
        <f>IFERROR(__xludf.DUMMYFUNCTION("""COMPUTED_VALUE"""),"009-1323")</f>
        <v>009-1323</v>
      </c>
      <c r="B1104" s="6" t="str">
        <f>IFERROR(__xludf.DUMMYFUNCTION("""COMPUTED_VALUE"""),"9")</f>
        <v>9</v>
      </c>
      <c r="C1104" s="6" t="str">
        <f>IFERROR(__xludf.DUMMYFUNCTION("""COMPUTED_VALUE"""),"1323")</f>
        <v>1323</v>
      </c>
      <c r="D1104" s="6" t="str">
        <f>IFERROR(__xludf.DUMMYFUNCTION("""COMPUTED_VALUE"""),"Bohdana")</f>
        <v>Bohdana</v>
      </c>
      <c r="E1104" s="6" t="str">
        <f>IFERROR(__xludf.DUMMYFUNCTION("""COMPUTED_VALUE"""),"")</f>
        <v/>
      </c>
      <c r="F1104" s="6" t="str">
        <f>IFERROR(__xludf.DUMMYFUNCTION("""COMPUTED_VALUE"""),"Chernetska")</f>
        <v>Chernetska</v>
      </c>
      <c r="G1104" s="6" t="str">
        <f>IFERROR(__xludf.DUMMYFUNCTION("""COMPUTED_VALUE"""),"01/01/2012")</f>
        <v>01/01/2012</v>
      </c>
      <c r="H1104" s="6" t="str">
        <f>IFERROR(__xludf.DUMMYFUNCTION("""COMPUTED_VALUE"""),"Self Identify")</f>
        <v>Self Identify</v>
      </c>
      <c r="I1104" s="6" t="str">
        <f>IFERROR(__xludf.DUMMYFUNCTION("""COMPUTED_VALUE"""),"Middle School")</f>
        <v>Middle School</v>
      </c>
      <c r="J1104" s="6" t="str">
        <f>IFERROR(__xludf.DUMMYFUNCTION("""COMPUTED_VALUE"""),"7")</f>
        <v>7</v>
      </c>
      <c r="K1104" s="6" t="str">
        <f>IFERROR(__xludf.DUMMYFUNCTION("""COMPUTED_VALUE"""),"bohdana.chernetska@2hourlearning.com")</f>
        <v>bohdana.chernetska@2hourlearning.com</v>
      </c>
      <c r="L1104" s="6" t="str">
        <f>IFERROR(__xludf.DUMMYFUNCTION("""COMPUTED_VALUE"""),"Learn and Earn Poland")</f>
        <v>Learn and Earn Poland</v>
      </c>
      <c r="M1104" s="6" t="str">
        <f>IFERROR(__xludf.DUMMYFUNCTION("""COMPUTED_VALUE"""),"Poland ex-GTS")</f>
        <v>Poland ex-GTS</v>
      </c>
      <c r="N1104" s="6" t="str">
        <f>IFERROR(__xludf.DUMMYFUNCTION("""COMPUTED_VALUE"""),"")</f>
        <v/>
      </c>
      <c r="O1104" s="87" t="str">
        <f>IFERROR(__xludf.DUMMYFUNCTION("""COMPUTED_VALUE"""),"https://drive.google.com/drive/folders/10T2cTQHqEJZqE-st6uFKPoI?usp=share_link")</f>
        <v>https://drive.google.com/drive/folders/10T2cTQHqEJZqE-st6uFKPoI?usp=share_link</v>
      </c>
      <c r="P1104" s="6" t="str">
        <f>IFERROR(__xludf.DUMMYFUNCTION("""COMPUTED_VALUE"""),"Bohdana Chernetska")</f>
        <v>Bohdana Chernetska</v>
      </c>
      <c r="Q1104" s="6" t="str">
        <f>IFERROR(__xludf.DUMMYFUNCTION("""COMPUTED_VALUE"""),"MS")</f>
        <v>MS</v>
      </c>
      <c r="R1104" s="6">
        <f>IFERROR(__xludf.DUMMYFUNCTION("""COMPUTED_VALUE"""),0.0)</f>
        <v>0</v>
      </c>
      <c r="S1104" s="6" t="str">
        <f>IFERROR(__xludf.DUMMYFUNCTION("""COMPUTED_VALUE""")," ")</f>
        <v> </v>
      </c>
      <c r="T1104" s="6" t="str">
        <f>IFERROR(__xludf.DUMMYFUNCTION("""COMPUTED_VALUE"""),"")</f>
        <v/>
      </c>
      <c r="U1104" s="6" t="str">
        <f>IFERROR(__xludf.DUMMYFUNCTION("""COMPUTED_VALUE"""),"7")</f>
        <v>7</v>
      </c>
      <c r="V1104" s="6" t="str">
        <f>IFERROR(__xludf.DUMMYFUNCTION("""COMPUTED_VALUE"""),"English")</f>
        <v>English</v>
      </c>
      <c r="W1104" s="6" t="str">
        <f>IFERROR(__xludf.DUMMYFUNCTION("""COMPUTED_VALUE"""),"[]")</f>
        <v>[]</v>
      </c>
      <c r="X1104" s="6" t="str">
        <f>IFERROR(__xludf.DUMMYFUNCTION("""COMPUTED_VALUE"""),"Enrolled")</f>
        <v>Enrolled</v>
      </c>
    </row>
    <row r="1105">
      <c r="A1105" s="6" t="str">
        <f>IFERROR(__xludf.DUMMYFUNCTION("""COMPUTED_VALUE"""),"009-1324")</f>
        <v>009-1324</v>
      </c>
      <c r="B1105" s="6" t="str">
        <f>IFERROR(__xludf.DUMMYFUNCTION("""COMPUTED_VALUE"""),"9")</f>
        <v>9</v>
      </c>
      <c r="C1105" s="6" t="str">
        <f>IFERROR(__xludf.DUMMYFUNCTION("""COMPUTED_VALUE"""),"1324")</f>
        <v>1324</v>
      </c>
      <c r="D1105" s="6" t="str">
        <f>IFERROR(__xludf.DUMMYFUNCTION("""COMPUTED_VALUE"""),"Kirill")</f>
        <v>Kirill</v>
      </c>
      <c r="E1105" s="6" t="str">
        <f>IFERROR(__xludf.DUMMYFUNCTION("""COMPUTED_VALUE"""),"")</f>
        <v/>
      </c>
      <c r="F1105" s="6" t="str">
        <f>IFERROR(__xludf.DUMMYFUNCTION("""COMPUTED_VALUE"""),"Tolochko")</f>
        <v>Tolochko</v>
      </c>
      <c r="G1105" s="6" t="str">
        <f>IFERROR(__xludf.DUMMYFUNCTION("""COMPUTED_VALUE"""),"01/01/2010")</f>
        <v>01/01/2010</v>
      </c>
      <c r="H1105" s="6" t="str">
        <f>IFERROR(__xludf.DUMMYFUNCTION("""COMPUTED_VALUE"""),"Self Identify")</f>
        <v>Self Identify</v>
      </c>
      <c r="I1105" s="6" t="str">
        <f>IFERROR(__xludf.DUMMYFUNCTION("""COMPUTED_VALUE"""),"High School")</f>
        <v>High School</v>
      </c>
      <c r="J1105" s="6" t="str">
        <f>IFERROR(__xludf.DUMMYFUNCTION("""COMPUTED_VALUE"""),"9")</f>
        <v>9</v>
      </c>
      <c r="K1105" s="6" t="str">
        <f>IFERROR(__xludf.DUMMYFUNCTION("""COMPUTED_VALUE"""),"kirill.tolochko@2hourlearning.com")</f>
        <v>kirill.tolochko@2hourlearning.com</v>
      </c>
      <c r="L1105" s="6" t="str">
        <f>IFERROR(__xludf.DUMMYFUNCTION("""COMPUTED_VALUE"""),"Learn and Earn Poland")</f>
        <v>Learn and Earn Poland</v>
      </c>
      <c r="M1105" s="6" t="str">
        <f>IFERROR(__xludf.DUMMYFUNCTION("""COMPUTED_VALUE"""),"Poland ex-GTS")</f>
        <v>Poland ex-GTS</v>
      </c>
      <c r="N1105" s="6" t="str">
        <f>IFERROR(__xludf.DUMMYFUNCTION("""COMPUTED_VALUE"""),"")</f>
        <v/>
      </c>
      <c r="O1105" s="87" t="str">
        <f>IFERROR(__xludf.DUMMYFUNCTION("""COMPUTED_VALUE"""),"https://drive.google.com/drive/folders/10T2cTQHqEJZqE-st6uFKPoI?usp=share_link")</f>
        <v>https://drive.google.com/drive/folders/10T2cTQHqEJZqE-st6uFKPoI?usp=share_link</v>
      </c>
      <c r="P1105" s="6" t="str">
        <f>IFERROR(__xludf.DUMMYFUNCTION("""COMPUTED_VALUE"""),"Kirill Tolochko")</f>
        <v>Kirill Tolochko</v>
      </c>
      <c r="Q1105" s="6" t="str">
        <f>IFERROR(__xludf.DUMMYFUNCTION("""COMPUTED_VALUE"""),"HS")</f>
        <v>HS</v>
      </c>
      <c r="R1105" s="6">
        <f>IFERROR(__xludf.DUMMYFUNCTION("""COMPUTED_VALUE"""),0.0)</f>
        <v>0</v>
      </c>
      <c r="S1105" s="6" t="str">
        <f>IFERROR(__xludf.DUMMYFUNCTION("""COMPUTED_VALUE""")," ")</f>
        <v> </v>
      </c>
      <c r="T1105" s="6" t="str">
        <f>IFERROR(__xludf.DUMMYFUNCTION("""COMPUTED_VALUE"""),"")</f>
        <v/>
      </c>
      <c r="U1105" s="6" t="str">
        <f>IFERROR(__xludf.DUMMYFUNCTION("""COMPUTED_VALUE"""),"9")</f>
        <v>9</v>
      </c>
      <c r="V1105" s="6" t="str">
        <f>IFERROR(__xludf.DUMMYFUNCTION("""COMPUTED_VALUE"""),"English")</f>
        <v>English</v>
      </c>
      <c r="W1105" s="6" t="str">
        <f>IFERROR(__xludf.DUMMYFUNCTION("""COMPUTED_VALUE"""),"[]")</f>
        <v>[]</v>
      </c>
      <c r="X1105" s="6" t="str">
        <f>IFERROR(__xludf.DUMMYFUNCTION("""COMPUTED_VALUE"""),"Enrolled")</f>
        <v>Enrolled</v>
      </c>
    </row>
    <row r="1106">
      <c r="A1106" s="6" t="str">
        <f>IFERROR(__xludf.DUMMYFUNCTION("""COMPUTED_VALUE"""),"009-1325")</f>
        <v>009-1325</v>
      </c>
      <c r="B1106" s="6" t="str">
        <f>IFERROR(__xludf.DUMMYFUNCTION("""COMPUTED_VALUE"""),"9")</f>
        <v>9</v>
      </c>
      <c r="C1106" s="6" t="str">
        <f>IFERROR(__xludf.DUMMYFUNCTION("""COMPUTED_VALUE"""),"1325")</f>
        <v>1325</v>
      </c>
      <c r="D1106" s="6" t="str">
        <f>IFERROR(__xludf.DUMMYFUNCTION("""COMPUTED_VALUE"""),"Yaroslav")</f>
        <v>Yaroslav</v>
      </c>
      <c r="E1106" s="6" t="str">
        <f>IFERROR(__xludf.DUMMYFUNCTION("""COMPUTED_VALUE"""),"")</f>
        <v/>
      </c>
      <c r="F1106" s="6" t="str">
        <f>IFERROR(__xludf.DUMMYFUNCTION("""COMPUTED_VALUE"""),"Smyrnyi")</f>
        <v>Smyrnyi</v>
      </c>
      <c r="G1106" s="6" t="str">
        <f>IFERROR(__xludf.DUMMYFUNCTION("""COMPUTED_VALUE"""),"01/01/2012")</f>
        <v>01/01/2012</v>
      </c>
      <c r="H1106" s="6" t="str">
        <f>IFERROR(__xludf.DUMMYFUNCTION("""COMPUTED_VALUE"""),"Self Identify")</f>
        <v>Self Identify</v>
      </c>
      <c r="I1106" s="6" t="str">
        <f>IFERROR(__xludf.DUMMYFUNCTION("""COMPUTED_VALUE"""),"Middle School")</f>
        <v>Middle School</v>
      </c>
      <c r="J1106" s="6" t="str">
        <f>IFERROR(__xludf.DUMMYFUNCTION("""COMPUTED_VALUE"""),"7")</f>
        <v>7</v>
      </c>
      <c r="K1106" s="6" t="str">
        <f>IFERROR(__xludf.DUMMYFUNCTION("""COMPUTED_VALUE"""),"yaroslav.smyrnyi@2hourlearning.com")</f>
        <v>yaroslav.smyrnyi@2hourlearning.com</v>
      </c>
      <c r="L1106" s="6" t="str">
        <f>IFERROR(__xludf.DUMMYFUNCTION("""COMPUTED_VALUE"""),"Learn and Earn Poland")</f>
        <v>Learn and Earn Poland</v>
      </c>
      <c r="M1106" s="6" t="str">
        <f>IFERROR(__xludf.DUMMYFUNCTION("""COMPUTED_VALUE"""),"Poland ex-GTS")</f>
        <v>Poland ex-GTS</v>
      </c>
      <c r="N1106" s="6" t="str">
        <f>IFERROR(__xludf.DUMMYFUNCTION("""COMPUTED_VALUE"""),"")</f>
        <v/>
      </c>
      <c r="O1106" s="87" t="str">
        <f>IFERROR(__xludf.DUMMYFUNCTION("""COMPUTED_VALUE"""),"https://drive.google.com/drive/folders/10T2cTQHqEJZqE-st6uFKPoI?usp=share_link")</f>
        <v>https://drive.google.com/drive/folders/10T2cTQHqEJZqE-st6uFKPoI?usp=share_link</v>
      </c>
      <c r="P1106" s="6" t="str">
        <f>IFERROR(__xludf.DUMMYFUNCTION("""COMPUTED_VALUE"""),"Yaroslav Smyrnyi")</f>
        <v>Yaroslav Smyrnyi</v>
      </c>
      <c r="Q1106" s="6" t="str">
        <f>IFERROR(__xludf.DUMMYFUNCTION("""COMPUTED_VALUE"""),"MS")</f>
        <v>MS</v>
      </c>
      <c r="R1106" s="6">
        <f>IFERROR(__xludf.DUMMYFUNCTION("""COMPUTED_VALUE"""),0.0)</f>
        <v>0</v>
      </c>
      <c r="S1106" s="6" t="str">
        <f>IFERROR(__xludf.DUMMYFUNCTION("""COMPUTED_VALUE""")," ")</f>
        <v> </v>
      </c>
      <c r="T1106" s="6" t="str">
        <f>IFERROR(__xludf.DUMMYFUNCTION("""COMPUTED_VALUE"""),"")</f>
        <v/>
      </c>
      <c r="U1106" s="6" t="str">
        <f>IFERROR(__xludf.DUMMYFUNCTION("""COMPUTED_VALUE"""),"7")</f>
        <v>7</v>
      </c>
      <c r="V1106" s="6" t="str">
        <f>IFERROR(__xludf.DUMMYFUNCTION("""COMPUTED_VALUE"""),"English")</f>
        <v>English</v>
      </c>
      <c r="W1106" s="6" t="str">
        <f>IFERROR(__xludf.DUMMYFUNCTION("""COMPUTED_VALUE"""),"[]")</f>
        <v>[]</v>
      </c>
      <c r="X1106" s="6" t="str">
        <f>IFERROR(__xludf.DUMMYFUNCTION("""COMPUTED_VALUE"""),"Enrolled")</f>
        <v>Enrolled</v>
      </c>
    </row>
    <row r="1107">
      <c r="A1107" s="6" t="str">
        <f>IFERROR(__xludf.DUMMYFUNCTION("""COMPUTED_VALUE"""),"009-1326")</f>
        <v>009-1326</v>
      </c>
      <c r="B1107" s="6" t="str">
        <f>IFERROR(__xludf.DUMMYFUNCTION("""COMPUTED_VALUE"""),"9")</f>
        <v>9</v>
      </c>
      <c r="C1107" s="6" t="str">
        <f>IFERROR(__xludf.DUMMYFUNCTION("""COMPUTED_VALUE"""),"1326")</f>
        <v>1326</v>
      </c>
      <c r="D1107" s="6" t="str">
        <f>IFERROR(__xludf.DUMMYFUNCTION("""COMPUTED_VALUE"""),"Daniil")</f>
        <v>Daniil</v>
      </c>
      <c r="E1107" s="6" t="str">
        <f>IFERROR(__xludf.DUMMYFUNCTION("""COMPUTED_VALUE"""),"")</f>
        <v/>
      </c>
      <c r="F1107" s="6" t="str">
        <f>IFERROR(__xludf.DUMMYFUNCTION("""COMPUTED_VALUE"""),"Bohushev")</f>
        <v>Bohushev</v>
      </c>
      <c r="G1107" s="6" t="str">
        <f>IFERROR(__xludf.DUMMYFUNCTION("""COMPUTED_VALUE"""),"01/01/2014")</f>
        <v>01/01/2014</v>
      </c>
      <c r="H1107" s="6" t="str">
        <f>IFERROR(__xludf.DUMMYFUNCTION("""COMPUTED_VALUE"""),"Self Identify")</f>
        <v>Self Identify</v>
      </c>
      <c r="I1107" s="6" t="str">
        <f>IFERROR(__xludf.DUMMYFUNCTION("""COMPUTED_VALUE"""),"Level 2")</f>
        <v>Level 2</v>
      </c>
      <c r="J1107" s="6" t="str">
        <f>IFERROR(__xludf.DUMMYFUNCTION("""COMPUTED_VALUE"""),"5")</f>
        <v>5</v>
      </c>
      <c r="K1107" s="6" t="str">
        <f>IFERROR(__xludf.DUMMYFUNCTION("""COMPUTED_VALUE"""),"daniil.bohushev@2hourlearning.com")</f>
        <v>daniil.bohushev@2hourlearning.com</v>
      </c>
      <c r="L1107" s="6" t="str">
        <f>IFERROR(__xludf.DUMMYFUNCTION("""COMPUTED_VALUE"""),"Learn and Earn Poland")</f>
        <v>Learn and Earn Poland</v>
      </c>
      <c r="M1107" s="6" t="str">
        <f>IFERROR(__xludf.DUMMYFUNCTION("""COMPUTED_VALUE"""),"Poland ex-GTS")</f>
        <v>Poland ex-GTS</v>
      </c>
      <c r="N1107" s="6" t="str">
        <f>IFERROR(__xludf.DUMMYFUNCTION("""COMPUTED_VALUE"""),"")</f>
        <v/>
      </c>
      <c r="O1107" s="87" t="str">
        <f>IFERROR(__xludf.DUMMYFUNCTION("""COMPUTED_VALUE"""),"https://drive.google.com/drive/folders/10T2cTQHqEJZqE-st6uFKPoI?usp=share_link")</f>
        <v>https://drive.google.com/drive/folders/10T2cTQHqEJZqE-st6uFKPoI?usp=share_link</v>
      </c>
      <c r="P1107" s="6" t="str">
        <f>IFERROR(__xludf.DUMMYFUNCTION("""COMPUTED_VALUE"""),"Daniil Bohushev")</f>
        <v>Daniil Bohushev</v>
      </c>
      <c r="Q1107" s="6" t="str">
        <f>IFERROR(__xludf.DUMMYFUNCTION("""COMPUTED_VALUE"""),"L2")</f>
        <v>L2</v>
      </c>
      <c r="R1107" s="6">
        <f>IFERROR(__xludf.DUMMYFUNCTION("""COMPUTED_VALUE"""),2.0)</f>
        <v>2</v>
      </c>
      <c r="S1107" s="6" t="str">
        <f>IFERROR(__xludf.DUMMYFUNCTION("""COMPUTED_VALUE""")," ")</f>
        <v> </v>
      </c>
      <c r="T1107" s="6" t="str">
        <f>IFERROR(__xludf.DUMMYFUNCTION("""COMPUTED_VALUE"""),"")</f>
        <v/>
      </c>
      <c r="U1107" s="6" t="str">
        <f>IFERROR(__xludf.DUMMYFUNCTION("""COMPUTED_VALUE"""),"5")</f>
        <v>5</v>
      </c>
      <c r="V1107" s="6" t="str">
        <f>IFERROR(__xludf.DUMMYFUNCTION("""COMPUTED_VALUE"""),"English")</f>
        <v>English</v>
      </c>
      <c r="W1107" s="6" t="str">
        <f>IFERROR(__xludf.DUMMYFUNCTION("""COMPUTED_VALUE"""),"[]")</f>
        <v>[]</v>
      </c>
      <c r="X1107" s="6" t="str">
        <f>IFERROR(__xludf.DUMMYFUNCTION("""COMPUTED_VALUE"""),"Enrolled")</f>
        <v>Enrolled</v>
      </c>
    </row>
    <row r="1108">
      <c r="A1108" s="6" t="str">
        <f>IFERROR(__xludf.DUMMYFUNCTION("""COMPUTED_VALUE"""),"009-1327")</f>
        <v>009-1327</v>
      </c>
      <c r="B1108" s="6" t="str">
        <f>IFERROR(__xludf.DUMMYFUNCTION("""COMPUTED_VALUE"""),"9")</f>
        <v>9</v>
      </c>
      <c r="C1108" s="6" t="str">
        <f>IFERROR(__xludf.DUMMYFUNCTION("""COMPUTED_VALUE"""),"1327")</f>
        <v>1327</v>
      </c>
      <c r="D1108" s="6" t="str">
        <f>IFERROR(__xludf.DUMMYFUNCTION("""COMPUTED_VALUE"""),"Danil")</f>
        <v>Danil</v>
      </c>
      <c r="E1108" s="6" t="str">
        <f>IFERROR(__xludf.DUMMYFUNCTION("""COMPUTED_VALUE"""),"")</f>
        <v/>
      </c>
      <c r="F1108" s="6" t="str">
        <f>IFERROR(__xludf.DUMMYFUNCTION("""COMPUTED_VALUE"""),"Slushchenko")</f>
        <v>Slushchenko</v>
      </c>
      <c r="G1108" s="6" t="str">
        <f>IFERROR(__xludf.DUMMYFUNCTION("""COMPUTED_VALUE"""),"01/01/2007")</f>
        <v>01/01/2007</v>
      </c>
      <c r="H1108" s="6" t="str">
        <f>IFERROR(__xludf.DUMMYFUNCTION("""COMPUTED_VALUE"""),"Self Identify")</f>
        <v>Self Identify</v>
      </c>
      <c r="I1108" s="6" t="str">
        <f>IFERROR(__xludf.DUMMYFUNCTION("""COMPUTED_VALUE"""),"High School")</f>
        <v>High School</v>
      </c>
      <c r="J1108" s="6" t="str">
        <f>IFERROR(__xludf.DUMMYFUNCTION("""COMPUTED_VALUE"""),"12")</f>
        <v>12</v>
      </c>
      <c r="K1108" s="6" t="str">
        <f>IFERROR(__xludf.DUMMYFUNCTION("""COMPUTED_VALUE"""),"danil.slushchenko@2hourlearning.com")</f>
        <v>danil.slushchenko@2hourlearning.com</v>
      </c>
      <c r="L1108" s="6" t="str">
        <f>IFERROR(__xludf.DUMMYFUNCTION("""COMPUTED_VALUE"""),"Learn and Earn Poland")</f>
        <v>Learn and Earn Poland</v>
      </c>
      <c r="M1108" s="6" t="str">
        <f>IFERROR(__xludf.DUMMYFUNCTION("""COMPUTED_VALUE"""),"Poland ex-GTS")</f>
        <v>Poland ex-GTS</v>
      </c>
      <c r="N1108" s="6" t="str">
        <f>IFERROR(__xludf.DUMMYFUNCTION("""COMPUTED_VALUE"""),"")</f>
        <v/>
      </c>
      <c r="O1108" s="87" t="str">
        <f>IFERROR(__xludf.DUMMYFUNCTION("""COMPUTED_VALUE"""),"https://drive.google.com/drive/folders/10T2cTQHqEJZqE-st6uFKPoI?usp=share_link")</f>
        <v>https://drive.google.com/drive/folders/10T2cTQHqEJZqE-st6uFKPoI?usp=share_link</v>
      </c>
      <c r="P1108" s="6" t="str">
        <f>IFERROR(__xludf.DUMMYFUNCTION("""COMPUTED_VALUE"""),"Danil Slushchenko")</f>
        <v>Danil Slushchenko</v>
      </c>
      <c r="Q1108" s="6" t="str">
        <f>IFERROR(__xludf.DUMMYFUNCTION("""COMPUTED_VALUE"""),"HS")</f>
        <v>HS</v>
      </c>
      <c r="R1108" s="6">
        <f>IFERROR(__xludf.DUMMYFUNCTION("""COMPUTED_VALUE"""),0.0)</f>
        <v>0</v>
      </c>
      <c r="S1108" s="6" t="str">
        <f>IFERROR(__xludf.DUMMYFUNCTION("""COMPUTED_VALUE""")," ")</f>
        <v> </v>
      </c>
      <c r="T1108" s="6" t="str">
        <f>IFERROR(__xludf.DUMMYFUNCTION("""COMPUTED_VALUE"""),"")</f>
        <v/>
      </c>
      <c r="U1108" s="6" t="str">
        <f>IFERROR(__xludf.DUMMYFUNCTION("""COMPUTED_VALUE"""),"12")</f>
        <v>12</v>
      </c>
      <c r="V1108" s="6" t="str">
        <f>IFERROR(__xludf.DUMMYFUNCTION("""COMPUTED_VALUE"""),"English")</f>
        <v>English</v>
      </c>
      <c r="W1108" s="6" t="str">
        <f>IFERROR(__xludf.DUMMYFUNCTION("""COMPUTED_VALUE"""),"[]")</f>
        <v>[]</v>
      </c>
      <c r="X1108" s="6" t="str">
        <f>IFERROR(__xludf.DUMMYFUNCTION("""COMPUTED_VALUE"""),"Enrolled")</f>
        <v>Enrolled</v>
      </c>
    </row>
    <row r="1109">
      <c r="A1109" s="6" t="str">
        <f>IFERROR(__xludf.DUMMYFUNCTION("""COMPUTED_VALUE"""),"009-1328")</f>
        <v>009-1328</v>
      </c>
      <c r="B1109" s="6" t="str">
        <f>IFERROR(__xludf.DUMMYFUNCTION("""COMPUTED_VALUE"""),"9")</f>
        <v>9</v>
      </c>
      <c r="C1109" s="6" t="str">
        <f>IFERROR(__xludf.DUMMYFUNCTION("""COMPUTED_VALUE"""),"1328")</f>
        <v>1328</v>
      </c>
      <c r="D1109" s="6" t="str">
        <f>IFERROR(__xludf.DUMMYFUNCTION("""COMPUTED_VALUE"""),"Daryna")</f>
        <v>Daryna</v>
      </c>
      <c r="E1109" s="6" t="str">
        <f>IFERROR(__xludf.DUMMYFUNCTION("""COMPUTED_VALUE"""),"")</f>
        <v/>
      </c>
      <c r="F1109" s="6" t="str">
        <f>IFERROR(__xludf.DUMMYFUNCTION("""COMPUTED_VALUE"""),"Momot")</f>
        <v>Momot</v>
      </c>
      <c r="G1109" s="6" t="str">
        <f>IFERROR(__xludf.DUMMYFUNCTION("""COMPUTED_VALUE"""),"01/01/2011")</f>
        <v>01/01/2011</v>
      </c>
      <c r="H1109" s="6" t="str">
        <f>IFERROR(__xludf.DUMMYFUNCTION("""COMPUTED_VALUE"""),"Self Identify")</f>
        <v>Self Identify</v>
      </c>
      <c r="I1109" s="6" t="str">
        <f>IFERROR(__xludf.DUMMYFUNCTION("""COMPUTED_VALUE"""),"Middle School")</f>
        <v>Middle School</v>
      </c>
      <c r="J1109" s="6" t="str">
        <f>IFERROR(__xludf.DUMMYFUNCTION("""COMPUTED_VALUE"""),"8")</f>
        <v>8</v>
      </c>
      <c r="K1109" s="6" t="str">
        <f>IFERROR(__xludf.DUMMYFUNCTION("""COMPUTED_VALUE"""),"daryna.momot@2hourlearning.com")</f>
        <v>daryna.momot@2hourlearning.com</v>
      </c>
      <c r="L1109" s="6" t="str">
        <f>IFERROR(__xludf.DUMMYFUNCTION("""COMPUTED_VALUE"""),"Learn and Earn Poland")</f>
        <v>Learn and Earn Poland</v>
      </c>
      <c r="M1109" s="6" t="str">
        <f>IFERROR(__xludf.DUMMYFUNCTION("""COMPUTED_VALUE"""),"Poland ex-GTS")</f>
        <v>Poland ex-GTS</v>
      </c>
      <c r="N1109" s="6" t="str">
        <f>IFERROR(__xludf.DUMMYFUNCTION("""COMPUTED_VALUE"""),"")</f>
        <v/>
      </c>
      <c r="O1109" s="87" t="str">
        <f>IFERROR(__xludf.DUMMYFUNCTION("""COMPUTED_VALUE"""),"https://drive.google.com/drive/folders/10T2cTQHqEJZqE-st6uFKPoI?usp=share_link")</f>
        <v>https://drive.google.com/drive/folders/10T2cTQHqEJZqE-st6uFKPoI?usp=share_link</v>
      </c>
      <c r="P1109" s="6" t="str">
        <f>IFERROR(__xludf.DUMMYFUNCTION("""COMPUTED_VALUE"""),"Daryna Momot")</f>
        <v>Daryna Momot</v>
      </c>
      <c r="Q1109" s="6" t="str">
        <f>IFERROR(__xludf.DUMMYFUNCTION("""COMPUTED_VALUE"""),"MS")</f>
        <v>MS</v>
      </c>
      <c r="R1109" s="6">
        <f>IFERROR(__xludf.DUMMYFUNCTION("""COMPUTED_VALUE"""),0.0)</f>
        <v>0</v>
      </c>
      <c r="S1109" s="6" t="str">
        <f>IFERROR(__xludf.DUMMYFUNCTION("""COMPUTED_VALUE""")," ")</f>
        <v> </v>
      </c>
      <c r="T1109" s="6" t="str">
        <f>IFERROR(__xludf.DUMMYFUNCTION("""COMPUTED_VALUE"""),"")</f>
        <v/>
      </c>
      <c r="U1109" s="6" t="str">
        <f>IFERROR(__xludf.DUMMYFUNCTION("""COMPUTED_VALUE"""),"8")</f>
        <v>8</v>
      </c>
      <c r="V1109" s="6" t="str">
        <f>IFERROR(__xludf.DUMMYFUNCTION("""COMPUTED_VALUE"""),"English")</f>
        <v>English</v>
      </c>
      <c r="W1109" s="6" t="str">
        <f>IFERROR(__xludf.DUMMYFUNCTION("""COMPUTED_VALUE"""),"[]")</f>
        <v>[]</v>
      </c>
      <c r="X1109" s="6" t="str">
        <f>IFERROR(__xludf.DUMMYFUNCTION("""COMPUTED_VALUE"""),"Enrolled")</f>
        <v>Enrolled</v>
      </c>
    </row>
    <row r="1110">
      <c r="A1110" s="6" t="str">
        <f>IFERROR(__xludf.DUMMYFUNCTION("""COMPUTED_VALUE"""),"009-1329")</f>
        <v>009-1329</v>
      </c>
      <c r="B1110" s="6" t="str">
        <f>IFERROR(__xludf.DUMMYFUNCTION("""COMPUTED_VALUE"""),"9")</f>
        <v>9</v>
      </c>
      <c r="C1110" s="6" t="str">
        <f>IFERROR(__xludf.DUMMYFUNCTION("""COMPUTED_VALUE"""),"1329")</f>
        <v>1329</v>
      </c>
      <c r="D1110" s="6" t="str">
        <f>IFERROR(__xludf.DUMMYFUNCTION("""COMPUTED_VALUE"""),"Serhii")</f>
        <v>Serhii</v>
      </c>
      <c r="E1110" s="6" t="str">
        <f>IFERROR(__xludf.DUMMYFUNCTION("""COMPUTED_VALUE"""),"")</f>
        <v/>
      </c>
      <c r="F1110" s="6" t="str">
        <f>IFERROR(__xludf.DUMMYFUNCTION("""COMPUTED_VALUE"""),"Semesenko")</f>
        <v>Semesenko</v>
      </c>
      <c r="G1110" s="6" t="str">
        <f>IFERROR(__xludf.DUMMYFUNCTION("""COMPUTED_VALUE"""),"01/01/2009")</f>
        <v>01/01/2009</v>
      </c>
      <c r="H1110" s="6" t="str">
        <f>IFERROR(__xludf.DUMMYFUNCTION("""COMPUTED_VALUE"""),"Self Identify")</f>
        <v>Self Identify</v>
      </c>
      <c r="I1110" s="6" t="str">
        <f>IFERROR(__xludf.DUMMYFUNCTION("""COMPUTED_VALUE"""),"High School")</f>
        <v>High School</v>
      </c>
      <c r="J1110" s="6" t="str">
        <f>IFERROR(__xludf.DUMMYFUNCTION("""COMPUTED_VALUE"""),"10")</f>
        <v>10</v>
      </c>
      <c r="K1110" s="6" t="str">
        <f>IFERROR(__xludf.DUMMYFUNCTION("""COMPUTED_VALUE"""),"serhii.semesenko@2hourlearning.com")</f>
        <v>serhii.semesenko@2hourlearning.com</v>
      </c>
      <c r="L1110" s="6" t="str">
        <f>IFERROR(__xludf.DUMMYFUNCTION("""COMPUTED_VALUE"""),"Learn and Earn Poland")</f>
        <v>Learn and Earn Poland</v>
      </c>
      <c r="M1110" s="6" t="str">
        <f>IFERROR(__xludf.DUMMYFUNCTION("""COMPUTED_VALUE"""),"Poland ex-GTS")</f>
        <v>Poland ex-GTS</v>
      </c>
      <c r="N1110" s="6" t="str">
        <f>IFERROR(__xludf.DUMMYFUNCTION("""COMPUTED_VALUE"""),"")</f>
        <v/>
      </c>
      <c r="O1110" s="87" t="str">
        <f>IFERROR(__xludf.DUMMYFUNCTION("""COMPUTED_VALUE"""),"https://drive.google.com/drive/folders/10T2cTQHqEJZqE-st6uFKPoI?usp=share_link")</f>
        <v>https://drive.google.com/drive/folders/10T2cTQHqEJZqE-st6uFKPoI?usp=share_link</v>
      </c>
      <c r="P1110" s="6" t="str">
        <f>IFERROR(__xludf.DUMMYFUNCTION("""COMPUTED_VALUE"""),"Serhii Semesenko")</f>
        <v>Serhii Semesenko</v>
      </c>
      <c r="Q1110" s="6" t="str">
        <f>IFERROR(__xludf.DUMMYFUNCTION("""COMPUTED_VALUE"""),"HS")</f>
        <v>HS</v>
      </c>
      <c r="R1110" s="6">
        <f>IFERROR(__xludf.DUMMYFUNCTION("""COMPUTED_VALUE"""),0.0)</f>
        <v>0</v>
      </c>
      <c r="S1110" s="6" t="str">
        <f>IFERROR(__xludf.DUMMYFUNCTION("""COMPUTED_VALUE""")," ")</f>
        <v> </v>
      </c>
      <c r="T1110" s="6" t="str">
        <f>IFERROR(__xludf.DUMMYFUNCTION("""COMPUTED_VALUE"""),"")</f>
        <v/>
      </c>
      <c r="U1110" s="6" t="str">
        <f>IFERROR(__xludf.DUMMYFUNCTION("""COMPUTED_VALUE"""),"10")</f>
        <v>10</v>
      </c>
      <c r="V1110" s="6" t="str">
        <f>IFERROR(__xludf.DUMMYFUNCTION("""COMPUTED_VALUE"""),"English")</f>
        <v>English</v>
      </c>
      <c r="W1110" s="6" t="str">
        <f>IFERROR(__xludf.DUMMYFUNCTION("""COMPUTED_VALUE"""),"[]")</f>
        <v>[]</v>
      </c>
      <c r="X1110" s="6" t="str">
        <f>IFERROR(__xludf.DUMMYFUNCTION("""COMPUTED_VALUE"""),"Enrolled")</f>
        <v>Enrolled</v>
      </c>
    </row>
    <row r="1111">
      <c r="A1111" s="6" t="str">
        <f>IFERROR(__xludf.DUMMYFUNCTION("""COMPUTED_VALUE"""),"009-1330")</f>
        <v>009-1330</v>
      </c>
      <c r="B1111" s="6" t="str">
        <f>IFERROR(__xludf.DUMMYFUNCTION("""COMPUTED_VALUE"""),"9")</f>
        <v>9</v>
      </c>
      <c r="C1111" s="6" t="str">
        <f>IFERROR(__xludf.DUMMYFUNCTION("""COMPUTED_VALUE"""),"1330")</f>
        <v>1330</v>
      </c>
      <c r="D1111" s="6" t="str">
        <f>IFERROR(__xludf.DUMMYFUNCTION("""COMPUTED_VALUE"""),"Diana")</f>
        <v>Diana</v>
      </c>
      <c r="E1111" s="6" t="str">
        <f>IFERROR(__xludf.DUMMYFUNCTION("""COMPUTED_VALUE"""),"")</f>
        <v/>
      </c>
      <c r="F1111" s="6" t="str">
        <f>IFERROR(__xludf.DUMMYFUNCTION("""COMPUTED_VALUE"""),"Dediuk")</f>
        <v>Dediuk</v>
      </c>
      <c r="G1111" s="6" t="str">
        <f>IFERROR(__xludf.DUMMYFUNCTION("""COMPUTED_VALUE"""),"01/01/2008")</f>
        <v>01/01/2008</v>
      </c>
      <c r="H1111" s="6" t="str">
        <f>IFERROR(__xludf.DUMMYFUNCTION("""COMPUTED_VALUE"""),"Self Identify")</f>
        <v>Self Identify</v>
      </c>
      <c r="I1111" s="6" t="str">
        <f>IFERROR(__xludf.DUMMYFUNCTION("""COMPUTED_VALUE"""),"High School")</f>
        <v>High School</v>
      </c>
      <c r="J1111" s="6" t="str">
        <f>IFERROR(__xludf.DUMMYFUNCTION("""COMPUTED_VALUE"""),"11")</f>
        <v>11</v>
      </c>
      <c r="K1111" s="6" t="str">
        <f>IFERROR(__xludf.DUMMYFUNCTION("""COMPUTED_VALUE"""),"diana.dediuk@2hourlearning.com")</f>
        <v>diana.dediuk@2hourlearning.com</v>
      </c>
      <c r="L1111" s="6" t="str">
        <f>IFERROR(__xludf.DUMMYFUNCTION("""COMPUTED_VALUE"""),"Learn and Earn Poland")</f>
        <v>Learn and Earn Poland</v>
      </c>
      <c r="M1111" s="6" t="str">
        <f>IFERROR(__xludf.DUMMYFUNCTION("""COMPUTED_VALUE"""),"Poland ex-GTS")</f>
        <v>Poland ex-GTS</v>
      </c>
      <c r="N1111" s="6" t="str">
        <f>IFERROR(__xludf.DUMMYFUNCTION("""COMPUTED_VALUE"""),"")</f>
        <v/>
      </c>
      <c r="O1111" s="87" t="str">
        <f>IFERROR(__xludf.DUMMYFUNCTION("""COMPUTED_VALUE"""),"https://drive.google.com/drive/folders/10T2cTQHqEJZqE-st6uFKPoI?usp=share_link")</f>
        <v>https://drive.google.com/drive/folders/10T2cTQHqEJZqE-st6uFKPoI?usp=share_link</v>
      </c>
      <c r="P1111" s="6" t="str">
        <f>IFERROR(__xludf.DUMMYFUNCTION("""COMPUTED_VALUE"""),"Diana Dediuk")</f>
        <v>Diana Dediuk</v>
      </c>
      <c r="Q1111" s="6" t="str">
        <f>IFERROR(__xludf.DUMMYFUNCTION("""COMPUTED_VALUE"""),"HS")</f>
        <v>HS</v>
      </c>
      <c r="R1111" s="6">
        <f>IFERROR(__xludf.DUMMYFUNCTION("""COMPUTED_VALUE"""),0.0)</f>
        <v>0</v>
      </c>
      <c r="S1111" s="6" t="str">
        <f>IFERROR(__xludf.DUMMYFUNCTION("""COMPUTED_VALUE""")," ")</f>
        <v> </v>
      </c>
      <c r="T1111" s="6" t="str">
        <f>IFERROR(__xludf.DUMMYFUNCTION("""COMPUTED_VALUE"""),"")</f>
        <v/>
      </c>
      <c r="U1111" s="6" t="str">
        <f>IFERROR(__xludf.DUMMYFUNCTION("""COMPUTED_VALUE"""),"11")</f>
        <v>11</v>
      </c>
      <c r="V1111" s="6" t="str">
        <f>IFERROR(__xludf.DUMMYFUNCTION("""COMPUTED_VALUE"""),"English")</f>
        <v>English</v>
      </c>
      <c r="W1111" s="6" t="str">
        <f>IFERROR(__xludf.DUMMYFUNCTION("""COMPUTED_VALUE"""),"[]")</f>
        <v>[]</v>
      </c>
      <c r="X1111" s="6" t="str">
        <f>IFERROR(__xludf.DUMMYFUNCTION("""COMPUTED_VALUE"""),"Enrolled")</f>
        <v>Enrolled</v>
      </c>
    </row>
    <row r="1112">
      <c r="A1112" s="6" t="str">
        <f>IFERROR(__xludf.DUMMYFUNCTION("""COMPUTED_VALUE"""),"009-1331")</f>
        <v>009-1331</v>
      </c>
      <c r="B1112" s="6" t="str">
        <f>IFERROR(__xludf.DUMMYFUNCTION("""COMPUTED_VALUE"""),"9")</f>
        <v>9</v>
      </c>
      <c r="C1112" s="6" t="str">
        <f>IFERROR(__xludf.DUMMYFUNCTION("""COMPUTED_VALUE"""),"1331")</f>
        <v>1331</v>
      </c>
      <c r="D1112" s="6" t="str">
        <f>IFERROR(__xludf.DUMMYFUNCTION("""COMPUTED_VALUE"""),"Anna")</f>
        <v>Anna</v>
      </c>
      <c r="E1112" s="6" t="str">
        <f>IFERROR(__xludf.DUMMYFUNCTION("""COMPUTED_VALUE"""),"")</f>
        <v/>
      </c>
      <c r="F1112" s="6" t="str">
        <f>IFERROR(__xludf.DUMMYFUNCTION("""COMPUTED_VALUE"""),"Dorokhova")</f>
        <v>Dorokhova</v>
      </c>
      <c r="G1112" s="6" t="str">
        <f>IFERROR(__xludf.DUMMYFUNCTION("""COMPUTED_VALUE"""),"01/01/2012")</f>
        <v>01/01/2012</v>
      </c>
      <c r="H1112" s="6" t="str">
        <f>IFERROR(__xludf.DUMMYFUNCTION("""COMPUTED_VALUE"""),"Self Identify")</f>
        <v>Self Identify</v>
      </c>
      <c r="I1112" s="6" t="str">
        <f>IFERROR(__xludf.DUMMYFUNCTION("""COMPUTED_VALUE"""),"Middle School")</f>
        <v>Middle School</v>
      </c>
      <c r="J1112" s="6" t="str">
        <f>IFERROR(__xludf.DUMMYFUNCTION("""COMPUTED_VALUE"""),"7")</f>
        <v>7</v>
      </c>
      <c r="K1112" s="6" t="str">
        <f>IFERROR(__xludf.DUMMYFUNCTION("""COMPUTED_VALUE"""),"anna.dorokhova@2hourlearning.com")</f>
        <v>anna.dorokhova@2hourlearning.com</v>
      </c>
      <c r="L1112" s="6" t="str">
        <f>IFERROR(__xludf.DUMMYFUNCTION("""COMPUTED_VALUE"""),"Learn and Earn Poland")</f>
        <v>Learn and Earn Poland</v>
      </c>
      <c r="M1112" s="6" t="str">
        <f>IFERROR(__xludf.DUMMYFUNCTION("""COMPUTED_VALUE"""),"Poland ex-GTS")</f>
        <v>Poland ex-GTS</v>
      </c>
      <c r="N1112" s="6" t="str">
        <f>IFERROR(__xludf.DUMMYFUNCTION("""COMPUTED_VALUE"""),"")</f>
        <v/>
      </c>
      <c r="O1112" s="87" t="str">
        <f>IFERROR(__xludf.DUMMYFUNCTION("""COMPUTED_VALUE"""),"https://drive.google.com/drive/folders/10T2cTQHqEJZqE-st6uFKPoI?usp=share_link")</f>
        <v>https://drive.google.com/drive/folders/10T2cTQHqEJZqE-st6uFKPoI?usp=share_link</v>
      </c>
      <c r="P1112" s="6" t="str">
        <f>IFERROR(__xludf.DUMMYFUNCTION("""COMPUTED_VALUE"""),"Anna Dorokhova")</f>
        <v>Anna Dorokhova</v>
      </c>
      <c r="Q1112" s="6" t="str">
        <f>IFERROR(__xludf.DUMMYFUNCTION("""COMPUTED_VALUE"""),"MS")</f>
        <v>MS</v>
      </c>
      <c r="R1112" s="6">
        <f>IFERROR(__xludf.DUMMYFUNCTION("""COMPUTED_VALUE"""),0.0)</f>
        <v>0</v>
      </c>
      <c r="S1112" s="6" t="str">
        <f>IFERROR(__xludf.DUMMYFUNCTION("""COMPUTED_VALUE""")," ")</f>
        <v> </v>
      </c>
      <c r="T1112" s="6" t="str">
        <f>IFERROR(__xludf.DUMMYFUNCTION("""COMPUTED_VALUE"""),"")</f>
        <v/>
      </c>
      <c r="U1112" s="6" t="str">
        <f>IFERROR(__xludf.DUMMYFUNCTION("""COMPUTED_VALUE"""),"7")</f>
        <v>7</v>
      </c>
      <c r="V1112" s="6" t="str">
        <f>IFERROR(__xludf.DUMMYFUNCTION("""COMPUTED_VALUE"""),"English")</f>
        <v>English</v>
      </c>
      <c r="W1112" s="6" t="str">
        <f>IFERROR(__xludf.DUMMYFUNCTION("""COMPUTED_VALUE"""),"[]")</f>
        <v>[]</v>
      </c>
      <c r="X1112" s="6" t="str">
        <f>IFERROR(__xludf.DUMMYFUNCTION("""COMPUTED_VALUE"""),"Enrolled")</f>
        <v>Enrolled</v>
      </c>
    </row>
    <row r="1113">
      <c r="A1113" s="6" t="str">
        <f>IFERROR(__xludf.DUMMYFUNCTION("""COMPUTED_VALUE"""),"009-1332")</f>
        <v>009-1332</v>
      </c>
      <c r="B1113" s="6" t="str">
        <f>IFERROR(__xludf.DUMMYFUNCTION("""COMPUTED_VALUE"""),"9")</f>
        <v>9</v>
      </c>
      <c r="C1113" s="6" t="str">
        <f>IFERROR(__xludf.DUMMYFUNCTION("""COMPUTED_VALUE"""),"1332")</f>
        <v>1332</v>
      </c>
      <c r="D1113" s="6" t="str">
        <f>IFERROR(__xludf.DUMMYFUNCTION("""COMPUTED_VALUE"""),"Illia")</f>
        <v>Illia</v>
      </c>
      <c r="E1113" s="6" t="str">
        <f>IFERROR(__xludf.DUMMYFUNCTION("""COMPUTED_VALUE"""),"")</f>
        <v/>
      </c>
      <c r="F1113" s="6" t="str">
        <f>IFERROR(__xludf.DUMMYFUNCTION("""COMPUTED_VALUE"""),"Dovhal")</f>
        <v>Dovhal</v>
      </c>
      <c r="G1113" s="6" t="str">
        <f>IFERROR(__xludf.DUMMYFUNCTION("""COMPUTED_VALUE"""),"01/01/2012")</f>
        <v>01/01/2012</v>
      </c>
      <c r="H1113" s="6" t="str">
        <f>IFERROR(__xludf.DUMMYFUNCTION("""COMPUTED_VALUE"""),"Self Identify")</f>
        <v>Self Identify</v>
      </c>
      <c r="I1113" s="6" t="str">
        <f>IFERROR(__xludf.DUMMYFUNCTION("""COMPUTED_VALUE"""),"Middle School")</f>
        <v>Middle School</v>
      </c>
      <c r="J1113" s="6" t="str">
        <f>IFERROR(__xludf.DUMMYFUNCTION("""COMPUTED_VALUE"""),"7")</f>
        <v>7</v>
      </c>
      <c r="K1113" s="6" t="str">
        <f>IFERROR(__xludf.DUMMYFUNCTION("""COMPUTED_VALUE"""),"illia.dovhal@2hourlearning.com")</f>
        <v>illia.dovhal@2hourlearning.com</v>
      </c>
      <c r="L1113" s="6" t="str">
        <f>IFERROR(__xludf.DUMMYFUNCTION("""COMPUTED_VALUE"""),"Learn and Earn Poland")</f>
        <v>Learn and Earn Poland</v>
      </c>
      <c r="M1113" s="6" t="str">
        <f>IFERROR(__xludf.DUMMYFUNCTION("""COMPUTED_VALUE"""),"Poland ex-GTS")</f>
        <v>Poland ex-GTS</v>
      </c>
      <c r="N1113" s="6" t="str">
        <f>IFERROR(__xludf.DUMMYFUNCTION("""COMPUTED_VALUE"""),"")</f>
        <v/>
      </c>
      <c r="O1113" s="87" t="str">
        <f>IFERROR(__xludf.DUMMYFUNCTION("""COMPUTED_VALUE"""),"https://drive.google.com/drive/folders/10T2cTQHqEJZqE-st6uFKPoI?usp=share_link")</f>
        <v>https://drive.google.com/drive/folders/10T2cTQHqEJZqE-st6uFKPoI?usp=share_link</v>
      </c>
      <c r="P1113" s="6" t="str">
        <f>IFERROR(__xludf.DUMMYFUNCTION("""COMPUTED_VALUE"""),"Illia Dovhal")</f>
        <v>Illia Dovhal</v>
      </c>
      <c r="Q1113" s="6" t="str">
        <f>IFERROR(__xludf.DUMMYFUNCTION("""COMPUTED_VALUE"""),"MS")</f>
        <v>MS</v>
      </c>
      <c r="R1113" s="6">
        <f>IFERROR(__xludf.DUMMYFUNCTION("""COMPUTED_VALUE"""),0.0)</f>
        <v>0</v>
      </c>
      <c r="S1113" s="6" t="str">
        <f>IFERROR(__xludf.DUMMYFUNCTION("""COMPUTED_VALUE""")," ")</f>
        <v> </v>
      </c>
      <c r="T1113" s="6" t="str">
        <f>IFERROR(__xludf.DUMMYFUNCTION("""COMPUTED_VALUE"""),"")</f>
        <v/>
      </c>
      <c r="U1113" s="6" t="str">
        <f>IFERROR(__xludf.DUMMYFUNCTION("""COMPUTED_VALUE"""),"7")</f>
        <v>7</v>
      </c>
      <c r="V1113" s="6" t="str">
        <f>IFERROR(__xludf.DUMMYFUNCTION("""COMPUTED_VALUE"""),"English")</f>
        <v>English</v>
      </c>
      <c r="W1113" s="6" t="str">
        <f>IFERROR(__xludf.DUMMYFUNCTION("""COMPUTED_VALUE"""),"[]")</f>
        <v>[]</v>
      </c>
      <c r="X1113" s="6" t="str">
        <f>IFERROR(__xludf.DUMMYFUNCTION("""COMPUTED_VALUE"""),"Enrolled")</f>
        <v>Enrolled</v>
      </c>
    </row>
    <row r="1114">
      <c r="A1114" s="6" t="str">
        <f>IFERROR(__xludf.DUMMYFUNCTION("""COMPUTED_VALUE"""),"009-1333")</f>
        <v>009-1333</v>
      </c>
      <c r="B1114" s="6" t="str">
        <f>IFERROR(__xludf.DUMMYFUNCTION("""COMPUTED_VALUE"""),"9")</f>
        <v>9</v>
      </c>
      <c r="C1114" s="6" t="str">
        <f>IFERROR(__xludf.DUMMYFUNCTION("""COMPUTED_VALUE"""),"1333")</f>
        <v>1333</v>
      </c>
      <c r="D1114" s="6" t="str">
        <f>IFERROR(__xludf.DUMMYFUNCTION("""COMPUTED_VALUE"""),"Veronika")</f>
        <v>Veronika</v>
      </c>
      <c r="E1114" s="6" t="str">
        <f>IFERROR(__xludf.DUMMYFUNCTION("""COMPUTED_VALUE"""),"")</f>
        <v/>
      </c>
      <c r="F1114" s="6" t="str">
        <f>IFERROR(__xludf.DUMMYFUNCTION("""COMPUTED_VALUE"""),"Dovhal")</f>
        <v>Dovhal</v>
      </c>
      <c r="G1114" s="6" t="str">
        <f>IFERROR(__xludf.DUMMYFUNCTION("""COMPUTED_VALUE"""),"01/01/2013")</f>
        <v>01/01/2013</v>
      </c>
      <c r="H1114" s="6" t="str">
        <f>IFERROR(__xludf.DUMMYFUNCTION("""COMPUTED_VALUE"""),"Self Identify")</f>
        <v>Self Identify</v>
      </c>
      <c r="I1114" s="6" t="str">
        <f>IFERROR(__xludf.DUMMYFUNCTION("""COMPUTED_VALUE"""),"Middle School")</f>
        <v>Middle School</v>
      </c>
      <c r="J1114" s="6" t="str">
        <f>IFERROR(__xludf.DUMMYFUNCTION("""COMPUTED_VALUE"""),"6")</f>
        <v>6</v>
      </c>
      <c r="K1114" s="6" t="str">
        <f>IFERROR(__xludf.DUMMYFUNCTION("""COMPUTED_VALUE"""),"veronika.dovhal@2hourlearning.com")</f>
        <v>veronika.dovhal@2hourlearning.com</v>
      </c>
      <c r="L1114" s="6" t="str">
        <f>IFERROR(__xludf.DUMMYFUNCTION("""COMPUTED_VALUE"""),"Learn and Earn Poland")</f>
        <v>Learn and Earn Poland</v>
      </c>
      <c r="M1114" s="6" t="str">
        <f>IFERROR(__xludf.DUMMYFUNCTION("""COMPUTED_VALUE"""),"Poland ex-GTS")</f>
        <v>Poland ex-GTS</v>
      </c>
      <c r="N1114" s="6" t="str">
        <f>IFERROR(__xludf.DUMMYFUNCTION("""COMPUTED_VALUE"""),"")</f>
        <v/>
      </c>
      <c r="O1114" s="87" t="str">
        <f>IFERROR(__xludf.DUMMYFUNCTION("""COMPUTED_VALUE"""),"https://drive.google.com/drive/folders/10T2cTQHqEJZqE-st6uFKPoI?usp=share_link")</f>
        <v>https://drive.google.com/drive/folders/10T2cTQHqEJZqE-st6uFKPoI?usp=share_link</v>
      </c>
      <c r="P1114" s="6" t="str">
        <f>IFERROR(__xludf.DUMMYFUNCTION("""COMPUTED_VALUE"""),"Veronika Dovhal")</f>
        <v>Veronika Dovhal</v>
      </c>
      <c r="Q1114" s="6" t="str">
        <f>IFERROR(__xludf.DUMMYFUNCTION("""COMPUTED_VALUE"""),"MS")</f>
        <v>MS</v>
      </c>
      <c r="R1114" s="6">
        <f>IFERROR(__xludf.DUMMYFUNCTION("""COMPUTED_VALUE"""),0.0)</f>
        <v>0</v>
      </c>
      <c r="S1114" s="6" t="str">
        <f>IFERROR(__xludf.DUMMYFUNCTION("""COMPUTED_VALUE""")," ")</f>
        <v> </v>
      </c>
      <c r="T1114" s="6" t="str">
        <f>IFERROR(__xludf.DUMMYFUNCTION("""COMPUTED_VALUE"""),"")</f>
        <v/>
      </c>
      <c r="U1114" s="6" t="str">
        <f>IFERROR(__xludf.DUMMYFUNCTION("""COMPUTED_VALUE"""),"6")</f>
        <v>6</v>
      </c>
      <c r="V1114" s="6" t="str">
        <f>IFERROR(__xludf.DUMMYFUNCTION("""COMPUTED_VALUE"""),"English")</f>
        <v>English</v>
      </c>
      <c r="W1114" s="6" t="str">
        <f>IFERROR(__xludf.DUMMYFUNCTION("""COMPUTED_VALUE"""),"[]")</f>
        <v>[]</v>
      </c>
      <c r="X1114" s="6" t="str">
        <f>IFERROR(__xludf.DUMMYFUNCTION("""COMPUTED_VALUE"""),"Enrolled")</f>
        <v>Enrolled</v>
      </c>
    </row>
    <row r="1115">
      <c r="A1115" s="6" t="str">
        <f>IFERROR(__xludf.DUMMYFUNCTION("""COMPUTED_VALUE"""),"009-1334")</f>
        <v>009-1334</v>
      </c>
      <c r="B1115" s="6" t="str">
        <f>IFERROR(__xludf.DUMMYFUNCTION("""COMPUTED_VALUE"""),"9")</f>
        <v>9</v>
      </c>
      <c r="C1115" s="6" t="str">
        <f>IFERROR(__xludf.DUMMYFUNCTION("""COMPUTED_VALUE"""),"1334")</f>
        <v>1334</v>
      </c>
      <c r="D1115" s="6" t="str">
        <f>IFERROR(__xludf.DUMMYFUNCTION("""COMPUTED_VALUE"""),"Yeva")</f>
        <v>Yeva</v>
      </c>
      <c r="E1115" s="6" t="str">
        <f>IFERROR(__xludf.DUMMYFUNCTION("""COMPUTED_VALUE"""),"")</f>
        <v/>
      </c>
      <c r="F1115" s="6" t="str">
        <f>IFERROR(__xludf.DUMMYFUNCTION("""COMPUTED_VALUE"""),"Nalisnikovska")</f>
        <v>Nalisnikovska</v>
      </c>
      <c r="G1115" s="6" t="str">
        <f>IFERROR(__xludf.DUMMYFUNCTION("""COMPUTED_VALUE"""),"01/01/2018")</f>
        <v>01/01/2018</v>
      </c>
      <c r="H1115" s="6" t="str">
        <f>IFERROR(__xludf.DUMMYFUNCTION("""COMPUTED_VALUE"""),"Self Identify")</f>
        <v>Self Identify</v>
      </c>
      <c r="I1115" s="6" t="str">
        <f>IFERROR(__xludf.DUMMYFUNCTION("""COMPUTED_VALUE"""),"Learning Lab")</f>
        <v>Learning Lab</v>
      </c>
      <c r="J1115" s="6" t="str">
        <f>IFERROR(__xludf.DUMMYFUNCTION("""COMPUTED_VALUE"""),"1")</f>
        <v>1</v>
      </c>
      <c r="K1115" s="6" t="str">
        <f>IFERROR(__xludf.DUMMYFUNCTION("""COMPUTED_VALUE"""),"yeva.nalisnikovska@2hourlearning.com")</f>
        <v>yeva.nalisnikovska@2hourlearning.com</v>
      </c>
      <c r="L1115" s="6" t="str">
        <f>IFERROR(__xludf.DUMMYFUNCTION("""COMPUTED_VALUE"""),"Learn and Earn Poland")</f>
        <v>Learn and Earn Poland</v>
      </c>
      <c r="M1115" s="6" t="str">
        <f>IFERROR(__xludf.DUMMYFUNCTION("""COMPUTED_VALUE"""),"Poland ex-GTS")</f>
        <v>Poland ex-GTS</v>
      </c>
      <c r="N1115" s="6" t="str">
        <f>IFERROR(__xludf.DUMMYFUNCTION("""COMPUTED_VALUE"""),"")</f>
        <v/>
      </c>
      <c r="O1115" s="87" t="str">
        <f>IFERROR(__xludf.DUMMYFUNCTION("""COMPUTED_VALUE"""),"https://drive.google.com/drive/folders/10T2cTQHqEJZqE-st6uFKPoI?usp=share_link")</f>
        <v>https://drive.google.com/drive/folders/10T2cTQHqEJZqE-st6uFKPoI?usp=share_link</v>
      </c>
      <c r="P1115" s="6" t="str">
        <f>IFERROR(__xludf.DUMMYFUNCTION("""COMPUTED_VALUE"""),"Yeva Nalisnikovska")</f>
        <v>Yeva Nalisnikovska</v>
      </c>
      <c r="Q1115" s="6" t="str">
        <f>IFERROR(__xludf.DUMMYFUNCTION("""COMPUTED_VALUE"""),"LL")</f>
        <v>LL</v>
      </c>
      <c r="R1115" s="6">
        <f>IFERROR(__xludf.DUMMYFUNCTION("""COMPUTED_VALUE"""),0.0)</f>
        <v>0</v>
      </c>
      <c r="S1115" s="6" t="str">
        <f>IFERROR(__xludf.DUMMYFUNCTION("""COMPUTED_VALUE""")," ")</f>
        <v> </v>
      </c>
      <c r="T1115" s="6" t="str">
        <f>IFERROR(__xludf.DUMMYFUNCTION("""COMPUTED_VALUE"""),"")</f>
        <v/>
      </c>
      <c r="U1115" s="6" t="str">
        <f>IFERROR(__xludf.DUMMYFUNCTION("""COMPUTED_VALUE"""),"1")</f>
        <v>1</v>
      </c>
      <c r="V1115" s="6" t="str">
        <f>IFERROR(__xludf.DUMMYFUNCTION("""COMPUTED_VALUE"""),"English")</f>
        <v>English</v>
      </c>
      <c r="W1115" s="6" t="str">
        <f>IFERROR(__xludf.DUMMYFUNCTION("""COMPUTED_VALUE"""),"[]")</f>
        <v>[]</v>
      </c>
      <c r="X1115" s="6" t="str">
        <f>IFERROR(__xludf.DUMMYFUNCTION("""COMPUTED_VALUE"""),"Enrolled")</f>
        <v>Enrolled</v>
      </c>
    </row>
    <row r="1116">
      <c r="A1116" s="6" t="str">
        <f>IFERROR(__xludf.DUMMYFUNCTION("""COMPUTED_VALUE"""),"009-1335")</f>
        <v>009-1335</v>
      </c>
      <c r="B1116" s="6" t="str">
        <f>IFERROR(__xludf.DUMMYFUNCTION("""COMPUTED_VALUE"""),"9")</f>
        <v>9</v>
      </c>
      <c r="C1116" s="6" t="str">
        <f>IFERROR(__xludf.DUMMYFUNCTION("""COMPUTED_VALUE"""),"1335")</f>
        <v>1335</v>
      </c>
      <c r="D1116" s="6" t="str">
        <f>IFERROR(__xludf.DUMMYFUNCTION("""COMPUTED_VALUE"""),"Yelyzaveta")</f>
        <v>Yelyzaveta</v>
      </c>
      <c r="E1116" s="6" t="str">
        <f>IFERROR(__xludf.DUMMYFUNCTION("""COMPUTED_VALUE"""),"")</f>
        <v/>
      </c>
      <c r="F1116" s="6" t="str">
        <f>IFERROR(__xludf.DUMMYFUNCTION("""COMPUTED_VALUE"""),"Liebiedieva")</f>
        <v>Liebiedieva</v>
      </c>
      <c r="G1116" s="6" t="str">
        <f>IFERROR(__xludf.DUMMYFUNCTION("""COMPUTED_VALUE"""),"01/01/2016")</f>
        <v>01/01/2016</v>
      </c>
      <c r="H1116" s="6" t="str">
        <f>IFERROR(__xludf.DUMMYFUNCTION("""COMPUTED_VALUE"""),"Self Identify")</f>
        <v>Self Identify</v>
      </c>
      <c r="I1116" s="6" t="str">
        <f>IFERROR(__xludf.DUMMYFUNCTION("""COMPUTED_VALUE"""),"Level 1")</f>
        <v>Level 1</v>
      </c>
      <c r="J1116" s="6" t="str">
        <f>IFERROR(__xludf.DUMMYFUNCTION("""COMPUTED_VALUE"""),"3")</f>
        <v>3</v>
      </c>
      <c r="K1116" s="6" t="str">
        <f>IFERROR(__xludf.DUMMYFUNCTION("""COMPUTED_VALUE"""),"yelyzaveta.liebiedieva@2hourlearning.com")</f>
        <v>yelyzaveta.liebiedieva@2hourlearning.com</v>
      </c>
      <c r="L1116" s="6" t="str">
        <f>IFERROR(__xludf.DUMMYFUNCTION("""COMPUTED_VALUE"""),"Learn and Earn Poland")</f>
        <v>Learn and Earn Poland</v>
      </c>
      <c r="M1116" s="6" t="str">
        <f>IFERROR(__xludf.DUMMYFUNCTION("""COMPUTED_VALUE"""),"Poland ex-GTS")</f>
        <v>Poland ex-GTS</v>
      </c>
      <c r="N1116" s="6" t="str">
        <f>IFERROR(__xludf.DUMMYFUNCTION("""COMPUTED_VALUE"""),"")</f>
        <v/>
      </c>
      <c r="O1116" s="87" t="str">
        <f>IFERROR(__xludf.DUMMYFUNCTION("""COMPUTED_VALUE"""),"https://drive.google.com/drive/folders/10T2cTQHqEJZqE-st6uFKPoI?usp=share_link")</f>
        <v>https://drive.google.com/drive/folders/10T2cTQHqEJZqE-st6uFKPoI?usp=share_link</v>
      </c>
      <c r="P1116" s="6" t="str">
        <f>IFERROR(__xludf.DUMMYFUNCTION("""COMPUTED_VALUE"""),"Yelyzaveta Liebiedieva")</f>
        <v>Yelyzaveta Liebiedieva</v>
      </c>
      <c r="Q1116" s="6" t="str">
        <f>IFERROR(__xludf.DUMMYFUNCTION("""COMPUTED_VALUE"""),"L1")</f>
        <v>L1</v>
      </c>
      <c r="R1116" s="6">
        <f>IFERROR(__xludf.DUMMYFUNCTION("""COMPUTED_VALUE"""),1.0)</f>
        <v>1</v>
      </c>
      <c r="S1116" s="6" t="str">
        <f>IFERROR(__xludf.DUMMYFUNCTION("""COMPUTED_VALUE""")," ")</f>
        <v> </v>
      </c>
      <c r="T1116" s="6" t="str">
        <f>IFERROR(__xludf.DUMMYFUNCTION("""COMPUTED_VALUE"""),"")</f>
        <v/>
      </c>
      <c r="U1116" s="6" t="str">
        <f>IFERROR(__xludf.DUMMYFUNCTION("""COMPUTED_VALUE"""),"3")</f>
        <v>3</v>
      </c>
      <c r="V1116" s="6" t="str">
        <f>IFERROR(__xludf.DUMMYFUNCTION("""COMPUTED_VALUE"""),"English")</f>
        <v>English</v>
      </c>
      <c r="W1116" s="6" t="str">
        <f>IFERROR(__xludf.DUMMYFUNCTION("""COMPUTED_VALUE"""),"[]")</f>
        <v>[]</v>
      </c>
      <c r="X1116" s="6" t="str">
        <f>IFERROR(__xludf.DUMMYFUNCTION("""COMPUTED_VALUE"""),"Enrolled")</f>
        <v>Enrolled</v>
      </c>
    </row>
    <row r="1117">
      <c r="A1117" s="6" t="str">
        <f>IFERROR(__xludf.DUMMYFUNCTION("""COMPUTED_VALUE"""),"009-1336")</f>
        <v>009-1336</v>
      </c>
      <c r="B1117" s="6" t="str">
        <f>IFERROR(__xludf.DUMMYFUNCTION("""COMPUTED_VALUE"""),"9")</f>
        <v>9</v>
      </c>
      <c r="C1117" s="6" t="str">
        <f>IFERROR(__xludf.DUMMYFUNCTION("""COMPUTED_VALUE"""),"1336")</f>
        <v>1336</v>
      </c>
      <c r="D1117" s="6" t="str">
        <f>IFERROR(__xludf.DUMMYFUNCTION("""COMPUTED_VALUE"""),"Kryvenets")</f>
        <v>Kryvenets</v>
      </c>
      <c r="E1117" s="6" t="str">
        <f>IFERROR(__xludf.DUMMYFUNCTION("""COMPUTED_VALUE"""),"")</f>
        <v/>
      </c>
      <c r="F1117" s="6" t="str">
        <f>IFERROR(__xludf.DUMMYFUNCTION("""COMPUTED_VALUE"""),"Albina")</f>
        <v>Albina</v>
      </c>
      <c r="G1117" s="6" t="str">
        <f>IFERROR(__xludf.DUMMYFUNCTION("""COMPUTED_VALUE"""),"01/01/2015")</f>
        <v>01/01/2015</v>
      </c>
      <c r="H1117" s="6" t="str">
        <f>IFERROR(__xludf.DUMMYFUNCTION("""COMPUTED_VALUE"""),"Self Identify")</f>
        <v>Self Identify</v>
      </c>
      <c r="I1117" s="6" t="str">
        <f>IFERROR(__xludf.DUMMYFUNCTION("""COMPUTED_VALUE"""),"Level 2")</f>
        <v>Level 2</v>
      </c>
      <c r="J1117" s="6" t="str">
        <f>IFERROR(__xludf.DUMMYFUNCTION("""COMPUTED_VALUE"""),"4")</f>
        <v>4</v>
      </c>
      <c r="K1117" s="6" t="str">
        <f>IFERROR(__xludf.DUMMYFUNCTION("""COMPUTED_VALUE"""),"kryvenets.albina@2hourlearning.com")</f>
        <v>kryvenets.albina@2hourlearning.com</v>
      </c>
      <c r="L1117" s="6" t="str">
        <f>IFERROR(__xludf.DUMMYFUNCTION("""COMPUTED_VALUE"""),"Learn and Earn Poland")</f>
        <v>Learn and Earn Poland</v>
      </c>
      <c r="M1117" s="6" t="str">
        <f>IFERROR(__xludf.DUMMYFUNCTION("""COMPUTED_VALUE"""),"Poland ex-GTS")</f>
        <v>Poland ex-GTS</v>
      </c>
      <c r="N1117" s="6" t="str">
        <f>IFERROR(__xludf.DUMMYFUNCTION("""COMPUTED_VALUE"""),"")</f>
        <v/>
      </c>
      <c r="O1117" s="87" t="str">
        <f>IFERROR(__xludf.DUMMYFUNCTION("""COMPUTED_VALUE"""),"https://drive.google.com/drive/folders/10T2cTQHqEJZqE-st6uFKPoI?usp=share_link")</f>
        <v>https://drive.google.com/drive/folders/10T2cTQHqEJZqE-st6uFKPoI?usp=share_link</v>
      </c>
      <c r="P1117" s="6" t="str">
        <f>IFERROR(__xludf.DUMMYFUNCTION("""COMPUTED_VALUE"""),"Kryvenets Albina")</f>
        <v>Kryvenets Albina</v>
      </c>
      <c r="Q1117" s="6" t="str">
        <f>IFERROR(__xludf.DUMMYFUNCTION("""COMPUTED_VALUE"""),"L2")</f>
        <v>L2</v>
      </c>
      <c r="R1117" s="6">
        <f>IFERROR(__xludf.DUMMYFUNCTION("""COMPUTED_VALUE"""),2.0)</f>
        <v>2</v>
      </c>
      <c r="S1117" s="6" t="str">
        <f>IFERROR(__xludf.DUMMYFUNCTION("""COMPUTED_VALUE""")," ")</f>
        <v> </v>
      </c>
      <c r="T1117" s="6" t="str">
        <f>IFERROR(__xludf.DUMMYFUNCTION("""COMPUTED_VALUE"""),"")</f>
        <v/>
      </c>
      <c r="U1117" s="6" t="str">
        <f>IFERROR(__xludf.DUMMYFUNCTION("""COMPUTED_VALUE"""),"4")</f>
        <v>4</v>
      </c>
      <c r="V1117" s="6" t="str">
        <f>IFERROR(__xludf.DUMMYFUNCTION("""COMPUTED_VALUE"""),"English")</f>
        <v>English</v>
      </c>
      <c r="W1117" s="6" t="str">
        <f>IFERROR(__xludf.DUMMYFUNCTION("""COMPUTED_VALUE"""),"[]")</f>
        <v>[]</v>
      </c>
      <c r="X1117" s="6" t="str">
        <f>IFERROR(__xludf.DUMMYFUNCTION("""COMPUTED_VALUE"""),"Enrolled")</f>
        <v>Enrolled</v>
      </c>
    </row>
    <row r="1118">
      <c r="A1118" s="6" t="str">
        <f>IFERROR(__xludf.DUMMYFUNCTION("""COMPUTED_VALUE"""),"009-1337")</f>
        <v>009-1337</v>
      </c>
      <c r="B1118" s="6" t="str">
        <f>IFERROR(__xludf.DUMMYFUNCTION("""COMPUTED_VALUE"""),"9")</f>
        <v>9</v>
      </c>
      <c r="C1118" s="6" t="str">
        <f>IFERROR(__xludf.DUMMYFUNCTION("""COMPUTED_VALUE"""),"1337")</f>
        <v>1337</v>
      </c>
      <c r="D1118" s="6" t="str">
        <f>IFERROR(__xludf.DUMMYFUNCTION("""COMPUTED_VALUE"""),"Homoki")</f>
        <v>Homoki</v>
      </c>
      <c r="E1118" s="6" t="str">
        <f>IFERROR(__xludf.DUMMYFUNCTION("""COMPUTED_VALUE"""),"")</f>
        <v/>
      </c>
      <c r="F1118" s="6" t="str">
        <f>IFERROR(__xludf.DUMMYFUNCTION("""COMPUTED_VALUE"""),"Reka")</f>
        <v>Reka</v>
      </c>
      <c r="G1118" s="6" t="str">
        <f>IFERROR(__xludf.DUMMYFUNCTION("""COMPUTED_VALUE"""),"01/01/2016")</f>
        <v>01/01/2016</v>
      </c>
      <c r="H1118" s="6" t="str">
        <f>IFERROR(__xludf.DUMMYFUNCTION("""COMPUTED_VALUE"""),"Self Identify")</f>
        <v>Self Identify</v>
      </c>
      <c r="I1118" s="6" t="str">
        <f>IFERROR(__xludf.DUMMYFUNCTION("""COMPUTED_VALUE"""),"Level 1")</f>
        <v>Level 1</v>
      </c>
      <c r="J1118" s="6" t="str">
        <f>IFERROR(__xludf.DUMMYFUNCTION("""COMPUTED_VALUE"""),"3")</f>
        <v>3</v>
      </c>
      <c r="K1118" s="6" t="str">
        <f>IFERROR(__xludf.DUMMYFUNCTION("""COMPUTED_VALUE"""),"homoki.reka@2hourlearning.com")</f>
        <v>homoki.reka@2hourlearning.com</v>
      </c>
      <c r="L1118" s="6" t="str">
        <f>IFERROR(__xludf.DUMMYFUNCTION("""COMPUTED_VALUE"""),"Learn and Earn Poland")</f>
        <v>Learn and Earn Poland</v>
      </c>
      <c r="M1118" s="6" t="str">
        <f>IFERROR(__xludf.DUMMYFUNCTION("""COMPUTED_VALUE"""),"Poland ex-GTS")</f>
        <v>Poland ex-GTS</v>
      </c>
      <c r="N1118" s="6" t="str">
        <f>IFERROR(__xludf.DUMMYFUNCTION("""COMPUTED_VALUE"""),"")</f>
        <v/>
      </c>
      <c r="O1118" s="87" t="str">
        <f>IFERROR(__xludf.DUMMYFUNCTION("""COMPUTED_VALUE"""),"https://drive.google.com/drive/folders/10T2cTQHqEJZqE-st6uFKPoI?usp=share_link")</f>
        <v>https://drive.google.com/drive/folders/10T2cTQHqEJZqE-st6uFKPoI?usp=share_link</v>
      </c>
      <c r="P1118" s="6" t="str">
        <f>IFERROR(__xludf.DUMMYFUNCTION("""COMPUTED_VALUE"""),"Homoki Reka")</f>
        <v>Homoki Reka</v>
      </c>
      <c r="Q1118" s="6" t="str">
        <f>IFERROR(__xludf.DUMMYFUNCTION("""COMPUTED_VALUE"""),"L1")</f>
        <v>L1</v>
      </c>
      <c r="R1118" s="6">
        <f>IFERROR(__xludf.DUMMYFUNCTION("""COMPUTED_VALUE"""),1.0)</f>
        <v>1</v>
      </c>
      <c r="S1118" s="6" t="str">
        <f>IFERROR(__xludf.DUMMYFUNCTION("""COMPUTED_VALUE""")," ")</f>
        <v> </v>
      </c>
      <c r="T1118" s="6" t="str">
        <f>IFERROR(__xludf.DUMMYFUNCTION("""COMPUTED_VALUE"""),"")</f>
        <v/>
      </c>
      <c r="U1118" s="6" t="str">
        <f>IFERROR(__xludf.DUMMYFUNCTION("""COMPUTED_VALUE"""),"3")</f>
        <v>3</v>
      </c>
      <c r="V1118" s="6" t="str">
        <f>IFERROR(__xludf.DUMMYFUNCTION("""COMPUTED_VALUE"""),"English")</f>
        <v>English</v>
      </c>
      <c r="W1118" s="6" t="str">
        <f>IFERROR(__xludf.DUMMYFUNCTION("""COMPUTED_VALUE"""),"[]")</f>
        <v>[]</v>
      </c>
      <c r="X1118" s="6" t="str">
        <f>IFERROR(__xludf.DUMMYFUNCTION("""COMPUTED_VALUE"""),"Enrolled")</f>
        <v>Enrolled</v>
      </c>
    </row>
    <row r="1119">
      <c r="A1119" s="6" t="str">
        <f>IFERROR(__xludf.DUMMYFUNCTION("""COMPUTED_VALUE"""),"009-1338")</f>
        <v>009-1338</v>
      </c>
      <c r="B1119" s="6" t="str">
        <f>IFERROR(__xludf.DUMMYFUNCTION("""COMPUTED_VALUE"""),"9")</f>
        <v>9</v>
      </c>
      <c r="C1119" s="6" t="str">
        <f>IFERROR(__xludf.DUMMYFUNCTION("""COMPUTED_VALUE"""),"1338")</f>
        <v>1338</v>
      </c>
      <c r="D1119" s="6" t="str">
        <f>IFERROR(__xludf.DUMMYFUNCTION("""COMPUTED_VALUE"""),"Oleksandr")</f>
        <v>Oleksandr</v>
      </c>
      <c r="E1119" s="6" t="str">
        <f>IFERROR(__xludf.DUMMYFUNCTION("""COMPUTED_VALUE"""),"")</f>
        <v/>
      </c>
      <c r="F1119" s="6" t="str">
        <f>IFERROR(__xludf.DUMMYFUNCTION("""COMPUTED_VALUE"""),"Chopik")</f>
        <v>Chopik</v>
      </c>
      <c r="G1119" s="6" t="str">
        <f>IFERROR(__xludf.DUMMYFUNCTION("""COMPUTED_VALUE"""),"01/01/2017")</f>
        <v>01/01/2017</v>
      </c>
      <c r="H1119" s="6" t="str">
        <f>IFERROR(__xludf.DUMMYFUNCTION("""COMPUTED_VALUE"""),"Self Identify")</f>
        <v>Self Identify</v>
      </c>
      <c r="I1119" s="6" t="str">
        <f>IFERROR(__xludf.DUMMYFUNCTION("""COMPUTED_VALUE"""),"Level 1")</f>
        <v>Level 1</v>
      </c>
      <c r="J1119" s="6" t="str">
        <f>IFERROR(__xludf.DUMMYFUNCTION("""COMPUTED_VALUE"""),"2")</f>
        <v>2</v>
      </c>
      <c r="K1119" s="6" t="str">
        <f>IFERROR(__xludf.DUMMYFUNCTION("""COMPUTED_VALUE"""),"oleksandr.chopik@2hourlearning.com")</f>
        <v>oleksandr.chopik@2hourlearning.com</v>
      </c>
      <c r="L1119" s="6" t="str">
        <f>IFERROR(__xludf.DUMMYFUNCTION("""COMPUTED_VALUE"""),"Learn and Earn Poland")</f>
        <v>Learn and Earn Poland</v>
      </c>
      <c r="M1119" s="6" t="str">
        <f>IFERROR(__xludf.DUMMYFUNCTION("""COMPUTED_VALUE"""),"Poland ex-GTS")</f>
        <v>Poland ex-GTS</v>
      </c>
      <c r="N1119" s="6" t="str">
        <f>IFERROR(__xludf.DUMMYFUNCTION("""COMPUTED_VALUE"""),"")</f>
        <v/>
      </c>
      <c r="O1119" s="87" t="str">
        <f>IFERROR(__xludf.DUMMYFUNCTION("""COMPUTED_VALUE"""),"https://drive.google.com/drive/folders/10T2cTQHqEJZqE-st6uFKPoI?usp=share_link")</f>
        <v>https://drive.google.com/drive/folders/10T2cTQHqEJZqE-st6uFKPoI?usp=share_link</v>
      </c>
      <c r="P1119" s="6" t="str">
        <f>IFERROR(__xludf.DUMMYFUNCTION("""COMPUTED_VALUE"""),"Oleksandr Chopik")</f>
        <v>Oleksandr Chopik</v>
      </c>
      <c r="Q1119" s="6" t="str">
        <f>IFERROR(__xludf.DUMMYFUNCTION("""COMPUTED_VALUE"""),"L1")</f>
        <v>L1</v>
      </c>
      <c r="R1119" s="6">
        <f>IFERROR(__xludf.DUMMYFUNCTION("""COMPUTED_VALUE"""),1.0)</f>
        <v>1</v>
      </c>
      <c r="S1119" s="6" t="str">
        <f>IFERROR(__xludf.DUMMYFUNCTION("""COMPUTED_VALUE""")," ")</f>
        <v> </v>
      </c>
      <c r="T1119" s="6" t="str">
        <f>IFERROR(__xludf.DUMMYFUNCTION("""COMPUTED_VALUE"""),"")</f>
        <v/>
      </c>
      <c r="U1119" s="6" t="str">
        <f>IFERROR(__xludf.DUMMYFUNCTION("""COMPUTED_VALUE"""),"2")</f>
        <v>2</v>
      </c>
      <c r="V1119" s="6" t="str">
        <f>IFERROR(__xludf.DUMMYFUNCTION("""COMPUTED_VALUE"""),"English")</f>
        <v>English</v>
      </c>
      <c r="W1119" s="6" t="str">
        <f>IFERROR(__xludf.DUMMYFUNCTION("""COMPUTED_VALUE"""),"[]")</f>
        <v>[]</v>
      </c>
      <c r="X1119" s="6" t="str">
        <f>IFERROR(__xludf.DUMMYFUNCTION("""COMPUTED_VALUE"""),"Enrolled")</f>
        <v>Enrolled</v>
      </c>
    </row>
    <row r="1120">
      <c r="A1120" s="6" t="str">
        <f>IFERROR(__xludf.DUMMYFUNCTION("""COMPUTED_VALUE"""),"009-1339")</f>
        <v>009-1339</v>
      </c>
      <c r="B1120" s="6" t="str">
        <f>IFERROR(__xludf.DUMMYFUNCTION("""COMPUTED_VALUE"""),"9")</f>
        <v>9</v>
      </c>
      <c r="C1120" s="6" t="str">
        <f>IFERROR(__xludf.DUMMYFUNCTION("""COMPUTED_VALUE"""),"1339")</f>
        <v>1339</v>
      </c>
      <c r="D1120" s="6" t="str">
        <f>IFERROR(__xludf.DUMMYFUNCTION("""COMPUTED_VALUE"""),"Oleksandr")</f>
        <v>Oleksandr</v>
      </c>
      <c r="E1120" s="6" t="str">
        <f>IFERROR(__xludf.DUMMYFUNCTION("""COMPUTED_VALUE"""),"")</f>
        <v/>
      </c>
      <c r="F1120" s="6" t="str">
        <f>IFERROR(__xludf.DUMMYFUNCTION("""COMPUTED_VALUE"""),"Sharyi")</f>
        <v>Sharyi</v>
      </c>
      <c r="G1120" s="6" t="str">
        <f>IFERROR(__xludf.DUMMYFUNCTION("""COMPUTED_VALUE"""),"01/01/2010")</f>
        <v>01/01/2010</v>
      </c>
      <c r="H1120" s="6" t="str">
        <f>IFERROR(__xludf.DUMMYFUNCTION("""COMPUTED_VALUE"""),"Self Identify")</f>
        <v>Self Identify</v>
      </c>
      <c r="I1120" s="6" t="str">
        <f>IFERROR(__xludf.DUMMYFUNCTION("""COMPUTED_VALUE"""),"High School")</f>
        <v>High School</v>
      </c>
      <c r="J1120" s="6" t="str">
        <f>IFERROR(__xludf.DUMMYFUNCTION("""COMPUTED_VALUE"""),"9")</f>
        <v>9</v>
      </c>
      <c r="K1120" s="6" t="str">
        <f>IFERROR(__xludf.DUMMYFUNCTION("""COMPUTED_VALUE"""),"oleksandr.sharyi@2hourlearning.com")</f>
        <v>oleksandr.sharyi@2hourlearning.com</v>
      </c>
      <c r="L1120" s="6" t="str">
        <f>IFERROR(__xludf.DUMMYFUNCTION("""COMPUTED_VALUE"""),"Learn and Earn Poland")</f>
        <v>Learn and Earn Poland</v>
      </c>
      <c r="M1120" s="6" t="str">
        <f>IFERROR(__xludf.DUMMYFUNCTION("""COMPUTED_VALUE"""),"Poland ex-GTS")</f>
        <v>Poland ex-GTS</v>
      </c>
      <c r="N1120" s="6" t="str">
        <f>IFERROR(__xludf.DUMMYFUNCTION("""COMPUTED_VALUE"""),"")</f>
        <v/>
      </c>
      <c r="O1120" s="87" t="str">
        <f>IFERROR(__xludf.DUMMYFUNCTION("""COMPUTED_VALUE"""),"https://drive.google.com/drive/folders/10T2cTQHqEJZqE-st6uFKPoI?usp=share_link")</f>
        <v>https://drive.google.com/drive/folders/10T2cTQHqEJZqE-st6uFKPoI?usp=share_link</v>
      </c>
      <c r="P1120" s="6" t="str">
        <f>IFERROR(__xludf.DUMMYFUNCTION("""COMPUTED_VALUE"""),"Oleksandr Sharyi")</f>
        <v>Oleksandr Sharyi</v>
      </c>
      <c r="Q1120" s="6" t="str">
        <f>IFERROR(__xludf.DUMMYFUNCTION("""COMPUTED_VALUE"""),"HS")</f>
        <v>HS</v>
      </c>
      <c r="R1120" s="6">
        <f>IFERROR(__xludf.DUMMYFUNCTION("""COMPUTED_VALUE"""),0.0)</f>
        <v>0</v>
      </c>
      <c r="S1120" s="6" t="str">
        <f>IFERROR(__xludf.DUMMYFUNCTION("""COMPUTED_VALUE""")," ")</f>
        <v> </v>
      </c>
      <c r="T1120" s="6" t="str">
        <f>IFERROR(__xludf.DUMMYFUNCTION("""COMPUTED_VALUE"""),"")</f>
        <v/>
      </c>
      <c r="U1120" s="6" t="str">
        <f>IFERROR(__xludf.DUMMYFUNCTION("""COMPUTED_VALUE"""),"9")</f>
        <v>9</v>
      </c>
      <c r="V1120" s="6" t="str">
        <f>IFERROR(__xludf.DUMMYFUNCTION("""COMPUTED_VALUE"""),"English")</f>
        <v>English</v>
      </c>
      <c r="W1120" s="6" t="str">
        <f>IFERROR(__xludf.DUMMYFUNCTION("""COMPUTED_VALUE"""),"[]")</f>
        <v>[]</v>
      </c>
      <c r="X1120" s="6" t="str">
        <f>IFERROR(__xludf.DUMMYFUNCTION("""COMPUTED_VALUE"""),"Enrolled")</f>
        <v>Enrolled</v>
      </c>
    </row>
    <row r="1121">
      <c r="A1121" s="6" t="str">
        <f>IFERROR(__xludf.DUMMYFUNCTION("""COMPUTED_VALUE"""),"009-1340")</f>
        <v>009-1340</v>
      </c>
      <c r="B1121" s="6" t="str">
        <f>IFERROR(__xludf.DUMMYFUNCTION("""COMPUTED_VALUE"""),"9")</f>
        <v>9</v>
      </c>
      <c r="C1121" s="6" t="str">
        <f>IFERROR(__xludf.DUMMYFUNCTION("""COMPUTED_VALUE"""),"1340")</f>
        <v>1340</v>
      </c>
      <c r="D1121" s="6" t="str">
        <f>IFERROR(__xludf.DUMMYFUNCTION("""COMPUTED_VALUE"""),"Artem")</f>
        <v>Artem</v>
      </c>
      <c r="E1121" s="6" t="str">
        <f>IFERROR(__xludf.DUMMYFUNCTION("""COMPUTED_VALUE"""),"")</f>
        <v/>
      </c>
      <c r="F1121" s="6" t="str">
        <f>IFERROR(__xludf.DUMMYFUNCTION("""COMPUTED_VALUE"""),"Safronov")</f>
        <v>Safronov</v>
      </c>
      <c r="G1121" s="6" t="str">
        <f>IFERROR(__xludf.DUMMYFUNCTION("""COMPUTED_VALUE"""),"01/01/2008")</f>
        <v>01/01/2008</v>
      </c>
      <c r="H1121" s="6" t="str">
        <f>IFERROR(__xludf.DUMMYFUNCTION("""COMPUTED_VALUE"""),"Self Identify")</f>
        <v>Self Identify</v>
      </c>
      <c r="I1121" s="6" t="str">
        <f>IFERROR(__xludf.DUMMYFUNCTION("""COMPUTED_VALUE"""),"High School")</f>
        <v>High School</v>
      </c>
      <c r="J1121" s="6" t="str">
        <f>IFERROR(__xludf.DUMMYFUNCTION("""COMPUTED_VALUE"""),"11")</f>
        <v>11</v>
      </c>
      <c r="K1121" s="6" t="str">
        <f>IFERROR(__xludf.DUMMYFUNCTION("""COMPUTED_VALUE"""),"artem.safronov@2hourlearning.com")</f>
        <v>artem.safronov@2hourlearning.com</v>
      </c>
      <c r="L1121" s="6" t="str">
        <f>IFERROR(__xludf.DUMMYFUNCTION("""COMPUTED_VALUE"""),"Learn and Earn Poland")</f>
        <v>Learn and Earn Poland</v>
      </c>
      <c r="M1121" s="6" t="str">
        <f>IFERROR(__xludf.DUMMYFUNCTION("""COMPUTED_VALUE"""),"Poland ex-GTS")</f>
        <v>Poland ex-GTS</v>
      </c>
      <c r="N1121" s="6" t="str">
        <f>IFERROR(__xludf.DUMMYFUNCTION("""COMPUTED_VALUE"""),"")</f>
        <v/>
      </c>
      <c r="O1121" s="87" t="str">
        <f>IFERROR(__xludf.DUMMYFUNCTION("""COMPUTED_VALUE"""),"https://drive.google.com/drive/folders/10T2cTQHqEJZqE-st6uFKPoI?usp=share_link")</f>
        <v>https://drive.google.com/drive/folders/10T2cTQHqEJZqE-st6uFKPoI?usp=share_link</v>
      </c>
      <c r="P1121" s="6" t="str">
        <f>IFERROR(__xludf.DUMMYFUNCTION("""COMPUTED_VALUE"""),"Artem Safronov")</f>
        <v>Artem Safronov</v>
      </c>
      <c r="Q1121" s="6" t="str">
        <f>IFERROR(__xludf.DUMMYFUNCTION("""COMPUTED_VALUE"""),"HS")</f>
        <v>HS</v>
      </c>
      <c r="R1121" s="6">
        <f>IFERROR(__xludf.DUMMYFUNCTION("""COMPUTED_VALUE"""),0.0)</f>
        <v>0</v>
      </c>
      <c r="S1121" s="6" t="str">
        <f>IFERROR(__xludf.DUMMYFUNCTION("""COMPUTED_VALUE""")," ")</f>
        <v> </v>
      </c>
      <c r="T1121" s="6" t="str">
        <f>IFERROR(__xludf.DUMMYFUNCTION("""COMPUTED_VALUE"""),"")</f>
        <v/>
      </c>
      <c r="U1121" s="6" t="str">
        <f>IFERROR(__xludf.DUMMYFUNCTION("""COMPUTED_VALUE"""),"11")</f>
        <v>11</v>
      </c>
      <c r="V1121" s="6" t="str">
        <f>IFERROR(__xludf.DUMMYFUNCTION("""COMPUTED_VALUE"""),"English")</f>
        <v>English</v>
      </c>
      <c r="W1121" s="6" t="str">
        <f>IFERROR(__xludf.DUMMYFUNCTION("""COMPUTED_VALUE"""),"[]")</f>
        <v>[]</v>
      </c>
      <c r="X1121" s="6" t="str">
        <f>IFERROR(__xludf.DUMMYFUNCTION("""COMPUTED_VALUE"""),"Enrolled")</f>
        <v>Enrolled</v>
      </c>
    </row>
    <row r="1122">
      <c r="A1122" s="6" t="str">
        <f>IFERROR(__xludf.DUMMYFUNCTION("""COMPUTED_VALUE"""),"009-1341")</f>
        <v>009-1341</v>
      </c>
      <c r="B1122" s="6" t="str">
        <f>IFERROR(__xludf.DUMMYFUNCTION("""COMPUTED_VALUE"""),"9")</f>
        <v>9</v>
      </c>
      <c r="C1122" s="6" t="str">
        <f>IFERROR(__xludf.DUMMYFUNCTION("""COMPUTED_VALUE"""),"1341")</f>
        <v>1341</v>
      </c>
      <c r="D1122" s="6" t="str">
        <f>IFERROR(__xludf.DUMMYFUNCTION("""COMPUTED_VALUE"""),"Bohdan")</f>
        <v>Bohdan</v>
      </c>
      <c r="E1122" s="6" t="str">
        <f>IFERROR(__xludf.DUMMYFUNCTION("""COMPUTED_VALUE"""),"")</f>
        <v/>
      </c>
      <c r="F1122" s="6" t="str">
        <f>IFERROR(__xludf.DUMMYFUNCTION("""COMPUTED_VALUE"""),"Harievskyi")</f>
        <v>Harievskyi</v>
      </c>
      <c r="G1122" s="6" t="str">
        <f>IFERROR(__xludf.DUMMYFUNCTION("""COMPUTED_VALUE"""),"01/01/2011")</f>
        <v>01/01/2011</v>
      </c>
      <c r="H1122" s="6" t="str">
        <f>IFERROR(__xludf.DUMMYFUNCTION("""COMPUTED_VALUE"""),"Self Identify")</f>
        <v>Self Identify</v>
      </c>
      <c r="I1122" s="6" t="str">
        <f>IFERROR(__xludf.DUMMYFUNCTION("""COMPUTED_VALUE"""),"Middle School")</f>
        <v>Middle School</v>
      </c>
      <c r="J1122" s="6" t="str">
        <f>IFERROR(__xludf.DUMMYFUNCTION("""COMPUTED_VALUE"""),"8")</f>
        <v>8</v>
      </c>
      <c r="K1122" s="6" t="str">
        <f>IFERROR(__xludf.DUMMYFUNCTION("""COMPUTED_VALUE"""),"bohdan.harievskyi@2hourlearning.com")</f>
        <v>bohdan.harievskyi@2hourlearning.com</v>
      </c>
      <c r="L1122" s="6" t="str">
        <f>IFERROR(__xludf.DUMMYFUNCTION("""COMPUTED_VALUE"""),"Learn and Earn Poland")</f>
        <v>Learn and Earn Poland</v>
      </c>
      <c r="M1122" s="6" t="str">
        <f>IFERROR(__xludf.DUMMYFUNCTION("""COMPUTED_VALUE"""),"Poland ex-GTS")</f>
        <v>Poland ex-GTS</v>
      </c>
      <c r="N1122" s="6" t="str">
        <f>IFERROR(__xludf.DUMMYFUNCTION("""COMPUTED_VALUE"""),"")</f>
        <v/>
      </c>
      <c r="O1122" s="87" t="str">
        <f>IFERROR(__xludf.DUMMYFUNCTION("""COMPUTED_VALUE"""),"https://drive.google.com/drive/folders/10T2cTQHqEJZqE-st6uFKPoI?usp=share_link")</f>
        <v>https://drive.google.com/drive/folders/10T2cTQHqEJZqE-st6uFKPoI?usp=share_link</v>
      </c>
      <c r="P1122" s="6" t="str">
        <f>IFERROR(__xludf.DUMMYFUNCTION("""COMPUTED_VALUE"""),"Bohdan Harievskyi")</f>
        <v>Bohdan Harievskyi</v>
      </c>
      <c r="Q1122" s="6" t="str">
        <f>IFERROR(__xludf.DUMMYFUNCTION("""COMPUTED_VALUE"""),"MS")</f>
        <v>MS</v>
      </c>
      <c r="R1122" s="6">
        <f>IFERROR(__xludf.DUMMYFUNCTION("""COMPUTED_VALUE"""),0.0)</f>
        <v>0</v>
      </c>
      <c r="S1122" s="6" t="str">
        <f>IFERROR(__xludf.DUMMYFUNCTION("""COMPUTED_VALUE""")," ")</f>
        <v> </v>
      </c>
      <c r="T1122" s="6" t="str">
        <f>IFERROR(__xludf.DUMMYFUNCTION("""COMPUTED_VALUE"""),"")</f>
        <v/>
      </c>
      <c r="U1122" s="6" t="str">
        <f>IFERROR(__xludf.DUMMYFUNCTION("""COMPUTED_VALUE"""),"8")</f>
        <v>8</v>
      </c>
      <c r="V1122" s="6" t="str">
        <f>IFERROR(__xludf.DUMMYFUNCTION("""COMPUTED_VALUE"""),"English")</f>
        <v>English</v>
      </c>
      <c r="W1122" s="6" t="str">
        <f>IFERROR(__xludf.DUMMYFUNCTION("""COMPUTED_VALUE"""),"[]")</f>
        <v>[]</v>
      </c>
      <c r="X1122" s="6" t="str">
        <f>IFERROR(__xludf.DUMMYFUNCTION("""COMPUTED_VALUE"""),"Enrolled")</f>
        <v>Enrolled</v>
      </c>
    </row>
    <row r="1123">
      <c r="A1123" s="6" t="str">
        <f>IFERROR(__xludf.DUMMYFUNCTION("""COMPUTED_VALUE"""),"009-1342")</f>
        <v>009-1342</v>
      </c>
      <c r="B1123" s="6" t="str">
        <f>IFERROR(__xludf.DUMMYFUNCTION("""COMPUTED_VALUE"""),"9")</f>
        <v>9</v>
      </c>
      <c r="C1123" s="6" t="str">
        <f>IFERROR(__xludf.DUMMYFUNCTION("""COMPUTED_VALUE"""),"1342")</f>
        <v>1342</v>
      </c>
      <c r="D1123" s="6" t="str">
        <f>IFERROR(__xludf.DUMMYFUNCTION("""COMPUTED_VALUE"""),"Anastasiia")</f>
        <v>Anastasiia</v>
      </c>
      <c r="E1123" s="6" t="str">
        <f>IFERROR(__xludf.DUMMYFUNCTION("""COMPUTED_VALUE"""),"")</f>
        <v/>
      </c>
      <c r="F1123" s="6" t="str">
        <f>IFERROR(__xludf.DUMMYFUNCTION("""COMPUTED_VALUE"""),"Hodunko")</f>
        <v>Hodunko</v>
      </c>
      <c r="G1123" s="6" t="str">
        <f>IFERROR(__xludf.DUMMYFUNCTION("""COMPUTED_VALUE"""),"01/01/2012")</f>
        <v>01/01/2012</v>
      </c>
      <c r="H1123" s="6" t="str">
        <f>IFERROR(__xludf.DUMMYFUNCTION("""COMPUTED_VALUE"""),"Self Identify")</f>
        <v>Self Identify</v>
      </c>
      <c r="I1123" s="6" t="str">
        <f>IFERROR(__xludf.DUMMYFUNCTION("""COMPUTED_VALUE"""),"Middle School")</f>
        <v>Middle School</v>
      </c>
      <c r="J1123" s="6" t="str">
        <f>IFERROR(__xludf.DUMMYFUNCTION("""COMPUTED_VALUE"""),"7")</f>
        <v>7</v>
      </c>
      <c r="K1123" s="6" t="str">
        <f>IFERROR(__xludf.DUMMYFUNCTION("""COMPUTED_VALUE"""),"anastasiia.hodunko@2hourlearning.com")</f>
        <v>anastasiia.hodunko@2hourlearning.com</v>
      </c>
      <c r="L1123" s="6" t="str">
        <f>IFERROR(__xludf.DUMMYFUNCTION("""COMPUTED_VALUE"""),"Learn and Earn Poland")</f>
        <v>Learn and Earn Poland</v>
      </c>
      <c r="M1123" s="6" t="str">
        <f>IFERROR(__xludf.DUMMYFUNCTION("""COMPUTED_VALUE"""),"Poland ex-GTS")</f>
        <v>Poland ex-GTS</v>
      </c>
      <c r="N1123" s="6" t="str">
        <f>IFERROR(__xludf.DUMMYFUNCTION("""COMPUTED_VALUE"""),"")</f>
        <v/>
      </c>
      <c r="O1123" s="87" t="str">
        <f>IFERROR(__xludf.DUMMYFUNCTION("""COMPUTED_VALUE"""),"https://drive.google.com/drive/folders/10T2cTQHqEJZqE-st6uFKPoI?usp=share_link")</f>
        <v>https://drive.google.com/drive/folders/10T2cTQHqEJZqE-st6uFKPoI?usp=share_link</v>
      </c>
      <c r="P1123" s="6" t="str">
        <f>IFERROR(__xludf.DUMMYFUNCTION("""COMPUTED_VALUE"""),"Anastasiia Hodunko")</f>
        <v>Anastasiia Hodunko</v>
      </c>
      <c r="Q1123" s="6" t="str">
        <f>IFERROR(__xludf.DUMMYFUNCTION("""COMPUTED_VALUE"""),"MS")</f>
        <v>MS</v>
      </c>
      <c r="R1123" s="6">
        <f>IFERROR(__xludf.DUMMYFUNCTION("""COMPUTED_VALUE"""),0.0)</f>
        <v>0</v>
      </c>
      <c r="S1123" s="6" t="str">
        <f>IFERROR(__xludf.DUMMYFUNCTION("""COMPUTED_VALUE""")," ")</f>
        <v> </v>
      </c>
      <c r="T1123" s="6" t="str">
        <f>IFERROR(__xludf.DUMMYFUNCTION("""COMPUTED_VALUE"""),"")</f>
        <v/>
      </c>
      <c r="U1123" s="6" t="str">
        <f>IFERROR(__xludf.DUMMYFUNCTION("""COMPUTED_VALUE"""),"7")</f>
        <v>7</v>
      </c>
      <c r="V1123" s="6" t="str">
        <f>IFERROR(__xludf.DUMMYFUNCTION("""COMPUTED_VALUE"""),"English")</f>
        <v>English</v>
      </c>
      <c r="W1123" s="6" t="str">
        <f>IFERROR(__xludf.DUMMYFUNCTION("""COMPUTED_VALUE"""),"[]")</f>
        <v>[]</v>
      </c>
      <c r="X1123" s="6" t="str">
        <f>IFERROR(__xludf.DUMMYFUNCTION("""COMPUTED_VALUE"""),"Enrolled")</f>
        <v>Enrolled</v>
      </c>
    </row>
    <row r="1124">
      <c r="A1124" s="6" t="str">
        <f>IFERROR(__xludf.DUMMYFUNCTION("""COMPUTED_VALUE"""),"009-1343")</f>
        <v>009-1343</v>
      </c>
      <c r="B1124" s="6" t="str">
        <f>IFERROR(__xludf.DUMMYFUNCTION("""COMPUTED_VALUE"""),"9")</f>
        <v>9</v>
      </c>
      <c r="C1124" s="6" t="str">
        <f>IFERROR(__xludf.DUMMYFUNCTION("""COMPUTED_VALUE"""),"1343")</f>
        <v>1343</v>
      </c>
      <c r="D1124" s="6" t="str">
        <f>IFERROR(__xludf.DUMMYFUNCTION("""COMPUTED_VALUE"""),"Illia")</f>
        <v>Illia</v>
      </c>
      <c r="E1124" s="6" t="str">
        <f>IFERROR(__xludf.DUMMYFUNCTION("""COMPUTED_VALUE"""),"")</f>
        <v/>
      </c>
      <c r="F1124" s="6" t="str">
        <f>IFERROR(__xludf.DUMMYFUNCTION("""COMPUTED_VALUE"""),"Rybak")</f>
        <v>Rybak</v>
      </c>
      <c r="G1124" s="6" t="str">
        <f>IFERROR(__xludf.DUMMYFUNCTION("""COMPUTED_VALUE"""),"01/01/2009")</f>
        <v>01/01/2009</v>
      </c>
      <c r="H1124" s="6" t="str">
        <f>IFERROR(__xludf.DUMMYFUNCTION("""COMPUTED_VALUE"""),"Self Identify")</f>
        <v>Self Identify</v>
      </c>
      <c r="I1124" s="6" t="str">
        <f>IFERROR(__xludf.DUMMYFUNCTION("""COMPUTED_VALUE"""),"High School")</f>
        <v>High School</v>
      </c>
      <c r="J1124" s="6" t="str">
        <f>IFERROR(__xludf.DUMMYFUNCTION("""COMPUTED_VALUE"""),"10")</f>
        <v>10</v>
      </c>
      <c r="K1124" s="6" t="str">
        <f>IFERROR(__xludf.DUMMYFUNCTION("""COMPUTED_VALUE"""),"illia.rybak@2hourlearning.com")</f>
        <v>illia.rybak@2hourlearning.com</v>
      </c>
      <c r="L1124" s="6" t="str">
        <f>IFERROR(__xludf.DUMMYFUNCTION("""COMPUTED_VALUE"""),"Learn and Earn Poland")</f>
        <v>Learn and Earn Poland</v>
      </c>
      <c r="M1124" s="6" t="str">
        <f>IFERROR(__xludf.DUMMYFUNCTION("""COMPUTED_VALUE"""),"Poland ex-GTS")</f>
        <v>Poland ex-GTS</v>
      </c>
      <c r="N1124" s="6" t="str">
        <f>IFERROR(__xludf.DUMMYFUNCTION("""COMPUTED_VALUE"""),"")</f>
        <v/>
      </c>
      <c r="O1124" s="87" t="str">
        <f>IFERROR(__xludf.DUMMYFUNCTION("""COMPUTED_VALUE"""),"https://drive.google.com/drive/folders/10T2cTQHqEJZqE-st6uFKPoI?usp=share_link")</f>
        <v>https://drive.google.com/drive/folders/10T2cTQHqEJZqE-st6uFKPoI?usp=share_link</v>
      </c>
      <c r="P1124" s="6" t="str">
        <f>IFERROR(__xludf.DUMMYFUNCTION("""COMPUTED_VALUE"""),"Illia Rybak")</f>
        <v>Illia Rybak</v>
      </c>
      <c r="Q1124" s="6" t="str">
        <f>IFERROR(__xludf.DUMMYFUNCTION("""COMPUTED_VALUE"""),"HS")</f>
        <v>HS</v>
      </c>
      <c r="R1124" s="6">
        <f>IFERROR(__xludf.DUMMYFUNCTION("""COMPUTED_VALUE"""),0.0)</f>
        <v>0</v>
      </c>
      <c r="S1124" s="6" t="str">
        <f>IFERROR(__xludf.DUMMYFUNCTION("""COMPUTED_VALUE""")," ")</f>
        <v> </v>
      </c>
      <c r="T1124" s="6" t="str">
        <f>IFERROR(__xludf.DUMMYFUNCTION("""COMPUTED_VALUE"""),"")</f>
        <v/>
      </c>
      <c r="U1124" s="6" t="str">
        <f>IFERROR(__xludf.DUMMYFUNCTION("""COMPUTED_VALUE"""),"10")</f>
        <v>10</v>
      </c>
      <c r="V1124" s="6" t="str">
        <f>IFERROR(__xludf.DUMMYFUNCTION("""COMPUTED_VALUE"""),"English")</f>
        <v>English</v>
      </c>
      <c r="W1124" s="6" t="str">
        <f>IFERROR(__xludf.DUMMYFUNCTION("""COMPUTED_VALUE"""),"[]")</f>
        <v>[]</v>
      </c>
      <c r="X1124" s="6" t="str">
        <f>IFERROR(__xludf.DUMMYFUNCTION("""COMPUTED_VALUE"""),"Enrolled")</f>
        <v>Enrolled</v>
      </c>
    </row>
    <row r="1125">
      <c r="A1125" s="6" t="str">
        <f>IFERROR(__xludf.DUMMYFUNCTION("""COMPUTED_VALUE"""),"009-1344")</f>
        <v>009-1344</v>
      </c>
      <c r="B1125" s="6" t="str">
        <f>IFERROR(__xludf.DUMMYFUNCTION("""COMPUTED_VALUE"""),"9")</f>
        <v>9</v>
      </c>
      <c r="C1125" s="6" t="str">
        <f>IFERROR(__xludf.DUMMYFUNCTION("""COMPUTED_VALUE"""),"1344")</f>
        <v>1344</v>
      </c>
      <c r="D1125" s="6" t="str">
        <f>IFERROR(__xludf.DUMMYFUNCTION("""COMPUTED_VALUE"""),"Anastasiia")</f>
        <v>Anastasiia</v>
      </c>
      <c r="E1125" s="6" t="str">
        <f>IFERROR(__xludf.DUMMYFUNCTION("""COMPUTED_VALUE"""),"")</f>
        <v/>
      </c>
      <c r="F1125" s="6" t="str">
        <f>IFERROR(__xludf.DUMMYFUNCTION("""COMPUTED_VALUE"""),"Myronenko")</f>
        <v>Myronenko</v>
      </c>
      <c r="G1125" s="6" t="str">
        <f>IFERROR(__xludf.DUMMYFUNCTION("""COMPUTED_VALUE"""),"01/01/2014")</f>
        <v>01/01/2014</v>
      </c>
      <c r="H1125" s="6" t="str">
        <f>IFERROR(__xludf.DUMMYFUNCTION("""COMPUTED_VALUE"""),"Self Identify")</f>
        <v>Self Identify</v>
      </c>
      <c r="I1125" s="6" t="str">
        <f>IFERROR(__xludf.DUMMYFUNCTION("""COMPUTED_VALUE"""),"Level 2")</f>
        <v>Level 2</v>
      </c>
      <c r="J1125" s="6" t="str">
        <f>IFERROR(__xludf.DUMMYFUNCTION("""COMPUTED_VALUE"""),"5")</f>
        <v>5</v>
      </c>
      <c r="K1125" s="6" t="str">
        <f>IFERROR(__xludf.DUMMYFUNCTION("""COMPUTED_VALUE"""),"anastasiia.myronenko@2hourlearning.com")</f>
        <v>anastasiia.myronenko@2hourlearning.com</v>
      </c>
      <c r="L1125" s="6" t="str">
        <f>IFERROR(__xludf.DUMMYFUNCTION("""COMPUTED_VALUE"""),"Learn and Earn Poland")</f>
        <v>Learn and Earn Poland</v>
      </c>
      <c r="M1125" s="6" t="str">
        <f>IFERROR(__xludf.DUMMYFUNCTION("""COMPUTED_VALUE"""),"Poland ex-GTS")</f>
        <v>Poland ex-GTS</v>
      </c>
      <c r="N1125" s="6" t="str">
        <f>IFERROR(__xludf.DUMMYFUNCTION("""COMPUTED_VALUE"""),"")</f>
        <v/>
      </c>
      <c r="O1125" s="87" t="str">
        <f>IFERROR(__xludf.DUMMYFUNCTION("""COMPUTED_VALUE"""),"https://drive.google.com/drive/folders/10T2cTQHqEJZqE-st6uFKPoI?usp=share_link")</f>
        <v>https://drive.google.com/drive/folders/10T2cTQHqEJZqE-st6uFKPoI?usp=share_link</v>
      </c>
      <c r="P1125" s="6" t="str">
        <f>IFERROR(__xludf.DUMMYFUNCTION("""COMPUTED_VALUE"""),"Anastasiia Myronenko")</f>
        <v>Anastasiia Myronenko</v>
      </c>
      <c r="Q1125" s="6" t="str">
        <f>IFERROR(__xludf.DUMMYFUNCTION("""COMPUTED_VALUE"""),"L2")</f>
        <v>L2</v>
      </c>
      <c r="R1125" s="6">
        <f>IFERROR(__xludf.DUMMYFUNCTION("""COMPUTED_VALUE"""),2.0)</f>
        <v>2</v>
      </c>
      <c r="S1125" s="6" t="str">
        <f>IFERROR(__xludf.DUMMYFUNCTION("""COMPUTED_VALUE""")," ")</f>
        <v> </v>
      </c>
      <c r="T1125" s="6" t="str">
        <f>IFERROR(__xludf.DUMMYFUNCTION("""COMPUTED_VALUE"""),"")</f>
        <v/>
      </c>
      <c r="U1125" s="6" t="str">
        <f>IFERROR(__xludf.DUMMYFUNCTION("""COMPUTED_VALUE"""),"5")</f>
        <v>5</v>
      </c>
      <c r="V1125" s="6" t="str">
        <f>IFERROR(__xludf.DUMMYFUNCTION("""COMPUTED_VALUE"""),"English")</f>
        <v>English</v>
      </c>
      <c r="W1125" s="6" t="str">
        <f>IFERROR(__xludf.DUMMYFUNCTION("""COMPUTED_VALUE"""),"[]")</f>
        <v>[]</v>
      </c>
      <c r="X1125" s="6" t="str">
        <f>IFERROR(__xludf.DUMMYFUNCTION("""COMPUTED_VALUE"""),"Enrolled")</f>
        <v>Enrolled</v>
      </c>
    </row>
    <row r="1126">
      <c r="A1126" s="6" t="str">
        <f>IFERROR(__xludf.DUMMYFUNCTION("""COMPUTED_VALUE"""),"009-1345")</f>
        <v>009-1345</v>
      </c>
      <c r="B1126" s="6" t="str">
        <f>IFERROR(__xludf.DUMMYFUNCTION("""COMPUTED_VALUE"""),"9")</f>
        <v>9</v>
      </c>
      <c r="C1126" s="6" t="str">
        <f>IFERROR(__xludf.DUMMYFUNCTION("""COMPUTED_VALUE"""),"1345")</f>
        <v>1345</v>
      </c>
      <c r="D1126" s="6" t="str">
        <f>IFERROR(__xludf.DUMMYFUNCTION("""COMPUTED_VALUE"""),"Illia")</f>
        <v>Illia</v>
      </c>
      <c r="E1126" s="6" t="str">
        <f>IFERROR(__xludf.DUMMYFUNCTION("""COMPUTED_VALUE"""),"")</f>
        <v/>
      </c>
      <c r="F1126" s="6" t="str">
        <f>IFERROR(__xludf.DUMMYFUNCTION("""COMPUTED_VALUE"""),"Neshytoi")</f>
        <v>Neshytoi</v>
      </c>
      <c r="G1126" s="6" t="str">
        <f>IFERROR(__xludf.DUMMYFUNCTION("""COMPUTED_VALUE"""),"01/01/2007")</f>
        <v>01/01/2007</v>
      </c>
      <c r="H1126" s="6" t="str">
        <f>IFERROR(__xludf.DUMMYFUNCTION("""COMPUTED_VALUE"""),"Self Identify")</f>
        <v>Self Identify</v>
      </c>
      <c r="I1126" s="6" t="str">
        <f>IFERROR(__xludf.DUMMYFUNCTION("""COMPUTED_VALUE"""),"High School")</f>
        <v>High School</v>
      </c>
      <c r="J1126" s="6" t="str">
        <f>IFERROR(__xludf.DUMMYFUNCTION("""COMPUTED_VALUE"""),"12")</f>
        <v>12</v>
      </c>
      <c r="K1126" s="6" t="str">
        <f>IFERROR(__xludf.DUMMYFUNCTION("""COMPUTED_VALUE"""),"illia.neshytoi@2hourlearning.com")</f>
        <v>illia.neshytoi@2hourlearning.com</v>
      </c>
      <c r="L1126" s="6" t="str">
        <f>IFERROR(__xludf.DUMMYFUNCTION("""COMPUTED_VALUE"""),"Learn and Earn Poland")</f>
        <v>Learn and Earn Poland</v>
      </c>
      <c r="M1126" s="6" t="str">
        <f>IFERROR(__xludf.DUMMYFUNCTION("""COMPUTED_VALUE"""),"Poland ex-GTS")</f>
        <v>Poland ex-GTS</v>
      </c>
      <c r="N1126" s="6" t="str">
        <f>IFERROR(__xludf.DUMMYFUNCTION("""COMPUTED_VALUE"""),"")</f>
        <v/>
      </c>
      <c r="O1126" s="87" t="str">
        <f>IFERROR(__xludf.DUMMYFUNCTION("""COMPUTED_VALUE"""),"https://drive.google.com/drive/folders/10T2cTQHqEJZqE-st6uFKPoI?usp=share_link")</f>
        <v>https://drive.google.com/drive/folders/10T2cTQHqEJZqE-st6uFKPoI?usp=share_link</v>
      </c>
      <c r="P1126" s="6" t="str">
        <f>IFERROR(__xludf.DUMMYFUNCTION("""COMPUTED_VALUE"""),"Illia Neshytoi")</f>
        <v>Illia Neshytoi</v>
      </c>
      <c r="Q1126" s="6" t="str">
        <f>IFERROR(__xludf.DUMMYFUNCTION("""COMPUTED_VALUE"""),"HS")</f>
        <v>HS</v>
      </c>
      <c r="R1126" s="6">
        <f>IFERROR(__xludf.DUMMYFUNCTION("""COMPUTED_VALUE"""),0.0)</f>
        <v>0</v>
      </c>
      <c r="S1126" s="6" t="str">
        <f>IFERROR(__xludf.DUMMYFUNCTION("""COMPUTED_VALUE""")," ")</f>
        <v> </v>
      </c>
      <c r="T1126" s="6" t="str">
        <f>IFERROR(__xludf.DUMMYFUNCTION("""COMPUTED_VALUE"""),"")</f>
        <v/>
      </c>
      <c r="U1126" s="6" t="str">
        <f>IFERROR(__xludf.DUMMYFUNCTION("""COMPUTED_VALUE"""),"12")</f>
        <v>12</v>
      </c>
      <c r="V1126" s="6" t="str">
        <f>IFERROR(__xludf.DUMMYFUNCTION("""COMPUTED_VALUE"""),"English")</f>
        <v>English</v>
      </c>
      <c r="W1126" s="6" t="str">
        <f>IFERROR(__xludf.DUMMYFUNCTION("""COMPUTED_VALUE"""),"[]")</f>
        <v>[]</v>
      </c>
      <c r="X1126" s="6" t="str">
        <f>IFERROR(__xludf.DUMMYFUNCTION("""COMPUTED_VALUE"""),"Enrolled")</f>
        <v>Enrolled</v>
      </c>
    </row>
    <row r="1127">
      <c r="A1127" s="6" t="str">
        <f>IFERROR(__xludf.DUMMYFUNCTION("""COMPUTED_VALUE"""),"009-1346")</f>
        <v>009-1346</v>
      </c>
      <c r="B1127" s="6" t="str">
        <f>IFERROR(__xludf.DUMMYFUNCTION("""COMPUTED_VALUE"""),"9")</f>
        <v>9</v>
      </c>
      <c r="C1127" s="6" t="str">
        <f>IFERROR(__xludf.DUMMYFUNCTION("""COMPUTED_VALUE"""),"1346")</f>
        <v>1346</v>
      </c>
      <c r="D1127" s="6" t="str">
        <f>IFERROR(__xludf.DUMMYFUNCTION("""COMPUTED_VALUE"""),"Kseniia")</f>
        <v>Kseniia</v>
      </c>
      <c r="E1127" s="6" t="str">
        <f>IFERROR(__xludf.DUMMYFUNCTION("""COMPUTED_VALUE"""),"")</f>
        <v/>
      </c>
      <c r="F1127" s="6" t="str">
        <f>IFERROR(__xludf.DUMMYFUNCTION("""COMPUTED_VALUE"""),"Ionash")</f>
        <v>Ionash</v>
      </c>
      <c r="G1127" s="6" t="str">
        <f>IFERROR(__xludf.DUMMYFUNCTION("""COMPUTED_VALUE"""),"01/01/2019")</f>
        <v>01/01/2019</v>
      </c>
      <c r="H1127" s="6" t="str">
        <f>IFERROR(__xludf.DUMMYFUNCTION("""COMPUTED_VALUE"""),"Self Identify")</f>
        <v>Self Identify</v>
      </c>
      <c r="I1127" s="6" t="str">
        <f>IFERROR(__xludf.DUMMYFUNCTION("""COMPUTED_VALUE"""),"Learning Lab")</f>
        <v>Learning Lab</v>
      </c>
      <c r="J1127" s="6" t="str">
        <f>IFERROR(__xludf.DUMMYFUNCTION("""COMPUTED_VALUE"""),"1")</f>
        <v>1</v>
      </c>
      <c r="K1127" s="6" t="str">
        <f>IFERROR(__xludf.DUMMYFUNCTION("""COMPUTED_VALUE"""),"kseniia.ionash@2hourlearning.com")</f>
        <v>kseniia.ionash@2hourlearning.com</v>
      </c>
      <c r="L1127" s="6" t="str">
        <f>IFERROR(__xludf.DUMMYFUNCTION("""COMPUTED_VALUE"""),"Learn and Earn Poland")</f>
        <v>Learn and Earn Poland</v>
      </c>
      <c r="M1127" s="6" t="str">
        <f>IFERROR(__xludf.DUMMYFUNCTION("""COMPUTED_VALUE"""),"Poland ex-GTS")</f>
        <v>Poland ex-GTS</v>
      </c>
      <c r="N1127" s="6" t="str">
        <f>IFERROR(__xludf.DUMMYFUNCTION("""COMPUTED_VALUE"""),"")</f>
        <v/>
      </c>
      <c r="O1127" s="87" t="str">
        <f>IFERROR(__xludf.DUMMYFUNCTION("""COMPUTED_VALUE"""),"https://drive.google.com/drive/folders/10T2cTQHqEJZqE-st6uFKPoI?usp=share_link")</f>
        <v>https://drive.google.com/drive/folders/10T2cTQHqEJZqE-st6uFKPoI?usp=share_link</v>
      </c>
      <c r="P1127" s="6" t="str">
        <f>IFERROR(__xludf.DUMMYFUNCTION("""COMPUTED_VALUE"""),"Kseniia Ionash")</f>
        <v>Kseniia Ionash</v>
      </c>
      <c r="Q1127" s="6" t="str">
        <f>IFERROR(__xludf.DUMMYFUNCTION("""COMPUTED_VALUE"""),"LL")</f>
        <v>LL</v>
      </c>
      <c r="R1127" s="6">
        <f>IFERROR(__xludf.DUMMYFUNCTION("""COMPUTED_VALUE"""),0.0)</f>
        <v>0</v>
      </c>
      <c r="S1127" s="6" t="str">
        <f>IFERROR(__xludf.DUMMYFUNCTION("""COMPUTED_VALUE""")," ")</f>
        <v> </v>
      </c>
      <c r="T1127" s="6" t="str">
        <f>IFERROR(__xludf.DUMMYFUNCTION("""COMPUTED_VALUE"""),"")</f>
        <v/>
      </c>
      <c r="U1127" s="6" t="str">
        <f>IFERROR(__xludf.DUMMYFUNCTION("""COMPUTED_VALUE"""),"1")</f>
        <v>1</v>
      </c>
      <c r="V1127" s="6" t="str">
        <f>IFERROR(__xludf.DUMMYFUNCTION("""COMPUTED_VALUE"""),"English")</f>
        <v>English</v>
      </c>
      <c r="W1127" s="6" t="str">
        <f>IFERROR(__xludf.DUMMYFUNCTION("""COMPUTED_VALUE"""),"[]")</f>
        <v>[]</v>
      </c>
      <c r="X1127" s="6" t="str">
        <f>IFERROR(__xludf.DUMMYFUNCTION("""COMPUTED_VALUE"""),"Enrolled")</f>
        <v>Enrolled</v>
      </c>
    </row>
    <row r="1128">
      <c r="A1128" s="6" t="str">
        <f>IFERROR(__xludf.DUMMYFUNCTION("""COMPUTED_VALUE"""),"009-1347")</f>
        <v>009-1347</v>
      </c>
      <c r="B1128" s="6" t="str">
        <f>IFERROR(__xludf.DUMMYFUNCTION("""COMPUTED_VALUE"""),"9")</f>
        <v>9</v>
      </c>
      <c r="C1128" s="6" t="str">
        <f>IFERROR(__xludf.DUMMYFUNCTION("""COMPUTED_VALUE"""),"1347")</f>
        <v>1347</v>
      </c>
      <c r="D1128" s="6" t="str">
        <f>IFERROR(__xludf.DUMMYFUNCTION("""COMPUTED_VALUE"""),"Gleb")</f>
        <v>Gleb</v>
      </c>
      <c r="E1128" s="6" t="str">
        <f>IFERROR(__xludf.DUMMYFUNCTION("""COMPUTED_VALUE"""),"")</f>
        <v/>
      </c>
      <c r="F1128" s="6" t="str">
        <f>IFERROR(__xludf.DUMMYFUNCTION("""COMPUTED_VALUE"""),"Onopriienko")</f>
        <v>Onopriienko</v>
      </c>
      <c r="G1128" s="6" t="str">
        <f>IFERROR(__xludf.DUMMYFUNCTION("""COMPUTED_VALUE"""),"01/01/2016")</f>
        <v>01/01/2016</v>
      </c>
      <c r="H1128" s="6" t="str">
        <f>IFERROR(__xludf.DUMMYFUNCTION("""COMPUTED_VALUE"""),"Self Identify")</f>
        <v>Self Identify</v>
      </c>
      <c r="I1128" s="6" t="str">
        <f>IFERROR(__xludf.DUMMYFUNCTION("""COMPUTED_VALUE"""),"Level 1")</f>
        <v>Level 1</v>
      </c>
      <c r="J1128" s="6" t="str">
        <f>IFERROR(__xludf.DUMMYFUNCTION("""COMPUTED_VALUE"""),"3")</f>
        <v>3</v>
      </c>
      <c r="K1128" s="6" t="str">
        <f>IFERROR(__xludf.DUMMYFUNCTION("""COMPUTED_VALUE"""),"gleb.onopriienko@2hourlearning.com")</f>
        <v>gleb.onopriienko@2hourlearning.com</v>
      </c>
      <c r="L1128" s="6" t="str">
        <f>IFERROR(__xludf.DUMMYFUNCTION("""COMPUTED_VALUE"""),"Learn and Earn Poland")</f>
        <v>Learn and Earn Poland</v>
      </c>
      <c r="M1128" s="6" t="str">
        <f>IFERROR(__xludf.DUMMYFUNCTION("""COMPUTED_VALUE"""),"Poland ex-GTS")</f>
        <v>Poland ex-GTS</v>
      </c>
      <c r="N1128" s="6" t="str">
        <f>IFERROR(__xludf.DUMMYFUNCTION("""COMPUTED_VALUE"""),"")</f>
        <v/>
      </c>
      <c r="O1128" s="87" t="str">
        <f>IFERROR(__xludf.DUMMYFUNCTION("""COMPUTED_VALUE"""),"https://drive.google.com/drive/folders/10T2cTQHqEJZqE-st6uFKPoI?usp=share_link")</f>
        <v>https://drive.google.com/drive/folders/10T2cTQHqEJZqE-st6uFKPoI?usp=share_link</v>
      </c>
      <c r="P1128" s="6" t="str">
        <f>IFERROR(__xludf.DUMMYFUNCTION("""COMPUTED_VALUE"""),"Gleb Onopriienko")</f>
        <v>Gleb Onopriienko</v>
      </c>
      <c r="Q1128" s="6" t="str">
        <f>IFERROR(__xludf.DUMMYFUNCTION("""COMPUTED_VALUE"""),"L1")</f>
        <v>L1</v>
      </c>
      <c r="R1128" s="6">
        <f>IFERROR(__xludf.DUMMYFUNCTION("""COMPUTED_VALUE"""),1.0)</f>
        <v>1</v>
      </c>
      <c r="S1128" s="6" t="str">
        <f>IFERROR(__xludf.DUMMYFUNCTION("""COMPUTED_VALUE""")," ")</f>
        <v> </v>
      </c>
      <c r="T1128" s="6" t="str">
        <f>IFERROR(__xludf.DUMMYFUNCTION("""COMPUTED_VALUE"""),"")</f>
        <v/>
      </c>
      <c r="U1128" s="6" t="str">
        <f>IFERROR(__xludf.DUMMYFUNCTION("""COMPUTED_VALUE"""),"3")</f>
        <v>3</v>
      </c>
      <c r="V1128" s="6" t="str">
        <f>IFERROR(__xludf.DUMMYFUNCTION("""COMPUTED_VALUE"""),"English")</f>
        <v>English</v>
      </c>
      <c r="W1128" s="6" t="str">
        <f>IFERROR(__xludf.DUMMYFUNCTION("""COMPUTED_VALUE"""),"[]")</f>
        <v>[]</v>
      </c>
      <c r="X1128" s="6" t="str">
        <f>IFERROR(__xludf.DUMMYFUNCTION("""COMPUTED_VALUE"""),"Enrolled")</f>
        <v>Enrolled</v>
      </c>
    </row>
    <row r="1129">
      <c r="A1129" s="6" t="str">
        <f>IFERROR(__xludf.DUMMYFUNCTION("""COMPUTED_VALUE"""),"009-1348")</f>
        <v>009-1348</v>
      </c>
      <c r="B1129" s="6" t="str">
        <f>IFERROR(__xludf.DUMMYFUNCTION("""COMPUTED_VALUE"""),"9")</f>
        <v>9</v>
      </c>
      <c r="C1129" s="6" t="str">
        <f>IFERROR(__xludf.DUMMYFUNCTION("""COMPUTED_VALUE"""),"1348")</f>
        <v>1348</v>
      </c>
      <c r="D1129" s="6" t="str">
        <f>IFERROR(__xludf.DUMMYFUNCTION("""COMPUTED_VALUE"""),"Olesia")</f>
        <v>Olesia</v>
      </c>
      <c r="E1129" s="6" t="str">
        <f>IFERROR(__xludf.DUMMYFUNCTION("""COMPUTED_VALUE"""),"")</f>
        <v/>
      </c>
      <c r="F1129" s="6" t="str">
        <f>IFERROR(__xludf.DUMMYFUNCTION("""COMPUTED_VALUE"""),"NalISNIKOVSKA")</f>
        <v>NalISNIKOVSKA</v>
      </c>
      <c r="G1129" s="6" t="str">
        <f>IFERROR(__xludf.DUMMYFUNCTION("""COMPUTED_VALUE"""),"01/01/2016")</f>
        <v>01/01/2016</v>
      </c>
      <c r="H1129" s="6" t="str">
        <f>IFERROR(__xludf.DUMMYFUNCTION("""COMPUTED_VALUE"""),"Self Identify")</f>
        <v>Self Identify</v>
      </c>
      <c r="I1129" s="6" t="str">
        <f>IFERROR(__xludf.DUMMYFUNCTION("""COMPUTED_VALUE"""),"Level 1")</f>
        <v>Level 1</v>
      </c>
      <c r="J1129" s="6" t="str">
        <f>IFERROR(__xludf.DUMMYFUNCTION("""COMPUTED_VALUE"""),"3")</f>
        <v>3</v>
      </c>
      <c r="K1129" s="6" t="str">
        <f>IFERROR(__xludf.DUMMYFUNCTION("""COMPUTED_VALUE"""),"olesia.nalisnikovska@2hourlearning.com")</f>
        <v>olesia.nalisnikovska@2hourlearning.com</v>
      </c>
      <c r="L1129" s="6" t="str">
        <f>IFERROR(__xludf.DUMMYFUNCTION("""COMPUTED_VALUE"""),"Learn and Earn Poland")</f>
        <v>Learn and Earn Poland</v>
      </c>
      <c r="M1129" s="6" t="str">
        <f>IFERROR(__xludf.DUMMYFUNCTION("""COMPUTED_VALUE"""),"Poland ex-GTS")</f>
        <v>Poland ex-GTS</v>
      </c>
      <c r="N1129" s="6" t="str">
        <f>IFERROR(__xludf.DUMMYFUNCTION("""COMPUTED_VALUE"""),"")</f>
        <v/>
      </c>
      <c r="O1129" s="87" t="str">
        <f>IFERROR(__xludf.DUMMYFUNCTION("""COMPUTED_VALUE"""),"https://drive.google.com/drive/folders/10T2cTQHqEJZqE-st6uFKPoI?usp=share_link")</f>
        <v>https://drive.google.com/drive/folders/10T2cTQHqEJZqE-st6uFKPoI?usp=share_link</v>
      </c>
      <c r="P1129" s="6" t="str">
        <f>IFERROR(__xludf.DUMMYFUNCTION("""COMPUTED_VALUE"""),"Olesia NalISNIKOVSKA")</f>
        <v>Olesia NalISNIKOVSKA</v>
      </c>
      <c r="Q1129" s="6" t="str">
        <f>IFERROR(__xludf.DUMMYFUNCTION("""COMPUTED_VALUE"""),"L1")</f>
        <v>L1</v>
      </c>
      <c r="R1129" s="6">
        <f>IFERROR(__xludf.DUMMYFUNCTION("""COMPUTED_VALUE"""),1.0)</f>
        <v>1</v>
      </c>
      <c r="S1129" s="6" t="str">
        <f>IFERROR(__xludf.DUMMYFUNCTION("""COMPUTED_VALUE""")," ")</f>
        <v> </v>
      </c>
      <c r="T1129" s="6" t="str">
        <f>IFERROR(__xludf.DUMMYFUNCTION("""COMPUTED_VALUE"""),"")</f>
        <v/>
      </c>
      <c r="U1129" s="6" t="str">
        <f>IFERROR(__xludf.DUMMYFUNCTION("""COMPUTED_VALUE"""),"3")</f>
        <v>3</v>
      </c>
      <c r="V1129" s="6" t="str">
        <f>IFERROR(__xludf.DUMMYFUNCTION("""COMPUTED_VALUE"""),"English")</f>
        <v>English</v>
      </c>
      <c r="W1129" s="6" t="str">
        <f>IFERROR(__xludf.DUMMYFUNCTION("""COMPUTED_VALUE"""),"[]")</f>
        <v>[]</v>
      </c>
      <c r="X1129" s="6" t="str">
        <f>IFERROR(__xludf.DUMMYFUNCTION("""COMPUTED_VALUE"""),"Enrolled")</f>
        <v>Enrolled</v>
      </c>
    </row>
    <row r="1130">
      <c r="A1130" s="6" t="str">
        <f>IFERROR(__xludf.DUMMYFUNCTION("""COMPUTED_VALUE"""),"009-1349")</f>
        <v>009-1349</v>
      </c>
      <c r="B1130" s="6" t="str">
        <f>IFERROR(__xludf.DUMMYFUNCTION("""COMPUTED_VALUE"""),"9")</f>
        <v>9</v>
      </c>
      <c r="C1130" s="6" t="str">
        <f>IFERROR(__xludf.DUMMYFUNCTION("""COMPUTED_VALUE"""),"1349")</f>
        <v>1349</v>
      </c>
      <c r="D1130" s="6" t="str">
        <f>IFERROR(__xludf.DUMMYFUNCTION("""COMPUTED_VALUE"""),"Jaroslawa")</f>
        <v>Jaroslawa</v>
      </c>
      <c r="E1130" s="6" t="str">
        <f>IFERROR(__xludf.DUMMYFUNCTION("""COMPUTED_VALUE"""),"")</f>
        <v/>
      </c>
      <c r="F1130" s="6" t="str">
        <f>IFERROR(__xludf.DUMMYFUNCTION("""COMPUTED_VALUE"""),"Pryliepina")</f>
        <v>Pryliepina</v>
      </c>
      <c r="G1130" s="6" t="str">
        <f>IFERROR(__xludf.DUMMYFUNCTION("""COMPUTED_VALUE"""),"01/01/2011")</f>
        <v>01/01/2011</v>
      </c>
      <c r="H1130" s="6" t="str">
        <f>IFERROR(__xludf.DUMMYFUNCTION("""COMPUTED_VALUE"""),"Self Identify")</f>
        <v>Self Identify</v>
      </c>
      <c r="I1130" s="6" t="str">
        <f>IFERROR(__xludf.DUMMYFUNCTION("""COMPUTED_VALUE"""),"Middle School")</f>
        <v>Middle School</v>
      </c>
      <c r="J1130" s="6" t="str">
        <f>IFERROR(__xludf.DUMMYFUNCTION("""COMPUTED_VALUE"""),"8")</f>
        <v>8</v>
      </c>
      <c r="K1130" s="6" t="str">
        <f>IFERROR(__xludf.DUMMYFUNCTION("""COMPUTED_VALUE"""),"jaroslawa.pryliepina@2hourlearning.com")</f>
        <v>jaroslawa.pryliepina@2hourlearning.com</v>
      </c>
      <c r="L1130" s="6" t="str">
        <f>IFERROR(__xludf.DUMMYFUNCTION("""COMPUTED_VALUE"""),"Learn and Earn Poland")</f>
        <v>Learn and Earn Poland</v>
      </c>
      <c r="M1130" s="6" t="str">
        <f>IFERROR(__xludf.DUMMYFUNCTION("""COMPUTED_VALUE"""),"Poland ex-GTS")</f>
        <v>Poland ex-GTS</v>
      </c>
      <c r="N1130" s="6" t="str">
        <f>IFERROR(__xludf.DUMMYFUNCTION("""COMPUTED_VALUE"""),"")</f>
        <v/>
      </c>
      <c r="O1130" s="87" t="str">
        <f>IFERROR(__xludf.DUMMYFUNCTION("""COMPUTED_VALUE"""),"https://drive.google.com/drive/folders/10T2cTQHqEJZqE-st6uFKPoI?usp=share_link")</f>
        <v>https://drive.google.com/drive/folders/10T2cTQHqEJZqE-st6uFKPoI?usp=share_link</v>
      </c>
      <c r="P1130" s="6" t="str">
        <f>IFERROR(__xludf.DUMMYFUNCTION("""COMPUTED_VALUE"""),"Jaroslawa Pryliepina")</f>
        <v>Jaroslawa Pryliepina</v>
      </c>
      <c r="Q1130" s="6" t="str">
        <f>IFERROR(__xludf.DUMMYFUNCTION("""COMPUTED_VALUE"""),"MS")</f>
        <v>MS</v>
      </c>
      <c r="R1130" s="6">
        <f>IFERROR(__xludf.DUMMYFUNCTION("""COMPUTED_VALUE"""),0.0)</f>
        <v>0</v>
      </c>
      <c r="S1130" s="6" t="str">
        <f>IFERROR(__xludf.DUMMYFUNCTION("""COMPUTED_VALUE""")," ")</f>
        <v> </v>
      </c>
      <c r="T1130" s="6" t="str">
        <f>IFERROR(__xludf.DUMMYFUNCTION("""COMPUTED_VALUE"""),"")</f>
        <v/>
      </c>
      <c r="U1130" s="6" t="str">
        <f>IFERROR(__xludf.DUMMYFUNCTION("""COMPUTED_VALUE"""),"8")</f>
        <v>8</v>
      </c>
      <c r="V1130" s="6" t="str">
        <f>IFERROR(__xludf.DUMMYFUNCTION("""COMPUTED_VALUE"""),"English")</f>
        <v>English</v>
      </c>
      <c r="W1130" s="6" t="str">
        <f>IFERROR(__xludf.DUMMYFUNCTION("""COMPUTED_VALUE"""),"[]")</f>
        <v>[]</v>
      </c>
      <c r="X1130" s="6" t="str">
        <f>IFERROR(__xludf.DUMMYFUNCTION("""COMPUTED_VALUE"""),"Enrolled")</f>
        <v>Enrolled</v>
      </c>
    </row>
    <row r="1131">
      <c r="A1131" s="6" t="str">
        <f>IFERROR(__xludf.DUMMYFUNCTION("""COMPUTED_VALUE"""),"009-1350")</f>
        <v>009-1350</v>
      </c>
      <c r="B1131" s="6" t="str">
        <f>IFERROR(__xludf.DUMMYFUNCTION("""COMPUTED_VALUE"""),"9")</f>
        <v>9</v>
      </c>
      <c r="C1131" s="6" t="str">
        <f>IFERROR(__xludf.DUMMYFUNCTION("""COMPUTED_VALUE"""),"1350")</f>
        <v>1350</v>
      </c>
      <c r="D1131" s="6" t="str">
        <f>IFERROR(__xludf.DUMMYFUNCTION("""COMPUTED_VALUE"""),"Makar")</f>
        <v>Makar</v>
      </c>
      <c r="E1131" s="6" t="str">
        <f>IFERROR(__xludf.DUMMYFUNCTION("""COMPUTED_VALUE"""),"")</f>
        <v/>
      </c>
      <c r="F1131" s="6" t="str">
        <f>IFERROR(__xludf.DUMMYFUNCTION("""COMPUTED_VALUE"""),"Liashko")</f>
        <v>Liashko</v>
      </c>
      <c r="G1131" s="6" t="str">
        <f>IFERROR(__xludf.DUMMYFUNCTION("""COMPUTED_VALUE"""),"01/01/2014")</f>
        <v>01/01/2014</v>
      </c>
      <c r="H1131" s="6" t="str">
        <f>IFERROR(__xludf.DUMMYFUNCTION("""COMPUTED_VALUE"""),"Self Identify")</f>
        <v>Self Identify</v>
      </c>
      <c r="I1131" s="6" t="str">
        <f>IFERROR(__xludf.DUMMYFUNCTION("""COMPUTED_VALUE"""),"Level 2")</f>
        <v>Level 2</v>
      </c>
      <c r="J1131" s="6" t="str">
        <f>IFERROR(__xludf.DUMMYFUNCTION("""COMPUTED_VALUE"""),"5")</f>
        <v>5</v>
      </c>
      <c r="K1131" s="6" t="str">
        <f>IFERROR(__xludf.DUMMYFUNCTION("""COMPUTED_VALUE"""),"makar.liashko@2hourlearning.com")</f>
        <v>makar.liashko@2hourlearning.com</v>
      </c>
      <c r="L1131" s="6" t="str">
        <f>IFERROR(__xludf.DUMMYFUNCTION("""COMPUTED_VALUE"""),"Learn and Earn Poland")</f>
        <v>Learn and Earn Poland</v>
      </c>
      <c r="M1131" s="6" t="str">
        <f>IFERROR(__xludf.DUMMYFUNCTION("""COMPUTED_VALUE"""),"Poland ex-GTS")</f>
        <v>Poland ex-GTS</v>
      </c>
      <c r="N1131" s="6" t="str">
        <f>IFERROR(__xludf.DUMMYFUNCTION("""COMPUTED_VALUE"""),"")</f>
        <v/>
      </c>
      <c r="O1131" s="87" t="str">
        <f>IFERROR(__xludf.DUMMYFUNCTION("""COMPUTED_VALUE"""),"https://drive.google.com/drive/folders/10T2cTQHqEJZqE-st6uFKPoI?usp=share_link")</f>
        <v>https://drive.google.com/drive/folders/10T2cTQHqEJZqE-st6uFKPoI?usp=share_link</v>
      </c>
      <c r="P1131" s="6" t="str">
        <f>IFERROR(__xludf.DUMMYFUNCTION("""COMPUTED_VALUE"""),"Makar Liashko")</f>
        <v>Makar Liashko</v>
      </c>
      <c r="Q1131" s="6" t="str">
        <f>IFERROR(__xludf.DUMMYFUNCTION("""COMPUTED_VALUE"""),"L2")</f>
        <v>L2</v>
      </c>
      <c r="R1131" s="6">
        <f>IFERROR(__xludf.DUMMYFUNCTION("""COMPUTED_VALUE"""),2.0)</f>
        <v>2</v>
      </c>
      <c r="S1131" s="6" t="str">
        <f>IFERROR(__xludf.DUMMYFUNCTION("""COMPUTED_VALUE""")," ")</f>
        <v> </v>
      </c>
      <c r="T1131" s="6" t="str">
        <f>IFERROR(__xludf.DUMMYFUNCTION("""COMPUTED_VALUE"""),"")</f>
        <v/>
      </c>
      <c r="U1131" s="6" t="str">
        <f>IFERROR(__xludf.DUMMYFUNCTION("""COMPUTED_VALUE"""),"5")</f>
        <v>5</v>
      </c>
      <c r="V1131" s="6" t="str">
        <f>IFERROR(__xludf.DUMMYFUNCTION("""COMPUTED_VALUE"""),"English")</f>
        <v>English</v>
      </c>
      <c r="W1131" s="6" t="str">
        <f>IFERROR(__xludf.DUMMYFUNCTION("""COMPUTED_VALUE"""),"[]")</f>
        <v>[]</v>
      </c>
      <c r="X1131" s="6" t="str">
        <f>IFERROR(__xludf.DUMMYFUNCTION("""COMPUTED_VALUE"""),"Enrolled")</f>
        <v>Enrolled</v>
      </c>
    </row>
    <row r="1132">
      <c r="A1132" s="6" t="str">
        <f>IFERROR(__xludf.DUMMYFUNCTION("""COMPUTED_VALUE"""),"009-1351")</f>
        <v>009-1351</v>
      </c>
      <c r="B1132" s="6" t="str">
        <f>IFERROR(__xludf.DUMMYFUNCTION("""COMPUTED_VALUE"""),"9")</f>
        <v>9</v>
      </c>
      <c r="C1132" s="6" t="str">
        <f>IFERROR(__xludf.DUMMYFUNCTION("""COMPUTED_VALUE"""),"1351")</f>
        <v>1351</v>
      </c>
      <c r="D1132" s="6" t="str">
        <f>IFERROR(__xludf.DUMMYFUNCTION("""COMPUTED_VALUE"""),"Andrii")</f>
        <v>Andrii</v>
      </c>
      <c r="E1132" s="6" t="str">
        <f>IFERROR(__xludf.DUMMYFUNCTION("""COMPUTED_VALUE"""),"")</f>
        <v/>
      </c>
      <c r="F1132" s="6" t="str">
        <f>IFERROR(__xludf.DUMMYFUNCTION("""COMPUTED_VALUE"""),"Liebiediev")</f>
        <v>Liebiediev</v>
      </c>
      <c r="G1132" s="6" t="str">
        <f>IFERROR(__xludf.DUMMYFUNCTION("""COMPUTED_VALUE"""),"01/01/2018")</f>
        <v>01/01/2018</v>
      </c>
      <c r="H1132" s="6" t="str">
        <f>IFERROR(__xludf.DUMMYFUNCTION("""COMPUTED_VALUE"""),"Self Identify")</f>
        <v>Self Identify</v>
      </c>
      <c r="I1132" s="6" t="str">
        <f>IFERROR(__xludf.DUMMYFUNCTION("""COMPUTED_VALUE"""),"Learning Lab")</f>
        <v>Learning Lab</v>
      </c>
      <c r="J1132" s="6" t="str">
        <f>IFERROR(__xludf.DUMMYFUNCTION("""COMPUTED_VALUE"""),"1")</f>
        <v>1</v>
      </c>
      <c r="K1132" s="6" t="str">
        <f>IFERROR(__xludf.DUMMYFUNCTION("""COMPUTED_VALUE"""),"andrii.liebiediev@2hourlearning.com")</f>
        <v>andrii.liebiediev@2hourlearning.com</v>
      </c>
      <c r="L1132" s="6" t="str">
        <f>IFERROR(__xludf.DUMMYFUNCTION("""COMPUTED_VALUE"""),"Learn and Earn Poland")</f>
        <v>Learn and Earn Poland</v>
      </c>
      <c r="M1132" s="6" t="str">
        <f>IFERROR(__xludf.DUMMYFUNCTION("""COMPUTED_VALUE"""),"Poland ex-GTS")</f>
        <v>Poland ex-GTS</v>
      </c>
      <c r="N1132" s="6" t="str">
        <f>IFERROR(__xludf.DUMMYFUNCTION("""COMPUTED_VALUE"""),"")</f>
        <v/>
      </c>
      <c r="O1132" s="87" t="str">
        <f>IFERROR(__xludf.DUMMYFUNCTION("""COMPUTED_VALUE"""),"https://drive.google.com/drive/folders/10T2cTQHqEJZqE-st6uFKPoI?usp=share_link")</f>
        <v>https://drive.google.com/drive/folders/10T2cTQHqEJZqE-st6uFKPoI?usp=share_link</v>
      </c>
      <c r="P1132" s="6" t="str">
        <f>IFERROR(__xludf.DUMMYFUNCTION("""COMPUTED_VALUE"""),"Andrii Liebiediev")</f>
        <v>Andrii Liebiediev</v>
      </c>
      <c r="Q1132" s="6" t="str">
        <f>IFERROR(__xludf.DUMMYFUNCTION("""COMPUTED_VALUE"""),"LL")</f>
        <v>LL</v>
      </c>
      <c r="R1132" s="6">
        <f>IFERROR(__xludf.DUMMYFUNCTION("""COMPUTED_VALUE"""),0.0)</f>
        <v>0</v>
      </c>
      <c r="S1132" s="6" t="str">
        <f>IFERROR(__xludf.DUMMYFUNCTION("""COMPUTED_VALUE""")," ")</f>
        <v> </v>
      </c>
      <c r="T1132" s="6" t="str">
        <f>IFERROR(__xludf.DUMMYFUNCTION("""COMPUTED_VALUE"""),"")</f>
        <v/>
      </c>
      <c r="U1132" s="6" t="str">
        <f>IFERROR(__xludf.DUMMYFUNCTION("""COMPUTED_VALUE"""),"1")</f>
        <v>1</v>
      </c>
      <c r="V1132" s="6" t="str">
        <f>IFERROR(__xludf.DUMMYFUNCTION("""COMPUTED_VALUE"""),"English")</f>
        <v>English</v>
      </c>
      <c r="W1132" s="6" t="str">
        <f>IFERROR(__xludf.DUMMYFUNCTION("""COMPUTED_VALUE"""),"[]")</f>
        <v>[]</v>
      </c>
      <c r="X1132" s="6" t="str">
        <f>IFERROR(__xludf.DUMMYFUNCTION("""COMPUTED_VALUE"""),"Enrolled")</f>
        <v>Enrolled</v>
      </c>
    </row>
    <row r="1133">
      <c r="A1133" s="6" t="str">
        <f>IFERROR(__xludf.DUMMYFUNCTION("""COMPUTED_VALUE"""),"009-1352")</f>
        <v>009-1352</v>
      </c>
      <c r="B1133" s="6" t="str">
        <f>IFERROR(__xludf.DUMMYFUNCTION("""COMPUTED_VALUE"""),"9")</f>
        <v>9</v>
      </c>
      <c r="C1133" s="6" t="str">
        <f>IFERROR(__xludf.DUMMYFUNCTION("""COMPUTED_VALUE"""),"1352")</f>
        <v>1352</v>
      </c>
      <c r="D1133" s="6" t="str">
        <f>IFERROR(__xludf.DUMMYFUNCTION("""COMPUTED_VALUE"""),"Kapran")</f>
        <v>Kapran</v>
      </c>
      <c r="E1133" s="6" t="str">
        <f>IFERROR(__xludf.DUMMYFUNCTION("""COMPUTED_VALUE"""),"")</f>
        <v/>
      </c>
      <c r="F1133" s="6" t="str">
        <f>IFERROR(__xludf.DUMMYFUNCTION("""COMPUTED_VALUE"""),"Nikita")</f>
        <v>Nikita</v>
      </c>
      <c r="G1133" s="6" t="str">
        <f>IFERROR(__xludf.DUMMYFUNCTION("""COMPUTED_VALUE"""),"01/01/2011")</f>
        <v>01/01/2011</v>
      </c>
      <c r="H1133" s="6" t="str">
        <f>IFERROR(__xludf.DUMMYFUNCTION("""COMPUTED_VALUE"""),"Self Identify")</f>
        <v>Self Identify</v>
      </c>
      <c r="I1133" s="6" t="str">
        <f>IFERROR(__xludf.DUMMYFUNCTION("""COMPUTED_VALUE"""),"Middle School")</f>
        <v>Middle School</v>
      </c>
      <c r="J1133" s="6" t="str">
        <f>IFERROR(__xludf.DUMMYFUNCTION("""COMPUTED_VALUE"""),"8")</f>
        <v>8</v>
      </c>
      <c r="K1133" s="6" t="str">
        <f>IFERROR(__xludf.DUMMYFUNCTION("""COMPUTED_VALUE"""),"kapran.nikita@2hourlearning.com")</f>
        <v>kapran.nikita@2hourlearning.com</v>
      </c>
      <c r="L1133" s="6" t="str">
        <f>IFERROR(__xludf.DUMMYFUNCTION("""COMPUTED_VALUE"""),"Learn and Earn Poland")</f>
        <v>Learn and Earn Poland</v>
      </c>
      <c r="M1133" s="6" t="str">
        <f>IFERROR(__xludf.DUMMYFUNCTION("""COMPUTED_VALUE"""),"Poland ex-GTS")</f>
        <v>Poland ex-GTS</v>
      </c>
      <c r="N1133" s="6" t="str">
        <f>IFERROR(__xludf.DUMMYFUNCTION("""COMPUTED_VALUE"""),"")</f>
        <v/>
      </c>
      <c r="O1133" s="87" t="str">
        <f>IFERROR(__xludf.DUMMYFUNCTION("""COMPUTED_VALUE"""),"https://drive.google.com/drive/folders/10T2cTQHqEJZqE-st6uFKPoI?usp=share_link")</f>
        <v>https://drive.google.com/drive/folders/10T2cTQHqEJZqE-st6uFKPoI?usp=share_link</v>
      </c>
      <c r="P1133" s="6" t="str">
        <f>IFERROR(__xludf.DUMMYFUNCTION("""COMPUTED_VALUE"""),"Kapran Nikita")</f>
        <v>Kapran Nikita</v>
      </c>
      <c r="Q1133" s="6" t="str">
        <f>IFERROR(__xludf.DUMMYFUNCTION("""COMPUTED_VALUE"""),"MS")</f>
        <v>MS</v>
      </c>
      <c r="R1133" s="6">
        <f>IFERROR(__xludf.DUMMYFUNCTION("""COMPUTED_VALUE"""),0.0)</f>
        <v>0</v>
      </c>
      <c r="S1133" s="6" t="str">
        <f>IFERROR(__xludf.DUMMYFUNCTION("""COMPUTED_VALUE""")," ")</f>
        <v> </v>
      </c>
      <c r="T1133" s="6" t="str">
        <f>IFERROR(__xludf.DUMMYFUNCTION("""COMPUTED_VALUE"""),"")</f>
        <v/>
      </c>
      <c r="U1133" s="6" t="str">
        <f>IFERROR(__xludf.DUMMYFUNCTION("""COMPUTED_VALUE"""),"8")</f>
        <v>8</v>
      </c>
      <c r="V1133" s="6" t="str">
        <f>IFERROR(__xludf.DUMMYFUNCTION("""COMPUTED_VALUE"""),"English")</f>
        <v>English</v>
      </c>
      <c r="W1133" s="6" t="str">
        <f>IFERROR(__xludf.DUMMYFUNCTION("""COMPUTED_VALUE"""),"[]")</f>
        <v>[]</v>
      </c>
      <c r="X1133" s="6" t="str">
        <f>IFERROR(__xludf.DUMMYFUNCTION("""COMPUTED_VALUE"""),"Enrolled")</f>
        <v>Enrolled</v>
      </c>
    </row>
    <row r="1134">
      <c r="A1134" s="6" t="str">
        <f>IFERROR(__xludf.DUMMYFUNCTION("""COMPUTED_VALUE"""),"009-1353")</f>
        <v>009-1353</v>
      </c>
      <c r="B1134" s="6" t="str">
        <f>IFERROR(__xludf.DUMMYFUNCTION("""COMPUTED_VALUE"""),"9")</f>
        <v>9</v>
      </c>
      <c r="C1134" s="6" t="str">
        <f>IFERROR(__xludf.DUMMYFUNCTION("""COMPUTED_VALUE"""),"1353")</f>
        <v>1353</v>
      </c>
      <c r="D1134" s="6" t="str">
        <f>IFERROR(__xludf.DUMMYFUNCTION("""COMPUTED_VALUE"""),"Kira")</f>
        <v>Kira</v>
      </c>
      <c r="E1134" s="6" t="str">
        <f>IFERROR(__xludf.DUMMYFUNCTION("""COMPUTED_VALUE"""),"")</f>
        <v/>
      </c>
      <c r="F1134" s="6" t="str">
        <f>IFERROR(__xludf.DUMMYFUNCTION("""COMPUTED_VALUE"""),"Pronina")</f>
        <v>Pronina</v>
      </c>
      <c r="G1134" s="6" t="str">
        <f>IFERROR(__xludf.DUMMYFUNCTION("""COMPUTED_VALUE"""),"01/01/2018")</f>
        <v>01/01/2018</v>
      </c>
      <c r="H1134" s="6" t="str">
        <f>IFERROR(__xludf.DUMMYFUNCTION("""COMPUTED_VALUE"""),"Self Identify")</f>
        <v>Self Identify</v>
      </c>
      <c r="I1134" s="6" t="str">
        <f>IFERROR(__xludf.DUMMYFUNCTION("""COMPUTED_VALUE"""),"Learning Lab")</f>
        <v>Learning Lab</v>
      </c>
      <c r="J1134" s="6" t="str">
        <f>IFERROR(__xludf.DUMMYFUNCTION("""COMPUTED_VALUE"""),"1")</f>
        <v>1</v>
      </c>
      <c r="K1134" s="6" t="str">
        <f>IFERROR(__xludf.DUMMYFUNCTION("""COMPUTED_VALUE"""),"kira.pronina@2hourlearning.com")</f>
        <v>kira.pronina@2hourlearning.com</v>
      </c>
      <c r="L1134" s="6" t="str">
        <f>IFERROR(__xludf.DUMMYFUNCTION("""COMPUTED_VALUE"""),"Learn and Earn Poland")</f>
        <v>Learn and Earn Poland</v>
      </c>
      <c r="M1134" s="6" t="str">
        <f>IFERROR(__xludf.DUMMYFUNCTION("""COMPUTED_VALUE"""),"Poland ex-GTS")</f>
        <v>Poland ex-GTS</v>
      </c>
      <c r="N1134" s="6" t="str">
        <f>IFERROR(__xludf.DUMMYFUNCTION("""COMPUTED_VALUE"""),"")</f>
        <v/>
      </c>
      <c r="O1134" s="87" t="str">
        <f>IFERROR(__xludf.DUMMYFUNCTION("""COMPUTED_VALUE"""),"https://drive.google.com/drive/folders/10T2cTQHqEJZqE-st6uFKPoI?usp=share_link")</f>
        <v>https://drive.google.com/drive/folders/10T2cTQHqEJZqE-st6uFKPoI?usp=share_link</v>
      </c>
      <c r="P1134" s="6" t="str">
        <f>IFERROR(__xludf.DUMMYFUNCTION("""COMPUTED_VALUE"""),"Kira Pronina")</f>
        <v>Kira Pronina</v>
      </c>
      <c r="Q1134" s="6" t="str">
        <f>IFERROR(__xludf.DUMMYFUNCTION("""COMPUTED_VALUE"""),"LL")</f>
        <v>LL</v>
      </c>
      <c r="R1134" s="6">
        <f>IFERROR(__xludf.DUMMYFUNCTION("""COMPUTED_VALUE"""),0.0)</f>
        <v>0</v>
      </c>
      <c r="S1134" s="6" t="str">
        <f>IFERROR(__xludf.DUMMYFUNCTION("""COMPUTED_VALUE""")," ")</f>
        <v> </v>
      </c>
      <c r="T1134" s="6" t="str">
        <f>IFERROR(__xludf.DUMMYFUNCTION("""COMPUTED_VALUE"""),"")</f>
        <v/>
      </c>
      <c r="U1134" s="6" t="str">
        <f>IFERROR(__xludf.DUMMYFUNCTION("""COMPUTED_VALUE"""),"1")</f>
        <v>1</v>
      </c>
      <c r="V1134" s="6" t="str">
        <f>IFERROR(__xludf.DUMMYFUNCTION("""COMPUTED_VALUE"""),"English")</f>
        <v>English</v>
      </c>
      <c r="W1134" s="6" t="str">
        <f>IFERROR(__xludf.DUMMYFUNCTION("""COMPUTED_VALUE"""),"[]")</f>
        <v>[]</v>
      </c>
      <c r="X1134" s="6" t="str">
        <f>IFERROR(__xludf.DUMMYFUNCTION("""COMPUTED_VALUE"""),"Enrolled")</f>
        <v>Enrolled</v>
      </c>
    </row>
    <row r="1135">
      <c r="A1135" s="6" t="str">
        <f>IFERROR(__xludf.DUMMYFUNCTION("""COMPUTED_VALUE"""),"009-1354")</f>
        <v>009-1354</v>
      </c>
      <c r="B1135" s="6" t="str">
        <f>IFERROR(__xludf.DUMMYFUNCTION("""COMPUTED_VALUE"""),"9")</f>
        <v>9</v>
      </c>
      <c r="C1135" s="6" t="str">
        <f>IFERROR(__xludf.DUMMYFUNCTION("""COMPUTED_VALUE"""),"1354")</f>
        <v>1354</v>
      </c>
      <c r="D1135" s="6" t="str">
        <f>IFERROR(__xludf.DUMMYFUNCTION("""COMPUTED_VALUE"""),"David")</f>
        <v>David</v>
      </c>
      <c r="E1135" s="6" t="str">
        <f>IFERROR(__xludf.DUMMYFUNCTION("""COMPUTED_VALUE"""),"")</f>
        <v/>
      </c>
      <c r="F1135" s="6" t="str">
        <f>IFERROR(__xludf.DUMMYFUNCTION("""COMPUTED_VALUE"""),"Tsiukevich")</f>
        <v>Tsiukevich</v>
      </c>
      <c r="G1135" s="6" t="str">
        <f>IFERROR(__xludf.DUMMYFUNCTION("""COMPUTED_VALUE"""),"01/01/2014")</f>
        <v>01/01/2014</v>
      </c>
      <c r="H1135" s="6" t="str">
        <f>IFERROR(__xludf.DUMMYFUNCTION("""COMPUTED_VALUE"""),"Self Identify")</f>
        <v>Self Identify</v>
      </c>
      <c r="I1135" s="6" t="str">
        <f>IFERROR(__xludf.DUMMYFUNCTION("""COMPUTED_VALUE"""),"Level 2")</f>
        <v>Level 2</v>
      </c>
      <c r="J1135" s="6" t="str">
        <f>IFERROR(__xludf.DUMMYFUNCTION("""COMPUTED_VALUE"""),"5")</f>
        <v>5</v>
      </c>
      <c r="K1135" s="6" t="str">
        <f>IFERROR(__xludf.DUMMYFUNCTION("""COMPUTED_VALUE"""),"david.tsiukevich@2hourlearning.com")</f>
        <v>david.tsiukevich@2hourlearning.com</v>
      </c>
      <c r="L1135" s="6" t="str">
        <f>IFERROR(__xludf.DUMMYFUNCTION("""COMPUTED_VALUE"""),"Learn and Earn Poland")</f>
        <v>Learn and Earn Poland</v>
      </c>
      <c r="M1135" s="6" t="str">
        <f>IFERROR(__xludf.DUMMYFUNCTION("""COMPUTED_VALUE"""),"Poland ex-GTS")</f>
        <v>Poland ex-GTS</v>
      </c>
      <c r="N1135" s="6" t="str">
        <f>IFERROR(__xludf.DUMMYFUNCTION("""COMPUTED_VALUE"""),"")</f>
        <v/>
      </c>
      <c r="O1135" s="87" t="str">
        <f>IFERROR(__xludf.DUMMYFUNCTION("""COMPUTED_VALUE"""),"https://drive.google.com/drive/folders/10T2cTQHqEJZqE-st6uFKPoI?usp=share_link")</f>
        <v>https://drive.google.com/drive/folders/10T2cTQHqEJZqE-st6uFKPoI?usp=share_link</v>
      </c>
      <c r="P1135" s="6" t="str">
        <f>IFERROR(__xludf.DUMMYFUNCTION("""COMPUTED_VALUE"""),"David Tsiukevich")</f>
        <v>David Tsiukevich</v>
      </c>
      <c r="Q1135" s="6" t="str">
        <f>IFERROR(__xludf.DUMMYFUNCTION("""COMPUTED_VALUE"""),"L2")</f>
        <v>L2</v>
      </c>
      <c r="R1135" s="6">
        <f>IFERROR(__xludf.DUMMYFUNCTION("""COMPUTED_VALUE"""),2.0)</f>
        <v>2</v>
      </c>
      <c r="S1135" s="6" t="str">
        <f>IFERROR(__xludf.DUMMYFUNCTION("""COMPUTED_VALUE""")," ")</f>
        <v> </v>
      </c>
      <c r="T1135" s="6" t="str">
        <f>IFERROR(__xludf.DUMMYFUNCTION("""COMPUTED_VALUE"""),"")</f>
        <v/>
      </c>
      <c r="U1135" s="6" t="str">
        <f>IFERROR(__xludf.DUMMYFUNCTION("""COMPUTED_VALUE"""),"5")</f>
        <v>5</v>
      </c>
      <c r="V1135" s="6" t="str">
        <f>IFERROR(__xludf.DUMMYFUNCTION("""COMPUTED_VALUE"""),"English")</f>
        <v>English</v>
      </c>
      <c r="W1135" s="6" t="str">
        <f>IFERROR(__xludf.DUMMYFUNCTION("""COMPUTED_VALUE"""),"[]")</f>
        <v>[]</v>
      </c>
      <c r="X1135" s="6" t="str">
        <f>IFERROR(__xludf.DUMMYFUNCTION("""COMPUTED_VALUE"""),"Enrolled")</f>
        <v>Enrolled</v>
      </c>
    </row>
    <row r="1136">
      <c r="A1136" s="6" t="str">
        <f>IFERROR(__xludf.DUMMYFUNCTION("""COMPUTED_VALUE"""),"009-1355")</f>
        <v>009-1355</v>
      </c>
      <c r="B1136" s="6" t="str">
        <f>IFERROR(__xludf.DUMMYFUNCTION("""COMPUTED_VALUE"""),"9")</f>
        <v>9</v>
      </c>
      <c r="C1136" s="6" t="str">
        <f>IFERROR(__xludf.DUMMYFUNCTION("""COMPUTED_VALUE"""),"1355")</f>
        <v>1355</v>
      </c>
      <c r="D1136" s="6" t="str">
        <f>IFERROR(__xludf.DUMMYFUNCTION("""COMPUTED_VALUE"""),"Kateryna")</f>
        <v>Kateryna</v>
      </c>
      <c r="E1136" s="6" t="str">
        <f>IFERROR(__xludf.DUMMYFUNCTION("""COMPUTED_VALUE"""),"")</f>
        <v/>
      </c>
      <c r="F1136" s="6" t="str">
        <f>IFERROR(__xludf.DUMMYFUNCTION("""COMPUTED_VALUE"""),"Grankina")</f>
        <v>Grankina</v>
      </c>
      <c r="G1136" s="6" t="str">
        <f>IFERROR(__xludf.DUMMYFUNCTION("""COMPUTED_VALUE"""),"01/01/2009")</f>
        <v>01/01/2009</v>
      </c>
      <c r="H1136" s="6" t="str">
        <f>IFERROR(__xludf.DUMMYFUNCTION("""COMPUTED_VALUE"""),"Self Identify")</f>
        <v>Self Identify</v>
      </c>
      <c r="I1136" s="6" t="str">
        <f>IFERROR(__xludf.DUMMYFUNCTION("""COMPUTED_VALUE"""),"High School")</f>
        <v>High School</v>
      </c>
      <c r="J1136" s="6" t="str">
        <f>IFERROR(__xludf.DUMMYFUNCTION("""COMPUTED_VALUE"""),"10")</f>
        <v>10</v>
      </c>
      <c r="K1136" s="6" t="str">
        <f>IFERROR(__xludf.DUMMYFUNCTION("""COMPUTED_VALUE"""),"kateryna.grankina@2hourlearning.com")</f>
        <v>kateryna.grankina@2hourlearning.com</v>
      </c>
      <c r="L1136" s="6" t="str">
        <f>IFERROR(__xludf.DUMMYFUNCTION("""COMPUTED_VALUE"""),"Learn and Earn Poland")</f>
        <v>Learn and Earn Poland</v>
      </c>
      <c r="M1136" s="6" t="str">
        <f>IFERROR(__xludf.DUMMYFUNCTION("""COMPUTED_VALUE"""),"Poland ex-GTS")</f>
        <v>Poland ex-GTS</v>
      </c>
      <c r="N1136" s="6" t="str">
        <f>IFERROR(__xludf.DUMMYFUNCTION("""COMPUTED_VALUE"""),"")</f>
        <v/>
      </c>
      <c r="O1136" s="87" t="str">
        <f>IFERROR(__xludf.DUMMYFUNCTION("""COMPUTED_VALUE"""),"https://drive.google.com/drive/folders/10T2cTQHqEJZqE-st6uFKPoI?usp=share_link")</f>
        <v>https://drive.google.com/drive/folders/10T2cTQHqEJZqE-st6uFKPoI?usp=share_link</v>
      </c>
      <c r="P1136" s="6" t="str">
        <f>IFERROR(__xludf.DUMMYFUNCTION("""COMPUTED_VALUE"""),"Kateryna Grankina")</f>
        <v>Kateryna Grankina</v>
      </c>
      <c r="Q1136" s="6" t="str">
        <f>IFERROR(__xludf.DUMMYFUNCTION("""COMPUTED_VALUE"""),"HS")</f>
        <v>HS</v>
      </c>
      <c r="R1136" s="6">
        <f>IFERROR(__xludf.DUMMYFUNCTION("""COMPUTED_VALUE"""),0.0)</f>
        <v>0</v>
      </c>
      <c r="S1136" s="6" t="str">
        <f>IFERROR(__xludf.DUMMYFUNCTION("""COMPUTED_VALUE""")," ")</f>
        <v> </v>
      </c>
      <c r="T1136" s="6" t="str">
        <f>IFERROR(__xludf.DUMMYFUNCTION("""COMPUTED_VALUE"""),"")</f>
        <v/>
      </c>
      <c r="U1136" s="6" t="str">
        <f>IFERROR(__xludf.DUMMYFUNCTION("""COMPUTED_VALUE"""),"10")</f>
        <v>10</v>
      </c>
      <c r="V1136" s="6" t="str">
        <f>IFERROR(__xludf.DUMMYFUNCTION("""COMPUTED_VALUE"""),"English")</f>
        <v>English</v>
      </c>
      <c r="W1136" s="6" t="str">
        <f>IFERROR(__xludf.DUMMYFUNCTION("""COMPUTED_VALUE"""),"[]")</f>
        <v>[]</v>
      </c>
      <c r="X1136" s="6" t="str">
        <f>IFERROR(__xludf.DUMMYFUNCTION("""COMPUTED_VALUE"""),"Enrolled")</f>
        <v>Enrolled</v>
      </c>
    </row>
    <row r="1137">
      <c r="A1137" s="6" t="str">
        <f>IFERROR(__xludf.DUMMYFUNCTION("""COMPUTED_VALUE"""),"009-1356")</f>
        <v>009-1356</v>
      </c>
      <c r="B1137" s="6" t="str">
        <f>IFERROR(__xludf.DUMMYFUNCTION("""COMPUTED_VALUE"""),"9")</f>
        <v>9</v>
      </c>
      <c r="C1137" s="6" t="str">
        <f>IFERROR(__xludf.DUMMYFUNCTION("""COMPUTED_VALUE"""),"1356")</f>
        <v>1356</v>
      </c>
      <c r="D1137" s="6" t="str">
        <f>IFERROR(__xludf.DUMMYFUNCTION("""COMPUTED_VALUE"""),"Veronika")</f>
        <v>Veronika</v>
      </c>
      <c r="E1137" s="6" t="str">
        <f>IFERROR(__xludf.DUMMYFUNCTION("""COMPUTED_VALUE"""),"")</f>
        <v/>
      </c>
      <c r="F1137" s="6" t="str">
        <f>IFERROR(__xludf.DUMMYFUNCTION("""COMPUTED_VALUE"""),"Yantseva")</f>
        <v>Yantseva</v>
      </c>
      <c r="G1137" s="6" t="str">
        <f>IFERROR(__xludf.DUMMYFUNCTION("""COMPUTED_VALUE"""),"01/01/2012")</f>
        <v>01/01/2012</v>
      </c>
      <c r="H1137" s="6" t="str">
        <f>IFERROR(__xludf.DUMMYFUNCTION("""COMPUTED_VALUE"""),"Self Identify")</f>
        <v>Self Identify</v>
      </c>
      <c r="I1137" s="6" t="str">
        <f>IFERROR(__xludf.DUMMYFUNCTION("""COMPUTED_VALUE"""),"Middle School")</f>
        <v>Middle School</v>
      </c>
      <c r="J1137" s="6" t="str">
        <f>IFERROR(__xludf.DUMMYFUNCTION("""COMPUTED_VALUE"""),"7")</f>
        <v>7</v>
      </c>
      <c r="K1137" s="6" t="str">
        <f>IFERROR(__xludf.DUMMYFUNCTION("""COMPUTED_VALUE"""),"veronika.yantseva@2hourlearning.com")</f>
        <v>veronika.yantseva@2hourlearning.com</v>
      </c>
      <c r="L1137" s="6" t="str">
        <f>IFERROR(__xludf.DUMMYFUNCTION("""COMPUTED_VALUE"""),"Learn and Earn Poland")</f>
        <v>Learn and Earn Poland</v>
      </c>
      <c r="M1137" s="6" t="str">
        <f>IFERROR(__xludf.DUMMYFUNCTION("""COMPUTED_VALUE"""),"Poland ex-GTS")</f>
        <v>Poland ex-GTS</v>
      </c>
      <c r="N1137" s="6" t="str">
        <f>IFERROR(__xludf.DUMMYFUNCTION("""COMPUTED_VALUE"""),"")</f>
        <v/>
      </c>
      <c r="O1137" s="87" t="str">
        <f>IFERROR(__xludf.DUMMYFUNCTION("""COMPUTED_VALUE"""),"https://drive.google.com/drive/folders/10T2cTQHqEJZqE-st6uFKPoI?usp=share_link")</f>
        <v>https://drive.google.com/drive/folders/10T2cTQHqEJZqE-st6uFKPoI?usp=share_link</v>
      </c>
      <c r="P1137" s="6" t="str">
        <f>IFERROR(__xludf.DUMMYFUNCTION("""COMPUTED_VALUE"""),"Veronika Yantseva")</f>
        <v>Veronika Yantseva</v>
      </c>
      <c r="Q1137" s="6" t="str">
        <f>IFERROR(__xludf.DUMMYFUNCTION("""COMPUTED_VALUE"""),"MS")</f>
        <v>MS</v>
      </c>
      <c r="R1137" s="6">
        <f>IFERROR(__xludf.DUMMYFUNCTION("""COMPUTED_VALUE"""),0.0)</f>
        <v>0</v>
      </c>
      <c r="S1137" s="6" t="str">
        <f>IFERROR(__xludf.DUMMYFUNCTION("""COMPUTED_VALUE""")," ")</f>
        <v> </v>
      </c>
      <c r="T1137" s="6" t="str">
        <f>IFERROR(__xludf.DUMMYFUNCTION("""COMPUTED_VALUE"""),"")</f>
        <v/>
      </c>
      <c r="U1137" s="6" t="str">
        <f>IFERROR(__xludf.DUMMYFUNCTION("""COMPUTED_VALUE"""),"7")</f>
        <v>7</v>
      </c>
      <c r="V1137" s="6" t="str">
        <f>IFERROR(__xludf.DUMMYFUNCTION("""COMPUTED_VALUE"""),"English")</f>
        <v>English</v>
      </c>
      <c r="W1137" s="6" t="str">
        <f>IFERROR(__xludf.DUMMYFUNCTION("""COMPUTED_VALUE"""),"[]")</f>
        <v>[]</v>
      </c>
      <c r="X1137" s="6" t="str">
        <f>IFERROR(__xludf.DUMMYFUNCTION("""COMPUTED_VALUE"""),"Enrolled")</f>
        <v>Enrolled</v>
      </c>
    </row>
    <row r="1138">
      <c r="A1138" s="6" t="str">
        <f>IFERROR(__xludf.DUMMYFUNCTION("""COMPUTED_VALUE"""),"009-1357")</f>
        <v>009-1357</v>
      </c>
      <c r="B1138" s="6" t="str">
        <f>IFERROR(__xludf.DUMMYFUNCTION("""COMPUTED_VALUE"""),"9")</f>
        <v>9</v>
      </c>
      <c r="C1138" s="6" t="str">
        <f>IFERROR(__xludf.DUMMYFUNCTION("""COMPUTED_VALUE"""),"1357")</f>
        <v>1357</v>
      </c>
      <c r="D1138" s="6" t="str">
        <f>IFERROR(__xludf.DUMMYFUNCTION("""COMPUTED_VALUE"""),"Viktor")</f>
        <v>Viktor</v>
      </c>
      <c r="E1138" s="6" t="str">
        <f>IFERROR(__xludf.DUMMYFUNCTION("""COMPUTED_VALUE"""),"")</f>
        <v/>
      </c>
      <c r="F1138" s="6" t="str">
        <f>IFERROR(__xludf.DUMMYFUNCTION("""COMPUTED_VALUE"""),"Ionash")</f>
        <v>Ionash</v>
      </c>
      <c r="G1138" s="6" t="str">
        <f>IFERROR(__xludf.DUMMYFUNCTION("""COMPUTED_VALUE"""),"01/01/2016")</f>
        <v>01/01/2016</v>
      </c>
      <c r="H1138" s="6" t="str">
        <f>IFERROR(__xludf.DUMMYFUNCTION("""COMPUTED_VALUE"""),"Self Identify")</f>
        <v>Self Identify</v>
      </c>
      <c r="I1138" s="6" t="str">
        <f>IFERROR(__xludf.DUMMYFUNCTION("""COMPUTED_VALUE"""),"Level 1")</f>
        <v>Level 1</v>
      </c>
      <c r="J1138" s="6" t="str">
        <f>IFERROR(__xludf.DUMMYFUNCTION("""COMPUTED_VALUE"""),"3")</f>
        <v>3</v>
      </c>
      <c r="K1138" s="6" t="str">
        <f>IFERROR(__xludf.DUMMYFUNCTION("""COMPUTED_VALUE"""),"viktor.ionash@2hourlearning.com")</f>
        <v>viktor.ionash@2hourlearning.com</v>
      </c>
      <c r="L1138" s="6" t="str">
        <f>IFERROR(__xludf.DUMMYFUNCTION("""COMPUTED_VALUE"""),"Learn and Earn Poland")</f>
        <v>Learn and Earn Poland</v>
      </c>
      <c r="M1138" s="6" t="str">
        <f>IFERROR(__xludf.DUMMYFUNCTION("""COMPUTED_VALUE"""),"Poland ex-GTS")</f>
        <v>Poland ex-GTS</v>
      </c>
      <c r="N1138" s="6" t="str">
        <f>IFERROR(__xludf.DUMMYFUNCTION("""COMPUTED_VALUE"""),"")</f>
        <v/>
      </c>
      <c r="O1138" s="87" t="str">
        <f>IFERROR(__xludf.DUMMYFUNCTION("""COMPUTED_VALUE"""),"https://drive.google.com/drive/folders/10T2cTQHqEJZqE-st6uFKPoI?usp=share_link")</f>
        <v>https://drive.google.com/drive/folders/10T2cTQHqEJZqE-st6uFKPoI?usp=share_link</v>
      </c>
      <c r="P1138" s="6" t="str">
        <f>IFERROR(__xludf.DUMMYFUNCTION("""COMPUTED_VALUE"""),"Viktor Ionash")</f>
        <v>Viktor Ionash</v>
      </c>
      <c r="Q1138" s="6" t="str">
        <f>IFERROR(__xludf.DUMMYFUNCTION("""COMPUTED_VALUE"""),"L1")</f>
        <v>L1</v>
      </c>
      <c r="R1138" s="6">
        <f>IFERROR(__xludf.DUMMYFUNCTION("""COMPUTED_VALUE"""),1.0)</f>
        <v>1</v>
      </c>
      <c r="S1138" s="6" t="str">
        <f>IFERROR(__xludf.DUMMYFUNCTION("""COMPUTED_VALUE""")," ")</f>
        <v> </v>
      </c>
      <c r="T1138" s="6" t="str">
        <f>IFERROR(__xludf.DUMMYFUNCTION("""COMPUTED_VALUE"""),"")</f>
        <v/>
      </c>
      <c r="U1138" s="6" t="str">
        <f>IFERROR(__xludf.DUMMYFUNCTION("""COMPUTED_VALUE"""),"3")</f>
        <v>3</v>
      </c>
      <c r="V1138" s="6" t="str">
        <f>IFERROR(__xludf.DUMMYFUNCTION("""COMPUTED_VALUE"""),"English")</f>
        <v>English</v>
      </c>
      <c r="W1138" s="6" t="str">
        <f>IFERROR(__xludf.DUMMYFUNCTION("""COMPUTED_VALUE"""),"[]")</f>
        <v>[]</v>
      </c>
      <c r="X1138" s="6" t="str">
        <f>IFERROR(__xludf.DUMMYFUNCTION("""COMPUTED_VALUE"""),"Enrolled")</f>
        <v>Enrolled</v>
      </c>
    </row>
    <row r="1139">
      <c r="A1139" s="6" t="str">
        <f>IFERROR(__xludf.DUMMYFUNCTION("""COMPUTED_VALUE"""),"009-1358")</f>
        <v>009-1358</v>
      </c>
      <c r="B1139" s="6" t="str">
        <f>IFERROR(__xludf.DUMMYFUNCTION("""COMPUTED_VALUE"""),"9")</f>
        <v>9</v>
      </c>
      <c r="C1139" s="6" t="str">
        <f>IFERROR(__xludf.DUMMYFUNCTION("""COMPUTED_VALUE"""),"1358")</f>
        <v>1358</v>
      </c>
      <c r="D1139" s="6" t="str">
        <f>IFERROR(__xludf.DUMMYFUNCTION("""COMPUTED_VALUE"""),"Khrystyna")</f>
        <v>Khrystyna</v>
      </c>
      <c r="E1139" s="6" t="str">
        <f>IFERROR(__xludf.DUMMYFUNCTION("""COMPUTED_VALUE"""),"")</f>
        <v/>
      </c>
      <c r="F1139" s="6" t="str">
        <f>IFERROR(__xludf.DUMMYFUNCTION("""COMPUTED_VALUE"""),"Stechyshyn")</f>
        <v>Stechyshyn</v>
      </c>
      <c r="G1139" s="6" t="str">
        <f>IFERROR(__xludf.DUMMYFUNCTION("""COMPUTED_VALUE"""),"01/01/2012")</f>
        <v>01/01/2012</v>
      </c>
      <c r="H1139" s="6" t="str">
        <f>IFERROR(__xludf.DUMMYFUNCTION("""COMPUTED_VALUE"""),"Self Identify")</f>
        <v>Self Identify</v>
      </c>
      <c r="I1139" s="6" t="str">
        <f>IFERROR(__xludf.DUMMYFUNCTION("""COMPUTED_VALUE"""),"Middle School")</f>
        <v>Middle School</v>
      </c>
      <c r="J1139" s="6" t="str">
        <f>IFERROR(__xludf.DUMMYFUNCTION("""COMPUTED_VALUE"""),"7")</f>
        <v>7</v>
      </c>
      <c r="K1139" s="6" t="str">
        <f>IFERROR(__xludf.DUMMYFUNCTION("""COMPUTED_VALUE"""),"khrystyna.stechyshyn@2hourlearning.com")</f>
        <v>khrystyna.stechyshyn@2hourlearning.com</v>
      </c>
      <c r="L1139" s="6" t="str">
        <f>IFERROR(__xludf.DUMMYFUNCTION("""COMPUTED_VALUE"""),"Learn and Earn Poland")</f>
        <v>Learn and Earn Poland</v>
      </c>
      <c r="M1139" s="6" t="str">
        <f>IFERROR(__xludf.DUMMYFUNCTION("""COMPUTED_VALUE"""),"Poland ex-GTS")</f>
        <v>Poland ex-GTS</v>
      </c>
      <c r="N1139" s="6" t="str">
        <f>IFERROR(__xludf.DUMMYFUNCTION("""COMPUTED_VALUE"""),"")</f>
        <v/>
      </c>
      <c r="O1139" s="87" t="str">
        <f>IFERROR(__xludf.DUMMYFUNCTION("""COMPUTED_VALUE"""),"https://drive.google.com/drive/folders/10T2cTQHqEJZqE-st6uFKPoI?usp=share_link")</f>
        <v>https://drive.google.com/drive/folders/10T2cTQHqEJZqE-st6uFKPoI?usp=share_link</v>
      </c>
      <c r="P1139" s="6" t="str">
        <f>IFERROR(__xludf.DUMMYFUNCTION("""COMPUTED_VALUE"""),"Khrystyna Stechyshyn")</f>
        <v>Khrystyna Stechyshyn</v>
      </c>
      <c r="Q1139" s="6" t="str">
        <f>IFERROR(__xludf.DUMMYFUNCTION("""COMPUTED_VALUE"""),"MS")</f>
        <v>MS</v>
      </c>
      <c r="R1139" s="6">
        <f>IFERROR(__xludf.DUMMYFUNCTION("""COMPUTED_VALUE"""),0.0)</f>
        <v>0</v>
      </c>
      <c r="S1139" s="6" t="str">
        <f>IFERROR(__xludf.DUMMYFUNCTION("""COMPUTED_VALUE""")," ")</f>
        <v> </v>
      </c>
      <c r="T1139" s="6" t="str">
        <f>IFERROR(__xludf.DUMMYFUNCTION("""COMPUTED_VALUE"""),"")</f>
        <v/>
      </c>
      <c r="U1139" s="6" t="str">
        <f>IFERROR(__xludf.DUMMYFUNCTION("""COMPUTED_VALUE"""),"7")</f>
        <v>7</v>
      </c>
      <c r="V1139" s="6" t="str">
        <f>IFERROR(__xludf.DUMMYFUNCTION("""COMPUTED_VALUE"""),"English")</f>
        <v>English</v>
      </c>
      <c r="W1139" s="6" t="str">
        <f>IFERROR(__xludf.DUMMYFUNCTION("""COMPUTED_VALUE"""),"[]")</f>
        <v>[]</v>
      </c>
      <c r="X1139" s="6" t="str">
        <f>IFERROR(__xludf.DUMMYFUNCTION("""COMPUTED_VALUE"""),"Enrolled")</f>
        <v>Enrolled</v>
      </c>
    </row>
    <row r="1140">
      <c r="A1140" s="6" t="str">
        <f>IFERROR(__xludf.DUMMYFUNCTION("""COMPUTED_VALUE"""),"009-1360")</f>
        <v>009-1360</v>
      </c>
      <c r="B1140" s="6" t="str">
        <f>IFERROR(__xludf.DUMMYFUNCTION("""COMPUTED_VALUE"""),"9")</f>
        <v>9</v>
      </c>
      <c r="C1140" s="6" t="str">
        <f>IFERROR(__xludf.DUMMYFUNCTION("""COMPUTED_VALUE"""),"1360")</f>
        <v>1360</v>
      </c>
      <c r="D1140" s="6" t="str">
        <f>IFERROR(__xludf.DUMMYFUNCTION("""COMPUTED_VALUE"""),"Ivan")</f>
        <v>Ivan</v>
      </c>
      <c r="E1140" s="6" t="str">
        <f>IFERROR(__xludf.DUMMYFUNCTION("""COMPUTED_VALUE"""),"")</f>
        <v/>
      </c>
      <c r="F1140" s="6" t="str">
        <f>IFERROR(__xludf.DUMMYFUNCTION("""COMPUTED_VALUE"""),"Horbatiuk")</f>
        <v>Horbatiuk</v>
      </c>
      <c r="G1140" s="6" t="str">
        <f>IFERROR(__xludf.DUMMYFUNCTION("""COMPUTED_VALUE"""),"01/01/2016")</f>
        <v>01/01/2016</v>
      </c>
      <c r="H1140" s="6" t="str">
        <f>IFERROR(__xludf.DUMMYFUNCTION("""COMPUTED_VALUE"""),"Self Identify")</f>
        <v>Self Identify</v>
      </c>
      <c r="I1140" s="6" t="str">
        <f>IFERROR(__xludf.DUMMYFUNCTION("""COMPUTED_VALUE"""),"Level 1")</f>
        <v>Level 1</v>
      </c>
      <c r="J1140" s="6" t="str">
        <f>IFERROR(__xludf.DUMMYFUNCTION("""COMPUTED_VALUE"""),"3")</f>
        <v>3</v>
      </c>
      <c r="K1140" s="6" t="str">
        <f>IFERROR(__xludf.DUMMYFUNCTION("""COMPUTED_VALUE"""),"ivan.horbatiuk@2hourlearning.com")</f>
        <v>ivan.horbatiuk@2hourlearning.com</v>
      </c>
      <c r="L1140" s="6" t="str">
        <f>IFERROR(__xludf.DUMMYFUNCTION("""COMPUTED_VALUE"""),"Learn and Earn Poland")</f>
        <v>Learn and Earn Poland</v>
      </c>
      <c r="M1140" s="6" t="str">
        <f>IFERROR(__xludf.DUMMYFUNCTION("""COMPUTED_VALUE"""),"Poland ex-GTS")</f>
        <v>Poland ex-GTS</v>
      </c>
      <c r="N1140" s="6" t="str">
        <f>IFERROR(__xludf.DUMMYFUNCTION("""COMPUTED_VALUE"""),"")</f>
        <v/>
      </c>
      <c r="O1140" s="87" t="str">
        <f>IFERROR(__xludf.DUMMYFUNCTION("""COMPUTED_VALUE"""),"https://drive.google.com/drive/folders/10T2cTQHqEJZqE-st6uFKPoI?usp=share_link")</f>
        <v>https://drive.google.com/drive/folders/10T2cTQHqEJZqE-st6uFKPoI?usp=share_link</v>
      </c>
      <c r="P1140" s="6" t="str">
        <f>IFERROR(__xludf.DUMMYFUNCTION("""COMPUTED_VALUE"""),"Ivan Horbatiuk")</f>
        <v>Ivan Horbatiuk</v>
      </c>
      <c r="Q1140" s="6" t="str">
        <f>IFERROR(__xludf.DUMMYFUNCTION("""COMPUTED_VALUE"""),"L1")</f>
        <v>L1</v>
      </c>
      <c r="R1140" s="6">
        <f>IFERROR(__xludf.DUMMYFUNCTION("""COMPUTED_VALUE"""),1.0)</f>
        <v>1</v>
      </c>
      <c r="S1140" s="6" t="str">
        <f>IFERROR(__xludf.DUMMYFUNCTION("""COMPUTED_VALUE""")," ")</f>
        <v> </v>
      </c>
      <c r="T1140" s="6" t="str">
        <f>IFERROR(__xludf.DUMMYFUNCTION("""COMPUTED_VALUE"""),"")</f>
        <v/>
      </c>
      <c r="U1140" s="6" t="str">
        <f>IFERROR(__xludf.DUMMYFUNCTION("""COMPUTED_VALUE"""),"3")</f>
        <v>3</v>
      </c>
      <c r="V1140" s="6" t="str">
        <f>IFERROR(__xludf.DUMMYFUNCTION("""COMPUTED_VALUE"""),"English")</f>
        <v>English</v>
      </c>
      <c r="W1140" s="6" t="str">
        <f>IFERROR(__xludf.DUMMYFUNCTION("""COMPUTED_VALUE"""),"[]")</f>
        <v>[]</v>
      </c>
      <c r="X1140" s="6" t="str">
        <f>IFERROR(__xludf.DUMMYFUNCTION("""COMPUTED_VALUE"""),"Enrolled")</f>
        <v>Enrolled</v>
      </c>
    </row>
    <row r="1141">
      <c r="A1141" s="6" t="str">
        <f>IFERROR(__xludf.DUMMYFUNCTION("""COMPUTED_VALUE"""),"009-1361")</f>
        <v>009-1361</v>
      </c>
      <c r="B1141" s="6" t="str">
        <f>IFERROR(__xludf.DUMMYFUNCTION("""COMPUTED_VALUE"""),"9")</f>
        <v>9</v>
      </c>
      <c r="C1141" s="6" t="str">
        <f>IFERROR(__xludf.DUMMYFUNCTION("""COMPUTED_VALUE"""),"1361")</f>
        <v>1361</v>
      </c>
      <c r="D1141" s="6" t="str">
        <f>IFERROR(__xludf.DUMMYFUNCTION("""COMPUTED_VALUE"""),"Viktoriia")</f>
        <v>Viktoriia</v>
      </c>
      <c r="E1141" s="6" t="str">
        <f>IFERROR(__xludf.DUMMYFUNCTION("""COMPUTED_VALUE"""),"")</f>
        <v/>
      </c>
      <c r="F1141" s="6" t="str">
        <f>IFERROR(__xludf.DUMMYFUNCTION("""COMPUTED_VALUE"""),"Kuklenko")</f>
        <v>Kuklenko</v>
      </c>
      <c r="G1141" s="6" t="str">
        <f>IFERROR(__xludf.DUMMYFUNCTION("""COMPUTED_VALUE"""),"01/01/2013")</f>
        <v>01/01/2013</v>
      </c>
      <c r="H1141" s="6" t="str">
        <f>IFERROR(__xludf.DUMMYFUNCTION("""COMPUTED_VALUE"""),"Self Identify")</f>
        <v>Self Identify</v>
      </c>
      <c r="I1141" s="6" t="str">
        <f>IFERROR(__xludf.DUMMYFUNCTION("""COMPUTED_VALUE"""),"Middle School")</f>
        <v>Middle School</v>
      </c>
      <c r="J1141" s="6" t="str">
        <f>IFERROR(__xludf.DUMMYFUNCTION("""COMPUTED_VALUE"""),"6")</f>
        <v>6</v>
      </c>
      <c r="K1141" s="6" t="str">
        <f>IFERROR(__xludf.DUMMYFUNCTION("""COMPUTED_VALUE"""),"viktoriia.kuklenko@2hourlearning.com")</f>
        <v>viktoriia.kuklenko@2hourlearning.com</v>
      </c>
      <c r="L1141" s="6" t="str">
        <f>IFERROR(__xludf.DUMMYFUNCTION("""COMPUTED_VALUE"""),"Learn and Earn Poland")</f>
        <v>Learn and Earn Poland</v>
      </c>
      <c r="M1141" s="6" t="str">
        <f>IFERROR(__xludf.DUMMYFUNCTION("""COMPUTED_VALUE"""),"Poland ex-GTS")</f>
        <v>Poland ex-GTS</v>
      </c>
      <c r="N1141" s="6" t="str">
        <f>IFERROR(__xludf.DUMMYFUNCTION("""COMPUTED_VALUE"""),"")</f>
        <v/>
      </c>
      <c r="O1141" s="87" t="str">
        <f>IFERROR(__xludf.DUMMYFUNCTION("""COMPUTED_VALUE"""),"https://drive.google.com/drive/folders/10T2cTQHqEJZqE-st6uFKPoI?usp=share_link")</f>
        <v>https://drive.google.com/drive/folders/10T2cTQHqEJZqE-st6uFKPoI?usp=share_link</v>
      </c>
      <c r="P1141" s="6" t="str">
        <f>IFERROR(__xludf.DUMMYFUNCTION("""COMPUTED_VALUE"""),"Viktoriia Kuklenko")</f>
        <v>Viktoriia Kuklenko</v>
      </c>
      <c r="Q1141" s="6" t="str">
        <f>IFERROR(__xludf.DUMMYFUNCTION("""COMPUTED_VALUE"""),"MS")</f>
        <v>MS</v>
      </c>
      <c r="R1141" s="6">
        <f>IFERROR(__xludf.DUMMYFUNCTION("""COMPUTED_VALUE"""),0.0)</f>
        <v>0</v>
      </c>
      <c r="S1141" s="6" t="str">
        <f>IFERROR(__xludf.DUMMYFUNCTION("""COMPUTED_VALUE""")," ")</f>
        <v> </v>
      </c>
      <c r="T1141" s="6" t="str">
        <f>IFERROR(__xludf.DUMMYFUNCTION("""COMPUTED_VALUE"""),"")</f>
        <v/>
      </c>
      <c r="U1141" s="6" t="str">
        <f>IFERROR(__xludf.DUMMYFUNCTION("""COMPUTED_VALUE"""),"6")</f>
        <v>6</v>
      </c>
      <c r="V1141" s="6" t="str">
        <f>IFERROR(__xludf.DUMMYFUNCTION("""COMPUTED_VALUE"""),"English")</f>
        <v>English</v>
      </c>
      <c r="W1141" s="6" t="str">
        <f>IFERROR(__xludf.DUMMYFUNCTION("""COMPUTED_VALUE"""),"[]")</f>
        <v>[]</v>
      </c>
      <c r="X1141" s="6" t="str">
        <f>IFERROR(__xludf.DUMMYFUNCTION("""COMPUTED_VALUE"""),"Enrolled")</f>
        <v>Enrolled</v>
      </c>
    </row>
    <row r="1142">
      <c r="A1142" s="6" t="str">
        <f>IFERROR(__xludf.DUMMYFUNCTION("""COMPUTED_VALUE"""),"009-1362")</f>
        <v>009-1362</v>
      </c>
      <c r="B1142" s="6" t="str">
        <f>IFERROR(__xludf.DUMMYFUNCTION("""COMPUTED_VALUE"""),"9")</f>
        <v>9</v>
      </c>
      <c r="C1142" s="6" t="str">
        <f>IFERROR(__xludf.DUMMYFUNCTION("""COMPUTED_VALUE"""),"1362")</f>
        <v>1362</v>
      </c>
      <c r="D1142" s="6" t="str">
        <f>IFERROR(__xludf.DUMMYFUNCTION("""COMPUTED_VALUE"""),"Mariia")</f>
        <v>Mariia</v>
      </c>
      <c r="E1142" s="6" t="str">
        <f>IFERROR(__xludf.DUMMYFUNCTION("""COMPUTED_VALUE"""),"")</f>
        <v/>
      </c>
      <c r="F1142" s="6" t="str">
        <f>IFERROR(__xludf.DUMMYFUNCTION("""COMPUTED_VALUE"""),"Tarakanova")</f>
        <v>Tarakanova</v>
      </c>
      <c r="G1142" s="6" t="str">
        <f>IFERROR(__xludf.DUMMYFUNCTION("""COMPUTED_VALUE"""),"01/01/2009")</f>
        <v>01/01/2009</v>
      </c>
      <c r="H1142" s="6" t="str">
        <f>IFERROR(__xludf.DUMMYFUNCTION("""COMPUTED_VALUE"""),"Self Identify")</f>
        <v>Self Identify</v>
      </c>
      <c r="I1142" s="6" t="str">
        <f>IFERROR(__xludf.DUMMYFUNCTION("""COMPUTED_VALUE"""),"High School")</f>
        <v>High School</v>
      </c>
      <c r="J1142" s="6" t="str">
        <f>IFERROR(__xludf.DUMMYFUNCTION("""COMPUTED_VALUE"""),"10")</f>
        <v>10</v>
      </c>
      <c r="K1142" s="6" t="str">
        <f>IFERROR(__xludf.DUMMYFUNCTION("""COMPUTED_VALUE"""),"mariia.tarakanova@2hourlearning.com")</f>
        <v>mariia.tarakanova@2hourlearning.com</v>
      </c>
      <c r="L1142" s="6" t="str">
        <f>IFERROR(__xludf.DUMMYFUNCTION("""COMPUTED_VALUE"""),"Learn and Earn Poland")</f>
        <v>Learn and Earn Poland</v>
      </c>
      <c r="M1142" s="6" t="str">
        <f>IFERROR(__xludf.DUMMYFUNCTION("""COMPUTED_VALUE"""),"Poland ex-GTS")</f>
        <v>Poland ex-GTS</v>
      </c>
      <c r="N1142" s="6" t="str">
        <f>IFERROR(__xludf.DUMMYFUNCTION("""COMPUTED_VALUE"""),"")</f>
        <v/>
      </c>
      <c r="O1142" s="87" t="str">
        <f>IFERROR(__xludf.DUMMYFUNCTION("""COMPUTED_VALUE"""),"https://drive.google.com/drive/folders/10T2cTQHqEJZqE-st6uFKPoI?usp=share_link")</f>
        <v>https://drive.google.com/drive/folders/10T2cTQHqEJZqE-st6uFKPoI?usp=share_link</v>
      </c>
      <c r="P1142" s="6" t="str">
        <f>IFERROR(__xludf.DUMMYFUNCTION("""COMPUTED_VALUE"""),"Mariia Tarakanova")</f>
        <v>Mariia Tarakanova</v>
      </c>
      <c r="Q1142" s="6" t="str">
        <f>IFERROR(__xludf.DUMMYFUNCTION("""COMPUTED_VALUE"""),"HS")</f>
        <v>HS</v>
      </c>
      <c r="R1142" s="6">
        <f>IFERROR(__xludf.DUMMYFUNCTION("""COMPUTED_VALUE"""),0.0)</f>
        <v>0</v>
      </c>
      <c r="S1142" s="6" t="str">
        <f>IFERROR(__xludf.DUMMYFUNCTION("""COMPUTED_VALUE""")," ")</f>
        <v> </v>
      </c>
      <c r="T1142" s="6" t="str">
        <f>IFERROR(__xludf.DUMMYFUNCTION("""COMPUTED_VALUE"""),"")</f>
        <v/>
      </c>
      <c r="U1142" s="6" t="str">
        <f>IFERROR(__xludf.DUMMYFUNCTION("""COMPUTED_VALUE"""),"10")</f>
        <v>10</v>
      </c>
      <c r="V1142" s="6" t="str">
        <f>IFERROR(__xludf.DUMMYFUNCTION("""COMPUTED_VALUE"""),"English")</f>
        <v>English</v>
      </c>
      <c r="W1142" s="6" t="str">
        <f>IFERROR(__xludf.DUMMYFUNCTION("""COMPUTED_VALUE"""),"[]")</f>
        <v>[]</v>
      </c>
      <c r="X1142" s="6" t="str">
        <f>IFERROR(__xludf.DUMMYFUNCTION("""COMPUTED_VALUE"""),"Enrolled")</f>
        <v>Enrolled</v>
      </c>
    </row>
    <row r="1143">
      <c r="A1143" s="6" t="str">
        <f>IFERROR(__xludf.DUMMYFUNCTION("""COMPUTED_VALUE"""),"009-1363")</f>
        <v>009-1363</v>
      </c>
      <c r="B1143" s="6" t="str">
        <f>IFERROR(__xludf.DUMMYFUNCTION("""COMPUTED_VALUE"""),"9")</f>
        <v>9</v>
      </c>
      <c r="C1143" s="6" t="str">
        <f>IFERROR(__xludf.DUMMYFUNCTION("""COMPUTED_VALUE"""),"1363")</f>
        <v>1363</v>
      </c>
      <c r="D1143" s="6" t="str">
        <f>IFERROR(__xludf.DUMMYFUNCTION("""COMPUTED_VALUE"""),"Yaroslava")</f>
        <v>Yaroslava</v>
      </c>
      <c r="E1143" s="6" t="str">
        <f>IFERROR(__xludf.DUMMYFUNCTION("""COMPUTED_VALUE"""),"")</f>
        <v/>
      </c>
      <c r="F1143" s="6" t="str">
        <f>IFERROR(__xludf.DUMMYFUNCTION("""COMPUTED_VALUE"""),"Shevchuk")</f>
        <v>Shevchuk</v>
      </c>
      <c r="G1143" s="6" t="str">
        <f>IFERROR(__xludf.DUMMYFUNCTION("""COMPUTED_VALUE"""),"01/01/2015")</f>
        <v>01/01/2015</v>
      </c>
      <c r="H1143" s="6" t="str">
        <f>IFERROR(__xludf.DUMMYFUNCTION("""COMPUTED_VALUE"""),"Self Identify")</f>
        <v>Self Identify</v>
      </c>
      <c r="I1143" s="6" t="str">
        <f>IFERROR(__xludf.DUMMYFUNCTION("""COMPUTED_VALUE"""),"Level 2")</f>
        <v>Level 2</v>
      </c>
      <c r="J1143" s="6" t="str">
        <f>IFERROR(__xludf.DUMMYFUNCTION("""COMPUTED_VALUE"""),"4")</f>
        <v>4</v>
      </c>
      <c r="K1143" s="6" t="str">
        <f>IFERROR(__xludf.DUMMYFUNCTION("""COMPUTED_VALUE"""),"yaroslava.shevchuk@2hourlearning.com")</f>
        <v>yaroslava.shevchuk@2hourlearning.com</v>
      </c>
      <c r="L1143" s="6" t="str">
        <f>IFERROR(__xludf.DUMMYFUNCTION("""COMPUTED_VALUE"""),"Learn and Earn Poland")</f>
        <v>Learn and Earn Poland</v>
      </c>
      <c r="M1143" s="6" t="str">
        <f>IFERROR(__xludf.DUMMYFUNCTION("""COMPUTED_VALUE"""),"Poland ex-GTS")</f>
        <v>Poland ex-GTS</v>
      </c>
      <c r="N1143" s="6" t="str">
        <f>IFERROR(__xludf.DUMMYFUNCTION("""COMPUTED_VALUE"""),"")</f>
        <v/>
      </c>
      <c r="O1143" s="87" t="str">
        <f>IFERROR(__xludf.DUMMYFUNCTION("""COMPUTED_VALUE"""),"https://drive.google.com/drive/folders/10T2cTQHqEJZqE-st6uFKPoI?usp=share_link")</f>
        <v>https://drive.google.com/drive/folders/10T2cTQHqEJZqE-st6uFKPoI?usp=share_link</v>
      </c>
      <c r="P1143" s="6" t="str">
        <f>IFERROR(__xludf.DUMMYFUNCTION("""COMPUTED_VALUE"""),"Yaroslava Shevchuk")</f>
        <v>Yaroslava Shevchuk</v>
      </c>
      <c r="Q1143" s="6" t="str">
        <f>IFERROR(__xludf.DUMMYFUNCTION("""COMPUTED_VALUE"""),"L2")</f>
        <v>L2</v>
      </c>
      <c r="R1143" s="6">
        <f>IFERROR(__xludf.DUMMYFUNCTION("""COMPUTED_VALUE"""),2.0)</f>
        <v>2</v>
      </c>
      <c r="S1143" s="6" t="str">
        <f>IFERROR(__xludf.DUMMYFUNCTION("""COMPUTED_VALUE""")," ")</f>
        <v> </v>
      </c>
      <c r="T1143" s="6" t="str">
        <f>IFERROR(__xludf.DUMMYFUNCTION("""COMPUTED_VALUE"""),"")</f>
        <v/>
      </c>
      <c r="U1143" s="6" t="str">
        <f>IFERROR(__xludf.DUMMYFUNCTION("""COMPUTED_VALUE"""),"4")</f>
        <v>4</v>
      </c>
      <c r="V1143" s="6" t="str">
        <f>IFERROR(__xludf.DUMMYFUNCTION("""COMPUTED_VALUE"""),"English")</f>
        <v>English</v>
      </c>
      <c r="W1143" s="6" t="str">
        <f>IFERROR(__xludf.DUMMYFUNCTION("""COMPUTED_VALUE"""),"[]")</f>
        <v>[]</v>
      </c>
      <c r="X1143" s="6" t="str">
        <f>IFERROR(__xludf.DUMMYFUNCTION("""COMPUTED_VALUE"""),"Enrolled")</f>
        <v>Enrolled</v>
      </c>
    </row>
    <row r="1144">
      <c r="A1144" s="6" t="str">
        <f>IFERROR(__xludf.DUMMYFUNCTION("""COMPUTED_VALUE"""),"009-1364")</f>
        <v>009-1364</v>
      </c>
      <c r="B1144" s="6" t="str">
        <f>IFERROR(__xludf.DUMMYFUNCTION("""COMPUTED_VALUE"""),"9")</f>
        <v>9</v>
      </c>
      <c r="C1144" s="6" t="str">
        <f>IFERROR(__xludf.DUMMYFUNCTION("""COMPUTED_VALUE"""),"1364")</f>
        <v>1364</v>
      </c>
      <c r="D1144" s="6" t="str">
        <f>IFERROR(__xludf.DUMMYFUNCTION("""COMPUTED_VALUE"""),"Bohdan")</f>
        <v>Bohdan</v>
      </c>
      <c r="E1144" s="6" t="str">
        <f>IFERROR(__xludf.DUMMYFUNCTION("""COMPUTED_VALUE"""),"")</f>
        <v/>
      </c>
      <c r="F1144" s="6" t="str">
        <f>IFERROR(__xludf.DUMMYFUNCTION("""COMPUTED_VALUE"""),"Linskyi")</f>
        <v>Linskyi</v>
      </c>
      <c r="G1144" s="6" t="str">
        <f>IFERROR(__xludf.DUMMYFUNCTION("""COMPUTED_VALUE"""),"01/01/2008")</f>
        <v>01/01/2008</v>
      </c>
      <c r="H1144" s="6" t="str">
        <f>IFERROR(__xludf.DUMMYFUNCTION("""COMPUTED_VALUE"""),"Self Identify")</f>
        <v>Self Identify</v>
      </c>
      <c r="I1144" s="6" t="str">
        <f>IFERROR(__xludf.DUMMYFUNCTION("""COMPUTED_VALUE"""),"High School")</f>
        <v>High School</v>
      </c>
      <c r="J1144" s="6" t="str">
        <f>IFERROR(__xludf.DUMMYFUNCTION("""COMPUTED_VALUE"""),"11")</f>
        <v>11</v>
      </c>
      <c r="K1144" s="6" t="str">
        <f>IFERROR(__xludf.DUMMYFUNCTION("""COMPUTED_VALUE"""),"bohdan.linskyi@2hourlearning.com")</f>
        <v>bohdan.linskyi@2hourlearning.com</v>
      </c>
      <c r="L1144" s="6" t="str">
        <f>IFERROR(__xludf.DUMMYFUNCTION("""COMPUTED_VALUE"""),"Learn and Earn Poland")</f>
        <v>Learn and Earn Poland</v>
      </c>
      <c r="M1144" s="6" t="str">
        <f>IFERROR(__xludf.DUMMYFUNCTION("""COMPUTED_VALUE"""),"Poland ex-GTS")</f>
        <v>Poland ex-GTS</v>
      </c>
      <c r="N1144" s="6" t="str">
        <f>IFERROR(__xludf.DUMMYFUNCTION("""COMPUTED_VALUE"""),"")</f>
        <v/>
      </c>
      <c r="O1144" s="87" t="str">
        <f>IFERROR(__xludf.DUMMYFUNCTION("""COMPUTED_VALUE"""),"https://drive.google.com/drive/folders/10T2cTQHqEJZqE-st6uFKPoI?usp=share_link")</f>
        <v>https://drive.google.com/drive/folders/10T2cTQHqEJZqE-st6uFKPoI?usp=share_link</v>
      </c>
      <c r="P1144" s="6" t="str">
        <f>IFERROR(__xludf.DUMMYFUNCTION("""COMPUTED_VALUE"""),"Bohdan Linskyi")</f>
        <v>Bohdan Linskyi</v>
      </c>
      <c r="Q1144" s="6" t="str">
        <f>IFERROR(__xludf.DUMMYFUNCTION("""COMPUTED_VALUE"""),"HS")</f>
        <v>HS</v>
      </c>
      <c r="R1144" s="6">
        <f>IFERROR(__xludf.DUMMYFUNCTION("""COMPUTED_VALUE"""),0.0)</f>
        <v>0</v>
      </c>
      <c r="S1144" s="6" t="str">
        <f>IFERROR(__xludf.DUMMYFUNCTION("""COMPUTED_VALUE""")," ")</f>
        <v> </v>
      </c>
      <c r="T1144" s="6" t="str">
        <f>IFERROR(__xludf.DUMMYFUNCTION("""COMPUTED_VALUE"""),"")</f>
        <v/>
      </c>
      <c r="U1144" s="6" t="str">
        <f>IFERROR(__xludf.DUMMYFUNCTION("""COMPUTED_VALUE"""),"11")</f>
        <v>11</v>
      </c>
      <c r="V1144" s="6" t="str">
        <f>IFERROR(__xludf.DUMMYFUNCTION("""COMPUTED_VALUE"""),"English")</f>
        <v>English</v>
      </c>
      <c r="W1144" s="6" t="str">
        <f>IFERROR(__xludf.DUMMYFUNCTION("""COMPUTED_VALUE"""),"[]")</f>
        <v>[]</v>
      </c>
      <c r="X1144" s="6" t="str">
        <f>IFERROR(__xludf.DUMMYFUNCTION("""COMPUTED_VALUE"""),"Enrolled")</f>
        <v>Enrolled</v>
      </c>
    </row>
    <row r="1145">
      <c r="A1145" s="6" t="str">
        <f>IFERROR(__xludf.DUMMYFUNCTION("""COMPUTED_VALUE"""),"009-1365")</f>
        <v>009-1365</v>
      </c>
      <c r="B1145" s="6" t="str">
        <f>IFERROR(__xludf.DUMMYFUNCTION("""COMPUTED_VALUE"""),"9")</f>
        <v>9</v>
      </c>
      <c r="C1145" s="6" t="str">
        <f>IFERROR(__xludf.DUMMYFUNCTION("""COMPUTED_VALUE"""),"1365")</f>
        <v>1365</v>
      </c>
      <c r="D1145" s="6" t="str">
        <f>IFERROR(__xludf.DUMMYFUNCTION("""COMPUTED_VALUE"""),"Sofiia")</f>
        <v>Sofiia</v>
      </c>
      <c r="E1145" s="6" t="str">
        <f>IFERROR(__xludf.DUMMYFUNCTION("""COMPUTED_VALUE"""),"")</f>
        <v/>
      </c>
      <c r="F1145" s="6" t="str">
        <f>IFERROR(__xludf.DUMMYFUNCTION("""COMPUTED_VALUE"""),"Kuziuk")</f>
        <v>Kuziuk</v>
      </c>
      <c r="G1145" s="6" t="str">
        <f>IFERROR(__xludf.DUMMYFUNCTION("""COMPUTED_VALUE"""),"01/01/2014")</f>
        <v>01/01/2014</v>
      </c>
      <c r="H1145" s="6" t="str">
        <f>IFERROR(__xludf.DUMMYFUNCTION("""COMPUTED_VALUE"""),"Self Identify")</f>
        <v>Self Identify</v>
      </c>
      <c r="I1145" s="6" t="str">
        <f>IFERROR(__xludf.DUMMYFUNCTION("""COMPUTED_VALUE"""),"Level 2")</f>
        <v>Level 2</v>
      </c>
      <c r="J1145" s="6" t="str">
        <f>IFERROR(__xludf.DUMMYFUNCTION("""COMPUTED_VALUE"""),"5")</f>
        <v>5</v>
      </c>
      <c r="K1145" s="6" t="str">
        <f>IFERROR(__xludf.DUMMYFUNCTION("""COMPUTED_VALUE"""),"sofiia.kuziuk@2hourlearning.com")</f>
        <v>sofiia.kuziuk@2hourlearning.com</v>
      </c>
      <c r="L1145" s="6" t="str">
        <f>IFERROR(__xludf.DUMMYFUNCTION("""COMPUTED_VALUE"""),"Learn and Earn Poland")</f>
        <v>Learn and Earn Poland</v>
      </c>
      <c r="M1145" s="6" t="str">
        <f>IFERROR(__xludf.DUMMYFUNCTION("""COMPUTED_VALUE"""),"Poland ex-GTS")</f>
        <v>Poland ex-GTS</v>
      </c>
      <c r="N1145" s="6" t="str">
        <f>IFERROR(__xludf.DUMMYFUNCTION("""COMPUTED_VALUE"""),"")</f>
        <v/>
      </c>
      <c r="O1145" s="87" t="str">
        <f>IFERROR(__xludf.DUMMYFUNCTION("""COMPUTED_VALUE"""),"https://drive.google.com/drive/folders/10T2cTQHqEJZqE-st6uFKPoI?usp=share_link")</f>
        <v>https://drive.google.com/drive/folders/10T2cTQHqEJZqE-st6uFKPoI?usp=share_link</v>
      </c>
      <c r="P1145" s="6" t="str">
        <f>IFERROR(__xludf.DUMMYFUNCTION("""COMPUTED_VALUE"""),"Sofiia Kuziuk")</f>
        <v>Sofiia Kuziuk</v>
      </c>
      <c r="Q1145" s="6" t="str">
        <f>IFERROR(__xludf.DUMMYFUNCTION("""COMPUTED_VALUE"""),"L2")</f>
        <v>L2</v>
      </c>
      <c r="R1145" s="6">
        <f>IFERROR(__xludf.DUMMYFUNCTION("""COMPUTED_VALUE"""),2.0)</f>
        <v>2</v>
      </c>
      <c r="S1145" s="6" t="str">
        <f>IFERROR(__xludf.DUMMYFUNCTION("""COMPUTED_VALUE""")," ")</f>
        <v> </v>
      </c>
      <c r="T1145" s="6" t="str">
        <f>IFERROR(__xludf.DUMMYFUNCTION("""COMPUTED_VALUE"""),"")</f>
        <v/>
      </c>
      <c r="U1145" s="6" t="str">
        <f>IFERROR(__xludf.DUMMYFUNCTION("""COMPUTED_VALUE"""),"5")</f>
        <v>5</v>
      </c>
      <c r="V1145" s="6" t="str">
        <f>IFERROR(__xludf.DUMMYFUNCTION("""COMPUTED_VALUE"""),"English")</f>
        <v>English</v>
      </c>
      <c r="W1145" s="6" t="str">
        <f>IFERROR(__xludf.DUMMYFUNCTION("""COMPUTED_VALUE"""),"[]")</f>
        <v>[]</v>
      </c>
      <c r="X1145" s="6" t="str">
        <f>IFERROR(__xludf.DUMMYFUNCTION("""COMPUTED_VALUE"""),"Enrolled")</f>
        <v>Enrolled</v>
      </c>
    </row>
    <row r="1146">
      <c r="A1146" s="6" t="str">
        <f>IFERROR(__xludf.DUMMYFUNCTION("""COMPUTED_VALUE"""),"009-1366")</f>
        <v>009-1366</v>
      </c>
      <c r="B1146" s="6" t="str">
        <f>IFERROR(__xludf.DUMMYFUNCTION("""COMPUTED_VALUE"""),"9")</f>
        <v>9</v>
      </c>
      <c r="C1146" s="6" t="str">
        <f>IFERROR(__xludf.DUMMYFUNCTION("""COMPUTED_VALUE"""),"1366")</f>
        <v>1366</v>
      </c>
      <c r="D1146" s="6" t="str">
        <f>IFERROR(__xludf.DUMMYFUNCTION("""COMPUTED_VALUE"""),"Ameliya")</f>
        <v>Ameliya</v>
      </c>
      <c r="E1146" s="6" t="str">
        <f>IFERROR(__xludf.DUMMYFUNCTION("""COMPUTED_VALUE"""),"")</f>
        <v/>
      </c>
      <c r="F1146" s="6" t="str">
        <f>IFERROR(__xludf.DUMMYFUNCTION("""COMPUTED_VALUE"""),"Boiko")</f>
        <v>Boiko</v>
      </c>
      <c r="G1146" s="6" t="str">
        <f>IFERROR(__xludf.DUMMYFUNCTION("""COMPUTED_VALUE"""),"01/01/2013")</f>
        <v>01/01/2013</v>
      </c>
      <c r="H1146" s="6" t="str">
        <f>IFERROR(__xludf.DUMMYFUNCTION("""COMPUTED_VALUE"""),"Self Identify")</f>
        <v>Self Identify</v>
      </c>
      <c r="I1146" s="6" t="str">
        <f>IFERROR(__xludf.DUMMYFUNCTION("""COMPUTED_VALUE"""),"Middle School")</f>
        <v>Middle School</v>
      </c>
      <c r="J1146" s="6" t="str">
        <f>IFERROR(__xludf.DUMMYFUNCTION("""COMPUTED_VALUE"""),"6")</f>
        <v>6</v>
      </c>
      <c r="K1146" s="6" t="str">
        <f>IFERROR(__xludf.DUMMYFUNCTION("""COMPUTED_VALUE"""),"ameliya.boiko@2hourlearning.com")</f>
        <v>ameliya.boiko@2hourlearning.com</v>
      </c>
      <c r="L1146" s="6" t="str">
        <f>IFERROR(__xludf.DUMMYFUNCTION("""COMPUTED_VALUE"""),"Learn and Earn Poland")</f>
        <v>Learn and Earn Poland</v>
      </c>
      <c r="M1146" s="6" t="str">
        <f>IFERROR(__xludf.DUMMYFUNCTION("""COMPUTED_VALUE"""),"Poland ex-GTS")</f>
        <v>Poland ex-GTS</v>
      </c>
      <c r="N1146" s="6" t="str">
        <f>IFERROR(__xludf.DUMMYFUNCTION("""COMPUTED_VALUE"""),"")</f>
        <v/>
      </c>
      <c r="O1146" s="87" t="str">
        <f>IFERROR(__xludf.DUMMYFUNCTION("""COMPUTED_VALUE"""),"https://drive.google.com/drive/folders/10T2cTQHqEJZqE-st6uFKPoI?usp=share_link")</f>
        <v>https://drive.google.com/drive/folders/10T2cTQHqEJZqE-st6uFKPoI?usp=share_link</v>
      </c>
      <c r="P1146" s="6" t="str">
        <f>IFERROR(__xludf.DUMMYFUNCTION("""COMPUTED_VALUE"""),"Ameliya Boiko")</f>
        <v>Ameliya Boiko</v>
      </c>
      <c r="Q1146" s="6" t="str">
        <f>IFERROR(__xludf.DUMMYFUNCTION("""COMPUTED_VALUE"""),"MS")</f>
        <v>MS</v>
      </c>
      <c r="R1146" s="6">
        <f>IFERROR(__xludf.DUMMYFUNCTION("""COMPUTED_VALUE"""),0.0)</f>
        <v>0</v>
      </c>
      <c r="S1146" s="6" t="str">
        <f>IFERROR(__xludf.DUMMYFUNCTION("""COMPUTED_VALUE""")," ")</f>
        <v> </v>
      </c>
      <c r="T1146" s="6" t="str">
        <f>IFERROR(__xludf.DUMMYFUNCTION("""COMPUTED_VALUE"""),"")</f>
        <v/>
      </c>
      <c r="U1146" s="6" t="str">
        <f>IFERROR(__xludf.DUMMYFUNCTION("""COMPUTED_VALUE"""),"6")</f>
        <v>6</v>
      </c>
      <c r="V1146" s="6" t="str">
        <f>IFERROR(__xludf.DUMMYFUNCTION("""COMPUTED_VALUE"""),"English")</f>
        <v>English</v>
      </c>
      <c r="W1146" s="6" t="str">
        <f>IFERROR(__xludf.DUMMYFUNCTION("""COMPUTED_VALUE"""),"[]")</f>
        <v>[]</v>
      </c>
      <c r="X1146" s="6" t="str">
        <f>IFERROR(__xludf.DUMMYFUNCTION("""COMPUTED_VALUE"""),"Enrolled")</f>
        <v>Enrolled</v>
      </c>
    </row>
    <row r="1147">
      <c r="A1147" s="6" t="str">
        <f>IFERROR(__xludf.DUMMYFUNCTION("""COMPUTED_VALUE"""),"009-1367")</f>
        <v>009-1367</v>
      </c>
      <c r="B1147" s="6" t="str">
        <f>IFERROR(__xludf.DUMMYFUNCTION("""COMPUTED_VALUE"""),"9")</f>
        <v>9</v>
      </c>
      <c r="C1147" s="6" t="str">
        <f>IFERROR(__xludf.DUMMYFUNCTION("""COMPUTED_VALUE"""),"1367")</f>
        <v>1367</v>
      </c>
      <c r="D1147" s="6" t="str">
        <f>IFERROR(__xludf.DUMMYFUNCTION("""COMPUTED_VALUE"""),"Volodymyr")</f>
        <v>Volodymyr</v>
      </c>
      <c r="E1147" s="6" t="str">
        <f>IFERROR(__xludf.DUMMYFUNCTION("""COMPUTED_VALUE"""),"")</f>
        <v/>
      </c>
      <c r="F1147" s="6" t="str">
        <f>IFERROR(__xludf.DUMMYFUNCTION("""COMPUTED_VALUE"""),"Tarakanov")</f>
        <v>Tarakanov</v>
      </c>
      <c r="G1147" s="6" t="str">
        <f>IFERROR(__xludf.DUMMYFUNCTION("""COMPUTED_VALUE"""),"01/01/2016")</f>
        <v>01/01/2016</v>
      </c>
      <c r="H1147" s="6" t="str">
        <f>IFERROR(__xludf.DUMMYFUNCTION("""COMPUTED_VALUE"""),"Self Identify")</f>
        <v>Self Identify</v>
      </c>
      <c r="I1147" s="6" t="str">
        <f>IFERROR(__xludf.DUMMYFUNCTION("""COMPUTED_VALUE"""),"Level 1")</f>
        <v>Level 1</v>
      </c>
      <c r="J1147" s="6" t="str">
        <f>IFERROR(__xludf.DUMMYFUNCTION("""COMPUTED_VALUE"""),"3")</f>
        <v>3</v>
      </c>
      <c r="K1147" s="6" t="str">
        <f>IFERROR(__xludf.DUMMYFUNCTION("""COMPUTED_VALUE"""),"volodymyr.tarakanov@2hourlearning.com")</f>
        <v>volodymyr.tarakanov@2hourlearning.com</v>
      </c>
      <c r="L1147" s="6" t="str">
        <f>IFERROR(__xludf.DUMMYFUNCTION("""COMPUTED_VALUE"""),"Learn and Earn Poland")</f>
        <v>Learn and Earn Poland</v>
      </c>
      <c r="M1147" s="6" t="str">
        <f>IFERROR(__xludf.DUMMYFUNCTION("""COMPUTED_VALUE"""),"Poland ex-GTS")</f>
        <v>Poland ex-GTS</v>
      </c>
      <c r="N1147" s="6" t="str">
        <f>IFERROR(__xludf.DUMMYFUNCTION("""COMPUTED_VALUE"""),"")</f>
        <v/>
      </c>
      <c r="O1147" s="87" t="str">
        <f>IFERROR(__xludf.DUMMYFUNCTION("""COMPUTED_VALUE"""),"https://drive.google.com/drive/folders/10T2cTQHqEJZqE-st6uFKPoI?usp=share_link")</f>
        <v>https://drive.google.com/drive/folders/10T2cTQHqEJZqE-st6uFKPoI?usp=share_link</v>
      </c>
      <c r="P1147" s="6" t="str">
        <f>IFERROR(__xludf.DUMMYFUNCTION("""COMPUTED_VALUE"""),"Volodymyr Tarakanov")</f>
        <v>Volodymyr Tarakanov</v>
      </c>
      <c r="Q1147" s="6" t="str">
        <f>IFERROR(__xludf.DUMMYFUNCTION("""COMPUTED_VALUE"""),"L1")</f>
        <v>L1</v>
      </c>
      <c r="R1147" s="6">
        <f>IFERROR(__xludf.DUMMYFUNCTION("""COMPUTED_VALUE"""),1.0)</f>
        <v>1</v>
      </c>
      <c r="S1147" s="6" t="str">
        <f>IFERROR(__xludf.DUMMYFUNCTION("""COMPUTED_VALUE""")," ")</f>
        <v> </v>
      </c>
      <c r="T1147" s="6" t="str">
        <f>IFERROR(__xludf.DUMMYFUNCTION("""COMPUTED_VALUE"""),"")</f>
        <v/>
      </c>
      <c r="U1147" s="6" t="str">
        <f>IFERROR(__xludf.DUMMYFUNCTION("""COMPUTED_VALUE"""),"3")</f>
        <v>3</v>
      </c>
      <c r="V1147" s="6" t="str">
        <f>IFERROR(__xludf.DUMMYFUNCTION("""COMPUTED_VALUE"""),"English")</f>
        <v>English</v>
      </c>
      <c r="W1147" s="6" t="str">
        <f>IFERROR(__xludf.DUMMYFUNCTION("""COMPUTED_VALUE"""),"[]")</f>
        <v>[]</v>
      </c>
      <c r="X1147" s="6" t="str">
        <f>IFERROR(__xludf.DUMMYFUNCTION("""COMPUTED_VALUE"""),"Enrolled")</f>
        <v>Enrolled</v>
      </c>
    </row>
    <row r="1148">
      <c r="A1148" s="6" t="str">
        <f>IFERROR(__xludf.DUMMYFUNCTION("""COMPUTED_VALUE"""),"009-1368")</f>
        <v>009-1368</v>
      </c>
      <c r="B1148" s="6" t="str">
        <f>IFERROR(__xludf.DUMMYFUNCTION("""COMPUTED_VALUE"""),"9")</f>
        <v>9</v>
      </c>
      <c r="C1148" s="6" t="str">
        <f>IFERROR(__xludf.DUMMYFUNCTION("""COMPUTED_VALUE"""),"1368")</f>
        <v>1368</v>
      </c>
      <c r="D1148" s="6" t="str">
        <f>IFERROR(__xludf.DUMMYFUNCTION("""COMPUTED_VALUE"""),"Maksym")</f>
        <v>Maksym</v>
      </c>
      <c r="E1148" s="6" t="str">
        <f>IFERROR(__xludf.DUMMYFUNCTION("""COMPUTED_VALUE"""),"")</f>
        <v/>
      </c>
      <c r="F1148" s="6" t="str">
        <f>IFERROR(__xludf.DUMMYFUNCTION("""COMPUTED_VALUE"""),"Falchuk")</f>
        <v>Falchuk</v>
      </c>
      <c r="G1148" s="6" t="str">
        <f>IFERROR(__xludf.DUMMYFUNCTION("""COMPUTED_VALUE"""),"01/01/2013")</f>
        <v>01/01/2013</v>
      </c>
      <c r="H1148" s="6" t="str">
        <f>IFERROR(__xludf.DUMMYFUNCTION("""COMPUTED_VALUE"""),"Self Identify")</f>
        <v>Self Identify</v>
      </c>
      <c r="I1148" s="6" t="str">
        <f>IFERROR(__xludf.DUMMYFUNCTION("""COMPUTED_VALUE"""),"Middle School")</f>
        <v>Middle School</v>
      </c>
      <c r="J1148" s="6" t="str">
        <f>IFERROR(__xludf.DUMMYFUNCTION("""COMPUTED_VALUE"""),"6")</f>
        <v>6</v>
      </c>
      <c r="K1148" s="6" t="str">
        <f>IFERROR(__xludf.DUMMYFUNCTION("""COMPUTED_VALUE"""),"maksym.falchuk@2hourlearning.com")</f>
        <v>maksym.falchuk@2hourlearning.com</v>
      </c>
      <c r="L1148" s="6" t="str">
        <f>IFERROR(__xludf.DUMMYFUNCTION("""COMPUTED_VALUE"""),"Learn and Earn Poland")</f>
        <v>Learn and Earn Poland</v>
      </c>
      <c r="M1148" s="6" t="str">
        <f>IFERROR(__xludf.DUMMYFUNCTION("""COMPUTED_VALUE"""),"Poland ex-GTS")</f>
        <v>Poland ex-GTS</v>
      </c>
      <c r="N1148" s="6" t="str">
        <f>IFERROR(__xludf.DUMMYFUNCTION("""COMPUTED_VALUE"""),"")</f>
        <v/>
      </c>
      <c r="O1148" s="87" t="str">
        <f>IFERROR(__xludf.DUMMYFUNCTION("""COMPUTED_VALUE"""),"https://drive.google.com/drive/folders/10T2cTQHqEJZqE-st6uFKPoI?usp=share_link")</f>
        <v>https://drive.google.com/drive/folders/10T2cTQHqEJZqE-st6uFKPoI?usp=share_link</v>
      </c>
      <c r="P1148" s="6" t="str">
        <f>IFERROR(__xludf.DUMMYFUNCTION("""COMPUTED_VALUE"""),"Maksym Falchuk")</f>
        <v>Maksym Falchuk</v>
      </c>
      <c r="Q1148" s="6" t="str">
        <f>IFERROR(__xludf.DUMMYFUNCTION("""COMPUTED_VALUE"""),"MS")</f>
        <v>MS</v>
      </c>
      <c r="R1148" s="6">
        <f>IFERROR(__xludf.DUMMYFUNCTION("""COMPUTED_VALUE"""),0.0)</f>
        <v>0</v>
      </c>
      <c r="S1148" s="6" t="str">
        <f>IFERROR(__xludf.DUMMYFUNCTION("""COMPUTED_VALUE""")," ")</f>
        <v> </v>
      </c>
      <c r="T1148" s="6" t="str">
        <f>IFERROR(__xludf.DUMMYFUNCTION("""COMPUTED_VALUE"""),"")</f>
        <v/>
      </c>
      <c r="U1148" s="6" t="str">
        <f>IFERROR(__xludf.DUMMYFUNCTION("""COMPUTED_VALUE"""),"6")</f>
        <v>6</v>
      </c>
      <c r="V1148" s="6" t="str">
        <f>IFERROR(__xludf.DUMMYFUNCTION("""COMPUTED_VALUE"""),"English")</f>
        <v>English</v>
      </c>
      <c r="W1148" s="6" t="str">
        <f>IFERROR(__xludf.DUMMYFUNCTION("""COMPUTED_VALUE"""),"[]")</f>
        <v>[]</v>
      </c>
      <c r="X1148" s="6" t="str">
        <f>IFERROR(__xludf.DUMMYFUNCTION("""COMPUTED_VALUE"""),"Enrolled")</f>
        <v>Enrolled</v>
      </c>
    </row>
    <row r="1149">
      <c r="A1149" s="6" t="str">
        <f>IFERROR(__xludf.DUMMYFUNCTION("""COMPUTED_VALUE"""),"009-1369")</f>
        <v>009-1369</v>
      </c>
      <c r="B1149" s="6" t="str">
        <f>IFERROR(__xludf.DUMMYFUNCTION("""COMPUTED_VALUE"""),"9")</f>
        <v>9</v>
      </c>
      <c r="C1149" s="6" t="str">
        <f>IFERROR(__xludf.DUMMYFUNCTION("""COMPUTED_VALUE"""),"1369")</f>
        <v>1369</v>
      </c>
      <c r="D1149" s="6" t="str">
        <f>IFERROR(__xludf.DUMMYFUNCTION("""COMPUTED_VALUE"""),"Yuliya")</f>
        <v>Yuliya</v>
      </c>
      <c r="E1149" s="6" t="str">
        <f>IFERROR(__xludf.DUMMYFUNCTION("""COMPUTED_VALUE"""),"")</f>
        <v/>
      </c>
      <c r="F1149" s="6" t="str">
        <f>IFERROR(__xludf.DUMMYFUNCTION("""COMPUTED_VALUE"""),"Marchenko")</f>
        <v>Marchenko</v>
      </c>
      <c r="G1149" s="6" t="str">
        <f>IFERROR(__xludf.DUMMYFUNCTION("""COMPUTED_VALUE"""),"01/01/2009")</f>
        <v>01/01/2009</v>
      </c>
      <c r="H1149" s="6" t="str">
        <f>IFERROR(__xludf.DUMMYFUNCTION("""COMPUTED_VALUE"""),"Self Identify")</f>
        <v>Self Identify</v>
      </c>
      <c r="I1149" s="6" t="str">
        <f>IFERROR(__xludf.DUMMYFUNCTION("""COMPUTED_VALUE"""),"High School")</f>
        <v>High School</v>
      </c>
      <c r="J1149" s="6" t="str">
        <f>IFERROR(__xludf.DUMMYFUNCTION("""COMPUTED_VALUE"""),"10")</f>
        <v>10</v>
      </c>
      <c r="K1149" s="6" t="str">
        <f>IFERROR(__xludf.DUMMYFUNCTION("""COMPUTED_VALUE"""),"yuliya.marchenko@2hourlearning.com")</f>
        <v>yuliya.marchenko@2hourlearning.com</v>
      </c>
      <c r="L1149" s="6" t="str">
        <f>IFERROR(__xludf.DUMMYFUNCTION("""COMPUTED_VALUE"""),"Learn and Earn Poland")</f>
        <v>Learn and Earn Poland</v>
      </c>
      <c r="M1149" s="6" t="str">
        <f>IFERROR(__xludf.DUMMYFUNCTION("""COMPUTED_VALUE"""),"Poland ex-GTS")</f>
        <v>Poland ex-GTS</v>
      </c>
      <c r="N1149" s="6" t="str">
        <f>IFERROR(__xludf.DUMMYFUNCTION("""COMPUTED_VALUE"""),"")</f>
        <v/>
      </c>
      <c r="O1149" s="87" t="str">
        <f>IFERROR(__xludf.DUMMYFUNCTION("""COMPUTED_VALUE"""),"https://drive.google.com/drive/folders/10T2cTQHqEJZqE-st6uFKPoI?usp=share_link")</f>
        <v>https://drive.google.com/drive/folders/10T2cTQHqEJZqE-st6uFKPoI?usp=share_link</v>
      </c>
      <c r="P1149" s="6" t="str">
        <f>IFERROR(__xludf.DUMMYFUNCTION("""COMPUTED_VALUE"""),"Yuliya Marchenko")</f>
        <v>Yuliya Marchenko</v>
      </c>
      <c r="Q1149" s="6" t="str">
        <f>IFERROR(__xludf.DUMMYFUNCTION("""COMPUTED_VALUE"""),"HS")</f>
        <v>HS</v>
      </c>
      <c r="R1149" s="6">
        <f>IFERROR(__xludf.DUMMYFUNCTION("""COMPUTED_VALUE"""),0.0)</f>
        <v>0</v>
      </c>
      <c r="S1149" s="6" t="str">
        <f>IFERROR(__xludf.DUMMYFUNCTION("""COMPUTED_VALUE""")," ")</f>
        <v> </v>
      </c>
      <c r="T1149" s="6" t="str">
        <f>IFERROR(__xludf.DUMMYFUNCTION("""COMPUTED_VALUE"""),"")</f>
        <v/>
      </c>
      <c r="U1149" s="6" t="str">
        <f>IFERROR(__xludf.DUMMYFUNCTION("""COMPUTED_VALUE"""),"10")</f>
        <v>10</v>
      </c>
      <c r="V1149" s="6" t="str">
        <f>IFERROR(__xludf.DUMMYFUNCTION("""COMPUTED_VALUE"""),"English")</f>
        <v>English</v>
      </c>
      <c r="W1149" s="6" t="str">
        <f>IFERROR(__xludf.DUMMYFUNCTION("""COMPUTED_VALUE"""),"[]")</f>
        <v>[]</v>
      </c>
      <c r="X1149" s="6" t="str">
        <f>IFERROR(__xludf.DUMMYFUNCTION("""COMPUTED_VALUE"""),"Enrolled")</f>
        <v>Enrolled</v>
      </c>
    </row>
    <row r="1150">
      <c r="A1150" s="6" t="str">
        <f>IFERROR(__xludf.DUMMYFUNCTION("""COMPUTED_VALUE"""),"009-1370")</f>
        <v>009-1370</v>
      </c>
      <c r="B1150" s="6" t="str">
        <f>IFERROR(__xludf.DUMMYFUNCTION("""COMPUTED_VALUE"""),"9")</f>
        <v>9</v>
      </c>
      <c r="C1150" s="6" t="str">
        <f>IFERROR(__xludf.DUMMYFUNCTION("""COMPUTED_VALUE"""),"1370")</f>
        <v>1370</v>
      </c>
      <c r="D1150" s="6" t="str">
        <f>IFERROR(__xludf.DUMMYFUNCTION("""COMPUTED_VALUE"""),"malgorzata")</f>
        <v>malgorzata</v>
      </c>
      <c r="E1150" s="6" t="str">
        <f>IFERROR(__xludf.DUMMYFUNCTION("""COMPUTED_VALUE"""),"")</f>
        <v/>
      </c>
      <c r="F1150" s="6" t="str">
        <f>IFERROR(__xludf.DUMMYFUNCTION("""COMPUTED_VALUE"""),"mardus")</f>
        <v>mardus</v>
      </c>
      <c r="G1150" s="6" t="str">
        <f>IFERROR(__xludf.DUMMYFUNCTION("""COMPUTED_VALUE"""),"01/01/2011")</f>
        <v>01/01/2011</v>
      </c>
      <c r="H1150" s="6" t="str">
        <f>IFERROR(__xludf.DUMMYFUNCTION("""COMPUTED_VALUE"""),"Self Identify")</f>
        <v>Self Identify</v>
      </c>
      <c r="I1150" s="6" t="str">
        <f>IFERROR(__xludf.DUMMYFUNCTION("""COMPUTED_VALUE"""),"Middle School")</f>
        <v>Middle School</v>
      </c>
      <c r="J1150" s="6" t="str">
        <f>IFERROR(__xludf.DUMMYFUNCTION("""COMPUTED_VALUE"""),"8")</f>
        <v>8</v>
      </c>
      <c r="K1150" s="6" t="str">
        <f>IFERROR(__xludf.DUMMYFUNCTION("""COMPUTED_VALUE"""),"malgorzata.mardus@2hourlearning.com")</f>
        <v>malgorzata.mardus@2hourlearning.com</v>
      </c>
      <c r="L1150" s="6" t="str">
        <f>IFERROR(__xludf.DUMMYFUNCTION("""COMPUTED_VALUE"""),"Learn and Earn Poland")</f>
        <v>Learn and Earn Poland</v>
      </c>
      <c r="M1150" s="6" t="str">
        <f>IFERROR(__xludf.DUMMYFUNCTION("""COMPUTED_VALUE"""),"Poland ex-GTS")</f>
        <v>Poland ex-GTS</v>
      </c>
      <c r="N1150" s="6" t="str">
        <f>IFERROR(__xludf.DUMMYFUNCTION("""COMPUTED_VALUE"""),"")</f>
        <v/>
      </c>
      <c r="O1150" s="87" t="str">
        <f>IFERROR(__xludf.DUMMYFUNCTION("""COMPUTED_VALUE"""),"https://drive.google.com/drive/folders/10T2cTQHqEJZqE-st6uFKPoI?usp=share_link")</f>
        <v>https://drive.google.com/drive/folders/10T2cTQHqEJZqE-st6uFKPoI?usp=share_link</v>
      </c>
      <c r="P1150" s="6" t="str">
        <f>IFERROR(__xludf.DUMMYFUNCTION("""COMPUTED_VALUE"""),"malgorzata mardus")</f>
        <v>malgorzata mardus</v>
      </c>
      <c r="Q1150" s="6" t="str">
        <f>IFERROR(__xludf.DUMMYFUNCTION("""COMPUTED_VALUE"""),"MS")</f>
        <v>MS</v>
      </c>
      <c r="R1150" s="6">
        <f>IFERROR(__xludf.DUMMYFUNCTION("""COMPUTED_VALUE"""),0.0)</f>
        <v>0</v>
      </c>
      <c r="S1150" s="6" t="str">
        <f>IFERROR(__xludf.DUMMYFUNCTION("""COMPUTED_VALUE""")," ")</f>
        <v> </v>
      </c>
      <c r="T1150" s="6" t="str">
        <f>IFERROR(__xludf.DUMMYFUNCTION("""COMPUTED_VALUE"""),"")</f>
        <v/>
      </c>
      <c r="U1150" s="6" t="str">
        <f>IFERROR(__xludf.DUMMYFUNCTION("""COMPUTED_VALUE"""),"8")</f>
        <v>8</v>
      </c>
      <c r="V1150" s="6" t="str">
        <f>IFERROR(__xludf.DUMMYFUNCTION("""COMPUTED_VALUE"""),"English")</f>
        <v>English</v>
      </c>
      <c r="W1150" s="6" t="str">
        <f>IFERROR(__xludf.DUMMYFUNCTION("""COMPUTED_VALUE"""),"[]")</f>
        <v>[]</v>
      </c>
      <c r="X1150" s="6" t="str">
        <f>IFERROR(__xludf.DUMMYFUNCTION("""COMPUTED_VALUE"""),"Enrolled")</f>
        <v>Enrolled</v>
      </c>
    </row>
    <row r="1151">
      <c r="A1151" s="6" t="str">
        <f>IFERROR(__xludf.DUMMYFUNCTION("""COMPUTED_VALUE"""),"009-1371")</f>
        <v>009-1371</v>
      </c>
      <c r="B1151" s="6" t="str">
        <f>IFERROR(__xludf.DUMMYFUNCTION("""COMPUTED_VALUE"""),"9")</f>
        <v>9</v>
      </c>
      <c r="C1151" s="6" t="str">
        <f>IFERROR(__xludf.DUMMYFUNCTION("""COMPUTED_VALUE"""),"1371")</f>
        <v>1371</v>
      </c>
      <c r="D1151" s="6" t="str">
        <f>IFERROR(__xludf.DUMMYFUNCTION("""COMPUTED_VALUE"""),"Marharyta")</f>
        <v>Marharyta</v>
      </c>
      <c r="E1151" s="6" t="str">
        <f>IFERROR(__xludf.DUMMYFUNCTION("""COMPUTED_VALUE"""),"")</f>
        <v/>
      </c>
      <c r="F1151" s="6" t="str">
        <f>IFERROR(__xludf.DUMMYFUNCTION("""COMPUTED_VALUE"""),"Ovcharenko")</f>
        <v>Ovcharenko</v>
      </c>
      <c r="G1151" s="6" t="str">
        <f>IFERROR(__xludf.DUMMYFUNCTION("""COMPUTED_VALUE"""),"01/01/2007")</f>
        <v>01/01/2007</v>
      </c>
      <c r="H1151" s="6" t="str">
        <f>IFERROR(__xludf.DUMMYFUNCTION("""COMPUTED_VALUE"""),"Self Identify")</f>
        <v>Self Identify</v>
      </c>
      <c r="I1151" s="6" t="str">
        <f>IFERROR(__xludf.DUMMYFUNCTION("""COMPUTED_VALUE"""),"High School")</f>
        <v>High School</v>
      </c>
      <c r="J1151" s="6" t="str">
        <f>IFERROR(__xludf.DUMMYFUNCTION("""COMPUTED_VALUE"""),"12")</f>
        <v>12</v>
      </c>
      <c r="K1151" s="6" t="str">
        <f>IFERROR(__xludf.DUMMYFUNCTION("""COMPUTED_VALUE"""),"marharyta.ovcharenko@2hourlearning.com")</f>
        <v>marharyta.ovcharenko@2hourlearning.com</v>
      </c>
      <c r="L1151" s="6" t="str">
        <f>IFERROR(__xludf.DUMMYFUNCTION("""COMPUTED_VALUE"""),"Learn and Earn Poland")</f>
        <v>Learn and Earn Poland</v>
      </c>
      <c r="M1151" s="6" t="str">
        <f>IFERROR(__xludf.DUMMYFUNCTION("""COMPUTED_VALUE"""),"Poland ex-GTS")</f>
        <v>Poland ex-GTS</v>
      </c>
      <c r="N1151" s="6" t="str">
        <f>IFERROR(__xludf.DUMMYFUNCTION("""COMPUTED_VALUE"""),"")</f>
        <v/>
      </c>
      <c r="O1151" s="87" t="str">
        <f>IFERROR(__xludf.DUMMYFUNCTION("""COMPUTED_VALUE"""),"https://drive.google.com/drive/folders/10T2cTQHqEJZqE-st6uFKPoI?usp=share_link")</f>
        <v>https://drive.google.com/drive/folders/10T2cTQHqEJZqE-st6uFKPoI?usp=share_link</v>
      </c>
      <c r="P1151" s="6" t="str">
        <f>IFERROR(__xludf.DUMMYFUNCTION("""COMPUTED_VALUE"""),"Marharyta Ovcharenko")</f>
        <v>Marharyta Ovcharenko</v>
      </c>
      <c r="Q1151" s="6" t="str">
        <f>IFERROR(__xludf.DUMMYFUNCTION("""COMPUTED_VALUE"""),"HS")</f>
        <v>HS</v>
      </c>
      <c r="R1151" s="6">
        <f>IFERROR(__xludf.DUMMYFUNCTION("""COMPUTED_VALUE"""),0.0)</f>
        <v>0</v>
      </c>
      <c r="S1151" s="6" t="str">
        <f>IFERROR(__xludf.DUMMYFUNCTION("""COMPUTED_VALUE""")," ")</f>
        <v> </v>
      </c>
      <c r="T1151" s="6" t="str">
        <f>IFERROR(__xludf.DUMMYFUNCTION("""COMPUTED_VALUE"""),"")</f>
        <v/>
      </c>
      <c r="U1151" s="6" t="str">
        <f>IFERROR(__xludf.DUMMYFUNCTION("""COMPUTED_VALUE"""),"12")</f>
        <v>12</v>
      </c>
      <c r="V1151" s="6" t="str">
        <f>IFERROR(__xludf.DUMMYFUNCTION("""COMPUTED_VALUE"""),"English")</f>
        <v>English</v>
      </c>
      <c r="W1151" s="6" t="str">
        <f>IFERROR(__xludf.DUMMYFUNCTION("""COMPUTED_VALUE"""),"[]")</f>
        <v>[]</v>
      </c>
      <c r="X1151" s="6" t="str">
        <f>IFERROR(__xludf.DUMMYFUNCTION("""COMPUTED_VALUE"""),"Enrolled")</f>
        <v>Enrolled</v>
      </c>
    </row>
    <row r="1152">
      <c r="A1152" s="6" t="str">
        <f>IFERROR(__xludf.DUMMYFUNCTION("""COMPUTED_VALUE"""),"009-1372")</f>
        <v>009-1372</v>
      </c>
      <c r="B1152" s="6" t="str">
        <f>IFERROR(__xludf.DUMMYFUNCTION("""COMPUTED_VALUE"""),"9")</f>
        <v>9</v>
      </c>
      <c r="C1152" s="6" t="str">
        <f>IFERROR(__xludf.DUMMYFUNCTION("""COMPUTED_VALUE"""),"1372")</f>
        <v>1372</v>
      </c>
      <c r="D1152" s="6" t="str">
        <f>IFERROR(__xludf.DUMMYFUNCTION("""COMPUTED_VALUE"""),"Marharyta")</f>
        <v>Marharyta</v>
      </c>
      <c r="E1152" s="6" t="str">
        <f>IFERROR(__xludf.DUMMYFUNCTION("""COMPUTED_VALUE"""),"")</f>
        <v/>
      </c>
      <c r="F1152" s="6" t="str">
        <f>IFERROR(__xludf.DUMMYFUNCTION("""COMPUTED_VALUE"""),"Kohutnitska")</f>
        <v>Kohutnitska</v>
      </c>
      <c r="G1152" s="6" t="str">
        <f>IFERROR(__xludf.DUMMYFUNCTION("""COMPUTED_VALUE"""),"01/01/2012")</f>
        <v>01/01/2012</v>
      </c>
      <c r="H1152" s="6" t="str">
        <f>IFERROR(__xludf.DUMMYFUNCTION("""COMPUTED_VALUE"""),"Self Identify")</f>
        <v>Self Identify</v>
      </c>
      <c r="I1152" s="6" t="str">
        <f>IFERROR(__xludf.DUMMYFUNCTION("""COMPUTED_VALUE"""),"Middle School")</f>
        <v>Middle School</v>
      </c>
      <c r="J1152" s="6" t="str">
        <f>IFERROR(__xludf.DUMMYFUNCTION("""COMPUTED_VALUE"""),"7")</f>
        <v>7</v>
      </c>
      <c r="K1152" s="6" t="str">
        <f>IFERROR(__xludf.DUMMYFUNCTION("""COMPUTED_VALUE"""),"marharyta.kohutnitska@2hourlearning.com")</f>
        <v>marharyta.kohutnitska@2hourlearning.com</v>
      </c>
      <c r="L1152" s="6" t="str">
        <f>IFERROR(__xludf.DUMMYFUNCTION("""COMPUTED_VALUE"""),"Learn and Earn Poland")</f>
        <v>Learn and Earn Poland</v>
      </c>
      <c r="M1152" s="6" t="str">
        <f>IFERROR(__xludf.DUMMYFUNCTION("""COMPUTED_VALUE"""),"Poland ex-GTS")</f>
        <v>Poland ex-GTS</v>
      </c>
      <c r="N1152" s="6" t="str">
        <f>IFERROR(__xludf.DUMMYFUNCTION("""COMPUTED_VALUE"""),"")</f>
        <v/>
      </c>
      <c r="O1152" s="87" t="str">
        <f>IFERROR(__xludf.DUMMYFUNCTION("""COMPUTED_VALUE"""),"https://drive.google.com/drive/folders/10T2cTQHqEJZqE-st6uFKPoI?usp=share_link")</f>
        <v>https://drive.google.com/drive/folders/10T2cTQHqEJZqE-st6uFKPoI?usp=share_link</v>
      </c>
      <c r="P1152" s="6" t="str">
        <f>IFERROR(__xludf.DUMMYFUNCTION("""COMPUTED_VALUE"""),"Marharyta Kohutnitska")</f>
        <v>Marharyta Kohutnitska</v>
      </c>
      <c r="Q1152" s="6" t="str">
        <f>IFERROR(__xludf.DUMMYFUNCTION("""COMPUTED_VALUE"""),"MS")</f>
        <v>MS</v>
      </c>
      <c r="R1152" s="6">
        <f>IFERROR(__xludf.DUMMYFUNCTION("""COMPUTED_VALUE"""),0.0)</f>
        <v>0</v>
      </c>
      <c r="S1152" s="6" t="str">
        <f>IFERROR(__xludf.DUMMYFUNCTION("""COMPUTED_VALUE""")," ")</f>
        <v> </v>
      </c>
      <c r="T1152" s="6" t="str">
        <f>IFERROR(__xludf.DUMMYFUNCTION("""COMPUTED_VALUE"""),"")</f>
        <v/>
      </c>
      <c r="U1152" s="6" t="str">
        <f>IFERROR(__xludf.DUMMYFUNCTION("""COMPUTED_VALUE"""),"7")</f>
        <v>7</v>
      </c>
      <c r="V1152" s="6" t="str">
        <f>IFERROR(__xludf.DUMMYFUNCTION("""COMPUTED_VALUE"""),"English")</f>
        <v>English</v>
      </c>
      <c r="W1152" s="6" t="str">
        <f>IFERROR(__xludf.DUMMYFUNCTION("""COMPUTED_VALUE"""),"[]")</f>
        <v>[]</v>
      </c>
      <c r="X1152" s="6" t="str">
        <f>IFERROR(__xludf.DUMMYFUNCTION("""COMPUTED_VALUE"""),"Enrolled")</f>
        <v>Enrolled</v>
      </c>
    </row>
    <row r="1153">
      <c r="A1153" s="6" t="str">
        <f>IFERROR(__xludf.DUMMYFUNCTION("""COMPUTED_VALUE"""),"009-1373")</f>
        <v>009-1373</v>
      </c>
      <c r="B1153" s="6" t="str">
        <f>IFERROR(__xludf.DUMMYFUNCTION("""COMPUTED_VALUE"""),"9")</f>
        <v>9</v>
      </c>
      <c r="C1153" s="6" t="str">
        <f>IFERROR(__xludf.DUMMYFUNCTION("""COMPUTED_VALUE"""),"1373")</f>
        <v>1373</v>
      </c>
      <c r="D1153" s="6" t="str">
        <f>IFERROR(__xludf.DUMMYFUNCTION("""COMPUTED_VALUE"""),"Mariia")</f>
        <v>Mariia</v>
      </c>
      <c r="E1153" s="6" t="str">
        <f>IFERROR(__xludf.DUMMYFUNCTION("""COMPUTED_VALUE"""),"")</f>
        <v/>
      </c>
      <c r="F1153" s="6" t="str">
        <f>IFERROR(__xludf.DUMMYFUNCTION("""COMPUTED_VALUE"""),"Skok")</f>
        <v>Skok</v>
      </c>
      <c r="G1153" s="6" t="str">
        <f>IFERROR(__xludf.DUMMYFUNCTION("""COMPUTED_VALUE"""),"01/01/2009")</f>
        <v>01/01/2009</v>
      </c>
      <c r="H1153" s="6" t="str">
        <f>IFERROR(__xludf.DUMMYFUNCTION("""COMPUTED_VALUE"""),"Self Identify")</f>
        <v>Self Identify</v>
      </c>
      <c r="I1153" s="6" t="str">
        <f>IFERROR(__xludf.DUMMYFUNCTION("""COMPUTED_VALUE"""),"High School")</f>
        <v>High School</v>
      </c>
      <c r="J1153" s="6" t="str">
        <f>IFERROR(__xludf.DUMMYFUNCTION("""COMPUTED_VALUE"""),"10")</f>
        <v>10</v>
      </c>
      <c r="K1153" s="6" t="str">
        <f>IFERROR(__xludf.DUMMYFUNCTION("""COMPUTED_VALUE"""),"mariia.skok@2hourlearning.com")</f>
        <v>mariia.skok@2hourlearning.com</v>
      </c>
      <c r="L1153" s="6" t="str">
        <f>IFERROR(__xludf.DUMMYFUNCTION("""COMPUTED_VALUE"""),"Learn and Earn Poland")</f>
        <v>Learn and Earn Poland</v>
      </c>
      <c r="M1153" s="6" t="str">
        <f>IFERROR(__xludf.DUMMYFUNCTION("""COMPUTED_VALUE"""),"Poland ex-GTS")</f>
        <v>Poland ex-GTS</v>
      </c>
      <c r="N1153" s="6" t="str">
        <f>IFERROR(__xludf.DUMMYFUNCTION("""COMPUTED_VALUE"""),"")</f>
        <v/>
      </c>
      <c r="O1153" s="87" t="str">
        <f>IFERROR(__xludf.DUMMYFUNCTION("""COMPUTED_VALUE"""),"https://drive.google.com/drive/folders/10T2cTQHqEJZqE-st6uFKPoI?usp=share_link")</f>
        <v>https://drive.google.com/drive/folders/10T2cTQHqEJZqE-st6uFKPoI?usp=share_link</v>
      </c>
      <c r="P1153" s="6" t="str">
        <f>IFERROR(__xludf.DUMMYFUNCTION("""COMPUTED_VALUE"""),"Mariia Skok")</f>
        <v>Mariia Skok</v>
      </c>
      <c r="Q1153" s="6" t="str">
        <f>IFERROR(__xludf.DUMMYFUNCTION("""COMPUTED_VALUE"""),"HS")</f>
        <v>HS</v>
      </c>
      <c r="R1153" s="6">
        <f>IFERROR(__xludf.DUMMYFUNCTION("""COMPUTED_VALUE"""),0.0)</f>
        <v>0</v>
      </c>
      <c r="S1153" s="6" t="str">
        <f>IFERROR(__xludf.DUMMYFUNCTION("""COMPUTED_VALUE""")," ")</f>
        <v> </v>
      </c>
      <c r="T1153" s="6" t="str">
        <f>IFERROR(__xludf.DUMMYFUNCTION("""COMPUTED_VALUE"""),"")</f>
        <v/>
      </c>
      <c r="U1153" s="6" t="str">
        <f>IFERROR(__xludf.DUMMYFUNCTION("""COMPUTED_VALUE"""),"10")</f>
        <v>10</v>
      </c>
      <c r="V1153" s="6" t="str">
        <f>IFERROR(__xludf.DUMMYFUNCTION("""COMPUTED_VALUE"""),"English")</f>
        <v>English</v>
      </c>
      <c r="W1153" s="6" t="str">
        <f>IFERROR(__xludf.DUMMYFUNCTION("""COMPUTED_VALUE"""),"[]")</f>
        <v>[]</v>
      </c>
      <c r="X1153" s="6" t="str">
        <f>IFERROR(__xludf.DUMMYFUNCTION("""COMPUTED_VALUE"""),"Enrolled")</f>
        <v>Enrolled</v>
      </c>
    </row>
    <row r="1154">
      <c r="A1154" s="6" t="str">
        <f>IFERROR(__xludf.DUMMYFUNCTION("""COMPUTED_VALUE"""),"009-1374")</f>
        <v>009-1374</v>
      </c>
      <c r="B1154" s="6" t="str">
        <f>IFERROR(__xludf.DUMMYFUNCTION("""COMPUTED_VALUE"""),"9")</f>
        <v>9</v>
      </c>
      <c r="C1154" s="6" t="str">
        <f>IFERROR(__xludf.DUMMYFUNCTION("""COMPUTED_VALUE"""),"1374")</f>
        <v>1374</v>
      </c>
      <c r="D1154" s="6" t="str">
        <f>IFERROR(__xludf.DUMMYFUNCTION("""COMPUTED_VALUE"""),"Mariia")</f>
        <v>Mariia</v>
      </c>
      <c r="E1154" s="6" t="str">
        <f>IFERROR(__xludf.DUMMYFUNCTION("""COMPUTED_VALUE"""),"")</f>
        <v/>
      </c>
      <c r="F1154" s="6" t="str">
        <f>IFERROR(__xludf.DUMMYFUNCTION("""COMPUTED_VALUE"""),"Sukhyna")</f>
        <v>Sukhyna</v>
      </c>
      <c r="G1154" s="6" t="str">
        <f>IFERROR(__xludf.DUMMYFUNCTION("""COMPUTED_VALUE"""),"01/01/2011")</f>
        <v>01/01/2011</v>
      </c>
      <c r="H1154" s="6" t="str">
        <f>IFERROR(__xludf.DUMMYFUNCTION("""COMPUTED_VALUE"""),"Self Identify")</f>
        <v>Self Identify</v>
      </c>
      <c r="I1154" s="6" t="str">
        <f>IFERROR(__xludf.DUMMYFUNCTION("""COMPUTED_VALUE"""),"Middle School")</f>
        <v>Middle School</v>
      </c>
      <c r="J1154" s="6" t="str">
        <f>IFERROR(__xludf.DUMMYFUNCTION("""COMPUTED_VALUE"""),"8")</f>
        <v>8</v>
      </c>
      <c r="K1154" s="6" t="str">
        <f>IFERROR(__xludf.DUMMYFUNCTION("""COMPUTED_VALUE"""),"mariia.sukhyna@2hourlearning.com")</f>
        <v>mariia.sukhyna@2hourlearning.com</v>
      </c>
      <c r="L1154" s="6" t="str">
        <f>IFERROR(__xludf.DUMMYFUNCTION("""COMPUTED_VALUE"""),"Learn and Earn Poland")</f>
        <v>Learn and Earn Poland</v>
      </c>
      <c r="M1154" s="6" t="str">
        <f>IFERROR(__xludf.DUMMYFUNCTION("""COMPUTED_VALUE"""),"Poland ex-GTS")</f>
        <v>Poland ex-GTS</v>
      </c>
      <c r="N1154" s="6" t="str">
        <f>IFERROR(__xludf.DUMMYFUNCTION("""COMPUTED_VALUE"""),"")</f>
        <v/>
      </c>
      <c r="O1154" s="87" t="str">
        <f>IFERROR(__xludf.DUMMYFUNCTION("""COMPUTED_VALUE"""),"https://drive.google.com/drive/folders/10T2cTQHqEJZqE-st6uFKPoI?usp=share_link")</f>
        <v>https://drive.google.com/drive/folders/10T2cTQHqEJZqE-st6uFKPoI?usp=share_link</v>
      </c>
      <c r="P1154" s="6" t="str">
        <f>IFERROR(__xludf.DUMMYFUNCTION("""COMPUTED_VALUE"""),"Mariia Sukhyna")</f>
        <v>Mariia Sukhyna</v>
      </c>
      <c r="Q1154" s="6" t="str">
        <f>IFERROR(__xludf.DUMMYFUNCTION("""COMPUTED_VALUE"""),"MS")</f>
        <v>MS</v>
      </c>
      <c r="R1154" s="6">
        <f>IFERROR(__xludf.DUMMYFUNCTION("""COMPUTED_VALUE"""),0.0)</f>
        <v>0</v>
      </c>
      <c r="S1154" s="6" t="str">
        <f>IFERROR(__xludf.DUMMYFUNCTION("""COMPUTED_VALUE""")," ")</f>
        <v> </v>
      </c>
      <c r="T1154" s="6" t="str">
        <f>IFERROR(__xludf.DUMMYFUNCTION("""COMPUTED_VALUE"""),"")</f>
        <v/>
      </c>
      <c r="U1154" s="6" t="str">
        <f>IFERROR(__xludf.DUMMYFUNCTION("""COMPUTED_VALUE"""),"8")</f>
        <v>8</v>
      </c>
      <c r="V1154" s="6" t="str">
        <f>IFERROR(__xludf.DUMMYFUNCTION("""COMPUTED_VALUE"""),"English")</f>
        <v>English</v>
      </c>
      <c r="W1154" s="6" t="str">
        <f>IFERROR(__xludf.DUMMYFUNCTION("""COMPUTED_VALUE"""),"[]")</f>
        <v>[]</v>
      </c>
      <c r="X1154" s="6" t="str">
        <f>IFERROR(__xludf.DUMMYFUNCTION("""COMPUTED_VALUE"""),"Enrolled")</f>
        <v>Enrolled</v>
      </c>
    </row>
    <row r="1155">
      <c r="A1155" s="6" t="str">
        <f>IFERROR(__xludf.DUMMYFUNCTION("""COMPUTED_VALUE"""),"009-1375")</f>
        <v>009-1375</v>
      </c>
      <c r="B1155" s="6" t="str">
        <f>IFERROR(__xludf.DUMMYFUNCTION("""COMPUTED_VALUE"""),"9")</f>
        <v>9</v>
      </c>
      <c r="C1155" s="6" t="str">
        <f>IFERROR(__xludf.DUMMYFUNCTION("""COMPUTED_VALUE"""),"1375")</f>
        <v>1375</v>
      </c>
      <c r="D1155" s="6" t="str">
        <f>IFERROR(__xludf.DUMMYFUNCTION("""COMPUTED_VALUE"""),"Veronika")</f>
        <v>Veronika</v>
      </c>
      <c r="E1155" s="6" t="str">
        <f>IFERROR(__xludf.DUMMYFUNCTION("""COMPUTED_VALUE"""),"")</f>
        <v/>
      </c>
      <c r="F1155" s="6" t="str">
        <f>IFERROR(__xludf.DUMMYFUNCTION("""COMPUTED_VALUE"""),"Drykina")</f>
        <v>Drykina</v>
      </c>
      <c r="G1155" s="6" t="str">
        <f>IFERROR(__xludf.DUMMYFUNCTION("""COMPUTED_VALUE"""),"01/01/2017")</f>
        <v>01/01/2017</v>
      </c>
      <c r="H1155" s="6" t="str">
        <f>IFERROR(__xludf.DUMMYFUNCTION("""COMPUTED_VALUE"""),"Self Identify")</f>
        <v>Self Identify</v>
      </c>
      <c r="I1155" s="6" t="str">
        <f>IFERROR(__xludf.DUMMYFUNCTION("""COMPUTED_VALUE"""),"Level 1")</f>
        <v>Level 1</v>
      </c>
      <c r="J1155" s="6" t="str">
        <f>IFERROR(__xludf.DUMMYFUNCTION("""COMPUTED_VALUE"""),"2")</f>
        <v>2</v>
      </c>
      <c r="K1155" s="6" t="str">
        <f>IFERROR(__xludf.DUMMYFUNCTION("""COMPUTED_VALUE"""),"veronika.drykina@2hourlearning.com")</f>
        <v>veronika.drykina@2hourlearning.com</v>
      </c>
      <c r="L1155" s="6" t="str">
        <f>IFERROR(__xludf.DUMMYFUNCTION("""COMPUTED_VALUE"""),"Learn and Earn Poland")</f>
        <v>Learn and Earn Poland</v>
      </c>
      <c r="M1155" s="6" t="str">
        <f>IFERROR(__xludf.DUMMYFUNCTION("""COMPUTED_VALUE"""),"Poland ex-GTS")</f>
        <v>Poland ex-GTS</v>
      </c>
      <c r="N1155" s="6" t="str">
        <f>IFERROR(__xludf.DUMMYFUNCTION("""COMPUTED_VALUE"""),"")</f>
        <v/>
      </c>
      <c r="O1155" s="87" t="str">
        <f>IFERROR(__xludf.DUMMYFUNCTION("""COMPUTED_VALUE"""),"https://drive.google.com/drive/folders/10T2cTQHqEJZqE-st6uFKPoI?usp=share_link")</f>
        <v>https://drive.google.com/drive/folders/10T2cTQHqEJZqE-st6uFKPoI?usp=share_link</v>
      </c>
      <c r="P1155" s="6" t="str">
        <f>IFERROR(__xludf.DUMMYFUNCTION("""COMPUTED_VALUE"""),"Veronika Drykina")</f>
        <v>Veronika Drykina</v>
      </c>
      <c r="Q1155" s="6" t="str">
        <f>IFERROR(__xludf.DUMMYFUNCTION("""COMPUTED_VALUE"""),"L1")</f>
        <v>L1</v>
      </c>
      <c r="R1155" s="6">
        <f>IFERROR(__xludf.DUMMYFUNCTION("""COMPUTED_VALUE"""),1.0)</f>
        <v>1</v>
      </c>
      <c r="S1155" s="6" t="str">
        <f>IFERROR(__xludf.DUMMYFUNCTION("""COMPUTED_VALUE""")," ")</f>
        <v> </v>
      </c>
      <c r="T1155" s="6" t="str">
        <f>IFERROR(__xludf.DUMMYFUNCTION("""COMPUTED_VALUE"""),"")</f>
        <v/>
      </c>
      <c r="U1155" s="6" t="str">
        <f>IFERROR(__xludf.DUMMYFUNCTION("""COMPUTED_VALUE"""),"2")</f>
        <v>2</v>
      </c>
      <c r="V1155" s="6" t="str">
        <f>IFERROR(__xludf.DUMMYFUNCTION("""COMPUTED_VALUE"""),"English")</f>
        <v>English</v>
      </c>
      <c r="W1155" s="6" t="str">
        <f>IFERROR(__xludf.DUMMYFUNCTION("""COMPUTED_VALUE"""),"[]")</f>
        <v>[]</v>
      </c>
      <c r="X1155" s="6" t="str">
        <f>IFERROR(__xludf.DUMMYFUNCTION("""COMPUTED_VALUE"""),"Enrolled")</f>
        <v>Enrolled</v>
      </c>
    </row>
    <row r="1156">
      <c r="A1156" s="6" t="str">
        <f>IFERROR(__xludf.DUMMYFUNCTION("""COMPUTED_VALUE"""),"009-1376")</f>
        <v>009-1376</v>
      </c>
      <c r="B1156" s="6" t="str">
        <f>IFERROR(__xludf.DUMMYFUNCTION("""COMPUTED_VALUE"""),"9")</f>
        <v>9</v>
      </c>
      <c r="C1156" s="6" t="str">
        <f>IFERROR(__xludf.DUMMYFUNCTION("""COMPUTED_VALUE"""),"1376")</f>
        <v>1376</v>
      </c>
      <c r="D1156" s="6" t="str">
        <f>IFERROR(__xludf.DUMMYFUNCTION("""COMPUTED_VALUE"""),"Vladyslav")</f>
        <v>Vladyslav</v>
      </c>
      <c r="E1156" s="6" t="str">
        <f>IFERROR(__xludf.DUMMYFUNCTION("""COMPUTED_VALUE"""),"")</f>
        <v/>
      </c>
      <c r="F1156" s="6" t="str">
        <f>IFERROR(__xludf.DUMMYFUNCTION("""COMPUTED_VALUE"""),"Kalmykov")</f>
        <v>Kalmykov</v>
      </c>
      <c r="G1156" s="6" t="str">
        <f>IFERROR(__xludf.DUMMYFUNCTION("""COMPUTED_VALUE"""),"01/01/2010")</f>
        <v>01/01/2010</v>
      </c>
      <c r="H1156" s="6" t="str">
        <f>IFERROR(__xludf.DUMMYFUNCTION("""COMPUTED_VALUE"""),"Self Identify")</f>
        <v>Self Identify</v>
      </c>
      <c r="I1156" s="6" t="str">
        <f>IFERROR(__xludf.DUMMYFUNCTION("""COMPUTED_VALUE"""),"High School")</f>
        <v>High School</v>
      </c>
      <c r="J1156" s="6" t="str">
        <f>IFERROR(__xludf.DUMMYFUNCTION("""COMPUTED_VALUE"""),"9")</f>
        <v>9</v>
      </c>
      <c r="K1156" s="6" t="str">
        <f>IFERROR(__xludf.DUMMYFUNCTION("""COMPUTED_VALUE"""),"vladyslav.kalmykov@2hourlearning.com")</f>
        <v>vladyslav.kalmykov@2hourlearning.com</v>
      </c>
      <c r="L1156" s="6" t="str">
        <f>IFERROR(__xludf.DUMMYFUNCTION("""COMPUTED_VALUE"""),"Learn and Earn Poland")</f>
        <v>Learn and Earn Poland</v>
      </c>
      <c r="M1156" s="6" t="str">
        <f>IFERROR(__xludf.DUMMYFUNCTION("""COMPUTED_VALUE"""),"Poland ex-GTS")</f>
        <v>Poland ex-GTS</v>
      </c>
      <c r="N1156" s="6" t="str">
        <f>IFERROR(__xludf.DUMMYFUNCTION("""COMPUTED_VALUE"""),"")</f>
        <v/>
      </c>
      <c r="O1156" s="87" t="str">
        <f>IFERROR(__xludf.DUMMYFUNCTION("""COMPUTED_VALUE"""),"https://drive.google.com/drive/folders/10T2cTQHqEJZqE-st6uFKPoI?usp=share_link")</f>
        <v>https://drive.google.com/drive/folders/10T2cTQHqEJZqE-st6uFKPoI?usp=share_link</v>
      </c>
      <c r="P1156" s="6" t="str">
        <f>IFERROR(__xludf.DUMMYFUNCTION("""COMPUTED_VALUE"""),"Vladyslav Kalmykov")</f>
        <v>Vladyslav Kalmykov</v>
      </c>
      <c r="Q1156" s="6" t="str">
        <f>IFERROR(__xludf.DUMMYFUNCTION("""COMPUTED_VALUE"""),"HS")</f>
        <v>HS</v>
      </c>
      <c r="R1156" s="6">
        <f>IFERROR(__xludf.DUMMYFUNCTION("""COMPUTED_VALUE"""),0.0)</f>
        <v>0</v>
      </c>
      <c r="S1156" s="6" t="str">
        <f>IFERROR(__xludf.DUMMYFUNCTION("""COMPUTED_VALUE""")," ")</f>
        <v> </v>
      </c>
      <c r="T1156" s="6" t="str">
        <f>IFERROR(__xludf.DUMMYFUNCTION("""COMPUTED_VALUE"""),"")</f>
        <v/>
      </c>
      <c r="U1156" s="6" t="str">
        <f>IFERROR(__xludf.DUMMYFUNCTION("""COMPUTED_VALUE"""),"9")</f>
        <v>9</v>
      </c>
      <c r="V1156" s="6" t="str">
        <f>IFERROR(__xludf.DUMMYFUNCTION("""COMPUTED_VALUE"""),"English")</f>
        <v>English</v>
      </c>
      <c r="W1156" s="6" t="str">
        <f>IFERROR(__xludf.DUMMYFUNCTION("""COMPUTED_VALUE"""),"[]")</f>
        <v>[]</v>
      </c>
      <c r="X1156" s="6" t="str">
        <f>IFERROR(__xludf.DUMMYFUNCTION("""COMPUTED_VALUE"""),"Enrolled")</f>
        <v>Enrolled</v>
      </c>
    </row>
    <row r="1157">
      <c r="A1157" s="6" t="str">
        <f>IFERROR(__xludf.DUMMYFUNCTION("""COMPUTED_VALUE"""),"009-1377")</f>
        <v>009-1377</v>
      </c>
      <c r="B1157" s="6" t="str">
        <f>IFERROR(__xludf.DUMMYFUNCTION("""COMPUTED_VALUE"""),"9")</f>
        <v>9</v>
      </c>
      <c r="C1157" s="6" t="str">
        <f>IFERROR(__xludf.DUMMYFUNCTION("""COMPUTED_VALUE"""),"1377")</f>
        <v>1377</v>
      </c>
      <c r="D1157" s="6" t="str">
        <f>IFERROR(__xludf.DUMMYFUNCTION("""COMPUTED_VALUE"""),"Marko")</f>
        <v>Marko</v>
      </c>
      <c r="E1157" s="6" t="str">
        <f>IFERROR(__xludf.DUMMYFUNCTION("""COMPUTED_VALUE"""),"")</f>
        <v/>
      </c>
      <c r="F1157" s="6" t="str">
        <f>IFERROR(__xludf.DUMMYFUNCTION("""COMPUTED_VALUE"""),"Kuybida")</f>
        <v>Kuybida</v>
      </c>
      <c r="G1157" s="6" t="str">
        <f>IFERROR(__xludf.DUMMYFUNCTION("""COMPUTED_VALUE"""),"01/01/2013")</f>
        <v>01/01/2013</v>
      </c>
      <c r="H1157" s="6" t="str">
        <f>IFERROR(__xludf.DUMMYFUNCTION("""COMPUTED_VALUE"""),"Self Identify")</f>
        <v>Self Identify</v>
      </c>
      <c r="I1157" s="6" t="str">
        <f>IFERROR(__xludf.DUMMYFUNCTION("""COMPUTED_VALUE"""),"Middle School")</f>
        <v>Middle School</v>
      </c>
      <c r="J1157" s="6" t="str">
        <f>IFERROR(__xludf.DUMMYFUNCTION("""COMPUTED_VALUE"""),"6")</f>
        <v>6</v>
      </c>
      <c r="K1157" s="6" t="str">
        <f>IFERROR(__xludf.DUMMYFUNCTION("""COMPUTED_VALUE"""),"marko.kuybida@2hourlearning.com")</f>
        <v>marko.kuybida@2hourlearning.com</v>
      </c>
      <c r="L1157" s="6" t="str">
        <f>IFERROR(__xludf.DUMMYFUNCTION("""COMPUTED_VALUE"""),"Learn and Earn Poland")</f>
        <v>Learn and Earn Poland</v>
      </c>
      <c r="M1157" s="6" t="str">
        <f>IFERROR(__xludf.DUMMYFUNCTION("""COMPUTED_VALUE"""),"Poland ex-GTS")</f>
        <v>Poland ex-GTS</v>
      </c>
      <c r="N1157" s="6" t="str">
        <f>IFERROR(__xludf.DUMMYFUNCTION("""COMPUTED_VALUE"""),"")</f>
        <v/>
      </c>
      <c r="O1157" s="87" t="str">
        <f>IFERROR(__xludf.DUMMYFUNCTION("""COMPUTED_VALUE"""),"https://drive.google.com/drive/folders/10T2cTQHqEJZqE-st6uFKPoI?usp=share_link")</f>
        <v>https://drive.google.com/drive/folders/10T2cTQHqEJZqE-st6uFKPoI?usp=share_link</v>
      </c>
      <c r="P1157" s="6" t="str">
        <f>IFERROR(__xludf.DUMMYFUNCTION("""COMPUTED_VALUE"""),"Marko Kuybida")</f>
        <v>Marko Kuybida</v>
      </c>
      <c r="Q1157" s="6" t="str">
        <f>IFERROR(__xludf.DUMMYFUNCTION("""COMPUTED_VALUE"""),"MS")</f>
        <v>MS</v>
      </c>
      <c r="R1157" s="6">
        <f>IFERROR(__xludf.DUMMYFUNCTION("""COMPUTED_VALUE"""),0.0)</f>
        <v>0</v>
      </c>
      <c r="S1157" s="6" t="str">
        <f>IFERROR(__xludf.DUMMYFUNCTION("""COMPUTED_VALUE""")," ")</f>
        <v> </v>
      </c>
      <c r="T1157" s="6" t="str">
        <f>IFERROR(__xludf.DUMMYFUNCTION("""COMPUTED_VALUE"""),"")</f>
        <v/>
      </c>
      <c r="U1157" s="6" t="str">
        <f>IFERROR(__xludf.DUMMYFUNCTION("""COMPUTED_VALUE"""),"6")</f>
        <v>6</v>
      </c>
      <c r="V1157" s="6" t="str">
        <f>IFERROR(__xludf.DUMMYFUNCTION("""COMPUTED_VALUE"""),"English")</f>
        <v>English</v>
      </c>
      <c r="W1157" s="6" t="str">
        <f>IFERROR(__xludf.DUMMYFUNCTION("""COMPUTED_VALUE"""),"[]")</f>
        <v>[]</v>
      </c>
      <c r="X1157" s="6" t="str">
        <f>IFERROR(__xludf.DUMMYFUNCTION("""COMPUTED_VALUE"""),"Enrolled")</f>
        <v>Enrolled</v>
      </c>
    </row>
    <row r="1158">
      <c r="A1158" s="6" t="str">
        <f>IFERROR(__xludf.DUMMYFUNCTION("""COMPUTED_VALUE"""),"009-1378")</f>
        <v>009-1378</v>
      </c>
      <c r="B1158" s="6" t="str">
        <f>IFERROR(__xludf.DUMMYFUNCTION("""COMPUTED_VALUE"""),"9")</f>
        <v>9</v>
      </c>
      <c r="C1158" s="6" t="str">
        <f>IFERROR(__xludf.DUMMYFUNCTION("""COMPUTED_VALUE"""),"1378")</f>
        <v>1378</v>
      </c>
      <c r="D1158" s="6" t="str">
        <f>IFERROR(__xludf.DUMMYFUNCTION("""COMPUTED_VALUE"""),"Mariia")</f>
        <v>Mariia</v>
      </c>
      <c r="E1158" s="6" t="str">
        <f>IFERROR(__xludf.DUMMYFUNCTION("""COMPUTED_VALUE"""),"")</f>
        <v/>
      </c>
      <c r="F1158" s="6" t="str">
        <f>IFERROR(__xludf.DUMMYFUNCTION("""COMPUTED_VALUE"""),"Ovsiannikova")</f>
        <v>Ovsiannikova</v>
      </c>
      <c r="G1158" s="6" t="str">
        <f>IFERROR(__xludf.DUMMYFUNCTION("""COMPUTED_VALUE"""),"01/01/2011")</f>
        <v>01/01/2011</v>
      </c>
      <c r="H1158" s="6" t="str">
        <f>IFERROR(__xludf.DUMMYFUNCTION("""COMPUTED_VALUE"""),"Self Identify")</f>
        <v>Self Identify</v>
      </c>
      <c r="I1158" s="6" t="str">
        <f>IFERROR(__xludf.DUMMYFUNCTION("""COMPUTED_VALUE"""),"Middle School")</f>
        <v>Middle School</v>
      </c>
      <c r="J1158" s="6" t="str">
        <f>IFERROR(__xludf.DUMMYFUNCTION("""COMPUTED_VALUE"""),"8")</f>
        <v>8</v>
      </c>
      <c r="K1158" s="6" t="str">
        <f>IFERROR(__xludf.DUMMYFUNCTION("""COMPUTED_VALUE"""),"mariia.ovsiannikova@2hourlearning.com")</f>
        <v>mariia.ovsiannikova@2hourlearning.com</v>
      </c>
      <c r="L1158" s="6" t="str">
        <f>IFERROR(__xludf.DUMMYFUNCTION("""COMPUTED_VALUE"""),"Learn and Earn Poland")</f>
        <v>Learn and Earn Poland</v>
      </c>
      <c r="M1158" s="6" t="str">
        <f>IFERROR(__xludf.DUMMYFUNCTION("""COMPUTED_VALUE"""),"Poland ex-GTS")</f>
        <v>Poland ex-GTS</v>
      </c>
      <c r="N1158" s="6" t="str">
        <f>IFERROR(__xludf.DUMMYFUNCTION("""COMPUTED_VALUE"""),"")</f>
        <v/>
      </c>
      <c r="O1158" s="87" t="str">
        <f>IFERROR(__xludf.DUMMYFUNCTION("""COMPUTED_VALUE"""),"https://drive.google.com/drive/folders/10T2cTQHqEJZqE-st6uFKPoI?usp=share_link")</f>
        <v>https://drive.google.com/drive/folders/10T2cTQHqEJZqE-st6uFKPoI?usp=share_link</v>
      </c>
      <c r="P1158" s="6" t="str">
        <f>IFERROR(__xludf.DUMMYFUNCTION("""COMPUTED_VALUE"""),"Mariia Ovsiannikova")</f>
        <v>Mariia Ovsiannikova</v>
      </c>
      <c r="Q1158" s="6" t="str">
        <f>IFERROR(__xludf.DUMMYFUNCTION("""COMPUTED_VALUE"""),"MS")</f>
        <v>MS</v>
      </c>
      <c r="R1158" s="6">
        <f>IFERROR(__xludf.DUMMYFUNCTION("""COMPUTED_VALUE"""),0.0)</f>
        <v>0</v>
      </c>
      <c r="S1158" s="6" t="str">
        <f>IFERROR(__xludf.DUMMYFUNCTION("""COMPUTED_VALUE""")," ")</f>
        <v> </v>
      </c>
      <c r="T1158" s="6" t="str">
        <f>IFERROR(__xludf.DUMMYFUNCTION("""COMPUTED_VALUE"""),"")</f>
        <v/>
      </c>
      <c r="U1158" s="6" t="str">
        <f>IFERROR(__xludf.DUMMYFUNCTION("""COMPUTED_VALUE"""),"8")</f>
        <v>8</v>
      </c>
      <c r="V1158" s="6" t="str">
        <f>IFERROR(__xludf.DUMMYFUNCTION("""COMPUTED_VALUE"""),"English")</f>
        <v>English</v>
      </c>
      <c r="W1158" s="6" t="str">
        <f>IFERROR(__xludf.DUMMYFUNCTION("""COMPUTED_VALUE"""),"[]")</f>
        <v>[]</v>
      </c>
      <c r="X1158" s="6" t="str">
        <f>IFERROR(__xludf.DUMMYFUNCTION("""COMPUTED_VALUE"""),"Enrolled")</f>
        <v>Enrolled</v>
      </c>
    </row>
    <row r="1159">
      <c r="A1159" s="6" t="str">
        <f>IFERROR(__xludf.DUMMYFUNCTION("""COMPUTED_VALUE"""),"009-1379")</f>
        <v>009-1379</v>
      </c>
      <c r="B1159" s="6" t="str">
        <f>IFERROR(__xludf.DUMMYFUNCTION("""COMPUTED_VALUE"""),"9")</f>
        <v>9</v>
      </c>
      <c r="C1159" s="6" t="str">
        <f>IFERROR(__xludf.DUMMYFUNCTION("""COMPUTED_VALUE"""),"1379")</f>
        <v>1379</v>
      </c>
      <c r="D1159" s="6" t="str">
        <f>IFERROR(__xludf.DUMMYFUNCTION("""COMPUTED_VALUE"""),"Matvii")</f>
        <v>Matvii</v>
      </c>
      <c r="E1159" s="6" t="str">
        <f>IFERROR(__xludf.DUMMYFUNCTION("""COMPUTED_VALUE"""),"")</f>
        <v/>
      </c>
      <c r="F1159" s="6" t="str">
        <f>IFERROR(__xludf.DUMMYFUNCTION("""COMPUTED_VALUE"""),"Maksymov")</f>
        <v>Maksymov</v>
      </c>
      <c r="G1159" s="6" t="str">
        <f>IFERROR(__xludf.DUMMYFUNCTION("""COMPUTED_VALUE"""),"01/01/2012")</f>
        <v>01/01/2012</v>
      </c>
      <c r="H1159" s="6" t="str">
        <f>IFERROR(__xludf.DUMMYFUNCTION("""COMPUTED_VALUE"""),"Self Identify")</f>
        <v>Self Identify</v>
      </c>
      <c r="I1159" s="6" t="str">
        <f>IFERROR(__xludf.DUMMYFUNCTION("""COMPUTED_VALUE"""),"Middle School")</f>
        <v>Middle School</v>
      </c>
      <c r="J1159" s="6" t="str">
        <f>IFERROR(__xludf.DUMMYFUNCTION("""COMPUTED_VALUE"""),"7")</f>
        <v>7</v>
      </c>
      <c r="K1159" s="6" t="str">
        <f>IFERROR(__xludf.DUMMYFUNCTION("""COMPUTED_VALUE"""),"matvii.maksymov@2hourlearning.com")</f>
        <v>matvii.maksymov@2hourlearning.com</v>
      </c>
      <c r="L1159" s="6" t="str">
        <f>IFERROR(__xludf.DUMMYFUNCTION("""COMPUTED_VALUE"""),"Learn and Earn Poland")</f>
        <v>Learn and Earn Poland</v>
      </c>
      <c r="M1159" s="6" t="str">
        <f>IFERROR(__xludf.DUMMYFUNCTION("""COMPUTED_VALUE"""),"Poland ex-GTS")</f>
        <v>Poland ex-GTS</v>
      </c>
      <c r="N1159" s="6" t="str">
        <f>IFERROR(__xludf.DUMMYFUNCTION("""COMPUTED_VALUE"""),"")</f>
        <v/>
      </c>
      <c r="O1159" s="87" t="str">
        <f>IFERROR(__xludf.DUMMYFUNCTION("""COMPUTED_VALUE"""),"https://drive.google.com/drive/folders/10T2cTQHqEJZqE-st6uFKPoI?usp=share_link")</f>
        <v>https://drive.google.com/drive/folders/10T2cTQHqEJZqE-st6uFKPoI?usp=share_link</v>
      </c>
      <c r="P1159" s="6" t="str">
        <f>IFERROR(__xludf.DUMMYFUNCTION("""COMPUTED_VALUE"""),"Matvii Maksymov")</f>
        <v>Matvii Maksymov</v>
      </c>
      <c r="Q1159" s="6" t="str">
        <f>IFERROR(__xludf.DUMMYFUNCTION("""COMPUTED_VALUE"""),"MS")</f>
        <v>MS</v>
      </c>
      <c r="R1159" s="6">
        <f>IFERROR(__xludf.DUMMYFUNCTION("""COMPUTED_VALUE"""),0.0)</f>
        <v>0</v>
      </c>
      <c r="S1159" s="6" t="str">
        <f>IFERROR(__xludf.DUMMYFUNCTION("""COMPUTED_VALUE""")," ")</f>
        <v> </v>
      </c>
      <c r="T1159" s="6" t="str">
        <f>IFERROR(__xludf.DUMMYFUNCTION("""COMPUTED_VALUE"""),"")</f>
        <v/>
      </c>
      <c r="U1159" s="6" t="str">
        <f>IFERROR(__xludf.DUMMYFUNCTION("""COMPUTED_VALUE"""),"7")</f>
        <v>7</v>
      </c>
      <c r="V1159" s="6" t="str">
        <f>IFERROR(__xludf.DUMMYFUNCTION("""COMPUTED_VALUE"""),"English")</f>
        <v>English</v>
      </c>
      <c r="W1159" s="6" t="str">
        <f>IFERROR(__xludf.DUMMYFUNCTION("""COMPUTED_VALUE"""),"[]")</f>
        <v>[]</v>
      </c>
      <c r="X1159" s="6" t="str">
        <f>IFERROR(__xludf.DUMMYFUNCTION("""COMPUTED_VALUE"""),"Enrolled")</f>
        <v>Enrolled</v>
      </c>
    </row>
    <row r="1160">
      <c r="A1160" s="6" t="str">
        <f>IFERROR(__xludf.DUMMYFUNCTION("""COMPUTED_VALUE"""),"009-1380")</f>
        <v>009-1380</v>
      </c>
      <c r="B1160" s="6" t="str">
        <f>IFERROR(__xludf.DUMMYFUNCTION("""COMPUTED_VALUE"""),"9")</f>
        <v>9</v>
      </c>
      <c r="C1160" s="6" t="str">
        <f>IFERROR(__xludf.DUMMYFUNCTION("""COMPUTED_VALUE"""),"1380")</f>
        <v>1380</v>
      </c>
      <c r="D1160" s="6" t="str">
        <f>IFERROR(__xludf.DUMMYFUNCTION("""COMPUTED_VALUE"""),"Vladyslava")</f>
        <v>Vladyslava</v>
      </c>
      <c r="E1160" s="6" t="str">
        <f>IFERROR(__xludf.DUMMYFUNCTION("""COMPUTED_VALUE"""),"")</f>
        <v/>
      </c>
      <c r="F1160" s="6" t="str">
        <f>IFERROR(__xludf.DUMMYFUNCTION("""COMPUTED_VALUE"""),"Melnikova")</f>
        <v>Melnikova</v>
      </c>
      <c r="G1160" s="6" t="str">
        <f>IFERROR(__xludf.DUMMYFUNCTION("""COMPUTED_VALUE"""),"01/01/2013")</f>
        <v>01/01/2013</v>
      </c>
      <c r="H1160" s="6" t="str">
        <f>IFERROR(__xludf.DUMMYFUNCTION("""COMPUTED_VALUE"""),"Self Identify")</f>
        <v>Self Identify</v>
      </c>
      <c r="I1160" s="6" t="str">
        <f>IFERROR(__xludf.DUMMYFUNCTION("""COMPUTED_VALUE"""),"Middle School")</f>
        <v>Middle School</v>
      </c>
      <c r="J1160" s="6" t="str">
        <f>IFERROR(__xludf.DUMMYFUNCTION("""COMPUTED_VALUE"""),"6")</f>
        <v>6</v>
      </c>
      <c r="K1160" s="6" t="str">
        <f>IFERROR(__xludf.DUMMYFUNCTION("""COMPUTED_VALUE"""),"vladyslava.melnikova@2hourlearning.com")</f>
        <v>vladyslava.melnikova@2hourlearning.com</v>
      </c>
      <c r="L1160" s="6" t="str">
        <f>IFERROR(__xludf.DUMMYFUNCTION("""COMPUTED_VALUE"""),"Learn and Earn Poland")</f>
        <v>Learn and Earn Poland</v>
      </c>
      <c r="M1160" s="6" t="str">
        <f>IFERROR(__xludf.DUMMYFUNCTION("""COMPUTED_VALUE"""),"Poland ex-GTS")</f>
        <v>Poland ex-GTS</v>
      </c>
      <c r="N1160" s="6" t="str">
        <f>IFERROR(__xludf.DUMMYFUNCTION("""COMPUTED_VALUE"""),"")</f>
        <v/>
      </c>
      <c r="O1160" s="87" t="str">
        <f>IFERROR(__xludf.DUMMYFUNCTION("""COMPUTED_VALUE"""),"https://drive.google.com/drive/folders/10T2cTQHqEJZqE-st6uFKPoI?usp=share_link")</f>
        <v>https://drive.google.com/drive/folders/10T2cTQHqEJZqE-st6uFKPoI?usp=share_link</v>
      </c>
      <c r="P1160" s="6" t="str">
        <f>IFERROR(__xludf.DUMMYFUNCTION("""COMPUTED_VALUE"""),"Vladyslava Melnikova")</f>
        <v>Vladyslava Melnikova</v>
      </c>
      <c r="Q1160" s="6" t="str">
        <f>IFERROR(__xludf.DUMMYFUNCTION("""COMPUTED_VALUE"""),"MS")</f>
        <v>MS</v>
      </c>
      <c r="R1160" s="6">
        <f>IFERROR(__xludf.DUMMYFUNCTION("""COMPUTED_VALUE"""),0.0)</f>
        <v>0</v>
      </c>
      <c r="S1160" s="6" t="str">
        <f>IFERROR(__xludf.DUMMYFUNCTION("""COMPUTED_VALUE""")," ")</f>
        <v> </v>
      </c>
      <c r="T1160" s="6" t="str">
        <f>IFERROR(__xludf.DUMMYFUNCTION("""COMPUTED_VALUE"""),"")</f>
        <v/>
      </c>
      <c r="U1160" s="6" t="str">
        <f>IFERROR(__xludf.DUMMYFUNCTION("""COMPUTED_VALUE"""),"6")</f>
        <v>6</v>
      </c>
      <c r="V1160" s="6" t="str">
        <f>IFERROR(__xludf.DUMMYFUNCTION("""COMPUTED_VALUE"""),"English")</f>
        <v>English</v>
      </c>
      <c r="W1160" s="6" t="str">
        <f>IFERROR(__xludf.DUMMYFUNCTION("""COMPUTED_VALUE"""),"[]")</f>
        <v>[]</v>
      </c>
      <c r="X1160" s="6" t="str">
        <f>IFERROR(__xludf.DUMMYFUNCTION("""COMPUTED_VALUE"""),"Enrolled")</f>
        <v>Enrolled</v>
      </c>
    </row>
    <row r="1161">
      <c r="A1161" s="6" t="str">
        <f>IFERROR(__xludf.DUMMYFUNCTION("""COMPUTED_VALUE"""),"009-1381")</f>
        <v>009-1381</v>
      </c>
      <c r="B1161" s="6" t="str">
        <f>IFERROR(__xludf.DUMMYFUNCTION("""COMPUTED_VALUE"""),"9")</f>
        <v>9</v>
      </c>
      <c r="C1161" s="6" t="str">
        <f>IFERROR(__xludf.DUMMYFUNCTION("""COMPUTED_VALUE"""),"1381")</f>
        <v>1381</v>
      </c>
      <c r="D1161" s="6" t="str">
        <f>IFERROR(__xludf.DUMMYFUNCTION("""COMPUTED_VALUE"""),"kostantin")</f>
        <v>kostantin</v>
      </c>
      <c r="E1161" s="6" t="str">
        <f>IFERROR(__xludf.DUMMYFUNCTION("""COMPUTED_VALUE"""),"")</f>
        <v/>
      </c>
      <c r="F1161" s="6" t="str">
        <f>IFERROR(__xludf.DUMMYFUNCTION("""COMPUTED_VALUE"""),"kurdyaev")</f>
        <v>kurdyaev</v>
      </c>
      <c r="G1161" s="6" t="str">
        <f>IFERROR(__xludf.DUMMYFUNCTION("""COMPUTED_VALUE"""),"01/01/2012")</f>
        <v>01/01/2012</v>
      </c>
      <c r="H1161" s="6" t="str">
        <f>IFERROR(__xludf.DUMMYFUNCTION("""COMPUTED_VALUE"""),"Self Identify")</f>
        <v>Self Identify</v>
      </c>
      <c r="I1161" s="6" t="str">
        <f>IFERROR(__xludf.DUMMYFUNCTION("""COMPUTED_VALUE"""),"Middle School")</f>
        <v>Middle School</v>
      </c>
      <c r="J1161" s="6" t="str">
        <f>IFERROR(__xludf.DUMMYFUNCTION("""COMPUTED_VALUE"""),"7")</f>
        <v>7</v>
      </c>
      <c r="K1161" s="6" t="str">
        <f>IFERROR(__xludf.DUMMYFUNCTION("""COMPUTED_VALUE"""),"kostantin.kurdyaev@2hourlearning.com")</f>
        <v>kostantin.kurdyaev@2hourlearning.com</v>
      </c>
      <c r="L1161" s="6" t="str">
        <f>IFERROR(__xludf.DUMMYFUNCTION("""COMPUTED_VALUE"""),"Learn and Earn Poland")</f>
        <v>Learn and Earn Poland</v>
      </c>
      <c r="M1161" s="6" t="str">
        <f>IFERROR(__xludf.DUMMYFUNCTION("""COMPUTED_VALUE"""),"Poland ex-GTS")</f>
        <v>Poland ex-GTS</v>
      </c>
      <c r="N1161" s="6" t="str">
        <f>IFERROR(__xludf.DUMMYFUNCTION("""COMPUTED_VALUE"""),"")</f>
        <v/>
      </c>
      <c r="O1161" s="87" t="str">
        <f>IFERROR(__xludf.DUMMYFUNCTION("""COMPUTED_VALUE"""),"https://drive.google.com/drive/folders/10T2cTQHqEJZqE-st6uFKPoI?usp=share_link")</f>
        <v>https://drive.google.com/drive/folders/10T2cTQHqEJZqE-st6uFKPoI?usp=share_link</v>
      </c>
      <c r="P1161" s="6" t="str">
        <f>IFERROR(__xludf.DUMMYFUNCTION("""COMPUTED_VALUE"""),"kostantin kurdyaev")</f>
        <v>kostantin kurdyaev</v>
      </c>
      <c r="Q1161" s="6" t="str">
        <f>IFERROR(__xludf.DUMMYFUNCTION("""COMPUTED_VALUE"""),"MS")</f>
        <v>MS</v>
      </c>
      <c r="R1161" s="6">
        <f>IFERROR(__xludf.DUMMYFUNCTION("""COMPUTED_VALUE"""),0.0)</f>
        <v>0</v>
      </c>
      <c r="S1161" s="6" t="str">
        <f>IFERROR(__xludf.DUMMYFUNCTION("""COMPUTED_VALUE""")," ")</f>
        <v> </v>
      </c>
      <c r="T1161" s="6" t="str">
        <f>IFERROR(__xludf.DUMMYFUNCTION("""COMPUTED_VALUE"""),"")</f>
        <v/>
      </c>
      <c r="U1161" s="6" t="str">
        <f>IFERROR(__xludf.DUMMYFUNCTION("""COMPUTED_VALUE"""),"7")</f>
        <v>7</v>
      </c>
      <c r="V1161" s="6" t="str">
        <f>IFERROR(__xludf.DUMMYFUNCTION("""COMPUTED_VALUE"""),"English")</f>
        <v>English</v>
      </c>
      <c r="W1161" s="6" t="str">
        <f>IFERROR(__xludf.DUMMYFUNCTION("""COMPUTED_VALUE"""),"[]")</f>
        <v>[]</v>
      </c>
      <c r="X1161" s="6" t="str">
        <f>IFERROR(__xludf.DUMMYFUNCTION("""COMPUTED_VALUE"""),"Enrolled")</f>
        <v>Enrolled</v>
      </c>
    </row>
    <row r="1162">
      <c r="A1162" s="6" t="str">
        <f>IFERROR(__xludf.DUMMYFUNCTION("""COMPUTED_VALUE"""),"009-1382")</f>
        <v>009-1382</v>
      </c>
      <c r="B1162" s="6" t="str">
        <f>IFERROR(__xludf.DUMMYFUNCTION("""COMPUTED_VALUE"""),"9")</f>
        <v>9</v>
      </c>
      <c r="C1162" s="6" t="str">
        <f>IFERROR(__xludf.DUMMYFUNCTION("""COMPUTED_VALUE"""),"1382")</f>
        <v>1382</v>
      </c>
      <c r="D1162" s="6" t="str">
        <f>IFERROR(__xludf.DUMMYFUNCTION("""COMPUTED_VALUE"""),"Vitalii")</f>
        <v>Vitalii</v>
      </c>
      <c r="E1162" s="6" t="str">
        <f>IFERROR(__xludf.DUMMYFUNCTION("""COMPUTED_VALUE"""),"")</f>
        <v/>
      </c>
      <c r="F1162" s="6" t="str">
        <f>IFERROR(__xludf.DUMMYFUNCTION("""COMPUTED_VALUE"""),"Muchychka")</f>
        <v>Muchychka</v>
      </c>
      <c r="G1162" s="6" t="str">
        <f>IFERROR(__xludf.DUMMYFUNCTION("""COMPUTED_VALUE"""),"01/01/2009")</f>
        <v>01/01/2009</v>
      </c>
      <c r="H1162" s="6" t="str">
        <f>IFERROR(__xludf.DUMMYFUNCTION("""COMPUTED_VALUE"""),"Self Identify")</f>
        <v>Self Identify</v>
      </c>
      <c r="I1162" s="6" t="str">
        <f>IFERROR(__xludf.DUMMYFUNCTION("""COMPUTED_VALUE"""),"High School")</f>
        <v>High School</v>
      </c>
      <c r="J1162" s="6" t="str">
        <f>IFERROR(__xludf.DUMMYFUNCTION("""COMPUTED_VALUE"""),"10")</f>
        <v>10</v>
      </c>
      <c r="K1162" s="6" t="str">
        <f>IFERROR(__xludf.DUMMYFUNCTION("""COMPUTED_VALUE"""),"vitalii.muchychka@2hourlearning.com")</f>
        <v>vitalii.muchychka@2hourlearning.com</v>
      </c>
      <c r="L1162" s="6" t="str">
        <f>IFERROR(__xludf.DUMMYFUNCTION("""COMPUTED_VALUE"""),"Learn and Earn Poland")</f>
        <v>Learn and Earn Poland</v>
      </c>
      <c r="M1162" s="6" t="str">
        <f>IFERROR(__xludf.DUMMYFUNCTION("""COMPUTED_VALUE"""),"Poland ex-GTS")</f>
        <v>Poland ex-GTS</v>
      </c>
      <c r="N1162" s="6" t="str">
        <f>IFERROR(__xludf.DUMMYFUNCTION("""COMPUTED_VALUE"""),"")</f>
        <v/>
      </c>
      <c r="O1162" s="87" t="str">
        <f>IFERROR(__xludf.DUMMYFUNCTION("""COMPUTED_VALUE"""),"https://drive.google.com/drive/folders/10T2cTQHqEJZqE-st6uFKPoI?usp=share_link")</f>
        <v>https://drive.google.com/drive/folders/10T2cTQHqEJZqE-st6uFKPoI?usp=share_link</v>
      </c>
      <c r="P1162" s="6" t="str">
        <f>IFERROR(__xludf.DUMMYFUNCTION("""COMPUTED_VALUE"""),"Vitalii Muchychka")</f>
        <v>Vitalii Muchychka</v>
      </c>
      <c r="Q1162" s="6" t="str">
        <f>IFERROR(__xludf.DUMMYFUNCTION("""COMPUTED_VALUE"""),"HS")</f>
        <v>HS</v>
      </c>
      <c r="R1162" s="6">
        <f>IFERROR(__xludf.DUMMYFUNCTION("""COMPUTED_VALUE"""),0.0)</f>
        <v>0</v>
      </c>
      <c r="S1162" s="6" t="str">
        <f>IFERROR(__xludf.DUMMYFUNCTION("""COMPUTED_VALUE""")," ")</f>
        <v> </v>
      </c>
      <c r="T1162" s="6" t="str">
        <f>IFERROR(__xludf.DUMMYFUNCTION("""COMPUTED_VALUE"""),"")</f>
        <v/>
      </c>
      <c r="U1162" s="6" t="str">
        <f>IFERROR(__xludf.DUMMYFUNCTION("""COMPUTED_VALUE"""),"10")</f>
        <v>10</v>
      </c>
      <c r="V1162" s="6" t="str">
        <f>IFERROR(__xludf.DUMMYFUNCTION("""COMPUTED_VALUE"""),"English")</f>
        <v>English</v>
      </c>
      <c r="W1162" s="6" t="str">
        <f>IFERROR(__xludf.DUMMYFUNCTION("""COMPUTED_VALUE"""),"[]")</f>
        <v>[]</v>
      </c>
      <c r="X1162" s="6" t="str">
        <f>IFERROR(__xludf.DUMMYFUNCTION("""COMPUTED_VALUE"""),"Enrolled")</f>
        <v>Enrolled</v>
      </c>
    </row>
    <row r="1163">
      <c r="A1163" s="6" t="str">
        <f>IFERROR(__xludf.DUMMYFUNCTION("""COMPUTED_VALUE"""),"009-1383")</f>
        <v>009-1383</v>
      </c>
      <c r="B1163" s="6" t="str">
        <f>IFERROR(__xludf.DUMMYFUNCTION("""COMPUTED_VALUE"""),"9")</f>
        <v>9</v>
      </c>
      <c r="C1163" s="6" t="str">
        <f>IFERROR(__xludf.DUMMYFUNCTION("""COMPUTED_VALUE"""),"1383")</f>
        <v>1383</v>
      </c>
      <c r="D1163" s="6" t="str">
        <f>IFERROR(__xludf.DUMMYFUNCTION("""COMPUTED_VALUE"""),"Moroz")</f>
        <v>Moroz</v>
      </c>
      <c r="E1163" s="6" t="str">
        <f>IFERROR(__xludf.DUMMYFUNCTION("""COMPUTED_VALUE"""),"")</f>
        <v/>
      </c>
      <c r="F1163" s="6" t="str">
        <f>IFERROR(__xludf.DUMMYFUNCTION("""COMPUTED_VALUE"""),"Denis")</f>
        <v>Denis</v>
      </c>
      <c r="G1163" s="6" t="str">
        <f>IFERROR(__xludf.DUMMYFUNCTION("""COMPUTED_VALUE"""),"01/01/2012")</f>
        <v>01/01/2012</v>
      </c>
      <c r="H1163" s="6" t="str">
        <f>IFERROR(__xludf.DUMMYFUNCTION("""COMPUTED_VALUE"""),"Self Identify")</f>
        <v>Self Identify</v>
      </c>
      <c r="I1163" s="6" t="str">
        <f>IFERROR(__xludf.DUMMYFUNCTION("""COMPUTED_VALUE"""),"Middle School")</f>
        <v>Middle School</v>
      </c>
      <c r="J1163" s="6" t="str">
        <f>IFERROR(__xludf.DUMMYFUNCTION("""COMPUTED_VALUE"""),"7")</f>
        <v>7</v>
      </c>
      <c r="K1163" s="6" t="str">
        <f>IFERROR(__xludf.DUMMYFUNCTION("""COMPUTED_VALUE"""),"moroz.denis@2hourlearning.com")</f>
        <v>moroz.denis@2hourlearning.com</v>
      </c>
      <c r="L1163" s="6" t="str">
        <f>IFERROR(__xludf.DUMMYFUNCTION("""COMPUTED_VALUE"""),"Learn and Earn Poland")</f>
        <v>Learn and Earn Poland</v>
      </c>
      <c r="M1163" s="6" t="str">
        <f>IFERROR(__xludf.DUMMYFUNCTION("""COMPUTED_VALUE"""),"Poland ex-GTS")</f>
        <v>Poland ex-GTS</v>
      </c>
      <c r="N1163" s="6" t="str">
        <f>IFERROR(__xludf.DUMMYFUNCTION("""COMPUTED_VALUE"""),"")</f>
        <v/>
      </c>
      <c r="O1163" s="87" t="str">
        <f>IFERROR(__xludf.DUMMYFUNCTION("""COMPUTED_VALUE"""),"https://drive.google.com/drive/folders/10T2cTQHqEJZqE-st6uFKPoI?usp=share_link")</f>
        <v>https://drive.google.com/drive/folders/10T2cTQHqEJZqE-st6uFKPoI?usp=share_link</v>
      </c>
      <c r="P1163" s="6" t="str">
        <f>IFERROR(__xludf.DUMMYFUNCTION("""COMPUTED_VALUE"""),"Moroz Denis")</f>
        <v>Moroz Denis</v>
      </c>
      <c r="Q1163" s="6" t="str">
        <f>IFERROR(__xludf.DUMMYFUNCTION("""COMPUTED_VALUE"""),"MS")</f>
        <v>MS</v>
      </c>
      <c r="R1163" s="6">
        <f>IFERROR(__xludf.DUMMYFUNCTION("""COMPUTED_VALUE"""),0.0)</f>
        <v>0</v>
      </c>
      <c r="S1163" s="6" t="str">
        <f>IFERROR(__xludf.DUMMYFUNCTION("""COMPUTED_VALUE""")," ")</f>
        <v> </v>
      </c>
      <c r="T1163" s="6" t="str">
        <f>IFERROR(__xludf.DUMMYFUNCTION("""COMPUTED_VALUE"""),"")</f>
        <v/>
      </c>
      <c r="U1163" s="6" t="str">
        <f>IFERROR(__xludf.DUMMYFUNCTION("""COMPUTED_VALUE"""),"7")</f>
        <v>7</v>
      </c>
      <c r="V1163" s="6" t="str">
        <f>IFERROR(__xludf.DUMMYFUNCTION("""COMPUTED_VALUE"""),"English")</f>
        <v>English</v>
      </c>
      <c r="W1163" s="6" t="str">
        <f>IFERROR(__xludf.DUMMYFUNCTION("""COMPUTED_VALUE"""),"[]")</f>
        <v>[]</v>
      </c>
      <c r="X1163" s="6" t="str">
        <f>IFERROR(__xludf.DUMMYFUNCTION("""COMPUTED_VALUE"""),"Enrolled")</f>
        <v>Enrolled</v>
      </c>
    </row>
    <row r="1164">
      <c r="A1164" s="6" t="str">
        <f>IFERROR(__xludf.DUMMYFUNCTION("""COMPUTED_VALUE"""),"009-1384")</f>
        <v>009-1384</v>
      </c>
      <c r="B1164" s="6" t="str">
        <f>IFERROR(__xludf.DUMMYFUNCTION("""COMPUTED_VALUE"""),"9")</f>
        <v>9</v>
      </c>
      <c r="C1164" s="6" t="str">
        <f>IFERROR(__xludf.DUMMYFUNCTION("""COMPUTED_VALUE"""),"1384")</f>
        <v>1384</v>
      </c>
      <c r="D1164" s="6" t="str">
        <f>IFERROR(__xludf.DUMMYFUNCTION("""COMPUTED_VALUE"""),"Mykhailo")</f>
        <v>Mykhailo</v>
      </c>
      <c r="E1164" s="6" t="str">
        <f>IFERROR(__xludf.DUMMYFUNCTION("""COMPUTED_VALUE"""),"")</f>
        <v/>
      </c>
      <c r="F1164" s="6" t="str">
        <f>IFERROR(__xludf.DUMMYFUNCTION("""COMPUTED_VALUE"""),"Novosad")</f>
        <v>Novosad</v>
      </c>
      <c r="G1164" s="6" t="str">
        <f>IFERROR(__xludf.DUMMYFUNCTION("""COMPUTED_VALUE"""),"01/01/2008")</f>
        <v>01/01/2008</v>
      </c>
      <c r="H1164" s="6" t="str">
        <f>IFERROR(__xludf.DUMMYFUNCTION("""COMPUTED_VALUE"""),"Self Identify")</f>
        <v>Self Identify</v>
      </c>
      <c r="I1164" s="6" t="str">
        <f>IFERROR(__xludf.DUMMYFUNCTION("""COMPUTED_VALUE"""),"High School")</f>
        <v>High School</v>
      </c>
      <c r="J1164" s="6" t="str">
        <f>IFERROR(__xludf.DUMMYFUNCTION("""COMPUTED_VALUE"""),"11")</f>
        <v>11</v>
      </c>
      <c r="K1164" s="6" t="str">
        <f>IFERROR(__xludf.DUMMYFUNCTION("""COMPUTED_VALUE"""),"mykhailo.novosad@2hourlearning.com")</f>
        <v>mykhailo.novosad@2hourlearning.com</v>
      </c>
      <c r="L1164" s="6" t="str">
        <f>IFERROR(__xludf.DUMMYFUNCTION("""COMPUTED_VALUE"""),"Learn and Earn Poland")</f>
        <v>Learn and Earn Poland</v>
      </c>
      <c r="M1164" s="6" t="str">
        <f>IFERROR(__xludf.DUMMYFUNCTION("""COMPUTED_VALUE"""),"Poland ex-GTS")</f>
        <v>Poland ex-GTS</v>
      </c>
      <c r="N1164" s="6" t="str">
        <f>IFERROR(__xludf.DUMMYFUNCTION("""COMPUTED_VALUE"""),"")</f>
        <v/>
      </c>
      <c r="O1164" s="87" t="str">
        <f>IFERROR(__xludf.DUMMYFUNCTION("""COMPUTED_VALUE"""),"https://drive.google.com/drive/folders/10T2cTQHqEJZqE-st6uFKPoI?usp=share_link")</f>
        <v>https://drive.google.com/drive/folders/10T2cTQHqEJZqE-st6uFKPoI?usp=share_link</v>
      </c>
      <c r="P1164" s="6" t="str">
        <f>IFERROR(__xludf.DUMMYFUNCTION("""COMPUTED_VALUE"""),"Mykhailo Novosad")</f>
        <v>Mykhailo Novosad</v>
      </c>
      <c r="Q1164" s="6" t="str">
        <f>IFERROR(__xludf.DUMMYFUNCTION("""COMPUTED_VALUE"""),"HS")</f>
        <v>HS</v>
      </c>
      <c r="R1164" s="6">
        <f>IFERROR(__xludf.DUMMYFUNCTION("""COMPUTED_VALUE"""),0.0)</f>
        <v>0</v>
      </c>
      <c r="S1164" s="6" t="str">
        <f>IFERROR(__xludf.DUMMYFUNCTION("""COMPUTED_VALUE""")," ")</f>
        <v> </v>
      </c>
      <c r="T1164" s="6" t="str">
        <f>IFERROR(__xludf.DUMMYFUNCTION("""COMPUTED_VALUE"""),"")</f>
        <v/>
      </c>
      <c r="U1164" s="6" t="str">
        <f>IFERROR(__xludf.DUMMYFUNCTION("""COMPUTED_VALUE"""),"11")</f>
        <v>11</v>
      </c>
      <c r="V1164" s="6" t="str">
        <f>IFERROR(__xludf.DUMMYFUNCTION("""COMPUTED_VALUE"""),"English")</f>
        <v>English</v>
      </c>
      <c r="W1164" s="6" t="str">
        <f>IFERROR(__xludf.DUMMYFUNCTION("""COMPUTED_VALUE"""),"[]")</f>
        <v>[]</v>
      </c>
      <c r="X1164" s="6" t="str">
        <f>IFERROR(__xludf.DUMMYFUNCTION("""COMPUTED_VALUE"""),"Enrolled")</f>
        <v>Enrolled</v>
      </c>
    </row>
    <row r="1165">
      <c r="A1165" s="6" t="str">
        <f>IFERROR(__xludf.DUMMYFUNCTION("""COMPUTED_VALUE"""),"009-1385")</f>
        <v>009-1385</v>
      </c>
      <c r="B1165" s="6" t="str">
        <f>IFERROR(__xludf.DUMMYFUNCTION("""COMPUTED_VALUE"""),"9")</f>
        <v>9</v>
      </c>
      <c r="C1165" s="6" t="str">
        <f>IFERROR(__xludf.DUMMYFUNCTION("""COMPUTED_VALUE"""),"1385")</f>
        <v>1385</v>
      </c>
      <c r="D1165" s="6" t="str">
        <f>IFERROR(__xludf.DUMMYFUNCTION("""COMPUTED_VALUE"""),"Oleksandra")</f>
        <v>Oleksandra</v>
      </c>
      <c r="E1165" s="6" t="str">
        <f>IFERROR(__xludf.DUMMYFUNCTION("""COMPUTED_VALUE"""),"")</f>
        <v/>
      </c>
      <c r="F1165" s="6" t="str">
        <f>IFERROR(__xludf.DUMMYFUNCTION("""COMPUTED_VALUE"""),"Musatova")</f>
        <v>Musatova</v>
      </c>
      <c r="G1165" s="6" t="str">
        <f>IFERROR(__xludf.DUMMYFUNCTION("""COMPUTED_VALUE"""),"01/01/2010")</f>
        <v>01/01/2010</v>
      </c>
      <c r="H1165" s="6" t="str">
        <f>IFERROR(__xludf.DUMMYFUNCTION("""COMPUTED_VALUE"""),"Self Identify")</f>
        <v>Self Identify</v>
      </c>
      <c r="I1165" s="6" t="str">
        <f>IFERROR(__xludf.DUMMYFUNCTION("""COMPUTED_VALUE"""),"High School")</f>
        <v>High School</v>
      </c>
      <c r="J1165" s="6" t="str">
        <f>IFERROR(__xludf.DUMMYFUNCTION("""COMPUTED_VALUE"""),"9")</f>
        <v>9</v>
      </c>
      <c r="K1165" s="6" t="str">
        <f>IFERROR(__xludf.DUMMYFUNCTION("""COMPUTED_VALUE"""),"oleksandra.musatova@2hourlearning.com")</f>
        <v>oleksandra.musatova@2hourlearning.com</v>
      </c>
      <c r="L1165" s="6" t="str">
        <f>IFERROR(__xludf.DUMMYFUNCTION("""COMPUTED_VALUE"""),"Learn and Earn Poland")</f>
        <v>Learn and Earn Poland</v>
      </c>
      <c r="M1165" s="6" t="str">
        <f>IFERROR(__xludf.DUMMYFUNCTION("""COMPUTED_VALUE"""),"Poland ex-GTS")</f>
        <v>Poland ex-GTS</v>
      </c>
      <c r="N1165" s="6" t="str">
        <f>IFERROR(__xludf.DUMMYFUNCTION("""COMPUTED_VALUE"""),"")</f>
        <v/>
      </c>
      <c r="O1165" s="87" t="str">
        <f>IFERROR(__xludf.DUMMYFUNCTION("""COMPUTED_VALUE"""),"https://drive.google.com/drive/folders/10T2cTQHqEJZqE-st6uFKPoI?usp=share_link")</f>
        <v>https://drive.google.com/drive/folders/10T2cTQHqEJZqE-st6uFKPoI?usp=share_link</v>
      </c>
      <c r="P1165" s="6" t="str">
        <f>IFERROR(__xludf.DUMMYFUNCTION("""COMPUTED_VALUE"""),"Oleksandra Musatova")</f>
        <v>Oleksandra Musatova</v>
      </c>
      <c r="Q1165" s="6" t="str">
        <f>IFERROR(__xludf.DUMMYFUNCTION("""COMPUTED_VALUE"""),"HS")</f>
        <v>HS</v>
      </c>
      <c r="R1165" s="6">
        <f>IFERROR(__xludf.DUMMYFUNCTION("""COMPUTED_VALUE"""),0.0)</f>
        <v>0</v>
      </c>
      <c r="S1165" s="6" t="str">
        <f>IFERROR(__xludf.DUMMYFUNCTION("""COMPUTED_VALUE""")," ")</f>
        <v> </v>
      </c>
      <c r="T1165" s="6" t="str">
        <f>IFERROR(__xludf.DUMMYFUNCTION("""COMPUTED_VALUE"""),"")</f>
        <v/>
      </c>
      <c r="U1165" s="6" t="str">
        <f>IFERROR(__xludf.DUMMYFUNCTION("""COMPUTED_VALUE"""),"9")</f>
        <v>9</v>
      </c>
      <c r="V1165" s="6" t="str">
        <f>IFERROR(__xludf.DUMMYFUNCTION("""COMPUTED_VALUE"""),"English")</f>
        <v>English</v>
      </c>
      <c r="W1165" s="6" t="str">
        <f>IFERROR(__xludf.DUMMYFUNCTION("""COMPUTED_VALUE"""),"[]")</f>
        <v>[]</v>
      </c>
      <c r="X1165" s="6" t="str">
        <f>IFERROR(__xludf.DUMMYFUNCTION("""COMPUTED_VALUE"""),"Enrolled")</f>
        <v>Enrolled</v>
      </c>
    </row>
    <row r="1166">
      <c r="A1166" s="6" t="str">
        <f>IFERROR(__xludf.DUMMYFUNCTION("""COMPUTED_VALUE"""),"009-1386")</f>
        <v>009-1386</v>
      </c>
      <c r="B1166" s="6" t="str">
        <f>IFERROR(__xludf.DUMMYFUNCTION("""COMPUTED_VALUE"""),"9")</f>
        <v>9</v>
      </c>
      <c r="C1166" s="6" t="str">
        <f>IFERROR(__xludf.DUMMYFUNCTION("""COMPUTED_VALUE"""),"1386")</f>
        <v>1386</v>
      </c>
      <c r="D1166" s="6" t="str">
        <f>IFERROR(__xludf.DUMMYFUNCTION("""COMPUTED_VALUE"""),"Mykola")</f>
        <v>Mykola</v>
      </c>
      <c r="E1166" s="6" t="str">
        <f>IFERROR(__xludf.DUMMYFUNCTION("""COMPUTED_VALUE"""),"")</f>
        <v/>
      </c>
      <c r="F1166" s="6" t="str">
        <f>IFERROR(__xludf.DUMMYFUNCTION("""COMPUTED_VALUE"""),"Kuzmenko")</f>
        <v>Kuzmenko</v>
      </c>
      <c r="G1166" s="6" t="str">
        <f>IFERROR(__xludf.DUMMYFUNCTION("""COMPUTED_VALUE"""),"01/01/2016")</f>
        <v>01/01/2016</v>
      </c>
      <c r="H1166" s="6" t="str">
        <f>IFERROR(__xludf.DUMMYFUNCTION("""COMPUTED_VALUE"""),"Self Identify")</f>
        <v>Self Identify</v>
      </c>
      <c r="I1166" s="6" t="str">
        <f>IFERROR(__xludf.DUMMYFUNCTION("""COMPUTED_VALUE"""),"Level 1")</f>
        <v>Level 1</v>
      </c>
      <c r="J1166" s="6" t="str">
        <f>IFERROR(__xludf.DUMMYFUNCTION("""COMPUTED_VALUE"""),"3")</f>
        <v>3</v>
      </c>
      <c r="K1166" s="6" t="str">
        <f>IFERROR(__xludf.DUMMYFUNCTION("""COMPUTED_VALUE"""),"mykola.kuzmenko@2hourlearning.com")</f>
        <v>mykola.kuzmenko@2hourlearning.com</v>
      </c>
      <c r="L1166" s="6" t="str">
        <f>IFERROR(__xludf.DUMMYFUNCTION("""COMPUTED_VALUE"""),"Learn and Earn Poland")</f>
        <v>Learn and Earn Poland</v>
      </c>
      <c r="M1166" s="6" t="str">
        <f>IFERROR(__xludf.DUMMYFUNCTION("""COMPUTED_VALUE"""),"Poland ex-GTS")</f>
        <v>Poland ex-GTS</v>
      </c>
      <c r="N1166" s="6" t="str">
        <f>IFERROR(__xludf.DUMMYFUNCTION("""COMPUTED_VALUE"""),"")</f>
        <v/>
      </c>
      <c r="O1166" s="87" t="str">
        <f>IFERROR(__xludf.DUMMYFUNCTION("""COMPUTED_VALUE"""),"https://drive.google.com/drive/folders/10T2cTQHqEJZqE-st6uFKPoI?usp=share_link")</f>
        <v>https://drive.google.com/drive/folders/10T2cTQHqEJZqE-st6uFKPoI?usp=share_link</v>
      </c>
      <c r="P1166" s="6" t="str">
        <f>IFERROR(__xludf.DUMMYFUNCTION("""COMPUTED_VALUE"""),"Mykola Kuzmenko")</f>
        <v>Mykola Kuzmenko</v>
      </c>
      <c r="Q1166" s="6" t="str">
        <f>IFERROR(__xludf.DUMMYFUNCTION("""COMPUTED_VALUE"""),"L1")</f>
        <v>L1</v>
      </c>
      <c r="R1166" s="6">
        <f>IFERROR(__xludf.DUMMYFUNCTION("""COMPUTED_VALUE"""),1.0)</f>
        <v>1</v>
      </c>
      <c r="S1166" s="6" t="str">
        <f>IFERROR(__xludf.DUMMYFUNCTION("""COMPUTED_VALUE""")," ")</f>
        <v> </v>
      </c>
      <c r="T1166" s="6" t="str">
        <f>IFERROR(__xludf.DUMMYFUNCTION("""COMPUTED_VALUE"""),"")</f>
        <v/>
      </c>
      <c r="U1166" s="6" t="str">
        <f>IFERROR(__xludf.DUMMYFUNCTION("""COMPUTED_VALUE"""),"3")</f>
        <v>3</v>
      </c>
      <c r="V1166" s="6" t="str">
        <f>IFERROR(__xludf.DUMMYFUNCTION("""COMPUTED_VALUE"""),"English")</f>
        <v>English</v>
      </c>
      <c r="W1166" s="6" t="str">
        <f>IFERROR(__xludf.DUMMYFUNCTION("""COMPUTED_VALUE"""),"[]")</f>
        <v>[]</v>
      </c>
      <c r="X1166" s="6" t="str">
        <f>IFERROR(__xludf.DUMMYFUNCTION("""COMPUTED_VALUE"""),"Enrolled")</f>
        <v>Enrolled</v>
      </c>
    </row>
    <row r="1167">
      <c r="A1167" s="6" t="str">
        <f>IFERROR(__xludf.DUMMYFUNCTION("""COMPUTED_VALUE"""),"009-1387")</f>
        <v>009-1387</v>
      </c>
      <c r="B1167" s="6" t="str">
        <f>IFERROR(__xludf.DUMMYFUNCTION("""COMPUTED_VALUE"""),"9")</f>
        <v>9</v>
      </c>
      <c r="C1167" s="6" t="str">
        <f>IFERROR(__xludf.DUMMYFUNCTION("""COMPUTED_VALUE"""),"1387")</f>
        <v>1387</v>
      </c>
      <c r="D1167" s="6" t="str">
        <f>IFERROR(__xludf.DUMMYFUNCTION("""COMPUTED_VALUE"""),"Anna")</f>
        <v>Anna</v>
      </c>
      <c r="E1167" s="6" t="str">
        <f>IFERROR(__xludf.DUMMYFUNCTION("""COMPUTED_VALUE"""),"")</f>
        <v/>
      </c>
      <c r="F1167" s="6" t="str">
        <f>IFERROR(__xludf.DUMMYFUNCTION("""COMPUTED_VALUE"""),"Sharko")</f>
        <v>Sharko</v>
      </c>
      <c r="G1167" s="6" t="str">
        <f>IFERROR(__xludf.DUMMYFUNCTION("""COMPUTED_VALUE"""),"01/01/2009")</f>
        <v>01/01/2009</v>
      </c>
      <c r="H1167" s="6" t="str">
        <f>IFERROR(__xludf.DUMMYFUNCTION("""COMPUTED_VALUE"""),"Self Identify")</f>
        <v>Self Identify</v>
      </c>
      <c r="I1167" s="6" t="str">
        <f>IFERROR(__xludf.DUMMYFUNCTION("""COMPUTED_VALUE"""),"High School")</f>
        <v>High School</v>
      </c>
      <c r="J1167" s="6" t="str">
        <f>IFERROR(__xludf.DUMMYFUNCTION("""COMPUTED_VALUE"""),"10")</f>
        <v>10</v>
      </c>
      <c r="K1167" s="6" t="str">
        <f>IFERROR(__xludf.DUMMYFUNCTION("""COMPUTED_VALUE"""),"anna.sharko@2hourlearning.com")</f>
        <v>anna.sharko@2hourlearning.com</v>
      </c>
      <c r="L1167" s="6" t="str">
        <f>IFERROR(__xludf.DUMMYFUNCTION("""COMPUTED_VALUE"""),"Learn and Earn Poland")</f>
        <v>Learn and Earn Poland</v>
      </c>
      <c r="M1167" s="6" t="str">
        <f>IFERROR(__xludf.DUMMYFUNCTION("""COMPUTED_VALUE"""),"Poland ex-GTS")</f>
        <v>Poland ex-GTS</v>
      </c>
      <c r="N1167" s="6" t="str">
        <f>IFERROR(__xludf.DUMMYFUNCTION("""COMPUTED_VALUE"""),"")</f>
        <v/>
      </c>
      <c r="O1167" s="87" t="str">
        <f>IFERROR(__xludf.DUMMYFUNCTION("""COMPUTED_VALUE"""),"https://drive.google.com/drive/folders/10T2cTQHqEJZqE-st6uFKPoI?usp=share_link")</f>
        <v>https://drive.google.com/drive/folders/10T2cTQHqEJZqE-st6uFKPoI?usp=share_link</v>
      </c>
      <c r="P1167" s="6" t="str">
        <f>IFERROR(__xludf.DUMMYFUNCTION("""COMPUTED_VALUE"""),"Anna Sharko")</f>
        <v>Anna Sharko</v>
      </c>
      <c r="Q1167" s="6" t="str">
        <f>IFERROR(__xludf.DUMMYFUNCTION("""COMPUTED_VALUE"""),"HS")</f>
        <v>HS</v>
      </c>
      <c r="R1167" s="6">
        <f>IFERROR(__xludf.DUMMYFUNCTION("""COMPUTED_VALUE"""),0.0)</f>
        <v>0</v>
      </c>
      <c r="S1167" s="6" t="str">
        <f>IFERROR(__xludf.DUMMYFUNCTION("""COMPUTED_VALUE""")," ")</f>
        <v> </v>
      </c>
      <c r="T1167" s="6" t="str">
        <f>IFERROR(__xludf.DUMMYFUNCTION("""COMPUTED_VALUE"""),"")</f>
        <v/>
      </c>
      <c r="U1167" s="6" t="str">
        <f>IFERROR(__xludf.DUMMYFUNCTION("""COMPUTED_VALUE"""),"10")</f>
        <v>10</v>
      </c>
      <c r="V1167" s="6" t="str">
        <f>IFERROR(__xludf.DUMMYFUNCTION("""COMPUTED_VALUE"""),"English")</f>
        <v>English</v>
      </c>
      <c r="W1167" s="6" t="str">
        <f>IFERROR(__xludf.DUMMYFUNCTION("""COMPUTED_VALUE"""),"[]")</f>
        <v>[]</v>
      </c>
      <c r="X1167" s="6" t="str">
        <f>IFERROR(__xludf.DUMMYFUNCTION("""COMPUTED_VALUE"""),"Enrolled")</f>
        <v>Enrolled</v>
      </c>
    </row>
    <row r="1168">
      <c r="A1168" s="6" t="str">
        <f>IFERROR(__xludf.DUMMYFUNCTION("""COMPUTED_VALUE"""),"009-1388")</f>
        <v>009-1388</v>
      </c>
      <c r="B1168" s="6" t="str">
        <f>IFERROR(__xludf.DUMMYFUNCTION("""COMPUTED_VALUE"""),"9")</f>
        <v>9</v>
      </c>
      <c r="C1168" s="6" t="str">
        <f>IFERROR(__xludf.DUMMYFUNCTION("""COMPUTED_VALUE"""),"1388")</f>
        <v>1388</v>
      </c>
      <c r="D1168" s="6" t="str">
        <f>IFERROR(__xludf.DUMMYFUNCTION("""COMPUTED_VALUE"""),"Solomiia")</f>
        <v>Solomiia</v>
      </c>
      <c r="E1168" s="6" t="str">
        <f>IFERROR(__xludf.DUMMYFUNCTION("""COMPUTED_VALUE"""),"")</f>
        <v/>
      </c>
      <c r="F1168" s="6" t="str">
        <f>IFERROR(__xludf.DUMMYFUNCTION("""COMPUTED_VALUE"""),"Sharko")</f>
        <v>Sharko</v>
      </c>
      <c r="G1168" s="6" t="str">
        <f>IFERROR(__xludf.DUMMYFUNCTION("""COMPUTED_VALUE"""),"01/01/2012")</f>
        <v>01/01/2012</v>
      </c>
      <c r="H1168" s="6" t="str">
        <f>IFERROR(__xludf.DUMMYFUNCTION("""COMPUTED_VALUE"""),"Self Identify")</f>
        <v>Self Identify</v>
      </c>
      <c r="I1168" s="6" t="str">
        <f>IFERROR(__xludf.DUMMYFUNCTION("""COMPUTED_VALUE"""),"Middle School")</f>
        <v>Middle School</v>
      </c>
      <c r="J1168" s="6" t="str">
        <f>IFERROR(__xludf.DUMMYFUNCTION("""COMPUTED_VALUE"""),"7")</f>
        <v>7</v>
      </c>
      <c r="K1168" s="6" t="str">
        <f>IFERROR(__xludf.DUMMYFUNCTION("""COMPUTED_VALUE"""),"solomiia.sharko@2hourlearning.com")</f>
        <v>solomiia.sharko@2hourlearning.com</v>
      </c>
      <c r="L1168" s="6" t="str">
        <f>IFERROR(__xludf.DUMMYFUNCTION("""COMPUTED_VALUE"""),"Learn and Earn Poland")</f>
        <v>Learn and Earn Poland</v>
      </c>
      <c r="M1168" s="6" t="str">
        <f>IFERROR(__xludf.DUMMYFUNCTION("""COMPUTED_VALUE"""),"Poland ex-GTS")</f>
        <v>Poland ex-GTS</v>
      </c>
      <c r="N1168" s="6" t="str">
        <f>IFERROR(__xludf.DUMMYFUNCTION("""COMPUTED_VALUE"""),"")</f>
        <v/>
      </c>
      <c r="O1168" s="87" t="str">
        <f>IFERROR(__xludf.DUMMYFUNCTION("""COMPUTED_VALUE"""),"https://drive.google.com/drive/folders/10T2cTQHqEJZqE-st6uFKPoI?usp=share_link")</f>
        <v>https://drive.google.com/drive/folders/10T2cTQHqEJZqE-st6uFKPoI?usp=share_link</v>
      </c>
      <c r="P1168" s="6" t="str">
        <f>IFERROR(__xludf.DUMMYFUNCTION("""COMPUTED_VALUE"""),"Solomiia Sharko")</f>
        <v>Solomiia Sharko</v>
      </c>
      <c r="Q1168" s="6" t="str">
        <f>IFERROR(__xludf.DUMMYFUNCTION("""COMPUTED_VALUE"""),"MS")</f>
        <v>MS</v>
      </c>
      <c r="R1168" s="6">
        <f>IFERROR(__xludf.DUMMYFUNCTION("""COMPUTED_VALUE"""),0.0)</f>
        <v>0</v>
      </c>
      <c r="S1168" s="6" t="str">
        <f>IFERROR(__xludf.DUMMYFUNCTION("""COMPUTED_VALUE""")," ")</f>
        <v> </v>
      </c>
      <c r="T1168" s="6" t="str">
        <f>IFERROR(__xludf.DUMMYFUNCTION("""COMPUTED_VALUE"""),"")</f>
        <v/>
      </c>
      <c r="U1168" s="6" t="str">
        <f>IFERROR(__xludf.DUMMYFUNCTION("""COMPUTED_VALUE"""),"7")</f>
        <v>7</v>
      </c>
      <c r="V1168" s="6" t="str">
        <f>IFERROR(__xludf.DUMMYFUNCTION("""COMPUTED_VALUE"""),"English")</f>
        <v>English</v>
      </c>
      <c r="W1168" s="6" t="str">
        <f>IFERROR(__xludf.DUMMYFUNCTION("""COMPUTED_VALUE"""),"[]")</f>
        <v>[]</v>
      </c>
      <c r="X1168" s="6" t="str">
        <f>IFERROR(__xludf.DUMMYFUNCTION("""COMPUTED_VALUE"""),"Enrolled")</f>
        <v>Enrolled</v>
      </c>
    </row>
    <row r="1169">
      <c r="A1169" s="6" t="str">
        <f>IFERROR(__xludf.DUMMYFUNCTION("""COMPUTED_VALUE"""),"009-1389")</f>
        <v>009-1389</v>
      </c>
      <c r="B1169" s="6" t="str">
        <f>IFERROR(__xludf.DUMMYFUNCTION("""COMPUTED_VALUE"""),"9")</f>
        <v>9</v>
      </c>
      <c r="C1169" s="6" t="str">
        <f>IFERROR(__xludf.DUMMYFUNCTION("""COMPUTED_VALUE"""),"1389")</f>
        <v>1389</v>
      </c>
      <c r="D1169" s="6" t="str">
        <f>IFERROR(__xludf.DUMMYFUNCTION("""COMPUTED_VALUE"""),"Amastasiia")</f>
        <v>Amastasiia</v>
      </c>
      <c r="E1169" s="6" t="str">
        <f>IFERROR(__xludf.DUMMYFUNCTION("""COMPUTED_VALUE"""),"")</f>
        <v/>
      </c>
      <c r="F1169" s="6" t="str">
        <f>IFERROR(__xludf.DUMMYFUNCTION("""COMPUTED_VALUE"""),"Shevchenko")</f>
        <v>Shevchenko</v>
      </c>
      <c r="G1169" s="6" t="str">
        <f>IFERROR(__xludf.DUMMYFUNCTION("""COMPUTED_VALUE"""),"01/01/2010")</f>
        <v>01/01/2010</v>
      </c>
      <c r="H1169" s="6" t="str">
        <f>IFERROR(__xludf.DUMMYFUNCTION("""COMPUTED_VALUE"""),"Self Identify")</f>
        <v>Self Identify</v>
      </c>
      <c r="I1169" s="6" t="str">
        <f>IFERROR(__xludf.DUMMYFUNCTION("""COMPUTED_VALUE"""),"High School")</f>
        <v>High School</v>
      </c>
      <c r="J1169" s="6" t="str">
        <f>IFERROR(__xludf.DUMMYFUNCTION("""COMPUTED_VALUE"""),"9")</f>
        <v>9</v>
      </c>
      <c r="K1169" s="6" t="str">
        <f>IFERROR(__xludf.DUMMYFUNCTION("""COMPUTED_VALUE"""),"amastasiia.shevchenko@2hourlearning.com")</f>
        <v>amastasiia.shevchenko@2hourlearning.com</v>
      </c>
      <c r="L1169" s="6" t="str">
        <f>IFERROR(__xludf.DUMMYFUNCTION("""COMPUTED_VALUE"""),"Learn and Earn Poland")</f>
        <v>Learn and Earn Poland</v>
      </c>
      <c r="M1169" s="6" t="str">
        <f>IFERROR(__xludf.DUMMYFUNCTION("""COMPUTED_VALUE"""),"Poland ex-GTS")</f>
        <v>Poland ex-GTS</v>
      </c>
      <c r="N1169" s="6" t="str">
        <f>IFERROR(__xludf.DUMMYFUNCTION("""COMPUTED_VALUE"""),"")</f>
        <v/>
      </c>
      <c r="O1169" s="87" t="str">
        <f>IFERROR(__xludf.DUMMYFUNCTION("""COMPUTED_VALUE"""),"https://drive.google.com/drive/folders/10T2cTQHqEJZqE-st6uFKPoI?usp=share_link")</f>
        <v>https://drive.google.com/drive/folders/10T2cTQHqEJZqE-st6uFKPoI?usp=share_link</v>
      </c>
      <c r="P1169" s="6" t="str">
        <f>IFERROR(__xludf.DUMMYFUNCTION("""COMPUTED_VALUE"""),"Amastasiia Shevchenko")</f>
        <v>Amastasiia Shevchenko</v>
      </c>
      <c r="Q1169" s="6" t="str">
        <f>IFERROR(__xludf.DUMMYFUNCTION("""COMPUTED_VALUE"""),"HS")</f>
        <v>HS</v>
      </c>
      <c r="R1169" s="6">
        <f>IFERROR(__xludf.DUMMYFUNCTION("""COMPUTED_VALUE"""),0.0)</f>
        <v>0</v>
      </c>
      <c r="S1169" s="6" t="str">
        <f>IFERROR(__xludf.DUMMYFUNCTION("""COMPUTED_VALUE""")," ")</f>
        <v> </v>
      </c>
      <c r="T1169" s="6" t="str">
        <f>IFERROR(__xludf.DUMMYFUNCTION("""COMPUTED_VALUE"""),"")</f>
        <v/>
      </c>
      <c r="U1169" s="6" t="str">
        <f>IFERROR(__xludf.DUMMYFUNCTION("""COMPUTED_VALUE"""),"9")</f>
        <v>9</v>
      </c>
      <c r="V1169" s="6" t="str">
        <f>IFERROR(__xludf.DUMMYFUNCTION("""COMPUTED_VALUE"""),"English")</f>
        <v>English</v>
      </c>
      <c r="W1169" s="6" t="str">
        <f>IFERROR(__xludf.DUMMYFUNCTION("""COMPUTED_VALUE"""),"[]")</f>
        <v>[]</v>
      </c>
      <c r="X1169" s="6" t="str">
        <f>IFERROR(__xludf.DUMMYFUNCTION("""COMPUTED_VALUE"""),"Enrolled")</f>
        <v>Enrolled</v>
      </c>
    </row>
    <row r="1170">
      <c r="A1170" s="6" t="str">
        <f>IFERROR(__xludf.DUMMYFUNCTION("""COMPUTED_VALUE"""),"009-1390")</f>
        <v>009-1390</v>
      </c>
      <c r="B1170" s="6" t="str">
        <f>IFERROR(__xludf.DUMMYFUNCTION("""COMPUTED_VALUE"""),"9")</f>
        <v>9</v>
      </c>
      <c r="C1170" s="6" t="str">
        <f>IFERROR(__xludf.DUMMYFUNCTION("""COMPUTED_VALUE"""),"1390")</f>
        <v>1390</v>
      </c>
      <c r="D1170" s="6" t="str">
        <f>IFERROR(__xludf.DUMMYFUNCTION("""COMPUTED_VALUE"""),"Anastasiia")</f>
        <v>Anastasiia</v>
      </c>
      <c r="E1170" s="6" t="str">
        <f>IFERROR(__xludf.DUMMYFUNCTION("""COMPUTED_VALUE"""),"")</f>
        <v/>
      </c>
      <c r="F1170" s="6" t="str">
        <f>IFERROR(__xludf.DUMMYFUNCTION("""COMPUTED_VALUE"""),"Vozniuk")</f>
        <v>Vozniuk</v>
      </c>
      <c r="G1170" s="6" t="str">
        <f>IFERROR(__xludf.DUMMYFUNCTION("""COMPUTED_VALUE"""),"01/01/2011")</f>
        <v>01/01/2011</v>
      </c>
      <c r="H1170" s="6" t="str">
        <f>IFERROR(__xludf.DUMMYFUNCTION("""COMPUTED_VALUE"""),"Self Identify")</f>
        <v>Self Identify</v>
      </c>
      <c r="I1170" s="6" t="str">
        <f>IFERROR(__xludf.DUMMYFUNCTION("""COMPUTED_VALUE"""),"Middle School")</f>
        <v>Middle School</v>
      </c>
      <c r="J1170" s="6" t="str">
        <f>IFERROR(__xludf.DUMMYFUNCTION("""COMPUTED_VALUE"""),"8")</f>
        <v>8</v>
      </c>
      <c r="K1170" s="6" t="str">
        <f>IFERROR(__xludf.DUMMYFUNCTION("""COMPUTED_VALUE"""),"anastasiia.vozniuk@2hourlearning.com")</f>
        <v>anastasiia.vozniuk@2hourlearning.com</v>
      </c>
      <c r="L1170" s="6" t="str">
        <f>IFERROR(__xludf.DUMMYFUNCTION("""COMPUTED_VALUE"""),"Learn and Earn Poland")</f>
        <v>Learn and Earn Poland</v>
      </c>
      <c r="M1170" s="6" t="str">
        <f>IFERROR(__xludf.DUMMYFUNCTION("""COMPUTED_VALUE"""),"Poland ex-GTS")</f>
        <v>Poland ex-GTS</v>
      </c>
      <c r="N1170" s="6" t="str">
        <f>IFERROR(__xludf.DUMMYFUNCTION("""COMPUTED_VALUE"""),"")</f>
        <v/>
      </c>
      <c r="O1170" s="87" t="str">
        <f>IFERROR(__xludf.DUMMYFUNCTION("""COMPUTED_VALUE"""),"https://drive.google.com/drive/folders/10T2cTQHqEJZqE-st6uFKPoI?usp=share_link")</f>
        <v>https://drive.google.com/drive/folders/10T2cTQHqEJZqE-st6uFKPoI?usp=share_link</v>
      </c>
      <c r="P1170" s="6" t="str">
        <f>IFERROR(__xludf.DUMMYFUNCTION("""COMPUTED_VALUE"""),"Anastasiia Vozniuk")</f>
        <v>Anastasiia Vozniuk</v>
      </c>
      <c r="Q1170" s="6" t="str">
        <f>IFERROR(__xludf.DUMMYFUNCTION("""COMPUTED_VALUE"""),"MS")</f>
        <v>MS</v>
      </c>
      <c r="R1170" s="6">
        <f>IFERROR(__xludf.DUMMYFUNCTION("""COMPUTED_VALUE"""),0.0)</f>
        <v>0</v>
      </c>
      <c r="S1170" s="6" t="str">
        <f>IFERROR(__xludf.DUMMYFUNCTION("""COMPUTED_VALUE""")," ")</f>
        <v> </v>
      </c>
      <c r="T1170" s="6" t="str">
        <f>IFERROR(__xludf.DUMMYFUNCTION("""COMPUTED_VALUE"""),"")</f>
        <v/>
      </c>
      <c r="U1170" s="6" t="str">
        <f>IFERROR(__xludf.DUMMYFUNCTION("""COMPUTED_VALUE"""),"8")</f>
        <v>8</v>
      </c>
      <c r="V1170" s="6" t="str">
        <f>IFERROR(__xludf.DUMMYFUNCTION("""COMPUTED_VALUE"""),"English")</f>
        <v>English</v>
      </c>
      <c r="W1170" s="6" t="str">
        <f>IFERROR(__xludf.DUMMYFUNCTION("""COMPUTED_VALUE"""),"[]")</f>
        <v>[]</v>
      </c>
      <c r="X1170" s="6" t="str">
        <f>IFERROR(__xludf.DUMMYFUNCTION("""COMPUTED_VALUE"""),"Enrolled")</f>
        <v>Enrolled</v>
      </c>
    </row>
    <row r="1171">
      <c r="A1171" s="6" t="str">
        <f>IFERROR(__xludf.DUMMYFUNCTION("""COMPUTED_VALUE"""),"009-1391")</f>
        <v>009-1391</v>
      </c>
      <c r="B1171" s="6" t="str">
        <f>IFERROR(__xludf.DUMMYFUNCTION("""COMPUTED_VALUE"""),"9")</f>
        <v>9</v>
      </c>
      <c r="C1171" s="6" t="str">
        <f>IFERROR(__xludf.DUMMYFUNCTION("""COMPUTED_VALUE"""),"1391")</f>
        <v>1391</v>
      </c>
      <c r="D1171" s="6" t="str">
        <f>IFERROR(__xludf.DUMMYFUNCTION("""COMPUTED_VALUE"""),"Fatkullina")</f>
        <v>Fatkullina</v>
      </c>
      <c r="E1171" s="6" t="str">
        <f>IFERROR(__xludf.DUMMYFUNCTION("""COMPUTED_VALUE"""),"")</f>
        <v/>
      </c>
      <c r="F1171" s="6" t="str">
        <f>IFERROR(__xludf.DUMMYFUNCTION("""COMPUTED_VALUE"""),"Anastasiia")</f>
        <v>Anastasiia</v>
      </c>
      <c r="G1171" s="6" t="str">
        <f>IFERROR(__xludf.DUMMYFUNCTION("""COMPUTED_VALUE"""),"01/01/2008")</f>
        <v>01/01/2008</v>
      </c>
      <c r="H1171" s="6" t="str">
        <f>IFERROR(__xludf.DUMMYFUNCTION("""COMPUTED_VALUE"""),"Self Identify")</f>
        <v>Self Identify</v>
      </c>
      <c r="I1171" s="6" t="str">
        <f>IFERROR(__xludf.DUMMYFUNCTION("""COMPUTED_VALUE"""),"High School")</f>
        <v>High School</v>
      </c>
      <c r="J1171" s="6" t="str">
        <f>IFERROR(__xludf.DUMMYFUNCTION("""COMPUTED_VALUE"""),"11")</f>
        <v>11</v>
      </c>
      <c r="K1171" s="6" t="str">
        <f>IFERROR(__xludf.DUMMYFUNCTION("""COMPUTED_VALUE"""),"fatkullina.anastasiia@2hourlearning.com")</f>
        <v>fatkullina.anastasiia@2hourlearning.com</v>
      </c>
      <c r="L1171" s="6" t="str">
        <f>IFERROR(__xludf.DUMMYFUNCTION("""COMPUTED_VALUE"""),"Learn and Earn Poland")</f>
        <v>Learn and Earn Poland</v>
      </c>
      <c r="M1171" s="6" t="str">
        <f>IFERROR(__xludf.DUMMYFUNCTION("""COMPUTED_VALUE"""),"Poland ex-GTS")</f>
        <v>Poland ex-GTS</v>
      </c>
      <c r="N1171" s="6" t="str">
        <f>IFERROR(__xludf.DUMMYFUNCTION("""COMPUTED_VALUE"""),"")</f>
        <v/>
      </c>
      <c r="O1171" s="87" t="str">
        <f>IFERROR(__xludf.DUMMYFUNCTION("""COMPUTED_VALUE"""),"https://drive.google.com/drive/folders/10T2cTQHqEJZqE-st6uFKPoI?usp=share_link")</f>
        <v>https://drive.google.com/drive/folders/10T2cTQHqEJZqE-st6uFKPoI?usp=share_link</v>
      </c>
      <c r="P1171" s="6" t="str">
        <f>IFERROR(__xludf.DUMMYFUNCTION("""COMPUTED_VALUE"""),"Fatkullina Anastasiia")</f>
        <v>Fatkullina Anastasiia</v>
      </c>
      <c r="Q1171" s="6" t="str">
        <f>IFERROR(__xludf.DUMMYFUNCTION("""COMPUTED_VALUE"""),"HS")</f>
        <v>HS</v>
      </c>
      <c r="R1171" s="6">
        <f>IFERROR(__xludf.DUMMYFUNCTION("""COMPUTED_VALUE"""),0.0)</f>
        <v>0</v>
      </c>
      <c r="S1171" s="6" t="str">
        <f>IFERROR(__xludf.DUMMYFUNCTION("""COMPUTED_VALUE""")," ")</f>
        <v> </v>
      </c>
      <c r="T1171" s="6" t="str">
        <f>IFERROR(__xludf.DUMMYFUNCTION("""COMPUTED_VALUE"""),"")</f>
        <v/>
      </c>
      <c r="U1171" s="6" t="str">
        <f>IFERROR(__xludf.DUMMYFUNCTION("""COMPUTED_VALUE"""),"11")</f>
        <v>11</v>
      </c>
      <c r="V1171" s="6" t="str">
        <f>IFERROR(__xludf.DUMMYFUNCTION("""COMPUTED_VALUE"""),"English")</f>
        <v>English</v>
      </c>
      <c r="W1171" s="6" t="str">
        <f>IFERROR(__xludf.DUMMYFUNCTION("""COMPUTED_VALUE"""),"[]")</f>
        <v>[]</v>
      </c>
      <c r="X1171" s="6" t="str">
        <f>IFERROR(__xludf.DUMMYFUNCTION("""COMPUTED_VALUE"""),"Enrolled")</f>
        <v>Enrolled</v>
      </c>
    </row>
    <row r="1172">
      <c r="A1172" s="6" t="str">
        <f>IFERROR(__xludf.DUMMYFUNCTION("""COMPUTED_VALUE"""),"009-1392")</f>
        <v>009-1392</v>
      </c>
      <c r="B1172" s="6" t="str">
        <f>IFERROR(__xludf.DUMMYFUNCTION("""COMPUTED_VALUE"""),"9")</f>
        <v>9</v>
      </c>
      <c r="C1172" s="6" t="str">
        <f>IFERROR(__xludf.DUMMYFUNCTION("""COMPUTED_VALUE"""),"1392")</f>
        <v>1392</v>
      </c>
      <c r="D1172" s="6" t="str">
        <f>IFERROR(__xludf.DUMMYFUNCTION("""COMPUTED_VALUE"""),"Marharyta")</f>
        <v>Marharyta</v>
      </c>
      <c r="E1172" s="6" t="str">
        <f>IFERROR(__xludf.DUMMYFUNCTION("""COMPUTED_VALUE"""),"")</f>
        <v/>
      </c>
      <c r="F1172" s="6" t="str">
        <f>IFERROR(__xludf.DUMMYFUNCTION("""COMPUTED_VALUE"""),"Stozhok")</f>
        <v>Stozhok</v>
      </c>
      <c r="G1172" s="6" t="str">
        <f>IFERROR(__xludf.DUMMYFUNCTION("""COMPUTED_VALUE"""),"01/01/2009")</f>
        <v>01/01/2009</v>
      </c>
      <c r="H1172" s="6" t="str">
        <f>IFERROR(__xludf.DUMMYFUNCTION("""COMPUTED_VALUE"""),"Self Identify")</f>
        <v>Self Identify</v>
      </c>
      <c r="I1172" s="6" t="str">
        <f>IFERROR(__xludf.DUMMYFUNCTION("""COMPUTED_VALUE"""),"High School")</f>
        <v>High School</v>
      </c>
      <c r="J1172" s="6" t="str">
        <f>IFERROR(__xludf.DUMMYFUNCTION("""COMPUTED_VALUE"""),"10")</f>
        <v>10</v>
      </c>
      <c r="K1172" s="6" t="str">
        <f>IFERROR(__xludf.DUMMYFUNCTION("""COMPUTED_VALUE"""),"marharyta.stozhok@2hourlearning.com")</f>
        <v>marharyta.stozhok@2hourlearning.com</v>
      </c>
      <c r="L1172" s="6" t="str">
        <f>IFERROR(__xludf.DUMMYFUNCTION("""COMPUTED_VALUE"""),"Learn and Earn Poland")</f>
        <v>Learn and Earn Poland</v>
      </c>
      <c r="M1172" s="6" t="str">
        <f>IFERROR(__xludf.DUMMYFUNCTION("""COMPUTED_VALUE"""),"Poland ex-GTS")</f>
        <v>Poland ex-GTS</v>
      </c>
      <c r="N1172" s="6" t="str">
        <f>IFERROR(__xludf.DUMMYFUNCTION("""COMPUTED_VALUE"""),"")</f>
        <v/>
      </c>
      <c r="O1172" s="87" t="str">
        <f>IFERROR(__xludf.DUMMYFUNCTION("""COMPUTED_VALUE"""),"https://drive.google.com/drive/folders/10T2cTQHqEJZqE-st6uFKPoI?usp=share_link")</f>
        <v>https://drive.google.com/drive/folders/10T2cTQHqEJZqE-st6uFKPoI?usp=share_link</v>
      </c>
      <c r="P1172" s="6" t="str">
        <f>IFERROR(__xludf.DUMMYFUNCTION("""COMPUTED_VALUE"""),"Marharyta Stozhok")</f>
        <v>Marharyta Stozhok</v>
      </c>
      <c r="Q1172" s="6" t="str">
        <f>IFERROR(__xludf.DUMMYFUNCTION("""COMPUTED_VALUE"""),"HS")</f>
        <v>HS</v>
      </c>
      <c r="R1172" s="6">
        <f>IFERROR(__xludf.DUMMYFUNCTION("""COMPUTED_VALUE"""),0.0)</f>
        <v>0</v>
      </c>
      <c r="S1172" s="6" t="str">
        <f>IFERROR(__xludf.DUMMYFUNCTION("""COMPUTED_VALUE""")," ")</f>
        <v> </v>
      </c>
      <c r="T1172" s="6" t="str">
        <f>IFERROR(__xludf.DUMMYFUNCTION("""COMPUTED_VALUE"""),"")</f>
        <v/>
      </c>
      <c r="U1172" s="6" t="str">
        <f>IFERROR(__xludf.DUMMYFUNCTION("""COMPUTED_VALUE"""),"10")</f>
        <v>10</v>
      </c>
      <c r="V1172" s="6" t="str">
        <f>IFERROR(__xludf.DUMMYFUNCTION("""COMPUTED_VALUE"""),"English")</f>
        <v>English</v>
      </c>
      <c r="W1172" s="6" t="str">
        <f>IFERROR(__xludf.DUMMYFUNCTION("""COMPUTED_VALUE"""),"[]")</f>
        <v>[]</v>
      </c>
      <c r="X1172" s="6" t="str">
        <f>IFERROR(__xludf.DUMMYFUNCTION("""COMPUTED_VALUE"""),"Enrolled")</f>
        <v>Enrolled</v>
      </c>
    </row>
    <row r="1173">
      <c r="A1173" s="6" t="str">
        <f>IFERROR(__xludf.DUMMYFUNCTION("""COMPUTED_VALUE"""),"009-1393")</f>
        <v>009-1393</v>
      </c>
      <c r="B1173" s="6" t="str">
        <f>IFERROR(__xludf.DUMMYFUNCTION("""COMPUTED_VALUE"""),"9")</f>
        <v>9</v>
      </c>
      <c r="C1173" s="6" t="str">
        <f>IFERROR(__xludf.DUMMYFUNCTION("""COMPUTED_VALUE"""),"1393")</f>
        <v>1393</v>
      </c>
      <c r="D1173" s="6" t="str">
        <f>IFERROR(__xludf.DUMMYFUNCTION("""COMPUTED_VALUE"""),"Nataliia")</f>
        <v>Nataliia</v>
      </c>
      <c r="E1173" s="6" t="str">
        <f>IFERROR(__xludf.DUMMYFUNCTION("""COMPUTED_VALUE"""),"")</f>
        <v/>
      </c>
      <c r="F1173" s="6" t="str">
        <f>IFERROR(__xludf.DUMMYFUNCTION("""COMPUTED_VALUE"""),"Shpak")</f>
        <v>Shpak</v>
      </c>
      <c r="G1173" s="6" t="str">
        <f>IFERROR(__xludf.DUMMYFUNCTION("""COMPUTED_VALUE"""),"01/01/2009")</f>
        <v>01/01/2009</v>
      </c>
      <c r="H1173" s="6" t="str">
        <f>IFERROR(__xludf.DUMMYFUNCTION("""COMPUTED_VALUE"""),"Self Identify")</f>
        <v>Self Identify</v>
      </c>
      <c r="I1173" s="6" t="str">
        <f>IFERROR(__xludf.DUMMYFUNCTION("""COMPUTED_VALUE"""),"High School")</f>
        <v>High School</v>
      </c>
      <c r="J1173" s="6" t="str">
        <f>IFERROR(__xludf.DUMMYFUNCTION("""COMPUTED_VALUE"""),"10")</f>
        <v>10</v>
      </c>
      <c r="K1173" s="6" t="str">
        <f>IFERROR(__xludf.DUMMYFUNCTION("""COMPUTED_VALUE"""),"nataliia.shpak@2hourlearning.com")</f>
        <v>nataliia.shpak@2hourlearning.com</v>
      </c>
      <c r="L1173" s="6" t="str">
        <f>IFERROR(__xludf.DUMMYFUNCTION("""COMPUTED_VALUE"""),"Learn and Earn Poland")</f>
        <v>Learn and Earn Poland</v>
      </c>
      <c r="M1173" s="6" t="str">
        <f>IFERROR(__xludf.DUMMYFUNCTION("""COMPUTED_VALUE"""),"Poland ex-GTS")</f>
        <v>Poland ex-GTS</v>
      </c>
      <c r="N1173" s="6" t="str">
        <f>IFERROR(__xludf.DUMMYFUNCTION("""COMPUTED_VALUE"""),"")</f>
        <v/>
      </c>
      <c r="O1173" s="87" t="str">
        <f>IFERROR(__xludf.DUMMYFUNCTION("""COMPUTED_VALUE"""),"https://drive.google.com/drive/folders/10T2cTQHqEJZqE-st6uFKPoI?usp=share_link")</f>
        <v>https://drive.google.com/drive/folders/10T2cTQHqEJZqE-st6uFKPoI?usp=share_link</v>
      </c>
      <c r="P1173" s="6" t="str">
        <f>IFERROR(__xludf.DUMMYFUNCTION("""COMPUTED_VALUE"""),"Nataliia Shpak")</f>
        <v>Nataliia Shpak</v>
      </c>
      <c r="Q1173" s="6" t="str">
        <f>IFERROR(__xludf.DUMMYFUNCTION("""COMPUTED_VALUE"""),"HS")</f>
        <v>HS</v>
      </c>
      <c r="R1173" s="6">
        <f>IFERROR(__xludf.DUMMYFUNCTION("""COMPUTED_VALUE"""),0.0)</f>
        <v>0</v>
      </c>
      <c r="S1173" s="6" t="str">
        <f>IFERROR(__xludf.DUMMYFUNCTION("""COMPUTED_VALUE""")," ")</f>
        <v> </v>
      </c>
      <c r="T1173" s="6" t="str">
        <f>IFERROR(__xludf.DUMMYFUNCTION("""COMPUTED_VALUE"""),"")</f>
        <v/>
      </c>
      <c r="U1173" s="6" t="str">
        <f>IFERROR(__xludf.DUMMYFUNCTION("""COMPUTED_VALUE"""),"10")</f>
        <v>10</v>
      </c>
      <c r="V1173" s="6" t="str">
        <f>IFERROR(__xludf.DUMMYFUNCTION("""COMPUTED_VALUE"""),"English")</f>
        <v>English</v>
      </c>
      <c r="W1173" s="6" t="str">
        <f>IFERROR(__xludf.DUMMYFUNCTION("""COMPUTED_VALUE"""),"[]")</f>
        <v>[]</v>
      </c>
      <c r="X1173" s="6" t="str">
        <f>IFERROR(__xludf.DUMMYFUNCTION("""COMPUTED_VALUE"""),"Enrolled")</f>
        <v>Enrolled</v>
      </c>
    </row>
    <row r="1174">
      <c r="A1174" s="6" t="str">
        <f>IFERROR(__xludf.DUMMYFUNCTION("""COMPUTED_VALUE"""),"009-1394")</f>
        <v>009-1394</v>
      </c>
      <c r="B1174" s="6" t="str">
        <f>IFERROR(__xludf.DUMMYFUNCTION("""COMPUTED_VALUE"""),"9")</f>
        <v>9</v>
      </c>
      <c r="C1174" s="6" t="str">
        <f>IFERROR(__xludf.DUMMYFUNCTION("""COMPUTED_VALUE"""),"1394")</f>
        <v>1394</v>
      </c>
      <c r="D1174" s="6" t="str">
        <f>IFERROR(__xludf.DUMMYFUNCTION("""COMPUTED_VALUE"""),"Yuliia")</f>
        <v>Yuliia</v>
      </c>
      <c r="E1174" s="6" t="str">
        <f>IFERROR(__xludf.DUMMYFUNCTION("""COMPUTED_VALUE"""),"")</f>
        <v/>
      </c>
      <c r="F1174" s="6" t="str">
        <f>IFERROR(__xludf.DUMMYFUNCTION("""COMPUTED_VALUE"""),"Zinchenko")</f>
        <v>Zinchenko</v>
      </c>
      <c r="G1174" s="6" t="str">
        <f>IFERROR(__xludf.DUMMYFUNCTION("""COMPUTED_VALUE"""),"01/01/2014")</f>
        <v>01/01/2014</v>
      </c>
      <c r="H1174" s="6" t="str">
        <f>IFERROR(__xludf.DUMMYFUNCTION("""COMPUTED_VALUE"""),"Self Identify")</f>
        <v>Self Identify</v>
      </c>
      <c r="I1174" s="6" t="str">
        <f>IFERROR(__xludf.DUMMYFUNCTION("""COMPUTED_VALUE"""),"Level 2")</f>
        <v>Level 2</v>
      </c>
      <c r="J1174" s="6" t="str">
        <f>IFERROR(__xludf.DUMMYFUNCTION("""COMPUTED_VALUE"""),"5")</f>
        <v>5</v>
      </c>
      <c r="K1174" s="6" t="str">
        <f>IFERROR(__xludf.DUMMYFUNCTION("""COMPUTED_VALUE"""),"yuliia.zinchenko@2hourlearning.com")</f>
        <v>yuliia.zinchenko@2hourlearning.com</v>
      </c>
      <c r="L1174" s="6" t="str">
        <f>IFERROR(__xludf.DUMMYFUNCTION("""COMPUTED_VALUE"""),"Learn and Earn Poland")</f>
        <v>Learn and Earn Poland</v>
      </c>
      <c r="M1174" s="6" t="str">
        <f>IFERROR(__xludf.DUMMYFUNCTION("""COMPUTED_VALUE"""),"Poland ex-GTS")</f>
        <v>Poland ex-GTS</v>
      </c>
      <c r="N1174" s="6" t="str">
        <f>IFERROR(__xludf.DUMMYFUNCTION("""COMPUTED_VALUE"""),"")</f>
        <v/>
      </c>
      <c r="O1174" s="87" t="str">
        <f>IFERROR(__xludf.DUMMYFUNCTION("""COMPUTED_VALUE"""),"https://drive.google.com/drive/folders/10T2cTQHqEJZqE-st6uFKPoI?usp=share_link")</f>
        <v>https://drive.google.com/drive/folders/10T2cTQHqEJZqE-st6uFKPoI?usp=share_link</v>
      </c>
      <c r="P1174" s="6" t="str">
        <f>IFERROR(__xludf.DUMMYFUNCTION("""COMPUTED_VALUE"""),"Yuliia Zinchenko")</f>
        <v>Yuliia Zinchenko</v>
      </c>
      <c r="Q1174" s="6" t="str">
        <f>IFERROR(__xludf.DUMMYFUNCTION("""COMPUTED_VALUE"""),"L2")</f>
        <v>L2</v>
      </c>
      <c r="R1174" s="6">
        <f>IFERROR(__xludf.DUMMYFUNCTION("""COMPUTED_VALUE"""),2.0)</f>
        <v>2</v>
      </c>
      <c r="S1174" s="6" t="str">
        <f>IFERROR(__xludf.DUMMYFUNCTION("""COMPUTED_VALUE""")," ")</f>
        <v> </v>
      </c>
      <c r="T1174" s="6" t="str">
        <f>IFERROR(__xludf.DUMMYFUNCTION("""COMPUTED_VALUE"""),"")</f>
        <v/>
      </c>
      <c r="U1174" s="6" t="str">
        <f>IFERROR(__xludf.DUMMYFUNCTION("""COMPUTED_VALUE"""),"5")</f>
        <v>5</v>
      </c>
      <c r="V1174" s="6" t="str">
        <f>IFERROR(__xludf.DUMMYFUNCTION("""COMPUTED_VALUE"""),"English")</f>
        <v>English</v>
      </c>
      <c r="W1174" s="6" t="str">
        <f>IFERROR(__xludf.DUMMYFUNCTION("""COMPUTED_VALUE"""),"[]")</f>
        <v>[]</v>
      </c>
      <c r="X1174" s="6" t="str">
        <f>IFERROR(__xludf.DUMMYFUNCTION("""COMPUTED_VALUE"""),"Enrolled")</f>
        <v>Enrolled</v>
      </c>
    </row>
    <row r="1175">
      <c r="A1175" s="6" t="str">
        <f>IFERROR(__xludf.DUMMYFUNCTION("""COMPUTED_VALUE"""),"009-1395")</f>
        <v>009-1395</v>
      </c>
      <c r="B1175" s="6" t="str">
        <f>IFERROR(__xludf.DUMMYFUNCTION("""COMPUTED_VALUE"""),"9")</f>
        <v>9</v>
      </c>
      <c r="C1175" s="6" t="str">
        <f>IFERROR(__xludf.DUMMYFUNCTION("""COMPUTED_VALUE"""),"1395")</f>
        <v>1395</v>
      </c>
      <c r="D1175" s="6" t="str">
        <f>IFERROR(__xludf.DUMMYFUNCTION("""COMPUTED_VALUE"""),"Blazhaieva")</f>
        <v>Blazhaieva</v>
      </c>
      <c r="E1175" s="6" t="str">
        <f>IFERROR(__xludf.DUMMYFUNCTION("""COMPUTED_VALUE"""),"")</f>
        <v/>
      </c>
      <c r="F1175" s="6" t="str">
        <f>IFERROR(__xludf.DUMMYFUNCTION("""COMPUTED_VALUE"""),"Arina")</f>
        <v>Arina</v>
      </c>
      <c r="G1175" s="6" t="str">
        <f>IFERROR(__xludf.DUMMYFUNCTION("""COMPUTED_VALUE"""),"01/01/2012")</f>
        <v>01/01/2012</v>
      </c>
      <c r="H1175" s="6" t="str">
        <f>IFERROR(__xludf.DUMMYFUNCTION("""COMPUTED_VALUE"""),"Self Identify")</f>
        <v>Self Identify</v>
      </c>
      <c r="I1175" s="6" t="str">
        <f>IFERROR(__xludf.DUMMYFUNCTION("""COMPUTED_VALUE"""),"Middle School")</f>
        <v>Middle School</v>
      </c>
      <c r="J1175" s="6" t="str">
        <f>IFERROR(__xludf.DUMMYFUNCTION("""COMPUTED_VALUE"""),"7")</f>
        <v>7</v>
      </c>
      <c r="K1175" s="6" t="str">
        <f>IFERROR(__xludf.DUMMYFUNCTION("""COMPUTED_VALUE"""),"blazhaieva.arina@2hourlearning.com")</f>
        <v>blazhaieva.arina@2hourlearning.com</v>
      </c>
      <c r="L1175" s="6" t="str">
        <f>IFERROR(__xludf.DUMMYFUNCTION("""COMPUTED_VALUE"""),"Learn and Earn Poland")</f>
        <v>Learn and Earn Poland</v>
      </c>
      <c r="M1175" s="6" t="str">
        <f>IFERROR(__xludf.DUMMYFUNCTION("""COMPUTED_VALUE"""),"Poland ex-GTS")</f>
        <v>Poland ex-GTS</v>
      </c>
      <c r="N1175" s="6" t="str">
        <f>IFERROR(__xludf.DUMMYFUNCTION("""COMPUTED_VALUE"""),"")</f>
        <v/>
      </c>
      <c r="O1175" s="87" t="str">
        <f>IFERROR(__xludf.DUMMYFUNCTION("""COMPUTED_VALUE"""),"https://drive.google.com/drive/folders/10T2cTQHqEJZqE-st6uFKPoI?usp=share_link")</f>
        <v>https://drive.google.com/drive/folders/10T2cTQHqEJZqE-st6uFKPoI?usp=share_link</v>
      </c>
      <c r="P1175" s="6" t="str">
        <f>IFERROR(__xludf.DUMMYFUNCTION("""COMPUTED_VALUE"""),"Blazhaieva Arina")</f>
        <v>Blazhaieva Arina</v>
      </c>
      <c r="Q1175" s="6" t="str">
        <f>IFERROR(__xludf.DUMMYFUNCTION("""COMPUTED_VALUE"""),"MS")</f>
        <v>MS</v>
      </c>
      <c r="R1175" s="6">
        <f>IFERROR(__xludf.DUMMYFUNCTION("""COMPUTED_VALUE"""),0.0)</f>
        <v>0</v>
      </c>
      <c r="S1175" s="6" t="str">
        <f>IFERROR(__xludf.DUMMYFUNCTION("""COMPUTED_VALUE""")," ")</f>
        <v> </v>
      </c>
      <c r="T1175" s="6" t="str">
        <f>IFERROR(__xludf.DUMMYFUNCTION("""COMPUTED_VALUE"""),"")</f>
        <v/>
      </c>
      <c r="U1175" s="6" t="str">
        <f>IFERROR(__xludf.DUMMYFUNCTION("""COMPUTED_VALUE"""),"7")</f>
        <v>7</v>
      </c>
      <c r="V1175" s="6" t="str">
        <f>IFERROR(__xludf.DUMMYFUNCTION("""COMPUTED_VALUE"""),"English")</f>
        <v>English</v>
      </c>
      <c r="W1175" s="6" t="str">
        <f>IFERROR(__xludf.DUMMYFUNCTION("""COMPUTED_VALUE"""),"[]")</f>
        <v>[]</v>
      </c>
      <c r="X1175" s="6" t="str">
        <f>IFERROR(__xludf.DUMMYFUNCTION("""COMPUTED_VALUE"""),"Enrolled")</f>
        <v>Enrolled</v>
      </c>
    </row>
    <row r="1176">
      <c r="A1176" s="6" t="str">
        <f>IFERROR(__xludf.DUMMYFUNCTION("""COMPUTED_VALUE"""),"009-1396")</f>
        <v>009-1396</v>
      </c>
      <c r="B1176" s="6" t="str">
        <f>IFERROR(__xludf.DUMMYFUNCTION("""COMPUTED_VALUE"""),"9")</f>
        <v>9</v>
      </c>
      <c r="C1176" s="6" t="str">
        <f>IFERROR(__xludf.DUMMYFUNCTION("""COMPUTED_VALUE"""),"1396")</f>
        <v>1396</v>
      </c>
      <c r="D1176" s="6" t="str">
        <f>IFERROR(__xludf.DUMMYFUNCTION("""COMPUTED_VALUE"""),"Sarmasov")</f>
        <v>Sarmasov</v>
      </c>
      <c r="E1176" s="6" t="str">
        <f>IFERROR(__xludf.DUMMYFUNCTION("""COMPUTED_VALUE"""),"")</f>
        <v/>
      </c>
      <c r="F1176" s="6" t="str">
        <f>IFERROR(__xludf.DUMMYFUNCTION("""COMPUTED_VALUE"""),"Nazar")</f>
        <v>Nazar</v>
      </c>
      <c r="G1176" s="6" t="str">
        <f>IFERROR(__xludf.DUMMYFUNCTION("""COMPUTED_VALUE"""),"01/01/2010")</f>
        <v>01/01/2010</v>
      </c>
      <c r="H1176" s="6" t="str">
        <f>IFERROR(__xludf.DUMMYFUNCTION("""COMPUTED_VALUE"""),"Self Identify")</f>
        <v>Self Identify</v>
      </c>
      <c r="I1176" s="6" t="str">
        <f>IFERROR(__xludf.DUMMYFUNCTION("""COMPUTED_VALUE"""),"High School")</f>
        <v>High School</v>
      </c>
      <c r="J1176" s="6" t="str">
        <f>IFERROR(__xludf.DUMMYFUNCTION("""COMPUTED_VALUE"""),"9")</f>
        <v>9</v>
      </c>
      <c r="K1176" s="6" t="str">
        <f>IFERROR(__xludf.DUMMYFUNCTION("""COMPUTED_VALUE"""),"sarmasov.nazar@2hourlearning.com")</f>
        <v>sarmasov.nazar@2hourlearning.com</v>
      </c>
      <c r="L1176" s="6" t="str">
        <f>IFERROR(__xludf.DUMMYFUNCTION("""COMPUTED_VALUE"""),"Learn and Earn Poland")</f>
        <v>Learn and Earn Poland</v>
      </c>
      <c r="M1176" s="6" t="str">
        <f>IFERROR(__xludf.DUMMYFUNCTION("""COMPUTED_VALUE"""),"Poland ex-GTS")</f>
        <v>Poland ex-GTS</v>
      </c>
      <c r="N1176" s="6" t="str">
        <f>IFERROR(__xludf.DUMMYFUNCTION("""COMPUTED_VALUE"""),"")</f>
        <v/>
      </c>
      <c r="O1176" s="87" t="str">
        <f>IFERROR(__xludf.DUMMYFUNCTION("""COMPUTED_VALUE"""),"https://drive.google.com/drive/folders/10T2cTQHqEJZqE-st6uFKPoI?usp=share_link")</f>
        <v>https://drive.google.com/drive/folders/10T2cTQHqEJZqE-st6uFKPoI?usp=share_link</v>
      </c>
      <c r="P1176" s="6" t="str">
        <f>IFERROR(__xludf.DUMMYFUNCTION("""COMPUTED_VALUE"""),"Sarmasov Nazar")</f>
        <v>Sarmasov Nazar</v>
      </c>
      <c r="Q1176" s="6" t="str">
        <f>IFERROR(__xludf.DUMMYFUNCTION("""COMPUTED_VALUE"""),"HS")</f>
        <v>HS</v>
      </c>
      <c r="R1176" s="6">
        <f>IFERROR(__xludf.DUMMYFUNCTION("""COMPUTED_VALUE"""),0.0)</f>
        <v>0</v>
      </c>
      <c r="S1176" s="6" t="str">
        <f>IFERROR(__xludf.DUMMYFUNCTION("""COMPUTED_VALUE""")," ")</f>
        <v> </v>
      </c>
      <c r="T1176" s="6" t="str">
        <f>IFERROR(__xludf.DUMMYFUNCTION("""COMPUTED_VALUE"""),"")</f>
        <v/>
      </c>
      <c r="U1176" s="6" t="str">
        <f>IFERROR(__xludf.DUMMYFUNCTION("""COMPUTED_VALUE"""),"9")</f>
        <v>9</v>
      </c>
      <c r="V1176" s="6" t="str">
        <f>IFERROR(__xludf.DUMMYFUNCTION("""COMPUTED_VALUE"""),"English")</f>
        <v>English</v>
      </c>
      <c r="W1176" s="6" t="str">
        <f>IFERROR(__xludf.DUMMYFUNCTION("""COMPUTED_VALUE"""),"[]")</f>
        <v>[]</v>
      </c>
      <c r="X1176" s="6" t="str">
        <f>IFERROR(__xludf.DUMMYFUNCTION("""COMPUTED_VALUE"""),"Enrolled")</f>
        <v>Enrolled</v>
      </c>
    </row>
    <row r="1177">
      <c r="A1177" s="6" t="str">
        <f>IFERROR(__xludf.DUMMYFUNCTION("""COMPUTED_VALUE"""),"009-1397")</f>
        <v>009-1397</v>
      </c>
      <c r="B1177" s="6" t="str">
        <f>IFERROR(__xludf.DUMMYFUNCTION("""COMPUTED_VALUE"""),"9")</f>
        <v>9</v>
      </c>
      <c r="C1177" s="6" t="str">
        <f>IFERROR(__xludf.DUMMYFUNCTION("""COMPUTED_VALUE"""),"1397")</f>
        <v>1397</v>
      </c>
      <c r="D1177" s="6" t="str">
        <f>IFERROR(__xludf.DUMMYFUNCTION("""COMPUTED_VALUE"""),"Nikol")</f>
        <v>Nikol</v>
      </c>
      <c r="E1177" s="6" t="str">
        <f>IFERROR(__xludf.DUMMYFUNCTION("""COMPUTED_VALUE"""),"")</f>
        <v/>
      </c>
      <c r="F1177" s="6" t="str">
        <f>IFERROR(__xludf.DUMMYFUNCTION("""COMPUTED_VALUE"""),"Chupriianovska")</f>
        <v>Chupriianovska</v>
      </c>
      <c r="G1177" s="6" t="str">
        <f>IFERROR(__xludf.DUMMYFUNCTION("""COMPUTED_VALUE"""),"01/01/2016")</f>
        <v>01/01/2016</v>
      </c>
      <c r="H1177" s="6" t="str">
        <f>IFERROR(__xludf.DUMMYFUNCTION("""COMPUTED_VALUE"""),"Self Identify")</f>
        <v>Self Identify</v>
      </c>
      <c r="I1177" s="6" t="str">
        <f>IFERROR(__xludf.DUMMYFUNCTION("""COMPUTED_VALUE"""),"Level 1")</f>
        <v>Level 1</v>
      </c>
      <c r="J1177" s="6" t="str">
        <f>IFERROR(__xludf.DUMMYFUNCTION("""COMPUTED_VALUE"""),"3")</f>
        <v>3</v>
      </c>
      <c r="K1177" s="6" t="str">
        <f>IFERROR(__xludf.DUMMYFUNCTION("""COMPUTED_VALUE"""),"nikol.chupriianovska@2hourlearning.com")</f>
        <v>nikol.chupriianovska@2hourlearning.com</v>
      </c>
      <c r="L1177" s="6" t="str">
        <f>IFERROR(__xludf.DUMMYFUNCTION("""COMPUTED_VALUE"""),"Learn and Earn Poland")</f>
        <v>Learn and Earn Poland</v>
      </c>
      <c r="M1177" s="6" t="str">
        <f>IFERROR(__xludf.DUMMYFUNCTION("""COMPUTED_VALUE"""),"Poland ex-GTS")</f>
        <v>Poland ex-GTS</v>
      </c>
      <c r="N1177" s="6" t="str">
        <f>IFERROR(__xludf.DUMMYFUNCTION("""COMPUTED_VALUE"""),"")</f>
        <v/>
      </c>
      <c r="O1177" s="87" t="str">
        <f>IFERROR(__xludf.DUMMYFUNCTION("""COMPUTED_VALUE"""),"https://drive.google.com/drive/folders/10T2cTQHqEJZqE-st6uFKPoI?usp=share_link")</f>
        <v>https://drive.google.com/drive/folders/10T2cTQHqEJZqE-st6uFKPoI?usp=share_link</v>
      </c>
      <c r="P1177" s="6" t="str">
        <f>IFERROR(__xludf.DUMMYFUNCTION("""COMPUTED_VALUE"""),"Nikol Chupriianovska")</f>
        <v>Nikol Chupriianovska</v>
      </c>
      <c r="Q1177" s="6" t="str">
        <f>IFERROR(__xludf.DUMMYFUNCTION("""COMPUTED_VALUE"""),"L1")</f>
        <v>L1</v>
      </c>
      <c r="R1177" s="6">
        <f>IFERROR(__xludf.DUMMYFUNCTION("""COMPUTED_VALUE"""),1.0)</f>
        <v>1</v>
      </c>
      <c r="S1177" s="6" t="str">
        <f>IFERROR(__xludf.DUMMYFUNCTION("""COMPUTED_VALUE""")," ")</f>
        <v> </v>
      </c>
      <c r="T1177" s="6" t="str">
        <f>IFERROR(__xludf.DUMMYFUNCTION("""COMPUTED_VALUE"""),"")</f>
        <v/>
      </c>
      <c r="U1177" s="6" t="str">
        <f>IFERROR(__xludf.DUMMYFUNCTION("""COMPUTED_VALUE"""),"3")</f>
        <v>3</v>
      </c>
      <c r="V1177" s="6" t="str">
        <f>IFERROR(__xludf.DUMMYFUNCTION("""COMPUTED_VALUE"""),"English")</f>
        <v>English</v>
      </c>
      <c r="W1177" s="6" t="str">
        <f>IFERROR(__xludf.DUMMYFUNCTION("""COMPUTED_VALUE"""),"[]")</f>
        <v>[]</v>
      </c>
      <c r="X1177" s="6" t="str">
        <f>IFERROR(__xludf.DUMMYFUNCTION("""COMPUTED_VALUE"""),"Enrolled")</f>
        <v>Enrolled</v>
      </c>
    </row>
    <row r="1178">
      <c r="A1178" s="6" t="str">
        <f>IFERROR(__xludf.DUMMYFUNCTION("""COMPUTED_VALUE"""),"009-1398")</f>
        <v>009-1398</v>
      </c>
      <c r="B1178" s="6" t="str">
        <f>IFERROR(__xludf.DUMMYFUNCTION("""COMPUTED_VALUE"""),"9")</f>
        <v>9</v>
      </c>
      <c r="C1178" s="6" t="str">
        <f>IFERROR(__xludf.DUMMYFUNCTION("""COMPUTED_VALUE"""),"1398")</f>
        <v>1398</v>
      </c>
      <c r="D1178" s="6" t="str">
        <f>IFERROR(__xludf.DUMMYFUNCTION("""COMPUTED_VALUE"""),"Kysyliuk")</f>
        <v>Kysyliuk</v>
      </c>
      <c r="E1178" s="6" t="str">
        <f>IFERROR(__xludf.DUMMYFUNCTION("""COMPUTED_VALUE"""),"")</f>
        <v/>
      </c>
      <c r="F1178" s="6" t="str">
        <f>IFERROR(__xludf.DUMMYFUNCTION("""COMPUTED_VALUE"""),"Veronika")</f>
        <v>Veronika</v>
      </c>
      <c r="G1178" s="6" t="str">
        <f>IFERROR(__xludf.DUMMYFUNCTION("""COMPUTED_VALUE"""),"01/01/2012")</f>
        <v>01/01/2012</v>
      </c>
      <c r="H1178" s="6" t="str">
        <f>IFERROR(__xludf.DUMMYFUNCTION("""COMPUTED_VALUE"""),"Self Identify")</f>
        <v>Self Identify</v>
      </c>
      <c r="I1178" s="6" t="str">
        <f>IFERROR(__xludf.DUMMYFUNCTION("""COMPUTED_VALUE"""),"Middle School")</f>
        <v>Middle School</v>
      </c>
      <c r="J1178" s="6" t="str">
        <f>IFERROR(__xludf.DUMMYFUNCTION("""COMPUTED_VALUE"""),"7")</f>
        <v>7</v>
      </c>
      <c r="K1178" s="6" t="str">
        <f>IFERROR(__xludf.DUMMYFUNCTION("""COMPUTED_VALUE"""),"kysyliuk.veronika@2hourlearning.com")</f>
        <v>kysyliuk.veronika@2hourlearning.com</v>
      </c>
      <c r="L1178" s="6" t="str">
        <f>IFERROR(__xludf.DUMMYFUNCTION("""COMPUTED_VALUE"""),"Learn and Earn Poland")</f>
        <v>Learn and Earn Poland</v>
      </c>
      <c r="M1178" s="6" t="str">
        <f>IFERROR(__xludf.DUMMYFUNCTION("""COMPUTED_VALUE"""),"Poland ex-GTS")</f>
        <v>Poland ex-GTS</v>
      </c>
      <c r="N1178" s="6" t="str">
        <f>IFERROR(__xludf.DUMMYFUNCTION("""COMPUTED_VALUE"""),"")</f>
        <v/>
      </c>
      <c r="O1178" s="87" t="str">
        <f>IFERROR(__xludf.DUMMYFUNCTION("""COMPUTED_VALUE"""),"https://drive.google.com/drive/folders/10T2cTQHqEJZqE-st6uFKPoI?usp=share_link")</f>
        <v>https://drive.google.com/drive/folders/10T2cTQHqEJZqE-st6uFKPoI?usp=share_link</v>
      </c>
      <c r="P1178" s="6" t="str">
        <f>IFERROR(__xludf.DUMMYFUNCTION("""COMPUTED_VALUE"""),"Kysyliuk Veronika")</f>
        <v>Kysyliuk Veronika</v>
      </c>
      <c r="Q1178" s="6" t="str">
        <f>IFERROR(__xludf.DUMMYFUNCTION("""COMPUTED_VALUE"""),"MS")</f>
        <v>MS</v>
      </c>
      <c r="R1178" s="6">
        <f>IFERROR(__xludf.DUMMYFUNCTION("""COMPUTED_VALUE"""),0.0)</f>
        <v>0</v>
      </c>
      <c r="S1178" s="6" t="str">
        <f>IFERROR(__xludf.DUMMYFUNCTION("""COMPUTED_VALUE""")," ")</f>
        <v> </v>
      </c>
      <c r="T1178" s="6" t="str">
        <f>IFERROR(__xludf.DUMMYFUNCTION("""COMPUTED_VALUE"""),"")</f>
        <v/>
      </c>
      <c r="U1178" s="6" t="str">
        <f>IFERROR(__xludf.DUMMYFUNCTION("""COMPUTED_VALUE"""),"7")</f>
        <v>7</v>
      </c>
      <c r="V1178" s="6" t="str">
        <f>IFERROR(__xludf.DUMMYFUNCTION("""COMPUTED_VALUE"""),"English")</f>
        <v>English</v>
      </c>
      <c r="W1178" s="6" t="str">
        <f>IFERROR(__xludf.DUMMYFUNCTION("""COMPUTED_VALUE"""),"[]")</f>
        <v>[]</v>
      </c>
      <c r="X1178" s="6" t="str">
        <f>IFERROR(__xludf.DUMMYFUNCTION("""COMPUTED_VALUE"""),"Enrolled")</f>
        <v>Enrolled</v>
      </c>
    </row>
    <row r="1179">
      <c r="A1179" s="6" t="str">
        <f>IFERROR(__xludf.DUMMYFUNCTION("""COMPUTED_VALUE"""),"009-1399")</f>
        <v>009-1399</v>
      </c>
      <c r="B1179" s="6" t="str">
        <f>IFERROR(__xludf.DUMMYFUNCTION("""COMPUTED_VALUE"""),"9")</f>
        <v>9</v>
      </c>
      <c r="C1179" s="6" t="str">
        <f>IFERROR(__xludf.DUMMYFUNCTION("""COMPUTED_VALUE"""),"1399")</f>
        <v>1399</v>
      </c>
      <c r="D1179" s="6" t="str">
        <f>IFERROR(__xludf.DUMMYFUNCTION("""COMPUTED_VALUE"""),"Bohush")</f>
        <v>Bohush</v>
      </c>
      <c r="E1179" s="6" t="str">
        <f>IFERROR(__xludf.DUMMYFUNCTION("""COMPUTED_VALUE"""),"")</f>
        <v/>
      </c>
      <c r="F1179" s="6" t="str">
        <f>IFERROR(__xludf.DUMMYFUNCTION("""COMPUTED_VALUE"""),"Artem")</f>
        <v>Artem</v>
      </c>
      <c r="G1179" s="6" t="str">
        <f>IFERROR(__xludf.DUMMYFUNCTION("""COMPUTED_VALUE"""),"01/01/2010")</f>
        <v>01/01/2010</v>
      </c>
      <c r="H1179" s="6" t="str">
        <f>IFERROR(__xludf.DUMMYFUNCTION("""COMPUTED_VALUE"""),"Self Identify")</f>
        <v>Self Identify</v>
      </c>
      <c r="I1179" s="6" t="str">
        <f>IFERROR(__xludf.DUMMYFUNCTION("""COMPUTED_VALUE"""),"High School")</f>
        <v>High School</v>
      </c>
      <c r="J1179" s="6" t="str">
        <f>IFERROR(__xludf.DUMMYFUNCTION("""COMPUTED_VALUE"""),"9")</f>
        <v>9</v>
      </c>
      <c r="K1179" s="6" t="str">
        <f>IFERROR(__xludf.DUMMYFUNCTION("""COMPUTED_VALUE"""),"bohush.artem@2hourlearning.com")</f>
        <v>bohush.artem@2hourlearning.com</v>
      </c>
      <c r="L1179" s="6" t="str">
        <f>IFERROR(__xludf.DUMMYFUNCTION("""COMPUTED_VALUE"""),"Learn and Earn Poland")</f>
        <v>Learn and Earn Poland</v>
      </c>
      <c r="M1179" s="6" t="str">
        <f>IFERROR(__xludf.DUMMYFUNCTION("""COMPUTED_VALUE"""),"Poland ex-GTS")</f>
        <v>Poland ex-GTS</v>
      </c>
      <c r="N1179" s="6" t="str">
        <f>IFERROR(__xludf.DUMMYFUNCTION("""COMPUTED_VALUE"""),"")</f>
        <v/>
      </c>
      <c r="O1179" s="87" t="str">
        <f>IFERROR(__xludf.DUMMYFUNCTION("""COMPUTED_VALUE"""),"https://drive.google.com/drive/folders/10T2cTQHqEJZqE-st6uFKPoI?usp=share_link")</f>
        <v>https://drive.google.com/drive/folders/10T2cTQHqEJZqE-st6uFKPoI?usp=share_link</v>
      </c>
      <c r="P1179" s="6" t="str">
        <f>IFERROR(__xludf.DUMMYFUNCTION("""COMPUTED_VALUE"""),"Bohush Artem")</f>
        <v>Bohush Artem</v>
      </c>
      <c r="Q1179" s="6" t="str">
        <f>IFERROR(__xludf.DUMMYFUNCTION("""COMPUTED_VALUE"""),"HS")</f>
        <v>HS</v>
      </c>
      <c r="R1179" s="6">
        <f>IFERROR(__xludf.DUMMYFUNCTION("""COMPUTED_VALUE"""),0.0)</f>
        <v>0</v>
      </c>
      <c r="S1179" s="6" t="str">
        <f>IFERROR(__xludf.DUMMYFUNCTION("""COMPUTED_VALUE""")," ")</f>
        <v> </v>
      </c>
      <c r="T1179" s="6" t="str">
        <f>IFERROR(__xludf.DUMMYFUNCTION("""COMPUTED_VALUE"""),"")</f>
        <v/>
      </c>
      <c r="U1179" s="6" t="str">
        <f>IFERROR(__xludf.DUMMYFUNCTION("""COMPUTED_VALUE"""),"9")</f>
        <v>9</v>
      </c>
      <c r="V1179" s="6" t="str">
        <f>IFERROR(__xludf.DUMMYFUNCTION("""COMPUTED_VALUE"""),"English")</f>
        <v>English</v>
      </c>
      <c r="W1179" s="6" t="str">
        <f>IFERROR(__xludf.DUMMYFUNCTION("""COMPUTED_VALUE"""),"[]")</f>
        <v>[]</v>
      </c>
      <c r="X1179" s="6" t="str">
        <f>IFERROR(__xludf.DUMMYFUNCTION("""COMPUTED_VALUE"""),"Enrolled")</f>
        <v>Enrolled</v>
      </c>
    </row>
    <row r="1180">
      <c r="A1180" s="6" t="str">
        <f>IFERROR(__xludf.DUMMYFUNCTION("""COMPUTED_VALUE"""),"009-1400")</f>
        <v>009-1400</v>
      </c>
      <c r="B1180" s="6" t="str">
        <f>IFERROR(__xludf.DUMMYFUNCTION("""COMPUTED_VALUE"""),"9")</f>
        <v>9</v>
      </c>
      <c r="C1180" s="6" t="str">
        <f>IFERROR(__xludf.DUMMYFUNCTION("""COMPUTED_VALUE"""),"1400")</f>
        <v>1400</v>
      </c>
      <c r="D1180" s="6" t="str">
        <f>IFERROR(__xludf.DUMMYFUNCTION("""COMPUTED_VALUE"""),"Anhelina")</f>
        <v>Anhelina</v>
      </c>
      <c r="E1180" s="6" t="str">
        <f>IFERROR(__xludf.DUMMYFUNCTION("""COMPUTED_VALUE"""),"")</f>
        <v/>
      </c>
      <c r="F1180" s="6" t="str">
        <f>IFERROR(__xludf.DUMMYFUNCTION("""COMPUTED_VALUE"""),"Nakonechna")</f>
        <v>Nakonechna</v>
      </c>
      <c r="G1180" s="6" t="str">
        <f>IFERROR(__xludf.DUMMYFUNCTION("""COMPUTED_VALUE"""),"01/01/2014")</f>
        <v>01/01/2014</v>
      </c>
      <c r="H1180" s="6" t="str">
        <f>IFERROR(__xludf.DUMMYFUNCTION("""COMPUTED_VALUE"""),"Self Identify")</f>
        <v>Self Identify</v>
      </c>
      <c r="I1180" s="6" t="str">
        <f>IFERROR(__xludf.DUMMYFUNCTION("""COMPUTED_VALUE"""),"Level 2")</f>
        <v>Level 2</v>
      </c>
      <c r="J1180" s="6" t="str">
        <f>IFERROR(__xludf.DUMMYFUNCTION("""COMPUTED_VALUE"""),"5")</f>
        <v>5</v>
      </c>
      <c r="K1180" s="6" t="str">
        <f>IFERROR(__xludf.DUMMYFUNCTION("""COMPUTED_VALUE"""),"anhelina.nakonechna@2hourlearning.com")</f>
        <v>anhelina.nakonechna@2hourlearning.com</v>
      </c>
      <c r="L1180" s="6" t="str">
        <f>IFERROR(__xludf.DUMMYFUNCTION("""COMPUTED_VALUE"""),"Learn and Earn Poland")</f>
        <v>Learn and Earn Poland</v>
      </c>
      <c r="M1180" s="6" t="str">
        <f>IFERROR(__xludf.DUMMYFUNCTION("""COMPUTED_VALUE"""),"Poland ex-GTS")</f>
        <v>Poland ex-GTS</v>
      </c>
      <c r="N1180" s="6" t="str">
        <f>IFERROR(__xludf.DUMMYFUNCTION("""COMPUTED_VALUE"""),"")</f>
        <v/>
      </c>
      <c r="O1180" s="87" t="str">
        <f>IFERROR(__xludf.DUMMYFUNCTION("""COMPUTED_VALUE"""),"https://drive.google.com/drive/folders/10T2cTQHqEJZqE-st6uFKPoI?usp=share_link")</f>
        <v>https://drive.google.com/drive/folders/10T2cTQHqEJZqE-st6uFKPoI?usp=share_link</v>
      </c>
      <c r="P1180" s="6" t="str">
        <f>IFERROR(__xludf.DUMMYFUNCTION("""COMPUTED_VALUE"""),"Anhelina Nakonechna")</f>
        <v>Anhelina Nakonechna</v>
      </c>
      <c r="Q1180" s="6" t="str">
        <f>IFERROR(__xludf.DUMMYFUNCTION("""COMPUTED_VALUE"""),"L2")</f>
        <v>L2</v>
      </c>
      <c r="R1180" s="6">
        <f>IFERROR(__xludf.DUMMYFUNCTION("""COMPUTED_VALUE"""),2.0)</f>
        <v>2</v>
      </c>
      <c r="S1180" s="6" t="str">
        <f>IFERROR(__xludf.DUMMYFUNCTION("""COMPUTED_VALUE""")," ")</f>
        <v> </v>
      </c>
      <c r="T1180" s="6" t="str">
        <f>IFERROR(__xludf.DUMMYFUNCTION("""COMPUTED_VALUE"""),"")</f>
        <v/>
      </c>
      <c r="U1180" s="6" t="str">
        <f>IFERROR(__xludf.DUMMYFUNCTION("""COMPUTED_VALUE"""),"5")</f>
        <v>5</v>
      </c>
      <c r="V1180" s="6" t="str">
        <f>IFERROR(__xludf.DUMMYFUNCTION("""COMPUTED_VALUE"""),"English")</f>
        <v>English</v>
      </c>
      <c r="W1180" s="6" t="str">
        <f>IFERROR(__xludf.DUMMYFUNCTION("""COMPUTED_VALUE"""),"[]")</f>
        <v>[]</v>
      </c>
      <c r="X1180" s="6" t="str">
        <f>IFERROR(__xludf.DUMMYFUNCTION("""COMPUTED_VALUE"""),"Enrolled")</f>
        <v>Enrolled</v>
      </c>
    </row>
    <row r="1181">
      <c r="A1181" s="6" t="str">
        <f>IFERROR(__xludf.DUMMYFUNCTION("""COMPUTED_VALUE"""),"009-1401")</f>
        <v>009-1401</v>
      </c>
      <c r="B1181" s="6" t="str">
        <f>IFERROR(__xludf.DUMMYFUNCTION("""COMPUTED_VALUE"""),"9")</f>
        <v>9</v>
      </c>
      <c r="C1181" s="6" t="str">
        <f>IFERROR(__xludf.DUMMYFUNCTION("""COMPUTED_VALUE"""),"1401")</f>
        <v>1401</v>
      </c>
      <c r="D1181" s="6" t="str">
        <f>IFERROR(__xludf.DUMMYFUNCTION("""COMPUTED_VALUE"""),"Iryna")</f>
        <v>Iryna</v>
      </c>
      <c r="E1181" s="6" t="str">
        <f>IFERROR(__xludf.DUMMYFUNCTION("""COMPUTED_VALUE"""),"")</f>
        <v/>
      </c>
      <c r="F1181" s="6" t="str">
        <f>IFERROR(__xludf.DUMMYFUNCTION("""COMPUTED_VALUE"""),"Shpak")</f>
        <v>Shpak</v>
      </c>
      <c r="G1181" s="6" t="str">
        <f>IFERROR(__xludf.DUMMYFUNCTION("""COMPUTED_VALUE"""),"01/01/2012")</f>
        <v>01/01/2012</v>
      </c>
      <c r="H1181" s="6" t="str">
        <f>IFERROR(__xludf.DUMMYFUNCTION("""COMPUTED_VALUE"""),"Self Identify")</f>
        <v>Self Identify</v>
      </c>
      <c r="I1181" s="6" t="str">
        <f>IFERROR(__xludf.DUMMYFUNCTION("""COMPUTED_VALUE"""),"Middle School")</f>
        <v>Middle School</v>
      </c>
      <c r="J1181" s="6" t="str">
        <f>IFERROR(__xludf.DUMMYFUNCTION("""COMPUTED_VALUE"""),"7")</f>
        <v>7</v>
      </c>
      <c r="K1181" s="6" t="str">
        <f>IFERROR(__xludf.DUMMYFUNCTION("""COMPUTED_VALUE"""),"iryna.shpak@2hourlearning.com")</f>
        <v>iryna.shpak@2hourlearning.com</v>
      </c>
      <c r="L1181" s="6" t="str">
        <f>IFERROR(__xludf.DUMMYFUNCTION("""COMPUTED_VALUE"""),"Learn and Earn Poland")</f>
        <v>Learn and Earn Poland</v>
      </c>
      <c r="M1181" s="6" t="str">
        <f>IFERROR(__xludf.DUMMYFUNCTION("""COMPUTED_VALUE"""),"Poland ex-GTS")</f>
        <v>Poland ex-GTS</v>
      </c>
      <c r="N1181" s="6" t="str">
        <f>IFERROR(__xludf.DUMMYFUNCTION("""COMPUTED_VALUE"""),"")</f>
        <v/>
      </c>
      <c r="O1181" s="87" t="str">
        <f>IFERROR(__xludf.DUMMYFUNCTION("""COMPUTED_VALUE"""),"https://drive.google.com/drive/folders/10T2cTQHqEJZqE-st6uFKPoI?usp=share_link")</f>
        <v>https://drive.google.com/drive/folders/10T2cTQHqEJZqE-st6uFKPoI?usp=share_link</v>
      </c>
      <c r="P1181" s="6" t="str">
        <f>IFERROR(__xludf.DUMMYFUNCTION("""COMPUTED_VALUE"""),"Iryna Shpak")</f>
        <v>Iryna Shpak</v>
      </c>
      <c r="Q1181" s="6" t="str">
        <f>IFERROR(__xludf.DUMMYFUNCTION("""COMPUTED_VALUE"""),"MS")</f>
        <v>MS</v>
      </c>
      <c r="R1181" s="6">
        <f>IFERROR(__xludf.DUMMYFUNCTION("""COMPUTED_VALUE"""),0.0)</f>
        <v>0</v>
      </c>
      <c r="S1181" s="6" t="str">
        <f>IFERROR(__xludf.DUMMYFUNCTION("""COMPUTED_VALUE""")," ")</f>
        <v> </v>
      </c>
      <c r="T1181" s="6" t="str">
        <f>IFERROR(__xludf.DUMMYFUNCTION("""COMPUTED_VALUE"""),"")</f>
        <v/>
      </c>
      <c r="U1181" s="6" t="str">
        <f>IFERROR(__xludf.DUMMYFUNCTION("""COMPUTED_VALUE"""),"7")</f>
        <v>7</v>
      </c>
      <c r="V1181" s="6" t="str">
        <f>IFERROR(__xludf.DUMMYFUNCTION("""COMPUTED_VALUE"""),"English")</f>
        <v>English</v>
      </c>
      <c r="W1181" s="6" t="str">
        <f>IFERROR(__xludf.DUMMYFUNCTION("""COMPUTED_VALUE"""),"[]")</f>
        <v>[]</v>
      </c>
      <c r="X1181" s="6" t="str">
        <f>IFERROR(__xludf.DUMMYFUNCTION("""COMPUTED_VALUE"""),"Enrolled")</f>
        <v>Enrolled</v>
      </c>
    </row>
    <row r="1182">
      <c r="A1182" s="6" t="str">
        <f>IFERROR(__xludf.DUMMYFUNCTION("""COMPUTED_VALUE"""),"009-1402")</f>
        <v>009-1402</v>
      </c>
      <c r="B1182" s="6" t="str">
        <f>IFERROR(__xludf.DUMMYFUNCTION("""COMPUTED_VALUE"""),"9")</f>
        <v>9</v>
      </c>
      <c r="C1182" s="6" t="str">
        <f>IFERROR(__xludf.DUMMYFUNCTION("""COMPUTED_VALUE"""),"1402")</f>
        <v>1402</v>
      </c>
      <c r="D1182" s="6" t="str">
        <f>IFERROR(__xludf.DUMMYFUNCTION("""COMPUTED_VALUE"""),"oleksandra")</f>
        <v>oleksandra</v>
      </c>
      <c r="E1182" s="6" t="str">
        <f>IFERROR(__xludf.DUMMYFUNCTION("""COMPUTED_VALUE"""),"")</f>
        <v/>
      </c>
      <c r="F1182" s="6" t="str">
        <f>IFERROR(__xludf.DUMMYFUNCTION("""COMPUTED_VALUE"""),"zhuk")</f>
        <v>zhuk</v>
      </c>
      <c r="G1182" s="6" t="str">
        <f>IFERROR(__xludf.DUMMYFUNCTION("""COMPUTED_VALUE"""),"01/01/2011")</f>
        <v>01/01/2011</v>
      </c>
      <c r="H1182" s="6" t="str">
        <f>IFERROR(__xludf.DUMMYFUNCTION("""COMPUTED_VALUE"""),"Self Identify")</f>
        <v>Self Identify</v>
      </c>
      <c r="I1182" s="6" t="str">
        <f>IFERROR(__xludf.DUMMYFUNCTION("""COMPUTED_VALUE"""),"Middle School")</f>
        <v>Middle School</v>
      </c>
      <c r="J1182" s="6" t="str">
        <f>IFERROR(__xludf.DUMMYFUNCTION("""COMPUTED_VALUE"""),"8")</f>
        <v>8</v>
      </c>
      <c r="K1182" s="6" t="str">
        <f>IFERROR(__xludf.DUMMYFUNCTION("""COMPUTED_VALUE"""),"oleksandra.zhuk@2hourlearning.com")</f>
        <v>oleksandra.zhuk@2hourlearning.com</v>
      </c>
      <c r="L1182" s="6" t="str">
        <f>IFERROR(__xludf.DUMMYFUNCTION("""COMPUTED_VALUE"""),"Learn and Earn Poland")</f>
        <v>Learn and Earn Poland</v>
      </c>
      <c r="M1182" s="6" t="str">
        <f>IFERROR(__xludf.DUMMYFUNCTION("""COMPUTED_VALUE"""),"Poland ex-GTS")</f>
        <v>Poland ex-GTS</v>
      </c>
      <c r="N1182" s="6" t="str">
        <f>IFERROR(__xludf.DUMMYFUNCTION("""COMPUTED_VALUE"""),"")</f>
        <v/>
      </c>
      <c r="O1182" s="87" t="str">
        <f>IFERROR(__xludf.DUMMYFUNCTION("""COMPUTED_VALUE"""),"https://drive.google.com/drive/folders/10T2cTQHqEJZqE-st6uFKPoI?usp=share_link")</f>
        <v>https://drive.google.com/drive/folders/10T2cTQHqEJZqE-st6uFKPoI?usp=share_link</v>
      </c>
      <c r="P1182" s="6" t="str">
        <f>IFERROR(__xludf.DUMMYFUNCTION("""COMPUTED_VALUE"""),"oleksandra zhuk")</f>
        <v>oleksandra zhuk</v>
      </c>
      <c r="Q1182" s="6" t="str">
        <f>IFERROR(__xludf.DUMMYFUNCTION("""COMPUTED_VALUE"""),"MS")</f>
        <v>MS</v>
      </c>
      <c r="R1182" s="6">
        <f>IFERROR(__xludf.DUMMYFUNCTION("""COMPUTED_VALUE"""),0.0)</f>
        <v>0</v>
      </c>
      <c r="S1182" s="6" t="str">
        <f>IFERROR(__xludf.DUMMYFUNCTION("""COMPUTED_VALUE""")," ")</f>
        <v> </v>
      </c>
      <c r="T1182" s="6" t="str">
        <f>IFERROR(__xludf.DUMMYFUNCTION("""COMPUTED_VALUE"""),"")</f>
        <v/>
      </c>
      <c r="U1182" s="6" t="str">
        <f>IFERROR(__xludf.DUMMYFUNCTION("""COMPUTED_VALUE"""),"8")</f>
        <v>8</v>
      </c>
      <c r="V1182" s="6" t="str">
        <f>IFERROR(__xludf.DUMMYFUNCTION("""COMPUTED_VALUE"""),"English")</f>
        <v>English</v>
      </c>
      <c r="W1182" s="6" t="str">
        <f>IFERROR(__xludf.DUMMYFUNCTION("""COMPUTED_VALUE"""),"[]")</f>
        <v>[]</v>
      </c>
      <c r="X1182" s="6" t="str">
        <f>IFERROR(__xludf.DUMMYFUNCTION("""COMPUTED_VALUE"""),"Enrolled")</f>
        <v>Enrolled</v>
      </c>
    </row>
    <row r="1183">
      <c r="A1183" s="6" t="str">
        <f>IFERROR(__xludf.DUMMYFUNCTION("""COMPUTED_VALUE"""),"009-1403")</f>
        <v>009-1403</v>
      </c>
      <c r="B1183" s="6" t="str">
        <f>IFERROR(__xludf.DUMMYFUNCTION("""COMPUTED_VALUE"""),"9")</f>
        <v>9</v>
      </c>
      <c r="C1183" s="6" t="str">
        <f>IFERROR(__xludf.DUMMYFUNCTION("""COMPUTED_VALUE"""),"1403")</f>
        <v>1403</v>
      </c>
      <c r="D1183" s="6" t="str">
        <f>IFERROR(__xludf.DUMMYFUNCTION("""COMPUTED_VALUE"""),"Matvii")</f>
        <v>Matvii</v>
      </c>
      <c r="E1183" s="6" t="str">
        <f>IFERROR(__xludf.DUMMYFUNCTION("""COMPUTED_VALUE"""),"")</f>
        <v/>
      </c>
      <c r="F1183" s="6" t="str">
        <f>IFERROR(__xludf.DUMMYFUNCTION("""COMPUTED_VALUE"""),"Kolesnikov")</f>
        <v>Kolesnikov</v>
      </c>
      <c r="G1183" s="6" t="str">
        <f>IFERROR(__xludf.DUMMYFUNCTION("""COMPUTED_VALUE"""),"01/01/2014")</f>
        <v>01/01/2014</v>
      </c>
      <c r="H1183" s="6" t="str">
        <f>IFERROR(__xludf.DUMMYFUNCTION("""COMPUTED_VALUE"""),"Self Identify")</f>
        <v>Self Identify</v>
      </c>
      <c r="I1183" s="6" t="str">
        <f>IFERROR(__xludf.DUMMYFUNCTION("""COMPUTED_VALUE"""),"Level 2")</f>
        <v>Level 2</v>
      </c>
      <c r="J1183" s="6" t="str">
        <f>IFERROR(__xludf.DUMMYFUNCTION("""COMPUTED_VALUE"""),"5")</f>
        <v>5</v>
      </c>
      <c r="K1183" s="6" t="str">
        <f>IFERROR(__xludf.DUMMYFUNCTION("""COMPUTED_VALUE"""),"matvii.kolesnikov@2hourlearning.com")</f>
        <v>matvii.kolesnikov@2hourlearning.com</v>
      </c>
      <c r="L1183" s="6" t="str">
        <f>IFERROR(__xludf.DUMMYFUNCTION("""COMPUTED_VALUE"""),"Learn and Earn Poland")</f>
        <v>Learn and Earn Poland</v>
      </c>
      <c r="M1183" s="6" t="str">
        <f>IFERROR(__xludf.DUMMYFUNCTION("""COMPUTED_VALUE"""),"Poland ex-GTS")</f>
        <v>Poland ex-GTS</v>
      </c>
      <c r="N1183" s="6" t="str">
        <f>IFERROR(__xludf.DUMMYFUNCTION("""COMPUTED_VALUE"""),"")</f>
        <v/>
      </c>
      <c r="O1183" s="87" t="str">
        <f>IFERROR(__xludf.DUMMYFUNCTION("""COMPUTED_VALUE"""),"https://drive.google.com/drive/folders/10T2cTQHqEJZqE-st6uFKPoI?usp=share_link")</f>
        <v>https://drive.google.com/drive/folders/10T2cTQHqEJZqE-st6uFKPoI?usp=share_link</v>
      </c>
      <c r="P1183" s="6" t="str">
        <f>IFERROR(__xludf.DUMMYFUNCTION("""COMPUTED_VALUE"""),"Matvii Kolesnikov")</f>
        <v>Matvii Kolesnikov</v>
      </c>
      <c r="Q1183" s="6" t="str">
        <f>IFERROR(__xludf.DUMMYFUNCTION("""COMPUTED_VALUE"""),"L2")</f>
        <v>L2</v>
      </c>
      <c r="R1183" s="6">
        <f>IFERROR(__xludf.DUMMYFUNCTION("""COMPUTED_VALUE"""),2.0)</f>
        <v>2</v>
      </c>
      <c r="S1183" s="6" t="str">
        <f>IFERROR(__xludf.DUMMYFUNCTION("""COMPUTED_VALUE""")," ")</f>
        <v> </v>
      </c>
      <c r="T1183" s="6" t="str">
        <f>IFERROR(__xludf.DUMMYFUNCTION("""COMPUTED_VALUE"""),"")</f>
        <v/>
      </c>
      <c r="U1183" s="6" t="str">
        <f>IFERROR(__xludf.DUMMYFUNCTION("""COMPUTED_VALUE"""),"5")</f>
        <v>5</v>
      </c>
      <c r="V1183" s="6" t="str">
        <f>IFERROR(__xludf.DUMMYFUNCTION("""COMPUTED_VALUE"""),"English")</f>
        <v>English</v>
      </c>
      <c r="W1183" s="6" t="str">
        <f>IFERROR(__xludf.DUMMYFUNCTION("""COMPUTED_VALUE"""),"[]")</f>
        <v>[]</v>
      </c>
      <c r="X1183" s="6" t="str">
        <f>IFERROR(__xludf.DUMMYFUNCTION("""COMPUTED_VALUE"""),"Enrolled")</f>
        <v>Enrolled</v>
      </c>
    </row>
    <row r="1184">
      <c r="A1184" s="6" t="str">
        <f>IFERROR(__xludf.DUMMYFUNCTION("""COMPUTED_VALUE"""),"009-1404")</f>
        <v>009-1404</v>
      </c>
      <c r="B1184" s="6" t="str">
        <f>IFERROR(__xludf.DUMMYFUNCTION("""COMPUTED_VALUE"""),"9")</f>
        <v>9</v>
      </c>
      <c r="C1184" s="6" t="str">
        <f>IFERROR(__xludf.DUMMYFUNCTION("""COMPUTED_VALUE"""),"1404")</f>
        <v>1404</v>
      </c>
      <c r="D1184" s="6" t="str">
        <f>IFERROR(__xludf.DUMMYFUNCTION("""COMPUTED_VALUE"""),"Dariia")</f>
        <v>Dariia</v>
      </c>
      <c r="E1184" s="6" t="str">
        <f>IFERROR(__xludf.DUMMYFUNCTION("""COMPUTED_VALUE"""),"")</f>
        <v/>
      </c>
      <c r="F1184" s="6" t="str">
        <f>IFERROR(__xludf.DUMMYFUNCTION("""COMPUTED_VALUE"""),"Mitkina")</f>
        <v>Mitkina</v>
      </c>
      <c r="G1184" s="6" t="str">
        <f>IFERROR(__xludf.DUMMYFUNCTION("""COMPUTED_VALUE"""),"01/01/2015")</f>
        <v>01/01/2015</v>
      </c>
      <c r="H1184" s="6" t="str">
        <f>IFERROR(__xludf.DUMMYFUNCTION("""COMPUTED_VALUE"""),"Self Identify")</f>
        <v>Self Identify</v>
      </c>
      <c r="I1184" s="6" t="str">
        <f>IFERROR(__xludf.DUMMYFUNCTION("""COMPUTED_VALUE"""),"Level 2")</f>
        <v>Level 2</v>
      </c>
      <c r="J1184" s="6" t="str">
        <f>IFERROR(__xludf.DUMMYFUNCTION("""COMPUTED_VALUE"""),"4")</f>
        <v>4</v>
      </c>
      <c r="K1184" s="6" t="str">
        <f>IFERROR(__xludf.DUMMYFUNCTION("""COMPUTED_VALUE"""),"dariia.mitkina@2hourlearning.com")</f>
        <v>dariia.mitkina@2hourlearning.com</v>
      </c>
      <c r="L1184" s="6" t="str">
        <f>IFERROR(__xludf.DUMMYFUNCTION("""COMPUTED_VALUE"""),"Learn and Earn Poland")</f>
        <v>Learn and Earn Poland</v>
      </c>
      <c r="M1184" s="6" t="str">
        <f>IFERROR(__xludf.DUMMYFUNCTION("""COMPUTED_VALUE"""),"Poland ex-GTS")</f>
        <v>Poland ex-GTS</v>
      </c>
      <c r="N1184" s="6" t="str">
        <f>IFERROR(__xludf.DUMMYFUNCTION("""COMPUTED_VALUE"""),"")</f>
        <v/>
      </c>
      <c r="O1184" s="87" t="str">
        <f>IFERROR(__xludf.DUMMYFUNCTION("""COMPUTED_VALUE"""),"https://drive.google.com/drive/folders/10T2cTQHqEJZqE-st6uFKPoI?usp=share_link")</f>
        <v>https://drive.google.com/drive/folders/10T2cTQHqEJZqE-st6uFKPoI?usp=share_link</v>
      </c>
      <c r="P1184" s="6" t="str">
        <f>IFERROR(__xludf.DUMMYFUNCTION("""COMPUTED_VALUE"""),"Dariia Mitkina")</f>
        <v>Dariia Mitkina</v>
      </c>
      <c r="Q1184" s="6" t="str">
        <f>IFERROR(__xludf.DUMMYFUNCTION("""COMPUTED_VALUE"""),"L2")</f>
        <v>L2</v>
      </c>
      <c r="R1184" s="6">
        <f>IFERROR(__xludf.DUMMYFUNCTION("""COMPUTED_VALUE"""),2.0)</f>
        <v>2</v>
      </c>
      <c r="S1184" s="6" t="str">
        <f>IFERROR(__xludf.DUMMYFUNCTION("""COMPUTED_VALUE""")," ")</f>
        <v> </v>
      </c>
      <c r="T1184" s="6" t="str">
        <f>IFERROR(__xludf.DUMMYFUNCTION("""COMPUTED_VALUE"""),"")</f>
        <v/>
      </c>
      <c r="U1184" s="6" t="str">
        <f>IFERROR(__xludf.DUMMYFUNCTION("""COMPUTED_VALUE"""),"4")</f>
        <v>4</v>
      </c>
      <c r="V1184" s="6" t="str">
        <f>IFERROR(__xludf.DUMMYFUNCTION("""COMPUTED_VALUE"""),"English")</f>
        <v>English</v>
      </c>
      <c r="W1184" s="6" t="str">
        <f>IFERROR(__xludf.DUMMYFUNCTION("""COMPUTED_VALUE"""),"[]")</f>
        <v>[]</v>
      </c>
      <c r="X1184" s="6" t="str">
        <f>IFERROR(__xludf.DUMMYFUNCTION("""COMPUTED_VALUE"""),"Enrolled")</f>
        <v>Enrolled</v>
      </c>
    </row>
    <row r="1185">
      <c r="A1185" s="6" t="str">
        <f>IFERROR(__xludf.DUMMYFUNCTION("""COMPUTED_VALUE"""),"009-1405")</f>
        <v>009-1405</v>
      </c>
      <c r="B1185" s="6" t="str">
        <f>IFERROR(__xludf.DUMMYFUNCTION("""COMPUTED_VALUE"""),"9")</f>
        <v>9</v>
      </c>
      <c r="C1185" s="6" t="str">
        <f>IFERROR(__xludf.DUMMYFUNCTION("""COMPUTED_VALUE"""),"1405")</f>
        <v>1405</v>
      </c>
      <c r="D1185" s="6" t="str">
        <f>IFERROR(__xludf.DUMMYFUNCTION("""COMPUTED_VALUE"""),"Illia")</f>
        <v>Illia</v>
      </c>
      <c r="E1185" s="6" t="str">
        <f>IFERROR(__xludf.DUMMYFUNCTION("""COMPUTED_VALUE"""),"")</f>
        <v/>
      </c>
      <c r="F1185" s="6" t="str">
        <f>IFERROR(__xludf.DUMMYFUNCTION("""COMPUTED_VALUE"""),"Pidmohylnyi")</f>
        <v>Pidmohylnyi</v>
      </c>
      <c r="G1185" s="6" t="str">
        <f>IFERROR(__xludf.DUMMYFUNCTION("""COMPUTED_VALUE"""),"01/01/2016")</f>
        <v>01/01/2016</v>
      </c>
      <c r="H1185" s="6" t="str">
        <f>IFERROR(__xludf.DUMMYFUNCTION("""COMPUTED_VALUE"""),"Self Identify")</f>
        <v>Self Identify</v>
      </c>
      <c r="I1185" s="6" t="str">
        <f>IFERROR(__xludf.DUMMYFUNCTION("""COMPUTED_VALUE"""),"Level 1")</f>
        <v>Level 1</v>
      </c>
      <c r="J1185" s="6" t="str">
        <f>IFERROR(__xludf.DUMMYFUNCTION("""COMPUTED_VALUE"""),"3")</f>
        <v>3</v>
      </c>
      <c r="K1185" s="6" t="str">
        <f>IFERROR(__xludf.DUMMYFUNCTION("""COMPUTED_VALUE"""),"illia.pidmohylnyi@2hourlearning.com")</f>
        <v>illia.pidmohylnyi@2hourlearning.com</v>
      </c>
      <c r="L1185" s="6" t="str">
        <f>IFERROR(__xludf.DUMMYFUNCTION("""COMPUTED_VALUE"""),"Learn and Earn Poland")</f>
        <v>Learn and Earn Poland</v>
      </c>
      <c r="M1185" s="6" t="str">
        <f>IFERROR(__xludf.DUMMYFUNCTION("""COMPUTED_VALUE"""),"Poland ex-GTS")</f>
        <v>Poland ex-GTS</v>
      </c>
      <c r="N1185" s="6" t="str">
        <f>IFERROR(__xludf.DUMMYFUNCTION("""COMPUTED_VALUE"""),"")</f>
        <v/>
      </c>
      <c r="O1185" s="87" t="str">
        <f>IFERROR(__xludf.DUMMYFUNCTION("""COMPUTED_VALUE"""),"https://drive.google.com/drive/folders/10T2cTQHqEJZqE-st6uFKPoI?usp=share_link")</f>
        <v>https://drive.google.com/drive/folders/10T2cTQHqEJZqE-st6uFKPoI?usp=share_link</v>
      </c>
      <c r="P1185" s="6" t="str">
        <f>IFERROR(__xludf.DUMMYFUNCTION("""COMPUTED_VALUE"""),"Illia Pidmohylnyi")</f>
        <v>Illia Pidmohylnyi</v>
      </c>
      <c r="Q1185" s="6" t="str">
        <f>IFERROR(__xludf.DUMMYFUNCTION("""COMPUTED_VALUE"""),"L1")</f>
        <v>L1</v>
      </c>
      <c r="R1185" s="6">
        <f>IFERROR(__xludf.DUMMYFUNCTION("""COMPUTED_VALUE"""),1.0)</f>
        <v>1</v>
      </c>
      <c r="S1185" s="6" t="str">
        <f>IFERROR(__xludf.DUMMYFUNCTION("""COMPUTED_VALUE""")," ")</f>
        <v> </v>
      </c>
      <c r="T1185" s="6" t="str">
        <f>IFERROR(__xludf.DUMMYFUNCTION("""COMPUTED_VALUE"""),"")</f>
        <v/>
      </c>
      <c r="U1185" s="6" t="str">
        <f>IFERROR(__xludf.DUMMYFUNCTION("""COMPUTED_VALUE"""),"3")</f>
        <v>3</v>
      </c>
      <c r="V1185" s="6" t="str">
        <f>IFERROR(__xludf.DUMMYFUNCTION("""COMPUTED_VALUE"""),"English")</f>
        <v>English</v>
      </c>
      <c r="W1185" s="6" t="str">
        <f>IFERROR(__xludf.DUMMYFUNCTION("""COMPUTED_VALUE"""),"[]")</f>
        <v>[]</v>
      </c>
      <c r="X1185" s="6" t="str">
        <f>IFERROR(__xludf.DUMMYFUNCTION("""COMPUTED_VALUE"""),"Enrolled")</f>
        <v>Enrolled</v>
      </c>
    </row>
    <row r="1186">
      <c r="A1186" s="6" t="str">
        <f>IFERROR(__xludf.DUMMYFUNCTION("""COMPUTED_VALUE"""),"009-1406")</f>
        <v>009-1406</v>
      </c>
      <c r="B1186" s="6" t="str">
        <f>IFERROR(__xludf.DUMMYFUNCTION("""COMPUTED_VALUE"""),"9")</f>
        <v>9</v>
      </c>
      <c r="C1186" s="6" t="str">
        <f>IFERROR(__xludf.DUMMYFUNCTION("""COMPUTED_VALUE"""),"1406")</f>
        <v>1406</v>
      </c>
      <c r="D1186" s="6" t="str">
        <f>IFERROR(__xludf.DUMMYFUNCTION("""COMPUTED_VALUE"""),"Emiliia")</f>
        <v>Emiliia</v>
      </c>
      <c r="E1186" s="6" t="str">
        <f>IFERROR(__xludf.DUMMYFUNCTION("""COMPUTED_VALUE"""),"")</f>
        <v/>
      </c>
      <c r="F1186" s="6" t="str">
        <f>IFERROR(__xludf.DUMMYFUNCTION("""COMPUTED_VALUE"""),"Pidmohylna")</f>
        <v>Pidmohylna</v>
      </c>
      <c r="G1186" s="6" t="str">
        <f>IFERROR(__xludf.DUMMYFUNCTION("""COMPUTED_VALUE"""),"01/01/2018")</f>
        <v>01/01/2018</v>
      </c>
      <c r="H1186" s="6" t="str">
        <f>IFERROR(__xludf.DUMMYFUNCTION("""COMPUTED_VALUE"""),"Self Identify")</f>
        <v>Self Identify</v>
      </c>
      <c r="I1186" s="6" t="str">
        <f>IFERROR(__xludf.DUMMYFUNCTION("""COMPUTED_VALUE"""),"Learning Lab")</f>
        <v>Learning Lab</v>
      </c>
      <c r="J1186" s="6" t="str">
        <f>IFERROR(__xludf.DUMMYFUNCTION("""COMPUTED_VALUE"""),"1")</f>
        <v>1</v>
      </c>
      <c r="K1186" s="6" t="str">
        <f>IFERROR(__xludf.DUMMYFUNCTION("""COMPUTED_VALUE"""),"emiliia.pidmohylna@2hourlearning.com")</f>
        <v>emiliia.pidmohylna@2hourlearning.com</v>
      </c>
      <c r="L1186" s="6" t="str">
        <f>IFERROR(__xludf.DUMMYFUNCTION("""COMPUTED_VALUE"""),"Learn and Earn Poland")</f>
        <v>Learn and Earn Poland</v>
      </c>
      <c r="M1186" s="6" t="str">
        <f>IFERROR(__xludf.DUMMYFUNCTION("""COMPUTED_VALUE"""),"Poland ex-GTS")</f>
        <v>Poland ex-GTS</v>
      </c>
      <c r="N1186" s="6" t="str">
        <f>IFERROR(__xludf.DUMMYFUNCTION("""COMPUTED_VALUE"""),"")</f>
        <v/>
      </c>
      <c r="O1186" s="87" t="str">
        <f>IFERROR(__xludf.DUMMYFUNCTION("""COMPUTED_VALUE"""),"https://drive.google.com/drive/folders/10T2cTQHqEJZqE-st6uFKPoI?usp=share_link")</f>
        <v>https://drive.google.com/drive/folders/10T2cTQHqEJZqE-st6uFKPoI?usp=share_link</v>
      </c>
      <c r="P1186" s="6" t="str">
        <f>IFERROR(__xludf.DUMMYFUNCTION("""COMPUTED_VALUE"""),"Emiliia Pidmohylna")</f>
        <v>Emiliia Pidmohylna</v>
      </c>
      <c r="Q1186" s="6" t="str">
        <f>IFERROR(__xludf.DUMMYFUNCTION("""COMPUTED_VALUE"""),"LL")</f>
        <v>LL</v>
      </c>
      <c r="R1186" s="6">
        <f>IFERROR(__xludf.DUMMYFUNCTION("""COMPUTED_VALUE"""),0.0)</f>
        <v>0</v>
      </c>
      <c r="S1186" s="6" t="str">
        <f>IFERROR(__xludf.DUMMYFUNCTION("""COMPUTED_VALUE""")," ")</f>
        <v> </v>
      </c>
      <c r="T1186" s="6" t="str">
        <f>IFERROR(__xludf.DUMMYFUNCTION("""COMPUTED_VALUE"""),"")</f>
        <v/>
      </c>
      <c r="U1186" s="6" t="str">
        <f>IFERROR(__xludf.DUMMYFUNCTION("""COMPUTED_VALUE"""),"1")</f>
        <v>1</v>
      </c>
      <c r="V1186" s="6" t="str">
        <f>IFERROR(__xludf.DUMMYFUNCTION("""COMPUTED_VALUE"""),"English")</f>
        <v>English</v>
      </c>
      <c r="W1186" s="6" t="str">
        <f>IFERROR(__xludf.DUMMYFUNCTION("""COMPUTED_VALUE"""),"[]")</f>
        <v>[]</v>
      </c>
      <c r="X1186" s="6" t="str">
        <f>IFERROR(__xludf.DUMMYFUNCTION("""COMPUTED_VALUE"""),"Enrolled")</f>
        <v>Enrolled</v>
      </c>
    </row>
    <row r="1187">
      <c r="A1187" s="6" t="str">
        <f>IFERROR(__xludf.DUMMYFUNCTION("""COMPUTED_VALUE"""),"009-1407")</f>
        <v>009-1407</v>
      </c>
      <c r="B1187" s="6" t="str">
        <f>IFERROR(__xludf.DUMMYFUNCTION("""COMPUTED_VALUE"""),"9")</f>
        <v>9</v>
      </c>
      <c r="C1187" s="6" t="str">
        <f>IFERROR(__xludf.DUMMYFUNCTION("""COMPUTED_VALUE"""),"1407")</f>
        <v>1407</v>
      </c>
      <c r="D1187" s="6" t="str">
        <f>IFERROR(__xludf.DUMMYFUNCTION("""COMPUTED_VALUE"""),"Kyrylo")</f>
        <v>Kyrylo</v>
      </c>
      <c r="E1187" s="6" t="str">
        <f>IFERROR(__xludf.DUMMYFUNCTION("""COMPUTED_VALUE"""),"")</f>
        <v/>
      </c>
      <c r="F1187" s="6" t="str">
        <f>IFERROR(__xludf.DUMMYFUNCTION("""COMPUTED_VALUE"""),"Kurdiaiev")</f>
        <v>Kurdiaiev</v>
      </c>
      <c r="G1187" s="6" t="str">
        <f>IFERROR(__xludf.DUMMYFUNCTION("""COMPUTED_VALUE"""),"01/01/2008")</f>
        <v>01/01/2008</v>
      </c>
      <c r="H1187" s="6" t="str">
        <f>IFERROR(__xludf.DUMMYFUNCTION("""COMPUTED_VALUE"""),"Self Identify")</f>
        <v>Self Identify</v>
      </c>
      <c r="I1187" s="6" t="str">
        <f>IFERROR(__xludf.DUMMYFUNCTION("""COMPUTED_VALUE"""),"High School")</f>
        <v>High School</v>
      </c>
      <c r="J1187" s="6" t="str">
        <f>IFERROR(__xludf.DUMMYFUNCTION("""COMPUTED_VALUE"""),"11")</f>
        <v>11</v>
      </c>
      <c r="K1187" s="6" t="str">
        <f>IFERROR(__xludf.DUMMYFUNCTION("""COMPUTED_VALUE"""),"kyrylo.kurdiaiev@2hourlearning.com")</f>
        <v>kyrylo.kurdiaiev@2hourlearning.com</v>
      </c>
      <c r="L1187" s="6" t="str">
        <f>IFERROR(__xludf.DUMMYFUNCTION("""COMPUTED_VALUE"""),"Learn and Earn Poland")</f>
        <v>Learn and Earn Poland</v>
      </c>
      <c r="M1187" s="6" t="str">
        <f>IFERROR(__xludf.DUMMYFUNCTION("""COMPUTED_VALUE"""),"Poland ex-GTS")</f>
        <v>Poland ex-GTS</v>
      </c>
      <c r="N1187" s="6" t="str">
        <f>IFERROR(__xludf.DUMMYFUNCTION("""COMPUTED_VALUE"""),"")</f>
        <v/>
      </c>
      <c r="O1187" s="87" t="str">
        <f>IFERROR(__xludf.DUMMYFUNCTION("""COMPUTED_VALUE"""),"https://drive.google.com/drive/folders/10T2cTQHqEJZqE-st6uFKPoI?usp=share_link")</f>
        <v>https://drive.google.com/drive/folders/10T2cTQHqEJZqE-st6uFKPoI?usp=share_link</v>
      </c>
      <c r="P1187" s="6" t="str">
        <f>IFERROR(__xludf.DUMMYFUNCTION("""COMPUTED_VALUE"""),"Kyrylo Kurdiaiev")</f>
        <v>Kyrylo Kurdiaiev</v>
      </c>
      <c r="Q1187" s="6" t="str">
        <f>IFERROR(__xludf.DUMMYFUNCTION("""COMPUTED_VALUE"""),"HS")</f>
        <v>HS</v>
      </c>
      <c r="R1187" s="6">
        <f>IFERROR(__xludf.DUMMYFUNCTION("""COMPUTED_VALUE"""),0.0)</f>
        <v>0</v>
      </c>
      <c r="S1187" s="6" t="str">
        <f>IFERROR(__xludf.DUMMYFUNCTION("""COMPUTED_VALUE""")," ")</f>
        <v> </v>
      </c>
      <c r="T1187" s="6" t="str">
        <f>IFERROR(__xludf.DUMMYFUNCTION("""COMPUTED_VALUE"""),"")</f>
        <v/>
      </c>
      <c r="U1187" s="6" t="str">
        <f>IFERROR(__xludf.DUMMYFUNCTION("""COMPUTED_VALUE"""),"11")</f>
        <v>11</v>
      </c>
      <c r="V1187" s="6" t="str">
        <f>IFERROR(__xludf.DUMMYFUNCTION("""COMPUTED_VALUE"""),"English")</f>
        <v>English</v>
      </c>
      <c r="W1187" s="6" t="str">
        <f>IFERROR(__xludf.DUMMYFUNCTION("""COMPUTED_VALUE"""),"[]")</f>
        <v>[]</v>
      </c>
      <c r="X1187" s="6" t="str">
        <f>IFERROR(__xludf.DUMMYFUNCTION("""COMPUTED_VALUE"""),"Enrolled")</f>
        <v>Enrolled</v>
      </c>
    </row>
    <row r="1188">
      <c r="A1188" s="6" t="str">
        <f>IFERROR(__xludf.DUMMYFUNCTION("""COMPUTED_VALUE"""),"009-1408")</f>
        <v>009-1408</v>
      </c>
      <c r="B1188" s="6" t="str">
        <f>IFERROR(__xludf.DUMMYFUNCTION("""COMPUTED_VALUE"""),"9")</f>
        <v>9</v>
      </c>
      <c r="C1188" s="6" t="str">
        <f>IFERROR(__xludf.DUMMYFUNCTION("""COMPUTED_VALUE"""),"1408")</f>
        <v>1408</v>
      </c>
      <c r="D1188" s="6" t="str">
        <f>IFERROR(__xludf.DUMMYFUNCTION("""COMPUTED_VALUE"""),"Mykyta")</f>
        <v>Mykyta</v>
      </c>
      <c r="E1188" s="6" t="str">
        <f>IFERROR(__xludf.DUMMYFUNCTION("""COMPUTED_VALUE"""),"")</f>
        <v/>
      </c>
      <c r="F1188" s="6" t="str">
        <f>IFERROR(__xludf.DUMMYFUNCTION("""COMPUTED_VALUE"""),"Orlovskyi")</f>
        <v>Orlovskyi</v>
      </c>
      <c r="G1188" s="6" t="str">
        <f>IFERROR(__xludf.DUMMYFUNCTION("""COMPUTED_VALUE"""),"01/01/2012")</f>
        <v>01/01/2012</v>
      </c>
      <c r="H1188" s="6" t="str">
        <f>IFERROR(__xludf.DUMMYFUNCTION("""COMPUTED_VALUE"""),"Self Identify")</f>
        <v>Self Identify</v>
      </c>
      <c r="I1188" s="6" t="str">
        <f>IFERROR(__xludf.DUMMYFUNCTION("""COMPUTED_VALUE"""),"Middle School")</f>
        <v>Middle School</v>
      </c>
      <c r="J1188" s="6" t="str">
        <f>IFERROR(__xludf.DUMMYFUNCTION("""COMPUTED_VALUE"""),"7")</f>
        <v>7</v>
      </c>
      <c r="K1188" s="6" t="str">
        <f>IFERROR(__xludf.DUMMYFUNCTION("""COMPUTED_VALUE"""),"mykyta.orlovskyi@2hourlearning.com")</f>
        <v>mykyta.orlovskyi@2hourlearning.com</v>
      </c>
      <c r="L1188" s="6" t="str">
        <f>IFERROR(__xludf.DUMMYFUNCTION("""COMPUTED_VALUE"""),"Learn and Earn Poland")</f>
        <v>Learn and Earn Poland</v>
      </c>
      <c r="M1188" s="6" t="str">
        <f>IFERROR(__xludf.DUMMYFUNCTION("""COMPUTED_VALUE"""),"Poland ex-GTS")</f>
        <v>Poland ex-GTS</v>
      </c>
      <c r="N1188" s="6" t="str">
        <f>IFERROR(__xludf.DUMMYFUNCTION("""COMPUTED_VALUE"""),"")</f>
        <v/>
      </c>
      <c r="O1188" s="87" t="str">
        <f>IFERROR(__xludf.DUMMYFUNCTION("""COMPUTED_VALUE"""),"https://drive.google.com/drive/folders/10T2cTQHqEJZqE-st6uFKPoI?usp=share_link")</f>
        <v>https://drive.google.com/drive/folders/10T2cTQHqEJZqE-st6uFKPoI?usp=share_link</v>
      </c>
      <c r="P1188" s="6" t="str">
        <f>IFERROR(__xludf.DUMMYFUNCTION("""COMPUTED_VALUE"""),"Mykyta Orlovskyi")</f>
        <v>Mykyta Orlovskyi</v>
      </c>
      <c r="Q1188" s="6" t="str">
        <f>IFERROR(__xludf.DUMMYFUNCTION("""COMPUTED_VALUE"""),"MS")</f>
        <v>MS</v>
      </c>
      <c r="R1188" s="6">
        <f>IFERROR(__xludf.DUMMYFUNCTION("""COMPUTED_VALUE"""),0.0)</f>
        <v>0</v>
      </c>
      <c r="S1188" s="6" t="str">
        <f>IFERROR(__xludf.DUMMYFUNCTION("""COMPUTED_VALUE""")," ")</f>
        <v> </v>
      </c>
      <c r="T1188" s="6" t="str">
        <f>IFERROR(__xludf.DUMMYFUNCTION("""COMPUTED_VALUE"""),"")</f>
        <v/>
      </c>
      <c r="U1188" s="6" t="str">
        <f>IFERROR(__xludf.DUMMYFUNCTION("""COMPUTED_VALUE"""),"7")</f>
        <v>7</v>
      </c>
      <c r="V1188" s="6" t="str">
        <f>IFERROR(__xludf.DUMMYFUNCTION("""COMPUTED_VALUE"""),"English")</f>
        <v>English</v>
      </c>
      <c r="W1188" s="6" t="str">
        <f>IFERROR(__xludf.DUMMYFUNCTION("""COMPUTED_VALUE"""),"[]")</f>
        <v>[]</v>
      </c>
      <c r="X1188" s="6" t="str">
        <f>IFERROR(__xludf.DUMMYFUNCTION("""COMPUTED_VALUE"""),"Enrolled")</f>
        <v>Enrolled</v>
      </c>
    </row>
    <row r="1189">
      <c r="A1189" s="6" t="str">
        <f>IFERROR(__xludf.DUMMYFUNCTION("""COMPUTED_VALUE"""),"009-1409")</f>
        <v>009-1409</v>
      </c>
      <c r="B1189" s="6" t="str">
        <f>IFERROR(__xludf.DUMMYFUNCTION("""COMPUTED_VALUE"""),"9")</f>
        <v>9</v>
      </c>
      <c r="C1189" s="6" t="str">
        <f>IFERROR(__xludf.DUMMYFUNCTION("""COMPUTED_VALUE"""),"1409")</f>
        <v>1409</v>
      </c>
      <c r="D1189" s="6" t="str">
        <f>IFERROR(__xludf.DUMMYFUNCTION("""COMPUTED_VALUE"""),"Mariia")</f>
        <v>Mariia</v>
      </c>
      <c r="E1189" s="6" t="str">
        <f>IFERROR(__xludf.DUMMYFUNCTION("""COMPUTED_VALUE"""),"")</f>
        <v/>
      </c>
      <c r="F1189" s="6" t="str">
        <f>IFERROR(__xludf.DUMMYFUNCTION("""COMPUTED_VALUE"""),"Vozniuk")</f>
        <v>Vozniuk</v>
      </c>
      <c r="G1189" s="6" t="str">
        <f>IFERROR(__xludf.DUMMYFUNCTION("""COMPUTED_VALUE"""),"01/01/2014")</f>
        <v>01/01/2014</v>
      </c>
      <c r="H1189" s="6" t="str">
        <f>IFERROR(__xludf.DUMMYFUNCTION("""COMPUTED_VALUE"""),"Self Identify")</f>
        <v>Self Identify</v>
      </c>
      <c r="I1189" s="6" t="str">
        <f>IFERROR(__xludf.DUMMYFUNCTION("""COMPUTED_VALUE"""),"Level 2")</f>
        <v>Level 2</v>
      </c>
      <c r="J1189" s="6" t="str">
        <f>IFERROR(__xludf.DUMMYFUNCTION("""COMPUTED_VALUE"""),"5")</f>
        <v>5</v>
      </c>
      <c r="K1189" s="6" t="str">
        <f>IFERROR(__xludf.DUMMYFUNCTION("""COMPUTED_VALUE"""),"mariia.vozniuk@2hourlearning.com")</f>
        <v>mariia.vozniuk@2hourlearning.com</v>
      </c>
      <c r="L1189" s="6" t="str">
        <f>IFERROR(__xludf.DUMMYFUNCTION("""COMPUTED_VALUE"""),"Learn and Earn Poland")</f>
        <v>Learn and Earn Poland</v>
      </c>
      <c r="M1189" s="6" t="str">
        <f>IFERROR(__xludf.DUMMYFUNCTION("""COMPUTED_VALUE"""),"Poland ex-GTS")</f>
        <v>Poland ex-GTS</v>
      </c>
      <c r="N1189" s="6" t="str">
        <f>IFERROR(__xludf.DUMMYFUNCTION("""COMPUTED_VALUE"""),"")</f>
        <v/>
      </c>
      <c r="O1189" s="87" t="str">
        <f>IFERROR(__xludf.DUMMYFUNCTION("""COMPUTED_VALUE"""),"https://drive.google.com/drive/folders/10T2cTQHqEJZqE-st6uFKPoI?usp=share_link")</f>
        <v>https://drive.google.com/drive/folders/10T2cTQHqEJZqE-st6uFKPoI?usp=share_link</v>
      </c>
      <c r="P1189" s="6" t="str">
        <f>IFERROR(__xludf.DUMMYFUNCTION("""COMPUTED_VALUE"""),"Mariia Vozniuk")</f>
        <v>Mariia Vozniuk</v>
      </c>
      <c r="Q1189" s="6" t="str">
        <f>IFERROR(__xludf.DUMMYFUNCTION("""COMPUTED_VALUE"""),"L2")</f>
        <v>L2</v>
      </c>
      <c r="R1189" s="6">
        <f>IFERROR(__xludf.DUMMYFUNCTION("""COMPUTED_VALUE"""),2.0)</f>
        <v>2</v>
      </c>
      <c r="S1189" s="6" t="str">
        <f>IFERROR(__xludf.DUMMYFUNCTION("""COMPUTED_VALUE""")," ")</f>
        <v> </v>
      </c>
      <c r="T1189" s="6" t="str">
        <f>IFERROR(__xludf.DUMMYFUNCTION("""COMPUTED_VALUE"""),"")</f>
        <v/>
      </c>
      <c r="U1189" s="6" t="str">
        <f>IFERROR(__xludf.DUMMYFUNCTION("""COMPUTED_VALUE"""),"5")</f>
        <v>5</v>
      </c>
      <c r="V1189" s="6" t="str">
        <f>IFERROR(__xludf.DUMMYFUNCTION("""COMPUTED_VALUE"""),"English")</f>
        <v>English</v>
      </c>
      <c r="W1189" s="6" t="str">
        <f>IFERROR(__xludf.DUMMYFUNCTION("""COMPUTED_VALUE"""),"[]")</f>
        <v>[]</v>
      </c>
      <c r="X1189" s="6" t="str">
        <f>IFERROR(__xludf.DUMMYFUNCTION("""COMPUTED_VALUE"""),"Enrolled")</f>
        <v>Enrolled</v>
      </c>
    </row>
    <row r="1190">
      <c r="A1190" s="6" t="str">
        <f>IFERROR(__xludf.DUMMYFUNCTION("""COMPUTED_VALUE"""),"009-1410")</f>
        <v>009-1410</v>
      </c>
      <c r="B1190" s="6" t="str">
        <f>IFERROR(__xludf.DUMMYFUNCTION("""COMPUTED_VALUE"""),"9")</f>
        <v>9</v>
      </c>
      <c r="C1190" s="6" t="str">
        <f>IFERROR(__xludf.DUMMYFUNCTION("""COMPUTED_VALUE"""),"1410")</f>
        <v>1410</v>
      </c>
      <c r="D1190" s="6" t="str">
        <f>IFERROR(__xludf.DUMMYFUNCTION("""COMPUTED_VALUE"""),"Davyd")</f>
        <v>Davyd</v>
      </c>
      <c r="E1190" s="6" t="str">
        <f>IFERROR(__xludf.DUMMYFUNCTION("""COMPUTED_VALUE"""),"")</f>
        <v/>
      </c>
      <c r="F1190" s="6" t="str">
        <f>IFERROR(__xludf.DUMMYFUNCTION("""COMPUTED_VALUE"""),"Pavlyk")</f>
        <v>Pavlyk</v>
      </c>
      <c r="G1190" s="6" t="str">
        <f>IFERROR(__xludf.DUMMYFUNCTION("""COMPUTED_VALUE"""),"01/01/2014")</f>
        <v>01/01/2014</v>
      </c>
      <c r="H1190" s="6" t="str">
        <f>IFERROR(__xludf.DUMMYFUNCTION("""COMPUTED_VALUE"""),"Self Identify")</f>
        <v>Self Identify</v>
      </c>
      <c r="I1190" s="6" t="str">
        <f>IFERROR(__xludf.DUMMYFUNCTION("""COMPUTED_VALUE"""),"Level 2")</f>
        <v>Level 2</v>
      </c>
      <c r="J1190" s="6" t="str">
        <f>IFERROR(__xludf.DUMMYFUNCTION("""COMPUTED_VALUE"""),"5")</f>
        <v>5</v>
      </c>
      <c r="K1190" s="6" t="str">
        <f>IFERROR(__xludf.DUMMYFUNCTION("""COMPUTED_VALUE"""),"davyd.pavlyk@2hourlearning.com")</f>
        <v>davyd.pavlyk@2hourlearning.com</v>
      </c>
      <c r="L1190" s="6" t="str">
        <f>IFERROR(__xludf.DUMMYFUNCTION("""COMPUTED_VALUE"""),"Learn and Earn Poland")</f>
        <v>Learn and Earn Poland</v>
      </c>
      <c r="M1190" s="6" t="str">
        <f>IFERROR(__xludf.DUMMYFUNCTION("""COMPUTED_VALUE"""),"Poland ex-GTS")</f>
        <v>Poland ex-GTS</v>
      </c>
      <c r="N1190" s="6" t="str">
        <f>IFERROR(__xludf.DUMMYFUNCTION("""COMPUTED_VALUE"""),"")</f>
        <v/>
      </c>
      <c r="O1190" s="87" t="str">
        <f>IFERROR(__xludf.DUMMYFUNCTION("""COMPUTED_VALUE"""),"https://drive.google.com/drive/folders/10T2cTQHqEJZqE-st6uFKPoI?usp=share_link")</f>
        <v>https://drive.google.com/drive/folders/10T2cTQHqEJZqE-st6uFKPoI?usp=share_link</v>
      </c>
      <c r="P1190" s="6" t="str">
        <f>IFERROR(__xludf.DUMMYFUNCTION("""COMPUTED_VALUE"""),"Davyd Pavlyk")</f>
        <v>Davyd Pavlyk</v>
      </c>
      <c r="Q1190" s="6" t="str">
        <f>IFERROR(__xludf.DUMMYFUNCTION("""COMPUTED_VALUE"""),"L2")</f>
        <v>L2</v>
      </c>
      <c r="R1190" s="6">
        <f>IFERROR(__xludf.DUMMYFUNCTION("""COMPUTED_VALUE"""),2.0)</f>
        <v>2</v>
      </c>
      <c r="S1190" s="6" t="str">
        <f>IFERROR(__xludf.DUMMYFUNCTION("""COMPUTED_VALUE""")," ")</f>
        <v> </v>
      </c>
      <c r="T1190" s="6" t="str">
        <f>IFERROR(__xludf.DUMMYFUNCTION("""COMPUTED_VALUE"""),"")</f>
        <v/>
      </c>
      <c r="U1190" s="6" t="str">
        <f>IFERROR(__xludf.DUMMYFUNCTION("""COMPUTED_VALUE"""),"5")</f>
        <v>5</v>
      </c>
      <c r="V1190" s="6" t="str">
        <f>IFERROR(__xludf.DUMMYFUNCTION("""COMPUTED_VALUE"""),"English")</f>
        <v>English</v>
      </c>
      <c r="W1190" s="6" t="str">
        <f>IFERROR(__xludf.DUMMYFUNCTION("""COMPUTED_VALUE"""),"[]")</f>
        <v>[]</v>
      </c>
      <c r="X1190" s="6" t="str">
        <f>IFERROR(__xludf.DUMMYFUNCTION("""COMPUTED_VALUE"""),"Enrolled")</f>
        <v>Enrolled</v>
      </c>
    </row>
    <row r="1191">
      <c r="A1191" s="6" t="str">
        <f>IFERROR(__xludf.DUMMYFUNCTION("""COMPUTED_VALUE"""),"009-1411")</f>
        <v>009-1411</v>
      </c>
      <c r="B1191" s="6" t="str">
        <f>IFERROR(__xludf.DUMMYFUNCTION("""COMPUTED_VALUE"""),"9")</f>
        <v>9</v>
      </c>
      <c r="C1191" s="6" t="str">
        <f>IFERROR(__xludf.DUMMYFUNCTION("""COMPUTED_VALUE"""),"1411")</f>
        <v>1411</v>
      </c>
      <c r="D1191" s="6" t="str">
        <f>IFERROR(__xludf.DUMMYFUNCTION("""COMPUTED_VALUE"""),"Petro")</f>
        <v>Petro</v>
      </c>
      <c r="E1191" s="6" t="str">
        <f>IFERROR(__xludf.DUMMYFUNCTION("""COMPUTED_VALUE"""),"")</f>
        <v/>
      </c>
      <c r="F1191" s="6" t="str">
        <f>IFERROR(__xludf.DUMMYFUNCTION("""COMPUTED_VALUE"""),"Martyn")</f>
        <v>Martyn</v>
      </c>
      <c r="G1191" s="6" t="str">
        <f>IFERROR(__xludf.DUMMYFUNCTION("""COMPUTED_VALUE"""),"01/01/2010")</f>
        <v>01/01/2010</v>
      </c>
      <c r="H1191" s="6" t="str">
        <f>IFERROR(__xludf.DUMMYFUNCTION("""COMPUTED_VALUE"""),"Self Identify")</f>
        <v>Self Identify</v>
      </c>
      <c r="I1191" s="6" t="str">
        <f>IFERROR(__xludf.DUMMYFUNCTION("""COMPUTED_VALUE"""),"High School")</f>
        <v>High School</v>
      </c>
      <c r="J1191" s="6" t="str">
        <f>IFERROR(__xludf.DUMMYFUNCTION("""COMPUTED_VALUE"""),"9")</f>
        <v>9</v>
      </c>
      <c r="K1191" s="6" t="str">
        <f>IFERROR(__xludf.DUMMYFUNCTION("""COMPUTED_VALUE"""),"petro.martyn@2hourlearning.com")</f>
        <v>petro.martyn@2hourlearning.com</v>
      </c>
      <c r="L1191" s="6" t="str">
        <f>IFERROR(__xludf.DUMMYFUNCTION("""COMPUTED_VALUE"""),"Learn and Earn Poland")</f>
        <v>Learn and Earn Poland</v>
      </c>
      <c r="M1191" s="6" t="str">
        <f>IFERROR(__xludf.DUMMYFUNCTION("""COMPUTED_VALUE"""),"Poland ex-GTS")</f>
        <v>Poland ex-GTS</v>
      </c>
      <c r="N1191" s="6" t="str">
        <f>IFERROR(__xludf.DUMMYFUNCTION("""COMPUTED_VALUE"""),"")</f>
        <v/>
      </c>
      <c r="O1191" s="87" t="str">
        <f>IFERROR(__xludf.DUMMYFUNCTION("""COMPUTED_VALUE"""),"https://drive.google.com/drive/folders/10T2cTQHqEJZqE-st6uFKPoI?usp=share_link")</f>
        <v>https://drive.google.com/drive/folders/10T2cTQHqEJZqE-st6uFKPoI?usp=share_link</v>
      </c>
      <c r="P1191" s="6" t="str">
        <f>IFERROR(__xludf.DUMMYFUNCTION("""COMPUTED_VALUE"""),"Petro Martyn")</f>
        <v>Petro Martyn</v>
      </c>
      <c r="Q1191" s="6" t="str">
        <f>IFERROR(__xludf.DUMMYFUNCTION("""COMPUTED_VALUE"""),"HS")</f>
        <v>HS</v>
      </c>
      <c r="R1191" s="6">
        <f>IFERROR(__xludf.DUMMYFUNCTION("""COMPUTED_VALUE"""),0.0)</f>
        <v>0</v>
      </c>
      <c r="S1191" s="6" t="str">
        <f>IFERROR(__xludf.DUMMYFUNCTION("""COMPUTED_VALUE""")," ")</f>
        <v> </v>
      </c>
      <c r="T1191" s="6" t="str">
        <f>IFERROR(__xludf.DUMMYFUNCTION("""COMPUTED_VALUE"""),"")</f>
        <v/>
      </c>
      <c r="U1191" s="6" t="str">
        <f>IFERROR(__xludf.DUMMYFUNCTION("""COMPUTED_VALUE"""),"9")</f>
        <v>9</v>
      </c>
      <c r="V1191" s="6" t="str">
        <f>IFERROR(__xludf.DUMMYFUNCTION("""COMPUTED_VALUE"""),"English")</f>
        <v>English</v>
      </c>
      <c r="W1191" s="6" t="str">
        <f>IFERROR(__xludf.DUMMYFUNCTION("""COMPUTED_VALUE"""),"[]")</f>
        <v>[]</v>
      </c>
      <c r="X1191" s="6" t="str">
        <f>IFERROR(__xludf.DUMMYFUNCTION("""COMPUTED_VALUE"""),"Enrolled")</f>
        <v>Enrolled</v>
      </c>
    </row>
    <row r="1192">
      <c r="A1192" s="6" t="str">
        <f>IFERROR(__xludf.DUMMYFUNCTION("""COMPUTED_VALUE"""),"009-1412")</f>
        <v>009-1412</v>
      </c>
      <c r="B1192" s="6" t="str">
        <f>IFERROR(__xludf.DUMMYFUNCTION("""COMPUTED_VALUE"""),"9")</f>
        <v>9</v>
      </c>
      <c r="C1192" s="6" t="str">
        <f>IFERROR(__xludf.DUMMYFUNCTION("""COMPUTED_VALUE"""),"1412")</f>
        <v>1412</v>
      </c>
      <c r="D1192" s="6" t="str">
        <f>IFERROR(__xludf.DUMMYFUNCTION("""COMPUTED_VALUE"""),"Petro")</f>
        <v>Petro</v>
      </c>
      <c r="E1192" s="6" t="str">
        <f>IFERROR(__xludf.DUMMYFUNCTION("""COMPUTED_VALUE"""),"")</f>
        <v/>
      </c>
      <c r="F1192" s="6" t="str">
        <f>IFERROR(__xludf.DUMMYFUNCTION("""COMPUTED_VALUE"""),"Boiko")</f>
        <v>Boiko</v>
      </c>
      <c r="G1192" s="6" t="str">
        <f>IFERROR(__xludf.DUMMYFUNCTION("""COMPUTED_VALUE"""),"01/01/2012")</f>
        <v>01/01/2012</v>
      </c>
      <c r="H1192" s="6" t="str">
        <f>IFERROR(__xludf.DUMMYFUNCTION("""COMPUTED_VALUE"""),"Self Identify")</f>
        <v>Self Identify</v>
      </c>
      <c r="I1192" s="6" t="str">
        <f>IFERROR(__xludf.DUMMYFUNCTION("""COMPUTED_VALUE"""),"Middle School")</f>
        <v>Middle School</v>
      </c>
      <c r="J1192" s="6" t="str">
        <f>IFERROR(__xludf.DUMMYFUNCTION("""COMPUTED_VALUE"""),"7")</f>
        <v>7</v>
      </c>
      <c r="K1192" s="6" t="str">
        <f>IFERROR(__xludf.DUMMYFUNCTION("""COMPUTED_VALUE"""),"petro.boiko@2hourlearning.com")</f>
        <v>petro.boiko@2hourlearning.com</v>
      </c>
      <c r="L1192" s="6" t="str">
        <f>IFERROR(__xludf.DUMMYFUNCTION("""COMPUTED_VALUE"""),"Learn and Earn Poland")</f>
        <v>Learn and Earn Poland</v>
      </c>
      <c r="M1192" s="6" t="str">
        <f>IFERROR(__xludf.DUMMYFUNCTION("""COMPUTED_VALUE"""),"Poland ex-GTS")</f>
        <v>Poland ex-GTS</v>
      </c>
      <c r="N1192" s="6" t="str">
        <f>IFERROR(__xludf.DUMMYFUNCTION("""COMPUTED_VALUE"""),"")</f>
        <v/>
      </c>
      <c r="O1192" s="87" t="str">
        <f>IFERROR(__xludf.DUMMYFUNCTION("""COMPUTED_VALUE"""),"https://drive.google.com/drive/folders/10T2cTQHqEJZqE-st6uFKPoI?usp=share_link")</f>
        <v>https://drive.google.com/drive/folders/10T2cTQHqEJZqE-st6uFKPoI?usp=share_link</v>
      </c>
      <c r="P1192" s="6" t="str">
        <f>IFERROR(__xludf.DUMMYFUNCTION("""COMPUTED_VALUE"""),"Petro Boiko")</f>
        <v>Petro Boiko</v>
      </c>
      <c r="Q1192" s="6" t="str">
        <f>IFERROR(__xludf.DUMMYFUNCTION("""COMPUTED_VALUE"""),"MS")</f>
        <v>MS</v>
      </c>
      <c r="R1192" s="6">
        <f>IFERROR(__xludf.DUMMYFUNCTION("""COMPUTED_VALUE"""),0.0)</f>
        <v>0</v>
      </c>
      <c r="S1192" s="6" t="str">
        <f>IFERROR(__xludf.DUMMYFUNCTION("""COMPUTED_VALUE""")," ")</f>
        <v> </v>
      </c>
      <c r="T1192" s="6" t="str">
        <f>IFERROR(__xludf.DUMMYFUNCTION("""COMPUTED_VALUE"""),"")</f>
        <v/>
      </c>
      <c r="U1192" s="6" t="str">
        <f>IFERROR(__xludf.DUMMYFUNCTION("""COMPUTED_VALUE"""),"7")</f>
        <v>7</v>
      </c>
      <c r="V1192" s="6" t="str">
        <f>IFERROR(__xludf.DUMMYFUNCTION("""COMPUTED_VALUE"""),"English")</f>
        <v>English</v>
      </c>
      <c r="W1192" s="6" t="str">
        <f>IFERROR(__xludf.DUMMYFUNCTION("""COMPUTED_VALUE"""),"[]")</f>
        <v>[]</v>
      </c>
      <c r="X1192" s="6" t="str">
        <f>IFERROR(__xludf.DUMMYFUNCTION("""COMPUTED_VALUE"""),"Enrolled")</f>
        <v>Enrolled</v>
      </c>
    </row>
    <row r="1193">
      <c r="A1193" s="6" t="str">
        <f>IFERROR(__xludf.DUMMYFUNCTION("""COMPUTED_VALUE"""),"009-1413")</f>
        <v>009-1413</v>
      </c>
      <c r="B1193" s="6" t="str">
        <f>IFERROR(__xludf.DUMMYFUNCTION("""COMPUTED_VALUE"""),"9")</f>
        <v>9</v>
      </c>
      <c r="C1193" s="6" t="str">
        <f>IFERROR(__xludf.DUMMYFUNCTION("""COMPUTED_VALUE"""),"1413")</f>
        <v>1413</v>
      </c>
      <c r="D1193" s="6" t="str">
        <f>IFERROR(__xludf.DUMMYFUNCTION("""COMPUTED_VALUE"""),"Grzegorz")</f>
        <v>Grzegorz</v>
      </c>
      <c r="E1193" s="6" t="str">
        <f>IFERROR(__xludf.DUMMYFUNCTION("""COMPUTED_VALUE"""),"")</f>
        <v/>
      </c>
      <c r="F1193" s="6" t="str">
        <f>IFERROR(__xludf.DUMMYFUNCTION("""COMPUTED_VALUE"""),"Mardus")</f>
        <v>Mardus</v>
      </c>
      <c r="G1193" s="6" t="str">
        <f>IFERROR(__xludf.DUMMYFUNCTION("""COMPUTED_VALUE"""),"01/01/2012")</f>
        <v>01/01/2012</v>
      </c>
      <c r="H1193" s="6" t="str">
        <f>IFERROR(__xludf.DUMMYFUNCTION("""COMPUTED_VALUE"""),"Self Identify")</f>
        <v>Self Identify</v>
      </c>
      <c r="I1193" s="6" t="str">
        <f>IFERROR(__xludf.DUMMYFUNCTION("""COMPUTED_VALUE"""),"Middle School")</f>
        <v>Middle School</v>
      </c>
      <c r="J1193" s="6" t="str">
        <f>IFERROR(__xludf.DUMMYFUNCTION("""COMPUTED_VALUE"""),"7")</f>
        <v>7</v>
      </c>
      <c r="K1193" s="6" t="str">
        <f>IFERROR(__xludf.DUMMYFUNCTION("""COMPUTED_VALUE"""),"grzegorz.mardus@2hourlearning.com")</f>
        <v>grzegorz.mardus@2hourlearning.com</v>
      </c>
      <c r="L1193" s="6" t="str">
        <f>IFERROR(__xludf.DUMMYFUNCTION("""COMPUTED_VALUE"""),"Learn and Earn Poland")</f>
        <v>Learn and Earn Poland</v>
      </c>
      <c r="M1193" s="6" t="str">
        <f>IFERROR(__xludf.DUMMYFUNCTION("""COMPUTED_VALUE"""),"Poland ex-GTS")</f>
        <v>Poland ex-GTS</v>
      </c>
      <c r="N1193" s="6" t="str">
        <f>IFERROR(__xludf.DUMMYFUNCTION("""COMPUTED_VALUE"""),"")</f>
        <v/>
      </c>
      <c r="O1193" s="87" t="str">
        <f>IFERROR(__xludf.DUMMYFUNCTION("""COMPUTED_VALUE"""),"https://drive.google.com/drive/folders/10T2cTQHqEJZqE-st6uFKPoI?usp=share_link")</f>
        <v>https://drive.google.com/drive/folders/10T2cTQHqEJZqE-st6uFKPoI?usp=share_link</v>
      </c>
      <c r="P1193" s="6" t="str">
        <f>IFERROR(__xludf.DUMMYFUNCTION("""COMPUTED_VALUE"""),"Grzegorz Mardus")</f>
        <v>Grzegorz Mardus</v>
      </c>
      <c r="Q1193" s="6" t="str">
        <f>IFERROR(__xludf.DUMMYFUNCTION("""COMPUTED_VALUE"""),"MS")</f>
        <v>MS</v>
      </c>
      <c r="R1193" s="6">
        <f>IFERROR(__xludf.DUMMYFUNCTION("""COMPUTED_VALUE"""),0.0)</f>
        <v>0</v>
      </c>
      <c r="S1193" s="6" t="str">
        <f>IFERROR(__xludf.DUMMYFUNCTION("""COMPUTED_VALUE""")," ")</f>
        <v> </v>
      </c>
      <c r="T1193" s="6" t="str">
        <f>IFERROR(__xludf.DUMMYFUNCTION("""COMPUTED_VALUE"""),"")</f>
        <v/>
      </c>
      <c r="U1193" s="6" t="str">
        <f>IFERROR(__xludf.DUMMYFUNCTION("""COMPUTED_VALUE"""),"7")</f>
        <v>7</v>
      </c>
      <c r="V1193" s="6" t="str">
        <f>IFERROR(__xludf.DUMMYFUNCTION("""COMPUTED_VALUE"""),"English")</f>
        <v>English</v>
      </c>
      <c r="W1193" s="6" t="str">
        <f>IFERROR(__xludf.DUMMYFUNCTION("""COMPUTED_VALUE"""),"[]")</f>
        <v>[]</v>
      </c>
      <c r="X1193" s="6" t="str">
        <f>IFERROR(__xludf.DUMMYFUNCTION("""COMPUTED_VALUE"""),"Enrolled")</f>
        <v>Enrolled</v>
      </c>
    </row>
    <row r="1194">
      <c r="A1194" s="6" t="str">
        <f>IFERROR(__xludf.DUMMYFUNCTION("""COMPUTED_VALUE"""),"009-1414")</f>
        <v>009-1414</v>
      </c>
      <c r="B1194" s="6" t="str">
        <f>IFERROR(__xludf.DUMMYFUNCTION("""COMPUTED_VALUE"""),"9")</f>
        <v>9</v>
      </c>
      <c r="C1194" s="6" t="str">
        <f>IFERROR(__xludf.DUMMYFUNCTION("""COMPUTED_VALUE"""),"1414")</f>
        <v>1414</v>
      </c>
      <c r="D1194" s="6" t="str">
        <f>IFERROR(__xludf.DUMMYFUNCTION("""COMPUTED_VALUE"""),"Polina")</f>
        <v>Polina</v>
      </c>
      <c r="E1194" s="6" t="str">
        <f>IFERROR(__xludf.DUMMYFUNCTION("""COMPUTED_VALUE"""),"")</f>
        <v/>
      </c>
      <c r="F1194" s="6" t="str">
        <f>IFERROR(__xludf.DUMMYFUNCTION("""COMPUTED_VALUE"""),"Soliar")</f>
        <v>Soliar</v>
      </c>
      <c r="G1194" s="6" t="str">
        <f>IFERROR(__xludf.DUMMYFUNCTION("""COMPUTED_VALUE"""),"01/01/2011")</f>
        <v>01/01/2011</v>
      </c>
      <c r="H1194" s="6" t="str">
        <f>IFERROR(__xludf.DUMMYFUNCTION("""COMPUTED_VALUE"""),"Self Identify")</f>
        <v>Self Identify</v>
      </c>
      <c r="I1194" s="6" t="str">
        <f>IFERROR(__xludf.DUMMYFUNCTION("""COMPUTED_VALUE"""),"Middle School")</f>
        <v>Middle School</v>
      </c>
      <c r="J1194" s="6" t="str">
        <f>IFERROR(__xludf.DUMMYFUNCTION("""COMPUTED_VALUE"""),"8")</f>
        <v>8</v>
      </c>
      <c r="K1194" s="6" t="str">
        <f>IFERROR(__xludf.DUMMYFUNCTION("""COMPUTED_VALUE"""),"polina.soliar@2hourlearning.com")</f>
        <v>polina.soliar@2hourlearning.com</v>
      </c>
      <c r="L1194" s="6" t="str">
        <f>IFERROR(__xludf.DUMMYFUNCTION("""COMPUTED_VALUE"""),"Learn and Earn Poland")</f>
        <v>Learn and Earn Poland</v>
      </c>
      <c r="M1194" s="6" t="str">
        <f>IFERROR(__xludf.DUMMYFUNCTION("""COMPUTED_VALUE"""),"Poland ex-GTS")</f>
        <v>Poland ex-GTS</v>
      </c>
      <c r="N1194" s="6" t="str">
        <f>IFERROR(__xludf.DUMMYFUNCTION("""COMPUTED_VALUE"""),"")</f>
        <v/>
      </c>
      <c r="O1194" s="87" t="str">
        <f>IFERROR(__xludf.DUMMYFUNCTION("""COMPUTED_VALUE"""),"https://drive.google.com/drive/folders/10T2cTQHqEJZqE-st6uFKPoI?usp=share_link")</f>
        <v>https://drive.google.com/drive/folders/10T2cTQHqEJZqE-st6uFKPoI?usp=share_link</v>
      </c>
      <c r="P1194" s="6" t="str">
        <f>IFERROR(__xludf.DUMMYFUNCTION("""COMPUTED_VALUE"""),"Polina Soliar")</f>
        <v>Polina Soliar</v>
      </c>
      <c r="Q1194" s="6" t="str">
        <f>IFERROR(__xludf.DUMMYFUNCTION("""COMPUTED_VALUE"""),"MS")</f>
        <v>MS</v>
      </c>
      <c r="R1194" s="6">
        <f>IFERROR(__xludf.DUMMYFUNCTION("""COMPUTED_VALUE"""),0.0)</f>
        <v>0</v>
      </c>
      <c r="S1194" s="6" t="str">
        <f>IFERROR(__xludf.DUMMYFUNCTION("""COMPUTED_VALUE""")," ")</f>
        <v> </v>
      </c>
      <c r="T1194" s="6" t="str">
        <f>IFERROR(__xludf.DUMMYFUNCTION("""COMPUTED_VALUE"""),"")</f>
        <v/>
      </c>
      <c r="U1194" s="6" t="str">
        <f>IFERROR(__xludf.DUMMYFUNCTION("""COMPUTED_VALUE"""),"8")</f>
        <v>8</v>
      </c>
      <c r="V1194" s="6" t="str">
        <f>IFERROR(__xludf.DUMMYFUNCTION("""COMPUTED_VALUE"""),"English")</f>
        <v>English</v>
      </c>
      <c r="W1194" s="6" t="str">
        <f>IFERROR(__xludf.DUMMYFUNCTION("""COMPUTED_VALUE"""),"[]")</f>
        <v>[]</v>
      </c>
      <c r="X1194" s="6" t="str">
        <f>IFERROR(__xludf.DUMMYFUNCTION("""COMPUTED_VALUE"""),"Enrolled")</f>
        <v>Enrolled</v>
      </c>
    </row>
    <row r="1195">
      <c r="A1195" s="6" t="str">
        <f>IFERROR(__xludf.DUMMYFUNCTION("""COMPUTED_VALUE"""),"009-1415")</f>
        <v>009-1415</v>
      </c>
      <c r="B1195" s="6" t="str">
        <f>IFERROR(__xludf.DUMMYFUNCTION("""COMPUTED_VALUE"""),"9")</f>
        <v>9</v>
      </c>
      <c r="C1195" s="6" t="str">
        <f>IFERROR(__xludf.DUMMYFUNCTION("""COMPUTED_VALUE"""),"1415")</f>
        <v>1415</v>
      </c>
      <c r="D1195" s="6" t="str">
        <f>IFERROR(__xludf.DUMMYFUNCTION("""COMPUTED_VALUE"""),"Artem")</f>
        <v>Artem</v>
      </c>
      <c r="E1195" s="6" t="str">
        <f>IFERROR(__xludf.DUMMYFUNCTION("""COMPUTED_VALUE"""),"")</f>
        <v/>
      </c>
      <c r="F1195" s="6" t="str">
        <f>IFERROR(__xludf.DUMMYFUNCTION("""COMPUTED_VALUE"""),"Prokopchuk")</f>
        <v>Prokopchuk</v>
      </c>
      <c r="G1195" s="6" t="str">
        <f>IFERROR(__xludf.DUMMYFUNCTION("""COMPUTED_VALUE"""),"01/01/2015")</f>
        <v>01/01/2015</v>
      </c>
      <c r="H1195" s="6" t="str">
        <f>IFERROR(__xludf.DUMMYFUNCTION("""COMPUTED_VALUE"""),"Self Identify")</f>
        <v>Self Identify</v>
      </c>
      <c r="I1195" s="6" t="str">
        <f>IFERROR(__xludf.DUMMYFUNCTION("""COMPUTED_VALUE"""),"Level 2")</f>
        <v>Level 2</v>
      </c>
      <c r="J1195" s="6" t="str">
        <f>IFERROR(__xludf.DUMMYFUNCTION("""COMPUTED_VALUE"""),"4")</f>
        <v>4</v>
      </c>
      <c r="K1195" s="6" t="str">
        <f>IFERROR(__xludf.DUMMYFUNCTION("""COMPUTED_VALUE"""),"artem.prokopchuk@2hourlearning.com")</f>
        <v>artem.prokopchuk@2hourlearning.com</v>
      </c>
      <c r="L1195" s="6" t="str">
        <f>IFERROR(__xludf.DUMMYFUNCTION("""COMPUTED_VALUE"""),"Learn and Earn Poland")</f>
        <v>Learn and Earn Poland</v>
      </c>
      <c r="M1195" s="6" t="str">
        <f>IFERROR(__xludf.DUMMYFUNCTION("""COMPUTED_VALUE"""),"Poland ex-GTS")</f>
        <v>Poland ex-GTS</v>
      </c>
      <c r="N1195" s="6" t="str">
        <f>IFERROR(__xludf.DUMMYFUNCTION("""COMPUTED_VALUE"""),"")</f>
        <v/>
      </c>
      <c r="O1195" s="87" t="str">
        <f>IFERROR(__xludf.DUMMYFUNCTION("""COMPUTED_VALUE"""),"https://drive.google.com/drive/folders/10T2cTQHqEJZqE-st6uFKPoI?usp=share_link")</f>
        <v>https://drive.google.com/drive/folders/10T2cTQHqEJZqE-st6uFKPoI?usp=share_link</v>
      </c>
      <c r="P1195" s="6" t="str">
        <f>IFERROR(__xludf.DUMMYFUNCTION("""COMPUTED_VALUE"""),"Artem Prokopchuk")</f>
        <v>Artem Prokopchuk</v>
      </c>
      <c r="Q1195" s="6" t="str">
        <f>IFERROR(__xludf.DUMMYFUNCTION("""COMPUTED_VALUE"""),"L2")</f>
        <v>L2</v>
      </c>
      <c r="R1195" s="6">
        <f>IFERROR(__xludf.DUMMYFUNCTION("""COMPUTED_VALUE"""),2.0)</f>
        <v>2</v>
      </c>
      <c r="S1195" s="6" t="str">
        <f>IFERROR(__xludf.DUMMYFUNCTION("""COMPUTED_VALUE""")," ")</f>
        <v> </v>
      </c>
      <c r="T1195" s="6" t="str">
        <f>IFERROR(__xludf.DUMMYFUNCTION("""COMPUTED_VALUE"""),"")</f>
        <v/>
      </c>
      <c r="U1195" s="6" t="str">
        <f>IFERROR(__xludf.DUMMYFUNCTION("""COMPUTED_VALUE"""),"4")</f>
        <v>4</v>
      </c>
      <c r="V1195" s="6" t="str">
        <f>IFERROR(__xludf.DUMMYFUNCTION("""COMPUTED_VALUE"""),"English")</f>
        <v>English</v>
      </c>
      <c r="W1195" s="6" t="str">
        <f>IFERROR(__xludf.DUMMYFUNCTION("""COMPUTED_VALUE"""),"[]")</f>
        <v>[]</v>
      </c>
      <c r="X1195" s="6" t="str">
        <f>IFERROR(__xludf.DUMMYFUNCTION("""COMPUTED_VALUE"""),"Enrolled")</f>
        <v>Enrolled</v>
      </c>
    </row>
    <row r="1196">
      <c r="A1196" s="6" t="str">
        <f>IFERROR(__xludf.DUMMYFUNCTION("""COMPUTED_VALUE"""),"009-1416")</f>
        <v>009-1416</v>
      </c>
      <c r="B1196" s="6" t="str">
        <f>IFERROR(__xludf.DUMMYFUNCTION("""COMPUTED_VALUE"""),"9")</f>
        <v>9</v>
      </c>
      <c r="C1196" s="6" t="str">
        <f>IFERROR(__xludf.DUMMYFUNCTION("""COMPUTED_VALUE"""),"1416")</f>
        <v>1416</v>
      </c>
      <c r="D1196" s="6" t="str">
        <f>IFERROR(__xludf.DUMMYFUNCTION("""COMPUTED_VALUE"""),"Daria")</f>
        <v>Daria</v>
      </c>
      <c r="E1196" s="6" t="str">
        <f>IFERROR(__xludf.DUMMYFUNCTION("""COMPUTED_VALUE"""),"")</f>
        <v/>
      </c>
      <c r="F1196" s="6" t="str">
        <f>IFERROR(__xludf.DUMMYFUNCTION("""COMPUTED_VALUE"""),"Prokopchuk")</f>
        <v>Prokopchuk</v>
      </c>
      <c r="G1196" s="6" t="str">
        <f>IFERROR(__xludf.DUMMYFUNCTION("""COMPUTED_VALUE"""),"01/01/2014")</f>
        <v>01/01/2014</v>
      </c>
      <c r="H1196" s="6" t="str">
        <f>IFERROR(__xludf.DUMMYFUNCTION("""COMPUTED_VALUE"""),"Self Identify")</f>
        <v>Self Identify</v>
      </c>
      <c r="I1196" s="6" t="str">
        <f>IFERROR(__xludf.DUMMYFUNCTION("""COMPUTED_VALUE"""),"Level 2")</f>
        <v>Level 2</v>
      </c>
      <c r="J1196" s="6" t="str">
        <f>IFERROR(__xludf.DUMMYFUNCTION("""COMPUTED_VALUE"""),"5")</f>
        <v>5</v>
      </c>
      <c r="K1196" s="6" t="str">
        <f>IFERROR(__xludf.DUMMYFUNCTION("""COMPUTED_VALUE"""),"daria.prokopchuk@2hourlearning.com")</f>
        <v>daria.prokopchuk@2hourlearning.com</v>
      </c>
      <c r="L1196" s="6" t="str">
        <f>IFERROR(__xludf.DUMMYFUNCTION("""COMPUTED_VALUE"""),"Learn and Earn Poland")</f>
        <v>Learn and Earn Poland</v>
      </c>
      <c r="M1196" s="6" t="str">
        <f>IFERROR(__xludf.DUMMYFUNCTION("""COMPUTED_VALUE"""),"Poland ex-GTS")</f>
        <v>Poland ex-GTS</v>
      </c>
      <c r="N1196" s="6" t="str">
        <f>IFERROR(__xludf.DUMMYFUNCTION("""COMPUTED_VALUE"""),"")</f>
        <v/>
      </c>
      <c r="O1196" s="87" t="str">
        <f>IFERROR(__xludf.DUMMYFUNCTION("""COMPUTED_VALUE"""),"https://drive.google.com/drive/folders/10T2cTQHqEJZqE-st6uFKPoI?usp=share_link")</f>
        <v>https://drive.google.com/drive/folders/10T2cTQHqEJZqE-st6uFKPoI?usp=share_link</v>
      </c>
      <c r="P1196" s="6" t="str">
        <f>IFERROR(__xludf.DUMMYFUNCTION("""COMPUTED_VALUE"""),"Daria Prokopchuk")</f>
        <v>Daria Prokopchuk</v>
      </c>
      <c r="Q1196" s="6" t="str">
        <f>IFERROR(__xludf.DUMMYFUNCTION("""COMPUTED_VALUE"""),"L2")</f>
        <v>L2</v>
      </c>
      <c r="R1196" s="6">
        <f>IFERROR(__xludf.DUMMYFUNCTION("""COMPUTED_VALUE"""),2.0)</f>
        <v>2</v>
      </c>
      <c r="S1196" s="6" t="str">
        <f>IFERROR(__xludf.DUMMYFUNCTION("""COMPUTED_VALUE""")," ")</f>
        <v> </v>
      </c>
      <c r="T1196" s="6" t="str">
        <f>IFERROR(__xludf.DUMMYFUNCTION("""COMPUTED_VALUE"""),"")</f>
        <v/>
      </c>
      <c r="U1196" s="6" t="str">
        <f>IFERROR(__xludf.DUMMYFUNCTION("""COMPUTED_VALUE"""),"5")</f>
        <v>5</v>
      </c>
      <c r="V1196" s="6" t="str">
        <f>IFERROR(__xludf.DUMMYFUNCTION("""COMPUTED_VALUE"""),"English")</f>
        <v>English</v>
      </c>
      <c r="W1196" s="6" t="str">
        <f>IFERROR(__xludf.DUMMYFUNCTION("""COMPUTED_VALUE"""),"[]")</f>
        <v>[]</v>
      </c>
      <c r="X1196" s="6" t="str">
        <f>IFERROR(__xludf.DUMMYFUNCTION("""COMPUTED_VALUE"""),"Enrolled")</f>
        <v>Enrolled</v>
      </c>
    </row>
    <row r="1197">
      <c r="A1197" s="6" t="str">
        <f>IFERROR(__xludf.DUMMYFUNCTION("""COMPUTED_VALUE"""),"009-1417")</f>
        <v>009-1417</v>
      </c>
      <c r="B1197" s="6" t="str">
        <f>IFERROR(__xludf.DUMMYFUNCTION("""COMPUTED_VALUE"""),"9")</f>
        <v>9</v>
      </c>
      <c r="C1197" s="6" t="str">
        <f>IFERROR(__xludf.DUMMYFUNCTION("""COMPUTED_VALUE"""),"1417")</f>
        <v>1417</v>
      </c>
      <c r="D1197" s="6" t="str">
        <f>IFERROR(__xludf.DUMMYFUNCTION("""COMPUTED_VALUE"""),"Roman")</f>
        <v>Roman</v>
      </c>
      <c r="E1197" s="6" t="str">
        <f>IFERROR(__xludf.DUMMYFUNCTION("""COMPUTED_VALUE"""),"")</f>
        <v/>
      </c>
      <c r="F1197" s="6" t="str">
        <f>IFERROR(__xludf.DUMMYFUNCTION("""COMPUTED_VALUE"""),"lhnatenko")</f>
        <v>lhnatenko</v>
      </c>
      <c r="G1197" s="6" t="str">
        <f>IFERROR(__xludf.DUMMYFUNCTION("""COMPUTED_VALUE"""),"01/01/2010")</f>
        <v>01/01/2010</v>
      </c>
      <c r="H1197" s="6" t="str">
        <f>IFERROR(__xludf.DUMMYFUNCTION("""COMPUTED_VALUE"""),"Self Identify")</f>
        <v>Self Identify</v>
      </c>
      <c r="I1197" s="6" t="str">
        <f>IFERROR(__xludf.DUMMYFUNCTION("""COMPUTED_VALUE"""),"High School")</f>
        <v>High School</v>
      </c>
      <c r="J1197" s="6" t="str">
        <f>IFERROR(__xludf.DUMMYFUNCTION("""COMPUTED_VALUE"""),"9")</f>
        <v>9</v>
      </c>
      <c r="K1197" s="6" t="str">
        <f>IFERROR(__xludf.DUMMYFUNCTION("""COMPUTED_VALUE"""),"roman.lhnatenko@2hourlearning.com")</f>
        <v>roman.lhnatenko@2hourlearning.com</v>
      </c>
      <c r="L1197" s="6" t="str">
        <f>IFERROR(__xludf.DUMMYFUNCTION("""COMPUTED_VALUE"""),"Learn and Earn Poland")</f>
        <v>Learn and Earn Poland</v>
      </c>
      <c r="M1197" s="6" t="str">
        <f>IFERROR(__xludf.DUMMYFUNCTION("""COMPUTED_VALUE"""),"Poland ex-GTS")</f>
        <v>Poland ex-GTS</v>
      </c>
      <c r="N1197" s="6" t="str">
        <f>IFERROR(__xludf.DUMMYFUNCTION("""COMPUTED_VALUE"""),"")</f>
        <v/>
      </c>
      <c r="O1197" s="87" t="str">
        <f>IFERROR(__xludf.DUMMYFUNCTION("""COMPUTED_VALUE"""),"https://drive.google.com/drive/folders/10T2cTQHqEJZqE-st6uFKPoI?usp=share_link")</f>
        <v>https://drive.google.com/drive/folders/10T2cTQHqEJZqE-st6uFKPoI?usp=share_link</v>
      </c>
      <c r="P1197" s="6" t="str">
        <f>IFERROR(__xludf.DUMMYFUNCTION("""COMPUTED_VALUE"""),"Roman lhnatenko")</f>
        <v>Roman lhnatenko</v>
      </c>
      <c r="Q1197" s="6" t="str">
        <f>IFERROR(__xludf.DUMMYFUNCTION("""COMPUTED_VALUE"""),"HS")</f>
        <v>HS</v>
      </c>
      <c r="R1197" s="6">
        <f>IFERROR(__xludf.DUMMYFUNCTION("""COMPUTED_VALUE"""),0.0)</f>
        <v>0</v>
      </c>
      <c r="S1197" s="6" t="str">
        <f>IFERROR(__xludf.DUMMYFUNCTION("""COMPUTED_VALUE""")," ")</f>
        <v> </v>
      </c>
      <c r="T1197" s="6" t="str">
        <f>IFERROR(__xludf.DUMMYFUNCTION("""COMPUTED_VALUE"""),"")</f>
        <v/>
      </c>
      <c r="U1197" s="6" t="str">
        <f>IFERROR(__xludf.DUMMYFUNCTION("""COMPUTED_VALUE"""),"9")</f>
        <v>9</v>
      </c>
      <c r="V1197" s="6" t="str">
        <f>IFERROR(__xludf.DUMMYFUNCTION("""COMPUTED_VALUE"""),"English")</f>
        <v>English</v>
      </c>
      <c r="W1197" s="6" t="str">
        <f>IFERROR(__xludf.DUMMYFUNCTION("""COMPUTED_VALUE"""),"[]")</f>
        <v>[]</v>
      </c>
      <c r="X1197" s="6" t="str">
        <f>IFERROR(__xludf.DUMMYFUNCTION("""COMPUTED_VALUE"""),"Enrolled")</f>
        <v>Enrolled</v>
      </c>
    </row>
    <row r="1198">
      <c r="A1198" s="6" t="str">
        <f>IFERROR(__xludf.DUMMYFUNCTION("""COMPUTED_VALUE"""),"009-1418")</f>
        <v>009-1418</v>
      </c>
      <c r="B1198" s="6" t="str">
        <f>IFERROR(__xludf.DUMMYFUNCTION("""COMPUTED_VALUE"""),"9")</f>
        <v>9</v>
      </c>
      <c r="C1198" s="6" t="str">
        <f>IFERROR(__xludf.DUMMYFUNCTION("""COMPUTED_VALUE"""),"1418")</f>
        <v>1418</v>
      </c>
      <c r="D1198" s="6" t="str">
        <f>IFERROR(__xludf.DUMMYFUNCTION("""COMPUTED_VALUE"""),"Roman")</f>
        <v>Roman</v>
      </c>
      <c r="E1198" s="6" t="str">
        <f>IFERROR(__xludf.DUMMYFUNCTION("""COMPUTED_VALUE"""),"")</f>
        <v/>
      </c>
      <c r="F1198" s="6" t="str">
        <f>IFERROR(__xludf.DUMMYFUNCTION("""COMPUTED_VALUE"""),"Prysiazhniuk")</f>
        <v>Prysiazhniuk</v>
      </c>
      <c r="G1198" s="6" t="str">
        <f>IFERROR(__xludf.DUMMYFUNCTION("""COMPUTED_VALUE"""),"01/01/2011")</f>
        <v>01/01/2011</v>
      </c>
      <c r="H1198" s="6" t="str">
        <f>IFERROR(__xludf.DUMMYFUNCTION("""COMPUTED_VALUE"""),"Self Identify")</f>
        <v>Self Identify</v>
      </c>
      <c r="I1198" s="6" t="str">
        <f>IFERROR(__xludf.DUMMYFUNCTION("""COMPUTED_VALUE"""),"Middle School")</f>
        <v>Middle School</v>
      </c>
      <c r="J1198" s="6" t="str">
        <f>IFERROR(__xludf.DUMMYFUNCTION("""COMPUTED_VALUE"""),"8")</f>
        <v>8</v>
      </c>
      <c r="K1198" s="6" t="str">
        <f>IFERROR(__xludf.DUMMYFUNCTION("""COMPUTED_VALUE"""),"roman.prysiazhniuk@2hourlearning.com")</f>
        <v>roman.prysiazhniuk@2hourlearning.com</v>
      </c>
      <c r="L1198" s="6" t="str">
        <f>IFERROR(__xludf.DUMMYFUNCTION("""COMPUTED_VALUE"""),"Learn and Earn Poland")</f>
        <v>Learn and Earn Poland</v>
      </c>
      <c r="M1198" s="6" t="str">
        <f>IFERROR(__xludf.DUMMYFUNCTION("""COMPUTED_VALUE"""),"Poland ex-GTS")</f>
        <v>Poland ex-GTS</v>
      </c>
      <c r="N1198" s="6" t="str">
        <f>IFERROR(__xludf.DUMMYFUNCTION("""COMPUTED_VALUE"""),"")</f>
        <v/>
      </c>
      <c r="O1198" s="87" t="str">
        <f>IFERROR(__xludf.DUMMYFUNCTION("""COMPUTED_VALUE"""),"https://drive.google.com/drive/folders/10T2cTQHqEJZqE-st6uFKPoI?usp=share_link")</f>
        <v>https://drive.google.com/drive/folders/10T2cTQHqEJZqE-st6uFKPoI?usp=share_link</v>
      </c>
      <c r="P1198" s="6" t="str">
        <f>IFERROR(__xludf.DUMMYFUNCTION("""COMPUTED_VALUE"""),"Roman Prysiazhniuk")</f>
        <v>Roman Prysiazhniuk</v>
      </c>
      <c r="Q1198" s="6" t="str">
        <f>IFERROR(__xludf.DUMMYFUNCTION("""COMPUTED_VALUE"""),"MS")</f>
        <v>MS</v>
      </c>
      <c r="R1198" s="6">
        <f>IFERROR(__xludf.DUMMYFUNCTION("""COMPUTED_VALUE"""),0.0)</f>
        <v>0</v>
      </c>
      <c r="S1198" s="6" t="str">
        <f>IFERROR(__xludf.DUMMYFUNCTION("""COMPUTED_VALUE""")," ")</f>
        <v> </v>
      </c>
      <c r="T1198" s="6" t="str">
        <f>IFERROR(__xludf.DUMMYFUNCTION("""COMPUTED_VALUE"""),"")</f>
        <v/>
      </c>
      <c r="U1198" s="6" t="str">
        <f>IFERROR(__xludf.DUMMYFUNCTION("""COMPUTED_VALUE"""),"8")</f>
        <v>8</v>
      </c>
      <c r="V1198" s="6" t="str">
        <f>IFERROR(__xludf.DUMMYFUNCTION("""COMPUTED_VALUE"""),"English")</f>
        <v>English</v>
      </c>
      <c r="W1198" s="6" t="str">
        <f>IFERROR(__xludf.DUMMYFUNCTION("""COMPUTED_VALUE"""),"[]")</f>
        <v>[]</v>
      </c>
      <c r="X1198" s="6" t="str">
        <f>IFERROR(__xludf.DUMMYFUNCTION("""COMPUTED_VALUE"""),"Enrolled")</f>
        <v>Enrolled</v>
      </c>
    </row>
    <row r="1199">
      <c r="A1199" s="6" t="str">
        <f>IFERROR(__xludf.DUMMYFUNCTION("""COMPUTED_VALUE"""),"009-1419")</f>
        <v>009-1419</v>
      </c>
      <c r="B1199" s="6" t="str">
        <f>IFERROR(__xludf.DUMMYFUNCTION("""COMPUTED_VALUE"""),"9")</f>
        <v>9</v>
      </c>
      <c r="C1199" s="6" t="str">
        <f>IFERROR(__xludf.DUMMYFUNCTION("""COMPUTED_VALUE"""),"1419")</f>
        <v>1419</v>
      </c>
      <c r="D1199" s="6" t="str">
        <f>IFERROR(__xludf.DUMMYFUNCTION("""COMPUTED_VALUE"""),"Shpak")</f>
        <v>Shpak</v>
      </c>
      <c r="E1199" s="6" t="str">
        <f>IFERROR(__xludf.DUMMYFUNCTION("""COMPUTED_VALUE"""),"")</f>
        <v/>
      </c>
      <c r="F1199" s="6" t="str">
        <f>IFERROR(__xludf.DUMMYFUNCTION("""COMPUTED_VALUE"""),"Tymur")</f>
        <v>Tymur</v>
      </c>
      <c r="G1199" s="6" t="str">
        <f>IFERROR(__xludf.DUMMYFUNCTION("""COMPUTED_VALUE"""),"01/01/2015")</f>
        <v>01/01/2015</v>
      </c>
      <c r="H1199" s="6" t="str">
        <f>IFERROR(__xludf.DUMMYFUNCTION("""COMPUTED_VALUE"""),"Self Identify")</f>
        <v>Self Identify</v>
      </c>
      <c r="I1199" s="6" t="str">
        <f>IFERROR(__xludf.DUMMYFUNCTION("""COMPUTED_VALUE"""),"Level 2")</f>
        <v>Level 2</v>
      </c>
      <c r="J1199" s="6" t="str">
        <f>IFERROR(__xludf.DUMMYFUNCTION("""COMPUTED_VALUE"""),"4")</f>
        <v>4</v>
      </c>
      <c r="K1199" s="6" t="str">
        <f>IFERROR(__xludf.DUMMYFUNCTION("""COMPUTED_VALUE"""),"shpak.tymur@2hourlearning.com")</f>
        <v>shpak.tymur@2hourlearning.com</v>
      </c>
      <c r="L1199" s="6" t="str">
        <f>IFERROR(__xludf.DUMMYFUNCTION("""COMPUTED_VALUE"""),"Learn and Earn Poland")</f>
        <v>Learn and Earn Poland</v>
      </c>
      <c r="M1199" s="6" t="str">
        <f>IFERROR(__xludf.DUMMYFUNCTION("""COMPUTED_VALUE"""),"Poland ex-GTS")</f>
        <v>Poland ex-GTS</v>
      </c>
      <c r="N1199" s="6" t="str">
        <f>IFERROR(__xludf.DUMMYFUNCTION("""COMPUTED_VALUE"""),"")</f>
        <v/>
      </c>
      <c r="O1199" s="87" t="str">
        <f>IFERROR(__xludf.DUMMYFUNCTION("""COMPUTED_VALUE"""),"https://drive.google.com/drive/folders/10T2cTQHqEJZqE-st6uFKPoI?usp=share_link")</f>
        <v>https://drive.google.com/drive/folders/10T2cTQHqEJZqE-st6uFKPoI?usp=share_link</v>
      </c>
      <c r="P1199" s="6" t="str">
        <f>IFERROR(__xludf.DUMMYFUNCTION("""COMPUTED_VALUE"""),"Shpak Tymur")</f>
        <v>Shpak Tymur</v>
      </c>
      <c r="Q1199" s="6" t="str">
        <f>IFERROR(__xludf.DUMMYFUNCTION("""COMPUTED_VALUE"""),"L2")</f>
        <v>L2</v>
      </c>
      <c r="R1199" s="6">
        <f>IFERROR(__xludf.DUMMYFUNCTION("""COMPUTED_VALUE"""),2.0)</f>
        <v>2</v>
      </c>
      <c r="S1199" s="6" t="str">
        <f>IFERROR(__xludf.DUMMYFUNCTION("""COMPUTED_VALUE""")," ")</f>
        <v> </v>
      </c>
      <c r="T1199" s="6" t="str">
        <f>IFERROR(__xludf.DUMMYFUNCTION("""COMPUTED_VALUE"""),"")</f>
        <v/>
      </c>
      <c r="U1199" s="6" t="str">
        <f>IFERROR(__xludf.DUMMYFUNCTION("""COMPUTED_VALUE"""),"4")</f>
        <v>4</v>
      </c>
      <c r="V1199" s="6" t="str">
        <f>IFERROR(__xludf.DUMMYFUNCTION("""COMPUTED_VALUE"""),"English")</f>
        <v>English</v>
      </c>
      <c r="W1199" s="6" t="str">
        <f>IFERROR(__xludf.DUMMYFUNCTION("""COMPUTED_VALUE"""),"[]")</f>
        <v>[]</v>
      </c>
      <c r="X1199" s="6" t="str">
        <f>IFERROR(__xludf.DUMMYFUNCTION("""COMPUTED_VALUE"""),"Enrolled")</f>
        <v>Enrolled</v>
      </c>
    </row>
    <row r="1200">
      <c r="A1200" s="6" t="str">
        <f>IFERROR(__xludf.DUMMYFUNCTION("""COMPUTED_VALUE"""),"009-1420")</f>
        <v>009-1420</v>
      </c>
      <c r="B1200" s="6" t="str">
        <f>IFERROR(__xludf.DUMMYFUNCTION("""COMPUTED_VALUE"""),"9")</f>
        <v>9</v>
      </c>
      <c r="C1200" s="6" t="str">
        <f>IFERROR(__xludf.DUMMYFUNCTION("""COMPUTED_VALUE"""),"1420")</f>
        <v>1420</v>
      </c>
      <c r="D1200" s="6" t="str">
        <f>IFERROR(__xludf.DUMMYFUNCTION("""COMPUTED_VALUE"""),"Solomiia")</f>
        <v>Solomiia</v>
      </c>
      <c r="E1200" s="6" t="str">
        <f>IFERROR(__xludf.DUMMYFUNCTION("""COMPUTED_VALUE"""),"")</f>
        <v/>
      </c>
      <c r="F1200" s="6" t="str">
        <f>IFERROR(__xludf.DUMMYFUNCTION("""COMPUTED_VALUE"""),"Deriabina")</f>
        <v>Deriabina</v>
      </c>
      <c r="G1200" s="6" t="str">
        <f>IFERROR(__xludf.DUMMYFUNCTION("""COMPUTED_VALUE"""),"01/01/2008")</f>
        <v>01/01/2008</v>
      </c>
      <c r="H1200" s="6" t="str">
        <f>IFERROR(__xludf.DUMMYFUNCTION("""COMPUTED_VALUE"""),"Self Identify")</f>
        <v>Self Identify</v>
      </c>
      <c r="I1200" s="6" t="str">
        <f>IFERROR(__xludf.DUMMYFUNCTION("""COMPUTED_VALUE"""),"High School")</f>
        <v>High School</v>
      </c>
      <c r="J1200" s="6" t="str">
        <f>IFERROR(__xludf.DUMMYFUNCTION("""COMPUTED_VALUE"""),"11")</f>
        <v>11</v>
      </c>
      <c r="K1200" s="6" t="str">
        <f>IFERROR(__xludf.DUMMYFUNCTION("""COMPUTED_VALUE"""),"solomiia.deriabina@2hourlearning.com")</f>
        <v>solomiia.deriabina@2hourlearning.com</v>
      </c>
      <c r="L1200" s="6" t="str">
        <f>IFERROR(__xludf.DUMMYFUNCTION("""COMPUTED_VALUE"""),"Learn and Earn Poland")</f>
        <v>Learn and Earn Poland</v>
      </c>
      <c r="M1200" s="6" t="str">
        <f>IFERROR(__xludf.DUMMYFUNCTION("""COMPUTED_VALUE"""),"Poland ex-GTS")</f>
        <v>Poland ex-GTS</v>
      </c>
      <c r="N1200" s="6" t="str">
        <f>IFERROR(__xludf.DUMMYFUNCTION("""COMPUTED_VALUE"""),"")</f>
        <v/>
      </c>
      <c r="O1200" s="87" t="str">
        <f>IFERROR(__xludf.DUMMYFUNCTION("""COMPUTED_VALUE"""),"https://drive.google.com/drive/folders/10T2cTQHqEJZqE-st6uFKPoI?usp=share_link")</f>
        <v>https://drive.google.com/drive/folders/10T2cTQHqEJZqE-st6uFKPoI?usp=share_link</v>
      </c>
      <c r="P1200" s="6" t="str">
        <f>IFERROR(__xludf.DUMMYFUNCTION("""COMPUTED_VALUE"""),"Solomiia Deriabina")</f>
        <v>Solomiia Deriabina</v>
      </c>
      <c r="Q1200" s="6" t="str">
        <f>IFERROR(__xludf.DUMMYFUNCTION("""COMPUTED_VALUE"""),"HS")</f>
        <v>HS</v>
      </c>
      <c r="R1200" s="6">
        <f>IFERROR(__xludf.DUMMYFUNCTION("""COMPUTED_VALUE"""),0.0)</f>
        <v>0</v>
      </c>
      <c r="S1200" s="6" t="str">
        <f>IFERROR(__xludf.DUMMYFUNCTION("""COMPUTED_VALUE""")," ")</f>
        <v> </v>
      </c>
      <c r="T1200" s="6" t="str">
        <f>IFERROR(__xludf.DUMMYFUNCTION("""COMPUTED_VALUE"""),"")</f>
        <v/>
      </c>
      <c r="U1200" s="6" t="str">
        <f>IFERROR(__xludf.DUMMYFUNCTION("""COMPUTED_VALUE"""),"11")</f>
        <v>11</v>
      </c>
      <c r="V1200" s="6" t="str">
        <f>IFERROR(__xludf.DUMMYFUNCTION("""COMPUTED_VALUE"""),"English")</f>
        <v>English</v>
      </c>
      <c r="W1200" s="6" t="str">
        <f>IFERROR(__xludf.DUMMYFUNCTION("""COMPUTED_VALUE"""),"[]")</f>
        <v>[]</v>
      </c>
      <c r="X1200" s="6" t="str">
        <f>IFERROR(__xludf.DUMMYFUNCTION("""COMPUTED_VALUE"""),"Enrolled")</f>
        <v>Enrolled</v>
      </c>
    </row>
    <row r="1201">
      <c r="A1201" s="6" t="str">
        <f>IFERROR(__xludf.DUMMYFUNCTION("""COMPUTED_VALUE"""),"009-1421")</f>
        <v>009-1421</v>
      </c>
      <c r="B1201" s="6" t="str">
        <f>IFERROR(__xludf.DUMMYFUNCTION("""COMPUTED_VALUE"""),"9")</f>
        <v>9</v>
      </c>
      <c r="C1201" s="6" t="str">
        <f>IFERROR(__xludf.DUMMYFUNCTION("""COMPUTED_VALUE"""),"1421")</f>
        <v>1421</v>
      </c>
      <c r="D1201" s="6" t="str">
        <f>IFERROR(__xludf.DUMMYFUNCTION("""COMPUTED_VALUE"""),"Nataliia")</f>
        <v>Nataliia</v>
      </c>
      <c r="E1201" s="6" t="str">
        <f>IFERROR(__xludf.DUMMYFUNCTION("""COMPUTED_VALUE"""),"")</f>
        <v/>
      </c>
      <c r="F1201" s="6" t="str">
        <f>IFERROR(__xludf.DUMMYFUNCTION("""COMPUTED_VALUE"""),"Safonova")</f>
        <v>Safonova</v>
      </c>
      <c r="G1201" s="6" t="str">
        <f>IFERROR(__xludf.DUMMYFUNCTION("""COMPUTED_VALUE"""),"01/01/2014")</f>
        <v>01/01/2014</v>
      </c>
      <c r="H1201" s="6" t="str">
        <f>IFERROR(__xludf.DUMMYFUNCTION("""COMPUTED_VALUE"""),"Self Identify")</f>
        <v>Self Identify</v>
      </c>
      <c r="I1201" s="6" t="str">
        <f>IFERROR(__xludf.DUMMYFUNCTION("""COMPUTED_VALUE"""),"Level 2")</f>
        <v>Level 2</v>
      </c>
      <c r="J1201" s="6" t="str">
        <f>IFERROR(__xludf.DUMMYFUNCTION("""COMPUTED_VALUE"""),"5")</f>
        <v>5</v>
      </c>
      <c r="K1201" s="6" t="str">
        <f>IFERROR(__xludf.DUMMYFUNCTION("""COMPUTED_VALUE"""),"nataliia.safonova@2hourlearning.com")</f>
        <v>nataliia.safonova@2hourlearning.com</v>
      </c>
      <c r="L1201" s="6" t="str">
        <f>IFERROR(__xludf.DUMMYFUNCTION("""COMPUTED_VALUE"""),"Learn and Earn Poland")</f>
        <v>Learn and Earn Poland</v>
      </c>
      <c r="M1201" s="6" t="str">
        <f>IFERROR(__xludf.DUMMYFUNCTION("""COMPUTED_VALUE"""),"Poland ex-GTS")</f>
        <v>Poland ex-GTS</v>
      </c>
      <c r="N1201" s="6" t="str">
        <f>IFERROR(__xludf.DUMMYFUNCTION("""COMPUTED_VALUE"""),"")</f>
        <v/>
      </c>
      <c r="O1201" s="87" t="str">
        <f>IFERROR(__xludf.DUMMYFUNCTION("""COMPUTED_VALUE"""),"https://drive.google.com/drive/folders/10T2cTQHqEJZqE-st6uFKPoI?usp=share_link")</f>
        <v>https://drive.google.com/drive/folders/10T2cTQHqEJZqE-st6uFKPoI?usp=share_link</v>
      </c>
      <c r="P1201" s="6" t="str">
        <f>IFERROR(__xludf.DUMMYFUNCTION("""COMPUTED_VALUE"""),"Nataliia Safonova")</f>
        <v>Nataliia Safonova</v>
      </c>
      <c r="Q1201" s="6" t="str">
        <f>IFERROR(__xludf.DUMMYFUNCTION("""COMPUTED_VALUE"""),"L2")</f>
        <v>L2</v>
      </c>
      <c r="R1201" s="6">
        <f>IFERROR(__xludf.DUMMYFUNCTION("""COMPUTED_VALUE"""),2.0)</f>
        <v>2</v>
      </c>
      <c r="S1201" s="6" t="str">
        <f>IFERROR(__xludf.DUMMYFUNCTION("""COMPUTED_VALUE""")," ")</f>
        <v> </v>
      </c>
      <c r="T1201" s="6" t="str">
        <f>IFERROR(__xludf.DUMMYFUNCTION("""COMPUTED_VALUE"""),"")</f>
        <v/>
      </c>
      <c r="U1201" s="6" t="str">
        <f>IFERROR(__xludf.DUMMYFUNCTION("""COMPUTED_VALUE"""),"5")</f>
        <v>5</v>
      </c>
      <c r="V1201" s="6" t="str">
        <f>IFERROR(__xludf.DUMMYFUNCTION("""COMPUTED_VALUE"""),"English")</f>
        <v>English</v>
      </c>
      <c r="W1201" s="6" t="str">
        <f>IFERROR(__xludf.DUMMYFUNCTION("""COMPUTED_VALUE"""),"[]")</f>
        <v>[]</v>
      </c>
      <c r="X1201" s="6" t="str">
        <f>IFERROR(__xludf.DUMMYFUNCTION("""COMPUTED_VALUE"""),"Enrolled")</f>
        <v>Enrolled</v>
      </c>
    </row>
    <row r="1202">
      <c r="A1202" s="6" t="str">
        <f>IFERROR(__xludf.DUMMYFUNCTION("""COMPUTED_VALUE"""),"009-1422")</f>
        <v>009-1422</v>
      </c>
      <c r="B1202" s="6" t="str">
        <f>IFERROR(__xludf.DUMMYFUNCTION("""COMPUTED_VALUE"""),"9")</f>
        <v>9</v>
      </c>
      <c r="C1202" s="6" t="str">
        <f>IFERROR(__xludf.DUMMYFUNCTION("""COMPUTED_VALUE"""),"1422")</f>
        <v>1422</v>
      </c>
      <c r="D1202" s="6" t="str">
        <f>IFERROR(__xludf.DUMMYFUNCTION("""COMPUTED_VALUE"""),"Oleksandra")</f>
        <v>Oleksandra</v>
      </c>
      <c r="E1202" s="6" t="str">
        <f>IFERROR(__xludf.DUMMYFUNCTION("""COMPUTED_VALUE"""),"")</f>
        <v/>
      </c>
      <c r="F1202" s="6" t="str">
        <f>IFERROR(__xludf.DUMMYFUNCTION("""COMPUTED_VALUE"""),"Sukhyna")</f>
        <v>Sukhyna</v>
      </c>
      <c r="G1202" s="6" t="str">
        <f>IFERROR(__xludf.DUMMYFUNCTION("""COMPUTED_VALUE"""),"01/01/2013")</f>
        <v>01/01/2013</v>
      </c>
      <c r="H1202" s="6" t="str">
        <f>IFERROR(__xludf.DUMMYFUNCTION("""COMPUTED_VALUE"""),"Self Identify")</f>
        <v>Self Identify</v>
      </c>
      <c r="I1202" s="6" t="str">
        <f>IFERROR(__xludf.DUMMYFUNCTION("""COMPUTED_VALUE"""),"Middle School")</f>
        <v>Middle School</v>
      </c>
      <c r="J1202" s="6" t="str">
        <f>IFERROR(__xludf.DUMMYFUNCTION("""COMPUTED_VALUE"""),"6")</f>
        <v>6</v>
      </c>
      <c r="K1202" s="6" t="str">
        <f>IFERROR(__xludf.DUMMYFUNCTION("""COMPUTED_VALUE"""),"oleksandra.sukhyna@2hourlearning.com")</f>
        <v>oleksandra.sukhyna@2hourlearning.com</v>
      </c>
      <c r="L1202" s="6" t="str">
        <f>IFERROR(__xludf.DUMMYFUNCTION("""COMPUTED_VALUE"""),"Learn and Earn Poland")</f>
        <v>Learn and Earn Poland</v>
      </c>
      <c r="M1202" s="6" t="str">
        <f>IFERROR(__xludf.DUMMYFUNCTION("""COMPUTED_VALUE"""),"Poland ex-GTS")</f>
        <v>Poland ex-GTS</v>
      </c>
      <c r="N1202" s="6" t="str">
        <f>IFERROR(__xludf.DUMMYFUNCTION("""COMPUTED_VALUE"""),"")</f>
        <v/>
      </c>
      <c r="O1202" s="87" t="str">
        <f>IFERROR(__xludf.DUMMYFUNCTION("""COMPUTED_VALUE"""),"https://drive.google.com/drive/folders/10T2cTQHqEJZqE-st6uFKPoI?usp=share_link")</f>
        <v>https://drive.google.com/drive/folders/10T2cTQHqEJZqE-st6uFKPoI?usp=share_link</v>
      </c>
      <c r="P1202" s="6" t="str">
        <f>IFERROR(__xludf.DUMMYFUNCTION("""COMPUTED_VALUE"""),"Oleksandra Sukhyna")</f>
        <v>Oleksandra Sukhyna</v>
      </c>
      <c r="Q1202" s="6" t="str">
        <f>IFERROR(__xludf.DUMMYFUNCTION("""COMPUTED_VALUE"""),"MS")</f>
        <v>MS</v>
      </c>
      <c r="R1202" s="6">
        <f>IFERROR(__xludf.DUMMYFUNCTION("""COMPUTED_VALUE"""),0.0)</f>
        <v>0</v>
      </c>
      <c r="S1202" s="6" t="str">
        <f>IFERROR(__xludf.DUMMYFUNCTION("""COMPUTED_VALUE""")," ")</f>
        <v> </v>
      </c>
      <c r="T1202" s="6" t="str">
        <f>IFERROR(__xludf.DUMMYFUNCTION("""COMPUTED_VALUE"""),"")</f>
        <v/>
      </c>
      <c r="U1202" s="6" t="str">
        <f>IFERROR(__xludf.DUMMYFUNCTION("""COMPUTED_VALUE"""),"6")</f>
        <v>6</v>
      </c>
      <c r="V1202" s="6" t="str">
        <f>IFERROR(__xludf.DUMMYFUNCTION("""COMPUTED_VALUE"""),"English")</f>
        <v>English</v>
      </c>
      <c r="W1202" s="6" t="str">
        <f>IFERROR(__xludf.DUMMYFUNCTION("""COMPUTED_VALUE"""),"[]")</f>
        <v>[]</v>
      </c>
      <c r="X1202" s="6" t="str">
        <f>IFERROR(__xludf.DUMMYFUNCTION("""COMPUTED_VALUE"""),"Enrolled")</f>
        <v>Enrolled</v>
      </c>
    </row>
    <row r="1203">
      <c r="A1203" s="6" t="str">
        <f>IFERROR(__xludf.DUMMYFUNCTION("""COMPUTED_VALUE"""),"009-1423")</f>
        <v>009-1423</v>
      </c>
      <c r="B1203" s="6" t="str">
        <f>IFERROR(__xludf.DUMMYFUNCTION("""COMPUTED_VALUE"""),"9")</f>
        <v>9</v>
      </c>
      <c r="C1203" s="6" t="str">
        <f>IFERROR(__xludf.DUMMYFUNCTION("""COMPUTED_VALUE"""),"1423")</f>
        <v>1423</v>
      </c>
      <c r="D1203" s="6" t="str">
        <f>IFERROR(__xludf.DUMMYFUNCTION("""COMPUTED_VALUE"""),"oleksandra")</f>
        <v>oleksandra</v>
      </c>
      <c r="E1203" s="6" t="str">
        <f>IFERROR(__xludf.DUMMYFUNCTION("""COMPUTED_VALUE"""),"")</f>
        <v/>
      </c>
      <c r="F1203" s="6" t="str">
        <f>IFERROR(__xludf.DUMMYFUNCTION("""COMPUTED_VALUE"""),"marchenko")</f>
        <v>marchenko</v>
      </c>
      <c r="G1203" s="6" t="str">
        <f>IFERROR(__xludf.DUMMYFUNCTION("""COMPUTED_VALUE"""),"01/01/2010")</f>
        <v>01/01/2010</v>
      </c>
      <c r="H1203" s="6" t="str">
        <f>IFERROR(__xludf.DUMMYFUNCTION("""COMPUTED_VALUE"""),"Self Identify")</f>
        <v>Self Identify</v>
      </c>
      <c r="I1203" s="6" t="str">
        <f>IFERROR(__xludf.DUMMYFUNCTION("""COMPUTED_VALUE"""),"High School")</f>
        <v>High School</v>
      </c>
      <c r="J1203" s="6" t="str">
        <f>IFERROR(__xludf.DUMMYFUNCTION("""COMPUTED_VALUE"""),"9")</f>
        <v>9</v>
      </c>
      <c r="K1203" s="6" t="str">
        <f>IFERROR(__xludf.DUMMYFUNCTION("""COMPUTED_VALUE"""),"oleksandra.marchenko@2hourlearning.com")</f>
        <v>oleksandra.marchenko@2hourlearning.com</v>
      </c>
      <c r="L1203" s="6" t="str">
        <f>IFERROR(__xludf.DUMMYFUNCTION("""COMPUTED_VALUE"""),"Learn and Earn Poland")</f>
        <v>Learn and Earn Poland</v>
      </c>
      <c r="M1203" s="6" t="str">
        <f>IFERROR(__xludf.DUMMYFUNCTION("""COMPUTED_VALUE"""),"Poland ex-GTS")</f>
        <v>Poland ex-GTS</v>
      </c>
      <c r="N1203" s="6" t="str">
        <f>IFERROR(__xludf.DUMMYFUNCTION("""COMPUTED_VALUE"""),"")</f>
        <v/>
      </c>
      <c r="O1203" s="87" t="str">
        <f>IFERROR(__xludf.DUMMYFUNCTION("""COMPUTED_VALUE"""),"https://drive.google.com/drive/folders/10T2cTQHqEJZqE-st6uFKPoI?usp=share_link")</f>
        <v>https://drive.google.com/drive/folders/10T2cTQHqEJZqE-st6uFKPoI?usp=share_link</v>
      </c>
      <c r="P1203" s="6" t="str">
        <f>IFERROR(__xludf.DUMMYFUNCTION("""COMPUTED_VALUE"""),"oleksandra marchenko")</f>
        <v>oleksandra marchenko</v>
      </c>
      <c r="Q1203" s="6" t="str">
        <f>IFERROR(__xludf.DUMMYFUNCTION("""COMPUTED_VALUE"""),"HS")</f>
        <v>HS</v>
      </c>
      <c r="R1203" s="6">
        <f>IFERROR(__xludf.DUMMYFUNCTION("""COMPUTED_VALUE"""),0.0)</f>
        <v>0</v>
      </c>
      <c r="S1203" s="6" t="str">
        <f>IFERROR(__xludf.DUMMYFUNCTION("""COMPUTED_VALUE""")," ")</f>
        <v> </v>
      </c>
      <c r="T1203" s="6" t="str">
        <f>IFERROR(__xludf.DUMMYFUNCTION("""COMPUTED_VALUE"""),"")</f>
        <v/>
      </c>
      <c r="U1203" s="6" t="str">
        <f>IFERROR(__xludf.DUMMYFUNCTION("""COMPUTED_VALUE"""),"9")</f>
        <v>9</v>
      </c>
      <c r="V1203" s="6" t="str">
        <f>IFERROR(__xludf.DUMMYFUNCTION("""COMPUTED_VALUE"""),"English")</f>
        <v>English</v>
      </c>
      <c r="W1203" s="6" t="str">
        <f>IFERROR(__xludf.DUMMYFUNCTION("""COMPUTED_VALUE"""),"[]")</f>
        <v>[]</v>
      </c>
      <c r="X1203" s="6" t="str">
        <f>IFERROR(__xludf.DUMMYFUNCTION("""COMPUTED_VALUE"""),"Enrolled")</f>
        <v>Enrolled</v>
      </c>
    </row>
    <row r="1204">
      <c r="A1204" s="6" t="str">
        <f>IFERROR(__xludf.DUMMYFUNCTION("""COMPUTED_VALUE"""),"009-1424")</f>
        <v>009-1424</v>
      </c>
      <c r="B1204" s="6" t="str">
        <f>IFERROR(__xludf.DUMMYFUNCTION("""COMPUTED_VALUE"""),"9")</f>
        <v>9</v>
      </c>
      <c r="C1204" s="6" t="str">
        <f>IFERROR(__xludf.DUMMYFUNCTION("""COMPUTED_VALUE"""),"1424")</f>
        <v>1424</v>
      </c>
      <c r="D1204" s="6" t="str">
        <f>IFERROR(__xludf.DUMMYFUNCTION("""COMPUTED_VALUE"""),"Ilona")</f>
        <v>Ilona</v>
      </c>
      <c r="E1204" s="6" t="str">
        <f>IFERROR(__xludf.DUMMYFUNCTION("""COMPUTED_VALUE"""),"")</f>
        <v/>
      </c>
      <c r="F1204" s="6" t="str">
        <f>IFERROR(__xludf.DUMMYFUNCTION("""COMPUTED_VALUE"""),"Siabruk")</f>
        <v>Siabruk</v>
      </c>
      <c r="G1204" s="6" t="str">
        <f>IFERROR(__xludf.DUMMYFUNCTION("""COMPUTED_VALUE"""),"01/01/2012")</f>
        <v>01/01/2012</v>
      </c>
      <c r="H1204" s="6" t="str">
        <f>IFERROR(__xludf.DUMMYFUNCTION("""COMPUTED_VALUE"""),"Self Identify")</f>
        <v>Self Identify</v>
      </c>
      <c r="I1204" s="6" t="str">
        <f>IFERROR(__xludf.DUMMYFUNCTION("""COMPUTED_VALUE"""),"Middle School")</f>
        <v>Middle School</v>
      </c>
      <c r="J1204" s="6" t="str">
        <f>IFERROR(__xludf.DUMMYFUNCTION("""COMPUTED_VALUE"""),"7")</f>
        <v>7</v>
      </c>
      <c r="K1204" s="6" t="str">
        <f>IFERROR(__xludf.DUMMYFUNCTION("""COMPUTED_VALUE"""),"ilona.siabruk@2hourlearning.com")</f>
        <v>ilona.siabruk@2hourlearning.com</v>
      </c>
      <c r="L1204" s="6" t="str">
        <f>IFERROR(__xludf.DUMMYFUNCTION("""COMPUTED_VALUE"""),"Learn and Earn Poland")</f>
        <v>Learn and Earn Poland</v>
      </c>
      <c r="M1204" s="6" t="str">
        <f>IFERROR(__xludf.DUMMYFUNCTION("""COMPUTED_VALUE"""),"Poland ex-GTS")</f>
        <v>Poland ex-GTS</v>
      </c>
      <c r="N1204" s="6" t="str">
        <f>IFERROR(__xludf.DUMMYFUNCTION("""COMPUTED_VALUE"""),"")</f>
        <v/>
      </c>
      <c r="O1204" s="87" t="str">
        <f>IFERROR(__xludf.DUMMYFUNCTION("""COMPUTED_VALUE"""),"https://drive.google.com/drive/folders/10T2cTQHqEJZqE-st6uFKPoI?usp=share_link")</f>
        <v>https://drive.google.com/drive/folders/10T2cTQHqEJZqE-st6uFKPoI?usp=share_link</v>
      </c>
      <c r="P1204" s="6" t="str">
        <f>IFERROR(__xludf.DUMMYFUNCTION("""COMPUTED_VALUE"""),"Ilona Siabruk")</f>
        <v>Ilona Siabruk</v>
      </c>
      <c r="Q1204" s="6" t="str">
        <f>IFERROR(__xludf.DUMMYFUNCTION("""COMPUTED_VALUE"""),"MS")</f>
        <v>MS</v>
      </c>
      <c r="R1204" s="6">
        <f>IFERROR(__xludf.DUMMYFUNCTION("""COMPUTED_VALUE"""),0.0)</f>
        <v>0</v>
      </c>
      <c r="S1204" s="6" t="str">
        <f>IFERROR(__xludf.DUMMYFUNCTION("""COMPUTED_VALUE""")," ")</f>
        <v> </v>
      </c>
      <c r="T1204" s="6" t="str">
        <f>IFERROR(__xludf.DUMMYFUNCTION("""COMPUTED_VALUE"""),"")</f>
        <v/>
      </c>
      <c r="U1204" s="6" t="str">
        <f>IFERROR(__xludf.DUMMYFUNCTION("""COMPUTED_VALUE"""),"7")</f>
        <v>7</v>
      </c>
      <c r="V1204" s="6" t="str">
        <f>IFERROR(__xludf.DUMMYFUNCTION("""COMPUTED_VALUE"""),"English")</f>
        <v>English</v>
      </c>
      <c r="W1204" s="6" t="str">
        <f>IFERROR(__xludf.DUMMYFUNCTION("""COMPUTED_VALUE"""),"[]")</f>
        <v>[]</v>
      </c>
      <c r="X1204" s="6" t="str">
        <f>IFERROR(__xludf.DUMMYFUNCTION("""COMPUTED_VALUE"""),"Enrolled")</f>
        <v>Enrolled</v>
      </c>
    </row>
    <row r="1205">
      <c r="A1205" s="6" t="str">
        <f>IFERROR(__xludf.DUMMYFUNCTION("""COMPUTED_VALUE"""),"009-1425")</f>
        <v>009-1425</v>
      </c>
      <c r="B1205" s="6" t="str">
        <f>IFERROR(__xludf.DUMMYFUNCTION("""COMPUTED_VALUE"""),"9")</f>
        <v>9</v>
      </c>
      <c r="C1205" s="6" t="str">
        <f>IFERROR(__xludf.DUMMYFUNCTION("""COMPUTED_VALUE"""),"1425")</f>
        <v>1425</v>
      </c>
      <c r="D1205" s="6" t="str">
        <f>IFERROR(__xludf.DUMMYFUNCTION("""COMPUTED_VALUE"""),"Bohdan")</f>
        <v>Bohdan</v>
      </c>
      <c r="E1205" s="6" t="str">
        <f>IFERROR(__xludf.DUMMYFUNCTION("""COMPUTED_VALUE"""),"")</f>
        <v/>
      </c>
      <c r="F1205" s="6" t="str">
        <f>IFERROR(__xludf.DUMMYFUNCTION("""COMPUTED_VALUE"""),"Nizelskyi")</f>
        <v>Nizelskyi</v>
      </c>
      <c r="G1205" s="6" t="str">
        <f>IFERROR(__xludf.DUMMYFUNCTION("""COMPUTED_VALUE"""),"01/01/2011")</f>
        <v>01/01/2011</v>
      </c>
      <c r="H1205" s="6" t="str">
        <f>IFERROR(__xludf.DUMMYFUNCTION("""COMPUTED_VALUE"""),"Self Identify")</f>
        <v>Self Identify</v>
      </c>
      <c r="I1205" s="6" t="str">
        <f>IFERROR(__xludf.DUMMYFUNCTION("""COMPUTED_VALUE"""),"Middle School")</f>
        <v>Middle School</v>
      </c>
      <c r="J1205" s="6" t="str">
        <f>IFERROR(__xludf.DUMMYFUNCTION("""COMPUTED_VALUE"""),"8")</f>
        <v>8</v>
      </c>
      <c r="K1205" s="6" t="str">
        <f>IFERROR(__xludf.DUMMYFUNCTION("""COMPUTED_VALUE"""),"bohdan.nizelskyi@2hourlearning.com")</f>
        <v>bohdan.nizelskyi@2hourlearning.com</v>
      </c>
      <c r="L1205" s="6" t="str">
        <f>IFERROR(__xludf.DUMMYFUNCTION("""COMPUTED_VALUE"""),"Learn and Earn Poland")</f>
        <v>Learn and Earn Poland</v>
      </c>
      <c r="M1205" s="6" t="str">
        <f>IFERROR(__xludf.DUMMYFUNCTION("""COMPUTED_VALUE"""),"Poland ex-GTS")</f>
        <v>Poland ex-GTS</v>
      </c>
      <c r="N1205" s="6" t="str">
        <f>IFERROR(__xludf.DUMMYFUNCTION("""COMPUTED_VALUE"""),"")</f>
        <v/>
      </c>
      <c r="O1205" s="87" t="str">
        <f>IFERROR(__xludf.DUMMYFUNCTION("""COMPUTED_VALUE"""),"https://drive.google.com/drive/folders/10T2cTQHqEJZqE-st6uFKPoI?usp=share_link")</f>
        <v>https://drive.google.com/drive/folders/10T2cTQHqEJZqE-st6uFKPoI?usp=share_link</v>
      </c>
      <c r="P1205" s="6" t="str">
        <f>IFERROR(__xludf.DUMMYFUNCTION("""COMPUTED_VALUE"""),"Bohdan Nizelskyi")</f>
        <v>Bohdan Nizelskyi</v>
      </c>
      <c r="Q1205" s="6" t="str">
        <f>IFERROR(__xludf.DUMMYFUNCTION("""COMPUTED_VALUE"""),"MS")</f>
        <v>MS</v>
      </c>
      <c r="R1205" s="6">
        <f>IFERROR(__xludf.DUMMYFUNCTION("""COMPUTED_VALUE"""),0.0)</f>
        <v>0</v>
      </c>
      <c r="S1205" s="6" t="str">
        <f>IFERROR(__xludf.DUMMYFUNCTION("""COMPUTED_VALUE""")," ")</f>
        <v> </v>
      </c>
      <c r="T1205" s="6" t="str">
        <f>IFERROR(__xludf.DUMMYFUNCTION("""COMPUTED_VALUE"""),"")</f>
        <v/>
      </c>
      <c r="U1205" s="6" t="str">
        <f>IFERROR(__xludf.DUMMYFUNCTION("""COMPUTED_VALUE"""),"8")</f>
        <v>8</v>
      </c>
      <c r="V1205" s="6" t="str">
        <f>IFERROR(__xludf.DUMMYFUNCTION("""COMPUTED_VALUE"""),"English")</f>
        <v>English</v>
      </c>
      <c r="W1205" s="6" t="str">
        <f>IFERROR(__xludf.DUMMYFUNCTION("""COMPUTED_VALUE"""),"[]")</f>
        <v>[]</v>
      </c>
      <c r="X1205" s="6" t="str">
        <f>IFERROR(__xludf.DUMMYFUNCTION("""COMPUTED_VALUE"""),"Enrolled")</f>
        <v>Enrolled</v>
      </c>
    </row>
    <row r="1206">
      <c r="A1206" s="6" t="str">
        <f>IFERROR(__xludf.DUMMYFUNCTION("""COMPUTED_VALUE"""),"009-1426")</f>
        <v>009-1426</v>
      </c>
      <c r="B1206" s="6" t="str">
        <f>IFERROR(__xludf.DUMMYFUNCTION("""COMPUTED_VALUE"""),"9")</f>
        <v>9</v>
      </c>
      <c r="C1206" s="6" t="str">
        <f>IFERROR(__xludf.DUMMYFUNCTION("""COMPUTED_VALUE"""),"1426")</f>
        <v>1426</v>
      </c>
      <c r="D1206" s="6" t="str">
        <f>IFERROR(__xludf.DUMMYFUNCTION("""COMPUTED_VALUE"""),"Yuliia")</f>
        <v>Yuliia</v>
      </c>
      <c r="E1206" s="6" t="str">
        <f>IFERROR(__xludf.DUMMYFUNCTION("""COMPUTED_VALUE"""),"")</f>
        <v/>
      </c>
      <c r="F1206" s="6" t="str">
        <f>IFERROR(__xludf.DUMMYFUNCTION("""COMPUTED_VALUE"""),"Sheremetina")</f>
        <v>Sheremetina</v>
      </c>
      <c r="G1206" s="6" t="str">
        <f>IFERROR(__xludf.DUMMYFUNCTION("""COMPUTED_VALUE"""),"01/01/2013")</f>
        <v>01/01/2013</v>
      </c>
      <c r="H1206" s="6" t="str">
        <f>IFERROR(__xludf.DUMMYFUNCTION("""COMPUTED_VALUE"""),"Self Identify")</f>
        <v>Self Identify</v>
      </c>
      <c r="I1206" s="6" t="str">
        <f>IFERROR(__xludf.DUMMYFUNCTION("""COMPUTED_VALUE"""),"Middle School")</f>
        <v>Middle School</v>
      </c>
      <c r="J1206" s="6" t="str">
        <f>IFERROR(__xludf.DUMMYFUNCTION("""COMPUTED_VALUE"""),"6")</f>
        <v>6</v>
      </c>
      <c r="K1206" s="6" t="str">
        <f>IFERROR(__xludf.DUMMYFUNCTION("""COMPUTED_VALUE"""),"yuliia.sheremetina@2hourlearning.com")</f>
        <v>yuliia.sheremetina@2hourlearning.com</v>
      </c>
      <c r="L1206" s="6" t="str">
        <f>IFERROR(__xludf.DUMMYFUNCTION("""COMPUTED_VALUE"""),"Learn and Earn Poland")</f>
        <v>Learn and Earn Poland</v>
      </c>
      <c r="M1206" s="6" t="str">
        <f>IFERROR(__xludf.DUMMYFUNCTION("""COMPUTED_VALUE"""),"Poland ex-GTS")</f>
        <v>Poland ex-GTS</v>
      </c>
      <c r="N1206" s="6" t="str">
        <f>IFERROR(__xludf.DUMMYFUNCTION("""COMPUTED_VALUE"""),"")</f>
        <v/>
      </c>
      <c r="O1206" s="87" t="str">
        <f>IFERROR(__xludf.DUMMYFUNCTION("""COMPUTED_VALUE"""),"https://drive.google.com/drive/folders/10T2cTQHqEJZqE-st6uFKPoI?usp=share_link")</f>
        <v>https://drive.google.com/drive/folders/10T2cTQHqEJZqE-st6uFKPoI?usp=share_link</v>
      </c>
      <c r="P1206" s="6" t="str">
        <f>IFERROR(__xludf.DUMMYFUNCTION("""COMPUTED_VALUE"""),"Yuliia Sheremetina")</f>
        <v>Yuliia Sheremetina</v>
      </c>
      <c r="Q1206" s="6" t="str">
        <f>IFERROR(__xludf.DUMMYFUNCTION("""COMPUTED_VALUE"""),"MS")</f>
        <v>MS</v>
      </c>
      <c r="R1206" s="6">
        <f>IFERROR(__xludf.DUMMYFUNCTION("""COMPUTED_VALUE"""),0.0)</f>
        <v>0</v>
      </c>
      <c r="S1206" s="6" t="str">
        <f>IFERROR(__xludf.DUMMYFUNCTION("""COMPUTED_VALUE""")," ")</f>
        <v> </v>
      </c>
      <c r="T1206" s="6" t="str">
        <f>IFERROR(__xludf.DUMMYFUNCTION("""COMPUTED_VALUE"""),"")</f>
        <v/>
      </c>
      <c r="U1206" s="6" t="str">
        <f>IFERROR(__xludf.DUMMYFUNCTION("""COMPUTED_VALUE"""),"6")</f>
        <v>6</v>
      </c>
      <c r="V1206" s="6" t="str">
        <f>IFERROR(__xludf.DUMMYFUNCTION("""COMPUTED_VALUE"""),"English")</f>
        <v>English</v>
      </c>
      <c r="W1206" s="6" t="str">
        <f>IFERROR(__xludf.DUMMYFUNCTION("""COMPUTED_VALUE"""),"[]")</f>
        <v>[]</v>
      </c>
      <c r="X1206" s="6" t="str">
        <f>IFERROR(__xludf.DUMMYFUNCTION("""COMPUTED_VALUE"""),"Enrolled")</f>
        <v>Enrolled</v>
      </c>
    </row>
    <row r="1207">
      <c r="A1207" s="6" t="str">
        <f>IFERROR(__xludf.DUMMYFUNCTION("""COMPUTED_VALUE"""),"009-1427")</f>
        <v>009-1427</v>
      </c>
      <c r="B1207" s="6" t="str">
        <f>IFERROR(__xludf.DUMMYFUNCTION("""COMPUTED_VALUE"""),"9")</f>
        <v>9</v>
      </c>
      <c r="C1207" s="6" t="str">
        <f>IFERROR(__xludf.DUMMYFUNCTION("""COMPUTED_VALUE"""),"1427")</f>
        <v>1427</v>
      </c>
      <c r="D1207" s="6" t="str">
        <f>IFERROR(__xludf.DUMMYFUNCTION("""COMPUTED_VALUE"""),"Ernest")</f>
        <v>Ernest</v>
      </c>
      <c r="E1207" s="6" t="str">
        <f>IFERROR(__xludf.DUMMYFUNCTION("""COMPUTED_VALUE"""),"")</f>
        <v/>
      </c>
      <c r="F1207" s="6" t="str">
        <f>IFERROR(__xludf.DUMMYFUNCTION("""COMPUTED_VALUE"""),"Mytsyk")</f>
        <v>Mytsyk</v>
      </c>
      <c r="G1207" s="6" t="str">
        <f>IFERROR(__xludf.DUMMYFUNCTION("""COMPUTED_VALUE"""),"01/01/2013")</f>
        <v>01/01/2013</v>
      </c>
      <c r="H1207" s="6" t="str">
        <f>IFERROR(__xludf.DUMMYFUNCTION("""COMPUTED_VALUE"""),"Self Identify")</f>
        <v>Self Identify</v>
      </c>
      <c r="I1207" s="6" t="str">
        <f>IFERROR(__xludf.DUMMYFUNCTION("""COMPUTED_VALUE"""),"Middle School")</f>
        <v>Middle School</v>
      </c>
      <c r="J1207" s="6" t="str">
        <f>IFERROR(__xludf.DUMMYFUNCTION("""COMPUTED_VALUE"""),"6")</f>
        <v>6</v>
      </c>
      <c r="K1207" s="6" t="str">
        <f>IFERROR(__xludf.DUMMYFUNCTION("""COMPUTED_VALUE"""),"ernest.mytsyk@2hourlearning.com")</f>
        <v>ernest.mytsyk@2hourlearning.com</v>
      </c>
      <c r="L1207" s="6" t="str">
        <f>IFERROR(__xludf.DUMMYFUNCTION("""COMPUTED_VALUE"""),"Learn and Earn Poland")</f>
        <v>Learn and Earn Poland</v>
      </c>
      <c r="M1207" s="6" t="str">
        <f>IFERROR(__xludf.DUMMYFUNCTION("""COMPUTED_VALUE"""),"Poland ex-GTS")</f>
        <v>Poland ex-GTS</v>
      </c>
      <c r="N1207" s="6" t="str">
        <f>IFERROR(__xludf.DUMMYFUNCTION("""COMPUTED_VALUE"""),"")</f>
        <v/>
      </c>
      <c r="O1207" s="87" t="str">
        <f>IFERROR(__xludf.DUMMYFUNCTION("""COMPUTED_VALUE"""),"https://drive.google.com/drive/folders/10T2cTQHqEJZqE-st6uFKPoI?usp=share_link")</f>
        <v>https://drive.google.com/drive/folders/10T2cTQHqEJZqE-st6uFKPoI?usp=share_link</v>
      </c>
      <c r="P1207" s="6" t="str">
        <f>IFERROR(__xludf.DUMMYFUNCTION("""COMPUTED_VALUE"""),"Ernest Mytsyk")</f>
        <v>Ernest Mytsyk</v>
      </c>
      <c r="Q1207" s="6" t="str">
        <f>IFERROR(__xludf.DUMMYFUNCTION("""COMPUTED_VALUE"""),"MS")</f>
        <v>MS</v>
      </c>
      <c r="R1207" s="6">
        <f>IFERROR(__xludf.DUMMYFUNCTION("""COMPUTED_VALUE"""),0.0)</f>
        <v>0</v>
      </c>
      <c r="S1207" s="6" t="str">
        <f>IFERROR(__xludf.DUMMYFUNCTION("""COMPUTED_VALUE""")," ")</f>
        <v> </v>
      </c>
      <c r="T1207" s="6" t="str">
        <f>IFERROR(__xludf.DUMMYFUNCTION("""COMPUTED_VALUE"""),"")</f>
        <v/>
      </c>
      <c r="U1207" s="6" t="str">
        <f>IFERROR(__xludf.DUMMYFUNCTION("""COMPUTED_VALUE"""),"6")</f>
        <v>6</v>
      </c>
      <c r="V1207" s="6" t="str">
        <f>IFERROR(__xludf.DUMMYFUNCTION("""COMPUTED_VALUE"""),"English")</f>
        <v>English</v>
      </c>
      <c r="W1207" s="6" t="str">
        <f>IFERROR(__xludf.DUMMYFUNCTION("""COMPUTED_VALUE"""),"[]")</f>
        <v>[]</v>
      </c>
      <c r="X1207" s="6" t="str">
        <f>IFERROR(__xludf.DUMMYFUNCTION("""COMPUTED_VALUE"""),"Enrolled")</f>
        <v>Enrolled</v>
      </c>
    </row>
    <row r="1208">
      <c r="A1208" s="6" t="str">
        <f>IFERROR(__xludf.DUMMYFUNCTION("""COMPUTED_VALUE"""),"009-1428")</f>
        <v>009-1428</v>
      </c>
      <c r="B1208" s="6" t="str">
        <f>IFERROR(__xludf.DUMMYFUNCTION("""COMPUTED_VALUE"""),"9")</f>
        <v>9</v>
      </c>
      <c r="C1208" s="6" t="str">
        <f>IFERROR(__xludf.DUMMYFUNCTION("""COMPUTED_VALUE"""),"1428")</f>
        <v>1428</v>
      </c>
      <c r="D1208" s="6" t="str">
        <f>IFERROR(__xludf.DUMMYFUNCTION("""COMPUTED_VALUE"""),"Daria")</f>
        <v>Daria</v>
      </c>
      <c r="E1208" s="6" t="str">
        <f>IFERROR(__xludf.DUMMYFUNCTION("""COMPUTED_VALUE"""),"")</f>
        <v/>
      </c>
      <c r="F1208" s="6" t="str">
        <f>IFERROR(__xludf.DUMMYFUNCTION("""COMPUTED_VALUE"""),"Skok")</f>
        <v>Skok</v>
      </c>
      <c r="G1208" s="6" t="str">
        <f>IFERROR(__xludf.DUMMYFUNCTION("""COMPUTED_VALUE"""),"01/01/2011")</f>
        <v>01/01/2011</v>
      </c>
      <c r="H1208" s="6" t="str">
        <f>IFERROR(__xludf.DUMMYFUNCTION("""COMPUTED_VALUE"""),"Self Identify")</f>
        <v>Self Identify</v>
      </c>
      <c r="I1208" s="6" t="str">
        <f>IFERROR(__xludf.DUMMYFUNCTION("""COMPUTED_VALUE"""),"Middle School")</f>
        <v>Middle School</v>
      </c>
      <c r="J1208" s="6" t="str">
        <f>IFERROR(__xludf.DUMMYFUNCTION("""COMPUTED_VALUE"""),"8")</f>
        <v>8</v>
      </c>
      <c r="K1208" s="6" t="str">
        <f>IFERROR(__xludf.DUMMYFUNCTION("""COMPUTED_VALUE"""),"daria.skok@2hourlearning.com")</f>
        <v>daria.skok@2hourlearning.com</v>
      </c>
      <c r="L1208" s="6" t="str">
        <f>IFERROR(__xludf.DUMMYFUNCTION("""COMPUTED_VALUE"""),"Learn and Earn Poland")</f>
        <v>Learn and Earn Poland</v>
      </c>
      <c r="M1208" s="6" t="str">
        <f>IFERROR(__xludf.DUMMYFUNCTION("""COMPUTED_VALUE"""),"Poland ex-GTS")</f>
        <v>Poland ex-GTS</v>
      </c>
      <c r="N1208" s="6" t="str">
        <f>IFERROR(__xludf.DUMMYFUNCTION("""COMPUTED_VALUE"""),"")</f>
        <v/>
      </c>
      <c r="O1208" s="87" t="str">
        <f>IFERROR(__xludf.DUMMYFUNCTION("""COMPUTED_VALUE"""),"https://drive.google.com/drive/folders/10T2cTQHqEJZqE-st6uFKPoI?usp=share_link")</f>
        <v>https://drive.google.com/drive/folders/10T2cTQHqEJZqE-st6uFKPoI?usp=share_link</v>
      </c>
      <c r="P1208" s="6" t="str">
        <f>IFERROR(__xludf.DUMMYFUNCTION("""COMPUTED_VALUE"""),"Daria Skok")</f>
        <v>Daria Skok</v>
      </c>
      <c r="Q1208" s="6" t="str">
        <f>IFERROR(__xludf.DUMMYFUNCTION("""COMPUTED_VALUE"""),"MS")</f>
        <v>MS</v>
      </c>
      <c r="R1208" s="6">
        <f>IFERROR(__xludf.DUMMYFUNCTION("""COMPUTED_VALUE"""),0.0)</f>
        <v>0</v>
      </c>
      <c r="S1208" s="6" t="str">
        <f>IFERROR(__xludf.DUMMYFUNCTION("""COMPUTED_VALUE""")," ")</f>
        <v> </v>
      </c>
      <c r="T1208" s="6" t="str">
        <f>IFERROR(__xludf.DUMMYFUNCTION("""COMPUTED_VALUE"""),"")</f>
        <v/>
      </c>
      <c r="U1208" s="6" t="str">
        <f>IFERROR(__xludf.DUMMYFUNCTION("""COMPUTED_VALUE"""),"8")</f>
        <v>8</v>
      </c>
      <c r="V1208" s="6" t="str">
        <f>IFERROR(__xludf.DUMMYFUNCTION("""COMPUTED_VALUE"""),"English")</f>
        <v>English</v>
      </c>
      <c r="W1208" s="6" t="str">
        <f>IFERROR(__xludf.DUMMYFUNCTION("""COMPUTED_VALUE"""),"[]")</f>
        <v>[]</v>
      </c>
      <c r="X1208" s="6" t="str">
        <f>IFERROR(__xludf.DUMMYFUNCTION("""COMPUTED_VALUE"""),"Enrolled")</f>
        <v>Enrolled</v>
      </c>
    </row>
    <row r="1209">
      <c r="A1209" s="6" t="str">
        <f>IFERROR(__xludf.DUMMYFUNCTION("""COMPUTED_VALUE"""),"009-1429")</f>
        <v>009-1429</v>
      </c>
      <c r="B1209" s="6" t="str">
        <f>IFERROR(__xludf.DUMMYFUNCTION("""COMPUTED_VALUE"""),"9")</f>
        <v>9</v>
      </c>
      <c r="C1209" s="6" t="str">
        <f>IFERROR(__xludf.DUMMYFUNCTION("""COMPUTED_VALUE"""),"1429")</f>
        <v>1429</v>
      </c>
      <c r="D1209" s="6" t="str">
        <f>IFERROR(__xludf.DUMMYFUNCTION("""COMPUTED_VALUE"""),"Daria")</f>
        <v>Daria</v>
      </c>
      <c r="E1209" s="6" t="str">
        <f>IFERROR(__xludf.DUMMYFUNCTION("""COMPUTED_VALUE"""),"")</f>
        <v/>
      </c>
      <c r="F1209" s="6" t="str">
        <f>IFERROR(__xludf.DUMMYFUNCTION("""COMPUTED_VALUE"""),"Slushchenko")</f>
        <v>Slushchenko</v>
      </c>
      <c r="G1209" s="6" t="str">
        <f>IFERROR(__xludf.DUMMYFUNCTION("""COMPUTED_VALUE"""),"01/01/2013")</f>
        <v>01/01/2013</v>
      </c>
      <c r="H1209" s="6" t="str">
        <f>IFERROR(__xludf.DUMMYFUNCTION("""COMPUTED_VALUE"""),"Self Identify")</f>
        <v>Self Identify</v>
      </c>
      <c r="I1209" s="6" t="str">
        <f>IFERROR(__xludf.DUMMYFUNCTION("""COMPUTED_VALUE"""),"Middle School")</f>
        <v>Middle School</v>
      </c>
      <c r="J1209" s="6" t="str">
        <f>IFERROR(__xludf.DUMMYFUNCTION("""COMPUTED_VALUE"""),"6")</f>
        <v>6</v>
      </c>
      <c r="K1209" s="6" t="str">
        <f>IFERROR(__xludf.DUMMYFUNCTION("""COMPUTED_VALUE"""),"daria.slushchenko@2hourlearning.com")</f>
        <v>daria.slushchenko@2hourlearning.com</v>
      </c>
      <c r="L1209" s="6" t="str">
        <f>IFERROR(__xludf.DUMMYFUNCTION("""COMPUTED_VALUE"""),"Learn and Earn Poland")</f>
        <v>Learn and Earn Poland</v>
      </c>
      <c r="M1209" s="6" t="str">
        <f>IFERROR(__xludf.DUMMYFUNCTION("""COMPUTED_VALUE"""),"Poland ex-GTS")</f>
        <v>Poland ex-GTS</v>
      </c>
      <c r="N1209" s="6" t="str">
        <f>IFERROR(__xludf.DUMMYFUNCTION("""COMPUTED_VALUE"""),"")</f>
        <v/>
      </c>
      <c r="O1209" s="87" t="str">
        <f>IFERROR(__xludf.DUMMYFUNCTION("""COMPUTED_VALUE"""),"https://drive.google.com/drive/folders/10T2cTQHqEJZqE-st6uFKPoI?usp=share_link")</f>
        <v>https://drive.google.com/drive/folders/10T2cTQHqEJZqE-st6uFKPoI?usp=share_link</v>
      </c>
      <c r="P1209" s="6" t="str">
        <f>IFERROR(__xludf.DUMMYFUNCTION("""COMPUTED_VALUE"""),"Daria Slushchenko")</f>
        <v>Daria Slushchenko</v>
      </c>
      <c r="Q1209" s="6" t="str">
        <f>IFERROR(__xludf.DUMMYFUNCTION("""COMPUTED_VALUE"""),"MS")</f>
        <v>MS</v>
      </c>
      <c r="R1209" s="6">
        <f>IFERROR(__xludf.DUMMYFUNCTION("""COMPUTED_VALUE"""),0.0)</f>
        <v>0</v>
      </c>
      <c r="S1209" s="6" t="str">
        <f>IFERROR(__xludf.DUMMYFUNCTION("""COMPUTED_VALUE""")," ")</f>
        <v> </v>
      </c>
      <c r="T1209" s="6" t="str">
        <f>IFERROR(__xludf.DUMMYFUNCTION("""COMPUTED_VALUE"""),"")</f>
        <v/>
      </c>
      <c r="U1209" s="6" t="str">
        <f>IFERROR(__xludf.DUMMYFUNCTION("""COMPUTED_VALUE"""),"6")</f>
        <v>6</v>
      </c>
      <c r="V1209" s="6" t="str">
        <f>IFERROR(__xludf.DUMMYFUNCTION("""COMPUTED_VALUE"""),"English")</f>
        <v>English</v>
      </c>
      <c r="W1209" s="6" t="str">
        <f>IFERROR(__xludf.DUMMYFUNCTION("""COMPUTED_VALUE"""),"[]")</f>
        <v>[]</v>
      </c>
      <c r="X1209" s="6" t="str">
        <f>IFERROR(__xludf.DUMMYFUNCTION("""COMPUTED_VALUE"""),"Enrolled")</f>
        <v>Enrolled</v>
      </c>
    </row>
    <row r="1210">
      <c r="A1210" s="6" t="str">
        <f>IFERROR(__xludf.DUMMYFUNCTION("""COMPUTED_VALUE"""),"009-1430")</f>
        <v>009-1430</v>
      </c>
      <c r="B1210" s="6" t="str">
        <f>IFERROR(__xludf.DUMMYFUNCTION("""COMPUTED_VALUE"""),"9")</f>
        <v>9</v>
      </c>
      <c r="C1210" s="6" t="str">
        <f>IFERROR(__xludf.DUMMYFUNCTION("""COMPUTED_VALUE"""),"1430")</f>
        <v>1430</v>
      </c>
      <c r="D1210" s="6" t="str">
        <f>IFERROR(__xludf.DUMMYFUNCTION("""COMPUTED_VALUE"""),"Sofiia")</f>
        <v>Sofiia</v>
      </c>
      <c r="E1210" s="6" t="str">
        <f>IFERROR(__xludf.DUMMYFUNCTION("""COMPUTED_VALUE"""),"")</f>
        <v/>
      </c>
      <c r="F1210" s="6" t="str">
        <f>IFERROR(__xludf.DUMMYFUNCTION("""COMPUTED_VALUE"""),"Senchyna")</f>
        <v>Senchyna</v>
      </c>
      <c r="G1210" s="6" t="str">
        <f>IFERROR(__xludf.DUMMYFUNCTION("""COMPUTED_VALUE"""),"01/01/2008")</f>
        <v>01/01/2008</v>
      </c>
      <c r="H1210" s="6" t="str">
        <f>IFERROR(__xludf.DUMMYFUNCTION("""COMPUTED_VALUE"""),"Self Identify")</f>
        <v>Self Identify</v>
      </c>
      <c r="I1210" s="6" t="str">
        <f>IFERROR(__xludf.DUMMYFUNCTION("""COMPUTED_VALUE"""),"High School")</f>
        <v>High School</v>
      </c>
      <c r="J1210" s="6" t="str">
        <f>IFERROR(__xludf.DUMMYFUNCTION("""COMPUTED_VALUE"""),"11")</f>
        <v>11</v>
      </c>
      <c r="K1210" s="6" t="str">
        <f>IFERROR(__xludf.DUMMYFUNCTION("""COMPUTED_VALUE"""),"sofiia.senchyna@2hourlearning.com")</f>
        <v>sofiia.senchyna@2hourlearning.com</v>
      </c>
      <c r="L1210" s="6" t="str">
        <f>IFERROR(__xludf.DUMMYFUNCTION("""COMPUTED_VALUE"""),"Learn and Earn Poland")</f>
        <v>Learn and Earn Poland</v>
      </c>
      <c r="M1210" s="6" t="str">
        <f>IFERROR(__xludf.DUMMYFUNCTION("""COMPUTED_VALUE"""),"Poland ex-GTS")</f>
        <v>Poland ex-GTS</v>
      </c>
      <c r="N1210" s="6" t="str">
        <f>IFERROR(__xludf.DUMMYFUNCTION("""COMPUTED_VALUE"""),"")</f>
        <v/>
      </c>
      <c r="O1210" s="87" t="str">
        <f>IFERROR(__xludf.DUMMYFUNCTION("""COMPUTED_VALUE"""),"https://drive.google.com/drive/folders/10T2cTQHqEJZqE-st6uFKPoI?usp=share_link")</f>
        <v>https://drive.google.com/drive/folders/10T2cTQHqEJZqE-st6uFKPoI?usp=share_link</v>
      </c>
      <c r="P1210" s="6" t="str">
        <f>IFERROR(__xludf.DUMMYFUNCTION("""COMPUTED_VALUE"""),"Sofiia Senchyna")</f>
        <v>Sofiia Senchyna</v>
      </c>
      <c r="Q1210" s="6" t="str">
        <f>IFERROR(__xludf.DUMMYFUNCTION("""COMPUTED_VALUE"""),"HS")</f>
        <v>HS</v>
      </c>
      <c r="R1210" s="6">
        <f>IFERROR(__xludf.DUMMYFUNCTION("""COMPUTED_VALUE"""),0.0)</f>
        <v>0</v>
      </c>
      <c r="S1210" s="6" t="str">
        <f>IFERROR(__xludf.DUMMYFUNCTION("""COMPUTED_VALUE""")," ")</f>
        <v> </v>
      </c>
      <c r="T1210" s="6" t="str">
        <f>IFERROR(__xludf.DUMMYFUNCTION("""COMPUTED_VALUE"""),"")</f>
        <v/>
      </c>
      <c r="U1210" s="6" t="str">
        <f>IFERROR(__xludf.DUMMYFUNCTION("""COMPUTED_VALUE"""),"11")</f>
        <v>11</v>
      </c>
      <c r="V1210" s="6" t="str">
        <f>IFERROR(__xludf.DUMMYFUNCTION("""COMPUTED_VALUE"""),"English")</f>
        <v>English</v>
      </c>
      <c r="W1210" s="6" t="str">
        <f>IFERROR(__xludf.DUMMYFUNCTION("""COMPUTED_VALUE"""),"[]")</f>
        <v>[]</v>
      </c>
      <c r="X1210" s="6" t="str">
        <f>IFERROR(__xludf.DUMMYFUNCTION("""COMPUTED_VALUE"""),"Enrolled")</f>
        <v>Enrolled</v>
      </c>
    </row>
    <row r="1211">
      <c r="A1211" s="6" t="str">
        <f>IFERROR(__xludf.DUMMYFUNCTION("""COMPUTED_VALUE"""),"009-1431")</f>
        <v>009-1431</v>
      </c>
      <c r="B1211" s="6" t="str">
        <f>IFERROR(__xludf.DUMMYFUNCTION("""COMPUTED_VALUE"""),"9")</f>
        <v>9</v>
      </c>
      <c r="C1211" s="6" t="str">
        <f>IFERROR(__xludf.DUMMYFUNCTION("""COMPUTED_VALUE"""),"1431")</f>
        <v>1431</v>
      </c>
      <c r="D1211" s="6" t="str">
        <f>IFERROR(__xludf.DUMMYFUNCTION("""COMPUTED_VALUE"""),"Sofiia")</f>
        <v>Sofiia</v>
      </c>
      <c r="E1211" s="6" t="str">
        <f>IFERROR(__xludf.DUMMYFUNCTION("""COMPUTED_VALUE"""),"")</f>
        <v/>
      </c>
      <c r="F1211" s="6" t="str">
        <f>IFERROR(__xludf.DUMMYFUNCTION("""COMPUTED_VALUE"""),"Polukhina")</f>
        <v>Polukhina</v>
      </c>
      <c r="G1211" s="6" t="str">
        <f>IFERROR(__xludf.DUMMYFUNCTION("""COMPUTED_VALUE"""),"01/01/2012")</f>
        <v>01/01/2012</v>
      </c>
      <c r="H1211" s="6" t="str">
        <f>IFERROR(__xludf.DUMMYFUNCTION("""COMPUTED_VALUE"""),"Self Identify")</f>
        <v>Self Identify</v>
      </c>
      <c r="I1211" s="6" t="str">
        <f>IFERROR(__xludf.DUMMYFUNCTION("""COMPUTED_VALUE"""),"Middle School")</f>
        <v>Middle School</v>
      </c>
      <c r="J1211" s="6" t="str">
        <f>IFERROR(__xludf.DUMMYFUNCTION("""COMPUTED_VALUE"""),"7")</f>
        <v>7</v>
      </c>
      <c r="K1211" s="6" t="str">
        <f>IFERROR(__xludf.DUMMYFUNCTION("""COMPUTED_VALUE"""),"sofiia.polukhina@2hourlearning.com")</f>
        <v>sofiia.polukhina@2hourlearning.com</v>
      </c>
      <c r="L1211" s="6" t="str">
        <f>IFERROR(__xludf.DUMMYFUNCTION("""COMPUTED_VALUE"""),"Learn and Earn Poland")</f>
        <v>Learn and Earn Poland</v>
      </c>
      <c r="M1211" s="6" t="str">
        <f>IFERROR(__xludf.DUMMYFUNCTION("""COMPUTED_VALUE"""),"Poland ex-GTS")</f>
        <v>Poland ex-GTS</v>
      </c>
      <c r="N1211" s="6" t="str">
        <f>IFERROR(__xludf.DUMMYFUNCTION("""COMPUTED_VALUE"""),"")</f>
        <v/>
      </c>
      <c r="O1211" s="87" t="str">
        <f>IFERROR(__xludf.DUMMYFUNCTION("""COMPUTED_VALUE"""),"https://drive.google.com/drive/folders/10T2cTQHqEJZqE-st6uFKPoI?usp=share_link")</f>
        <v>https://drive.google.com/drive/folders/10T2cTQHqEJZqE-st6uFKPoI?usp=share_link</v>
      </c>
      <c r="P1211" s="6" t="str">
        <f>IFERROR(__xludf.DUMMYFUNCTION("""COMPUTED_VALUE"""),"Sofiia Polukhina")</f>
        <v>Sofiia Polukhina</v>
      </c>
      <c r="Q1211" s="6" t="str">
        <f>IFERROR(__xludf.DUMMYFUNCTION("""COMPUTED_VALUE"""),"MS")</f>
        <v>MS</v>
      </c>
      <c r="R1211" s="6">
        <f>IFERROR(__xludf.DUMMYFUNCTION("""COMPUTED_VALUE"""),0.0)</f>
        <v>0</v>
      </c>
      <c r="S1211" s="6" t="str">
        <f>IFERROR(__xludf.DUMMYFUNCTION("""COMPUTED_VALUE""")," ")</f>
        <v> </v>
      </c>
      <c r="T1211" s="6" t="str">
        <f>IFERROR(__xludf.DUMMYFUNCTION("""COMPUTED_VALUE"""),"")</f>
        <v/>
      </c>
      <c r="U1211" s="6" t="str">
        <f>IFERROR(__xludf.DUMMYFUNCTION("""COMPUTED_VALUE"""),"7")</f>
        <v>7</v>
      </c>
      <c r="V1211" s="6" t="str">
        <f>IFERROR(__xludf.DUMMYFUNCTION("""COMPUTED_VALUE"""),"English")</f>
        <v>English</v>
      </c>
      <c r="W1211" s="6" t="str">
        <f>IFERROR(__xludf.DUMMYFUNCTION("""COMPUTED_VALUE"""),"[]")</f>
        <v>[]</v>
      </c>
      <c r="X1211" s="6" t="str">
        <f>IFERROR(__xludf.DUMMYFUNCTION("""COMPUTED_VALUE"""),"Enrolled")</f>
        <v>Enrolled</v>
      </c>
    </row>
    <row r="1212">
      <c r="A1212" s="6" t="str">
        <f>IFERROR(__xludf.DUMMYFUNCTION("""COMPUTED_VALUE"""),"009-1432")</f>
        <v>009-1432</v>
      </c>
      <c r="B1212" s="6" t="str">
        <f>IFERROR(__xludf.DUMMYFUNCTION("""COMPUTED_VALUE"""),"9")</f>
        <v>9</v>
      </c>
      <c r="C1212" s="6" t="str">
        <f>IFERROR(__xludf.DUMMYFUNCTION("""COMPUTED_VALUE"""),"1432")</f>
        <v>1432</v>
      </c>
      <c r="D1212" s="6" t="str">
        <f>IFERROR(__xludf.DUMMYFUNCTION("""COMPUTED_VALUE"""),"Sofiia")</f>
        <v>Sofiia</v>
      </c>
      <c r="E1212" s="6" t="str">
        <f>IFERROR(__xludf.DUMMYFUNCTION("""COMPUTED_VALUE"""),"")</f>
        <v/>
      </c>
      <c r="F1212" s="6" t="str">
        <f>IFERROR(__xludf.DUMMYFUNCTION("""COMPUTED_VALUE"""),"Ovsiannikova")</f>
        <v>Ovsiannikova</v>
      </c>
      <c r="G1212" s="6" t="str">
        <f>IFERROR(__xludf.DUMMYFUNCTION("""COMPUTED_VALUE"""),"01/01/2016")</f>
        <v>01/01/2016</v>
      </c>
      <c r="H1212" s="6" t="str">
        <f>IFERROR(__xludf.DUMMYFUNCTION("""COMPUTED_VALUE"""),"Self Identify")</f>
        <v>Self Identify</v>
      </c>
      <c r="I1212" s="6" t="str">
        <f>IFERROR(__xludf.DUMMYFUNCTION("""COMPUTED_VALUE"""),"Level 1")</f>
        <v>Level 1</v>
      </c>
      <c r="J1212" s="6" t="str">
        <f>IFERROR(__xludf.DUMMYFUNCTION("""COMPUTED_VALUE"""),"3")</f>
        <v>3</v>
      </c>
      <c r="K1212" s="6" t="str">
        <f>IFERROR(__xludf.DUMMYFUNCTION("""COMPUTED_VALUE"""),"sofiia.ovsiannikova@2hourlearning.com")</f>
        <v>sofiia.ovsiannikova@2hourlearning.com</v>
      </c>
      <c r="L1212" s="6" t="str">
        <f>IFERROR(__xludf.DUMMYFUNCTION("""COMPUTED_VALUE"""),"Learn and Earn Poland")</f>
        <v>Learn and Earn Poland</v>
      </c>
      <c r="M1212" s="6" t="str">
        <f>IFERROR(__xludf.DUMMYFUNCTION("""COMPUTED_VALUE"""),"Poland ex-GTS")</f>
        <v>Poland ex-GTS</v>
      </c>
      <c r="N1212" s="6" t="str">
        <f>IFERROR(__xludf.DUMMYFUNCTION("""COMPUTED_VALUE"""),"")</f>
        <v/>
      </c>
      <c r="O1212" s="87" t="str">
        <f>IFERROR(__xludf.DUMMYFUNCTION("""COMPUTED_VALUE"""),"https://drive.google.com/drive/folders/10T2cTQHqEJZqE-st6uFKPoI?usp=share_link")</f>
        <v>https://drive.google.com/drive/folders/10T2cTQHqEJZqE-st6uFKPoI?usp=share_link</v>
      </c>
      <c r="P1212" s="6" t="str">
        <f>IFERROR(__xludf.DUMMYFUNCTION("""COMPUTED_VALUE"""),"Sofiia Ovsiannikova")</f>
        <v>Sofiia Ovsiannikova</v>
      </c>
      <c r="Q1212" s="6" t="str">
        <f>IFERROR(__xludf.DUMMYFUNCTION("""COMPUTED_VALUE"""),"L1")</f>
        <v>L1</v>
      </c>
      <c r="R1212" s="6">
        <f>IFERROR(__xludf.DUMMYFUNCTION("""COMPUTED_VALUE"""),1.0)</f>
        <v>1</v>
      </c>
      <c r="S1212" s="6" t="str">
        <f>IFERROR(__xludf.DUMMYFUNCTION("""COMPUTED_VALUE""")," ")</f>
        <v> </v>
      </c>
      <c r="T1212" s="6" t="str">
        <f>IFERROR(__xludf.DUMMYFUNCTION("""COMPUTED_VALUE"""),"")</f>
        <v/>
      </c>
      <c r="U1212" s="6" t="str">
        <f>IFERROR(__xludf.DUMMYFUNCTION("""COMPUTED_VALUE"""),"3")</f>
        <v>3</v>
      </c>
      <c r="V1212" s="6" t="str">
        <f>IFERROR(__xludf.DUMMYFUNCTION("""COMPUTED_VALUE"""),"English")</f>
        <v>English</v>
      </c>
      <c r="W1212" s="6" t="str">
        <f>IFERROR(__xludf.DUMMYFUNCTION("""COMPUTED_VALUE"""),"[]")</f>
        <v>[]</v>
      </c>
      <c r="X1212" s="6" t="str">
        <f>IFERROR(__xludf.DUMMYFUNCTION("""COMPUTED_VALUE"""),"Enrolled")</f>
        <v>Enrolled</v>
      </c>
    </row>
    <row r="1213">
      <c r="A1213" s="6" t="str">
        <f>IFERROR(__xludf.DUMMYFUNCTION("""COMPUTED_VALUE"""),"009-1433")</f>
        <v>009-1433</v>
      </c>
      <c r="B1213" s="6" t="str">
        <f>IFERROR(__xludf.DUMMYFUNCTION("""COMPUTED_VALUE"""),"9")</f>
        <v>9</v>
      </c>
      <c r="C1213" s="6" t="str">
        <f>IFERROR(__xludf.DUMMYFUNCTION("""COMPUTED_VALUE"""),"1433")</f>
        <v>1433</v>
      </c>
      <c r="D1213" s="6" t="str">
        <f>IFERROR(__xludf.DUMMYFUNCTION("""COMPUTED_VALUE"""),"Sofiia")</f>
        <v>Sofiia</v>
      </c>
      <c r="E1213" s="6" t="str">
        <f>IFERROR(__xludf.DUMMYFUNCTION("""COMPUTED_VALUE"""),"")</f>
        <v/>
      </c>
      <c r="F1213" s="6" t="str">
        <f>IFERROR(__xludf.DUMMYFUNCTION("""COMPUTED_VALUE"""),"Vozniuk")</f>
        <v>Vozniuk</v>
      </c>
      <c r="G1213" s="6" t="str">
        <f>IFERROR(__xludf.DUMMYFUNCTION("""COMPUTED_VALUE"""),"01/01/2008")</f>
        <v>01/01/2008</v>
      </c>
      <c r="H1213" s="6" t="str">
        <f>IFERROR(__xludf.DUMMYFUNCTION("""COMPUTED_VALUE"""),"Self Identify")</f>
        <v>Self Identify</v>
      </c>
      <c r="I1213" s="6" t="str">
        <f>IFERROR(__xludf.DUMMYFUNCTION("""COMPUTED_VALUE"""),"High School")</f>
        <v>High School</v>
      </c>
      <c r="J1213" s="6" t="str">
        <f>IFERROR(__xludf.DUMMYFUNCTION("""COMPUTED_VALUE"""),"11")</f>
        <v>11</v>
      </c>
      <c r="K1213" s="6" t="str">
        <f>IFERROR(__xludf.DUMMYFUNCTION("""COMPUTED_VALUE"""),"sofiia.vozniuk@2hourlearning.com")</f>
        <v>sofiia.vozniuk@2hourlearning.com</v>
      </c>
      <c r="L1213" s="6" t="str">
        <f>IFERROR(__xludf.DUMMYFUNCTION("""COMPUTED_VALUE"""),"Learn and Earn Poland")</f>
        <v>Learn and Earn Poland</v>
      </c>
      <c r="M1213" s="6" t="str">
        <f>IFERROR(__xludf.DUMMYFUNCTION("""COMPUTED_VALUE"""),"Poland ex-GTS")</f>
        <v>Poland ex-GTS</v>
      </c>
      <c r="N1213" s="6" t="str">
        <f>IFERROR(__xludf.DUMMYFUNCTION("""COMPUTED_VALUE"""),"")</f>
        <v/>
      </c>
      <c r="O1213" s="87" t="str">
        <f>IFERROR(__xludf.DUMMYFUNCTION("""COMPUTED_VALUE"""),"https://drive.google.com/drive/folders/10T2cTQHqEJZqE-st6uFKPoI?usp=share_link")</f>
        <v>https://drive.google.com/drive/folders/10T2cTQHqEJZqE-st6uFKPoI?usp=share_link</v>
      </c>
      <c r="P1213" s="6" t="str">
        <f>IFERROR(__xludf.DUMMYFUNCTION("""COMPUTED_VALUE"""),"Sofiia Vozniuk")</f>
        <v>Sofiia Vozniuk</v>
      </c>
      <c r="Q1213" s="6" t="str">
        <f>IFERROR(__xludf.DUMMYFUNCTION("""COMPUTED_VALUE"""),"HS")</f>
        <v>HS</v>
      </c>
      <c r="R1213" s="6">
        <f>IFERROR(__xludf.DUMMYFUNCTION("""COMPUTED_VALUE"""),0.0)</f>
        <v>0</v>
      </c>
      <c r="S1213" s="6" t="str">
        <f>IFERROR(__xludf.DUMMYFUNCTION("""COMPUTED_VALUE""")," ")</f>
        <v> </v>
      </c>
      <c r="T1213" s="6" t="str">
        <f>IFERROR(__xludf.DUMMYFUNCTION("""COMPUTED_VALUE"""),"")</f>
        <v/>
      </c>
      <c r="U1213" s="6" t="str">
        <f>IFERROR(__xludf.DUMMYFUNCTION("""COMPUTED_VALUE"""),"11")</f>
        <v>11</v>
      </c>
      <c r="V1213" s="6" t="str">
        <f>IFERROR(__xludf.DUMMYFUNCTION("""COMPUTED_VALUE"""),"English")</f>
        <v>English</v>
      </c>
      <c r="W1213" s="6" t="str">
        <f>IFERROR(__xludf.DUMMYFUNCTION("""COMPUTED_VALUE"""),"[]")</f>
        <v>[]</v>
      </c>
      <c r="X1213" s="6" t="str">
        <f>IFERROR(__xludf.DUMMYFUNCTION("""COMPUTED_VALUE"""),"Enrolled")</f>
        <v>Enrolled</v>
      </c>
    </row>
    <row r="1214">
      <c r="A1214" s="6" t="str">
        <f>IFERROR(__xludf.DUMMYFUNCTION("""COMPUTED_VALUE"""),"009-1434")</f>
        <v>009-1434</v>
      </c>
      <c r="B1214" s="6" t="str">
        <f>IFERROR(__xludf.DUMMYFUNCTION("""COMPUTED_VALUE"""),"9")</f>
        <v>9</v>
      </c>
      <c r="C1214" s="6" t="str">
        <f>IFERROR(__xludf.DUMMYFUNCTION("""COMPUTED_VALUE"""),"1434")</f>
        <v>1434</v>
      </c>
      <c r="D1214" s="6" t="str">
        <f>IFERROR(__xludf.DUMMYFUNCTION("""COMPUTED_VALUE"""),"Sologub")</f>
        <v>Sologub</v>
      </c>
      <c r="E1214" s="6" t="str">
        <f>IFERROR(__xludf.DUMMYFUNCTION("""COMPUTED_VALUE"""),"")</f>
        <v/>
      </c>
      <c r="F1214" s="6" t="str">
        <f>IFERROR(__xludf.DUMMYFUNCTION("""COMPUTED_VALUE"""),"Illya")</f>
        <v>Illya</v>
      </c>
      <c r="G1214" s="6" t="str">
        <f>IFERROR(__xludf.DUMMYFUNCTION("""COMPUTED_VALUE"""),"01/01/2013")</f>
        <v>01/01/2013</v>
      </c>
      <c r="H1214" s="6" t="str">
        <f>IFERROR(__xludf.DUMMYFUNCTION("""COMPUTED_VALUE"""),"Self Identify")</f>
        <v>Self Identify</v>
      </c>
      <c r="I1214" s="6" t="str">
        <f>IFERROR(__xludf.DUMMYFUNCTION("""COMPUTED_VALUE"""),"Middle School")</f>
        <v>Middle School</v>
      </c>
      <c r="J1214" s="6" t="str">
        <f>IFERROR(__xludf.DUMMYFUNCTION("""COMPUTED_VALUE"""),"6")</f>
        <v>6</v>
      </c>
      <c r="K1214" s="6" t="str">
        <f>IFERROR(__xludf.DUMMYFUNCTION("""COMPUTED_VALUE"""),"sologub.illya@2hourlearning.com")</f>
        <v>sologub.illya@2hourlearning.com</v>
      </c>
      <c r="L1214" s="6" t="str">
        <f>IFERROR(__xludf.DUMMYFUNCTION("""COMPUTED_VALUE"""),"Learn and Earn Poland")</f>
        <v>Learn and Earn Poland</v>
      </c>
      <c r="M1214" s="6" t="str">
        <f>IFERROR(__xludf.DUMMYFUNCTION("""COMPUTED_VALUE"""),"Poland ex-GTS")</f>
        <v>Poland ex-GTS</v>
      </c>
      <c r="N1214" s="6" t="str">
        <f>IFERROR(__xludf.DUMMYFUNCTION("""COMPUTED_VALUE"""),"")</f>
        <v/>
      </c>
      <c r="O1214" s="87" t="str">
        <f>IFERROR(__xludf.DUMMYFUNCTION("""COMPUTED_VALUE"""),"https://drive.google.com/drive/folders/10T2cTQHqEJZqE-st6uFKPoI?usp=share_link")</f>
        <v>https://drive.google.com/drive/folders/10T2cTQHqEJZqE-st6uFKPoI?usp=share_link</v>
      </c>
      <c r="P1214" s="6" t="str">
        <f>IFERROR(__xludf.DUMMYFUNCTION("""COMPUTED_VALUE"""),"Sologub Illya")</f>
        <v>Sologub Illya</v>
      </c>
      <c r="Q1214" s="6" t="str">
        <f>IFERROR(__xludf.DUMMYFUNCTION("""COMPUTED_VALUE"""),"MS")</f>
        <v>MS</v>
      </c>
      <c r="R1214" s="6">
        <f>IFERROR(__xludf.DUMMYFUNCTION("""COMPUTED_VALUE"""),0.0)</f>
        <v>0</v>
      </c>
      <c r="S1214" s="6" t="str">
        <f>IFERROR(__xludf.DUMMYFUNCTION("""COMPUTED_VALUE""")," ")</f>
        <v> </v>
      </c>
      <c r="T1214" s="6" t="str">
        <f>IFERROR(__xludf.DUMMYFUNCTION("""COMPUTED_VALUE"""),"")</f>
        <v/>
      </c>
      <c r="U1214" s="6" t="str">
        <f>IFERROR(__xludf.DUMMYFUNCTION("""COMPUTED_VALUE"""),"6")</f>
        <v>6</v>
      </c>
      <c r="V1214" s="6" t="str">
        <f>IFERROR(__xludf.DUMMYFUNCTION("""COMPUTED_VALUE"""),"English")</f>
        <v>English</v>
      </c>
      <c r="W1214" s="6" t="str">
        <f>IFERROR(__xludf.DUMMYFUNCTION("""COMPUTED_VALUE"""),"[]")</f>
        <v>[]</v>
      </c>
      <c r="X1214" s="6" t="str">
        <f>IFERROR(__xludf.DUMMYFUNCTION("""COMPUTED_VALUE"""),"Enrolled")</f>
        <v>Enrolled</v>
      </c>
    </row>
    <row r="1215">
      <c r="A1215" s="6" t="str">
        <f>IFERROR(__xludf.DUMMYFUNCTION("""COMPUTED_VALUE"""),"009-1435")</f>
        <v>009-1435</v>
      </c>
      <c r="B1215" s="6" t="str">
        <f>IFERROR(__xludf.DUMMYFUNCTION("""COMPUTED_VALUE"""),"9")</f>
        <v>9</v>
      </c>
      <c r="C1215" s="6" t="str">
        <f>IFERROR(__xludf.DUMMYFUNCTION("""COMPUTED_VALUE"""),"1435")</f>
        <v>1435</v>
      </c>
      <c r="D1215" s="6" t="str">
        <f>IFERROR(__xludf.DUMMYFUNCTION("""COMPUTED_VALUE"""),"Soloviov")</f>
        <v>Soloviov</v>
      </c>
      <c r="E1215" s="6" t="str">
        <f>IFERROR(__xludf.DUMMYFUNCTION("""COMPUTED_VALUE"""),"")</f>
        <v/>
      </c>
      <c r="F1215" s="6" t="str">
        <f>IFERROR(__xludf.DUMMYFUNCTION("""COMPUTED_VALUE"""),"Maksym")</f>
        <v>Maksym</v>
      </c>
      <c r="G1215" s="6" t="str">
        <f>IFERROR(__xludf.DUMMYFUNCTION("""COMPUTED_VALUE"""),"01/01/2015")</f>
        <v>01/01/2015</v>
      </c>
      <c r="H1215" s="6" t="str">
        <f>IFERROR(__xludf.DUMMYFUNCTION("""COMPUTED_VALUE"""),"Self Identify")</f>
        <v>Self Identify</v>
      </c>
      <c r="I1215" s="6" t="str">
        <f>IFERROR(__xludf.DUMMYFUNCTION("""COMPUTED_VALUE"""),"Level 2")</f>
        <v>Level 2</v>
      </c>
      <c r="J1215" s="6" t="str">
        <f>IFERROR(__xludf.DUMMYFUNCTION("""COMPUTED_VALUE"""),"4")</f>
        <v>4</v>
      </c>
      <c r="K1215" s="6" t="str">
        <f>IFERROR(__xludf.DUMMYFUNCTION("""COMPUTED_VALUE"""),"soloviov.maksym@2hourlearning.com")</f>
        <v>soloviov.maksym@2hourlearning.com</v>
      </c>
      <c r="L1215" s="6" t="str">
        <f>IFERROR(__xludf.DUMMYFUNCTION("""COMPUTED_VALUE"""),"Learn and Earn Poland")</f>
        <v>Learn and Earn Poland</v>
      </c>
      <c r="M1215" s="6" t="str">
        <f>IFERROR(__xludf.DUMMYFUNCTION("""COMPUTED_VALUE"""),"Poland ex-GTS")</f>
        <v>Poland ex-GTS</v>
      </c>
      <c r="N1215" s="6" t="str">
        <f>IFERROR(__xludf.DUMMYFUNCTION("""COMPUTED_VALUE"""),"")</f>
        <v/>
      </c>
      <c r="O1215" s="87" t="str">
        <f>IFERROR(__xludf.DUMMYFUNCTION("""COMPUTED_VALUE"""),"https://drive.google.com/drive/folders/10T2cTQHqEJZqE-st6uFKPoI?usp=share_link")</f>
        <v>https://drive.google.com/drive/folders/10T2cTQHqEJZqE-st6uFKPoI?usp=share_link</v>
      </c>
      <c r="P1215" s="6" t="str">
        <f>IFERROR(__xludf.DUMMYFUNCTION("""COMPUTED_VALUE"""),"Soloviov Maksym")</f>
        <v>Soloviov Maksym</v>
      </c>
      <c r="Q1215" s="6" t="str">
        <f>IFERROR(__xludf.DUMMYFUNCTION("""COMPUTED_VALUE"""),"L2")</f>
        <v>L2</v>
      </c>
      <c r="R1215" s="6">
        <f>IFERROR(__xludf.DUMMYFUNCTION("""COMPUTED_VALUE"""),2.0)</f>
        <v>2</v>
      </c>
      <c r="S1215" s="6" t="str">
        <f>IFERROR(__xludf.DUMMYFUNCTION("""COMPUTED_VALUE""")," ")</f>
        <v> </v>
      </c>
      <c r="T1215" s="6" t="str">
        <f>IFERROR(__xludf.DUMMYFUNCTION("""COMPUTED_VALUE"""),"")</f>
        <v/>
      </c>
      <c r="U1215" s="6" t="str">
        <f>IFERROR(__xludf.DUMMYFUNCTION("""COMPUTED_VALUE"""),"4")</f>
        <v>4</v>
      </c>
      <c r="V1215" s="6" t="str">
        <f>IFERROR(__xludf.DUMMYFUNCTION("""COMPUTED_VALUE"""),"English")</f>
        <v>English</v>
      </c>
      <c r="W1215" s="6" t="str">
        <f>IFERROR(__xludf.DUMMYFUNCTION("""COMPUTED_VALUE"""),"[]")</f>
        <v>[]</v>
      </c>
      <c r="X1215" s="6" t="str">
        <f>IFERROR(__xludf.DUMMYFUNCTION("""COMPUTED_VALUE"""),"Enrolled")</f>
        <v>Enrolled</v>
      </c>
    </row>
    <row r="1216">
      <c r="A1216" s="6" t="str">
        <f>IFERROR(__xludf.DUMMYFUNCTION("""COMPUTED_VALUE"""),"009-1436")</f>
        <v>009-1436</v>
      </c>
      <c r="B1216" s="6" t="str">
        <f>IFERROR(__xludf.DUMMYFUNCTION("""COMPUTED_VALUE"""),"9")</f>
        <v>9</v>
      </c>
      <c r="C1216" s="6" t="str">
        <f>IFERROR(__xludf.DUMMYFUNCTION("""COMPUTED_VALUE"""),"1436")</f>
        <v>1436</v>
      </c>
      <c r="D1216" s="6" t="str">
        <f>IFERROR(__xludf.DUMMYFUNCTION("""COMPUTED_VALUE"""),"Oleksander")</f>
        <v>Oleksander</v>
      </c>
      <c r="E1216" s="6" t="str">
        <f>IFERROR(__xludf.DUMMYFUNCTION("""COMPUTED_VALUE"""),"")</f>
        <v/>
      </c>
      <c r="F1216" s="6" t="str">
        <f>IFERROR(__xludf.DUMMYFUNCTION("""COMPUTED_VALUE"""),"Shpak")</f>
        <v>Shpak</v>
      </c>
      <c r="G1216" s="6" t="str">
        <f>IFERROR(__xludf.DUMMYFUNCTION("""COMPUTED_VALUE"""),"01/01/2009")</f>
        <v>01/01/2009</v>
      </c>
      <c r="H1216" s="6" t="str">
        <f>IFERROR(__xludf.DUMMYFUNCTION("""COMPUTED_VALUE"""),"Self Identify")</f>
        <v>Self Identify</v>
      </c>
      <c r="I1216" s="6" t="str">
        <f>IFERROR(__xludf.DUMMYFUNCTION("""COMPUTED_VALUE"""),"High School")</f>
        <v>High School</v>
      </c>
      <c r="J1216" s="6" t="str">
        <f>IFERROR(__xludf.DUMMYFUNCTION("""COMPUTED_VALUE"""),"10")</f>
        <v>10</v>
      </c>
      <c r="K1216" s="6" t="str">
        <f>IFERROR(__xludf.DUMMYFUNCTION("""COMPUTED_VALUE"""),"oleksander.shpak@2hourlearning.com")</f>
        <v>oleksander.shpak@2hourlearning.com</v>
      </c>
      <c r="L1216" s="6" t="str">
        <f>IFERROR(__xludf.DUMMYFUNCTION("""COMPUTED_VALUE"""),"Learn and Earn Poland")</f>
        <v>Learn and Earn Poland</v>
      </c>
      <c r="M1216" s="6" t="str">
        <f>IFERROR(__xludf.DUMMYFUNCTION("""COMPUTED_VALUE"""),"Poland ex-GTS")</f>
        <v>Poland ex-GTS</v>
      </c>
      <c r="N1216" s="6" t="str">
        <f>IFERROR(__xludf.DUMMYFUNCTION("""COMPUTED_VALUE"""),"")</f>
        <v/>
      </c>
      <c r="O1216" s="87" t="str">
        <f>IFERROR(__xludf.DUMMYFUNCTION("""COMPUTED_VALUE"""),"https://drive.google.com/drive/folders/10T2cTQHqEJZqE-st6uFKPoI?usp=share_link")</f>
        <v>https://drive.google.com/drive/folders/10T2cTQHqEJZqE-st6uFKPoI?usp=share_link</v>
      </c>
      <c r="P1216" s="6" t="str">
        <f>IFERROR(__xludf.DUMMYFUNCTION("""COMPUTED_VALUE"""),"Oleksander Shpak")</f>
        <v>Oleksander Shpak</v>
      </c>
      <c r="Q1216" s="6" t="str">
        <f>IFERROR(__xludf.DUMMYFUNCTION("""COMPUTED_VALUE"""),"HS")</f>
        <v>HS</v>
      </c>
      <c r="R1216" s="6">
        <f>IFERROR(__xludf.DUMMYFUNCTION("""COMPUTED_VALUE"""),0.0)</f>
        <v>0</v>
      </c>
      <c r="S1216" s="6" t="str">
        <f>IFERROR(__xludf.DUMMYFUNCTION("""COMPUTED_VALUE""")," ")</f>
        <v> </v>
      </c>
      <c r="T1216" s="6" t="str">
        <f>IFERROR(__xludf.DUMMYFUNCTION("""COMPUTED_VALUE"""),"")</f>
        <v/>
      </c>
      <c r="U1216" s="6" t="str">
        <f>IFERROR(__xludf.DUMMYFUNCTION("""COMPUTED_VALUE"""),"10")</f>
        <v>10</v>
      </c>
      <c r="V1216" s="6" t="str">
        <f>IFERROR(__xludf.DUMMYFUNCTION("""COMPUTED_VALUE"""),"English")</f>
        <v>English</v>
      </c>
      <c r="W1216" s="6" t="str">
        <f>IFERROR(__xludf.DUMMYFUNCTION("""COMPUTED_VALUE"""),"[]")</f>
        <v>[]</v>
      </c>
      <c r="X1216" s="6" t="str">
        <f>IFERROR(__xludf.DUMMYFUNCTION("""COMPUTED_VALUE"""),"Enrolled")</f>
        <v>Enrolled</v>
      </c>
    </row>
    <row r="1217">
      <c r="A1217" s="6" t="str">
        <f>IFERROR(__xludf.DUMMYFUNCTION("""COMPUTED_VALUE"""),"009-1437")</f>
        <v>009-1437</v>
      </c>
      <c r="B1217" s="6" t="str">
        <f>IFERROR(__xludf.DUMMYFUNCTION("""COMPUTED_VALUE"""),"9")</f>
        <v>9</v>
      </c>
      <c r="C1217" s="6" t="str">
        <f>IFERROR(__xludf.DUMMYFUNCTION("""COMPUTED_VALUE"""),"1437")</f>
        <v>1437</v>
      </c>
      <c r="D1217" s="6" t="str">
        <f>IFERROR(__xludf.DUMMYFUNCTION("""COMPUTED_VALUE"""),"Emiliia")</f>
        <v>Emiliia</v>
      </c>
      <c r="E1217" s="6" t="str">
        <f>IFERROR(__xludf.DUMMYFUNCTION("""COMPUTED_VALUE"""),"")</f>
        <v/>
      </c>
      <c r="F1217" s="6" t="str">
        <f>IFERROR(__xludf.DUMMYFUNCTION("""COMPUTED_VALUE"""),"Sulik")</f>
        <v>Sulik</v>
      </c>
      <c r="G1217" s="6" t="str">
        <f>IFERROR(__xludf.DUMMYFUNCTION("""COMPUTED_VALUE"""),"01/01/2010")</f>
        <v>01/01/2010</v>
      </c>
      <c r="H1217" s="6" t="str">
        <f>IFERROR(__xludf.DUMMYFUNCTION("""COMPUTED_VALUE"""),"Self Identify")</f>
        <v>Self Identify</v>
      </c>
      <c r="I1217" s="6" t="str">
        <f>IFERROR(__xludf.DUMMYFUNCTION("""COMPUTED_VALUE"""),"High School")</f>
        <v>High School</v>
      </c>
      <c r="J1217" s="6" t="str">
        <f>IFERROR(__xludf.DUMMYFUNCTION("""COMPUTED_VALUE"""),"9")</f>
        <v>9</v>
      </c>
      <c r="K1217" s="6" t="str">
        <f>IFERROR(__xludf.DUMMYFUNCTION("""COMPUTED_VALUE"""),"emiliia.sulik@2hourlearning.com")</f>
        <v>emiliia.sulik@2hourlearning.com</v>
      </c>
      <c r="L1217" s="6" t="str">
        <f>IFERROR(__xludf.DUMMYFUNCTION("""COMPUTED_VALUE"""),"Learn and Earn Poland")</f>
        <v>Learn and Earn Poland</v>
      </c>
      <c r="M1217" s="6" t="str">
        <f>IFERROR(__xludf.DUMMYFUNCTION("""COMPUTED_VALUE"""),"Poland ex-GTS")</f>
        <v>Poland ex-GTS</v>
      </c>
      <c r="N1217" s="6" t="str">
        <f>IFERROR(__xludf.DUMMYFUNCTION("""COMPUTED_VALUE"""),"")</f>
        <v/>
      </c>
      <c r="O1217" s="87" t="str">
        <f>IFERROR(__xludf.DUMMYFUNCTION("""COMPUTED_VALUE"""),"https://drive.google.com/drive/folders/10T2cTQHqEJZqE-st6uFKPoI?usp=share_link")</f>
        <v>https://drive.google.com/drive/folders/10T2cTQHqEJZqE-st6uFKPoI?usp=share_link</v>
      </c>
      <c r="P1217" s="6" t="str">
        <f>IFERROR(__xludf.DUMMYFUNCTION("""COMPUTED_VALUE"""),"Emiliia Sulik")</f>
        <v>Emiliia Sulik</v>
      </c>
      <c r="Q1217" s="6" t="str">
        <f>IFERROR(__xludf.DUMMYFUNCTION("""COMPUTED_VALUE"""),"HS")</f>
        <v>HS</v>
      </c>
      <c r="R1217" s="6">
        <f>IFERROR(__xludf.DUMMYFUNCTION("""COMPUTED_VALUE"""),0.0)</f>
        <v>0</v>
      </c>
      <c r="S1217" s="6" t="str">
        <f>IFERROR(__xludf.DUMMYFUNCTION("""COMPUTED_VALUE""")," ")</f>
        <v> </v>
      </c>
      <c r="T1217" s="6" t="str">
        <f>IFERROR(__xludf.DUMMYFUNCTION("""COMPUTED_VALUE"""),"")</f>
        <v/>
      </c>
      <c r="U1217" s="6" t="str">
        <f>IFERROR(__xludf.DUMMYFUNCTION("""COMPUTED_VALUE"""),"9")</f>
        <v>9</v>
      </c>
      <c r="V1217" s="6" t="str">
        <f>IFERROR(__xludf.DUMMYFUNCTION("""COMPUTED_VALUE"""),"English")</f>
        <v>English</v>
      </c>
      <c r="W1217" s="6" t="str">
        <f>IFERROR(__xludf.DUMMYFUNCTION("""COMPUTED_VALUE"""),"[]")</f>
        <v>[]</v>
      </c>
      <c r="X1217" s="6" t="str">
        <f>IFERROR(__xludf.DUMMYFUNCTION("""COMPUTED_VALUE"""),"Enrolled")</f>
        <v>Enrolled</v>
      </c>
    </row>
    <row r="1218">
      <c r="A1218" s="6" t="str">
        <f>IFERROR(__xludf.DUMMYFUNCTION("""COMPUTED_VALUE"""),"009-1438")</f>
        <v>009-1438</v>
      </c>
      <c r="B1218" s="6" t="str">
        <f>IFERROR(__xludf.DUMMYFUNCTION("""COMPUTED_VALUE"""),"9")</f>
        <v>9</v>
      </c>
      <c r="C1218" s="6" t="str">
        <f>IFERROR(__xludf.DUMMYFUNCTION("""COMPUTED_VALUE"""),"1438")</f>
        <v>1438</v>
      </c>
      <c r="D1218" s="6" t="str">
        <f>IFERROR(__xludf.DUMMYFUNCTION("""COMPUTED_VALUE"""),"Tymek")</f>
        <v>Tymek</v>
      </c>
      <c r="E1218" s="6" t="str">
        <f>IFERROR(__xludf.DUMMYFUNCTION("""COMPUTED_VALUE"""),"")</f>
        <v/>
      </c>
      <c r="F1218" s="6" t="str">
        <f>IFERROR(__xludf.DUMMYFUNCTION("""COMPUTED_VALUE"""),"Sulik")</f>
        <v>Sulik</v>
      </c>
      <c r="G1218" s="6" t="str">
        <f>IFERROR(__xludf.DUMMYFUNCTION("""COMPUTED_VALUE"""),"01/01/2013")</f>
        <v>01/01/2013</v>
      </c>
      <c r="H1218" s="6" t="str">
        <f>IFERROR(__xludf.DUMMYFUNCTION("""COMPUTED_VALUE"""),"Self Identify")</f>
        <v>Self Identify</v>
      </c>
      <c r="I1218" s="6" t="str">
        <f>IFERROR(__xludf.DUMMYFUNCTION("""COMPUTED_VALUE"""),"Middle School")</f>
        <v>Middle School</v>
      </c>
      <c r="J1218" s="6" t="str">
        <f>IFERROR(__xludf.DUMMYFUNCTION("""COMPUTED_VALUE"""),"6")</f>
        <v>6</v>
      </c>
      <c r="K1218" s="6" t="str">
        <f>IFERROR(__xludf.DUMMYFUNCTION("""COMPUTED_VALUE"""),"tymek.sulik@2hourlearning.com")</f>
        <v>tymek.sulik@2hourlearning.com</v>
      </c>
      <c r="L1218" s="6" t="str">
        <f>IFERROR(__xludf.DUMMYFUNCTION("""COMPUTED_VALUE"""),"Learn and Earn Poland")</f>
        <v>Learn and Earn Poland</v>
      </c>
      <c r="M1218" s="6" t="str">
        <f>IFERROR(__xludf.DUMMYFUNCTION("""COMPUTED_VALUE"""),"Poland ex-GTS")</f>
        <v>Poland ex-GTS</v>
      </c>
      <c r="N1218" s="6" t="str">
        <f>IFERROR(__xludf.DUMMYFUNCTION("""COMPUTED_VALUE"""),"")</f>
        <v/>
      </c>
      <c r="O1218" s="87" t="str">
        <f>IFERROR(__xludf.DUMMYFUNCTION("""COMPUTED_VALUE"""),"https://drive.google.com/drive/folders/10T2cTQHqEJZqE-st6uFKPoI?usp=share_link")</f>
        <v>https://drive.google.com/drive/folders/10T2cTQHqEJZqE-st6uFKPoI?usp=share_link</v>
      </c>
      <c r="P1218" s="6" t="str">
        <f>IFERROR(__xludf.DUMMYFUNCTION("""COMPUTED_VALUE"""),"Tymek Sulik")</f>
        <v>Tymek Sulik</v>
      </c>
      <c r="Q1218" s="6" t="str">
        <f>IFERROR(__xludf.DUMMYFUNCTION("""COMPUTED_VALUE"""),"MS")</f>
        <v>MS</v>
      </c>
      <c r="R1218" s="6">
        <f>IFERROR(__xludf.DUMMYFUNCTION("""COMPUTED_VALUE"""),0.0)</f>
        <v>0</v>
      </c>
      <c r="S1218" s="6" t="str">
        <f>IFERROR(__xludf.DUMMYFUNCTION("""COMPUTED_VALUE""")," ")</f>
        <v> </v>
      </c>
      <c r="T1218" s="6" t="str">
        <f>IFERROR(__xludf.DUMMYFUNCTION("""COMPUTED_VALUE"""),"")</f>
        <v/>
      </c>
      <c r="U1218" s="6" t="str">
        <f>IFERROR(__xludf.DUMMYFUNCTION("""COMPUTED_VALUE"""),"6")</f>
        <v>6</v>
      </c>
      <c r="V1218" s="6" t="str">
        <f>IFERROR(__xludf.DUMMYFUNCTION("""COMPUTED_VALUE"""),"English")</f>
        <v>English</v>
      </c>
      <c r="W1218" s="6" t="str">
        <f>IFERROR(__xludf.DUMMYFUNCTION("""COMPUTED_VALUE"""),"[]")</f>
        <v>[]</v>
      </c>
      <c r="X1218" s="6" t="str">
        <f>IFERROR(__xludf.DUMMYFUNCTION("""COMPUTED_VALUE"""),"Enrolled")</f>
        <v>Enrolled</v>
      </c>
    </row>
    <row r="1219">
      <c r="A1219" s="6" t="str">
        <f>IFERROR(__xludf.DUMMYFUNCTION("""COMPUTED_VALUE"""),"009-1439")</f>
        <v>009-1439</v>
      </c>
      <c r="B1219" s="6" t="str">
        <f>IFERROR(__xludf.DUMMYFUNCTION("""COMPUTED_VALUE"""),"9")</f>
        <v>9</v>
      </c>
      <c r="C1219" s="6" t="str">
        <f>IFERROR(__xludf.DUMMYFUNCTION("""COMPUTED_VALUE"""),"1439")</f>
        <v>1439</v>
      </c>
      <c r="D1219" s="6" t="str">
        <f>IFERROR(__xludf.DUMMYFUNCTION("""COMPUTED_VALUE"""),"Babenko")</f>
        <v>Babenko</v>
      </c>
      <c r="E1219" s="6" t="str">
        <f>IFERROR(__xludf.DUMMYFUNCTION("""COMPUTED_VALUE"""),"")</f>
        <v/>
      </c>
      <c r="F1219" s="6" t="str">
        <f>IFERROR(__xludf.DUMMYFUNCTION("""COMPUTED_VALUE"""),"Milana")</f>
        <v>Milana</v>
      </c>
      <c r="G1219" s="6" t="str">
        <f>IFERROR(__xludf.DUMMYFUNCTION("""COMPUTED_VALUE"""),"01/01/2012")</f>
        <v>01/01/2012</v>
      </c>
      <c r="H1219" s="6" t="str">
        <f>IFERROR(__xludf.DUMMYFUNCTION("""COMPUTED_VALUE"""),"Self Identify")</f>
        <v>Self Identify</v>
      </c>
      <c r="I1219" s="6" t="str">
        <f>IFERROR(__xludf.DUMMYFUNCTION("""COMPUTED_VALUE"""),"Middle School")</f>
        <v>Middle School</v>
      </c>
      <c r="J1219" s="6" t="str">
        <f>IFERROR(__xludf.DUMMYFUNCTION("""COMPUTED_VALUE"""),"7")</f>
        <v>7</v>
      </c>
      <c r="K1219" s="6" t="str">
        <f>IFERROR(__xludf.DUMMYFUNCTION("""COMPUTED_VALUE"""),"babenko.milana@2hourlearning.com")</f>
        <v>babenko.milana@2hourlearning.com</v>
      </c>
      <c r="L1219" s="6" t="str">
        <f>IFERROR(__xludf.DUMMYFUNCTION("""COMPUTED_VALUE"""),"Learn and Earn Poland")</f>
        <v>Learn and Earn Poland</v>
      </c>
      <c r="M1219" s="6" t="str">
        <f>IFERROR(__xludf.DUMMYFUNCTION("""COMPUTED_VALUE"""),"Poland ex-GTS")</f>
        <v>Poland ex-GTS</v>
      </c>
      <c r="N1219" s="6" t="str">
        <f>IFERROR(__xludf.DUMMYFUNCTION("""COMPUTED_VALUE"""),"")</f>
        <v/>
      </c>
      <c r="O1219" s="87" t="str">
        <f>IFERROR(__xludf.DUMMYFUNCTION("""COMPUTED_VALUE"""),"https://drive.google.com/drive/folders/10T2cTQHqEJZqE-st6uFKPoI?usp=share_link")</f>
        <v>https://drive.google.com/drive/folders/10T2cTQHqEJZqE-st6uFKPoI?usp=share_link</v>
      </c>
      <c r="P1219" s="6" t="str">
        <f>IFERROR(__xludf.DUMMYFUNCTION("""COMPUTED_VALUE"""),"Babenko Milana")</f>
        <v>Babenko Milana</v>
      </c>
      <c r="Q1219" s="6" t="str">
        <f>IFERROR(__xludf.DUMMYFUNCTION("""COMPUTED_VALUE"""),"MS")</f>
        <v>MS</v>
      </c>
      <c r="R1219" s="6">
        <f>IFERROR(__xludf.DUMMYFUNCTION("""COMPUTED_VALUE"""),0.0)</f>
        <v>0</v>
      </c>
      <c r="S1219" s="6" t="str">
        <f>IFERROR(__xludf.DUMMYFUNCTION("""COMPUTED_VALUE""")," ")</f>
        <v> </v>
      </c>
      <c r="T1219" s="6" t="str">
        <f>IFERROR(__xludf.DUMMYFUNCTION("""COMPUTED_VALUE"""),"")</f>
        <v/>
      </c>
      <c r="U1219" s="6" t="str">
        <f>IFERROR(__xludf.DUMMYFUNCTION("""COMPUTED_VALUE"""),"7")</f>
        <v>7</v>
      </c>
      <c r="V1219" s="6" t="str">
        <f>IFERROR(__xludf.DUMMYFUNCTION("""COMPUTED_VALUE"""),"English")</f>
        <v>English</v>
      </c>
      <c r="W1219" s="6" t="str">
        <f>IFERROR(__xludf.DUMMYFUNCTION("""COMPUTED_VALUE"""),"[]")</f>
        <v>[]</v>
      </c>
      <c r="X1219" s="6" t="str">
        <f>IFERROR(__xludf.DUMMYFUNCTION("""COMPUTED_VALUE"""),"Enrolled")</f>
        <v>Enrolled</v>
      </c>
    </row>
    <row r="1220">
      <c r="A1220" s="6" t="str">
        <f>IFERROR(__xludf.DUMMYFUNCTION("""COMPUTED_VALUE"""),"009-1440")</f>
        <v>009-1440</v>
      </c>
      <c r="B1220" s="6" t="str">
        <f>IFERROR(__xludf.DUMMYFUNCTION("""COMPUTED_VALUE"""),"9")</f>
        <v>9</v>
      </c>
      <c r="C1220" s="6" t="str">
        <f>IFERROR(__xludf.DUMMYFUNCTION("""COMPUTED_VALUE"""),"1440")</f>
        <v>1440</v>
      </c>
      <c r="D1220" s="6" t="str">
        <f>IFERROR(__xludf.DUMMYFUNCTION("""COMPUTED_VALUE"""),"Kryvenets")</f>
        <v>Kryvenets</v>
      </c>
      <c r="E1220" s="6" t="str">
        <f>IFERROR(__xludf.DUMMYFUNCTION("""COMPUTED_VALUE"""),"")</f>
        <v/>
      </c>
      <c r="F1220" s="6" t="str">
        <f>IFERROR(__xludf.DUMMYFUNCTION("""COMPUTED_VALUE"""),"Katerina")</f>
        <v>Katerina</v>
      </c>
      <c r="G1220" s="6" t="str">
        <f>IFERROR(__xludf.DUMMYFUNCTION("""COMPUTED_VALUE"""),"01/01/2013")</f>
        <v>01/01/2013</v>
      </c>
      <c r="H1220" s="6" t="str">
        <f>IFERROR(__xludf.DUMMYFUNCTION("""COMPUTED_VALUE"""),"Self Identify")</f>
        <v>Self Identify</v>
      </c>
      <c r="I1220" s="6" t="str">
        <f>IFERROR(__xludf.DUMMYFUNCTION("""COMPUTED_VALUE"""),"Middle School")</f>
        <v>Middle School</v>
      </c>
      <c r="J1220" s="6" t="str">
        <f>IFERROR(__xludf.DUMMYFUNCTION("""COMPUTED_VALUE"""),"6")</f>
        <v>6</v>
      </c>
      <c r="K1220" s="6" t="str">
        <f>IFERROR(__xludf.DUMMYFUNCTION("""COMPUTED_VALUE"""),"kryvenets.katerina@2hourlearning.com")</f>
        <v>kryvenets.katerina@2hourlearning.com</v>
      </c>
      <c r="L1220" s="6" t="str">
        <f>IFERROR(__xludf.DUMMYFUNCTION("""COMPUTED_VALUE"""),"Learn and Earn Poland")</f>
        <v>Learn and Earn Poland</v>
      </c>
      <c r="M1220" s="6" t="str">
        <f>IFERROR(__xludf.DUMMYFUNCTION("""COMPUTED_VALUE"""),"Poland ex-GTS")</f>
        <v>Poland ex-GTS</v>
      </c>
      <c r="N1220" s="6" t="str">
        <f>IFERROR(__xludf.DUMMYFUNCTION("""COMPUTED_VALUE"""),"")</f>
        <v/>
      </c>
      <c r="O1220" s="87" t="str">
        <f>IFERROR(__xludf.DUMMYFUNCTION("""COMPUTED_VALUE"""),"https://drive.google.com/drive/folders/10T2cTQHqEJZqE-st6uFKPoI?usp=share_link")</f>
        <v>https://drive.google.com/drive/folders/10T2cTQHqEJZqE-st6uFKPoI?usp=share_link</v>
      </c>
      <c r="P1220" s="6" t="str">
        <f>IFERROR(__xludf.DUMMYFUNCTION("""COMPUTED_VALUE"""),"Kryvenets Katerina")</f>
        <v>Kryvenets Katerina</v>
      </c>
      <c r="Q1220" s="6" t="str">
        <f>IFERROR(__xludf.DUMMYFUNCTION("""COMPUTED_VALUE"""),"MS")</f>
        <v>MS</v>
      </c>
      <c r="R1220" s="6">
        <f>IFERROR(__xludf.DUMMYFUNCTION("""COMPUTED_VALUE"""),0.0)</f>
        <v>0</v>
      </c>
      <c r="S1220" s="6" t="str">
        <f>IFERROR(__xludf.DUMMYFUNCTION("""COMPUTED_VALUE""")," ")</f>
        <v> </v>
      </c>
      <c r="T1220" s="6" t="str">
        <f>IFERROR(__xludf.DUMMYFUNCTION("""COMPUTED_VALUE"""),"")</f>
        <v/>
      </c>
      <c r="U1220" s="6" t="str">
        <f>IFERROR(__xludf.DUMMYFUNCTION("""COMPUTED_VALUE"""),"6")</f>
        <v>6</v>
      </c>
      <c r="V1220" s="6" t="str">
        <f>IFERROR(__xludf.DUMMYFUNCTION("""COMPUTED_VALUE"""),"English")</f>
        <v>English</v>
      </c>
      <c r="W1220" s="6" t="str">
        <f>IFERROR(__xludf.DUMMYFUNCTION("""COMPUTED_VALUE"""),"[]")</f>
        <v>[]</v>
      </c>
      <c r="X1220" s="6" t="str">
        <f>IFERROR(__xludf.DUMMYFUNCTION("""COMPUTED_VALUE"""),"Enrolled")</f>
        <v>Enrolled</v>
      </c>
    </row>
    <row r="1221">
      <c r="A1221" s="6" t="str">
        <f>IFERROR(__xludf.DUMMYFUNCTION("""COMPUTED_VALUE"""),"009-1441")</f>
        <v>009-1441</v>
      </c>
      <c r="B1221" s="6" t="str">
        <f>IFERROR(__xludf.DUMMYFUNCTION("""COMPUTED_VALUE"""),"9")</f>
        <v>9</v>
      </c>
      <c r="C1221" s="6" t="str">
        <f>IFERROR(__xludf.DUMMYFUNCTION("""COMPUTED_VALUE"""),"1441")</f>
        <v>1441</v>
      </c>
      <c r="D1221" s="6" t="str">
        <f>IFERROR(__xludf.DUMMYFUNCTION("""COMPUTED_VALUE"""),"Tanya")</f>
        <v>Tanya</v>
      </c>
      <c r="E1221" s="6" t="str">
        <f>IFERROR(__xludf.DUMMYFUNCTION("""COMPUTED_VALUE"""),"")</f>
        <v/>
      </c>
      <c r="F1221" s="6" t="str">
        <f>IFERROR(__xludf.DUMMYFUNCTION("""COMPUTED_VALUE"""),"Neshitaya")</f>
        <v>Neshitaya</v>
      </c>
      <c r="G1221" s="6" t="str">
        <f>IFERROR(__xludf.DUMMYFUNCTION("""COMPUTED_VALUE"""),"01/01/2009")</f>
        <v>01/01/2009</v>
      </c>
      <c r="H1221" s="6" t="str">
        <f>IFERROR(__xludf.DUMMYFUNCTION("""COMPUTED_VALUE"""),"Self Identify")</f>
        <v>Self Identify</v>
      </c>
      <c r="I1221" s="6" t="str">
        <f>IFERROR(__xludf.DUMMYFUNCTION("""COMPUTED_VALUE"""),"High School")</f>
        <v>High School</v>
      </c>
      <c r="J1221" s="6" t="str">
        <f>IFERROR(__xludf.DUMMYFUNCTION("""COMPUTED_VALUE"""),"10")</f>
        <v>10</v>
      </c>
      <c r="K1221" s="6" t="str">
        <f>IFERROR(__xludf.DUMMYFUNCTION("""COMPUTED_VALUE"""),"tanya.neshitaya@2hourlearning.com")</f>
        <v>tanya.neshitaya@2hourlearning.com</v>
      </c>
      <c r="L1221" s="6" t="str">
        <f>IFERROR(__xludf.DUMMYFUNCTION("""COMPUTED_VALUE"""),"Learn and Earn Poland")</f>
        <v>Learn and Earn Poland</v>
      </c>
      <c r="M1221" s="6" t="str">
        <f>IFERROR(__xludf.DUMMYFUNCTION("""COMPUTED_VALUE"""),"Poland ex-GTS")</f>
        <v>Poland ex-GTS</v>
      </c>
      <c r="N1221" s="6" t="str">
        <f>IFERROR(__xludf.DUMMYFUNCTION("""COMPUTED_VALUE"""),"")</f>
        <v/>
      </c>
      <c r="O1221" s="87" t="str">
        <f>IFERROR(__xludf.DUMMYFUNCTION("""COMPUTED_VALUE"""),"https://drive.google.com/drive/folders/10T2cTQHqEJZqE-st6uFKPoI?usp=share_link")</f>
        <v>https://drive.google.com/drive/folders/10T2cTQHqEJZqE-st6uFKPoI?usp=share_link</v>
      </c>
      <c r="P1221" s="6" t="str">
        <f>IFERROR(__xludf.DUMMYFUNCTION("""COMPUTED_VALUE"""),"Tanya Neshitaya")</f>
        <v>Tanya Neshitaya</v>
      </c>
      <c r="Q1221" s="6" t="str">
        <f>IFERROR(__xludf.DUMMYFUNCTION("""COMPUTED_VALUE"""),"HS")</f>
        <v>HS</v>
      </c>
      <c r="R1221" s="6">
        <f>IFERROR(__xludf.DUMMYFUNCTION("""COMPUTED_VALUE"""),0.0)</f>
        <v>0</v>
      </c>
      <c r="S1221" s="6" t="str">
        <f>IFERROR(__xludf.DUMMYFUNCTION("""COMPUTED_VALUE""")," ")</f>
        <v> </v>
      </c>
      <c r="T1221" s="6" t="str">
        <f>IFERROR(__xludf.DUMMYFUNCTION("""COMPUTED_VALUE"""),"")</f>
        <v/>
      </c>
      <c r="U1221" s="6" t="str">
        <f>IFERROR(__xludf.DUMMYFUNCTION("""COMPUTED_VALUE"""),"10")</f>
        <v>10</v>
      </c>
      <c r="V1221" s="6" t="str">
        <f>IFERROR(__xludf.DUMMYFUNCTION("""COMPUTED_VALUE"""),"English")</f>
        <v>English</v>
      </c>
      <c r="W1221" s="6" t="str">
        <f>IFERROR(__xludf.DUMMYFUNCTION("""COMPUTED_VALUE"""),"[]")</f>
        <v>[]</v>
      </c>
      <c r="X1221" s="6" t="str">
        <f>IFERROR(__xludf.DUMMYFUNCTION("""COMPUTED_VALUE"""),"Enrolled")</f>
        <v>Enrolled</v>
      </c>
    </row>
    <row r="1222">
      <c r="A1222" s="6" t="str">
        <f>IFERROR(__xludf.DUMMYFUNCTION("""COMPUTED_VALUE"""),"009-1442")</f>
        <v>009-1442</v>
      </c>
      <c r="B1222" s="6" t="str">
        <f>IFERROR(__xludf.DUMMYFUNCTION("""COMPUTED_VALUE"""),"9")</f>
        <v>9</v>
      </c>
      <c r="C1222" s="6" t="str">
        <f>IFERROR(__xludf.DUMMYFUNCTION("""COMPUTED_VALUE"""),"1442")</f>
        <v>1442</v>
      </c>
      <c r="D1222" s="6" t="str">
        <f>IFERROR(__xludf.DUMMYFUNCTION("""COMPUTED_VALUE"""),"Dmytro")</f>
        <v>Dmytro</v>
      </c>
      <c r="E1222" s="6" t="str">
        <f>IFERROR(__xludf.DUMMYFUNCTION("""COMPUTED_VALUE"""),"")</f>
        <v/>
      </c>
      <c r="F1222" s="6" t="str">
        <f>IFERROR(__xludf.DUMMYFUNCTION("""COMPUTED_VALUE"""),"Tarusin")</f>
        <v>Tarusin</v>
      </c>
      <c r="G1222" s="6" t="str">
        <f>IFERROR(__xludf.DUMMYFUNCTION("""COMPUTED_VALUE"""),"01/01/2013")</f>
        <v>01/01/2013</v>
      </c>
      <c r="H1222" s="6" t="str">
        <f>IFERROR(__xludf.DUMMYFUNCTION("""COMPUTED_VALUE"""),"Self Identify")</f>
        <v>Self Identify</v>
      </c>
      <c r="I1222" s="6" t="str">
        <f>IFERROR(__xludf.DUMMYFUNCTION("""COMPUTED_VALUE"""),"Middle School")</f>
        <v>Middle School</v>
      </c>
      <c r="J1222" s="6" t="str">
        <f>IFERROR(__xludf.DUMMYFUNCTION("""COMPUTED_VALUE"""),"6")</f>
        <v>6</v>
      </c>
      <c r="K1222" s="6" t="str">
        <f>IFERROR(__xludf.DUMMYFUNCTION("""COMPUTED_VALUE"""),"dmytro.tarusin@2hourlearning.com")</f>
        <v>dmytro.tarusin@2hourlearning.com</v>
      </c>
      <c r="L1222" s="6" t="str">
        <f>IFERROR(__xludf.DUMMYFUNCTION("""COMPUTED_VALUE"""),"Learn and Earn Poland")</f>
        <v>Learn and Earn Poland</v>
      </c>
      <c r="M1222" s="6" t="str">
        <f>IFERROR(__xludf.DUMMYFUNCTION("""COMPUTED_VALUE"""),"Poland ex-GTS")</f>
        <v>Poland ex-GTS</v>
      </c>
      <c r="N1222" s="6" t="str">
        <f>IFERROR(__xludf.DUMMYFUNCTION("""COMPUTED_VALUE"""),"")</f>
        <v/>
      </c>
      <c r="O1222" s="87" t="str">
        <f>IFERROR(__xludf.DUMMYFUNCTION("""COMPUTED_VALUE"""),"https://drive.google.com/drive/folders/10T2cTQHqEJZqE-st6uFKPoI?usp=share_link")</f>
        <v>https://drive.google.com/drive/folders/10T2cTQHqEJZqE-st6uFKPoI?usp=share_link</v>
      </c>
      <c r="P1222" s="6" t="str">
        <f>IFERROR(__xludf.DUMMYFUNCTION("""COMPUTED_VALUE"""),"Dmytro Tarusin")</f>
        <v>Dmytro Tarusin</v>
      </c>
      <c r="Q1222" s="6" t="str">
        <f>IFERROR(__xludf.DUMMYFUNCTION("""COMPUTED_VALUE"""),"MS")</f>
        <v>MS</v>
      </c>
      <c r="R1222" s="6">
        <f>IFERROR(__xludf.DUMMYFUNCTION("""COMPUTED_VALUE"""),0.0)</f>
        <v>0</v>
      </c>
      <c r="S1222" s="6" t="str">
        <f>IFERROR(__xludf.DUMMYFUNCTION("""COMPUTED_VALUE""")," ")</f>
        <v> </v>
      </c>
      <c r="T1222" s="6" t="str">
        <f>IFERROR(__xludf.DUMMYFUNCTION("""COMPUTED_VALUE"""),"")</f>
        <v/>
      </c>
      <c r="U1222" s="6" t="str">
        <f>IFERROR(__xludf.DUMMYFUNCTION("""COMPUTED_VALUE"""),"6")</f>
        <v>6</v>
      </c>
      <c r="V1222" s="6" t="str">
        <f>IFERROR(__xludf.DUMMYFUNCTION("""COMPUTED_VALUE"""),"English")</f>
        <v>English</v>
      </c>
      <c r="W1222" s="6" t="str">
        <f>IFERROR(__xludf.DUMMYFUNCTION("""COMPUTED_VALUE"""),"[]")</f>
        <v>[]</v>
      </c>
      <c r="X1222" s="6" t="str">
        <f>IFERROR(__xludf.DUMMYFUNCTION("""COMPUTED_VALUE"""),"Enrolled")</f>
        <v>Enrolled</v>
      </c>
    </row>
    <row r="1223">
      <c r="A1223" s="6" t="str">
        <f>IFERROR(__xludf.DUMMYFUNCTION("""COMPUTED_VALUE"""),"009-1443")</f>
        <v>009-1443</v>
      </c>
      <c r="B1223" s="6" t="str">
        <f>IFERROR(__xludf.DUMMYFUNCTION("""COMPUTED_VALUE"""),"9")</f>
        <v>9</v>
      </c>
      <c r="C1223" s="6" t="str">
        <f>IFERROR(__xludf.DUMMYFUNCTION("""COMPUTED_VALUE"""),"1443")</f>
        <v>1443</v>
      </c>
      <c r="D1223" s="6" t="str">
        <f>IFERROR(__xludf.DUMMYFUNCTION("""COMPUTED_VALUE"""),"Sofiia")</f>
        <v>Sofiia</v>
      </c>
      <c r="E1223" s="6" t="str">
        <f>IFERROR(__xludf.DUMMYFUNCTION("""COMPUTED_VALUE"""),"")</f>
        <v/>
      </c>
      <c r="F1223" s="6" t="str">
        <f>IFERROR(__xludf.DUMMYFUNCTION("""COMPUTED_VALUE"""),"Shevchenko")</f>
        <v>Shevchenko</v>
      </c>
      <c r="G1223" s="6" t="str">
        <f>IFERROR(__xludf.DUMMYFUNCTION("""COMPUTED_VALUE"""),"01/01/2015")</f>
        <v>01/01/2015</v>
      </c>
      <c r="H1223" s="6" t="str">
        <f>IFERROR(__xludf.DUMMYFUNCTION("""COMPUTED_VALUE"""),"Self Identify")</f>
        <v>Self Identify</v>
      </c>
      <c r="I1223" s="6" t="str">
        <f>IFERROR(__xludf.DUMMYFUNCTION("""COMPUTED_VALUE"""),"Level 2")</f>
        <v>Level 2</v>
      </c>
      <c r="J1223" s="6" t="str">
        <f>IFERROR(__xludf.DUMMYFUNCTION("""COMPUTED_VALUE"""),"4")</f>
        <v>4</v>
      </c>
      <c r="K1223" s="6" t="str">
        <f>IFERROR(__xludf.DUMMYFUNCTION("""COMPUTED_VALUE"""),"sofiia.shevchenko@2hourlearning.com")</f>
        <v>sofiia.shevchenko@2hourlearning.com</v>
      </c>
      <c r="L1223" s="6" t="str">
        <f>IFERROR(__xludf.DUMMYFUNCTION("""COMPUTED_VALUE"""),"Learn and Earn Poland")</f>
        <v>Learn and Earn Poland</v>
      </c>
      <c r="M1223" s="6" t="str">
        <f>IFERROR(__xludf.DUMMYFUNCTION("""COMPUTED_VALUE"""),"Poland ex-GTS")</f>
        <v>Poland ex-GTS</v>
      </c>
      <c r="N1223" s="6" t="str">
        <f>IFERROR(__xludf.DUMMYFUNCTION("""COMPUTED_VALUE"""),"")</f>
        <v/>
      </c>
      <c r="O1223" s="87" t="str">
        <f>IFERROR(__xludf.DUMMYFUNCTION("""COMPUTED_VALUE"""),"https://drive.google.com/drive/folders/10T2cTQHqEJZqE-st6uFKPoI?usp=share_link")</f>
        <v>https://drive.google.com/drive/folders/10T2cTQHqEJZqE-st6uFKPoI?usp=share_link</v>
      </c>
      <c r="P1223" s="6" t="str">
        <f>IFERROR(__xludf.DUMMYFUNCTION("""COMPUTED_VALUE"""),"Sofiia Shevchenko")</f>
        <v>Sofiia Shevchenko</v>
      </c>
      <c r="Q1223" s="6" t="str">
        <f>IFERROR(__xludf.DUMMYFUNCTION("""COMPUTED_VALUE"""),"L2")</f>
        <v>L2</v>
      </c>
      <c r="R1223" s="6">
        <f>IFERROR(__xludf.DUMMYFUNCTION("""COMPUTED_VALUE"""),2.0)</f>
        <v>2</v>
      </c>
      <c r="S1223" s="6" t="str">
        <f>IFERROR(__xludf.DUMMYFUNCTION("""COMPUTED_VALUE""")," ")</f>
        <v> </v>
      </c>
      <c r="T1223" s="6" t="str">
        <f>IFERROR(__xludf.DUMMYFUNCTION("""COMPUTED_VALUE"""),"")</f>
        <v/>
      </c>
      <c r="U1223" s="6" t="str">
        <f>IFERROR(__xludf.DUMMYFUNCTION("""COMPUTED_VALUE"""),"4")</f>
        <v>4</v>
      </c>
      <c r="V1223" s="6" t="str">
        <f>IFERROR(__xludf.DUMMYFUNCTION("""COMPUTED_VALUE"""),"English")</f>
        <v>English</v>
      </c>
      <c r="W1223" s="6" t="str">
        <f>IFERROR(__xludf.DUMMYFUNCTION("""COMPUTED_VALUE"""),"[]")</f>
        <v>[]</v>
      </c>
      <c r="X1223" s="6" t="str">
        <f>IFERROR(__xludf.DUMMYFUNCTION("""COMPUTED_VALUE"""),"Enrolled")</f>
        <v>Enrolled</v>
      </c>
    </row>
    <row r="1224">
      <c r="A1224" s="6" t="str">
        <f>IFERROR(__xludf.DUMMYFUNCTION("""COMPUTED_VALUE"""),"009-1444")</f>
        <v>009-1444</v>
      </c>
      <c r="B1224" s="6" t="str">
        <f>IFERROR(__xludf.DUMMYFUNCTION("""COMPUTED_VALUE"""),"9")</f>
        <v>9</v>
      </c>
      <c r="C1224" s="6" t="str">
        <f>IFERROR(__xludf.DUMMYFUNCTION("""COMPUTED_VALUE"""),"1444")</f>
        <v>1444</v>
      </c>
      <c r="D1224" s="6" t="str">
        <f>IFERROR(__xludf.DUMMYFUNCTION("""COMPUTED_VALUE"""),"Vladyslav")</f>
        <v>Vladyslav</v>
      </c>
      <c r="E1224" s="6" t="str">
        <f>IFERROR(__xludf.DUMMYFUNCTION("""COMPUTED_VALUE"""),"")</f>
        <v/>
      </c>
      <c r="F1224" s="6" t="str">
        <f>IFERROR(__xludf.DUMMYFUNCTION("""COMPUTED_VALUE"""),"Ternavskiy")</f>
        <v>Ternavskiy</v>
      </c>
      <c r="G1224" s="6" t="str">
        <f>IFERROR(__xludf.DUMMYFUNCTION("""COMPUTED_VALUE"""),"01/01/2009")</f>
        <v>01/01/2009</v>
      </c>
      <c r="H1224" s="6" t="str">
        <f>IFERROR(__xludf.DUMMYFUNCTION("""COMPUTED_VALUE"""),"Self Identify")</f>
        <v>Self Identify</v>
      </c>
      <c r="I1224" s="6" t="str">
        <f>IFERROR(__xludf.DUMMYFUNCTION("""COMPUTED_VALUE"""),"High School")</f>
        <v>High School</v>
      </c>
      <c r="J1224" s="6" t="str">
        <f>IFERROR(__xludf.DUMMYFUNCTION("""COMPUTED_VALUE"""),"10")</f>
        <v>10</v>
      </c>
      <c r="K1224" s="6" t="str">
        <f>IFERROR(__xludf.DUMMYFUNCTION("""COMPUTED_VALUE"""),"vladyslav.ternavskiy@2hourlearning.com")</f>
        <v>vladyslav.ternavskiy@2hourlearning.com</v>
      </c>
      <c r="L1224" s="6" t="str">
        <f>IFERROR(__xludf.DUMMYFUNCTION("""COMPUTED_VALUE"""),"Learn and Earn Poland")</f>
        <v>Learn and Earn Poland</v>
      </c>
      <c r="M1224" s="6" t="str">
        <f>IFERROR(__xludf.DUMMYFUNCTION("""COMPUTED_VALUE"""),"Poland ex-GTS")</f>
        <v>Poland ex-GTS</v>
      </c>
      <c r="N1224" s="6" t="str">
        <f>IFERROR(__xludf.DUMMYFUNCTION("""COMPUTED_VALUE"""),"")</f>
        <v/>
      </c>
      <c r="O1224" s="87" t="str">
        <f>IFERROR(__xludf.DUMMYFUNCTION("""COMPUTED_VALUE"""),"https://drive.google.com/drive/folders/10T2cTQHqEJZqE-st6uFKPoI?usp=share_link")</f>
        <v>https://drive.google.com/drive/folders/10T2cTQHqEJZqE-st6uFKPoI?usp=share_link</v>
      </c>
      <c r="P1224" s="6" t="str">
        <f>IFERROR(__xludf.DUMMYFUNCTION("""COMPUTED_VALUE"""),"Vladyslav Ternavskiy")</f>
        <v>Vladyslav Ternavskiy</v>
      </c>
      <c r="Q1224" s="6" t="str">
        <f>IFERROR(__xludf.DUMMYFUNCTION("""COMPUTED_VALUE"""),"HS")</f>
        <v>HS</v>
      </c>
      <c r="R1224" s="6">
        <f>IFERROR(__xludf.DUMMYFUNCTION("""COMPUTED_VALUE"""),0.0)</f>
        <v>0</v>
      </c>
      <c r="S1224" s="6" t="str">
        <f>IFERROR(__xludf.DUMMYFUNCTION("""COMPUTED_VALUE""")," ")</f>
        <v> </v>
      </c>
      <c r="T1224" s="6" t="str">
        <f>IFERROR(__xludf.DUMMYFUNCTION("""COMPUTED_VALUE"""),"")</f>
        <v/>
      </c>
      <c r="U1224" s="6" t="str">
        <f>IFERROR(__xludf.DUMMYFUNCTION("""COMPUTED_VALUE"""),"10")</f>
        <v>10</v>
      </c>
      <c r="V1224" s="6" t="str">
        <f>IFERROR(__xludf.DUMMYFUNCTION("""COMPUTED_VALUE"""),"English")</f>
        <v>English</v>
      </c>
      <c r="W1224" s="6" t="str">
        <f>IFERROR(__xludf.DUMMYFUNCTION("""COMPUTED_VALUE"""),"[]")</f>
        <v>[]</v>
      </c>
      <c r="X1224" s="6" t="str">
        <f>IFERROR(__xludf.DUMMYFUNCTION("""COMPUTED_VALUE"""),"Enrolled")</f>
        <v>Enrolled</v>
      </c>
    </row>
    <row r="1225">
      <c r="A1225" s="6" t="str">
        <f>IFERROR(__xludf.DUMMYFUNCTION("""COMPUTED_VALUE"""),"009-1445")</f>
        <v>009-1445</v>
      </c>
      <c r="B1225" s="6" t="str">
        <f>IFERROR(__xludf.DUMMYFUNCTION("""COMPUTED_VALUE"""),"9")</f>
        <v>9</v>
      </c>
      <c r="C1225" s="6" t="str">
        <f>IFERROR(__xludf.DUMMYFUNCTION("""COMPUTED_VALUE"""),"1445")</f>
        <v>1445</v>
      </c>
      <c r="D1225" s="6" t="str">
        <f>IFERROR(__xludf.DUMMYFUNCTION("""COMPUTED_VALUE"""),"Danylo")</f>
        <v>Danylo</v>
      </c>
      <c r="E1225" s="6" t="str">
        <f>IFERROR(__xludf.DUMMYFUNCTION("""COMPUTED_VALUE"""),"")</f>
        <v/>
      </c>
      <c r="F1225" s="6" t="str">
        <f>IFERROR(__xludf.DUMMYFUNCTION("""COMPUTED_VALUE"""),"Dolzhykov")</f>
        <v>Dolzhykov</v>
      </c>
      <c r="G1225" s="6" t="str">
        <f>IFERROR(__xludf.DUMMYFUNCTION("""COMPUTED_VALUE"""),"01/01/2014")</f>
        <v>01/01/2014</v>
      </c>
      <c r="H1225" s="6" t="str">
        <f>IFERROR(__xludf.DUMMYFUNCTION("""COMPUTED_VALUE"""),"Self Identify")</f>
        <v>Self Identify</v>
      </c>
      <c r="I1225" s="6" t="str">
        <f>IFERROR(__xludf.DUMMYFUNCTION("""COMPUTED_VALUE"""),"Level 2")</f>
        <v>Level 2</v>
      </c>
      <c r="J1225" s="6" t="str">
        <f>IFERROR(__xludf.DUMMYFUNCTION("""COMPUTED_VALUE"""),"5")</f>
        <v>5</v>
      </c>
      <c r="K1225" s="6" t="str">
        <f>IFERROR(__xludf.DUMMYFUNCTION("""COMPUTED_VALUE"""),"danylo.dolzhykov@2hourlearning.com")</f>
        <v>danylo.dolzhykov@2hourlearning.com</v>
      </c>
      <c r="L1225" s="6" t="str">
        <f>IFERROR(__xludf.DUMMYFUNCTION("""COMPUTED_VALUE"""),"Learn and Earn Poland")</f>
        <v>Learn and Earn Poland</v>
      </c>
      <c r="M1225" s="6" t="str">
        <f>IFERROR(__xludf.DUMMYFUNCTION("""COMPUTED_VALUE"""),"Poland ex-GTS")</f>
        <v>Poland ex-GTS</v>
      </c>
      <c r="N1225" s="6" t="str">
        <f>IFERROR(__xludf.DUMMYFUNCTION("""COMPUTED_VALUE"""),"")</f>
        <v/>
      </c>
      <c r="O1225" s="87" t="str">
        <f>IFERROR(__xludf.DUMMYFUNCTION("""COMPUTED_VALUE"""),"https://drive.google.com/drive/folders/10T2cTQHqEJZqE-st6uFKPoI?usp=share_link")</f>
        <v>https://drive.google.com/drive/folders/10T2cTQHqEJZqE-st6uFKPoI?usp=share_link</v>
      </c>
      <c r="P1225" s="6" t="str">
        <f>IFERROR(__xludf.DUMMYFUNCTION("""COMPUTED_VALUE"""),"Danylo Dolzhykov")</f>
        <v>Danylo Dolzhykov</v>
      </c>
      <c r="Q1225" s="6" t="str">
        <f>IFERROR(__xludf.DUMMYFUNCTION("""COMPUTED_VALUE"""),"L2")</f>
        <v>L2</v>
      </c>
      <c r="R1225" s="6">
        <f>IFERROR(__xludf.DUMMYFUNCTION("""COMPUTED_VALUE"""),2.0)</f>
        <v>2</v>
      </c>
      <c r="S1225" s="6" t="str">
        <f>IFERROR(__xludf.DUMMYFUNCTION("""COMPUTED_VALUE""")," ")</f>
        <v> </v>
      </c>
      <c r="T1225" s="6" t="str">
        <f>IFERROR(__xludf.DUMMYFUNCTION("""COMPUTED_VALUE"""),"")</f>
        <v/>
      </c>
      <c r="U1225" s="6" t="str">
        <f>IFERROR(__xludf.DUMMYFUNCTION("""COMPUTED_VALUE"""),"5")</f>
        <v>5</v>
      </c>
      <c r="V1225" s="6" t="str">
        <f>IFERROR(__xludf.DUMMYFUNCTION("""COMPUTED_VALUE"""),"English")</f>
        <v>English</v>
      </c>
      <c r="W1225" s="6" t="str">
        <f>IFERROR(__xludf.DUMMYFUNCTION("""COMPUTED_VALUE"""),"[]")</f>
        <v>[]</v>
      </c>
      <c r="X1225" s="6" t="str">
        <f>IFERROR(__xludf.DUMMYFUNCTION("""COMPUTED_VALUE"""),"Enrolled")</f>
        <v>Enrolled</v>
      </c>
    </row>
    <row r="1226">
      <c r="A1226" s="6" t="str">
        <f>IFERROR(__xludf.DUMMYFUNCTION("""COMPUTED_VALUE"""),"009-1446")</f>
        <v>009-1446</v>
      </c>
      <c r="B1226" s="6" t="str">
        <f>IFERROR(__xludf.DUMMYFUNCTION("""COMPUTED_VALUE"""),"9")</f>
        <v>9</v>
      </c>
      <c r="C1226" s="6" t="str">
        <f>IFERROR(__xludf.DUMMYFUNCTION("""COMPUTED_VALUE"""),"1446")</f>
        <v>1446</v>
      </c>
      <c r="D1226" s="6" t="str">
        <f>IFERROR(__xludf.DUMMYFUNCTION("""COMPUTED_VALUE"""),"Antonina")</f>
        <v>Antonina</v>
      </c>
      <c r="E1226" s="6" t="str">
        <f>IFERROR(__xludf.DUMMYFUNCTION("""COMPUTED_VALUE"""),"")</f>
        <v/>
      </c>
      <c r="F1226" s="6" t="str">
        <f>IFERROR(__xludf.DUMMYFUNCTION("""COMPUTED_VALUE"""),"Gortovliuk")</f>
        <v>Gortovliuk</v>
      </c>
      <c r="G1226" s="6" t="str">
        <f>IFERROR(__xludf.DUMMYFUNCTION("""COMPUTED_VALUE"""),"01/01/2012")</f>
        <v>01/01/2012</v>
      </c>
      <c r="H1226" s="6" t="str">
        <f>IFERROR(__xludf.DUMMYFUNCTION("""COMPUTED_VALUE"""),"Self Identify")</f>
        <v>Self Identify</v>
      </c>
      <c r="I1226" s="6" t="str">
        <f>IFERROR(__xludf.DUMMYFUNCTION("""COMPUTED_VALUE"""),"Middle School")</f>
        <v>Middle School</v>
      </c>
      <c r="J1226" s="6" t="str">
        <f>IFERROR(__xludf.DUMMYFUNCTION("""COMPUTED_VALUE"""),"7")</f>
        <v>7</v>
      </c>
      <c r="K1226" s="6" t="str">
        <f>IFERROR(__xludf.DUMMYFUNCTION("""COMPUTED_VALUE"""),"antonina.gortovliuk@2hourlearning.com")</f>
        <v>antonina.gortovliuk@2hourlearning.com</v>
      </c>
      <c r="L1226" s="6" t="str">
        <f>IFERROR(__xludf.DUMMYFUNCTION("""COMPUTED_VALUE"""),"Learn and Earn Poland")</f>
        <v>Learn and Earn Poland</v>
      </c>
      <c r="M1226" s="6" t="str">
        <f>IFERROR(__xludf.DUMMYFUNCTION("""COMPUTED_VALUE"""),"Poland ex-GTS")</f>
        <v>Poland ex-GTS</v>
      </c>
      <c r="N1226" s="6" t="str">
        <f>IFERROR(__xludf.DUMMYFUNCTION("""COMPUTED_VALUE"""),"")</f>
        <v/>
      </c>
      <c r="O1226" s="87" t="str">
        <f>IFERROR(__xludf.DUMMYFUNCTION("""COMPUTED_VALUE"""),"https://drive.google.com/drive/folders/10T2cTQHqEJZqE-st6uFKPoI?usp=share_link")</f>
        <v>https://drive.google.com/drive/folders/10T2cTQHqEJZqE-st6uFKPoI?usp=share_link</v>
      </c>
      <c r="P1226" s="6" t="str">
        <f>IFERROR(__xludf.DUMMYFUNCTION("""COMPUTED_VALUE"""),"Antonina Gortovliuk")</f>
        <v>Antonina Gortovliuk</v>
      </c>
      <c r="Q1226" s="6" t="str">
        <f>IFERROR(__xludf.DUMMYFUNCTION("""COMPUTED_VALUE"""),"MS")</f>
        <v>MS</v>
      </c>
      <c r="R1226" s="6">
        <f>IFERROR(__xludf.DUMMYFUNCTION("""COMPUTED_VALUE"""),0.0)</f>
        <v>0</v>
      </c>
      <c r="S1226" s="6" t="str">
        <f>IFERROR(__xludf.DUMMYFUNCTION("""COMPUTED_VALUE""")," ")</f>
        <v> </v>
      </c>
      <c r="T1226" s="6" t="str">
        <f>IFERROR(__xludf.DUMMYFUNCTION("""COMPUTED_VALUE"""),"")</f>
        <v/>
      </c>
      <c r="U1226" s="6" t="str">
        <f>IFERROR(__xludf.DUMMYFUNCTION("""COMPUTED_VALUE"""),"7")</f>
        <v>7</v>
      </c>
      <c r="V1226" s="6" t="str">
        <f>IFERROR(__xludf.DUMMYFUNCTION("""COMPUTED_VALUE"""),"English")</f>
        <v>English</v>
      </c>
      <c r="W1226" s="6" t="str">
        <f>IFERROR(__xludf.DUMMYFUNCTION("""COMPUTED_VALUE"""),"[]")</f>
        <v>[]</v>
      </c>
      <c r="X1226" s="6" t="str">
        <f>IFERROR(__xludf.DUMMYFUNCTION("""COMPUTED_VALUE"""),"Enrolled")</f>
        <v>Enrolled</v>
      </c>
    </row>
    <row r="1227">
      <c r="A1227" s="6" t="str">
        <f>IFERROR(__xludf.DUMMYFUNCTION("""COMPUTED_VALUE"""),"009-1447")</f>
        <v>009-1447</v>
      </c>
      <c r="B1227" s="6" t="str">
        <f>IFERROR(__xludf.DUMMYFUNCTION("""COMPUTED_VALUE"""),"9")</f>
        <v>9</v>
      </c>
      <c r="C1227" s="6" t="str">
        <f>IFERROR(__xludf.DUMMYFUNCTION("""COMPUTED_VALUE"""),"1447")</f>
        <v>1447</v>
      </c>
      <c r="D1227" s="6" t="str">
        <f>IFERROR(__xludf.DUMMYFUNCTION("""COMPUTED_VALUE"""),"Maksym")</f>
        <v>Maksym</v>
      </c>
      <c r="E1227" s="6" t="str">
        <f>IFERROR(__xludf.DUMMYFUNCTION("""COMPUTED_VALUE"""),"")</f>
        <v/>
      </c>
      <c r="F1227" s="6" t="str">
        <f>IFERROR(__xludf.DUMMYFUNCTION("""COMPUTED_VALUE"""),"Kuklenko")</f>
        <v>Kuklenko</v>
      </c>
      <c r="G1227" s="6" t="str">
        <f>IFERROR(__xludf.DUMMYFUNCTION("""COMPUTED_VALUE"""),"01/01/2010")</f>
        <v>01/01/2010</v>
      </c>
      <c r="H1227" s="6" t="str">
        <f>IFERROR(__xludf.DUMMYFUNCTION("""COMPUTED_VALUE"""),"Self Identify")</f>
        <v>Self Identify</v>
      </c>
      <c r="I1227" s="6" t="str">
        <f>IFERROR(__xludf.DUMMYFUNCTION("""COMPUTED_VALUE"""),"High School")</f>
        <v>High School</v>
      </c>
      <c r="J1227" s="6" t="str">
        <f>IFERROR(__xludf.DUMMYFUNCTION("""COMPUTED_VALUE"""),"9")</f>
        <v>9</v>
      </c>
      <c r="K1227" s="6" t="str">
        <f>IFERROR(__xludf.DUMMYFUNCTION("""COMPUTED_VALUE"""),"maksym.kuklenko@2hourlearning.com")</f>
        <v>maksym.kuklenko@2hourlearning.com</v>
      </c>
      <c r="L1227" s="6" t="str">
        <f>IFERROR(__xludf.DUMMYFUNCTION("""COMPUTED_VALUE"""),"Learn and Earn Poland")</f>
        <v>Learn and Earn Poland</v>
      </c>
      <c r="M1227" s="6" t="str">
        <f>IFERROR(__xludf.DUMMYFUNCTION("""COMPUTED_VALUE"""),"Poland ex-GTS")</f>
        <v>Poland ex-GTS</v>
      </c>
      <c r="N1227" s="6" t="str">
        <f>IFERROR(__xludf.DUMMYFUNCTION("""COMPUTED_VALUE"""),"")</f>
        <v/>
      </c>
      <c r="O1227" s="87" t="str">
        <f>IFERROR(__xludf.DUMMYFUNCTION("""COMPUTED_VALUE"""),"https://drive.google.com/drive/folders/10T2cTQHqEJZqE-st6uFKPoI?usp=share_link")</f>
        <v>https://drive.google.com/drive/folders/10T2cTQHqEJZqE-st6uFKPoI?usp=share_link</v>
      </c>
      <c r="P1227" s="6" t="str">
        <f>IFERROR(__xludf.DUMMYFUNCTION("""COMPUTED_VALUE"""),"Maksym Kuklenko")</f>
        <v>Maksym Kuklenko</v>
      </c>
      <c r="Q1227" s="6" t="str">
        <f>IFERROR(__xludf.DUMMYFUNCTION("""COMPUTED_VALUE"""),"HS")</f>
        <v>HS</v>
      </c>
      <c r="R1227" s="6">
        <f>IFERROR(__xludf.DUMMYFUNCTION("""COMPUTED_VALUE"""),0.0)</f>
        <v>0</v>
      </c>
      <c r="S1227" s="6" t="str">
        <f>IFERROR(__xludf.DUMMYFUNCTION("""COMPUTED_VALUE""")," ")</f>
        <v> </v>
      </c>
      <c r="T1227" s="6" t="str">
        <f>IFERROR(__xludf.DUMMYFUNCTION("""COMPUTED_VALUE"""),"")</f>
        <v/>
      </c>
      <c r="U1227" s="6" t="str">
        <f>IFERROR(__xludf.DUMMYFUNCTION("""COMPUTED_VALUE"""),"9")</f>
        <v>9</v>
      </c>
      <c r="V1227" s="6" t="str">
        <f>IFERROR(__xludf.DUMMYFUNCTION("""COMPUTED_VALUE"""),"English")</f>
        <v>English</v>
      </c>
      <c r="W1227" s="6" t="str">
        <f>IFERROR(__xludf.DUMMYFUNCTION("""COMPUTED_VALUE"""),"[]")</f>
        <v>[]</v>
      </c>
      <c r="X1227" s="6" t="str">
        <f>IFERROR(__xludf.DUMMYFUNCTION("""COMPUTED_VALUE"""),"Enrolled")</f>
        <v>Enrolled</v>
      </c>
    </row>
    <row r="1228">
      <c r="A1228" s="6" t="str">
        <f>IFERROR(__xludf.DUMMYFUNCTION("""COMPUTED_VALUE"""),"009-1448")</f>
        <v>009-1448</v>
      </c>
      <c r="B1228" s="6" t="str">
        <f>IFERROR(__xludf.DUMMYFUNCTION("""COMPUTED_VALUE"""),"9")</f>
        <v>9</v>
      </c>
      <c r="C1228" s="6" t="str">
        <f>IFERROR(__xludf.DUMMYFUNCTION("""COMPUTED_VALUE"""),"1448")</f>
        <v>1448</v>
      </c>
      <c r="D1228" s="6" t="str">
        <f>IFERROR(__xludf.DUMMYFUNCTION("""COMPUTED_VALUE"""),"Maksim")</f>
        <v>Maksim</v>
      </c>
      <c r="E1228" s="6" t="str">
        <f>IFERROR(__xludf.DUMMYFUNCTION("""COMPUTED_VALUE"""),"")</f>
        <v/>
      </c>
      <c r="F1228" s="6" t="str">
        <f>IFERROR(__xludf.DUMMYFUNCTION("""COMPUTED_VALUE"""),"Shakalo")</f>
        <v>Shakalo</v>
      </c>
      <c r="G1228" s="6" t="str">
        <f>IFERROR(__xludf.DUMMYFUNCTION("""COMPUTED_VALUE"""),"01/01/2016")</f>
        <v>01/01/2016</v>
      </c>
      <c r="H1228" s="6" t="str">
        <f>IFERROR(__xludf.DUMMYFUNCTION("""COMPUTED_VALUE"""),"Self Identify")</f>
        <v>Self Identify</v>
      </c>
      <c r="I1228" s="6" t="str">
        <f>IFERROR(__xludf.DUMMYFUNCTION("""COMPUTED_VALUE"""),"Level 1")</f>
        <v>Level 1</v>
      </c>
      <c r="J1228" s="6" t="str">
        <f>IFERROR(__xludf.DUMMYFUNCTION("""COMPUTED_VALUE"""),"3")</f>
        <v>3</v>
      </c>
      <c r="K1228" s="6" t="str">
        <f>IFERROR(__xludf.DUMMYFUNCTION("""COMPUTED_VALUE"""),"maksim.shakalo@2hourlearning.com")</f>
        <v>maksim.shakalo@2hourlearning.com</v>
      </c>
      <c r="L1228" s="6" t="str">
        <f>IFERROR(__xludf.DUMMYFUNCTION("""COMPUTED_VALUE"""),"Learn and Earn Poland")</f>
        <v>Learn and Earn Poland</v>
      </c>
      <c r="M1228" s="6" t="str">
        <f>IFERROR(__xludf.DUMMYFUNCTION("""COMPUTED_VALUE"""),"Poland ex-GTS")</f>
        <v>Poland ex-GTS</v>
      </c>
      <c r="N1228" s="6" t="str">
        <f>IFERROR(__xludf.DUMMYFUNCTION("""COMPUTED_VALUE"""),"")</f>
        <v/>
      </c>
      <c r="O1228" s="87" t="str">
        <f>IFERROR(__xludf.DUMMYFUNCTION("""COMPUTED_VALUE"""),"https://drive.google.com/drive/folders/10T2cTQHqEJZqE-st6uFKPoI?usp=share_link")</f>
        <v>https://drive.google.com/drive/folders/10T2cTQHqEJZqE-st6uFKPoI?usp=share_link</v>
      </c>
      <c r="P1228" s="6" t="str">
        <f>IFERROR(__xludf.DUMMYFUNCTION("""COMPUTED_VALUE"""),"Maksim Shakalo")</f>
        <v>Maksim Shakalo</v>
      </c>
      <c r="Q1228" s="6" t="str">
        <f>IFERROR(__xludf.DUMMYFUNCTION("""COMPUTED_VALUE"""),"L1")</f>
        <v>L1</v>
      </c>
      <c r="R1228" s="6">
        <f>IFERROR(__xludf.DUMMYFUNCTION("""COMPUTED_VALUE"""),1.0)</f>
        <v>1</v>
      </c>
      <c r="S1228" s="6" t="str">
        <f>IFERROR(__xludf.DUMMYFUNCTION("""COMPUTED_VALUE""")," ")</f>
        <v> </v>
      </c>
      <c r="T1228" s="6" t="str">
        <f>IFERROR(__xludf.DUMMYFUNCTION("""COMPUTED_VALUE"""),"")</f>
        <v/>
      </c>
      <c r="U1228" s="6" t="str">
        <f>IFERROR(__xludf.DUMMYFUNCTION("""COMPUTED_VALUE"""),"3")</f>
        <v>3</v>
      </c>
      <c r="V1228" s="6" t="str">
        <f>IFERROR(__xludf.DUMMYFUNCTION("""COMPUTED_VALUE"""),"English")</f>
        <v>English</v>
      </c>
      <c r="W1228" s="6" t="str">
        <f>IFERROR(__xludf.DUMMYFUNCTION("""COMPUTED_VALUE"""),"[]")</f>
        <v>[]</v>
      </c>
      <c r="X1228" s="6" t="str">
        <f>IFERROR(__xludf.DUMMYFUNCTION("""COMPUTED_VALUE"""),"Enrolled")</f>
        <v>Enrolled</v>
      </c>
    </row>
    <row r="1229">
      <c r="A1229" s="6" t="str">
        <f>IFERROR(__xludf.DUMMYFUNCTION("""COMPUTED_VALUE"""),"009-1449")</f>
        <v>009-1449</v>
      </c>
      <c r="B1229" s="6" t="str">
        <f>IFERROR(__xludf.DUMMYFUNCTION("""COMPUTED_VALUE"""),"9")</f>
        <v>9</v>
      </c>
      <c r="C1229" s="6" t="str">
        <f>IFERROR(__xludf.DUMMYFUNCTION("""COMPUTED_VALUE"""),"1449")</f>
        <v>1449</v>
      </c>
      <c r="D1229" s="6" t="str">
        <f>IFERROR(__xludf.DUMMYFUNCTION("""COMPUTED_VALUE"""),"valeriia")</f>
        <v>valeriia</v>
      </c>
      <c r="E1229" s="6" t="str">
        <f>IFERROR(__xludf.DUMMYFUNCTION("""COMPUTED_VALUE"""),"")</f>
        <v/>
      </c>
      <c r="F1229" s="6" t="str">
        <f>IFERROR(__xludf.DUMMYFUNCTION("""COMPUTED_VALUE"""),"safonova")</f>
        <v>safonova</v>
      </c>
      <c r="G1229" s="6" t="str">
        <f>IFERROR(__xludf.DUMMYFUNCTION("""COMPUTED_VALUE"""),"01/01/2010")</f>
        <v>01/01/2010</v>
      </c>
      <c r="H1229" s="6" t="str">
        <f>IFERROR(__xludf.DUMMYFUNCTION("""COMPUTED_VALUE"""),"Self Identify")</f>
        <v>Self Identify</v>
      </c>
      <c r="I1229" s="6" t="str">
        <f>IFERROR(__xludf.DUMMYFUNCTION("""COMPUTED_VALUE"""),"High School")</f>
        <v>High School</v>
      </c>
      <c r="J1229" s="6" t="str">
        <f>IFERROR(__xludf.DUMMYFUNCTION("""COMPUTED_VALUE"""),"9")</f>
        <v>9</v>
      </c>
      <c r="K1229" s="6" t="str">
        <f>IFERROR(__xludf.DUMMYFUNCTION("""COMPUTED_VALUE"""),"valeriia.safonova@2hourlearning.com")</f>
        <v>valeriia.safonova@2hourlearning.com</v>
      </c>
      <c r="L1229" s="6" t="str">
        <f>IFERROR(__xludf.DUMMYFUNCTION("""COMPUTED_VALUE"""),"Learn and Earn Poland")</f>
        <v>Learn and Earn Poland</v>
      </c>
      <c r="M1229" s="6" t="str">
        <f>IFERROR(__xludf.DUMMYFUNCTION("""COMPUTED_VALUE"""),"Poland ex-GTS")</f>
        <v>Poland ex-GTS</v>
      </c>
      <c r="N1229" s="6" t="str">
        <f>IFERROR(__xludf.DUMMYFUNCTION("""COMPUTED_VALUE"""),"")</f>
        <v/>
      </c>
      <c r="O1229" s="87" t="str">
        <f>IFERROR(__xludf.DUMMYFUNCTION("""COMPUTED_VALUE"""),"https://drive.google.com/drive/folders/10T2cTQHqEJZqE-st6uFKPoI?usp=share_link")</f>
        <v>https://drive.google.com/drive/folders/10T2cTQHqEJZqE-st6uFKPoI?usp=share_link</v>
      </c>
      <c r="P1229" s="6" t="str">
        <f>IFERROR(__xludf.DUMMYFUNCTION("""COMPUTED_VALUE"""),"valeriia safonova")</f>
        <v>valeriia safonova</v>
      </c>
      <c r="Q1229" s="6" t="str">
        <f>IFERROR(__xludf.DUMMYFUNCTION("""COMPUTED_VALUE"""),"HS")</f>
        <v>HS</v>
      </c>
      <c r="R1229" s="6">
        <f>IFERROR(__xludf.DUMMYFUNCTION("""COMPUTED_VALUE"""),0.0)</f>
        <v>0</v>
      </c>
      <c r="S1229" s="6" t="str">
        <f>IFERROR(__xludf.DUMMYFUNCTION("""COMPUTED_VALUE""")," ")</f>
        <v> </v>
      </c>
      <c r="T1229" s="6" t="str">
        <f>IFERROR(__xludf.DUMMYFUNCTION("""COMPUTED_VALUE"""),"")</f>
        <v/>
      </c>
      <c r="U1229" s="6" t="str">
        <f>IFERROR(__xludf.DUMMYFUNCTION("""COMPUTED_VALUE"""),"9")</f>
        <v>9</v>
      </c>
      <c r="V1229" s="6" t="str">
        <f>IFERROR(__xludf.DUMMYFUNCTION("""COMPUTED_VALUE"""),"English")</f>
        <v>English</v>
      </c>
      <c r="W1229" s="6" t="str">
        <f>IFERROR(__xludf.DUMMYFUNCTION("""COMPUTED_VALUE"""),"[]")</f>
        <v>[]</v>
      </c>
      <c r="X1229" s="6" t="str">
        <f>IFERROR(__xludf.DUMMYFUNCTION("""COMPUTED_VALUE"""),"Enrolled")</f>
        <v>Enrolled</v>
      </c>
    </row>
    <row r="1230">
      <c r="A1230" s="6" t="str">
        <f>IFERROR(__xludf.DUMMYFUNCTION("""COMPUTED_VALUE"""),"009-1450")</f>
        <v>009-1450</v>
      </c>
      <c r="B1230" s="6" t="str">
        <f>IFERROR(__xludf.DUMMYFUNCTION("""COMPUTED_VALUE"""),"9")</f>
        <v>9</v>
      </c>
      <c r="C1230" s="6" t="str">
        <f>IFERROR(__xludf.DUMMYFUNCTION("""COMPUTED_VALUE"""),"1450")</f>
        <v>1450</v>
      </c>
      <c r="D1230" s="6" t="str">
        <f>IFERROR(__xludf.DUMMYFUNCTION("""COMPUTED_VALUE"""),"Anastasiia")</f>
        <v>Anastasiia</v>
      </c>
      <c r="E1230" s="6" t="str">
        <f>IFERROR(__xludf.DUMMYFUNCTION("""COMPUTED_VALUE"""),"")</f>
        <v/>
      </c>
      <c r="F1230" s="6" t="str">
        <f>IFERROR(__xludf.DUMMYFUNCTION("""COMPUTED_VALUE"""),"Desiak")</f>
        <v>Desiak</v>
      </c>
      <c r="G1230" s="6" t="str">
        <f>IFERROR(__xludf.DUMMYFUNCTION("""COMPUTED_VALUE"""),"01/01/2013")</f>
        <v>01/01/2013</v>
      </c>
      <c r="H1230" s="6" t="str">
        <f>IFERROR(__xludf.DUMMYFUNCTION("""COMPUTED_VALUE"""),"Self Identify")</f>
        <v>Self Identify</v>
      </c>
      <c r="I1230" s="6" t="str">
        <f>IFERROR(__xludf.DUMMYFUNCTION("""COMPUTED_VALUE"""),"Middle School")</f>
        <v>Middle School</v>
      </c>
      <c r="J1230" s="6" t="str">
        <f>IFERROR(__xludf.DUMMYFUNCTION("""COMPUTED_VALUE"""),"6")</f>
        <v>6</v>
      </c>
      <c r="K1230" s="6" t="str">
        <f>IFERROR(__xludf.DUMMYFUNCTION("""COMPUTED_VALUE"""),"anastasiia.desiak@2hourlearning.com")</f>
        <v>anastasiia.desiak@2hourlearning.com</v>
      </c>
      <c r="L1230" s="6" t="str">
        <f>IFERROR(__xludf.DUMMYFUNCTION("""COMPUTED_VALUE"""),"Learn and Earn Poland")</f>
        <v>Learn and Earn Poland</v>
      </c>
      <c r="M1230" s="6" t="str">
        <f>IFERROR(__xludf.DUMMYFUNCTION("""COMPUTED_VALUE"""),"Poland ex-GTS")</f>
        <v>Poland ex-GTS</v>
      </c>
      <c r="N1230" s="6" t="str">
        <f>IFERROR(__xludf.DUMMYFUNCTION("""COMPUTED_VALUE"""),"")</f>
        <v/>
      </c>
      <c r="O1230" s="87" t="str">
        <f>IFERROR(__xludf.DUMMYFUNCTION("""COMPUTED_VALUE"""),"https://drive.google.com/drive/folders/10T2cTQHqEJZqE-st6uFKPoI?usp=share_link")</f>
        <v>https://drive.google.com/drive/folders/10T2cTQHqEJZqE-st6uFKPoI?usp=share_link</v>
      </c>
      <c r="P1230" s="6" t="str">
        <f>IFERROR(__xludf.DUMMYFUNCTION("""COMPUTED_VALUE"""),"Anastasiia Desiak")</f>
        <v>Anastasiia Desiak</v>
      </c>
      <c r="Q1230" s="6" t="str">
        <f>IFERROR(__xludf.DUMMYFUNCTION("""COMPUTED_VALUE"""),"MS")</f>
        <v>MS</v>
      </c>
      <c r="R1230" s="6">
        <f>IFERROR(__xludf.DUMMYFUNCTION("""COMPUTED_VALUE"""),0.0)</f>
        <v>0</v>
      </c>
      <c r="S1230" s="6" t="str">
        <f>IFERROR(__xludf.DUMMYFUNCTION("""COMPUTED_VALUE""")," ")</f>
        <v> </v>
      </c>
      <c r="T1230" s="6" t="str">
        <f>IFERROR(__xludf.DUMMYFUNCTION("""COMPUTED_VALUE"""),"")</f>
        <v/>
      </c>
      <c r="U1230" s="6" t="str">
        <f>IFERROR(__xludf.DUMMYFUNCTION("""COMPUTED_VALUE"""),"6")</f>
        <v>6</v>
      </c>
      <c r="V1230" s="6" t="str">
        <f>IFERROR(__xludf.DUMMYFUNCTION("""COMPUTED_VALUE"""),"English")</f>
        <v>English</v>
      </c>
      <c r="W1230" s="6" t="str">
        <f>IFERROR(__xludf.DUMMYFUNCTION("""COMPUTED_VALUE"""),"[]")</f>
        <v>[]</v>
      </c>
      <c r="X1230" s="6" t="str">
        <f>IFERROR(__xludf.DUMMYFUNCTION("""COMPUTED_VALUE"""),"Enrolled")</f>
        <v>Enrolled</v>
      </c>
    </row>
    <row r="1231">
      <c r="A1231" s="6" t="str">
        <f>IFERROR(__xludf.DUMMYFUNCTION("""COMPUTED_VALUE"""),"009-1451")</f>
        <v>009-1451</v>
      </c>
      <c r="B1231" s="6" t="str">
        <f>IFERROR(__xludf.DUMMYFUNCTION("""COMPUTED_VALUE"""),"9")</f>
        <v>9</v>
      </c>
      <c r="C1231" s="6" t="str">
        <f>IFERROR(__xludf.DUMMYFUNCTION("""COMPUTED_VALUE"""),"1451")</f>
        <v>1451</v>
      </c>
      <c r="D1231" s="6" t="str">
        <f>IFERROR(__xludf.DUMMYFUNCTION("""COMPUTED_VALUE"""),"Viktoriia")</f>
        <v>Viktoriia</v>
      </c>
      <c r="E1231" s="6" t="str">
        <f>IFERROR(__xludf.DUMMYFUNCTION("""COMPUTED_VALUE"""),"")</f>
        <v/>
      </c>
      <c r="F1231" s="6" t="str">
        <f>IFERROR(__xludf.DUMMYFUNCTION("""COMPUTED_VALUE"""),"Rybak")</f>
        <v>Rybak</v>
      </c>
      <c r="G1231" s="6" t="str">
        <f>IFERROR(__xludf.DUMMYFUNCTION("""COMPUTED_VALUE"""),"01/01/2010")</f>
        <v>01/01/2010</v>
      </c>
      <c r="H1231" s="6" t="str">
        <f>IFERROR(__xludf.DUMMYFUNCTION("""COMPUTED_VALUE"""),"Self Identify")</f>
        <v>Self Identify</v>
      </c>
      <c r="I1231" s="6" t="str">
        <f>IFERROR(__xludf.DUMMYFUNCTION("""COMPUTED_VALUE"""),"High School")</f>
        <v>High School</v>
      </c>
      <c r="J1231" s="6" t="str">
        <f>IFERROR(__xludf.DUMMYFUNCTION("""COMPUTED_VALUE"""),"9")</f>
        <v>9</v>
      </c>
      <c r="K1231" s="6" t="str">
        <f>IFERROR(__xludf.DUMMYFUNCTION("""COMPUTED_VALUE"""),"viktoriia.rybak@2hourlearning.com")</f>
        <v>viktoriia.rybak@2hourlearning.com</v>
      </c>
      <c r="L1231" s="6" t="str">
        <f>IFERROR(__xludf.DUMMYFUNCTION("""COMPUTED_VALUE"""),"Learn and Earn Poland")</f>
        <v>Learn and Earn Poland</v>
      </c>
      <c r="M1231" s="6" t="str">
        <f>IFERROR(__xludf.DUMMYFUNCTION("""COMPUTED_VALUE"""),"Poland ex-GTS")</f>
        <v>Poland ex-GTS</v>
      </c>
      <c r="N1231" s="6" t="str">
        <f>IFERROR(__xludf.DUMMYFUNCTION("""COMPUTED_VALUE"""),"")</f>
        <v/>
      </c>
      <c r="O1231" s="87" t="str">
        <f>IFERROR(__xludf.DUMMYFUNCTION("""COMPUTED_VALUE"""),"https://drive.google.com/drive/folders/10T2cTQHqEJZqE-st6uFKPoI?usp=share_link")</f>
        <v>https://drive.google.com/drive/folders/10T2cTQHqEJZqE-st6uFKPoI?usp=share_link</v>
      </c>
      <c r="P1231" s="6" t="str">
        <f>IFERROR(__xludf.DUMMYFUNCTION("""COMPUTED_VALUE"""),"Viktoriia Rybak")</f>
        <v>Viktoriia Rybak</v>
      </c>
      <c r="Q1231" s="6" t="str">
        <f>IFERROR(__xludf.DUMMYFUNCTION("""COMPUTED_VALUE"""),"HS")</f>
        <v>HS</v>
      </c>
      <c r="R1231" s="6">
        <f>IFERROR(__xludf.DUMMYFUNCTION("""COMPUTED_VALUE"""),0.0)</f>
        <v>0</v>
      </c>
      <c r="S1231" s="6" t="str">
        <f>IFERROR(__xludf.DUMMYFUNCTION("""COMPUTED_VALUE""")," ")</f>
        <v> </v>
      </c>
      <c r="T1231" s="6" t="str">
        <f>IFERROR(__xludf.DUMMYFUNCTION("""COMPUTED_VALUE"""),"")</f>
        <v/>
      </c>
      <c r="U1231" s="6" t="str">
        <f>IFERROR(__xludf.DUMMYFUNCTION("""COMPUTED_VALUE"""),"9")</f>
        <v>9</v>
      </c>
      <c r="V1231" s="6" t="str">
        <f>IFERROR(__xludf.DUMMYFUNCTION("""COMPUTED_VALUE"""),"English")</f>
        <v>English</v>
      </c>
      <c r="W1231" s="6" t="str">
        <f>IFERROR(__xludf.DUMMYFUNCTION("""COMPUTED_VALUE"""),"[]")</f>
        <v>[]</v>
      </c>
      <c r="X1231" s="6" t="str">
        <f>IFERROR(__xludf.DUMMYFUNCTION("""COMPUTED_VALUE"""),"Enrolled")</f>
        <v>Enrolled</v>
      </c>
    </row>
    <row r="1232">
      <c r="A1232" s="6" t="str">
        <f>IFERROR(__xludf.DUMMYFUNCTION("""COMPUTED_VALUE"""),"009-1452")</f>
        <v>009-1452</v>
      </c>
      <c r="B1232" s="6" t="str">
        <f>IFERROR(__xludf.DUMMYFUNCTION("""COMPUTED_VALUE"""),"9")</f>
        <v>9</v>
      </c>
      <c r="C1232" s="6" t="str">
        <f>IFERROR(__xludf.DUMMYFUNCTION("""COMPUTED_VALUE"""),"1452")</f>
        <v>1452</v>
      </c>
      <c r="D1232" s="6" t="str">
        <f>IFERROR(__xludf.DUMMYFUNCTION("""COMPUTED_VALUE"""),"Leonid")</f>
        <v>Leonid</v>
      </c>
      <c r="E1232" s="6" t="str">
        <f>IFERROR(__xludf.DUMMYFUNCTION("""COMPUTED_VALUE"""),"")</f>
        <v/>
      </c>
      <c r="F1232" s="6" t="str">
        <f>IFERROR(__xludf.DUMMYFUNCTION("""COMPUTED_VALUE"""),"Gortovliuk")</f>
        <v>Gortovliuk</v>
      </c>
      <c r="G1232" s="6" t="str">
        <f>IFERROR(__xludf.DUMMYFUNCTION("""COMPUTED_VALUE"""),"01/01/2018")</f>
        <v>01/01/2018</v>
      </c>
      <c r="H1232" s="6" t="str">
        <f>IFERROR(__xludf.DUMMYFUNCTION("""COMPUTED_VALUE"""),"Self Identify")</f>
        <v>Self Identify</v>
      </c>
      <c r="I1232" s="6" t="str">
        <f>IFERROR(__xludf.DUMMYFUNCTION("""COMPUTED_VALUE"""),"Learning Lab")</f>
        <v>Learning Lab</v>
      </c>
      <c r="J1232" s="6" t="str">
        <f>IFERROR(__xludf.DUMMYFUNCTION("""COMPUTED_VALUE"""),"1")</f>
        <v>1</v>
      </c>
      <c r="K1232" s="6" t="str">
        <f>IFERROR(__xludf.DUMMYFUNCTION("""COMPUTED_VALUE"""),"leonid.gortovliuk@2hourlearning.com")</f>
        <v>leonid.gortovliuk@2hourlearning.com</v>
      </c>
      <c r="L1232" s="6" t="str">
        <f>IFERROR(__xludf.DUMMYFUNCTION("""COMPUTED_VALUE"""),"Learn and Earn Poland")</f>
        <v>Learn and Earn Poland</v>
      </c>
      <c r="M1232" s="6" t="str">
        <f>IFERROR(__xludf.DUMMYFUNCTION("""COMPUTED_VALUE"""),"Poland ex-GTS")</f>
        <v>Poland ex-GTS</v>
      </c>
      <c r="N1232" s="6" t="str">
        <f>IFERROR(__xludf.DUMMYFUNCTION("""COMPUTED_VALUE"""),"")</f>
        <v/>
      </c>
      <c r="O1232" s="87" t="str">
        <f>IFERROR(__xludf.DUMMYFUNCTION("""COMPUTED_VALUE"""),"https://drive.google.com/drive/folders/10T2cTQHqEJZqE-st6uFKPoI?usp=share_link")</f>
        <v>https://drive.google.com/drive/folders/10T2cTQHqEJZqE-st6uFKPoI?usp=share_link</v>
      </c>
      <c r="P1232" s="6" t="str">
        <f>IFERROR(__xludf.DUMMYFUNCTION("""COMPUTED_VALUE"""),"Leonid Gortovliuk")</f>
        <v>Leonid Gortovliuk</v>
      </c>
      <c r="Q1232" s="6" t="str">
        <f>IFERROR(__xludf.DUMMYFUNCTION("""COMPUTED_VALUE"""),"LL")</f>
        <v>LL</v>
      </c>
      <c r="R1232" s="6">
        <f>IFERROR(__xludf.DUMMYFUNCTION("""COMPUTED_VALUE"""),0.0)</f>
        <v>0</v>
      </c>
      <c r="S1232" s="6" t="str">
        <f>IFERROR(__xludf.DUMMYFUNCTION("""COMPUTED_VALUE""")," ")</f>
        <v> </v>
      </c>
      <c r="T1232" s="6" t="str">
        <f>IFERROR(__xludf.DUMMYFUNCTION("""COMPUTED_VALUE"""),"")</f>
        <v/>
      </c>
      <c r="U1232" s="6" t="str">
        <f>IFERROR(__xludf.DUMMYFUNCTION("""COMPUTED_VALUE"""),"1")</f>
        <v>1</v>
      </c>
      <c r="V1232" s="6" t="str">
        <f>IFERROR(__xludf.DUMMYFUNCTION("""COMPUTED_VALUE"""),"English")</f>
        <v>English</v>
      </c>
      <c r="W1232" s="6" t="str">
        <f>IFERROR(__xludf.DUMMYFUNCTION("""COMPUTED_VALUE"""),"[]")</f>
        <v>[]</v>
      </c>
      <c r="X1232" s="6" t="str">
        <f>IFERROR(__xludf.DUMMYFUNCTION("""COMPUTED_VALUE"""),"Enrolled")</f>
        <v>Enrolled</v>
      </c>
    </row>
    <row r="1233">
      <c r="A1233" s="6" t="str">
        <f>IFERROR(__xludf.DUMMYFUNCTION("""COMPUTED_VALUE"""),"009-1453")</f>
        <v>009-1453</v>
      </c>
      <c r="B1233" s="6" t="str">
        <f>IFERROR(__xludf.DUMMYFUNCTION("""COMPUTED_VALUE"""),"9")</f>
        <v>9</v>
      </c>
      <c r="C1233" s="6" t="str">
        <f>IFERROR(__xludf.DUMMYFUNCTION("""COMPUTED_VALUE"""),"1453")</f>
        <v>1453</v>
      </c>
      <c r="D1233" s="6" t="str">
        <f>IFERROR(__xludf.DUMMYFUNCTION("""COMPUTED_VALUE"""),"Valeriia")</f>
        <v>Valeriia</v>
      </c>
      <c r="E1233" s="6" t="str">
        <f>IFERROR(__xludf.DUMMYFUNCTION("""COMPUTED_VALUE"""),"")</f>
        <v/>
      </c>
      <c r="F1233" s="6" t="str">
        <f>IFERROR(__xludf.DUMMYFUNCTION("""COMPUTED_VALUE"""),"Ihnatenko")</f>
        <v>Ihnatenko</v>
      </c>
      <c r="G1233" s="6" t="str">
        <f>IFERROR(__xludf.DUMMYFUNCTION("""COMPUTED_VALUE"""),"01/01/2014")</f>
        <v>01/01/2014</v>
      </c>
      <c r="H1233" s="6" t="str">
        <f>IFERROR(__xludf.DUMMYFUNCTION("""COMPUTED_VALUE"""),"Self Identify")</f>
        <v>Self Identify</v>
      </c>
      <c r="I1233" s="6" t="str">
        <f>IFERROR(__xludf.DUMMYFUNCTION("""COMPUTED_VALUE"""),"Level 2")</f>
        <v>Level 2</v>
      </c>
      <c r="J1233" s="6" t="str">
        <f>IFERROR(__xludf.DUMMYFUNCTION("""COMPUTED_VALUE"""),"5")</f>
        <v>5</v>
      </c>
      <c r="K1233" s="6" t="str">
        <f>IFERROR(__xludf.DUMMYFUNCTION("""COMPUTED_VALUE"""),"valeriia.ihnatenko@2hourlearning.com")</f>
        <v>valeriia.ihnatenko@2hourlearning.com</v>
      </c>
      <c r="L1233" s="6" t="str">
        <f>IFERROR(__xludf.DUMMYFUNCTION("""COMPUTED_VALUE"""),"Learn and Earn Poland")</f>
        <v>Learn and Earn Poland</v>
      </c>
      <c r="M1233" s="6" t="str">
        <f>IFERROR(__xludf.DUMMYFUNCTION("""COMPUTED_VALUE"""),"Poland ex-GTS")</f>
        <v>Poland ex-GTS</v>
      </c>
      <c r="N1233" s="6" t="str">
        <f>IFERROR(__xludf.DUMMYFUNCTION("""COMPUTED_VALUE"""),"")</f>
        <v/>
      </c>
      <c r="O1233" s="87" t="str">
        <f>IFERROR(__xludf.DUMMYFUNCTION("""COMPUTED_VALUE"""),"https://drive.google.com/drive/folders/10T2cTQHqEJZqE-st6uFKPoI?usp=share_link")</f>
        <v>https://drive.google.com/drive/folders/10T2cTQHqEJZqE-st6uFKPoI?usp=share_link</v>
      </c>
      <c r="P1233" s="6" t="str">
        <f>IFERROR(__xludf.DUMMYFUNCTION("""COMPUTED_VALUE"""),"Valeriia Ihnatenko")</f>
        <v>Valeriia Ihnatenko</v>
      </c>
      <c r="Q1233" s="6" t="str">
        <f>IFERROR(__xludf.DUMMYFUNCTION("""COMPUTED_VALUE"""),"L2")</f>
        <v>L2</v>
      </c>
      <c r="R1233" s="6">
        <f>IFERROR(__xludf.DUMMYFUNCTION("""COMPUTED_VALUE"""),2.0)</f>
        <v>2</v>
      </c>
      <c r="S1233" s="6" t="str">
        <f>IFERROR(__xludf.DUMMYFUNCTION("""COMPUTED_VALUE""")," ")</f>
        <v> </v>
      </c>
      <c r="T1233" s="6" t="str">
        <f>IFERROR(__xludf.DUMMYFUNCTION("""COMPUTED_VALUE"""),"")</f>
        <v/>
      </c>
      <c r="U1233" s="6" t="str">
        <f>IFERROR(__xludf.DUMMYFUNCTION("""COMPUTED_VALUE"""),"5")</f>
        <v>5</v>
      </c>
      <c r="V1233" s="6" t="str">
        <f>IFERROR(__xludf.DUMMYFUNCTION("""COMPUTED_VALUE"""),"English")</f>
        <v>English</v>
      </c>
      <c r="W1233" s="6" t="str">
        <f>IFERROR(__xludf.DUMMYFUNCTION("""COMPUTED_VALUE"""),"[]")</f>
        <v>[]</v>
      </c>
      <c r="X1233" s="6" t="str">
        <f>IFERROR(__xludf.DUMMYFUNCTION("""COMPUTED_VALUE"""),"Enrolled")</f>
        <v>Enrolled</v>
      </c>
    </row>
    <row r="1234">
      <c r="A1234" s="6" t="str">
        <f>IFERROR(__xludf.DUMMYFUNCTION("""COMPUTED_VALUE"""),"009-1455")</f>
        <v>009-1455</v>
      </c>
      <c r="B1234" s="6" t="str">
        <f>IFERROR(__xludf.DUMMYFUNCTION("""COMPUTED_VALUE"""),"9")</f>
        <v>9</v>
      </c>
      <c r="C1234" s="6" t="str">
        <f>IFERROR(__xludf.DUMMYFUNCTION("""COMPUTED_VALUE"""),"1455")</f>
        <v>1455</v>
      </c>
      <c r="D1234" s="6" t="str">
        <f>IFERROR(__xludf.DUMMYFUNCTION("""COMPUTED_VALUE"""),"Tymofii")</f>
        <v>Tymofii</v>
      </c>
      <c r="E1234" s="6" t="str">
        <f>IFERROR(__xludf.DUMMYFUNCTION("""COMPUTED_VALUE"""),"")</f>
        <v/>
      </c>
      <c r="F1234" s="6" t="str">
        <f>IFERROR(__xludf.DUMMYFUNCTION("""COMPUTED_VALUE"""),"Vynohradov")</f>
        <v>Vynohradov</v>
      </c>
      <c r="G1234" s="6" t="str">
        <f>IFERROR(__xludf.DUMMYFUNCTION("""COMPUTED_VALUE"""),"01/01/2015")</f>
        <v>01/01/2015</v>
      </c>
      <c r="H1234" s="6" t="str">
        <f>IFERROR(__xludf.DUMMYFUNCTION("""COMPUTED_VALUE"""),"Self Identify")</f>
        <v>Self Identify</v>
      </c>
      <c r="I1234" s="6" t="str">
        <f>IFERROR(__xludf.DUMMYFUNCTION("""COMPUTED_VALUE"""),"Level 2")</f>
        <v>Level 2</v>
      </c>
      <c r="J1234" s="6" t="str">
        <f>IFERROR(__xludf.DUMMYFUNCTION("""COMPUTED_VALUE"""),"4")</f>
        <v>4</v>
      </c>
      <c r="K1234" s="6" t="str">
        <f>IFERROR(__xludf.DUMMYFUNCTION("""COMPUTED_VALUE"""),"tymofii.vynohradov@2hourlearning.com")</f>
        <v>tymofii.vynohradov@2hourlearning.com</v>
      </c>
      <c r="L1234" s="6" t="str">
        <f>IFERROR(__xludf.DUMMYFUNCTION("""COMPUTED_VALUE"""),"Learn and Earn Poland")</f>
        <v>Learn and Earn Poland</v>
      </c>
      <c r="M1234" s="6" t="str">
        <f>IFERROR(__xludf.DUMMYFUNCTION("""COMPUTED_VALUE"""),"Poland ex-GTS")</f>
        <v>Poland ex-GTS</v>
      </c>
      <c r="N1234" s="6" t="str">
        <f>IFERROR(__xludf.DUMMYFUNCTION("""COMPUTED_VALUE"""),"")</f>
        <v/>
      </c>
      <c r="O1234" s="87" t="str">
        <f>IFERROR(__xludf.DUMMYFUNCTION("""COMPUTED_VALUE"""),"https://drive.google.com/drive/folders/10T2cTQHqEJZqE-st6uFKPoI?usp=share_link")</f>
        <v>https://drive.google.com/drive/folders/10T2cTQHqEJZqE-st6uFKPoI?usp=share_link</v>
      </c>
      <c r="P1234" s="6" t="str">
        <f>IFERROR(__xludf.DUMMYFUNCTION("""COMPUTED_VALUE"""),"Tymofii Vynohradov")</f>
        <v>Tymofii Vynohradov</v>
      </c>
      <c r="Q1234" s="6" t="str">
        <f>IFERROR(__xludf.DUMMYFUNCTION("""COMPUTED_VALUE"""),"L2")</f>
        <v>L2</v>
      </c>
      <c r="R1234" s="6">
        <f>IFERROR(__xludf.DUMMYFUNCTION("""COMPUTED_VALUE"""),2.0)</f>
        <v>2</v>
      </c>
      <c r="S1234" s="6" t="str">
        <f>IFERROR(__xludf.DUMMYFUNCTION("""COMPUTED_VALUE""")," ")</f>
        <v> </v>
      </c>
      <c r="T1234" s="6" t="str">
        <f>IFERROR(__xludf.DUMMYFUNCTION("""COMPUTED_VALUE"""),"")</f>
        <v/>
      </c>
      <c r="U1234" s="6" t="str">
        <f>IFERROR(__xludf.DUMMYFUNCTION("""COMPUTED_VALUE"""),"4")</f>
        <v>4</v>
      </c>
      <c r="V1234" s="6" t="str">
        <f>IFERROR(__xludf.DUMMYFUNCTION("""COMPUTED_VALUE"""),"English")</f>
        <v>English</v>
      </c>
      <c r="W1234" s="6" t="str">
        <f>IFERROR(__xludf.DUMMYFUNCTION("""COMPUTED_VALUE"""),"[]")</f>
        <v>[]</v>
      </c>
      <c r="X1234" s="6" t="str">
        <f>IFERROR(__xludf.DUMMYFUNCTION("""COMPUTED_VALUE"""),"Enrolled")</f>
        <v>Enrolled</v>
      </c>
    </row>
    <row r="1235">
      <c r="A1235" s="6" t="str">
        <f>IFERROR(__xludf.DUMMYFUNCTION("""COMPUTED_VALUE"""),"009-1456")</f>
        <v>009-1456</v>
      </c>
      <c r="B1235" s="6" t="str">
        <f>IFERROR(__xludf.DUMMYFUNCTION("""COMPUTED_VALUE"""),"9")</f>
        <v>9</v>
      </c>
      <c r="C1235" s="6" t="str">
        <f>IFERROR(__xludf.DUMMYFUNCTION("""COMPUTED_VALUE"""),"1456")</f>
        <v>1456</v>
      </c>
      <c r="D1235" s="6" t="str">
        <f>IFERROR(__xludf.DUMMYFUNCTION("""COMPUTED_VALUE"""),"Danylo")</f>
        <v>Danylo</v>
      </c>
      <c r="E1235" s="6" t="str">
        <f>IFERROR(__xludf.DUMMYFUNCTION("""COMPUTED_VALUE"""),"")</f>
        <v/>
      </c>
      <c r="F1235" s="6" t="str">
        <f>IFERROR(__xludf.DUMMYFUNCTION("""COMPUTED_VALUE"""),"Vynohradov")</f>
        <v>Vynohradov</v>
      </c>
      <c r="G1235" s="6" t="str">
        <f>IFERROR(__xludf.DUMMYFUNCTION("""COMPUTED_VALUE"""),"01/01/2013")</f>
        <v>01/01/2013</v>
      </c>
      <c r="H1235" s="6" t="str">
        <f>IFERROR(__xludf.DUMMYFUNCTION("""COMPUTED_VALUE"""),"Self Identify")</f>
        <v>Self Identify</v>
      </c>
      <c r="I1235" s="6" t="str">
        <f>IFERROR(__xludf.DUMMYFUNCTION("""COMPUTED_VALUE"""),"Middle School")</f>
        <v>Middle School</v>
      </c>
      <c r="J1235" s="6" t="str">
        <f>IFERROR(__xludf.DUMMYFUNCTION("""COMPUTED_VALUE"""),"6")</f>
        <v>6</v>
      </c>
      <c r="K1235" s="6" t="str">
        <f>IFERROR(__xludf.DUMMYFUNCTION("""COMPUTED_VALUE"""),"danylo.vynohradov@2hourlearning.com")</f>
        <v>danylo.vynohradov@2hourlearning.com</v>
      </c>
      <c r="L1235" s="6" t="str">
        <f>IFERROR(__xludf.DUMMYFUNCTION("""COMPUTED_VALUE"""),"Learn and Earn Poland")</f>
        <v>Learn and Earn Poland</v>
      </c>
      <c r="M1235" s="6" t="str">
        <f>IFERROR(__xludf.DUMMYFUNCTION("""COMPUTED_VALUE"""),"Poland ex-GTS")</f>
        <v>Poland ex-GTS</v>
      </c>
      <c r="N1235" s="6" t="str">
        <f>IFERROR(__xludf.DUMMYFUNCTION("""COMPUTED_VALUE"""),"")</f>
        <v/>
      </c>
      <c r="O1235" s="87" t="str">
        <f>IFERROR(__xludf.DUMMYFUNCTION("""COMPUTED_VALUE"""),"https://drive.google.com/drive/folders/10T2cTQHqEJZqE-st6uFKPoI?usp=share_link")</f>
        <v>https://drive.google.com/drive/folders/10T2cTQHqEJZqE-st6uFKPoI?usp=share_link</v>
      </c>
      <c r="P1235" s="6" t="str">
        <f>IFERROR(__xludf.DUMMYFUNCTION("""COMPUTED_VALUE"""),"Danylo Vynohradov")</f>
        <v>Danylo Vynohradov</v>
      </c>
      <c r="Q1235" s="6" t="str">
        <f>IFERROR(__xludf.DUMMYFUNCTION("""COMPUTED_VALUE"""),"MS")</f>
        <v>MS</v>
      </c>
      <c r="R1235" s="6">
        <f>IFERROR(__xludf.DUMMYFUNCTION("""COMPUTED_VALUE"""),0.0)</f>
        <v>0</v>
      </c>
      <c r="S1235" s="6" t="str">
        <f>IFERROR(__xludf.DUMMYFUNCTION("""COMPUTED_VALUE""")," ")</f>
        <v> </v>
      </c>
      <c r="T1235" s="6" t="str">
        <f>IFERROR(__xludf.DUMMYFUNCTION("""COMPUTED_VALUE"""),"")</f>
        <v/>
      </c>
      <c r="U1235" s="6" t="str">
        <f>IFERROR(__xludf.DUMMYFUNCTION("""COMPUTED_VALUE"""),"6")</f>
        <v>6</v>
      </c>
      <c r="V1235" s="6" t="str">
        <f>IFERROR(__xludf.DUMMYFUNCTION("""COMPUTED_VALUE"""),"English")</f>
        <v>English</v>
      </c>
      <c r="W1235" s="6" t="str">
        <f>IFERROR(__xludf.DUMMYFUNCTION("""COMPUTED_VALUE"""),"[]")</f>
        <v>[]</v>
      </c>
      <c r="X1235" s="6" t="str">
        <f>IFERROR(__xludf.DUMMYFUNCTION("""COMPUTED_VALUE"""),"Enrolled")</f>
        <v>Enrolled</v>
      </c>
    </row>
    <row r="1236">
      <c r="A1236" s="6" t="str">
        <f>IFERROR(__xludf.DUMMYFUNCTION("""COMPUTED_VALUE"""),"009-1457")</f>
        <v>009-1457</v>
      </c>
      <c r="B1236" s="6" t="str">
        <f>IFERROR(__xludf.DUMMYFUNCTION("""COMPUTED_VALUE"""),"9")</f>
        <v>9</v>
      </c>
      <c r="C1236" s="6" t="str">
        <f>IFERROR(__xludf.DUMMYFUNCTION("""COMPUTED_VALUE"""),"1457")</f>
        <v>1457</v>
      </c>
      <c r="D1236" s="6" t="str">
        <f>IFERROR(__xludf.DUMMYFUNCTION("""COMPUTED_VALUE"""),"Zakhar")</f>
        <v>Zakhar</v>
      </c>
      <c r="E1236" s="6" t="str">
        <f>IFERROR(__xludf.DUMMYFUNCTION("""COMPUTED_VALUE"""),"")</f>
        <v/>
      </c>
      <c r="F1236" s="6" t="str">
        <f>IFERROR(__xludf.DUMMYFUNCTION("""COMPUTED_VALUE"""),"Yaroshenko")</f>
        <v>Yaroshenko</v>
      </c>
      <c r="G1236" s="6" t="str">
        <f>IFERROR(__xludf.DUMMYFUNCTION("""COMPUTED_VALUE"""),"01/01/2016")</f>
        <v>01/01/2016</v>
      </c>
      <c r="H1236" s="6" t="str">
        <f>IFERROR(__xludf.DUMMYFUNCTION("""COMPUTED_VALUE"""),"Self Identify")</f>
        <v>Self Identify</v>
      </c>
      <c r="I1236" s="6" t="str">
        <f>IFERROR(__xludf.DUMMYFUNCTION("""COMPUTED_VALUE"""),"Level 1")</f>
        <v>Level 1</v>
      </c>
      <c r="J1236" s="6" t="str">
        <f>IFERROR(__xludf.DUMMYFUNCTION("""COMPUTED_VALUE"""),"3")</f>
        <v>3</v>
      </c>
      <c r="K1236" s="6" t="str">
        <f>IFERROR(__xludf.DUMMYFUNCTION("""COMPUTED_VALUE"""),"zakhar.yaroshenko@2hourlearning.com")</f>
        <v>zakhar.yaroshenko@2hourlearning.com</v>
      </c>
      <c r="L1236" s="6" t="str">
        <f>IFERROR(__xludf.DUMMYFUNCTION("""COMPUTED_VALUE"""),"Learn and Earn Poland")</f>
        <v>Learn and Earn Poland</v>
      </c>
      <c r="M1236" s="6" t="str">
        <f>IFERROR(__xludf.DUMMYFUNCTION("""COMPUTED_VALUE"""),"Poland ex-GTS")</f>
        <v>Poland ex-GTS</v>
      </c>
      <c r="N1236" s="6" t="str">
        <f>IFERROR(__xludf.DUMMYFUNCTION("""COMPUTED_VALUE"""),"")</f>
        <v/>
      </c>
      <c r="O1236" s="87" t="str">
        <f>IFERROR(__xludf.DUMMYFUNCTION("""COMPUTED_VALUE"""),"https://drive.google.com/drive/folders/10T2cTQHqEJZqE-st6uFKPoI?usp=share_link")</f>
        <v>https://drive.google.com/drive/folders/10T2cTQHqEJZqE-st6uFKPoI?usp=share_link</v>
      </c>
      <c r="P1236" s="6" t="str">
        <f>IFERROR(__xludf.DUMMYFUNCTION("""COMPUTED_VALUE"""),"Zakhar Yaroshenko")</f>
        <v>Zakhar Yaroshenko</v>
      </c>
      <c r="Q1236" s="6" t="str">
        <f>IFERROR(__xludf.DUMMYFUNCTION("""COMPUTED_VALUE"""),"L1")</f>
        <v>L1</v>
      </c>
      <c r="R1236" s="6">
        <f>IFERROR(__xludf.DUMMYFUNCTION("""COMPUTED_VALUE"""),1.0)</f>
        <v>1</v>
      </c>
      <c r="S1236" s="6" t="str">
        <f>IFERROR(__xludf.DUMMYFUNCTION("""COMPUTED_VALUE""")," ")</f>
        <v> </v>
      </c>
      <c r="T1236" s="6" t="str">
        <f>IFERROR(__xludf.DUMMYFUNCTION("""COMPUTED_VALUE"""),"")</f>
        <v/>
      </c>
      <c r="U1236" s="6" t="str">
        <f>IFERROR(__xludf.DUMMYFUNCTION("""COMPUTED_VALUE"""),"3")</f>
        <v>3</v>
      </c>
      <c r="V1236" s="6" t="str">
        <f>IFERROR(__xludf.DUMMYFUNCTION("""COMPUTED_VALUE"""),"English")</f>
        <v>English</v>
      </c>
      <c r="W1236" s="6" t="str">
        <f>IFERROR(__xludf.DUMMYFUNCTION("""COMPUTED_VALUE"""),"[]")</f>
        <v>[]</v>
      </c>
      <c r="X1236" s="6" t="str">
        <f>IFERROR(__xludf.DUMMYFUNCTION("""COMPUTED_VALUE"""),"Enrolled")</f>
        <v>Enrolled</v>
      </c>
    </row>
    <row r="1237">
      <c r="A1237" s="6" t="str">
        <f>IFERROR(__xludf.DUMMYFUNCTION("""COMPUTED_VALUE"""),"009-1458")</f>
        <v>009-1458</v>
      </c>
      <c r="B1237" s="6" t="str">
        <f>IFERROR(__xludf.DUMMYFUNCTION("""COMPUTED_VALUE"""),"9")</f>
        <v>9</v>
      </c>
      <c r="C1237" s="6" t="str">
        <f>IFERROR(__xludf.DUMMYFUNCTION("""COMPUTED_VALUE"""),"1458")</f>
        <v>1458</v>
      </c>
      <c r="D1237" s="6" t="str">
        <f>IFERROR(__xludf.DUMMYFUNCTION("""COMPUTED_VALUE"""),"Yaroslav")</f>
        <v>Yaroslav</v>
      </c>
      <c r="E1237" s="6" t="str">
        <f>IFERROR(__xludf.DUMMYFUNCTION("""COMPUTED_VALUE"""),"")</f>
        <v/>
      </c>
      <c r="F1237" s="6" t="str">
        <f>IFERROR(__xludf.DUMMYFUNCTION("""COMPUTED_VALUE"""),"Sopin")</f>
        <v>Sopin</v>
      </c>
      <c r="G1237" s="6" t="str">
        <f>IFERROR(__xludf.DUMMYFUNCTION("""COMPUTED_VALUE"""),"01/01/2013")</f>
        <v>01/01/2013</v>
      </c>
      <c r="H1237" s="6" t="str">
        <f>IFERROR(__xludf.DUMMYFUNCTION("""COMPUTED_VALUE"""),"Self Identify")</f>
        <v>Self Identify</v>
      </c>
      <c r="I1237" s="6" t="str">
        <f>IFERROR(__xludf.DUMMYFUNCTION("""COMPUTED_VALUE"""),"Middle School")</f>
        <v>Middle School</v>
      </c>
      <c r="J1237" s="6" t="str">
        <f>IFERROR(__xludf.DUMMYFUNCTION("""COMPUTED_VALUE"""),"6")</f>
        <v>6</v>
      </c>
      <c r="K1237" s="6" t="str">
        <f>IFERROR(__xludf.DUMMYFUNCTION("""COMPUTED_VALUE"""),"yaroslav.sopin@2hourlearning.com")</f>
        <v>yaroslav.sopin@2hourlearning.com</v>
      </c>
      <c r="L1237" s="6" t="str">
        <f>IFERROR(__xludf.DUMMYFUNCTION("""COMPUTED_VALUE"""),"Learn and Earn Poland")</f>
        <v>Learn and Earn Poland</v>
      </c>
      <c r="M1237" s="6" t="str">
        <f>IFERROR(__xludf.DUMMYFUNCTION("""COMPUTED_VALUE"""),"Poland ex-GTS")</f>
        <v>Poland ex-GTS</v>
      </c>
      <c r="N1237" s="6" t="str">
        <f>IFERROR(__xludf.DUMMYFUNCTION("""COMPUTED_VALUE"""),"")</f>
        <v/>
      </c>
      <c r="O1237" s="87" t="str">
        <f>IFERROR(__xludf.DUMMYFUNCTION("""COMPUTED_VALUE"""),"https://drive.google.com/drive/folders/10T2cTQHqEJZqE-st6uFKPoI?usp=share_link")</f>
        <v>https://drive.google.com/drive/folders/10T2cTQHqEJZqE-st6uFKPoI?usp=share_link</v>
      </c>
      <c r="P1237" s="6" t="str">
        <f>IFERROR(__xludf.DUMMYFUNCTION("""COMPUTED_VALUE"""),"Yaroslav Sopin")</f>
        <v>Yaroslav Sopin</v>
      </c>
      <c r="Q1237" s="6" t="str">
        <f>IFERROR(__xludf.DUMMYFUNCTION("""COMPUTED_VALUE"""),"MS")</f>
        <v>MS</v>
      </c>
      <c r="R1237" s="6">
        <f>IFERROR(__xludf.DUMMYFUNCTION("""COMPUTED_VALUE"""),0.0)</f>
        <v>0</v>
      </c>
      <c r="S1237" s="6" t="str">
        <f>IFERROR(__xludf.DUMMYFUNCTION("""COMPUTED_VALUE""")," ")</f>
        <v> </v>
      </c>
      <c r="T1237" s="6" t="str">
        <f>IFERROR(__xludf.DUMMYFUNCTION("""COMPUTED_VALUE"""),"")</f>
        <v/>
      </c>
      <c r="U1237" s="6" t="str">
        <f>IFERROR(__xludf.DUMMYFUNCTION("""COMPUTED_VALUE"""),"6")</f>
        <v>6</v>
      </c>
      <c r="V1237" s="6" t="str">
        <f>IFERROR(__xludf.DUMMYFUNCTION("""COMPUTED_VALUE"""),"English")</f>
        <v>English</v>
      </c>
      <c r="W1237" s="6" t="str">
        <f>IFERROR(__xludf.DUMMYFUNCTION("""COMPUTED_VALUE"""),"[]")</f>
        <v>[]</v>
      </c>
      <c r="X1237" s="6" t="str">
        <f>IFERROR(__xludf.DUMMYFUNCTION("""COMPUTED_VALUE"""),"Enrolled")</f>
        <v>Enrolled</v>
      </c>
    </row>
    <row r="1238">
      <c r="A1238" s="6" t="str">
        <f>IFERROR(__xludf.DUMMYFUNCTION("""COMPUTED_VALUE"""),"009-1459")</f>
        <v>009-1459</v>
      </c>
      <c r="B1238" s="6" t="str">
        <f>IFERROR(__xludf.DUMMYFUNCTION("""COMPUTED_VALUE"""),"9")</f>
        <v>9</v>
      </c>
      <c r="C1238" s="6" t="str">
        <f>IFERROR(__xludf.DUMMYFUNCTION("""COMPUTED_VALUE"""),"1459")</f>
        <v>1459</v>
      </c>
      <c r="D1238" s="6" t="str">
        <f>IFERROR(__xludf.DUMMYFUNCTION("""COMPUTED_VALUE"""),"Igor")</f>
        <v>Igor</v>
      </c>
      <c r="E1238" s="6" t="str">
        <f>IFERROR(__xludf.DUMMYFUNCTION("""COMPUTED_VALUE"""),"")</f>
        <v/>
      </c>
      <c r="F1238" s="6" t="str">
        <f>IFERROR(__xludf.DUMMYFUNCTION("""COMPUTED_VALUE"""),"Antoniuk")</f>
        <v>Antoniuk</v>
      </c>
      <c r="G1238" s="6" t="str">
        <f>IFERROR(__xludf.DUMMYFUNCTION("""COMPUTED_VALUE"""),"01/01/2011")</f>
        <v>01/01/2011</v>
      </c>
      <c r="H1238" s="6" t="str">
        <f>IFERROR(__xludf.DUMMYFUNCTION("""COMPUTED_VALUE"""),"Self Identify")</f>
        <v>Self Identify</v>
      </c>
      <c r="I1238" s="6" t="str">
        <f>IFERROR(__xludf.DUMMYFUNCTION("""COMPUTED_VALUE"""),"Middle School")</f>
        <v>Middle School</v>
      </c>
      <c r="J1238" s="6" t="str">
        <f>IFERROR(__xludf.DUMMYFUNCTION("""COMPUTED_VALUE"""),"8")</f>
        <v>8</v>
      </c>
      <c r="K1238" s="6" t="str">
        <f>IFERROR(__xludf.DUMMYFUNCTION("""COMPUTED_VALUE"""),"igor.antoniuk@2hourlearning.com")</f>
        <v>igor.antoniuk@2hourlearning.com</v>
      </c>
      <c r="L1238" s="6" t="str">
        <f>IFERROR(__xludf.DUMMYFUNCTION("""COMPUTED_VALUE"""),"Learn and Earn Poland")</f>
        <v>Learn and Earn Poland</v>
      </c>
      <c r="M1238" s="6" t="str">
        <f>IFERROR(__xludf.DUMMYFUNCTION("""COMPUTED_VALUE"""),"Poland ex-GTS")</f>
        <v>Poland ex-GTS</v>
      </c>
      <c r="N1238" s="6" t="str">
        <f>IFERROR(__xludf.DUMMYFUNCTION("""COMPUTED_VALUE"""),"")</f>
        <v/>
      </c>
      <c r="O1238" s="87" t="str">
        <f>IFERROR(__xludf.DUMMYFUNCTION("""COMPUTED_VALUE"""),"https://drive.google.com/drive/folders/10T2cTQHqEJZqE-st6uFKPoI?usp=share_link")</f>
        <v>https://drive.google.com/drive/folders/10T2cTQHqEJZqE-st6uFKPoI?usp=share_link</v>
      </c>
      <c r="P1238" s="6" t="str">
        <f>IFERROR(__xludf.DUMMYFUNCTION("""COMPUTED_VALUE"""),"Igor Antoniuk")</f>
        <v>Igor Antoniuk</v>
      </c>
      <c r="Q1238" s="6" t="str">
        <f>IFERROR(__xludf.DUMMYFUNCTION("""COMPUTED_VALUE"""),"MS")</f>
        <v>MS</v>
      </c>
      <c r="R1238" s="6">
        <f>IFERROR(__xludf.DUMMYFUNCTION("""COMPUTED_VALUE"""),0.0)</f>
        <v>0</v>
      </c>
      <c r="S1238" s="6" t="str">
        <f>IFERROR(__xludf.DUMMYFUNCTION("""COMPUTED_VALUE""")," ")</f>
        <v> </v>
      </c>
      <c r="T1238" s="6" t="str">
        <f>IFERROR(__xludf.DUMMYFUNCTION("""COMPUTED_VALUE"""),"")</f>
        <v/>
      </c>
      <c r="U1238" s="6" t="str">
        <f>IFERROR(__xludf.DUMMYFUNCTION("""COMPUTED_VALUE"""),"8")</f>
        <v>8</v>
      </c>
      <c r="V1238" s="6" t="str">
        <f>IFERROR(__xludf.DUMMYFUNCTION("""COMPUTED_VALUE"""),"English")</f>
        <v>English</v>
      </c>
      <c r="W1238" s="6" t="str">
        <f>IFERROR(__xludf.DUMMYFUNCTION("""COMPUTED_VALUE"""),"[]")</f>
        <v>[]</v>
      </c>
      <c r="X1238" s="6" t="str">
        <f>IFERROR(__xludf.DUMMYFUNCTION("""COMPUTED_VALUE"""),"Enrolled")</f>
        <v>Enrolled</v>
      </c>
    </row>
    <row r="1239">
      <c r="A1239" s="6" t="str">
        <f>IFERROR(__xludf.DUMMYFUNCTION("""COMPUTED_VALUE"""),"009-1460")</f>
        <v>009-1460</v>
      </c>
      <c r="B1239" s="6" t="str">
        <f>IFERROR(__xludf.DUMMYFUNCTION("""COMPUTED_VALUE"""),"9")</f>
        <v>9</v>
      </c>
      <c r="C1239" s="6" t="str">
        <f>IFERROR(__xludf.DUMMYFUNCTION("""COMPUTED_VALUE"""),"1460")</f>
        <v>1460</v>
      </c>
      <c r="D1239" s="6" t="str">
        <f>IFERROR(__xludf.DUMMYFUNCTION("""COMPUTED_VALUE"""),"Yekateryna")</f>
        <v>Yekateryna</v>
      </c>
      <c r="E1239" s="6" t="str">
        <f>IFERROR(__xludf.DUMMYFUNCTION("""COMPUTED_VALUE"""),"")</f>
        <v/>
      </c>
      <c r="F1239" s="6" t="str">
        <f>IFERROR(__xludf.DUMMYFUNCTION("""COMPUTED_VALUE"""),"Horbatiuk")</f>
        <v>Horbatiuk</v>
      </c>
      <c r="G1239" s="6" t="str">
        <f>IFERROR(__xludf.DUMMYFUNCTION("""COMPUTED_VALUE"""),"01/01/2012")</f>
        <v>01/01/2012</v>
      </c>
      <c r="H1239" s="6" t="str">
        <f>IFERROR(__xludf.DUMMYFUNCTION("""COMPUTED_VALUE"""),"Self Identify")</f>
        <v>Self Identify</v>
      </c>
      <c r="I1239" s="6" t="str">
        <f>IFERROR(__xludf.DUMMYFUNCTION("""COMPUTED_VALUE"""),"Middle School")</f>
        <v>Middle School</v>
      </c>
      <c r="J1239" s="6" t="str">
        <f>IFERROR(__xludf.DUMMYFUNCTION("""COMPUTED_VALUE"""),"7")</f>
        <v>7</v>
      </c>
      <c r="K1239" s="6" t="str">
        <f>IFERROR(__xludf.DUMMYFUNCTION("""COMPUTED_VALUE"""),"yekateryna.horbatiuk@2hourlearning.com")</f>
        <v>yekateryna.horbatiuk@2hourlearning.com</v>
      </c>
      <c r="L1239" s="6" t="str">
        <f>IFERROR(__xludf.DUMMYFUNCTION("""COMPUTED_VALUE"""),"Learn and Earn Poland")</f>
        <v>Learn and Earn Poland</v>
      </c>
      <c r="M1239" s="6" t="str">
        <f>IFERROR(__xludf.DUMMYFUNCTION("""COMPUTED_VALUE"""),"Poland ex-GTS")</f>
        <v>Poland ex-GTS</v>
      </c>
      <c r="N1239" s="6" t="str">
        <f>IFERROR(__xludf.DUMMYFUNCTION("""COMPUTED_VALUE"""),"")</f>
        <v/>
      </c>
      <c r="O1239" s="87" t="str">
        <f>IFERROR(__xludf.DUMMYFUNCTION("""COMPUTED_VALUE"""),"https://drive.google.com/drive/folders/10T2cTQHqEJZqE-st6uFKPoI?usp=share_link")</f>
        <v>https://drive.google.com/drive/folders/10T2cTQHqEJZqE-st6uFKPoI?usp=share_link</v>
      </c>
      <c r="P1239" s="6" t="str">
        <f>IFERROR(__xludf.DUMMYFUNCTION("""COMPUTED_VALUE"""),"Yekateryna Horbatiuk")</f>
        <v>Yekateryna Horbatiuk</v>
      </c>
      <c r="Q1239" s="6" t="str">
        <f>IFERROR(__xludf.DUMMYFUNCTION("""COMPUTED_VALUE"""),"MS")</f>
        <v>MS</v>
      </c>
      <c r="R1239" s="6">
        <f>IFERROR(__xludf.DUMMYFUNCTION("""COMPUTED_VALUE"""),0.0)</f>
        <v>0</v>
      </c>
      <c r="S1239" s="6" t="str">
        <f>IFERROR(__xludf.DUMMYFUNCTION("""COMPUTED_VALUE""")," ")</f>
        <v> </v>
      </c>
      <c r="T1239" s="6" t="str">
        <f>IFERROR(__xludf.DUMMYFUNCTION("""COMPUTED_VALUE"""),"")</f>
        <v/>
      </c>
      <c r="U1239" s="6" t="str">
        <f>IFERROR(__xludf.DUMMYFUNCTION("""COMPUTED_VALUE"""),"7")</f>
        <v>7</v>
      </c>
      <c r="V1239" s="6" t="str">
        <f>IFERROR(__xludf.DUMMYFUNCTION("""COMPUTED_VALUE"""),"English")</f>
        <v>English</v>
      </c>
      <c r="W1239" s="6" t="str">
        <f>IFERROR(__xludf.DUMMYFUNCTION("""COMPUTED_VALUE"""),"[]")</f>
        <v>[]</v>
      </c>
      <c r="X1239" s="6" t="str">
        <f>IFERROR(__xludf.DUMMYFUNCTION("""COMPUTED_VALUE"""),"Enrolled")</f>
        <v>Enrolled</v>
      </c>
    </row>
    <row r="1240">
      <c r="A1240" s="6" t="str">
        <f>IFERROR(__xludf.DUMMYFUNCTION("""COMPUTED_VALUE"""),"009-1461")</f>
        <v>009-1461</v>
      </c>
      <c r="B1240" s="6" t="str">
        <f>IFERROR(__xludf.DUMMYFUNCTION("""COMPUTED_VALUE"""),"9")</f>
        <v>9</v>
      </c>
      <c r="C1240" s="6" t="str">
        <f>IFERROR(__xludf.DUMMYFUNCTION("""COMPUTED_VALUE"""),"1461")</f>
        <v>1461</v>
      </c>
      <c r="D1240" s="6" t="str">
        <f>IFERROR(__xludf.DUMMYFUNCTION("""COMPUTED_VALUE"""),"Makar")</f>
        <v>Makar</v>
      </c>
      <c r="E1240" s="6" t="str">
        <f>IFERROR(__xludf.DUMMYFUNCTION("""COMPUTED_VALUE"""),"")</f>
        <v/>
      </c>
      <c r="F1240" s="6" t="str">
        <f>IFERROR(__xludf.DUMMYFUNCTION("""COMPUTED_VALUE"""),"Tonkoshkur")</f>
        <v>Tonkoshkur</v>
      </c>
      <c r="G1240" s="6" t="str">
        <f>IFERROR(__xludf.DUMMYFUNCTION("""COMPUTED_VALUE"""),"01/01/2016")</f>
        <v>01/01/2016</v>
      </c>
      <c r="H1240" s="6" t="str">
        <f>IFERROR(__xludf.DUMMYFUNCTION("""COMPUTED_VALUE"""),"Self Identify")</f>
        <v>Self Identify</v>
      </c>
      <c r="I1240" s="6" t="str">
        <f>IFERROR(__xludf.DUMMYFUNCTION("""COMPUTED_VALUE"""),"Level 1")</f>
        <v>Level 1</v>
      </c>
      <c r="J1240" s="6" t="str">
        <f>IFERROR(__xludf.DUMMYFUNCTION("""COMPUTED_VALUE"""),"3")</f>
        <v>3</v>
      </c>
      <c r="K1240" s="6" t="str">
        <f>IFERROR(__xludf.DUMMYFUNCTION("""COMPUTED_VALUE"""),"makar.tonkoshkur@2hourlearning.com")</f>
        <v>makar.tonkoshkur@2hourlearning.com</v>
      </c>
      <c r="L1240" s="6" t="str">
        <f>IFERROR(__xludf.DUMMYFUNCTION("""COMPUTED_VALUE"""),"Learn and Earn Poland")</f>
        <v>Learn and Earn Poland</v>
      </c>
      <c r="M1240" s="6" t="str">
        <f>IFERROR(__xludf.DUMMYFUNCTION("""COMPUTED_VALUE"""),"Poland ex-GTS")</f>
        <v>Poland ex-GTS</v>
      </c>
      <c r="N1240" s="6" t="str">
        <f>IFERROR(__xludf.DUMMYFUNCTION("""COMPUTED_VALUE"""),"")</f>
        <v/>
      </c>
      <c r="O1240" s="87" t="str">
        <f>IFERROR(__xludf.DUMMYFUNCTION("""COMPUTED_VALUE"""),"https://drive.google.com/drive/folders/10T2cTQHqEJZqE-st6uFKPoI?usp=share_link")</f>
        <v>https://drive.google.com/drive/folders/10T2cTQHqEJZqE-st6uFKPoI?usp=share_link</v>
      </c>
      <c r="P1240" s="6" t="str">
        <f>IFERROR(__xludf.DUMMYFUNCTION("""COMPUTED_VALUE"""),"Makar Tonkoshkur")</f>
        <v>Makar Tonkoshkur</v>
      </c>
      <c r="Q1240" s="6" t="str">
        <f>IFERROR(__xludf.DUMMYFUNCTION("""COMPUTED_VALUE"""),"L1")</f>
        <v>L1</v>
      </c>
      <c r="R1240" s="6">
        <f>IFERROR(__xludf.DUMMYFUNCTION("""COMPUTED_VALUE"""),1.0)</f>
        <v>1</v>
      </c>
      <c r="S1240" s="6" t="str">
        <f>IFERROR(__xludf.DUMMYFUNCTION("""COMPUTED_VALUE""")," ")</f>
        <v> </v>
      </c>
      <c r="T1240" s="6" t="str">
        <f>IFERROR(__xludf.DUMMYFUNCTION("""COMPUTED_VALUE"""),"")</f>
        <v/>
      </c>
      <c r="U1240" s="6" t="str">
        <f>IFERROR(__xludf.DUMMYFUNCTION("""COMPUTED_VALUE"""),"3")</f>
        <v>3</v>
      </c>
      <c r="V1240" s="6" t="str">
        <f>IFERROR(__xludf.DUMMYFUNCTION("""COMPUTED_VALUE"""),"English")</f>
        <v>English</v>
      </c>
      <c r="W1240" s="6" t="str">
        <f>IFERROR(__xludf.DUMMYFUNCTION("""COMPUTED_VALUE"""),"[]")</f>
        <v>[]</v>
      </c>
      <c r="X1240" s="6" t="str">
        <f>IFERROR(__xludf.DUMMYFUNCTION("""COMPUTED_VALUE"""),"Enrolled")</f>
        <v>Enrolled</v>
      </c>
    </row>
    <row r="1241">
      <c r="A1241" s="6" t="str">
        <f>IFERROR(__xludf.DUMMYFUNCTION("""COMPUTED_VALUE"""),"009-1462")</f>
        <v>009-1462</v>
      </c>
      <c r="B1241" s="6" t="str">
        <f>IFERROR(__xludf.DUMMYFUNCTION("""COMPUTED_VALUE"""),"9")</f>
        <v>9</v>
      </c>
      <c r="C1241" s="6" t="str">
        <f>IFERROR(__xludf.DUMMYFUNCTION("""COMPUTED_VALUE"""),"1462")</f>
        <v>1462</v>
      </c>
      <c r="D1241" s="6" t="str">
        <f>IFERROR(__xludf.DUMMYFUNCTION("""COMPUTED_VALUE"""),"Alisiia")</f>
        <v>Alisiia</v>
      </c>
      <c r="E1241" s="6" t="str">
        <f>IFERROR(__xludf.DUMMYFUNCTION("""COMPUTED_VALUE"""),"")</f>
        <v/>
      </c>
      <c r="F1241" s="6" t="str">
        <f>IFERROR(__xludf.DUMMYFUNCTION("""COMPUTED_VALUE"""),"Yanytska")</f>
        <v>Yanytska</v>
      </c>
      <c r="G1241" s="6" t="str">
        <f>IFERROR(__xludf.DUMMYFUNCTION("""COMPUTED_VALUE"""),"01/01/2014")</f>
        <v>01/01/2014</v>
      </c>
      <c r="H1241" s="6" t="str">
        <f>IFERROR(__xludf.DUMMYFUNCTION("""COMPUTED_VALUE"""),"Self Identify")</f>
        <v>Self Identify</v>
      </c>
      <c r="I1241" s="6" t="str">
        <f>IFERROR(__xludf.DUMMYFUNCTION("""COMPUTED_VALUE"""),"Level 2")</f>
        <v>Level 2</v>
      </c>
      <c r="J1241" s="6" t="str">
        <f>IFERROR(__xludf.DUMMYFUNCTION("""COMPUTED_VALUE"""),"5")</f>
        <v>5</v>
      </c>
      <c r="K1241" s="6" t="str">
        <f>IFERROR(__xludf.DUMMYFUNCTION("""COMPUTED_VALUE"""),"alisiia.yanytska@2hourlearning.com")</f>
        <v>alisiia.yanytska@2hourlearning.com</v>
      </c>
      <c r="L1241" s="6" t="str">
        <f>IFERROR(__xludf.DUMMYFUNCTION("""COMPUTED_VALUE"""),"Learn and Earn Poland")</f>
        <v>Learn and Earn Poland</v>
      </c>
      <c r="M1241" s="6" t="str">
        <f>IFERROR(__xludf.DUMMYFUNCTION("""COMPUTED_VALUE"""),"Poland ex-GTS")</f>
        <v>Poland ex-GTS</v>
      </c>
      <c r="N1241" s="6" t="str">
        <f>IFERROR(__xludf.DUMMYFUNCTION("""COMPUTED_VALUE"""),"")</f>
        <v/>
      </c>
      <c r="O1241" s="87" t="str">
        <f>IFERROR(__xludf.DUMMYFUNCTION("""COMPUTED_VALUE"""),"https://drive.google.com/drive/folders/10T2cTQHqEJZqE-st6uFKPoI?usp=share_link")</f>
        <v>https://drive.google.com/drive/folders/10T2cTQHqEJZqE-st6uFKPoI?usp=share_link</v>
      </c>
      <c r="P1241" s="6" t="str">
        <f>IFERROR(__xludf.DUMMYFUNCTION("""COMPUTED_VALUE"""),"Alisiia Yanytska")</f>
        <v>Alisiia Yanytska</v>
      </c>
      <c r="Q1241" s="6" t="str">
        <f>IFERROR(__xludf.DUMMYFUNCTION("""COMPUTED_VALUE"""),"L2")</f>
        <v>L2</v>
      </c>
      <c r="R1241" s="6">
        <f>IFERROR(__xludf.DUMMYFUNCTION("""COMPUTED_VALUE"""),2.0)</f>
        <v>2</v>
      </c>
      <c r="S1241" s="6" t="str">
        <f>IFERROR(__xludf.DUMMYFUNCTION("""COMPUTED_VALUE""")," ")</f>
        <v> </v>
      </c>
      <c r="T1241" s="6" t="str">
        <f>IFERROR(__xludf.DUMMYFUNCTION("""COMPUTED_VALUE"""),"")</f>
        <v/>
      </c>
      <c r="U1241" s="6" t="str">
        <f>IFERROR(__xludf.DUMMYFUNCTION("""COMPUTED_VALUE"""),"5")</f>
        <v>5</v>
      </c>
      <c r="V1241" s="6" t="str">
        <f>IFERROR(__xludf.DUMMYFUNCTION("""COMPUTED_VALUE"""),"English")</f>
        <v>English</v>
      </c>
      <c r="W1241" s="6" t="str">
        <f>IFERROR(__xludf.DUMMYFUNCTION("""COMPUTED_VALUE"""),"[]")</f>
        <v>[]</v>
      </c>
      <c r="X1241" s="6" t="str">
        <f>IFERROR(__xludf.DUMMYFUNCTION("""COMPUTED_VALUE"""),"Enrolled")</f>
        <v>Enrolled</v>
      </c>
    </row>
    <row r="1242">
      <c r="A1242" s="6" t="str">
        <f>IFERROR(__xludf.DUMMYFUNCTION("""COMPUTED_VALUE"""),"009-1463")</f>
        <v>009-1463</v>
      </c>
      <c r="B1242" s="6" t="str">
        <f>IFERROR(__xludf.DUMMYFUNCTION("""COMPUTED_VALUE"""),"9")</f>
        <v>9</v>
      </c>
      <c r="C1242" s="6" t="str">
        <f>IFERROR(__xludf.DUMMYFUNCTION("""COMPUTED_VALUE"""),"1463")</f>
        <v>1463</v>
      </c>
      <c r="D1242" s="6" t="str">
        <f>IFERROR(__xludf.DUMMYFUNCTION("""COMPUTED_VALUE"""),"Daria")</f>
        <v>Daria</v>
      </c>
      <c r="E1242" s="6" t="str">
        <f>IFERROR(__xludf.DUMMYFUNCTION("""COMPUTED_VALUE"""),"")</f>
        <v/>
      </c>
      <c r="F1242" s="6" t="str">
        <f>IFERROR(__xludf.DUMMYFUNCTION("""COMPUTED_VALUE"""),"Sitova")</f>
        <v>Sitova</v>
      </c>
      <c r="G1242" s="6" t="str">
        <f>IFERROR(__xludf.DUMMYFUNCTION("""COMPUTED_VALUE"""),"01/01/2012")</f>
        <v>01/01/2012</v>
      </c>
      <c r="H1242" s="6" t="str">
        <f>IFERROR(__xludf.DUMMYFUNCTION("""COMPUTED_VALUE"""),"Self Identify")</f>
        <v>Self Identify</v>
      </c>
      <c r="I1242" s="6" t="str">
        <f>IFERROR(__xludf.DUMMYFUNCTION("""COMPUTED_VALUE"""),"Middle School")</f>
        <v>Middle School</v>
      </c>
      <c r="J1242" s="6" t="str">
        <f>IFERROR(__xludf.DUMMYFUNCTION("""COMPUTED_VALUE"""),"7")</f>
        <v>7</v>
      </c>
      <c r="K1242" s="6" t="str">
        <f>IFERROR(__xludf.DUMMYFUNCTION("""COMPUTED_VALUE"""),"daria.sitova@2hourlearning.com")</f>
        <v>daria.sitova@2hourlearning.com</v>
      </c>
      <c r="L1242" s="6" t="str">
        <f>IFERROR(__xludf.DUMMYFUNCTION("""COMPUTED_VALUE"""),"Learn and Earn Poland")</f>
        <v>Learn and Earn Poland</v>
      </c>
      <c r="M1242" s="6" t="str">
        <f>IFERROR(__xludf.DUMMYFUNCTION("""COMPUTED_VALUE"""),"Poland ex-GTS")</f>
        <v>Poland ex-GTS</v>
      </c>
      <c r="N1242" s="6" t="str">
        <f>IFERROR(__xludf.DUMMYFUNCTION("""COMPUTED_VALUE"""),"")</f>
        <v/>
      </c>
      <c r="O1242" s="87" t="str">
        <f>IFERROR(__xludf.DUMMYFUNCTION("""COMPUTED_VALUE"""),"https://drive.google.com/drive/folders/10T2cTQHqEJZqE-st6uFKPoI?usp=share_link")</f>
        <v>https://drive.google.com/drive/folders/10T2cTQHqEJZqE-st6uFKPoI?usp=share_link</v>
      </c>
      <c r="P1242" s="6" t="str">
        <f>IFERROR(__xludf.DUMMYFUNCTION("""COMPUTED_VALUE"""),"Daria Sitova")</f>
        <v>Daria Sitova</v>
      </c>
      <c r="Q1242" s="6" t="str">
        <f>IFERROR(__xludf.DUMMYFUNCTION("""COMPUTED_VALUE"""),"MS")</f>
        <v>MS</v>
      </c>
      <c r="R1242" s="6">
        <f>IFERROR(__xludf.DUMMYFUNCTION("""COMPUTED_VALUE"""),0.0)</f>
        <v>0</v>
      </c>
      <c r="S1242" s="6" t="str">
        <f>IFERROR(__xludf.DUMMYFUNCTION("""COMPUTED_VALUE""")," ")</f>
        <v> </v>
      </c>
      <c r="T1242" s="6" t="str">
        <f>IFERROR(__xludf.DUMMYFUNCTION("""COMPUTED_VALUE"""),"")</f>
        <v/>
      </c>
      <c r="U1242" s="6" t="str">
        <f>IFERROR(__xludf.DUMMYFUNCTION("""COMPUTED_VALUE"""),"7")</f>
        <v>7</v>
      </c>
      <c r="V1242" s="6" t="str">
        <f>IFERROR(__xludf.DUMMYFUNCTION("""COMPUTED_VALUE"""),"English")</f>
        <v>English</v>
      </c>
      <c r="W1242" s="6" t="str">
        <f>IFERROR(__xludf.DUMMYFUNCTION("""COMPUTED_VALUE"""),"[]")</f>
        <v>[]</v>
      </c>
      <c r="X1242" s="6" t="str">
        <f>IFERROR(__xludf.DUMMYFUNCTION("""COMPUTED_VALUE"""),"Enrolled")</f>
        <v>Enrolled</v>
      </c>
    </row>
    <row r="1243">
      <c r="A1243" s="6" t="str">
        <f>IFERROR(__xludf.DUMMYFUNCTION("""COMPUTED_VALUE"""),"009-1464")</f>
        <v>009-1464</v>
      </c>
      <c r="B1243" s="6" t="str">
        <f>IFERROR(__xludf.DUMMYFUNCTION("""COMPUTED_VALUE"""),"9")</f>
        <v>9</v>
      </c>
      <c r="C1243" s="6" t="str">
        <f>IFERROR(__xludf.DUMMYFUNCTION("""COMPUTED_VALUE"""),"1464")</f>
        <v>1464</v>
      </c>
      <c r="D1243" s="6" t="str">
        <f>IFERROR(__xludf.DUMMYFUNCTION("""COMPUTED_VALUE"""),"Alexei")</f>
        <v>Alexei</v>
      </c>
      <c r="E1243" s="6" t="str">
        <f>IFERROR(__xludf.DUMMYFUNCTION("""COMPUTED_VALUE"""),"")</f>
        <v/>
      </c>
      <c r="F1243" s="6" t="str">
        <f>IFERROR(__xludf.DUMMYFUNCTION("""COMPUTED_VALUE"""),"Zadneprovsky")</f>
        <v>Zadneprovsky</v>
      </c>
      <c r="G1243" s="6" t="str">
        <f>IFERROR(__xludf.DUMMYFUNCTION("""COMPUTED_VALUE"""),"01/01/2010")</f>
        <v>01/01/2010</v>
      </c>
      <c r="H1243" s="6" t="str">
        <f>IFERROR(__xludf.DUMMYFUNCTION("""COMPUTED_VALUE"""),"Self Identify")</f>
        <v>Self Identify</v>
      </c>
      <c r="I1243" s="6" t="str">
        <f>IFERROR(__xludf.DUMMYFUNCTION("""COMPUTED_VALUE"""),"High School")</f>
        <v>High School</v>
      </c>
      <c r="J1243" s="6" t="str">
        <f>IFERROR(__xludf.DUMMYFUNCTION("""COMPUTED_VALUE"""),"9")</f>
        <v>9</v>
      </c>
      <c r="K1243" s="6" t="str">
        <f>IFERROR(__xludf.DUMMYFUNCTION("""COMPUTED_VALUE"""),"alexei.zadneprovsky@2hourlearning.com")</f>
        <v>alexei.zadneprovsky@2hourlearning.com</v>
      </c>
      <c r="L1243" s="6" t="str">
        <f>IFERROR(__xludf.DUMMYFUNCTION("""COMPUTED_VALUE"""),"Learn and Earn Poland")</f>
        <v>Learn and Earn Poland</v>
      </c>
      <c r="M1243" s="6" t="str">
        <f>IFERROR(__xludf.DUMMYFUNCTION("""COMPUTED_VALUE"""),"Poland ex-GTS")</f>
        <v>Poland ex-GTS</v>
      </c>
      <c r="N1243" s="6" t="str">
        <f>IFERROR(__xludf.DUMMYFUNCTION("""COMPUTED_VALUE"""),"")</f>
        <v/>
      </c>
      <c r="O1243" s="87" t="str">
        <f>IFERROR(__xludf.DUMMYFUNCTION("""COMPUTED_VALUE"""),"https://drive.google.com/drive/folders/10T2cTQHqEJZqE-st6uFKPoI?usp=share_link")</f>
        <v>https://drive.google.com/drive/folders/10T2cTQHqEJZqE-st6uFKPoI?usp=share_link</v>
      </c>
      <c r="P1243" s="6" t="str">
        <f>IFERROR(__xludf.DUMMYFUNCTION("""COMPUTED_VALUE"""),"Alexei Zadneprovsky")</f>
        <v>Alexei Zadneprovsky</v>
      </c>
      <c r="Q1243" s="6" t="str">
        <f>IFERROR(__xludf.DUMMYFUNCTION("""COMPUTED_VALUE"""),"HS")</f>
        <v>HS</v>
      </c>
      <c r="R1243" s="6">
        <f>IFERROR(__xludf.DUMMYFUNCTION("""COMPUTED_VALUE"""),0.0)</f>
        <v>0</v>
      </c>
      <c r="S1243" s="6" t="str">
        <f>IFERROR(__xludf.DUMMYFUNCTION("""COMPUTED_VALUE""")," ")</f>
        <v> </v>
      </c>
      <c r="T1243" s="6" t="str">
        <f>IFERROR(__xludf.DUMMYFUNCTION("""COMPUTED_VALUE"""),"")</f>
        <v/>
      </c>
      <c r="U1243" s="6" t="str">
        <f>IFERROR(__xludf.DUMMYFUNCTION("""COMPUTED_VALUE"""),"9")</f>
        <v>9</v>
      </c>
      <c r="V1243" s="6" t="str">
        <f>IFERROR(__xludf.DUMMYFUNCTION("""COMPUTED_VALUE"""),"English")</f>
        <v>English</v>
      </c>
      <c r="W1243" s="6" t="str">
        <f>IFERROR(__xludf.DUMMYFUNCTION("""COMPUTED_VALUE"""),"[]")</f>
        <v>[]</v>
      </c>
      <c r="X1243" s="6" t="str">
        <f>IFERROR(__xludf.DUMMYFUNCTION("""COMPUTED_VALUE"""),"Enrolled")</f>
        <v>Enrolled</v>
      </c>
    </row>
    <row r="1244">
      <c r="A1244" s="6" t="str">
        <f>IFERROR(__xludf.DUMMYFUNCTION("""COMPUTED_VALUE"""),"009-1465")</f>
        <v>009-1465</v>
      </c>
      <c r="B1244" s="6" t="str">
        <f>IFERROR(__xludf.DUMMYFUNCTION("""COMPUTED_VALUE"""),"9")</f>
        <v>9</v>
      </c>
      <c r="C1244" s="6" t="str">
        <f>IFERROR(__xludf.DUMMYFUNCTION("""COMPUTED_VALUE"""),"1465")</f>
        <v>1465</v>
      </c>
      <c r="D1244" s="6" t="str">
        <f>IFERROR(__xludf.DUMMYFUNCTION("""COMPUTED_VALUE"""),"Yevheniia")</f>
        <v>Yevheniia</v>
      </c>
      <c r="E1244" s="6" t="str">
        <f>IFERROR(__xludf.DUMMYFUNCTION("""COMPUTED_VALUE"""),"")</f>
        <v/>
      </c>
      <c r="F1244" s="6" t="str">
        <f>IFERROR(__xludf.DUMMYFUNCTION("""COMPUTED_VALUE"""),"Chernenko")</f>
        <v>Chernenko</v>
      </c>
      <c r="G1244" s="6" t="str">
        <f>IFERROR(__xludf.DUMMYFUNCTION("""COMPUTED_VALUE"""),"01/01/2010")</f>
        <v>01/01/2010</v>
      </c>
      <c r="H1244" s="6" t="str">
        <f>IFERROR(__xludf.DUMMYFUNCTION("""COMPUTED_VALUE"""),"Self Identify")</f>
        <v>Self Identify</v>
      </c>
      <c r="I1244" s="6" t="str">
        <f>IFERROR(__xludf.DUMMYFUNCTION("""COMPUTED_VALUE"""),"High School")</f>
        <v>High School</v>
      </c>
      <c r="J1244" s="6" t="str">
        <f>IFERROR(__xludf.DUMMYFUNCTION("""COMPUTED_VALUE"""),"9")</f>
        <v>9</v>
      </c>
      <c r="K1244" s="6" t="str">
        <f>IFERROR(__xludf.DUMMYFUNCTION("""COMPUTED_VALUE"""),"yevheniia.chernenko@2hourlearning.com")</f>
        <v>yevheniia.chernenko@2hourlearning.com</v>
      </c>
      <c r="L1244" s="6" t="str">
        <f>IFERROR(__xludf.DUMMYFUNCTION("""COMPUTED_VALUE"""),"Learn and Earn Poland")</f>
        <v>Learn and Earn Poland</v>
      </c>
      <c r="M1244" s="6" t="str">
        <f>IFERROR(__xludf.DUMMYFUNCTION("""COMPUTED_VALUE"""),"Poland ex-GTS")</f>
        <v>Poland ex-GTS</v>
      </c>
      <c r="N1244" s="6" t="str">
        <f>IFERROR(__xludf.DUMMYFUNCTION("""COMPUTED_VALUE"""),"")</f>
        <v/>
      </c>
      <c r="O1244" s="87" t="str">
        <f>IFERROR(__xludf.DUMMYFUNCTION("""COMPUTED_VALUE"""),"https://drive.google.com/drive/folders/10T2cTQHqEJZqE-st6uFKPoI?usp=share_link")</f>
        <v>https://drive.google.com/drive/folders/10T2cTQHqEJZqE-st6uFKPoI?usp=share_link</v>
      </c>
      <c r="P1244" s="6" t="str">
        <f>IFERROR(__xludf.DUMMYFUNCTION("""COMPUTED_VALUE"""),"Yevheniia Chernenko")</f>
        <v>Yevheniia Chernenko</v>
      </c>
      <c r="Q1244" s="6" t="str">
        <f>IFERROR(__xludf.DUMMYFUNCTION("""COMPUTED_VALUE"""),"HS")</f>
        <v>HS</v>
      </c>
      <c r="R1244" s="6">
        <f>IFERROR(__xludf.DUMMYFUNCTION("""COMPUTED_VALUE"""),0.0)</f>
        <v>0</v>
      </c>
      <c r="S1244" s="6" t="str">
        <f>IFERROR(__xludf.DUMMYFUNCTION("""COMPUTED_VALUE""")," ")</f>
        <v> </v>
      </c>
      <c r="T1244" s="6" t="str">
        <f>IFERROR(__xludf.DUMMYFUNCTION("""COMPUTED_VALUE"""),"")</f>
        <v/>
      </c>
      <c r="U1244" s="6" t="str">
        <f>IFERROR(__xludf.DUMMYFUNCTION("""COMPUTED_VALUE"""),"9")</f>
        <v>9</v>
      </c>
      <c r="V1244" s="6" t="str">
        <f>IFERROR(__xludf.DUMMYFUNCTION("""COMPUTED_VALUE"""),"English")</f>
        <v>English</v>
      </c>
      <c r="W1244" s="6" t="str">
        <f>IFERROR(__xludf.DUMMYFUNCTION("""COMPUTED_VALUE"""),"[]")</f>
        <v>[]</v>
      </c>
      <c r="X1244" s="6" t="str">
        <f>IFERROR(__xludf.DUMMYFUNCTION("""COMPUTED_VALUE"""),"Enrolled")</f>
        <v>Enrolled</v>
      </c>
    </row>
    <row r="1245">
      <c r="A1245" s="6" t="str">
        <f>IFERROR(__xludf.DUMMYFUNCTION("""COMPUTED_VALUE"""),"009-1466")</f>
        <v>009-1466</v>
      </c>
      <c r="B1245" s="6" t="str">
        <f>IFERROR(__xludf.DUMMYFUNCTION("""COMPUTED_VALUE"""),"9")</f>
        <v>9</v>
      </c>
      <c r="C1245" s="6" t="str">
        <f>IFERROR(__xludf.DUMMYFUNCTION("""COMPUTED_VALUE"""),"1466")</f>
        <v>1466</v>
      </c>
      <c r="D1245" s="6" t="str">
        <f>IFERROR(__xludf.DUMMYFUNCTION("""COMPUTED_VALUE"""),"Kryvenets")</f>
        <v>Kryvenets</v>
      </c>
      <c r="E1245" s="6" t="str">
        <f>IFERROR(__xludf.DUMMYFUNCTION("""COMPUTED_VALUE"""),"")</f>
        <v/>
      </c>
      <c r="F1245" s="6" t="str">
        <f>IFERROR(__xludf.DUMMYFUNCTION("""COMPUTED_VALUE"""),"Yevheniia")</f>
        <v>Yevheniia</v>
      </c>
      <c r="G1245" s="6" t="str">
        <f>IFERROR(__xludf.DUMMYFUNCTION("""COMPUTED_VALUE"""),"01/01/2013")</f>
        <v>01/01/2013</v>
      </c>
      <c r="H1245" s="6" t="str">
        <f>IFERROR(__xludf.DUMMYFUNCTION("""COMPUTED_VALUE"""),"Self Identify")</f>
        <v>Self Identify</v>
      </c>
      <c r="I1245" s="6" t="str">
        <f>IFERROR(__xludf.DUMMYFUNCTION("""COMPUTED_VALUE"""),"Middle School")</f>
        <v>Middle School</v>
      </c>
      <c r="J1245" s="6" t="str">
        <f>IFERROR(__xludf.DUMMYFUNCTION("""COMPUTED_VALUE"""),"6")</f>
        <v>6</v>
      </c>
      <c r="K1245" s="6" t="str">
        <f>IFERROR(__xludf.DUMMYFUNCTION("""COMPUTED_VALUE"""),"kryvenets.yevheniia@2hourlearning.com")</f>
        <v>kryvenets.yevheniia@2hourlearning.com</v>
      </c>
      <c r="L1245" s="6" t="str">
        <f>IFERROR(__xludf.DUMMYFUNCTION("""COMPUTED_VALUE"""),"Learn and Earn Poland")</f>
        <v>Learn and Earn Poland</v>
      </c>
      <c r="M1245" s="6" t="str">
        <f>IFERROR(__xludf.DUMMYFUNCTION("""COMPUTED_VALUE"""),"Poland ex-GTS")</f>
        <v>Poland ex-GTS</v>
      </c>
      <c r="N1245" s="6" t="str">
        <f>IFERROR(__xludf.DUMMYFUNCTION("""COMPUTED_VALUE"""),"")</f>
        <v/>
      </c>
      <c r="O1245" s="87" t="str">
        <f>IFERROR(__xludf.DUMMYFUNCTION("""COMPUTED_VALUE"""),"https://drive.google.com/drive/folders/10T2cTQHqEJZqE-st6uFKPoI?usp=share_link")</f>
        <v>https://drive.google.com/drive/folders/10T2cTQHqEJZqE-st6uFKPoI?usp=share_link</v>
      </c>
      <c r="P1245" s="6" t="str">
        <f>IFERROR(__xludf.DUMMYFUNCTION("""COMPUTED_VALUE"""),"Kryvenets Yevheniia")</f>
        <v>Kryvenets Yevheniia</v>
      </c>
      <c r="Q1245" s="6" t="str">
        <f>IFERROR(__xludf.DUMMYFUNCTION("""COMPUTED_VALUE"""),"MS")</f>
        <v>MS</v>
      </c>
      <c r="R1245" s="6">
        <f>IFERROR(__xludf.DUMMYFUNCTION("""COMPUTED_VALUE"""),0.0)</f>
        <v>0</v>
      </c>
      <c r="S1245" s="6" t="str">
        <f>IFERROR(__xludf.DUMMYFUNCTION("""COMPUTED_VALUE""")," ")</f>
        <v> </v>
      </c>
      <c r="T1245" s="6" t="str">
        <f>IFERROR(__xludf.DUMMYFUNCTION("""COMPUTED_VALUE"""),"")</f>
        <v/>
      </c>
      <c r="U1245" s="6" t="str">
        <f>IFERROR(__xludf.DUMMYFUNCTION("""COMPUTED_VALUE"""),"6")</f>
        <v>6</v>
      </c>
      <c r="V1245" s="6" t="str">
        <f>IFERROR(__xludf.DUMMYFUNCTION("""COMPUTED_VALUE"""),"English")</f>
        <v>English</v>
      </c>
      <c r="W1245" s="6" t="str">
        <f>IFERROR(__xludf.DUMMYFUNCTION("""COMPUTED_VALUE"""),"[]")</f>
        <v>[]</v>
      </c>
      <c r="X1245" s="6" t="str">
        <f>IFERROR(__xludf.DUMMYFUNCTION("""COMPUTED_VALUE"""),"Enrolled")</f>
        <v>Enrolled</v>
      </c>
    </row>
    <row r="1246">
      <c r="A1246" s="6" t="str">
        <f>IFERROR(__xludf.DUMMYFUNCTION("""COMPUTED_VALUE"""),"009-1500")</f>
        <v>009-1500</v>
      </c>
      <c r="B1246" s="6" t="str">
        <f>IFERROR(__xludf.DUMMYFUNCTION("""COMPUTED_VALUE"""),"9")</f>
        <v>9</v>
      </c>
      <c r="C1246" s="6" t="str">
        <f>IFERROR(__xludf.DUMMYFUNCTION("""COMPUTED_VALUE"""),"1500")</f>
        <v>1500</v>
      </c>
      <c r="D1246" s="6" t="str">
        <f>IFERROR(__xludf.DUMMYFUNCTION("""COMPUTED_VALUE"""),"Kata")</f>
        <v>Kata</v>
      </c>
      <c r="E1246" s="6" t="str">
        <f>IFERROR(__xludf.DUMMYFUNCTION("""COMPUTED_VALUE"""),"")</f>
        <v/>
      </c>
      <c r="F1246" s="6" t="str">
        <f>IFERROR(__xludf.DUMMYFUNCTION("""COMPUTED_VALUE"""),"Szilagyi")</f>
        <v>Szilagyi</v>
      </c>
      <c r="G1246" s="6" t="str">
        <f>IFERROR(__xludf.DUMMYFUNCTION("""COMPUTED_VALUE"""),"04/01/2010")</f>
        <v>04/01/2010</v>
      </c>
      <c r="H1246" s="6" t="str">
        <f>IFERROR(__xludf.DUMMYFUNCTION("""COMPUTED_VALUE"""),"Self Identify")</f>
        <v>Self Identify</v>
      </c>
      <c r="I1246" s="6" t="str">
        <f>IFERROR(__xludf.DUMMYFUNCTION("""COMPUTED_VALUE"""),"Middle School")</f>
        <v>Middle School</v>
      </c>
      <c r="J1246" s="6" t="str">
        <f>IFERROR(__xludf.DUMMYFUNCTION("""COMPUTED_VALUE"""),"6")</f>
        <v>6</v>
      </c>
      <c r="K1246" s="6" t="str">
        <f>IFERROR(__xludf.DUMMYFUNCTION("""COMPUTED_VALUE"""),"kata.szilagyi@2hourlearning.com")</f>
        <v>kata.szilagyi@2hourlearning.com</v>
      </c>
      <c r="L1246" s="6" t="str">
        <f>IFERROR(__xludf.DUMMYFUNCTION("""COMPUTED_VALUE"""),"Learn and Earn Poland")</f>
        <v>Learn and Earn Poland</v>
      </c>
      <c r="M1246" s="6" t="str">
        <f>IFERROR(__xludf.DUMMYFUNCTION("""COMPUTED_VALUE"""),"Learn and Earn Buda")</f>
        <v>Learn and Earn Buda</v>
      </c>
      <c r="N1246" s="6" t="str">
        <f>IFERROR(__xludf.DUMMYFUNCTION("""COMPUTED_VALUE"""),"")</f>
        <v/>
      </c>
      <c r="O1246" s="87" t="str">
        <f>IFERROR(__xludf.DUMMYFUNCTION("""COMPUTED_VALUE"""),"https://drive.google.com/drive/folders/10T2cTQHqEJZqE-st6uFKPoI?usp=share_link")</f>
        <v>https://drive.google.com/drive/folders/10T2cTQHqEJZqE-st6uFKPoI?usp=share_link</v>
      </c>
      <c r="P1246" s="6" t="str">
        <f>IFERROR(__xludf.DUMMYFUNCTION("""COMPUTED_VALUE"""),"Kata Szilagyi")</f>
        <v>Kata Szilagyi</v>
      </c>
      <c r="Q1246" s="6" t="str">
        <f>IFERROR(__xludf.DUMMYFUNCTION("""COMPUTED_VALUE"""),"MS")</f>
        <v>MS</v>
      </c>
      <c r="R1246" s="6">
        <f>IFERROR(__xludf.DUMMYFUNCTION("""COMPUTED_VALUE"""),0.0)</f>
        <v>0</v>
      </c>
      <c r="S1246" s="6" t="str">
        <f>IFERROR(__xludf.DUMMYFUNCTION("""COMPUTED_VALUE""")," ")</f>
        <v> </v>
      </c>
      <c r="T1246" s="6" t="str">
        <f>IFERROR(__xludf.DUMMYFUNCTION("""COMPUTED_VALUE"""),"")</f>
        <v/>
      </c>
      <c r="U1246" s="6" t="str">
        <f>IFERROR(__xludf.DUMMYFUNCTION("""COMPUTED_VALUE"""),"6")</f>
        <v>6</v>
      </c>
      <c r="V1246" s="6" t="str">
        <f>IFERROR(__xludf.DUMMYFUNCTION("""COMPUTED_VALUE"""),"Ukrainian")</f>
        <v>Ukrainian</v>
      </c>
      <c r="W1246" s="6" t="str">
        <f>IFERROR(__xludf.DUMMYFUNCTION("""COMPUTED_VALUE"""),"[]")</f>
        <v>[]</v>
      </c>
      <c r="X1246" s="6" t="str">
        <f>IFERROR(__xludf.DUMMYFUNCTION("""COMPUTED_VALUE"""),"Enrolled")</f>
        <v>Enrolled</v>
      </c>
    </row>
    <row r="1247">
      <c r="A1247" s="6" t="str">
        <f>IFERROR(__xludf.DUMMYFUNCTION("""COMPUTED_VALUE"""),"009-1501")</f>
        <v>009-1501</v>
      </c>
      <c r="B1247" s="6" t="str">
        <f>IFERROR(__xludf.DUMMYFUNCTION("""COMPUTED_VALUE"""),"9")</f>
        <v>9</v>
      </c>
      <c r="C1247" s="6" t="str">
        <f>IFERROR(__xludf.DUMMYFUNCTION("""COMPUTED_VALUE"""),"1501")</f>
        <v>1501</v>
      </c>
      <c r="D1247" s="6" t="str">
        <f>IFERROR(__xludf.DUMMYFUNCTION("""COMPUTED_VALUE"""),"Taisia")</f>
        <v>Taisia</v>
      </c>
      <c r="E1247" s="6" t="str">
        <f>IFERROR(__xludf.DUMMYFUNCTION("""COMPUTED_VALUE"""),"")</f>
        <v/>
      </c>
      <c r="F1247" s="6" t="str">
        <f>IFERROR(__xludf.DUMMYFUNCTION("""COMPUTED_VALUE"""),"Gorobets")</f>
        <v>Gorobets</v>
      </c>
      <c r="G1247" s="6" t="str">
        <f>IFERROR(__xludf.DUMMYFUNCTION("""COMPUTED_VALUE"""),"01/01/2009")</f>
        <v>01/01/2009</v>
      </c>
      <c r="H1247" s="6" t="str">
        <f>IFERROR(__xludf.DUMMYFUNCTION("""COMPUTED_VALUE"""),"Self Identify")</f>
        <v>Self Identify</v>
      </c>
      <c r="I1247" s="6" t="str">
        <f>IFERROR(__xludf.DUMMYFUNCTION("""COMPUTED_VALUE"""),"High School")</f>
        <v>High School</v>
      </c>
      <c r="J1247" s="6" t="str">
        <f>IFERROR(__xludf.DUMMYFUNCTION("""COMPUTED_VALUE"""),"10")</f>
        <v>10</v>
      </c>
      <c r="K1247" s="6" t="str">
        <f>IFERROR(__xludf.DUMMYFUNCTION("""COMPUTED_VALUE"""),"taisia.gorobets@2hourlearning.com")</f>
        <v>taisia.gorobets@2hourlearning.com</v>
      </c>
      <c r="L1247" s="6" t="str">
        <f>IFERROR(__xludf.DUMMYFUNCTION("""COMPUTED_VALUE"""),"Learn and Earn Poland")</f>
        <v>Learn and Earn Poland</v>
      </c>
      <c r="M1247" s="6" t="str">
        <f>IFERROR(__xludf.DUMMYFUNCTION("""COMPUTED_VALUE"""),"Budapest ex-GTS")</f>
        <v>Budapest ex-GTS</v>
      </c>
      <c r="N1247" s="6" t="str">
        <f>IFERROR(__xludf.DUMMYFUNCTION("""COMPUTED_VALUE"""),"")</f>
        <v/>
      </c>
      <c r="O1247" s="87" t="str">
        <f>IFERROR(__xludf.DUMMYFUNCTION("""COMPUTED_VALUE"""),"https://drive.google.com/drive/folders/10T2cTQHqEJZqE-st6uFKPoI?usp=share_link")</f>
        <v>https://drive.google.com/drive/folders/10T2cTQHqEJZqE-st6uFKPoI?usp=share_link</v>
      </c>
      <c r="P1247" s="6" t="str">
        <f>IFERROR(__xludf.DUMMYFUNCTION("""COMPUTED_VALUE"""),"Taisia Gorobets")</f>
        <v>Taisia Gorobets</v>
      </c>
      <c r="Q1247" s="6" t="str">
        <f>IFERROR(__xludf.DUMMYFUNCTION("""COMPUTED_VALUE"""),"HS")</f>
        <v>HS</v>
      </c>
      <c r="R1247" s="6">
        <f>IFERROR(__xludf.DUMMYFUNCTION("""COMPUTED_VALUE"""),0.0)</f>
        <v>0</v>
      </c>
      <c r="S1247" s="6" t="str">
        <f>IFERROR(__xludf.DUMMYFUNCTION("""COMPUTED_VALUE""")," ")</f>
        <v> </v>
      </c>
      <c r="T1247" s="6" t="str">
        <f>IFERROR(__xludf.DUMMYFUNCTION("""COMPUTED_VALUE"""),"")</f>
        <v/>
      </c>
      <c r="U1247" s="6" t="str">
        <f>IFERROR(__xludf.DUMMYFUNCTION("""COMPUTED_VALUE"""),"10")</f>
        <v>10</v>
      </c>
      <c r="V1247" s="6" t="str">
        <f>IFERROR(__xludf.DUMMYFUNCTION("""COMPUTED_VALUE"""),"English")</f>
        <v>English</v>
      </c>
      <c r="W1247" s="6" t="str">
        <f>IFERROR(__xludf.DUMMYFUNCTION("""COMPUTED_VALUE"""),"[]")</f>
        <v>[]</v>
      </c>
      <c r="X1247" s="6" t="str">
        <f>IFERROR(__xludf.DUMMYFUNCTION("""COMPUTED_VALUE"""),"Enrolled")</f>
        <v>Enrolled</v>
      </c>
    </row>
    <row r="1248">
      <c r="A1248" s="6" t="str">
        <f>IFERROR(__xludf.DUMMYFUNCTION("""COMPUTED_VALUE"""),"009-1502")</f>
        <v>009-1502</v>
      </c>
      <c r="B1248" s="6" t="str">
        <f>IFERROR(__xludf.DUMMYFUNCTION("""COMPUTED_VALUE"""),"9")</f>
        <v>9</v>
      </c>
      <c r="C1248" s="6" t="str">
        <f>IFERROR(__xludf.DUMMYFUNCTION("""COMPUTED_VALUE"""),"1502")</f>
        <v>1502</v>
      </c>
      <c r="D1248" s="6" t="str">
        <f>IFERROR(__xludf.DUMMYFUNCTION("""COMPUTED_VALUE"""),"Viktoriia")</f>
        <v>Viktoriia</v>
      </c>
      <c r="E1248" s="6" t="str">
        <f>IFERROR(__xludf.DUMMYFUNCTION("""COMPUTED_VALUE"""),"")</f>
        <v/>
      </c>
      <c r="F1248" s="6" t="str">
        <f>IFERROR(__xludf.DUMMYFUNCTION("""COMPUTED_VALUE"""),"Romanova")</f>
        <v>Romanova</v>
      </c>
      <c r="G1248" s="6" t="str">
        <f>IFERROR(__xludf.DUMMYFUNCTION("""COMPUTED_VALUE"""),"01/01/2009")</f>
        <v>01/01/2009</v>
      </c>
      <c r="H1248" s="6" t="str">
        <f>IFERROR(__xludf.DUMMYFUNCTION("""COMPUTED_VALUE"""),"Self Identify")</f>
        <v>Self Identify</v>
      </c>
      <c r="I1248" s="6" t="str">
        <f>IFERROR(__xludf.DUMMYFUNCTION("""COMPUTED_VALUE"""),"High School")</f>
        <v>High School</v>
      </c>
      <c r="J1248" s="6" t="str">
        <f>IFERROR(__xludf.DUMMYFUNCTION("""COMPUTED_VALUE"""),"10")</f>
        <v>10</v>
      </c>
      <c r="K1248" s="6" t="str">
        <f>IFERROR(__xludf.DUMMYFUNCTION("""COMPUTED_VALUE"""),"viktoriia.romanova@2hourlearning.com")</f>
        <v>viktoriia.romanova@2hourlearning.com</v>
      </c>
      <c r="L1248" s="6" t="str">
        <f>IFERROR(__xludf.DUMMYFUNCTION("""COMPUTED_VALUE"""),"Learn and Earn Poland")</f>
        <v>Learn and Earn Poland</v>
      </c>
      <c r="M1248" s="6" t="str">
        <f>IFERROR(__xludf.DUMMYFUNCTION("""COMPUTED_VALUE"""),"Budapest ex-GTS")</f>
        <v>Budapest ex-GTS</v>
      </c>
      <c r="N1248" s="6" t="str">
        <f>IFERROR(__xludf.DUMMYFUNCTION("""COMPUTED_VALUE"""),"")</f>
        <v/>
      </c>
      <c r="O1248" s="87" t="str">
        <f>IFERROR(__xludf.DUMMYFUNCTION("""COMPUTED_VALUE"""),"https://drive.google.com/drive/folders/10T2cTQHqEJZqE-st6uFKPoI?usp=share_link")</f>
        <v>https://drive.google.com/drive/folders/10T2cTQHqEJZqE-st6uFKPoI?usp=share_link</v>
      </c>
      <c r="P1248" s="6" t="str">
        <f>IFERROR(__xludf.DUMMYFUNCTION("""COMPUTED_VALUE"""),"Viktoriia Romanova")</f>
        <v>Viktoriia Romanova</v>
      </c>
      <c r="Q1248" s="6" t="str">
        <f>IFERROR(__xludf.DUMMYFUNCTION("""COMPUTED_VALUE"""),"HS")</f>
        <v>HS</v>
      </c>
      <c r="R1248" s="6">
        <f>IFERROR(__xludf.DUMMYFUNCTION("""COMPUTED_VALUE"""),0.0)</f>
        <v>0</v>
      </c>
      <c r="S1248" s="6" t="str">
        <f>IFERROR(__xludf.DUMMYFUNCTION("""COMPUTED_VALUE""")," ")</f>
        <v> </v>
      </c>
      <c r="T1248" s="6" t="str">
        <f>IFERROR(__xludf.DUMMYFUNCTION("""COMPUTED_VALUE"""),"")</f>
        <v/>
      </c>
      <c r="U1248" s="6" t="str">
        <f>IFERROR(__xludf.DUMMYFUNCTION("""COMPUTED_VALUE"""),"10")</f>
        <v>10</v>
      </c>
      <c r="V1248" s="6" t="str">
        <f>IFERROR(__xludf.DUMMYFUNCTION("""COMPUTED_VALUE"""),"English")</f>
        <v>English</v>
      </c>
      <c r="W1248" s="6" t="str">
        <f>IFERROR(__xludf.DUMMYFUNCTION("""COMPUTED_VALUE"""),"[]")</f>
        <v>[]</v>
      </c>
      <c r="X1248" s="6" t="str">
        <f>IFERROR(__xludf.DUMMYFUNCTION("""COMPUTED_VALUE"""),"Enrolled")</f>
        <v>Enrolled</v>
      </c>
    </row>
    <row r="1249">
      <c r="A1249" s="6" t="str">
        <f>IFERROR(__xludf.DUMMYFUNCTION("""COMPUTED_VALUE"""),"009-1503")</f>
        <v>009-1503</v>
      </c>
      <c r="B1249" s="6" t="str">
        <f>IFERROR(__xludf.DUMMYFUNCTION("""COMPUTED_VALUE"""),"9")</f>
        <v>9</v>
      </c>
      <c r="C1249" s="6" t="str">
        <f>IFERROR(__xludf.DUMMYFUNCTION("""COMPUTED_VALUE"""),"1503")</f>
        <v>1503</v>
      </c>
      <c r="D1249" s="6" t="str">
        <f>IFERROR(__xludf.DUMMYFUNCTION("""COMPUTED_VALUE"""),"Vladyslav")</f>
        <v>Vladyslav</v>
      </c>
      <c r="E1249" s="6" t="str">
        <f>IFERROR(__xludf.DUMMYFUNCTION("""COMPUTED_VALUE"""),"")</f>
        <v/>
      </c>
      <c r="F1249" s="6" t="str">
        <f>IFERROR(__xludf.DUMMYFUNCTION("""COMPUTED_VALUE"""),"Vershkovskyy")</f>
        <v>Vershkovskyy</v>
      </c>
      <c r="G1249" s="6" t="str">
        <f>IFERROR(__xludf.DUMMYFUNCTION("""COMPUTED_VALUE"""),"01/01/2007")</f>
        <v>01/01/2007</v>
      </c>
      <c r="H1249" s="6" t="str">
        <f>IFERROR(__xludf.DUMMYFUNCTION("""COMPUTED_VALUE"""),"Self Identify")</f>
        <v>Self Identify</v>
      </c>
      <c r="I1249" s="6" t="str">
        <f>IFERROR(__xludf.DUMMYFUNCTION("""COMPUTED_VALUE"""),"High School")</f>
        <v>High School</v>
      </c>
      <c r="J1249" s="6" t="str">
        <f>IFERROR(__xludf.DUMMYFUNCTION("""COMPUTED_VALUE"""),"12")</f>
        <v>12</v>
      </c>
      <c r="K1249" s="6" t="str">
        <f>IFERROR(__xludf.DUMMYFUNCTION("""COMPUTED_VALUE"""),"vladyslav.vershkovskyy@2hourlearning.com")</f>
        <v>vladyslav.vershkovskyy@2hourlearning.com</v>
      </c>
      <c r="L1249" s="6" t="str">
        <f>IFERROR(__xludf.DUMMYFUNCTION("""COMPUTED_VALUE"""),"Learn and Earn Poland")</f>
        <v>Learn and Earn Poland</v>
      </c>
      <c r="M1249" s="6" t="str">
        <f>IFERROR(__xludf.DUMMYFUNCTION("""COMPUTED_VALUE"""),"Budapest Alpha")</f>
        <v>Budapest Alpha</v>
      </c>
      <c r="N1249" s="6" t="str">
        <f>IFERROR(__xludf.DUMMYFUNCTION("""COMPUTED_VALUE"""),"")</f>
        <v/>
      </c>
      <c r="O1249" s="87" t="str">
        <f>IFERROR(__xludf.DUMMYFUNCTION("""COMPUTED_VALUE"""),"https://drive.google.com/drive/folders/10T2cTQHqEJZqE-st6uFKPoI?usp=share_link")</f>
        <v>https://drive.google.com/drive/folders/10T2cTQHqEJZqE-st6uFKPoI?usp=share_link</v>
      </c>
      <c r="P1249" s="6" t="str">
        <f>IFERROR(__xludf.DUMMYFUNCTION("""COMPUTED_VALUE"""),"Vladyslav Vershkovskyy")</f>
        <v>Vladyslav Vershkovskyy</v>
      </c>
      <c r="Q1249" s="6" t="str">
        <f>IFERROR(__xludf.DUMMYFUNCTION("""COMPUTED_VALUE"""),"HS")</f>
        <v>HS</v>
      </c>
      <c r="R1249" s="6">
        <f>IFERROR(__xludf.DUMMYFUNCTION("""COMPUTED_VALUE"""),0.0)</f>
        <v>0</v>
      </c>
      <c r="S1249" s="6" t="str">
        <f>IFERROR(__xludf.DUMMYFUNCTION("""COMPUTED_VALUE""")," ")</f>
        <v> </v>
      </c>
      <c r="T1249" s="6" t="str">
        <f>IFERROR(__xludf.DUMMYFUNCTION("""COMPUTED_VALUE"""),"")</f>
        <v/>
      </c>
      <c r="U1249" s="6" t="str">
        <f>IFERROR(__xludf.DUMMYFUNCTION("""COMPUTED_VALUE"""),"12")</f>
        <v>12</v>
      </c>
      <c r="V1249" s="6" t="str">
        <f>IFERROR(__xludf.DUMMYFUNCTION("""COMPUTED_VALUE"""),"English")</f>
        <v>English</v>
      </c>
      <c r="W1249" s="6" t="str">
        <f>IFERROR(__xludf.DUMMYFUNCTION("""COMPUTED_VALUE"""),"[]")</f>
        <v>[]</v>
      </c>
      <c r="X1249" s="6" t="str">
        <f>IFERROR(__xludf.DUMMYFUNCTION("""COMPUTED_VALUE"""),"Enrolled")</f>
        <v>Enrolled</v>
      </c>
    </row>
    <row r="1250">
      <c r="A1250" s="6" t="str">
        <f>IFERROR(__xludf.DUMMYFUNCTION("""COMPUTED_VALUE"""),"009-1504")</f>
        <v>009-1504</v>
      </c>
      <c r="B1250" s="6" t="str">
        <f>IFERROR(__xludf.DUMMYFUNCTION("""COMPUTED_VALUE"""),"9")</f>
        <v>9</v>
      </c>
      <c r="C1250" s="6" t="str">
        <f>IFERROR(__xludf.DUMMYFUNCTION("""COMPUTED_VALUE"""),"1504")</f>
        <v>1504</v>
      </c>
      <c r="D1250" s="6" t="str">
        <f>IFERROR(__xludf.DUMMYFUNCTION("""COMPUTED_VALUE"""),"Andras")</f>
        <v>Andras</v>
      </c>
      <c r="E1250" s="6" t="str">
        <f>IFERROR(__xludf.DUMMYFUNCTION("""COMPUTED_VALUE"""),"")</f>
        <v/>
      </c>
      <c r="F1250" s="6" t="str">
        <f>IFERROR(__xludf.DUMMYFUNCTION("""COMPUTED_VALUE"""),"Horvat")</f>
        <v>Horvat</v>
      </c>
      <c r="G1250" s="6" t="str">
        <f>IFERROR(__xludf.DUMMYFUNCTION("""COMPUTED_VALUE"""),"01/01/2011")</f>
        <v>01/01/2011</v>
      </c>
      <c r="H1250" s="6" t="str">
        <f>IFERROR(__xludf.DUMMYFUNCTION("""COMPUTED_VALUE"""),"Self Identify")</f>
        <v>Self Identify</v>
      </c>
      <c r="I1250" s="6" t="str">
        <f>IFERROR(__xludf.DUMMYFUNCTION("""COMPUTED_VALUE"""),"Middle School")</f>
        <v>Middle School</v>
      </c>
      <c r="J1250" s="6" t="str">
        <f>IFERROR(__xludf.DUMMYFUNCTION("""COMPUTED_VALUE"""),"8")</f>
        <v>8</v>
      </c>
      <c r="K1250" s="6" t="str">
        <f>IFERROR(__xludf.DUMMYFUNCTION("""COMPUTED_VALUE"""),"andras.horvat@2hourlearning.com")</f>
        <v>andras.horvat@2hourlearning.com</v>
      </c>
      <c r="L1250" s="6" t="str">
        <f>IFERROR(__xludf.DUMMYFUNCTION("""COMPUTED_VALUE"""),"Learn and Earn Poland")</f>
        <v>Learn and Earn Poland</v>
      </c>
      <c r="M1250" s="6" t="str">
        <f>IFERROR(__xludf.DUMMYFUNCTION("""COMPUTED_VALUE"""),"Budapest Alpha")</f>
        <v>Budapest Alpha</v>
      </c>
      <c r="N1250" s="6" t="str">
        <f>IFERROR(__xludf.DUMMYFUNCTION("""COMPUTED_VALUE"""),"")</f>
        <v/>
      </c>
      <c r="O1250" s="87" t="str">
        <f>IFERROR(__xludf.DUMMYFUNCTION("""COMPUTED_VALUE"""),"https://drive.google.com/drive/folders/10T2cTQHqEJZqE-st6uFKPoI?usp=share_link")</f>
        <v>https://drive.google.com/drive/folders/10T2cTQHqEJZqE-st6uFKPoI?usp=share_link</v>
      </c>
      <c r="P1250" s="6" t="str">
        <f>IFERROR(__xludf.DUMMYFUNCTION("""COMPUTED_VALUE"""),"Andras Horvat")</f>
        <v>Andras Horvat</v>
      </c>
      <c r="Q1250" s="6" t="str">
        <f>IFERROR(__xludf.DUMMYFUNCTION("""COMPUTED_VALUE"""),"MS")</f>
        <v>MS</v>
      </c>
      <c r="R1250" s="6">
        <f>IFERROR(__xludf.DUMMYFUNCTION("""COMPUTED_VALUE"""),0.0)</f>
        <v>0</v>
      </c>
      <c r="S1250" s="6" t="str">
        <f>IFERROR(__xludf.DUMMYFUNCTION("""COMPUTED_VALUE""")," ")</f>
        <v> </v>
      </c>
      <c r="T1250" s="6" t="str">
        <f>IFERROR(__xludf.DUMMYFUNCTION("""COMPUTED_VALUE"""),"")</f>
        <v/>
      </c>
      <c r="U1250" s="6" t="str">
        <f>IFERROR(__xludf.DUMMYFUNCTION("""COMPUTED_VALUE"""),"8")</f>
        <v>8</v>
      </c>
      <c r="V1250" s="6" t="str">
        <f>IFERROR(__xludf.DUMMYFUNCTION("""COMPUTED_VALUE"""),"English")</f>
        <v>English</v>
      </c>
      <c r="W1250" s="6" t="str">
        <f>IFERROR(__xludf.DUMMYFUNCTION("""COMPUTED_VALUE"""),"[]")</f>
        <v>[]</v>
      </c>
      <c r="X1250" s="6" t="str">
        <f>IFERROR(__xludf.DUMMYFUNCTION("""COMPUTED_VALUE"""),"Enrolled")</f>
        <v>Enrolled</v>
      </c>
    </row>
    <row r="1251">
      <c r="A1251" s="6" t="str">
        <f>IFERROR(__xludf.DUMMYFUNCTION("""COMPUTED_VALUE"""),"009-1505")</f>
        <v>009-1505</v>
      </c>
      <c r="B1251" s="6" t="str">
        <f>IFERROR(__xludf.DUMMYFUNCTION("""COMPUTED_VALUE"""),"9")</f>
        <v>9</v>
      </c>
      <c r="C1251" s="6" t="str">
        <f>IFERROR(__xludf.DUMMYFUNCTION("""COMPUTED_VALUE"""),"1505")</f>
        <v>1505</v>
      </c>
      <c r="D1251" s="6" t="str">
        <f>IFERROR(__xludf.DUMMYFUNCTION("""COMPUTED_VALUE"""),"Vladislav")</f>
        <v>Vladislav</v>
      </c>
      <c r="E1251" s="6" t="str">
        <f>IFERROR(__xludf.DUMMYFUNCTION("""COMPUTED_VALUE"""),"")</f>
        <v/>
      </c>
      <c r="F1251" s="6" t="str">
        <f>IFERROR(__xludf.DUMMYFUNCTION("""COMPUTED_VALUE"""),"Khmel")</f>
        <v>Khmel</v>
      </c>
      <c r="G1251" s="6" t="str">
        <f>IFERROR(__xludf.DUMMYFUNCTION("""COMPUTED_VALUE"""),"01/01/2014")</f>
        <v>01/01/2014</v>
      </c>
      <c r="H1251" s="6" t="str">
        <f>IFERROR(__xludf.DUMMYFUNCTION("""COMPUTED_VALUE"""),"Self Identify")</f>
        <v>Self Identify</v>
      </c>
      <c r="I1251" s="6" t="str">
        <f>IFERROR(__xludf.DUMMYFUNCTION("""COMPUTED_VALUE"""),"Level 2")</f>
        <v>Level 2</v>
      </c>
      <c r="J1251" s="6" t="str">
        <f>IFERROR(__xludf.DUMMYFUNCTION("""COMPUTED_VALUE"""),"5")</f>
        <v>5</v>
      </c>
      <c r="K1251" s="6" t="str">
        <f>IFERROR(__xludf.DUMMYFUNCTION("""COMPUTED_VALUE"""),"vladislav.khmel@2hourlearning.com")</f>
        <v>vladislav.khmel@2hourlearning.com</v>
      </c>
      <c r="L1251" s="6" t="str">
        <f>IFERROR(__xludf.DUMMYFUNCTION("""COMPUTED_VALUE"""),"Learn and Earn Poland")</f>
        <v>Learn and Earn Poland</v>
      </c>
      <c r="M1251" s="6" t="str">
        <f>IFERROR(__xludf.DUMMYFUNCTION("""COMPUTED_VALUE"""),"Budapest ex-GTS")</f>
        <v>Budapest ex-GTS</v>
      </c>
      <c r="N1251" s="6" t="str">
        <f>IFERROR(__xludf.DUMMYFUNCTION("""COMPUTED_VALUE"""),"")</f>
        <v/>
      </c>
      <c r="O1251" s="87" t="str">
        <f>IFERROR(__xludf.DUMMYFUNCTION("""COMPUTED_VALUE"""),"https://drive.google.com/drive/folders/10T2cTQHqEJZqE-st6uFKPoI?usp=share_link")</f>
        <v>https://drive.google.com/drive/folders/10T2cTQHqEJZqE-st6uFKPoI?usp=share_link</v>
      </c>
      <c r="P1251" s="6" t="str">
        <f>IFERROR(__xludf.DUMMYFUNCTION("""COMPUTED_VALUE"""),"Vladislav Khmel")</f>
        <v>Vladislav Khmel</v>
      </c>
      <c r="Q1251" s="6" t="str">
        <f>IFERROR(__xludf.DUMMYFUNCTION("""COMPUTED_VALUE"""),"L2")</f>
        <v>L2</v>
      </c>
      <c r="R1251" s="6">
        <f>IFERROR(__xludf.DUMMYFUNCTION("""COMPUTED_VALUE"""),2.0)</f>
        <v>2</v>
      </c>
      <c r="S1251" s="6" t="str">
        <f>IFERROR(__xludf.DUMMYFUNCTION("""COMPUTED_VALUE""")," ")</f>
        <v> </v>
      </c>
      <c r="T1251" s="6" t="str">
        <f>IFERROR(__xludf.DUMMYFUNCTION("""COMPUTED_VALUE"""),"")</f>
        <v/>
      </c>
      <c r="U1251" s="6" t="str">
        <f>IFERROR(__xludf.DUMMYFUNCTION("""COMPUTED_VALUE"""),"5")</f>
        <v>5</v>
      </c>
      <c r="V1251" s="6" t="str">
        <f>IFERROR(__xludf.DUMMYFUNCTION("""COMPUTED_VALUE"""),"English")</f>
        <v>English</v>
      </c>
      <c r="W1251" s="6" t="str">
        <f>IFERROR(__xludf.DUMMYFUNCTION("""COMPUTED_VALUE"""),"[]")</f>
        <v>[]</v>
      </c>
      <c r="X1251" s="6" t="str">
        <f>IFERROR(__xludf.DUMMYFUNCTION("""COMPUTED_VALUE"""),"Enrolled")</f>
        <v>Enrolled</v>
      </c>
    </row>
    <row r="1252">
      <c r="A1252" s="6" t="str">
        <f>IFERROR(__xludf.DUMMYFUNCTION("""COMPUTED_VALUE"""),"009-1506")</f>
        <v>009-1506</v>
      </c>
      <c r="B1252" s="6" t="str">
        <f>IFERROR(__xludf.DUMMYFUNCTION("""COMPUTED_VALUE"""),"9")</f>
        <v>9</v>
      </c>
      <c r="C1252" s="6" t="str">
        <f>IFERROR(__xludf.DUMMYFUNCTION("""COMPUTED_VALUE"""),"1506")</f>
        <v>1506</v>
      </c>
      <c r="D1252" s="6" t="str">
        <f>IFERROR(__xludf.DUMMYFUNCTION("""COMPUTED_VALUE"""),"Viktor")</f>
        <v>Viktor</v>
      </c>
      <c r="E1252" s="6" t="str">
        <f>IFERROR(__xludf.DUMMYFUNCTION("""COMPUTED_VALUE"""),"")</f>
        <v/>
      </c>
      <c r="F1252" s="6" t="str">
        <f>IFERROR(__xludf.DUMMYFUNCTION("""COMPUTED_VALUE"""),"Peter")</f>
        <v>Peter</v>
      </c>
      <c r="G1252" s="6" t="str">
        <f>IFERROR(__xludf.DUMMYFUNCTION("""COMPUTED_VALUE"""),"01/01/2014")</f>
        <v>01/01/2014</v>
      </c>
      <c r="H1252" s="6" t="str">
        <f>IFERROR(__xludf.DUMMYFUNCTION("""COMPUTED_VALUE"""),"Self Identify")</f>
        <v>Self Identify</v>
      </c>
      <c r="I1252" s="6" t="str">
        <f>IFERROR(__xludf.DUMMYFUNCTION("""COMPUTED_VALUE"""),"Level 2")</f>
        <v>Level 2</v>
      </c>
      <c r="J1252" s="6" t="str">
        <f>IFERROR(__xludf.DUMMYFUNCTION("""COMPUTED_VALUE"""),"5")</f>
        <v>5</v>
      </c>
      <c r="K1252" s="6" t="str">
        <f>IFERROR(__xludf.DUMMYFUNCTION("""COMPUTED_VALUE"""),"viktor.peter@2hourlearning.com")</f>
        <v>viktor.peter@2hourlearning.com</v>
      </c>
      <c r="L1252" s="6" t="str">
        <f>IFERROR(__xludf.DUMMYFUNCTION("""COMPUTED_VALUE"""),"Learn and Earn Poland")</f>
        <v>Learn and Earn Poland</v>
      </c>
      <c r="M1252" s="6" t="str">
        <f>IFERROR(__xludf.DUMMYFUNCTION("""COMPUTED_VALUE"""),"Budapest Alpha")</f>
        <v>Budapest Alpha</v>
      </c>
      <c r="N1252" s="6" t="str">
        <f>IFERROR(__xludf.DUMMYFUNCTION("""COMPUTED_VALUE"""),"")</f>
        <v/>
      </c>
      <c r="O1252" s="87" t="str">
        <f>IFERROR(__xludf.DUMMYFUNCTION("""COMPUTED_VALUE"""),"https://drive.google.com/drive/folders/10T2cTQHqEJZqE-st6uFKPoI?usp=share_link")</f>
        <v>https://drive.google.com/drive/folders/10T2cTQHqEJZqE-st6uFKPoI?usp=share_link</v>
      </c>
      <c r="P1252" s="6" t="str">
        <f>IFERROR(__xludf.DUMMYFUNCTION("""COMPUTED_VALUE"""),"Viktor Peter")</f>
        <v>Viktor Peter</v>
      </c>
      <c r="Q1252" s="6" t="str">
        <f>IFERROR(__xludf.DUMMYFUNCTION("""COMPUTED_VALUE"""),"L2")</f>
        <v>L2</v>
      </c>
      <c r="R1252" s="6">
        <f>IFERROR(__xludf.DUMMYFUNCTION("""COMPUTED_VALUE"""),2.0)</f>
        <v>2</v>
      </c>
      <c r="S1252" s="6" t="str">
        <f>IFERROR(__xludf.DUMMYFUNCTION("""COMPUTED_VALUE""")," ")</f>
        <v> </v>
      </c>
      <c r="T1252" s="6" t="str">
        <f>IFERROR(__xludf.DUMMYFUNCTION("""COMPUTED_VALUE"""),"")</f>
        <v/>
      </c>
      <c r="U1252" s="6" t="str">
        <f>IFERROR(__xludf.DUMMYFUNCTION("""COMPUTED_VALUE"""),"5")</f>
        <v>5</v>
      </c>
      <c r="V1252" s="6" t="str">
        <f>IFERROR(__xludf.DUMMYFUNCTION("""COMPUTED_VALUE"""),"English")</f>
        <v>English</v>
      </c>
      <c r="W1252" s="6" t="str">
        <f>IFERROR(__xludf.DUMMYFUNCTION("""COMPUTED_VALUE"""),"[]")</f>
        <v>[]</v>
      </c>
      <c r="X1252" s="6" t="str">
        <f>IFERROR(__xludf.DUMMYFUNCTION("""COMPUTED_VALUE"""),"Enrolled")</f>
        <v>Enrolled</v>
      </c>
    </row>
    <row r="1253">
      <c r="A1253" s="6" t="str">
        <f>IFERROR(__xludf.DUMMYFUNCTION("""COMPUTED_VALUE"""),"009-1507")</f>
        <v>009-1507</v>
      </c>
      <c r="B1253" s="6" t="str">
        <f>IFERROR(__xludf.DUMMYFUNCTION("""COMPUTED_VALUE"""),"9")</f>
        <v>9</v>
      </c>
      <c r="C1253" s="6" t="str">
        <f>IFERROR(__xludf.DUMMYFUNCTION("""COMPUTED_VALUE"""),"1507")</f>
        <v>1507</v>
      </c>
      <c r="D1253" s="6" t="str">
        <f>IFERROR(__xludf.DUMMYFUNCTION("""COMPUTED_VALUE"""),"Marton")</f>
        <v>Marton</v>
      </c>
      <c r="E1253" s="6" t="str">
        <f>IFERROR(__xludf.DUMMYFUNCTION("""COMPUTED_VALUE"""),"")</f>
        <v/>
      </c>
      <c r="F1253" s="6" t="str">
        <f>IFERROR(__xludf.DUMMYFUNCTION("""COMPUTED_VALUE"""),"Percsi")</f>
        <v>Percsi</v>
      </c>
      <c r="G1253" s="6" t="str">
        <f>IFERROR(__xludf.DUMMYFUNCTION("""COMPUTED_VALUE"""),"01/01/2009")</f>
        <v>01/01/2009</v>
      </c>
      <c r="H1253" s="6" t="str">
        <f>IFERROR(__xludf.DUMMYFUNCTION("""COMPUTED_VALUE"""),"Self Identify")</f>
        <v>Self Identify</v>
      </c>
      <c r="I1253" s="6" t="str">
        <f>IFERROR(__xludf.DUMMYFUNCTION("""COMPUTED_VALUE"""),"High School")</f>
        <v>High School</v>
      </c>
      <c r="J1253" s="6" t="str">
        <f>IFERROR(__xludf.DUMMYFUNCTION("""COMPUTED_VALUE"""),"10")</f>
        <v>10</v>
      </c>
      <c r="K1253" s="6" t="str">
        <f>IFERROR(__xludf.DUMMYFUNCTION("""COMPUTED_VALUE"""),"marton.percsi@2hourlearning.com")</f>
        <v>marton.percsi@2hourlearning.com</v>
      </c>
      <c r="L1253" s="6" t="str">
        <f>IFERROR(__xludf.DUMMYFUNCTION("""COMPUTED_VALUE"""),"Learn and Earn Poland")</f>
        <v>Learn and Earn Poland</v>
      </c>
      <c r="M1253" s="6" t="str">
        <f>IFERROR(__xludf.DUMMYFUNCTION("""COMPUTED_VALUE"""),"Budapest Alpha")</f>
        <v>Budapest Alpha</v>
      </c>
      <c r="N1253" s="6" t="str">
        <f>IFERROR(__xludf.DUMMYFUNCTION("""COMPUTED_VALUE"""),"")</f>
        <v/>
      </c>
      <c r="O1253" s="87" t="str">
        <f>IFERROR(__xludf.DUMMYFUNCTION("""COMPUTED_VALUE"""),"https://drive.google.com/drive/folders/10T2cTQHqEJZqE-st6uFKPoI?usp=share_link")</f>
        <v>https://drive.google.com/drive/folders/10T2cTQHqEJZqE-st6uFKPoI?usp=share_link</v>
      </c>
      <c r="P1253" s="6" t="str">
        <f>IFERROR(__xludf.DUMMYFUNCTION("""COMPUTED_VALUE"""),"Marton Percsi")</f>
        <v>Marton Percsi</v>
      </c>
      <c r="Q1253" s="6" t="str">
        <f>IFERROR(__xludf.DUMMYFUNCTION("""COMPUTED_VALUE"""),"HS")</f>
        <v>HS</v>
      </c>
      <c r="R1253" s="6">
        <f>IFERROR(__xludf.DUMMYFUNCTION("""COMPUTED_VALUE"""),0.0)</f>
        <v>0</v>
      </c>
      <c r="S1253" s="6" t="str">
        <f>IFERROR(__xludf.DUMMYFUNCTION("""COMPUTED_VALUE""")," ")</f>
        <v> </v>
      </c>
      <c r="T1253" s="6" t="str">
        <f>IFERROR(__xludf.DUMMYFUNCTION("""COMPUTED_VALUE"""),"")</f>
        <v/>
      </c>
      <c r="U1253" s="6" t="str">
        <f>IFERROR(__xludf.DUMMYFUNCTION("""COMPUTED_VALUE"""),"10")</f>
        <v>10</v>
      </c>
      <c r="V1253" s="6" t="str">
        <f>IFERROR(__xludf.DUMMYFUNCTION("""COMPUTED_VALUE"""),"English")</f>
        <v>English</v>
      </c>
      <c r="W1253" s="6" t="str">
        <f>IFERROR(__xludf.DUMMYFUNCTION("""COMPUTED_VALUE"""),"[]")</f>
        <v>[]</v>
      </c>
      <c r="X1253" s="6" t="str">
        <f>IFERROR(__xludf.DUMMYFUNCTION("""COMPUTED_VALUE"""),"Enrolled")</f>
        <v>Enrolled</v>
      </c>
    </row>
    <row r="1254">
      <c r="A1254" s="6" t="str">
        <f>IFERROR(__xludf.DUMMYFUNCTION("""COMPUTED_VALUE"""),"009-1508")</f>
        <v>009-1508</v>
      </c>
      <c r="B1254" s="6" t="str">
        <f>IFERROR(__xludf.DUMMYFUNCTION("""COMPUTED_VALUE"""),"9")</f>
        <v>9</v>
      </c>
      <c r="C1254" s="6" t="str">
        <f>IFERROR(__xludf.DUMMYFUNCTION("""COMPUTED_VALUE"""),"1508")</f>
        <v>1508</v>
      </c>
      <c r="D1254" s="6" t="str">
        <f>IFERROR(__xludf.DUMMYFUNCTION("""COMPUTED_VALUE"""),"Oleh")</f>
        <v>Oleh</v>
      </c>
      <c r="E1254" s="6" t="str">
        <f>IFERROR(__xludf.DUMMYFUNCTION("""COMPUTED_VALUE"""),"")</f>
        <v/>
      </c>
      <c r="F1254" s="6" t="str">
        <f>IFERROR(__xludf.DUMMYFUNCTION("""COMPUTED_VALUE"""),"Piddubniak")</f>
        <v>Piddubniak</v>
      </c>
      <c r="G1254" s="6" t="str">
        <f>IFERROR(__xludf.DUMMYFUNCTION("""COMPUTED_VALUE"""),"01/01/2017")</f>
        <v>01/01/2017</v>
      </c>
      <c r="H1254" s="6" t="str">
        <f>IFERROR(__xludf.DUMMYFUNCTION("""COMPUTED_VALUE"""),"Self Identify")</f>
        <v>Self Identify</v>
      </c>
      <c r="I1254" s="6" t="str">
        <f>IFERROR(__xludf.DUMMYFUNCTION("""COMPUTED_VALUE"""),"Level 1")</f>
        <v>Level 1</v>
      </c>
      <c r="J1254" s="6" t="str">
        <f>IFERROR(__xludf.DUMMYFUNCTION("""COMPUTED_VALUE"""),"2")</f>
        <v>2</v>
      </c>
      <c r="K1254" s="6" t="str">
        <f>IFERROR(__xludf.DUMMYFUNCTION("""COMPUTED_VALUE"""),"piddubniak.oleh@2hourlearning.com")</f>
        <v>piddubniak.oleh@2hourlearning.com</v>
      </c>
      <c r="L1254" s="6" t="str">
        <f>IFERROR(__xludf.DUMMYFUNCTION("""COMPUTED_VALUE"""),"Learn and Earn Poland")</f>
        <v>Learn and Earn Poland</v>
      </c>
      <c r="M1254" s="6" t="str">
        <f>IFERROR(__xludf.DUMMYFUNCTION("""COMPUTED_VALUE"""),"Budapest ex-GTS")</f>
        <v>Budapest ex-GTS</v>
      </c>
      <c r="N1254" s="6" t="str">
        <f>IFERROR(__xludf.DUMMYFUNCTION("""COMPUTED_VALUE"""),"")</f>
        <v/>
      </c>
      <c r="O1254" s="87" t="str">
        <f>IFERROR(__xludf.DUMMYFUNCTION("""COMPUTED_VALUE"""),"https://drive.google.com/drive/folders/10T2cTQHqEJZqE-st6uFKPoI?usp=share_link")</f>
        <v>https://drive.google.com/drive/folders/10T2cTQHqEJZqE-st6uFKPoI?usp=share_link</v>
      </c>
      <c r="P1254" s="6" t="str">
        <f>IFERROR(__xludf.DUMMYFUNCTION("""COMPUTED_VALUE"""),"Oleh Piddubniak")</f>
        <v>Oleh Piddubniak</v>
      </c>
      <c r="Q1254" s="6" t="str">
        <f>IFERROR(__xludf.DUMMYFUNCTION("""COMPUTED_VALUE"""),"L1")</f>
        <v>L1</v>
      </c>
      <c r="R1254" s="6">
        <f>IFERROR(__xludf.DUMMYFUNCTION("""COMPUTED_VALUE"""),1.0)</f>
        <v>1</v>
      </c>
      <c r="S1254" s="6" t="str">
        <f>IFERROR(__xludf.DUMMYFUNCTION("""COMPUTED_VALUE""")," ")</f>
        <v> </v>
      </c>
      <c r="T1254" s="6" t="str">
        <f>IFERROR(__xludf.DUMMYFUNCTION("""COMPUTED_VALUE"""),"")</f>
        <v/>
      </c>
      <c r="U1254" s="6" t="str">
        <f>IFERROR(__xludf.DUMMYFUNCTION("""COMPUTED_VALUE"""),"2")</f>
        <v>2</v>
      </c>
      <c r="V1254" s="6" t="str">
        <f>IFERROR(__xludf.DUMMYFUNCTION("""COMPUTED_VALUE"""),"English")</f>
        <v>English</v>
      </c>
      <c r="W1254" s="6" t="str">
        <f>IFERROR(__xludf.DUMMYFUNCTION("""COMPUTED_VALUE"""),"[]")</f>
        <v>[]</v>
      </c>
      <c r="X1254" s="6" t="str">
        <f>IFERROR(__xludf.DUMMYFUNCTION("""COMPUTED_VALUE"""),"Enrolled")</f>
        <v>Enrolled</v>
      </c>
    </row>
    <row r="1255">
      <c r="A1255" s="6" t="str">
        <f>IFERROR(__xludf.DUMMYFUNCTION("""COMPUTED_VALUE"""),"009-1509")</f>
        <v>009-1509</v>
      </c>
      <c r="B1255" s="6" t="str">
        <f>IFERROR(__xludf.DUMMYFUNCTION("""COMPUTED_VALUE"""),"9")</f>
        <v>9</v>
      </c>
      <c r="C1255" s="6" t="str">
        <f>IFERROR(__xludf.DUMMYFUNCTION("""COMPUTED_VALUE"""),"1509")</f>
        <v>1509</v>
      </c>
      <c r="D1255" s="6" t="str">
        <f>IFERROR(__xludf.DUMMYFUNCTION("""COMPUTED_VALUE"""),"Mariia")</f>
        <v>Mariia</v>
      </c>
      <c r="E1255" s="6" t="str">
        <f>IFERROR(__xludf.DUMMYFUNCTION("""COMPUTED_VALUE"""),"")</f>
        <v/>
      </c>
      <c r="F1255" s="6" t="str">
        <f>IFERROR(__xludf.DUMMYFUNCTION("""COMPUTED_VALUE"""),"Sukhoparova")</f>
        <v>Sukhoparova</v>
      </c>
      <c r="G1255" s="6" t="str">
        <f>IFERROR(__xludf.DUMMYFUNCTION("""COMPUTED_VALUE"""),"01/01/2015")</f>
        <v>01/01/2015</v>
      </c>
      <c r="H1255" s="6" t="str">
        <f>IFERROR(__xludf.DUMMYFUNCTION("""COMPUTED_VALUE"""),"Self Identify")</f>
        <v>Self Identify</v>
      </c>
      <c r="I1255" s="6" t="str">
        <f>IFERROR(__xludf.DUMMYFUNCTION("""COMPUTED_VALUE"""),"Level 2")</f>
        <v>Level 2</v>
      </c>
      <c r="J1255" s="6" t="str">
        <f>IFERROR(__xludf.DUMMYFUNCTION("""COMPUTED_VALUE"""),"4")</f>
        <v>4</v>
      </c>
      <c r="K1255" s="6" t="str">
        <f>IFERROR(__xludf.DUMMYFUNCTION("""COMPUTED_VALUE"""),"mariia.sukhoparova@2hourlearning.com")</f>
        <v>mariia.sukhoparova@2hourlearning.com</v>
      </c>
      <c r="L1255" s="6" t="str">
        <f>IFERROR(__xludf.DUMMYFUNCTION("""COMPUTED_VALUE"""),"Learn and Earn Poland")</f>
        <v>Learn and Earn Poland</v>
      </c>
      <c r="M1255" s="6" t="str">
        <f>IFERROR(__xludf.DUMMYFUNCTION("""COMPUTED_VALUE"""),"Budapest ex-GTS")</f>
        <v>Budapest ex-GTS</v>
      </c>
      <c r="N1255" s="6" t="str">
        <f>IFERROR(__xludf.DUMMYFUNCTION("""COMPUTED_VALUE"""),"")</f>
        <v/>
      </c>
      <c r="O1255" s="87" t="str">
        <f>IFERROR(__xludf.DUMMYFUNCTION("""COMPUTED_VALUE"""),"https://drive.google.com/drive/folders/10T2cTQHqEJZqE-st6uFKPoI?usp=share_link")</f>
        <v>https://drive.google.com/drive/folders/10T2cTQHqEJZqE-st6uFKPoI?usp=share_link</v>
      </c>
      <c r="P1255" s="6" t="str">
        <f>IFERROR(__xludf.DUMMYFUNCTION("""COMPUTED_VALUE"""),"Mariia Sukhoparova")</f>
        <v>Mariia Sukhoparova</v>
      </c>
      <c r="Q1255" s="6" t="str">
        <f>IFERROR(__xludf.DUMMYFUNCTION("""COMPUTED_VALUE"""),"L2")</f>
        <v>L2</v>
      </c>
      <c r="R1255" s="6">
        <f>IFERROR(__xludf.DUMMYFUNCTION("""COMPUTED_VALUE"""),2.0)</f>
        <v>2</v>
      </c>
      <c r="S1255" s="6" t="str">
        <f>IFERROR(__xludf.DUMMYFUNCTION("""COMPUTED_VALUE""")," ")</f>
        <v> </v>
      </c>
      <c r="T1255" s="6" t="str">
        <f>IFERROR(__xludf.DUMMYFUNCTION("""COMPUTED_VALUE"""),"")</f>
        <v/>
      </c>
      <c r="U1255" s="6" t="str">
        <f>IFERROR(__xludf.DUMMYFUNCTION("""COMPUTED_VALUE"""),"4")</f>
        <v>4</v>
      </c>
      <c r="V1255" s="6" t="str">
        <f>IFERROR(__xludf.DUMMYFUNCTION("""COMPUTED_VALUE"""),"English")</f>
        <v>English</v>
      </c>
      <c r="W1255" s="6" t="str">
        <f>IFERROR(__xludf.DUMMYFUNCTION("""COMPUTED_VALUE"""),"[]")</f>
        <v>[]</v>
      </c>
      <c r="X1255" s="6" t="str">
        <f>IFERROR(__xludf.DUMMYFUNCTION("""COMPUTED_VALUE"""),"Enrolled")</f>
        <v>Enrolled</v>
      </c>
    </row>
    <row r="1256">
      <c r="A1256" s="6" t="str">
        <f>IFERROR(__xludf.DUMMYFUNCTION("""COMPUTED_VALUE"""),"009-1510")</f>
        <v>009-1510</v>
      </c>
      <c r="B1256" s="6" t="str">
        <f>IFERROR(__xludf.DUMMYFUNCTION("""COMPUTED_VALUE"""),"9")</f>
        <v>9</v>
      </c>
      <c r="C1256" s="6" t="str">
        <f>IFERROR(__xludf.DUMMYFUNCTION("""COMPUTED_VALUE"""),"1510")</f>
        <v>1510</v>
      </c>
      <c r="D1256" s="6" t="str">
        <f>IFERROR(__xludf.DUMMYFUNCTION("""COMPUTED_VALUE"""),"Deniel")</f>
        <v>Deniel</v>
      </c>
      <c r="E1256" s="6" t="str">
        <f>IFERROR(__xludf.DUMMYFUNCTION("""COMPUTED_VALUE"""),"")</f>
        <v/>
      </c>
      <c r="F1256" s="6" t="str">
        <f>IFERROR(__xludf.DUMMYFUNCTION("""COMPUTED_VALUE"""),"Habuniia")</f>
        <v>Habuniia</v>
      </c>
      <c r="G1256" s="6" t="str">
        <f>IFERROR(__xludf.DUMMYFUNCTION("""COMPUTED_VALUE"""),"01/01/2011")</f>
        <v>01/01/2011</v>
      </c>
      <c r="H1256" s="6" t="str">
        <f>IFERROR(__xludf.DUMMYFUNCTION("""COMPUTED_VALUE"""),"Self Identify")</f>
        <v>Self Identify</v>
      </c>
      <c r="I1256" s="6" t="str">
        <f>IFERROR(__xludf.DUMMYFUNCTION("""COMPUTED_VALUE"""),"Middle School")</f>
        <v>Middle School</v>
      </c>
      <c r="J1256" s="6" t="str">
        <f>IFERROR(__xludf.DUMMYFUNCTION("""COMPUTED_VALUE"""),"8")</f>
        <v>8</v>
      </c>
      <c r="K1256" s="6" t="str">
        <f>IFERROR(__xludf.DUMMYFUNCTION("""COMPUTED_VALUE"""),"deniel.habuniia@2hourlearning.com")</f>
        <v>deniel.habuniia@2hourlearning.com</v>
      </c>
      <c r="L1256" s="6" t="str">
        <f>IFERROR(__xludf.DUMMYFUNCTION("""COMPUTED_VALUE"""),"Learn and Earn Poland")</f>
        <v>Learn and Earn Poland</v>
      </c>
      <c r="M1256" s="6" t="str">
        <f>IFERROR(__xludf.DUMMYFUNCTION("""COMPUTED_VALUE"""),"Budapest Alpha")</f>
        <v>Budapest Alpha</v>
      </c>
      <c r="N1256" s="6" t="str">
        <f>IFERROR(__xludf.DUMMYFUNCTION("""COMPUTED_VALUE"""),"")</f>
        <v/>
      </c>
      <c r="O1256" s="87" t="str">
        <f>IFERROR(__xludf.DUMMYFUNCTION("""COMPUTED_VALUE"""),"https://drive.google.com/drive/folders/10T2cTQHqEJZqE-st6uFKPoI?usp=share_link")</f>
        <v>https://drive.google.com/drive/folders/10T2cTQHqEJZqE-st6uFKPoI?usp=share_link</v>
      </c>
      <c r="P1256" s="6" t="str">
        <f>IFERROR(__xludf.DUMMYFUNCTION("""COMPUTED_VALUE"""),"Deniel Habuniia")</f>
        <v>Deniel Habuniia</v>
      </c>
      <c r="Q1256" s="6" t="str">
        <f>IFERROR(__xludf.DUMMYFUNCTION("""COMPUTED_VALUE"""),"MS")</f>
        <v>MS</v>
      </c>
      <c r="R1256" s="6">
        <f>IFERROR(__xludf.DUMMYFUNCTION("""COMPUTED_VALUE"""),0.0)</f>
        <v>0</v>
      </c>
      <c r="S1256" s="6" t="str">
        <f>IFERROR(__xludf.DUMMYFUNCTION("""COMPUTED_VALUE""")," ")</f>
        <v> </v>
      </c>
      <c r="T1256" s="6" t="str">
        <f>IFERROR(__xludf.DUMMYFUNCTION("""COMPUTED_VALUE"""),"")</f>
        <v/>
      </c>
      <c r="U1256" s="6" t="str">
        <f>IFERROR(__xludf.DUMMYFUNCTION("""COMPUTED_VALUE"""),"8")</f>
        <v>8</v>
      </c>
      <c r="V1256" s="6" t="str">
        <f>IFERROR(__xludf.DUMMYFUNCTION("""COMPUTED_VALUE"""),"English")</f>
        <v>English</v>
      </c>
      <c r="W1256" s="6" t="str">
        <f>IFERROR(__xludf.DUMMYFUNCTION("""COMPUTED_VALUE"""),"[]")</f>
        <v>[]</v>
      </c>
      <c r="X1256" s="6" t="str">
        <f>IFERROR(__xludf.DUMMYFUNCTION("""COMPUTED_VALUE"""),"Enrolled")</f>
        <v>Enrolled</v>
      </c>
    </row>
    <row r="1257">
      <c r="A1257" s="6" t="str">
        <f>IFERROR(__xludf.DUMMYFUNCTION("""COMPUTED_VALUE"""),"009-1511")</f>
        <v>009-1511</v>
      </c>
      <c r="B1257" s="6" t="str">
        <f>IFERROR(__xludf.DUMMYFUNCTION("""COMPUTED_VALUE"""),"9")</f>
        <v>9</v>
      </c>
      <c r="C1257" s="6" t="str">
        <f>IFERROR(__xludf.DUMMYFUNCTION("""COMPUTED_VALUE"""),"1511")</f>
        <v>1511</v>
      </c>
      <c r="D1257" s="6" t="str">
        <f>IFERROR(__xludf.DUMMYFUNCTION("""COMPUTED_VALUE"""),"Eva")</f>
        <v>Eva</v>
      </c>
      <c r="E1257" s="6" t="str">
        <f>IFERROR(__xludf.DUMMYFUNCTION("""COMPUTED_VALUE"""),"")</f>
        <v/>
      </c>
      <c r="F1257" s="6" t="str">
        <f>IFERROR(__xludf.DUMMYFUNCTION("""COMPUTED_VALUE"""),"Kuliesh")</f>
        <v>Kuliesh</v>
      </c>
      <c r="G1257" s="6" t="str">
        <f>IFERROR(__xludf.DUMMYFUNCTION("""COMPUTED_VALUE"""),"01/01/2017")</f>
        <v>01/01/2017</v>
      </c>
      <c r="H1257" s="6" t="str">
        <f>IFERROR(__xludf.DUMMYFUNCTION("""COMPUTED_VALUE"""),"Self Identify")</f>
        <v>Self Identify</v>
      </c>
      <c r="I1257" s="6" t="str">
        <f>IFERROR(__xludf.DUMMYFUNCTION("""COMPUTED_VALUE"""),"Level 1")</f>
        <v>Level 1</v>
      </c>
      <c r="J1257" s="6" t="str">
        <f>IFERROR(__xludf.DUMMYFUNCTION("""COMPUTED_VALUE"""),"2")</f>
        <v>2</v>
      </c>
      <c r="K1257" s="6" t="str">
        <f>IFERROR(__xludf.DUMMYFUNCTION("""COMPUTED_VALUE"""),"eva.kuliesh@2hourlearning.com")</f>
        <v>eva.kuliesh@2hourlearning.com</v>
      </c>
      <c r="L1257" s="6" t="str">
        <f>IFERROR(__xludf.DUMMYFUNCTION("""COMPUTED_VALUE"""),"Learn and Earn Poland")</f>
        <v>Learn and Earn Poland</v>
      </c>
      <c r="M1257" s="6" t="str">
        <f>IFERROR(__xludf.DUMMYFUNCTION("""COMPUTED_VALUE"""),"Budapest Alpha")</f>
        <v>Budapest Alpha</v>
      </c>
      <c r="N1257" s="6" t="str">
        <f>IFERROR(__xludf.DUMMYFUNCTION("""COMPUTED_VALUE"""),"")</f>
        <v/>
      </c>
      <c r="O1257" s="87" t="str">
        <f>IFERROR(__xludf.DUMMYFUNCTION("""COMPUTED_VALUE"""),"https://drive.google.com/drive/folders/10T2cTQHqEJZqE-st6uFKPoI?usp=share_link")</f>
        <v>https://drive.google.com/drive/folders/10T2cTQHqEJZqE-st6uFKPoI?usp=share_link</v>
      </c>
      <c r="P1257" s="6" t="str">
        <f>IFERROR(__xludf.DUMMYFUNCTION("""COMPUTED_VALUE"""),"Eva Kuliesh")</f>
        <v>Eva Kuliesh</v>
      </c>
      <c r="Q1257" s="6" t="str">
        <f>IFERROR(__xludf.DUMMYFUNCTION("""COMPUTED_VALUE"""),"L1")</f>
        <v>L1</v>
      </c>
      <c r="R1257" s="6">
        <f>IFERROR(__xludf.DUMMYFUNCTION("""COMPUTED_VALUE"""),1.0)</f>
        <v>1</v>
      </c>
      <c r="S1257" s="6" t="str">
        <f>IFERROR(__xludf.DUMMYFUNCTION("""COMPUTED_VALUE""")," ")</f>
        <v> </v>
      </c>
      <c r="T1257" s="6" t="str">
        <f>IFERROR(__xludf.DUMMYFUNCTION("""COMPUTED_VALUE"""),"")</f>
        <v/>
      </c>
      <c r="U1257" s="6" t="str">
        <f>IFERROR(__xludf.DUMMYFUNCTION("""COMPUTED_VALUE"""),"2")</f>
        <v>2</v>
      </c>
      <c r="V1257" s="6" t="str">
        <f>IFERROR(__xludf.DUMMYFUNCTION("""COMPUTED_VALUE"""),"English")</f>
        <v>English</v>
      </c>
      <c r="W1257" s="6" t="str">
        <f>IFERROR(__xludf.DUMMYFUNCTION("""COMPUTED_VALUE"""),"[]")</f>
        <v>[]</v>
      </c>
      <c r="X1257" s="6" t="str">
        <f>IFERROR(__xludf.DUMMYFUNCTION("""COMPUTED_VALUE"""),"Enrolled")</f>
        <v>Enrolled</v>
      </c>
    </row>
    <row r="1258">
      <c r="A1258" s="6" t="str">
        <f>IFERROR(__xludf.DUMMYFUNCTION("""COMPUTED_VALUE"""),"009-1512")</f>
        <v>009-1512</v>
      </c>
      <c r="B1258" s="6" t="str">
        <f>IFERROR(__xludf.DUMMYFUNCTION("""COMPUTED_VALUE"""),"9")</f>
        <v>9</v>
      </c>
      <c r="C1258" s="6" t="str">
        <f>IFERROR(__xludf.DUMMYFUNCTION("""COMPUTED_VALUE"""),"1512")</f>
        <v>1512</v>
      </c>
      <c r="D1258" s="6" t="str">
        <f>IFERROR(__xludf.DUMMYFUNCTION("""COMPUTED_VALUE"""),"Kateryna")</f>
        <v>Kateryna</v>
      </c>
      <c r="E1258" s="6" t="str">
        <f>IFERROR(__xludf.DUMMYFUNCTION("""COMPUTED_VALUE"""),"")</f>
        <v/>
      </c>
      <c r="F1258" s="6" t="str">
        <f>IFERROR(__xludf.DUMMYFUNCTION("""COMPUTED_VALUE"""),"Hahina")</f>
        <v>Hahina</v>
      </c>
      <c r="G1258" s="6" t="str">
        <f>IFERROR(__xludf.DUMMYFUNCTION("""COMPUTED_VALUE"""),"01/01/2010")</f>
        <v>01/01/2010</v>
      </c>
      <c r="H1258" s="6" t="str">
        <f>IFERROR(__xludf.DUMMYFUNCTION("""COMPUTED_VALUE"""),"Self Identify")</f>
        <v>Self Identify</v>
      </c>
      <c r="I1258" s="6" t="str">
        <f>IFERROR(__xludf.DUMMYFUNCTION("""COMPUTED_VALUE"""),"High School")</f>
        <v>High School</v>
      </c>
      <c r="J1258" s="6" t="str">
        <f>IFERROR(__xludf.DUMMYFUNCTION("""COMPUTED_VALUE"""),"9")</f>
        <v>9</v>
      </c>
      <c r="K1258" s="6" t="str">
        <f>IFERROR(__xludf.DUMMYFUNCTION("""COMPUTED_VALUE"""),"kateryna.hahina@2hourlearning.com")</f>
        <v>kateryna.hahina@2hourlearning.com</v>
      </c>
      <c r="L1258" s="6" t="str">
        <f>IFERROR(__xludf.DUMMYFUNCTION("""COMPUTED_VALUE"""),"Learn and Earn Poland")</f>
        <v>Learn and Earn Poland</v>
      </c>
      <c r="M1258" s="6" t="str">
        <f>IFERROR(__xludf.DUMMYFUNCTION("""COMPUTED_VALUE"""),"Budapest ex-GTS")</f>
        <v>Budapest ex-GTS</v>
      </c>
      <c r="N1258" s="6" t="str">
        <f>IFERROR(__xludf.DUMMYFUNCTION("""COMPUTED_VALUE"""),"")</f>
        <v/>
      </c>
      <c r="O1258" s="87" t="str">
        <f>IFERROR(__xludf.DUMMYFUNCTION("""COMPUTED_VALUE"""),"https://drive.google.com/drive/folders/10T2cTQHqEJZqE-st6uFKPoI?usp=share_link")</f>
        <v>https://drive.google.com/drive/folders/10T2cTQHqEJZqE-st6uFKPoI?usp=share_link</v>
      </c>
      <c r="P1258" s="6" t="str">
        <f>IFERROR(__xludf.DUMMYFUNCTION("""COMPUTED_VALUE"""),"Kateryna Hahina")</f>
        <v>Kateryna Hahina</v>
      </c>
      <c r="Q1258" s="6" t="str">
        <f>IFERROR(__xludf.DUMMYFUNCTION("""COMPUTED_VALUE"""),"HS")</f>
        <v>HS</v>
      </c>
      <c r="R1258" s="6">
        <f>IFERROR(__xludf.DUMMYFUNCTION("""COMPUTED_VALUE"""),0.0)</f>
        <v>0</v>
      </c>
      <c r="S1258" s="6" t="str">
        <f>IFERROR(__xludf.DUMMYFUNCTION("""COMPUTED_VALUE""")," ")</f>
        <v> </v>
      </c>
      <c r="T1258" s="6" t="str">
        <f>IFERROR(__xludf.DUMMYFUNCTION("""COMPUTED_VALUE"""),"")</f>
        <v/>
      </c>
      <c r="U1258" s="6" t="str">
        <f>IFERROR(__xludf.DUMMYFUNCTION("""COMPUTED_VALUE"""),"9")</f>
        <v>9</v>
      </c>
      <c r="V1258" s="6" t="str">
        <f>IFERROR(__xludf.DUMMYFUNCTION("""COMPUTED_VALUE"""),"English")</f>
        <v>English</v>
      </c>
      <c r="W1258" s="6" t="str">
        <f>IFERROR(__xludf.DUMMYFUNCTION("""COMPUTED_VALUE"""),"[]")</f>
        <v>[]</v>
      </c>
      <c r="X1258" s="6" t="str">
        <f>IFERROR(__xludf.DUMMYFUNCTION("""COMPUTED_VALUE"""),"Enrolled")</f>
        <v>Enrolled</v>
      </c>
    </row>
    <row r="1259">
      <c r="A1259" s="6" t="str">
        <f>IFERROR(__xludf.DUMMYFUNCTION("""COMPUTED_VALUE"""),"009-1513")</f>
        <v>009-1513</v>
      </c>
      <c r="B1259" s="6" t="str">
        <f>IFERROR(__xludf.DUMMYFUNCTION("""COMPUTED_VALUE"""),"9")</f>
        <v>9</v>
      </c>
      <c r="C1259" s="6" t="str">
        <f>IFERROR(__xludf.DUMMYFUNCTION("""COMPUTED_VALUE"""),"1513")</f>
        <v>1513</v>
      </c>
      <c r="D1259" s="6" t="str">
        <f>IFERROR(__xludf.DUMMYFUNCTION("""COMPUTED_VALUE"""),"Yelena")</f>
        <v>Yelena</v>
      </c>
      <c r="E1259" s="6" t="str">
        <f>IFERROR(__xludf.DUMMYFUNCTION("""COMPUTED_VALUE"""),"")</f>
        <v/>
      </c>
      <c r="F1259" s="6" t="str">
        <f>IFERROR(__xludf.DUMMYFUNCTION("""COMPUTED_VALUE"""),"Romashko")</f>
        <v>Romashko</v>
      </c>
      <c r="G1259" s="6" t="str">
        <f>IFERROR(__xludf.DUMMYFUNCTION("""COMPUTED_VALUE"""),"01/01/2015")</f>
        <v>01/01/2015</v>
      </c>
      <c r="H1259" s="6" t="str">
        <f>IFERROR(__xludf.DUMMYFUNCTION("""COMPUTED_VALUE"""),"Self Identify")</f>
        <v>Self Identify</v>
      </c>
      <c r="I1259" s="6" t="str">
        <f>IFERROR(__xludf.DUMMYFUNCTION("""COMPUTED_VALUE"""),"Level 2")</f>
        <v>Level 2</v>
      </c>
      <c r="J1259" s="6" t="str">
        <f>IFERROR(__xludf.DUMMYFUNCTION("""COMPUTED_VALUE"""),"4")</f>
        <v>4</v>
      </c>
      <c r="K1259" s="6" t="str">
        <f>IFERROR(__xludf.DUMMYFUNCTION("""COMPUTED_VALUE"""),"yelena.romashko@2hourlearning.com")</f>
        <v>yelena.romashko@2hourlearning.com</v>
      </c>
      <c r="L1259" s="6" t="str">
        <f>IFERROR(__xludf.DUMMYFUNCTION("""COMPUTED_VALUE"""),"Learn and Earn Poland")</f>
        <v>Learn and Earn Poland</v>
      </c>
      <c r="M1259" s="6" t="str">
        <f>IFERROR(__xludf.DUMMYFUNCTION("""COMPUTED_VALUE"""),"Budapest Alpha")</f>
        <v>Budapest Alpha</v>
      </c>
      <c r="N1259" s="6" t="str">
        <f>IFERROR(__xludf.DUMMYFUNCTION("""COMPUTED_VALUE"""),"")</f>
        <v/>
      </c>
      <c r="O1259" s="87" t="str">
        <f>IFERROR(__xludf.DUMMYFUNCTION("""COMPUTED_VALUE"""),"https://drive.google.com/drive/folders/10T2cTQHqEJZqE-st6uFKPoI?usp=share_link")</f>
        <v>https://drive.google.com/drive/folders/10T2cTQHqEJZqE-st6uFKPoI?usp=share_link</v>
      </c>
      <c r="P1259" s="6" t="str">
        <f>IFERROR(__xludf.DUMMYFUNCTION("""COMPUTED_VALUE"""),"Yelena Romashko")</f>
        <v>Yelena Romashko</v>
      </c>
      <c r="Q1259" s="6" t="str">
        <f>IFERROR(__xludf.DUMMYFUNCTION("""COMPUTED_VALUE"""),"L2")</f>
        <v>L2</v>
      </c>
      <c r="R1259" s="6">
        <f>IFERROR(__xludf.DUMMYFUNCTION("""COMPUTED_VALUE"""),2.0)</f>
        <v>2</v>
      </c>
      <c r="S1259" s="6" t="str">
        <f>IFERROR(__xludf.DUMMYFUNCTION("""COMPUTED_VALUE""")," ")</f>
        <v> </v>
      </c>
      <c r="T1259" s="6" t="str">
        <f>IFERROR(__xludf.DUMMYFUNCTION("""COMPUTED_VALUE"""),"")</f>
        <v/>
      </c>
      <c r="U1259" s="6" t="str">
        <f>IFERROR(__xludf.DUMMYFUNCTION("""COMPUTED_VALUE"""),"4")</f>
        <v>4</v>
      </c>
      <c r="V1259" s="6" t="str">
        <f>IFERROR(__xludf.DUMMYFUNCTION("""COMPUTED_VALUE"""),"English")</f>
        <v>English</v>
      </c>
      <c r="W1259" s="6" t="str">
        <f>IFERROR(__xludf.DUMMYFUNCTION("""COMPUTED_VALUE"""),"[]")</f>
        <v>[]</v>
      </c>
      <c r="X1259" s="6" t="str">
        <f>IFERROR(__xludf.DUMMYFUNCTION("""COMPUTED_VALUE"""),"Enrolled")</f>
        <v>Enrolled</v>
      </c>
    </row>
    <row r="1260">
      <c r="A1260" s="6" t="str">
        <f>IFERROR(__xludf.DUMMYFUNCTION("""COMPUTED_VALUE"""),"009-1514")</f>
        <v>009-1514</v>
      </c>
      <c r="B1260" s="6" t="str">
        <f>IFERROR(__xludf.DUMMYFUNCTION("""COMPUTED_VALUE"""),"9")</f>
        <v>9</v>
      </c>
      <c r="C1260" s="6" t="str">
        <f>IFERROR(__xludf.DUMMYFUNCTION("""COMPUTED_VALUE"""),"1514")</f>
        <v>1514</v>
      </c>
      <c r="D1260" s="6" t="str">
        <f>IFERROR(__xludf.DUMMYFUNCTION("""COMPUTED_VALUE"""),"Oleksandr")</f>
        <v>Oleksandr</v>
      </c>
      <c r="E1260" s="6" t="str">
        <f>IFERROR(__xludf.DUMMYFUNCTION("""COMPUTED_VALUE"""),"")</f>
        <v/>
      </c>
      <c r="F1260" s="6" t="str">
        <f>IFERROR(__xludf.DUMMYFUNCTION("""COMPUTED_VALUE"""),"Spolnyk")</f>
        <v>Spolnyk</v>
      </c>
      <c r="G1260" s="6" t="str">
        <f>IFERROR(__xludf.DUMMYFUNCTION("""COMPUTED_VALUE"""),"01/01/2015")</f>
        <v>01/01/2015</v>
      </c>
      <c r="H1260" s="6" t="str">
        <f>IFERROR(__xludf.DUMMYFUNCTION("""COMPUTED_VALUE"""),"Self Identify")</f>
        <v>Self Identify</v>
      </c>
      <c r="I1260" s="6" t="str">
        <f>IFERROR(__xludf.DUMMYFUNCTION("""COMPUTED_VALUE"""),"Level 2")</f>
        <v>Level 2</v>
      </c>
      <c r="J1260" s="6" t="str">
        <f>IFERROR(__xludf.DUMMYFUNCTION("""COMPUTED_VALUE"""),"4")</f>
        <v>4</v>
      </c>
      <c r="K1260" s="6" t="str">
        <f>IFERROR(__xludf.DUMMYFUNCTION("""COMPUTED_VALUE"""),"oleksandr.spolnyk@2hourlearning.com")</f>
        <v>oleksandr.spolnyk@2hourlearning.com</v>
      </c>
      <c r="L1260" s="6" t="str">
        <f>IFERROR(__xludf.DUMMYFUNCTION("""COMPUTED_VALUE"""),"Learn and Earn Poland")</f>
        <v>Learn and Earn Poland</v>
      </c>
      <c r="M1260" s="6" t="str">
        <f>IFERROR(__xludf.DUMMYFUNCTION("""COMPUTED_VALUE"""),"Budapest ex-GTS")</f>
        <v>Budapest ex-GTS</v>
      </c>
      <c r="N1260" s="6" t="str">
        <f>IFERROR(__xludf.DUMMYFUNCTION("""COMPUTED_VALUE"""),"")</f>
        <v/>
      </c>
      <c r="O1260" s="87" t="str">
        <f>IFERROR(__xludf.DUMMYFUNCTION("""COMPUTED_VALUE"""),"https://drive.google.com/drive/folders/10T2cTQHqEJZqE-st6uFKPoI?usp=share_link")</f>
        <v>https://drive.google.com/drive/folders/10T2cTQHqEJZqE-st6uFKPoI?usp=share_link</v>
      </c>
      <c r="P1260" s="6" t="str">
        <f>IFERROR(__xludf.DUMMYFUNCTION("""COMPUTED_VALUE"""),"Oleksandr Spolnyk")</f>
        <v>Oleksandr Spolnyk</v>
      </c>
      <c r="Q1260" s="6" t="str">
        <f>IFERROR(__xludf.DUMMYFUNCTION("""COMPUTED_VALUE"""),"L2")</f>
        <v>L2</v>
      </c>
      <c r="R1260" s="6">
        <f>IFERROR(__xludf.DUMMYFUNCTION("""COMPUTED_VALUE"""),2.0)</f>
        <v>2</v>
      </c>
      <c r="S1260" s="6" t="str">
        <f>IFERROR(__xludf.DUMMYFUNCTION("""COMPUTED_VALUE""")," ")</f>
        <v> </v>
      </c>
      <c r="T1260" s="6" t="str">
        <f>IFERROR(__xludf.DUMMYFUNCTION("""COMPUTED_VALUE"""),"")</f>
        <v/>
      </c>
      <c r="U1260" s="6" t="str">
        <f>IFERROR(__xludf.DUMMYFUNCTION("""COMPUTED_VALUE"""),"4")</f>
        <v>4</v>
      </c>
      <c r="V1260" s="6" t="str">
        <f>IFERROR(__xludf.DUMMYFUNCTION("""COMPUTED_VALUE"""),"English")</f>
        <v>English</v>
      </c>
      <c r="W1260" s="6" t="str">
        <f>IFERROR(__xludf.DUMMYFUNCTION("""COMPUTED_VALUE"""),"[]")</f>
        <v>[]</v>
      </c>
      <c r="X1260" s="6" t="str">
        <f>IFERROR(__xludf.DUMMYFUNCTION("""COMPUTED_VALUE"""),"Enrolled")</f>
        <v>Enrolled</v>
      </c>
    </row>
    <row r="1261">
      <c r="A1261" s="6" t="str">
        <f>IFERROR(__xludf.DUMMYFUNCTION("""COMPUTED_VALUE"""),"009-1515")</f>
        <v>009-1515</v>
      </c>
      <c r="B1261" s="6" t="str">
        <f>IFERROR(__xludf.DUMMYFUNCTION("""COMPUTED_VALUE"""),"9")</f>
        <v>9</v>
      </c>
      <c r="C1261" s="6" t="str">
        <f>IFERROR(__xludf.DUMMYFUNCTION("""COMPUTED_VALUE"""),"1515")</f>
        <v>1515</v>
      </c>
      <c r="D1261" s="6" t="str">
        <f>IFERROR(__xludf.DUMMYFUNCTION("""COMPUTED_VALUE"""),"Istvan Patrik")</f>
        <v>Istvan Patrik</v>
      </c>
      <c r="E1261" s="6" t="str">
        <f>IFERROR(__xludf.DUMMYFUNCTION("""COMPUTED_VALUE"""),"")</f>
        <v/>
      </c>
      <c r="F1261" s="6" t="str">
        <f>IFERROR(__xludf.DUMMYFUNCTION("""COMPUTED_VALUE"""),"Ur")</f>
        <v>Ur</v>
      </c>
      <c r="G1261" s="6" t="str">
        <f>IFERROR(__xludf.DUMMYFUNCTION("""COMPUTED_VALUE"""),"01/01/2008")</f>
        <v>01/01/2008</v>
      </c>
      <c r="H1261" s="6" t="str">
        <f>IFERROR(__xludf.DUMMYFUNCTION("""COMPUTED_VALUE"""),"Self Identify")</f>
        <v>Self Identify</v>
      </c>
      <c r="I1261" s="6" t="str">
        <f>IFERROR(__xludf.DUMMYFUNCTION("""COMPUTED_VALUE"""),"High School")</f>
        <v>High School</v>
      </c>
      <c r="J1261" s="6" t="str">
        <f>IFERROR(__xludf.DUMMYFUNCTION("""COMPUTED_VALUE"""),"11")</f>
        <v>11</v>
      </c>
      <c r="K1261" s="6" t="str">
        <f>IFERROR(__xludf.DUMMYFUNCTION("""COMPUTED_VALUE"""),"istvan.patrik@2hourlearning.com")</f>
        <v>istvan.patrik@2hourlearning.com</v>
      </c>
      <c r="L1261" s="6" t="str">
        <f>IFERROR(__xludf.DUMMYFUNCTION("""COMPUTED_VALUE"""),"Learn and Earn Poland")</f>
        <v>Learn and Earn Poland</v>
      </c>
      <c r="M1261" s="6" t="str">
        <f>IFERROR(__xludf.DUMMYFUNCTION("""COMPUTED_VALUE"""),"Budapest Alpha")</f>
        <v>Budapest Alpha</v>
      </c>
      <c r="N1261" s="6" t="str">
        <f>IFERROR(__xludf.DUMMYFUNCTION("""COMPUTED_VALUE"""),"")</f>
        <v/>
      </c>
      <c r="O1261" s="87" t="str">
        <f>IFERROR(__xludf.DUMMYFUNCTION("""COMPUTED_VALUE"""),"https://drive.google.com/drive/folders/10T2cTQHqEJZqE-st6uFKPoI?usp=share_link")</f>
        <v>https://drive.google.com/drive/folders/10T2cTQHqEJZqE-st6uFKPoI?usp=share_link</v>
      </c>
      <c r="P1261" s="6" t="str">
        <f>IFERROR(__xludf.DUMMYFUNCTION("""COMPUTED_VALUE"""),"Istvan Patrik Ur")</f>
        <v>Istvan Patrik Ur</v>
      </c>
      <c r="Q1261" s="6" t="str">
        <f>IFERROR(__xludf.DUMMYFUNCTION("""COMPUTED_VALUE"""),"HS")</f>
        <v>HS</v>
      </c>
      <c r="R1261" s="6">
        <f>IFERROR(__xludf.DUMMYFUNCTION("""COMPUTED_VALUE"""),0.0)</f>
        <v>0</v>
      </c>
      <c r="S1261" s="6" t="str">
        <f>IFERROR(__xludf.DUMMYFUNCTION("""COMPUTED_VALUE""")," ")</f>
        <v> </v>
      </c>
      <c r="T1261" s="6" t="str">
        <f>IFERROR(__xludf.DUMMYFUNCTION("""COMPUTED_VALUE"""),"")</f>
        <v/>
      </c>
      <c r="U1261" s="6" t="str">
        <f>IFERROR(__xludf.DUMMYFUNCTION("""COMPUTED_VALUE"""),"11")</f>
        <v>11</v>
      </c>
      <c r="V1261" s="6" t="str">
        <f>IFERROR(__xludf.DUMMYFUNCTION("""COMPUTED_VALUE"""),"English")</f>
        <v>English</v>
      </c>
      <c r="W1261" s="6" t="str">
        <f>IFERROR(__xludf.DUMMYFUNCTION("""COMPUTED_VALUE"""),"[]")</f>
        <v>[]</v>
      </c>
      <c r="X1261" s="6" t="str">
        <f>IFERROR(__xludf.DUMMYFUNCTION("""COMPUTED_VALUE"""),"Enrolled")</f>
        <v>Enrolled</v>
      </c>
    </row>
    <row r="1262">
      <c r="A1262" s="6" t="str">
        <f>IFERROR(__xludf.DUMMYFUNCTION("""COMPUTED_VALUE"""),"009-1516")</f>
        <v>009-1516</v>
      </c>
      <c r="B1262" s="6" t="str">
        <f>IFERROR(__xludf.DUMMYFUNCTION("""COMPUTED_VALUE"""),"9")</f>
        <v>9</v>
      </c>
      <c r="C1262" s="6" t="str">
        <f>IFERROR(__xludf.DUMMYFUNCTION("""COMPUTED_VALUE"""),"1516")</f>
        <v>1516</v>
      </c>
      <c r="D1262" s="6" t="str">
        <f>IFERROR(__xludf.DUMMYFUNCTION("""COMPUTED_VALUE"""),"Yuliia")</f>
        <v>Yuliia</v>
      </c>
      <c r="E1262" s="6" t="str">
        <f>IFERROR(__xludf.DUMMYFUNCTION("""COMPUTED_VALUE"""),"")</f>
        <v/>
      </c>
      <c r="F1262" s="6" t="str">
        <f>IFERROR(__xludf.DUMMYFUNCTION("""COMPUTED_VALUE"""),"Romanova")</f>
        <v>Romanova</v>
      </c>
      <c r="G1262" s="6" t="str">
        <f>IFERROR(__xludf.DUMMYFUNCTION("""COMPUTED_VALUE"""),"01/01/2012")</f>
        <v>01/01/2012</v>
      </c>
      <c r="H1262" s="6" t="str">
        <f>IFERROR(__xludf.DUMMYFUNCTION("""COMPUTED_VALUE"""),"Self Identify")</f>
        <v>Self Identify</v>
      </c>
      <c r="I1262" s="6" t="str">
        <f>IFERROR(__xludf.DUMMYFUNCTION("""COMPUTED_VALUE"""),"Middle School")</f>
        <v>Middle School</v>
      </c>
      <c r="J1262" s="6" t="str">
        <f>IFERROR(__xludf.DUMMYFUNCTION("""COMPUTED_VALUE"""),"7")</f>
        <v>7</v>
      </c>
      <c r="K1262" s="6" t="str">
        <f>IFERROR(__xludf.DUMMYFUNCTION("""COMPUTED_VALUE"""),"yuliia.romanova@2hourlearning.com")</f>
        <v>yuliia.romanova@2hourlearning.com</v>
      </c>
      <c r="L1262" s="6" t="str">
        <f>IFERROR(__xludf.DUMMYFUNCTION("""COMPUTED_VALUE"""),"Learn and Earn Poland")</f>
        <v>Learn and Earn Poland</v>
      </c>
      <c r="M1262" s="6" t="str">
        <f>IFERROR(__xludf.DUMMYFUNCTION("""COMPUTED_VALUE"""),"Budapest ex-GTS")</f>
        <v>Budapest ex-GTS</v>
      </c>
      <c r="N1262" s="6" t="str">
        <f>IFERROR(__xludf.DUMMYFUNCTION("""COMPUTED_VALUE"""),"")</f>
        <v/>
      </c>
      <c r="O1262" s="87" t="str">
        <f>IFERROR(__xludf.DUMMYFUNCTION("""COMPUTED_VALUE"""),"https://drive.google.com/drive/folders/10T2cTQHqEJZqE-st6uFKPoI?usp=share_link")</f>
        <v>https://drive.google.com/drive/folders/10T2cTQHqEJZqE-st6uFKPoI?usp=share_link</v>
      </c>
      <c r="P1262" s="6" t="str">
        <f>IFERROR(__xludf.DUMMYFUNCTION("""COMPUTED_VALUE"""),"Yuliia Romanova")</f>
        <v>Yuliia Romanova</v>
      </c>
      <c r="Q1262" s="6" t="str">
        <f>IFERROR(__xludf.DUMMYFUNCTION("""COMPUTED_VALUE"""),"MS")</f>
        <v>MS</v>
      </c>
      <c r="R1262" s="6">
        <f>IFERROR(__xludf.DUMMYFUNCTION("""COMPUTED_VALUE"""),0.0)</f>
        <v>0</v>
      </c>
      <c r="S1262" s="6" t="str">
        <f>IFERROR(__xludf.DUMMYFUNCTION("""COMPUTED_VALUE""")," ")</f>
        <v> </v>
      </c>
      <c r="T1262" s="6" t="str">
        <f>IFERROR(__xludf.DUMMYFUNCTION("""COMPUTED_VALUE"""),"")</f>
        <v/>
      </c>
      <c r="U1262" s="6" t="str">
        <f>IFERROR(__xludf.DUMMYFUNCTION("""COMPUTED_VALUE"""),"7")</f>
        <v>7</v>
      </c>
      <c r="V1262" s="6" t="str">
        <f>IFERROR(__xludf.DUMMYFUNCTION("""COMPUTED_VALUE"""),"English")</f>
        <v>English</v>
      </c>
      <c r="W1262" s="6" t="str">
        <f>IFERROR(__xludf.DUMMYFUNCTION("""COMPUTED_VALUE"""),"[]")</f>
        <v>[]</v>
      </c>
      <c r="X1262" s="6" t="str">
        <f>IFERROR(__xludf.DUMMYFUNCTION("""COMPUTED_VALUE"""),"Enrolled")</f>
        <v>Enrolled</v>
      </c>
    </row>
    <row r="1263">
      <c r="A1263" s="6" t="str">
        <f>IFERROR(__xludf.DUMMYFUNCTION("""COMPUTED_VALUE"""),"009-1517")</f>
        <v>009-1517</v>
      </c>
      <c r="B1263" s="6" t="str">
        <f>IFERROR(__xludf.DUMMYFUNCTION("""COMPUTED_VALUE"""),"9")</f>
        <v>9</v>
      </c>
      <c r="C1263" s="6" t="str">
        <f>IFERROR(__xludf.DUMMYFUNCTION("""COMPUTED_VALUE"""),"1517")</f>
        <v>1517</v>
      </c>
      <c r="D1263" s="6" t="str">
        <f>IFERROR(__xludf.DUMMYFUNCTION("""COMPUTED_VALUE"""),"Oksana")</f>
        <v>Oksana</v>
      </c>
      <c r="E1263" s="6" t="str">
        <f>IFERROR(__xludf.DUMMYFUNCTION("""COMPUTED_VALUE"""),"")</f>
        <v/>
      </c>
      <c r="F1263" s="6" t="str">
        <f>IFERROR(__xludf.DUMMYFUNCTION("""COMPUTED_VALUE"""),"Bohdanova")</f>
        <v>Bohdanova</v>
      </c>
      <c r="G1263" s="6" t="str">
        <f>IFERROR(__xludf.DUMMYFUNCTION("""COMPUTED_VALUE"""),"01/01/2013")</f>
        <v>01/01/2013</v>
      </c>
      <c r="H1263" s="6" t="str">
        <f>IFERROR(__xludf.DUMMYFUNCTION("""COMPUTED_VALUE"""),"Self Identify")</f>
        <v>Self Identify</v>
      </c>
      <c r="I1263" s="6" t="str">
        <f>IFERROR(__xludf.DUMMYFUNCTION("""COMPUTED_VALUE"""),"Middle School")</f>
        <v>Middle School</v>
      </c>
      <c r="J1263" s="6" t="str">
        <f>IFERROR(__xludf.DUMMYFUNCTION("""COMPUTED_VALUE"""),"6")</f>
        <v>6</v>
      </c>
      <c r="K1263" s="6" t="str">
        <f>IFERROR(__xludf.DUMMYFUNCTION("""COMPUTED_VALUE"""),"oksana.bohdanova@2hourlearning.com")</f>
        <v>oksana.bohdanova@2hourlearning.com</v>
      </c>
      <c r="L1263" s="6" t="str">
        <f>IFERROR(__xludf.DUMMYFUNCTION("""COMPUTED_VALUE"""),"Learn and Earn Poland")</f>
        <v>Learn and Earn Poland</v>
      </c>
      <c r="M1263" s="6" t="str">
        <f>IFERROR(__xludf.DUMMYFUNCTION("""COMPUTED_VALUE"""),"Budapest ex-GTS")</f>
        <v>Budapest ex-GTS</v>
      </c>
      <c r="N1263" s="6" t="str">
        <f>IFERROR(__xludf.DUMMYFUNCTION("""COMPUTED_VALUE"""),"")</f>
        <v/>
      </c>
      <c r="O1263" s="87" t="str">
        <f>IFERROR(__xludf.DUMMYFUNCTION("""COMPUTED_VALUE"""),"https://drive.google.com/drive/folders/10T2cTQHqEJZqE-st6uFKPoI?usp=share_link")</f>
        <v>https://drive.google.com/drive/folders/10T2cTQHqEJZqE-st6uFKPoI?usp=share_link</v>
      </c>
      <c r="P1263" s="6" t="str">
        <f>IFERROR(__xludf.DUMMYFUNCTION("""COMPUTED_VALUE"""),"Oksana Bohdanova")</f>
        <v>Oksana Bohdanova</v>
      </c>
      <c r="Q1263" s="6" t="str">
        <f>IFERROR(__xludf.DUMMYFUNCTION("""COMPUTED_VALUE"""),"MS")</f>
        <v>MS</v>
      </c>
      <c r="R1263" s="6">
        <f>IFERROR(__xludf.DUMMYFUNCTION("""COMPUTED_VALUE"""),0.0)</f>
        <v>0</v>
      </c>
      <c r="S1263" s="6" t="str">
        <f>IFERROR(__xludf.DUMMYFUNCTION("""COMPUTED_VALUE""")," ")</f>
        <v> </v>
      </c>
      <c r="T1263" s="6" t="str">
        <f>IFERROR(__xludf.DUMMYFUNCTION("""COMPUTED_VALUE"""),"")</f>
        <v/>
      </c>
      <c r="U1263" s="6" t="str">
        <f>IFERROR(__xludf.DUMMYFUNCTION("""COMPUTED_VALUE"""),"6")</f>
        <v>6</v>
      </c>
      <c r="V1263" s="6" t="str">
        <f>IFERROR(__xludf.DUMMYFUNCTION("""COMPUTED_VALUE"""),"English")</f>
        <v>English</v>
      </c>
      <c r="W1263" s="6" t="str">
        <f>IFERROR(__xludf.DUMMYFUNCTION("""COMPUTED_VALUE"""),"[]")</f>
        <v>[]</v>
      </c>
      <c r="X1263" s="6" t="str">
        <f>IFERROR(__xludf.DUMMYFUNCTION("""COMPUTED_VALUE"""),"Enrolled")</f>
        <v>Enrolled</v>
      </c>
    </row>
    <row r="1264">
      <c r="A1264" s="6" t="str">
        <f>IFERROR(__xludf.DUMMYFUNCTION("""COMPUTED_VALUE"""),"009-1518")</f>
        <v>009-1518</v>
      </c>
      <c r="B1264" s="6" t="str">
        <f>IFERROR(__xludf.DUMMYFUNCTION("""COMPUTED_VALUE"""),"9")</f>
        <v>9</v>
      </c>
      <c r="C1264" s="6" t="str">
        <f>IFERROR(__xludf.DUMMYFUNCTION("""COMPUTED_VALUE"""),"1518")</f>
        <v>1518</v>
      </c>
      <c r="D1264" s="6" t="str">
        <f>IFERROR(__xludf.DUMMYFUNCTION("""COMPUTED_VALUE"""),"Elina")</f>
        <v>Elina</v>
      </c>
      <c r="E1264" s="6" t="str">
        <f>IFERROR(__xludf.DUMMYFUNCTION("""COMPUTED_VALUE"""),"")</f>
        <v/>
      </c>
      <c r="F1264" s="6" t="str">
        <f>IFERROR(__xludf.DUMMYFUNCTION("""COMPUTED_VALUE"""),"Miloserdiva")</f>
        <v>Miloserdiva</v>
      </c>
      <c r="G1264" s="6" t="str">
        <f>IFERROR(__xludf.DUMMYFUNCTION("""COMPUTED_VALUE"""),"01/01/2011")</f>
        <v>01/01/2011</v>
      </c>
      <c r="H1264" s="6" t="str">
        <f>IFERROR(__xludf.DUMMYFUNCTION("""COMPUTED_VALUE"""),"Self Identify")</f>
        <v>Self Identify</v>
      </c>
      <c r="I1264" s="6" t="str">
        <f>IFERROR(__xludf.DUMMYFUNCTION("""COMPUTED_VALUE"""),"Middle School")</f>
        <v>Middle School</v>
      </c>
      <c r="J1264" s="6" t="str">
        <f>IFERROR(__xludf.DUMMYFUNCTION("""COMPUTED_VALUE"""),"8")</f>
        <v>8</v>
      </c>
      <c r="K1264" s="6" t="str">
        <f>IFERROR(__xludf.DUMMYFUNCTION("""COMPUTED_VALUE"""),"elina.miloserdiva@2hourlearning.com")</f>
        <v>elina.miloserdiva@2hourlearning.com</v>
      </c>
      <c r="L1264" s="6" t="str">
        <f>IFERROR(__xludf.DUMMYFUNCTION("""COMPUTED_VALUE"""),"Learn and Earn Poland")</f>
        <v>Learn and Earn Poland</v>
      </c>
      <c r="M1264" s="6" t="str">
        <f>IFERROR(__xludf.DUMMYFUNCTION("""COMPUTED_VALUE"""),"Budapest Alpha")</f>
        <v>Budapest Alpha</v>
      </c>
      <c r="N1264" s="6" t="str">
        <f>IFERROR(__xludf.DUMMYFUNCTION("""COMPUTED_VALUE"""),"")</f>
        <v/>
      </c>
      <c r="O1264" s="87" t="str">
        <f>IFERROR(__xludf.DUMMYFUNCTION("""COMPUTED_VALUE"""),"https://drive.google.com/drive/folders/10T2cTQHqEJZqE-st6uFKPoI?usp=share_link")</f>
        <v>https://drive.google.com/drive/folders/10T2cTQHqEJZqE-st6uFKPoI?usp=share_link</v>
      </c>
      <c r="P1264" s="6" t="str">
        <f>IFERROR(__xludf.DUMMYFUNCTION("""COMPUTED_VALUE"""),"Elina Miloserdiva")</f>
        <v>Elina Miloserdiva</v>
      </c>
      <c r="Q1264" s="6" t="str">
        <f>IFERROR(__xludf.DUMMYFUNCTION("""COMPUTED_VALUE"""),"MS")</f>
        <v>MS</v>
      </c>
      <c r="R1264" s="6">
        <f>IFERROR(__xludf.DUMMYFUNCTION("""COMPUTED_VALUE"""),0.0)</f>
        <v>0</v>
      </c>
      <c r="S1264" s="6" t="str">
        <f>IFERROR(__xludf.DUMMYFUNCTION("""COMPUTED_VALUE""")," ")</f>
        <v> </v>
      </c>
      <c r="T1264" s="6" t="str">
        <f>IFERROR(__xludf.DUMMYFUNCTION("""COMPUTED_VALUE"""),"")</f>
        <v/>
      </c>
      <c r="U1264" s="6" t="str">
        <f>IFERROR(__xludf.DUMMYFUNCTION("""COMPUTED_VALUE"""),"8")</f>
        <v>8</v>
      </c>
      <c r="V1264" s="6" t="str">
        <f>IFERROR(__xludf.DUMMYFUNCTION("""COMPUTED_VALUE"""),"English")</f>
        <v>English</v>
      </c>
      <c r="W1264" s="6" t="str">
        <f>IFERROR(__xludf.DUMMYFUNCTION("""COMPUTED_VALUE"""),"[]")</f>
        <v>[]</v>
      </c>
      <c r="X1264" s="6" t="str">
        <f>IFERROR(__xludf.DUMMYFUNCTION("""COMPUTED_VALUE"""),"Enrolled")</f>
        <v>Enrolled</v>
      </c>
    </row>
    <row r="1265">
      <c r="A1265" s="6" t="str">
        <f>IFERROR(__xludf.DUMMYFUNCTION("""COMPUTED_VALUE"""),"009-1519")</f>
        <v>009-1519</v>
      </c>
      <c r="B1265" s="6" t="str">
        <f>IFERROR(__xludf.DUMMYFUNCTION("""COMPUTED_VALUE"""),"9")</f>
        <v>9</v>
      </c>
      <c r="C1265" s="6" t="str">
        <f>IFERROR(__xludf.DUMMYFUNCTION("""COMPUTED_VALUE"""),"1519")</f>
        <v>1519</v>
      </c>
      <c r="D1265" s="6" t="str">
        <f>IFERROR(__xludf.DUMMYFUNCTION("""COMPUTED_VALUE"""),"Yelysei")</f>
        <v>Yelysei</v>
      </c>
      <c r="E1265" s="6" t="str">
        <f>IFERROR(__xludf.DUMMYFUNCTION("""COMPUTED_VALUE"""),"")</f>
        <v/>
      </c>
      <c r="F1265" s="6" t="str">
        <f>IFERROR(__xludf.DUMMYFUNCTION("""COMPUTED_VALUE"""),"Chernyshov")</f>
        <v>Chernyshov</v>
      </c>
      <c r="G1265" s="6" t="str">
        <f>IFERROR(__xludf.DUMMYFUNCTION("""COMPUTED_VALUE"""),"01/01/2017")</f>
        <v>01/01/2017</v>
      </c>
      <c r="H1265" s="6" t="str">
        <f>IFERROR(__xludf.DUMMYFUNCTION("""COMPUTED_VALUE"""),"Self Identify")</f>
        <v>Self Identify</v>
      </c>
      <c r="I1265" s="6" t="str">
        <f>IFERROR(__xludf.DUMMYFUNCTION("""COMPUTED_VALUE"""),"Level 1")</f>
        <v>Level 1</v>
      </c>
      <c r="J1265" s="6" t="str">
        <f>IFERROR(__xludf.DUMMYFUNCTION("""COMPUTED_VALUE"""),"2")</f>
        <v>2</v>
      </c>
      <c r="K1265" s="6" t="str">
        <f>IFERROR(__xludf.DUMMYFUNCTION("""COMPUTED_VALUE"""),"yelysei.chernyshov@2hourlearning.com")</f>
        <v>yelysei.chernyshov@2hourlearning.com</v>
      </c>
      <c r="L1265" s="6" t="str">
        <f>IFERROR(__xludf.DUMMYFUNCTION("""COMPUTED_VALUE"""),"Learn and Earn Poland")</f>
        <v>Learn and Earn Poland</v>
      </c>
      <c r="M1265" s="6" t="str">
        <f>IFERROR(__xludf.DUMMYFUNCTION("""COMPUTED_VALUE"""),"Budapest ex-GTS")</f>
        <v>Budapest ex-GTS</v>
      </c>
      <c r="N1265" s="6" t="str">
        <f>IFERROR(__xludf.DUMMYFUNCTION("""COMPUTED_VALUE"""),"")</f>
        <v/>
      </c>
      <c r="O1265" s="87" t="str">
        <f>IFERROR(__xludf.DUMMYFUNCTION("""COMPUTED_VALUE"""),"https://drive.google.com/drive/folders/10T2cTQHqEJZqE-st6uFKPoI?usp=share_link")</f>
        <v>https://drive.google.com/drive/folders/10T2cTQHqEJZqE-st6uFKPoI?usp=share_link</v>
      </c>
      <c r="P1265" s="6" t="str">
        <f>IFERROR(__xludf.DUMMYFUNCTION("""COMPUTED_VALUE"""),"Yelysei Chernyshov")</f>
        <v>Yelysei Chernyshov</v>
      </c>
      <c r="Q1265" s="6" t="str">
        <f>IFERROR(__xludf.DUMMYFUNCTION("""COMPUTED_VALUE"""),"L1")</f>
        <v>L1</v>
      </c>
      <c r="R1265" s="6">
        <f>IFERROR(__xludf.DUMMYFUNCTION("""COMPUTED_VALUE"""),1.0)</f>
        <v>1</v>
      </c>
      <c r="S1265" s="6" t="str">
        <f>IFERROR(__xludf.DUMMYFUNCTION("""COMPUTED_VALUE""")," ")</f>
        <v> </v>
      </c>
      <c r="T1265" s="6" t="str">
        <f>IFERROR(__xludf.DUMMYFUNCTION("""COMPUTED_VALUE"""),"")</f>
        <v/>
      </c>
      <c r="U1265" s="6" t="str">
        <f>IFERROR(__xludf.DUMMYFUNCTION("""COMPUTED_VALUE"""),"2")</f>
        <v>2</v>
      </c>
      <c r="V1265" s="6" t="str">
        <f>IFERROR(__xludf.DUMMYFUNCTION("""COMPUTED_VALUE"""),"English")</f>
        <v>English</v>
      </c>
      <c r="W1265" s="6" t="str">
        <f>IFERROR(__xludf.DUMMYFUNCTION("""COMPUTED_VALUE"""),"[]")</f>
        <v>[]</v>
      </c>
      <c r="X1265" s="6" t="str">
        <f>IFERROR(__xludf.DUMMYFUNCTION("""COMPUTED_VALUE"""),"Enrolled")</f>
        <v>Enrolled</v>
      </c>
    </row>
    <row r="1266">
      <c r="A1266" s="6" t="str">
        <f>IFERROR(__xludf.DUMMYFUNCTION("""COMPUTED_VALUE"""),"009-1520")</f>
        <v>009-1520</v>
      </c>
      <c r="B1266" s="6" t="str">
        <f>IFERROR(__xludf.DUMMYFUNCTION("""COMPUTED_VALUE"""),"9")</f>
        <v>9</v>
      </c>
      <c r="C1266" s="6" t="str">
        <f>IFERROR(__xludf.DUMMYFUNCTION("""COMPUTED_VALUE"""),"1520")</f>
        <v>1520</v>
      </c>
      <c r="D1266" s="6" t="str">
        <f>IFERROR(__xludf.DUMMYFUNCTION("""COMPUTED_VALUE"""),"Dominik")</f>
        <v>Dominik</v>
      </c>
      <c r="E1266" s="6" t="str">
        <f>IFERROR(__xludf.DUMMYFUNCTION("""COMPUTED_VALUE"""),"")</f>
        <v/>
      </c>
      <c r="F1266" s="6" t="str">
        <f>IFERROR(__xludf.DUMMYFUNCTION("""COMPUTED_VALUE"""),"Csele")</f>
        <v>Csele</v>
      </c>
      <c r="G1266" s="6" t="str">
        <f>IFERROR(__xludf.DUMMYFUNCTION("""COMPUTED_VALUE"""),"01/01/2013")</f>
        <v>01/01/2013</v>
      </c>
      <c r="H1266" s="6" t="str">
        <f>IFERROR(__xludf.DUMMYFUNCTION("""COMPUTED_VALUE"""),"Self Identify")</f>
        <v>Self Identify</v>
      </c>
      <c r="I1266" s="6" t="str">
        <f>IFERROR(__xludf.DUMMYFUNCTION("""COMPUTED_VALUE"""),"Middle School")</f>
        <v>Middle School</v>
      </c>
      <c r="J1266" s="6" t="str">
        <f>IFERROR(__xludf.DUMMYFUNCTION("""COMPUTED_VALUE"""),"6")</f>
        <v>6</v>
      </c>
      <c r="K1266" s="6" t="str">
        <f>IFERROR(__xludf.DUMMYFUNCTION("""COMPUTED_VALUE"""),"csele.dominik@2hourlearning.com")</f>
        <v>csele.dominik@2hourlearning.com</v>
      </c>
      <c r="L1266" s="6" t="str">
        <f>IFERROR(__xludf.DUMMYFUNCTION("""COMPUTED_VALUE"""),"Learn and Earn Poland")</f>
        <v>Learn and Earn Poland</v>
      </c>
      <c r="M1266" s="6" t="str">
        <f>IFERROR(__xludf.DUMMYFUNCTION("""COMPUTED_VALUE"""),"Budapest Alpha")</f>
        <v>Budapest Alpha</v>
      </c>
      <c r="N1266" s="6" t="str">
        <f>IFERROR(__xludf.DUMMYFUNCTION("""COMPUTED_VALUE"""),"")</f>
        <v/>
      </c>
      <c r="O1266" s="87" t="str">
        <f>IFERROR(__xludf.DUMMYFUNCTION("""COMPUTED_VALUE"""),"https://drive.google.com/drive/folders/10T2cTQHqEJZqE-st6uFKPoI?usp=share_link")</f>
        <v>https://drive.google.com/drive/folders/10T2cTQHqEJZqE-st6uFKPoI?usp=share_link</v>
      </c>
      <c r="P1266" s="6" t="str">
        <f>IFERROR(__xludf.DUMMYFUNCTION("""COMPUTED_VALUE"""),"Dominik Csele")</f>
        <v>Dominik Csele</v>
      </c>
      <c r="Q1266" s="6" t="str">
        <f>IFERROR(__xludf.DUMMYFUNCTION("""COMPUTED_VALUE"""),"MS")</f>
        <v>MS</v>
      </c>
      <c r="R1266" s="6">
        <f>IFERROR(__xludf.DUMMYFUNCTION("""COMPUTED_VALUE"""),0.0)</f>
        <v>0</v>
      </c>
      <c r="S1266" s="6" t="str">
        <f>IFERROR(__xludf.DUMMYFUNCTION("""COMPUTED_VALUE""")," ")</f>
        <v> </v>
      </c>
      <c r="T1266" s="6" t="str">
        <f>IFERROR(__xludf.DUMMYFUNCTION("""COMPUTED_VALUE"""),"")</f>
        <v/>
      </c>
      <c r="U1266" s="6" t="str">
        <f>IFERROR(__xludf.DUMMYFUNCTION("""COMPUTED_VALUE"""),"6")</f>
        <v>6</v>
      </c>
      <c r="V1266" s="6" t="str">
        <f>IFERROR(__xludf.DUMMYFUNCTION("""COMPUTED_VALUE"""),"English")</f>
        <v>English</v>
      </c>
      <c r="W1266" s="6" t="str">
        <f>IFERROR(__xludf.DUMMYFUNCTION("""COMPUTED_VALUE"""),"[]")</f>
        <v>[]</v>
      </c>
      <c r="X1266" s="6" t="str">
        <f>IFERROR(__xludf.DUMMYFUNCTION("""COMPUTED_VALUE"""),"Enrolled")</f>
        <v>Enrolled</v>
      </c>
    </row>
    <row r="1267">
      <c r="A1267" s="6" t="str">
        <f>IFERROR(__xludf.DUMMYFUNCTION("""COMPUTED_VALUE"""),"009-1521")</f>
        <v>009-1521</v>
      </c>
      <c r="B1267" s="6" t="str">
        <f>IFERROR(__xludf.DUMMYFUNCTION("""COMPUTED_VALUE"""),"9")</f>
        <v>9</v>
      </c>
      <c r="C1267" s="6" t="str">
        <f>IFERROR(__xludf.DUMMYFUNCTION("""COMPUTED_VALUE"""),"1521")</f>
        <v>1521</v>
      </c>
      <c r="D1267" s="6" t="str">
        <f>IFERROR(__xludf.DUMMYFUNCTION("""COMPUTED_VALUE"""),"Artem")</f>
        <v>Artem</v>
      </c>
      <c r="E1267" s="6" t="str">
        <f>IFERROR(__xludf.DUMMYFUNCTION("""COMPUTED_VALUE"""),"")</f>
        <v/>
      </c>
      <c r="F1267" s="6" t="str">
        <f>IFERROR(__xludf.DUMMYFUNCTION("""COMPUTED_VALUE"""),"Prymak")</f>
        <v>Prymak</v>
      </c>
      <c r="G1267" s="6" t="str">
        <f>IFERROR(__xludf.DUMMYFUNCTION("""COMPUTED_VALUE"""),"01/01/2016")</f>
        <v>01/01/2016</v>
      </c>
      <c r="H1267" s="6" t="str">
        <f>IFERROR(__xludf.DUMMYFUNCTION("""COMPUTED_VALUE"""),"Self Identify")</f>
        <v>Self Identify</v>
      </c>
      <c r="I1267" s="6" t="str">
        <f>IFERROR(__xludf.DUMMYFUNCTION("""COMPUTED_VALUE"""),"Level 1")</f>
        <v>Level 1</v>
      </c>
      <c r="J1267" s="6" t="str">
        <f>IFERROR(__xludf.DUMMYFUNCTION("""COMPUTED_VALUE"""),"3")</f>
        <v>3</v>
      </c>
      <c r="K1267" s="6" t="str">
        <f>IFERROR(__xludf.DUMMYFUNCTION("""COMPUTED_VALUE"""),"artem.prymak@2hourlearning.com")</f>
        <v>artem.prymak@2hourlearning.com</v>
      </c>
      <c r="L1267" s="6" t="str">
        <f>IFERROR(__xludf.DUMMYFUNCTION("""COMPUTED_VALUE"""),"Learn and Earn Poland")</f>
        <v>Learn and Earn Poland</v>
      </c>
      <c r="M1267" s="6" t="str">
        <f>IFERROR(__xludf.DUMMYFUNCTION("""COMPUTED_VALUE"""),"Budapest Alpha")</f>
        <v>Budapest Alpha</v>
      </c>
      <c r="N1267" s="6" t="str">
        <f>IFERROR(__xludf.DUMMYFUNCTION("""COMPUTED_VALUE"""),"")</f>
        <v/>
      </c>
      <c r="O1267" s="87" t="str">
        <f>IFERROR(__xludf.DUMMYFUNCTION("""COMPUTED_VALUE"""),"https://drive.google.com/drive/folders/10T2cTQHqEJZqE-st6uFKPoI?usp=share_link")</f>
        <v>https://drive.google.com/drive/folders/10T2cTQHqEJZqE-st6uFKPoI?usp=share_link</v>
      </c>
      <c r="P1267" s="6" t="str">
        <f>IFERROR(__xludf.DUMMYFUNCTION("""COMPUTED_VALUE"""),"Artem Prymak")</f>
        <v>Artem Prymak</v>
      </c>
      <c r="Q1267" s="6" t="str">
        <f>IFERROR(__xludf.DUMMYFUNCTION("""COMPUTED_VALUE"""),"L1")</f>
        <v>L1</v>
      </c>
      <c r="R1267" s="6">
        <f>IFERROR(__xludf.DUMMYFUNCTION("""COMPUTED_VALUE"""),1.0)</f>
        <v>1</v>
      </c>
      <c r="S1267" s="6" t="str">
        <f>IFERROR(__xludf.DUMMYFUNCTION("""COMPUTED_VALUE""")," ")</f>
        <v> </v>
      </c>
      <c r="T1267" s="6" t="str">
        <f>IFERROR(__xludf.DUMMYFUNCTION("""COMPUTED_VALUE"""),"")</f>
        <v/>
      </c>
      <c r="U1267" s="6" t="str">
        <f>IFERROR(__xludf.DUMMYFUNCTION("""COMPUTED_VALUE"""),"3")</f>
        <v>3</v>
      </c>
      <c r="V1267" s="6" t="str">
        <f>IFERROR(__xludf.DUMMYFUNCTION("""COMPUTED_VALUE"""),"English")</f>
        <v>English</v>
      </c>
      <c r="W1267" s="6" t="str">
        <f>IFERROR(__xludf.DUMMYFUNCTION("""COMPUTED_VALUE"""),"[]")</f>
        <v>[]</v>
      </c>
      <c r="X1267" s="6" t="str">
        <f>IFERROR(__xludf.DUMMYFUNCTION("""COMPUTED_VALUE"""),"Enrolled")</f>
        <v>Enrolled</v>
      </c>
    </row>
    <row r="1268">
      <c r="A1268" s="6" t="str">
        <f>IFERROR(__xludf.DUMMYFUNCTION("""COMPUTED_VALUE"""),"009-1522")</f>
        <v>009-1522</v>
      </c>
      <c r="B1268" s="6" t="str">
        <f>IFERROR(__xludf.DUMMYFUNCTION("""COMPUTED_VALUE"""),"9")</f>
        <v>9</v>
      </c>
      <c r="C1268" s="6" t="str">
        <f>IFERROR(__xludf.DUMMYFUNCTION("""COMPUTED_VALUE"""),"1522")</f>
        <v>1522</v>
      </c>
      <c r="D1268" s="6" t="str">
        <f>IFERROR(__xludf.DUMMYFUNCTION("""COMPUTED_VALUE"""),"Daniel")</f>
        <v>Daniel</v>
      </c>
      <c r="E1268" s="6" t="str">
        <f>IFERROR(__xludf.DUMMYFUNCTION("""COMPUTED_VALUE"""),"")</f>
        <v/>
      </c>
      <c r="F1268" s="6" t="str">
        <f>IFERROR(__xludf.DUMMYFUNCTION("""COMPUTED_VALUE"""),"Sharkezi")</f>
        <v>Sharkezi</v>
      </c>
      <c r="G1268" s="6" t="str">
        <f>IFERROR(__xludf.DUMMYFUNCTION("""COMPUTED_VALUE"""),"01/01/2012")</f>
        <v>01/01/2012</v>
      </c>
      <c r="H1268" s="6" t="str">
        <f>IFERROR(__xludf.DUMMYFUNCTION("""COMPUTED_VALUE"""),"Self Identify")</f>
        <v>Self Identify</v>
      </c>
      <c r="I1268" s="6" t="str">
        <f>IFERROR(__xludf.DUMMYFUNCTION("""COMPUTED_VALUE"""),"Middle School")</f>
        <v>Middle School</v>
      </c>
      <c r="J1268" s="6" t="str">
        <f>IFERROR(__xludf.DUMMYFUNCTION("""COMPUTED_VALUE"""),"7")</f>
        <v>7</v>
      </c>
      <c r="K1268" s="6" t="str">
        <f>IFERROR(__xludf.DUMMYFUNCTION("""COMPUTED_VALUE"""),"daniel.sharkezi@2hourlearning.com")</f>
        <v>daniel.sharkezi@2hourlearning.com</v>
      </c>
      <c r="L1268" s="6" t="str">
        <f>IFERROR(__xludf.DUMMYFUNCTION("""COMPUTED_VALUE"""),"Learn and Earn Poland")</f>
        <v>Learn and Earn Poland</v>
      </c>
      <c r="M1268" s="6" t="str">
        <f>IFERROR(__xludf.DUMMYFUNCTION("""COMPUTED_VALUE"""),"Budapest ex-GTS")</f>
        <v>Budapest ex-GTS</v>
      </c>
      <c r="N1268" s="6" t="str">
        <f>IFERROR(__xludf.DUMMYFUNCTION("""COMPUTED_VALUE"""),"")</f>
        <v/>
      </c>
      <c r="O1268" s="87" t="str">
        <f>IFERROR(__xludf.DUMMYFUNCTION("""COMPUTED_VALUE"""),"https://drive.google.com/drive/folders/10T2cTQHqEJZqE-st6uFKPoI?usp=share_link")</f>
        <v>https://drive.google.com/drive/folders/10T2cTQHqEJZqE-st6uFKPoI?usp=share_link</v>
      </c>
      <c r="P1268" s="6" t="str">
        <f>IFERROR(__xludf.DUMMYFUNCTION("""COMPUTED_VALUE"""),"Daniel Sharkezi")</f>
        <v>Daniel Sharkezi</v>
      </c>
      <c r="Q1268" s="6" t="str">
        <f>IFERROR(__xludf.DUMMYFUNCTION("""COMPUTED_VALUE"""),"MS")</f>
        <v>MS</v>
      </c>
      <c r="R1268" s="6">
        <f>IFERROR(__xludf.DUMMYFUNCTION("""COMPUTED_VALUE"""),0.0)</f>
        <v>0</v>
      </c>
      <c r="S1268" s="6" t="str">
        <f>IFERROR(__xludf.DUMMYFUNCTION("""COMPUTED_VALUE""")," ")</f>
        <v> </v>
      </c>
      <c r="T1268" s="6" t="str">
        <f>IFERROR(__xludf.DUMMYFUNCTION("""COMPUTED_VALUE"""),"")</f>
        <v/>
      </c>
      <c r="U1268" s="6" t="str">
        <f>IFERROR(__xludf.DUMMYFUNCTION("""COMPUTED_VALUE"""),"7")</f>
        <v>7</v>
      </c>
      <c r="V1268" s="6" t="str">
        <f>IFERROR(__xludf.DUMMYFUNCTION("""COMPUTED_VALUE"""),"English")</f>
        <v>English</v>
      </c>
      <c r="W1268" s="6" t="str">
        <f>IFERROR(__xludf.DUMMYFUNCTION("""COMPUTED_VALUE"""),"[]")</f>
        <v>[]</v>
      </c>
      <c r="X1268" s="6" t="str">
        <f>IFERROR(__xludf.DUMMYFUNCTION("""COMPUTED_VALUE"""),"Enrolled")</f>
        <v>Enrolled</v>
      </c>
    </row>
    <row r="1269">
      <c r="A1269" s="6" t="str">
        <f>IFERROR(__xludf.DUMMYFUNCTION("""COMPUTED_VALUE"""),"009-1523")</f>
        <v>009-1523</v>
      </c>
      <c r="B1269" s="6" t="str">
        <f>IFERROR(__xludf.DUMMYFUNCTION("""COMPUTED_VALUE"""),"9")</f>
        <v>9</v>
      </c>
      <c r="C1269" s="6" t="str">
        <f>IFERROR(__xludf.DUMMYFUNCTION("""COMPUTED_VALUE"""),"1523")</f>
        <v>1523</v>
      </c>
      <c r="D1269" s="6" t="str">
        <f>IFERROR(__xludf.DUMMYFUNCTION("""COMPUTED_VALUE"""),"Akos")</f>
        <v>Akos</v>
      </c>
      <c r="E1269" s="6" t="str">
        <f>IFERROR(__xludf.DUMMYFUNCTION("""COMPUTED_VALUE"""),"")</f>
        <v/>
      </c>
      <c r="F1269" s="6" t="str">
        <f>IFERROR(__xludf.DUMMYFUNCTION("""COMPUTED_VALUE"""),"Horvath")</f>
        <v>Horvath</v>
      </c>
      <c r="G1269" s="6" t="str">
        <f>IFERROR(__xludf.DUMMYFUNCTION("""COMPUTED_VALUE"""),"01/01/2008")</f>
        <v>01/01/2008</v>
      </c>
      <c r="H1269" s="6" t="str">
        <f>IFERROR(__xludf.DUMMYFUNCTION("""COMPUTED_VALUE"""),"Self Identify")</f>
        <v>Self Identify</v>
      </c>
      <c r="I1269" s="6" t="str">
        <f>IFERROR(__xludf.DUMMYFUNCTION("""COMPUTED_VALUE"""),"High School")</f>
        <v>High School</v>
      </c>
      <c r="J1269" s="6" t="str">
        <f>IFERROR(__xludf.DUMMYFUNCTION("""COMPUTED_VALUE"""),"11")</f>
        <v>11</v>
      </c>
      <c r="K1269" s="6" t="str">
        <f>IFERROR(__xludf.DUMMYFUNCTION("""COMPUTED_VALUE"""),"akos.horvath@2hourlearning.com")</f>
        <v>akos.horvath@2hourlearning.com</v>
      </c>
      <c r="L1269" s="6" t="str">
        <f>IFERROR(__xludf.DUMMYFUNCTION("""COMPUTED_VALUE"""),"Learn and Earn Poland")</f>
        <v>Learn and Earn Poland</v>
      </c>
      <c r="M1269" s="6" t="str">
        <f>IFERROR(__xludf.DUMMYFUNCTION("""COMPUTED_VALUE"""),"Budapest Alpha")</f>
        <v>Budapest Alpha</v>
      </c>
      <c r="N1269" s="6" t="str">
        <f>IFERROR(__xludf.DUMMYFUNCTION("""COMPUTED_VALUE"""),"")</f>
        <v/>
      </c>
      <c r="O1269" s="87" t="str">
        <f>IFERROR(__xludf.DUMMYFUNCTION("""COMPUTED_VALUE"""),"https://drive.google.com/drive/folders/10T2cTQHqEJZqE-st6uFKPoI?usp=share_link")</f>
        <v>https://drive.google.com/drive/folders/10T2cTQHqEJZqE-st6uFKPoI?usp=share_link</v>
      </c>
      <c r="P1269" s="6" t="str">
        <f>IFERROR(__xludf.DUMMYFUNCTION("""COMPUTED_VALUE"""),"Akos Horvath")</f>
        <v>Akos Horvath</v>
      </c>
      <c r="Q1269" s="6" t="str">
        <f>IFERROR(__xludf.DUMMYFUNCTION("""COMPUTED_VALUE"""),"HS")</f>
        <v>HS</v>
      </c>
      <c r="R1269" s="6">
        <f>IFERROR(__xludf.DUMMYFUNCTION("""COMPUTED_VALUE"""),0.0)</f>
        <v>0</v>
      </c>
      <c r="S1269" s="6" t="str">
        <f>IFERROR(__xludf.DUMMYFUNCTION("""COMPUTED_VALUE""")," ")</f>
        <v> </v>
      </c>
      <c r="T1269" s="6" t="str">
        <f>IFERROR(__xludf.DUMMYFUNCTION("""COMPUTED_VALUE"""),"")</f>
        <v/>
      </c>
      <c r="U1269" s="6" t="str">
        <f>IFERROR(__xludf.DUMMYFUNCTION("""COMPUTED_VALUE"""),"11")</f>
        <v>11</v>
      </c>
      <c r="V1269" s="6" t="str">
        <f>IFERROR(__xludf.DUMMYFUNCTION("""COMPUTED_VALUE"""),"English")</f>
        <v>English</v>
      </c>
      <c r="W1269" s="6" t="str">
        <f>IFERROR(__xludf.DUMMYFUNCTION("""COMPUTED_VALUE"""),"[]")</f>
        <v>[]</v>
      </c>
      <c r="X1269" s="6" t="str">
        <f>IFERROR(__xludf.DUMMYFUNCTION("""COMPUTED_VALUE"""),"Enrolled")</f>
        <v>Enrolled</v>
      </c>
    </row>
    <row r="1270">
      <c r="A1270" s="6" t="str">
        <f>IFERROR(__xludf.DUMMYFUNCTION("""COMPUTED_VALUE"""),"009-1524")</f>
        <v>009-1524</v>
      </c>
      <c r="B1270" s="6" t="str">
        <f>IFERROR(__xludf.DUMMYFUNCTION("""COMPUTED_VALUE"""),"9")</f>
        <v>9</v>
      </c>
      <c r="C1270" s="6" t="str">
        <f>IFERROR(__xludf.DUMMYFUNCTION("""COMPUTED_VALUE"""),"1524")</f>
        <v>1524</v>
      </c>
      <c r="D1270" s="6" t="str">
        <f>IFERROR(__xludf.DUMMYFUNCTION("""COMPUTED_VALUE"""),"Jaroslav")</f>
        <v>Jaroslav</v>
      </c>
      <c r="E1270" s="6" t="str">
        <f>IFERROR(__xludf.DUMMYFUNCTION("""COMPUTED_VALUE"""),"")</f>
        <v/>
      </c>
      <c r="F1270" s="6" t="str">
        <f>IFERROR(__xludf.DUMMYFUNCTION("""COMPUTED_VALUE"""),"Tkachenko")</f>
        <v>Tkachenko</v>
      </c>
      <c r="G1270" s="6" t="str">
        <f>IFERROR(__xludf.DUMMYFUNCTION("""COMPUTED_VALUE"""),"01/01/2011")</f>
        <v>01/01/2011</v>
      </c>
      <c r="H1270" s="6" t="str">
        <f>IFERROR(__xludf.DUMMYFUNCTION("""COMPUTED_VALUE"""),"Self Identify")</f>
        <v>Self Identify</v>
      </c>
      <c r="I1270" s="6" t="str">
        <f>IFERROR(__xludf.DUMMYFUNCTION("""COMPUTED_VALUE"""),"Middle School")</f>
        <v>Middle School</v>
      </c>
      <c r="J1270" s="6" t="str">
        <f>IFERROR(__xludf.DUMMYFUNCTION("""COMPUTED_VALUE"""),"8")</f>
        <v>8</v>
      </c>
      <c r="K1270" s="6" t="str">
        <f>IFERROR(__xludf.DUMMYFUNCTION("""COMPUTED_VALUE"""),"jaroslav.tkachenko@2hourlearning.com")</f>
        <v>jaroslav.tkachenko@2hourlearning.com</v>
      </c>
      <c r="L1270" s="6" t="str">
        <f>IFERROR(__xludf.DUMMYFUNCTION("""COMPUTED_VALUE"""),"Learn and Earn Poland")</f>
        <v>Learn and Earn Poland</v>
      </c>
      <c r="M1270" s="6" t="str">
        <f>IFERROR(__xludf.DUMMYFUNCTION("""COMPUTED_VALUE"""),"Budapest ex-GTS")</f>
        <v>Budapest ex-GTS</v>
      </c>
      <c r="N1270" s="6" t="str">
        <f>IFERROR(__xludf.DUMMYFUNCTION("""COMPUTED_VALUE"""),"")</f>
        <v/>
      </c>
      <c r="O1270" s="87" t="str">
        <f>IFERROR(__xludf.DUMMYFUNCTION("""COMPUTED_VALUE"""),"https://drive.google.com/drive/folders/10T2cTQHqEJZqE-st6uFKPoI?usp=share_link")</f>
        <v>https://drive.google.com/drive/folders/10T2cTQHqEJZqE-st6uFKPoI?usp=share_link</v>
      </c>
      <c r="P1270" s="6" t="str">
        <f>IFERROR(__xludf.DUMMYFUNCTION("""COMPUTED_VALUE"""),"Jaroslav Tkachenko")</f>
        <v>Jaroslav Tkachenko</v>
      </c>
      <c r="Q1270" s="6" t="str">
        <f>IFERROR(__xludf.DUMMYFUNCTION("""COMPUTED_VALUE"""),"MS")</f>
        <v>MS</v>
      </c>
      <c r="R1270" s="6">
        <f>IFERROR(__xludf.DUMMYFUNCTION("""COMPUTED_VALUE"""),0.0)</f>
        <v>0</v>
      </c>
      <c r="S1270" s="6" t="str">
        <f>IFERROR(__xludf.DUMMYFUNCTION("""COMPUTED_VALUE""")," ")</f>
        <v> </v>
      </c>
      <c r="T1270" s="6" t="str">
        <f>IFERROR(__xludf.DUMMYFUNCTION("""COMPUTED_VALUE"""),"")</f>
        <v/>
      </c>
      <c r="U1270" s="6" t="str">
        <f>IFERROR(__xludf.DUMMYFUNCTION("""COMPUTED_VALUE"""),"8")</f>
        <v>8</v>
      </c>
      <c r="V1270" s="6" t="str">
        <f>IFERROR(__xludf.DUMMYFUNCTION("""COMPUTED_VALUE"""),"English")</f>
        <v>English</v>
      </c>
      <c r="W1270" s="6" t="str">
        <f>IFERROR(__xludf.DUMMYFUNCTION("""COMPUTED_VALUE"""),"[]")</f>
        <v>[]</v>
      </c>
      <c r="X1270" s="6" t="str">
        <f>IFERROR(__xludf.DUMMYFUNCTION("""COMPUTED_VALUE"""),"Enrolled")</f>
        <v>Enrolled</v>
      </c>
    </row>
    <row r="1271">
      <c r="A1271" s="6" t="str">
        <f>IFERROR(__xludf.DUMMYFUNCTION("""COMPUTED_VALUE"""),"009-1525")</f>
        <v>009-1525</v>
      </c>
      <c r="B1271" s="6" t="str">
        <f>IFERROR(__xludf.DUMMYFUNCTION("""COMPUTED_VALUE"""),"9")</f>
        <v>9</v>
      </c>
      <c r="C1271" s="6" t="str">
        <f>IFERROR(__xludf.DUMMYFUNCTION("""COMPUTED_VALUE"""),"1525")</f>
        <v>1525</v>
      </c>
      <c r="D1271" s="6" t="str">
        <f>IFERROR(__xludf.DUMMYFUNCTION("""COMPUTED_VALUE"""),"David")</f>
        <v>David</v>
      </c>
      <c r="E1271" s="6" t="str">
        <f>IFERROR(__xludf.DUMMYFUNCTION("""COMPUTED_VALUE"""),"")</f>
        <v/>
      </c>
      <c r="F1271" s="6" t="str">
        <f>IFERROR(__xludf.DUMMYFUNCTION("""COMPUTED_VALUE"""),"Beres")</f>
        <v>Beres</v>
      </c>
      <c r="G1271" s="6" t="str">
        <f>IFERROR(__xludf.DUMMYFUNCTION("""COMPUTED_VALUE"""),"01/01/2011")</f>
        <v>01/01/2011</v>
      </c>
      <c r="H1271" s="6" t="str">
        <f>IFERROR(__xludf.DUMMYFUNCTION("""COMPUTED_VALUE"""),"Self Identify")</f>
        <v>Self Identify</v>
      </c>
      <c r="I1271" s="6" t="str">
        <f>IFERROR(__xludf.DUMMYFUNCTION("""COMPUTED_VALUE"""),"Middle School")</f>
        <v>Middle School</v>
      </c>
      <c r="J1271" s="6" t="str">
        <f>IFERROR(__xludf.DUMMYFUNCTION("""COMPUTED_VALUE"""),"8")</f>
        <v>8</v>
      </c>
      <c r="K1271" s="6" t="str">
        <f>IFERROR(__xludf.DUMMYFUNCTION("""COMPUTED_VALUE"""),"david.beres@2hourlearning.com")</f>
        <v>david.beres@2hourlearning.com</v>
      </c>
      <c r="L1271" s="6" t="str">
        <f>IFERROR(__xludf.DUMMYFUNCTION("""COMPUTED_VALUE"""),"Learn and Earn Poland")</f>
        <v>Learn and Earn Poland</v>
      </c>
      <c r="M1271" s="6" t="str">
        <f>IFERROR(__xludf.DUMMYFUNCTION("""COMPUTED_VALUE"""),"Budapest Alpha")</f>
        <v>Budapest Alpha</v>
      </c>
      <c r="N1271" s="6" t="str">
        <f>IFERROR(__xludf.DUMMYFUNCTION("""COMPUTED_VALUE"""),"")</f>
        <v/>
      </c>
      <c r="O1271" s="87" t="str">
        <f>IFERROR(__xludf.DUMMYFUNCTION("""COMPUTED_VALUE"""),"https://drive.google.com/drive/folders/10T2cTQHqEJZqE-st6uFKPoI?usp=share_link")</f>
        <v>https://drive.google.com/drive/folders/10T2cTQHqEJZqE-st6uFKPoI?usp=share_link</v>
      </c>
      <c r="P1271" s="6" t="str">
        <f>IFERROR(__xludf.DUMMYFUNCTION("""COMPUTED_VALUE"""),"David Beres")</f>
        <v>David Beres</v>
      </c>
      <c r="Q1271" s="6" t="str">
        <f>IFERROR(__xludf.DUMMYFUNCTION("""COMPUTED_VALUE"""),"MS")</f>
        <v>MS</v>
      </c>
      <c r="R1271" s="6">
        <f>IFERROR(__xludf.DUMMYFUNCTION("""COMPUTED_VALUE"""),0.0)</f>
        <v>0</v>
      </c>
      <c r="S1271" s="6" t="str">
        <f>IFERROR(__xludf.DUMMYFUNCTION("""COMPUTED_VALUE""")," ")</f>
        <v> </v>
      </c>
      <c r="T1271" s="6" t="str">
        <f>IFERROR(__xludf.DUMMYFUNCTION("""COMPUTED_VALUE"""),"")</f>
        <v/>
      </c>
      <c r="U1271" s="6" t="str">
        <f>IFERROR(__xludf.DUMMYFUNCTION("""COMPUTED_VALUE"""),"8")</f>
        <v>8</v>
      </c>
      <c r="V1271" s="6" t="str">
        <f>IFERROR(__xludf.DUMMYFUNCTION("""COMPUTED_VALUE"""),"English")</f>
        <v>English</v>
      </c>
      <c r="W1271" s="6" t="str">
        <f>IFERROR(__xludf.DUMMYFUNCTION("""COMPUTED_VALUE"""),"[]")</f>
        <v>[]</v>
      </c>
      <c r="X1271" s="6" t="str">
        <f>IFERROR(__xludf.DUMMYFUNCTION("""COMPUTED_VALUE"""),"Enrolled")</f>
        <v>Enrolled</v>
      </c>
    </row>
    <row r="1272">
      <c r="A1272" s="6" t="str">
        <f>IFERROR(__xludf.DUMMYFUNCTION("""COMPUTED_VALUE"""),"009-1526")</f>
        <v>009-1526</v>
      </c>
      <c r="B1272" s="6" t="str">
        <f>IFERROR(__xludf.DUMMYFUNCTION("""COMPUTED_VALUE"""),"9")</f>
        <v>9</v>
      </c>
      <c r="C1272" s="6" t="str">
        <f>IFERROR(__xludf.DUMMYFUNCTION("""COMPUTED_VALUE"""),"1526")</f>
        <v>1526</v>
      </c>
      <c r="D1272" s="6" t="str">
        <f>IFERROR(__xludf.DUMMYFUNCTION("""COMPUTED_VALUE"""),"Ivan")</f>
        <v>Ivan</v>
      </c>
      <c r="E1272" s="6" t="str">
        <f>IFERROR(__xludf.DUMMYFUNCTION("""COMPUTED_VALUE"""),"")</f>
        <v/>
      </c>
      <c r="F1272" s="6" t="str">
        <f>IFERROR(__xludf.DUMMYFUNCTION("""COMPUTED_VALUE"""),"Chernysh")</f>
        <v>Chernysh</v>
      </c>
      <c r="G1272" s="6" t="str">
        <f>IFERROR(__xludf.DUMMYFUNCTION("""COMPUTED_VALUE"""),"01/01/2013")</f>
        <v>01/01/2013</v>
      </c>
      <c r="H1272" s="6" t="str">
        <f>IFERROR(__xludf.DUMMYFUNCTION("""COMPUTED_VALUE"""),"Self Identify")</f>
        <v>Self Identify</v>
      </c>
      <c r="I1272" s="6" t="str">
        <f>IFERROR(__xludf.DUMMYFUNCTION("""COMPUTED_VALUE"""),"Middle School")</f>
        <v>Middle School</v>
      </c>
      <c r="J1272" s="6" t="str">
        <f>IFERROR(__xludf.DUMMYFUNCTION("""COMPUTED_VALUE"""),"6")</f>
        <v>6</v>
      </c>
      <c r="K1272" s="6" t="str">
        <f>IFERROR(__xludf.DUMMYFUNCTION("""COMPUTED_VALUE"""),"ivan.chernysh@2hourlearning.com")</f>
        <v>ivan.chernysh@2hourlearning.com</v>
      </c>
      <c r="L1272" s="6" t="str">
        <f>IFERROR(__xludf.DUMMYFUNCTION("""COMPUTED_VALUE"""),"Learn and Earn Poland")</f>
        <v>Learn and Earn Poland</v>
      </c>
      <c r="M1272" s="6" t="str">
        <f>IFERROR(__xludf.DUMMYFUNCTION("""COMPUTED_VALUE"""),"Budapest ex-GTS")</f>
        <v>Budapest ex-GTS</v>
      </c>
      <c r="N1272" s="6" t="str">
        <f>IFERROR(__xludf.DUMMYFUNCTION("""COMPUTED_VALUE"""),"")</f>
        <v/>
      </c>
      <c r="O1272" s="87" t="str">
        <f>IFERROR(__xludf.DUMMYFUNCTION("""COMPUTED_VALUE"""),"https://drive.google.com/drive/folders/10T2cTQHqEJZqE-st6uFKPoI?usp=share_link")</f>
        <v>https://drive.google.com/drive/folders/10T2cTQHqEJZqE-st6uFKPoI?usp=share_link</v>
      </c>
      <c r="P1272" s="6" t="str">
        <f>IFERROR(__xludf.DUMMYFUNCTION("""COMPUTED_VALUE"""),"Ivan Chernysh")</f>
        <v>Ivan Chernysh</v>
      </c>
      <c r="Q1272" s="6" t="str">
        <f>IFERROR(__xludf.DUMMYFUNCTION("""COMPUTED_VALUE"""),"MS")</f>
        <v>MS</v>
      </c>
      <c r="R1272" s="6">
        <f>IFERROR(__xludf.DUMMYFUNCTION("""COMPUTED_VALUE"""),0.0)</f>
        <v>0</v>
      </c>
      <c r="S1272" s="6" t="str">
        <f>IFERROR(__xludf.DUMMYFUNCTION("""COMPUTED_VALUE""")," ")</f>
        <v> </v>
      </c>
      <c r="T1272" s="6" t="str">
        <f>IFERROR(__xludf.DUMMYFUNCTION("""COMPUTED_VALUE"""),"")</f>
        <v/>
      </c>
      <c r="U1272" s="6" t="str">
        <f>IFERROR(__xludf.DUMMYFUNCTION("""COMPUTED_VALUE"""),"6")</f>
        <v>6</v>
      </c>
      <c r="V1272" s="6" t="str">
        <f>IFERROR(__xludf.DUMMYFUNCTION("""COMPUTED_VALUE"""),"English")</f>
        <v>English</v>
      </c>
      <c r="W1272" s="6" t="str">
        <f>IFERROR(__xludf.DUMMYFUNCTION("""COMPUTED_VALUE"""),"[]")</f>
        <v>[]</v>
      </c>
      <c r="X1272" s="6" t="str">
        <f>IFERROR(__xludf.DUMMYFUNCTION("""COMPUTED_VALUE"""),"Enrolled")</f>
        <v>Enrolled</v>
      </c>
    </row>
    <row r="1273">
      <c r="A1273" s="6" t="str">
        <f>IFERROR(__xludf.DUMMYFUNCTION("""COMPUTED_VALUE"""),"009-1527")</f>
        <v>009-1527</v>
      </c>
      <c r="B1273" s="6" t="str">
        <f>IFERROR(__xludf.DUMMYFUNCTION("""COMPUTED_VALUE"""),"9")</f>
        <v>9</v>
      </c>
      <c r="C1273" s="6" t="str">
        <f>IFERROR(__xludf.DUMMYFUNCTION("""COMPUTED_VALUE"""),"1527")</f>
        <v>1527</v>
      </c>
      <c r="D1273" s="6" t="str">
        <f>IFERROR(__xludf.DUMMYFUNCTION("""COMPUTED_VALUE"""),"Sandor")</f>
        <v>Sandor</v>
      </c>
      <c r="E1273" s="6" t="str">
        <f>IFERROR(__xludf.DUMMYFUNCTION("""COMPUTED_VALUE"""),"")</f>
        <v/>
      </c>
      <c r="F1273" s="6" t="str">
        <f>IFERROR(__xludf.DUMMYFUNCTION("""COMPUTED_VALUE"""),"Lakatos")</f>
        <v>Lakatos</v>
      </c>
      <c r="G1273" s="6" t="str">
        <f>IFERROR(__xludf.DUMMYFUNCTION("""COMPUTED_VALUE"""),"01/01/2017")</f>
        <v>01/01/2017</v>
      </c>
      <c r="H1273" s="6" t="str">
        <f>IFERROR(__xludf.DUMMYFUNCTION("""COMPUTED_VALUE"""),"Self Identify")</f>
        <v>Self Identify</v>
      </c>
      <c r="I1273" s="6" t="str">
        <f>IFERROR(__xludf.DUMMYFUNCTION("""COMPUTED_VALUE"""),"Level 1")</f>
        <v>Level 1</v>
      </c>
      <c r="J1273" s="6" t="str">
        <f>IFERROR(__xludf.DUMMYFUNCTION("""COMPUTED_VALUE"""),"2")</f>
        <v>2</v>
      </c>
      <c r="K1273" s="6" t="str">
        <f>IFERROR(__xludf.DUMMYFUNCTION("""COMPUTED_VALUE"""),"sandor.lakatos@2hourlearning.com")</f>
        <v>sandor.lakatos@2hourlearning.com</v>
      </c>
      <c r="L1273" s="6" t="str">
        <f>IFERROR(__xludf.DUMMYFUNCTION("""COMPUTED_VALUE"""),"Learn and Earn Poland")</f>
        <v>Learn and Earn Poland</v>
      </c>
      <c r="M1273" s="6" t="str">
        <f>IFERROR(__xludf.DUMMYFUNCTION("""COMPUTED_VALUE"""),"Budapest Alpha")</f>
        <v>Budapest Alpha</v>
      </c>
      <c r="N1273" s="6" t="str">
        <f>IFERROR(__xludf.DUMMYFUNCTION("""COMPUTED_VALUE"""),"")</f>
        <v/>
      </c>
      <c r="O1273" s="87" t="str">
        <f>IFERROR(__xludf.DUMMYFUNCTION("""COMPUTED_VALUE"""),"https://drive.google.com/drive/folders/10T2cTQHqEJZqE-st6uFKPoI?usp=share_link")</f>
        <v>https://drive.google.com/drive/folders/10T2cTQHqEJZqE-st6uFKPoI?usp=share_link</v>
      </c>
      <c r="P1273" s="6" t="str">
        <f>IFERROR(__xludf.DUMMYFUNCTION("""COMPUTED_VALUE"""),"Sandor Lakatos")</f>
        <v>Sandor Lakatos</v>
      </c>
      <c r="Q1273" s="6" t="str">
        <f>IFERROR(__xludf.DUMMYFUNCTION("""COMPUTED_VALUE"""),"L1")</f>
        <v>L1</v>
      </c>
      <c r="R1273" s="6">
        <f>IFERROR(__xludf.DUMMYFUNCTION("""COMPUTED_VALUE"""),1.0)</f>
        <v>1</v>
      </c>
      <c r="S1273" s="6" t="str">
        <f>IFERROR(__xludf.DUMMYFUNCTION("""COMPUTED_VALUE""")," ")</f>
        <v> </v>
      </c>
      <c r="T1273" s="6" t="str">
        <f>IFERROR(__xludf.DUMMYFUNCTION("""COMPUTED_VALUE"""),"")</f>
        <v/>
      </c>
      <c r="U1273" s="6" t="str">
        <f>IFERROR(__xludf.DUMMYFUNCTION("""COMPUTED_VALUE"""),"2")</f>
        <v>2</v>
      </c>
      <c r="V1273" s="6" t="str">
        <f>IFERROR(__xludf.DUMMYFUNCTION("""COMPUTED_VALUE"""),"English")</f>
        <v>English</v>
      </c>
      <c r="W1273" s="6" t="str">
        <f>IFERROR(__xludf.DUMMYFUNCTION("""COMPUTED_VALUE"""),"[]")</f>
        <v>[]</v>
      </c>
      <c r="X1273" s="6" t="str">
        <f>IFERROR(__xludf.DUMMYFUNCTION("""COMPUTED_VALUE"""),"Enrolled")</f>
        <v>Enrolled</v>
      </c>
    </row>
    <row r="1274">
      <c r="A1274" s="6" t="str">
        <f>IFERROR(__xludf.DUMMYFUNCTION("""COMPUTED_VALUE"""),"009-1528")</f>
        <v>009-1528</v>
      </c>
      <c r="B1274" s="6" t="str">
        <f>IFERROR(__xludf.DUMMYFUNCTION("""COMPUTED_VALUE"""),"9")</f>
        <v>9</v>
      </c>
      <c r="C1274" s="6" t="str">
        <f>IFERROR(__xludf.DUMMYFUNCTION("""COMPUTED_VALUE"""),"1528")</f>
        <v>1528</v>
      </c>
      <c r="D1274" s="6" t="str">
        <f>IFERROR(__xludf.DUMMYFUNCTION("""COMPUTED_VALUE"""),"Denys")</f>
        <v>Denys</v>
      </c>
      <c r="E1274" s="6" t="str">
        <f>IFERROR(__xludf.DUMMYFUNCTION("""COMPUTED_VALUE"""),"")</f>
        <v/>
      </c>
      <c r="F1274" s="6" t="str">
        <f>IFERROR(__xludf.DUMMYFUNCTION("""COMPUTED_VALUE"""),"Tkalich")</f>
        <v>Tkalich</v>
      </c>
      <c r="G1274" s="6" t="str">
        <f>IFERROR(__xludf.DUMMYFUNCTION("""COMPUTED_VALUE"""),"01/01/2009")</f>
        <v>01/01/2009</v>
      </c>
      <c r="H1274" s="6" t="str">
        <f>IFERROR(__xludf.DUMMYFUNCTION("""COMPUTED_VALUE"""),"Self Identify")</f>
        <v>Self Identify</v>
      </c>
      <c r="I1274" s="6" t="str">
        <f>IFERROR(__xludf.DUMMYFUNCTION("""COMPUTED_VALUE"""),"High School")</f>
        <v>High School</v>
      </c>
      <c r="J1274" s="6" t="str">
        <f>IFERROR(__xludf.DUMMYFUNCTION("""COMPUTED_VALUE"""),"10")</f>
        <v>10</v>
      </c>
      <c r="K1274" s="6" t="str">
        <f>IFERROR(__xludf.DUMMYFUNCTION("""COMPUTED_VALUE"""),"denys.tkalich@2hourlearning.com")</f>
        <v>denys.tkalich@2hourlearning.com</v>
      </c>
      <c r="L1274" s="6" t="str">
        <f>IFERROR(__xludf.DUMMYFUNCTION("""COMPUTED_VALUE"""),"Learn and Earn Poland")</f>
        <v>Learn and Earn Poland</v>
      </c>
      <c r="M1274" s="6" t="str">
        <f>IFERROR(__xludf.DUMMYFUNCTION("""COMPUTED_VALUE"""),"Budapest ex-GTS")</f>
        <v>Budapest ex-GTS</v>
      </c>
      <c r="N1274" s="6" t="str">
        <f>IFERROR(__xludf.DUMMYFUNCTION("""COMPUTED_VALUE"""),"")</f>
        <v/>
      </c>
      <c r="O1274" s="87" t="str">
        <f>IFERROR(__xludf.DUMMYFUNCTION("""COMPUTED_VALUE"""),"https://drive.google.com/drive/folders/10T2cTQHqEJZqE-st6uFKPoI?usp=share_link")</f>
        <v>https://drive.google.com/drive/folders/10T2cTQHqEJZqE-st6uFKPoI?usp=share_link</v>
      </c>
      <c r="P1274" s="6" t="str">
        <f>IFERROR(__xludf.DUMMYFUNCTION("""COMPUTED_VALUE"""),"Denys Tkalich")</f>
        <v>Denys Tkalich</v>
      </c>
      <c r="Q1274" s="6" t="str">
        <f>IFERROR(__xludf.DUMMYFUNCTION("""COMPUTED_VALUE"""),"HS")</f>
        <v>HS</v>
      </c>
      <c r="R1274" s="6">
        <f>IFERROR(__xludf.DUMMYFUNCTION("""COMPUTED_VALUE"""),0.0)</f>
        <v>0</v>
      </c>
      <c r="S1274" s="6" t="str">
        <f>IFERROR(__xludf.DUMMYFUNCTION("""COMPUTED_VALUE""")," ")</f>
        <v> </v>
      </c>
      <c r="T1274" s="6" t="str">
        <f>IFERROR(__xludf.DUMMYFUNCTION("""COMPUTED_VALUE"""),"")</f>
        <v/>
      </c>
      <c r="U1274" s="6" t="str">
        <f>IFERROR(__xludf.DUMMYFUNCTION("""COMPUTED_VALUE"""),"10")</f>
        <v>10</v>
      </c>
      <c r="V1274" s="6" t="str">
        <f>IFERROR(__xludf.DUMMYFUNCTION("""COMPUTED_VALUE"""),"English")</f>
        <v>English</v>
      </c>
      <c r="W1274" s="6" t="str">
        <f>IFERROR(__xludf.DUMMYFUNCTION("""COMPUTED_VALUE"""),"[]")</f>
        <v>[]</v>
      </c>
      <c r="X1274" s="6" t="str">
        <f>IFERROR(__xludf.DUMMYFUNCTION("""COMPUTED_VALUE"""),"Enrolled")</f>
        <v>Enrolled</v>
      </c>
    </row>
    <row r="1275">
      <c r="A1275" s="6" t="str">
        <f>IFERROR(__xludf.DUMMYFUNCTION("""COMPUTED_VALUE"""),"009-1529")</f>
        <v>009-1529</v>
      </c>
      <c r="B1275" s="6" t="str">
        <f>IFERROR(__xludf.DUMMYFUNCTION("""COMPUTED_VALUE"""),"9")</f>
        <v>9</v>
      </c>
      <c r="C1275" s="6" t="str">
        <f>IFERROR(__xludf.DUMMYFUNCTION("""COMPUTED_VALUE"""),"1529")</f>
        <v>1529</v>
      </c>
      <c r="D1275" s="6" t="str">
        <f>IFERROR(__xludf.DUMMYFUNCTION("""COMPUTED_VALUE"""),"Anastasia")</f>
        <v>Anastasia</v>
      </c>
      <c r="E1275" s="6" t="str">
        <f>IFERROR(__xludf.DUMMYFUNCTION("""COMPUTED_VALUE"""),"")</f>
        <v/>
      </c>
      <c r="F1275" s="6" t="str">
        <f>IFERROR(__xludf.DUMMYFUNCTION("""COMPUTED_VALUE"""),"Piddubniak")</f>
        <v>Piddubniak</v>
      </c>
      <c r="G1275" s="6" t="str">
        <f>IFERROR(__xludf.DUMMYFUNCTION("""COMPUTED_VALUE"""),"01/01/2013")</f>
        <v>01/01/2013</v>
      </c>
      <c r="H1275" s="6" t="str">
        <f>IFERROR(__xludf.DUMMYFUNCTION("""COMPUTED_VALUE"""),"Self Identify")</f>
        <v>Self Identify</v>
      </c>
      <c r="I1275" s="6" t="str">
        <f>IFERROR(__xludf.DUMMYFUNCTION("""COMPUTED_VALUE"""),"Middle School")</f>
        <v>Middle School</v>
      </c>
      <c r="J1275" s="6" t="str">
        <f>IFERROR(__xludf.DUMMYFUNCTION("""COMPUTED_VALUE"""),"6")</f>
        <v>6</v>
      </c>
      <c r="K1275" s="6" t="str">
        <f>IFERROR(__xludf.DUMMYFUNCTION("""COMPUTED_VALUE"""),"piddubniak.anastasia@2hourlearning.com")</f>
        <v>piddubniak.anastasia@2hourlearning.com</v>
      </c>
      <c r="L1275" s="6" t="str">
        <f>IFERROR(__xludf.DUMMYFUNCTION("""COMPUTED_VALUE"""),"Learn and Earn Poland")</f>
        <v>Learn and Earn Poland</v>
      </c>
      <c r="M1275" s="6" t="str">
        <f>IFERROR(__xludf.DUMMYFUNCTION("""COMPUTED_VALUE"""),"Budapest ex-GTS")</f>
        <v>Budapest ex-GTS</v>
      </c>
      <c r="N1275" s="6" t="str">
        <f>IFERROR(__xludf.DUMMYFUNCTION("""COMPUTED_VALUE"""),"")</f>
        <v/>
      </c>
      <c r="O1275" s="87" t="str">
        <f>IFERROR(__xludf.DUMMYFUNCTION("""COMPUTED_VALUE"""),"https://drive.google.com/drive/folders/10T2cTQHqEJZqE-st6uFKPoI?usp=share_link")</f>
        <v>https://drive.google.com/drive/folders/10T2cTQHqEJZqE-st6uFKPoI?usp=share_link</v>
      </c>
      <c r="P1275" s="6" t="str">
        <f>IFERROR(__xludf.DUMMYFUNCTION("""COMPUTED_VALUE"""),"Anastasia Piddubniak")</f>
        <v>Anastasia Piddubniak</v>
      </c>
      <c r="Q1275" s="6" t="str">
        <f>IFERROR(__xludf.DUMMYFUNCTION("""COMPUTED_VALUE"""),"MS")</f>
        <v>MS</v>
      </c>
      <c r="R1275" s="6">
        <f>IFERROR(__xludf.DUMMYFUNCTION("""COMPUTED_VALUE"""),0.0)</f>
        <v>0</v>
      </c>
      <c r="S1275" s="6" t="str">
        <f>IFERROR(__xludf.DUMMYFUNCTION("""COMPUTED_VALUE""")," ")</f>
        <v> </v>
      </c>
      <c r="T1275" s="6" t="str">
        <f>IFERROR(__xludf.DUMMYFUNCTION("""COMPUTED_VALUE"""),"")</f>
        <v/>
      </c>
      <c r="U1275" s="6" t="str">
        <f>IFERROR(__xludf.DUMMYFUNCTION("""COMPUTED_VALUE"""),"6")</f>
        <v>6</v>
      </c>
      <c r="V1275" s="6" t="str">
        <f>IFERROR(__xludf.DUMMYFUNCTION("""COMPUTED_VALUE"""),"English")</f>
        <v>English</v>
      </c>
      <c r="W1275" s="6" t="str">
        <f>IFERROR(__xludf.DUMMYFUNCTION("""COMPUTED_VALUE"""),"[]")</f>
        <v>[]</v>
      </c>
      <c r="X1275" s="6" t="str">
        <f>IFERROR(__xludf.DUMMYFUNCTION("""COMPUTED_VALUE"""),"Enrolled")</f>
        <v>Enrolled</v>
      </c>
    </row>
    <row r="1276">
      <c r="A1276" s="6" t="str">
        <f>IFERROR(__xludf.DUMMYFUNCTION("""COMPUTED_VALUE"""),"009-1530")</f>
        <v>009-1530</v>
      </c>
      <c r="B1276" s="6" t="str">
        <f>IFERROR(__xludf.DUMMYFUNCTION("""COMPUTED_VALUE"""),"9")</f>
        <v>9</v>
      </c>
      <c r="C1276" s="6" t="str">
        <f>IFERROR(__xludf.DUMMYFUNCTION("""COMPUTED_VALUE"""),"1530")</f>
        <v>1530</v>
      </c>
      <c r="D1276" s="6" t="str">
        <f>IFERROR(__xludf.DUMMYFUNCTION("""COMPUTED_VALUE"""),"Danilo")</f>
        <v>Danilo</v>
      </c>
      <c r="E1276" s="6" t="str">
        <f>IFERROR(__xludf.DUMMYFUNCTION("""COMPUTED_VALUE"""),"")</f>
        <v/>
      </c>
      <c r="F1276" s="6" t="str">
        <f>IFERROR(__xludf.DUMMYFUNCTION("""COMPUTED_VALUE"""),"Ransky")</f>
        <v>Ransky</v>
      </c>
      <c r="G1276" s="6" t="str">
        <f>IFERROR(__xludf.DUMMYFUNCTION("""COMPUTED_VALUE"""),"01/01/2010")</f>
        <v>01/01/2010</v>
      </c>
      <c r="H1276" s="6" t="str">
        <f>IFERROR(__xludf.DUMMYFUNCTION("""COMPUTED_VALUE"""),"Self Identify")</f>
        <v>Self Identify</v>
      </c>
      <c r="I1276" s="6" t="str">
        <f>IFERROR(__xludf.DUMMYFUNCTION("""COMPUTED_VALUE"""),"High School")</f>
        <v>High School</v>
      </c>
      <c r="J1276" s="6" t="str">
        <f>IFERROR(__xludf.DUMMYFUNCTION("""COMPUTED_VALUE"""),"9")</f>
        <v>9</v>
      </c>
      <c r="K1276" s="6" t="str">
        <f>IFERROR(__xludf.DUMMYFUNCTION("""COMPUTED_VALUE"""),"danilo.ransky@2hourlearning.com")</f>
        <v>danilo.ransky@2hourlearning.com</v>
      </c>
      <c r="L1276" s="6" t="str">
        <f>IFERROR(__xludf.DUMMYFUNCTION("""COMPUTED_VALUE"""),"Learn and Earn Poland")</f>
        <v>Learn and Earn Poland</v>
      </c>
      <c r="M1276" s="6" t="str">
        <f>IFERROR(__xludf.DUMMYFUNCTION("""COMPUTED_VALUE"""),"Budapest Alpha")</f>
        <v>Budapest Alpha</v>
      </c>
      <c r="N1276" s="6" t="str">
        <f>IFERROR(__xludf.DUMMYFUNCTION("""COMPUTED_VALUE"""),"")</f>
        <v/>
      </c>
      <c r="O1276" s="87" t="str">
        <f>IFERROR(__xludf.DUMMYFUNCTION("""COMPUTED_VALUE"""),"https://drive.google.com/drive/folders/10T2cTQHqEJZqE-st6uFKPoI?usp=share_link")</f>
        <v>https://drive.google.com/drive/folders/10T2cTQHqEJZqE-st6uFKPoI?usp=share_link</v>
      </c>
      <c r="P1276" s="6" t="str">
        <f>IFERROR(__xludf.DUMMYFUNCTION("""COMPUTED_VALUE"""),"Danilo Ransky")</f>
        <v>Danilo Ransky</v>
      </c>
      <c r="Q1276" s="6" t="str">
        <f>IFERROR(__xludf.DUMMYFUNCTION("""COMPUTED_VALUE"""),"HS")</f>
        <v>HS</v>
      </c>
      <c r="R1276" s="6">
        <f>IFERROR(__xludf.DUMMYFUNCTION("""COMPUTED_VALUE"""),0.0)</f>
        <v>0</v>
      </c>
      <c r="S1276" s="6" t="str">
        <f>IFERROR(__xludf.DUMMYFUNCTION("""COMPUTED_VALUE""")," ")</f>
        <v> </v>
      </c>
      <c r="T1276" s="6" t="str">
        <f>IFERROR(__xludf.DUMMYFUNCTION("""COMPUTED_VALUE"""),"")</f>
        <v/>
      </c>
      <c r="U1276" s="6" t="str">
        <f>IFERROR(__xludf.DUMMYFUNCTION("""COMPUTED_VALUE"""),"9")</f>
        <v>9</v>
      </c>
      <c r="V1276" s="6" t="str">
        <f>IFERROR(__xludf.DUMMYFUNCTION("""COMPUTED_VALUE"""),"English")</f>
        <v>English</v>
      </c>
      <c r="W1276" s="6" t="str">
        <f>IFERROR(__xludf.DUMMYFUNCTION("""COMPUTED_VALUE"""),"[]")</f>
        <v>[]</v>
      </c>
      <c r="X1276" s="6" t="str">
        <f>IFERROR(__xludf.DUMMYFUNCTION("""COMPUTED_VALUE"""),"Enrolled")</f>
        <v>Enrolled</v>
      </c>
    </row>
    <row r="1277">
      <c r="A1277" s="6" t="str">
        <f>IFERROR(__xludf.DUMMYFUNCTION("""COMPUTED_VALUE"""),"009-1531")</f>
        <v>009-1531</v>
      </c>
      <c r="B1277" s="6" t="str">
        <f>IFERROR(__xludf.DUMMYFUNCTION("""COMPUTED_VALUE"""),"9")</f>
        <v>9</v>
      </c>
      <c r="C1277" s="6" t="str">
        <f>IFERROR(__xludf.DUMMYFUNCTION("""COMPUTED_VALUE"""),"1531")</f>
        <v>1531</v>
      </c>
      <c r="D1277" s="6" t="str">
        <f>IFERROR(__xludf.DUMMYFUNCTION("""COMPUTED_VALUE"""),"Jozsef")</f>
        <v>Jozsef</v>
      </c>
      <c r="E1277" s="6" t="str">
        <f>IFERROR(__xludf.DUMMYFUNCTION("""COMPUTED_VALUE"""),"")</f>
        <v/>
      </c>
      <c r="F1277" s="6" t="str">
        <f>IFERROR(__xludf.DUMMYFUNCTION("""COMPUTED_VALUE"""),"Beres")</f>
        <v>Beres</v>
      </c>
      <c r="G1277" s="6" t="str">
        <f>IFERROR(__xludf.DUMMYFUNCTION("""COMPUTED_VALUE"""),"01/01/2009")</f>
        <v>01/01/2009</v>
      </c>
      <c r="H1277" s="6" t="str">
        <f>IFERROR(__xludf.DUMMYFUNCTION("""COMPUTED_VALUE"""),"Self Identify")</f>
        <v>Self Identify</v>
      </c>
      <c r="I1277" s="6" t="str">
        <f>IFERROR(__xludf.DUMMYFUNCTION("""COMPUTED_VALUE"""),"High School")</f>
        <v>High School</v>
      </c>
      <c r="J1277" s="6" t="str">
        <f>IFERROR(__xludf.DUMMYFUNCTION("""COMPUTED_VALUE"""),"10")</f>
        <v>10</v>
      </c>
      <c r="K1277" s="6" t="str">
        <f>IFERROR(__xludf.DUMMYFUNCTION("""COMPUTED_VALUE"""),"jozsef.beres@2hourlearning.com")</f>
        <v>jozsef.beres@2hourlearning.com</v>
      </c>
      <c r="L1277" s="6" t="str">
        <f>IFERROR(__xludf.DUMMYFUNCTION("""COMPUTED_VALUE"""),"Learn and Earn Poland")</f>
        <v>Learn and Earn Poland</v>
      </c>
      <c r="M1277" s="6" t="str">
        <f>IFERROR(__xludf.DUMMYFUNCTION("""COMPUTED_VALUE"""),"Budapest ex-GTS")</f>
        <v>Budapest ex-GTS</v>
      </c>
      <c r="N1277" s="6" t="str">
        <f>IFERROR(__xludf.DUMMYFUNCTION("""COMPUTED_VALUE"""),"")</f>
        <v/>
      </c>
      <c r="O1277" s="87" t="str">
        <f>IFERROR(__xludf.DUMMYFUNCTION("""COMPUTED_VALUE"""),"https://drive.google.com/drive/folders/10T2cTQHqEJZqE-st6uFKPoI?usp=share_link")</f>
        <v>https://drive.google.com/drive/folders/10T2cTQHqEJZqE-st6uFKPoI?usp=share_link</v>
      </c>
      <c r="P1277" s="6" t="str">
        <f>IFERROR(__xludf.DUMMYFUNCTION("""COMPUTED_VALUE"""),"Jozsef Beres")</f>
        <v>Jozsef Beres</v>
      </c>
      <c r="Q1277" s="6" t="str">
        <f>IFERROR(__xludf.DUMMYFUNCTION("""COMPUTED_VALUE"""),"HS")</f>
        <v>HS</v>
      </c>
      <c r="R1277" s="6">
        <f>IFERROR(__xludf.DUMMYFUNCTION("""COMPUTED_VALUE"""),0.0)</f>
        <v>0</v>
      </c>
      <c r="S1277" s="6" t="str">
        <f>IFERROR(__xludf.DUMMYFUNCTION("""COMPUTED_VALUE""")," ")</f>
        <v> </v>
      </c>
      <c r="T1277" s="6" t="str">
        <f>IFERROR(__xludf.DUMMYFUNCTION("""COMPUTED_VALUE"""),"")</f>
        <v/>
      </c>
      <c r="U1277" s="6" t="str">
        <f>IFERROR(__xludf.DUMMYFUNCTION("""COMPUTED_VALUE"""),"10")</f>
        <v>10</v>
      </c>
      <c r="V1277" s="6" t="str">
        <f>IFERROR(__xludf.DUMMYFUNCTION("""COMPUTED_VALUE"""),"English")</f>
        <v>English</v>
      </c>
      <c r="W1277" s="6" t="str">
        <f>IFERROR(__xludf.DUMMYFUNCTION("""COMPUTED_VALUE"""),"[]")</f>
        <v>[]</v>
      </c>
      <c r="X1277" s="6" t="str">
        <f>IFERROR(__xludf.DUMMYFUNCTION("""COMPUTED_VALUE"""),"Enrolled")</f>
        <v>Enrolled</v>
      </c>
    </row>
    <row r="1278">
      <c r="A1278" s="6" t="str">
        <f>IFERROR(__xludf.DUMMYFUNCTION("""COMPUTED_VALUE"""),"009-1532")</f>
        <v>009-1532</v>
      </c>
      <c r="B1278" s="6" t="str">
        <f>IFERROR(__xludf.DUMMYFUNCTION("""COMPUTED_VALUE"""),"9")</f>
        <v>9</v>
      </c>
      <c r="C1278" s="6" t="str">
        <f>IFERROR(__xludf.DUMMYFUNCTION("""COMPUTED_VALUE"""),"1532")</f>
        <v>1532</v>
      </c>
      <c r="D1278" s="6" t="str">
        <f>IFERROR(__xludf.DUMMYFUNCTION("""COMPUTED_VALUE"""),"Zhasmin")</f>
        <v>Zhasmin</v>
      </c>
      <c r="E1278" s="6" t="str">
        <f>IFERROR(__xludf.DUMMYFUNCTION("""COMPUTED_VALUE"""),"")</f>
        <v/>
      </c>
      <c r="F1278" s="6" t="str">
        <f>IFERROR(__xludf.DUMMYFUNCTION("""COMPUTED_VALUE"""),"Kenyz")</f>
        <v>Kenyz</v>
      </c>
      <c r="G1278" s="6" t="str">
        <f>IFERROR(__xludf.DUMMYFUNCTION("""COMPUTED_VALUE"""),"01/01/2017")</f>
        <v>01/01/2017</v>
      </c>
      <c r="H1278" s="6" t="str">
        <f>IFERROR(__xludf.DUMMYFUNCTION("""COMPUTED_VALUE"""),"Self Identify")</f>
        <v>Self Identify</v>
      </c>
      <c r="I1278" s="6" t="str">
        <f>IFERROR(__xludf.DUMMYFUNCTION("""COMPUTED_VALUE"""),"Level 1")</f>
        <v>Level 1</v>
      </c>
      <c r="J1278" s="6" t="str">
        <f>IFERROR(__xludf.DUMMYFUNCTION("""COMPUTED_VALUE"""),"2")</f>
        <v>2</v>
      </c>
      <c r="K1278" s="6" t="str">
        <f>IFERROR(__xludf.DUMMYFUNCTION("""COMPUTED_VALUE"""),"zhasmin.kenyz@2hourlearning.com")</f>
        <v>zhasmin.kenyz@2hourlearning.com</v>
      </c>
      <c r="L1278" s="6" t="str">
        <f>IFERROR(__xludf.DUMMYFUNCTION("""COMPUTED_VALUE"""),"Learn and Earn Poland")</f>
        <v>Learn and Earn Poland</v>
      </c>
      <c r="M1278" s="6" t="str">
        <f>IFERROR(__xludf.DUMMYFUNCTION("""COMPUTED_VALUE"""),"Budapest ex-GTS")</f>
        <v>Budapest ex-GTS</v>
      </c>
      <c r="N1278" s="6" t="str">
        <f>IFERROR(__xludf.DUMMYFUNCTION("""COMPUTED_VALUE"""),"")</f>
        <v/>
      </c>
      <c r="O1278" s="87" t="str">
        <f>IFERROR(__xludf.DUMMYFUNCTION("""COMPUTED_VALUE"""),"https://drive.google.com/drive/folders/10T2cTQHqEJZqE-st6uFKPoI?usp=share_link")</f>
        <v>https://drive.google.com/drive/folders/10T2cTQHqEJZqE-st6uFKPoI?usp=share_link</v>
      </c>
      <c r="P1278" s="6" t="str">
        <f>IFERROR(__xludf.DUMMYFUNCTION("""COMPUTED_VALUE"""),"Zhasmin Kenyz")</f>
        <v>Zhasmin Kenyz</v>
      </c>
      <c r="Q1278" s="6" t="str">
        <f>IFERROR(__xludf.DUMMYFUNCTION("""COMPUTED_VALUE"""),"L1")</f>
        <v>L1</v>
      </c>
      <c r="R1278" s="6">
        <f>IFERROR(__xludf.DUMMYFUNCTION("""COMPUTED_VALUE"""),1.0)</f>
        <v>1</v>
      </c>
      <c r="S1278" s="6" t="str">
        <f>IFERROR(__xludf.DUMMYFUNCTION("""COMPUTED_VALUE""")," ")</f>
        <v> </v>
      </c>
      <c r="T1278" s="6" t="str">
        <f>IFERROR(__xludf.DUMMYFUNCTION("""COMPUTED_VALUE"""),"")</f>
        <v/>
      </c>
      <c r="U1278" s="6" t="str">
        <f>IFERROR(__xludf.DUMMYFUNCTION("""COMPUTED_VALUE"""),"2")</f>
        <v>2</v>
      </c>
      <c r="V1278" s="6" t="str">
        <f>IFERROR(__xludf.DUMMYFUNCTION("""COMPUTED_VALUE"""),"English")</f>
        <v>English</v>
      </c>
      <c r="W1278" s="6" t="str">
        <f>IFERROR(__xludf.DUMMYFUNCTION("""COMPUTED_VALUE"""),"[]")</f>
        <v>[]</v>
      </c>
      <c r="X1278" s="6" t="str">
        <f>IFERROR(__xludf.DUMMYFUNCTION("""COMPUTED_VALUE"""),"Enrolled")</f>
        <v>Enrolled</v>
      </c>
    </row>
    <row r="1279">
      <c r="A1279" s="6" t="str">
        <f>IFERROR(__xludf.DUMMYFUNCTION("""COMPUTED_VALUE"""),"009-1533")</f>
        <v>009-1533</v>
      </c>
      <c r="B1279" s="6" t="str">
        <f>IFERROR(__xludf.DUMMYFUNCTION("""COMPUTED_VALUE"""),"9")</f>
        <v>9</v>
      </c>
      <c r="C1279" s="6" t="str">
        <f>IFERROR(__xludf.DUMMYFUNCTION("""COMPUTED_VALUE"""),"1533")</f>
        <v>1533</v>
      </c>
      <c r="D1279" s="6" t="str">
        <f>IFERROR(__xludf.DUMMYFUNCTION("""COMPUTED_VALUE"""),"Sofiia")</f>
        <v>Sofiia</v>
      </c>
      <c r="E1279" s="6" t="str">
        <f>IFERROR(__xludf.DUMMYFUNCTION("""COMPUTED_VALUE"""),"")</f>
        <v/>
      </c>
      <c r="F1279" s="6" t="str">
        <f>IFERROR(__xludf.DUMMYFUNCTION("""COMPUTED_VALUE"""),"Sorokina")</f>
        <v>Sorokina</v>
      </c>
      <c r="G1279" s="6" t="str">
        <f>IFERROR(__xludf.DUMMYFUNCTION("""COMPUTED_VALUE"""),"01/01/2014")</f>
        <v>01/01/2014</v>
      </c>
      <c r="H1279" s="6" t="str">
        <f>IFERROR(__xludf.DUMMYFUNCTION("""COMPUTED_VALUE"""),"Self Identify")</f>
        <v>Self Identify</v>
      </c>
      <c r="I1279" s="6" t="str">
        <f>IFERROR(__xludf.DUMMYFUNCTION("""COMPUTED_VALUE"""),"Level 2")</f>
        <v>Level 2</v>
      </c>
      <c r="J1279" s="6" t="str">
        <f>IFERROR(__xludf.DUMMYFUNCTION("""COMPUTED_VALUE"""),"5")</f>
        <v>5</v>
      </c>
      <c r="K1279" s="6" t="str">
        <f>IFERROR(__xludf.DUMMYFUNCTION("""COMPUTED_VALUE"""),"sofiia.sorokina@2hourlearning.com")</f>
        <v>sofiia.sorokina@2hourlearning.com</v>
      </c>
      <c r="L1279" s="6" t="str">
        <f>IFERROR(__xludf.DUMMYFUNCTION("""COMPUTED_VALUE"""),"Learn and Earn Poland")</f>
        <v>Learn and Earn Poland</v>
      </c>
      <c r="M1279" s="6" t="str">
        <f>IFERROR(__xludf.DUMMYFUNCTION("""COMPUTED_VALUE"""),"Budapest ex-GTS")</f>
        <v>Budapest ex-GTS</v>
      </c>
      <c r="N1279" s="6" t="str">
        <f>IFERROR(__xludf.DUMMYFUNCTION("""COMPUTED_VALUE"""),"")</f>
        <v/>
      </c>
      <c r="O1279" s="87" t="str">
        <f>IFERROR(__xludf.DUMMYFUNCTION("""COMPUTED_VALUE"""),"https://drive.google.com/drive/folders/10T2cTQHqEJZqE-st6uFKPoI?usp=share_link")</f>
        <v>https://drive.google.com/drive/folders/10T2cTQHqEJZqE-st6uFKPoI?usp=share_link</v>
      </c>
      <c r="P1279" s="6" t="str">
        <f>IFERROR(__xludf.DUMMYFUNCTION("""COMPUTED_VALUE"""),"Sofiia Sorokina")</f>
        <v>Sofiia Sorokina</v>
      </c>
      <c r="Q1279" s="6" t="str">
        <f>IFERROR(__xludf.DUMMYFUNCTION("""COMPUTED_VALUE"""),"L2")</f>
        <v>L2</v>
      </c>
      <c r="R1279" s="6">
        <f>IFERROR(__xludf.DUMMYFUNCTION("""COMPUTED_VALUE"""),2.0)</f>
        <v>2</v>
      </c>
      <c r="S1279" s="6" t="str">
        <f>IFERROR(__xludf.DUMMYFUNCTION("""COMPUTED_VALUE""")," ")</f>
        <v> </v>
      </c>
      <c r="T1279" s="6" t="str">
        <f>IFERROR(__xludf.DUMMYFUNCTION("""COMPUTED_VALUE"""),"")</f>
        <v/>
      </c>
      <c r="U1279" s="6" t="str">
        <f>IFERROR(__xludf.DUMMYFUNCTION("""COMPUTED_VALUE"""),"5")</f>
        <v>5</v>
      </c>
      <c r="V1279" s="6" t="str">
        <f>IFERROR(__xludf.DUMMYFUNCTION("""COMPUTED_VALUE"""),"English")</f>
        <v>English</v>
      </c>
      <c r="W1279" s="6" t="str">
        <f>IFERROR(__xludf.DUMMYFUNCTION("""COMPUTED_VALUE"""),"[]")</f>
        <v>[]</v>
      </c>
      <c r="X1279" s="6" t="str">
        <f>IFERROR(__xludf.DUMMYFUNCTION("""COMPUTED_VALUE"""),"Enrolled")</f>
        <v>Enrolled</v>
      </c>
    </row>
    <row r="1280">
      <c r="A1280" s="6" t="str">
        <f>IFERROR(__xludf.DUMMYFUNCTION("""COMPUTED_VALUE"""),"009-1534")</f>
        <v>009-1534</v>
      </c>
      <c r="B1280" s="6" t="str">
        <f>IFERROR(__xludf.DUMMYFUNCTION("""COMPUTED_VALUE"""),"9")</f>
        <v>9</v>
      </c>
      <c r="C1280" s="6" t="str">
        <f>IFERROR(__xludf.DUMMYFUNCTION("""COMPUTED_VALUE"""),"1534")</f>
        <v>1534</v>
      </c>
      <c r="D1280" s="6" t="str">
        <f>IFERROR(__xludf.DUMMYFUNCTION("""COMPUTED_VALUE"""),"Oleksandr")</f>
        <v>Oleksandr</v>
      </c>
      <c r="E1280" s="6" t="str">
        <f>IFERROR(__xludf.DUMMYFUNCTION("""COMPUTED_VALUE"""),"")</f>
        <v/>
      </c>
      <c r="F1280" s="6" t="str">
        <f>IFERROR(__xludf.DUMMYFUNCTION("""COMPUTED_VALUE"""),"Sivtsov")</f>
        <v>Sivtsov</v>
      </c>
      <c r="G1280" s="6" t="str">
        <f>IFERROR(__xludf.DUMMYFUNCTION("""COMPUTED_VALUE"""),"01/01/2016")</f>
        <v>01/01/2016</v>
      </c>
      <c r="H1280" s="6" t="str">
        <f>IFERROR(__xludf.DUMMYFUNCTION("""COMPUTED_VALUE"""),"Self Identify")</f>
        <v>Self Identify</v>
      </c>
      <c r="I1280" s="6" t="str">
        <f>IFERROR(__xludf.DUMMYFUNCTION("""COMPUTED_VALUE"""),"Level 1")</f>
        <v>Level 1</v>
      </c>
      <c r="J1280" s="6" t="str">
        <f>IFERROR(__xludf.DUMMYFUNCTION("""COMPUTED_VALUE"""),"3")</f>
        <v>3</v>
      </c>
      <c r="K1280" s="6" t="str">
        <f>IFERROR(__xludf.DUMMYFUNCTION("""COMPUTED_VALUE"""),"sivtsov.oleksandr@2hourlearning.com")</f>
        <v>sivtsov.oleksandr@2hourlearning.com</v>
      </c>
      <c r="L1280" s="6" t="str">
        <f>IFERROR(__xludf.DUMMYFUNCTION("""COMPUTED_VALUE"""),"Learn and Earn Poland")</f>
        <v>Learn and Earn Poland</v>
      </c>
      <c r="M1280" s="6" t="str">
        <f>IFERROR(__xludf.DUMMYFUNCTION("""COMPUTED_VALUE"""),"Budapest ex-GTS")</f>
        <v>Budapest ex-GTS</v>
      </c>
      <c r="N1280" s="6" t="str">
        <f>IFERROR(__xludf.DUMMYFUNCTION("""COMPUTED_VALUE"""),"")</f>
        <v/>
      </c>
      <c r="O1280" s="87" t="str">
        <f>IFERROR(__xludf.DUMMYFUNCTION("""COMPUTED_VALUE"""),"https://drive.google.com/drive/folders/10T2cTQHqEJZqE-st6uFKPoI?usp=share_link")</f>
        <v>https://drive.google.com/drive/folders/10T2cTQHqEJZqE-st6uFKPoI?usp=share_link</v>
      </c>
      <c r="P1280" s="6" t="str">
        <f>IFERROR(__xludf.DUMMYFUNCTION("""COMPUTED_VALUE"""),"Oleksandr Sivtsov")</f>
        <v>Oleksandr Sivtsov</v>
      </c>
      <c r="Q1280" s="6" t="str">
        <f>IFERROR(__xludf.DUMMYFUNCTION("""COMPUTED_VALUE"""),"L1")</f>
        <v>L1</v>
      </c>
      <c r="R1280" s="6">
        <f>IFERROR(__xludf.DUMMYFUNCTION("""COMPUTED_VALUE"""),1.0)</f>
        <v>1</v>
      </c>
      <c r="S1280" s="6" t="str">
        <f>IFERROR(__xludf.DUMMYFUNCTION("""COMPUTED_VALUE""")," ")</f>
        <v> </v>
      </c>
      <c r="T1280" s="6" t="str">
        <f>IFERROR(__xludf.DUMMYFUNCTION("""COMPUTED_VALUE"""),"")</f>
        <v/>
      </c>
      <c r="U1280" s="6" t="str">
        <f>IFERROR(__xludf.DUMMYFUNCTION("""COMPUTED_VALUE"""),"3")</f>
        <v>3</v>
      </c>
      <c r="V1280" s="6" t="str">
        <f>IFERROR(__xludf.DUMMYFUNCTION("""COMPUTED_VALUE"""),"English")</f>
        <v>English</v>
      </c>
      <c r="W1280" s="6" t="str">
        <f>IFERROR(__xludf.DUMMYFUNCTION("""COMPUTED_VALUE"""),"[]")</f>
        <v>[]</v>
      </c>
      <c r="X1280" s="6" t="str">
        <f>IFERROR(__xludf.DUMMYFUNCTION("""COMPUTED_VALUE"""),"Enrolled")</f>
        <v>Enrolled</v>
      </c>
    </row>
    <row r="1281">
      <c r="A1281" s="6" t="str">
        <f>IFERROR(__xludf.DUMMYFUNCTION("""COMPUTED_VALUE"""),"009-1535")</f>
        <v>009-1535</v>
      </c>
      <c r="B1281" s="6" t="str">
        <f>IFERROR(__xludf.DUMMYFUNCTION("""COMPUTED_VALUE"""),"9")</f>
        <v>9</v>
      </c>
      <c r="C1281" s="6" t="str">
        <f>IFERROR(__xludf.DUMMYFUNCTION("""COMPUTED_VALUE"""),"1535")</f>
        <v>1535</v>
      </c>
      <c r="D1281" s="6" t="str">
        <f>IFERROR(__xludf.DUMMYFUNCTION("""COMPUTED_VALUE"""),"Matvii")</f>
        <v>Matvii</v>
      </c>
      <c r="E1281" s="6" t="str">
        <f>IFERROR(__xludf.DUMMYFUNCTION("""COMPUTED_VALUE"""),"")</f>
        <v/>
      </c>
      <c r="F1281" s="6" t="str">
        <f>IFERROR(__xludf.DUMMYFUNCTION("""COMPUTED_VALUE"""),"Matvii")</f>
        <v>Matvii</v>
      </c>
      <c r="G1281" s="6" t="str">
        <f>IFERROR(__xludf.DUMMYFUNCTION("""COMPUTED_VALUE"""),"01/01/2012")</f>
        <v>01/01/2012</v>
      </c>
      <c r="H1281" s="6" t="str">
        <f>IFERROR(__xludf.DUMMYFUNCTION("""COMPUTED_VALUE"""),"Self Identify")</f>
        <v>Self Identify</v>
      </c>
      <c r="I1281" s="6" t="str">
        <f>IFERROR(__xludf.DUMMYFUNCTION("""COMPUTED_VALUE"""),"Middle School")</f>
        <v>Middle School</v>
      </c>
      <c r="J1281" s="6" t="str">
        <f>IFERROR(__xludf.DUMMYFUNCTION("""COMPUTED_VALUE"""),"7")</f>
        <v>7</v>
      </c>
      <c r="K1281" s="6" t="str">
        <f>IFERROR(__xludf.DUMMYFUNCTION("""COMPUTED_VALUE"""),"matvii.matvii@2hourlearning.com")</f>
        <v>matvii.matvii@2hourlearning.com</v>
      </c>
      <c r="L1281" s="6" t="str">
        <f>IFERROR(__xludf.DUMMYFUNCTION("""COMPUTED_VALUE"""),"Learn and Earn Poland")</f>
        <v>Learn and Earn Poland</v>
      </c>
      <c r="M1281" s="6" t="str">
        <f>IFERROR(__xludf.DUMMYFUNCTION("""COMPUTED_VALUE"""),"Budapest ex-GTS")</f>
        <v>Budapest ex-GTS</v>
      </c>
      <c r="N1281" s="6" t="str">
        <f>IFERROR(__xludf.DUMMYFUNCTION("""COMPUTED_VALUE"""),"")</f>
        <v/>
      </c>
      <c r="O1281" s="87" t="str">
        <f>IFERROR(__xludf.DUMMYFUNCTION("""COMPUTED_VALUE"""),"https://drive.google.com/drive/folders/10T2cTQHqEJZqE-st6uFKPoI?usp=share_link")</f>
        <v>https://drive.google.com/drive/folders/10T2cTQHqEJZqE-st6uFKPoI?usp=share_link</v>
      </c>
      <c r="P1281" s="6" t="str">
        <f>IFERROR(__xludf.DUMMYFUNCTION("""COMPUTED_VALUE"""),"Matvii Matvii")</f>
        <v>Matvii Matvii</v>
      </c>
      <c r="Q1281" s="6" t="str">
        <f>IFERROR(__xludf.DUMMYFUNCTION("""COMPUTED_VALUE"""),"MS")</f>
        <v>MS</v>
      </c>
      <c r="R1281" s="6">
        <f>IFERROR(__xludf.DUMMYFUNCTION("""COMPUTED_VALUE"""),0.0)</f>
        <v>0</v>
      </c>
      <c r="S1281" s="6" t="str">
        <f>IFERROR(__xludf.DUMMYFUNCTION("""COMPUTED_VALUE""")," ")</f>
        <v> </v>
      </c>
      <c r="T1281" s="6" t="str">
        <f>IFERROR(__xludf.DUMMYFUNCTION("""COMPUTED_VALUE"""),"")</f>
        <v/>
      </c>
      <c r="U1281" s="6" t="str">
        <f>IFERROR(__xludf.DUMMYFUNCTION("""COMPUTED_VALUE"""),"7")</f>
        <v>7</v>
      </c>
      <c r="V1281" s="6" t="str">
        <f>IFERROR(__xludf.DUMMYFUNCTION("""COMPUTED_VALUE"""),"English")</f>
        <v>English</v>
      </c>
      <c r="W1281" s="6" t="str">
        <f>IFERROR(__xludf.DUMMYFUNCTION("""COMPUTED_VALUE"""),"[]")</f>
        <v>[]</v>
      </c>
      <c r="X1281" s="6" t="str">
        <f>IFERROR(__xludf.DUMMYFUNCTION("""COMPUTED_VALUE"""),"Enrolled")</f>
        <v>Enrolled</v>
      </c>
    </row>
    <row r="1282">
      <c r="A1282" s="6" t="str">
        <f>IFERROR(__xludf.DUMMYFUNCTION("""COMPUTED_VALUE"""),"009-1536")</f>
        <v>009-1536</v>
      </c>
      <c r="B1282" s="6" t="str">
        <f>IFERROR(__xludf.DUMMYFUNCTION("""COMPUTED_VALUE"""),"9")</f>
        <v>9</v>
      </c>
      <c r="C1282" s="6" t="str">
        <f>IFERROR(__xludf.DUMMYFUNCTION("""COMPUTED_VALUE"""),"1536")</f>
        <v>1536</v>
      </c>
      <c r="D1282" s="6" t="str">
        <f>IFERROR(__xludf.DUMMYFUNCTION("""COMPUTED_VALUE"""),"Pizsu")</f>
        <v>Pizsu</v>
      </c>
      <c r="E1282" s="6" t="str">
        <f>IFERROR(__xludf.DUMMYFUNCTION("""COMPUTED_VALUE"""),"")</f>
        <v/>
      </c>
      <c r="F1282" s="6" t="str">
        <f>IFERROR(__xludf.DUMMYFUNCTION("""COMPUTED_VALUE"""),"Emese")</f>
        <v>Emese</v>
      </c>
      <c r="G1282" s="6" t="str">
        <f>IFERROR(__xludf.DUMMYFUNCTION("""COMPUTED_VALUE"""),"01/01/2009")</f>
        <v>01/01/2009</v>
      </c>
      <c r="H1282" s="6" t="str">
        <f>IFERROR(__xludf.DUMMYFUNCTION("""COMPUTED_VALUE"""),"Self Identify")</f>
        <v>Self Identify</v>
      </c>
      <c r="I1282" s="6" t="str">
        <f>IFERROR(__xludf.DUMMYFUNCTION("""COMPUTED_VALUE"""),"High School")</f>
        <v>High School</v>
      </c>
      <c r="J1282" s="6" t="str">
        <f>IFERROR(__xludf.DUMMYFUNCTION("""COMPUTED_VALUE"""),"10")</f>
        <v>10</v>
      </c>
      <c r="K1282" s="6" t="str">
        <f>IFERROR(__xludf.DUMMYFUNCTION("""COMPUTED_VALUE"""),"pizsu.emese@2hourlearning.com")</f>
        <v>pizsu.emese@2hourlearning.com</v>
      </c>
      <c r="L1282" s="6" t="str">
        <f>IFERROR(__xludf.DUMMYFUNCTION("""COMPUTED_VALUE"""),"Learn and Earn Poland")</f>
        <v>Learn and Earn Poland</v>
      </c>
      <c r="M1282" s="6" t="str">
        <f>IFERROR(__xludf.DUMMYFUNCTION("""COMPUTED_VALUE"""),"Budapest Alpha")</f>
        <v>Budapest Alpha</v>
      </c>
      <c r="N1282" s="6" t="str">
        <f>IFERROR(__xludf.DUMMYFUNCTION("""COMPUTED_VALUE"""),"")</f>
        <v/>
      </c>
      <c r="O1282" s="87" t="str">
        <f>IFERROR(__xludf.DUMMYFUNCTION("""COMPUTED_VALUE"""),"https://drive.google.com/drive/folders/10T2cTQHqEJZqE-st6uFKPoI?usp=share_link")</f>
        <v>https://drive.google.com/drive/folders/10T2cTQHqEJZqE-st6uFKPoI?usp=share_link</v>
      </c>
      <c r="P1282" s="6" t="str">
        <f>IFERROR(__xludf.DUMMYFUNCTION("""COMPUTED_VALUE"""),"Pizsu Emese")</f>
        <v>Pizsu Emese</v>
      </c>
      <c r="Q1282" s="6" t="str">
        <f>IFERROR(__xludf.DUMMYFUNCTION("""COMPUTED_VALUE"""),"HS")</f>
        <v>HS</v>
      </c>
      <c r="R1282" s="6">
        <f>IFERROR(__xludf.DUMMYFUNCTION("""COMPUTED_VALUE"""),0.0)</f>
        <v>0</v>
      </c>
      <c r="S1282" s="6" t="str">
        <f>IFERROR(__xludf.DUMMYFUNCTION("""COMPUTED_VALUE""")," ")</f>
        <v> </v>
      </c>
      <c r="T1282" s="6" t="str">
        <f>IFERROR(__xludf.DUMMYFUNCTION("""COMPUTED_VALUE"""),"")</f>
        <v/>
      </c>
      <c r="U1282" s="6" t="str">
        <f>IFERROR(__xludf.DUMMYFUNCTION("""COMPUTED_VALUE"""),"10")</f>
        <v>10</v>
      </c>
      <c r="V1282" s="6" t="str">
        <f>IFERROR(__xludf.DUMMYFUNCTION("""COMPUTED_VALUE"""),"English")</f>
        <v>English</v>
      </c>
      <c r="W1282" s="6" t="str">
        <f>IFERROR(__xludf.DUMMYFUNCTION("""COMPUTED_VALUE"""),"[]")</f>
        <v>[]</v>
      </c>
      <c r="X1282" s="6" t="str">
        <f>IFERROR(__xludf.DUMMYFUNCTION("""COMPUTED_VALUE"""),"Enrolled")</f>
        <v>Enrolled</v>
      </c>
    </row>
    <row r="1283">
      <c r="A1283" s="6" t="str">
        <f>IFERROR(__xludf.DUMMYFUNCTION("""COMPUTED_VALUE"""),"009-1537")</f>
        <v>009-1537</v>
      </c>
      <c r="B1283" s="6" t="str">
        <f>IFERROR(__xludf.DUMMYFUNCTION("""COMPUTED_VALUE"""),"9")</f>
        <v>9</v>
      </c>
      <c r="C1283" s="6" t="str">
        <f>IFERROR(__xludf.DUMMYFUNCTION("""COMPUTED_VALUE"""),"1537")</f>
        <v>1537</v>
      </c>
      <c r="D1283" s="6" t="str">
        <f>IFERROR(__xludf.DUMMYFUNCTION("""COMPUTED_VALUE"""),"Serhii")</f>
        <v>Serhii</v>
      </c>
      <c r="E1283" s="6" t="str">
        <f>IFERROR(__xludf.DUMMYFUNCTION("""COMPUTED_VALUE"""),"")</f>
        <v/>
      </c>
      <c r="F1283" s="6" t="str">
        <f>IFERROR(__xludf.DUMMYFUNCTION("""COMPUTED_VALUE"""),"Moiseiev")</f>
        <v>Moiseiev</v>
      </c>
      <c r="G1283" s="6" t="str">
        <f>IFERROR(__xludf.DUMMYFUNCTION("""COMPUTED_VALUE"""),"01/01/2011")</f>
        <v>01/01/2011</v>
      </c>
      <c r="H1283" s="6" t="str">
        <f>IFERROR(__xludf.DUMMYFUNCTION("""COMPUTED_VALUE"""),"Self Identify")</f>
        <v>Self Identify</v>
      </c>
      <c r="I1283" s="6" t="str">
        <f>IFERROR(__xludf.DUMMYFUNCTION("""COMPUTED_VALUE"""),"Middle School")</f>
        <v>Middle School</v>
      </c>
      <c r="J1283" s="6" t="str">
        <f>IFERROR(__xludf.DUMMYFUNCTION("""COMPUTED_VALUE"""),"8")</f>
        <v>8</v>
      </c>
      <c r="K1283" s="6" t="str">
        <f>IFERROR(__xludf.DUMMYFUNCTION("""COMPUTED_VALUE"""),"serhii.moiseiev@2hourlearning.com")</f>
        <v>serhii.moiseiev@2hourlearning.com</v>
      </c>
      <c r="L1283" s="6" t="str">
        <f>IFERROR(__xludf.DUMMYFUNCTION("""COMPUTED_VALUE"""),"Learn and Earn Poland")</f>
        <v>Learn and Earn Poland</v>
      </c>
      <c r="M1283" s="6" t="str">
        <f>IFERROR(__xludf.DUMMYFUNCTION("""COMPUTED_VALUE"""),"Budapest Alpha")</f>
        <v>Budapest Alpha</v>
      </c>
      <c r="N1283" s="6" t="str">
        <f>IFERROR(__xludf.DUMMYFUNCTION("""COMPUTED_VALUE"""),"")</f>
        <v/>
      </c>
      <c r="O1283" s="87" t="str">
        <f>IFERROR(__xludf.DUMMYFUNCTION("""COMPUTED_VALUE"""),"https://drive.google.com/drive/folders/10T2cTQHqEJZqE-st6uFKPoI?usp=share_link")</f>
        <v>https://drive.google.com/drive/folders/10T2cTQHqEJZqE-st6uFKPoI?usp=share_link</v>
      </c>
      <c r="P1283" s="6" t="str">
        <f>IFERROR(__xludf.DUMMYFUNCTION("""COMPUTED_VALUE"""),"Serhii Moiseiev")</f>
        <v>Serhii Moiseiev</v>
      </c>
      <c r="Q1283" s="6" t="str">
        <f>IFERROR(__xludf.DUMMYFUNCTION("""COMPUTED_VALUE"""),"MS")</f>
        <v>MS</v>
      </c>
      <c r="R1283" s="6">
        <f>IFERROR(__xludf.DUMMYFUNCTION("""COMPUTED_VALUE"""),0.0)</f>
        <v>0</v>
      </c>
      <c r="S1283" s="6" t="str">
        <f>IFERROR(__xludf.DUMMYFUNCTION("""COMPUTED_VALUE""")," ")</f>
        <v> </v>
      </c>
      <c r="T1283" s="6" t="str">
        <f>IFERROR(__xludf.DUMMYFUNCTION("""COMPUTED_VALUE"""),"")</f>
        <v/>
      </c>
      <c r="U1283" s="6" t="str">
        <f>IFERROR(__xludf.DUMMYFUNCTION("""COMPUTED_VALUE"""),"8")</f>
        <v>8</v>
      </c>
      <c r="V1283" s="6" t="str">
        <f>IFERROR(__xludf.DUMMYFUNCTION("""COMPUTED_VALUE"""),"English")</f>
        <v>English</v>
      </c>
      <c r="W1283" s="6" t="str">
        <f>IFERROR(__xludf.DUMMYFUNCTION("""COMPUTED_VALUE"""),"[]")</f>
        <v>[]</v>
      </c>
      <c r="X1283" s="6" t="str">
        <f>IFERROR(__xludf.DUMMYFUNCTION("""COMPUTED_VALUE"""),"Enrolled")</f>
        <v>Enrolled</v>
      </c>
    </row>
    <row r="1284">
      <c r="A1284" s="6" t="str">
        <f>IFERROR(__xludf.DUMMYFUNCTION("""COMPUTED_VALUE"""),"009-1538")</f>
        <v>009-1538</v>
      </c>
      <c r="B1284" s="6" t="str">
        <f>IFERROR(__xludf.DUMMYFUNCTION("""COMPUTED_VALUE"""),"9")</f>
        <v>9</v>
      </c>
      <c r="C1284" s="6" t="str">
        <f>IFERROR(__xludf.DUMMYFUNCTION("""COMPUTED_VALUE"""),"1538")</f>
        <v>1538</v>
      </c>
      <c r="D1284" s="6" t="str">
        <f>IFERROR(__xludf.DUMMYFUNCTION("""COMPUTED_VALUE"""),"Viktor")</f>
        <v>Viktor</v>
      </c>
      <c r="E1284" s="6" t="str">
        <f>IFERROR(__xludf.DUMMYFUNCTION("""COMPUTED_VALUE"""),"")</f>
        <v/>
      </c>
      <c r="F1284" s="6" t="str">
        <f>IFERROR(__xludf.DUMMYFUNCTION("""COMPUTED_VALUE"""),"Shiposh")</f>
        <v>Shiposh</v>
      </c>
      <c r="G1284" s="6" t="str">
        <f>IFERROR(__xludf.DUMMYFUNCTION("""COMPUTED_VALUE"""),"01/01/2013")</f>
        <v>01/01/2013</v>
      </c>
      <c r="H1284" s="6" t="str">
        <f>IFERROR(__xludf.DUMMYFUNCTION("""COMPUTED_VALUE"""),"Self Identify")</f>
        <v>Self Identify</v>
      </c>
      <c r="I1284" s="6" t="str">
        <f>IFERROR(__xludf.DUMMYFUNCTION("""COMPUTED_VALUE"""),"Middle School")</f>
        <v>Middle School</v>
      </c>
      <c r="J1284" s="6" t="str">
        <f>IFERROR(__xludf.DUMMYFUNCTION("""COMPUTED_VALUE"""),"6")</f>
        <v>6</v>
      </c>
      <c r="K1284" s="6" t="str">
        <f>IFERROR(__xludf.DUMMYFUNCTION("""COMPUTED_VALUE"""),"viktor.shiposh@2hourlearning.com")</f>
        <v>viktor.shiposh@2hourlearning.com</v>
      </c>
      <c r="L1284" s="6" t="str">
        <f>IFERROR(__xludf.DUMMYFUNCTION("""COMPUTED_VALUE"""),"Learn and Earn Poland")</f>
        <v>Learn and Earn Poland</v>
      </c>
      <c r="M1284" s="6" t="str">
        <f>IFERROR(__xludf.DUMMYFUNCTION("""COMPUTED_VALUE"""),"Budapest ex-GTS")</f>
        <v>Budapest ex-GTS</v>
      </c>
      <c r="N1284" s="6" t="str">
        <f>IFERROR(__xludf.DUMMYFUNCTION("""COMPUTED_VALUE"""),"")</f>
        <v/>
      </c>
      <c r="O1284" s="87" t="str">
        <f>IFERROR(__xludf.DUMMYFUNCTION("""COMPUTED_VALUE"""),"https://drive.google.com/drive/folders/10T2cTQHqEJZqE-st6uFKPoI?usp=share_link")</f>
        <v>https://drive.google.com/drive/folders/10T2cTQHqEJZqE-st6uFKPoI?usp=share_link</v>
      </c>
      <c r="P1284" s="6" t="str">
        <f>IFERROR(__xludf.DUMMYFUNCTION("""COMPUTED_VALUE"""),"Viktor Shiposh")</f>
        <v>Viktor Shiposh</v>
      </c>
      <c r="Q1284" s="6" t="str">
        <f>IFERROR(__xludf.DUMMYFUNCTION("""COMPUTED_VALUE"""),"MS")</f>
        <v>MS</v>
      </c>
      <c r="R1284" s="6">
        <f>IFERROR(__xludf.DUMMYFUNCTION("""COMPUTED_VALUE"""),0.0)</f>
        <v>0</v>
      </c>
      <c r="S1284" s="6" t="str">
        <f>IFERROR(__xludf.DUMMYFUNCTION("""COMPUTED_VALUE""")," ")</f>
        <v> </v>
      </c>
      <c r="T1284" s="6" t="str">
        <f>IFERROR(__xludf.DUMMYFUNCTION("""COMPUTED_VALUE"""),"")</f>
        <v/>
      </c>
      <c r="U1284" s="6" t="str">
        <f>IFERROR(__xludf.DUMMYFUNCTION("""COMPUTED_VALUE"""),"6")</f>
        <v>6</v>
      </c>
      <c r="V1284" s="6" t="str">
        <f>IFERROR(__xludf.DUMMYFUNCTION("""COMPUTED_VALUE"""),"English")</f>
        <v>English</v>
      </c>
      <c r="W1284" s="6" t="str">
        <f>IFERROR(__xludf.DUMMYFUNCTION("""COMPUTED_VALUE"""),"[]")</f>
        <v>[]</v>
      </c>
      <c r="X1284" s="6" t="str">
        <f>IFERROR(__xludf.DUMMYFUNCTION("""COMPUTED_VALUE"""),"Enrolled")</f>
        <v>Enrolled</v>
      </c>
    </row>
    <row r="1285">
      <c r="A1285" s="6" t="str">
        <f>IFERROR(__xludf.DUMMYFUNCTION("""COMPUTED_VALUE"""),"009-1539")</f>
        <v>009-1539</v>
      </c>
      <c r="B1285" s="6" t="str">
        <f>IFERROR(__xludf.DUMMYFUNCTION("""COMPUTED_VALUE"""),"9")</f>
        <v>9</v>
      </c>
      <c r="C1285" s="6" t="str">
        <f>IFERROR(__xludf.DUMMYFUNCTION("""COMPUTED_VALUE"""),"1539")</f>
        <v>1539</v>
      </c>
      <c r="D1285" s="6" t="str">
        <f>IFERROR(__xludf.DUMMYFUNCTION("""COMPUTED_VALUE"""),"Karolina")</f>
        <v>Karolina</v>
      </c>
      <c r="E1285" s="6" t="str">
        <f>IFERROR(__xludf.DUMMYFUNCTION("""COMPUTED_VALUE"""),"")</f>
        <v/>
      </c>
      <c r="F1285" s="6" t="str">
        <f>IFERROR(__xludf.DUMMYFUNCTION("""COMPUTED_VALUE"""),"Nagy")</f>
        <v>Nagy</v>
      </c>
      <c r="G1285" s="6" t="str">
        <f>IFERROR(__xludf.DUMMYFUNCTION("""COMPUTED_VALUE"""),"01/01/2015")</f>
        <v>01/01/2015</v>
      </c>
      <c r="H1285" s="6" t="str">
        <f>IFERROR(__xludf.DUMMYFUNCTION("""COMPUTED_VALUE"""),"Self Identify")</f>
        <v>Self Identify</v>
      </c>
      <c r="I1285" s="6" t="str">
        <f>IFERROR(__xludf.DUMMYFUNCTION("""COMPUTED_VALUE"""),"Level 2")</f>
        <v>Level 2</v>
      </c>
      <c r="J1285" s="6" t="str">
        <f>IFERROR(__xludf.DUMMYFUNCTION("""COMPUTED_VALUE"""),"4")</f>
        <v>4</v>
      </c>
      <c r="K1285" s="6" t="str">
        <f>IFERROR(__xludf.DUMMYFUNCTION("""COMPUTED_VALUE"""),"karolina.nagy@2hourlearning.com")</f>
        <v>karolina.nagy@2hourlearning.com</v>
      </c>
      <c r="L1285" s="6" t="str">
        <f>IFERROR(__xludf.DUMMYFUNCTION("""COMPUTED_VALUE"""),"Learn and Earn Poland")</f>
        <v>Learn and Earn Poland</v>
      </c>
      <c r="M1285" s="6" t="str">
        <f>IFERROR(__xludf.DUMMYFUNCTION("""COMPUTED_VALUE"""),"Budapest Alpha")</f>
        <v>Budapest Alpha</v>
      </c>
      <c r="N1285" s="6" t="str">
        <f>IFERROR(__xludf.DUMMYFUNCTION("""COMPUTED_VALUE"""),"")</f>
        <v/>
      </c>
      <c r="O1285" s="87" t="str">
        <f>IFERROR(__xludf.DUMMYFUNCTION("""COMPUTED_VALUE"""),"https://drive.google.com/drive/folders/10T2cTQHqEJZqE-st6uFKPoI?usp=share_link")</f>
        <v>https://drive.google.com/drive/folders/10T2cTQHqEJZqE-st6uFKPoI?usp=share_link</v>
      </c>
      <c r="P1285" s="6" t="str">
        <f>IFERROR(__xludf.DUMMYFUNCTION("""COMPUTED_VALUE"""),"Karolina Nagy")</f>
        <v>Karolina Nagy</v>
      </c>
      <c r="Q1285" s="6" t="str">
        <f>IFERROR(__xludf.DUMMYFUNCTION("""COMPUTED_VALUE"""),"L2")</f>
        <v>L2</v>
      </c>
      <c r="R1285" s="6">
        <f>IFERROR(__xludf.DUMMYFUNCTION("""COMPUTED_VALUE"""),2.0)</f>
        <v>2</v>
      </c>
      <c r="S1285" s="6" t="str">
        <f>IFERROR(__xludf.DUMMYFUNCTION("""COMPUTED_VALUE""")," ")</f>
        <v> </v>
      </c>
      <c r="T1285" s="6" t="str">
        <f>IFERROR(__xludf.DUMMYFUNCTION("""COMPUTED_VALUE"""),"")</f>
        <v/>
      </c>
      <c r="U1285" s="6" t="str">
        <f>IFERROR(__xludf.DUMMYFUNCTION("""COMPUTED_VALUE"""),"4")</f>
        <v>4</v>
      </c>
      <c r="V1285" s="6" t="str">
        <f>IFERROR(__xludf.DUMMYFUNCTION("""COMPUTED_VALUE"""),"English")</f>
        <v>English</v>
      </c>
      <c r="W1285" s="6" t="str">
        <f>IFERROR(__xludf.DUMMYFUNCTION("""COMPUTED_VALUE"""),"[]")</f>
        <v>[]</v>
      </c>
      <c r="X1285" s="6" t="str">
        <f>IFERROR(__xludf.DUMMYFUNCTION("""COMPUTED_VALUE"""),"Enrolled")</f>
        <v>Enrolled</v>
      </c>
    </row>
    <row r="1286">
      <c r="A1286" s="6" t="str">
        <f>IFERROR(__xludf.DUMMYFUNCTION("""COMPUTED_VALUE"""),"009-1540")</f>
        <v>009-1540</v>
      </c>
      <c r="B1286" s="6" t="str">
        <f>IFERROR(__xludf.DUMMYFUNCTION("""COMPUTED_VALUE"""),"9")</f>
        <v>9</v>
      </c>
      <c r="C1286" s="6" t="str">
        <f>IFERROR(__xludf.DUMMYFUNCTION("""COMPUTED_VALUE"""),"1540")</f>
        <v>1540</v>
      </c>
      <c r="D1286" s="6" t="str">
        <f>IFERROR(__xludf.DUMMYFUNCTION("""COMPUTED_VALUE"""),"Rakhil")</f>
        <v>Rakhil</v>
      </c>
      <c r="E1286" s="6" t="str">
        <f>IFERROR(__xludf.DUMMYFUNCTION("""COMPUTED_VALUE"""),"")</f>
        <v/>
      </c>
      <c r="F1286" s="6" t="str">
        <f>IFERROR(__xludf.DUMMYFUNCTION("""COMPUTED_VALUE"""),"Bondarenko")</f>
        <v>Bondarenko</v>
      </c>
      <c r="G1286" s="6" t="str">
        <f>IFERROR(__xludf.DUMMYFUNCTION("""COMPUTED_VALUE"""),"01/01/2010")</f>
        <v>01/01/2010</v>
      </c>
      <c r="H1286" s="6" t="str">
        <f>IFERROR(__xludf.DUMMYFUNCTION("""COMPUTED_VALUE"""),"Self Identify")</f>
        <v>Self Identify</v>
      </c>
      <c r="I1286" s="6" t="str">
        <f>IFERROR(__xludf.DUMMYFUNCTION("""COMPUTED_VALUE"""),"High School")</f>
        <v>High School</v>
      </c>
      <c r="J1286" s="6" t="str">
        <f>IFERROR(__xludf.DUMMYFUNCTION("""COMPUTED_VALUE"""),"9")</f>
        <v>9</v>
      </c>
      <c r="K1286" s="6" t="str">
        <f>IFERROR(__xludf.DUMMYFUNCTION("""COMPUTED_VALUE"""),"bondarenko.rakhil@2hourlearning.com")</f>
        <v>bondarenko.rakhil@2hourlearning.com</v>
      </c>
      <c r="L1286" s="6" t="str">
        <f>IFERROR(__xludf.DUMMYFUNCTION("""COMPUTED_VALUE"""),"Learn and Earn Poland")</f>
        <v>Learn and Earn Poland</v>
      </c>
      <c r="M1286" s="6" t="str">
        <f>IFERROR(__xludf.DUMMYFUNCTION("""COMPUTED_VALUE"""),"Budapest Alpha")</f>
        <v>Budapest Alpha</v>
      </c>
      <c r="N1286" s="6" t="str">
        <f>IFERROR(__xludf.DUMMYFUNCTION("""COMPUTED_VALUE"""),"")</f>
        <v/>
      </c>
      <c r="O1286" s="87" t="str">
        <f>IFERROR(__xludf.DUMMYFUNCTION("""COMPUTED_VALUE"""),"https://drive.google.com/drive/folders/10T2cTQHqEJZqE-st6uFKPoI?usp=share_link")</f>
        <v>https://drive.google.com/drive/folders/10T2cTQHqEJZqE-st6uFKPoI?usp=share_link</v>
      </c>
      <c r="P1286" s="6" t="str">
        <f>IFERROR(__xludf.DUMMYFUNCTION("""COMPUTED_VALUE"""),"Rakhil Bondarenko")</f>
        <v>Rakhil Bondarenko</v>
      </c>
      <c r="Q1286" s="6" t="str">
        <f>IFERROR(__xludf.DUMMYFUNCTION("""COMPUTED_VALUE"""),"HS")</f>
        <v>HS</v>
      </c>
      <c r="R1286" s="6">
        <f>IFERROR(__xludf.DUMMYFUNCTION("""COMPUTED_VALUE"""),0.0)</f>
        <v>0</v>
      </c>
      <c r="S1286" s="6" t="str">
        <f>IFERROR(__xludf.DUMMYFUNCTION("""COMPUTED_VALUE""")," ")</f>
        <v> </v>
      </c>
      <c r="T1286" s="6" t="str">
        <f>IFERROR(__xludf.DUMMYFUNCTION("""COMPUTED_VALUE"""),"")</f>
        <v/>
      </c>
      <c r="U1286" s="6" t="str">
        <f>IFERROR(__xludf.DUMMYFUNCTION("""COMPUTED_VALUE"""),"9")</f>
        <v>9</v>
      </c>
      <c r="V1286" s="6" t="str">
        <f>IFERROR(__xludf.DUMMYFUNCTION("""COMPUTED_VALUE"""),"English")</f>
        <v>English</v>
      </c>
      <c r="W1286" s="6" t="str">
        <f>IFERROR(__xludf.DUMMYFUNCTION("""COMPUTED_VALUE"""),"[]")</f>
        <v>[]</v>
      </c>
      <c r="X1286" s="6" t="str">
        <f>IFERROR(__xludf.DUMMYFUNCTION("""COMPUTED_VALUE"""),"Enrolled")</f>
        <v>Enrolled</v>
      </c>
    </row>
    <row r="1287">
      <c r="A1287" s="6" t="str">
        <f>IFERROR(__xludf.DUMMYFUNCTION("""COMPUTED_VALUE"""),"009-1541")</f>
        <v>009-1541</v>
      </c>
      <c r="B1287" s="6" t="str">
        <f>IFERROR(__xludf.DUMMYFUNCTION("""COMPUTED_VALUE"""),"9")</f>
        <v>9</v>
      </c>
      <c r="C1287" s="6" t="str">
        <f>IFERROR(__xludf.DUMMYFUNCTION("""COMPUTED_VALUE"""),"1541")</f>
        <v>1541</v>
      </c>
      <c r="D1287" s="6" t="str">
        <f>IFERROR(__xludf.DUMMYFUNCTION("""COMPUTED_VALUE"""),"Nikolett")</f>
        <v>Nikolett</v>
      </c>
      <c r="E1287" s="6" t="str">
        <f>IFERROR(__xludf.DUMMYFUNCTION("""COMPUTED_VALUE"""),"")</f>
        <v/>
      </c>
      <c r="F1287" s="6" t="str">
        <f>IFERROR(__xludf.DUMMYFUNCTION("""COMPUTED_VALUE"""),"Cseh")</f>
        <v>Cseh</v>
      </c>
      <c r="G1287" s="6" t="str">
        <f>IFERROR(__xludf.DUMMYFUNCTION("""COMPUTED_VALUE"""),"01/01/2010")</f>
        <v>01/01/2010</v>
      </c>
      <c r="H1287" s="6" t="str">
        <f>IFERROR(__xludf.DUMMYFUNCTION("""COMPUTED_VALUE"""),"Self Identify")</f>
        <v>Self Identify</v>
      </c>
      <c r="I1287" s="6" t="str">
        <f>IFERROR(__xludf.DUMMYFUNCTION("""COMPUTED_VALUE"""),"High School")</f>
        <v>High School</v>
      </c>
      <c r="J1287" s="6" t="str">
        <f>IFERROR(__xludf.DUMMYFUNCTION("""COMPUTED_VALUE"""),"9")</f>
        <v>9</v>
      </c>
      <c r="K1287" s="6" t="str">
        <f>IFERROR(__xludf.DUMMYFUNCTION("""COMPUTED_VALUE"""),"nikolett.cseh@2hourlearning.com")</f>
        <v>nikolett.cseh@2hourlearning.com</v>
      </c>
      <c r="L1287" s="6" t="str">
        <f>IFERROR(__xludf.DUMMYFUNCTION("""COMPUTED_VALUE"""),"Learn and Earn Poland")</f>
        <v>Learn and Earn Poland</v>
      </c>
      <c r="M1287" s="6" t="str">
        <f>IFERROR(__xludf.DUMMYFUNCTION("""COMPUTED_VALUE"""),"Budapest Alpha")</f>
        <v>Budapest Alpha</v>
      </c>
      <c r="N1287" s="6" t="str">
        <f>IFERROR(__xludf.DUMMYFUNCTION("""COMPUTED_VALUE"""),"")</f>
        <v/>
      </c>
      <c r="O1287" s="87" t="str">
        <f>IFERROR(__xludf.DUMMYFUNCTION("""COMPUTED_VALUE"""),"https://drive.google.com/drive/folders/10T2cTQHqEJZqE-st6uFKPoI?usp=share_link")</f>
        <v>https://drive.google.com/drive/folders/10T2cTQHqEJZqE-st6uFKPoI?usp=share_link</v>
      </c>
      <c r="P1287" s="6" t="str">
        <f>IFERROR(__xludf.DUMMYFUNCTION("""COMPUTED_VALUE"""),"Nikolett Cseh")</f>
        <v>Nikolett Cseh</v>
      </c>
      <c r="Q1287" s="6" t="str">
        <f>IFERROR(__xludf.DUMMYFUNCTION("""COMPUTED_VALUE"""),"HS")</f>
        <v>HS</v>
      </c>
      <c r="R1287" s="6">
        <f>IFERROR(__xludf.DUMMYFUNCTION("""COMPUTED_VALUE"""),0.0)</f>
        <v>0</v>
      </c>
      <c r="S1287" s="6" t="str">
        <f>IFERROR(__xludf.DUMMYFUNCTION("""COMPUTED_VALUE""")," ")</f>
        <v> </v>
      </c>
      <c r="T1287" s="6" t="str">
        <f>IFERROR(__xludf.DUMMYFUNCTION("""COMPUTED_VALUE"""),"")</f>
        <v/>
      </c>
      <c r="U1287" s="6" t="str">
        <f>IFERROR(__xludf.DUMMYFUNCTION("""COMPUTED_VALUE"""),"9")</f>
        <v>9</v>
      </c>
      <c r="V1287" s="6" t="str">
        <f>IFERROR(__xludf.DUMMYFUNCTION("""COMPUTED_VALUE"""),"English")</f>
        <v>English</v>
      </c>
      <c r="W1287" s="6" t="str">
        <f>IFERROR(__xludf.DUMMYFUNCTION("""COMPUTED_VALUE"""),"[]")</f>
        <v>[]</v>
      </c>
      <c r="X1287" s="6" t="str">
        <f>IFERROR(__xludf.DUMMYFUNCTION("""COMPUTED_VALUE"""),"Enrolled")</f>
        <v>Enrolled</v>
      </c>
    </row>
    <row r="1288">
      <c r="A1288" s="6" t="str">
        <f>IFERROR(__xludf.DUMMYFUNCTION("""COMPUTED_VALUE"""),"009-1542")</f>
        <v>009-1542</v>
      </c>
      <c r="B1288" s="6" t="str">
        <f>IFERROR(__xludf.DUMMYFUNCTION("""COMPUTED_VALUE"""),"9")</f>
        <v>9</v>
      </c>
      <c r="C1288" s="6" t="str">
        <f>IFERROR(__xludf.DUMMYFUNCTION("""COMPUTED_VALUE"""),"1542")</f>
        <v>1542</v>
      </c>
      <c r="D1288" s="6" t="str">
        <f>IFERROR(__xludf.DUMMYFUNCTION("""COMPUTED_VALUE"""),"Jazmin")</f>
        <v>Jazmin</v>
      </c>
      <c r="E1288" s="6" t="str">
        <f>IFERROR(__xludf.DUMMYFUNCTION("""COMPUTED_VALUE"""),"")</f>
        <v/>
      </c>
      <c r="F1288" s="6" t="str">
        <f>IFERROR(__xludf.DUMMYFUNCTION("""COMPUTED_VALUE"""),"Dzsaszem")</f>
        <v>Dzsaszem</v>
      </c>
      <c r="G1288" s="6" t="str">
        <f>IFERROR(__xludf.DUMMYFUNCTION("""COMPUTED_VALUE"""),"01/01/2007")</f>
        <v>01/01/2007</v>
      </c>
      <c r="H1288" s="6" t="str">
        <f>IFERROR(__xludf.DUMMYFUNCTION("""COMPUTED_VALUE"""),"Self Identify")</f>
        <v>Self Identify</v>
      </c>
      <c r="I1288" s="6" t="str">
        <f>IFERROR(__xludf.DUMMYFUNCTION("""COMPUTED_VALUE"""),"High School")</f>
        <v>High School</v>
      </c>
      <c r="J1288" s="6" t="str">
        <f>IFERROR(__xludf.DUMMYFUNCTION("""COMPUTED_VALUE"""),"12")</f>
        <v>12</v>
      </c>
      <c r="K1288" s="6" t="str">
        <f>IFERROR(__xludf.DUMMYFUNCTION("""COMPUTED_VALUE"""),"jazmin.dzsaszem@2hourlearning.com")</f>
        <v>jazmin.dzsaszem@2hourlearning.com</v>
      </c>
      <c r="L1288" s="6" t="str">
        <f>IFERROR(__xludf.DUMMYFUNCTION("""COMPUTED_VALUE"""),"Learn and Earn Poland")</f>
        <v>Learn and Earn Poland</v>
      </c>
      <c r="M1288" s="6" t="str">
        <f>IFERROR(__xludf.DUMMYFUNCTION("""COMPUTED_VALUE"""),"Budapest Alpha")</f>
        <v>Budapest Alpha</v>
      </c>
      <c r="N1288" s="6" t="str">
        <f>IFERROR(__xludf.DUMMYFUNCTION("""COMPUTED_VALUE"""),"")</f>
        <v/>
      </c>
      <c r="O1288" s="87" t="str">
        <f>IFERROR(__xludf.DUMMYFUNCTION("""COMPUTED_VALUE"""),"https://drive.google.com/drive/folders/10T2cTQHqEJZqE-st6uFKPoI?usp=share_link")</f>
        <v>https://drive.google.com/drive/folders/10T2cTQHqEJZqE-st6uFKPoI?usp=share_link</v>
      </c>
      <c r="P1288" s="6" t="str">
        <f>IFERROR(__xludf.DUMMYFUNCTION("""COMPUTED_VALUE"""),"Jazmin Dzsaszem")</f>
        <v>Jazmin Dzsaszem</v>
      </c>
      <c r="Q1288" s="6" t="str">
        <f>IFERROR(__xludf.DUMMYFUNCTION("""COMPUTED_VALUE"""),"HS")</f>
        <v>HS</v>
      </c>
      <c r="R1288" s="6">
        <f>IFERROR(__xludf.DUMMYFUNCTION("""COMPUTED_VALUE"""),0.0)</f>
        <v>0</v>
      </c>
      <c r="S1288" s="6" t="str">
        <f>IFERROR(__xludf.DUMMYFUNCTION("""COMPUTED_VALUE""")," ")</f>
        <v> </v>
      </c>
      <c r="T1288" s="6" t="str">
        <f>IFERROR(__xludf.DUMMYFUNCTION("""COMPUTED_VALUE"""),"")</f>
        <v/>
      </c>
      <c r="U1288" s="6" t="str">
        <f>IFERROR(__xludf.DUMMYFUNCTION("""COMPUTED_VALUE"""),"12")</f>
        <v>12</v>
      </c>
      <c r="V1288" s="6" t="str">
        <f>IFERROR(__xludf.DUMMYFUNCTION("""COMPUTED_VALUE"""),"English")</f>
        <v>English</v>
      </c>
      <c r="W1288" s="6" t="str">
        <f>IFERROR(__xludf.DUMMYFUNCTION("""COMPUTED_VALUE"""),"[]")</f>
        <v>[]</v>
      </c>
      <c r="X1288" s="6" t="str">
        <f>IFERROR(__xludf.DUMMYFUNCTION("""COMPUTED_VALUE"""),"Enrolled")</f>
        <v>Enrolled</v>
      </c>
    </row>
    <row r="1289">
      <c r="A1289" s="6" t="str">
        <f>IFERROR(__xludf.DUMMYFUNCTION("""COMPUTED_VALUE"""),"009-1543")</f>
        <v>009-1543</v>
      </c>
      <c r="B1289" s="6" t="str">
        <f>IFERROR(__xludf.DUMMYFUNCTION("""COMPUTED_VALUE"""),"9")</f>
        <v>9</v>
      </c>
      <c r="C1289" s="6" t="str">
        <f>IFERROR(__xludf.DUMMYFUNCTION("""COMPUTED_VALUE"""),"1543")</f>
        <v>1543</v>
      </c>
      <c r="D1289" s="6" t="str">
        <f>IFERROR(__xludf.DUMMYFUNCTION("""COMPUTED_VALUE"""),"Janos")</f>
        <v>Janos</v>
      </c>
      <c r="E1289" s="6" t="str">
        <f>IFERROR(__xludf.DUMMYFUNCTION("""COMPUTED_VALUE"""),"")</f>
        <v/>
      </c>
      <c r="F1289" s="6" t="str">
        <f>IFERROR(__xludf.DUMMYFUNCTION("""COMPUTED_VALUE"""),"Roszoha")</f>
        <v>Roszoha</v>
      </c>
      <c r="G1289" s="6" t="str">
        <f>IFERROR(__xludf.DUMMYFUNCTION("""COMPUTED_VALUE"""),"01/01/2015")</f>
        <v>01/01/2015</v>
      </c>
      <c r="H1289" s="6" t="str">
        <f>IFERROR(__xludf.DUMMYFUNCTION("""COMPUTED_VALUE"""),"Self Identify")</f>
        <v>Self Identify</v>
      </c>
      <c r="I1289" s="6" t="str">
        <f>IFERROR(__xludf.DUMMYFUNCTION("""COMPUTED_VALUE"""),"Level 2")</f>
        <v>Level 2</v>
      </c>
      <c r="J1289" s="6" t="str">
        <f>IFERROR(__xludf.DUMMYFUNCTION("""COMPUTED_VALUE"""),"4")</f>
        <v>4</v>
      </c>
      <c r="K1289" s="6" t="str">
        <f>IFERROR(__xludf.DUMMYFUNCTION("""COMPUTED_VALUE"""),"janos.roszoha@2hourlearning.com")</f>
        <v>janos.roszoha@2hourlearning.com</v>
      </c>
      <c r="L1289" s="6" t="str">
        <f>IFERROR(__xludf.DUMMYFUNCTION("""COMPUTED_VALUE"""),"Learn and Earn Poland")</f>
        <v>Learn and Earn Poland</v>
      </c>
      <c r="M1289" s="6" t="str">
        <f>IFERROR(__xludf.DUMMYFUNCTION("""COMPUTED_VALUE"""),"Budapest Alpha")</f>
        <v>Budapest Alpha</v>
      </c>
      <c r="N1289" s="6" t="str">
        <f>IFERROR(__xludf.DUMMYFUNCTION("""COMPUTED_VALUE"""),"")</f>
        <v/>
      </c>
      <c r="O1289" s="87" t="str">
        <f>IFERROR(__xludf.DUMMYFUNCTION("""COMPUTED_VALUE"""),"https://drive.google.com/drive/folders/10T2cTQHqEJZqE-st6uFKPoI?usp=share_link")</f>
        <v>https://drive.google.com/drive/folders/10T2cTQHqEJZqE-st6uFKPoI?usp=share_link</v>
      </c>
      <c r="P1289" s="6" t="str">
        <f>IFERROR(__xludf.DUMMYFUNCTION("""COMPUTED_VALUE"""),"Janos Roszoha")</f>
        <v>Janos Roszoha</v>
      </c>
      <c r="Q1289" s="6" t="str">
        <f>IFERROR(__xludf.DUMMYFUNCTION("""COMPUTED_VALUE"""),"L2")</f>
        <v>L2</v>
      </c>
      <c r="R1289" s="6">
        <f>IFERROR(__xludf.DUMMYFUNCTION("""COMPUTED_VALUE"""),2.0)</f>
        <v>2</v>
      </c>
      <c r="S1289" s="6" t="str">
        <f>IFERROR(__xludf.DUMMYFUNCTION("""COMPUTED_VALUE""")," ")</f>
        <v> </v>
      </c>
      <c r="T1289" s="6" t="str">
        <f>IFERROR(__xludf.DUMMYFUNCTION("""COMPUTED_VALUE"""),"")</f>
        <v/>
      </c>
      <c r="U1289" s="6" t="str">
        <f>IFERROR(__xludf.DUMMYFUNCTION("""COMPUTED_VALUE"""),"4")</f>
        <v>4</v>
      </c>
      <c r="V1289" s="6" t="str">
        <f>IFERROR(__xludf.DUMMYFUNCTION("""COMPUTED_VALUE"""),"English")</f>
        <v>English</v>
      </c>
      <c r="W1289" s="6" t="str">
        <f>IFERROR(__xludf.DUMMYFUNCTION("""COMPUTED_VALUE"""),"[]")</f>
        <v>[]</v>
      </c>
      <c r="X1289" s="6" t="str">
        <f>IFERROR(__xludf.DUMMYFUNCTION("""COMPUTED_VALUE"""),"Enrolled")</f>
        <v>Enrolled</v>
      </c>
    </row>
    <row r="1290">
      <c r="A1290" s="6" t="str">
        <f>IFERROR(__xludf.DUMMYFUNCTION("""COMPUTED_VALUE"""),"009-1544")</f>
        <v>009-1544</v>
      </c>
      <c r="B1290" s="6" t="str">
        <f>IFERROR(__xludf.DUMMYFUNCTION("""COMPUTED_VALUE"""),"9")</f>
        <v>9</v>
      </c>
      <c r="C1290" s="6" t="str">
        <f>IFERROR(__xludf.DUMMYFUNCTION("""COMPUTED_VALUE"""),"1544")</f>
        <v>1544</v>
      </c>
      <c r="D1290" s="6" t="str">
        <f>IFERROR(__xludf.DUMMYFUNCTION("""COMPUTED_VALUE"""),"Serhii")</f>
        <v>Serhii</v>
      </c>
      <c r="E1290" s="6" t="str">
        <f>IFERROR(__xludf.DUMMYFUNCTION("""COMPUTED_VALUE"""),"")</f>
        <v/>
      </c>
      <c r="F1290" s="6" t="str">
        <f>IFERROR(__xludf.DUMMYFUNCTION("""COMPUTED_VALUE"""),"Zakharov")</f>
        <v>Zakharov</v>
      </c>
      <c r="G1290" s="6" t="str">
        <f>IFERROR(__xludf.DUMMYFUNCTION("""COMPUTED_VALUE"""),"01/01/2013")</f>
        <v>01/01/2013</v>
      </c>
      <c r="H1290" s="6" t="str">
        <f>IFERROR(__xludf.DUMMYFUNCTION("""COMPUTED_VALUE"""),"Self Identify")</f>
        <v>Self Identify</v>
      </c>
      <c r="I1290" s="6" t="str">
        <f>IFERROR(__xludf.DUMMYFUNCTION("""COMPUTED_VALUE"""),"Middle School")</f>
        <v>Middle School</v>
      </c>
      <c r="J1290" s="6" t="str">
        <f>IFERROR(__xludf.DUMMYFUNCTION("""COMPUTED_VALUE"""),"6")</f>
        <v>6</v>
      </c>
      <c r="K1290" s="6" t="str">
        <f>IFERROR(__xludf.DUMMYFUNCTION("""COMPUTED_VALUE"""),"serhii.zakharov@2hourlearning.com")</f>
        <v>serhii.zakharov@2hourlearning.com</v>
      </c>
      <c r="L1290" s="6" t="str">
        <f>IFERROR(__xludf.DUMMYFUNCTION("""COMPUTED_VALUE"""),"Learn and Earn Poland")</f>
        <v>Learn and Earn Poland</v>
      </c>
      <c r="M1290" s="6" t="str">
        <f>IFERROR(__xludf.DUMMYFUNCTION("""COMPUTED_VALUE"""),"Budapest ex-GTS")</f>
        <v>Budapest ex-GTS</v>
      </c>
      <c r="N1290" s="6" t="str">
        <f>IFERROR(__xludf.DUMMYFUNCTION("""COMPUTED_VALUE"""),"")</f>
        <v/>
      </c>
      <c r="O1290" s="87" t="str">
        <f>IFERROR(__xludf.DUMMYFUNCTION("""COMPUTED_VALUE"""),"https://drive.google.com/drive/folders/10T2cTQHqEJZqE-st6uFKPoI?usp=share_link")</f>
        <v>https://drive.google.com/drive/folders/10T2cTQHqEJZqE-st6uFKPoI?usp=share_link</v>
      </c>
      <c r="P1290" s="6" t="str">
        <f>IFERROR(__xludf.DUMMYFUNCTION("""COMPUTED_VALUE"""),"Serhii Zakharov")</f>
        <v>Serhii Zakharov</v>
      </c>
      <c r="Q1290" s="6" t="str">
        <f>IFERROR(__xludf.DUMMYFUNCTION("""COMPUTED_VALUE"""),"MS")</f>
        <v>MS</v>
      </c>
      <c r="R1290" s="6">
        <f>IFERROR(__xludf.DUMMYFUNCTION("""COMPUTED_VALUE"""),0.0)</f>
        <v>0</v>
      </c>
      <c r="S1290" s="6" t="str">
        <f>IFERROR(__xludf.DUMMYFUNCTION("""COMPUTED_VALUE""")," ")</f>
        <v> </v>
      </c>
      <c r="T1290" s="6" t="str">
        <f>IFERROR(__xludf.DUMMYFUNCTION("""COMPUTED_VALUE"""),"")</f>
        <v/>
      </c>
      <c r="U1290" s="6" t="str">
        <f>IFERROR(__xludf.DUMMYFUNCTION("""COMPUTED_VALUE"""),"6")</f>
        <v>6</v>
      </c>
      <c r="V1290" s="6" t="str">
        <f>IFERROR(__xludf.DUMMYFUNCTION("""COMPUTED_VALUE"""),"English")</f>
        <v>English</v>
      </c>
      <c r="W1290" s="6" t="str">
        <f>IFERROR(__xludf.DUMMYFUNCTION("""COMPUTED_VALUE"""),"[]")</f>
        <v>[]</v>
      </c>
      <c r="X1290" s="6" t="str">
        <f>IFERROR(__xludf.DUMMYFUNCTION("""COMPUTED_VALUE"""),"Enrolled")</f>
        <v>Enrolled</v>
      </c>
    </row>
    <row r="1291">
      <c r="A1291" s="6" t="str">
        <f>IFERROR(__xludf.DUMMYFUNCTION("""COMPUTED_VALUE"""),"009-1545")</f>
        <v>009-1545</v>
      </c>
      <c r="B1291" s="6" t="str">
        <f>IFERROR(__xludf.DUMMYFUNCTION("""COMPUTED_VALUE"""),"9")</f>
        <v>9</v>
      </c>
      <c r="C1291" s="6" t="str">
        <f>IFERROR(__xludf.DUMMYFUNCTION("""COMPUTED_VALUE"""),"1545")</f>
        <v>1545</v>
      </c>
      <c r="D1291" s="6" t="str">
        <f>IFERROR(__xludf.DUMMYFUNCTION("""COMPUTED_VALUE"""),"Maksym")</f>
        <v>Maksym</v>
      </c>
      <c r="E1291" s="6" t="str">
        <f>IFERROR(__xludf.DUMMYFUNCTION("""COMPUTED_VALUE"""),"")</f>
        <v/>
      </c>
      <c r="F1291" s="6" t="str">
        <f>IFERROR(__xludf.DUMMYFUNCTION("""COMPUTED_VALUE"""),"Sheremetiev")</f>
        <v>Sheremetiev</v>
      </c>
      <c r="G1291" s="6" t="str">
        <f>IFERROR(__xludf.DUMMYFUNCTION("""COMPUTED_VALUE"""),"01/01/2008")</f>
        <v>01/01/2008</v>
      </c>
      <c r="H1291" s="6" t="str">
        <f>IFERROR(__xludf.DUMMYFUNCTION("""COMPUTED_VALUE"""),"Self Identify")</f>
        <v>Self Identify</v>
      </c>
      <c r="I1291" s="6" t="str">
        <f>IFERROR(__xludf.DUMMYFUNCTION("""COMPUTED_VALUE"""),"High School")</f>
        <v>High School</v>
      </c>
      <c r="J1291" s="6" t="str">
        <f>IFERROR(__xludf.DUMMYFUNCTION("""COMPUTED_VALUE"""),"11")</f>
        <v>11</v>
      </c>
      <c r="K1291" s="6" t="str">
        <f>IFERROR(__xludf.DUMMYFUNCTION("""COMPUTED_VALUE"""),"maksym.sheremetiev@2hourlearning.com")</f>
        <v>maksym.sheremetiev@2hourlearning.com</v>
      </c>
      <c r="L1291" s="6" t="str">
        <f>IFERROR(__xludf.DUMMYFUNCTION("""COMPUTED_VALUE"""),"Learn and Earn Poland")</f>
        <v>Learn and Earn Poland</v>
      </c>
      <c r="M1291" s="6" t="str">
        <f>IFERROR(__xludf.DUMMYFUNCTION("""COMPUTED_VALUE"""),"Budapest Alpha")</f>
        <v>Budapest Alpha</v>
      </c>
      <c r="N1291" s="6" t="str">
        <f>IFERROR(__xludf.DUMMYFUNCTION("""COMPUTED_VALUE"""),"")</f>
        <v/>
      </c>
      <c r="O1291" s="87" t="str">
        <f>IFERROR(__xludf.DUMMYFUNCTION("""COMPUTED_VALUE"""),"https://drive.google.com/drive/folders/10T2cTQHqEJZqE-st6uFKPoI?usp=share_link")</f>
        <v>https://drive.google.com/drive/folders/10T2cTQHqEJZqE-st6uFKPoI?usp=share_link</v>
      </c>
      <c r="P1291" s="6" t="str">
        <f>IFERROR(__xludf.DUMMYFUNCTION("""COMPUTED_VALUE"""),"Maksym Sheremetiev")</f>
        <v>Maksym Sheremetiev</v>
      </c>
      <c r="Q1291" s="6" t="str">
        <f>IFERROR(__xludf.DUMMYFUNCTION("""COMPUTED_VALUE"""),"HS")</f>
        <v>HS</v>
      </c>
      <c r="R1291" s="6">
        <f>IFERROR(__xludf.DUMMYFUNCTION("""COMPUTED_VALUE"""),0.0)</f>
        <v>0</v>
      </c>
      <c r="S1291" s="6" t="str">
        <f>IFERROR(__xludf.DUMMYFUNCTION("""COMPUTED_VALUE""")," ")</f>
        <v> </v>
      </c>
      <c r="T1291" s="6" t="str">
        <f>IFERROR(__xludf.DUMMYFUNCTION("""COMPUTED_VALUE"""),"")</f>
        <v/>
      </c>
      <c r="U1291" s="6" t="str">
        <f>IFERROR(__xludf.DUMMYFUNCTION("""COMPUTED_VALUE"""),"11")</f>
        <v>11</v>
      </c>
      <c r="V1291" s="6" t="str">
        <f>IFERROR(__xludf.DUMMYFUNCTION("""COMPUTED_VALUE"""),"English")</f>
        <v>English</v>
      </c>
      <c r="W1291" s="6" t="str">
        <f>IFERROR(__xludf.DUMMYFUNCTION("""COMPUTED_VALUE"""),"[]")</f>
        <v>[]</v>
      </c>
      <c r="X1291" s="6" t="str">
        <f>IFERROR(__xludf.DUMMYFUNCTION("""COMPUTED_VALUE"""),"Enrolled")</f>
        <v>Enrolled</v>
      </c>
    </row>
    <row r="1292">
      <c r="A1292" s="6" t="str">
        <f>IFERROR(__xludf.DUMMYFUNCTION("""COMPUTED_VALUE"""),"009-1546")</f>
        <v>009-1546</v>
      </c>
      <c r="B1292" s="6" t="str">
        <f>IFERROR(__xludf.DUMMYFUNCTION("""COMPUTED_VALUE"""),"9")</f>
        <v>9</v>
      </c>
      <c r="C1292" s="6" t="str">
        <f>IFERROR(__xludf.DUMMYFUNCTION("""COMPUTED_VALUE"""),"1546")</f>
        <v>1546</v>
      </c>
      <c r="D1292" s="6" t="str">
        <f>IFERROR(__xludf.DUMMYFUNCTION("""COMPUTED_VALUE"""),"Nazar")</f>
        <v>Nazar</v>
      </c>
      <c r="E1292" s="6" t="str">
        <f>IFERROR(__xludf.DUMMYFUNCTION("""COMPUTED_VALUE"""),"")</f>
        <v/>
      </c>
      <c r="F1292" s="6" t="str">
        <f>IFERROR(__xludf.DUMMYFUNCTION("""COMPUTED_VALUE"""),"Blinkov")</f>
        <v>Blinkov</v>
      </c>
      <c r="G1292" s="6" t="str">
        <f>IFERROR(__xludf.DUMMYFUNCTION("""COMPUTED_VALUE"""),"01/01/2008")</f>
        <v>01/01/2008</v>
      </c>
      <c r="H1292" s="6" t="str">
        <f>IFERROR(__xludf.DUMMYFUNCTION("""COMPUTED_VALUE"""),"Self Identify")</f>
        <v>Self Identify</v>
      </c>
      <c r="I1292" s="6" t="str">
        <f>IFERROR(__xludf.DUMMYFUNCTION("""COMPUTED_VALUE"""),"High School")</f>
        <v>High School</v>
      </c>
      <c r="J1292" s="6" t="str">
        <f>IFERROR(__xludf.DUMMYFUNCTION("""COMPUTED_VALUE"""),"11")</f>
        <v>11</v>
      </c>
      <c r="K1292" s="6" t="str">
        <f>IFERROR(__xludf.DUMMYFUNCTION("""COMPUTED_VALUE"""),"nazar.blinkov@2hourlearning.com")</f>
        <v>nazar.blinkov@2hourlearning.com</v>
      </c>
      <c r="L1292" s="6" t="str">
        <f>IFERROR(__xludf.DUMMYFUNCTION("""COMPUTED_VALUE"""),"Learn and Earn Poland")</f>
        <v>Learn and Earn Poland</v>
      </c>
      <c r="M1292" s="6" t="str">
        <f>IFERROR(__xludf.DUMMYFUNCTION("""COMPUTED_VALUE"""),"Budapest Alpha")</f>
        <v>Budapest Alpha</v>
      </c>
      <c r="N1292" s="6" t="str">
        <f>IFERROR(__xludf.DUMMYFUNCTION("""COMPUTED_VALUE"""),"")</f>
        <v/>
      </c>
      <c r="O1292" s="87" t="str">
        <f>IFERROR(__xludf.DUMMYFUNCTION("""COMPUTED_VALUE"""),"https://drive.google.com/drive/folders/10T2cTQHqEJZqE-st6uFKPoI?usp=share_link")</f>
        <v>https://drive.google.com/drive/folders/10T2cTQHqEJZqE-st6uFKPoI?usp=share_link</v>
      </c>
      <c r="P1292" s="6" t="str">
        <f>IFERROR(__xludf.DUMMYFUNCTION("""COMPUTED_VALUE"""),"Nazar Blinkov")</f>
        <v>Nazar Blinkov</v>
      </c>
      <c r="Q1292" s="6" t="str">
        <f>IFERROR(__xludf.DUMMYFUNCTION("""COMPUTED_VALUE"""),"HS")</f>
        <v>HS</v>
      </c>
      <c r="R1292" s="6">
        <f>IFERROR(__xludf.DUMMYFUNCTION("""COMPUTED_VALUE"""),0.0)</f>
        <v>0</v>
      </c>
      <c r="S1292" s="6" t="str">
        <f>IFERROR(__xludf.DUMMYFUNCTION("""COMPUTED_VALUE""")," ")</f>
        <v> </v>
      </c>
      <c r="T1292" s="6" t="str">
        <f>IFERROR(__xludf.DUMMYFUNCTION("""COMPUTED_VALUE"""),"")</f>
        <v/>
      </c>
      <c r="U1292" s="6" t="str">
        <f>IFERROR(__xludf.DUMMYFUNCTION("""COMPUTED_VALUE"""),"11")</f>
        <v>11</v>
      </c>
      <c r="V1292" s="6" t="str">
        <f>IFERROR(__xludf.DUMMYFUNCTION("""COMPUTED_VALUE"""),"English")</f>
        <v>English</v>
      </c>
      <c r="W1292" s="6" t="str">
        <f>IFERROR(__xludf.DUMMYFUNCTION("""COMPUTED_VALUE"""),"[]")</f>
        <v>[]</v>
      </c>
      <c r="X1292" s="6" t="str">
        <f>IFERROR(__xludf.DUMMYFUNCTION("""COMPUTED_VALUE"""),"Enrolled")</f>
        <v>Enrolled</v>
      </c>
    </row>
    <row r="1293">
      <c r="A1293" s="6" t="str">
        <f>IFERROR(__xludf.DUMMYFUNCTION("""COMPUTED_VALUE"""),"009-1547")</f>
        <v>009-1547</v>
      </c>
      <c r="B1293" s="6" t="str">
        <f>IFERROR(__xludf.DUMMYFUNCTION("""COMPUTED_VALUE"""),"9")</f>
        <v>9</v>
      </c>
      <c r="C1293" s="6" t="str">
        <f>IFERROR(__xludf.DUMMYFUNCTION("""COMPUTED_VALUE"""),"1547")</f>
        <v>1547</v>
      </c>
      <c r="D1293" s="6" t="str">
        <f>IFERROR(__xludf.DUMMYFUNCTION("""COMPUTED_VALUE"""),"Enns")</f>
        <v>Enns</v>
      </c>
      <c r="E1293" s="6" t="str">
        <f>IFERROR(__xludf.DUMMYFUNCTION("""COMPUTED_VALUE"""),"")</f>
        <v/>
      </c>
      <c r="F1293" s="6" t="str">
        <f>IFERROR(__xludf.DUMMYFUNCTION("""COMPUTED_VALUE"""),"Diemid")</f>
        <v>Diemid</v>
      </c>
      <c r="G1293" s="6" t="str">
        <f>IFERROR(__xludf.DUMMYFUNCTION("""COMPUTED_VALUE"""),"01/01/2015")</f>
        <v>01/01/2015</v>
      </c>
      <c r="H1293" s="6" t="str">
        <f>IFERROR(__xludf.DUMMYFUNCTION("""COMPUTED_VALUE"""),"Self Identify")</f>
        <v>Self Identify</v>
      </c>
      <c r="I1293" s="6" t="str">
        <f>IFERROR(__xludf.DUMMYFUNCTION("""COMPUTED_VALUE"""),"Level 2")</f>
        <v>Level 2</v>
      </c>
      <c r="J1293" s="6" t="str">
        <f>IFERROR(__xludf.DUMMYFUNCTION("""COMPUTED_VALUE"""),"4")</f>
        <v>4</v>
      </c>
      <c r="K1293" s="6" t="str">
        <f>IFERROR(__xludf.DUMMYFUNCTION("""COMPUTED_VALUE"""),"enns.diemid@2hourlearning.com")</f>
        <v>enns.diemid@2hourlearning.com</v>
      </c>
      <c r="L1293" s="6" t="str">
        <f>IFERROR(__xludf.DUMMYFUNCTION("""COMPUTED_VALUE"""),"Learn and Earn Poland")</f>
        <v>Learn and Earn Poland</v>
      </c>
      <c r="M1293" s="6" t="str">
        <f>IFERROR(__xludf.DUMMYFUNCTION("""COMPUTED_VALUE"""),"Budapest ex-GTS")</f>
        <v>Budapest ex-GTS</v>
      </c>
      <c r="N1293" s="6" t="str">
        <f>IFERROR(__xludf.DUMMYFUNCTION("""COMPUTED_VALUE"""),"")</f>
        <v/>
      </c>
      <c r="O1293" s="87" t="str">
        <f>IFERROR(__xludf.DUMMYFUNCTION("""COMPUTED_VALUE"""),"https://drive.google.com/drive/folders/10T2cTQHqEJZqE-st6uFKPoI?usp=share_link")</f>
        <v>https://drive.google.com/drive/folders/10T2cTQHqEJZqE-st6uFKPoI?usp=share_link</v>
      </c>
      <c r="P1293" s="6" t="str">
        <f>IFERROR(__xludf.DUMMYFUNCTION("""COMPUTED_VALUE"""),"Enns Diemid")</f>
        <v>Enns Diemid</v>
      </c>
      <c r="Q1293" s="6" t="str">
        <f>IFERROR(__xludf.DUMMYFUNCTION("""COMPUTED_VALUE"""),"L2")</f>
        <v>L2</v>
      </c>
      <c r="R1293" s="6">
        <f>IFERROR(__xludf.DUMMYFUNCTION("""COMPUTED_VALUE"""),2.0)</f>
        <v>2</v>
      </c>
      <c r="S1293" s="6" t="str">
        <f>IFERROR(__xludf.DUMMYFUNCTION("""COMPUTED_VALUE""")," ")</f>
        <v> </v>
      </c>
      <c r="T1293" s="6" t="str">
        <f>IFERROR(__xludf.DUMMYFUNCTION("""COMPUTED_VALUE"""),"")</f>
        <v/>
      </c>
      <c r="U1293" s="6" t="str">
        <f>IFERROR(__xludf.DUMMYFUNCTION("""COMPUTED_VALUE"""),"4")</f>
        <v>4</v>
      </c>
      <c r="V1293" s="6" t="str">
        <f>IFERROR(__xludf.DUMMYFUNCTION("""COMPUTED_VALUE"""),"English")</f>
        <v>English</v>
      </c>
      <c r="W1293" s="6" t="str">
        <f>IFERROR(__xludf.DUMMYFUNCTION("""COMPUTED_VALUE"""),"[]")</f>
        <v>[]</v>
      </c>
      <c r="X1293" s="6" t="str">
        <f>IFERROR(__xludf.DUMMYFUNCTION("""COMPUTED_VALUE"""),"Enrolled")</f>
        <v>Enrolled</v>
      </c>
    </row>
    <row r="1294">
      <c r="A1294" s="6" t="str">
        <f>IFERROR(__xludf.DUMMYFUNCTION("""COMPUTED_VALUE"""),"009-1548")</f>
        <v>009-1548</v>
      </c>
      <c r="B1294" s="6" t="str">
        <f>IFERROR(__xludf.DUMMYFUNCTION("""COMPUTED_VALUE"""),"9")</f>
        <v>9</v>
      </c>
      <c r="C1294" s="6" t="str">
        <f>IFERROR(__xludf.DUMMYFUNCTION("""COMPUTED_VALUE"""),"1548")</f>
        <v>1548</v>
      </c>
      <c r="D1294" s="6" t="str">
        <f>IFERROR(__xludf.DUMMYFUNCTION("""COMPUTED_VALUE"""),"Kira")</f>
        <v>Kira</v>
      </c>
      <c r="E1294" s="6" t="str">
        <f>IFERROR(__xludf.DUMMYFUNCTION("""COMPUTED_VALUE"""),"")</f>
        <v/>
      </c>
      <c r="F1294" s="6" t="str">
        <f>IFERROR(__xludf.DUMMYFUNCTION("""COMPUTED_VALUE"""),"Shtohrin")</f>
        <v>Shtohrin</v>
      </c>
      <c r="G1294" s="6" t="str">
        <f>IFERROR(__xludf.DUMMYFUNCTION("""COMPUTED_VALUE"""),"01/01/2017")</f>
        <v>01/01/2017</v>
      </c>
      <c r="H1294" s="6" t="str">
        <f>IFERROR(__xludf.DUMMYFUNCTION("""COMPUTED_VALUE"""),"Self Identify")</f>
        <v>Self Identify</v>
      </c>
      <c r="I1294" s="6" t="str">
        <f>IFERROR(__xludf.DUMMYFUNCTION("""COMPUTED_VALUE"""),"Level 1")</f>
        <v>Level 1</v>
      </c>
      <c r="J1294" s="6" t="str">
        <f>IFERROR(__xludf.DUMMYFUNCTION("""COMPUTED_VALUE"""),"2")</f>
        <v>2</v>
      </c>
      <c r="K1294" s="6" t="str">
        <f>IFERROR(__xludf.DUMMYFUNCTION("""COMPUTED_VALUE"""),"kira.shtohrin@2hourlearning.com")</f>
        <v>kira.shtohrin@2hourlearning.com</v>
      </c>
      <c r="L1294" s="6" t="str">
        <f>IFERROR(__xludf.DUMMYFUNCTION("""COMPUTED_VALUE"""),"Learn and Earn Poland")</f>
        <v>Learn and Earn Poland</v>
      </c>
      <c r="M1294" s="6" t="str">
        <f>IFERROR(__xludf.DUMMYFUNCTION("""COMPUTED_VALUE"""),"Budapest Alpha")</f>
        <v>Budapest Alpha</v>
      </c>
      <c r="N1294" s="6" t="str">
        <f>IFERROR(__xludf.DUMMYFUNCTION("""COMPUTED_VALUE"""),"")</f>
        <v/>
      </c>
      <c r="O1294" s="87" t="str">
        <f>IFERROR(__xludf.DUMMYFUNCTION("""COMPUTED_VALUE"""),"https://drive.google.com/drive/folders/10T2cTQHqEJZqE-st6uFKPoI?usp=share_link")</f>
        <v>https://drive.google.com/drive/folders/10T2cTQHqEJZqE-st6uFKPoI?usp=share_link</v>
      </c>
      <c r="P1294" s="6" t="str">
        <f>IFERROR(__xludf.DUMMYFUNCTION("""COMPUTED_VALUE"""),"Kira Shtohrin")</f>
        <v>Kira Shtohrin</v>
      </c>
      <c r="Q1294" s="6" t="str">
        <f>IFERROR(__xludf.DUMMYFUNCTION("""COMPUTED_VALUE"""),"L1")</f>
        <v>L1</v>
      </c>
      <c r="R1294" s="6">
        <f>IFERROR(__xludf.DUMMYFUNCTION("""COMPUTED_VALUE"""),1.0)</f>
        <v>1</v>
      </c>
      <c r="S1294" s="6" t="str">
        <f>IFERROR(__xludf.DUMMYFUNCTION("""COMPUTED_VALUE""")," ")</f>
        <v> </v>
      </c>
      <c r="T1294" s="6" t="str">
        <f>IFERROR(__xludf.DUMMYFUNCTION("""COMPUTED_VALUE"""),"")</f>
        <v/>
      </c>
      <c r="U1294" s="6" t="str">
        <f>IFERROR(__xludf.DUMMYFUNCTION("""COMPUTED_VALUE"""),"2")</f>
        <v>2</v>
      </c>
      <c r="V1294" s="6" t="str">
        <f>IFERROR(__xludf.DUMMYFUNCTION("""COMPUTED_VALUE"""),"English")</f>
        <v>English</v>
      </c>
      <c r="W1294" s="6" t="str">
        <f>IFERROR(__xludf.DUMMYFUNCTION("""COMPUTED_VALUE"""),"[]")</f>
        <v>[]</v>
      </c>
      <c r="X1294" s="6" t="str">
        <f>IFERROR(__xludf.DUMMYFUNCTION("""COMPUTED_VALUE"""),"Enrolled")</f>
        <v>Enrolled</v>
      </c>
    </row>
    <row r="1295">
      <c r="A1295" s="6" t="str">
        <f>IFERROR(__xludf.DUMMYFUNCTION("""COMPUTED_VALUE"""),"009-1549")</f>
        <v>009-1549</v>
      </c>
      <c r="B1295" s="6" t="str">
        <f>IFERROR(__xludf.DUMMYFUNCTION("""COMPUTED_VALUE"""),"9")</f>
        <v>9</v>
      </c>
      <c r="C1295" s="6" t="str">
        <f>IFERROR(__xludf.DUMMYFUNCTION("""COMPUTED_VALUE"""),"1549")</f>
        <v>1549</v>
      </c>
      <c r="D1295" s="6" t="str">
        <f>IFERROR(__xludf.DUMMYFUNCTION("""COMPUTED_VALUE"""),"Yehor")</f>
        <v>Yehor</v>
      </c>
      <c r="E1295" s="6" t="str">
        <f>IFERROR(__xludf.DUMMYFUNCTION("""COMPUTED_VALUE"""),"")</f>
        <v/>
      </c>
      <c r="F1295" s="6" t="str">
        <f>IFERROR(__xludf.DUMMYFUNCTION("""COMPUTED_VALUE"""),"Semenchenko")</f>
        <v>Semenchenko</v>
      </c>
      <c r="G1295" s="6" t="str">
        <f>IFERROR(__xludf.DUMMYFUNCTION("""COMPUTED_VALUE"""),"01/01/2011")</f>
        <v>01/01/2011</v>
      </c>
      <c r="H1295" s="6" t="str">
        <f>IFERROR(__xludf.DUMMYFUNCTION("""COMPUTED_VALUE"""),"Self Identify")</f>
        <v>Self Identify</v>
      </c>
      <c r="I1295" s="6" t="str">
        <f>IFERROR(__xludf.DUMMYFUNCTION("""COMPUTED_VALUE"""),"Middle School")</f>
        <v>Middle School</v>
      </c>
      <c r="J1295" s="6" t="str">
        <f>IFERROR(__xludf.DUMMYFUNCTION("""COMPUTED_VALUE"""),"8")</f>
        <v>8</v>
      </c>
      <c r="K1295" s="6" t="str">
        <f>IFERROR(__xludf.DUMMYFUNCTION("""COMPUTED_VALUE"""),"yehor.semenchenko@2hourlearning.com")</f>
        <v>yehor.semenchenko@2hourlearning.com</v>
      </c>
      <c r="L1295" s="6" t="str">
        <f>IFERROR(__xludf.DUMMYFUNCTION("""COMPUTED_VALUE"""),"Learn and Earn Poland")</f>
        <v>Learn and Earn Poland</v>
      </c>
      <c r="M1295" s="6" t="str">
        <f>IFERROR(__xludf.DUMMYFUNCTION("""COMPUTED_VALUE"""),"Budapest ex-GTS")</f>
        <v>Budapest ex-GTS</v>
      </c>
      <c r="N1295" s="6" t="str">
        <f>IFERROR(__xludf.DUMMYFUNCTION("""COMPUTED_VALUE"""),"")</f>
        <v/>
      </c>
      <c r="O1295" s="87" t="str">
        <f>IFERROR(__xludf.DUMMYFUNCTION("""COMPUTED_VALUE"""),"https://drive.google.com/drive/folders/10T2cTQHqEJZqE-st6uFKPoI?usp=share_link")</f>
        <v>https://drive.google.com/drive/folders/10T2cTQHqEJZqE-st6uFKPoI?usp=share_link</v>
      </c>
      <c r="P1295" s="6" t="str">
        <f>IFERROR(__xludf.DUMMYFUNCTION("""COMPUTED_VALUE"""),"Yehor Semenchenko")</f>
        <v>Yehor Semenchenko</v>
      </c>
      <c r="Q1295" s="6" t="str">
        <f>IFERROR(__xludf.DUMMYFUNCTION("""COMPUTED_VALUE"""),"MS")</f>
        <v>MS</v>
      </c>
      <c r="R1295" s="6">
        <f>IFERROR(__xludf.DUMMYFUNCTION("""COMPUTED_VALUE"""),0.0)</f>
        <v>0</v>
      </c>
      <c r="S1295" s="6" t="str">
        <f>IFERROR(__xludf.DUMMYFUNCTION("""COMPUTED_VALUE""")," ")</f>
        <v> </v>
      </c>
      <c r="T1295" s="6" t="str">
        <f>IFERROR(__xludf.DUMMYFUNCTION("""COMPUTED_VALUE"""),"")</f>
        <v/>
      </c>
      <c r="U1295" s="6" t="str">
        <f>IFERROR(__xludf.DUMMYFUNCTION("""COMPUTED_VALUE"""),"8")</f>
        <v>8</v>
      </c>
      <c r="V1295" s="6" t="str">
        <f>IFERROR(__xludf.DUMMYFUNCTION("""COMPUTED_VALUE"""),"English")</f>
        <v>English</v>
      </c>
      <c r="W1295" s="6" t="str">
        <f>IFERROR(__xludf.DUMMYFUNCTION("""COMPUTED_VALUE"""),"[]")</f>
        <v>[]</v>
      </c>
      <c r="X1295" s="6" t="str">
        <f>IFERROR(__xludf.DUMMYFUNCTION("""COMPUTED_VALUE"""),"Enrolled")</f>
        <v>Enrolled</v>
      </c>
    </row>
    <row r="1296">
      <c r="A1296" s="6" t="str">
        <f>IFERROR(__xludf.DUMMYFUNCTION("""COMPUTED_VALUE"""),"009-1550")</f>
        <v>009-1550</v>
      </c>
      <c r="B1296" s="6" t="str">
        <f>IFERROR(__xludf.DUMMYFUNCTION("""COMPUTED_VALUE"""),"9")</f>
        <v>9</v>
      </c>
      <c r="C1296" s="6" t="str">
        <f>IFERROR(__xludf.DUMMYFUNCTION("""COMPUTED_VALUE"""),"1550")</f>
        <v>1550</v>
      </c>
      <c r="D1296" s="6" t="str">
        <f>IFERROR(__xludf.DUMMYFUNCTION("""COMPUTED_VALUE"""),"Roman")</f>
        <v>Roman</v>
      </c>
      <c r="E1296" s="6" t="str">
        <f>IFERROR(__xludf.DUMMYFUNCTION("""COMPUTED_VALUE"""),"")</f>
        <v/>
      </c>
      <c r="F1296" s="6" t="str">
        <f>IFERROR(__xludf.DUMMYFUNCTION("""COMPUTED_VALUE"""),"Khmel")</f>
        <v>Khmel</v>
      </c>
      <c r="G1296" s="6" t="str">
        <f>IFERROR(__xludf.DUMMYFUNCTION("""COMPUTED_VALUE"""),"01/01/2016")</f>
        <v>01/01/2016</v>
      </c>
      <c r="H1296" s="6" t="str">
        <f>IFERROR(__xludf.DUMMYFUNCTION("""COMPUTED_VALUE"""),"Self Identify")</f>
        <v>Self Identify</v>
      </c>
      <c r="I1296" s="6" t="str">
        <f>IFERROR(__xludf.DUMMYFUNCTION("""COMPUTED_VALUE"""),"Level 1")</f>
        <v>Level 1</v>
      </c>
      <c r="J1296" s="6" t="str">
        <f>IFERROR(__xludf.DUMMYFUNCTION("""COMPUTED_VALUE"""),"3")</f>
        <v>3</v>
      </c>
      <c r="K1296" s="6" t="str">
        <f>IFERROR(__xludf.DUMMYFUNCTION("""COMPUTED_VALUE"""),"roman.khmel@2hourlearning.com")</f>
        <v>roman.khmel@2hourlearning.com</v>
      </c>
      <c r="L1296" s="6" t="str">
        <f>IFERROR(__xludf.DUMMYFUNCTION("""COMPUTED_VALUE"""),"Learn and Earn Poland")</f>
        <v>Learn and Earn Poland</v>
      </c>
      <c r="M1296" s="6" t="str">
        <f>IFERROR(__xludf.DUMMYFUNCTION("""COMPUTED_VALUE"""),"Budapest ex-GTS")</f>
        <v>Budapest ex-GTS</v>
      </c>
      <c r="N1296" s="6" t="str">
        <f>IFERROR(__xludf.DUMMYFUNCTION("""COMPUTED_VALUE"""),"")</f>
        <v/>
      </c>
      <c r="O1296" s="87" t="str">
        <f>IFERROR(__xludf.DUMMYFUNCTION("""COMPUTED_VALUE"""),"https://drive.google.com/drive/folders/10T2cTQHqEJZqE-st6uFKPoI?usp=share_link")</f>
        <v>https://drive.google.com/drive/folders/10T2cTQHqEJZqE-st6uFKPoI?usp=share_link</v>
      </c>
      <c r="P1296" s="6" t="str">
        <f>IFERROR(__xludf.DUMMYFUNCTION("""COMPUTED_VALUE"""),"Roman Khmel")</f>
        <v>Roman Khmel</v>
      </c>
      <c r="Q1296" s="6" t="str">
        <f>IFERROR(__xludf.DUMMYFUNCTION("""COMPUTED_VALUE"""),"L1")</f>
        <v>L1</v>
      </c>
      <c r="R1296" s="6">
        <f>IFERROR(__xludf.DUMMYFUNCTION("""COMPUTED_VALUE"""),1.0)</f>
        <v>1</v>
      </c>
      <c r="S1296" s="6" t="str">
        <f>IFERROR(__xludf.DUMMYFUNCTION("""COMPUTED_VALUE""")," ")</f>
        <v> </v>
      </c>
      <c r="T1296" s="6" t="str">
        <f>IFERROR(__xludf.DUMMYFUNCTION("""COMPUTED_VALUE"""),"")</f>
        <v/>
      </c>
      <c r="U1296" s="6" t="str">
        <f>IFERROR(__xludf.DUMMYFUNCTION("""COMPUTED_VALUE"""),"3")</f>
        <v>3</v>
      </c>
      <c r="V1296" s="6" t="str">
        <f>IFERROR(__xludf.DUMMYFUNCTION("""COMPUTED_VALUE"""),"English")</f>
        <v>English</v>
      </c>
      <c r="W1296" s="6" t="str">
        <f>IFERROR(__xludf.DUMMYFUNCTION("""COMPUTED_VALUE"""),"[]")</f>
        <v>[]</v>
      </c>
      <c r="X1296" s="6" t="str">
        <f>IFERROR(__xludf.DUMMYFUNCTION("""COMPUTED_VALUE"""),"Enrolled")</f>
        <v>Enrolled</v>
      </c>
    </row>
    <row r="1297">
      <c r="A1297" s="6" t="str">
        <f>IFERROR(__xludf.DUMMYFUNCTION("""COMPUTED_VALUE"""),"009-1551")</f>
        <v>009-1551</v>
      </c>
      <c r="B1297" s="6" t="str">
        <f>IFERROR(__xludf.DUMMYFUNCTION("""COMPUTED_VALUE"""),"9")</f>
        <v>9</v>
      </c>
      <c r="C1297" s="6" t="str">
        <f>IFERROR(__xludf.DUMMYFUNCTION("""COMPUTED_VALUE"""),"1551")</f>
        <v>1551</v>
      </c>
      <c r="D1297" s="6" t="str">
        <f>IFERROR(__xludf.DUMMYFUNCTION("""COMPUTED_VALUE"""),"Miranda")</f>
        <v>Miranda</v>
      </c>
      <c r="E1297" s="6" t="str">
        <f>IFERROR(__xludf.DUMMYFUNCTION("""COMPUTED_VALUE"""),"")</f>
        <v/>
      </c>
      <c r="F1297" s="6" t="str">
        <f>IFERROR(__xludf.DUMMYFUNCTION("""COMPUTED_VALUE"""),"Mate")</f>
        <v>Mate</v>
      </c>
      <c r="G1297" s="6" t="str">
        <f>IFERROR(__xludf.DUMMYFUNCTION("""COMPUTED_VALUE"""),"01/01/2010")</f>
        <v>01/01/2010</v>
      </c>
      <c r="H1297" s="6" t="str">
        <f>IFERROR(__xludf.DUMMYFUNCTION("""COMPUTED_VALUE"""),"Self Identify")</f>
        <v>Self Identify</v>
      </c>
      <c r="I1297" s="6" t="str">
        <f>IFERROR(__xludf.DUMMYFUNCTION("""COMPUTED_VALUE"""),"High School")</f>
        <v>High School</v>
      </c>
      <c r="J1297" s="6" t="str">
        <f>IFERROR(__xludf.DUMMYFUNCTION("""COMPUTED_VALUE"""),"9")</f>
        <v>9</v>
      </c>
      <c r="K1297" s="6" t="str">
        <f>IFERROR(__xludf.DUMMYFUNCTION("""COMPUTED_VALUE"""),"miranda.mate@2hourlearning.com")</f>
        <v>miranda.mate@2hourlearning.com</v>
      </c>
      <c r="L1297" s="6" t="str">
        <f>IFERROR(__xludf.DUMMYFUNCTION("""COMPUTED_VALUE"""),"Learn and Earn Poland")</f>
        <v>Learn and Earn Poland</v>
      </c>
      <c r="M1297" s="6" t="str">
        <f>IFERROR(__xludf.DUMMYFUNCTION("""COMPUTED_VALUE"""),"Budapest Alpha")</f>
        <v>Budapest Alpha</v>
      </c>
      <c r="N1297" s="6" t="str">
        <f>IFERROR(__xludf.DUMMYFUNCTION("""COMPUTED_VALUE"""),"")</f>
        <v/>
      </c>
      <c r="O1297" s="87" t="str">
        <f>IFERROR(__xludf.DUMMYFUNCTION("""COMPUTED_VALUE"""),"https://drive.google.com/drive/folders/10T2cTQHqEJZqE-st6uFKPoI?usp=share_link")</f>
        <v>https://drive.google.com/drive/folders/10T2cTQHqEJZqE-st6uFKPoI?usp=share_link</v>
      </c>
      <c r="P1297" s="6" t="str">
        <f>IFERROR(__xludf.DUMMYFUNCTION("""COMPUTED_VALUE"""),"Miranda Mate")</f>
        <v>Miranda Mate</v>
      </c>
      <c r="Q1297" s="6" t="str">
        <f>IFERROR(__xludf.DUMMYFUNCTION("""COMPUTED_VALUE"""),"HS")</f>
        <v>HS</v>
      </c>
      <c r="R1297" s="6">
        <f>IFERROR(__xludf.DUMMYFUNCTION("""COMPUTED_VALUE"""),0.0)</f>
        <v>0</v>
      </c>
      <c r="S1297" s="6" t="str">
        <f>IFERROR(__xludf.DUMMYFUNCTION("""COMPUTED_VALUE""")," ")</f>
        <v> </v>
      </c>
      <c r="T1297" s="6" t="str">
        <f>IFERROR(__xludf.DUMMYFUNCTION("""COMPUTED_VALUE"""),"")</f>
        <v/>
      </c>
      <c r="U1297" s="6" t="str">
        <f>IFERROR(__xludf.DUMMYFUNCTION("""COMPUTED_VALUE"""),"9")</f>
        <v>9</v>
      </c>
      <c r="V1297" s="6" t="str">
        <f>IFERROR(__xludf.DUMMYFUNCTION("""COMPUTED_VALUE"""),"English")</f>
        <v>English</v>
      </c>
      <c r="W1297" s="6" t="str">
        <f>IFERROR(__xludf.DUMMYFUNCTION("""COMPUTED_VALUE"""),"[]")</f>
        <v>[]</v>
      </c>
      <c r="X1297" s="6" t="str">
        <f>IFERROR(__xludf.DUMMYFUNCTION("""COMPUTED_VALUE"""),"Enrolled")</f>
        <v>Enrolled</v>
      </c>
    </row>
    <row r="1298">
      <c r="A1298" s="6" t="str">
        <f>IFERROR(__xludf.DUMMYFUNCTION("""COMPUTED_VALUE"""),"009-1552")</f>
        <v>009-1552</v>
      </c>
      <c r="B1298" s="6" t="str">
        <f>IFERROR(__xludf.DUMMYFUNCTION("""COMPUTED_VALUE"""),"9")</f>
        <v>9</v>
      </c>
      <c r="C1298" s="6" t="str">
        <f>IFERROR(__xludf.DUMMYFUNCTION("""COMPUTED_VALUE"""),"1552")</f>
        <v>1552</v>
      </c>
      <c r="D1298" s="6" t="str">
        <f>IFERROR(__xludf.DUMMYFUNCTION("""COMPUTED_VALUE"""),"Rulieva")</f>
        <v>Rulieva</v>
      </c>
      <c r="E1298" s="6" t="str">
        <f>IFERROR(__xludf.DUMMYFUNCTION("""COMPUTED_VALUE"""),"")</f>
        <v/>
      </c>
      <c r="F1298" s="6" t="str">
        <f>IFERROR(__xludf.DUMMYFUNCTION("""COMPUTED_VALUE"""),"Anastasia")</f>
        <v>Anastasia</v>
      </c>
      <c r="G1298" s="6" t="str">
        <f>IFERROR(__xludf.DUMMYFUNCTION("""COMPUTED_VALUE"""),"01/01/2016")</f>
        <v>01/01/2016</v>
      </c>
      <c r="H1298" s="6" t="str">
        <f>IFERROR(__xludf.DUMMYFUNCTION("""COMPUTED_VALUE"""),"Self Identify")</f>
        <v>Self Identify</v>
      </c>
      <c r="I1298" s="6" t="str">
        <f>IFERROR(__xludf.DUMMYFUNCTION("""COMPUTED_VALUE"""),"Level 1")</f>
        <v>Level 1</v>
      </c>
      <c r="J1298" s="6" t="str">
        <f>IFERROR(__xludf.DUMMYFUNCTION("""COMPUTED_VALUE"""),"3")</f>
        <v>3</v>
      </c>
      <c r="K1298" s="6" t="str">
        <f>IFERROR(__xludf.DUMMYFUNCTION("""COMPUTED_VALUE"""),"rulieva.anastasia@2hourlearning.com")</f>
        <v>rulieva.anastasia@2hourlearning.com</v>
      </c>
      <c r="L1298" s="6" t="str">
        <f>IFERROR(__xludf.DUMMYFUNCTION("""COMPUTED_VALUE"""),"Learn and Earn Poland")</f>
        <v>Learn and Earn Poland</v>
      </c>
      <c r="M1298" s="6" t="str">
        <f>IFERROR(__xludf.DUMMYFUNCTION("""COMPUTED_VALUE"""),"Budapest ex-GTS")</f>
        <v>Budapest ex-GTS</v>
      </c>
      <c r="N1298" s="6" t="str">
        <f>IFERROR(__xludf.DUMMYFUNCTION("""COMPUTED_VALUE"""),"")</f>
        <v/>
      </c>
      <c r="O1298" s="87" t="str">
        <f>IFERROR(__xludf.DUMMYFUNCTION("""COMPUTED_VALUE"""),"https://drive.google.com/drive/folders/10T2cTQHqEJZqE-st6uFKPoI?usp=share_link")</f>
        <v>https://drive.google.com/drive/folders/10T2cTQHqEJZqE-st6uFKPoI?usp=share_link</v>
      </c>
      <c r="P1298" s="6" t="str">
        <f>IFERROR(__xludf.DUMMYFUNCTION("""COMPUTED_VALUE"""),"Rulieva Anastasia")</f>
        <v>Rulieva Anastasia</v>
      </c>
      <c r="Q1298" s="6" t="str">
        <f>IFERROR(__xludf.DUMMYFUNCTION("""COMPUTED_VALUE"""),"L1")</f>
        <v>L1</v>
      </c>
      <c r="R1298" s="6">
        <f>IFERROR(__xludf.DUMMYFUNCTION("""COMPUTED_VALUE"""),1.0)</f>
        <v>1</v>
      </c>
      <c r="S1298" s="6" t="str">
        <f>IFERROR(__xludf.DUMMYFUNCTION("""COMPUTED_VALUE""")," ")</f>
        <v> </v>
      </c>
      <c r="T1298" s="6" t="str">
        <f>IFERROR(__xludf.DUMMYFUNCTION("""COMPUTED_VALUE"""),"")</f>
        <v/>
      </c>
      <c r="U1298" s="6" t="str">
        <f>IFERROR(__xludf.DUMMYFUNCTION("""COMPUTED_VALUE"""),"3")</f>
        <v>3</v>
      </c>
      <c r="V1298" s="6" t="str">
        <f>IFERROR(__xludf.DUMMYFUNCTION("""COMPUTED_VALUE"""),"English")</f>
        <v>English</v>
      </c>
      <c r="W1298" s="6" t="str">
        <f>IFERROR(__xludf.DUMMYFUNCTION("""COMPUTED_VALUE"""),"[]")</f>
        <v>[]</v>
      </c>
      <c r="X1298" s="6" t="str">
        <f>IFERROR(__xludf.DUMMYFUNCTION("""COMPUTED_VALUE"""),"Enrolled")</f>
        <v>Enrolled</v>
      </c>
    </row>
    <row r="1299">
      <c r="A1299" s="6" t="str">
        <f>IFERROR(__xludf.DUMMYFUNCTION("""COMPUTED_VALUE"""),"009-1553")</f>
        <v>009-1553</v>
      </c>
      <c r="B1299" s="6" t="str">
        <f>IFERROR(__xludf.DUMMYFUNCTION("""COMPUTED_VALUE"""),"9")</f>
        <v>9</v>
      </c>
      <c r="C1299" s="6" t="str">
        <f>IFERROR(__xludf.DUMMYFUNCTION("""COMPUTED_VALUE"""),"1553")</f>
        <v>1553</v>
      </c>
      <c r="D1299" s="6" t="str">
        <f>IFERROR(__xludf.DUMMYFUNCTION("""COMPUTED_VALUE"""),"Uljana")</f>
        <v>Uljana</v>
      </c>
      <c r="E1299" s="6" t="str">
        <f>IFERROR(__xludf.DUMMYFUNCTION("""COMPUTED_VALUE"""),"")</f>
        <v/>
      </c>
      <c r="F1299" s="6" t="str">
        <f>IFERROR(__xludf.DUMMYFUNCTION("""COMPUTED_VALUE"""),"Dryzha")</f>
        <v>Dryzha</v>
      </c>
      <c r="G1299" s="6" t="str">
        <f>IFERROR(__xludf.DUMMYFUNCTION("""COMPUTED_VALUE"""),"01/01/2017")</f>
        <v>01/01/2017</v>
      </c>
      <c r="H1299" s="6" t="str">
        <f>IFERROR(__xludf.DUMMYFUNCTION("""COMPUTED_VALUE"""),"Self Identify")</f>
        <v>Self Identify</v>
      </c>
      <c r="I1299" s="6" t="str">
        <f>IFERROR(__xludf.DUMMYFUNCTION("""COMPUTED_VALUE"""),"Level 1")</f>
        <v>Level 1</v>
      </c>
      <c r="J1299" s="6" t="str">
        <f>IFERROR(__xludf.DUMMYFUNCTION("""COMPUTED_VALUE"""),"2")</f>
        <v>2</v>
      </c>
      <c r="K1299" s="6" t="str">
        <f>IFERROR(__xludf.DUMMYFUNCTION("""COMPUTED_VALUE"""),"uljana.dryzha@2hourlearning.com")</f>
        <v>uljana.dryzha@2hourlearning.com</v>
      </c>
      <c r="L1299" s="6" t="str">
        <f>IFERROR(__xludf.DUMMYFUNCTION("""COMPUTED_VALUE"""),"Learn and Earn Poland")</f>
        <v>Learn and Earn Poland</v>
      </c>
      <c r="M1299" s="6" t="str">
        <f>IFERROR(__xludf.DUMMYFUNCTION("""COMPUTED_VALUE"""),"Budapest Alpha")</f>
        <v>Budapest Alpha</v>
      </c>
      <c r="N1299" s="6" t="str">
        <f>IFERROR(__xludf.DUMMYFUNCTION("""COMPUTED_VALUE"""),"")</f>
        <v/>
      </c>
      <c r="O1299" s="87" t="str">
        <f>IFERROR(__xludf.DUMMYFUNCTION("""COMPUTED_VALUE"""),"https://drive.google.com/drive/folders/10T2cTQHqEJZqE-st6uFKPoI?usp=share_link")</f>
        <v>https://drive.google.com/drive/folders/10T2cTQHqEJZqE-st6uFKPoI?usp=share_link</v>
      </c>
      <c r="P1299" s="6" t="str">
        <f>IFERROR(__xludf.DUMMYFUNCTION("""COMPUTED_VALUE"""),"Uljana Dryzha")</f>
        <v>Uljana Dryzha</v>
      </c>
      <c r="Q1299" s="6" t="str">
        <f>IFERROR(__xludf.DUMMYFUNCTION("""COMPUTED_VALUE"""),"L1")</f>
        <v>L1</v>
      </c>
      <c r="R1299" s="6">
        <f>IFERROR(__xludf.DUMMYFUNCTION("""COMPUTED_VALUE"""),1.0)</f>
        <v>1</v>
      </c>
      <c r="S1299" s="6" t="str">
        <f>IFERROR(__xludf.DUMMYFUNCTION("""COMPUTED_VALUE""")," ")</f>
        <v> </v>
      </c>
      <c r="T1299" s="6" t="str">
        <f>IFERROR(__xludf.DUMMYFUNCTION("""COMPUTED_VALUE"""),"")</f>
        <v/>
      </c>
      <c r="U1299" s="6" t="str">
        <f>IFERROR(__xludf.DUMMYFUNCTION("""COMPUTED_VALUE"""),"2")</f>
        <v>2</v>
      </c>
      <c r="V1299" s="6" t="str">
        <f>IFERROR(__xludf.DUMMYFUNCTION("""COMPUTED_VALUE"""),"English")</f>
        <v>English</v>
      </c>
      <c r="W1299" s="6" t="str">
        <f>IFERROR(__xludf.DUMMYFUNCTION("""COMPUTED_VALUE"""),"[]")</f>
        <v>[]</v>
      </c>
      <c r="X1299" s="6" t="str">
        <f>IFERROR(__xludf.DUMMYFUNCTION("""COMPUTED_VALUE"""),"Enrolled")</f>
        <v>Enrolled</v>
      </c>
    </row>
    <row r="1300">
      <c r="A1300" s="6" t="str">
        <f>IFERROR(__xludf.DUMMYFUNCTION("""COMPUTED_VALUE"""),"009-1554")</f>
        <v>009-1554</v>
      </c>
      <c r="B1300" s="6" t="str">
        <f>IFERROR(__xludf.DUMMYFUNCTION("""COMPUTED_VALUE"""),"9")</f>
        <v>9</v>
      </c>
      <c r="C1300" s="6" t="str">
        <f>IFERROR(__xludf.DUMMYFUNCTION("""COMPUTED_VALUE"""),"1554")</f>
        <v>1554</v>
      </c>
      <c r="D1300" s="6" t="str">
        <f>IFERROR(__xludf.DUMMYFUNCTION("""COMPUTED_VALUE"""),"Oleksii")</f>
        <v>Oleksii</v>
      </c>
      <c r="E1300" s="6" t="str">
        <f>IFERROR(__xludf.DUMMYFUNCTION("""COMPUTED_VALUE"""),"")</f>
        <v/>
      </c>
      <c r="F1300" s="6" t="str">
        <f>IFERROR(__xludf.DUMMYFUNCTION("""COMPUTED_VALUE"""),"Maidaniuk")</f>
        <v>Maidaniuk</v>
      </c>
      <c r="G1300" s="6" t="str">
        <f>IFERROR(__xludf.DUMMYFUNCTION("""COMPUTED_VALUE"""),"01/01/2009")</f>
        <v>01/01/2009</v>
      </c>
      <c r="H1300" s="6" t="str">
        <f>IFERROR(__xludf.DUMMYFUNCTION("""COMPUTED_VALUE"""),"Self Identify")</f>
        <v>Self Identify</v>
      </c>
      <c r="I1300" s="6" t="str">
        <f>IFERROR(__xludf.DUMMYFUNCTION("""COMPUTED_VALUE"""),"High School")</f>
        <v>High School</v>
      </c>
      <c r="J1300" s="6" t="str">
        <f>IFERROR(__xludf.DUMMYFUNCTION("""COMPUTED_VALUE"""),"10")</f>
        <v>10</v>
      </c>
      <c r="K1300" s="6" t="str">
        <f>IFERROR(__xludf.DUMMYFUNCTION("""COMPUTED_VALUE"""),"oleksii.maidaniuk@2hourlearning.com")</f>
        <v>oleksii.maidaniuk@2hourlearning.com</v>
      </c>
      <c r="L1300" s="6" t="str">
        <f>IFERROR(__xludf.DUMMYFUNCTION("""COMPUTED_VALUE"""),"Learn and Earn Poland")</f>
        <v>Learn and Earn Poland</v>
      </c>
      <c r="M1300" s="6" t="str">
        <f>IFERROR(__xludf.DUMMYFUNCTION("""COMPUTED_VALUE"""),"Budapest Alpha")</f>
        <v>Budapest Alpha</v>
      </c>
      <c r="N1300" s="6" t="str">
        <f>IFERROR(__xludf.DUMMYFUNCTION("""COMPUTED_VALUE"""),"")</f>
        <v/>
      </c>
      <c r="O1300" s="87" t="str">
        <f>IFERROR(__xludf.DUMMYFUNCTION("""COMPUTED_VALUE"""),"https://drive.google.com/drive/folders/10T2cTQHqEJZqE-st6uFKPoI?usp=share_link")</f>
        <v>https://drive.google.com/drive/folders/10T2cTQHqEJZqE-st6uFKPoI?usp=share_link</v>
      </c>
      <c r="P1300" s="6" t="str">
        <f>IFERROR(__xludf.DUMMYFUNCTION("""COMPUTED_VALUE"""),"Oleksii Maidaniuk")</f>
        <v>Oleksii Maidaniuk</v>
      </c>
      <c r="Q1300" s="6" t="str">
        <f>IFERROR(__xludf.DUMMYFUNCTION("""COMPUTED_VALUE"""),"HS")</f>
        <v>HS</v>
      </c>
      <c r="R1300" s="6">
        <f>IFERROR(__xludf.DUMMYFUNCTION("""COMPUTED_VALUE"""),0.0)</f>
        <v>0</v>
      </c>
      <c r="S1300" s="6" t="str">
        <f>IFERROR(__xludf.DUMMYFUNCTION("""COMPUTED_VALUE""")," ")</f>
        <v> </v>
      </c>
      <c r="T1300" s="6" t="str">
        <f>IFERROR(__xludf.DUMMYFUNCTION("""COMPUTED_VALUE"""),"")</f>
        <v/>
      </c>
      <c r="U1300" s="6" t="str">
        <f>IFERROR(__xludf.DUMMYFUNCTION("""COMPUTED_VALUE"""),"10")</f>
        <v>10</v>
      </c>
      <c r="V1300" s="6" t="str">
        <f>IFERROR(__xludf.DUMMYFUNCTION("""COMPUTED_VALUE"""),"English")</f>
        <v>English</v>
      </c>
      <c r="W1300" s="6" t="str">
        <f>IFERROR(__xludf.DUMMYFUNCTION("""COMPUTED_VALUE"""),"[]")</f>
        <v>[]</v>
      </c>
      <c r="X1300" s="6" t="str">
        <f>IFERROR(__xludf.DUMMYFUNCTION("""COMPUTED_VALUE"""),"Enrolled")</f>
        <v>Enrolled</v>
      </c>
    </row>
    <row r="1301">
      <c r="A1301" s="6" t="str">
        <f>IFERROR(__xludf.DUMMYFUNCTION("""COMPUTED_VALUE"""),"009-1555")</f>
        <v>009-1555</v>
      </c>
      <c r="B1301" s="6" t="str">
        <f>IFERROR(__xludf.DUMMYFUNCTION("""COMPUTED_VALUE"""),"9")</f>
        <v>9</v>
      </c>
      <c r="C1301" s="6" t="str">
        <f>IFERROR(__xludf.DUMMYFUNCTION("""COMPUTED_VALUE"""),"1555")</f>
        <v>1555</v>
      </c>
      <c r="D1301" s="6" t="str">
        <f>IFERROR(__xludf.DUMMYFUNCTION("""COMPUTED_VALUE"""),"Alex")</f>
        <v>Alex</v>
      </c>
      <c r="E1301" s="6" t="str">
        <f>IFERROR(__xludf.DUMMYFUNCTION("""COMPUTED_VALUE"""),"")</f>
        <v/>
      </c>
      <c r="F1301" s="6" t="str">
        <f>IFERROR(__xludf.DUMMYFUNCTION("""COMPUTED_VALUE"""),"Galajda")</f>
        <v>Galajda</v>
      </c>
      <c r="G1301" s="6" t="str">
        <f>IFERROR(__xludf.DUMMYFUNCTION("""COMPUTED_VALUE"""),"01/01/2013")</f>
        <v>01/01/2013</v>
      </c>
      <c r="H1301" s="6" t="str">
        <f>IFERROR(__xludf.DUMMYFUNCTION("""COMPUTED_VALUE"""),"Self Identify")</f>
        <v>Self Identify</v>
      </c>
      <c r="I1301" s="6" t="str">
        <f>IFERROR(__xludf.DUMMYFUNCTION("""COMPUTED_VALUE"""),"Middle School")</f>
        <v>Middle School</v>
      </c>
      <c r="J1301" s="6" t="str">
        <f>IFERROR(__xludf.DUMMYFUNCTION("""COMPUTED_VALUE"""),"6")</f>
        <v>6</v>
      </c>
      <c r="K1301" s="6" t="str">
        <f>IFERROR(__xludf.DUMMYFUNCTION("""COMPUTED_VALUE"""),"alex.galajda@2hourlearning.com")</f>
        <v>alex.galajda@2hourlearning.com</v>
      </c>
      <c r="L1301" s="6" t="str">
        <f>IFERROR(__xludf.DUMMYFUNCTION("""COMPUTED_VALUE"""),"Learn and Earn Poland")</f>
        <v>Learn and Earn Poland</v>
      </c>
      <c r="M1301" s="6" t="str">
        <f>IFERROR(__xludf.DUMMYFUNCTION("""COMPUTED_VALUE"""),"Budapest Alpha")</f>
        <v>Budapest Alpha</v>
      </c>
      <c r="N1301" s="6" t="str">
        <f>IFERROR(__xludf.DUMMYFUNCTION("""COMPUTED_VALUE"""),"")</f>
        <v/>
      </c>
      <c r="O1301" s="87" t="str">
        <f>IFERROR(__xludf.DUMMYFUNCTION("""COMPUTED_VALUE"""),"https://drive.google.com/drive/folders/10T2cTQHqEJZqE-st6uFKPoI?usp=share_link")</f>
        <v>https://drive.google.com/drive/folders/10T2cTQHqEJZqE-st6uFKPoI?usp=share_link</v>
      </c>
      <c r="P1301" s="6" t="str">
        <f>IFERROR(__xludf.DUMMYFUNCTION("""COMPUTED_VALUE"""),"Alex Galajda")</f>
        <v>Alex Galajda</v>
      </c>
      <c r="Q1301" s="6" t="str">
        <f>IFERROR(__xludf.DUMMYFUNCTION("""COMPUTED_VALUE"""),"MS")</f>
        <v>MS</v>
      </c>
      <c r="R1301" s="6">
        <f>IFERROR(__xludf.DUMMYFUNCTION("""COMPUTED_VALUE"""),0.0)</f>
        <v>0</v>
      </c>
      <c r="S1301" s="6" t="str">
        <f>IFERROR(__xludf.DUMMYFUNCTION("""COMPUTED_VALUE""")," ")</f>
        <v> </v>
      </c>
      <c r="T1301" s="6" t="str">
        <f>IFERROR(__xludf.DUMMYFUNCTION("""COMPUTED_VALUE"""),"")</f>
        <v/>
      </c>
      <c r="U1301" s="6" t="str">
        <f>IFERROR(__xludf.DUMMYFUNCTION("""COMPUTED_VALUE"""),"6")</f>
        <v>6</v>
      </c>
      <c r="V1301" s="6" t="str">
        <f>IFERROR(__xludf.DUMMYFUNCTION("""COMPUTED_VALUE"""),"English")</f>
        <v>English</v>
      </c>
      <c r="W1301" s="6" t="str">
        <f>IFERROR(__xludf.DUMMYFUNCTION("""COMPUTED_VALUE"""),"[]")</f>
        <v>[]</v>
      </c>
      <c r="X1301" s="6" t="str">
        <f>IFERROR(__xludf.DUMMYFUNCTION("""COMPUTED_VALUE"""),"Enrolled")</f>
        <v>Enrolled</v>
      </c>
    </row>
    <row r="1302">
      <c r="A1302" s="6" t="str">
        <f>IFERROR(__xludf.DUMMYFUNCTION("""COMPUTED_VALUE"""),"009-1556")</f>
        <v>009-1556</v>
      </c>
      <c r="B1302" s="6" t="str">
        <f>IFERROR(__xludf.DUMMYFUNCTION("""COMPUTED_VALUE"""),"9")</f>
        <v>9</v>
      </c>
      <c r="C1302" s="6" t="str">
        <f>IFERROR(__xludf.DUMMYFUNCTION("""COMPUTED_VALUE"""),"1556")</f>
        <v>1556</v>
      </c>
      <c r="D1302" s="6" t="str">
        <f>IFERROR(__xludf.DUMMYFUNCTION("""COMPUTED_VALUE"""),"Mandryka")</f>
        <v>Mandryka</v>
      </c>
      <c r="E1302" s="6" t="str">
        <f>IFERROR(__xludf.DUMMYFUNCTION("""COMPUTED_VALUE"""),"")</f>
        <v/>
      </c>
      <c r="F1302" s="6" t="str">
        <f>IFERROR(__xludf.DUMMYFUNCTION("""COMPUTED_VALUE"""),"Faddiei")</f>
        <v>Faddiei</v>
      </c>
      <c r="G1302" s="6" t="str">
        <f>IFERROR(__xludf.DUMMYFUNCTION("""COMPUTED_VALUE"""),"01/01/2016")</f>
        <v>01/01/2016</v>
      </c>
      <c r="H1302" s="6" t="str">
        <f>IFERROR(__xludf.DUMMYFUNCTION("""COMPUTED_VALUE"""),"Self Identify")</f>
        <v>Self Identify</v>
      </c>
      <c r="I1302" s="6" t="str">
        <f>IFERROR(__xludf.DUMMYFUNCTION("""COMPUTED_VALUE"""),"Level 1")</f>
        <v>Level 1</v>
      </c>
      <c r="J1302" s="6" t="str">
        <f>IFERROR(__xludf.DUMMYFUNCTION("""COMPUTED_VALUE"""),"3")</f>
        <v>3</v>
      </c>
      <c r="K1302" s="6" t="str">
        <f>IFERROR(__xludf.DUMMYFUNCTION("""COMPUTED_VALUE"""),"mandryka.faddiei@2hourlearning.com")</f>
        <v>mandryka.faddiei@2hourlearning.com</v>
      </c>
      <c r="L1302" s="6" t="str">
        <f>IFERROR(__xludf.DUMMYFUNCTION("""COMPUTED_VALUE"""),"Learn and Earn Poland")</f>
        <v>Learn and Earn Poland</v>
      </c>
      <c r="M1302" s="6" t="str">
        <f>IFERROR(__xludf.DUMMYFUNCTION("""COMPUTED_VALUE"""),"Budapest ex-GTS")</f>
        <v>Budapest ex-GTS</v>
      </c>
      <c r="N1302" s="6" t="str">
        <f>IFERROR(__xludf.DUMMYFUNCTION("""COMPUTED_VALUE"""),"")</f>
        <v/>
      </c>
      <c r="O1302" s="87" t="str">
        <f>IFERROR(__xludf.DUMMYFUNCTION("""COMPUTED_VALUE"""),"https://drive.google.com/drive/folders/10T2cTQHqEJZqE-st6uFKPoI?usp=share_link")</f>
        <v>https://drive.google.com/drive/folders/10T2cTQHqEJZqE-st6uFKPoI?usp=share_link</v>
      </c>
      <c r="P1302" s="6" t="str">
        <f>IFERROR(__xludf.DUMMYFUNCTION("""COMPUTED_VALUE"""),"Mandryka Faddiei")</f>
        <v>Mandryka Faddiei</v>
      </c>
      <c r="Q1302" s="6" t="str">
        <f>IFERROR(__xludf.DUMMYFUNCTION("""COMPUTED_VALUE"""),"L1")</f>
        <v>L1</v>
      </c>
      <c r="R1302" s="6">
        <f>IFERROR(__xludf.DUMMYFUNCTION("""COMPUTED_VALUE"""),1.0)</f>
        <v>1</v>
      </c>
      <c r="S1302" s="6" t="str">
        <f>IFERROR(__xludf.DUMMYFUNCTION("""COMPUTED_VALUE""")," ")</f>
        <v> </v>
      </c>
      <c r="T1302" s="6" t="str">
        <f>IFERROR(__xludf.DUMMYFUNCTION("""COMPUTED_VALUE"""),"")</f>
        <v/>
      </c>
      <c r="U1302" s="6" t="str">
        <f>IFERROR(__xludf.DUMMYFUNCTION("""COMPUTED_VALUE"""),"3")</f>
        <v>3</v>
      </c>
      <c r="V1302" s="6" t="str">
        <f>IFERROR(__xludf.DUMMYFUNCTION("""COMPUTED_VALUE"""),"English")</f>
        <v>English</v>
      </c>
      <c r="W1302" s="6" t="str">
        <f>IFERROR(__xludf.DUMMYFUNCTION("""COMPUTED_VALUE"""),"[]")</f>
        <v>[]</v>
      </c>
      <c r="X1302" s="6" t="str">
        <f>IFERROR(__xludf.DUMMYFUNCTION("""COMPUTED_VALUE"""),"Enrolled")</f>
        <v>Enrolled</v>
      </c>
    </row>
    <row r="1303">
      <c r="A1303" s="6" t="str">
        <f>IFERROR(__xludf.DUMMYFUNCTION("""COMPUTED_VALUE"""),"009-1557")</f>
        <v>009-1557</v>
      </c>
      <c r="B1303" s="6" t="str">
        <f>IFERROR(__xludf.DUMMYFUNCTION("""COMPUTED_VALUE"""),"9")</f>
        <v>9</v>
      </c>
      <c r="C1303" s="6" t="str">
        <f>IFERROR(__xludf.DUMMYFUNCTION("""COMPUTED_VALUE"""),"1557")</f>
        <v>1557</v>
      </c>
      <c r="D1303" s="6" t="str">
        <f>IFERROR(__xludf.DUMMYFUNCTION("""COMPUTED_VALUE"""),"Emilia")</f>
        <v>Emilia</v>
      </c>
      <c r="E1303" s="6" t="str">
        <f>IFERROR(__xludf.DUMMYFUNCTION("""COMPUTED_VALUE"""),"")</f>
        <v/>
      </c>
      <c r="F1303" s="6" t="str">
        <f>IFERROR(__xludf.DUMMYFUNCTION("""COMPUTED_VALUE"""),"Bence")</f>
        <v>Bence</v>
      </c>
      <c r="G1303" s="6" t="str">
        <f>IFERROR(__xludf.DUMMYFUNCTION("""COMPUTED_VALUE"""),"01/01/2011")</f>
        <v>01/01/2011</v>
      </c>
      <c r="H1303" s="6" t="str">
        <f>IFERROR(__xludf.DUMMYFUNCTION("""COMPUTED_VALUE"""),"Self Identify")</f>
        <v>Self Identify</v>
      </c>
      <c r="I1303" s="6" t="str">
        <f>IFERROR(__xludf.DUMMYFUNCTION("""COMPUTED_VALUE"""),"Middle School")</f>
        <v>Middle School</v>
      </c>
      <c r="J1303" s="6" t="str">
        <f>IFERROR(__xludf.DUMMYFUNCTION("""COMPUTED_VALUE"""),"8")</f>
        <v>8</v>
      </c>
      <c r="K1303" s="6" t="str">
        <f>IFERROR(__xludf.DUMMYFUNCTION("""COMPUTED_VALUE"""),"emilia.bence@2hourlearning.com")</f>
        <v>emilia.bence@2hourlearning.com</v>
      </c>
      <c r="L1303" s="6" t="str">
        <f>IFERROR(__xludf.DUMMYFUNCTION("""COMPUTED_VALUE"""),"Learn and Earn Poland")</f>
        <v>Learn and Earn Poland</v>
      </c>
      <c r="M1303" s="6" t="str">
        <f>IFERROR(__xludf.DUMMYFUNCTION("""COMPUTED_VALUE"""),"Budapest Alpha")</f>
        <v>Budapest Alpha</v>
      </c>
      <c r="N1303" s="6" t="str">
        <f>IFERROR(__xludf.DUMMYFUNCTION("""COMPUTED_VALUE"""),"")</f>
        <v/>
      </c>
      <c r="O1303" s="87" t="str">
        <f>IFERROR(__xludf.DUMMYFUNCTION("""COMPUTED_VALUE"""),"https://drive.google.com/drive/folders/10T2cTQHqEJZqE-st6uFKPoI?usp=share_link")</f>
        <v>https://drive.google.com/drive/folders/10T2cTQHqEJZqE-st6uFKPoI?usp=share_link</v>
      </c>
      <c r="P1303" s="6" t="str">
        <f>IFERROR(__xludf.DUMMYFUNCTION("""COMPUTED_VALUE"""),"Emilia Bence")</f>
        <v>Emilia Bence</v>
      </c>
      <c r="Q1303" s="6" t="str">
        <f>IFERROR(__xludf.DUMMYFUNCTION("""COMPUTED_VALUE"""),"MS")</f>
        <v>MS</v>
      </c>
      <c r="R1303" s="6">
        <f>IFERROR(__xludf.DUMMYFUNCTION("""COMPUTED_VALUE"""),0.0)</f>
        <v>0</v>
      </c>
      <c r="S1303" s="6" t="str">
        <f>IFERROR(__xludf.DUMMYFUNCTION("""COMPUTED_VALUE""")," ")</f>
        <v> </v>
      </c>
      <c r="T1303" s="6" t="str">
        <f>IFERROR(__xludf.DUMMYFUNCTION("""COMPUTED_VALUE"""),"")</f>
        <v/>
      </c>
      <c r="U1303" s="6" t="str">
        <f>IFERROR(__xludf.DUMMYFUNCTION("""COMPUTED_VALUE"""),"8")</f>
        <v>8</v>
      </c>
      <c r="V1303" s="6" t="str">
        <f>IFERROR(__xludf.DUMMYFUNCTION("""COMPUTED_VALUE"""),"English")</f>
        <v>English</v>
      </c>
      <c r="W1303" s="6" t="str">
        <f>IFERROR(__xludf.DUMMYFUNCTION("""COMPUTED_VALUE"""),"[]")</f>
        <v>[]</v>
      </c>
      <c r="X1303" s="6" t="str">
        <f>IFERROR(__xludf.DUMMYFUNCTION("""COMPUTED_VALUE"""),"Enrolled")</f>
        <v>Enrolled</v>
      </c>
    </row>
    <row r="1304">
      <c r="A1304" s="6" t="str">
        <f>IFERROR(__xludf.DUMMYFUNCTION("""COMPUTED_VALUE"""),"009-1558")</f>
        <v>009-1558</v>
      </c>
      <c r="B1304" s="6" t="str">
        <f>IFERROR(__xludf.DUMMYFUNCTION("""COMPUTED_VALUE"""),"9")</f>
        <v>9</v>
      </c>
      <c r="C1304" s="6" t="str">
        <f>IFERROR(__xludf.DUMMYFUNCTION("""COMPUTED_VALUE"""),"1558")</f>
        <v>1558</v>
      </c>
      <c r="D1304" s="6" t="str">
        <f>IFERROR(__xludf.DUMMYFUNCTION("""COMPUTED_VALUE"""),"Diana")</f>
        <v>Diana</v>
      </c>
      <c r="E1304" s="6" t="str">
        <f>IFERROR(__xludf.DUMMYFUNCTION("""COMPUTED_VALUE"""),"")</f>
        <v/>
      </c>
      <c r="F1304" s="6" t="str">
        <f>IFERROR(__xludf.DUMMYFUNCTION("""COMPUTED_VALUE"""),"Dryzha")</f>
        <v>Dryzha</v>
      </c>
      <c r="G1304" s="6" t="str">
        <f>IFERROR(__xludf.DUMMYFUNCTION("""COMPUTED_VALUE"""),"01/01/2014")</f>
        <v>01/01/2014</v>
      </c>
      <c r="H1304" s="6" t="str">
        <f>IFERROR(__xludf.DUMMYFUNCTION("""COMPUTED_VALUE"""),"Self Identify")</f>
        <v>Self Identify</v>
      </c>
      <c r="I1304" s="6" t="str">
        <f>IFERROR(__xludf.DUMMYFUNCTION("""COMPUTED_VALUE"""),"Level 2")</f>
        <v>Level 2</v>
      </c>
      <c r="J1304" s="6" t="str">
        <f>IFERROR(__xludf.DUMMYFUNCTION("""COMPUTED_VALUE"""),"5")</f>
        <v>5</v>
      </c>
      <c r="K1304" s="6" t="str">
        <f>IFERROR(__xludf.DUMMYFUNCTION("""COMPUTED_VALUE"""),"diana.dryzha@2hourlearning.com")</f>
        <v>diana.dryzha@2hourlearning.com</v>
      </c>
      <c r="L1304" s="6" t="str">
        <f>IFERROR(__xludf.DUMMYFUNCTION("""COMPUTED_VALUE"""),"Learn and Earn Poland")</f>
        <v>Learn and Earn Poland</v>
      </c>
      <c r="M1304" s="6" t="str">
        <f>IFERROR(__xludf.DUMMYFUNCTION("""COMPUTED_VALUE"""),"Budapest ex-GTS")</f>
        <v>Budapest ex-GTS</v>
      </c>
      <c r="N1304" s="6" t="str">
        <f>IFERROR(__xludf.DUMMYFUNCTION("""COMPUTED_VALUE"""),"")</f>
        <v/>
      </c>
      <c r="O1304" s="87" t="str">
        <f>IFERROR(__xludf.DUMMYFUNCTION("""COMPUTED_VALUE"""),"https://drive.google.com/drive/folders/10T2cTQHqEJZqE-st6uFKPoI?usp=share_link")</f>
        <v>https://drive.google.com/drive/folders/10T2cTQHqEJZqE-st6uFKPoI?usp=share_link</v>
      </c>
      <c r="P1304" s="6" t="str">
        <f>IFERROR(__xludf.DUMMYFUNCTION("""COMPUTED_VALUE"""),"Diana Dryzha")</f>
        <v>Diana Dryzha</v>
      </c>
      <c r="Q1304" s="6" t="str">
        <f>IFERROR(__xludf.DUMMYFUNCTION("""COMPUTED_VALUE"""),"L2")</f>
        <v>L2</v>
      </c>
      <c r="R1304" s="6">
        <f>IFERROR(__xludf.DUMMYFUNCTION("""COMPUTED_VALUE"""),2.0)</f>
        <v>2</v>
      </c>
      <c r="S1304" s="6" t="str">
        <f>IFERROR(__xludf.DUMMYFUNCTION("""COMPUTED_VALUE""")," ")</f>
        <v> </v>
      </c>
      <c r="T1304" s="6" t="str">
        <f>IFERROR(__xludf.DUMMYFUNCTION("""COMPUTED_VALUE"""),"")</f>
        <v/>
      </c>
      <c r="U1304" s="6" t="str">
        <f>IFERROR(__xludf.DUMMYFUNCTION("""COMPUTED_VALUE"""),"5")</f>
        <v>5</v>
      </c>
      <c r="V1304" s="6" t="str">
        <f>IFERROR(__xludf.DUMMYFUNCTION("""COMPUTED_VALUE"""),"English")</f>
        <v>English</v>
      </c>
      <c r="W1304" s="6" t="str">
        <f>IFERROR(__xludf.DUMMYFUNCTION("""COMPUTED_VALUE"""),"[]")</f>
        <v>[]</v>
      </c>
      <c r="X1304" s="6" t="str">
        <f>IFERROR(__xludf.DUMMYFUNCTION("""COMPUTED_VALUE"""),"Enrolled")</f>
        <v>Enrolled</v>
      </c>
    </row>
    <row r="1305">
      <c r="A1305" s="6" t="str">
        <f>IFERROR(__xludf.DUMMYFUNCTION("""COMPUTED_VALUE"""),"009-1559")</f>
        <v>009-1559</v>
      </c>
      <c r="B1305" s="6" t="str">
        <f>IFERROR(__xludf.DUMMYFUNCTION("""COMPUTED_VALUE"""),"9")</f>
        <v>9</v>
      </c>
      <c r="C1305" s="6" t="str">
        <f>IFERROR(__xludf.DUMMYFUNCTION("""COMPUTED_VALUE"""),"1559")</f>
        <v>1559</v>
      </c>
      <c r="D1305" s="6" t="str">
        <f>IFERROR(__xludf.DUMMYFUNCTION("""COMPUTED_VALUE"""),"Viktoria")</f>
        <v>Viktoria</v>
      </c>
      <c r="E1305" s="6" t="str">
        <f>IFERROR(__xludf.DUMMYFUNCTION("""COMPUTED_VALUE"""),"")</f>
        <v/>
      </c>
      <c r="F1305" s="6" t="str">
        <f>IFERROR(__xludf.DUMMYFUNCTION("""COMPUTED_VALUE"""),"Ur")</f>
        <v>Ur</v>
      </c>
      <c r="G1305" s="6" t="str">
        <f>IFERROR(__xludf.DUMMYFUNCTION("""COMPUTED_VALUE"""),"01/01/2007")</f>
        <v>01/01/2007</v>
      </c>
      <c r="H1305" s="6" t="str">
        <f>IFERROR(__xludf.DUMMYFUNCTION("""COMPUTED_VALUE"""),"Self Identify")</f>
        <v>Self Identify</v>
      </c>
      <c r="I1305" s="6" t="str">
        <f>IFERROR(__xludf.DUMMYFUNCTION("""COMPUTED_VALUE"""),"High School")</f>
        <v>High School</v>
      </c>
      <c r="J1305" s="6" t="str">
        <f>IFERROR(__xludf.DUMMYFUNCTION("""COMPUTED_VALUE"""),"12")</f>
        <v>12</v>
      </c>
      <c r="K1305" s="6" t="str">
        <f>IFERROR(__xludf.DUMMYFUNCTION("""COMPUTED_VALUE"""),"viktoria.ur@2hourlearning.com")</f>
        <v>viktoria.ur@2hourlearning.com</v>
      </c>
      <c r="L1305" s="6" t="str">
        <f>IFERROR(__xludf.DUMMYFUNCTION("""COMPUTED_VALUE"""),"Learn and Earn Poland")</f>
        <v>Learn and Earn Poland</v>
      </c>
      <c r="M1305" s="6" t="str">
        <f>IFERROR(__xludf.DUMMYFUNCTION("""COMPUTED_VALUE"""),"Budapest Alpha")</f>
        <v>Budapest Alpha</v>
      </c>
      <c r="N1305" s="6" t="str">
        <f>IFERROR(__xludf.DUMMYFUNCTION("""COMPUTED_VALUE"""),"")</f>
        <v/>
      </c>
      <c r="O1305" s="87" t="str">
        <f>IFERROR(__xludf.DUMMYFUNCTION("""COMPUTED_VALUE"""),"https://drive.google.com/drive/folders/10T2cTQHqEJZqE-st6uFKPoI?usp=share_link")</f>
        <v>https://drive.google.com/drive/folders/10T2cTQHqEJZqE-st6uFKPoI?usp=share_link</v>
      </c>
      <c r="P1305" s="6" t="str">
        <f>IFERROR(__xludf.DUMMYFUNCTION("""COMPUTED_VALUE"""),"Viktoria Ur")</f>
        <v>Viktoria Ur</v>
      </c>
      <c r="Q1305" s="6" t="str">
        <f>IFERROR(__xludf.DUMMYFUNCTION("""COMPUTED_VALUE"""),"HS")</f>
        <v>HS</v>
      </c>
      <c r="R1305" s="6">
        <f>IFERROR(__xludf.DUMMYFUNCTION("""COMPUTED_VALUE"""),0.0)</f>
        <v>0</v>
      </c>
      <c r="S1305" s="6" t="str">
        <f>IFERROR(__xludf.DUMMYFUNCTION("""COMPUTED_VALUE""")," ")</f>
        <v> </v>
      </c>
      <c r="T1305" s="6" t="str">
        <f>IFERROR(__xludf.DUMMYFUNCTION("""COMPUTED_VALUE"""),"")</f>
        <v/>
      </c>
      <c r="U1305" s="6" t="str">
        <f>IFERROR(__xludf.DUMMYFUNCTION("""COMPUTED_VALUE"""),"12")</f>
        <v>12</v>
      </c>
      <c r="V1305" s="6" t="str">
        <f>IFERROR(__xludf.DUMMYFUNCTION("""COMPUTED_VALUE"""),"English")</f>
        <v>English</v>
      </c>
      <c r="W1305" s="6" t="str">
        <f>IFERROR(__xludf.DUMMYFUNCTION("""COMPUTED_VALUE"""),"[]")</f>
        <v>[]</v>
      </c>
      <c r="X1305" s="6" t="str">
        <f>IFERROR(__xludf.DUMMYFUNCTION("""COMPUTED_VALUE"""),"Enrolled")</f>
        <v>Enrolled</v>
      </c>
    </row>
    <row r="1306">
      <c r="A1306" s="6" t="str">
        <f>IFERROR(__xludf.DUMMYFUNCTION("""COMPUTED_VALUE"""),"009-1560")</f>
        <v>009-1560</v>
      </c>
      <c r="B1306" s="6" t="str">
        <f>IFERROR(__xludf.DUMMYFUNCTION("""COMPUTED_VALUE"""),"9")</f>
        <v>9</v>
      </c>
      <c r="C1306" s="6" t="str">
        <f>IFERROR(__xludf.DUMMYFUNCTION("""COMPUTED_VALUE"""),"1560")</f>
        <v>1560</v>
      </c>
      <c r="D1306" s="6" t="str">
        <f>IFERROR(__xludf.DUMMYFUNCTION("""COMPUTED_VALUE"""),"Savva")</f>
        <v>Savva</v>
      </c>
      <c r="E1306" s="6" t="str">
        <f>IFERROR(__xludf.DUMMYFUNCTION("""COMPUTED_VALUE"""),"")</f>
        <v/>
      </c>
      <c r="F1306" s="6" t="str">
        <f>IFERROR(__xludf.DUMMYFUNCTION("""COMPUTED_VALUE"""),"Plotnikov")</f>
        <v>Plotnikov</v>
      </c>
      <c r="G1306" s="6" t="str">
        <f>IFERROR(__xludf.DUMMYFUNCTION("""COMPUTED_VALUE"""),"01/01/2013")</f>
        <v>01/01/2013</v>
      </c>
      <c r="H1306" s="6" t="str">
        <f>IFERROR(__xludf.DUMMYFUNCTION("""COMPUTED_VALUE"""),"Self Identify")</f>
        <v>Self Identify</v>
      </c>
      <c r="I1306" s="6" t="str">
        <f>IFERROR(__xludf.DUMMYFUNCTION("""COMPUTED_VALUE"""),"Middle School")</f>
        <v>Middle School</v>
      </c>
      <c r="J1306" s="6" t="str">
        <f>IFERROR(__xludf.DUMMYFUNCTION("""COMPUTED_VALUE"""),"6")</f>
        <v>6</v>
      </c>
      <c r="K1306" s="6" t="str">
        <f>IFERROR(__xludf.DUMMYFUNCTION("""COMPUTED_VALUE"""),"savva.plotnikov@2hourlearning.com")</f>
        <v>savva.plotnikov@2hourlearning.com</v>
      </c>
      <c r="L1306" s="6" t="str">
        <f>IFERROR(__xludf.DUMMYFUNCTION("""COMPUTED_VALUE"""),"Learn and Earn Poland")</f>
        <v>Learn and Earn Poland</v>
      </c>
      <c r="M1306" s="6" t="str">
        <f>IFERROR(__xludf.DUMMYFUNCTION("""COMPUTED_VALUE"""),"Budapest Alpha")</f>
        <v>Budapest Alpha</v>
      </c>
      <c r="N1306" s="6" t="str">
        <f>IFERROR(__xludf.DUMMYFUNCTION("""COMPUTED_VALUE"""),"")</f>
        <v/>
      </c>
      <c r="O1306" s="87" t="str">
        <f>IFERROR(__xludf.DUMMYFUNCTION("""COMPUTED_VALUE"""),"https://drive.google.com/drive/folders/10T2cTQHqEJZqE-st6uFKPoI?usp=share_link")</f>
        <v>https://drive.google.com/drive/folders/10T2cTQHqEJZqE-st6uFKPoI?usp=share_link</v>
      </c>
      <c r="P1306" s="6" t="str">
        <f>IFERROR(__xludf.DUMMYFUNCTION("""COMPUTED_VALUE"""),"Savva Plotnikov")</f>
        <v>Savva Plotnikov</v>
      </c>
      <c r="Q1306" s="6" t="str">
        <f>IFERROR(__xludf.DUMMYFUNCTION("""COMPUTED_VALUE"""),"MS")</f>
        <v>MS</v>
      </c>
      <c r="R1306" s="6">
        <f>IFERROR(__xludf.DUMMYFUNCTION("""COMPUTED_VALUE"""),0.0)</f>
        <v>0</v>
      </c>
      <c r="S1306" s="6" t="str">
        <f>IFERROR(__xludf.DUMMYFUNCTION("""COMPUTED_VALUE""")," ")</f>
        <v> </v>
      </c>
      <c r="T1306" s="6" t="str">
        <f>IFERROR(__xludf.DUMMYFUNCTION("""COMPUTED_VALUE"""),"")</f>
        <v/>
      </c>
      <c r="U1306" s="6" t="str">
        <f>IFERROR(__xludf.DUMMYFUNCTION("""COMPUTED_VALUE"""),"6")</f>
        <v>6</v>
      </c>
      <c r="V1306" s="6" t="str">
        <f>IFERROR(__xludf.DUMMYFUNCTION("""COMPUTED_VALUE"""),"English")</f>
        <v>English</v>
      </c>
      <c r="W1306" s="6" t="str">
        <f>IFERROR(__xludf.DUMMYFUNCTION("""COMPUTED_VALUE"""),"[]")</f>
        <v>[]</v>
      </c>
      <c r="X1306" s="6" t="str">
        <f>IFERROR(__xludf.DUMMYFUNCTION("""COMPUTED_VALUE"""),"Enrolled")</f>
        <v>Enrolled</v>
      </c>
    </row>
    <row r="1307">
      <c r="A1307" s="6" t="str">
        <f>IFERROR(__xludf.DUMMYFUNCTION("""COMPUTED_VALUE"""),"009-1561")</f>
        <v>009-1561</v>
      </c>
      <c r="B1307" s="6" t="str">
        <f>IFERROR(__xludf.DUMMYFUNCTION("""COMPUTED_VALUE"""),"9")</f>
        <v>9</v>
      </c>
      <c r="C1307" s="6" t="str">
        <f>IFERROR(__xludf.DUMMYFUNCTION("""COMPUTED_VALUE"""),"1561")</f>
        <v>1561</v>
      </c>
      <c r="D1307" s="6" t="str">
        <f>IFERROR(__xludf.DUMMYFUNCTION("""COMPUTED_VALUE"""),"Karina")</f>
        <v>Karina</v>
      </c>
      <c r="E1307" s="6" t="str">
        <f>IFERROR(__xludf.DUMMYFUNCTION("""COMPUTED_VALUE"""),"")</f>
        <v/>
      </c>
      <c r="F1307" s="6" t="str">
        <f>IFERROR(__xludf.DUMMYFUNCTION("""COMPUTED_VALUE"""),"Nagy")</f>
        <v>Nagy</v>
      </c>
      <c r="G1307" s="6" t="str">
        <f>IFERROR(__xludf.DUMMYFUNCTION("""COMPUTED_VALUE"""),"01/01/2012")</f>
        <v>01/01/2012</v>
      </c>
      <c r="H1307" s="6" t="str">
        <f>IFERROR(__xludf.DUMMYFUNCTION("""COMPUTED_VALUE"""),"Self Identify")</f>
        <v>Self Identify</v>
      </c>
      <c r="I1307" s="6" t="str">
        <f>IFERROR(__xludf.DUMMYFUNCTION("""COMPUTED_VALUE"""),"Middle School")</f>
        <v>Middle School</v>
      </c>
      <c r="J1307" s="6" t="str">
        <f>IFERROR(__xludf.DUMMYFUNCTION("""COMPUTED_VALUE"""),"7")</f>
        <v>7</v>
      </c>
      <c r="K1307" s="6" t="str">
        <f>IFERROR(__xludf.DUMMYFUNCTION("""COMPUTED_VALUE"""),"karina.nagy@2hourlearning.com")</f>
        <v>karina.nagy@2hourlearning.com</v>
      </c>
      <c r="L1307" s="6" t="str">
        <f>IFERROR(__xludf.DUMMYFUNCTION("""COMPUTED_VALUE"""),"Learn and Earn Poland")</f>
        <v>Learn and Earn Poland</v>
      </c>
      <c r="M1307" s="6" t="str">
        <f>IFERROR(__xludf.DUMMYFUNCTION("""COMPUTED_VALUE"""),"Budapest Alpha")</f>
        <v>Budapest Alpha</v>
      </c>
      <c r="N1307" s="6" t="str">
        <f>IFERROR(__xludf.DUMMYFUNCTION("""COMPUTED_VALUE"""),"")</f>
        <v/>
      </c>
      <c r="O1307" s="87" t="str">
        <f>IFERROR(__xludf.DUMMYFUNCTION("""COMPUTED_VALUE"""),"https://drive.google.com/drive/folders/10T2cTQHqEJZqE-st6uFKPoI?usp=share_link")</f>
        <v>https://drive.google.com/drive/folders/10T2cTQHqEJZqE-st6uFKPoI?usp=share_link</v>
      </c>
      <c r="P1307" s="6" t="str">
        <f>IFERROR(__xludf.DUMMYFUNCTION("""COMPUTED_VALUE"""),"Karina Nagy")</f>
        <v>Karina Nagy</v>
      </c>
      <c r="Q1307" s="6" t="str">
        <f>IFERROR(__xludf.DUMMYFUNCTION("""COMPUTED_VALUE"""),"MS")</f>
        <v>MS</v>
      </c>
      <c r="R1307" s="6">
        <f>IFERROR(__xludf.DUMMYFUNCTION("""COMPUTED_VALUE"""),0.0)</f>
        <v>0</v>
      </c>
      <c r="S1307" s="6" t="str">
        <f>IFERROR(__xludf.DUMMYFUNCTION("""COMPUTED_VALUE""")," ")</f>
        <v> </v>
      </c>
      <c r="T1307" s="6" t="str">
        <f>IFERROR(__xludf.DUMMYFUNCTION("""COMPUTED_VALUE"""),"")</f>
        <v/>
      </c>
      <c r="U1307" s="6" t="str">
        <f>IFERROR(__xludf.DUMMYFUNCTION("""COMPUTED_VALUE"""),"7")</f>
        <v>7</v>
      </c>
      <c r="V1307" s="6" t="str">
        <f>IFERROR(__xludf.DUMMYFUNCTION("""COMPUTED_VALUE"""),"English")</f>
        <v>English</v>
      </c>
      <c r="W1307" s="6" t="str">
        <f>IFERROR(__xludf.DUMMYFUNCTION("""COMPUTED_VALUE"""),"[]")</f>
        <v>[]</v>
      </c>
      <c r="X1307" s="6" t="str">
        <f>IFERROR(__xludf.DUMMYFUNCTION("""COMPUTED_VALUE"""),"Enrolled")</f>
        <v>Enrolled</v>
      </c>
    </row>
    <row r="1308">
      <c r="A1308" s="6" t="str">
        <f>IFERROR(__xludf.DUMMYFUNCTION("""COMPUTED_VALUE"""),"009-1562")</f>
        <v>009-1562</v>
      </c>
      <c r="B1308" s="6" t="str">
        <f>IFERROR(__xludf.DUMMYFUNCTION("""COMPUTED_VALUE"""),"9")</f>
        <v>9</v>
      </c>
      <c r="C1308" s="6" t="str">
        <f>IFERROR(__xludf.DUMMYFUNCTION("""COMPUTED_VALUE"""),"1562")</f>
        <v>1562</v>
      </c>
      <c r="D1308" s="6" t="str">
        <f>IFERROR(__xludf.DUMMYFUNCTION("""COMPUTED_VALUE"""),"Zherebtsov")</f>
        <v>Zherebtsov</v>
      </c>
      <c r="E1308" s="6" t="str">
        <f>IFERROR(__xludf.DUMMYFUNCTION("""COMPUTED_VALUE"""),"")</f>
        <v/>
      </c>
      <c r="F1308" s="6" t="str">
        <f>IFERROR(__xludf.DUMMYFUNCTION("""COMPUTED_VALUE"""),"Arsenii")</f>
        <v>Arsenii</v>
      </c>
      <c r="G1308" s="6" t="str">
        <f>IFERROR(__xludf.DUMMYFUNCTION("""COMPUTED_VALUE"""),"01/01/2017")</f>
        <v>01/01/2017</v>
      </c>
      <c r="H1308" s="6" t="str">
        <f>IFERROR(__xludf.DUMMYFUNCTION("""COMPUTED_VALUE"""),"Self Identify")</f>
        <v>Self Identify</v>
      </c>
      <c r="I1308" s="6" t="str">
        <f>IFERROR(__xludf.DUMMYFUNCTION("""COMPUTED_VALUE"""),"Level 1")</f>
        <v>Level 1</v>
      </c>
      <c r="J1308" s="6" t="str">
        <f>IFERROR(__xludf.DUMMYFUNCTION("""COMPUTED_VALUE"""),"2")</f>
        <v>2</v>
      </c>
      <c r="K1308" s="6" t="str">
        <f>IFERROR(__xludf.DUMMYFUNCTION("""COMPUTED_VALUE"""),"zherebtsov.arsenii@2hourlearning.com")</f>
        <v>zherebtsov.arsenii@2hourlearning.com</v>
      </c>
      <c r="L1308" s="6" t="str">
        <f>IFERROR(__xludf.DUMMYFUNCTION("""COMPUTED_VALUE"""),"Learn and Earn Poland")</f>
        <v>Learn and Earn Poland</v>
      </c>
      <c r="M1308" s="6" t="str">
        <f>IFERROR(__xludf.DUMMYFUNCTION("""COMPUTED_VALUE"""),"Budapest Alpha")</f>
        <v>Budapest Alpha</v>
      </c>
      <c r="N1308" s="6" t="str">
        <f>IFERROR(__xludf.DUMMYFUNCTION("""COMPUTED_VALUE"""),"")</f>
        <v/>
      </c>
      <c r="O1308" s="87" t="str">
        <f>IFERROR(__xludf.DUMMYFUNCTION("""COMPUTED_VALUE"""),"https://drive.google.com/drive/folders/10T2cTQHqEJZqE-st6uFKPoI?usp=share_link")</f>
        <v>https://drive.google.com/drive/folders/10T2cTQHqEJZqE-st6uFKPoI?usp=share_link</v>
      </c>
      <c r="P1308" s="6" t="str">
        <f>IFERROR(__xludf.DUMMYFUNCTION("""COMPUTED_VALUE"""),"Zherebtsov Arsenii")</f>
        <v>Zherebtsov Arsenii</v>
      </c>
      <c r="Q1308" s="6" t="str">
        <f>IFERROR(__xludf.DUMMYFUNCTION("""COMPUTED_VALUE"""),"L1")</f>
        <v>L1</v>
      </c>
      <c r="R1308" s="6">
        <f>IFERROR(__xludf.DUMMYFUNCTION("""COMPUTED_VALUE"""),1.0)</f>
        <v>1</v>
      </c>
      <c r="S1308" s="6" t="str">
        <f>IFERROR(__xludf.DUMMYFUNCTION("""COMPUTED_VALUE""")," ")</f>
        <v> </v>
      </c>
      <c r="T1308" s="6" t="str">
        <f>IFERROR(__xludf.DUMMYFUNCTION("""COMPUTED_VALUE"""),"")</f>
        <v/>
      </c>
      <c r="U1308" s="6" t="str">
        <f>IFERROR(__xludf.DUMMYFUNCTION("""COMPUTED_VALUE"""),"2")</f>
        <v>2</v>
      </c>
      <c r="V1308" s="6" t="str">
        <f>IFERROR(__xludf.DUMMYFUNCTION("""COMPUTED_VALUE"""),"English")</f>
        <v>English</v>
      </c>
      <c r="W1308" s="6" t="str">
        <f>IFERROR(__xludf.DUMMYFUNCTION("""COMPUTED_VALUE"""),"[]")</f>
        <v>[]</v>
      </c>
      <c r="X1308" s="6" t="str">
        <f>IFERROR(__xludf.DUMMYFUNCTION("""COMPUTED_VALUE"""),"Enrolled")</f>
        <v>Enrolled</v>
      </c>
    </row>
    <row r="1309">
      <c r="A1309" s="6" t="str">
        <f>IFERROR(__xludf.DUMMYFUNCTION("""COMPUTED_VALUE"""),"009-1563")</f>
        <v>009-1563</v>
      </c>
      <c r="B1309" s="6" t="str">
        <f>IFERROR(__xludf.DUMMYFUNCTION("""COMPUTED_VALUE"""),"9")</f>
        <v>9</v>
      </c>
      <c r="C1309" s="6" t="str">
        <f>IFERROR(__xludf.DUMMYFUNCTION("""COMPUTED_VALUE"""),"1563")</f>
        <v>1563</v>
      </c>
      <c r="D1309" s="6" t="str">
        <f>IFERROR(__xludf.DUMMYFUNCTION("""COMPUTED_VALUE"""),"Sofia")</f>
        <v>Sofia</v>
      </c>
      <c r="E1309" s="6" t="str">
        <f>IFERROR(__xludf.DUMMYFUNCTION("""COMPUTED_VALUE"""),"")</f>
        <v/>
      </c>
      <c r="F1309" s="6" t="str">
        <f>IFERROR(__xludf.DUMMYFUNCTION("""COMPUTED_VALUE"""),"Steshenko")</f>
        <v>Steshenko</v>
      </c>
      <c r="G1309" s="6" t="str">
        <f>IFERROR(__xludf.DUMMYFUNCTION("""COMPUTED_VALUE"""),"01/01/2016")</f>
        <v>01/01/2016</v>
      </c>
      <c r="H1309" s="6" t="str">
        <f>IFERROR(__xludf.DUMMYFUNCTION("""COMPUTED_VALUE"""),"Self Identify")</f>
        <v>Self Identify</v>
      </c>
      <c r="I1309" s="6" t="str">
        <f>IFERROR(__xludf.DUMMYFUNCTION("""COMPUTED_VALUE"""),"Level 1")</f>
        <v>Level 1</v>
      </c>
      <c r="J1309" s="6" t="str">
        <f>IFERROR(__xludf.DUMMYFUNCTION("""COMPUTED_VALUE"""),"3")</f>
        <v>3</v>
      </c>
      <c r="K1309" s="6" t="str">
        <f>IFERROR(__xludf.DUMMYFUNCTION("""COMPUTED_VALUE"""),"steshenko.sofia@2hourlearning.com")</f>
        <v>steshenko.sofia@2hourlearning.com</v>
      </c>
      <c r="L1309" s="6" t="str">
        <f>IFERROR(__xludf.DUMMYFUNCTION("""COMPUTED_VALUE"""),"Learn and Earn Poland")</f>
        <v>Learn and Earn Poland</v>
      </c>
      <c r="M1309" s="6" t="str">
        <f>IFERROR(__xludf.DUMMYFUNCTION("""COMPUTED_VALUE"""),"Budapest Alpha")</f>
        <v>Budapest Alpha</v>
      </c>
      <c r="N1309" s="6" t="str">
        <f>IFERROR(__xludf.DUMMYFUNCTION("""COMPUTED_VALUE"""),"")</f>
        <v/>
      </c>
      <c r="O1309" s="87" t="str">
        <f>IFERROR(__xludf.DUMMYFUNCTION("""COMPUTED_VALUE"""),"https://drive.google.com/drive/folders/10T2cTQHqEJZqE-st6uFKPoI?usp=share_link")</f>
        <v>https://drive.google.com/drive/folders/10T2cTQHqEJZqE-st6uFKPoI?usp=share_link</v>
      </c>
      <c r="P1309" s="6" t="str">
        <f>IFERROR(__xludf.DUMMYFUNCTION("""COMPUTED_VALUE"""),"Sofia Steshenko")</f>
        <v>Sofia Steshenko</v>
      </c>
      <c r="Q1309" s="6" t="str">
        <f>IFERROR(__xludf.DUMMYFUNCTION("""COMPUTED_VALUE"""),"L1")</f>
        <v>L1</v>
      </c>
      <c r="R1309" s="6">
        <f>IFERROR(__xludf.DUMMYFUNCTION("""COMPUTED_VALUE"""),1.0)</f>
        <v>1</v>
      </c>
      <c r="S1309" s="6" t="str">
        <f>IFERROR(__xludf.DUMMYFUNCTION("""COMPUTED_VALUE""")," ")</f>
        <v> </v>
      </c>
      <c r="T1309" s="6" t="str">
        <f>IFERROR(__xludf.DUMMYFUNCTION("""COMPUTED_VALUE"""),"")</f>
        <v/>
      </c>
      <c r="U1309" s="6" t="str">
        <f>IFERROR(__xludf.DUMMYFUNCTION("""COMPUTED_VALUE"""),"3")</f>
        <v>3</v>
      </c>
      <c r="V1309" s="6" t="str">
        <f>IFERROR(__xludf.DUMMYFUNCTION("""COMPUTED_VALUE"""),"English")</f>
        <v>English</v>
      </c>
      <c r="W1309" s="6" t="str">
        <f>IFERROR(__xludf.DUMMYFUNCTION("""COMPUTED_VALUE"""),"[]")</f>
        <v>[]</v>
      </c>
      <c r="X1309" s="6" t="str">
        <f>IFERROR(__xludf.DUMMYFUNCTION("""COMPUTED_VALUE"""),"Enrolled")</f>
        <v>Enrolled</v>
      </c>
    </row>
    <row r="1310">
      <c r="A1310" s="6" t="str">
        <f>IFERROR(__xludf.DUMMYFUNCTION("""COMPUTED_VALUE"""),"009-1564")</f>
        <v>009-1564</v>
      </c>
      <c r="B1310" s="6" t="str">
        <f>IFERROR(__xludf.DUMMYFUNCTION("""COMPUTED_VALUE"""),"9")</f>
        <v>9</v>
      </c>
      <c r="C1310" s="6" t="str">
        <f>IFERROR(__xludf.DUMMYFUNCTION("""COMPUTED_VALUE"""),"1564")</f>
        <v>1564</v>
      </c>
      <c r="D1310" s="6" t="str">
        <f>IFERROR(__xludf.DUMMYFUNCTION("""COMPUTED_VALUE"""),"Novytskyi")</f>
        <v>Novytskyi</v>
      </c>
      <c r="E1310" s="6" t="str">
        <f>IFERROR(__xludf.DUMMYFUNCTION("""COMPUTED_VALUE"""),"")</f>
        <v/>
      </c>
      <c r="F1310" s="6" t="str">
        <f>IFERROR(__xludf.DUMMYFUNCTION("""COMPUTED_VALUE"""),"Vladyslav")</f>
        <v>Vladyslav</v>
      </c>
      <c r="G1310" s="6" t="str">
        <f>IFERROR(__xludf.DUMMYFUNCTION("""COMPUTED_VALUE"""),"01/01/2012")</f>
        <v>01/01/2012</v>
      </c>
      <c r="H1310" s="6" t="str">
        <f>IFERROR(__xludf.DUMMYFUNCTION("""COMPUTED_VALUE"""),"Self Identify")</f>
        <v>Self Identify</v>
      </c>
      <c r="I1310" s="6" t="str">
        <f>IFERROR(__xludf.DUMMYFUNCTION("""COMPUTED_VALUE"""),"Middle School")</f>
        <v>Middle School</v>
      </c>
      <c r="J1310" s="6" t="str">
        <f>IFERROR(__xludf.DUMMYFUNCTION("""COMPUTED_VALUE"""),"7")</f>
        <v>7</v>
      </c>
      <c r="K1310" s="6" t="str">
        <f>IFERROR(__xludf.DUMMYFUNCTION("""COMPUTED_VALUE"""),"novytskyi.vladyslav@2hourlearning.com")</f>
        <v>novytskyi.vladyslav@2hourlearning.com</v>
      </c>
      <c r="L1310" s="6" t="str">
        <f>IFERROR(__xludf.DUMMYFUNCTION("""COMPUTED_VALUE"""),"Learn and Earn Poland")</f>
        <v>Learn and Earn Poland</v>
      </c>
      <c r="M1310" s="6" t="str">
        <f>IFERROR(__xludf.DUMMYFUNCTION("""COMPUTED_VALUE"""),"Budapest ex-GTS")</f>
        <v>Budapest ex-GTS</v>
      </c>
      <c r="N1310" s="6" t="str">
        <f>IFERROR(__xludf.DUMMYFUNCTION("""COMPUTED_VALUE"""),"")</f>
        <v/>
      </c>
      <c r="O1310" s="87" t="str">
        <f>IFERROR(__xludf.DUMMYFUNCTION("""COMPUTED_VALUE"""),"https://drive.google.com/drive/folders/10T2cTQHqEJZqE-st6uFKPoI?usp=share_link")</f>
        <v>https://drive.google.com/drive/folders/10T2cTQHqEJZqE-st6uFKPoI?usp=share_link</v>
      </c>
      <c r="P1310" s="6" t="str">
        <f>IFERROR(__xludf.DUMMYFUNCTION("""COMPUTED_VALUE"""),"Novytskyi Vladyslav")</f>
        <v>Novytskyi Vladyslav</v>
      </c>
      <c r="Q1310" s="6" t="str">
        <f>IFERROR(__xludf.DUMMYFUNCTION("""COMPUTED_VALUE"""),"MS")</f>
        <v>MS</v>
      </c>
      <c r="R1310" s="6">
        <f>IFERROR(__xludf.DUMMYFUNCTION("""COMPUTED_VALUE"""),0.0)</f>
        <v>0</v>
      </c>
      <c r="S1310" s="6" t="str">
        <f>IFERROR(__xludf.DUMMYFUNCTION("""COMPUTED_VALUE""")," ")</f>
        <v> </v>
      </c>
      <c r="T1310" s="6" t="str">
        <f>IFERROR(__xludf.DUMMYFUNCTION("""COMPUTED_VALUE"""),"")</f>
        <v/>
      </c>
      <c r="U1310" s="6" t="str">
        <f>IFERROR(__xludf.DUMMYFUNCTION("""COMPUTED_VALUE"""),"7")</f>
        <v>7</v>
      </c>
      <c r="V1310" s="6" t="str">
        <f>IFERROR(__xludf.DUMMYFUNCTION("""COMPUTED_VALUE"""),"English")</f>
        <v>English</v>
      </c>
      <c r="W1310" s="6" t="str">
        <f>IFERROR(__xludf.DUMMYFUNCTION("""COMPUTED_VALUE"""),"[]")</f>
        <v>[]</v>
      </c>
      <c r="X1310" s="6" t="str">
        <f>IFERROR(__xludf.DUMMYFUNCTION("""COMPUTED_VALUE"""),"Enrolled")</f>
        <v>Enrolled</v>
      </c>
    </row>
    <row r="1311">
      <c r="A1311" s="6" t="str">
        <f>IFERROR(__xludf.DUMMYFUNCTION("""COMPUTED_VALUE"""),"009-1565")</f>
        <v>009-1565</v>
      </c>
      <c r="B1311" s="6" t="str">
        <f>IFERROR(__xludf.DUMMYFUNCTION("""COMPUTED_VALUE"""),"9")</f>
        <v>9</v>
      </c>
      <c r="C1311" s="6" t="str">
        <f>IFERROR(__xludf.DUMMYFUNCTION("""COMPUTED_VALUE"""),"1565")</f>
        <v>1565</v>
      </c>
      <c r="D1311" s="6" t="str">
        <f>IFERROR(__xludf.DUMMYFUNCTION("""COMPUTED_VALUE"""),"Heorhii")</f>
        <v>Heorhii</v>
      </c>
      <c r="E1311" s="6" t="str">
        <f>IFERROR(__xludf.DUMMYFUNCTION("""COMPUTED_VALUE"""),"")</f>
        <v/>
      </c>
      <c r="F1311" s="6" t="str">
        <f>IFERROR(__xludf.DUMMYFUNCTION("""COMPUTED_VALUE"""),"Fikhtman")</f>
        <v>Fikhtman</v>
      </c>
      <c r="G1311" s="6" t="str">
        <f>IFERROR(__xludf.DUMMYFUNCTION("""COMPUTED_VALUE"""),"01/01/2014")</f>
        <v>01/01/2014</v>
      </c>
      <c r="H1311" s="6" t="str">
        <f>IFERROR(__xludf.DUMMYFUNCTION("""COMPUTED_VALUE"""),"Self Identify")</f>
        <v>Self Identify</v>
      </c>
      <c r="I1311" s="6" t="str">
        <f>IFERROR(__xludf.DUMMYFUNCTION("""COMPUTED_VALUE"""),"Level 2")</f>
        <v>Level 2</v>
      </c>
      <c r="J1311" s="6" t="str">
        <f>IFERROR(__xludf.DUMMYFUNCTION("""COMPUTED_VALUE"""),"5")</f>
        <v>5</v>
      </c>
      <c r="K1311" s="6" t="str">
        <f>IFERROR(__xludf.DUMMYFUNCTION("""COMPUTED_VALUE"""),"heorhii.fikhtman@2hourlearning.com")</f>
        <v>heorhii.fikhtman@2hourlearning.com</v>
      </c>
      <c r="L1311" s="6" t="str">
        <f>IFERROR(__xludf.DUMMYFUNCTION("""COMPUTED_VALUE"""),"Learn and Earn Poland")</f>
        <v>Learn and Earn Poland</v>
      </c>
      <c r="M1311" s="6" t="str">
        <f>IFERROR(__xludf.DUMMYFUNCTION("""COMPUTED_VALUE"""),"Budapest Alpha")</f>
        <v>Budapest Alpha</v>
      </c>
      <c r="N1311" s="6" t="str">
        <f>IFERROR(__xludf.DUMMYFUNCTION("""COMPUTED_VALUE"""),"")</f>
        <v/>
      </c>
      <c r="O1311" s="87" t="str">
        <f>IFERROR(__xludf.DUMMYFUNCTION("""COMPUTED_VALUE"""),"https://drive.google.com/drive/folders/10T2cTQHqEJZqE-st6uFKPoI?usp=share_link")</f>
        <v>https://drive.google.com/drive/folders/10T2cTQHqEJZqE-st6uFKPoI?usp=share_link</v>
      </c>
      <c r="P1311" s="6" t="str">
        <f>IFERROR(__xludf.DUMMYFUNCTION("""COMPUTED_VALUE"""),"Heorhii Fikhtman")</f>
        <v>Heorhii Fikhtman</v>
      </c>
      <c r="Q1311" s="6" t="str">
        <f>IFERROR(__xludf.DUMMYFUNCTION("""COMPUTED_VALUE"""),"L2")</f>
        <v>L2</v>
      </c>
      <c r="R1311" s="6">
        <f>IFERROR(__xludf.DUMMYFUNCTION("""COMPUTED_VALUE"""),2.0)</f>
        <v>2</v>
      </c>
      <c r="S1311" s="6" t="str">
        <f>IFERROR(__xludf.DUMMYFUNCTION("""COMPUTED_VALUE""")," ")</f>
        <v> </v>
      </c>
      <c r="T1311" s="6" t="str">
        <f>IFERROR(__xludf.DUMMYFUNCTION("""COMPUTED_VALUE"""),"")</f>
        <v/>
      </c>
      <c r="U1311" s="6" t="str">
        <f>IFERROR(__xludf.DUMMYFUNCTION("""COMPUTED_VALUE"""),"5")</f>
        <v>5</v>
      </c>
      <c r="V1311" s="6" t="str">
        <f>IFERROR(__xludf.DUMMYFUNCTION("""COMPUTED_VALUE"""),"English")</f>
        <v>English</v>
      </c>
      <c r="W1311" s="6" t="str">
        <f>IFERROR(__xludf.DUMMYFUNCTION("""COMPUTED_VALUE"""),"[]")</f>
        <v>[]</v>
      </c>
      <c r="X1311" s="6" t="str">
        <f>IFERROR(__xludf.DUMMYFUNCTION("""COMPUTED_VALUE"""),"Enrolled")</f>
        <v>Enrolled</v>
      </c>
    </row>
    <row r="1312">
      <c r="A1312" s="6" t="str">
        <f>IFERROR(__xludf.DUMMYFUNCTION("""COMPUTED_VALUE"""),"009-1566")</f>
        <v>009-1566</v>
      </c>
      <c r="B1312" s="6" t="str">
        <f>IFERROR(__xludf.DUMMYFUNCTION("""COMPUTED_VALUE"""),"9")</f>
        <v>9</v>
      </c>
      <c r="C1312" s="6" t="str">
        <f>IFERROR(__xludf.DUMMYFUNCTION("""COMPUTED_VALUE"""),"1566")</f>
        <v>1566</v>
      </c>
      <c r="D1312" s="6" t="str">
        <f>IFERROR(__xludf.DUMMYFUNCTION("""COMPUTED_VALUE"""),"Mykhailo")</f>
        <v>Mykhailo</v>
      </c>
      <c r="E1312" s="6" t="str">
        <f>IFERROR(__xludf.DUMMYFUNCTION("""COMPUTED_VALUE"""),"")</f>
        <v/>
      </c>
      <c r="F1312" s="6" t="str">
        <f>IFERROR(__xludf.DUMMYFUNCTION("""COMPUTED_VALUE"""),"Holovko")</f>
        <v>Holovko</v>
      </c>
      <c r="G1312" s="6" t="str">
        <f>IFERROR(__xludf.DUMMYFUNCTION("""COMPUTED_VALUE"""),"01/01/2013")</f>
        <v>01/01/2013</v>
      </c>
      <c r="H1312" s="6" t="str">
        <f>IFERROR(__xludf.DUMMYFUNCTION("""COMPUTED_VALUE"""),"Self Identify")</f>
        <v>Self Identify</v>
      </c>
      <c r="I1312" s="6" t="str">
        <f>IFERROR(__xludf.DUMMYFUNCTION("""COMPUTED_VALUE"""),"Middle School")</f>
        <v>Middle School</v>
      </c>
      <c r="J1312" s="6" t="str">
        <f>IFERROR(__xludf.DUMMYFUNCTION("""COMPUTED_VALUE"""),"6")</f>
        <v>6</v>
      </c>
      <c r="K1312" s="6" t="str">
        <f>IFERROR(__xludf.DUMMYFUNCTION("""COMPUTED_VALUE"""),"mykhailo.holovko@2hourlearning.com")</f>
        <v>mykhailo.holovko@2hourlearning.com</v>
      </c>
      <c r="L1312" s="6" t="str">
        <f>IFERROR(__xludf.DUMMYFUNCTION("""COMPUTED_VALUE"""),"Learn and Earn Poland")</f>
        <v>Learn and Earn Poland</v>
      </c>
      <c r="M1312" s="6" t="str">
        <f>IFERROR(__xludf.DUMMYFUNCTION("""COMPUTED_VALUE"""),"Budapest ex-GTS")</f>
        <v>Budapest ex-GTS</v>
      </c>
      <c r="N1312" s="6" t="str">
        <f>IFERROR(__xludf.DUMMYFUNCTION("""COMPUTED_VALUE"""),"")</f>
        <v/>
      </c>
      <c r="O1312" s="87" t="str">
        <f>IFERROR(__xludf.DUMMYFUNCTION("""COMPUTED_VALUE"""),"https://drive.google.com/drive/folders/10T2cTQHqEJZqE-st6uFKPoI?usp=share_link")</f>
        <v>https://drive.google.com/drive/folders/10T2cTQHqEJZqE-st6uFKPoI?usp=share_link</v>
      </c>
      <c r="P1312" s="6" t="str">
        <f>IFERROR(__xludf.DUMMYFUNCTION("""COMPUTED_VALUE"""),"Mykhailo Holovko")</f>
        <v>Mykhailo Holovko</v>
      </c>
      <c r="Q1312" s="6" t="str">
        <f>IFERROR(__xludf.DUMMYFUNCTION("""COMPUTED_VALUE"""),"MS")</f>
        <v>MS</v>
      </c>
      <c r="R1312" s="6">
        <f>IFERROR(__xludf.DUMMYFUNCTION("""COMPUTED_VALUE"""),0.0)</f>
        <v>0</v>
      </c>
      <c r="S1312" s="6" t="str">
        <f>IFERROR(__xludf.DUMMYFUNCTION("""COMPUTED_VALUE""")," ")</f>
        <v> </v>
      </c>
      <c r="T1312" s="6" t="str">
        <f>IFERROR(__xludf.DUMMYFUNCTION("""COMPUTED_VALUE"""),"")</f>
        <v/>
      </c>
      <c r="U1312" s="6" t="str">
        <f>IFERROR(__xludf.DUMMYFUNCTION("""COMPUTED_VALUE"""),"6")</f>
        <v>6</v>
      </c>
      <c r="V1312" s="6" t="str">
        <f>IFERROR(__xludf.DUMMYFUNCTION("""COMPUTED_VALUE"""),"English")</f>
        <v>English</v>
      </c>
      <c r="W1312" s="6" t="str">
        <f>IFERROR(__xludf.DUMMYFUNCTION("""COMPUTED_VALUE"""),"[]")</f>
        <v>[]</v>
      </c>
      <c r="X1312" s="6" t="str">
        <f>IFERROR(__xludf.DUMMYFUNCTION("""COMPUTED_VALUE"""),"Enrolled")</f>
        <v>Enrolled</v>
      </c>
    </row>
    <row r="1313">
      <c r="A1313" s="6" t="str">
        <f>IFERROR(__xludf.DUMMYFUNCTION("""COMPUTED_VALUE"""),"009-1567")</f>
        <v>009-1567</v>
      </c>
      <c r="B1313" s="6" t="str">
        <f>IFERROR(__xludf.DUMMYFUNCTION("""COMPUTED_VALUE"""),"9")</f>
        <v>9</v>
      </c>
      <c r="C1313" s="6" t="str">
        <f>IFERROR(__xludf.DUMMYFUNCTION("""COMPUTED_VALUE"""),"1567")</f>
        <v>1567</v>
      </c>
      <c r="D1313" s="6" t="str">
        <f>IFERROR(__xludf.DUMMYFUNCTION("""COMPUTED_VALUE"""),"David")</f>
        <v>David</v>
      </c>
      <c r="E1313" s="6" t="str">
        <f>IFERROR(__xludf.DUMMYFUNCTION("""COMPUTED_VALUE"""),"")</f>
        <v/>
      </c>
      <c r="F1313" s="6" t="str">
        <f>IFERROR(__xludf.DUMMYFUNCTION("""COMPUTED_VALUE"""),"Remez")</f>
        <v>Remez</v>
      </c>
      <c r="G1313" s="6" t="str">
        <f>IFERROR(__xludf.DUMMYFUNCTION("""COMPUTED_VALUE"""),"01/01/2017")</f>
        <v>01/01/2017</v>
      </c>
      <c r="H1313" s="6" t="str">
        <f>IFERROR(__xludf.DUMMYFUNCTION("""COMPUTED_VALUE"""),"Self Identify")</f>
        <v>Self Identify</v>
      </c>
      <c r="I1313" s="6" t="str">
        <f>IFERROR(__xludf.DUMMYFUNCTION("""COMPUTED_VALUE"""),"Level 1")</f>
        <v>Level 1</v>
      </c>
      <c r="J1313" s="6" t="str">
        <f>IFERROR(__xludf.DUMMYFUNCTION("""COMPUTED_VALUE"""),"2")</f>
        <v>2</v>
      </c>
      <c r="K1313" s="6" t="str">
        <f>IFERROR(__xludf.DUMMYFUNCTION("""COMPUTED_VALUE"""),"david.remez@2hourlearning.com")</f>
        <v>david.remez@2hourlearning.com</v>
      </c>
      <c r="L1313" s="6" t="str">
        <f>IFERROR(__xludf.DUMMYFUNCTION("""COMPUTED_VALUE"""),"Learn and Earn Poland")</f>
        <v>Learn and Earn Poland</v>
      </c>
      <c r="M1313" s="6" t="str">
        <f>IFERROR(__xludf.DUMMYFUNCTION("""COMPUTED_VALUE"""),"Budapest Alpha")</f>
        <v>Budapest Alpha</v>
      </c>
      <c r="N1313" s="6" t="str">
        <f>IFERROR(__xludf.DUMMYFUNCTION("""COMPUTED_VALUE"""),"")</f>
        <v/>
      </c>
      <c r="O1313" s="87" t="str">
        <f>IFERROR(__xludf.DUMMYFUNCTION("""COMPUTED_VALUE"""),"https://drive.google.com/drive/folders/10T2cTQHqEJZqE-st6uFKPoI?usp=share_link")</f>
        <v>https://drive.google.com/drive/folders/10T2cTQHqEJZqE-st6uFKPoI?usp=share_link</v>
      </c>
      <c r="P1313" s="6" t="str">
        <f>IFERROR(__xludf.DUMMYFUNCTION("""COMPUTED_VALUE"""),"David Remez")</f>
        <v>David Remez</v>
      </c>
      <c r="Q1313" s="6" t="str">
        <f>IFERROR(__xludf.DUMMYFUNCTION("""COMPUTED_VALUE"""),"L1")</f>
        <v>L1</v>
      </c>
      <c r="R1313" s="6">
        <f>IFERROR(__xludf.DUMMYFUNCTION("""COMPUTED_VALUE"""),1.0)</f>
        <v>1</v>
      </c>
      <c r="S1313" s="6" t="str">
        <f>IFERROR(__xludf.DUMMYFUNCTION("""COMPUTED_VALUE""")," ")</f>
        <v> </v>
      </c>
      <c r="T1313" s="6" t="str">
        <f>IFERROR(__xludf.DUMMYFUNCTION("""COMPUTED_VALUE"""),"")</f>
        <v/>
      </c>
      <c r="U1313" s="6" t="str">
        <f>IFERROR(__xludf.DUMMYFUNCTION("""COMPUTED_VALUE"""),"2")</f>
        <v>2</v>
      </c>
      <c r="V1313" s="6" t="str">
        <f>IFERROR(__xludf.DUMMYFUNCTION("""COMPUTED_VALUE"""),"English")</f>
        <v>English</v>
      </c>
      <c r="W1313" s="6" t="str">
        <f>IFERROR(__xludf.DUMMYFUNCTION("""COMPUTED_VALUE"""),"[]")</f>
        <v>[]</v>
      </c>
      <c r="X1313" s="6" t="str">
        <f>IFERROR(__xludf.DUMMYFUNCTION("""COMPUTED_VALUE"""),"Enrolled")</f>
        <v>Enrolled</v>
      </c>
    </row>
    <row r="1314">
      <c r="A1314" s="6" t="str">
        <f>IFERROR(__xludf.DUMMYFUNCTION("""COMPUTED_VALUE"""),"009-1568")</f>
        <v>009-1568</v>
      </c>
      <c r="B1314" s="6" t="str">
        <f>IFERROR(__xludf.DUMMYFUNCTION("""COMPUTED_VALUE"""),"9")</f>
        <v>9</v>
      </c>
      <c r="C1314" s="6" t="str">
        <f>IFERROR(__xludf.DUMMYFUNCTION("""COMPUTED_VALUE"""),"1568")</f>
        <v>1568</v>
      </c>
      <c r="D1314" s="6" t="str">
        <f>IFERROR(__xludf.DUMMYFUNCTION("""COMPUTED_VALUE"""),"Oleksii")</f>
        <v>Oleksii</v>
      </c>
      <c r="E1314" s="6" t="str">
        <f>IFERROR(__xludf.DUMMYFUNCTION("""COMPUTED_VALUE"""),"")</f>
        <v/>
      </c>
      <c r="F1314" s="6" t="str">
        <f>IFERROR(__xludf.DUMMYFUNCTION("""COMPUTED_VALUE"""),"Dzisiak")</f>
        <v>Dzisiak</v>
      </c>
      <c r="G1314" s="6" t="str">
        <f>IFERROR(__xludf.DUMMYFUNCTION("""COMPUTED_VALUE"""),"01/01/2017")</f>
        <v>01/01/2017</v>
      </c>
      <c r="H1314" s="6" t="str">
        <f>IFERROR(__xludf.DUMMYFUNCTION("""COMPUTED_VALUE"""),"Self Identify")</f>
        <v>Self Identify</v>
      </c>
      <c r="I1314" s="6" t="str">
        <f>IFERROR(__xludf.DUMMYFUNCTION("""COMPUTED_VALUE"""),"Level 1")</f>
        <v>Level 1</v>
      </c>
      <c r="J1314" s="6" t="str">
        <f>IFERROR(__xludf.DUMMYFUNCTION("""COMPUTED_VALUE"""),"2")</f>
        <v>2</v>
      </c>
      <c r="K1314" s="6" t="str">
        <f>IFERROR(__xludf.DUMMYFUNCTION("""COMPUTED_VALUE"""),"oleksii.dzisiak@2hourlearning.com")</f>
        <v>oleksii.dzisiak@2hourlearning.com</v>
      </c>
      <c r="L1314" s="6" t="str">
        <f>IFERROR(__xludf.DUMMYFUNCTION("""COMPUTED_VALUE"""),"Learn and Earn Poland")</f>
        <v>Learn and Earn Poland</v>
      </c>
      <c r="M1314" s="6" t="str">
        <f>IFERROR(__xludf.DUMMYFUNCTION("""COMPUTED_VALUE"""),"Budapest Alpha")</f>
        <v>Budapest Alpha</v>
      </c>
      <c r="N1314" s="6" t="str">
        <f>IFERROR(__xludf.DUMMYFUNCTION("""COMPUTED_VALUE"""),"")</f>
        <v/>
      </c>
      <c r="O1314" s="87" t="str">
        <f>IFERROR(__xludf.DUMMYFUNCTION("""COMPUTED_VALUE"""),"https://drive.google.com/drive/folders/10T2cTQHqEJZqE-st6uFKPoI?usp=share_link")</f>
        <v>https://drive.google.com/drive/folders/10T2cTQHqEJZqE-st6uFKPoI?usp=share_link</v>
      </c>
      <c r="P1314" s="6" t="str">
        <f>IFERROR(__xludf.DUMMYFUNCTION("""COMPUTED_VALUE"""),"Oleksii Dzisiak")</f>
        <v>Oleksii Dzisiak</v>
      </c>
      <c r="Q1314" s="6" t="str">
        <f>IFERROR(__xludf.DUMMYFUNCTION("""COMPUTED_VALUE"""),"L1")</f>
        <v>L1</v>
      </c>
      <c r="R1314" s="6">
        <f>IFERROR(__xludf.DUMMYFUNCTION("""COMPUTED_VALUE"""),1.0)</f>
        <v>1</v>
      </c>
      <c r="S1314" s="6" t="str">
        <f>IFERROR(__xludf.DUMMYFUNCTION("""COMPUTED_VALUE""")," ")</f>
        <v> </v>
      </c>
      <c r="T1314" s="6" t="str">
        <f>IFERROR(__xludf.DUMMYFUNCTION("""COMPUTED_VALUE"""),"")</f>
        <v/>
      </c>
      <c r="U1314" s="6" t="str">
        <f>IFERROR(__xludf.DUMMYFUNCTION("""COMPUTED_VALUE"""),"2")</f>
        <v>2</v>
      </c>
      <c r="V1314" s="6" t="str">
        <f>IFERROR(__xludf.DUMMYFUNCTION("""COMPUTED_VALUE"""),"English")</f>
        <v>English</v>
      </c>
      <c r="W1314" s="6" t="str">
        <f>IFERROR(__xludf.DUMMYFUNCTION("""COMPUTED_VALUE"""),"[]")</f>
        <v>[]</v>
      </c>
      <c r="X1314" s="6" t="str">
        <f>IFERROR(__xludf.DUMMYFUNCTION("""COMPUTED_VALUE"""),"Enrolled")</f>
        <v>Enrolled</v>
      </c>
    </row>
    <row r="1315">
      <c r="A1315" s="6" t="str">
        <f>IFERROR(__xludf.DUMMYFUNCTION("""COMPUTED_VALUE"""),"009-1569")</f>
        <v>009-1569</v>
      </c>
      <c r="B1315" s="6" t="str">
        <f>IFERROR(__xludf.DUMMYFUNCTION("""COMPUTED_VALUE"""),"9")</f>
        <v>9</v>
      </c>
      <c r="C1315" s="6" t="str">
        <f>IFERROR(__xludf.DUMMYFUNCTION("""COMPUTED_VALUE"""),"1569")</f>
        <v>1569</v>
      </c>
      <c r="D1315" s="6" t="str">
        <f>IFERROR(__xludf.DUMMYFUNCTION("""COMPUTED_VALUE"""),"Mykhailo")</f>
        <v>Mykhailo</v>
      </c>
      <c r="E1315" s="6" t="str">
        <f>IFERROR(__xludf.DUMMYFUNCTION("""COMPUTED_VALUE"""),"")</f>
        <v/>
      </c>
      <c r="F1315" s="6" t="str">
        <f>IFERROR(__xludf.DUMMYFUNCTION("""COMPUTED_VALUE"""),"Horvat")</f>
        <v>Horvat</v>
      </c>
      <c r="G1315" s="6" t="str">
        <f>IFERROR(__xludf.DUMMYFUNCTION("""COMPUTED_VALUE"""),"01/01/2012")</f>
        <v>01/01/2012</v>
      </c>
      <c r="H1315" s="6" t="str">
        <f>IFERROR(__xludf.DUMMYFUNCTION("""COMPUTED_VALUE"""),"Self Identify")</f>
        <v>Self Identify</v>
      </c>
      <c r="I1315" s="6" t="str">
        <f>IFERROR(__xludf.DUMMYFUNCTION("""COMPUTED_VALUE"""),"Middle School")</f>
        <v>Middle School</v>
      </c>
      <c r="J1315" s="6" t="str">
        <f>IFERROR(__xludf.DUMMYFUNCTION("""COMPUTED_VALUE"""),"7")</f>
        <v>7</v>
      </c>
      <c r="K1315" s="6" t="str">
        <f>IFERROR(__xludf.DUMMYFUNCTION("""COMPUTED_VALUE"""),"horvat.mykhailo@2hourlearning.com")</f>
        <v>horvat.mykhailo@2hourlearning.com</v>
      </c>
      <c r="L1315" s="6" t="str">
        <f>IFERROR(__xludf.DUMMYFUNCTION("""COMPUTED_VALUE"""),"Learn and Earn Poland")</f>
        <v>Learn and Earn Poland</v>
      </c>
      <c r="M1315" s="6" t="str">
        <f>IFERROR(__xludf.DUMMYFUNCTION("""COMPUTED_VALUE"""),"Budapest Alpha")</f>
        <v>Budapest Alpha</v>
      </c>
      <c r="N1315" s="6" t="str">
        <f>IFERROR(__xludf.DUMMYFUNCTION("""COMPUTED_VALUE"""),"")</f>
        <v/>
      </c>
      <c r="O1315" s="87" t="str">
        <f>IFERROR(__xludf.DUMMYFUNCTION("""COMPUTED_VALUE"""),"https://drive.google.com/drive/folders/10T2cTQHqEJZqE-st6uFKPoI?usp=share_link")</f>
        <v>https://drive.google.com/drive/folders/10T2cTQHqEJZqE-st6uFKPoI?usp=share_link</v>
      </c>
      <c r="P1315" s="6" t="str">
        <f>IFERROR(__xludf.DUMMYFUNCTION("""COMPUTED_VALUE"""),"Mykhailo Horvat")</f>
        <v>Mykhailo Horvat</v>
      </c>
      <c r="Q1315" s="6" t="str">
        <f>IFERROR(__xludf.DUMMYFUNCTION("""COMPUTED_VALUE"""),"MS")</f>
        <v>MS</v>
      </c>
      <c r="R1315" s="6">
        <f>IFERROR(__xludf.DUMMYFUNCTION("""COMPUTED_VALUE"""),0.0)</f>
        <v>0</v>
      </c>
      <c r="S1315" s="6" t="str">
        <f>IFERROR(__xludf.DUMMYFUNCTION("""COMPUTED_VALUE""")," ")</f>
        <v> </v>
      </c>
      <c r="T1315" s="6" t="str">
        <f>IFERROR(__xludf.DUMMYFUNCTION("""COMPUTED_VALUE"""),"")</f>
        <v/>
      </c>
      <c r="U1315" s="6" t="str">
        <f>IFERROR(__xludf.DUMMYFUNCTION("""COMPUTED_VALUE"""),"7")</f>
        <v>7</v>
      </c>
      <c r="V1315" s="6" t="str">
        <f>IFERROR(__xludf.DUMMYFUNCTION("""COMPUTED_VALUE"""),"English")</f>
        <v>English</v>
      </c>
      <c r="W1315" s="6" t="str">
        <f>IFERROR(__xludf.DUMMYFUNCTION("""COMPUTED_VALUE"""),"[]")</f>
        <v>[]</v>
      </c>
      <c r="X1315" s="6" t="str">
        <f>IFERROR(__xludf.DUMMYFUNCTION("""COMPUTED_VALUE"""),"Enrolled")</f>
        <v>Enrolled</v>
      </c>
    </row>
    <row r="1316">
      <c r="A1316" s="6" t="str">
        <f>IFERROR(__xludf.DUMMYFUNCTION("""COMPUTED_VALUE"""),"009-1570")</f>
        <v>009-1570</v>
      </c>
      <c r="B1316" s="6" t="str">
        <f>IFERROR(__xludf.DUMMYFUNCTION("""COMPUTED_VALUE"""),"9")</f>
        <v>9</v>
      </c>
      <c r="C1316" s="6" t="str">
        <f>IFERROR(__xludf.DUMMYFUNCTION("""COMPUTED_VALUE"""),"1570")</f>
        <v>1570</v>
      </c>
      <c r="D1316" s="6" t="str">
        <f>IFERROR(__xludf.DUMMYFUNCTION("""COMPUTED_VALUE"""),"Roman")</f>
        <v>Roman</v>
      </c>
      <c r="E1316" s="6" t="str">
        <f>IFERROR(__xludf.DUMMYFUNCTION("""COMPUTED_VALUE"""),"")</f>
        <v/>
      </c>
      <c r="F1316" s="6" t="str">
        <f>IFERROR(__xludf.DUMMYFUNCTION("""COMPUTED_VALUE"""),"Piddubnyi")</f>
        <v>Piddubnyi</v>
      </c>
      <c r="G1316" s="6" t="str">
        <f>IFERROR(__xludf.DUMMYFUNCTION("""COMPUTED_VALUE"""),"01/01/2012")</f>
        <v>01/01/2012</v>
      </c>
      <c r="H1316" s="6" t="str">
        <f>IFERROR(__xludf.DUMMYFUNCTION("""COMPUTED_VALUE"""),"Self Identify")</f>
        <v>Self Identify</v>
      </c>
      <c r="I1316" s="6" t="str">
        <f>IFERROR(__xludf.DUMMYFUNCTION("""COMPUTED_VALUE"""),"Middle School")</f>
        <v>Middle School</v>
      </c>
      <c r="J1316" s="6" t="str">
        <f>IFERROR(__xludf.DUMMYFUNCTION("""COMPUTED_VALUE"""),"7")</f>
        <v>7</v>
      </c>
      <c r="K1316" s="6" t="str">
        <f>IFERROR(__xludf.DUMMYFUNCTION("""COMPUTED_VALUE"""),"roman.piddubnyi@2hourlearning.com")</f>
        <v>roman.piddubnyi@2hourlearning.com</v>
      </c>
      <c r="L1316" s="6" t="str">
        <f>IFERROR(__xludf.DUMMYFUNCTION("""COMPUTED_VALUE"""),"Learn and Earn Poland")</f>
        <v>Learn and Earn Poland</v>
      </c>
      <c r="M1316" s="6" t="str">
        <f>IFERROR(__xludf.DUMMYFUNCTION("""COMPUTED_VALUE"""),"Budapest Alpha")</f>
        <v>Budapest Alpha</v>
      </c>
      <c r="N1316" s="6" t="str">
        <f>IFERROR(__xludf.DUMMYFUNCTION("""COMPUTED_VALUE"""),"")</f>
        <v/>
      </c>
      <c r="O1316" s="87" t="str">
        <f>IFERROR(__xludf.DUMMYFUNCTION("""COMPUTED_VALUE"""),"https://drive.google.com/drive/folders/10T2cTQHqEJZqE-st6uFKPoI?usp=share_link")</f>
        <v>https://drive.google.com/drive/folders/10T2cTQHqEJZqE-st6uFKPoI?usp=share_link</v>
      </c>
      <c r="P1316" s="6" t="str">
        <f>IFERROR(__xludf.DUMMYFUNCTION("""COMPUTED_VALUE"""),"Roman Piddubnyi")</f>
        <v>Roman Piddubnyi</v>
      </c>
      <c r="Q1316" s="6" t="str">
        <f>IFERROR(__xludf.DUMMYFUNCTION("""COMPUTED_VALUE"""),"MS")</f>
        <v>MS</v>
      </c>
      <c r="R1316" s="6">
        <f>IFERROR(__xludf.DUMMYFUNCTION("""COMPUTED_VALUE"""),0.0)</f>
        <v>0</v>
      </c>
      <c r="S1316" s="6" t="str">
        <f>IFERROR(__xludf.DUMMYFUNCTION("""COMPUTED_VALUE""")," ")</f>
        <v> </v>
      </c>
      <c r="T1316" s="6" t="str">
        <f>IFERROR(__xludf.DUMMYFUNCTION("""COMPUTED_VALUE"""),"")</f>
        <v/>
      </c>
      <c r="U1316" s="6" t="str">
        <f>IFERROR(__xludf.DUMMYFUNCTION("""COMPUTED_VALUE"""),"7")</f>
        <v>7</v>
      </c>
      <c r="V1316" s="6" t="str">
        <f>IFERROR(__xludf.DUMMYFUNCTION("""COMPUTED_VALUE"""),"English")</f>
        <v>English</v>
      </c>
      <c r="W1316" s="6" t="str">
        <f>IFERROR(__xludf.DUMMYFUNCTION("""COMPUTED_VALUE"""),"[]")</f>
        <v>[]</v>
      </c>
      <c r="X1316" s="6" t="str">
        <f>IFERROR(__xludf.DUMMYFUNCTION("""COMPUTED_VALUE"""),"Enrolled")</f>
        <v>Enrolled</v>
      </c>
    </row>
    <row r="1317">
      <c r="A1317" s="6" t="str">
        <f>IFERROR(__xludf.DUMMYFUNCTION("""COMPUTED_VALUE"""),"009-1571")</f>
        <v>009-1571</v>
      </c>
      <c r="B1317" s="6" t="str">
        <f>IFERROR(__xludf.DUMMYFUNCTION("""COMPUTED_VALUE"""),"9")</f>
        <v>9</v>
      </c>
      <c r="C1317" s="6" t="str">
        <f>IFERROR(__xludf.DUMMYFUNCTION("""COMPUTED_VALUE"""),"1571")</f>
        <v>1571</v>
      </c>
      <c r="D1317" s="6" t="str">
        <f>IFERROR(__xludf.DUMMYFUNCTION("""COMPUTED_VALUE"""),"Andrii")</f>
        <v>Andrii</v>
      </c>
      <c r="E1317" s="6" t="str">
        <f>IFERROR(__xludf.DUMMYFUNCTION("""COMPUTED_VALUE"""),"")</f>
        <v/>
      </c>
      <c r="F1317" s="6" t="str">
        <f>IFERROR(__xludf.DUMMYFUNCTION("""COMPUTED_VALUE"""),"Petrov")</f>
        <v>Petrov</v>
      </c>
      <c r="G1317" s="6" t="str">
        <f>IFERROR(__xludf.DUMMYFUNCTION("""COMPUTED_VALUE"""),"01/01/2013")</f>
        <v>01/01/2013</v>
      </c>
      <c r="H1317" s="6" t="str">
        <f>IFERROR(__xludf.DUMMYFUNCTION("""COMPUTED_VALUE"""),"Self Identify")</f>
        <v>Self Identify</v>
      </c>
      <c r="I1317" s="6" t="str">
        <f>IFERROR(__xludf.DUMMYFUNCTION("""COMPUTED_VALUE"""),"Middle School")</f>
        <v>Middle School</v>
      </c>
      <c r="J1317" s="6" t="str">
        <f>IFERROR(__xludf.DUMMYFUNCTION("""COMPUTED_VALUE"""),"6")</f>
        <v>6</v>
      </c>
      <c r="K1317" s="6" t="str">
        <f>IFERROR(__xludf.DUMMYFUNCTION("""COMPUTED_VALUE"""),"andrii.petrov@2hourlearning.com")</f>
        <v>andrii.petrov@2hourlearning.com</v>
      </c>
      <c r="L1317" s="6" t="str">
        <f>IFERROR(__xludf.DUMMYFUNCTION("""COMPUTED_VALUE"""),"Learn and Earn Poland")</f>
        <v>Learn and Earn Poland</v>
      </c>
      <c r="M1317" s="6" t="str">
        <f>IFERROR(__xludf.DUMMYFUNCTION("""COMPUTED_VALUE"""),"Budapest Alpha")</f>
        <v>Budapest Alpha</v>
      </c>
      <c r="N1317" s="6" t="str">
        <f>IFERROR(__xludf.DUMMYFUNCTION("""COMPUTED_VALUE"""),"")</f>
        <v/>
      </c>
      <c r="O1317" s="87" t="str">
        <f>IFERROR(__xludf.DUMMYFUNCTION("""COMPUTED_VALUE"""),"https://drive.google.com/drive/folders/10T2cTQHqEJZqE-st6uFKPoI?usp=share_link")</f>
        <v>https://drive.google.com/drive/folders/10T2cTQHqEJZqE-st6uFKPoI?usp=share_link</v>
      </c>
      <c r="P1317" s="6" t="str">
        <f>IFERROR(__xludf.DUMMYFUNCTION("""COMPUTED_VALUE"""),"Andrii Petrov")</f>
        <v>Andrii Petrov</v>
      </c>
      <c r="Q1317" s="6" t="str">
        <f>IFERROR(__xludf.DUMMYFUNCTION("""COMPUTED_VALUE"""),"MS")</f>
        <v>MS</v>
      </c>
      <c r="R1317" s="6">
        <f>IFERROR(__xludf.DUMMYFUNCTION("""COMPUTED_VALUE"""),0.0)</f>
        <v>0</v>
      </c>
      <c r="S1317" s="6" t="str">
        <f>IFERROR(__xludf.DUMMYFUNCTION("""COMPUTED_VALUE""")," ")</f>
        <v> </v>
      </c>
      <c r="T1317" s="6" t="str">
        <f>IFERROR(__xludf.DUMMYFUNCTION("""COMPUTED_VALUE"""),"")</f>
        <v/>
      </c>
      <c r="U1317" s="6" t="str">
        <f>IFERROR(__xludf.DUMMYFUNCTION("""COMPUTED_VALUE"""),"6")</f>
        <v>6</v>
      </c>
      <c r="V1317" s="6" t="str">
        <f>IFERROR(__xludf.DUMMYFUNCTION("""COMPUTED_VALUE"""),"English")</f>
        <v>English</v>
      </c>
      <c r="W1317" s="6" t="str">
        <f>IFERROR(__xludf.DUMMYFUNCTION("""COMPUTED_VALUE"""),"[]")</f>
        <v>[]</v>
      </c>
      <c r="X1317" s="6" t="str">
        <f>IFERROR(__xludf.DUMMYFUNCTION("""COMPUTED_VALUE"""),"Enrolled")</f>
        <v>Enrolled</v>
      </c>
    </row>
    <row r="1318">
      <c r="A1318" s="6" t="str">
        <f>IFERROR(__xludf.DUMMYFUNCTION("""COMPUTED_VALUE"""),"009-1572")</f>
        <v>009-1572</v>
      </c>
      <c r="B1318" s="6" t="str">
        <f>IFERROR(__xludf.DUMMYFUNCTION("""COMPUTED_VALUE"""),"9")</f>
        <v>9</v>
      </c>
      <c r="C1318" s="6" t="str">
        <f>IFERROR(__xludf.DUMMYFUNCTION("""COMPUTED_VALUE"""),"1572")</f>
        <v>1572</v>
      </c>
      <c r="D1318" s="6" t="str">
        <f>IFERROR(__xludf.DUMMYFUNCTION("""COMPUTED_VALUE"""),"Oleksij")</f>
        <v>Oleksij</v>
      </c>
      <c r="E1318" s="6" t="str">
        <f>IFERROR(__xludf.DUMMYFUNCTION("""COMPUTED_VALUE"""),"")</f>
        <v/>
      </c>
      <c r="F1318" s="6" t="str">
        <f>IFERROR(__xludf.DUMMYFUNCTION("""COMPUTED_VALUE"""),"Tkachenko")</f>
        <v>Tkachenko</v>
      </c>
      <c r="G1318" s="6" t="str">
        <f>IFERROR(__xludf.DUMMYFUNCTION("""COMPUTED_VALUE"""),"01/01/2014")</f>
        <v>01/01/2014</v>
      </c>
      <c r="H1318" s="6" t="str">
        <f>IFERROR(__xludf.DUMMYFUNCTION("""COMPUTED_VALUE"""),"Self Identify")</f>
        <v>Self Identify</v>
      </c>
      <c r="I1318" s="6" t="str">
        <f>IFERROR(__xludf.DUMMYFUNCTION("""COMPUTED_VALUE"""),"Level 2")</f>
        <v>Level 2</v>
      </c>
      <c r="J1318" s="6" t="str">
        <f>IFERROR(__xludf.DUMMYFUNCTION("""COMPUTED_VALUE"""),"5")</f>
        <v>5</v>
      </c>
      <c r="K1318" s="6" t="str">
        <f>IFERROR(__xludf.DUMMYFUNCTION("""COMPUTED_VALUE"""),"oleksij.tkachenko@2hourlearning.com")</f>
        <v>oleksij.tkachenko@2hourlearning.com</v>
      </c>
      <c r="L1318" s="6" t="str">
        <f>IFERROR(__xludf.DUMMYFUNCTION("""COMPUTED_VALUE"""),"Learn and Earn Poland")</f>
        <v>Learn and Earn Poland</v>
      </c>
      <c r="M1318" s="6" t="str">
        <f>IFERROR(__xludf.DUMMYFUNCTION("""COMPUTED_VALUE"""),"Budapest ex-GTS")</f>
        <v>Budapest ex-GTS</v>
      </c>
      <c r="N1318" s="6" t="str">
        <f>IFERROR(__xludf.DUMMYFUNCTION("""COMPUTED_VALUE"""),"")</f>
        <v/>
      </c>
      <c r="O1318" s="87" t="str">
        <f>IFERROR(__xludf.DUMMYFUNCTION("""COMPUTED_VALUE"""),"https://drive.google.com/drive/folders/10T2cTQHqEJZqE-st6uFKPoI?usp=share_link")</f>
        <v>https://drive.google.com/drive/folders/10T2cTQHqEJZqE-st6uFKPoI?usp=share_link</v>
      </c>
      <c r="P1318" s="6" t="str">
        <f>IFERROR(__xludf.DUMMYFUNCTION("""COMPUTED_VALUE"""),"Oleksij Tkachenko")</f>
        <v>Oleksij Tkachenko</v>
      </c>
      <c r="Q1318" s="6" t="str">
        <f>IFERROR(__xludf.DUMMYFUNCTION("""COMPUTED_VALUE"""),"L2")</f>
        <v>L2</v>
      </c>
      <c r="R1318" s="6">
        <f>IFERROR(__xludf.DUMMYFUNCTION("""COMPUTED_VALUE"""),2.0)</f>
        <v>2</v>
      </c>
      <c r="S1318" s="6" t="str">
        <f>IFERROR(__xludf.DUMMYFUNCTION("""COMPUTED_VALUE""")," ")</f>
        <v> </v>
      </c>
      <c r="T1318" s="6" t="str">
        <f>IFERROR(__xludf.DUMMYFUNCTION("""COMPUTED_VALUE"""),"")</f>
        <v/>
      </c>
      <c r="U1318" s="6" t="str">
        <f>IFERROR(__xludf.DUMMYFUNCTION("""COMPUTED_VALUE"""),"5")</f>
        <v>5</v>
      </c>
      <c r="V1318" s="6" t="str">
        <f>IFERROR(__xludf.DUMMYFUNCTION("""COMPUTED_VALUE"""),"English")</f>
        <v>English</v>
      </c>
      <c r="W1318" s="6" t="str">
        <f>IFERROR(__xludf.DUMMYFUNCTION("""COMPUTED_VALUE"""),"[]")</f>
        <v>[]</v>
      </c>
      <c r="X1318" s="6" t="str">
        <f>IFERROR(__xludf.DUMMYFUNCTION("""COMPUTED_VALUE"""),"Enrolled")</f>
        <v>Enrolled</v>
      </c>
    </row>
    <row r="1319">
      <c r="A1319" s="6" t="str">
        <f>IFERROR(__xludf.DUMMYFUNCTION("""COMPUTED_VALUE"""),"009-1573")</f>
        <v>009-1573</v>
      </c>
      <c r="B1319" s="6" t="str">
        <f>IFERROR(__xludf.DUMMYFUNCTION("""COMPUTED_VALUE"""),"9")</f>
        <v>9</v>
      </c>
      <c r="C1319" s="6" t="str">
        <f>IFERROR(__xludf.DUMMYFUNCTION("""COMPUTED_VALUE"""),"1573")</f>
        <v>1573</v>
      </c>
      <c r="D1319" s="6" t="str">
        <f>IFERROR(__xludf.DUMMYFUNCTION("""COMPUTED_VALUE"""),"Brajen")</f>
        <v>Brajen</v>
      </c>
      <c r="E1319" s="6" t="str">
        <f>IFERROR(__xludf.DUMMYFUNCTION("""COMPUTED_VALUE"""),"")</f>
        <v/>
      </c>
      <c r="F1319" s="6" t="str">
        <f>IFERROR(__xludf.DUMMYFUNCTION("""COMPUTED_VALUE"""),"Kerekes")</f>
        <v>Kerekes</v>
      </c>
      <c r="G1319" s="6" t="str">
        <f>IFERROR(__xludf.DUMMYFUNCTION("""COMPUTED_VALUE"""),"01/01/2013")</f>
        <v>01/01/2013</v>
      </c>
      <c r="H1319" s="6" t="str">
        <f>IFERROR(__xludf.DUMMYFUNCTION("""COMPUTED_VALUE"""),"Self Identify")</f>
        <v>Self Identify</v>
      </c>
      <c r="I1319" s="6" t="str">
        <f>IFERROR(__xludf.DUMMYFUNCTION("""COMPUTED_VALUE"""),"Middle School")</f>
        <v>Middle School</v>
      </c>
      <c r="J1319" s="6" t="str">
        <f>IFERROR(__xludf.DUMMYFUNCTION("""COMPUTED_VALUE"""),"6")</f>
        <v>6</v>
      </c>
      <c r="K1319" s="6" t="str">
        <f>IFERROR(__xludf.DUMMYFUNCTION("""COMPUTED_VALUE"""),"brajen.kerekes@2hourlearning.com")</f>
        <v>brajen.kerekes@2hourlearning.com</v>
      </c>
      <c r="L1319" s="6" t="str">
        <f>IFERROR(__xludf.DUMMYFUNCTION("""COMPUTED_VALUE"""),"Learn and Earn Poland")</f>
        <v>Learn and Earn Poland</v>
      </c>
      <c r="M1319" s="6" t="str">
        <f>IFERROR(__xludf.DUMMYFUNCTION("""COMPUTED_VALUE"""),"Budapest Alpha")</f>
        <v>Budapest Alpha</v>
      </c>
      <c r="N1319" s="6" t="str">
        <f>IFERROR(__xludf.DUMMYFUNCTION("""COMPUTED_VALUE"""),"")</f>
        <v/>
      </c>
      <c r="O1319" s="87" t="str">
        <f>IFERROR(__xludf.DUMMYFUNCTION("""COMPUTED_VALUE"""),"https://drive.google.com/drive/folders/10T2cTQHqEJZqE-st6uFKPoI?usp=share_link")</f>
        <v>https://drive.google.com/drive/folders/10T2cTQHqEJZqE-st6uFKPoI?usp=share_link</v>
      </c>
      <c r="P1319" s="6" t="str">
        <f>IFERROR(__xludf.DUMMYFUNCTION("""COMPUTED_VALUE"""),"Brajen Kerekes")</f>
        <v>Brajen Kerekes</v>
      </c>
      <c r="Q1319" s="6" t="str">
        <f>IFERROR(__xludf.DUMMYFUNCTION("""COMPUTED_VALUE"""),"MS")</f>
        <v>MS</v>
      </c>
      <c r="R1319" s="6">
        <f>IFERROR(__xludf.DUMMYFUNCTION("""COMPUTED_VALUE"""),0.0)</f>
        <v>0</v>
      </c>
      <c r="S1319" s="6" t="str">
        <f>IFERROR(__xludf.DUMMYFUNCTION("""COMPUTED_VALUE""")," ")</f>
        <v> </v>
      </c>
      <c r="T1319" s="6" t="str">
        <f>IFERROR(__xludf.DUMMYFUNCTION("""COMPUTED_VALUE"""),"")</f>
        <v/>
      </c>
      <c r="U1319" s="6" t="str">
        <f>IFERROR(__xludf.DUMMYFUNCTION("""COMPUTED_VALUE"""),"6")</f>
        <v>6</v>
      </c>
      <c r="V1319" s="6" t="str">
        <f>IFERROR(__xludf.DUMMYFUNCTION("""COMPUTED_VALUE"""),"English")</f>
        <v>English</v>
      </c>
      <c r="W1319" s="6" t="str">
        <f>IFERROR(__xludf.DUMMYFUNCTION("""COMPUTED_VALUE"""),"[]")</f>
        <v>[]</v>
      </c>
      <c r="X1319" s="6" t="str">
        <f>IFERROR(__xludf.DUMMYFUNCTION("""COMPUTED_VALUE"""),"Enrolled")</f>
        <v>Enrolled</v>
      </c>
    </row>
    <row r="1320">
      <c r="A1320" s="6" t="str">
        <f>IFERROR(__xludf.DUMMYFUNCTION("""COMPUTED_VALUE"""),"009-1574")</f>
        <v>009-1574</v>
      </c>
      <c r="B1320" s="6" t="str">
        <f>IFERROR(__xludf.DUMMYFUNCTION("""COMPUTED_VALUE"""),"9")</f>
        <v>9</v>
      </c>
      <c r="C1320" s="6" t="str">
        <f>IFERROR(__xludf.DUMMYFUNCTION("""COMPUTED_VALUE"""),"1574")</f>
        <v>1574</v>
      </c>
      <c r="D1320" s="6" t="str">
        <f>IFERROR(__xludf.DUMMYFUNCTION("""COMPUTED_VALUE"""),"Patrik")</f>
        <v>Patrik</v>
      </c>
      <c r="E1320" s="6" t="str">
        <f>IFERROR(__xludf.DUMMYFUNCTION("""COMPUTED_VALUE"""),"")</f>
        <v/>
      </c>
      <c r="F1320" s="6" t="str">
        <f>IFERROR(__xludf.DUMMYFUNCTION("""COMPUTED_VALUE"""),"Bursza")</f>
        <v>Bursza</v>
      </c>
      <c r="G1320" s="6" t="str">
        <f>IFERROR(__xludf.DUMMYFUNCTION("""COMPUTED_VALUE"""),"01/01/2013")</f>
        <v>01/01/2013</v>
      </c>
      <c r="H1320" s="6" t="str">
        <f>IFERROR(__xludf.DUMMYFUNCTION("""COMPUTED_VALUE"""),"Self Identify")</f>
        <v>Self Identify</v>
      </c>
      <c r="I1320" s="6" t="str">
        <f>IFERROR(__xludf.DUMMYFUNCTION("""COMPUTED_VALUE"""),"Middle School")</f>
        <v>Middle School</v>
      </c>
      <c r="J1320" s="6" t="str">
        <f>IFERROR(__xludf.DUMMYFUNCTION("""COMPUTED_VALUE"""),"6")</f>
        <v>6</v>
      </c>
      <c r="K1320" s="6" t="str">
        <f>IFERROR(__xludf.DUMMYFUNCTION("""COMPUTED_VALUE"""),"patrik.bursza@2hourlearning.com")</f>
        <v>patrik.bursza@2hourlearning.com</v>
      </c>
      <c r="L1320" s="6" t="str">
        <f>IFERROR(__xludf.DUMMYFUNCTION("""COMPUTED_VALUE"""),"Learn and Earn Poland")</f>
        <v>Learn and Earn Poland</v>
      </c>
      <c r="M1320" s="6" t="str">
        <f>IFERROR(__xludf.DUMMYFUNCTION("""COMPUTED_VALUE"""),"Budapest Alpha")</f>
        <v>Budapest Alpha</v>
      </c>
      <c r="N1320" s="6" t="str">
        <f>IFERROR(__xludf.DUMMYFUNCTION("""COMPUTED_VALUE"""),"")</f>
        <v/>
      </c>
      <c r="O1320" s="87" t="str">
        <f>IFERROR(__xludf.DUMMYFUNCTION("""COMPUTED_VALUE"""),"https://drive.google.com/drive/folders/10T2cTQHqEJZqE-st6uFKPoI?usp=share_link")</f>
        <v>https://drive.google.com/drive/folders/10T2cTQHqEJZqE-st6uFKPoI?usp=share_link</v>
      </c>
      <c r="P1320" s="6" t="str">
        <f>IFERROR(__xludf.DUMMYFUNCTION("""COMPUTED_VALUE"""),"Patrik Bursza")</f>
        <v>Patrik Bursza</v>
      </c>
      <c r="Q1320" s="6" t="str">
        <f>IFERROR(__xludf.DUMMYFUNCTION("""COMPUTED_VALUE"""),"MS")</f>
        <v>MS</v>
      </c>
      <c r="R1320" s="6">
        <f>IFERROR(__xludf.DUMMYFUNCTION("""COMPUTED_VALUE"""),0.0)</f>
        <v>0</v>
      </c>
      <c r="S1320" s="6" t="str">
        <f>IFERROR(__xludf.DUMMYFUNCTION("""COMPUTED_VALUE""")," ")</f>
        <v> </v>
      </c>
      <c r="T1320" s="6" t="str">
        <f>IFERROR(__xludf.DUMMYFUNCTION("""COMPUTED_VALUE"""),"")</f>
        <v/>
      </c>
      <c r="U1320" s="6" t="str">
        <f>IFERROR(__xludf.DUMMYFUNCTION("""COMPUTED_VALUE"""),"6")</f>
        <v>6</v>
      </c>
      <c r="V1320" s="6" t="str">
        <f>IFERROR(__xludf.DUMMYFUNCTION("""COMPUTED_VALUE"""),"English")</f>
        <v>English</v>
      </c>
      <c r="W1320" s="6" t="str">
        <f>IFERROR(__xludf.DUMMYFUNCTION("""COMPUTED_VALUE"""),"[]")</f>
        <v>[]</v>
      </c>
      <c r="X1320" s="6" t="str">
        <f>IFERROR(__xludf.DUMMYFUNCTION("""COMPUTED_VALUE"""),"Enrolled")</f>
        <v>Enrolled</v>
      </c>
    </row>
    <row r="1321">
      <c r="A1321" s="6" t="str">
        <f>IFERROR(__xludf.DUMMYFUNCTION("""COMPUTED_VALUE"""),"009-1575")</f>
        <v>009-1575</v>
      </c>
      <c r="B1321" s="6" t="str">
        <f>IFERROR(__xludf.DUMMYFUNCTION("""COMPUTED_VALUE"""),"9")</f>
        <v>9</v>
      </c>
      <c r="C1321" s="6" t="str">
        <f>IFERROR(__xludf.DUMMYFUNCTION("""COMPUTED_VALUE"""),"1575")</f>
        <v>1575</v>
      </c>
      <c r="D1321" s="6" t="str">
        <f>IFERROR(__xludf.DUMMYFUNCTION("""COMPUTED_VALUE"""),"Rebeka")</f>
        <v>Rebeka</v>
      </c>
      <c r="E1321" s="6" t="str">
        <f>IFERROR(__xludf.DUMMYFUNCTION("""COMPUTED_VALUE"""),"")</f>
        <v/>
      </c>
      <c r="F1321" s="6" t="str">
        <f>IFERROR(__xludf.DUMMYFUNCTION("""COMPUTED_VALUE"""),"Kornuta")</f>
        <v>Kornuta</v>
      </c>
      <c r="G1321" s="6" t="str">
        <f>IFERROR(__xludf.DUMMYFUNCTION("""COMPUTED_VALUE"""),"01/01/2010")</f>
        <v>01/01/2010</v>
      </c>
      <c r="H1321" s="6" t="str">
        <f>IFERROR(__xludf.DUMMYFUNCTION("""COMPUTED_VALUE"""),"Self Identify")</f>
        <v>Self Identify</v>
      </c>
      <c r="I1321" s="6" t="str">
        <f>IFERROR(__xludf.DUMMYFUNCTION("""COMPUTED_VALUE"""),"High School")</f>
        <v>High School</v>
      </c>
      <c r="J1321" s="6" t="str">
        <f>IFERROR(__xludf.DUMMYFUNCTION("""COMPUTED_VALUE"""),"9")</f>
        <v>9</v>
      </c>
      <c r="K1321" s="6" t="str">
        <f>IFERROR(__xludf.DUMMYFUNCTION("""COMPUTED_VALUE"""),"rebeka.kornuta@2hourlearning.com")</f>
        <v>rebeka.kornuta@2hourlearning.com</v>
      </c>
      <c r="L1321" s="6" t="str">
        <f>IFERROR(__xludf.DUMMYFUNCTION("""COMPUTED_VALUE"""),"Learn and Earn Poland")</f>
        <v>Learn and Earn Poland</v>
      </c>
      <c r="M1321" s="6" t="str">
        <f>IFERROR(__xludf.DUMMYFUNCTION("""COMPUTED_VALUE"""),"Budapest Alpha")</f>
        <v>Budapest Alpha</v>
      </c>
      <c r="N1321" s="6" t="str">
        <f>IFERROR(__xludf.DUMMYFUNCTION("""COMPUTED_VALUE"""),"")</f>
        <v/>
      </c>
      <c r="O1321" s="87" t="str">
        <f>IFERROR(__xludf.DUMMYFUNCTION("""COMPUTED_VALUE"""),"https://drive.google.com/drive/folders/10T2cTQHqEJZqE-st6uFKPoI?usp=share_link")</f>
        <v>https://drive.google.com/drive/folders/10T2cTQHqEJZqE-st6uFKPoI?usp=share_link</v>
      </c>
      <c r="P1321" s="6" t="str">
        <f>IFERROR(__xludf.DUMMYFUNCTION("""COMPUTED_VALUE"""),"Rebeka Kornuta")</f>
        <v>Rebeka Kornuta</v>
      </c>
      <c r="Q1321" s="6" t="str">
        <f>IFERROR(__xludf.DUMMYFUNCTION("""COMPUTED_VALUE"""),"HS")</f>
        <v>HS</v>
      </c>
      <c r="R1321" s="6">
        <f>IFERROR(__xludf.DUMMYFUNCTION("""COMPUTED_VALUE"""),0.0)</f>
        <v>0</v>
      </c>
      <c r="S1321" s="6" t="str">
        <f>IFERROR(__xludf.DUMMYFUNCTION("""COMPUTED_VALUE""")," ")</f>
        <v> </v>
      </c>
      <c r="T1321" s="6" t="str">
        <f>IFERROR(__xludf.DUMMYFUNCTION("""COMPUTED_VALUE"""),"")</f>
        <v/>
      </c>
      <c r="U1321" s="6" t="str">
        <f>IFERROR(__xludf.DUMMYFUNCTION("""COMPUTED_VALUE"""),"9")</f>
        <v>9</v>
      </c>
      <c r="V1321" s="6" t="str">
        <f>IFERROR(__xludf.DUMMYFUNCTION("""COMPUTED_VALUE"""),"English")</f>
        <v>English</v>
      </c>
      <c r="W1321" s="6" t="str">
        <f>IFERROR(__xludf.DUMMYFUNCTION("""COMPUTED_VALUE"""),"[]")</f>
        <v>[]</v>
      </c>
      <c r="X1321" s="6" t="str">
        <f>IFERROR(__xludf.DUMMYFUNCTION("""COMPUTED_VALUE"""),"Enrolled")</f>
        <v>Enrolled</v>
      </c>
    </row>
    <row r="1322">
      <c r="A1322" s="6" t="str">
        <f>IFERROR(__xludf.DUMMYFUNCTION("""COMPUTED_VALUE"""),"009-1576")</f>
        <v>009-1576</v>
      </c>
      <c r="B1322" s="6" t="str">
        <f>IFERROR(__xludf.DUMMYFUNCTION("""COMPUTED_VALUE"""),"9")</f>
        <v>9</v>
      </c>
      <c r="C1322" s="6" t="str">
        <f>IFERROR(__xludf.DUMMYFUNCTION("""COMPUTED_VALUE"""),"1576")</f>
        <v>1576</v>
      </c>
      <c r="D1322" s="6" t="str">
        <f>IFERROR(__xludf.DUMMYFUNCTION("""COMPUTED_VALUE"""),"Zsofia")</f>
        <v>Zsofia</v>
      </c>
      <c r="E1322" s="6" t="str">
        <f>IFERROR(__xludf.DUMMYFUNCTION("""COMPUTED_VALUE"""),"")</f>
        <v/>
      </c>
      <c r="F1322" s="6" t="str">
        <f>IFERROR(__xludf.DUMMYFUNCTION("""COMPUTED_VALUE"""),"Toth")</f>
        <v>Toth</v>
      </c>
      <c r="G1322" s="6" t="str">
        <f>IFERROR(__xludf.DUMMYFUNCTION("""COMPUTED_VALUE"""),"01/01/2010")</f>
        <v>01/01/2010</v>
      </c>
      <c r="H1322" s="6" t="str">
        <f>IFERROR(__xludf.DUMMYFUNCTION("""COMPUTED_VALUE"""),"Self Identify")</f>
        <v>Self Identify</v>
      </c>
      <c r="I1322" s="6" t="str">
        <f>IFERROR(__xludf.DUMMYFUNCTION("""COMPUTED_VALUE"""),"High School")</f>
        <v>High School</v>
      </c>
      <c r="J1322" s="6" t="str">
        <f>IFERROR(__xludf.DUMMYFUNCTION("""COMPUTED_VALUE"""),"9")</f>
        <v>9</v>
      </c>
      <c r="K1322" s="6" t="str">
        <f>IFERROR(__xludf.DUMMYFUNCTION("""COMPUTED_VALUE"""),"zsofia.toth@2hourlearning.com")</f>
        <v>zsofia.toth@2hourlearning.com</v>
      </c>
      <c r="L1322" s="6" t="str">
        <f>IFERROR(__xludf.DUMMYFUNCTION("""COMPUTED_VALUE"""),"Learn and Earn Poland")</f>
        <v>Learn and Earn Poland</v>
      </c>
      <c r="M1322" s="6" t="str">
        <f>IFERROR(__xludf.DUMMYFUNCTION("""COMPUTED_VALUE"""),"Budapest Alpha")</f>
        <v>Budapest Alpha</v>
      </c>
      <c r="N1322" s="6" t="str">
        <f>IFERROR(__xludf.DUMMYFUNCTION("""COMPUTED_VALUE"""),"")</f>
        <v/>
      </c>
      <c r="O1322" s="87" t="str">
        <f>IFERROR(__xludf.DUMMYFUNCTION("""COMPUTED_VALUE"""),"https://drive.google.com/drive/folders/10T2cTQHqEJZqE-st6uFKPoI?usp=share_link")</f>
        <v>https://drive.google.com/drive/folders/10T2cTQHqEJZqE-st6uFKPoI?usp=share_link</v>
      </c>
      <c r="P1322" s="6" t="str">
        <f>IFERROR(__xludf.DUMMYFUNCTION("""COMPUTED_VALUE"""),"Zsofia Toth")</f>
        <v>Zsofia Toth</v>
      </c>
      <c r="Q1322" s="6" t="str">
        <f>IFERROR(__xludf.DUMMYFUNCTION("""COMPUTED_VALUE"""),"HS")</f>
        <v>HS</v>
      </c>
      <c r="R1322" s="6">
        <f>IFERROR(__xludf.DUMMYFUNCTION("""COMPUTED_VALUE"""),0.0)</f>
        <v>0</v>
      </c>
      <c r="S1322" s="6" t="str">
        <f>IFERROR(__xludf.DUMMYFUNCTION("""COMPUTED_VALUE""")," ")</f>
        <v> </v>
      </c>
      <c r="T1322" s="6" t="str">
        <f>IFERROR(__xludf.DUMMYFUNCTION("""COMPUTED_VALUE"""),"")</f>
        <v/>
      </c>
      <c r="U1322" s="6" t="str">
        <f>IFERROR(__xludf.DUMMYFUNCTION("""COMPUTED_VALUE"""),"9")</f>
        <v>9</v>
      </c>
      <c r="V1322" s="6" t="str">
        <f>IFERROR(__xludf.DUMMYFUNCTION("""COMPUTED_VALUE"""),"English")</f>
        <v>English</v>
      </c>
      <c r="W1322" s="6" t="str">
        <f>IFERROR(__xludf.DUMMYFUNCTION("""COMPUTED_VALUE"""),"[]")</f>
        <v>[]</v>
      </c>
      <c r="X1322" s="6" t="str">
        <f>IFERROR(__xludf.DUMMYFUNCTION("""COMPUTED_VALUE"""),"Enrolled")</f>
        <v>Enrolled</v>
      </c>
    </row>
    <row r="1323">
      <c r="A1323" s="6" t="str">
        <f>IFERROR(__xludf.DUMMYFUNCTION("""COMPUTED_VALUE"""),"009-1577")</f>
        <v>009-1577</v>
      </c>
      <c r="B1323" s="6" t="str">
        <f>IFERROR(__xludf.DUMMYFUNCTION("""COMPUTED_VALUE"""),"9")</f>
        <v>9</v>
      </c>
      <c r="C1323" s="6" t="str">
        <f>IFERROR(__xludf.DUMMYFUNCTION("""COMPUTED_VALUE"""),"1577")</f>
        <v>1577</v>
      </c>
      <c r="D1323" s="6" t="str">
        <f>IFERROR(__xludf.DUMMYFUNCTION("""COMPUTED_VALUE"""),"Sniehur")</f>
        <v>Sniehur</v>
      </c>
      <c r="E1323" s="6" t="str">
        <f>IFERROR(__xludf.DUMMYFUNCTION("""COMPUTED_VALUE"""),"")</f>
        <v/>
      </c>
      <c r="F1323" s="6" t="str">
        <f>IFERROR(__xludf.DUMMYFUNCTION("""COMPUTED_VALUE"""),"Andrii")</f>
        <v>Andrii</v>
      </c>
      <c r="G1323" s="6" t="str">
        <f>IFERROR(__xludf.DUMMYFUNCTION("""COMPUTED_VALUE"""),"01/01/2008")</f>
        <v>01/01/2008</v>
      </c>
      <c r="H1323" s="6" t="str">
        <f>IFERROR(__xludf.DUMMYFUNCTION("""COMPUTED_VALUE"""),"Self Identify")</f>
        <v>Self Identify</v>
      </c>
      <c r="I1323" s="6" t="str">
        <f>IFERROR(__xludf.DUMMYFUNCTION("""COMPUTED_VALUE"""),"High School")</f>
        <v>High School</v>
      </c>
      <c r="J1323" s="6" t="str">
        <f>IFERROR(__xludf.DUMMYFUNCTION("""COMPUTED_VALUE"""),"11")</f>
        <v>11</v>
      </c>
      <c r="K1323" s="6" t="str">
        <f>IFERROR(__xludf.DUMMYFUNCTION("""COMPUTED_VALUE"""),"sniehur.andrii@2hourlearning.com")</f>
        <v>sniehur.andrii@2hourlearning.com</v>
      </c>
      <c r="L1323" s="6" t="str">
        <f>IFERROR(__xludf.DUMMYFUNCTION("""COMPUTED_VALUE"""),"Learn and Earn Poland")</f>
        <v>Learn and Earn Poland</v>
      </c>
      <c r="M1323" s="6" t="str">
        <f>IFERROR(__xludf.DUMMYFUNCTION("""COMPUTED_VALUE"""),"Budapest Alpha")</f>
        <v>Budapest Alpha</v>
      </c>
      <c r="N1323" s="6" t="str">
        <f>IFERROR(__xludf.DUMMYFUNCTION("""COMPUTED_VALUE"""),"")</f>
        <v/>
      </c>
      <c r="O1323" s="87" t="str">
        <f>IFERROR(__xludf.DUMMYFUNCTION("""COMPUTED_VALUE"""),"https://drive.google.com/drive/folders/10T2cTQHqEJZqE-st6uFKPoI?usp=share_link")</f>
        <v>https://drive.google.com/drive/folders/10T2cTQHqEJZqE-st6uFKPoI?usp=share_link</v>
      </c>
      <c r="P1323" s="6" t="str">
        <f>IFERROR(__xludf.DUMMYFUNCTION("""COMPUTED_VALUE"""),"Sniehur Andrii")</f>
        <v>Sniehur Andrii</v>
      </c>
      <c r="Q1323" s="6" t="str">
        <f>IFERROR(__xludf.DUMMYFUNCTION("""COMPUTED_VALUE"""),"HS")</f>
        <v>HS</v>
      </c>
      <c r="R1323" s="6">
        <f>IFERROR(__xludf.DUMMYFUNCTION("""COMPUTED_VALUE"""),0.0)</f>
        <v>0</v>
      </c>
      <c r="S1323" s="6" t="str">
        <f>IFERROR(__xludf.DUMMYFUNCTION("""COMPUTED_VALUE""")," ")</f>
        <v> </v>
      </c>
      <c r="T1323" s="6" t="str">
        <f>IFERROR(__xludf.DUMMYFUNCTION("""COMPUTED_VALUE"""),"")</f>
        <v/>
      </c>
      <c r="U1323" s="6" t="str">
        <f>IFERROR(__xludf.DUMMYFUNCTION("""COMPUTED_VALUE"""),"11")</f>
        <v>11</v>
      </c>
      <c r="V1323" s="6" t="str">
        <f>IFERROR(__xludf.DUMMYFUNCTION("""COMPUTED_VALUE"""),"English")</f>
        <v>English</v>
      </c>
      <c r="W1323" s="6" t="str">
        <f>IFERROR(__xludf.DUMMYFUNCTION("""COMPUTED_VALUE"""),"[]")</f>
        <v>[]</v>
      </c>
      <c r="X1323" s="6" t="str">
        <f>IFERROR(__xludf.DUMMYFUNCTION("""COMPUTED_VALUE"""),"Enrolled")</f>
        <v>Enrolled</v>
      </c>
    </row>
    <row r="1324">
      <c r="A1324" s="6" t="str">
        <f>IFERROR(__xludf.DUMMYFUNCTION("""COMPUTED_VALUE"""),"009-1578")</f>
        <v>009-1578</v>
      </c>
      <c r="B1324" s="6" t="str">
        <f>IFERROR(__xludf.DUMMYFUNCTION("""COMPUTED_VALUE"""),"9")</f>
        <v>9</v>
      </c>
      <c r="C1324" s="6" t="str">
        <f>IFERROR(__xludf.DUMMYFUNCTION("""COMPUTED_VALUE"""),"1578")</f>
        <v>1578</v>
      </c>
      <c r="D1324" s="6" t="str">
        <f>IFERROR(__xludf.DUMMYFUNCTION("""COMPUTED_VALUE"""),"Marta")</f>
        <v>Marta</v>
      </c>
      <c r="E1324" s="6" t="str">
        <f>IFERROR(__xludf.DUMMYFUNCTION("""COMPUTED_VALUE"""),"")</f>
        <v/>
      </c>
      <c r="F1324" s="6" t="str">
        <f>IFERROR(__xludf.DUMMYFUNCTION("""COMPUTED_VALUE"""),"Andriienko")</f>
        <v>Andriienko</v>
      </c>
      <c r="G1324" s="6" t="str">
        <f>IFERROR(__xludf.DUMMYFUNCTION("""COMPUTED_VALUE"""),"01/01/2014")</f>
        <v>01/01/2014</v>
      </c>
      <c r="H1324" s="6" t="str">
        <f>IFERROR(__xludf.DUMMYFUNCTION("""COMPUTED_VALUE"""),"Self Identify")</f>
        <v>Self Identify</v>
      </c>
      <c r="I1324" s="6" t="str">
        <f>IFERROR(__xludf.DUMMYFUNCTION("""COMPUTED_VALUE"""),"Level 2")</f>
        <v>Level 2</v>
      </c>
      <c r="J1324" s="6" t="str">
        <f>IFERROR(__xludf.DUMMYFUNCTION("""COMPUTED_VALUE"""),"5")</f>
        <v>5</v>
      </c>
      <c r="K1324" s="6" t="str">
        <f>IFERROR(__xludf.DUMMYFUNCTION("""COMPUTED_VALUE"""),"marta.andriienko@2hourlearning.com")</f>
        <v>marta.andriienko@2hourlearning.com</v>
      </c>
      <c r="L1324" s="6" t="str">
        <f>IFERROR(__xludf.DUMMYFUNCTION("""COMPUTED_VALUE"""),"Learn and Earn Poland")</f>
        <v>Learn and Earn Poland</v>
      </c>
      <c r="M1324" s="6" t="str">
        <f>IFERROR(__xludf.DUMMYFUNCTION("""COMPUTED_VALUE"""),"Budapest Alpha")</f>
        <v>Budapest Alpha</v>
      </c>
      <c r="N1324" s="6" t="str">
        <f>IFERROR(__xludf.DUMMYFUNCTION("""COMPUTED_VALUE"""),"")</f>
        <v/>
      </c>
      <c r="O1324" s="87" t="str">
        <f>IFERROR(__xludf.DUMMYFUNCTION("""COMPUTED_VALUE"""),"https://drive.google.com/drive/folders/10T2cTQHqEJZqE-st6uFKPoI?usp=share_link")</f>
        <v>https://drive.google.com/drive/folders/10T2cTQHqEJZqE-st6uFKPoI?usp=share_link</v>
      </c>
      <c r="P1324" s="6" t="str">
        <f>IFERROR(__xludf.DUMMYFUNCTION("""COMPUTED_VALUE"""),"Marta Andriienko")</f>
        <v>Marta Andriienko</v>
      </c>
      <c r="Q1324" s="6" t="str">
        <f>IFERROR(__xludf.DUMMYFUNCTION("""COMPUTED_VALUE"""),"L2")</f>
        <v>L2</v>
      </c>
      <c r="R1324" s="6">
        <f>IFERROR(__xludf.DUMMYFUNCTION("""COMPUTED_VALUE"""),2.0)</f>
        <v>2</v>
      </c>
      <c r="S1324" s="6" t="str">
        <f>IFERROR(__xludf.DUMMYFUNCTION("""COMPUTED_VALUE""")," ")</f>
        <v> </v>
      </c>
      <c r="T1324" s="6" t="str">
        <f>IFERROR(__xludf.DUMMYFUNCTION("""COMPUTED_VALUE"""),"")</f>
        <v/>
      </c>
      <c r="U1324" s="6" t="str">
        <f>IFERROR(__xludf.DUMMYFUNCTION("""COMPUTED_VALUE"""),"5")</f>
        <v>5</v>
      </c>
      <c r="V1324" s="6" t="str">
        <f>IFERROR(__xludf.DUMMYFUNCTION("""COMPUTED_VALUE"""),"English")</f>
        <v>English</v>
      </c>
      <c r="W1324" s="6" t="str">
        <f>IFERROR(__xludf.DUMMYFUNCTION("""COMPUTED_VALUE"""),"[]")</f>
        <v>[]</v>
      </c>
      <c r="X1324" s="6" t="str">
        <f>IFERROR(__xludf.DUMMYFUNCTION("""COMPUTED_VALUE"""),"Enrolled")</f>
        <v>Enrolled</v>
      </c>
    </row>
    <row r="1325">
      <c r="A1325" s="6" t="str">
        <f>IFERROR(__xludf.DUMMYFUNCTION("""COMPUTED_VALUE"""),"009-1579")</f>
        <v>009-1579</v>
      </c>
      <c r="B1325" s="6" t="str">
        <f>IFERROR(__xludf.DUMMYFUNCTION("""COMPUTED_VALUE"""),"9")</f>
        <v>9</v>
      </c>
      <c r="C1325" s="6" t="str">
        <f>IFERROR(__xludf.DUMMYFUNCTION("""COMPUTED_VALUE"""),"1579")</f>
        <v>1579</v>
      </c>
      <c r="D1325" s="6" t="str">
        <f>IFERROR(__xludf.DUMMYFUNCTION("""COMPUTED_VALUE"""),"Veronika")</f>
        <v>Veronika</v>
      </c>
      <c r="E1325" s="6" t="str">
        <f>IFERROR(__xludf.DUMMYFUNCTION("""COMPUTED_VALUE"""),"")</f>
        <v/>
      </c>
      <c r="F1325" s="6" t="str">
        <f>IFERROR(__xludf.DUMMYFUNCTION("""COMPUTED_VALUE"""),"Babkina")</f>
        <v>Babkina</v>
      </c>
      <c r="G1325" s="6" t="str">
        <f>IFERROR(__xludf.DUMMYFUNCTION("""COMPUTED_VALUE"""),"01/01/2010")</f>
        <v>01/01/2010</v>
      </c>
      <c r="H1325" s="6" t="str">
        <f>IFERROR(__xludf.DUMMYFUNCTION("""COMPUTED_VALUE"""),"Self Identify")</f>
        <v>Self Identify</v>
      </c>
      <c r="I1325" s="6" t="str">
        <f>IFERROR(__xludf.DUMMYFUNCTION("""COMPUTED_VALUE"""),"High School")</f>
        <v>High School</v>
      </c>
      <c r="J1325" s="6" t="str">
        <f>IFERROR(__xludf.DUMMYFUNCTION("""COMPUTED_VALUE"""),"9")</f>
        <v>9</v>
      </c>
      <c r="K1325" s="6" t="str">
        <f>IFERROR(__xludf.DUMMYFUNCTION("""COMPUTED_VALUE"""),"veronika.babkina@2hourlearning.com")</f>
        <v>veronika.babkina@2hourlearning.com</v>
      </c>
      <c r="L1325" s="6" t="str">
        <f>IFERROR(__xludf.DUMMYFUNCTION("""COMPUTED_VALUE"""),"Learn and Earn Poland")</f>
        <v>Learn and Earn Poland</v>
      </c>
      <c r="M1325" s="6" t="str">
        <f>IFERROR(__xludf.DUMMYFUNCTION("""COMPUTED_VALUE"""),"Budapest Alpha")</f>
        <v>Budapest Alpha</v>
      </c>
      <c r="N1325" s="6" t="str">
        <f>IFERROR(__xludf.DUMMYFUNCTION("""COMPUTED_VALUE"""),"")</f>
        <v/>
      </c>
      <c r="O1325" s="87" t="str">
        <f>IFERROR(__xludf.DUMMYFUNCTION("""COMPUTED_VALUE"""),"https://drive.google.com/drive/folders/10T2cTQHqEJZqE-st6uFKPoI?usp=share_link")</f>
        <v>https://drive.google.com/drive/folders/10T2cTQHqEJZqE-st6uFKPoI?usp=share_link</v>
      </c>
      <c r="P1325" s="6" t="str">
        <f>IFERROR(__xludf.DUMMYFUNCTION("""COMPUTED_VALUE"""),"Veronika Babkina")</f>
        <v>Veronika Babkina</v>
      </c>
      <c r="Q1325" s="6" t="str">
        <f>IFERROR(__xludf.DUMMYFUNCTION("""COMPUTED_VALUE"""),"HS")</f>
        <v>HS</v>
      </c>
      <c r="R1325" s="6">
        <f>IFERROR(__xludf.DUMMYFUNCTION("""COMPUTED_VALUE"""),0.0)</f>
        <v>0</v>
      </c>
      <c r="S1325" s="6" t="str">
        <f>IFERROR(__xludf.DUMMYFUNCTION("""COMPUTED_VALUE""")," ")</f>
        <v> </v>
      </c>
      <c r="T1325" s="6" t="str">
        <f>IFERROR(__xludf.DUMMYFUNCTION("""COMPUTED_VALUE"""),"")</f>
        <v/>
      </c>
      <c r="U1325" s="6" t="str">
        <f>IFERROR(__xludf.DUMMYFUNCTION("""COMPUTED_VALUE"""),"9")</f>
        <v>9</v>
      </c>
      <c r="V1325" s="6" t="str">
        <f>IFERROR(__xludf.DUMMYFUNCTION("""COMPUTED_VALUE"""),"English")</f>
        <v>English</v>
      </c>
      <c r="W1325" s="6" t="str">
        <f>IFERROR(__xludf.DUMMYFUNCTION("""COMPUTED_VALUE"""),"[]")</f>
        <v>[]</v>
      </c>
      <c r="X1325" s="6" t="str">
        <f>IFERROR(__xludf.DUMMYFUNCTION("""COMPUTED_VALUE"""),"Enrolled")</f>
        <v>Enrolled</v>
      </c>
    </row>
    <row r="1326">
      <c r="A1326" s="6" t="str">
        <f>IFERROR(__xludf.DUMMYFUNCTION("""COMPUTED_VALUE"""),"009-1580")</f>
        <v>009-1580</v>
      </c>
      <c r="B1326" s="6" t="str">
        <f>IFERROR(__xludf.DUMMYFUNCTION("""COMPUTED_VALUE"""),"9")</f>
        <v>9</v>
      </c>
      <c r="C1326" s="6" t="str">
        <f>IFERROR(__xludf.DUMMYFUNCTION("""COMPUTED_VALUE"""),"1580")</f>
        <v>1580</v>
      </c>
      <c r="D1326" s="6" t="str">
        <f>IFERROR(__xludf.DUMMYFUNCTION("""COMPUTED_VALUE"""),"Yaroslava")</f>
        <v>Yaroslava</v>
      </c>
      <c r="E1326" s="6" t="str">
        <f>IFERROR(__xludf.DUMMYFUNCTION("""COMPUTED_VALUE"""),"")</f>
        <v/>
      </c>
      <c r="F1326" s="6" t="str">
        <f>IFERROR(__xludf.DUMMYFUNCTION("""COMPUTED_VALUE"""),"Plotnikova")</f>
        <v>Plotnikova</v>
      </c>
      <c r="G1326" s="6" t="str">
        <f>IFERROR(__xludf.DUMMYFUNCTION("""COMPUTED_VALUE"""),"01/01/2011")</f>
        <v>01/01/2011</v>
      </c>
      <c r="H1326" s="6" t="str">
        <f>IFERROR(__xludf.DUMMYFUNCTION("""COMPUTED_VALUE"""),"Self Identify")</f>
        <v>Self Identify</v>
      </c>
      <c r="I1326" s="6" t="str">
        <f>IFERROR(__xludf.DUMMYFUNCTION("""COMPUTED_VALUE"""),"Middle School")</f>
        <v>Middle School</v>
      </c>
      <c r="J1326" s="6" t="str">
        <f>IFERROR(__xludf.DUMMYFUNCTION("""COMPUTED_VALUE"""),"8")</f>
        <v>8</v>
      </c>
      <c r="K1326" s="6" t="str">
        <f>IFERROR(__xludf.DUMMYFUNCTION("""COMPUTED_VALUE"""),"yaroslava.plotnikova@2hourlearning.com")</f>
        <v>yaroslava.plotnikova@2hourlearning.com</v>
      </c>
      <c r="L1326" s="6" t="str">
        <f>IFERROR(__xludf.DUMMYFUNCTION("""COMPUTED_VALUE"""),"Learn and Earn Poland")</f>
        <v>Learn and Earn Poland</v>
      </c>
      <c r="M1326" s="6" t="str">
        <f>IFERROR(__xludf.DUMMYFUNCTION("""COMPUTED_VALUE"""),"Budapest Alpha")</f>
        <v>Budapest Alpha</v>
      </c>
      <c r="N1326" s="6" t="str">
        <f>IFERROR(__xludf.DUMMYFUNCTION("""COMPUTED_VALUE"""),"")</f>
        <v/>
      </c>
      <c r="O1326" s="87" t="str">
        <f>IFERROR(__xludf.DUMMYFUNCTION("""COMPUTED_VALUE"""),"https://drive.google.com/drive/folders/10T2cTQHqEJZqE-st6uFKPoI?usp=share_link")</f>
        <v>https://drive.google.com/drive/folders/10T2cTQHqEJZqE-st6uFKPoI?usp=share_link</v>
      </c>
      <c r="P1326" s="6" t="str">
        <f>IFERROR(__xludf.DUMMYFUNCTION("""COMPUTED_VALUE"""),"Yaroslava Plotnikova")</f>
        <v>Yaroslava Plotnikova</v>
      </c>
      <c r="Q1326" s="6" t="str">
        <f>IFERROR(__xludf.DUMMYFUNCTION("""COMPUTED_VALUE"""),"MS")</f>
        <v>MS</v>
      </c>
      <c r="R1326" s="6">
        <f>IFERROR(__xludf.DUMMYFUNCTION("""COMPUTED_VALUE"""),0.0)</f>
        <v>0</v>
      </c>
      <c r="S1326" s="6" t="str">
        <f>IFERROR(__xludf.DUMMYFUNCTION("""COMPUTED_VALUE""")," ")</f>
        <v> </v>
      </c>
      <c r="T1326" s="6" t="str">
        <f>IFERROR(__xludf.DUMMYFUNCTION("""COMPUTED_VALUE"""),"")</f>
        <v/>
      </c>
      <c r="U1326" s="6" t="str">
        <f>IFERROR(__xludf.DUMMYFUNCTION("""COMPUTED_VALUE"""),"8")</f>
        <v>8</v>
      </c>
      <c r="V1326" s="6" t="str">
        <f>IFERROR(__xludf.DUMMYFUNCTION("""COMPUTED_VALUE"""),"English")</f>
        <v>English</v>
      </c>
      <c r="W1326" s="6" t="str">
        <f>IFERROR(__xludf.DUMMYFUNCTION("""COMPUTED_VALUE"""),"[]")</f>
        <v>[]</v>
      </c>
      <c r="X1326" s="6" t="str">
        <f>IFERROR(__xludf.DUMMYFUNCTION("""COMPUTED_VALUE"""),"Enrolled")</f>
        <v>Enrolled</v>
      </c>
    </row>
    <row r="1327">
      <c r="A1327" s="6" t="str">
        <f>IFERROR(__xludf.DUMMYFUNCTION("""COMPUTED_VALUE"""),"009-1581")</f>
        <v>009-1581</v>
      </c>
      <c r="B1327" s="6" t="str">
        <f>IFERROR(__xludf.DUMMYFUNCTION("""COMPUTED_VALUE"""),"9")</f>
        <v>9</v>
      </c>
      <c r="C1327" s="6" t="str">
        <f>IFERROR(__xludf.DUMMYFUNCTION("""COMPUTED_VALUE"""),"1581")</f>
        <v>1581</v>
      </c>
      <c r="D1327" s="6" t="str">
        <f>IFERROR(__xludf.DUMMYFUNCTION("""COMPUTED_VALUE"""),"Iryna")</f>
        <v>Iryna</v>
      </c>
      <c r="E1327" s="6" t="str">
        <f>IFERROR(__xludf.DUMMYFUNCTION("""COMPUTED_VALUE"""),"")</f>
        <v/>
      </c>
      <c r="F1327" s="6" t="str">
        <f>IFERROR(__xludf.DUMMYFUNCTION("""COMPUTED_VALUE"""),"Maiboroda")</f>
        <v>Maiboroda</v>
      </c>
      <c r="G1327" s="6" t="str">
        <f>IFERROR(__xludf.DUMMYFUNCTION("""COMPUTED_VALUE"""),"01/01/2007")</f>
        <v>01/01/2007</v>
      </c>
      <c r="H1327" s="6" t="str">
        <f>IFERROR(__xludf.DUMMYFUNCTION("""COMPUTED_VALUE"""),"Self Identify")</f>
        <v>Self Identify</v>
      </c>
      <c r="I1327" s="6" t="str">
        <f>IFERROR(__xludf.DUMMYFUNCTION("""COMPUTED_VALUE"""),"High School")</f>
        <v>High School</v>
      </c>
      <c r="J1327" s="6" t="str">
        <f>IFERROR(__xludf.DUMMYFUNCTION("""COMPUTED_VALUE"""),"12")</f>
        <v>12</v>
      </c>
      <c r="K1327" s="6" t="str">
        <f>IFERROR(__xludf.DUMMYFUNCTION("""COMPUTED_VALUE"""),"iryna.maiboroda@2hourlearning.com")</f>
        <v>iryna.maiboroda@2hourlearning.com</v>
      </c>
      <c r="L1327" s="6" t="str">
        <f>IFERROR(__xludf.DUMMYFUNCTION("""COMPUTED_VALUE"""),"Learn and Earn Poland")</f>
        <v>Learn and Earn Poland</v>
      </c>
      <c r="M1327" s="6" t="str">
        <f>IFERROR(__xludf.DUMMYFUNCTION("""COMPUTED_VALUE"""),"Budapest ex-GTS")</f>
        <v>Budapest ex-GTS</v>
      </c>
      <c r="N1327" s="6" t="str">
        <f>IFERROR(__xludf.DUMMYFUNCTION("""COMPUTED_VALUE"""),"")</f>
        <v/>
      </c>
      <c r="O1327" s="87" t="str">
        <f>IFERROR(__xludf.DUMMYFUNCTION("""COMPUTED_VALUE"""),"https://drive.google.com/drive/folders/10T2cTQHqEJZqE-st6uFKPoI?usp=share_link")</f>
        <v>https://drive.google.com/drive/folders/10T2cTQHqEJZqE-st6uFKPoI?usp=share_link</v>
      </c>
      <c r="P1327" s="6" t="str">
        <f>IFERROR(__xludf.DUMMYFUNCTION("""COMPUTED_VALUE"""),"Iryna Maiboroda")</f>
        <v>Iryna Maiboroda</v>
      </c>
      <c r="Q1327" s="6" t="str">
        <f>IFERROR(__xludf.DUMMYFUNCTION("""COMPUTED_VALUE"""),"HS")</f>
        <v>HS</v>
      </c>
      <c r="R1327" s="6">
        <f>IFERROR(__xludf.DUMMYFUNCTION("""COMPUTED_VALUE"""),0.0)</f>
        <v>0</v>
      </c>
      <c r="S1327" s="6" t="str">
        <f>IFERROR(__xludf.DUMMYFUNCTION("""COMPUTED_VALUE""")," ")</f>
        <v> </v>
      </c>
      <c r="T1327" s="6" t="str">
        <f>IFERROR(__xludf.DUMMYFUNCTION("""COMPUTED_VALUE"""),"")</f>
        <v/>
      </c>
      <c r="U1327" s="6" t="str">
        <f>IFERROR(__xludf.DUMMYFUNCTION("""COMPUTED_VALUE"""),"12")</f>
        <v>12</v>
      </c>
      <c r="V1327" s="6" t="str">
        <f>IFERROR(__xludf.DUMMYFUNCTION("""COMPUTED_VALUE"""),"English")</f>
        <v>English</v>
      </c>
      <c r="W1327" s="6" t="str">
        <f>IFERROR(__xludf.DUMMYFUNCTION("""COMPUTED_VALUE"""),"[]")</f>
        <v>[]</v>
      </c>
      <c r="X1327" s="6" t="str">
        <f>IFERROR(__xludf.DUMMYFUNCTION("""COMPUTED_VALUE"""),"Enrolled")</f>
        <v>Enrolled</v>
      </c>
    </row>
    <row r="1328">
      <c r="A1328" s="6" t="str">
        <f>IFERROR(__xludf.DUMMYFUNCTION("""COMPUTED_VALUE"""),"009-1582")</f>
        <v>009-1582</v>
      </c>
      <c r="B1328" s="6" t="str">
        <f>IFERROR(__xludf.DUMMYFUNCTION("""COMPUTED_VALUE"""),"9")</f>
        <v>9</v>
      </c>
      <c r="C1328" s="6" t="str">
        <f>IFERROR(__xludf.DUMMYFUNCTION("""COMPUTED_VALUE"""),"1582")</f>
        <v>1582</v>
      </c>
      <c r="D1328" s="6" t="str">
        <f>IFERROR(__xludf.DUMMYFUNCTION("""COMPUTED_VALUE"""),"Marina")</f>
        <v>Marina</v>
      </c>
      <c r="E1328" s="6" t="str">
        <f>IFERROR(__xludf.DUMMYFUNCTION("""COMPUTED_VALUE"""),"")</f>
        <v/>
      </c>
      <c r="F1328" s="6" t="str">
        <f>IFERROR(__xludf.DUMMYFUNCTION("""COMPUTED_VALUE"""),"Maiboroda")</f>
        <v>Maiboroda</v>
      </c>
      <c r="G1328" s="6" t="str">
        <f>IFERROR(__xludf.DUMMYFUNCTION("""COMPUTED_VALUE"""),"01/01/2013")</f>
        <v>01/01/2013</v>
      </c>
      <c r="H1328" s="6" t="str">
        <f>IFERROR(__xludf.DUMMYFUNCTION("""COMPUTED_VALUE"""),"Self Identify")</f>
        <v>Self Identify</v>
      </c>
      <c r="I1328" s="6" t="str">
        <f>IFERROR(__xludf.DUMMYFUNCTION("""COMPUTED_VALUE"""),"Middle School")</f>
        <v>Middle School</v>
      </c>
      <c r="J1328" s="6" t="str">
        <f>IFERROR(__xludf.DUMMYFUNCTION("""COMPUTED_VALUE"""),"6")</f>
        <v>6</v>
      </c>
      <c r="K1328" s="6" t="str">
        <f>IFERROR(__xludf.DUMMYFUNCTION("""COMPUTED_VALUE"""),"marina.maiboroda@2hourlearning.com")</f>
        <v>marina.maiboroda@2hourlearning.com</v>
      </c>
      <c r="L1328" s="6" t="str">
        <f>IFERROR(__xludf.DUMMYFUNCTION("""COMPUTED_VALUE"""),"Learn and Earn Poland")</f>
        <v>Learn and Earn Poland</v>
      </c>
      <c r="M1328" s="6" t="str">
        <f>IFERROR(__xludf.DUMMYFUNCTION("""COMPUTED_VALUE"""),"Budapest ex-GTS")</f>
        <v>Budapest ex-GTS</v>
      </c>
      <c r="N1328" s="6" t="str">
        <f>IFERROR(__xludf.DUMMYFUNCTION("""COMPUTED_VALUE"""),"")</f>
        <v/>
      </c>
      <c r="O1328" s="87" t="str">
        <f>IFERROR(__xludf.DUMMYFUNCTION("""COMPUTED_VALUE"""),"https://drive.google.com/drive/folders/10T2cTQHqEJZqE-st6uFKPoI?usp=share_link")</f>
        <v>https://drive.google.com/drive/folders/10T2cTQHqEJZqE-st6uFKPoI?usp=share_link</v>
      </c>
      <c r="P1328" s="6" t="str">
        <f>IFERROR(__xludf.DUMMYFUNCTION("""COMPUTED_VALUE"""),"Marina Maiboroda")</f>
        <v>Marina Maiboroda</v>
      </c>
      <c r="Q1328" s="6" t="str">
        <f>IFERROR(__xludf.DUMMYFUNCTION("""COMPUTED_VALUE"""),"MS")</f>
        <v>MS</v>
      </c>
      <c r="R1328" s="6">
        <f>IFERROR(__xludf.DUMMYFUNCTION("""COMPUTED_VALUE"""),0.0)</f>
        <v>0</v>
      </c>
      <c r="S1328" s="6" t="str">
        <f>IFERROR(__xludf.DUMMYFUNCTION("""COMPUTED_VALUE""")," ")</f>
        <v> </v>
      </c>
      <c r="T1328" s="6" t="str">
        <f>IFERROR(__xludf.DUMMYFUNCTION("""COMPUTED_VALUE"""),"")</f>
        <v/>
      </c>
      <c r="U1328" s="6" t="str">
        <f>IFERROR(__xludf.DUMMYFUNCTION("""COMPUTED_VALUE"""),"6")</f>
        <v>6</v>
      </c>
      <c r="V1328" s="6" t="str">
        <f>IFERROR(__xludf.DUMMYFUNCTION("""COMPUTED_VALUE"""),"English")</f>
        <v>English</v>
      </c>
      <c r="W1328" s="6" t="str">
        <f>IFERROR(__xludf.DUMMYFUNCTION("""COMPUTED_VALUE"""),"[]")</f>
        <v>[]</v>
      </c>
      <c r="X1328" s="6" t="str">
        <f>IFERROR(__xludf.DUMMYFUNCTION("""COMPUTED_VALUE"""),"Enrolled")</f>
        <v>Enrolled</v>
      </c>
    </row>
    <row r="1329">
      <c r="A1329" s="6" t="str">
        <f>IFERROR(__xludf.DUMMYFUNCTION("""COMPUTED_VALUE"""),"009-1583")</f>
        <v>009-1583</v>
      </c>
      <c r="B1329" s="6" t="str">
        <f>IFERROR(__xludf.DUMMYFUNCTION("""COMPUTED_VALUE"""),"9")</f>
        <v>9</v>
      </c>
      <c r="C1329" s="6" t="str">
        <f>IFERROR(__xludf.DUMMYFUNCTION("""COMPUTED_VALUE"""),"1583")</f>
        <v>1583</v>
      </c>
      <c r="D1329" s="6" t="str">
        <f>IFERROR(__xludf.DUMMYFUNCTION("""COMPUTED_VALUE"""),"Veronika")</f>
        <v>Veronika</v>
      </c>
      <c r="E1329" s="6" t="str">
        <f>IFERROR(__xludf.DUMMYFUNCTION("""COMPUTED_VALUE"""),"")</f>
        <v/>
      </c>
      <c r="F1329" s="6" t="str">
        <f>IFERROR(__xludf.DUMMYFUNCTION("""COMPUTED_VALUE"""),"Popovich")</f>
        <v>Popovich</v>
      </c>
      <c r="G1329" s="6" t="str">
        <f>IFERROR(__xludf.DUMMYFUNCTION("""COMPUTED_VALUE"""),"01/01/2016")</f>
        <v>01/01/2016</v>
      </c>
      <c r="H1329" s="6" t="str">
        <f>IFERROR(__xludf.DUMMYFUNCTION("""COMPUTED_VALUE"""),"Self Identify")</f>
        <v>Self Identify</v>
      </c>
      <c r="I1329" s="6" t="str">
        <f>IFERROR(__xludf.DUMMYFUNCTION("""COMPUTED_VALUE"""),"Level 1")</f>
        <v>Level 1</v>
      </c>
      <c r="J1329" s="6" t="str">
        <f>IFERROR(__xludf.DUMMYFUNCTION("""COMPUTED_VALUE"""),"3")</f>
        <v>3</v>
      </c>
      <c r="K1329" s="6" t="str">
        <f>IFERROR(__xludf.DUMMYFUNCTION("""COMPUTED_VALUE"""),"veronika.popovich@2hourlearning.com")</f>
        <v>veronika.popovich@2hourlearning.com</v>
      </c>
      <c r="L1329" s="6" t="str">
        <f>IFERROR(__xludf.DUMMYFUNCTION("""COMPUTED_VALUE"""),"Learn and Earn Poland")</f>
        <v>Learn and Earn Poland</v>
      </c>
      <c r="M1329" s="6" t="str">
        <f>IFERROR(__xludf.DUMMYFUNCTION("""COMPUTED_VALUE"""),"Budapest Alpha")</f>
        <v>Budapest Alpha</v>
      </c>
      <c r="N1329" s="6" t="str">
        <f>IFERROR(__xludf.DUMMYFUNCTION("""COMPUTED_VALUE"""),"")</f>
        <v/>
      </c>
      <c r="O1329" s="87" t="str">
        <f>IFERROR(__xludf.DUMMYFUNCTION("""COMPUTED_VALUE"""),"https://drive.google.com/drive/folders/10T2cTQHqEJZqE-st6uFKPoI?usp=share_link")</f>
        <v>https://drive.google.com/drive/folders/10T2cTQHqEJZqE-st6uFKPoI?usp=share_link</v>
      </c>
      <c r="P1329" s="6" t="str">
        <f>IFERROR(__xludf.DUMMYFUNCTION("""COMPUTED_VALUE"""),"Veronika Popovich")</f>
        <v>Veronika Popovich</v>
      </c>
      <c r="Q1329" s="6" t="str">
        <f>IFERROR(__xludf.DUMMYFUNCTION("""COMPUTED_VALUE"""),"L1")</f>
        <v>L1</v>
      </c>
      <c r="R1329" s="6">
        <f>IFERROR(__xludf.DUMMYFUNCTION("""COMPUTED_VALUE"""),1.0)</f>
        <v>1</v>
      </c>
      <c r="S1329" s="6" t="str">
        <f>IFERROR(__xludf.DUMMYFUNCTION("""COMPUTED_VALUE""")," ")</f>
        <v> </v>
      </c>
      <c r="T1329" s="6" t="str">
        <f>IFERROR(__xludf.DUMMYFUNCTION("""COMPUTED_VALUE"""),"")</f>
        <v/>
      </c>
      <c r="U1329" s="6" t="str">
        <f>IFERROR(__xludf.DUMMYFUNCTION("""COMPUTED_VALUE"""),"3")</f>
        <v>3</v>
      </c>
      <c r="V1329" s="6" t="str">
        <f>IFERROR(__xludf.DUMMYFUNCTION("""COMPUTED_VALUE"""),"English")</f>
        <v>English</v>
      </c>
      <c r="W1329" s="6" t="str">
        <f>IFERROR(__xludf.DUMMYFUNCTION("""COMPUTED_VALUE"""),"[]")</f>
        <v>[]</v>
      </c>
      <c r="X1329" s="6" t="str">
        <f>IFERROR(__xludf.DUMMYFUNCTION("""COMPUTED_VALUE"""),"Enrolled")</f>
        <v>Enrolled</v>
      </c>
    </row>
    <row r="1330">
      <c r="A1330" s="6" t="str">
        <f>IFERROR(__xludf.DUMMYFUNCTION("""COMPUTED_VALUE"""),"009-1584")</f>
        <v>009-1584</v>
      </c>
      <c r="B1330" s="6" t="str">
        <f>IFERROR(__xludf.DUMMYFUNCTION("""COMPUTED_VALUE"""),"9")</f>
        <v>9</v>
      </c>
      <c r="C1330" s="6" t="str">
        <f>IFERROR(__xludf.DUMMYFUNCTION("""COMPUTED_VALUE"""),"1584")</f>
        <v>1584</v>
      </c>
      <c r="D1330" s="6" t="str">
        <f>IFERROR(__xludf.DUMMYFUNCTION("""COMPUTED_VALUE"""),"Vodopianov")</f>
        <v>Vodopianov</v>
      </c>
      <c r="E1330" s="6" t="str">
        <f>IFERROR(__xludf.DUMMYFUNCTION("""COMPUTED_VALUE"""),"")</f>
        <v/>
      </c>
      <c r="F1330" s="6" t="str">
        <f>IFERROR(__xludf.DUMMYFUNCTION("""COMPUTED_VALUE"""),"Gordey")</f>
        <v>Gordey</v>
      </c>
      <c r="G1330" s="6" t="str">
        <f>IFERROR(__xludf.DUMMYFUNCTION("""COMPUTED_VALUE"""),"01/01/2015")</f>
        <v>01/01/2015</v>
      </c>
      <c r="H1330" s="6" t="str">
        <f>IFERROR(__xludf.DUMMYFUNCTION("""COMPUTED_VALUE"""),"Self Identify")</f>
        <v>Self Identify</v>
      </c>
      <c r="I1330" s="6" t="str">
        <f>IFERROR(__xludf.DUMMYFUNCTION("""COMPUTED_VALUE"""),"Level 2")</f>
        <v>Level 2</v>
      </c>
      <c r="J1330" s="6" t="str">
        <f>IFERROR(__xludf.DUMMYFUNCTION("""COMPUTED_VALUE"""),"4")</f>
        <v>4</v>
      </c>
      <c r="K1330" s="6" t="str">
        <f>IFERROR(__xludf.DUMMYFUNCTION("""COMPUTED_VALUE"""),"vodopianov.gordey@2hourlearning.com")</f>
        <v>vodopianov.gordey@2hourlearning.com</v>
      </c>
      <c r="L1330" s="6" t="str">
        <f>IFERROR(__xludf.DUMMYFUNCTION("""COMPUTED_VALUE"""),"Learn and Earn Poland")</f>
        <v>Learn and Earn Poland</v>
      </c>
      <c r="M1330" s="6" t="str">
        <f>IFERROR(__xludf.DUMMYFUNCTION("""COMPUTED_VALUE"""),"Budapest Alpha")</f>
        <v>Budapest Alpha</v>
      </c>
      <c r="N1330" s="6" t="str">
        <f>IFERROR(__xludf.DUMMYFUNCTION("""COMPUTED_VALUE"""),"")</f>
        <v/>
      </c>
      <c r="O1330" s="87" t="str">
        <f>IFERROR(__xludf.DUMMYFUNCTION("""COMPUTED_VALUE"""),"https://drive.google.com/drive/folders/10T2cTQHqEJZqE-st6uFKPoI?usp=share_link")</f>
        <v>https://drive.google.com/drive/folders/10T2cTQHqEJZqE-st6uFKPoI?usp=share_link</v>
      </c>
      <c r="P1330" s="6" t="str">
        <f>IFERROR(__xludf.DUMMYFUNCTION("""COMPUTED_VALUE"""),"Vodopianov Gordey")</f>
        <v>Vodopianov Gordey</v>
      </c>
      <c r="Q1330" s="6" t="str">
        <f>IFERROR(__xludf.DUMMYFUNCTION("""COMPUTED_VALUE"""),"L2")</f>
        <v>L2</v>
      </c>
      <c r="R1330" s="6">
        <f>IFERROR(__xludf.DUMMYFUNCTION("""COMPUTED_VALUE"""),2.0)</f>
        <v>2</v>
      </c>
      <c r="S1330" s="6" t="str">
        <f>IFERROR(__xludf.DUMMYFUNCTION("""COMPUTED_VALUE""")," ")</f>
        <v> </v>
      </c>
      <c r="T1330" s="6" t="str">
        <f>IFERROR(__xludf.DUMMYFUNCTION("""COMPUTED_VALUE"""),"")</f>
        <v/>
      </c>
      <c r="U1330" s="6" t="str">
        <f>IFERROR(__xludf.DUMMYFUNCTION("""COMPUTED_VALUE"""),"4")</f>
        <v>4</v>
      </c>
      <c r="V1330" s="6" t="str">
        <f>IFERROR(__xludf.DUMMYFUNCTION("""COMPUTED_VALUE"""),"English")</f>
        <v>English</v>
      </c>
      <c r="W1330" s="6" t="str">
        <f>IFERROR(__xludf.DUMMYFUNCTION("""COMPUTED_VALUE"""),"[]")</f>
        <v>[]</v>
      </c>
      <c r="X1330" s="6" t="str">
        <f>IFERROR(__xludf.DUMMYFUNCTION("""COMPUTED_VALUE"""),"Enrolled")</f>
        <v>Enrolled</v>
      </c>
    </row>
    <row r="1331">
      <c r="A1331" s="6" t="str">
        <f>IFERROR(__xludf.DUMMYFUNCTION("""COMPUTED_VALUE"""),"009-1585")</f>
        <v>009-1585</v>
      </c>
      <c r="B1331" s="6" t="str">
        <f>IFERROR(__xludf.DUMMYFUNCTION("""COMPUTED_VALUE"""),"9")</f>
        <v>9</v>
      </c>
      <c r="C1331" s="6" t="str">
        <f>IFERROR(__xludf.DUMMYFUNCTION("""COMPUTED_VALUE"""),"1585")</f>
        <v>1585</v>
      </c>
      <c r="D1331" s="6" t="str">
        <f>IFERROR(__xludf.DUMMYFUNCTION("""COMPUTED_VALUE"""),"Johanna")</f>
        <v>Johanna</v>
      </c>
      <c r="E1331" s="6" t="str">
        <f>IFERROR(__xludf.DUMMYFUNCTION("""COMPUTED_VALUE"""),"")</f>
        <v/>
      </c>
      <c r="F1331" s="6" t="str">
        <f>IFERROR(__xludf.DUMMYFUNCTION("""COMPUTED_VALUE"""),"Pataki")</f>
        <v>Pataki</v>
      </c>
      <c r="G1331" s="6" t="str">
        <f>IFERROR(__xludf.DUMMYFUNCTION("""COMPUTED_VALUE"""),"01/01/2015")</f>
        <v>01/01/2015</v>
      </c>
      <c r="H1331" s="6" t="str">
        <f>IFERROR(__xludf.DUMMYFUNCTION("""COMPUTED_VALUE"""),"Self Identify")</f>
        <v>Self Identify</v>
      </c>
      <c r="I1331" s="6" t="str">
        <f>IFERROR(__xludf.DUMMYFUNCTION("""COMPUTED_VALUE"""),"Level 2")</f>
        <v>Level 2</v>
      </c>
      <c r="J1331" s="6" t="str">
        <f>IFERROR(__xludf.DUMMYFUNCTION("""COMPUTED_VALUE"""),"4")</f>
        <v>4</v>
      </c>
      <c r="K1331" s="6" t="str">
        <f>IFERROR(__xludf.DUMMYFUNCTION("""COMPUTED_VALUE"""),"johanna.pataki@2hourlearning.com")</f>
        <v>johanna.pataki@2hourlearning.com</v>
      </c>
      <c r="L1331" s="6" t="str">
        <f>IFERROR(__xludf.DUMMYFUNCTION("""COMPUTED_VALUE"""),"Learn and Earn Poland")</f>
        <v>Learn and Earn Poland</v>
      </c>
      <c r="M1331" s="6" t="str">
        <f>IFERROR(__xludf.DUMMYFUNCTION("""COMPUTED_VALUE"""),"Budapest Alpha")</f>
        <v>Budapest Alpha</v>
      </c>
      <c r="N1331" s="6" t="str">
        <f>IFERROR(__xludf.DUMMYFUNCTION("""COMPUTED_VALUE"""),"")</f>
        <v/>
      </c>
      <c r="O1331" s="87" t="str">
        <f>IFERROR(__xludf.DUMMYFUNCTION("""COMPUTED_VALUE"""),"https://drive.google.com/drive/folders/10T2cTQHqEJZqE-st6uFKPoI?usp=share_link")</f>
        <v>https://drive.google.com/drive/folders/10T2cTQHqEJZqE-st6uFKPoI?usp=share_link</v>
      </c>
      <c r="P1331" s="6" t="str">
        <f>IFERROR(__xludf.DUMMYFUNCTION("""COMPUTED_VALUE"""),"Johanna Pataki")</f>
        <v>Johanna Pataki</v>
      </c>
      <c r="Q1331" s="6" t="str">
        <f>IFERROR(__xludf.DUMMYFUNCTION("""COMPUTED_VALUE"""),"L2")</f>
        <v>L2</v>
      </c>
      <c r="R1331" s="6">
        <f>IFERROR(__xludf.DUMMYFUNCTION("""COMPUTED_VALUE"""),2.0)</f>
        <v>2</v>
      </c>
      <c r="S1331" s="6" t="str">
        <f>IFERROR(__xludf.DUMMYFUNCTION("""COMPUTED_VALUE""")," ")</f>
        <v> </v>
      </c>
      <c r="T1331" s="6" t="str">
        <f>IFERROR(__xludf.DUMMYFUNCTION("""COMPUTED_VALUE"""),"")</f>
        <v/>
      </c>
      <c r="U1331" s="6" t="str">
        <f>IFERROR(__xludf.DUMMYFUNCTION("""COMPUTED_VALUE"""),"4")</f>
        <v>4</v>
      </c>
      <c r="V1331" s="6" t="str">
        <f>IFERROR(__xludf.DUMMYFUNCTION("""COMPUTED_VALUE"""),"English")</f>
        <v>English</v>
      </c>
      <c r="W1331" s="6" t="str">
        <f>IFERROR(__xludf.DUMMYFUNCTION("""COMPUTED_VALUE"""),"[]")</f>
        <v>[]</v>
      </c>
      <c r="X1331" s="6" t="str">
        <f>IFERROR(__xludf.DUMMYFUNCTION("""COMPUTED_VALUE"""),"Enrolled")</f>
        <v>Enrolled</v>
      </c>
    </row>
    <row r="1332">
      <c r="A1332" s="6" t="str">
        <f>IFERROR(__xludf.DUMMYFUNCTION("""COMPUTED_VALUE"""),"009-1586")</f>
        <v>009-1586</v>
      </c>
      <c r="B1332" s="6" t="str">
        <f>IFERROR(__xludf.DUMMYFUNCTION("""COMPUTED_VALUE"""),"9")</f>
        <v>9</v>
      </c>
      <c r="C1332" s="6" t="str">
        <f>IFERROR(__xludf.DUMMYFUNCTION("""COMPUTED_VALUE"""),"1586")</f>
        <v>1586</v>
      </c>
      <c r="D1332" s="6" t="str">
        <f>IFERROR(__xludf.DUMMYFUNCTION("""COMPUTED_VALUE"""),"Mate")</f>
        <v>Mate</v>
      </c>
      <c r="E1332" s="6" t="str">
        <f>IFERROR(__xludf.DUMMYFUNCTION("""COMPUTED_VALUE"""),"")</f>
        <v/>
      </c>
      <c r="F1332" s="6" t="str">
        <f>IFERROR(__xludf.DUMMYFUNCTION("""COMPUTED_VALUE"""),"Marosi")</f>
        <v>Marosi</v>
      </c>
      <c r="G1332" s="6" t="str">
        <f>IFERROR(__xludf.DUMMYFUNCTION("""COMPUTED_VALUE"""),"01/01/2012")</f>
        <v>01/01/2012</v>
      </c>
      <c r="H1332" s="6" t="str">
        <f>IFERROR(__xludf.DUMMYFUNCTION("""COMPUTED_VALUE"""),"Self Identify")</f>
        <v>Self Identify</v>
      </c>
      <c r="I1332" s="6" t="str">
        <f>IFERROR(__xludf.DUMMYFUNCTION("""COMPUTED_VALUE"""),"Middle School")</f>
        <v>Middle School</v>
      </c>
      <c r="J1332" s="6" t="str">
        <f>IFERROR(__xludf.DUMMYFUNCTION("""COMPUTED_VALUE"""),"7")</f>
        <v>7</v>
      </c>
      <c r="K1332" s="6" t="str">
        <f>IFERROR(__xludf.DUMMYFUNCTION("""COMPUTED_VALUE"""),"mate.marosi@2hourlearning.com")</f>
        <v>mate.marosi@2hourlearning.com</v>
      </c>
      <c r="L1332" s="6" t="str">
        <f>IFERROR(__xludf.DUMMYFUNCTION("""COMPUTED_VALUE"""),"Learn and Earn Poland")</f>
        <v>Learn and Earn Poland</v>
      </c>
      <c r="M1332" s="6" t="str">
        <f>IFERROR(__xludf.DUMMYFUNCTION("""COMPUTED_VALUE"""),"Budapest ex-GTS")</f>
        <v>Budapest ex-GTS</v>
      </c>
      <c r="N1332" s="6" t="str">
        <f>IFERROR(__xludf.DUMMYFUNCTION("""COMPUTED_VALUE"""),"")</f>
        <v/>
      </c>
      <c r="O1332" s="87" t="str">
        <f>IFERROR(__xludf.DUMMYFUNCTION("""COMPUTED_VALUE"""),"https://drive.google.com/drive/folders/10T2cTQHqEJZqE-st6uFKPoI?usp=share_link")</f>
        <v>https://drive.google.com/drive/folders/10T2cTQHqEJZqE-st6uFKPoI?usp=share_link</v>
      </c>
      <c r="P1332" s="6" t="str">
        <f>IFERROR(__xludf.DUMMYFUNCTION("""COMPUTED_VALUE"""),"Mate Marosi")</f>
        <v>Mate Marosi</v>
      </c>
      <c r="Q1332" s="6" t="str">
        <f>IFERROR(__xludf.DUMMYFUNCTION("""COMPUTED_VALUE"""),"MS")</f>
        <v>MS</v>
      </c>
      <c r="R1332" s="6">
        <f>IFERROR(__xludf.DUMMYFUNCTION("""COMPUTED_VALUE"""),0.0)</f>
        <v>0</v>
      </c>
      <c r="S1332" s="6" t="str">
        <f>IFERROR(__xludf.DUMMYFUNCTION("""COMPUTED_VALUE""")," ")</f>
        <v> </v>
      </c>
      <c r="T1332" s="6" t="str">
        <f>IFERROR(__xludf.DUMMYFUNCTION("""COMPUTED_VALUE"""),"")</f>
        <v/>
      </c>
      <c r="U1332" s="6" t="str">
        <f>IFERROR(__xludf.DUMMYFUNCTION("""COMPUTED_VALUE"""),"7")</f>
        <v>7</v>
      </c>
      <c r="V1332" s="6" t="str">
        <f>IFERROR(__xludf.DUMMYFUNCTION("""COMPUTED_VALUE"""),"English")</f>
        <v>English</v>
      </c>
      <c r="W1332" s="6" t="str">
        <f>IFERROR(__xludf.DUMMYFUNCTION("""COMPUTED_VALUE"""),"[]")</f>
        <v>[]</v>
      </c>
      <c r="X1332" s="6" t="str">
        <f>IFERROR(__xludf.DUMMYFUNCTION("""COMPUTED_VALUE"""),"Enrolled")</f>
        <v>Enrolled</v>
      </c>
    </row>
    <row r="1333">
      <c r="A1333" s="6" t="str">
        <f>IFERROR(__xludf.DUMMYFUNCTION("""COMPUTED_VALUE"""),"009-1587")</f>
        <v>009-1587</v>
      </c>
      <c r="B1333" s="6" t="str">
        <f>IFERROR(__xludf.DUMMYFUNCTION("""COMPUTED_VALUE"""),"9")</f>
        <v>9</v>
      </c>
      <c r="C1333" s="6" t="str">
        <f>IFERROR(__xludf.DUMMYFUNCTION("""COMPUTED_VALUE"""),"1587")</f>
        <v>1587</v>
      </c>
      <c r="D1333" s="6" t="str">
        <f>IFERROR(__xludf.DUMMYFUNCTION("""COMPUTED_VALUE"""),"Sandor")</f>
        <v>Sandor</v>
      </c>
      <c r="E1333" s="6" t="str">
        <f>IFERROR(__xludf.DUMMYFUNCTION("""COMPUTED_VALUE"""),"")</f>
        <v/>
      </c>
      <c r="F1333" s="6" t="str">
        <f>IFERROR(__xludf.DUMMYFUNCTION("""COMPUTED_VALUE"""),"Szanyi")</f>
        <v>Szanyi</v>
      </c>
      <c r="G1333" s="6" t="str">
        <f>IFERROR(__xludf.DUMMYFUNCTION("""COMPUTED_VALUE"""),"01/01/2008")</f>
        <v>01/01/2008</v>
      </c>
      <c r="H1333" s="6" t="str">
        <f>IFERROR(__xludf.DUMMYFUNCTION("""COMPUTED_VALUE"""),"Self Identify")</f>
        <v>Self Identify</v>
      </c>
      <c r="I1333" s="6" t="str">
        <f>IFERROR(__xludf.DUMMYFUNCTION("""COMPUTED_VALUE"""),"High School")</f>
        <v>High School</v>
      </c>
      <c r="J1333" s="6" t="str">
        <f>IFERROR(__xludf.DUMMYFUNCTION("""COMPUTED_VALUE"""),"11")</f>
        <v>11</v>
      </c>
      <c r="K1333" s="6" t="str">
        <f>IFERROR(__xludf.DUMMYFUNCTION("""COMPUTED_VALUE"""),"sandor.szanyi@2hourlearning.com")</f>
        <v>sandor.szanyi@2hourlearning.com</v>
      </c>
      <c r="L1333" s="6" t="str">
        <f>IFERROR(__xludf.DUMMYFUNCTION("""COMPUTED_VALUE"""),"Learn and Earn Poland")</f>
        <v>Learn and Earn Poland</v>
      </c>
      <c r="M1333" s="6" t="str">
        <f>IFERROR(__xludf.DUMMYFUNCTION("""COMPUTED_VALUE"""),"Budapest ex-GTS")</f>
        <v>Budapest ex-GTS</v>
      </c>
      <c r="N1333" s="6" t="str">
        <f>IFERROR(__xludf.DUMMYFUNCTION("""COMPUTED_VALUE"""),"")</f>
        <v/>
      </c>
      <c r="O1333" s="87" t="str">
        <f>IFERROR(__xludf.DUMMYFUNCTION("""COMPUTED_VALUE"""),"https://drive.google.com/drive/folders/10T2cTQHqEJZqE-st6uFKPoI?usp=share_link")</f>
        <v>https://drive.google.com/drive/folders/10T2cTQHqEJZqE-st6uFKPoI?usp=share_link</v>
      </c>
      <c r="P1333" s="6" t="str">
        <f>IFERROR(__xludf.DUMMYFUNCTION("""COMPUTED_VALUE"""),"Sandor Szanyi")</f>
        <v>Sandor Szanyi</v>
      </c>
      <c r="Q1333" s="6" t="str">
        <f>IFERROR(__xludf.DUMMYFUNCTION("""COMPUTED_VALUE"""),"HS")</f>
        <v>HS</v>
      </c>
      <c r="R1333" s="6">
        <f>IFERROR(__xludf.DUMMYFUNCTION("""COMPUTED_VALUE"""),0.0)</f>
        <v>0</v>
      </c>
      <c r="S1333" s="6" t="str">
        <f>IFERROR(__xludf.DUMMYFUNCTION("""COMPUTED_VALUE""")," ")</f>
        <v> </v>
      </c>
      <c r="T1333" s="6" t="str">
        <f>IFERROR(__xludf.DUMMYFUNCTION("""COMPUTED_VALUE"""),"")</f>
        <v/>
      </c>
      <c r="U1333" s="6" t="str">
        <f>IFERROR(__xludf.DUMMYFUNCTION("""COMPUTED_VALUE"""),"11")</f>
        <v>11</v>
      </c>
      <c r="V1333" s="6" t="str">
        <f>IFERROR(__xludf.DUMMYFUNCTION("""COMPUTED_VALUE"""),"English")</f>
        <v>English</v>
      </c>
      <c r="W1333" s="6" t="str">
        <f>IFERROR(__xludf.DUMMYFUNCTION("""COMPUTED_VALUE"""),"[]")</f>
        <v>[]</v>
      </c>
      <c r="X1333" s="6" t="str">
        <f>IFERROR(__xludf.DUMMYFUNCTION("""COMPUTED_VALUE"""),"Enrolled")</f>
        <v>Enrolled</v>
      </c>
    </row>
    <row r="1334">
      <c r="A1334" s="6" t="str">
        <f>IFERROR(__xludf.DUMMYFUNCTION("""COMPUTED_VALUE"""),"009-1588")</f>
        <v>009-1588</v>
      </c>
      <c r="B1334" s="6" t="str">
        <f>IFERROR(__xludf.DUMMYFUNCTION("""COMPUTED_VALUE"""),"9")</f>
        <v>9</v>
      </c>
      <c r="C1334" s="6" t="str">
        <f>IFERROR(__xludf.DUMMYFUNCTION("""COMPUTED_VALUE"""),"1588")</f>
        <v>1588</v>
      </c>
      <c r="D1334" s="6" t="str">
        <f>IFERROR(__xludf.DUMMYFUNCTION("""COMPUTED_VALUE"""),"Lilia")</f>
        <v>Lilia</v>
      </c>
      <c r="E1334" s="6" t="str">
        <f>IFERROR(__xludf.DUMMYFUNCTION("""COMPUTED_VALUE"""),"")</f>
        <v/>
      </c>
      <c r="F1334" s="6" t="str">
        <f>IFERROR(__xludf.DUMMYFUNCTION("""COMPUTED_VALUE"""),"Voronkova")</f>
        <v>Voronkova</v>
      </c>
      <c r="G1334" s="6" t="str">
        <f>IFERROR(__xludf.DUMMYFUNCTION("""COMPUTED_VALUE"""),"01/01/2015")</f>
        <v>01/01/2015</v>
      </c>
      <c r="H1334" s="6" t="str">
        <f>IFERROR(__xludf.DUMMYFUNCTION("""COMPUTED_VALUE"""),"Self Identify")</f>
        <v>Self Identify</v>
      </c>
      <c r="I1334" s="6" t="str">
        <f>IFERROR(__xludf.DUMMYFUNCTION("""COMPUTED_VALUE"""),"Level 2")</f>
        <v>Level 2</v>
      </c>
      <c r="J1334" s="6" t="str">
        <f>IFERROR(__xludf.DUMMYFUNCTION("""COMPUTED_VALUE"""),"4")</f>
        <v>4</v>
      </c>
      <c r="K1334" s="6" t="str">
        <f>IFERROR(__xludf.DUMMYFUNCTION("""COMPUTED_VALUE"""),"lilia.voronkova@2hourlearning.com")</f>
        <v>lilia.voronkova@2hourlearning.com</v>
      </c>
      <c r="L1334" s="6" t="str">
        <f>IFERROR(__xludf.DUMMYFUNCTION("""COMPUTED_VALUE"""),"Learn and Earn Poland")</f>
        <v>Learn and Earn Poland</v>
      </c>
      <c r="M1334" s="6" t="str">
        <f>IFERROR(__xludf.DUMMYFUNCTION("""COMPUTED_VALUE"""),"Budapest Alpha")</f>
        <v>Budapest Alpha</v>
      </c>
      <c r="N1334" s="6" t="str">
        <f>IFERROR(__xludf.DUMMYFUNCTION("""COMPUTED_VALUE"""),"")</f>
        <v/>
      </c>
      <c r="O1334" s="87" t="str">
        <f>IFERROR(__xludf.DUMMYFUNCTION("""COMPUTED_VALUE"""),"https://drive.google.com/drive/folders/10T2cTQHqEJZqE-st6uFKPoI?usp=share_link")</f>
        <v>https://drive.google.com/drive/folders/10T2cTQHqEJZqE-st6uFKPoI?usp=share_link</v>
      </c>
      <c r="P1334" s="6" t="str">
        <f>IFERROR(__xludf.DUMMYFUNCTION("""COMPUTED_VALUE"""),"Lilia Voronkova")</f>
        <v>Lilia Voronkova</v>
      </c>
      <c r="Q1334" s="6" t="str">
        <f>IFERROR(__xludf.DUMMYFUNCTION("""COMPUTED_VALUE"""),"L2")</f>
        <v>L2</v>
      </c>
      <c r="R1334" s="6">
        <f>IFERROR(__xludf.DUMMYFUNCTION("""COMPUTED_VALUE"""),2.0)</f>
        <v>2</v>
      </c>
      <c r="S1334" s="6" t="str">
        <f>IFERROR(__xludf.DUMMYFUNCTION("""COMPUTED_VALUE""")," ")</f>
        <v> </v>
      </c>
      <c r="T1334" s="6" t="str">
        <f>IFERROR(__xludf.DUMMYFUNCTION("""COMPUTED_VALUE"""),"")</f>
        <v/>
      </c>
      <c r="U1334" s="6" t="str">
        <f>IFERROR(__xludf.DUMMYFUNCTION("""COMPUTED_VALUE"""),"4")</f>
        <v>4</v>
      </c>
      <c r="V1334" s="6" t="str">
        <f>IFERROR(__xludf.DUMMYFUNCTION("""COMPUTED_VALUE"""),"English")</f>
        <v>English</v>
      </c>
      <c r="W1334" s="6" t="str">
        <f>IFERROR(__xludf.DUMMYFUNCTION("""COMPUTED_VALUE"""),"[]")</f>
        <v>[]</v>
      </c>
      <c r="X1334" s="6" t="str">
        <f>IFERROR(__xludf.DUMMYFUNCTION("""COMPUTED_VALUE"""),"Enrolled")</f>
        <v>Enrolled</v>
      </c>
    </row>
    <row r="1335">
      <c r="A1335" s="6" t="str">
        <f>IFERROR(__xludf.DUMMYFUNCTION("""COMPUTED_VALUE"""),"009-1589")</f>
        <v>009-1589</v>
      </c>
      <c r="B1335" s="6" t="str">
        <f>IFERROR(__xludf.DUMMYFUNCTION("""COMPUTED_VALUE"""),"9")</f>
        <v>9</v>
      </c>
      <c r="C1335" s="6" t="str">
        <f>IFERROR(__xludf.DUMMYFUNCTION("""COMPUTED_VALUE"""),"1589")</f>
        <v>1589</v>
      </c>
      <c r="D1335" s="6" t="str">
        <f>IFERROR(__xludf.DUMMYFUNCTION("""COMPUTED_VALUE"""),"Biro")</f>
        <v>Biro</v>
      </c>
      <c r="E1335" s="6" t="str">
        <f>IFERROR(__xludf.DUMMYFUNCTION("""COMPUTED_VALUE"""),"")</f>
        <v/>
      </c>
      <c r="F1335" s="6" t="str">
        <f>IFERROR(__xludf.DUMMYFUNCTION("""COMPUTED_VALUE"""),"Anna")</f>
        <v>Anna</v>
      </c>
      <c r="G1335" s="6" t="str">
        <f>IFERROR(__xludf.DUMMYFUNCTION("""COMPUTED_VALUE"""),"01/01/2014")</f>
        <v>01/01/2014</v>
      </c>
      <c r="H1335" s="6" t="str">
        <f>IFERROR(__xludf.DUMMYFUNCTION("""COMPUTED_VALUE"""),"Self Identify")</f>
        <v>Self Identify</v>
      </c>
      <c r="I1335" s="6" t="str">
        <f>IFERROR(__xludf.DUMMYFUNCTION("""COMPUTED_VALUE"""),"Level 2")</f>
        <v>Level 2</v>
      </c>
      <c r="J1335" s="6" t="str">
        <f>IFERROR(__xludf.DUMMYFUNCTION("""COMPUTED_VALUE"""),"5")</f>
        <v>5</v>
      </c>
      <c r="K1335" s="6" t="str">
        <f>IFERROR(__xludf.DUMMYFUNCTION("""COMPUTED_VALUE"""),"biro.anna@2hourlearning.com")</f>
        <v>biro.anna@2hourlearning.com</v>
      </c>
      <c r="L1335" s="6" t="str">
        <f>IFERROR(__xludf.DUMMYFUNCTION("""COMPUTED_VALUE"""),"Learn and Earn Poland")</f>
        <v>Learn and Earn Poland</v>
      </c>
      <c r="M1335" s="6" t="str">
        <f>IFERROR(__xludf.DUMMYFUNCTION("""COMPUTED_VALUE"""),"Budapest Alpha")</f>
        <v>Budapest Alpha</v>
      </c>
      <c r="N1335" s="6" t="str">
        <f>IFERROR(__xludf.DUMMYFUNCTION("""COMPUTED_VALUE"""),"")</f>
        <v/>
      </c>
      <c r="O1335" s="87" t="str">
        <f>IFERROR(__xludf.DUMMYFUNCTION("""COMPUTED_VALUE"""),"https://drive.google.com/drive/folders/10T2cTQHqEJZqE-st6uFKPoI?usp=share_link")</f>
        <v>https://drive.google.com/drive/folders/10T2cTQHqEJZqE-st6uFKPoI?usp=share_link</v>
      </c>
      <c r="P1335" s="6" t="str">
        <f>IFERROR(__xludf.DUMMYFUNCTION("""COMPUTED_VALUE"""),"Biro Anna")</f>
        <v>Biro Anna</v>
      </c>
      <c r="Q1335" s="6" t="str">
        <f>IFERROR(__xludf.DUMMYFUNCTION("""COMPUTED_VALUE"""),"L2")</f>
        <v>L2</v>
      </c>
      <c r="R1335" s="6">
        <f>IFERROR(__xludf.DUMMYFUNCTION("""COMPUTED_VALUE"""),2.0)</f>
        <v>2</v>
      </c>
      <c r="S1335" s="6" t="str">
        <f>IFERROR(__xludf.DUMMYFUNCTION("""COMPUTED_VALUE""")," ")</f>
        <v> </v>
      </c>
      <c r="T1335" s="6" t="str">
        <f>IFERROR(__xludf.DUMMYFUNCTION("""COMPUTED_VALUE"""),"")</f>
        <v/>
      </c>
      <c r="U1335" s="6" t="str">
        <f>IFERROR(__xludf.DUMMYFUNCTION("""COMPUTED_VALUE"""),"5")</f>
        <v>5</v>
      </c>
      <c r="V1335" s="6" t="str">
        <f>IFERROR(__xludf.DUMMYFUNCTION("""COMPUTED_VALUE"""),"English")</f>
        <v>English</v>
      </c>
      <c r="W1335" s="6" t="str">
        <f>IFERROR(__xludf.DUMMYFUNCTION("""COMPUTED_VALUE"""),"[]")</f>
        <v>[]</v>
      </c>
      <c r="X1335" s="6" t="str">
        <f>IFERROR(__xludf.DUMMYFUNCTION("""COMPUTED_VALUE"""),"Enrolled")</f>
        <v>Enrolled</v>
      </c>
    </row>
    <row r="1336">
      <c r="A1336" s="6" t="str">
        <f>IFERROR(__xludf.DUMMYFUNCTION("""COMPUTED_VALUE"""),"009-1590")</f>
        <v>009-1590</v>
      </c>
      <c r="B1336" s="6" t="str">
        <f>IFERROR(__xludf.DUMMYFUNCTION("""COMPUTED_VALUE"""),"9")</f>
        <v>9</v>
      </c>
      <c r="C1336" s="6" t="str">
        <f>IFERROR(__xludf.DUMMYFUNCTION("""COMPUTED_VALUE"""),"1590")</f>
        <v>1590</v>
      </c>
      <c r="D1336" s="6" t="str">
        <f>IFERROR(__xludf.DUMMYFUNCTION("""COMPUTED_VALUE"""),"Maria")</f>
        <v>Maria</v>
      </c>
      <c r="E1336" s="6" t="str">
        <f>IFERROR(__xludf.DUMMYFUNCTION("""COMPUTED_VALUE"""),"")</f>
        <v/>
      </c>
      <c r="F1336" s="6" t="str">
        <f>IFERROR(__xludf.DUMMYFUNCTION("""COMPUTED_VALUE"""),"Tarpai")</f>
        <v>Tarpai</v>
      </c>
      <c r="G1336" s="6" t="str">
        <f>IFERROR(__xludf.DUMMYFUNCTION("""COMPUTED_VALUE"""),"01/01/2011")</f>
        <v>01/01/2011</v>
      </c>
      <c r="H1336" s="6" t="str">
        <f>IFERROR(__xludf.DUMMYFUNCTION("""COMPUTED_VALUE"""),"Self Identify")</f>
        <v>Self Identify</v>
      </c>
      <c r="I1336" s="6" t="str">
        <f>IFERROR(__xludf.DUMMYFUNCTION("""COMPUTED_VALUE"""),"Middle School")</f>
        <v>Middle School</v>
      </c>
      <c r="J1336" s="6" t="str">
        <f>IFERROR(__xludf.DUMMYFUNCTION("""COMPUTED_VALUE"""),"8")</f>
        <v>8</v>
      </c>
      <c r="K1336" s="6" t="str">
        <f>IFERROR(__xludf.DUMMYFUNCTION("""COMPUTED_VALUE"""),"maria.tarpai@2hourlearning.com")</f>
        <v>maria.tarpai@2hourlearning.com</v>
      </c>
      <c r="L1336" s="6" t="str">
        <f>IFERROR(__xludf.DUMMYFUNCTION("""COMPUTED_VALUE"""),"Learn and Earn Poland")</f>
        <v>Learn and Earn Poland</v>
      </c>
      <c r="M1336" s="6" t="str">
        <f>IFERROR(__xludf.DUMMYFUNCTION("""COMPUTED_VALUE"""),"Budapest Alpha")</f>
        <v>Budapest Alpha</v>
      </c>
      <c r="N1336" s="6" t="str">
        <f>IFERROR(__xludf.DUMMYFUNCTION("""COMPUTED_VALUE"""),"")</f>
        <v/>
      </c>
      <c r="O1336" s="87" t="str">
        <f>IFERROR(__xludf.DUMMYFUNCTION("""COMPUTED_VALUE"""),"https://drive.google.com/drive/folders/10T2cTQHqEJZqE-st6uFKPoI?usp=share_link")</f>
        <v>https://drive.google.com/drive/folders/10T2cTQHqEJZqE-st6uFKPoI?usp=share_link</v>
      </c>
      <c r="P1336" s="6" t="str">
        <f>IFERROR(__xludf.DUMMYFUNCTION("""COMPUTED_VALUE"""),"Maria Tarpai")</f>
        <v>Maria Tarpai</v>
      </c>
      <c r="Q1336" s="6" t="str">
        <f>IFERROR(__xludf.DUMMYFUNCTION("""COMPUTED_VALUE"""),"MS")</f>
        <v>MS</v>
      </c>
      <c r="R1336" s="6">
        <f>IFERROR(__xludf.DUMMYFUNCTION("""COMPUTED_VALUE"""),0.0)</f>
        <v>0</v>
      </c>
      <c r="S1336" s="6" t="str">
        <f>IFERROR(__xludf.DUMMYFUNCTION("""COMPUTED_VALUE""")," ")</f>
        <v> </v>
      </c>
      <c r="T1336" s="6" t="str">
        <f>IFERROR(__xludf.DUMMYFUNCTION("""COMPUTED_VALUE"""),"")</f>
        <v/>
      </c>
      <c r="U1336" s="6" t="str">
        <f>IFERROR(__xludf.DUMMYFUNCTION("""COMPUTED_VALUE"""),"8")</f>
        <v>8</v>
      </c>
      <c r="V1336" s="6" t="str">
        <f>IFERROR(__xludf.DUMMYFUNCTION("""COMPUTED_VALUE"""),"English")</f>
        <v>English</v>
      </c>
      <c r="W1336" s="6" t="str">
        <f>IFERROR(__xludf.DUMMYFUNCTION("""COMPUTED_VALUE"""),"[]")</f>
        <v>[]</v>
      </c>
      <c r="X1336" s="6" t="str">
        <f>IFERROR(__xludf.DUMMYFUNCTION("""COMPUTED_VALUE"""),"Enrolled")</f>
        <v>Enrolled</v>
      </c>
    </row>
    <row r="1337">
      <c r="A1337" s="6" t="str">
        <f>IFERROR(__xludf.DUMMYFUNCTION("""COMPUTED_VALUE"""),"009-1591")</f>
        <v>009-1591</v>
      </c>
      <c r="B1337" s="6" t="str">
        <f>IFERROR(__xludf.DUMMYFUNCTION("""COMPUTED_VALUE"""),"9")</f>
        <v>9</v>
      </c>
      <c r="C1337" s="6" t="str">
        <f>IFERROR(__xludf.DUMMYFUNCTION("""COMPUTED_VALUE"""),"1591")</f>
        <v>1591</v>
      </c>
      <c r="D1337" s="6" t="str">
        <f>IFERROR(__xludf.DUMMYFUNCTION("""COMPUTED_VALUE"""),"Sergej")</f>
        <v>Sergej</v>
      </c>
      <c r="E1337" s="6" t="str">
        <f>IFERROR(__xludf.DUMMYFUNCTION("""COMPUTED_VALUE"""),"")</f>
        <v/>
      </c>
      <c r="F1337" s="6" t="str">
        <f>IFERROR(__xludf.DUMMYFUNCTION("""COMPUTED_VALUE"""),"Yefremov")</f>
        <v>Yefremov</v>
      </c>
      <c r="G1337" s="6" t="str">
        <f>IFERROR(__xludf.DUMMYFUNCTION("""COMPUTED_VALUE"""),"01/01/2012")</f>
        <v>01/01/2012</v>
      </c>
      <c r="H1337" s="6" t="str">
        <f>IFERROR(__xludf.DUMMYFUNCTION("""COMPUTED_VALUE"""),"Self Identify")</f>
        <v>Self Identify</v>
      </c>
      <c r="I1337" s="6" t="str">
        <f>IFERROR(__xludf.DUMMYFUNCTION("""COMPUTED_VALUE"""),"Middle School")</f>
        <v>Middle School</v>
      </c>
      <c r="J1337" s="6" t="str">
        <f>IFERROR(__xludf.DUMMYFUNCTION("""COMPUTED_VALUE"""),"7")</f>
        <v>7</v>
      </c>
      <c r="K1337" s="6" t="str">
        <f>IFERROR(__xludf.DUMMYFUNCTION("""COMPUTED_VALUE"""),"sergej.yefremov@2hourlearning.com")</f>
        <v>sergej.yefremov@2hourlearning.com</v>
      </c>
      <c r="L1337" s="6" t="str">
        <f>IFERROR(__xludf.DUMMYFUNCTION("""COMPUTED_VALUE"""),"Learn and Earn Poland")</f>
        <v>Learn and Earn Poland</v>
      </c>
      <c r="M1337" s="6" t="str">
        <f>IFERROR(__xludf.DUMMYFUNCTION("""COMPUTED_VALUE"""),"Budapest Alpha")</f>
        <v>Budapest Alpha</v>
      </c>
      <c r="N1337" s="6" t="str">
        <f>IFERROR(__xludf.DUMMYFUNCTION("""COMPUTED_VALUE"""),"")</f>
        <v/>
      </c>
      <c r="O1337" s="87" t="str">
        <f>IFERROR(__xludf.DUMMYFUNCTION("""COMPUTED_VALUE"""),"https://drive.google.com/drive/folders/10T2cTQHqEJZqE-st6uFKPoI?usp=share_link")</f>
        <v>https://drive.google.com/drive/folders/10T2cTQHqEJZqE-st6uFKPoI?usp=share_link</v>
      </c>
      <c r="P1337" s="6" t="str">
        <f>IFERROR(__xludf.DUMMYFUNCTION("""COMPUTED_VALUE"""),"Sergej Yefremov")</f>
        <v>Sergej Yefremov</v>
      </c>
      <c r="Q1337" s="6" t="str">
        <f>IFERROR(__xludf.DUMMYFUNCTION("""COMPUTED_VALUE"""),"MS")</f>
        <v>MS</v>
      </c>
      <c r="R1337" s="6">
        <f>IFERROR(__xludf.DUMMYFUNCTION("""COMPUTED_VALUE"""),0.0)</f>
        <v>0</v>
      </c>
      <c r="S1337" s="6" t="str">
        <f>IFERROR(__xludf.DUMMYFUNCTION("""COMPUTED_VALUE""")," ")</f>
        <v> </v>
      </c>
      <c r="T1337" s="6" t="str">
        <f>IFERROR(__xludf.DUMMYFUNCTION("""COMPUTED_VALUE"""),"")</f>
        <v/>
      </c>
      <c r="U1337" s="6" t="str">
        <f>IFERROR(__xludf.DUMMYFUNCTION("""COMPUTED_VALUE"""),"7")</f>
        <v>7</v>
      </c>
      <c r="V1337" s="6" t="str">
        <f>IFERROR(__xludf.DUMMYFUNCTION("""COMPUTED_VALUE"""),"English")</f>
        <v>English</v>
      </c>
      <c r="W1337" s="6" t="str">
        <f>IFERROR(__xludf.DUMMYFUNCTION("""COMPUTED_VALUE"""),"[]")</f>
        <v>[]</v>
      </c>
      <c r="X1337" s="6" t="str">
        <f>IFERROR(__xludf.DUMMYFUNCTION("""COMPUTED_VALUE"""),"Enrolled")</f>
        <v>Enrolled</v>
      </c>
    </row>
    <row r="1338">
      <c r="A1338" s="6" t="str">
        <f>IFERROR(__xludf.DUMMYFUNCTION("""COMPUTED_VALUE"""),"009-1592")</f>
        <v>009-1592</v>
      </c>
      <c r="B1338" s="6" t="str">
        <f>IFERROR(__xludf.DUMMYFUNCTION("""COMPUTED_VALUE"""),"9")</f>
        <v>9</v>
      </c>
      <c r="C1338" s="6" t="str">
        <f>IFERROR(__xludf.DUMMYFUNCTION("""COMPUTED_VALUE"""),"1592")</f>
        <v>1592</v>
      </c>
      <c r="D1338" s="6" t="str">
        <f>IFERROR(__xludf.DUMMYFUNCTION("""COMPUTED_VALUE"""),"Tolochka")</f>
        <v>Tolochka</v>
      </c>
      <c r="E1338" s="6" t="str">
        <f>IFERROR(__xludf.DUMMYFUNCTION("""COMPUTED_VALUE"""),"")</f>
        <v/>
      </c>
      <c r="F1338" s="6" t="str">
        <f>IFERROR(__xludf.DUMMYFUNCTION("""COMPUTED_VALUE"""),"Bohdan")</f>
        <v>Bohdan</v>
      </c>
      <c r="G1338" s="6" t="str">
        <f>IFERROR(__xludf.DUMMYFUNCTION("""COMPUTED_VALUE"""),"01/01/2011")</f>
        <v>01/01/2011</v>
      </c>
      <c r="H1338" s="6" t="str">
        <f>IFERROR(__xludf.DUMMYFUNCTION("""COMPUTED_VALUE"""),"Self Identify")</f>
        <v>Self Identify</v>
      </c>
      <c r="I1338" s="6" t="str">
        <f>IFERROR(__xludf.DUMMYFUNCTION("""COMPUTED_VALUE"""),"Middle School")</f>
        <v>Middle School</v>
      </c>
      <c r="J1338" s="6" t="str">
        <f>IFERROR(__xludf.DUMMYFUNCTION("""COMPUTED_VALUE"""),"8")</f>
        <v>8</v>
      </c>
      <c r="K1338" s="6" t="str">
        <f>IFERROR(__xludf.DUMMYFUNCTION("""COMPUTED_VALUE"""),"tolochka.bohdan@2hourlearning.com")</f>
        <v>tolochka.bohdan@2hourlearning.com</v>
      </c>
      <c r="L1338" s="6" t="str">
        <f>IFERROR(__xludf.DUMMYFUNCTION("""COMPUTED_VALUE"""),"Learn and Earn Poland")</f>
        <v>Learn and Earn Poland</v>
      </c>
      <c r="M1338" s="6" t="str">
        <f>IFERROR(__xludf.DUMMYFUNCTION("""COMPUTED_VALUE"""),"Budapest Alpha")</f>
        <v>Budapest Alpha</v>
      </c>
      <c r="N1338" s="6" t="str">
        <f>IFERROR(__xludf.DUMMYFUNCTION("""COMPUTED_VALUE"""),"")</f>
        <v/>
      </c>
      <c r="O1338" s="87" t="str">
        <f>IFERROR(__xludf.DUMMYFUNCTION("""COMPUTED_VALUE"""),"https://drive.google.com/drive/folders/10T2cTQHqEJZqE-st6uFKPoI?usp=share_link")</f>
        <v>https://drive.google.com/drive/folders/10T2cTQHqEJZqE-st6uFKPoI?usp=share_link</v>
      </c>
      <c r="P1338" s="6" t="str">
        <f>IFERROR(__xludf.DUMMYFUNCTION("""COMPUTED_VALUE"""),"Tolochka Bohdan")</f>
        <v>Tolochka Bohdan</v>
      </c>
      <c r="Q1338" s="6" t="str">
        <f>IFERROR(__xludf.DUMMYFUNCTION("""COMPUTED_VALUE"""),"MS")</f>
        <v>MS</v>
      </c>
      <c r="R1338" s="6">
        <f>IFERROR(__xludf.DUMMYFUNCTION("""COMPUTED_VALUE"""),0.0)</f>
        <v>0</v>
      </c>
      <c r="S1338" s="6" t="str">
        <f>IFERROR(__xludf.DUMMYFUNCTION("""COMPUTED_VALUE""")," ")</f>
        <v> </v>
      </c>
      <c r="T1338" s="6" t="str">
        <f>IFERROR(__xludf.DUMMYFUNCTION("""COMPUTED_VALUE"""),"")</f>
        <v/>
      </c>
      <c r="U1338" s="6" t="str">
        <f>IFERROR(__xludf.DUMMYFUNCTION("""COMPUTED_VALUE"""),"8")</f>
        <v>8</v>
      </c>
      <c r="V1338" s="6" t="str">
        <f>IFERROR(__xludf.DUMMYFUNCTION("""COMPUTED_VALUE"""),"English")</f>
        <v>English</v>
      </c>
      <c r="W1338" s="6" t="str">
        <f>IFERROR(__xludf.DUMMYFUNCTION("""COMPUTED_VALUE"""),"[]")</f>
        <v>[]</v>
      </c>
      <c r="X1338" s="6" t="str">
        <f>IFERROR(__xludf.DUMMYFUNCTION("""COMPUTED_VALUE"""),"Enrolled")</f>
        <v>Enrolled</v>
      </c>
    </row>
    <row r="1339">
      <c r="A1339" s="6" t="str">
        <f>IFERROR(__xludf.DUMMYFUNCTION("""COMPUTED_VALUE"""),"009-1593")</f>
        <v>009-1593</v>
      </c>
      <c r="B1339" s="6" t="str">
        <f>IFERROR(__xludf.DUMMYFUNCTION("""COMPUTED_VALUE"""),"9")</f>
        <v>9</v>
      </c>
      <c r="C1339" s="6" t="str">
        <f>IFERROR(__xludf.DUMMYFUNCTION("""COMPUTED_VALUE"""),"1593")</f>
        <v>1593</v>
      </c>
      <c r="D1339" s="6" t="str">
        <f>IFERROR(__xludf.DUMMYFUNCTION("""COMPUTED_VALUE"""),"Radchenko")</f>
        <v>Radchenko</v>
      </c>
      <c r="E1339" s="6" t="str">
        <f>IFERROR(__xludf.DUMMYFUNCTION("""COMPUTED_VALUE"""),"")</f>
        <v/>
      </c>
      <c r="F1339" s="6" t="str">
        <f>IFERROR(__xludf.DUMMYFUNCTION("""COMPUTED_VALUE"""),"Nikita")</f>
        <v>Nikita</v>
      </c>
      <c r="G1339" s="6" t="str">
        <f>IFERROR(__xludf.DUMMYFUNCTION("""COMPUTED_VALUE"""),"01/01/2017")</f>
        <v>01/01/2017</v>
      </c>
      <c r="H1339" s="6" t="str">
        <f>IFERROR(__xludf.DUMMYFUNCTION("""COMPUTED_VALUE"""),"Self Identify")</f>
        <v>Self Identify</v>
      </c>
      <c r="I1339" s="6" t="str">
        <f>IFERROR(__xludf.DUMMYFUNCTION("""COMPUTED_VALUE"""),"Level 1")</f>
        <v>Level 1</v>
      </c>
      <c r="J1339" s="6" t="str">
        <f>IFERROR(__xludf.DUMMYFUNCTION("""COMPUTED_VALUE"""),"2")</f>
        <v>2</v>
      </c>
      <c r="K1339" s="6" t="str">
        <f>IFERROR(__xludf.DUMMYFUNCTION("""COMPUTED_VALUE"""),"radchenko.nikita@2hourlearning.com")</f>
        <v>radchenko.nikita@2hourlearning.com</v>
      </c>
      <c r="L1339" s="6" t="str">
        <f>IFERROR(__xludf.DUMMYFUNCTION("""COMPUTED_VALUE"""),"Learn and Earn Poland")</f>
        <v>Learn and Earn Poland</v>
      </c>
      <c r="M1339" s="6" t="str">
        <f>IFERROR(__xludf.DUMMYFUNCTION("""COMPUTED_VALUE"""),"Budapest Alpha")</f>
        <v>Budapest Alpha</v>
      </c>
      <c r="N1339" s="6" t="str">
        <f>IFERROR(__xludf.DUMMYFUNCTION("""COMPUTED_VALUE"""),"")</f>
        <v/>
      </c>
      <c r="O1339" s="87" t="str">
        <f>IFERROR(__xludf.DUMMYFUNCTION("""COMPUTED_VALUE"""),"https://drive.google.com/drive/folders/10T2cTQHqEJZqE-st6uFKPoI?usp=share_link")</f>
        <v>https://drive.google.com/drive/folders/10T2cTQHqEJZqE-st6uFKPoI?usp=share_link</v>
      </c>
      <c r="P1339" s="6" t="str">
        <f>IFERROR(__xludf.DUMMYFUNCTION("""COMPUTED_VALUE"""),"Radchenko Nikita")</f>
        <v>Radchenko Nikita</v>
      </c>
      <c r="Q1339" s="6" t="str">
        <f>IFERROR(__xludf.DUMMYFUNCTION("""COMPUTED_VALUE"""),"L1")</f>
        <v>L1</v>
      </c>
      <c r="R1339" s="6">
        <f>IFERROR(__xludf.DUMMYFUNCTION("""COMPUTED_VALUE"""),1.0)</f>
        <v>1</v>
      </c>
      <c r="S1339" s="6" t="str">
        <f>IFERROR(__xludf.DUMMYFUNCTION("""COMPUTED_VALUE""")," ")</f>
        <v> </v>
      </c>
      <c r="T1339" s="6" t="str">
        <f>IFERROR(__xludf.DUMMYFUNCTION("""COMPUTED_VALUE"""),"")</f>
        <v/>
      </c>
      <c r="U1339" s="6" t="str">
        <f>IFERROR(__xludf.DUMMYFUNCTION("""COMPUTED_VALUE"""),"2")</f>
        <v>2</v>
      </c>
      <c r="V1339" s="6" t="str">
        <f>IFERROR(__xludf.DUMMYFUNCTION("""COMPUTED_VALUE"""),"English")</f>
        <v>English</v>
      </c>
      <c r="W1339" s="6" t="str">
        <f>IFERROR(__xludf.DUMMYFUNCTION("""COMPUTED_VALUE"""),"[]")</f>
        <v>[]</v>
      </c>
      <c r="X1339" s="6" t="str">
        <f>IFERROR(__xludf.DUMMYFUNCTION("""COMPUTED_VALUE"""),"Enrolled")</f>
        <v>Enrolled</v>
      </c>
    </row>
    <row r="1340">
      <c r="A1340" s="6" t="str">
        <f>IFERROR(__xludf.DUMMYFUNCTION("""COMPUTED_VALUE"""),"009-1594")</f>
        <v>009-1594</v>
      </c>
      <c r="B1340" s="6" t="str">
        <f>IFERROR(__xludf.DUMMYFUNCTION("""COMPUTED_VALUE"""),"9")</f>
        <v>9</v>
      </c>
      <c r="C1340" s="6" t="str">
        <f>IFERROR(__xludf.DUMMYFUNCTION("""COMPUTED_VALUE"""),"1594")</f>
        <v>1594</v>
      </c>
      <c r="D1340" s="6" t="str">
        <f>IFERROR(__xludf.DUMMYFUNCTION("""COMPUTED_VALUE"""),"Sebastiian")</f>
        <v>Sebastiian</v>
      </c>
      <c r="E1340" s="6" t="str">
        <f>IFERROR(__xludf.DUMMYFUNCTION("""COMPUTED_VALUE"""),"")</f>
        <v/>
      </c>
      <c r="F1340" s="6" t="str">
        <f>IFERROR(__xludf.DUMMYFUNCTION("""COMPUTED_VALUE"""),"Popovych")</f>
        <v>Popovych</v>
      </c>
      <c r="G1340" s="6" t="str">
        <f>IFERROR(__xludf.DUMMYFUNCTION("""COMPUTED_VALUE"""),"01/01/2009")</f>
        <v>01/01/2009</v>
      </c>
      <c r="H1340" s="6" t="str">
        <f>IFERROR(__xludf.DUMMYFUNCTION("""COMPUTED_VALUE"""),"Self Identify")</f>
        <v>Self Identify</v>
      </c>
      <c r="I1340" s="6" t="str">
        <f>IFERROR(__xludf.DUMMYFUNCTION("""COMPUTED_VALUE"""),"High School")</f>
        <v>High School</v>
      </c>
      <c r="J1340" s="6" t="str">
        <f>IFERROR(__xludf.DUMMYFUNCTION("""COMPUTED_VALUE"""),"10")</f>
        <v>10</v>
      </c>
      <c r="K1340" s="6" t="str">
        <f>IFERROR(__xludf.DUMMYFUNCTION("""COMPUTED_VALUE"""),"sebastiian.popovych@2hourlearning.com")</f>
        <v>sebastiian.popovych@2hourlearning.com</v>
      </c>
      <c r="L1340" s="6" t="str">
        <f>IFERROR(__xludf.DUMMYFUNCTION("""COMPUTED_VALUE"""),"Learn and Earn Poland")</f>
        <v>Learn and Earn Poland</v>
      </c>
      <c r="M1340" s="6" t="str">
        <f>IFERROR(__xludf.DUMMYFUNCTION("""COMPUTED_VALUE"""),"Budapest Alpha")</f>
        <v>Budapest Alpha</v>
      </c>
      <c r="N1340" s="6" t="str">
        <f>IFERROR(__xludf.DUMMYFUNCTION("""COMPUTED_VALUE"""),"")</f>
        <v/>
      </c>
      <c r="O1340" s="87" t="str">
        <f>IFERROR(__xludf.DUMMYFUNCTION("""COMPUTED_VALUE"""),"https://drive.google.com/drive/folders/10T2cTQHqEJZqE-st6uFKPoI?usp=share_link")</f>
        <v>https://drive.google.com/drive/folders/10T2cTQHqEJZqE-st6uFKPoI?usp=share_link</v>
      </c>
      <c r="P1340" s="6" t="str">
        <f>IFERROR(__xludf.DUMMYFUNCTION("""COMPUTED_VALUE"""),"Sebastiian Popovych")</f>
        <v>Sebastiian Popovych</v>
      </c>
      <c r="Q1340" s="6" t="str">
        <f>IFERROR(__xludf.DUMMYFUNCTION("""COMPUTED_VALUE"""),"HS")</f>
        <v>HS</v>
      </c>
      <c r="R1340" s="6">
        <f>IFERROR(__xludf.DUMMYFUNCTION("""COMPUTED_VALUE"""),0.0)</f>
        <v>0</v>
      </c>
      <c r="S1340" s="6" t="str">
        <f>IFERROR(__xludf.DUMMYFUNCTION("""COMPUTED_VALUE""")," ")</f>
        <v> </v>
      </c>
      <c r="T1340" s="6" t="str">
        <f>IFERROR(__xludf.DUMMYFUNCTION("""COMPUTED_VALUE"""),"")</f>
        <v/>
      </c>
      <c r="U1340" s="6" t="str">
        <f>IFERROR(__xludf.DUMMYFUNCTION("""COMPUTED_VALUE"""),"10")</f>
        <v>10</v>
      </c>
      <c r="V1340" s="6" t="str">
        <f>IFERROR(__xludf.DUMMYFUNCTION("""COMPUTED_VALUE"""),"English")</f>
        <v>English</v>
      </c>
      <c r="W1340" s="6" t="str">
        <f>IFERROR(__xludf.DUMMYFUNCTION("""COMPUTED_VALUE"""),"[]")</f>
        <v>[]</v>
      </c>
      <c r="X1340" s="6" t="str">
        <f>IFERROR(__xludf.DUMMYFUNCTION("""COMPUTED_VALUE"""),"Enrolled")</f>
        <v>Enrolled</v>
      </c>
    </row>
    <row r="1341">
      <c r="A1341" s="6" t="str">
        <f>IFERROR(__xludf.DUMMYFUNCTION("""COMPUTED_VALUE"""),"009-1595")</f>
        <v>009-1595</v>
      </c>
      <c r="B1341" s="6" t="str">
        <f>IFERROR(__xludf.DUMMYFUNCTION("""COMPUTED_VALUE"""),"9")</f>
        <v>9</v>
      </c>
      <c r="C1341" s="6" t="str">
        <f>IFERROR(__xludf.DUMMYFUNCTION("""COMPUTED_VALUE"""),"1595")</f>
        <v>1595</v>
      </c>
      <c r="D1341" s="6" t="str">
        <f>IFERROR(__xludf.DUMMYFUNCTION("""COMPUTED_VALUE"""),"Mandryka")</f>
        <v>Mandryka</v>
      </c>
      <c r="E1341" s="6" t="str">
        <f>IFERROR(__xludf.DUMMYFUNCTION("""COMPUTED_VALUE"""),"")</f>
        <v/>
      </c>
      <c r="F1341" s="6" t="str">
        <f>IFERROR(__xludf.DUMMYFUNCTION("""COMPUTED_VALUE"""),"Damian")</f>
        <v>Damian</v>
      </c>
      <c r="G1341" s="6" t="str">
        <f>IFERROR(__xludf.DUMMYFUNCTION("""COMPUTED_VALUE"""),"01/01/2013")</f>
        <v>01/01/2013</v>
      </c>
      <c r="H1341" s="6" t="str">
        <f>IFERROR(__xludf.DUMMYFUNCTION("""COMPUTED_VALUE"""),"Self Identify")</f>
        <v>Self Identify</v>
      </c>
      <c r="I1341" s="6" t="str">
        <f>IFERROR(__xludf.DUMMYFUNCTION("""COMPUTED_VALUE"""),"Middle School")</f>
        <v>Middle School</v>
      </c>
      <c r="J1341" s="6" t="str">
        <f>IFERROR(__xludf.DUMMYFUNCTION("""COMPUTED_VALUE"""),"6")</f>
        <v>6</v>
      </c>
      <c r="K1341" s="6" t="str">
        <f>IFERROR(__xludf.DUMMYFUNCTION("""COMPUTED_VALUE"""),"mandryka.damian@2hourlearning.com")</f>
        <v>mandryka.damian@2hourlearning.com</v>
      </c>
      <c r="L1341" s="6" t="str">
        <f>IFERROR(__xludf.DUMMYFUNCTION("""COMPUTED_VALUE"""),"Learn and Earn Poland")</f>
        <v>Learn and Earn Poland</v>
      </c>
      <c r="M1341" s="6" t="str">
        <f>IFERROR(__xludf.DUMMYFUNCTION("""COMPUTED_VALUE"""),"Budapest ex-GTS")</f>
        <v>Budapest ex-GTS</v>
      </c>
      <c r="N1341" s="6" t="str">
        <f>IFERROR(__xludf.DUMMYFUNCTION("""COMPUTED_VALUE"""),"")</f>
        <v/>
      </c>
      <c r="O1341" s="87" t="str">
        <f>IFERROR(__xludf.DUMMYFUNCTION("""COMPUTED_VALUE"""),"https://drive.google.com/drive/folders/10T2cTQHqEJZqE-st6uFKPoI?usp=share_link")</f>
        <v>https://drive.google.com/drive/folders/10T2cTQHqEJZqE-st6uFKPoI?usp=share_link</v>
      </c>
      <c r="P1341" s="6" t="str">
        <f>IFERROR(__xludf.DUMMYFUNCTION("""COMPUTED_VALUE"""),"Mandryka Damian")</f>
        <v>Mandryka Damian</v>
      </c>
      <c r="Q1341" s="6" t="str">
        <f>IFERROR(__xludf.DUMMYFUNCTION("""COMPUTED_VALUE"""),"MS")</f>
        <v>MS</v>
      </c>
      <c r="R1341" s="6">
        <f>IFERROR(__xludf.DUMMYFUNCTION("""COMPUTED_VALUE"""),0.0)</f>
        <v>0</v>
      </c>
      <c r="S1341" s="6" t="str">
        <f>IFERROR(__xludf.DUMMYFUNCTION("""COMPUTED_VALUE""")," ")</f>
        <v> </v>
      </c>
      <c r="T1341" s="6" t="str">
        <f>IFERROR(__xludf.DUMMYFUNCTION("""COMPUTED_VALUE"""),"")</f>
        <v/>
      </c>
      <c r="U1341" s="6" t="str">
        <f>IFERROR(__xludf.DUMMYFUNCTION("""COMPUTED_VALUE"""),"6")</f>
        <v>6</v>
      </c>
      <c r="V1341" s="6" t="str">
        <f>IFERROR(__xludf.DUMMYFUNCTION("""COMPUTED_VALUE"""),"English")</f>
        <v>English</v>
      </c>
      <c r="W1341" s="6" t="str">
        <f>IFERROR(__xludf.DUMMYFUNCTION("""COMPUTED_VALUE"""),"[]")</f>
        <v>[]</v>
      </c>
      <c r="X1341" s="6" t="str">
        <f>IFERROR(__xludf.DUMMYFUNCTION("""COMPUTED_VALUE"""),"Enrolled")</f>
        <v>Enrolled</v>
      </c>
    </row>
    <row r="1342">
      <c r="A1342" s="6" t="str">
        <f>IFERROR(__xludf.DUMMYFUNCTION("""COMPUTED_VALUE"""),"009-1596")</f>
        <v>009-1596</v>
      </c>
      <c r="B1342" s="6" t="str">
        <f>IFERROR(__xludf.DUMMYFUNCTION("""COMPUTED_VALUE"""),"9")</f>
        <v>9</v>
      </c>
      <c r="C1342" s="6" t="str">
        <f>IFERROR(__xludf.DUMMYFUNCTION("""COMPUTED_VALUE"""),"1596")</f>
        <v>1596</v>
      </c>
      <c r="D1342" s="6" t="str">
        <f>IFERROR(__xludf.DUMMYFUNCTION("""COMPUTED_VALUE"""),"Emma")</f>
        <v>Emma</v>
      </c>
      <c r="E1342" s="6" t="str">
        <f>IFERROR(__xludf.DUMMYFUNCTION("""COMPUTED_VALUE"""),"")</f>
        <v/>
      </c>
      <c r="F1342" s="6" t="str">
        <f>IFERROR(__xludf.DUMMYFUNCTION("""COMPUTED_VALUE"""),"Szilagyi")</f>
        <v>Szilagyi</v>
      </c>
      <c r="G1342" s="6" t="str">
        <f>IFERROR(__xludf.DUMMYFUNCTION("""COMPUTED_VALUE"""),"01/01/2014")</f>
        <v>01/01/2014</v>
      </c>
      <c r="H1342" s="6" t="str">
        <f>IFERROR(__xludf.DUMMYFUNCTION("""COMPUTED_VALUE"""),"Self Identify")</f>
        <v>Self Identify</v>
      </c>
      <c r="I1342" s="6" t="str">
        <f>IFERROR(__xludf.DUMMYFUNCTION("""COMPUTED_VALUE"""),"Level 2")</f>
        <v>Level 2</v>
      </c>
      <c r="J1342" s="6" t="str">
        <f>IFERROR(__xludf.DUMMYFUNCTION("""COMPUTED_VALUE"""),"5")</f>
        <v>5</v>
      </c>
      <c r="K1342" s="6" t="str">
        <f>IFERROR(__xludf.DUMMYFUNCTION("""COMPUTED_VALUE"""),"emma.szilagyi@2hourlearning.com")</f>
        <v>emma.szilagyi@2hourlearning.com</v>
      </c>
      <c r="L1342" s="6" t="str">
        <f>IFERROR(__xludf.DUMMYFUNCTION("""COMPUTED_VALUE"""),"Learn and Earn Poland")</f>
        <v>Learn and Earn Poland</v>
      </c>
      <c r="M1342" s="6" t="str">
        <f>IFERROR(__xludf.DUMMYFUNCTION("""COMPUTED_VALUE"""),"Budapest Alpha")</f>
        <v>Budapest Alpha</v>
      </c>
      <c r="N1342" s="6" t="str">
        <f>IFERROR(__xludf.DUMMYFUNCTION("""COMPUTED_VALUE"""),"")</f>
        <v/>
      </c>
      <c r="O1342" s="87" t="str">
        <f>IFERROR(__xludf.DUMMYFUNCTION("""COMPUTED_VALUE"""),"https://drive.google.com/drive/folders/10T2cTQHqEJZqE-st6uFKPoI?usp=share_link")</f>
        <v>https://drive.google.com/drive/folders/10T2cTQHqEJZqE-st6uFKPoI?usp=share_link</v>
      </c>
      <c r="P1342" s="6" t="str">
        <f>IFERROR(__xludf.DUMMYFUNCTION("""COMPUTED_VALUE"""),"Emma Szilagyi")</f>
        <v>Emma Szilagyi</v>
      </c>
      <c r="Q1342" s="6" t="str">
        <f>IFERROR(__xludf.DUMMYFUNCTION("""COMPUTED_VALUE"""),"L2")</f>
        <v>L2</v>
      </c>
      <c r="R1342" s="6">
        <f>IFERROR(__xludf.DUMMYFUNCTION("""COMPUTED_VALUE"""),2.0)</f>
        <v>2</v>
      </c>
      <c r="S1342" s="6" t="str">
        <f>IFERROR(__xludf.DUMMYFUNCTION("""COMPUTED_VALUE""")," ")</f>
        <v> </v>
      </c>
      <c r="T1342" s="6" t="str">
        <f>IFERROR(__xludf.DUMMYFUNCTION("""COMPUTED_VALUE"""),"")</f>
        <v/>
      </c>
      <c r="U1342" s="6" t="str">
        <f>IFERROR(__xludf.DUMMYFUNCTION("""COMPUTED_VALUE"""),"5")</f>
        <v>5</v>
      </c>
      <c r="V1342" s="6" t="str">
        <f>IFERROR(__xludf.DUMMYFUNCTION("""COMPUTED_VALUE"""),"English")</f>
        <v>English</v>
      </c>
      <c r="W1342" s="6" t="str">
        <f>IFERROR(__xludf.DUMMYFUNCTION("""COMPUTED_VALUE"""),"[]")</f>
        <v>[]</v>
      </c>
      <c r="X1342" s="6" t="str">
        <f>IFERROR(__xludf.DUMMYFUNCTION("""COMPUTED_VALUE"""),"Enrolled")</f>
        <v>Enrolled</v>
      </c>
    </row>
    <row r="1343">
      <c r="A1343" s="6" t="str">
        <f>IFERROR(__xludf.DUMMYFUNCTION("""COMPUTED_VALUE"""),"009-1597")</f>
        <v>009-1597</v>
      </c>
      <c r="B1343" s="6" t="str">
        <f>IFERROR(__xludf.DUMMYFUNCTION("""COMPUTED_VALUE"""),"9")</f>
        <v>9</v>
      </c>
      <c r="C1343" s="6" t="str">
        <f>IFERROR(__xludf.DUMMYFUNCTION("""COMPUTED_VALUE"""),"1597")</f>
        <v>1597</v>
      </c>
      <c r="D1343" s="6" t="str">
        <f>IFERROR(__xludf.DUMMYFUNCTION("""COMPUTED_VALUE"""),"Tytarenko")</f>
        <v>Tytarenko</v>
      </c>
      <c r="E1343" s="6" t="str">
        <f>IFERROR(__xludf.DUMMYFUNCTION("""COMPUTED_VALUE"""),"")</f>
        <v/>
      </c>
      <c r="F1343" s="6" t="str">
        <f>IFERROR(__xludf.DUMMYFUNCTION("""COMPUTED_VALUE"""),"Pavlo")</f>
        <v>Pavlo</v>
      </c>
      <c r="G1343" s="6" t="str">
        <f>IFERROR(__xludf.DUMMYFUNCTION("""COMPUTED_VALUE"""),"01/01/2014")</f>
        <v>01/01/2014</v>
      </c>
      <c r="H1343" s="6" t="str">
        <f>IFERROR(__xludf.DUMMYFUNCTION("""COMPUTED_VALUE"""),"Self Identify")</f>
        <v>Self Identify</v>
      </c>
      <c r="I1343" s="6" t="str">
        <f>IFERROR(__xludf.DUMMYFUNCTION("""COMPUTED_VALUE"""),"Level 2")</f>
        <v>Level 2</v>
      </c>
      <c r="J1343" s="6" t="str">
        <f>IFERROR(__xludf.DUMMYFUNCTION("""COMPUTED_VALUE"""),"5")</f>
        <v>5</v>
      </c>
      <c r="K1343" s="6" t="str">
        <f>IFERROR(__xludf.DUMMYFUNCTION("""COMPUTED_VALUE"""),"tytarenko.pavlo@2hourlearning.com")</f>
        <v>tytarenko.pavlo@2hourlearning.com</v>
      </c>
      <c r="L1343" s="6" t="str">
        <f>IFERROR(__xludf.DUMMYFUNCTION("""COMPUTED_VALUE"""),"Learn and Earn Poland")</f>
        <v>Learn and Earn Poland</v>
      </c>
      <c r="M1343" s="6" t="str">
        <f>IFERROR(__xludf.DUMMYFUNCTION("""COMPUTED_VALUE"""),"Budapest Alpha")</f>
        <v>Budapest Alpha</v>
      </c>
      <c r="N1343" s="6" t="str">
        <f>IFERROR(__xludf.DUMMYFUNCTION("""COMPUTED_VALUE"""),"")</f>
        <v/>
      </c>
      <c r="O1343" s="87" t="str">
        <f>IFERROR(__xludf.DUMMYFUNCTION("""COMPUTED_VALUE"""),"https://drive.google.com/drive/folders/10T2cTQHqEJZqE-st6uFKPoI?usp=share_link")</f>
        <v>https://drive.google.com/drive/folders/10T2cTQHqEJZqE-st6uFKPoI?usp=share_link</v>
      </c>
      <c r="P1343" s="6" t="str">
        <f>IFERROR(__xludf.DUMMYFUNCTION("""COMPUTED_VALUE"""),"Tytarenko Pavlo")</f>
        <v>Tytarenko Pavlo</v>
      </c>
      <c r="Q1343" s="6" t="str">
        <f>IFERROR(__xludf.DUMMYFUNCTION("""COMPUTED_VALUE"""),"L2")</f>
        <v>L2</v>
      </c>
      <c r="R1343" s="6">
        <f>IFERROR(__xludf.DUMMYFUNCTION("""COMPUTED_VALUE"""),2.0)</f>
        <v>2</v>
      </c>
      <c r="S1343" s="6" t="str">
        <f>IFERROR(__xludf.DUMMYFUNCTION("""COMPUTED_VALUE""")," ")</f>
        <v> </v>
      </c>
      <c r="T1343" s="6" t="str">
        <f>IFERROR(__xludf.DUMMYFUNCTION("""COMPUTED_VALUE"""),"")</f>
        <v/>
      </c>
      <c r="U1343" s="6" t="str">
        <f>IFERROR(__xludf.DUMMYFUNCTION("""COMPUTED_VALUE"""),"5")</f>
        <v>5</v>
      </c>
      <c r="V1343" s="6" t="str">
        <f>IFERROR(__xludf.DUMMYFUNCTION("""COMPUTED_VALUE"""),"English")</f>
        <v>English</v>
      </c>
      <c r="W1343" s="6" t="str">
        <f>IFERROR(__xludf.DUMMYFUNCTION("""COMPUTED_VALUE"""),"[]")</f>
        <v>[]</v>
      </c>
      <c r="X1343" s="6" t="str">
        <f>IFERROR(__xludf.DUMMYFUNCTION("""COMPUTED_VALUE"""),"Enrolled")</f>
        <v>Enrolled</v>
      </c>
    </row>
    <row r="1344">
      <c r="A1344" s="6" t="str">
        <f>IFERROR(__xludf.DUMMYFUNCTION("""COMPUTED_VALUE"""),"009-1598")</f>
        <v>009-1598</v>
      </c>
      <c r="B1344" s="6" t="str">
        <f>IFERROR(__xludf.DUMMYFUNCTION("""COMPUTED_VALUE"""),"9")</f>
        <v>9</v>
      </c>
      <c r="C1344" s="6" t="str">
        <f>IFERROR(__xludf.DUMMYFUNCTION("""COMPUTED_VALUE"""),"1598")</f>
        <v>1598</v>
      </c>
      <c r="D1344" s="6" t="str">
        <f>IFERROR(__xludf.DUMMYFUNCTION("""COMPUTED_VALUE"""),"Lebediev")</f>
        <v>Lebediev</v>
      </c>
      <c r="E1344" s="6" t="str">
        <f>IFERROR(__xludf.DUMMYFUNCTION("""COMPUTED_VALUE"""),"")</f>
        <v/>
      </c>
      <c r="F1344" s="6" t="str">
        <f>IFERROR(__xludf.DUMMYFUNCTION("""COMPUTED_VALUE"""),"Andrii")</f>
        <v>Andrii</v>
      </c>
      <c r="G1344" s="6" t="str">
        <f>IFERROR(__xludf.DUMMYFUNCTION("""COMPUTED_VALUE"""),"01/01/2016")</f>
        <v>01/01/2016</v>
      </c>
      <c r="H1344" s="6" t="str">
        <f>IFERROR(__xludf.DUMMYFUNCTION("""COMPUTED_VALUE"""),"Self Identify")</f>
        <v>Self Identify</v>
      </c>
      <c r="I1344" s="6" t="str">
        <f>IFERROR(__xludf.DUMMYFUNCTION("""COMPUTED_VALUE"""),"Level 1")</f>
        <v>Level 1</v>
      </c>
      <c r="J1344" s="6" t="str">
        <f>IFERROR(__xludf.DUMMYFUNCTION("""COMPUTED_VALUE"""),"3")</f>
        <v>3</v>
      </c>
      <c r="K1344" s="6" t="str">
        <f>IFERROR(__xludf.DUMMYFUNCTION("""COMPUTED_VALUE"""),"lebediev.andrii@2hourlearning.com")</f>
        <v>lebediev.andrii@2hourlearning.com</v>
      </c>
      <c r="L1344" s="6" t="str">
        <f>IFERROR(__xludf.DUMMYFUNCTION("""COMPUTED_VALUE"""),"Learn and Earn Poland")</f>
        <v>Learn and Earn Poland</v>
      </c>
      <c r="M1344" s="6" t="str">
        <f>IFERROR(__xludf.DUMMYFUNCTION("""COMPUTED_VALUE"""),"Budapest ex-GTS")</f>
        <v>Budapest ex-GTS</v>
      </c>
      <c r="N1344" s="6" t="str">
        <f>IFERROR(__xludf.DUMMYFUNCTION("""COMPUTED_VALUE"""),"")</f>
        <v/>
      </c>
      <c r="O1344" s="87" t="str">
        <f>IFERROR(__xludf.DUMMYFUNCTION("""COMPUTED_VALUE"""),"https://drive.google.com/drive/folders/10T2cTQHqEJZqE-st6uFKPoI?usp=share_link")</f>
        <v>https://drive.google.com/drive/folders/10T2cTQHqEJZqE-st6uFKPoI?usp=share_link</v>
      </c>
      <c r="P1344" s="6" t="str">
        <f>IFERROR(__xludf.DUMMYFUNCTION("""COMPUTED_VALUE"""),"Lebediev Andrii")</f>
        <v>Lebediev Andrii</v>
      </c>
      <c r="Q1344" s="6" t="str">
        <f>IFERROR(__xludf.DUMMYFUNCTION("""COMPUTED_VALUE"""),"L1")</f>
        <v>L1</v>
      </c>
      <c r="R1344" s="6">
        <f>IFERROR(__xludf.DUMMYFUNCTION("""COMPUTED_VALUE"""),1.0)</f>
        <v>1</v>
      </c>
      <c r="S1344" s="6" t="str">
        <f>IFERROR(__xludf.DUMMYFUNCTION("""COMPUTED_VALUE""")," ")</f>
        <v> </v>
      </c>
      <c r="T1344" s="6" t="str">
        <f>IFERROR(__xludf.DUMMYFUNCTION("""COMPUTED_VALUE"""),"")</f>
        <v/>
      </c>
      <c r="U1344" s="6" t="str">
        <f>IFERROR(__xludf.DUMMYFUNCTION("""COMPUTED_VALUE"""),"3")</f>
        <v>3</v>
      </c>
      <c r="V1344" s="6" t="str">
        <f>IFERROR(__xludf.DUMMYFUNCTION("""COMPUTED_VALUE"""),"English")</f>
        <v>English</v>
      </c>
      <c r="W1344" s="6" t="str">
        <f>IFERROR(__xludf.DUMMYFUNCTION("""COMPUTED_VALUE"""),"[]")</f>
        <v>[]</v>
      </c>
      <c r="X1344" s="6" t="str">
        <f>IFERROR(__xludf.DUMMYFUNCTION("""COMPUTED_VALUE"""),"Enrolled")</f>
        <v>Enrolled</v>
      </c>
    </row>
    <row r="1345">
      <c r="A1345" s="6" t="str">
        <f>IFERROR(__xludf.DUMMYFUNCTION("""COMPUTED_VALUE"""),"009-1599")</f>
        <v>009-1599</v>
      </c>
      <c r="B1345" s="6" t="str">
        <f>IFERROR(__xludf.DUMMYFUNCTION("""COMPUTED_VALUE"""),"9")</f>
        <v>9</v>
      </c>
      <c r="C1345" s="6" t="str">
        <f>IFERROR(__xludf.DUMMYFUNCTION("""COMPUTED_VALUE"""),"1599")</f>
        <v>1599</v>
      </c>
      <c r="D1345" s="6" t="str">
        <f>IFERROR(__xludf.DUMMYFUNCTION("""COMPUTED_VALUE"""),"Faktulina")</f>
        <v>Faktulina</v>
      </c>
      <c r="E1345" s="6" t="str">
        <f>IFERROR(__xludf.DUMMYFUNCTION("""COMPUTED_VALUE"""),"")</f>
        <v/>
      </c>
      <c r="F1345" s="6" t="str">
        <f>IFERROR(__xludf.DUMMYFUNCTION("""COMPUTED_VALUE"""),"Solomiia")</f>
        <v>Solomiia</v>
      </c>
      <c r="G1345" s="6" t="str">
        <f>IFERROR(__xludf.DUMMYFUNCTION("""COMPUTED_VALUE"""),"01/01/2016")</f>
        <v>01/01/2016</v>
      </c>
      <c r="H1345" s="6" t="str">
        <f>IFERROR(__xludf.DUMMYFUNCTION("""COMPUTED_VALUE"""),"Self Identify")</f>
        <v>Self Identify</v>
      </c>
      <c r="I1345" s="6" t="str">
        <f>IFERROR(__xludf.DUMMYFUNCTION("""COMPUTED_VALUE"""),"Level 1")</f>
        <v>Level 1</v>
      </c>
      <c r="J1345" s="6" t="str">
        <f>IFERROR(__xludf.DUMMYFUNCTION("""COMPUTED_VALUE"""),"3")</f>
        <v>3</v>
      </c>
      <c r="K1345" s="6" t="str">
        <f>IFERROR(__xludf.DUMMYFUNCTION("""COMPUTED_VALUE"""),"faktulina.solomiia@2hourlearning.com")</f>
        <v>faktulina.solomiia@2hourlearning.com</v>
      </c>
      <c r="L1345" s="6" t="str">
        <f>IFERROR(__xludf.DUMMYFUNCTION("""COMPUTED_VALUE"""),"Learn and Earn Poland")</f>
        <v>Learn and Earn Poland</v>
      </c>
      <c r="M1345" s="6" t="str">
        <f>IFERROR(__xludf.DUMMYFUNCTION("""COMPUTED_VALUE"""),"Budapest Alpha")</f>
        <v>Budapest Alpha</v>
      </c>
      <c r="N1345" s="6" t="str">
        <f>IFERROR(__xludf.DUMMYFUNCTION("""COMPUTED_VALUE"""),"")</f>
        <v/>
      </c>
      <c r="O1345" s="87" t="str">
        <f>IFERROR(__xludf.DUMMYFUNCTION("""COMPUTED_VALUE"""),"https://drive.google.com/drive/folders/10T2cTQHqEJZqE-st6uFKPoI?usp=share_link")</f>
        <v>https://drive.google.com/drive/folders/10T2cTQHqEJZqE-st6uFKPoI?usp=share_link</v>
      </c>
      <c r="P1345" s="6" t="str">
        <f>IFERROR(__xludf.DUMMYFUNCTION("""COMPUTED_VALUE"""),"Faktulina Solomiia")</f>
        <v>Faktulina Solomiia</v>
      </c>
      <c r="Q1345" s="6" t="str">
        <f>IFERROR(__xludf.DUMMYFUNCTION("""COMPUTED_VALUE"""),"L1")</f>
        <v>L1</v>
      </c>
      <c r="R1345" s="6">
        <f>IFERROR(__xludf.DUMMYFUNCTION("""COMPUTED_VALUE"""),1.0)</f>
        <v>1</v>
      </c>
      <c r="S1345" s="6" t="str">
        <f>IFERROR(__xludf.DUMMYFUNCTION("""COMPUTED_VALUE""")," ")</f>
        <v> </v>
      </c>
      <c r="T1345" s="6" t="str">
        <f>IFERROR(__xludf.DUMMYFUNCTION("""COMPUTED_VALUE"""),"")</f>
        <v/>
      </c>
      <c r="U1345" s="6" t="str">
        <f>IFERROR(__xludf.DUMMYFUNCTION("""COMPUTED_VALUE"""),"3")</f>
        <v>3</v>
      </c>
      <c r="V1345" s="6" t="str">
        <f>IFERROR(__xludf.DUMMYFUNCTION("""COMPUTED_VALUE"""),"English")</f>
        <v>English</v>
      </c>
      <c r="W1345" s="6" t="str">
        <f>IFERROR(__xludf.DUMMYFUNCTION("""COMPUTED_VALUE"""),"[]")</f>
        <v>[]</v>
      </c>
      <c r="X1345" s="6" t="str">
        <f>IFERROR(__xludf.DUMMYFUNCTION("""COMPUTED_VALUE"""),"Enrolled")</f>
        <v>Enrolled</v>
      </c>
    </row>
    <row r="1346">
      <c r="A1346" s="6" t="str">
        <f>IFERROR(__xludf.DUMMYFUNCTION("""COMPUTED_VALUE"""),"009-1600")</f>
        <v>009-1600</v>
      </c>
      <c r="B1346" s="6" t="str">
        <f>IFERROR(__xludf.DUMMYFUNCTION("""COMPUTED_VALUE"""),"9")</f>
        <v>9</v>
      </c>
      <c r="C1346" s="6" t="str">
        <f>IFERROR(__xludf.DUMMYFUNCTION("""COMPUTED_VALUE"""),"1600")</f>
        <v>1600</v>
      </c>
      <c r="D1346" s="6" t="str">
        <f>IFERROR(__xludf.DUMMYFUNCTION("""COMPUTED_VALUE"""),"Adam")</f>
        <v>Adam</v>
      </c>
      <c r="E1346" s="6" t="str">
        <f>IFERROR(__xludf.DUMMYFUNCTION("""COMPUTED_VALUE"""),"")</f>
        <v/>
      </c>
      <c r="F1346" s="6" t="str">
        <f>IFERROR(__xludf.DUMMYFUNCTION("""COMPUTED_VALUE"""),"Szanyi")</f>
        <v>Szanyi</v>
      </c>
      <c r="G1346" s="6" t="str">
        <f>IFERROR(__xludf.DUMMYFUNCTION("""COMPUTED_VALUE"""),"01/01/2014")</f>
        <v>01/01/2014</v>
      </c>
      <c r="H1346" s="6" t="str">
        <f>IFERROR(__xludf.DUMMYFUNCTION("""COMPUTED_VALUE"""),"Self Identify")</f>
        <v>Self Identify</v>
      </c>
      <c r="I1346" s="6" t="str">
        <f>IFERROR(__xludf.DUMMYFUNCTION("""COMPUTED_VALUE"""),"Level 2")</f>
        <v>Level 2</v>
      </c>
      <c r="J1346" s="6" t="str">
        <f>IFERROR(__xludf.DUMMYFUNCTION("""COMPUTED_VALUE"""),"5")</f>
        <v>5</v>
      </c>
      <c r="K1346" s="6" t="str">
        <f>IFERROR(__xludf.DUMMYFUNCTION("""COMPUTED_VALUE"""),"adam.szanyi@2hourlearning.com")</f>
        <v>adam.szanyi@2hourlearning.com</v>
      </c>
      <c r="L1346" s="6" t="str">
        <f>IFERROR(__xludf.DUMMYFUNCTION("""COMPUTED_VALUE"""),"Learn and Earn Poland")</f>
        <v>Learn and Earn Poland</v>
      </c>
      <c r="M1346" s="6" t="str">
        <f>IFERROR(__xludf.DUMMYFUNCTION("""COMPUTED_VALUE"""),"Budapest ex-GTS")</f>
        <v>Budapest ex-GTS</v>
      </c>
      <c r="N1346" s="6" t="str">
        <f>IFERROR(__xludf.DUMMYFUNCTION("""COMPUTED_VALUE"""),"")</f>
        <v/>
      </c>
      <c r="O1346" s="87" t="str">
        <f>IFERROR(__xludf.DUMMYFUNCTION("""COMPUTED_VALUE"""),"https://drive.google.com/drive/folders/10T2cTQHqEJZqE-st6uFKPoI?usp=share_link")</f>
        <v>https://drive.google.com/drive/folders/10T2cTQHqEJZqE-st6uFKPoI?usp=share_link</v>
      </c>
      <c r="P1346" s="6" t="str">
        <f>IFERROR(__xludf.DUMMYFUNCTION("""COMPUTED_VALUE"""),"Adam Szanyi")</f>
        <v>Adam Szanyi</v>
      </c>
      <c r="Q1346" s="6" t="str">
        <f>IFERROR(__xludf.DUMMYFUNCTION("""COMPUTED_VALUE"""),"L2")</f>
        <v>L2</v>
      </c>
      <c r="R1346" s="6">
        <f>IFERROR(__xludf.DUMMYFUNCTION("""COMPUTED_VALUE"""),2.0)</f>
        <v>2</v>
      </c>
      <c r="S1346" s="6" t="str">
        <f>IFERROR(__xludf.DUMMYFUNCTION("""COMPUTED_VALUE""")," ")</f>
        <v> </v>
      </c>
      <c r="T1346" s="6" t="str">
        <f>IFERROR(__xludf.DUMMYFUNCTION("""COMPUTED_VALUE"""),"")</f>
        <v/>
      </c>
      <c r="U1346" s="6" t="str">
        <f>IFERROR(__xludf.DUMMYFUNCTION("""COMPUTED_VALUE"""),"5")</f>
        <v>5</v>
      </c>
      <c r="V1346" s="6" t="str">
        <f>IFERROR(__xludf.DUMMYFUNCTION("""COMPUTED_VALUE"""),"English")</f>
        <v>English</v>
      </c>
      <c r="W1346" s="6" t="str">
        <f>IFERROR(__xludf.DUMMYFUNCTION("""COMPUTED_VALUE"""),"[]")</f>
        <v>[]</v>
      </c>
      <c r="X1346" s="6" t="str">
        <f>IFERROR(__xludf.DUMMYFUNCTION("""COMPUTED_VALUE"""),"Enrolled")</f>
        <v>Enrolled</v>
      </c>
    </row>
    <row r="1347">
      <c r="A1347" s="6" t="str">
        <f>IFERROR(__xludf.DUMMYFUNCTION("""COMPUTED_VALUE"""),"009-1601")</f>
        <v>009-1601</v>
      </c>
      <c r="B1347" s="6" t="str">
        <f>IFERROR(__xludf.DUMMYFUNCTION("""COMPUTED_VALUE"""),"9")</f>
        <v>9</v>
      </c>
      <c r="C1347" s="6" t="str">
        <f>IFERROR(__xludf.DUMMYFUNCTION("""COMPUTED_VALUE"""),"1601")</f>
        <v>1601</v>
      </c>
      <c r="D1347" s="6" t="str">
        <f>IFERROR(__xludf.DUMMYFUNCTION("""COMPUTED_VALUE"""),"Veronika")</f>
        <v>Veronika</v>
      </c>
      <c r="E1347" s="6" t="str">
        <f>IFERROR(__xludf.DUMMYFUNCTION("""COMPUTED_VALUE"""),"")</f>
        <v/>
      </c>
      <c r="F1347" s="6" t="str">
        <f>IFERROR(__xludf.DUMMYFUNCTION("""COMPUTED_VALUE"""),"Bereczky")</f>
        <v>Bereczky</v>
      </c>
      <c r="G1347" s="6" t="str">
        <f>IFERROR(__xludf.DUMMYFUNCTION("""COMPUTED_VALUE"""),"01/01/2017")</f>
        <v>01/01/2017</v>
      </c>
      <c r="H1347" s="6" t="str">
        <f>IFERROR(__xludf.DUMMYFUNCTION("""COMPUTED_VALUE"""),"Self Identify")</f>
        <v>Self Identify</v>
      </c>
      <c r="I1347" s="6" t="str">
        <f>IFERROR(__xludf.DUMMYFUNCTION("""COMPUTED_VALUE"""),"Level 1")</f>
        <v>Level 1</v>
      </c>
      <c r="J1347" s="6" t="str">
        <f>IFERROR(__xludf.DUMMYFUNCTION("""COMPUTED_VALUE"""),"2")</f>
        <v>2</v>
      </c>
      <c r="K1347" s="6" t="str">
        <f>IFERROR(__xludf.DUMMYFUNCTION("""COMPUTED_VALUE"""),"veronika.bereczky@2hourlearning.com")</f>
        <v>veronika.bereczky@2hourlearning.com</v>
      </c>
      <c r="L1347" s="6" t="str">
        <f>IFERROR(__xludf.DUMMYFUNCTION("""COMPUTED_VALUE"""),"Learn and Earn Poland")</f>
        <v>Learn and Earn Poland</v>
      </c>
      <c r="M1347" s="6" t="str">
        <f>IFERROR(__xludf.DUMMYFUNCTION("""COMPUTED_VALUE"""),"Budapest Alpha")</f>
        <v>Budapest Alpha</v>
      </c>
      <c r="N1347" s="6" t="str">
        <f>IFERROR(__xludf.DUMMYFUNCTION("""COMPUTED_VALUE"""),"")</f>
        <v/>
      </c>
      <c r="O1347" s="87" t="str">
        <f>IFERROR(__xludf.DUMMYFUNCTION("""COMPUTED_VALUE"""),"https://drive.google.com/drive/folders/10T2cTQHqEJZqE-st6uFKPoI?usp=share_link")</f>
        <v>https://drive.google.com/drive/folders/10T2cTQHqEJZqE-st6uFKPoI?usp=share_link</v>
      </c>
      <c r="P1347" s="6" t="str">
        <f>IFERROR(__xludf.DUMMYFUNCTION("""COMPUTED_VALUE"""),"Veronika Bereczky")</f>
        <v>Veronika Bereczky</v>
      </c>
      <c r="Q1347" s="6" t="str">
        <f>IFERROR(__xludf.DUMMYFUNCTION("""COMPUTED_VALUE"""),"L1")</f>
        <v>L1</v>
      </c>
      <c r="R1347" s="6">
        <f>IFERROR(__xludf.DUMMYFUNCTION("""COMPUTED_VALUE"""),1.0)</f>
        <v>1</v>
      </c>
      <c r="S1347" s="6" t="str">
        <f>IFERROR(__xludf.DUMMYFUNCTION("""COMPUTED_VALUE""")," ")</f>
        <v> </v>
      </c>
      <c r="T1347" s="6" t="str">
        <f>IFERROR(__xludf.DUMMYFUNCTION("""COMPUTED_VALUE"""),"")</f>
        <v/>
      </c>
      <c r="U1347" s="6" t="str">
        <f>IFERROR(__xludf.DUMMYFUNCTION("""COMPUTED_VALUE"""),"2")</f>
        <v>2</v>
      </c>
      <c r="V1347" s="6" t="str">
        <f>IFERROR(__xludf.DUMMYFUNCTION("""COMPUTED_VALUE"""),"English")</f>
        <v>English</v>
      </c>
      <c r="W1347" s="6" t="str">
        <f>IFERROR(__xludf.DUMMYFUNCTION("""COMPUTED_VALUE"""),"[]")</f>
        <v>[]</v>
      </c>
      <c r="X1347" s="6" t="str">
        <f>IFERROR(__xludf.DUMMYFUNCTION("""COMPUTED_VALUE"""),"Enrolled")</f>
        <v>Enrolled</v>
      </c>
    </row>
    <row r="1348">
      <c r="A1348" s="6" t="str">
        <f>IFERROR(__xludf.DUMMYFUNCTION("""COMPUTED_VALUE"""),"009-1602")</f>
        <v>009-1602</v>
      </c>
      <c r="B1348" s="6" t="str">
        <f>IFERROR(__xludf.DUMMYFUNCTION("""COMPUTED_VALUE"""),"9")</f>
        <v>9</v>
      </c>
      <c r="C1348" s="6" t="str">
        <f>IFERROR(__xludf.DUMMYFUNCTION("""COMPUTED_VALUE"""),"1602")</f>
        <v>1602</v>
      </c>
      <c r="D1348" s="6" t="str">
        <f>IFERROR(__xludf.DUMMYFUNCTION("""COMPUTED_VALUE"""),"Lebedieva")</f>
        <v>Lebedieva</v>
      </c>
      <c r="E1348" s="6" t="str">
        <f>IFERROR(__xludf.DUMMYFUNCTION("""COMPUTED_VALUE"""),"")</f>
        <v/>
      </c>
      <c r="F1348" s="6" t="str">
        <f>IFERROR(__xludf.DUMMYFUNCTION("""COMPUTED_VALUE"""),"Violetta")</f>
        <v>Violetta</v>
      </c>
      <c r="G1348" s="6" t="str">
        <f>IFERROR(__xludf.DUMMYFUNCTION("""COMPUTED_VALUE"""),"01/01/2014")</f>
        <v>01/01/2014</v>
      </c>
      <c r="H1348" s="6" t="str">
        <f>IFERROR(__xludf.DUMMYFUNCTION("""COMPUTED_VALUE"""),"Self Identify")</f>
        <v>Self Identify</v>
      </c>
      <c r="I1348" s="6" t="str">
        <f>IFERROR(__xludf.DUMMYFUNCTION("""COMPUTED_VALUE"""),"Level 2")</f>
        <v>Level 2</v>
      </c>
      <c r="J1348" s="6" t="str">
        <f>IFERROR(__xludf.DUMMYFUNCTION("""COMPUTED_VALUE"""),"5")</f>
        <v>5</v>
      </c>
      <c r="K1348" s="6" t="str">
        <f>IFERROR(__xludf.DUMMYFUNCTION("""COMPUTED_VALUE"""),"lebedieva.violetta@2hourlearning.com")</f>
        <v>lebedieva.violetta@2hourlearning.com</v>
      </c>
      <c r="L1348" s="6" t="str">
        <f>IFERROR(__xludf.DUMMYFUNCTION("""COMPUTED_VALUE"""),"Learn and Earn Poland")</f>
        <v>Learn and Earn Poland</v>
      </c>
      <c r="M1348" s="6" t="str">
        <f>IFERROR(__xludf.DUMMYFUNCTION("""COMPUTED_VALUE"""),"Budapest Alpha")</f>
        <v>Budapest Alpha</v>
      </c>
      <c r="N1348" s="6" t="str">
        <f>IFERROR(__xludf.DUMMYFUNCTION("""COMPUTED_VALUE"""),"")</f>
        <v/>
      </c>
      <c r="O1348" s="87" t="str">
        <f>IFERROR(__xludf.DUMMYFUNCTION("""COMPUTED_VALUE"""),"https://drive.google.com/drive/folders/10T2cTQHqEJZqE-st6uFKPoI?usp=share_link")</f>
        <v>https://drive.google.com/drive/folders/10T2cTQHqEJZqE-st6uFKPoI?usp=share_link</v>
      </c>
      <c r="P1348" s="6" t="str">
        <f>IFERROR(__xludf.DUMMYFUNCTION("""COMPUTED_VALUE"""),"Lebedieva Violetta")</f>
        <v>Lebedieva Violetta</v>
      </c>
      <c r="Q1348" s="6" t="str">
        <f>IFERROR(__xludf.DUMMYFUNCTION("""COMPUTED_VALUE"""),"L2")</f>
        <v>L2</v>
      </c>
      <c r="R1348" s="6">
        <f>IFERROR(__xludf.DUMMYFUNCTION("""COMPUTED_VALUE"""),2.0)</f>
        <v>2</v>
      </c>
      <c r="S1348" s="6" t="str">
        <f>IFERROR(__xludf.DUMMYFUNCTION("""COMPUTED_VALUE""")," ")</f>
        <v> </v>
      </c>
      <c r="T1348" s="6" t="str">
        <f>IFERROR(__xludf.DUMMYFUNCTION("""COMPUTED_VALUE"""),"")</f>
        <v/>
      </c>
      <c r="U1348" s="6" t="str">
        <f>IFERROR(__xludf.DUMMYFUNCTION("""COMPUTED_VALUE"""),"5")</f>
        <v>5</v>
      </c>
      <c r="V1348" s="6" t="str">
        <f>IFERROR(__xludf.DUMMYFUNCTION("""COMPUTED_VALUE"""),"English")</f>
        <v>English</v>
      </c>
      <c r="W1348" s="6" t="str">
        <f>IFERROR(__xludf.DUMMYFUNCTION("""COMPUTED_VALUE"""),"[]")</f>
        <v>[]</v>
      </c>
      <c r="X1348" s="6" t="str">
        <f>IFERROR(__xludf.DUMMYFUNCTION("""COMPUTED_VALUE"""),"Enrolled")</f>
        <v>Enrolled</v>
      </c>
    </row>
    <row r="1349">
      <c r="A1349" s="6" t="str">
        <f>IFERROR(__xludf.DUMMYFUNCTION("""COMPUTED_VALUE"""),"009-1603")</f>
        <v>009-1603</v>
      </c>
      <c r="B1349" s="6" t="str">
        <f>IFERROR(__xludf.DUMMYFUNCTION("""COMPUTED_VALUE"""),"9")</f>
        <v>9</v>
      </c>
      <c r="C1349" s="6" t="str">
        <f>IFERROR(__xludf.DUMMYFUNCTION("""COMPUTED_VALUE"""),"1603")</f>
        <v>1603</v>
      </c>
      <c r="D1349" s="6" t="str">
        <f>IFERROR(__xludf.DUMMYFUNCTION("""COMPUTED_VALUE"""),"Lev")</f>
        <v>Lev</v>
      </c>
      <c r="E1349" s="6" t="str">
        <f>IFERROR(__xludf.DUMMYFUNCTION("""COMPUTED_VALUE"""),"")</f>
        <v/>
      </c>
      <c r="F1349" s="6" t="str">
        <f>IFERROR(__xludf.DUMMYFUNCTION("""COMPUTED_VALUE"""),"Hurinenko")</f>
        <v>Hurinenko</v>
      </c>
      <c r="G1349" s="6" t="str">
        <f>IFERROR(__xludf.DUMMYFUNCTION("""COMPUTED_VALUE"""),"01/01/2017")</f>
        <v>01/01/2017</v>
      </c>
      <c r="H1349" s="6" t="str">
        <f>IFERROR(__xludf.DUMMYFUNCTION("""COMPUTED_VALUE"""),"Self Identify")</f>
        <v>Self Identify</v>
      </c>
      <c r="I1349" s="6" t="str">
        <f>IFERROR(__xludf.DUMMYFUNCTION("""COMPUTED_VALUE"""),"Level 1")</f>
        <v>Level 1</v>
      </c>
      <c r="J1349" s="6" t="str">
        <f>IFERROR(__xludf.DUMMYFUNCTION("""COMPUTED_VALUE"""),"2")</f>
        <v>2</v>
      </c>
      <c r="K1349" s="6" t="str">
        <f>IFERROR(__xludf.DUMMYFUNCTION("""COMPUTED_VALUE"""),"lev.hurinenko@2hourlearning.com")</f>
        <v>lev.hurinenko@2hourlearning.com</v>
      </c>
      <c r="L1349" s="6" t="str">
        <f>IFERROR(__xludf.DUMMYFUNCTION("""COMPUTED_VALUE"""),"Learn and Earn Poland")</f>
        <v>Learn and Earn Poland</v>
      </c>
      <c r="M1349" s="6" t="str">
        <f>IFERROR(__xludf.DUMMYFUNCTION("""COMPUTED_VALUE"""),"Budapest Alpha")</f>
        <v>Budapest Alpha</v>
      </c>
      <c r="N1349" s="6" t="str">
        <f>IFERROR(__xludf.DUMMYFUNCTION("""COMPUTED_VALUE"""),"")</f>
        <v/>
      </c>
      <c r="O1349" s="87" t="str">
        <f>IFERROR(__xludf.DUMMYFUNCTION("""COMPUTED_VALUE"""),"https://drive.google.com/drive/folders/10T2cTQHqEJZqE-st6uFKPoI?usp=share_link")</f>
        <v>https://drive.google.com/drive/folders/10T2cTQHqEJZqE-st6uFKPoI?usp=share_link</v>
      </c>
      <c r="P1349" s="6" t="str">
        <f>IFERROR(__xludf.DUMMYFUNCTION("""COMPUTED_VALUE"""),"Lev Hurinenko")</f>
        <v>Lev Hurinenko</v>
      </c>
      <c r="Q1349" s="6" t="str">
        <f>IFERROR(__xludf.DUMMYFUNCTION("""COMPUTED_VALUE"""),"L1")</f>
        <v>L1</v>
      </c>
      <c r="R1349" s="6">
        <f>IFERROR(__xludf.DUMMYFUNCTION("""COMPUTED_VALUE"""),1.0)</f>
        <v>1</v>
      </c>
      <c r="S1349" s="6" t="str">
        <f>IFERROR(__xludf.DUMMYFUNCTION("""COMPUTED_VALUE""")," ")</f>
        <v> </v>
      </c>
      <c r="T1349" s="6" t="str">
        <f>IFERROR(__xludf.DUMMYFUNCTION("""COMPUTED_VALUE"""),"")</f>
        <v/>
      </c>
      <c r="U1349" s="6" t="str">
        <f>IFERROR(__xludf.DUMMYFUNCTION("""COMPUTED_VALUE"""),"2")</f>
        <v>2</v>
      </c>
      <c r="V1349" s="6" t="str">
        <f>IFERROR(__xludf.DUMMYFUNCTION("""COMPUTED_VALUE"""),"English")</f>
        <v>English</v>
      </c>
      <c r="W1349" s="6" t="str">
        <f>IFERROR(__xludf.DUMMYFUNCTION("""COMPUTED_VALUE"""),"[]")</f>
        <v>[]</v>
      </c>
      <c r="X1349" s="6" t="str">
        <f>IFERROR(__xludf.DUMMYFUNCTION("""COMPUTED_VALUE"""),"Enrolled")</f>
        <v>Enrolled</v>
      </c>
    </row>
    <row r="1350">
      <c r="A1350" s="6" t="str">
        <f>IFERROR(__xludf.DUMMYFUNCTION("""COMPUTED_VALUE"""),"009-1604")</f>
        <v>009-1604</v>
      </c>
      <c r="B1350" s="6" t="str">
        <f>IFERROR(__xludf.DUMMYFUNCTION("""COMPUTED_VALUE"""),"9")</f>
        <v>9</v>
      </c>
      <c r="C1350" s="6" t="str">
        <f>IFERROR(__xludf.DUMMYFUNCTION("""COMPUTED_VALUE"""),"1604")</f>
        <v>1604</v>
      </c>
      <c r="D1350" s="6" t="str">
        <f>IFERROR(__xludf.DUMMYFUNCTION("""COMPUTED_VALUE"""),"David")</f>
        <v>David</v>
      </c>
      <c r="E1350" s="6" t="str">
        <f>IFERROR(__xludf.DUMMYFUNCTION("""COMPUTED_VALUE"""),"")</f>
        <v/>
      </c>
      <c r="F1350" s="6" t="str">
        <f>IFERROR(__xludf.DUMMYFUNCTION("""COMPUTED_VALUE"""),"Temerdek")</f>
        <v>Temerdek</v>
      </c>
      <c r="G1350" s="6" t="str">
        <f>IFERROR(__xludf.DUMMYFUNCTION("""COMPUTED_VALUE"""),"01/01/2017")</f>
        <v>01/01/2017</v>
      </c>
      <c r="H1350" s="6" t="str">
        <f>IFERROR(__xludf.DUMMYFUNCTION("""COMPUTED_VALUE"""),"Self Identify")</f>
        <v>Self Identify</v>
      </c>
      <c r="I1350" s="6" t="str">
        <f>IFERROR(__xludf.DUMMYFUNCTION("""COMPUTED_VALUE"""),"Level 1")</f>
        <v>Level 1</v>
      </c>
      <c r="J1350" s="6" t="str">
        <f>IFERROR(__xludf.DUMMYFUNCTION("""COMPUTED_VALUE"""),"2")</f>
        <v>2</v>
      </c>
      <c r="K1350" s="6" t="str">
        <f>IFERROR(__xludf.DUMMYFUNCTION("""COMPUTED_VALUE"""),"david.temerdek@2hourlearning.com")</f>
        <v>david.temerdek@2hourlearning.com</v>
      </c>
      <c r="L1350" s="6" t="str">
        <f>IFERROR(__xludf.DUMMYFUNCTION("""COMPUTED_VALUE"""),"Learn and Earn Poland")</f>
        <v>Learn and Earn Poland</v>
      </c>
      <c r="M1350" s="6" t="str">
        <f>IFERROR(__xludf.DUMMYFUNCTION("""COMPUTED_VALUE"""),"Budapest Alpha")</f>
        <v>Budapest Alpha</v>
      </c>
      <c r="N1350" s="6" t="str">
        <f>IFERROR(__xludf.DUMMYFUNCTION("""COMPUTED_VALUE"""),"")</f>
        <v/>
      </c>
      <c r="O1350" s="87" t="str">
        <f>IFERROR(__xludf.DUMMYFUNCTION("""COMPUTED_VALUE"""),"https://drive.google.com/drive/folders/10T2cTQHqEJZqE-st6uFKPoI?usp=share_link")</f>
        <v>https://drive.google.com/drive/folders/10T2cTQHqEJZqE-st6uFKPoI?usp=share_link</v>
      </c>
      <c r="P1350" s="6" t="str">
        <f>IFERROR(__xludf.DUMMYFUNCTION("""COMPUTED_VALUE"""),"David Temerdek")</f>
        <v>David Temerdek</v>
      </c>
      <c r="Q1350" s="6" t="str">
        <f>IFERROR(__xludf.DUMMYFUNCTION("""COMPUTED_VALUE"""),"L1")</f>
        <v>L1</v>
      </c>
      <c r="R1350" s="6">
        <f>IFERROR(__xludf.DUMMYFUNCTION("""COMPUTED_VALUE"""),1.0)</f>
        <v>1</v>
      </c>
      <c r="S1350" s="6" t="str">
        <f>IFERROR(__xludf.DUMMYFUNCTION("""COMPUTED_VALUE""")," ")</f>
        <v> </v>
      </c>
      <c r="T1350" s="6" t="str">
        <f>IFERROR(__xludf.DUMMYFUNCTION("""COMPUTED_VALUE"""),"")</f>
        <v/>
      </c>
      <c r="U1350" s="6" t="str">
        <f>IFERROR(__xludf.DUMMYFUNCTION("""COMPUTED_VALUE"""),"2")</f>
        <v>2</v>
      </c>
      <c r="V1350" s="6" t="str">
        <f>IFERROR(__xludf.DUMMYFUNCTION("""COMPUTED_VALUE"""),"English")</f>
        <v>English</v>
      </c>
      <c r="W1350" s="6" t="str">
        <f>IFERROR(__xludf.DUMMYFUNCTION("""COMPUTED_VALUE"""),"[]")</f>
        <v>[]</v>
      </c>
      <c r="X1350" s="6" t="str">
        <f>IFERROR(__xludf.DUMMYFUNCTION("""COMPUTED_VALUE"""),"Enrolled")</f>
        <v>Enrolled</v>
      </c>
    </row>
    <row r="1351">
      <c r="A1351" s="6" t="str">
        <f>IFERROR(__xludf.DUMMYFUNCTION("""COMPUTED_VALUE"""),"009-1605")</f>
        <v>009-1605</v>
      </c>
      <c r="B1351" s="6" t="str">
        <f>IFERROR(__xludf.DUMMYFUNCTION("""COMPUTED_VALUE"""),"9")</f>
        <v>9</v>
      </c>
      <c r="C1351" s="6" t="str">
        <f>IFERROR(__xludf.DUMMYFUNCTION("""COMPUTED_VALUE"""),"1605")</f>
        <v>1605</v>
      </c>
      <c r="D1351" s="6" t="str">
        <f>IFERROR(__xludf.DUMMYFUNCTION("""COMPUTED_VALUE"""),"Eszter")</f>
        <v>Eszter</v>
      </c>
      <c r="E1351" s="6" t="str">
        <f>IFERROR(__xludf.DUMMYFUNCTION("""COMPUTED_VALUE"""),"")</f>
        <v/>
      </c>
      <c r="F1351" s="6" t="str">
        <f>IFERROR(__xludf.DUMMYFUNCTION("""COMPUTED_VALUE"""),"Tarpai")</f>
        <v>Tarpai</v>
      </c>
      <c r="G1351" s="6" t="str">
        <f>IFERROR(__xludf.DUMMYFUNCTION("""COMPUTED_VALUE"""),"01/01/2015")</f>
        <v>01/01/2015</v>
      </c>
      <c r="H1351" s="6" t="str">
        <f>IFERROR(__xludf.DUMMYFUNCTION("""COMPUTED_VALUE"""),"Self Identify")</f>
        <v>Self Identify</v>
      </c>
      <c r="I1351" s="6" t="str">
        <f>IFERROR(__xludf.DUMMYFUNCTION("""COMPUTED_VALUE"""),"Level 2")</f>
        <v>Level 2</v>
      </c>
      <c r="J1351" s="6" t="str">
        <f>IFERROR(__xludf.DUMMYFUNCTION("""COMPUTED_VALUE"""),"4")</f>
        <v>4</v>
      </c>
      <c r="K1351" s="6" t="str">
        <f>IFERROR(__xludf.DUMMYFUNCTION("""COMPUTED_VALUE"""),"eszter.tarpai@2hourlearning.com")</f>
        <v>eszter.tarpai@2hourlearning.com</v>
      </c>
      <c r="L1351" s="6" t="str">
        <f>IFERROR(__xludf.DUMMYFUNCTION("""COMPUTED_VALUE"""),"Learn and Earn Poland")</f>
        <v>Learn and Earn Poland</v>
      </c>
      <c r="M1351" s="6" t="str">
        <f>IFERROR(__xludf.DUMMYFUNCTION("""COMPUTED_VALUE"""),"Budapest Alpha")</f>
        <v>Budapest Alpha</v>
      </c>
      <c r="N1351" s="6" t="str">
        <f>IFERROR(__xludf.DUMMYFUNCTION("""COMPUTED_VALUE"""),"")</f>
        <v/>
      </c>
      <c r="O1351" s="87" t="str">
        <f>IFERROR(__xludf.DUMMYFUNCTION("""COMPUTED_VALUE"""),"https://drive.google.com/drive/folders/10T2cTQHqEJZqE-st6uFKPoI?usp=share_link")</f>
        <v>https://drive.google.com/drive/folders/10T2cTQHqEJZqE-st6uFKPoI?usp=share_link</v>
      </c>
      <c r="P1351" s="6" t="str">
        <f>IFERROR(__xludf.DUMMYFUNCTION("""COMPUTED_VALUE"""),"Eszter Tarpai")</f>
        <v>Eszter Tarpai</v>
      </c>
      <c r="Q1351" s="6" t="str">
        <f>IFERROR(__xludf.DUMMYFUNCTION("""COMPUTED_VALUE"""),"L2")</f>
        <v>L2</v>
      </c>
      <c r="R1351" s="6">
        <f>IFERROR(__xludf.DUMMYFUNCTION("""COMPUTED_VALUE"""),2.0)</f>
        <v>2</v>
      </c>
      <c r="S1351" s="6" t="str">
        <f>IFERROR(__xludf.DUMMYFUNCTION("""COMPUTED_VALUE""")," ")</f>
        <v> </v>
      </c>
      <c r="T1351" s="6" t="str">
        <f>IFERROR(__xludf.DUMMYFUNCTION("""COMPUTED_VALUE"""),"")</f>
        <v/>
      </c>
      <c r="U1351" s="6" t="str">
        <f>IFERROR(__xludf.DUMMYFUNCTION("""COMPUTED_VALUE"""),"4")</f>
        <v>4</v>
      </c>
      <c r="V1351" s="6" t="str">
        <f>IFERROR(__xludf.DUMMYFUNCTION("""COMPUTED_VALUE"""),"English")</f>
        <v>English</v>
      </c>
      <c r="W1351" s="6" t="str">
        <f>IFERROR(__xludf.DUMMYFUNCTION("""COMPUTED_VALUE"""),"[]")</f>
        <v>[]</v>
      </c>
      <c r="X1351" s="6" t="str">
        <f>IFERROR(__xludf.DUMMYFUNCTION("""COMPUTED_VALUE"""),"Enrolled")</f>
        <v>Enrolled</v>
      </c>
    </row>
    <row r="1352">
      <c r="A1352" s="6" t="str">
        <f>IFERROR(__xludf.DUMMYFUNCTION("""COMPUTED_VALUE"""),"009-1606")</f>
        <v>009-1606</v>
      </c>
      <c r="B1352" s="6" t="str">
        <f>IFERROR(__xludf.DUMMYFUNCTION("""COMPUTED_VALUE"""),"9")</f>
        <v>9</v>
      </c>
      <c r="C1352" s="6" t="str">
        <f>IFERROR(__xludf.DUMMYFUNCTION("""COMPUTED_VALUE"""),"1606")</f>
        <v>1606</v>
      </c>
      <c r="D1352" s="6" t="str">
        <f>IFERROR(__xludf.DUMMYFUNCTION("""COMPUTED_VALUE"""),"Vladyslav")</f>
        <v>Vladyslav</v>
      </c>
      <c r="E1352" s="6" t="str">
        <f>IFERROR(__xludf.DUMMYFUNCTION("""COMPUTED_VALUE"""),"")</f>
        <v/>
      </c>
      <c r="F1352" s="6" t="str">
        <f>IFERROR(__xludf.DUMMYFUNCTION("""COMPUTED_VALUE"""),"Maiboroda")</f>
        <v>Maiboroda</v>
      </c>
      <c r="G1352" s="6" t="str">
        <f>IFERROR(__xludf.DUMMYFUNCTION("""COMPUTED_VALUE"""),"01/01/2015")</f>
        <v>01/01/2015</v>
      </c>
      <c r="H1352" s="6" t="str">
        <f>IFERROR(__xludf.DUMMYFUNCTION("""COMPUTED_VALUE"""),"Self Identify")</f>
        <v>Self Identify</v>
      </c>
      <c r="I1352" s="6" t="str">
        <f>IFERROR(__xludf.DUMMYFUNCTION("""COMPUTED_VALUE"""),"Level 2")</f>
        <v>Level 2</v>
      </c>
      <c r="J1352" s="6" t="str">
        <f>IFERROR(__xludf.DUMMYFUNCTION("""COMPUTED_VALUE"""),"4")</f>
        <v>4</v>
      </c>
      <c r="K1352" s="6" t="str">
        <f>IFERROR(__xludf.DUMMYFUNCTION("""COMPUTED_VALUE"""),"vladyslav.maiboroda@2hourlearning.com")</f>
        <v>vladyslav.maiboroda@2hourlearning.com</v>
      </c>
      <c r="L1352" s="6" t="str">
        <f>IFERROR(__xludf.DUMMYFUNCTION("""COMPUTED_VALUE"""),"Learn and Earn Poland")</f>
        <v>Learn and Earn Poland</v>
      </c>
      <c r="M1352" s="6" t="str">
        <f>IFERROR(__xludf.DUMMYFUNCTION("""COMPUTED_VALUE"""),"Budapest ex-GTS")</f>
        <v>Budapest ex-GTS</v>
      </c>
      <c r="N1352" s="6" t="str">
        <f>IFERROR(__xludf.DUMMYFUNCTION("""COMPUTED_VALUE"""),"")</f>
        <v/>
      </c>
      <c r="O1352" s="87" t="str">
        <f>IFERROR(__xludf.DUMMYFUNCTION("""COMPUTED_VALUE"""),"https://drive.google.com/drive/folders/10T2cTQHqEJZqE-st6uFKPoI?usp=share_link")</f>
        <v>https://drive.google.com/drive/folders/10T2cTQHqEJZqE-st6uFKPoI?usp=share_link</v>
      </c>
      <c r="P1352" s="6" t="str">
        <f>IFERROR(__xludf.DUMMYFUNCTION("""COMPUTED_VALUE"""),"Vladyslav Maiboroda")</f>
        <v>Vladyslav Maiboroda</v>
      </c>
      <c r="Q1352" s="6" t="str">
        <f>IFERROR(__xludf.DUMMYFUNCTION("""COMPUTED_VALUE"""),"L2")</f>
        <v>L2</v>
      </c>
      <c r="R1352" s="6">
        <f>IFERROR(__xludf.DUMMYFUNCTION("""COMPUTED_VALUE"""),2.0)</f>
        <v>2</v>
      </c>
      <c r="S1352" s="6" t="str">
        <f>IFERROR(__xludf.DUMMYFUNCTION("""COMPUTED_VALUE""")," ")</f>
        <v> </v>
      </c>
      <c r="T1352" s="6" t="str">
        <f>IFERROR(__xludf.DUMMYFUNCTION("""COMPUTED_VALUE"""),"")</f>
        <v/>
      </c>
      <c r="U1352" s="6" t="str">
        <f>IFERROR(__xludf.DUMMYFUNCTION("""COMPUTED_VALUE"""),"4")</f>
        <v>4</v>
      </c>
      <c r="V1352" s="6" t="str">
        <f>IFERROR(__xludf.DUMMYFUNCTION("""COMPUTED_VALUE"""),"English")</f>
        <v>English</v>
      </c>
      <c r="W1352" s="6" t="str">
        <f>IFERROR(__xludf.DUMMYFUNCTION("""COMPUTED_VALUE"""),"[]")</f>
        <v>[]</v>
      </c>
      <c r="X1352" s="6" t="str">
        <f>IFERROR(__xludf.DUMMYFUNCTION("""COMPUTED_VALUE"""),"Enrolled")</f>
        <v>Enrolled</v>
      </c>
    </row>
    <row r="1353">
      <c r="A1353" s="6" t="str">
        <f>IFERROR(__xludf.DUMMYFUNCTION("""COMPUTED_VALUE"""),"009-1607")</f>
        <v>009-1607</v>
      </c>
      <c r="B1353" s="6" t="str">
        <f>IFERROR(__xludf.DUMMYFUNCTION("""COMPUTED_VALUE"""),"9")</f>
        <v>9</v>
      </c>
      <c r="C1353" s="6" t="str">
        <f>IFERROR(__xludf.DUMMYFUNCTION("""COMPUTED_VALUE"""),"1607")</f>
        <v>1607</v>
      </c>
      <c r="D1353" s="6" t="str">
        <f>IFERROR(__xludf.DUMMYFUNCTION("""COMPUTED_VALUE"""),"Bianka")</f>
        <v>Bianka</v>
      </c>
      <c r="E1353" s="6" t="str">
        <f>IFERROR(__xludf.DUMMYFUNCTION("""COMPUTED_VALUE"""),"")</f>
        <v/>
      </c>
      <c r="F1353" s="6" t="str">
        <f>IFERROR(__xludf.DUMMYFUNCTION("""COMPUTED_VALUE"""),"Fekeshazi")</f>
        <v>Fekeshazi</v>
      </c>
      <c r="G1353" s="6" t="str">
        <f>IFERROR(__xludf.DUMMYFUNCTION("""COMPUTED_VALUE"""),"01/01/2010")</f>
        <v>01/01/2010</v>
      </c>
      <c r="H1353" s="6" t="str">
        <f>IFERROR(__xludf.DUMMYFUNCTION("""COMPUTED_VALUE"""),"Self Identify")</f>
        <v>Self Identify</v>
      </c>
      <c r="I1353" s="6" t="str">
        <f>IFERROR(__xludf.DUMMYFUNCTION("""COMPUTED_VALUE"""),"High School")</f>
        <v>High School</v>
      </c>
      <c r="J1353" s="6" t="str">
        <f>IFERROR(__xludf.DUMMYFUNCTION("""COMPUTED_VALUE"""),"9")</f>
        <v>9</v>
      </c>
      <c r="K1353" s="6" t="str">
        <f>IFERROR(__xludf.DUMMYFUNCTION("""COMPUTED_VALUE"""),"bianka.fekeshazi@2hourlearning.com")</f>
        <v>bianka.fekeshazi@2hourlearning.com</v>
      </c>
      <c r="L1353" s="6" t="str">
        <f>IFERROR(__xludf.DUMMYFUNCTION("""COMPUTED_VALUE"""),"Learn and Earn Poland")</f>
        <v>Learn and Earn Poland</v>
      </c>
      <c r="M1353" s="6" t="str">
        <f>IFERROR(__xludf.DUMMYFUNCTION("""COMPUTED_VALUE"""),"Budapest ex-GTS")</f>
        <v>Budapest ex-GTS</v>
      </c>
      <c r="N1353" s="6" t="str">
        <f>IFERROR(__xludf.DUMMYFUNCTION("""COMPUTED_VALUE"""),"")</f>
        <v/>
      </c>
      <c r="O1353" s="87" t="str">
        <f>IFERROR(__xludf.DUMMYFUNCTION("""COMPUTED_VALUE"""),"https://drive.google.com/drive/folders/10T2cTQHqEJZqE-st6uFKPoI?usp=share_link")</f>
        <v>https://drive.google.com/drive/folders/10T2cTQHqEJZqE-st6uFKPoI?usp=share_link</v>
      </c>
      <c r="P1353" s="6" t="str">
        <f>IFERROR(__xludf.DUMMYFUNCTION("""COMPUTED_VALUE"""),"Bianka Fekeshazi")</f>
        <v>Bianka Fekeshazi</v>
      </c>
      <c r="Q1353" s="6" t="str">
        <f>IFERROR(__xludf.DUMMYFUNCTION("""COMPUTED_VALUE"""),"HS")</f>
        <v>HS</v>
      </c>
      <c r="R1353" s="6">
        <f>IFERROR(__xludf.DUMMYFUNCTION("""COMPUTED_VALUE"""),0.0)</f>
        <v>0</v>
      </c>
      <c r="S1353" s="6" t="str">
        <f>IFERROR(__xludf.DUMMYFUNCTION("""COMPUTED_VALUE""")," ")</f>
        <v> </v>
      </c>
      <c r="T1353" s="6" t="str">
        <f>IFERROR(__xludf.DUMMYFUNCTION("""COMPUTED_VALUE"""),"")</f>
        <v/>
      </c>
      <c r="U1353" s="6" t="str">
        <f>IFERROR(__xludf.DUMMYFUNCTION("""COMPUTED_VALUE"""),"9")</f>
        <v>9</v>
      </c>
      <c r="V1353" s="6" t="str">
        <f>IFERROR(__xludf.DUMMYFUNCTION("""COMPUTED_VALUE"""),"English")</f>
        <v>English</v>
      </c>
      <c r="W1353" s="6" t="str">
        <f>IFERROR(__xludf.DUMMYFUNCTION("""COMPUTED_VALUE"""),"[]")</f>
        <v>[]</v>
      </c>
      <c r="X1353" s="6" t="str">
        <f>IFERROR(__xludf.DUMMYFUNCTION("""COMPUTED_VALUE"""),"Enrolled")</f>
        <v>Enrolled</v>
      </c>
    </row>
    <row r="1354">
      <c r="A1354" s="6" t="str">
        <f>IFERROR(__xludf.DUMMYFUNCTION("""COMPUTED_VALUE"""),"009-1608")</f>
        <v>009-1608</v>
      </c>
      <c r="B1354" s="6" t="str">
        <f>IFERROR(__xludf.DUMMYFUNCTION("""COMPUTED_VALUE"""),"9")</f>
        <v>9</v>
      </c>
      <c r="C1354" s="6" t="str">
        <f>IFERROR(__xludf.DUMMYFUNCTION("""COMPUTED_VALUE"""),"1608")</f>
        <v>1608</v>
      </c>
      <c r="D1354" s="6" t="str">
        <f>IFERROR(__xludf.DUMMYFUNCTION("""COMPUTED_VALUE"""),"Andrii")</f>
        <v>Andrii</v>
      </c>
      <c r="E1354" s="6" t="str">
        <f>IFERROR(__xludf.DUMMYFUNCTION("""COMPUTED_VALUE"""),"")</f>
        <v/>
      </c>
      <c r="F1354" s="6" t="str">
        <f>IFERROR(__xludf.DUMMYFUNCTION("""COMPUTED_VALUE"""),"Kovalchuk")</f>
        <v>Kovalchuk</v>
      </c>
      <c r="G1354" s="6" t="str">
        <f>IFERROR(__xludf.DUMMYFUNCTION("""COMPUTED_VALUE"""),"01/01/2012")</f>
        <v>01/01/2012</v>
      </c>
      <c r="H1354" s="6" t="str">
        <f>IFERROR(__xludf.DUMMYFUNCTION("""COMPUTED_VALUE"""),"Self Identify")</f>
        <v>Self Identify</v>
      </c>
      <c r="I1354" s="6" t="str">
        <f>IFERROR(__xludf.DUMMYFUNCTION("""COMPUTED_VALUE"""),"Middle School")</f>
        <v>Middle School</v>
      </c>
      <c r="J1354" s="6" t="str">
        <f>IFERROR(__xludf.DUMMYFUNCTION("""COMPUTED_VALUE"""),"7")</f>
        <v>7</v>
      </c>
      <c r="K1354" s="6" t="str">
        <f>IFERROR(__xludf.DUMMYFUNCTION("""COMPUTED_VALUE"""),"andrii.kovalchuk@2hourlearning.com")</f>
        <v>andrii.kovalchuk@2hourlearning.com</v>
      </c>
      <c r="L1354" s="6" t="str">
        <f>IFERROR(__xludf.DUMMYFUNCTION("""COMPUTED_VALUE"""),"Learn and Earn Poland")</f>
        <v>Learn and Earn Poland</v>
      </c>
      <c r="M1354" s="6" t="str">
        <f>IFERROR(__xludf.DUMMYFUNCTION("""COMPUTED_VALUE"""),"Budapest ex-GTS")</f>
        <v>Budapest ex-GTS</v>
      </c>
      <c r="N1354" s="6" t="str">
        <f>IFERROR(__xludf.DUMMYFUNCTION("""COMPUTED_VALUE"""),"")</f>
        <v/>
      </c>
      <c r="O1354" s="87" t="str">
        <f>IFERROR(__xludf.DUMMYFUNCTION("""COMPUTED_VALUE"""),"https://drive.google.com/drive/folders/10T2cTQHqEJZqE-st6uFKPoI?usp=share_link")</f>
        <v>https://drive.google.com/drive/folders/10T2cTQHqEJZqE-st6uFKPoI?usp=share_link</v>
      </c>
      <c r="P1354" s="6" t="str">
        <f>IFERROR(__xludf.DUMMYFUNCTION("""COMPUTED_VALUE"""),"Andrii Kovalchuk")</f>
        <v>Andrii Kovalchuk</v>
      </c>
      <c r="Q1354" s="6" t="str">
        <f>IFERROR(__xludf.DUMMYFUNCTION("""COMPUTED_VALUE"""),"MS")</f>
        <v>MS</v>
      </c>
      <c r="R1354" s="6">
        <f>IFERROR(__xludf.DUMMYFUNCTION("""COMPUTED_VALUE"""),0.0)</f>
        <v>0</v>
      </c>
      <c r="S1354" s="6" t="str">
        <f>IFERROR(__xludf.DUMMYFUNCTION("""COMPUTED_VALUE""")," ")</f>
        <v> </v>
      </c>
      <c r="T1354" s="6" t="str">
        <f>IFERROR(__xludf.DUMMYFUNCTION("""COMPUTED_VALUE"""),"")</f>
        <v/>
      </c>
      <c r="U1354" s="6" t="str">
        <f>IFERROR(__xludf.DUMMYFUNCTION("""COMPUTED_VALUE"""),"7")</f>
        <v>7</v>
      </c>
      <c r="V1354" s="6" t="str">
        <f>IFERROR(__xludf.DUMMYFUNCTION("""COMPUTED_VALUE"""),"English")</f>
        <v>English</v>
      </c>
      <c r="W1354" s="6" t="str">
        <f>IFERROR(__xludf.DUMMYFUNCTION("""COMPUTED_VALUE"""),"[]")</f>
        <v>[]</v>
      </c>
      <c r="X1354" s="6" t="str">
        <f>IFERROR(__xludf.DUMMYFUNCTION("""COMPUTED_VALUE"""),"Enrolled")</f>
        <v>Enrolled</v>
      </c>
    </row>
    <row r="1355">
      <c r="A1355" s="6" t="str">
        <f>IFERROR(__xludf.DUMMYFUNCTION("""COMPUTED_VALUE"""),"009-1609")</f>
        <v>009-1609</v>
      </c>
      <c r="B1355" s="6" t="str">
        <f>IFERROR(__xludf.DUMMYFUNCTION("""COMPUTED_VALUE"""),"9")</f>
        <v>9</v>
      </c>
      <c r="C1355" s="6" t="str">
        <f>IFERROR(__xludf.DUMMYFUNCTION("""COMPUTED_VALUE"""),"1609")</f>
        <v>1609</v>
      </c>
      <c r="D1355" s="6" t="str">
        <f>IFERROR(__xludf.DUMMYFUNCTION("""COMPUTED_VALUE"""),"KincsO")</f>
        <v>KincsO</v>
      </c>
      <c r="E1355" s="6" t="str">
        <f>IFERROR(__xludf.DUMMYFUNCTION("""COMPUTED_VALUE"""),"")</f>
        <v/>
      </c>
      <c r="F1355" s="6" t="str">
        <f>IFERROR(__xludf.DUMMYFUNCTION("""COMPUTED_VALUE"""),"Kurmai")</f>
        <v>Kurmai</v>
      </c>
      <c r="G1355" s="6" t="str">
        <f>IFERROR(__xludf.DUMMYFUNCTION("""COMPUTED_VALUE"""),"01/01/2013")</f>
        <v>01/01/2013</v>
      </c>
      <c r="H1355" s="6" t="str">
        <f>IFERROR(__xludf.DUMMYFUNCTION("""COMPUTED_VALUE"""),"Self Identify")</f>
        <v>Self Identify</v>
      </c>
      <c r="I1355" s="6" t="str">
        <f>IFERROR(__xludf.DUMMYFUNCTION("""COMPUTED_VALUE"""),"Middle School")</f>
        <v>Middle School</v>
      </c>
      <c r="J1355" s="6" t="str">
        <f>IFERROR(__xludf.DUMMYFUNCTION("""COMPUTED_VALUE"""),"6")</f>
        <v>6</v>
      </c>
      <c r="K1355" s="6" t="str">
        <f>IFERROR(__xludf.DUMMYFUNCTION("""COMPUTED_VALUE"""),"kincso.kurmai@2hourlearning.com")</f>
        <v>kincso.kurmai@2hourlearning.com</v>
      </c>
      <c r="L1355" s="6" t="str">
        <f>IFERROR(__xludf.DUMMYFUNCTION("""COMPUTED_VALUE"""),"Learn and Earn Poland")</f>
        <v>Learn and Earn Poland</v>
      </c>
      <c r="M1355" s="6" t="str">
        <f>IFERROR(__xludf.DUMMYFUNCTION("""COMPUTED_VALUE"""),"Budapest Alpha")</f>
        <v>Budapest Alpha</v>
      </c>
      <c r="N1355" s="6" t="str">
        <f>IFERROR(__xludf.DUMMYFUNCTION("""COMPUTED_VALUE"""),"")</f>
        <v/>
      </c>
      <c r="O1355" s="87" t="str">
        <f>IFERROR(__xludf.DUMMYFUNCTION("""COMPUTED_VALUE"""),"https://drive.google.com/drive/folders/10T2cTQHqEJZqE-st6uFKPoI?usp=share_link")</f>
        <v>https://drive.google.com/drive/folders/10T2cTQHqEJZqE-st6uFKPoI?usp=share_link</v>
      </c>
      <c r="P1355" s="6" t="str">
        <f>IFERROR(__xludf.DUMMYFUNCTION("""COMPUTED_VALUE"""),"KincsO Kurmai")</f>
        <v>KincsO Kurmai</v>
      </c>
      <c r="Q1355" s="6" t="str">
        <f>IFERROR(__xludf.DUMMYFUNCTION("""COMPUTED_VALUE"""),"MS")</f>
        <v>MS</v>
      </c>
      <c r="R1355" s="6">
        <f>IFERROR(__xludf.DUMMYFUNCTION("""COMPUTED_VALUE"""),0.0)</f>
        <v>0</v>
      </c>
      <c r="S1355" s="6" t="str">
        <f>IFERROR(__xludf.DUMMYFUNCTION("""COMPUTED_VALUE""")," ")</f>
        <v> </v>
      </c>
      <c r="T1355" s="6" t="str">
        <f>IFERROR(__xludf.DUMMYFUNCTION("""COMPUTED_VALUE"""),"")</f>
        <v/>
      </c>
      <c r="U1355" s="6" t="str">
        <f>IFERROR(__xludf.DUMMYFUNCTION("""COMPUTED_VALUE"""),"6")</f>
        <v>6</v>
      </c>
      <c r="V1355" s="6" t="str">
        <f>IFERROR(__xludf.DUMMYFUNCTION("""COMPUTED_VALUE"""),"English")</f>
        <v>English</v>
      </c>
      <c r="W1355" s="6" t="str">
        <f>IFERROR(__xludf.DUMMYFUNCTION("""COMPUTED_VALUE"""),"[]")</f>
        <v>[]</v>
      </c>
      <c r="X1355" s="6" t="str">
        <f>IFERROR(__xludf.DUMMYFUNCTION("""COMPUTED_VALUE"""),"Enrolled")</f>
        <v>Enrolled</v>
      </c>
    </row>
    <row r="1356">
      <c r="A1356" s="6" t="str">
        <f>IFERROR(__xludf.DUMMYFUNCTION("""COMPUTED_VALUE"""),"009-1610")</f>
        <v>009-1610</v>
      </c>
      <c r="B1356" s="6" t="str">
        <f>IFERROR(__xludf.DUMMYFUNCTION("""COMPUTED_VALUE"""),"9")</f>
        <v>9</v>
      </c>
      <c r="C1356" s="6" t="str">
        <f>IFERROR(__xludf.DUMMYFUNCTION("""COMPUTED_VALUE"""),"1610")</f>
        <v>1610</v>
      </c>
      <c r="D1356" s="6" t="str">
        <f>IFERROR(__xludf.DUMMYFUNCTION("""COMPUTED_VALUE"""),"Kozma")</f>
        <v>Kozma</v>
      </c>
      <c r="E1356" s="6" t="str">
        <f>IFERROR(__xludf.DUMMYFUNCTION("""COMPUTED_VALUE"""),"")</f>
        <v/>
      </c>
      <c r="F1356" s="6" t="str">
        <f>IFERROR(__xludf.DUMMYFUNCTION("""COMPUTED_VALUE"""),"Katalin")</f>
        <v>Katalin</v>
      </c>
      <c r="G1356" s="6" t="str">
        <f>IFERROR(__xludf.DUMMYFUNCTION("""COMPUTED_VALUE"""),"01/01/2009")</f>
        <v>01/01/2009</v>
      </c>
      <c r="H1356" s="6" t="str">
        <f>IFERROR(__xludf.DUMMYFUNCTION("""COMPUTED_VALUE"""),"Self Identify")</f>
        <v>Self Identify</v>
      </c>
      <c r="I1356" s="6" t="str">
        <f>IFERROR(__xludf.DUMMYFUNCTION("""COMPUTED_VALUE"""),"High School")</f>
        <v>High School</v>
      </c>
      <c r="J1356" s="6" t="str">
        <f>IFERROR(__xludf.DUMMYFUNCTION("""COMPUTED_VALUE"""),"10")</f>
        <v>10</v>
      </c>
      <c r="K1356" s="6" t="str">
        <f>IFERROR(__xludf.DUMMYFUNCTION("""COMPUTED_VALUE"""),"kozma.katalin@2hourlearning.com")</f>
        <v>kozma.katalin@2hourlearning.com</v>
      </c>
      <c r="L1356" s="6" t="str">
        <f>IFERROR(__xludf.DUMMYFUNCTION("""COMPUTED_VALUE"""),"Learn and Earn Poland")</f>
        <v>Learn and Earn Poland</v>
      </c>
      <c r="M1356" s="6" t="str">
        <f>IFERROR(__xludf.DUMMYFUNCTION("""COMPUTED_VALUE"""),"Budapest ex-GTS")</f>
        <v>Budapest ex-GTS</v>
      </c>
      <c r="N1356" s="6" t="str">
        <f>IFERROR(__xludf.DUMMYFUNCTION("""COMPUTED_VALUE"""),"")</f>
        <v/>
      </c>
      <c r="O1356" s="87" t="str">
        <f>IFERROR(__xludf.DUMMYFUNCTION("""COMPUTED_VALUE"""),"https://drive.google.com/drive/folders/10T2cTQHqEJZqE-st6uFKPoI?usp=share_link")</f>
        <v>https://drive.google.com/drive/folders/10T2cTQHqEJZqE-st6uFKPoI?usp=share_link</v>
      </c>
      <c r="P1356" s="6" t="str">
        <f>IFERROR(__xludf.DUMMYFUNCTION("""COMPUTED_VALUE"""),"Kozma Katalin")</f>
        <v>Kozma Katalin</v>
      </c>
      <c r="Q1356" s="6" t="str">
        <f>IFERROR(__xludf.DUMMYFUNCTION("""COMPUTED_VALUE"""),"HS")</f>
        <v>HS</v>
      </c>
      <c r="R1356" s="6">
        <f>IFERROR(__xludf.DUMMYFUNCTION("""COMPUTED_VALUE"""),0.0)</f>
        <v>0</v>
      </c>
      <c r="S1356" s="6" t="str">
        <f>IFERROR(__xludf.DUMMYFUNCTION("""COMPUTED_VALUE""")," ")</f>
        <v> </v>
      </c>
      <c r="T1356" s="6" t="str">
        <f>IFERROR(__xludf.DUMMYFUNCTION("""COMPUTED_VALUE"""),"")</f>
        <v/>
      </c>
      <c r="U1356" s="6" t="str">
        <f>IFERROR(__xludf.DUMMYFUNCTION("""COMPUTED_VALUE"""),"10")</f>
        <v>10</v>
      </c>
      <c r="V1356" s="6" t="str">
        <f>IFERROR(__xludf.DUMMYFUNCTION("""COMPUTED_VALUE"""),"English")</f>
        <v>English</v>
      </c>
      <c r="W1356" s="6" t="str">
        <f>IFERROR(__xludf.DUMMYFUNCTION("""COMPUTED_VALUE"""),"[]")</f>
        <v>[]</v>
      </c>
      <c r="X1356" s="6" t="str">
        <f>IFERROR(__xludf.DUMMYFUNCTION("""COMPUTED_VALUE"""),"Enrolled")</f>
        <v>Enrolled</v>
      </c>
    </row>
    <row r="1357">
      <c r="A1357" s="6" t="str">
        <f>IFERROR(__xludf.DUMMYFUNCTION("""COMPUTED_VALUE"""),"009-1611")</f>
        <v>009-1611</v>
      </c>
      <c r="B1357" s="6" t="str">
        <f>IFERROR(__xludf.DUMMYFUNCTION("""COMPUTED_VALUE"""),"9")</f>
        <v>9</v>
      </c>
      <c r="C1357" s="6" t="str">
        <f>IFERROR(__xludf.DUMMYFUNCTION("""COMPUTED_VALUE"""),"1611")</f>
        <v>1611</v>
      </c>
      <c r="D1357" s="6" t="str">
        <f>IFERROR(__xludf.DUMMYFUNCTION("""COMPUTED_VALUE"""),"Vasylyna")</f>
        <v>Vasylyna</v>
      </c>
      <c r="E1357" s="6" t="str">
        <f>IFERROR(__xludf.DUMMYFUNCTION("""COMPUTED_VALUE"""),"")</f>
        <v/>
      </c>
      <c r="F1357" s="6" t="str">
        <f>IFERROR(__xludf.DUMMYFUNCTION("""COMPUTED_VALUE"""),"Gorbachova")</f>
        <v>Gorbachova</v>
      </c>
      <c r="G1357" s="6" t="str">
        <f>IFERROR(__xludf.DUMMYFUNCTION("""COMPUTED_VALUE"""),"01/01/2017")</f>
        <v>01/01/2017</v>
      </c>
      <c r="H1357" s="6" t="str">
        <f>IFERROR(__xludf.DUMMYFUNCTION("""COMPUTED_VALUE"""),"Self Identify")</f>
        <v>Self Identify</v>
      </c>
      <c r="I1357" s="6" t="str">
        <f>IFERROR(__xludf.DUMMYFUNCTION("""COMPUTED_VALUE"""),"Level 1")</f>
        <v>Level 1</v>
      </c>
      <c r="J1357" s="6" t="str">
        <f>IFERROR(__xludf.DUMMYFUNCTION("""COMPUTED_VALUE"""),"2")</f>
        <v>2</v>
      </c>
      <c r="K1357" s="6" t="str">
        <f>IFERROR(__xludf.DUMMYFUNCTION("""COMPUTED_VALUE"""),"vasylyna.gorbachova@2hourlearning.com")</f>
        <v>vasylyna.gorbachova@2hourlearning.com</v>
      </c>
      <c r="L1357" s="6" t="str">
        <f>IFERROR(__xludf.DUMMYFUNCTION("""COMPUTED_VALUE"""),"Learn and Earn Poland")</f>
        <v>Learn and Earn Poland</v>
      </c>
      <c r="M1357" s="6" t="str">
        <f>IFERROR(__xludf.DUMMYFUNCTION("""COMPUTED_VALUE"""),"Budapest Alpha")</f>
        <v>Budapest Alpha</v>
      </c>
      <c r="N1357" s="6" t="str">
        <f>IFERROR(__xludf.DUMMYFUNCTION("""COMPUTED_VALUE"""),"")</f>
        <v/>
      </c>
      <c r="O1357" s="87" t="str">
        <f>IFERROR(__xludf.DUMMYFUNCTION("""COMPUTED_VALUE"""),"https://drive.google.com/drive/folders/10T2cTQHqEJZqE-st6uFKPoI?usp=share_link")</f>
        <v>https://drive.google.com/drive/folders/10T2cTQHqEJZqE-st6uFKPoI?usp=share_link</v>
      </c>
      <c r="P1357" s="6" t="str">
        <f>IFERROR(__xludf.DUMMYFUNCTION("""COMPUTED_VALUE"""),"Vasylyna Gorbachova")</f>
        <v>Vasylyna Gorbachova</v>
      </c>
      <c r="Q1357" s="6" t="str">
        <f>IFERROR(__xludf.DUMMYFUNCTION("""COMPUTED_VALUE"""),"L1")</f>
        <v>L1</v>
      </c>
      <c r="R1357" s="6">
        <f>IFERROR(__xludf.DUMMYFUNCTION("""COMPUTED_VALUE"""),1.0)</f>
        <v>1</v>
      </c>
      <c r="S1357" s="6" t="str">
        <f>IFERROR(__xludf.DUMMYFUNCTION("""COMPUTED_VALUE""")," ")</f>
        <v> </v>
      </c>
      <c r="T1357" s="6" t="str">
        <f>IFERROR(__xludf.DUMMYFUNCTION("""COMPUTED_VALUE"""),"")</f>
        <v/>
      </c>
      <c r="U1357" s="6" t="str">
        <f>IFERROR(__xludf.DUMMYFUNCTION("""COMPUTED_VALUE"""),"2")</f>
        <v>2</v>
      </c>
      <c r="V1357" s="6" t="str">
        <f>IFERROR(__xludf.DUMMYFUNCTION("""COMPUTED_VALUE"""),"English")</f>
        <v>English</v>
      </c>
      <c r="W1357" s="6" t="str">
        <f>IFERROR(__xludf.DUMMYFUNCTION("""COMPUTED_VALUE"""),"[]")</f>
        <v>[]</v>
      </c>
      <c r="X1357" s="6" t="str">
        <f>IFERROR(__xludf.DUMMYFUNCTION("""COMPUTED_VALUE"""),"Enrolled")</f>
        <v>Enrolled</v>
      </c>
    </row>
    <row r="1358">
      <c r="A1358" s="6" t="str">
        <f>IFERROR(__xludf.DUMMYFUNCTION("""COMPUTED_VALUE"""),"009-1612")</f>
        <v>009-1612</v>
      </c>
      <c r="B1358" s="6" t="str">
        <f>IFERROR(__xludf.DUMMYFUNCTION("""COMPUTED_VALUE"""),"9")</f>
        <v>9</v>
      </c>
      <c r="C1358" s="6" t="str">
        <f>IFERROR(__xludf.DUMMYFUNCTION("""COMPUTED_VALUE"""),"1612")</f>
        <v>1612</v>
      </c>
      <c r="D1358" s="6" t="str">
        <f>IFERROR(__xludf.DUMMYFUNCTION("""COMPUTED_VALUE"""),"Evelina")</f>
        <v>Evelina</v>
      </c>
      <c r="E1358" s="6" t="str">
        <f>IFERROR(__xludf.DUMMYFUNCTION("""COMPUTED_VALUE"""),"")</f>
        <v/>
      </c>
      <c r="F1358" s="6" t="str">
        <f>IFERROR(__xludf.DUMMYFUNCTION("""COMPUTED_VALUE"""),"Rybalchenko")</f>
        <v>Rybalchenko</v>
      </c>
      <c r="G1358" s="6" t="str">
        <f>IFERROR(__xludf.DUMMYFUNCTION("""COMPUTED_VALUE"""),"01/01/2015")</f>
        <v>01/01/2015</v>
      </c>
      <c r="H1358" s="6" t="str">
        <f>IFERROR(__xludf.DUMMYFUNCTION("""COMPUTED_VALUE"""),"Self Identify")</f>
        <v>Self Identify</v>
      </c>
      <c r="I1358" s="6" t="str">
        <f>IFERROR(__xludf.DUMMYFUNCTION("""COMPUTED_VALUE"""),"Level 2")</f>
        <v>Level 2</v>
      </c>
      <c r="J1358" s="6" t="str">
        <f>IFERROR(__xludf.DUMMYFUNCTION("""COMPUTED_VALUE"""),"4")</f>
        <v>4</v>
      </c>
      <c r="K1358" s="6" t="str">
        <f>IFERROR(__xludf.DUMMYFUNCTION("""COMPUTED_VALUE"""),"evelina.rybalchenko@2hourlearning.com")</f>
        <v>evelina.rybalchenko@2hourlearning.com</v>
      </c>
      <c r="L1358" s="6" t="str">
        <f>IFERROR(__xludf.DUMMYFUNCTION("""COMPUTED_VALUE"""),"Learn and Earn Poland")</f>
        <v>Learn and Earn Poland</v>
      </c>
      <c r="M1358" s="6" t="str">
        <f>IFERROR(__xludf.DUMMYFUNCTION("""COMPUTED_VALUE"""),"Budapest ex-GTS")</f>
        <v>Budapest ex-GTS</v>
      </c>
      <c r="N1358" s="6" t="str">
        <f>IFERROR(__xludf.DUMMYFUNCTION("""COMPUTED_VALUE"""),"")</f>
        <v/>
      </c>
      <c r="O1358" s="87" t="str">
        <f>IFERROR(__xludf.DUMMYFUNCTION("""COMPUTED_VALUE"""),"https://drive.google.com/drive/folders/10T2cTQHqEJZqE-st6uFKPoI?usp=share_link")</f>
        <v>https://drive.google.com/drive/folders/10T2cTQHqEJZqE-st6uFKPoI?usp=share_link</v>
      </c>
      <c r="P1358" s="6" t="str">
        <f>IFERROR(__xludf.DUMMYFUNCTION("""COMPUTED_VALUE"""),"Evelina Rybalchenko")</f>
        <v>Evelina Rybalchenko</v>
      </c>
      <c r="Q1358" s="6" t="str">
        <f>IFERROR(__xludf.DUMMYFUNCTION("""COMPUTED_VALUE"""),"L2")</f>
        <v>L2</v>
      </c>
      <c r="R1358" s="6">
        <f>IFERROR(__xludf.DUMMYFUNCTION("""COMPUTED_VALUE"""),2.0)</f>
        <v>2</v>
      </c>
      <c r="S1358" s="6" t="str">
        <f>IFERROR(__xludf.DUMMYFUNCTION("""COMPUTED_VALUE""")," ")</f>
        <v> </v>
      </c>
      <c r="T1358" s="6" t="str">
        <f>IFERROR(__xludf.DUMMYFUNCTION("""COMPUTED_VALUE"""),"")</f>
        <v/>
      </c>
      <c r="U1358" s="6" t="str">
        <f>IFERROR(__xludf.DUMMYFUNCTION("""COMPUTED_VALUE"""),"4")</f>
        <v>4</v>
      </c>
      <c r="V1358" s="6" t="str">
        <f>IFERROR(__xludf.DUMMYFUNCTION("""COMPUTED_VALUE"""),"English")</f>
        <v>English</v>
      </c>
      <c r="W1358" s="6" t="str">
        <f>IFERROR(__xludf.DUMMYFUNCTION("""COMPUTED_VALUE"""),"[]")</f>
        <v>[]</v>
      </c>
      <c r="X1358" s="6" t="str">
        <f>IFERROR(__xludf.DUMMYFUNCTION("""COMPUTED_VALUE"""),"Enrolled")</f>
        <v>Enrolled</v>
      </c>
    </row>
    <row r="1359">
      <c r="A1359" s="6" t="str">
        <f>IFERROR(__xludf.DUMMYFUNCTION("""COMPUTED_VALUE"""),"009-1613")</f>
        <v>009-1613</v>
      </c>
      <c r="B1359" s="6" t="str">
        <f>IFERROR(__xludf.DUMMYFUNCTION("""COMPUTED_VALUE"""),"9")</f>
        <v>9</v>
      </c>
      <c r="C1359" s="6" t="str">
        <f>IFERROR(__xludf.DUMMYFUNCTION("""COMPUTED_VALUE"""),"1613")</f>
        <v>1613</v>
      </c>
      <c r="D1359" s="6" t="str">
        <f>IFERROR(__xludf.DUMMYFUNCTION("""COMPUTED_VALUE"""),"Zazymko")</f>
        <v>Zazymko</v>
      </c>
      <c r="E1359" s="6" t="str">
        <f>IFERROR(__xludf.DUMMYFUNCTION("""COMPUTED_VALUE"""),"")</f>
        <v/>
      </c>
      <c r="F1359" s="6" t="str">
        <f>IFERROR(__xludf.DUMMYFUNCTION("""COMPUTED_VALUE"""),"Maksym")</f>
        <v>Maksym</v>
      </c>
      <c r="G1359" s="6" t="str">
        <f>IFERROR(__xludf.DUMMYFUNCTION("""COMPUTED_VALUE"""),"01/01/2012")</f>
        <v>01/01/2012</v>
      </c>
      <c r="H1359" s="6" t="str">
        <f>IFERROR(__xludf.DUMMYFUNCTION("""COMPUTED_VALUE"""),"Self Identify")</f>
        <v>Self Identify</v>
      </c>
      <c r="I1359" s="6" t="str">
        <f>IFERROR(__xludf.DUMMYFUNCTION("""COMPUTED_VALUE"""),"Middle School")</f>
        <v>Middle School</v>
      </c>
      <c r="J1359" s="6" t="str">
        <f>IFERROR(__xludf.DUMMYFUNCTION("""COMPUTED_VALUE"""),"7")</f>
        <v>7</v>
      </c>
      <c r="K1359" s="6" t="str">
        <f>IFERROR(__xludf.DUMMYFUNCTION("""COMPUTED_VALUE"""),"zazymko.maksym@2hourlearning.com")</f>
        <v>zazymko.maksym@2hourlearning.com</v>
      </c>
      <c r="L1359" s="6" t="str">
        <f>IFERROR(__xludf.DUMMYFUNCTION("""COMPUTED_VALUE"""),"Learn and Earn Poland")</f>
        <v>Learn and Earn Poland</v>
      </c>
      <c r="M1359" s="6" t="str">
        <f>IFERROR(__xludf.DUMMYFUNCTION("""COMPUTED_VALUE"""),"Budapest Alpha")</f>
        <v>Budapest Alpha</v>
      </c>
      <c r="N1359" s="6" t="str">
        <f>IFERROR(__xludf.DUMMYFUNCTION("""COMPUTED_VALUE"""),"")</f>
        <v/>
      </c>
      <c r="O1359" s="87" t="str">
        <f>IFERROR(__xludf.DUMMYFUNCTION("""COMPUTED_VALUE"""),"https://drive.google.com/drive/folders/10T2cTQHqEJZqE-st6uFKPoI?usp=share_link")</f>
        <v>https://drive.google.com/drive/folders/10T2cTQHqEJZqE-st6uFKPoI?usp=share_link</v>
      </c>
      <c r="P1359" s="6" t="str">
        <f>IFERROR(__xludf.DUMMYFUNCTION("""COMPUTED_VALUE"""),"Zazymko Maksym")</f>
        <v>Zazymko Maksym</v>
      </c>
      <c r="Q1359" s="6" t="str">
        <f>IFERROR(__xludf.DUMMYFUNCTION("""COMPUTED_VALUE"""),"MS")</f>
        <v>MS</v>
      </c>
      <c r="R1359" s="6">
        <f>IFERROR(__xludf.DUMMYFUNCTION("""COMPUTED_VALUE"""),0.0)</f>
        <v>0</v>
      </c>
      <c r="S1359" s="6" t="str">
        <f>IFERROR(__xludf.DUMMYFUNCTION("""COMPUTED_VALUE""")," ")</f>
        <v> </v>
      </c>
      <c r="T1359" s="6" t="str">
        <f>IFERROR(__xludf.DUMMYFUNCTION("""COMPUTED_VALUE"""),"")</f>
        <v/>
      </c>
      <c r="U1359" s="6" t="str">
        <f>IFERROR(__xludf.DUMMYFUNCTION("""COMPUTED_VALUE"""),"7")</f>
        <v>7</v>
      </c>
      <c r="V1359" s="6" t="str">
        <f>IFERROR(__xludf.DUMMYFUNCTION("""COMPUTED_VALUE"""),"English")</f>
        <v>English</v>
      </c>
      <c r="W1359" s="6" t="str">
        <f>IFERROR(__xludf.DUMMYFUNCTION("""COMPUTED_VALUE"""),"[]")</f>
        <v>[]</v>
      </c>
      <c r="X1359" s="6" t="str">
        <f>IFERROR(__xludf.DUMMYFUNCTION("""COMPUTED_VALUE"""),"Enrolled")</f>
        <v>Enrolled</v>
      </c>
    </row>
    <row r="1360">
      <c r="A1360" s="6" t="str">
        <f>IFERROR(__xludf.DUMMYFUNCTION("""COMPUTED_VALUE"""),"009-1614")</f>
        <v>009-1614</v>
      </c>
      <c r="B1360" s="6" t="str">
        <f>IFERROR(__xludf.DUMMYFUNCTION("""COMPUTED_VALUE"""),"9")</f>
        <v>9</v>
      </c>
      <c r="C1360" s="6" t="str">
        <f>IFERROR(__xludf.DUMMYFUNCTION("""COMPUTED_VALUE"""),"1614")</f>
        <v>1614</v>
      </c>
      <c r="D1360" s="6" t="str">
        <f>IFERROR(__xludf.DUMMYFUNCTION("""COMPUTED_VALUE"""),"Lili")</f>
        <v>Lili</v>
      </c>
      <c r="E1360" s="6" t="str">
        <f>IFERROR(__xludf.DUMMYFUNCTION("""COMPUTED_VALUE"""),"")</f>
        <v/>
      </c>
      <c r="F1360" s="6" t="str">
        <f>IFERROR(__xludf.DUMMYFUNCTION("""COMPUTED_VALUE"""),"Fanni")</f>
        <v>Fanni</v>
      </c>
      <c r="G1360" s="6" t="str">
        <f>IFERROR(__xludf.DUMMYFUNCTION("""COMPUTED_VALUE"""),"01/01/2007")</f>
        <v>01/01/2007</v>
      </c>
      <c r="H1360" s="6" t="str">
        <f>IFERROR(__xludf.DUMMYFUNCTION("""COMPUTED_VALUE"""),"Self Identify")</f>
        <v>Self Identify</v>
      </c>
      <c r="I1360" s="6" t="str">
        <f>IFERROR(__xludf.DUMMYFUNCTION("""COMPUTED_VALUE"""),"High School")</f>
        <v>High School</v>
      </c>
      <c r="J1360" s="6" t="str">
        <f>IFERROR(__xludf.DUMMYFUNCTION("""COMPUTED_VALUE"""),"12")</f>
        <v>12</v>
      </c>
      <c r="K1360" s="6" t="str">
        <f>IFERROR(__xludf.DUMMYFUNCTION("""COMPUTED_VALUE"""),"lili.fanni@2hourlearning.com")</f>
        <v>lili.fanni@2hourlearning.com</v>
      </c>
      <c r="L1360" s="6" t="str">
        <f>IFERROR(__xludf.DUMMYFUNCTION("""COMPUTED_VALUE"""),"Learn and Earn Poland")</f>
        <v>Learn and Earn Poland</v>
      </c>
      <c r="M1360" s="6" t="str">
        <f>IFERROR(__xludf.DUMMYFUNCTION("""COMPUTED_VALUE"""),"Budapest ex-GTS")</f>
        <v>Budapest ex-GTS</v>
      </c>
      <c r="N1360" s="6" t="str">
        <f>IFERROR(__xludf.DUMMYFUNCTION("""COMPUTED_VALUE"""),"")</f>
        <v/>
      </c>
      <c r="O1360" s="87" t="str">
        <f>IFERROR(__xludf.DUMMYFUNCTION("""COMPUTED_VALUE"""),"https://drive.google.com/drive/folders/10T2cTQHqEJZqE-st6uFKPoI?usp=share_link")</f>
        <v>https://drive.google.com/drive/folders/10T2cTQHqEJZqE-st6uFKPoI?usp=share_link</v>
      </c>
      <c r="P1360" s="6" t="str">
        <f>IFERROR(__xludf.DUMMYFUNCTION("""COMPUTED_VALUE"""),"Lili Fanni")</f>
        <v>Lili Fanni</v>
      </c>
      <c r="Q1360" s="6" t="str">
        <f>IFERROR(__xludf.DUMMYFUNCTION("""COMPUTED_VALUE"""),"HS")</f>
        <v>HS</v>
      </c>
      <c r="R1360" s="6">
        <f>IFERROR(__xludf.DUMMYFUNCTION("""COMPUTED_VALUE"""),0.0)</f>
        <v>0</v>
      </c>
      <c r="S1360" s="6" t="str">
        <f>IFERROR(__xludf.DUMMYFUNCTION("""COMPUTED_VALUE""")," ")</f>
        <v> </v>
      </c>
      <c r="T1360" s="6" t="str">
        <f>IFERROR(__xludf.DUMMYFUNCTION("""COMPUTED_VALUE"""),"")</f>
        <v/>
      </c>
      <c r="U1360" s="6" t="str">
        <f>IFERROR(__xludf.DUMMYFUNCTION("""COMPUTED_VALUE"""),"12")</f>
        <v>12</v>
      </c>
      <c r="V1360" s="6" t="str">
        <f>IFERROR(__xludf.DUMMYFUNCTION("""COMPUTED_VALUE"""),"English")</f>
        <v>English</v>
      </c>
      <c r="W1360" s="6" t="str">
        <f>IFERROR(__xludf.DUMMYFUNCTION("""COMPUTED_VALUE"""),"[]")</f>
        <v>[]</v>
      </c>
      <c r="X1360" s="6" t="str">
        <f>IFERROR(__xludf.DUMMYFUNCTION("""COMPUTED_VALUE"""),"Enrolled")</f>
        <v>Enrolled</v>
      </c>
    </row>
    <row r="1361">
      <c r="A1361" s="6" t="str">
        <f>IFERROR(__xludf.DUMMYFUNCTION("""COMPUTED_VALUE"""),"009-1615")</f>
        <v>009-1615</v>
      </c>
      <c r="B1361" s="6" t="str">
        <f>IFERROR(__xludf.DUMMYFUNCTION("""COMPUTED_VALUE"""),"9")</f>
        <v>9</v>
      </c>
      <c r="C1361" s="6" t="str">
        <f>IFERROR(__xludf.DUMMYFUNCTION("""COMPUTED_VALUE"""),"1615")</f>
        <v>1615</v>
      </c>
      <c r="D1361" s="6" t="str">
        <f>IFERROR(__xludf.DUMMYFUNCTION("""COMPUTED_VALUE"""),"Viktor")</f>
        <v>Viktor</v>
      </c>
      <c r="E1361" s="6" t="str">
        <f>IFERROR(__xludf.DUMMYFUNCTION("""COMPUTED_VALUE"""),"")</f>
        <v/>
      </c>
      <c r="F1361" s="6" t="str">
        <f>IFERROR(__xludf.DUMMYFUNCTION("""COMPUTED_VALUE"""),"Nyistyak")</f>
        <v>Nyistyak</v>
      </c>
      <c r="G1361" s="6" t="str">
        <f>IFERROR(__xludf.DUMMYFUNCTION("""COMPUTED_VALUE"""),"01/01/2009")</f>
        <v>01/01/2009</v>
      </c>
      <c r="H1361" s="6" t="str">
        <f>IFERROR(__xludf.DUMMYFUNCTION("""COMPUTED_VALUE"""),"Self Identify")</f>
        <v>Self Identify</v>
      </c>
      <c r="I1361" s="6" t="str">
        <f>IFERROR(__xludf.DUMMYFUNCTION("""COMPUTED_VALUE"""),"High School")</f>
        <v>High School</v>
      </c>
      <c r="J1361" s="6" t="str">
        <f>IFERROR(__xludf.DUMMYFUNCTION("""COMPUTED_VALUE"""),"10")</f>
        <v>10</v>
      </c>
      <c r="K1361" s="6" t="str">
        <f>IFERROR(__xludf.DUMMYFUNCTION("""COMPUTED_VALUE"""),"viktor.nyistyak@2hourlearning.com")</f>
        <v>viktor.nyistyak@2hourlearning.com</v>
      </c>
      <c r="L1361" s="6" t="str">
        <f>IFERROR(__xludf.DUMMYFUNCTION("""COMPUTED_VALUE"""),"Learn and Earn Poland")</f>
        <v>Learn and Earn Poland</v>
      </c>
      <c r="M1361" s="6" t="str">
        <f>IFERROR(__xludf.DUMMYFUNCTION("""COMPUTED_VALUE"""),"Budapest ex-GTS")</f>
        <v>Budapest ex-GTS</v>
      </c>
      <c r="N1361" s="6" t="str">
        <f>IFERROR(__xludf.DUMMYFUNCTION("""COMPUTED_VALUE"""),"")</f>
        <v/>
      </c>
      <c r="O1361" s="87" t="str">
        <f>IFERROR(__xludf.DUMMYFUNCTION("""COMPUTED_VALUE"""),"https://drive.google.com/drive/folders/10T2cTQHqEJZqE-st6uFKPoI?usp=share_link")</f>
        <v>https://drive.google.com/drive/folders/10T2cTQHqEJZqE-st6uFKPoI?usp=share_link</v>
      </c>
      <c r="P1361" s="6" t="str">
        <f>IFERROR(__xludf.DUMMYFUNCTION("""COMPUTED_VALUE"""),"Viktor Nyistyak")</f>
        <v>Viktor Nyistyak</v>
      </c>
      <c r="Q1361" s="6" t="str">
        <f>IFERROR(__xludf.DUMMYFUNCTION("""COMPUTED_VALUE"""),"HS")</f>
        <v>HS</v>
      </c>
      <c r="R1361" s="6">
        <f>IFERROR(__xludf.DUMMYFUNCTION("""COMPUTED_VALUE"""),0.0)</f>
        <v>0</v>
      </c>
      <c r="S1361" s="6" t="str">
        <f>IFERROR(__xludf.DUMMYFUNCTION("""COMPUTED_VALUE""")," ")</f>
        <v> </v>
      </c>
      <c r="T1361" s="6" t="str">
        <f>IFERROR(__xludf.DUMMYFUNCTION("""COMPUTED_VALUE"""),"")</f>
        <v/>
      </c>
      <c r="U1361" s="6" t="str">
        <f>IFERROR(__xludf.DUMMYFUNCTION("""COMPUTED_VALUE"""),"10")</f>
        <v>10</v>
      </c>
      <c r="V1361" s="6" t="str">
        <f>IFERROR(__xludf.DUMMYFUNCTION("""COMPUTED_VALUE"""),"English")</f>
        <v>English</v>
      </c>
      <c r="W1361" s="6" t="str">
        <f>IFERROR(__xludf.DUMMYFUNCTION("""COMPUTED_VALUE"""),"[]")</f>
        <v>[]</v>
      </c>
      <c r="X1361" s="6" t="str">
        <f>IFERROR(__xludf.DUMMYFUNCTION("""COMPUTED_VALUE"""),"Enrolled")</f>
        <v>Enrolled</v>
      </c>
    </row>
    <row r="1362">
      <c r="A1362" s="6" t="str">
        <f>IFERROR(__xludf.DUMMYFUNCTION("""COMPUTED_VALUE"""),"009-1617")</f>
        <v>009-1617</v>
      </c>
      <c r="B1362" s="6" t="str">
        <f>IFERROR(__xludf.DUMMYFUNCTION("""COMPUTED_VALUE"""),"9")</f>
        <v>9</v>
      </c>
      <c r="C1362" s="6" t="str">
        <f>IFERROR(__xludf.DUMMYFUNCTION("""COMPUTED_VALUE"""),"1617")</f>
        <v>1617</v>
      </c>
      <c r="D1362" s="6" t="str">
        <f>IFERROR(__xludf.DUMMYFUNCTION("""COMPUTED_VALUE"""),"Jozsef")</f>
        <v>Jozsef</v>
      </c>
      <c r="E1362" s="6" t="str">
        <f>IFERROR(__xludf.DUMMYFUNCTION("""COMPUTED_VALUE"""),"")</f>
        <v/>
      </c>
      <c r="F1362" s="6" t="str">
        <f>IFERROR(__xludf.DUMMYFUNCTION("""COMPUTED_VALUE"""),"Renik")</f>
        <v>Renik</v>
      </c>
      <c r="G1362" s="6" t="str">
        <f>IFERROR(__xludf.DUMMYFUNCTION("""COMPUTED_VALUE"""),"01/01/2012")</f>
        <v>01/01/2012</v>
      </c>
      <c r="H1362" s="6" t="str">
        <f>IFERROR(__xludf.DUMMYFUNCTION("""COMPUTED_VALUE"""),"Self Identify")</f>
        <v>Self Identify</v>
      </c>
      <c r="I1362" s="6" t="str">
        <f>IFERROR(__xludf.DUMMYFUNCTION("""COMPUTED_VALUE"""),"Middle School")</f>
        <v>Middle School</v>
      </c>
      <c r="J1362" s="6" t="str">
        <f>IFERROR(__xludf.DUMMYFUNCTION("""COMPUTED_VALUE"""),"7")</f>
        <v>7</v>
      </c>
      <c r="K1362" s="6" t="str">
        <f>IFERROR(__xludf.DUMMYFUNCTION("""COMPUTED_VALUE"""),"jozsef.renik@2hourlearning.com")</f>
        <v>jozsef.renik@2hourlearning.com</v>
      </c>
      <c r="L1362" s="6" t="str">
        <f>IFERROR(__xludf.DUMMYFUNCTION("""COMPUTED_VALUE"""),"Learn and Earn Poland")</f>
        <v>Learn and Earn Poland</v>
      </c>
      <c r="M1362" s="6" t="str">
        <f>IFERROR(__xludf.DUMMYFUNCTION("""COMPUTED_VALUE"""),"Budapest Alpha")</f>
        <v>Budapest Alpha</v>
      </c>
      <c r="N1362" s="6" t="str">
        <f>IFERROR(__xludf.DUMMYFUNCTION("""COMPUTED_VALUE"""),"")</f>
        <v/>
      </c>
      <c r="O1362" s="87" t="str">
        <f>IFERROR(__xludf.DUMMYFUNCTION("""COMPUTED_VALUE"""),"https://drive.google.com/drive/folders/10T2cTQHqEJZqE-st6uFKPoI?usp=share_link")</f>
        <v>https://drive.google.com/drive/folders/10T2cTQHqEJZqE-st6uFKPoI?usp=share_link</v>
      </c>
      <c r="P1362" s="6" t="str">
        <f>IFERROR(__xludf.DUMMYFUNCTION("""COMPUTED_VALUE"""),"Jozsef Renik")</f>
        <v>Jozsef Renik</v>
      </c>
      <c r="Q1362" s="6" t="str">
        <f>IFERROR(__xludf.DUMMYFUNCTION("""COMPUTED_VALUE"""),"MS")</f>
        <v>MS</v>
      </c>
      <c r="R1362" s="6">
        <f>IFERROR(__xludf.DUMMYFUNCTION("""COMPUTED_VALUE"""),0.0)</f>
        <v>0</v>
      </c>
      <c r="S1362" s="6" t="str">
        <f>IFERROR(__xludf.DUMMYFUNCTION("""COMPUTED_VALUE""")," ")</f>
        <v> </v>
      </c>
      <c r="T1362" s="6" t="str">
        <f>IFERROR(__xludf.DUMMYFUNCTION("""COMPUTED_VALUE"""),"")</f>
        <v/>
      </c>
      <c r="U1362" s="6" t="str">
        <f>IFERROR(__xludf.DUMMYFUNCTION("""COMPUTED_VALUE"""),"7")</f>
        <v>7</v>
      </c>
      <c r="V1362" s="6" t="str">
        <f>IFERROR(__xludf.DUMMYFUNCTION("""COMPUTED_VALUE"""),"English")</f>
        <v>English</v>
      </c>
      <c r="W1362" s="6" t="str">
        <f>IFERROR(__xludf.DUMMYFUNCTION("""COMPUTED_VALUE"""),"[]")</f>
        <v>[]</v>
      </c>
      <c r="X1362" s="6" t="str">
        <f>IFERROR(__xludf.DUMMYFUNCTION("""COMPUTED_VALUE"""),"Enrolled")</f>
        <v>Enrolled</v>
      </c>
    </row>
    <row r="1363">
      <c r="A1363" s="6" t="str">
        <f>IFERROR(__xludf.DUMMYFUNCTION("""COMPUTED_VALUE"""),"009-1618")</f>
        <v>009-1618</v>
      </c>
      <c r="B1363" s="6" t="str">
        <f>IFERROR(__xludf.DUMMYFUNCTION("""COMPUTED_VALUE"""),"9")</f>
        <v>9</v>
      </c>
      <c r="C1363" s="6" t="str">
        <f>IFERROR(__xludf.DUMMYFUNCTION("""COMPUTED_VALUE"""),"1618")</f>
        <v>1618</v>
      </c>
      <c r="D1363" s="6" t="str">
        <f>IFERROR(__xludf.DUMMYFUNCTION("""COMPUTED_VALUE"""),"Sofiia")</f>
        <v>Sofiia</v>
      </c>
      <c r="E1363" s="6" t="str">
        <f>IFERROR(__xludf.DUMMYFUNCTION("""COMPUTED_VALUE"""),"")</f>
        <v/>
      </c>
      <c r="F1363" s="6" t="str">
        <f>IFERROR(__xludf.DUMMYFUNCTION("""COMPUTED_VALUE"""),"Pryimenko")</f>
        <v>Pryimenko</v>
      </c>
      <c r="G1363" s="6" t="str">
        <f>IFERROR(__xludf.DUMMYFUNCTION("""COMPUTED_VALUE"""),"01/01/2014")</f>
        <v>01/01/2014</v>
      </c>
      <c r="H1363" s="6" t="str">
        <f>IFERROR(__xludf.DUMMYFUNCTION("""COMPUTED_VALUE"""),"Self Identify")</f>
        <v>Self Identify</v>
      </c>
      <c r="I1363" s="6" t="str">
        <f>IFERROR(__xludf.DUMMYFUNCTION("""COMPUTED_VALUE"""),"Level 2")</f>
        <v>Level 2</v>
      </c>
      <c r="J1363" s="6" t="str">
        <f>IFERROR(__xludf.DUMMYFUNCTION("""COMPUTED_VALUE"""),"5")</f>
        <v>5</v>
      </c>
      <c r="K1363" s="6" t="str">
        <f>IFERROR(__xludf.DUMMYFUNCTION("""COMPUTED_VALUE"""),"pryimenko.sofiia@2hourlearning.com")</f>
        <v>pryimenko.sofiia@2hourlearning.com</v>
      </c>
      <c r="L1363" s="6" t="str">
        <f>IFERROR(__xludf.DUMMYFUNCTION("""COMPUTED_VALUE"""),"Learn and Earn Poland")</f>
        <v>Learn and Earn Poland</v>
      </c>
      <c r="M1363" s="6" t="str">
        <f>IFERROR(__xludf.DUMMYFUNCTION("""COMPUTED_VALUE"""),"Budapest Alpha")</f>
        <v>Budapest Alpha</v>
      </c>
      <c r="N1363" s="6" t="str">
        <f>IFERROR(__xludf.DUMMYFUNCTION("""COMPUTED_VALUE"""),"")</f>
        <v/>
      </c>
      <c r="O1363" s="87" t="str">
        <f>IFERROR(__xludf.DUMMYFUNCTION("""COMPUTED_VALUE"""),"https://drive.google.com/drive/folders/10T2cTQHqEJZqE-st6uFKPoI?usp=share_link")</f>
        <v>https://drive.google.com/drive/folders/10T2cTQHqEJZqE-st6uFKPoI?usp=share_link</v>
      </c>
      <c r="P1363" s="6" t="str">
        <f>IFERROR(__xludf.DUMMYFUNCTION("""COMPUTED_VALUE"""),"Sofiia Pryimenko")</f>
        <v>Sofiia Pryimenko</v>
      </c>
      <c r="Q1363" s="6" t="str">
        <f>IFERROR(__xludf.DUMMYFUNCTION("""COMPUTED_VALUE"""),"L2")</f>
        <v>L2</v>
      </c>
      <c r="R1363" s="6">
        <f>IFERROR(__xludf.DUMMYFUNCTION("""COMPUTED_VALUE"""),2.0)</f>
        <v>2</v>
      </c>
      <c r="S1363" s="6" t="str">
        <f>IFERROR(__xludf.DUMMYFUNCTION("""COMPUTED_VALUE""")," ")</f>
        <v> </v>
      </c>
      <c r="T1363" s="6" t="str">
        <f>IFERROR(__xludf.DUMMYFUNCTION("""COMPUTED_VALUE"""),"")</f>
        <v/>
      </c>
      <c r="U1363" s="6" t="str">
        <f>IFERROR(__xludf.DUMMYFUNCTION("""COMPUTED_VALUE"""),"5")</f>
        <v>5</v>
      </c>
      <c r="V1363" s="6" t="str">
        <f>IFERROR(__xludf.DUMMYFUNCTION("""COMPUTED_VALUE"""),"English")</f>
        <v>English</v>
      </c>
      <c r="W1363" s="6" t="str">
        <f>IFERROR(__xludf.DUMMYFUNCTION("""COMPUTED_VALUE"""),"[]")</f>
        <v>[]</v>
      </c>
      <c r="X1363" s="6" t="str">
        <f>IFERROR(__xludf.DUMMYFUNCTION("""COMPUTED_VALUE"""),"Enrolled")</f>
        <v>Enrolled</v>
      </c>
    </row>
    <row r="1364">
      <c r="A1364" s="6" t="str">
        <f>IFERROR(__xludf.DUMMYFUNCTION("""COMPUTED_VALUE"""),"009-1619")</f>
        <v>009-1619</v>
      </c>
      <c r="B1364" s="6" t="str">
        <f>IFERROR(__xludf.DUMMYFUNCTION("""COMPUTED_VALUE"""),"9")</f>
        <v>9</v>
      </c>
      <c r="C1364" s="6" t="str">
        <f>IFERROR(__xludf.DUMMYFUNCTION("""COMPUTED_VALUE"""),"1619")</f>
        <v>1619</v>
      </c>
      <c r="D1364" s="6" t="str">
        <f>IFERROR(__xludf.DUMMYFUNCTION("""COMPUTED_VALUE"""),"Darina")</f>
        <v>Darina</v>
      </c>
      <c r="E1364" s="6" t="str">
        <f>IFERROR(__xludf.DUMMYFUNCTION("""COMPUTED_VALUE"""),"")</f>
        <v/>
      </c>
      <c r="F1364" s="6" t="str">
        <f>IFERROR(__xludf.DUMMYFUNCTION("""COMPUTED_VALUE"""),"Svitlychna")</f>
        <v>Svitlychna</v>
      </c>
      <c r="G1364" s="6" t="str">
        <f>IFERROR(__xludf.DUMMYFUNCTION("""COMPUTED_VALUE"""),"01/01/2012")</f>
        <v>01/01/2012</v>
      </c>
      <c r="H1364" s="6" t="str">
        <f>IFERROR(__xludf.DUMMYFUNCTION("""COMPUTED_VALUE"""),"Self Identify")</f>
        <v>Self Identify</v>
      </c>
      <c r="I1364" s="6" t="str">
        <f>IFERROR(__xludf.DUMMYFUNCTION("""COMPUTED_VALUE"""),"Middle School")</f>
        <v>Middle School</v>
      </c>
      <c r="J1364" s="6" t="str">
        <f>IFERROR(__xludf.DUMMYFUNCTION("""COMPUTED_VALUE"""),"7")</f>
        <v>7</v>
      </c>
      <c r="K1364" s="6" t="str">
        <f>IFERROR(__xludf.DUMMYFUNCTION("""COMPUTED_VALUE"""),"darina.svitlychna@2hourlearning.com")</f>
        <v>darina.svitlychna@2hourlearning.com</v>
      </c>
      <c r="L1364" s="6" t="str">
        <f>IFERROR(__xludf.DUMMYFUNCTION("""COMPUTED_VALUE"""),"Learn and Earn Poland")</f>
        <v>Learn and Earn Poland</v>
      </c>
      <c r="M1364" s="6" t="str">
        <f>IFERROR(__xludf.DUMMYFUNCTION("""COMPUTED_VALUE"""),"Budapest Alpha")</f>
        <v>Budapest Alpha</v>
      </c>
      <c r="N1364" s="6" t="str">
        <f>IFERROR(__xludf.DUMMYFUNCTION("""COMPUTED_VALUE"""),"")</f>
        <v/>
      </c>
      <c r="O1364" s="87" t="str">
        <f>IFERROR(__xludf.DUMMYFUNCTION("""COMPUTED_VALUE"""),"https://drive.google.com/drive/folders/10T2cTQHqEJZqE-st6uFKPoI?usp=share_link")</f>
        <v>https://drive.google.com/drive/folders/10T2cTQHqEJZqE-st6uFKPoI?usp=share_link</v>
      </c>
      <c r="P1364" s="6" t="str">
        <f>IFERROR(__xludf.DUMMYFUNCTION("""COMPUTED_VALUE"""),"Darina Svitlychna")</f>
        <v>Darina Svitlychna</v>
      </c>
      <c r="Q1364" s="6" t="str">
        <f>IFERROR(__xludf.DUMMYFUNCTION("""COMPUTED_VALUE"""),"MS")</f>
        <v>MS</v>
      </c>
      <c r="R1364" s="6">
        <f>IFERROR(__xludf.DUMMYFUNCTION("""COMPUTED_VALUE"""),0.0)</f>
        <v>0</v>
      </c>
      <c r="S1364" s="6" t="str">
        <f>IFERROR(__xludf.DUMMYFUNCTION("""COMPUTED_VALUE""")," ")</f>
        <v> </v>
      </c>
      <c r="T1364" s="6" t="str">
        <f>IFERROR(__xludf.DUMMYFUNCTION("""COMPUTED_VALUE"""),"")</f>
        <v/>
      </c>
      <c r="U1364" s="6" t="str">
        <f>IFERROR(__xludf.DUMMYFUNCTION("""COMPUTED_VALUE"""),"7")</f>
        <v>7</v>
      </c>
      <c r="V1364" s="6" t="str">
        <f>IFERROR(__xludf.DUMMYFUNCTION("""COMPUTED_VALUE"""),"English")</f>
        <v>English</v>
      </c>
      <c r="W1364" s="6" t="str">
        <f>IFERROR(__xludf.DUMMYFUNCTION("""COMPUTED_VALUE"""),"[]")</f>
        <v>[]</v>
      </c>
      <c r="X1364" s="6" t="str">
        <f>IFERROR(__xludf.DUMMYFUNCTION("""COMPUTED_VALUE"""),"Enrolled")</f>
        <v>Enrolled</v>
      </c>
    </row>
    <row r="1365">
      <c r="A1365" s="6" t="str">
        <f>IFERROR(__xludf.DUMMYFUNCTION("""COMPUTED_VALUE"""),"009-1620")</f>
        <v>009-1620</v>
      </c>
      <c r="B1365" s="6" t="str">
        <f>IFERROR(__xludf.DUMMYFUNCTION("""COMPUTED_VALUE"""),"9")</f>
        <v>9</v>
      </c>
      <c r="C1365" s="6" t="str">
        <f>IFERROR(__xludf.DUMMYFUNCTION("""COMPUTED_VALUE"""),"1620")</f>
        <v>1620</v>
      </c>
      <c r="D1365" s="6" t="str">
        <f>IFERROR(__xludf.DUMMYFUNCTION("""COMPUTED_VALUE"""),"Edvard")</f>
        <v>Edvard</v>
      </c>
      <c r="E1365" s="6" t="str">
        <f>IFERROR(__xludf.DUMMYFUNCTION("""COMPUTED_VALUE"""),"")</f>
        <v/>
      </c>
      <c r="F1365" s="6" t="str">
        <f>IFERROR(__xludf.DUMMYFUNCTION("""COMPUTED_VALUE"""),"Hegedus")</f>
        <v>Hegedus</v>
      </c>
      <c r="G1365" s="6" t="str">
        <f>IFERROR(__xludf.DUMMYFUNCTION("""COMPUTED_VALUE"""),"01/01/2014")</f>
        <v>01/01/2014</v>
      </c>
      <c r="H1365" s="6" t="str">
        <f>IFERROR(__xludf.DUMMYFUNCTION("""COMPUTED_VALUE"""),"Self Identify")</f>
        <v>Self Identify</v>
      </c>
      <c r="I1365" s="6" t="str">
        <f>IFERROR(__xludf.DUMMYFUNCTION("""COMPUTED_VALUE"""),"Level 2")</f>
        <v>Level 2</v>
      </c>
      <c r="J1365" s="6" t="str">
        <f>IFERROR(__xludf.DUMMYFUNCTION("""COMPUTED_VALUE"""),"5")</f>
        <v>5</v>
      </c>
      <c r="K1365" s="6" t="str">
        <f>IFERROR(__xludf.DUMMYFUNCTION("""COMPUTED_VALUE"""),"edvard.hegedus@2hourlearning.com")</f>
        <v>edvard.hegedus@2hourlearning.com</v>
      </c>
      <c r="L1365" s="6" t="str">
        <f>IFERROR(__xludf.DUMMYFUNCTION("""COMPUTED_VALUE"""),"Learn and Earn Poland")</f>
        <v>Learn and Earn Poland</v>
      </c>
      <c r="M1365" s="6" t="str">
        <f>IFERROR(__xludf.DUMMYFUNCTION("""COMPUTED_VALUE"""),"Budapest Alpha")</f>
        <v>Budapest Alpha</v>
      </c>
      <c r="N1365" s="6" t="str">
        <f>IFERROR(__xludf.DUMMYFUNCTION("""COMPUTED_VALUE"""),"")</f>
        <v/>
      </c>
      <c r="O1365" s="87" t="str">
        <f>IFERROR(__xludf.DUMMYFUNCTION("""COMPUTED_VALUE"""),"https://drive.google.com/drive/folders/10T2cTQHqEJZqE-st6uFKPoI?usp=share_link")</f>
        <v>https://drive.google.com/drive/folders/10T2cTQHqEJZqE-st6uFKPoI?usp=share_link</v>
      </c>
      <c r="P1365" s="6" t="str">
        <f>IFERROR(__xludf.DUMMYFUNCTION("""COMPUTED_VALUE"""),"Edvard Hegedus")</f>
        <v>Edvard Hegedus</v>
      </c>
      <c r="Q1365" s="6" t="str">
        <f>IFERROR(__xludf.DUMMYFUNCTION("""COMPUTED_VALUE"""),"L2")</f>
        <v>L2</v>
      </c>
      <c r="R1365" s="6">
        <f>IFERROR(__xludf.DUMMYFUNCTION("""COMPUTED_VALUE"""),2.0)</f>
        <v>2</v>
      </c>
      <c r="S1365" s="6" t="str">
        <f>IFERROR(__xludf.DUMMYFUNCTION("""COMPUTED_VALUE""")," ")</f>
        <v> </v>
      </c>
      <c r="T1365" s="6" t="str">
        <f>IFERROR(__xludf.DUMMYFUNCTION("""COMPUTED_VALUE"""),"")</f>
        <v/>
      </c>
      <c r="U1365" s="6" t="str">
        <f>IFERROR(__xludf.DUMMYFUNCTION("""COMPUTED_VALUE"""),"5")</f>
        <v>5</v>
      </c>
      <c r="V1365" s="6" t="str">
        <f>IFERROR(__xludf.DUMMYFUNCTION("""COMPUTED_VALUE"""),"English")</f>
        <v>English</v>
      </c>
      <c r="W1365" s="6" t="str">
        <f>IFERROR(__xludf.DUMMYFUNCTION("""COMPUTED_VALUE"""),"[]")</f>
        <v>[]</v>
      </c>
      <c r="X1365" s="6" t="str">
        <f>IFERROR(__xludf.DUMMYFUNCTION("""COMPUTED_VALUE"""),"Enrolled")</f>
        <v>Enrolled</v>
      </c>
    </row>
    <row r="1366">
      <c r="A1366" s="6" t="str">
        <f>IFERROR(__xludf.DUMMYFUNCTION("""COMPUTED_VALUE"""),"009-1621")</f>
        <v>009-1621</v>
      </c>
      <c r="B1366" s="6" t="str">
        <f>IFERROR(__xludf.DUMMYFUNCTION("""COMPUTED_VALUE"""),"9")</f>
        <v>9</v>
      </c>
      <c r="C1366" s="6" t="str">
        <f>IFERROR(__xludf.DUMMYFUNCTION("""COMPUTED_VALUE"""),"1621")</f>
        <v>1621</v>
      </c>
      <c r="D1366" s="6" t="str">
        <f>IFERROR(__xludf.DUMMYFUNCTION("""COMPUTED_VALUE"""),"Mykyta")</f>
        <v>Mykyta</v>
      </c>
      <c r="E1366" s="6" t="str">
        <f>IFERROR(__xludf.DUMMYFUNCTION("""COMPUTED_VALUE"""),"")</f>
        <v/>
      </c>
      <c r="F1366" s="6" t="str">
        <f>IFERROR(__xludf.DUMMYFUNCTION("""COMPUTED_VALUE"""),"Borodin")</f>
        <v>Borodin</v>
      </c>
      <c r="G1366" s="6" t="str">
        <f>IFERROR(__xludf.DUMMYFUNCTION("""COMPUTED_VALUE"""),"01/01/2012")</f>
        <v>01/01/2012</v>
      </c>
      <c r="H1366" s="6" t="str">
        <f>IFERROR(__xludf.DUMMYFUNCTION("""COMPUTED_VALUE"""),"Self Identify")</f>
        <v>Self Identify</v>
      </c>
      <c r="I1366" s="6" t="str">
        <f>IFERROR(__xludf.DUMMYFUNCTION("""COMPUTED_VALUE"""),"Middle School")</f>
        <v>Middle School</v>
      </c>
      <c r="J1366" s="6" t="str">
        <f>IFERROR(__xludf.DUMMYFUNCTION("""COMPUTED_VALUE"""),"7")</f>
        <v>7</v>
      </c>
      <c r="K1366" s="6" t="str">
        <f>IFERROR(__xludf.DUMMYFUNCTION("""COMPUTED_VALUE"""),"mykyta.borodin@2hourlearning.com")</f>
        <v>mykyta.borodin@2hourlearning.com</v>
      </c>
      <c r="L1366" s="6" t="str">
        <f>IFERROR(__xludf.DUMMYFUNCTION("""COMPUTED_VALUE"""),"Learn and Earn Poland")</f>
        <v>Learn and Earn Poland</v>
      </c>
      <c r="M1366" s="6" t="str">
        <f>IFERROR(__xludf.DUMMYFUNCTION("""COMPUTED_VALUE"""),"Budapest ex-GTS")</f>
        <v>Budapest ex-GTS</v>
      </c>
      <c r="N1366" s="6" t="str">
        <f>IFERROR(__xludf.DUMMYFUNCTION("""COMPUTED_VALUE"""),"")</f>
        <v/>
      </c>
      <c r="O1366" s="87" t="str">
        <f>IFERROR(__xludf.DUMMYFUNCTION("""COMPUTED_VALUE"""),"https://drive.google.com/drive/folders/10T2cTQHqEJZqE-st6uFKPoI?usp=share_link")</f>
        <v>https://drive.google.com/drive/folders/10T2cTQHqEJZqE-st6uFKPoI?usp=share_link</v>
      </c>
      <c r="P1366" s="6" t="str">
        <f>IFERROR(__xludf.DUMMYFUNCTION("""COMPUTED_VALUE"""),"Mykyta Borodin")</f>
        <v>Mykyta Borodin</v>
      </c>
      <c r="Q1366" s="6" t="str">
        <f>IFERROR(__xludf.DUMMYFUNCTION("""COMPUTED_VALUE"""),"MS")</f>
        <v>MS</v>
      </c>
      <c r="R1366" s="6">
        <f>IFERROR(__xludf.DUMMYFUNCTION("""COMPUTED_VALUE"""),0.0)</f>
        <v>0</v>
      </c>
      <c r="S1366" s="6" t="str">
        <f>IFERROR(__xludf.DUMMYFUNCTION("""COMPUTED_VALUE""")," ")</f>
        <v> </v>
      </c>
      <c r="T1366" s="6" t="str">
        <f>IFERROR(__xludf.DUMMYFUNCTION("""COMPUTED_VALUE"""),"")</f>
        <v/>
      </c>
      <c r="U1366" s="6" t="str">
        <f>IFERROR(__xludf.DUMMYFUNCTION("""COMPUTED_VALUE"""),"7")</f>
        <v>7</v>
      </c>
      <c r="V1366" s="6" t="str">
        <f>IFERROR(__xludf.DUMMYFUNCTION("""COMPUTED_VALUE"""),"English")</f>
        <v>English</v>
      </c>
      <c r="W1366" s="6" t="str">
        <f>IFERROR(__xludf.DUMMYFUNCTION("""COMPUTED_VALUE"""),"[]")</f>
        <v>[]</v>
      </c>
      <c r="X1366" s="6" t="str">
        <f>IFERROR(__xludf.DUMMYFUNCTION("""COMPUTED_VALUE"""),"Enrolled")</f>
        <v>Enrolled</v>
      </c>
    </row>
    <row r="1367">
      <c r="A1367" s="6" t="str">
        <f>IFERROR(__xludf.DUMMYFUNCTION("""COMPUTED_VALUE"""),"009-1622")</f>
        <v>009-1622</v>
      </c>
      <c r="B1367" s="6" t="str">
        <f>IFERROR(__xludf.DUMMYFUNCTION("""COMPUTED_VALUE"""),"9")</f>
        <v>9</v>
      </c>
      <c r="C1367" s="6" t="str">
        <f>IFERROR(__xludf.DUMMYFUNCTION("""COMPUTED_VALUE"""),"1622")</f>
        <v>1622</v>
      </c>
      <c r="D1367" s="6" t="str">
        <f>IFERROR(__xludf.DUMMYFUNCTION("""COMPUTED_VALUE"""),"Regina")</f>
        <v>Regina</v>
      </c>
      <c r="E1367" s="6" t="str">
        <f>IFERROR(__xludf.DUMMYFUNCTION("""COMPUTED_VALUE"""),"")</f>
        <v/>
      </c>
      <c r="F1367" s="6" t="str">
        <f>IFERROR(__xludf.DUMMYFUNCTION("""COMPUTED_VALUE"""),"Toth")</f>
        <v>Toth</v>
      </c>
      <c r="G1367" s="6" t="str">
        <f>IFERROR(__xludf.DUMMYFUNCTION("""COMPUTED_VALUE"""),"01/01/2013")</f>
        <v>01/01/2013</v>
      </c>
      <c r="H1367" s="6" t="str">
        <f>IFERROR(__xludf.DUMMYFUNCTION("""COMPUTED_VALUE"""),"Self Identify")</f>
        <v>Self Identify</v>
      </c>
      <c r="I1367" s="6" t="str">
        <f>IFERROR(__xludf.DUMMYFUNCTION("""COMPUTED_VALUE"""),"Middle School")</f>
        <v>Middle School</v>
      </c>
      <c r="J1367" s="6" t="str">
        <f>IFERROR(__xludf.DUMMYFUNCTION("""COMPUTED_VALUE"""),"6")</f>
        <v>6</v>
      </c>
      <c r="K1367" s="6" t="str">
        <f>IFERROR(__xludf.DUMMYFUNCTION("""COMPUTED_VALUE"""),"regina.toth@2hourlearning.com")</f>
        <v>regina.toth@2hourlearning.com</v>
      </c>
      <c r="L1367" s="6" t="str">
        <f>IFERROR(__xludf.DUMMYFUNCTION("""COMPUTED_VALUE"""),"Learn and Earn Poland")</f>
        <v>Learn and Earn Poland</v>
      </c>
      <c r="M1367" s="6" t="str">
        <f>IFERROR(__xludf.DUMMYFUNCTION("""COMPUTED_VALUE"""),"Budapest Alpha")</f>
        <v>Budapest Alpha</v>
      </c>
      <c r="N1367" s="6" t="str">
        <f>IFERROR(__xludf.DUMMYFUNCTION("""COMPUTED_VALUE"""),"")</f>
        <v/>
      </c>
      <c r="O1367" s="87" t="str">
        <f>IFERROR(__xludf.DUMMYFUNCTION("""COMPUTED_VALUE"""),"https://drive.google.com/drive/folders/10T2cTQHqEJZqE-st6uFKPoI?usp=share_link")</f>
        <v>https://drive.google.com/drive/folders/10T2cTQHqEJZqE-st6uFKPoI?usp=share_link</v>
      </c>
      <c r="P1367" s="6" t="str">
        <f>IFERROR(__xludf.DUMMYFUNCTION("""COMPUTED_VALUE"""),"Regina Toth")</f>
        <v>Regina Toth</v>
      </c>
      <c r="Q1367" s="6" t="str">
        <f>IFERROR(__xludf.DUMMYFUNCTION("""COMPUTED_VALUE"""),"MS")</f>
        <v>MS</v>
      </c>
      <c r="R1367" s="6">
        <f>IFERROR(__xludf.DUMMYFUNCTION("""COMPUTED_VALUE"""),0.0)</f>
        <v>0</v>
      </c>
      <c r="S1367" s="6" t="str">
        <f>IFERROR(__xludf.DUMMYFUNCTION("""COMPUTED_VALUE""")," ")</f>
        <v> </v>
      </c>
      <c r="T1367" s="6" t="str">
        <f>IFERROR(__xludf.DUMMYFUNCTION("""COMPUTED_VALUE"""),"")</f>
        <v/>
      </c>
      <c r="U1367" s="6" t="str">
        <f>IFERROR(__xludf.DUMMYFUNCTION("""COMPUTED_VALUE"""),"6")</f>
        <v>6</v>
      </c>
      <c r="V1367" s="6" t="str">
        <f>IFERROR(__xludf.DUMMYFUNCTION("""COMPUTED_VALUE"""),"English")</f>
        <v>English</v>
      </c>
      <c r="W1367" s="6" t="str">
        <f>IFERROR(__xludf.DUMMYFUNCTION("""COMPUTED_VALUE"""),"[]")</f>
        <v>[]</v>
      </c>
      <c r="X1367" s="6" t="str">
        <f>IFERROR(__xludf.DUMMYFUNCTION("""COMPUTED_VALUE"""),"Enrolled")</f>
        <v>Enrolled</v>
      </c>
    </row>
    <row r="1368">
      <c r="A1368" s="6" t="str">
        <f>IFERROR(__xludf.DUMMYFUNCTION("""COMPUTED_VALUE"""),"009-1623")</f>
        <v>009-1623</v>
      </c>
      <c r="B1368" s="6" t="str">
        <f>IFERROR(__xludf.DUMMYFUNCTION("""COMPUTED_VALUE"""),"9")</f>
        <v>9</v>
      </c>
      <c r="C1368" s="6" t="str">
        <f>IFERROR(__xludf.DUMMYFUNCTION("""COMPUTED_VALUE"""),"1623")</f>
        <v>1623</v>
      </c>
      <c r="D1368" s="6" t="str">
        <f>IFERROR(__xludf.DUMMYFUNCTION("""COMPUTED_VALUE"""),"Abigel")</f>
        <v>Abigel</v>
      </c>
      <c r="E1368" s="6" t="str">
        <f>IFERROR(__xludf.DUMMYFUNCTION("""COMPUTED_VALUE"""),"")</f>
        <v/>
      </c>
      <c r="F1368" s="6" t="str">
        <f>IFERROR(__xludf.DUMMYFUNCTION("""COMPUTED_VALUE"""),"Mezo")</f>
        <v>Mezo</v>
      </c>
      <c r="G1368" s="6" t="str">
        <f>IFERROR(__xludf.DUMMYFUNCTION("""COMPUTED_VALUE"""),"01/01/2013")</f>
        <v>01/01/2013</v>
      </c>
      <c r="H1368" s="6" t="str">
        <f>IFERROR(__xludf.DUMMYFUNCTION("""COMPUTED_VALUE"""),"Self Identify")</f>
        <v>Self Identify</v>
      </c>
      <c r="I1368" s="6" t="str">
        <f>IFERROR(__xludf.DUMMYFUNCTION("""COMPUTED_VALUE"""),"Middle School")</f>
        <v>Middle School</v>
      </c>
      <c r="J1368" s="6" t="str">
        <f>IFERROR(__xludf.DUMMYFUNCTION("""COMPUTED_VALUE"""),"6")</f>
        <v>6</v>
      </c>
      <c r="K1368" s="6" t="str">
        <f>IFERROR(__xludf.DUMMYFUNCTION("""COMPUTED_VALUE"""),"abigel.mezo@2hourlearning.com")</f>
        <v>abigel.mezo@2hourlearning.com</v>
      </c>
      <c r="L1368" s="6" t="str">
        <f>IFERROR(__xludf.DUMMYFUNCTION("""COMPUTED_VALUE"""),"Learn and Earn Poland")</f>
        <v>Learn and Earn Poland</v>
      </c>
      <c r="M1368" s="6" t="str">
        <f>IFERROR(__xludf.DUMMYFUNCTION("""COMPUTED_VALUE"""),"Budapest Alpha")</f>
        <v>Budapest Alpha</v>
      </c>
      <c r="N1368" s="6" t="str">
        <f>IFERROR(__xludf.DUMMYFUNCTION("""COMPUTED_VALUE"""),"")</f>
        <v/>
      </c>
      <c r="O1368" s="87" t="str">
        <f>IFERROR(__xludf.DUMMYFUNCTION("""COMPUTED_VALUE"""),"https://drive.google.com/drive/folders/10T2cTQHqEJZqE-st6uFKPoI?usp=share_link")</f>
        <v>https://drive.google.com/drive/folders/10T2cTQHqEJZqE-st6uFKPoI?usp=share_link</v>
      </c>
      <c r="P1368" s="6" t="str">
        <f>IFERROR(__xludf.DUMMYFUNCTION("""COMPUTED_VALUE"""),"Abigel Mezo")</f>
        <v>Abigel Mezo</v>
      </c>
      <c r="Q1368" s="6" t="str">
        <f>IFERROR(__xludf.DUMMYFUNCTION("""COMPUTED_VALUE"""),"MS")</f>
        <v>MS</v>
      </c>
      <c r="R1368" s="6">
        <f>IFERROR(__xludf.DUMMYFUNCTION("""COMPUTED_VALUE"""),0.0)</f>
        <v>0</v>
      </c>
      <c r="S1368" s="6" t="str">
        <f>IFERROR(__xludf.DUMMYFUNCTION("""COMPUTED_VALUE""")," ")</f>
        <v> </v>
      </c>
      <c r="T1368" s="6" t="str">
        <f>IFERROR(__xludf.DUMMYFUNCTION("""COMPUTED_VALUE"""),"")</f>
        <v/>
      </c>
      <c r="U1368" s="6" t="str">
        <f>IFERROR(__xludf.DUMMYFUNCTION("""COMPUTED_VALUE"""),"6")</f>
        <v>6</v>
      </c>
      <c r="V1368" s="6" t="str">
        <f>IFERROR(__xludf.DUMMYFUNCTION("""COMPUTED_VALUE"""),"English")</f>
        <v>English</v>
      </c>
      <c r="W1368" s="6" t="str">
        <f>IFERROR(__xludf.DUMMYFUNCTION("""COMPUTED_VALUE"""),"[]")</f>
        <v>[]</v>
      </c>
      <c r="X1368" s="6" t="str">
        <f>IFERROR(__xludf.DUMMYFUNCTION("""COMPUTED_VALUE"""),"Enrolled")</f>
        <v>Enrolled</v>
      </c>
    </row>
    <row r="1369">
      <c r="A1369" s="6" t="str">
        <f>IFERROR(__xludf.DUMMYFUNCTION("""COMPUTED_VALUE"""),"009-1624")</f>
        <v>009-1624</v>
      </c>
      <c r="B1369" s="6" t="str">
        <f>IFERROR(__xludf.DUMMYFUNCTION("""COMPUTED_VALUE"""),"9")</f>
        <v>9</v>
      </c>
      <c r="C1369" s="6" t="str">
        <f>IFERROR(__xludf.DUMMYFUNCTION("""COMPUTED_VALUE"""),"1624")</f>
        <v>1624</v>
      </c>
      <c r="D1369" s="6" t="str">
        <f>IFERROR(__xludf.DUMMYFUNCTION("""COMPUTED_VALUE"""),"Kornel")</f>
        <v>Kornel</v>
      </c>
      <c r="E1369" s="6" t="str">
        <f>IFERROR(__xludf.DUMMYFUNCTION("""COMPUTED_VALUE"""),"")</f>
        <v/>
      </c>
      <c r="F1369" s="6" t="str">
        <f>IFERROR(__xludf.DUMMYFUNCTION("""COMPUTED_VALUE"""),"Kurmai")</f>
        <v>Kurmai</v>
      </c>
      <c r="G1369" s="6" t="str">
        <f>IFERROR(__xludf.DUMMYFUNCTION("""COMPUTED_VALUE"""),"01/01/2009")</f>
        <v>01/01/2009</v>
      </c>
      <c r="H1369" s="6" t="str">
        <f>IFERROR(__xludf.DUMMYFUNCTION("""COMPUTED_VALUE"""),"Self Identify")</f>
        <v>Self Identify</v>
      </c>
      <c r="I1369" s="6" t="str">
        <f>IFERROR(__xludf.DUMMYFUNCTION("""COMPUTED_VALUE"""),"High School")</f>
        <v>High School</v>
      </c>
      <c r="J1369" s="6" t="str">
        <f>IFERROR(__xludf.DUMMYFUNCTION("""COMPUTED_VALUE"""),"10")</f>
        <v>10</v>
      </c>
      <c r="K1369" s="6" t="str">
        <f>IFERROR(__xludf.DUMMYFUNCTION("""COMPUTED_VALUE"""),"kornel.kurmai@2hourlearning.com")</f>
        <v>kornel.kurmai@2hourlearning.com</v>
      </c>
      <c r="L1369" s="6" t="str">
        <f>IFERROR(__xludf.DUMMYFUNCTION("""COMPUTED_VALUE"""),"Learn and Earn Poland")</f>
        <v>Learn and Earn Poland</v>
      </c>
      <c r="M1369" s="6" t="str">
        <f>IFERROR(__xludf.DUMMYFUNCTION("""COMPUTED_VALUE"""),"Budapest ex-GTS")</f>
        <v>Budapest ex-GTS</v>
      </c>
      <c r="N1369" s="6" t="str">
        <f>IFERROR(__xludf.DUMMYFUNCTION("""COMPUTED_VALUE"""),"")</f>
        <v/>
      </c>
      <c r="O1369" s="87" t="str">
        <f>IFERROR(__xludf.DUMMYFUNCTION("""COMPUTED_VALUE"""),"https://drive.google.com/drive/folders/10T2cTQHqEJZqE-st6uFKPoI?usp=share_link")</f>
        <v>https://drive.google.com/drive/folders/10T2cTQHqEJZqE-st6uFKPoI?usp=share_link</v>
      </c>
      <c r="P1369" s="6" t="str">
        <f>IFERROR(__xludf.DUMMYFUNCTION("""COMPUTED_VALUE"""),"Kornel Kurmai")</f>
        <v>Kornel Kurmai</v>
      </c>
      <c r="Q1369" s="6" t="str">
        <f>IFERROR(__xludf.DUMMYFUNCTION("""COMPUTED_VALUE"""),"HS")</f>
        <v>HS</v>
      </c>
      <c r="R1369" s="6">
        <f>IFERROR(__xludf.DUMMYFUNCTION("""COMPUTED_VALUE"""),0.0)</f>
        <v>0</v>
      </c>
      <c r="S1369" s="6" t="str">
        <f>IFERROR(__xludf.DUMMYFUNCTION("""COMPUTED_VALUE""")," ")</f>
        <v> </v>
      </c>
      <c r="T1369" s="6" t="str">
        <f>IFERROR(__xludf.DUMMYFUNCTION("""COMPUTED_VALUE"""),"")</f>
        <v/>
      </c>
      <c r="U1369" s="6" t="str">
        <f>IFERROR(__xludf.DUMMYFUNCTION("""COMPUTED_VALUE"""),"10")</f>
        <v>10</v>
      </c>
      <c r="V1369" s="6" t="str">
        <f>IFERROR(__xludf.DUMMYFUNCTION("""COMPUTED_VALUE"""),"English")</f>
        <v>English</v>
      </c>
      <c r="W1369" s="6" t="str">
        <f>IFERROR(__xludf.DUMMYFUNCTION("""COMPUTED_VALUE"""),"[]")</f>
        <v>[]</v>
      </c>
      <c r="X1369" s="6" t="str">
        <f>IFERROR(__xludf.DUMMYFUNCTION("""COMPUTED_VALUE"""),"Enrolled")</f>
        <v>Enrolled</v>
      </c>
    </row>
    <row r="1370">
      <c r="A1370" s="6" t="str">
        <f>IFERROR(__xludf.DUMMYFUNCTION("""COMPUTED_VALUE"""),"009-1625")</f>
        <v>009-1625</v>
      </c>
      <c r="B1370" s="6" t="str">
        <f>IFERROR(__xludf.DUMMYFUNCTION("""COMPUTED_VALUE"""),"9")</f>
        <v>9</v>
      </c>
      <c r="C1370" s="6" t="str">
        <f>IFERROR(__xludf.DUMMYFUNCTION("""COMPUTED_VALUE"""),"1625")</f>
        <v>1625</v>
      </c>
      <c r="D1370" s="6" t="str">
        <f>IFERROR(__xludf.DUMMYFUNCTION("""COMPUTED_VALUE"""),"Diana")</f>
        <v>Diana</v>
      </c>
      <c r="E1370" s="6" t="str">
        <f>IFERROR(__xludf.DUMMYFUNCTION("""COMPUTED_VALUE"""),"")</f>
        <v/>
      </c>
      <c r="F1370" s="6" t="str">
        <f>IFERROR(__xludf.DUMMYFUNCTION("""COMPUTED_VALUE"""),"Yefremova")</f>
        <v>Yefremova</v>
      </c>
      <c r="G1370" s="6" t="str">
        <f>IFERROR(__xludf.DUMMYFUNCTION("""COMPUTED_VALUE"""),"01/01/2015")</f>
        <v>01/01/2015</v>
      </c>
      <c r="H1370" s="6" t="str">
        <f>IFERROR(__xludf.DUMMYFUNCTION("""COMPUTED_VALUE"""),"Self Identify")</f>
        <v>Self Identify</v>
      </c>
      <c r="I1370" s="6" t="str">
        <f>IFERROR(__xludf.DUMMYFUNCTION("""COMPUTED_VALUE"""),"Level 2")</f>
        <v>Level 2</v>
      </c>
      <c r="J1370" s="6" t="str">
        <f>IFERROR(__xludf.DUMMYFUNCTION("""COMPUTED_VALUE"""),"4")</f>
        <v>4</v>
      </c>
      <c r="K1370" s="6" t="str">
        <f>IFERROR(__xludf.DUMMYFUNCTION("""COMPUTED_VALUE"""),"diana.yefremova@2hourlearning.com")</f>
        <v>diana.yefremova@2hourlearning.com</v>
      </c>
      <c r="L1370" s="6" t="str">
        <f>IFERROR(__xludf.DUMMYFUNCTION("""COMPUTED_VALUE"""),"Learn and Earn Poland")</f>
        <v>Learn and Earn Poland</v>
      </c>
      <c r="M1370" s="6" t="str">
        <f>IFERROR(__xludf.DUMMYFUNCTION("""COMPUTED_VALUE"""),"Budapest Alpha")</f>
        <v>Budapest Alpha</v>
      </c>
      <c r="N1370" s="6" t="str">
        <f>IFERROR(__xludf.DUMMYFUNCTION("""COMPUTED_VALUE"""),"")</f>
        <v/>
      </c>
      <c r="O1370" s="87" t="str">
        <f>IFERROR(__xludf.DUMMYFUNCTION("""COMPUTED_VALUE"""),"https://drive.google.com/drive/folders/10T2cTQHqEJZqE-st6uFKPoI?usp=share_link")</f>
        <v>https://drive.google.com/drive/folders/10T2cTQHqEJZqE-st6uFKPoI?usp=share_link</v>
      </c>
      <c r="P1370" s="6" t="str">
        <f>IFERROR(__xludf.DUMMYFUNCTION("""COMPUTED_VALUE"""),"Diana Yefremova")</f>
        <v>Diana Yefremova</v>
      </c>
      <c r="Q1370" s="6" t="str">
        <f>IFERROR(__xludf.DUMMYFUNCTION("""COMPUTED_VALUE"""),"L2")</f>
        <v>L2</v>
      </c>
      <c r="R1370" s="6">
        <f>IFERROR(__xludf.DUMMYFUNCTION("""COMPUTED_VALUE"""),2.0)</f>
        <v>2</v>
      </c>
      <c r="S1370" s="6" t="str">
        <f>IFERROR(__xludf.DUMMYFUNCTION("""COMPUTED_VALUE""")," ")</f>
        <v> </v>
      </c>
      <c r="T1370" s="6" t="str">
        <f>IFERROR(__xludf.DUMMYFUNCTION("""COMPUTED_VALUE"""),"")</f>
        <v/>
      </c>
      <c r="U1370" s="6" t="str">
        <f>IFERROR(__xludf.DUMMYFUNCTION("""COMPUTED_VALUE"""),"4")</f>
        <v>4</v>
      </c>
      <c r="V1370" s="6" t="str">
        <f>IFERROR(__xludf.DUMMYFUNCTION("""COMPUTED_VALUE"""),"English")</f>
        <v>English</v>
      </c>
      <c r="W1370" s="6" t="str">
        <f>IFERROR(__xludf.DUMMYFUNCTION("""COMPUTED_VALUE"""),"[]")</f>
        <v>[]</v>
      </c>
      <c r="X1370" s="6" t="str">
        <f>IFERROR(__xludf.DUMMYFUNCTION("""COMPUTED_VALUE"""),"Enrolled")</f>
        <v>Enrolled</v>
      </c>
    </row>
    <row r="1371">
      <c r="A1371" s="6" t="str">
        <f>IFERROR(__xludf.DUMMYFUNCTION("""COMPUTED_VALUE"""),"009-1626")</f>
        <v>009-1626</v>
      </c>
      <c r="B1371" s="6" t="str">
        <f>IFERROR(__xludf.DUMMYFUNCTION("""COMPUTED_VALUE"""),"9")</f>
        <v>9</v>
      </c>
      <c r="C1371" s="6" t="str">
        <f>IFERROR(__xludf.DUMMYFUNCTION("""COMPUTED_VALUE"""),"1626")</f>
        <v>1626</v>
      </c>
      <c r="D1371" s="6" t="str">
        <f>IFERROR(__xludf.DUMMYFUNCTION("""COMPUTED_VALUE"""),"Yelyzaveta")</f>
        <v>Yelyzaveta</v>
      </c>
      <c r="E1371" s="6" t="str">
        <f>IFERROR(__xludf.DUMMYFUNCTION("""COMPUTED_VALUE"""),"")</f>
        <v/>
      </c>
      <c r="F1371" s="6" t="str">
        <f>IFERROR(__xludf.DUMMYFUNCTION("""COMPUTED_VALUE"""),"Andriukhova")</f>
        <v>Andriukhova</v>
      </c>
      <c r="G1371" s="6" t="str">
        <f>IFERROR(__xludf.DUMMYFUNCTION("""COMPUTED_VALUE"""),"01/01/2009")</f>
        <v>01/01/2009</v>
      </c>
      <c r="H1371" s="6" t="str">
        <f>IFERROR(__xludf.DUMMYFUNCTION("""COMPUTED_VALUE"""),"Self Identify")</f>
        <v>Self Identify</v>
      </c>
      <c r="I1371" s="6" t="str">
        <f>IFERROR(__xludf.DUMMYFUNCTION("""COMPUTED_VALUE"""),"High School")</f>
        <v>High School</v>
      </c>
      <c r="J1371" s="6" t="str">
        <f>IFERROR(__xludf.DUMMYFUNCTION("""COMPUTED_VALUE"""),"10")</f>
        <v>10</v>
      </c>
      <c r="K1371" s="6" t="str">
        <f>IFERROR(__xludf.DUMMYFUNCTION("""COMPUTED_VALUE"""),"yelyzaveta.andriukhova@2hourlearning.com")</f>
        <v>yelyzaveta.andriukhova@2hourlearning.com</v>
      </c>
      <c r="L1371" s="6" t="str">
        <f>IFERROR(__xludf.DUMMYFUNCTION("""COMPUTED_VALUE"""),"Learn and Earn Poland")</f>
        <v>Learn and Earn Poland</v>
      </c>
      <c r="M1371" s="6" t="str">
        <f>IFERROR(__xludf.DUMMYFUNCTION("""COMPUTED_VALUE"""),"Budapest Alpha")</f>
        <v>Budapest Alpha</v>
      </c>
      <c r="N1371" s="6" t="str">
        <f>IFERROR(__xludf.DUMMYFUNCTION("""COMPUTED_VALUE"""),"")</f>
        <v/>
      </c>
      <c r="O1371" s="87" t="str">
        <f>IFERROR(__xludf.DUMMYFUNCTION("""COMPUTED_VALUE"""),"https://drive.google.com/drive/folders/10T2cTQHqEJZqE-st6uFKPoI?usp=share_link")</f>
        <v>https://drive.google.com/drive/folders/10T2cTQHqEJZqE-st6uFKPoI?usp=share_link</v>
      </c>
      <c r="P1371" s="6" t="str">
        <f>IFERROR(__xludf.DUMMYFUNCTION("""COMPUTED_VALUE"""),"Yelyzaveta Andriukhova")</f>
        <v>Yelyzaveta Andriukhova</v>
      </c>
      <c r="Q1371" s="6" t="str">
        <f>IFERROR(__xludf.DUMMYFUNCTION("""COMPUTED_VALUE"""),"HS")</f>
        <v>HS</v>
      </c>
      <c r="R1371" s="6">
        <f>IFERROR(__xludf.DUMMYFUNCTION("""COMPUTED_VALUE"""),0.0)</f>
        <v>0</v>
      </c>
      <c r="S1371" s="6" t="str">
        <f>IFERROR(__xludf.DUMMYFUNCTION("""COMPUTED_VALUE""")," ")</f>
        <v> </v>
      </c>
      <c r="T1371" s="6" t="str">
        <f>IFERROR(__xludf.DUMMYFUNCTION("""COMPUTED_VALUE"""),"")</f>
        <v/>
      </c>
      <c r="U1371" s="6" t="str">
        <f>IFERROR(__xludf.DUMMYFUNCTION("""COMPUTED_VALUE"""),"10")</f>
        <v>10</v>
      </c>
      <c r="V1371" s="6" t="str">
        <f>IFERROR(__xludf.DUMMYFUNCTION("""COMPUTED_VALUE"""),"English")</f>
        <v>English</v>
      </c>
      <c r="W1371" s="6" t="str">
        <f>IFERROR(__xludf.DUMMYFUNCTION("""COMPUTED_VALUE"""),"[]")</f>
        <v>[]</v>
      </c>
      <c r="X1371" s="6" t="str">
        <f>IFERROR(__xludf.DUMMYFUNCTION("""COMPUTED_VALUE"""),"Enrolled")</f>
        <v>Enrolled</v>
      </c>
    </row>
    <row r="1372">
      <c r="A1372" s="6" t="str">
        <f>IFERROR(__xludf.DUMMYFUNCTION("""COMPUTED_VALUE"""),"009-1627")</f>
        <v>009-1627</v>
      </c>
      <c r="B1372" s="6" t="str">
        <f>IFERROR(__xludf.DUMMYFUNCTION("""COMPUTED_VALUE"""),"9")</f>
        <v>9</v>
      </c>
      <c r="C1372" s="6" t="str">
        <f>IFERROR(__xludf.DUMMYFUNCTION("""COMPUTED_VALUE"""),"1627")</f>
        <v>1627</v>
      </c>
      <c r="D1372" s="6" t="str">
        <f>IFERROR(__xludf.DUMMYFUNCTION("""COMPUTED_VALUE"""),"Demeter")</f>
        <v>Demeter</v>
      </c>
      <c r="E1372" s="6" t="str">
        <f>IFERROR(__xludf.DUMMYFUNCTION("""COMPUTED_VALUE"""),"")</f>
        <v/>
      </c>
      <c r="F1372" s="6" t="str">
        <f>IFERROR(__xludf.DUMMYFUNCTION("""COMPUTED_VALUE"""),"Robert")</f>
        <v>Robert</v>
      </c>
      <c r="G1372" s="6" t="str">
        <f>IFERROR(__xludf.DUMMYFUNCTION("""COMPUTED_VALUE"""),"01/01/2019")</f>
        <v>01/01/2019</v>
      </c>
      <c r="H1372" s="6" t="str">
        <f>IFERROR(__xludf.DUMMYFUNCTION("""COMPUTED_VALUE"""),"Self Identify")</f>
        <v>Self Identify</v>
      </c>
      <c r="I1372" s="6" t="str">
        <f>IFERROR(__xludf.DUMMYFUNCTION("""COMPUTED_VALUE"""),"Learning Lab")</f>
        <v>Learning Lab</v>
      </c>
      <c r="J1372" s="6" t="str">
        <f>IFERROR(__xludf.DUMMYFUNCTION("""COMPUTED_VALUE"""),"1")</f>
        <v>1</v>
      </c>
      <c r="K1372" s="6" t="str">
        <f>IFERROR(__xludf.DUMMYFUNCTION("""COMPUTED_VALUE"""),"demeter.robert@2hourlearning.com")</f>
        <v>demeter.robert@2hourlearning.com</v>
      </c>
      <c r="L1372" s="6" t="str">
        <f>IFERROR(__xludf.DUMMYFUNCTION("""COMPUTED_VALUE"""),"Learn and Earn Poland")</f>
        <v>Learn and Earn Poland</v>
      </c>
      <c r="M1372" s="6" t="str">
        <f>IFERROR(__xludf.DUMMYFUNCTION("""COMPUTED_VALUE"""),"Budapest Alpha")</f>
        <v>Budapest Alpha</v>
      </c>
      <c r="N1372" s="6" t="str">
        <f>IFERROR(__xludf.DUMMYFUNCTION("""COMPUTED_VALUE"""),"")</f>
        <v/>
      </c>
      <c r="O1372" s="87" t="str">
        <f>IFERROR(__xludf.DUMMYFUNCTION("""COMPUTED_VALUE"""),"https://drive.google.com/drive/folders/10T2cTQHqEJZqE-st6uFKPoI?usp=share_link")</f>
        <v>https://drive.google.com/drive/folders/10T2cTQHqEJZqE-st6uFKPoI?usp=share_link</v>
      </c>
      <c r="P1372" s="6" t="str">
        <f>IFERROR(__xludf.DUMMYFUNCTION("""COMPUTED_VALUE"""),"Demeter Robert")</f>
        <v>Demeter Robert</v>
      </c>
      <c r="Q1372" s="6" t="str">
        <f>IFERROR(__xludf.DUMMYFUNCTION("""COMPUTED_VALUE"""),"LL")</f>
        <v>LL</v>
      </c>
      <c r="R1372" s="6">
        <f>IFERROR(__xludf.DUMMYFUNCTION("""COMPUTED_VALUE"""),0.0)</f>
        <v>0</v>
      </c>
      <c r="S1372" s="6" t="str">
        <f>IFERROR(__xludf.DUMMYFUNCTION("""COMPUTED_VALUE""")," ")</f>
        <v> </v>
      </c>
      <c r="T1372" s="6" t="str">
        <f>IFERROR(__xludf.DUMMYFUNCTION("""COMPUTED_VALUE"""),"")</f>
        <v/>
      </c>
      <c r="U1372" s="6" t="str">
        <f>IFERROR(__xludf.DUMMYFUNCTION("""COMPUTED_VALUE"""),"1")</f>
        <v>1</v>
      </c>
      <c r="V1372" s="6" t="str">
        <f>IFERROR(__xludf.DUMMYFUNCTION("""COMPUTED_VALUE"""),"English")</f>
        <v>English</v>
      </c>
      <c r="W1372" s="6" t="str">
        <f>IFERROR(__xludf.DUMMYFUNCTION("""COMPUTED_VALUE"""),"[]")</f>
        <v>[]</v>
      </c>
      <c r="X1372" s="6" t="str">
        <f>IFERROR(__xludf.DUMMYFUNCTION("""COMPUTED_VALUE"""),"Enrolled")</f>
        <v>Enrolled</v>
      </c>
    </row>
    <row r="1373">
      <c r="A1373" s="6" t="str">
        <f>IFERROR(__xludf.DUMMYFUNCTION("""COMPUTED_VALUE"""),"009-1628")</f>
        <v>009-1628</v>
      </c>
      <c r="B1373" s="6" t="str">
        <f>IFERROR(__xludf.DUMMYFUNCTION("""COMPUTED_VALUE"""),"9")</f>
        <v>9</v>
      </c>
      <c r="C1373" s="6" t="str">
        <f>IFERROR(__xludf.DUMMYFUNCTION("""COMPUTED_VALUE"""),"1628")</f>
        <v>1628</v>
      </c>
      <c r="D1373" s="6" t="str">
        <f>IFERROR(__xludf.DUMMYFUNCTION("""COMPUTED_VALUE"""),"Milan")</f>
        <v>Milan</v>
      </c>
      <c r="E1373" s="6" t="str">
        <f>IFERROR(__xludf.DUMMYFUNCTION("""COMPUTED_VALUE"""),"")</f>
        <v/>
      </c>
      <c r="F1373" s="6" t="str">
        <f>IFERROR(__xludf.DUMMYFUNCTION("""COMPUTED_VALUE"""),"Harapko")</f>
        <v>Harapko</v>
      </c>
      <c r="G1373" s="6" t="str">
        <f>IFERROR(__xludf.DUMMYFUNCTION("""COMPUTED_VALUE"""),"01/01/2013")</f>
        <v>01/01/2013</v>
      </c>
      <c r="H1373" s="6" t="str">
        <f>IFERROR(__xludf.DUMMYFUNCTION("""COMPUTED_VALUE"""),"Self Identify")</f>
        <v>Self Identify</v>
      </c>
      <c r="I1373" s="6" t="str">
        <f>IFERROR(__xludf.DUMMYFUNCTION("""COMPUTED_VALUE"""),"Middle School")</f>
        <v>Middle School</v>
      </c>
      <c r="J1373" s="6" t="str">
        <f>IFERROR(__xludf.DUMMYFUNCTION("""COMPUTED_VALUE"""),"6")</f>
        <v>6</v>
      </c>
      <c r="K1373" s="6" t="str">
        <f>IFERROR(__xludf.DUMMYFUNCTION("""COMPUTED_VALUE"""),"milan.harapko@2hourlearning.com")</f>
        <v>milan.harapko@2hourlearning.com</v>
      </c>
      <c r="L1373" s="6" t="str">
        <f>IFERROR(__xludf.DUMMYFUNCTION("""COMPUTED_VALUE"""),"Learn and Earn Poland")</f>
        <v>Learn and Earn Poland</v>
      </c>
      <c r="M1373" s="6" t="str">
        <f>IFERROR(__xludf.DUMMYFUNCTION("""COMPUTED_VALUE"""),"Budapest Alpha")</f>
        <v>Budapest Alpha</v>
      </c>
      <c r="N1373" s="6" t="str">
        <f>IFERROR(__xludf.DUMMYFUNCTION("""COMPUTED_VALUE"""),"")</f>
        <v/>
      </c>
      <c r="O1373" s="87" t="str">
        <f>IFERROR(__xludf.DUMMYFUNCTION("""COMPUTED_VALUE"""),"https://drive.google.com/drive/folders/10T2cTQHqEJZqE-st6uFKPoI?usp=share_link")</f>
        <v>https://drive.google.com/drive/folders/10T2cTQHqEJZqE-st6uFKPoI?usp=share_link</v>
      </c>
      <c r="P1373" s="6" t="str">
        <f>IFERROR(__xludf.DUMMYFUNCTION("""COMPUTED_VALUE"""),"Milan Harapko")</f>
        <v>Milan Harapko</v>
      </c>
      <c r="Q1373" s="6" t="str">
        <f>IFERROR(__xludf.DUMMYFUNCTION("""COMPUTED_VALUE"""),"MS")</f>
        <v>MS</v>
      </c>
      <c r="R1373" s="6">
        <f>IFERROR(__xludf.DUMMYFUNCTION("""COMPUTED_VALUE"""),0.0)</f>
        <v>0</v>
      </c>
      <c r="S1373" s="6" t="str">
        <f>IFERROR(__xludf.DUMMYFUNCTION("""COMPUTED_VALUE""")," ")</f>
        <v> </v>
      </c>
      <c r="T1373" s="6" t="str">
        <f>IFERROR(__xludf.DUMMYFUNCTION("""COMPUTED_VALUE"""),"")</f>
        <v/>
      </c>
      <c r="U1373" s="6" t="str">
        <f>IFERROR(__xludf.DUMMYFUNCTION("""COMPUTED_VALUE"""),"6")</f>
        <v>6</v>
      </c>
      <c r="V1373" s="6" t="str">
        <f>IFERROR(__xludf.DUMMYFUNCTION("""COMPUTED_VALUE"""),"English")</f>
        <v>English</v>
      </c>
      <c r="W1373" s="6" t="str">
        <f>IFERROR(__xludf.DUMMYFUNCTION("""COMPUTED_VALUE"""),"[]")</f>
        <v>[]</v>
      </c>
      <c r="X1373" s="6" t="str">
        <f>IFERROR(__xludf.DUMMYFUNCTION("""COMPUTED_VALUE"""),"Enrolled")</f>
        <v>Enrolled</v>
      </c>
    </row>
    <row r="1374">
      <c r="A1374" s="6" t="str">
        <f>IFERROR(__xludf.DUMMYFUNCTION("""COMPUTED_VALUE"""),"009-1629")</f>
        <v>009-1629</v>
      </c>
      <c r="B1374" s="6" t="str">
        <f>IFERROR(__xludf.DUMMYFUNCTION("""COMPUTED_VALUE"""),"9")</f>
        <v>9</v>
      </c>
      <c r="C1374" s="6" t="str">
        <f>IFERROR(__xludf.DUMMYFUNCTION("""COMPUTED_VALUE"""),"1629")</f>
        <v>1629</v>
      </c>
      <c r="D1374" s="6" t="str">
        <f>IFERROR(__xludf.DUMMYFUNCTION("""COMPUTED_VALUE"""),"Karina")</f>
        <v>Karina</v>
      </c>
      <c r="E1374" s="6" t="str">
        <f>IFERROR(__xludf.DUMMYFUNCTION("""COMPUTED_VALUE"""),"")</f>
        <v/>
      </c>
      <c r="F1374" s="6" t="str">
        <f>IFERROR(__xludf.DUMMYFUNCTION("""COMPUTED_VALUE"""),"Kotlyar")</f>
        <v>Kotlyar</v>
      </c>
      <c r="G1374" s="6" t="str">
        <f>IFERROR(__xludf.DUMMYFUNCTION("""COMPUTED_VALUE"""),"01/01/2009")</f>
        <v>01/01/2009</v>
      </c>
      <c r="H1374" s="6" t="str">
        <f>IFERROR(__xludf.DUMMYFUNCTION("""COMPUTED_VALUE"""),"Self Identify")</f>
        <v>Self Identify</v>
      </c>
      <c r="I1374" s="6" t="str">
        <f>IFERROR(__xludf.DUMMYFUNCTION("""COMPUTED_VALUE"""),"High School")</f>
        <v>High School</v>
      </c>
      <c r="J1374" s="6" t="str">
        <f>IFERROR(__xludf.DUMMYFUNCTION("""COMPUTED_VALUE"""),"10")</f>
        <v>10</v>
      </c>
      <c r="K1374" s="6" t="str">
        <f>IFERROR(__xludf.DUMMYFUNCTION("""COMPUTED_VALUE"""),"karina.kotlyar@2hourlearning.com")</f>
        <v>karina.kotlyar@2hourlearning.com</v>
      </c>
      <c r="L1374" s="6" t="str">
        <f>IFERROR(__xludf.DUMMYFUNCTION("""COMPUTED_VALUE"""),"Learn and Earn Poland")</f>
        <v>Learn and Earn Poland</v>
      </c>
      <c r="M1374" s="6" t="str">
        <f>IFERROR(__xludf.DUMMYFUNCTION("""COMPUTED_VALUE"""),"Budapest Alpha")</f>
        <v>Budapest Alpha</v>
      </c>
      <c r="N1374" s="6" t="str">
        <f>IFERROR(__xludf.DUMMYFUNCTION("""COMPUTED_VALUE"""),"")</f>
        <v/>
      </c>
      <c r="O1374" s="87" t="str">
        <f>IFERROR(__xludf.DUMMYFUNCTION("""COMPUTED_VALUE"""),"https://drive.google.com/drive/folders/10T2cTQHqEJZqE-st6uFKPoI?usp=share_link")</f>
        <v>https://drive.google.com/drive/folders/10T2cTQHqEJZqE-st6uFKPoI?usp=share_link</v>
      </c>
      <c r="P1374" s="6" t="str">
        <f>IFERROR(__xludf.DUMMYFUNCTION("""COMPUTED_VALUE"""),"Karina Kotlyar")</f>
        <v>Karina Kotlyar</v>
      </c>
      <c r="Q1374" s="6" t="str">
        <f>IFERROR(__xludf.DUMMYFUNCTION("""COMPUTED_VALUE"""),"HS")</f>
        <v>HS</v>
      </c>
      <c r="R1374" s="6">
        <f>IFERROR(__xludf.DUMMYFUNCTION("""COMPUTED_VALUE"""),0.0)</f>
        <v>0</v>
      </c>
      <c r="S1374" s="6" t="str">
        <f>IFERROR(__xludf.DUMMYFUNCTION("""COMPUTED_VALUE""")," ")</f>
        <v> </v>
      </c>
      <c r="T1374" s="6" t="str">
        <f>IFERROR(__xludf.DUMMYFUNCTION("""COMPUTED_VALUE"""),"")</f>
        <v/>
      </c>
      <c r="U1374" s="6" t="str">
        <f>IFERROR(__xludf.DUMMYFUNCTION("""COMPUTED_VALUE"""),"10")</f>
        <v>10</v>
      </c>
      <c r="V1374" s="6" t="str">
        <f>IFERROR(__xludf.DUMMYFUNCTION("""COMPUTED_VALUE"""),"English")</f>
        <v>English</v>
      </c>
      <c r="W1374" s="6" t="str">
        <f>IFERROR(__xludf.DUMMYFUNCTION("""COMPUTED_VALUE"""),"[]")</f>
        <v>[]</v>
      </c>
      <c r="X1374" s="6" t="str">
        <f>IFERROR(__xludf.DUMMYFUNCTION("""COMPUTED_VALUE"""),"Enrolled")</f>
        <v>Enrolled</v>
      </c>
    </row>
    <row r="1375">
      <c r="A1375" s="6" t="str">
        <f>IFERROR(__xludf.DUMMYFUNCTION("""COMPUTED_VALUE"""),"009-1630")</f>
        <v>009-1630</v>
      </c>
      <c r="B1375" s="6" t="str">
        <f>IFERROR(__xludf.DUMMYFUNCTION("""COMPUTED_VALUE"""),"9")</f>
        <v>9</v>
      </c>
      <c r="C1375" s="6" t="str">
        <f>IFERROR(__xludf.DUMMYFUNCTION("""COMPUTED_VALUE"""),"1630")</f>
        <v>1630</v>
      </c>
      <c r="D1375" s="6" t="str">
        <f>IFERROR(__xludf.DUMMYFUNCTION("""COMPUTED_VALUE"""),"David")</f>
        <v>David</v>
      </c>
      <c r="E1375" s="6" t="str">
        <f>IFERROR(__xludf.DUMMYFUNCTION("""COMPUTED_VALUE"""),"")</f>
        <v/>
      </c>
      <c r="F1375" s="6" t="str">
        <f>IFERROR(__xludf.DUMMYFUNCTION("""COMPUTED_VALUE"""),"Jenei")</f>
        <v>Jenei</v>
      </c>
      <c r="G1375" s="6" t="str">
        <f>IFERROR(__xludf.DUMMYFUNCTION("""COMPUTED_VALUE"""),"01/01/2008")</f>
        <v>01/01/2008</v>
      </c>
      <c r="H1375" s="6" t="str">
        <f>IFERROR(__xludf.DUMMYFUNCTION("""COMPUTED_VALUE"""),"Self Identify")</f>
        <v>Self Identify</v>
      </c>
      <c r="I1375" s="6" t="str">
        <f>IFERROR(__xludf.DUMMYFUNCTION("""COMPUTED_VALUE"""),"High School")</f>
        <v>High School</v>
      </c>
      <c r="J1375" s="6" t="str">
        <f>IFERROR(__xludf.DUMMYFUNCTION("""COMPUTED_VALUE"""),"11")</f>
        <v>11</v>
      </c>
      <c r="K1375" s="6" t="str">
        <f>IFERROR(__xludf.DUMMYFUNCTION("""COMPUTED_VALUE"""),"david.jenei@2hourlearning.com")</f>
        <v>david.jenei@2hourlearning.com</v>
      </c>
      <c r="L1375" s="6" t="str">
        <f>IFERROR(__xludf.DUMMYFUNCTION("""COMPUTED_VALUE"""),"Learn and Earn Poland")</f>
        <v>Learn and Earn Poland</v>
      </c>
      <c r="M1375" s="6" t="str">
        <f>IFERROR(__xludf.DUMMYFUNCTION("""COMPUTED_VALUE"""),"Budapest Alpha")</f>
        <v>Budapest Alpha</v>
      </c>
      <c r="N1375" s="6" t="str">
        <f>IFERROR(__xludf.DUMMYFUNCTION("""COMPUTED_VALUE"""),"")</f>
        <v/>
      </c>
      <c r="O1375" s="87" t="str">
        <f>IFERROR(__xludf.DUMMYFUNCTION("""COMPUTED_VALUE"""),"https://drive.google.com/drive/folders/10T2cTQHqEJZqE-st6uFKPoI?usp=share_link")</f>
        <v>https://drive.google.com/drive/folders/10T2cTQHqEJZqE-st6uFKPoI?usp=share_link</v>
      </c>
      <c r="P1375" s="6" t="str">
        <f>IFERROR(__xludf.DUMMYFUNCTION("""COMPUTED_VALUE"""),"David Jenei")</f>
        <v>David Jenei</v>
      </c>
      <c r="Q1375" s="6" t="str">
        <f>IFERROR(__xludf.DUMMYFUNCTION("""COMPUTED_VALUE"""),"HS")</f>
        <v>HS</v>
      </c>
      <c r="R1375" s="6">
        <f>IFERROR(__xludf.DUMMYFUNCTION("""COMPUTED_VALUE"""),0.0)</f>
        <v>0</v>
      </c>
      <c r="S1375" s="6" t="str">
        <f>IFERROR(__xludf.DUMMYFUNCTION("""COMPUTED_VALUE""")," ")</f>
        <v> </v>
      </c>
      <c r="T1375" s="6" t="str">
        <f>IFERROR(__xludf.DUMMYFUNCTION("""COMPUTED_VALUE"""),"")</f>
        <v/>
      </c>
      <c r="U1375" s="6" t="str">
        <f>IFERROR(__xludf.DUMMYFUNCTION("""COMPUTED_VALUE"""),"11")</f>
        <v>11</v>
      </c>
      <c r="V1375" s="6" t="str">
        <f>IFERROR(__xludf.DUMMYFUNCTION("""COMPUTED_VALUE"""),"English")</f>
        <v>English</v>
      </c>
      <c r="W1375" s="6" t="str">
        <f>IFERROR(__xludf.DUMMYFUNCTION("""COMPUTED_VALUE"""),"[]")</f>
        <v>[]</v>
      </c>
      <c r="X1375" s="6" t="str">
        <f>IFERROR(__xludf.DUMMYFUNCTION("""COMPUTED_VALUE"""),"Enrolled")</f>
        <v>Enrolled</v>
      </c>
    </row>
    <row r="1376">
      <c r="A1376" s="6" t="str">
        <f>IFERROR(__xludf.DUMMYFUNCTION("""COMPUTED_VALUE"""),"009-1631")</f>
        <v>009-1631</v>
      </c>
      <c r="B1376" s="6" t="str">
        <f>IFERROR(__xludf.DUMMYFUNCTION("""COMPUTED_VALUE"""),"9")</f>
        <v>9</v>
      </c>
      <c r="C1376" s="6" t="str">
        <f>IFERROR(__xludf.DUMMYFUNCTION("""COMPUTED_VALUE"""),"1631")</f>
        <v>1631</v>
      </c>
      <c r="D1376" s="6" t="str">
        <f>IFERROR(__xludf.DUMMYFUNCTION("""COMPUTED_VALUE"""),"Alina")</f>
        <v>Alina</v>
      </c>
      <c r="E1376" s="6" t="str">
        <f>IFERROR(__xludf.DUMMYFUNCTION("""COMPUTED_VALUE"""),"")</f>
        <v/>
      </c>
      <c r="F1376" s="6" t="str">
        <f>IFERROR(__xludf.DUMMYFUNCTION("""COMPUTED_VALUE"""),"Skliarova")</f>
        <v>Skliarova</v>
      </c>
      <c r="G1376" s="6" t="str">
        <f>IFERROR(__xludf.DUMMYFUNCTION("""COMPUTED_VALUE"""),"01/01/2009")</f>
        <v>01/01/2009</v>
      </c>
      <c r="H1376" s="6" t="str">
        <f>IFERROR(__xludf.DUMMYFUNCTION("""COMPUTED_VALUE"""),"Self Identify")</f>
        <v>Self Identify</v>
      </c>
      <c r="I1376" s="6" t="str">
        <f>IFERROR(__xludf.DUMMYFUNCTION("""COMPUTED_VALUE"""),"High School")</f>
        <v>High School</v>
      </c>
      <c r="J1376" s="6" t="str">
        <f>IFERROR(__xludf.DUMMYFUNCTION("""COMPUTED_VALUE"""),"10")</f>
        <v>10</v>
      </c>
      <c r="K1376" s="6" t="str">
        <f>IFERROR(__xludf.DUMMYFUNCTION("""COMPUTED_VALUE"""),"skliarova.alina@2hourlearning.com")</f>
        <v>skliarova.alina@2hourlearning.com</v>
      </c>
      <c r="L1376" s="6" t="str">
        <f>IFERROR(__xludf.DUMMYFUNCTION("""COMPUTED_VALUE"""),"Learn and Earn Poland")</f>
        <v>Learn and Earn Poland</v>
      </c>
      <c r="M1376" s="6" t="str">
        <f>IFERROR(__xludf.DUMMYFUNCTION("""COMPUTED_VALUE"""),"Budapest ex-GTS")</f>
        <v>Budapest ex-GTS</v>
      </c>
      <c r="N1376" s="6" t="str">
        <f>IFERROR(__xludf.DUMMYFUNCTION("""COMPUTED_VALUE"""),"")</f>
        <v/>
      </c>
      <c r="O1376" s="87" t="str">
        <f>IFERROR(__xludf.DUMMYFUNCTION("""COMPUTED_VALUE"""),"https://drive.google.com/drive/folders/10T2cTQHqEJZqE-st6uFKPoI?usp=share_link")</f>
        <v>https://drive.google.com/drive/folders/10T2cTQHqEJZqE-st6uFKPoI?usp=share_link</v>
      </c>
      <c r="P1376" s="6" t="str">
        <f>IFERROR(__xludf.DUMMYFUNCTION("""COMPUTED_VALUE"""),"Alina Skliarova")</f>
        <v>Alina Skliarova</v>
      </c>
      <c r="Q1376" s="6" t="str">
        <f>IFERROR(__xludf.DUMMYFUNCTION("""COMPUTED_VALUE"""),"HS")</f>
        <v>HS</v>
      </c>
      <c r="R1376" s="6">
        <f>IFERROR(__xludf.DUMMYFUNCTION("""COMPUTED_VALUE"""),0.0)</f>
        <v>0</v>
      </c>
      <c r="S1376" s="6" t="str">
        <f>IFERROR(__xludf.DUMMYFUNCTION("""COMPUTED_VALUE""")," ")</f>
        <v> </v>
      </c>
      <c r="T1376" s="6" t="str">
        <f>IFERROR(__xludf.DUMMYFUNCTION("""COMPUTED_VALUE"""),"")</f>
        <v/>
      </c>
      <c r="U1376" s="6" t="str">
        <f>IFERROR(__xludf.DUMMYFUNCTION("""COMPUTED_VALUE"""),"10")</f>
        <v>10</v>
      </c>
      <c r="V1376" s="6" t="str">
        <f>IFERROR(__xludf.DUMMYFUNCTION("""COMPUTED_VALUE"""),"English")</f>
        <v>English</v>
      </c>
      <c r="W1376" s="6" t="str">
        <f>IFERROR(__xludf.DUMMYFUNCTION("""COMPUTED_VALUE"""),"[]")</f>
        <v>[]</v>
      </c>
      <c r="X1376" s="6" t="str">
        <f>IFERROR(__xludf.DUMMYFUNCTION("""COMPUTED_VALUE"""),"Enrolled")</f>
        <v>Enrolled</v>
      </c>
    </row>
    <row r="1377">
      <c r="A1377" s="6" t="str">
        <f>IFERROR(__xludf.DUMMYFUNCTION("""COMPUTED_VALUE"""),"009-1632")</f>
        <v>009-1632</v>
      </c>
      <c r="B1377" s="6" t="str">
        <f>IFERROR(__xludf.DUMMYFUNCTION("""COMPUTED_VALUE"""),"9")</f>
        <v>9</v>
      </c>
      <c r="C1377" s="6" t="str">
        <f>IFERROR(__xludf.DUMMYFUNCTION("""COMPUTED_VALUE"""),"1632")</f>
        <v>1632</v>
      </c>
      <c r="D1377" s="6" t="str">
        <f>IFERROR(__xludf.DUMMYFUNCTION("""COMPUTED_VALUE"""),"Petra")</f>
        <v>Petra</v>
      </c>
      <c r="E1377" s="6" t="str">
        <f>IFERROR(__xludf.DUMMYFUNCTION("""COMPUTED_VALUE"""),"")</f>
        <v/>
      </c>
      <c r="F1377" s="6" t="str">
        <f>IFERROR(__xludf.DUMMYFUNCTION("""COMPUTED_VALUE"""),"Toth")</f>
        <v>Toth</v>
      </c>
      <c r="G1377" s="6" t="str">
        <f>IFERROR(__xludf.DUMMYFUNCTION("""COMPUTED_VALUE"""),"01/01/2013")</f>
        <v>01/01/2013</v>
      </c>
      <c r="H1377" s="6" t="str">
        <f>IFERROR(__xludf.DUMMYFUNCTION("""COMPUTED_VALUE"""),"Self Identify")</f>
        <v>Self Identify</v>
      </c>
      <c r="I1377" s="6" t="str">
        <f>IFERROR(__xludf.DUMMYFUNCTION("""COMPUTED_VALUE"""),"Middle School")</f>
        <v>Middle School</v>
      </c>
      <c r="J1377" s="6" t="str">
        <f>IFERROR(__xludf.DUMMYFUNCTION("""COMPUTED_VALUE"""),"6")</f>
        <v>6</v>
      </c>
      <c r="K1377" s="6" t="str">
        <f>IFERROR(__xludf.DUMMYFUNCTION("""COMPUTED_VALUE"""),"petra.toth@2hourlearning.com")</f>
        <v>petra.toth@2hourlearning.com</v>
      </c>
      <c r="L1377" s="6" t="str">
        <f>IFERROR(__xludf.DUMMYFUNCTION("""COMPUTED_VALUE"""),"Learn and Earn Poland")</f>
        <v>Learn and Earn Poland</v>
      </c>
      <c r="M1377" s="6" t="str">
        <f>IFERROR(__xludf.DUMMYFUNCTION("""COMPUTED_VALUE"""),"Budapest Alpha")</f>
        <v>Budapest Alpha</v>
      </c>
      <c r="N1377" s="6" t="str">
        <f>IFERROR(__xludf.DUMMYFUNCTION("""COMPUTED_VALUE"""),"")</f>
        <v/>
      </c>
      <c r="O1377" s="87" t="str">
        <f>IFERROR(__xludf.DUMMYFUNCTION("""COMPUTED_VALUE"""),"https://drive.google.com/drive/folders/10T2cTQHqEJZqE-st6uFKPoI?usp=share_link")</f>
        <v>https://drive.google.com/drive/folders/10T2cTQHqEJZqE-st6uFKPoI?usp=share_link</v>
      </c>
      <c r="P1377" s="6" t="str">
        <f>IFERROR(__xludf.DUMMYFUNCTION("""COMPUTED_VALUE"""),"Petra Toth")</f>
        <v>Petra Toth</v>
      </c>
      <c r="Q1377" s="6" t="str">
        <f>IFERROR(__xludf.DUMMYFUNCTION("""COMPUTED_VALUE"""),"MS")</f>
        <v>MS</v>
      </c>
      <c r="R1377" s="6">
        <f>IFERROR(__xludf.DUMMYFUNCTION("""COMPUTED_VALUE"""),0.0)</f>
        <v>0</v>
      </c>
      <c r="S1377" s="6" t="str">
        <f>IFERROR(__xludf.DUMMYFUNCTION("""COMPUTED_VALUE""")," ")</f>
        <v> </v>
      </c>
      <c r="T1377" s="6" t="str">
        <f>IFERROR(__xludf.DUMMYFUNCTION("""COMPUTED_VALUE"""),"")</f>
        <v/>
      </c>
      <c r="U1377" s="6" t="str">
        <f>IFERROR(__xludf.DUMMYFUNCTION("""COMPUTED_VALUE"""),"6")</f>
        <v>6</v>
      </c>
      <c r="V1377" s="6" t="str">
        <f>IFERROR(__xludf.DUMMYFUNCTION("""COMPUTED_VALUE"""),"English")</f>
        <v>English</v>
      </c>
      <c r="W1377" s="6" t="str">
        <f>IFERROR(__xludf.DUMMYFUNCTION("""COMPUTED_VALUE"""),"[]")</f>
        <v>[]</v>
      </c>
      <c r="X1377" s="6" t="str">
        <f>IFERROR(__xludf.DUMMYFUNCTION("""COMPUTED_VALUE"""),"Enrolled")</f>
        <v>Enrolled</v>
      </c>
    </row>
    <row r="1378">
      <c r="A1378" s="6" t="str">
        <f>IFERROR(__xludf.DUMMYFUNCTION("""COMPUTED_VALUE"""),"009-1634")</f>
        <v>009-1634</v>
      </c>
      <c r="B1378" s="6" t="str">
        <f>IFERROR(__xludf.DUMMYFUNCTION("""COMPUTED_VALUE"""),"9")</f>
        <v>9</v>
      </c>
      <c r="C1378" s="6" t="str">
        <f>IFERROR(__xludf.DUMMYFUNCTION("""COMPUTED_VALUE"""),"1634")</f>
        <v>1634</v>
      </c>
      <c r="D1378" s="6" t="str">
        <f>IFERROR(__xludf.DUMMYFUNCTION("""COMPUTED_VALUE"""),"Timur")</f>
        <v>Timur</v>
      </c>
      <c r="E1378" s="6" t="str">
        <f>IFERROR(__xludf.DUMMYFUNCTION("""COMPUTED_VALUE"""),"")</f>
        <v/>
      </c>
      <c r="F1378" s="6" t="str">
        <f>IFERROR(__xludf.DUMMYFUNCTION("""COMPUTED_VALUE"""),"Torpitko")</f>
        <v>Torpitko</v>
      </c>
      <c r="G1378" s="6" t="str">
        <f>IFERROR(__xludf.DUMMYFUNCTION("""COMPUTED_VALUE"""),"01/01/2015")</f>
        <v>01/01/2015</v>
      </c>
      <c r="H1378" s="6" t="str">
        <f>IFERROR(__xludf.DUMMYFUNCTION("""COMPUTED_VALUE"""),"Self Identify")</f>
        <v>Self Identify</v>
      </c>
      <c r="I1378" s="6" t="str">
        <f>IFERROR(__xludf.DUMMYFUNCTION("""COMPUTED_VALUE"""),"Level 2")</f>
        <v>Level 2</v>
      </c>
      <c r="J1378" s="6" t="str">
        <f>IFERROR(__xludf.DUMMYFUNCTION("""COMPUTED_VALUE"""),"4")</f>
        <v>4</v>
      </c>
      <c r="K1378" s="6" t="str">
        <f>IFERROR(__xludf.DUMMYFUNCTION("""COMPUTED_VALUE"""),"timur.torpitko@2hourlearning.com")</f>
        <v>timur.torpitko@2hourlearning.com</v>
      </c>
      <c r="L1378" s="6" t="str">
        <f>IFERROR(__xludf.DUMMYFUNCTION("""COMPUTED_VALUE"""),"Learn and Earn Poland")</f>
        <v>Learn and Earn Poland</v>
      </c>
      <c r="M1378" s="6" t="str">
        <f>IFERROR(__xludf.DUMMYFUNCTION("""COMPUTED_VALUE"""),"Budapest Alpha")</f>
        <v>Budapest Alpha</v>
      </c>
      <c r="N1378" s="6" t="str">
        <f>IFERROR(__xludf.DUMMYFUNCTION("""COMPUTED_VALUE"""),"")</f>
        <v/>
      </c>
      <c r="O1378" s="87" t="str">
        <f>IFERROR(__xludf.DUMMYFUNCTION("""COMPUTED_VALUE"""),"https://drive.google.com/drive/folders/10T2cTQHqEJZqE-st6uFKPoI?usp=share_link")</f>
        <v>https://drive.google.com/drive/folders/10T2cTQHqEJZqE-st6uFKPoI?usp=share_link</v>
      </c>
      <c r="P1378" s="6" t="str">
        <f>IFERROR(__xludf.DUMMYFUNCTION("""COMPUTED_VALUE"""),"Timur Torpitko")</f>
        <v>Timur Torpitko</v>
      </c>
      <c r="Q1378" s="6" t="str">
        <f>IFERROR(__xludf.DUMMYFUNCTION("""COMPUTED_VALUE"""),"L2")</f>
        <v>L2</v>
      </c>
      <c r="R1378" s="6">
        <f>IFERROR(__xludf.DUMMYFUNCTION("""COMPUTED_VALUE"""),2.0)</f>
        <v>2</v>
      </c>
      <c r="S1378" s="6" t="str">
        <f>IFERROR(__xludf.DUMMYFUNCTION("""COMPUTED_VALUE""")," ")</f>
        <v> </v>
      </c>
      <c r="T1378" s="6" t="str">
        <f>IFERROR(__xludf.DUMMYFUNCTION("""COMPUTED_VALUE"""),"")</f>
        <v/>
      </c>
      <c r="U1378" s="6" t="str">
        <f>IFERROR(__xludf.DUMMYFUNCTION("""COMPUTED_VALUE"""),"4")</f>
        <v>4</v>
      </c>
      <c r="V1378" s="6" t="str">
        <f>IFERROR(__xludf.DUMMYFUNCTION("""COMPUTED_VALUE"""),"English")</f>
        <v>English</v>
      </c>
      <c r="W1378" s="6" t="str">
        <f>IFERROR(__xludf.DUMMYFUNCTION("""COMPUTED_VALUE"""),"[]")</f>
        <v>[]</v>
      </c>
      <c r="X1378" s="6" t="str">
        <f>IFERROR(__xludf.DUMMYFUNCTION("""COMPUTED_VALUE"""),"Enrolled")</f>
        <v>Enrolled</v>
      </c>
    </row>
    <row r="1379">
      <c r="A1379" s="6" t="str">
        <f>IFERROR(__xludf.DUMMYFUNCTION("""COMPUTED_VALUE"""),"009-1635")</f>
        <v>009-1635</v>
      </c>
      <c r="B1379" s="6" t="str">
        <f>IFERROR(__xludf.DUMMYFUNCTION("""COMPUTED_VALUE"""),"9")</f>
        <v>9</v>
      </c>
      <c r="C1379" s="6" t="str">
        <f>IFERROR(__xludf.DUMMYFUNCTION("""COMPUTED_VALUE"""),"1635")</f>
        <v>1635</v>
      </c>
      <c r="D1379" s="6" t="str">
        <f>IFERROR(__xludf.DUMMYFUNCTION("""COMPUTED_VALUE"""),"Peter")</f>
        <v>Peter</v>
      </c>
      <c r="E1379" s="6" t="str">
        <f>IFERROR(__xludf.DUMMYFUNCTION("""COMPUTED_VALUE"""),"")</f>
        <v/>
      </c>
      <c r="F1379" s="6" t="str">
        <f>IFERROR(__xludf.DUMMYFUNCTION("""COMPUTED_VALUE"""),"Nyistyak")</f>
        <v>Nyistyak</v>
      </c>
      <c r="G1379" s="6" t="str">
        <f>IFERROR(__xludf.DUMMYFUNCTION("""COMPUTED_VALUE"""),"01/01/2016")</f>
        <v>01/01/2016</v>
      </c>
      <c r="H1379" s="6" t="str">
        <f>IFERROR(__xludf.DUMMYFUNCTION("""COMPUTED_VALUE"""),"Self Identify")</f>
        <v>Self Identify</v>
      </c>
      <c r="I1379" s="6" t="str">
        <f>IFERROR(__xludf.DUMMYFUNCTION("""COMPUTED_VALUE"""),"Level 1")</f>
        <v>Level 1</v>
      </c>
      <c r="J1379" s="6" t="str">
        <f>IFERROR(__xludf.DUMMYFUNCTION("""COMPUTED_VALUE"""),"3")</f>
        <v>3</v>
      </c>
      <c r="K1379" s="6" t="str">
        <f>IFERROR(__xludf.DUMMYFUNCTION("""COMPUTED_VALUE"""),"peter.nyistyak@2hourlearning.com")</f>
        <v>peter.nyistyak@2hourlearning.com</v>
      </c>
      <c r="L1379" s="6" t="str">
        <f>IFERROR(__xludf.DUMMYFUNCTION("""COMPUTED_VALUE"""),"Learn and Earn Poland")</f>
        <v>Learn and Earn Poland</v>
      </c>
      <c r="M1379" s="6" t="str">
        <f>IFERROR(__xludf.DUMMYFUNCTION("""COMPUTED_VALUE"""),"Budapest ex-GTS")</f>
        <v>Budapest ex-GTS</v>
      </c>
      <c r="N1379" s="6" t="str">
        <f>IFERROR(__xludf.DUMMYFUNCTION("""COMPUTED_VALUE"""),"")</f>
        <v/>
      </c>
      <c r="O1379" s="87" t="str">
        <f>IFERROR(__xludf.DUMMYFUNCTION("""COMPUTED_VALUE"""),"https://drive.google.com/drive/folders/10T2cTQHqEJZqE-st6uFKPoI?usp=share_link")</f>
        <v>https://drive.google.com/drive/folders/10T2cTQHqEJZqE-st6uFKPoI?usp=share_link</v>
      </c>
      <c r="P1379" s="6" t="str">
        <f>IFERROR(__xludf.DUMMYFUNCTION("""COMPUTED_VALUE"""),"Peter Nyistyak")</f>
        <v>Peter Nyistyak</v>
      </c>
      <c r="Q1379" s="6" t="str">
        <f>IFERROR(__xludf.DUMMYFUNCTION("""COMPUTED_VALUE"""),"L1")</f>
        <v>L1</v>
      </c>
      <c r="R1379" s="6">
        <f>IFERROR(__xludf.DUMMYFUNCTION("""COMPUTED_VALUE"""),1.0)</f>
        <v>1</v>
      </c>
      <c r="S1379" s="6" t="str">
        <f>IFERROR(__xludf.DUMMYFUNCTION("""COMPUTED_VALUE""")," ")</f>
        <v> </v>
      </c>
      <c r="T1379" s="6" t="str">
        <f>IFERROR(__xludf.DUMMYFUNCTION("""COMPUTED_VALUE"""),"")</f>
        <v/>
      </c>
      <c r="U1379" s="6" t="str">
        <f>IFERROR(__xludf.DUMMYFUNCTION("""COMPUTED_VALUE"""),"3")</f>
        <v>3</v>
      </c>
      <c r="V1379" s="6" t="str">
        <f>IFERROR(__xludf.DUMMYFUNCTION("""COMPUTED_VALUE"""),"English")</f>
        <v>English</v>
      </c>
      <c r="W1379" s="6" t="str">
        <f>IFERROR(__xludf.DUMMYFUNCTION("""COMPUTED_VALUE"""),"[]")</f>
        <v>[]</v>
      </c>
      <c r="X1379" s="6" t="str">
        <f>IFERROR(__xludf.DUMMYFUNCTION("""COMPUTED_VALUE"""),"Enrolled")</f>
        <v>Enrolled</v>
      </c>
    </row>
    <row r="1380">
      <c r="A1380" s="6" t="str">
        <f>IFERROR(__xludf.DUMMYFUNCTION("""COMPUTED_VALUE"""),"009-1636")</f>
        <v>009-1636</v>
      </c>
      <c r="B1380" s="6" t="str">
        <f>IFERROR(__xludf.DUMMYFUNCTION("""COMPUTED_VALUE"""),"9")</f>
        <v>9</v>
      </c>
      <c r="C1380" s="6" t="str">
        <f>IFERROR(__xludf.DUMMYFUNCTION("""COMPUTED_VALUE"""),"1636")</f>
        <v>1636</v>
      </c>
      <c r="D1380" s="6" t="str">
        <f>IFERROR(__xludf.DUMMYFUNCTION("""COMPUTED_VALUE"""),"Alisa")</f>
        <v>Alisa</v>
      </c>
      <c r="E1380" s="6" t="str">
        <f>IFERROR(__xludf.DUMMYFUNCTION("""COMPUTED_VALUE"""),"")</f>
        <v/>
      </c>
      <c r="F1380" s="6" t="str">
        <f>IFERROR(__xludf.DUMMYFUNCTION("""COMPUTED_VALUE"""),"Davydenko")</f>
        <v>Davydenko</v>
      </c>
      <c r="G1380" s="6" t="str">
        <f>IFERROR(__xludf.DUMMYFUNCTION("""COMPUTED_VALUE"""),"01/01/2012")</f>
        <v>01/01/2012</v>
      </c>
      <c r="H1380" s="6" t="str">
        <f>IFERROR(__xludf.DUMMYFUNCTION("""COMPUTED_VALUE"""),"Self Identify")</f>
        <v>Self Identify</v>
      </c>
      <c r="I1380" s="6" t="str">
        <f>IFERROR(__xludf.DUMMYFUNCTION("""COMPUTED_VALUE"""),"Middle School")</f>
        <v>Middle School</v>
      </c>
      <c r="J1380" s="6" t="str">
        <f>IFERROR(__xludf.DUMMYFUNCTION("""COMPUTED_VALUE"""),"7")</f>
        <v>7</v>
      </c>
      <c r="K1380" s="6" t="str">
        <f>IFERROR(__xludf.DUMMYFUNCTION("""COMPUTED_VALUE"""),"alisa.davydenko@2hourlearning.com")</f>
        <v>alisa.davydenko@2hourlearning.com</v>
      </c>
      <c r="L1380" s="6" t="str">
        <f>IFERROR(__xludf.DUMMYFUNCTION("""COMPUTED_VALUE"""),"Learn and Earn Poland")</f>
        <v>Learn and Earn Poland</v>
      </c>
      <c r="M1380" s="6" t="str">
        <f>IFERROR(__xludf.DUMMYFUNCTION("""COMPUTED_VALUE"""),"Budapest Alpha")</f>
        <v>Budapest Alpha</v>
      </c>
      <c r="N1380" s="6" t="str">
        <f>IFERROR(__xludf.DUMMYFUNCTION("""COMPUTED_VALUE"""),"")</f>
        <v/>
      </c>
      <c r="O1380" s="87" t="str">
        <f>IFERROR(__xludf.DUMMYFUNCTION("""COMPUTED_VALUE"""),"https://drive.google.com/drive/folders/10T2cTQHqEJZqE-st6uFKPoI?usp=share_link")</f>
        <v>https://drive.google.com/drive/folders/10T2cTQHqEJZqE-st6uFKPoI?usp=share_link</v>
      </c>
      <c r="P1380" s="6" t="str">
        <f>IFERROR(__xludf.DUMMYFUNCTION("""COMPUTED_VALUE"""),"Alisa Davydenko")</f>
        <v>Alisa Davydenko</v>
      </c>
      <c r="Q1380" s="6" t="str">
        <f>IFERROR(__xludf.DUMMYFUNCTION("""COMPUTED_VALUE"""),"MS")</f>
        <v>MS</v>
      </c>
      <c r="R1380" s="6">
        <f>IFERROR(__xludf.DUMMYFUNCTION("""COMPUTED_VALUE"""),0.0)</f>
        <v>0</v>
      </c>
      <c r="S1380" s="6" t="str">
        <f>IFERROR(__xludf.DUMMYFUNCTION("""COMPUTED_VALUE""")," ")</f>
        <v> </v>
      </c>
      <c r="T1380" s="6" t="str">
        <f>IFERROR(__xludf.DUMMYFUNCTION("""COMPUTED_VALUE"""),"")</f>
        <v/>
      </c>
      <c r="U1380" s="6" t="str">
        <f>IFERROR(__xludf.DUMMYFUNCTION("""COMPUTED_VALUE"""),"7")</f>
        <v>7</v>
      </c>
      <c r="V1380" s="6" t="str">
        <f>IFERROR(__xludf.DUMMYFUNCTION("""COMPUTED_VALUE"""),"English")</f>
        <v>English</v>
      </c>
      <c r="W1380" s="6" t="str">
        <f>IFERROR(__xludf.DUMMYFUNCTION("""COMPUTED_VALUE"""),"[]")</f>
        <v>[]</v>
      </c>
      <c r="X1380" s="6" t="str">
        <f>IFERROR(__xludf.DUMMYFUNCTION("""COMPUTED_VALUE"""),"Enrolled")</f>
        <v>Enrolled</v>
      </c>
    </row>
    <row r="1381">
      <c r="A1381" s="6" t="str">
        <f>IFERROR(__xludf.DUMMYFUNCTION("""COMPUTED_VALUE"""),"009-1637")</f>
        <v>009-1637</v>
      </c>
      <c r="B1381" s="6" t="str">
        <f>IFERROR(__xludf.DUMMYFUNCTION("""COMPUTED_VALUE"""),"9")</f>
        <v>9</v>
      </c>
      <c r="C1381" s="6" t="str">
        <f>IFERROR(__xludf.DUMMYFUNCTION("""COMPUTED_VALUE"""),"1637")</f>
        <v>1637</v>
      </c>
      <c r="D1381" s="6" t="str">
        <f>IFERROR(__xludf.DUMMYFUNCTION("""COMPUTED_VALUE"""),"Blyshchyk")</f>
        <v>Blyshchyk</v>
      </c>
      <c r="E1381" s="6" t="str">
        <f>IFERROR(__xludf.DUMMYFUNCTION("""COMPUTED_VALUE"""),"")</f>
        <v/>
      </c>
      <c r="F1381" s="6" t="str">
        <f>IFERROR(__xludf.DUMMYFUNCTION("""COMPUTED_VALUE"""),"Pavlo")</f>
        <v>Pavlo</v>
      </c>
      <c r="G1381" s="6" t="str">
        <f>IFERROR(__xludf.DUMMYFUNCTION("""COMPUTED_VALUE"""),"01/01/2012")</f>
        <v>01/01/2012</v>
      </c>
      <c r="H1381" s="6" t="str">
        <f>IFERROR(__xludf.DUMMYFUNCTION("""COMPUTED_VALUE"""),"Self Identify")</f>
        <v>Self Identify</v>
      </c>
      <c r="I1381" s="6" t="str">
        <f>IFERROR(__xludf.DUMMYFUNCTION("""COMPUTED_VALUE"""),"Middle School")</f>
        <v>Middle School</v>
      </c>
      <c r="J1381" s="6" t="str">
        <f>IFERROR(__xludf.DUMMYFUNCTION("""COMPUTED_VALUE"""),"7")</f>
        <v>7</v>
      </c>
      <c r="K1381" s="6" t="str">
        <f>IFERROR(__xludf.DUMMYFUNCTION("""COMPUTED_VALUE"""),"blyshchyk.pavlo@2hourlearning.com")</f>
        <v>blyshchyk.pavlo@2hourlearning.com</v>
      </c>
      <c r="L1381" s="6" t="str">
        <f>IFERROR(__xludf.DUMMYFUNCTION("""COMPUTED_VALUE"""),"Learn and Earn Poland")</f>
        <v>Learn and Earn Poland</v>
      </c>
      <c r="M1381" s="6" t="str">
        <f>IFERROR(__xludf.DUMMYFUNCTION("""COMPUTED_VALUE"""),"Budapest Alpha")</f>
        <v>Budapest Alpha</v>
      </c>
      <c r="N1381" s="6" t="str">
        <f>IFERROR(__xludf.DUMMYFUNCTION("""COMPUTED_VALUE"""),"")</f>
        <v/>
      </c>
      <c r="O1381" s="87" t="str">
        <f>IFERROR(__xludf.DUMMYFUNCTION("""COMPUTED_VALUE"""),"https://drive.google.com/drive/folders/10T2cTQHqEJZqE-st6uFKPoI?usp=share_link")</f>
        <v>https://drive.google.com/drive/folders/10T2cTQHqEJZqE-st6uFKPoI?usp=share_link</v>
      </c>
      <c r="P1381" s="6" t="str">
        <f>IFERROR(__xludf.DUMMYFUNCTION("""COMPUTED_VALUE"""),"Blyshchyk Pavlo")</f>
        <v>Blyshchyk Pavlo</v>
      </c>
      <c r="Q1381" s="6" t="str">
        <f>IFERROR(__xludf.DUMMYFUNCTION("""COMPUTED_VALUE"""),"MS")</f>
        <v>MS</v>
      </c>
      <c r="R1381" s="6">
        <f>IFERROR(__xludf.DUMMYFUNCTION("""COMPUTED_VALUE"""),0.0)</f>
        <v>0</v>
      </c>
      <c r="S1381" s="6" t="str">
        <f>IFERROR(__xludf.DUMMYFUNCTION("""COMPUTED_VALUE""")," ")</f>
        <v> </v>
      </c>
      <c r="T1381" s="6" t="str">
        <f>IFERROR(__xludf.DUMMYFUNCTION("""COMPUTED_VALUE"""),"")</f>
        <v/>
      </c>
      <c r="U1381" s="6" t="str">
        <f>IFERROR(__xludf.DUMMYFUNCTION("""COMPUTED_VALUE"""),"7")</f>
        <v>7</v>
      </c>
      <c r="V1381" s="6" t="str">
        <f>IFERROR(__xludf.DUMMYFUNCTION("""COMPUTED_VALUE"""),"English")</f>
        <v>English</v>
      </c>
      <c r="W1381" s="6" t="str">
        <f>IFERROR(__xludf.DUMMYFUNCTION("""COMPUTED_VALUE"""),"[]")</f>
        <v>[]</v>
      </c>
      <c r="X1381" s="6" t="str">
        <f>IFERROR(__xludf.DUMMYFUNCTION("""COMPUTED_VALUE"""),"Enrolled")</f>
        <v>Enrolled</v>
      </c>
    </row>
    <row r="1382">
      <c r="A1382" s="6" t="str">
        <f>IFERROR(__xludf.DUMMYFUNCTION("""COMPUTED_VALUE"""),"009-1638")</f>
        <v>009-1638</v>
      </c>
      <c r="B1382" s="6" t="str">
        <f>IFERROR(__xludf.DUMMYFUNCTION("""COMPUTED_VALUE"""),"9")</f>
        <v>9</v>
      </c>
      <c r="C1382" s="6" t="str">
        <f>IFERROR(__xludf.DUMMYFUNCTION("""COMPUTED_VALUE"""),"1638")</f>
        <v>1638</v>
      </c>
      <c r="D1382" s="6" t="str">
        <f>IFERROR(__xludf.DUMMYFUNCTION("""COMPUTED_VALUE"""),"Aliz")</f>
        <v>Aliz</v>
      </c>
      <c r="E1382" s="6" t="str">
        <f>IFERROR(__xludf.DUMMYFUNCTION("""COMPUTED_VALUE"""),"")</f>
        <v/>
      </c>
      <c r="F1382" s="6" t="str">
        <f>IFERROR(__xludf.DUMMYFUNCTION("""COMPUTED_VALUE"""),"Kun")</f>
        <v>Kun</v>
      </c>
      <c r="G1382" s="6" t="str">
        <f>IFERROR(__xludf.DUMMYFUNCTION("""COMPUTED_VALUE"""),"01/01/2016")</f>
        <v>01/01/2016</v>
      </c>
      <c r="H1382" s="6" t="str">
        <f>IFERROR(__xludf.DUMMYFUNCTION("""COMPUTED_VALUE"""),"Self Identify")</f>
        <v>Self Identify</v>
      </c>
      <c r="I1382" s="6" t="str">
        <f>IFERROR(__xludf.DUMMYFUNCTION("""COMPUTED_VALUE"""),"Level 1")</f>
        <v>Level 1</v>
      </c>
      <c r="J1382" s="6" t="str">
        <f>IFERROR(__xludf.DUMMYFUNCTION("""COMPUTED_VALUE"""),"3")</f>
        <v>3</v>
      </c>
      <c r="K1382" s="6" t="str">
        <f>IFERROR(__xludf.DUMMYFUNCTION("""COMPUTED_VALUE"""),"aliz.kun@2hourlearning.com")</f>
        <v>aliz.kun@2hourlearning.com</v>
      </c>
      <c r="L1382" s="6" t="str">
        <f>IFERROR(__xludf.DUMMYFUNCTION("""COMPUTED_VALUE"""),"Learn and Earn Poland")</f>
        <v>Learn and Earn Poland</v>
      </c>
      <c r="M1382" s="6" t="str">
        <f>IFERROR(__xludf.DUMMYFUNCTION("""COMPUTED_VALUE"""),"Budapest Alpha")</f>
        <v>Budapest Alpha</v>
      </c>
      <c r="N1382" s="6" t="str">
        <f>IFERROR(__xludf.DUMMYFUNCTION("""COMPUTED_VALUE"""),"")</f>
        <v/>
      </c>
      <c r="O1382" s="87" t="str">
        <f>IFERROR(__xludf.DUMMYFUNCTION("""COMPUTED_VALUE"""),"https://drive.google.com/drive/folders/10T2cTQHqEJZqE-st6uFKPoI?usp=share_link")</f>
        <v>https://drive.google.com/drive/folders/10T2cTQHqEJZqE-st6uFKPoI?usp=share_link</v>
      </c>
      <c r="P1382" s="6" t="str">
        <f>IFERROR(__xludf.DUMMYFUNCTION("""COMPUTED_VALUE"""),"Aliz Kun")</f>
        <v>Aliz Kun</v>
      </c>
      <c r="Q1382" s="6" t="str">
        <f>IFERROR(__xludf.DUMMYFUNCTION("""COMPUTED_VALUE"""),"L1")</f>
        <v>L1</v>
      </c>
      <c r="R1382" s="6">
        <f>IFERROR(__xludf.DUMMYFUNCTION("""COMPUTED_VALUE"""),1.0)</f>
        <v>1</v>
      </c>
      <c r="S1382" s="6" t="str">
        <f>IFERROR(__xludf.DUMMYFUNCTION("""COMPUTED_VALUE""")," ")</f>
        <v> </v>
      </c>
      <c r="T1382" s="6" t="str">
        <f>IFERROR(__xludf.DUMMYFUNCTION("""COMPUTED_VALUE"""),"")</f>
        <v/>
      </c>
      <c r="U1382" s="6" t="str">
        <f>IFERROR(__xludf.DUMMYFUNCTION("""COMPUTED_VALUE"""),"3")</f>
        <v>3</v>
      </c>
      <c r="V1382" s="6" t="str">
        <f>IFERROR(__xludf.DUMMYFUNCTION("""COMPUTED_VALUE"""),"English")</f>
        <v>English</v>
      </c>
      <c r="W1382" s="6" t="str">
        <f>IFERROR(__xludf.DUMMYFUNCTION("""COMPUTED_VALUE"""),"[]")</f>
        <v>[]</v>
      </c>
      <c r="X1382" s="6" t="str">
        <f>IFERROR(__xludf.DUMMYFUNCTION("""COMPUTED_VALUE"""),"Enrolled")</f>
        <v>Enrolled</v>
      </c>
    </row>
    <row r="1383">
      <c r="A1383" s="6" t="str">
        <f>IFERROR(__xludf.DUMMYFUNCTION("""COMPUTED_VALUE"""),"009-1639")</f>
        <v>009-1639</v>
      </c>
      <c r="B1383" s="6" t="str">
        <f>IFERROR(__xludf.DUMMYFUNCTION("""COMPUTED_VALUE"""),"9")</f>
        <v>9</v>
      </c>
      <c r="C1383" s="6" t="str">
        <f>IFERROR(__xludf.DUMMYFUNCTION("""COMPUTED_VALUE"""),"1639")</f>
        <v>1639</v>
      </c>
      <c r="D1383" s="6" t="str">
        <f>IFERROR(__xludf.DUMMYFUNCTION("""COMPUTED_VALUE"""),"Daryna")</f>
        <v>Daryna</v>
      </c>
      <c r="E1383" s="6" t="str">
        <f>IFERROR(__xludf.DUMMYFUNCTION("""COMPUTED_VALUE"""),"")</f>
        <v/>
      </c>
      <c r="F1383" s="6" t="str">
        <f>IFERROR(__xludf.DUMMYFUNCTION("""COMPUTED_VALUE"""),"Myndria")</f>
        <v>Myndria</v>
      </c>
      <c r="G1383" s="6" t="str">
        <f>IFERROR(__xludf.DUMMYFUNCTION("""COMPUTED_VALUE"""),"01/01/2009")</f>
        <v>01/01/2009</v>
      </c>
      <c r="H1383" s="6" t="str">
        <f>IFERROR(__xludf.DUMMYFUNCTION("""COMPUTED_VALUE"""),"Self Identify")</f>
        <v>Self Identify</v>
      </c>
      <c r="I1383" s="6" t="str">
        <f>IFERROR(__xludf.DUMMYFUNCTION("""COMPUTED_VALUE"""),"High School")</f>
        <v>High School</v>
      </c>
      <c r="J1383" s="6" t="str">
        <f>IFERROR(__xludf.DUMMYFUNCTION("""COMPUTED_VALUE"""),"10")</f>
        <v>10</v>
      </c>
      <c r="K1383" s="6" t="str">
        <f>IFERROR(__xludf.DUMMYFUNCTION("""COMPUTED_VALUE"""),"daryna.myndria@2hourlearning.com")</f>
        <v>daryna.myndria@2hourlearning.com</v>
      </c>
      <c r="L1383" s="6" t="str">
        <f>IFERROR(__xludf.DUMMYFUNCTION("""COMPUTED_VALUE"""),"Learn and Earn Poland")</f>
        <v>Learn and Earn Poland</v>
      </c>
      <c r="M1383" s="6" t="str">
        <f>IFERROR(__xludf.DUMMYFUNCTION("""COMPUTED_VALUE"""),"Budapest Alpha")</f>
        <v>Budapest Alpha</v>
      </c>
      <c r="N1383" s="6" t="str">
        <f>IFERROR(__xludf.DUMMYFUNCTION("""COMPUTED_VALUE"""),"")</f>
        <v/>
      </c>
      <c r="O1383" s="87" t="str">
        <f>IFERROR(__xludf.DUMMYFUNCTION("""COMPUTED_VALUE"""),"https://drive.google.com/drive/folders/10T2cTQHqEJZqE-st6uFKPoI?usp=share_link")</f>
        <v>https://drive.google.com/drive/folders/10T2cTQHqEJZqE-st6uFKPoI?usp=share_link</v>
      </c>
      <c r="P1383" s="6" t="str">
        <f>IFERROR(__xludf.DUMMYFUNCTION("""COMPUTED_VALUE"""),"Daryna Myndria")</f>
        <v>Daryna Myndria</v>
      </c>
      <c r="Q1383" s="6" t="str">
        <f>IFERROR(__xludf.DUMMYFUNCTION("""COMPUTED_VALUE"""),"HS")</f>
        <v>HS</v>
      </c>
      <c r="R1383" s="6">
        <f>IFERROR(__xludf.DUMMYFUNCTION("""COMPUTED_VALUE"""),0.0)</f>
        <v>0</v>
      </c>
      <c r="S1383" s="6" t="str">
        <f>IFERROR(__xludf.DUMMYFUNCTION("""COMPUTED_VALUE""")," ")</f>
        <v> </v>
      </c>
      <c r="T1383" s="6" t="str">
        <f>IFERROR(__xludf.DUMMYFUNCTION("""COMPUTED_VALUE"""),"")</f>
        <v/>
      </c>
      <c r="U1383" s="6" t="str">
        <f>IFERROR(__xludf.DUMMYFUNCTION("""COMPUTED_VALUE"""),"10")</f>
        <v>10</v>
      </c>
      <c r="V1383" s="6" t="str">
        <f>IFERROR(__xludf.DUMMYFUNCTION("""COMPUTED_VALUE"""),"English")</f>
        <v>English</v>
      </c>
      <c r="W1383" s="6" t="str">
        <f>IFERROR(__xludf.DUMMYFUNCTION("""COMPUTED_VALUE"""),"[]")</f>
        <v>[]</v>
      </c>
      <c r="X1383" s="6" t="str">
        <f>IFERROR(__xludf.DUMMYFUNCTION("""COMPUTED_VALUE"""),"Enrolled")</f>
        <v>Enrolled</v>
      </c>
    </row>
    <row r="1384">
      <c r="A1384" s="6" t="str">
        <f>IFERROR(__xludf.DUMMYFUNCTION("""COMPUTED_VALUE"""),"009-1640")</f>
        <v>009-1640</v>
      </c>
      <c r="B1384" s="6" t="str">
        <f>IFERROR(__xludf.DUMMYFUNCTION("""COMPUTED_VALUE"""),"9")</f>
        <v>9</v>
      </c>
      <c r="C1384" s="6" t="str">
        <f>IFERROR(__xludf.DUMMYFUNCTION("""COMPUTED_VALUE"""),"1640")</f>
        <v>1640</v>
      </c>
      <c r="D1384" s="6" t="str">
        <f>IFERROR(__xludf.DUMMYFUNCTION("""COMPUTED_VALUE"""),"Zsolt")</f>
        <v>Zsolt</v>
      </c>
      <c r="E1384" s="6" t="str">
        <f>IFERROR(__xludf.DUMMYFUNCTION("""COMPUTED_VALUE"""),"")</f>
        <v/>
      </c>
      <c r="F1384" s="6" t="str">
        <f>IFERROR(__xludf.DUMMYFUNCTION("""COMPUTED_VALUE"""),"Ember")</f>
        <v>Ember</v>
      </c>
      <c r="G1384" s="6" t="str">
        <f>IFERROR(__xludf.DUMMYFUNCTION("""COMPUTED_VALUE"""),"01/01/2012")</f>
        <v>01/01/2012</v>
      </c>
      <c r="H1384" s="6" t="str">
        <f>IFERROR(__xludf.DUMMYFUNCTION("""COMPUTED_VALUE"""),"Self Identify")</f>
        <v>Self Identify</v>
      </c>
      <c r="I1384" s="6" t="str">
        <f>IFERROR(__xludf.DUMMYFUNCTION("""COMPUTED_VALUE"""),"Middle School")</f>
        <v>Middle School</v>
      </c>
      <c r="J1384" s="6" t="str">
        <f>IFERROR(__xludf.DUMMYFUNCTION("""COMPUTED_VALUE"""),"7")</f>
        <v>7</v>
      </c>
      <c r="K1384" s="6" t="str">
        <f>IFERROR(__xludf.DUMMYFUNCTION("""COMPUTED_VALUE"""),"zsolt.ember@2hourlearning.com")</f>
        <v>zsolt.ember@2hourlearning.com</v>
      </c>
      <c r="L1384" s="6" t="str">
        <f>IFERROR(__xludf.DUMMYFUNCTION("""COMPUTED_VALUE"""),"Learn and Earn Poland")</f>
        <v>Learn and Earn Poland</v>
      </c>
      <c r="M1384" s="6" t="str">
        <f>IFERROR(__xludf.DUMMYFUNCTION("""COMPUTED_VALUE"""),"Budapest Alpha")</f>
        <v>Budapest Alpha</v>
      </c>
      <c r="N1384" s="6" t="str">
        <f>IFERROR(__xludf.DUMMYFUNCTION("""COMPUTED_VALUE"""),"")</f>
        <v/>
      </c>
      <c r="O1384" s="87" t="str">
        <f>IFERROR(__xludf.DUMMYFUNCTION("""COMPUTED_VALUE"""),"https://drive.google.com/drive/folders/10T2cTQHqEJZqE-st6uFKPoI?usp=share_link")</f>
        <v>https://drive.google.com/drive/folders/10T2cTQHqEJZqE-st6uFKPoI?usp=share_link</v>
      </c>
      <c r="P1384" s="6" t="str">
        <f>IFERROR(__xludf.DUMMYFUNCTION("""COMPUTED_VALUE"""),"Zsolt Ember")</f>
        <v>Zsolt Ember</v>
      </c>
      <c r="Q1384" s="6" t="str">
        <f>IFERROR(__xludf.DUMMYFUNCTION("""COMPUTED_VALUE"""),"MS")</f>
        <v>MS</v>
      </c>
      <c r="R1384" s="6">
        <f>IFERROR(__xludf.DUMMYFUNCTION("""COMPUTED_VALUE"""),0.0)</f>
        <v>0</v>
      </c>
      <c r="S1384" s="6" t="str">
        <f>IFERROR(__xludf.DUMMYFUNCTION("""COMPUTED_VALUE""")," ")</f>
        <v> </v>
      </c>
      <c r="T1384" s="6" t="str">
        <f>IFERROR(__xludf.DUMMYFUNCTION("""COMPUTED_VALUE"""),"")</f>
        <v/>
      </c>
      <c r="U1384" s="6" t="str">
        <f>IFERROR(__xludf.DUMMYFUNCTION("""COMPUTED_VALUE"""),"7")</f>
        <v>7</v>
      </c>
      <c r="V1384" s="6" t="str">
        <f>IFERROR(__xludf.DUMMYFUNCTION("""COMPUTED_VALUE"""),"English")</f>
        <v>English</v>
      </c>
      <c r="W1384" s="6" t="str">
        <f>IFERROR(__xludf.DUMMYFUNCTION("""COMPUTED_VALUE"""),"[]")</f>
        <v>[]</v>
      </c>
      <c r="X1384" s="6" t="str">
        <f>IFERROR(__xludf.DUMMYFUNCTION("""COMPUTED_VALUE"""),"Enrolled")</f>
        <v>Enrolled</v>
      </c>
    </row>
    <row r="1385">
      <c r="A1385" s="6" t="str">
        <f>IFERROR(__xludf.DUMMYFUNCTION("""COMPUTED_VALUE"""),"009-1641")</f>
        <v>009-1641</v>
      </c>
      <c r="B1385" s="6" t="str">
        <f>IFERROR(__xludf.DUMMYFUNCTION("""COMPUTED_VALUE"""),"9")</f>
        <v>9</v>
      </c>
      <c r="C1385" s="6" t="str">
        <f>IFERROR(__xludf.DUMMYFUNCTION("""COMPUTED_VALUE"""),"1641")</f>
        <v>1641</v>
      </c>
      <c r="D1385" s="6" t="str">
        <f>IFERROR(__xludf.DUMMYFUNCTION("""COMPUTED_VALUE"""),"Mortsell")</f>
        <v>Mortsell</v>
      </c>
      <c r="E1385" s="6" t="str">
        <f>IFERROR(__xludf.DUMMYFUNCTION("""COMPUTED_VALUE"""),"")</f>
        <v/>
      </c>
      <c r="F1385" s="6" t="str">
        <f>IFERROR(__xludf.DUMMYFUNCTION("""COMPUTED_VALUE"""),"Brekovski")</f>
        <v>Brekovski</v>
      </c>
      <c r="G1385" s="6" t="str">
        <f>IFERROR(__xludf.DUMMYFUNCTION("""COMPUTED_VALUE"""),"01/01/2015")</f>
        <v>01/01/2015</v>
      </c>
      <c r="H1385" s="6" t="str">
        <f>IFERROR(__xludf.DUMMYFUNCTION("""COMPUTED_VALUE"""),"Self Identify")</f>
        <v>Self Identify</v>
      </c>
      <c r="I1385" s="6" t="str">
        <f>IFERROR(__xludf.DUMMYFUNCTION("""COMPUTED_VALUE"""),"Level 2")</f>
        <v>Level 2</v>
      </c>
      <c r="J1385" s="6" t="str">
        <f>IFERROR(__xludf.DUMMYFUNCTION("""COMPUTED_VALUE"""),"4")</f>
        <v>4</v>
      </c>
      <c r="K1385" s="6" t="str">
        <f>IFERROR(__xludf.DUMMYFUNCTION("""COMPUTED_VALUE"""),"mortsell.brekovski@2hourlearning.com")</f>
        <v>mortsell.brekovski@2hourlearning.com</v>
      </c>
      <c r="L1385" s="6" t="str">
        <f>IFERROR(__xludf.DUMMYFUNCTION("""COMPUTED_VALUE"""),"Learn and Earn Poland")</f>
        <v>Learn and Earn Poland</v>
      </c>
      <c r="M1385" s="6" t="str">
        <f>IFERROR(__xludf.DUMMYFUNCTION("""COMPUTED_VALUE"""),"Budapest ex-GTS")</f>
        <v>Budapest ex-GTS</v>
      </c>
      <c r="N1385" s="6" t="str">
        <f>IFERROR(__xludf.DUMMYFUNCTION("""COMPUTED_VALUE"""),"")</f>
        <v/>
      </c>
      <c r="O1385" s="87" t="str">
        <f>IFERROR(__xludf.DUMMYFUNCTION("""COMPUTED_VALUE"""),"https://drive.google.com/drive/folders/10T2cTQHqEJZqE-st6uFKPoI?usp=share_link")</f>
        <v>https://drive.google.com/drive/folders/10T2cTQHqEJZqE-st6uFKPoI?usp=share_link</v>
      </c>
      <c r="P1385" s="6" t="str">
        <f>IFERROR(__xludf.DUMMYFUNCTION("""COMPUTED_VALUE"""),"Mortsell Brekovski")</f>
        <v>Mortsell Brekovski</v>
      </c>
      <c r="Q1385" s="6" t="str">
        <f>IFERROR(__xludf.DUMMYFUNCTION("""COMPUTED_VALUE"""),"L2")</f>
        <v>L2</v>
      </c>
      <c r="R1385" s="6">
        <f>IFERROR(__xludf.DUMMYFUNCTION("""COMPUTED_VALUE"""),2.0)</f>
        <v>2</v>
      </c>
      <c r="S1385" s="6" t="str">
        <f>IFERROR(__xludf.DUMMYFUNCTION("""COMPUTED_VALUE""")," ")</f>
        <v> </v>
      </c>
      <c r="T1385" s="6" t="str">
        <f>IFERROR(__xludf.DUMMYFUNCTION("""COMPUTED_VALUE"""),"")</f>
        <v/>
      </c>
      <c r="U1385" s="6" t="str">
        <f>IFERROR(__xludf.DUMMYFUNCTION("""COMPUTED_VALUE"""),"4")</f>
        <v>4</v>
      </c>
      <c r="V1385" s="6" t="str">
        <f>IFERROR(__xludf.DUMMYFUNCTION("""COMPUTED_VALUE"""),"English")</f>
        <v>English</v>
      </c>
      <c r="W1385" s="6" t="str">
        <f>IFERROR(__xludf.DUMMYFUNCTION("""COMPUTED_VALUE"""),"[]")</f>
        <v>[]</v>
      </c>
      <c r="X1385" s="6" t="str">
        <f>IFERROR(__xludf.DUMMYFUNCTION("""COMPUTED_VALUE"""),"Enrolled")</f>
        <v>Enrolled</v>
      </c>
    </row>
    <row r="1386">
      <c r="A1386" s="6" t="str">
        <f>IFERROR(__xludf.DUMMYFUNCTION("""COMPUTED_VALUE"""),"009-1642")</f>
        <v>009-1642</v>
      </c>
      <c r="B1386" s="6" t="str">
        <f>IFERROR(__xludf.DUMMYFUNCTION("""COMPUTED_VALUE"""),"9")</f>
        <v>9</v>
      </c>
      <c r="C1386" s="6" t="str">
        <f>IFERROR(__xludf.DUMMYFUNCTION("""COMPUTED_VALUE"""),"1642")</f>
        <v>1642</v>
      </c>
      <c r="D1386" s="6" t="str">
        <f>IFERROR(__xludf.DUMMYFUNCTION("""COMPUTED_VALUE"""),"Kira")</f>
        <v>Kira</v>
      </c>
      <c r="E1386" s="6" t="str">
        <f>IFERROR(__xludf.DUMMYFUNCTION("""COMPUTED_VALUE"""),"")</f>
        <v/>
      </c>
      <c r="F1386" s="6" t="str">
        <f>IFERROR(__xludf.DUMMYFUNCTION("""COMPUTED_VALUE"""),"Kovalchuk")</f>
        <v>Kovalchuk</v>
      </c>
      <c r="G1386" s="6" t="str">
        <f>IFERROR(__xludf.DUMMYFUNCTION("""COMPUTED_VALUE"""),"01/01/2017")</f>
        <v>01/01/2017</v>
      </c>
      <c r="H1386" s="6" t="str">
        <f>IFERROR(__xludf.DUMMYFUNCTION("""COMPUTED_VALUE"""),"Self Identify")</f>
        <v>Self Identify</v>
      </c>
      <c r="I1386" s="6" t="str">
        <f>IFERROR(__xludf.DUMMYFUNCTION("""COMPUTED_VALUE"""),"Level 1")</f>
        <v>Level 1</v>
      </c>
      <c r="J1386" s="6" t="str">
        <f>IFERROR(__xludf.DUMMYFUNCTION("""COMPUTED_VALUE"""),"2")</f>
        <v>2</v>
      </c>
      <c r="K1386" s="6" t="str">
        <f>IFERROR(__xludf.DUMMYFUNCTION("""COMPUTED_VALUE"""),"kira.kovalchuk@2hourlearning.com")</f>
        <v>kira.kovalchuk@2hourlearning.com</v>
      </c>
      <c r="L1386" s="6" t="str">
        <f>IFERROR(__xludf.DUMMYFUNCTION("""COMPUTED_VALUE"""),"Learn and Earn Poland")</f>
        <v>Learn and Earn Poland</v>
      </c>
      <c r="M1386" s="6" t="str">
        <f>IFERROR(__xludf.DUMMYFUNCTION("""COMPUTED_VALUE"""),"Budapest Alpha")</f>
        <v>Budapest Alpha</v>
      </c>
      <c r="N1386" s="6" t="str">
        <f>IFERROR(__xludf.DUMMYFUNCTION("""COMPUTED_VALUE"""),"")</f>
        <v/>
      </c>
      <c r="O1386" s="87" t="str">
        <f>IFERROR(__xludf.DUMMYFUNCTION("""COMPUTED_VALUE"""),"https://drive.google.com/drive/folders/10T2cTQHqEJZqE-st6uFKPoI?usp=share_link")</f>
        <v>https://drive.google.com/drive/folders/10T2cTQHqEJZqE-st6uFKPoI?usp=share_link</v>
      </c>
      <c r="P1386" s="6" t="str">
        <f>IFERROR(__xludf.DUMMYFUNCTION("""COMPUTED_VALUE"""),"Kira Kovalchuk")</f>
        <v>Kira Kovalchuk</v>
      </c>
      <c r="Q1386" s="6" t="str">
        <f>IFERROR(__xludf.DUMMYFUNCTION("""COMPUTED_VALUE"""),"L1")</f>
        <v>L1</v>
      </c>
      <c r="R1386" s="6">
        <f>IFERROR(__xludf.DUMMYFUNCTION("""COMPUTED_VALUE"""),1.0)</f>
        <v>1</v>
      </c>
      <c r="S1386" s="6" t="str">
        <f>IFERROR(__xludf.DUMMYFUNCTION("""COMPUTED_VALUE""")," ")</f>
        <v> </v>
      </c>
      <c r="T1386" s="6" t="str">
        <f>IFERROR(__xludf.DUMMYFUNCTION("""COMPUTED_VALUE"""),"")</f>
        <v/>
      </c>
      <c r="U1386" s="6" t="str">
        <f>IFERROR(__xludf.DUMMYFUNCTION("""COMPUTED_VALUE"""),"2")</f>
        <v>2</v>
      </c>
      <c r="V1386" s="6" t="str">
        <f>IFERROR(__xludf.DUMMYFUNCTION("""COMPUTED_VALUE"""),"English")</f>
        <v>English</v>
      </c>
      <c r="W1386" s="6" t="str">
        <f>IFERROR(__xludf.DUMMYFUNCTION("""COMPUTED_VALUE"""),"[]")</f>
        <v>[]</v>
      </c>
      <c r="X1386" s="6" t="str">
        <f>IFERROR(__xludf.DUMMYFUNCTION("""COMPUTED_VALUE"""),"Enrolled")</f>
        <v>Enrolled</v>
      </c>
    </row>
    <row r="1387">
      <c r="A1387" s="6" t="str">
        <f>IFERROR(__xludf.DUMMYFUNCTION("""COMPUTED_VALUE"""),"009-1643")</f>
        <v>009-1643</v>
      </c>
      <c r="B1387" s="6" t="str">
        <f>IFERROR(__xludf.DUMMYFUNCTION("""COMPUTED_VALUE"""),"9")</f>
        <v>9</v>
      </c>
      <c r="C1387" s="6" t="str">
        <f>IFERROR(__xludf.DUMMYFUNCTION("""COMPUTED_VALUE"""),"1643")</f>
        <v>1643</v>
      </c>
      <c r="D1387" s="6" t="str">
        <f>IFERROR(__xludf.DUMMYFUNCTION("""COMPUTED_VALUE"""),"Dmytro")</f>
        <v>Dmytro</v>
      </c>
      <c r="E1387" s="6" t="str">
        <f>IFERROR(__xludf.DUMMYFUNCTION("""COMPUTED_VALUE"""),"")</f>
        <v/>
      </c>
      <c r="F1387" s="6" t="str">
        <f>IFERROR(__xludf.DUMMYFUNCTION("""COMPUTED_VALUE"""),"Iatsko")</f>
        <v>Iatsko</v>
      </c>
      <c r="G1387" s="6" t="str">
        <f>IFERROR(__xludf.DUMMYFUNCTION("""COMPUTED_VALUE"""),"01/01/2014")</f>
        <v>01/01/2014</v>
      </c>
      <c r="H1387" s="6" t="str">
        <f>IFERROR(__xludf.DUMMYFUNCTION("""COMPUTED_VALUE"""),"Self Identify")</f>
        <v>Self Identify</v>
      </c>
      <c r="I1387" s="6" t="str">
        <f>IFERROR(__xludf.DUMMYFUNCTION("""COMPUTED_VALUE"""),"Level 2")</f>
        <v>Level 2</v>
      </c>
      <c r="J1387" s="6" t="str">
        <f>IFERROR(__xludf.DUMMYFUNCTION("""COMPUTED_VALUE"""),"5")</f>
        <v>5</v>
      </c>
      <c r="K1387" s="6" t="str">
        <f>IFERROR(__xludf.DUMMYFUNCTION("""COMPUTED_VALUE"""),"dmytro.iatsko@2hourlearning.com")</f>
        <v>dmytro.iatsko@2hourlearning.com</v>
      </c>
      <c r="L1387" s="6" t="str">
        <f>IFERROR(__xludf.DUMMYFUNCTION("""COMPUTED_VALUE"""),"Learn and Earn Poland")</f>
        <v>Learn and Earn Poland</v>
      </c>
      <c r="M1387" s="6" t="str">
        <f>IFERROR(__xludf.DUMMYFUNCTION("""COMPUTED_VALUE"""),"Budapest Alpha")</f>
        <v>Budapest Alpha</v>
      </c>
      <c r="N1387" s="6" t="str">
        <f>IFERROR(__xludf.DUMMYFUNCTION("""COMPUTED_VALUE"""),"")</f>
        <v/>
      </c>
      <c r="O1387" s="87" t="str">
        <f>IFERROR(__xludf.DUMMYFUNCTION("""COMPUTED_VALUE"""),"https://drive.google.com/drive/folders/10T2cTQHqEJZqE-st6uFKPoI?usp=share_link")</f>
        <v>https://drive.google.com/drive/folders/10T2cTQHqEJZqE-st6uFKPoI?usp=share_link</v>
      </c>
      <c r="P1387" s="6" t="str">
        <f>IFERROR(__xludf.DUMMYFUNCTION("""COMPUTED_VALUE"""),"Dmytro Iatsko")</f>
        <v>Dmytro Iatsko</v>
      </c>
      <c r="Q1387" s="6" t="str">
        <f>IFERROR(__xludf.DUMMYFUNCTION("""COMPUTED_VALUE"""),"L2")</f>
        <v>L2</v>
      </c>
      <c r="R1387" s="6">
        <f>IFERROR(__xludf.DUMMYFUNCTION("""COMPUTED_VALUE"""),2.0)</f>
        <v>2</v>
      </c>
      <c r="S1387" s="6" t="str">
        <f>IFERROR(__xludf.DUMMYFUNCTION("""COMPUTED_VALUE""")," ")</f>
        <v> </v>
      </c>
      <c r="T1387" s="6" t="str">
        <f>IFERROR(__xludf.DUMMYFUNCTION("""COMPUTED_VALUE"""),"")</f>
        <v/>
      </c>
      <c r="U1387" s="6" t="str">
        <f>IFERROR(__xludf.DUMMYFUNCTION("""COMPUTED_VALUE"""),"5")</f>
        <v>5</v>
      </c>
      <c r="V1387" s="6" t="str">
        <f>IFERROR(__xludf.DUMMYFUNCTION("""COMPUTED_VALUE"""),"English")</f>
        <v>English</v>
      </c>
      <c r="W1387" s="6" t="str">
        <f>IFERROR(__xludf.DUMMYFUNCTION("""COMPUTED_VALUE"""),"[]")</f>
        <v>[]</v>
      </c>
      <c r="X1387" s="6" t="str">
        <f>IFERROR(__xludf.DUMMYFUNCTION("""COMPUTED_VALUE"""),"Enrolled")</f>
        <v>Enrolled</v>
      </c>
    </row>
    <row r="1388">
      <c r="A1388" s="6" t="str">
        <f>IFERROR(__xludf.DUMMYFUNCTION("""COMPUTED_VALUE"""),"009-1644")</f>
        <v>009-1644</v>
      </c>
      <c r="B1388" s="6" t="str">
        <f>IFERROR(__xludf.DUMMYFUNCTION("""COMPUTED_VALUE"""),"9")</f>
        <v>9</v>
      </c>
      <c r="C1388" s="6" t="str">
        <f>IFERROR(__xludf.DUMMYFUNCTION("""COMPUTED_VALUE"""),"1644")</f>
        <v>1644</v>
      </c>
      <c r="D1388" s="6" t="str">
        <f>IFERROR(__xludf.DUMMYFUNCTION("""COMPUTED_VALUE"""),"Patrik")</f>
        <v>Patrik</v>
      </c>
      <c r="E1388" s="6" t="str">
        <f>IFERROR(__xludf.DUMMYFUNCTION("""COMPUTED_VALUE"""),"")</f>
        <v/>
      </c>
      <c r="F1388" s="6" t="str">
        <f>IFERROR(__xludf.DUMMYFUNCTION("""COMPUTED_VALUE"""),"Toth")</f>
        <v>Toth</v>
      </c>
      <c r="G1388" s="6" t="str">
        <f>IFERROR(__xludf.DUMMYFUNCTION("""COMPUTED_VALUE"""),"01/01/2008")</f>
        <v>01/01/2008</v>
      </c>
      <c r="H1388" s="6" t="str">
        <f>IFERROR(__xludf.DUMMYFUNCTION("""COMPUTED_VALUE"""),"Self Identify")</f>
        <v>Self Identify</v>
      </c>
      <c r="I1388" s="6" t="str">
        <f>IFERROR(__xludf.DUMMYFUNCTION("""COMPUTED_VALUE"""),"High School")</f>
        <v>High School</v>
      </c>
      <c r="J1388" s="6" t="str">
        <f>IFERROR(__xludf.DUMMYFUNCTION("""COMPUTED_VALUE"""),"11")</f>
        <v>11</v>
      </c>
      <c r="K1388" s="6" t="str">
        <f>IFERROR(__xludf.DUMMYFUNCTION("""COMPUTED_VALUE"""),"patrik.toth@2hourlearning.com")</f>
        <v>patrik.toth@2hourlearning.com</v>
      </c>
      <c r="L1388" s="6" t="str">
        <f>IFERROR(__xludf.DUMMYFUNCTION("""COMPUTED_VALUE"""),"Learn and Earn Poland")</f>
        <v>Learn and Earn Poland</v>
      </c>
      <c r="M1388" s="6" t="str">
        <f>IFERROR(__xludf.DUMMYFUNCTION("""COMPUTED_VALUE"""),"Budapest Alpha")</f>
        <v>Budapest Alpha</v>
      </c>
      <c r="N1388" s="6" t="str">
        <f>IFERROR(__xludf.DUMMYFUNCTION("""COMPUTED_VALUE"""),"")</f>
        <v/>
      </c>
      <c r="O1388" s="87" t="str">
        <f>IFERROR(__xludf.DUMMYFUNCTION("""COMPUTED_VALUE"""),"https://drive.google.com/drive/folders/10T2cTQHqEJZqE-st6uFKPoI?usp=share_link")</f>
        <v>https://drive.google.com/drive/folders/10T2cTQHqEJZqE-st6uFKPoI?usp=share_link</v>
      </c>
      <c r="P1388" s="6" t="str">
        <f>IFERROR(__xludf.DUMMYFUNCTION("""COMPUTED_VALUE"""),"Patrik Toth")</f>
        <v>Patrik Toth</v>
      </c>
      <c r="Q1388" s="6" t="str">
        <f>IFERROR(__xludf.DUMMYFUNCTION("""COMPUTED_VALUE"""),"HS")</f>
        <v>HS</v>
      </c>
      <c r="R1388" s="6">
        <f>IFERROR(__xludf.DUMMYFUNCTION("""COMPUTED_VALUE"""),0.0)</f>
        <v>0</v>
      </c>
      <c r="S1388" s="6" t="str">
        <f>IFERROR(__xludf.DUMMYFUNCTION("""COMPUTED_VALUE""")," ")</f>
        <v> </v>
      </c>
      <c r="T1388" s="6" t="str">
        <f>IFERROR(__xludf.DUMMYFUNCTION("""COMPUTED_VALUE"""),"")</f>
        <v/>
      </c>
      <c r="U1388" s="6" t="str">
        <f>IFERROR(__xludf.DUMMYFUNCTION("""COMPUTED_VALUE"""),"11")</f>
        <v>11</v>
      </c>
      <c r="V1388" s="6" t="str">
        <f>IFERROR(__xludf.DUMMYFUNCTION("""COMPUTED_VALUE"""),"English")</f>
        <v>English</v>
      </c>
      <c r="W1388" s="6" t="str">
        <f>IFERROR(__xludf.DUMMYFUNCTION("""COMPUTED_VALUE"""),"[]")</f>
        <v>[]</v>
      </c>
      <c r="X1388" s="6" t="str">
        <f>IFERROR(__xludf.DUMMYFUNCTION("""COMPUTED_VALUE"""),"Enrolled")</f>
        <v>Enrolled</v>
      </c>
    </row>
    <row r="1389">
      <c r="A1389" s="6" t="str">
        <f>IFERROR(__xludf.DUMMYFUNCTION("""COMPUTED_VALUE"""),"009-1645")</f>
        <v>009-1645</v>
      </c>
      <c r="B1389" s="6" t="str">
        <f>IFERROR(__xludf.DUMMYFUNCTION("""COMPUTED_VALUE"""),"9")</f>
        <v>9</v>
      </c>
      <c r="C1389" s="6" t="str">
        <f>IFERROR(__xludf.DUMMYFUNCTION("""COMPUTED_VALUE"""),"1645")</f>
        <v>1645</v>
      </c>
      <c r="D1389" s="6" t="str">
        <f>IFERROR(__xludf.DUMMYFUNCTION("""COMPUTED_VALUE"""),"Katerina")</f>
        <v>Katerina</v>
      </c>
      <c r="E1389" s="6" t="str">
        <f>IFERROR(__xludf.DUMMYFUNCTION("""COMPUTED_VALUE"""),"")</f>
        <v/>
      </c>
      <c r="F1389" s="6" t="str">
        <f>IFERROR(__xludf.DUMMYFUNCTION("""COMPUTED_VALUE"""),"Dejneka")</f>
        <v>Dejneka</v>
      </c>
      <c r="G1389" s="6" t="str">
        <f>IFERROR(__xludf.DUMMYFUNCTION("""COMPUTED_VALUE"""),"01/01/2012")</f>
        <v>01/01/2012</v>
      </c>
      <c r="H1389" s="6" t="str">
        <f>IFERROR(__xludf.DUMMYFUNCTION("""COMPUTED_VALUE"""),"Self Identify")</f>
        <v>Self Identify</v>
      </c>
      <c r="I1389" s="6" t="str">
        <f>IFERROR(__xludf.DUMMYFUNCTION("""COMPUTED_VALUE"""),"Middle School")</f>
        <v>Middle School</v>
      </c>
      <c r="J1389" s="6" t="str">
        <f>IFERROR(__xludf.DUMMYFUNCTION("""COMPUTED_VALUE"""),"7")</f>
        <v>7</v>
      </c>
      <c r="K1389" s="6" t="str">
        <f>IFERROR(__xludf.DUMMYFUNCTION("""COMPUTED_VALUE"""),"katerina.dejneka@2hourlearning.com")</f>
        <v>katerina.dejneka@2hourlearning.com</v>
      </c>
      <c r="L1389" s="6" t="str">
        <f>IFERROR(__xludf.DUMMYFUNCTION("""COMPUTED_VALUE"""),"Learn and Earn Poland")</f>
        <v>Learn and Earn Poland</v>
      </c>
      <c r="M1389" s="6" t="str">
        <f>IFERROR(__xludf.DUMMYFUNCTION("""COMPUTED_VALUE"""),"Budapest Alpha")</f>
        <v>Budapest Alpha</v>
      </c>
      <c r="N1389" s="6" t="str">
        <f>IFERROR(__xludf.DUMMYFUNCTION("""COMPUTED_VALUE"""),"")</f>
        <v/>
      </c>
      <c r="O1389" s="87" t="str">
        <f>IFERROR(__xludf.DUMMYFUNCTION("""COMPUTED_VALUE"""),"https://drive.google.com/drive/folders/10T2cTQHqEJZqE-st6uFKPoI?usp=share_link")</f>
        <v>https://drive.google.com/drive/folders/10T2cTQHqEJZqE-st6uFKPoI?usp=share_link</v>
      </c>
      <c r="P1389" s="6" t="str">
        <f>IFERROR(__xludf.DUMMYFUNCTION("""COMPUTED_VALUE"""),"Katerina Dejneka")</f>
        <v>Katerina Dejneka</v>
      </c>
      <c r="Q1389" s="6" t="str">
        <f>IFERROR(__xludf.DUMMYFUNCTION("""COMPUTED_VALUE"""),"MS")</f>
        <v>MS</v>
      </c>
      <c r="R1389" s="6">
        <f>IFERROR(__xludf.DUMMYFUNCTION("""COMPUTED_VALUE"""),0.0)</f>
        <v>0</v>
      </c>
      <c r="S1389" s="6" t="str">
        <f>IFERROR(__xludf.DUMMYFUNCTION("""COMPUTED_VALUE""")," ")</f>
        <v> </v>
      </c>
      <c r="T1389" s="6" t="str">
        <f>IFERROR(__xludf.DUMMYFUNCTION("""COMPUTED_VALUE"""),"")</f>
        <v/>
      </c>
      <c r="U1389" s="6" t="str">
        <f>IFERROR(__xludf.DUMMYFUNCTION("""COMPUTED_VALUE"""),"7")</f>
        <v>7</v>
      </c>
      <c r="V1389" s="6" t="str">
        <f>IFERROR(__xludf.DUMMYFUNCTION("""COMPUTED_VALUE"""),"English")</f>
        <v>English</v>
      </c>
      <c r="W1389" s="6" t="str">
        <f>IFERROR(__xludf.DUMMYFUNCTION("""COMPUTED_VALUE"""),"[]")</f>
        <v>[]</v>
      </c>
      <c r="X1389" s="6" t="str">
        <f>IFERROR(__xludf.DUMMYFUNCTION("""COMPUTED_VALUE"""),"Enrolled")</f>
        <v>Enrolled</v>
      </c>
    </row>
    <row r="1390">
      <c r="A1390" s="6" t="str">
        <f>IFERROR(__xludf.DUMMYFUNCTION("""COMPUTED_VALUE"""),"009-1646")</f>
        <v>009-1646</v>
      </c>
      <c r="B1390" s="6" t="str">
        <f>IFERROR(__xludf.DUMMYFUNCTION("""COMPUTED_VALUE"""),"9")</f>
        <v>9</v>
      </c>
      <c r="C1390" s="6" t="str">
        <f>IFERROR(__xludf.DUMMYFUNCTION("""COMPUTED_VALUE"""),"1646")</f>
        <v>1646</v>
      </c>
      <c r="D1390" s="6" t="str">
        <f>IFERROR(__xludf.DUMMYFUNCTION("""COMPUTED_VALUE"""),"Fruzsina")</f>
        <v>Fruzsina</v>
      </c>
      <c r="E1390" s="6" t="str">
        <f>IFERROR(__xludf.DUMMYFUNCTION("""COMPUTED_VALUE"""),"")</f>
        <v/>
      </c>
      <c r="F1390" s="6" t="str">
        <f>IFERROR(__xludf.DUMMYFUNCTION("""COMPUTED_VALUE"""),"Szabo")</f>
        <v>Szabo</v>
      </c>
      <c r="G1390" s="6" t="str">
        <f>IFERROR(__xludf.DUMMYFUNCTION("""COMPUTED_VALUE"""),"01/01/2015")</f>
        <v>01/01/2015</v>
      </c>
      <c r="H1390" s="6" t="str">
        <f>IFERROR(__xludf.DUMMYFUNCTION("""COMPUTED_VALUE"""),"Self Identify")</f>
        <v>Self Identify</v>
      </c>
      <c r="I1390" s="6" t="str">
        <f>IFERROR(__xludf.DUMMYFUNCTION("""COMPUTED_VALUE"""),"Level 2")</f>
        <v>Level 2</v>
      </c>
      <c r="J1390" s="6" t="str">
        <f>IFERROR(__xludf.DUMMYFUNCTION("""COMPUTED_VALUE"""),"4")</f>
        <v>4</v>
      </c>
      <c r="K1390" s="6" t="str">
        <f>IFERROR(__xludf.DUMMYFUNCTION("""COMPUTED_VALUE"""),"fruzsina.szabo@2hourlearning.com")</f>
        <v>fruzsina.szabo@2hourlearning.com</v>
      </c>
      <c r="L1390" s="6" t="str">
        <f>IFERROR(__xludf.DUMMYFUNCTION("""COMPUTED_VALUE"""),"Learn and Earn Poland")</f>
        <v>Learn and Earn Poland</v>
      </c>
      <c r="M1390" s="6" t="str">
        <f>IFERROR(__xludf.DUMMYFUNCTION("""COMPUTED_VALUE"""),"Budapest Alpha")</f>
        <v>Budapest Alpha</v>
      </c>
      <c r="N1390" s="6" t="str">
        <f>IFERROR(__xludf.DUMMYFUNCTION("""COMPUTED_VALUE"""),"")</f>
        <v/>
      </c>
      <c r="O1390" s="87" t="str">
        <f>IFERROR(__xludf.DUMMYFUNCTION("""COMPUTED_VALUE"""),"https://drive.google.com/drive/folders/10T2cTQHqEJZqE-st6uFKPoI?usp=share_link")</f>
        <v>https://drive.google.com/drive/folders/10T2cTQHqEJZqE-st6uFKPoI?usp=share_link</v>
      </c>
      <c r="P1390" s="6" t="str">
        <f>IFERROR(__xludf.DUMMYFUNCTION("""COMPUTED_VALUE"""),"Fruzsina Szabo")</f>
        <v>Fruzsina Szabo</v>
      </c>
      <c r="Q1390" s="6" t="str">
        <f>IFERROR(__xludf.DUMMYFUNCTION("""COMPUTED_VALUE"""),"L2")</f>
        <v>L2</v>
      </c>
      <c r="R1390" s="6">
        <f>IFERROR(__xludf.DUMMYFUNCTION("""COMPUTED_VALUE"""),2.0)</f>
        <v>2</v>
      </c>
      <c r="S1390" s="6" t="str">
        <f>IFERROR(__xludf.DUMMYFUNCTION("""COMPUTED_VALUE""")," ")</f>
        <v> </v>
      </c>
      <c r="T1390" s="6" t="str">
        <f>IFERROR(__xludf.DUMMYFUNCTION("""COMPUTED_VALUE"""),"")</f>
        <v/>
      </c>
      <c r="U1390" s="6" t="str">
        <f>IFERROR(__xludf.DUMMYFUNCTION("""COMPUTED_VALUE"""),"4")</f>
        <v>4</v>
      </c>
      <c r="V1390" s="6" t="str">
        <f>IFERROR(__xludf.DUMMYFUNCTION("""COMPUTED_VALUE"""),"English")</f>
        <v>English</v>
      </c>
      <c r="W1390" s="6" t="str">
        <f>IFERROR(__xludf.DUMMYFUNCTION("""COMPUTED_VALUE"""),"[]")</f>
        <v>[]</v>
      </c>
      <c r="X1390" s="6" t="str">
        <f>IFERROR(__xludf.DUMMYFUNCTION("""COMPUTED_VALUE"""),"Enrolled")</f>
        <v>Enrolled</v>
      </c>
    </row>
    <row r="1391">
      <c r="A1391" s="6" t="str">
        <f>IFERROR(__xludf.DUMMYFUNCTION("""COMPUTED_VALUE"""),"009-1647")</f>
        <v>009-1647</v>
      </c>
      <c r="B1391" s="6" t="str">
        <f>IFERROR(__xludf.DUMMYFUNCTION("""COMPUTED_VALUE"""),"9")</f>
        <v>9</v>
      </c>
      <c r="C1391" s="6" t="str">
        <f>IFERROR(__xludf.DUMMYFUNCTION("""COMPUTED_VALUE"""),"1647")</f>
        <v>1647</v>
      </c>
      <c r="D1391" s="6" t="str">
        <f>IFERROR(__xludf.DUMMYFUNCTION("""COMPUTED_VALUE"""),"Milena")</f>
        <v>Milena</v>
      </c>
      <c r="E1391" s="6" t="str">
        <f>IFERROR(__xludf.DUMMYFUNCTION("""COMPUTED_VALUE"""),"")</f>
        <v/>
      </c>
      <c r="F1391" s="6" t="str">
        <f>IFERROR(__xludf.DUMMYFUNCTION("""COMPUTED_VALUE"""),"Juhasz")</f>
        <v>Juhasz</v>
      </c>
      <c r="G1391" s="6" t="str">
        <f>IFERROR(__xludf.DUMMYFUNCTION("""COMPUTED_VALUE"""),"01/01/2016")</f>
        <v>01/01/2016</v>
      </c>
      <c r="H1391" s="6" t="str">
        <f>IFERROR(__xludf.DUMMYFUNCTION("""COMPUTED_VALUE"""),"Self Identify")</f>
        <v>Self Identify</v>
      </c>
      <c r="I1391" s="6" t="str">
        <f>IFERROR(__xludf.DUMMYFUNCTION("""COMPUTED_VALUE"""),"Level 1")</f>
        <v>Level 1</v>
      </c>
      <c r="J1391" s="6" t="str">
        <f>IFERROR(__xludf.DUMMYFUNCTION("""COMPUTED_VALUE"""),"3")</f>
        <v>3</v>
      </c>
      <c r="K1391" s="6" t="str">
        <f>IFERROR(__xludf.DUMMYFUNCTION("""COMPUTED_VALUE"""),"milena.juhasz@2hourlearning.com")</f>
        <v>milena.juhasz@2hourlearning.com</v>
      </c>
      <c r="L1391" s="6" t="str">
        <f>IFERROR(__xludf.DUMMYFUNCTION("""COMPUTED_VALUE"""),"Learn and Earn Poland")</f>
        <v>Learn and Earn Poland</v>
      </c>
      <c r="M1391" s="6" t="str">
        <f>IFERROR(__xludf.DUMMYFUNCTION("""COMPUTED_VALUE"""),"Budapest Alpha")</f>
        <v>Budapest Alpha</v>
      </c>
      <c r="N1391" s="6" t="str">
        <f>IFERROR(__xludf.DUMMYFUNCTION("""COMPUTED_VALUE"""),"")</f>
        <v/>
      </c>
      <c r="O1391" s="87" t="str">
        <f>IFERROR(__xludf.DUMMYFUNCTION("""COMPUTED_VALUE"""),"https://drive.google.com/drive/folders/10T2cTQHqEJZqE-st6uFKPoI?usp=share_link")</f>
        <v>https://drive.google.com/drive/folders/10T2cTQHqEJZqE-st6uFKPoI?usp=share_link</v>
      </c>
      <c r="P1391" s="6" t="str">
        <f>IFERROR(__xludf.DUMMYFUNCTION("""COMPUTED_VALUE"""),"Milena Juhasz")</f>
        <v>Milena Juhasz</v>
      </c>
      <c r="Q1391" s="6" t="str">
        <f>IFERROR(__xludf.DUMMYFUNCTION("""COMPUTED_VALUE"""),"L1")</f>
        <v>L1</v>
      </c>
      <c r="R1391" s="6">
        <f>IFERROR(__xludf.DUMMYFUNCTION("""COMPUTED_VALUE"""),1.0)</f>
        <v>1</v>
      </c>
      <c r="S1391" s="6" t="str">
        <f>IFERROR(__xludf.DUMMYFUNCTION("""COMPUTED_VALUE""")," ")</f>
        <v> </v>
      </c>
      <c r="T1391" s="6" t="str">
        <f>IFERROR(__xludf.DUMMYFUNCTION("""COMPUTED_VALUE"""),"")</f>
        <v/>
      </c>
      <c r="U1391" s="6" t="str">
        <f>IFERROR(__xludf.DUMMYFUNCTION("""COMPUTED_VALUE"""),"3")</f>
        <v>3</v>
      </c>
      <c r="V1391" s="6" t="str">
        <f>IFERROR(__xludf.DUMMYFUNCTION("""COMPUTED_VALUE"""),"English")</f>
        <v>English</v>
      </c>
      <c r="W1391" s="6" t="str">
        <f>IFERROR(__xludf.DUMMYFUNCTION("""COMPUTED_VALUE"""),"[]")</f>
        <v>[]</v>
      </c>
      <c r="X1391" s="6" t="str">
        <f>IFERROR(__xludf.DUMMYFUNCTION("""COMPUTED_VALUE"""),"Enrolled")</f>
        <v>Enrolled</v>
      </c>
    </row>
    <row r="1392">
      <c r="A1392" s="6" t="str">
        <f>IFERROR(__xludf.DUMMYFUNCTION("""COMPUTED_VALUE"""),"009-1648")</f>
        <v>009-1648</v>
      </c>
      <c r="B1392" s="6" t="str">
        <f>IFERROR(__xludf.DUMMYFUNCTION("""COMPUTED_VALUE"""),"9")</f>
        <v>9</v>
      </c>
      <c r="C1392" s="6" t="str">
        <f>IFERROR(__xludf.DUMMYFUNCTION("""COMPUTED_VALUE"""),"1648")</f>
        <v>1648</v>
      </c>
      <c r="D1392" s="6" t="str">
        <f>IFERROR(__xludf.DUMMYFUNCTION("""COMPUTED_VALUE"""),"Dorina")</f>
        <v>Dorina</v>
      </c>
      <c r="E1392" s="6" t="str">
        <f>IFERROR(__xludf.DUMMYFUNCTION("""COMPUTED_VALUE"""),"")</f>
        <v/>
      </c>
      <c r="F1392" s="6" t="str">
        <f>IFERROR(__xludf.DUMMYFUNCTION("""COMPUTED_VALUE"""),"Pataki")</f>
        <v>Pataki</v>
      </c>
      <c r="G1392" s="6" t="str">
        <f>IFERROR(__xludf.DUMMYFUNCTION("""COMPUTED_VALUE"""),"01/01/2011")</f>
        <v>01/01/2011</v>
      </c>
      <c r="H1392" s="6" t="str">
        <f>IFERROR(__xludf.DUMMYFUNCTION("""COMPUTED_VALUE"""),"Self Identify")</f>
        <v>Self Identify</v>
      </c>
      <c r="I1392" s="6" t="str">
        <f>IFERROR(__xludf.DUMMYFUNCTION("""COMPUTED_VALUE"""),"Middle School")</f>
        <v>Middle School</v>
      </c>
      <c r="J1392" s="6" t="str">
        <f>IFERROR(__xludf.DUMMYFUNCTION("""COMPUTED_VALUE"""),"8")</f>
        <v>8</v>
      </c>
      <c r="K1392" s="6" t="str">
        <f>IFERROR(__xludf.DUMMYFUNCTION("""COMPUTED_VALUE"""),"dorina.pataki@2hourlearning.com")</f>
        <v>dorina.pataki@2hourlearning.com</v>
      </c>
      <c r="L1392" s="6" t="str">
        <f>IFERROR(__xludf.DUMMYFUNCTION("""COMPUTED_VALUE"""),"Learn and Earn Poland")</f>
        <v>Learn and Earn Poland</v>
      </c>
      <c r="M1392" s="6" t="str">
        <f>IFERROR(__xludf.DUMMYFUNCTION("""COMPUTED_VALUE"""),"Budapest Alpha")</f>
        <v>Budapest Alpha</v>
      </c>
      <c r="N1392" s="6" t="str">
        <f>IFERROR(__xludf.DUMMYFUNCTION("""COMPUTED_VALUE"""),"")</f>
        <v/>
      </c>
      <c r="O1392" s="87" t="str">
        <f>IFERROR(__xludf.DUMMYFUNCTION("""COMPUTED_VALUE"""),"https://drive.google.com/drive/folders/10T2cTQHqEJZqE-st6uFKPoI?usp=share_link")</f>
        <v>https://drive.google.com/drive/folders/10T2cTQHqEJZqE-st6uFKPoI?usp=share_link</v>
      </c>
      <c r="P1392" s="6" t="str">
        <f>IFERROR(__xludf.DUMMYFUNCTION("""COMPUTED_VALUE"""),"Dorina Pataki")</f>
        <v>Dorina Pataki</v>
      </c>
      <c r="Q1392" s="6" t="str">
        <f>IFERROR(__xludf.DUMMYFUNCTION("""COMPUTED_VALUE"""),"MS")</f>
        <v>MS</v>
      </c>
      <c r="R1392" s="6">
        <f>IFERROR(__xludf.DUMMYFUNCTION("""COMPUTED_VALUE"""),0.0)</f>
        <v>0</v>
      </c>
      <c r="S1392" s="6" t="str">
        <f>IFERROR(__xludf.DUMMYFUNCTION("""COMPUTED_VALUE""")," ")</f>
        <v> </v>
      </c>
      <c r="T1392" s="6" t="str">
        <f>IFERROR(__xludf.DUMMYFUNCTION("""COMPUTED_VALUE"""),"")</f>
        <v/>
      </c>
      <c r="U1392" s="6" t="str">
        <f>IFERROR(__xludf.DUMMYFUNCTION("""COMPUTED_VALUE"""),"8")</f>
        <v>8</v>
      </c>
      <c r="V1392" s="6" t="str">
        <f>IFERROR(__xludf.DUMMYFUNCTION("""COMPUTED_VALUE"""),"English")</f>
        <v>English</v>
      </c>
      <c r="W1392" s="6" t="str">
        <f>IFERROR(__xludf.DUMMYFUNCTION("""COMPUTED_VALUE"""),"[]")</f>
        <v>[]</v>
      </c>
      <c r="X1392" s="6" t="str">
        <f>IFERROR(__xludf.DUMMYFUNCTION("""COMPUTED_VALUE"""),"Enrolled")</f>
        <v>Enrolled</v>
      </c>
    </row>
    <row r="1393">
      <c r="A1393" s="6" t="str">
        <f>IFERROR(__xludf.DUMMYFUNCTION("""COMPUTED_VALUE"""),"009-1649")</f>
        <v>009-1649</v>
      </c>
      <c r="B1393" s="6" t="str">
        <f>IFERROR(__xludf.DUMMYFUNCTION("""COMPUTED_VALUE"""),"9")</f>
        <v>9</v>
      </c>
      <c r="C1393" s="6" t="str">
        <f>IFERROR(__xludf.DUMMYFUNCTION("""COMPUTED_VALUE"""),"1649")</f>
        <v>1649</v>
      </c>
      <c r="D1393" s="6" t="str">
        <f>IFERROR(__xludf.DUMMYFUNCTION("""COMPUTED_VALUE"""),"Szofia")</f>
        <v>Szofia</v>
      </c>
      <c r="E1393" s="6" t="str">
        <f>IFERROR(__xludf.DUMMYFUNCTION("""COMPUTED_VALUE"""),"")</f>
        <v/>
      </c>
      <c r="F1393" s="6" t="str">
        <f>IFERROR(__xludf.DUMMYFUNCTION("""COMPUTED_VALUE"""),"Fekeshazi")</f>
        <v>Fekeshazi</v>
      </c>
      <c r="G1393" s="6" t="str">
        <f>IFERROR(__xludf.DUMMYFUNCTION("""COMPUTED_VALUE"""),"01/01/2016")</f>
        <v>01/01/2016</v>
      </c>
      <c r="H1393" s="6" t="str">
        <f>IFERROR(__xludf.DUMMYFUNCTION("""COMPUTED_VALUE"""),"Self Identify")</f>
        <v>Self Identify</v>
      </c>
      <c r="I1393" s="6" t="str">
        <f>IFERROR(__xludf.DUMMYFUNCTION("""COMPUTED_VALUE"""),"Level 1")</f>
        <v>Level 1</v>
      </c>
      <c r="J1393" s="6" t="str">
        <f>IFERROR(__xludf.DUMMYFUNCTION("""COMPUTED_VALUE"""),"3")</f>
        <v>3</v>
      </c>
      <c r="K1393" s="6" t="str">
        <f>IFERROR(__xludf.DUMMYFUNCTION("""COMPUTED_VALUE"""),"szofia.fekeshazi@2hourlearning.com")</f>
        <v>szofia.fekeshazi@2hourlearning.com</v>
      </c>
      <c r="L1393" s="6" t="str">
        <f>IFERROR(__xludf.DUMMYFUNCTION("""COMPUTED_VALUE"""),"Learn and Earn Poland")</f>
        <v>Learn and Earn Poland</v>
      </c>
      <c r="M1393" s="6" t="str">
        <f>IFERROR(__xludf.DUMMYFUNCTION("""COMPUTED_VALUE"""),"Budapest ex-GTS")</f>
        <v>Budapest ex-GTS</v>
      </c>
      <c r="N1393" s="6" t="str">
        <f>IFERROR(__xludf.DUMMYFUNCTION("""COMPUTED_VALUE"""),"")</f>
        <v/>
      </c>
      <c r="O1393" s="87" t="str">
        <f>IFERROR(__xludf.DUMMYFUNCTION("""COMPUTED_VALUE"""),"https://drive.google.com/drive/folders/10T2cTQHqEJZqE-st6uFKPoI?usp=share_link")</f>
        <v>https://drive.google.com/drive/folders/10T2cTQHqEJZqE-st6uFKPoI?usp=share_link</v>
      </c>
      <c r="P1393" s="6" t="str">
        <f>IFERROR(__xludf.DUMMYFUNCTION("""COMPUTED_VALUE"""),"Szofia Fekeshazi")</f>
        <v>Szofia Fekeshazi</v>
      </c>
      <c r="Q1393" s="6" t="str">
        <f>IFERROR(__xludf.DUMMYFUNCTION("""COMPUTED_VALUE"""),"L1")</f>
        <v>L1</v>
      </c>
      <c r="R1393" s="6">
        <f>IFERROR(__xludf.DUMMYFUNCTION("""COMPUTED_VALUE"""),1.0)</f>
        <v>1</v>
      </c>
      <c r="S1393" s="6" t="str">
        <f>IFERROR(__xludf.DUMMYFUNCTION("""COMPUTED_VALUE""")," ")</f>
        <v> </v>
      </c>
      <c r="T1393" s="6" t="str">
        <f>IFERROR(__xludf.DUMMYFUNCTION("""COMPUTED_VALUE"""),"")</f>
        <v/>
      </c>
      <c r="U1393" s="6" t="str">
        <f>IFERROR(__xludf.DUMMYFUNCTION("""COMPUTED_VALUE"""),"3")</f>
        <v>3</v>
      </c>
      <c r="V1393" s="6" t="str">
        <f>IFERROR(__xludf.DUMMYFUNCTION("""COMPUTED_VALUE"""),"English")</f>
        <v>English</v>
      </c>
      <c r="W1393" s="6" t="str">
        <f>IFERROR(__xludf.DUMMYFUNCTION("""COMPUTED_VALUE"""),"[]")</f>
        <v>[]</v>
      </c>
      <c r="X1393" s="6" t="str">
        <f>IFERROR(__xludf.DUMMYFUNCTION("""COMPUTED_VALUE"""),"Enrolled")</f>
        <v>Enrolled</v>
      </c>
    </row>
    <row r="1394">
      <c r="A1394" s="6" t="str">
        <f>IFERROR(__xludf.DUMMYFUNCTION("""COMPUTED_VALUE"""),"009-1650")</f>
        <v>009-1650</v>
      </c>
      <c r="B1394" s="6" t="str">
        <f>IFERROR(__xludf.DUMMYFUNCTION("""COMPUTED_VALUE"""),"9")</f>
        <v>9</v>
      </c>
      <c r="C1394" s="6" t="str">
        <f>IFERROR(__xludf.DUMMYFUNCTION("""COMPUTED_VALUE"""),"1650")</f>
        <v>1650</v>
      </c>
      <c r="D1394" s="6" t="str">
        <f>IFERROR(__xludf.DUMMYFUNCTION("""COMPUTED_VALUE"""),"Danyil")</f>
        <v>Danyil</v>
      </c>
      <c r="E1394" s="6" t="str">
        <f>IFERROR(__xludf.DUMMYFUNCTION("""COMPUTED_VALUE"""),"")</f>
        <v/>
      </c>
      <c r="F1394" s="6" t="str">
        <f>IFERROR(__xludf.DUMMYFUNCTION("""COMPUTED_VALUE"""),"Kovalchuk")</f>
        <v>Kovalchuk</v>
      </c>
      <c r="G1394" s="6" t="str">
        <f>IFERROR(__xludf.DUMMYFUNCTION("""COMPUTED_VALUE"""),"01/01/2015")</f>
        <v>01/01/2015</v>
      </c>
      <c r="H1394" s="6" t="str">
        <f>IFERROR(__xludf.DUMMYFUNCTION("""COMPUTED_VALUE"""),"Self Identify")</f>
        <v>Self Identify</v>
      </c>
      <c r="I1394" s="6" t="str">
        <f>IFERROR(__xludf.DUMMYFUNCTION("""COMPUTED_VALUE"""),"Level 2")</f>
        <v>Level 2</v>
      </c>
      <c r="J1394" s="6" t="str">
        <f>IFERROR(__xludf.DUMMYFUNCTION("""COMPUTED_VALUE"""),"4")</f>
        <v>4</v>
      </c>
      <c r="K1394" s="6" t="str">
        <f>IFERROR(__xludf.DUMMYFUNCTION("""COMPUTED_VALUE"""),"danyil.kovalchuk@2hourlearning.com")</f>
        <v>danyil.kovalchuk@2hourlearning.com</v>
      </c>
      <c r="L1394" s="6" t="str">
        <f>IFERROR(__xludf.DUMMYFUNCTION("""COMPUTED_VALUE"""),"Learn and Earn Poland")</f>
        <v>Learn and Earn Poland</v>
      </c>
      <c r="M1394" s="6" t="str">
        <f>IFERROR(__xludf.DUMMYFUNCTION("""COMPUTED_VALUE"""),"Budapest ex-GTS")</f>
        <v>Budapest ex-GTS</v>
      </c>
      <c r="N1394" s="6" t="str">
        <f>IFERROR(__xludf.DUMMYFUNCTION("""COMPUTED_VALUE"""),"")</f>
        <v/>
      </c>
      <c r="O1394" s="87" t="str">
        <f>IFERROR(__xludf.DUMMYFUNCTION("""COMPUTED_VALUE"""),"https://drive.google.com/drive/folders/10T2cTQHqEJZqE-st6uFKPoI?usp=share_link")</f>
        <v>https://drive.google.com/drive/folders/10T2cTQHqEJZqE-st6uFKPoI?usp=share_link</v>
      </c>
      <c r="P1394" s="6" t="str">
        <f>IFERROR(__xludf.DUMMYFUNCTION("""COMPUTED_VALUE"""),"Danyil Kovalchuk")</f>
        <v>Danyil Kovalchuk</v>
      </c>
      <c r="Q1394" s="6" t="str">
        <f>IFERROR(__xludf.DUMMYFUNCTION("""COMPUTED_VALUE"""),"L2")</f>
        <v>L2</v>
      </c>
      <c r="R1394" s="6">
        <f>IFERROR(__xludf.DUMMYFUNCTION("""COMPUTED_VALUE"""),2.0)</f>
        <v>2</v>
      </c>
      <c r="S1394" s="6" t="str">
        <f>IFERROR(__xludf.DUMMYFUNCTION("""COMPUTED_VALUE""")," ")</f>
        <v> </v>
      </c>
      <c r="T1394" s="6" t="str">
        <f>IFERROR(__xludf.DUMMYFUNCTION("""COMPUTED_VALUE"""),"")</f>
        <v/>
      </c>
      <c r="U1394" s="6" t="str">
        <f>IFERROR(__xludf.DUMMYFUNCTION("""COMPUTED_VALUE"""),"4")</f>
        <v>4</v>
      </c>
      <c r="V1394" s="6" t="str">
        <f>IFERROR(__xludf.DUMMYFUNCTION("""COMPUTED_VALUE"""),"English")</f>
        <v>English</v>
      </c>
      <c r="W1394" s="6" t="str">
        <f>IFERROR(__xludf.DUMMYFUNCTION("""COMPUTED_VALUE"""),"[]")</f>
        <v>[]</v>
      </c>
      <c r="X1394" s="6" t="str">
        <f>IFERROR(__xludf.DUMMYFUNCTION("""COMPUTED_VALUE"""),"Enrolled")</f>
        <v>Enrolled</v>
      </c>
    </row>
    <row r="1395">
      <c r="A1395" s="6" t="str">
        <f>IFERROR(__xludf.DUMMYFUNCTION("""COMPUTED_VALUE"""),"009-1651")</f>
        <v>009-1651</v>
      </c>
      <c r="B1395" s="6" t="str">
        <f>IFERROR(__xludf.DUMMYFUNCTION("""COMPUTED_VALUE"""),"9")</f>
        <v>9</v>
      </c>
      <c r="C1395" s="6" t="str">
        <f>IFERROR(__xludf.DUMMYFUNCTION("""COMPUTED_VALUE"""),"1651")</f>
        <v>1651</v>
      </c>
      <c r="D1395" s="6" t="str">
        <f>IFERROR(__xludf.DUMMYFUNCTION("""COMPUTED_VALUE"""),"Todora")</f>
        <v>Todora</v>
      </c>
      <c r="E1395" s="6" t="str">
        <f>IFERROR(__xludf.DUMMYFUNCTION("""COMPUTED_VALUE"""),"")</f>
        <v/>
      </c>
      <c r="F1395" s="6" t="str">
        <f>IFERROR(__xludf.DUMMYFUNCTION("""COMPUTED_VALUE"""),"Toth")</f>
        <v>Toth</v>
      </c>
      <c r="G1395" s="6" t="str">
        <f>IFERROR(__xludf.DUMMYFUNCTION("""COMPUTED_VALUE"""),"01/01/2013")</f>
        <v>01/01/2013</v>
      </c>
      <c r="H1395" s="6" t="str">
        <f>IFERROR(__xludf.DUMMYFUNCTION("""COMPUTED_VALUE"""),"Self Identify")</f>
        <v>Self Identify</v>
      </c>
      <c r="I1395" s="6" t="str">
        <f>IFERROR(__xludf.DUMMYFUNCTION("""COMPUTED_VALUE"""),"Middle School")</f>
        <v>Middle School</v>
      </c>
      <c r="J1395" s="6" t="str">
        <f>IFERROR(__xludf.DUMMYFUNCTION("""COMPUTED_VALUE"""),"6")</f>
        <v>6</v>
      </c>
      <c r="K1395" s="6" t="str">
        <f>IFERROR(__xludf.DUMMYFUNCTION("""COMPUTED_VALUE"""),"todora.toth@2hourlearning.com")</f>
        <v>todora.toth@2hourlearning.com</v>
      </c>
      <c r="L1395" s="6" t="str">
        <f>IFERROR(__xludf.DUMMYFUNCTION("""COMPUTED_VALUE"""),"Learn and Earn Poland")</f>
        <v>Learn and Earn Poland</v>
      </c>
      <c r="M1395" s="6" t="str">
        <f>IFERROR(__xludf.DUMMYFUNCTION("""COMPUTED_VALUE"""),"Budapest Alpha")</f>
        <v>Budapest Alpha</v>
      </c>
      <c r="N1395" s="6" t="str">
        <f>IFERROR(__xludf.DUMMYFUNCTION("""COMPUTED_VALUE"""),"")</f>
        <v/>
      </c>
      <c r="O1395" s="87" t="str">
        <f>IFERROR(__xludf.DUMMYFUNCTION("""COMPUTED_VALUE"""),"https://drive.google.com/drive/folders/10T2cTQHqEJZqE-st6uFKPoI?usp=share_link")</f>
        <v>https://drive.google.com/drive/folders/10T2cTQHqEJZqE-st6uFKPoI?usp=share_link</v>
      </c>
      <c r="P1395" s="6" t="str">
        <f>IFERROR(__xludf.DUMMYFUNCTION("""COMPUTED_VALUE"""),"Todora Toth")</f>
        <v>Todora Toth</v>
      </c>
      <c r="Q1395" s="6" t="str">
        <f>IFERROR(__xludf.DUMMYFUNCTION("""COMPUTED_VALUE"""),"MS")</f>
        <v>MS</v>
      </c>
      <c r="R1395" s="6">
        <f>IFERROR(__xludf.DUMMYFUNCTION("""COMPUTED_VALUE"""),0.0)</f>
        <v>0</v>
      </c>
      <c r="S1395" s="6" t="str">
        <f>IFERROR(__xludf.DUMMYFUNCTION("""COMPUTED_VALUE""")," ")</f>
        <v> </v>
      </c>
      <c r="T1395" s="6" t="str">
        <f>IFERROR(__xludf.DUMMYFUNCTION("""COMPUTED_VALUE"""),"")</f>
        <v/>
      </c>
      <c r="U1395" s="6" t="str">
        <f>IFERROR(__xludf.DUMMYFUNCTION("""COMPUTED_VALUE"""),"6")</f>
        <v>6</v>
      </c>
      <c r="V1395" s="6" t="str">
        <f>IFERROR(__xludf.DUMMYFUNCTION("""COMPUTED_VALUE"""),"English")</f>
        <v>English</v>
      </c>
      <c r="W1395" s="6" t="str">
        <f>IFERROR(__xludf.DUMMYFUNCTION("""COMPUTED_VALUE"""),"[]")</f>
        <v>[]</v>
      </c>
      <c r="X1395" s="6" t="str">
        <f>IFERROR(__xludf.DUMMYFUNCTION("""COMPUTED_VALUE"""),"Enrolled")</f>
        <v>Enrolled</v>
      </c>
    </row>
    <row r="1396">
      <c r="A1396" s="6" t="str">
        <f>IFERROR(__xludf.DUMMYFUNCTION("""COMPUTED_VALUE"""),"009-1652")</f>
        <v>009-1652</v>
      </c>
      <c r="B1396" s="6" t="str">
        <f>IFERROR(__xludf.DUMMYFUNCTION("""COMPUTED_VALUE"""),"9")</f>
        <v>9</v>
      </c>
      <c r="C1396" s="6" t="str">
        <f>IFERROR(__xludf.DUMMYFUNCTION("""COMPUTED_VALUE"""),"1652")</f>
        <v>1652</v>
      </c>
      <c r="D1396" s="6" t="str">
        <f>IFERROR(__xludf.DUMMYFUNCTION("""COMPUTED_VALUE"""),"Volkov")</f>
        <v>Volkov</v>
      </c>
      <c r="E1396" s="6" t="str">
        <f>IFERROR(__xludf.DUMMYFUNCTION("""COMPUTED_VALUE"""),"")</f>
        <v/>
      </c>
      <c r="F1396" s="6" t="str">
        <f>IFERROR(__xludf.DUMMYFUNCTION("""COMPUTED_VALUE"""),"Mykhailo")</f>
        <v>Mykhailo</v>
      </c>
      <c r="G1396" s="6" t="str">
        <f>IFERROR(__xludf.DUMMYFUNCTION("""COMPUTED_VALUE"""),"01/01/2017")</f>
        <v>01/01/2017</v>
      </c>
      <c r="H1396" s="6" t="str">
        <f>IFERROR(__xludf.DUMMYFUNCTION("""COMPUTED_VALUE"""),"Self Identify")</f>
        <v>Self Identify</v>
      </c>
      <c r="I1396" s="6" t="str">
        <f>IFERROR(__xludf.DUMMYFUNCTION("""COMPUTED_VALUE"""),"Level 1")</f>
        <v>Level 1</v>
      </c>
      <c r="J1396" s="6" t="str">
        <f>IFERROR(__xludf.DUMMYFUNCTION("""COMPUTED_VALUE"""),"2")</f>
        <v>2</v>
      </c>
      <c r="K1396" s="6" t="str">
        <f>IFERROR(__xludf.DUMMYFUNCTION("""COMPUTED_VALUE"""),"volkov.mykhailo@2hourlearning.com")</f>
        <v>volkov.mykhailo@2hourlearning.com</v>
      </c>
      <c r="L1396" s="6" t="str">
        <f>IFERROR(__xludf.DUMMYFUNCTION("""COMPUTED_VALUE"""),"Learn and Earn Poland")</f>
        <v>Learn and Earn Poland</v>
      </c>
      <c r="M1396" s="6" t="str">
        <f>IFERROR(__xludf.DUMMYFUNCTION("""COMPUTED_VALUE"""),"Budapest ex-GTS")</f>
        <v>Budapest ex-GTS</v>
      </c>
      <c r="N1396" s="6" t="str">
        <f>IFERROR(__xludf.DUMMYFUNCTION("""COMPUTED_VALUE"""),"")</f>
        <v/>
      </c>
      <c r="O1396" s="87" t="str">
        <f>IFERROR(__xludf.DUMMYFUNCTION("""COMPUTED_VALUE"""),"https://drive.google.com/drive/folders/10T2cTQHqEJZqE-st6uFKPoI?usp=share_link")</f>
        <v>https://drive.google.com/drive/folders/10T2cTQHqEJZqE-st6uFKPoI?usp=share_link</v>
      </c>
      <c r="P1396" s="6" t="str">
        <f>IFERROR(__xludf.DUMMYFUNCTION("""COMPUTED_VALUE"""),"Volkov Mykhailo")</f>
        <v>Volkov Mykhailo</v>
      </c>
      <c r="Q1396" s="6" t="str">
        <f>IFERROR(__xludf.DUMMYFUNCTION("""COMPUTED_VALUE"""),"L1")</f>
        <v>L1</v>
      </c>
      <c r="R1396" s="6">
        <f>IFERROR(__xludf.DUMMYFUNCTION("""COMPUTED_VALUE"""),1.0)</f>
        <v>1</v>
      </c>
      <c r="S1396" s="6" t="str">
        <f>IFERROR(__xludf.DUMMYFUNCTION("""COMPUTED_VALUE""")," ")</f>
        <v> </v>
      </c>
      <c r="T1396" s="6" t="str">
        <f>IFERROR(__xludf.DUMMYFUNCTION("""COMPUTED_VALUE"""),"")</f>
        <v/>
      </c>
      <c r="U1396" s="6" t="str">
        <f>IFERROR(__xludf.DUMMYFUNCTION("""COMPUTED_VALUE"""),"2")</f>
        <v>2</v>
      </c>
      <c r="V1396" s="6" t="str">
        <f>IFERROR(__xludf.DUMMYFUNCTION("""COMPUTED_VALUE"""),"English")</f>
        <v>English</v>
      </c>
      <c r="W1396" s="6" t="str">
        <f>IFERROR(__xludf.DUMMYFUNCTION("""COMPUTED_VALUE"""),"[]")</f>
        <v>[]</v>
      </c>
      <c r="X1396" s="6" t="str">
        <f>IFERROR(__xludf.DUMMYFUNCTION("""COMPUTED_VALUE"""),"Enrolled")</f>
        <v>Enrolled</v>
      </c>
    </row>
    <row r="1397">
      <c r="A1397" s="6" t="str">
        <f>IFERROR(__xludf.DUMMYFUNCTION("""COMPUTED_VALUE"""),"009-1653")</f>
        <v>009-1653</v>
      </c>
      <c r="B1397" s="6" t="str">
        <f>IFERROR(__xludf.DUMMYFUNCTION("""COMPUTED_VALUE"""),"9")</f>
        <v>9</v>
      </c>
      <c r="C1397" s="6" t="str">
        <f>IFERROR(__xludf.DUMMYFUNCTION("""COMPUTED_VALUE"""),"1653")</f>
        <v>1653</v>
      </c>
      <c r="D1397" s="6" t="str">
        <f>IFERROR(__xludf.DUMMYFUNCTION("""COMPUTED_VALUE"""),"Kiril")</f>
        <v>Kiril</v>
      </c>
      <c r="E1397" s="6" t="str">
        <f>IFERROR(__xludf.DUMMYFUNCTION("""COMPUTED_VALUE"""),"")</f>
        <v/>
      </c>
      <c r="F1397" s="6" t="str">
        <f>IFERROR(__xludf.DUMMYFUNCTION("""COMPUTED_VALUE"""),"Kotlyar")</f>
        <v>Kotlyar</v>
      </c>
      <c r="G1397" s="6" t="str">
        <f>IFERROR(__xludf.DUMMYFUNCTION("""COMPUTED_VALUE"""),"01/01/2014")</f>
        <v>01/01/2014</v>
      </c>
      <c r="H1397" s="6" t="str">
        <f>IFERROR(__xludf.DUMMYFUNCTION("""COMPUTED_VALUE"""),"Self Identify")</f>
        <v>Self Identify</v>
      </c>
      <c r="I1397" s="6" t="str">
        <f>IFERROR(__xludf.DUMMYFUNCTION("""COMPUTED_VALUE"""),"Level 2")</f>
        <v>Level 2</v>
      </c>
      <c r="J1397" s="6" t="str">
        <f>IFERROR(__xludf.DUMMYFUNCTION("""COMPUTED_VALUE"""),"5")</f>
        <v>5</v>
      </c>
      <c r="K1397" s="6" t="str">
        <f>IFERROR(__xludf.DUMMYFUNCTION("""COMPUTED_VALUE"""),"kiril.kotlyar@2hourlearning.com")</f>
        <v>kiril.kotlyar@2hourlearning.com</v>
      </c>
      <c r="L1397" s="6" t="str">
        <f>IFERROR(__xludf.DUMMYFUNCTION("""COMPUTED_VALUE"""),"Learn and Earn Poland")</f>
        <v>Learn and Earn Poland</v>
      </c>
      <c r="M1397" s="6" t="str">
        <f>IFERROR(__xludf.DUMMYFUNCTION("""COMPUTED_VALUE"""),"Budapest Alpha")</f>
        <v>Budapest Alpha</v>
      </c>
      <c r="N1397" s="6" t="str">
        <f>IFERROR(__xludf.DUMMYFUNCTION("""COMPUTED_VALUE"""),"")</f>
        <v/>
      </c>
      <c r="O1397" s="87" t="str">
        <f>IFERROR(__xludf.DUMMYFUNCTION("""COMPUTED_VALUE"""),"https://drive.google.com/drive/folders/10T2cTQHqEJZqE-st6uFKPoI?usp=share_link")</f>
        <v>https://drive.google.com/drive/folders/10T2cTQHqEJZqE-st6uFKPoI?usp=share_link</v>
      </c>
      <c r="P1397" s="6" t="str">
        <f>IFERROR(__xludf.DUMMYFUNCTION("""COMPUTED_VALUE"""),"Kiril Kotlyar")</f>
        <v>Kiril Kotlyar</v>
      </c>
      <c r="Q1397" s="6" t="str">
        <f>IFERROR(__xludf.DUMMYFUNCTION("""COMPUTED_VALUE"""),"L2")</f>
        <v>L2</v>
      </c>
      <c r="R1397" s="6">
        <f>IFERROR(__xludf.DUMMYFUNCTION("""COMPUTED_VALUE"""),2.0)</f>
        <v>2</v>
      </c>
      <c r="S1397" s="6" t="str">
        <f>IFERROR(__xludf.DUMMYFUNCTION("""COMPUTED_VALUE""")," ")</f>
        <v> </v>
      </c>
      <c r="T1397" s="6" t="str">
        <f>IFERROR(__xludf.DUMMYFUNCTION("""COMPUTED_VALUE"""),"")</f>
        <v/>
      </c>
      <c r="U1397" s="6" t="str">
        <f>IFERROR(__xludf.DUMMYFUNCTION("""COMPUTED_VALUE"""),"5")</f>
        <v>5</v>
      </c>
      <c r="V1397" s="6" t="str">
        <f>IFERROR(__xludf.DUMMYFUNCTION("""COMPUTED_VALUE"""),"English")</f>
        <v>English</v>
      </c>
      <c r="W1397" s="6" t="str">
        <f>IFERROR(__xludf.DUMMYFUNCTION("""COMPUTED_VALUE"""),"[]")</f>
        <v>[]</v>
      </c>
      <c r="X1397" s="6" t="str">
        <f>IFERROR(__xludf.DUMMYFUNCTION("""COMPUTED_VALUE"""),"Enrolled")</f>
        <v>Enrolled</v>
      </c>
    </row>
    <row r="1398">
      <c r="A1398" s="6" t="str">
        <f>IFERROR(__xludf.DUMMYFUNCTION("""COMPUTED_VALUE"""),"009-1654")</f>
        <v>009-1654</v>
      </c>
      <c r="B1398" s="6" t="str">
        <f>IFERROR(__xludf.DUMMYFUNCTION("""COMPUTED_VALUE"""),"9")</f>
        <v>9</v>
      </c>
      <c r="C1398" s="6" t="str">
        <f>IFERROR(__xludf.DUMMYFUNCTION("""COMPUTED_VALUE"""),"1654")</f>
        <v>1654</v>
      </c>
      <c r="D1398" s="6" t="str">
        <f>IFERROR(__xludf.DUMMYFUNCTION("""COMPUTED_VALUE"""),"Mark")</f>
        <v>Mark</v>
      </c>
      <c r="E1398" s="6" t="str">
        <f>IFERROR(__xludf.DUMMYFUNCTION("""COMPUTED_VALUE"""),"")</f>
        <v/>
      </c>
      <c r="F1398" s="6" t="str">
        <f>IFERROR(__xludf.DUMMYFUNCTION("""COMPUTED_VALUE"""),"Lisniak")</f>
        <v>Lisniak</v>
      </c>
      <c r="G1398" s="6" t="str">
        <f>IFERROR(__xludf.DUMMYFUNCTION("""COMPUTED_VALUE"""),"01/01/2007")</f>
        <v>01/01/2007</v>
      </c>
      <c r="H1398" s="6" t="str">
        <f>IFERROR(__xludf.DUMMYFUNCTION("""COMPUTED_VALUE"""),"Self Identify")</f>
        <v>Self Identify</v>
      </c>
      <c r="I1398" s="6" t="str">
        <f>IFERROR(__xludf.DUMMYFUNCTION("""COMPUTED_VALUE"""),"High School")</f>
        <v>High School</v>
      </c>
      <c r="J1398" s="6" t="str">
        <f>IFERROR(__xludf.DUMMYFUNCTION("""COMPUTED_VALUE"""),"12")</f>
        <v>12</v>
      </c>
      <c r="K1398" s="6" t="str">
        <f>IFERROR(__xludf.DUMMYFUNCTION("""COMPUTED_VALUE"""),"mark.lisniak@2hourlearning.com")</f>
        <v>mark.lisniak@2hourlearning.com</v>
      </c>
      <c r="L1398" s="6" t="str">
        <f>IFERROR(__xludf.DUMMYFUNCTION("""COMPUTED_VALUE"""),"Learn and Earn Poland")</f>
        <v>Learn and Earn Poland</v>
      </c>
      <c r="M1398" s="6" t="str">
        <f>IFERROR(__xludf.DUMMYFUNCTION("""COMPUTED_VALUE"""),"Budapest Alpha")</f>
        <v>Budapest Alpha</v>
      </c>
      <c r="N1398" s="6" t="str">
        <f>IFERROR(__xludf.DUMMYFUNCTION("""COMPUTED_VALUE"""),"")</f>
        <v/>
      </c>
      <c r="O1398" s="87" t="str">
        <f>IFERROR(__xludf.DUMMYFUNCTION("""COMPUTED_VALUE"""),"https://drive.google.com/drive/folders/10T2cTQHqEJZqE-st6uFKPoI?usp=share_link")</f>
        <v>https://drive.google.com/drive/folders/10T2cTQHqEJZqE-st6uFKPoI?usp=share_link</v>
      </c>
      <c r="P1398" s="6" t="str">
        <f>IFERROR(__xludf.DUMMYFUNCTION("""COMPUTED_VALUE"""),"Mark Lisniak")</f>
        <v>Mark Lisniak</v>
      </c>
      <c r="Q1398" s="6" t="str">
        <f>IFERROR(__xludf.DUMMYFUNCTION("""COMPUTED_VALUE"""),"HS")</f>
        <v>HS</v>
      </c>
      <c r="R1398" s="6">
        <f>IFERROR(__xludf.DUMMYFUNCTION("""COMPUTED_VALUE"""),0.0)</f>
        <v>0</v>
      </c>
      <c r="S1398" s="6" t="str">
        <f>IFERROR(__xludf.DUMMYFUNCTION("""COMPUTED_VALUE""")," ")</f>
        <v> </v>
      </c>
      <c r="T1398" s="6" t="str">
        <f>IFERROR(__xludf.DUMMYFUNCTION("""COMPUTED_VALUE"""),"")</f>
        <v/>
      </c>
      <c r="U1398" s="6" t="str">
        <f>IFERROR(__xludf.DUMMYFUNCTION("""COMPUTED_VALUE"""),"12")</f>
        <v>12</v>
      </c>
      <c r="V1398" s="6" t="str">
        <f>IFERROR(__xludf.DUMMYFUNCTION("""COMPUTED_VALUE"""),"English")</f>
        <v>English</v>
      </c>
      <c r="W1398" s="6" t="str">
        <f>IFERROR(__xludf.DUMMYFUNCTION("""COMPUTED_VALUE"""),"[]")</f>
        <v>[]</v>
      </c>
      <c r="X1398" s="6" t="str">
        <f>IFERROR(__xludf.DUMMYFUNCTION("""COMPUTED_VALUE"""),"Enrolled")</f>
        <v>Enrolled</v>
      </c>
    </row>
    <row r="1399">
      <c r="A1399" s="6" t="str">
        <f>IFERROR(__xludf.DUMMYFUNCTION("""COMPUTED_VALUE"""),"009-1655")</f>
        <v>009-1655</v>
      </c>
      <c r="B1399" s="6" t="str">
        <f>IFERROR(__xludf.DUMMYFUNCTION("""COMPUTED_VALUE"""),"9")</f>
        <v>9</v>
      </c>
      <c r="C1399" s="6" t="str">
        <f>IFERROR(__xludf.DUMMYFUNCTION("""COMPUTED_VALUE"""),"1655")</f>
        <v>1655</v>
      </c>
      <c r="D1399" s="6" t="str">
        <f>IFERROR(__xludf.DUMMYFUNCTION("""COMPUTED_VALUE"""),"Hlobenko")</f>
        <v>Hlobenko</v>
      </c>
      <c r="E1399" s="6" t="str">
        <f>IFERROR(__xludf.DUMMYFUNCTION("""COMPUTED_VALUE"""),"")</f>
        <v/>
      </c>
      <c r="F1399" s="6" t="str">
        <f>IFERROR(__xludf.DUMMYFUNCTION("""COMPUTED_VALUE"""),"Polina")</f>
        <v>Polina</v>
      </c>
      <c r="G1399" s="6" t="str">
        <f>IFERROR(__xludf.DUMMYFUNCTION("""COMPUTED_VALUE"""),"01/01/2014")</f>
        <v>01/01/2014</v>
      </c>
      <c r="H1399" s="6" t="str">
        <f>IFERROR(__xludf.DUMMYFUNCTION("""COMPUTED_VALUE"""),"Self Identify")</f>
        <v>Self Identify</v>
      </c>
      <c r="I1399" s="6" t="str">
        <f>IFERROR(__xludf.DUMMYFUNCTION("""COMPUTED_VALUE"""),"Level 2")</f>
        <v>Level 2</v>
      </c>
      <c r="J1399" s="6" t="str">
        <f>IFERROR(__xludf.DUMMYFUNCTION("""COMPUTED_VALUE"""),"5")</f>
        <v>5</v>
      </c>
      <c r="K1399" s="6" t="str">
        <f>IFERROR(__xludf.DUMMYFUNCTION("""COMPUTED_VALUE"""),"hlobenko.polina@2hourlearning.com")</f>
        <v>hlobenko.polina@2hourlearning.com</v>
      </c>
      <c r="L1399" s="6" t="str">
        <f>IFERROR(__xludf.DUMMYFUNCTION("""COMPUTED_VALUE"""),"Learn and Earn Poland")</f>
        <v>Learn and Earn Poland</v>
      </c>
      <c r="M1399" s="6" t="str">
        <f>IFERROR(__xludf.DUMMYFUNCTION("""COMPUTED_VALUE"""),"Budapest Alpha")</f>
        <v>Budapest Alpha</v>
      </c>
      <c r="N1399" s="6" t="str">
        <f>IFERROR(__xludf.DUMMYFUNCTION("""COMPUTED_VALUE"""),"")</f>
        <v/>
      </c>
      <c r="O1399" s="87" t="str">
        <f>IFERROR(__xludf.DUMMYFUNCTION("""COMPUTED_VALUE"""),"https://drive.google.com/drive/folders/10T2cTQHqEJZqE-st6uFKPoI?usp=share_link")</f>
        <v>https://drive.google.com/drive/folders/10T2cTQHqEJZqE-st6uFKPoI?usp=share_link</v>
      </c>
      <c r="P1399" s="6" t="str">
        <f>IFERROR(__xludf.DUMMYFUNCTION("""COMPUTED_VALUE"""),"Hlobenko Polina")</f>
        <v>Hlobenko Polina</v>
      </c>
      <c r="Q1399" s="6" t="str">
        <f>IFERROR(__xludf.DUMMYFUNCTION("""COMPUTED_VALUE"""),"L2")</f>
        <v>L2</v>
      </c>
      <c r="R1399" s="6">
        <f>IFERROR(__xludf.DUMMYFUNCTION("""COMPUTED_VALUE"""),2.0)</f>
        <v>2</v>
      </c>
      <c r="S1399" s="6" t="str">
        <f>IFERROR(__xludf.DUMMYFUNCTION("""COMPUTED_VALUE""")," ")</f>
        <v> </v>
      </c>
      <c r="T1399" s="6" t="str">
        <f>IFERROR(__xludf.DUMMYFUNCTION("""COMPUTED_VALUE"""),"")</f>
        <v/>
      </c>
      <c r="U1399" s="6" t="str">
        <f>IFERROR(__xludf.DUMMYFUNCTION("""COMPUTED_VALUE"""),"5")</f>
        <v>5</v>
      </c>
      <c r="V1399" s="6" t="str">
        <f>IFERROR(__xludf.DUMMYFUNCTION("""COMPUTED_VALUE"""),"English")</f>
        <v>English</v>
      </c>
      <c r="W1399" s="6" t="str">
        <f>IFERROR(__xludf.DUMMYFUNCTION("""COMPUTED_VALUE"""),"[]")</f>
        <v>[]</v>
      </c>
      <c r="X1399" s="6" t="str">
        <f>IFERROR(__xludf.DUMMYFUNCTION("""COMPUTED_VALUE"""),"Enrolled")</f>
        <v>Enrolled</v>
      </c>
    </row>
    <row r="1400">
      <c r="A1400" s="6" t="str">
        <f>IFERROR(__xludf.DUMMYFUNCTION("""COMPUTED_VALUE"""),"009-1656")</f>
        <v>009-1656</v>
      </c>
      <c r="B1400" s="6" t="str">
        <f>IFERROR(__xludf.DUMMYFUNCTION("""COMPUTED_VALUE"""),"9")</f>
        <v>9</v>
      </c>
      <c r="C1400" s="6" t="str">
        <f>IFERROR(__xludf.DUMMYFUNCTION("""COMPUTED_VALUE"""),"1656")</f>
        <v>1656</v>
      </c>
      <c r="D1400" s="6" t="str">
        <f>IFERROR(__xludf.DUMMYFUNCTION("""COMPUTED_VALUE"""),"Danil")</f>
        <v>Danil</v>
      </c>
      <c r="E1400" s="6" t="str">
        <f>IFERROR(__xludf.DUMMYFUNCTION("""COMPUTED_VALUE"""),"")</f>
        <v/>
      </c>
      <c r="F1400" s="6" t="str">
        <f>IFERROR(__xludf.DUMMYFUNCTION("""COMPUTED_VALUE"""),"Seleznev")</f>
        <v>Seleznev</v>
      </c>
      <c r="G1400" s="6" t="str">
        <f>IFERROR(__xludf.DUMMYFUNCTION("""COMPUTED_VALUE"""),"01/01/2017")</f>
        <v>01/01/2017</v>
      </c>
      <c r="H1400" s="6" t="str">
        <f>IFERROR(__xludf.DUMMYFUNCTION("""COMPUTED_VALUE"""),"Self Identify")</f>
        <v>Self Identify</v>
      </c>
      <c r="I1400" s="6" t="str">
        <f>IFERROR(__xludf.DUMMYFUNCTION("""COMPUTED_VALUE"""),"Level 1")</f>
        <v>Level 1</v>
      </c>
      <c r="J1400" s="6" t="str">
        <f>IFERROR(__xludf.DUMMYFUNCTION("""COMPUTED_VALUE"""),"2")</f>
        <v>2</v>
      </c>
      <c r="K1400" s="6" t="str">
        <f>IFERROR(__xludf.DUMMYFUNCTION("""COMPUTED_VALUE"""),"danil.seleznev@2hourlearning.com")</f>
        <v>danil.seleznev@2hourlearning.com</v>
      </c>
      <c r="L1400" s="6" t="str">
        <f>IFERROR(__xludf.DUMMYFUNCTION("""COMPUTED_VALUE"""),"Learn and Earn Poland")</f>
        <v>Learn and Earn Poland</v>
      </c>
      <c r="M1400" s="6" t="str">
        <f>IFERROR(__xludf.DUMMYFUNCTION("""COMPUTED_VALUE"""),"Budapest ex-GTS")</f>
        <v>Budapest ex-GTS</v>
      </c>
      <c r="N1400" s="6" t="str">
        <f>IFERROR(__xludf.DUMMYFUNCTION("""COMPUTED_VALUE"""),"")</f>
        <v/>
      </c>
      <c r="O1400" s="87" t="str">
        <f>IFERROR(__xludf.DUMMYFUNCTION("""COMPUTED_VALUE"""),"https://drive.google.com/drive/folders/10T2cTQHqEJZqE-st6uFKPoI?usp=share_link")</f>
        <v>https://drive.google.com/drive/folders/10T2cTQHqEJZqE-st6uFKPoI?usp=share_link</v>
      </c>
      <c r="P1400" s="6" t="str">
        <f>IFERROR(__xludf.DUMMYFUNCTION("""COMPUTED_VALUE"""),"Danil Seleznev")</f>
        <v>Danil Seleznev</v>
      </c>
      <c r="Q1400" s="6" t="str">
        <f>IFERROR(__xludf.DUMMYFUNCTION("""COMPUTED_VALUE"""),"L1")</f>
        <v>L1</v>
      </c>
      <c r="R1400" s="6">
        <f>IFERROR(__xludf.DUMMYFUNCTION("""COMPUTED_VALUE"""),1.0)</f>
        <v>1</v>
      </c>
      <c r="S1400" s="6" t="str">
        <f>IFERROR(__xludf.DUMMYFUNCTION("""COMPUTED_VALUE""")," ")</f>
        <v> </v>
      </c>
      <c r="T1400" s="6" t="str">
        <f>IFERROR(__xludf.DUMMYFUNCTION("""COMPUTED_VALUE"""),"")</f>
        <v/>
      </c>
      <c r="U1400" s="6" t="str">
        <f>IFERROR(__xludf.DUMMYFUNCTION("""COMPUTED_VALUE"""),"2")</f>
        <v>2</v>
      </c>
      <c r="V1400" s="6" t="str">
        <f>IFERROR(__xludf.DUMMYFUNCTION("""COMPUTED_VALUE"""),"English")</f>
        <v>English</v>
      </c>
      <c r="W1400" s="6" t="str">
        <f>IFERROR(__xludf.DUMMYFUNCTION("""COMPUTED_VALUE"""),"[]")</f>
        <v>[]</v>
      </c>
      <c r="X1400" s="6" t="str">
        <f>IFERROR(__xludf.DUMMYFUNCTION("""COMPUTED_VALUE"""),"Enrolled")</f>
        <v>Enrolled</v>
      </c>
    </row>
    <row r="1401">
      <c r="A1401" s="6" t="str">
        <f>IFERROR(__xludf.DUMMYFUNCTION("""COMPUTED_VALUE"""),"009-1657")</f>
        <v>009-1657</v>
      </c>
      <c r="B1401" s="6" t="str">
        <f>IFERROR(__xludf.DUMMYFUNCTION("""COMPUTED_VALUE"""),"9")</f>
        <v>9</v>
      </c>
      <c r="C1401" s="6" t="str">
        <f>IFERROR(__xludf.DUMMYFUNCTION("""COMPUTED_VALUE"""),"1657")</f>
        <v>1657</v>
      </c>
      <c r="D1401" s="6" t="str">
        <f>IFERROR(__xludf.DUMMYFUNCTION("""COMPUTED_VALUE"""),"Yaroslav")</f>
        <v>Yaroslav</v>
      </c>
      <c r="E1401" s="6" t="str">
        <f>IFERROR(__xludf.DUMMYFUNCTION("""COMPUTED_VALUE"""),"")</f>
        <v/>
      </c>
      <c r="F1401" s="6" t="str">
        <f>IFERROR(__xludf.DUMMYFUNCTION("""COMPUTED_VALUE"""),"Perevierziev")</f>
        <v>Perevierziev</v>
      </c>
      <c r="G1401" s="6" t="str">
        <f>IFERROR(__xludf.DUMMYFUNCTION("""COMPUTED_VALUE"""),"01/01/2017")</f>
        <v>01/01/2017</v>
      </c>
      <c r="H1401" s="6" t="str">
        <f>IFERROR(__xludf.DUMMYFUNCTION("""COMPUTED_VALUE"""),"Self Identify")</f>
        <v>Self Identify</v>
      </c>
      <c r="I1401" s="6" t="str">
        <f>IFERROR(__xludf.DUMMYFUNCTION("""COMPUTED_VALUE"""),"Level 1")</f>
        <v>Level 1</v>
      </c>
      <c r="J1401" s="6" t="str">
        <f>IFERROR(__xludf.DUMMYFUNCTION("""COMPUTED_VALUE"""),"2")</f>
        <v>2</v>
      </c>
      <c r="K1401" s="6" t="str">
        <f>IFERROR(__xludf.DUMMYFUNCTION("""COMPUTED_VALUE"""),"yaroslav.perevierziev@2hourlearning.com")</f>
        <v>yaroslav.perevierziev@2hourlearning.com</v>
      </c>
      <c r="L1401" s="6" t="str">
        <f>IFERROR(__xludf.DUMMYFUNCTION("""COMPUTED_VALUE"""),"Learn and Earn Poland")</f>
        <v>Learn and Earn Poland</v>
      </c>
      <c r="M1401" s="6" t="str">
        <f>IFERROR(__xludf.DUMMYFUNCTION("""COMPUTED_VALUE"""),"Budapest Alpha")</f>
        <v>Budapest Alpha</v>
      </c>
      <c r="N1401" s="6" t="str">
        <f>IFERROR(__xludf.DUMMYFUNCTION("""COMPUTED_VALUE"""),"")</f>
        <v/>
      </c>
      <c r="O1401" s="87" t="str">
        <f>IFERROR(__xludf.DUMMYFUNCTION("""COMPUTED_VALUE"""),"https://drive.google.com/drive/folders/10T2cTQHqEJZqE-st6uFKPoI?usp=share_link")</f>
        <v>https://drive.google.com/drive/folders/10T2cTQHqEJZqE-st6uFKPoI?usp=share_link</v>
      </c>
      <c r="P1401" s="6" t="str">
        <f>IFERROR(__xludf.DUMMYFUNCTION("""COMPUTED_VALUE"""),"Yaroslav Perevierziev")</f>
        <v>Yaroslav Perevierziev</v>
      </c>
      <c r="Q1401" s="6" t="str">
        <f>IFERROR(__xludf.DUMMYFUNCTION("""COMPUTED_VALUE"""),"L1")</f>
        <v>L1</v>
      </c>
      <c r="R1401" s="6">
        <f>IFERROR(__xludf.DUMMYFUNCTION("""COMPUTED_VALUE"""),1.0)</f>
        <v>1</v>
      </c>
      <c r="S1401" s="6" t="str">
        <f>IFERROR(__xludf.DUMMYFUNCTION("""COMPUTED_VALUE""")," ")</f>
        <v> </v>
      </c>
      <c r="T1401" s="6" t="str">
        <f>IFERROR(__xludf.DUMMYFUNCTION("""COMPUTED_VALUE"""),"")</f>
        <v/>
      </c>
      <c r="U1401" s="6" t="str">
        <f>IFERROR(__xludf.DUMMYFUNCTION("""COMPUTED_VALUE"""),"2")</f>
        <v>2</v>
      </c>
      <c r="V1401" s="6" t="str">
        <f>IFERROR(__xludf.DUMMYFUNCTION("""COMPUTED_VALUE"""),"English")</f>
        <v>English</v>
      </c>
      <c r="W1401" s="6" t="str">
        <f>IFERROR(__xludf.DUMMYFUNCTION("""COMPUTED_VALUE"""),"[]")</f>
        <v>[]</v>
      </c>
      <c r="X1401" s="6" t="str">
        <f>IFERROR(__xludf.DUMMYFUNCTION("""COMPUTED_VALUE"""),"Enrolled")</f>
        <v>Enrolled</v>
      </c>
    </row>
    <row r="1402">
      <c r="A1402" s="6" t="str">
        <f>IFERROR(__xludf.DUMMYFUNCTION("""COMPUTED_VALUE"""),"009-1658")</f>
        <v>009-1658</v>
      </c>
      <c r="B1402" s="6" t="str">
        <f>IFERROR(__xludf.DUMMYFUNCTION("""COMPUTED_VALUE"""),"9")</f>
        <v>9</v>
      </c>
      <c r="C1402" s="6" t="str">
        <f>IFERROR(__xludf.DUMMYFUNCTION("""COMPUTED_VALUE"""),"1658")</f>
        <v>1658</v>
      </c>
      <c r="D1402" s="6" t="str">
        <f>IFERROR(__xludf.DUMMYFUNCTION("""COMPUTED_VALUE"""),"Ihor")</f>
        <v>Ihor</v>
      </c>
      <c r="E1402" s="6" t="str">
        <f>IFERROR(__xludf.DUMMYFUNCTION("""COMPUTED_VALUE"""),"")</f>
        <v/>
      </c>
      <c r="F1402" s="6" t="str">
        <f>IFERROR(__xludf.DUMMYFUNCTION("""COMPUTED_VALUE"""),"Zakharov")</f>
        <v>Zakharov</v>
      </c>
      <c r="G1402" s="6" t="str">
        <f>IFERROR(__xludf.DUMMYFUNCTION("""COMPUTED_VALUE"""),"01/01/2011")</f>
        <v>01/01/2011</v>
      </c>
      <c r="H1402" s="6" t="str">
        <f>IFERROR(__xludf.DUMMYFUNCTION("""COMPUTED_VALUE"""),"Self Identify")</f>
        <v>Self Identify</v>
      </c>
      <c r="I1402" s="6" t="str">
        <f>IFERROR(__xludf.DUMMYFUNCTION("""COMPUTED_VALUE"""),"Middle School")</f>
        <v>Middle School</v>
      </c>
      <c r="J1402" s="6" t="str">
        <f>IFERROR(__xludf.DUMMYFUNCTION("""COMPUTED_VALUE"""),"8")</f>
        <v>8</v>
      </c>
      <c r="K1402" s="6" t="str">
        <f>IFERROR(__xludf.DUMMYFUNCTION("""COMPUTED_VALUE"""),"ihor.zakharov@2hourlearning.com")</f>
        <v>ihor.zakharov@2hourlearning.com</v>
      </c>
      <c r="L1402" s="6" t="str">
        <f>IFERROR(__xludf.DUMMYFUNCTION("""COMPUTED_VALUE"""),"Learn and Earn Poland")</f>
        <v>Learn and Earn Poland</v>
      </c>
      <c r="M1402" s="6" t="str">
        <f>IFERROR(__xludf.DUMMYFUNCTION("""COMPUTED_VALUE"""),"Budapest ex-GTS")</f>
        <v>Budapest ex-GTS</v>
      </c>
      <c r="N1402" s="6" t="str">
        <f>IFERROR(__xludf.DUMMYFUNCTION("""COMPUTED_VALUE"""),"")</f>
        <v/>
      </c>
      <c r="O1402" s="87" t="str">
        <f>IFERROR(__xludf.DUMMYFUNCTION("""COMPUTED_VALUE"""),"https://drive.google.com/drive/folders/10T2cTQHqEJZqE-st6uFKPoI?usp=share_link")</f>
        <v>https://drive.google.com/drive/folders/10T2cTQHqEJZqE-st6uFKPoI?usp=share_link</v>
      </c>
      <c r="P1402" s="6" t="str">
        <f>IFERROR(__xludf.DUMMYFUNCTION("""COMPUTED_VALUE"""),"Ihor Zakharov")</f>
        <v>Ihor Zakharov</v>
      </c>
      <c r="Q1402" s="6" t="str">
        <f>IFERROR(__xludf.DUMMYFUNCTION("""COMPUTED_VALUE"""),"MS")</f>
        <v>MS</v>
      </c>
      <c r="R1402" s="6">
        <f>IFERROR(__xludf.DUMMYFUNCTION("""COMPUTED_VALUE"""),0.0)</f>
        <v>0</v>
      </c>
      <c r="S1402" s="6" t="str">
        <f>IFERROR(__xludf.DUMMYFUNCTION("""COMPUTED_VALUE""")," ")</f>
        <v> </v>
      </c>
      <c r="T1402" s="6" t="str">
        <f>IFERROR(__xludf.DUMMYFUNCTION("""COMPUTED_VALUE"""),"")</f>
        <v/>
      </c>
      <c r="U1402" s="6" t="str">
        <f>IFERROR(__xludf.DUMMYFUNCTION("""COMPUTED_VALUE"""),"8")</f>
        <v>8</v>
      </c>
      <c r="V1402" s="6" t="str">
        <f>IFERROR(__xludf.DUMMYFUNCTION("""COMPUTED_VALUE"""),"English")</f>
        <v>English</v>
      </c>
      <c r="W1402" s="6" t="str">
        <f>IFERROR(__xludf.DUMMYFUNCTION("""COMPUTED_VALUE"""),"[]")</f>
        <v>[]</v>
      </c>
      <c r="X1402" s="6" t="str">
        <f>IFERROR(__xludf.DUMMYFUNCTION("""COMPUTED_VALUE"""),"Enrolled")</f>
        <v>Enrolled</v>
      </c>
    </row>
    <row r="1403">
      <c r="A1403" s="6" t="str">
        <f>IFERROR(__xludf.DUMMYFUNCTION("""COMPUTED_VALUE"""),"009-1659")</f>
        <v>009-1659</v>
      </c>
      <c r="B1403" s="6" t="str">
        <f>IFERROR(__xludf.DUMMYFUNCTION("""COMPUTED_VALUE"""),"9")</f>
        <v>9</v>
      </c>
      <c r="C1403" s="6" t="str">
        <f>IFERROR(__xludf.DUMMYFUNCTION("""COMPUTED_VALUE"""),"1659")</f>
        <v>1659</v>
      </c>
      <c r="D1403" s="6" t="str">
        <f>IFERROR(__xludf.DUMMYFUNCTION("""COMPUTED_VALUE"""),"Volkov")</f>
        <v>Volkov</v>
      </c>
      <c r="E1403" s="6" t="str">
        <f>IFERROR(__xludf.DUMMYFUNCTION("""COMPUTED_VALUE"""),"")</f>
        <v/>
      </c>
      <c r="F1403" s="6" t="str">
        <f>IFERROR(__xludf.DUMMYFUNCTION("""COMPUTED_VALUE"""),"Egor")</f>
        <v>Egor</v>
      </c>
      <c r="G1403" s="6" t="str">
        <f>IFERROR(__xludf.DUMMYFUNCTION("""COMPUTED_VALUE"""),"01/01/2016")</f>
        <v>01/01/2016</v>
      </c>
      <c r="H1403" s="6" t="str">
        <f>IFERROR(__xludf.DUMMYFUNCTION("""COMPUTED_VALUE"""),"Self Identify")</f>
        <v>Self Identify</v>
      </c>
      <c r="I1403" s="6" t="str">
        <f>IFERROR(__xludf.DUMMYFUNCTION("""COMPUTED_VALUE"""),"Level 1")</f>
        <v>Level 1</v>
      </c>
      <c r="J1403" s="6" t="str">
        <f>IFERROR(__xludf.DUMMYFUNCTION("""COMPUTED_VALUE"""),"3")</f>
        <v>3</v>
      </c>
      <c r="K1403" s="6" t="str">
        <f>IFERROR(__xludf.DUMMYFUNCTION("""COMPUTED_VALUE"""),"volkov.egor@2hourlearning.com")</f>
        <v>volkov.egor@2hourlearning.com</v>
      </c>
      <c r="L1403" s="6" t="str">
        <f>IFERROR(__xludf.DUMMYFUNCTION("""COMPUTED_VALUE"""),"Learn and Earn Poland")</f>
        <v>Learn and Earn Poland</v>
      </c>
      <c r="M1403" s="6" t="str">
        <f>IFERROR(__xludf.DUMMYFUNCTION("""COMPUTED_VALUE"""),"Budapest ex-GTS")</f>
        <v>Budapest ex-GTS</v>
      </c>
      <c r="N1403" s="6" t="str">
        <f>IFERROR(__xludf.DUMMYFUNCTION("""COMPUTED_VALUE"""),"")</f>
        <v/>
      </c>
      <c r="O1403" s="87" t="str">
        <f>IFERROR(__xludf.DUMMYFUNCTION("""COMPUTED_VALUE"""),"https://drive.google.com/drive/folders/10T2cTQHqEJZqE-st6uFKPoI?usp=share_link")</f>
        <v>https://drive.google.com/drive/folders/10T2cTQHqEJZqE-st6uFKPoI?usp=share_link</v>
      </c>
      <c r="P1403" s="6" t="str">
        <f>IFERROR(__xludf.DUMMYFUNCTION("""COMPUTED_VALUE"""),"Volkov Egor")</f>
        <v>Volkov Egor</v>
      </c>
      <c r="Q1403" s="6" t="str">
        <f>IFERROR(__xludf.DUMMYFUNCTION("""COMPUTED_VALUE"""),"L1")</f>
        <v>L1</v>
      </c>
      <c r="R1403" s="6">
        <f>IFERROR(__xludf.DUMMYFUNCTION("""COMPUTED_VALUE"""),1.0)</f>
        <v>1</v>
      </c>
      <c r="S1403" s="6" t="str">
        <f>IFERROR(__xludf.DUMMYFUNCTION("""COMPUTED_VALUE""")," ")</f>
        <v> </v>
      </c>
      <c r="T1403" s="6" t="str">
        <f>IFERROR(__xludf.DUMMYFUNCTION("""COMPUTED_VALUE"""),"")</f>
        <v/>
      </c>
      <c r="U1403" s="6" t="str">
        <f>IFERROR(__xludf.DUMMYFUNCTION("""COMPUTED_VALUE"""),"3")</f>
        <v>3</v>
      </c>
      <c r="V1403" s="6" t="str">
        <f>IFERROR(__xludf.DUMMYFUNCTION("""COMPUTED_VALUE"""),"English")</f>
        <v>English</v>
      </c>
      <c r="W1403" s="6" t="str">
        <f>IFERROR(__xludf.DUMMYFUNCTION("""COMPUTED_VALUE"""),"[]")</f>
        <v>[]</v>
      </c>
      <c r="X1403" s="6" t="str">
        <f>IFERROR(__xludf.DUMMYFUNCTION("""COMPUTED_VALUE"""),"Enrolled")</f>
        <v>Enrolled</v>
      </c>
    </row>
    <row r="1404">
      <c r="A1404" s="6" t="str">
        <f>IFERROR(__xludf.DUMMYFUNCTION("""COMPUTED_VALUE"""),"009-1660")</f>
        <v>009-1660</v>
      </c>
      <c r="B1404" s="6" t="str">
        <f>IFERROR(__xludf.DUMMYFUNCTION("""COMPUTED_VALUE"""),"9")</f>
        <v>9</v>
      </c>
      <c r="C1404" s="6" t="str">
        <f>IFERROR(__xludf.DUMMYFUNCTION("""COMPUTED_VALUE"""),"1660")</f>
        <v>1660</v>
      </c>
      <c r="D1404" s="6" t="str">
        <f>IFERROR(__xludf.DUMMYFUNCTION("""COMPUTED_VALUE"""),"Rostyslav")</f>
        <v>Rostyslav</v>
      </c>
      <c r="E1404" s="6" t="str">
        <f>IFERROR(__xludf.DUMMYFUNCTION("""COMPUTED_VALUE"""),"")</f>
        <v/>
      </c>
      <c r="F1404" s="6" t="str">
        <f>IFERROR(__xludf.DUMMYFUNCTION("""COMPUTED_VALUE"""),"Shtodler")</f>
        <v>Shtodler</v>
      </c>
      <c r="G1404" s="6" t="str">
        <f>IFERROR(__xludf.DUMMYFUNCTION("""COMPUTED_VALUE"""),"01/01/2012")</f>
        <v>01/01/2012</v>
      </c>
      <c r="H1404" s="6" t="str">
        <f>IFERROR(__xludf.DUMMYFUNCTION("""COMPUTED_VALUE"""),"Self Identify")</f>
        <v>Self Identify</v>
      </c>
      <c r="I1404" s="6" t="str">
        <f>IFERROR(__xludf.DUMMYFUNCTION("""COMPUTED_VALUE"""),"Middle School")</f>
        <v>Middle School</v>
      </c>
      <c r="J1404" s="6" t="str">
        <f>IFERROR(__xludf.DUMMYFUNCTION("""COMPUTED_VALUE"""),"7")</f>
        <v>7</v>
      </c>
      <c r="K1404" s="6" t="str">
        <f>IFERROR(__xludf.DUMMYFUNCTION("""COMPUTED_VALUE"""),"rostyslav.shtodler@2hourlearning.com")</f>
        <v>rostyslav.shtodler@2hourlearning.com</v>
      </c>
      <c r="L1404" s="6" t="str">
        <f>IFERROR(__xludf.DUMMYFUNCTION("""COMPUTED_VALUE"""),"Learn and Earn Poland")</f>
        <v>Learn and Earn Poland</v>
      </c>
      <c r="M1404" s="6" t="str">
        <f>IFERROR(__xludf.DUMMYFUNCTION("""COMPUTED_VALUE"""),"Budapest ex-GTS")</f>
        <v>Budapest ex-GTS</v>
      </c>
      <c r="N1404" s="6" t="str">
        <f>IFERROR(__xludf.DUMMYFUNCTION("""COMPUTED_VALUE"""),"")</f>
        <v/>
      </c>
      <c r="O1404" s="87" t="str">
        <f>IFERROR(__xludf.DUMMYFUNCTION("""COMPUTED_VALUE"""),"https://drive.google.com/drive/folders/10T2cTQHqEJZqE-st6uFKPoI?usp=share_link")</f>
        <v>https://drive.google.com/drive/folders/10T2cTQHqEJZqE-st6uFKPoI?usp=share_link</v>
      </c>
      <c r="P1404" s="6" t="str">
        <f>IFERROR(__xludf.DUMMYFUNCTION("""COMPUTED_VALUE"""),"Rostyslav Shtodler")</f>
        <v>Rostyslav Shtodler</v>
      </c>
      <c r="Q1404" s="6" t="str">
        <f>IFERROR(__xludf.DUMMYFUNCTION("""COMPUTED_VALUE"""),"MS")</f>
        <v>MS</v>
      </c>
      <c r="R1404" s="6">
        <f>IFERROR(__xludf.DUMMYFUNCTION("""COMPUTED_VALUE"""),0.0)</f>
        <v>0</v>
      </c>
      <c r="S1404" s="6" t="str">
        <f>IFERROR(__xludf.DUMMYFUNCTION("""COMPUTED_VALUE""")," ")</f>
        <v> </v>
      </c>
      <c r="T1404" s="6" t="str">
        <f>IFERROR(__xludf.DUMMYFUNCTION("""COMPUTED_VALUE"""),"")</f>
        <v/>
      </c>
      <c r="U1404" s="6" t="str">
        <f>IFERROR(__xludf.DUMMYFUNCTION("""COMPUTED_VALUE"""),"7")</f>
        <v>7</v>
      </c>
      <c r="V1404" s="6" t="str">
        <f>IFERROR(__xludf.DUMMYFUNCTION("""COMPUTED_VALUE"""),"English")</f>
        <v>English</v>
      </c>
      <c r="W1404" s="6" t="str">
        <f>IFERROR(__xludf.DUMMYFUNCTION("""COMPUTED_VALUE"""),"[]")</f>
        <v>[]</v>
      </c>
      <c r="X1404" s="6" t="str">
        <f>IFERROR(__xludf.DUMMYFUNCTION("""COMPUTED_VALUE"""),"Enrolled")</f>
        <v>Enrolled</v>
      </c>
    </row>
    <row r="1405">
      <c r="A1405" s="6" t="str">
        <f>IFERROR(__xludf.DUMMYFUNCTION("""COMPUTED_VALUE"""),"009-1661")</f>
        <v>009-1661</v>
      </c>
      <c r="B1405" s="6" t="str">
        <f>IFERROR(__xludf.DUMMYFUNCTION("""COMPUTED_VALUE"""),"9")</f>
        <v>9</v>
      </c>
      <c r="C1405" s="6" t="str">
        <f>IFERROR(__xludf.DUMMYFUNCTION("""COMPUTED_VALUE"""),"1661")</f>
        <v>1661</v>
      </c>
      <c r="D1405" s="6" t="str">
        <f>IFERROR(__xludf.DUMMYFUNCTION("""COMPUTED_VALUE"""),"Daniil")</f>
        <v>Daniil</v>
      </c>
      <c r="E1405" s="6" t="str">
        <f>IFERROR(__xludf.DUMMYFUNCTION("""COMPUTED_VALUE"""),"")</f>
        <v/>
      </c>
      <c r="F1405" s="6" t="str">
        <f>IFERROR(__xludf.DUMMYFUNCTION("""COMPUTED_VALUE"""),"Haranin")</f>
        <v>Haranin</v>
      </c>
      <c r="G1405" s="6" t="str">
        <f>IFERROR(__xludf.DUMMYFUNCTION("""COMPUTED_VALUE"""),"01/01/2010")</f>
        <v>01/01/2010</v>
      </c>
      <c r="H1405" s="6" t="str">
        <f>IFERROR(__xludf.DUMMYFUNCTION("""COMPUTED_VALUE"""),"Self Identify")</f>
        <v>Self Identify</v>
      </c>
      <c r="I1405" s="6" t="str">
        <f>IFERROR(__xludf.DUMMYFUNCTION("""COMPUTED_VALUE"""),"High School")</f>
        <v>High School</v>
      </c>
      <c r="J1405" s="6" t="str">
        <f>IFERROR(__xludf.DUMMYFUNCTION("""COMPUTED_VALUE"""),"9")</f>
        <v>9</v>
      </c>
      <c r="K1405" s="6" t="str">
        <f>IFERROR(__xludf.DUMMYFUNCTION("""COMPUTED_VALUE"""),"daniil.haranin@2hourlearning.com")</f>
        <v>daniil.haranin@2hourlearning.com</v>
      </c>
      <c r="L1405" s="6" t="str">
        <f>IFERROR(__xludf.DUMMYFUNCTION("""COMPUTED_VALUE"""),"Learn and Earn Poland")</f>
        <v>Learn and Earn Poland</v>
      </c>
      <c r="M1405" s="6" t="str">
        <f>IFERROR(__xludf.DUMMYFUNCTION("""COMPUTED_VALUE"""),"Budapest Alpha")</f>
        <v>Budapest Alpha</v>
      </c>
      <c r="N1405" s="6" t="str">
        <f>IFERROR(__xludf.DUMMYFUNCTION("""COMPUTED_VALUE"""),"")</f>
        <v/>
      </c>
      <c r="O1405" s="87" t="str">
        <f>IFERROR(__xludf.DUMMYFUNCTION("""COMPUTED_VALUE"""),"https://drive.google.com/drive/folders/10T2cTQHqEJZqE-st6uFKPoI?usp=share_link")</f>
        <v>https://drive.google.com/drive/folders/10T2cTQHqEJZqE-st6uFKPoI?usp=share_link</v>
      </c>
      <c r="P1405" s="6" t="str">
        <f>IFERROR(__xludf.DUMMYFUNCTION("""COMPUTED_VALUE"""),"Daniil Haranin")</f>
        <v>Daniil Haranin</v>
      </c>
      <c r="Q1405" s="6" t="str">
        <f>IFERROR(__xludf.DUMMYFUNCTION("""COMPUTED_VALUE"""),"HS")</f>
        <v>HS</v>
      </c>
      <c r="R1405" s="6">
        <f>IFERROR(__xludf.DUMMYFUNCTION("""COMPUTED_VALUE"""),0.0)</f>
        <v>0</v>
      </c>
      <c r="S1405" s="6" t="str">
        <f>IFERROR(__xludf.DUMMYFUNCTION("""COMPUTED_VALUE""")," ")</f>
        <v> </v>
      </c>
      <c r="T1405" s="6" t="str">
        <f>IFERROR(__xludf.DUMMYFUNCTION("""COMPUTED_VALUE"""),"")</f>
        <v/>
      </c>
      <c r="U1405" s="6" t="str">
        <f>IFERROR(__xludf.DUMMYFUNCTION("""COMPUTED_VALUE"""),"9")</f>
        <v>9</v>
      </c>
      <c r="V1405" s="6" t="str">
        <f>IFERROR(__xludf.DUMMYFUNCTION("""COMPUTED_VALUE"""),"English")</f>
        <v>English</v>
      </c>
      <c r="W1405" s="6" t="str">
        <f>IFERROR(__xludf.DUMMYFUNCTION("""COMPUTED_VALUE"""),"[]")</f>
        <v>[]</v>
      </c>
      <c r="X1405" s="6" t="str">
        <f>IFERROR(__xludf.DUMMYFUNCTION("""COMPUTED_VALUE"""),"Enrolled")</f>
        <v>Enrolled</v>
      </c>
    </row>
    <row r="1406">
      <c r="A1406" s="6" t="str">
        <f>IFERROR(__xludf.DUMMYFUNCTION("""COMPUTED_VALUE"""),"009-1662")</f>
        <v>009-1662</v>
      </c>
      <c r="B1406" s="6" t="str">
        <f>IFERROR(__xludf.DUMMYFUNCTION("""COMPUTED_VALUE"""),"9")</f>
        <v>9</v>
      </c>
      <c r="C1406" s="6" t="str">
        <f>IFERROR(__xludf.DUMMYFUNCTION("""COMPUTED_VALUE"""),"1662")</f>
        <v>1662</v>
      </c>
      <c r="D1406" s="6" t="str">
        <f>IFERROR(__xludf.DUMMYFUNCTION("""COMPUTED_VALUE"""),"Diana")</f>
        <v>Diana</v>
      </c>
      <c r="E1406" s="6" t="str">
        <f>IFERROR(__xludf.DUMMYFUNCTION("""COMPUTED_VALUE"""),"")</f>
        <v/>
      </c>
      <c r="F1406" s="6" t="str">
        <f>IFERROR(__xludf.DUMMYFUNCTION("""COMPUTED_VALUE"""),"Daniel")</f>
        <v>Daniel</v>
      </c>
      <c r="G1406" s="6" t="str">
        <f>IFERROR(__xludf.DUMMYFUNCTION("""COMPUTED_VALUE"""),"01/01/2014")</f>
        <v>01/01/2014</v>
      </c>
      <c r="H1406" s="6" t="str">
        <f>IFERROR(__xludf.DUMMYFUNCTION("""COMPUTED_VALUE"""),"Self Identify")</f>
        <v>Self Identify</v>
      </c>
      <c r="I1406" s="6" t="str">
        <f>IFERROR(__xludf.DUMMYFUNCTION("""COMPUTED_VALUE"""),"Level 2")</f>
        <v>Level 2</v>
      </c>
      <c r="J1406" s="6" t="str">
        <f>IFERROR(__xludf.DUMMYFUNCTION("""COMPUTED_VALUE"""),"5")</f>
        <v>5</v>
      </c>
      <c r="K1406" s="6" t="str">
        <f>IFERROR(__xludf.DUMMYFUNCTION("""COMPUTED_VALUE"""),"diana.daniel@2hourlearning.com")</f>
        <v>diana.daniel@2hourlearning.com</v>
      </c>
      <c r="L1406" s="6" t="str">
        <f>IFERROR(__xludf.DUMMYFUNCTION("""COMPUTED_VALUE"""),"Learn and Earn Poland")</f>
        <v>Learn and Earn Poland</v>
      </c>
      <c r="M1406" s="6" t="str">
        <f>IFERROR(__xludf.DUMMYFUNCTION("""COMPUTED_VALUE"""),"Budapest Alpha")</f>
        <v>Budapest Alpha</v>
      </c>
      <c r="N1406" s="6" t="str">
        <f>IFERROR(__xludf.DUMMYFUNCTION("""COMPUTED_VALUE"""),"")</f>
        <v/>
      </c>
      <c r="O1406" s="87" t="str">
        <f>IFERROR(__xludf.DUMMYFUNCTION("""COMPUTED_VALUE"""),"https://drive.google.com/drive/folders/10T2cTQHqEJZqE-st6uFKPoI?usp=share_link")</f>
        <v>https://drive.google.com/drive/folders/10T2cTQHqEJZqE-st6uFKPoI?usp=share_link</v>
      </c>
      <c r="P1406" s="6" t="str">
        <f>IFERROR(__xludf.DUMMYFUNCTION("""COMPUTED_VALUE"""),"Diana Daniel")</f>
        <v>Diana Daniel</v>
      </c>
      <c r="Q1406" s="6" t="str">
        <f>IFERROR(__xludf.DUMMYFUNCTION("""COMPUTED_VALUE"""),"L2")</f>
        <v>L2</v>
      </c>
      <c r="R1406" s="6">
        <f>IFERROR(__xludf.DUMMYFUNCTION("""COMPUTED_VALUE"""),2.0)</f>
        <v>2</v>
      </c>
      <c r="S1406" s="6" t="str">
        <f>IFERROR(__xludf.DUMMYFUNCTION("""COMPUTED_VALUE""")," ")</f>
        <v> </v>
      </c>
      <c r="T1406" s="6" t="str">
        <f>IFERROR(__xludf.DUMMYFUNCTION("""COMPUTED_VALUE"""),"")</f>
        <v/>
      </c>
      <c r="U1406" s="6" t="str">
        <f>IFERROR(__xludf.DUMMYFUNCTION("""COMPUTED_VALUE"""),"5")</f>
        <v>5</v>
      </c>
      <c r="V1406" s="6" t="str">
        <f>IFERROR(__xludf.DUMMYFUNCTION("""COMPUTED_VALUE"""),"English")</f>
        <v>English</v>
      </c>
      <c r="W1406" s="6" t="str">
        <f>IFERROR(__xludf.DUMMYFUNCTION("""COMPUTED_VALUE"""),"[]")</f>
        <v>[]</v>
      </c>
      <c r="X1406" s="6" t="str">
        <f>IFERROR(__xludf.DUMMYFUNCTION("""COMPUTED_VALUE"""),"Enrolled")</f>
        <v>Enrolled</v>
      </c>
    </row>
    <row r="1407">
      <c r="A1407" s="6" t="str">
        <f>IFERROR(__xludf.DUMMYFUNCTION("""COMPUTED_VALUE"""),"009-1663")</f>
        <v>009-1663</v>
      </c>
      <c r="B1407" s="6" t="str">
        <f>IFERROR(__xludf.DUMMYFUNCTION("""COMPUTED_VALUE"""),"9")</f>
        <v>9</v>
      </c>
      <c r="C1407" s="6" t="str">
        <f>IFERROR(__xludf.DUMMYFUNCTION("""COMPUTED_VALUE"""),"1663")</f>
        <v>1663</v>
      </c>
      <c r="D1407" s="6" t="str">
        <f>IFERROR(__xludf.DUMMYFUNCTION("""COMPUTED_VALUE"""),"Lina")</f>
        <v>Lina</v>
      </c>
      <c r="E1407" s="6" t="str">
        <f>IFERROR(__xludf.DUMMYFUNCTION("""COMPUTED_VALUE"""),"")</f>
        <v/>
      </c>
      <c r="F1407" s="6" t="str">
        <f>IFERROR(__xludf.DUMMYFUNCTION("""COMPUTED_VALUE"""),"Harbolynska")</f>
        <v>Harbolynska</v>
      </c>
      <c r="G1407" s="6" t="str">
        <f>IFERROR(__xludf.DUMMYFUNCTION("""COMPUTED_VALUE"""),"01/01/2016")</f>
        <v>01/01/2016</v>
      </c>
      <c r="H1407" s="6" t="str">
        <f>IFERROR(__xludf.DUMMYFUNCTION("""COMPUTED_VALUE"""),"Self Identify")</f>
        <v>Self Identify</v>
      </c>
      <c r="I1407" s="6" t="str">
        <f>IFERROR(__xludf.DUMMYFUNCTION("""COMPUTED_VALUE"""),"Level 1")</f>
        <v>Level 1</v>
      </c>
      <c r="J1407" s="6" t="str">
        <f>IFERROR(__xludf.DUMMYFUNCTION("""COMPUTED_VALUE"""),"3")</f>
        <v>3</v>
      </c>
      <c r="K1407" s="6" t="str">
        <f>IFERROR(__xludf.DUMMYFUNCTION("""COMPUTED_VALUE"""),"lina.harbolynska@2hourlearning.com")</f>
        <v>lina.harbolynska@2hourlearning.com</v>
      </c>
      <c r="L1407" s="6" t="str">
        <f>IFERROR(__xludf.DUMMYFUNCTION("""COMPUTED_VALUE"""),"Learn and Earn Poland")</f>
        <v>Learn and Earn Poland</v>
      </c>
      <c r="M1407" s="6" t="str">
        <f>IFERROR(__xludf.DUMMYFUNCTION("""COMPUTED_VALUE"""),"Budapest Alpha")</f>
        <v>Budapest Alpha</v>
      </c>
      <c r="N1407" s="6" t="str">
        <f>IFERROR(__xludf.DUMMYFUNCTION("""COMPUTED_VALUE"""),"")</f>
        <v/>
      </c>
      <c r="O1407" s="87" t="str">
        <f>IFERROR(__xludf.DUMMYFUNCTION("""COMPUTED_VALUE"""),"https://drive.google.com/drive/folders/10T2cTQHqEJZqE-st6uFKPoI?usp=share_link")</f>
        <v>https://drive.google.com/drive/folders/10T2cTQHqEJZqE-st6uFKPoI?usp=share_link</v>
      </c>
      <c r="P1407" s="6" t="str">
        <f>IFERROR(__xludf.DUMMYFUNCTION("""COMPUTED_VALUE"""),"Lina Harbolynska")</f>
        <v>Lina Harbolynska</v>
      </c>
      <c r="Q1407" s="6" t="str">
        <f>IFERROR(__xludf.DUMMYFUNCTION("""COMPUTED_VALUE"""),"L1")</f>
        <v>L1</v>
      </c>
      <c r="R1407" s="6">
        <f>IFERROR(__xludf.DUMMYFUNCTION("""COMPUTED_VALUE"""),1.0)</f>
        <v>1</v>
      </c>
      <c r="S1407" s="6" t="str">
        <f>IFERROR(__xludf.DUMMYFUNCTION("""COMPUTED_VALUE""")," ")</f>
        <v> </v>
      </c>
      <c r="T1407" s="6" t="str">
        <f>IFERROR(__xludf.DUMMYFUNCTION("""COMPUTED_VALUE"""),"")</f>
        <v/>
      </c>
      <c r="U1407" s="6" t="str">
        <f>IFERROR(__xludf.DUMMYFUNCTION("""COMPUTED_VALUE"""),"3")</f>
        <v>3</v>
      </c>
      <c r="V1407" s="6" t="str">
        <f>IFERROR(__xludf.DUMMYFUNCTION("""COMPUTED_VALUE"""),"English")</f>
        <v>English</v>
      </c>
      <c r="W1407" s="6" t="str">
        <f>IFERROR(__xludf.DUMMYFUNCTION("""COMPUTED_VALUE"""),"[]")</f>
        <v>[]</v>
      </c>
      <c r="X1407" s="6" t="str">
        <f>IFERROR(__xludf.DUMMYFUNCTION("""COMPUTED_VALUE"""),"Enrolled")</f>
        <v>Enrolled</v>
      </c>
    </row>
    <row r="1408">
      <c r="A1408" s="6" t="str">
        <f>IFERROR(__xludf.DUMMYFUNCTION("""COMPUTED_VALUE"""),"009-1664")</f>
        <v>009-1664</v>
      </c>
      <c r="B1408" s="6" t="str">
        <f>IFERROR(__xludf.DUMMYFUNCTION("""COMPUTED_VALUE"""),"9")</f>
        <v>9</v>
      </c>
      <c r="C1408" s="6" t="str">
        <f>IFERROR(__xludf.DUMMYFUNCTION("""COMPUTED_VALUE"""),"1664")</f>
        <v>1664</v>
      </c>
      <c r="D1408" s="6" t="str">
        <f>IFERROR(__xludf.DUMMYFUNCTION("""COMPUTED_VALUE"""),"Mark")</f>
        <v>Mark</v>
      </c>
      <c r="E1408" s="6" t="str">
        <f>IFERROR(__xludf.DUMMYFUNCTION("""COMPUTED_VALUE"""),"")</f>
        <v/>
      </c>
      <c r="F1408" s="6" t="str">
        <f>IFERROR(__xludf.DUMMYFUNCTION("""COMPUTED_VALUE"""),"Daniel")</f>
        <v>Daniel</v>
      </c>
      <c r="G1408" s="6" t="str">
        <f>IFERROR(__xludf.DUMMYFUNCTION("""COMPUTED_VALUE"""),"01/01/2016")</f>
        <v>01/01/2016</v>
      </c>
      <c r="H1408" s="6" t="str">
        <f>IFERROR(__xludf.DUMMYFUNCTION("""COMPUTED_VALUE"""),"Self Identify")</f>
        <v>Self Identify</v>
      </c>
      <c r="I1408" s="6" t="str">
        <f>IFERROR(__xludf.DUMMYFUNCTION("""COMPUTED_VALUE"""),"Level 1")</f>
        <v>Level 1</v>
      </c>
      <c r="J1408" s="6" t="str">
        <f>IFERROR(__xludf.DUMMYFUNCTION("""COMPUTED_VALUE"""),"3")</f>
        <v>3</v>
      </c>
      <c r="K1408" s="6" t="str">
        <f>IFERROR(__xludf.DUMMYFUNCTION("""COMPUTED_VALUE"""),"mark.daniel@2hourlearning.com")</f>
        <v>mark.daniel@2hourlearning.com</v>
      </c>
      <c r="L1408" s="6" t="str">
        <f>IFERROR(__xludf.DUMMYFUNCTION("""COMPUTED_VALUE"""),"Learn and Earn Poland")</f>
        <v>Learn and Earn Poland</v>
      </c>
      <c r="M1408" s="6" t="str">
        <f>IFERROR(__xludf.DUMMYFUNCTION("""COMPUTED_VALUE"""),"Budapest Alpha")</f>
        <v>Budapest Alpha</v>
      </c>
      <c r="N1408" s="6" t="str">
        <f>IFERROR(__xludf.DUMMYFUNCTION("""COMPUTED_VALUE"""),"")</f>
        <v/>
      </c>
      <c r="O1408" s="87" t="str">
        <f>IFERROR(__xludf.DUMMYFUNCTION("""COMPUTED_VALUE"""),"https://drive.google.com/drive/folders/10T2cTQHqEJZqE-st6uFKPoI?usp=share_link")</f>
        <v>https://drive.google.com/drive/folders/10T2cTQHqEJZqE-st6uFKPoI?usp=share_link</v>
      </c>
      <c r="P1408" s="6" t="str">
        <f>IFERROR(__xludf.DUMMYFUNCTION("""COMPUTED_VALUE"""),"Mark Daniel")</f>
        <v>Mark Daniel</v>
      </c>
      <c r="Q1408" s="6" t="str">
        <f>IFERROR(__xludf.DUMMYFUNCTION("""COMPUTED_VALUE"""),"L1")</f>
        <v>L1</v>
      </c>
      <c r="R1408" s="6">
        <f>IFERROR(__xludf.DUMMYFUNCTION("""COMPUTED_VALUE"""),1.0)</f>
        <v>1</v>
      </c>
      <c r="S1408" s="6" t="str">
        <f>IFERROR(__xludf.DUMMYFUNCTION("""COMPUTED_VALUE""")," ")</f>
        <v> </v>
      </c>
      <c r="T1408" s="6" t="str">
        <f>IFERROR(__xludf.DUMMYFUNCTION("""COMPUTED_VALUE"""),"")</f>
        <v/>
      </c>
      <c r="U1408" s="6" t="str">
        <f>IFERROR(__xludf.DUMMYFUNCTION("""COMPUTED_VALUE"""),"3")</f>
        <v>3</v>
      </c>
      <c r="V1408" s="6" t="str">
        <f>IFERROR(__xludf.DUMMYFUNCTION("""COMPUTED_VALUE"""),"English")</f>
        <v>English</v>
      </c>
      <c r="W1408" s="6" t="str">
        <f>IFERROR(__xludf.DUMMYFUNCTION("""COMPUTED_VALUE"""),"[]")</f>
        <v>[]</v>
      </c>
      <c r="X1408" s="6" t="str">
        <f>IFERROR(__xludf.DUMMYFUNCTION("""COMPUTED_VALUE"""),"Enrolled")</f>
        <v>Enrolled</v>
      </c>
    </row>
    <row r="1409">
      <c r="A1409" s="6" t="str">
        <f>IFERROR(__xludf.DUMMYFUNCTION("""COMPUTED_VALUE"""),"009-1665")</f>
        <v>009-1665</v>
      </c>
      <c r="B1409" s="6" t="str">
        <f>IFERROR(__xludf.DUMMYFUNCTION("""COMPUTED_VALUE"""),"9")</f>
        <v>9</v>
      </c>
      <c r="C1409" s="6" t="str">
        <f>IFERROR(__xludf.DUMMYFUNCTION("""COMPUTED_VALUE"""),"1665")</f>
        <v>1665</v>
      </c>
      <c r="D1409" s="6" t="str">
        <f>IFERROR(__xludf.DUMMYFUNCTION("""COMPUTED_VALUE"""),"Valentyn")</f>
        <v>Valentyn</v>
      </c>
      <c r="E1409" s="6" t="str">
        <f>IFERROR(__xludf.DUMMYFUNCTION("""COMPUTED_VALUE"""),"")</f>
        <v/>
      </c>
      <c r="F1409" s="6" t="str">
        <f>IFERROR(__xludf.DUMMYFUNCTION("""COMPUTED_VALUE"""),"Lohinov")</f>
        <v>Lohinov</v>
      </c>
      <c r="G1409" s="6" t="str">
        <f>IFERROR(__xludf.DUMMYFUNCTION("""COMPUTED_VALUE"""),"01/01/2014")</f>
        <v>01/01/2014</v>
      </c>
      <c r="H1409" s="6" t="str">
        <f>IFERROR(__xludf.DUMMYFUNCTION("""COMPUTED_VALUE"""),"Self Identify")</f>
        <v>Self Identify</v>
      </c>
      <c r="I1409" s="6" t="str">
        <f>IFERROR(__xludf.DUMMYFUNCTION("""COMPUTED_VALUE"""),"Level 2")</f>
        <v>Level 2</v>
      </c>
      <c r="J1409" s="6" t="str">
        <f>IFERROR(__xludf.DUMMYFUNCTION("""COMPUTED_VALUE"""),"5")</f>
        <v>5</v>
      </c>
      <c r="K1409" s="6" t="str">
        <f>IFERROR(__xludf.DUMMYFUNCTION("""COMPUTED_VALUE"""),"valentyn.lohinov@2hourlearning.com")</f>
        <v>valentyn.lohinov@2hourlearning.com</v>
      </c>
      <c r="L1409" s="6" t="str">
        <f>IFERROR(__xludf.DUMMYFUNCTION("""COMPUTED_VALUE"""),"Learn and Earn Poland")</f>
        <v>Learn and Earn Poland</v>
      </c>
      <c r="M1409" s="6" t="str">
        <f>IFERROR(__xludf.DUMMYFUNCTION("""COMPUTED_VALUE"""),"Budapest Alpha")</f>
        <v>Budapest Alpha</v>
      </c>
      <c r="N1409" s="6" t="str">
        <f>IFERROR(__xludf.DUMMYFUNCTION("""COMPUTED_VALUE"""),"")</f>
        <v/>
      </c>
      <c r="O1409" s="87" t="str">
        <f>IFERROR(__xludf.DUMMYFUNCTION("""COMPUTED_VALUE"""),"https://drive.google.com/drive/folders/10T2cTQHqEJZqE-st6uFKPoI?usp=share_link")</f>
        <v>https://drive.google.com/drive/folders/10T2cTQHqEJZqE-st6uFKPoI?usp=share_link</v>
      </c>
      <c r="P1409" s="6" t="str">
        <f>IFERROR(__xludf.DUMMYFUNCTION("""COMPUTED_VALUE"""),"Valentyn Lohinov")</f>
        <v>Valentyn Lohinov</v>
      </c>
      <c r="Q1409" s="6" t="str">
        <f>IFERROR(__xludf.DUMMYFUNCTION("""COMPUTED_VALUE"""),"L2")</f>
        <v>L2</v>
      </c>
      <c r="R1409" s="6">
        <f>IFERROR(__xludf.DUMMYFUNCTION("""COMPUTED_VALUE"""),2.0)</f>
        <v>2</v>
      </c>
      <c r="S1409" s="6" t="str">
        <f>IFERROR(__xludf.DUMMYFUNCTION("""COMPUTED_VALUE""")," ")</f>
        <v> </v>
      </c>
      <c r="T1409" s="6" t="str">
        <f>IFERROR(__xludf.DUMMYFUNCTION("""COMPUTED_VALUE"""),"")</f>
        <v/>
      </c>
      <c r="U1409" s="6" t="str">
        <f>IFERROR(__xludf.DUMMYFUNCTION("""COMPUTED_VALUE"""),"5")</f>
        <v>5</v>
      </c>
      <c r="V1409" s="6" t="str">
        <f>IFERROR(__xludf.DUMMYFUNCTION("""COMPUTED_VALUE"""),"English")</f>
        <v>English</v>
      </c>
      <c r="W1409" s="6" t="str">
        <f>IFERROR(__xludf.DUMMYFUNCTION("""COMPUTED_VALUE"""),"[]")</f>
        <v>[]</v>
      </c>
      <c r="X1409" s="6" t="str">
        <f>IFERROR(__xludf.DUMMYFUNCTION("""COMPUTED_VALUE"""),"Enrolled")</f>
        <v>Enrolled</v>
      </c>
    </row>
    <row r="1410">
      <c r="A1410" s="6" t="str">
        <f>IFERROR(__xludf.DUMMYFUNCTION("""COMPUTED_VALUE"""),"009-1666")</f>
        <v>009-1666</v>
      </c>
      <c r="B1410" s="6" t="str">
        <f>IFERROR(__xludf.DUMMYFUNCTION("""COMPUTED_VALUE"""),"9")</f>
        <v>9</v>
      </c>
      <c r="C1410" s="6" t="str">
        <f>IFERROR(__xludf.DUMMYFUNCTION("""COMPUTED_VALUE"""),"1666")</f>
        <v>1666</v>
      </c>
      <c r="D1410" s="6" t="str">
        <f>IFERROR(__xludf.DUMMYFUNCTION("""COMPUTED_VALUE"""),"Yevheniia")</f>
        <v>Yevheniia</v>
      </c>
      <c r="E1410" s="6" t="str">
        <f>IFERROR(__xludf.DUMMYFUNCTION("""COMPUTED_VALUE"""),"")</f>
        <v/>
      </c>
      <c r="F1410" s="6" t="str">
        <f>IFERROR(__xludf.DUMMYFUNCTION("""COMPUTED_VALUE"""),"Dzyhar")</f>
        <v>Dzyhar</v>
      </c>
      <c r="G1410" s="6" t="str">
        <f>IFERROR(__xludf.DUMMYFUNCTION("""COMPUTED_VALUE"""),"01/01/2014")</f>
        <v>01/01/2014</v>
      </c>
      <c r="H1410" s="6" t="str">
        <f>IFERROR(__xludf.DUMMYFUNCTION("""COMPUTED_VALUE"""),"Self Identify")</f>
        <v>Self Identify</v>
      </c>
      <c r="I1410" s="6" t="str">
        <f>IFERROR(__xludf.DUMMYFUNCTION("""COMPUTED_VALUE"""),"Level 2")</f>
        <v>Level 2</v>
      </c>
      <c r="J1410" s="6" t="str">
        <f>IFERROR(__xludf.DUMMYFUNCTION("""COMPUTED_VALUE"""),"5")</f>
        <v>5</v>
      </c>
      <c r="K1410" s="6" t="str">
        <f>IFERROR(__xludf.DUMMYFUNCTION("""COMPUTED_VALUE"""),"yevheniia.dzyhar@2hourlearning.com")</f>
        <v>yevheniia.dzyhar@2hourlearning.com</v>
      </c>
      <c r="L1410" s="6" t="str">
        <f>IFERROR(__xludf.DUMMYFUNCTION("""COMPUTED_VALUE"""),"Learn and Earn Poland")</f>
        <v>Learn and Earn Poland</v>
      </c>
      <c r="M1410" s="6" t="str">
        <f>IFERROR(__xludf.DUMMYFUNCTION("""COMPUTED_VALUE"""),"Budapest ex-GTS")</f>
        <v>Budapest ex-GTS</v>
      </c>
      <c r="N1410" s="6" t="str">
        <f>IFERROR(__xludf.DUMMYFUNCTION("""COMPUTED_VALUE"""),"")</f>
        <v/>
      </c>
      <c r="O1410" s="87" t="str">
        <f>IFERROR(__xludf.DUMMYFUNCTION("""COMPUTED_VALUE"""),"https://drive.google.com/drive/folders/10T2cTQHqEJZqE-st6uFKPoI?usp=share_link")</f>
        <v>https://drive.google.com/drive/folders/10T2cTQHqEJZqE-st6uFKPoI?usp=share_link</v>
      </c>
      <c r="P1410" s="6" t="str">
        <f>IFERROR(__xludf.DUMMYFUNCTION("""COMPUTED_VALUE"""),"Yevheniia Dzyhar")</f>
        <v>Yevheniia Dzyhar</v>
      </c>
      <c r="Q1410" s="6" t="str">
        <f>IFERROR(__xludf.DUMMYFUNCTION("""COMPUTED_VALUE"""),"L2")</f>
        <v>L2</v>
      </c>
      <c r="R1410" s="6">
        <f>IFERROR(__xludf.DUMMYFUNCTION("""COMPUTED_VALUE"""),2.0)</f>
        <v>2</v>
      </c>
      <c r="S1410" s="6" t="str">
        <f>IFERROR(__xludf.DUMMYFUNCTION("""COMPUTED_VALUE""")," ")</f>
        <v> </v>
      </c>
      <c r="T1410" s="6" t="str">
        <f>IFERROR(__xludf.DUMMYFUNCTION("""COMPUTED_VALUE"""),"")</f>
        <v/>
      </c>
      <c r="U1410" s="6" t="str">
        <f>IFERROR(__xludf.DUMMYFUNCTION("""COMPUTED_VALUE"""),"5")</f>
        <v>5</v>
      </c>
      <c r="V1410" s="6" t="str">
        <f>IFERROR(__xludf.DUMMYFUNCTION("""COMPUTED_VALUE"""),"English")</f>
        <v>English</v>
      </c>
      <c r="W1410" s="6" t="str">
        <f>IFERROR(__xludf.DUMMYFUNCTION("""COMPUTED_VALUE"""),"[]")</f>
        <v>[]</v>
      </c>
      <c r="X1410" s="6" t="str">
        <f>IFERROR(__xludf.DUMMYFUNCTION("""COMPUTED_VALUE"""),"Enrolled")</f>
        <v>Enrolled</v>
      </c>
    </row>
    <row r="1411">
      <c r="A1411" s="6" t="str">
        <f>IFERROR(__xludf.DUMMYFUNCTION("""COMPUTED_VALUE"""),"009-1667")</f>
        <v>009-1667</v>
      </c>
      <c r="B1411" s="6" t="str">
        <f>IFERROR(__xludf.DUMMYFUNCTION("""COMPUTED_VALUE"""),"9")</f>
        <v>9</v>
      </c>
      <c r="C1411" s="6" t="str">
        <f>IFERROR(__xludf.DUMMYFUNCTION("""COMPUTED_VALUE"""),"1667")</f>
        <v>1667</v>
      </c>
      <c r="D1411" s="6" t="str">
        <f>IFERROR(__xludf.DUMMYFUNCTION("""COMPUTED_VALUE"""),"Alexandra")</f>
        <v>Alexandra</v>
      </c>
      <c r="E1411" s="6" t="str">
        <f>IFERROR(__xludf.DUMMYFUNCTION("""COMPUTED_VALUE"""),"")</f>
        <v/>
      </c>
      <c r="F1411" s="6" t="str">
        <f>IFERROR(__xludf.DUMMYFUNCTION("""COMPUTED_VALUE"""),"Bihari")</f>
        <v>Bihari</v>
      </c>
      <c r="G1411" s="6" t="str">
        <f>IFERROR(__xludf.DUMMYFUNCTION("""COMPUTED_VALUE"""),"01/01/2016")</f>
        <v>01/01/2016</v>
      </c>
      <c r="H1411" s="6" t="str">
        <f>IFERROR(__xludf.DUMMYFUNCTION("""COMPUTED_VALUE"""),"Self Identify")</f>
        <v>Self Identify</v>
      </c>
      <c r="I1411" s="6" t="str">
        <f>IFERROR(__xludf.DUMMYFUNCTION("""COMPUTED_VALUE"""),"Level 1")</f>
        <v>Level 1</v>
      </c>
      <c r="J1411" s="6" t="str">
        <f>IFERROR(__xludf.DUMMYFUNCTION("""COMPUTED_VALUE"""),"3")</f>
        <v>3</v>
      </c>
      <c r="K1411" s="6" t="str">
        <f>IFERROR(__xludf.DUMMYFUNCTION("""COMPUTED_VALUE"""),"alexandra.bihari@2hourlearning.com")</f>
        <v>alexandra.bihari@2hourlearning.com</v>
      </c>
      <c r="L1411" s="6" t="str">
        <f>IFERROR(__xludf.DUMMYFUNCTION("""COMPUTED_VALUE"""),"Learn and Earn Poland")</f>
        <v>Learn and Earn Poland</v>
      </c>
      <c r="M1411" s="6" t="str">
        <f>IFERROR(__xludf.DUMMYFUNCTION("""COMPUTED_VALUE"""),"Budapest Alpha")</f>
        <v>Budapest Alpha</v>
      </c>
      <c r="N1411" s="6" t="str">
        <f>IFERROR(__xludf.DUMMYFUNCTION("""COMPUTED_VALUE"""),"")</f>
        <v/>
      </c>
      <c r="O1411" s="87" t="str">
        <f>IFERROR(__xludf.DUMMYFUNCTION("""COMPUTED_VALUE"""),"https://drive.google.com/drive/folders/10T2cTQHqEJZqE-st6uFKPoI?usp=share_link")</f>
        <v>https://drive.google.com/drive/folders/10T2cTQHqEJZqE-st6uFKPoI?usp=share_link</v>
      </c>
      <c r="P1411" s="6" t="str">
        <f>IFERROR(__xludf.DUMMYFUNCTION("""COMPUTED_VALUE"""),"Alexandra Bihari")</f>
        <v>Alexandra Bihari</v>
      </c>
      <c r="Q1411" s="6" t="str">
        <f>IFERROR(__xludf.DUMMYFUNCTION("""COMPUTED_VALUE"""),"L1")</f>
        <v>L1</v>
      </c>
      <c r="R1411" s="6">
        <f>IFERROR(__xludf.DUMMYFUNCTION("""COMPUTED_VALUE"""),1.0)</f>
        <v>1</v>
      </c>
      <c r="S1411" s="6" t="str">
        <f>IFERROR(__xludf.DUMMYFUNCTION("""COMPUTED_VALUE""")," ")</f>
        <v> </v>
      </c>
      <c r="T1411" s="6" t="str">
        <f>IFERROR(__xludf.DUMMYFUNCTION("""COMPUTED_VALUE"""),"")</f>
        <v/>
      </c>
      <c r="U1411" s="6" t="str">
        <f>IFERROR(__xludf.DUMMYFUNCTION("""COMPUTED_VALUE"""),"3")</f>
        <v>3</v>
      </c>
      <c r="V1411" s="6" t="str">
        <f>IFERROR(__xludf.DUMMYFUNCTION("""COMPUTED_VALUE"""),"English")</f>
        <v>English</v>
      </c>
      <c r="W1411" s="6" t="str">
        <f>IFERROR(__xludf.DUMMYFUNCTION("""COMPUTED_VALUE"""),"[]")</f>
        <v>[]</v>
      </c>
      <c r="X1411" s="6" t="str">
        <f>IFERROR(__xludf.DUMMYFUNCTION("""COMPUTED_VALUE"""),"Enrolled")</f>
        <v>Enrolled</v>
      </c>
    </row>
    <row r="1412">
      <c r="A1412" s="6" t="str">
        <f>IFERROR(__xludf.DUMMYFUNCTION("""COMPUTED_VALUE"""),"009-1668")</f>
        <v>009-1668</v>
      </c>
      <c r="B1412" s="6" t="str">
        <f>IFERROR(__xludf.DUMMYFUNCTION("""COMPUTED_VALUE"""),"9")</f>
        <v>9</v>
      </c>
      <c r="C1412" s="6" t="str">
        <f>IFERROR(__xludf.DUMMYFUNCTION("""COMPUTED_VALUE"""),"1668")</f>
        <v>1668</v>
      </c>
      <c r="D1412" s="6" t="str">
        <f>IFERROR(__xludf.DUMMYFUNCTION("""COMPUTED_VALUE"""),"David")</f>
        <v>David</v>
      </c>
      <c r="E1412" s="6" t="str">
        <f>IFERROR(__xludf.DUMMYFUNCTION("""COMPUTED_VALUE"""),"")</f>
        <v/>
      </c>
      <c r="F1412" s="6" t="str">
        <f>IFERROR(__xludf.DUMMYFUNCTION("""COMPUTED_VALUE"""),"Lynkov")</f>
        <v>Lynkov</v>
      </c>
      <c r="G1412" s="6" t="str">
        <f>IFERROR(__xludf.DUMMYFUNCTION("""COMPUTED_VALUE"""),"01/01/2016")</f>
        <v>01/01/2016</v>
      </c>
      <c r="H1412" s="6" t="str">
        <f>IFERROR(__xludf.DUMMYFUNCTION("""COMPUTED_VALUE"""),"Self Identify")</f>
        <v>Self Identify</v>
      </c>
      <c r="I1412" s="6" t="str">
        <f>IFERROR(__xludf.DUMMYFUNCTION("""COMPUTED_VALUE"""),"Level 1")</f>
        <v>Level 1</v>
      </c>
      <c r="J1412" s="6" t="str">
        <f>IFERROR(__xludf.DUMMYFUNCTION("""COMPUTED_VALUE"""),"3")</f>
        <v>3</v>
      </c>
      <c r="K1412" s="6" t="str">
        <f>IFERROR(__xludf.DUMMYFUNCTION("""COMPUTED_VALUE"""),"david.lynkov@2hourlearning.com")</f>
        <v>david.lynkov@2hourlearning.com</v>
      </c>
      <c r="L1412" s="6" t="str">
        <f>IFERROR(__xludf.DUMMYFUNCTION("""COMPUTED_VALUE"""),"Learn and Earn Poland")</f>
        <v>Learn and Earn Poland</v>
      </c>
      <c r="M1412" s="6" t="str">
        <f>IFERROR(__xludf.DUMMYFUNCTION("""COMPUTED_VALUE"""),"Budapest Alpha")</f>
        <v>Budapest Alpha</v>
      </c>
      <c r="N1412" s="6" t="str">
        <f>IFERROR(__xludf.DUMMYFUNCTION("""COMPUTED_VALUE"""),"")</f>
        <v/>
      </c>
      <c r="O1412" s="87" t="str">
        <f>IFERROR(__xludf.DUMMYFUNCTION("""COMPUTED_VALUE"""),"https://drive.google.com/drive/folders/10T2cTQHqEJZqE-st6uFKPoI?usp=share_link")</f>
        <v>https://drive.google.com/drive/folders/10T2cTQHqEJZqE-st6uFKPoI?usp=share_link</v>
      </c>
      <c r="P1412" s="6" t="str">
        <f>IFERROR(__xludf.DUMMYFUNCTION("""COMPUTED_VALUE"""),"David Lynkov")</f>
        <v>David Lynkov</v>
      </c>
      <c r="Q1412" s="6" t="str">
        <f>IFERROR(__xludf.DUMMYFUNCTION("""COMPUTED_VALUE"""),"L1")</f>
        <v>L1</v>
      </c>
      <c r="R1412" s="6">
        <f>IFERROR(__xludf.DUMMYFUNCTION("""COMPUTED_VALUE"""),1.0)</f>
        <v>1</v>
      </c>
      <c r="S1412" s="6" t="str">
        <f>IFERROR(__xludf.DUMMYFUNCTION("""COMPUTED_VALUE""")," ")</f>
        <v> </v>
      </c>
      <c r="T1412" s="6" t="str">
        <f>IFERROR(__xludf.DUMMYFUNCTION("""COMPUTED_VALUE"""),"")</f>
        <v/>
      </c>
      <c r="U1412" s="6" t="str">
        <f>IFERROR(__xludf.DUMMYFUNCTION("""COMPUTED_VALUE"""),"3")</f>
        <v>3</v>
      </c>
      <c r="V1412" s="6" t="str">
        <f>IFERROR(__xludf.DUMMYFUNCTION("""COMPUTED_VALUE"""),"English")</f>
        <v>English</v>
      </c>
      <c r="W1412" s="6" t="str">
        <f>IFERROR(__xludf.DUMMYFUNCTION("""COMPUTED_VALUE"""),"[]")</f>
        <v>[]</v>
      </c>
      <c r="X1412" s="6" t="str">
        <f>IFERROR(__xludf.DUMMYFUNCTION("""COMPUTED_VALUE"""),"Enrolled")</f>
        <v>Enrolled</v>
      </c>
    </row>
    <row r="1413">
      <c r="A1413" s="6" t="str">
        <f>IFERROR(__xludf.DUMMYFUNCTION("""COMPUTED_VALUE"""),"009-1669")</f>
        <v>009-1669</v>
      </c>
      <c r="B1413" s="6" t="str">
        <f>IFERROR(__xludf.DUMMYFUNCTION("""COMPUTED_VALUE"""),"9")</f>
        <v>9</v>
      </c>
      <c r="C1413" s="6" t="str">
        <f>IFERROR(__xludf.DUMMYFUNCTION("""COMPUTED_VALUE"""),"1669")</f>
        <v>1669</v>
      </c>
      <c r="D1413" s="6" t="str">
        <f>IFERROR(__xludf.DUMMYFUNCTION("""COMPUTED_VALUE"""),"Kira")</f>
        <v>Kira</v>
      </c>
      <c r="E1413" s="6" t="str">
        <f>IFERROR(__xludf.DUMMYFUNCTION("""COMPUTED_VALUE"""),"")</f>
        <v/>
      </c>
      <c r="F1413" s="6" t="str">
        <f>IFERROR(__xludf.DUMMYFUNCTION("""COMPUTED_VALUE"""),"Kibalnyk")</f>
        <v>Kibalnyk</v>
      </c>
      <c r="G1413" s="6" t="str">
        <f>IFERROR(__xludf.DUMMYFUNCTION("""COMPUTED_VALUE"""),"01/01/2012")</f>
        <v>01/01/2012</v>
      </c>
      <c r="H1413" s="6" t="str">
        <f>IFERROR(__xludf.DUMMYFUNCTION("""COMPUTED_VALUE"""),"Self Identify")</f>
        <v>Self Identify</v>
      </c>
      <c r="I1413" s="6" t="str">
        <f>IFERROR(__xludf.DUMMYFUNCTION("""COMPUTED_VALUE"""),"Middle School")</f>
        <v>Middle School</v>
      </c>
      <c r="J1413" s="6" t="str">
        <f>IFERROR(__xludf.DUMMYFUNCTION("""COMPUTED_VALUE"""),"7")</f>
        <v>7</v>
      </c>
      <c r="K1413" s="6" t="str">
        <f>IFERROR(__xludf.DUMMYFUNCTION("""COMPUTED_VALUE"""),"kira.kibalnyk@2hourlearning.com")</f>
        <v>kira.kibalnyk@2hourlearning.com</v>
      </c>
      <c r="L1413" s="6" t="str">
        <f>IFERROR(__xludf.DUMMYFUNCTION("""COMPUTED_VALUE"""),"Learn and Earn Poland")</f>
        <v>Learn and Earn Poland</v>
      </c>
      <c r="M1413" s="6" t="str">
        <f>IFERROR(__xludf.DUMMYFUNCTION("""COMPUTED_VALUE"""),"Budapest Alpha")</f>
        <v>Budapest Alpha</v>
      </c>
      <c r="N1413" s="6" t="str">
        <f>IFERROR(__xludf.DUMMYFUNCTION("""COMPUTED_VALUE"""),"")</f>
        <v/>
      </c>
      <c r="O1413" s="87" t="str">
        <f>IFERROR(__xludf.DUMMYFUNCTION("""COMPUTED_VALUE"""),"https://drive.google.com/drive/folders/10T2cTQHqEJZqE-st6uFKPoI?usp=share_link")</f>
        <v>https://drive.google.com/drive/folders/10T2cTQHqEJZqE-st6uFKPoI?usp=share_link</v>
      </c>
      <c r="P1413" s="6" t="str">
        <f>IFERROR(__xludf.DUMMYFUNCTION("""COMPUTED_VALUE"""),"Kira Kibalnyk")</f>
        <v>Kira Kibalnyk</v>
      </c>
      <c r="Q1413" s="6" t="str">
        <f>IFERROR(__xludf.DUMMYFUNCTION("""COMPUTED_VALUE"""),"MS")</f>
        <v>MS</v>
      </c>
      <c r="R1413" s="6">
        <f>IFERROR(__xludf.DUMMYFUNCTION("""COMPUTED_VALUE"""),0.0)</f>
        <v>0</v>
      </c>
      <c r="S1413" s="6" t="str">
        <f>IFERROR(__xludf.DUMMYFUNCTION("""COMPUTED_VALUE""")," ")</f>
        <v> </v>
      </c>
      <c r="T1413" s="6" t="str">
        <f>IFERROR(__xludf.DUMMYFUNCTION("""COMPUTED_VALUE"""),"")</f>
        <v/>
      </c>
      <c r="U1413" s="6" t="str">
        <f>IFERROR(__xludf.DUMMYFUNCTION("""COMPUTED_VALUE"""),"7")</f>
        <v>7</v>
      </c>
      <c r="V1413" s="6" t="str">
        <f>IFERROR(__xludf.DUMMYFUNCTION("""COMPUTED_VALUE"""),"English")</f>
        <v>English</v>
      </c>
      <c r="W1413" s="6" t="str">
        <f>IFERROR(__xludf.DUMMYFUNCTION("""COMPUTED_VALUE"""),"[]")</f>
        <v>[]</v>
      </c>
      <c r="X1413" s="6" t="str">
        <f>IFERROR(__xludf.DUMMYFUNCTION("""COMPUTED_VALUE"""),"Enrolled")</f>
        <v>Enrolled</v>
      </c>
    </row>
    <row r="1414">
      <c r="A1414" s="6" t="str">
        <f>IFERROR(__xludf.DUMMYFUNCTION("""COMPUTED_VALUE"""),"009-1670")</f>
        <v>009-1670</v>
      </c>
      <c r="B1414" s="6" t="str">
        <f>IFERROR(__xludf.DUMMYFUNCTION("""COMPUTED_VALUE"""),"9")</f>
        <v>9</v>
      </c>
      <c r="C1414" s="6" t="str">
        <f>IFERROR(__xludf.DUMMYFUNCTION("""COMPUTED_VALUE"""),"1670")</f>
        <v>1670</v>
      </c>
      <c r="D1414" s="6" t="str">
        <f>IFERROR(__xludf.DUMMYFUNCTION("""COMPUTED_VALUE"""),"Ivan")</f>
        <v>Ivan</v>
      </c>
      <c r="E1414" s="6" t="str">
        <f>IFERROR(__xludf.DUMMYFUNCTION("""COMPUTED_VALUE"""),"")</f>
        <v/>
      </c>
      <c r="F1414" s="6" t="str">
        <f>IFERROR(__xludf.DUMMYFUNCTION("""COMPUTED_VALUE"""),"Kozak")</f>
        <v>Kozak</v>
      </c>
      <c r="G1414" s="6" t="str">
        <f>IFERROR(__xludf.DUMMYFUNCTION("""COMPUTED_VALUE"""),"01/01/2012")</f>
        <v>01/01/2012</v>
      </c>
      <c r="H1414" s="6" t="str">
        <f>IFERROR(__xludf.DUMMYFUNCTION("""COMPUTED_VALUE"""),"Self Identify")</f>
        <v>Self Identify</v>
      </c>
      <c r="I1414" s="6" t="str">
        <f>IFERROR(__xludf.DUMMYFUNCTION("""COMPUTED_VALUE"""),"Middle School")</f>
        <v>Middle School</v>
      </c>
      <c r="J1414" s="6" t="str">
        <f>IFERROR(__xludf.DUMMYFUNCTION("""COMPUTED_VALUE"""),"7")</f>
        <v>7</v>
      </c>
      <c r="K1414" s="6" t="str">
        <f>IFERROR(__xludf.DUMMYFUNCTION("""COMPUTED_VALUE"""),"ivan.kozak@2hourlearning.com")</f>
        <v>ivan.kozak@2hourlearning.com</v>
      </c>
      <c r="L1414" s="6" t="str">
        <f>IFERROR(__xludf.DUMMYFUNCTION("""COMPUTED_VALUE"""),"Learn and Earn Poland")</f>
        <v>Learn and Earn Poland</v>
      </c>
      <c r="M1414" s="6" t="str">
        <f>IFERROR(__xludf.DUMMYFUNCTION("""COMPUTED_VALUE"""),"Budapest Alpha")</f>
        <v>Budapest Alpha</v>
      </c>
      <c r="N1414" s="6" t="str">
        <f>IFERROR(__xludf.DUMMYFUNCTION("""COMPUTED_VALUE"""),"")</f>
        <v/>
      </c>
      <c r="O1414" s="87" t="str">
        <f>IFERROR(__xludf.DUMMYFUNCTION("""COMPUTED_VALUE"""),"https://drive.google.com/drive/folders/10T2cTQHqEJZqE-st6uFKPoI?usp=share_link")</f>
        <v>https://drive.google.com/drive/folders/10T2cTQHqEJZqE-st6uFKPoI?usp=share_link</v>
      </c>
      <c r="P1414" s="6" t="str">
        <f>IFERROR(__xludf.DUMMYFUNCTION("""COMPUTED_VALUE"""),"Ivan Kozak")</f>
        <v>Ivan Kozak</v>
      </c>
      <c r="Q1414" s="6" t="str">
        <f>IFERROR(__xludf.DUMMYFUNCTION("""COMPUTED_VALUE"""),"MS")</f>
        <v>MS</v>
      </c>
      <c r="R1414" s="6">
        <f>IFERROR(__xludf.DUMMYFUNCTION("""COMPUTED_VALUE"""),0.0)</f>
        <v>0</v>
      </c>
      <c r="S1414" s="6" t="str">
        <f>IFERROR(__xludf.DUMMYFUNCTION("""COMPUTED_VALUE""")," ")</f>
        <v> </v>
      </c>
      <c r="T1414" s="6" t="str">
        <f>IFERROR(__xludf.DUMMYFUNCTION("""COMPUTED_VALUE"""),"")</f>
        <v/>
      </c>
      <c r="U1414" s="6" t="str">
        <f>IFERROR(__xludf.DUMMYFUNCTION("""COMPUTED_VALUE"""),"7")</f>
        <v>7</v>
      </c>
      <c r="V1414" s="6" t="str">
        <f>IFERROR(__xludf.DUMMYFUNCTION("""COMPUTED_VALUE"""),"English")</f>
        <v>English</v>
      </c>
      <c r="W1414" s="6" t="str">
        <f>IFERROR(__xludf.DUMMYFUNCTION("""COMPUTED_VALUE"""),"[]")</f>
        <v>[]</v>
      </c>
      <c r="X1414" s="6" t="str">
        <f>IFERROR(__xludf.DUMMYFUNCTION("""COMPUTED_VALUE"""),"Enrolled")</f>
        <v>Enrolled</v>
      </c>
    </row>
    <row r="1415">
      <c r="A1415" s="6" t="str">
        <f>IFERROR(__xludf.DUMMYFUNCTION("""COMPUTED_VALUE"""),"009-1671")</f>
        <v>009-1671</v>
      </c>
      <c r="B1415" s="6" t="str">
        <f>IFERROR(__xludf.DUMMYFUNCTION("""COMPUTED_VALUE"""),"9")</f>
        <v>9</v>
      </c>
      <c r="C1415" s="6" t="str">
        <f>IFERROR(__xludf.DUMMYFUNCTION("""COMPUTED_VALUE"""),"1671")</f>
        <v>1671</v>
      </c>
      <c r="D1415" s="6" t="str">
        <f>IFERROR(__xludf.DUMMYFUNCTION("""COMPUTED_VALUE"""),"Oleksandr")</f>
        <v>Oleksandr</v>
      </c>
      <c r="E1415" s="6" t="str">
        <f>IFERROR(__xludf.DUMMYFUNCTION("""COMPUTED_VALUE"""),"")</f>
        <v/>
      </c>
      <c r="F1415" s="6" t="str">
        <f>IFERROR(__xludf.DUMMYFUNCTION("""COMPUTED_VALUE"""),"Maidaniuk")</f>
        <v>Maidaniuk</v>
      </c>
      <c r="G1415" s="6" t="str">
        <f>IFERROR(__xludf.DUMMYFUNCTION("""COMPUTED_VALUE"""),"01/01/2015")</f>
        <v>01/01/2015</v>
      </c>
      <c r="H1415" s="6" t="str">
        <f>IFERROR(__xludf.DUMMYFUNCTION("""COMPUTED_VALUE"""),"Self Identify")</f>
        <v>Self Identify</v>
      </c>
      <c r="I1415" s="6" t="str">
        <f>IFERROR(__xludf.DUMMYFUNCTION("""COMPUTED_VALUE"""),"Level 2")</f>
        <v>Level 2</v>
      </c>
      <c r="J1415" s="6" t="str">
        <f>IFERROR(__xludf.DUMMYFUNCTION("""COMPUTED_VALUE"""),"4")</f>
        <v>4</v>
      </c>
      <c r="K1415" s="6" t="str">
        <f>IFERROR(__xludf.DUMMYFUNCTION("""COMPUTED_VALUE"""),"oleksandr.maidaniuk@2hourlearning.com")</f>
        <v>oleksandr.maidaniuk@2hourlearning.com</v>
      </c>
      <c r="L1415" s="6" t="str">
        <f>IFERROR(__xludf.DUMMYFUNCTION("""COMPUTED_VALUE"""),"Learn and Earn Poland")</f>
        <v>Learn and Earn Poland</v>
      </c>
      <c r="M1415" s="6" t="str">
        <f>IFERROR(__xludf.DUMMYFUNCTION("""COMPUTED_VALUE"""),"Budapest Alpha")</f>
        <v>Budapest Alpha</v>
      </c>
      <c r="N1415" s="6" t="str">
        <f>IFERROR(__xludf.DUMMYFUNCTION("""COMPUTED_VALUE"""),"")</f>
        <v/>
      </c>
      <c r="O1415" s="87" t="str">
        <f>IFERROR(__xludf.DUMMYFUNCTION("""COMPUTED_VALUE"""),"https://drive.google.com/drive/folders/10T2cTQHqEJZqE-st6uFKPoI?usp=share_link")</f>
        <v>https://drive.google.com/drive/folders/10T2cTQHqEJZqE-st6uFKPoI?usp=share_link</v>
      </c>
      <c r="P1415" s="6" t="str">
        <f>IFERROR(__xludf.DUMMYFUNCTION("""COMPUTED_VALUE"""),"Oleksandr Maidaniuk")</f>
        <v>Oleksandr Maidaniuk</v>
      </c>
      <c r="Q1415" s="6" t="str">
        <f>IFERROR(__xludf.DUMMYFUNCTION("""COMPUTED_VALUE"""),"L2")</f>
        <v>L2</v>
      </c>
      <c r="R1415" s="6">
        <f>IFERROR(__xludf.DUMMYFUNCTION("""COMPUTED_VALUE"""),2.0)</f>
        <v>2</v>
      </c>
      <c r="S1415" s="6" t="str">
        <f>IFERROR(__xludf.DUMMYFUNCTION("""COMPUTED_VALUE""")," ")</f>
        <v> </v>
      </c>
      <c r="T1415" s="6" t="str">
        <f>IFERROR(__xludf.DUMMYFUNCTION("""COMPUTED_VALUE"""),"")</f>
        <v/>
      </c>
      <c r="U1415" s="6" t="str">
        <f>IFERROR(__xludf.DUMMYFUNCTION("""COMPUTED_VALUE"""),"4")</f>
        <v>4</v>
      </c>
      <c r="V1415" s="6" t="str">
        <f>IFERROR(__xludf.DUMMYFUNCTION("""COMPUTED_VALUE"""),"English")</f>
        <v>English</v>
      </c>
      <c r="W1415" s="6" t="str">
        <f>IFERROR(__xludf.DUMMYFUNCTION("""COMPUTED_VALUE"""),"[]")</f>
        <v>[]</v>
      </c>
      <c r="X1415" s="6" t="str">
        <f>IFERROR(__xludf.DUMMYFUNCTION("""COMPUTED_VALUE"""),"Enrolled")</f>
        <v>Enrolled</v>
      </c>
    </row>
    <row r="1416">
      <c r="A1416" s="6" t="str">
        <f>IFERROR(__xludf.DUMMYFUNCTION("""COMPUTED_VALUE"""),"009-1672")</f>
        <v>009-1672</v>
      </c>
      <c r="B1416" s="6" t="str">
        <f>IFERROR(__xludf.DUMMYFUNCTION("""COMPUTED_VALUE"""),"9")</f>
        <v>9</v>
      </c>
      <c r="C1416" s="6" t="str">
        <f>IFERROR(__xludf.DUMMYFUNCTION("""COMPUTED_VALUE"""),"1672")</f>
        <v>1672</v>
      </c>
      <c r="D1416" s="6" t="str">
        <f>IFERROR(__xludf.DUMMYFUNCTION("""COMPUTED_VALUE"""),"Kozlova")</f>
        <v>Kozlova</v>
      </c>
      <c r="E1416" s="6" t="str">
        <f>IFERROR(__xludf.DUMMYFUNCTION("""COMPUTED_VALUE"""),"")</f>
        <v/>
      </c>
      <c r="F1416" s="6" t="str">
        <f>IFERROR(__xludf.DUMMYFUNCTION("""COMPUTED_VALUE"""),"Arina")</f>
        <v>Arina</v>
      </c>
      <c r="G1416" s="6" t="str">
        <f>IFERROR(__xludf.DUMMYFUNCTION("""COMPUTED_VALUE"""),"01/01/2012")</f>
        <v>01/01/2012</v>
      </c>
      <c r="H1416" s="6" t="str">
        <f>IFERROR(__xludf.DUMMYFUNCTION("""COMPUTED_VALUE"""),"Self Identify")</f>
        <v>Self Identify</v>
      </c>
      <c r="I1416" s="6" t="str">
        <f>IFERROR(__xludf.DUMMYFUNCTION("""COMPUTED_VALUE"""),"Middle School")</f>
        <v>Middle School</v>
      </c>
      <c r="J1416" s="6" t="str">
        <f>IFERROR(__xludf.DUMMYFUNCTION("""COMPUTED_VALUE"""),"7")</f>
        <v>7</v>
      </c>
      <c r="K1416" s="6" t="str">
        <f>IFERROR(__xludf.DUMMYFUNCTION("""COMPUTED_VALUE"""),"kozlova.arina@2hourlearning.com")</f>
        <v>kozlova.arina@2hourlearning.com</v>
      </c>
      <c r="L1416" s="6" t="str">
        <f>IFERROR(__xludf.DUMMYFUNCTION("""COMPUTED_VALUE"""),"Learn and Earn Poland")</f>
        <v>Learn and Earn Poland</v>
      </c>
      <c r="M1416" s="6" t="str">
        <f>IFERROR(__xludf.DUMMYFUNCTION("""COMPUTED_VALUE"""),"Budapest Alpha")</f>
        <v>Budapest Alpha</v>
      </c>
      <c r="N1416" s="6" t="str">
        <f>IFERROR(__xludf.DUMMYFUNCTION("""COMPUTED_VALUE"""),"")</f>
        <v/>
      </c>
      <c r="O1416" s="87" t="str">
        <f>IFERROR(__xludf.DUMMYFUNCTION("""COMPUTED_VALUE"""),"https://drive.google.com/drive/folders/10T2cTQHqEJZqE-st6uFKPoI?usp=share_link")</f>
        <v>https://drive.google.com/drive/folders/10T2cTQHqEJZqE-st6uFKPoI?usp=share_link</v>
      </c>
      <c r="P1416" s="6" t="str">
        <f>IFERROR(__xludf.DUMMYFUNCTION("""COMPUTED_VALUE"""),"Kozlova Arina")</f>
        <v>Kozlova Arina</v>
      </c>
      <c r="Q1416" s="6" t="str">
        <f>IFERROR(__xludf.DUMMYFUNCTION("""COMPUTED_VALUE"""),"MS")</f>
        <v>MS</v>
      </c>
      <c r="R1416" s="6">
        <f>IFERROR(__xludf.DUMMYFUNCTION("""COMPUTED_VALUE"""),0.0)</f>
        <v>0</v>
      </c>
      <c r="S1416" s="6" t="str">
        <f>IFERROR(__xludf.DUMMYFUNCTION("""COMPUTED_VALUE""")," ")</f>
        <v> </v>
      </c>
      <c r="T1416" s="6" t="str">
        <f>IFERROR(__xludf.DUMMYFUNCTION("""COMPUTED_VALUE"""),"")</f>
        <v/>
      </c>
      <c r="U1416" s="6" t="str">
        <f>IFERROR(__xludf.DUMMYFUNCTION("""COMPUTED_VALUE"""),"7")</f>
        <v>7</v>
      </c>
      <c r="V1416" s="6" t="str">
        <f>IFERROR(__xludf.DUMMYFUNCTION("""COMPUTED_VALUE"""),"English")</f>
        <v>English</v>
      </c>
      <c r="W1416" s="6" t="str">
        <f>IFERROR(__xludf.DUMMYFUNCTION("""COMPUTED_VALUE"""),"[]")</f>
        <v>[]</v>
      </c>
      <c r="X1416" s="6" t="str">
        <f>IFERROR(__xludf.DUMMYFUNCTION("""COMPUTED_VALUE"""),"Enrolled")</f>
        <v>Enrolled</v>
      </c>
    </row>
    <row r="1417">
      <c r="A1417" s="6" t="str">
        <f>IFERROR(__xludf.DUMMYFUNCTION("""COMPUTED_VALUE"""),"009-1673")</f>
        <v>009-1673</v>
      </c>
      <c r="B1417" s="6" t="str">
        <f>IFERROR(__xludf.DUMMYFUNCTION("""COMPUTED_VALUE"""),"9")</f>
        <v>9</v>
      </c>
      <c r="C1417" s="6" t="str">
        <f>IFERROR(__xludf.DUMMYFUNCTION("""COMPUTED_VALUE"""),"1673")</f>
        <v>1673</v>
      </c>
      <c r="D1417" s="6" t="str">
        <f>IFERROR(__xludf.DUMMYFUNCTION("""COMPUTED_VALUE"""),"Kharlynskaya")</f>
        <v>Kharlynskaya</v>
      </c>
      <c r="E1417" s="6" t="str">
        <f>IFERROR(__xludf.DUMMYFUNCTION("""COMPUTED_VALUE"""),"")</f>
        <v/>
      </c>
      <c r="F1417" s="6" t="str">
        <f>IFERROR(__xludf.DUMMYFUNCTION("""COMPUTED_VALUE"""),"Anastasiya")</f>
        <v>Anastasiya</v>
      </c>
      <c r="G1417" s="6" t="str">
        <f>IFERROR(__xludf.DUMMYFUNCTION("""COMPUTED_VALUE"""),"01/01/2016")</f>
        <v>01/01/2016</v>
      </c>
      <c r="H1417" s="6" t="str">
        <f>IFERROR(__xludf.DUMMYFUNCTION("""COMPUTED_VALUE"""),"Self Identify")</f>
        <v>Self Identify</v>
      </c>
      <c r="I1417" s="6" t="str">
        <f>IFERROR(__xludf.DUMMYFUNCTION("""COMPUTED_VALUE"""),"Level 1")</f>
        <v>Level 1</v>
      </c>
      <c r="J1417" s="6" t="str">
        <f>IFERROR(__xludf.DUMMYFUNCTION("""COMPUTED_VALUE"""),"3")</f>
        <v>3</v>
      </c>
      <c r="K1417" s="6" t="str">
        <f>IFERROR(__xludf.DUMMYFUNCTION("""COMPUTED_VALUE"""),"kharlynskaya.anastasiya@2hourlearning.com")</f>
        <v>kharlynskaya.anastasiya@2hourlearning.com</v>
      </c>
      <c r="L1417" s="6" t="str">
        <f>IFERROR(__xludf.DUMMYFUNCTION("""COMPUTED_VALUE"""),"Learn and Earn Poland")</f>
        <v>Learn and Earn Poland</v>
      </c>
      <c r="M1417" s="6" t="str">
        <f>IFERROR(__xludf.DUMMYFUNCTION("""COMPUTED_VALUE"""),"Budapest ex-GTS")</f>
        <v>Budapest ex-GTS</v>
      </c>
      <c r="N1417" s="6" t="str">
        <f>IFERROR(__xludf.DUMMYFUNCTION("""COMPUTED_VALUE"""),"")</f>
        <v/>
      </c>
      <c r="O1417" s="87" t="str">
        <f>IFERROR(__xludf.DUMMYFUNCTION("""COMPUTED_VALUE"""),"https://drive.google.com/drive/folders/10T2cTQHqEJZqE-st6uFKPoI?usp=share_link")</f>
        <v>https://drive.google.com/drive/folders/10T2cTQHqEJZqE-st6uFKPoI?usp=share_link</v>
      </c>
      <c r="P1417" s="6" t="str">
        <f>IFERROR(__xludf.DUMMYFUNCTION("""COMPUTED_VALUE"""),"Kharlynskaya Anastasiya")</f>
        <v>Kharlynskaya Anastasiya</v>
      </c>
      <c r="Q1417" s="6" t="str">
        <f>IFERROR(__xludf.DUMMYFUNCTION("""COMPUTED_VALUE"""),"L1")</f>
        <v>L1</v>
      </c>
      <c r="R1417" s="6">
        <f>IFERROR(__xludf.DUMMYFUNCTION("""COMPUTED_VALUE"""),1.0)</f>
        <v>1</v>
      </c>
      <c r="S1417" s="6" t="str">
        <f>IFERROR(__xludf.DUMMYFUNCTION("""COMPUTED_VALUE""")," ")</f>
        <v> </v>
      </c>
      <c r="T1417" s="6" t="str">
        <f>IFERROR(__xludf.DUMMYFUNCTION("""COMPUTED_VALUE"""),"")</f>
        <v/>
      </c>
      <c r="U1417" s="6" t="str">
        <f>IFERROR(__xludf.DUMMYFUNCTION("""COMPUTED_VALUE"""),"3")</f>
        <v>3</v>
      </c>
      <c r="V1417" s="6" t="str">
        <f>IFERROR(__xludf.DUMMYFUNCTION("""COMPUTED_VALUE"""),"English")</f>
        <v>English</v>
      </c>
      <c r="W1417" s="6" t="str">
        <f>IFERROR(__xludf.DUMMYFUNCTION("""COMPUTED_VALUE"""),"[]")</f>
        <v>[]</v>
      </c>
      <c r="X1417" s="6" t="str">
        <f>IFERROR(__xludf.DUMMYFUNCTION("""COMPUTED_VALUE"""),"Enrolled")</f>
        <v>Enrolled</v>
      </c>
    </row>
    <row r="1418">
      <c r="A1418" s="6" t="str">
        <f>IFERROR(__xludf.DUMMYFUNCTION("""COMPUTED_VALUE"""),"009-1674")</f>
        <v>009-1674</v>
      </c>
      <c r="B1418" s="6" t="str">
        <f>IFERROR(__xludf.DUMMYFUNCTION("""COMPUTED_VALUE"""),"9")</f>
        <v>9</v>
      </c>
      <c r="C1418" s="6" t="str">
        <f>IFERROR(__xludf.DUMMYFUNCTION("""COMPUTED_VALUE"""),"1674")</f>
        <v>1674</v>
      </c>
      <c r="D1418" s="6" t="str">
        <f>IFERROR(__xludf.DUMMYFUNCTION("""COMPUTED_VALUE"""),"Anisiia")</f>
        <v>Anisiia</v>
      </c>
      <c r="E1418" s="6" t="str">
        <f>IFERROR(__xludf.DUMMYFUNCTION("""COMPUTED_VALUE"""),"")</f>
        <v/>
      </c>
      <c r="F1418" s="6" t="str">
        <f>IFERROR(__xludf.DUMMYFUNCTION("""COMPUTED_VALUE"""),"Zhuravlova")</f>
        <v>Zhuravlova</v>
      </c>
      <c r="G1418" s="6" t="str">
        <f>IFERROR(__xludf.DUMMYFUNCTION("""COMPUTED_VALUE"""),"01/01/2015")</f>
        <v>01/01/2015</v>
      </c>
      <c r="H1418" s="6" t="str">
        <f>IFERROR(__xludf.DUMMYFUNCTION("""COMPUTED_VALUE"""),"Self Identify")</f>
        <v>Self Identify</v>
      </c>
      <c r="I1418" s="6" t="str">
        <f>IFERROR(__xludf.DUMMYFUNCTION("""COMPUTED_VALUE"""),"Level 2")</f>
        <v>Level 2</v>
      </c>
      <c r="J1418" s="6" t="str">
        <f>IFERROR(__xludf.DUMMYFUNCTION("""COMPUTED_VALUE"""),"4")</f>
        <v>4</v>
      </c>
      <c r="K1418" s="6" t="str">
        <f>IFERROR(__xludf.DUMMYFUNCTION("""COMPUTED_VALUE"""),"anisiia.zhuravlova@2hourlearning.com")</f>
        <v>anisiia.zhuravlova@2hourlearning.com</v>
      </c>
      <c r="L1418" s="6" t="str">
        <f>IFERROR(__xludf.DUMMYFUNCTION("""COMPUTED_VALUE"""),"Learn and Earn Poland")</f>
        <v>Learn and Earn Poland</v>
      </c>
      <c r="M1418" s="6" t="str">
        <f>IFERROR(__xludf.DUMMYFUNCTION("""COMPUTED_VALUE"""),"Budapest Alpha")</f>
        <v>Budapest Alpha</v>
      </c>
      <c r="N1418" s="6" t="str">
        <f>IFERROR(__xludf.DUMMYFUNCTION("""COMPUTED_VALUE"""),"")</f>
        <v/>
      </c>
      <c r="O1418" s="87" t="str">
        <f>IFERROR(__xludf.DUMMYFUNCTION("""COMPUTED_VALUE"""),"https://drive.google.com/drive/folders/10T2cTQHqEJZqE-st6uFKPoI?usp=share_link")</f>
        <v>https://drive.google.com/drive/folders/10T2cTQHqEJZqE-st6uFKPoI?usp=share_link</v>
      </c>
      <c r="P1418" s="6" t="str">
        <f>IFERROR(__xludf.DUMMYFUNCTION("""COMPUTED_VALUE"""),"Anisiia Zhuravlova")</f>
        <v>Anisiia Zhuravlova</v>
      </c>
      <c r="Q1418" s="6" t="str">
        <f>IFERROR(__xludf.DUMMYFUNCTION("""COMPUTED_VALUE"""),"L2")</f>
        <v>L2</v>
      </c>
      <c r="R1418" s="6">
        <f>IFERROR(__xludf.DUMMYFUNCTION("""COMPUTED_VALUE"""),2.0)</f>
        <v>2</v>
      </c>
      <c r="S1418" s="6" t="str">
        <f>IFERROR(__xludf.DUMMYFUNCTION("""COMPUTED_VALUE""")," ")</f>
        <v> </v>
      </c>
      <c r="T1418" s="6" t="str">
        <f>IFERROR(__xludf.DUMMYFUNCTION("""COMPUTED_VALUE"""),"")</f>
        <v/>
      </c>
      <c r="U1418" s="6" t="str">
        <f>IFERROR(__xludf.DUMMYFUNCTION("""COMPUTED_VALUE"""),"4")</f>
        <v>4</v>
      </c>
      <c r="V1418" s="6" t="str">
        <f>IFERROR(__xludf.DUMMYFUNCTION("""COMPUTED_VALUE"""),"English")</f>
        <v>English</v>
      </c>
      <c r="W1418" s="6" t="str">
        <f>IFERROR(__xludf.DUMMYFUNCTION("""COMPUTED_VALUE"""),"[]")</f>
        <v>[]</v>
      </c>
      <c r="X1418" s="6" t="str">
        <f>IFERROR(__xludf.DUMMYFUNCTION("""COMPUTED_VALUE"""),"Enrolled")</f>
        <v>Enrolled</v>
      </c>
    </row>
    <row r="1419">
      <c r="A1419" s="6" t="str">
        <f>IFERROR(__xludf.DUMMYFUNCTION("""COMPUTED_VALUE"""),"009-1675")</f>
        <v>009-1675</v>
      </c>
      <c r="B1419" s="6" t="str">
        <f>IFERROR(__xludf.DUMMYFUNCTION("""COMPUTED_VALUE"""),"9")</f>
        <v>9</v>
      </c>
      <c r="C1419" s="6" t="str">
        <f>IFERROR(__xludf.DUMMYFUNCTION("""COMPUTED_VALUE"""),"1675")</f>
        <v>1675</v>
      </c>
      <c r="D1419" s="6" t="str">
        <f>IFERROR(__xludf.DUMMYFUNCTION("""COMPUTED_VALUE"""),"Timur")</f>
        <v>Timur</v>
      </c>
      <c r="E1419" s="6" t="str">
        <f>IFERROR(__xludf.DUMMYFUNCTION("""COMPUTED_VALUE"""),"")</f>
        <v/>
      </c>
      <c r="F1419" s="6" t="str">
        <f>IFERROR(__xludf.DUMMYFUNCTION("""COMPUTED_VALUE"""),"Zhdan-Marichev")</f>
        <v>Zhdan-Marichev</v>
      </c>
      <c r="G1419" s="6" t="str">
        <f>IFERROR(__xludf.DUMMYFUNCTION("""COMPUTED_VALUE"""),"01/01/2010")</f>
        <v>01/01/2010</v>
      </c>
      <c r="H1419" s="6" t="str">
        <f>IFERROR(__xludf.DUMMYFUNCTION("""COMPUTED_VALUE"""),"Self Identify")</f>
        <v>Self Identify</v>
      </c>
      <c r="I1419" s="6" t="str">
        <f>IFERROR(__xludf.DUMMYFUNCTION("""COMPUTED_VALUE"""),"High School")</f>
        <v>High School</v>
      </c>
      <c r="J1419" s="6" t="str">
        <f>IFERROR(__xludf.DUMMYFUNCTION("""COMPUTED_VALUE"""),"9")</f>
        <v>9</v>
      </c>
      <c r="K1419" s="6" t="str">
        <f>IFERROR(__xludf.DUMMYFUNCTION("""COMPUTED_VALUE"""),"timur.zhdan-marichev@2hourlearning.com")</f>
        <v>timur.zhdan-marichev@2hourlearning.com</v>
      </c>
      <c r="L1419" s="6" t="str">
        <f>IFERROR(__xludf.DUMMYFUNCTION("""COMPUTED_VALUE"""),"Learn and Earn Poland")</f>
        <v>Learn and Earn Poland</v>
      </c>
      <c r="M1419" s="6" t="str">
        <f>IFERROR(__xludf.DUMMYFUNCTION("""COMPUTED_VALUE"""),"Budapest Alpha")</f>
        <v>Budapest Alpha</v>
      </c>
      <c r="N1419" s="6" t="str">
        <f>IFERROR(__xludf.DUMMYFUNCTION("""COMPUTED_VALUE"""),"")</f>
        <v/>
      </c>
      <c r="O1419" s="87" t="str">
        <f>IFERROR(__xludf.DUMMYFUNCTION("""COMPUTED_VALUE"""),"https://drive.google.com/drive/folders/10T2cTQHqEJZqE-st6uFKPoI?usp=share_link")</f>
        <v>https://drive.google.com/drive/folders/10T2cTQHqEJZqE-st6uFKPoI?usp=share_link</v>
      </c>
      <c r="P1419" s="6" t="str">
        <f>IFERROR(__xludf.DUMMYFUNCTION("""COMPUTED_VALUE"""),"Timur Zhdan-Marichev")</f>
        <v>Timur Zhdan-Marichev</v>
      </c>
      <c r="Q1419" s="6" t="str">
        <f>IFERROR(__xludf.DUMMYFUNCTION("""COMPUTED_VALUE"""),"HS")</f>
        <v>HS</v>
      </c>
      <c r="R1419" s="6">
        <f>IFERROR(__xludf.DUMMYFUNCTION("""COMPUTED_VALUE"""),0.0)</f>
        <v>0</v>
      </c>
      <c r="S1419" s="6" t="str">
        <f>IFERROR(__xludf.DUMMYFUNCTION("""COMPUTED_VALUE""")," ")</f>
        <v> </v>
      </c>
      <c r="T1419" s="6" t="str">
        <f>IFERROR(__xludf.DUMMYFUNCTION("""COMPUTED_VALUE"""),"")</f>
        <v/>
      </c>
      <c r="U1419" s="6" t="str">
        <f>IFERROR(__xludf.DUMMYFUNCTION("""COMPUTED_VALUE"""),"9")</f>
        <v>9</v>
      </c>
      <c r="V1419" s="6" t="str">
        <f>IFERROR(__xludf.DUMMYFUNCTION("""COMPUTED_VALUE"""),"English")</f>
        <v>English</v>
      </c>
      <c r="W1419" s="6" t="str">
        <f>IFERROR(__xludf.DUMMYFUNCTION("""COMPUTED_VALUE"""),"[]")</f>
        <v>[]</v>
      </c>
      <c r="X1419" s="6" t="str">
        <f>IFERROR(__xludf.DUMMYFUNCTION("""COMPUTED_VALUE"""),"Enrolled")</f>
        <v>Enrolled</v>
      </c>
    </row>
    <row r="1420">
      <c r="A1420" s="6" t="str">
        <f>IFERROR(__xludf.DUMMYFUNCTION("""COMPUTED_VALUE"""),"009-1676")</f>
        <v>009-1676</v>
      </c>
      <c r="B1420" s="6" t="str">
        <f>IFERROR(__xludf.DUMMYFUNCTION("""COMPUTED_VALUE"""),"9")</f>
        <v>9</v>
      </c>
      <c r="C1420" s="6" t="str">
        <f>IFERROR(__xludf.DUMMYFUNCTION("""COMPUTED_VALUE"""),"1676")</f>
        <v>1676</v>
      </c>
      <c r="D1420" s="6" t="str">
        <f>IFERROR(__xludf.DUMMYFUNCTION("""COMPUTED_VALUE"""),"Seleznova")</f>
        <v>Seleznova</v>
      </c>
      <c r="E1420" s="6" t="str">
        <f>IFERROR(__xludf.DUMMYFUNCTION("""COMPUTED_VALUE"""),"")</f>
        <v/>
      </c>
      <c r="F1420" s="6" t="str">
        <f>IFERROR(__xludf.DUMMYFUNCTION("""COMPUTED_VALUE"""),"Veronika")</f>
        <v>Veronika</v>
      </c>
      <c r="G1420" s="6" t="str">
        <f>IFERROR(__xludf.DUMMYFUNCTION("""COMPUTED_VALUE"""),"01/01/2016")</f>
        <v>01/01/2016</v>
      </c>
      <c r="H1420" s="6" t="str">
        <f>IFERROR(__xludf.DUMMYFUNCTION("""COMPUTED_VALUE"""),"Self Identify")</f>
        <v>Self Identify</v>
      </c>
      <c r="I1420" s="6" t="str">
        <f>IFERROR(__xludf.DUMMYFUNCTION("""COMPUTED_VALUE"""),"Level 1")</f>
        <v>Level 1</v>
      </c>
      <c r="J1420" s="6" t="str">
        <f>IFERROR(__xludf.DUMMYFUNCTION("""COMPUTED_VALUE"""),"3")</f>
        <v>3</v>
      </c>
      <c r="K1420" s="6" t="str">
        <f>IFERROR(__xludf.DUMMYFUNCTION("""COMPUTED_VALUE"""),"seleznova.veronika@2hourlearning.com")</f>
        <v>seleznova.veronika@2hourlearning.com</v>
      </c>
      <c r="L1420" s="6" t="str">
        <f>IFERROR(__xludf.DUMMYFUNCTION("""COMPUTED_VALUE"""),"Learn and Earn Poland")</f>
        <v>Learn and Earn Poland</v>
      </c>
      <c r="M1420" s="6" t="str">
        <f>IFERROR(__xludf.DUMMYFUNCTION("""COMPUTED_VALUE"""),"Budapest Alpha")</f>
        <v>Budapest Alpha</v>
      </c>
      <c r="N1420" s="6" t="str">
        <f>IFERROR(__xludf.DUMMYFUNCTION("""COMPUTED_VALUE"""),"")</f>
        <v/>
      </c>
      <c r="O1420" s="87" t="str">
        <f>IFERROR(__xludf.DUMMYFUNCTION("""COMPUTED_VALUE"""),"https://drive.google.com/drive/folders/10T2cTQHqEJZqE-st6uFKPoI?usp=share_link")</f>
        <v>https://drive.google.com/drive/folders/10T2cTQHqEJZqE-st6uFKPoI?usp=share_link</v>
      </c>
      <c r="P1420" s="6" t="str">
        <f>IFERROR(__xludf.DUMMYFUNCTION("""COMPUTED_VALUE"""),"Seleznova Veronika")</f>
        <v>Seleznova Veronika</v>
      </c>
      <c r="Q1420" s="6" t="str">
        <f>IFERROR(__xludf.DUMMYFUNCTION("""COMPUTED_VALUE"""),"L1")</f>
        <v>L1</v>
      </c>
      <c r="R1420" s="6">
        <f>IFERROR(__xludf.DUMMYFUNCTION("""COMPUTED_VALUE"""),1.0)</f>
        <v>1</v>
      </c>
      <c r="S1420" s="6" t="str">
        <f>IFERROR(__xludf.DUMMYFUNCTION("""COMPUTED_VALUE""")," ")</f>
        <v> </v>
      </c>
      <c r="T1420" s="6" t="str">
        <f>IFERROR(__xludf.DUMMYFUNCTION("""COMPUTED_VALUE"""),"")</f>
        <v/>
      </c>
      <c r="U1420" s="6" t="str">
        <f>IFERROR(__xludf.DUMMYFUNCTION("""COMPUTED_VALUE"""),"3")</f>
        <v>3</v>
      </c>
      <c r="V1420" s="6" t="str">
        <f>IFERROR(__xludf.DUMMYFUNCTION("""COMPUTED_VALUE"""),"English")</f>
        <v>English</v>
      </c>
      <c r="W1420" s="6" t="str">
        <f>IFERROR(__xludf.DUMMYFUNCTION("""COMPUTED_VALUE"""),"[]")</f>
        <v>[]</v>
      </c>
      <c r="X1420" s="6" t="str">
        <f>IFERROR(__xludf.DUMMYFUNCTION("""COMPUTED_VALUE"""),"Enrolled")</f>
        <v>Enrolled</v>
      </c>
    </row>
    <row r="1421">
      <c r="A1421" s="6" t="str">
        <f>IFERROR(__xludf.DUMMYFUNCTION("""COMPUTED_VALUE"""),"009-1677")</f>
        <v>009-1677</v>
      </c>
      <c r="B1421" s="6" t="str">
        <f>IFERROR(__xludf.DUMMYFUNCTION("""COMPUTED_VALUE"""),"9")</f>
        <v>9</v>
      </c>
      <c r="C1421" s="6" t="str">
        <f>IFERROR(__xludf.DUMMYFUNCTION("""COMPUTED_VALUE"""),"1677")</f>
        <v>1677</v>
      </c>
      <c r="D1421" s="6" t="str">
        <f>IFERROR(__xludf.DUMMYFUNCTION("""COMPUTED_VALUE"""),"Zhyha")</f>
        <v>Zhyha</v>
      </c>
      <c r="E1421" s="6" t="str">
        <f>IFERROR(__xludf.DUMMYFUNCTION("""COMPUTED_VALUE"""),"")</f>
        <v/>
      </c>
      <c r="F1421" s="6" t="str">
        <f>IFERROR(__xludf.DUMMYFUNCTION("""COMPUTED_VALUE"""),"Illia")</f>
        <v>Illia</v>
      </c>
      <c r="G1421" s="6" t="str">
        <f>IFERROR(__xludf.DUMMYFUNCTION("""COMPUTED_VALUE"""),"01/01/2012")</f>
        <v>01/01/2012</v>
      </c>
      <c r="H1421" s="6" t="str">
        <f>IFERROR(__xludf.DUMMYFUNCTION("""COMPUTED_VALUE"""),"Self Identify")</f>
        <v>Self Identify</v>
      </c>
      <c r="I1421" s="6" t="str">
        <f>IFERROR(__xludf.DUMMYFUNCTION("""COMPUTED_VALUE"""),"Middle School")</f>
        <v>Middle School</v>
      </c>
      <c r="J1421" s="6" t="str">
        <f>IFERROR(__xludf.DUMMYFUNCTION("""COMPUTED_VALUE"""),"7")</f>
        <v>7</v>
      </c>
      <c r="K1421" s="6" t="str">
        <f>IFERROR(__xludf.DUMMYFUNCTION("""COMPUTED_VALUE"""),"zhyha.illia@2hourlearning.com")</f>
        <v>zhyha.illia@2hourlearning.com</v>
      </c>
      <c r="L1421" s="6" t="str">
        <f>IFERROR(__xludf.DUMMYFUNCTION("""COMPUTED_VALUE"""),"Learn and Earn Poland")</f>
        <v>Learn and Earn Poland</v>
      </c>
      <c r="M1421" s="6" t="str">
        <f>IFERROR(__xludf.DUMMYFUNCTION("""COMPUTED_VALUE"""),"Budapest Alpha")</f>
        <v>Budapest Alpha</v>
      </c>
      <c r="N1421" s="6" t="str">
        <f>IFERROR(__xludf.DUMMYFUNCTION("""COMPUTED_VALUE"""),"")</f>
        <v/>
      </c>
      <c r="O1421" s="87" t="str">
        <f>IFERROR(__xludf.DUMMYFUNCTION("""COMPUTED_VALUE"""),"https://drive.google.com/drive/folders/10T2cTQHqEJZqE-st6uFKPoI?usp=share_link")</f>
        <v>https://drive.google.com/drive/folders/10T2cTQHqEJZqE-st6uFKPoI?usp=share_link</v>
      </c>
      <c r="P1421" s="6" t="str">
        <f>IFERROR(__xludf.DUMMYFUNCTION("""COMPUTED_VALUE"""),"Zhyha Illia")</f>
        <v>Zhyha Illia</v>
      </c>
      <c r="Q1421" s="6" t="str">
        <f>IFERROR(__xludf.DUMMYFUNCTION("""COMPUTED_VALUE"""),"MS")</f>
        <v>MS</v>
      </c>
      <c r="R1421" s="6">
        <f>IFERROR(__xludf.DUMMYFUNCTION("""COMPUTED_VALUE"""),0.0)</f>
        <v>0</v>
      </c>
      <c r="S1421" s="6" t="str">
        <f>IFERROR(__xludf.DUMMYFUNCTION("""COMPUTED_VALUE""")," ")</f>
        <v> </v>
      </c>
      <c r="T1421" s="6" t="str">
        <f>IFERROR(__xludf.DUMMYFUNCTION("""COMPUTED_VALUE"""),"")</f>
        <v/>
      </c>
      <c r="U1421" s="6" t="str">
        <f>IFERROR(__xludf.DUMMYFUNCTION("""COMPUTED_VALUE"""),"7")</f>
        <v>7</v>
      </c>
      <c r="V1421" s="6" t="str">
        <f>IFERROR(__xludf.DUMMYFUNCTION("""COMPUTED_VALUE"""),"English")</f>
        <v>English</v>
      </c>
      <c r="W1421" s="6" t="str">
        <f>IFERROR(__xludf.DUMMYFUNCTION("""COMPUTED_VALUE"""),"[]")</f>
        <v>[]</v>
      </c>
      <c r="X1421" s="6" t="str">
        <f>IFERROR(__xludf.DUMMYFUNCTION("""COMPUTED_VALUE"""),"Enrolled")</f>
        <v>Enrolled</v>
      </c>
    </row>
    <row r="1422">
      <c r="A1422" s="6" t="str">
        <f>IFERROR(__xludf.DUMMYFUNCTION("""COMPUTED_VALUE"""),"009-1678")</f>
        <v>009-1678</v>
      </c>
      <c r="B1422" s="6" t="str">
        <f>IFERROR(__xludf.DUMMYFUNCTION("""COMPUTED_VALUE"""),"9")</f>
        <v>9</v>
      </c>
      <c r="C1422" s="6" t="str">
        <f>IFERROR(__xludf.DUMMYFUNCTION("""COMPUTED_VALUE"""),"1678")</f>
        <v>1678</v>
      </c>
      <c r="D1422" s="6" t="str">
        <f>IFERROR(__xludf.DUMMYFUNCTION("""COMPUTED_VALUE"""),"Uliana")</f>
        <v>Uliana</v>
      </c>
      <c r="E1422" s="6" t="str">
        <f>IFERROR(__xludf.DUMMYFUNCTION("""COMPUTED_VALUE"""),"")</f>
        <v/>
      </c>
      <c r="F1422" s="6" t="str">
        <f>IFERROR(__xludf.DUMMYFUNCTION("""COMPUTED_VALUE"""),"Shyshenko")</f>
        <v>Shyshenko</v>
      </c>
      <c r="G1422" s="6" t="str">
        <f>IFERROR(__xludf.DUMMYFUNCTION("""COMPUTED_VALUE"""),"01/01/2015")</f>
        <v>01/01/2015</v>
      </c>
      <c r="H1422" s="6" t="str">
        <f>IFERROR(__xludf.DUMMYFUNCTION("""COMPUTED_VALUE"""),"Self Identify")</f>
        <v>Self Identify</v>
      </c>
      <c r="I1422" s="6" t="str">
        <f>IFERROR(__xludf.DUMMYFUNCTION("""COMPUTED_VALUE"""),"Level 2")</f>
        <v>Level 2</v>
      </c>
      <c r="J1422" s="6" t="str">
        <f>IFERROR(__xludf.DUMMYFUNCTION("""COMPUTED_VALUE"""),"4")</f>
        <v>4</v>
      </c>
      <c r="K1422" s="6" t="str">
        <f>IFERROR(__xludf.DUMMYFUNCTION("""COMPUTED_VALUE"""),"uliana.shyshenko@2hourlearning.com")</f>
        <v>uliana.shyshenko@2hourlearning.com</v>
      </c>
      <c r="L1422" s="6" t="str">
        <f>IFERROR(__xludf.DUMMYFUNCTION("""COMPUTED_VALUE"""),"Learn and Earn Poland")</f>
        <v>Learn and Earn Poland</v>
      </c>
      <c r="M1422" s="6" t="str">
        <f>IFERROR(__xludf.DUMMYFUNCTION("""COMPUTED_VALUE"""),"Budapest Alpha")</f>
        <v>Budapest Alpha</v>
      </c>
      <c r="N1422" s="6" t="str">
        <f>IFERROR(__xludf.DUMMYFUNCTION("""COMPUTED_VALUE"""),"")</f>
        <v/>
      </c>
      <c r="O1422" s="87" t="str">
        <f>IFERROR(__xludf.DUMMYFUNCTION("""COMPUTED_VALUE"""),"https://drive.google.com/drive/folders/10T2cTQHqEJZqE-st6uFKPoI?usp=share_link")</f>
        <v>https://drive.google.com/drive/folders/10T2cTQHqEJZqE-st6uFKPoI?usp=share_link</v>
      </c>
      <c r="P1422" s="6" t="str">
        <f>IFERROR(__xludf.DUMMYFUNCTION("""COMPUTED_VALUE"""),"Uliana Shyshenko")</f>
        <v>Uliana Shyshenko</v>
      </c>
      <c r="Q1422" s="6" t="str">
        <f>IFERROR(__xludf.DUMMYFUNCTION("""COMPUTED_VALUE"""),"L2")</f>
        <v>L2</v>
      </c>
      <c r="R1422" s="6">
        <f>IFERROR(__xludf.DUMMYFUNCTION("""COMPUTED_VALUE"""),2.0)</f>
        <v>2</v>
      </c>
      <c r="S1422" s="6" t="str">
        <f>IFERROR(__xludf.DUMMYFUNCTION("""COMPUTED_VALUE""")," ")</f>
        <v> </v>
      </c>
      <c r="T1422" s="6" t="str">
        <f>IFERROR(__xludf.DUMMYFUNCTION("""COMPUTED_VALUE"""),"")</f>
        <v/>
      </c>
      <c r="U1422" s="6" t="str">
        <f>IFERROR(__xludf.DUMMYFUNCTION("""COMPUTED_VALUE"""),"4")</f>
        <v>4</v>
      </c>
      <c r="V1422" s="6" t="str">
        <f>IFERROR(__xludf.DUMMYFUNCTION("""COMPUTED_VALUE"""),"English")</f>
        <v>English</v>
      </c>
      <c r="W1422" s="6" t="str">
        <f>IFERROR(__xludf.DUMMYFUNCTION("""COMPUTED_VALUE"""),"[]")</f>
        <v>[]</v>
      </c>
      <c r="X1422" s="6" t="str">
        <f>IFERROR(__xludf.DUMMYFUNCTION("""COMPUTED_VALUE"""),"Enrolled")</f>
        <v>Enrolled</v>
      </c>
    </row>
    <row r="1423">
      <c r="A1423" s="6" t="str">
        <f>IFERROR(__xludf.DUMMYFUNCTION("""COMPUTED_VALUE"""),"009-1679")</f>
        <v>009-1679</v>
      </c>
      <c r="B1423" s="6" t="str">
        <f>IFERROR(__xludf.DUMMYFUNCTION("""COMPUTED_VALUE"""),"9")</f>
        <v>9</v>
      </c>
      <c r="C1423" s="6" t="str">
        <f>IFERROR(__xludf.DUMMYFUNCTION("""COMPUTED_VALUE"""),"1679")</f>
        <v>1679</v>
      </c>
      <c r="D1423" s="6" t="str">
        <f>IFERROR(__xludf.DUMMYFUNCTION("""COMPUTED_VALUE"""),"Mate")</f>
        <v>Mate</v>
      </c>
      <c r="E1423" s="6" t="str">
        <f>IFERROR(__xludf.DUMMYFUNCTION("""COMPUTED_VALUE"""),"")</f>
        <v/>
      </c>
      <c r="F1423" s="6" t="str">
        <f>IFERROR(__xludf.DUMMYFUNCTION("""COMPUTED_VALUE"""),"Kristof")</f>
        <v>Kristof</v>
      </c>
      <c r="G1423" s="6" t="str">
        <f>IFERROR(__xludf.DUMMYFUNCTION("""COMPUTED_VALUE"""),"01/01/2016")</f>
        <v>01/01/2016</v>
      </c>
      <c r="H1423" s="6" t="str">
        <f>IFERROR(__xludf.DUMMYFUNCTION("""COMPUTED_VALUE"""),"Self Identify")</f>
        <v>Self Identify</v>
      </c>
      <c r="I1423" s="6" t="str">
        <f>IFERROR(__xludf.DUMMYFUNCTION("""COMPUTED_VALUE"""),"Level 1")</f>
        <v>Level 1</v>
      </c>
      <c r="J1423" s="6" t="str">
        <f>IFERROR(__xludf.DUMMYFUNCTION("""COMPUTED_VALUE"""),"3")</f>
        <v>3</v>
      </c>
      <c r="K1423" s="6" t="str">
        <f>IFERROR(__xludf.DUMMYFUNCTION("""COMPUTED_VALUE"""),"mate.kristof@2hourlearning.com")</f>
        <v>mate.kristof@2hourlearning.com</v>
      </c>
      <c r="L1423" s="6" t="str">
        <f>IFERROR(__xludf.DUMMYFUNCTION("""COMPUTED_VALUE"""),"Learn and Earn Poland")</f>
        <v>Learn and Earn Poland</v>
      </c>
      <c r="M1423" s="6" t="str">
        <f>IFERROR(__xludf.DUMMYFUNCTION("""COMPUTED_VALUE"""),"Budapest Alpha")</f>
        <v>Budapest Alpha</v>
      </c>
      <c r="N1423" s="6" t="str">
        <f>IFERROR(__xludf.DUMMYFUNCTION("""COMPUTED_VALUE"""),"")</f>
        <v/>
      </c>
      <c r="O1423" s="87" t="str">
        <f>IFERROR(__xludf.DUMMYFUNCTION("""COMPUTED_VALUE"""),"https://drive.google.com/drive/folders/10T2cTQHqEJZqE-st6uFKPoI?usp=share_link")</f>
        <v>https://drive.google.com/drive/folders/10T2cTQHqEJZqE-st6uFKPoI?usp=share_link</v>
      </c>
      <c r="P1423" s="6" t="str">
        <f>IFERROR(__xludf.DUMMYFUNCTION("""COMPUTED_VALUE"""),"Mate Kristof")</f>
        <v>Mate Kristof</v>
      </c>
      <c r="Q1423" s="6" t="str">
        <f>IFERROR(__xludf.DUMMYFUNCTION("""COMPUTED_VALUE"""),"L1")</f>
        <v>L1</v>
      </c>
      <c r="R1423" s="6">
        <f>IFERROR(__xludf.DUMMYFUNCTION("""COMPUTED_VALUE"""),1.0)</f>
        <v>1</v>
      </c>
      <c r="S1423" s="6" t="str">
        <f>IFERROR(__xludf.DUMMYFUNCTION("""COMPUTED_VALUE""")," ")</f>
        <v> </v>
      </c>
      <c r="T1423" s="6" t="str">
        <f>IFERROR(__xludf.DUMMYFUNCTION("""COMPUTED_VALUE"""),"")</f>
        <v/>
      </c>
      <c r="U1423" s="6" t="str">
        <f>IFERROR(__xludf.DUMMYFUNCTION("""COMPUTED_VALUE"""),"3")</f>
        <v>3</v>
      </c>
      <c r="V1423" s="6" t="str">
        <f>IFERROR(__xludf.DUMMYFUNCTION("""COMPUTED_VALUE"""),"English")</f>
        <v>English</v>
      </c>
      <c r="W1423" s="6" t="str">
        <f>IFERROR(__xludf.DUMMYFUNCTION("""COMPUTED_VALUE"""),"[]")</f>
        <v>[]</v>
      </c>
      <c r="X1423" s="6" t="str">
        <f>IFERROR(__xludf.DUMMYFUNCTION("""COMPUTED_VALUE"""),"Enrolled")</f>
        <v>Enrolled</v>
      </c>
    </row>
    <row r="1424">
      <c r="A1424" s="6" t="str">
        <f>IFERROR(__xludf.DUMMYFUNCTION("""COMPUTED_VALUE"""),"009-1680")</f>
        <v>009-1680</v>
      </c>
      <c r="B1424" s="6" t="str">
        <f>IFERROR(__xludf.DUMMYFUNCTION("""COMPUTED_VALUE"""),"9")</f>
        <v>9</v>
      </c>
      <c r="C1424" s="6" t="str">
        <f>IFERROR(__xludf.DUMMYFUNCTION("""COMPUTED_VALUE"""),"1680")</f>
        <v>1680</v>
      </c>
      <c r="D1424" s="6" t="str">
        <f>IFERROR(__xludf.DUMMYFUNCTION("""COMPUTED_VALUE"""),"Oleksii")</f>
        <v>Oleksii</v>
      </c>
      <c r="E1424" s="6" t="str">
        <f>IFERROR(__xludf.DUMMYFUNCTION("""COMPUTED_VALUE"""),"")</f>
        <v/>
      </c>
      <c r="F1424" s="6" t="str">
        <f>IFERROR(__xludf.DUMMYFUNCTION("""COMPUTED_VALUE"""),"Svitailo")</f>
        <v>Svitailo</v>
      </c>
      <c r="G1424" s="6" t="str">
        <f>IFERROR(__xludf.DUMMYFUNCTION("""COMPUTED_VALUE"""),"01/01/2015")</f>
        <v>01/01/2015</v>
      </c>
      <c r="H1424" s="6" t="str">
        <f>IFERROR(__xludf.DUMMYFUNCTION("""COMPUTED_VALUE"""),"Self Identify")</f>
        <v>Self Identify</v>
      </c>
      <c r="I1424" s="6" t="str">
        <f>IFERROR(__xludf.DUMMYFUNCTION("""COMPUTED_VALUE"""),"Level 2")</f>
        <v>Level 2</v>
      </c>
      <c r="J1424" s="6" t="str">
        <f>IFERROR(__xludf.DUMMYFUNCTION("""COMPUTED_VALUE"""),"4")</f>
        <v>4</v>
      </c>
      <c r="K1424" s="6" t="str">
        <f>IFERROR(__xludf.DUMMYFUNCTION("""COMPUTED_VALUE"""),"oleksii.svitailo@2hourlearning.com")</f>
        <v>oleksii.svitailo@2hourlearning.com</v>
      </c>
      <c r="L1424" s="6" t="str">
        <f>IFERROR(__xludf.DUMMYFUNCTION("""COMPUTED_VALUE"""),"Learn and Earn Poland")</f>
        <v>Learn and Earn Poland</v>
      </c>
      <c r="M1424" s="6" t="str">
        <f>IFERROR(__xludf.DUMMYFUNCTION("""COMPUTED_VALUE"""),"Budapest Alpha")</f>
        <v>Budapest Alpha</v>
      </c>
      <c r="N1424" s="6" t="str">
        <f>IFERROR(__xludf.DUMMYFUNCTION("""COMPUTED_VALUE"""),"")</f>
        <v/>
      </c>
      <c r="O1424" s="87" t="str">
        <f>IFERROR(__xludf.DUMMYFUNCTION("""COMPUTED_VALUE"""),"https://drive.google.com/drive/folders/10T2cTQHqEJZqE-st6uFKPoI?usp=share_link")</f>
        <v>https://drive.google.com/drive/folders/10T2cTQHqEJZqE-st6uFKPoI?usp=share_link</v>
      </c>
      <c r="P1424" s="6" t="str">
        <f>IFERROR(__xludf.DUMMYFUNCTION("""COMPUTED_VALUE"""),"Oleksii Svitailo")</f>
        <v>Oleksii Svitailo</v>
      </c>
      <c r="Q1424" s="6" t="str">
        <f>IFERROR(__xludf.DUMMYFUNCTION("""COMPUTED_VALUE"""),"L2")</f>
        <v>L2</v>
      </c>
      <c r="R1424" s="6">
        <f>IFERROR(__xludf.DUMMYFUNCTION("""COMPUTED_VALUE"""),2.0)</f>
        <v>2</v>
      </c>
      <c r="S1424" s="6" t="str">
        <f>IFERROR(__xludf.DUMMYFUNCTION("""COMPUTED_VALUE""")," ")</f>
        <v> </v>
      </c>
      <c r="T1424" s="6" t="str">
        <f>IFERROR(__xludf.DUMMYFUNCTION("""COMPUTED_VALUE"""),"")</f>
        <v/>
      </c>
      <c r="U1424" s="6" t="str">
        <f>IFERROR(__xludf.DUMMYFUNCTION("""COMPUTED_VALUE"""),"4")</f>
        <v>4</v>
      </c>
      <c r="V1424" s="6" t="str">
        <f>IFERROR(__xludf.DUMMYFUNCTION("""COMPUTED_VALUE"""),"English")</f>
        <v>English</v>
      </c>
      <c r="W1424" s="6" t="str">
        <f>IFERROR(__xludf.DUMMYFUNCTION("""COMPUTED_VALUE"""),"[]")</f>
        <v>[]</v>
      </c>
      <c r="X1424" s="6" t="str">
        <f>IFERROR(__xludf.DUMMYFUNCTION("""COMPUTED_VALUE"""),"Enrolled")</f>
        <v>Enrolled</v>
      </c>
    </row>
    <row r="1425">
      <c r="A1425" s="6" t="str">
        <f>IFERROR(__xludf.DUMMYFUNCTION("""COMPUTED_VALUE"""),"009-1681")</f>
        <v>009-1681</v>
      </c>
      <c r="B1425" s="6" t="str">
        <f>IFERROR(__xludf.DUMMYFUNCTION("""COMPUTED_VALUE"""),"9")</f>
        <v>9</v>
      </c>
      <c r="C1425" s="6" t="str">
        <f>IFERROR(__xludf.DUMMYFUNCTION("""COMPUTED_VALUE"""),"1681")</f>
        <v>1681</v>
      </c>
      <c r="D1425" s="6" t="str">
        <f>IFERROR(__xludf.DUMMYFUNCTION("""COMPUTED_VALUE"""),"Bohdan")</f>
        <v>Bohdan</v>
      </c>
      <c r="E1425" s="6" t="str">
        <f>IFERROR(__xludf.DUMMYFUNCTION("""COMPUTED_VALUE"""),"")</f>
        <v/>
      </c>
      <c r="F1425" s="6" t="str">
        <f>IFERROR(__xludf.DUMMYFUNCTION("""COMPUTED_VALUE"""),"Moskalenko")</f>
        <v>Moskalenko</v>
      </c>
      <c r="G1425" s="6" t="str">
        <f>IFERROR(__xludf.DUMMYFUNCTION("""COMPUTED_VALUE"""),"01/01/2017")</f>
        <v>01/01/2017</v>
      </c>
      <c r="H1425" s="6" t="str">
        <f>IFERROR(__xludf.DUMMYFUNCTION("""COMPUTED_VALUE"""),"Self Identify")</f>
        <v>Self Identify</v>
      </c>
      <c r="I1425" s="6" t="str">
        <f>IFERROR(__xludf.DUMMYFUNCTION("""COMPUTED_VALUE"""),"Level 1")</f>
        <v>Level 1</v>
      </c>
      <c r="J1425" s="6" t="str">
        <f>IFERROR(__xludf.DUMMYFUNCTION("""COMPUTED_VALUE"""),"2")</f>
        <v>2</v>
      </c>
      <c r="K1425" s="6" t="str">
        <f>IFERROR(__xludf.DUMMYFUNCTION("""COMPUTED_VALUE"""),"bohdan.moskalenko@2hourlearning.com")</f>
        <v>bohdan.moskalenko@2hourlearning.com</v>
      </c>
      <c r="L1425" s="6" t="str">
        <f>IFERROR(__xludf.DUMMYFUNCTION("""COMPUTED_VALUE"""),"Learn and Earn Poland")</f>
        <v>Learn and Earn Poland</v>
      </c>
      <c r="M1425" s="6" t="str">
        <f>IFERROR(__xludf.DUMMYFUNCTION("""COMPUTED_VALUE"""),"Budapest Alpha")</f>
        <v>Budapest Alpha</v>
      </c>
      <c r="N1425" s="6" t="str">
        <f>IFERROR(__xludf.DUMMYFUNCTION("""COMPUTED_VALUE"""),"")</f>
        <v/>
      </c>
      <c r="O1425" s="87" t="str">
        <f>IFERROR(__xludf.DUMMYFUNCTION("""COMPUTED_VALUE"""),"https://drive.google.com/drive/folders/10T2cTQHqEJZqE-st6uFKPoI?usp=share_link")</f>
        <v>https://drive.google.com/drive/folders/10T2cTQHqEJZqE-st6uFKPoI?usp=share_link</v>
      </c>
      <c r="P1425" s="6" t="str">
        <f>IFERROR(__xludf.DUMMYFUNCTION("""COMPUTED_VALUE"""),"Bohdan Moskalenko")</f>
        <v>Bohdan Moskalenko</v>
      </c>
      <c r="Q1425" s="6" t="str">
        <f>IFERROR(__xludf.DUMMYFUNCTION("""COMPUTED_VALUE"""),"L1")</f>
        <v>L1</v>
      </c>
      <c r="R1425" s="6">
        <f>IFERROR(__xludf.DUMMYFUNCTION("""COMPUTED_VALUE"""),1.0)</f>
        <v>1</v>
      </c>
      <c r="S1425" s="6" t="str">
        <f>IFERROR(__xludf.DUMMYFUNCTION("""COMPUTED_VALUE""")," ")</f>
        <v> </v>
      </c>
      <c r="T1425" s="6" t="str">
        <f>IFERROR(__xludf.DUMMYFUNCTION("""COMPUTED_VALUE"""),"")</f>
        <v/>
      </c>
      <c r="U1425" s="6" t="str">
        <f>IFERROR(__xludf.DUMMYFUNCTION("""COMPUTED_VALUE"""),"2")</f>
        <v>2</v>
      </c>
      <c r="V1425" s="6" t="str">
        <f>IFERROR(__xludf.DUMMYFUNCTION("""COMPUTED_VALUE"""),"English")</f>
        <v>English</v>
      </c>
      <c r="W1425" s="6" t="str">
        <f>IFERROR(__xludf.DUMMYFUNCTION("""COMPUTED_VALUE"""),"[]")</f>
        <v>[]</v>
      </c>
      <c r="X1425" s="6" t="str">
        <f>IFERROR(__xludf.DUMMYFUNCTION("""COMPUTED_VALUE"""),"Enrolled")</f>
        <v>Enrolled</v>
      </c>
    </row>
    <row r="1426">
      <c r="A1426" s="6" t="str">
        <f>IFERROR(__xludf.DUMMYFUNCTION("""COMPUTED_VALUE"""),"009-1682")</f>
        <v>009-1682</v>
      </c>
      <c r="B1426" s="6" t="str">
        <f>IFERROR(__xludf.DUMMYFUNCTION("""COMPUTED_VALUE"""),"9")</f>
        <v>9</v>
      </c>
      <c r="C1426" s="6" t="str">
        <f>IFERROR(__xludf.DUMMYFUNCTION("""COMPUTED_VALUE"""),"1682")</f>
        <v>1682</v>
      </c>
      <c r="D1426" s="6" t="str">
        <f>IFERROR(__xludf.DUMMYFUNCTION("""COMPUTED_VALUE"""),"Blinkov")</f>
        <v>Blinkov</v>
      </c>
      <c r="E1426" s="6" t="str">
        <f>IFERROR(__xludf.DUMMYFUNCTION("""COMPUTED_VALUE"""),"")</f>
        <v/>
      </c>
      <c r="F1426" s="6" t="str">
        <f>IFERROR(__xludf.DUMMYFUNCTION("""COMPUTED_VALUE"""),"Zakhar")</f>
        <v>Zakhar</v>
      </c>
      <c r="G1426" s="6" t="str">
        <f>IFERROR(__xludf.DUMMYFUNCTION("""COMPUTED_VALUE"""),"01/01/2014")</f>
        <v>01/01/2014</v>
      </c>
      <c r="H1426" s="6" t="str">
        <f>IFERROR(__xludf.DUMMYFUNCTION("""COMPUTED_VALUE"""),"Self Identify")</f>
        <v>Self Identify</v>
      </c>
      <c r="I1426" s="6" t="str">
        <f>IFERROR(__xludf.DUMMYFUNCTION("""COMPUTED_VALUE"""),"Level 2")</f>
        <v>Level 2</v>
      </c>
      <c r="J1426" s="6" t="str">
        <f>IFERROR(__xludf.DUMMYFUNCTION("""COMPUTED_VALUE"""),"5")</f>
        <v>5</v>
      </c>
      <c r="K1426" s="6" t="str">
        <f>IFERROR(__xludf.DUMMYFUNCTION("""COMPUTED_VALUE"""),"blinkov.zakhar@2hourlearning.com")</f>
        <v>blinkov.zakhar@2hourlearning.com</v>
      </c>
      <c r="L1426" s="6" t="str">
        <f>IFERROR(__xludf.DUMMYFUNCTION("""COMPUTED_VALUE"""),"Learn and Earn Poland")</f>
        <v>Learn and Earn Poland</v>
      </c>
      <c r="M1426" s="6" t="str">
        <f>IFERROR(__xludf.DUMMYFUNCTION("""COMPUTED_VALUE"""),"Budapest ex-GTS")</f>
        <v>Budapest ex-GTS</v>
      </c>
      <c r="N1426" s="6" t="str">
        <f>IFERROR(__xludf.DUMMYFUNCTION("""COMPUTED_VALUE"""),"")</f>
        <v/>
      </c>
      <c r="O1426" s="87" t="str">
        <f>IFERROR(__xludf.DUMMYFUNCTION("""COMPUTED_VALUE"""),"https://drive.google.com/drive/folders/10T2cTQHqEJZqE-st6uFKPoI?usp=share_link")</f>
        <v>https://drive.google.com/drive/folders/10T2cTQHqEJZqE-st6uFKPoI?usp=share_link</v>
      </c>
      <c r="P1426" s="6" t="str">
        <f>IFERROR(__xludf.DUMMYFUNCTION("""COMPUTED_VALUE"""),"Blinkov Zakhar")</f>
        <v>Blinkov Zakhar</v>
      </c>
      <c r="Q1426" s="6" t="str">
        <f>IFERROR(__xludf.DUMMYFUNCTION("""COMPUTED_VALUE"""),"L2")</f>
        <v>L2</v>
      </c>
      <c r="R1426" s="6">
        <f>IFERROR(__xludf.DUMMYFUNCTION("""COMPUTED_VALUE"""),2.0)</f>
        <v>2</v>
      </c>
      <c r="S1426" s="6" t="str">
        <f>IFERROR(__xludf.DUMMYFUNCTION("""COMPUTED_VALUE""")," ")</f>
        <v> </v>
      </c>
      <c r="T1426" s="6" t="str">
        <f>IFERROR(__xludf.DUMMYFUNCTION("""COMPUTED_VALUE"""),"")</f>
        <v/>
      </c>
      <c r="U1426" s="6" t="str">
        <f>IFERROR(__xludf.DUMMYFUNCTION("""COMPUTED_VALUE"""),"5")</f>
        <v>5</v>
      </c>
      <c r="V1426" s="6" t="str">
        <f>IFERROR(__xludf.DUMMYFUNCTION("""COMPUTED_VALUE"""),"English")</f>
        <v>English</v>
      </c>
      <c r="W1426" s="6" t="str">
        <f>IFERROR(__xludf.DUMMYFUNCTION("""COMPUTED_VALUE"""),"[]")</f>
        <v>[]</v>
      </c>
      <c r="X1426" s="6" t="str">
        <f>IFERROR(__xludf.DUMMYFUNCTION("""COMPUTED_VALUE"""),"Enrolled")</f>
        <v>Enrolled</v>
      </c>
    </row>
    <row r="1427">
      <c r="A1427" s="6" t="str">
        <f>IFERROR(__xludf.DUMMYFUNCTION("""COMPUTED_VALUE"""),"009-1683")</f>
        <v>009-1683</v>
      </c>
      <c r="B1427" s="6" t="str">
        <f>IFERROR(__xludf.DUMMYFUNCTION("""COMPUTED_VALUE"""),"9")</f>
        <v>9</v>
      </c>
      <c r="C1427" s="6" t="str">
        <f>IFERROR(__xludf.DUMMYFUNCTION("""COMPUTED_VALUE"""),"1683")</f>
        <v>1683</v>
      </c>
      <c r="D1427" s="6" t="str">
        <f>IFERROR(__xludf.DUMMYFUNCTION("""COMPUTED_VALUE"""),"Kovalova")</f>
        <v>Kovalova</v>
      </c>
      <c r="E1427" s="6" t="str">
        <f>IFERROR(__xludf.DUMMYFUNCTION("""COMPUTED_VALUE"""),"")</f>
        <v/>
      </c>
      <c r="F1427" s="6" t="str">
        <f>IFERROR(__xludf.DUMMYFUNCTION("""COMPUTED_VALUE"""),"Olexandra")</f>
        <v>Olexandra</v>
      </c>
      <c r="G1427" s="6" t="str">
        <f>IFERROR(__xludf.DUMMYFUNCTION("""COMPUTED_VALUE"""),"01/01/2017")</f>
        <v>01/01/2017</v>
      </c>
      <c r="H1427" s="6" t="str">
        <f>IFERROR(__xludf.DUMMYFUNCTION("""COMPUTED_VALUE"""),"Self Identify")</f>
        <v>Self Identify</v>
      </c>
      <c r="I1427" s="6" t="str">
        <f>IFERROR(__xludf.DUMMYFUNCTION("""COMPUTED_VALUE"""),"Level 1")</f>
        <v>Level 1</v>
      </c>
      <c r="J1427" s="6" t="str">
        <f>IFERROR(__xludf.DUMMYFUNCTION("""COMPUTED_VALUE"""),"2")</f>
        <v>2</v>
      </c>
      <c r="K1427" s="6" t="str">
        <f>IFERROR(__xludf.DUMMYFUNCTION("""COMPUTED_VALUE"""),"kovalova.olexandra@2hourlearning.com")</f>
        <v>kovalova.olexandra@2hourlearning.com</v>
      </c>
      <c r="L1427" s="6" t="str">
        <f>IFERROR(__xludf.DUMMYFUNCTION("""COMPUTED_VALUE"""),"Learn and Earn Poland")</f>
        <v>Learn and Earn Poland</v>
      </c>
      <c r="M1427" s="6" t="str">
        <f>IFERROR(__xludf.DUMMYFUNCTION("""COMPUTED_VALUE"""),"Budapest Alpha")</f>
        <v>Budapest Alpha</v>
      </c>
      <c r="N1427" s="6" t="str">
        <f>IFERROR(__xludf.DUMMYFUNCTION("""COMPUTED_VALUE"""),"")</f>
        <v/>
      </c>
      <c r="O1427" s="87" t="str">
        <f>IFERROR(__xludf.DUMMYFUNCTION("""COMPUTED_VALUE"""),"https://drive.google.com/drive/folders/10T2cTQHqEJZqE-st6uFKPoI?usp=share_link")</f>
        <v>https://drive.google.com/drive/folders/10T2cTQHqEJZqE-st6uFKPoI?usp=share_link</v>
      </c>
      <c r="P1427" s="6" t="str">
        <f>IFERROR(__xludf.DUMMYFUNCTION("""COMPUTED_VALUE"""),"Kovalova Olexandra")</f>
        <v>Kovalova Olexandra</v>
      </c>
      <c r="Q1427" s="6" t="str">
        <f>IFERROR(__xludf.DUMMYFUNCTION("""COMPUTED_VALUE"""),"L1")</f>
        <v>L1</v>
      </c>
      <c r="R1427" s="6">
        <f>IFERROR(__xludf.DUMMYFUNCTION("""COMPUTED_VALUE"""),1.0)</f>
        <v>1</v>
      </c>
      <c r="S1427" s="6" t="str">
        <f>IFERROR(__xludf.DUMMYFUNCTION("""COMPUTED_VALUE""")," ")</f>
        <v> </v>
      </c>
      <c r="T1427" s="6" t="str">
        <f>IFERROR(__xludf.DUMMYFUNCTION("""COMPUTED_VALUE"""),"")</f>
        <v/>
      </c>
      <c r="U1427" s="6" t="str">
        <f>IFERROR(__xludf.DUMMYFUNCTION("""COMPUTED_VALUE"""),"2")</f>
        <v>2</v>
      </c>
      <c r="V1427" s="6" t="str">
        <f>IFERROR(__xludf.DUMMYFUNCTION("""COMPUTED_VALUE"""),"English")</f>
        <v>English</v>
      </c>
      <c r="W1427" s="6" t="str">
        <f>IFERROR(__xludf.DUMMYFUNCTION("""COMPUTED_VALUE"""),"[]")</f>
        <v>[]</v>
      </c>
      <c r="X1427" s="6" t="str">
        <f>IFERROR(__xludf.DUMMYFUNCTION("""COMPUTED_VALUE"""),"Enrolled")</f>
        <v>Enrolled</v>
      </c>
    </row>
    <row r="1428">
      <c r="A1428" s="6" t="str">
        <f>IFERROR(__xludf.DUMMYFUNCTION("""COMPUTED_VALUE"""),"009-1684")</f>
        <v>009-1684</v>
      </c>
      <c r="B1428" s="6" t="str">
        <f>IFERROR(__xludf.DUMMYFUNCTION("""COMPUTED_VALUE"""),"9")</f>
        <v>9</v>
      </c>
      <c r="C1428" s="6" t="str">
        <f>IFERROR(__xludf.DUMMYFUNCTION("""COMPUTED_VALUE"""),"1684")</f>
        <v>1684</v>
      </c>
      <c r="D1428" s="6" t="str">
        <f>IFERROR(__xludf.DUMMYFUNCTION("""COMPUTED_VALUE"""),"Piddubnyi")</f>
        <v>Piddubnyi</v>
      </c>
      <c r="E1428" s="6" t="str">
        <f>IFERROR(__xludf.DUMMYFUNCTION("""COMPUTED_VALUE"""),"")</f>
        <v/>
      </c>
      <c r="F1428" s="6" t="str">
        <f>IFERROR(__xludf.DUMMYFUNCTION("""COMPUTED_VALUE"""),"Daniil")</f>
        <v>Daniil</v>
      </c>
      <c r="G1428" s="6" t="str">
        <f>IFERROR(__xludf.DUMMYFUNCTION("""COMPUTED_VALUE"""),"01/01/2007")</f>
        <v>01/01/2007</v>
      </c>
      <c r="H1428" s="6" t="str">
        <f>IFERROR(__xludf.DUMMYFUNCTION("""COMPUTED_VALUE"""),"Self Identify")</f>
        <v>Self Identify</v>
      </c>
      <c r="I1428" s="6" t="str">
        <f>IFERROR(__xludf.DUMMYFUNCTION("""COMPUTED_VALUE"""),"High School")</f>
        <v>High School</v>
      </c>
      <c r="J1428" s="6" t="str">
        <f>IFERROR(__xludf.DUMMYFUNCTION("""COMPUTED_VALUE"""),"12")</f>
        <v>12</v>
      </c>
      <c r="K1428" s="6" t="str">
        <f>IFERROR(__xludf.DUMMYFUNCTION("""COMPUTED_VALUE"""),"piddubnyi.daniil@2hourlearning.com")</f>
        <v>piddubnyi.daniil@2hourlearning.com</v>
      </c>
      <c r="L1428" s="6" t="str">
        <f>IFERROR(__xludf.DUMMYFUNCTION("""COMPUTED_VALUE"""),"Learn and Earn Poland")</f>
        <v>Learn and Earn Poland</v>
      </c>
      <c r="M1428" s="6" t="str">
        <f>IFERROR(__xludf.DUMMYFUNCTION("""COMPUTED_VALUE"""),"Budapest Alpha")</f>
        <v>Budapest Alpha</v>
      </c>
      <c r="N1428" s="6" t="str">
        <f>IFERROR(__xludf.DUMMYFUNCTION("""COMPUTED_VALUE"""),"")</f>
        <v/>
      </c>
      <c r="O1428" s="87" t="str">
        <f>IFERROR(__xludf.DUMMYFUNCTION("""COMPUTED_VALUE"""),"https://drive.google.com/drive/folders/10T2cTQHqEJZqE-st6uFKPoI?usp=share_link")</f>
        <v>https://drive.google.com/drive/folders/10T2cTQHqEJZqE-st6uFKPoI?usp=share_link</v>
      </c>
      <c r="P1428" s="6" t="str">
        <f>IFERROR(__xludf.DUMMYFUNCTION("""COMPUTED_VALUE"""),"Piddubnyi Daniil")</f>
        <v>Piddubnyi Daniil</v>
      </c>
      <c r="Q1428" s="6" t="str">
        <f>IFERROR(__xludf.DUMMYFUNCTION("""COMPUTED_VALUE"""),"HS")</f>
        <v>HS</v>
      </c>
      <c r="R1428" s="6">
        <f>IFERROR(__xludf.DUMMYFUNCTION("""COMPUTED_VALUE"""),0.0)</f>
        <v>0</v>
      </c>
      <c r="S1428" s="6" t="str">
        <f>IFERROR(__xludf.DUMMYFUNCTION("""COMPUTED_VALUE""")," ")</f>
        <v> </v>
      </c>
      <c r="T1428" s="6" t="str">
        <f>IFERROR(__xludf.DUMMYFUNCTION("""COMPUTED_VALUE"""),"")</f>
        <v/>
      </c>
      <c r="U1428" s="6" t="str">
        <f>IFERROR(__xludf.DUMMYFUNCTION("""COMPUTED_VALUE"""),"12")</f>
        <v>12</v>
      </c>
      <c r="V1428" s="6" t="str">
        <f>IFERROR(__xludf.DUMMYFUNCTION("""COMPUTED_VALUE"""),"English")</f>
        <v>English</v>
      </c>
      <c r="W1428" s="6" t="str">
        <f>IFERROR(__xludf.DUMMYFUNCTION("""COMPUTED_VALUE"""),"[]")</f>
        <v>[]</v>
      </c>
      <c r="X1428" s="6" t="str">
        <f>IFERROR(__xludf.DUMMYFUNCTION("""COMPUTED_VALUE"""),"Enrolled")</f>
        <v>Enrolled</v>
      </c>
    </row>
    <row r="1429">
      <c r="A1429" s="6" t="str">
        <f>IFERROR(__xludf.DUMMYFUNCTION("""COMPUTED_VALUE"""),"009-1685")</f>
        <v>009-1685</v>
      </c>
      <c r="B1429" s="6" t="str">
        <f>IFERROR(__xludf.DUMMYFUNCTION("""COMPUTED_VALUE"""),"9")</f>
        <v>9</v>
      </c>
      <c r="C1429" s="6" t="str">
        <f>IFERROR(__xludf.DUMMYFUNCTION("""COMPUTED_VALUE"""),"1685")</f>
        <v>1685</v>
      </c>
      <c r="D1429" s="6" t="str">
        <f>IFERROR(__xludf.DUMMYFUNCTION("""COMPUTED_VALUE"""),"Nor")</f>
        <v>Nor</v>
      </c>
      <c r="E1429" s="6" t="str">
        <f>IFERROR(__xludf.DUMMYFUNCTION("""COMPUTED_VALUE"""),"")</f>
        <v/>
      </c>
      <c r="F1429" s="6" t="str">
        <f>IFERROR(__xludf.DUMMYFUNCTION("""COMPUTED_VALUE"""),"Olexander")</f>
        <v>Olexander</v>
      </c>
      <c r="G1429" s="6" t="str">
        <f>IFERROR(__xludf.DUMMYFUNCTION("""COMPUTED_VALUE"""),"01/01/2015")</f>
        <v>01/01/2015</v>
      </c>
      <c r="H1429" s="6" t="str">
        <f>IFERROR(__xludf.DUMMYFUNCTION("""COMPUTED_VALUE"""),"Self Identify")</f>
        <v>Self Identify</v>
      </c>
      <c r="I1429" s="6" t="str">
        <f>IFERROR(__xludf.DUMMYFUNCTION("""COMPUTED_VALUE"""),"Level 2")</f>
        <v>Level 2</v>
      </c>
      <c r="J1429" s="6" t="str">
        <f>IFERROR(__xludf.DUMMYFUNCTION("""COMPUTED_VALUE"""),"4")</f>
        <v>4</v>
      </c>
      <c r="K1429" s="6" t="str">
        <f>IFERROR(__xludf.DUMMYFUNCTION("""COMPUTED_VALUE"""),"nor.olexander@2hourlearning.com")</f>
        <v>nor.olexander@2hourlearning.com</v>
      </c>
      <c r="L1429" s="6" t="str">
        <f>IFERROR(__xludf.DUMMYFUNCTION("""COMPUTED_VALUE"""),"Learn and Earn Poland")</f>
        <v>Learn and Earn Poland</v>
      </c>
      <c r="M1429" s="6" t="str">
        <f>IFERROR(__xludf.DUMMYFUNCTION("""COMPUTED_VALUE"""),"Budapest Alpha")</f>
        <v>Budapest Alpha</v>
      </c>
      <c r="N1429" s="6" t="str">
        <f>IFERROR(__xludf.DUMMYFUNCTION("""COMPUTED_VALUE"""),"")</f>
        <v/>
      </c>
      <c r="O1429" s="87" t="str">
        <f>IFERROR(__xludf.DUMMYFUNCTION("""COMPUTED_VALUE"""),"https://drive.google.com/drive/folders/10T2cTQHqEJZqE-st6uFKPoI?usp=share_link")</f>
        <v>https://drive.google.com/drive/folders/10T2cTQHqEJZqE-st6uFKPoI?usp=share_link</v>
      </c>
      <c r="P1429" s="6" t="str">
        <f>IFERROR(__xludf.DUMMYFUNCTION("""COMPUTED_VALUE"""),"Nor Olexander")</f>
        <v>Nor Olexander</v>
      </c>
      <c r="Q1429" s="6" t="str">
        <f>IFERROR(__xludf.DUMMYFUNCTION("""COMPUTED_VALUE"""),"L2")</f>
        <v>L2</v>
      </c>
      <c r="R1429" s="6">
        <f>IFERROR(__xludf.DUMMYFUNCTION("""COMPUTED_VALUE"""),2.0)</f>
        <v>2</v>
      </c>
      <c r="S1429" s="6" t="str">
        <f>IFERROR(__xludf.DUMMYFUNCTION("""COMPUTED_VALUE""")," ")</f>
        <v> </v>
      </c>
      <c r="T1429" s="6" t="str">
        <f>IFERROR(__xludf.DUMMYFUNCTION("""COMPUTED_VALUE"""),"")</f>
        <v/>
      </c>
      <c r="U1429" s="6" t="str">
        <f>IFERROR(__xludf.DUMMYFUNCTION("""COMPUTED_VALUE"""),"4")</f>
        <v>4</v>
      </c>
      <c r="V1429" s="6" t="str">
        <f>IFERROR(__xludf.DUMMYFUNCTION("""COMPUTED_VALUE"""),"English")</f>
        <v>English</v>
      </c>
      <c r="W1429" s="6" t="str">
        <f>IFERROR(__xludf.DUMMYFUNCTION("""COMPUTED_VALUE"""),"[]")</f>
        <v>[]</v>
      </c>
      <c r="X1429" s="6" t="str">
        <f>IFERROR(__xludf.DUMMYFUNCTION("""COMPUTED_VALUE"""),"Enrolled")</f>
        <v>Enrolled</v>
      </c>
    </row>
    <row r="1430">
      <c r="A1430" s="6" t="str">
        <f>IFERROR(__xludf.DUMMYFUNCTION("""COMPUTED_VALUE"""),"009-1686")</f>
        <v>009-1686</v>
      </c>
      <c r="B1430" s="6" t="str">
        <f>IFERROR(__xludf.DUMMYFUNCTION("""COMPUTED_VALUE"""),"9")</f>
        <v>9</v>
      </c>
      <c r="C1430" s="6" t="str">
        <f>IFERROR(__xludf.DUMMYFUNCTION("""COMPUTED_VALUE"""),"1686")</f>
        <v>1686</v>
      </c>
      <c r="D1430" s="6" t="str">
        <f>IFERROR(__xludf.DUMMYFUNCTION("""COMPUTED_VALUE"""),"Shiposh")</f>
        <v>Shiposh</v>
      </c>
      <c r="E1430" s="6" t="str">
        <f>IFERROR(__xludf.DUMMYFUNCTION("""COMPUTED_VALUE"""),"")</f>
        <v/>
      </c>
      <c r="F1430" s="6" t="str">
        <f>IFERROR(__xludf.DUMMYFUNCTION("""COMPUTED_VALUE"""),"Patrik")</f>
        <v>Patrik</v>
      </c>
      <c r="G1430" s="6" t="str">
        <f>IFERROR(__xludf.DUMMYFUNCTION("""COMPUTED_VALUE"""),"01/01/2016")</f>
        <v>01/01/2016</v>
      </c>
      <c r="H1430" s="6" t="str">
        <f>IFERROR(__xludf.DUMMYFUNCTION("""COMPUTED_VALUE"""),"Self Identify")</f>
        <v>Self Identify</v>
      </c>
      <c r="I1430" s="6" t="str">
        <f>IFERROR(__xludf.DUMMYFUNCTION("""COMPUTED_VALUE"""),"Level 1")</f>
        <v>Level 1</v>
      </c>
      <c r="J1430" s="6" t="str">
        <f>IFERROR(__xludf.DUMMYFUNCTION("""COMPUTED_VALUE"""),"3")</f>
        <v>3</v>
      </c>
      <c r="K1430" s="6" t="str">
        <f>IFERROR(__xludf.DUMMYFUNCTION("""COMPUTED_VALUE"""),"shiposh.patrik@2hourlearning.com")</f>
        <v>shiposh.patrik@2hourlearning.com</v>
      </c>
      <c r="L1430" s="6" t="str">
        <f>IFERROR(__xludf.DUMMYFUNCTION("""COMPUTED_VALUE"""),"Learn and Earn Poland")</f>
        <v>Learn and Earn Poland</v>
      </c>
      <c r="M1430" s="6" t="str">
        <f>IFERROR(__xludf.DUMMYFUNCTION("""COMPUTED_VALUE"""),"Budapest Alpha")</f>
        <v>Budapest Alpha</v>
      </c>
      <c r="N1430" s="6" t="str">
        <f>IFERROR(__xludf.DUMMYFUNCTION("""COMPUTED_VALUE"""),"")</f>
        <v/>
      </c>
      <c r="O1430" s="87" t="str">
        <f>IFERROR(__xludf.DUMMYFUNCTION("""COMPUTED_VALUE"""),"https://drive.google.com/drive/folders/10T2cTQHqEJZqE-st6uFKPoI?usp=share_link")</f>
        <v>https://drive.google.com/drive/folders/10T2cTQHqEJZqE-st6uFKPoI?usp=share_link</v>
      </c>
      <c r="P1430" s="6" t="str">
        <f>IFERROR(__xludf.DUMMYFUNCTION("""COMPUTED_VALUE"""),"Shiposh Patrik")</f>
        <v>Shiposh Patrik</v>
      </c>
      <c r="Q1430" s="6" t="str">
        <f>IFERROR(__xludf.DUMMYFUNCTION("""COMPUTED_VALUE"""),"L1")</f>
        <v>L1</v>
      </c>
      <c r="R1430" s="6">
        <f>IFERROR(__xludf.DUMMYFUNCTION("""COMPUTED_VALUE"""),1.0)</f>
        <v>1</v>
      </c>
      <c r="S1430" s="6" t="str">
        <f>IFERROR(__xludf.DUMMYFUNCTION("""COMPUTED_VALUE""")," ")</f>
        <v> </v>
      </c>
      <c r="T1430" s="6" t="str">
        <f>IFERROR(__xludf.DUMMYFUNCTION("""COMPUTED_VALUE"""),"")</f>
        <v/>
      </c>
      <c r="U1430" s="6" t="str">
        <f>IFERROR(__xludf.DUMMYFUNCTION("""COMPUTED_VALUE"""),"3")</f>
        <v>3</v>
      </c>
      <c r="V1430" s="6" t="str">
        <f>IFERROR(__xludf.DUMMYFUNCTION("""COMPUTED_VALUE"""),"English")</f>
        <v>English</v>
      </c>
      <c r="W1430" s="6" t="str">
        <f>IFERROR(__xludf.DUMMYFUNCTION("""COMPUTED_VALUE"""),"[]")</f>
        <v>[]</v>
      </c>
      <c r="X1430" s="6" t="str">
        <f>IFERROR(__xludf.DUMMYFUNCTION("""COMPUTED_VALUE"""),"Enrolled")</f>
        <v>Enrolled</v>
      </c>
    </row>
    <row r="1431">
      <c r="A1431" s="6" t="str">
        <f>IFERROR(__xludf.DUMMYFUNCTION("""COMPUTED_VALUE"""),"009-1687")</f>
        <v>009-1687</v>
      </c>
      <c r="B1431" s="6" t="str">
        <f>IFERROR(__xludf.DUMMYFUNCTION("""COMPUTED_VALUE"""),"9")</f>
        <v>9</v>
      </c>
      <c r="C1431" s="6" t="str">
        <f>IFERROR(__xludf.DUMMYFUNCTION("""COMPUTED_VALUE"""),"1687")</f>
        <v>1687</v>
      </c>
      <c r="D1431" s="6" t="str">
        <f>IFERROR(__xludf.DUMMYFUNCTION("""COMPUTED_VALUE"""),"Kovalova")</f>
        <v>Kovalova</v>
      </c>
      <c r="E1431" s="6" t="str">
        <f>IFERROR(__xludf.DUMMYFUNCTION("""COMPUTED_VALUE"""),"")</f>
        <v/>
      </c>
      <c r="F1431" s="6" t="str">
        <f>IFERROR(__xludf.DUMMYFUNCTION("""COMPUTED_VALUE"""),"Marta")</f>
        <v>Marta</v>
      </c>
      <c r="G1431" s="6" t="str">
        <f>IFERROR(__xludf.DUMMYFUNCTION("""COMPUTED_VALUE"""),"01/01/2012")</f>
        <v>01/01/2012</v>
      </c>
      <c r="H1431" s="6" t="str">
        <f>IFERROR(__xludf.DUMMYFUNCTION("""COMPUTED_VALUE"""),"Self Identify")</f>
        <v>Self Identify</v>
      </c>
      <c r="I1431" s="6" t="str">
        <f>IFERROR(__xludf.DUMMYFUNCTION("""COMPUTED_VALUE"""),"Middle School")</f>
        <v>Middle School</v>
      </c>
      <c r="J1431" s="6" t="str">
        <f>IFERROR(__xludf.DUMMYFUNCTION("""COMPUTED_VALUE"""),"7")</f>
        <v>7</v>
      </c>
      <c r="K1431" s="6" t="str">
        <f>IFERROR(__xludf.DUMMYFUNCTION("""COMPUTED_VALUE"""),"kovalova.marta@2hourlearning.com")</f>
        <v>kovalova.marta@2hourlearning.com</v>
      </c>
      <c r="L1431" s="6" t="str">
        <f>IFERROR(__xludf.DUMMYFUNCTION("""COMPUTED_VALUE"""),"Learn and Earn Poland")</f>
        <v>Learn and Earn Poland</v>
      </c>
      <c r="M1431" s="6" t="str">
        <f>IFERROR(__xludf.DUMMYFUNCTION("""COMPUTED_VALUE"""),"Budapest ex-GTS")</f>
        <v>Budapest ex-GTS</v>
      </c>
      <c r="N1431" s="6" t="str">
        <f>IFERROR(__xludf.DUMMYFUNCTION("""COMPUTED_VALUE"""),"")</f>
        <v/>
      </c>
      <c r="O1431" s="87" t="str">
        <f>IFERROR(__xludf.DUMMYFUNCTION("""COMPUTED_VALUE"""),"https://drive.google.com/drive/folders/10T2cTQHqEJZqE-st6uFKPoI?usp=share_link")</f>
        <v>https://drive.google.com/drive/folders/10T2cTQHqEJZqE-st6uFKPoI?usp=share_link</v>
      </c>
      <c r="P1431" s="6" t="str">
        <f>IFERROR(__xludf.DUMMYFUNCTION("""COMPUTED_VALUE"""),"Kovalova Marta")</f>
        <v>Kovalova Marta</v>
      </c>
      <c r="Q1431" s="6" t="str">
        <f>IFERROR(__xludf.DUMMYFUNCTION("""COMPUTED_VALUE"""),"MS")</f>
        <v>MS</v>
      </c>
      <c r="R1431" s="6">
        <f>IFERROR(__xludf.DUMMYFUNCTION("""COMPUTED_VALUE"""),0.0)</f>
        <v>0</v>
      </c>
      <c r="S1431" s="6" t="str">
        <f>IFERROR(__xludf.DUMMYFUNCTION("""COMPUTED_VALUE""")," ")</f>
        <v> </v>
      </c>
      <c r="T1431" s="6" t="str">
        <f>IFERROR(__xludf.DUMMYFUNCTION("""COMPUTED_VALUE"""),"")</f>
        <v/>
      </c>
      <c r="U1431" s="6" t="str">
        <f>IFERROR(__xludf.DUMMYFUNCTION("""COMPUTED_VALUE"""),"7")</f>
        <v>7</v>
      </c>
      <c r="V1431" s="6" t="str">
        <f>IFERROR(__xludf.DUMMYFUNCTION("""COMPUTED_VALUE"""),"English")</f>
        <v>English</v>
      </c>
      <c r="W1431" s="6" t="str">
        <f>IFERROR(__xludf.DUMMYFUNCTION("""COMPUTED_VALUE"""),"[]")</f>
        <v>[]</v>
      </c>
      <c r="X1431" s="6" t="str">
        <f>IFERROR(__xludf.DUMMYFUNCTION("""COMPUTED_VALUE"""),"Enrolled")</f>
        <v>Enrolled</v>
      </c>
    </row>
    <row r="1432">
      <c r="A1432" s="6" t="str">
        <f>IFERROR(__xludf.DUMMYFUNCTION("""COMPUTED_VALUE"""),"009-1688")</f>
        <v>009-1688</v>
      </c>
      <c r="B1432" s="6" t="str">
        <f>IFERROR(__xludf.DUMMYFUNCTION("""COMPUTED_VALUE"""),"9")</f>
        <v>9</v>
      </c>
      <c r="C1432" s="6" t="str">
        <f>IFERROR(__xludf.DUMMYFUNCTION("""COMPUTED_VALUE"""),"1688")</f>
        <v>1688</v>
      </c>
      <c r="D1432" s="6" t="str">
        <f>IFERROR(__xludf.DUMMYFUNCTION("""COMPUTED_VALUE"""),"Lepshokova")</f>
        <v>Lepshokova</v>
      </c>
      <c r="E1432" s="6" t="str">
        <f>IFERROR(__xludf.DUMMYFUNCTION("""COMPUTED_VALUE"""),"")</f>
        <v/>
      </c>
      <c r="F1432" s="6" t="str">
        <f>IFERROR(__xludf.DUMMYFUNCTION("""COMPUTED_VALUE"""),"Sofia")</f>
        <v>Sofia</v>
      </c>
      <c r="G1432" s="6" t="str">
        <f>IFERROR(__xludf.DUMMYFUNCTION("""COMPUTED_VALUE"""),"01/01/2012")</f>
        <v>01/01/2012</v>
      </c>
      <c r="H1432" s="6" t="str">
        <f>IFERROR(__xludf.DUMMYFUNCTION("""COMPUTED_VALUE"""),"Self Identify")</f>
        <v>Self Identify</v>
      </c>
      <c r="I1432" s="6" t="str">
        <f>IFERROR(__xludf.DUMMYFUNCTION("""COMPUTED_VALUE"""),"Middle School")</f>
        <v>Middle School</v>
      </c>
      <c r="J1432" s="6" t="str">
        <f>IFERROR(__xludf.DUMMYFUNCTION("""COMPUTED_VALUE"""),"7")</f>
        <v>7</v>
      </c>
      <c r="K1432" s="6" t="str">
        <f>IFERROR(__xludf.DUMMYFUNCTION("""COMPUTED_VALUE"""),"lepshokova.sofia@2hourlearning.com")</f>
        <v>lepshokova.sofia@2hourlearning.com</v>
      </c>
      <c r="L1432" s="6" t="str">
        <f>IFERROR(__xludf.DUMMYFUNCTION("""COMPUTED_VALUE"""),"Learn and Earn Poland")</f>
        <v>Learn and Earn Poland</v>
      </c>
      <c r="M1432" s="6" t="str">
        <f>IFERROR(__xludf.DUMMYFUNCTION("""COMPUTED_VALUE"""),"Budapest ex-GTS")</f>
        <v>Budapest ex-GTS</v>
      </c>
      <c r="N1432" s="6" t="str">
        <f>IFERROR(__xludf.DUMMYFUNCTION("""COMPUTED_VALUE"""),"")</f>
        <v/>
      </c>
      <c r="O1432" s="87" t="str">
        <f>IFERROR(__xludf.DUMMYFUNCTION("""COMPUTED_VALUE"""),"https://drive.google.com/drive/folders/10T2cTQHqEJZqE-st6uFKPoI?usp=share_link")</f>
        <v>https://drive.google.com/drive/folders/10T2cTQHqEJZqE-st6uFKPoI?usp=share_link</v>
      </c>
      <c r="P1432" s="6" t="str">
        <f>IFERROR(__xludf.DUMMYFUNCTION("""COMPUTED_VALUE"""),"Lepshokova Sofia")</f>
        <v>Lepshokova Sofia</v>
      </c>
      <c r="Q1432" s="6" t="str">
        <f>IFERROR(__xludf.DUMMYFUNCTION("""COMPUTED_VALUE"""),"MS")</f>
        <v>MS</v>
      </c>
      <c r="R1432" s="6">
        <f>IFERROR(__xludf.DUMMYFUNCTION("""COMPUTED_VALUE"""),0.0)</f>
        <v>0</v>
      </c>
      <c r="S1432" s="6" t="str">
        <f>IFERROR(__xludf.DUMMYFUNCTION("""COMPUTED_VALUE""")," ")</f>
        <v> </v>
      </c>
      <c r="T1432" s="6" t="str">
        <f>IFERROR(__xludf.DUMMYFUNCTION("""COMPUTED_VALUE"""),"")</f>
        <v/>
      </c>
      <c r="U1432" s="6" t="str">
        <f>IFERROR(__xludf.DUMMYFUNCTION("""COMPUTED_VALUE"""),"7")</f>
        <v>7</v>
      </c>
      <c r="V1432" s="6" t="str">
        <f>IFERROR(__xludf.DUMMYFUNCTION("""COMPUTED_VALUE"""),"English")</f>
        <v>English</v>
      </c>
      <c r="W1432" s="6" t="str">
        <f>IFERROR(__xludf.DUMMYFUNCTION("""COMPUTED_VALUE"""),"[]")</f>
        <v>[]</v>
      </c>
      <c r="X1432" s="6" t="str">
        <f>IFERROR(__xludf.DUMMYFUNCTION("""COMPUTED_VALUE"""),"Enrolled")</f>
        <v>Enrolled</v>
      </c>
    </row>
    <row r="1433">
      <c r="A1433" s="6" t="str">
        <f>IFERROR(__xludf.DUMMYFUNCTION("""COMPUTED_VALUE"""),"009-1689")</f>
        <v>009-1689</v>
      </c>
      <c r="B1433" s="6" t="str">
        <f>IFERROR(__xludf.DUMMYFUNCTION("""COMPUTED_VALUE"""),"9")</f>
        <v>9</v>
      </c>
      <c r="C1433" s="6" t="str">
        <f>IFERROR(__xludf.DUMMYFUNCTION("""COMPUTED_VALUE"""),"1689")</f>
        <v>1689</v>
      </c>
      <c r="D1433" s="6" t="str">
        <f>IFERROR(__xludf.DUMMYFUNCTION("""COMPUTED_VALUE"""),"Kuziv")</f>
        <v>Kuziv</v>
      </c>
      <c r="E1433" s="6" t="str">
        <f>IFERROR(__xludf.DUMMYFUNCTION("""COMPUTED_VALUE"""),"")</f>
        <v/>
      </c>
      <c r="F1433" s="6" t="str">
        <f>IFERROR(__xludf.DUMMYFUNCTION("""COMPUTED_VALUE"""),"Anton")</f>
        <v>Anton</v>
      </c>
      <c r="G1433" s="6" t="str">
        <f>IFERROR(__xludf.DUMMYFUNCTION("""COMPUTED_VALUE"""),"01/01/2014")</f>
        <v>01/01/2014</v>
      </c>
      <c r="H1433" s="6" t="str">
        <f>IFERROR(__xludf.DUMMYFUNCTION("""COMPUTED_VALUE"""),"Self Identify")</f>
        <v>Self Identify</v>
      </c>
      <c r="I1433" s="6" t="str">
        <f>IFERROR(__xludf.DUMMYFUNCTION("""COMPUTED_VALUE"""),"Level 2")</f>
        <v>Level 2</v>
      </c>
      <c r="J1433" s="6" t="str">
        <f>IFERROR(__xludf.DUMMYFUNCTION("""COMPUTED_VALUE"""),"5")</f>
        <v>5</v>
      </c>
      <c r="K1433" s="6" t="str">
        <f>IFERROR(__xludf.DUMMYFUNCTION("""COMPUTED_VALUE"""),"kuziv.anton@2hourlearning.com")</f>
        <v>kuziv.anton@2hourlearning.com</v>
      </c>
      <c r="L1433" s="6" t="str">
        <f>IFERROR(__xludf.DUMMYFUNCTION("""COMPUTED_VALUE"""),"Learn and Earn Poland")</f>
        <v>Learn and Earn Poland</v>
      </c>
      <c r="M1433" s="6" t="str">
        <f>IFERROR(__xludf.DUMMYFUNCTION("""COMPUTED_VALUE"""),"Budapest Alpha")</f>
        <v>Budapest Alpha</v>
      </c>
      <c r="N1433" s="6" t="str">
        <f>IFERROR(__xludf.DUMMYFUNCTION("""COMPUTED_VALUE"""),"")</f>
        <v/>
      </c>
      <c r="O1433" s="87" t="str">
        <f>IFERROR(__xludf.DUMMYFUNCTION("""COMPUTED_VALUE"""),"https://drive.google.com/drive/folders/10T2cTQHqEJZqE-st6uFKPoI?usp=share_link")</f>
        <v>https://drive.google.com/drive/folders/10T2cTQHqEJZqE-st6uFKPoI?usp=share_link</v>
      </c>
      <c r="P1433" s="6" t="str">
        <f>IFERROR(__xludf.DUMMYFUNCTION("""COMPUTED_VALUE"""),"Kuziv Anton")</f>
        <v>Kuziv Anton</v>
      </c>
      <c r="Q1433" s="6" t="str">
        <f>IFERROR(__xludf.DUMMYFUNCTION("""COMPUTED_VALUE"""),"L2")</f>
        <v>L2</v>
      </c>
      <c r="R1433" s="6">
        <f>IFERROR(__xludf.DUMMYFUNCTION("""COMPUTED_VALUE"""),2.0)</f>
        <v>2</v>
      </c>
      <c r="S1433" s="6" t="str">
        <f>IFERROR(__xludf.DUMMYFUNCTION("""COMPUTED_VALUE""")," ")</f>
        <v> </v>
      </c>
      <c r="T1433" s="6" t="str">
        <f>IFERROR(__xludf.DUMMYFUNCTION("""COMPUTED_VALUE"""),"")</f>
        <v/>
      </c>
      <c r="U1433" s="6" t="str">
        <f>IFERROR(__xludf.DUMMYFUNCTION("""COMPUTED_VALUE"""),"5")</f>
        <v>5</v>
      </c>
      <c r="V1433" s="6" t="str">
        <f>IFERROR(__xludf.DUMMYFUNCTION("""COMPUTED_VALUE"""),"English")</f>
        <v>English</v>
      </c>
      <c r="W1433" s="6" t="str">
        <f>IFERROR(__xludf.DUMMYFUNCTION("""COMPUTED_VALUE"""),"[]")</f>
        <v>[]</v>
      </c>
      <c r="X1433" s="6" t="str">
        <f>IFERROR(__xludf.DUMMYFUNCTION("""COMPUTED_VALUE"""),"Enrolled")</f>
        <v>Enrolled</v>
      </c>
    </row>
    <row r="1434">
      <c r="A1434" s="6" t="str">
        <f>IFERROR(__xludf.DUMMYFUNCTION("""COMPUTED_VALUE"""),"009-1690")</f>
        <v>009-1690</v>
      </c>
      <c r="B1434" s="6" t="str">
        <f>IFERROR(__xludf.DUMMYFUNCTION("""COMPUTED_VALUE"""),"9")</f>
        <v>9</v>
      </c>
      <c r="C1434" s="6" t="str">
        <f>IFERROR(__xludf.DUMMYFUNCTION("""COMPUTED_VALUE"""),"1690")</f>
        <v>1690</v>
      </c>
      <c r="D1434" s="6" t="str">
        <f>IFERROR(__xludf.DUMMYFUNCTION("""COMPUTED_VALUE"""),"Csenge")</f>
        <v>Csenge</v>
      </c>
      <c r="E1434" s="6" t="str">
        <f>IFERROR(__xludf.DUMMYFUNCTION("""COMPUTED_VALUE"""),"")</f>
        <v/>
      </c>
      <c r="F1434" s="6" t="str">
        <f>IFERROR(__xludf.DUMMYFUNCTION("""COMPUTED_VALUE"""),"Demeter")</f>
        <v>Demeter</v>
      </c>
      <c r="G1434" s="6" t="str">
        <f>IFERROR(__xludf.DUMMYFUNCTION("""COMPUTED_VALUE"""),"01/01/2012")</f>
        <v>01/01/2012</v>
      </c>
      <c r="H1434" s="6" t="str">
        <f>IFERROR(__xludf.DUMMYFUNCTION("""COMPUTED_VALUE"""),"Self Identify")</f>
        <v>Self Identify</v>
      </c>
      <c r="I1434" s="6" t="str">
        <f>IFERROR(__xludf.DUMMYFUNCTION("""COMPUTED_VALUE"""),"Middle School")</f>
        <v>Middle School</v>
      </c>
      <c r="J1434" s="6" t="str">
        <f>IFERROR(__xludf.DUMMYFUNCTION("""COMPUTED_VALUE"""),"7")</f>
        <v>7</v>
      </c>
      <c r="K1434" s="6" t="str">
        <f>IFERROR(__xludf.DUMMYFUNCTION("""COMPUTED_VALUE"""),"csenge.demeter@2hourlearning.com")</f>
        <v>csenge.demeter@2hourlearning.com</v>
      </c>
      <c r="L1434" s="6" t="str">
        <f>IFERROR(__xludf.DUMMYFUNCTION("""COMPUTED_VALUE"""),"Learn and Earn Poland")</f>
        <v>Learn and Earn Poland</v>
      </c>
      <c r="M1434" s="6" t="str">
        <f>IFERROR(__xludf.DUMMYFUNCTION("""COMPUTED_VALUE"""),"Budapest Alpha")</f>
        <v>Budapest Alpha</v>
      </c>
      <c r="N1434" s="6" t="str">
        <f>IFERROR(__xludf.DUMMYFUNCTION("""COMPUTED_VALUE"""),"")</f>
        <v/>
      </c>
      <c r="O1434" s="87" t="str">
        <f>IFERROR(__xludf.DUMMYFUNCTION("""COMPUTED_VALUE"""),"https://drive.google.com/drive/folders/10T2cTQHqEJZqE-st6uFKPoI?usp=share_link")</f>
        <v>https://drive.google.com/drive/folders/10T2cTQHqEJZqE-st6uFKPoI?usp=share_link</v>
      </c>
      <c r="P1434" s="6" t="str">
        <f>IFERROR(__xludf.DUMMYFUNCTION("""COMPUTED_VALUE"""),"Csenge Demeter")</f>
        <v>Csenge Demeter</v>
      </c>
      <c r="Q1434" s="6" t="str">
        <f>IFERROR(__xludf.DUMMYFUNCTION("""COMPUTED_VALUE"""),"MS")</f>
        <v>MS</v>
      </c>
      <c r="R1434" s="6">
        <f>IFERROR(__xludf.DUMMYFUNCTION("""COMPUTED_VALUE"""),0.0)</f>
        <v>0</v>
      </c>
      <c r="S1434" s="6" t="str">
        <f>IFERROR(__xludf.DUMMYFUNCTION("""COMPUTED_VALUE""")," ")</f>
        <v> </v>
      </c>
      <c r="T1434" s="6" t="str">
        <f>IFERROR(__xludf.DUMMYFUNCTION("""COMPUTED_VALUE"""),"")</f>
        <v/>
      </c>
      <c r="U1434" s="6" t="str">
        <f>IFERROR(__xludf.DUMMYFUNCTION("""COMPUTED_VALUE"""),"7")</f>
        <v>7</v>
      </c>
      <c r="V1434" s="6" t="str">
        <f>IFERROR(__xludf.DUMMYFUNCTION("""COMPUTED_VALUE"""),"English")</f>
        <v>English</v>
      </c>
      <c r="W1434" s="6" t="str">
        <f>IFERROR(__xludf.DUMMYFUNCTION("""COMPUTED_VALUE"""),"[]")</f>
        <v>[]</v>
      </c>
      <c r="X1434" s="6" t="str">
        <f>IFERROR(__xludf.DUMMYFUNCTION("""COMPUTED_VALUE"""),"Enrolled")</f>
        <v>Enrolled</v>
      </c>
    </row>
    <row r="1435">
      <c r="A1435" s="6" t="str">
        <f>IFERROR(__xludf.DUMMYFUNCTION("""COMPUTED_VALUE"""),"009-1691")</f>
        <v>009-1691</v>
      </c>
      <c r="B1435" s="6" t="str">
        <f>IFERROR(__xludf.DUMMYFUNCTION("""COMPUTED_VALUE"""),"9")</f>
        <v>9</v>
      </c>
      <c r="C1435" s="6" t="str">
        <f>IFERROR(__xludf.DUMMYFUNCTION("""COMPUTED_VALUE"""),"1691")</f>
        <v>1691</v>
      </c>
      <c r="D1435" s="6" t="str">
        <f>IFERROR(__xludf.DUMMYFUNCTION("""COMPUTED_VALUE"""),"Viktoria")</f>
        <v>Viktoria</v>
      </c>
      <c r="E1435" s="6" t="str">
        <f>IFERROR(__xludf.DUMMYFUNCTION("""COMPUTED_VALUE"""),"")</f>
        <v/>
      </c>
      <c r="F1435" s="6" t="str">
        <f>IFERROR(__xludf.DUMMYFUNCTION("""COMPUTED_VALUE"""),"Horvat")</f>
        <v>Horvat</v>
      </c>
      <c r="G1435" s="6" t="str">
        <f>IFERROR(__xludf.DUMMYFUNCTION("""COMPUTED_VALUE"""),"01/01/2016")</f>
        <v>01/01/2016</v>
      </c>
      <c r="H1435" s="6" t="str">
        <f>IFERROR(__xludf.DUMMYFUNCTION("""COMPUTED_VALUE"""),"Self Identify")</f>
        <v>Self Identify</v>
      </c>
      <c r="I1435" s="6" t="str">
        <f>IFERROR(__xludf.DUMMYFUNCTION("""COMPUTED_VALUE"""),"Level 1")</f>
        <v>Level 1</v>
      </c>
      <c r="J1435" s="6" t="str">
        <f>IFERROR(__xludf.DUMMYFUNCTION("""COMPUTED_VALUE"""),"3")</f>
        <v>3</v>
      </c>
      <c r="K1435" s="6" t="str">
        <f>IFERROR(__xludf.DUMMYFUNCTION("""COMPUTED_VALUE"""),"horvat.viktoria@2hourlearning.com")</f>
        <v>horvat.viktoria@2hourlearning.com</v>
      </c>
      <c r="L1435" s="6" t="str">
        <f>IFERROR(__xludf.DUMMYFUNCTION("""COMPUTED_VALUE"""),"Learn and Earn Poland")</f>
        <v>Learn and Earn Poland</v>
      </c>
      <c r="M1435" s="6" t="str">
        <f>IFERROR(__xludf.DUMMYFUNCTION("""COMPUTED_VALUE"""),"Budapest Alpha")</f>
        <v>Budapest Alpha</v>
      </c>
      <c r="N1435" s="6" t="str">
        <f>IFERROR(__xludf.DUMMYFUNCTION("""COMPUTED_VALUE"""),"")</f>
        <v/>
      </c>
      <c r="O1435" s="87" t="str">
        <f>IFERROR(__xludf.DUMMYFUNCTION("""COMPUTED_VALUE"""),"https://drive.google.com/drive/folders/10T2cTQHqEJZqE-st6uFKPoI?usp=share_link")</f>
        <v>https://drive.google.com/drive/folders/10T2cTQHqEJZqE-st6uFKPoI?usp=share_link</v>
      </c>
      <c r="P1435" s="6" t="str">
        <f>IFERROR(__xludf.DUMMYFUNCTION("""COMPUTED_VALUE"""),"Viktoria Horvat")</f>
        <v>Viktoria Horvat</v>
      </c>
      <c r="Q1435" s="6" t="str">
        <f>IFERROR(__xludf.DUMMYFUNCTION("""COMPUTED_VALUE"""),"L1")</f>
        <v>L1</v>
      </c>
      <c r="R1435" s="6">
        <f>IFERROR(__xludf.DUMMYFUNCTION("""COMPUTED_VALUE"""),1.0)</f>
        <v>1</v>
      </c>
      <c r="S1435" s="6" t="str">
        <f>IFERROR(__xludf.DUMMYFUNCTION("""COMPUTED_VALUE""")," ")</f>
        <v> </v>
      </c>
      <c r="T1435" s="6" t="str">
        <f>IFERROR(__xludf.DUMMYFUNCTION("""COMPUTED_VALUE"""),"")</f>
        <v/>
      </c>
      <c r="U1435" s="6" t="str">
        <f>IFERROR(__xludf.DUMMYFUNCTION("""COMPUTED_VALUE"""),"3")</f>
        <v>3</v>
      </c>
      <c r="V1435" s="6" t="str">
        <f>IFERROR(__xludf.DUMMYFUNCTION("""COMPUTED_VALUE"""),"English")</f>
        <v>English</v>
      </c>
      <c r="W1435" s="6" t="str">
        <f>IFERROR(__xludf.DUMMYFUNCTION("""COMPUTED_VALUE"""),"[]")</f>
        <v>[]</v>
      </c>
      <c r="X1435" s="6" t="str">
        <f>IFERROR(__xludf.DUMMYFUNCTION("""COMPUTED_VALUE"""),"Enrolled")</f>
        <v>Enrolled</v>
      </c>
    </row>
    <row r="1436">
      <c r="A1436" s="6" t="str">
        <f>IFERROR(__xludf.DUMMYFUNCTION("""COMPUTED_VALUE"""),"009-1692")</f>
        <v>009-1692</v>
      </c>
      <c r="B1436" s="6" t="str">
        <f>IFERROR(__xludf.DUMMYFUNCTION("""COMPUTED_VALUE"""),"9")</f>
        <v>9</v>
      </c>
      <c r="C1436" s="6" t="str">
        <f>IFERROR(__xludf.DUMMYFUNCTION("""COMPUTED_VALUE"""),"1692")</f>
        <v>1692</v>
      </c>
      <c r="D1436" s="6" t="str">
        <f>IFERROR(__xludf.DUMMYFUNCTION("""COMPUTED_VALUE"""),"Zhyhina")</f>
        <v>Zhyhina</v>
      </c>
      <c r="E1436" s="6" t="str">
        <f>IFERROR(__xludf.DUMMYFUNCTION("""COMPUTED_VALUE"""),"")</f>
        <v/>
      </c>
      <c r="F1436" s="6" t="str">
        <f>IFERROR(__xludf.DUMMYFUNCTION("""COMPUTED_VALUE"""),"Anna")</f>
        <v>Anna</v>
      </c>
      <c r="G1436" s="6" t="str">
        <f>IFERROR(__xludf.DUMMYFUNCTION("""COMPUTED_VALUE"""),"01/01/2017")</f>
        <v>01/01/2017</v>
      </c>
      <c r="H1436" s="6" t="str">
        <f>IFERROR(__xludf.DUMMYFUNCTION("""COMPUTED_VALUE"""),"Self Identify")</f>
        <v>Self Identify</v>
      </c>
      <c r="I1436" s="6" t="str">
        <f>IFERROR(__xludf.DUMMYFUNCTION("""COMPUTED_VALUE"""),"Level 1")</f>
        <v>Level 1</v>
      </c>
      <c r="J1436" s="6" t="str">
        <f>IFERROR(__xludf.DUMMYFUNCTION("""COMPUTED_VALUE"""),"2")</f>
        <v>2</v>
      </c>
      <c r="K1436" s="6" t="str">
        <f>IFERROR(__xludf.DUMMYFUNCTION("""COMPUTED_VALUE"""),"zhyhina.anna@2hourlearning.com")</f>
        <v>zhyhina.anna@2hourlearning.com</v>
      </c>
      <c r="L1436" s="6" t="str">
        <f>IFERROR(__xludf.DUMMYFUNCTION("""COMPUTED_VALUE"""),"Learn and Earn Poland")</f>
        <v>Learn and Earn Poland</v>
      </c>
      <c r="M1436" s="6" t="str">
        <f>IFERROR(__xludf.DUMMYFUNCTION("""COMPUTED_VALUE"""),"Budapest Alpha")</f>
        <v>Budapest Alpha</v>
      </c>
      <c r="N1436" s="6" t="str">
        <f>IFERROR(__xludf.DUMMYFUNCTION("""COMPUTED_VALUE"""),"")</f>
        <v/>
      </c>
      <c r="O1436" s="87" t="str">
        <f>IFERROR(__xludf.DUMMYFUNCTION("""COMPUTED_VALUE"""),"https://drive.google.com/drive/folders/10T2cTQHqEJZqE-st6uFKPoI?usp=share_link")</f>
        <v>https://drive.google.com/drive/folders/10T2cTQHqEJZqE-st6uFKPoI?usp=share_link</v>
      </c>
      <c r="P1436" s="6" t="str">
        <f>IFERROR(__xludf.DUMMYFUNCTION("""COMPUTED_VALUE"""),"Zhyhina Anna")</f>
        <v>Zhyhina Anna</v>
      </c>
      <c r="Q1436" s="6" t="str">
        <f>IFERROR(__xludf.DUMMYFUNCTION("""COMPUTED_VALUE"""),"L1")</f>
        <v>L1</v>
      </c>
      <c r="R1436" s="6">
        <f>IFERROR(__xludf.DUMMYFUNCTION("""COMPUTED_VALUE"""),1.0)</f>
        <v>1</v>
      </c>
      <c r="S1436" s="6" t="str">
        <f>IFERROR(__xludf.DUMMYFUNCTION("""COMPUTED_VALUE""")," ")</f>
        <v> </v>
      </c>
      <c r="T1436" s="6" t="str">
        <f>IFERROR(__xludf.DUMMYFUNCTION("""COMPUTED_VALUE"""),"")</f>
        <v/>
      </c>
      <c r="U1436" s="6" t="str">
        <f>IFERROR(__xludf.DUMMYFUNCTION("""COMPUTED_VALUE"""),"2")</f>
        <v>2</v>
      </c>
      <c r="V1436" s="6" t="str">
        <f>IFERROR(__xludf.DUMMYFUNCTION("""COMPUTED_VALUE"""),"English")</f>
        <v>English</v>
      </c>
      <c r="W1436" s="6" t="str">
        <f>IFERROR(__xludf.DUMMYFUNCTION("""COMPUTED_VALUE"""),"[]")</f>
        <v>[]</v>
      </c>
      <c r="X1436" s="6" t="str">
        <f>IFERROR(__xludf.DUMMYFUNCTION("""COMPUTED_VALUE"""),"Enrolled")</f>
        <v>Enrolled</v>
      </c>
    </row>
    <row r="1437">
      <c r="A1437" s="6" t="str">
        <f>IFERROR(__xludf.DUMMYFUNCTION("""COMPUTED_VALUE"""),"009-1693")</f>
        <v>009-1693</v>
      </c>
      <c r="B1437" s="6" t="str">
        <f>IFERROR(__xludf.DUMMYFUNCTION("""COMPUTED_VALUE"""),"9")</f>
        <v>9</v>
      </c>
      <c r="C1437" s="6" t="str">
        <f>IFERROR(__xludf.DUMMYFUNCTION("""COMPUTED_VALUE"""),"1693")</f>
        <v>1693</v>
      </c>
      <c r="D1437" s="6" t="str">
        <f>IFERROR(__xludf.DUMMYFUNCTION("""COMPUTED_VALUE"""),"Hanna")</f>
        <v>Hanna</v>
      </c>
      <c r="E1437" s="6" t="str">
        <f>IFERROR(__xludf.DUMMYFUNCTION("""COMPUTED_VALUE"""),"")</f>
        <v/>
      </c>
      <c r="F1437" s="6" t="str">
        <f>IFERROR(__xludf.DUMMYFUNCTION("""COMPUTED_VALUE"""),"Ivan")</f>
        <v>Ivan</v>
      </c>
      <c r="G1437" s="6" t="str">
        <f>IFERROR(__xludf.DUMMYFUNCTION("""COMPUTED_VALUE"""),"01/01/2021")</f>
        <v>01/01/2021</v>
      </c>
      <c r="H1437" s="6" t="str">
        <f>IFERROR(__xludf.DUMMYFUNCTION("""COMPUTED_VALUE"""),"Self Identify")</f>
        <v>Self Identify</v>
      </c>
      <c r="I1437" s="6" t="str">
        <f>IFERROR(__xludf.DUMMYFUNCTION("""COMPUTED_VALUE"""),"Level 2")</f>
        <v>Level 2</v>
      </c>
      <c r="J1437" s="6" t="str">
        <f>IFERROR(__xludf.DUMMYFUNCTION("""COMPUTED_VALUE"""),"5")</f>
        <v>5</v>
      </c>
      <c r="K1437" s="6" t="str">
        <f>IFERROR(__xludf.DUMMYFUNCTION("""COMPUTED_VALUE"""),"hanna.ivan@2hourlearning.com")</f>
        <v>hanna.ivan@2hourlearning.com</v>
      </c>
      <c r="L1437" s="6" t="str">
        <f>IFERROR(__xludf.DUMMYFUNCTION("""COMPUTED_VALUE"""),"Learn and Earn Poland")</f>
        <v>Learn and Earn Poland</v>
      </c>
      <c r="M1437" s="6" t="str">
        <f>IFERROR(__xludf.DUMMYFUNCTION("""COMPUTED_VALUE"""),"Budapest Alpha")</f>
        <v>Budapest Alpha</v>
      </c>
      <c r="N1437" s="6" t="str">
        <f>IFERROR(__xludf.DUMMYFUNCTION("""COMPUTED_VALUE"""),"")</f>
        <v/>
      </c>
      <c r="O1437" s="87" t="str">
        <f>IFERROR(__xludf.DUMMYFUNCTION("""COMPUTED_VALUE"""),"https://drive.google.com/drive/folders/10T2cTQHqEJZqE-st6uFKPoI?usp=share_link")</f>
        <v>https://drive.google.com/drive/folders/10T2cTQHqEJZqE-st6uFKPoI?usp=share_link</v>
      </c>
      <c r="P1437" s="6" t="str">
        <f>IFERROR(__xludf.DUMMYFUNCTION("""COMPUTED_VALUE"""),"Hanna Ivan")</f>
        <v>Hanna Ivan</v>
      </c>
      <c r="Q1437" s="6" t="str">
        <f>IFERROR(__xludf.DUMMYFUNCTION("""COMPUTED_VALUE"""),"L2")</f>
        <v>L2</v>
      </c>
      <c r="R1437" s="6">
        <f>IFERROR(__xludf.DUMMYFUNCTION("""COMPUTED_VALUE"""),2.0)</f>
        <v>2</v>
      </c>
      <c r="S1437" s="6" t="str">
        <f>IFERROR(__xludf.DUMMYFUNCTION("""COMPUTED_VALUE""")," ")</f>
        <v> </v>
      </c>
      <c r="T1437" s="6" t="str">
        <f>IFERROR(__xludf.DUMMYFUNCTION("""COMPUTED_VALUE"""),"")</f>
        <v/>
      </c>
      <c r="U1437" s="6" t="str">
        <f>IFERROR(__xludf.DUMMYFUNCTION("""COMPUTED_VALUE"""),"5")</f>
        <v>5</v>
      </c>
      <c r="V1437" s="6" t="str">
        <f>IFERROR(__xludf.DUMMYFUNCTION("""COMPUTED_VALUE"""),"English")</f>
        <v>English</v>
      </c>
      <c r="W1437" s="6" t="str">
        <f>IFERROR(__xludf.DUMMYFUNCTION("""COMPUTED_VALUE"""),"[]")</f>
        <v>[]</v>
      </c>
      <c r="X1437" s="6" t="str">
        <f>IFERROR(__xludf.DUMMYFUNCTION("""COMPUTED_VALUE"""),"Enrolled")</f>
        <v>Enrolled</v>
      </c>
    </row>
    <row r="1438">
      <c r="A1438" s="6" t="str">
        <f>IFERROR(__xludf.DUMMYFUNCTION("""COMPUTED_VALUE"""),"009-1694")</f>
        <v>009-1694</v>
      </c>
      <c r="B1438" s="6" t="str">
        <f>IFERROR(__xludf.DUMMYFUNCTION("""COMPUTED_VALUE"""),"9")</f>
        <v>9</v>
      </c>
      <c r="C1438" s="6" t="str">
        <f>IFERROR(__xludf.DUMMYFUNCTION("""COMPUTED_VALUE"""),"1694")</f>
        <v>1694</v>
      </c>
      <c r="D1438" s="6" t="str">
        <f>IFERROR(__xludf.DUMMYFUNCTION("""COMPUTED_VALUE"""),"Adam")</f>
        <v>Adam</v>
      </c>
      <c r="E1438" s="6" t="str">
        <f>IFERROR(__xludf.DUMMYFUNCTION("""COMPUTED_VALUE"""),"")</f>
        <v/>
      </c>
      <c r="F1438" s="6" t="str">
        <f>IFERROR(__xludf.DUMMYFUNCTION("""COMPUTED_VALUE"""),"Ivan")</f>
        <v>Ivan</v>
      </c>
      <c r="G1438" s="6" t="str">
        <f>IFERROR(__xludf.DUMMYFUNCTION("""COMPUTED_VALUE"""),"01/01/2017")</f>
        <v>01/01/2017</v>
      </c>
      <c r="H1438" s="6" t="str">
        <f>IFERROR(__xludf.DUMMYFUNCTION("""COMPUTED_VALUE"""),"Self Identify")</f>
        <v>Self Identify</v>
      </c>
      <c r="I1438" s="6" t="str">
        <f>IFERROR(__xludf.DUMMYFUNCTION("""COMPUTED_VALUE"""),"Level 1")</f>
        <v>Level 1</v>
      </c>
      <c r="J1438" s="6" t="str">
        <f>IFERROR(__xludf.DUMMYFUNCTION("""COMPUTED_VALUE"""),"2")</f>
        <v>2</v>
      </c>
      <c r="K1438" s="6" t="str">
        <f>IFERROR(__xludf.DUMMYFUNCTION("""COMPUTED_VALUE"""),"adam.ivan@2hourlearning.com")</f>
        <v>adam.ivan@2hourlearning.com</v>
      </c>
      <c r="L1438" s="6" t="str">
        <f>IFERROR(__xludf.DUMMYFUNCTION("""COMPUTED_VALUE"""),"Learn and Earn Poland")</f>
        <v>Learn and Earn Poland</v>
      </c>
      <c r="M1438" s="6" t="str">
        <f>IFERROR(__xludf.DUMMYFUNCTION("""COMPUTED_VALUE"""),"Budapest Alpha")</f>
        <v>Budapest Alpha</v>
      </c>
      <c r="N1438" s="6" t="str">
        <f>IFERROR(__xludf.DUMMYFUNCTION("""COMPUTED_VALUE"""),"")</f>
        <v/>
      </c>
      <c r="O1438" s="87" t="str">
        <f>IFERROR(__xludf.DUMMYFUNCTION("""COMPUTED_VALUE"""),"https://drive.google.com/drive/folders/10T2cTQHqEJZqE-st6uFKPoI?usp=share_link")</f>
        <v>https://drive.google.com/drive/folders/10T2cTQHqEJZqE-st6uFKPoI?usp=share_link</v>
      </c>
      <c r="P1438" s="6" t="str">
        <f>IFERROR(__xludf.DUMMYFUNCTION("""COMPUTED_VALUE"""),"Adam Ivan")</f>
        <v>Adam Ivan</v>
      </c>
      <c r="Q1438" s="6" t="str">
        <f>IFERROR(__xludf.DUMMYFUNCTION("""COMPUTED_VALUE"""),"L1")</f>
        <v>L1</v>
      </c>
      <c r="R1438" s="6">
        <f>IFERROR(__xludf.DUMMYFUNCTION("""COMPUTED_VALUE"""),1.0)</f>
        <v>1</v>
      </c>
      <c r="S1438" s="6" t="str">
        <f>IFERROR(__xludf.DUMMYFUNCTION("""COMPUTED_VALUE""")," ")</f>
        <v> </v>
      </c>
      <c r="T1438" s="6" t="str">
        <f>IFERROR(__xludf.DUMMYFUNCTION("""COMPUTED_VALUE"""),"")</f>
        <v/>
      </c>
      <c r="U1438" s="6" t="str">
        <f>IFERROR(__xludf.DUMMYFUNCTION("""COMPUTED_VALUE"""),"2")</f>
        <v>2</v>
      </c>
      <c r="V1438" s="6" t="str">
        <f>IFERROR(__xludf.DUMMYFUNCTION("""COMPUTED_VALUE"""),"English")</f>
        <v>English</v>
      </c>
      <c r="W1438" s="6" t="str">
        <f>IFERROR(__xludf.DUMMYFUNCTION("""COMPUTED_VALUE"""),"[]")</f>
        <v>[]</v>
      </c>
      <c r="X1438" s="6" t="str">
        <f>IFERROR(__xludf.DUMMYFUNCTION("""COMPUTED_VALUE"""),"Enrolled")</f>
        <v>Enrolled</v>
      </c>
    </row>
    <row r="1439">
      <c r="A1439" s="6" t="str">
        <f>IFERROR(__xludf.DUMMYFUNCTION("""COMPUTED_VALUE"""),"009-1695")</f>
        <v>009-1695</v>
      </c>
      <c r="B1439" s="6" t="str">
        <f>IFERROR(__xludf.DUMMYFUNCTION("""COMPUTED_VALUE"""),"9")</f>
        <v>9</v>
      </c>
      <c r="C1439" s="6" t="str">
        <f>IFERROR(__xludf.DUMMYFUNCTION("""COMPUTED_VALUE"""),"1695")</f>
        <v>1695</v>
      </c>
      <c r="D1439" s="6" t="str">
        <f>IFERROR(__xludf.DUMMYFUNCTION("""COMPUTED_VALUE"""),"Zoltan")</f>
        <v>Zoltan</v>
      </c>
      <c r="E1439" s="6" t="str">
        <f>IFERROR(__xludf.DUMMYFUNCTION("""COMPUTED_VALUE"""),"")</f>
        <v/>
      </c>
      <c r="F1439" s="6" t="str">
        <f>IFERROR(__xludf.DUMMYFUNCTION("""COMPUTED_VALUE"""),"Szilagyi")</f>
        <v>Szilagyi</v>
      </c>
      <c r="G1439" s="6" t="str">
        <f>IFERROR(__xludf.DUMMYFUNCTION("""COMPUTED_VALUE"""),"01/01/2019")</f>
        <v>01/01/2019</v>
      </c>
      <c r="H1439" s="6" t="str">
        <f>IFERROR(__xludf.DUMMYFUNCTION("""COMPUTED_VALUE"""),"Self Identify")</f>
        <v>Self Identify</v>
      </c>
      <c r="I1439" s="6" t="str">
        <f>IFERROR(__xludf.DUMMYFUNCTION("""COMPUTED_VALUE"""),"Learning Lab")</f>
        <v>Learning Lab</v>
      </c>
      <c r="J1439" s="6" t="str">
        <f>IFERROR(__xludf.DUMMYFUNCTION("""COMPUTED_VALUE"""),"1")</f>
        <v>1</v>
      </c>
      <c r="K1439" s="6" t="str">
        <f>IFERROR(__xludf.DUMMYFUNCTION("""COMPUTED_VALUE"""),"zoltan.szilagyi@2hourlearning.com")</f>
        <v>zoltan.szilagyi@2hourlearning.com</v>
      </c>
      <c r="L1439" s="6" t="str">
        <f>IFERROR(__xludf.DUMMYFUNCTION("""COMPUTED_VALUE"""),"Learn and Earn Poland")</f>
        <v>Learn and Earn Poland</v>
      </c>
      <c r="M1439" s="6" t="str">
        <f>IFERROR(__xludf.DUMMYFUNCTION("""COMPUTED_VALUE"""),"Budapest Alpha")</f>
        <v>Budapest Alpha</v>
      </c>
      <c r="N1439" s="6" t="str">
        <f>IFERROR(__xludf.DUMMYFUNCTION("""COMPUTED_VALUE"""),"")</f>
        <v/>
      </c>
      <c r="O1439" s="87" t="str">
        <f>IFERROR(__xludf.DUMMYFUNCTION("""COMPUTED_VALUE"""),"https://drive.google.com/drive/folders/10T2cTQHqEJZqE-st6uFKPoI?usp=share_link")</f>
        <v>https://drive.google.com/drive/folders/10T2cTQHqEJZqE-st6uFKPoI?usp=share_link</v>
      </c>
      <c r="P1439" s="6" t="str">
        <f>IFERROR(__xludf.DUMMYFUNCTION("""COMPUTED_VALUE"""),"Zoltan Szilagyi")</f>
        <v>Zoltan Szilagyi</v>
      </c>
      <c r="Q1439" s="6" t="str">
        <f>IFERROR(__xludf.DUMMYFUNCTION("""COMPUTED_VALUE"""),"LL")</f>
        <v>LL</v>
      </c>
      <c r="R1439" s="6">
        <f>IFERROR(__xludf.DUMMYFUNCTION("""COMPUTED_VALUE"""),0.0)</f>
        <v>0</v>
      </c>
      <c r="S1439" s="6" t="str">
        <f>IFERROR(__xludf.DUMMYFUNCTION("""COMPUTED_VALUE""")," ")</f>
        <v> </v>
      </c>
      <c r="T1439" s="6" t="str">
        <f>IFERROR(__xludf.DUMMYFUNCTION("""COMPUTED_VALUE"""),"")</f>
        <v/>
      </c>
      <c r="U1439" s="6" t="str">
        <f>IFERROR(__xludf.DUMMYFUNCTION("""COMPUTED_VALUE"""),"1")</f>
        <v>1</v>
      </c>
      <c r="V1439" s="6" t="str">
        <f>IFERROR(__xludf.DUMMYFUNCTION("""COMPUTED_VALUE"""),"English")</f>
        <v>English</v>
      </c>
      <c r="W1439" s="6" t="str">
        <f>IFERROR(__xludf.DUMMYFUNCTION("""COMPUTED_VALUE"""),"[]")</f>
        <v>[]</v>
      </c>
      <c r="X1439" s="6" t="str">
        <f>IFERROR(__xludf.DUMMYFUNCTION("""COMPUTED_VALUE"""),"Enrolled")</f>
        <v>Enrolled</v>
      </c>
    </row>
    <row r="1440">
      <c r="A1440" s="6" t="str">
        <f>IFERROR(__xludf.DUMMYFUNCTION("""COMPUTED_VALUE"""),"009-1696")</f>
        <v>009-1696</v>
      </c>
      <c r="B1440" s="6" t="str">
        <f>IFERROR(__xludf.DUMMYFUNCTION("""COMPUTED_VALUE"""),"9")</f>
        <v>9</v>
      </c>
      <c r="C1440" s="6" t="str">
        <f>IFERROR(__xludf.DUMMYFUNCTION("""COMPUTED_VALUE"""),"1696")</f>
        <v>1696</v>
      </c>
      <c r="D1440" s="6" t="str">
        <f>IFERROR(__xludf.DUMMYFUNCTION("""COMPUTED_VALUE"""),"Janos")</f>
        <v>Janos</v>
      </c>
      <c r="E1440" s="6" t="str">
        <f>IFERROR(__xludf.DUMMYFUNCTION("""COMPUTED_VALUE"""),"")</f>
        <v/>
      </c>
      <c r="F1440" s="6" t="str">
        <f>IFERROR(__xludf.DUMMYFUNCTION("""COMPUTED_VALUE"""),"Szilagyi")</f>
        <v>Szilagyi</v>
      </c>
      <c r="G1440" s="6" t="str">
        <f>IFERROR(__xludf.DUMMYFUNCTION("""COMPUTED_VALUE"""),"01/01/2017")</f>
        <v>01/01/2017</v>
      </c>
      <c r="H1440" s="6" t="str">
        <f>IFERROR(__xludf.DUMMYFUNCTION("""COMPUTED_VALUE"""),"Self Identify")</f>
        <v>Self Identify</v>
      </c>
      <c r="I1440" s="6" t="str">
        <f>IFERROR(__xludf.DUMMYFUNCTION("""COMPUTED_VALUE"""),"Level 1")</f>
        <v>Level 1</v>
      </c>
      <c r="J1440" s="6" t="str">
        <f>IFERROR(__xludf.DUMMYFUNCTION("""COMPUTED_VALUE"""),"2")</f>
        <v>2</v>
      </c>
      <c r="K1440" s="6" t="str">
        <f>IFERROR(__xludf.DUMMYFUNCTION("""COMPUTED_VALUE"""),"janos.szilagyi@2hourlearning.com")</f>
        <v>janos.szilagyi@2hourlearning.com</v>
      </c>
      <c r="L1440" s="6" t="str">
        <f>IFERROR(__xludf.DUMMYFUNCTION("""COMPUTED_VALUE"""),"Learn and Earn Poland")</f>
        <v>Learn and Earn Poland</v>
      </c>
      <c r="M1440" s="6" t="str">
        <f>IFERROR(__xludf.DUMMYFUNCTION("""COMPUTED_VALUE"""),"Budapest Alpha")</f>
        <v>Budapest Alpha</v>
      </c>
      <c r="N1440" s="6" t="str">
        <f>IFERROR(__xludf.DUMMYFUNCTION("""COMPUTED_VALUE"""),"")</f>
        <v/>
      </c>
      <c r="O1440" s="87" t="str">
        <f>IFERROR(__xludf.DUMMYFUNCTION("""COMPUTED_VALUE"""),"https://drive.google.com/drive/folders/10T2cTQHqEJZqE-st6uFKPoI?usp=share_link")</f>
        <v>https://drive.google.com/drive/folders/10T2cTQHqEJZqE-st6uFKPoI?usp=share_link</v>
      </c>
      <c r="P1440" s="6" t="str">
        <f>IFERROR(__xludf.DUMMYFUNCTION("""COMPUTED_VALUE"""),"Janos Szilagyi")</f>
        <v>Janos Szilagyi</v>
      </c>
      <c r="Q1440" s="6" t="str">
        <f>IFERROR(__xludf.DUMMYFUNCTION("""COMPUTED_VALUE"""),"L1")</f>
        <v>L1</v>
      </c>
      <c r="R1440" s="6">
        <f>IFERROR(__xludf.DUMMYFUNCTION("""COMPUTED_VALUE"""),1.0)</f>
        <v>1</v>
      </c>
      <c r="S1440" s="6" t="str">
        <f>IFERROR(__xludf.DUMMYFUNCTION("""COMPUTED_VALUE""")," ")</f>
        <v> </v>
      </c>
      <c r="T1440" s="6" t="str">
        <f>IFERROR(__xludf.DUMMYFUNCTION("""COMPUTED_VALUE"""),"")</f>
        <v/>
      </c>
      <c r="U1440" s="6" t="str">
        <f>IFERROR(__xludf.DUMMYFUNCTION("""COMPUTED_VALUE"""),"2")</f>
        <v>2</v>
      </c>
      <c r="V1440" s="6" t="str">
        <f>IFERROR(__xludf.DUMMYFUNCTION("""COMPUTED_VALUE"""),"English")</f>
        <v>English</v>
      </c>
      <c r="W1440" s="6" t="str">
        <f>IFERROR(__xludf.DUMMYFUNCTION("""COMPUTED_VALUE"""),"[]")</f>
        <v>[]</v>
      </c>
      <c r="X1440" s="6" t="str">
        <f>IFERROR(__xludf.DUMMYFUNCTION("""COMPUTED_VALUE"""),"Enrolled")</f>
        <v>Enrolled</v>
      </c>
    </row>
    <row r="1441">
      <c r="A1441" s="6" t="str">
        <f>IFERROR(__xludf.DUMMYFUNCTION("""COMPUTED_VALUE"""),"009-1697")</f>
        <v>009-1697</v>
      </c>
      <c r="B1441" s="6" t="str">
        <f>IFERROR(__xludf.DUMMYFUNCTION("""COMPUTED_VALUE"""),"9")</f>
        <v>9</v>
      </c>
      <c r="C1441" s="6" t="str">
        <f>IFERROR(__xludf.DUMMYFUNCTION("""COMPUTED_VALUE"""),"1697")</f>
        <v>1697</v>
      </c>
      <c r="D1441" s="6" t="str">
        <f>IFERROR(__xludf.DUMMYFUNCTION("""COMPUTED_VALUE"""),"Abel")</f>
        <v>Abel</v>
      </c>
      <c r="E1441" s="6" t="str">
        <f>IFERROR(__xludf.DUMMYFUNCTION("""COMPUTED_VALUE"""),"")</f>
        <v/>
      </c>
      <c r="F1441" s="6" t="str">
        <f>IFERROR(__xludf.DUMMYFUNCTION("""COMPUTED_VALUE"""),"Tar")</f>
        <v>Tar</v>
      </c>
      <c r="G1441" s="6" t="str">
        <f>IFERROR(__xludf.DUMMYFUNCTION("""COMPUTED_VALUE"""),"01/01/2015")</f>
        <v>01/01/2015</v>
      </c>
      <c r="H1441" s="6" t="str">
        <f>IFERROR(__xludf.DUMMYFUNCTION("""COMPUTED_VALUE"""),"Self Identify")</f>
        <v>Self Identify</v>
      </c>
      <c r="I1441" s="6" t="str">
        <f>IFERROR(__xludf.DUMMYFUNCTION("""COMPUTED_VALUE"""),"Level 2")</f>
        <v>Level 2</v>
      </c>
      <c r="J1441" s="6" t="str">
        <f>IFERROR(__xludf.DUMMYFUNCTION("""COMPUTED_VALUE"""),"4")</f>
        <v>4</v>
      </c>
      <c r="K1441" s="6" t="str">
        <f>IFERROR(__xludf.DUMMYFUNCTION("""COMPUTED_VALUE"""),"abel.tar@2hourlearning.com")</f>
        <v>abel.tar@2hourlearning.com</v>
      </c>
      <c r="L1441" s="6" t="str">
        <f>IFERROR(__xludf.DUMMYFUNCTION("""COMPUTED_VALUE"""),"Learn and Earn Poland")</f>
        <v>Learn and Earn Poland</v>
      </c>
      <c r="M1441" s="6" t="str">
        <f>IFERROR(__xludf.DUMMYFUNCTION("""COMPUTED_VALUE"""),"Budapest Alpha")</f>
        <v>Budapest Alpha</v>
      </c>
      <c r="N1441" s="6" t="str">
        <f>IFERROR(__xludf.DUMMYFUNCTION("""COMPUTED_VALUE"""),"")</f>
        <v/>
      </c>
      <c r="O1441" s="87" t="str">
        <f>IFERROR(__xludf.DUMMYFUNCTION("""COMPUTED_VALUE"""),"https://drive.google.com/drive/folders/10T2cTQHqEJZqE-st6uFKPoI?usp=share_link")</f>
        <v>https://drive.google.com/drive/folders/10T2cTQHqEJZqE-st6uFKPoI?usp=share_link</v>
      </c>
      <c r="P1441" s="6" t="str">
        <f>IFERROR(__xludf.DUMMYFUNCTION("""COMPUTED_VALUE"""),"Abel Tar")</f>
        <v>Abel Tar</v>
      </c>
      <c r="Q1441" s="6" t="str">
        <f>IFERROR(__xludf.DUMMYFUNCTION("""COMPUTED_VALUE"""),"L2")</f>
        <v>L2</v>
      </c>
      <c r="R1441" s="6">
        <f>IFERROR(__xludf.DUMMYFUNCTION("""COMPUTED_VALUE"""),2.0)</f>
        <v>2</v>
      </c>
      <c r="S1441" s="6" t="str">
        <f>IFERROR(__xludf.DUMMYFUNCTION("""COMPUTED_VALUE""")," ")</f>
        <v> </v>
      </c>
      <c r="T1441" s="6" t="str">
        <f>IFERROR(__xludf.DUMMYFUNCTION("""COMPUTED_VALUE"""),"")</f>
        <v/>
      </c>
      <c r="U1441" s="6" t="str">
        <f>IFERROR(__xludf.DUMMYFUNCTION("""COMPUTED_VALUE"""),"4")</f>
        <v>4</v>
      </c>
      <c r="V1441" s="6" t="str">
        <f>IFERROR(__xludf.DUMMYFUNCTION("""COMPUTED_VALUE"""),"English")</f>
        <v>English</v>
      </c>
      <c r="W1441" s="6" t="str">
        <f>IFERROR(__xludf.DUMMYFUNCTION("""COMPUTED_VALUE"""),"[]")</f>
        <v>[]</v>
      </c>
      <c r="X1441" s="6" t="str">
        <f>IFERROR(__xludf.DUMMYFUNCTION("""COMPUTED_VALUE"""),"Enrolled")</f>
        <v>Enrolled</v>
      </c>
    </row>
    <row r="1442">
      <c r="A1442" s="6" t="str">
        <f>IFERROR(__xludf.DUMMYFUNCTION("""COMPUTED_VALUE"""),"009-1698")</f>
        <v>009-1698</v>
      </c>
      <c r="B1442" s="6" t="str">
        <f>IFERROR(__xludf.DUMMYFUNCTION("""COMPUTED_VALUE"""),"9")</f>
        <v>9</v>
      </c>
      <c r="C1442" s="6" t="str">
        <f>IFERROR(__xludf.DUMMYFUNCTION("""COMPUTED_VALUE"""),"1698")</f>
        <v>1698</v>
      </c>
      <c r="D1442" s="6" t="str">
        <f>IFERROR(__xludf.DUMMYFUNCTION("""COMPUTED_VALUE"""),"Eszter")</f>
        <v>Eszter</v>
      </c>
      <c r="E1442" s="6" t="str">
        <f>IFERROR(__xludf.DUMMYFUNCTION("""COMPUTED_VALUE"""),"")</f>
        <v/>
      </c>
      <c r="F1442" s="6" t="str">
        <f>IFERROR(__xludf.DUMMYFUNCTION("""COMPUTED_VALUE"""),"Tar")</f>
        <v>Tar</v>
      </c>
      <c r="G1442" s="6" t="str">
        <f>IFERROR(__xludf.DUMMYFUNCTION("""COMPUTED_VALUE"""),"01/01/2010")</f>
        <v>01/01/2010</v>
      </c>
      <c r="H1442" s="6" t="str">
        <f>IFERROR(__xludf.DUMMYFUNCTION("""COMPUTED_VALUE"""),"Self Identify")</f>
        <v>Self Identify</v>
      </c>
      <c r="I1442" s="6" t="str">
        <f>IFERROR(__xludf.DUMMYFUNCTION("""COMPUTED_VALUE"""),"High School")</f>
        <v>High School</v>
      </c>
      <c r="J1442" s="6" t="str">
        <f>IFERROR(__xludf.DUMMYFUNCTION("""COMPUTED_VALUE"""),"9")</f>
        <v>9</v>
      </c>
      <c r="K1442" s="6" t="str">
        <f>IFERROR(__xludf.DUMMYFUNCTION("""COMPUTED_VALUE"""),"eszter.tar@2hourlearning.com")</f>
        <v>eszter.tar@2hourlearning.com</v>
      </c>
      <c r="L1442" s="6" t="str">
        <f>IFERROR(__xludf.DUMMYFUNCTION("""COMPUTED_VALUE"""),"Learn and Earn Poland")</f>
        <v>Learn and Earn Poland</v>
      </c>
      <c r="M1442" s="6" t="str">
        <f>IFERROR(__xludf.DUMMYFUNCTION("""COMPUTED_VALUE"""),"Budapest Alpha")</f>
        <v>Budapest Alpha</v>
      </c>
      <c r="N1442" s="6" t="str">
        <f>IFERROR(__xludf.DUMMYFUNCTION("""COMPUTED_VALUE"""),"")</f>
        <v/>
      </c>
      <c r="O1442" s="87" t="str">
        <f>IFERROR(__xludf.DUMMYFUNCTION("""COMPUTED_VALUE"""),"https://drive.google.com/drive/folders/10T2cTQHqEJZqE-st6uFKPoI?usp=share_link")</f>
        <v>https://drive.google.com/drive/folders/10T2cTQHqEJZqE-st6uFKPoI?usp=share_link</v>
      </c>
      <c r="P1442" s="6" t="str">
        <f>IFERROR(__xludf.DUMMYFUNCTION("""COMPUTED_VALUE"""),"Eszter Tar")</f>
        <v>Eszter Tar</v>
      </c>
      <c r="Q1442" s="6" t="str">
        <f>IFERROR(__xludf.DUMMYFUNCTION("""COMPUTED_VALUE"""),"HS")</f>
        <v>HS</v>
      </c>
      <c r="R1442" s="6">
        <f>IFERROR(__xludf.DUMMYFUNCTION("""COMPUTED_VALUE"""),0.0)</f>
        <v>0</v>
      </c>
      <c r="S1442" s="6" t="str">
        <f>IFERROR(__xludf.DUMMYFUNCTION("""COMPUTED_VALUE""")," ")</f>
        <v> </v>
      </c>
      <c r="T1442" s="6" t="str">
        <f>IFERROR(__xludf.DUMMYFUNCTION("""COMPUTED_VALUE"""),"")</f>
        <v/>
      </c>
      <c r="U1442" s="6" t="str">
        <f>IFERROR(__xludf.DUMMYFUNCTION("""COMPUTED_VALUE"""),"9")</f>
        <v>9</v>
      </c>
      <c r="V1442" s="6" t="str">
        <f>IFERROR(__xludf.DUMMYFUNCTION("""COMPUTED_VALUE"""),"English")</f>
        <v>English</v>
      </c>
      <c r="W1442" s="6" t="str">
        <f>IFERROR(__xludf.DUMMYFUNCTION("""COMPUTED_VALUE"""),"[]")</f>
        <v>[]</v>
      </c>
      <c r="X1442" s="6" t="str">
        <f>IFERROR(__xludf.DUMMYFUNCTION("""COMPUTED_VALUE"""),"Enrolled")</f>
        <v>Enrolled</v>
      </c>
    </row>
    <row r="1443">
      <c r="A1443" s="6" t="str">
        <f>IFERROR(__xludf.DUMMYFUNCTION("""COMPUTED_VALUE"""),"009-1699")</f>
        <v>009-1699</v>
      </c>
      <c r="B1443" s="6" t="str">
        <f>IFERROR(__xludf.DUMMYFUNCTION("""COMPUTED_VALUE"""),"9")</f>
        <v>9</v>
      </c>
      <c r="C1443" s="6" t="str">
        <f>IFERROR(__xludf.DUMMYFUNCTION("""COMPUTED_VALUE"""),"1699")</f>
        <v>1699</v>
      </c>
      <c r="D1443" s="6" t="str">
        <f>IFERROR(__xludf.DUMMYFUNCTION("""COMPUTED_VALUE"""),"Bence")</f>
        <v>Bence</v>
      </c>
      <c r="E1443" s="6" t="str">
        <f>IFERROR(__xludf.DUMMYFUNCTION("""COMPUTED_VALUE"""),"")</f>
        <v/>
      </c>
      <c r="F1443" s="6" t="str">
        <f>IFERROR(__xludf.DUMMYFUNCTION("""COMPUTED_VALUE"""),"Tar")</f>
        <v>Tar</v>
      </c>
      <c r="G1443" s="6" t="str">
        <f>IFERROR(__xludf.DUMMYFUNCTION("""COMPUTED_VALUE"""),"01/01/2012")</f>
        <v>01/01/2012</v>
      </c>
      <c r="H1443" s="6" t="str">
        <f>IFERROR(__xludf.DUMMYFUNCTION("""COMPUTED_VALUE"""),"Self Identify")</f>
        <v>Self Identify</v>
      </c>
      <c r="I1443" s="6" t="str">
        <f>IFERROR(__xludf.DUMMYFUNCTION("""COMPUTED_VALUE"""),"Middle School")</f>
        <v>Middle School</v>
      </c>
      <c r="J1443" s="6" t="str">
        <f>IFERROR(__xludf.DUMMYFUNCTION("""COMPUTED_VALUE"""),"7")</f>
        <v>7</v>
      </c>
      <c r="K1443" s="6" t="str">
        <f>IFERROR(__xludf.DUMMYFUNCTION("""COMPUTED_VALUE"""),"bence.tar@2hourlearning.com")</f>
        <v>bence.tar@2hourlearning.com</v>
      </c>
      <c r="L1443" s="6" t="str">
        <f>IFERROR(__xludf.DUMMYFUNCTION("""COMPUTED_VALUE"""),"Learn and Earn Poland")</f>
        <v>Learn and Earn Poland</v>
      </c>
      <c r="M1443" s="6" t="str">
        <f>IFERROR(__xludf.DUMMYFUNCTION("""COMPUTED_VALUE"""),"Budapest Alpha")</f>
        <v>Budapest Alpha</v>
      </c>
      <c r="N1443" s="6" t="str">
        <f>IFERROR(__xludf.DUMMYFUNCTION("""COMPUTED_VALUE"""),"")</f>
        <v/>
      </c>
      <c r="O1443" s="87" t="str">
        <f>IFERROR(__xludf.DUMMYFUNCTION("""COMPUTED_VALUE"""),"https://drive.google.com/drive/folders/10T2cTQHqEJZqE-st6uFKPoI?usp=share_link")</f>
        <v>https://drive.google.com/drive/folders/10T2cTQHqEJZqE-st6uFKPoI?usp=share_link</v>
      </c>
      <c r="P1443" s="6" t="str">
        <f>IFERROR(__xludf.DUMMYFUNCTION("""COMPUTED_VALUE"""),"Bence Tar")</f>
        <v>Bence Tar</v>
      </c>
      <c r="Q1443" s="6" t="str">
        <f>IFERROR(__xludf.DUMMYFUNCTION("""COMPUTED_VALUE"""),"MS")</f>
        <v>MS</v>
      </c>
      <c r="R1443" s="6">
        <f>IFERROR(__xludf.DUMMYFUNCTION("""COMPUTED_VALUE"""),0.0)</f>
        <v>0</v>
      </c>
      <c r="S1443" s="6" t="str">
        <f>IFERROR(__xludf.DUMMYFUNCTION("""COMPUTED_VALUE""")," ")</f>
        <v> </v>
      </c>
      <c r="T1443" s="6" t="str">
        <f>IFERROR(__xludf.DUMMYFUNCTION("""COMPUTED_VALUE"""),"")</f>
        <v/>
      </c>
      <c r="U1443" s="6" t="str">
        <f>IFERROR(__xludf.DUMMYFUNCTION("""COMPUTED_VALUE"""),"7")</f>
        <v>7</v>
      </c>
      <c r="V1443" s="6" t="str">
        <f>IFERROR(__xludf.DUMMYFUNCTION("""COMPUTED_VALUE"""),"English")</f>
        <v>English</v>
      </c>
      <c r="W1443" s="6" t="str">
        <f>IFERROR(__xludf.DUMMYFUNCTION("""COMPUTED_VALUE"""),"[]")</f>
        <v>[]</v>
      </c>
      <c r="X1443" s="6" t="str">
        <f>IFERROR(__xludf.DUMMYFUNCTION("""COMPUTED_VALUE"""),"Enrolled")</f>
        <v>Enrolled</v>
      </c>
    </row>
    <row r="1444">
      <c r="A1444" s="6" t="str">
        <f>IFERROR(__xludf.DUMMYFUNCTION("""COMPUTED_VALUE"""),"009-1700")</f>
        <v>009-1700</v>
      </c>
      <c r="B1444" s="6" t="str">
        <f>IFERROR(__xludf.DUMMYFUNCTION("""COMPUTED_VALUE"""),"9")</f>
        <v>9</v>
      </c>
      <c r="C1444" s="6" t="str">
        <f>IFERROR(__xludf.DUMMYFUNCTION("""COMPUTED_VALUE"""),"1700")</f>
        <v>1700</v>
      </c>
      <c r="D1444" s="6" t="str">
        <f>IFERROR(__xludf.DUMMYFUNCTION("""COMPUTED_VALUE"""),"aron")</f>
        <v>aron</v>
      </c>
      <c r="E1444" s="6" t="str">
        <f>IFERROR(__xludf.DUMMYFUNCTION("""COMPUTED_VALUE"""),"")</f>
        <v/>
      </c>
      <c r="F1444" s="6" t="str">
        <f>IFERROR(__xludf.DUMMYFUNCTION("""COMPUTED_VALUE"""),"Ponitz")</f>
        <v>Ponitz</v>
      </c>
      <c r="G1444" s="6" t="str">
        <f>IFERROR(__xludf.DUMMYFUNCTION("""COMPUTED_VALUE"""),"01/01/2013")</f>
        <v>01/01/2013</v>
      </c>
      <c r="H1444" s="6" t="str">
        <f>IFERROR(__xludf.DUMMYFUNCTION("""COMPUTED_VALUE"""),"Self Identify")</f>
        <v>Self Identify</v>
      </c>
      <c r="I1444" s="6" t="str">
        <f>IFERROR(__xludf.DUMMYFUNCTION("""COMPUTED_VALUE"""),"Middle School")</f>
        <v>Middle School</v>
      </c>
      <c r="J1444" s="6" t="str">
        <f>IFERROR(__xludf.DUMMYFUNCTION("""COMPUTED_VALUE"""),"6")</f>
        <v>6</v>
      </c>
      <c r="K1444" s="6" t="str">
        <f>IFERROR(__xludf.DUMMYFUNCTION("""COMPUTED_VALUE"""),"aron.ponitz@2hourlearning.com")</f>
        <v>aron.ponitz@2hourlearning.com</v>
      </c>
      <c r="L1444" s="6" t="str">
        <f>IFERROR(__xludf.DUMMYFUNCTION("""COMPUTED_VALUE"""),"Learn and Earn Poland")</f>
        <v>Learn and Earn Poland</v>
      </c>
      <c r="M1444" s="6" t="str">
        <f>IFERROR(__xludf.DUMMYFUNCTION("""COMPUTED_VALUE"""),"Budapest Alpha")</f>
        <v>Budapest Alpha</v>
      </c>
      <c r="N1444" s="6" t="str">
        <f>IFERROR(__xludf.DUMMYFUNCTION("""COMPUTED_VALUE"""),"")</f>
        <v/>
      </c>
      <c r="O1444" s="87" t="str">
        <f>IFERROR(__xludf.DUMMYFUNCTION("""COMPUTED_VALUE"""),"https://drive.google.com/drive/folders/10T2cTQHqEJZqE-st6uFKPoI?usp=share_link")</f>
        <v>https://drive.google.com/drive/folders/10T2cTQHqEJZqE-st6uFKPoI?usp=share_link</v>
      </c>
      <c r="P1444" s="6" t="str">
        <f>IFERROR(__xludf.DUMMYFUNCTION("""COMPUTED_VALUE"""),"aron Ponitz")</f>
        <v>aron Ponitz</v>
      </c>
      <c r="Q1444" s="6" t="str">
        <f>IFERROR(__xludf.DUMMYFUNCTION("""COMPUTED_VALUE"""),"MS")</f>
        <v>MS</v>
      </c>
      <c r="R1444" s="6">
        <f>IFERROR(__xludf.DUMMYFUNCTION("""COMPUTED_VALUE"""),0.0)</f>
        <v>0</v>
      </c>
      <c r="S1444" s="6" t="str">
        <f>IFERROR(__xludf.DUMMYFUNCTION("""COMPUTED_VALUE""")," ")</f>
        <v> </v>
      </c>
      <c r="T1444" s="6" t="str">
        <f>IFERROR(__xludf.DUMMYFUNCTION("""COMPUTED_VALUE"""),"")</f>
        <v/>
      </c>
      <c r="U1444" s="6" t="str">
        <f>IFERROR(__xludf.DUMMYFUNCTION("""COMPUTED_VALUE"""),"6")</f>
        <v>6</v>
      </c>
      <c r="V1444" s="6" t="str">
        <f>IFERROR(__xludf.DUMMYFUNCTION("""COMPUTED_VALUE"""),"English")</f>
        <v>English</v>
      </c>
      <c r="W1444" s="6" t="str">
        <f>IFERROR(__xludf.DUMMYFUNCTION("""COMPUTED_VALUE"""),"[]")</f>
        <v>[]</v>
      </c>
      <c r="X1444" s="6" t="str">
        <f>IFERROR(__xludf.DUMMYFUNCTION("""COMPUTED_VALUE"""),"Enrolled")</f>
        <v>Enrolled</v>
      </c>
    </row>
    <row r="1445">
      <c r="A1445" s="6" t="str">
        <f>IFERROR(__xludf.DUMMYFUNCTION("""COMPUTED_VALUE"""),"009-1701")</f>
        <v>009-1701</v>
      </c>
      <c r="B1445" s="6" t="str">
        <f>IFERROR(__xludf.DUMMYFUNCTION("""COMPUTED_VALUE"""),"9")</f>
        <v>9</v>
      </c>
      <c r="C1445" s="6" t="str">
        <f>IFERROR(__xludf.DUMMYFUNCTION("""COMPUTED_VALUE"""),"1701")</f>
        <v>1701</v>
      </c>
      <c r="D1445" s="6" t="str">
        <f>IFERROR(__xludf.DUMMYFUNCTION("""COMPUTED_VALUE"""),"Valentyna")</f>
        <v>Valentyna</v>
      </c>
      <c r="E1445" s="6" t="str">
        <f>IFERROR(__xludf.DUMMYFUNCTION("""COMPUTED_VALUE"""),"")</f>
        <v/>
      </c>
      <c r="F1445" s="6" t="str">
        <f>IFERROR(__xludf.DUMMYFUNCTION("""COMPUTED_VALUE"""),"Hapon")</f>
        <v>Hapon</v>
      </c>
      <c r="G1445" s="6" t="str">
        <f>IFERROR(__xludf.DUMMYFUNCTION("""COMPUTED_VALUE"""),"01/01/2017")</f>
        <v>01/01/2017</v>
      </c>
      <c r="H1445" s="6" t="str">
        <f>IFERROR(__xludf.DUMMYFUNCTION("""COMPUTED_VALUE"""),"Self Identify")</f>
        <v>Self Identify</v>
      </c>
      <c r="I1445" s="6" t="str">
        <f>IFERROR(__xludf.DUMMYFUNCTION("""COMPUTED_VALUE"""),"Level 1")</f>
        <v>Level 1</v>
      </c>
      <c r="J1445" s="6" t="str">
        <f>IFERROR(__xludf.DUMMYFUNCTION("""COMPUTED_VALUE"""),"2")</f>
        <v>2</v>
      </c>
      <c r="K1445" s="6" t="str">
        <f>IFERROR(__xludf.DUMMYFUNCTION("""COMPUTED_VALUE"""),"valentyna.hapon@2hourlearning.com")</f>
        <v>valentyna.hapon@2hourlearning.com</v>
      </c>
      <c r="L1445" s="6" t="str">
        <f>IFERROR(__xludf.DUMMYFUNCTION("""COMPUTED_VALUE"""),"Learn and Earn Poland")</f>
        <v>Learn and Earn Poland</v>
      </c>
      <c r="M1445" s="6" t="str">
        <f>IFERROR(__xludf.DUMMYFUNCTION("""COMPUTED_VALUE"""),"Budapest ex-GTS")</f>
        <v>Budapest ex-GTS</v>
      </c>
      <c r="N1445" s="6" t="str">
        <f>IFERROR(__xludf.DUMMYFUNCTION("""COMPUTED_VALUE"""),"")</f>
        <v/>
      </c>
      <c r="O1445" s="87" t="str">
        <f>IFERROR(__xludf.DUMMYFUNCTION("""COMPUTED_VALUE"""),"https://drive.google.com/drive/folders/10T2cTQHqEJZqE-st6uFKPoI?usp=share_link")</f>
        <v>https://drive.google.com/drive/folders/10T2cTQHqEJZqE-st6uFKPoI?usp=share_link</v>
      </c>
      <c r="P1445" s="6" t="str">
        <f>IFERROR(__xludf.DUMMYFUNCTION("""COMPUTED_VALUE"""),"Valentyna Hapon")</f>
        <v>Valentyna Hapon</v>
      </c>
      <c r="Q1445" s="6" t="str">
        <f>IFERROR(__xludf.DUMMYFUNCTION("""COMPUTED_VALUE"""),"L1")</f>
        <v>L1</v>
      </c>
      <c r="R1445" s="6">
        <f>IFERROR(__xludf.DUMMYFUNCTION("""COMPUTED_VALUE"""),1.0)</f>
        <v>1</v>
      </c>
      <c r="S1445" s="6" t="str">
        <f>IFERROR(__xludf.DUMMYFUNCTION("""COMPUTED_VALUE""")," ")</f>
        <v> </v>
      </c>
      <c r="T1445" s="6" t="str">
        <f>IFERROR(__xludf.DUMMYFUNCTION("""COMPUTED_VALUE"""),"")</f>
        <v/>
      </c>
      <c r="U1445" s="6" t="str">
        <f>IFERROR(__xludf.DUMMYFUNCTION("""COMPUTED_VALUE"""),"2")</f>
        <v>2</v>
      </c>
      <c r="V1445" s="6" t="str">
        <f>IFERROR(__xludf.DUMMYFUNCTION("""COMPUTED_VALUE"""),"English")</f>
        <v>English</v>
      </c>
      <c r="W1445" s="6" t="str">
        <f>IFERROR(__xludf.DUMMYFUNCTION("""COMPUTED_VALUE"""),"[]")</f>
        <v>[]</v>
      </c>
      <c r="X1445" s="6" t="str">
        <f>IFERROR(__xludf.DUMMYFUNCTION("""COMPUTED_VALUE"""),"Enrolled")</f>
        <v>Enrolled</v>
      </c>
    </row>
    <row r="1446">
      <c r="A1446" s="6" t="str">
        <f>IFERROR(__xludf.DUMMYFUNCTION("""COMPUTED_VALUE"""),"009-1702")</f>
        <v>009-1702</v>
      </c>
      <c r="B1446" s="6" t="str">
        <f>IFERROR(__xludf.DUMMYFUNCTION("""COMPUTED_VALUE"""),"9")</f>
        <v>9</v>
      </c>
      <c r="C1446" s="6" t="str">
        <f>IFERROR(__xludf.DUMMYFUNCTION("""COMPUTED_VALUE"""),"1702")</f>
        <v>1702</v>
      </c>
      <c r="D1446" s="6" t="str">
        <f>IFERROR(__xludf.DUMMYFUNCTION("""COMPUTED_VALUE"""),"Samuel")</f>
        <v>Samuel</v>
      </c>
      <c r="E1446" s="6" t="str">
        <f>IFERROR(__xludf.DUMMYFUNCTION("""COMPUTED_VALUE"""),"")</f>
        <v/>
      </c>
      <c r="F1446" s="6" t="str">
        <f>IFERROR(__xludf.DUMMYFUNCTION("""COMPUTED_VALUE"""),"Ponitz")</f>
        <v>Ponitz</v>
      </c>
      <c r="G1446" s="6" t="str">
        <f>IFERROR(__xludf.DUMMYFUNCTION("""COMPUTED_VALUE"""),"01/01/2016")</f>
        <v>01/01/2016</v>
      </c>
      <c r="H1446" s="6" t="str">
        <f>IFERROR(__xludf.DUMMYFUNCTION("""COMPUTED_VALUE"""),"Self Identify")</f>
        <v>Self Identify</v>
      </c>
      <c r="I1446" s="6" t="str">
        <f>IFERROR(__xludf.DUMMYFUNCTION("""COMPUTED_VALUE"""),"Level 1")</f>
        <v>Level 1</v>
      </c>
      <c r="J1446" s="6" t="str">
        <f>IFERROR(__xludf.DUMMYFUNCTION("""COMPUTED_VALUE"""),"3")</f>
        <v>3</v>
      </c>
      <c r="K1446" s="6" t="str">
        <f>IFERROR(__xludf.DUMMYFUNCTION("""COMPUTED_VALUE"""),"samuel.ponitz@2hourlearning.com")</f>
        <v>samuel.ponitz@2hourlearning.com</v>
      </c>
      <c r="L1446" s="6" t="str">
        <f>IFERROR(__xludf.DUMMYFUNCTION("""COMPUTED_VALUE"""),"Learn and Earn Poland")</f>
        <v>Learn and Earn Poland</v>
      </c>
      <c r="M1446" s="6" t="str">
        <f>IFERROR(__xludf.DUMMYFUNCTION("""COMPUTED_VALUE"""),"Budapest Alpha")</f>
        <v>Budapest Alpha</v>
      </c>
      <c r="N1446" s="6" t="str">
        <f>IFERROR(__xludf.DUMMYFUNCTION("""COMPUTED_VALUE"""),"")</f>
        <v/>
      </c>
      <c r="O1446" s="87" t="str">
        <f>IFERROR(__xludf.DUMMYFUNCTION("""COMPUTED_VALUE"""),"https://drive.google.com/drive/folders/10T2cTQHqEJZqE-st6uFKPoI?usp=share_link")</f>
        <v>https://drive.google.com/drive/folders/10T2cTQHqEJZqE-st6uFKPoI?usp=share_link</v>
      </c>
      <c r="P1446" s="6" t="str">
        <f>IFERROR(__xludf.DUMMYFUNCTION("""COMPUTED_VALUE"""),"Samuel Ponitz")</f>
        <v>Samuel Ponitz</v>
      </c>
      <c r="Q1446" s="6" t="str">
        <f>IFERROR(__xludf.DUMMYFUNCTION("""COMPUTED_VALUE"""),"L1")</f>
        <v>L1</v>
      </c>
      <c r="R1446" s="6">
        <f>IFERROR(__xludf.DUMMYFUNCTION("""COMPUTED_VALUE"""),1.0)</f>
        <v>1</v>
      </c>
      <c r="S1446" s="6" t="str">
        <f>IFERROR(__xludf.DUMMYFUNCTION("""COMPUTED_VALUE""")," ")</f>
        <v> </v>
      </c>
      <c r="T1446" s="6" t="str">
        <f>IFERROR(__xludf.DUMMYFUNCTION("""COMPUTED_VALUE"""),"")</f>
        <v/>
      </c>
      <c r="U1446" s="6" t="str">
        <f>IFERROR(__xludf.DUMMYFUNCTION("""COMPUTED_VALUE"""),"3")</f>
        <v>3</v>
      </c>
      <c r="V1446" s="6" t="str">
        <f>IFERROR(__xludf.DUMMYFUNCTION("""COMPUTED_VALUE"""),"English")</f>
        <v>English</v>
      </c>
      <c r="W1446" s="6" t="str">
        <f>IFERROR(__xludf.DUMMYFUNCTION("""COMPUTED_VALUE"""),"[]")</f>
        <v>[]</v>
      </c>
      <c r="X1446" s="6" t="str">
        <f>IFERROR(__xludf.DUMMYFUNCTION("""COMPUTED_VALUE"""),"Enrolled")</f>
        <v>Enrolled</v>
      </c>
    </row>
    <row r="1447">
      <c r="A1447" s="6" t="str">
        <f>IFERROR(__xludf.DUMMYFUNCTION("""COMPUTED_VALUE"""),"009-1703")</f>
        <v>009-1703</v>
      </c>
      <c r="B1447" s="6" t="str">
        <f>IFERROR(__xludf.DUMMYFUNCTION("""COMPUTED_VALUE"""),"9")</f>
        <v>9</v>
      </c>
      <c r="C1447" s="6" t="str">
        <f>IFERROR(__xludf.DUMMYFUNCTION("""COMPUTED_VALUE"""),"1703")</f>
        <v>1703</v>
      </c>
      <c r="D1447" s="6" t="str">
        <f>IFERROR(__xludf.DUMMYFUNCTION("""COMPUTED_VALUE"""),"Zalan")</f>
        <v>Zalan</v>
      </c>
      <c r="E1447" s="6" t="str">
        <f>IFERROR(__xludf.DUMMYFUNCTION("""COMPUTED_VALUE"""),"")</f>
        <v/>
      </c>
      <c r="F1447" s="6" t="str">
        <f>IFERROR(__xludf.DUMMYFUNCTION("""COMPUTED_VALUE"""),"Kovacs")</f>
        <v>Kovacs</v>
      </c>
      <c r="G1447" s="6" t="str">
        <f>IFERROR(__xludf.DUMMYFUNCTION("""COMPUTED_VALUE"""),"01/01/2018")</f>
        <v>01/01/2018</v>
      </c>
      <c r="H1447" s="6" t="str">
        <f>IFERROR(__xludf.DUMMYFUNCTION("""COMPUTED_VALUE"""),"Self Identify")</f>
        <v>Self Identify</v>
      </c>
      <c r="I1447" s="6" t="str">
        <f>IFERROR(__xludf.DUMMYFUNCTION("""COMPUTED_VALUE"""),"Learning Lab")</f>
        <v>Learning Lab</v>
      </c>
      <c r="J1447" s="6" t="str">
        <f>IFERROR(__xludf.DUMMYFUNCTION("""COMPUTED_VALUE"""),"1")</f>
        <v>1</v>
      </c>
      <c r="K1447" s="6" t="str">
        <f>IFERROR(__xludf.DUMMYFUNCTION("""COMPUTED_VALUE"""),"zalan.kovacs@2hourlearning.com")</f>
        <v>zalan.kovacs@2hourlearning.com</v>
      </c>
      <c r="L1447" s="6" t="str">
        <f>IFERROR(__xludf.DUMMYFUNCTION("""COMPUTED_VALUE"""),"Learn and Earn Poland")</f>
        <v>Learn and Earn Poland</v>
      </c>
      <c r="M1447" s="6" t="str">
        <f>IFERROR(__xludf.DUMMYFUNCTION("""COMPUTED_VALUE"""),"Budapest Alpha")</f>
        <v>Budapest Alpha</v>
      </c>
      <c r="N1447" s="6" t="str">
        <f>IFERROR(__xludf.DUMMYFUNCTION("""COMPUTED_VALUE"""),"")</f>
        <v/>
      </c>
      <c r="O1447" s="87" t="str">
        <f>IFERROR(__xludf.DUMMYFUNCTION("""COMPUTED_VALUE"""),"https://drive.google.com/drive/folders/10T2cTQHqEJZqE-st6uFKPoI?usp=share_link")</f>
        <v>https://drive.google.com/drive/folders/10T2cTQHqEJZqE-st6uFKPoI?usp=share_link</v>
      </c>
      <c r="P1447" s="6" t="str">
        <f>IFERROR(__xludf.DUMMYFUNCTION("""COMPUTED_VALUE"""),"Zalan Kovacs")</f>
        <v>Zalan Kovacs</v>
      </c>
      <c r="Q1447" s="6" t="str">
        <f>IFERROR(__xludf.DUMMYFUNCTION("""COMPUTED_VALUE"""),"LL")</f>
        <v>LL</v>
      </c>
      <c r="R1447" s="6">
        <f>IFERROR(__xludf.DUMMYFUNCTION("""COMPUTED_VALUE"""),0.0)</f>
        <v>0</v>
      </c>
      <c r="S1447" s="6" t="str">
        <f>IFERROR(__xludf.DUMMYFUNCTION("""COMPUTED_VALUE""")," ")</f>
        <v> </v>
      </c>
      <c r="T1447" s="6" t="str">
        <f>IFERROR(__xludf.DUMMYFUNCTION("""COMPUTED_VALUE"""),"")</f>
        <v/>
      </c>
      <c r="U1447" s="6" t="str">
        <f>IFERROR(__xludf.DUMMYFUNCTION("""COMPUTED_VALUE"""),"1")</f>
        <v>1</v>
      </c>
      <c r="V1447" s="6" t="str">
        <f>IFERROR(__xludf.DUMMYFUNCTION("""COMPUTED_VALUE"""),"English")</f>
        <v>English</v>
      </c>
      <c r="W1447" s="6" t="str">
        <f>IFERROR(__xludf.DUMMYFUNCTION("""COMPUTED_VALUE"""),"[]")</f>
        <v>[]</v>
      </c>
      <c r="X1447" s="6" t="str">
        <f>IFERROR(__xludf.DUMMYFUNCTION("""COMPUTED_VALUE"""),"Enrolled")</f>
        <v>Enrolled</v>
      </c>
    </row>
    <row r="1448">
      <c r="A1448" s="6" t="str">
        <f>IFERROR(__xludf.DUMMYFUNCTION("""COMPUTED_VALUE"""),"009-1704")</f>
        <v>009-1704</v>
      </c>
      <c r="B1448" s="6" t="str">
        <f>IFERROR(__xludf.DUMMYFUNCTION("""COMPUTED_VALUE"""),"9")</f>
        <v>9</v>
      </c>
      <c r="C1448" s="6" t="str">
        <f>IFERROR(__xludf.DUMMYFUNCTION("""COMPUTED_VALUE"""),"1704")</f>
        <v>1704</v>
      </c>
      <c r="D1448" s="6" t="str">
        <f>IFERROR(__xludf.DUMMYFUNCTION("""COMPUTED_VALUE"""),"Fanni")</f>
        <v>Fanni</v>
      </c>
      <c r="E1448" s="6" t="str">
        <f>IFERROR(__xludf.DUMMYFUNCTION("""COMPUTED_VALUE"""),"")</f>
        <v/>
      </c>
      <c r="F1448" s="6" t="str">
        <f>IFERROR(__xludf.DUMMYFUNCTION("""COMPUTED_VALUE"""),"Sarkadi")</f>
        <v>Sarkadi</v>
      </c>
      <c r="G1448" s="6" t="str">
        <f>IFERROR(__xludf.DUMMYFUNCTION("""COMPUTED_VALUE"""),"01/01/2013")</f>
        <v>01/01/2013</v>
      </c>
      <c r="H1448" s="6" t="str">
        <f>IFERROR(__xludf.DUMMYFUNCTION("""COMPUTED_VALUE"""),"Self Identify")</f>
        <v>Self Identify</v>
      </c>
      <c r="I1448" s="6" t="str">
        <f>IFERROR(__xludf.DUMMYFUNCTION("""COMPUTED_VALUE"""),"Middle School")</f>
        <v>Middle School</v>
      </c>
      <c r="J1448" s="6" t="str">
        <f>IFERROR(__xludf.DUMMYFUNCTION("""COMPUTED_VALUE"""),"6")</f>
        <v>6</v>
      </c>
      <c r="K1448" s="6" t="str">
        <f>IFERROR(__xludf.DUMMYFUNCTION("""COMPUTED_VALUE"""),"fanni.sarkadi@2hourlearning.com")</f>
        <v>fanni.sarkadi@2hourlearning.com</v>
      </c>
      <c r="L1448" s="6" t="str">
        <f>IFERROR(__xludf.DUMMYFUNCTION("""COMPUTED_VALUE"""),"Learn and Earn Poland")</f>
        <v>Learn and Earn Poland</v>
      </c>
      <c r="M1448" s="6" t="str">
        <f>IFERROR(__xludf.DUMMYFUNCTION("""COMPUTED_VALUE"""),"Budapest Alpha")</f>
        <v>Budapest Alpha</v>
      </c>
      <c r="N1448" s="6" t="str">
        <f>IFERROR(__xludf.DUMMYFUNCTION("""COMPUTED_VALUE"""),"")</f>
        <v/>
      </c>
      <c r="O1448" s="87" t="str">
        <f>IFERROR(__xludf.DUMMYFUNCTION("""COMPUTED_VALUE"""),"https://drive.google.com/drive/folders/10T2cTQHqEJZqE-st6uFKPoI?usp=share_link")</f>
        <v>https://drive.google.com/drive/folders/10T2cTQHqEJZqE-st6uFKPoI?usp=share_link</v>
      </c>
      <c r="P1448" s="6" t="str">
        <f>IFERROR(__xludf.DUMMYFUNCTION("""COMPUTED_VALUE"""),"Fanni Sarkadi")</f>
        <v>Fanni Sarkadi</v>
      </c>
      <c r="Q1448" s="6" t="str">
        <f>IFERROR(__xludf.DUMMYFUNCTION("""COMPUTED_VALUE"""),"MS")</f>
        <v>MS</v>
      </c>
      <c r="R1448" s="6">
        <f>IFERROR(__xludf.DUMMYFUNCTION("""COMPUTED_VALUE"""),0.0)</f>
        <v>0</v>
      </c>
      <c r="S1448" s="6" t="str">
        <f>IFERROR(__xludf.DUMMYFUNCTION("""COMPUTED_VALUE""")," ")</f>
        <v> </v>
      </c>
      <c r="T1448" s="6" t="str">
        <f>IFERROR(__xludf.DUMMYFUNCTION("""COMPUTED_VALUE"""),"")</f>
        <v/>
      </c>
      <c r="U1448" s="6" t="str">
        <f>IFERROR(__xludf.DUMMYFUNCTION("""COMPUTED_VALUE"""),"6")</f>
        <v>6</v>
      </c>
      <c r="V1448" s="6" t="str">
        <f>IFERROR(__xludf.DUMMYFUNCTION("""COMPUTED_VALUE"""),"English")</f>
        <v>English</v>
      </c>
      <c r="W1448" s="6" t="str">
        <f>IFERROR(__xludf.DUMMYFUNCTION("""COMPUTED_VALUE"""),"[]")</f>
        <v>[]</v>
      </c>
      <c r="X1448" s="6" t="str">
        <f>IFERROR(__xludf.DUMMYFUNCTION("""COMPUTED_VALUE"""),"Enrolled")</f>
        <v>Enrolled</v>
      </c>
    </row>
    <row r="1449">
      <c r="A1449" s="6" t="str">
        <f>IFERROR(__xludf.DUMMYFUNCTION("""COMPUTED_VALUE"""),"009-1705")</f>
        <v>009-1705</v>
      </c>
      <c r="B1449" s="6" t="str">
        <f>IFERROR(__xludf.DUMMYFUNCTION("""COMPUTED_VALUE"""),"9")</f>
        <v>9</v>
      </c>
      <c r="C1449" s="6" t="str">
        <f>IFERROR(__xludf.DUMMYFUNCTION("""COMPUTED_VALUE"""),"1705")</f>
        <v>1705</v>
      </c>
      <c r="D1449" s="6" t="str">
        <f>IFERROR(__xludf.DUMMYFUNCTION("""COMPUTED_VALUE"""),"Rebeka")</f>
        <v>Rebeka</v>
      </c>
      <c r="E1449" s="6" t="str">
        <f>IFERROR(__xludf.DUMMYFUNCTION("""COMPUTED_VALUE"""),"")</f>
        <v/>
      </c>
      <c r="F1449" s="6" t="str">
        <f>IFERROR(__xludf.DUMMYFUNCTION("""COMPUTED_VALUE"""),"Sarkadi")</f>
        <v>Sarkadi</v>
      </c>
      <c r="G1449" s="6" t="str">
        <f>IFERROR(__xludf.DUMMYFUNCTION("""COMPUTED_VALUE"""),"01/01/2011")</f>
        <v>01/01/2011</v>
      </c>
      <c r="H1449" s="6" t="str">
        <f>IFERROR(__xludf.DUMMYFUNCTION("""COMPUTED_VALUE"""),"Self Identify")</f>
        <v>Self Identify</v>
      </c>
      <c r="I1449" s="6" t="str">
        <f>IFERROR(__xludf.DUMMYFUNCTION("""COMPUTED_VALUE"""),"Middle School")</f>
        <v>Middle School</v>
      </c>
      <c r="J1449" s="6" t="str">
        <f>IFERROR(__xludf.DUMMYFUNCTION("""COMPUTED_VALUE"""),"8")</f>
        <v>8</v>
      </c>
      <c r="K1449" s="6" t="str">
        <f>IFERROR(__xludf.DUMMYFUNCTION("""COMPUTED_VALUE"""),"rebeka.sarkadi@2hourlearning.com")</f>
        <v>rebeka.sarkadi@2hourlearning.com</v>
      </c>
      <c r="L1449" s="6" t="str">
        <f>IFERROR(__xludf.DUMMYFUNCTION("""COMPUTED_VALUE"""),"Learn and Earn Poland")</f>
        <v>Learn and Earn Poland</v>
      </c>
      <c r="M1449" s="6" t="str">
        <f>IFERROR(__xludf.DUMMYFUNCTION("""COMPUTED_VALUE"""),"Budapest Alpha")</f>
        <v>Budapest Alpha</v>
      </c>
      <c r="N1449" s="6" t="str">
        <f>IFERROR(__xludf.DUMMYFUNCTION("""COMPUTED_VALUE"""),"")</f>
        <v/>
      </c>
      <c r="O1449" s="87" t="str">
        <f>IFERROR(__xludf.DUMMYFUNCTION("""COMPUTED_VALUE"""),"https://drive.google.com/drive/folders/10T2cTQHqEJZqE-st6uFKPoI?usp=share_link")</f>
        <v>https://drive.google.com/drive/folders/10T2cTQHqEJZqE-st6uFKPoI?usp=share_link</v>
      </c>
      <c r="P1449" s="6" t="str">
        <f>IFERROR(__xludf.DUMMYFUNCTION("""COMPUTED_VALUE"""),"Rebeka Sarkadi")</f>
        <v>Rebeka Sarkadi</v>
      </c>
      <c r="Q1449" s="6" t="str">
        <f>IFERROR(__xludf.DUMMYFUNCTION("""COMPUTED_VALUE"""),"MS")</f>
        <v>MS</v>
      </c>
      <c r="R1449" s="6">
        <f>IFERROR(__xludf.DUMMYFUNCTION("""COMPUTED_VALUE"""),0.0)</f>
        <v>0</v>
      </c>
      <c r="S1449" s="6" t="str">
        <f>IFERROR(__xludf.DUMMYFUNCTION("""COMPUTED_VALUE""")," ")</f>
        <v> </v>
      </c>
      <c r="T1449" s="6" t="str">
        <f>IFERROR(__xludf.DUMMYFUNCTION("""COMPUTED_VALUE"""),"")</f>
        <v/>
      </c>
      <c r="U1449" s="6" t="str">
        <f>IFERROR(__xludf.DUMMYFUNCTION("""COMPUTED_VALUE"""),"8")</f>
        <v>8</v>
      </c>
      <c r="V1449" s="6" t="str">
        <f>IFERROR(__xludf.DUMMYFUNCTION("""COMPUTED_VALUE"""),"English")</f>
        <v>English</v>
      </c>
      <c r="W1449" s="6" t="str">
        <f>IFERROR(__xludf.DUMMYFUNCTION("""COMPUTED_VALUE"""),"[]")</f>
        <v>[]</v>
      </c>
      <c r="X1449" s="6" t="str">
        <f>IFERROR(__xludf.DUMMYFUNCTION("""COMPUTED_VALUE"""),"Enrolled")</f>
        <v>Enrolled</v>
      </c>
    </row>
    <row r="1450">
      <c r="A1450" s="6" t="str">
        <f>IFERROR(__xludf.DUMMYFUNCTION("""COMPUTED_VALUE"""),"009-1706")</f>
        <v>009-1706</v>
      </c>
      <c r="B1450" s="6" t="str">
        <f>IFERROR(__xludf.DUMMYFUNCTION("""COMPUTED_VALUE"""),"9")</f>
        <v>9</v>
      </c>
      <c r="C1450" s="6" t="str">
        <f>IFERROR(__xludf.DUMMYFUNCTION("""COMPUTED_VALUE"""),"1706")</f>
        <v>1706</v>
      </c>
      <c r="D1450" s="6" t="str">
        <f>IFERROR(__xludf.DUMMYFUNCTION("""COMPUTED_VALUE"""),"Abel")</f>
        <v>Abel</v>
      </c>
      <c r="E1450" s="6" t="str">
        <f>IFERROR(__xludf.DUMMYFUNCTION("""COMPUTED_VALUE"""),"")</f>
        <v/>
      </c>
      <c r="F1450" s="6" t="str">
        <f>IFERROR(__xludf.DUMMYFUNCTION("""COMPUTED_VALUE"""),"Sarkadi")</f>
        <v>Sarkadi</v>
      </c>
      <c r="G1450" s="6" t="str">
        <f>IFERROR(__xludf.DUMMYFUNCTION("""COMPUTED_VALUE"""),"01/01/2018")</f>
        <v>01/01/2018</v>
      </c>
      <c r="H1450" s="6" t="str">
        <f>IFERROR(__xludf.DUMMYFUNCTION("""COMPUTED_VALUE"""),"Self Identify")</f>
        <v>Self Identify</v>
      </c>
      <c r="I1450" s="6" t="str">
        <f>IFERROR(__xludf.DUMMYFUNCTION("""COMPUTED_VALUE"""),"Learning Lab")</f>
        <v>Learning Lab</v>
      </c>
      <c r="J1450" s="6" t="str">
        <f>IFERROR(__xludf.DUMMYFUNCTION("""COMPUTED_VALUE"""),"1")</f>
        <v>1</v>
      </c>
      <c r="K1450" s="6" t="str">
        <f>IFERROR(__xludf.DUMMYFUNCTION("""COMPUTED_VALUE"""),"abel.sarkadi@2hourlearning.com")</f>
        <v>abel.sarkadi@2hourlearning.com</v>
      </c>
      <c r="L1450" s="6" t="str">
        <f>IFERROR(__xludf.DUMMYFUNCTION("""COMPUTED_VALUE"""),"Learn and Earn Poland")</f>
        <v>Learn and Earn Poland</v>
      </c>
      <c r="M1450" s="6" t="str">
        <f>IFERROR(__xludf.DUMMYFUNCTION("""COMPUTED_VALUE"""),"Budapest Alpha")</f>
        <v>Budapest Alpha</v>
      </c>
      <c r="N1450" s="6" t="str">
        <f>IFERROR(__xludf.DUMMYFUNCTION("""COMPUTED_VALUE"""),"")</f>
        <v/>
      </c>
      <c r="O1450" s="87" t="str">
        <f>IFERROR(__xludf.DUMMYFUNCTION("""COMPUTED_VALUE"""),"https://drive.google.com/drive/folders/10T2cTQHqEJZqE-st6uFKPoI?usp=share_link")</f>
        <v>https://drive.google.com/drive/folders/10T2cTQHqEJZqE-st6uFKPoI?usp=share_link</v>
      </c>
      <c r="P1450" s="6" t="str">
        <f>IFERROR(__xludf.DUMMYFUNCTION("""COMPUTED_VALUE"""),"Abel Sarkadi")</f>
        <v>Abel Sarkadi</v>
      </c>
      <c r="Q1450" s="6" t="str">
        <f>IFERROR(__xludf.DUMMYFUNCTION("""COMPUTED_VALUE"""),"LL")</f>
        <v>LL</v>
      </c>
      <c r="R1450" s="6">
        <f>IFERROR(__xludf.DUMMYFUNCTION("""COMPUTED_VALUE"""),0.0)</f>
        <v>0</v>
      </c>
      <c r="S1450" s="6" t="str">
        <f>IFERROR(__xludf.DUMMYFUNCTION("""COMPUTED_VALUE""")," ")</f>
        <v> </v>
      </c>
      <c r="T1450" s="6" t="str">
        <f>IFERROR(__xludf.DUMMYFUNCTION("""COMPUTED_VALUE"""),"")</f>
        <v/>
      </c>
      <c r="U1450" s="6" t="str">
        <f>IFERROR(__xludf.DUMMYFUNCTION("""COMPUTED_VALUE"""),"1")</f>
        <v>1</v>
      </c>
      <c r="V1450" s="6" t="str">
        <f>IFERROR(__xludf.DUMMYFUNCTION("""COMPUTED_VALUE"""),"English")</f>
        <v>English</v>
      </c>
      <c r="W1450" s="6" t="str">
        <f>IFERROR(__xludf.DUMMYFUNCTION("""COMPUTED_VALUE"""),"[]")</f>
        <v>[]</v>
      </c>
      <c r="X1450" s="6" t="str">
        <f>IFERROR(__xludf.DUMMYFUNCTION("""COMPUTED_VALUE"""),"Enrolled")</f>
        <v>Enrolled</v>
      </c>
    </row>
    <row r="1451">
      <c r="A1451" s="6" t="str">
        <f>IFERROR(__xludf.DUMMYFUNCTION("""COMPUTED_VALUE"""),"009-1707")</f>
        <v>009-1707</v>
      </c>
      <c r="B1451" s="6" t="str">
        <f>IFERROR(__xludf.DUMMYFUNCTION("""COMPUTED_VALUE"""),"9")</f>
        <v>9</v>
      </c>
      <c r="C1451" s="6" t="str">
        <f>IFERROR(__xludf.DUMMYFUNCTION("""COMPUTED_VALUE"""),"1707")</f>
        <v>1707</v>
      </c>
      <c r="D1451" s="6" t="str">
        <f>IFERROR(__xludf.DUMMYFUNCTION("""COMPUTED_VALUE"""),"Amina")</f>
        <v>Amina</v>
      </c>
      <c r="E1451" s="6" t="str">
        <f>IFERROR(__xludf.DUMMYFUNCTION("""COMPUTED_VALUE"""),"")</f>
        <v/>
      </c>
      <c r="F1451" s="6" t="str">
        <f>IFERROR(__xludf.DUMMYFUNCTION("""COMPUTED_VALUE"""),"Jakab")</f>
        <v>Jakab</v>
      </c>
      <c r="G1451" s="6" t="str">
        <f>IFERROR(__xludf.DUMMYFUNCTION("""COMPUTED_VALUE"""),"01/01/2017")</f>
        <v>01/01/2017</v>
      </c>
      <c r="H1451" s="6" t="str">
        <f>IFERROR(__xludf.DUMMYFUNCTION("""COMPUTED_VALUE"""),"Self Identify")</f>
        <v>Self Identify</v>
      </c>
      <c r="I1451" s="6" t="str">
        <f>IFERROR(__xludf.DUMMYFUNCTION("""COMPUTED_VALUE"""),"Level 1")</f>
        <v>Level 1</v>
      </c>
      <c r="J1451" s="6" t="str">
        <f>IFERROR(__xludf.DUMMYFUNCTION("""COMPUTED_VALUE"""),"2")</f>
        <v>2</v>
      </c>
      <c r="K1451" s="6" t="str">
        <f>IFERROR(__xludf.DUMMYFUNCTION("""COMPUTED_VALUE"""),"amina.jakab@2hourlearning.com")</f>
        <v>amina.jakab@2hourlearning.com</v>
      </c>
      <c r="L1451" s="6" t="str">
        <f>IFERROR(__xludf.DUMMYFUNCTION("""COMPUTED_VALUE"""),"Learn and Earn Poland")</f>
        <v>Learn and Earn Poland</v>
      </c>
      <c r="M1451" s="6" t="str">
        <f>IFERROR(__xludf.DUMMYFUNCTION("""COMPUTED_VALUE"""),"Budapest Alpha")</f>
        <v>Budapest Alpha</v>
      </c>
      <c r="N1451" s="6" t="str">
        <f>IFERROR(__xludf.DUMMYFUNCTION("""COMPUTED_VALUE"""),"")</f>
        <v/>
      </c>
      <c r="O1451" s="87" t="str">
        <f>IFERROR(__xludf.DUMMYFUNCTION("""COMPUTED_VALUE"""),"https://drive.google.com/drive/folders/10T2cTQHqEJZqE-st6uFKPoI?usp=share_link")</f>
        <v>https://drive.google.com/drive/folders/10T2cTQHqEJZqE-st6uFKPoI?usp=share_link</v>
      </c>
      <c r="P1451" s="6" t="str">
        <f>IFERROR(__xludf.DUMMYFUNCTION("""COMPUTED_VALUE"""),"Amina Jakab")</f>
        <v>Amina Jakab</v>
      </c>
      <c r="Q1451" s="6" t="str">
        <f>IFERROR(__xludf.DUMMYFUNCTION("""COMPUTED_VALUE"""),"L1")</f>
        <v>L1</v>
      </c>
      <c r="R1451" s="6">
        <f>IFERROR(__xludf.DUMMYFUNCTION("""COMPUTED_VALUE"""),1.0)</f>
        <v>1</v>
      </c>
      <c r="S1451" s="6" t="str">
        <f>IFERROR(__xludf.DUMMYFUNCTION("""COMPUTED_VALUE""")," ")</f>
        <v> </v>
      </c>
      <c r="T1451" s="6" t="str">
        <f>IFERROR(__xludf.DUMMYFUNCTION("""COMPUTED_VALUE"""),"")</f>
        <v/>
      </c>
      <c r="U1451" s="6" t="str">
        <f>IFERROR(__xludf.DUMMYFUNCTION("""COMPUTED_VALUE"""),"2")</f>
        <v>2</v>
      </c>
      <c r="V1451" s="6" t="str">
        <f>IFERROR(__xludf.DUMMYFUNCTION("""COMPUTED_VALUE"""),"English")</f>
        <v>English</v>
      </c>
      <c r="W1451" s="6" t="str">
        <f>IFERROR(__xludf.DUMMYFUNCTION("""COMPUTED_VALUE"""),"[]")</f>
        <v>[]</v>
      </c>
      <c r="X1451" s="6" t="str">
        <f>IFERROR(__xludf.DUMMYFUNCTION("""COMPUTED_VALUE"""),"Enrolled")</f>
        <v>Enrolled</v>
      </c>
    </row>
    <row r="1452">
      <c r="A1452" s="6" t="str">
        <f>IFERROR(__xludf.DUMMYFUNCTION("""COMPUTED_VALUE"""),"009-1708")</f>
        <v>009-1708</v>
      </c>
      <c r="B1452" s="6" t="str">
        <f>IFERROR(__xludf.DUMMYFUNCTION("""COMPUTED_VALUE"""),"9")</f>
        <v>9</v>
      </c>
      <c r="C1452" s="6" t="str">
        <f>IFERROR(__xludf.DUMMYFUNCTION("""COMPUTED_VALUE"""),"1708")</f>
        <v>1708</v>
      </c>
      <c r="D1452" s="6" t="str">
        <f>IFERROR(__xludf.DUMMYFUNCTION("""COMPUTED_VALUE"""),"Robart")</f>
        <v>Robart</v>
      </c>
      <c r="E1452" s="6" t="str">
        <f>IFERROR(__xludf.DUMMYFUNCTION("""COMPUTED_VALUE"""),"")</f>
        <v/>
      </c>
      <c r="F1452" s="6" t="str">
        <f>IFERROR(__xludf.DUMMYFUNCTION("""COMPUTED_VALUE"""),"Jakab")</f>
        <v>Jakab</v>
      </c>
      <c r="G1452" s="6" t="str">
        <f>IFERROR(__xludf.DUMMYFUNCTION("""COMPUTED_VALUE"""),"01/01/2017")</f>
        <v>01/01/2017</v>
      </c>
      <c r="H1452" s="6" t="str">
        <f>IFERROR(__xludf.DUMMYFUNCTION("""COMPUTED_VALUE"""),"Self Identify")</f>
        <v>Self Identify</v>
      </c>
      <c r="I1452" s="6" t="str">
        <f>IFERROR(__xludf.DUMMYFUNCTION("""COMPUTED_VALUE"""),"Level 1")</f>
        <v>Level 1</v>
      </c>
      <c r="J1452" s="6" t="str">
        <f>IFERROR(__xludf.DUMMYFUNCTION("""COMPUTED_VALUE"""),"2")</f>
        <v>2</v>
      </c>
      <c r="K1452" s="6" t="str">
        <f>IFERROR(__xludf.DUMMYFUNCTION("""COMPUTED_VALUE"""),"robart.jakab@2hourlearning.com")</f>
        <v>robart.jakab@2hourlearning.com</v>
      </c>
      <c r="L1452" s="6" t="str">
        <f>IFERROR(__xludf.DUMMYFUNCTION("""COMPUTED_VALUE"""),"Learn and Earn Poland")</f>
        <v>Learn and Earn Poland</v>
      </c>
      <c r="M1452" s="6" t="str">
        <f>IFERROR(__xludf.DUMMYFUNCTION("""COMPUTED_VALUE"""),"Budapest Alpha")</f>
        <v>Budapest Alpha</v>
      </c>
      <c r="N1452" s="6" t="str">
        <f>IFERROR(__xludf.DUMMYFUNCTION("""COMPUTED_VALUE"""),"")</f>
        <v/>
      </c>
      <c r="O1452" s="87" t="str">
        <f>IFERROR(__xludf.DUMMYFUNCTION("""COMPUTED_VALUE"""),"https://drive.google.com/drive/folders/10T2cTQHqEJZqE-st6uFKPoI?usp=share_link")</f>
        <v>https://drive.google.com/drive/folders/10T2cTQHqEJZqE-st6uFKPoI?usp=share_link</v>
      </c>
      <c r="P1452" s="6" t="str">
        <f>IFERROR(__xludf.DUMMYFUNCTION("""COMPUTED_VALUE"""),"Robart Jakab")</f>
        <v>Robart Jakab</v>
      </c>
      <c r="Q1452" s="6" t="str">
        <f>IFERROR(__xludf.DUMMYFUNCTION("""COMPUTED_VALUE"""),"L1")</f>
        <v>L1</v>
      </c>
      <c r="R1452" s="6">
        <f>IFERROR(__xludf.DUMMYFUNCTION("""COMPUTED_VALUE"""),1.0)</f>
        <v>1</v>
      </c>
      <c r="S1452" s="6" t="str">
        <f>IFERROR(__xludf.DUMMYFUNCTION("""COMPUTED_VALUE""")," ")</f>
        <v> </v>
      </c>
      <c r="T1452" s="6" t="str">
        <f>IFERROR(__xludf.DUMMYFUNCTION("""COMPUTED_VALUE"""),"")</f>
        <v/>
      </c>
      <c r="U1452" s="6" t="str">
        <f>IFERROR(__xludf.DUMMYFUNCTION("""COMPUTED_VALUE"""),"2")</f>
        <v>2</v>
      </c>
      <c r="V1452" s="6" t="str">
        <f>IFERROR(__xludf.DUMMYFUNCTION("""COMPUTED_VALUE"""),"English")</f>
        <v>English</v>
      </c>
      <c r="W1452" s="6" t="str">
        <f>IFERROR(__xludf.DUMMYFUNCTION("""COMPUTED_VALUE"""),"[]")</f>
        <v>[]</v>
      </c>
      <c r="X1452" s="6" t="str">
        <f>IFERROR(__xludf.DUMMYFUNCTION("""COMPUTED_VALUE"""),"Enrolled")</f>
        <v>Enrolled</v>
      </c>
    </row>
    <row r="1453">
      <c r="A1453" s="6" t="str">
        <f>IFERROR(__xludf.DUMMYFUNCTION("""COMPUTED_VALUE"""),"009-1709")</f>
        <v>009-1709</v>
      </c>
      <c r="B1453" s="6" t="str">
        <f>IFERROR(__xludf.DUMMYFUNCTION("""COMPUTED_VALUE"""),"9")</f>
        <v>9</v>
      </c>
      <c r="C1453" s="6" t="str">
        <f>IFERROR(__xludf.DUMMYFUNCTION("""COMPUTED_VALUE"""),"1709")</f>
        <v>1709</v>
      </c>
      <c r="D1453" s="6" t="str">
        <f>IFERROR(__xludf.DUMMYFUNCTION("""COMPUTED_VALUE"""),"Mykhailo")</f>
        <v>Mykhailo</v>
      </c>
      <c r="E1453" s="6" t="str">
        <f>IFERROR(__xludf.DUMMYFUNCTION("""COMPUTED_VALUE"""),"")</f>
        <v/>
      </c>
      <c r="F1453" s="6" t="str">
        <f>IFERROR(__xludf.DUMMYFUNCTION("""COMPUTED_VALUE"""),"Davidov")</f>
        <v>Davidov</v>
      </c>
      <c r="G1453" s="6" t="str">
        <f>IFERROR(__xludf.DUMMYFUNCTION("""COMPUTED_VALUE"""),"01/01/2012")</f>
        <v>01/01/2012</v>
      </c>
      <c r="H1453" s="6" t="str">
        <f>IFERROR(__xludf.DUMMYFUNCTION("""COMPUTED_VALUE"""),"Self Identify")</f>
        <v>Self Identify</v>
      </c>
      <c r="I1453" s="6" t="str">
        <f>IFERROR(__xludf.DUMMYFUNCTION("""COMPUTED_VALUE"""),"Middle School")</f>
        <v>Middle School</v>
      </c>
      <c r="J1453" s="6" t="str">
        <f>IFERROR(__xludf.DUMMYFUNCTION("""COMPUTED_VALUE"""),"7")</f>
        <v>7</v>
      </c>
      <c r="K1453" s="6" t="str">
        <f>IFERROR(__xludf.DUMMYFUNCTION("""COMPUTED_VALUE"""),"mykhailo.davidov@2hourlearning.com")</f>
        <v>mykhailo.davidov@2hourlearning.com</v>
      </c>
      <c r="L1453" s="6" t="str">
        <f>IFERROR(__xludf.DUMMYFUNCTION("""COMPUTED_VALUE"""),"Learn and Earn Poland")</f>
        <v>Learn and Earn Poland</v>
      </c>
      <c r="M1453" s="6" t="str">
        <f>IFERROR(__xludf.DUMMYFUNCTION("""COMPUTED_VALUE"""),"Budapest Alpha")</f>
        <v>Budapest Alpha</v>
      </c>
      <c r="N1453" s="6" t="str">
        <f>IFERROR(__xludf.DUMMYFUNCTION("""COMPUTED_VALUE"""),"")</f>
        <v/>
      </c>
      <c r="O1453" s="87" t="str">
        <f>IFERROR(__xludf.DUMMYFUNCTION("""COMPUTED_VALUE"""),"https://drive.google.com/drive/folders/10T2cTQHqEJZqE-st6uFKPoI?usp=share_link")</f>
        <v>https://drive.google.com/drive/folders/10T2cTQHqEJZqE-st6uFKPoI?usp=share_link</v>
      </c>
      <c r="P1453" s="6" t="str">
        <f>IFERROR(__xludf.DUMMYFUNCTION("""COMPUTED_VALUE"""),"Mykhailo Davidov")</f>
        <v>Mykhailo Davidov</v>
      </c>
      <c r="Q1453" s="6" t="str">
        <f>IFERROR(__xludf.DUMMYFUNCTION("""COMPUTED_VALUE"""),"MS")</f>
        <v>MS</v>
      </c>
      <c r="R1453" s="6">
        <f>IFERROR(__xludf.DUMMYFUNCTION("""COMPUTED_VALUE"""),0.0)</f>
        <v>0</v>
      </c>
      <c r="S1453" s="6" t="str">
        <f>IFERROR(__xludf.DUMMYFUNCTION("""COMPUTED_VALUE""")," ")</f>
        <v> </v>
      </c>
      <c r="T1453" s="6" t="str">
        <f>IFERROR(__xludf.DUMMYFUNCTION("""COMPUTED_VALUE"""),"")</f>
        <v/>
      </c>
      <c r="U1453" s="6" t="str">
        <f>IFERROR(__xludf.DUMMYFUNCTION("""COMPUTED_VALUE"""),"7")</f>
        <v>7</v>
      </c>
      <c r="V1453" s="6" t="str">
        <f>IFERROR(__xludf.DUMMYFUNCTION("""COMPUTED_VALUE"""),"English")</f>
        <v>English</v>
      </c>
      <c r="W1453" s="6" t="str">
        <f>IFERROR(__xludf.DUMMYFUNCTION("""COMPUTED_VALUE"""),"[]")</f>
        <v>[]</v>
      </c>
      <c r="X1453" s="6" t="str">
        <f>IFERROR(__xludf.DUMMYFUNCTION("""COMPUTED_VALUE"""),"Enrolled")</f>
        <v>Enrolled</v>
      </c>
    </row>
    <row r="1454">
      <c r="A1454" s="6" t="str">
        <f>IFERROR(__xludf.DUMMYFUNCTION("""COMPUTED_VALUE"""),"009-1710")</f>
        <v>009-1710</v>
      </c>
      <c r="B1454" s="6" t="str">
        <f>IFERROR(__xludf.DUMMYFUNCTION("""COMPUTED_VALUE"""),"9")</f>
        <v>9</v>
      </c>
      <c r="C1454" s="6" t="str">
        <f>IFERROR(__xludf.DUMMYFUNCTION("""COMPUTED_VALUE"""),"1710")</f>
        <v>1710</v>
      </c>
      <c r="D1454" s="6" t="str">
        <f>IFERROR(__xludf.DUMMYFUNCTION("""COMPUTED_VALUE"""),"Sofiya")</f>
        <v>Sofiya</v>
      </c>
      <c r="E1454" s="6" t="str">
        <f>IFERROR(__xludf.DUMMYFUNCTION("""COMPUTED_VALUE"""),"")</f>
        <v/>
      </c>
      <c r="F1454" s="6" t="str">
        <f>IFERROR(__xludf.DUMMYFUNCTION("""COMPUTED_VALUE"""),"Kotsuban")</f>
        <v>Kotsuban</v>
      </c>
      <c r="G1454" s="6" t="str">
        <f>IFERROR(__xludf.DUMMYFUNCTION("""COMPUTED_VALUE"""),"01/01/2018")</f>
        <v>01/01/2018</v>
      </c>
      <c r="H1454" s="6" t="str">
        <f>IFERROR(__xludf.DUMMYFUNCTION("""COMPUTED_VALUE"""),"Self Identify")</f>
        <v>Self Identify</v>
      </c>
      <c r="I1454" s="6" t="str">
        <f>IFERROR(__xludf.DUMMYFUNCTION("""COMPUTED_VALUE"""),"Learning Lab")</f>
        <v>Learning Lab</v>
      </c>
      <c r="J1454" s="6" t="str">
        <f>IFERROR(__xludf.DUMMYFUNCTION("""COMPUTED_VALUE"""),"1")</f>
        <v>1</v>
      </c>
      <c r="K1454" s="6" t="str">
        <f>IFERROR(__xludf.DUMMYFUNCTION("""COMPUTED_VALUE"""),"sofiya.kotsuban@2hourlearning.com")</f>
        <v>sofiya.kotsuban@2hourlearning.com</v>
      </c>
      <c r="L1454" s="6" t="str">
        <f>IFERROR(__xludf.DUMMYFUNCTION("""COMPUTED_VALUE"""),"Learn and Earn Poland")</f>
        <v>Learn and Earn Poland</v>
      </c>
      <c r="M1454" s="6" t="str">
        <f>IFERROR(__xludf.DUMMYFUNCTION("""COMPUTED_VALUE"""),"Budapest Alpha")</f>
        <v>Budapest Alpha</v>
      </c>
      <c r="N1454" s="6" t="str">
        <f>IFERROR(__xludf.DUMMYFUNCTION("""COMPUTED_VALUE"""),"")</f>
        <v/>
      </c>
      <c r="O1454" s="87" t="str">
        <f>IFERROR(__xludf.DUMMYFUNCTION("""COMPUTED_VALUE"""),"https://drive.google.com/drive/folders/10T2cTQHqEJZqE-st6uFKPoI?usp=share_link")</f>
        <v>https://drive.google.com/drive/folders/10T2cTQHqEJZqE-st6uFKPoI?usp=share_link</v>
      </c>
      <c r="P1454" s="6" t="str">
        <f>IFERROR(__xludf.DUMMYFUNCTION("""COMPUTED_VALUE"""),"Sofiya Kotsuban")</f>
        <v>Sofiya Kotsuban</v>
      </c>
      <c r="Q1454" s="6" t="str">
        <f>IFERROR(__xludf.DUMMYFUNCTION("""COMPUTED_VALUE"""),"LL")</f>
        <v>LL</v>
      </c>
      <c r="R1454" s="6">
        <f>IFERROR(__xludf.DUMMYFUNCTION("""COMPUTED_VALUE"""),0.0)</f>
        <v>0</v>
      </c>
      <c r="S1454" s="6" t="str">
        <f>IFERROR(__xludf.DUMMYFUNCTION("""COMPUTED_VALUE""")," ")</f>
        <v> </v>
      </c>
      <c r="T1454" s="6" t="str">
        <f>IFERROR(__xludf.DUMMYFUNCTION("""COMPUTED_VALUE"""),"")</f>
        <v/>
      </c>
      <c r="U1454" s="6" t="str">
        <f>IFERROR(__xludf.DUMMYFUNCTION("""COMPUTED_VALUE"""),"1")</f>
        <v>1</v>
      </c>
      <c r="V1454" s="6" t="str">
        <f>IFERROR(__xludf.DUMMYFUNCTION("""COMPUTED_VALUE"""),"English")</f>
        <v>English</v>
      </c>
      <c r="W1454" s="6" t="str">
        <f>IFERROR(__xludf.DUMMYFUNCTION("""COMPUTED_VALUE"""),"[]")</f>
        <v>[]</v>
      </c>
      <c r="X1454" s="6" t="str">
        <f>IFERROR(__xludf.DUMMYFUNCTION("""COMPUTED_VALUE"""),"Enrolled")</f>
        <v>Enrolled</v>
      </c>
    </row>
    <row r="1455">
      <c r="A1455" s="6" t="str">
        <f>IFERROR(__xludf.DUMMYFUNCTION("""COMPUTED_VALUE"""),"009-1711")</f>
        <v>009-1711</v>
      </c>
      <c r="B1455" s="6" t="str">
        <f>IFERROR(__xludf.DUMMYFUNCTION("""COMPUTED_VALUE"""),"9")</f>
        <v>9</v>
      </c>
      <c r="C1455" s="6" t="str">
        <f>IFERROR(__xludf.DUMMYFUNCTION("""COMPUTED_VALUE"""),"1711")</f>
        <v>1711</v>
      </c>
      <c r="D1455" s="6" t="str">
        <f>IFERROR(__xludf.DUMMYFUNCTION("""COMPUTED_VALUE"""),"Maksym")</f>
        <v>Maksym</v>
      </c>
      <c r="E1455" s="6" t="str">
        <f>IFERROR(__xludf.DUMMYFUNCTION("""COMPUTED_VALUE"""),"")</f>
        <v/>
      </c>
      <c r="F1455" s="6" t="str">
        <f>IFERROR(__xludf.DUMMYFUNCTION("""COMPUTED_VALUE"""),"Marchenko")</f>
        <v>Marchenko</v>
      </c>
      <c r="G1455" s="6" t="str">
        <f>IFERROR(__xludf.DUMMYFUNCTION("""COMPUTED_VALUE"""),"01/01/2015")</f>
        <v>01/01/2015</v>
      </c>
      <c r="H1455" s="6" t="str">
        <f>IFERROR(__xludf.DUMMYFUNCTION("""COMPUTED_VALUE"""),"Self Identify")</f>
        <v>Self Identify</v>
      </c>
      <c r="I1455" s="6" t="str">
        <f>IFERROR(__xludf.DUMMYFUNCTION("""COMPUTED_VALUE"""),"Level 2")</f>
        <v>Level 2</v>
      </c>
      <c r="J1455" s="6" t="str">
        <f>IFERROR(__xludf.DUMMYFUNCTION("""COMPUTED_VALUE"""),"4")</f>
        <v>4</v>
      </c>
      <c r="K1455" s="6" t="str">
        <f>IFERROR(__xludf.DUMMYFUNCTION("""COMPUTED_VALUE"""),"maksym.marchenko@2hourlearning.com")</f>
        <v>maksym.marchenko@2hourlearning.com</v>
      </c>
      <c r="L1455" s="6" t="str">
        <f>IFERROR(__xludf.DUMMYFUNCTION("""COMPUTED_VALUE"""),"Learn and Earn Poland")</f>
        <v>Learn and Earn Poland</v>
      </c>
      <c r="M1455" s="6" t="str">
        <f>IFERROR(__xludf.DUMMYFUNCTION("""COMPUTED_VALUE"""),"Budapest Alpha")</f>
        <v>Budapest Alpha</v>
      </c>
      <c r="N1455" s="6" t="str">
        <f>IFERROR(__xludf.DUMMYFUNCTION("""COMPUTED_VALUE"""),"")</f>
        <v/>
      </c>
      <c r="O1455" s="87" t="str">
        <f>IFERROR(__xludf.DUMMYFUNCTION("""COMPUTED_VALUE"""),"https://drive.google.com/drive/folders/10T2cTQHqEJZqE-st6uFKPoI?usp=share_link")</f>
        <v>https://drive.google.com/drive/folders/10T2cTQHqEJZqE-st6uFKPoI?usp=share_link</v>
      </c>
      <c r="P1455" s="6" t="str">
        <f>IFERROR(__xludf.DUMMYFUNCTION("""COMPUTED_VALUE"""),"Maksym Marchenko")</f>
        <v>Maksym Marchenko</v>
      </c>
      <c r="Q1455" s="6" t="str">
        <f>IFERROR(__xludf.DUMMYFUNCTION("""COMPUTED_VALUE"""),"L2")</f>
        <v>L2</v>
      </c>
      <c r="R1455" s="6">
        <f>IFERROR(__xludf.DUMMYFUNCTION("""COMPUTED_VALUE"""),2.0)</f>
        <v>2</v>
      </c>
      <c r="S1455" s="6" t="str">
        <f>IFERROR(__xludf.DUMMYFUNCTION("""COMPUTED_VALUE""")," ")</f>
        <v> </v>
      </c>
      <c r="T1455" s="6" t="str">
        <f>IFERROR(__xludf.DUMMYFUNCTION("""COMPUTED_VALUE"""),"")</f>
        <v/>
      </c>
      <c r="U1455" s="6" t="str">
        <f>IFERROR(__xludf.DUMMYFUNCTION("""COMPUTED_VALUE"""),"4")</f>
        <v>4</v>
      </c>
      <c r="V1455" s="6" t="str">
        <f>IFERROR(__xludf.DUMMYFUNCTION("""COMPUTED_VALUE"""),"English")</f>
        <v>English</v>
      </c>
      <c r="W1455" s="6" t="str">
        <f>IFERROR(__xludf.DUMMYFUNCTION("""COMPUTED_VALUE"""),"[]")</f>
        <v>[]</v>
      </c>
      <c r="X1455" s="6" t="str">
        <f>IFERROR(__xludf.DUMMYFUNCTION("""COMPUTED_VALUE"""),"Enrolled")</f>
        <v>Enrolled</v>
      </c>
    </row>
    <row r="1456">
      <c r="A1456" s="6" t="str">
        <f>IFERROR(__xludf.DUMMYFUNCTION("""COMPUTED_VALUE"""),"009-1712")</f>
        <v>009-1712</v>
      </c>
      <c r="B1456" s="6" t="str">
        <f>IFERROR(__xludf.DUMMYFUNCTION("""COMPUTED_VALUE"""),"9")</f>
        <v>9</v>
      </c>
      <c r="C1456" s="6" t="str">
        <f>IFERROR(__xludf.DUMMYFUNCTION("""COMPUTED_VALUE"""),"1712")</f>
        <v>1712</v>
      </c>
      <c r="D1456" s="6" t="str">
        <f>IFERROR(__xludf.DUMMYFUNCTION("""COMPUTED_VALUE"""),"Zhombor")</f>
        <v>Zhombor</v>
      </c>
      <c r="E1456" s="6" t="str">
        <f>IFERROR(__xludf.DUMMYFUNCTION("""COMPUTED_VALUE"""),"")</f>
        <v/>
      </c>
      <c r="F1456" s="6" t="str">
        <f>IFERROR(__xludf.DUMMYFUNCTION("""COMPUTED_VALUE"""),"Brekovski")</f>
        <v>Brekovski</v>
      </c>
      <c r="G1456" s="6" t="str">
        <f>IFERROR(__xludf.DUMMYFUNCTION("""COMPUTED_VALUE"""),"01/01/2010")</f>
        <v>01/01/2010</v>
      </c>
      <c r="H1456" s="6" t="str">
        <f>IFERROR(__xludf.DUMMYFUNCTION("""COMPUTED_VALUE"""),"Self Identify")</f>
        <v>Self Identify</v>
      </c>
      <c r="I1456" s="6" t="str">
        <f>IFERROR(__xludf.DUMMYFUNCTION("""COMPUTED_VALUE"""),"High School")</f>
        <v>High School</v>
      </c>
      <c r="J1456" s="6" t="str">
        <f>IFERROR(__xludf.DUMMYFUNCTION("""COMPUTED_VALUE"""),"9")</f>
        <v>9</v>
      </c>
      <c r="K1456" s="6" t="str">
        <f>IFERROR(__xludf.DUMMYFUNCTION("""COMPUTED_VALUE"""),"zhombor.brekovski@2hourlearning.com")</f>
        <v>zhombor.brekovski@2hourlearning.com</v>
      </c>
      <c r="L1456" s="6" t="str">
        <f>IFERROR(__xludf.DUMMYFUNCTION("""COMPUTED_VALUE"""),"Learn and Earn Poland")</f>
        <v>Learn and Earn Poland</v>
      </c>
      <c r="M1456" s="6" t="str">
        <f>IFERROR(__xludf.DUMMYFUNCTION("""COMPUTED_VALUE"""),"Budapest ex-GTS")</f>
        <v>Budapest ex-GTS</v>
      </c>
      <c r="N1456" s="6" t="str">
        <f>IFERROR(__xludf.DUMMYFUNCTION("""COMPUTED_VALUE"""),"")</f>
        <v/>
      </c>
      <c r="O1456" s="87" t="str">
        <f>IFERROR(__xludf.DUMMYFUNCTION("""COMPUTED_VALUE"""),"https://drive.google.com/drive/folders/10T2cTQHqEJZqE-st6uFKPoI?usp=share_link")</f>
        <v>https://drive.google.com/drive/folders/10T2cTQHqEJZqE-st6uFKPoI?usp=share_link</v>
      </c>
      <c r="P1456" s="6" t="str">
        <f>IFERROR(__xludf.DUMMYFUNCTION("""COMPUTED_VALUE"""),"Zhombor Brekovski")</f>
        <v>Zhombor Brekovski</v>
      </c>
      <c r="Q1456" s="6" t="str">
        <f>IFERROR(__xludf.DUMMYFUNCTION("""COMPUTED_VALUE"""),"HS")</f>
        <v>HS</v>
      </c>
      <c r="R1456" s="6">
        <f>IFERROR(__xludf.DUMMYFUNCTION("""COMPUTED_VALUE"""),0.0)</f>
        <v>0</v>
      </c>
      <c r="S1456" s="6" t="str">
        <f>IFERROR(__xludf.DUMMYFUNCTION("""COMPUTED_VALUE""")," ")</f>
        <v> </v>
      </c>
      <c r="T1456" s="6" t="str">
        <f>IFERROR(__xludf.DUMMYFUNCTION("""COMPUTED_VALUE"""),"")</f>
        <v/>
      </c>
      <c r="U1456" s="6" t="str">
        <f>IFERROR(__xludf.DUMMYFUNCTION("""COMPUTED_VALUE"""),"9")</f>
        <v>9</v>
      </c>
      <c r="V1456" s="6" t="str">
        <f>IFERROR(__xludf.DUMMYFUNCTION("""COMPUTED_VALUE"""),"English")</f>
        <v>English</v>
      </c>
      <c r="W1456" s="6" t="str">
        <f>IFERROR(__xludf.DUMMYFUNCTION("""COMPUTED_VALUE"""),"[]")</f>
        <v>[]</v>
      </c>
      <c r="X1456" s="6" t="str">
        <f>IFERROR(__xludf.DUMMYFUNCTION("""COMPUTED_VALUE"""),"Enrolled")</f>
        <v>Enrolled</v>
      </c>
    </row>
    <row r="1457">
      <c r="A1457" s="6" t="str">
        <f>IFERROR(__xludf.DUMMYFUNCTION("""COMPUTED_VALUE"""),"009-1713")</f>
        <v>009-1713</v>
      </c>
      <c r="B1457" s="6" t="str">
        <f>IFERROR(__xludf.DUMMYFUNCTION("""COMPUTED_VALUE"""),"9")</f>
        <v>9</v>
      </c>
      <c r="C1457" s="6" t="str">
        <f>IFERROR(__xludf.DUMMYFUNCTION("""COMPUTED_VALUE"""),"1713")</f>
        <v>1713</v>
      </c>
      <c r="D1457" s="6" t="str">
        <f>IFERROR(__xludf.DUMMYFUNCTION("""COMPUTED_VALUE"""),"Kuzma")</f>
        <v>Kuzma</v>
      </c>
      <c r="E1457" s="6" t="str">
        <f>IFERROR(__xludf.DUMMYFUNCTION("""COMPUTED_VALUE"""),"")</f>
        <v/>
      </c>
      <c r="F1457" s="6" t="str">
        <f>IFERROR(__xludf.DUMMYFUNCTION("""COMPUTED_VALUE"""),"Romanchenko")</f>
        <v>Romanchenko</v>
      </c>
      <c r="G1457" s="6" t="str">
        <f>IFERROR(__xludf.DUMMYFUNCTION("""COMPUTED_VALUE"""),"01/01/2014")</f>
        <v>01/01/2014</v>
      </c>
      <c r="H1457" s="6" t="str">
        <f>IFERROR(__xludf.DUMMYFUNCTION("""COMPUTED_VALUE"""),"Self Identify")</f>
        <v>Self Identify</v>
      </c>
      <c r="I1457" s="6" t="str">
        <f>IFERROR(__xludf.DUMMYFUNCTION("""COMPUTED_VALUE"""),"Level 2")</f>
        <v>Level 2</v>
      </c>
      <c r="J1457" s="6" t="str">
        <f>IFERROR(__xludf.DUMMYFUNCTION("""COMPUTED_VALUE"""),"5")</f>
        <v>5</v>
      </c>
      <c r="K1457" s="6" t="str">
        <f>IFERROR(__xludf.DUMMYFUNCTION("""COMPUTED_VALUE"""),"kuzma.romanchenko@2hourlearning.com")</f>
        <v>kuzma.romanchenko@2hourlearning.com</v>
      </c>
      <c r="L1457" s="6" t="str">
        <f>IFERROR(__xludf.DUMMYFUNCTION("""COMPUTED_VALUE"""),"Learn and Earn Poland")</f>
        <v>Learn and Earn Poland</v>
      </c>
      <c r="M1457" s="6" t="str">
        <f>IFERROR(__xludf.DUMMYFUNCTION("""COMPUTED_VALUE"""),"Budapest ex-GTS")</f>
        <v>Budapest ex-GTS</v>
      </c>
      <c r="N1457" s="6" t="str">
        <f>IFERROR(__xludf.DUMMYFUNCTION("""COMPUTED_VALUE"""),"")</f>
        <v/>
      </c>
      <c r="O1457" s="87" t="str">
        <f>IFERROR(__xludf.DUMMYFUNCTION("""COMPUTED_VALUE"""),"https://drive.google.com/drive/folders/10T2cTQHqEJZqE-st6uFKPoI?usp=share_link")</f>
        <v>https://drive.google.com/drive/folders/10T2cTQHqEJZqE-st6uFKPoI?usp=share_link</v>
      </c>
      <c r="P1457" s="6" t="str">
        <f>IFERROR(__xludf.DUMMYFUNCTION("""COMPUTED_VALUE"""),"Kuzma Romanchenko")</f>
        <v>Kuzma Romanchenko</v>
      </c>
      <c r="Q1457" s="6" t="str">
        <f>IFERROR(__xludf.DUMMYFUNCTION("""COMPUTED_VALUE"""),"L2")</f>
        <v>L2</v>
      </c>
      <c r="R1457" s="6">
        <f>IFERROR(__xludf.DUMMYFUNCTION("""COMPUTED_VALUE"""),2.0)</f>
        <v>2</v>
      </c>
      <c r="S1457" s="6" t="str">
        <f>IFERROR(__xludf.DUMMYFUNCTION("""COMPUTED_VALUE""")," ")</f>
        <v> </v>
      </c>
      <c r="T1457" s="6" t="str">
        <f>IFERROR(__xludf.DUMMYFUNCTION("""COMPUTED_VALUE"""),"")</f>
        <v/>
      </c>
      <c r="U1457" s="6" t="str">
        <f>IFERROR(__xludf.DUMMYFUNCTION("""COMPUTED_VALUE"""),"5")</f>
        <v>5</v>
      </c>
      <c r="V1457" s="6" t="str">
        <f>IFERROR(__xludf.DUMMYFUNCTION("""COMPUTED_VALUE"""),"English")</f>
        <v>English</v>
      </c>
      <c r="W1457" s="6" t="str">
        <f>IFERROR(__xludf.DUMMYFUNCTION("""COMPUTED_VALUE"""),"[]")</f>
        <v>[]</v>
      </c>
      <c r="X1457" s="6" t="str">
        <f>IFERROR(__xludf.DUMMYFUNCTION("""COMPUTED_VALUE"""),"Enrolled")</f>
        <v>Enrolled</v>
      </c>
    </row>
    <row r="1458">
      <c r="A1458" s="6" t="str">
        <f>IFERROR(__xludf.DUMMYFUNCTION("""COMPUTED_VALUE"""),"009-1714")</f>
        <v>009-1714</v>
      </c>
      <c r="B1458" s="6" t="str">
        <f>IFERROR(__xludf.DUMMYFUNCTION("""COMPUTED_VALUE"""),"9")</f>
        <v>9</v>
      </c>
      <c r="C1458" s="6" t="str">
        <f>IFERROR(__xludf.DUMMYFUNCTION("""COMPUTED_VALUE"""),"1714")</f>
        <v>1714</v>
      </c>
      <c r="D1458" s="6" t="str">
        <f>IFERROR(__xludf.DUMMYFUNCTION("""COMPUTED_VALUE"""),"Mykyta")</f>
        <v>Mykyta</v>
      </c>
      <c r="E1458" s="6" t="str">
        <f>IFERROR(__xludf.DUMMYFUNCTION("""COMPUTED_VALUE"""),"")</f>
        <v/>
      </c>
      <c r="F1458" s="6" t="str">
        <f>IFERROR(__xludf.DUMMYFUNCTION("""COMPUTED_VALUE"""),"Korniyenko")</f>
        <v>Korniyenko</v>
      </c>
      <c r="G1458" s="6" t="str">
        <f>IFERROR(__xludf.DUMMYFUNCTION("""COMPUTED_VALUE"""),"01/01/2016")</f>
        <v>01/01/2016</v>
      </c>
      <c r="H1458" s="6" t="str">
        <f>IFERROR(__xludf.DUMMYFUNCTION("""COMPUTED_VALUE"""),"Self Identify")</f>
        <v>Self Identify</v>
      </c>
      <c r="I1458" s="6" t="str">
        <f>IFERROR(__xludf.DUMMYFUNCTION("""COMPUTED_VALUE"""),"Level 1")</f>
        <v>Level 1</v>
      </c>
      <c r="J1458" s="6" t="str">
        <f>IFERROR(__xludf.DUMMYFUNCTION("""COMPUTED_VALUE"""),"3")</f>
        <v>3</v>
      </c>
      <c r="K1458" s="6" t="str">
        <f>IFERROR(__xludf.DUMMYFUNCTION("""COMPUTED_VALUE"""),"mykyta.korniyenko@2hourlearning.com")</f>
        <v>mykyta.korniyenko@2hourlearning.com</v>
      </c>
      <c r="L1458" s="6" t="str">
        <f>IFERROR(__xludf.DUMMYFUNCTION("""COMPUTED_VALUE"""),"Learn and Earn Poland")</f>
        <v>Learn and Earn Poland</v>
      </c>
      <c r="M1458" s="6" t="str">
        <f>IFERROR(__xludf.DUMMYFUNCTION("""COMPUTED_VALUE"""),"Budapest Alpha")</f>
        <v>Budapest Alpha</v>
      </c>
      <c r="N1458" s="6" t="str">
        <f>IFERROR(__xludf.DUMMYFUNCTION("""COMPUTED_VALUE"""),"")</f>
        <v/>
      </c>
      <c r="O1458" s="87" t="str">
        <f>IFERROR(__xludf.DUMMYFUNCTION("""COMPUTED_VALUE"""),"https://drive.google.com/drive/folders/10T2cTQHqEJZqE-st6uFKPoI?usp=share_link")</f>
        <v>https://drive.google.com/drive/folders/10T2cTQHqEJZqE-st6uFKPoI?usp=share_link</v>
      </c>
      <c r="P1458" s="6" t="str">
        <f>IFERROR(__xludf.DUMMYFUNCTION("""COMPUTED_VALUE"""),"Mykyta Korniyenko")</f>
        <v>Mykyta Korniyenko</v>
      </c>
      <c r="Q1458" s="6" t="str">
        <f>IFERROR(__xludf.DUMMYFUNCTION("""COMPUTED_VALUE"""),"L1")</f>
        <v>L1</v>
      </c>
      <c r="R1458" s="6">
        <f>IFERROR(__xludf.DUMMYFUNCTION("""COMPUTED_VALUE"""),1.0)</f>
        <v>1</v>
      </c>
      <c r="S1458" s="6" t="str">
        <f>IFERROR(__xludf.DUMMYFUNCTION("""COMPUTED_VALUE""")," ")</f>
        <v> </v>
      </c>
      <c r="T1458" s="6" t="str">
        <f>IFERROR(__xludf.DUMMYFUNCTION("""COMPUTED_VALUE"""),"")</f>
        <v/>
      </c>
      <c r="U1458" s="6" t="str">
        <f>IFERROR(__xludf.DUMMYFUNCTION("""COMPUTED_VALUE"""),"3")</f>
        <v>3</v>
      </c>
      <c r="V1458" s="6" t="str">
        <f>IFERROR(__xludf.DUMMYFUNCTION("""COMPUTED_VALUE"""),"English")</f>
        <v>English</v>
      </c>
      <c r="W1458" s="6" t="str">
        <f>IFERROR(__xludf.DUMMYFUNCTION("""COMPUTED_VALUE"""),"[]")</f>
        <v>[]</v>
      </c>
      <c r="X1458" s="6" t="str">
        <f>IFERROR(__xludf.DUMMYFUNCTION("""COMPUTED_VALUE"""),"Enrolled")</f>
        <v>Enrolled</v>
      </c>
    </row>
    <row r="1459">
      <c r="A1459" s="6" t="str">
        <f>IFERROR(__xludf.DUMMYFUNCTION("""COMPUTED_VALUE"""),"009-1715")</f>
        <v>009-1715</v>
      </c>
      <c r="B1459" s="6" t="str">
        <f>IFERROR(__xludf.DUMMYFUNCTION("""COMPUTED_VALUE"""),"9")</f>
        <v>9</v>
      </c>
      <c r="C1459" s="6" t="str">
        <f>IFERROR(__xludf.DUMMYFUNCTION("""COMPUTED_VALUE"""),"1715")</f>
        <v>1715</v>
      </c>
      <c r="D1459" s="6" t="str">
        <f>IFERROR(__xludf.DUMMYFUNCTION("""COMPUTED_VALUE"""),"Viktoriya")</f>
        <v>Viktoriya</v>
      </c>
      <c r="E1459" s="6" t="str">
        <f>IFERROR(__xludf.DUMMYFUNCTION("""COMPUTED_VALUE"""),"")</f>
        <v/>
      </c>
      <c r="F1459" s="6" t="str">
        <f>IFERROR(__xludf.DUMMYFUNCTION("""COMPUTED_VALUE"""),"Kachanova")</f>
        <v>Kachanova</v>
      </c>
      <c r="G1459" s="6" t="str">
        <f>IFERROR(__xludf.DUMMYFUNCTION("""COMPUTED_VALUE"""),"01/01/2011")</f>
        <v>01/01/2011</v>
      </c>
      <c r="H1459" s="6" t="str">
        <f>IFERROR(__xludf.DUMMYFUNCTION("""COMPUTED_VALUE"""),"Self Identify")</f>
        <v>Self Identify</v>
      </c>
      <c r="I1459" s="6" t="str">
        <f>IFERROR(__xludf.DUMMYFUNCTION("""COMPUTED_VALUE"""),"Middle School")</f>
        <v>Middle School</v>
      </c>
      <c r="J1459" s="6" t="str">
        <f>IFERROR(__xludf.DUMMYFUNCTION("""COMPUTED_VALUE"""),"8")</f>
        <v>8</v>
      </c>
      <c r="K1459" s="6" t="str">
        <f>IFERROR(__xludf.DUMMYFUNCTION("""COMPUTED_VALUE"""),"viktoriya.kachanova@2hourlearning.com")</f>
        <v>viktoriya.kachanova@2hourlearning.com</v>
      </c>
      <c r="L1459" s="6" t="str">
        <f>IFERROR(__xludf.DUMMYFUNCTION("""COMPUTED_VALUE"""),"Learn and Earn Poland")</f>
        <v>Learn and Earn Poland</v>
      </c>
      <c r="M1459" s="6" t="str">
        <f>IFERROR(__xludf.DUMMYFUNCTION("""COMPUTED_VALUE"""),"Budapest Alpha")</f>
        <v>Budapest Alpha</v>
      </c>
      <c r="N1459" s="6" t="str">
        <f>IFERROR(__xludf.DUMMYFUNCTION("""COMPUTED_VALUE"""),"")</f>
        <v/>
      </c>
      <c r="O1459" s="87" t="str">
        <f>IFERROR(__xludf.DUMMYFUNCTION("""COMPUTED_VALUE"""),"https://drive.google.com/drive/folders/10T2cTQHqEJZqE-st6uFKPoI?usp=share_link")</f>
        <v>https://drive.google.com/drive/folders/10T2cTQHqEJZqE-st6uFKPoI?usp=share_link</v>
      </c>
      <c r="P1459" s="6" t="str">
        <f>IFERROR(__xludf.DUMMYFUNCTION("""COMPUTED_VALUE"""),"Viktoriya Kachanova")</f>
        <v>Viktoriya Kachanova</v>
      </c>
      <c r="Q1459" s="6" t="str">
        <f>IFERROR(__xludf.DUMMYFUNCTION("""COMPUTED_VALUE"""),"MS")</f>
        <v>MS</v>
      </c>
      <c r="R1459" s="6">
        <f>IFERROR(__xludf.DUMMYFUNCTION("""COMPUTED_VALUE"""),0.0)</f>
        <v>0</v>
      </c>
      <c r="S1459" s="6" t="str">
        <f>IFERROR(__xludf.DUMMYFUNCTION("""COMPUTED_VALUE""")," ")</f>
        <v> </v>
      </c>
      <c r="T1459" s="6" t="str">
        <f>IFERROR(__xludf.DUMMYFUNCTION("""COMPUTED_VALUE"""),"")</f>
        <v/>
      </c>
      <c r="U1459" s="6" t="str">
        <f>IFERROR(__xludf.DUMMYFUNCTION("""COMPUTED_VALUE"""),"8")</f>
        <v>8</v>
      </c>
      <c r="V1459" s="6" t="str">
        <f>IFERROR(__xludf.DUMMYFUNCTION("""COMPUTED_VALUE"""),"English")</f>
        <v>English</v>
      </c>
      <c r="W1459" s="6" t="str">
        <f>IFERROR(__xludf.DUMMYFUNCTION("""COMPUTED_VALUE"""),"[]")</f>
        <v>[]</v>
      </c>
      <c r="X1459" s="6" t="str">
        <f>IFERROR(__xludf.DUMMYFUNCTION("""COMPUTED_VALUE"""),"Enrolled")</f>
        <v>Enrolled</v>
      </c>
    </row>
    <row r="1460">
      <c r="A1460" s="6" t="str">
        <f>IFERROR(__xludf.DUMMYFUNCTION("""COMPUTED_VALUE"""),"009-1716")</f>
        <v>009-1716</v>
      </c>
      <c r="B1460" s="6" t="str">
        <f>IFERROR(__xludf.DUMMYFUNCTION("""COMPUTED_VALUE"""),"9")</f>
        <v>9</v>
      </c>
      <c r="C1460" s="6" t="str">
        <f>IFERROR(__xludf.DUMMYFUNCTION("""COMPUTED_VALUE"""),"1716")</f>
        <v>1716</v>
      </c>
      <c r="D1460" s="6" t="str">
        <f>IFERROR(__xludf.DUMMYFUNCTION("""COMPUTED_VALUE"""),"Polina")</f>
        <v>Polina</v>
      </c>
      <c r="E1460" s="6" t="str">
        <f>IFERROR(__xludf.DUMMYFUNCTION("""COMPUTED_VALUE"""),"")</f>
        <v/>
      </c>
      <c r="F1460" s="6" t="str">
        <f>IFERROR(__xludf.DUMMYFUNCTION("""COMPUTED_VALUE"""),"Smyrnova")</f>
        <v>Smyrnova</v>
      </c>
      <c r="G1460" s="6" t="str">
        <f>IFERROR(__xludf.DUMMYFUNCTION("""COMPUTED_VALUE"""),"01/01/2011")</f>
        <v>01/01/2011</v>
      </c>
      <c r="H1460" s="6" t="str">
        <f>IFERROR(__xludf.DUMMYFUNCTION("""COMPUTED_VALUE"""),"Self Identify")</f>
        <v>Self Identify</v>
      </c>
      <c r="I1460" s="6" t="str">
        <f>IFERROR(__xludf.DUMMYFUNCTION("""COMPUTED_VALUE"""),"Middle School")</f>
        <v>Middle School</v>
      </c>
      <c r="J1460" s="6" t="str">
        <f>IFERROR(__xludf.DUMMYFUNCTION("""COMPUTED_VALUE"""),"8")</f>
        <v>8</v>
      </c>
      <c r="K1460" s="6" t="str">
        <f>IFERROR(__xludf.DUMMYFUNCTION("""COMPUTED_VALUE"""),"polina.smyrnova@2hourlearning.com")</f>
        <v>polina.smyrnova@2hourlearning.com</v>
      </c>
      <c r="L1460" s="6" t="str">
        <f>IFERROR(__xludf.DUMMYFUNCTION("""COMPUTED_VALUE"""),"Learn and Earn Poland")</f>
        <v>Learn and Earn Poland</v>
      </c>
      <c r="M1460" s="6" t="str">
        <f>IFERROR(__xludf.DUMMYFUNCTION("""COMPUTED_VALUE"""),"Budapest ex-GTS")</f>
        <v>Budapest ex-GTS</v>
      </c>
      <c r="N1460" s="6" t="str">
        <f>IFERROR(__xludf.DUMMYFUNCTION("""COMPUTED_VALUE"""),"")</f>
        <v/>
      </c>
      <c r="O1460" s="87" t="str">
        <f>IFERROR(__xludf.DUMMYFUNCTION("""COMPUTED_VALUE"""),"https://drive.google.com/drive/folders/10T2cTQHqEJZqE-st6uFKPoI?usp=share_link")</f>
        <v>https://drive.google.com/drive/folders/10T2cTQHqEJZqE-st6uFKPoI?usp=share_link</v>
      </c>
      <c r="P1460" s="6" t="str">
        <f>IFERROR(__xludf.DUMMYFUNCTION("""COMPUTED_VALUE"""),"Polina Smyrnova")</f>
        <v>Polina Smyrnova</v>
      </c>
      <c r="Q1460" s="6" t="str">
        <f>IFERROR(__xludf.DUMMYFUNCTION("""COMPUTED_VALUE"""),"MS")</f>
        <v>MS</v>
      </c>
      <c r="R1460" s="6">
        <f>IFERROR(__xludf.DUMMYFUNCTION("""COMPUTED_VALUE"""),0.0)</f>
        <v>0</v>
      </c>
      <c r="S1460" s="6" t="str">
        <f>IFERROR(__xludf.DUMMYFUNCTION("""COMPUTED_VALUE""")," ")</f>
        <v> </v>
      </c>
      <c r="T1460" s="6" t="str">
        <f>IFERROR(__xludf.DUMMYFUNCTION("""COMPUTED_VALUE"""),"")</f>
        <v/>
      </c>
      <c r="U1460" s="6" t="str">
        <f>IFERROR(__xludf.DUMMYFUNCTION("""COMPUTED_VALUE"""),"8")</f>
        <v>8</v>
      </c>
      <c r="V1460" s="6" t="str">
        <f>IFERROR(__xludf.DUMMYFUNCTION("""COMPUTED_VALUE"""),"English")</f>
        <v>English</v>
      </c>
      <c r="W1460" s="6" t="str">
        <f>IFERROR(__xludf.DUMMYFUNCTION("""COMPUTED_VALUE"""),"[]")</f>
        <v>[]</v>
      </c>
      <c r="X1460" s="6" t="str">
        <f>IFERROR(__xludf.DUMMYFUNCTION("""COMPUTED_VALUE"""),"Enrolled")</f>
        <v>Enrolled</v>
      </c>
    </row>
    <row r="1461">
      <c r="A1461" s="6" t="str">
        <f>IFERROR(__xludf.DUMMYFUNCTION("""COMPUTED_VALUE"""),"009-1717")</f>
        <v>009-1717</v>
      </c>
      <c r="B1461" s="6" t="str">
        <f>IFERROR(__xludf.DUMMYFUNCTION("""COMPUTED_VALUE"""),"9")</f>
        <v>9</v>
      </c>
      <c r="C1461" s="6" t="str">
        <f>IFERROR(__xludf.DUMMYFUNCTION("""COMPUTED_VALUE"""),"1717")</f>
        <v>1717</v>
      </c>
      <c r="D1461" s="6" t="str">
        <f>IFERROR(__xludf.DUMMYFUNCTION("""COMPUTED_VALUE"""),"Sasha")</f>
        <v>Sasha</v>
      </c>
      <c r="E1461" s="6" t="str">
        <f>IFERROR(__xludf.DUMMYFUNCTION("""COMPUTED_VALUE"""),"")</f>
        <v/>
      </c>
      <c r="F1461" s="6" t="str">
        <f>IFERROR(__xludf.DUMMYFUNCTION("""COMPUTED_VALUE"""),"Dolomanzhi")</f>
        <v>Dolomanzhi</v>
      </c>
      <c r="G1461" s="6" t="str">
        <f>IFERROR(__xludf.DUMMYFUNCTION("""COMPUTED_VALUE"""),"01/01/2010")</f>
        <v>01/01/2010</v>
      </c>
      <c r="H1461" s="6" t="str">
        <f>IFERROR(__xludf.DUMMYFUNCTION("""COMPUTED_VALUE"""),"Self Identify")</f>
        <v>Self Identify</v>
      </c>
      <c r="I1461" s="6" t="str">
        <f>IFERROR(__xludf.DUMMYFUNCTION("""COMPUTED_VALUE"""),"High School")</f>
        <v>High School</v>
      </c>
      <c r="J1461" s="6" t="str">
        <f>IFERROR(__xludf.DUMMYFUNCTION("""COMPUTED_VALUE"""),"9")</f>
        <v>9</v>
      </c>
      <c r="K1461" s="6" t="str">
        <f>IFERROR(__xludf.DUMMYFUNCTION("""COMPUTED_VALUE"""),"sasha.dolomanzhi@2hourlearning.com")</f>
        <v>sasha.dolomanzhi@2hourlearning.com</v>
      </c>
      <c r="L1461" s="6" t="str">
        <f>IFERROR(__xludf.DUMMYFUNCTION("""COMPUTED_VALUE"""),"Learn and Earn Poland")</f>
        <v>Learn and Earn Poland</v>
      </c>
      <c r="M1461" s="6" t="str">
        <f>IFERROR(__xludf.DUMMYFUNCTION("""COMPUTED_VALUE"""),"Budapest Alpha")</f>
        <v>Budapest Alpha</v>
      </c>
      <c r="N1461" s="6" t="str">
        <f>IFERROR(__xludf.DUMMYFUNCTION("""COMPUTED_VALUE"""),"")</f>
        <v/>
      </c>
      <c r="O1461" s="87" t="str">
        <f>IFERROR(__xludf.DUMMYFUNCTION("""COMPUTED_VALUE"""),"https://drive.google.com/drive/folders/10T2cTQHqEJZqE-st6uFKPoI?usp=share_link")</f>
        <v>https://drive.google.com/drive/folders/10T2cTQHqEJZqE-st6uFKPoI?usp=share_link</v>
      </c>
      <c r="P1461" s="6" t="str">
        <f>IFERROR(__xludf.DUMMYFUNCTION("""COMPUTED_VALUE"""),"Sasha Dolomanzhi")</f>
        <v>Sasha Dolomanzhi</v>
      </c>
      <c r="Q1461" s="6" t="str">
        <f>IFERROR(__xludf.DUMMYFUNCTION("""COMPUTED_VALUE"""),"HS")</f>
        <v>HS</v>
      </c>
      <c r="R1461" s="6">
        <f>IFERROR(__xludf.DUMMYFUNCTION("""COMPUTED_VALUE"""),0.0)</f>
        <v>0</v>
      </c>
      <c r="S1461" s="6" t="str">
        <f>IFERROR(__xludf.DUMMYFUNCTION("""COMPUTED_VALUE""")," ")</f>
        <v> </v>
      </c>
      <c r="T1461" s="6" t="str">
        <f>IFERROR(__xludf.DUMMYFUNCTION("""COMPUTED_VALUE"""),"")</f>
        <v/>
      </c>
      <c r="U1461" s="6" t="str">
        <f>IFERROR(__xludf.DUMMYFUNCTION("""COMPUTED_VALUE"""),"9")</f>
        <v>9</v>
      </c>
      <c r="V1461" s="6" t="str">
        <f>IFERROR(__xludf.DUMMYFUNCTION("""COMPUTED_VALUE"""),"English")</f>
        <v>English</v>
      </c>
      <c r="W1461" s="6" t="str">
        <f>IFERROR(__xludf.DUMMYFUNCTION("""COMPUTED_VALUE"""),"[]")</f>
        <v>[]</v>
      </c>
      <c r="X1461" s="6" t="str">
        <f>IFERROR(__xludf.DUMMYFUNCTION("""COMPUTED_VALUE"""),"Enrolled")</f>
        <v>Enrolled</v>
      </c>
    </row>
    <row r="1462">
      <c r="A1462" s="6" t="str">
        <f>IFERROR(__xludf.DUMMYFUNCTION("""COMPUTED_VALUE"""),"009-1718")</f>
        <v>009-1718</v>
      </c>
      <c r="B1462" s="6" t="str">
        <f>IFERROR(__xludf.DUMMYFUNCTION("""COMPUTED_VALUE"""),"9")</f>
        <v>9</v>
      </c>
      <c r="C1462" s="6" t="str">
        <f>IFERROR(__xludf.DUMMYFUNCTION("""COMPUTED_VALUE"""),"1718")</f>
        <v>1718</v>
      </c>
      <c r="D1462" s="6" t="str">
        <f>IFERROR(__xludf.DUMMYFUNCTION("""COMPUTED_VALUE"""),"Nika")</f>
        <v>Nika</v>
      </c>
      <c r="E1462" s="6" t="str">
        <f>IFERROR(__xludf.DUMMYFUNCTION("""COMPUTED_VALUE"""),"")</f>
        <v/>
      </c>
      <c r="F1462" s="6" t="str">
        <f>IFERROR(__xludf.DUMMYFUNCTION("""COMPUTED_VALUE"""),"Antoshchuk")</f>
        <v>Antoshchuk</v>
      </c>
      <c r="G1462" s="6" t="str">
        <f>IFERROR(__xludf.DUMMYFUNCTION("""COMPUTED_VALUE"""),"01/01/2012")</f>
        <v>01/01/2012</v>
      </c>
      <c r="H1462" s="6" t="str">
        <f>IFERROR(__xludf.DUMMYFUNCTION("""COMPUTED_VALUE"""),"Self Identify")</f>
        <v>Self Identify</v>
      </c>
      <c r="I1462" s="6" t="str">
        <f>IFERROR(__xludf.DUMMYFUNCTION("""COMPUTED_VALUE"""),"Middle School")</f>
        <v>Middle School</v>
      </c>
      <c r="J1462" s="6" t="str">
        <f>IFERROR(__xludf.DUMMYFUNCTION("""COMPUTED_VALUE"""),"7")</f>
        <v>7</v>
      </c>
      <c r="K1462" s="6" t="str">
        <f>IFERROR(__xludf.DUMMYFUNCTION("""COMPUTED_VALUE"""),"nika.antoshchuk@2hourlearning.com")</f>
        <v>nika.antoshchuk@2hourlearning.com</v>
      </c>
      <c r="L1462" s="6" t="str">
        <f>IFERROR(__xludf.DUMMYFUNCTION("""COMPUTED_VALUE"""),"Learn and Earn Poland")</f>
        <v>Learn and Earn Poland</v>
      </c>
      <c r="M1462" s="6" t="str">
        <f>IFERROR(__xludf.DUMMYFUNCTION("""COMPUTED_VALUE"""),"Budapest Alpha")</f>
        <v>Budapest Alpha</v>
      </c>
      <c r="N1462" s="6" t="str">
        <f>IFERROR(__xludf.DUMMYFUNCTION("""COMPUTED_VALUE"""),"")</f>
        <v/>
      </c>
      <c r="O1462" s="87" t="str">
        <f>IFERROR(__xludf.DUMMYFUNCTION("""COMPUTED_VALUE"""),"https://drive.google.com/drive/folders/10T2cTQHqEJZqE-st6uFKPoI?usp=share_link")</f>
        <v>https://drive.google.com/drive/folders/10T2cTQHqEJZqE-st6uFKPoI?usp=share_link</v>
      </c>
      <c r="P1462" s="6" t="str">
        <f>IFERROR(__xludf.DUMMYFUNCTION("""COMPUTED_VALUE"""),"Nika Antoshchuk")</f>
        <v>Nika Antoshchuk</v>
      </c>
      <c r="Q1462" s="6" t="str">
        <f>IFERROR(__xludf.DUMMYFUNCTION("""COMPUTED_VALUE"""),"MS")</f>
        <v>MS</v>
      </c>
      <c r="R1462" s="6">
        <f>IFERROR(__xludf.DUMMYFUNCTION("""COMPUTED_VALUE"""),0.0)</f>
        <v>0</v>
      </c>
      <c r="S1462" s="6" t="str">
        <f>IFERROR(__xludf.DUMMYFUNCTION("""COMPUTED_VALUE""")," ")</f>
        <v> </v>
      </c>
      <c r="T1462" s="6" t="str">
        <f>IFERROR(__xludf.DUMMYFUNCTION("""COMPUTED_VALUE"""),"")</f>
        <v/>
      </c>
      <c r="U1462" s="6" t="str">
        <f>IFERROR(__xludf.DUMMYFUNCTION("""COMPUTED_VALUE"""),"7")</f>
        <v>7</v>
      </c>
      <c r="V1462" s="6" t="str">
        <f>IFERROR(__xludf.DUMMYFUNCTION("""COMPUTED_VALUE"""),"English")</f>
        <v>English</v>
      </c>
      <c r="W1462" s="6" t="str">
        <f>IFERROR(__xludf.DUMMYFUNCTION("""COMPUTED_VALUE"""),"[]")</f>
        <v>[]</v>
      </c>
      <c r="X1462" s="6" t="str">
        <f>IFERROR(__xludf.DUMMYFUNCTION("""COMPUTED_VALUE"""),"Enrolled")</f>
        <v>Enrolled</v>
      </c>
    </row>
    <row r="1463">
      <c r="A1463" s="6" t="str">
        <f>IFERROR(__xludf.DUMMYFUNCTION("""COMPUTED_VALUE"""),"009-1719")</f>
        <v>009-1719</v>
      </c>
      <c r="B1463" s="6" t="str">
        <f>IFERROR(__xludf.DUMMYFUNCTION("""COMPUTED_VALUE"""),"9")</f>
        <v>9</v>
      </c>
      <c r="C1463" s="6" t="str">
        <f>IFERROR(__xludf.DUMMYFUNCTION("""COMPUTED_VALUE"""),"1719")</f>
        <v>1719</v>
      </c>
      <c r="D1463" s="6" t="str">
        <f>IFERROR(__xludf.DUMMYFUNCTION("""COMPUTED_VALUE"""),"Danylo")</f>
        <v>Danylo</v>
      </c>
      <c r="E1463" s="6" t="str">
        <f>IFERROR(__xludf.DUMMYFUNCTION("""COMPUTED_VALUE"""),"")</f>
        <v/>
      </c>
      <c r="F1463" s="6" t="str">
        <f>IFERROR(__xludf.DUMMYFUNCTION("""COMPUTED_VALUE"""),"Kalinichenko")</f>
        <v>Kalinichenko</v>
      </c>
      <c r="G1463" s="6" t="str">
        <f>IFERROR(__xludf.DUMMYFUNCTION("""COMPUTED_VALUE"""),"01/01/2009")</f>
        <v>01/01/2009</v>
      </c>
      <c r="H1463" s="6" t="str">
        <f>IFERROR(__xludf.DUMMYFUNCTION("""COMPUTED_VALUE"""),"Self Identify")</f>
        <v>Self Identify</v>
      </c>
      <c r="I1463" s="6" t="str">
        <f>IFERROR(__xludf.DUMMYFUNCTION("""COMPUTED_VALUE"""),"High School")</f>
        <v>High School</v>
      </c>
      <c r="J1463" s="6" t="str">
        <f>IFERROR(__xludf.DUMMYFUNCTION("""COMPUTED_VALUE"""),"10")</f>
        <v>10</v>
      </c>
      <c r="K1463" s="6" t="str">
        <f>IFERROR(__xludf.DUMMYFUNCTION("""COMPUTED_VALUE"""),"danylo.kalinichenko@2hourlearning.com")</f>
        <v>danylo.kalinichenko@2hourlearning.com</v>
      </c>
      <c r="L1463" s="6" t="str">
        <f>IFERROR(__xludf.DUMMYFUNCTION("""COMPUTED_VALUE"""),"Learn and Earn Poland")</f>
        <v>Learn and Earn Poland</v>
      </c>
      <c r="M1463" s="6" t="str">
        <f>IFERROR(__xludf.DUMMYFUNCTION("""COMPUTED_VALUE"""),"Budapest Alpha")</f>
        <v>Budapest Alpha</v>
      </c>
      <c r="N1463" s="6" t="str">
        <f>IFERROR(__xludf.DUMMYFUNCTION("""COMPUTED_VALUE"""),"")</f>
        <v/>
      </c>
      <c r="O1463" s="87" t="str">
        <f>IFERROR(__xludf.DUMMYFUNCTION("""COMPUTED_VALUE"""),"https://drive.google.com/drive/folders/10T2cTQHqEJZqE-st6uFKPoI?usp=share_link")</f>
        <v>https://drive.google.com/drive/folders/10T2cTQHqEJZqE-st6uFKPoI?usp=share_link</v>
      </c>
      <c r="P1463" s="6" t="str">
        <f>IFERROR(__xludf.DUMMYFUNCTION("""COMPUTED_VALUE"""),"Danylo Kalinichenko")</f>
        <v>Danylo Kalinichenko</v>
      </c>
      <c r="Q1463" s="6" t="str">
        <f>IFERROR(__xludf.DUMMYFUNCTION("""COMPUTED_VALUE"""),"HS")</f>
        <v>HS</v>
      </c>
      <c r="R1463" s="6">
        <f>IFERROR(__xludf.DUMMYFUNCTION("""COMPUTED_VALUE"""),0.0)</f>
        <v>0</v>
      </c>
      <c r="S1463" s="6" t="str">
        <f>IFERROR(__xludf.DUMMYFUNCTION("""COMPUTED_VALUE""")," ")</f>
        <v> </v>
      </c>
      <c r="T1463" s="6" t="str">
        <f>IFERROR(__xludf.DUMMYFUNCTION("""COMPUTED_VALUE"""),"")</f>
        <v/>
      </c>
      <c r="U1463" s="6" t="str">
        <f>IFERROR(__xludf.DUMMYFUNCTION("""COMPUTED_VALUE"""),"10")</f>
        <v>10</v>
      </c>
      <c r="V1463" s="6" t="str">
        <f>IFERROR(__xludf.DUMMYFUNCTION("""COMPUTED_VALUE"""),"English")</f>
        <v>English</v>
      </c>
      <c r="W1463" s="6" t="str">
        <f>IFERROR(__xludf.DUMMYFUNCTION("""COMPUTED_VALUE"""),"[]")</f>
        <v>[]</v>
      </c>
      <c r="X1463" s="6" t="str">
        <f>IFERROR(__xludf.DUMMYFUNCTION("""COMPUTED_VALUE"""),"Enrolled")</f>
        <v>Enrolled</v>
      </c>
    </row>
    <row r="1464">
      <c r="A1464" s="6" t="str">
        <f>IFERROR(__xludf.DUMMYFUNCTION("""COMPUTED_VALUE"""),"009-1720")</f>
        <v>009-1720</v>
      </c>
      <c r="B1464" s="6" t="str">
        <f>IFERROR(__xludf.DUMMYFUNCTION("""COMPUTED_VALUE"""),"9")</f>
        <v>9</v>
      </c>
      <c r="C1464" s="6" t="str">
        <f>IFERROR(__xludf.DUMMYFUNCTION("""COMPUTED_VALUE"""),"1720")</f>
        <v>1720</v>
      </c>
      <c r="D1464" s="6" t="str">
        <f>IFERROR(__xludf.DUMMYFUNCTION("""COMPUTED_VALUE"""),"Yana")</f>
        <v>Yana</v>
      </c>
      <c r="E1464" s="6" t="str">
        <f>IFERROR(__xludf.DUMMYFUNCTION("""COMPUTED_VALUE"""),"")</f>
        <v/>
      </c>
      <c r="F1464" s="6" t="str">
        <f>IFERROR(__xludf.DUMMYFUNCTION("""COMPUTED_VALUE"""),"Rudenko")</f>
        <v>Rudenko</v>
      </c>
      <c r="G1464" s="6" t="str">
        <f>IFERROR(__xludf.DUMMYFUNCTION("""COMPUTED_VALUE"""),"01/01/2016")</f>
        <v>01/01/2016</v>
      </c>
      <c r="H1464" s="6" t="str">
        <f>IFERROR(__xludf.DUMMYFUNCTION("""COMPUTED_VALUE"""),"Self Identify")</f>
        <v>Self Identify</v>
      </c>
      <c r="I1464" s="6" t="str">
        <f>IFERROR(__xludf.DUMMYFUNCTION("""COMPUTED_VALUE"""),"Level 1")</f>
        <v>Level 1</v>
      </c>
      <c r="J1464" s="6" t="str">
        <f>IFERROR(__xludf.DUMMYFUNCTION("""COMPUTED_VALUE"""),"3")</f>
        <v>3</v>
      </c>
      <c r="K1464" s="6" t="str">
        <f>IFERROR(__xludf.DUMMYFUNCTION("""COMPUTED_VALUE"""),"yana.rudenko@2hourlearning.com")</f>
        <v>yana.rudenko@2hourlearning.com</v>
      </c>
      <c r="L1464" s="6" t="str">
        <f>IFERROR(__xludf.DUMMYFUNCTION("""COMPUTED_VALUE"""),"Learn and Earn Poland")</f>
        <v>Learn and Earn Poland</v>
      </c>
      <c r="M1464" s="6" t="str">
        <f>IFERROR(__xludf.DUMMYFUNCTION("""COMPUTED_VALUE"""),"Budapest Alpha")</f>
        <v>Budapest Alpha</v>
      </c>
      <c r="N1464" s="6" t="str">
        <f>IFERROR(__xludf.DUMMYFUNCTION("""COMPUTED_VALUE"""),"")</f>
        <v/>
      </c>
      <c r="O1464" s="87" t="str">
        <f>IFERROR(__xludf.DUMMYFUNCTION("""COMPUTED_VALUE"""),"https://drive.google.com/drive/folders/10T2cTQHqEJZqE-st6uFKPoI?usp=share_link")</f>
        <v>https://drive.google.com/drive/folders/10T2cTQHqEJZqE-st6uFKPoI?usp=share_link</v>
      </c>
      <c r="P1464" s="6" t="str">
        <f>IFERROR(__xludf.DUMMYFUNCTION("""COMPUTED_VALUE"""),"Yana Rudenko")</f>
        <v>Yana Rudenko</v>
      </c>
      <c r="Q1464" s="6" t="str">
        <f>IFERROR(__xludf.DUMMYFUNCTION("""COMPUTED_VALUE"""),"L1")</f>
        <v>L1</v>
      </c>
      <c r="R1464" s="6">
        <f>IFERROR(__xludf.DUMMYFUNCTION("""COMPUTED_VALUE"""),1.0)</f>
        <v>1</v>
      </c>
      <c r="S1464" s="6" t="str">
        <f>IFERROR(__xludf.DUMMYFUNCTION("""COMPUTED_VALUE""")," ")</f>
        <v> </v>
      </c>
      <c r="T1464" s="6" t="str">
        <f>IFERROR(__xludf.DUMMYFUNCTION("""COMPUTED_VALUE"""),"")</f>
        <v/>
      </c>
      <c r="U1464" s="6" t="str">
        <f>IFERROR(__xludf.DUMMYFUNCTION("""COMPUTED_VALUE"""),"3")</f>
        <v>3</v>
      </c>
      <c r="V1464" s="6" t="str">
        <f>IFERROR(__xludf.DUMMYFUNCTION("""COMPUTED_VALUE"""),"English")</f>
        <v>English</v>
      </c>
      <c r="W1464" s="6" t="str">
        <f>IFERROR(__xludf.DUMMYFUNCTION("""COMPUTED_VALUE"""),"[]")</f>
        <v>[]</v>
      </c>
      <c r="X1464" s="6" t="str">
        <f>IFERROR(__xludf.DUMMYFUNCTION("""COMPUTED_VALUE"""),"Enrolled")</f>
        <v>Enrolled</v>
      </c>
    </row>
    <row r="1465">
      <c r="A1465" s="6" t="str">
        <f>IFERROR(__xludf.DUMMYFUNCTION("""COMPUTED_VALUE"""),"009-1721")</f>
        <v>009-1721</v>
      </c>
      <c r="B1465" s="6" t="str">
        <f>IFERROR(__xludf.DUMMYFUNCTION("""COMPUTED_VALUE"""),"9")</f>
        <v>9</v>
      </c>
      <c r="C1465" s="6" t="str">
        <f>IFERROR(__xludf.DUMMYFUNCTION("""COMPUTED_VALUE"""),"1721")</f>
        <v>1721</v>
      </c>
      <c r="D1465" s="6" t="str">
        <f>IFERROR(__xludf.DUMMYFUNCTION("""COMPUTED_VALUE"""),"David")</f>
        <v>David</v>
      </c>
      <c r="E1465" s="6" t="str">
        <f>IFERROR(__xludf.DUMMYFUNCTION("""COMPUTED_VALUE"""),"")</f>
        <v/>
      </c>
      <c r="F1465" s="6" t="str">
        <f>IFERROR(__xludf.DUMMYFUNCTION("""COMPUTED_VALUE"""),"Mucsicska")</f>
        <v>Mucsicska</v>
      </c>
      <c r="G1465" s="6" t="str">
        <f>IFERROR(__xludf.DUMMYFUNCTION("""COMPUTED_VALUE"""),"01/01/2013")</f>
        <v>01/01/2013</v>
      </c>
      <c r="H1465" s="6" t="str">
        <f>IFERROR(__xludf.DUMMYFUNCTION("""COMPUTED_VALUE"""),"Self Identify")</f>
        <v>Self Identify</v>
      </c>
      <c r="I1465" s="6" t="str">
        <f>IFERROR(__xludf.DUMMYFUNCTION("""COMPUTED_VALUE"""),"Middle School")</f>
        <v>Middle School</v>
      </c>
      <c r="J1465" s="6" t="str">
        <f>IFERROR(__xludf.DUMMYFUNCTION("""COMPUTED_VALUE"""),"6")</f>
        <v>6</v>
      </c>
      <c r="K1465" s="6" t="str">
        <f>IFERROR(__xludf.DUMMYFUNCTION("""COMPUTED_VALUE"""),"david.mucsicska@2hourlearning.com")</f>
        <v>david.mucsicska@2hourlearning.com</v>
      </c>
      <c r="L1465" s="6" t="str">
        <f>IFERROR(__xludf.DUMMYFUNCTION("""COMPUTED_VALUE"""),"Learn and Earn Poland")</f>
        <v>Learn and Earn Poland</v>
      </c>
      <c r="M1465" s="6" t="str">
        <f>IFERROR(__xludf.DUMMYFUNCTION("""COMPUTED_VALUE"""),"Budapest Alpha")</f>
        <v>Budapest Alpha</v>
      </c>
      <c r="N1465" s="6" t="str">
        <f>IFERROR(__xludf.DUMMYFUNCTION("""COMPUTED_VALUE"""),"")</f>
        <v/>
      </c>
      <c r="O1465" s="87" t="str">
        <f>IFERROR(__xludf.DUMMYFUNCTION("""COMPUTED_VALUE"""),"https://drive.google.com/drive/folders/10T2cTQHqEJZqE-st6uFKPoI?usp=share_link")</f>
        <v>https://drive.google.com/drive/folders/10T2cTQHqEJZqE-st6uFKPoI?usp=share_link</v>
      </c>
      <c r="P1465" s="6" t="str">
        <f>IFERROR(__xludf.DUMMYFUNCTION("""COMPUTED_VALUE"""),"David Mucsicska")</f>
        <v>David Mucsicska</v>
      </c>
      <c r="Q1465" s="6" t="str">
        <f>IFERROR(__xludf.DUMMYFUNCTION("""COMPUTED_VALUE"""),"MS")</f>
        <v>MS</v>
      </c>
      <c r="R1465" s="6">
        <f>IFERROR(__xludf.DUMMYFUNCTION("""COMPUTED_VALUE"""),0.0)</f>
        <v>0</v>
      </c>
      <c r="S1465" s="6" t="str">
        <f>IFERROR(__xludf.DUMMYFUNCTION("""COMPUTED_VALUE""")," ")</f>
        <v> </v>
      </c>
      <c r="T1465" s="6" t="str">
        <f>IFERROR(__xludf.DUMMYFUNCTION("""COMPUTED_VALUE"""),"")</f>
        <v/>
      </c>
      <c r="U1465" s="6" t="str">
        <f>IFERROR(__xludf.DUMMYFUNCTION("""COMPUTED_VALUE"""),"6")</f>
        <v>6</v>
      </c>
      <c r="V1465" s="6" t="str">
        <f>IFERROR(__xludf.DUMMYFUNCTION("""COMPUTED_VALUE"""),"English")</f>
        <v>English</v>
      </c>
      <c r="W1465" s="6" t="str">
        <f>IFERROR(__xludf.DUMMYFUNCTION("""COMPUTED_VALUE"""),"[]")</f>
        <v>[]</v>
      </c>
      <c r="X1465" s="6" t="str">
        <f>IFERROR(__xludf.DUMMYFUNCTION("""COMPUTED_VALUE"""),"Enrolled")</f>
        <v>Enrolled</v>
      </c>
    </row>
    <row r="1466">
      <c r="A1466" s="6" t="str">
        <f>IFERROR(__xludf.DUMMYFUNCTION("""COMPUTED_VALUE"""),"009-1722")</f>
        <v>009-1722</v>
      </c>
      <c r="B1466" s="6" t="str">
        <f>IFERROR(__xludf.DUMMYFUNCTION("""COMPUTED_VALUE"""),"9")</f>
        <v>9</v>
      </c>
      <c r="C1466" s="6" t="str">
        <f>IFERROR(__xludf.DUMMYFUNCTION("""COMPUTED_VALUE"""),"1722")</f>
        <v>1722</v>
      </c>
      <c r="D1466" s="6" t="str">
        <f>IFERROR(__xludf.DUMMYFUNCTION("""COMPUTED_VALUE"""),"Vlad")</f>
        <v>Vlad</v>
      </c>
      <c r="E1466" s="6" t="str">
        <f>IFERROR(__xludf.DUMMYFUNCTION("""COMPUTED_VALUE"""),"")</f>
        <v/>
      </c>
      <c r="F1466" s="6" t="str">
        <f>IFERROR(__xludf.DUMMYFUNCTION("""COMPUTED_VALUE"""),"Spolnyk")</f>
        <v>Spolnyk</v>
      </c>
      <c r="G1466" s="6" t="str">
        <f>IFERROR(__xludf.DUMMYFUNCTION("""COMPUTED_VALUE"""),"01/01/2011")</f>
        <v>01/01/2011</v>
      </c>
      <c r="H1466" s="6" t="str">
        <f>IFERROR(__xludf.DUMMYFUNCTION("""COMPUTED_VALUE"""),"Self Identify")</f>
        <v>Self Identify</v>
      </c>
      <c r="I1466" s="6" t="str">
        <f>IFERROR(__xludf.DUMMYFUNCTION("""COMPUTED_VALUE"""),"Middle School")</f>
        <v>Middle School</v>
      </c>
      <c r="J1466" s="6" t="str">
        <f>IFERROR(__xludf.DUMMYFUNCTION("""COMPUTED_VALUE"""),"8")</f>
        <v>8</v>
      </c>
      <c r="K1466" s="6" t="str">
        <f>IFERROR(__xludf.DUMMYFUNCTION("""COMPUTED_VALUE"""),"vlad.spolnyk@2hourlearning.com")</f>
        <v>vlad.spolnyk@2hourlearning.com</v>
      </c>
      <c r="L1466" s="6" t="str">
        <f>IFERROR(__xludf.DUMMYFUNCTION("""COMPUTED_VALUE"""),"Learn and Earn Poland")</f>
        <v>Learn and Earn Poland</v>
      </c>
      <c r="M1466" s="6" t="str">
        <f>IFERROR(__xludf.DUMMYFUNCTION("""COMPUTED_VALUE"""),"Budapest ex-GTS")</f>
        <v>Budapest ex-GTS</v>
      </c>
      <c r="N1466" s="6" t="str">
        <f>IFERROR(__xludf.DUMMYFUNCTION("""COMPUTED_VALUE"""),"")</f>
        <v/>
      </c>
      <c r="O1466" s="87" t="str">
        <f>IFERROR(__xludf.DUMMYFUNCTION("""COMPUTED_VALUE"""),"https://drive.google.com/drive/folders/10T2cTQHqEJZqE-st6uFKPoI?usp=share_link")</f>
        <v>https://drive.google.com/drive/folders/10T2cTQHqEJZqE-st6uFKPoI?usp=share_link</v>
      </c>
      <c r="P1466" s="6" t="str">
        <f>IFERROR(__xludf.DUMMYFUNCTION("""COMPUTED_VALUE"""),"Vlad Spolnyk")</f>
        <v>Vlad Spolnyk</v>
      </c>
      <c r="Q1466" s="6" t="str">
        <f>IFERROR(__xludf.DUMMYFUNCTION("""COMPUTED_VALUE"""),"MS")</f>
        <v>MS</v>
      </c>
      <c r="R1466" s="6">
        <f>IFERROR(__xludf.DUMMYFUNCTION("""COMPUTED_VALUE"""),0.0)</f>
        <v>0</v>
      </c>
      <c r="S1466" s="6" t="str">
        <f>IFERROR(__xludf.DUMMYFUNCTION("""COMPUTED_VALUE""")," ")</f>
        <v> </v>
      </c>
      <c r="T1466" s="6" t="str">
        <f>IFERROR(__xludf.DUMMYFUNCTION("""COMPUTED_VALUE"""),"")</f>
        <v/>
      </c>
      <c r="U1466" s="6" t="str">
        <f>IFERROR(__xludf.DUMMYFUNCTION("""COMPUTED_VALUE"""),"8")</f>
        <v>8</v>
      </c>
      <c r="V1466" s="6" t="str">
        <f>IFERROR(__xludf.DUMMYFUNCTION("""COMPUTED_VALUE"""),"English")</f>
        <v>English</v>
      </c>
      <c r="W1466" s="6" t="str">
        <f>IFERROR(__xludf.DUMMYFUNCTION("""COMPUTED_VALUE"""),"[]")</f>
        <v>[]</v>
      </c>
      <c r="X1466" s="6" t="str">
        <f>IFERROR(__xludf.DUMMYFUNCTION("""COMPUTED_VALUE"""),"Enrolled")</f>
        <v>Enrolled</v>
      </c>
    </row>
    <row r="1467">
      <c r="A1467" s="6" t="str">
        <f>IFERROR(__xludf.DUMMYFUNCTION("""COMPUTED_VALUE"""),"009-1723")</f>
        <v>009-1723</v>
      </c>
      <c r="B1467" s="6" t="str">
        <f>IFERROR(__xludf.DUMMYFUNCTION("""COMPUTED_VALUE"""),"9")</f>
        <v>9</v>
      </c>
      <c r="C1467" s="6" t="str">
        <f>IFERROR(__xludf.DUMMYFUNCTION("""COMPUTED_VALUE"""),"1723")</f>
        <v>1723</v>
      </c>
      <c r="D1467" s="6" t="str">
        <f>IFERROR(__xludf.DUMMYFUNCTION("""COMPUTED_VALUE"""),"Antonia")</f>
        <v>Antonia</v>
      </c>
      <c r="E1467" s="6" t="str">
        <f>IFERROR(__xludf.DUMMYFUNCTION("""COMPUTED_VALUE"""),"")</f>
        <v/>
      </c>
      <c r="F1467" s="6" t="str">
        <f>IFERROR(__xludf.DUMMYFUNCTION("""COMPUTED_VALUE"""),"Bihari")</f>
        <v>Bihari</v>
      </c>
      <c r="G1467" s="6" t="str">
        <f>IFERROR(__xludf.DUMMYFUNCTION("""COMPUTED_VALUE"""),"01/01/2007")</f>
        <v>01/01/2007</v>
      </c>
      <c r="H1467" s="6" t="str">
        <f>IFERROR(__xludf.DUMMYFUNCTION("""COMPUTED_VALUE"""),"Self Identify")</f>
        <v>Self Identify</v>
      </c>
      <c r="I1467" s="6" t="str">
        <f>IFERROR(__xludf.DUMMYFUNCTION("""COMPUTED_VALUE"""),"High School")</f>
        <v>High School</v>
      </c>
      <c r="J1467" s="6" t="str">
        <f>IFERROR(__xludf.DUMMYFUNCTION("""COMPUTED_VALUE"""),"12")</f>
        <v>12</v>
      </c>
      <c r="K1467" s="6" t="str">
        <f>IFERROR(__xludf.DUMMYFUNCTION("""COMPUTED_VALUE"""),"antonia.bihari@2hourlearning.com")</f>
        <v>antonia.bihari@2hourlearning.com</v>
      </c>
      <c r="L1467" s="6" t="str">
        <f>IFERROR(__xludf.DUMMYFUNCTION("""COMPUTED_VALUE"""),"Learn and Earn Poland")</f>
        <v>Learn and Earn Poland</v>
      </c>
      <c r="M1467" s="6" t="str">
        <f>IFERROR(__xludf.DUMMYFUNCTION("""COMPUTED_VALUE"""),"Budapest Alpha")</f>
        <v>Budapest Alpha</v>
      </c>
      <c r="N1467" s="6" t="str">
        <f>IFERROR(__xludf.DUMMYFUNCTION("""COMPUTED_VALUE"""),"")</f>
        <v/>
      </c>
      <c r="O1467" s="87" t="str">
        <f>IFERROR(__xludf.DUMMYFUNCTION("""COMPUTED_VALUE"""),"https://drive.google.com/drive/folders/10T2cTQHqEJZqE-st6uFKPoI?usp=share_link")</f>
        <v>https://drive.google.com/drive/folders/10T2cTQHqEJZqE-st6uFKPoI?usp=share_link</v>
      </c>
      <c r="P1467" s="6" t="str">
        <f>IFERROR(__xludf.DUMMYFUNCTION("""COMPUTED_VALUE"""),"Antonia Bihari")</f>
        <v>Antonia Bihari</v>
      </c>
      <c r="Q1467" s="6" t="str">
        <f>IFERROR(__xludf.DUMMYFUNCTION("""COMPUTED_VALUE"""),"HS")</f>
        <v>HS</v>
      </c>
      <c r="R1467" s="6">
        <f>IFERROR(__xludf.DUMMYFUNCTION("""COMPUTED_VALUE"""),0.0)</f>
        <v>0</v>
      </c>
      <c r="S1467" s="6" t="str">
        <f>IFERROR(__xludf.DUMMYFUNCTION("""COMPUTED_VALUE""")," ")</f>
        <v> </v>
      </c>
      <c r="T1467" s="6" t="str">
        <f>IFERROR(__xludf.DUMMYFUNCTION("""COMPUTED_VALUE"""),"")</f>
        <v/>
      </c>
      <c r="U1467" s="6" t="str">
        <f>IFERROR(__xludf.DUMMYFUNCTION("""COMPUTED_VALUE"""),"12")</f>
        <v>12</v>
      </c>
      <c r="V1467" s="6" t="str">
        <f>IFERROR(__xludf.DUMMYFUNCTION("""COMPUTED_VALUE"""),"English")</f>
        <v>English</v>
      </c>
      <c r="W1467" s="6" t="str">
        <f>IFERROR(__xludf.DUMMYFUNCTION("""COMPUTED_VALUE"""),"[]")</f>
        <v>[]</v>
      </c>
      <c r="X1467" s="6" t="str">
        <f>IFERROR(__xludf.DUMMYFUNCTION("""COMPUTED_VALUE"""),"Enrolled")</f>
        <v>Enrolled</v>
      </c>
    </row>
    <row r="1468">
      <c r="A1468" s="6" t="str">
        <f>IFERROR(__xludf.DUMMYFUNCTION("""COMPUTED_VALUE"""),"009-1724")</f>
        <v>009-1724</v>
      </c>
      <c r="B1468" s="6" t="str">
        <f>IFERROR(__xludf.DUMMYFUNCTION("""COMPUTED_VALUE"""),"9")</f>
        <v>9</v>
      </c>
      <c r="C1468" s="6" t="str">
        <f>IFERROR(__xludf.DUMMYFUNCTION("""COMPUTED_VALUE"""),"1724")</f>
        <v>1724</v>
      </c>
      <c r="D1468" s="6" t="str">
        <f>IFERROR(__xludf.DUMMYFUNCTION("""COMPUTED_VALUE"""),"Ostap")</f>
        <v>Ostap</v>
      </c>
      <c r="E1468" s="6" t="str">
        <f>IFERROR(__xludf.DUMMYFUNCTION("""COMPUTED_VALUE"""),"")</f>
        <v/>
      </c>
      <c r="F1468" s="6" t="str">
        <f>IFERROR(__xludf.DUMMYFUNCTION("""COMPUTED_VALUE"""),"Borsky")</f>
        <v>Borsky</v>
      </c>
      <c r="G1468" s="6" t="str">
        <f>IFERROR(__xludf.DUMMYFUNCTION("""COMPUTED_VALUE"""),"01/01/2013")</f>
        <v>01/01/2013</v>
      </c>
      <c r="H1468" s="6" t="str">
        <f>IFERROR(__xludf.DUMMYFUNCTION("""COMPUTED_VALUE"""),"Self Identify")</f>
        <v>Self Identify</v>
      </c>
      <c r="I1468" s="6" t="str">
        <f>IFERROR(__xludf.DUMMYFUNCTION("""COMPUTED_VALUE"""),"Middle School")</f>
        <v>Middle School</v>
      </c>
      <c r="J1468" s="6" t="str">
        <f>IFERROR(__xludf.DUMMYFUNCTION("""COMPUTED_VALUE"""),"6")</f>
        <v>6</v>
      </c>
      <c r="K1468" s="6" t="str">
        <f>IFERROR(__xludf.DUMMYFUNCTION("""COMPUTED_VALUE"""),"ostap.borsky@2hourlearning.com")</f>
        <v>ostap.borsky@2hourlearning.com</v>
      </c>
      <c r="L1468" s="6" t="str">
        <f>IFERROR(__xludf.DUMMYFUNCTION("""COMPUTED_VALUE"""),"Learn and Earn Poland")</f>
        <v>Learn and Earn Poland</v>
      </c>
      <c r="M1468" s="6" t="str">
        <f>IFERROR(__xludf.DUMMYFUNCTION("""COMPUTED_VALUE"""),"Budapest Alpha")</f>
        <v>Budapest Alpha</v>
      </c>
      <c r="N1468" s="6" t="str">
        <f>IFERROR(__xludf.DUMMYFUNCTION("""COMPUTED_VALUE"""),"")</f>
        <v/>
      </c>
      <c r="O1468" s="87" t="str">
        <f>IFERROR(__xludf.DUMMYFUNCTION("""COMPUTED_VALUE"""),"https://drive.google.com/drive/folders/10T2cTQHqEJZqE-st6uFKPoI?usp=share_link")</f>
        <v>https://drive.google.com/drive/folders/10T2cTQHqEJZqE-st6uFKPoI?usp=share_link</v>
      </c>
      <c r="P1468" s="6" t="str">
        <f>IFERROR(__xludf.DUMMYFUNCTION("""COMPUTED_VALUE"""),"Ostap Borsky")</f>
        <v>Ostap Borsky</v>
      </c>
      <c r="Q1468" s="6" t="str">
        <f>IFERROR(__xludf.DUMMYFUNCTION("""COMPUTED_VALUE"""),"MS")</f>
        <v>MS</v>
      </c>
      <c r="R1468" s="6">
        <f>IFERROR(__xludf.DUMMYFUNCTION("""COMPUTED_VALUE"""),0.0)</f>
        <v>0</v>
      </c>
      <c r="S1468" s="6" t="str">
        <f>IFERROR(__xludf.DUMMYFUNCTION("""COMPUTED_VALUE""")," ")</f>
        <v> </v>
      </c>
      <c r="T1468" s="6" t="str">
        <f>IFERROR(__xludf.DUMMYFUNCTION("""COMPUTED_VALUE"""),"")</f>
        <v/>
      </c>
      <c r="U1468" s="6" t="str">
        <f>IFERROR(__xludf.DUMMYFUNCTION("""COMPUTED_VALUE"""),"6")</f>
        <v>6</v>
      </c>
      <c r="V1468" s="6" t="str">
        <f>IFERROR(__xludf.DUMMYFUNCTION("""COMPUTED_VALUE"""),"English")</f>
        <v>English</v>
      </c>
      <c r="W1468" s="6" t="str">
        <f>IFERROR(__xludf.DUMMYFUNCTION("""COMPUTED_VALUE"""),"[]")</f>
        <v>[]</v>
      </c>
      <c r="X1468" s="6" t="str">
        <f>IFERROR(__xludf.DUMMYFUNCTION("""COMPUTED_VALUE"""),"Enrolled")</f>
        <v>Enrolled</v>
      </c>
    </row>
    <row r="1469">
      <c r="A1469" s="6" t="str">
        <f>IFERROR(__xludf.DUMMYFUNCTION("""COMPUTED_VALUE"""),"009-1725")</f>
        <v>009-1725</v>
      </c>
      <c r="B1469" s="6" t="str">
        <f>IFERROR(__xludf.DUMMYFUNCTION("""COMPUTED_VALUE"""),"9")</f>
        <v>9</v>
      </c>
      <c r="C1469" s="6" t="str">
        <f>IFERROR(__xludf.DUMMYFUNCTION("""COMPUTED_VALUE"""),"1725")</f>
        <v>1725</v>
      </c>
      <c r="D1469" s="6" t="str">
        <f>IFERROR(__xludf.DUMMYFUNCTION("""COMPUTED_VALUE"""),"Yustina")</f>
        <v>Yustina</v>
      </c>
      <c r="E1469" s="6" t="str">
        <f>IFERROR(__xludf.DUMMYFUNCTION("""COMPUTED_VALUE"""),"")</f>
        <v/>
      </c>
      <c r="F1469" s="6" t="str">
        <f>IFERROR(__xludf.DUMMYFUNCTION("""COMPUTED_VALUE"""),"Borska")</f>
        <v>Borska</v>
      </c>
      <c r="G1469" s="6" t="str">
        <f>IFERROR(__xludf.DUMMYFUNCTION("""COMPUTED_VALUE"""),"01/01/2018")</f>
        <v>01/01/2018</v>
      </c>
      <c r="H1469" s="6" t="str">
        <f>IFERROR(__xludf.DUMMYFUNCTION("""COMPUTED_VALUE"""),"Self Identify")</f>
        <v>Self Identify</v>
      </c>
      <c r="I1469" s="6" t="str">
        <f>IFERROR(__xludf.DUMMYFUNCTION("""COMPUTED_VALUE"""),"Learning Lab")</f>
        <v>Learning Lab</v>
      </c>
      <c r="J1469" s="6" t="str">
        <f>IFERROR(__xludf.DUMMYFUNCTION("""COMPUTED_VALUE"""),"1")</f>
        <v>1</v>
      </c>
      <c r="K1469" s="6" t="str">
        <f>IFERROR(__xludf.DUMMYFUNCTION("""COMPUTED_VALUE"""),"yustina.borska@2hourlearning.com")</f>
        <v>yustina.borska@2hourlearning.com</v>
      </c>
      <c r="L1469" s="6" t="str">
        <f>IFERROR(__xludf.DUMMYFUNCTION("""COMPUTED_VALUE"""),"Learn and Earn Poland")</f>
        <v>Learn and Earn Poland</v>
      </c>
      <c r="M1469" s="6" t="str">
        <f>IFERROR(__xludf.DUMMYFUNCTION("""COMPUTED_VALUE"""),"Budapest Alpha")</f>
        <v>Budapest Alpha</v>
      </c>
      <c r="N1469" s="6" t="str">
        <f>IFERROR(__xludf.DUMMYFUNCTION("""COMPUTED_VALUE"""),"")</f>
        <v/>
      </c>
      <c r="O1469" s="87" t="str">
        <f>IFERROR(__xludf.DUMMYFUNCTION("""COMPUTED_VALUE"""),"https://drive.google.com/drive/folders/10T2cTQHqEJZqE-st6uFKPoI?usp=share_link")</f>
        <v>https://drive.google.com/drive/folders/10T2cTQHqEJZqE-st6uFKPoI?usp=share_link</v>
      </c>
      <c r="P1469" s="6" t="str">
        <f>IFERROR(__xludf.DUMMYFUNCTION("""COMPUTED_VALUE"""),"Yustina Borska")</f>
        <v>Yustina Borska</v>
      </c>
      <c r="Q1469" s="6" t="str">
        <f>IFERROR(__xludf.DUMMYFUNCTION("""COMPUTED_VALUE"""),"LL")</f>
        <v>LL</v>
      </c>
      <c r="R1469" s="6">
        <f>IFERROR(__xludf.DUMMYFUNCTION("""COMPUTED_VALUE"""),0.0)</f>
        <v>0</v>
      </c>
      <c r="S1469" s="6" t="str">
        <f>IFERROR(__xludf.DUMMYFUNCTION("""COMPUTED_VALUE""")," ")</f>
        <v> </v>
      </c>
      <c r="T1469" s="6" t="str">
        <f>IFERROR(__xludf.DUMMYFUNCTION("""COMPUTED_VALUE"""),"")</f>
        <v/>
      </c>
      <c r="U1469" s="6" t="str">
        <f>IFERROR(__xludf.DUMMYFUNCTION("""COMPUTED_VALUE"""),"1")</f>
        <v>1</v>
      </c>
      <c r="V1469" s="6" t="str">
        <f>IFERROR(__xludf.DUMMYFUNCTION("""COMPUTED_VALUE"""),"English")</f>
        <v>English</v>
      </c>
      <c r="W1469" s="6" t="str">
        <f>IFERROR(__xludf.DUMMYFUNCTION("""COMPUTED_VALUE"""),"[]")</f>
        <v>[]</v>
      </c>
      <c r="X1469" s="6" t="str">
        <f>IFERROR(__xludf.DUMMYFUNCTION("""COMPUTED_VALUE"""),"Enrolled")</f>
        <v>Enrolled</v>
      </c>
    </row>
    <row r="1470">
      <c r="A1470" s="6" t="str">
        <f>IFERROR(__xludf.DUMMYFUNCTION("""COMPUTED_VALUE"""),"009-1726")</f>
        <v>009-1726</v>
      </c>
      <c r="B1470" s="6" t="str">
        <f>IFERROR(__xludf.DUMMYFUNCTION("""COMPUTED_VALUE"""),"9")</f>
        <v>9</v>
      </c>
      <c r="C1470" s="6" t="str">
        <f>IFERROR(__xludf.DUMMYFUNCTION("""COMPUTED_VALUE"""),"1726")</f>
        <v>1726</v>
      </c>
      <c r="D1470" s="6" t="str">
        <f>IFERROR(__xludf.DUMMYFUNCTION("""COMPUTED_VALUE"""),"Szintia Bianka")</f>
        <v>Szintia Bianka</v>
      </c>
      <c r="E1470" s="6" t="str">
        <f>IFERROR(__xludf.DUMMYFUNCTION("""COMPUTED_VALUE"""),"")</f>
        <v/>
      </c>
      <c r="F1470" s="6" t="str">
        <f>IFERROR(__xludf.DUMMYFUNCTION("""COMPUTED_VALUE"""),"Sas")</f>
        <v>Sas</v>
      </c>
      <c r="G1470" s="6" t="str">
        <f>IFERROR(__xludf.DUMMYFUNCTION("""COMPUTED_VALUE"""),"01/01/2014")</f>
        <v>01/01/2014</v>
      </c>
      <c r="H1470" s="6" t="str">
        <f>IFERROR(__xludf.DUMMYFUNCTION("""COMPUTED_VALUE"""),"Self Identify")</f>
        <v>Self Identify</v>
      </c>
      <c r="I1470" s="6" t="str">
        <f>IFERROR(__xludf.DUMMYFUNCTION("""COMPUTED_VALUE"""),"Level 2")</f>
        <v>Level 2</v>
      </c>
      <c r="J1470" s="6" t="str">
        <f>IFERROR(__xludf.DUMMYFUNCTION("""COMPUTED_VALUE"""),"5")</f>
        <v>5</v>
      </c>
      <c r="K1470" s="6" t="str">
        <f>IFERROR(__xludf.DUMMYFUNCTION("""COMPUTED_VALUE"""),"szintia.bianka@2hourlearning.com")</f>
        <v>szintia.bianka@2hourlearning.com</v>
      </c>
      <c r="L1470" s="6" t="str">
        <f>IFERROR(__xludf.DUMMYFUNCTION("""COMPUTED_VALUE"""),"Learn and Earn Poland")</f>
        <v>Learn and Earn Poland</v>
      </c>
      <c r="M1470" s="6" t="str">
        <f>IFERROR(__xludf.DUMMYFUNCTION("""COMPUTED_VALUE"""),"Budapest Alpha")</f>
        <v>Budapest Alpha</v>
      </c>
      <c r="N1470" s="6" t="str">
        <f>IFERROR(__xludf.DUMMYFUNCTION("""COMPUTED_VALUE"""),"")</f>
        <v/>
      </c>
      <c r="O1470" s="87" t="str">
        <f>IFERROR(__xludf.DUMMYFUNCTION("""COMPUTED_VALUE"""),"https://drive.google.com/drive/folders/10T2cTQHqEJZqE-st6uFKPoI?usp=share_link")</f>
        <v>https://drive.google.com/drive/folders/10T2cTQHqEJZqE-st6uFKPoI?usp=share_link</v>
      </c>
      <c r="P1470" s="6" t="str">
        <f>IFERROR(__xludf.DUMMYFUNCTION("""COMPUTED_VALUE"""),"Szintia Bianka Sas")</f>
        <v>Szintia Bianka Sas</v>
      </c>
      <c r="Q1470" s="6" t="str">
        <f>IFERROR(__xludf.DUMMYFUNCTION("""COMPUTED_VALUE"""),"L2")</f>
        <v>L2</v>
      </c>
      <c r="R1470" s="6">
        <f>IFERROR(__xludf.DUMMYFUNCTION("""COMPUTED_VALUE"""),2.0)</f>
        <v>2</v>
      </c>
      <c r="S1470" s="6" t="str">
        <f>IFERROR(__xludf.DUMMYFUNCTION("""COMPUTED_VALUE""")," ")</f>
        <v> </v>
      </c>
      <c r="T1470" s="6" t="str">
        <f>IFERROR(__xludf.DUMMYFUNCTION("""COMPUTED_VALUE"""),"")</f>
        <v/>
      </c>
      <c r="U1470" s="6" t="str">
        <f>IFERROR(__xludf.DUMMYFUNCTION("""COMPUTED_VALUE"""),"5")</f>
        <v>5</v>
      </c>
      <c r="V1470" s="6" t="str">
        <f>IFERROR(__xludf.DUMMYFUNCTION("""COMPUTED_VALUE"""),"English")</f>
        <v>English</v>
      </c>
      <c r="W1470" s="6" t="str">
        <f>IFERROR(__xludf.DUMMYFUNCTION("""COMPUTED_VALUE"""),"[]")</f>
        <v>[]</v>
      </c>
      <c r="X1470" s="6" t="str">
        <f>IFERROR(__xludf.DUMMYFUNCTION("""COMPUTED_VALUE"""),"Enrolled")</f>
        <v>Enrolled</v>
      </c>
    </row>
    <row r="1471">
      <c r="A1471" s="6" t="str">
        <f>IFERROR(__xludf.DUMMYFUNCTION("""COMPUTED_VALUE"""),"009-1727")</f>
        <v>009-1727</v>
      </c>
      <c r="B1471" s="6" t="str">
        <f>IFERROR(__xludf.DUMMYFUNCTION("""COMPUTED_VALUE"""),"9")</f>
        <v>9</v>
      </c>
      <c r="C1471" s="6" t="str">
        <f>IFERROR(__xludf.DUMMYFUNCTION("""COMPUTED_VALUE"""),"1727")</f>
        <v>1727</v>
      </c>
      <c r="D1471" s="6" t="str">
        <f>IFERROR(__xludf.DUMMYFUNCTION("""COMPUTED_VALUE"""),"Kateryna")</f>
        <v>Kateryna</v>
      </c>
      <c r="E1471" s="6" t="str">
        <f>IFERROR(__xludf.DUMMYFUNCTION("""COMPUTED_VALUE"""),"")</f>
        <v/>
      </c>
      <c r="F1471" s="6" t="str">
        <f>IFERROR(__xludf.DUMMYFUNCTION("""COMPUTED_VALUE"""),"Rymar")</f>
        <v>Rymar</v>
      </c>
      <c r="G1471" s="6" t="str">
        <f>IFERROR(__xludf.DUMMYFUNCTION("""COMPUTED_VALUE"""),"01/01/2011")</f>
        <v>01/01/2011</v>
      </c>
      <c r="H1471" s="6" t="str">
        <f>IFERROR(__xludf.DUMMYFUNCTION("""COMPUTED_VALUE"""),"Self Identify")</f>
        <v>Self Identify</v>
      </c>
      <c r="I1471" s="6" t="str">
        <f>IFERROR(__xludf.DUMMYFUNCTION("""COMPUTED_VALUE"""),"Middle School")</f>
        <v>Middle School</v>
      </c>
      <c r="J1471" s="6" t="str">
        <f>IFERROR(__xludf.DUMMYFUNCTION("""COMPUTED_VALUE"""),"8")</f>
        <v>8</v>
      </c>
      <c r="K1471" s="6" t="str">
        <f>IFERROR(__xludf.DUMMYFUNCTION("""COMPUTED_VALUE"""),"kateryna.rymar@2hourlearning.com")</f>
        <v>kateryna.rymar@2hourlearning.com</v>
      </c>
      <c r="L1471" s="6" t="str">
        <f>IFERROR(__xludf.DUMMYFUNCTION("""COMPUTED_VALUE"""),"Learn and Earn Poland")</f>
        <v>Learn and Earn Poland</v>
      </c>
      <c r="M1471" s="6" t="str">
        <f>IFERROR(__xludf.DUMMYFUNCTION("""COMPUTED_VALUE"""),"Budapest ex-GTS")</f>
        <v>Budapest ex-GTS</v>
      </c>
      <c r="N1471" s="6" t="str">
        <f>IFERROR(__xludf.DUMMYFUNCTION("""COMPUTED_VALUE"""),"")</f>
        <v/>
      </c>
      <c r="O1471" s="87" t="str">
        <f>IFERROR(__xludf.DUMMYFUNCTION("""COMPUTED_VALUE"""),"https://drive.google.com/drive/folders/10T2cTQHqEJZqE-st6uFKPoI?usp=share_link")</f>
        <v>https://drive.google.com/drive/folders/10T2cTQHqEJZqE-st6uFKPoI?usp=share_link</v>
      </c>
      <c r="P1471" s="6" t="str">
        <f>IFERROR(__xludf.DUMMYFUNCTION("""COMPUTED_VALUE"""),"Kateryna Rymar")</f>
        <v>Kateryna Rymar</v>
      </c>
      <c r="Q1471" s="6" t="str">
        <f>IFERROR(__xludf.DUMMYFUNCTION("""COMPUTED_VALUE"""),"MS")</f>
        <v>MS</v>
      </c>
      <c r="R1471" s="6">
        <f>IFERROR(__xludf.DUMMYFUNCTION("""COMPUTED_VALUE"""),0.0)</f>
        <v>0</v>
      </c>
      <c r="S1471" s="6" t="str">
        <f>IFERROR(__xludf.DUMMYFUNCTION("""COMPUTED_VALUE""")," ")</f>
        <v> </v>
      </c>
      <c r="T1471" s="6" t="str">
        <f>IFERROR(__xludf.DUMMYFUNCTION("""COMPUTED_VALUE"""),"")</f>
        <v/>
      </c>
      <c r="U1471" s="6" t="str">
        <f>IFERROR(__xludf.DUMMYFUNCTION("""COMPUTED_VALUE"""),"8")</f>
        <v>8</v>
      </c>
      <c r="V1471" s="6" t="str">
        <f>IFERROR(__xludf.DUMMYFUNCTION("""COMPUTED_VALUE"""),"English")</f>
        <v>English</v>
      </c>
      <c r="W1471" s="6" t="str">
        <f>IFERROR(__xludf.DUMMYFUNCTION("""COMPUTED_VALUE"""),"[]")</f>
        <v>[]</v>
      </c>
      <c r="X1471" s="6" t="str">
        <f>IFERROR(__xludf.DUMMYFUNCTION("""COMPUTED_VALUE"""),"Enrolled")</f>
        <v>Enrolled</v>
      </c>
    </row>
    <row r="1472">
      <c r="A1472" s="6" t="str">
        <f>IFERROR(__xludf.DUMMYFUNCTION("""COMPUTED_VALUE"""),"009-1728")</f>
        <v>009-1728</v>
      </c>
      <c r="B1472" s="6" t="str">
        <f>IFERROR(__xludf.DUMMYFUNCTION("""COMPUTED_VALUE"""),"9")</f>
        <v>9</v>
      </c>
      <c r="C1472" s="6" t="str">
        <f>IFERROR(__xludf.DUMMYFUNCTION("""COMPUTED_VALUE"""),"1728")</f>
        <v>1728</v>
      </c>
      <c r="D1472" s="6" t="str">
        <f>IFERROR(__xludf.DUMMYFUNCTION("""COMPUTED_VALUE"""),"Mariia")</f>
        <v>Mariia</v>
      </c>
      <c r="E1472" s="6" t="str">
        <f>IFERROR(__xludf.DUMMYFUNCTION("""COMPUTED_VALUE"""),"")</f>
        <v/>
      </c>
      <c r="F1472" s="6" t="str">
        <f>IFERROR(__xludf.DUMMYFUNCTION("""COMPUTED_VALUE"""),"Rymar")</f>
        <v>Rymar</v>
      </c>
      <c r="G1472" s="6" t="str">
        <f>IFERROR(__xludf.DUMMYFUNCTION("""COMPUTED_VALUE"""),"01/01/2014")</f>
        <v>01/01/2014</v>
      </c>
      <c r="H1472" s="6" t="str">
        <f>IFERROR(__xludf.DUMMYFUNCTION("""COMPUTED_VALUE"""),"Self Identify")</f>
        <v>Self Identify</v>
      </c>
      <c r="I1472" s="6" t="str">
        <f>IFERROR(__xludf.DUMMYFUNCTION("""COMPUTED_VALUE"""),"Level 2")</f>
        <v>Level 2</v>
      </c>
      <c r="J1472" s="6" t="str">
        <f>IFERROR(__xludf.DUMMYFUNCTION("""COMPUTED_VALUE"""),"5")</f>
        <v>5</v>
      </c>
      <c r="K1472" s="6" t="str">
        <f>IFERROR(__xludf.DUMMYFUNCTION("""COMPUTED_VALUE"""),"mariia.rymar@2hourlearning.com")</f>
        <v>mariia.rymar@2hourlearning.com</v>
      </c>
      <c r="L1472" s="6" t="str">
        <f>IFERROR(__xludf.DUMMYFUNCTION("""COMPUTED_VALUE"""),"Learn and Earn Poland")</f>
        <v>Learn and Earn Poland</v>
      </c>
      <c r="M1472" s="6" t="str">
        <f>IFERROR(__xludf.DUMMYFUNCTION("""COMPUTED_VALUE"""),"Budapest ex-GTS")</f>
        <v>Budapest ex-GTS</v>
      </c>
      <c r="N1472" s="6" t="str">
        <f>IFERROR(__xludf.DUMMYFUNCTION("""COMPUTED_VALUE"""),"")</f>
        <v/>
      </c>
      <c r="O1472" s="87" t="str">
        <f>IFERROR(__xludf.DUMMYFUNCTION("""COMPUTED_VALUE"""),"https://drive.google.com/drive/folders/10T2cTQHqEJZqE-st6uFKPoI?usp=share_link")</f>
        <v>https://drive.google.com/drive/folders/10T2cTQHqEJZqE-st6uFKPoI?usp=share_link</v>
      </c>
      <c r="P1472" s="6" t="str">
        <f>IFERROR(__xludf.DUMMYFUNCTION("""COMPUTED_VALUE"""),"Mariia Rymar")</f>
        <v>Mariia Rymar</v>
      </c>
      <c r="Q1472" s="6" t="str">
        <f>IFERROR(__xludf.DUMMYFUNCTION("""COMPUTED_VALUE"""),"L2")</f>
        <v>L2</v>
      </c>
      <c r="R1472" s="6">
        <f>IFERROR(__xludf.DUMMYFUNCTION("""COMPUTED_VALUE"""),2.0)</f>
        <v>2</v>
      </c>
      <c r="S1472" s="6" t="str">
        <f>IFERROR(__xludf.DUMMYFUNCTION("""COMPUTED_VALUE""")," ")</f>
        <v> </v>
      </c>
      <c r="T1472" s="6" t="str">
        <f>IFERROR(__xludf.DUMMYFUNCTION("""COMPUTED_VALUE"""),"")</f>
        <v/>
      </c>
      <c r="U1472" s="6" t="str">
        <f>IFERROR(__xludf.DUMMYFUNCTION("""COMPUTED_VALUE"""),"5")</f>
        <v>5</v>
      </c>
      <c r="V1472" s="6" t="str">
        <f>IFERROR(__xludf.DUMMYFUNCTION("""COMPUTED_VALUE"""),"English")</f>
        <v>English</v>
      </c>
      <c r="W1472" s="6" t="str">
        <f>IFERROR(__xludf.DUMMYFUNCTION("""COMPUTED_VALUE"""),"[]")</f>
        <v>[]</v>
      </c>
      <c r="X1472" s="6" t="str">
        <f>IFERROR(__xludf.DUMMYFUNCTION("""COMPUTED_VALUE"""),"Enrolled")</f>
        <v>Enrolled</v>
      </c>
    </row>
    <row r="1473">
      <c r="A1473" s="6" t="str">
        <f>IFERROR(__xludf.DUMMYFUNCTION("""COMPUTED_VALUE"""),"009-1729")</f>
        <v>009-1729</v>
      </c>
      <c r="B1473" s="6" t="str">
        <f>IFERROR(__xludf.DUMMYFUNCTION("""COMPUTED_VALUE"""),"9")</f>
        <v>9</v>
      </c>
      <c r="C1473" s="6" t="str">
        <f>IFERROR(__xludf.DUMMYFUNCTION("""COMPUTED_VALUE"""),"1729")</f>
        <v>1729</v>
      </c>
      <c r="D1473" s="6" t="str">
        <f>IFERROR(__xludf.DUMMYFUNCTION("""COMPUTED_VALUE"""),"Benjamin")</f>
        <v>Benjamin</v>
      </c>
      <c r="E1473" s="6" t="str">
        <f>IFERROR(__xludf.DUMMYFUNCTION("""COMPUTED_VALUE"""),"")</f>
        <v/>
      </c>
      <c r="F1473" s="6" t="str">
        <f>IFERROR(__xludf.DUMMYFUNCTION("""COMPUTED_VALUE"""),"LOrinc")</f>
        <v>LOrinc</v>
      </c>
      <c r="G1473" s="6" t="str">
        <f>IFERROR(__xludf.DUMMYFUNCTION("""COMPUTED_VALUE"""),"01/01/2020")</f>
        <v>01/01/2020</v>
      </c>
      <c r="H1473" s="6" t="str">
        <f>IFERROR(__xludf.DUMMYFUNCTION("""COMPUTED_VALUE"""),"Self Identify")</f>
        <v>Self Identify</v>
      </c>
      <c r="I1473" s="6" t="str">
        <f>IFERROR(__xludf.DUMMYFUNCTION("""COMPUTED_VALUE"""),"Level 2")</f>
        <v>Level 2</v>
      </c>
      <c r="J1473" s="6" t="str">
        <f>IFERROR(__xludf.DUMMYFUNCTION("""COMPUTED_VALUE"""),"4")</f>
        <v>4</v>
      </c>
      <c r="K1473" s="6" t="str">
        <f>IFERROR(__xludf.DUMMYFUNCTION("""COMPUTED_VALUE"""),"benjamin.lorinc@2hourlearning.com")</f>
        <v>benjamin.lorinc@2hourlearning.com</v>
      </c>
      <c r="L1473" s="6" t="str">
        <f>IFERROR(__xludf.DUMMYFUNCTION("""COMPUTED_VALUE"""),"Learn and Earn Poland")</f>
        <v>Learn and Earn Poland</v>
      </c>
      <c r="M1473" s="6" t="str">
        <f>IFERROR(__xludf.DUMMYFUNCTION("""COMPUTED_VALUE"""),"Budapest Alpha")</f>
        <v>Budapest Alpha</v>
      </c>
      <c r="N1473" s="6" t="str">
        <f>IFERROR(__xludf.DUMMYFUNCTION("""COMPUTED_VALUE"""),"")</f>
        <v/>
      </c>
      <c r="O1473" s="87" t="str">
        <f>IFERROR(__xludf.DUMMYFUNCTION("""COMPUTED_VALUE"""),"https://drive.google.com/drive/folders/10T2cTQHqEJZqE-st6uFKPoI?usp=share_link")</f>
        <v>https://drive.google.com/drive/folders/10T2cTQHqEJZqE-st6uFKPoI?usp=share_link</v>
      </c>
      <c r="P1473" s="6" t="str">
        <f>IFERROR(__xludf.DUMMYFUNCTION("""COMPUTED_VALUE"""),"Benjamin LOrinc")</f>
        <v>Benjamin LOrinc</v>
      </c>
      <c r="Q1473" s="6" t="str">
        <f>IFERROR(__xludf.DUMMYFUNCTION("""COMPUTED_VALUE"""),"L2")</f>
        <v>L2</v>
      </c>
      <c r="R1473" s="6">
        <f>IFERROR(__xludf.DUMMYFUNCTION("""COMPUTED_VALUE"""),2.0)</f>
        <v>2</v>
      </c>
      <c r="S1473" s="6" t="str">
        <f>IFERROR(__xludf.DUMMYFUNCTION("""COMPUTED_VALUE""")," ")</f>
        <v> </v>
      </c>
      <c r="T1473" s="6" t="str">
        <f>IFERROR(__xludf.DUMMYFUNCTION("""COMPUTED_VALUE"""),"")</f>
        <v/>
      </c>
      <c r="U1473" s="6" t="str">
        <f>IFERROR(__xludf.DUMMYFUNCTION("""COMPUTED_VALUE"""),"4")</f>
        <v>4</v>
      </c>
      <c r="V1473" s="6" t="str">
        <f>IFERROR(__xludf.DUMMYFUNCTION("""COMPUTED_VALUE"""),"English")</f>
        <v>English</v>
      </c>
      <c r="W1473" s="6" t="str">
        <f>IFERROR(__xludf.DUMMYFUNCTION("""COMPUTED_VALUE"""),"[]")</f>
        <v>[]</v>
      </c>
      <c r="X1473" s="6" t="str">
        <f>IFERROR(__xludf.DUMMYFUNCTION("""COMPUTED_VALUE"""),"Enrolled")</f>
        <v>Enrolled</v>
      </c>
    </row>
    <row r="1474">
      <c r="A1474" s="6" t="str">
        <f>IFERROR(__xludf.DUMMYFUNCTION("""COMPUTED_VALUE"""),"009-1730")</f>
        <v>009-1730</v>
      </c>
      <c r="B1474" s="6" t="str">
        <f>IFERROR(__xludf.DUMMYFUNCTION("""COMPUTED_VALUE"""),"9")</f>
        <v>9</v>
      </c>
      <c r="C1474" s="6" t="str">
        <f>IFERROR(__xludf.DUMMYFUNCTION("""COMPUTED_VALUE"""),"1730")</f>
        <v>1730</v>
      </c>
      <c r="D1474" s="6" t="str">
        <f>IFERROR(__xludf.DUMMYFUNCTION("""COMPUTED_VALUE"""),"Jeremias")</f>
        <v>Jeremias</v>
      </c>
      <c r="E1474" s="6" t="str">
        <f>IFERROR(__xludf.DUMMYFUNCTION("""COMPUTED_VALUE"""),"")</f>
        <v/>
      </c>
      <c r="F1474" s="6" t="str">
        <f>IFERROR(__xludf.DUMMYFUNCTION("""COMPUTED_VALUE"""),"LOrinc")</f>
        <v>LOrinc</v>
      </c>
      <c r="G1474" s="6" t="str">
        <f>IFERROR(__xludf.DUMMYFUNCTION("""COMPUTED_VALUE"""),"01/01/2011")</f>
        <v>01/01/2011</v>
      </c>
      <c r="H1474" s="6" t="str">
        <f>IFERROR(__xludf.DUMMYFUNCTION("""COMPUTED_VALUE"""),"Self Identify")</f>
        <v>Self Identify</v>
      </c>
      <c r="I1474" s="6" t="str">
        <f>IFERROR(__xludf.DUMMYFUNCTION("""COMPUTED_VALUE"""),"Middle School")</f>
        <v>Middle School</v>
      </c>
      <c r="J1474" s="6" t="str">
        <f>IFERROR(__xludf.DUMMYFUNCTION("""COMPUTED_VALUE"""),"8")</f>
        <v>8</v>
      </c>
      <c r="K1474" s="6" t="str">
        <f>IFERROR(__xludf.DUMMYFUNCTION("""COMPUTED_VALUE"""),"jeremias.lorinc@2hourlearning.com")</f>
        <v>jeremias.lorinc@2hourlearning.com</v>
      </c>
      <c r="L1474" s="6" t="str">
        <f>IFERROR(__xludf.DUMMYFUNCTION("""COMPUTED_VALUE"""),"Learn and Earn Poland")</f>
        <v>Learn and Earn Poland</v>
      </c>
      <c r="M1474" s="6" t="str">
        <f>IFERROR(__xludf.DUMMYFUNCTION("""COMPUTED_VALUE"""),"Budapest Alpha")</f>
        <v>Budapest Alpha</v>
      </c>
      <c r="N1474" s="6" t="str">
        <f>IFERROR(__xludf.DUMMYFUNCTION("""COMPUTED_VALUE"""),"")</f>
        <v/>
      </c>
      <c r="O1474" s="87" t="str">
        <f>IFERROR(__xludf.DUMMYFUNCTION("""COMPUTED_VALUE"""),"https://drive.google.com/drive/folders/10T2cTQHqEJZqE-st6uFKPoI?usp=share_link")</f>
        <v>https://drive.google.com/drive/folders/10T2cTQHqEJZqE-st6uFKPoI?usp=share_link</v>
      </c>
      <c r="P1474" s="6" t="str">
        <f>IFERROR(__xludf.DUMMYFUNCTION("""COMPUTED_VALUE"""),"Jeremias LOrinc")</f>
        <v>Jeremias LOrinc</v>
      </c>
      <c r="Q1474" s="6" t="str">
        <f>IFERROR(__xludf.DUMMYFUNCTION("""COMPUTED_VALUE"""),"MS")</f>
        <v>MS</v>
      </c>
      <c r="R1474" s="6">
        <f>IFERROR(__xludf.DUMMYFUNCTION("""COMPUTED_VALUE"""),0.0)</f>
        <v>0</v>
      </c>
      <c r="S1474" s="6" t="str">
        <f>IFERROR(__xludf.DUMMYFUNCTION("""COMPUTED_VALUE""")," ")</f>
        <v> </v>
      </c>
      <c r="T1474" s="6" t="str">
        <f>IFERROR(__xludf.DUMMYFUNCTION("""COMPUTED_VALUE"""),"")</f>
        <v/>
      </c>
      <c r="U1474" s="6" t="str">
        <f>IFERROR(__xludf.DUMMYFUNCTION("""COMPUTED_VALUE"""),"8")</f>
        <v>8</v>
      </c>
      <c r="V1474" s="6" t="str">
        <f>IFERROR(__xludf.DUMMYFUNCTION("""COMPUTED_VALUE"""),"English")</f>
        <v>English</v>
      </c>
      <c r="W1474" s="6" t="str">
        <f>IFERROR(__xludf.DUMMYFUNCTION("""COMPUTED_VALUE"""),"[]")</f>
        <v>[]</v>
      </c>
      <c r="X1474" s="6" t="str">
        <f>IFERROR(__xludf.DUMMYFUNCTION("""COMPUTED_VALUE"""),"Enrolled")</f>
        <v>Enrolled</v>
      </c>
    </row>
    <row r="1475">
      <c r="A1475" s="6" t="str">
        <f>IFERROR(__xludf.DUMMYFUNCTION("""COMPUTED_VALUE"""),"009-1731")</f>
        <v>009-1731</v>
      </c>
      <c r="B1475" s="6" t="str">
        <f>IFERROR(__xludf.DUMMYFUNCTION("""COMPUTED_VALUE"""),"9")</f>
        <v>9</v>
      </c>
      <c r="C1475" s="6" t="str">
        <f>IFERROR(__xludf.DUMMYFUNCTION("""COMPUTED_VALUE"""),"1731")</f>
        <v>1731</v>
      </c>
      <c r="D1475" s="6" t="str">
        <f>IFERROR(__xludf.DUMMYFUNCTION("""COMPUTED_VALUE"""),"Svitlana")</f>
        <v>Svitlana</v>
      </c>
      <c r="E1475" s="6" t="str">
        <f>IFERROR(__xludf.DUMMYFUNCTION("""COMPUTED_VALUE"""),"")</f>
        <v/>
      </c>
      <c r="F1475" s="6" t="str">
        <f>IFERROR(__xludf.DUMMYFUNCTION("""COMPUTED_VALUE"""),"Shehuta")</f>
        <v>Shehuta</v>
      </c>
      <c r="G1475" s="6" t="str">
        <f>IFERROR(__xludf.DUMMYFUNCTION("""COMPUTED_VALUE"""),"01/01/2013")</f>
        <v>01/01/2013</v>
      </c>
      <c r="H1475" s="6" t="str">
        <f>IFERROR(__xludf.DUMMYFUNCTION("""COMPUTED_VALUE"""),"Self Identify")</f>
        <v>Self Identify</v>
      </c>
      <c r="I1475" s="6" t="str">
        <f>IFERROR(__xludf.DUMMYFUNCTION("""COMPUTED_VALUE"""),"Middle School")</f>
        <v>Middle School</v>
      </c>
      <c r="J1475" s="6" t="str">
        <f>IFERROR(__xludf.DUMMYFUNCTION("""COMPUTED_VALUE"""),"6")</f>
        <v>6</v>
      </c>
      <c r="K1475" s="6" t="str">
        <f>IFERROR(__xludf.DUMMYFUNCTION("""COMPUTED_VALUE"""),"svitlana.shehuta@2hourlearning.com")</f>
        <v>svitlana.shehuta@2hourlearning.com</v>
      </c>
      <c r="L1475" s="6" t="str">
        <f>IFERROR(__xludf.DUMMYFUNCTION("""COMPUTED_VALUE"""),"Learn and Earn Poland")</f>
        <v>Learn and Earn Poland</v>
      </c>
      <c r="M1475" s="6" t="str">
        <f>IFERROR(__xludf.DUMMYFUNCTION("""COMPUTED_VALUE"""),"Budapest Alpha")</f>
        <v>Budapest Alpha</v>
      </c>
      <c r="N1475" s="6" t="str">
        <f>IFERROR(__xludf.DUMMYFUNCTION("""COMPUTED_VALUE"""),"")</f>
        <v/>
      </c>
      <c r="O1475" s="87" t="str">
        <f>IFERROR(__xludf.DUMMYFUNCTION("""COMPUTED_VALUE"""),"https://drive.google.com/drive/folders/10T2cTQHqEJZqE-st6uFKPoI?usp=share_link")</f>
        <v>https://drive.google.com/drive/folders/10T2cTQHqEJZqE-st6uFKPoI?usp=share_link</v>
      </c>
      <c r="P1475" s="6" t="str">
        <f>IFERROR(__xludf.DUMMYFUNCTION("""COMPUTED_VALUE"""),"Svitlana Shehuta")</f>
        <v>Svitlana Shehuta</v>
      </c>
      <c r="Q1475" s="6" t="str">
        <f>IFERROR(__xludf.DUMMYFUNCTION("""COMPUTED_VALUE"""),"MS")</f>
        <v>MS</v>
      </c>
      <c r="R1475" s="6">
        <f>IFERROR(__xludf.DUMMYFUNCTION("""COMPUTED_VALUE"""),0.0)</f>
        <v>0</v>
      </c>
      <c r="S1475" s="6" t="str">
        <f>IFERROR(__xludf.DUMMYFUNCTION("""COMPUTED_VALUE""")," ")</f>
        <v> </v>
      </c>
      <c r="T1475" s="6" t="str">
        <f>IFERROR(__xludf.DUMMYFUNCTION("""COMPUTED_VALUE"""),"")</f>
        <v/>
      </c>
      <c r="U1475" s="6" t="str">
        <f>IFERROR(__xludf.DUMMYFUNCTION("""COMPUTED_VALUE"""),"6")</f>
        <v>6</v>
      </c>
      <c r="V1475" s="6" t="str">
        <f>IFERROR(__xludf.DUMMYFUNCTION("""COMPUTED_VALUE"""),"English")</f>
        <v>English</v>
      </c>
      <c r="W1475" s="6" t="str">
        <f>IFERROR(__xludf.DUMMYFUNCTION("""COMPUTED_VALUE"""),"[]")</f>
        <v>[]</v>
      </c>
      <c r="X1475" s="6" t="str">
        <f>IFERROR(__xludf.DUMMYFUNCTION("""COMPUTED_VALUE"""),"Enrolled")</f>
        <v>Enrolled</v>
      </c>
    </row>
    <row r="1476">
      <c r="A1476" s="6" t="str">
        <f>IFERROR(__xludf.DUMMYFUNCTION("""COMPUTED_VALUE"""),"009-1732")</f>
        <v>009-1732</v>
      </c>
      <c r="B1476" s="6" t="str">
        <f>IFERROR(__xludf.DUMMYFUNCTION("""COMPUTED_VALUE"""),"9")</f>
        <v>9</v>
      </c>
      <c r="C1476" s="6" t="str">
        <f>IFERROR(__xludf.DUMMYFUNCTION("""COMPUTED_VALUE"""),"1732")</f>
        <v>1732</v>
      </c>
      <c r="D1476" s="6" t="str">
        <f>IFERROR(__xludf.DUMMYFUNCTION("""COMPUTED_VALUE"""),"Ruslan")</f>
        <v>Ruslan</v>
      </c>
      <c r="E1476" s="6" t="str">
        <f>IFERROR(__xludf.DUMMYFUNCTION("""COMPUTED_VALUE"""),"")</f>
        <v/>
      </c>
      <c r="F1476" s="6" t="str">
        <f>IFERROR(__xludf.DUMMYFUNCTION("""COMPUTED_VALUE"""),"Tsilkovskyi")</f>
        <v>Tsilkovskyi</v>
      </c>
      <c r="G1476" s="6" t="str">
        <f>IFERROR(__xludf.DUMMYFUNCTION("""COMPUTED_VALUE"""),"01/01/2012")</f>
        <v>01/01/2012</v>
      </c>
      <c r="H1476" s="6" t="str">
        <f>IFERROR(__xludf.DUMMYFUNCTION("""COMPUTED_VALUE"""),"Self Identify")</f>
        <v>Self Identify</v>
      </c>
      <c r="I1476" s="6" t="str">
        <f>IFERROR(__xludf.DUMMYFUNCTION("""COMPUTED_VALUE"""),"Middle School")</f>
        <v>Middle School</v>
      </c>
      <c r="J1476" s="6" t="str">
        <f>IFERROR(__xludf.DUMMYFUNCTION("""COMPUTED_VALUE"""),"7")</f>
        <v>7</v>
      </c>
      <c r="K1476" s="6" t="str">
        <f>IFERROR(__xludf.DUMMYFUNCTION("""COMPUTED_VALUE"""),"ruslan.tsilkovskyi@2hourlearning.com")</f>
        <v>ruslan.tsilkovskyi@2hourlearning.com</v>
      </c>
      <c r="L1476" s="6" t="str">
        <f>IFERROR(__xludf.DUMMYFUNCTION("""COMPUTED_VALUE"""),"Learn and Earn Poland")</f>
        <v>Learn and Earn Poland</v>
      </c>
      <c r="M1476" s="6" t="str">
        <f>IFERROR(__xludf.DUMMYFUNCTION("""COMPUTED_VALUE"""),"Budapest Alpha")</f>
        <v>Budapest Alpha</v>
      </c>
      <c r="N1476" s="6" t="str">
        <f>IFERROR(__xludf.DUMMYFUNCTION("""COMPUTED_VALUE"""),"")</f>
        <v/>
      </c>
      <c r="O1476" s="87" t="str">
        <f>IFERROR(__xludf.DUMMYFUNCTION("""COMPUTED_VALUE"""),"https://drive.google.com/drive/folders/10T2cTQHqEJZqE-st6uFKPoI?usp=share_link")</f>
        <v>https://drive.google.com/drive/folders/10T2cTQHqEJZqE-st6uFKPoI?usp=share_link</v>
      </c>
      <c r="P1476" s="6" t="str">
        <f>IFERROR(__xludf.DUMMYFUNCTION("""COMPUTED_VALUE"""),"Ruslan Tsilkovskyi")</f>
        <v>Ruslan Tsilkovskyi</v>
      </c>
      <c r="Q1476" s="6" t="str">
        <f>IFERROR(__xludf.DUMMYFUNCTION("""COMPUTED_VALUE"""),"MS")</f>
        <v>MS</v>
      </c>
      <c r="R1476" s="6">
        <f>IFERROR(__xludf.DUMMYFUNCTION("""COMPUTED_VALUE"""),0.0)</f>
        <v>0</v>
      </c>
      <c r="S1476" s="6" t="str">
        <f>IFERROR(__xludf.DUMMYFUNCTION("""COMPUTED_VALUE""")," ")</f>
        <v> </v>
      </c>
      <c r="T1476" s="6" t="str">
        <f>IFERROR(__xludf.DUMMYFUNCTION("""COMPUTED_VALUE"""),"")</f>
        <v/>
      </c>
      <c r="U1476" s="6" t="str">
        <f>IFERROR(__xludf.DUMMYFUNCTION("""COMPUTED_VALUE"""),"7")</f>
        <v>7</v>
      </c>
      <c r="V1476" s="6" t="str">
        <f>IFERROR(__xludf.DUMMYFUNCTION("""COMPUTED_VALUE"""),"English")</f>
        <v>English</v>
      </c>
      <c r="W1476" s="6" t="str">
        <f>IFERROR(__xludf.DUMMYFUNCTION("""COMPUTED_VALUE"""),"[]")</f>
        <v>[]</v>
      </c>
      <c r="X1476" s="6" t="str">
        <f>IFERROR(__xludf.DUMMYFUNCTION("""COMPUTED_VALUE"""),"Enrolled")</f>
        <v>Enrolled</v>
      </c>
    </row>
    <row r="1477">
      <c r="A1477" s="6" t="str">
        <f>IFERROR(__xludf.DUMMYFUNCTION("""COMPUTED_VALUE"""),"009-1733")</f>
        <v>009-1733</v>
      </c>
      <c r="B1477" s="6" t="str">
        <f>IFERROR(__xludf.DUMMYFUNCTION("""COMPUTED_VALUE"""),"9")</f>
        <v>9</v>
      </c>
      <c r="C1477" s="6" t="str">
        <f>IFERROR(__xludf.DUMMYFUNCTION("""COMPUTED_VALUE"""),"1733")</f>
        <v>1733</v>
      </c>
      <c r="D1477" s="6" t="str">
        <f>IFERROR(__xludf.DUMMYFUNCTION("""COMPUTED_VALUE"""),"Darina")</f>
        <v>Darina</v>
      </c>
      <c r="E1477" s="6" t="str">
        <f>IFERROR(__xludf.DUMMYFUNCTION("""COMPUTED_VALUE"""),"")</f>
        <v/>
      </c>
      <c r="F1477" s="6" t="str">
        <f>IFERROR(__xludf.DUMMYFUNCTION("""COMPUTED_VALUE"""),"Levychkina")</f>
        <v>Levychkina</v>
      </c>
      <c r="G1477" s="6" t="str">
        <f>IFERROR(__xludf.DUMMYFUNCTION("""COMPUTED_VALUE"""),"01/01/2008")</f>
        <v>01/01/2008</v>
      </c>
      <c r="H1477" s="6" t="str">
        <f>IFERROR(__xludf.DUMMYFUNCTION("""COMPUTED_VALUE"""),"Self Identify")</f>
        <v>Self Identify</v>
      </c>
      <c r="I1477" s="6" t="str">
        <f>IFERROR(__xludf.DUMMYFUNCTION("""COMPUTED_VALUE"""),"High School")</f>
        <v>High School</v>
      </c>
      <c r="J1477" s="6" t="str">
        <f>IFERROR(__xludf.DUMMYFUNCTION("""COMPUTED_VALUE"""),"11")</f>
        <v>11</v>
      </c>
      <c r="K1477" s="6" t="str">
        <f>IFERROR(__xludf.DUMMYFUNCTION("""COMPUTED_VALUE"""),"darina.levychkina@2hourlearning.com")</f>
        <v>darina.levychkina@2hourlearning.com</v>
      </c>
      <c r="L1477" s="6" t="str">
        <f>IFERROR(__xludf.DUMMYFUNCTION("""COMPUTED_VALUE"""),"Learn and Earn Poland")</f>
        <v>Learn and Earn Poland</v>
      </c>
      <c r="M1477" s="6" t="str">
        <f>IFERROR(__xludf.DUMMYFUNCTION("""COMPUTED_VALUE"""),"Budapest Alpha")</f>
        <v>Budapest Alpha</v>
      </c>
      <c r="N1477" s="6" t="str">
        <f>IFERROR(__xludf.DUMMYFUNCTION("""COMPUTED_VALUE"""),"")</f>
        <v/>
      </c>
      <c r="O1477" s="87" t="str">
        <f>IFERROR(__xludf.DUMMYFUNCTION("""COMPUTED_VALUE"""),"https://drive.google.com/drive/folders/10T2cTQHqEJZqE-st6uFKPoI?usp=share_link")</f>
        <v>https://drive.google.com/drive/folders/10T2cTQHqEJZqE-st6uFKPoI?usp=share_link</v>
      </c>
      <c r="P1477" s="6" t="str">
        <f>IFERROR(__xludf.DUMMYFUNCTION("""COMPUTED_VALUE"""),"Darina Levychkina")</f>
        <v>Darina Levychkina</v>
      </c>
      <c r="Q1477" s="6" t="str">
        <f>IFERROR(__xludf.DUMMYFUNCTION("""COMPUTED_VALUE"""),"HS")</f>
        <v>HS</v>
      </c>
      <c r="R1477" s="6">
        <f>IFERROR(__xludf.DUMMYFUNCTION("""COMPUTED_VALUE"""),0.0)</f>
        <v>0</v>
      </c>
      <c r="S1477" s="6" t="str">
        <f>IFERROR(__xludf.DUMMYFUNCTION("""COMPUTED_VALUE""")," ")</f>
        <v> </v>
      </c>
      <c r="T1477" s="6" t="str">
        <f>IFERROR(__xludf.DUMMYFUNCTION("""COMPUTED_VALUE"""),"")</f>
        <v/>
      </c>
      <c r="U1477" s="6" t="str">
        <f>IFERROR(__xludf.DUMMYFUNCTION("""COMPUTED_VALUE"""),"11")</f>
        <v>11</v>
      </c>
      <c r="V1477" s="6" t="str">
        <f>IFERROR(__xludf.DUMMYFUNCTION("""COMPUTED_VALUE"""),"English")</f>
        <v>English</v>
      </c>
      <c r="W1477" s="6" t="str">
        <f>IFERROR(__xludf.DUMMYFUNCTION("""COMPUTED_VALUE"""),"[]")</f>
        <v>[]</v>
      </c>
      <c r="X1477" s="6" t="str">
        <f>IFERROR(__xludf.DUMMYFUNCTION("""COMPUTED_VALUE"""),"Enrolled")</f>
        <v>Enrolled</v>
      </c>
    </row>
    <row r="1478">
      <c r="A1478" s="6" t="str">
        <f>IFERROR(__xludf.DUMMYFUNCTION("""COMPUTED_VALUE"""),"009-1734")</f>
        <v>009-1734</v>
      </c>
      <c r="B1478" s="6" t="str">
        <f>IFERROR(__xludf.DUMMYFUNCTION("""COMPUTED_VALUE"""),"9")</f>
        <v>9</v>
      </c>
      <c r="C1478" s="6" t="str">
        <f>IFERROR(__xludf.DUMMYFUNCTION("""COMPUTED_VALUE"""),"1734")</f>
        <v>1734</v>
      </c>
      <c r="D1478" s="6" t="str">
        <f>IFERROR(__xludf.DUMMYFUNCTION("""COMPUTED_VALUE"""),"Nazar")</f>
        <v>Nazar</v>
      </c>
      <c r="E1478" s="6" t="str">
        <f>IFERROR(__xludf.DUMMYFUNCTION("""COMPUTED_VALUE"""),"")</f>
        <v/>
      </c>
      <c r="F1478" s="6" t="str">
        <f>IFERROR(__xludf.DUMMYFUNCTION("""COMPUTED_VALUE"""),"Proshukalo")</f>
        <v>Proshukalo</v>
      </c>
      <c r="G1478" s="6" t="str">
        <f>IFERROR(__xludf.DUMMYFUNCTION("""COMPUTED_VALUE"""),"01/01/2016")</f>
        <v>01/01/2016</v>
      </c>
      <c r="H1478" s="6" t="str">
        <f>IFERROR(__xludf.DUMMYFUNCTION("""COMPUTED_VALUE"""),"Self Identify")</f>
        <v>Self Identify</v>
      </c>
      <c r="I1478" s="6" t="str">
        <f>IFERROR(__xludf.DUMMYFUNCTION("""COMPUTED_VALUE"""),"Level 1")</f>
        <v>Level 1</v>
      </c>
      <c r="J1478" s="6" t="str">
        <f>IFERROR(__xludf.DUMMYFUNCTION("""COMPUTED_VALUE"""),"3")</f>
        <v>3</v>
      </c>
      <c r="K1478" s="6" t="str">
        <f>IFERROR(__xludf.DUMMYFUNCTION("""COMPUTED_VALUE"""),"proshukalo.nazar@2hourlearning.com")</f>
        <v>proshukalo.nazar@2hourlearning.com</v>
      </c>
      <c r="L1478" s="6" t="str">
        <f>IFERROR(__xludf.DUMMYFUNCTION("""COMPUTED_VALUE"""),"Learn and Earn Poland")</f>
        <v>Learn and Earn Poland</v>
      </c>
      <c r="M1478" s="6" t="str">
        <f>IFERROR(__xludf.DUMMYFUNCTION("""COMPUTED_VALUE"""),"Budapest Alpha")</f>
        <v>Budapest Alpha</v>
      </c>
      <c r="N1478" s="6" t="str">
        <f>IFERROR(__xludf.DUMMYFUNCTION("""COMPUTED_VALUE"""),"")</f>
        <v/>
      </c>
      <c r="O1478" s="87" t="str">
        <f>IFERROR(__xludf.DUMMYFUNCTION("""COMPUTED_VALUE"""),"https://drive.google.com/drive/folders/10T2cTQHqEJZqE-st6uFKPoI?usp=share_link")</f>
        <v>https://drive.google.com/drive/folders/10T2cTQHqEJZqE-st6uFKPoI?usp=share_link</v>
      </c>
      <c r="P1478" s="6" t="str">
        <f>IFERROR(__xludf.DUMMYFUNCTION("""COMPUTED_VALUE"""),"Nazar Proshukalo")</f>
        <v>Nazar Proshukalo</v>
      </c>
      <c r="Q1478" s="6" t="str">
        <f>IFERROR(__xludf.DUMMYFUNCTION("""COMPUTED_VALUE"""),"L1")</f>
        <v>L1</v>
      </c>
      <c r="R1478" s="6">
        <f>IFERROR(__xludf.DUMMYFUNCTION("""COMPUTED_VALUE"""),1.0)</f>
        <v>1</v>
      </c>
      <c r="S1478" s="6" t="str">
        <f>IFERROR(__xludf.DUMMYFUNCTION("""COMPUTED_VALUE""")," ")</f>
        <v> </v>
      </c>
      <c r="T1478" s="6" t="str">
        <f>IFERROR(__xludf.DUMMYFUNCTION("""COMPUTED_VALUE"""),"")</f>
        <v/>
      </c>
      <c r="U1478" s="6" t="str">
        <f>IFERROR(__xludf.DUMMYFUNCTION("""COMPUTED_VALUE"""),"3")</f>
        <v>3</v>
      </c>
      <c r="V1478" s="6" t="str">
        <f>IFERROR(__xludf.DUMMYFUNCTION("""COMPUTED_VALUE"""),"English")</f>
        <v>English</v>
      </c>
      <c r="W1478" s="6" t="str">
        <f>IFERROR(__xludf.DUMMYFUNCTION("""COMPUTED_VALUE"""),"[]")</f>
        <v>[]</v>
      </c>
      <c r="X1478" s="6" t="str">
        <f>IFERROR(__xludf.DUMMYFUNCTION("""COMPUTED_VALUE"""),"Enrolled")</f>
        <v>Enrolled</v>
      </c>
    </row>
    <row r="1479">
      <c r="A1479" s="6" t="str">
        <f>IFERROR(__xludf.DUMMYFUNCTION("""COMPUTED_VALUE"""),"009-1735")</f>
        <v>009-1735</v>
      </c>
      <c r="B1479" s="6" t="str">
        <f>IFERROR(__xludf.DUMMYFUNCTION("""COMPUTED_VALUE"""),"9")</f>
        <v>9</v>
      </c>
      <c r="C1479" s="6" t="str">
        <f>IFERROR(__xludf.DUMMYFUNCTION("""COMPUTED_VALUE"""),"1735")</f>
        <v>1735</v>
      </c>
      <c r="D1479" s="6" t="str">
        <f>IFERROR(__xludf.DUMMYFUNCTION("""COMPUTED_VALUE"""),"Ksenya")</f>
        <v>Ksenya</v>
      </c>
      <c r="E1479" s="6" t="str">
        <f>IFERROR(__xludf.DUMMYFUNCTION("""COMPUTED_VALUE"""),"")</f>
        <v/>
      </c>
      <c r="F1479" s="6" t="str">
        <f>IFERROR(__xludf.DUMMYFUNCTION("""COMPUTED_VALUE"""),"Ozerna")</f>
        <v>Ozerna</v>
      </c>
      <c r="G1479" s="6" t="str">
        <f>IFERROR(__xludf.DUMMYFUNCTION("""COMPUTED_VALUE"""),"01/01/2012")</f>
        <v>01/01/2012</v>
      </c>
      <c r="H1479" s="6" t="str">
        <f>IFERROR(__xludf.DUMMYFUNCTION("""COMPUTED_VALUE"""),"Self Identify")</f>
        <v>Self Identify</v>
      </c>
      <c r="I1479" s="6" t="str">
        <f>IFERROR(__xludf.DUMMYFUNCTION("""COMPUTED_VALUE"""),"Middle School")</f>
        <v>Middle School</v>
      </c>
      <c r="J1479" s="6" t="str">
        <f>IFERROR(__xludf.DUMMYFUNCTION("""COMPUTED_VALUE"""),"7")</f>
        <v>7</v>
      </c>
      <c r="K1479" s="6" t="str">
        <f>IFERROR(__xludf.DUMMYFUNCTION("""COMPUTED_VALUE"""),"ksenya.ozerna@2hourlearning.com")</f>
        <v>ksenya.ozerna@2hourlearning.com</v>
      </c>
      <c r="L1479" s="6" t="str">
        <f>IFERROR(__xludf.DUMMYFUNCTION("""COMPUTED_VALUE"""),"Learn and Earn Poland")</f>
        <v>Learn and Earn Poland</v>
      </c>
      <c r="M1479" s="6" t="str">
        <f>IFERROR(__xludf.DUMMYFUNCTION("""COMPUTED_VALUE"""),"Budapest Alpha")</f>
        <v>Budapest Alpha</v>
      </c>
      <c r="N1479" s="6" t="str">
        <f>IFERROR(__xludf.DUMMYFUNCTION("""COMPUTED_VALUE"""),"")</f>
        <v/>
      </c>
      <c r="O1479" s="87" t="str">
        <f>IFERROR(__xludf.DUMMYFUNCTION("""COMPUTED_VALUE"""),"https://drive.google.com/drive/folders/10T2cTQHqEJZqE-st6uFKPoI?usp=share_link")</f>
        <v>https://drive.google.com/drive/folders/10T2cTQHqEJZqE-st6uFKPoI?usp=share_link</v>
      </c>
      <c r="P1479" s="6" t="str">
        <f>IFERROR(__xludf.DUMMYFUNCTION("""COMPUTED_VALUE"""),"Ksenya Ozerna")</f>
        <v>Ksenya Ozerna</v>
      </c>
      <c r="Q1479" s="6" t="str">
        <f>IFERROR(__xludf.DUMMYFUNCTION("""COMPUTED_VALUE"""),"MS")</f>
        <v>MS</v>
      </c>
      <c r="R1479" s="6">
        <f>IFERROR(__xludf.DUMMYFUNCTION("""COMPUTED_VALUE"""),0.0)</f>
        <v>0</v>
      </c>
      <c r="S1479" s="6" t="str">
        <f>IFERROR(__xludf.DUMMYFUNCTION("""COMPUTED_VALUE""")," ")</f>
        <v> </v>
      </c>
      <c r="T1479" s="6" t="str">
        <f>IFERROR(__xludf.DUMMYFUNCTION("""COMPUTED_VALUE"""),"")</f>
        <v/>
      </c>
      <c r="U1479" s="6" t="str">
        <f>IFERROR(__xludf.DUMMYFUNCTION("""COMPUTED_VALUE"""),"7")</f>
        <v>7</v>
      </c>
      <c r="V1479" s="6" t="str">
        <f>IFERROR(__xludf.DUMMYFUNCTION("""COMPUTED_VALUE"""),"English")</f>
        <v>English</v>
      </c>
      <c r="W1479" s="6" t="str">
        <f>IFERROR(__xludf.DUMMYFUNCTION("""COMPUTED_VALUE"""),"[]")</f>
        <v>[]</v>
      </c>
      <c r="X1479" s="6" t="str">
        <f>IFERROR(__xludf.DUMMYFUNCTION("""COMPUTED_VALUE"""),"Enrolled")</f>
        <v>Enrolled</v>
      </c>
    </row>
    <row r="1480">
      <c r="A1480" s="6" t="str">
        <f>IFERROR(__xludf.DUMMYFUNCTION("""COMPUTED_VALUE"""),"009-1736")</f>
        <v>009-1736</v>
      </c>
      <c r="B1480" s="6" t="str">
        <f>IFERROR(__xludf.DUMMYFUNCTION("""COMPUTED_VALUE"""),"9")</f>
        <v>9</v>
      </c>
      <c r="C1480" s="6" t="str">
        <f>IFERROR(__xludf.DUMMYFUNCTION("""COMPUTED_VALUE"""),"1736")</f>
        <v>1736</v>
      </c>
      <c r="D1480" s="6" t="str">
        <f>IFERROR(__xludf.DUMMYFUNCTION("""COMPUTED_VALUE"""),"Yevhen")</f>
        <v>Yevhen</v>
      </c>
      <c r="E1480" s="6" t="str">
        <f>IFERROR(__xludf.DUMMYFUNCTION("""COMPUTED_VALUE"""),"")</f>
        <v/>
      </c>
      <c r="F1480" s="6" t="str">
        <f>IFERROR(__xludf.DUMMYFUNCTION("""COMPUTED_VALUE"""),"Ozernyi")</f>
        <v>Ozernyi</v>
      </c>
      <c r="G1480" s="6" t="str">
        <f>IFERROR(__xludf.DUMMYFUNCTION("""COMPUTED_VALUE"""),"01/01/2014")</f>
        <v>01/01/2014</v>
      </c>
      <c r="H1480" s="6" t="str">
        <f>IFERROR(__xludf.DUMMYFUNCTION("""COMPUTED_VALUE"""),"Self Identify")</f>
        <v>Self Identify</v>
      </c>
      <c r="I1480" s="6" t="str">
        <f>IFERROR(__xludf.DUMMYFUNCTION("""COMPUTED_VALUE"""),"Level 2")</f>
        <v>Level 2</v>
      </c>
      <c r="J1480" s="6" t="str">
        <f>IFERROR(__xludf.DUMMYFUNCTION("""COMPUTED_VALUE"""),"5")</f>
        <v>5</v>
      </c>
      <c r="K1480" s="6" t="str">
        <f>IFERROR(__xludf.DUMMYFUNCTION("""COMPUTED_VALUE"""),"yevhen.ozernyi@2hourlearning.com")</f>
        <v>yevhen.ozernyi@2hourlearning.com</v>
      </c>
      <c r="L1480" s="6" t="str">
        <f>IFERROR(__xludf.DUMMYFUNCTION("""COMPUTED_VALUE"""),"Learn and Earn Poland")</f>
        <v>Learn and Earn Poland</v>
      </c>
      <c r="M1480" s="6" t="str">
        <f>IFERROR(__xludf.DUMMYFUNCTION("""COMPUTED_VALUE"""),"Budapest Alpha")</f>
        <v>Budapest Alpha</v>
      </c>
      <c r="N1480" s="6" t="str">
        <f>IFERROR(__xludf.DUMMYFUNCTION("""COMPUTED_VALUE"""),"")</f>
        <v/>
      </c>
      <c r="O1480" s="87" t="str">
        <f>IFERROR(__xludf.DUMMYFUNCTION("""COMPUTED_VALUE"""),"https://drive.google.com/drive/folders/10T2cTQHqEJZqE-st6uFKPoI?usp=share_link")</f>
        <v>https://drive.google.com/drive/folders/10T2cTQHqEJZqE-st6uFKPoI?usp=share_link</v>
      </c>
      <c r="P1480" s="6" t="str">
        <f>IFERROR(__xludf.DUMMYFUNCTION("""COMPUTED_VALUE"""),"Yevhen Ozernyi")</f>
        <v>Yevhen Ozernyi</v>
      </c>
      <c r="Q1480" s="6" t="str">
        <f>IFERROR(__xludf.DUMMYFUNCTION("""COMPUTED_VALUE"""),"L2")</f>
        <v>L2</v>
      </c>
      <c r="R1480" s="6">
        <f>IFERROR(__xludf.DUMMYFUNCTION("""COMPUTED_VALUE"""),2.0)</f>
        <v>2</v>
      </c>
      <c r="S1480" s="6" t="str">
        <f>IFERROR(__xludf.DUMMYFUNCTION("""COMPUTED_VALUE""")," ")</f>
        <v> </v>
      </c>
      <c r="T1480" s="6" t="str">
        <f>IFERROR(__xludf.DUMMYFUNCTION("""COMPUTED_VALUE"""),"")</f>
        <v/>
      </c>
      <c r="U1480" s="6" t="str">
        <f>IFERROR(__xludf.DUMMYFUNCTION("""COMPUTED_VALUE"""),"5")</f>
        <v>5</v>
      </c>
      <c r="V1480" s="6" t="str">
        <f>IFERROR(__xludf.DUMMYFUNCTION("""COMPUTED_VALUE"""),"English")</f>
        <v>English</v>
      </c>
      <c r="W1480" s="6" t="str">
        <f>IFERROR(__xludf.DUMMYFUNCTION("""COMPUTED_VALUE"""),"[]")</f>
        <v>[]</v>
      </c>
      <c r="X1480" s="6" t="str">
        <f>IFERROR(__xludf.DUMMYFUNCTION("""COMPUTED_VALUE"""),"Enrolled")</f>
        <v>Enrolled</v>
      </c>
    </row>
    <row r="1481">
      <c r="A1481" s="6" t="str">
        <f>IFERROR(__xludf.DUMMYFUNCTION("""COMPUTED_VALUE"""),"009-1737")</f>
        <v>009-1737</v>
      </c>
      <c r="B1481" s="6" t="str">
        <f>IFERROR(__xludf.DUMMYFUNCTION("""COMPUTED_VALUE"""),"9")</f>
        <v>9</v>
      </c>
      <c r="C1481" s="6" t="str">
        <f>IFERROR(__xludf.DUMMYFUNCTION("""COMPUTED_VALUE"""),"1737")</f>
        <v>1737</v>
      </c>
      <c r="D1481" s="6" t="str">
        <f>IFERROR(__xludf.DUMMYFUNCTION("""COMPUTED_VALUE"""),"David")</f>
        <v>David</v>
      </c>
      <c r="E1481" s="6" t="str">
        <f>IFERROR(__xludf.DUMMYFUNCTION("""COMPUTED_VALUE"""),"")</f>
        <v/>
      </c>
      <c r="F1481" s="6" t="str">
        <f>IFERROR(__xludf.DUMMYFUNCTION("""COMPUTED_VALUE"""),"Ozernyi")</f>
        <v>Ozernyi</v>
      </c>
      <c r="G1481" s="6" t="str">
        <f>IFERROR(__xludf.DUMMYFUNCTION("""COMPUTED_VALUE"""),"01/01/2015")</f>
        <v>01/01/2015</v>
      </c>
      <c r="H1481" s="6" t="str">
        <f>IFERROR(__xludf.DUMMYFUNCTION("""COMPUTED_VALUE"""),"Self Identify")</f>
        <v>Self Identify</v>
      </c>
      <c r="I1481" s="6" t="str">
        <f>IFERROR(__xludf.DUMMYFUNCTION("""COMPUTED_VALUE"""),"Level 2")</f>
        <v>Level 2</v>
      </c>
      <c r="J1481" s="6" t="str">
        <f>IFERROR(__xludf.DUMMYFUNCTION("""COMPUTED_VALUE"""),"4")</f>
        <v>4</v>
      </c>
      <c r="K1481" s="6" t="str">
        <f>IFERROR(__xludf.DUMMYFUNCTION("""COMPUTED_VALUE"""),"david.ozernyi@2hourlearning.com")</f>
        <v>david.ozernyi@2hourlearning.com</v>
      </c>
      <c r="L1481" s="6" t="str">
        <f>IFERROR(__xludf.DUMMYFUNCTION("""COMPUTED_VALUE"""),"Learn and Earn Poland")</f>
        <v>Learn and Earn Poland</v>
      </c>
      <c r="M1481" s="6" t="str">
        <f>IFERROR(__xludf.DUMMYFUNCTION("""COMPUTED_VALUE"""),"Budapest Alpha")</f>
        <v>Budapest Alpha</v>
      </c>
      <c r="N1481" s="6" t="str">
        <f>IFERROR(__xludf.DUMMYFUNCTION("""COMPUTED_VALUE"""),"")</f>
        <v/>
      </c>
      <c r="O1481" s="87" t="str">
        <f>IFERROR(__xludf.DUMMYFUNCTION("""COMPUTED_VALUE"""),"https://drive.google.com/drive/folders/10T2cTQHqEJZqE-st6uFKPoI?usp=share_link")</f>
        <v>https://drive.google.com/drive/folders/10T2cTQHqEJZqE-st6uFKPoI?usp=share_link</v>
      </c>
      <c r="P1481" s="6" t="str">
        <f>IFERROR(__xludf.DUMMYFUNCTION("""COMPUTED_VALUE"""),"David Ozernyi")</f>
        <v>David Ozernyi</v>
      </c>
      <c r="Q1481" s="6" t="str">
        <f>IFERROR(__xludf.DUMMYFUNCTION("""COMPUTED_VALUE"""),"L2")</f>
        <v>L2</v>
      </c>
      <c r="R1481" s="6">
        <f>IFERROR(__xludf.DUMMYFUNCTION("""COMPUTED_VALUE"""),2.0)</f>
        <v>2</v>
      </c>
      <c r="S1481" s="6" t="str">
        <f>IFERROR(__xludf.DUMMYFUNCTION("""COMPUTED_VALUE""")," ")</f>
        <v> </v>
      </c>
      <c r="T1481" s="6" t="str">
        <f>IFERROR(__xludf.DUMMYFUNCTION("""COMPUTED_VALUE"""),"")</f>
        <v/>
      </c>
      <c r="U1481" s="6" t="str">
        <f>IFERROR(__xludf.DUMMYFUNCTION("""COMPUTED_VALUE"""),"4")</f>
        <v>4</v>
      </c>
      <c r="V1481" s="6" t="str">
        <f>IFERROR(__xludf.DUMMYFUNCTION("""COMPUTED_VALUE"""),"English")</f>
        <v>English</v>
      </c>
      <c r="W1481" s="6" t="str">
        <f>IFERROR(__xludf.DUMMYFUNCTION("""COMPUTED_VALUE"""),"[]")</f>
        <v>[]</v>
      </c>
      <c r="X1481" s="6" t="str">
        <f>IFERROR(__xludf.DUMMYFUNCTION("""COMPUTED_VALUE"""),"Enrolled")</f>
        <v>Enrolled</v>
      </c>
    </row>
    <row r="1482">
      <c r="A1482" s="6" t="str">
        <f>IFERROR(__xludf.DUMMYFUNCTION("""COMPUTED_VALUE"""),"009-1738")</f>
        <v>009-1738</v>
      </c>
      <c r="B1482" s="6" t="str">
        <f>IFERROR(__xludf.DUMMYFUNCTION("""COMPUTED_VALUE"""),"9")</f>
        <v>9</v>
      </c>
      <c r="C1482" s="6" t="str">
        <f>IFERROR(__xludf.DUMMYFUNCTION("""COMPUTED_VALUE"""),"1738")</f>
        <v>1738</v>
      </c>
      <c r="D1482" s="6" t="str">
        <f>IFERROR(__xludf.DUMMYFUNCTION("""COMPUTED_VALUE"""),"Danyil")</f>
        <v>Danyil</v>
      </c>
      <c r="E1482" s="6" t="str">
        <f>IFERROR(__xludf.DUMMYFUNCTION("""COMPUTED_VALUE"""),"")</f>
        <v/>
      </c>
      <c r="F1482" s="6" t="str">
        <f>IFERROR(__xludf.DUMMYFUNCTION("""COMPUTED_VALUE"""),"Ozernyi")</f>
        <v>Ozernyi</v>
      </c>
      <c r="G1482" s="6" t="str">
        <f>IFERROR(__xludf.DUMMYFUNCTION("""COMPUTED_VALUE"""),"01/01/2015")</f>
        <v>01/01/2015</v>
      </c>
      <c r="H1482" s="6" t="str">
        <f>IFERROR(__xludf.DUMMYFUNCTION("""COMPUTED_VALUE"""),"Self Identify")</f>
        <v>Self Identify</v>
      </c>
      <c r="I1482" s="6" t="str">
        <f>IFERROR(__xludf.DUMMYFUNCTION("""COMPUTED_VALUE"""),"Level 2")</f>
        <v>Level 2</v>
      </c>
      <c r="J1482" s="6" t="str">
        <f>IFERROR(__xludf.DUMMYFUNCTION("""COMPUTED_VALUE"""),"4")</f>
        <v>4</v>
      </c>
      <c r="K1482" s="6" t="str">
        <f>IFERROR(__xludf.DUMMYFUNCTION("""COMPUTED_VALUE"""),"danyil.ozernyi@2hourlearning.com")</f>
        <v>danyil.ozernyi@2hourlearning.com</v>
      </c>
      <c r="L1482" s="6" t="str">
        <f>IFERROR(__xludf.DUMMYFUNCTION("""COMPUTED_VALUE"""),"Learn and Earn Poland")</f>
        <v>Learn and Earn Poland</v>
      </c>
      <c r="M1482" s="6" t="str">
        <f>IFERROR(__xludf.DUMMYFUNCTION("""COMPUTED_VALUE"""),"Budapest Alpha")</f>
        <v>Budapest Alpha</v>
      </c>
      <c r="N1482" s="6" t="str">
        <f>IFERROR(__xludf.DUMMYFUNCTION("""COMPUTED_VALUE"""),"")</f>
        <v/>
      </c>
      <c r="O1482" s="87" t="str">
        <f>IFERROR(__xludf.DUMMYFUNCTION("""COMPUTED_VALUE"""),"https://drive.google.com/drive/folders/10T2cTQHqEJZqE-st6uFKPoI?usp=share_link")</f>
        <v>https://drive.google.com/drive/folders/10T2cTQHqEJZqE-st6uFKPoI?usp=share_link</v>
      </c>
      <c r="P1482" s="6" t="str">
        <f>IFERROR(__xludf.DUMMYFUNCTION("""COMPUTED_VALUE"""),"Danyil Ozernyi")</f>
        <v>Danyil Ozernyi</v>
      </c>
      <c r="Q1482" s="6" t="str">
        <f>IFERROR(__xludf.DUMMYFUNCTION("""COMPUTED_VALUE"""),"L2")</f>
        <v>L2</v>
      </c>
      <c r="R1482" s="6">
        <f>IFERROR(__xludf.DUMMYFUNCTION("""COMPUTED_VALUE"""),2.0)</f>
        <v>2</v>
      </c>
      <c r="S1482" s="6" t="str">
        <f>IFERROR(__xludf.DUMMYFUNCTION("""COMPUTED_VALUE""")," ")</f>
        <v> </v>
      </c>
      <c r="T1482" s="6" t="str">
        <f>IFERROR(__xludf.DUMMYFUNCTION("""COMPUTED_VALUE"""),"")</f>
        <v/>
      </c>
      <c r="U1482" s="6" t="str">
        <f>IFERROR(__xludf.DUMMYFUNCTION("""COMPUTED_VALUE"""),"4")</f>
        <v>4</v>
      </c>
      <c r="V1482" s="6" t="str">
        <f>IFERROR(__xludf.DUMMYFUNCTION("""COMPUTED_VALUE"""),"English")</f>
        <v>English</v>
      </c>
      <c r="W1482" s="6" t="str">
        <f>IFERROR(__xludf.DUMMYFUNCTION("""COMPUTED_VALUE"""),"[]")</f>
        <v>[]</v>
      </c>
      <c r="X1482" s="6" t="str">
        <f>IFERROR(__xludf.DUMMYFUNCTION("""COMPUTED_VALUE"""),"Enrolled")</f>
        <v>Enrolled</v>
      </c>
    </row>
    <row r="1483">
      <c r="A1483" s="6" t="str">
        <f>IFERROR(__xludf.DUMMYFUNCTION("""COMPUTED_VALUE"""),"009-1739")</f>
        <v>009-1739</v>
      </c>
      <c r="B1483" s="6" t="str">
        <f>IFERROR(__xludf.DUMMYFUNCTION("""COMPUTED_VALUE"""),"9")</f>
        <v>9</v>
      </c>
      <c r="C1483" s="6" t="str">
        <f>IFERROR(__xludf.DUMMYFUNCTION("""COMPUTED_VALUE"""),"1739")</f>
        <v>1739</v>
      </c>
      <c r="D1483" s="6" t="str">
        <f>IFERROR(__xludf.DUMMYFUNCTION("""COMPUTED_VALUE"""),"Volodymyr")</f>
        <v>Volodymyr</v>
      </c>
      <c r="E1483" s="6" t="str">
        <f>IFERROR(__xludf.DUMMYFUNCTION("""COMPUTED_VALUE"""),"")</f>
        <v/>
      </c>
      <c r="F1483" s="6" t="str">
        <f>IFERROR(__xludf.DUMMYFUNCTION("""COMPUTED_VALUE"""),"Madzygon")</f>
        <v>Madzygon</v>
      </c>
      <c r="G1483" s="6" t="str">
        <f>IFERROR(__xludf.DUMMYFUNCTION("""COMPUTED_VALUE"""),"01/01/2014")</f>
        <v>01/01/2014</v>
      </c>
      <c r="H1483" s="6" t="str">
        <f>IFERROR(__xludf.DUMMYFUNCTION("""COMPUTED_VALUE"""),"Self Identify")</f>
        <v>Self Identify</v>
      </c>
      <c r="I1483" s="6" t="str">
        <f>IFERROR(__xludf.DUMMYFUNCTION("""COMPUTED_VALUE"""),"Level 2")</f>
        <v>Level 2</v>
      </c>
      <c r="J1483" s="6" t="str">
        <f>IFERROR(__xludf.DUMMYFUNCTION("""COMPUTED_VALUE"""),"5")</f>
        <v>5</v>
      </c>
      <c r="K1483" s="6" t="str">
        <f>IFERROR(__xludf.DUMMYFUNCTION("""COMPUTED_VALUE"""),"volodymyr.madzygon@2hourlearning.com")</f>
        <v>volodymyr.madzygon@2hourlearning.com</v>
      </c>
      <c r="L1483" s="6" t="str">
        <f>IFERROR(__xludf.DUMMYFUNCTION("""COMPUTED_VALUE"""),"Learn and Earn Poland")</f>
        <v>Learn and Earn Poland</v>
      </c>
      <c r="M1483" s="6" t="str">
        <f>IFERROR(__xludf.DUMMYFUNCTION("""COMPUTED_VALUE"""),"Budapest ex-GTS")</f>
        <v>Budapest ex-GTS</v>
      </c>
      <c r="N1483" s="6" t="str">
        <f>IFERROR(__xludf.DUMMYFUNCTION("""COMPUTED_VALUE"""),"")</f>
        <v/>
      </c>
      <c r="O1483" s="87" t="str">
        <f>IFERROR(__xludf.DUMMYFUNCTION("""COMPUTED_VALUE"""),"https://drive.google.com/drive/folders/10T2cTQHqEJZqE-st6uFKPoI?usp=share_link")</f>
        <v>https://drive.google.com/drive/folders/10T2cTQHqEJZqE-st6uFKPoI?usp=share_link</v>
      </c>
      <c r="P1483" s="6" t="str">
        <f>IFERROR(__xludf.DUMMYFUNCTION("""COMPUTED_VALUE"""),"Volodymyr Madzygon")</f>
        <v>Volodymyr Madzygon</v>
      </c>
      <c r="Q1483" s="6" t="str">
        <f>IFERROR(__xludf.DUMMYFUNCTION("""COMPUTED_VALUE"""),"L2")</f>
        <v>L2</v>
      </c>
      <c r="R1483" s="6">
        <f>IFERROR(__xludf.DUMMYFUNCTION("""COMPUTED_VALUE"""),2.0)</f>
        <v>2</v>
      </c>
      <c r="S1483" s="6" t="str">
        <f>IFERROR(__xludf.DUMMYFUNCTION("""COMPUTED_VALUE""")," ")</f>
        <v> </v>
      </c>
      <c r="T1483" s="6" t="str">
        <f>IFERROR(__xludf.DUMMYFUNCTION("""COMPUTED_VALUE"""),"")</f>
        <v/>
      </c>
      <c r="U1483" s="6" t="str">
        <f>IFERROR(__xludf.DUMMYFUNCTION("""COMPUTED_VALUE"""),"5")</f>
        <v>5</v>
      </c>
      <c r="V1483" s="6" t="str">
        <f>IFERROR(__xludf.DUMMYFUNCTION("""COMPUTED_VALUE"""),"English")</f>
        <v>English</v>
      </c>
      <c r="W1483" s="6" t="str">
        <f>IFERROR(__xludf.DUMMYFUNCTION("""COMPUTED_VALUE"""),"[]")</f>
        <v>[]</v>
      </c>
      <c r="X1483" s="6" t="str">
        <f>IFERROR(__xludf.DUMMYFUNCTION("""COMPUTED_VALUE"""),"Enrolled")</f>
        <v>Enrolled</v>
      </c>
    </row>
    <row r="1484">
      <c r="A1484" s="6" t="str">
        <f>IFERROR(__xludf.DUMMYFUNCTION("""COMPUTED_VALUE"""),"009-1740")</f>
        <v>009-1740</v>
      </c>
      <c r="B1484" s="6" t="str">
        <f>IFERROR(__xludf.DUMMYFUNCTION("""COMPUTED_VALUE"""),"9")</f>
        <v>9</v>
      </c>
      <c r="C1484" s="6" t="str">
        <f>IFERROR(__xludf.DUMMYFUNCTION("""COMPUTED_VALUE"""),"1740")</f>
        <v>1740</v>
      </c>
      <c r="D1484" s="6" t="str">
        <f>IFERROR(__xludf.DUMMYFUNCTION("""COMPUTED_VALUE"""),"Artem")</f>
        <v>Artem</v>
      </c>
      <c r="E1484" s="6" t="str">
        <f>IFERROR(__xludf.DUMMYFUNCTION("""COMPUTED_VALUE"""),"")</f>
        <v/>
      </c>
      <c r="F1484" s="6" t="str">
        <f>IFERROR(__xludf.DUMMYFUNCTION("""COMPUTED_VALUE"""),"Siyanov")</f>
        <v>Siyanov</v>
      </c>
      <c r="G1484" s="6" t="str">
        <f>IFERROR(__xludf.DUMMYFUNCTION("""COMPUTED_VALUE"""),"01/01/2012")</f>
        <v>01/01/2012</v>
      </c>
      <c r="H1484" s="6" t="str">
        <f>IFERROR(__xludf.DUMMYFUNCTION("""COMPUTED_VALUE"""),"Self Identify")</f>
        <v>Self Identify</v>
      </c>
      <c r="I1484" s="6" t="str">
        <f>IFERROR(__xludf.DUMMYFUNCTION("""COMPUTED_VALUE"""),"Middle School")</f>
        <v>Middle School</v>
      </c>
      <c r="J1484" s="6" t="str">
        <f>IFERROR(__xludf.DUMMYFUNCTION("""COMPUTED_VALUE"""),"7")</f>
        <v>7</v>
      </c>
      <c r="K1484" s="6" t="str">
        <f>IFERROR(__xludf.DUMMYFUNCTION("""COMPUTED_VALUE"""),"artem.siyanov@2hourlearning.com")</f>
        <v>artem.siyanov@2hourlearning.com</v>
      </c>
      <c r="L1484" s="6" t="str">
        <f>IFERROR(__xludf.DUMMYFUNCTION("""COMPUTED_VALUE"""),"Learn and Earn Poland")</f>
        <v>Learn and Earn Poland</v>
      </c>
      <c r="M1484" s="6" t="str">
        <f>IFERROR(__xludf.DUMMYFUNCTION("""COMPUTED_VALUE"""),"Budapest Alpha")</f>
        <v>Budapest Alpha</v>
      </c>
      <c r="N1484" s="6" t="str">
        <f>IFERROR(__xludf.DUMMYFUNCTION("""COMPUTED_VALUE"""),"")</f>
        <v/>
      </c>
      <c r="O1484" s="87" t="str">
        <f>IFERROR(__xludf.DUMMYFUNCTION("""COMPUTED_VALUE"""),"https://drive.google.com/drive/folders/10T2cTQHqEJZqE-st6uFKPoI?usp=share_link")</f>
        <v>https://drive.google.com/drive/folders/10T2cTQHqEJZqE-st6uFKPoI?usp=share_link</v>
      </c>
      <c r="P1484" s="6" t="str">
        <f>IFERROR(__xludf.DUMMYFUNCTION("""COMPUTED_VALUE"""),"Artem Siyanov")</f>
        <v>Artem Siyanov</v>
      </c>
      <c r="Q1484" s="6" t="str">
        <f>IFERROR(__xludf.DUMMYFUNCTION("""COMPUTED_VALUE"""),"MS")</f>
        <v>MS</v>
      </c>
      <c r="R1484" s="6">
        <f>IFERROR(__xludf.DUMMYFUNCTION("""COMPUTED_VALUE"""),0.0)</f>
        <v>0</v>
      </c>
      <c r="S1484" s="6" t="str">
        <f>IFERROR(__xludf.DUMMYFUNCTION("""COMPUTED_VALUE""")," ")</f>
        <v> </v>
      </c>
      <c r="T1484" s="6" t="str">
        <f>IFERROR(__xludf.DUMMYFUNCTION("""COMPUTED_VALUE"""),"")</f>
        <v/>
      </c>
      <c r="U1484" s="6" t="str">
        <f>IFERROR(__xludf.DUMMYFUNCTION("""COMPUTED_VALUE"""),"7")</f>
        <v>7</v>
      </c>
      <c r="V1484" s="6" t="str">
        <f>IFERROR(__xludf.DUMMYFUNCTION("""COMPUTED_VALUE"""),"English")</f>
        <v>English</v>
      </c>
      <c r="W1484" s="6" t="str">
        <f>IFERROR(__xludf.DUMMYFUNCTION("""COMPUTED_VALUE"""),"[]")</f>
        <v>[]</v>
      </c>
      <c r="X1484" s="6" t="str">
        <f>IFERROR(__xludf.DUMMYFUNCTION("""COMPUTED_VALUE"""),"Enrolled")</f>
        <v>Enrolled</v>
      </c>
    </row>
    <row r="1485">
      <c r="A1485" s="6" t="str">
        <f>IFERROR(__xludf.DUMMYFUNCTION("""COMPUTED_VALUE"""),"009-1741")</f>
        <v>009-1741</v>
      </c>
      <c r="B1485" s="6" t="str">
        <f>IFERROR(__xludf.DUMMYFUNCTION("""COMPUTED_VALUE"""),"9")</f>
        <v>9</v>
      </c>
      <c r="C1485" s="6" t="str">
        <f>IFERROR(__xludf.DUMMYFUNCTION("""COMPUTED_VALUE"""),"1741")</f>
        <v>1741</v>
      </c>
      <c r="D1485" s="6" t="str">
        <f>IFERROR(__xludf.DUMMYFUNCTION("""COMPUTED_VALUE"""),"Attila-Alex")</f>
        <v>Attila-Alex</v>
      </c>
      <c r="E1485" s="6" t="str">
        <f>IFERROR(__xludf.DUMMYFUNCTION("""COMPUTED_VALUE"""),"")</f>
        <v/>
      </c>
      <c r="F1485" s="6" t="str">
        <f>IFERROR(__xludf.DUMMYFUNCTION("""COMPUTED_VALUE"""),"Shyuti")</f>
        <v>Shyuti</v>
      </c>
      <c r="G1485" s="6" t="str">
        <f>IFERROR(__xludf.DUMMYFUNCTION("""COMPUTED_VALUE"""),"01/01/2010")</f>
        <v>01/01/2010</v>
      </c>
      <c r="H1485" s="6" t="str">
        <f>IFERROR(__xludf.DUMMYFUNCTION("""COMPUTED_VALUE"""),"Self Identify")</f>
        <v>Self Identify</v>
      </c>
      <c r="I1485" s="6" t="str">
        <f>IFERROR(__xludf.DUMMYFUNCTION("""COMPUTED_VALUE"""),"High School")</f>
        <v>High School</v>
      </c>
      <c r="J1485" s="6" t="str">
        <f>IFERROR(__xludf.DUMMYFUNCTION("""COMPUTED_VALUE"""),"9")</f>
        <v>9</v>
      </c>
      <c r="K1485" s="6" t="str">
        <f>IFERROR(__xludf.DUMMYFUNCTION("""COMPUTED_VALUE"""),"attila-alex.shyuti@2hourlearning.com")</f>
        <v>attila-alex.shyuti@2hourlearning.com</v>
      </c>
      <c r="L1485" s="6" t="str">
        <f>IFERROR(__xludf.DUMMYFUNCTION("""COMPUTED_VALUE"""),"Learn and Earn Poland")</f>
        <v>Learn and Earn Poland</v>
      </c>
      <c r="M1485" s="6" t="str">
        <f>IFERROR(__xludf.DUMMYFUNCTION("""COMPUTED_VALUE"""),"Budapest Alpha")</f>
        <v>Budapest Alpha</v>
      </c>
      <c r="N1485" s="6" t="str">
        <f>IFERROR(__xludf.DUMMYFUNCTION("""COMPUTED_VALUE"""),"")</f>
        <v/>
      </c>
      <c r="O1485" s="87" t="str">
        <f>IFERROR(__xludf.DUMMYFUNCTION("""COMPUTED_VALUE"""),"https://drive.google.com/drive/folders/10T2cTQHqEJZqE-st6uFKPoI?usp=share_link")</f>
        <v>https://drive.google.com/drive/folders/10T2cTQHqEJZqE-st6uFKPoI?usp=share_link</v>
      </c>
      <c r="P1485" s="6" t="str">
        <f>IFERROR(__xludf.DUMMYFUNCTION("""COMPUTED_VALUE"""),"Attila-Alex Shyuti")</f>
        <v>Attila-Alex Shyuti</v>
      </c>
      <c r="Q1485" s="6" t="str">
        <f>IFERROR(__xludf.DUMMYFUNCTION("""COMPUTED_VALUE"""),"HS")</f>
        <v>HS</v>
      </c>
      <c r="R1485" s="6">
        <f>IFERROR(__xludf.DUMMYFUNCTION("""COMPUTED_VALUE"""),0.0)</f>
        <v>0</v>
      </c>
      <c r="S1485" s="6" t="str">
        <f>IFERROR(__xludf.DUMMYFUNCTION("""COMPUTED_VALUE""")," ")</f>
        <v> </v>
      </c>
      <c r="T1485" s="6" t="str">
        <f>IFERROR(__xludf.DUMMYFUNCTION("""COMPUTED_VALUE"""),"")</f>
        <v/>
      </c>
      <c r="U1485" s="6" t="str">
        <f>IFERROR(__xludf.DUMMYFUNCTION("""COMPUTED_VALUE"""),"9")</f>
        <v>9</v>
      </c>
      <c r="V1485" s="6" t="str">
        <f>IFERROR(__xludf.DUMMYFUNCTION("""COMPUTED_VALUE"""),"English")</f>
        <v>English</v>
      </c>
      <c r="W1485" s="6" t="str">
        <f>IFERROR(__xludf.DUMMYFUNCTION("""COMPUTED_VALUE"""),"[]")</f>
        <v>[]</v>
      </c>
      <c r="X1485" s="6" t="str">
        <f>IFERROR(__xludf.DUMMYFUNCTION("""COMPUTED_VALUE"""),"Enrolled")</f>
        <v>Enrolled</v>
      </c>
    </row>
    <row r="1486">
      <c r="A1486" s="6" t="str">
        <f>IFERROR(__xludf.DUMMYFUNCTION("""COMPUTED_VALUE"""),"009-1742")</f>
        <v>009-1742</v>
      </c>
      <c r="B1486" s="6" t="str">
        <f>IFERROR(__xludf.DUMMYFUNCTION("""COMPUTED_VALUE"""),"9")</f>
        <v>9</v>
      </c>
      <c r="C1486" s="6" t="str">
        <f>IFERROR(__xludf.DUMMYFUNCTION("""COMPUTED_VALUE"""),"1742")</f>
        <v>1742</v>
      </c>
      <c r="D1486" s="6" t="str">
        <f>IFERROR(__xludf.DUMMYFUNCTION("""COMPUTED_VALUE"""),"Katalin")</f>
        <v>Katalin</v>
      </c>
      <c r="E1486" s="6" t="str">
        <f>IFERROR(__xludf.DUMMYFUNCTION("""COMPUTED_VALUE"""),"")</f>
        <v/>
      </c>
      <c r="F1486" s="6" t="str">
        <f>IFERROR(__xludf.DUMMYFUNCTION("""COMPUTED_VALUE"""),"Roszoha")</f>
        <v>Roszoha</v>
      </c>
      <c r="G1486" s="6" t="str">
        <f>IFERROR(__xludf.DUMMYFUNCTION("""COMPUTED_VALUE"""),"01/01/2012")</f>
        <v>01/01/2012</v>
      </c>
      <c r="H1486" s="6" t="str">
        <f>IFERROR(__xludf.DUMMYFUNCTION("""COMPUTED_VALUE"""),"Self Identify")</f>
        <v>Self Identify</v>
      </c>
      <c r="I1486" s="6" t="str">
        <f>IFERROR(__xludf.DUMMYFUNCTION("""COMPUTED_VALUE"""),"Middle School")</f>
        <v>Middle School</v>
      </c>
      <c r="J1486" s="6" t="str">
        <f>IFERROR(__xludf.DUMMYFUNCTION("""COMPUTED_VALUE"""),"7")</f>
        <v>7</v>
      </c>
      <c r="K1486" s="6" t="str">
        <f>IFERROR(__xludf.DUMMYFUNCTION("""COMPUTED_VALUE"""),"katalin.roszoha@2hourlearning.com")</f>
        <v>katalin.roszoha@2hourlearning.com</v>
      </c>
      <c r="L1486" s="6" t="str">
        <f>IFERROR(__xludf.DUMMYFUNCTION("""COMPUTED_VALUE"""),"Learn and Earn Poland")</f>
        <v>Learn and Earn Poland</v>
      </c>
      <c r="M1486" s="6" t="str">
        <f>IFERROR(__xludf.DUMMYFUNCTION("""COMPUTED_VALUE"""),"Budapest Alpha")</f>
        <v>Budapest Alpha</v>
      </c>
      <c r="N1486" s="6" t="str">
        <f>IFERROR(__xludf.DUMMYFUNCTION("""COMPUTED_VALUE"""),"")</f>
        <v/>
      </c>
      <c r="O1486" s="87" t="str">
        <f>IFERROR(__xludf.DUMMYFUNCTION("""COMPUTED_VALUE"""),"https://drive.google.com/drive/folders/10T2cTQHqEJZqE-st6uFKPoI?usp=share_link")</f>
        <v>https://drive.google.com/drive/folders/10T2cTQHqEJZqE-st6uFKPoI?usp=share_link</v>
      </c>
      <c r="P1486" s="6" t="str">
        <f>IFERROR(__xludf.DUMMYFUNCTION("""COMPUTED_VALUE"""),"Katalin Roszoha")</f>
        <v>Katalin Roszoha</v>
      </c>
      <c r="Q1486" s="6" t="str">
        <f>IFERROR(__xludf.DUMMYFUNCTION("""COMPUTED_VALUE"""),"MS")</f>
        <v>MS</v>
      </c>
      <c r="R1486" s="6">
        <f>IFERROR(__xludf.DUMMYFUNCTION("""COMPUTED_VALUE"""),0.0)</f>
        <v>0</v>
      </c>
      <c r="S1486" s="6" t="str">
        <f>IFERROR(__xludf.DUMMYFUNCTION("""COMPUTED_VALUE""")," ")</f>
        <v> </v>
      </c>
      <c r="T1486" s="6" t="str">
        <f>IFERROR(__xludf.DUMMYFUNCTION("""COMPUTED_VALUE"""),"")</f>
        <v/>
      </c>
      <c r="U1486" s="6" t="str">
        <f>IFERROR(__xludf.DUMMYFUNCTION("""COMPUTED_VALUE"""),"7")</f>
        <v>7</v>
      </c>
      <c r="V1486" s="6" t="str">
        <f>IFERROR(__xludf.DUMMYFUNCTION("""COMPUTED_VALUE"""),"English")</f>
        <v>English</v>
      </c>
      <c r="W1486" s="6" t="str">
        <f>IFERROR(__xludf.DUMMYFUNCTION("""COMPUTED_VALUE"""),"[]")</f>
        <v>[]</v>
      </c>
      <c r="X1486" s="6" t="str">
        <f>IFERROR(__xludf.DUMMYFUNCTION("""COMPUTED_VALUE"""),"Enrolled")</f>
        <v>Enrolled</v>
      </c>
    </row>
    <row r="1487">
      <c r="A1487" s="6" t="str">
        <f>IFERROR(__xludf.DUMMYFUNCTION("""COMPUTED_VALUE"""),"009-1743")</f>
        <v>009-1743</v>
      </c>
      <c r="B1487" s="6" t="str">
        <f>IFERROR(__xludf.DUMMYFUNCTION("""COMPUTED_VALUE"""),"9")</f>
        <v>9</v>
      </c>
      <c r="C1487" s="6" t="str">
        <f>IFERROR(__xludf.DUMMYFUNCTION("""COMPUTED_VALUE"""),"1743")</f>
        <v>1743</v>
      </c>
      <c r="D1487" s="6" t="str">
        <f>IFERROR(__xludf.DUMMYFUNCTION("""COMPUTED_VALUE"""),"Barbara")</f>
        <v>Barbara</v>
      </c>
      <c r="E1487" s="6" t="str">
        <f>IFERROR(__xludf.DUMMYFUNCTION("""COMPUTED_VALUE"""),"")</f>
        <v/>
      </c>
      <c r="F1487" s="6" t="str">
        <f>IFERROR(__xludf.DUMMYFUNCTION("""COMPUTED_VALUE"""),"Shyuti")</f>
        <v>Shyuti</v>
      </c>
      <c r="G1487" s="6" t="str">
        <f>IFERROR(__xludf.DUMMYFUNCTION("""COMPUTED_VALUE"""),"01/01/2008")</f>
        <v>01/01/2008</v>
      </c>
      <c r="H1487" s="6" t="str">
        <f>IFERROR(__xludf.DUMMYFUNCTION("""COMPUTED_VALUE"""),"Self Identify")</f>
        <v>Self Identify</v>
      </c>
      <c r="I1487" s="6" t="str">
        <f>IFERROR(__xludf.DUMMYFUNCTION("""COMPUTED_VALUE"""),"High School")</f>
        <v>High School</v>
      </c>
      <c r="J1487" s="6" t="str">
        <f>IFERROR(__xludf.DUMMYFUNCTION("""COMPUTED_VALUE"""),"11")</f>
        <v>11</v>
      </c>
      <c r="K1487" s="6" t="str">
        <f>IFERROR(__xludf.DUMMYFUNCTION("""COMPUTED_VALUE"""),"barbara.shyuti@2hourlearning.com")</f>
        <v>barbara.shyuti@2hourlearning.com</v>
      </c>
      <c r="L1487" s="6" t="str">
        <f>IFERROR(__xludf.DUMMYFUNCTION("""COMPUTED_VALUE"""),"Learn and Earn Poland")</f>
        <v>Learn and Earn Poland</v>
      </c>
      <c r="M1487" s="6" t="str">
        <f>IFERROR(__xludf.DUMMYFUNCTION("""COMPUTED_VALUE"""),"Budapest Alpha")</f>
        <v>Budapest Alpha</v>
      </c>
      <c r="N1487" s="6" t="str">
        <f>IFERROR(__xludf.DUMMYFUNCTION("""COMPUTED_VALUE"""),"")</f>
        <v/>
      </c>
      <c r="O1487" s="87" t="str">
        <f>IFERROR(__xludf.DUMMYFUNCTION("""COMPUTED_VALUE"""),"https://drive.google.com/drive/folders/10T2cTQHqEJZqE-st6uFKPoI?usp=share_link")</f>
        <v>https://drive.google.com/drive/folders/10T2cTQHqEJZqE-st6uFKPoI?usp=share_link</v>
      </c>
      <c r="P1487" s="6" t="str">
        <f>IFERROR(__xludf.DUMMYFUNCTION("""COMPUTED_VALUE"""),"Barbara Shyuti")</f>
        <v>Barbara Shyuti</v>
      </c>
      <c r="Q1487" s="6" t="str">
        <f>IFERROR(__xludf.DUMMYFUNCTION("""COMPUTED_VALUE"""),"HS")</f>
        <v>HS</v>
      </c>
      <c r="R1487" s="6">
        <f>IFERROR(__xludf.DUMMYFUNCTION("""COMPUTED_VALUE"""),0.0)</f>
        <v>0</v>
      </c>
      <c r="S1487" s="6" t="str">
        <f>IFERROR(__xludf.DUMMYFUNCTION("""COMPUTED_VALUE""")," ")</f>
        <v> </v>
      </c>
      <c r="T1487" s="6" t="str">
        <f>IFERROR(__xludf.DUMMYFUNCTION("""COMPUTED_VALUE"""),"")</f>
        <v/>
      </c>
      <c r="U1487" s="6" t="str">
        <f>IFERROR(__xludf.DUMMYFUNCTION("""COMPUTED_VALUE"""),"11")</f>
        <v>11</v>
      </c>
      <c r="V1487" s="6" t="str">
        <f>IFERROR(__xludf.DUMMYFUNCTION("""COMPUTED_VALUE"""),"English")</f>
        <v>English</v>
      </c>
      <c r="W1487" s="6" t="str">
        <f>IFERROR(__xludf.DUMMYFUNCTION("""COMPUTED_VALUE"""),"[]")</f>
        <v>[]</v>
      </c>
      <c r="X1487" s="6" t="str">
        <f>IFERROR(__xludf.DUMMYFUNCTION("""COMPUTED_VALUE"""),"Enrolled")</f>
        <v>Enrolled</v>
      </c>
    </row>
    <row r="1488">
      <c r="A1488" s="6" t="str">
        <f>IFERROR(__xludf.DUMMYFUNCTION("""COMPUTED_VALUE"""),"009-1744")</f>
        <v>009-1744</v>
      </c>
      <c r="B1488" s="6" t="str">
        <f>IFERROR(__xludf.DUMMYFUNCTION("""COMPUTED_VALUE"""),"9")</f>
        <v>9</v>
      </c>
      <c r="C1488" s="6" t="str">
        <f>IFERROR(__xludf.DUMMYFUNCTION("""COMPUTED_VALUE"""),"1744")</f>
        <v>1744</v>
      </c>
      <c r="D1488" s="6" t="str">
        <f>IFERROR(__xludf.DUMMYFUNCTION("""COMPUTED_VALUE"""),"Vladyslav")</f>
        <v>Vladyslav</v>
      </c>
      <c r="E1488" s="6" t="str">
        <f>IFERROR(__xludf.DUMMYFUNCTION("""COMPUTED_VALUE"""),"")</f>
        <v/>
      </c>
      <c r="F1488" s="6" t="str">
        <f>IFERROR(__xludf.DUMMYFUNCTION("""COMPUTED_VALUE"""),"Zhydenko")</f>
        <v>Zhydenko</v>
      </c>
      <c r="G1488" s="6" t="str">
        <f>IFERROR(__xludf.DUMMYFUNCTION("""COMPUTED_VALUE"""),"01/01/2015")</f>
        <v>01/01/2015</v>
      </c>
      <c r="H1488" s="6" t="str">
        <f>IFERROR(__xludf.DUMMYFUNCTION("""COMPUTED_VALUE"""),"Self Identify")</f>
        <v>Self Identify</v>
      </c>
      <c r="I1488" s="6" t="str">
        <f>IFERROR(__xludf.DUMMYFUNCTION("""COMPUTED_VALUE"""),"Level 2")</f>
        <v>Level 2</v>
      </c>
      <c r="J1488" s="6" t="str">
        <f>IFERROR(__xludf.DUMMYFUNCTION("""COMPUTED_VALUE"""),"4")</f>
        <v>4</v>
      </c>
      <c r="K1488" s="6" t="str">
        <f>IFERROR(__xludf.DUMMYFUNCTION("""COMPUTED_VALUE"""),"vladyslav.zhydenko@2hourlearning.com")</f>
        <v>vladyslav.zhydenko@2hourlearning.com</v>
      </c>
      <c r="L1488" s="6" t="str">
        <f>IFERROR(__xludf.DUMMYFUNCTION("""COMPUTED_VALUE"""),"Learn and Earn Poland")</f>
        <v>Learn and Earn Poland</v>
      </c>
      <c r="M1488" s="6" t="str">
        <f>IFERROR(__xludf.DUMMYFUNCTION("""COMPUTED_VALUE"""),"Budapest Alpha")</f>
        <v>Budapest Alpha</v>
      </c>
      <c r="N1488" s="6" t="str">
        <f>IFERROR(__xludf.DUMMYFUNCTION("""COMPUTED_VALUE"""),"")</f>
        <v/>
      </c>
      <c r="O1488" s="87" t="str">
        <f>IFERROR(__xludf.DUMMYFUNCTION("""COMPUTED_VALUE"""),"https://drive.google.com/drive/folders/10T2cTQHqEJZqE-st6uFKPoI?usp=share_link")</f>
        <v>https://drive.google.com/drive/folders/10T2cTQHqEJZqE-st6uFKPoI?usp=share_link</v>
      </c>
      <c r="P1488" s="6" t="str">
        <f>IFERROR(__xludf.DUMMYFUNCTION("""COMPUTED_VALUE"""),"Vladyslav Zhydenko")</f>
        <v>Vladyslav Zhydenko</v>
      </c>
      <c r="Q1488" s="6" t="str">
        <f>IFERROR(__xludf.DUMMYFUNCTION("""COMPUTED_VALUE"""),"L2")</f>
        <v>L2</v>
      </c>
      <c r="R1488" s="6">
        <f>IFERROR(__xludf.DUMMYFUNCTION("""COMPUTED_VALUE"""),2.0)</f>
        <v>2</v>
      </c>
      <c r="S1488" s="6" t="str">
        <f>IFERROR(__xludf.DUMMYFUNCTION("""COMPUTED_VALUE""")," ")</f>
        <v> </v>
      </c>
      <c r="T1488" s="6" t="str">
        <f>IFERROR(__xludf.DUMMYFUNCTION("""COMPUTED_VALUE"""),"")</f>
        <v/>
      </c>
      <c r="U1488" s="6" t="str">
        <f>IFERROR(__xludf.DUMMYFUNCTION("""COMPUTED_VALUE"""),"4")</f>
        <v>4</v>
      </c>
      <c r="V1488" s="6" t="str">
        <f>IFERROR(__xludf.DUMMYFUNCTION("""COMPUTED_VALUE"""),"English")</f>
        <v>English</v>
      </c>
      <c r="W1488" s="6" t="str">
        <f>IFERROR(__xludf.DUMMYFUNCTION("""COMPUTED_VALUE"""),"[]")</f>
        <v>[]</v>
      </c>
      <c r="X1488" s="6" t="str">
        <f>IFERROR(__xludf.DUMMYFUNCTION("""COMPUTED_VALUE"""),"Enrolled")</f>
        <v>Enrolled</v>
      </c>
    </row>
    <row r="1489">
      <c r="A1489" s="6" t="str">
        <f>IFERROR(__xludf.DUMMYFUNCTION("""COMPUTED_VALUE"""),"009-1745")</f>
        <v>009-1745</v>
      </c>
      <c r="B1489" s="6" t="str">
        <f>IFERROR(__xludf.DUMMYFUNCTION("""COMPUTED_VALUE"""),"9")</f>
        <v>9</v>
      </c>
      <c r="C1489" s="6" t="str">
        <f>IFERROR(__xludf.DUMMYFUNCTION("""COMPUTED_VALUE"""),"1745")</f>
        <v>1745</v>
      </c>
      <c r="D1489" s="6" t="str">
        <f>IFERROR(__xludf.DUMMYFUNCTION("""COMPUTED_VALUE"""),"Vitaliy")</f>
        <v>Vitaliy</v>
      </c>
      <c r="E1489" s="6" t="str">
        <f>IFERROR(__xludf.DUMMYFUNCTION("""COMPUTED_VALUE"""),"")</f>
        <v/>
      </c>
      <c r="F1489" s="6" t="str">
        <f>IFERROR(__xludf.DUMMYFUNCTION("""COMPUTED_VALUE"""),"Perfilov")</f>
        <v>Perfilov</v>
      </c>
      <c r="G1489" s="6" t="str">
        <f>IFERROR(__xludf.DUMMYFUNCTION("""COMPUTED_VALUE"""),"01/01/2010")</f>
        <v>01/01/2010</v>
      </c>
      <c r="H1489" s="6" t="str">
        <f>IFERROR(__xludf.DUMMYFUNCTION("""COMPUTED_VALUE"""),"Self Identify")</f>
        <v>Self Identify</v>
      </c>
      <c r="I1489" s="6" t="str">
        <f>IFERROR(__xludf.DUMMYFUNCTION("""COMPUTED_VALUE"""),"High School")</f>
        <v>High School</v>
      </c>
      <c r="J1489" s="6" t="str">
        <f>IFERROR(__xludf.DUMMYFUNCTION("""COMPUTED_VALUE"""),"9")</f>
        <v>9</v>
      </c>
      <c r="K1489" s="6" t="str">
        <f>IFERROR(__xludf.DUMMYFUNCTION("""COMPUTED_VALUE"""),"vitaliy.perfilov@2hourlearning.com")</f>
        <v>vitaliy.perfilov@2hourlearning.com</v>
      </c>
      <c r="L1489" s="6" t="str">
        <f>IFERROR(__xludf.DUMMYFUNCTION("""COMPUTED_VALUE"""),"Learn and Earn Poland")</f>
        <v>Learn and Earn Poland</v>
      </c>
      <c r="M1489" s="6" t="str">
        <f>IFERROR(__xludf.DUMMYFUNCTION("""COMPUTED_VALUE"""),"Budapest Alpha")</f>
        <v>Budapest Alpha</v>
      </c>
      <c r="N1489" s="6" t="str">
        <f>IFERROR(__xludf.DUMMYFUNCTION("""COMPUTED_VALUE"""),"")</f>
        <v/>
      </c>
      <c r="O1489" s="87" t="str">
        <f>IFERROR(__xludf.DUMMYFUNCTION("""COMPUTED_VALUE"""),"https://drive.google.com/drive/folders/10T2cTQHqEJZqE-st6uFKPoI?usp=share_link")</f>
        <v>https://drive.google.com/drive/folders/10T2cTQHqEJZqE-st6uFKPoI?usp=share_link</v>
      </c>
      <c r="P1489" s="6" t="str">
        <f>IFERROR(__xludf.DUMMYFUNCTION("""COMPUTED_VALUE"""),"Vitaliy Perfilov")</f>
        <v>Vitaliy Perfilov</v>
      </c>
      <c r="Q1489" s="6" t="str">
        <f>IFERROR(__xludf.DUMMYFUNCTION("""COMPUTED_VALUE"""),"HS")</f>
        <v>HS</v>
      </c>
      <c r="R1489" s="6">
        <f>IFERROR(__xludf.DUMMYFUNCTION("""COMPUTED_VALUE"""),0.0)</f>
        <v>0</v>
      </c>
      <c r="S1489" s="6" t="str">
        <f>IFERROR(__xludf.DUMMYFUNCTION("""COMPUTED_VALUE""")," ")</f>
        <v> </v>
      </c>
      <c r="T1489" s="6" t="str">
        <f>IFERROR(__xludf.DUMMYFUNCTION("""COMPUTED_VALUE"""),"")</f>
        <v/>
      </c>
      <c r="U1489" s="6" t="str">
        <f>IFERROR(__xludf.DUMMYFUNCTION("""COMPUTED_VALUE"""),"9")</f>
        <v>9</v>
      </c>
      <c r="V1489" s="6" t="str">
        <f>IFERROR(__xludf.DUMMYFUNCTION("""COMPUTED_VALUE"""),"English")</f>
        <v>English</v>
      </c>
      <c r="W1489" s="6" t="str">
        <f>IFERROR(__xludf.DUMMYFUNCTION("""COMPUTED_VALUE"""),"[]")</f>
        <v>[]</v>
      </c>
      <c r="X1489" s="6" t="str">
        <f>IFERROR(__xludf.DUMMYFUNCTION("""COMPUTED_VALUE"""),"Enrolled")</f>
        <v>Enrolled</v>
      </c>
    </row>
    <row r="1490">
      <c r="A1490" s="6" t="str">
        <f>IFERROR(__xludf.DUMMYFUNCTION("""COMPUTED_VALUE"""),"009-1746")</f>
        <v>009-1746</v>
      </c>
      <c r="B1490" s="6" t="str">
        <f>IFERROR(__xludf.DUMMYFUNCTION("""COMPUTED_VALUE"""),"9")</f>
        <v>9</v>
      </c>
      <c r="C1490" s="6" t="str">
        <f>IFERROR(__xludf.DUMMYFUNCTION("""COMPUTED_VALUE"""),"1746")</f>
        <v>1746</v>
      </c>
      <c r="D1490" s="6" t="str">
        <f>IFERROR(__xludf.DUMMYFUNCTION("""COMPUTED_VALUE"""),"Luka")</f>
        <v>Luka</v>
      </c>
      <c r="E1490" s="6" t="str">
        <f>IFERROR(__xludf.DUMMYFUNCTION("""COMPUTED_VALUE"""),"")</f>
        <v/>
      </c>
      <c r="F1490" s="6" t="str">
        <f>IFERROR(__xludf.DUMMYFUNCTION("""COMPUTED_VALUE"""),"Pichkur")</f>
        <v>Pichkur</v>
      </c>
      <c r="G1490" s="6" t="str">
        <f>IFERROR(__xludf.DUMMYFUNCTION("""COMPUTED_VALUE"""),"01/01/2010")</f>
        <v>01/01/2010</v>
      </c>
      <c r="H1490" s="6" t="str">
        <f>IFERROR(__xludf.DUMMYFUNCTION("""COMPUTED_VALUE"""),"Self Identify")</f>
        <v>Self Identify</v>
      </c>
      <c r="I1490" s="6" t="str">
        <f>IFERROR(__xludf.DUMMYFUNCTION("""COMPUTED_VALUE"""),"High School")</f>
        <v>High School</v>
      </c>
      <c r="J1490" s="6" t="str">
        <f>IFERROR(__xludf.DUMMYFUNCTION("""COMPUTED_VALUE"""),"9")</f>
        <v>9</v>
      </c>
      <c r="K1490" s="6" t="str">
        <f>IFERROR(__xludf.DUMMYFUNCTION("""COMPUTED_VALUE"""),"luka.pichkur@2hourlearning.com")</f>
        <v>luka.pichkur@2hourlearning.com</v>
      </c>
      <c r="L1490" s="6" t="str">
        <f>IFERROR(__xludf.DUMMYFUNCTION("""COMPUTED_VALUE"""),"Learn and Earn Poland")</f>
        <v>Learn and Earn Poland</v>
      </c>
      <c r="M1490" s="6" t="str">
        <f>IFERROR(__xludf.DUMMYFUNCTION("""COMPUTED_VALUE"""),"Budapest Alpha")</f>
        <v>Budapest Alpha</v>
      </c>
      <c r="N1490" s="6" t="str">
        <f>IFERROR(__xludf.DUMMYFUNCTION("""COMPUTED_VALUE"""),"")</f>
        <v/>
      </c>
      <c r="O1490" s="87" t="str">
        <f>IFERROR(__xludf.DUMMYFUNCTION("""COMPUTED_VALUE"""),"https://drive.google.com/drive/folders/10T2cTQHqEJZqE-st6uFKPoI?usp=share_link")</f>
        <v>https://drive.google.com/drive/folders/10T2cTQHqEJZqE-st6uFKPoI?usp=share_link</v>
      </c>
      <c r="P1490" s="6" t="str">
        <f>IFERROR(__xludf.DUMMYFUNCTION("""COMPUTED_VALUE"""),"Luka Pichkur")</f>
        <v>Luka Pichkur</v>
      </c>
      <c r="Q1490" s="6" t="str">
        <f>IFERROR(__xludf.DUMMYFUNCTION("""COMPUTED_VALUE"""),"HS")</f>
        <v>HS</v>
      </c>
      <c r="R1490" s="6">
        <f>IFERROR(__xludf.DUMMYFUNCTION("""COMPUTED_VALUE"""),0.0)</f>
        <v>0</v>
      </c>
      <c r="S1490" s="6" t="str">
        <f>IFERROR(__xludf.DUMMYFUNCTION("""COMPUTED_VALUE""")," ")</f>
        <v> </v>
      </c>
      <c r="T1490" s="6" t="str">
        <f>IFERROR(__xludf.DUMMYFUNCTION("""COMPUTED_VALUE"""),"")</f>
        <v/>
      </c>
      <c r="U1490" s="6" t="str">
        <f>IFERROR(__xludf.DUMMYFUNCTION("""COMPUTED_VALUE"""),"9")</f>
        <v>9</v>
      </c>
      <c r="V1490" s="6" t="str">
        <f>IFERROR(__xludf.DUMMYFUNCTION("""COMPUTED_VALUE"""),"English")</f>
        <v>English</v>
      </c>
      <c r="W1490" s="6" t="str">
        <f>IFERROR(__xludf.DUMMYFUNCTION("""COMPUTED_VALUE"""),"[]")</f>
        <v>[]</v>
      </c>
      <c r="X1490" s="6" t="str">
        <f>IFERROR(__xludf.DUMMYFUNCTION("""COMPUTED_VALUE"""),"Enrolled")</f>
        <v>Enrolled</v>
      </c>
    </row>
    <row r="1491">
      <c r="A1491" s="6" t="str">
        <f>IFERROR(__xludf.DUMMYFUNCTION("""COMPUTED_VALUE"""),"009-1747")</f>
        <v>009-1747</v>
      </c>
      <c r="B1491" s="6" t="str">
        <f>IFERROR(__xludf.DUMMYFUNCTION("""COMPUTED_VALUE"""),"9")</f>
        <v>9</v>
      </c>
      <c r="C1491" s="6" t="str">
        <f>IFERROR(__xludf.DUMMYFUNCTION("""COMPUTED_VALUE"""),"1747")</f>
        <v>1747</v>
      </c>
      <c r="D1491" s="6" t="str">
        <f>IFERROR(__xludf.DUMMYFUNCTION("""COMPUTED_VALUE"""),"Gyula")</f>
        <v>Gyula</v>
      </c>
      <c r="E1491" s="6" t="str">
        <f>IFERROR(__xludf.DUMMYFUNCTION("""COMPUTED_VALUE"""),"")</f>
        <v/>
      </c>
      <c r="F1491" s="6" t="str">
        <f>IFERROR(__xludf.DUMMYFUNCTION("""COMPUTED_VALUE"""),"Gerics")</f>
        <v>Gerics</v>
      </c>
      <c r="G1491" s="6" t="str">
        <f>IFERROR(__xludf.DUMMYFUNCTION("""COMPUTED_VALUE"""),"01/01/2011")</f>
        <v>01/01/2011</v>
      </c>
      <c r="H1491" s="6" t="str">
        <f>IFERROR(__xludf.DUMMYFUNCTION("""COMPUTED_VALUE"""),"Self Identify")</f>
        <v>Self Identify</v>
      </c>
      <c r="I1491" s="6" t="str">
        <f>IFERROR(__xludf.DUMMYFUNCTION("""COMPUTED_VALUE"""),"Middle School")</f>
        <v>Middle School</v>
      </c>
      <c r="J1491" s="6" t="str">
        <f>IFERROR(__xludf.DUMMYFUNCTION("""COMPUTED_VALUE"""),"8")</f>
        <v>8</v>
      </c>
      <c r="K1491" s="6" t="str">
        <f>IFERROR(__xludf.DUMMYFUNCTION("""COMPUTED_VALUE"""),"gyula.gerics@2hourlearning.com")</f>
        <v>gyula.gerics@2hourlearning.com</v>
      </c>
      <c r="L1491" s="6" t="str">
        <f>IFERROR(__xludf.DUMMYFUNCTION("""COMPUTED_VALUE"""),"Learn and Earn Poland")</f>
        <v>Learn and Earn Poland</v>
      </c>
      <c r="M1491" s="6" t="str">
        <f>IFERROR(__xludf.DUMMYFUNCTION("""COMPUTED_VALUE"""),"Budapest Alpha")</f>
        <v>Budapest Alpha</v>
      </c>
      <c r="N1491" s="6" t="str">
        <f>IFERROR(__xludf.DUMMYFUNCTION("""COMPUTED_VALUE"""),"")</f>
        <v/>
      </c>
      <c r="O1491" s="87" t="str">
        <f>IFERROR(__xludf.DUMMYFUNCTION("""COMPUTED_VALUE"""),"https://drive.google.com/drive/folders/10T2cTQHqEJZqE-st6uFKPoI?usp=share_link")</f>
        <v>https://drive.google.com/drive/folders/10T2cTQHqEJZqE-st6uFKPoI?usp=share_link</v>
      </c>
      <c r="P1491" s="6" t="str">
        <f>IFERROR(__xludf.DUMMYFUNCTION("""COMPUTED_VALUE"""),"Gyula Gerics")</f>
        <v>Gyula Gerics</v>
      </c>
      <c r="Q1491" s="6" t="str">
        <f>IFERROR(__xludf.DUMMYFUNCTION("""COMPUTED_VALUE"""),"MS")</f>
        <v>MS</v>
      </c>
      <c r="R1491" s="6">
        <f>IFERROR(__xludf.DUMMYFUNCTION("""COMPUTED_VALUE"""),0.0)</f>
        <v>0</v>
      </c>
      <c r="S1491" s="6" t="str">
        <f>IFERROR(__xludf.DUMMYFUNCTION("""COMPUTED_VALUE""")," ")</f>
        <v> </v>
      </c>
      <c r="T1491" s="6" t="str">
        <f>IFERROR(__xludf.DUMMYFUNCTION("""COMPUTED_VALUE"""),"")</f>
        <v/>
      </c>
      <c r="U1491" s="6" t="str">
        <f>IFERROR(__xludf.DUMMYFUNCTION("""COMPUTED_VALUE"""),"8")</f>
        <v>8</v>
      </c>
      <c r="V1491" s="6" t="str">
        <f>IFERROR(__xludf.DUMMYFUNCTION("""COMPUTED_VALUE"""),"English")</f>
        <v>English</v>
      </c>
      <c r="W1491" s="6" t="str">
        <f>IFERROR(__xludf.DUMMYFUNCTION("""COMPUTED_VALUE"""),"[]")</f>
        <v>[]</v>
      </c>
      <c r="X1491" s="6" t="str">
        <f>IFERROR(__xludf.DUMMYFUNCTION("""COMPUTED_VALUE"""),"Enrolled")</f>
        <v>Enrolled</v>
      </c>
    </row>
    <row r="1492">
      <c r="A1492" s="6" t="str">
        <f>IFERROR(__xludf.DUMMYFUNCTION("""COMPUTED_VALUE"""),"009-1748")</f>
        <v>009-1748</v>
      </c>
      <c r="B1492" s="6" t="str">
        <f>IFERROR(__xludf.DUMMYFUNCTION("""COMPUTED_VALUE"""),"9")</f>
        <v>9</v>
      </c>
      <c r="C1492" s="6" t="str">
        <f>IFERROR(__xludf.DUMMYFUNCTION("""COMPUTED_VALUE"""),"1748")</f>
        <v>1748</v>
      </c>
      <c r="D1492" s="6" t="str">
        <f>IFERROR(__xludf.DUMMYFUNCTION("""COMPUTED_VALUE"""),"Mate")</f>
        <v>Mate</v>
      </c>
      <c r="E1492" s="6" t="str">
        <f>IFERROR(__xludf.DUMMYFUNCTION("""COMPUTED_VALUE"""),"")</f>
        <v/>
      </c>
      <c r="F1492" s="6" t="str">
        <f>IFERROR(__xludf.DUMMYFUNCTION("""COMPUTED_VALUE"""),"Samok")</f>
        <v>Samok</v>
      </c>
      <c r="G1492" s="6" t="str">
        <f>IFERROR(__xludf.DUMMYFUNCTION("""COMPUTED_VALUE"""),"01/01/2010")</f>
        <v>01/01/2010</v>
      </c>
      <c r="H1492" s="6" t="str">
        <f>IFERROR(__xludf.DUMMYFUNCTION("""COMPUTED_VALUE"""),"Self Identify")</f>
        <v>Self Identify</v>
      </c>
      <c r="I1492" s="6" t="str">
        <f>IFERROR(__xludf.DUMMYFUNCTION("""COMPUTED_VALUE"""),"High School")</f>
        <v>High School</v>
      </c>
      <c r="J1492" s="6" t="str">
        <f>IFERROR(__xludf.DUMMYFUNCTION("""COMPUTED_VALUE"""),"9")</f>
        <v>9</v>
      </c>
      <c r="K1492" s="6" t="str">
        <f>IFERROR(__xludf.DUMMYFUNCTION("""COMPUTED_VALUE"""),"mate.samok@2hourlearning.com")</f>
        <v>mate.samok@2hourlearning.com</v>
      </c>
      <c r="L1492" s="6" t="str">
        <f>IFERROR(__xludf.DUMMYFUNCTION("""COMPUTED_VALUE"""),"Learn and Earn Poland")</f>
        <v>Learn and Earn Poland</v>
      </c>
      <c r="M1492" s="6" t="str">
        <f>IFERROR(__xludf.DUMMYFUNCTION("""COMPUTED_VALUE"""),"Budapest Alpha")</f>
        <v>Budapest Alpha</v>
      </c>
      <c r="N1492" s="6" t="str">
        <f>IFERROR(__xludf.DUMMYFUNCTION("""COMPUTED_VALUE"""),"")</f>
        <v/>
      </c>
      <c r="O1492" s="87" t="str">
        <f>IFERROR(__xludf.DUMMYFUNCTION("""COMPUTED_VALUE"""),"https://drive.google.com/drive/folders/10T2cTQHqEJZqE-st6uFKPoI?usp=share_link")</f>
        <v>https://drive.google.com/drive/folders/10T2cTQHqEJZqE-st6uFKPoI?usp=share_link</v>
      </c>
      <c r="P1492" s="6" t="str">
        <f>IFERROR(__xludf.DUMMYFUNCTION("""COMPUTED_VALUE"""),"Mate Samok")</f>
        <v>Mate Samok</v>
      </c>
      <c r="Q1492" s="6" t="str">
        <f>IFERROR(__xludf.DUMMYFUNCTION("""COMPUTED_VALUE"""),"HS")</f>
        <v>HS</v>
      </c>
      <c r="R1492" s="6">
        <f>IFERROR(__xludf.DUMMYFUNCTION("""COMPUTED_VALUE"""),0.0)</f>
        <v>0</v>
      </c>
      <c r="S1492" s="6" t="str">
        <f>IFERROR(__xludf.DUMMYFUNCTION("""COMPUTED_VALUE""")," ")</f>
        <v> </v>
      </c>
      <c r="T1492" s="6" t="str">
        <f>IFERROR(__xludf.DUMMYFUNCTION("""COMPUTED_VALUE"""),"")</f>
        <v/>
      </c>
      <c r="U1492" s="6" t="str">
        <f>IFERROR(__xludf.DUMMYFUNCTION("""COMPUTED_VALUE"""),"9")</f>
        <v>9</v>
      </c>
      <c r="V1492" s="6" t="str">
        <f>IFERROR(__xludf.DUMMYFUNCTION("""COMPUTED_VALUE"""),"English")</f>
        <v>English</v>
      </c>
      <c r="W1492" s="6" t="str">
        <f>IFERROR(__xludf.DUMMYFUNCTION("""COMPUTED_VALUE"""),"[]")</f>
        <v>[]</v>
      </c>
      <c r="X1492" s="6" t="str">
        <f>IFERROR(__xludf.DUMMYFUNCTION("""COMPUTED_VALUE"""),"Enrolled")</f>
        <v>Enrolled</v>
      </c>
    </row>
    <row r="1493">
      <c r="A1493" s="6" t="str">
        <f>IFERROR(__xludf.DUMMYFUNCTION("""COMPUTED_VALUE"""),"009-1749")</f>
        <v>009-1749</v>
      </c>
      <c r="B1493" s="6" t="str">
        <f>IFERROR(__xludf.DUMMYFUNCTION("""COMPUTED_VALUE"""),"9")</f>
        <v>9</v>
      </c>
      <c r="C1493" s="6" t="str">
        <f>IFERROR(__xludf.DUMMYFUNCTION("""COMPUTED_VALUE"""),"1749")</f>
        <v>1749</v>
      </c>
      <c r="D1493" s="6" t="str">
        <f>IFERROR(__xludf.DUMMYFUNCTION("""COMPUTED_VALUE"""),"Kyrylo")</f>
        <v>Kyrylo</v>
      </c>
      <c r="E1493" s="6" t="str">
        <f>IFERROR(__xludf.DUMMYFUNCTION("""COMPUTED_VALUE"""),"")</f>
        <v/>
      </c>
      <c r="F1493" s="6" t="str">
        <f>IFERROR(__xludf.DUMMYFUNCTION("""COMPUTED_VALUE"""),"Tereshchenko")</f>
        <v>Tereshchenko</v>
      </c>
      <c r="G1493" s="6" t="str">
        <f>IFERROR(__xludf.DUMMYFUNCTION("""COMPUTED_VALUE"""),"01/01/2007")</f>
        <v>01/01/2007</v>
      </c>
      <c r="H1493" s="6" t="str">
        <f>IFERROR(__xludf.DUMMYFUNCTION("""COMPUTED_VALUE"""),"Self Identify")</f>
        <v>Self Identify</v>
      </c>
      <c r="I1493" s="6" t="str">
        <f>IFERROR(__xludf.DUMMYFUNCTION("""COMPUTED_VALUE"""),"High School")</f>
        <v>High School</v>
      </c>
      <c r="J1493" s="6" t="str">
        <f>IFERROR(__xludf.DUMMYFUNCTION("""COMPUTED_VALUE"""),"12")</f>
        <v>12</v>
      </c>
      <c r="K1493" s="6" t="str">
        <f>IFERROR(__xludf.DUMMYFUNCTION("""COMPUTED_VALUE"""),"kyrylo.tereshchenko@2hourlearning.com")</f>
        <v>kyrylo.tereshchenko@2hourlearning.com</v>
      </c>
      <c r="L1493" s="6" t="str">
        <f>IFERROR(__xludf.DUMMYFUNCTION("""COMPUTED_VALUE"""),"Learn and Earn Poland")</f>
        <v>Learn and Earn Poland</v>
      </c>
      <c r="M1493" s="6" t="str">
        <f>IFERROR(__xludf.DUMMYFUNCTION("""COMPUTED_VALUE"""),"Budapest Alpha")</f>
        <v>Budapest Alpha</v>
      </c>
      <c r="N1493" s="6" t="str">
        <f>IFERROR(__xludf.DUMMYFUNCTION("""COMPUTED_VALUE"""),"")</f>
        <v/>
      </c>
      <c r="O1493" s="87" t="str">
        <f>IFERROR(__xludf.DUMMYFUNCTION("""COMPUTED_VALUE"""),"https://drive.google.com/drive/folders/10T2cTQHqEJZqE-st6uFKPoI?usp=share_link")</f>
        <v>https://drive.google.com/drive/folders/10T2cTQHqEJZqE-st6uFKPoI?usp=share_link</v>
      </c>
      <c r="P1493" s="6" t="str">
        <f>IFERROR(__xludf.DUMMYFUNCTION("""COMPUTED_VALUE"""),"Kyrylo Tereshchenko")</f>
        <v>Kyrylo Tereshchenko</v>
      </c>
      <c r="Q1493" s="6" t="str">
        <f>IFERROR(__xludf.DUMMYFUNCTION("""COMPUTED_VALUE"""),"HS")</f>
        <v>HS</v>
      </c>
      <c r="R1493" s="6">
        <f>IFERROR(__xludf.DUMMYFUNCTION("""COMPUTED_VALUE"""),0.0)</f>
        <v>0</v>
      </c>
      <c r="S1493" s="6" t="str">
        <f>IFERROR(__xludf.DUMMYFUNCTION("""COMPUTED_VALUE""")," ")</f>
        <v> </v>
      </c>
      <c r="T1493" s="6" t="str">
        <f>IFERROR(__xludf.DUMMYFUNCTION("""COMPUTED_VALUE"""),"")</f>
        <v/>
      </c>
      <c r="U1493" s="6" t="str">
        <f>IFERROR(__xludf.DUMMYFUNCTION("""COMPUTED_VALUE"""),"12")</f>
        <v>12</v>
      </c>
      <c r="V1493" s="6" t="str">
        <f>IFERROR(__xludf.DUMMYFUNCTION("""COMPUTED_VALUE"""),"English")</f>
        <v>English</v>
      </c>
      <c r="W1493" s="6" t="str">
        <f>IFERROR(__xludf.DUMMYFUNCTION("""COMPUTED_VALUE"""),"[]")</f>
        <v>[]</v>
      </c>
      <c r="X1493" s="6" t="str">
        <f>IFERROR(__xludf.DUMMYFUNCTION("""COMPUTED_VALUE"""),"Enrolled")</f>
        <v>Enrolled</v>
      </c>
    </row>
    <row r="1494">
      <c r="A1494" s="6" t="str">
        <f>IFERROR(__xludf.DUMMYFUNCTION("""COMPUTED_VALUE"""),"009-1750")</f>
        <v>009-1750</v>
      </c>
      <c r="B1494" s="6" t="str">
        <f>IFERROR(__xludf.DUMMYFUNCTION("""COMPUTED_VALUE"""),"9")</f>
        <v>9</v>
      </c>
      <c r="C1494" s="6" t="str">
        <f>IFERROR(__xludf.DUMMYFUNCTION("""COMPUTED_VALUE"""),"1750")</f>
        <v>1750</v>
      </c>
      <c r="D1494" s="6" t="str">
        <f>IFERROR(__xludf.DUMMYFUNCTION("""COMPUTED_VALUE"""),"Dmytro")</f>
        <v>Dmytro</v>
      </c>
      <c r="E1494" s="6" t="str">
        <f>IFERROR(__xludf.DUMMYFUNCTION("""COMPUTED_VALUE"""),"")</f>
        <v/>
      </c>
      <c r="F1494" s="6" t="str">
        <f>IFERROR(__xludf.DUMMYFUNCTION("""COMPUTED_VALUE"""),"Tereshchenko")</f>
        <v>Tereshchenko</v>
      </c>
      <c r="G1494" s="6" t="str">
        <f>IFERROR(__xludf.DUMMYFUNCTION("""COMPUTED_VALUE"""),"01/01/2010")</f>
        <v>01/01/2010</v>
      </c>
      <c r="H1494" s="6" t="str">
        <f>IFERROR(__xludf.DUMMYFUNCTION("""COMPUTED_VALUE"""),"Self Identify")</f>
        <v>Self Identify</v>
      </c>
      <c r="I1494" s="6" t="str">
        <f>IFERROR(__xludf.DUMMYFUNCTION("""COMPUTED_VALUE"""),"High School")</f>
        <v>High School</v>
      </c>
      <c r="J1494" s="6" t="str">
        <f>IFERROR(__xludf.DUMMYFUNCTION("""COMPUTED_VALUE"""),"9")</f>
        <v>9</v>
      </c>
      <c r="K1494" s="6" t="str">
        <f>IFERROR(__xludf.DUMMYFUNCTION("""COMPUTED_VALUE"""),"dmytro.tereshchenko@2hourlearning.com")</f>
        <v>dmytro.tereshchenko@2hourlearning.com</v>
      </c>
      <c r="L1494" s="6" t="str">
        <f>IFERROR(__xludf.DUMMYFUNCTION("""COMPUTED_VALUE"""),"Learn and Earn Poland")</f>
        <v>Learn and Earn Poland</v>
      </c>
      <c r="M1494" s="6" t="str">
        <f>IFERROR(__xludf.DUMMYFUNCTION("""COMPUTED_VALUE"""),"Budapest Alpha")</f>
        <v>Budapest Alpha</v>
      </c>
      <c r="N1494" s="6" t="str">
        <f>IFERROR(__xludf.DUMMYFUNCTION("""COMPUTED_VALUE"""),"")</f>
        <v/>
      </c>
      <c r="O1494" s="87" t="str">
        <f>IFERROR(__xludf.DUMMYFUNCTION("""COMPUTED_VALUE"""),"https://drive.google.com/drive/folders/10T2cTQHqEJZqE-st6uFKPoI?usp=share_link")</f>
        <v>https://drive.google.com/drive/folders/10T2cTQHqEJZqE-st6uFKPoI?usp=share_link</v>
      </c>
      <c r="P1494" s="6" t="str">
        <f>IFERROR(__xludf.DUMMYFUNCTION("""COMPUTED_VALUE"""),"Dmytro Tereshchenko")</f>
        <v>Dmytro Tereshchenko</v>
      </c>
      <c r="Q1494" s="6" t="str">
        <f>IFERROR(__xludf.DUMMYFUNCTION("""COMPUTED_VALUE"""),"HS")</f>
        <v>HS</v>
      </c>
      <c r="R1494" s="6">
        <f>IFERROR(__xludf.DUMMYFUNCTION("""COMPUTED_VALUE"""),0.0)</f>
        <v>0</v>
      </c>
      <c r="S1494" s="6" t="str">
        <f>IFERROR(__xludf.DUMMYFUNCTION("""COMPUTED_VALUE""")," ")</f>
        <v> </v>
      </c>
      <c r="T1494" s="6" t="str">
        <f>IFERROR(__xludf.DUMMYFUNCTION("""COMPUTED_VALUE"""),"")</f>
        <v/>
      </c>
      <c r="U1494" s="6" t="str">
        <f>IFERROR(__xludf.DUMMYFUNCTION("""COMPUTED_VALUE"""),"9")</f>
        <v>9</v>
      </c>
      <c r="V1494" s="6" t="str">
        <f>IFERROR(__xludf.DUMMYFUNCTION("""COMPUTED_VALUE"""),"English")</f>
        <v>English</v>
      </c>
      <c r="W1494" s="6" t="str">
        <f>IFERROR(__xludf.DUMMYFUNCTION("""COMPUTED_VALUE"""),"[]")</f>
        <v>[]</v>
      </c>
      <c r="X1494" s="6" t="str">
        <f>IFERROR(__xludf.DUMMYFUNCTION("""COMPUTED_VALUE"""),"Enrolled")</f>
        <v>Enrolled</v>
      </c>
    </row>
    <row r="1495">
      <c r="A1495" s="6" t="str">
        <f>IFERROR(__xludf.DUMMYFUNCTION("""COMPUTED_VALUE"""),"009-1751")</f>
        <v>009-1751</v>
      </c>
      <c r="B1495" s="6" t="str">
        <f>IFERROR(__xludf.DUMMYFUNCTION("""COMPUTED_VALUE"""),"9")</f>
        <v>9</v>
      </c>
      <c r="C1495" s="6" t="str">
        <f>IFERROR(__xludf.DUMMYFUNCTION("""COMPUTED_VALUE"""),"1751")</f>
        <v>1751</v>
      </c>
      <c r="D1495" s="6" t="str">
        <f>IFERROR(__xludf.DUMMYFUNCTION("""COMPUTED_VALUE"""),"Evelina")</f>
        <v>Evelina</v>
      </c>
      <c r="E1495" s="6" t="str">
        <f>IFERROR(__xludf.DUMMYFUNCTION("""COMPUTED_VALUE"""),"")</f>
        <v/>
      </c>
      <c r="F1495" s="6" t="str">
        <f>IFERROR(__xludf.DUMMYFUNCTION("""COMPUTED_VALUE"""),"Lysytska")</f>
        <v>Lysytska</v>
      </c>
      <c r="G1495" s="6" t="str">
        <f>IFERROR(__xludf.DUMMYFUNCTION("""COMPUTED_VALUE"""),"01/01/2015")</f>
        <v>01/01/2015</v>
      </c>
      <c r="H1495" s="6" t="str">
        <f>IFERROR(__xludf.DUMMYFUNCTION("""COMPUTED_VALUE"""),"Self Identify")</f>
        <v>Self Identify</v>
      </c>
      <c r="I1495" s="6" t="str">
        <f>IFERROR(__xludf.DUMMYFUNCTION("""COMPUTED_VALUE"""),"Level 2")</f>
        <v>Level 2</v>
      </c>
      <c r="J1495" s="6" t="str">
        <f>IFERROR(__xludf.DUMMYFUNCTION("""COMPUTED_VALUE"""),"4")</f>
        <v>4</v>
      </c>
      <c r="K1495" s="6" t="str">
        <f>IFERROR(__xludf.DUMMYFUNCTION("""COMPUTED_VALUE"""),"evelina.lysytska@2hourlearning.com")</f>
        <v>evelina.lysytska@2hourlearning.com</v>
      </c>
      <c r="L1495" s="6" t="str">
        <f>IFERROR(__xludf.DUMMYFUNCTION("""COMPUTED_VALUE"""),"Learn and Earn Poland")</f>
        <v>Learn and Earn Poland</v>
      </c>
      <c r="M1495" s="6" t="str">
        <f>IFERROR(__xludf.DUMMYFUNCTION("""COMPUTED_VALUE"""),"Budapest Alpha")</f>
        <v>Budapest Alpha</v>
      </c>
      <c r="N1495" s="6" t="str">
        <f>IFERROR(__xludf.DUMMYFUNCTION("""COMPUTED_VALUE"""),"")</f>
        <v/>
      </c>
      <c r="O1495" s="87" t="str">
        <f>IFERROR(__xludf.DUMMYFUNCTION("""COMPUTED_VALUE"""),"https://drive.google.com/drive/folders/10T2cTQHqEJZqE-st6uFKPoI?usp=share_link")</f>
        <v>https://drive.google.com/drive/folders/10T2cTQHqEJZqE-st6uFKPoI?usp=share_link</v>
      </c>
      <c r="P1495" s="6" t="str">
        <f>IFERROR(__xludf.DUMMYFUNCTION("""COMPUTED_VALUE"""),"Evelina Lysytska")</f>
        <v>Evelina Lysytska</v>
      </c>
      <c r="Q1495" s="6" t="str">
        <f>IFERROR(__xludf.DUMMYFUNCTION("""COMPUTED_VALUE"""),"L2")</f>
        <v>L2</v>
      </c>
      <c r="R1495" s="6">
        <f>IFERROR(__xludf.DUMMYFUNCTION("""COMPUTED_VALUE"""),2.0)</f>
        <v>2</v>
      </c>
      <c r="S1495" s="6" t="str">
        <f>IFERROR(__xludf.DUMMYFUNCTION("""COMPUTED_VALUE""")," ")</f>
        <v> </v>
      </c>
      <c r="T1495" s="6" t="str">
        <f>IFERROR(__xludf.DUMMYFUNCTION("""COMPUTED_VALUE"""),"")</f>
        <v/>
      </c>
      <c r="U1495" s="6" t="str">
        <f>IFERROR(__xludf.DUMMYFUNCTION("""COMPUTED_VALUE"""),"4")</f>
        <v>4</v>
      </c>
      <c r="V1495" s="6" t="str">
        <f>IFERROR(__xludf.DUMMYFUNCTION("""COMPUTED_VALUE"""),"English")</f>
        <v>English</v>
      </c>
      <c r="W1495" s="6" t="str">
        <f>IFERROR(__xludf.DUMMYFUNCTION("""COMPUTED_VALUE"""),"[]")</f>
        <v>[]</v>
      </c>
      <c r="X1495" s="6" t="str">
        <f>IFERROR(__xludf.DUMMYFUNCTION("""COMPUTED_VALUE"""),"Enrolled")</f>
        <v>Enrolled</v>
      </c>
    </row>
    <row r="1496">
      <c r="A1496" s="6" t="str">
        <f>IFERROR(__xludf.DUMMYFUNCTION("""COMPUTED_VALUE"""),"009-1752")</f>
        <v>009-1752</v>
      </c>
      <c r="B1496" s="6" t="str">
        <f>IFERROR(__xludf.DUMMYFUNCTION("""COMPUTED_VALUE"""),"9")</f>
        <v>9</v>
      </c>
      <c r="C1496" s="6" t="str">
        <f>IFERROR(__xludf.DUMMYFUNCTION("""COMPUTED_VALUE"""),"1752")</f>
        <v>1752</v>
      </c>
      <c r="D1496" s="6" t="str">
        <f>IFERROR(__xludf.DUMMYFUNCTION("""COMPUTED_VALUE"""),"Laura")</f>
        <v>Laura</v>
      </c>
      <c r="E1496" s="6" t="str">
        <f>IFERROR(__xludf.DUMMYFUNCTION("""COMPUTED_VALUE"""),"")</f>
        <v/>
      </c>
      <c r="F1496" s="6" t="str">
        <f>IFERROR(__xludf.DUMMYFUNCTION("""COMPUTED_VALUE"""),"Katona")</f>
        <v>Katona</v>
      </c>
      <c r="G1496" s="6" t="str">
        <f>IFERROR(__xludf.DUMMYFUNCTION("""COMPUTED_VALUE"""),"01/01/2011")</f>
        <v>01/01/2011</v>
      </c>
      <c r="H1496" s="6" t="str">
        <f>IFERROR(__xludf.DUMMYFUNCTION("""COMPUTED_VALUE"""),"Self Identify")</f>
        <v>Self Identify</v>
      </c>
      <c r="I1496" s="6" t="str">
        <f>IFERROR(__xludf.DUMMYFUNCTION("""COMPUTED_VALUE"""),"Middle School")</f>
        <v>Middle School</v>
      </c>
      <c r="J1496" s="6" t="str">
        <f>IFERROR(__xludf.DUMMYFUNCTION("""COMPUTED_VALUE"""),"8")</f>
        <v>8</v>
      </c>
      <c r="K1496" s="6" t="str">
        <f>IFERROR(__xludf.DUMMYFUNCTION("""COMPUTED_VALUE"""),"laura.katona@2hourlearning.com")</f>
        <v>laura.katona@2hourlearning.com</v>
      </c>
      <c r="L1496" s="6" t="str">
        <f>IFERROR(__xludf.DUMMYFUNCTION("""COMPUTED_VALUE"""),"Learn and Earn Poland")</f>
        <v>Learn and Earn Poland</v>
      </c>
      <c r="M1496" s="6" t="str">
        <f>IFERROR(__xludf.DUMMYFUNCTION("""COMPUTED_VALUE"""),"Budapest Alpha")</f>
        <v>Budapest Alpha</v>
      </c>
      <c r="N1496" s="6" t="str">
        <f>IFERROR(__xludf.DUMMYFUNCTION("""COMPUTED_VALUE"""),"")</f>
        <v/>
      </c>
      <c r="O1496" s="87" t="str">
        <f>IFERROR(__xludf.DUMMYFUNCTION("""COMPUTED_VALUE"""),"https://drive.google.com/drive/folders/10T2cTQHqEJZqE-st6uFKPoI?usp=share_link")</f>
        <v>https://drive.google.com/drive/folders/10T2cTQHqEJZqE-st6uFKPoI?usp=share_link</v>
      </c>
      <c r="P1496" s="6" t="str">
        <f>IFERROR(__xludf.DUMMYFUNCTION("""COMPUTED_VALUE"""),"Laura Katona")</f>
        <v>Laura Katona</v>
      </c>
      <c r="Q1496" s="6" t="str">
        <f>IFERROR(__xludf.DUMMYFUNCTION("""COMPUTED_VALUE"""),"MS")</f>
        <v>MS</v>
      </c>
      <c r="R1496" s="6">
        <f>IFERROR(__xludf.DUMMYFUNCTION("""COMPUTED_VALUE"""),0.0)</f>
        <v>0</v>
      </c>
      <c r="S1496" s="6" t="str">
        <f>IFERROR(__xludf.DUMMYFUNCTION("""COMPUTED_VALUE""")," ")</f>
        <v> </v>
      </c>
      <c r="T1496" s="6" t="str">
        <f>IFERROR(__xludf.DUMMYFUNCTION("""COMPUTED_VALUE"""),"")</f>
        <v/>
      </c>
      <c r="U1496" s="6" t="str">
        <f>IFERROR(__xludf.DUMMYFUNCTION("""COMPUTED_VALUE"""),"8")</f>
        <v>8</v>
      </c>
      <c r="V1496" s="6" t="str">
        <f>IFERROR(__xludf.DUMMYFUNCTION("""COMPUTED_VALUE"""),"English")</f>
        <v>English</v>
      </c>
      <c r="W1496" s="6" t="str">
        <f>IFERROR(__xludf.DUMMYFUNCTION("""COMPUTED_VALUE"""),"[]")</f>
        <v>[]</v>
      </c>
      <c r="X1496" s="6" t="str">
        <f>IFERROR(__xludf.DUMMYFUNCTION("""COMPUTED_VALUE"""),"Enrolled")</f>
        <v>Enrolled</v>
      </c>
    </row>
    <row r="1497">
      <c r="A1497" s="6" t="str">
        <f>IFERROR(__xludf.DUMMYFUNCTION("""COMPUTED_VALUE"""),"009-1753")</f>
        <v>009-1753</v>
      </c>
      <c r="B1497" s="6" t="str">
        <f>IFERROR(__xludf.DUMMYFUNCTION("""COMPUTED_VALUE"""),"9")</f>
        <v>9</v>
      </c>
      <c r="C1497" s="6" t="str">
        <f>IFERROR(__xludf.DUMMYFUNCTION("""COMPUTED_VALUE"""),"1753")</f>
        <v>1753</v>
      </c>
      <c r="D1497" s="6" t="str">
        <f>IFERROR(__xludf.DUMMYFUNCTION("""COMPUTED_VALUE"""),"Nikolett")</f>
        <v>Nikolett</v>
      </c>
      <c r="E1497" s="6" t="str">
        <f>IFERROR(__xludf.DUMMYFUNCTION("""COMPUTED_VALUE"""),"")</f>
        <v/>
      </c>
      <c r="F1497" s="6" t="str">
        <f>IFERROR(__xludf.DUMMYFUNCTION("""COMPUTED_VALUE"""),"Mate")</f>
        <v>Mate</v>
      </c>
      <c r="G1497" s="6" t="str">
        <f>IFERROR(__xludf.DUMMYFUNCTION("""COMPUTED_VALUE"""),"01/01/2007")</f>
        <v>01/01/2007</v>
      </c>
      <c r="H1497" s="6" t="str">
        <f>IFERROR(__xludf.DUMMYFUNCTION("""COMPUTED_VALUE"""),"Self Identify")</f>
        <v>Self Identify</v>
      </c>
      <c r="I1497" s="6" t="str">
        <f>IFERROR(__xludf.DUMMYFUNCTION("""COMPUTED_VALUE"""),"High School")</f>
        <v>High School</v>
      </c>
      <c r="J1497" s="6" t="str">
        <f>IFERROR(__xludf.DUMMYFUNCTION("""COMPUTED_VALUE"""),"12")</f>
        <v>12</v>
      </c>
      <c r="K1497" s="6" t="str">
        <f>IFERROR(__xludf.DUMMYFUNCTION("""COMPUTED_VALUE"""),"nikolett.mate@2hourlearning.com")</f>
        <v>nikolett.mate@2hourlearning.com</v>
      </c>
      <c r="L1497" s="6" t="str">
        <f>IFERROR(__xludf.DUMMYFUNCTION("""COMPUTED_VALUE"""),"Learn and Earn Poland")</f>
        <v>Learn and Earn Poland</v>
      </c>
      <c r="M1497" s="6" t="str">
        <f>IFERROR(__xludf.DUMMYFUNCTION("""COMPUTED_VALUE"""),"Budapest Alpha")</f>
        <v>Budapest Alpha</v>
      </c>
      <c r="N1497" s="6" t="str">
        <f>IFERROR(__xludf.DUMMYFUNCTION("""COMPUTED_VALUE"""),"")</f>
        <v/>
      </c>
      <c r="O1497" s="87" t="str">
        <f>IFERROR(__xludf.DUMMYFUNCTION("""COMPUTED_VALUE"""),"https://drive.google.com/drive/folders/10T2cTQHqEJZqE-st6uFKPoI?usp=share_link")</f>
        <v>https://drive.google.com/drive/folders/10T2cTQHqEJZqE-st6uFKPoI?usp=share_link</v>
      </c>
      <c r="P1497" s="6" t="str">
        <f>IFERROR(__xludf.DUMMYFUNCTION("""COMPUTED_VALUE"""),"Nikolett Mate")</f>
        <v>Nikolett Mate</v>
      </c>
      <c r="Q1497" s="6" t="str">
        <f>IFERROR(__xludf.DUMMYFUNCTION("""COMPUTED_VALUE"""),"HS")</f>
        <v>HS</v>
      </c>
      <c r="R1497" s="6">
        <f>IFERROR(__xludf.DUMMYFUNCTION("""COMPUTED_VALUE"""),0.0)</f>
        <v>0</v>
      </c>
      <c r="S1497" s="6" t="str">
        <f>IFERROR(__xludf.DUMMYFUNCTION("""COMPUTED_VALUE""")," ")</f>
        <v> </v>
      </c>
      <c r="T1497" s="6" t="str">
        <f>IFERROR(__xludf.DUMMYFUNCTION("""COMPUTED_VALUE"""),"")</f>
        <v/>
      </c>
      <c r="U1497" s="6" t="str">
        <f>IFERROR(__xludf.DUMMYFUNCTION("""COMPUTED_VALUE"""),"12")</f>
        <v>12</v>
      </c>
      <c r="V1497" s="6" t="str">
        <f>IFERROR(__xludf.DUMMYFUNCTION("""COMPUTED_VALUE"""),"English")</f>
        <v>English</v>
      </c>
      <c r="W1497" s="6" t="str">
        <f>IFERROR(__xludf.DUMMYFUNCTION("""COMPUTED_VALUE"""),"[]")</f>
        <v>[]</v>
      </c>
      <c r="X1497" s="6" t="str">
        <f>IFERROR(__xludf.DUMMYFUNCTION("""COMPUTED_VALUE"""),"Enrolled")</f>
        <v>Enrolled</v>
      </c>
    </row>
    <row r="1498">
      <c r="A1498" s="6" t="str">
        <f>IFERROR(__xludf.DUMMYFUNCTION("""COMPUTED_VALUE"""),"009-1754")</f>
        <v>009-1754</v>
      </c>
      <c r="B1498" s="6" t="str">
        <f>IFERROR(__xludf.DUMMYFUNCTION("""COMPUTED_VALUE"""),"9")</f>
        <v>9</v>
      </c>
      <c r="C1498" s="6" t="str">
        <f>IFERROR(__xludf.DUMMYFUNCTION("""COMPUTED_VALUE"""),"1754")</f>
        <v>1754</v>
      </c>
      <c r="D1498" s="6" t="str">
        <f>IFERROR(__xludf.DUMMYFUNCTION("""COMPUTED_VALUE"""),"Darina")</f>
        <v>Darina</v>
      </c>
      <c r="E1498" s="6" t="str">
        <f>IFERROR(__xludf.DUMMYFUNCTION("""COMPUTED_VALUE"""),"")</f>
        <v/>
      </c>
      <c r="F1498" s="6" t="str">
        <f>IFERROR(__xludf.DUMMYFUNCTION("""COMPUTED_VALUE"""),"Kryshenyk")</f>
        <v>Kryshenyk</v>
      </c>
      <c r="G1498" s="6" t="str">
        <f>IFERROR(__xludf.DUMMYFUNCTION("""COMPUTED_VALUE"""),"01/01/2014")</f>
        <v>01/01/2014</v>
      </c>
      <c r="H1498" s="6" t="str">
        <f>IFERROR(__xludf.DUMMYFUNCTION("""COMPUTED_VALUE"""),"Self Identify")</f>
        <v>Self Identify</v>
      </c>
      <c r="I1498" s="6" t="str">
        <f>IFERROR(__xludf.DUMMYFUNCTION("""COMPUTED_VALUE"""),"Level 2")</f>
        <v>Level 2</v>
      </c>
      <c r="J1498" s="6" t="str">
        <f>IFERROR(__xludf.DUMMYFUNCTION("""COMPUTED_VALUE"""),"5")</f>
        <v>5</v>
      </c>
      <c r="K1498" s="6" t="str">
        <f>IFERROR(__xludf.DUMMYFUNCTION("""COMPUTED_VALUE"""),"kryshenyk.darina@2hourlearning.com")</f>
        <v>kryshenyk.darina@2hourlearning.com</v>
      </c>
      <c r="L1498" s="6" t="str">
        <f>IFERROR(__xludf.DUMMYFUNCTION("""COMPUTED_VALUE"""),"Learn and Earn Poland")</f>
        <v>Learn and Earn Poland</v>
      </c>
      <c r="M1498" s="6" t="str">
        <f>IFERROR(__xludf.DUMMYFUNCTION("""COMPUTED_VALUE"""),"Budapest Alpha")</f>
        <v>Budapest Alpha</v>
      </c>
      <c r="N1498" s="6" t="str">
        <f>IFERROR(__xludf.DUMMYFUNCTION("""COMPUTED_VALUE"""),"")</f>
        <v/>
      </c>
      <c r="O1498" s="87" t="str">
        <f>IFERROR(__xludf.DUMMYFUNCTION("""COMPUTED_VALUE"""),"https://drive.google.com/drive/folders/10T2cTQHqEJZqE-st6uFKPoI?usp=share_link")</f>
        <v>https://drive.google.com/drive/folders/10T2cTQHqEJZqE-st6uFKPoI?usp=share_link</v>
      </c>
      <c r="P1498" s="6" t="str">
        <f>IFERROR(__xludf.DUMMYFUNCTION("""COMPUTED_VALUE"""),"Darina Kryshenyk")</f>
        <v>Darina Kryshenyk</v>
      </c>
      <c r="Q1498" s="6" t="str">
        <f>IFERROR(__xludf.DUMMYFUNCTION("""COMPUTED_VALUE"""),"L2")</f>
        <v>L2</v>
      </c>
      <c r="R1498" s="6">
        <f>IFERROR(__xludf.DUMMYFUNCTION("""COMPUTED_VALUE"""),2.0)</f>
        <v>2</v>
      </c>
      <c r="S1498" s="6" t="str">
        <f>IFERROR(__xludf.DUMMYFUNCTION("""COMPUTED_VALUE""")," ")</f>
        <v> </v>
      </c>
      <c r="T1498" s="6" t="str">
        <f>IFERROR(__xludf.DUMMYFUNCTION("""COMPUTED_VALUE"""),"")</f>
        <v/>
      </c>
      <c r="U1498" s="6" t="str">
        <f>IFERROR(__xludf.DUMMYFUNCTION("""COMPUTED_VALUE"""),"5")</f>
        <v>5</v>
      </c>
      <c r="V1498" s="6" t="str">
        <f>IFERROR(__xludf.DUMMYFUNCTION("""COMPUTED_VALUE"""),"English")</f>
        <v>English</v>
      </c>
      <c r="W1498" s="6" t="str">
        <f>IFERROR(__xludf.DUMMYFUNCTION("""COMPUTED_VALUE"""),"[]")</f>
        <v>[]</v>
      </c>
      <c r="X1498" s="6" t="str">
        <f>IFERROR(__xludf.DUMMYFUNCTION("""COMPUTED_VALUE"""),"Enrolled")</f>
        <v>Enrolled</v>
      </c>
    </row>
    <row r="1499">
      <c r="A1499" s="6" t="str">
        <f>IFERROR(__xludf.DUMMYFUNCTION("""COMPUTED_VALUE"""),"009-1755")</f>
        <v>009-1755</v>
      </c>
      <c r="B1499" s="6" t="str">
        <f>IFERROR(__xludf.DUMMYFUNCTION("""COMPUTED_VALUE"""),"9")</f>
        <v>9</v>
      </c>
      <c r="C1499" s="6" t="str">
        <f>IFERROR(__xludf.DUMMYFUNCTION("""COMPUTED_VALUE"""),"1755")</f>
        <v>1755</v>
      </c>
      <c r="D1499" s="6" t="str">
        <f>IFERROR(__xludf.DUMMYFUNCTION("""COMPUTED_VALUE"""),"Roland")</f>
        <v>Roland</v>
      </c>
      <c r="E1499" s="6" t="str">
        <f>IFERROR(__xludf.DUMMYFUNCTION("""COMPUTED_VALUE"""),"")</f>
        <v/>
      </c>
      <c r="F1499" s="6" t="str">
        <f>IFERROR(__xludf.DUMMYFUNCTION("""COMPUTED_VALUE"""),"Katona")</f>
        <v>Katona</v>
      </c>
      <c r="G1499" s="6" t="str">
        <f>IFERROR(__xludf.DUMMYFUNCTION("""COMPUTED_VALUE"""),"01/01/2008")</f>
        <v>01/01/2008</v>
      </c>
      <c r="H1499" s="6" t="str">
        <f>IFERROR(__xludf.DUMMYFUNCTION("""COMPUTED_VALUE"""),"Self Identify")</f>
        <v>Self Identify</v>
      </c>
      <c r="I1499" s="6" t="str">
        <f>IFERROR(__xludf.DUMMYFUNCTION("""COMPUTED_VALUE"""),"High School")</f>
        <v>High School</v>
      </c>
      <c r="J1499" s="6" t="str">
        <f>IFERROR(__xludf.DUMMYFUNCTION("""COMPUTED_VALUE"""),"11")</f>
        <v>11</v>
      </c>
      <c r="K1499" s="6" t="str">
        <f>IFERROR(__xludf.DUMMYFUNCTION("""COMPUTED_VALUE"""),"roland.katona@2hourlearning.com")</f>
        <v>roland.katona@2hourlearning.com</v>
      </c>
      <c r="L1499" s="6" t="str">
        <f>IFERROR(__xludf.DUMMYFUNCTION("""COMPUTED_VALUE"""),"Learn and Earn Poland")</f>
        <v>Learn and Earn Poland</v>
      </c>
      <c r="M1499" s="6" t="str">
        <f>IFERROR(__xludf.DUMMYFUNCTION("""COMPUTED_VALUE"""),"Budapest Alpha")</f>
        <v>Budapest Alpha</v>
      </c>
      <c r="N1499" s="6" t="str">
        <f>IFERROR(__xludf.DUMMYFUNCTION("""COMPUTED_VALUE"""),"")</f>
        <v/>
      </c>
      <c r="O1499" s="87" t="str">
        <f>IFERROR(__xludf.DUMMYFUNCTION("""COMPUTED_VALUE"""),"https://drive.google.com/drive/folders/10T2cTQHqEJZqE-st6uFKPoI?usp=share_link")</f>
        <v>https://drive.google.com/drive/folders/10T2cTQHqEJZqE-st6uFKPoI?usp=share_link</v>
      </c>
      <c r="P1499" s="6" t="str">
        <f>IFERROR(__xludf.DUMMYFUNCTION("""COMPUTED_VALUE"""),"Roland Katona")</f>
        <v>Roland Katona</v>
      </c>
      <c r="Q1499" s="6" t="str">
        <f>IFERROR(__xludf.DUMMYFUNCTION("""COMPUTED_VALUE"""),"HS")</f>
        <v>HS</v>
      </c>
      <c r="R1499" s="6">
        <f>IFERROR(__xludf.DUMMYFUNCTION("""COMPUTED_VALUE"""),0.0)</f>
        <v>0</v>
      </c>
      <c r="S1499" s="6" t="str">
        <f>IFERROR(__xludf.DUMMYFUNCTION("""COMPUTED_VALUE""")," ")</f>
        <v> </v>
      </c>
      <c r="T1499" s="6" t="str">
        <f>IFERROR(__xludf.DUMMYFUNCTION("""COMPUTED_VALUE"""),"")</f>
        <v/>
      </c>
      <c r="U1499" s="6" t="str">
        <f>IFERROR(__xludf.DUMMYFUNCTION("""COMPUTED_VALUE"""),"11")</f>
        <v>11</v>
      </c>
      <c r="V1499" s="6" t="str">
        <f>IFERROR(__xludf.DUMMYFUNCTION("""COMPUTED_VALUE"""),"English")</f>
        <v>English</v>
      </c>
      <c r="W1499" s="6" t="str">
        <f>IFERROR(__xludf.DUMMYFUNCTION("""COMPUTED_VALUE"""),"[]")</f>
        <v>[]</v>
      </c>
      <c r="X1499" s="6" t="str">
        <f>IFERROR(__xludf.DUMMYFUNCTION("""COMPUTED_VALUE"""),"Enrolled")</f>
        <v>Enrolled</v>
      </c>
    </row>
    <row r="1500">
      <c r="A1500" s="6" t="str">
        <f>IFERROR(__xludf.DUMMYFUNCTION("""COMPUTED_VALUE"""),"009-1756")</f>
        <v>009-1756</v>
      </c>
      <c r="B1500" s="6" t="str">
        <f>IFERROR(__xludf.DUMMYFUNCTION("""COMPUTED_VALUE"""),"9")</f>
        <v>9</v>
      </c>
      <c r="C1500" s="6" t="str">
        <f>IFERROR(__xludf.DUMMYFUNCTION("""COMPUTED_VALUE"""),"1756")</f>
        <v>1756</v>
      </c>
      <c r="D1500" s="6" t="str">
        <f>IFERROR(__xludf.DUMMYFUNCTION("""COMPUTED_VALUE"""),"Nelli")</f>
        <v>Nelli</v>
      </c>
      <c r="E1500" s="6" t="str">
        <f>IFERROR(__xludf.DUMMYFUNCTION("""COMPUTED_VALUE"""),"")</f>
        <v/>
      </c>
      <c r="F1500" s="6" t="str">
        <f>IFERROR(__xludf.DUMMYFUNCTION("""COMPUTED_VALUE"""),"Hrytsylo")</f>
        <v>Hrytsylo</v>
      </c>
      <c r="G1500" s="6" t="str">
        <f>IFERROR(__xludf.DUMMYFUNCTION("""COMPUTED_VALUE"""),"01/01/2013")</f>
        <v>01/01/2013</v>
      </c>
      <c r="H1500" s="6" t="str">
        <f>IFERROR(__xludf.DUMMYFUNCTION("""COMPUTED_VALUE"""),"Self Identify")</f>
        <v>Self Identify</v>
      </c>
      <c r="I1500" s="6" t="str">
        <f>IFERROR(__xludf.DUMMYFUNCTION("""COMPUTED_VALUE"""),"Middle School")</f>
        <v>Middle School</v>
      </c>
      <c r="J1500" s="6" t="str">
        <f>IFERROR(__xludf.DUMMYFUNCTION("""COMPUTED_VALUE"""),"6")</f>
        <v>6</v>
      </c>
      <c r="K1500" s="6" t="str">
        <f>IFERROR(__xludf.DUMMYFUNCTION("""COMPUTED_VALUE"""),"nelli.hrytsylo@2hourlearning.com")</f>
        <v>nelli.hrytsylo@2hourlearning.com</v>
      </c>
      <c r="L1500" s="6" t="str">
        <f>IFERROR(__xludf.DUMMYFUNCTION("""COMPUTED_VALUE"""),"Learn and Earn Poland")</f>
        <v>Learn and Earn Poland</v>
      </c>
      <c r="M1500" s="6" t="str">
        <f>IFERROR(__xludf.DUMMYFUNCTION("""COMPUTED_VALUE"""),"Budapest Alpha")</f>
        <v>Budapest Alpha</v>
      </c>
      <c r="N1500" s="6" t="str">
        <f>IFERROR(__xludf.DUMMYFUNCTION("""COMPUTED_VALUE"""),"")</f>
        <v/>
      </c>
      <c r="O1500" s="87" t="str">
        <f>IFERROR(__xludf.DUMMYFUNCTION("""COMPUTED_VALUE"""),"https://drive.google.com/drive/folders/10T2cTQHqEJZqE-st6uFKPoI?usp=share_link")</f>
        <v>https://drive.google.com/drive/folders/10T2cTQHqEJZqE-st6uFKPoI?usp=share_link</v>
      </c>
      <c r="P1500" s="6" t="str">
        <f>IFERROR(__xludf.DUMMYFUNCTION("""COMPUTED_VALUE"""),"Nelli Hrytsylo")</f>
        <v>Nelli Hrytsylo</v>
      </c>
      <c r="Q1500" s="6" t="str">
        <f>IFERROR(__xludf.DUMMYFUNCTION("""COMPUTED_VALUE"""),"MS")</f>
        <v>MS</v>
      </c>
      <c r="R1500" s="6">
        <f>IFERROR(__xludf.DUMMYFUNCTION("""COMPUTED_VALUE"""),0.0)</f>
        <v>0</v>
      </c>
      <c r="S1500" s="6" t="str">
        <f>IFERROR(__xludf.DUMMYFUNCTION("""COMPUTED_VALUE""")," ")</f>
        <v> </v>
      </c>
      <c r="T1500" s="6" t="str">
        <f>IFERROR(__xludf.DUMMYFUNCTION("""COMPUTED_VALUE"""),"")</f>
        <v/>
      </c>
      <c r="U1500" s="6" t="str">
        <f>IFERROR(__xludf.DUMMYFUNCTION("""COMPUTED_VALUE"""),"6")</f>
        <v>6</v>
      </c>
      <c r="V1500" s="6" t="str">
        <f>IFERROR(__xludf.DUMMYFUNCTION("""COMPUTED_VALUE"""),"English")</f>
        <v>English</v>
      </c>
      <c r="W1500" s="6" t="str">
        <f>IFERROR(__xludf.DUMMYFUNCTION("""COMPUTED_VALUE"""),"[]")</f>
        <v>[]</v>
      </c>
      <c r="X1500" s="6" t="str">
        <f>IFERROR(__xludf.DUMMYFUNCTION("""COMPUTED_VALUE"""),"Enrolled")</f>
        <v>Enrolled</v>
      </c>
    </row>
    <row r="1501">
      <c r="A1501" s="6" t="str">
        <f>IFERROR(__xludf.DUMMYFUNCTION("""COMPUTED_VALUE"""),"009-1757")</f>
        <v>009-1757</v>
      </c>
      <c r="B1501" s="6" t="str">
        <f>IFERROR(__xludf.DUMMYFUNCTION("""COMPUTED_VALUE"""),"9")</f>
        <v>9</v>
      </c>
      <c r="C1501" s="6" t="str">
        <f>IFERROR(__xludf.DUMMYFUNCTION("""COMPUTED_VALUE"""),"1757")</f>
        <v>1757</v>
      </c>
      <c r="D1501" s="6" t="str">
        <f>IFERROR(__xludf.DUMMYFUNCTION("""COMPUTED_VALUE"""),"Iren")</f>
        <v>Iren</v>
      </c>
      <c r="E1501" s="6" t="str">
        <f>IFERROR(__xludf.DUMMYFUNCTION("""COMPUTED_VALUE"""),"")</f>
        <v/>
      </c>
      <c r="F1501" s="6" t="str">
        <f>IFERROR(__xludf.DUMMYFUNCTION("""COMPUTED_VALUE"""),"Tkachuk")</f>
        <v>Tkachuk</v>
      </c>
      <c r="G1501" s="6" t="str">
        <f>IFERROR(__xludf.DUMMYFUNCTION("""COMPUTED_VALUE"""),"01/01/2014")</f>
        <v>01/01/2014</v>
      </c>
      <c r="H1501" s="6" t="str">
        <f>IFERROR(__xludf.DUMMYFUNCTION("""COMPUTED_VALUE"""),"Self Identify")</f>
        <v>Self Identify</v>
      </c>
      <c r="I1501" s="6" t="str">
        <f>IFERROR(__xludf.DUMMYFUNCTION("""COMPUTED_VALUE"""),"Level 2")</f>
        <v>Level 2</v>
      </c>
      <c r="J1501" s="6" t="str">
        <f>IFERROR(__xludf.DUMMYFUNCTION("""COMPUTED_VALUE"""),"5")</f>
        <v>5</v>
      </c>
      <c r="K1501" s="6" t="str">
        <f>IFERROR(__xludf.DUMMYFUNCTION("""COMPUTED_VALUE"""),"iren.tkachuk@2hourlearning.com")</f>
        <v>iren.tkachuk@2hourlearning.com</v>
      </c>
      <c r="L1501" s="6" t="str">
        <f>IFERROR(__xludf.DUMMYFUNCTION("""COMPUTED_VALUE"""),"Learn and Earn Poland")</f>
        <v>Learn and Earn Poland</v>
      </c>
      <c r="M1501" s="6" t="str">
        <f>IFERROR(__xludf.DUMMYFUNCTION("""COMPUTED_VALUE"""),"Budapest Alpha")</f>
        <v>Budapest Alpha</v>
      </c>
      <c r="N1501" s="6" t="str">
        <f>IFERROR(__xludf.DUMMYFUNCTION("""COMPUTED_VALUE"""),"")</f>
        <v/>
      </c>
      <c r="O1501" s="87" t="str">
        <f>IFERROR(__xludf.DUMMYFUNCTION("""COMPUTED_VALUE"""),"https://drive.google.com/drive/folders/10T2cTQHqEJZqE-st6uFKPoI?usp=share_link")</f>
        <v>https://drive.google.com/drive/folders/10T2cTQHqEJZqE-st6uFKPoI?usp=share_link</v>
      </c>
      <c r="P1501" s="6" t="str">
        <f>IFERROR(__xludf.DUMMYFUNCTION("""COMPUTED_VALUE"""),"Iren Tkachuk")</f>
        <v>Iren Tkachuk</v>
      </c>
      <c r="Q1501" s="6" t="str">
        <f>IFERROR(__xludf.DUMMYFUNCTION("""COMPUTED_VALUE"""),"L2")</f>
        <v>L2</v>
      </c>
      <c r="R1501" s="6">
        <f>IFERROR(__xludf.DUMMYFUNCTION("""COMPUTED_VALUE"""),2.0)</f>
        <v>2</v>
      </c>
      <c r="S1501" s="6" t="str">
        <f>IFERROR(__xludf.DUMMYFUNCTION("""COMPUTED_VALUE""")," ")</f>
        <v> </v>
      </c>
      <c r="T1501" s="6" t="str">
        <f>IFERROR(__xludf.DUMMYFUNCTION("""COMPUTED_VALUE"""),"")</f>
        <v/>
      </c>
      <c r="U1501" s="6" t="str">
        <f>IFERROR(__xludf.DUMMYFUNCTION("""COMPUTED_VALUE"""),"5")</f>
        <v>5</v>
      </c>
      <c r="V1501" s="6" t="str">
        <f>IFERROR(__xludf.DUMMYFUNCTION("""COMPUTED_VALUE"""),"English")</f>
        <v>English</v>
      </c>
      <c r="W1501" s="6" t="str">
        <f>IFERROR(__xludf.DUMMYFUNCTION("""COMPUTED_VALUE"""),"[]")</f>
        <v>[]</v>
      </c>
      <c r="X1501" s="6" t="str">
        <f>IFERROR(__xludf.DUMMYFUNCTION("""COMPUTED_VALUE"""),"Enrolled")</f>
        <v>Enrolled</v>
      </c>
    </row>
    <row r="1502">
      <c r="A1502" s="6" t="str">
        <f>IFERROR(__xludf.DUMMYFUNCTION("""COMPUTED_VALUE"""),"009-1758")</f>
        <v>009-1758</v>
      </c>
      <c r="B1502" s="6" t="str">
        <f>IFERROR(__xludf.DUMMYFUNCTION("""COMPUTED_VALUE"""),"9")</f>
        <v>9</v>
      </c>
      <c r="C1502" s="6" t="str">
        <f>IFERROR(__xludf.DUMMYFUNCTION("""COMPUTED_VALUE"""),"1758")</f>
        <v>1758</v>
      </c>
      <c r="D1502" s="6" t="str">
        <f>IFERROR(__xludf.DUMMYFUNCTION("""COMPUTED_VALUE"""),"Anna")</f>
        <v>Anna</v>
      </c>
      <c r="E1502" s="6" t="str">
        <f>IFERROR(__xludf.DUMMYFUNCTION("""COMPUTED_VALUE"""),"")</f>
        <v/>
      </c>
      <c r="F1502" s="6" t="str">
        <f>IFERROR(__xludf.DUMMYFUNCTION("""COMPUTED_VALUE"""),"Tkachuk")</f>
        <v>Tkachuk</v>
      </c>
      <c r="G1502" s="6" t="str">
        <f>IFERROR(__xludf.DUMMYFUNCTION("""COMPUTED_VALUE"""),"01/01/2011")</f>
        <v>01/01/2011</v>
      </c>
      <c r="H1502" s="6" t="str">
        <f>IFERROR(__xludf.DUMMYFUNCTION("""COMPUTED_VALUE"""),"Self Identify")</f>
        <v>Self Identify</v>
      </c>
      <c r="I1502" s="6" t="str">
        <f>IFERROR(__xludf.DUMMYFUNCTION("""COMPUTED_VALUE"""),"Middle School")</f>
        <v>Middle School</v>
      </c>
      <c r="J1502" s="6" t="str">
        <f>IFERROR(__xludf.DUMMYFUNCTION("""COMPUTED_VALUE"""),"8")</f>
        <v>8</v>
      </c>
      <c r="K1502" s="6" t="str">
        <f>IFERROR(__xludf.DUMMYFUNCTION("""COMPUTED_VALUE"""),"anna.tkachuk@2hourlearning.com")</f>
        <v>anna.tkachuk@2hourlearning.com</v>
      </c>
      <c r="L1502" s="6" t="str">
        <f>IFERROR(__xludf.DUMMYFUNCTION("""COMPUTED_VALUE"""),"Learn and Earn Poland")</f>
        <v>Learn and Earn Poland</v>
      </c>
      <c r="M1502" s="6" t="str">
        <f>IFERROR(__xludf.DUMMYFUNCTION("""COMPUTED_VALUE"""),"Budapest Alpha")</f>
        <v>Budapest Alpha</v>
      </c>
      <c r="N1502" s="6" t="str">
        <f>IFERROR(__xludf.DUMMYFUNCTION("""COMPUTED_VALUE"""),"")</f>
        <v/>
      </c>
      <c r="O1502" s="87" t="str">
        <f>IFERROR(__xludf.DUMMYFUNCTION("""COMPUTED_VALUE"""),"https://drive.google.com/drive/folders/10T2cTQHqEJZqE-st6uFKPoI?usp=share_link")</f>
        <v>https://drive.google.com/drive/folders/10T2cTQHqEJZqE-st6uFKPoI?usp=share_link</v>
      </c>
      <c r="P1502" s="6" t="str">
        <f>IFERROR(__xludf.DUMMYFUNCTION("""COMPUTED_VALUE"""),"Anna Tkachuk")</f>
        <v>Anna Tkachuk</v>
      </c>
      <c r="Q1502" s="6" t="str">
        <f>IFERROR(__xludf.DUMMYFUNCTION("""COMPUTED_VALUE"""),"MS")</f>
        <v>MS</v>
      </c>
      <c r="R1502" s="6">
        <f>IFERROR(__xludf.DUMMYFUNCTION("""COMPUTED_VALUE"""),0.0)</f>
        <v>0</v>
      </c>
      <c r="S1502" s="6" t="str">
        <f>IFERROR(__xludf.DUMMYFUNCTION("""COMPUTED_VALUE""")," ")</f>
        <v> </v>
      </c>
      <c r="T1502" s="6" t="str">
        <f>IFERROR(__xludf.DUMMYFUNCTION("""COMPUTED_VALUE"""),"")</f>
        <v/>
      </c>
      <c r="U1502" s="6" t="str">
        <f>IFERROR(__xludf.DUMMYFUNCTION("""COMPUTED_VALUE"""),"8")</f>
        <v>8</v>
      </c>
      <c r="V1502" s="6" t="str">
        <f>IFERROR(__xludf.DUMMYFUNCTION("""COMPUTED_VALUE"""),"English")</f>
        <v>English</v>
      </c>
      <c r="W1502" s="6" t="str">
        <f>IFERROR(__xludf.DUMMYFUNCTION("""COMPUTED_VALUE"""),"[]")</f>
        <v>[]</v>
      </c>
      <c r="X1502" s="6" t="str">
        <f>IFERROR(__xludf.DUMMYFUNCTION("""COMPUTED_VALUE"""),"Enrolled")</f>
        <v>Enrolled</v>
      </c>
    </row>
    <row r="1503">
      <c r="A1503" s="6" t="str">
        <f>IFERROR(__xludf.DUMMYFUNCTION("""COMPUTED_VALUE"""),"009-1759")</f>
        <v>009-1759</v>
      </c>
      <c r="B1503" s="6" t="str">
        <f>IFERROR(__xludf.DUMMYFUNCTION("""COMPUTED_VALUE"""),"9")</f>
        <v>9</v>
      </c>
      <c r="C1503" s="6" t="str">
        <f>IFERROR(__xludf.DUMMYFUNCTION("""COMPUTED_VALUE"""),"1759")</f>
        <v>1759</v>
      </c>
      <c r="D1503" s="6" t="str">
        <f>IFERROR(__xludf.DUMMYFUNCTION("""COMPUTED_VALUE"""),"Petra")</f>
        <v>Petra</v>
      </c>
      <c r="E1503" s="6" t="str">
        <f>IFERROR(__xludf.DUMMYFUNCTION("""COMPUTED_VALUE"""),"")</f>
        <v/>
      </c>
      <c r="F1503" s="6" t="str">
        <f>IFERROR(__xludf.DUMMYFUNCTION("""COMPUTED_VALUE"""),"Papp")</f>
        <v>Papp</v>
      </c>
      <c r="G1503" s="6" t="str">
        <f>IFERROR(__xludf.DUMMYFUNCTION("""COMPUTED_VALUE"""),"01/01/2009")</f>
        <v>01/01/2009</v>
      </c>
      <c r="H1503" s="6" t="str">
        <f>IFERROR(__xludf.DUMMYFUNCTION("""COMPUTED_VALUE"""),"Self Identify")</f>
        <v>Self Identify</v>
      </c>
      <c r="I1503" s="6" t="str">
        <f>IFERROR(__xludf.DUMMYFUNCTION("""COMPUTED_VALUE"""),"High School")</f>
        <v>High School</v>
      </c>
      <c r="J1503" s="6" t="str">
        <f>IFERROR(__xludf.DUMMYFUNCTION("""COMPUTED_VALUE"""),"10")</f>
        <v>10</v>
      </c>
      <c r="K1503" s="6" t="str">
        <f>IFERROR(__xludf.DUMMYFUNCTION("""COMPUTED_VALUE"""),"petra.papp@2hourlearning.com")</f>
        <v>petra.papp@2hourlearning.com</v>
      </c>
      <c r="L1503" s="6" t="str">
        <f>IFERROR(__xludf.DUMMYFUNCTION("""COMPUTED_VALUE"""),"Learn and Earn Poland")</f>
        <v>Learn and Earn Poland</v>
      </c>
      <c r="M1503" s="6" t="str">
        <f>IFERROR(__xludf.DUMMYFUNCTION("""COMPUTED_VALUE"""),"Budapest Alpha")</f>
        <v>Budapest Alpha</v>
      </c>
      <c r="N1503" s="6" t="str">
        <f>IFERROR(__xludf.DUMMYFUNCTION("""COMPUTED_VALUE"""),"")</f>
        <v/>
      </c>
      <c r="O1503" s="87" t="str">
        <f>IFERROR(__xludf.DUMMYFUNCTION("""COMPUTED_VALUE"""),"https://drive.google.com/drive/folders/10T2cTQHqEJZqE-st6uFKPoI?usp=share_link")</f>
        <v>https://drive.google.com/drive/folders/10T2cTQHqEJZqE-st6uFKPoI?usp=share_link</v>
      </c>
      <c r="P1503" s="6" t="str">
        <f>IFERROR(__xludf.DUMMYFUNCTION("""COMPUTED_VALUE"""),"Petra Papp")</f>
        <v>Petra Papp</v>
      </c>
      <c r="Q1503" s="6" t="str">
        <f>IFERROR(__xludf.DUMMYFUNCTION("""COMPUTED_VALUE"""),"HS")</f>
        <v>HS</v>
      </c>
      <c r="R1503" s="6">
        <f>IFERROR(__xludf.DUMMYFUNCTION("""COMPUTED_VALUE"""),0.0)</f>
        <v>0</v>
      </c>
      <c r="S1503" s="6" t="str">
        <f>IFERROR(__xludf.DUMMYFUNCTION("""COMPUTED_VALUE""")," ")</f>
        <v> </v>
      </c>
      <c r="T1503" s="6" t="str">
        <f>IFERROR(__xludf.DUMMYFUNCTION("""COMPUTED_VALUE"""),"")</f>
        <v/>
      </c>
      <c r="U1503" s="6" t="str">
        <f>IFERROR(__xludf.DUMMYFUNCTION("""COMPUTED_VALUE"""),"10")</f>
        <v>10</v>
      </c>
      <c r="V1503" s="6" t="str">
        <f>IFERROR(__xludf.DUMMYFUNCTION("""COMPUTED_VALUE"""),"English")</f>
        <v>English</v>
      </c>
      <c r="W1503" s="6" t="str">
        <f>IFERROR(__xludf.DUMMYFUNCTION("""COMPUTED_VALUE"""),"[]")</f>
        <v>[]</v>
      </c>
      <c r="X1503" s="6" t="str">
        <f>IFERROR(__xludf.DUMMYFUNCTION("""COMPUTED_VALUE"""),"Enrolled")</f>
        <v>Enrolled</v>
      </c>
    </row>
    <row r="1504">
      <c r="A1504" s="6" t="str">
        <f>IFERROR(__xludf.DUMMYFUNCTION("""COMPUTED_VALUE"""),"009-1760")</f>
        <v>009-1760</v>
      </c>
      <c r="B1504" s="6" t="str">
        <f>IFERROR(__xludf.DUMMYFUNCTION("""COMPUTED_VALUE"""),"9")</f>
        <v>9</v>
      </c>
      <c r="C1504" s="6" t="str">
        <f>IFERROR(__xludf.DUMMYFUNCTION("""COMPUTED_VALUE"""),"1760")</f>
        <v>1760</v>
      </c>
      <c r="D1504" s="6" t="str">
        <f>IFERROR(__xludf.DUMMYFUNCTION("""COMPUTED_VALUE"""),"Anzselika")</f>
        <v>Anzselika</v>
      </c>
      <c r="E1504" s="6" t="str">
        <f>IFERROR(__xludf.DUMMYFUNCTION("""COMPUTED_VALUE"""),"")</f>
        <v/>
      </c>
      <c r="F1504" s="6" t="str">
        <f>IFERROR(__xludf.DUMMYFUNCTION("""COMPUTED_VALUE"""),"Szimku")</f>
        <v>Szimku</v>
      </c>
      <c r="G1504" s="6" t="str">
        <f>IFERROR(__xludf.DUMMYFUNCTION("""COMPUTED_VALUE"""),"01/01/2013")</f>
        <v>01/01/2013</v>
      </c>
      <c r="H1504" s="6" t="str">
        <f>IFERROR(__xludf.DUMMYFUNCTION("""COMPUTED_VALUE"""),"Self Identify")</f>
        <v>Self Identify</v>
      </c>
      <c r="I1504" s="6" t="str">
        <f>IFERROR(__xludf.DUMMYFUNCTION("""COMPUTED_VALUE"""),"Middle School")</f>
        <v>Middle School</v>
      </c>
      <c r="J1504" s="6" t="str">
        <f>IFERROR(__xludf.DUMMYFUNCTION("""COMPUTED_VALUE"""),"6")</f>
        <v>6</v>
      </c>
      <c r="K1504" s="6" t="str">
        <f>IFERROR(__xludf.DUMMYFUNCTION("""COMPUTED_VALUE"""),"anzselika.szimku@2hourlearning.com")</f>
        <v>anzselika.szimku@2hourlearning.com</v>
      </c>
      <c r="L1504" s="6" t="str">
        <f>IFERROR(__xludf.DUMMYFUNCTION("""COMPUTED_VALUE"""),"Learn and Earn Poland")</f>
        <v>Learn and Earn Poland</v>
      </c>
      <c r="M1504" s="6" t="str">
        <f>IFERROR(__xludf.DUMMYFUNCTION("""COMPUTED_VALUE"""),"Budapest Alpha")</f>
        <v>Budapest Alpha</v>
      </c>
      <c r="N1504" s="6" t="str">
        <f>IFERROR(__xludf.DUMMYFUNCTION("""COMPUTED_VALUE"""),"")</f>
        <v/>
      </c>
      <c r="O1504" s="87" t="str">
        <f>IFERROR(__xludf.DUMMYFUNCTION("""COMPUTED_VALUE"""),"https://drive.google.com/drive/folders/10T2cTQHqEJZqE-st6uFKPoI?usp=share_link")</f>
        <v>https://drive.google.com/drive/folders/10T2cTQHqEJZqE-st6uFKPoI?usp=share_link</v>
      </c>
      <c r="P1504" s="6" t="str">
        <f>IFERROR(__xludf.DUMMYFUNCTION("""COMPUTED_VALUE"""),"Anzselika Szimku")</f>
        <v>Anzselika Szimku</v>
      </c>
      <c r="Q1504" s="6" t="str">
        <f>IFERROR(__xludf.DUMMYFUNCTION("""COMPUTED_VALUE"""),"MS")</f>
        <v>MS</v>
      </c>
      <c r="R1504" s="6">
        <f>IFERROR(__xludf.DUMMYFUNCTION("""COMPUTED_VALUE"""),0.0)</f>
        <v>0</v>
      </c>
      <c r="S1504" s="6" t="str">
        <f>IFERROR(__xludf.DUMMYFUNCTION("""COMPUTED_VALUE""")," ")</f>
        <v> </v>
      </c>
      <c r="T1504" s="6" t="str">
        <f>IFERROR(__xludf.DUMMYFUNCTION("""COMPUTED_VALUE"""),"")</f>
        <v/>
      </c>
      <c r="U1504" s="6" t="str">
        <f>IFERROR(__xludf.DUMMYFUNCTION("""COMPUTED_VALUE"""),"6")</f>
        <v>6</v>
      </c>
      <c r="V1504" s="6" t="str">
        <f>IFERROR(__xludf.DUMMYFUNCTION("""COMPUTED_VALUE"""),"English")</f>
        <v>English</v>
      </c>
      <c r="W1504" s="6" t="str">
        <f>IFERROR(__xludf.DUMMYFUNCTION("""COMPUTED_VALUE"""),"[]")</f>
        <v>[]</v>
      </c>
      <c r="X1504" s="6" t="str">
        <f>IFERROR(__xludf.DUMMYFUNCTION("""COMPUTED_VALUE"""),"Enrolled")</f>
        <v>Enrolled</v>
      </c>
    </row>
    <row r="1505">
      <c r="A1505" s="6" t="str">
        <f>IFERROR(__xludf.DUMMYFUNCTION("""COMPUTED_VALUE"""),"009-1761")</f>
        <v>009-1761</v>
      </c>
      <c r="B1505" s="6" t="str">
        <f>IFERROR(__xludf.DUMMYFUNCTION("""COMPUTED_VALUE"""),"9")</f>
        <v>9</v>
      </c>
      <c r="C1505" s="6" t="str">
        <f>IFERROR(__xludf.DUMMYFUNCTION("""COMPUTED_VALUE"""),"1761")</f>
        <v>1761</v>
      </c>
      <c r="D1505" s="6" t="str">
        <f>IFERROR(__xludf.DUMMYFUNCTION("""COMPUTED_VALUE"""),"Oleksandra")</f>
        <v>Oleksandra</v>
      </c>
      <c r="E1505" s="6" t="str">
        <f>IFERROR(__xludf.DUMMYFUNCTION("""COMPUTED_VALUE"""),"")</f>
        <v/>
      </c>
      <c r="F1505" s="6" t="str">
        <f>IFERROR(__xludf.DUMMYFUNCTION("""COMPUTED_VALUE"""),"Kolomiiets")</f>
        <v>Kolomiiets</v>
      </c>
      <c r="G1505" s="6" t="str">
        <f>IFERROR(__xludf.DUMMYFUNCTION("""COMPUTED_VALUE"""),"01/01/2011")</f>
        <v>01/01/2011</v>
      </c>
      <c r="H1505" s="6" t="str">
        <f>IFERROR(__xludf.DUMMYFUNCTION("""COMPUTED_VALUE"""),"Self Identify")</f>
        <v>Self Identify</v>
      </c>
      <c r="I1505" s="6" t="str">
        <f>IFERROR(__xludf.DUMMYFUNCTION("""COMPUTED_VALUE"""),"Middle School")</f>
        <v>Middle School</v>
      </c>
      <c r="J1505" s="6" t="str">
        <f>IFERROR(__xludf.DUMMYFUNCTION("""COMPUTED_VALUE"""),"8")</f>
        <v>8</v>
      </c>
      <c r="K1505" s="6" t="str">
        <f>IFERROR(__xludf.DUMMYFUNCTION("""COMPUTED_VALUE"""),"oleksandra.kolomiiets@2hourlearning.com")</f>
        <v>oleksandra.kolomiiets@2hourlearning.com</v>
      </c>
      <c r="L1505" s="6" t="str">
        <f>IFERROR(__xludf.DUMMYFUNCTION("""COMPUTED_VALUE"""),"Learn and Earn Poland")</f>
        <v>Learn and Earn Poland</v>
      </c>
      <c r="M1505" s="6" t="str">
        <f>IFERROR(__xludf.DUMMYFUNCTION("""COMPUTED_VALUE"""),"Budapest Alpha")</f>
        <v>Budapest Alpha</v>
      </c>
      <c r="N1505" s="6" t="str">
        <f>IFERROR(__xludf.DUMMYFUNCTION("""COMPUTED_VALUE"""),"")</f>
        <v/>
      </c>
      <c r="O1505" s="87" t="str">
        <f>IFERROR(__xludf.DUMMYFUNCTION("""COMPUTED_VALUE"""),"https://drive.google.com/drive/folders/10T2cTQHqEJZqE-st6uFKPoI?usp=share_link")</f>
        <v>https://drive.google.com/drive/folders/10T2cTQHqEJZqE-st6uFKPoI?usp=share_link</v>
      </c>
      <c r="P1505" s="6" t="str">
        <f>IFERROR(__xludf.DUMMYFUNCTION("""COMPUTED_VALUE"""),"Oleksandra Kolomiiets")</f>
        <v>Oleksandra Kolomiiets</v>
      </c>
      <c r="Q1505" s="6" t="str">
        <f>IFERROR(__xludf.DUMMYFUNCTION("""COMPUTED_VALUE"""),"MS")</f>
        <v>MS</v>
      </c>
      <c r="R1505" s="6">
        <f>IFERROR(__xludf.DUMMYFUNCTION("""COMPUTED_VALUE"""),0.0)</f>
        <v>0</v>
      </c>
      <c r="S1505" s="6" t="str">
        <f>IFERROR(__xludf.DUMMYFUNCTION("""COMPUTED_VALUE""")," ")</f>
        <v> </v>
      </c>
      <c r="T1505" s="6" t="str">
        <f>IFERROR(__xludf.DUMMYFUNCTION("""COMPUTED_VALUE"""),"")</f>
        <v/>
      </c>
      <c r="U1505" s="6" t="str">
        <f>IFERROR(__xludf.DUMMYFUNCTION("""COMPUTED_VALUE"""),"8")</f>
        <v>8</v>
      </c>
      <c r="V1505" s="6" t="str">
        <f>IFERROR(__xludf.DUMMYFUNCTION("""COMPUTED_VALUE"""),"English")</f>
        <v>English</v>
      </c>
      <c r="W1505" s="6" t="str">
        <f>IFERROR(__xludf.DUMMYFUNCTION("""COMPUTED_VALUE"""),"[]")</f>
        <v>[]</v>
      </c>
      <c r="X1505" s="6" t="str">
        <f>IFERROR(__xludf.DUMMYFUNCTION("""COMPUTED_VALUE"""),"Enrolled")</f>
        <v>Enrolled</v>
      </c>
    </row>
    <row r="1506">
      <c r="A1506" s="6" t="str">
        <f>IFERROR(__xludf.DUMMYFUNCTION("""COMPUTED_VALUE"""),"009-1762")</f>
        <v>009-1762</v>
      </c>
      <c r="B1506" s="6" t="str">
        <f>IFERROR(__xludf.DUMMYFUNCTION("""COMPUTED_VALUE"""),"9")</f>
        <v>9</v>
      </c>
      <c r="C1506" s="6" t="str">
        <f>IFERROR(__xludf.DUMMYFUNCTION("""COMPUTED_VALUE"""),"1762")</f>
        <v>1762</v>
      </c>
      <c r="D1506" s="6" t="str">
        <f>IFERROR(__xludf.DUMMYFUNCTION("""COMPUTED_VALUE"""),"Artem")</f>
        <v>Artem</v>
      </c>
      <c r="E1506" s="6" t="str">
        <f>IFERROR(__xludf.DUMMYFUNCTION("""COMPUTED_VALUE"""),"")</f>
        <v/>
      </c>
      <c r="F1506" s="6" t="str">
        <f>IFERROR(__xludf.DUMMYFUNCTION("""COMPUTED_VALUE"""),"Matviishyn")</f>
        <v>Matviishyn</v>
      </c>
      <c r="G1506" s="6" t="str">
        <f>IFERROR(__xludf.DUMMYFUNCTION("""COMPUTED_VALUE"""),"01/01/2017")</f>
        <v>01/01/2017</v>
      </c>
      <c r="H1506" s="6" t="str">
        <f>IFERROR(__xludf.DUMMYFUNCTION("""COMPUTED_VALUE"""),"Self Identify")</f>
        <v>Self Identify</v>
      </c>
      <c r="I1506" s="6" t="str">
        <f>IFERROR(__xludf.DUMMYFUNCTION("""COMPUTED_VALUE"""),"Level 1")</f>
        <v>Level 1</v>
      </c>
      <c r="J1506" s="6" t="str">
        <f>IFERROR(__xludf.DUMMYFUNCTION("""COMPUTED_VALUE"""),"2")</f>
        <v>2</v>
      </c>
      <c r="K1506" s="6" t="str">
        <f>IFERROR(__xludf.DUMMYFUNCTION("""COMPUTED_VALUE"""),"artem.matviishyn@2hourlearning.com")</f>
        <v>artem.matviishyn@2hourlearning.com</v>
      </c>
      <c r="L1506" s="6" t="str">
        <f>IFERROR(__xludf.DUMMYFUNCTION("""COMPUTED_VALUE"""),"Learn and Earn Poland")</f>
        <v>Learn and Earn Poland</v>
      </c>
      <c r="M1506" s="6" t="str">
        <f>IFERROR(__xludf.DUMMYFUNCTION("""COMPUTED_VALUE"""),"Budapest Alpha")</f>
        <v>Budapest Alpha</v>
      </c>
      <c r="N1506" s="6" t="str">
        <f>IFERROR(__xludf.DUMMYFUNCTION("""COMPUTED_VALUE"""),"")</f>
        <v/>
      </c>
      <c r="O1506" s="87" t="str">
        <f>IFERROR(__xludf.DUMMYFUNCTION("""COMPUTED_VALUE"""),"https://drive.google.com/drive/folders/10T2cTQHqEJZqE-st6uFKPoI?usp=share_link")</f>
        <v>https://drive.google.com/drive/folders/10T2cTQHqEJZqE-st6uFKPoI?usp=share_link</v>
      </c>
      <c r="P1506" s="6" t="str">
        <f>IFERROR(__xludf.DUMMYFUNCTION("""COMPUTED_VALUE"""),"Artem Matviishyn")</f>
        <v>Artem Matviishyn</v>
      </c>
      <c r="Q1506" s="6" t="str">
        <f>IFERROR(__xludf.DUMMYFUNCTION("""COMPUTED_VALUE"""),"L1")</f>
        <v>L1</v>
      </c>
      <c r="R1506" s="6">
        <f>IFERROR(__xludf.DUMMYFUNCTION("""COMPUTED_VALUE"""),1.0)</f>
        <v>1</v>
      </c>
      <c r="S1506" s="6" t="str">
        <f>IFERROR(__xludf.DUMMYFUNCTION("""COMPUTED_VALUE""")," ")</f>
        <v> </v>
      </c>
      <c r="T1506" s="6" t="str">
        <f>IFERROR(__xludf.DUMMYFUNCTION("""COMPUTED_VALUE"""),"")</f>
        <v/>
      </c>
      <c r="U1506" s="6" t="str">
        <f>IFERROR(__xludf.DUMMYFUNCTION("""COMPUTED_VALUE"""),"2")</f>
        <v>2</v>
      </c>
      <c r="V1506" s="6" t="str">
        <f>IFERROR(__xludf.DUMMYFUNCTION("""COMPUTED_VALUE"""),"English")</f>
        <v>English</v>
      </c>
      <c r="W1506" s="6" t="str">
        <f>IFERROR(__xludf.DUMMYFUNCTION("""COMPUTED_VALUE"""),"[]")</f>
        <v>[]</v>
      </c>
      <c r="X1506" s="6" t="str">
        <f>IFERROR(__xludf.DUMMYFUNCTION("""COMPUTED_VALUE"""),"Enrolled")</f>
        <v>Enrolled</v>
      </c>
    </row>
    <row r="1507">
      <c r="A1507" s="6" t="str">
        <f>IFERROR(__xludf.DUMMYFUNCTION("""COMPUTED_VALUE"""),"009-1763")</f>
        <v>009-1763</v>
      </c>
      <c r="B1507" s="6" t="str">
        <f>IFERROR(__xludf.DUMMYFUNCTION("""COMPUTED_VALUE"""),"9")</f>
        <v>9</v>
      </c>
      <c r="C1507" s="6" t="str">
        <f>IFERROR(__xludf.DUMMYFUNCTION("""COMPUTED_VALUE"""),"1763")</f>
        <v>1763</v>
      </c>
      <c r="D1507" s="6" t="str">
        <f>IFERROR(__xludf.DUMMYFUNCTION("""COMPUTED_VALUE"""),"Maryana")</f>
        <v>Maryana</v>
      </c>
      <c r="E1507" s="6" t="str">
        <f>IFERROR(__xludf.DUMMYFUNCTION("""COMPUTED_VALUE"""),"")</f>
        <v/>
      </c>
      <c r="F1507" s="6" t="str">
        <f>IFERROR(__xludf.DUMMYFUNCTION("""COMPUTED_VALUE"""),"Matviishyna")</f>
        <v>Matviishyna</v>
      </c>
      <c r="G1507" s="6" t="str">
        <f>IFERROR(__xludf.DUMMYFUNCTION("""COMPUTED_VALUE"""),"01/01/2012")</f>
        <v>01/01/2012</v>
      </c>
      <c r="H1507" s="6" t="str">
        <f>IFERROR(__xludf.DUMMYFUNCTION("""COMPUTED_VALUE"""),"Self Identify")</f>
        <v>Self Identify</v>
      </c>
      <c r="I1507" s="6" t="str">
        <f>IFERROR(__xludf.DUMMYFUNCTION("""COMPUTED_VALUE"""),"Level 1")</f>
        <v>Level 1</v>
      </c>
      <c r="J1507" s="6" t="str">
        <f>IFERROR(__xludf.DUMMYFUNCTION("""COMPUTED_VALUE"""),"2")</f>
        <v>2</v>
      </c>
      <c r="K1507" s="6" t="str">
        <f>IFERROR(__xludf.DUMMYFUNCTION("""COMPUTED_VALUE"""),"maryana.matviishyna@2hourlearning.com")</f>
        <v>maryana.matviishyna@2hourlearning.com</v>
      </c>
      <c r="L1507" s="6" t="str">
        <f>IFERROR(__xludf.DUMMYFUNCTION("""COMPUTED_VALUE"""),"Learn and Earn Poland")</f>
        <v>Learn and Earn Poland</v>
      </c>
      <c r="M1507" s="6" t="str">
        <f>IFERROR(__xludf.DUMMYFUNCTION("""COMPUTED_VALUE"""),"Budapest Alpha")</f>
        <v>Budapest Alpha</v>
      </c>
      <c r="N1507" s="6" t="str">
        <f>IFERROR(__xludf.DUMMYFUNCTION("""COMPUTED_VALUE"""),"")</f>
        <v/>
      </c>
      <c r="O1507" s="87" t="str">
        <f>IFERROR(__xludf.DUMMYFUNCTION("""COMPUTED_VALUE"""),"https://drive.google.com/drive/folders/10T2cTQHqEJZqE-st6uFKPoI?usp=share_link")</f>
        <v>https://drive.google.com/drive/folders/10T2cTQHqEJZqE-st6uFKPoI?usp=share_link</v>
      </c>
      <c r="P1507" s="6" t="str">
        <f>IFERROR(__xludf.DUMMYFUNCTION("""COMPUTED_VALUE"""),"Maryana Matviishyna")</f>
        <v>Maryana Matviishyna</v>
      </c>
      <c r="Q1507" s="6" t="str">
        <f>IFERROR(__xludf.DUMMYFUNCTION("""COMPUTED_VALUE"""),"L1")</f>
        <v>L1</v>
      </c>
      <c r="R1507" s="6">
        <f>IFERROR(__xludf.DUMMYFUNCTION("""COMPUTED_VALUE"""),1.0)</f>
        <v>1</v>
      </c>
      <c r="S1507" s="6" t="str">
        <f>IFERROR(__xludf.DUMMYFUNCTION("""COMPUTED_VALUE""")," ")</f>
        <v> </v>
      </c>
      <c r="T1507" s="6" t="str">
        <f>IFERROR(__xludf.DUMMYFUNCTION("""COMPUTED_VALUE"""),"")</f>
        <v/>
      </c>
      <c r="U1507" s="6" t="str">
        <f>IFERROR(__xludf.DUMMYFUNCTION("""COMPUTED_VALUE"""),"2")</f>
        <v>2</v>
      </c>
      <c r="V1507" s="6" t="str">
        <f>IFERROR(__xludf.DUMMYFUNCTION("""COMPUTED_VALUE"""),"English")</f>
        <v>English</v>
      </c>
      <c r="W1507" s="6" t="str">
        <f>IFERROR(__xludf.DUMMYFUNCTION("""COMPUTED_VALUE"""),"[]")</f>
        <v>[]</v>
      </c>
      <c r="X1507" s="6" t="str">
        <f>IFERROR(__xludf.DUMMYFUNCTION("""COMPUTED_VALUE"""),"Enrolled")</f>
        <v>Enrolled</v>
      </c>
    </row>
    <row r="1508">
      <c r="A1508" s="6" t="str">
        <f>IFERROR(__xludf.DUMMYFUNCTION("""COMPUTED_VALUE"""),"009-1764")</f>
        <v>009-1764</v>
      </c>
      <c r="B1508" s="6" t="str">
        <f>IFERROR(__xludf.DUMMYFUNCTION("""COMPUTED_VALUE"""),"9")</f>
        <v>9</v>
      </c>
      <c r="C1508" s="6" t="str">
        <f>IFERROR(__xludf.DUMMYFUNCTION("""COMPUTED_VALUE"""),"1764")</f>
        <v>1764</v>
      </c>
      <c r="D1508" s="6" t="str">
        <f>IFERROR(__xludf.DUMMYFUNCTION("""COMPUTED_VALUE"""),"Oleksandr")</f>
        <v>Oleksandr</v>
      </c>
      <c r="E1508" s="6" t="str">
        <f>IFERROR(__xludf.DUMMYFUNCTION("""COMPUTED_VALUE"""),"")</f>
        <v/>
      </c>
      <c r="F1508" s="6" t="str">
        <f>IFERROR(__xludf.DUMMYFUNCTION("""COMPUTED_VALUE"""),"Hinaylo")</f>
        <v>Hinaylo</v>
      </c>
      <c r="G1508" s="6" t="str">
        <f>IFERROR(__xludf.DUMMYFUNCTION("""COMPUTED_VALUE"""),"01/01/2014")</f>
        <v>01/01/2014</v>
      </c>
      <c r="H1508" s="6" t="str">
        <f>IFERROR(__xludf.DUMMYFUNCTION("""COMPUTED_VALUE"""),"Self Identify")</f>
        <v>Self Identify</v>
      </c>
      <c r="I1508" s="6" t="str">
        <f>IFERROR(__xludf.DUMMYFUNCTION("""COMPUTED_VALUE"""),"Level 2")</f>
        <v>Level 2</v>
      </c>
      <c r="J1508" s="6" t="str">
        <f>IFERROR(__xludf.DUMMYFUNCTION("""COMPUTED_VALUE"""),"5")</f>
        <v>5</v>
      </c>
      <c r="K1508" s="6" t="str">
        <f>IFERROR(__xludf.DUMMYFUNCTION("""COMPUTED_VALUE"""),"oleksandr.hinaylo@2hourlearning.com")</f>
        <v>oleksandr.hinaylo@2hourlearning.com</v>
      </c>
      <c r="L1508" s="6" t="str">
        <f>IFERROR(__xludf.DUMMYFUNCTION("""COMPUTED_VALUE"""),"Learn and Earn Poland")</f>
        <v>Learn and Earn Poland</v>
      </c>
      <c r="M1508" s="6" t="str">
        <f>IFERROR(__xludf.DUMMYFUNCTION("""COMPUTED_VALUE"""),"Budapest Alpha")</f>
        <v>Budapest Alpha</v>
      </c>
      <c r="N1508" s="6" t="str">
        <f>IFERROR(__xludf.DUMMYFUNCTION("""COMPUTED_VALUE"""),"")</f>
        <v/>
      </c>
      <c r="O1508" s="87" t="str">
        <f>IFERROR(__xludf.DUMMYFUNCTION("""COMPUTED_VALUE"""),"https://drive.google.com/drive/folders/10T2cTQHqEJZqE-st6uFKPoI?usp=share_link")</f>
        <v>https://drive.google.com/drive/folders/10T2cTQHqEJZqE-st6uFKPoI?usp=share_link</v>
      </c>
      <c r="P1508" s="6" t="str">
        <f>IFERROR(__xludf.DUMMYFUNCTION("""COMPUTED_VALUE"""),"Oleksandr Hinaylo")</f>
        <v>Oleksandr Hinaylo</v>
      </c>
      <c r="Q1508" s="6" t="str">
        <f>IFERROR(__xludf.DUMMYFUNCTION("""COMPUTED_VALUE"""),"L2")</f>
        <v>L2</v>
      </c>
      <c r="R1508" s="6">
        <f>IFERROR(__xludf.DUMMYFUNCTION("""COMPUTED_VALUE"""),2.0)</f>
        <v>2</v>
      </c>
      <c r="S1508" s="6" t="str">
        <f>IFERROR(__xludf.DUMMYFUNCTION("""COMPUTED_VALUE""")," ")</f>
        <v> </v>
      </c>
      <c r="T1508" s="6" t="str">
        <f>IFERROR(__xludf.DUMMYFUNCTION("""COMPUTED_VALUE"""),"")</f>
        <v/>
      </c>
      <c r="U1508" s="6" t="str">
        <f>IFERROR(__xludf.DUMMYFUNCTION("""COMPUTED_VALUE"""),"5")</f>
        <v>5</v>
      </c>
      <c r="V1508" s="6" t="str">
        <f>IFERROR(__xludf.DUMMYFUNCTION("""COMPUTED_VALUE"""),"English")</f>
        <v>English</v>
      </c>
      <c r="W1508" s="6" t="str">
        <f>IFERROR(__xludf.DUMMYFUNCTION("""COMPUTED_VALUE"""),"[]")</f>
        <v>[]</v>
      </c>
      <c r="X1508" s="6" t="str">
        <f>IFERROR(__xludf.DUMMYFUNCTION("""COMPUTED_VALUE"""),"Enrolled")</f>
        <v>Enrolled</v>
      </c>
    </row>
    <row r="1509">
      <c r="A1509" s="6" t="str">
        <f>IFERROR(__xludf.DUMMYFUNCTION("""COMPUTED_VALUE"""),"009-1765")</f>
        <v>009-1765</v>
      </c>
      <c r="B1509" s="6" t="str">
        <f>IFERROR(__xludf.DUMMYFUNCTION("""COMPUTED_VALUE"""),"9")</f>
        <v>9</v>
      </c>
      <c r="C1509" s="6" t="str">
        <f>IFERROR(__xludf.DUMMYFUNCTION("""COMPUTED_VALUE"""),"1765")</f>
        <v>1765</v>
      </c>
      <c r="D1509" s="6" t="str">
        <f>IFERROR(__xludf.DUMMYFUNCTION("""COMPUTED_VALUE"""),"Janos")</f>
        <v>Janos</v>
      </c>
      <c r="E1509" s="6" t="str">
        <f>IFERROR(__xludf.DUMMYFUNCTION("""COMPUTED_VALUE"""),"")</f>
        <v/>
      </c>
      <c r="F1509" s="6" t="str">
        <f>IFERROR(__xludf.DUMMYFUNCTION("""COMPUTED_VALUE"""),"Vamos")</f>
        <v>Vamos</v>
      </c>
      <c r="G1509" s="6" t="str">
        <f>IFERROR(__xludf.DUMMYFUNCTION("""COMPUTED_VALUE"""),"01/01/2009")</f>
        <v>01/01/2009</v>
      </c>
      <c r="H1509" s="6" t="str">
        <f>IFERROR(__xludf.DUMMYFUNCTION("""COMPUTED_VALUE"""),"Self Identify")</f>
        <v>Self Identify</v>
      </c>
      <c r="I1509" s="6" t="str">
        <f>IFERROR(__xludf.DUMMYFUNCTION("""COMPUTED_VALUE"""),"High School")</f>
        <v>High School</v>
      </c>
      <c r="J1509" s="6" t="str">
        <f>IFERROR(__xludf.DUMMYFUNCTION("""COMPUTED_VALUE"""),"10")</f>
        <v>10</v>
      </c>
      <c r="K1509" s="6" t="str">
        <f>IFERROR(__xludf.DUMMYFUNCTION("""COMPUTED_VALUE"""),"vamos.janos@2hourlearning.com")</f>
        <v>vamos.janos@2hourlearning.com</v>
      </c>
      <c r="L1509" s="6" t="str">
        <f>IFERROR(__xludf.DUMMYFUNCTION("""COMPUTED_VALUE"""),"Learn and Earn Poland")</f>
        <v>Learn and Earn Poland</v>
      </c>
      <c r="M1509" s="6" t="str">
        <f>IFERROR(__xludf.DUMMYFUNCTION("""COMPUTED_VALUE"""),"Budapest ex-GTS")</f>
        <v>Budapest ex-GTS</v>
      </c>
      <c r="N1509" s="6" t="str">
        <f>IFERROR(__xludf.DUMMYFUNCTION("""COMPUTED_VALUE"""),"")</f>
        <v/>
      </c>
      <c r="O1509" s="87" t="str">
        <f>IFERROR(__xludf.DUMMYFUNCTION("""COMPUTED_VALUE"""),"https://drive.google.com/drive/folders/10T2cTQHqEJZqE-st6uFKPoI?usp=share_link")</f>
        <v>https://drive.google.com/drive/folders/10T2cTQHqEJZqE-st6uFKPoI?usp=share_link</v>
      </c>
      <c r="P1509" s="6" t="str">
        <f>IFERROR(__xludf.DUMMYFUNCTION("""COMPUTED_VALUE"""),"Janos Vamos")</f>
        <v>Janos Vamos</v>
      </c>
      <c r="Q1509" s="6" t="str">
        <f>IFERROR(__xludf.DUMMYFUNCTION("""COMPUTED_VALUE"""),"HS")</f>
        <v>HS</v>
      </c>
      <c r="R1509" s="6">
        <f>IFERROR(__xludf.DUMMYFUNCTION("""COMPUTED_VALUE"""),0.0)</f>
        <v>0</v>
      </c>
      <c r="S1509" s="6" t="str">
        <f>IFERROR(__xludf.DUMMYFUNCTION("""COMPUTED_VALUE""")," ")</f>
        <v> </v>
      </c>
      <c r="T1509" s="6" t="str">
        <f>IFERROR(__xludf.DUMMYFUNCTION("""COMPUTED_VALUE"""),"")</f>
        <v/>
      </c>
      <c r="U1509" s="6" t="str">
        <f>IFERROR(__xludf.DUMMYFUNCTION("""COMPUTED_VALUE"""),"10")</f>
        <v>10</v>
      </c>
      <c r="V1509" s="6" t="str">
        <f>IFERROR(__xludf.DUMMYFUNCTION("""COMPUTED_VALUE"""),"English")</f>
        <v>English</v>
      </c>
      <c r="W1509" s="6" t="str">
        <f>IFERROR(__xludf.DUMMYFUNCTION("""COMPUTED_VALUE"""),"[]")</f>
        <v>[]</v>
      </c>
      <c r="X1509" s="6" t="str">
        <f>IFERROR(__xludf.DUMMYFUNCTION("""COMPUTED_VALUE"""),"Enrolled")</f>
        <v>Enrolled</v>
      </c>
    </row>
    <row r="1510">
      <c r="A1510" s="6" t="str">
        <f>IFERROR(__xludf.DUMMYFUNCTION("""COMPUTED_VALUE"""),"009-1766")</f>
        <v>009-1766</v>
      </c>
      <c r="B1510" s="6" t="str">
        <f>IFERROR(__xludf.DUMMYFUNCTION("""COMPUTED_VALUE"""),"9")</f>
        <v>9</v>
      </c>
      <c r="C1510" s="6" t="str">
        <f>IFERROR(__xludf.DUMMYFUNCTION("""COMPUTED_VALUE"""),"1766")</f>
        <v>1766</v>
      </c>
      <c r="D1510" s="6" t="str">
        <f>IFERROR(__xludf.DUMMYFUNCTION("""COMPUTED_VALUE"""),"Somi")</f>
        <v>Somi</v>
      </c>
      <c r="E1510" s="6" t="str">
        <f>IFERROR(__xludf.DUMMYFUNCTION("""COMPUTED_VALUE"""),"")</f>
        <v/>
      </c>
      <c r="F1510" s="6" t="str">
        <f>IFERROR(__xludf.DUMMYFUNCTION("""COMPUTED_VALUE"""),"Balazs")</f>
        <v>Balazs</v>
      </c>
      <c r="G1510" s="6" t="str">
        <f>IFERROR(__xludf.DUMMYFUNCTION("""COMPUTED_VALUE"""),"01/01/2016")</f>
        <v>01/01/2016</v>
      </c>
      <c r="H1510" s="6" t="str">
        <f>IFERROR(__xludf.DUMMYFUNCTION("""COMPUTED_VALUE"""),"Self Identify")</f>
        <v>Self Identify</v>
      </c>
      <c r="I1510" s="6" t="str">
        <f>IFERROR(__xludf.DUMMYFUNCTION("""COMPUTED_VALUE"""),"Level 1")</f>
        <v>Level 1</v>
      </c>
      <c r="J1510" s="6" t="str">
        <f>IFERROR(__xludf.DUMMYFUNCTION("""COMPUTED_VALUE"""),"3")</f>
        <v>3</v>
      </c>
      <c r="K1510" s="6" t="str">
        <f>IFERROR(__xludf.DUMMYFUNCTION("""COMPUTED_VALUE"""),"somi.balazs@2hourlearning.com")</f>
        <v>somi.balazs@2hourlearning.com</v>
      </c>
      <c r="L1510" s="6" t="str">
        <f>IFERROR(__xludf.DUMMYFUNCTION("""COMPUTED_VALUE"""),"Learn and Earn Poland")</f>
        <v>Learn and Earn Poland</v>
      </c>
      <c r="M1510" s="6" t="str">
        <f>IFERROR(__xludf.DUMMYFUNCTION("""COMPUTED_VALUE"""),"Budapest Alpha")</f>
        <v>Budapest Alpha</v>
      </c>
      <c r="N1510" s="6" t="str">
        <f>IFERROR(__xludf.DUMMYFUNCTION("""COMPUTED_VALUE"""),"")</f>
        <v/>
      </c>
      <c r="O1510" s="87" t="str">
        <f>IFERROR(__xludf.DUMMYFUNCTION("""COMPUTED_VALUE"""),"https://drive.google.com/drive/folders/10T2cTQHqEJZqE-st6uFKPoI?usp=share_link")</f>
        <v>https://drive.google.com/drive/folders/10T2cTQHqEJZqE-st6uFKPoI?usp=share_link</v>
      </c>
      <c r="P1510" s="6" t="str">
        <f>IFERROR(__xludf.DUMMYFUNCTION("""COMPUTED_VALUE"""),"Somi Balazs")</f>
        <v>Somi Balazs</v>
      </c>
      <c r="Q1510" s="6" t="str">
        <f>IFERROR(__xludf.DUMMYFUNCTION("""COMPUTED_VALUE"""),"L1")</f>
        <v>L1</v>
      </c>
      <c r="R1510" s="6">
        <f>IFERROR(__xludf.DUMMYFUNCTION("""COMPUTED_VALUE"""),1.0)</f>
        <v>1</v>
      </c>
      <c r="S1510" s="6" t="str">
        <f>IFERROR(__xludf.DUMMYFUNCTION("""COMPUTED_VALUE""")," ")</f>
        <v> </v>
      </c>
      <c r="T1510" s="6" t="str">
        <f>IFERROR(__xludf.DUMMYFUNCTION("""COMPUTED_VALUE"""),"")</f>
        <v/>
      </c>
      <c r="U1510" s="6" t="str">
        <f>IFERROR(__xludf.DUMMYFUNCTION("""COMPUTED_VALUE"""),"3")</f>
        <v>3</v>
      </c>
      <c r="V1510" s="6" t="str">
        <f>IFERROR(__xludf.DUMMYFUNCTION("""COMPUTED_VALUE"""),"English")</f>
        <v>English</v>
      </c>
      <c r="W1510" s="6" t="str">
        <f>IFERROR(__xludf.DUMMYFUNCTION("""COMPUTED_VALUE"""),"[]")</f>
        <v>[]</v>
      </c>
      <c r="X1510" s="6" t="str">
        <f>IFERROR(__xludf.DUMMYFUNCTION("""COMPUTED_VALUE"""),"Enrolled")</f>
        <v>Enrolled</v>
      </c>
    </row>
    <row r="1511">
      <c r="A1511" s="6" t="str">
        <f>IFERROR(__xludf.DUMMYFUNCTION("""COMPUTED_VALUE"""),"009-1767")</f>
        <v>009-1767</v>
      </c>
      <c r="B1511" s="6" t="str">
        <f>IFERROR(__xludf.DUMMYFUNCTION("""COMPUTED_VALUE"""),"9")</f>
        <v>9</v>
      </c>
      <c r="C1511" s="6" t="str">
        <f>IFERROR(__xludf.DUMMYFUNCTION("""COMPUTED_VALUE"""),"1767")</f>
        <v>1767</v>
      </c>
      <c r="D1511" s="6" t="str">
        <f>IFERROR(__xludf.DUMMYFUNCTION("""COMPUTED_VALUE"""),"Somi")</f>
        <v>Somi</v>
      </c>
      <c r="E1511" s="6" t="str">
        <f>IFERROR(__xludf.DUMMYFUNCTION("""COMPUTED_VALUE"""),"")</f>
        <v/>
      </c>
      <c r="F1511" s="6" t="str">
        <f>IFERROR(__xludf.DUMMYFUNCTION("""COMPUTED_VALUE"""),"Adrienn")</f>
        <v>Adrienn</v>
      </c>
      <c r="G1511" s="6" t="str">
        <f>IFERROR(__xludf.DUMMYFUNCTION("""COMPUTED_VALUE"""),"01/01/2010")</f>
        <v>01/01/2010</v>
      </c>
      <c r="H1511" s="6" t="str">
        <f>IFERROR(__xludf.DUMMYFUNCTION("""COMPUTED_VALUE"""),"Self Identify")</f>
        <v>Self Identify</v>
      </c>
      <c r="I1511" s="6" t="str">
        <f>IFERROR(__xludf.DUMMYFUNCTION("""COMPUTED_VALUE"""),"High School")</f>
        <v>High School</v>
      </c>
      <c r="J1511" s="6" t="str">
        <f>IFERROR(__xludf.DUMMYFUNCTION("""COMPUTED_VALUE"""),"9")</f>
        <v>9</v>
      </c>
      <c r="K1511" s="6" t="str">
        <f>IFERROR(__xludf.DUMMYFUNCTION("""COMPUTED_VALUE"""),"somi.adrienn@2hourlearning.com")</f>
        <v>somi.adrienn@2hourlearning.com</v>
      </c>
      <c r="L1511" s="6" t="str">
        <f>IFERROR(__xludf.DUMMYFUNCTION("""COMPUTED_VALUE"""),"Learn and Earn Poland")</f>
        <v>Learn and Earn Poland</v>
      </c>
      <c r="M1511" s="6" t="str">
        <f>IFERROR(__xludf.DUMMYFUNCTION("""COMPUTED_VALUE"""),"Budapest Alpha")</f>
        <v>Budapest Alpha</v>
      </c>
      <c r="N1511" s="6" t="str">
        <f>IFERROR(__xludf.DUMMYFUNCTION("""COMPUTED_VALUE"""),"")</f>
        <v/>
      </c>
      <c r="O1511" s="87" t="str">
        <f>IFERROR(__xludf.DUMMYFUNCTION("""COMPUTED_VALUE"""),"https://drive.google.com/drive/folders/10T2cTQHqEJZqE-st6uFKPoI?usp=share_link")</f>
        <v>https://drive.google.com/drive/folders/10T2cTQHqEJZqE-st6uFKPoI?usp=share_link</v>
      </c>
      <c r="P1511" s="6" t="str">
        <f>IFERROR(__xludf.DUMMYFUNCTION("""COMPUTED_VALUE"""),"Somi Adrienn")</f>
        <v>Somi Adrienn</v>
      </c>
      <c r="Q1511" s="6" t="str">
        <f>IFERROR(__xludf.DUMMYFUNCTION("""COMPUTED_VALUE"""),"HS")</f>
        <v>HS</v>
      </c>
      <c r="R1511" s="6">
        <f>IFERROR(__xludf.DUMMYFUNCTION("""COMPUTED_VALUE"""),0.0)</f>
        <v>0</v>
      </c>
      <c r="S1511" s="6" t="str">
        <f>IFERROR(__xludf.DUMMYFUNCTION("""COMPUTED_VALUE""")," ")</f>
        <v> </v>
      </c>
      <c r="T1511" s="6" t="str">
        <f>IFERROR(__xludf.DUMMYFUNCTION("""COMPUTED_VALUE"""),"")</f>
        <v/>
      </c>
      <c r="U1511" s="6" t="str">
        <f>IFERROR(__xludf.DUMMYFUNCTION("""COMPUTED_VALUE"""),"9")</f>
        <v>9</v>
      </c>
      <c r="V1511" s="6" t="str">
        <f>IFERROR(__xludf.DUMMYFUNCTION("""COMPUTED_VALUE"""),"English")</f>
        <v>English</v>
      </c>
      <c r="W1511" s="6" t="str">
        <f>IFERROR(__xludf.DUMMYFUNCTION("""COMPUTED_VALUE"""),"[]")</f>
        <v>[]</v>
      </c>
      <c r="X1511" s="6" t="str">
        <f>IFERROR(__xludf.DUMMYFUNCTION("""COMPUTED_VALUE"""),"Enrolled")</f>
        <v>Enrolled</v>
      </c>
    </row>
    <row r="1512">
      <c r="A1512" s="6" t="str">
        <f>IFERROR(__xludf.DUMMYFUNCTION("""COMPUTED_VALUE"""),"009-1768")</f>
        <v>009-1768</v>
      </c>
      <c r="B1512" s="6" t="str">
        <f>IFERROR(__xludf.DUMMYFUNCTION("""COMPUTED_VALUE"""),"9")</f>
        <v>9</v>
      </c>
      <c r="C1512" s="6" t="str">
        <f>IFERROR(__xludf.DUMMYFUNCTION("""COMPUTED_VALUE"""),"1768")</f>
        <v>1768</v>
      </c>
      <c r="D1512" s="6" t="str">
        <f>IFERROR(__xludf.DUMMYFUNCTION("""COMPUTED_VALUE"""),"Bunda")</f>
        <v>Bunda</v>
      </c>
      <c r="E1512" s="6" t="str">
        <f>IFERROR(__xludf.DUMMYFUNCTION("""COMPUTED_VALUE"""),"")</f>
        <v/>
      </c>
      <c r="F1512" s="6" t="str">
        <f>IFERROR(__xludf.DUMMYFUNCTION("""COMPUTED_VALUE"""),"Veronika")</f>
        <v>Veronika</v>
      </c>
      <c r="G1512" s="6" t="str">
        <f>IFERROR(__xludf.DUMMYFUNCTION("""COMPUTED_VALUE"""),"01/01/2008")</f>
        <v>01/01/2008</v>
      </c>
      <c r="H1512" s="6" t="str">
        <f>IFERROR(__xludf.DUMMYFUNCTION("""COMPUTED_VALUE"""),"Self Identify")</f>
        <v>Self Identify</v>
      </c>
      <c r="I1512" s="6" t="str">
        <f>IFERROR(__xludf.DUMMYFUNCTION("""COMPUTED_VALUE"""),"High School")</f>
        <v>High School</v>
      </c>
      <c r="J1512" s="6" t="str">
        <f>IFERROR(__xludf.DUMMYFUNCTION("""COMPUTED_VALUE"""),"11")</f>
        <v>11</v>
      </c>
      <c r="K1512" s="6" t="str">
        <f>IFERROR(__xludf.DUMMYFUNCTION("""COMPUTED_VALUE"""),"bunda.veronika@2hourlearning.com")</f>
        <v>bunda.veronika@2hourlearning.com</v>
      </c>
      <c r="L1512" s="6" t="str">
        <f>IFERROR(__xludf.DUMMYFUNCTION("""COMPUTED_VALUE"""),"Learn and Earn Poland")</f>
        <v>Learn and Earn Poland</v>
      </c>
      <c r="M1512" s="6" t="str">
        <f>IFERROR(__xludf.DUMMYFUNCTION("""COMPUTED_VALUE"""),"Budapest Alpha")</f>
        <v>Budapest Alpha</v>
      </c>
      <c r="N1512" s="6" t="str">
        <f>IFERROR(__xludf.DUMMYFUNCTION("""COMPUTED_VALUE"""),"")</f>
        <v/>
      </c>
      <c r="O1512" s="87" t="str">
        <f>IFERROR(__xludf.DUMMYFUNCTION("""COMPUTED_VALUE"""),"https://drive.google.com/drive/folders/10T2cTQHqEJZqE-st6uFKPoI?usp=share_link")</f>
        <v>https://drive.google.com/drive/folders/10T2cTQHqEJZqE-st6uFKPoI?usp=share_link</v>
      </c>
      <c r="P1512" s="6" t="str">
        <f>IFERROR(__xludf.DUMMYFUNCTION("""COMPUTED_VALUE"""),"Bunda Veronika")</f>
        <v>Bunda Veronika</v>
      </c>
      <c r="Q1512" s="6" t="str">
        <f>IFERROR(__xludf.DUMMYFUNCTION("""COMPUTED_VALUE"""),"HS")</f>
        <v>HS</v>
      </c>
      <c r="R1512" s="6">
        <f>IFERROR(__xludf.DUMMYFUNCTION("""COMPUTED_VALUE"""),0.0)</f>
        <v>0</v>
      </c>
      <c r="S1512" s="6" t="str">
        <f>IFERROR(__xludf.DUMMYFUNCTION("""COMPUTED_VALUE""")," ")</f>
        <v> </v>
      </c>
      <c r="T1512" s="6" t="str">
        <f>IFERROR(__xludf.DUMMYFUNCTION("""COMPUTED_VALUE"""),"")</f>
        <v/>
      </c>
      <c r="U1512" s="6" t="str">
        <f>IFERROR(__xludf.DUMMYFUNCTION("""COMPUTED_VALUE"""),"11")</f>
        <v>11</v>
      </c>
      <c r="V1512" s="6" t="str">
        <f>IFERROR(__xludf.DUMMYFUNCTION("""COMPUTED_VALUE"""),"English")</f>
        <v>English</v>
      </c>
      <c r="W1512" s="6" t="str">
        <f>IFERROR(__xludf.DUMMYFUNCTION("""COMPUTED_VALUE"""),"[]")</f>
        <v>[]</v>
      </c>
      <c r="X1512" s="6" t="str">
        <f>IFERROR(__xludf.DUMMYFUNCTION("""COMPUTED_VALUE"""),"Enrolled")</f>
        <v>Enrolled</v>
      </c>
    </row>
    <row r="1513">
      <c r="A1513" s="6" t="str">
        <f>IFERROR(__xludf.DUMMYFUNCTION("""COMPUTED_VALUE"""),"009-1769")</f>
        <v>009-1769</v>
      </c>
      <c r="B1513" s="6" t="str">
        <f>IFERROR(__xludf.DUMMYFUNCTION("""COMPUTED_VALUE"""),"9")</f>
        <v>9</v>
      </c>
      <c r="C1513" s="6" t="str">
        <f>IFERROR(__xludf.DUMMYFUNCTION("""COMPUTED_VALUE"""),"1769")</f>
        <v>1769</v>
      </c>
      <c r="D1513" s="6" t="str">
        <f>IFERROR(__xludf.DUMMYFUNCTION("""COMPUTED_VALUE"""),"Bunda")</f>
        <v>Bunda</v>
      </c>
      <c r="E1513" s="6" t="str">
        <f>IFERROR(__xludf.DUMMYFUNCTION("""COMPUTED_VALUE"""),"")</f>
        <v/>
      </c>
      <c r="F1513" s="6" t="str">
        <f>IFERROR(__xludf.DUMMYFUNCTION("""COMPUTED_VALUE"""),"Teodora")</f>
        <v>Teodora</v>
      </c>
      <c r="G1513" s="6" t="str">
        <f>IFERROR(__xludf.DUMMYFUNCTION("""COMPUTED_VALUE"""),"01/01/2009")</f>
        <v>01/01/2009</v>
      </c>
      <c r="H1513" s="6" t="str">
        <f>IFERROR(__xludf.DUMMYFUNCTION("""COMPUTED_VALUE"""),"Self Identify")</f>
        <v>Self Identify</v>
      </c>
      <c r="I1513" s="6" t="str">
        <f>IFERROR(__xludf.DUMMYFUNCTION("""COMPUTED_VALUE"""),"High School")</f>
        <v>High School</v>
      </c>
      <c r="J1513" s="6" t="str">
        <f>IFERROR(__xludf.DUMMYFUNCTION("""COMPUTED_VALUE"""),"10")</f>
        <v>10</v>
      </c>
      <c r="K1513" s="6" t="str">
        <f>IFERROR(__xludf.DUMMYFUNCTION("""COMPUTED_VALUE"""),"bunda.teodora@2hourlearning.com")</f>
        <v>bunda.teodora@2hourlearning.com</v>
      </c>
      <c r="L1513" s="6" t="str">
        <f>IFERROR(__xludf.DUMMYFUNCTION("""COMPUTED_VALUE"""),"Learn and Earn Poland")</f>
        <v>Learn and Earn Poland</v>
      </c>
      <c r="M1513" s="6" t="str">
        <f>IFERROR(__xludf.DUMMYFUNCTION("""COMPUTED_VALUE"""),"Budapest Alpha")</f>
        <v>Budapest Alpha</v>
      </c>
      <c r="N1513" s="6" t="str">
        <f>IFERROR(__xludf.DUMMYFUNCTION("""COMPUTED_VALUE"""),"")</f>
        <v/>
      </c>
      <c r="O1513" s="87" t="str">
        <f>IFERROR(__xludf.DUMMYFUNCTION("""COMPUTED_VALUE"""),"https://drive.google.com/drive/folders/10T2cTQHqEJZqE-st6uFKPoI?usp=share_link")</f>
        <v>https://drive.google.com/drive/folders/10T2cTQHqEJZqE-st6uFKPoI?usp=share_link</v>
      </c>
      <c r="P1513" s="6" t="str">
        <f>IFERROR(__xludf.DUMMYFUNCTION("""COMPUTED_VALUE"""),"Bunda Teodora")</f>
        <v>Bunda Teodora</v>
      </c>
      <c r="Q1513" s="6" t="str">
        <f>IFERROR(__xludf.DUMMYFUNCTION("""COMPUTED_VALUE"""),"HS")</f>
        <v>HS</v>
      </c>
      <c r="R1513" s="6">
        <f>IFERROR(__xludf.DUMMYFUNCTION("""COMPUTED_VALUE"""),0.0)</f>
        <v>0</v>
      </c>
      <c r="S1513" s="6" t="str">
        <f>IFERROR(__xludf.DUMMYFUNCTION("""COMPUTED_VALUE""")," ")</f>
        <v> </v>
      </c>
      <c r="T1513" s="6" t="str">
        <f>IFERROR(__xludf.DUMMYFUNCTION("""COMPUTED_VALUE"""),"")</f>
        <v/>
      </c>
      <c r="U1513" s="6" t="str">
        <f>IFERROR(__xludf.DUMMYFUNCTION("""COMPUTED_VALUE"""),"10")</f>
        <v>10</v>
      </c>
      <c r="V1513" s="6" t="str">
        <f>IFERROR(__xludf.DUMMYFUNCTION("""COMPUTED_VALUE"""),"English")</f>
        <v>English</v>
      </c>
      <c r="W1513" s="6" t="str">
        <f>IFERROR(__xludf.DUMMYFUNCTION("""COMPUTED_VALUE"""),"[]")</f>
        <v>[]</v>
      </c>
      <c r="X1513" s="6" t="str">
        <f>IFERROR(__xludf.DUMMYFUNCTION("""COMPUTED_VALUE"""),"Enrolled")</f>
        <v>Enrolled</v>
      </c>
    </row>
    <row r="1514">
      <c r="A1514" s="6" t="str">
        <f>IFERROR(__xludf.DUMMYFUNCTION("""COMPUTED_VALUE"""),"009-1770")</f>
        <v>009-1770</v>
      </c>
      <c r="B1514" s="6" t="str">
        <f>IFERROR(__xludf.DUMMYFUNCTION("""COMPUTED_VALUE"""),"9")</f>
        <v>9</v>
      </c>
      <c r="C1514" s="6" t="str">
        <f>IFERROR(__xludf.DUMMYFUNCTION("""COMPUTED_VALUE"""),"1770")</f>
        <v>1770</v>
      </c>
      <c r="D1514" s="6" t="str">
        <f>IFERROR(__xludf.DUMMYFUNCTION("""COMPUTED_VALUE"""),"Yelyzaveta")</f>
        <v>Yelyzaveta</v>
      </c>
      <c r="E1514" s="6" t="str">
        <f>IFERROR(__xludf.DUMMYFUNCTION("""COMPUTED_VALUE"""),"")</f>
        <v/>
      </c>
      <c r="F1514" s="6" t="str">
        <f>IFERROR(__xludf.DUMMYFUNCTION("""COMPUTED_VALUE"""),"Antonets")</f>
        <v>Antonets</v>
      </c>
      <c r="G1514" s="6" t="str">
        <f>IFERROR(__xludf.DUMMYFUNCTION("""COMPUTED_VALUE"""),"01/01/2012")</f>
        <v>01/01/2012</v>
      </c>
      <c r="H1514" s="6" t="str">
        <f>IFERROR(__xludf.DUMMYFUNCTION("""COMPUTED_VALUE"""),"Self Identify")</f>
        <v>Self Identify</v>
      </c>
      <c r="I1514" s="6" t="str">
        <f>IFERROR(__xludf.DUMMYFUNCTION("""COMPUTED_VALUE"""),"Middle School")</f>
        <v>Middle School</v>
      </c>
      <c r="J1514" s="6" t="str">
        <f>IFERROR(__xludf.DUMMYFUNCTION("""COMPUTED_VALUE"""),"7")</f>
        <v>7</v>
      </c>
      <c r="K1514" s="6" t="str">
        <f>IFERROR(__xludf.DUMMYFUNCTION("""COMPUTED_VALUE"""),"yelyzaveta.antonets@2hourlearning.com")</f>
        <v>yelyzaveta.antonets@2hourlearning.com</v>
      </c>
      <c r="L1514" s="6" t="str">
        <f>IFERROR(__xludf.DUMMYFUNCTION("""COMPUTED_VALUE"""),"Learn and Earn Poland")</f>
        <v>Learn and Earn Poland</v>
      </c>
      <c r="M1514" s="6" t="str">
        <f>IFERROR(__xludf.DUMMYFUNCTION("""COMPUTED_VALUE"""),"Budapest Alpha")</f>
        <v>Budapest Alpha</v>
      </c>
      <c r="N1514" s="6" t="str">
        <f>IFERROR(__xludf.DUMMYFUNCTION("""COMPUTED_VALUE"""),"")</f>
        <v/>
      </c>
      <c r="O1514" s="87" t="str">
        <f>IFERROR(__xludf.DUMMYFUNCTION("""COMPUTED_VALUE"""),"https://drive.google.com/drive/folders/10T2cTQHqEJZqE-st6uFKPoI?usp=share_link")</f>
        <v>https://drive.google.com/drive/folders/10T2cTQHqEJZqE-st6uFKPoI?usp=share_link</v>
      </c>
      <c r="P1514" s="6" t="str">
        <f>IFERROR(__xludf.DUMMYFUNCTION("""COMPUTED_VALUE"""),"Yelyzaveta Antonets")</f>
        <v>Yelyzaveta Antonets</v>
      </c>
      <c r="Q1514" s="6" t="str">
        <f>IFERROR(__xludf.DUMMYFUNCTION("""COMPUTED_VALUE"""),"MS")</f>
        <v>MS</v>
      </c>
      <c r="R1514" s="6">
        <f>IFERROR(__xludf.DUMMYFUNCTION("""COMPUTED_VALUE"""),0.0)</f>
        <v>0</v>
      </c>
      <c r="S1514" s="6" t="str">
        <f>IFERROR(__xludf.DUMMYFUNCTION("""COMPUTED_VALUE""")," ")</f>
        <v> </v>
      </c>
      <c r="T1514" s="6" t="str">
        <f>IFERROR(__xludf.DUMMYFUNCTION("""COMPUTED_VALUE"""),"")</f>
        <v/>
      </c>
      <c r="U1514" s="6" t="str">
        <f>IFERROR(__xludf.DUMMYFUNCTION("""COMPUTED_VALUE"""),"7")</f>
        <v>7</v>
      </c>
      <c r="V1514" s="6" t="str">
        <f>IFERROR(__xludf.DUMMYFUNCTION("""COMPUTED_VALUE"""),"English")</f>
        <v>English</v>
      </c>
      <c r="W1514" s="6" t="str">
        <f>IFERROR(__xludf.DUMMYFUNCTION("""COMPUTED_VALUE"""),"[]")</f>
        <v>[]</v>
      </c>
      <c r="X1514" s="6" t="str">
        <f>IFERROR(__xludf.DUMMYFUNCTION("""COMPUTED_VALUE"""),"Enrolled")</f>
        <v>Enrolled</v>
      </c>
    </row>
    <row r="1515">
      <c r="A1515" s="6" t="str">
        <f>IFERROR(__xludf.DUMMYFUNCTION("""COMPUTED_VALUE"""),"009-1771")</f>
        <v>009-1771</v>
      </c>
      <c r="B1515" s="6" t="str">
        <f>IFERROR(__xludf.DUMMYFUNCTION("""COMPUTED_VALUE"""),"9")</f>
        <v>9</v>
      </c>
      <c r="C1515" s="6" t="str">
        <f>IFERROR(__xludf.DUMMYFUNCTION("""COMPUTED_VALUE"""),"1771")</f>
        <v>1771</v>
      </c>
      <c r="D1515" s="6" t="str">
        <f>IFERROR(__xludf.DUMMYFUNCTION("""COMPUTED_VALUE"""),"Dariia")</f>
        <v>Dariia</v>
      </c>
      <c r="E1515" s="6" t="str">
        <f>IFERROR(__xludf.DUMMYFUNCTION("""COMPUTED_VALUE"""),"")</f>
        <v/>
      </c>
      <c r="F1515" s="6" t="str">
        <f>IFERROR(__xludf.DUMMYFUNCTION("""COMPUTED_VALUE"""),"Sukhorukova")</f>
        <v>Sukhorukova</v>
      </c>
      <c r="G1515" s="6" t="str">
        <f>IFERROR(__xludf.DUMMYFUNCTION("""COMPUTED_VALUE"""),"01/01/2009")</f>
        <v>01/01/2009</v>
      </c>
      <c r="H1515" s="6" t="str">
        <f>IFERROR(__xludf.DUMMYFUNCTION("""COMPUTED_VALUE"""),"Self Identify")</f>
        <v>Self Identify</v>
      </c>
      <c r="I1515" s="6" t="str">
        <f>IFERROR(__xludf.DUMMYFUNCTION("""COMPUTED_VALUE"""),"High School")</f>
        <v>High School</v>
      </c>
      <c r="J1515" s="6" t="str">
        <f>IFERROR(__xludf.DUMMYFUNCTION("""COMPUTED_VALUE"""),"10")</f>
        <v>10</v>
      </c>
      <c r="K1515" s="6" t="str">
        <f>IFERROR(__xludf.DUMMYFUNCTION("""COMPUTED_VALUE"""),"dariia.sukhorukova@2hourlearning.com")</f>
        <v>dariia.sukhorukova@2hourlearning.com</v>
      </c>
      <c r="L1515" s="6" t="str">
        <f>IFERROR(__xludf.DUMMYFUNCTION("""COMPUTED_VALUE"""),"Learn and Earn Poland")</f>
        <v>Learn and Earn Poland</v>
      </c>
      <c r="M1515" s="6" t="str">
        <f>IFERROR(__xludf.DUMMYFUNCTION("""COMPUTED_VALUE"""),"Budapest Alpha")</f>
        <v>Budapest Alpha</v>
      </c>
      <c r="N1515" s="6" t="str">
        <f>IFERROR(__xludf.DUMMYFUNCTION("""COMPUTED_VALUE"""),"")</f>
        <v/>
      </c>
      <c r="O1515" s="87" t="str">
        <f>IFERROR(__xludf.DUMMYFUNCTION("""COMPUTED_VALUE"""),"https://drive.google.com/drive/folders/10T2cTQHqEJZqE-st6uFKPoI?usp=share_link")</f>
        <v>https://drive.google.com/drive/folders/10T2cTQHqEJZqE-st6uFKPoI?usp=share_link</v>
      </c>
      <c r="P1515" s="6" t="str">
        <f>IFERROR(__xludf.DUMMYFUNCTION("""COMPUTED_VALUE"""),"Dariia Sukhorukova")</f>
        <v>Dariia Sukhorukova</v>
      </c>
      <c r="Q1515" s="6" t="str">
        <f>IFERROR(__xludf.DUMMYFUNCTION("""COMPUTED_VALUE"""),"HS")</f>
        <v>HS</v>
      </c>
      <c r="R1515" s="6">
        <f>IFERROR(__xludf.DUMMYFUNCTION("""COMPUTED_VALUE"""),0.0)</f>
        <v>0</v>
      </c>
      <c r="S1515" s="6" t="str">
        <f>IFERROR(__xludf.DUMMYFUNCTION("""COMPUTED_VALUE""")," ")</f>
        <v> </v>
      </c>
      <c r="T1515" s="6" t="str">
        <f>IFERROR(__xludf.DUMMYFUNCTION("""COMPUTED_VALUE"""),"")</f>
        <v/>
      </c>
      <c r="U1515" s="6" t="str">
        <f>IFERROR(__xludf.DUMMYFUNCTION("""COMPUTED_VALUE"""),"10")</f>
        <v>10</v>
      </c>
      <c r="V1515" s="6" t="str">
        <f>IFERROR(__xludf.DUMMYFUNCTION("""COMPUTED_VALUE"""),"English")</f>
        <v>English</v>
      </c>
      <c r="W1515" s="6" t="str">
        <f>IFERROR(__xludf.DUMMYFUNCTION("""COMPUTED_VALUE"""),"[]")</f>
        <v>[]</v>
      </c>
      <c r="X1515" s="6" t="str">
        <f>IFERROR(__xludf.DUMMYFUNCTION("""COMPUTED_VALUE"""),"Enrolled")</f>
        <v>Enrolled</v>
      </c>
    </row>
    <row r="1516">
      <c r="A1516" s="6" t="str">
        <f>IFERROR(__xludf.DUMMYFUNCTION("""COMPUTED_VALUE"""),"009-1772")</f>
        <v>009-1772</v>
      </c>
      <c r="B1516" s="6" t="str">
        <f>IFERROR(__xludf.DUMMYFUNCTION("""COMPUTED_VALUE"""),"9")</f>
        <v>9</v>
      </c>
      <c r="C1516" s="6" t="str">
        <f>IFERROR(__xludf.DUMMYFUNCTION("""COMPUTED_VALUE"""),"1772")</f>
        <v>1772</v>
      </c>
      <c r="D1516" s="6" t="str">
        <f>IFERROR(__xludf.DUMMYFUNCTION("""COMPUTED_VALUE"""),"Anna")</f>
        <v>Anna</v>
      </c>
      <c r="E1516" s="6" t="str">
        <f>IFERROR(__xludf.DUMMYFUNCTION("""COMPUTED_VALUE"""),"")</f>
        <v/>
      </c>
      <c r="F1516" s="6" t="str">
        <f>IFERROR(__xludf.DUMMYFUNCTION("""COMPUTED_VALUE"""),"Sukhorukova")</f>
        <v>Sukhorukova</v>
      </c>
      <c r="G1516" s="6" t="str">
        <f>IFERROR(__xludf.DUMMYFUNCTION("""COMPUTED_VALUE"""),"01/01/2014")</f>
        <v>01/01/2014</v>
      </c>
      <c r="H1516" s="6" t="str">
        <f>IFERROR(__xludf.DUMMYFUNCTION("""COMPUTED_VALUE"""),"Self Identify")</f>
        <v>Self Identify</v>
      </c>
      <c r="I1516" s="6" t="str">
        <f>IFERROR(__xludf.DUMMYFUNCTION("""COMPUTED_VALUE"""),"Level 2")</f>
        <v>Level 2</v>
      </c>
      <c r="J1516" s="6" t="str">
        <f>IFERROR(__xludf.DUMMYFUNCTION("""COMPUTED_VALUE"""),"5")</f>
        <v>5</v>
      </c>
      <c r="K1516" s="6" t="str">
        <f>IFERROR(__xludf.DUMMYFUNCTION("""COMPUTED_VALUE"""),"anna.sukhorukova@2hourlearning.com")</f>
        <v>anna.sukhorukova@2hourlearning.com</v>
      </c>
      <c r="L1516" s="6" t="str">
        <f>IFERROR(__xludf.DUMMYFUNCTION("""COMPUTED_VALUE"""),"Learn and Earn Poland")</f>
        <v>Learn and Earn Poland</v>
      </c>
      <c r="M1516" s="6" t="str">
        <f>IFERROR(__xludf.DUMMYFUNCTION("""COMPUTED_VALUE"""),"Budapest Alpha")</f>
        <v>Budapest Alpha</v>
      </c>
      <c r="N1516" s="6" t="str">
        <f>IFERROR(__xludf.DUMMYFUNCTION("""COMPUTED_VALUE"""),"")</f>
        <v/>
      </c>
      <c r="O1516" s="87" t="str">
        <f>IFERROR(__xludf.DUMMYFUNCTION("""COMPUTED_VALUE"""),"https://drive.google.com/drive/folders/10T2cTQHqEJZqE-st6uFKPoI?usp=share_link")</f>
        <v>https://drive.google.com/drive/folders/10T2cTQHqEJZqE-st6uFKPoI?usp=share_link</v>
      </c>
      <c r="P1516" s="6" t="str">
        <f>IFERROR(__xludf.DUMMYFUNCTION("""COMPUTED_VALUE"""),"Anna Sukhorukova")</f>
        <v>Anna Sukhorukova</v>
      </c>
      <c r="Q1516" s="6" t="str">
        <f>IFERROR(__xludf.DUMMYFUNCTION("""COMPUTED_VALUE"""),"L2")</f>
        <v>L2</v>
      </c>
      <c r="R1516" s="6">
        <f>IFERROR(__xludf.DUMMYFUNCTION("""COMPUTED_VALUE"""),2.0)</f>
        <v>2</v>
      </c>
      <c r="S1516" s="6" t="str">
        <f>IFERROR(__xludf.DUMMYFUNCTION("""COMPUTED_VALUE""")," ")</f>
        <v> </v>
      </c>
      <c r="T1516" s="6" t="str">
        <f>IFERROR(__xludf.DUMMYFUNCTION("""COMPUTED_VALUE"""),"")</f>
        <v/>
      </c>
      <c r="U1516" s="6" t="str">
        <f>IFERROR(__xludf.DUMMYFUNCTION("""COMPUTED_VALUE"""),"5")</f>
        <v>5</v>
      </c>
      <c r="V1516" s="6" t="str">
        <f>IFERROR(__xludf.DUMMYFUNCTION("""COMPUTED_VALUE"""),"English")</f>
        <v>English</v>
      </c>
      <c r="W1516" s="6" t="str">
        <f>IFERROR(__xludf.DUMMYFUNCTION("""COMPUTED_VALUE"""),"[]")</f>
        <v>[]</v>
      </c>
      <c r="X1516" s="6" t="str">
        <f>IFERROR(__xludf.DUMMYFUNCTION("""COMPUTED_VALUE"""),"Enrolled")</f>
        <v>Enrolled</v>
      </c>
    </row>
    <row r="1517">
      <c r="A1517" s="6" t="str">
        <f>IFERROR(__xludf.DUMMYFUNCTION("""COMPUTED_VALUE"""),"009-1773")</f>
        <v>009-1773</v>
      </c>
      <c r="B1517" s="6" t="str">
        <f>IFERROR(__xludf.DUMMYFUNCTION("""COMPUTED_VALUE"""),"9")</f>
        <v>9</v>
      </c>
      <c r="C1517" s="6" t="str">
        <f>IFERROR(__xludf.DUMMYFUNCTION("""COMPUTED_VALUE"""),"1773")</f>
        <v>1773</v>
      </c>
      <c r="D1517" s="6" t="str">
        <f>IFERROR(__xludf.DUMMYFUNCTION("""COMPUTED_VALUE"""),"Anna")</f>
        <v>Anna</v>
      </c>
      <c r="E1517" s="6" t="str">
        <f>IFERROR(__xludf.DUMMYFUNCTION("""COMPUTED_VALUE"""),"")</f>
        <v/>
      </c>
      <c r="F1517" s="6" t="str">
        <f>IFERROR(__xludf.DUMMYFUNCTION("""COMPUTED_VALUE"""),"Horvat")</f>
        <v>Horvat</v>
      </c>
      <c r="G1517" s="6" t="str">
        <f>IFERROR(__xludf.DUMMYFUNCTION("""COMPUTED_VALUE"""),"01/01/2014")</f>
        <v>01/01/2014</v>
      </c>
      <c r="H1517" s="6" t="str">
        <f>IFERROR(__xludf.DUMMYFUNCTION("""COMPUTED_VALUE"""),"Self Identify")</f>
        <v>Self Identify</v>
      </c>
      <c r="I1517" s="6" t="str">
        <f>IFERROR(__xludf.DUMMYFUNCTION("""COMPUTED_VALUE"""),"Level 2")</f>
        <v>Level 2</v>
      </c>
      <c r="J1517" s="6" t="str">
        <f>IFERROR(__xludf.DUMMYFUNCTION("""COMPUTED_VALUE"""),"5")</f>
        <v>5</v>
      </c>
      <c r="K1517" s="6" t="str">
        <f>IFERROR(__xludf.DUMMYFUNCTION("""COMPUTED_VALUE"""),"anna.horvat@2hourlearning.com")</f>
        <v>anna.horvat@2hourlearning.com</v>
      </c>
      <c r="L1517" s="6" t="str">
        <f>IFERROR(__xludf.DUMMYFUNCTION("""COMPUTED_VALUE"""),"Learn and Earn Poland")</f>
        <v>Learn and Earn Poland</v>
      </c>
      <c r="M1517" s="6" t="str">
        <f>IFERROR(__xludf.DUMMYFUNCTION("""COMPUTED_VALUE"""),"Budapest Alpha")</f>
        <v>Budapest Alpha</v>
      </c>
      <c r="N1517" s="6" t="str">
        <f>IFERROR(__xludf.DUMMYFUNCTION("""COMPUTED_VALUE"""),"")</f>
        <v/>
      </c>
      <c r="O1517" s="87" t="str">
        <f>IFERROR(__xludf.DUMMYFUNCTION("""COMPUTED_VALUE"""),"https://drive.google.com/drive/folders/10T2cTQHqEJZqE-st6uFKPoI?usp=share_link")</f>
        <v>https://drive.google.com/drive/folders/10T2cTQHqEJZqE-st6uFKPoI?usp=share_link</v>
      </c>
      <c r="P1517" s="6" t="str">
        <f>IFERROR(__xludf.DUMMYFUNCTION("""COMPUTED_VALUE"""),"Anna Horvat")</f>
        <v>Anna Horvat</v>
      </c>
      <c r="Q1517" s="6" t="str">
        <f>IFERROR(__xludf.DUMMYFUNCTION("""COMPUTED_VALUE"""),"L2")</f>
        <v>L2</v>
      </c>
      <c r="R1517" s="6">
        <f>IFERROR(__xludf.DUMMYFUNCTION("""COMPUTED_VALUE"""),2.0)</f>
        <v>2</v>
      </c>
      <c r="S1517" s="6" t="str">
        <f>IFERROR(__xludf.DUMMYFUNCTION("""COMPUTED_VALUE""")," ")</f>
        <v> </v>
      </c>
      <c r="T1517" s="6" t="str">
        <f>IFERROR(__xludf.DUMMYFUNCTION("""COMPUTED_VALUE"""),"")</f>
        <v/>
      </c>
      <c r="U1517" s="6" t="str">
        <f>IFERROR(__xludf.DUMMYFUNCTION("""COMPUTED_VALUE"""),"5")</f>
        <v>5</v>
      </c>
      <c r="V1517" s="6" t="str">
        <f>IFERROR(__xludf.DUMMYFUNCTION("""COMPUTED_VALUE"""),"English")</f>
        <v>English</v>
      </c>
      <c r="W1517" s="6" t="str">
        <f>IFERROR(__xludf.DUMMYFUNCTION("""COMPUTED_VALUE"""),"[]")</f>
        <v>[]</v>
      </c>
      <c r="X1517" s="6" t="str">
        <f>IFERROR(__xludf.DUMMYFUNCTION("""COMPUTED_VALUE"""),"Enrolled")</f>
        <v>Enrolled</v>
      </c>
    </row>
    <row r="1518">
      <c r="A1518" s="6" t="str">
        <f>IFERROR(__xludf.DUMMYFUNCTION("""COMPUTED_VALUE"""),"009-1774")</f>
        <v>009-1774</v>
      </c>
      <c r="B1518" s="6" t="str">
        <f>IFERROR(__xludf.DUMMYFUNCTION("""COMPUTED_VALUE"""),"9")</f>
        <v>9</v>
      </c>
      <c r="C1518" s="6" t="str">
        <f>IFERROR(__xludf.DUMMYFUNCTION("""COMPUTED_VALUE"""),"1774")</f>
        <v>1774</v>
      </c>
      <c r="D1518" s="6" t="str">
        <f>IFERROR(__xludf.DUMMYFUNCTION("""COMPUTED_VALUE"""),"Vivien")</f>
        <v>Vivien</v>
      </c>
      <c r="E1518" s="6" t="str">
        <f>IFERROR(__xludf.DUMMYFUNCTION("""COMPUTED_VALUE"""),"")</f>
        <v/>
      </c>
      <c r="F1518" s="6" t="str">
        <f>IFERROR(__xludf.DUMMYFUNCTION("""COMPUTED_VALUE"""),"Varaljai")</f>
        <v>Varaljai</v>
      </c>
      <c r="G1518" s="6" t="str">
        <f>IFERROR(__xludf.DUMMYFUNCTION("""COMPUTED_VALUE"""),"01/01/2015")</f>
        <v>01/01/2015</v>
      </c>
      <c r="H1518" s="6" t="str">
        <f>IFERROR(__xludf.DUMMYFUNCTION("""COMPUTED_VALUE"""),"Self Identify")</f>
        <v>Self Identify</v>
      </c>
      <c r="I1518" s="6" t="str">
        <f>IFERROR(__xludf.DUMMYFUNCTION("""COMPUTED_VALUE"""),"Level 2")</f>
        <v>Level 2</v>
      </c>
      <c r="J1518" s="6" t="str">
        <f>IFERROR(__xludf.DUMMYFUNCTION("""COMPUTED_VALUE"""),"4")</f>
        <v>4</v>
      </c>
      <c r="K1518" s="6" t="str">
        <f>IFERROR(__xludf.DUMMYFUNCTION("""COMPUTED_VALUE"""),"vivien.varaljai@2hourlearning.com")</f>
        <v>vivien.varaljai@2hourlearning.com</v>
      </c>
      <c r="L1518" s="6" t="str">
        <f>IFERROR(__xludf.DUMMYFUNCTION("""COMPUTED_VALUE"""),"Learn and Earn Poland")</f>
        <v>Learn and Earn Poland</v>
      </c>
      <c r="M1518" s="6" t="str">
        <f>IFERROR(__xludf.DUMMYFUNCTION("""COMPUTED_VALUE"""),"Budapest Alpha")</f>
        <v>Budapest Alpha</v>
      </c>
      <c r="N1518" s="6" t="str">
        <f>IFERROR(__xludf.DUMMYFUNCTION("""COMPUTED_VALUE"""),"")</f>
        <v/>
      </c>
      <c r="O1518" s="87" t="str">
        <f>IFERROR(__xludf.DUMMYFUNCTION("""COMPUTED_VALUE"""),"https://drive.google.com/drive/folders/10T2cTQHqEJZqE-st6uFKPoI?usp=share_link")</f>
        <v>https://drive.google.com/drive/folders/10T2cTQHqEJZqE-st6uFKPoI?usp=share_link</v>
      </c>
      <c r="P1518" s="6" t="str">
        <f>IFERROR(__xludf.DUMMYFUNCTION("""COMPUTED_VALUE"""),"Vivien Varaljai")</f>
        <v>Vivien Varaljai</v>
      </c>
      <c r="Q1518" s="6" t="str">
        <f>IFERROR(__xludf.DUMMYFUNCTION("""COMPUTED_VALUE"""),"L2")</f>
        <v>L2</v>
      </c>
      <c r="R1518" s="6">
        <f>IFERROR(__xludf.DUMMYFUNCTION("""COMPUTED_VALUE"""),2.0)</f>
        <v>2</v>
      </c>
      <c r="S1518" s="6" t="str">
        <f>IFERROR(__xludf.DUMMYFUNCTION("""COMPUTED_VALUE""")," ")</f>
        <v> </v>
      </c>
      <c r="T1518" s="6" t="str">
        <f>IFERROR(__xludf.DUMMYFUNCTION("""COMPUTED_VALUE"""),"")</f>
        <v/>
      </c>
      <c r="U1518" s="6" t="str">
        <f>IFERROR(__xludf.DUMMYFUNCTION("""COMPUTED_VALUE"""),"4")</f>
        <v>4</v>
      </c>
      <c r="V1518" s="6" t="str">
        <f>IFERROR(__xludf.DUMMYFUNCTION("""COMPUTED_VALUE"""),"English")</f>
        <v>English</v>
      </c>
      <c r="W1518" s="6" t="str">
        <f>IFERROR(__xludf.DUMMYFUNCTION("""COMPUTED_VALUE"""),"[]")</f>
        <v>[]</v>
      </c>
      <c r="X1518" s="6" t="str">
        <f>IFERROR(__xludf.DUMMYFUNCTION("""COMPUTED_VALUE"""),"Enrolled")</f>
        <v>Enrolled</v>
      </c>
    </row>
    <row r="1519">
      <c r="A1519" s="6" t="str">
        <f>IFERROR(__xludf.DUMMYFUNCTION("""COMPUTED_VALUE"""),"009-1775")</f>
        <v>009-1775</v>
      </c>
      <c r="B1519" s="6" t="str">
        <f>IFERROR(__xludf.DUMMYFUNCTION("""COMPUTED_VALUE"""),"9")</f>
        <v>9</v>
      </c>
      <c r="C1519" s="6" t="str">
        <f>IFERROR(__xludf.DUMMYFUNCTION("""COMPUTED_VALUE"""),"1775")</f>
        <v>1775</v>
      </c>
      <c r="D1519" s="6" t="str">
        <f>IFERROR(__xludf.DUMMYFUNCTION("""COMPUTED_VALUE"""),"Ivan")</f>
        <v>Ivan</v>
      </c>
      <c r="E1519" s="6" t="str">
        <f>IFERROR(__xludf.DUMMYFUNCTION("""COMPUTED_VALUE"""),"")</f>
        <v/>
      </c>
      <c r="F1519" s="6" t="str">
        <f>IFERROR(__xludf.DUMMYFUNCTION("""COMPUTED_VALUE"""),"Piddubnyi")</f>
        <v>Piddubnyi</v>
      </c>
      <c r="G1519" s="6" t="str">
        <f>IFERROR(__xludf.DUMMYFUNCTION("""COMPUTED_VALUE"""),"01/01/2014")</f>
        <v>01/01/2014</v>
      </c>
      <c r="H1519" s="6" t="str">
        <f>IFERROR(__xludf.DUMMYFUNCTION("""COMPUTED_VALUE"""),"Self Identify")</f>
        <v>Self Identify</v>
      </c>
      <c r="I1519" s="6" t="str">
        <f>IFERROR(__xludf.DUMMYFUNCTION("""COMPUTED_VALUE"""),"Level 2")</f>
        <v>Level 2</v>
      </c>
      <c r="J1519" s="6" t="str">
        <f>IFERROR(__xludf.DUMMYFUNCTION("""COMPUTED_VALUE"""),"5")</f>
        <v>5</v>
      </c>
      <c r="K1519" s="6" t="str">
        <f>IFERROR(__xludf.DUMMYFUNCTION("""COMPUTED_VALUE"""),"piddubnyi.ivan@2hourlearning.com")</f>
        <v>piddubnyi.ivan@2hourlearning.com</v>
      </c>
      <c r="L1519" s="6" t="str">
        <f>IFERROR(__xludf.DUMMYFUNCTION("""COMPUTED_VALUE"""),"Learn and Earn Poland")</f>
        <v>Learn and Earn Poland</v>
      </c>
      <c r="M1519" s="6" t="str">
        <f>IFERROR(__xludf.DUMMYFUNCTION("""COMPUTED_VALUE"""),"Budapest Alpha")</f>
        <v>Budapest Alpha</v>
      </c>
      <c r="N1519" s="6" t="str">
        <f>IFERROR(__xludf.DUMMYFUNCTION("""COMPUTED_VALUE"""),"")</f>
        <v/>
      </c>
      <c r="O1519" s="87" t="str">
        <f>IFERROR(__xludf.DUMMYFUNCTION("""COMPUTED_VALUE"""),"https://drive.google.com/drive/folders/10T2cTQHqEJZqE-st6uFKPoI?usp=share_link")</f>
        <v>https://drive.google.com/drive/folders/10T2cTQHqEJZqE-st6uFKPoI?usp=share_link</v>
      </c>
      <c r="P1519" s="6" t="str">
        <f>IFERROR(__xludf.DUMMYFUNCTION("""COMPUTED_VALUE"""),"Ivan Piddubnyi")</f>
        <v>Ivan Piddubnyi</v>
      </c>
      <c r="Q1519" s="6" t="str">
        <f>IFERROR(__xludf.DUMMYFUNCTION("""COMPUTED_VALUE"""),"L2")</f>
        <v>L2</v>
      </c>
      <c r="R1519" s="6">
        <f>IFERROR(__xludf.DUMMYFUNCTION("""COMPUTED_VALUE"""),2.0)</f>
        <v>2</v>
      </c>
      <c r="S1519" s="6" t="str">
        <f>IFERROR(__xludf.DUMMYFUNCTION("""COMPUTED_VALUE""")," ")</f>
        <v> </v>
      </c>
      <c r="T1519" s="6" t="str">
        <f>IFERROR(__xludf.DUMMYFUNCTION("""COMPUTED_VALUE"""),"")</f>
        <v/>
      </c>
      <c r="U1519" s="6" t="str">
        <f>IFERROR(__xludf.DUMMYFUNCTION("""COMPUTED_VALUE"""),"5")</f>
        <v>5</v>
      </c>
      <c r="V1519" s="6" t="str">
        <f>IFERROR(__xludf.DUMMYFUNCTION("""COMPUTED_VALUE"""),"English")</f>
        <v>English</v>
      </c>
      <c r="W1519" s="6" t="str">
        <f>IFERROR(__xludf.DUMMYFUNCTION("""COMPUTED_VALUE"""),"[]")</f>
        <v>[]</v>
      </c>
      <c r="X1519" s="6" t="str">
        <f>IFERROR(__xludf.DUMMYFUNCTION("""COMPUTED_VALUE"""),"Enrolled")</f>
        <v>Enrolled</v>
      </c>
    </row>
    <row r="1520">
      <c r="A1520" s="6" t="str">
        <f>IFERROR(__xludf.DUMMYFUNCTION("""COMPUTED_VALUE"""),"009-1776")</f>
        <v>009-1776</v>
      </c>
      <c r="B1520" s="6" t="str">
        <f>IFERROR(__xludf.DUMMYFUNCTION("""COMPUTED_VALUE"""),"9")</f>
        <v>9</v>
      </c>
      <c r="C1520" s="6" t="str">
        <f>IFERROR(__xludf.DUMMYFUNCTION("""COMPUTED_VALUE"""),"1776")</f>
        <v>1776</v>
      </c>
      <c r="D1520" s="6" t="str">
        <f>IFERROR(__xludf.DUMMYFUNCTION("""COMPUTED_VALUE"""),"Ivan")</f>
        <v>Ivan</v>
      </c>
      <c r="E1520" s="6" t="str">
        <f>IFERROR(__xludf.DUMMYFUNCTION("""COMPUTED_VALUE"""),"")</f>
        <v/>
      </c>
      <c r="F1520" s="6" t="str">
        <f>IFERROR(__xludf.DUMMYFUNCTION("""COMPUTED_VALUE"""),"Hryshchuk")</f>
        <v>Hryshchuk</v>
      </c>
      <c r="G1520" s="6" t="str">
        <f>IFERROR(__xludf.DUMMYFUNCTION("""COMPUTED_VALUE"""),"01/01/2010")</f>
        <v>01/01/2010</v>
      </c>
      <c r="H1520" s="6" t="str">
        <f>IFERROR(__xludf.DUMMYFUNCTION("""COMPUTED_VALUE"""),"Self Identify")</f>
        <v>Self Identify</v>
      </c>
      <c r="I1520" s="6" t="str">
        <f>IFERROR(__xludf.DUMMYFUNCTION("""COMPUTED_VALUE"""),"High School")</f>
        <v>High School</v>
      </c>
      <c r="J1520" s="6" t="str">
        <f>IFERROR(__xludf.DUMMYFUNCTION("""COMPUTED_VALUE"""),"9")</f>
        <v>9</v>
      </c>
      <c r="K1520" s="6" t="str">
        <f>IFERROR(__xludf.DUMMYFUNCTION("""COMPUTED_VALUE"""),"ivan.hryshchuk@2hourlearning.com")</f>
        <v>ivan.hryshchuk@2hourlearning.com</v>
      </c>
      <c r="L1520" s="6" t="str">
        <f>IFERROR(__xludf.DUMMYFUNCTION("""COMPUTED_VALUE"""),"Learn and Earn Poland")</f>
        <v>Learn and Earn Poland</v>
      </c>
      <c r="M1520" s="6" t="str">
        <f>IFERROR(__xludf.DUMMYFUNCTION("""COMPUTED_VALUE"""),"Budapest Alpha")</f>
        <v>Budapest Alpha</v>
      </c>
      <c r="N1520" s="6" t="str">
        <f>IFERROR(__xludf.DUMMYFUNCTION("""COMPUTED_VALUE"""),"")</f>
        <v/>
      </c>
      <c r="O1520" s="87" t="str">
        <f>IFERROR(__xludf.DUMMYFUNCTION("""COMPUTED_VALUE"""),"https://drive.google.com/drive/folders/10T2cTQHqEJZqE-st6uFKPoI?usp=share_link")</f>
        <v>https://drive.google.com/drive/folders/10T2cTQHqEJZqE-st6uFKPoI?usp=share_link</v>
      </c>
      <c r="P1520" s="6" t="str">
        <f>IFERROR(__xludf.DUMMYFUNCTION("""COMPUTED_VALUE"""),"Ivan Hryshchuk")</f>
        <v>Ivan Hryshchuk</v>
      </c>
      <c r="Q1520" s="6" t="str">
        <f>IFERROR(__xludf.DUMMYFUNCTION("""COMPUTED_VALUE"""),"HS")</f>
        <v>HS</v>
      </c>
      <c r="R1520" s="6">
        <f>IFERROR(__xludf.DUMMYFUNCTION("""COMPUTED_VALUE"""),0.0)</f>
        <v>0</v>
      </c>
      <c r="S1520" s="6" t="str">
        <f>IFERROR(__xludf.DUMMYFUNCTION("""COMPUTED_VALUE""")," ")</f>
        <v> </v>
      </c>
      <c r="T1520" s="6" t="str">
        <f>IFERROR(__xludf.DUMMYFUNCTION("""COMPUTED_VALUE"""),"")</f>
        <v/>
      </c>
      <c r="U1520" s="6" t="str">
        <f>IFERROR(__xludf.DUMMYFUNCTION("""COMPUTED_VALUE"""),"9")</f>
        <v>9</v>
      </c>
      <c r="V1520" s="6" t="str">
        <f>IFERROR(__xludf.DUMMYFUNCTION("""COMPUTED_VALUE"""),"English")</f>
        <v>English</v>
      </c>
      <c r="W1520" s="6" t="str">
        <f>IFERROR(__xludf.DUMMYFUNCTION("""COMPUTED_VALUE"""),"[]")</f>
        <v>[]</v>
      </c>
      <c r="X1520" s="6" t="str">
        <f>IFERROR(__xludf.DUMMYFUNCTION("""COMPUTED_VALUE"""),"Enrolled")</f>
        <v>Enrolled</v>
      </c>
    </row>
    <row r="1521">
      <c r="A1521" s="6" t="str">
        <f>IFERROR(__xludf.DUMMYFUNCTION("""COMPUTED_VALUE"""),"009-1777")</f>
        <v>009-1777</v>
      </c>
      <c r="B1521" s="6" t="str">
        <f>IFERROR(__xludf.DUMMYFUNCTION("""COMPUTED_VALUE"""),"9")</f>
        <v>9</v>
      </c>
      <c r="C1521" s="6" t="str">
        <f>IFERROR(__xludf.DUMMYFUNCTION("""COMPUTED_VALUE"""),"1777")</f>
        <v>1777</v>
      </c>
      <c r="D1521" s="6" t="str">
        <f>IFERROR(__xludf.DUMMYFUNCTION("""COMPUTED_VALUE"""),"Alisa")</f>
        <v>Alisa</v>
      </c>
      <c r="E1521" s="6" t="str">
        <f>IFERROR(__xludf.DUMMYFUNCTION("""COMPUTED_VALUE"""),"")</f>
        <v/>
      </c>
      <c r="F1521" s="6" t="str">
        <f>IFERROR(__xludf.DUMMYFUNCTION("""COMPUTED_VALUE"""),"Moseichuk")</f>
        <v>Moseichuk</v>
      </c>
      <c r="G1521" s="6" t="str">
        <f>IFERROR(__xludf.DUMMYFUNCTION("""COMPUTED_VALUE"""),"01/01/2010")</f>
        <v>01/01/2010</v>
      </c>
      <c r="H1521" s="6" t="str">
        <f>IFERROR(__xludf.DUMMYFUNCTION("""COMPUTED_VALUE"""),"Self Identify")</f>
        <v>Self Identify</v>
      </c>
      <c r="I1521" s="6" t="str">
        <f>IFERROR(__xludf.DUMMYFUNCTION("""COMPUTED_VALUE"""),"High School")</f>
        <v>High School</v>
      </c>
      <c r="J1521" s="6" t="str">
        <f>IFERROR(__xludf.DUMMYFUNCTION("""COMPUTED_VALUE"""),"9")</f>
        <v>9</v>
      </c>
      <c r="K1521" s="6" t="str">
        <f>IFERROR(__xludf.DUMMYFUNCTION("""COMPUTED_VALUE"""),"alisa.moseichuk@2hourlearning.com")</f>
        <v>alisa.moseichuk@2hourlearning.com</v>
      </c>
      <c r="L1521" s="6" t="str">
        <f>IFERROR(__xludf.DUMMYFUNCTION("""COMPUTED_VALUE"""),"Learn and Earn Poland")</f>
        <v>Learn and Earn Poland</v>
      </c>
      <c r="M1521" s="6" t="str">
        <f>IFERROR(__xludf.DUMMYFUNCTION("""COMPUTED_VALUE"""),"Budapest Alpha")</f>
        <v>Budapest Alpha</v>
      </c>
      <c r="N1521" s="6" t="str">
        <f>IFERROR(__xludf.DUMMYFUNCTION("""COMPUTED_VALUE"""),"")</f>
        <v/>
      </c>
      <c r="O1521" s="87" t="str">
        <f>IFERROR(__xludf.DUMMYFUNCTION("""COMPUTED_VALUE"""),"https://drive.google.com/drive/folders/10T2cTQHqEJZqE-st6uFKPoI?usp=share_link")</f>
        <v>https://drive.google.com/drive/folders/10T2cTQHqEJZqE-st6uFKPoI?usp=share_link</v>
      </c>
      <c r="P1521" s="6" t="str">
        <f>IFERROR(__xludf.DUMMYFUNCTION("""COMPUTED_VALUE"""),"Alisa Moseichuk")</f>
        <v>Alisa Moseichuk</v>
      </c>
      <c r="Q1521" s="6" t="str">
        <f>IFERROR(__xludf.DUMMYFUNCTION("""COMPUTED_VALUE"""),"HS")</f>
        <v>HS</v>
      </c>
      <c r="R1521" s="6">
        <f>IFERROR(__xludf.DUMMYFUNCTION("""COMPUTED_VALUE"""),0.0)</f>
        <v>0</v>
      </c>
      <c r="S1521" s="6" t="str">
        <f>IFERROR(__xludf.DUMMYFUNCTION("""COMPUTED_VALUE""")," ")</f>
        <v> </v>
      </c>
      <c r="T1521" s="6" t="str">
        <f>IFERROR(__xludf.DUMMYFUNCTION("""COMPUTED_VALUE"""),"")</f>
        <v/>
      </c>
      <c r="U1521" s="6" t="str">
        <f>IFERROR(__xludf.DUMMYFUNCTION("""COMPUTED_VALUE"""),"9")</f>
        <v>9</v>
      </c>
      <c r="V1521" s="6" t="str">
        <f>IFERROR(__xludf.DUMMYFUNCTION("""COMPUTED_VALUE"""),"English")</f>
        <v>English</v>
      </c>
      <c r="W1521" s="6" t="str">
        <f>IFERROR(__xludf.DUMMYFUNCTION("""COMPUTED_VALUE"""),"[]")</f>
        <v>[]</v>
      </c>
      <c r="X1521" s="6" t="str">
        <f>IFERROR(__xludf.DUMMYFUNCTION("""COMPUTED_VALUE"""),"Enrolled")</f>
        <v>Enrolled</v>
      </c>
    </row>
    <row r="1522">
      <c r="A1522" s="6" t="str">
        <f>IFERROR(__xludf.DUMMYFUNCTION("""COMPUTED_VALUE"""),"009-1778")</f>
        <v>009-1778</v>
      </c>
      <c r="B1522" s="6" t="str">
        <f>IFERROR(__xludf.DUMMYFUNCTION("""COMPUTED_VALUE"""),"9")</f>
        <v>9</v>
      </c>
      <c r="C1522" s="6" t="str">
        <f>IFERROR(__xludf.DUMMYFUNCTION("""COMPUTED_VALUE"""),"1778")</f>
        <v>1778</v>
      </c>
      <c r="D1522" s="6" t="str">
        <f>IFERROR(__xludf.DUMMYFUNCTION("""COMPUTED_VALUE"""),"Dmytro")</f>
        <v>Dmytro</v>
      </c>
      <c r="E1522" s="6" t="str">
        <f>IFERROR(__xludf.DUMMYFUNCTION("""COMPUTED_VALUE"""),"")</f>
        <v/>
      </c>
      <c r="F1522" s="6" t="str">
        <f>IFERROR(__xludf.DUMMYFUNCTION("""COMPUTED_VALUE"""),"Kakurin")</f>
        <v>Kakurin</v>
      </c>
      <c r="G1522" s="6" t="str">
        <f>IFERROR(__xludf.DUMMYFUNCTION("""COMPUTED_VALUE"""),"01/01/2012")</f>
        <v>01/01/2012</v>
      </c>
      <c r="H1522" s="6" t="str">
        <f>IFERROR(__xludf.DUMMYFUNCTION("""COMPUTED_VALUE"""),"Self Identify")</f>
        <v>Self Identify</v>
      </c>
      <c r="I1522" s="6" t="str">
        <f>IFERROR(__xludf.DUMMYFUNCTION("""COMPUTED_VALUE"""),"Middle School")</f>
        <v>Middle School</v>
      </c>
      <c r="J1522" s="6" t="str">
        <f>IFERROR(__xludf.DUMMYFUNCTION("""COMPUTED_VALUE"""),"7")</f>
        <v>7</v>
      </c>
      <c r="K1522" s="6" t="str">
        <f>IFERROR(__xludf.DUMMYFUNCTION("""COMPUTED_VALUE"""),"dmytro.kakurin@2hourlearning.com")</f>
        <v>dmytro.kakurin@2hourlearning.com</v>
      </c>
      <c r="L1522" s="6" t="str">
        <f>IFERROR(__xludf.DUMMYFUNCTION("""COMPUTED_VALUE"""),"Learn and Earn Poland")</f>
        <v>Learn and Earn Poland</v>
      </c>
      <c r="M1522" s="6" t="str">
        <f>IFERROR(__xludf.DUMMYFUNCTION("""COMPUTED_VALUE"""),"Budapest Alpha")</f>
        <v>Budapest Alpha</v>
      </c>
      <c r="N1522" s="6" t="str">
        <f>IFERROR(__xludf.DUMMYFUNCTION("""COMPUTED_VALUE"""),"")</f>
        <v/>
      </c>
      <c r="O1522" s="87" t="str">
        <f>IFERROR(__xludf.DUMMYFUNCTION("""COMPUTED_VALUE"""),"https://drive.google.com/drive/folders/10T2cTQHqEJZqE-st6uFKPoI?usp=share_link")</f>
        <v>https://drive.google.com/drive/folders/10T2cTQHqEJZqE-st6uFKPoI?usp=share_link</v>
      </c>
      <c r="P1522" s="6" t="str">
        <f>IFERROR(__xludf.DUMMYFUNCTION("""COMPUTED_VALUE"""),"Dmytro Kakurin")</f>
        <v>Dmytro Kakurin</v>
      </c>
      <c r="Q1522" s="6" t="str">
        <f>IFERROR(__xludf.DUMMYFUNCTION("""COMPUTED_VALUE"""),"MS")</f>
        <v>MS</v>
      </c>
      <c r="R1522" s="6">
        <f>IFERROR(__xludf.DUMMYFUNCTION("""COMPUTED_VALUE"""),0.0)</f>
        <v>0</v>
      </c>
      <c r="S1522" s="6" t="str">
        <f>IFERROR(__xludf.DUMMYFUNCTION("""COMPUTED_VALUE""")," ")</f>
        <v> </v>
      </c>
      <c r="T1522" s="6" t="str">
        <f>IFERROR(__xludf.DUMMYFUNCTION("""COMPUTED_VALUE"""),"")</f>
        <v/>
      </c>
      <c r="U1522" s="6" t="str">
        <f>IFERROR(__xludf.DUMMYFUNCTION("""COMPUTED_VALUE"""),"7")</f>
        <v>7</v>
      </c>
      <c r="V1522" s="6" t="str">
        <f>IFERROR(__xludf.DUMMYFUNCTION("""COMPUTED_VALUE"""),"English")</f>
        <v>English</v>
      </c>
      <c r="W1522" s="6" t="str">
        <f>IFERROR(__xludf.DUMMYFUNCTION("""COMPUTED_VALUE"""),"[]")</f>
        <v>[]</v>
      </c>
      <c r="X1522" s="6" t="str">
        <f>IFERROR(__xludf.DUMMYFUNCTION("""COMPUTED_VALUE"""),"Enrolled")</f>
        <v>Enrolled</v>
      </c>
    </row>
    <row r="1523">
      <c r="A1523" s="6" t="str">
        <f>IFERROR(__xludf.DUMMYFUNCTION("""COMPUTED_VALUE"""),"009-1779")</f>
        <v>009-1779</v>
      </c>
      <c r="B1523" s="6" t="str">
        <f>IFERROR(__xludf.DUMMYFUNCTION("""COMPUTED_VALUE"""),"9")</f>
        <v>9</v>
      </c>
      <c r="C1523" s="6" t="str">
        <f>IFERROR(__xludf.DUMMYFUNCTION("""COMPUTED_VALUE"""),"1779")</f>
        <v>1779</v>
      </c>
      <c r="D1523" s="6" t="str">
        <f>IFERROR(__xludf.DUMMYFUNCTION("""COMPUTED_VALUE"""),"Biro")</f>
        <v>Biro</v>
      </c>
      <c r="E1523" s="6" t="str">
        <f>IFERROR(__xludf.DUMMYFUNCTION("""COMPUTED_VALUE"""),"")</f>
        <v/>
      </c>
      <c r="F1523" s="6" t="str">
        <f>IFERROR(__xludf.DUMMYFUNCTION("""COMPUTED_VALUE"""),"agnes")</f>
        <v>agnes</v>
      </c>
      <c r="G1523" s="6" t="str">
        <f>IFERROR(__xludf.DUMMYFUNCTION("""COMPUTED_VALUE"""),"01/01/2015")</f>
        <v>01/01/2015</v>
      </c>
      <c r="H1523" s="6" t="str">
        <f>IFERROR(__xludf.DUMMYFUNCTION("""COMPUTED_VALUE"""),"Self Identify")</f>
        <v>Self Identify</v>
      </c>
      <c r="I1523" s="6" t="str">
        <f>IFERROR(__xludf.DUMMYFUNCTION("""COMPUTED_VALUE"""),"Level 2")</f>
        <v>Level 2</v>
      </c>
      <c r="J1523" s="6" t="str">
        <f>IFERROR(__xludf.DUMMYFUNCTION("""COMPUTED_VALUE"""),"4")</f>
        <v>4</v>
      </c>
      <c r="K1523" s="6" t="str">
        <f>IFERROR(__xludf.DUMMYFUNCTION("""COMPUTED_VALUE"""),"biro.agnes@2hourlearning.com")</f>
        <v>biro.agnes@2hourlearning.com</v>
      </c>
      <c r="L1523" s="6" t="str">
        <f>IFERROR(__xludf.DUMMYFUNCTION("""COMPUTED_VALUE"""),"Learn and Earn Poland")</f>
        <v>Learn and Earn Poland</v>
      </c>
      <c r="M1523" s="6" t="str">
        <f>IFERROR(__xludf.DUMMYFUNCTION("""COMPUTED_VALUE"""),"Budapest Alpha")</f>
        <v>Budapest Alpha</v>
      </c>
      <c r="N1523" s="6" t="str">
        <f>IFERROR(__xludf.DUMMYFUNCTION("""COMPUTED_VALUE"""),"")</f>
        <v/>
      </c>
      <c r="O1523" s="87" t="str">
        <f>IFERROR(__xludf.DUMMYFUNCTION("""COMPUTED_VALUE"""),"https://drive.google.com/drive/folders/10T2cTQHqEJZqE-st6uFKPoI?usp=share_link")</f>
        <v>https://drive.google.com/drive/folders/10T2cTQHqEJZqE-st6uFKPoI?usp=share_link</v>
      </c>
      <c r="P1523" s="6" t="str">
        <f>IFERROR(__xludf.DUMMYFUNCTION("""COMPUTED_VALUE"""),"Biro agnes")</f>
        <v>Biro agnes</v>
      </c>
      <c r="Q1523" s="6" t="str">
        <f>IFERROR(__xludf.DUMMYFUNCTION("""COMPUTED_VALUE"""),"L2")</f>
        <v>L2</v>
      </c>
      <c r="R1523" s="6">
        <f>IFERROR(__xludf.DUMMYFUNCTION("""COMPUTED_VALUE"""),2.0)</f>
        <v>2</v>
      </c>
      <c r="S1523" s="6" t="str">
        <f>IFERROR(__xludf.DUMMYFUNCTION("""COMPUTED_VALUE""")," ")</f>
        <v> </v>
      </c>
      <c r="T1523" s="6" t="str">
        <f>IFERROR(__xludf.DUMMYFUNCTION("""COMPUTED_VALUE"""),"")</f>
        <v/>
      </c>
      <c r="U1523" s="6" t="str">
        <f>IFERROR(__xludf.DUMMYFUNCTION("""COMPUTED_VALUE"""),"4")</f>
        <v>4</v>
      </c>
      <c r="V1523" s="6" t="str">
        <f>IFERROR(__xludf.DUMMYFUNCTION("""COMPUTED_VALUE"""),"English")</f>
        <v>English</v>
      </c>
      <c r="W1523" s="6" t="str">
        <f>IFERROR(__xludf.DUMMYFUNCTION("""COMPUTED_VALUE"""),"[]")</f>
        <v>[]</v>
      </c>
      <c r="X1523" s="6" t="str">
        <f>IFERROR(__xludf.DUMMYFUNCTION("""COMPUTED_VALUE"""),"Enrolled")</f>
        <v>Enrolled</v>
      </c>
    </row>
    <row r="1524">
      <c r="A1524" s="6" t="str">
        <f>IFERROR(__xludf.DUMMYFUNCTION("""COMPUTED_VALUE"""),"009-1780")</f>
        <v>009-1780</v>
      </c>
      <c r="B1524" s="6" t="str">
        <f>IFERROR(__xludf.DUMMYFUNCTION("""COMPUTED_VALUE"""),"9")</f>
        <v>9</v>
      </c>
      <c r="C1524" s="6" t="str">
        <f>IFERROR(__xludf.DUMMYFUNCTION("""COMPUTED_VALUE"""),"1780")</f>
        <v>1780</v>
      </c>
      <c r="D1524" s="6" t="str">
        <f>IFERROR(__xludf.DUMMYFUNCTION("""COMPUTED_VALUE"""),"Biro")</f>
        <v>Biro</v>
      </c>
      <c r="E1524" s="6" t="str">
        <f>IFERROR(__xludf.DUMMYFUNCTION("""COMPUTED_VALUE"""),"")</f>
        <v/>
      </c>
      <c r="F1524" s="6" t="str">
        <f>IFERROR(__xludf.DUMMYFUNCTION("""COMPUTED_VALUE"""),"Ferenc")</f>
        <v>Ferenc</v>
      </c>
      <c r="G1524" s="6" t="str">
        <f>IFERROR(__xludf.DUMMYFUNCTION("""COMPUTED_VALUE"""),"01/01/2014")</f>
        <v>01/01/2014</v>
      </c>
      <c r="H1524" s="6" t="str">
        <f>IFERROR(__xludf.DUMMYFUNCTION("""COMPUTED_VALUE"""),"Self Identify")</f>
        <v>Self Identify</v>
      </c>
      <c r="I1524" s="6" t="str">
        <f>IFERROR(__xludf.DUMMYFUNCTION("""COMPUTED_VALUE"""),"Level 2")</f>
        <v>Level 2</v>
      </c>
      <c r="J1524" s="6" t="str">
        <f>IFERROR(__xludf.DUMMYFUNCTION("""COMPUTED_VALUE"""),"5")</f>
        <v>5</v>
      </c>
      <c r="K1524" s="6" t="str">
        <f>IFERROR(__xludf.DUMMYFUNCTION("""COMPUTED_VALUE"""),"biro.ferenc@2hourlearning.com")</f>
        <v>biro.ferenc@2hourlearning.com</v>
      </c>
      <c r="L1524" s="6" t="str">
        <f>IFERROR(__xludf.DUMMYFUNCTION("""COMPUTED_VALUE"""),"Learn and Earn Poland")</f>
        <v>Learn and Earn Poland</v>
      </c>
      <c r="M1524" s="6" t="str">
        <f>IFERROR(__xludf.DUMMYFUNCTION("""COMPUTED_VALUE"""),"Budapest Alpha")</f>
        <v>Budapest Alpha</v>
      </c>
      <c r="N1524" s="6" t="str">
        <f>IFERROR(__xludf.DUMMYFUNCTION("""COMPUTED_VALUE"""),"")</f>
        <v/>
      </c>
      <c r="O1524" s="87" t="str">
        <f>IFERROR(__xludf.DUMMYFUNCTION("""COMPUTED_VALUE"""),"https://drive.google.com/drive/folders/10T2cTQHqEJZqE-st6uFKPoI?usp=share_link")</f>
        <v>https://drive.google.com/drive/folders/10T2cTQHqEJZqE-st6uFKPoI?usp=share_link</v>
      </c>
      <c r="P1524" s="6" t="str">
        <f>IFERROR(__xludf.DUMMYFUNCTION("""COMPUTED_VALUE"""),"Biro Ferenc")</f>
        <v>Biro Ferenc</v>
      </c>
      <c r="Q1524" s="6" t="str">
        <f>IFERROR(__xludf.DUMMYFUNCTION("""COMPUTED_VALUE"""),"L2")</f>
        <v>L2</v>
      </c>
      <c r="R1524" s="6">
        <f>IFERROR(__xludf.DUMMYFUNCTION("""COMPUTED_VALUE"""),2.0)</f>
        <v>2</v>
      </c>
      <c r="S1524" s="6" t="str">
        <f>IFERROR(__xludf.DUMMYFUNCTION("""COMPUTED_VALUE""")," ")</f>
        <v> </v>
      </c>
      <c r="T1524" s="6" t="str">
        <f>IFERROR(__xludf.DUMMYFUNCTION("""COMPUTED_VALUE"""),"")</f>
        <v/>
      </c>
      <c r="U1524" s="6" t="str">
        <f>IFERROR(__xludf.DUMMYFUNCTION("""COMPUTED_VALUE"""),"5")</f>
        <v>5</v>
      </c>
      <c r="V1524" s="6" t="str">
        <f>IFERROR(__xludf.DUMMYFUNCTION("""COMPUTED_VALUE"""),"English")</f>
        <v>English</v>
      </c>
      <c r="W1524" s="6" t="str">
        <f>IFERROR(__xludf.DUMMYFUNCTION("""COMPUTED_VALUE"""),"[]")</f>
        <v>[]</v>
      </c>
      <c r="X1524" s="6" t="str">
        <f>IFERROR(__xludf.DUMMYFUNCTION("""COMPUTED_VALUE"""),"Enrolled")</f>
        <v>Enrolled</v>
      </c>
    </row>
    <row r="1525">
      <c r="A1525" s="6" t="str">
        <f>IFERROR(__xludf.DUMMYFUNCTION("""COMPUTED_VALUE"""),"009-1781")</f>
        <v>009-1781</v>
      </c>
      <c r="B1525" s="6" t="str">
        <f>IFERROR(__xludf.DUMMYFUNCTION("""COMPUTED_VALUE"""),"9")</f>
        <v>9</v>
      </c>
      <c r="C1525" s="6" t="str">
        <f>IFERROR(__xludf.DUMMYFUNCTION("""COMPUTED_VALUE"""),"1781")</f>
        <v>1781</v>
      </c>
      <c r="D1525" s="6" t="str">
        <f>IFERROR(__xludf.DUMMYFUNCTION("""COMPUTED_VALUE"""),"LOrinc")</f>
        <v>LOrinc</v>
      </c>
      <c r="E1525" s="6" t="str">
        <f>IFERROR(__xludf.DUMMYFUNCTION("""COMPUTED_VALUE"""),"")</f>
        <v/>
      </c>
      <c r="F1525" s="6" t="str">
        <f>IFERROR(__xludf.DUMMYFUNCTION("""COMPUTED_VALUE"""),"Krisztina")</f>
        <v>Krisztina</v>
      </c>
      <c r="G1525" s="6" t="str">
        <f>IFERROR(__xludf.DUMMYFUNCTION("""COMPUTED_VALUE"""),"01/01/2010")</f>
        <v>01/01/2010</v>
      </c>
      <c r="H1525" s="6" t="str">
        <f>IFERROR(__xludf.DUMMYFUNCTION("""COMPUTED_VALUE"""),"Self Identify")</f>
        <v>Self Identify</v>
      </c>
      <c r="I1525" s="6" t="str">
        <f>IFERROR(__xludf.DUMMYFUNCTION("""COMPUTED_VALUE"""),"High School")</f>
        <v>High School</v>
      </c>
      <c r="J1525" s="6" t="str">
        <f>IFERROR(__xludf.DUMMYFUNCTION("""COMPUTED_VALUE"""),"9")</f>
        <v>9</v>
      </c>
      <c r="K1525" s="6" t="str">
        <f>IFERROR(__xludf.DUMMYFUNCTION("""COMPUTED_VALUE"""),"lorinc.krisztina@2hourlearning.com")</f>
        <v>lorinc.krisztina@2hourlearning.com</v>
      </c>
      <c r="L1525" s="6" t="str">
        <f>IFERROR(__xludf.DUMMYFUNCTION("""COMPUTED_VALUE"""),"Learn and Earn Poland")</f>
        <v>Learn and Earn Poland</v>
      </c>
      <c r="M1525" s="6" t="str">
        <f>IFERROR(__xludf.DUMMYFUNCTION("""COMPUTED_VALUE"""),"Budapest Alpha")</f>
        <v>Budapest Alpha</v>
      </c>
      <c r="N1525" s="6" t="str">
        <f>IFERROR(__xludf.DUMMYFUNCTION("""COMPUTED_VALUE"""),"")</f>
        <v/>
      </c>
      <c r="O1525" s="87" t="str">
        <f>IFERROR(__xludf.DUMMYFUNCTION("""COMPUTED_VALUE"""),"https://drive.google.com/drive/folders/10T2cTQHqEJZqE-st6uFKPoI?usp=share_link")</f>
        <v>https://drive.google.com/drive/folders/10T2cTQHqEJZqE-st6uFKPoI?usp=share_link</v>
      </c>
      <c r="P1525" s="6" t="str">
        <f>IFERROR(__xludf.DUMMYFUNCTION("""COMPUTED_VALUE"""),"LOrinc Krisztina")</f>
        <v>LOrinc Krisztina</v>
      </c>
      <c r="Q1525" s="6" t="str">
        <f>IFERROR(__xludf.DUMMYFUNCTION("""COMPUTED_VALUE"""),"HS")</f>
        <v>HS</v>
      </c>
      <c r="R1525" s="6">
        <f>IFERROR(__xludf.DUMMYFUNCTION("""COMPUTED_VALUE"""),0.0)</f>
        <v>0</v>
      </c>
      <c r="S1525" s="6" t="str">
        <f>IFERROR(__xludf.DUMMYFUNCTION("""COMPUTED_VALUE""")," ")</f>
        <v> </v>
      </c>
      <c r="T1525" s="6" t="str">
        <f>IFERROR(__xludf.DUMMYFUNCTION("""COMPUTED_VALUE"""),"")</f>
        <v/>
      </c>
      <c r="U1525" s="6" t="str">
        <f>IFERROR(__xludf.DUMMYFUNCTION("""COMPUTED_VALUE"""),"9")</f>
        <v>9</v>
      </c>
      <c r="V1525" s="6" t="str">
        <f>IFERROR(__xludf.DUMMYFUNCTION("""COMPUTED_VALUE"""),"English")</f>
        <v>English</v>
      </c>
      <c r="W1525" s="6" t="str">
        <f>IFERROR(__xludf.DUMMYFUNCTION("""COMPUTED_VALUE"""),"[]")</f>
        <v>[]</v>
      </c>
      <c r="X1525" s="6" t="str">
        <f>IFERROR(__xludf.DUMMYFUNCTION("""COMPUTED_VALUE"""),"Enrolled")</f>
        <v>Enrolled</v>
      </c>
    </row>
    <row r="1526">
      <c r="A1526" s="6" t="str">
        <f>IFERROR(__xludf.DUMMYFUNCTION("""COMPUTED_VALUE"""),"009-1782")</f>
        <v>009-1782</v>
      </c>
      <c r="B1526" s="6" t="str">
        <f>IFERROR(__xludf.DUMMYFUNCTION("""COMPUTED_VALUE"""),"9")</f>
        <v>9</v>
      </c>
      <c r="C1526" s="6" t="str">
        <f>IFERROR(__xludf.DUMMYFUNCTION("""COMPUTED_VALUE"""),"1782")</f>
        <v>1782</v>
      </c>
      <c r="D1526" s="6" t="str">
        <f>IFERROR(__xludf.DUMMYFUNCTION("""COMPUTED_VALUE"""),"Percsi")</f>
        <v>Percsi</v>
      </c>
      <c r="E1526" s="6" t="str">
        <f>IFERROR(__xludf.DUMMYFUNCTION("""COMPUTED_VALUE"""),"")</f>
        <v/>
      </c>
      <c r="F1526" s="6" t="str">
        <f>IFERROR(__xludf.DUMMYFUNCTION("""COMPUTED_VALUE"""),"Anna")</f>
        <v>Anna</v>
      </c>
      <c r="G1526" s="6" t="str">
        <f>IFERROR(__xludf.DUMMYFUNCTION("""COMPUTED_VALUE"""),"01/01/2017")</f>
        <v>01/01/2017</v>
      </c>
      <c r="H1526" s="6" t="str">
        <f>IFERROR(__xludf.DUMMYFUNCTION("""COMPUTED_VALUE"""),"Self Identify")</f>
        <v>Self Identify</v>
      </c>
      <c r="I1526" s="6" t="str">
        <f>IFERROR(__xludf.DUMMYFUNCTION("""COMPUTED_VALUE"""),"Level 1")</f>
        <v>Level 1</v>
      </c>
      <c r="J1526" s="6" t="str">
        <f>IFERROR(__xludf.DUMMYFUNCTION("""COMPUTED_VALUE"""),"2")</f>
        <v>2</v>
      </c>
      <c r="K1526" s="6" t="str">
        <f>IFERROR(__xludf.DUMMYFUNCTION("""COMPUTED_VALUE"""),"percsi.anna@2hourlearning.com")</f>
        <v>percsi.anna@2hourlearning.com</v>
      </c>
      <c r="L1526" s="6" t="str">
        <f>IFERROR(__xludf.DUMMYFUNCTION("""COMPUTED_VALUE"""),"Learn and Earn Poland")</f>
        <v>Learn and Earn Poland</v>
      </c>
      <c r="M1526" s="6" t="str">
        <f>IFERROR(__xludf.DUMMYFUNCTION("""COMPUTED_VALUE"""),"Budapest Alpha")</f>
        <v>Budapest Alpha</v>
      </c>
      <c r="N1526" s="6" t="str">
        <f>IFERROR(__xludf.DUMMYFUNCTION("""COMPUTED_VALUE"""),"")</f>
        <v/>
      </c>
      <c r="O1526" s="87" t="str">
        <f>IFERROR(__xludf.DUMMYFUNCTION("""COMPUTED_VALUE"""),"https://drive.google.com/drive/folders/10T2cTQHqEJZqE-st6uFKPoI?usp=share_link")</f>
        <v>https://drive.google.com/drive/folders/10T2cTQHqEJZqE-st6uFKPoI?usp=share_link</v>
      </c>
      <c r="P1526" s="6" t="str">
        <f>IFERROR(__xludf.DUMMYFUNCTION("""COMPUTED_VALUE"""),"Percsi Anna")</f>
        <v>Percsi Anna</v>
      </c>
      <c r="Q1526" s="6" t="str">
        <f>IFERROR(__xludf.DUMMYFUNCTION("""COMPUTED_VALUE"""),"L1")</f>
        <v>L1</v>
      </c>
      <c r="R1526" s="6">
        <f>IFERROR(__xludf.DUMMYFUNCTION("""COMPUTED_VALUE"""),1.0)</f>
        <v>1</v>
      </c>
      <c r="S1526" s="6" t="str">
        <f>IFERROR(__xludf.DUMMYFUNCTION("""COMPUTED_VALUE""")," ")</f>
        <v> </v>
      </c>
      <c r="T1526" s="6" t="str">
        <f>IFERROR(__xludf.DUMMYFUNCTION("""COMPUTED_VALUE"""),"")</f>
        <v/>
      </c>
      <c r="U1526" s="6" t="str">
        <f>IFERROR(__xludf.DUMMYFUNCTION("""COMPUTED_VALUE"""),"2")</f>
        <v>2</v>
      </c>
      <c r="V1526" s="6" t="str">
        <f>IFERROR(__xludf.DUMMYFUNCTION("""COMPUTED_VALUE"""),"English")</f>
        <v>English</v>
      </c>
      <c r="W1526" s="6" t="str">
        <f>IFERROR(__xludf.DUMMYFUNCTION("""COMPUTED_VALUE"""),"[]")</f>
        <v>[]</v>
      </c>
      <c r="X1526" s="6" t="str">
        <f>IFERROR(__xludf.DUMMYFUNCTION("""COMPUTED_VALUE"""),"Enrolled")</f>
        <v>Enrolled</v>
      </c>
    </row>
    <row r="1527">
      <c r="A1527" s="6" t="str">
        <f>IFERROR(__xludf.DUMMYFUNCTION("""COMPUTED_VALUE"""),"009-1783")</f>
        <v>009-1783</v>
      </c>
      <c r="B1527" s="6" t="str">
        <f>IFERROR(__xludf.DUMMYFUNCTION("""COMPUTED_VALUE"""),"9")</f>
        <v>9</v>
      </c>
      <c r="C1527" s="6" t="str">
        <f>IFERROR(__xludf.DUMMYFUNCTION("""COMPUTED_VALUE"""),"1783")</f>
        <v>1783</v>
      </c>
      <c r="D1527" s="6" t="str">
        <f>IFERROR(__xludf.DUMMYFUNCTION("""COMPUTED_VALUE"""),"Kucik")</f>
        <v>Kucik</v>
      </c>
      <c r="E1527" s="6" t="str">
        <f>IFERROR(__xludf.DUMMYFUNCTION("""COMPUTED_VALUE"""),"")</f>
        <v/>
      </c>
      <c r="F1527" s="6" t="str">
        <f>IFERROR(__xludf.DUMMYFUNCTION("""COMPUTED_VALUE"""),"Izabella")</f>
        <v>Izabella</v>
      </c>
      <c r="G1527" s="6" t="str">
        <f>IFERROR(__xludf.DUMMYFUNCTION("""COMPUTED_VALUE"""),"01/01/2013")</f>
        <v>01/01/2013</v>
      </c>
      <c r="H1527" s="6" t="str">
        <f>IFERROR(__xludf.DUMMYFUNCTION("""COMPUTED_VALUE"""),"Self Identify")</f>
        <v>Self Identify</v>
      </c>
      <c r="I1527" s="6" t="str">
        <f>IFERROR(__xludf.DUMMYFUNCTION("""COMPUTED_VALUE"""),"Middle School")</f>
        <v>Middle School</v>
      </c>
      <c r="J1527" s="6" t="str">
        <f>IFERROR(__xludf.DUMMYFUNCTION("""COMPUTED_VALUE"""),"6")</f>
        <v>6</v>
      </c>
      <c r="K1527" s="6" t="str">
        <f>IFERROR(__xludf.DUMMYFUNCTION("""COMPUTED_VALUE"""),"kucik.izabella@2hourlearning.com")</f>
        <v>kucik.izabella@2hourlearning.com</v>
      </c>
      <c r="L1527" s="6" t="str">
        <f>IFERROR(__xludf.DUMMYFUNCTION("""COMPUTED_VALUE"""),"Learn and Earn Poland")</f>
        <v>Learn and Earn Poland</v>
      </c>
      <c r="M1527" s="6" t="str">
        <f>IFERROR(__xludf.DUMMYFUNCTION("""COMPUTED_VALUE"""),"Budapest Alpha")</f>
        <v>Budapest Alpha</v>
      </c>
      <c r="N1527" s="6" t="str">
        <f>IFERROR(__xludf.DUMMYFUNCTION("""COMPUTED_VALUE"""),"")</f>
        <v/>
      </c>
      <c r="O1527" s="87" t="str">
        <f>IFERROR(__xludf.DUMMYFUNCTION("""COMPUTED_VALUE"""),"https://drive.google.com/drive/folders/10T2cTQHqEJZqE-st6uFKPoI?usp=share_link")</f>
        <v>https://drive.google.com/drive/folders/10T2cTQHqEJZqE-st6uFKPoI?usp=share_link</v>
      </c>
      <c r="P1527" s="6" t="str">
        <f>IFERROR(__xludf.DUMMYFUNCTION("""COMPUTED_VALUE"""),"Kucik Izabella")</f>
        <v>Kucik Izabella</v>
      </c>
      <c r="Q1527" s="6" t="str">
        <f>IFERROR(__xludf.DUMMYFUNCTION("""COMPUTED_VALUE"""),"MS")</f>
        <v>MS</v>
      </c>
      <c r="R1527" s="6">
        <f>IFERROR(__xludf.DUMMYFUNCTION("""COMPUTED_VALUE"""),0.0)</f>
        <v>0</v>
      </c>
      <c r="S1527" s="6" t="str">
        <f>IFERROR(__xludf.DUMMYFUNCTION("""COMPUTED_VALUE""")," ")</f>
        <v> </v>
      </c>
      <c r="T1527" s="6" t="str">
        <f>IFERROR(__xludf.DUMMYFUNCTION("""COMPUTED_VALUE"""),"")</f>
        <v/>
      </c>
      <c r="U1527" s="6" t="str">
        <f>IFERROR(__xludf.DUMMYFUNCTION("""COMPUTED_VALUE"""),"6")</f>
        <v>6</v>
      </c>
      <c r="V1527" s="6" t="str">
        <f>IFERROR(__xludf.DUMMYFUNCTION("""COMPUTED_VALUE"""),"English")</f>
        <v>English</v>
      </c>
      <c r="W1527" s="6" t="str">
        <f>IFERROR(__xludf.DUMMYFUNCTION("""COMPUTED_VALUE"""),"[]")</f>
        <v>[]</v>
      </c>
      <c r="X1527" s="6" t="str">
        <f>IFERROR(__xludf.DUMMYFUNCTION("""COMPUTED_VALUE"""),"Enrolled")</f>
        <v>Enrolled</v>
      </c>
    </row>
    <row r="1528">
      <c r="A1528" s="6" t="str">
        <f>IFERROR(__xludf.DUMMYFUNCTION("""COMPUTED_VALUE"""),"009-1784")</f>
        <v>009-1784</v>
      </c>
      <c r="B1528" s="6" t="str">
        <f>IFERROR(__xludf.DUMMYFUNCTION("""COMPUTED_VALUE"""),"9")</f>
        <v>9</v>
      </c>
      <c r="C1528" s="6" t="str">
        <f>IFERROR(__xludf.DUMMYFUNCTION("""COMPUTED_VALUE"""),"1784")</f>
        <v>1784</v>
      </c>
      <c r="D1528" s="6" t="str">
        <f>IFERROR(__xludf.DUMMYFUNCTION("""COMPUTED_VALUE"""),"Budahazi")</f>
        <v>Budahazi</v>
      </c>
      <c r="E1528" s="6" t="str">
        <f>IFERROR(__xludf.DUMMYFUNCTION("""COMPUTED_VALUE"""),"")</f>
        <v/>
      </c>
      <c r="F1528" s="6" t="str">
        <f>IFERROR(__xludf.DUMMYFUNCTION("""COMPUTED_VALUE"""),"ArtUr")</f>
        <v>ArtUr</v>
      </c>
      <c r="G1528" s="6" t="str">
        <f>IFERROR(__xludf.DUMMYFUNCTION("""COMPUTED_VALUE"""),"01/01/2011")</f>
        <v>01/01/2011</v>
      </c>
      <c r="H1528" s="6" t="str">
        <f>IFERROR(__xludf.DUMMYFUNCTION("""COMPUTED_VALUE"""),"Self Identify")</f>
        <v>Self Identify</v>
      </c>
      <c r="I1528" s="6" t="str">
        <f>IFERROR(__xludf.DUMMYFUNCTION("""COMPUTED_VALUE"""),"Middle School")</f>
        <v>Middle School</v>
      </c>
      <c r="J1528" s="6" t="str">
        <f>IFERROR(__xludf.DUMMYFUNCTION("""COMPUTED_VALUE"""),"8")</f>
        <v>8</v>
      </c>
      <c r="K1528" s="6" t="str">
        <f>IFERROR(__xludf.DUMMYFUNCTION("""COMPUTED_VALUE"""),"budahazi.artur@2hourlearning.com")</f>
        <v>budahazi.artur@2hourlearning.com</v>
      </c>
      <c r="L1528" s="6" t="str">
        <f>IFERROR(__xludf.DUMMYFUNCTION("""COMPUTED_VALUE"""),"Learn and Earn Poland")</f>
        <v>Learn and Earn Poland</v>
      </c>
      <c r="M1528" s="6" t="str">
        <f>IFERROR(__xludf.DUMMYFUNCTION("""COMPUTED_VALUE"""),"Budapest Alpha")</f>
        <v>Budapest Alpha</v>
      </c>
      <c r="N1528" s="6" t="str">
        <f>IFERROR(__xludf.DUMMYFUNCTION("""COMPUTED_VALUE"""),"")</f>
        <v/>
      </c>
      <c r="O1528" s="87" t="str">
        <f>IFERROR(__xludf.DUMMYFUNCTION("""COMPUTED_VALUE"""),"https://drive.google.com/drive/folders/10T2cTQHqEJZqE-st6uFKPoI?usp=share_link")</f>
        <v>https://drive.google.com/drive/folders/10T2cTQHqEJZqE-st6uFKPoI?usp=share_link</v>
      </c>
      <c r="P1528" s="6" t="str">
        <f>IFERROR(__xludf.DUMMYFUNCTION("""COMPUTED_VALUE"""),"Budahazi ArtUr")</f>
        <v>Budahazi ArtUr</v>
      </c>
      <c r="Q1528" s="6" t="str">
        <f>IFERROR(__xludf.DUMMYFUNCTION("""COMPUTED_VALUE"""),"MS")</f>
        <v>MS</v>
      </c>
      <c r="R1528" s="6">
        <f>IFERROR(__xludf.DUMMYFUNCTION("""COMPUTED_VALUE"""),0.0)</f>
        <v>0</v>
      </c>
      <c r="S1528" s="6" t="str">
        <f>IFERROR(__xludf.DUMMYFUNCTION("""COMPUTED_VALUE""")," ")</f>
        <v> </v>
      </c>
      <c r="T1528" s="6" t="str">
        <f>IFERROR(__xludf.DUMMYFUNCTION("""COMPUTED_VALUE"""),"")</f>
        <v/>
      </c>
      <c r="U1528" s="6" t="str">
        <f>IFERROR(__xludf.DUMMYFUNCTION("""COMPUTED_VALUE"""),"8")</f>
        <v>8</v>
      </c>
      <c r="V1528" s="6" t="str">
        <f>IFERROR(__xludf.DUMMYFUNCTION("""COMPUTED_VALUE"""),"English")</f>
        <v>English</v>
      </c>
      <c r="W1528" s="6" t="str">
        <f>IFERROR(__xludf.DUMMYFUNCTION("""COMPUTED_VALUE"""),"[]")</f>
        <v>[]</v>
      </c>
      <c r="X1528" s="6" t="str">
        <f>IFERROR(__xludf.DUMMYFUNCTION("""COMPUTED_VALUE"""),"Enrolled")</f>
        <v>Enrolled</v>
      </c>
    </row>
    <row r="1529">
      <c r="A1529" s="6" t="str">
        <f>IFERROR(__xludf.DUMMYFUNCTION("""COMPUTED_VALUE"""),"009-1785")</f>
        <v>009-1785</v>
      </c>
      <c r="B1529" s="6" t="str">
        <f>IFERROR(__xludf.DUMMYFUNCTION("""COMPUTED_VALUE"""),"9")</f>
        <v>9</v>
      </c>
      <c r="C1529" s="6" t="str">
        <f>IFERROR(__xludf.DUMMYFUNCTION("""COMPUTED_VALUE"""),"1785")</f>
        <v>1785</v>
      </c>
      <c r="D1529" s="6" t="str">
        <f>IFERROR(__xludf.DUMMYFUNCTION("""COMPUTED_VALUE"""),"Bak")</f>
        <v>Bak</v>
      </c>
      <c r="E1529" s="6" t="str">
        <f>IFERROR(__xludf.DUMMYFUNCTION("""COMPUTED_VALUE"""),"")</f>
        <v/>
      </c>
      <c r="F1529" s="6" t="str">
        <f>IFERROR(__xludf.DUMMYFUNCTION("""COMPUTED_VALUE"""),"David")</f>
        <v>David</v>
      </c>
      <c r="G1529" s="6" t="str">
        <f>IFERROR(__xludf.DUMMYFUNCTION("""COMPUTED_VALUE"""),"01/01/2011")</f>
        <v>01/01/2011</v>
      </c>
      <c r="H1529" s="6" t="str">
        <f>IFERROR(__xludf.DUMMYFUNCTION("""COMPUTED_VALUE"""),"Self Identify")</f>
        <v>Self Identify</v>
      </c>
      <c r="I1529" s="6" t="str">
        <f>IFERROR(__xludf.DUMMYFUNCTION("""COMPUTED_VALUE"""),"Middle School")</f>
        <v>Middle School</v>
      </c>
      <c r="J1529" s="6" t="str">
        <f>IFERROR(__xludf.DUMMYFUNCTION("""COMPUTED_VALUE"""),"8")</f>
        <v>8</v>
      </c>
      <c r="K1529" s="6" t="str">
        <f>IFERROR(__xludf.DUMMYFUNCTION("""COMPUTED_VALUE"""),"bak.david@2hourlearning.com")</f>
        <v>bak.david@2hourlearning.com</v>
      </c>
      <c r="L1529" s="6" t="str">
        <f>IFERROR(__xludf.DUMMYFUNCTION("""COMPUTED_VALUE"""),"Learn and Earn Poland")</f>
        <v>Learn and Earn Poland</v>
      </c>
      <c r="M1529" s="6" t="str">
        <f>IFERROR(__xludf.DUMMYFUNCTION("""COMPUTED_VALUE"""),"Budapest Alpha")</f>
        <v>Budapest Alpha</v>
      </c>
      <c r="N1529" s="6" t="str">
        <f>IFERROR(__xludf.DUMMYFUNCTION("""COMPUTED_VALUE"""),"")</f>
        <v/>
      </c>
      <c r="O1529" s="87" t="str">
        <f>IFERROR(__xludf.DUMMYFUNCTION("""COMPUTED_VALUE"""),"https://drive.google.com/drive/folders/10T2cTQHqEJZqE-st6uFKPoI?usp=share_link")</f>
        <v>https://drive.google.com/drive/folders/10T2cTQHqEJZqE-st6uFKPoI?usp=share_link</v>
      </c>
      <c r="P1529" s="6" t="str">
        <f>IFERROR(__xludf.DUMMYFUNCTION("""COMPUTED_VALUE"""),"Bak David")</f>
        <v>Bak David</v>
      </c>
      <c r="Q1529" s="6" t="str">
        <f>IFERROR(__xludf.DUMMYFUNCTION("""COMPUTED_VALUE"""),"MS")</f>
        <v>MS</v>
      </c>
      <c r="R1529" s="6">
        <f>IFERROR(__xludf.DUMMYFUNCTION("""COMPUTED_VALUE"""),0.0)</f>
        <v>0</v>
      </c>
      <c r="S1529" s="6" t="str">
        <f>IFERROR(__xludf.DUMMYFUNCTION("""COMPUTED_VALUE""")," ")</f>
        <v> </v>
      </c>
      <c r="T1529" s="6" t="str">
        <f>IFERROR(__xludf.DUMMYFUNCTION("""COMPUTED_VALUE"""),"")</f>
        <v/>
      </c>
      <c r="U1529" s="6" t="str">
        <f>IFERROR(__xludf.DUMMYFUNCTION("""COMPUTED_VALUE"""),"8")</f>
        <v>8</v>
      </c>
      <c r="V1529" s="6" t="str">
        <f>IFERROR(__xludf.DUMMYFUNCTION("""COMPUTED_VALUE"""),"English")</f>
        <v>English</v>
      </c>
      <c r="W1529" s="6" t="str">
        <f>IFERROR(__xludf.DUMMYFUNCTION("""COMPUTED_VALUE"""),"[]")</f>
        <v>[]</v>
      </c>
      <c r="X1529" s="6" t="str">
        <f>IFERROR(__xludf.DUMMYFUNCTION("""COMPUTED_VALUE"""),"Enrolled")</f>
        <v>Enrolled</v>
      </c>
    </row>
    <row r="1530">
      <c r="A1530" s="6" t="str">
        <f>IFERROR(__xludf.DUMMYFUNCTION("""COMPUTED_VALUE"""),"009-1786")</f>
        <v>009-1786</v>
      </c>
      <c r="B1530" s="6" t="str">
        <f>IFERROR(__xludf.DUMMYFUNCTION("""COMPUTED_VALUE"""),"9")</f>
        <v>9</v>
      </c>
      <c r="C1530" s="6" t="str">
        <f>IFERROR(__xludf.DUMMYFUNCTION("""COMPUTED_VALUE"""),"1786")</f>
        <v>1786</v>
      </c>
      <c r="D1530" s="6" t="str">
        <f>IFERROR(__xludf.DUMMYFUNCTION("""COMPUTED_VALUE"""),"Ruslan")</f>
        <v>Ruslan</v>
      </c>
      <c r="E1530" s="6" t="str">
        <f>IFERROR(__xludf.DUMMYFUNCTION("""COMPUTED_VALUE"""),"")</f>
        <v/>
      </c>
      <c r="F1530" s="6" t="str">
        <f>IFERROR(__xludf.DUMMYFUNCTION("""COMPUTED_VALUE"""),"Mustafaiev")</f>
        <v>Mustafaiev</v>
      </c>
      <c r="G1530" s="6" t="str">
        <f>IFERROR(__xludf.DUMMYFUNCTION("""COMPUTED_VALUE"""),"01/01/2016")</f>
        <v>01/01/2016</v>
      </c>
      <c r="H1530" s="6" t="str">
        <f>IFERROR(__xludf.DUMMYFUNCTION("""COMPUTED_VALUE"""),"Self Identify")</f>
        <v>Self Identify</v>
      </c>
      <c r="I1530" s="6" t="str">
        <f>IFERROR(__xludf.DUMMYFUNCTION("""COMPUTED_VALUE"""),"Level 1")</f>
        <v>Level 1</v>
      </c>
      <c r="J1530" s="6" t="str">
        <f>IFERROR(__xludf.DUMMYFUNCTION("""COMPUTED_VALUE"""),"3")</f>
        <v>3</v>
      </c>
      <c r="K1530" s="6" t="str">
        <f>IFERROR(__xludf.DUMMYFUNCTION("""COMPUTED_VALUE"""),"mustafaiev.ruslan@2hourlearning.com")</f>
        <v>mustafaiev.ruslan@2hourlearning.com</v>
      </c>
      <c r="L1530" s="6" t="str">
        <f>IFERROR(__xludf.DUMMYFUNCTION("""COMPUTED_VALUE"""),"Learn and Earn Poland")</f>
        <v>Learn and Earn Poland</v>
      </c>
      <c r="M1530" s="6" t="str">
        <f>IFERROR(__xludf.DUMMYFUNCTION("""COMPUTED_VALUE"""),"Budapest ex-GTS")</f>
        <v>Budapest ex-GTS</v>
      </c>
      <c r="N1530" s="6" t="str">
        <f>IFERROR(__xludf.DUMMYFUNCTION("""COMPUTED_VALUE"""),"")</f>
        <v/>
      </c>
      <c r="O1530" s="87" t="str">
        <f>IFERROR(__xludf.DUMMYFUNCTION("""COMPUTED_VALUE"""),"https://drive.google.com/drive/folders/10T2cTQHqEJZqE-st6uFKPoI?usp=share_link")</f>
        <v>https://drive.google.com/drive/folders/10T2cTQHqEJZqE-st6uFKPoI?usp=share_link</v>
      </c>
      <c r="P1530" s="6" t="str">
        <f>IFERROR(__xludf.DUMMYFUNCTION("""COMPUTED_VALUE"""),"Ruslan Mustafaiev")</f>
        <v>Ruslan Mustafaiev</v>
      </c>
      <c r="Q1530" s="6" t="str">
        <f>IFERROR(__xludf.DUMMYFUNCTION("""COMPUTED_VALUE"""),"L1")</f>
        <v>L1</v>
      </c>
      <c r="R1530" s="6">
        <f>IFERROR(__xludf.DUMMYFUNCTION("""COMPUTED_VALUE"""),1.0)</f>
        <v>1</v>
      </c>
      <c r="S1530" s="6" t="str">
        <f>IFERROR(__xludf.DUMMYFUNCTION("""COMPUTED_VALUE""")," ")</f>
        <v> </v>
      </c>
      <c r="T1530" s="6" t="str">
        <f>IFERROR(__xludf.DUMMYFUNCTION("""COMPUTED_VALUE"""),"")</f>
        <v/>
      </c>
      <c r="U1530" s="6" t="str">
        <f>IFERROR(__xludf.DUMMYFUNCTION("""COMPUTED_VALUE"""),"3")</f>
        <v>3</v>
      </c>
      <c r="V1530" s="6" t="str">
        <f>IFERROR(__xludf.DUMMYFUNCTION("""COMPUTED_VALUE"""),"English")</f>
        <v>English</v>
      </c>
      <c r="W1530" s="6" t="str">
        <f>IFERROR(__xludf.DUMMYFUNCTION("""COMPUTED_VALUE"""),"[]")</f>
        <v>[]</v>
      </c>
      <c r="X1530" s="6" t="str">
        <f>IFERROR(__xludf.DUMMYFUNCTION("""COMPUTED_VALUE"""),"Enrolled")</f>
        <v>Enrolled</v>
      </c>
    </row>
    <row r="1531">
      <c r="A1531" s="6" t="str">
        <f>IFERROR(__xludf.DUMMYFUNCTION("""COMPUTED_VALUE"""),"009-1787")</f>
        <v>009-1787</v>
      </c>
      <c r="B1531" s="6" t="str">
        <f>IFERROR(__xludf.DUMMYFUNCTION("""COMPUTED_VALUE"""),"9")</f>
        <v>9</v>
      </c>
      <c r="C1531" s="6" t="str">
        <f>IFERROR(__xludf.DUMMYFUNCTION("""COMPUTED_VALUE"""),"1787")</f>
        <v>1787</v>
      </c>
      <c r="D1531" s="6" t="str">
        <f>IFERROR(__xludf.DUMMYFUNCTION("""COMPUTED_VALUE"""),"Bak")</f>
        <v>Bak</v>
      </c>
      <c r="E1531" s="6" t="str">
        <f>IFERROR(__xludf.DUMMYFUNCTION("""COMPUTED_VALUE"""),"")</f>
        <v/>
      </c>
      <c r="F1531" s="6" t="str">
        <f>IFERROR(__xludf.DUMMYFUNCTION("""COMPUTED_VALUE"""),"Jazmin")</f>
        <v>Jazmin</v>
      </c>
      <c r="G1531" s="6" t="str">
        <f>IFERROR(__xludf.DUMMYFUNCTION("""COMPUTED_VALUE"""),"01/01/2008")</f>
        <v>01/01/2008</v>
      </c>
      <c r="H1531" s="6" t="str">
        <f>IFERROR(__xludf.DUMMYFUNCTION("""COMPUTED_VALUE"""),"Self Identify")</f>
        <v>Self Identify</v>
      </c>
      <c r="I1531" s="6" t="str">
        <f>IFERROR(__xludf.DUMMYFUNCTION("""COMPUTED_VALUE"""),"High School")</f>
        <v>High School</v>
      </c>
      <c r="J1531" s="6" t="str">
        <f>IFERROR(__xludf.DUMMYFUNCTION("""COMPUTED_VALUE"""),"11")</f>
        <v>11</v>
      </c>
      <c r="K1531" s="6" t="str">
        <f>IFERROR(__xludf.DUMMYFUNCTION("""COMPUTED_VALUE"""),"bak.jazmin@2hourlearning.com")</f>
        <v>bak.jazmin@2hourlearning.com</v>
      </c>
      <c r="L1531" s="6" t="str">
        <f>IFERROR(__xludf.DUMMYFUNCTION("""COMPUTED_VALUE"""),"Learn and Earn Poland")</f>
        <v>Learn and Earn Poland</v>
      </c>
      <c r="M1531" s="6" t="str">
        <f>IFERROR(__xludf.DUMMYFUNCTION("""COMPUTED_VALUE"""),"Budapest Alpha")</f>
        <v>Budapest Alpha</v>
      </c>
      <c r="N1531" s="6" t="str">
        <f>IFERROR(__xludf.DUMMYFUNCTION("""COMPUTED_VALUE"""),"")</f>
        <v/>
      </c>
      <c r="O1531" s="87" t="str">
        <f>IFERROR(__xludf.DUMMYFUNCTION("""COMPUTED_VALUE"""),"https://drive.google.com/drive/folders/10T2cTQHqEJZqE-st6uFKPoI?usp=share_link")</f>
        <v>https://drive.google.com/drive/folders/10T2cTQHqEJZqE-st6uFKPoI?usp=share_link</v>
      </c>
      <c r="P1531" s="6" t="str">
        <f>IFERROR(__xludf.DUMMYFUNCTION("""COMPUTED_VALUE"""),"Bak Jazmin")</f>
        <v>Bak Jazmin</v>
      </c>
      <c r="Q1531" s="6" t="str">
        <f>IFERROR(__xludf.DUMMYFUNCTION("""COMPUTED_VALUE"""),"HS")</f>
        <v>HS</v>
      </c>
      <c r="R1531" s="6">
        <f>IFERROR(__xludf.DUMMYFUNCTION("""COMPUTED_VALUE"""),0.0)</f>
        <v>0</v>
      </c>
      <c r="S1531" s="6" t="str">
        <f>IFERROR(__xludf.DUMMYFUNCTION("""COMPUTED_VALUE""")," ")</f>
        <v> </v>
      </c>
      <c r="T1531" s="6" t="str">
        <f>IFERROR(__xludf.DUMMYFUNCTION("""COMPUTED_VALUE"""),"")</f>
        <v/>
      </c>
      <c r="U1531" s="6" t="str">
        <f>IFERROR(__xludf.DUMMYFUNCTION("""COMPUTED_VALUE"""),"11")</f>
        <v>11</v>
      </c>
      <c r="V1531" s="6" t="str">
        <f>IFERROR(__xludf.DUMMYFUNCTION("""COMPUTED_VALUE"""),"English")</f>
        <v>English</v>
      </c>
      <c r="W1531" s="6" t="str">
        <f>IFERROR(__xludf.DUMMYFUNCTION("""COMPUTED_VALUE"""),"[]")</f>
        <v>[]</v>
      </c>
      <c r="X1531" s="6" t="str">
        <f>IFERROR(__xludf.DUMMYFUNCTION("""COMPUTED_VALUE"""),"Enrolled")</f>
        <v>Enrolled</v>
      </c>
    </row>
    <row r="1532">
      <c r="A1532" s="6" t="str">
        <f>IFERROR(__xludf.DUMMYFUNCTION("""COMPUTED_VALUE"""),"009-1788")</f>
        <v>009-1788</v>
      </c>
      <c r="B1532" s="6" t="str">
        <f>IFERROR(__xludf.DUMMYFUNCTION("""COMPUTED_VALUE"""),"9")</f>
        <v>9</v>
      </c>
      <c r="C1532" s="6" t="str">
        <f>IFERROR(__xludf.DUMMYFUNCTION("""COMPUTED_VALUE"""),"1788")</f>
        <v>1788</v>
      </c>
      <c r="D1532" s="6" t="str">
        <f>IFERROR(__xludf.DUMMYFUNCTION("""COMPUTED_VALUE"""),"Szucs")</f>
        <v>Szucs</v>
      </c>
      <c r="E1532" s="6" t="str">
        <f>IFERROR(__xludf.DUMMYFUNCTION("""COMPUTED_VALUE"""),"")</f>
        <v/>
      </c>
      <c r="F1532" s="6" t="str">
        <f>IFERROR(__xludf.DUMMYFUNCTION("""COMPUTED_VALUE"""),"Annamaria")</f>
        <v>Annamaria</v>
      </c>
      <c r="G1532" s="6" t="str">
        <f>IFERROR(__xludf.DUMMYFUNCTION("""COMPUTED_VALUE"""),"01/01/2008")</f>
        <v>01/01/2008</v>
      </c>
      <c r="H1532" s="6" t="str">
        <f>IFERROR(__xludf.DUMMYFUNCTION("""COMPUTED_VALUE"""),"Self Identify")</f>
        <v>Self Identify</v>
      </c>
      <c r="I1532" s="6" t="str">
        <f>IFERROR(__xludf.DUMMYFUNCTION("""COMPUTED_VALUE"""),"High School")</f>
        <v>High School</v>
      </c>
      <c r="J1532" s="6" t="str">
        <f>IFERROR(__xludf.DUMMYFUNCTION("""COMPUTED_VALUE"""),"11")</f>
        <v>11</v>
      </c>
      <c r="K1532" s="6" t="str">
        <f>IFERROR(__xludf.DUMMYFUNCTION("""COMPUTED_VALUE"""),"szucs.annamaria@2hourlearning.com")</f>
        <v>szucs.annamaria@2hourlearning.com</v>
      </c>
      <c r="L1532" s="6" t="str">
        <f>IFERROR(__xludf.DUMMYFUNCTION("""COMPUTED_VALUE"""),"Learn and Earn Poland")</f>
        <v>Learn and Earn Poland</v>
      </c>
      <c r="M1532" s="6" t="str">
        <f>IFERROR(__xludf.DUMMYFUNCTION("""COMPUTED_VALUE"""),"Budapest Alpha")</f>
        <v>Budapest Alpha</v>
      </c>
      <c r="N1532" s="6" t="str">
        <f>IFERROR(__xludf.DUMMYFUNCTION("""COMPUTED_VALUE"""),"")</f>
        <v/>
      </c>
      <c r="O1532" s="87" t="str">
        <f>IFERROR(__xludf.DUMMYFUNCTION("""COMPUTED_VALUE"""),"https://drive.google.com/drive/folders/10T2cTQHqEJZqE-st6uFKPoI?usp=share_link")</f>
        <v>https://drive.google.com/drive/folders/10T2cTQHqEJZqE-st6uFKPoI?usp=share_link</v>
      </c>
      <c r="P1532" s="6" t="str">
        <f>IFERROR(__xludf.DUMMYFUNCTION("""COMPUTED_VALUE"""),"Szucs Annamaria")</f>
        <v>Szucs Annamaria</v>
      </c>
      <c r="Q1532" s="6" t="str">
        <f>IFERROR(__xludf.DUMMYFUNCTION("""COMPUTED_VALUE"""),"HS")</f>
        <v>HS</v>
      </c>
      <c r="R1532" s="6">
        <f>IFERROR(__xludf.DUMMYFUNCTION("""COMPUTED_VALUE"""),0.0)</f>
        <v>0</v>
      </c>
      <c r="S1532" s="6" t="str">
        <f>IFERROR(__xludf.DUMMYFUNCTION("""COMPUTED_VALUE""")," ")</f>
        <v> </v>
      </c>
      <c r="T1532" s="6" t="str">
        <f>IFERROR(__xludf.DUMMYFUNCTION("""COMPUTED_VALUE"""),"")</f>
        <v/>
      </c>
      <c r="U1532" s="6" t="str">
        <f>IFERROR(__xludf.DUMMYFUNCTION("""COMPUTED_VALUE"""),"11")</f>
        <v>11</v>
      </c>
      <c r="V1532" s="6" t="str">
        <f>IFERROR(__xludf.DUMMYFUNCTION("""COMPUTED_VALUE"""),"English")</f>
        <v>English</v>
      </c>
      <c r="W1532" s="6" t="str">
        <f>IFERROR(__xludf.DUMMYFUNCTION("""COMPUTED_VALUE"""),"[]")</f>
        <v>[]</v>
      </c>
      <c r="X1532" s="6" t="str">
        <f>IFERROR(__xludf.DUMMYFUNCTION("""COMPUTED_VALUE"""),"Enrolled")</f>
        <v>Enrolled</v>
      </c>
    </row>
    <row r="1533">
      <c r="A1533" s="6" t="str">
        <f>IFERROR(__xludf.DUMMYFUNCTION("""COMPUTED_VALUE"""),"009-1789")</f>
        <v>009-1789</v>
      </c>
      <c r="B1533" s="6" t="str">
        <f>IFERROR(__xludf.DUMMYFUNCTION("""COMPUTED_VALUE"""),"9")</f>
        <v>9</v>
      </c>
      <c r="C1533" s="6" t="str">
        <f>IFERROR(__xludf.DUMMYFUNCTION("""COMPUTED_VALUE"""),"1789")</f>
        <v>1789</v>
      </c>
      <c r="D1533" s="6" t="str">
        <f>IFERROR(__xludf.DUMMYFUNCTION("""COMPUTED_VALUE"""),"Szucs")</f>
        <v>Szucs</v>
      </c>
      <c r="E1533" s="6" t="str">
        <f>IFERROR(__xludf.DUMMYFUNCTION("""COMPUTED_VALUE"""),"")</f>
        <v/>
      </c>
      <c r="F1533" s="6" t="str">
        <f>IFERROR(__xludf.DUMMYFUNCTION("""COMPUTED_VALUE"""),"Peter")</f>
        <v>Peter</v>
      </c>
      <c r="G1533" s="6" t="str">
        <f>IFERROR(__xludf.DUMMYFUNCTION("""COMPUTED_VALUE"""),"01/01/2012")</f>
        <v>01/01/2012</v>
      </c>
      <c r="H1533" s="6" t="str">
        <f>IFERROR(__xludf.DUMMYFUNCTION("""COMPUTED_VALUE"""),"Self Identify")</f>
        <v>Self Identify</v>
      </c>
      <c r="I1533" s="6" t="str">
        <f>IFERROR(__xludf.DUMMYFUNCTION("""COMPUTED_VALUE"""),"Middle School")</f>
        <v>Middle School</v>
      </c>
      <c r="J1533" s="6" t="str">
        <f>IFERROR(__xludf.DUMMYFUNCTION("""COMPUTED_VALUE"""),"7")</f>
        <v>7</v>
      </c>
      <c r="K1533" s="6" t="str">
        <f>IFERROR(__xludf.DUMMYFUNCTION("""COMPUTED_VALUE"""),"szucs.peter@2hourlearning.com")</f>
        <v>szucs.peter@2hourlearning.com</v>
      </c>
      <c r="L1533" s="6" t="str">
        <f>IFERROR(__xludf.DUMMYFUNCTION("""COMPUTED_VALUE"""),"Learn and Earn Poland")</f>
        <v>Learn and Earn Poland</v>
      </c>
      <c r="M1533" s="6" t="str">
        <f>IFERROR(__xludf.DUMMYFUNCTION("""COMPUTED_VALUE"""),"Budapest Alpha")</f>
        <v>Budapest Alpha</v>
      </c>
      <c r="N1533" s="6" t="str">
        <f>IFERROR(__xludf.DUMMYFUNCTION("""COMPUTED_VALUE"""),"")</f>
        <v/>
      </c>
      <c r="O1533" s="87" t="str">
        <f>IFERROR(__xludf.DUMMYFUNCTION("""COMPUTED_VALUE"""),"https://drive.google.com/drive/folders/10T2cTQHqEJZqE-st6uFKPoI?usp=share_link")</f>
        <v>https://drive.google.com/drive/folders/10T2cTQHqEJZqE-st6uFKPoI?usp=share_link</v>
      </c>
      <c r="P1533" s="6" t="str">
        <f>IFERROR(__xludf.DUMMYFUNCTION("""COMPUTED_VALUE"""),"Szucs Peter")</f>
        <v>Szucs Peter</v>
      </c>
      <c r="Q1533" s="6" t="str">
        <f>IFERROR(__xludf.DUMMYFUNCTION("""COMPUTED_VALUE"""),"MS")</f>
        <v>MS</v>
      </c>
      <c r="R1533" s="6">
        <f>IFERROR(__xludf.DUMMYFUNCTION("""COMPUTED_VALUE"""),0.0)</f>
        <v>0</v>
      </c>
      <c r="S1533" s="6" t="str">
        <f>IFERROR(__xludf.DUMMYFUNCTION("""COMPUTED_VALUE""")," ")</f>
        <v> </v>
      </c>
      <c r="T1533" s="6" t="str">
        <f>IFERROR(__xludf.DUMMYFUNCTION("""COMPUTED_VALUE"""),"")</f>
        <v/>
      </c>
      <c r="U1533" s="6" t="str">
        <f>IFERROR(__xludf.DUMMYFUNCTION("""COMPUTED_VALUE"""),"7")</f>
        <v>7</v>
      </c>
      <c r="V1533" s="6" t="str">
        <f>IFERROR(__xludf.DUMMYFUNCTION("""COMPUTED_VALUE"""),"English")</f>
        <v>English</v>
      </c>
      <c r="W1533" s="6" t="str">
        <f>IFERROR(__xludf.DUMMYFUNCTION("""COMPUTED_VALUE"""),"[]")</f>
        <v>[]</v>
      </c>
      <c r="X1533" s="6" t="str">
        <f>IFERROR(__xludf.DUMMYFUNCTION("""COMPUTED_VALUE"""),"Enrolled")</f>
        <v>Enrolled</v>
      </c>
    </row>
    <row r="1534">
      <c r="A1534" s="6" t="str">
        <f>IFERROR(__xludf.DUMMYFUNCTION("""COMPUTED_VALUE"""),"009-1790")</f>
        <v>009-1790</v>
      </c>
      <c r="B1534" s="6" t="str">
        <f>IFERROR(__xludf.DUMMYFUNCTION("""COMPUTED_VALUE"""),"9")</f>
        <v>9</v>
      </c>
      <c r="C1534" s="6" t="str">
        <f>IFERROR(__xludf.DUMMYFUNCTION("""COMPUTED_VALUE"""),"1790")</f>
        <v>1790</v>
      </c>
      <c r="D1534" s="6" t="str">
        <f>IFERROR(__xludf.DUMMYFUNCTION("""COMPUTED_VALUE"""),"Balogh")</f>
        <v>Balogh</v>
      </c>
      <c r="E1534" s="6" t="str">
        <f>IFERROR(__xludf.DUMMYFUNCTION("""COMPUTED_VALUE"""),"")</f>
        <v/>
      </c>
      <c r="F1534" s="6" t="str">
        <f>IFERROR(__xludf.DUMMYFUNCTION("""COMPUTED_VALUE"""),"akos")</f>
        <v>akos</v>
      </c>
      <c r="G1534" s="6" t="str">
        <f>IFERROR(__xludf.DUMMYFUNCTION("""COMPUTED_VALUE"""),"01/01/2013")</f>
        <v>01/01/2013</v>
      </c>
      <c r="H1534" s="6" t="str">
        <f>IFERROR(__xludf.DUMMYFUNCTION("""COMPUTED_VALUE"""),"Self Identify")</f>
        <v>Self Identify</v>
      </c>
      <c r="I1534" s="6" t="str">
        <f>IFERROR(__xludf.DUMMYFUNCTION("""COMPUTED_VALUE"""),"Middle School")</f>
        <v>Middle School</v>
      </c>
      <c r="J1534" s="6" t="str">
        <f>IFERROR(__xludf.DUMMYFUNCTION("""COMPUTED_VALUE"""),"6")</f>
        <v>6</v>
      </c>
      <c r="K1534" s="6" t="str">
        <f>IFERROR(__xludf.DUMMYFUNCTION("""COMPUTED_VALUE"""),"balogh.akos@2hourlearning.com")</f>
        <v>balogh.akos@2hourlearning.com</v>
      </c>
      <c r="L1534" s="6" t="str">
        <f>IFERROR(__xludf.DUMMYFUNCTION("""COMPUTED_VALUE"""),"Learn and Earn Poland")</f>
        <v>Learn and Earn Poland</v>
      </c>
      <c r="M1534" s="6" t="str">
        <f>IFERROR(__xludf.DUMMYFUNCTION("""COMPUTED_VALUE"""),"Budapest Alpha")</f>
        <v>Budapest Alpha</v>
      </c>
      <c r="N1534" s="6" t="str">
        <f>IFERROR(__xludf.DUMMYFUNCTION("""COMPUTED_VALUE"""),"")</f>
        <v/>
      </c>
      <c r="O1534" s="87" t="str">
        <f>IFERROR(__xludf.DUMMYFUNCTION("""COMPUTED_VALUE"""),"https://drive.google.com/drive/folders/10T2cTQHqEJZqE-st6uFKPoI?usp=share_link")</f>
        <v>https://drive.google.com/drive/folders/10T2cTQHqEJZqE-st6uFKPoI?usp=share_link</v>
      </c>
      <c r="P1534" s="6" t="str">
        <f>IFERROR(__xludf.DUMMYFUNCTION("""COMPUTED_VALUE"""),"Balogh akos")</f>
        <v>Balogh akos</v>
      </c>
      <c r="Q1534" s="6" t="str">
        <f>IFERROR(__xludf.DUMMYFUNCTION("""COMPUTED_VALUE"""),"MS")</f>
        <v>MS</v>
      </c>
      <c r="R1534" s="6">
        <f>IFERROR(__xludf.DUMMYFUNCTION("""COMPUTED_VALUE"""),0.0)</f>
        <v>0</v>
      </c>
      <c r="S1534" s="6" t="str">
        <f>IFERROR(__xludf.DUMMYFUNCTION("""COMPUTED_VALUE""")," ")</f>
        <v> </v>
      </c>
      <c r="T1534" s="6" t="str">
        <f>IFERROR(__xludf.DUMMYFUNCTION("""COMPUTED_VALUE"""),"")</f>
        <v/>
      </c>
      <c r="U1534" s="6" t="str">
        <f>IFERROR(__xludf.DUMMYFUNCTION("""COMPUTED_VALUE"""),"6")</f>
        <v>6</v>
      </c>
      <c r="V1534" s="6" t="str">
        <f>IFERROR(__xludf.DUMMYFUNCTION("""COMPUTED_VALUE"""),"English")</f>
        <v>English</v>
      </c>
      <c r="W1534" s="6" t="str">
        <f>IFERROR(__xludf.DUMMYFUNCTION("""COMPUTED_VALUE"""),"[]")</f>
        <v>[]</v>
      </c>
      <c r="X1534" s="6" t="str">
        <f>IFERROR(__xludf.DUMMYFUNCTION("""COMPUTED_VALUE"""),"Enrolled")</f>
        <v>Enrolled</v>
      </c>
    </row>
    <row r="1535">
      <c r="A1535" s="6" t="str">
        <f>IFERROR(__xludf.DUMMYFUNCTION("""COMPUTED_VALUE"""),"009-1791")</f>
        <v>009-1791</v>
      </c>
      <c r="B1535" s="6" t="str">
        <f>IFERROR(__xludf.DUMMYFUNCTION("""COMPUTED_VALUE"""),"9")</f>
        <v>9</v>
      </c>
      <c r="C1535" s="6" t="str">
        <f>IFERROR(__xludf.DUMMYFUNCTION("""COMPUTED_VALUE"""),"1791")</f>
        <v>1791</v>
      </c>
      <c r="D1535" s="6" t="str">
        <f>IFERROR(__xludf.DUMMYFUNCTION("""COMPUTED_VALUE"""),"Suta")</f>
        <v>Suta</v>
      </c>
      <c r="E1535" s="6" t="str">
        <f>IFERROR(__xludf.DUMMYFUNCTION("""COMPUTED_VALUE"""),"")</f>
        <v/>
      </c>
      <c r="F1535" s="6" t="str">
        <f>IFERROR(__xludf.DUMMYFUNCTION("""COMPUTED_VALUE"""),"Boglarka")</f>
        <v>Boglarka</v>
      </c>
      <c r="G1535" s="6" t="str">
        <f>IFERROR(__xludf.DUMMYFUNCTION("""COMPUTED_VALUE"""),"01/01/2011")</f>
        <v>01/01/2011</v>
      </c>
      <c r="H1535" s="6" t="str">
        <f>IFERROR(__xludf.DUMMYFUNCTION("""COMPUTED_VALUE"""),"Self Identify")</f>
        <v>Self Identify</v>
      </c>
      <c r="I1535" s="6" t="str">
        <f>IFERROR(__xludf.DUMMYFUNCTION("""COMPUTED_VALUE"""),"Middle School")</f>
        <v>Middle School</v>
      </c>
      <c r="J1535" s="6" t="str">
        <f>IFERROR(__xludf.DUMMYFUNCTION("""COMPUTED_VALUE"""),"8")</f>
        <v>8</v>
      </c>
      <c r="K1535" s="6" t="str">
        <f>IFERROR(__xludf.DUMMYFUNCTION("""COMPUTED_VALUE"""),"suta.boglarka@2hourlearning.com")</f>
        <v>suta.boglarka@2hourlearning.com</v>
      </c>
      <c r="L1535" s="6" t="str">
        <f>IFERROR(__xludf.DUMMYFUNCTION("""COMPUTED_VALUE"""),"Learn and Earn Poland")</f>
        <v>Learn and Earn Poland</v>
      </c>
      <c r="M1535" s="6" t="str">
        <f>IFERROR(__xludf.DUMMYFUNCTION("""COMPUTED_VALUE"""),"Budapest Alpha")</f>
        <v>Budapest Alpha</v>
      </c>
      <c r="N1535" s="6" t="str">
        <f>IFERROR(__xludf.DUMMYFUNCTION("""COMPUTED_VALUE"""),"")</f>
        <v/>
      </c>
      <c r="O1535" s="87" t="str">
        <f>IFERROR(__xludf.DUMMYFUNCTION("""COMPUTED_VALUE"""),"https://drive.google.com/drive/folders/10T2cTQHqEJZqE-st6uFKPoI?usp=share_link")</f>
        <v>https://drive.google.com/drive/folders/10T2cTQHqEJZqE-st6uFKPoI?usp=share_link</v>
      </c>
      <c r="P1535" s="6" t="str">
        <f>IFERROR(__xludf.DUMMYFUNCTION("""COMPUTED_VALUE"""),"Suta Boglarka")</f>
        <v>Suta Boglarka</v>
      </c>
      <c r="Q1535" s="6" t="str">
        <f>IFERROR(__xludf.DUMMYFUNCTION("""COMPUTED_VALUE"""),"MS")</f>
        <v>MS</v>
      </c>
      <c r="R1535" s="6">
        <f>IFERROR(__xludf.DUMMYFUNCTION("""COMPUTED_VALUE"""),0.0)</f>
        <v>0</v>
      </c>
      <c r="S1535" s="6" t="str">
        <f>IFERROR(__xludf.DUMMYFUNCTION("""COMPUTED_VALUE""")," ")</f>
        <v> </v>
      </c>
      <c r="T1535" s="6" t="str">
        <f>IFERROR(__xludf.DUMMYFUNCTION("""COMPUTED_VALUE"""),"")</f>
        <v/>
      </c>
      <c r="U1535" s="6" t="str">
        <f>IFERROR(__xludf.DUMMYFUNCTION("""COMPUTED_VALUE"""),"8")</f>
        <v>8</v>
      </c>
      <c r="V1535" s="6" t="str">
        <f>IFERROR(__xludf.DUMMYFUNCTION("""COMPUTED_VALUE"""),"English")</f>
        <v>English</v>
      </c>
      <c r="W1535" s="6" t="str">
        <f>IFERROR(__xludf.DUMMYFUNCTION("""COMPUTED_VALUE"""),"[]")</f>
        <v>[]</v>
      </c>
      <c r="X1535" s="6" t="str">
        <f>IFERROR(__xludf.DUMMYFUNCTION("""COMPUTED_VALUE"""),"Enrolled")</f>
        <v>Enrolled</v>
      </c>
    </row>
    <row r="1536">
      <c r="A1536" s="6" t="str">
        <f>IFERROR(__xludf.DUMMYFUNCTION("""COMPUTED_VALUE"""),"009-1792")</f>
        <v>009-1792</v>
      </c>
      <c r="B1536" s="6" t="str">
        <f>IFERROR(__xludf.DUMMYFUNCTION("""COMPUTED_VALUE"""),"9")</f>
        <v>9</v>
      </c>
      <c r="C1536" s="6" t="str">
        <f>IFERROR(__xludf.DUMMYFUNCTION("""COMPUTED_VALUE"""),"1792")</f>
        <v>1792</v>
      </c>
      <c r="D1536" s="6" t="str">
        <f>IFERROR(__xludf.DUMMYFUNCTION("""COMPUTED_VALUE"""),"Bereczky")</f>
        <v>Bereczky</v>
      </c>
      <c r="E1536" s="6" t="str">
        <f>IFERROR(__xludf.DUMMYFUNCTION("""COMPUTED_VALUE"""),"")</f>
        <v/>
      </c>
      <c r="F1536" s="6" t="str">
        <f>IFERROR(__xludf.DUMMYFUNCTION("""COMPUTED_VALUE"""),"Tamas")</f>
        <v>Tamas</v>
      </c>
      <c r="G1536" s="6" t="str">
        <f>IFERROR(__xludf.DUMMYFUNCTION("""COMPUTED_VALUE"""),"01/01/2009")</f>
        <v>01/01/2009</v>
      </c>
      <c r="H1536" s="6" t="str">
        <f>IFERROR(__xludf.DUMMYFUNCTION("""COMPUTED_VALUE"""),"Self Identify")</f>
        <v>Self Identify</v>
      </c>
      <c r="I1536" s="6" t="str">
        <f>IFERROR(__xludf.DUMMYFUNCTION("""COMPUTED_VALUE"""),"High School")</f>
        <v>High School</v>
      </c>
      <c r="J1536" s="6" t="str">
        <f>IFERROR(__xludf.DUMMYFUNCTION("""COMPUTED_VALUE"""),"10")</f>
        <v>10</v>
      </c>
      <c r="K1536" s="6" t="str">
        <f>IFERROR(__xludf.DUMMYFUNCTION("""COMPUTED_VALUE"""),"bereczky.tamas@2hourlearning.com")</f>
        <v>bereczky.tamas@2hourlearning.com</v>
      </c>
      <c r="L1536" s="6" t="str">
        <f>IFERROR(__xludf.DUMMYFUNCTION("""COMPUTED_VALUE"""),"Learn and Earn Poland")</f>
        <v>Learn and Earn Poland</v>
      </c>
      <c r="M1536" s="6" t="str">
        <f>IFERROR(__xludf.DUMMYFUNCTION("""COMPUTED_VALUE"""),"Budapest Alpha")</f>
        <v>Budapest Alpha</v>
      </c>
      <c r="N1536" s="6" t="str">
        <f>IFERROR(__xludf.DUMMYFUNCTION("""COMPUTED_VALUE"""),"")</f>
        <v/>
      </c>
      <c r="O1536" s="87" t="str">
        <f>IFERROR(__xludf.DUMMYFUNCTION("""COMPUTED_VALUE"""),"https://drive.google.com/drive/folders/10T2cTQHqEJZqE-st6uFKPoI?usp=share_link")</f>
        <v>https://drive.google.com/drive/folders/10T2cTQHqEJZqE-st6uFKPoI?usp=share_link</v>
      </c>
      <c r="P1536" s="6" t="str">
        <f>IFERROR(__xludf.DUMMYFUNCTION("""COMPUTED_VALUE"""),"Bereczky Tamas")</f>
        <v>Bereczky Tamas</v>
      </c>
      <c r="Q1536" s="6" t="str">
        <f>IFERROR(__xludf.DUMMYFUNCTION("""COMPUTED_VALUE"""),"HS")</f>
        <v>HS</v>
      </c>
      <c r="R1536" s="6">
        <f>IFERROR(__xludf.DUMMYFUNCTION("""COMPUTED_VALUE"""),0.0)</f>
        <v>0</v>
      </c>
      <c r="S1536" s="6" t="str">
        <f>IFERROR(__xludf.DUMMYFUNCTION("""COMPUTED_VALUE""")," ")</f>
        <v> </v>
      </c>
      <c r="T1536" s="6" t="str">
        <f>IFERROR(__xludf.DUMMYFUNCTION("""COMPUTED_VALUE"""),"")</f>
        <v/>
      </c>
      <c r="U1536" s="6" t="str">
        <f>IFERROR(__xludf.DUMMYFUNCTION("""COMPUTED_VALUE"""),"10")</f>
        <v>10</v>
      </c>
      <c r="V1536" s="6" t="str">
        <f>IFERROR(__xludf.DUMMYFUNCTION("""COMPUTED_VALUE"""),"English")</f>
        <v>English</v>
      </c>
      <c r="W1536" s="6" t="str">
        <f>IFERROR(__xludf.DUMMYFUNCTION("""COMPUTED_VALUE"""),"[]")</f>
        <v>[]</v>
      </c>
      <c r="X1536" s="6" t="str">
        <f>IFERROR(__xludf.DUMMYFUNCTION("""COMPUTED_VALUE"""),"Enrolled")</f>
        <v>Enrolled</v>
      </c>
    </row>
    <row r="1537">
      <c r="A1537" s="6" t="str">
        <f>IFERROR(__xludf.DUMMYFUNCTION("""COMPUTED_VALUE"""),"009-1793")</f>
        <v>009-1793</v>
      </c>
      <c r="B1537" s="6" t="str">
        <f>IFERROR(__xludf.DUMMYFUNCTION("""COMPUTED_VALUE"""),"9")</f>
        <v>9</v>
      </c>
      <c r="C1537" s="6" t="str">
        <f>IFERROR(__xludf.DUMMYFUNCTION("""COMPUTED_VALUE"""),"1793")</f>
        <v>1793</v>
      </c>
      <c r="D1537" s="6" t="str">
        <f>IFERROR(__xludf.DUMMYFUNCTION("""COMPUTED_VALUE"""),"Pal")</f>
        <v>Pal</v>
      </c>
      <c r="E1537" s="6" t="str">
        <f>IFERROR(__xludf.DUMMYFUNCTION("""COMPUTED_VALUE"""),"")</f>
        <v/>
      </c>
      <c r="F1537" s="6" t="str">
        <f>IFERROR(__xludf.DUMMYFUNCTION("""COMPUTED_VALUE"""),"Teofil")</f>
        <v>Teofil</v>
      </c>
      <c r="G1537" s="6" t="str">
        <f>IFERROR(__xludf.DUMMYFUNCTION("""COMPUTED_VALUE"""),"01/01/2010")</f>
        <v>01/01/2010</v>
      </c>
      <c r="H1537" s="6" t="str">
        <f>IFERROR(__xludf.DUMMYFUNCTION("""COMPUTED_VALUE"""),"Self Identify")</f>
        <v>Self Identify</v>
      </c>
      <c r="I1537" s="6" t="str">
        <f>IFERROR(__xludf.DUMMYFUNCTION("""COMPUTED_VALUE"""),"High School")</f>
        <v>High School</v>
      </c>
      <c r="J1537" s="6" t="str">
        <f>IFERROR(__xludf.DUMMYFUNCTION("""COMPUTED_VALUE"""),"9")</f>
        <v>9</v>
      </c>
      <c r="K1537" s="6" t="str">
        <f>IFERROR(__xludf.DUMMYFUNCTION("""COMPUTED_VALUE"""),"pal.teofil@2hourlearning.com")</f>
        <v>pal.teofil@2hourlearning.com</v>
      </c>
      <c r="L1537" s="6" t="str">
        <f>IFERROR(__xludf.DUMMYFUNCTION("""COMPUTED_VALUE"""),"Learn and Earn Poland")</f>
        <v>Learn and Earn Poland</v>
      </c>
      <c r="M1537" s="6" t="str">
        <f>IFERROR(__xludf.DUMMYFUNCTION("""COMPUTED_VALUE"""),"Budapest Alpha")</f>
        <v>Budapest Alpha</v>
      </c>
      <c r="N1537" s="6" t="str">
        <f>IFERROR(__xludf.DUMMYFUNCTION("""COMPUTED_VALUE"""),"")</f>
        <v/>
      </c>
      <c r="O1537" s="87" t="str">
        <f>IFERROR(__xludf.DUMMYFUNCTION("""COMPUTED_VALUE"""),"https://drive.google.com/drive/folders/10T2cTQHqEJZqE-st6uFKPoI?usp=share_link")</f>
        <v>https://drive.google.com/drive/folders/10T2cTQHqEJZqE-st6uFKPoI?usp=share_link</v>
      </c>
      <c r="P1537" s="6" t="str">
        <f>IFERROR(__xludf.DUMMYFUNCTION("""COMPUTED_VALUE"""),"Pal Teofil")</f>
        <v>Pal Teofil</v>
      </c>
      <c r="Q1537" s="6" t="str">
        <f>IFERROR(__xludf.DUMMYFUNCTION("""COMPUTED_VALUE"""),"HS")</f>
        <v>HS</v>
      </c>
      <c r="R1537" s="6">
        <f>IFERROR(__xludf.DUMMYFUNCTION("""COMPUTED_VALUE"""),0.0)</f>
        <v>0</v>
      </c>
      <c r="S1537" s="6" t="str">
        <f>IFERROR(__xludf.DUMMYFUNCTION("""COMPUTED_VALUE""")," ")</f>
        <v> </v>
      </c>
      <c r="T1537" s="6" t="str">
        <f>IFERROR(__xludf.DUMMYFUNCTION("""COMPUTED_VALUE"""),"")</f>
        <v/>
      </c>
      <c r="U1537" s="6" t="str">
        <f>IFERROR(__xludf.DUMMYFUNCTION("""COMPUTED_VALUE"""),"9")</f>
        <v>9</v>
      </c>
      <c r="V1537" s="6" t="str">
        <f>IFERROR(__xludf.DUMMYFUNCTION("""COMPUTED_VALUE"""),"English")</f>
        <v>English</v>
      </c>
      <c r="W1537" s="6" t="str">
        <f>IFERROR(__xludf.DUMMYFUNCTION("""COMPUTED_VALUE"""),"[]")</f>
        <v>[]</v>
      </c>
      <c r="X1537" s="6" t="str">
        <f>IFERROR(__xludf.DUMMYFUNCTION("""COMPUTED_VALUE"""),"Enrolled")</f>
        <v>Enrolled</v>
      </c>
    </row>
    <row r="1538">
      <c r="A1538" s="6" t="str">
        <f>IFERROR(__xludf.DUMMYFUNCTION("""COMPUTED_VALUE"""),"009-1794")</f>
        <v>009-1794</v>
      </c>
      <c r="B1538" s="6" t="str">
        <f>IFERROR(__xludf.DUMMYFUNCTION("""COMPUTED_VALUE"""),"9")</f>
        <v>9</v>
      </c>
      <c r="C1538" s="6" t="str">
        <f>IFERROR(__xludf.DUMMYFUNCTION("""COMPUTED_VALUE"""),"1794")</f>
        <v>1794</v>
      </c>
      <c r="D1538" s="6" t="str">
        <f>IFERROR(__xludf.DUMMYFUNCTION("""COMPUTED_VALUE"""),"Pal")</f>
        <v>Pal</v>
      </c>
      <c r="E1538" s="6" t="str">
        <f>IFERROR(__xludf.DUMMYFUNCTION("""COMPUTED_VALUE"""),"")</f>
        <v/>
      </c>
      <c r="F1538" s="6" t="str">
        <f>IFERROR(__xludf.DUMMYFUNCTION("""COMPUTED_VALUE"""),"Abigel")</f>
        <v>Abigel</v>
      </c>
      <c r="G1538" s="6" t="str">
        <f>IFERROR(__xludf.DUMMYFUNCTION("""COMPUTED_VALUE"""),"01/01/2013")</f>
        <v>01/01/2013</v>
      </c>
      <c r="H1538" s="6" t="str">
        <f>IFERROR(__xludf.DUMMYFUNCTION("""COMPUTED_VALUE"""),"Self Identify")</f>
        <v>Self Identify</v>
      </c>
      <c r="I1538" s="6" t="str">
        <f>IFERROR(__xludf.DUMMYFUNCTION("""COMPUTED_VALUE"""),"Middle School")</f>
        <v>Middle School</v>
      </c>
      <c r="J1538" s="6" t="str">
        <f>IFERROR(__xludf.DUMMYFUNCTION("""COMPUTED_VALUE"""),"6")</f>
        <v>6</v>
      </c>
      <c r="K1538" s="6" t="str">
        <f>IFERROR(__xludf.DUMMYFUNCTION("""COMPUTED_VALUE"""),"pal.abigel@2hourlearning.com")</f>
        <v>pal.abigel@2hourlearning.com</v>
      </c>
      <c r="L1538" s="6" t="str">
        <f>IFERROR(__xludf.DUMMYFUNCTION("""COMPUTED_VALUE"""),"Learn and Earn Poland")</f>
        <v>Learn and Earn Poland</v>
      </c>
      <c r="M1538" s="6" t="str">
        <f>IFERROR(__xludf.DUMMYFUNCTION("""COMPUTED_VALUE"""),"Budapest Alpha")</f>
        <v>Budapest Alpha</v>
      </c>
      <c r="N1538" s="6" t="str">
        <f>IFERROR(__xludf.DUMMYFUNCTION("""COMPUTED_VALUE"""),"")</f>
        <v/>
      </c>
      <c r="O1538" s="87" t="str">
        <f>IFERROR(__xludf.DUMMYFUNCTION("""COMPUTED_VALUE"""),"https://drive.google.com/drive/folders/10T2cTQHqEJZqE-st6uFKPoI?usp=share_link")</f>
        <v>https://drive.google.com/drive/folders/10T2cTQHqEJZqE-st6uFKPoI?usp=share_link</v>
      </c>
      <c r="P1538" s="6" t="str">
        <f>IFERROR(__xludf.DUMMYFUNCTION("""COMPUTED_VALUE"""),"Pal Abigel")</f>
        <v>Pal Abigel</v>
      </c>
      <c r="Q1538" s="6" t="str">
        <f>IFERROR(__xludf.DUMMYFUNCTION("""COMPUTED_VALUE"""),"MS")</f>
        <v>MS</v>
      </c>
      <c r="R1538" s="6">
        <f>IFERROR(__xludf.DUMMYFUNCTION("""COMPUTED_VALUE"""),0.0)</f>
        <v>0</v>
      </c>
      <c r="S1538" s="6" t="str">
        <f>IFERROR(__xludf.DUMMYFUNCTION("""COMPUTED_VALUE""")," ")</f>
        <v> </v>
      </c>
      <c r="T1538" s="6" t="str">
        <f>IFERROR(__xludf.DUMMYFUNCTION("""COMPUTED_VALUE"""),"")</f>
        <v/>
      </c>
      <c r="U1538" s="6" t="str">
        <f>IFERROR(__xludf.DUMMYFUNCTION("""COMPUTED_VALUE"""),"6")</f>
        <v>6</v>
      </c>
      <c r="V1538" s="6" t="str">
        <f>IFERROR(__xludf.DUMMYFUNCTION("""COMPUTED_VALUE"""),"English")</f>
        <v>English</v>
      </c>
      <c r="W1538" s="6" t="str">
        <f>IFERROR(__xludf.DUMMYFUNCTION("""COMPUTED_VALUE"""),"[]")</f>
        <v>[]</v>
      </c>
      <c r="X1538" s="6" t="str">
        <f>IFERROR(__xludf.DUMMYFUNCTION("""COMPUTED_VALUE"""),"Enrolled")</f>
        <v>Enrolled</v>
      </c>
    </row>
    <row r="1539">
      <c r="A1539" s="6" t="str">
        <f>IFERROR(__xludf.DUMMYFUNCTION("""COMPUTED_VALUE"""),"009-1795")</f>
        <v>009-1795</v>
      </c>
      <c r="B1539" s="6" t="str">
        <f>IFERROR(__xludf.DUMMYFUNCTION("""COMPUTED_VALUE"""),"9")</f>
        <v>9</v>
      </c>
      <c r="C1539" s="6" t="str">
        <f>IFERROR(__xludf.DUMMYFUNCTION("""COMPUTED_VALUE"""),"1795")</f>
        <v>1795</v>
      </c>
      <c r="D1539" s="6" t="str">
        <f>IFERROR(__xludf.DUMMYFUNCTION("""COMPUTED_VALUE"""),"Dzsaszem")</f>
        <v>Dzsaszem</v>
      </c>
      <c r="E1539" s="6" t="str">
        <f>IFERROR(__xludf.DUMMYFUNCTION("""COMPUTED_VALUE"""),"")</f>
        <v/>
      </c>
      <c r="F1539" s="6" t="str">
        <f>IFERROR(__xludf.DUMMYFUNCTION("""COMPUTED_VALUE"""),"Fatima")</f>
        <v>Fatima</v>
      </c>
      <c r="G1539" s="6" t="str">
        <f>IFERROR(__xludf.DUMMYFUNCTION("""COMPUTED_VALUE"""),"01/01/2010")</f>
        <v>01/01/2010</v>
      </c>
      <c r="H1539" s="6" t="str">
        <f>IFERROR(__xludf.DUMMYFUNCTION("""COMPUTED_VALUE"""),"Self Identify")</f>
        <v>Self Identify</v>
      </c>
      <c r="I1539" s="6" t="str">
        <f>IFERROR(__xludf.DUMMYFUNCTION("""COMPUTED_VALUE"""),"High School")</f>
        <v>High School</v>
      </c>
      <c r="J1539" s="6" t="str">
        <f>IFERROR(__xludf.DUMMYFUNCTION("""COMPUTED_VALUE"""),"9")</f>
        <v>9</v>
      </c>
      <c r="K1539" s="6" t="str">
        <f>IFERROR(__xludf.DUMMYFUNCTION("""COMPUTED_VALUE"""),"dzsaszem.fatima@2hourlearning.com")</f>
        <v>dzsaszem.fatima@2hourlearning.com</v>
      </c>
      <c r="L1539" s="6" t="str">
        <f>IFERROR(__xludf.DUMMYFUNCTION("""COMPUTED_VALUE"""),"Learn and Earn Poland")</f>
        <v>Learn and Earn Poland</v>
      </c>
      <c r="M1539" s="6" t="str">
        <f>IFERROR(__xludf.DUMMYFUNCTION("""COMPUTED_VALUE"""),"Budapest Alpha")</f>
        <v>Budapest Alpha</v>
      </c>
      <c r="N1539" s="6" t="str">
        <f>IFERROR(__xludf.DUMMYFUNCTION("""COMPUTED_VALUE"""),"")</f>
        <v/>
      </c>
      <c r="O1539" s="87" t="str">
        <f>IFERROR(__xludf.DUMMYFUNCTION("""COMPUTED_VALUE"""),"https://drive.google.com/drive/folders/10T2cTQHqEJZqE-st6uFKPoI?usp=share_link")</f>
        <v>https://drive.google.com/drive/folders/10T2cTQHqEJZqE-st6uFKPoI?usp=share_link</v>
      </c>
      <c r="P1539" s="6" t="str">
        <f>IFERROR(__xludf.DUMMYFUNCTION("""COMPUTED_VALUE"""),"Dzsaszem Fatima")</f>
        <v>Dzsaszem Fatima</v>
      </c>
      <c r="Q1539" s="6" t="str">
        <f>IFERROR(__xludf.DUMMYFUNCTION("""COMPUTED_VALUE"""),"HS")</f>
        <v>HS</v>
      </c>
      <c r="R1539" s="6">
        <f>IFERROR(__xludf.DUMMYFUNCTION("""COMPUTED_VALUE"""),0.0)</f>
        <v>0</v>
      </c>
      <c r="S1539" s="6" t="str">
        <f>IFERROR(__xludf.DUMMYFUNCTION("""COMPUTED_VALUE""")," ")</f>
        <v> </v>
      </c>
      <c r="T1539" s="6" t="str">
        <f>IFERROR(__xludf.DUMMYFUNCTION("""COMPUTED_VALUE"""),"")</f>
        <v/>
      </c>
      <c r="U1539" s="6" t="str">
        <f>IFERROR(__xludf.DUMMYFUNCTION("""COMPUTED_VALUE"""),"9")</f>
        <v>9</v>
      </c>
      <c r="V1539" s="6" t="str">
        <f>IFERROR(__xludf.DUMMYFUNCTION("""COMPUTED_VALUE"""),"English")</f>
        <v>English</v>
      </c>
      <c r="W1539" s="6" t="str">
        <f>IFERROR(__xludf.DUMMYFUNCTION("""COMPUTED_VALUE"""),"[]")</f>
        <v>[]</v>
      </c>
      <c r="X1539" s="6" t="str">
        <f>IFERROR(__xludf.DUMMYFUNCTION("""COMPUTED_VALUE"""),"Enrolled")</f>
        <v>Enrolled</v>
      </c>
    </row>
    <row r="1540">
      <c r="A1540" s="6" t="str">
        <f>IFERROR(__xludf.DUMMYFUNCTION("""COMPUTED_VALUE"""),"009-1796")</f>
        <v>009-1796</v>
      </c>
      <c r="B1540" s="6" t="str">
        <f>IFERROR(__xludf.DUMMYFUNCTION("""COMPUTED_VALUE"""),"9")</f>
        <v>9</v>
      </c>
      <c r="C1540" s="6" t="str">
        <f>IFERROR(__xludf.DUMMYFUNCTION("""COMPUTED_VALUE"""),"1796")</f>
        <v>1796</v>
      </c>
      <c r="D1540" s="6" t="str">
        <f>IFERROR(__xludf.DUMMYFUNCTION("""COMPUTED_VALUE"""),"Csirpak")</f>
        <v>Csirpak</v>
      </c>
      <c r="E1540" s="6" t="str">
        <f>IFERROR(__xludf.DUMMYFUNCTION("""COMPUTED_VALUE"""),"")</f>
        <v/>
      </c>
      <c r="F1540" s="6" t="str">
        <f>IFERROR(__xludf.DUMMYFUNCTION("""COMPUTED_VALUE"""),"Kristof")</f>
        <v>Kristof</v>
      </c>
      <c r="G1540" s="6" t="str">
        <f>IFERROR(__xludf.DUMMYFUNCTION("""COMPUTED_VALUE"""),"01/01/2012")</f>
        <v>01/01/2012</v>
      </c>
      <c r="H1540" s="6" t="str">
        <f>IFERROR(__xludf.DUMMYFUNCTION("""COMPUTED_VALUE"""),"Self Identify")</f>
        <v>Self Identify</v>
      </c>
      <c r="I1540" s="6" t="str">
        <f>IFERROR(__xludf.DUMMYFUNCTION("""COMPUTED_VALUE"""),"Middle School")</f>
        <v>Middle School</v>
      </c>
      <c r="J1540" s="6" t="str">
        <f>IFERROR(__xludf.DUMMYFUNCTION("""COMPUTED_VALUE"""),"7")</f>
        <v>7</v>
      </c>
      <c r="K1540" s="6" t="str">
        <f>IFERROR(__xludf.DUMMYFUNCTION("""COMPUTED_VALUE"""),"csirpak.kristof@2hourlearning.com")</f>
        <v>csirpak.kristof@2hourlearning.com</v>
      </c>
      <c r="L1540" s="6" t="str">
        <f>IFERROR(__xludf.DUMMYFUNCTION("""COMPUTED_VALUE"""),"Learn and Earn Poland")</f>
        <v>Learn and Earn Poland</v>
      </c>
      <c r="M1540" s="6" t="str">
        <f>IFERROR(__xludf.DUMMYFUNCTION("""COMPUTED_VALUE"""),"Budapest Alpha")</f>
        <v>Budapest Alpha</v>
      </c>
      <c r="N1540" s="6" t="str">
        <f>IFERROR(__xludf.DUMMYFUNCTION("""COMPUTED_VALUE"""),"")</f>
        <v/>
      </c>
      <c r="O1540" s="87" t="str">
        <f>IFERROR(__xludf.DUMMYFUNCTION("""COMPUTED_VALUE"""),"https://drive.google.com/drive/folders/10T2cTQHqEJZqE-st6uFKPoI?usp=share_link")</f>
        <v>https://drive.google.com/drive/folders/10T2cTQHqEJZqE-st6uFKPoI?usp=share_link</v>
      </c>
      <c r="P1540" s="6" t="str">
        <f>IFERROR(__xludf.DUMMYFUNCTION("""COMPUTED_VALUE"""),"Csirpak Kristof")</f>
        <v>Csirpak Kristof</v>
      </c>
      <c r="Q1540" s="6" t="str">
        <f>IFERROR(__xludf.DUMMYFUNCTION("""COMPUTED_VALUE"""),"MS")</f>
        <v>MS</v>
      </c>
      <c r="R1540" s="6">
        <f>IFERROR(__xludf.DUMMYFUNCTION("""COMPUTED_VALUE"""),0.0)</f>
        <v>0</v>
      </c>
      <c r="S1540" s="6" t="str">
        <f>IFERROR(__xludf.DUMMYFUNCTION("""COMPUTED_VALUE""")," ")</f>
        <v> </v>
      </c>
      <c r="T1540" s="6" t="str">
        <f>IFERROR(__xludf.DUMMYFUNCTION("""COMPUTED_VALUE"""),"")</f>
        <v/>
      </c>
      <c r="U1540" s="6" t="str">
        <f>IFERROR(__xludf.DUMMYFUNCTION("""COMPUTED_VALUE"""),"7")</f>
        <v>7</v>
      </c>
      <c r="V1540" s="6" t="str">
        <f>IFERROR(__xludf.DUMMYFUNCTION("""COMPUTED_VALUE"""),"English")</f>
        <v>English</v>
      </c>
      <c r="W1540" s="6" t="str">
        <f>IFERROR(__xludf.DUMMYFUNCTION("""COMPUTED_VALUE"""),"[]")</f>
        <v>[]</v>
      </c>
      <c r="X1540" s="6" t="str">
        <f>IFERROR(__xludf.DUMMYFUNCTION("""COMPUTED_VALUE"""),"Enrolled")</f>
        <v>Enrolled</v>
      </c>
    </row>
    <row r="1541">
      <c r="A1541" s="6" t="str">
        <f>IFERROR(__xludf.DUMMYFUNCTION("""COMPUTED_VALUE"""),"009-1797")</f>
        <v>009-1797</v>
      </c>
      <c r="B1541" s="6" t="str">
        <f>IFERROR(__xludf.DUMMYFUNCTION("""COMPUTED_VALUE"""),"9")</f>
        <v>9</v>
      </c>
      <c r="C1541" s="6" t="str">
        <f>IFERROR(__xludf.DUMMYFUNCTION("""COMPUTED_VALUE"""),"1797")</f>
        <v>1797</v>
      </c>
      <c r="D1541" s="6" t="str">
        <f>IFERROR(__xludf.DUMMYFUNCTION("""COMPUTED_VALUE"""),"Milan")</f>
        <v>Milan</v>
      </c>
      <c r="E1541" s="6" t="str">
        <f>IFERROR(__xludf.DUMMYFUNCTION("""COMPUTED_VALUE"""),"")</f>
        <v/>
      </c>
      <c r="F1541" s="6" t="str">
        <f>IFERROR(__xludf.DUMMYFUNCTION("""COMPUTED_VALUE"""),"Vamos")</f>
        <v>Vamos</v>
      </c>
      <c r="G1541" s="6" t="str">
        <f>IFERROR(__xludf.DUMMYFUNCTION("""COMPUTED_VALUE"""),"01/01/2013")</f>
        <v>01/01/2013</v>
      </c>
      <c r="H1541" s="6" t="str">
        <f>IFERROR(__xludf.DUMMYFUNCTION("""COMPUTED_VALUE"""),"Self Identify")</f>
        <v>Self Identify</v>
      </c>
      <c r="I1541" s="6" t="str">
        <f>IFERROR(__xludf.DUMMYFUNCTION("""COMPUTED_VALUE"""),"Middle School")</f>
        <v>Middle School</v>
      </c>
      <c r="J1541" s="6" t="str">
        <f>IFERROR(__xludf.DUMMYFUNCTION("""COMPUTED_VALUE"""),"6")</f>
        <v>6</v>
      </c>
      <c r="K1541" s="6" t="str">
        <f>IFERROR(__xludf.DUMMYFUNCTION("""COMPUTED_VALUE"""),"vamos.milan@2hourlearning.com")</f>
        <v>vamos.milan@2hourlearning.com</v>
      </c>
      <c r="L1541" s="6" t="str">
        <f>IFERROR(__xludf.DUMMYFUNCTION("""COMPUTED_VALUE"""),"Learn and Earn Poland")</f>
        <v>Learn and Earn Poland</v>
      </c>
      <c r="M1541" s="6" t="str">
        <f>IFERROR(__xludf.DUMMYFUNCTION("""COMPUTED_VALUE"""),"Budapest ex-GTS")</f>
        <v>Budapest ex-GTS</v>
      </c>
      <c r="N1541" s="6" t="str">
        <f>IFERROR(__xludf.DUMMYFUNCTION("""COMPUTED_VALUE"""),"")</f>
        <v/>
      </c>
      <c r="O1541" s="87" t="str">
        <f>IFERROR(__xludf.DUMMYFUNCTION("""COMPUTED_VALUE"""),"https://drive.google.com/drive/folders/10T2cTQHqEJZqE-st6uFKPoI?usp=share_link")</f>
        <v>https://drive.google.com/drive/folders/10T2cTQHqEJZqE-st6uFKPoI?usp=share_link</v>
      </c>
      <c r="P1541" s="6" t="str">
        <f>IFERROR(__xludf.DUMMYFUNCTION("""COMPUTED_VALUE"""),"Milan Vamos")</f>
        <v>Milan Vamos</v>
      </c>
      <c r="Q1541" s="6" t="str">
        <f>IFERROR(__xludf.DUMMYFUNCTION("""COMPUTED_VALUE"""),"MS")</f>
        <v>MS</v>
      </c>
      <c r="R1541" s="6">
        <f>IFERROR(__xludf.DUMMYFUNCTION("""COMPUTED_VALUE"""),0.0)</f>
        <v>0</v>
      </c>
      <c r="S1541" s="6" t="str">
        <f>IFERROR(__xludf.DUMMYFUNCTION("""COMPUTED_VALUE""")," ")</f>
        <v> </v>
      </c>
      <c r="T1541" s="6" t="str">
        <f>IFERROR(__xludf.DUMMYFUNCTION("""COMPUTED_VALUE"""),"")</f>
        <v/>
      </c>
      <c r="U1541" s="6" t="str">
        <f>IFERROR(__xludf.DUMMYFUNCTION("""COMPUTED_VALUE"""),"6")</f>
        <v>6</v>
      </c>
      <c r="V1541" s="6" t="str">
        <f>IFERROR(__xludf.DUMMYFUNCTION("""COMPUTED_VALUE"""),"English")</f>
        <v>English</v>
      </c>
      <c r="W1541" s="6" t="str">
        <f>IFERROR(__xludf.DUMMYFUNCTION("""COMPUTED_VALUE"""),"[]")</f>
        <v>[]</v>
      </c>
      <c r="X1541" s="6" t="str">
        <f>IFERROR(__xludf.DUMMYFUNCTION("""COMPUTED_VALUE"""),"Enrolled")</f>
        <v>Enrolled</v>
      </c>
    </row>
    <row r="1542">
      <c r="A1542" s="6" t="str">
        <f>IFERROR(__xludf.DUMMYFUNCTION("""COMPUTED_VALUE"""),"009-1801")</f>
        <v>009-1801</v>
      </c>
      <c r="B1542" s="6" t="str">
        <f>IFERROR(__xludf.DUMMYFUNCTION("""COMPUTED_VALUE"""),"9")</f>
        <v>9</v>
      </c>
      <c r="C1542" s="6" t="str">
        <f>IFERROR(__xludf.DUMMYFUNCTION("""COMPUTED_VALUE"""),"1801")</f>
        <v>1801</v>
      </c>
      <c r="D1542" s="6" t="str">
        <f>IFERROR(__xludf.DUMMYFUNCTION("""COMPUTED_VALUE"""),"Vashkeba")</f>
        <v>Vashkeba</v>
      </c>
      <c r="E1542" s="6" t="str">
        <f>IFERROR(__xludf.DUMMYFUNCTION("""COMPUTED_VALUE"""),"")</f>
        <v/>
      </c>
      <c r="F1542" s="6" t="str">
        <f>IFERROR(__xludf.DUMMYFUNCTION("""COMPUTED_VALUE"""),"David")</f>
        <v>David</v>
      </c>
      <c r="G1542" s="6" t="str">
        <f>IFERROR(__xludf.DUMMYFUNCTION("""COMPUTED_VALUE"""),"01/01/2011")</f>
        <v>01/01/2011</v>
      </c>
      <c r="H1542" s="6" t="str">
        <f>IFERROR(__xludf.DUMMYFUNCTION("""COMPUTED_VALUE"""),"Self Identify")</f>
        <v>Self Identify</v>
      </c>
      <c r="I1542" s="6" t="str">
        <f>IFERROR(__xludf.DUMMYFUNCTION("""COMPUTED_VALUE"""),"Middle School")</f>
        <v>Middle School</v>
      </c>
      <c r="J1542" s="6" t="str">
        <f>IFERROR(__xludf.DUMMYFUNCTION("""COMPUTED_VALUE"""),"8")</f>
        <v>8</v>
      </c>
      <c r="K1542" s="6" t="str">
        <f>IFERROR(__xludf.DUMMYFUNCTION("""COMPUTED_VALUE"""),"vashkeba.david@2hourlearning.com")</f>
        <v>vashkeba.david@2hourlearning.com</v>
      </c>
      <c r="L1542" s="6" t="str">
        <f>IFERROR(__xludf.DUMMYFUNCTION("""COMPUTED_VALUE"""),"Learn and Earn Poland")</f>
        <v>Learn and Earn Poland</v>
      </c>
      <c r="M1542" s="6" t="str">
        <f>IFERROR(__xludf.DUMMYFUNCTION("""COMPUTED_VALUE"""),"Budapest Alpha")</f>
        <v>Budapest Alpha</v>
      </c>
      <c r="N1542" s="6" t="str">
        <f>IFERROR(__xludf.DUMMYFUNCTION("""COMPUTED_VALUE"""),"")</f>
        <v/>
      </c>
      <c r="O1542" s="87" t="str">
        <f>IFERROR(__xludf.DUMMYFUNCTION("""COMPUTED_VALUE"""),"https://drive.google.com/drive/folders/10T2cTQHqEJZqE-st6uFKPoI?usp=share_link")</f>
        <v>https://drive.google.com/drive/folders/10T2cTQHqEJZqE-st6uFKPoI?usp=share_link</v>
      </c>
      <c r="P1542" s="6" t="str">
        <f>IFERROR(__xludf.DUMMYFUNCTION("""COMPUTED_VALUE"""),"Vashkeba David")</f>
        <v>Vashkeba David</v>
      </c>
      <c r="Q1542" s="6" t="str">
        <f>IFERROR(__xludf.DUMMYFUNCTION("""COMPUTED_VALUE"""),"MS")</f>
        <v>MS</v>
      </c>
      <c r="R1542" s="6">
        <f>IFERROR(__xludf.DUMMYFUNCTION("""COMPUTED_VALUE"""),0.0)</f>
        <v>0</v>
      </c>
      <c r="S1542" s="6" t="str">
        <f>IFERROR(__xludf.DUMMYFUNCTION("""COMPUTED_VALUE""")," ")</f>
        <v> </v>
      </c>
      <c r="T1542" s="6" t="str">
        <f>IFERROR(__xludf.DUMMYFUNCTION("""COMPUTED_VALUE"""),"")</f>
        <v/>
      </c>
      <c r="U1542" s="6" t="str">
        <f>IFERROR(__xludf.DUMMYFUNCTION("""COMPUTED_VALUE"""),"8")</f>
        <v>8</v>
      </c>
      <c r="V1542" s="6" t="str">
        <f>IFERROR(__xludf.DUMMYFUNCTION("""COMPUTED_VALUE"""),"English")</f>
        <v>English</v>
      </c>
      <c r="W1542" s="6" t="str">
        <f>IFERROR(__xludf.DUMMYFUNCTION("""COMPUTED_VALUE"""),"[]")</f>
        <v>[]</v>
      </c>
      <c r="X1542" s="6" t="str">
        <f>IFERROR(__xludf.DUMMYFUNCTION("""COMPUTED_VALUE"""),"Enrolled")</f>
        <v>Enrolled</v>
      </c>
    </row>
    <row r="1543">
      <c r="A1543" s="6" t="str">
        <f>IFERROR(__xludf.DUMMYFUNCTION("""COMPUTED_VALUE"""),"009-1803")</f>
        <v>009-1803</v>
      </c>
      <c r="B1543" s="6" t="str">
        <f>IFERROR(__xludf.DUMMYFUNCTION("""COMPUTED_VALUE"""),"9")</f>
        <v>9</v>
      </c>
      <c r="C1543" s="6" t="str">
        <f>IFERROR(__xludf.DUMMYFUNCTION("""COMPUTED_VALUE"""),"1803")</f>
        <v>1803</v>
      </c>
      <c r="D1543" s="6" t="str">
        <f>IFERROR(__xludf.DUMMYFUNCTION("""COMPUTED_VALUE"""),"Yelyzaveta")</f>
        <v>Yelyzaveta</v>
      </c>
      <c r="E1543" s="6" t="str">
        <f>IFERROR(__xludf.DUMMYFUNCTION("""COMPUTED_VALUE"""),"")</f>
        <v/>
      </c>
      <c r="F1543" s="6" t="str">
        <f>IFERROR(__xludf.DUMMYFUNCTION("""COMPUTED_VALUE"""),"Yakymchuk")</f>
        <v>Yakymchuk</v>
      </c>
      <c r="G1543" s="6" t="str">
        <f>IFERROR(__xludf.DUMMYFUNCTION("""COMPUTED_VALUE"""),"01/01/2016")</f>
        <v>01/01/2016</v>
      </c>
      <c r="H1543" s="6" t="str">
        <f>IFERROR(__xludf.DUMMYFUNCTION("""COMPUTED_VALUE"""),"Self Identify")</f>
        <v>Self Identify</v>
      </c>
      <c r="I1543" s="6" t="str">
        <f>IFERROR(__xludf.DUMMYFUNCTION("""COMPUTED_VALUE"""),"Level 1")</f>
        <v>Level 1</v>
      </c>
      <c r="J1543" s="6" t="str">
        <f>IFERROR(__xludf.DUMMYFUNCTION("""COMPUTED_VALUE"""),"3")</f>
        <v>3</v>
      </c>
      <c r="K1543" s="6" t="str">
        <f>IFERROR(__xludf.DUMMYFUNCTION("""COMPUTED_VALUE"""),"yakymchuk.yelyzaveta@2hourlearning.com")</f>
        <v>yakymchuk.yelyzaveta@2hourlearning.com</v>
      </c>
      <c r="L1543" s="6" t="str">
        <f>IFERROR(__xludf.DUMMYFUNCTION("""COMPUTED_VALUE"""),"Learn and Earn Poland")</f>
        <v>Learn and Earn Poland</v>
      </c>
      <c r="M1543" s="6" t="str">
        <f>IFERROR(__xludf.DUMMYFUNCTION("""COMPUTED_VALUE"""),"Budapest Alpha")</f>
        <v>Budapest Alpha</v>
      </c>
      <c r="N1543" s="6" t="str">
        <f>IFERROR(__xludf.DUMMYFUNCTION("""COMPUTED_VALUE"""),"")</f>
        <v/>
      </c>
      <c r="O1543" s="87" t="str">
        <f>IFERROR(__xludf.DUMMYFUNCTION("""COMPUTED_VALUE"""),"https://drive.google.com/drive/folders/10T2cTQHqEJZqE-st6uFKPoI?usp=share_link")</f>
        <v>https://drive.google.com/drive/folders/10T2cTQHqEJZqE-st6uFKPoI?usp=share_link</v>
      </c>
      <c r="P1543" s="6" t="str">
        <f>IFERROR(__xludf.DUMMYFUNCTION("""COMPUTED_VALUE"""),"Yelyzaveta Yakymchuk")</f>
        <v>Yelyzaveta Yakymchuk</v>
      </c>
      <c r="Q1543" s="6" t="str">
        <f>IFERROR(__xludf.DUMMYFUNCTION("""COMPUTED_VALUE"""),"L1")</f>
        <v>L1</v>
      </c>
      <c r="R1543" s="6">
        <f>IFERROR(__xludf.DUMMYFUNCTION("""COMPUTED_VALUE"""),1.0)</f>
        <v>1</v>
      </c>
      <c r="S1543" s="6" t="str">
        <f>IFERROR(__xludf.DUMMYFUNCTION("""COMPUTED_VALUE""")," ")</f>
        <v> </v>
      </c>
      <c r="T1543" s="6" t="str">
        <f>IFERROR(__xludf.DUMMYFUNCTION("""COMPUTED_VALUE"""),"")</f>
        <v/>
      </c>
      <c r="U1543" s="6" t="str">
        <f>IFERROR(__xludf.DUMMYFUNCTION("""COMPUTED_VALUE"""),"3")</f>
        <v>3</v>
      </c>
      <c r="V1543" s="6" t="str">
        <f>IFERROR(__xludf.DUMMYFUNCTION("""COMPUTED_VALUE"""),"English")</f>
        <v>English</v>
      </c>
      <c r="W1543" s="6" t="str">
        <f>IFERROR(__xludf.DUMMYFUNCTION("""COMPUTED_VALUE"""),"[]")</f>
        <v>[]</v>
      </c>
      <c r="X1543" s="6" t="str">
        <f>IFERROR(__xludf.DUMMYFUNCTION("""COMPUTED_VALUE"""),"Enrolled")</f>
        <v>Enrolled</v>
      </c>
    </row>
    <row r="1544">
      <c r="A1544" s="6" t="str">
        <f>IFERROR(__xludf.DUMMYFUNCTION("""COMPUTED_VALUE"""),"009-1804")</f>
        <v>009-1804</v>
      </c>
      <c r="B1544" s="6" t="str">
        <f>IFERROR(__xludf.DUMMYFUNCTION("""COMPUTED_VALUE"""),"9")</f>
        <v>9</v>
      </c>
      <c r="C1544" s="6" t="str">
        <f>IFERROR(__xludf.DUMMYFUNCTION("""COMPUTED_VALUE"""),"1804")</f>
        <v>1804</v>
      </c>
      <c r="D1544" s="6" t="str">
        <f>IFERROR(__xludf.DUMMYFUNCTION("""COMPUTED_VALUE"""),"Mark")</f>
        <v>Mark</v>
      </c>
      <c r="E1544" s="6" t="str">
        <f>IFERROR(__xludf.DUMMYFUNCTION("""COMPUTED_VALUE"""),"")</f>
        <v/>
      </c>
      <c r="F1544" s="6" t="str">
        <f>IFERROR(__xludf.DUMMYFUNCTION("""COMPUTED_VALUE"""),"Lepshokov")</f>
        <v>Lepshokov</v>
      </c>
      <c r="G1544" s="6" t="str">
        <f>IFERROR(__xludf.DUMMYFUNCTION("""COMPUTED_VALUE"""),"01/01/2016")</f>
        <v>01/01/2016</v>
      </c>
      <c r="H1544" s="6" t="str">
        <f>IFERROR(__xludf.DUMMYFUNCTION("""COMPUTED_VALUE"""),"Self Identify")</f>
        <v>Self Identify</v>
      </c>
      <c r="I1544" s="6" t="str">
        <f>IFERROR(__xludf.DUMMYFUNCTION("""COMPUTED_VALUE"""),"Level 1")</f>
        <v>Level 1</v>
      </c>
      <c r="J1544" s="6" t="str">
        <f>IFERROR(__xludf.DUMMYFUNCTION("""COMPUTED_VALUE"""),"3")</f>
        <v>3</v>
      </c>
      <c r="K1544" s="6" t="str">
        <f>IFERROR(__xludf.DUMMYFUNCTION("""COMPUTED_VALUE"""),"lepshokov.mark@2hourlearning.com")</f>
        <v>lepshokov.mark@2hourlearning.com</v>
      </c>
      <c r="L1544" s="6" t="str">
        <f>IFERROR(__xludf.DUMMYFUNCTION("""COMPUTED_VALUE"""),"Learn and Earn Poland")</f>
        <v>Learn and Earn Poland</v>
      </c>
      <c r="M1544" s="6" t="str">
        <f>IFERROR(__xludf.DUMMYFUNCTION("""COMPUTED_VALUE"""),"Budapest ex-GTS")</f>
        <v>Budapest ex-GTS</v>
      </c>
      <c r="N1544" s="6" t="str">
        <f>IFERROR(__xludf.DUMMYFUNCTION("""COMPUTED_VALUE"""),"")</f>
        <v/>
      </c>
      <c r="O1544" s="87" t="str">
        <f>IFERROR(__xludf.DUMMYFUNCTION("""COMPUTED_VALUE"""),"https://drive.google.com/drive/folders/10T2cTQHqEJZqE-st6uFKPoI?usp=share_link")</f>
        <v>https://drive.google.com/drive/folders/10T2cTQHqEJZqE-st6uFKPoI?usp=share_link</v>
      </c>
      <c r="P1544" s="6" t="str">
        <f>IFERROR(__xludf.DUMMYFUNCTION("""COMPUTED_VALUE"""),"Mark Lepshokov")</f>
        <v>Mark Lepshokov</v>
      </c>
      <c r="Q1544" s="6" t="str">
        <f>IFERROR(__xludf.DUMMYFUNCTION("""COMPUTED_VALUE"""),"L1")</f>
        <v>L1</v>
      </c>
      <c r="R1544" s="6">
        <f>IFERROR(__xludf.DUMMYFUNCTION("""COMPUTED_VALUE"""),1.0)</f>
        <v>1</v>
      </c>
      <c r="S1544" s="6" t="str">
        <f>IFERROR(__xludf.DUMMYFUNCTION("""COMPUTED_VALUE""")," ")</f>
        <v> </v>
      </c>
      <c r="T1544" s="6" t="str">
        <f>IFERROR(__xludf.DUMMYFUNCTION("""COMPUTED_VALUE"""),"")</f>
        <v/>
      </c>
      <c r="U1544" s="6" t="str">
        <f>IFERROR(__xludf.DUMMYFUNCTION("""COMPUTED_VALUE"""),"3")</f>
        <v>3</v>
      </c>
      <c r="V1544" s="6" t="str">
        <f>IFERROR(__xludf.DUMMYFUNCTION("""COMPUTED_VALUE"""),"English")</f>
        <v>English</v>
      </c>
      <c r="W1544" s="6" t="str">
        <f>IFERROR(__xludf.DUMMYFUNCTION("""COMPUTED_VALUE"""),"[]")</f>
        <v>[]</v>
      </c>
      <c r="X1544" s="6" t="str">
        <f>IFERROR(__xludf.DUMMYFUNCTION("""COMPUTED_VALUE"""),"Enrolled")</f>
        <v>Enrolled</v>
      </c>
    </row>
    <row r="1545">
      <c r="A1545" s="6" t="str">
        <f>IFERROR(__xludf.DUMMYFUNCTION("""COMPUTED_VALUE"""),"009-1805")</f>
        <v>009-1805</v>
      </c>
      <c r="B1545" s="6" t="str">
        <f>IFERROR(__xludf.DUMMYFUNCTION("""COMPUTED_VALUE"""),"9")</f>
        <v>9</v>
      </c>
      <c r="C1545" s="6" t="str">
        <f>IFERROR(__xludf.DUMMYFUNCTION("""COMPUTED_VALUE"""),"1805")</f>
        <v>1805</v>
      </c>
      <c r="D1545" s="6" t="str">
        <f>IFERROR(__xludf.DUMMYFUNCTION("""COMPUTED_VALUE"""),"Ustym")</f>
        <v>Ustym</v>
      </c>
      <c r="E1545" s="6" t="str">
        <f>IFERROR(__xludf.DUMMYFUNCTION("""COMPUTED_VALUE"""),"")</f>
        <v/>
      </c>
      <c r="F1545" s="6" t="str">
        <f>IFERROR(__xludf.DUMMYFUNCTION("""COMPUTED_VALUE"""),"Babych")</f>
        <v>Babych</v>
      </c>
      <c r="G1545" s="6" t="str">
        <f>IFERROR(__xludf.DUMMYFUNCTION("""COMPUTED_VALUE"""),"01/01/2017")</f>
        <v>01/01/2017</v>
      </c>
      <c r="H1545" s="6" t="str">
        <f>IFERROR(__xludf.DUMMYFUNCTION("""COMPUTED_VALUE"""),"Self Identify")</f>
        <v>Self Identify</v>
      </c>
      <c r="I1545" s="6" t="str">
        <f>IFERROR(__xludf.DUMMYFUNCTION("""COMPUTED_VALUE"""),"Middle School")</f>
        <v>Middle School</v>
      </c>
      <c r="J1545" s="6" t="str">
        <f>IFERROR(__xludf.DUMMYFUNCTION("""COMPUTED_VALUE"""),"6")</f>
        <v>6</v>
      </c>
      <c r="K1545" s="6" t="str">
        <f>IFERROR(__xludf.DUMMYFUNCTION("""COMPUTED_VALUE"""),"babych.ustym@2hourlearning.com")</f>
        <v>babych.ustym@2hourlearning.com</v>
      </c>
      <c r="L1545" s="6" t="str">
        <f>IFERROR(__xludf.DUMMYFUNCTION("""COMPUTED_VALUE"""),"Learn and Earn Poland")</f>
        <v>Learn and Earn Poland</v>
      </c>
      <c r="M1545" s="6" t="str">
        <f>IFERROR(__xludf.DUMMYFUNCTION("""COMPUTED_VALUE"""),"Budapest Alpha")</f>
        <v>Budapest Alpha</v>
      </c>
      <c r="N1545" s="6" t="str">
        <f>IFERROR(__xludf.DUMMYFUNCTION("""COMPUTED_VALUE"""),"")</f>
        <v/>
      </c>
      <c r="O1545" s="87" t="str">
        <f>IFERROR(__xludf.DUMMYFUNCTION("""COMPUTED_VALUE"""),"https://drive.google.com/drive/folders/10T2cTQHqEJZqE-st6uFKPoI?usp=share_link")</f>
        <v>https://drive.google.com/drive/folders/10T2cTQHqEJZqE-st6uFKPoI?usp=share_link</v>
      </c>
      <c r="P1545" s="6" t="str">
        <f>IFERROR(__xludf.DUMMYFUNCTION("""COMPUTED_VALUE"""),"Ustym Babych")</f>
        <v>Ustym Babych</v>
      </c>
      <c r="Q1545" s="6" t="str">
        <f>IFERROR(__xludf.DUMMYFUNCTION("""COMPUTED_VALUE"""),"MS")</f>
        <v>MS</v>
      </c>
      <c r="R1545" s="6">
        <f>IFERROR(__xludf.DUMMYFUNCTION("""COMPUTED_VALUE"""),0.0)</f>
        <v>0</v>
      </c>
      <c r="S1545" s="6" t="str">
        <f>IFERROR(__xludf.DUMMYFUNCTION("""COMPUTED_VALUE""")," ")</f>
        <v> </v>
      </c>
      <c r="T1545" s="6" t="str">
        <f>IFERROR(__xludf.DUMMYFUNCTION("""COMPUTED_VALUE"""),"")</f>
        <v/>
      </c>
      <c r="U1545" s="6" t="str">
        <f>IFERROR(__xludf.DUMMYFUNCTION("""COMPUTED_VALUE"""),"6")</f>
        <v>6</v>
      </c>
      <c r="V1545" s="6" t="str">
        <f>IFERROR(__xludf.DUMMYFUNCTION("""COMPUTED_VALUE"""),"English")</f>
        <v>English</v>
      </c>
      <c r="W1545" s="6" t="str">
        <f>IFERROR(__xludf.DUMMYFUNCTION("""COMPUTED_VALUE"""),"[]")</f>
        <v>[]</v>
      </c>
      <c r="X1545" s="6" t="str">
        <f>IFERROR(__xludf.DUMMYFUNCTION("""COMPUTED_VALUE"""),"Enrolled")</f>
        <v>Enrolled</v>
      </c>
    </row>
    <row r="1546">
      <c r="A1546" s="6" t="str">
        <f>IFERROR(__xludf.DUMMYFUNCTION("""COMPUTED_VALUE"""),"009-1806")</f>
        <v>009-1806</v>
      </c>
      <c r="B1546" s="6" t="str">
        <f>IFERROR(__xludf.DUMMYFUNCTION("""COMPUTED_VALUE"""),"9")</f>
        <v>9</v>
      </c>
      <c r="C1546" s="6" t="str">
        <f>IFERROR(__xludf.DUMMYFUNCTION("""COMPUTED_VALUE"""),"1806")</f>
        <v>1806</v>
      </c>
      <c r="D1546" s="6" t="str">
        <f>IFERROR(__xludf.DUMMYFUNCTION("""COMPUTED_VALUE"""),"Anna")</f>
        <v>Anna</v>
      </c>
      <c r="E1546" s="6" t="str">
        <f>IFERROR(__xludf.DUMMYFUNCTION("""COMPUTED_VALUE"""),"")</f>
        <v/>
      </c>
      <c r="F1546" s="6" t="str">
        <f>IFERROR(__xludf.DUMMYFUNCTION("""COMPUTED_VALUE"""),"Andriichuk")</f>
        <v>Andriichuk</v>
      </c>
      <c r="G1546" s="6" t="str">
        <f>IFERROR(__xludf.DUMMYFUNCTION("""COMPUTED_VALUE"""),"01/01/2012")</f>
        <v>01/01/2012</v>
      </c>
      <c r="H1546" s="6" t="str">
        <f>IFERROR(__xludf.DUMMYFUNCTION("""COMPUTED_VALUE"""),"Self Identify")</f>
        <v>Self Identify</v>
      </c>
      <c r="I1546" s="6" t="str">
        <f>IFERROR(__xludf.DUMMYFUNCTION("""COMPUTED_VALUE"""),"Middle School")</f>
        <v>Middle School</v>
      </c>
      <c r="J1546" s="6" t="str">
        <f>IFERROR(__xludf.DUMMYFUNCTION("""COMPUTED_VALUE"""),"7")</f>
        <v>7</v>
      </c>
      <c r="K1546" s="6" t="str">
        <f>IFERROR(__xludf.DUMMYFUNCTION("""COMPUTED_VALUE"""),"anna.andriichuk@2hourlearning.com")</f>
        <v>anna.andriichuk@2hourlearning.com</v>
      </c>
      <c r="L1546" s="6" t="str">
        <f>IFERROR(__xludf.DUMMYFUNCTION("""COMPUTED_VALUE"""),"Learn and Earn Poland")</f>
        <v>Learn and Earn Poland</v>
      </c>
      <c r="M1546" s="6" t="str">
        <f>IFERROR(__xludf.DUMMYFUNCTION("""COMPUTED_VALUE"""),"Budapest Alpha")</f>
        <v>Budapest Alpha</v>
      </c>
      <c r="N1546" s="6" t="str">
        <f>IFERROR(__xludf.DUMMYFUNCTION("""COMPUTED_VALUE"""),"")</f>
        <v/>
      </c>
      <c r="O1546" s="87" t="str">
        <f>IFERROR(__xludf.DUMMYFUNCTION("""COMPUTED_VALUE"""),"https://drive.google.com/drive/folders/10T2cTQHqEJZqE-st6uFKPoI?usp=share_link")</f>
        <v>https://drive.google.com/drive/folders/10T2cTQHqEJZqE-st6uFKPoI?usp=share_link</v>
      </c>
      <c r="P1546" s="6" t="str">
        <f>IFERROR(__xludf.DUMMYFUNCTION("""COMPUTED_VALUE"""),"Anna Andriichuk")</f>
        <v>Anna Andriichuk</v>
      </c>
      <c r="Q1546" s="6" t="str">
        <f>IFERROR(__xludf.DUMMYFUNCTION("""COMPUTED_VALUE"""),"MS")</f>
        <v>MS</v>
      </c>
      <c r="R1546" s="6">
        <f>IFERROR(__xludf.DUMMYFUNCTION("""COMPUTED_VALUE"""),0.0)</f>
        <v>0</v>
      </c>
      <c r="S1546" s="6" t="str">
        <f>IFERROR(__xludf.DUMMYFUNCTION("""COMPUTED_VALUE""")," ")</f>
        <v> </v>
      </c>
      <c r="T1546" s="6" t="str">
        <f>IFERROR(__xludf.DUMMYFUNCTION("""COMPUTED_VALUE"""),"")</f>
        <v/>
      </c>
      <c r="U1546" s="6" t="str">
        <f>IFERROR(__xludf.DUMMYFUNCTION("""COMPUTED_VALUE"""),"7")</f>
        <v>7</v>
      </c>
      <c r="V1546" s="6" t="str">
        <f>IFERROR(__xludf.DUMMYFUNCTION("""COMPUTED_VALUE"""),"English")</f>
        <v>English</v>
      </c>
      <c r="W1546" s="6" t="str">
        <f>IFERROR(__xludf.DUMMYFUNCTION("""COMPUTED_VALUE"""),"[]")</f>
        <v>[]</v>
      </c>
      <c r="X1546" s="6" t="str">
        <f>IFERROR(__xludf.DUMMYFUNCTION("""COMPUTED_VALUE"""),"Enrolled")</f>
        <v>Enrolled</v>
      </c>
    </row>
    <row r="1547">
      <c r="A1547" s="6" t="str">
        <f>IFERROR(__xludf.DUMMYFUNCTION("""COMPUTED_VALUE"""),"009-1807")</f>
        <v>009-1807</v>
      </c>
      <c r="B1547" s="6" t="str">
        <f>IFERROR(__xludf.DUMMYFUNCTION("""COMPUTED_VALUE"""),"9")</f>
        <v>9</v>
      </c>
      <c r="C1547" s="6" t="str">
        <f>IFERROR(__xludf.DUMMYFUNCTION("""COMPUTED_VALUE"""),"1807")</f>
        <v>1807</v>
      </c>
      <c r="D1547" s="6" t="str">
        <f>IFERROR(__xludf.DUMMYFUNCTION("""COMPUTED_VALUE"""),"Kirill")</f>
        <v>Kirill</v>
      </c>
      <c r="E1547" s="6" t="str">
        <f>IFERROR(__xludf.DUMMYFUNCTION("""COMPUTED_VALUE"""),"")</f>
        <v/>
      </c>
      <c r="F1547" s="6" t="str">
        <f>IFERROR(__xludf.DUMMYFUNCTION("""COMPUTED_VALUE"""),"Kasianenko")</f>
        <v>Kasianenko</v>
      </c>
      <c r="G1547" s="6" t="str">
        <f>IFERROR(__xludf.DUMMYFUNCTION("""COMPUTED_VALUE"""),"01/01/2012")</f>
        <v>01/01/2012</v>
      </c>
      <c r="H1547" s="6" t="str">
        <f>IFERROR(__xludf.DUMMYFUNCTION("""COMPUTED_VALUE"""),"Self Identify")</f>
        <v>Self Identify</v>
      </c>
      <c r="I1547" s="6" t="str">
        <f>IFERROR(__xludf.DUMMYFUNCTION("""COMPUTED_VALUE"""),"Middle School")</f>
        <v>Middle School</v>
      </c>
      <c r="J1547" s="6" t="str">
        <f>IFERROR(__xludf.DUMMYFUNCTION("""COMPUTED_VALUE"""),"7")</f>
        <v>7</v>
      </c>
      <c r="K1547" s="6" t="str">
        <f>IFERROR(__xludf.DUMMYFUNCTION("""COMPUTED_VALUE"""),"kirill.kasianenko@2hourlearning.com")</f>
        <v>kirill.kasianenko@2hourlearning.com</v>
      </c>
      <c r="L1547" s="6" t="str">
        <f>IFERROR(__xludf.DUMMYFUNCTION("""COMPUTED_VALUE"""),"Learn and Earn Poland")</f>
        <v>Learn and Earn Poland</v>
      </c>
      <c r="M1547" s="6" t="str">
        <f>IFERROR(__xludf.DUMMYFUNCTION("""COMPUTED_VALUE"""),"Budapest ex-GTS")</f>
        <v>Budapest ex-GTS</v>
      </c>
      <c r="N1547" s="6" t="str">
        <f>IFERROR(__xludf.DUMMYFUNCTION("""COMPUTED_VALUE"""),"")</f>
        <v/>
      </c>
      <c r="O1547" s="87" t="str">
        <f>IFERROR(__xludf.DUMMYFUNCTION("""COMPUTED_VALUE"""),"https://drive.google.com/drive/folders/10T2cTQHqEJZqE-st6uFKPoI?usp=share_link")</f>
        <v>https://drive.google.com/drive/folders/10T2cTQHqEJZqE-st6uFKPoI?usp=share_link</v>
      </c>
      <c r="P1547" s="6" t="str">
        <f>IFERROR(__xludf.DUMMYFUNCTION("""COMPUTED_VALUE"""),"Kirill Kasianenko")</f>
        <v>Kirill Kasianenko</v>
      </c>
      <c r="Q1547" s="6" t="str">
        <f>IFERROR(__xludf.DUMMYFUNCTION("""COMPUTED_VALUE"""),"MS")</f>
        <v>MS</v>
      </c>
      <c r="R1547" s="6">
        <f>IFERROR(__xludf.DUMMYFUNCTION("""COMPUTED_VALUE"""),0.0)</f>
        <v>0</v>
      </c>
      <c r="S1547" s="6" t="str">
        <f>IFERROR(__xludf.DUMMYFUNCTION("""COMPUTED_VALUE""")," ")</f>
        <v> </v>
      </c>
      <c r="T1547" s="6" t="str">
        <f>IFERROR(__xludf.DUMMYFUNCTION("""COMPUTED_VALUE"""),"")</f>
        <v/>
      </c>
      <c r="U1547" s="6" t="str">
        <f>IFERROR(__xludf.DUMMYFUNCTION("""COMPUTED_VALUE"""),"7")</f>
        <v>7</v>
      </c>
      <c r="V1547" s="6" t="str">
        <f>IFERROR(__xludf.DUMMYFUNCTION("""COMPUTED_VALUE"""),"English")</f>
        <v>English</v>
      </c>
      <c r="W1547" s="6" t="str">
        <f>IFERROR(__xludf.DUMMYFUNCTION("""COMPUTED_VALUE"""),"[]")</f>
        <v>[]</v>
      </c>
      <c r="X1547" s="6" t="str">
        <f>IFERROR(__xludf.DUMMYFUNCTION("""COMPUTED_VALUE"""),"Enrolled")</f>
        <v>Enrolled</v>
      </c>
    </row>
    <row r="1548">
      <c r="A1548" s="6" t="str">
        <f>IFERROR(__xludf.DUMMYFUNCTION("""COMPUTED_VALUE"""),"009-1808")</f>
        <v>009-1808</v>
      </c>
      <c r="B1548" s="6" t="str">
        <f>IFERROR(__xludf.DUMMYFUNCTION("""COMPUTED_VALUE"""),"9")</f>
        <v>9</v>
      </c>
      <c r="C1548" s="6" t="str">
        <f>IFERROR(__xludf.DUMMYFUNCTION("""COMPUTED_VALUE"""),"1808")</f>
        <v>1808</v>
      </c>
      <c r="D1548" s="6" t="str">
        <f>IFERROR(__xludf.DUMMYFUNCTION("""COMPUTED_VALUE"""),"Olha")</f>
        <v>Olha</v>
      </c>
      <c r="E1548" s="6" t="str">
        <f>IFERROR(__xludf.DUMMYFUNCTION("""COMPUTED_VALUE"""),"")</f>
        <v/>
      </c>
      <c r="F1548" s="6" t="str">
        <f>IFERROR(__xludf.DUMMYFUNCTION("""COMPUTED_VALUE"""),"Kovalenko")</f>
        <v>Kovalenko</v>
      </c>
      <c r="G1548" s="6" t="str">
        <f>IFERROR(__xludf.DUMMYFUNCTION("""COMPUTED_VALUE"""),"01/01/2016")</f>
        <v>01/01/2016</v>
      </c>
      <c r="H1548" s="6" t="str">
        <f>IFERROR(__xludf.DUMMYFUNCTION("""COMPUTED_VALUE"""),"Self Identify")</f>
        <v>Self Identify</v>
      </c>
      <c r="I1548" s="6" t="str">
        <f>IFERROR(__xludf.DUMMYFUNCTION("""COMPUTED_VALUE"""),"Level 1")</f>
        <v>Level 1</v>
      </c>
      <c r="J1548" s="6" t="str">
        <f>IFERROR(__xludf.DUMMYFUNCTION("""COMPUTED_VALUE"""),"3")</f>
        <v>3</v>
      </c>
      <c r="K1548" s="6" t="str">
        <f>IFERROR(__xludf.DUMMYFUNCTION("""COMPUTED_VALUE"""),"olha.kovalenko@2hourlearning.com")</f>
        <v>olha.kovalenko@2hourlearning.com</v>
      </c>
      <c r="L1548" s="6" t="str">
        <f>IFERROR(__xludf.DUMMYFUNCTION("""COMPUTED_VALUE"""),"Learn and Earn Poland")</f>
        <v>Learn and Earn Poland</v>
      </c>
      <c r="M1548" s="6" t="str">
        <f>IFERROR(__xludf.DUMMYFUNCTION("""COMPUTED_VALUE"""),"Budapest Alpha")</f>
        <v>Budapest Alpha</v>
      </c>
      <c r="N1548" s="6" t="str">
        <f>IFERROR(__xludf.DUMMYFUNCTION("""COMPUTED_VALUE"""),"")</f>
        <v/>
      </c>
      <c r="O1548" s="87" t="str">
        <f>IFERROR(__xludf.DUMMYFUNCTION("""COMPUTED_VALUE"""),"https://drive.google.com/drive/folders/10T2cTQHqEJZqE-st6uFKPoI?usp=share_link")</f>
        <v>https://drive.google.com/drive/folders/10T2cTQHqEJZqE-st6uFKPoI?usp=share_link</v>
      </c>
      <c r="P1548" s="6" t="str">
        <f>IFERROR(__xludf.DUMMYFUNCTION("""COMPUTED_VALUE"""),"Olha Kovalenko")</f>
        <v>Olha Kovalenko</v>
      </c>
      <c r="Q1548" s="6" t="str">
        <f>IFERROR(__xludf.DUMMYFUNCTION("""COMPUTED_VALUE"""),"L1")</f>
        <v>L1</v>
      </c>
      <c r="R1548" s="6">
        <f>IFERROR(__xludf.DUMMYFUNCTION("""COMPUTED_VALUE"""),1.0)</f>
        <v>1</v>
      </c>
      <c r="S1548" s="6" t="str">
        <f>IFERROR(__xludf.DUMMYFUNCTION("""COMPUTED_VALUE""")," ")</f>
        <v> </v>
      </c>
      <c r="T1548" s="6" t="str">
        <f>IFERROR(__xludf.DUMMYFUNCTION("""COMPUTED_VALUE"""),"")</f>
        <v/>
      </c>
      <c r="U1548" s="6" t="str">
        <f>IFERROR(__xludf.DUMMYFUNCTION("""COMPUTED_VALUE"""),"3")</f>
        <v>3</v>
      </c>
      <c r="V1548" s="6" t="str">
        <f>IFERROR(__xludf.DUMMYFUNCTION("""COMPUTED_VALUE"""),"English")</f>
        <v>English</v>
      </c>
      <c r="W1548" s="6" t="str">
        <f>IFERROR(__xludf.DUMMYFUNCTION("""COMPUTED_VALUE"""),"[]")</f>
        <v>[]</v>
      </c>
      <c r="X1548" s="6" t="str">
        <f>IFERROR(__xludf.DUMMYFUNCTION("""COMPUTED_VALUE"""),"Enrolled")</f>
        <v>Enrolled</v>
      </c>
    </row>
    <row r="1549">
      <c r="A1549" s="6" t="str">
        <f>IFERROR(__xludf.DUMMYFUNCTION("""COMPUTED_VALUE"""),"009-1809")</f>
        <v>009-1809</v>
      </c>
      <c r="B1549" s="6" t="str">
        <f>IFERROR(__xludf.DUMMYFUNCTION("""COMPUTED_VALUE"""),"9")</f>
        <v>9</v>
      </c>
      <c r="C1549" s="6" t="str">
        <f>IFERROR(__xludf.DUMMYFUNCTION("""COMPUTED_VALUE"""),"1809")</f>
        <v>1809</v>
      </c>
      <c r="D1549" s="6" t="str">
        <f>IFERROR(__xludf.DUMMYFUNCTION("""COMPUTED_VALUE"""),"Daniel")</f>
        <v>Daniel</v>
      </c>
      <c r="E1549" s="6" t="str">
        <f>IFERROR(__xludf.DUMMYFUNCTION("""COMPUTED_VALUE"""),"")</f>
        <v/>
      </c>
      <c r="F1549" s="6" t="str">
        <f>IFERROR(__xludf.DUMMYFUNCTION("""COMPUTED_VALUE"""),"Lisiutkin")</f>
        <v>Lisiutkin</v>
      </c>
      <c r="G1549" s="6" t="str">
        <f>IFERROR(__xludf.DUMMYFUNCTION("""COMPUTED_VALUE"""),"01/01/2016")</f>
        <v>01/01/2016</v>
      </c>
      <c r="H1549" s="6" t="str">
        <f>IFERROR(__xludf.DUMMYFUNCTION("""COMPUTED_VALUE"""),"Self Identify")</f>
        <v>Self Identify</v>
      </c>
      <c r="I1549" s="6" t="str">
        <f>IFERROR(__xludf.DUMMYFUNCTION("""COMPUTED_VALUE"""),"Level 1")</f>
        <v>Level 1</v>
      </c>
      <c r="J1549" s="6" t="str">
        <f>IFERROR(__xludf.DUMMYFUNCTION("""COMPUTED_VALUE"""),"3")</f>
        <v>3</v>
      </c>
      <c r="K1549" s="6" t="str">
        <f>IFERROR(__xludf.DUMMYFUNCTION("""COMPUTED_VALUE"""),"lisiutkin.daniel@2hourlearning.com")</f>
        <v>lisiutkin.daniel@2hourlearning.com</v>
      </c>
      <c r="L1549" s="6" t="str">
        <f>IFERROR(__xludf.DUMMYFUNCTION("""COMPUTED_VALUE"""),"Learn and Earn Poland")</f>
        <v>Learn and Earn Poland</v>
      </c>
      <c r="M1549" s="6" t="str">
        <f>IFERROR(__xludf.DUMMYFUNCTION("""COMPUTED_VALUE"""),"Budapest ex-GTS")</f>
        <v>Budapest ex-GTS</v>
      </c>
      <c r="N1549" s="6" t="str">
        <f>IFERROR(__xludf.DUMMYFUNCTION("""COMPUTED_VALUE"""),"")</f>
        <v/>
      </c>
      <c r="O1549" s="87" t="str">
        <f>IFERROR(__xludf.DUMMYFUNCTION("""COMPUTED_VALUE"""),"https://drive.google.com/drive/folders/10T2cTQHqEJZqE-st6uFKPoI?usp=share_link")</f>
        <v>https://drive.google.com/drive/folders/10T2cTQHqEJZqE-st6uFKPoI?usp=share_link</v>
      </c>
      <c r="P1549" s="6" t="str">
        <f>IFERROR(__xludf.DUMMYFUNCTION("""COMPUTED_VALUE"""),"Daniel Lisiutkin")</f>
        <v>Daniel Lisiutkin</v>
      </c>
      <c r="Q1549" s="6" t="str">
        <f>IFERROR(__xludf.DUMMYFUNCTION("""COMPUTED_VALUE"""),"L1")</f>
        <v>L1</v>
      </c>
      <c r="R1549" s="6">
        <f>IFERROR(__xludf.DUMMYFUNCTION("""COMPUTED_VALUE"""),1.0)</f>
        <v>1</v>
      </c>
      <c r="S1549" s="6" t="str">
        <f>IFERROR(__xludf.DUMMYFUNCTION("""COMPUTED_VALUE""")," ")</f>
        <v> </v>
      </c>
      <c r="T1549" s="6" t="str">
        <f>IFERROR(__xludf.DUMMYFUNCTION("""COMPUTED_VALUE"""),"")</f>
        <v/>
      </c>
      <c r="U1549" s="6" t="str">
        <f>IFERROR(__xludf.DUMMYFUNCTION("""COMPUTED_VALUE"""),"3")</f>
        <v>3</v>
      </c>
      <c r="V1549" s="6" t="str">
        <f>IFERROR(__xludf.DUMMYFUNCTION("""COMPUTED_VALUE"""),"English")</f>
        <v>English</v>
      </c>
      <c r="W1549" s="6" t="str">
        <f>IFERROR(__xludf.DUMMYFUNCTION("""COMPUTED_VALUE"""),"[]")</f>
        <v>[]</v>
      </c>
      <c r="X1549" s="6" t="str">
        <f>IFERROR(__xludf.DUMMYFUNCTION("""COMPUTED_VALUE"""),"Enrolled")</f>
        <v>Enrolled</v>
      </c>
    </row>
    <row r="1550">
      <c r="A1550" s="6" t="str">
        <f>IFERROR(__xludf.DUMMYFUNCTION("""COMPUTED_VALUE"""),"009-1810")</f>
        <v>009-1810</v>
      </c>
      <c r="B1550" s="6" t="str">
        <f>IFERROR(__xludf.DUMMYFUNCTION("""COMPUTED_VALUE"""),"9")</f>
        <v>9</v>
      </c>
      <c r="C1550" s="6" t="str">
        <f>IFERROR(__xludf.DUMMYFUNCTION("""COMPUTED_VALUE"""),"1810")</f>
        <v>1810</v>
      </c>
      <c r="D1550" s="6" t="str">
        <f>IFERROR(__xludf.DUMMYFUNCTION("""COMPUTED_VALUE"""),"Antonina")</f>
        <v>Antonina</v>
      </c>
      <c r="E1550" s="6" t="str">
        <f>IFERROR(__xludf.DUMMYFUNCTION("""COMPUTED_VALUE"""),"")</f>
        <v/>
      </c>
      <c r="F1550" s="6" t="str">
        <f>IFERROR(__xludf.DUMMYFUNCTION("""COMPUTED_VALUE"""),"Dzyhar")</f>
        <v>Dzyhar</v>
      </c>
      <c r="G1550" s="6" t="str">
        <f>IFERROR(__xludf.DUMMYFUNCTION("""COMPUTED_VALUE"""),"01/01/2016")</f>
        <v>01/01/2016</v>
      </c>
      <c r="H1550" s="6" t="str">
        <f>IFERROR(__xludf.DUMMYFUNCTION("""COMPUTED_VALUE"""),"Self Identify")</f>
        <v>Self Identify</v>
      </c>
      <c r="I1550" s="6" t="str">
        <f>IFERROR(__xludf.DUMMYFUNCTION("""COMPUTED_VALUE"""),"Level 1")</f>
        <v>Level 1</v>
      </c>
      <c r="J1550" s="6" t="str">
        <f>IFERROR(__xludf.DUMMYFUNCTION("""COMPUTED_VALUE"""),"3")</f>
        <v>3</v>
      </c>
      <c r="K1550" s="6" t="str">
        <f>IFERROR(__xludf.DUMMYFUNCTION("""COMPUTED_VALUE"""),"antonina.dzyhar@2hourlearning.com")</f>
        <v>antonina.dzyhar@2hourlearning.com</v>
      </c>
      <c r="L1550" s="6" t="str">
        <f>IFERROR(__xludf.DUMMYFUNCTION("""COMPUTED_VALUE"""),"Learn and Earn Poland")</f>
        <v>Learn and Earn Poland</v>
      </c>
      <c r="M1550" s="6" t="str">
        <f>IFERROR(__xludf.DUMMYFUNCTION("""COMPUTED_VALUE"""),"Budapest ex-GTS")</f>
        <v>Budapest ex-GTS</v>
      </c>
      <c r="N1550" s="6" t="str">
        <f>IFERROR(__xludf.DUMMYFUNCTION("""COMPUTED_VALUE"""),"")</f>
        <v/>
      </c>
      <c r="O1550" s="87" t="str">
        <f>IFERROR(__xludf.DUMMYFUNCTION("""COMPUTED_VALUE"""),"https://drive.google.com/drive/folders/10T2cTQHqEJZqE-st6uFKPoI?usp=share_link")</f>
        <v>https://drive.google.com/drive/folders/10T2cTQHqEJZqE-st6uFKPoI?usp=share_link</v>
      </c>
      <c r="P1550" s="6" t="str">
        <f>IFERROR(__xludf.DUMMYFUNCTION("""COMPUTED_VALUE"""),"Antonina Dzyhar")</f>
        <v>Antonina Dzyhar</v>
      </c>
      <c r="Q1550" s="6" t="str">
        <f>IFERROR(__xludf.DUMMYFUNCTION("""COMPUTED_VALUE"""),"L1")</f>
        <v>L1</v>
      </c>
      <c r="R1550" s="6">
        <f>IFERROR(__xludf.DUMMYFUNCTION("""COMPUTED_VALUE"""),1.0)</f>
        <v>1</v>
      </c>
      <c r="S1550" s="6" t="str">
        <f>IFERROR(__xludf.DUMMYFUNCTION("""COMPUTED_VALUE""")," ")</f>
        <v> </v>
      </c>
      <c r="T1550" s="6" t="str">
        <f>IFERROR(__xludf.DUMMYFUNCTION("""COMPUTED_VALUE"""),"")</f>
        <v/>
      </c>
      <c r="U1550" s="6" t="str">
        <f>IFERROR(__xludf.DUMMYFUNCTION("""COMPUTED_VALUE"""),"3")</f>
        <v>3</v>
      </c>
      <c r="V1550" s="6" t="str">
        <f>IFERROR(__xludf.DUMMYFUNCTION("""COMPUTED_VALUE"""),"English")</f>
        <v>English</v>
      </c>
      <c r="W1550" s="6" t="str">
        <f>IFERROR(__xludf.DUMMYFUNCTION("""COMPUTED_VALUE"""),"[]")</f>
        <v>[]</v>
      </c>
      <c r="X1550" s="6" t="str">
        <f>IFERROR(__xludf.DUMMYFUNCTION("""COMPUTED_VALUE"""),"Enrolled")</f>
        <v>Enrolled</v>
      </c>
    </row>
    <row r="1551">
      <c r="A1551" s="6" t="str">
        <f>IFERROR(__xludf.DUMMYFUNCTION("""COMPUTED_VALUE"""),"009-1811")</f>
        <v>009-1811</v>
      </c>
      <c r="B1551" s="6" t="str">
        <f>IFERROR(__xludf.DUMMYFUNCTION("""COMPUTED_VALUE"""),"9")</f>
        <v>9</v>
      </c>
      <c r="C1551" s="6" t="str">
        <f>IFERROR(__xludf.DUMMYFUNCTION("""COMPUTED_VALUE"""),"1811")</f>
        <v>1811</v>
      </c>
      <c r="D1551" s="6" t="str">
        <f>IFERROR(__xludf.DUMMYFUNCTION("""COMPUTED_VALUE"""),"Mariia")</f>
        <v>Mariia</v>
      </c>
      <c r="E1551" s="6" t="str">
        <f>IFERROR(__xludf.DUMMYFUNCTION("""COMPUTED_VALUE"""),"")</f>
        <v/>
      </c>
      <c r="F1551" s="6" t="str">
        <f>IFERROR(__xludf.DUMMYFUNCTION("""COMPUTED_VALUE"""),"Torpitko")</f>
        <v>Torpitko</v>
      </c>
      <c r="G1551" s="6" t="str">
        <f>IFERROR(__xludf.DUMMYFUNCTION("""COMPUTED_VALUE"""),"01/01/2008")</f>
        <v>01/01/2008</v>
      </c>
      <c r="H1551" s="6" t="str">
        <f>IFERROR(__xludf.DUMMYFUNCTION("""COMPUTED_VALUE"""),"Self Identify")</f>
        <v>Self Identify</v>
      </c>
      <c r="I1551" s="6" t="str">
        <f>IFERROR(__xludf.DUMMYFUNCTION("""COMPUTED_VALUE"""),"High School")</f>
        <v>High School</v>
      </c>
      <c r="J1551" s="6" t="str">
        <f>IFERROR(__xludf.DUMMYFUNCTION("""COMPUTED_VALUE"""),"11")</f>
        <v>11</v>
      </c>
      <c r="K1551" s="6" t="str">
        <f>IFERROR(__xludf.DUMMYFUNCTION("""COMPUTED_VALUE"""),"mariia.torpitko@2hourlearning.com")</f>
        <v>mariia.torpitko@2hourlearning.com</v>
      </c>
      <c r="L1551" s="6" t="str">
        <f>IFERROR(__xludf.DUMMYFUNCTION("""COMPUTED_VALUE"""),"Learn and Earn Poland")</f>
        <v>Learn and Earn Poland</v>
      </c>
      <c r="M1551" s="6" t="str">
        <f>IFERROR(__xludf.DUMMYFUNCTION("""COMPUTED_VALUE"""),"Budapest Alpha")</f>
        <v>Budapest Alpha</v>
      </c>
      <c r="N1551" s="6" t="str">
        <f>IFERROR(__xludf.DUMMYFUNCTION("""COMPUTED_VALUE"""),"")</f>
        <v/>
      </c>
      <c r="O1551" s="87" t="str">
        <f>IFERROR(__xludf.DUMMYFUNCTION("""COMPUTED_VALUE"""),"https://drive.google.com/drive/folders/10T2cTQHqEJZqE-st6uFKPoI?usp=share_link")</f>
        <v>https://drive.google.com/drive/folders/10T2cTQHqEJZqE-st6uFKPoI?usp=share_link</v>
      </c>
      <c r="P1551" s="6" t="str">
        <f>IFERROR(__xludf.DUMMYFUNCTION("""COMPUTED_VALUE"""),"Mariia Torpitko")</f>
        <v>Mariia Torpitko</v>
      </c>
      <c r="Q1551" s="6" t="str">
        <f>IFERROR(__xludf.DUMMYFUNCTION("""COMPUTED_VALUE"""),"HS")</f>
        <v>HS</v>
      </c>
      <c r="R1551" s="6">
        <f>IFERROR(__xludf.DUMMYFUNCTION("""COMPUTED_VALUE"""),0.0)</f>
        <v>0</v>
      </c>
      <c r="S1551" s="6" t="str">
        <f>IFERROR(__xludf.DUMMYFUNCTION("""COMPUTED_VALUE""")," ")</f>
        <v> </v>
      </c>
      <c r="T1551" s="6" t="str">
        <f>IFERROR(__xludf.DUMMYFUNCTION("""COMPUTED_VALUE"""),"")</f>
        <v/>
      </c>
      <c r="U1551" s="6" t="str">
        <f>IFERROR(__xludf.DUMMYFUNCTION("""COMPUTED_VALUE"""),"11")</f>
        <v>11</v>
      </c>
      <c r="V1551" s="6" t="str">
        <f>IFERROR(__xludf.DUMMYFUNCTION("""COMPUTED_VALUE"""),"English")</f>
        <v>English</v>
      </c>
      <c r="W1551" s="6" t="str">
        <f>IFERROR(__xludf.DUMMYFUNCTION("""COMPUTED_VALUE"""),"[]")</f>
        <v>[]</v>
      </c>
      <c r="X1551" s="6" t="str">
        <f>IFERROR(__xludf.DUMMYFUNCTION("""COMPUTED_VALUE"""),"Enrolled")</f>
        <v>Enrolled</v>
      </c>
    </row>
    <row r="1552">
      <c r="A1552" s="6" t="str">
        <f>IFERROR(__xludf.DUMMYFUNCTION("""COMPUTED_VALUE"""),"009-1812")</f>
        <v>009-1812</v>
      </c>
      <c r="B1552" s="6" t="str">
        <f>IFERROR(__xludf.DUMMYFUNCTION("""COMPUTED_VALUE"""),"9")</f>
        <v>9</v>
      </c>
      <c r="C1552" s="6" t="str">
        <f>IFERROR(__xludf.DUMMYFUNCTION("""COMPUTED_VALUE"""),"1812")</f>
        <v>1812</v>
      </c>
      <c r="D1552" s="6" t="str">
        <f>IFERROR(__xludf.DUMMYFUNCTION("""COMPUTED_VALUE"""),"Oleksandra")</f>
        <v>Oleksandra</v>
      </c>
      <c r="E1552" s="6" t="str">
        <f>IFERROR(__xludf.DUMMYFUNCTION("""COMPUTED_VALUE"""),"")</f>
        <v/>
      </c>
      <c r="F1552" s="6" t="str">
        <f>IFERROR(__xludf.DUMMYFUNCTION("""COMPUTED_VALUE"""),"Lisiutkina")</f>
        <v>Lisiutkina</v>
      </c>
      <c r="G1552" s="6" t="str">
        <f>IFERROR(__xludf.DUMMYFUNCTION("""COMPUTED_VALUE"""),"01/01/2011")</f>
        <v>01/01/2011</v>
      </c>
      <c r="H1552" s="6" t="str">
        <f>IFERROR(__xludf.DUMMYFUNCTION("""COMPUTED_VALUE"""),"Self Identify")</f>
        <v>Self Identify</v>
      </c>
      <c r="I1552" s="6" t="str">
        <f>IFERROR(__xludf.DUMMYFUNCTION("""COMPUTED_VALUE"""),"Middle School")</f>
        <v>Middle School</v>
      </c>
      <c r="J1552" s="6" t="str">
        <f>IFERROR(__xludf.DUMMYFUNCTION("""COMPUTED_VALUE"""),"8")</f>
        <v>8</v>
      </c>
      <c r="K1552" s="6" t="str">
        <f>IFERROR(__xludf.DUMMYFUNCTION("""COMPUTED_VALUE"""),"lisiutkina.oleksandra@2hourlearning.com")</f>
        <v>lisiutkina.oleksandra@2hourlearning.com</v>
      </c>
      <c r="L1552" s="6" t="str">
        <f>IFERROR(__xludf.DUMMYFUNCTION("""COMPUTED_VALUE"""),"Learn and Earn Poland")</f>
        <v>Learn and Earn Poland</v>
      </c>
      <c r="M1552" s="6" t="str">
        <f>IFERROR(__xludf.DUMMYFUNCTION("""COMPUTED_VALUE"""),"Budapest ex-GTS")</f>
        <v>Budapest ex-GTS</v>
      </c>
      <c r="N1552" s="6" t="str">
        <f>IFERROR(__xludf.DUMMYFUNCTION("""COMPUTED_VALUE"""),"")</f>
        <v/>
      </c>
      <c r="O1552" s="87" t="str">
        <f>IFERROR(__xludf.DUMMYFUNCTION("""COMPUTED_VALUE"""),"https://drive.google.com/drive/folders/10T2cTQHqEJZqE-st6uFKPoI?usp=share_link")</f>
        <v>https://drive.google.com/drive/folders/10T2cTQHqEJZqE-st6uFKPoI?usp=share_link</v>
      </c>
      <c r="P1552" s="6" t="str">
        <f>IFERROR(__xludf.DUMMYFUNCTION("""COMPUTED_VALUE"""),"Oleksandra Lisiutkina")</f>
        <v>Oleksandra Lisiutkina</v>
      </c>
      <c r="Q1552" s="6" t="str">
        <f>IFERROR(__xludf.DUMMYFUNCTION("""COMPUTED_VALUE"""),"MS")</f>
        <v>MS</v>
      </c>
      <c r="R1552" s="6">
        <f>IFERROR(__xludf.DUMMYFUNCTION("""COMPUTED_VALUE"""),0.0)</f>
        <v>0</v>
      </c>
      <c r="S1552" s="6" t="str">
        <f>IFERROR(__xludf.DUMMYFUNCTION("""COMPUTED_VALUE""")," ")</f>
        <v> </v>
      </c>
      <c r="T1552" s="6" t="str">
        <f>IFERROR(__xludf.DUMMYFUNCTION("""COMPUTED_VALUE"""),"")</f>
        <v/>
      </c>
      <c r="U1552" s="6" t="str">
        <f>IFERROR(__xludf.DUMMYFUNCTION("""COMPUTED_VALUE"""),"8")</f>
        <v>8</v>
      </c>
      <c r="V1552" s="6" t="str">
        <f>IFERROR(__xludf.DUMMYFUNCTION("""COMPUTED_VALUE"""),"English")</f>
        <v>English</v>
      </c>
      <c r="W1552" s="6" t="str">
        <f>IFERROR(__xludf.DUMMYFUNCTION("""COMPUTED_VALUE"""),"[]")</f>
        <v>[]</v>
      </c>
      <c r="X1552" s="6" t="str">
        <f>IFERROR(__xludf.DUMMYFUNCTION("""COMPUTED_VALUE"""),"Enrolled")</f>
        <v>Enrolled</v>
      </c>
    </row>
    <row r="1553">
      <c r="A1553" s="6" t="str">
        <f>IFERROR(__xludf.DUMMYFUNCTION("""COMPUTED_VALUE"""),"009-1813")</f>
        <v>009-1813</v>
      </c>
      <c r="B1553" s="6" t="str">
        <f>IFERROR(__xludf.DUMMYFUNCTION("""COMPUTED_VALUE"""),"9")</f>
        <v>9</v>
      </c>
      <c r="C1553" s="6" t="str">
        <f>IFERROR(__xludf.DUMMYFUNCTION("""COMPUTED_VALUE"""),"1813")</f>
        <v>1813</v>
      </c>
      <c r="D1553" s="6" t="str">
        <f>IFERROR(__xludf.DUMMYFUNCTION("""COMPUTED_VALUE"""),"Szuzanna")</f>
        <v>Szuzanna</v>
      </c>
      <c r="E1553" s="6" t="str">
        <f>IFERROR(__xludf.DUMMYFUNCTION("""COMPUTED_VALUE"""),"")</f>
        <v/>
      </c>
      <c r="F1553" s="6" t="str">
        <f>IFERROR(__xludf.DUMMYFUNCTION("""COMPUTED_VALUE"""),"Nagy")</f>
        <v>Nagy</v>
      </c>
      <c r="G1553" s="6" t="str">
        <f>IFERROR(__xludf.DUMMYFUNCTION("""COMPUTED_VALUE"""),"01/01/2014")</f>
        <v>01/01/2014</v>
      </c>
      <c r="H1553" s="6" t="str">
        <f>IFERROR(__xludf.DUMMYFUNCTION("""COMPUTED_VALUE"""),"Self Identify")</f>
        <v>Self Identify</v>
      </c>
      <c r="I1553" s="6" t="str">
        <f>IFERROR(__xludf.DUMMYFUNCTION("""COMPUTED_VALUE"""),"Level 2")</f>
        <v>Level 2</v>
      </c>
      <c r="J1553" s="6" t="str">
        <f>IFERROR(__xludf.DUMMYFUNCTION("""COMPUTED_VALUE"""),"5")</f>
        <v>5</v>
      </c>
      <c r="K1553" s="6" t="str">
        <f>IFERROR(__xludf.DUMMYFUNCTION("""COMPUTED_VALUE"""),"nagy.szuzanna@2hourlearning.com")</f>
        <v>nagy.szuzanna@2hourlearning.com</v>
      </c>
      <c r="L1553" s="6" t="str">
        <f>IFERROR(__xludf.DUMMYFUNCTION("""COMPUTED_VALUE"""),"Learn and Earn Poland")</f>
        <v>Learn and Earn Poland</v>
      </c>
      <c r="M1553" s="6" t="str">
        <f>IFERROR(__xludf.DUMMYFUNCTION("""COMPUTED_VALUE"""),"Budapest Alpha")</f>
        <v>Budapest Alpha</v>
      </c>
      <c r="N1553" s="6" t="str">
        <f>IFERROR(__xludf.DUMMYFUNCTION("""COMPUTED_VALUE"""),"")</f>
        <v/>
      </c>
      <c r="O1553" s="87" t="str">
        <f>IFERROR(__xludf.DUMMYFUNCTION("""COMPUTED_VALUE"""),"https://drive.google.com/drive/folders/10T2cTQHqEJZqE-st6uFKPoI?usp=share_link")</f>
        <v>https://drive.google.com/drive/folders/10T2cTQHqEJZqE-st6uFKPoI?usp=share_link</v>
      </c>
      <c r="P1553" s="6" t="str">
        <f>IFERROR(__xludf.DUMMYFUNCTION("""COMPUTED_VALUE"""),"Szuzanna Nagy")</f>
        <v>Szuzanna Nagy</v>
      </c>
      <c r="Q1553" s="6" t="str">
        <f>IFERROR(__xludf.DUMMYFUNCTION("""COMPUTED_VALUE"""),"L2")</f>
        <v>L2</v>
      </c>
      <c r="R1553" s="6">
        <f>IFERROR(__xludf.DUMMYFUNCTION("""COMPUTED_VALUE"""),2.0)</f>
        <v>2</v>
      </c>
      <c r="S1553" s="6" t="str">
        <f>IFERROR(__xludf.DUMMYFUNCTION("""COMPUTED_VALUE""")," ")</f>
        <v> </v>
      </c>
      <c r="T1553" s="6" t="str">
        <f>IFERROR(__xludf.DUMMYFUNCTION("""COMPUTED_VALUE"""),"")</f>
        <v/>
      </c>
      <c r="U1553" s="6" t="str">
        <f>IFERROR(__xludf.DUMMYFUNCTION("""COMPUTED_VALUE"""),"5")</f>
        <v>5</v>
      </c>
      <c r="V1553" s="6" t="str">
        <f>IFERROR(__xludf.DUMMYFUNCTION("""COMPUTED_VALUE"""),"English")</f>
        <v>English</v>
      </c>
      <c r="W1553" s="6" t="str">
        <f>IFERROR(__xludf.DUMMYFUNCTION("""COMPUTED_VALUE"""),"[]")</f>
        <v>[]</v>
      </c>
      <c r="X1553" s="6" t="str">
        <f>IFERROR(__xludf.DUMMYFUNCTION("""COMPUTED_VALUE"""),"Enrolled")</f>
        <v>Enrolled</v>
      </c>
    </row>
    <row r="1554">
      <c r="A1554" s="6" t="str">
        <f>IFERROR(__xludf.DUMMYFUNCTION("""COMPUTED_VALUE"""),"009-1814")</f>
        <v>009-1814</v>
      </c>
      <c r="B1554" s="6" t="str">
        <f>IFERROR(__xludf.DUMMYFUNCTION("""COMPUTED_VALUE"""),"9")</f>
        <v>9</v>
      </c>
      <c r="C1554" s="6" t="str">
        <f>IFERROR(__xludf.DUMMYFUNCTION("""COMPUTED_VALUE"""),"1814")</f>
        <v>1814</v>
      </c>
      <c r="D1554" s="6" t="str">
        <f>IFERROR(__xludf.DUMMYFUNCTION("""COMPUTED_VALUE"""),"Bogdan")</f>
        <v>Bogdan</v>
      </c>
      <c r="E1554" s="6" t="str">
        <f>IFERROR(__xludf.DUMMYFUNCTION("""COMPUTED_VALUE"""),"")</f>
        <v/>
      </c>
      <c r="F1554" s="6" t="str">
        <f>IFERROR(__xludf.DUMMYFUNCTION("""COMPUTED_VALUE"""),"Kharlynskyi")</f>
        <v>Kharlynskyi</v>
      </c>
      <c r="G1554" s="6" t="str">
        <f>IFERROR(__xludf.DUMMYFUNCTION("""COMPUTED_VALUE"""),"01/01/2009")</f>
        <v>01/01/2009</v>
      </c>
      <c r="H1554" s="6" t="str">
        <f>IFERROR(__xludf.DUMMYFUNCTION("""COMPUTED_VALUE"""),"Self Identify")</f>
        <v>Self Identify</v>
      </c>
      <c r="I1554" s="6" t="str">
        <f>IFERROR(__xludf.DUMMYFUNCTION("""COMPUTED_VALUE"""),"High School")</f>
        <v>High School</v>
      </c>
      <c r="J1554" s="6" t="str">
        <f>IFERROR(__xludf.DUMMYFUNCTION("""COMPUTED_VALUE"""),"10")</f>
        <v>10</v>
      </c>
      <c r="K1554" s="6" t="str">
        <f>IFERROR(__xludf.DUMMYFUNCTION("""COMPUTED_VALUE"""),"kharlynskyi.bogdan@2hourlearning.com")</f>
        <v>kharlynskyi.bogdan@2hourlearning.com</v>
      </c>
      <c r="L1554" s="6" t="str">
        <f>IFERROR(__xludf.DUMMYFUNCTION("""COMPUTED_VALUE"""),"Learn and Earn Poland")</f>
        <v>Learn and Earn Poland</v>
      </c>
      <c r="M1554" s="6" t="str">
        <f>IFERROR(__xludf.DUMMYFUNCTION("""COMPUTED_VALUE"""),"Budapest ex-GTS")</f>
        <v>Budapest ex-GTS</v>
      </c>
      <c r="N1554" s="6" t="str">
        <f>IFERROR(__xludf.DUMMYFUNCTION("""COMPUTED_VALUE"""),"")</f>
        <v/>
      </c>
      <c r="O1554" s="87" t="str">
        <f>IFERROR(__xludf.DUMMYFUNCTION("""COMPUTED_VALUE"""),"https://drive.google.com/drive/folders/10T2cTQHqEJZqE-st6uFKPoI?usp=share_link")</f>
        <v>https://drive.google.com/drive/folders/10T2cTQHqEJZqE-st6uFKPoI?usp=share_link</v>
      </c>
      <c r="P1554" s="6" t="str">
        <f>IFERROR(__xludf.DUMMYFUNCTION("""COMPUTED_VALUE"""),"Bogdan Kharlynskyi")</f>
        <v>Bogdan Kharlynskyi</v>
      </c>
      <c r="Q1554" s="6" t="str">
        <f>IFERROR(__xludf.DUMMYFUNCTION("""COMPUTED_VALUE"""),"HS")</f>
        <v>HS</v>
      </c>
      <c r="R1554" s="6">
        <f>IFERROR(__xludf.DUMMYFUNCTION("""COMPUTED_VALUE"""),0.0)</f>
        <v>0</v>
      </c>
      <c r="S1554" s="6" t="str">
        <f>IFERROR(__xludf.DUMMYFUNCTION("""COMPUTED_VALUE""")," ")</f>
        <v> </v>
      </c>
      <c r="T1554" s="6" t="str">
        <f>IFERROR(__xludf.DUMMYFUNCTION("""COMPUTED_VALUE"""),"")</f>
        <v/>
      </c>
      <c r="U1554" s="6" t="str">
        <f>IFERROR(__xludf.DUMMYFUNCTION("""COMPUTED_VALUE"""),"10")</f>
        <v>10</v>
      </c>
      <c r="V1554" s="6" t="str">
        <f>IFERROR(__xludf.DUMMYFUNCTION("""COMPUTED_VALUE"""),"English")</f>
        <v>English</v>
      </c>
      <c r="W1554" s="6" t="str">
        <f>IFERROR(__xludf.DUMMYFUNCTION("""COMPUTED_VALUE"""),"[]")</f>
        <v>[]</v>
      </c>
      <c r="X1554" s="6" t="str">
        <f>IFERROR(__xludf.DUMMYFUNCTION("""COMPUTED_VALUE"""),"Enrolled")</f>
        <v>Enrolled</v>
      </c>
    </row>
    <row r="1555">
      <c r="A1555" s="6" t="str">
        <f>IFERROR(__xludf.DUMMYFUNCTION("""COMPUTED_VALUE"""),"009-1815")</f>
        <v>009-1815</v>
      </c>
      <c r="B1555" s="6" t="str">
        <f>IFERROR(__xludf.DUMMYFUNCTION("""COMPUTED_VALUE"""),"9")</f>
        <v>9</v>
      </c>
      <c r="C1555" s="6" t="str">
        <f>IFERROR(__xludf.DUMMYFUNCTION("""COMPUTED_VALUE"""),"1815")</f>
        <v>1815</v>
      </c>
      <c r="D1555" s="6" t="str">
        <f>IFERROR(__xludf.DUMMYFUNCTION("""COMPUTED_VALUE"""),"Maksym")</f>
        <v>Maksym</v>
      </c>
      <c r="E1555" s="6" t="str">
        <f>IFERROR(__xludf.DUMMYFUNCTION("""COMPUTED_VALUE"""),"")</f>
        <v/>
      </c>
      <c r="F1555" s="6" t="str">
        <f>IFERROR(__xludf.DUMMYFUNCTION("""COMPUTED_VALUE"""),"Zhyhin")</f>
        <v>Zhyhin</v>
      </c>
      <c r="G1555" s="6" t="str">
        <f>IFERROR(__xludf.DUMMYFUNCTION("""COMPUTED_VALUE"""),"01/01/2012")</f>
        <v>01/01/2012</v>
      </c>
      <c r="H1555" s="6" t="str">
        <f>IFERROR(__xludf.DUMMYFUNCTION("""COMPUTED_VALUE"""),"Self Identify")</f>
        <v>Self Identify</v>
      </c>
      <c r="I1555" s="6" t="str">
        <f>IFERROR(__xludf.DUMMYFUNCTION("""COMPUTED_VALUE"""),"Middle School")</f>
        <v>Middle School</v>
      </c>
      <c r="J1555" s="6" t="str">
        <f>IFERROR(__xludf.DUMMYFUNCTION("""COMPUTED_VALUE"""),"7")</f>
        <v>7</v>
      </c>
      <c r="K1555" s="6" t="str">
        <f>IFERROR(__xludf.DUMMYFUNCTION("""COMPUTED_VALUE"""),"zhyhin.maksym@2hourlearning.com")</f>
        <v>zhyhin.maksym@2hourlearning.com</v>
      </c>
      <c r="L1555" s="6" t="str">
        <f>IFERROR(__xludf.DUMMYFUNCTION("""COMPUTED_VALUE"""),"Learn and Earn Poland")</f>
        <v>Learn and Earn Poland</v>
      </c>
      <c r="M1555" s="6" t="str">
        <f>IFERROR(__xludf.DUMMYFUNCTION("""COMPUTED_VALUE"""),"Budapest Alpha")</f>
        <v>Budapest Alpha</v>
      </c>
      <c r="N1555" s="6" t="str">
        <f>IFERROR(__xludf.DUMMYFUNCTION("""COMPUTED_VALUE"""),"")</f>
        <v/>
      </c>
      <c r="O1555" s="87" t="str">
        <f>IFERROR(__xludf.DUMMYFUNCTION("""COMPUTED_VALUE"""),"https://drive.google.com/drive/folders/10T2cTQHqEJZqE-st6uFKPoI?usp=share_link")</f>
        <v>https://drive.google.com/drive/folders/10T2cTQHqEJZqE-st6uFKPoI?usp=share_link</v>
      </c>
      <c r="P1555" s="6" t="str">
        <f>IFERROR(__xludf.DUMMYFUNCTION("""COMPUTED_VALUE"""),"Maksym Zhyhin")</f>
        <v>Maksym Zhyhin</v>
      </c>
      <c r="Q1555" s="6" t="str">
        <f>IFERROR(__xludf.DUMMYFUNCTION("""COMPUTED_VALUE"""),"MS")</f>
        <v>MS</v>
      </c>
      <c r="R1555" s="6">
        <f>IFERROR(__xludf.DUMMYFUNCTION("""COMPUTED_VALUE"""),0.0)</f>
        <v>0</v>
      </c>
      <c r="S1555" s="6" t="str">
        <f>IFERROR(__xludf.DUMMYFUNCTION("""COMPUTED_VALUE""")," ")</f>
        <v> </v>
      </c>
      <c r="T1555" s="6" t="str">
        <f>IFERROR(__xludf.DUMMYFUNCTION("""COMPUTED_VALUE"""),"")</f>
        <v/>
      </c>
      <c r="U1555" s="6" t="str">
        <f>IFERROR(__xludf.DUMMYFUNCTION("""COMPUTED_VALUE"""),"7")</f>
        <v>7</v>
      </c>
      <c r="V1555" s="6" t="str">
        <f>IFERROR(__xludf.DUMMYFUNCTION("""COMPUTED_VALUE"""),"English")</f>
        <v>English</v>
      </c>
      <c r="W1555" s="6" t="str">
        <f>IFERROR(__xludf.DUMMYFUNCTION("""COMPUTED_VALUE"""),"[]")</f>
        <v>[]</v>
      </c>
      <c r="X1555" s="6" t="str">
        <f>IFERROR(__xludf.DUMMYFUNCTION("""COMPUTED_VALUE"""),"Enrolled")</f>
        <v>Enrolled</v>
      </c>
    </row>
    <row r="1556">
      <c r="A1556" s="6" t="str">
        <f>IFERROR(__xludf.DUMMYFUNCTION("""COMPUTED_VALUE"""),"009-1816")</f>
        <v>009-1816</v>
      </c>
      <c r="B1556" s="6" t="str">
        <f>IFERROR(__xludf.DUMMYFUNCTION("""COMPUTED_VALUE"""),"9")</f>
        <v>9</v>
      </c>
      <c r="C1556" s="6" t="str">
        <f>IFERROR(__xludf.DUMMYFUNCTION("""COMPUTED_VALUE"""),"1816")</f>
        <v>1816</v>
      </c>
      <c r="D1556" s="6" t="str">
        <f>IFERROR(__xludf.DUMMYFUNCTION("""COMPUTED_VALUE"""),"Nikita")</f>
        <v>Nikita</v>
      </c>
      <c r="E1556" s="6" t="str">
        <f>IFERROR(__xludf.DUMMYFUNCTION("""COMPUTED_VALUE"""),"")</f>
        <v/>
      </c>
      <c r="F1556" s="6" t="str">
        <f>IFERROR(__xludf.DUMMYFUNCTION("""COMPUTED_VALUE"""),"Bosenko")</f>
        <v>Bosenko</v>
      </c>
      <c r="G1556" s="6" t="str">
        <f>IFERROR(__xludf.DUMMYFUNCTION("""COMPUTED_VALUE"""),"01/01/2011")</f>
        <v>01/01/2011</v>
      </c>
      <c r="H1556" s="6" t="str">
        <f>IFERROR(__xludf.DUMMYFUNCTION("""COMPUTED_VALUE"""),"Self Identify")</f>
        <v>Self Identify</v>
      </c>
      <c r="I1556" s="6" t="str">
        <f>IFERROR(__xludf.DUMMYFUNCTION("""COMPUTED_VALUE"""),"Middle School")</f>
        <v>Middle School</v>
      </c>
      <c r="J1556" s="6" t="str">
        <f>IFERROR(__xludf.DUMMYFUNCTION("""COMPUTED_VALUE"""),"8")</f>
        <v>8</v>
      </c>
      <c r="K1556" s="6" t="str">
        <f>IFERROR(__xludf.DUMMYFUNCTION("""COMPUTED_VALUE"""),"nikita.bosenko@2hourlearning.com")</f>
        <v>nikita.bosenko@2hourlearning.com</v>
      </c>
      <c r="L1556" s="6" t="str">
        <f>IFERROR(__xludf.DUMMYFUNCTION("""COMPUTED_VALUE"""),"Learn and Earn Poland")</f>
        <v>Learn and Earn Poland</v>
      </c>
      <c r="M1556" s="6" t="str">
        <f>IFERROR(__xludf.DUMMYFUNCTION("""COMPUTED_VALUE"""),"Budapest Alpha")</f>
        <v>Budapest Alpha</v>
      </c>
      <c r="N1556" s="6" t="str">
        <f>IFERROR(__xludf.DUMMYFUNCTION("""COMPUTED_VALUE"""),"")</f>
        <v/>
      </c>
      <c r="O1556" s="87" t="str">
        <f>IFERROR(__xludf.DUMMYFUNCTION("""COMPUTED_VALUE"""),"https://drive.google.com/drive/folders/10T2cTQHqEJZqE-st6uFKPoI?usp=share_link")</f>
        <v>https://drive.google.com/drive/folders/10T2cTQHqEJZqE-st6uFKPoI?usp=share_link</v>
      </c>
      <c r="P1556" s="6" t="str">
        <f>IFERROR(__xludf.DUMMYFUNCTION("""COMPUTED_VALUE"""),"Nikita Bosenko")</f>
        <v>Nikita Bosenko</v>
      </c>
      <c r="Q1556" s="6" t="str">
        <f>IFERROR(__xludf.DUMMYFUNCTION("""COMPUTED_VALUE"""),"MS")</f>
        <v>MS</v>
      </c>
      <c r="R1556" s="6">
        <f>IFERROR(__xludf.DUMMYFUNCTION("""COMPUTED_VALUE"""),0.0)</f>
        <v>0</v>
      </c>
      <c r="S1556" s="6" t="str">
        <f>IFERROR(__xludf.DUMMYFUNCTION("""COMPUTED_VALUE""")," ")</f>
        <v> </v>
      </c>
      <c r="T1556" s="6" t="str">
        <f>IFERROR(__xludf.DUMMYFUNCTION("""COMPUTED_VALUE"""),"")</f>
        <v/>
      </c>
      <c r="U1556" s="6" t="str">
        <f>IFERROR(__xludf.DUMMYFUNCTION("""COMPUTED_VALUE"""),"8")</f>
        <v>8</v>
      </c>
      <c r="V1556" s="6" t="str">
        <f>IFERROR(__xludf.DUMMYFUNCTION("""COMPUTED_VALUE"""),"English")</f>
        <v>English</v>
      </c>
      <c r="W1556" s="6" t="str">
        <f>IFERROR(__xludf.DUMMYFUNCTION("""COMPUTED_VALUE"""),"[]")</f>
        <v>[]</v>
      </c>
      <c r="X1556" s="6" t="str">
        <f>IFERROR(__xludf.DUMMYFUNCTION("""COMPUTED_VALUE"""),"Enrolled")</f>
        <v>Enrolled</v>
      </c>
    </row>
    <row r="1557">
      <c r="A1557" s="6" t="str">
        <f>IFERROR(__xludf.DUMMYFUNCTION("""COMPUTED_VALUE"""),"009-1817")</f>
        <v>009-1817</v>
      </c>
      <c r="B1557" s="6" t="str">
        <f>IFERROR(__xludf.DUMMYFUNCTION("""COMPUTED_VALUE"""),"9")</f>
        <v>9</v>
      </c>
      <c r="C1557" s="6" t="str">
        <f>IFERROR(__xludf.DUMMYFUNCTION("""COMPUTED_VALUE"""),"1817")</f>
        <v>1817</v>
      </c>
      <c r="D1557" s="6" t="str">
        <f>IFERROR(__xludf.DUMMYFUNCTION("""COMPUTED_VALUE"""),"Milan")</f>
        <v>Milan</v>
      </c>
      <c r="E1557" s="6" t="str">
        <f>IFERROR(__xludf.DUMMYFUNCTION("""COMPUTED_VALUE"""),"")</f>
        <v/>
      </c>
      <c r="F1557" s="6" t="str">
        <f>IFERROR(__xludf.DUMMYFUNCTION("""COMPUTED_VALUE"""),"Marosi")</f>
        <v>Marosi</v>
      </c>
      <c r="G1557" s="6" t="str">
        <f>IFERROR(__xludf.DUMMYFUNCTION("""COMPUTED_VALUE"""),"01/01/2008")</f>
        <v>01/01/2008</v>
      </c>
      <c r="H1557" s="6" t="str">
        <f>IFERROR(__xludf.DUMMYFUNCTION("""COMPUTED_VALUE"""),"Self Identify")</f>
        <v>Self Identify</v>
      </c>
      <c r="I1557" s="6" t="str">
        <f>IFERROR(__xludf.DUMMYFUNCTION("""COMPUTED_VALUE"""),"High School")</f>
        <v>High School</v>
      </c>
      <c r="J1557" s="6" t="str">
        <f>IFERROR(__xludf.DUMMYFUNCTION("""COMPUTED_VALUE"""),"11")</f>
        <v>11</v>
      </c>
      <c r="K1557" s="6" t="str">
        <f>IFERROR(__xludf.DUMMYFUNCTION("""COMPUTED_VALUE"""),"milan.marosi@2hourlearning.com")</f>
        <v>milan.marosi@2hourlearning.com</v>
      </c>
      <c r="L1557" s="6" t="str">
        <f>IFERROR(__xludf.DUMMYFUNCTION("""COMPUTED_VALUE"""),"Learn and Earn Poland")</f>
        <v>Learn and Earn Poland</v>
      </c>
      <c r="M1557" s="6" t="str">
        <f>IFERROR(__xludf.DUMMYFUNCTION("""COMPUTED_VALUE"""),"Budapest Alpha")</f>
        <v>Budapest Alpha</v>
      </c>
      <c r="N1557" s="6" t="str">
        <f>IFERROR(__xludf.DUMMYFUNCTION("""COMPUTED_VALUE"""),"")</f>
        <v/>
      </c>
      <c r="O1557" s="87" t="str">
        <f>IFERROR(__xludf.DUMMYFUNCTION("""COMPUTED_VALUE"""),"https://drive.google.com/drive/folders/10T2cTQHqEJZqE-st6uFKPoI?usp=share_link")</f>
        <v>https://drive.google.com/drive/folders/10T2cTQHqEJZqE-st6uFKPoI?usp=share_link</v>
      </c>
      <c r="P1557" s="6" t="str">
        <f>IFERROR(__xludf.DUMMYFUNCTION("""COMPUTED_VALUE"""),"Milan Marosi")</f>
        <v>Milan Marosi</v>
      </c>
      <c r="Q1557" s="6" t="str">
        <f>IFERROR(__xludf.DUMMYFUNCTION("""COMPUTED_VALUE"""),"HS")</f>
        <v>HS</v>
      </c>
      <c r="R1557" s="6">
        <f>IFERROR(__xludf.DUMMYFUNCTION("""COMPUTED_VALUE"""),0.0)</f>
        <v>0</v>
      </c>
      <c r="S1557" s="6" t="str">
        <f>IFERROR(__xludf.DUMMYFUNCTION("""COMPUTED_VALUE""")," ")</f>
        <v> </v>
      </c>
      <c r="T1557" s="6" t="str">
        <f>IFERROR(__xludf.DUMMYFUNCTION("""COMPUTED_VALUE"""),"")</f>
        <v/>
      </c>
      <c r="U1557" s="6" t="str">
        <f>IFERROR(__xludf.DUMMYFUNCTION("""COMPUTED_VALUE"""),"11")</f>
        <v>11</v>
      </c>
      <c r="V1557" s="6" t="str">
        <f>IFERROR(__xludf.DUMMYFUNCTION("""COMPUTED_VALUE"""),"English")</f>
        <v>English</v>
      </c>
      <c r="W1557" s="6" t="str">
        <f>IFERROR(__xludf.DUMMYFUNCTION("""COMPUTED_VALUE"""),"[]")</f>
        <v>[]</v>
      </c>
      <c r="X1557" s="6" t="str">
        <f>IFERROR(__xludf.DUMMYFUNCTION("""COMPUTED_VALUE"""),"Enrolled")</f>
        <v>Enrolled</v>
      </c>
    </row>
    <row r="1558">
      <c r="A1558" s="6" t="str">
        <f>IFERROR(__xludf.DUMMYFUNCTION("""COMPUTED_VALUE"""),"009-1818")</f>
        <v>009-1818</v>
      </c>
      <c r="B1558" s="6" t="str">
        <f>IFERROR(__xludf.DUMMYFUNCTION("""COMPUTED_VALUE"""),"9")</f>
        <v>9</v>
      </c>
      <c r="C1558" s="6" t="str">
        <f>IFERROR(__xludf.DUMMYFUNCTION("""COMPUTED_VALUE"""),"1818")</f>
        <v>1818</v>
      </c>
      <c r="D1558" s="6" t="str">
        <f>IFERROR(__xludf.DUMMYFUNCTION("""COMPUTED_VALUE"""),"Maxim")</f>
        <v>Maxim</v>
      </c>
      <c r="E1558" s="6" t="str">
        <f>IFERROR(__xludf.DUMMYFUNCTION("""COMPUTED_VALUE"""),"")</f>
        <v/>
      </c>
      <c r="F1558" s="6" t="str">
        <f>IFERROR(__xludf.DUMMYFUNCTION("""COMPUTED_VALUE"""),"Moldavcsuk")</f>
        <v>Moldavcsuk</v>
      </c>
      <c r="G1558" s="6" t="str">
        <f>IFERROR(__xludf.DUMMYFUNCTION("""COMPUTED_VALUE"""),"01/01/2012")</f>
        <v>01/01/2012</v>
      </c>
      <c r="H1558" s="6" t="str">
        <f>IFERROR(__xludf.DUMMYFUNCTION("""COMPUTED_VALUE"""),"Self Identify")</f>
        <v>Self Identify</v>
      </c>
      <c r="I1558" s="6" t="str">
        <f>IFERROR(__xludf.DUMMYFUNCTION("""COMPUTED_VALUE"""),"Middle School")</f>
        <v>Middle School</v>
      </c>
      <c r="J1558" s="6" t="str">
        <f>IFERROR(__xludf.DUMMYFUNCTION("""COMPUTED_VALUE"""),"7")</f>
        <v>7</v>
      </c>
      <c r="K1558" s="6" t="str">
        <f>IFERROR(__xludf.DUMMYFUNCTION("""COMPUTED_VALUE"""),"maxim.moldavcsuk@2hourlearning.com")</f>
        <v>maxim.moldavcsuk@2hourlearning.com</v>
      </c>
      <c r="L1558" s="6" t="str">
        <f>IFERROR(__xludf.DUMMYFUNCTION("""COMPUTED_VALUE"""),"Learn and Earn Poland")</f>
        <v>Learn and Earn Poland</v>
      </c>
      <c r="M1558" s="6" t="str">
        <f>IFERROR(__xludf.DUMMYFUNCTION("""COMPUTED_VALUE"""),"Budapest ex-GTS")</f>
        <v>Budapest ex-GTS</v>
      </c>
      <c r="N1558" s="6" t="str">
        <f>IFERROR(__xludf.DUMMYFUNCTION("""COMPUTED_VALUE"""),"")</f>
        <v/>
      </c>
      <c r="O1558" s="87" t="str">
        <f>IFERROR(__xludf.DUMMYFUNCTION("""COMPUTED_VALUE"""),"https://drive.google.com/drive/folders/10T2cTQHqEJZqE-st6uFKPoI?usp=share_link")</f>
        <v>https://drive.google.com/drive/folders/10T2cTQHqEJZqE-st6uFKPoI?usp=share_link</v>
      </c>
      <c r="P1558" s="6" t="str">
        <f>IFERROR(__xludf.DUMMYFUNCTION("""COMPUTED_VALUE"""),"Maxim Moldavcsuk")</f>
        <v>Maxim Moldavcsuk</v>
      </c>
      <c r="Q1558" s="6" t="str">
        <f>IFERROR(__xludf.DUMMYFUNCTION("""COMPUTED_VALUE"""),"MS")</f>
        <v>MS</v>
      </c>
      <c r="R1558" s="6">
        <f>IFERROR(__xludf.DUMMYFUNCTION("""COMPUTED_VALUE"""),0.0)</f>
        <v>0</v>
      </c>
      <c r="S1558" s="6" t="str">
        <f>IFERROR(__xludf.DUMMYFUNCTION("""COMPUTED_VALUE""")," ")</f>
        <v> </v>
      </c>
      <c r="T1558" s="6" t="str">
        <f>IFERROR(__xludf.DUMMYFUNCTION("""COMPUTED_VALUE"""),"")</f>
        <v/>
      </c>
      <c r="U1558" s="6" t="str">
        <f>IFERROR(__xludf.DUMMYFUNCTION("""COMPUTED_VALUE"""),"7")</f>
        <v>7</v>
      </c>
      <c r="V1558" s="6" t="str">
        <f>IFERROR(__xludf.DUMMYFUNCTION("""COMPUTED_VALUE"""),"English")</f>
        <v>English</v>
      </c>
      <c r="W1558" s="6" t="str">
        <f>IFERROR(__xludf.DUMMYFUNCTION("""COMPUTED_VALUE"""),"[]")</f>
        <v>[]</v>
      </c>
      <c r="X1558" s="6" t="str">
        <f>IFERROR(__xludf.DUMMYFUNCTION("""COMPUTED_VALUE"""),"Enrolled")</f>
        <v>Enrolled</v>
      </c>
    </row>
    <row r="1559">
      <c r="A1559" s="6" t="str">
        <f>IFERROR(__xludf.DUMMYFUNCTION("""COMPUTED_VALUE"""),"009-1819")</f>
        <v>009-1819</v>
      </c>
      <c r="B1559" s="6" t="str">
        <f>IFERROR(__xludf.DUMMYFUNCTION("""COMPUTED_VALUE"""),"9")</f>
        <v>9</v>
      </c>
      <c r="C1559" s="6" t="str">
        <f>IFERROR(__xludf.DUMMYFUNCTION("""COMPUTED_VALUE"""),"1819")</f>
        <v>1819</v>
      </c>
      <c r="D1559" s="6" t="str">
        <f>IFERROR(__xludf.DUMMYFUNCTION("""COMPUTED_VALUE"""),"Dmytro")</f>
        <v>Dmytro</v>
      </c>
      <c r="E1559" s="6" t="str">
        <f>IFERROR(__xludf.DUMMYFUNCTION("""COMPUTED_VALUE"""),"")</f>
        <v/>
      </c>
      <c r="F1559" s="6" t="str">
        <f>IFERROR(__xludf.DUMMYFUNCTION("""COMPUTED_VALUE"""),"Rechenskyi")</f>
        <v>Rechenskyi</v>
      </c>
      <c r="G1559" s="6" t="str">
        <f>IFERROR(__xludf.DUMMYFUNCTION("""COMPUTED_VALUE"""),"07/01/2016")</f>
        <v>07/01/2016</v>
      </c>
      <c r="H1559" s="6" t="str">
        <f>IFERROR(__xludf.DUMMYFUNCTION("""COMPUTED_VALUE"""),"Self Identify")</f>
        <v>Self Identify</v>
      </c>
      <c r="I1559" s="6" t="str">
        <f>IFERROR(__xludf.DUMMYFUNCTION("""COMPUTED_VALUE"""),"Level 2")</f>
        <v>Level 2</v>
      </c>
      <c r="J1559" s="6" t="str">
        <f>IFERROR(__xludf.DUMMYFUNCTION("""COMPUTED_VALUE"""),"4")</f>
        <v>4</v>
      </c>
      <c r="K1559" s="6" t="str">
        <f>IFERROR(__xludf.DUMMYFUNCTION("""COMPUTED_VALUE"""),"dmytro.rechenskyi@2hourlearning.com")</f>
        <v>dmytro.rechenskyi@2hourlearning.com</v>
      </c>
      <c r="L1559" s="6" t="str">
        <f>IFERROR(__xludf.DUMMYFUNCTION("""COMPUTED_VALUE"""),"Learn and Earn Poland")</f>
        <v>Learn and Earn Poland</v>
      </c>
      <c r="M1559" s="6" t="str">
        <f>IFERROR(__xludf.DUMMYFUNCTION("""COMPUTED_VALUE"""),"Poland ex-GTS")</f>
        <v>Poland ex-GTS</v>
      </c>
      <c r="N1559" s="6" t="str">
        <f>IFERROR(__xludf.DUMMYFUNCTION("""COMPUTED_VALUE"""),"")</f>
        <v/>
      </c>
      <c r="O1559" s="87" t="str">
        <f>IFERROR(__xludf.DUMMYFUNCTION("""COMPUTED_VALUE"""),"https://drive.google.com/drive/folders/10T2cTQHqEJZqE-st6uFKPoI?usp=share_link")</f>
        <v>https://drive.google.com/drive/folders/10T2cTQHqEJZqE-st6uFKPoI?usp=share_link</v>
      </c>
      <c r="P1559" s="6" t="str">
        <f>IFERROR(__xludf.DUMMYFUNCTION("""COMPUTED_VALUE"""),"Dmytro Rechenskyi")</f>
        <v>Dmytro Rechenskyi</v>
      </c>
      <c r="Q1559" s="6" t="str">
        <f>IFERROR(__xludf.DUMMYFUNCTION("""COMPUTED_VALUE"""),"L2")</f>
        <v>L2</v>
      </c>
      <c r="R1559" s="6">
        <f>IFERROR(__xludf.DUMMYFUNCTION("""COMPUTED_VALUE"""),2.0)</f>
        <v>2</v>
      </c>
      <c r="S1559" s="6" t="str">
        <f>IFERROR(__xludf.DUMMYFUNCTION("""COMPUTED_VALUE""")," ")</f>
        <v> </v>
      </c>
      <c r="T1559" s="6" t="str">
        <f>IFERROR(__xludf.DUMMYFUNCTION("""COMPUTED_VALUE"""),"")</f>
        <v/>
      </c>
      <c r="U1559" s="6" t="str">
        <f>IFERROR(__xludf.DUMMYFUNCTION("""COMPUTED_VALUE"""),"4")</f>
        <v>4</v>
      </c>
      <c r="V1559" s="6" t="str">
        <f>IFERROR(__xludf.DUMMYFUNCTION("""COMPUTED_VALUE"""),"English")</f>
        <v>English</v>
      </c>
      <c r="W1559" s="6" t="str">
        <f>IFERROR(__xludf.DUMMYFUNCTION("""COMPUTED_VALUE"""),"[]")</f>
        <v>[]</v>
      </c>
      <c r="X1559" s="6" t="str">
        <f>IFERROR(__xludf.DUMMYFUNCTION("""COMPUTED_VALUE"""),"Enrolled")</f>
        <v>Enrolled</v>
      </c>
    </row>
    <row r="1560">
      <c r="A1560" s="6" t="str">
        <f>IFERROR(__xludf.DUMMYFUNCTION("""COMPUTED_VALUE"""),"009-1820")</f>
        <v>009-1820</v>
      </c>
      <c r="B1560" s="6" t="str">
        <f>IFERROR(__xludf.DUMMYFUNCTION("""COMPUTED_VALUE"""),"9")</f>
        <v>9</v>
      </c>
      <c r="C1560" s="6" t="str">
        <f>IFERROR(__xludf.DUMMYFUNCTION("""COMPUTED_VALUE"""),"1820")</f>
        <v>1820</v>
      </c>
      <c r="D1560" s="6" t="str">
        <f>IFERROR(__xludf.DUMMYFUNCTION("""COMPUTED_VALUE"""),"Denys")</f>
        <v>Denys</v>
      </c>
      <c r="E1560" s="6" t="str">
        <f>IFERROR(__xludf.DUMMYFUNCTION("""COMPUTED_VALUE"""),"")</f>
        <v/>
      </c>
      <c r="F1560" s="6" t="str">
        <f>IFERROR(__xludf.DUMMYFUNCTION("""COMPUTED_VALUE"""),"Sani P")</f>
        <v>Sani P</v>
      </c>
      <c r="G1560" s="6" t="str">
        <f>IFERROR(__xludf.DUMMYFUNCTION("""COMPUTED_VALUE"""),"07/01/2016")</f>
        <v>07/01/2016</v>
      </c>
      <c r="H1560" s="6" t="str">
        <f>IFERROR(__xludf.DUMMYFUNCTION("""COMPUTED_VALUE"""),"Self Identify")</f>
        <v>Self Identify</v>
      </c>
      <c r="I1560" s="6" t="str">
        <f>IFERROR(__xludf.DUMMYFUNCTION("""COMPUTED_VALUE"""),"Level 2")</f>
        <v>Level 2</v>
      </c>
      <c r="J1560" s="6" t="str">
        <f>IFERROR(__xludf.DUMMYFUNCTION("""COMPUTED_VALUE"""),"4")</f>
        <v>4</v>
      </c>
      <c r="K1560" s="6" t="str">
        <f>IFERROR(__xludf.DUMMYFUNCTION("""COMPUTED_VALUE"""),"denys.sanip@2hourlearning.com")</f>
        <v>denys.sanip@2hourlearning.com</v>
      </c>
      <c r="L1560" s="6" t="str">
        <f>IFERROR(__xludf.DUMMYFUNCTION("""COMPUTED_VALUE"""),"Learn and Earn Poland")</f>
        <v>Learn and Earn Poland</v>
      </c>
      <c r="M1560" s="6" t="str">
        <f>IFERROR(__xludf.DUMMYFUNCTION("""COMPUTED_VALUE"""),"Poland ex-GTS")</f>
        <v>Poland ex-GTS</v>
      </c>
      <c r="N1560" s="6" t="str">
        <f>IFERROR(__xludf.DUMMYFUNCTION("""COMPUTED_VALUE"""),"")</f>
        <v/>
      </c>
      <c r="O1560" s="87" t="str">
        <f>IFERROR(__xludf.DUMMYFUNCTION("""COMPUTED_VALUE"""),"https://drive.google.com/drive/folders/10T2cTQHqEJZqE-st6uFKPoI?usp=share_link")</f>
        <v>https://drive.google.com/drive/folders/10T2cTQHqEJZqE-st6uFKPoI?usp=share_link</v>
      </c>
      <c r="P1560" s="6" t="str">
        <f>IFERROR(__xludf.DUMMYFUNCTION("""COMPUTED_VALUE"""),"Denys Sani P")</f>
        <v>Denys Sani P</v>
      </c>
      <c r="Q1560" s="6" t="str">
        <f>IFERROR(__xludf.DUMMYFUNCTION("""COMPUTED_VALUE"""),"L2")</f>
        <v>L2</v>
      </c>
      <c r="R1560" s="6">
        <f>IFERROR(__xludf.DUMMYFUNCTION("""COMPUTED_VALUE"""),2.0)</f>
        <v>2</v>
      </c>
      <c r="S1560" s="6" t="str">
        <f>IFERROR(__xludf.DUMMYFUNCTION("""COMPUTED_VALUE""")," ")</f>
        <v> </v>
      </c>
      <c r="T1560" s="6" t="str">
        <f>IFERROR(__xludf.DUMMYFUNCTION("""COMPUTED_VALUE"""),"")</f>
        <v/>
      </c>
      <c r="U1560" s="6" t="str">
        <f>IFERROR(__xludf.DUMMYFUNCTION("""COMPUTED_VALUE"""),"4")</f>
        <v>4</v>
      </c>
      <c r="V1560" s="6" t="str">
        <f>IFERROR(__xludf.DUMMYFUNCTION("""COMPUTED_VALUE"""),"English")</f>
        <v>English</v>
      </c>
      <c r="W1560" s="6" t="str">
        <f>IFERROR(__xludf.DUMMYFUNCTION("""COMPUTED_VALUE"""),"[]")</f>
        <v>[]</v>
      </c>
      <c r="X1560" s="6" t="str">
        <f>IFERROR(__xludf.DUMMYFUNCTION("""COMPUTED_VALUE"""),"Enrolled")</f>
        <v>Enrolled</v>
      </c>
    </row>
    <row r="1561">
      <c r="A1561" s="6" t="str">
        <f>IFERROR(__xludf.DUMMYFUNCTION("""COMPUTED_VALUE"""),"009-1821")</f>
        <v>009-1821</v>
      </c>
      <c r="B1561" s="6" t="str">
        <f>IFERROR(__xludf.DUMMYFUNCTION("""COMPUTED_VALUE"""),"9")</f>
        <v>9</v>
      </c>
      <c r="C1561" s="6" t="str">
        <f>IFERROR(__xludf.DUMMYFUNCTION("""COMPUTED_VALUE"""),"1821")</f>
        <v>1821</v>
      </c>
      <c r="D1561" s="6" t="str">
        <f>IFERROR(__xludf.DUMMYFUNCTION("""COMPUTED_VALUE"""),"Daria")</f>
        <v>Daria</v>
      </c>
      <c r="E1561" s="6" t="str">
        <f>IFERROR(__xludf.DUMMYFUNCTION("""COMPUTED_VALUE"""),"")</f>
        <v/>
      </c>
      <c r="F1561" s="6" t="str">
        <f>IFERROR(__xludf.DUMMYFUNCTION("""COMPUTED_VALUE"""),"Bielaia")</f>
        <v>Bielaia</v>
      </c>
      <c r="G1561" s="6" t="str">
        <f>IFERROR(__xludf.DUMMYFUNCTION("""COMPUTED_VALUE"""),"07/01/2016")</f>
        <v>07/01/2016</v>
      </c>
      <c r="H1561" s="6" t="str">
        <f>IFERROR(__xludf.DUMMYFUNCTION("""COMPUTED_VALUE"""),"Self Identify")</f>
        <v>Self Identify</v>
      </c>
      <c r="I1561" s="6" t="str">
        <f>IFERROR(__xludf.DUMMYFUNCTION("""COMPUTED_VALUE"""),"Level 2")</f>
        <v>Level 2</v>
      </c>
      <c r="J1561" s="6" t="str">
        <f>IFERROR(__xludf.DUMMYFUNCTION("""COMPUTED_VALUE"""),"4")</f>
        <v>4</v>
      </c>
      <c r="K1561" s="6" t="str">
        <f>IFERROR(__xludf.DUMMYFUNCTION("""COMPUTED_VALUE"""),"daria.bielaia@2hourlearning.com")</f>
        <v>daria.bielaia@2hourlearning.com</v>
      </c>
      <c r="L1561" s="6" t="str">
        <f>IFERROR(__xludf.DUMMYFUNCTION("""COMPUTED_VALUE"""),"Learn and Earn Poland")</f>
        <v>Learn and Earn Poland</v>
      </c>
      <c r="M1561" s="6" t="str">
        <f>IFERROR(__xludf.DUMMYFUNCTION("""COMPUTED_VALUE"""),"Budapest Alpha")</f>
        <v>Budapest Alpha</v>
      </c>
      <c r="N1561" s="6" t="str">
        <f>IFERROR(__xludf.DUMMYFUNCTION("""COMPUTED_VALUE"""),"")</f>
        <v/>
      </c>
      <c r="O1561" s="87" t="str">
        <f>IFERROR(__xludf.DUMMYFUNCTION("""COMPUTED_VALUE"""),"https://drive.google.com/drive/folders/10T2cTQHqEJZqE-st6uFKPoI?usp=share_link")</f>
        <v>https://drive.google.com/drive/folders/10T2cTQHqEJZqE-st6uFKPoI?usp=share_link</v>
      </c>
      <c r="P1561" s="6" t="str">
        <f>IFERROR(__xludf.DUMMYFUNCTION("""COMPUTED_VALUE"""),"Daria Bielaia")</f>
        <v>Daria Bielaia</v>
      </c>
      <c r="Q1561" s="6" t="str">
        <f>IFERROR(__xludf.DUMMYFUNCTION("""COMPUTED_VALUE"""),"L2")</f>
        <v>L2</v>
      </c>
      <c r="R1561" s="6">
        <f>IFERROR(__xludf.DUMMYFUNCTION("""COMPUTED_VALUE"""),2.0)</f>
        <v>2</v>
      </c>
      <c r="S1561" s="6" t="str">
        <f>IFERROR(__xludf.DUMMYFUNCTION("""COMPUTED_VALUE""")," ")</f>
        <v> </v>
      </c>
      <c r="T1561" s="6" t="str">
        <f>IFERROR(__xludf.DUMMYFUNCTION("""COMPUTED_VALUE"""),"")</f>
        <v/>
      </c>
      <c r="U1561" s="6" t="str">
        <f>IFERROR(__xludf.DUMMYFUNCTION("""COMPUTED_VALUE"""),"4")</f>
        <v>4</v>
      </c>
      <c r="V1561" s="6" t="str">
        <f>IFERROR(__xludf.DUMMYFUNCTION("""COMPUTED_VALUE"""),"English")</f>
        <v>English</v>
      </c>
      <c r="W1561" s="6" t="str">
        <f>IFERROR(__xludf.DUMMYFUNCTION("""COMPUTED_VALUE"""),"[]")</f>
        <v>[]</v>
      </c>
      <c r="X1561" s="6" t="str">
        <f>IFERROR(__xludf.DUMMYFUNCTION("""COMPUTED_VALUE"""),"Enrolled")</f>
        <v>Enrolled</v>
      </c>
    </row>
    <row r="1562">
      <c r="A1562" s="6" t="str">
        <f>IFERROR(__xludf.DUMMYFUNCTION("""COMPUTED_VALUE"""),"009-1822")</f>
        <v>009-1822</v>
      </c>
      <c r="B1562" s="6" t="str">
        <f>IFERROR(__xludf.DUMMYFUNCTION("""COMPUTED_VALUE"""),"9")</f>
        <v>9</v>
      </c>
      <c r="C1562" s="6" t="str">
        <f>IFERROR(__xludf.DUMMYFUNCTION("""COMPUTED_VALUE"""),"1822")</f>
        <v>1822</v>
      </c>
      <c r="D1562" s="6" t="str">
        <f>IFERROR(__xludf.DUMMYFUNCTION("""COMPUTED_VALUE"""),"Vladyslav")</f>
        <v>Vladyslav</v>
      </c>
      <c r="E1562" s="6" t="str">
        <f>IFERROR(__xludf.DUMMYFUNCTION("""COMPUTED_VALUE"""),"")</f>
        <v/>
      </c>
      <c r="F1562" s="6" t="str">
        <f>IFERROR(__xludf.DUMMYFUNCTION("""COMPUTED_VALUE"""),"Bielyi")</f>
        <v>Bielyi</v>
      </c>
      <c r="G1562" s="6" t="str">
        <f>IFERROR(__xludf.DUMMYFUNCTION("""COMPUTED_VALUE"""),"07/01/2013")</f>
        <v>07/01/2013</v>
      </c>
      <c r="H1562" s="6" t="str">
        <f>IFERROR(__xludf.DUMMYFUNCTION("""COMPUTED_VALUE"""),"Self Identify")</f>
        <v>Self Identify</v>
      </c>
      <c r="I1562" s="6" t="str">
        <f>IFERROR(__xludf.DUMMYFUNCTION("""COMPUTED_VALUE"""),"Middle School")</f>
        <v>Middle School</v>
      </c>
      <c r="J1562" s="6" t="str">
        <f>IFERROR(__xludf.DUMMYFUNCTION("""COMPUTED_VALUE"""),"7")</f>
        <v>7</v>
      </c>
      <c r="K1562" s="6" t="str">
        <f>IFERROR(__xludf.DUMMYFUNCTION("""COMPUTED_VALUE"""),"vladyslav.bielyi@2hourlearning.com")</f>
        <v>vladyslav.bielyi@2hourlearning.com</v>
      </c>
      <c r="L1562" s="6" t="str">
        <f>IFERROR(__xludf.DUMMYFUNCTION("""COMPUTED_VALUE"""),"Learn and Earn Poland")</f>
        <v>Learn and Earn Poland</v>
      </c>
      <c r="M1562" s="6" t="str">
        <f>IFERROR(__xludf.DUMMYFUNCTION("""COMPUTED_VALUE"""),"Budapest Alpha")</f>
        <v>Budapest Alpha</v>
      </c>
      <c r="N1562" s="6" t="str">
        <f>IFERROR(__xludf.DUMMYFUNCTION("""COMPUTED_VALUE"""),"")</f>
        <v/>
      </c>
      <c r="O1562" s="87" t="str">
        <f>IFERROR(__xludf.DUMMYFUNCTION("""COMPUTED_VALUE"""),"https://drive.google.com/drive/folders/10T2cTQHqEJZqE-st6uFKPoI?usp=share_link")</f>
        <v>https://drive.google.com/drive/folders/10T2cTQHqEJZqE-st6uFKPoI?usp=share_link</v>
      </c>
      <c r="P1562" s="6" t="str">
        <f>IFERROR(__xludf.DUMMYFUNCTION("""COMPUTED_VALUE"""),"Vladyslav Bielyi")</f>
        <v>Vladyslav Bielyi</v>
      </c>
      <c r="Q1562" s="6" t="str">
        <f>IFERROR(__xludf.DUMMYFUNCTION("""COMPUTED_VALUE"""),"MS")</f>
        <v>MS</v>
      </c>
      <c r="R1562" s="6">
        <f>IFERROR(__xludf.DUMMYFUNCTION("""COMPUTED_VALUE"""),0.0)</f>
        <v>0</v>
      </c>
      <c r="S1562" s="6" t="str">
        <f>IFERROR(__xludf.DUMMYFUNCTION("""COMPUTED_VALUE""")," ")</f>
        <v> </v>
      </c>
      <c r="T1562" s="6" t="str">
        <f>IFERROR(__xludf.DUMMYFUNCTION("""COMPUTED_VALUE"""),"")</f>
        <v/>
      </c>
      <c r="U1562" s="6" t="str">
        <f>IFERROR(__xludf.DUMMYFUNCTION("""COMPUTED_VALUE"""),"7")</f>
        <v>7</v>
      </c>
      <c r="V1562" s="6" t="str">
        <f>IFERROR(__xludf.DUMMYFUNCTION("""COMPUTED_VALUE"""),"English")</f>
        <v>English</v>
      </c>
      <c r="W1562" s="6" t="str">
        <f>IFERROR(__xludf.DUMMYFUNCTION("""COMPUTED_VALUE"""),"[]")</f>
        <v>[]</v>
      </c>
      <c r="X1562" s="6" t="str">
        <f>IFERROR(__xludf.DUMMYFUNCTION("""COMPUTED_VALUE"""),"Enrolled")</f>
        <v>Enrolled</v>
      </c>
    </row>
    <row r="1563">
      <c r="A1563" s="6" t="str">
        <f>IFERROR(__xludf.DUMMYFUNCTION("""COMPUTED_VALUE"""),"009-2925")</f>
        <v>009-2925</v>
      </c>
      <c r="B1563" s="6" t="str">
        <f>IFERROR(__xludf.DUMMYFUNCTION("""COMPUTED_VALUE"""),"9")</f>
        <v>9</v>
      </c>
      <c r="C1563" s="6" t="str">
        <f>IFERROR(__xludf.DUMMYFUNCTION("""COMPUTED_VALUE"""),"2925")</f>
        <v>2925</v>
      </c>
      <c r="D1563" s="6" t="str">
        <f>IFERROR(__xludf.DUMMYFUNCTION("""COMPUTED_VALUE"""),"Maria")</f>
        <v>Maria</v>
      </c>
      <c r="E1563" s="6" t="str">
        <f>IFERROR(__xludf.DUMMYFUNCTION("""COMPUTED_VALUE"""),"")</f>
        <v/>
      </c>
      <c r="F1563" s="6" t="str">
        <f>IFERROR(__xludf.DUMMYFUNCTION("""COMPUTED_VALUE"""),"Balog")</f>
        <v>Balog</v>
      </c>
      <c r="G1563" s="6" t="str">
        <f>IFERROR(__xludf.DUMMYFUNCTION("""COMPUTED_VALUE"""),"07/22/2012")</f>
        <v>07/22/2012</v>
      </c>
      <c r="H1563" s="6" t="str">
        <f>IFERROR(__xludf.DUMMYFUNCTION("""COMPUTED_VALUE"""),"Self Identify")</f>
        <v>Self Identify</v>
      </c>
      <c r="I1563" s="6" t="str">
        <f>IFERROR(__xludf.DUMMYFUNCTION("""COMPUTED_VALUE"""),"Middle School")</f>
        <v>Middle School</v>
      </c>
      <c r="J1563" s="6" t="str">
        <f>IFERROR(__xludf.DUMMYFUNCTION("""COMPUTED_VALUE"""),"7")</f>
        <v>7</v>
      </c>
      <c r="K1563" s="6" t="str">
        <f>IFERROR(__xludf.DUMMYFUNCTION("""COMPUTED_VALUE"""),"maria.balog@2hourlearning.com")</f>
        <v>maria.balog@2hourlearning.com</v>
      </c>
      <c r="L1563" s="6" t="str">
        <f>IFERROR(__xludf.DUMMYFUNCTION("""COMPUTED_VALUE"""),"Learn and Earn Poland")</f>
        <v>Learn and Earn Poland</v>
      </c>
      <c r="M1563" s="6" t="str">
        <f>IFERROR(__xludf.DUMMYFUNCTION("""COMPUTED_VALUE"""),"")</f>
        <v/>
      </c>
      <c r="N1563" s="6" t="str">
        <f>IFERROR(__xludf.DUMMYFUNCTION("""COMPUTED_VALUE"""),"")</f>
        <v/>
      </c>
      <c r="O1563" s="87" t="str">
        <f>IFERROR(__xludf.DUMMYFUNCTION("""COMPUTED_VALUE"""),"https://drive.google.com/drive/folders/10T2cTQHqEJZqE-st6uFKPoI?usp=share_link")</f>
        <v>https://drive.google.com/drive/folders/10T2cTQHqEJZqE-st6uFKPoI?usp=share_link</v>
      </c>
      <c r="P1563" s="6" t="str">
        <f>IFERROR(__xludf.DUMMYFUNCTION("""COMPUTED_VALUE"""),"Maria Balog")</f>
        <v>Maria Balog</v>
      </c>
      <c r="Q1563" s="6" t="str">
        <f>IFERROR(__xludf.DUMMYFUNCTION("""COMPUTED_VALUE"""),"MS")</f>
        <v>MS</v>
      </c>
      <c r="R1563" s="6">
        <f>IFERROR(__xludf.DUMMYFUNCTION("""COMPUTED_VALUE"""),0.0)</f>
        <v>0</v>
      </c>
      <c r="S1563" s="6" t="str">
        <f>IFERROR(__xludf.DUMMYFUNCTION("""COMPUTED_VALUE""")," ")</f>
        <v> </v>
      </c>
      <c r="T1563" s="6" t="str">
        <f>IFERROR(__xludf.DUMMYFUNCTION("""COMPUTED_VALUE"""),"")</f>
        <v/>
      </c>
      <c r="U1563" s="6" t="str">
        <f>IFERROR(__xludf.DUMMYFUNCTION("""COMPUTED_VALUE"""),"7")</f>
        <v>7</v>
      </c>
      <c r="V1563" s="6" t="str">
        <f>IFERROR(__xludf.DUMMYFUNCTION("""COMPUTED_VALUE"""),"English")</f>
        <v>English</v>
      </c>
      <c r="W1563" s="6" t="str">
        <f>IFERROR(__xludf.DUMMYFUNCTION("""COMPUTED_VALUE"""),"[]")</f>
        <v>[]</v>
      </c>
      <c r="X1563" s="6" t="str">
        <f>IFERROR(__xludf.DUMMYFUNCTION("""COMPUTED_VALUE"""),"Enrolled")</f>
        <v>Enrolled</v>
      </c>
    </row>
    <row r="1564">
      <c r="A1564" s="6" t="str">
        <f>IFERROR(__xludf.DUMMYFUNCTION("""COMPUTED_VALUE"""),"009-2926")</f>
        <v>009-2926</v>
      </c>
      <c r="B1564" s="6" t="str">
        <f>IFERROR(__xludf.DUMMYFUNCTION("""COMPUTED_VALUE"""),"9")</f>
        <v>9</v>
      </c>
      <c r="C1564" s="6" t="str">
        <f>IFERROR(__xludf.DUMMYFUNCTION("""COMPUTED_VALUE"""),"2926")</f>
        <v>2926</v>
      </c>
      <c r="D1564" s="6" t="str">
        <f>IFERROR(__xludf.DUMMYFUNCTION("""COMPUTED_VALUE"""),"Dominik")</f>
        <v>Dominik</v>
      </c>
      <c r="E1564" s="6" t="str">
        <f>IFERROR(__xludf.DUMMYFUNCTION("""COMPUTED_VALUE"""),"")</f>
        <v/>
      </c>
      <c r="F1564" s="6" t="str">
        <f>IFERROR(__xludf.DUMMYFUNCTION("""COMPUTED_VALUE"""),"Karaslai")</f>
        <v>Karaslai</v>
      </c>
      <c r="G1564" s="6" t="str">
        <f>IFERROR(__xludf.DUMMYFUNCTION("""COMPUTED_VALUE"""),"02/28/2008")</f>
        <v>02/28/2008</v>
      </c>
      <c r="H1564" s="6" t="str">
        <f>IFERROR(__xludf.DUMMYFUNCTION("""COMPUTED_VALUE"""),"Self Identify")</f>
        <v>Self Identify</v>
      </c>
      <c r="I1564" s="6" t="str">
        <f>IFERROR(__xludf.DUMMYFUNCTION("""COMPUTED_VALUE"""),"High School")</f>
        <v>High School</v>
      </c>
      <c r="J1564" s="6" t="str">
        <f>IFERROR(__xludf.DUMMYFUNCTION("""COMPUTED_VALUE"""),"12")</f>
        <v>12</v>
      </c>
      <c r="K1564" s="6" t="str">
        <f>IFERROR(__xludf.DUMMYFUNCTION("""COMPUTED_VALUE"""),"dominik.karaslai@2hourlearning.com")</f>
        <v>dominik.karaslai@2hourlearning.com</v>
      </c>
      <c r="L1564" s="6" t="str">
        <f>IFERROR(__xludf.DUMMYFUNCTION("""COMPUTED_VALUE"""),"Learn and Earn Poland")</f>
        <v>Learn and Earn Poland</v>
      </c>
      <c r="M1564" s="6" t="str">
        <f>IFERROR(__xludf.DUMMYFUNCTION("""COMPUTED_VALUE"""),"")</f>
        <v/>
      </c>
      <c r="N1564" s="6" t="str">
        <f>IFERROR(__xludf.DUMMYFUNCTION("""COMPUTED_VALUE"""),"")</f>
        <v/>
      </c>
      <c r="O1564" s="87" t="str">
        <f>IFERROR(__xludf.DUMMYFUNCTION("""COMPUTED_VALUE"""),"https://drive.google.com/drive/folders/10T2cTQHqEJZqE-st6uFKPoI?usp=share_link")</f>
        <v>https://drive.google.com/drive/folders/10T2cTQHqEJZqE-st6uFKPoI?usp=share_link</v>
      </c>
      <c r="P1564" s="6" t="str">
        <f>IFERROR(__xludf.DUMMYFUNCTION("""COMPUTED_VALUE"""),"Dominik Karaslai")</f>
        <v>Dominik Karaslai</v>
      </c>
      <c r="Q1564" s="6" t="str">
        <f>IFERROR(__xludf.DUMMYFUNCTION("""COMPUTED_VALUE"""),"HS")</f>
        <v>HS</v>
      </c>
      <c r="R1564" s="6">
        <f>IFERROR(__xludf.DUMMYFUNCTION("""COMPUTED_VALUE"""),0.0)</f>
        <v>0</v>
      </c>
      <c r="S1564" s="6" t="str">
        <f>IFERROR(__xludf.DUMMYFUNCTION("""COMPUTED_VALUE""")," ")</f>
        <v> </v>
      </c>
      <c r="T1564" s="6" t="str">
        <f>IFERROR(__xludf.DUMMYFUNCTION("""COMPUTED_VALUE"""),"")</f>
        <v/>
      </c>
      <c r="U1564" s="6" t="str">
        <f>IFERROR(__xludf.DUMMYFUNCTION("""COMPUTED_VALUE"""),"12")</f>
        <v>12</v>
      </c>
      <c r="V1564" s="6" t="str">
        <f>IFERROR(__xludf.DUMMYFUNCTION("""COMPUTED_VALUE"""),"English")</f>
        <v>English</v>
      </c>
      <c r="W1564" s="6" t="str">
        <f>IFERROR(__xludf.DUMMYFUNCTION("""COMPUTED_VALUE"""),"[]")</f>
        <v>[]</v>
      </c>
      <c r="X1564" s="6" t="str">
        <f>IFERROR(__xludf.DUMMYFUNCTION("""COMPUTED_VALUE"""),"Enrolled")</f>
        <v>Enrolled</v>
      </c>
    </row>
    <row r="1565">
      <c r="A1565" s="6" t="str">
        <f>IFERROR(__xludf.DUMMYFUNCTION("""COMPUTED_VALUE"""),"009-2927")</f>
        <v>009-2927</v>
      </c>
      <c r="B1565" s="6" t="str">
        <f>IFERROR(__xludf.DUMMYFUNCTION("""COMPUTED_VALUE"""),"9")</f>
        <v>9</v>
      </c>
      <c r="C1565" s="6" t="str">
        <f>IFERROR(__xludf.DUMMYFUNCTION("""COMPUTED_VALUE"""),"2927")</f>
        <v>2927</v>
      </c>
      <c r="D1565" s="6" t="str">
        <f>IFERROR(__xludf.DUMMYFUNCTION("""COMPUTED_VALUE"""),"Shimon")</f>
        <v>Shimon</v>
      </c>
      <c r="E1565" s="6" t="str">
        <f>IFERROR(__xludf.DUMMYFUNCTION("""COMPUTED_VALUE"""),"")</f>
        <v/>
      </c>
      <c r="F1565" s="6" t="str">
        <f>IFERROR(__xludf.DUMMYFUNCTION("""COMPUTED_VALUE"""),"Abel")</f>
        <v>Abel</v>
      </c>
      <c r="G1565" s="6" t="str">
        <f>IFERROR(__xludf.DUMMYFUNCTION("""COMPUTED_VALUE"""),"01/27/2013")</f>
        <v>01/27/2013</v>
      </c>
      <c r="H1565" s="6" t="str">
        <f>IFERROR(__xludf.DUMMYFUNCTION("""COMPUTED_VALUE"""),"Self Identify")</f>
        <v>Self Identify</v>
      </c>
      <c r="I1565" s="6" t="str">
        <f>IFERROR(__xludf.DUMMYFUNCTION("""COMPUTED_VALUE"""),"Middle School")</f>
        <v>Middle School</v>
      </c>
      <c r="J1565" s="6" t="str">
        <f>IFERROR(__xludf.DUMMYFUNCTION("""COMPUTED_VALUE"""),"7")</f>
        <v>7</v>
      </c>
      <c r="K1565" s="6" t="str">
        <f>IFERROR(__xludf.DUMMYFUNCTION("""COMPUTED_VALUE"""),"shimon.abel@2hourlearning.com")</f>
        <v>shimon.abel@2hourlearning.com</v>
      </c>
      <c r="L1565" s="6" t="str">
        <f>IFERROR(__xludf.DUMMYFUNCTION("""COMPUTED_VALUE"""),"Learn and Earn Poland")</f>
        <v>Learn and Earn Poland</v>
      </c>
      <c r="M1565" s="6" t="str">
        <f>IFERROR(__xludf.DUMMYFUNCTION("""COMPUTED_VALUE"""),"")</f>
        <v/>
      </c>
      <c r="N1565" s="6" t="str">
        <f>IFERROR(__xludf.DUMMYFUNCTION("""COMPUTED_VALUE"""),"")</f>
        <v/>
      </c>
      <c r="O1565" s="87" t="str">
        <f>IFERROR(__xludf.DUMMYFUNCTION("""COMPUTED_VALUE"""),"https://drive.google.com/drive/folders/10T2cTQHqEJZqE-st6uFKPoI?usp=share_link")</f>
        <v>https://drive.google.com/drive/folders/10T2cTQHqEJZqE-st6uFKPoI?usp=share_link</v>
      </c>
      <c r="P1565" s="6" t="str">
        <f>IFERROR(__xludf.DUMMYFUNCTION("""COMPUTED_VALUE"""),"Shimon Abel")</f>
        <v>Shimon Abel</v>
      </c>
      <c r="Q1565" s="6" t="str">
        <f>IFERROR(__xludf.DUMMYFUNCTION("""COMPUTED_VALUE"""),"MS")</f>
        <v>MS</v>
      </c>
      <c r="R1565" s="6">
        <f>IFERROR(__xludf.DUMMYFUNCTION("""COMPUTED_VALUE"""),0.0)</f>
        <v>0</v>
      </c>
      <c r="S1565" s="6" t="str">
        <f>IFERROR(__xludf.DUMMYFUNCTION("""COMPUTED_VALUE""")," ")</f>
        <v> </v>
      </c>
      <c r="T1565" s="6" t="str">
        <f>IFERROR(__xludf.DUMMYFUNCTION("""COMPUTED_VALUE"""),"")</f>
        <v/>
      </c>
      <c r="U1565" s="6" t="str">
        <f>IFERROR(__xludf.DUMMYFUNCTION("""COMPUTED_VALUE"""),"7")</f>
        <v>7</v>
      </c>
      <c r="V1565" s="6" t="str">
        <f>IFERROR(__xludf.DUMMYFUNCTION("""COMPUTED_VALUE"""),"English")</f>
        <v>English</v>
      </c>
      <c r="W1565" s="6" t="str">
        <f>IFERROR(__xludf.DUMMYFUNCTION("""COMPUTED_VALUE"""),"[]")</f>
        <v>[]</v>
      </c>
      <c r="X1565" s="6" t="str">
        <f>IFERROR(__xludf.DUMMYFUNCTION("""COMPUTED_VALUE"""),"Enrolled")</f>
        <v>Enrolled</v>
      </c>
    </row>
    <row r="1566">
      <c r="A1566" s="6" t="str">
        <f>IFERROR(__xludf.DUMMYFUNCTION("""COMPUTED_VALUE"""),"009-2928")</f>
        <v>009-2928</v>
      </c>
      <c r="B1566" s="6" t="str">
        <f>IFERROR(__xludf.DUMMYFUNCTION("""COMPUTED_VALUE"""),"9")</f>
        <v>9</v>
      </c>
      <c r="C1566" s="6" t="str">
        <f>IFERROR(__xludf.DUMMYFUNCTION("""COMPUTED_VALUE"""),"2928")</f>
        <v>2928</v>
      </c>
      <c r="D1566" s="6" t="str">
        <f>IFERROR(__xludf.DUMMYFUNCTION("""COMPUTED_VALUE"""),"Arina")</f>
        <v>Arina</v>
      </c>
      <c r="E1566" s="6" t="str">
        <f>IFERROR(__xludf.DUMMYFUNCTION("""COMPUTED_VALUE"""),"")</f>
        <v/>
      </c>
      <c r="F1566" s="6" t="str">
        <f>IFERROR(__xludf.DUMMYFUNCTION("""COMPUTED_VALUE"""),"Kustova")</f>
        <v>Kustova</v>
      </c>
      <c r="G1566" s="6" t="str">
        <f>IFERROR(__xludf.DUMMYFUNCTION("""COMPUTED_VALUE"""),"11/09/2016")</f>
        <v>11/09/2016</v>
      </c>
      <c r="H1566" s="6" t="str">
        <f>IFERROR(__xludf.DUMMYFUNCTION("""COMPUTED_VALUE"""),"Self Identify")</f>
        <v>Self Identify</v>
      </c>
      <c r="I1566" s="6" t="str">
        <f>IFERROR(__xludf.DUMMYFUNCTION("""COMPUTED_VALUE"""),"Level 1")</f>
        <v>Level 1</v>
      </c>
      <c r="J1566" s="6" t="str">
        <f>IFERROR(__xludf.DUMMYFUNCTION("""COMPUTED_VALUE"""),"3")</f>
        <v>3</v>
      </c>
      <c r="K1566" s="6" t="str">
        <f>IFERROR(__xludf.DUMMYFUNCTION("""COMPUTED_VALUE"""),"arina.kustova@2hourlearning.com")</f>
        <v>arina.kustova@2hourlearning.com</v>
      </c>
      <c r="L1566" s="6" t="str">
        <f>IFERROR(__xludf.DUMMYFUNCTION("""COMPUTED_VALUE"""),"Learn and Earn Poland")</f>
        <v>Learn and Earn Poland</v>
      </c>
      <c r="M1566" s="6" t="str">
        <f>IFERROR(__xludf.DUMMYFUNCTION("""COMPUTED_VALUE"""),"")</f>
        <v/>
      </c>
      <c r="N1566" s="6" t="str">
        <f>IFERROR(__xludf.DUMMYFUNCTION("""COMPUTED_VALUE"""),"")</f>
        <v/>
      </c>
      <c r="O1566" s="87" t="str">
        <f>IFERROR(__xludf.DUMMYFUNCTION("""COMPUTED_VALUE"""),"https://drive.google.com/drive/folders/10T2cTQHqEJZqE-st6uFKPoI?usp=share_link")</f>
        <v>https://drive.google.com/drive/folders/10T2cTQHqEJZqE-st6uFKPoI?usp=share_link</v>
      </c>
      <c r="P1566" s="6" t="str">
        <f>IFERROR(__xludf.DUMMYFUNCTION("""COMPUTED_VALUE"""),"Arina Kustova")</f>
        <v>Arina Kustova</v>
      </c>
      <c r="Q1566" s="6" t="str">
        <f>IFERROR(__xludf.DUMMYFUNCTION("""COMPUTED_VALUE"""),"L1")</f>
        <v>L1</v>
      </c>
      <c r="R1566" s="6">
        <f>IFERROR(__xludf.DUMMYFUNCTION("""COMPUTED_VALUE"""),1.0)</f>
        <v>1</v>
      </c>
      <c r="S1566" s="6" t="str">
        <f>IFERROR(__xludf.DUMMYFUNCTION("""COMPUTED_VALUE""")," ")</f>
        <v> </v>
      </c>
      <c r="T1566" s="6" t="str">
        <f>IFERROR(__xludf.DUMMYFUNCTION("""COMPUTED_VALUE"""),"")</f>
        <v/>
      </c>
      <c r="U1566" s="6" t="str">
        <f>IFERROR(__xludf.DUMMYFUNCTION("""COMPUTED_VALUE"""),"3")</f>
        <v>3</v>
      </c>
      <c r="V1566" s="6" t="str">
        <f>IFERROR(__xludf.DUMMYFUNCTION("""COMPUTED_VALUE"""),"English")</f>
        <v>English</v>
      </c>
      <c r="W1566" s="6" t="str">
        <f>IFERROR(__xludf.DUMMYFUNCTION("""COMPUTED_VALUE"""),"[]")</f>
        <v>[]</v>
      </c>
      <c r="X1566" s="6" t="str">
        <f>IFERROR(__xludf.DUMMYFUNCTION("""COMPUTED_VALUE"""),"Enrolled")</f>
        <v>Enrolled</v>
      </c>
    </row>
    <row r="1567">
      <c r="A1567" s="6" t="str">
        <f>IFERROR(__xludf.DUMMYFUNCTION("""COMPUTED_VALUE"""),"009-2929")</f>
        <v>009-2929</v>
      </c>
      <c r="B1567" s="6" t="str">
        <f>IFERROR(__xludf.DUMMYFUNCTION("""COMPUTED_VALUE"""),"9")</f>
        <v>9</v>
      </c>
      <c r="C1567" s="6" t="str">
        <f>IFERROR(__xludf.DUMMYFUNCTION("""COMPUTED_VALUE"""),"2929")</f>
        <v>2929</v>
      </c>
      <c r="D1567" s="6" t="str">
        <f>IFERROR(__xludf.DUMMYFUNCTION("""COMPUTED_VALUE"""),"Karpenko")</f>
        <v>Karpenko</v>
      </c>
      <c r="E1567" s="6" t="str">
        <f>IFERROR(__xludf.DUMMYFUNCTION("""COMPUTED_VALUE"""),"")</f>
        <v/>
      </c>
      <c r="F1567" s="6" t="str">
        <f>IFERROR(__xludf.DUMMYFUNCTION("""COMPUTED_VALUE"""),"Viktoriia")</f>
        <v>Viktoriia</v>
      </c>
      <c r="G1567" s="6" t="str">
        <f>IFERROR(__xludf.DUMMYFUNCTION("""COMPUTED_VALUE"""),"03/13/2013")</f>
        <v>03/13/2013</v>
      </c>
      <c r="H1567" s="6" t="str">
        <f>IFERROR(__xludf.DUMMYFUNCTION("""COMPUTED_VALUE"""),"Self Identify")</f>
        <v>Self Identify</v>
      </c>
      <c r="I1567" s="6" t="str">
        <f>IFERROR(__xludf.DUMMYFUNCTION("""COMPUTED_VALUE"""),"Middle School")</f>
        <v>Middle School</v>
      </c>
      <c r="J1567" s="6" t="str">
        <f>IFERROR(__xludf.DUMMYFUNCTION("""COMPUTED_VALUE"""),"7")</f>
        <v>7</v>
      </c>
      <c r="K1567" s="6" t="str">
        <f>IFERROR(__xludf.DUMMYFUNCTION("""COMPUTED_VALUE"""),"karpenko.viktoriia@2hourlearning.com")</f>
        <v>karpenko.viktoriia@2hourlearning.com</v>
      </c>
      <c r="L1567" s="6" t="str">
        <f>IFERROR(__xludf.DUMMYFUNCTION("""COMPUTED_VALUE"""),"Learn and Earn Poland")</f>
        <v>Learn and Earn Poland</v>
      </c>
      <c r="M1567" s="6" t="str">
        <f>IFERROR(__xludf.DUMMYFUNCTION("""COMPUTED_VALUE"""),"")</f>
        <v/>
      </c>
      <c r="N1567" s="6" t="str">
        <f>IFERROR(__xludf.DUMMYFUNCTION("""COMPUTED_VALUE"""),"")</f>
        <v/>
      </c>
      <c r="O1567" s="87" t="str">
        <f>IFERROR(__xludf.DUMMYFUNCTION("""COMPUTED_VALUE"""),"https://drive.google.com/drive/folders/10T2cTQHqEJZqE-st6uFKPoI?usp=share_link")</f>
        <v>https://drive.google.com/drive/folders/10T2cTQHqEJZqE-st6uFKPoI?usp=share_link</v>
      </c>
      <c r="P1567" s="6" t="str">
        <f>IFERROR(__xludf.DUMMYFUNCTION("""COMPUTED_VALUE"""),"Karpenko Viktoriia")</f>
        <v>Karpenko Viktoriia</v>
      </c>
      <c r="Q1567" s="6" t="str">
        <f>IFERROR(__xludf.DUMMYFUNCTION("""COMPUTED_VALUE"""),"MS")</f>
        <v>MS</v>
      </c>
      <c r="R1567" s="6">
        <f>IFERROR(__xludf.DUMMYFUNCTION("""COMPUTED_VALUE"""),0.0)</f>
        <v>0</v>
      </c>
      <c r="S1567" s="6" t="str">
        <f>IFERROR(__xludf.DUMMYFUNCTION("""COMPUTED_VALUE""")," ")</f>
        <v> </v>
      </c>
      <c r="T1567" s="6" t="str">
        <f>IFERROR(__xludf.DUMMYFUNCTION("""COMPUTED_VALUE"""),"")</f>
        <v/>
      </c>
      <c r="U1567" s="6" t="str">
        <f>IFERROR(__xludf.DUMMYFUNCTION("""COMPUTED_VALUE"""),"7")</f>
        <v>7</v>
      </c>
      <c r="V1567" s="6" t="str">
        <f>IFERROR(__xludf.DUMMYFUNCTION("""COMPUTED_VALUE"""),"English")</f>
        <v>English</v>
      </c>
      <c r="W1567" s="6" t="str">
        <f>IFERROR(__xludf.DUMMYFUNCTION("""COMPUTED_VALUE"""),"[]")</f>
        <v>[]</v>
      </c>
      <c r="X1567" s="6" t="str">
        <f>IFERROR(__xludf.DUMMYFUNCTION("""COMPUTED_VALUE"""),"Enrolled")</f>
        <v>Enrolled</v>
      </c>
    </row>
    <row r="1568">
      <c r="A1568" s="6" t="str">
        <f>IFERROR(__xludf.DUMMYFUNCTION("""COMPUTED_VALUE"""),"009-2930")</f>
        <v>009-2930</v>
      </c>
      <c r="B1568" s="6" t="str">
        <f>IFERROR(__xludf.DUMMYFUNCTION("""COMPUTED_VALUE"""),"9")</f>
        <v>9</v>
      </c>
      <c r="C1568" s="6" t="str">
        <f>IFERROR(__xludf.DUMMYFUNCTION("""COMPUTED_VALUE"""),"2930")</f>
        <v>2930</v>
      </c>
      <c r="D1568" s="6" t="str">
        <f>IFERROR(__xludf.DUMMYFUNCTION("""COMPUTED_VALUE"""),"Kristóf")</f>
        <v>Kristóf</v>
      </c>
      <c r="E1568" s="6" t="str">
        <f>IFERROR(__xludf.DUMMYFUNCTION("""COMPUTED_VALUE"""),"")</f>
        <v/>
      </c>
      <c r="F1568" s="6" t="str">
        <f>IFERROR(__xludf.DUMMYFUNCTION("""COMPUTED_VALUE"""),"Liliana")</f>
        <v>Liliana</v>
      </c>
      <c r="G1568" s="6" t="str">
        <f>IFERROR(__xludf.DUMMYFUNCTION("""COMPUTED_VALUE"""),"01/18/2015")</f>
        <v>01/18/2015</v>
      </c>
      <c r="H1568" s="6" t="str">
        <f>IFERROR(__xludf.DUMMYFUNCTION("""COMPUTED_VALUE"""),"Self Identify")</f>
        <v>Self Identify</v>
      </c>
      <c r="I1568" s="6" t="str">
        <f>IFERROR(__xludf.DUMMYFUNCTION("""COMPUTED_VALUE"""),"Level 2")</f>
        <v>Level 2</v>
      </c>
      <c r="J1568" s="6" t="str">
        <f>IFERROR(__xludf.DUMMYFUNCTION("""COMPUTED_VALUE"""),"5")</f>
        <v>5</v>
      </c>
      <c r="K1568" s="6" t="str">
        <f>IFERROR(__xludf.DUMMYFUNCTION("""COMPUTED_VALUE"""),"kristof.liliana@2hourlearning.com")</f>
        <v>kristof.liliana@2hourlearning.com</v>
      </c>
      <c r="L1568" s="6" t="str">
        <f>IFERROR(__xludf.DUMMYFUNCTION("""COMPUTED_VALUE"""),"Learn and Earn Poland")</f>
        <v>Learn and Earn Poland</v>
      </c>
      <c r="M1568" s="6" t="str">
        <f>IFERROR(__xludf.DUMMYFUNCTION("""COMPUTED_VALUE"""),"")</f>
        <v/>
      </c>
      <c r="N1568" s="6" t="str">
        <f>IFERROR(__xludf.DUMMYFUNCTION("""COMPUTED_VALUE"""),"")</f>
        <v/>
      </c>
      <c r="O1568" s="87" t="str">
        <f>IFERROR(__xludf.DUMMYFUNCTION("""COMPUTED_VALUE"""),"https://drive.google.com/drive/folders/10T2cTQHqEJZqE-st6uFKPoI?usp=share_link")</f>
        <v>https://drive.google.com/drive/folders/10T2cTQHqEJZqE-st6uFKPoI?usp=share_link</v>
      </c>
      <c r="P1568" s="6" t="str">
        <f>IFERROR(__xludf.DUMMYFUNCTION("""COMPUTED_VALUE"""),"Kristóf Liliana")</f>
        <v>Kristóf Liliana</v>
      </c>
      <c r="Q1568" s="6" t="str">
        <f>IFERROR(__xludf.DUMMYFUNCTION("""COMPUTED_VALUE"""),"L2")</f>
        <v>L2</v>
      </c>
      <c r="R1568" s="6">
        <f>IFERROR(__xludf.DUMMYFUNCTION("""COMPUTED_VALUE"""),2.0)</f>
        <v>2</v>
      </c>
      <c r="S1568" s="6" t="str">
        <f>IFERROR(__xludf.DUMMYFUNCTION("""COMPUTED_VALUE""")," ")</f>
        <v> </v>
      </c>
      <c r="T1568" s="6" t="str">
        <f>IFERROR(__xludf.DUMMYFUNCTION("""COMPUTED_VALUE"""),"")</f>
        <v/>
      </c>
      <c r="U1568" s="6" t="str">
        <f>IFERROR(__xludf.DUMMYFUNCTION("""COMPUTED_VALUE"""),"5")</f>
        <v>5</v>
      </c>
      <c r="V1568" s="6" t="str">
        <f>IFERROR(__xludf.DUMMYFUNCTION("""COMPUTED_VALUE"""),"English")</f>
        <v>English</v>
      </c>
      <c r="W1568" s="6" t="str">
        <f>IFERROR(__xludf.DUMMYFUNCTION("""COMPUTED_VALUE"""),"[]")</f>
        <v>[]</v>
      </c>
      <c r="X1568" s="6" t="str">
        <f>IFERROR(__xludf.DUMMYFUNCTION("""COMPUTED_VALUE"""),"Enrolled")</f>
        <v>Enrolled</v>
      </c>
    </row>
    <row r="1569">
      <c r="A1569" s="6" t="str">
        <f>IFERROR(__xludf.DUMMYFUNCTION("""COMPUTED_VALUE"""),"009-2931")</f>
        <v>009-2931</v>
      </c>
      <c r="B1569" s="6" t="str">
        <f>IFERROR(__xludf.DUMMYFUNCTION("""COMPUTED_VALUE"""),"9")</f>
        <v>9</v>
      </c>
      <c r="C1569" s="6" t="str">
        <f>IFERROR(__xludf.DUMMYFUNCTION("""COMPUTED_VALUE"""),"2931")</f>
        <v>2931</v>
      </c>
      <c r="D1569" s="6" t="str">
        <f>IFERROR(__xludf.DUMMYFUNCTION("""COMPUTED_VALUE"""),"Zoltan")</f>
        <v>Zoltan</v>
      </c>
      <c r="E1569" s="6" t="str">
        <f>IFERROR(__xludf.DUMMYFUNCTION("""COMPUTED_VALUE"""),"")</f>
        <v/>
      </c>
      <c r="F1569" s="6" t="str">
        <f>IFERROR(__xludf.DUMMYFUNCTION("""COMPUTED_VALUE"""),"Birov")</f>
        <v>Birov</v>
      </c>
      <c r="G1569" s="6" t="str">
        <f>IFERROR(__xludf.DUMMYFUNCTION("""COMPUTED_VALUE"""),"04/29/2013")</f>
        <v>04/29/2013</v>
      </c>
      <c r="H1569" s="6" t="str">
        <f>IFERROR(__xludf.DUMMYFUNCTION("""COMPUTED_VALUE"""),"Self Identify")</f>
        <v>Self Identify</v>
      </c>
      <c r="I1569" s="6" t="str">
        <f>IFERROR(__xludf.DUMMYFUNCTION("""COMPUTED_VALUE"""),"Middle School")</f>
        <v>Middle School</v>
      </c>
      <c r="J1569" s="6" t="str">
        <f>IFERROR(__xludf.DUMMYFUNCTION("""COMPUTED_VALUE"""),"7")</f>
        <v>7</v>
      </c>
      <c r="K1569" s="6" t="str">
        <f>IFERROR(__xludf.DUMMYFUNCTION("""COMPUTED_VALUE"""),"zoltan.birov@2hourlearning.com")</f>
        <v>zoltan.birov@2hourlearning.com</v>
      </c>
      <c r="L1569" s="6" t="str">
        <f>IFERROR(__xludf.DUMMYFUNCTION("""COMPUTED_VALUE"""),"Learn and Earn Poland")</f>
        <v>Learn and Earn Poland</v>
      </c>
      <c r="M1569" s="6" t="str">
        <f>IFERROR(__xludf.DUMMYFUNCTION("""COMPUTED_VALUE"""),"")</f>
        <v/>
      </c>
      <c r="N1569" s="6" t="str">
        <f>IFERROR(__xludf.DUMMYFUNCTION("""COMPUTED_VALUE"""),"")</f>
        <v/>
      </c>
      <c r="O1569" s="87" t="str">
        <f>IFERROR(__xludf.DUMMYFUNCTION("""COMPUTED_VALUE"""),"https://drive.google.com/drive/folders/10T2cTQHqEJZqE-st6uFKPoI?usp=share_link")</f>
        <v>https://drive.google.com/drive/folders/10T2cTQHqEJZqE-st6uFKPoI?usp=share_link</v>
      </c>
      <c r="P1569" s="6" t="str">
        <f>IFERROR(__xludf.DUMMYFUNCTION("""COMPUTED_VALUE"""),"Zoltan Birov")</f>
        <v>Zoltan Birov</v>
      </c>
      <c r="Q1569" s="6" t="str">
        <f>IFERROR(__xludf.DUMMYFUNCTION("""COMPUTED_VALUE"""),"MS")</f>
        <v>MS</v>
      </c>
      <c r="R1569" s="6">
        <f>IFERROR(__xludf.DUMMYFUNCTION("""COMPUTED_VALUE"""),0.0)</f>
        <v>0</v>
      </c>
      <c r="S1569" s="6" t="str">
        <f>IFERROR(__xludf.DUMMYFUNCTION("""COMPUTED_VALUE""")," ")</f>
        <v> </v>
      </c>
      <c r="T1569" s="6" t="str">
        <f>IFERROR(__xludf.DUMMYFUNCTION("""COMPUTED_VALUE"""),"")</f>
        <v/>
      </c>
      <c r="U1569" s="6" t="str">
        <f>IFERROR(__xludf.DUMMYFUNCTION("""COMPUTED_VALUE"""),"7")</f>
        <v>7</v>
      </c>
      <c r="V1569" s="6" t="str">
        <f>IFERROR(__xludf.DUMMYFUNCTION("""COMPUTED_VALUE"""),"English")</f>
        <v>English</v>
      </c>
      <c r="W1569" s="6" t="str">
        <f>IFERROR(__xludf.DUMMYFUNCTION("""COMPUTED_VALUE"""),"[]")</f>
        <v>[]</v>
      </c>
      <c r="X1569" s="6" t="str">
        <f>IFERROR(__xludf.DUMMYFUNCTION("""COMPUTED_VALUE"""),"Enrolled")</f>
        <v>Enrolled</v>
      </c>
    </row>
    <row r="1570">
      <c r="A1570" s="6" t="str">
        <f>IFERROR(__xludf.DUMMYFUNCTION("""COMPUTED_VALUE"""),"009-2932")</f>
        <v>009-2932</v>
      </c>
      <c r="B1570" s="6" t="str">
        <f>IFERROR(__xludf.DUMMYFUNCTION("""COMPUTED_VALUE"""),"9")</f>
        <v>9</v>
      </c>
      <c r="C1570" s="6" t="str">
        <f>IFERROR(__xludf.DUMMYFUNCTION("""COMPUTED_VALUE"""),"2932")</f>
        <v>2932</v>
      </c>
      <c r="D1570" s="6" t="str">
        <f>IFERROR(__xludf.DUMMYFUNCTION("""COMPUTED_VALUE"""),"Dominik")</f>
        <v>Dominik</v>
      </c>
      <c r="E1570" s="6" t="str">
        <f>IFERROR(__xludf.DUMMYFUNCTION("""COMPUTED_VALUE"""),"")</f>
        <v/>
      </c>
      <c r="F1570" s="6" t="str">
        <f>IFERROR(__xludf.DUMMYFUNCTION("""COMPUTED_VALUE"""),"Turzai")</f>
        <v>Turzai</v>
      </c>
      <c r="G1570" s="6" t="str">
        <f>IFERROR(__xludf.DUMMYFUNCTION("""COMPUTED_VALUE"""),"01/20/2013")</f>
        <v>01/20/2013</v>
      </c>
      <c r="H1570" s="6" t="str">
        <f>IFERROR(__xludf.DUMMYFUNCTION("""COMPUTED_VALUE"""),"Self Identify")</f>
        <v>Self Identify</v>
      </c>
      <c r="I1570" s="6" t="str">
        <f>IFERROR(__xludf.DUMMYFUNCTION("""COMPUTED_VALUE"""),"Middle School")</f>
        <v>Middle School</v>
      </c>
      <c r="J1570" s="6" t="str">
        <f>IFERROR(__xludf.DUMMYFUNCTION("""COMPUTED_VALUE"""),"7")</f>
        <v>7</v>
      </c>
      <c r="K1570" s="6" t="str">
        <f>IFERROR(__xludf.DUMMYFUNCTION("""COMPUTED_VALUE"""),"dominik.turzai@2hourlearning.com")</f>
        <v>dominik.turzai@2hourlearning.com</v>
      </c>
      <c r="L1570" s="6" t="str">
        <f>IFERROR(__xludf.DUMMYFUNCTION("""COMPUTED_VALUE"""),"Learn and Earn Poland")</f>
        <v>Learn and Earn Poland</v>
      </c>
      <c r="M1570" s="6" t="str">
        <f>IFERROR(__xludf.DUMMYFUNCTION("""COMPUTED_VALUE"""),"")</f>
        <v/>
      </c>
      <c r="N1570" s="6" t="str">
        <f>IFERROR(__xludf.DUMMYFUNCTION("""COMPUTED_VALUE"""),"")</f>
        <v/>
      </c>
      <c r="O1570" s="87" t="str">
        <f>IFERROR(__xludf.DUMMYFUNCTION("""COMPUTED_VALUE"""),"https://drive.google.com/drive/folders/10T2cTQHqEJZqE-st6uFKPoI?usp=share_link")</f>
        <v>https://drive.google.com/drive/folders/10T2cTQHqEJZqE-st6uFKPoI?usp=share_link</v>
      </c>
      <c r="P1570" s="6" t="str">
        <f>IFERROR(__xludf.DUMMYFUNCTION("""COMPUTED_VALUE"""),"Dominik Turzai")</f>
        <v>Dominik Turzai</v>
      </c>
      <c r="Q1570" s="6" t="str">
        <f>IFERROR(__xludf.DUMMYFUNCTION("""COMPUTED_VALUE"""),"MS")</f>
        <v>MS</v>
      </c>
      <c r="R1570" s="6">
        <f>IFERROR(__xludf.DUMMYFUNCTION("""COMPUTED_VALUE"""),0.0)</f>
        <v>0</v>
      </c>
      <c r="S1570" s="6" t="str">
        <f>IFERROR(__xludf.DUMMYFUNCTION("""COMPUTED_VALUE""")," ")</f>
        <v> </v>
      </c>
      <c r="T1570" s="6" t="str">
        <f>IFERROR(__xludf.DUMMYFUNCTION("""COMPUTED_VALUE"""),"")</f>
        <v/>
      </c>
      <c r="U1570" s="6" t="str">
        <f>IFERROR(__xludf.DUMMYFUNCTION("""COMPUTED_VALUE"""),"7")</f>
        <v>7</v>
      </c>
      <c r="V1570" s="6" t="str">
        <f>IFERROR(__xludf.DUMMYFUNCTION("""COMPUTED_VALUE"""),"English")</f>
        <v>English</v>
      </c>
      <c r="W1570" s="6" t="str">
        <f>IFERROR(__xludf.DUMMYFUNCTION("""COMPUTED_VALUE"""),"[]")</f>
        <v>[]</v>
      </c>
      <c r="X1570" s="6" t="str">
        <f>IFERROR(__xludf.DUMMYFUNCTION("""COMPUTED_VALUE"""),"Enrolled")</f>
        <v>Enrolled</v>
      </c>
    </row>
    <row r="1571">
      <c r="A1571" s="6" t="str">
        <f>IFERROR(__xludf.DUMMYFUNCTION("""COMPUTED_VALUE"""),"009-2933")</f>
        <v>009-2933</v>
      </c>
      <c r="B1571" s="6" t="str">
        <f>IFERROR(__xludf.DUMMYFUNCTION("""COMPUTED_VALUE"""),"9")</f>
        <v>9</v>
      </c>
      <c r="C1571" s="6" t="str">
        <f>IFERROR(__xludf.DUMMYFUNCTION("""COMPUTED_VALUE"""),"2933")</f>
        <v>2933</v>
      </c>
      <c r="D1571" s="6" t="str">
        <f>IFERROR(__xludf.DUMMYFUNCTION("""COMPUTED_VALUE"""),"Nesterenko")</f>
        <v>Nesterenko</v>
      </c>
      <c r="E1571" s="6" t="str">
        <f>IFERROR(__xludf.DUMMYFUNCTION("""COMPUTED_VALUE"""),"")</f>
        <v/>
      </c>
      <c r="F1571" s="6" t="str">
        <f>IFERROR(__xludf.DUMMYFUNCTION("""COMPUTED_VALUE"""),"Diana")</f>
        <v>Diana</v>
      </c>
      <c r="G1571" s="6" t="str">
        <f>IFERROR(__xludf.DUMMYFUNCTION("""COMPUTED_VALUE"""),"10/29/2015")</f>
        <v>10/29/2015</v>
      </c>
      <c r="H1571" s="6" t="str">
        <f>IFERROR(__xludf.DUMMYFUNCTION("""COMPUTED_VALUE"""),"Self Identify")</f>
        <v>Self Identify</v>
      </c>
      <c r="I1571" s="6" t="str">
        <f>IFERROR(__xludf.DUMMYFUNCTION("""COMPUTED_VALUE"""),"Level 2")</f>
        <v>Level 2</v>
      </c>
      <c r="J1571" s="6" t="str">
        <f>IFERROR(__xludf.DUMMYFUNCTION("""COMPUTED_VALUE"""),"4")</f>
        <v>4</v>
      </c>
      <c r="K1571" s="6" t="str">
        <f>IFERROR(__xludf.DUMMYFUNCTION("""COMPUTED_VALUE"""),"nesterenko.diana@2hourlearning.com")</f>
        <v>nesterenko.diana@2hourlearning.com</v>
      </c>
      <c r="L1571" s="6" t="str">
        <f>IFERROR(__xludf.DUMMYFUNCTION("""COMPUTED_VALUE"""),"Learn and Earn Poland")</f>
        <v>Learn and Earn Poland</v>
      </c>
      <c r="M1571" s="6" t="str">
        <f>IFERROR(__xludf.DUMMYFUNCTION("""COMPUTED_VALUE"""),"")</f>
        <v/>
      </c>
      <c r="N1571" s="6" t="str">
        <f>IFERROR(__xludf.DUMMYFUNCTION("""COMPUTED_VALUE"""),"")</f>
        <v/>
      </c>
      <c r="O1571" s="87" t="str">
        <f>IFERROR(__xludf.DUMMYFUNCTION("""COMPUTED_VALUE"""),"https://drive.google.com/drive/folders/10T2cTQHqEJZqE-st6uFKPoI?usp=share_link")</f>
        <v>https://drive.google.com/drive/folders/10T2cTQHqEJZqE-st6uFKPoI?usp=share_link</v>
      </c>
      <c r="P1571" s="6" t="str">
        <f>IFERROR(__xludf.DUMMYFUNCTION("""COMPUTED_VALUE"""),"Nesterenko Diana")</f>
        <v>Nesterenko Diana</v>
      </c>
      <c r="Q1571" s="6" t="str">
        <f>IFERROR(__xludf.DUMMYFUNCTION("""COMPUTED_VALUE"""),"L2")</f>
        <v>L2</v>
      </c>
      <c r="R1571" s="6">
        <f>IFERROR(__xludf.DUMMYFUNCTION("""COMPUTED_VALUE"""),2.0)</f>
        <v>2</v>
      </c>
      <c r="S1571" s="6" t="str">
        <f>IFERROR(__xludf.DUMMYFUNCTION("""COMPUTED_VALUE""")," ")</f>
        <v> </v>
      </c>
      <c r="T1571" s="6" t="str">
        <f>IFERROR(__xludf.DUMMYFUNCTION("""COMPUTED_VALUE"""),"")</f>
        <v/>
      </c>
      <c r="U1571" s="6" t="str">
        <f>IFERROR(__xludf.DUMMYFUNCTION("""COMPUTED_VALUE"""),"4")</f>
        <v>4</v>
      </c>
      <c r="V1571" s="6" t="str">
        <f>IFERROR(__xludf.DUMMYFUNCTION("""COMPUTED_VALUE"""),"English")</f>
        <v>English</v>
      </c>
      <c r="W1571" s="6" t="str">
        <f>IFERROR(__xludf.DUMMYFUNCTION("""COMPUTED_VALUE"""),"[]")</f>
        <v>[]</v>
      </c>
      <c r="X1571" s="6" t="str">
        <f>IFERROR(__xludf.DUMMYFUNCTION("""COMPUTED_VALUE"""),"Enrolled")</f>
        <v>Enrolled</v>
      </c>
    </row>
    <row r="1572">
      <c r="A1572" s="6" t="str">
        <f>IFERROR(__xludf.DUMMYFUNCTION("""COMPUTED_VALUE"""),"009-2934")</f>
        <v>009-2934</v>
      </c>
      <c r="B1572" s="6" t="str">
        <f>IFERROR(__xludf.DUMMYFUNCTION("""COMPUTED_VALUE"""),"9")</f>
        <v>9</v>
      </c>
      <c r="C1572" s="6" t="str">
        <f>IFERROR(__xludf.DUMMYFUNCTION("""COMPUTED_VALUE"""),"2934")</f>
        <v>2934</v>
      </c>
      <c r="D1572" s="6" t="str">
        <f>IFERROR(__xludf.DUMMYFUNCTION("""COMPUTED_VALUE"""),"Erik")</f>
        <v>Erik</v>
      </c>
      <c r="E1572" s="6" t="str">
        <f>IFERROR(__xludf.DUMMYFUNCTION("""COMPUTED_VALUE"""),"")</f>
        <v/>
      </c>
      <c r="F1572" s="6" t="str">
        <f>IFERROR(__xludf.DUMMYFUNCTION("""COMPUTED_VALUE"""),"Kodobocz")</f>
        <v>Kodobocz</v>
      </c>
      <c r="G1572" s="6" t="str">
        <f>IFERROR(__xludf.DUMMYFUNCTION("""COMPUTED_VALUE"""),"12/26/2009")</f>
        <v>12/26/2009</v>
      </c>
      <c r="H1572" s="6" t="str">
        <f>IFERROR(__xludf.DUMMYFUNCTION("""COMPUTED_VALUE"""),"Self Identify")</f>
        <v>Self Identify</v>
      </c>
      <c r="I1572" s="6" t="str">
        <f>IFERROR(__xludf.DUMMYFUNCTION("""COMPUTED_VALUE"""),"High School")</f>
        <v>High School</v>
      </c>
      <c r="J1572" s="6" t="str">
        <f>IFERROR(__xludf.DUMMYFUNCTION("""COMPUTED_VALUE"""),"10")</f>
        <v>10</v>
      </c>
      <c r="K1572" s="6" t="str">
        <f>IFERROR(__xludf.DUMMYFUNCTION("""COMPUTED_VALUE"""),"erik.kodobocz@2hourlearning.com")</f>
        <v>erik.kodobocz@2hourlearning.com</v>
      </c>
      <c r="L1572" s="6" t="str">
        <f>IFERROR(__xludf.DUMMYFUNCTION("""COMPUTED_VALUE"""),"Learn and Earn Poland")</f>
        <v>Learn and Earn Poland</v>
      </c>
      <c r="M1572" s="6" t="str">
        <f>IFERROR(__xludf.DUMMYFUNCTION("""COMPUTED_VALUE"""),"")</f>
        <v/>
      </c>
      <c r="N1572" s="6" t="str">
        <f>IFERROR(__xludf.DUMMYFUNCTION("""COMPUTED_VALUE"""),"")</f>
        <v/>
      </c>
      <c r="O1572" s="87" t="str">
        <f>IFERROR(__xludf.DUMMYFUNCTION("""COMPUTED_VALUE"""),"https://drive.google.com/drive/folders/10T2cTQHqEJZqE-st6uFKPoI?usp=share_link")</f>
        <v>https://drive.google.com/drive/folders/10T2cTQHqEJZqE-st6uFKPoI?usp=share_link</v>
      </c>
      <c r="P1572" s="6" t="str">
        <f>IFERROR(__xludf.DUMMYFUNCTION("""COMPUTED_VALUE"""),"Erik Kodobocz")</f>
        <v>Erik Kodobocz</v>
      </c>
      <c r="Q1572" s="6" t="str">
        <f>IFERROR(__xludf.DUMMYFUNCTION("""COMPUTED_VALUE"""),"HS")</f>
        <v>HS</v>
      </c>
      <c r="R1572" s="6">
        <f>IFERROR(__xludf.DUMMYFUNCTION("""COMPUTED_VALUE"""),0.0)</f>
        <v>0</v>
      </c>
      <c r="S1572" s="6" t="str">
        <f>IFERROR(__xludf.DUMMYFUNCTION("""COMPUTED_VALUE""")," ")</f>
        <v> </v>
      </c>
      <c r="T1572" s="6" t="str">
        <f>IFERROR(__xludf.DUMMYFUNCTION("""COMPUTED_VALUE"""),"")</f>
        <v/>
      </c>
      <c r="U1572" s="6" t="str">
        <f>IFERROR(__xludf.DUMMYFUNCTION("""COMPUTED_VALUE"""),"10")</f>
        <v>10</v>
      </c>
      <c r="V1572" s="6" t="str">
        <f>IFERROR(__xludf.DUMMYFUNCTION("""COMPUTED_VALUE"""),"English")</f>
        <v>English</v>
      </c>
      <c r="W1572" s="6" t="str">
        <f>IFERROR(__xludf.DUMMYFUNCTION("""COMPUTED_VALUE"""),"[]")</f>
        <v>[]</v>
      </c>
      <c r="X1572" s="6" t="str">
        <f>IFERROR(__xludf.DUMMYFUNCTION("""COMPUTED_VALUE"""),"Enrolled")</f>
        <v>Enrolled</v>
      </c>
    </row>
    <row r="1573">
      <c r="A1573" s="6" t="str">
        <f>IFERROR(__xludf.DUMMYFUNCTION("""COMPUTED_VALUE"""),"009-2935")</f>
        <v>009-2935</v>
      </c>
      <c r="B1573" s="6" t="str">
        <f>IFERROR(__xludf.DUMMYFUNCTION("""COMPUTED_VALUE"""),"9")</f>
        <v>9</v>
      </c>
      <c r="C1573" s="6" t="str">
        <f>IFERROR(__xludf.DUMMYFUNCTION("""COMPUTED_VALUE"""),"2935")</f>
        <v>2935</v>
      </c>
      <c r="D1573" s="6" t="str">
        <f>IFERROR(__xludf.DUMMYFUNCTION("""COMPUTED_VALUE"""),"Smahliuk")</f>
        <v>Smahliuk</v>
      </c>
      <c r="E1573" s="6" t="str">
        <f>IFERROR(__xludf.DUMMYFUNCTION("""COMPUTED_VALUE"""),"")</f>
        <v/>
      </c>
      <c r="F1573" s="6" t="str">
        <f>IFERROR(__xludf.DUMMYFUNCTION("""COMPUTED_VALUE"""),"Mykhailo")</f>
        <v>Mykhailo</v>
      </c>
      <c r="G1573" s="6" t="str">
        <f>IFERROR(__xludf.DUMMYFUNCTION("""COMPUTED_VALUE"""),"07/14/2010")</f>
        <v>07/14/2010</v>
      </c>
      <c r="H1573" s="6" t="str">
        <f>IFERROR(__xludf.DUMMYFUNCTION("""COMPUTED_VALUE"""),"Self Identify")</f>
        <v>Self Identify</v>
      </c>
      <c r="I1573" s="6" t="str">
        <f>IFERROR(__xludf.DUMMYFUNCTION("""COMPUTED_VALUE"""),"High School")</f>
        <v>High School</v>
      </c>
      <c r="J1573" s="6" t="str">
        <f>IFERROR(__xludf.DUMMYFUNCTION("""COMPUTED_VALUE"""),"9")</f>
        <v>9</v>
      </c>
      <c r="K1573" s="6" t="str">
        <f>IFERROR(__xludf.DUMMYFUNCTION("""COMPUTED_VALUE"""),"smahliuk.mykhailo@2hourlearning.com")</f>
        <v>smahliuk.mykhailo@2hourlearning.com</v>
      </c>
      <c r="L1573" s="6" t="str">
        <f>IFERROR(__xludf.DUMMYFUNCTION("""COMPUTED_VALUE"""),"Learn and Earn Poland")</f>
        <v>Learn and Earn Poland</v>
      </c>
      <c r="M1573" s="6" t="str">
        <f>IFERROR(__xludf.DUMMYFUNCTION("""COMPUTED_VALUE"""),"")</f>
        <v/>
      </c>
      <c r="N1573" s="6" t="str">
        <f>IFERROR(__xludf.DUMMYFUNCTION("""COMPUTED_VALUE"""),"")</f>
        <v/>
      </c>
      <c r="O1573" s="87" t="str">
        <f>IFERROR(__xludf.DUMMYFUNCTION("""COMPUTED_VALUE"""),"https://drive.google.com/drive/folders/10T2cTQHqEJZqE-st6uFKPoI?usp=share_link")</f>
        <v>https://drive.google.com/drive/folders/10T2cTQHqEJZqE-st6uFKPoI?usp=share_link</v>
      </c>
      <c r="P1573" s="6" t="str">
        <f>IFERROR(__xludf.DUMMYFUNCTION("""COMPUTED_VALUE"""),"Smahliuk Mykhailo")</f>
        <v>Smahliuk Mykhailo</v>
      </c>
      <c r="Q1573" s="6" t="str">
        <f>IFERROR(__xludf.DUMMYFUNCTION("""COMPUTED_VALUE"""),"HS")</f>
        <v>HS</v>
      </c>
      <c r="R1573" s="6">
        <f>IFERROR(__xludf.DUMMYFUNCTION("""COMPUTED_VALUE"""),0.0)</f>
        <v>0</v>
      </c>
      <c r="S1573" s="6" t="str">
        <f>IFERROR(__xludf.DUMMYFUNCTION("""COMPUTED_VALUE""")," ")</f>
        <v> </v>
      </c>
      <c r="T1573" s="6" t="str">
        <f>IFERROR(__xludf.DUMMYFUNCTION("""COMPUTED_VALUE"""),"")</f>
        <v/>
      </c>
      <c r="U1573" s="6" t="str">
        <f>IFERROR(__xludf.DUMMYFUNCTION("""COMPUTED_VALUE"""),"9")</f>
        <v>9</v>
      </c>
      <c r="V1573" s="6" t="str">
        <f>IFERROR(__xludf.DUMMYFUNCTION("""COMPUTED_VALUE"""),"English")</f>
        <v>English</v>
      </c>
      <c r="W1573" s="6" t="str">
        <f>IFERROR(__xludf.DUMMYFUNCTION("""COMPUTED_VALUE"""),"[]")</f>
        <v>[]</v>
      </c>
      <c r="X1573" s="6" t="str">
        <f>IFERROR(__xludf.DUMMYFUNCTION("""COMPUTED_VALUE"""),"Enrolled")</f>
        <v>Enrolled</v>
      </c>
    </row>
    <row r="1574">
      <c r="A1574" s="6" t="str">
        <f>IFERROR(__xludf.DUMMYFUNCTION("""COMPUTED_VALUE"""),"009-2936")</f>
        <v>009-2936</v>
      </c>
      <c r="B1574" s="6" t="str">
        <f>IFERROR(__xludf.DUMMYFUNCTION("""COMPUTED_VALUE"""),"9")</f>
        <v>9</v>
      </c>
      <c r="C1574" s="6" t="str">
        <f>IFERROR(__xludf.DUMMYFUNCTION("""COMPUTED_VALUE"""),"2936")</f>
        <v>2936</v>
      </c>
      <c r="D1574" s="6" t="str">
        <f>IFERROR(__xludf.DUMMYFUNCTION("""COMPUTED_VALUE"""),"Anabella")</f>
        <v>Anabella</v>
      </c>
      <c r="E1574" s="6" t="str">
        <f>IFERROR(__xludf.DUMMYFUNCTION("""COMPUTED_VALUE"""),"")</f>
        <v/>
      </c>
      <c r="F1574" s="6" t="str">
        <f>IFERROR(__xludf.DUMMYFUNCTION("""COMPUTED_VALUE"""),"Shestak")</f>
        <v>Shestak</v>
      </c>
      <c r="G1574" s="6" t="str">
        <f>IFERROR(__xludf.DUMMYFUNCTION("""COMPUTED_VALUE"""),"01/13/2015")</f>
        <v>01/13/2015</v>
      </c>
      <c r="H1574" s="6" t="str">
        <f>IFERROR(__xludf.DUMMYFUNCTION("""COMPUTED_VALUE"""),"Self Identify")</f>
        <v>Self Identify</v>
      </c>
      <c r="I1574" s="6" t="str">
        <f>IFERROR(__xludf.DUMMYFUNCTION("""COMPUTED_VALUE"""),"Level 2")</f>
        <v>Level 2</v>
      </c>
      <c r="J1574" s="6" t="str">
        <f>IFERROR(__xludf.DUMMYFUNCTION("""COMPUTED_VALUE"""),"5")</f>
        <v>5</v>
      </c>
      <c r="K1574" s="6" t="str">
        <f>IFERROR(__xludf.DUMMYFUNCTION("""COMPUTED_VALUE"""),"anabella.shestak@2hourlearning.com")</f>
        <v>anabella.shestak@2hourlearning.com</v>
      </c>
      <c r="L1574" s="6" t="str">
        <f>IFERROR(__xludf.DUMMYFUNCTION("""COMPUTED_VALUE"""),"Learn and Earn Poland")</f>
        <v>Learn and Earn Poland</v>
      </c>
      <c r="M1574" s="6" t="str">
        <f>IFERROR(__xludf.DUMMYFUNCTION("""COMPUTED_VALUE"""),"")</f>
        <v/>
      </c>
      <c r="N1574" s="6" t="str">
        <f>IFERROR(__xludf.DUMMYFUNCTION("""COMPUTED_VALUE"""),"")</f>
        <v/>
      </c>
      <c r="O1574" s="87" t="str">
        <f>IFERROR(__xludf.DUMMYFUNCTION("""COMPUTED_VALUE"""),"https://drive.google.com/drive/folders/10T2cTQHqEJZqE-st6uFKPoI?usp=share_link")</f>
        <v>https://drive.google.com/drive/folders/10T2cTQHqEJZqE-st6uFKPoI?usp=share_link</v>
      </c>
      <c r="P1574" s="6" t="str">
        <f>IFERROR(__xludf.DUMMYFUNCTION("""COMPUTED_VALUE"""),"Anabella Shestak")</f>
        <v>Anabella Shestak</v>
      </c>
      <c r="Q1574" s="6" t="str">
        <f>IFERROR(__xludf.DUMMYFUNCTION("""COMPUTED_VALUE"""),"L2")</f>
        <v>L2</v>
      </c>
      <c r="R1574" s="6">
        <f>IFERROR(__xludf.DUMMYFUNCTION("""COMPUTED_VALUE"""),2.0)</f>
        <v>2</v>
      </c>
      <c r="S1574" s="6" t="str">
        <f>IFERROR(__xludf.DUMMYFUNCTION("""COMPUTED_VALUE""")," ")</f>
        <v> </v>
      </c>
      <c r="T1574" s="6" t="str">
        <f>IFERROR(__xludf.DUMMYFUNCTION("""COMPUTED_VALUE"""),"")</f>
        <v/>
      </c>
      <c r="U1574" s="6" t="str">
        <f>IFERROR(__xludf.DUMMYFUNCTION("""COMPUTED_VALUE"""),"5")</f>
        <v>5</v>
      </c>
      <c r="V1574" s="6" t="str">
        <f>IFERROR(__xludf.DUMMYFUNCTION("""COMPUTED_VALUE"""),"English")</f>
        <v>English</v>
      </c>
      <c r="W1574" s="6" t="str">
        <f>IFERROR(__xludf.DUMMYFUNCTION("""COMPUTED_VALUE"""),"[]")</f>
        <v>[]</v>
      </c>
      <c r="X1574" s="6" t="str">
        <f>IFERROR(__xludf.DUMMYFUNCTION("""COMPUTED_VALUE"""),"Enrolled")</f>
        <v>Enrolled</v>
      </c>
    </row>
    <row r="1575">
      <c r="A1575" s="6" t="str">
        <f>IFERROR(__xludf.DUMMYFUNCTION("""COMPUTED_VALUE"""),"009-2937")</f>
        <v>009-2937</v>
      </c>
      <c r="B1575" s="6" t="str">
        <f>IFERROR(__xludf.DUMMYFUNCTION("""COMPUTED_VALUE"""),"9")</f>
        <v>9</v>
      </c>
      <c r="C1575" s="6" t="str">
        <f>IFERROR(__xludf.DUMMYFUNCTION("""COMPUTED_VALUE"""),"2937")</f>
        <v>2937</v>
      </c>
      <c r="D1575" s="6" t="str">
        <f>IFERROR(__xludf.DUMMYFUNCTION("""COMPUTED_VALUE"""),"Oleksandr")</f>
        <v>Oleksandr</v>
      </c>
      <c r="E1575" s="6" t="str">
        <f>IFERROR(__xludf.DUMMYFUNCTION("""COMPUTED_VALUE"""),"")</f>
        <v/>
      </c>
      <c r="F1575" s="6" t="str">
        <f>IFERROR(__xludf.DUMMYFUNCTION("""COMPUTED_VALUE"""),"Kuzenko")</f>
        <v>Kuzenko</v>
      </c>
      <c r="G1575" s="6" t="str">
        <f>IFERROR(__xludf.DUMMYFUNCTION("""COMPUTED_VALUE"""),"11/07/2008")</f>
        <v>11/07/2008</v>
      </c>
      <c r="H1575" s="6" t="str">
        <f>IFERROR(__xludf.DUMMYFUNCTION("""COMPUTED_VALUE"""),"Self Identify")</f>
        <v>Self Identify</v>
      </c>
      <c r="I1575" s="6" t="str">
        <f>IFERROR(__xludf.DUMMYFUNCTION("""COMPUTED_VALUE"""),"High School")</f>
        <v>High School</v>
      </c>
      <c r="J1575" s="6" t="str">
        <f>IFERROR(__xludf.DUMMYFUNCTION("""COMPUTED_VALUE"""),"11")</f>
        <v>11</v>
      </c>
      <c r="K1575" s="6" t="str">
        <f>IFERROR(__xludf.DUMMYFUNCTION("""COMPUTED_VALUE"""),"oleksandr.kuzenko@2hourlearning.com")</f>
        <v>oleksandr.kuzenko@2hourlearning.com</v>
      </c>
      <c r="L1575" s="6" t="str">
        <f>IFERROR(__xludf.DUMMYFUNCTION("""COMPUTED_VALUE"""),"Learn and Earn Poland")</f>
        <v>Learn and Earn Poland</v>
      </c>
      <c r="M1575" s="6" t="str">
        <f>IFERROR(__xludf.DUMMYFUNCTION("""COMPUTED_VALUE"""),"")</f>
        <v/>
      </c>
      <c r="N1575" s="6" t="str">
        <f>IFERROR(__xludf.DUMMYFUNCTION("""COMPUTED_VALUE"""),"")</f>
        <v/>
      </c>
      <c r="O1575" s="87" t="str">
        <f>IFERROR(__xludf.DUMMYFUNCTION("""COMPUTED_VALUE"""),"https://drive.google.com/drive/folders/10T2cTQHqEJZqE-st6uFKPoI?usp=share_link")</f>
        <v>https://drive.google.com/drive/folders/10T2cTQHqEJZqE-st6uFKPoI?usp=share_link</v>
      </c>
      <c r="P1575" s="6" t="str">
        <f>IFERROR(__xludf.DUMMYFUNCTION("""COMPUTED_VALUE"""),"Oleksandr Kuzenko")</f>
        <v>Oleksandr Kuzenko</v>
      </c>
      <c r="Q1575" s="6" t="str">
        <f>IFERROR(__xludf.DUMMYFUNCTION("""COMPUTED_VALUE"""),"HS")</f>
        <v>HS</v>
      </c>
      <c r="R1575" s="6">
        <f>IFERROR(__xludf.DUMMYFUNCTION("""COMPUTED_VALUE"""),0.0)</f>
        <v>0</v>
      </c>
      <c r="S1575" s="6" t="str">
        <f>IFERROR(__xludf.DUMMYFUNCTION("""COMPUTED_VALUE""")," ")</f>
        <v> </v>
      </c>
      <c r="T1575" s="6" t="str">
        <f>IFERROR(__xludf.DUMMYFUNCTION("""COMPUTED_VALUE"""),"")</f>
        <v/>
      </c>
      <c r="U1575" s="6" t="str">
        <f>IFERROR(__xludf.DUMMYFUNCTION("""COMPUTED_VALUE"""),"11")</f>
        <v>11</v>
      </c>
      <c r="V1575" s="6" t="str">
        <f>IFERROR(__xludf.DUMMYFUNCTION("""COMPUTED_VALUE"""),"English")</f>
        <v>English</v>
      </c>
      <c r="W1575" s="6" t="str">
        <f>IFERROR(__xludf.DUMMYFUNCTION("""COMPUTED_VALUE"""),"[]")</f>
        <v>[]</v>
      </c>
      <c r="X1575" s="6" t="str">
        <f>IFERROR(__xludf.DUMMYFUNCTION("""COMPUTED_VALUE"""),"Enrolled")</f>
        <v>Enrolled</v>
      </c>
    </row>
    <row r="1576">
      <c r="A1576" s="6" t="str">
        <f>IFERROR(__xludf.DUMMYFUNCTION("""COMPUTED_VALUE"""),"009-2938")</f>
        <v>009-2938</v>
      </c>
      <c r="B1576" s="6" t="str">
        <f>IFERROR(__xludf.DUMMYFUNCTION("""COMPUTED_VALUE"""),"9")</f>
        <v>9</v>
      </c>
      <c r="C1576" s="6" t="str">
        <f>IFERROR(__xludf.DUMMYFUNCTION("""COMPUTED_VALUE"""),"2938")</f>
        <v>2938</v>
      </c>
      <c r="D1576" s="6" t="str">
        <f>IFERROR(__xludf.DUMMYFUNCTION("""COMPUTED_VALUE"""),"Maksym")</f>
        <v>Maksym</v>
      </c>
      <c r="E1576" s="6" t="str">
        <f>IFERROR(__xludf.DUMMYFUNCTION("""COMPUTED_VALUE"""),"")</f>
        <v/>
      </c>
      <c r="F1576" s="6" t="str">
        <f>IFERROR(__xludf.DUMMYFUNCTION("""COMPUTED_VALUE"""),"Storozhuk")</f>
        <v>Storozhuk</v>
      </c>
      <c r="G1576" s="6" t="str">
        <f>IFERROR(__xludf.DUMMYFUNCTION("""COMPUTED_VALUE"""),"09/19/2016")</f>
        <v>09/19/2016</v>
      </c>
      <c r="H1576" s="6" t="str">
        <f>IFERROR(__xludf.DUMMYFUNCTION("""COMPUTED_VALUE"""),"Self Identify")</f>
        <v>Self Identify</v>
      </c>
      <c r="I1576" s="6" t="str">
        <f>IFERROR(__xludf.DUMMYFUNCTION("""COMPUTED_VALUE"""),"Level 1")</f>
        <v>Level 1</v>
      </c>
      <c r="J1576" s="6" t="str">
        <f>IFERROR(__xludf.DUMMYFUNCTION("""COMPUTED_VALUE"""),"3")</f>
        <v>3</v>
      </c>
      <c r="K1576" s="6" t="str">
        <f>IFERROR(__xludf.DUMMYFUNCTION("""COMPUTED_VALUE"""),"maksym.storozhuk@2hourlearning.com")</f>
        <v>maksym.storozhuk@2hourlearning.com</v>
      </c>
      <c r="L1576" s="6" t="str">
        <f>IFERROR(__xludf.DUMMYFUNCTION("""COMPUTED_VALUE"""),"Learn and Earn Poland")</f>
        <v>Learn and Earn Poland</v>
      </c>
      <c r="M1576" s="6" t="str">
        <f>IFERROR(__xludf.DUMMYFUNCTION("""COMPUTED_VALUE"""),"")</f>
        <v/>
      </c>
      <c r="N1576" s="6" t="str">
        <f>IFERROR(__xludf.DUMMYFUNCTION("""COMPUTED_VALUE"""),"")</f>
        <v/>
      </c>
      <c r="O1576" s="87" t="str">
        <f>IFERROR(__xludf.DUMMYFUNCTION("""COMPUTED_VALUE"""),"https://drive.google.com/drive/folders/10T2cTQHqEJZqE-st6uFKPoI?usp=share_link")</f>
        <v>https://drive.google.com/drive/folders/10T2cTQHqEJZqE-st6uFKPoI?usp=share_link</v>
      </c>
      <c r="P1576" s="6" t="str">
        <f>IFERROR(__xludf.DUMMYFUNCTION("""COMPUTED_VALUE"""),"Maksym Storozhuk")</f>
        <v>Maksym Storozhuk</v>
      </c>
      <c r="Q1576" s="6" t="str">
        <f>IFERROR(__xludf.DUMMYFUNCTION("""COMPUTED_VALUE"""),"L1")</f>
        <v>L1</v>
      </c>
      <c r="R1576" s="6">
        <f>IFERROR(__xludf.DUMMYFUNCTION("""COMPUTED_VALUE"""),1.0)</f>
        <v>1</v>
      </c>
      <c r="S1576" s="6" t="str">
        <f>IFERROR(__xludf.DUMMYFUNCTION("""COMPUTED_VALUE""")," ")</f>
        <v> </v>
      </c>
      <c r="T1576" s="6" t="str">
        <f>IFERROR(__xludf.DUMMYFUNCTION("""COMPUTED_VALUE"""),"")</f>
        <v/>
      </c>
      <c r="U1576" s="6" t="str">
        <f>IFERROR(__xludf.DUMMYFUNCTION("""COMPUTED_VALUE"""),"3")</f>
        <v>3</v>
      </c>
      <c r="V1576" s="6" t="str">
        <f>IFERROR(__xludf.DUMMYFUNCTION("""COMPUTED_VALUE"""),"English")</f>
        <v>English</v>
      </c>
      <c r="W1576" s="6" t="str">
        <f>IFERROR(__xludf.DUMMYFUNCTION("""COMPUTED_VALUE"""),"[]")</f>
        <v>[]</v>
      </c>
      <c r="X1576" s="6" t="str">
        <f>IFERROR(__xludf.DUMMYFUNCTION("""COMPUTED_VALUE"""),"Enrolled")</f>
        <v>Enrolled</v>
      </c>
    </row>
    <row r="1577">
      <c r="A1577" s="6" t="str">
        <f>IFERROR(__xludf.DUMMYFUNCTION("""COMPUTED_VALUE"""),"009-2939")</f>
        <v>009-2939</v>
      </c>
      <c r="B1577" s="6" t="str">
        <f>IFERROR(__xludf.DUMMYFUNCTION("""COMPUTED_VALUE"""),"9")</f>
        <v>9</v>
      </c>
      <c r="C1577" s="6" t="str">
        <f>IFERROR(__xludf.DUMMYFUNCTION("""COMPUTED_VALUE"""),"2939")</f>
        <v>2939</v>
      </c>
      <c r="D1577" s="6" t="str">
        <f>IFERROR(__xludf.DUMMYFUNCTION("""COMPUTED_VALUE"""),"Danyil")</f>
        <v>Danyil</v>
      </c>
      <c r="E1577" s="6" t="str">
        <f>IFERROR(__xludf.DUMMYFUNCTION("""COMPUTED_VALUE"""),"")</f>
        <v/>
      </c>
      <c r="F1577" s="6" t="str">
        <f>IFERROR(__xludf.DUMMYFUNCTION("""COMPUTED_VALUE"""),"Buzian")</f>
        <v>Buzian</v>
      </c>
      <c r="G1577" s="6" t="str">
        <f>IFERROR(__xludf.DUMMYFUNCTION("""COMPUTED_VALUE"""),"11/20/2016")</f>
        <v>11/20/2016</v>
      </c>
      <c r="H1577" s="6" t="str">
        <f>IFERROR(__xludf.DUMMYFUNCTION("""COMPUTED_VALUE"""),"Self Identify")</f>
        <v>Self Identify</v>
      </c>
      <c r="I1577" s="6" t="str">
        <f>IFERROR(__xludf.DUMMYFUNCTION("""COMPUTED_VALUE"""),"Level 1")</f>
        <v>Level 1</v>
      </c>
      <c r="J1577" s="6" t="str">
        <f>IFERROR(__xludf.DUMMYFUNCTION("""COMPUTED_VALUE"""),"3")</f>
        <v>3</v>
      </c>
      <c r="K1577" s="6" t="str">
        <f>IFERROR(__xludf.DUMMYFUNCTION("""COMPUTED_VALUE"""),"danyil.buzian@2hourlearning.com")</f>
        <v>danyil.buzian@2hourlearning.com</v>
      </c>
      <c r="L1577" s="6" t="str">
        <f>IFERROR(__xludf.DUMMYFUNCTION("""COMPUTED_VALUE"""),"Learn and Earn Poland")</f>
        <v>Learn and Earn Poland</v>
      </c>
      <c r="M1577" s="6" t="str">
        <f>IFERROR(__xludf.DUMMYFUNCTION("""COMPUTED_VALUE"""),"")</f>
        <v/>
      </c>
      <c r="N1577" s="6" t="str">
        <f>IFERROR(__xludf.DUMMYFUNCTION("""COMPUTED_VALUE"""),"")</f>
        <v/>
      </c>
      <c r="O1577" s="87" t="str">
        <f>IFERROR(__xludf.DUMMYFUNCTION("""COMPUTED_VALUE"""),"https://drive.google.com/drive/folders/10T2cTQHqEJZqE-st6uFKPoI?usp=share_link")</f>
        <v>https://drive.google.com/drive/folders/10T2cTQHqEJZqE-st6uFKPoI?usp=share_link</v>
      </c>
      <c r="P1577" s="6" t="str">
        <f>IFERROR(__xludf.DUMMYFUNCTION("""COMPUTED_VALUE"""),"Danyil Buzian")</f>
        <v>Danyil Buzian</v>
      </c>
      <c r="Q1577" s="6" t="str">
        <f>IFERROR(__xludf.DUMMYFUNCTION("""COMPUTED_VALUE"""),"L1")</f>
        <v>L1</v>
      </c>
      <c r="R1577" s="6">
        <f>IFERROR(__xludf.DUMMYFUNCTION("""COMPUTED_VALUE"""),1.0)</f>
        <v>1</v>
      </c>
      <c r="S1577" s="6" t="str">
        <f>IFERROR(__xludf.DUMMYFUNCTION("""COMPUTED_VALUE""")," ")</f>
        <v> </v>
      </c>
      <c r="T1577" s="6" t="str">
        <f>IFERROR(__xludf.DUMMYFUNCTION("""COMPUTED_VALUE"""),"")</f>
        <v/>
      </c>
      <c r="U1577" s="6" t="str">
        <f>IFERROR(__xludf.DUMMYFUNCTION("""COMPUTED_VALUE"""),"3")</f>
        <v>3</v>
      </c>
      <c r="V1577" s="6" t="str">
        <f>IFERROR(__xludf.DUMMYFUNCTION("""COMPUTED_VALUE"""),"English")</f>
        <v>English</v>
      </c>
      <c r="W1577" s="6" t="str">
        <f>IFERROR(__xludf.DUMMYFUNCTION("""COMPUTED_VALUE"""),"[]")</f>
        <v>[]</v>
      </c>
      <c r="X1577" s="6" t="str">
        <f>IFERROR(__xludf.DUMMYFUNCTION("""COMPUTED_VALUE"""),"Enrolled")</f>
        <v>Enrolled</v>
      </c>
    </row>
    <row r="1578">
      <c r="A1578" s="6" t="str">
        <f>IFERROR(__xludf.DUMMYFUNCTION("""COMPUTED_VALUE"""),"009-2940")</f>
        <v>009-2940</v>
      </c>
      <c r="B1578" s="6" t="str">
        <f>IFERROR(__xludf.DUMMYFUNCTION("""COMPUTED_VALUE"""),"9")</f>
        <v>9</v>
      </c>
      <c r="C1578" s="6" t="str">
        <f>IFERROR(__xludf.DUMMYFUNCTION("""COMPUTED_VALUE"""),"2940")</f>
        <v>2940</v>
      </c>
      <c r="D1578" s="6" t="str">
        <f>IFERROR(__xludf.DUMMYFUNCTION("""COMPUTED_VALUE"""),"Mykhailo")</f>
        <v>Mykhailo</v>
      </c>
      <c r="E1578" s="6" t="str">
        <f>IFERROR(__xludf.DUMMYFUNCTION("""COMPUTED_VALUE"""),"")</f>
        <v/>
      </c>
      <c r="F1578" s="6" t="str">
        <f>IFERROR(__xludf.DUMMYFUNCTION("""COMPUTED_VALUE"""),"Storozhuk")</f>
        <v>Storozhuk</v>
      </c>
      <c r="G1578" s="6" t="str">
        <f>IFERROR(__xludf.DUMMYFUNCTION("""COMPUTED_VALUE"""),"01/11/2012")</f>
        <v>01/11/2012</v>
      </c>
      <c r="H1578" s="6" t="str">
        <f>IFERROR(__xludf.DUMMYFUNCTION("""COMPUTED_VALUE"""),"Self Identify")</f>
        <v>Self Identify</v>
      </c>
      <c r="I1578" s="6" t="str">
        <f>IFERROR(__xludf.DUMMYFUNCTION("""COMPUTED_VALUE"""),"Middle School")</f>
        <v>Middle School</v>
      </c>
      <c r="J1578" s="6" t="str">
        <f>IFERROR(__xludf.DUMMYFUNCTION("""COMPUTED_VALUE"""),"8")</f>
        <v>8</v>
      </c>
      <c r="K1578" s="6" t="str">
        <f>IFERROR(__xludf.DUMMYFUNCTION("""COMPUTED_VALUE"""),"mykhailo.storozhuk@2hourlearning.com")</f>
        <v>mykhailo.storozhuk@2hourlearning.com</v>
      </c>
      <c r="L1578" s="6" t="str">
        <f>IFERROR(__xludf.DUMMYFUNCTION("""COMPUTED_VALUE"""),"Learn and Earn Poland")</f>
        <v>Learn and Earn Poland</v>
      </c>
      <c r="M1578" s="6" t="str">
        <f>IFERROR(__xludf.DUMMYFUNCTION("""COMPUTED_VALUE"""),"")</f>
        <v/>
      </c>
      <c r="N1578" s="6" t="str">
        <f>IFERROR(__xludf.DUMMYFUNCTION("""COMPUTED_VALUE"""),"")</f>
        <v/>
      </c>
      <c r="O1578" s="87" t="str">
        <f>IFERROR(__xludf.DUMMYFUNCTION("""COMPUTED_VALUE"""),"https://drive.google.com/drive/folders/10T2cTQHqEJZqE-st6uFKPoI?usp=share_link")</f>
        <v>https://drive.google.com/drive/folders/10T2cTQHqEJZqE-st6uFKPoI?usp=share_link</v>
      </c>
      <c r="P1578" s="6" t="str">
        <f>IFERROR(__xludf.DUMMYFUNCTION("""COMPUTED_VALUE"""),"Mykhailo Storozhuk")</f>
        <v>Mykhailo Storozhuk</v>
      </c>
      <c r="Q1578" s="6" t="str">
        <f>IFERROR(__xludf.DUMMYFUNCTION("""COMPUTED_VALUE"""),"MS")</f>
        <v>MS</v>
      </c>
      <c r="R1578" s="6">
        <f>IFERROR(__xludf.DUMMYFUNCTION("""COMPUTED_VALUE"""),0.0)</f>
        <v>0</v>
      </c>
      <c r="S1578" s="6" t="str">
        <f>IFERROR(__xludf.DUMMYFUNCTION("""COMPUTED_VALUE""")," ")</f>
        <v> </v>
      </c>
      <c r="T1578" s="6" t="str">
        <f>IFERROR(__xludf.DUMMYFUNCTION("""COMPUTED_VALUE"""),"")</f>
        <v/>
      </c>
      <c r="U1578" s="6" t="str">
        <f>IFERROR(__xludf.DUMMYFUNCTION("""COMPUTED_VALUE"""),"8")</f>
        <v>8</v>
      </c>
      <c r="V1578" s="6" t="str">
        <f>IFERROR(__xludf.DUMMYFUNCTION("""COMPUTED_VALUE"""),"English")</f>
        <v>English</v>
      </c>
      <c r="W1578" s="6" t="str">
        <f>IFERROR(__xludf.DUMMYFUNCTION("""COMPUTED_VALUE"""),"[]")</f>
        <v>[]</v>
      </c>
      <c r="X1578" s="6" t="str">
        <f>IFERROR(__xludf.DUMMYFUNCTION("""COMPUTED_VALUE"""),"Enrolled")</f>
        <v>Enrolled</v>
      </c>
    </row>
    <row r="1579">
      <c r="A1579" s="6" t="str">
        <f>IFERROR(__xludf.DUMMYFUNCTION("""COMPUTED_VALUE"""),"009-2942")</f>
        <v>009-2942</v>
      </c>
      <c r="B1579" s="6" t="str">
        <f>IFERROR(__xludf.DUMMYFUNCTION("""COMPUTED_VALUE"""),"9")</f>
        <v>9</v>
      </c>
      <c r="C1579" s="6" t="str">
        <f>IFERROR(__xludf.DUMMYFUNCTION("""COMPUTED_VALUE"""),"2942")</f>
        <v>2942</v>
      </c>
      <c r="D1579" s="6" t="str">
        <f>IFERROR(__xludf.DUMMYFUNCTION("""COMPUTED_VALUE"""),"Vudvodova")</f>
        <v>Vudvodova</v>
      </c>
      <c r="E1579" s="6" t="str">
        <f>IFERROR(__xludf.DUMMYFUNCTION("""COMPUTED_VALUE"""),"")</f>
        <v/>
      </c>
      <c r="F1579" s="6" t="str">
        <f>IFERROR(__xludf.DUMMYFUNCTION("""COMPUTED_VALUE"""),"Ulianna")</f>
        <v>Ulianna</v>
      </c>
      <c r="G1579" s="6" t="str">
        <f>IFERROR(__xludf.DUMMYFUNCTION("""COMPUTED_VALUE"""),"02/07/2014")</f>
        <v>02/07/2014</v>
      </c>
      <c r="H1579" s="6" t="str">
        <f>IFERROR(__xludf.DUMMYFUNCTION("""COMPUTED_VALUE"""),"Self Identify")</f>
        <v>Self Identify</v>
      </c>
      <c r="I1579" s="6" t="str">
        <f>IFERROR(__xludf.DUMMYFUNCTION("""COMPUTED_VALUE"""),"Middle School")</f>
        <v>Middle School</v>
      </c>
      <c r="J1579" s="6" t="str">
        <f>IFERROR(__xludf.DUMMYFUNCTION("""COMPUTED_VALUE"""),"6")</f>
        <v>6</v>
      </c>
      <c r="K1579" s="6" t="str">
        <f>IFERROR(__xludf.DUMMYFUNCTION("""COMPUTED_VALUE"""),"vudvodova.ulianna@2hourlearning.com")</f>
        <v>vudvodova.ulianna@2hourlearning.com</v>
      </c>
      <c r="L1579" s="6" t="str">
        <f>IFERROR(__xludf.DUMMYFUNCTION("""COMPUTED_VALUE"""),"Learn and Earn Poland")</f>
        <v>Learn and Earn Poland</v>
      </c>
      <c r="M1579" s="6" t="str">
        <f>IFERROR(__xludf.DUMMYFUNCTION("""COMPUTED_VALUE"""),"")</f>
        <v/>
      </c>
      <c r="N1579" s="6" t="str">
        <f>IFERROR(__xludf.DUMMYFUNCTION("""COMPUTED_VALUE"""),"")</f>
        <v/>
      </c>
      <c r="O1579" s="87" t="str">
        <f>IFERROR(__xludf.DUMMYFUNCTION("""COMPUTED_VALUE"""),"https://drive.google.com/drive/folders/10T2cTQHqEJZqE-st6uFKPoI?usp=share_link")</f>
        <v>https://drive.google.com/drive/folders/10T2cTQHqEJZqE-st6uFKPoI?usp=share_link</v>
      </c>
      <c r="P1579" s="6" t="str">
        <f>IFERROR(__xludf.DUMMYFUNCTION("""COMPUTED_VALUE"""),"Vudvodova Ulianna")</f>
        <v>Vudvodova Ulianna</v>
      </c>
      <c r="Q1579" s="6" t="str">
        <f>IFERROR(__xludf.DUMMYFUNCTION("""COMPUTED_VALUE"""),"MS")</f>
        <v>MS</v>
      </c>
      <c r="R1579" s="6">
        <f>IFERROR(__xludf.DUMMYFUNCTION("""COMPUTED_VALUE"""),0.0)</f>
        <v>0</v>
      </c>
      <c r="S1579" s="6" t="str">
        <f>IFERROR(__xludf.DUMMYFUNCTION("""COMPUTED_VALUE""")," ")</f>
        <v> </v>
      </c>
      <c r="T1579" s="6" t="str">
        <f>IFERROR(__xludf.DUMMYFUNCTION("""COMPUTED_VALUE"""),"")</f>
        <v/>
      </c>
      <c r="U1579" s="6" t="str">
        <f>IFERROR(__xludf.DUMMYFUNCTION("""COMPUTED_VALUE"""),"6")</f>
        <v>6</v>
      </c>
      <c r="V1579" s="6" t="str">
        <f>IFERROR(__xludf.DUMMYFUNCTION("""COMPUTED_VALUE"""),"English")</f>
        <v>English</v>
      </c>
      <c r="W1579" s="6" t="str">
        <f>IFERROR(__xludf.DUMMYFUNCTION("""COMPUTED_VALUE"""),"[]")</f>
        <v>[]</v>
      </c>
      <c r="X1579" s="6" t="str">
        <f>IFERROR(__xludf.DUMMYFUNCTION("""COMPUTED_VALUE"""),"Enrolled")</f>
        <v>Enrolled</v>
      </c>
    </row>
    <row r="1580">
      <c r="A1580" s="6" t="str">
        <f>IFERROR(__xludf.DUMMYFUNCTION("""COMPUTED_VALUE"""),"009-2943")</f>
        <v>009-2943</v>
      </c>
      <c r="B1580" s="6" t="str">
        <f>IFERROR(__xludf.DUMMYFUNCTION("""COMPUTED_VALUE"""),"9")</f>
        <v>9</v>
      </c>
      <c r="C1580" s="6" t="str">
        <f>IFERROR(__xludf.DUMMYFUNCTION("""COMPUTED_VALUE"""),"2943")</f>
        <v>2943</v>
      </c>
      <c r="D1580" s="6" t="str">
        <f>IFERROR(__xludf.DUMMYFUNCTION("""COMPUTED_VALUE"""),"Inna")</f>
        <v>Inna</v>
      </c>
      <c r="E1580" s="6" t="str">
        <f>IFERROR(__xludf.DUMMYFUNCTION("""COMPUTED_VALUE"""),"")</f>
        <v/>
      </c>
      <c r="F1580" s="6" t="str">
        <f>IFERROR(__xludf.DUMMYFUNCTION("""COMPUTED_VALUE"""),"DʼIachenko")</f>
        <v>DʼIachenko</v>
      </c>
      <c r="G1580" s="6" t="str">
        <f>IFERROR(__xludf.DUMMYFUNCTION("""COMPUTED_VALUE"""),"05/25/2015")</f>
        <v>05/25/2015</v>
      </c>
      <c r="H1580" s="6" t="str">
        <f>IFERROR(__xludf.DUMMYFUNCTION("""COMPUTED_VALUE"""),"Self Identify")</f>
        <v>Self Identify</v>
      </c>
      <c r="I1580" s="6" t="str">
        <f>IFERROR(__xludf.DUMMYFUNCTION("""COMPUTED_VALUE"""),"Level 2")</f>
        <v>Level 2</v>
      </c>
      <c r="J1580" s="6" t="str">
        <f>IFERROR(__xludf.DUMMYFUNCTION("""COMPUTED_VALUE"""),"5")</f>
        <v>5</v>
      </c>
      <c r="K1580" s="6" t="str">
        <f>IFERROR(__xludf.DUMMYFUNCTION("""COMPUTED_VALUE"""),"inna.diachenko@2hourlearning.com")</f>
        <v>inna.diachenko@2hourlearning.com</v>
      </c>
      <c r="L1580" s="6" t="str">
        <f>IFERROR(__xludf.DUMMYFUNCTION("""COMPUTED_VALUE"""),"Learn and Earn Poland")</f>
        <v>Learn and Earn Poland</v>
      </c>
      <c r="M1580" s="6" t="str">
        <f>IFERROR(__xludf.DUMMYFUNCTION("""COMPUTED_VALUE"""),"")</f>
        <v/>
      </c>
      <c r="N1580" s="6" t="str">
        <f>IFERROR(__xludf.DUMMYFUNCTION("""COMPUTED_VALUE"""),"")</f>
        <v/>
      </c>
      <c r="O1580" s="87" t="str">
        <f>IFERROR(__xludf.DUMMYFUNCTION("""COMPUTED_VALUE"""),"https://drive.google.com/drive/folders/10T2cTQHqEJZqE-st6uFKPoI?usp=share_link")</f>
        <v>https://drive.google.com/drive/folders/10T2cTQHqEJZqE-st6uFKPoI?usp=share_link</v>
      </c>
      <c r="P1580" s="6" t="str">
        <f>IFERROR(__xludf.DUMMYFUNCTION("""COMPUTED_VALUE"""),"Inna DʼIachenko")</f>
        <v>Inna DʼIachenko</v>
      </c>
      <c r="Q1580" s="6" t="str">
        <f>IFERROR(__xludf.DUMMYFUNCTION("""COMPUTED_VALUE"""),"L2")</f>
        <v>L2</v>
      </c>
      <c r="R1580" s="6">
        <f>IFERROR(__xludf.DUMMYFUNCTION("""COMPUTED_VALUE"""),2.0)</f>
        <v>2</v>
      </c>
      <c r="S1580" s="6" t="str">
        <f>IFERROR(__xludf.DUMMYFUNCTION("""COMPUTED_VALUE""")," ")</f>
        <v> </v>
      </c>
      <c r="T1580" s="6" t="str">
        <f>IFERROR(__xludf.DUMMYFUNCTION("""COMPUTED_VALUE"""),"")</f>
        <v/>
      </c>
      <c r="U1580" s="6" t="str">
        <f>IFERROR(__xludf.DUMMYFUNCTION("""COMPUTED_VALUE"""),"5")</f>
        <v>5</v>
      </c>
      <c r="V1580" s="6" t="str">
        <f>IFERROR(__xludf.DUMMYFUNCTION("""COMPUTED_VALUE"""),"English")</f>
        <v>English</v>
      </c>
      <c r="W1580" s="6" t="str">
        <f>IFERROR(__xludf.DUMMYFUNCTION("""COMPUTED_VALUE"""),"[]")</f>
        <v>[]</v>
      </c>
      <c r="X1580" s="6" t="str">
        <f>IFERROR(__xludf.DUMMYFUNCTION("""COMPUTED_VALUE"""),"Enrolled")</f>
        <v>Enrolled</v>
      </c>
    </row>
    <row r="1581">
      <c r="A1581" s="6" t="str">
        <f>IFERROR(__xludf.DUMMYFUNCTION("""COMPUTED_VALUE"""),"009-2944")</f>
        <v>009-2944</v>
      </c>
      <c r="B1581" s="6" t="str">
        <f>IFERROR(__xludf.DUMMYFUNCTION("""COMPUTED_VALUE"""),"9")</f>
        <v>9</v>
      </c>
      <c r="C1581" s="6" t="str">
        <f>IFERROR(__xludf.DUMMYFUNCTION("""COMPUTED_VALUE"""),"2944")</f>
        <v>2944</v>
      </c>
      <c r="D1581" s="6" t="str">
        <f>IFERROR(__xludf.DUMMYFUNCTION("""COMPUTED_VALUE"""),"Xeniia")</f>
        <v>Xeniia</v>
      </c>
      <c r="E1581" s="6" t="str">
        <f>IFERROR(__xludf.DUMMYFUNCTION("""COMPUTED_VALUE"""),"")</f>
        <v/>
      </c>
      <c r="F1581" s="6" t="str">
        <f>IFERROR(__xludf.DUMMYFUNCTION("""COMPUTED_VALUE"""),"Kolodiazhna")</f>
        <v>Kolodiazhna</v>
      </c>
      <c r="G1581" s="6" t="str">
        <f>IFERROR(__xludf.DUMMYFUNCTION("""COMPUTED_VALUE"""),"07/05/2018")</f>
        <v>07/05/2018</v>
      </c>
      <c r="H1581" s="6" t="str">
        <f>IFERROR(__xludf.DUMMYFUNCTION("""COMPUTED_VALUE"""),"Self Identify")</f>
        <v>Self Identify</v>
      </c>
      <c r="I1581" s="6" t="str">
        <f>IFERROR(__xludf.DUMMYFUNCTION("""COMPUTED_VALUE"""),"Learning Lab")</f>
        <v>Learning Lab</v>
      </c>
      <c r="J1581" s="6" t="str">
        <f>IFERROR(__xludf.DUMMYFUNCTION("""COMPUTED_VALUE"""),"1")</f>
        <v>1</v>
      </c>
      <c r="K1581" s="6" t="str">
        <f>IFERROR(__xludf.DUMMYFUNCTION("""COMPUTED_VALUE"""),"xeniia.kolodiazhna@2hourlearning.com")</f>
        <v>xeniia.kolodiazhna@2hourlearning.com</v>
      </c>
      <c r="L1581" s="6" t="str">
        <f>IFERROR(__xludf.DUMMYFUNCTION("""COMPUTED_VALUE"""),"Learn and Earn Poland")</f>
        <v>Learn and Earn Poland</v>
      </c>
      <c r="M1581" s="6" t="str">
        <f>IFERROR(__xludf.DUMMYFUNCTION("""COMPUTED_VALUE"""),"")</f>
        <v/>
      </c>
      <c r="N1581" s="6" t="str">
        <f>IFERROR(__xludf.DUMMYFUNCTION("""COMPUTED_VALUE"""),"")</f>
        <v/>
      </c>
      <c r="O1581" s="87" t="str">
        <f>IFERROR(__xludf.DUMMYFUNCTION("""COMPUTED_VALUE"""),"https://drive.google.com/drive/folders/10T2cTQHqEJZqE-st6uFKPoI?usp=share_link")</f>
        <v>https://drive.google.com/drive/folders/10T2cTQHqEJZqE-st6uFKPoI?usp=share_link</v>
      </c>
      <c r="P1581" s="6" t="str">
        <f>IFERROR(__xludf.DUMMYFUNCTION("""COMPUTED_VALUE"""),"Xeniia Kolodiazhna")</f>
        <v>Xeniia Kolodiazhna</v>
      </c>
      <c r="Q1581" s="6" t="str">
        <f>IFERROR(__xludf.DUMMYFUNCTION("""COMPUTED_VALUE"""),"LL")</f>
        <v>LL</v>
      </c>
      <c r="R1581" s="6">
        <f>IFERROR(__xludf.DUMMYFUNCTION("""COMPUTED_VALUE"""),0.0)</f>
        <v>0</v>
      </c>
      <c r="S1581" s="6" t="str">
        <f>IFERROR(__xludf.DUMMYFUNCTION("""COMPUTED_VALUE""")," ")</f>
        <v> </v>
      </c>
      <c r="T1581" s="6" t="str">
        <f>IFERROR(__xludf.DUMMYFUNCTION("""COMPUTED_VALUE"""),"")</f>
        <v/>
      </c>
      <c r="U1581" s="6" t="str">
        <f>IFERROR(__xludf.DUMMYFUNCTION("""COMPUTED_VALUE"""),"1")</f>
        <v>1</v>
      </c>
      <c r="V1581" s="6" t="str">
        <f>IFERROR(__xludf.DUMMYFUNCTION("""COMPUTED_VALUE"""),"English")</f>
        <v>English</v>
      </c>
      <c r="W1581" s="6" t="str">
        <f>IFERROR(__xludf.DUMMYFUNCTION("""COMPUTED_VALUE"""),"[]")</f>
        <v>[]</v>
      </c>
      <c r="X1581" s="6" t="str">
        <f>IFERROR(__xludf.DUMMYFUNCTION("""COMPUTED_VALUE"""),"Enrolled")</f>
        <v>Enrolled</v>
      </c>
    </row>
    <row r="1582">
      <c r="A1582" s="6" t="str">
        <f>IFERROR(__xludf.DUMMYFUNCTION("""COMPUTED_VALUE"""),"009-2945")</f>
        <v>009-2945</v>
      </c>
      <c r="B1582" s="6" t="str">
        <f>IFERROR(__xludf.DUMMYFUNCTION("""COMPUTED_VALUE"""),"9")</f>
        <v>9</v>
      </c>
      <c r="C1582" s="6" t="str">
        <f>IFERROR(__xludf.DUMMYFUNCTION("""COMPUTED_VALUE"""),"2945")</f>
        <v>2945</v>
      </c>
      <c r="D1582" s="6" t="str">
        <f>IFERROR(__xludf.DUMMYFUNCTION("""COMPUTED_VALUE"""),"Viktoria")</f>
        <v>Viktoria</v>
      </c>
      <c r="E1582" s="6" t="str">
        <f>IFERROR(__xludf.DUMMYFUNCTION("""COMPUTED_VALUE"""),"")</f>
        <v/>
      </c>
      <c r="F1582" s="6" t="str">
        <f>IFERROR(__xludf.DUMMYFUNCTION("""COMPUTED_VALUE"""),"Shopa")</f>
        <v>Shopa</v>
      </c>
      <c r="G1582" s="6" t="str">
        <f>IFERROR(__xludf.DUMMYFUNCTION("""COMPUTED_VALUE"""),"04/20/2018")</f>
        <v>04/20/2018</v>
      </c>
      <c r="H1582" s="6" t="str">
        <f>IFERROR(__xludf.DUMMYFUNCTION("""COMPUTED_VALUE"""),"Self Identify")</f>
        <v>Self Identify</v>
      </c>
      <c r="I1582" s="6" t="str">
        <f>IFERROR(__xludf.DUMMYFUNCTION("""COMPUTED_VALUE"""),"Level 1")</f>
        <v>Level 1</v>
      </c>
      <c r="J1582" s="6" t="str">
        <f>IFERROR(__xludf.DUMMYFUNCTION("""COMPUTED_VALUE"""),"2")</f>
        <v>2</v>
      </c>
      <c r="K1582" s="6" t="str">
        <f>IFERROR(__xludf.DUMMYFUNCTION("""COMPUTED_VALUE"""),"viktoria.shopa@2hourlearning.com")</f>
        <v>viktoria.shopa@2hourlearning.com</v>
      </c>
      <c r="L1582" s="6" t="str">
        <f>IFERROR(__xludf.DUMMYFUNCTION("""COMPUTED_VALUE"""),"Learn and Earn Poland")</f>
        <v>Learn and Earn Poland</v>
      </c>
      <c r="M1582" s="6" t="str">
        <f>IFERROR(__xludf.DUMMYFUNCTION("""COMPUTED_VALUE"""),"")</f>
        <v/>
      </c>
      <c r="N1582" s="6" t="str">
        <f>IFERROR(__xludf.DUMMYFUNCTION("""COMPUTED_VALUE"""),"")</f>
        <v/>
      </c>
      <c r="O1582" s="87" t="str">
        <f>IFERROR(__xludf.DUMMYFUNCTION("""COMPUTED_VALUE"""),"https://drive.google.com/drive/folders/10T2cTQHqEJZqE-st6uFKPoI?usp=share_link")</f>
        <v>https://drive.google.com/drive/folders/10T2cTQHqEJZqE-st6uFKPoI?usp=share_link</v>
      </c>
      <c r="P1582" s="6" t="str">
        <f>IFERROR(__xludf.DUMMYFUNCTION("""COMPUTED_VALUE"""),"Viktoria Shopa")</f>
        <v>Viktoria Shopa</v>
      </c>
      <c r="Q1582" s="6" t="str">
        <f>IFERROR(__xludf.DUMMYFUNCTION("""COMPUTED_VALUE"""),"L1")</f>
        <v>L1</v>
      </c>
      <c r="R1582" s="6">
        <f>IFERROR(__xludf.DUMMYFUNCTION("""COMPUTED_VALUE"""),1.0)</f>
        <v>1</v>
      </c>
      <c r="S1582" s="6" t="str">
        <f>IFERROR(__xludf.DUMMYFUNCTION("""COMPUTED_VALUE""")," ")</f>
        <v> </v>
      </c>
      <c r="T1582" s="6" t="str">
        <f>IFERROR(__xludf.DUMMYFUNCTION("""COMPUTED_VALUE"""),"")</f>
        <v/>
      </c>
      <c r="U1582" s="6" t="str">
        <f>IFERROR(__xludf.DUMMYFUNCTION("""COMPUTED_VALUE"""),"2")</f>
        <v>2</v>
      </c>
      <c r="V1582" s="6" t="str">
        <f>IFERROR(__xludf.DUMMYFUNCTION("""COMPUTED_VALUE"""),"English")</f>
        <v>English</v>
      </c>
      <c r="W1582" s="6" t="str">
        <f>IFERROR(__xludf.DUMMYFUNCTION("""COMPUTED_VALUE"""),"[]")</f>
        <v>[]</v>
      </c>
      <c r="X1582" s="6" t="str">
        <f>IFERROR(__xludf.DUMMYFUNCTION("""COMPUTED_VALUE"""),"Enrolled")</f>
        <v>Enrolled</v>
      </c>
    </row>
    <row r="1583">
      <c r="A1583" s="6" t="str">
        <f>IFERROR(__xludf.DUMMYFUNCTION("""COMPUTED_VALUE"""),"009-2946")</f>
        <v>009-2946</v>
      </c>
      <c r="B1583" s="6" t="str">
        <f>IFERROR(__xludf.DUMMYFUNCTION("""COMPUTED_VALUE"""),"9")</f>
        <v>9</v>
      </c>
      <c r="C1583" s="6" t="str">
        <f>IFERROR(__xludf.DUMMYFUNCTION("""COMPUTED_VALUE"""),"2946")</f>
        <v>2946</v>
      </c>
      <c r="D1583" s="6" t="str">
        <f>IFERROR(__xludf.DUMMYFUNCTION("""COMPUTED_VALUE"""),"Anna")</f>
        <v>Anna</v>
      </c>
      <c r="E1583" s="6" t="str">
        <f>IFERROR(__xludf.DUMMYFUNCTION("""COMPUTED_VALUE"""),"")</f>
        <v/>
      </c>
      <c r="F1583" s="6" t="str">
        <f>IFERROR(__xludf.DUMMYFUNCTION("""COMPUTED_VALUE"""),"Serheniuk")</f>
        <v>Serheniuk</v>
      </c>
      <c r="G1583" s="6" t="str">
        <f>IFERROR(__xludf.DUMMYFUNCTION("""COMPUTED_VALUE"""),"05/07/2016")</f>
        <v>05/07/2016</v>
      </c>
      <c r="H1583" s="6" t="str">
        <f>IFERROR(__xludf.DUMMYFUNCTION("""COMPUTED_VALUE"""),"Self Identify")</f>
        <v>Self Identify</v>
      </c>
      <c r="I1583" s="6" t="str">
        <f>IFERROR(__xludf.DUMMYFUNCTION("""COMPUTED_VALUE"""),"Level 2")</f>
        <v>Level 2</v>
      </c>
      <c r="J1583" s="6" t="str">
        <f>IFERROR(__xludf.DUMMYFUNCTION("""COMPUTED_VALUE"""),"4")</f>
        <v>4</v>
      </c>
      <c r="K1583" s="6" t="str">
        <f>IFERROR(__xludf.DUMMYFUNCTION("""COMPUTED_VALUE"""),"anna.serheniuk@2hourlearning.com")</f>
        <v>anna.serheniuk@2hourlearning.com</v>
      </c>
      <c r="L1583" s="6" t="str">
        <f>IFERROR(__xludf.DUMMYFUNCTION("""COMPUTED_VALUE"""),"Learn and Earn Poland")</f>
        <v>Learn and Earn Poland</v>
      </c>
      <c r="M1583" s="6" t="str">
        <f>IFERROR(__xludf.DUMMYFUNCTION("""COMPUTED_VALUE"""),"")</f>
        <v/>
      </c>
      <c r="N1583" s="6" t="str">
        <f>IFERROR(__xludf.DUMMYFUNCTION("""COMPUTED_VALUE"""),"")</f>
        <v/>
      </c>
      <c r="O1583" s="87" t="str">
        <f>IFERROR(__xludf.DUMMYFUNCTION("""COMPUTED_VALUE"""),"https://drive.google.com/drive/folders/10T2cTQHqEJZqE-st6uFKPoI?usp=share_link")</f>
        <v>https://drive.google.com/drive/folders/10T2cTQHqEJZqE-st6uFKPoI?usp=share_link</v>
      </c>
      <c r="P1583" s="6" t="str">
        <f>IFERROR(__xludf.DUMMYFUNCTION("""COMPUTED_VALUE"""),"Anna Serheniuk")</f>
        <v>Anna Serheniuk</v>
      </c>
      <c r="Q1583" s="6" t="str">
        <f>IFERROR(__xludf.DUMMYFUNCTION("""COMPUTED_VALUE"""),"L2")</f>
        <v>L2</v>
      </c>
      <c r="R1583" s="6">
        <f>IFERROR(__xludf.DUMMYFUNCTION("""COMPUTED_VALUE"""),2.0)</f>
        <v>2</v>
      </c>
      <c r="S1583" s="6" t="str">
        <f>IFERROR(__xludf.DUMMYFUNCTION("""COMPUTED_VALUE""")," ")</f>
        <v> </v>
      </c>
      <c r="T1583" s="6" t="str">
        <f>IFERROR(__xludf.DUMMYFUNCTION("""COMPUTED_VALUE"""),"")</f>
        <v/>
      </c>
      <c r="U1583" s="6" t="str">
        <f>IFERROR(__xludf.DUMMYFUNCTION("""COMPUTED_VALUE"""),"4")</f>
        <v>4</v>
      </c>
      <c r="V1583" s="6" t="str">
        <f>IFERROR(__xludf.DUMMYFUNCTION("""COMPUTED_VALUE"""),"English")</f>
        <v>English</v>
      </c>
      <c r="W1583" s="6" t="str">
        <f>IFERROR(__xludf.DUMMYFUNCTION("""COMPUTED_VALUE"""),"[]")</f>
        <v>[]</v>
      </c>
      <c r="X1583" s="6" t="str">
        <f>IFERROR(__xludf.DUMMYFUNCTION("""COMPUTED_VALUE"""),"Enrolled")</f>
        <v>Enrolled</v>
      </c>
    </row>
    <row r="1584">
      <c r="A1584" s="6" t="str">
        <f>IFERROR(__xludf.DUMMYFUNCTION("""COMPUTED_VALUE"""),"009-2947")</f>
        <v>009-2947</v>
      </c>
      <c r="B1584" s="6" t="str">
        <f>IFERROR(__xludf.DUMMYFUNCTION("""COMPUTED_VALUE"""),"9")</f>
        <v>9</v>
      </c>
      <c r="C1584" s="6" t="str">
        <f>IFERROR(__xludf.DUMMYFUNCTION("""COMPUTED_VALUE"""),"2947")</f>
        <v>2947</v>
      </c>
      <c r="D1584" s="6" t="str">
        <f>IFERROR(__xludf.DUMMYFUNCTION("""COMPUTED_VALUE"""),"Mokar")</f>
        <v>Mokar</v>
      </c>
      <c r="E1584" s="6" t="str">
        <f>IFERROR(__xludf.DUMMYFUNCTION("""COMPUTED_VALUE"""),"")</f>
        <v/>
      </c>
      <c r="F1584" s="6" t="str">
        <f>IFERROR(__xludf.DUMMYFUNCTION("""COMPUTED_VALUE"""),"Amanda")</f>
        <v>Amanda</v>
      </c>
      <c r="G1584" s="6" t="str">
        <f>IFERROR(__xludf.DUMMYFUNCTION("""COMPUTED_VALUE"""),"03/26/2012")</f>
        <v>03/26/2012</v>
      </c>
      <c r="H1584" s="6" t="str">
        <f>IFERROR(__xludf.DUMMYFUNCTION("""COMPUTED_VALUE"""),"Self Identify")</f>
        <v>Self Identify</v>
      </c>
      <c r="I1584" s="6" t="str">
        <f>IFERROR(__xludf.DUMMYFUNCTION("""COMPUTED_VALUE"""),"Middle School")</f>
        <v>Middle School</v>
      </c>
      <c r="J1584" s="6" t="str">
        <f>IFERROR(__xludf.DUMMYFUNCTION("""COMPUTED_VALUE"""),"8")</f>
        <v>8</v>
      </c>
      <c r="K1584" s="6" t="str">
        <f>IFERROR(__xludf.DUMMYFUNCTION("""COMPUTED_VALUE"""),"mokar.amanda@2hourlearning.com")</f>
        <v>mokar.amanda@2hourlearning.com</v>
      </c>
      <c r="L1584" s="6" t="str">
        <f>IFERROR(__xludf.DUMMYFUNCTION("""COMPUTED_VALUE"""),"Learn and Earn Poland")</f>
        <v>Learn and Earn Poland</v>
      </c>
      <c r="M1584" s="6" t="str">
        <f>IFERROR(__xludf.DUMMYFUNCTION("""COMPUTED_VALUE"""),"")</f>
        <v/>
      </c>
      <c r="N1584" s="6" t="str">
        <f>IFERROR(__xludf.DUMMYFUNCTION("""COMPUTED_VALUE"""),"")</f>
        <v/>
      </c>
      <c r="O1584" s="87" t="str">
        <f>IFERROR(__xludf.DUMMYFUNCTION("""COMPUTED_VALUE"""),"https://drive.google.com/drive/folders/10T2cTQHqEJZqE-st6uFKPoI?usp=share_link")</f>
        <v>https://drive.google.com/drive/folders/10T2cTQHqEJZqE-st6uFKPoI?usp=share_link</v>
      </c>
      <c r="P1584" s="6" t="str">
        <f>IFERROR(__xludf.DUMMYFUNCTION("""COMPUTED_VALUE"""),"Mokar Amanda")</f>
        <v>Mokar Amanda</v>
      </c>
      <c r="Q1584" s="6" t="str">
        <f>IFERROR(__xludf.DUMMYFUNCTION("""COMPUTED_VALUE"""),"MS")</f>
        <v>MS</v>
      </c>
      <c r="R1584" s="6">
        <f>IFERROR(__xludf.DUMMYFUNCTION("""COMPUTED_VALUE"""),0.0)</f>
        <v>0</v>
      </c>
      <c r="S1584" s="6" t="str">
        <f>IFERROR(__xludf.DUMMYFUNCTION("""COMPUTED_VALUE""")," ")</f>
        <v> </v>
      </c>
      <c r="T1584" s="6" t="str">
        <f>IFERROR(__xludf.DUMMYFUNCTION("""COMPUTED_VALUE"""),"")</f>
        <v/>
      </c>
      <c r="U1584" s="6" t="str">
        <f>IFERROR(__xludf.DUMMYFUNCTION("""COMPUTED_VALUE"""),"8")</f>
        <v>8</v>
      </c>
      <c r="V1584" s="6" t="str">
        <f>IFERROR(__xludf.DUMMYFUNCTION("""COMPUTED_VALUE"""),"English")</f>
        <v>English</v>
      </c>
      <c r="W1584" s="6" t="str">
        <f>IFERROR(__xludf.DUMMYFUNCTION("""COMPUTED_VALUE"""),"[]")</f>
        <v>[]</v>
      </c>
      <c r="X1584" s="6" t="str">
        <f>IFERROR(__xludf.DUMMYFUNCTION("""COMPUTED_VALUE"""),"Enrolled")</f>
        <v>Enrolled</v>
      </c>
    </row>
    <row r="1585">
      <c r="A1585" s="6" t="str">
        <f>IFERROR(__xludf.DUMMYFUNCTION("""COMPUTED_VALUE"""),"009-2948")</f>
        <v>009-2948</v>
      </c>
      <c r="B1585" s="6" t="str">
        <f>IFERROR(__xludf.DUMMYFUNCTION("""COMPUTED_VALUE"""),"9")</f>
        <v>9</v>
      </c>
      <c r="C1585" s="6" t="str">
        <f>IFERROR(__xludf.DUMMYFUNCTION("""COMPUTED_VALUE"""),"2948")</f>
        <v>2948</v>
      </c>
      <c r="D1585" s="6" t="str">
        <f>IFERROR(__xludf.DUMMYFUNCTION("""COMPUTED_VALUE"""),"Nikita")</f>
        <v>Nikita</v>
      </c>
      <c r="E1585" s="6" t="str">
        <f>IFERROR(__xludf.DUMMYFUNCTION("""COMPUTED_VALUE"""),"")</f>
        <v/>
      </c>
      <c r="F1585" s="6" t="str">
        <f>IFERROR(__xludf.DUMMYFUNCTION("""COMPUTED_VALUE"""),"Sabluk")</f>
        <v>Sabluk</v>
      </c>
      <c r="G1585" s="6" t="str">
        <f>IFERROR(__xludf.DUMMYFUNCTION("""COMPUTED_VALUE"""),"06/26/2015")</f>
        <v>06/26/2015</v>
      </c>
      <c r="H1585" s="6" t="str">
        <f>IFERROR(__xludf.DUMMYFUNCTION("""COMPUTED_VALUE"""),"Self Identify")</f>
        <v>Self Identify</v>
      </c>
      <c r="I1585" s="6" t="str">
        <f>IFERROR(__xludf.DUMMYFUNCTION("""COMPUTED_VALUE"""),"Level 2")</f>
        <v>Level 2</v>
      </c>
      <c r="J1585" s="6" t="str">
        <f>IFERROR(__xludf.DUMMYFUNCTION("""COMPUTED_VALUE"""),"4")</f>
        <v>4</v>
      </c>
      <c r="K1585" s="6" t="str">
        <f>IFERROR(__xludf.DUMMYFUNCTION("""COMPUTED_VALUE"""),"nikita.sabluk@2hourlearning.com")</f>
        <v>nikita.sabluk@2hourlearning.com</v>
      </c>
      <c r="L1585" s="6" t="str">
        <f>IFERROR(__xludf.DUMMYFUNCTION("""COMPUTED_VALUE"""),"Learn and Earn Poland")</f>
        <v>Learn and Earn Poland</v>
      </c>
      <c r="M1585" s="6" t="str">
        <f>IFERROR(__xludf.DUMMYFUNCTION("""COMPUTED_VALUE"""),"")</f>
        <v/>
      </c>
      <c r="N1585" s="6" t="str">
        <f>IFERROR(__xludf.DUMMYFUNCTION("""COMPUTED_VALUE"""),"")</f>
        <v/>
      </c>
      <c r="O1585" s="87" t="str">
        <f>IFERROR(__xludf.DUMMYFUNCTION("""COMPUTED_VALUE"""),"https://drive.google.com/drive/folders/10T2cTQHqEJZqE-st6uFKPoI?usp=share_link")</f>
        <v>https://drive.google.com/drive/folders/10T2cTQHqEJZqE-st6uFKPoI?usp=share_link</v>
      </c>
      <c r="P1585" s="6" t="str">
        <f>IFERROR(__xludf.DUMMYFUNCTION("""COMPUTED_VALUE"""),"Nikita Sabluk")</f>
        <v>Nikita Sabluk</v>
      </c>
      <c r="Q1585" s="6" t="str">
        <f>IFERROR(__xludf.DUMMYFUNCTION("""COMPUTED_VALUE"""),"L2")</f>
        <v>L2</v>
      </c>
      <c r="R1585" s="6">
        <f>IFERROR(__xludf.DUMMYFUNCTION("""COMPUTED_VALUE"""),2.0)</f>
        <v>2</v>
      </c>
      <c r="S1585" s="6" t="str">
        <f>IFERROR(__xludf.DUMMYFUNCTION("""COMPUTED_VALUE""")," ")</f>
        <v> </v>
      </c>
      <c r="T1585" s="6" t="str">
        <f>IFERROR(__xludf.DUMMYFUNCTION("""COMPUTED_VALUE"""),"")</f>
        <v/>
      </c>
      <c r="U1585" s="6" t="str">
        <f>IFERROR(__xludf.DUMMYFUNCTION("""COMPUTED_VALUE"""),"4")</f>
        <v>4</v>
      </c>
      <c r="V1585" s="6" t="str">
        <f>IFERROR(__xludf.DUMMYFUNCTION("""COMPUTED_VALUE"""),"English")</f>
        <v>English</v>
      </c>
      <c r="W1585" s="6" t="str">
        <f>IFERROR(__xludf.DUMMYFUNCTION("""COMPUTED_VALUE"""),"[]")</f>
        <v>[]</v>
      </c>
      <c r="X1585" s="6" t="str">
        <f>IFERROR(__xludf.DUMMYFUNCTION("""COMPUTED_VALUE"""),"Enrolled")</f>
        <v>Enrolled</v>
      </c>
    </row>
    <row r="1586">
      <c r="A1586" s="6" t="str">
        <f>IFERROR(__xludf.DUMMYFUNCTION("""COMPUTED_VALUE"""),"009-2949")</f>
        <v>009-2949</v>
      </c>
      <c r="B1586" s="6" t="str">
        <f>IFERROR(__xludf.DUMMYFUNCTION("""COMPUTED_VALUE"""),"9")</f>
        <v>9</v>
      </c>
      <c r="C1586" s="6" t="str">
        <f>IFERROR(__xludf.DUMMYFUNCTION("""COMPUTED_VALUE"""),"2949")</f>
        <v>2949</v>
      </c>
      <c r="D1586" s="6" t="str">
        <f>IFERROR(__xludf.DUMMYFUNCTION("""COMPUTED_VALUE"""),"Noel")</f>
        <v>Noel</v>
      </c>
      <c r="E1586" s="6" t="str">
        <f>IFERROR(__xludf.DUMMYFUNCTION("""COMPUTED_VALUE"""),"")</f>
        <v/>
      </c>
      <c r="F1586" s="6" t="str">
        <f>IFERROR(__xludf.DUMMYFUNCTION("""COMPUTED_VALUE"""),"Komari")</f>
        <v>Komari</v>
      </c>
      <c r="G1586" s="6" t="str">
        <f>IFERROR(__xludf.DUMMYFUNCTION("""COMPUTED_VALUE"""),"04/27/2012")</f>
        <v>04/27/2012</v>
      </c>
      <c r="H1586" s="6" t="str">
        <f>IFERROR(__xludf.DUMMYFUNCTION("""COMPUTED_VALUE"""),"Self Identify")</f>
        <v>Self Identify</v>
      </c>
      <c r="I1586" s="6" t="str">
        <f>IFERROR(__xludf.DUMMYFUNCTION("""COMPUTED_VALUE"""),"Middle School")</f>
        <v>Middle School</v>
      </c>
      <c r="J1586" s="6" t="str">
        <f>IFERROR(__xludf.DUMMYFUNCTION("""COMPUTED_VALUE"""),"8")</f>
        <v>8</v>
      </c>
      <c r="K1586" s="6" t="str">
        <f>IFERROR(__xludf.DUMMYFUNCTION("""COMPUTED_VALUE"""),"noel.komari@2hourlearning.com")</f>
        <v>noel.komari@2hourlearning.com</v>
      </c>
      <c r="L1586" s="6" t="str">
        <f>IFERROR(__xludf.DUMMYFUNCTION("""COMPUTED_VALUE"""),"Learn and Earn Poland")</f>
        <v>Learn and Earn Poland</v>
      </c>
      <c r="M1586" s="6" t="str">
        <f>IFERROR(__xludf.DUMMYFUNCTION("""COMPUTED_VALUE"""),"")</f>
        <v/>
      </c>
      <c r="N1586" s="6" t="str">
        <f>IFERROR(__xludf.DUMMYFUNCTION("""COMPUTED_VALUE"""),"")</f>
        <v/>
      </c>
      <c r="O1586" s="87" t="str">
        <f>IFERROR(__xludf.DUMMYFUNCTION("""COMPUTED_VALUE"""),"https://drive.google.com/drive/folders/10T2cTQHqEJZqE-st6uFKPoI?usp=share_link")</f>
        <v>https://drive.google.com/drive/folders/10T2cTQHqEJZqE-st6uFKPoI?usp=share_link</v>
      </c>
      <c r="P1586" s="6" t="str">
        <f>IFERROR(__xludf.DUMMYFUNCTION("""COMPUTED_VALUE"""),"Noel Komari")</f>
        <v>Noel Komari</v>
      </c>
      <c r="Q1586" s="6" t="str">
        <f>IFERROR(__xludf.DUMMYFUNCTION("""COMPUTED_VALUE"""),"MS")</f>
        <v>MS</v>
      </c>
      <c r="R1586" s="6">
        <f>IFERROR(__xludf.DUMMYFUNCTION("""COMPUTED_VALUE"""),0.0)</f>
        <v>0</v>
      </c>
      <c r="S1586" s="6" t="str">
        <f>IFERROR(__xludf.DUMMYFUNCTION("""COMPUTED_VALUE""")," ")</f>
        <v> </v>
      </c>
      <c r="T1586" s="6" t="str">
        <f>IFERROR(__xludf.DUMMYFUNCTION("""COMPUTED_VALUE"""),"")</f>
        <v/>
      </c>
      <c r="U1586" s="6" t="str">
        <f>IFERROR(__xludf.DUMMYFUNCTION("""COMPUTED_VALUE"""),"8")</f>
        <v>8</v>
      </c>
      <c r="V1586" s="6" t="str">
        <f>IFERROR(__xludf.DUMMYFUNCTION("""COMPUTED_VALUE"""),"English")</f>
        <v>English</v>
      </c>
      <c r="W1586" s="6" t="str">
        <f>IFERROR(__xludf.DUMMYFUNCTION("""COMPUTED_VALUE"""),"[]")</f>
        <v>[]</v>
      </c>
      <c r="X1586" s="6" t="str">
        <f>IFERROR(__xludf.DUMMYFUNCTION("""COMPUTED_VALUE"""),"Enrolled")</f>
        <v>Enrolled</v>
      </c>
    </row>
    <row r="1587">
      <c r="A1587" s="6" t="str">
        <f>IFERROR(__xludf.DUMMYFUNCTION("""COMPUTED_VALUE"""),"009-2950")</f>
        <v>009-2950</v>
      </c>
      <c r="B1587" s="6" t="str">
        <f>IFERROR(__xludf.DUMMYFUNCTION("""COMPUTED_VALUE"""),"9")</f>
        <v>9</v>
      </c>
      <c r="C1587" s="6" t="str">
        <f>IFERROR(__xludf.DUMMYFUNCTION("""COMPUTED_VALUE"""),"2950")</f>
        <v>2950</v>
      </c>
      <c r="D1587" s="6" t="str">
        <f>IFERROR(__xludf.DUMMYFUNCTION("""COMPUTED_VALUE"""),"Petra")</f>
        <v>Petra</v>
      </c>
      <c r="E1587" s="6" t="str">
        <f>IFERROR(__xludf.DUMMYFUNCTION("""COMPUTED_VALUE"""),"")</f>
        <v/>
      </c>
      <c r="F1587" s="6" t="str">
        <f>IFERROR(__xludf.DUMMYFUNCTION("""COMPUTED_VALUE"""),"Pevse")</f>
        <v>Pevse</v>
      </c>
      <c r="G1587" s="6" t="str">
        <f>IFERROR(__xludf.DUMMYFUNCTION("""COMPUTED_VALUE"""),"06/22/2013")</f>
        <v>06/22/2013</v>
      </c>
      <c r="H1587" s="6" t="str">
        <f>IFERROR(__xludf.DUMMYFUNCTION("""COMPUTED_VALUE"""),"Self Identify")</f>
        <v>Self Identify</v>
      </c>
      <c r="I1587" s="6" t="str">
        <f>IFERROR(__xludf.DUMMYFUNCTION("""COMPUTED_VALUE"""),"Middle School")</f>
        <v>Middle School</v>
      </c>
      <c r="J1587" s="6" t="str">
        <f>IFERROR(__xludf.DUMMYFUNCTION("""COMPUTED_VALUE"""),"6")</f>
        <v>6</v>
      </c>
      <c r="K1587" s="6" t="str">
        <f>IFERROR(__xludf.DUMMYFUNCTION("""COMPUTED_VALUE"""),"petra.pevse@2hourlearning.com")</f>
        <v>petra.pevse@2hourlearning.com</v>
      </c>
      <c r="L1587" s="6" t="str">
        <f>IFERROR(__xludf.DUMMYFUNCTION("""COMPUTED_VALUE"""),"Learn and Earn Poland")</f>
        <v>Learn and Earn Poland</v>
      </c>
      <c r="M1587" s="6" t="str">
        <f>IFERROR(__xludf.DUMMYFUNCTION("""COMPUTED_VALUE"""),"")</f>
        <v/>
      </c>
      <c r="N1587" s="6" t="str">
        <f>IFERROR(__xludf.DUMMYFUNCTION("""COMPUTED_VALUE"""),"")</f>
        <v/>
      </c>
      <c r="O1587" s="87" t="str">
        <f>IFERROR(__xludf.DUMMYFUNCTION("""COMPUTED_VALUE"""),"https://drive.google.com/drive/folders/10T2cTQHqEJZqE-st6uFKPoI?usp=share_link")</f>
        <v>https://drive.google.com/drive/folders/10T2cTQHqEJZqE-st6uFKPoI?usp=share_link</v>
      </c>
      <c r="P1587" s="6" t="str">
        <f>IFERROR(__xludf.DUMMYFUNCTION("""COMPUTED_VALUE"""),"Petra Pevse")</f>
        <v>Petra Pevse</v>
      </c>
      <c r="Q1587" s="6" t="str">
        <f>IFERROR(__xludf.DUMMYFUNCTION("""COMPUTED_VALUE"""),"MS")</f>
        <v>MS</v>
      </c>
      <c r="R1587" s="6">
        <f>IFERROR(__xludf.DUMMYFUNCTION("""COMPUTED_VALUE"""),0.0)</f>
        <v>0</v>
      </c>
      <c r="S1587" s="6" t="str">
        <f>IFERROR(__xludf.DUMMYFUNCTION("""COMPUTED_VALUE""")," ")</f>
        <v> </v>
      </c>
      <c r="T1587" s="6" t="str">
        <f>IFERROR(__xludf.DUMMYFUNCTION("""COMPUTED_VALUE"""),"")</f>
        <v/>
      </c>
      <c r="U1587" s="6" t="str">
        <f>IFERROR(__xludf.DUMMYFUNCTION("""COMPUTED_VALUE"""),"6")</f>
        <v>6</v>
      </c>
      <c r="V1587" s="6" t="str">
        <f>IFERROR(__xludf.DUMMYFUNCTION("""COMPUTED_VALUE"""),"English")</f>
        <v>English</v>
      </c>
      <c r="W1587" s="6" t="str">
        <f>IFERROR(__xludf.DUMMYFUNCTION("""COMPUTED_VALUE"""),"[]")</f>
        <v>[]</v>
      </c>
      <c r="X1587" s="6" t="str">
        <f>IFERROR(__xludf.DUMMYFUNCTION("""COMPUTED_VALUE"""),"Enrolled")</f>
        <v>Enrolled</v>
      </c>
    </row>
    <row r="1588">
      <c r="A1588" s="6" t="str">
        <f>IFERROR(__xludf.DUMMYFUNCTION("""COMPUTED_VALUE"""),"009-2951")</f>
        <v>009-2951</v>
      </c>
      <c r="B1588" s="6" t="str">
        <f>IFERROR(__xludf.DUMMYFUNCTION("""COMPUTED_VALUE"""),"9")</f>
        <v>9</v>
      </c>
      <c r="C1588" s="6" t="str">
        <f>IFERROR(__xludf.DUMMYFUNCTION("""COMPUTED_VALUE"""),"2951")</f>
        <v>2951</v>
      </c>
      <c r="D1588" s="6" t="str">
        <f>IFERROR(__xludf.DUMMYFUNCTION("""COMPUTED_VALUE"""),"Solohub")</f>
        <v>Solohub</v>
      </c>
      <c r="E1588" s="6" t="str">
        <f>IFERROR(__xludf.DUMMYFUNCTION("""COMPUTED_VALUE"""),"")</f>
        <v/>
      </c>
      <c r="F1588" s="6" t="str">
        <f>IFERROR(__xludf.DUMMYFUNCTION("""COMPUTED_VALUE"""),"Danylo")</f>
        <v>Danylo</v>
      </c>
      <c r="G1588" s="6" t="str">
        <f>IFERROR(__xludf.DUMMYFUNCTION("""COMPUTED_VALUE"""),"04/04/2017")</f>
        <v>04/04/2017</v>
      </c>
      <c r="H1588" s="6" t="str">
        <f>IFERROR(__xludf.DUMMYFUNCTION("""COMPUTED_VALUE"""),"Self Identify")</f>
        <v>Self Identify</v>
      </c>
      <c r="I1588" s="6" t="str">
        <f>IFERROR(__xludf.DUMMYFUNCTION("""COMPUTED_VALUE"""),"Level 1")</f>
        <v>Level 1</v>
      </c>
      <c r="J1588" s="6" t="str">
        <f>IFERROR(__xludf.DUMMYFUNCTION("""COMPUTED_VALUE"""),"3")</f>
        <v>3</v>
      </c>
      <c r="K1588" s="6" t="str">
        <f>IFERROR(__xludf.DUMMYFUNCTION("""COMPUTED_VALUE"""),"solohub.danylo@2hourlearning.com")</f>
        <v>solohub.danylo@2hourlearning.com</v>
      </c>
      <c r="L1588" s="6" t="str">
        <f>IFERROR(__xludf.DUMMYFUNCTION("""COMPUTED_VALUE"""),"Learn and Earn Poland")</f>
        <v>Learn and Earn Poland</v>
      </c>
      <c r="M1588" s="6" t="str">
        <f>IFERROR(__xludf.DUMMYFUNCTION("""COMPUTED_VALUE"""),"")</f>
        <v/>
      </c>
      <c r="N1588" s="6" t="str">
        <f>IFERROR(__xludf.DUMMYFUNCTION("""COMPUTED_VALUE"""),"")</f>
        <v/>
      </c>
      <c r="O1588" s="87" t="str">
        <f>IFERROR(__xludf.DUMMYFUNCTION("""COMPUTED_VALUE"""),"https://drive.google.com/drive/folders/10T2cTQHqEJZqE-st6uFKPoI?usp=share_link")</f>
        <v>https://drive.google.com/drive/folders/10T2cTQHqEJZqE-st6uFKPoI?usp=share_link</v>
      </c>
      <c r="P1588" s="6" t="str">
        <f>IFERROR(__xludf.DUMMYFUNCTION("""COMPUTED_VALUE"""),"Solohub Danylo")</f>
        <v>Solohub Danylo</v>
      </c>
      <c r="Q1588" s="6" t="str">
        <f>IFERROR(__xludf.DUMMYFUNCTION("""COMPUTED_VALUE"""),"L1")</f>
        <v>L1</v>
      </c>
      <c r="R1588" s="6">
        <f>IFERROR(__xludf.DUMMYFUNCTION("""COMPUTED_VALUE"""),1.0)</f>
        <v>1</v>
      </c>
      <c r="S1588" s="6" t="str">
        <f>IFERROR(__xludf.DUMMYFUNCTION("""COMPUTED_VALUE""")," ")</f>
        <v> </v>
      </c>
      <c r="T1588" s="6" t="str">
        <f>IFERROR(__xludf.DUMMYFUNCTION("""COMPUTED_VALUE"""),"")</f>
        <v/>
      </c>
      <c r="U1588" s="6" t="str">
        <f>IFERROR(__xludf.DUMMYFUNCTION("""COMPUTED_VALUE"""),"3")</f>
        <v>3</v>
      </c>
      <c r="V1588" s="6" t="str">
        <f>IFERROR(__xludf.DUMMYFUNCTION("""COMPUTED_VALUE"""),"English")</f>
        <v>English</v>
      </c>
      <c r="W1588" s="6" t="str">
        <f>IFERROR(__xludf.DUMMYFUNCTION("""COMPUTED_VALUE"""),"[]")</f>
        <v>[]</v>
      </c>
      <c r="X1588" s="6" t="str">
        <f>IFERROR(__xludf.DUMMYFUNCTION("""COMPUTED_VALUE"""),"Enrolled")</f>
        <v>Enrolled</v>
      </c>
    </row>
    <row r="1589">
      <c r="A1589" s="6" t="str">
        <f>IFERROR(__xludf.DUMMYFUNCTION("""COMPUTED_VALUE"""),"009-2952")</f>
        <v>009-2952</v>
      </c>
      <c r="B1589" s="6" t="str">
        <f>IFERROR(__xludf.DUMMYFUNCTION("""COMPUTED_VALUE"""),"9")</f>
        <v>9</v>
      </c>
      <c r="C1589" s="6" t="str">
        <f>IFERROR(__xludf.DUMMYFUNCTION("""COMPUTED_VALUE"""),"2952")</f>
        <v>2952</v>
      </c>
      <c r="D1589" s="6" t="str">
        <f>IFERROR(__xludf.DUMMYFUNCTION("""COMPUTED_VALUE"""),"Erik")</f>
        <v>Erik</v>
      </c>
      <c r="E1589" s="6" t="str">
        <f>IFERROR(__xludf.DUMMYFUNCTION("""COMPUTED_VALUE"""),"")</f>
        <v/>
      </c>
      <c r="F1589" s="6" t="str">
        <f>IFERROR(__xludf.DUMMYFUNCTION("""COMPUTED_VALUE"""),"Holovach")</f>
        <v>Holovach</v>
      </c>
      <c r="G1589" s="6" t="str">
        <f>IFERROR(__xludf.DUMMYFUNCTION("""COMPUTED_VALUE"""),"07/09/2014")</f>
        <v>07/09/2014</v>
      </c>
      <c r="H1589" s="6" t="str">
        <f>IFERROR(__xludf.DUMMYFUNCTION("""COMPUTED_VALUE"""),"Self Identify")</f>
        <v>Self Identify</v>
      </c>
      <c r="I1589" s="6" t="str">
        <f>IFERROR(__xludf.DUMMYFUNCTION("""COMPUTED_VALUE"""),"Level 2")</f>
        <v>Level 2</v>
      </c>
      <c r="J1589" s="6" t="str">
        <f>IFERROR(__xludf.DUMMYFUNCTION("""COMPUTED_VALUE"""),"5")</f>
        <v>5</v>
      </c>
      <c r="K1589" s="6" t="str">
        <f>IFERROR(__xludf.DUMMYFUNCTION("""COMPUTED_VALUE"""),"erik.holovach@2hourlearning.com")</f>
        <v>erik.holovach@2hourlearning.com</v>
      </c>
      <c r="L1589" s="6" t="str">
        <f>IFERROR(__xludf.DUMMYFUNCTION("""COMPUTED_VALUE"""),"Learn and Earn Poland")</f>
        <v>Learn and Earn Poland</v>
      </c>
      <c r="M1589" s="6" t="str">
        <f>IFERROR(__xludf.DUMMYFUNCTION("""COMPUTED_VALUE"""),"")</f>
        <v/>
      </c>
      <c r="N1589" s="6" t="str">
        <f>IFERROR(__xludf.DUMMYFUNCTION("""COMPUTED_VALUE"""),"")</f>
        <v/>
      </c>
      <c r="O1589" s="87" t="str">
        <f>IFERROR(__xludf.DUMMYFUNCTION("""COMPUTED_VALUE"""),"https://drive.google.com/drive/folders/10T2cTQHqEJZqE-st6uFKPoI?usp=share_link")</f>
        <v>https://drive.google.com/drive/folders/10T2cTQHqEJZqE-st6uFKPoI?usp=share_link</v>
      </c>
      <c r="P1589" s="6" t="str">
        <f>IFERROR(__xludf.DUMMYFUNCTION("""COMPUTED_VALUE"""),"Erik Holovach")</f>
        <v>Erik Holovach</v>
      </c>
      <c r="Q1589" s="6" t="str">
        <f>IFERROR(__xludf.DUMMYFUNCTION("""COMPUTED_VALUE"""),"L2")</f>
        <v>L2</v>
      </c>
      <c r="R1589" s="6">
        <f>IFERROR(__xludf.DUMMYFUNCTION("""COMPUTED_VALUE"""),2.0)</f>
        <v>2</v>
      </c>
      <c r="S1589" s="6" t="str">
        <f>IFERROR(__xludf.DUMMYFUNCTION("""COMPUTED_VALUE""")," ")</f>
        <v> </v>
      </c>
      <c r="T1589" s="6" t="str">
        <f>IFERROR(__xludf.DUMMYFUNCTION("""COMPUTED_VALUE"""),"")</f>
        <v/>
      </c>
      <c r="U1589" s="6" t="str">
        <f>IFERROR(__xludf.DUMMYFUNCTION("""COMPUTED_VALUE"""),"5")</f>
        <v>5</v>
      </c>
      <c r="V1589" s="6" t="str">
        <f>IFERROR(__xludf.DUMMYFUNCTION("""COMPUTED_VALUE"""),"English")</f>
        <v>English</v>
      </c>
      <c r="W1589" s="6" t="str">
        <f>IFERROR(__xludf.DUMMYFUNCTION("""COMPUTED_VALUE"""),"[]")</f>
        <v>[]</v>
      </c>
      <c r="X1589" s="6" t="str">
        <f>IFERROR(__xludf.DUMMYFUNCTION("""COMPUTED_VALUE"""),"Enrolled")</f>
        <v>Enrolled</v>
      </c>
    </row>
    <row r="1590">
      <c r="A1590" s="6" t="str">
        <f>IFERROR(__xludf.DUMMYFUNCTION("""COMPUTED_VALUE"""),"009-2953")</f>
        <v>009-2953</v>
      </c>
      <c r="B1590" s="6" t="str">
        <f>IFERROR(__xludf.DUMMYFUNCTION("""COMPUTED_VALUE"""),"9")</f>
        <v>9</v>
      </c>
      <c r="C1590" s="6" t="str">
        <f>IFERROR(__xludf.DUMMYFUNCTION("""COMPUTED_VALUE"""),"2953")</f>
        <v>2953</v>
      </c>
      <c r="D1590" s="6" t="str">
        <f>IFERROR(__xludf.DUMMYFUNCTION("""COMPUTED_VALUE"""),"Vladyslava")</f>
        <v>Vladyslava</v>
      </c>
      <c r="E1590" s="6" t="str">
        <f>IFERROR(__xludf.DUMMYFUNCTION("""COMPUTED_VALUE"""),"")</f>
        <v/>
      </c>
      <c r="F1590" s="6" t="str">
        <f>IFERROR(__xludf.DUMMYFUNCTION("""COMPUTED_VALUE"""),"Mokan")</f>
        <v>Mokan</v>
      </c>
      <c r="G1590" s="6" t="str">
        <f>IFERROR(__xludf.DUMMYFUNCTION("""COMPUTED_VALUE"""),"08/25/2008")</f>
        <v>08/25/2008</v>
      </c>
      <c r="H1590" s="6" t="str">
        <f>IFERROR(__xludf.DUMMYFUNCTION("""COMPUTED_VALUE"""),"Self Identify")</f>
        <v>Self Identify</v>
      </c>
      <c r="I1590" s="6" t="str">
        <f>IFERROR(__xludf.DUMMYFUNCTION("""COMPUTED_VALUE"""),"High School")</f>
        <v>High School</v>
      </c>
      <c r="J1590" s="6" t="str">
        <f>IFERROR(__xludf.DUMMYFUNCTION("""COMPUTED_VALUE"""),"11")</f>
        <v>11</v>
      </c>
      <c r="K1590" s="6" t="str">
        <f>IFERROR(__xludf.DUMMYFUNCTION("""COMPUTED_VALUE"""),"vladyslava.mokan@2hourlearning.com")</f>
        <v>vladyslava.mokan@2hourlearning.com</v>
      </c>
      <c r="L1590" s="6" t="str">
        <f>IFERROR(__xludf.DUMMYFUNCTION("""COMPUTED_VALUE"""),"Learn and Earn Poland")</f>
        <v>Learn and Earn Poland</v>
      </c>
      <c r="M1590" s="6" t="str">
        <f>IFERROR(__xludf.DUMMYFUNCTION("""COMPUTED_VALUE"""),"")</f>
        <v/>
      </c>
      <c r="N1590" s="6" t="str">
        <f>IFERROR(__xludf.DUMMYFUNCTION("""COMPUTED_VALUE"""),"")</f>
        <v/>
      </c>
      <c r="O1590" s="87" t="str">
        <f>IFERROR(__xludf.DUMMYFUNCTION("""COMPUTED_VALUE"""),"https://drive.google.com/drive/folders/10T2cTQHqEJZqE-st6uFKPoI?usp=share_link")</f>
        <v>https://drive.google.com/drive/folders/10T2cTQHqEJZqE-st6uFKPoI?usp=share_link</v>
      </c>
      <c r="P1590" s="6" t="str">
        <f>IFERROR(__xludf.DUMMYFUNCTION("""COMPUTED_VALUE"""),"Vladyslava Mokan")</f>
        <v>Vladyslava Mokan</v>
      </c>
      <c r="Q1590" s="6" t="str">
        <f>IFERROR(__xludf.DUMMYFUNCTION("""COMPUTED_VALUE"""),"HS")</f>
        <v>HS</v>
      </c>
      <c r="R1590" s="6">
        <f>IFERROR(__xludf.DUMMYFUNCTION("""COMPUTED_VALUE"""),0.0)</f>
        <v>0</v>
      </c>
      <c r="S1590" s="6" t="str">
        <f>IFERROR(__xludf.DUMMYFUNCTION("""COMPUTED_VALUE""")," ")</f>
        <v> </v>
      </c>
      <c r="T1590" s="6" t="str">
        <f>IFERROR(__xludf.DUMMYFUNCTION("""COMPUTED_VALUE"""),"")</f>
        <v/>
      </c>
      <c r="U1590" s="6" t="str">
        <f>IFERROR(__xludf.DUMMYFUNCTION("""COMPUTED_VALUE"""),"11")</f>
        <v>11</v>
      </c>
      <c r="V1590" s="6" t="str">
        <f>IFERROR(__xludf.DUMMYFUNCTION("""COMPUTED_VALUE"""),"English")</f>
        <v>English</v>
      </c>
      <c r="W1590" s="6" t="str">
        <f>IFERROR(__xludf.DUMMYFUNCTION("""COMPUTED_VALUE"""),"[]")</f>
        <v>[]</v>
      </c>
      <c r="X1590" s="6" t="str">
        <f>IFERROR(__xludf.DUMMYFUNCTION("""COMPUTED_VALUE"""),"Enrolled")</f>
        <v>Enrolled</v>
      </c>
    </row>
    <row r="1591">
      <c r="A1591" s="6" t="str">
        <f>IFERROR(__xludf.DUMMYFUNCTION("""COMPUTED_VALUE"""),"009-2954")</f>
        <v>009-2954</v>
      </c>
      <c r="B1591" s="6" t="str">
        <f>IFERROR(__xludf.DUMMYFUNCTION("""COMPUTED_VALUE"""),"9")</f>
        <v>9</v>
      </c>
      <c r="C1591" s="6" t="str">
        <f>IFERROR(__xludf.DUMMYFUNCTION("""COMPUTED_VALUE"""),"2954")</f>
        <v>2954</v>
      </c>
      <c r="D1591" s="6" t="str">
        <f>IFERROR(__xludf.DUMMYFUNCTION("""COMPUTED_VALUE"""),"Yevhen")</f>
        <v>Yevhen</v>
      </c>
      <c r="E1591" s="6" t="str">
        <f>IFERROR(__xludf.DUMMYFUNCTION("""COMPUTED_VALUE"""),"")</f>
        <v/>
      </c>
      <c r="F1591" s="6" t="str">
        <f>IFERROR(__xludf.DUMMYFUNCTION("""COMPUTED_VALUE"""),"Lazko")</f>
        <v>Lazko</v>
      </c>
      <c r="G1591" s="6" t="str">
        <f>IFERROR(__xludf.DUMMYFUNCTION("""COMPUTED_VALUE"""),"04/09/2019")</f>
        <v>04/09/2019</v>
      </c>
      <c r="H1591" s="6" t="str">
        <f>IFERROR(__xludf.DUMMYFUNCTION("""COMPUTED_VALUE"""),"Self Identify")</f>
        <v>Self Identify</v>
      </c>
      <c r="I1591" s="6" t="str">
        <f>IFERROR(__xludf.DUMMYFUNCTION("""COMPUTED_VALUE"""),"Learning Lab")</f>
        <v>Learning Lab</v>
      </c>
      <c r="J1591" s="6" t="str">
        <f>IFERROR(__xludf.DUMMYFUNCTION("""COMPUTED_VALUE"""),"1")</f>
        <v>1</v>
      </c>
      <c r="K1591" s="6" t="str">
        <f>IFERROR(__xludf.DUMMYFUNCTION("""COMPUTED_VALUE"""),"yevhen.lazko@2hourlearning.com")</f>
        <v>yevhen.lazko@2hourlearning.com</v>
      </c>
      <c r="L1591" s="6" t="str">
        <f>IFERROR(__xludf.DUMMYFUNCTION("""COMPUTED_VALUE"""),"Learn and Earn Poland")</f>
        <v>Learn and Earn Poland</v>
      </c>
      <c r="M1591" s="6" t="str">
        <f>IFERROR(__xludf.DUMMYFUNCTION("""COMPUTED_VALUE"""),"")</f>
        <v/>
      </c>
      <c r="N1591" s="6" t="str">
        <f>IFERROR(__xludf.DUMMYFUNCTION("""COMPUTED_VALUE"""),"")</f>
        <v/>
      </c>
      <c r="O1591" s="87" t="str">
        <f>IFERROR(__xludf.DUMMYFUNCTION("""COMPUTED_VALUE"""),"https://drive.google.com/drive/folders/10T2cTQHqEJZqE-st6uFKPoI?usp=share_link")</f>
        <v>https://drive.google.com/drive/folders/10T2cTQHqEJZqE-st6uFKPoI?usp=share_link</v>
      </c>
      <c r="P1591" s="6" t="str">
        <f>IFERROR(__xludf.DUMMYFUNCTION("""COMPUTED_VALUE"""),"Yevhen Lazko")</f>
        <v>Yevhen Lazko</v>
      </c>
      <c r="Q1591" s="6" t="str">
        <f>IFERROR(__xludf.DUMMYFUNCTION("""COMPUTED_VALUE"""),"LL")</f>
        <v>LL</v>
      </c>
      <c r="R1591" s="6">
        <f>IFERROR(__xludf.DUMMYFUNCTION("""COMPUTED_VALUE"""),0.0)</f>
        <v>0</v>
      </c>
      <c r="S1591" s="6" t="str">
        <f>IFERROR(__xludf.DUMMYFUNCTION("""COMPUTED_VALUE""")," ")</f>
        <v> </v>
      </c>
      <c r="T1591" s="6" t="str">
        <f>IFERROR(__xludf.DUMMYFUNCTION("""COMPUTED_VALUE"""),"")</f>
        <v/>
      </c>
      <c r="U1591" s="6" t="str">
        <f>IFERROR(__xludf.DUMMYFUNCTION("""COMPUTED_VALUE"""),"1")</f>
        <v>1</v>
      </c>
      <c r="V1591" s="6" t="str">
        <f>IFERROR(__xludf.DUMMYFUNCTION("""COMPUTED_VALUE"""),"English")</f>
        <v>English</v>
      </c>
      <c r="W1591" s="6" t="str">
        <f>IFERROR(__xludf.DUMMYFUNCTION("""COMPUTED_VALUE"""),"[]")</f>
        <v>[]</v>
      </c>
      <c r="X1591" s="6" t="str">
        <f>IFERROR(__xludf.DUMMYFUNCTION("""COMPUTED_VALUE"""),"Enrolled")</f>
        <v>Enrolled</v>
      </c>
    </row>
    <row r="1592">
      <c r="A1592" s="6" t="str">
        <f>IFERROR(__xludf.DUMMYFUNCTION("""COMPUTED_VALUE"""),"009-2955")</f>
        <v>009-2955</v>
      </c>
      <c r="B1592" s="6" t="str">
        <f>IFERROR(__xludf.DUMMYFUNCTION("""COMPUTED_VALUE"""),"9")</f>
        <v>9</v>
      </c>
      <c r="C1592" s="6" t="str">
        <f>IFERROR(__xludf.DUMMYFUNCTION("""COMPUTED_VALUE"""),"2955")</f>
        <v>2955</v>
      </c>
      <c r="D1592" s="6" t="str">
        <f>IFERROR(__xludf.DUMMYFUNCTION("""COMPUTED_VALUE"""),"Makar")</f>
        <v>Makar</v>
      </c>
      <c r="E1592" s="6" t="str">
        <f>IFERROR(__xludf.DUMMYFUNCTION("""COMPUTED_VALUE"""),"")</f>
        <v/>
      </c>
      <c r="F1592" s="6" t="str">
        <f>IFERROR(__xludf.DUMMYFUNCTION("""COMPUTED_VALUE"""),"Lemesh")</f>
        <v>Lemesh</v>
      </c>
      <c r="G1592" s="6" t="str">
        <f>IFERROR(__xludf.DUMMYFUNCTION("""COMPUTED_VALUE"""),"12/19/2010")</f>
        <v>12/19/2010</v>
      </c>
      <c r="H1592" s="6" t="str">
        <f>IFERROR(__xludf.DUMMYFUNCTION("""COMPUTED_VALUE"""),"Self Identify")</f>
        <v>Self Identify</v>
      </c>
      <c r="I1592" s="6" t="str">
        <f>IFERROR(__xludf.DUMMYFUNCTION("""COMPUTED_VALUE"""),"High School")</f>
        <v>High School</v>
      </c>
      <c r="J1592" s="6" t="str">
        <f>IFERROR(__xludf.DUMMYFUNCTION("""COMPUTED_VALUE"""),"9")</f>
        <v>9</v>
      </c>
      <c r="K1592" s="6" t="str">
        <f>IFERROR(__xludf.DUMMYFUNCTION("""COMPUTED_VALUE"""),"makar.lemesh@2hourlearning.com")</f>
        <v>makar.lemesh@2hourlearning.com</v>
      </c>
      <c r="L1592" s="6" t="str">
        <f>IFERROR(__xludf.DUMMYFUNCTION("""COMPUTED_VALUE"""),"Learn and Earn Poland")</f>
        <v>Learn and Earn Poland</v>
      </c>
      <c r="M1592" s="6" t="str">
        <f>IFERROR(__xludf.DUMMYFUNCTION("""COMPUTED_VALUE"""),"")</f>
        <v/>
      </c>
      <c r="N1592" s="6" t="str">
        <f>IFERROR(__xludf.DUMMYFUNCTION("""COMPUTED_VALUE"""),"")</f>
        <v/>
      </c>
      <c r="O1592" s="87" t="str">
        <f>IFERROR(__xludf.DUMMYFUNCTION("""COMPUTED_VALUE"""),"https://drive.google.com/drive/folders/10T2cTQHqEJZqE-st6uFKPoI?usp=share_link")</f>
        <v>https://drive.google.com/drive/folders/10T2cTQHqEJZqE-st6uFKPoI?usp=share_link</v>
      </c>
      <c r="P1592" s="6" t="str">
        <f>IFERROR(__xludf.DUMMYFUNCTION("""COMPUTED_VALUE"""),"Makar Lemesh")</f>
        <v>Makar Lemesh</v>
      </c>
      <c r="Q1592" s="6" t="str">
        <f>IFERROR(__xludf.DUMMYFUNCTION("""COMPUTED_VALUE"""),"HS")</f>
        <v>HS</v>
      </c>
      <c r="R1592" s="6">
        <f>IFERROR(__xludf.DUMMYFUNCTION("""COMPUTED_VALUE"""),0.0)</f>
        <v>0</v>
      </c>
      <c r="S1592" s="6" t="str">
        <f>IFERROR(__xludf.DUMMYFUNCTION("""COMPUTED_VALUE""")," ")</f>
        <v> </v>
      </c>
      <c r="T1592" s="6" t="str">
        <f>IFERROR(__xludf.DUMMYFUNCTION("""COMPUTED_VALUE"""),"")</f>
        <v/>
      </c>
      <c r="U1592" s="6" t="str">
        <f>IFERROR(__xludf.DUMMYFUNCTION("""COMPUTED_VALUE"""),"9")</f>
        <v>9</v>
      </c>
      <c r="V1592" s="6" t="str">
        <f>IFERROR(__xludf.DUMMYFUNCTION("""COMPUTED_VALUE"""),"English")</f>
        <v>English</v>
      </c>
      <c r="W1592" s="6" t="str">
        <f>IFERROR(__xludf.DUMMYFUNCTION("""COMPUTED_VALUE"""),"[]")</f>
        <v>[]</v>
      </c>
      <c r="X1592" s="6" t="str">
        <f>IFERROR(__xludf.DUMMYFUNCTION("""COMPUTED_VALUE"""),"Enrolled")</f>
        <v>Enrolled</v>
      </c>
    </row>
    <row r="1593">
      <c r="A1593" s="6" t="str">
        <f>IFERROR(__xludf.DUMMYFUNCTION("""COMPUTED_VALUE"""),"009-2956")</f>
        <v>009-2956</v>
      </c>
      <c r="B1593" s="6" t="str">
        <f>IFERROR(__xludf.DUMMYFUNCTION("""COMPUTED_VALUE"""),"9")</f>
        <v>9</v>
      </c>
      <c r="C1593" s="6" t="str">
        <f>IFERROR(__xludf.DUMMYFUNCTION("""COMPUTED_VALUE"""),"2956")</f>
        <v>2956</v>
      </c>
      <c r="D1593" s="6" t="str">
        <f>IFERROR(__xludf.DUMMYFUNCTION("""COMPUTED_VALUE"""),"Sofiia")</f>
        <v>Sofiia</v>
      </c>
      <c r="E1593" s="6" t="str">
        <f>IFERROR(__xludf.DUMMYFUNCTION("""COMPUTED_VALUE"""),"")</f>
        <v/>
      </c>
      <c r="F1593" s="6" t="str">
        <f>IFERROR(__xludf.DUMMYFUNCTION("""COMPUTED_VALUE"""),"Chaban")</f>
        <v>Chaban</v>
      </c>
      <c r="G1593" s="6" t="str">
        <f>IFERROR(__xludf.DUMMYFUNCTION("""COMPUTED_VALUE"""),"02/26/2017")</f>
        <v>02/26/2017</v>
      </c>
      <c r="H1593" s="6" t="str">
        <f>IFERROR(__xludf.DUMMYFUNCTION("""COMPUTED_VALUE"""),"Self Identify")</f>
        <v>Self Identify</v>
      </c>
      <c r="I1593" s="6" t="str">
        <f>IFERROR(__xludf.DUMMYFUNCTION("""COMPUTED_VALUE"""),"Level 1")</f>
        <v>Level 1</v>
      </c>
      <c r="J1593" s="6" t="str">
        <f>IFERROR(__xludf.DUMMYFUNCTION("""COMPUTED_VALUE"""),"3")</f>
        <v>3</v>
      </c>
      <c r="K1593" s="6" t="str">
        <f>IFERROR(__xludf.DUMMYFUNCTION("""COMPUTED_VALUE"""),"sofiia.chaban@2hourlearning.com")</f>
        <v>sofiia.chaban@2hourlearning.com</v>
      </c>
      <c r="L1593" s="6" t="str">
        <f>IFERROR(__xludf.DUMMYFUNCTION("""COMPUTED_VALUE"""),"Learn and Earn Poland")</f>
        <v>Learn and Earn Poland</v>
      </c>
      <c r="M1593" s="6" t="str">
        <f>IFERROR(__xludf.DUMMYFUNCTION("""COMPUTED_VALUE"""),"")</f>
        <v/>
      </c>
      <c r="N1593" s="6" t="str">
        <f>IFERROR(__xludf.DUMMYFUNCTION("""COMPUTED_VALUE"""),"")</f>
        <v/>
      </c>
      <c r="O1593" s="87" t="str">
        <f>IFERROR(__xludf.DUMMYFUNCTION("""COMPUTED_VALUE"""),"https://drive.google.com/drive/folders/10T2cTQHqEJZqE-st6uFKPoI?usp=share_link")</f>
        <v>https://drive.google.com/drive/folders/10T2cTQHqEJZqE-st6uFKPoI?usp=share_link</v>
      </c>
      <c r="P1593" s="6" t="str">
        <f>IFERROR(__xludf.DUMMYFUNCTION("""COMPUTED_VALUE"""),"Sofiia Chaban")</f>
        <v>Sofiia Chaban</v>
      </c>
      <c r="Q1593" s="6" t="str">
        <f>IFERROR(__xludf.DUMMYFUNCTION("""COMPUTED_VALUE"""),"L1")</f>
        <v>L1</v>
      </c>
      <c r="R1593" s="6">
        <f>IFERROR(__xludf.DUMMYFUNCTION("""COMPUTED_VALUE"""),1.0)</f>
        <v>1</v>
      </c>
      <c r="S1593" s="6" t="str">
        <f>IFERROR(__xludf.DUMMYFUNCTION("""COMPUTED_VALUE""")," ")</f>
        <v> </v>
      </c>
      <c r="T1593" s="6" t="str">
        <f>IFERROR(__xludf.DUMMYFUNCTION("""COMPUTED_VALUE"""),"")</f>
        <v/>
      </c>
      <c r="U1593" s="6" t="str">
        <f>IFERROR(__xludf.DUMMYFUNCTION("""COMPUTED_VALUE"""),"3")</f>
        <v>3</v>
      </c>
      <c r="V1593" s="6" t="str">
        <f>IFERROR(__xludf.DUMMYFUNCTION("""COMPUTED_VALUE"""),"English")</f>
        <v>English</v>
      </c>
      <c r="W1593" s="6" t="str">
        <f>IFERROR(__xludf.DUMMYFUNCTION("""COMPUTED_VALUE"""),"[]")</f>
        <v>[]</v>
      </c>
      <c r="X1593" s="6" t="str">
        <f>IFERROR(__xludf.DUMMYFUNCTION("""COMPUTED_VALUE"""),"Enrolled")</f>
        <v>Enrolled</v>
      </c>
    </row>
    <row r="1594">
      <c r="A1594" s="6" t="str">
        <f>IFERROR(__xludf.DUMMYFUNCTION("""COMPUTED_VALUE"""),"009-2957")</f>
        <v>009-2957</v>
      </c>
      <c r="B1594" s="6" t="str">
        <f>IFERROR(__xludf.DUMMYFUNCTION("""COMPUTED_VALUE"""),"9")</f>
        <v>9</v>
      </c>
      <c r="C1594" s="6" t="str">
        <f>IFERROR(__xludf.DUMMYFUNCTION("""COMPUTED_VALUE"""),"2957")</f>
        <v>2957</v>
      </c>
      <c r="D1594" s="6" t="str">
        <f>IFERROR(__xludf.DUMMYFUNCTION("""COMPUTED_VALUE"""),"Tymofii")</f>
        <v>Tymofii</v>
      </c>
      <c r="E1594" s="6" t="str">
        <f>IFERROR(__xludf.DUMMYFUNCTION("""COMPUTED_VALUE"""),"")</f>
        <v/>
      </c>
      <c r="F1594" s="6" t="str">
        <f>IFERROR(__xludf.DUMMYFUNCTION("""COMPUTED_VALUE"""),"DʼIachenko")</f>
        <v>DʼIachenko</v>
      </c>
      <c r="G1594" s="6" t="str">
        <f>IFERROR(__xludf.DUMMYFUNCTION("""COMPUTED_VALUE"""),"12/16/2013")</f>
        <v>12/16/2013</v>
      </c>
      <c r="H1594" s="6" t="str">
        <f>IFERROR(__xludf.DUMMYFUNCTION("""COMPUTED_VALUE"""),"Self Identify")</f>
        <v>Self Identify</v>
      </c>
      <c r="I1594" s="6" t="str">
        <f>IFERROR(__xludf.DUMMYFUNCTION("""COMPUTED_VALUE"""),"Middle School")</f>
        <v>Middle School</v>
      </c>
      <c r="J1594" s="6" t="str">
        <f>IFERROR(__xludf.DUMMYFUNCTION("""COMPUTED_VALUE"""),"6")</f>
        <v>6</v>
      </c>
      <c r="K1594" s="6" t="str">
        <f>IFERROR(__xludf.DUMMYFUNCTION("""COMPUTED_VALUE"""),"tymofii.diachenko@2hourlearning.com")</f>
        <v>tymofii.diachenko@2hourlearning.com</v>
      </c>
      <c r="L1594" s="6" t="str">
        <f>IFERROR(__xludf.DUMMYFUNCTION("""COMPUTED_VALUE"""),"Learn and Earn Poland")</f>
        <v>Learn and Earn Poland</v>
      </c>
      <c r="M1594" s="6" t="str">
        <f>IFERROR(__xludf.DUMMYFUNCTION("""COMPUTED_VALUE"""),"")</f>
        <v/>
      </c>
      <c r="N1594" s="6" t="str">
        <f>IFERROR(__xludf.DUMMYFUNCTION("""COMPUTED_VALUE"""),"")</f>
        <v/>
      </c>
      <c r="O1594" s="87" t="str">
        <f>IFERROR(__xludf.DUMMYFUNCTION("""COMPUTED_VALUE"""),"https://drive.google.com/drive/folders/10T2cTQHqEJZqE-st6uFKPoI?usp=share_link")</f>
        <v>https://drive.google.com/drive/folders/10T2cTQHqEJZqE-st6uFKPoI?usp=share_link</v>
      </c>
      <c r="P1594" s="6" t="str">
        <f>IFERROR(__xludf.DUMMYFUNCTION("""COMPUTED_VALUE"""),"Tymofii DʼIachenko")</f>
        <v>Tymofii DʼIachenko</v>
      </c>
      <c r="Q1594" s="6" t="str">
        <f>IFERROR(__xludf.DUMMYFUNCTION("""COMPUTED_VALUE"""),"MS")</f>
        <v>MS</v>
      </c>
      <c r="R1594" s="6">
        <f>IFERROR(__xludf.DUMMYFUNCTION("""COMPUTED_VALUE"""),0.0)</f>
        <v>0</v>
      </c>
      <c r="S1594" s="6" t="str">
        <f>IFERROR(__xludf.DUMMYFUNCTION("""COMPUTED_VALUE""")," ")</f>
        <v> </v>
      </c>
      <c r="T1594" s="6" t="str">
        <f>IFERROR(__xludf.DUMMYFUNCTION("""COMPUTED_VALUE"""),"")</f>
        <v/>
      </c>
      <c r="U1594" s="6" t="str">
        <f>IFERROR(__xludf.DUMMYFUNCTION("""COMPUTED_VALUE"""),"6")</f>
        <v>6</v>
      </c>
      <c r="V1594" s="6" t="str">
        <f>IFERROR(__xludf.DUMMYFUNCTION("""COMPUTED_VALUE"""),"English")</f>
        <v>English</v>
      </c>
      <c r="W1594" s="6" t="str">
        <f>IFERROR(__xludf.DUMMYFUNCTION("""COMPUTED_VALUE"""),"[]")</f>
        <v>[]</v>
      </c>
      <c r="X1594" s="6" t="str">
        <f>IFERROR(__xludf.DUMMYFUNCTION("""COMPUTED_VALUE"""),"Enrolled")</f>
        <v>Enrolled</v>
      </c>
    </row>
    <row r="1595">
      <c r="A1595" s="6" t="str">
        <f>IFERROR(__xludf.DUMMYFUNCTION("""COMPUTED_VALUE"""),"009-2958")</f>
        <v>009-2958</v>
      </c>
      <c r="B1595" s="6" t="str">
        <f>IFERROR(__xludf.DUMMYFUNCTION("""COMPUTED_VALUE"""),"9")</f>
        <v>9</v>
      </c>
      <c r="C1595" s="6" t="str">
        <f>IFERROR(__xludf.DUMMYFUNCTION("""COMPUTED_VALUE"""),"2958")</f>
        <v>2958</v>
      </c>
      <c r="D1595" s="6" t="str">
        <f>IFERROR(__xludf.DUMMYFUNCTION("""COMPUTED_VALUE"""),"Viktor")</f>
        <v>Viktor</v>
      </c>
      <c r="E1595" s="6" t="str">
        <f>IFERROR(__xludf.DUMMYFUNCTION("""COMPUTED_VALUE"""),"")</f>
        <v/>
      </c>
      <c r="F1595" s="6" t="str">
        <f>IFERROR(__xludf.DUMMYFUNCTION("""COMPUTED_VALUE"""),"Moroz")</f>
        <v>Moroz</v>
      </c>
      <c r="G1595" s="6" t="str">
        <f>IFERROR(__xludf.DUMMYFUNCTION("""COMPUTED_VALUE"""),"05/18/2008")</f>
        <v>05/18/2008</v>
      </c>
      <c r="H1595" s="6" t="str">
        <f>IFERROR(__xludf.DUMMYFUNCTION("""COMPUTED_VALUE"""),"Self Identify")</f>
        <v>Self Identify</v>
      </c>
      <c r="I1595" s="6" t="str">
        <f>IFERROR(__xludf.DUMMYFUNCTION("""COMPUTED_VALUE"""),"High School")</f>
        <v>High School</v>
      </c>
      <c r="J1595" s="6" t="str">
        <f>IFERROR(__xludf.DUMMYFUNCTION("""COMPUTED_VALUE"""),"12")</f>
        <v>12</v>
      </c>
      <c r="K1595" s="6" t="str">
        <f>IFERROR(__xludf.DUMMYFUNCTION("""COMPUTED_VALUE"""),"viktor.moroz@2hourlearning.com")</f>
        <v>viktor.moroz@2hourlearning.com</v>
      </c>
      <c r="L1595" s="6" t="str">
        <f>IFERROR(__xludf.DUMMYFUNCTION("""COMPUTED_VALUE"""),"Learn and Earn Poland")</f>
        <v>Learn and Earn Poland</v>
      </c>
      <c r="M1595" s="6" t="str">
        <f>IFERROR(__xludf.DUMMYFUNCTION("""COMPUTED_VALUE"""),"")</f>
        <v/>
      </c>
      <c r="N1595" s="6" t="str">
        <f>IFERROR(__xludf.DUMMYFUNCTION("""COMPUTED_VALUE"""),"")</f>
        <v/>
      </c>
      <c r="O1595" s="87" t="str">
        <f>IFERROR(__xludf.DUMMYFUNCTION("""COMPUTED_VALUE"""),"https://drive.google.com/drive/folders/10T2cTQHqEJZqE-st6uFKPoI?usp=share_link")</f>
        <v>https://drive.google.com/drive/folders/10T2cTQHqEJZqE-st6uFKPoI?usp=share_link</v>
      </c>
      <c r="P1595" s="6" t="str">
        <f>IFERROR(__xludf.DUMMYFUNCTION("""COMPUTED_VALUE"""),"Viktor Moroz")</f>
        <v>Viktor Moroz</v>
      </c>
      <c r="Q1595" s="6" t="str">
        <f>IFERROR(__xludf.DUMMYFUNCTION("""COMPUTED_VALUE"""),"HS")</f>
        <v>HS</v>
      </c>
      <c r="R1595" s="6">
        <f>IFERROR(__xludf.DUMMYFUNCTION("""COMPUTED_VALUE"""),0.0)</f>
        <v>0</v>
      </c>
      <c r="S1595" s="6" t="str">
        <f>IFERROR(__xludf.DUMMYFUNCTION("""COMPUTED_VALUE""")," ")</f>
        <v> </v>
      </c>
      <c r="T1595" s="6" t="str">
        <f>IFERROR(__xludf.DUMMYFUNCTION("""COMPUTED_VALUE"""),"")</f>
        <v/>
      </c>
      <c r="U1595" s="6" t="str">
        <f>IFERROR(__xludf.DUMMYFUNCTION("""COMPUTED_VALUE"""),"12")</f>
        <v>12</v>
      </c>
      <c r="V1595" s="6" t="str">
        <f>IFERROR(__xludf.DUMMYFUNCTION("""COMPUTED_VALUE"""),"English")</f>
        <v>English</v>
      </c>
      <c r="W1595" s="6" t="str">
        <f>IFERROR(__xludf.DUMMYFUNCTION("""COMPUTED_VALUE"""),"[]")</f>
        <v>[]</v>
      </c>
      <c r="X1595" s="6" t="str">
        <f>IFERROR(__xludf.DUMMYFUNCTION("""COMPUTED_VALUE"""),"Enrolled")</f>
        <v>Enrolled</v>
      </c>
    </row>
    <row r="1596">
      <c r="A1596" s="6" t="str">
        <f>IFERROR(__xludf.DUMMYFUNCTION("""COMPUTED_VALUE"""),"009-2959")</f>
        <v>009-2959</v>
      </c>
      <c r="B1596" s="6" t="str">
        <f>IFERROR(__xludf.DUMMYFUNCTION("""COMPUTED_VALUE"""),"9")</f>
        <v>9</v>
      </c>
      <c r="C1596" s="6" t="str">
        <f>IFERROR(__xludf.DUMMYFUNCTION("""COMPUTED_VALUE"""),"2959")</f>
        <v>2959</v>
      </c>
      <c r="D1596" s="6" t="str">
        <f>IFERROR(__xludf.DUMMYFUNCTION("""COMPUTED_VALUE"""),"Bela")</f>
        <v>Bela</v>
      </c>
      <c r="E1596" s="6" t="str">
        <f>IFERROR(__xludf.DUMMYFUNCTION("""COMPUTED_VALUE"""),"")</f>
        <v/>
      </c>
      <c r="F1596" s="6" t="str">
        <f>IFERROR(__xludf.DUMMYFUNCTION("""COMPUTED_VALUE"""),"Holovach")</f>
        <v>Holovach</v>
      </c>
      <c r="G1596" s="6" t="str">
        <f>IFERROR(__xludf.DUMMYFUNCTION("""COMPUTED_VALUE"""),"08/08/2010")</f>
        <v>08/08/2010</v>
      </c>
      <c r="H1596" s="6" t="str">
        <f>IFERROR(__xludf.DUMMYFUNCTION("""COMPUTED_VALUE"""),"Self Identify")</f>
        <v>Self Identify</v>
      </c>
      <c r="I1596" s="6" t="str">
        <f>IFERROR(__xludf.DUMMYFUNCTION("""COMPUTED_VALUE"""),"High School")</f>
        <v>High School</v>
      </c>
      <c r="J1596" s="6" t="str">
        <f>IFERROR(__xludf.DUMMYFUNCTION("""COMPUTED_VALUE"""),"9")</f>
        <v>9</v>
      </c>
      <c r="K1596" s="6" t="str">
        <f>IFERROR(__xludf.DUMMYFUNCTION("""COMPUTED_VALUE"""),"bela.holovach@2hourlearning.com")</f>
        <v>bela.holovach@2hourlearning.com</v>
      </c>
      <c r="L1596" s="6" t="str">
        <f>IFERROR(__xludf.DUMMYFUNCTION("""COMPUTED_VALUE"""),"Learn and Earn Poland")</f>
        <v>Learn and Earn Poland</v>
      </c>
      <c r="M1596" s="6" t="str">
        <f>IFERROR(__xludf.DUMMYFUNCTION("""COMPUTED_VALUE"""),"")</f>
        <v/>
      </c>
      <c r="N1596" s="6" t="str">
        <f>IFERROR(__xludf.DUMMYFUNCTION("""COMPUTED_VALUE"""),"")</f>
        <v/>
      </c>
      <c r="O1596" s="87" t="str">
        <f>IFERROR(__xludf.DUMMYFUNCTION("""COMPUTED_VALUE"""),"https://drive.google.com/drive/folders/10T2cTQHqEJZqE-st6uFKPoI?usp=share_link")</f>
        <v>https://drive.google.com/drive/folders/10T2cTQHqEJZqE-st6uFKPoI?usp=share_link</v>
      </c>
      <c r="P1596" s="6" t="str">
        <f>IFERROR(__xludf.DUMMYFUNCTION("""COMPUTED_VALUE"""),"Bela Holovach")</f>
        <v>Bela Holovach</v>
      </c>
      <c r="Q1596" s="6" t="str">
        <f>IFERROR(__xludf.DUMMYFUNCTION("""COMPUTED_VALUE"""),"HS")</f>
        <v>HS</v>
      </c>
      <c r="R1596" s="6">
        <f>IFERROR(__xludf.DUMMYFUNCTION("""COMPUTED_VALUE"""),0.0)</f>
        <v>0</v>
      </c>
      <c r="S1596" s="6" t="str">
        <f>IFERROR(__xludf.DUMMYFUNCTION("""COMPUTED_VALUE""")," ")</f>
        <v> </v>
      </c>
      <c r="T1596" s="6" t="str">
        <f>IFERROR(__xludf.DUMMYFUNCTION("""COMPUTED_VALUE"""),"")</f>
        <v/>
      </c>
      <c r="U1596" s="6" t="str">
        <f>IFERROR(__xludf.DUMMYFUNCTION("""COMPUTED_VALUE"""),"9")</f>
        <v>9</v>
      </c>
      <c r="V1596" s="6" t="str">
        <f>IFERROR(__xludf.DUMMYFUNCTION("""COMPUTED_VALUE"""),"English")</f>
        <v>English</v>
      </c>
      <c r="W1596" s="6" t="str">
        <f>IFERROR(__xludf.DUMMYFUNCTION("""COMPUTED_VALUE"""),"[]")</f>
        <v>[]</v>
      </c>
      <c r="X1596" s="6" t="str">
        <f>IFERROR(__xludf.DUMMYFUNCTION("""COMPUTED_VALUE"""),"Enrolled")</f>
        <v>Enrolled</v>
      </c>
    </row>
    <row r="1597">
      <c r="A1597" s="6" t="str">
        <f>IFERROR(__xludf.DUMMYFUNCTION("""COMPUTED_VALUE"""),"009-2960")</f>
        <v>009-2960</v>
      </c>
      <c r="B1597" s="6" t="str">
        <f>IFERROR(__xludf.DUMMYFUNCTION("""COMPUTED_VALUE"""),"9")</f>
        <v>9</v>
      </c>
      <c r="C1597" s="6" t="str">
        <f>IFERROR(__xludf.DUMMYFUNCTION("""COMPUTED_VALUE"""),"2960")</f>
        <v>2960</v>
      </c>
      <c r="D1597" s="6" t="str">
        <f>IFERROR(__xludf.DUMMYFUNCTION("""COMPUTED_VALUE"""),"Matvii")</f>
        <v>Matvii</v>
      </c>
      <c r="E1597" s="6" t="str">
        <f>IFERROR(__xludf.DUMMYFUNCTION("""COMPUTED_VALUE"""),"")</f>
        <v/>
      </c>
      <c r="F1597" s="6" t="str">
        <f>IFERROR(__xludf.DUMMYFUNCTION("""COMPUTED_VALUE"""),"Lukasevych")</f>
        <v>Lukasevych</v>
      </c>
      <c r="G1597" s="6" t="str">
        <f>IFERROR(__xludf.DUMMYFUNCTION("""COMPUTED_VALUE"""),"05/21/2018")</f>
        <v>05/21/2018</v>
      </c>
      <c r="H1597" s="6" t="str">
        <f>IFERROR(__xludf.DUMMYFUNCTION("""COMPUTED_VALUE"""),"Self Identify")</f>
        <v>Self Identify</v>
      </c>
      <c r="I1597" s="6" t="str">
        <f>IFERROR(__xludf.DUMMYFUNCTION("""COMPUTED_VALUE"""),"Level 1")</f>
        <v>Level 1</v>
      </c>
      <c r="J1597" s="6" t="str">
        <f>IFERROR(__xludf.DUMMYFUNCTION("""COMPUTED_VALUE"""),"2")</f>
        <v>2</v>
      </c>
      <c r="K1597" s="6" t="str">
        <f>IFERROR(__xludf.DUMMYFUNCTION("""COMPUTED_VALUE"""),"matvii.lukasevych@2hourlearning.com")</f>
        <v>matvii.lukasevych@2hourlearning.com</v>
      </c>
      <c r="L1597" s="6" t="str">
        <f>IFERROR(__xludf.DUMMYFUNCTION("""COMPUTED_VALUE"""),"Learn and Earn Poland")</f>
        <v>Learn and Earn Poland</v>
      </c>
      <c r="M1597" s="6" t="str">
        <f>IFERROR(__xludf.DUMMYFUNCTION("""COMPUTED_VALUE"""),"")</f>
        <v/>
      </c>
      <c r="N1597" s="6" t="str">
        <f>IFERROR(__xludf.DUMMYFUNCTION("""COMPUTED_VALUE"""),"")</f>
        <v/>
      </c>
      <c r="O1597" s="87" t="str">
        <f>IFERROR(__xludf.DUMMYFUNCTION("""COMPUTED_VALUE"""),"https://drive.google.com/drive/folders/10T2cTQHqEJZqE-st6uFKPoI?usp=share_link")</f>
        <v>https://drive.google.com/drive/folders/10T2cTQHqEJZqE-st6uFKPoI?usp=share_link</v>
      </c>
      <c r="P1597" s="6" t="str">
        <f>IFERROR(__xludf.DUMMYFUNCTION("""COMPUTED_VALUE"""),"Matvii Lukasevych")</f>
        <v>Matvii Lukasevych</v>
      </c>
      <c r="Q1597" s="6" t="str">
        <f>IFERROR(__xludf.DUMMYFUNCTION("""COMPUTED_VALUE"""),"L1")</f>
        <v>L1</v>
      </c>
      <c r="R1597" s="6">
        <f>IFERROR(__xludf.DUMMYFUNCTION("""COMPUTED_VALUE"""),1.0)</f>
        <v>1</v>
      </c>
      <c r="S1597" s="6" t="str">
        <f>IFERROR(__xludf.DUMMYFUNCTION("""COMPUTED_VALUE""")," ")</f>
        <v> </v>
      </c>
      <c r="T1597" s="6" t="str">
        <f>IFERROR(__xludf.DUMMYFUNCTION("""COMPUTED_VALUE"""),"")</f>
        <v/>
      </c>
      <c r="U1597" s="6" t="str">
        <f>IFERROR(__xludf.DUMMYFUNCTION("""COMPUTED_VALUE"""),"2")</f>
        <v>2</v>
      </c>
      <c r="V1597" s="6" t="str">
        <f>IFERROR(__xludf.DUMMYFUNCTION("""COMPUTED_VALUE"""),"English")</f>
        <v>English</v>
      </c>
      <c r="W1597" s="6" t="str">
        <f>IFERROR(__xludf.DUMMYFUNCTION("""COMPUTED_VALUE"""),"[]")</f>
        <v>[]</v>
      </c>
      <c r="X1597" s="6" t="str">
        <f>IFERROR(__xludf.DUMMYFUNCTION("""COMPUTED_VALUE"""),"Enrolled")</f>
        <v>Enrolled</v>
      </c>
    </row>
    <row r="1598">
      <c r="A1598" s="6" t="str">
        <f>IFERROR(__xludf.DUMMYFUNCTION("""COMPUTED_VALUE"""),"009-2961")</f>
        <v>009-2961</v>
      </c>
      <c r="B1598" s="6" t="str">
        <f>IFERROR(__xludf.DUMMYFUNCTION("""COMPUTED_VALUE"""),"9")</f>
        <v>9</v>
      </c>
      <c r="C1598" s="6" t="str">
        <f>IFERROR(__xludf.DUMMYFUNCTION("""COMPUTED_VALUE"""),"2961")</f>
        <v>2961</v>
      </c>
      <c r="D1598" s="6" t="str">
        <f>IFERROR(__xludf.DUMMYFUNCTION("""COMPUTED_VALUE"""),"Tovt Sofiia")</f>
        <v>Tovt Sofiia</v>
      </c>
      <c r="E1598" s="6" t="str">
        <f>IFERROR(__xludf.DUMMYFUNCTION("""COMPUTED_VALUE"""),"")</f>
        <v/>
      </c>
      <c r="F1598" s="6" t="str">
        <f>IFERROR(__xludf.DUMMYFUNCTION("""COMPUTED_VALUE"""),"Yeva")</f>
        <v>Yeva</v>
      </c>
      <c r="G1598" s="6" t="str">
        <f>IFERROR(__xludf.DUMMYFUNCTION("""COMPUTED_VALUE"""),"08/17/2007")</f>
        <v>08/17/2007</v>
      </c>
      <c r="H1598" s="6" t="str">
        <f>IFERROR(__xludf.DUMMYFUNCTION("""COMPUTED_VALUE"""),"Self Identify")</f>
        <v>Self Identify</v>
      </c>
      <c r="I1598" s="6" t="str">
        <f>IFERROR(__xludf.DUMMYFUNCTION("""COMPUTED_VALUE"""),"High School")</f>
        <v>High School</v>
      </c>
      <c r="J1598" s="6" t="str">
        <f>IFERROR(__xludf.DUMMYFUNCTION("""COMPUTED_VALUE"""),"12")</f>
        <v>12</v>
      </c>
      <c r="K1598" s="6" t="str">
        <f>IFERROR(__xludf.DUMMYFUNCTION("""COMPUTED_VALUE"""),"tovt.sofiia.yeva@2hourlearning.com")</f>
        <v>tovt.sofiia.yeva@2hourlearning.com</v>
      </c>
      <c r="L1598" s="6" t="str">
        <f>IFERROR(__xludf.DUMMYFUNCTION("""COMPUTED_VALUE"""),"Learn and Earn Poland")</f>
        <v>Learn and Earn Poland</v>
      </c>
      <c r="M1598" s="6" t="str">
        <f>IFERROR(__xludf.DUMMYFUNCTION("""COMPUTED_VALUE"""),"")</f>
        <v/>
      </c>
      <c r="N1598" s="6" t="str">
        <f>IFERROR(__xludf.DUMMYFUNCTION("""COMPUTED_VALUE"""),"")</f>
        <v/>
      </c>
      <c r="O1598" s="87" t="str">
        <f>IFERROR(__xludf.DUMMYFUNCTION("""COMPUTED_VALUE"""),"https://drive.google.com/drive/folders/10T2cTQHqEJZqE-st6uFKPoI?usp=share_link")</f>
        <v>https://drive.google.com/drive/folders/10T2cTQHqEJZqE-st6uFKPoI?usp=share_link</v>
      </c>
      <c r="P1598" s="6" t="str">
        <f>IFERROR(__xludf.DUMMYFUNCTION("""COMPUTED_VALUE"""),"Tovt Sofiia Yeva")</f>
        <v>Tovt Sofiia Yeva</v>
      </c>
      <c r="Q1598" s="6" t="str">
        <f>IFERROR(__xludf.DUMMYFUNCTION("""COMPUTED_VALUE"""),"HS")</f>
        <v>HS</v>
      </c>
      <c r="R1598" s="6">
        <f>IFERROR(__xludf.DUMMYFUNCTION("""COMPUTED_VALUE"""),0.0)</f>
        <v>0</v>
      </c>
      <c r="S1598" s="6" t="str">
        <f>IFERROR(__xludf.DUMMYFUNCTION("""COMPUTED_VALUE""")," ")</f>
        <v> </v>
      </c>
      <c r="T1598" s="6" t="str">
        <f>IFERROR(__xludf.DUMMYFUNCTION("""COMPUTED_VALUE"""),"")</f>
        <v/>
      </c>
      <c r="U1598" s="6" t="str">
        <f>IFERROR(__xludf.DUMMYFUNCTION("""COMPUTED_VALUE"""),"12")</f>
        <v>12</v>
      </c>
      <c r="V1598" s="6" t="str">
        <f>IFERROR(__xludf.DUMMYFUNCTION("""COMPUTED_VALUE"""),"English")</f>
        <v>English</v>
      </c>
      <c r="W1598" s="6" t="str">
        <f>IFERROR(__xludf.DUMMYFUNCTION("""COMPUTED_VALUE"""),"[]")</f>
        <v>[]</v>
      </c>
      <c r="X1598" s="6" t="str">
        <f>IFERROR(__xludf.DUMMYFUNCTION("""COMPUTED_VALUE"""),"Enrolled")</f>
        <v>Enrolled</v>
      </c>
    </row>
    <row r="1599">
      <c r="A1599" s="6" t="str">
        <f>IFERROR(__xludf.DUMMYFUNCTION("""COMPUTED_VALUE"""),"009-2962")</f>
        <v>009-2962</v>
      </c>
      <c r="B1599" s="6" t="str">
        <f>IFERROR(__xludf.DUMMYFUNCTION("""COMPUTED_VALUE"""),"9")</f>
        <v>9</v>
      </c>
      <c r="C1599" s="6" t="str">
        <f>IFERROR(__xludf.DUMMYFUNCTION("""COMPUTED_VALUE"""),"2962")</f>
        <v>2962</v>
      </c>
      <c r="D1599" s="6" t="str">
        <f>IFERROR(__xludf.DUMMYFUNCTION("""COMPUTED_VALUE"""),"Barbara")</f>
        <v>Barbara</v>
      </c>
      <c r="E1599" s="6" t="str">
        <f>IFERROR(__xludf.DUMMYFUNCTION("""COMPUTED_VALUE"""),"")</f>
        <v/>
      </c>
      <c r="F1599" s="6" t="str">
        <f>IFERROR(__xludf.DUMMYFUNCTION("""COMPUTED_VALUE"""),"Bunina")</f>
        <v>Bunina</v>
      </c>
      <c r="G1599" s="6" t="str">
        <f>IFERROR(__xludf.DUMMYFUNCTION("""COMPUTED_VALUE"""),"03/16/2007")</f>
        <v>03/16/2007</v>
      </c>
      <c r="H1599" s="6" t="str">
        <f>IFERROR(__xludf.DUMMYFUNCTION("""COMPUTED_VALUE"""),"Self Identify")</f>
        <v>Self Identify</v>
      </c>
      <c r="I1599" s="6" t="str">
        <f>IFERROR(__xludf.DUMMYFUNCTION("""COMPUTED_VALUE"""),"High School")</f>
        <v>High School</v>
      </c>
      <c r="J1599" s="6" t="str">
        <f>IFERROR(__xludf.DUMMYFUNCTION("""COMPUTED_VALUE"""),"12")</f>
        <v>12</v>
      </c>
      <c r="K1599" s="6" t="str">
        <f>IFERROR(__xludf.DUMMYFUNCTION("""COMPUTED_VALUE"""),"barbara.bunina@2hourlearning.com")</f>
        <v>barbara.bunina@2hourlearning.com</v>
      </c>
      <c r="L1599" s="6" t="str">
        <f>IFERROR(__xludf.DUMMYFUNCTION("""COMPUTED_VALUE"""),"Learn and Earn Poland")</f>
        <v>Learn and Earn Poland</v>
      </c>
      <c r="M1599" s="6" t="str">
        <f>IFERROR(__xludf.DUMMYFUNCTION("""COMPUTED_VALUE"""),"")</f>
        <v/>
      </c>
      <c r="N1599" s="6" t="str">
        <f>IFERROR(__xludf.DUMMYFUNCTION("""COMPUTED_VALUE"""),"")</f>
        <v/>
      </c>
      <c r="O1599" s="87" t="str">
        <f>IFERROR(__xludf.DUMMYFUNCTION("""COMPUTED_VALUE"""),"https://drive.google.com/drive/folders/10T2cTQHqEJZqE-st6uFKPoI?usp=share_link")</f>
        <v>https://drive.google.com/drive/folders/10T2cTQHqEJZqE-st6uFKPoI?usp=share_link</v>
      </c>
      <c r="P1599" s="6" t="str">
        <f>IFERROR(__xludf.DUMMYFUNCTION("""COMPUTED_VALUE"""),"Barbara Bunina")</f>
        <v>Barbara Bunina</v>
      </c>
      <c r="Q1599" s="6" t="str">
        <f>IFERROR(__xludf.DUMMYFUNCTION("""COMPUTED_VALUE"""),"HS")</f>
        <v>HS</v>
      </c>
      <c r="R1599" s="6">
        <f>IFERROR(__xludf.DUMMYFUNCTION("""COMPUTED_VALUE"""),0.0)</f>
        <v>0</v>
      </c>
      <c r="S1599" s="6" t="str">
        <f>IFERROR(__xludf.DUMMYFUNCTION("""COMPUTED_VALUE""")," ")</f>
        <v> </v>
      </c>
      <c r="T1599" s="6" t="str">
        <f>IFERROR(__xludf.DUMMYFUNCTION("""COMPUTED_VALUE"""),"")</f>
        <v/>
      </c>
      <c r="U1599" s="6" t="str">
        <f>IFERROR(__xludf.DUMMYFUNCTION("""COMPUTED_VALUE"""),"12")</f>
        <v>12</v>
      </c>
      <c r="V1599" s="6" t="str">
        <f>IFERROR(__xludf.DUMMYFUNCTION("""COMPUTED_VALUE"""),"English")</f>
        <v>English</v>
      </c>
      <c r="W1599" s="6" t="str">
        <f>IFERROR(__xludf.DUMMYFUNCTION("""COMPUTED_VALUE"""),"[]")</f>
        <v>[]</v>
      </c>
      <c r="X1599" s="6" t="str">
        <f>IFERROR(__xludf.DUMMYFUNCTION("""COMPUTED_VALUE"""),"Enrolled")</f>
        <v>Enrolled</v>
      </c>
    </row>
    <row r="1600">
      <c r="A1600" s="6" t="str">
        <f>IFERROR(__xludf.DUMMYFUNCTION("""COMPUTED_VALUE"""),"009-2963")</f>
        <v>009-2963</v>
      </c>
      <c r="B1600" s="6" t="str">
        <f>IFERROR(__xludf.DUMMYFUNCTION("""COMPUTED_VALUE"""),"9")</f>
        <v>9</v>
      </c>
      <c r="C1600" s="6" t="str">
        <f>IFERROR(__xludf.DUMMYFUNCTION("""COMPUTED_VALUE"""),"2963")</f>
        <v>2963</v>
      </c>
      <c r="D1600" s="6" t="str">
        <f>IFERROR(__xludf.DUMMYFUNCTION("""COMPUTED_VALUE"""),"Marton")</f>
        <v>Marton</v>
      </c>
      <c r="E1600" s="6" t="str">
        <f>IFERROR(__xludf.DUMMYFUNCTION("""COMPUTED_VALUE"""),"")</f>
        <v/>
      </c>
      <c r="F1600" s="6" t="str">
        <f>IFERROR(__xludf.DUMMYFUNCTION("""COMPUTED_VALUE"""),"Babych")</f>
        <v>Babych</v>
      </c>
      <c r="G1600" s="6" t="str">
        <f>IFERROR(__xludf.DUMMYFUNCTION("""COMPUTED_VALUE"""),"06/29/2012")</f>
        <v>06/29/2012</v>
      </c>
      <c r="H1600" s="6" t="str">
        <f>IFERROR(__xludf.DUMMYFUNCTION("""COMPUTED_VALUE"""),"Self Identify")</f>
        <v>Self Identify</v>
      </c>
      <c r="I1600" s="6" t="str">
        <f>IFERROR(__xludf.DUMMYFUNCTION("""COMPUTED_VALUE"""),"Middle School")</f>
        <v>Middle School</v>
      </c>
      <c r="J1600" s="6" t="str">
        <f>IFERROR(__xludf.DUMMYFUNCTION("""COMPUTED_VALUE"""),"7")</f>
        <v>7</v>
      </c>
      <c r="K1600" s="6" t="str">
        <f>IFERROR(__xludf.DUMMYFUNCTION("""COMPUTED_VALUE"""),"marton.babych@2hourlearning.com")</f>
        <v>marton.babych@2hourlearning.com</v>
      </c>
      <c r="L1600" s="6" t="str">
        <f>IFERROR(__xludf.DUMMYFUNCTION("""COMPUTED_VALUE"""),"Learn and Earn Poland")</f>
        <v>Learn and Earn Poland</v>
      </c>
      <c r="M1600" s="6" t="str">
        <f>IFERROR(__xludf.DUMMYFUNCTION("""COMPUTED_VALUE"""),"")</f>
        <v/>
      </c>
      <c r="N1600" s="6" t="str">
        <f>IFERROR(__xludf.DUMMYFUNCTION("""COMPUTED_VALUE"""),"")</f>
        <v/>
      </c>
      <c r="O1600" s="87" t="str">
        <f>IFERROR(__xludf.DUMMYFUNCTION("""COMPUTED_VALUE"""),"https://drive.google.com/drive/folders/10T2cTQHqEJZqE-st6uFKPoI?usp=share_link")</f>
        <v>https://drive.google.com/drive/folders/10T2cTQHqEJZqE-st6uFKPoI?usp=share_link</v>
      </c>
      <c r="P1600" s="6" t="str">
        <f>IFERROR(__xludf.DUMMYFUNCTION("""COMPUTED_VALUE"""),"Marton Babych")</f>
        <v>Marton Babych</v>
      </c>
      <c r="Q1600" s="6" t="str">
        <f>IFERROR(__xludf.DUMMYFUNCTION("""COMPUTED_VALUE"""),"MS")</f>
        <v>MS</v>
      </c>
      <c r="R1600" s="6">
        <f>IFERROR(__xludf.DUMMYFUNCTION("""COMPUTED_VALUE"""),0.0)</f>
        <v>0</v>
      </c>
      <c r="S1600" s="6" t="str">
        <f>IFERROR(__xludf.DUMMYFUNCTION("""COMPUTED_VALUE""")," ")</f>
        <v> </v>
      </c>
      <c r="T1600" s="6" t="str">
        <f>IFERROR(__xludf.DUMMYFUNCTION("""COMPUTED_VALUE"""),"")</f>
        <v/>
      </c>
      <c r="U1600" s="6" t="str">
        <f>IFERROR(__xludf.DUMMYFUNCTION("""COMPUTED_VALUE"""),"7")</f>
        <v>7</v>
      </c>
      <c r="V1600" s="6" t="str">
        <f>IFERROR(__xludf.DUMMYFUNCTION("""COMPUTED_VALUE"""),"English")</f>
        <v>English</v>
      </c>
      <c r="W1600" s="6" t="str">
        <f>IFERROR(__xludf.DUMMYFUNCTION("""COMPUTED_VALUE"""),"[]")</f>
        <v>[]</v>
      </c>
      <c r="X1600" s="6" t="str">
        <f>IFERROR(__xludf.DUMMYFUNCTION("""COMPUTED_VALUE"""),"Enrolled")</f>
        <v>Enrolled</v>
      </c>
    </row>
    <row r="1601">
      <c r="A1601" s="6" t="str">
        <f>IFERROR(__xludf.DUMMYFUNCTION("""COMPUTED_VALUE"""),"009-2964")</f>
        <v>009-2964</v>
      </c>
      <c r="B1601" s="6" t="str">
        <f>IFERROR(__xludf.DUMMYFUNCTION("""COMPUTED_VALUE"""),"9")</f>
        <v>9</v>
      </c>
      <c r="C1601" s="6" t="str">
        <f>IFERROR(__xludf.DUMMYFUNCTION("""COMPUTED_VALUE"""),"2964")</f>
        <v>2964</v>
      </c>
      <c r="D1601" s="6" t="str">
        <f>IFERROR(__xludf.DUMMYFUNCTION("""COMPUTED_VALUE"""),"Utkalo")</f>
        <v>Utkalo</v>
      </c>
      <c r="E1601" s="6" t="str">
        <f>IFERROR(__xludf.DUMMYFUNCTION("""COMPUTED_VALUE"""),"")</f>
        <v/>
      </c>
      <c r="F1601" s="6" t="str">
        <f>IFERROR(__xludf.DUMMYFUNCTION("""COMPUTED_VALUE"""),"Yana")</f>
        <v>Yana</v>
      </c>
      <c r="G1601" s="6" t="str">
        <f>IFERROR(__xludf.DUMMYFUNCTION("""COMPUTED_VALUE"""),"05/02/2017")</f>
        <v>05/02/2017</v>
      </c>
      <c r="H1601" s="6" t="str">
        <f>IFERROR(__xludf.DUMMYFUNCTION("""COMPUTED_VALUE"""),"Self Identify")</f>
        <v>Self Identify</v>
      </c>
      <c r="I1601" s="6" t="str">
        <f>IFERROR(__xludf.DUMMYFUNCTION("""COMPUTED_VALUE"""),"Level 1")</f>
        <v>Level 1</v>
      </c>
      <c r="J1601" s="6" t="str">
        <f>IFERROR(__xludf.DUMMYFUNCTION("""COMPUTED_VALUE"""),"3")</f>
        <v>3</v>
      </c>
      <c r="K1601" s="6" t="str">
        <f>IFERROR(__xludf.DUMMYFUNCTION("""COMPUTED_VALUE"""),"utkalo.yana@2hourlearning.com")</f>
        <v>utkalo.yana@2hourlearning.com</v>
      </c>
      <c r="L1601" s="6" t="str">
        <f>IFERROR(__xludf.DUMMYFUNCTION("""COMPUTED_VALUE"""),"Learn and Earn Poland")</f>
        <v>Learn and Earn Poland</v>
      </c>
      <c r="M1601" s="6" t="str">
        <f>IFERROR(__xludf.DUMMYFUNCTION("""COMPUTED_VALUE"""),"")</f>
        <v/>
      </c>
      <c r="N1601" s="6" t="str">
        <f>IFERROR(__xludf.DUMMYFUNCTION("""COMPUTED_VALUE"""),"")</f>
        <v/>
      </c>
      <c r="O1601" s="87" t="str">
        <f>IFERROR(__xludf.DUMMYFUNCTION("""COMPUTED_VALUE"""),"https://drive.google.com/drive/folders/10T2cTQHqEJZqE-st6uFKPoI?usp=share_link")</f>
        <v>https://drive.google.com/drive/folders/10T2cTQHqEJZqE-st6uFKPoI?usp=share_link</v>
      </c>
      <c r="P1601" s="6" t="str">
        <f>IFERROR(__xludf.DUMMYFUNCTION("""COMPUTED_VALUE"""),"Utkalo Yana")</f>
        <v>Utkalo Yana</v>
      </c>
      <c r="Q1601" s="6" t="str">
        <f>IFERROR(__xludf.DUMMYFUNCTION("""COMPUTED_VALUE"""),"L1")</f>
        <v>L1</v>
      </c>
      <c r="R1601" s="6">
        <f>IFERROR(__xludf.DUMMYFUNCTION("""COMPUTED_VALUE"""),1.0)</f>
        <v>1</v>
      </c>
      <c r="S1601" s="6" t="str">
        <f>IFERROR(__xludf.DUMMYFUNCTION("""COMPUTED_VALUE""")," ")</f>
        <v> </v>
      </c>
      <c r="T1601" s="6" t="str">
        <f>IFERROR(__xludf.DUMMYFUNCTION("""COMPUTED_VALUE"""),"")</f>
        <v/>
      </c>
      <c r="U1601" s="6" t="str">
        <f>IFERROR(__xludf.DUMMYFUNCTION("""COMPUTED_VALUE"""),"3")</f>
        <v>3</v>
      </c>
      <c r="V1601" s="6" t="str">
        <f>IFERROR(__xludf.DUMMYFUNCTION("""COMPUTED_VALUE"""),"English")</f>
        <v>English</v>
      </c>
      <c r="W1601" s="6" t="str">
        <f>IFERROR(__xludf.DUMMYFUNCTION("""COMPUTED_VALUE"""),"[]")</f>
        <v>[]</v>
      </c>
      <c r="X1601" s="6" t="str">
        <f>IFERROR(__xludf.DUMMYFUNCTION("""COMPUTED_VALUE"""),"Enrolled")</f>
        <v>Enrolled</v>
      </c>
    </row>
    <row r="1602">
      <c r="A1602" s="6" t="str">
        <f>IFERROR(__xludf.DUMMYFUNCTION("""COMPUTED_VALUE"""),"009-2965")</f>
        <v>009-2965</v>
      </c>
      <c r="B1602" s="6" t="str">
        <f>IFERROR(__xludf.DUMMYFUNCTION("""COMPUTED_VALUE"""),"9")</f>
        <v>9</v>
      </c>
      <c r="C1602" s="6" t="str">
        <f>IFERROR(__xludf.DUMMYFUNCTION("""COMPUTED_VALUE"""),"2965")</f>
        <v>2965</v>
      </c>
      <c r="D1602" s="6" t="str">
        <f>IFERROR(__xludf.DUMMYFUNCTION("""COMPUTED_VALUE"""),"Maksym")</f>
        <v>Maksym</v>
      </c>
      <c r="E1602" s="6" t="str">
        <f>IFERROR(__xludf.DUMMYFUNCTION("""COMPUTED_VALUE"""),"")</f>
        <v/>
      </c>
      <c r="F1602" s="6" t="str">
        <f>IFERROR(__xludf.DUMMYFUNCTION("""COMPUTED_VALUE"""),"Kinarov")</f>
        <v>Kinarov</v>
      </c>
      <c r="G1602" s="6" t="str">
        <f>IFERROR(__xludf.DUMMYFUNCTION("""COMPUTED_VALUE"""),"07/31/2009")</f>
        <v>07/31/2009</v>
      </c>
      <c r="H1602" s="6" t="str">
        <f>IFERROR(__xludf.DUMMYFUNCTION("""COMPUTED_VALUE"""),"Self Identify")</f>
        <v>Self Identify</v>
      </c>
      <c r="I1602" s="6" t="str">
        <f>IFERROR(__xludf.DUMMYFUNCTION("""COMPUTED_VALUE"""),"High School")</f>
        <v>High School</v>
      </c>
      <c r="J1602" s="6" t="str">
        <f>IFERROR(__xludf.DUMMYFUNCTION("""COMPUTED_VALUE"""),"10")</f>
        <v>10</v>
      </c>
      <c r="K1602" s="6" t="str">
        <f>IFERROR(__xludf.DUMMYFUNCTION("""COMPUTED_VALUE"""),"maksym.kinarov@2hourlearning.com")</f>
        <v>maksym.kinarov@2hourlearning.com</v>
      </c>
      <c r="L1602" s="6" t="str">
        <f>IFERROR(__xludf.DUMMYFUNCTION("""COMPUTED_VALUE"""),"Learn and Earn Poland")</f>
        <v>Learn and Earn Poland</v>
      </c>
      <c r="M1602" s="6" t="str">
        <f>IFERROR(__xludf.DUMMYFUNCTION("""COMPUTED_VALUE"""),"")</f>
        <v/>
      </c>
      <c r="N1602" s="6" t="str">
        <f>IFERROR(__xludf.DUMMYFUNCTION("""COMPUTED_VALUE"""),"")</f>
        <v/>
      </c>
      <c r="O1602" s="87" t="str">
        <f>IFERROR(__xludf.DUMMYFUNCTION("""COMPUTED_VALUE"""),"https://drive.google.com/drive/folders/10T2cTQHqEJZqE-st6uFKPoI?usp=share_link")</f>
        <v>https://drive.google.com/drive/folders/10T2cTQHqEJZqE-st6uFKPoI?usp=share_link</v>
      </c>
      <c r="P1602" s="6" t="str">
        <f>IFERROR(__xludf.DUMMYFUNCTION("""COMPUTED_VALUE"""),"Maksym Kinarov")</f>
        <v>Maksym Kinarov</v>
      </c>
      <c r="Q1602" s="6" t="str">
        <f>IFERROR(__xludf.DUMMYFUNCTION("""COMPUTED_VALUE"""),"HS")</f>
        <v>HS</v>
      </c>
      <c r="R1602" s="6">
        <f>IFERROR(__xludf.DUMMYFUNCTION("""COMPUTED_VALUE"""),0.0)</f>
        <v>0</v>
      </c>
      <c r="S1602" s="6" t="str">
        <f>IFERROR(__xludf.DUMMYFUNCTION("""COMPUTED_VALUE""")," ")</f>
        <v> </v>
      </c>
      <c r="T1602" s="6" t="str">
        <f>IFERROR(__xludf.DUMMYFUNCTION("""COMPUTED_VALUE"""),"")</f>
        <v/>
      </c>
      <c r="U1602" s="6" t="str">
        <f>IFERROR(__xludf.DUMMYFUNCTION("""COMPUTED_VALUE"""),"10")</f>
        <v>10</v>
      </c>
      <c r="V1602" s="6" t="str">
        <f>IFERROR(__xludf.DUMMYFUNCTION("""COMPUTED_VALUE"""),"English")</f>
        <v>English</v>
      </c>
      <c r="W1602" s="6" t="str">
        <f>IFERROR(__xludf.DUMMYFUNCTION("""COMPUTED_VALUE"""),"[]")</f>
        <v>[]</v>
      </c>
      <c r="X1602" s="6" t="str">
        <f>IFERROR(__xludf.DUMMYFUNCTION("""COMPUTED_VALUE"""),"Enrolled")</f>
        <v>Enrolled</v>
      </c>
    </row>
    <row r="1603">
      <c r="A1603" s="6" t="str">
        <f>IFERROR(__xludf.DUMMYFUNCTION("""COMPUTED_VALUE"""),"009-2966")</f>
        <v>009-2966</v>
      </c>
      <c r="B1603" s="6" t="str">
        <f>IFERROR(__xludf.DUMMYFUNCTION("""COMPUTED_VALUE"""),"9")</f>
        <v>9</v>
      </c>
      <c r="C1603" s="6" t="str">
        <f>IFERROR(__xludf.DUMMYFUNCTION("""COMPUTED_VALUE"""),"2966")</f>
        <v>2966</v>
      </c>
      <c r="D1603" s="6" t="str">
        <f>IFERROR(__xludf.DUMMYFUNCTION("""COMPUTED_VALUE"""),"Illia")</f>
        <v>Illia</v>
      </c>
      <c r="E1603" s="6" t="str">
        <f>IFERROR(__xludf.DUMMYFUNCTION("""COMPUTED_VALUE"""),"")</f>
        <v/>
      </c>
      <c r="F1603" s="6" t="str">
        <f>IFERROR(__xludf.DUMMYFUNCTION("""COMPUTED_VALUE"""),"Storozhuk")</f>
        <v>Storozhuk</v>
      </c>
      <c r="G1603" s="6" t="str">
        <f>IFERROR(__xludf.DUMMYFUNCTION("""COMPUTED_VALUE"""),"07/09/2013")</f>
        <v>07/09/2013</v>
      </c>
      <c r="H1603" s="6" t="str">
        <f>IFERROR(__xludf.DUMMYFUNCTION("""COMPUTED_VALUE"""),"Self Identify")</f>
        <v>Self Identify</v>
      </c>
      <c r="I1603" s="6" t="str">
        <f>IFERROR(__xludf.DUMMYFUNCTION("""COMPUTED_VALUE"""),"Middle School")</f>
        <v>Middle School</v>
      </c>
      <c r="J1603" s="6" t="str">
        <f>IFERROR(__xludf.DUMMYFUNCTION("""COMPUTED_VALUE"""),"6")</f>
        <v>6</v>
      </c>
      <c r="K1603" s="6" t="str">
        <f>IFERROR(__xludf.DUMMYFUNCTION("""COMPUTED_VALUE"""),"illia.storozhuk@2hourlearning.com")</f>
        <v>illia.storozhuk@2hourlearning.com</v>
      </c>
      <c r="L1603" s="6" t="str">
        <f>IFERROR(__xludf.DUMMYFUNCTION("""COMPUTED_VALUE"""),"Learn and Earn Poland")</f>
        <v>Learn and Earn Poland</v>
      </c>
      <c r="M1603" s="6" t="str">
        <f>IFERROR(__xludf.DUMMYFUNCTION("""COMPUTED_VALUE"""),"")</f>
        <v/>
      </c>
      <c r="N1603" s="6" t="str">
        <f>IFERROR(__xludf.DUMMYFUNCTION("""COMPUTED_VALUE"""),"")</f>
        <v/>
      </c>
      <c r="O1603" s="87" t="str">
        <f>IFERROR(__xludf.DUMMYFUNCTION("""COMPUTED_VALUE"""),"https://drive.google.com/drive/folders/10T2cTQHqEJZqE-st6uFKPoI?usp=share_link")</f>
        <v>https://drive.google.com/drive/folders/10T2cTQHqEJZqE-st6uFKPoI?usp=share_link</v>
      </c>
      <c r="P1603" s="6" t="str">
        <f>IFERROR(__xludf.DUMMYFUNCTION("""COMPUTED_VALUE"""),"Illia Storozhuk")</f>
        <v>Illia Storozhuk</v>
      </c>
      <c r="Q1603" s="6" t="str">
        <f>IFERROR(__xludf.DUMMYFUNCTION("""COMPUTED_VALUE"""),"MS")</f>
        <v>MS</v>
      </c>
      <c r="R1603" s="6">
        <f>IFERROR(__xludf.DUMMYFUNCTION("""COMPUTED_VALUE"""),0.0)</f>
        <v>0</v>
      </c>
      <c r="S1603" s="6" t="str">
        <f>IFERROR(__xludf.DUMMYFUNCTION("""COMPUTED_VALUE""")," ")</f>
        <v> </v>
      </c>
      <c r="T1603" s="6" t="str">
        <f>IFERROR(__xludf.DUMMYFUNCTION("""COMPUTED_VALUE"""),"")</f>
        <v/>
      </c>
      <c r="U1603" s="6" t="str">
        <f>IFERROR(__xludf.DUMMYFUNCTION("""COMPUTED_VALUE"""),"6")</f>
        <v>6</v>
      </c>
      <c r="V1603" s="6" t="str">
        <f>IFERROR(__xludf.DUMMYFUNCTION("""COMPUTED_VALUE"""),"English")</f>
        <v>English</v>
      </c>
      <c r="W1603" s="6" t="str">
        <f>IFERROR(__xludf.DUMMYFUNCTION("""COMPUTED_VALUE"""),"[]")</f>
        <v>[]</v>
      </c>
      <c r="X1603" s="6" t="str">
        <f>IFERROR(__xludf.DUMMYFUNCTION("""COMPUTED_VALUE"""),"Enrolled")</f>
        <v>Enrolled</v>
      </c>
    </row>
    <row r="1604">
      <c r="A1604" s="6" t="str">
        <f>IFERROR(__xludf.DUMMYFUNCTION("""COMPUTED_VALUE"""),"009-2967")</f>
        <v>009-2967</v>
      </c>
      <c r="B1604" s="6" t="str">
        <f>IFERROR(__xludf.DUMMYFUNCTION("""COMPUTED_VALUE"""),"9")</f>
        <v>9</v>
      </c>
      <c r="C1604" s="6" t="str">
        <f>IFERROR(__xludf.DUMMYFUNCTION("""COMPUTED_VALUE"""),"2967")</f>
        <v>2967</v>
      </c>
      <c r="D1604" s="6" t="str">
        <f>IFERROR(__xludf.DUMMYFUNCTION("""COMPUTED_VALUE"""),"Sabov")</f>
        <v>Sabov</v>
      </c>
      <c r="E1604" s="6" t="str">
        <f>IFERROR(__xludf.DUMMYFUNCTION("""COMPUTED_VALUE"""),"")</f>
        <v/>
      </c>
      <c r="F1604" s="6" t="str">
        <f>IFERROR(__xludf.DUMMYFUNCTION("""COMPUTED_VALUE"""),"Yazmin")</f>
        <v>Yazmin</v>
      </c>
      <c r="G1604" s="6" t="str">
        <f>IFERROR(__xludf.DUMMYFUNCTION("""COMPUTED_VALUE"""),"06/30/2016")</f>
        <v>06/30/2016</v>
      </c>
      <c r="H1604" s="6" t="str">
        <f>IFERROR(__xludf.DUMMYFUNCTION("""COMPUTED_VALUE"""),"Self Identify")</f>
        <v>Self Identify</v>
      </c>
      <c r="I1604" s="6" t="str">
        <f>IFERROR(__xludf.DUMMYFUNCTION("""COMPUTED_VALUE"""),"Level 1")</f>
        <v>Level 1</v>
      </c>
      <c r="J1604" s="6" t="str">
        <f>IFERROR(__xludf.DUMMYFUNCTION("""COMPUTED_VALUE"""),"3")</f>
        <v>3</v>
      </c>
      <c r="K1604" s="6" t="str">
        <f>IFERROR(__xludf.DUMMYFUNCTION("""COMPUTED_VALUE"""),"sabov.yazmin@2hourlearning.com")</f>
        <v>sabov.yazmin@2hourlearning.com</v>
      </c>
      <c r="L1604" s="6" t="str">
        <f>IFERROR(__xludf.DUMMYFUNCTION("""COMPUTED_VALUE"""),"Learn and Earn Poland")</f>
        <v>Learn and Earn Poland</v>
      </c>
      <c r="M1604" s="6" t="str">
        <f>IFERROR(__xludf.DUMMYFUNCTION("""COMPUTED_VALUE"""),"")</f>
        <v/>
      </c>
      <c r="N1604" s="6" t="str">
        <f>IFERROR(__xludf.DUMMYFUNCTION("""COMPUTED_VALUE"""),"")</f>
        <v/>
      </c>
      <c r="O1604" s="87" t="str">
        <f>IFERROR(__xludf.DUMMYFUNCTION("""COMPUTED_VALUE"""),"https://drive.google.com/drive/folders/10T2cTQHqEJZqE-st6uFKPoI?usp=share_link")</f>
        <v>https://drive.google.com/drive/folders/10T2cTQHqEJZqE-st6uFKPoI?usp=share_link</v>
      </c>
      <c r="P1604" s="6" t="str">
        <f>IFERROR(__xludf.DUMMYFUNCTION("""COMPUTED_VALUE"""),"Sabov Yazmin")</f>
        <v>Sabov Yazmin</v>
      </c>
      <c r="Q1604" s="6" t="str">
        <f>IFERROR(__xludf.DUMMYFUNCTION("""COMPUTED_VALUE"""),"L1")</f>
        <v>L1</v>
      </c>
      <c r="R1604" s="6">
        <f>IFERROR(__xludf.DUMMYFUNCTION("""COMPUTED_VALUE"""),1.0)</f>
        <v>1</v>
      </c>
      <c r="S1604" s="6" t="str">
        <f>IFERROR(__xludf.DUMMYFUNCTION("""COMPUTED_VALUE""")," ")</f>
        <v> </v>
      </c>
      <c r="T1604" s="6" t="str">
        <f>IFERROR(__xludf.DUMMYFUNCTION("""COMPUTED_VALUE"""),"")</f>
        <v/>
      </c>
      <c r="U1604" s="6" t="str">
        <f>IFERROR(__xludf.DUMMYFUNCTION("""COMPUTED_VALUE"""),"3")</f>
        <v>3</v>
      </c>
      <c r="V1604" s="6" t="str">
        <f>IFERROR(__xludf.DUMMYFUNCTION("""COMPUTED_VALUE"""),"English")</f>
        <v>English</v>
      </c>
      <c r="W1604" s="6" t="str">
        <f>IFERROR(__xludf.DUMMYFUNCTION("""COMPUTED_VALUE"""),"[]")</f>
        <v>[]</v>
      </c>
      <c r="X1604" s="6" t="str">
        <f>IFERROR(__xludf.DUMMYFUNCTION("""COMPUTED_VALUE"""),"Enrolled")</f>
        <v>Enrolled</v>
      </c>
    </row>
    <row r="1605">
      <c r="A1605" s="6" t="str">
        <f>IFERROR(__xludf.DUMMYFUNCTION("""COMPUTED_VALUE"""),"009-2968")</f>
        <v>009-2968</v>
      </c>
      <c r="B1605" s="6" t="str">
        <f>IFERROR(__xludf.DUMMYFUNCTION("""COMPUTED_VALUE"""),"9")</f>
        <v>9</v>
      </c>
      <c r="C1605" s="6" t="str">
        <f>IFERROR(__xludf.DUMMYFUNCTION("""COMPUTED_VALUE"""),"2968")</f>
        <v>2968</v>
      </c>
      <c r="D1605" s="6" t="str">
        <f>IFERROR(__xludf.DUMMYFUNCTION("""COMPUTED_VALUE"""),"Roman")</f>
        <v>Roman</v>
      </c>
      <c r="E1605" s="6" t="str">
        <f>IFERROR(__xludf.DUMMYFUNCTION("""COMPUTED_VALUE"""),"")</f>
        <v/>
      </c>
      <c r="F1605" s="6" t="str">
        <f>IFERROR(__xludf.DUMMYFUNCTION("""COMPUTED_VALUE"""),"Tkachenko")</f>
        <v>Tkachenko</v>
      </c>
      <c r="G1605" s="6" t="str">
        <f>IFERROR(__xludf.DUMMYFUNCTION("""COMPUTED_VALUE"""),"03/20/2012")</f>
        <v>03/20/2012</v>
      </c>
      <c r="H1605" s="6" t="str">
        <f>IFERROR(__xludf.DUMMYFUNCTION("""COMPUTED_VALUE"""),"Self Identify")</f>
        <v>Self Identify</v>
      </c>
      <c r="I1605" s="6" t="str">
        <f>IFERROR(__xludf.DUMMYFUNCTION("""COMPUTED_VALUE"""),"Middle School")</f>
        <v>Middle School</v>
      </c>
      <c r="J1605" s="6" t="str">
        <f>IFERROR(__xludf.DUMMYFUNCTION("""COMPUTED_VALUE"""),"8")</f>
        <v>8</v>
      </c>
      <c r="K1605" s="6" t="str">
        <f>IFERROR(__xludf.DUMMYFUNCTION("""COMPUTED_VALUE"""),"roman.tkachenko@2hourlearning.com")</f>
        <v>roman.tkachenko@2hourlearning.com</v>
      </c>
      <c r="L1605" s="6" t="str">
        <f>IFERROR(__xludf.DUMMYFUNCTION("""COMPUTED_VALUE"""),"Learn and Earn Poland")</f>
        <v>Learn and Earn Poland</v>
      </c>
      <c r="M1605" s="6" t="str">
        <f>IFERROR(__xludf.DUMMYFUNCTION("""COMPUTED_VALUE"""),"")</f>
        <v/>
      </c>
      <c r="N1605" s="6" t="str">
        <f>IFERROR(__xludf.DUMMYFUNCTION("""COMPUTED_VALUE"""),"")</f>
        <v/>
      </c>
      <c r="O1605" s="87" t="str">
        <f>IFERROR(__xludf.DUMMYFUNCTION("""COMPUTED_VALUE"""),"https://drive.google.com/drive/folders/10T2cTQHqEJZqE-st6uFKPoI?usp=share_link")</f>
        <v>https://drive.google.com/drive/folders/10T2cTQHqEJZqE-st6uFKPoI?usp=share_link</v>
      </c>
      <c r="P1605" s="6" t="str">
        <f>IFERROR(__xludf.DUMMYFUNCTION("""COMPUTED_VALUE"""),"Roman Tkachenko")</f>
        <v>Roman Tkachenko</v>
      </c>
      <c r="Q1605" s="6" t="str">
        <f>IFERROR(__xludf.DUMMYFUNCTION("""COMPUTED_VALUE"""),"MS")</f>
        <v>MS</v>
      </c>
      <c r="R1605" s="6">
        <f>IFERROR(__xludf.DUMMYFUNCTION("""COMPUTED_VALUE"""),0.0)</f>
        <v>0</v>
      </c>
      <c r="S1605" s="6" t="str">
        <f>IFERROR(__xludf.DUMMYFUNCTION("""COMPUTED_VALUE""")," ")</f>
        <v> </v>
      </c>
      <c r="T1605" s="6" t="str">
        <f>IFERROR(__xludf.DUMMYFUNCTION("""COMPUTED_VALUE"""),"")</f>
        <v/>
      </c>
      <c r="U1605" s="6" t="str">
        <f>IFERROR(__xludf.DUMMYFUNCTION("""COMPUTED_VALUE"""),"8")</f>
        <v>8</v>
      </c>
      <c r="V1605" s="6" t="str">
        <f>IFERROR(__xludf.DUMMYFUNCTION("""COMPUTED_VALUE"""),"English")</f>
        <v>English</v>
      </c>
      <c r="W1605" s="6" t="str">
        <f>IFERROR(__xludf.DUMMYFUNCTION("""COMPUTED_VALUE"""),"[]")</f>
        <v>[]</v>
      </c>
      <c r="X1605" s="6" t="str">
        <f>IFERROR(__xludf.DUMMYFUNCTION("""COMPUTED_VALUE"""),"Enrolled")</f>
        <v>Enrolled</v>
      </c>
    </row>
    <row r="1606">
      <c r="A1606" s="6" t="str">
        <f>IFERROR(__xludf.DUMMYFUNCTION("""COMPUTED_VALUE"""),"009-2969")</f>
        <v>009-2969</v>
      </c>
      <c r="B1606" s="6" t="str">
        <f>IFERROR(__xludf.DUMMYFUNCTION("""COMPUTED_VALUE"""),"9")</f>
        <v>9</v>
      </c>
      <c r="C1606" s="6" t="str">
        <f>IFERROR(__xludf.DUMMYFUNCTION("""COMPUTED_VALUE"""),"2969")</f>
        <v>2969</v>
      </c>
      <c r="D1606" s="6" t="str">
        <f>IFERROR(__xludf.DUMMYFUNCTION("""COMPUTED_VALUE"""),"Martynov")</f>
        <v>Martynov</v>
      </c>
      <c r="E1606" s="6" t="str">
        <f>IFERROR(__xludf.DUMMYFUNCTION("""COMPUTED_VALUE"""),"")</f>
        <v/>
      </c>
      <c r="F1606" s="6" t="str">
        <f>IFERROR(__xludf.DUMMYFUNCTION("""COMPUTED_VALUE"""),"Viktor")</f>
        <v>Viktor</v>
      </c>
      <c r="G1606" s="6" t="str">
        <f>IFERROR(__xludf.DUMMYFUNCTION("""COMPUTED_VALUE"""),"09/05/2014")</f>
        <v>09/05/2014</v>
      </c>
      <c r="H1606" s="6" t="str">
        <f>IFERROR(__xludf.DUMMYFUNCTION("""COMPUTED_VALUE"""),"Self Identify")</f>
        <v>Self Identify</v>
      </c>
      <c r="I1606" s="6" t="str">
        <f>IFERROR(__xludf.DUMMYFUNCTION("""COMPUTED_VALUE"""),"Level 2")</f>
        <v>Level 2</v>
      </c>
      <c r="J1606" s="6" t="str">
        <f>IFERROR(__xludf.DUMMYFUNCTION("""COMPUTED_VALUE"""),"5")</f>
        <v>5</v>
      </c>
      <c r="K1606" s="6" t="str">
        <f>IFERROR(__xludf.DUMMYFUNCTION("""COMPUTED_VALUE"""),"martynov.viktor@2hourlearning.com")</f>
        <v>martynov.viktor@2hourlearning.com</v>
      </c>
      <c r="L1606" s="6" t="str">
        <f>IFERROR(__xludf.DUMMYFUNCTION("""COMPUTED_VALUE"""),"Learn and Earn Poland")</f>
        <v>Learn and Earn Poland</v>
      </c>
      <c r="M1606" s="6" t="str">
        <f>IFERROR(__xludf.DUMMYFUNCTION("""COMPUTED_VALUE"""),"")</f>
        <v/>
      </c>
      <c r="N1606" s="6" t="str">
        <f>IFERROR(__xludf.DUMMYFUNCTION("""COMPUTED_VALUE"""),"")</f>
        <v/>
      </c>
      <c r="O1606" s="87" t="str">
        <f>IFERROR(__xludf.DUMMYFUNCTION("""COMPUTED_VALUE"""),"https://drive.google.com/drive/folders/10T2cTQHqEJZqE-st6uFKPoI?usp=share_link")</f>
        <v>https://drive.google.com/drive/folders/10T2cTQHqEJZqE-st6uFKPoI?usp=share_link</v>
      </c>
      <c r="P1606" s="6" t="str">
        <f>IFERROR(__xludf.DUMMYFUNCTION("""COMPUTED_VALUE"""),"Martynov Viktor")</f>
        <v>Martynov Viktor</v>
      </c>
      <c r="Q1606" s="6" t="str">
        <f>IFERROR(__xludf.DUMMYFUNCTION("""COMPUTED_VALUE"""),"L2")</f>
        <v>L2</v>
      </c>
      <c r="R1606" s="6">
        <f>IFERROR(__xludf.DUMMYFUNCTION("""COMPUTED_VALUE"""),2.0)</f>
        <v>2</v>
      </c>
      <c r="S1606" s="6" t="str">
        <f>IFERROR(__xludf.DUMMYFUNCTION("""COMPUTED_VALUE""")," ")</f>
        <v> </v>
      </c>
      <c r="T1606" s="6" t="str">
        <f>IFERROR(__xludf.DUMMYFUNCTION("""COMPUTED_VALUE"""),"")</f>
        <v/>
      </c>
      <c r="U1606" s="6" t="str">
        <f>IFERROR(__xludf.DUMMYFUNCTION("""COMPUTED_VALUE"""),"5")</f>
        <v>5</v>
      </c>
      <c r="V1606" s="6" t="str">
        <f>IFERROR(__xludf.DUMMYFUNCTION("""COMPUTED_VALUE"""),"English")</f>
        <v>English</v>
      </c>
      <c r="W1606" s="6" t="str">
        <f>IFERROR(__xludf.DUMMYFUNCTION("""COMPUTED_VALUE"""),"[]")</f>
        <v>[]</v>
      </c>
      <c r="X1606" s="6" t="str">
        <f>IFERROR(__xludf.DUMMYFUNCTION("""COMPUTED_VALUE"""),"Enrolled")</f>
        <v>Enrolled</v>
      </c>
    </row>
    <row r="1607">
      <c r="A1607" s="6" t="str">
        <f>IFERROR(__xludf.DUMMYFUNCTION("""COMPUTED_VALUE"""),"009-2970")</f>
        <v>009-2970</v>
      </c>
      <c r="B1607" s="6" t="str">
        <f>IFERROR(__xludf.DUMMYFUNCTION("""COMPUTED_VALUE"""),"9")</f>
        <v>9</v>
      </c>
      <c r="C1607" s="6" t="str">
        <f>IFERROR(__xludf.DUMMYFUNCTION("""COMPUTED_VALUE"""),"2970")</f>
        <v>2970</v>
      </c>
      <c r="D1607" s="6" t="str">
        <f>IFERROR(__xludf.DUMMYFUNCTION("""COMPUTED_VALUE"""),"Anhelina")</f>
        <v>Anhelina</v>
      </c>
      <c r="E1607" s="6" t="str">
        <f>IFERROR(__xludf.DUMMYFUNCTION("""COMPUTED_VALUE"""),"")</f>
        <v/>
      </c>
      <c r="F1607" s="6" t="str">
        <f>IFERROR(__xludf.DUMMYFUNCTION("""COMPUTED_VALUE"""),"Koldorosh")</f>
        <v>Koldorosh</v>
      </c>
      <c r="G1607" s="6" t="str">
        <f>IFERROR(__xludf.DUMMYFUNCTION("""COMPUTED_VALUE"""),"07/05/2008")</f>
        <v>07/05/2008</v>
      </c>
      <c r="H1607" s="6" t="str">
        <f>IFERROR(__xludf.DUMMYFUNCTION("""COMPUTED_VALUE"""),"Self Identify")</f>
        <v>Self Identify</v>
      </c>
      <c r="I1607" s="6" t="str">
        <f>IFERROR(__xludf.DUMMYFUNCTION("""COMPUTED_VALUE"""),"High School")</f>
        <v>High School</v>
      </c>
      <c r="J1607" s="6" t="str">
        <f>IFERROR(__xludf.DUMMYFUNCTION("""COMPUTED_VALUE"""),"11")</f>
        <v>11</v>
      </c>
      <c r="K1607" s="6" t="str">
        <f>IFERROR(__xludf.DUMMYFUNCTION("""COMPUTED_VALUE"""),"anhelina.koldorosh@2hourlearning.com")</f>
        <v>anhelina.koldorosh@2hourlearning.com</v>
      </c>
      <c r="L1607" s="6" t="str">
        <f>IFERROR(__xludf.DUMMYFUNCTION("""COMPUTED_VALUE"""),"Learn and Earn Poland")</f>
        <v>Learn and Earn Poland</v>
      </c>
      <c r="M1607" s="6" t="str">
        <f>IFERROR(__xludf.DUMMYFUNCTION("""COMPUTED_VALUE"""),"")</f>
        <v/>
      </c>
      <c r="N1607" s="6" t="str">
        <f>IFERROR(__xludf.DUMMYFUNCTION("""COMPUTED_VALUE"""),"")</f>
        <v/>
      </c>
      <c r="O1607" s="87" t="str">
        <f>IFERROR(__xludf.DUMMYFUNCTION("""COMPUTED_VALUE"""),"https://drive.google.com/drive/folders/10T2cTQHqEJZqE-st6uFKPoI?usp=share_link")</f>
        <v>https://drive.google.com/drive/folders/10T2cTQHqEJZqE-st6uFKPoI?usp=share_link</v>
      </c>
      <c r="P1607" s="6" t="str">
        <f>IFERROR(__xludf.DUMMYFUNCTION("""COMPUTED_VALUE"""),"Anhelina Koldorosh")</f>
        <v>Anhelina Koldorosh</v>
      </c>
      <c r="Q1607" s="6" t="str">
        <f>IFERROR(__xludf.DUMMYFUNCTION("""COMPUTED_VALUE"""),"HS")</f>
        <v>HS</v>
      </c>
      <c r="R1607" s="6">
        <f>IFERROR(__xludf.DUMMYFUNCTION("""COMPUTED_VALUE"""),0.0)</f>
        <v>0</v>
      </c>
      <c r="S1607" s="6" t="str">
        <f>IFERROR(__xludf.DUMMYFUNCTION("""COMPUTED_VALUE""")," ")</f>
        <v> </v>
      </c>
      <c r="T1607" s="6" t="str">
        <f>IFERROR(__xludf.DUMMYFUNCTION("""COMPUTED_VALUE"""),"")</f>
        <v/>
      </c>
      <c r="U1607" s="6" t="str">
        <f>IFERROR(__xludf.DUMMYFUNCTION("""COMPUTED_VALUE"""),"11")</f>
        <v>11</v>
      </c>
      <c r="V1607" s="6" t="str">
        <f>IFERROR(__xludf.DUMMYFUNCTION("""COMPUTED_VALUE"""),"English")</f>
        <v>English</v>
      </c>
      <c r="W1607" s="6" t="str">
        <f>IFERROR(__xludf.DUMMYFUNCTION("""COMPUTED_VALUE"""),"[]")</f>
        <v>[]</v>
      </c>
      <c r="X1607" s="6" t="str">
        <f>IFERROR(__xludf.DUMMYFUNCTION("""COMPUTED_VALUE"""),"Enrolled")</f>
        <v>Enrolled</v>
      </c>
    </row>
    <row r="1608">
      <c r="A1608" s="6" t="str">
        <f>IFERROR(__xludf.DUMMYFUNCTION("""COMPUTED_VALUE"""),"009-2971")</f>
        <v>009-2971</v>
      </c>
      <c r="B1608" s="6" t="str">
        <f>IFERROR(__xludf.DUMMYFUNCTION("""COMPUTED_VALUE"""),"9")</f>
        <v>9</v>
      </c>
      <c r="C1608" s="6" t="str">
        <f>IFERROR(__xludf.DUMMYFUNCTION("""COMPUTED_VALUE"""),"2971")</f>
        <v>2971</v>
      </c>
      <c r="D1608" s="6" t="str">
        <f>IFERROR(__xludf.DUMMYFUNCTION("""COMPUTED_VALUE"""),"Roman")</f>
        <v>Roman</v>
      </c>
      <c r="E1608" s="6" t="str">
        <f>IFERROR(__xludf.DUMMYFUNCTION("""COMPUTED_VALUE"""),"")</f>
        <v/>
      </c>
      <c r="F1608" s="6" t="str">
        <f>IFERROR(__xludf.DUMMYFUNCTION("""COMPUTED_VALUE"""),"Duldiier")</f>
        <v>Duldiier</v>
      </c>
      <c r="G1608" s="6" t="str">
        <f>IFERROR(__xludf.DUMMYFUNCTION("""COMPUTED_VALUE"""),"08/05/2011")</f>
        <v>08/05/2011</v>
      </c>
      <c r="H1608" s="6" t="str">
        <f>IFERROR(__xludf.DUMMYFUNCTION("""COMPUTED_VALUE"""),"Self Identify")</f>
        <v>Self Identify</v>
      </c>
      <c r="I1608" s="6" t="str">
        <f>IFERROR(__xludf.DUMMYFUNCTION("""COMPUTED_VALUE"""),"Middle School")</f>
        <v>Middle School</v>
      </c>
      <c r="J1608" s="6" t="str">
        <f>IFERROR(__xludf.DUMMYFUNCTION("""COMPUTED_VALUE"""),"8")</f>
        <v>8</v>
      </c>
      <c r="K1608" s="6" t="str">
        <f>IFERROR(__xludf.DUMMYFUNCTION("""COMPUTED_VALUE"""),"roman.duldiier@2hourlearning.com")</f>
        <v>roman.duldiier@2hourlearning.com</v>
      </c>
      <c r="L1608" s="6" t="str">
        <f>IFERROR(__xludf.DUMMYFUNCTION("""COMPUTED_VALUE"""),"Learn and Earn Poland")</f>
        <v>Learn and Earn Poland</v>
      </c>
      <c r="M1608" s="6" t="str">
        <f>IFERROR(__xludf.DUMMYFUNCTION("""COMPUTED_VALUE"""),"")</f>
        <v/>
      </c>
      <c r="N1608" s="6" t="str">
        <f>IFERROR(__xludf.DUMMYFUNCTION("""COMPUTED_VALUE"""),"")</f>
        <v/>
      </c>
      <c r="O1608" s="87" t="str">
        <f>IFERROR(__xludf.DUMMYFUNCTION("""COMPUTED_VALUE"""),"https://drive.google.com/drive/folders/10T2cTQHqEJZqE-st6uFKPoI?usp=share_link")</f>
        <v>https://drive.google.com/drive/folders/10T2cTQHqEJZqE-st6uFKPoI?usp=share_link</v>
      </c>
      <c r="P1608" s="6" t="str">
        <f>IFERROR(__xludf.DUMMYFUNCTION("""COMPUTED_VALUE"""),"Roman Duldiier")</f>
        <v>Roman Duldiier</v>
      </c>
      <c r="Q1608" s="6" t="str">
        <f>IFERROR(__xludf.DUMMYFUNCTION("""COMPUTED_VALUE"""),"MS")</f>
        <v>MS</v>
      </c>
      <c r="R1608" s="6">
        <f>IFERROR(__xludf.DUMMYFUNCTION("""COMPUTED_VALUE"""),0.0)</f>
        <v>0</v>
      </c>
      <c r="S1608" s="6" t="str">
        <f>IFERROR(__xludf.DUMMYFUNCTION("""COMPUTED_VALUE""")," ")</f>
        <v> </v>
      </c>
      <c r="T1608" s="6" t="str">
        <f>IFERROR(__xludf.DUMMYFUNCTION("""COMPUTED_VALUE"""),"")</f>
        <v/>
      </c>
      <c r="U1608" s="6" t="str">
        <f>IFERROR(__xludf.DUMMYFUNCTION("""COMPUTED_VALUE"""),"8")</f>
        <v>8</v>
      </c>
      <c r="V1608" s="6" t="str">
        <f>IFERROR(__xludf.DUMMYFUNCTION("""COMPUTED_VALUE"""),"English")</f>
        <v>English</v>
      </c>
      <c r="W1608" s="6" t="str">
        <f>IFERROR(__xludf.DUMMYFUNCTION("""COMPUTED_VALUE"""),"[]")</f>
        <v>[]</v>
      </c>
      <c r="X1608" s="6" t="str">
        <f>IFERROR(__xludf.DUMMYFUNCTION("""COMPUTED_VALUE"""),"Enrolled")</f>
        <v>Enrolled</v>
      </c>
    </row>
    <row r="1609">
      <c r="A1609" s="6" t="str">
        <f>IFERROR(__xludf.DUMMYFUNCTION("""COMPUTED_VALUE"""),"009-2972")</f>
        <v>009-2972</v>
      </c>
      <c r="B1609" s="6" t="str">
        <f>IFERROR(__xludf.DUMMYFUNCTION("""COMPUTED_VALUE"""),"9")</f>
        <v>9</v>
      </c>
      <c r="C1609" s="6" t="str">
        <f>IFERROR(__xludf.DUMMYFUNCTION("""COMPUTED_VALUE"""),"2972")</f>
        <v>2972</v>
      </c>
      <c r="D1609" s="6" t="str">
        <f>IFERROR(__xludf.DUMMYFUNCTION("""COMPUTED_VALUE"""),"Vynnytskyi")</f>
        <v>Vynnytskyi</v>
      </c>
      <c r="E1609" s="6" t="str">
        <f>IFERROR(__xludf.DUMMYFUNCTION("""COMPUTED_VALUE"""),"")</f>
        <v/>
      </c>
      <c r="F1609" s="6" t="str">
        <f>IFERROR(__xludf.DUMMYFUNCTION("""COMPUTED_VALUE"""),"Arsen")</f>
        <v>Arsen</v>
      </c>
      <c r="G1609" s="6" t="str">
        <f>IFERROR(__xludf.DUMMYFUNCTION("""COMPUTED_VALUE"""),"01/26/2008")</f>
        <v>01/26/2008</v>
      </c>
      <c r="H1609" s="6" t="str">
        <f>IFERROR(__xludf.DUMMYFUNCTION("""COMPUTED_VALUE"""),"Self Identify")</f>
        <v>Self Identify</v>
      </c>
      <c r="I1609" s="6" t="str">
        <f>IFERROR(__xludf.DUMMYFUNCTION("""COMPUTED_VALUE"""),"High School")</f>
        <v>High School</v>
      </c>
      <c r="J1609" s="6" t="str">
        <f>IFERROR(__xludf.DUMMYFUNCTION("""COMPUTED_VALUE"""),"12")</f>
        <v>12</v>
      </c>
      <c r="K1609" s="6" t="str">
        <f>IFERROR(__xludf.DUMMYFUNCTION("""COMPUTED_VALUE"""),"vynnytskyi.arsen@2hourlearning.com")</f>
        <v>vynnytskyi.arsen@2hourlearning.com</v>
      </c>
      <c r="L1609" s="6" t="str">
        <f>IFERROR(__xludf.DUMMYFUNCTION("""COMPUTED_VALUE"""),"Learn and Earn Poland")</f>
        <v>Learn and Earn Poland</v>
      </c>
      <c r="M1609" s="6" t="str">
        <f>IFERROR(__xludf.DUMMYFUNCTION("""COMPUTED_VALUE"""),"")</f>
        <v/>
      </c>
      <c r="N1609" s="6" t="str">
        <f>IFERROR(__xludf.DUMMYFUNCTION("""COMPUTED_VALUE"""),"")</f>
        <v/>
      </c>
      <c r="O1609" s="87" t="str">
        <f>IFERROR(__xludf.DUMMYFUNCTION("""COMPUTED_VALUE"""),"https://drive.google.com/drive/folders/10T2cTQHqEJZqE-st6uFKPoI?usp=share_link")</f>
        <v>https://drive.google.com/drive/folders/10T2cTQHqEJZqE-st6uFKPoI?usp=share_link</v>
      </c>
      <c r="P1609" s="6" t="str">
        <f>IFERROR(__xludf.DUMMYFUNCTION("""COMPUTED_VALUE"""),"Vynnytskyi Arsen")</f>
        <v>Vynnytskyi Arsen</v>
      </c>
      <c r="Q1609" s="6" t="str">
        <f>IFERROR(__xludf.DUMMYFUNCTION("""COMPUTED_VALUE"""),"HS")</f>
        <v>HS</v>
      </c>
      <c r="R1609" s="6">
        <f>IFERROR(__xludf.DUMMYFUNCTION("""COMPUTED_VALUE"""),0.0)</f>
        <v>0</v>
      </c>
      <c r="S1609" s="6" t="str">
        <f>IFERROR(__xludf.DUMMYFUNCTION("""COMPUTED_VALUE""")," ")</f>
        <v> </v>
      </c>
      <c r="T1609" s="6" t="str">
        <f>IFERROR(__xludf.DUMMYFUNCTION("""COMPUTED_VALUE"""),"")</f>
        <v/>
      </c>
      <c r="U1609" s="6" t="str">
        <f>IFERROR(__xludf.DUMMYFUNCTION("""COMPUTED_VALUE"""),"12")</f>
        <v>12</v>
      </c>
      <c r="V1609" s="6" t="str">
        <f>IFERROR(__xludf.DUMMYFUNCTION("""COMPUTED_VALUE"""),"English")</f>
        <v>English</v>
      </c>
      <c r="W1609" s="6" t="str">
        <f>IFERROR(__xludf.DUMMYFUNCTION("""COMPUTED_VALUE"""),"[]")</f>
        <v>[]</v>
      </c>
      <c r="X1609" s="6" t="str">
        <f>IFERROR(__xludf.DUMMYFUNCTION("""COMPUTED_VALUE"""),"Enrolled")</f>
        <v>Enrolled</v>
      </c>
    </row>
    <row r="1610">
      <c r="A1610" s="6" t="str">
        <f>IFERROR(__xludf.DUMMYFUNCTION("""COMPUTED_VALUE"""),"009-2973")</f>
        <v>009-2973</v>
      </c>
      <c r="B1610" s="6" t="str">
        <f>IFERROR(__xludf.DUMMYFUNCTION("""COMPUTED_VALUE"""),"9")</f>
        <v>9</v>
      </c>
      <c r="C1610" s="6" t="str">
        <f>IFERROR(__xludf.DUMMYFUNCTION("""COMPUTED_VALUE"""),"2973")</f>
        <v>2973</v>
      </c>
      <c r="D1610" s="6" t="str">
        <f>IFERROR(__xludf.DUMMYFUNCTION("""COMPUTED_VALUE"""),"Daria")</f>
        <v>Daria</v>
      </c>
      <c r="E1610" s="6" t="str">
        <f>IFERROR(__xludf.DUMMYFUNCTION("""COMPUTED_VALUE"""),"")</f>
        <v/>
      </c>
      <c r="F1610" s="6" t="str">
        <f>IFERROR(__xludf.DUMMYFUNCTION("""COMPUTED_VALUE"""),"Kushpil")</f>
        <v>Kushpil</v>
      </c>
      <c r="G1610" s="6" t="str">
        <f>IFERROR(__xludf.DUMMYFUNCTION("""COMPUTED_VALUE"""),"04/03/2013")</f>
        <v>04/03/2013</v>
      </c>
      <c r="H1610" s="6" t="str">
        <f>IFERROR(__xludf.DUMMYFUNCTION("""COMPUTED_VALUE"""),"Self Identify")</f>
        <v>Self Identify</v>
      </c>
      <c r="I1610" s="6" t="str">
        <f>IFERROR(__xludf.DUMMYFUNCTION("""COMPUTED_VALUE"""),"Middle School")</f>
        <v>Middle School</v>
      </c>
      <c r="J1610" s="6" t="str">
        <f>IFERROR(__xludf.DUMMYFUNCTION("""COMPUTED_VALUE"""),"7")</f>
        <v>7</v>
      </c>
      <c r="K1610" s="6" t="str">
        <f>IFERROR(__xludf.DUMMYFUNCTION("""COMPUTED_VALUE"""),"daria.kushpil@2hourlearning.com")</f>
        <v>daria.kushpil@2hourlearning.com</v>
      </c>
      <c r="L1610" s="6" t="str">
        <f>IFERROR(__xludf.DUMMYFUNCTION("""COMPUTED_VALUE"""),"Learn and Earn Poland")</f>
        <v>Learn and Earn Poland</v>
      </c>
      <c r="M1610" s="6" t="str">
        <f>IFERROR(__xludf.DUMMYFUNCTION("""COMPUTED_VALUE"""),"")</f>
        <v/>
      </c>
      <c r="N1610" s="6" t="str">
        <f>IFERROR(__xludf.DUMMYFUNCTION("""COMPUTED_VALUE"""),"")</f>
        <v/>
      </c>
      <c r="O1610" s="87" t="str">
        <f>IFERROR(__xludf.DUMMYFUNCTION("""COMPUTED_VALUE"""),"https://drive.google.com/drive/folders/10T2cTQHqEJZqE-st6uFKPoI?usp=share_link")</f>
        <v>https://drive.google.com/drive/folders/10T2cTQHqEJZqE-st6uFKPoI?usp=share_link</v>
      </c>
      <c r="P1610" s="6" t="str">
        <f>IFERROR(__xludf.DUMMYFUNCTION("""COMPUTED_VALUE"""),"Daria Kushpil")</f>
        <v>Daria Kushpil</v>
      </c>
      <c r="Q1610" s="6" t="str">
        <f>IFERROR(__xludf.DUMMYFUNCTION("""COMPUTED_VALUE"""),"MS")</f>
        <v>MS</v>
      </c>
      <c r="R1610" s="6">
        <f>IFERROR(__xludf.DUMMYFUNCTION("""COMPUTED_VALUE"""),0.0)</f>
        <v>0</v>
      </c>
      <c r="S1610" s="6" t="str">
        <f>IFERROR(__xludf.DUMMYFUNCTION("""COMPUTED_VALUE""")," ")</f>
        <v> </v>
      </c>
      <c r="T1610" s="6" t="str">
        <f>IFERROR(__xludf.DUMMYFUNCTION("""COMPUTED_VALUE"""),"")</f>
        <v/>
      </c>
      <c r="U1610" s="6" t="str">
        <f>IFERROR(__xludf.DUMMYFUNCTION("""COMPUTED_VALUE"""),"7")</f>
        <v>7</v>
      </c>
      <c r="V1610" s="6" t="str">
        <f>IFERROR(__xludf.DUMMYFUNCTION("""COMPUTED_VALUE"""),"English")</f>
        <v>English</v>
      </c>
      <c r="W1610" s="6" t="str">
        <f>IFERROR(__xludf.DUMMYFUNCTION("""COMPUTED_VALUE"""),"[]")</f>
        <v>[]</v>
      </c>
      <c r="X1610" s="6" t="str">
        <f>IFERROR(__xludf.DUMMYFUNCTION("""COMPUTED_VALUE"""),"Enrolled")</f>
        <v>Enrolled</v>
      </c>
    </row>
    <row r="1611">
      <c r="A1611" s="6" t="str">
        <f>IFERROR(__xludf.DUMMYFUNCTION("""COMPUTED_VALUE"""),"009-2974")</f>
        <v>009-2974</v>
      </c>
      <c r="B1611" s="6" t="str">
        <f>IFERROR(__xludf.DUMMYFUNCTION("""COMPUTED_VALUE"""),"9")</f>
        <v>9</v>
      </c>
      <c r="C1611" s="6" t="str">
        <f>IFERROR(__xludf.DUMMYFUNCTION("""COMPUTED_VALUE"""),"2974")</f>
        <v>2974</v>
      </c>
      <c r="D1611" s="6" t="str">
        <f>IFERROR(__xludf.DUMMYFUNCTION("""COMPUTED_VALUE"""),"Martynova")</f>
        <v>Martynova</v>
      </c>
      <c r="E1611" s="6" t="str">
        <f>IFERROR(__xludf.DUMMYFUNCTION("""COMPUTED_VALUE"""),"")</f>
        <v/>
      </c>
      <c r="F1611" s="6" t="str">
        <f>IFERROR(__xludf.DUMMYFUNCTION("""COMPUTED_VALUE"""),"Nataliia")</f>
        <v>Nataliia</v>
      </c>
      <c r="G1611" s="6" t="str">
        <f>IFERROR(__xludf.DUMMYFUNCTION("""COMPUTED_VALUE"""),"09/18/2012")</f>
        <v>09/18/2012</v>
      </c>
      <c r="H1611" s="6" t="str">
        <f>IFERROR(__xludf.DUMMYFUNCTION("""COMPUTED_VALUE"""),"Self Identify")</f>
        <v>Self Identify</v>
      </c>
      <c r="I1611" s="6" t="str">
        <f>IFERROR(__xludf.DUMMYFUNCTION("""COMPUTED_VALUE"""),"Middle School")</f>
        <v>Middle School</v>
      </c>
      <c r="J1611" s="6" t="str">
        <f>IFERROR(__xludf.DUMMYFUNCTION("""COMPUTED_VALUE"""),"7")</f>
        <v>7</v>
      </c>
      <c r="K1611" s="6" t="str">
        <f>IFERROR(__xludf.DUMMYFUNCTION("""COMPUTED_VALUE"""),"martynova.nataliia@2hourlearning.com")</f>
        <v>martynova.nataliia@2hourlearning.com</v>
      </c>
      <c r="L1611" s="6" t="str">
        <f>IFERROR(__xludf.DUMMYFUNCTION("""COMPUTED_VALUE"""),"Learn and Earn Poland")</f>
        <v>Learn and Earn Poland</v>
      </c>
      <c r="M1611" s="6" t="str">
        <f>IFERROR(__xludf.DUMMYFUNCTION("""COMPUTED_VALUE"""),"")</f>
        <v/>
      </c>
      <c r="N1611" s="6" t="str">
        <f>IFERROR(__xludf.DUMMYFUNCTION("""COMPUTED_VALUE"""),"")</f>
        <v/>
      </c>
      <c r="O1611" s="87" t="str">
        <f>IFERROR(__xludf.DUMMYFUNCTION("""COMPUTED_VALUE"""),"https://drive.google.com/drive/folders/10T2cTQHqEJZqE-st6uFKPoI?usp=share_link")</f>
        <v>https://drive.google.com/drive/folders/10T2cTQHqEJZqE-st6uFKPoI?usp=share_link</v>
      </c>
      <c r="P1611" s="6" t="str">
        <f>IFERROR(__xludf.DUMMYFUNCTION("""COMPUTED_VALUE"""),"Martynova Nataliia")</f>
        <v>Martynova Nataliia</v>
      </c>
      <c r="Q1611" s="6" t="str">
        <f>IFERROR(__xludf.DUMMYFUNCTION("""COMPUTED_VALUE"""),"MS")</f>
        <v>MS</v>
      </c>
      <c r="R1611" s="6">
        <f>IFERROR(__xludf.DUMMYFUNCTION("""COMPUTED_VALUE"""),0.0)</f>
        <v>0</v>
      </c>
      <c r="S1611" s="6" t="str">
        <f>IFERROR(__xludf.DUMMYFUNCTION("""COMPUTED_VALUE""")," ")</f>
        <v> </v>
      </c>
      <c r="T1611" s="6" t="str">
        <f>IFERROR(__xludf.DUMMYFUNCTION("""COMPUTED_VALUE"""),"")</f>
        <v/>
      </c>
      <c r="U1611" s="6" t="str">
        <f>IFERROR(__xludf.DUMMYFUNCTION("""COMPUTED_VALUE"""),"7")</f>
        <v>7</v>
      </c>
      <c r="V1611" s="6" t="str">
        <f>IFERROR(__xludf.DUMMYFUNCTION("""COMPUTED_VALUE"""),"English")</f>
        <v>English</v>
      </c>
      <c r="W1611" s="6" t="str">
        <f>IFERROR(__xludf.DUMMYFUNCTION("""COMPUTED_VALUE"""),"[]")</f>
        <v>[]</v>
      </c>
      <c r="X1611" s="6" t="str">
        <f>IFERROR(__xludf.DUMMYFUNCTION("""COMPUTED_VALUE"""),"Enrolled")</f>
        <v>Enrolled</v>
      </c>
    </row>
    <row r="1612">
      <c r="A1612" s="6" t="str">
        <f>IFERROR(__xludf.DUMMYFUNCTION("""COMPUTED_VALUE"""),"009-2975")</f>
        <v>009-2975</v>
      </c>
      <c r="B1612" s="6" t="str">
        <f>IFERROR(__xludf.DUMMYFUNCTION("""COMPUTED_VALUE"""),"9")</f>
        <v>9</v>
      </c>
      <c r="C1612" s="6" t="str">
        <f>IFERROR(__xludf.DUMMYFUNCTION("""COMPUTED_VALUE"""),"2975")</f>
        <v>2975</v>
      </c>
      <c r="D1612" s="6" t="str">
        <f>IFERROR(__xludf.DUMMYFUNCTION("""COMPUTED_VALUE"""),"Nataliia")</f>
        <v>Nataliia</v>
      </c>
      <c r="E1612" s="6" t="str">
        <f>IFERROR(__xludf.DUMMYFUNCTION("""COMPUTED_VALUE"""),"")</f>
        <v/>
      </c>
      <c r="F1612" s="6" t="str">
        <f>IFERROR(__xludf.DUMMYFUNCTION("""COMPUTED_VALUE"""),"Zhyha")</f>
        <v>Zhyha</v>
      </c>
      <c r="G1612" s="6" t="str">
        <f>IFERROR(__xludf.DUMMYFUNCTION("""COMPUTED_VALUE"""),"12/26/2013")</f>
        <v>12/26/2013</v>
      </c>
      <c r="H1612" s="6" t="str">
        <f>IFERROR(__xludf.DUMMYFUNCTION("""COMPUTED_VALUE"""),"Self Identify")</f>
        <v>Self Identify</v>
      </c>
      <c r="I1612" s="6" t="str">
        <f>IFERROR(__xludf.DUMMYFUNCTION("""COMPUTED_VALUE"""),"Middle School")</f>
        <v>Middle School</v>
      </c>
      <c r="J1612" s="6" t="str">
        <f>IFERROR(__xludf.DUMMYFUNCTION("""COMPUTED_VALUE"""),"6")</f>
        <v>6</v>
      </c>
      <c r="K1612" s="6" t="str">
        <f>IFERROR(__xludf.DUMMYFUNCTION("""COMPUTED_VALUE"""),"nataliia.zhyha@2hourlearning.com")</f>
        <v>nataliia.zhyha@2hourlearning.com</v>
      </c>
      <c r="L1612" s="6" t="str">
        <f>IFERROR(__xludf.DUMMYFUNCTION("""COMPUTED_VALUE"""),"Learn and Earn Poland")</f>
        <v>Learn and Earn Poland</v>
      </c>
      <c r="M1612" s="6" t="str">
        <f>IFERROR(__xludf.DUMMYFUNCTION("""COMPUTED_VALUE"""),"")</f>
        <v/>
      </c>
      <c r="N1612" s="6" t="str">
        <f>IFERROR(__xludf.DUMMYFUNCTION("""COMPUTED_VALUE"""),"")</f>
        <v/>
      </c>
      <c r="O1612" s="87" t="str">
        <f>IFERROR(__xludf.DUMMYFUNCTION("""COMPUTED_VALUE"""),"https://drive.google.com/drive/folders/10T2cTQHqEJZqE-st6uFKPoI?usp=share_link")</f>
        <v>https://drive.google.com/drive/folders/10T2cTQHqEJZqE-st6uFKPoI?usp=share_link</v>
      </c>
      <c r="P1612" s="6" t="str">
        <f>IFERROR(__xludf.DUMMYFUNCTION("""COMPUTED_VALUE"""),"Nataliia Zhyha")</f>
        <v>Nataliia Zhyha</v>
      </c>
      <c r="Q1612" s="6" t="str">
        <f>IFERROR(__xludf.DUMMYFUNCTION("""COMPUTED_VALUE"""),"MS")</f>
        <v>MS</v>
      </c>
      <c r="R1612" s="6">
        <f>IFERROR(__xludf.DUMMYFUNCTION("""COMPUTED_VALUE"""),0.0)</f>
        <v>0</v>
      </c>
      <c r="S1612" s="6" t="str">
        <f>IFERROR(__xludf.DUMMYFUNCTION("""COMPUTED_VALUE""")," ")</f>
        <v> </v>
      </c>
      <c r="T1612" s="6" t="str">
        <f>IFERROR(__xludf.DUMMYFUNCTION("""COMPUTED_VALUE"""),"")</f>
        <v/>
      </c>
      <c r="U1612" s="6" t="str">
        <f>IFERROR(__xludf.DUMMYFUNCTION("""COMPUTED_VALUE"""),"6")</f>
        <v>6</v>
      </c>
      <c r="V1612" s="6" t="str">
        <f>IFERROR(__xludf.DUMMYFUNCTION("""COMPUTED_VALUE"""),"English")</f>
        <v>English</v>
      </c>
      <c r="W1612" s="6" t="str">
        <f>IFERROR(__xludf.DUMMYFUNCTION("""COMPUTED_VALUE"""),"[]")</f>
        <v>[]</v>
      </c>
      <c r="X1612" s="6" t="str">
        <f>IFERROR(__xludf.DUMMYFUNCTION("""COMPUTED_VALUE"""),"Enrolled")</f>
        <v>Enrolled</v>
      </c>
    </row>
    <row r="1613">
      <c r="A1613" s="6" t="str">
        <f>IFERROR(__xludf.DUMMYFUNCTION("""COMPUTED_VALUE"""),"009-2976")</f>
        <v>009-2976</v>
      </c>
      <c r="B1613" s="6" t="str">
        <f>IFERROR(__xludf.DUMMYFUNCTION("""COMPUTED_VALUE"""),"9")</f>
        <v>9</v>
      </c>
      <c r="C1613" s="6" t="str">
        <f>IFERROR(__xludf.DUMMYFUNCTION("""COMPUTED_VALUE"""),"2976")</f>
        <v>2976</v>
      </c>
      <c r="D1613" s="6" t="str">
        <f>IFERROR(__xludf.DUMMYFUNCTION("""COMPUTED_VALUE"""),"Tovt")</f>
        <v>Tovt</v>
      </c>
      <c r="E1613" s="6" t="str">
        <f>IFERROR(__xludf.DUMMYFUNCTION("""COMPUTED_VALUE"""),"")</f>
        <v/>
      </c>
      <c r="F1613" s="6" t="str">
        <f>IFERROR(__xludf.DUMMYFUNCTION("""COMPUTED_VALUE"""),"Anna")</f>
        <v>Anna</v>
      </c>
      <c r="G1613" s="6" t="str">
        <f>IFERROR(__xludf.DUMMYFUNCTION("""COMPUTED_VALUE"""),"06/10/2009")</f>
        <v>06/10/2009</v>
      </c>
      <c r="H1613" s="6" t="str">
        <f>IFERROR(__xludf.DUMMYFUNCTION("""COMPUTED_VALUE"""),"Self Identify")</f>
        <v>Self Identify</v>
      </c>
      <c r="I1613" s="6" t="str">
        <f>IFERROR(__xludf.DUMMYFUNCTION("""COMPUTED_VALUE"""),"High School")</f>
        <v>High School</v>
      </c>
      <c r="J1613" s="6" t="str">
        <f>IFERROR(__xludf.DUMMYFUNCTION("""COMPUTED_VALUE"""),"10")</f>
        <v>10</v>
      </c>
      <c r="K1613" s="6" t="str">
        <f>IFERROR(__xludf.DUMMYFUNCTION("""COMPUTED_VALUE"""),"tovt.anna@2hourlearning.com")</f>
        <v>tovt.anna@2hourlearning.com</v>
      </c>
      <c r="L1613" s="6" t="str">
        <f>IFERROR(__xludf.DUMMYFUNCTION("""COMPUTED_VALUE"""),"Learn and Earn Poland")</f>
        <v>Learn and Earn Poland</v>
      </c>
      <c r="M1613" s="6" t="str">
        <f>IFERROR(__xludf.DUMMYFUNCTION("""COMPUTED_VALUE"""),"")</f>
        <v/>
      </c>
      <c r="N1613" s="6" t="str">
        <f>IFERROR(__xludf.DUMMYFUNCTION("""COMPUTED_VALUE"""),"")</f>
        <v/>
      </c>
      <c r="O1613" s="87" t="str">
        <f>IFERROR(__xludf.DUMMYFUNCTION("""COMPUTED_VALUE"""),"https://drive.google.com/drive/folders/10T2cTQHqEJZqE-st6uFKPoI?usp=share_link")</f>
        <v>https://drive.google.com/drive/folders/10T2cTQHqEJZqE-st6uFKPoI?usp=share_link</v>
      </c>
      <c r="P1613" s="6" t="str">
        <f>IFERROR(__xludf.DUMMYFUNCTION("""COMPUTED_VALUE"""),"Tovt Anna")</f>
        <v>Tovt Anna</v>
      </c>
      <c r="Q1613" s="6" t="str">
        <f>IFERROR(__xludf.DUMMYFUNCTION("""COMPUTED_VALUE"""),"HS")</f>
        <v>HS</v>
      </c>
      <c r="R1613" s="6">
        <f>IFERROR(__xludf.DUMMYFUNCTION("""COMPUTED_VALUE"""),0.0)</f>
        <v>0</v>
      </c>
      <c r="S1613" s="6" t="str">
        <f>IFERROR(__xludf.DUMMYFUNCTION("""COMPUTED_VALUE""")," ")</f>
        <v> </v>
      </c>
      <c r="T1613" s="6" t="str">
        <f>IFERROR(__xludf.DUMMYFUNCTION("""COMPUTED_VALUE"""),"")</f>
        <v/>
      </c>
      <c r="U1613" s="6" t="str">
        <f>IFERROR(__xludf.DUMMYFUNCTION("""COMPUTED_VALUE"""),"10")</f>
        <v>10</v>
      </c>
      <c r="V1613" s="6" t="str">
        <f>IFERROR(__xludf.DUMMYFUNCTION("""COMPUTED_VALUE"""),"English")</f>
        <v>English</v>
      </c>
      <c r="W1613" s="6" t="str">
        <f>IFERROR(__xludf.DUMMYFUNCTION("""COMPUTED_VALUE"""),"[]")</f>
        <v>[]</v>
      </c>
      <c r="X1613" s="6" t="str">
        <f>IFERROR(__xludf.DUMMYFUNCTION("""COMPUTED_VALUE"""),"Enrolled")</f>
        <v>Enrolled</v>
      </c>
    </row>
    <row r="1614">
      <c r="A1614" s="6" t="str">
        <f>IFERROR(__xludf.DUMMYFUNCTION("""COMPUTED_VALUE"""),"009-2977")</f>
        <v>009-2977</v>
      </c>
      <c r="B1614" s="6" t="str">
        <f>IFERROR(__xludf.DUMMYFUNCTION("""COMPUTED_VALUE"""),"9")</f>
        <v>9</v>
      </c>
      <c r="C1614" s="6" t="str">
        <f>IFERROR(__xludf.DUMMYFUNCTION("""COMPUTED_VALUE"""),"2977")</f>
        <v>2977</v>
      </c>
      <c r="D1614" s="6" t="str">
        <f>IFERROR(__xludf.DUMMYFUNCTION("""COMPUTED_VALUE"""),"Stepan")</f>
        <v>Stepan</v>
      </c>
      <c r="E1614" s="6" t="str">
        <f>IFERROR(__xludf.DUMMYFUNCTION("""COMPUTED_VALUE"""),"")</f>
        <v/>
      </c>
      <c r="F1614" s="6" t="str">
        <f>IFERROR(__xludf.DUMMYFUNCTION("""COMPUTED_VALUE"""),"Makarenko")</f>
        <v>Makarenko</v>
      </c>
      <c r="G1614" s="6" t="str">
        <f>IFERROR(__xludf.DUMMYFUNCTION("""COMPUTED_VALUE"""),"07/06/2011")</f>
        <v>07/06/2011</v>
      </c>
      <c r="H1614" s="6" t="str">
        <f>IFERROR(__xludf.DUMMYFUNCTION("""COMPUTED_VALUE"""),"Self Identify")</f>
        <v>Self Identify</v>
      </c>
      <c r="I1614" s="6" t="str">
        <f>IFERROR(__xludf.DUMMYFUNCTION("""COMPUTED_VALUE"""),"Middle School")</f>
        <v>Middle School</v>
      </c>
      <c r="J1614" s="6" t="str">
        <f>IFERROR(__xludf.DUMMYFUNCTION("""COMPUTED_VALUE"""),"8")</f>
        <v>8</v>
      </c>
      <c r="K1614" s="6" t="str">
        <f>IFERROR(__xludf.DUMMYFUNCTION("""COMPUTED_VALUE"""),"stepan.makarenko@2hourlearning.com")</f>
        <v>stepan.makarenko@2hourlearning.com</v>
      </c>
      <c r="L1614" s="6" t="str">
        <f>IFERROR(__xludf.DUMMYFUNCTION("""COMPUTED_VALUE"""),"Learn and Earn Poland")</f>
        <v>Learn and Earn Poland</v>
      </c>
      <c r="M1614" s="6" t="str">
        <f>IFERROR(__xludf.DUMMYFUNCTION("""COMPUTED_VALUE"""),"")</f>
        <v/>
      </c>
      <c r="N1614" s="6" t="str">
        <f>IFERROR(__xludf.DUMMYFUNCTION("""COMPUTED_VALUE"""),"")</f>
        <v/>
      </c>
      <c r="O1614" s="87" t="str">
        <f>IFERROR(__xludf.DUMMYFUNCTION("""COMPUTED_VALUE"""),"https://drive.google.com/drive/folders/10T2cTQHqEJZqE-st6uFKPoI?usp=share_link")</f>
        <v>https://drive.google.com/drive/folders/10T2cTQHqEJZqE-st6uFKPoI?usp=share_link</v>
      </c>
      <c r="P1614" s="6" t="str">
        <f>IFERROR(__xludf.DUMMYFUNCTION("""COMPUTED_VALUE"""),"Stepan Makarenko")</f>
        <v>Stepan Makarenko</v>
      </c>
      <c r="Q1614" s="6" t="str">
        <f>IFERROR(__xludf.DUMMYFUNCTION("""COMPUTED_VALUE"""),"MS")</f>
        <v>MS</v>
      </c>
      <c r="R1614" s="6">
        <f>IFERROR(__xludf.DUMMYFUNCTION("""COMPUTED_VALUE"""),0.0)</f>
        <v>0</v>
      </c>
      <c r="S1614" s="6" t="str">
        <f>IFERROR(__xludf.DUMMYFUNCTION("""COMPUTED_VALUE""")," ")</f>
        <v> </v>
      </c>
      <c r="T1614" s="6" t="str">
        <f>IFERROR(__xludf.DUMMYFUNCTION("""COMPUTED_VALUE"""),"")</f>
        <v/>
      </c>
      <c r="U1614" s="6" t="str">
        <f>IFERROR(__xludf.DUMMYFUNCTION("""COMPUTED_VALUE"""),"8")</f>
        <v>8</v>
      </c>
      <c r="V1614" s="6" t="str">
        <f>IFERROR(__xludf.DUMMYFUNCTION("""COMPUTED_VALUE"""),"English")</f>
        <v>English</v>
      </c>
      <c r="W1614" s="6" t="str">
        <f>IFERROR(__xludf.DUMMYFUNCTION("""COMPUTED_VALUE"""),"[]")</f>
        <v>[]</v>
      </c>
      <c r="X1614" s="6" t="str">
        <f>IFERROR(__xludf.DUMMYFUNCTION("""COMPUTED_VALUE"""),"Enrolled")</f>
        <v>Enrolled</v>
      </c>
    </row>
    <row r="1615">
      <c r="A1615" s="6" t="str">
        <f>IFERROR(__xludf.DUMMYFUNCTION("""COMPUTED_VALUE"""),"009-2978")</f>
        <v>009-2978</v>
      </c>
      <c r="B1615" s="6" t="str">
        <f>IFERROR(__xludf.DUMMYFUNCTION("""COMPUTED_VALUE"""),"9")</f>
        <v>9</v>
      </c>
      <c r="C1615" s="6" t="str">
        <f>IFERROR(__xludf.DUMMYFUNCTION("""COMPUTED_VALUE"""),"2978")</f>
        <v>2978</v>
      </c>
      <c r="D1615" s="6" t="str">
        <f>IFERROR(__xludf.DUMMYFUNCTION("""COMPUTED_VALUE"""),"Rospopa")</f>
        <v>Rospopa</v>
      </c>
      <c r="E1615" s="6" t="str">
        <f>IFERROR(__xludf.DUMMYFUNCTION("""COMPUTED_VALUE"""),"")</f>
        <v/>
      </c>
      <c r="F1615" s="6" t="str">
        <f>IFERROR(__xludf.DUMMYFUNCTION("""COMPUTED_VALUE"""),"Anastasiia")</f>
        <v>Anastasiia</v>
      </c>
      <c r="G1615" s="6" t="str">
        <f>IFERROR(__xludf.DUMMYFUNCTION("""COMPUTED_VALUE"""),"11/14/2012")</f>
        <v>11/14/2012</v>
      </c>
      <c r="H1615" s="6" t="str">
        <f>IFERROR(__xludf.DUMMYFUNCTION("""COMPUTED_VALUE"""),"Self Identify")</f>
        <v>Self Identify</v>
      </c>
      <c r="I1615" s="6" t="str">
        <f>IFERROR(__xludf.DUMMYFUNCTION("""COMPUTED_VALUE"""),"Middle School")</f>
        <v>Middle School</v>
      </c>
      <c r="J1615" s="6" t="str">
        <f>IFERROR(__xludf.DUMMYFUNCTION("""COMPUTED_VALUE"""),"7")</f>
        <v>7</v>
      </c>
      <c r="K1615" s="6" t="str">
        <f>IFERROR(__xludf.DUMMYFUNCTION("""COMPUTED_VALUE"""),"rospopa.anastasiia@2hourlearning.com")</f>
        <v>rospopa.anastasiia@2hourlearning.com</v>
      </c>
      <c r="L1615" s="6" t="str">
        <f>IFERROR(__xludf.DUMMYFUNCTION("""COMPUTED_VALUE"""),"Learn and Earn Poland")</f>
        <v>Learn and Earn Poland</v>
      </c>
      <c r="M1615" s="6" t="str">
        <f>IFERROR(__xludf.DUMMYFUNCTION("""COMPUTED_VALUE"""),"")</f>
        <v/>
      </c>
      <c r="N1615" s="6" t="str">
        <f>IFERROR(__xludf.DUMMYFUNCTION("""COMPUTED_VALUE"""),"")</f>
        <v/>
      </c>
      <c r="O1615" s="87" t="str">
        <f>IFERROR(__xludf.DUMMYFUNCTION("""COMPUTED_VALUE"""),"https://drive.google.com/drive/folders/10T2cTQHqEJZqE-st6uFKPoI?usp=share_link")</f>
        <v>https://drive.google.com/drive/folders/10T2cTQHqEJZqE-st6uFKPoI?usp=share_link</v>
      </c>
      <c r="P1615" s="6" t="str">
        <f>IFERROR(__xludf.DUMMYFUNCTION("""COMPUTED_VALUE"""),"Rospopa Anastasiia")</f>
        <v>Rospopa Anastasiia</v>
      </c>
      <c r="Q1615" s="6" t="str">
        <f>IFERROR(__xludf.DUMMYFUNCTION("""COMPUTED_VALUE"""),"MS")</f>
        <v>MS</v>
      </c>
      <c r="R1615" s="6">
        <f>IFERROR(__xludf.DUMMYFUNCTION("""COMPUTED_VALUE"""),0.0)</f>
        <v>0</v>
      </c>
      <c r="S1615" s="6" t="str">
        <f>IFERROR(__xludf.DUMMYFUNCTION("""COMPUTED_VALUE""")," ")</f>
        <v> </v>
      </c>
      <c r="T1615" s="6" t="str">
        <f>IFERROR(__xludf.DUMMYFUNCTION("""COMPUTED_VALUE"""),"")</f>
        <v/>
      </c>
      <c r="U1615" s="6" t="str">
        <f>IFERROR(__xludf.DUMMYFUNCTION("""COMPUTED_VALUE"""),"7")</f>
        <v>7</v>
      </c>
      <c r="V1615" s="6" t="str">
        <f>IFERROR(__xludf.DUMMYFUNCTION("""COMPUTED_VALUE"""),"English")</f>
        <v>English</v>
      </c>
      <c r="W1615" s="6" t="str">
        <f>IFERROR(__xludf.DUMMYFUNCTION("""COMPUTED_VALUE"""),"[]")</f>
        <v>[]</v>
      </c>
      <c r="X1615" s="6" t="str">
        <f>IFERROR(__xludf.DUMMYFUNCTION("""COMPUTED_VALUE"""),"Enrolled")</f>
        <v>Enrolled</v>
      </c>
    </row>
    <row r="1616">
      <c r="A1616" s="6" t="str">
        <f>IFERROR(__xludf.DUMMYFUNCTION("""COMPUTED_VALUE"""),"009-2979")</f>
        <v>009-2979</v>
      </c>
      <c r="B1616" s="6" t="str">
        <f>IFERROR(__xludf.DUMMYFUNCTION("""COMPUTED_VALUE"""),"9")</f>
        <v>9</v>
      </c>
      <c r="C1616" s="6" t="str">
        <f>IFERROR(__xludf.DUMMYFUNCTION("""COMPUTED_VALUE"""),"2979")</f>
        <v>2979</v>
      </c>
      <c r="D1616" s="6" t="str">
        <f>IFERROR(__xludf.DUMMYFUNCTION("""COMPUTED_VALUE"""),"Tymur")</f>
        <v>Tymur</v>
      </c>
      <c r="E1616" s="6" t="str">
        <f>IFERROR(__xludf.DUMMYFUNCTION("""COMPUTED_VALUE"""),"")</f>
        <v/>
      </c>
      <c r="F1616" s="6" t="str">
        <f>IFERROR(__xludf.DUMMYFUNCTION("""COMPUTED_VALUE"""),"Nesterenko")</f>
        <v>Nesterenko</v>
      </c>
      <c r="G1616" s="6" t="str">
        <f>IFERROR(__xludf.DUMMYFUNCTION("""COMPUTED_VALUE"""),"03/21/2019")</f>
        <v>03/21/2019</v>
      </c>
      <c r="H1616" s="6" t="str">
        <f>IFERROR(__xludf.DUMMYFUNCTION("""COMPUTED_VALUE"""),"Self Identify")</f>
        <v>Self Identify</v>
      </c>
      <c r="I1616" s="6" t="str">
        <f>IFERROR(__xludf.DUMMYFUNCTION("""COMPUTED_VALUE"""),"Learning Lab")</f>
        <v>Learning Lab</v>
      </c>
      <c r="J1616" s="6" t="str">
        <f>IFERROR(__xludf.DUMMYFUNCTION("""COMPUTED_VALUE"""),"1")</f>
        <v>1</v>
      </c>
      <c r="K1616" s="6" t="str">
        <f>IFERROR(__xludf.DUMMYFUNCTION("""COMPUTED_VALUE"""),"tymur.nesterenko@2hourlearning.com")</f>
        <v>tymur.nesterenko@2hourlearning.com</v>
      </c>
      <c r="L1616" s="6" t="str">
        <f>IFERROR(__xludf.DUMMYFUNCTION("""COMPUTED_VALUE"""),"Learn and Earn Poland")</f>
        <v>Learn and Earn Poland</v>
      </c>
      <c r="M1616" s="6" t="str">
        <f>IFERROR(__xludf.DUMMYFUNCTION("""COMPUTED_VALUE"""),"")</f>
        <v/>
      </c>
      <c r="N1616" s="6" t="str">
        <f>IFERROR(__xludf.DUMMYFUNCTION("""COMPUTED_VALUE"""),"")</f>
        <v/>
      </c>
      <c r="O1616" s="87" t="str">
        <f>IFERROR(__xludf.DUMMYFUNCTION("""COMPUTED_VALUE"""),"https://drive.google.com/drive/folders/10T2cTQHqEJZqE-st6uFKPoI?usp=share_link")</f>
        <v>https://drive.google.com/drive/folders/10T2cTQHqEJZqE-st6uFKPoI?usp=share_link</v>
      </c>
      <c r="P1616" s="6" t="str">
        <f>IFERROR(__xludf.DUMMYFUNCTION("""COMPUTED_VALUE"""),"Tymur Nesterenko")</f>
        <v>Tymur Nesterenko</v>
      </c>
      <c r="Q1616" s="6" t="str">
        <f>IFERROR(__xludf.DUMMYFUNCTION("""COMPUTED_VALUE"""),"LL")</f>
        <v>LL</v>
      </c>
      <c r="R1616" s="6">
        <f>IFERROR(__xludf.DUMMYFUNCTION("""COMPUTED_VALUE"""),0.0)</f>
        <v>0</v>
      </c>
      <c r="S1616" s="6" t="str">
        <f>IFERROR(__xludf.DUMMYFUNCTION("""COMPUTED_VALUE""")," ")</f>
        <v> </v>
      </c>
      <c r="T1616" s="6" t="str">
        <f>IFERROR(__xludf.DUMMYFUNCTION("""COMPUTED_VALUE"""),"")</f>
        <v/>
      </c>
      <c r="U1616" s="6" t="str">
        <f>IFERROR(__xludf.DUMMYFUNCTION("""COMPUTED_VALUE"""),"1")</f>
        <v>1</v>
      </c>
      <c r="V1616" s="6" t="str">
        <f>IFERROR(__xludf.DUMMYFUNCTION("""COMPUTED_VALUE"""),"English")</f>
        <v>English</v>
      </c>
      <c r="W1616" s="6" t="str">
        <f>IFERROR(__xludf.DUMMYFUNCTION("""COMPUTED_VALUE"""),"[]")</f>
        <v>[]</v>
      </c>
      <c r="X1616" s="6" t="str">
        <f>IFERROR(__xludf.DUMMYFUNCTION("""COMPUTED_VALUE"""),"Enrolled")</f>
        <v>Enrolled</v>
      </c>
    </row>
    <row r="1617">
      <c r="A1617" s="6" t="str">
        <f>IFERROR(__xludf.DUMMYFUNCTION("""COMPUTED_VALUE"""),"009-2980")</f>
        <v>009-2980</v>
      </c>
      <c r="B1617" s="6" t="str">
        <f>IFERROR(__xludf.DUMMYFUNCTION("""COMPUTED_VALUE"""),"9")</f>
        <v>9</v>
      </c>
      <c r="C1617" s="6" t="str">
        <f>IFERROR(__xludf.DUMMYFUNCTION("""COMPUTED_VALUE"""),"2980")</f>
        <v>2980</v>
      </c>
      <c r="D1617" s="6" t="str">
        <f>IFERROR(__xludf.DUMMYFUNCTION("""COMPUTED_VALUE"""),"Yaroshenko")</f>
        <v>Yaroshenko</v>
      </c>
      <c r="E1617" s="6" t="str">
        <f>IFERROR(__xludf.DUMMYFUNCTION("""COMPUTED_VALUE"""),"")</f>
        <v/>
      </c>
      <c r="F1617" s="6" t="str">
        <f>IFERROR(__xludf.DUMMYFUNCTION("""COMPUTED_VALUE"""),"Timur")</f>
        <v>Timur</v>
      </c>
      <c r="G1617" s="6" t="str">
        <f>IFERROR(__xludf.DUMMYFUNCTION("""COMPUTED_VALUE"""),"11/25/2014")</f>
        <v>11/25/2014</v>
      </c>
      <c r="H1617" s="6" t="str">
        <f>IFERROR(__xludf.DUMMYFUNCTION("""COMPUTED_VALUE"""),"Self Identify")</f>
        <v>Self Identify</v>
      </c>
      <c r="I1617" s="6" t="str">
        <f>IFERROR(__xludf.DUMMYFUNCTION("""COMPUTED_VALUE"""),"Level 2")</f>
        <v>Level 2</v>
      </c>
      <c r="J1617" s="6" t="str">
        <f>IFERROR(__xludf.DUMMYFUNCTION("""COMPUTED_VALUE"""),"5")</f>
        <v>5</v>
      </c>
      <c r="K1617" s="6" t="str">
        <f>IFERROR(__xludf.DUMMYFUNCTION("""COMPUTED_VALUE"""),"yaroshenko.timur@2hourlearning.com")</f>
        <v>yaroshenko.timur@2hourlearning.com</v>
      </c>
      <c r="L1617" s="6" t="str">
        <f>IFERROR(__xludf.DUMMYFUNCTION("""COMPUTED_VALUE"""),"Learn and Earn Poland")</f>
        <v>Learn and Earn Poland</v>
      </c>
      <c r="M1617" s="6" t="str">
        <f>IFERROR(__xludf.DUMMYFUNCTION("""COMPUTED_VALUE"""),"")</f>
        <v/>
      </c>
      <c r="N1617" s="6" t="str">
        <f>IFERROR(__xludf.DUMMYFUNCTION("""COMPUTED_VALUE"""),"")</f>
        <v/>
      </c>
      <c r="O1617" s="87" t="str">
        <f>IFERROR(__xludf.DUMMYFUNCTION("""COMPUTED_VALUE"""),"https://drive.google.com/drive/folders/10T2cTQHqEJZqE-st6uFKPoI?usp=share_link")</f>
        <v>https://drive.google.com/drive/folders/10T2cTQHqEJZqE-st6uFKPoI?usp=share_link</v>
      </c>
      <c r="P1617" s="6" t="str">
        <f>IFERROR(__xludf.DUMMYFUNCTION("""COMPUTED_VALUE"""),"Yaroshenko Timur")</f>
        <v>Yaroshenko Timur</v>
      </c>
      <c r="Q1617" s="6" t="str">
        <f>IFERROR(__xludf.DUMMYFUNCTION("""COMPUTED_VALUE"""),"L2")</f>
        <v>L2</v>
      </c>
      <c r="R1617" s="6">
        <f>IFERROR(__xludf.DUMMYFUNCTION("""COMPUTED_VALUE"""),2.0)</f>
        <v>2</v>
      </c>
      <c r="S1617" s="6" t="str">
        <f>IFERROR(__xludf.DUMMYFUNCTION("""COMPUTED_VALUE""")," ")</f>
        <v> </v>
      </c>
      <c r="T1617" s="6" t="str">
        <f>IFERROR(__xludf.DUMMYFUNCTION("""COMPUTED_VALUE"""),"")</f>
        <v/>
      </c>
      <c r="U1617" s="6" t="str">
        <f>IFERROR(__xludf.DUMMYFUNCTION("""COMPUTED_VALUE"""),"5")</f>
        <v>5</v>
      </c>
      <c r="V1617" s="6" t="str">
        <f>IFERROR(__xludf.DUMMYFUNCTION("""COMPUTED_VALUE"""),"English")</f>
        <v>English</v>
      </c>
      <c r="W1617" s="6" t="str">
        <f>IFERROR(__xludf.DUMMYFUNCTION("""COMPUTED_VALUE"""),"[]")</f>
        <v>[]</v>
      </c>
      <c r="X1617" s="6" t="str">
        <f>IFERROR(__xludf.DUMMYFUNCTION("""COMPUTED_VALUE"""),"Enrolled")</f>
        <v>Enrolled</v>
      </c>
    </row>
    <row r="1618">
      <c r="A1618" s="6" t="str">
        <f>IFERROR(__xludf.DUMMYFUNCTION("""COMPUTED_VALUE"""),"009-2981")</f>
        <v>009-2981</v>
      </c>
      <c r="B1618" s="6" t="str">
        <f>IFERROR(__xludf.DUMMYFUNCTION("""COMPUTED_VALUE"""),"9")</f>
        <v>9</v>
      </c>
      <c r="C1618" s="6" t="str">
        <f>IFERROR(__xludf.DUMMYFUNCTION("""COMPUTED_VALUE"""),"2981")</f>
        <v>2981</v>
      </c>
      <c r="D1618" s="6" t="str">
        <f>IFERROR(__xludf.DUMMYFUNCTION("""COMPUTED_VALUE"""),"Matii Mark")</f>
        <v>Matii Mark</v>
      </c>
      <c r="E1618" s="6" t="str">
        <f>IFERROR(__xludf.DUMMYFUNCTION("""COMPUTED_VALUE"""),"")</f>
        <v/>
      </c>
      <c r="F1618" s="6" t="str">
        <f>IFERROR(__xludf.DUMMYFUNCTION("""COMPUTED_VALUE"""),"Sevastianovych")</f>
        <v>Sevastianovych</v>
      </c>
      <c r="G1618" s="6" t="str">
        <f>IFERROR(__xludf.DUMMYFUNCTION("""COMPUTED_VALUE"""),"06/18/2009")</f>
        <v>06/18/2009</v>
      </c>
      <c r="H1618" s="6" t="str">
        <f>IFERROR(__xludf.DUMMYFUNCTION("""COMPUTED_VALUE"""),"Self Identify")</f>
        <v>Self Identify</v>
      </c>
      <c r="I1618" s="6" t="str">
        <f>IFERROR(__xludf.DUMMYFUNCTION("""COMPUTED_VALUE"""),"High School")</f>
        <v>High School</v>
      </c>
      <c r="J1618" s="6" t="str">
        <f>IFERROR(__xludf.DUMMYFUNCTION("""COMPUTED_VALUE"""),"10")</f>
        <v>10</v>
      </c>
      <c r="K1618" s="6" t="str">
        <f>IFERROR(__xludf.DUMMYFUNCTION("""COMPUTED_VALUE"""),"matii.mark.sevastianovych@2hourlearning.com")</f>
        <v>matii.mark.sevastianovych@2hourlearning.com</v>
      </c>
      <c r="L1618" s="6" t="str">
        <f>IFERROR(__xludf.DUMMYFUNCTION("""COMPUTED_VALUE"""),"Learn and Earn Poland")</f>
        <v>Learn and Earn Poland</v>
      </c>
      <c r="M1618" s="6" t="str">
        <f>IFERROR(__xludf.DUMMYFUNCTION("""COMPUTED_VALUE"""),"")</f>
        <v/>
      </c>
      <c r="N1618" s="6" t="str">
        <f>IFERROR(__xludf.DUMMYFUNCTION("""COMPUTED_VALUE"""),"")</f>
        <v/>
      </c>
      <c r="O1618" s="87" t="str">
        <f>IFERROR(__xludf.DUMMYFUNCTION("""COMPUTED_VALUE"""),"https://drive.google.com/drive/folders/10T2cTQHqEJZqE-st6uFKPoI?usp=share_link")</f>
        <v>https://drive.google.com/drive/folders/10T2cTQHqEJZqE-st6uFKPoI?usp=share_link</v>
      </c>
      <c r="P1618" s="6" t="str">
        <f>IFERROR(__xludf.DUMMYFUNCTION("""COMPUTED_VALUE"""),"Matii Mark Sevastianovych")</f>
        <v>Matii Mark Sevastianovych</v>
      </c>
      <c r="Q1618" s="6" t="str">
        <f>IFERROR(__xludf.DUMMYFUNCTION("""COMPUTED_VALUE"""),"HS")</f>
        <v>HS</v>
      </c>
      <c r="R1618" s="6">
        <f>IFERROR(__xludf.DUMMYFUNCTION("""COMPUTED_VALUE"""),0.0)</f>
        <v>0</v>
      </c>
      <c r="S1618" s="6" t="str">
        <f>IFERROR(__xludf.DUMMYFUNCTION("""COMPUTED_VALUE""")," ")</f>
        <v> </v>
      </c>
      <c r="T1618" s="6" t="str">
        <f>IFERROR(__xludf.DUMMYFUNCTION("""COMPUTED_VALUE"""),"")</f>
        <v/>
      </c>
      <c r="U1618" s="6" t="str">
        <f>IFERROR(__xludf.DUMMYFUNCTION("""COMPUTED_VALUE"""),"10")</f>
        <v>10</v>
      </c>
      <c r="V1618" s="6" t="str">
        <f>IFERROR(__xludf.DUMMYFUNCTION("""COMPUTED_VALUE"""),"English")</f>
        <v>English</v>
      </c>
      <c r="W1618" s="6" t="str">
        <f>IFERROR(__xludf.DUMMYFUNCTION("""COMPUTED_VALUE"""),"[]")</f>
        <v>[]</v>
      </c>
      <c r="X1618" s="6" t="str">
        <f>IFERROR(__xludf.DUMMYFUNCTION("""COMPUTED_VALUE"""),"Enrolled")</f>
        <v>Enrolled</v>
      </c>
    </row>
    <row r="1619">
      <c r="A1619" s="6" t="str">
        <f>IFERROR(__xludf.DUMMYFUNCTION("""COMPUTED_VALUE"""),"009-2982")</f>
        <v>009-2982</v>
      </c>
      <c r="B1619" s="6" t="str">
        <f>IFERROR(__xludf.DUMMYFUNCTION("""COMPUTED_VALUE"""),"9")</f>
        <v>9</v>
      </c>
      <c r="C1619" s="6" t="str">
        <f>IFERROR(__xludf.DUMMYFUNCTION("""COMPUTED_VALUE"""),"2982")</f>
        <v>2982</v>
      </c>
      <c r="D1619" s="6" t="str">
        <f>IFERROR(__xludf.DUMMYFUNCTION("""COMPUTED_VALUE"""),"Artem")</f>
        <v>Artem</v>
      </c>
      <c r="E1619" s="6" t="str">
        <f>IFERROR(__xludf.DUMMYFUNCTION("""COMPUTED_VALUE"""),"")</f>
        <v/>
      </c>
      <c r="F1619" s="6" t="str">
        <f>IFERROR(__xludf.DUMMYFUNCTION("""COMPUTED_VALUE"""),"Shepeliev")</f>
        <v>Shepeliev</v>
      </c>
      <c r="G1619" s="6" t="str">
        <f>IFERROR(__xludf.DUMMYFUNCTION("""COMPUTED_VALUE"""),"10/07/2012")</f>
        <v>10/07/2012</v>
      </c>
      <c r="H1619" s="6" t="str">
        <f>IFERROR(__xludf.DUMMYFUNCTION("""COMPUTED_VALUE"""),"Self Identify")</f>
        <v>Self Identify</v>
      </c>
      <c r="I1619" s="6" t="str">
        <f>IFERROR(__xludf.DUMMYFUNCTION("""COMPUTED_VALUE"""),"Middle School")</f>
        <v>Middle School</v>
      </c>
      <c r="J1619" s="6" t="str">
        <f>IFERROR(__xludf.DUMMYFUNCTION("""COMPUTED_VALUE"""),"7")</f>
        <v>7</v>
      </c>
      <c r="K1619" s="6" t="str">
        <f>IFERROR(__xludf.DUMMYFUNCTION("""COMPUTED_VALUE"""),"artem.shepeliev@2hourlearning.com")</f>
        <v>artem.shepeliev@2hourlearning.com</v>
      </c>
      <c r="L1619" s="6" t="str">
        <f>IFERROR(__xludf.DUMMYFUNCTION("""COMPUTED_VALUE"""),"Learn and Earn Poland")</f>
        <v>Learn and Earn Poland</v>
      </c>
      <c r="M1619" s="6" t="str">
        <f>IFERROR(__xludf.DUMMYFUNCTION("""COMPUTED_VALUE"""),"")</f>
        <v/>
      </c>
      <c r="N1619" s="6" t="str">
        <f>IFERROR(__xludf.DUMMYFUNCTION("""COMPUTED_VALUE"""),"")</f>
        <v/>
      </c>
      <c r="O1619" s="87" t="str">
        <f>IFERROR(__xludf.DUMMYFUNCTION("""COMPUTED_VALUE"""),"https://drive.google.com/drive/folders/10T2cTQHqEJZqE-st6uFKPoI?usp=share_link")</f>
        <v>https://drive.google.com/drive/folders/10T2cTQHqEJZqE-st6uFKPoI?usp=share_link</v>
      </c>
      <c r="P1619" s="6" t="str">
        <f>IFERROR(__xludf.DUMMYFUNCTION("""COMPUTED_VALUE"""),"Artem Shepeliev")</f>
        <v>Artem Shepeliev</v>
      </c>
      <c r="Q1619" s="6" t="str">
        <f>IFERROR(__xludf.DUMMYFUNCTION("""COMPUTED_VALUE"""),"MS")</f>
        <v>MS</v>
      </c>
      <c r="R1619" s="6">
        <f>IFERROR(__xludf.DUMMYFUNCTION("""COMPUTED_VALUE"""),0.0)</f>
        <v>0</v>
      </c>
      <c r="S1619" s="6" t="str">
        <f>IFERROR(__xludf.DUMMYFUNCTION("""COMPUTED_VALUE""")," ")</f>
        <v> </v>
      </c>
      <c r="T1619" s="6" t="str">
        <f>IFERROR(__xludf.DUMMYFUNCTION("""COMPUTED_VALUE"""),"")</f>
        <v/>
      </c>
      <c r="U1619" s="6" t="str">
        <f>IFERROR(__xludf.DUMMYFUNCTION("""COMPUTED_VALUE"""),"7")</f>
        <v>7</v>
      </c>
      <c r="V1619" s="6" t="str">
        <f>IFERROR(__xludf.DUMMYFUNCTION("""COMPUTED_VALUE"""),"English")</f>
        <v>English</v>
      </c>
      <c r="W1619" s="6" t="str">
        <f>IFERROR(__xludf.DUMMYFUNCTION("""COMPUTED_VALUE"""),"[]")</f>
        <v>[]</v>
      </c>
      <c r="X1619" s="6" t="str">
        <f>IFERROR(__xludf.DUMMYFUNCTION("""COMPUTED_VALUE"""),"Enrolled")</f>
        <v>Enrolled</v>
      </c>
    </row>
    <row r="1620">
      <c r="A1620" s="6" t="str">
        <f>IFERROR(__xludf.DUMMYFUNCTION("""COMPUTED_VALUE"""),"009-2983")</f>
        <v>009-2983</v>
      </c>
      <c r="B1620" s="6" t="str">
        <f>IFERROR(__xludf.DUMMYFUNCTION("""COMPUTED_VALUE"""),"9")</f>
        <v>9</v>
      </c>
      <c r="C1620" s="6" t="str">
        <f>IFERROR(__xludf.DUMMYFUNCTION("""COMPUTED_VALUE"""),"2983")</f>
        <v>2983</v>
      </c>
      <c r="D1620" s="6" t="str">
        <f>IFERROR(__xludf.DUMMYFUNCTION("""COMPUTED_VALUE"""),"Melania")</f>
        <v>Melania</v>
      </c>
      <c r="E1620" s="6" t="str">
        <f>IFERROR(__xludf.DUMMYFUNCTION("""COMPUTED_VALUE"""),"")</f>
        <v/>
      </c>
      <c r="F1620" s="6" t="str">
        <f>IFERROR(__xludf.DUMMYFUNCTION("""COMPUTED_VALUE"""),"Varha")</f>
        <v>Varha</v>
      </c>
      <c r="G1620" s="6" t="str">
        <f>IFERROR(__xludf.DUMMYFUNCTION("""COMPUTED_VALUE"""),"10/25/2016")</f>
        <v>10/25/2016</v>
      </c>
      <c r="H1620" s="6" t="str">
        <f>IFERROR(__xludf.DUMMYFUNCTION("""COMPUTED_VALUE"""),"Self Identify")</f>
        <v>Self Identify</v>
      </c>
      <c r="I1620" s="6" t="str">
        <f>IFERROR(__xludf.DUMMYFUNCTION("""COMPUTED_VALUE"""),"Level 1")</f>
        <v>Level 1</v>
      </c>
      <c r="J1620" s="6" t="str">
        <f>IFERROR(__xludf.DUMMYFUNCTION("""COMPUTED_VALUE"""),"3")</f>
        <v>3</v>
      </c>
      <c r="K1620" s="6" t="str">
        <f>IFERROR(__xludf.DUMMYFUNCTION("""COMPUTED_VALUE"""),"melania.varha@2hourlearning.com")</f>
        <v>melania.varha@2hourlearning.com</v>
      </c>
      <c r="L1620" s="6" t="str">
        <f>IFERROR(__xludf.DUMMYFUNCTION("""COMPUTED_VALUE"""),"Learn and Earn Poland")</f>
        <v>Learn and Earn Poland</v>
      </c>
      <c r="M1620" s="6" t="str">
        <f>IFERROR(__xludf.DUMMYFUNCTION("""COMPUTED_VALUE"""),"")</f>
        <v/>
      </c>
      <c r="N1620" s="6" t="str">
        <f>IFERROR(__xludf.DUMMYFUNCTION("""COMPUTED_VALUE"""),"")</f>
        <v/>
      </c>
      <c r="O1620" s="87" t="str">
        <f>IFERROR(__xludf.DUMMYFUNCTION("""COMPUTED_VALUE"""),"https://drive.google.com/drive/folders/10T2cTQHqEJZqE-st6uFKPoI?usp=share_link")</f>
        <v>https://drive.google.com/drive/folders/10T2cTQHqEJZqE-st6uFKPoI?usp=share_link</v>
      </c>
      <c r="P1620" s="6" t="str">
        <f>IFERROR(__xludf.DUMMYFUNCTION("""COMPUTED_VALUE"""),"Melania Varha")</f>
        <v>Melania Varha</v>
      </c>
      <c r="Q1620" s="6" t="str">
        <f>IFERROR(__xludf.DUMMYFUNCTION("""COMPUTED_VALUE"""),"L1")</f>
        <v>L1</v>
      </c>
      <c r="R1620" s="6">
        <f>IFERROR(__xludf.DUMMYFUNCTION("""COMPUTED_VALUE"""),1.0)</f>
        <v>1</v>
      </c>
      <c r="S1620" s="6" t="str">
        <f>IFERROR(__xludf.DUMMYFUNCTION("""COMPUTED_VALUE""")," ")</f>
        <v> </v>
      </c>
      <c r="T1620" s="6" t="str">
        <f>IFERROR(__xludf.DUMMYFUNCTION("""COMPUTED_VALUE"""),"")</f>
        <v/>
      </c>
      <c r="U1620" s="6" t="str">
        <f>IFERROR(__xludf.DUMMYFUNCTION("""COMPUTED_VALUE"""),"3")</f>
        <v>3</v>
      </c>
      <c r="V1620" s="6" t="str">
        <f>IFERROR(__xludf.DUMMYFUNCTION("""COMPUTED_VALUE"""),"English")</f>
        <v>English</v>
      </c>
      <c r="W1620" s="6" t="str">
        <f>IFERROR(__xludf.DUMMYFUNCTION("""COMPUTED_VALUE"""),"[]")</f>
        <v>[]</v>
      </c>
      <c r="X1620" s="6" t="str">
        <f>IFERROR(__xludf.DUMMYFUNCTION("""COMPUTED_VALUE"""),"Enrolled")</f>
        <v>Enrolled</v>
      </c>
    </row>
    <row r="1621">
      <c r="A1621" s="6" t="str">
        <f>IFERROR(__xludf.DUMMYFUNCTION("""COMPUTED_VALUE"""),"009-2984")</f>
        <v>009-2984</v>
      </c>
      <c r="B1621" s="6" t="str">
        <f>IFERROR(__xludf.DUMMYFUNCTION("""COMPUTED_VALUE"""),"9")</f>
        <v>9</v>
      </c>
      <c r="C1621" s="6" t="str">
        <f>IFERROR(__xludf.DUMMYFUNCTION("""COMPUTED_VALUE"""),"2984")</f>
        <v>2984</v>
      </c>
      <c r="D1621" s="6" t="str">
        <f>IFERROR(__xludf.DUMMYFUNCTION("""COMPUTED_VALUE"""),"Oleksandr")</f>
        <v>Oleksandr</v>
      </c>
      <c r="E1621" s="6" t="str">
        <f>IFERROR(__xludf.DUMMYFUNCTION("""COMPUTED_VALUE"""),"")</f>
        <v/>
      </c>
      <c r="F1621" s="6" t="str">
        <f>IFERROR(__xludf.DUMMYFUNCTION("""COMPUTED_VALUE"""),"Zeykan")</f>
        <v>Zeykan</v>
      </c>
      <c r="G1621" s="6" t="str">
        <f>IFERROR(__xludf.DUMMYFUNCTION("""COMPUTED_VALUE"""),"10/04/2011")</f>
        <v>10/04/2011</v>
      </c>
      <c r="H1621" s="6" t="str">
        <f>IFERROR(__xludf.DUMMYFUNCTION("""COMPUTED_VALUE"""),"Self Identify")</f>
        <v>Self Identify</v>
      </c>
      <c r="I1621" s="6" t="str">
        <f>IFERROR(__xludf.DUMMYFUNCTION("""COMPUTED_VALUE"""),"Middle School")</f>
        <v>Middle School</v>
      </c>
      <c r="J1621" s="6" t="str">
        <f>IFERROR(__xludf.DUMMYFUNCTION("""COMPUTED_VALUE"""),"8")</f>
        <v>8</v>
      </c>
      <c r="K1621" s="6" t="str">
        <f>IFERROR(__xludf.DUMMYFUNCTION("""COMPUTED_VALUE"""),"oleksandr.zeykan@2hourlearning.com")</f>
        <v>oleksandr.zeykan@2hourlearning.com</v>
      </c>
      <c r="L1621" s="6" t="str">
        <f>IFERROR(__xludf.DUMMYFUNCTION("""COMPUTED_VALUE"""),"Learn and Earn Poland")</f>
        <v>Learn and Earn Poland</v>
      </c>
      <c r="M1621" s="6" t="str">
        <f>IFERROR(__xludf.DUMMYFUNCTION("""COMPUTED_VALUE"""),"")</f>
        <v/>
      </c>
      <c r="N1621" s="6" t="str">
        <f>IFERROR(__xludf.DUMMYFUNCTION("""COMPUTED_VALUE"""),"")</f>
        <v/>
      </c>
      <c r="O1621" s="87" t="str">
        <f>IFERROR(__xludf.DUMMYFUNCTION("""COMPUTED_VALUE"""),"https://drive.google.com/drive/folders/10T2cTQHqEJZqE-st6uFKPoI?usp=share_link")</f>
        <v>https://drive.google.com/drive/folders/10T2cTQHqEJZqE-st6uFKPoI?usp=share_link</v>
      </c>
      <c r="P1621" s="6" t="str">
        <f>IFERROR(__xludf.DUMMYFUNCTION("""COMPUTED_VALUE"""),"Oleksandr Zeykan")</f>
        <v>Oleksandr Zeykan</v>
      </c>
      <c r="Q1621" s="6" t="str">
        <f>IFERROR(__xludf.DUMMYFUNCTION("""COMPUTED_VALUE"""),"MS")</f>
        <v>MS</v>
      </c>
      <c r="R1621" s="6">
        <f>IFERROR(__xludf.DUMMYFUNCTION("""COMPUTED_VALUE"""),0.0)</f>
        <v>0</v>
      </c>
      <c r="S1621" s="6" t="str">
        <f>IFERROR(__xludf.DUMMYFUNCTION("""COMPUTED_VALUE""")," ")</f>
        <v> </v>
      </c>
      <c r="T1621" s="6" t="str">
        <f>IFERROR(__xludf.DUMMYFUNCTION("""COMPUTED_VALUE"""),"")</f>
        <v/>
      </c>
      <c r="U1621" s="6" t="str">
        <f>IFERROR(__xludf.DUMMYFUNCTION("""COMPUTED_VALUE"""),"8")</f>
        <v>8</v>
      </c>
      <c r="V1621" s="6" t="str">
        <f>IFERROR(__xludf.DUMMYFUNCTION("""COMPUTED_VALUE"""),"English")</f>
        <v>English</v>
      </c>
      <c r="W1621" s="6" t="str">
        <f>IFERROR(__xludf.DUMMYFUNCTION("""COMPUTED_VALUE"""),"[]")</f>
        <v>[]</v>
      </c>
      <c r="X1621" s="6" t="str">
        <f>IFERROR(__xludf.DUMMYFUNCTION("""COMPUTED_VALUE"""),"Enrolled")</f>
        <v>Enrolled</v>
      </c>
    </row>
    <row r="1622">
      <c r="A1622" s="6" t="str">
        <f>IFERROR(__xludf.DUMMYFUNCTION("""COMPUTED_VALUE"""),"009-2985")</f>
        <v>009-2985</v>
      </c>
      <c r="B1622" s="6" t="str">
        <f>IFERROR(__xludf.DUMMYFUNCTION("""COMPUTED_VALUE"""),"9")</f>
        <v>9</v>
      </c>
      <c r="C1622" s="6" t="str">
        <f>IFERROR(__xludf.DUMMYFUNCTION("""COMPUTED_VALUE"""),"2985")</f>
        <v>2985</v>
      </c>
      <c r="D1622" s="6" t="str">
        <f>IFERROR(__xludf.DUMMYFUNCTION("""COMPUTED_VALUE"""),"Emiliia")</f>
        <v>Emiliia</v>
      </c>
      <c r="E1622" s="6" t="str">
        <f>IFERROR(__xludf.DUMMYFUNCTION("""COMPUTED_VALUE"""),"")</f>
        <v/>
      </c>
      <c r="F1622" s="6" t="str">
        <f>IFERROR(__xludf.DUMMYFUNCTION("""COMPUTED_VALUE"""),"Mokan")</f>
        <v>Mokan</v>
      </c>
      <c r="G1622" s="6" t="str">
        <f>IFERROR(__xludf.DUMMYFUNCTION("""COMPUTED_VALUE"""),"07/14/2014")</f>
        <v>07/14/2014</v>
      </c>
      <c r="H1622" s="6" t="str">
        <f>IFERROR(__xludf.DUMMYFUNCTION("""COMPUTED_VALUE"""),"Self Identify")</f>
        <v>Self Identify</v>
      </c>
      <c r="I1622" s="6" t="str">
        <f>IFERROR(__xludf.DUMMYFUNCTION("""COMPUTED_VALUE"""),"Level 2")</f>
        <v>Level 2</v>
      </c>
      <c r="J1622" s="6" t="str">
        <f>IFERROR(__xludf.DUMMYFUNCTION("""COMPUTED_VALUE"""),"5")</f>
        <v>5</v>
      </c>
      <c r="K1622" s="6" t="str">
        <f>IFERROR(__xludf.DUMMYFUNCTION("""COMPUTED_VALUE"""),"emiliia.mokan@2hourlearning.com")</f>
        <v>emiliia.mokan@2hourlearning.com</v>
      </c>
      <c r="L1622" s="6" t="str">
        <f>IFERROR(__xludf.DUMMYFUNCTION("""COMPUTED_VALUE"""),"Learn and Earn Poland")</f>
        <v>Learn and Earn Poland</v>
      </c>
      <c r="M1622" s="6" t="str">
        <f>IFERROR(__xludf.DUMMYFUNCTION("""COMPUTED_VALUE"""),"")</f>
        <v/>
      </c>
      <c r="N1622" s="6" t="str">
        <f>IFERROR(__xludf.DUMMYFUNCTION("""COMPUTED_VALUE"""),"")</f>
        <v/>
      </c>
      <c r="O1622" s="87" t="str">
        <f>IFERROR(__xludf.DUMMYFUNCTION("""COMPUTED_VALUE"""),"https://drive.google.com/drive/folders/10T2cTQHqEJZqE-st6uFKPoI?usp=share_link")</f>
        <v>https://drive.google.com/drive/folders/10T2cTQHqEJZqE-st6uFKPoI?usp=share_link</v>
      </c>
      <c r="P1622" s="6" t="str">
        <f>IFERROR(__xludf.DUMMYFUNCTION("""COMPUTED_VALUE"""),"Emiliia Mokan")</f>
        <v>Emiliia Mokan</v>
      </c>
      <c r="Q1622" s="6" t="str">
        <f>IFERROR(__xludf.DUMMYFUNCTION("""COMPUTED_VALUE"""),"L2")</f>
        <v>L2</v>
      </c>
      <c r="R1622" s="6">
        <f>IFERROR(__xludf.DUMMYFUNCTION("""COMPUTED_VALUE"""),2.0)</f>
        <v>2</v>
      </c>
      <c r="S1622" s="6" t="str">
        <f>IFERROR(__xludf.DUMMYFUNCTION("""COMPUTED_VALUE""")," ")</f>
        <v> </v>
      </c>
      <c r="T1622" s="6" t="str">
        <f>IFERROR(__xludf.DUMMYFUNCTION("""COMPUTED_VALUE"""),"")</f>
        <v/>
      </c>
      <c r="U1622" s="6" t="str">
        <f>IFERROR(__xludf.DUMMYFUNCTION("""COMPUTED_VALUE"""),"5")</f>
        <v>5</v>
      </c>
      <c r="V1622" s="6" t="str">
        <f>IFERROR(__xludf.DUMMYFUNCTION("""COMPUTED_VALUE"""),"English")</f>
        <v>English</v>
      </c>
      <c r="W1622" s="6" t="str">
        <f>IFERROR(__xludf.DUMMYFUNCTION("""COMPUTED_VALUE"""),"[]")</f>
        <v>[]</v>
      </c>
      <c r="X1622" s="6" t="str">
        <f>IFERROR(__xludf.DUMMYFUNCTION("""COMPUTED_VALUE"""),"Enrolled")</f>
        <v>Enrolled</v>
      </c>
    </row>
    <row r="1623">
      <c r="A1623" s="6" t="str">
        <f>IFERROR(__xludf.DUMMYFUNCTION("""COMPUTED_VALUE"""),"009-2986")</f>
        <v>009-2986</v>
      </c>
      <c r="B1623" s="6" t="str">
        <f>IFERROR(__xludf.DUMMYFUNCTION("""COMPUTED_VALUE"""),"9")</f>
        <v>9</v>
      </c>
      <c r="C1623" s="6" t="str">
        <f>IFERROR(__xludf.DUMMYFUNCTION("""COMPUTED_VALUE"""),"2986")</f>
        <v>2986</v>
      </c>
      <c r="D1623" s="6" t="str">
        <f>IFERROR(__xludf.DUMMYFUNCTION("""COMPUTED_VALUE"""),"Ryndich")</f>
        <v>Ryndich</v>
      </c>
      <c r="E1623" s="6" t="str">
        <f>IFERROR(__xludf.DUMMYFUNCTION("""COMPUTED_VALUE"""),"")</f>
        <v/>
      </c>
      <c r="F1623" s="6" t="str">
        <f>IFERROR(__xludf.DUMMYFUNCTION("""COMPUTED_VALUE"""),"Maksym")</f>
        <v>Maksym</v>
      </c>
      <c r="G1623" s="6" t="str">
        <f>IFERROR(__xludf.DUMMYFUNCTION("""COMPUTED_VALUE"""),"01/28/2014")</f>
        <v>01/28/2014</v>
      </c>
      <c r="H1623" s="6" t="str">
        <f>IFERROR(__xludf.DUMMYFUNCTION("""COMPUTED_VALUE"""),"Self Identify")</f>
        <v>Self Identify</v>
      </c>
      <c r="I1623" s="6" t="str">
        <f>IFERROR(__xludf.DUMMYFUNCTION("""COMPUTED_VALUE"""),"Middle School")</f>
        <v>Middle School</v>
      </c>
      <c r="J1623" s="6" t="str">
        <f>IFERROR(__xludf.DUMMYFUNCTION("""COMPUTED_VALUE"""),"6")</f>
        <v>6</v>
      </c>
      <c r="K1623" s="6" t="str">
        <f>IFERROR(__xludf.DUMMYFUNCTION("""COMPUTED_VALUE"""),"ryndich.maksym@2hourlearning.com")</f>
        <v>ryndich.maksym@2hourlearning.com</v>
      </c>
      <c r="L1623" s="6" t="str">
        <f>IFERROR(__xludf.DUMMYFUNCTION("""COMPUTED_VALUE"""),"Learn and Earn Poland")</f>
        <v>Learn and Earn Poland</v>
      </c>
      <c r="M1623" s="6" t="str">
        <f>IFERROR(__xludf.DUMMYFUNCTION("""COMPUTED_VALUE"""),"")</f>
        <v/>
      </c>
      <c r="N1623" s="6" t="str">
        <f>IFERROR(__xludf.DUMMYFUNCTION("""COMPUTED_VALUE"""),"")</f>
        <v/>
      </c>
      <c r="O1623" s="87" t="str">
        <f>IFERROR(__xludf.DUMMYFUNCTION("""COMPUTED_VALUE"""),"https://drive.google.com/drive/folders/10T2cTQHqEJZqE-st6uFKPoI?usp=share_link")</f>
        <v>https://drive.google.com/drive/folders/10T2cTQHqEJZqE-st6uFKPoI?usp=share_link</v>
      </c>
      <c r="P1623" s="6" t="str">
        <f>IFERROR(__xludf.DUMMYFUNCTION("""COMPUTED_VALUE"""),"Ryndich Maksym")</f>
        <v>Ryndich Maksym</v>
      </c>
      <c r="Q1623" s="6" t="str">
        <f>IFERROR(__xludf.DUMMYFUNCTION("""COMPUTED_VALUE"""),"MS")</f>
        <v>MS</v>
      </c>
      <c r="R1623" s="6">
        <f>IFERROR(__xludf.DUMMYFUNCTION("""COMPUTED_VALUE"""),0.0)</f>
        <v>0</v>
      </c>
      <c r="S1623" s="6" t="str">
        <f>IFERROR(__xludf.DUMMYFUNCTION("""COMPUTED_VALUE""")," ")</f>
        <v> </v>
      </c>
      <c r="T1623" s="6" t="str">
        <f>IFERROR(__xludf.DUMMYFUNCTION("""COMPUTED_VALUE"""),"")</f>
        <v/>
      </c>
      <c r="U1623" s="6" t="str">
        <f>IFERROR(__xludf.DUMMYFUNCTION("""COMPUTED_VALUE"""),"6")</f>
        <v>6</v>
      </c>
      <c r="V1623" s="6" t="str">
        <f>IFERROR(__xludf.DUMMYFUNCTION("""COMPUTED_VALUE"""),"English")</f>
        <v>English</v>
      </c>
      <c r="W1623" s="6" t="str">
        <f>IFERROR(__xludf.DUMMYFUNCTION("""COMPUTED_VALUE"""),"[]")</f>
        <v>[]</v>
      </c>
      <c r="X1623" s="6" t="str">
        <f>IFERROR(__xludf.DUMMYFUNCTION("""COMPUTED_VALUE"""),"Enrolled")</f>
        <v>Enrolled</v>
      </c>
    </row>
    <row r="1624">
      <c r="A1624" s="6" t="str">
        <f>IFERROR(__xludf.DUMMYFUNCTION("""COMPUTED_VALUE"""),"009-2987")</f>
        <v>009-2987</v>
      </c>
      <c r="B1624" s="6" t="str">
        <f>IFERROR(__xludf.DUMMYFUNCTION("""COMPUTED_VALUE"""),"9")</f>
        <v>9</v>
      </c>
      <c r="C1624" s="6" t="str">
        <f>IFERROR(__xludf.DUMMYFUNCTION("""COMPUTED_VALUE"""),"2987")</f>
        <v>2987</v>
      </c>
      <c r="D1624" s="6" t="str">
        <f>IFERROR(__xludf.DUMMYFUNCTION("""COMPUTED_VALUE"""),"Rospopa")</f>
        <v>Rospopa</v>
      </c>
      <c r="E1624" s="6" t="str">
        <f>IFERROR(__xludf.DUMMYFUNCTION("""COMPUTED_VALUE"""),"")</f>
        <v/>
      </c>
      <c r="F1624" s="6" t="str">
        <f>IFERROR(__xludf.DUMMYFUNCTION("""COMPUTED_VALUE"""),"Kseniia")</f>
        <v>Kseniia</v>
      </c>
      <c r="G1624" s="6" t="str">
        <f>IFERROR(__xludf.DUMMYFUNCTION("""COMPUTED_VALUE"""),"09/11/2011")</f>
        <v>09/11/2011</v>
      </c>
      <c r="H1624" s="6" t="str">
        <f>IFERROR(__xludf.DUMMYFUNCTION("""COMPUTED_VALUE"""),"Self Identify")</f>
        <v>Self Identify</v>
      </c>
      <c r="I1624" s="6" t="str">
        <f>IFERROR(__xludf.DUMMYFUNCTION("""COMPUTED_VALUE"""),"Middle School")</f>
        <v>Middle School</v>
      </c>
      <c r="J1624" s="6" t="str">
        <f>IFERROR(__xludf.DUMMYFUNCTION("""COMPUTED_VALUE"""),"8")</f>
        <v>8</v>
      </c>
      <c r="K1624" s="6" t="str">
        <f>IFERROR(__xludf.DUMMYFUNCTION("""COMPUTED_VALUE"""),"rospopa.kseniia@2hourlearning.com")</f>
        <v>rospopa.kseniia@2hourlearning.com</v>
      </c>
      <c r="L1624" s="6" t="str">
        <f>IFERROR(__xludf.DUMMYFUNCTION("""COMPUTED_VALUE"""),"Learn and Earn Poland")</f>
        <v>Learn and Earn Poland</v>
      </c>
      <c r="M1624" s="6" t="str">
        <f>IFERROR(__xludf.DUMMYFUNCTION("""COMPUTED_VALUE"""),"")</f>
        <v/>
      </c>
      <c r="N1624" s="6" t="str">
        <f>IFERROR(__xludf.DUMMYFUNCTION("""COMPUTED_VALUE"""),"")</f>
        <v/>
      </c>
      <c r="O1624" s="87" t="str">
        <f>IFERROR(__xludf.DUMMYFUNCTION("""COMPUTED_VALUE"""),"https://drive.google.com/drive/folders/10T2cTQHqEJZqE-st6uFKPoI?usp=share_link")</f>
        <v>https://drive.google.com/drive/folders/10T2cTQHqEJZqE-st6uFKPoI?usp=share_link</v>
      </c>
      <c r="P1624" s="6" t="str">
        <f>IFERROR(__xludf.DUMMYFUNCTION("""COMPUTED_VALUE"""),"Rospopa Kseniia")</f>
        <v>Rospopa Kseniia</v>
      </c>
      <c r="Q1624" s="6" t="str">
        <f>IFERROR(__xludf.DUMMYFUNCTION("""COMPUTED_VALUE"""),"MS")</f>
        <v>MS</v>
      </c>
      <c r="R1624" s="6">
        <f>IFERROR(__xludf.DUMMYFUNCTION("""COMPUTED_VALUE"""),0.0)</f>
        <v>0</v>
      </c>
      <c r="S1624" s="6" t="str">
        <f>IFERROR(__xludf.DUMMYFUNCTION("""COMPUTED_VALUE""")," ")</f>
        <v> </v>
      </c>
      <c r="T1624" s="6" t="str">
        <f>IFERROR(__xludf.DUMMYFUNCTION("""COMPUTED_VALUE"""),"")</f>
        <v/>
      </c>
      <c r="U1624" s="6" t="str">
        <f>IFERROR(__xludf.DUMMYFUNCTION("""COMPUTED_VALUE"""),"8")</f>
        <v>8</v>
      </c>
      <c r="V1624" s="6" t="str">
        <f>IFERROR(__xludf.DUMMYFUNCTION("""COMPUTED_VALUE"""),"English")</f>
        <v>English</v>
      </c>
      <c r="W1624" s="6" t="str">
        <f>IFERROR(__xludf.DUMMYFUNCTION("""COMPUTED_VALUE"""),"[]")</f>
        <v>[]</v>
      </c>
      <c r="X1624" s="6" t="str">
        <f>IFERROR(__xludf.DUMMYFUNCTION("""COMPUTED_VALUE"""),"Enrolled")</f>
        <v>Enrolled</v>
      </c>
    </row>
    <row r="1625">
      <c r="A1625" s="6" t="str">
        <f>IFERROR(__xludf.DUMMYFUNCTION("""COMPUTED_VALUE"""),"009-2988")</f>
        <v>009-2988</v>
      </c>
      <c r="B1625" s="6" t="str">
        <f>IFERROR(__xludf.DUMMYFUNCTION("""COMPUTED_VALUE"""),"9")</f>
        <v>9</v>
      </c>
      <c r="C1625" s="6" t="str">
        <f>IFERROR(__xludf.DUMMYFUNCTION("""COMPUTED_VALUE"""),"2988")</f>
        <v>2988</v>
      </c>
      <c r="D1625" s="6" t="str">
        <f>IFERROR(__xludf.DUMMYFUNCTION("""COMPUTED_VALUE"""),"Elvira")</f>
        <v>Elvira</v>
      </c>
      <c r="E1625" s="6" t="str">
        <f>IFERROR(__xludf.DUMMYFUNCTION("""COMPUTED_VALUE"""),"")</f>
        <v/>
      </c>
      <c r="F1625" s="6" t="str">
        <f>IFERROR(__xludf.DUMMYFUNCTION("""COMPUTED_VALUE"""),"Buzian")</f>
        <v>Buzian</v>
      </c>
      <c r="G1625" s="6" t="str">
        <f>IFERROR(__xludf.DUMMYFUNCTION("""COMPUTED_VALUE"""),"11/07/2014")</f>
        <v>11/07/2014</v>
      </c>
      <c r="H1625" s="6" t="str">
        <f>IFERROR(__xludf.DUMMYFUNCTION("""COMPUTED_VALUE"""),"Self Identify")</f>
        <v>Self Identify</v>
      </c>
      <c r="I1625" s="6" t="str">
        <f>IFERROR(__xludf.DUMMYFUNCTION("""COMPUTED_VALUE"""),"Level 2")</f>
        <v>Level 2</v>
      </c>
      <c r="J1625" s="6" t="str">
        <f>IFERROR(__xludf.DUMMYFUNCTION("""COMPUTED_VALUE"""),"5")</f>
        <v>5</v>
      </c>
      <c r="K1625" s="6" t="str">
        <f>IFERROR(__xludf.DUMMYFUNCTION("""COMPUTED_VALUE"""),"elvira.buzian@2hourlearning.com")</f>
        <v>elvira.buzian@2hourlearning.com</v>
      </c>
      <c r="L1625" s="6" t="str">
        <f>IFERROR(__xludf.DUMMYFUNCTION("""COMPUTED_VALUE"""),"Learn and Earn Poland")</f>
        <v>Learn and Earn Poland</v>
      </c>
      <c r="M1625" s="6" t="str">
        <f>IFERROR(__xludf.DUMMYFUNCTION("""COMPUTED_VALUE"""),"")</f>
        <v/>
      </c>
      <c r="N1625" s="6" t="str">
        <f>IFERROR(__xludf.DUMMYFUNCTION("""COMPUTED_VALUE"""),"")</f>
        <v/>
      </c>
      <c r="O1625" s="87" t="str">
        <f>IFERROR(__xludf.DUMMYFUNCTION("""COMPUTED_VALUE"""),"https://drive.google.com/drive/folders/10T2cTQHqEJZqE-st6uFKPoI?usp=share_link")</f>
        <v>https://drive.google.com/drive/folders/10T2cTQHqEJZqE-st6uFKPoI?usp=share_link</v>
      </c>
      <c r="P1625" s="6" t="str">
        <f>IFERROR(__xludf.DUMMYFUNCTION("""COMPUTED_VALUE"""),"Elvira Buzian")</f>
        <v>Elvira Buzian</v>
      </c>
      <c r="Q1625" s="6" t="str">
        <f>IFERROR(__xludf.DUMMYFUNCTION("""COMPUTED_VALUE"""),"L2")</f>
        <v>L2</v>
      </c>
      <c r="R1625" s="6">
        <f>IFERROR(__xludf.DUMMYFUNCTION("""COMPUTED_VALUE"""),2.0)</f>
        <v>2</v>
      </c>
      <c r="S1625" s="6" t="str">
        <f>IFERROR(__xludf.DUMMYFUNCTION("""COMPUTED_VALUE""")," ")</f>
        <v> </v>
      </c>
      <c r="T1625" s="6" t="str">
        <f>IFERROR(__xludf.DUMMYFUNCTION("""COMPUTED_VALUE"""),"")</f>
        <v/>
      </c>
      <c r="U1625" s="6" t="str">
        <f>IFERROR(__xludf.DUMMYFUNCTION("""COMPUTED_VALUE"""),"5")</f>
        <v>5</v>
      </c>
      <c r="V1625" s="6" t="str">
        <f>IFERROR(__xludf.DUMMYFUNCTION("""COMPUTED_VALUE"""),"English")</f>
        <v>English</v>
      </c>
      <c r="W1625" s="6" t="str">
        <f>IFERROR(__xludf.DUMMYFUNCTION("""COMPUTED_VALUE"""),"[]")</f>
        <v>[]</v>
      </c>
      <c r="X1625" s="6" t="str">
        <f>IFERROR(__xludf.DUMMYFUNCTION("""COMPUTED_VALUE"""),"Enrolled")</f>
        <v>Enrolled</v>
      </c>
    </row>
    <row r="1626">
      <c r="A1626" s="6" t="str">
        <f>IFERROR(__xludf.DUMMYFUNCTION("""COMPUTED_VALUE"""),"009-2990")</f>
        <v>009-2990</v>
      </c>
      <c r="B1626" s="6" t="str">
        <f>IFERROR(__xludf.DUMMYFUNCTION("""COMPUTED_VALUE"""),"9")</f>
        <v>9</v>
      </c>
      <c r="C1626" s="6" t="str">
        <f>IFERROR(__xludf.DUMMYFUNCTION("""COMPUTED_VALUE"""),"2990")</f>
        <v>2990</v>
      </c>
      <c r="D1626" s="6" t="str">
        <f>IFERROR(__xludf.DUMMYFUNCTION("""COMPUTED_VALUE"""),"Veronika")</f>
        <v>Veronika</v>
      </c>
      <c r="E1626" s="6" t="str">
        <f>IFERROR(__xludf.DUMMYFUNCTION("""COMPUTED_VALUE"""),"")</f>
        <v/>
      </c>
      <c r="F1626" s="6" t="str">
        <f>IFERROR(__xludf.DUMMYFUNCTION("""COMPUTED_VALUE"""),"Veikon")</f>
        <v>Veikon</v>
      </c>
      <c r="G1626" s="6" t="str">
        <f>IFERROR(__xludf.DUMMYFUNCTION("""COMPUTED_VALUE"""),"12/26/2011")</f>
        <v>12/26/2011</v>
      </c>
      <c r="H1626" s="6" t="str">
        <f>IFERROR(__xludf.DUMMYFUNCTION("""COMPUTED_VALUE"""),"Self Identify")</f>
        <v>Self Identify</v>
      </c>
      <c r="I1626" s="6" t="str">
        <f>IFERROR(__xludf.DUMMYFUNCTION("""COMPUTED_VALUE"""),"Middle School")</f>
        <v>Middle School</v>
      </c>
      <c r="J1626" s="6" t="str">
        <f>IFERROR(__xludf.DUMMYFUNCTION("""COMPUTED_VALUE"""),"8")</f>
        <v>8</v>
      </c>
      <c r="K1626" s="6" t="str">
        <f>IFERROR(__xludf.DUMMYFUNCTION("""COMPUTED_VALUE"""),"veronika.veikon@2hourlearning.com")</f>
        <v>veronika.veikon@2hourlearning.com</v>
      </c>
      <c r="L1626" s="6" t="str">
        <f>IFERROR(__xludf.DUMMYFUNCTION("""COMPUTED_VALUE"""),"Learn and Earn Poland")</f>
        <v>Learn and Earn Poland</v>
      </c>
      <c r="M1626" s="6" t="str">
        <f>IFERROR(__xludf.DUMMYFUNCTION("""COMPUTED_VALUE"""),"")</f>
        <v/>
      </c>
      <c r="N1626" s="6" t="str">
        <f>IFERROR(__xludf.DUMMYFUNCTION("""COMPUTED_VALUE"""),"")</f>
        <v/>
      </c>
      <c r="O1626" s="87" t="str">
        <f>IFERROR(__xludf.DUMMYFUNCTION("""COMPUTED_VALUE"""),"https://drive.google.com/drive/folders/10T2cTQHqEJZqE-st6uFKPoI?usp=share_link")</f>
        <v>https://drive.google.com/drive/folders/10T2cTQHqEJZqE-st6uFKPoI?usp=share_link</v>
      </c>
      <c r="P1626" s="6" t="str">
        <f>IFERROR(__xludf.DUMMYFUNCTION("""COMPUTED_VALUE"""),"Veronika Veikon")</f>
        <v>Veronika Veikon</v>
      </c>
      <c r="Q1626" s="6" t="str">
        <f>IFERROR(__xludf.DUMMYFUNCTION("""COMPUTED_VALUE"""),"MS")</f>
        <v>MS</v>
      </c>
      <c r="R1626" s="6">
        <f>IFERROR(__xludf.DUMMYFUNCTION("""COMPUTED_VALUE"""),0.0)</f>
        <v>0</v>
      </c>
      <c r="S1626" s="6" t="str">
        <f>IFERROR(__xludf.DUMMYFUNCTION("""COMPUTED_VALUE""")," ")</f>
        <v> </v>
      </c>
      <c r="T1626" s="6" t="str">
        <f>IFERROR(__xludf.DUMMYFUNCTION("""COMPUTED_VALUE"""),"")</f>
        <v/>
      </c>
      <c r="U1626" s="6" t="str">
        <f>IFERROR(__xludf.DUMMYFUNCTION("""COMPUTED_VALUE"""),"8")</f>
        <v>8</v>
      </c>
      <c r="V1626" s="6" t="str">
        <f>IFERROR(__xludf.DUMMYFUNCTION("""COMPUTED_VALUE"""),"English")</f>
        <v>English</v>
      </c>
      <c r="W1626" s="6" t="str">
        <f>IFERROR(__xludf.DUMMYFUNCTION("""COMPUTED_VALUE"""),"[]")</f>
        <v>[]</v>
      </c>
      <c r="X1626" s="6" t="str">
        <f>IFERROR(__xludf.DUMMYFUNCTION("""COMPUTED_VALUE"""),"Enrolled")</f>
        <v>Enrolled</v>
      </c>
    </row>
    <row r="1627">
      <c r="A1627" s="6" t="str">
        <f>IFERROR(__xludf.DUMMYFUNCTION("""COMPUTED_VALUE"""),"009-2991")</f>
        <v>009-2991</v>
      </c>
      <c r="B1627" s="6" t="str">
        <f>IFERROR(__xludf.DUMMYFUNCTION("""COMPUTED_VALUE"""),"9")</f>
        <v>9</v>
      </c>
      <c r="C1627" s="6" t="str">
        <f>IFERROR(__xludf.DUMMYFUNCTION("""COMPUTED_VALUE"""),"2991")</f>
        <v>2991</v>
      </c>
      <c r="D1627" s="6" t="str">
        <f>IFERROR(__xludf.DUMMYFUNCTION("""COMPUTED_VALUE"""),"Emeshe")</f>
        <v>Emeshe</v>
      </c>
      <c r="E1627" s="6" t="str">
        <f>IFERROR(__xludf.DUMMYFUNCTION("""COMPUTED_VALUE"""),"")</f>
        <v/>
      </c>
      <c r="F1627" s="6" t="str">
        <f>IFERROR(__xludf.DUMMYFUNCTION("""COMPUTED_VALUE"""),"Sabov")</f>
        <v>Sabov</v>
      </c>
      <c r="G1627" s="6" t="str">
        <f>IFERROR(__xludf.DUMMYFUNCTION("""COMPUTED_VALUE"""),"09/19/2012")</f>
        <v>09/19/2012</v>
      </c>
      <c r="H1627" s="6" t="str">
        <f>IFERROR(__xludf.DUMMYFUNCTION("""COMPUTED_VALUE"""),"Self Identify")</f>
        <v>Self Identify</v>
      </c>
      <c r="I1627" s="6" t="str">
        <f>IFERROR(__xludf.DUMMYFUNCTION("""COMPUTED_VALUE"""),"Middle School")</f>
        <v>Middle School</v>
      </c>
      <c r="J1627" s="6" t="str">
        <f>IFERROR(__xludf.DUMMYFUNCTION("""COMPUTED_VALUE"""),"7")</f>
        <v>7</v>
      </c>
      <c r="K1627" s="6" t="str">
        <f>IFERROR(__xludf.DUMMYFUNCTION("""COMPUTED_VALUE"""),"emeshe.sabov@2hourlearning.com")</f>
        <v>emeshe.sabov@2hourlearning.com</v>
      </c>
      <c r="L1627" s="6" t="str">
        <f>IFERROR(__xludf.DUMMYFUNCTION("""COMPUTED_VALUE"""),"Learn and Earn Poland")</f>
        <v>Learn and Earn Poland</v>
      </c>
      <c r="M1627" s="6" t="str">
        <f>IFERROR(__xludf.DUMMYFUNCTION("""COMPUTED_VALUE"""),"")</f>
        <v/>
      </c>
      <c r="N1627" s="6" t="str">
        <f>IFERROR(__xludf.DUMMYFUNCTION("""COMPUTED_VALUE"""),"")</f>
        <v/>
      </c>
      <c r="O1627" s="87" t="str">
        <f>IFERROR(__xludf.DUMMYFUNCTION("""COMPUTED_VALUE"""),"https://drive.google.com/drive/folders/10T2cTQHqEJZqE-st6uFKPoI?usp=share_link")</f>
        <v>https://drive.google.com/drive/folders/10T2cTQHqEJZqE-st6uFKPoI?usp=share_link</v>
      </c>
      <c r="P1627" s="6" t="str">
        <f>IFERROR(__xludf.DUMMYFUNCTION("""COMPUTED_VALUE"""),"Emeshe Sabov")</f>
        <v>Emeshe Sabov</v>
      </c>
      <c r="Q1627" s="6" t="str">
        <f>IFERROR(__xludf.DUMMYFUNCTION("""COMPUTED_VALUE"""),"MS")</f>
        <v>MS</v>
      </c>
      <c r="R1627" s="6">
        <f>IFERROR(__xludf.DUMMYFUNCTION("""COMPUTED_VALUE"""),0.0)</f>
        <v>0</v>
      </c>
      <c r="S1627" s="6" t="str">
        <f>IFERROR(__xludf.DUMMYFUNCTION("""COMPUTED_VALUE""")," ")</f>
        <v> </v>
      </c>
      <c r="T1627" s="6" t="str">
        <f>IFERROR(__xludf.DUMMYFUNCTION("""COMPUTED_VALUE"""),"")</f>
        <v/>
      </c>
      <c r="U1627" s="6" t="str">
        <f>IFERROR(__xludf.DUMMYFUNCTION("""COMPUTED_VALUE"""),"7")</f>
        <v>7</v>
      </c>
      <c r="V1627" s="6" t="str">
        <f>IFERROR(__xludf.DUMMYFUNCTION("""COMPUTED_VALUE"""),"English")</f>
        <v>English</v>
      </c>
      <c r="W1627" s="6" t="str">
        <f>IFERROR(__xludf.DUMMYFUNCTION("""COMPUTED_VALUE"""),"[]")</f>
        <v>[]</v>
      </c>
      <c r="X1627" s="6" t="str">
        <f>IFERROR(__xludf.DUMMYFUNCTION("""COMPUTED_VALUE"""),"Enrolled")</f>
        <v>Enrolled</v>
      </c>
    </row>
    <row r="1628">
      <c r="A1628" s="6" t="str">
        <f>IFERROR(__xludf.DUMMYFUNCTION("""COMPUTED_VALUE"""),"009-2992")</f>
        <v>009-2992</v>
      </c>
      <c r="B1628" s="6" t="str">
        <f>IFERROR(__xludf.DUMMYFUNCTION("""COMPUTED_VALUE"""),"9")</f>
        <v>9</v>
      </c>
      <c r="C1628" s="6" t="str">
        <f>IFERROR(__xludf.DUMMYFUNCTION("""COMPUTED_VALUE"""),"2992")</f>
        <v>2992</v>
      </c>
      <c r="D1628" s="6" t="str">
        <f>IFERROR(__xludf.DUMMYFUNCTION("""COMPUTED_VALUE"""),"Daniel")</f>
        <v>Daniel</v>
      </c>
      <c r="E1628" s="6" t="str">
        <f>IFERROR(__xludf.DUMMYFUNCTION("""COMPUTED_VALUE"""),"")</f>
        <v/>
      </c>
      <c r="F1628" s="6" t="str">
        <f>IFERROR(__xludf.DUMMYFUNCTION("""COMPUTED_VALUE"""),"Lesyk")</f>
        <v>Lesyk</v>
      </c>
      <c r="G1628" s="6" t="str">
        <f>IFERROR(__xludf.DUMMYFUNCTION("""COMPUTED_VALUE"""),"07/20/2013")</f>
        <v>07/20/2013</v>
      </c>
      <c r="H1628" s="6" t="str">
        <f>IFERROR(__xludf.DUMMYFUNCTION("""COMPUTED_VALUE"""),"Self Identify")</f>
        <v>Self Identify</v>
      </c>
      <c r="I1628" s="6" t="str">
        <f>IFERROR(__xludf.DUMMYFUNCTION("""COMPUTED_VALUE"""),"Middle School")</f>
        <v>Middle School</v>
      </c>
      <c r="J1628" s="6" t="str">
        <f>IFERROR(__xludf.DUMMYFUNCTION("""COMPUTED_VALUE"""),"6")</f>
        <v>6</v>
      </c>
      <c r="K1628" s="6" t="str">
        <f>IFERROR(__xludf.DUMMYFUNCTION("""COMPUTED_VALUE"""),"daniel.lesyk@2hourlearning.com")</f>
        <v>daniel.lesyk@2hourlearning.com</v>
      </c>
      <c r="L1628" s="6" t="str">
        <f>IFERROR(__xludf.DUMMYFUNCTION("""COMPUTED_VALUE"""),"Learn and Earn Poland")</f>
        <v>Learn and Earn Poland</v>
      </c>
      <c r="M1628" s="6" t="str">
        <f>IFERROR(__xludf.DUMMYFUNCTION("""COMPUTED_VALUE"""),"")</f>
        <v/>
      </c>
      <c r="N1628" s="6" t="str">
        <f>IFERROR(__xludf.DUMMYFUNCTION("""COMPUTED_VALUE"""),"")</f>
        <v/>
      </c>
      <c r="O1628" s="87" t="str">
        <f>IFERROR(__xludf.DUMMYFUNCTION("""COMPUTED_VALUE"""),"https://drive.google.com/drive/folders/10T2cTQHqEJZqE-st6uFKPoI?usp=share_link")</f>
        <v>https://drive.google.com/drive/folders/10T2cTQHqEJZqE-st6uFKPoI?usp=share_link</v>
      </c>
      <c r="P1628" s="6" t="str">
        <f>IFERROR(__xludf.DUMMYFUNCTION("""COMPUTED_VALUE"""),"Daniel Lesyk")</f>
        <v>Daniel Lesyk</v>
      </c>
      <c r="Q1628" s="6" t="str">
        <f>IFERROR(__xludf.DUMMYFUNCTION("""COMPUTED_VALUE"""),"MS")</f>
        <v>MS</v>
      </c>
      <c r="R1628" s="6">
        <f>IFERROR(__xludf.DUMMYFUNCTION("""COMPUTED_VALUE"""),0.0)</f>
        <v>0</v>
      </c>
      <c r="S1628" s="6" t="str">
        <f>IFERROR(__xludf.DUMMYFUNCTION("""COMPUTED_VALUE""")," ")</f>
        <v> </v>
      </c>
      <c r="T1628" s="6" t="str">
        <f>IFERROR(__xludf.DUMMYFUNCTION("""COMPUTED_VALUE"""),"")</f>
        <v/>
      </c>
      <c r="U1628" s="6" t="str">
        <f>IFERROR(__xludf.DUMMYFUNCTION("""COMPUTED_VALUE"""),"6")</f>
        <v>6</v>
      </c>
      <c r="V1628" s="6" t="str">
        <f>IFERROR(__xludf.DUMMYFUNCTION("""COMPUTED_VALUE"""),"English")</f>
        <v>English</v>
      </c>
      <c r="W1628" s="6" t="str">
        <f>IFERROR(__xludf.DUMMYFUNCTION("""COMPUTED_VALUE"""),"[]")</f>
        <v>[]</v>
      </c>
      <c r="X1628" s="6" t="str">
        <f>IFERROR(__xludf.DUMMYFUNCTION("""COMPUTED_VALUE"""),"Enrolled")</f>
        <v>Enrolled</v>
      </c>
    </row>
    <row r="1629">
      <c r="A1629" s="6" t="str">
        <f>IFERROR(__xludf.DUMMYFUNCTION("""COMPUTED_VALUE"""),"009-2993")</f>
        <v>009-2993</v>
      </c>
      <c r="B1629" s="6" t="str">
        <f>IFERROR(__xludf.DUMMYFUNCTION("""COMPUTED_VALUE"""),"9")</f>
        <v>9</v>
      </c>
      <c r="C1629" s="6" t="str">
        <f>IFERROR(__xludf.DUMMYFUNCTION("""COMPUTED_VALUE"""),"2993")</f>
        <v>2993</v>
      </c>
      <c r="D1629" s="6" t="str">
        <f>IFERROR(__xludf.DUMMYFUNCTION("""COMPUTED_VALUE"""),"Yelyzaveta")</f>
        <v>Yelyzaveta</v>
      </c>
      <c r="E1629" s="6" t="str">
        <f>IFERROR(__xludf.DUMMYFUNCTION("""COMPUTED_VALUE"""),"")</f>
        <v/>
      </c>
      <c r="F1629" s="6" t="str">
        <f>IFERROR(__xludf.DUMMYFUNCTION("""COMPUTED_VALUE"""),"Lemesh")</f>
        <v>Lemesh</v>
      </c>
      <c r="G1629" s="6" t="str">
        <f>IFERROR(__xludf.DUMMYFUNCTION("""COMPUTED_VALUE"""),"07/18/2012")</f>
        <v>07/18/2012</v>
      </c>
      <c r="H1629" s="6" t="str">
        <f>IFERROR(__xludf.DUMMYFUNCTION("""COMPUTED_VALUE"""),"Self Identify")</f>
        <v>Self Identify</v>
      </c>
      <c r="I1629" s="6" t="str">
        <f>IFERROR(__xludf.DUMMYFUNCTION("""COMPUTED_VALUE"""),"Middle School")</f>
        <v>Middle School</v>
      </c>
      <c r="J1629" s="6" t="str">
        <f>IFERROR(__xludf.DUMMYFUNCTION("""COMPUTED_VALUE"""),"7")</f>
        <v>7</v>
      </c>
      <c r="K1629" s="6" t="str">
        <f>IFERROR(__xludf.DUMMYFUNCTION("""COMPUTED_VALUE"""),"yelyzaveta.lemesh@2hourlearning.com")</f>
        <v>yelyzaveta.lemesh@2hourlearning.com</v>
      </c>
      <c r="L1629" s="6" t="str">
        <f>IFERROR(__xludf.DUMMYFUNCTION("""COMPUTED_VALUE"""),"Learn and Earn Poland")</f>
        <v>Learn and Earn Poland</v>
      </c>
      <c r="M1629" s="6" t="str">
        <f>IFERROR(__xludf.DUMMYFUNCTION("""COMPUTED_VALUE"""),"")</f>
        <v/>
      </c>
      <c r="N1629" s="6" t="str">
        <f>IFERROR(__xludf.DUMMYFUNCTION("""COMPUTED_VALUE"""),"")</f>
        <v/>
      </c>
      <c r="O1629" s="87" t="str">
        <f>IFERROR(__xludf.DUMMYFUNCTION("""COMPUTED_VALUE"""),"https://drive.google.com/drive/folders/10T2cTQHqEJZqE-st6uFKPoI?usp=share_link")</f>
        <v>https://drive.google.com/drive/folders/10T2cTQHqEJZqE-st6uFKPoI?usp=share_link</v>
      </c>
      <c r="P1629" s="6" t="str">
        <f>IFERROR(__xludf.DUMMYFUNCTION("""COMPUTED_VALUE"""),"Yelyzaveta Lemesh")</f>
        <v>Yelyzaveta Lemesh</v>
      </c>
      <c r="Q1629" s="6" t="str">
        <f>IFERROR(__xludf.DUMMYFUNCTION("""COMPUTED_VALUE"""),"MS")</f>
        <v>MS</v>
      </c>
      <c r="R1629" s="6">
        <f>IFERROR(__xludf.DUMMYFUNCTION("""COMPUTED_VALUE"""),0.0)</f>
        <v>0</v>
      </c>
      <c r="S1629" s="6" t="str">
        <f>IFERROR(__xludf.DUMMYFUNCTION("""COMPUTED_VALUE""")," ")</f>
        <v> </v>
      </c>
      <c r="T1629" s="6" t="str">
        <f>IFERROR(__xludf.DUMMYFUNCTION("""COMPUTED_VALUE"""),"")</f>
        <v/>
      </c>
      <c r="U1629" s="6" t="str">
        <f>IFERROR(__xludf.DUMMYFUNCTION("""COMPUTED_VALUE"""),"7")</f>
        <v>7</v>
      </c>
      <c r="V1629" s="6" t="str">
        <f>IFERROR(__xludf.DUMMYFUNCTION("""COMPUTED_VALUE"""),"English")</f>
        <v>English</v>
      </c>
      <c r="W1629" s="6" t="str">
        <f>IFERROR(__xludf.DUMMYFUNCTION("""COMPUTED_VALUE"""),"[]")</f>
        <v>[]</v>
      </c>
      <c r="X1629" s="6" t="str">
        <f>IFERROR(__xludf.DUMMYFUNCTION("""COMPUTED_VALUE"""),"Enrolled")</f>
        <v>Enrolled</v>
      </c>
    </row>
    <row r="1630">
      <c r="A1630" s="6" t="str">
        <f>IFERROR(__xludf.DUMMYFUNCTION("""COMPUTED_VALUE"""),"009-2994")</f>
        <v>009-2994</v>
      </c>
      <c r="B1630" s="6" t="str">
        <f>IFERROR(__xludf.DUMMYFUNCTION("""COMPUTED_VALUE"""),"9")</f>
        <v>9</v>
      </c>
      <c r="C1630" s="6" t="str">
        <f>IFERROR(__xludf.DUMMYFUNCTION("""COMPUTED_VALUE"""),"2994")</f>
        <v>2994</v>
      </c>
      <c r="D1630" s="6" t="str">
        <f>IFERROR(__xludf.DUMMYFUNCTION("""COMPUTED_VALUE"""),"Vadym")</f>
        <v>Vadym</v>
      </c>
      <c r="E1630" s="6" t="str">
        <f>IFERROR(__xludf.DUMMYFUNCTION("""COMPUTED_VALUE"""),"")</f>
        <v/>
      </c>
      <c r="F1630" s="6" t="str">
        <f>IFERROR(__xludf.DUMMYFUNCTION("""COMPUTED_VALUE"""),"Shopa")</f>
        <v>Shopa</v>
      </c>
      <c r="G1630" s="6" t="str">
        <f>IFERROR(__xludf.DUMMYFUNCTION("""COMPUTED_VALUE"""),"06/09/2010")</f>
        <v>06/09/2010</v>
      </c>
      <c r="H1630" s="6" t="str">
        <f>IFERROR(__xludf.DUMMYFUNCTION("""COMPUTED_VALUE"""),"Self Identify")</f>
        <v>Self Identify</v>
      </c>
      <c r="I1630" s="6" t="str">
        <f>IFERROR(__xludf.DUMMYFUNCTION("""COMPUTED_VALUE"""),"High School")</f>
        <v>High School</v>
      </c>
      <c r="J1630" s="6" t="str">
        <f>IFERROR(__xludf.DUMMYFUNCTION("""COMPUTED_VALUE"""),"9")</f>
        <v>9</v>
      </c>
      <c r="K1630" s="6" t="str">
        <f>IFERROR(__xludf.DUMMYFUNCTION("""COMPUTED_VALUE"""),"vadym.shopa@2hourlearning.com")</f>
        <v>vadym.shopa@2hourlearning.com</v>
      </c>
      <c r="L1630" s="6" t="str">
        <f>IFERROR(__xludf.DUMMYFUNCTION("""COMPUTED_VALUE"""),"Learn and Earn Poland")</f>
        <v>Learn and Earn Poland</v>
      </c>
      <c r="M1630" s="6" t="str">
        <f>IFERROR(__xludf.DUMMYFUNCTION("""COMPUTED_VALUE"""),"")</f>
        <v/>
      </c>
      <c r="N1630" s="6" t="str">
        <f>IFERROR(__xludf.DUMMYFUNCTION("""COMPUTED_VALUE"""),"")</f>
        <v/>
      </c>
      <c r="O1630" s="87" t="str">
        <f>IFERROR(__xludf.DUMMYFUNCTION("""COMPUTED_VALUE"""),"https://drive.google.com/drive/folders/10T2cTQHqEJZqE-st6uFKPoI?usp=share_link")</f>
        <v>https://drive.google.com/drive/folders/10T2cTQHqEJZqE-st6uFKPoI?usp=share_link</v>
      </c>
      <c r="P1630" s="6" t="str">
        <f>IFERROR(__xludf.DUMMYFUNCTION("""COMPUTED_VALUE"""),"Vadym Shopa")</f>
        <v>Vadym Shopa</v>
      </c>
      <c r="Q1630" s="6" t="str">
        <f>IFERROR(__xludf.DUMMYFUNCTION("""COMPUTED_VALUE"""),"HS")</f>
        <v>HS</v>
      </c>
      <c r="R1630" s="6">
        <f>IFERROR(__xludf.DUMMYFUNCTION("""COMPUTED_VALUE"""),0.0)</f>
        <v>0</v>
      </c>
      <c r="S1630" s="6" t="str">
        <f>IFERROR(__xludf.DUMMYFUNCTION("""COMPUTED_VALUE""")," ")</f>
        <v> </v>
      </c>
      <c r="T1630" s="6" t="str">
        <f>IFERROR(__xludf.DUMMYFUNCTION("""COMPUTED_VALUE"""),"")</f>
        <v/>
      </c>
      <c r="U1630" s="6" t="str">
        <f>IFERROR(__xludf.DUMMYFUNCTION("""COMPUTED_VALUE"""),"9")</f>
        <v>9</v>
      </c>
      <c r="V1630" s="6" t="str">
        <f>IFERROR(__xludf.DUMMYFUNCTION("""COMPUTED_VALUE"""),"English")</f>
        <v>English</v>
      </c>
      <c r="W1630" s="6" t="str">
        <f>IFERROR(__xludf.DUMMYFUNCTION("""COMPUTED_VALUE"""),"[]")</f>
        <v>[]</v>
      </c>
      <c r="X1630" s="6" t="str">
        <f>IFERROR(__xludf.DUMMYFUNCTION("""COMPUTED_VALUE"""),"Enrolled")</f>
        <v>Enrolled</v>
      </c>
    </row>
    <row r="1631">
      <c r="A1631" s="6" t="str">
        <f>IFERROR(__xludf.DUMMYFUNCTION("""COMPUTED_VALUE"""),"009-2995")</f>
        <v>009-2995</v>
      </c>
      <c r="B1631" s="6" t="str">
        <f>IFERROR(__xludf.DUMMYFUNCTION("""COMPUTED_VALUE"""),"9")</f>
        <v>9</v>
      </c>
      <c r="C1631" s="6" t="str">
        <f>IFERROR(__xludf.DUMMYFUNCTION("""COMPUTED_VALUE"""),"2995")</f>
        <v>2995</v>
      </c>
      <c r="D1631" s="6" t="str">
        <f>IFERROR(__xludf.DUMMYFUNCTION("""COMPUTED_VALUE"""),"Kapusta")</f>
        <v>Kapusta</v>
      </c>
      <c r="E1631" s="6" t="str">
        <f>IFERROR(__xludf.DUMMYFUNCTION("""COMPUTED_VALUE"""),"")</f>
        <v/>
      </c>
      <c r="F1631" s="6" t="str">
        <f>IFERROR(__xludf.DUMMYFUNCTION("""COMPUTED_VALUE"""),"Nazarii")</f>
        <v>Nazarii</v>
      </c>
      <c r="G1631" s="6" t="str">
        <f>IFERROR(__xludf.DUMMYFUNCTION("""COMPUTED_VALUE"""),"01/17/2007")</f>
        <v>01/17/2007</v>
      </c>
      <c r="H1631" s="6" t="str">
        <f>IFERROR(__xludf.DUMMYFUNCTION("""COMPUTED_VALUE"""),"Self Identify")</f>
        <v>Self Identify</v>
      </c>
      <c r="I1631" s="6" t="str">
        <f>IFERROR(__xludf.DUMMYFUNCTION("""COMPUTED_VALUE"""),"High School")</f>
        <v>High School</v>
      </c>
      <c r="J1631" s="6" t="str">
        <f>IFERROR(__xludf.DUMMYFUNCTION("""COMPUTED_VALUE"""),"12")</f>
        <v>12</v>
      </c>
      <c r="K1631" s="6" t="str">
        <f>IFERROR(__xludf.DUMMYFUNCTION("""COMPUTED_VALUE"""),"kapusta.nazarii@2hourlearning.com")</f>
        <v>kapusta.nazarii@2hourlearning.com</v>
      </c>
      <c r="L1631" s="6" t="str">
        <f>IFERROR(__xludf.DUMMYFUNCTION("""COMPUTED_VALUE"""),"Learn and Earn Poland")</f>
        <v>Learn and Earn Poland</v>
      </c>
      <c r="M1631" s="6" t="str">
        <f>IFERROR(__xludf.DUMMYFUNCTION("""COMPUTED_VALUE"""),"")</f>
        <v/>
      </c>
      <c r="N1631" s="6" t="str">
        <f>IFERROR(__xludf.DUMMYFUNCTION("""COMPUTED_VALUE"""),"")</f>
        <v/>
      </c>
      <c r="O1631" s="87" t="str">
        <f>IFERROR(__xludf.DUMMYFUNCTION("""COMPUTED_VALUE"""),"https://drive.google.com/drive/folders/10T2cTQHqEJZqE-st6uFKPoI?usp=share_link")</f>
        <v>https://drive.google.com/drive/folders/10T2cTQHqEJZqE-st6uFKPoI?usp=share_link</v>
      </c>
      <c r="P1631" s="6" t="str">
        <f>IFERROR(__xludf.DUMMYFUNCTION("""COMPUTED_VALUE"""),"Kapusta Nazarii")</f>
        <v>Kapusta Nazarii</v>
      </c>
      <c r="Q1631" s="6" t="str">
        <f>IFERROR(__xludf.DUMMYFUNCTION("""COMPUTED_VALUE"""),"HS")</f>
        <v>HS</v>
      </c>
      <c r="R1631" s="6">
        <f>IFERROR(__xludf.DUMMYFUNCTION("""COMPUTED_VALUE"""),0.0)</f>
        <v>0</v>
      </c>
      <c r="S1631" s="6" t="str">
        <f>IFERROR(__xludf.DUMMYFUNCTION("""COMPUTED_VALUE""")," ")</f>
        <v> </v>
      </c>
      <c r="T1631" s="6" t="str">
        <f>IFERROR(__xludf.DUMMYFUNCTION("""COMPUTED_VALUE"""),"")</f>
        <v/>
      </c>
      <c r="U1631" s="6" t="str">
        <f>IFERROR(__xludf.DUMMYFUNCTION("""COMPUTED_VALUE"""),"12")</f>
        <v>12</v>
      </c>
      <c r="V1631" s="6" t="str">
        <f>IFERROR(__xludf.DUMMYFUNCTION("""COMPUTED_VALUE"""),"English")</f>
        <v>English</v>
      </c>
      <c r="W1631" s="6" t="str">
        <f>IFERROR(__xludf.DUMMYFUNCTION("""COMPUTED_VALUE"""),"[]")</f>
        <v>[]</v>
      </c>
      <c r="X1631" s="6" t="str">
        <f>IFERROR(__xludf.DUMMYFUNCTION("""COMPUTED_VALUE"""),"Enrolled")</f>
        <v>Enrolled</v>
      </c>
    </row>
    <row r="1632">
      <c r="A1632" s="6" t="str">
        <f>IFERROR(__xludf.DUMMYFUNCTION("""COMPUTED_VALUE"""),"009-2996")</f>
        <v>009-2996</v>
      </c>
      <c r="B1632" s="6" t="str">
        <f>IFERROR(__xludf.DUMMYFUNCTION("""COMPUTED_VALUE"""),"9")</f>
        <v>9</v>
      </c>
      <c r="C1632" s="6" t="str">
        <f>IFERROR(__xludf.DUMMYFUNCTION("""COMPUTED_VALUE"""),"2996")</f>
        <v>2996</v>
      </c>
      <c r="D1632" s="6" t="str">
        <f>IFERROR(__xludf.DUMMYFUNCTION("""COMPUTED_VALUE"""),"Mariia")</f>
        <v>Mariia</v>
      </c>
      <c r="E1632" s="6" t="str">
        <f>IFERROR(__xludf.DUMMYFUNCTION("""COMPUTED_VALUE"""),"")</f>
        <v/>
      </c>
      <c r="F1632" s="6" t="str">
        <f>IFERROR(__xludf.DUMMYFUNCTION("""COMPUTED_VALUE"""),"Lukasevych")</f>
        <v>Lukasevych</v>
      </c>
      <c r="G1632" s="6" t="str">
        <f>IFERROR(__xludf.DUMMYFUNCTION("""COMPUTED_VALUE"""),"09/18/2015")</f>
        <v>09/18/2015</v>
      </c>
      <c r="H1632" s="6" t="str">
        <f>IFERROR(__xludf.DUMMYFUNCTION("""COMPUTED_VALUE"""),"Self Identify")</f>
        <v>Self Identify</v>
      </c>
      <c r="I1632" s="6" t="str">
        <f>IFERROR(__xludf.DUMMYFUNCTION("""COMPUTED_VALUE"""),"Level 2")</f>
        <v>Level 2</v>
      </c>
      <c r="J1632" s="6" t="str">
        <f>IFERROR(__xludf.DUMMYFUNCTION("""COMPUTED_VALUE"""),"4")</f>
        <v>4</v>
      </c>
      <c r="K1632" s="6" t="str">
        <f>IFERROR(__xludf.DUMMYFUNCTION("""COMPUTED_VALUE"""),"mariia.lukasevych@2hourlearning.com")</f>
        <v>mariia.lukasevych@2hourlearning.com</v>
      </c>
      <c r="L1632" s="6" t="str">
        <f>IFERROR(__xludf.DUMMYFUNCTION("""COMPUTED_VALUE"""),"Learn and Earn Poland")</f>
        <v>Learn and Earn Poland</v>
      </c>
      <c r="M1632" s="6" t="str">
        <f>IFERROR(__xludf.DUMMYFUNCTION("""COMPUTED_VALUE"""),"")</f>
        <v/>
      </c>
      <c r="N1632" s="6" t="str">
        <f>IFERROR(__xludf.DUMMYFUNCTION("""COMPUTED_VALUE"""),"")</f>
        <v/>
      </c>
      <c r="O1632" s="87" t="str">
        <f>IFERROR(__xludf.DUMMYFUNCTION("""COMPUTED_VALUE"""),"https://drive.google.com/drive/folders/10T2cTQHqEJZqE-st6uFKPoI?usp=share_link")</f>
        <v>https://drive.google.com/drive/folders/10T2cTQHqEJZqE-st6uFKPoI?usp=share_link</v>
      </c>
      <c r="P1632" s="6" t="str">
        <f>IFERROR(__xludf.DUMMYFUNCTION("""COMPUTED_VALUE"""),"Mariia Lukasevych")</f>
        <v>Mariia Lukasevych</v>
      </c>
      <c r="Q1632" s="6" t="str">
        <f>IFERROR(__xludf.DUMMYFUNCTION("""COMPUTED_VALUE"""),"L2")</f>
        <v>L2</v>
      </c>
      <c r="R1632" s="6">
        <f>IFERROR(__xludf.DUMMYFUNCTION("""COMPUTED_VALUE"""),2.0)</f>
        <v>2</v>
      </c>
      <c r="S1632" s="6" t="str">
        <f>IFERROR(__xludf.DUMMYFUNCTION("""COMPUTED_VALUE""")," ")</f>
        <v> </v>
      </c>
      <c r="T1632" s="6" t="str">
        <f>IFERROR(__xludf.DUMMYFUNCTION("""COMPUTED_VALUE"""),"")</f>
        <v/>
      </c>
      <c r="U1632" s="6" t="str">
        <f>IFERROR(__xludf.DUMMYFUNCTION("""COMPUTED_VALUE"""),"4")</f>
        <v>4</v>
      </c>
      <c r="V1632" s="6" t="str">
        <f>IFERROR(__xludf.DUMMYFUNCTION("""COMPUTED_VALUE"""),"English")</f>
        <v>English</v>
      </c>
      <c r="W1632" s="6" t="str">
        <f>IFERROR(__xludf.DUMMYFUNCTION("""COMPUTED_VALUE"""),"[]")</f>
        <v>[]</v>
      </c>
      <c r="X1632" s="6" t="str">
        <f>IFERROR(__xludf.DUMMYFUNCTION("""COMPUTED_VALUE"""),"Enrolled")</f>
        <v>Enrolled</v>
      </c>
    </row>
    <row r="1633">
      <c r="A1633" s="6" t="str">
        <f>IFERROR(__xludf.DUMMYFUNCTION("""COMPUTED_VALUE"""),"009-2997")</f>
        <v>009-2997</v>
      </c>
      <c r="B1633" s="6" t="str">
        <f>IFERROR(__xludf.DUMMYFUNCTION("""COMPUTED_VALUE"""),"9")</f>
        <v>9</v>
      </c>
      <c r="C1633" s="6" t="str">
        <f>IFERROR(__xludf.DUMMYFUNCTION("""COMPUTED_VALUE"""),"2997")</f>
        <v>2997</v>
      </c>
      <c r="D1633" s="6" t="str">
        <f>IFERROR(__xludf.DUMMYFUNCTION("""COMPUTED_VALUE"""),"Minakova")</f>
        <v>Minakova</v>
      </c>
      <c r="E1633" s="6" t="str">
        <f>IFERROR(__xludf.DUMMYFUNCTION("""COMPUTED_VALUE"""),"")</f>
        <v/>
      </c>
      <c r="F1633" s="6" t="str">
        <f>IFERROR(__xludf.DUMMYFUNCTION("""COMPUTED_VALUE"""),"Anastasiia")</f>
        <v>Anastasiia</v>
      </c>
      <c r="G1633" s="6" t="str">
        <f>IFERROR(__xludf.DUMMYFUNCTION("""COMPUTED_VALUE"""),"10/19/2009")</f>
        <v>10/19/2009</v>
      </c>
      <c r="H1633" s="6" t="str">
        <f>IFERROR(__xludf.DUMMYFUNCTION("""COMPUTED_VALUE"""),"Self Identify")</f>
        <v>Self Identify</v>
      </c>
      <c r="I1633" s="6" t="str">
        <f>IFERROR(__xludf.DUMMYFUNCTION("""COMPUTED_VALUE"""),"High School")</f>
        <v>High School</v>
      </c>
      <c r="J1633" s="6" t="str">
        <f>IFERROR(__xludf.DUMMYFUNCTION("""COMPUTED_VALUE"""),"10")</f>
        <v>10</v>
      </c>
      <c r="K1633" s="6" t="str">
        <f>IFERROR(__xludf.DUMMYFUNCTION("""COMPUTED_VALUE"""),"minakova.anastasiia@2hourlearning.com")</f>
        <v>minakova.anastasiia@2hourlearning.com</v>
      </c>
      <c r="L1633" s="6" t="str">
        <f>IFERROR(__xludf.DUMMYFUNCTION("""COMPUTED_VALUE"""),"Learn and Earn Poland")</f>
        <v>Learn and Earn Poland</v>
      </c>
      <c r="M1633" s="6" t="str">
        <f>IFERROR(__xludf.DUMMYFUNCTION("""COMPUTED_VALUE"""),"")</f>
        <v/>
      </c>
      <c r="N1633" s="6" t="str">
        <f>IFERROR(__xludf.DUMMYFUNCTION("""COMPUTED_VALUE"""),"")</f>
        <v/>
      </c>
      <c r="O1633" s="87" t="str">
        <f>IFERROR(__xludf.DUMMYFUNCTION("""COMPUTED_VALUE"""),"https://drive.google.com/drive/folders/10T2cTQHqEJZqE-st6uFKPoI?usp=share_link")</f>
        <v>https://drive.google.com/drive/folders/10T2cTQHqEJZqE-st6uFKPoI?usp=share_link</v>
      </c>
      <c r="P1633" s="6" t="str">
        <f>IFERROR(__xludf.DUMMYFUNCTION("""COMPUTED_VALUE"""),"Minakova Anastasiia")</f>
        <v>Minakova Anastasiia</v>
      </c>
      <c r="Q1633" s="6" t="str">
        <f>IFERROR(__xludf.DUMMYFUNCTION("""COMPUTED_VALUE"""),"HS")</f>
        <v>HS</v>
      </c>
      <c r="R1633" s="6">
        <f>IFERROR(__xludf.DUMMYFUNCTION("""COMPUTED_VALUE"""),0.0)</f>
        <v>0</v>
      </c>
      <c r="S1633" s="6" t="str">
        <f>IFERROR(__xludf.DUMMYFUNCTION("""COMPUTED_VALUE""")," ")</f>
        <v> </v>
      </c>
      <c r="T1633" s="6" t="str">
        <f>IFERROR(__xludf.DUMMYFUNCTION("""COMPUTED_VALUE"""),"")</f>
        <v/>
      </c>
      <c r="U1633" s="6" t="str">
        <f>IFERROR(__xludf.DUMMYFUNCTION("""COMPUTED_VALUE"""),"10")</f>
        <v>10</v>
      </c>
      <c r="V1633" s="6" t="str">
        <f>IFERROR(__xludf.DUMMYFUNCTION("""COMPUTED_VALUE"""),"English")</f>
        <v>English</v>
      </c>
      <c r="W1633" s="6" t="str">
        <f>IFERROR(__xludf.DUMMYFUNCTION("""COMPUTED_VALUE"""),"[]")</f>
        <v>[]</v>
      </c>
      <c r="X1633" s="6" t="str">
        <f>IFERROR(__xludf.DUMMYFUNCTION("""COMPUTED_VALUE"""),"Enrolled")</f>
        <v>Enrolled</v>
      </c>
    </row>
    <row r="1634">
      <c r="A1634" s="6" t="str">
        <f>IFERROR(__xludf.DUMMYFUNCTION("""COMPUTED_VALUE"""),"009-2998")</f>
        <v>009-2998</v>
      </c>
      <c r="B1634" s="6" t="str">
        <f>IFERROR(__xludf.DUMMYFUNCTION("""COMPUTED_VALUE"""),"9")</f>
        <v>9</v>
      </c>
      <c r="C1634" s="6" t="str">
        <f>IFERROR(__xludf.DUMMYFUNCTION("""COMPUTED_VALUE"""),"2998")</f>
        <v>2998</v>
      </c>
      <c r="D1634" s="6" t="str">
        <f>IFERROR(__xludf.DUMMYFUNCTION("""COMPUTED_VALUE"""),"Davyd")</f>
        <v>Davyd</v>
      </c>
      <c r="E1634" s="6" t="str">
        <f>IFERROR(__xludf.DUMMYFUNCTION("""COMPUTED_VALUE"""),"")</f>
        <v/>
      </c>
      <c r="F1634" s="6" t="str">
        <f>IFERROR(__xludf.DUMMYFUNCTION("""COMPUTED_VALUE"""),"Zhadik")</f>
        <v>Zhadik</v>
      </c>
      <c r="G1634" s="6" t="str">
        <f>IFERROR(__xludf.DUMMYFUNCTION("""COMPUTED_VALUE"""),"04/04/2017")</f>
        <v>04/04/2017</v>
      </c>
      <c r="H1634" s="6" t="str">
        <f>IFERROR(__xludf.DUMMYFUNCTION("""COMPUTED_VALUE"""),"Self Identify")</f>
        <v>Self Identify</v>
      </c>
      <c r="I1634" s="6" t="str">
        <f>IFERROR(__xludf.DUMMYFUNCTION("""COMPUTED_VALUE"""),"Level 1")</f>
        <v>Level 1</v>
      </c>
      <c r="J1634" s="6" t="str">
        <f>IFERROR(__xludf.DUMMYFUNCTION("""COMPUTED_VALUE"""),"3")</f>
        <v>3</v>
      </c>
      <c r="K1634" s="6" t="str">
        <f>IFERROR(__xludf.DUMMYFUNCTION("""COMPUTED_VALUE"""),"davyd.zhadik@2hourlearning.com")</f>
        <v>davyd.zhadik@2hourlearning.com</v>
      </c>
      <c r="L1634" s="6" t="str">
        <f>IFERROR(__xludf.DUMMYFUNCTION("""COMPUTED_VALUE"""),"Learn and Earn Poland")</f>
        <v>Learn and Earn Poland</v>
      </c>
      <c r="M1634" s="6" t="str">
        <f>IFERROR(__xludf.DUMMYFUNCTION("""COMPUTED_VALUE"""),"")</f>
        <v/>
      </c>
      <c r="N1634" s="6" t="str">
        <f>IFERROR(__xludf.DUMMYFUNCTION("""COMPUTED_VALUE"""),"")</f>
        <v/>
      </c>
      <c r="O1634" s="87" t="str">
        <f>IFERROR(__xludf.DUMMYFUNCTION("""COMPUTED_VALUE"""),"https://drive.google.com/drive/folders/10T2cTQHqEJZqE-st6uFKPoI?usp=share_link")</f>
        <v>https://drive.google.com/drive/folders/10T2cTQHqEJZqE-st6uFKPoI?usp=share_link</v>
      </c>
      <c r="P1634" s="6" t="str">
        <f>IFERROR(__xludf.DUMMYFUNCTION("""COMPUTED_VALUE"""),"Davyd Zhadik")</f>
        <v>Davyd Zhadik</v>
      </c>
      <c r="Q1634" s="6" t="str">
        <f>IFERROR(__xludf.DUMMYFUNCTION("""COMPUTED_VALUE"""),"L1")</f>
        <v>L1</v>
      </c>
      <c r="R1634" s="6">
        <f>IFERROR(__xludf.DUMMYFUNCTION("""COMPUTED_VALUE"""),1.0)</f>
        <v>1</v>
      </c>
      <c r="S1634" s="6" t="str">
        <f>IFERROR(__xludf.DUMMYFUNCTION("""COMPUTED_VALUE""")," ")</f>
        <v> </v>
      </c>
      <c r="T1634" s="6" t="str">
        <f>IFERROR(__xludf.DUMMYFUNCTION("""COMPUTED_VALUE"""),"")</f>
        <v/>
      </c>
      <c r="U1634" s="6" t="str">
        <f>IFERROR(__xludf.DUMMYFUNCTION("""COMPUTED_VALUE"""),"3")</f>
        <v>3</v>
      </c>
      <c r="V1634" s="6" t="str">
        <f>IFERROR(__xludf.DUMMYFUNCTION("""COMPUTED_VALUE"""),"English")</f>
        <v>English</v>
      </c>
      <c r="W1634" s="6" t="str">
        <f>IFERROR(__xludf.DUMMYFUNCTION("""COMPUTED_VALUE"""),"[]")</f>
        <v>[]</v>
      </c>
      <c r="X1634" s="6" t="str">
        <f>IFERROR(__xludf.DUMMYFUNCTION("""COMPUTED_VALUE"""),"Enrolled")</f>
        <v>Enrolled</v>
      </c>
    </row>
    <row r="1635">
      <c r="A1635" s="6" t="str">
        <f>IFERROR(__xludf.DUMMYFUNCTION("""COMPUTED_VALUE"""),"009-2999")</f>
        <v>009-2999</v>
      </c>
      <c r="B1635" s="6" t="str">
        <f>IFERROR(__xludf.DUMMYFUNCTION("""COMPUTED_VALUE"""),"9")</f>
        <v>9</v>
      </c>
      <c r="C1635" s="6" t="str">
        <f>IFERROR(__xludf.DUMMYFUNCTION("""COMPUTED_VALUE"""),"2999")</f>
        <v>2999</v>
      </c>
      <c r="D1635" s="6" t="str">
        <f>IFERROR(__xludf.DUMMYFUNCTION("""COMPUTED_VALUE"""),"Oleksandra")</f>
        <v>Oleksandra</v>
      </c>
      <c r="E1635" s="6" t="str">
        <f>IFERROR(__xludf.DUMMYFUNCTION("""COMPUTED_VALUE"""),"")</f>
        <v/>
      </c>
      <c r="F1635" s="6" t="str">
        <f>IFERROR(__xludf.DUMMYFUNCTION("""COMPUTED_VALUE"""),"Titova")</f>
        <v>Titova</v>
      </c>
      <c r="G1635" s="6" t="str">
        <f>IFERROR(__xludf.DUMMYFUNCTION("""COMPUTED_VALUE"""),"06/30/2009")</f>
        <v>06/30/2009</v>
      </c>
      <c r="H1635" s="6" t="str">
        <f>IFERROR(__xludf.DUMMYFUNCTION("""COMPUTED_VALUE"""),"Self Identify")</f>
        <v>Self Identify</v>
      </c>
      <c r="I1635" s="6" t="str">
        <f>IFERROR(__xludf.DUMMYFUNCTION("""COMPUTED_VALUE"""),"High School")</f>
        <v>High School</v>
      </c>
      <c r="J1635" s="6" t="str">
        <f>IFERROR(__xludf.DUMMYFUNCTION("""COMPUTED_VALUE"""),"10")</f>
        <v>10</v>
      </c>
      <c r="K1635" s="6" t="str">
        <f>IFERROR(__xludf.DUMMYFUNCTION("""COMPUTED_VALUE"""),"oleksandra.titova@2hourlearning.com")</f>
        <v>oleksandra.titova@2hourlearning.com</v>
      </c>
      <c r="L1635" s="6" t="str">
        <f>IFERROR(__xludf.DUMMYFUNCTION("""COMPUTED_VALUE"""),"Learn and Earn Poland")</f>
        <v>Learn and Earn Poland</v>
      </c>
      <c r="M1635" s="6" t="str">
        <f>IFERROR(__xludf.DUMMYFUNCTION("""COMPUTED_VALUE"""),"")</f>
        <v/>
      </c>
      <c r="N1635" s="6" t="str">
        <f>IFERROR(__xludf.DUMMYFUNCTION("""COMPUTED_VALUE"""),"")</f>
        <v/>
      </c>
      <c r="O1635" s="87" t="str">
        <f>IFERROR(__xludf.DUMMYFUNCTION("""COMPUTED_VALUE"""),"https://drive.google.com/drive/folders/10T2cTQHqEJZqE-st6uFKPoI?usp=share_link")</f>
        <v>https://drive.google.com/drive/folders/10T2cTQHqEJZqE-st6uFKPoI?usp=share_link</v>
      </c>
      <c r="P1635" s="6" t="str">
        <f>IFERROR(__xludf.DUMMYFUNCTION("""COMPUTED_VALUE"""),"Oleksandra Titova")</f>
        <v>Oleksandra Titova</v>
      </c>
      <c r="Q1635" s="6" t="str">
        <f>IFERROR(__xludf.DUMMYFUNCTION("""COMPUTED_VALUE"""),"HS")</f>
        <v>HS</v>
      </c>
      <c r="R1635" s="6">
        <f>IFERROR(__xludf.DUMMYFUNCTION("""COMPUTED_VALUE"""),0.0)</f>
        <v>0</v>
      </c>
      <c r="S1635" s="6" t="str">
        <f>IFERROR(__xludf.DUMMYFUNCTION("""COMPUTED_VALUE""")," ")</f>
        <v> </v>
      </c>
      <c r="T1635" s="6" t="str">
        <f>IFERROR(__xludf.DUMMYFUNCTION("""COMPUTED_VALUE"""),"")</f>
        <v/>
      </c>
      <c r="U1635" s="6" t="str">
        <f>IFERROR(__xludf.DUMMYFUNCTION("""COMPUTED_VALUE"""),"10")</f>
        <v>10</v>
      </c>
      <c r="V1635" s="6" t="str">
        <f>IFERROR(__xludf.DUMMYFUNCTION("""COMPUTED_VALUE"""),"English")</f>
        <v>English</v>
      </c>
      <c r="W1635" s="6" t="str">
        <f>IFERROR(__xludf.DUMMYFUNCTION("""COMPUTED_VALUE"""),"[]")</f>
        <v>[]</v>
      </c>
      <c r="X1635" s="6" t="str">
        <f>IFERROR(__xludf.DUMMYFUNCTION("""COMPUTED_VALUE"""),"Enrolled")</f>
        <v>Enrolled</v>
      </c>
    </row>
    <row r="1636">
      <c r="A1636" s="6" t="str">
        <f>IFERROR(__xludf.DUMMYFUNCTION("""COMPUTED_VALUE"""),"009-3092")</f>
        <v>009-3092</v>
      </c>
      <c r="B1636" s="6" t="str">
        <f>IFERROR(__xludf.DUMMYFUNCTION("""COMPUTED_VALUE"""),"9")</f>
        <v>9</v>
      </c>
      <c r="C1636" s="6" t="str">
        <f>IFERROR(__xludf.DUMMYFUNCTION("""COMPUTED_VALUE"""),"3092")</f>
        <v>3092</v>
      </c>
      <c r="D1636" s="6" t="str">
        <f>IFERROR(__xludf.DUMMYFUNCTION("""COMPUTED_VALUE"""),"Tovt")</f>
        <v>Tovt</v>
      </c>
      <c r="E1636" s="6" t="str">
        <f>IFERROR(__xludf.DUMMYFUNCTION("""COMPUTED_VALUE"""),"")</f>
        <v/>
      </c>
      <c r="F1636" s="6" t="str">
        <f>IFERROR(__xludf.DUMMYFUNCTION("""COMPUTED_VALUE"""),"Yulia")</f>
        <v>Yulia</v>
      </c>
      <c r="G1636" s="6" t="str">
        <f>IFERROR(__xludf.DUMMYFUNCTION("""COMPUTED_VALUE"""),"11/13/2013")</f>
        <v>11/13/2013</v>
      </c>
      <c r="H1636" s="6" t="str">
        <f>IFERROR(__xludf.DUMMYFUNCTION("""COMPUTED_VALUE"""),"Self Identify")</f>
        <v>Self Identify</v>
      </c>
      <c r="I1636" s="6" t="str">
        <f>IFERROR(__xludf.DUMMYFUNCTION("""COMPUTED_VALUE"""),"Middle School")</f>
        <v>Middle School</v>
      </c>
      <c r="J1636" s="6" t="str">
        <f>IFERROR(__xludf.DUMMYFUNCTION("""COMPUTED_VALUE"""),"6")</f>
        <v>6</v>
      </c>
      <c r="K1636" s="6" t="str">
        <f>IFERROR(__xludf.DUMMYFUNCTION("""COMPUTED_VALUE"""),"tovt.yulia@2hourlearning.com")</f>
        <v>tovt.yulia@2hourlearning.com</v>
      </c>
      <c r="L1636" s="6" t="str">
        <f>IFERROR(__xludf.DUMMYFUNCTION("""COMPUTED_VALUE"""),"Learn and Earn Poland")</f>
        <v>Learn and Earn Poland</v>
      </c>
      <c r="M1636" s="6" t="str">
        <f>IFERROR(__xludf.DUMMYFUNCTION("""COMPUTED_VALUE"""),"")</f>
        <v/>
      </c>
      <c r="N1636" s="6" t="str">
        <f>IFERROR(__xludf.DUMMYFUNCTION("""COMPUTED_VALUE"""),"")</f>
        <v/>
      </c>
      <c r="O1636" s="87" t="str">
        <f>IFERROR(__xludf.DUMMYFUNCTION("""COMPUTED_VALUE"""),"https://drive.google.com/drive/folders/10T2cTQHqEJZqE-st6uFKPoI?usp=share_link")</f>
        <v>https://drive.google.com/drive/folders/10T2cTQHqEJZqE-st6uFKPoI?usp=share_link</v>
      </c>
      <c r="P1636" s="6" t="str">
        <f>IFERROR(__xludf.DUMMYFUNCTION("""COMPUTED_VALUE"""),"Tovt Yulia")</f>
        <v>Tovt Yulia</v>
      </c>
      <c r="Q1636" s="6" t="str">
        <f>IFERROR(__xludf.DUMMYFUNCTION("""COMPUTED_VALUE"""),"MS")</f>
        <v>MS</v>
      </c>
      <c r="R1636" s="6">
        <f>IFERROR(__xludf.DUMMYFUNCTION("""COMPUTED_VALUE"""),0.0)</f>
        <v>0</v>
      </c>
      <c r="S1636" s="6" t="str">
        <f>IFERROR(__xludf.DUMMYFUNCTION("""COMPUTED_VALUE""")," ")</f>
        <v> </v>
      </c>
      <c r="T1636" s="6" t="str">
        <f>IFERROR(__xludf.DUMMYFUNCTION("""COMPUTED_VALUE"""),"")</f>
        <v/>
      </c>
      <c r="U1636" s="6" t="str">
        <f>IFERROR(__xludf.DUMMYFUNCTION("""COMPUTED_VALUE"""),"6")</f>
        <v>6</v>
      </c>
      <c r="V1636" s="6" t="str">
        <f>IFERROR(__xludf.DUMMYFUNCTION("""COMPUTED_VALUE"""),"English")</f>
        <v>English</v>
      </c>
      <c r="W1636" s="6" t="str">
        <f>IFERROR(__xludf.DUMMYFUNCTION("""COMPUTED_VALUE"""),"[]")</f>
        <v>[]</v>
      </c>
      <c r="X1636" s="6" t="str">
        <f>IFERROR(__xludf.DUMMYFUNCTION("""COMPUTED_VALUE"""),"Enrolled")</f>
        <v>Enrolled</v>
      </c>
    </row>
    <row r="1637">
      <c r="A1637" s="6" t="str">
        <f>IFERROR(__xludf.DUMMYFUNCTION("""COMPUTED_VALUE"""),"009-3208")</f>
        <v>009-3208</v>
      </c>
      <c r="B1637" s="6" t="str">
        <f>IFERROR(__xludf.DUMMYFUNCTION("""COMPUTED_VALUE"""),"9")</f>
        <v>9</v>
      </c>
      <c r="C1637" s="6" t="str">
        <f>IFERROR(__xludf.DUMMYFUNCTION("""COMPUTED_VALUE"""),"3208")</f>
        <v>3208</v>
      </c>
      <c r="D1637" s="6" t="str">
        <f>IFERROR(__xludf.DUMMYFUNCTION("""COMPUTED_VALUE"""),"Markiian")</f>
        <v>Markiian</v>
      </c>
      <c r="E1637" s="6" t="str">
        <f>IFERROR(__xludf.DUMMYFUNCTION("""COMPUTED_VALUE"""),"")</f>
        <v/>
      </c>
      <c r="F1637" s="6" t="str">
        <f>IFERROR(__xludf.DUMMYFUNCTION("""COMPUTED_VALUE"""),"Roman")</f>
        <v>Roman</v>
      </c>
      <c r="G1637" s="6" t="str">
        <f>IFERROR(__xludf.DUMMYFUNCTION("""COMPUTED_VALUE"""),"02/19/2016")</f>
        <v>02/19/2016</v>
      </c>
      <c r="H1637" s="6" t="str">
        <f>IFERROR(__xludf.DUMMYFUNCTION("""COMPUTED_VALUE"""),"Self Identify")</f>
        <v>Self Identify</v>
      </c>
      <c r="I1637" s="6" t="str">
        <f>IFERROR(__xludf.DUMMYFUNCTION("""COMPUTED_VALUE"""),"Level 2")</f>
        <v>Level 2</v>
      </c>
      <c r="J1637" s="6" t="str">
        <f>IFERROR(__xludf.DUMMYFUNCTION("""COMPUTED_VALUE"""),"4")</f>
        <v>4</v>
      </c>
      <c r="K1637" s="6" t="str">
        <f>IFERROR(__xludf.DUMMYFUNCTION("""COMPUTED_VALUE"""),"markiian.roman@2hourlearning.com")</f>
        <v>markiian.roman@2hourlearning.com</v>
      </c>
      <c r="L1637" s="6" t="str">
        <f>IFERROR(__xludf.DUMMYFUNCTION("""COMPUTED_VALUE"""),"Learn and Earn Poland")</f>
        <v>Learn and Earn Poland</v>
      </c>
      <c r="M1637" s="6" t="str">
        <f>IFERROR(__xludf.DUMMYFUNCTION("""COMPUTED_VALUE"""),"")</f>
        <v/>
      </c>
      <c r="N1637" s="6" t="str">
        <f>IFERROR(__xludf.DUMMYFUNCTION("""COMPUTED_VALUE"""),"")</f>
        <v/>
      </c>
      <c r="O1637" s="87" t="str">
        <f>IFERROR(__xludf.DUMMYFUNCTION("""COMPUTED_VALUE"""),"https://drive.google.com/drive/folders/10T2cTQHqEJZqE-st6uFKPoI?usp=share_link")</f>
        <v>https://drive.google.com/drive/folders/10T2cTQHqEJZqE-st6uFKPoI?usp=share_link</v>
      </c>
      <c r="P1637" s="6" t="str">
        <f>IFERROR(__xludf.DUMMYFUNCTION("""COMPUTED_VALUE"""),"Markiian Roman")</f>
        <v>Markiian Roman</v>
      </c>
      <c r="Q1637" s="6" t="str">
        <f>IFERROR(__xludf.DUMMYFUNCTION("""COMPUTED_VALUE"""),"L2")</f>
        <v>L2</v>
      </c>
      <c r="R1637" s="6">
        <f>IFERROR(__xludf.DUMMYFUNCTION("""COMPUTED_VALUE"""),2.0)</f>
        <v>2</v>
      </c>
      <c r="S1637" s="6" t="str">
        <f>IFERROR(__xludf.DUMMYFUNCTION("""COMPUTED_VALUE""")," ")</f>
        <v> </v>
      </c>
      <c r="T1637" s="6" t="str">
        <f>IFERROR(__xludf.DUMMYFUNCTION("""COMPUTED_VALUE"""),"")</f>
        <v/>
      </c>
      <c r="U1637" s="6" t="str">
        <f>IFERROR(__xludf.DUMMYFUNCTION("""COMPUTED_VALUE"""),"4")</f>
        <v>4</v>
      </c>
      <c r="V1637" s="6" t="str">
        <f>IFERROR(__xludf.DUMMYFUNCTION("""COMPUTED_VALUE"""),"English")</f>
        <v>English</v>
      </c>
      <c r="W1637" s="6" t="str">
        <f>IFERROR(__xludf.DUMMYFUNCTION("""COMPUTED_VALUE"""),"[]")</f>
        <v>[]</v>
      </c>
      <c r="X1637" s="6" t="str">
        <f>IFERROR(__xludf.DUMMYFUNCTION("""COMPUTED_VALUE"""),"Enrolled")</f>
        <v>Enrolled</v>
      </c>
    </row>
    <row r="1638">
      <c r="A1638" s="6" t="str">
        <f>IFERROR(__xludf.DUMMYFUNCTION("""COMPUTED_VALUE"""),"009-3211")</f>
        <v>009-3211</v>
      </c>
      <c r="B1638" s="6" t="str">
        <f>IFERROR(__xludf.DUMMYFUNCTION("""COMPUTED_VALUE"""),"9")</f>
        <v>9</v>
      </c>
      <c r="C1638" s="6" t="str">
        <f>IFERROR(__xludf.DUMMYFUNCTION("""COMPUTED_VALUE"""),"3211")</f>
        <v>3211</v>
      </c>
      <c r="D1638" s="6" t="str">
        <f>IFERROR(__xludf.DUMMYFUNCTION("""COMPUTED_VALUE"""),"Milan")</f>
        <v>Milan</v>
      </c>
      <c r="E1638" s="6" t="str">
        <f>IFERROR(__xludf.DUMMYFUNCTION("""COMPUTED_VALUE"""),"")</f>
        <v/>
      </c>
      <c r="F1638" s="6" t="str">
        <f>IFERROR(__xludf.DUMMYFUNCTION("""COMPUTED_VALUE"""),"Turzai")</f>
        <v>Turzai</v>
      </c>
      <c r="G1638" s="6" t="str">
        <f>IFERROR(__xludf.DUMMYFUNCTION("""COMPUTED_VALUE"""),"01/21/2010")</f>
        <v>01/21/2010</v>
      </c>
      <c r="H1638" s="6" t="str">
        <f>IFERROR(__xludf.DUMMYFUNCTION("""COMPUTED_VALUE"""),"Self Identify")</f>
        <v>Self Identify</v>
      </c>
      <c r="I1638" s="6" t="str">
        <f>IFERROR(__xludf.DUMMYFUNCTION("""COMPUTED_VALUE"""),"High School")</f>
        <v>High School</v>
      </c>
      <c r="J1638" s="6" t="str">
        <f>IFERROR(__xludf.DUMMYFUNCTION("""COMPUTED_VALUE"""),"10")</f>
        <v>10</v>
      </c>
      <c r="K1638" s="6" t="str">
        <f>IFERROR(__xludf.DUMMYFUNCTION("""COMPUTED_VALUE"""),"milan.turzai@2hourlearning.com")</f>
        <v>milan.turzai@2hourlearning.com</v>
      </c>
      <c r="L1638" s="6" t="str">
        <f>IFERROR(__xludf.DUMMYFUNCTION("""COMPUTED_VALUE"""),"Learn and Earn Poland")</f>
        <v>Learn and Earn Poland</v>
      </c>
      <c r="M1638" s="6" t="str">
        <f>IFERROR(__xludf.DUMMYFUNCTION("""COMPUTED_VALUE"""),"")</f>
        <v/>
      </c>
      <c r="N1638" s="6" t="str">
        <f>IFERROR(__xludf.DUMMYFUNCTION("""COMPUTED_VALUE"""),"")</f>
        <v/>
      </c>
      <c r="O1638" s="87" t="str">
        <f>IFERROR(__xludf.DUMMYFUNCTION("""COMPUTED_VALUE"""),"https://drive.google.com/drive/folders/10T2cTQHqEJZqE-st6uFKPoI?usp=share_link")</f>
        <v>https://drive.google.com/drive/folders/10T2cTQHqEJZqE-st6uFKPoI?usp=share_link</v>
      </c>
      <c r="P1638" s="6" t="str">
        <f>IFERROR(__xludf.DUMMYFUNCTION("""COMPUTED_VALUE"""),"Milan Turzai")</f>
        <v>Milan Turzai</v>
      </c>
      <c r="Q1638" s="6" t="str">
        <f>IFERROR(__xludf.DUMMYFUNCTION("""COMPUTED_VALUE"""),"HS")</f>
        <v>HS</v>
      </c>
      <c r="R1638" s="6">
        <f>IFERROR(__xludf.DUMMYFUNCTION("""COMPUTED_VALUE"""),0.0)</f>
        <v>0</v>
      </c>
      <c r="S1638" s="6" t="str">
        <f>IFERROR(__xludf.DUMMYFUNCTION("""COMPUTED_VALUE""")," ")</f>
        <v> </v>
      </c>
      <c r="T1638" s="6" t="str">
        <f>IFERROR(__xludf.DUMMYFUNCTION("""COMPUTED_VALUE"""),"")</f>
        <v/>
      </c>
      <c r="U1638" s="6" t="str">
        <f>IFERROR(__xludf.DUMMYFUNCTION("""COMPUTED_VALUE"""),"10")</f>
        <v>10</v>
      </c>
      <c r="V1638" s="6" t="str">
        <f>IFERROR(__xludf.DUMMYFUNCTION("""COMPUTED_VALUE"""),"English")</f>
        <v>English</v>
      </c>
      <c r="W1638" s="6" t="str">
        <f>IFERROR(__xludf.DUMMYFUNCTION("""COMPUTED_VALUE"""),"[]")</f>
        <v>[]</v>
      </c>
      <c r="X1638" s="6" t="str">
        <f>IFERROR(__xludf.DUMMYFUNCTION("""COMPUTED_VALUE"""),"Enrolled")</f>
        <v>Enrolled</v>
      </c>
    </row>
    <row r="1639">
      <c r="A1639" s="6" t="str">
        <f>IFERROR(__xludf.DUMMYFUNCTION("""COMPUTED_VALUE"""),"009-3235")</f>
        <v>009-3235</v>
      </c>
      <c r="B1639" s="6" t="str">
        <f>IFERROR(__xludf.DUMMYFUNCTION("""COMPUTED_VALUE"""),"9")</f>
        <v>9</v>
      </c>
      <c r="C1639" s="6" t="str">
        <f>IFERROR(__xludf.DUMMYFUNCTION("""COMPUTED_VALUE"""),"3235")</f>
        <v>3235</v>
      </c>
      <c r="D1639" s="6" t="str">
        <f>IFERROR(__xludf.DUMMYFUNCTION("""COMPUTED_VALUE"""),"Mariia")</f>
        <v>Mariia</v>
      </c>
      <c r="E1639" s="6" t="str">
        <f>IFERROR(__xludf.DUMMYFUNCTION("""COMPUTED_VALUE"""),"")</f>
        <v/>
      </c>
      <c r="F1639" s="6" t="str">
        <f>IFERROR(__xludf.DUMMYFUNCTION("""COMPUTED_VALUE"""),"Kovtunenko")</f>
        <v>Kovtunenko</v>
      </c>
      <c r="G1639" s="6" t="str">
        <f>IFERROR(__xludf.DUMMYFUNCTION("""COMPUTED_VALUE"""),"08/09/2010")</f>
        <v>08/09/2010</v>
      </c>
      <c r="H1639" s="6" t="str">
        <f>IFERROR(__xludf.DUMMYFUNCTION("""COMPUTED_VALUE"""),"Self Identify")</f>
        <v>Self Identify</v>
      </c>
      <c r="I1639" s="6" t="str">
        <f>IFERROR(__xludf.DUMMYFUNCTION("""COMPUTED_VALUE"""),"High School")</f>
        <v>High School</v>
      </c>
      <c r="J1639" s="6" t="str">
        <f>IFERROR(__xludf.DUMMYFUNCTION("""COMPUTED_VALUE"""),"9")</f>
        <v>9</v>
      </c>
      <c r="K1639" s="6" t="str">
        <f>IFERROR(__xludf.DUMMYFUNCTION("""COMPUTED_VALUE"""),"mariia.kovtunenko@2hourlearning.com")</f>
        <v>mariia.kovtunenko@2hourlearning.com</v>
      </c>
      <c r="L1639" s="6" t="str">
        <f>IFERROR(__xludf.DUMMYFUNCTION("""COMPUTED_VALUE"""),"Learn and Earn Poland")</f>
        <v>Learn and Earn Poland</v>
      </c>
      <c r="M1639" s="6" t="str">
        <f>IFERROR(__xludf.DUMMYFUNCTION("""COMPUTED_VALUE"""),"")</f>
        <v/>
      </c>
      <c r="N1639" s="6" t="str">
        <f>IFERROR(__xludf.DUMMYFUNCTION("""COMPUTED_VALUE"""),"")</f>
        <v/>
      </c>
      <c r="O1639" s="87" t="str">
        <f>IFERROR(__xludf.DUMMYFUNCTION("""COMPUTED_VALUE"""),"https://drive.google.com/drive/folders/10T2cTQHqEJZqE-st6uFKPoI?usp=share_link")</f>
        <v>https://drive.google.com/drive/folders/10T2cTQHqEJZqE-st6uFKPoI?usp=share_link</v>
      </c>
      <c r="P1639" s="6" t="str">
        <f>IFERROR(__xludf.DUMMYFUNCTION("""COMPUTED_VALUE"""),"Mariia Kovtunenko")</f>
        <v>Mariia Kovtunenko</v>
      </c>
      <c r="Q1639" s="6" t="str">
        <f>IFERROR(__xludf.DUMMYFUNCTION("""COMPUTED_VALUE"""),"HS")</f>
        <v>HS</v>
      </c>
      <c r="R1639" s="6">
        <f>IFERROR(__xludf.DUMMYFUNCTION("""COMPUTED_VALUE"""),0.0)</f>
        <v>0</v>
      </c>
      <c r="S1639" s="6" t="str">
        <f>IFERROR(__xludf.DUMMYFUNCTION("""COMPUTED_VALUE""")," ")</f>
        <v> </v>
      </c>
      <c r="T1639" s="6" t="str">
        <f>IFERROR(__xludf.DUMMYFUNCTION("""COMPUTED_VALUE"""),"")</f>
        <v/>
      </c>
      <c r="U1639" s="6" t="str">
        <f>IFERROR(__xludf.DUMMYFUNCTION("""COMPUTED_VALUE"""),"9")</f>
        <v>9</v>
      </c>
      <c r="V1639" s="6" t="str">
        <f>IFERROR(__xludf.DUMMYFUNCTION("""COMPUTED_VALUE"""),"English")</f>
        <v>English</v>
      </c>
      <c r="W1639" s="6" t="str">
        <f>IFERROR(__xludf.DUMMYFUNCTION("""COMPUTED_VALUE"""),"[]")</f>
        <v>[]</v>
      </c>
      <c r="X1639" s="6" t="str">
        <f>IFERROR(__xludf.DUMMYFUNCTION("""COMPUTED_VALUE"""),"Enrolled")</f>
        <v>Enrolled</v>
      </c>
    </row>
    <row r="1640">
      <c r="A1640" s="6" t="str">
        <f>IFERROR(__xludf.DUMMYFUNCTION("""COMPUTED_VALUE"""),"009-3236")</f>
        <v>009-3236</v>
      </c>
      <c r="B1640" s="6" t="str">
        <f>IFERROR(__xludf.DUMMYFUNCTION("""COMPUTED_VALUE"""),"9")</f>
        <v>9</v>
      </c>
      <c r="C1640" s="6" t="str">
        <f>IFERROR(__xludf.DUMMYFUNCTION("""COMPUTED_VALUE"""),"3236")</f>
        <v>3236</v>
      </c>
      <c r="D1640" s="6" t="str">
        <f>IFERROR(__xludf.DUMMYFUNCTION("""COMPUTED_VALUE"""),"Yonatan")</f>
        <v>Yonatan</v>
      </c>
      <c r="E1640" s="6" t="str">
        <f>IFERROR(__xludf.DUMMYFUNCTION("""COMPUTED_VALUE"""),"")</f>
        <v/>
      </c>
      <c r="F1640" s="6" t="str">
        <f>IFERROR(__xludf.DUMMYFUNCTION("""COMPUTED_VALUE"""),"Chetneki")</f>
        <v>Chetneki</v>
      </c>
      <c r="G1640" s="6" t="str">
        <f>IFERROR(__xludf.DUMMYFUNCTION("""COMPUTED_VALUE"""),"03/11/2015")</f>
        <v>03/11/2015</v>
      </c>
      <c r="H1640" s="6" t="str">
        <f>IFERROR(__xludf.DUMMYFUNCTION("""COMPUTED_VALUE"""),"Self Identify")</f>
        <v>Self Identify</v>
      </c>
      <c r="I1640" s="6" t="str">
        <f>IFERROR(__xludf.DUMMYFUNCTION("""COMPUTED_VALUE"""),"Level 2")</f>
        <v>Level 2</v>
      </c>
      <c r="J1640" s="6" t="str">
        <f>IFERROR(__xludf.DUMMYFUNCTION("""COMPUTED_VALUE"""),"5")</f>
        <v>5</v>
      </c>
      <c r="K1640" s="6" t="str">
        <f>IFERROR(__xludf.DUMMYFUNCTION("""COMPUTED_VALUE"""),"yonatan.chetneki@2hourlearning.com")</f>
        <v>yonatan.chetneki@2hourlearning.com</v>
      </c>
      <c r="L1640" s="6" t="str">
        <f>IFERROR(__xludf.DUMMYFUNCTION("""COMPUTED_VALUE"""),"Learn and Earn Poland")</f>
        <v>Learn and Earn Poland</v>
      </c>
      <c r="M1640" s="6" t="str">
        <f>IFERROR(__xludf.DUMMYFUNCTION("""COMPUTED_VALUE"""),"")</f>
        <v/>
      </c>
      <c r="N1640" s="6" t="str">
        <f>IFERROR(__xludf.DUMMYFUNCTION("""COMPUTED_VALUE"""),"")</f>
        <v/>
      </c>
      <c r="O1640" s="87" t="str">
        <f>IFERROR(__xludf.DUMMYFUNCTION("""COMPUTED_VALUE"""),"https://drive.google.com/drive/folders/10T2cTQHqEJZqE-st6uFKPoI?usp=share_link")</f>
        <v>https://drive.google.com/drive/folders/10T2cTQHqEJZqE-st6uFKPoI?usp=share_link</v>
      </c>
      <c r="P1640" s="6" t="str">
        <f>IFERROR(__xludf.DUMMYFUNCTION("""COMPUTED_VALUE"""),"Yonatan Chetneki")</f>
        <v>Yonatan Chetneki</v>
      </c>
      <c r="Q1640" s="6" t="str">
        <f>IFERROR(__xludf.DUMMYFUNCTION("""COMPUTED_VALUE"""),"L2")</f>
        <v>L2</v>
      </c>
      <c r="R1640" s="6">
        <f>IFERROR(__xludf.DUMMYFUNCTION("""COMPUTED_VALUE"""),2.0)</f>
        <v>2</v>
      </c>
      <c r="S1640" s="6" t="str">
        <f>IFERROR(__xludf.DUMMYFUNCTION("""COMPUTED_VALUE""")," ")</f>
        <v> </v>
      </c>
      <c r="T1640" s="6" t="str">
        <f>IFERROR(__xludf.DUMMYFUNCTION("""COMPUTED_VALUE"""),"")</f>
        <v/>
      </c>
      <c r="U1640" s="6" t="str">
        <f>IFERROR(__xludf.DUMMYFUNCTION("""COMPUTED_VALUE"""),"5")</f>
        <v>5</v>
      </c>
      <c r="V1640" s="6" t="str">
        <f>IFERROR(__xludf.DUMMYFUNCTION("""COMPUTED_VALUE"""),"English")</f>
        <v>English</v>
      </c>
      <c r="W1640" s="6" t="str">
        <f>IFERROR(__xludf.DUMMYFUNCTION("""COMPUTED_VALUE"""),"[]")</f>
        <v>[]</v>
      </c>
      <c r="X1640" s="6" t="str">
        <f>IFERROR(__xludf.DUMMYFUNCTION("""COMPUTED_VALUE"""),"Enrolled")</f>
        <v>Enrolled</v>
      </c>
    </row>
    <row r="1641">
      <c r="A1641" s="6" t="str">
        <f>IFERROR(__xludf.DUMMYFUNCTION("""COMPUTED_VALUE"""),"009-3252")</f>
        <v>009-3252</v>
      </c>
      <c r="B1641" s="6" t="str">
        <f>IFERROR(__xludf.DUMMYFUNCTION("""COMPUTED_VALUE"""),"9")</f>
        <v>9</v>
      </c>
      <c r="C1641" s="6" t="str">
        <f>IFERROR(__xludf.DUMMYFUNCTION("""COMPUTED_VALUE"""),"3252")</f>
        <v>3252</v>
      </c>
      <c r="D1641" s="6" t="str">
        <f>IFERROR(__xludf.DUMMYFUNCTION("""COMPUTED_VALUE"""),"Belia")</f>
        <v>Belia</v>
      </c>
      <c r="E1641" s="6" t="str">
        <f>IFERROR(__xludf.DUMMYFUNCTION("""COMPUTED_VALUE"""),"")</f>
        <v/>
      </c>
      <c r="F1641" s="6" t="str">
        <f>IFERROR(__xludf.DUMMYFUNCTION("""COMPUTED_VALUE"""),"Anastasiia")</f>
        <v>Anastasiia</v>
      </c>
      <c r="G1641" s="6" t="str">
        <f>IFERROR(__xludf.DUMMYFUNCTION("""COMPUTED_VALUE"""),"04/06/2017")</f>
        <v>04/06/2017</v>
      </c>
      <c r="H1641" s="6" t="str">
        <f>IFERROR(__xludf.DUMMYFUNCTION("""COMPUTED_VALUE"""),"Self Identify")</f>
        <v>Self Identify</v>
      </c>
      <c r="I1641" s="6" t="str">
        <f>IFERROR(__xludf.DUMMYFUNCTION("""COMPUTED_VALUE"""),"Level 1")</f>
        <v>Level 1</v>
      </c>
      <c r="J1641" s="6" t="str">
        <f>IFERROR(__xludf.DUMMYFUNCTION("""COMPUTED_VALUE"""),"3")</f>
        <v>3</v>
      </c>
      <c r="K1641" s="6" t="str">
        <f>IFERROR(__xludf.DUMMYFUNCTION("""COMPUTED_VALUE"""),"belia.anastasiia@2hourlearning.com")</f>
        <v>belia.anastasiia@2hourlearning.com</v>
      </c>
      <c r="L1641" s="6" t="str">
        <f>IFERROR(__xludf.DUMMYFUNCTION("""COMPUTED_VALUE"""),"Learn and Earn Poland")</f>
        <v>Learn and Earn Poland</v>
      </c>
      <c r="M1641" s="6" t="str">
        <f>IFERROR(__xludf.DUMMYFUNCTION("""COMPUTED_VALUE"""),"")</f>
        <v/>
      </c>
      <c r="N1641" s="6" t="str">
        <f>IFERROR(__xludf.DUMMYFUNCTION("""COMPUTED_VALUE"""),"")</f>
        <v/>
      </c>
      <c r="O1641" s="87" t="str">
        <f>IFERROR(__xludf.DUMMYFUNCTION("""COMPUTED_VALUE"""),"https://drive.google.com/drive/folders/10T2cTQHqEJZqE-st6uFKPoI?usp=share_link")</f>
        <v>https://drive.google.com/drive/folders/10T2cTQHqEJZqE-st6uFKPoI?usp=share_link</v>
      </c>
      <c r="P1641" s="6" t="str">
        <f>IFERROR(__xludf.DUMMYFUNCTION("""COMPUTED_VALUE"""),"Belia Anastasiia")</f>
        <v>Belia Anastasiia</v>
      </c>
      <c r="Q1641" s="6" t="str">
        <f>IFERROR(__xludf.DUMMYFUNCTION("""COMPUTED_VALUE"""),"L1")</f>
        <v>L1</v>
      </c>
      <c r="R1641" s="6">
        <f>IFERROR(__xludf.DUMMYFUNCTION("""COMPUTED_VALUE"""),1.0)</f>
        <v>1</v>
      </c>
      <c r="S1641" s="6" t="str">
        <f>IFERROR(__xludf.DUMMYFUNCTION("""COMPUTED_VALUE""")," ")</f>
        <v> </v>
      </c>
      <c r="T1641" s="6" t="str">
        <f>IFERROR(__xludf.DUMMYFUNCTION("""COMPUTED_VALUE"""),"")</f>
        <v/>
      </c>
      <c r="U1641" s="6" t="str">
        <f>IFERROR(__xludf.DUMMYFUNCTION("""COMPUTED_VALUE"""),"3")</f>
        <v>3</v>
      </c>
      <c r="V1641" s="6" t="str">
        <f>IFERROR(__xludf.DUMMYFUNCTION("""COMPUTED_VALUE"""),"English")</f>
        <v>English</v>
      </c>
      <c r="W1641" s="6" t="str">
        <f>IFERROR(__xludf.DUMMYFUNCTION("""COMPUTED_VALUE"""),"[]")</f>
        <v>[]</v>
      </c>
      <c r="X1641" s="6" t="str">
        <f>IFERROR(__xludf.DUMMYFUNCTION("""COMPUTED_VALUE"""),"Enrolled")</f>
        <v>Enrolled</v>
      </c>
    </row>
    <row r="1642">
      <c r="A1642" s="6" t="str">
        <f>IFERROR(__xludf.DUMMYFUNCTION("""COMPUTED_VALUE"""),"009-3258")</f>
        <v>009-3258</v>
      </c>
      <c r="B1642" s="6" t="str">
        <f>IFERROR(__xludf.DUMMYFUNCTION("""COMPUTED_VALUE"""),"9")</f>
        <v>9</v>
      </c>
      <c r="C1642" s="6" t="str">
        <f>IFERROR(__xludf.DUMMYFUNCTION("""COMPUTED_VALUE"""),"3258")</f>
        <v>3258</v>
      </c>
      <c r="D1642" s="6" t="str">
        <f>IFERROR(__xludf.DUMMYFUNCTION("""COMPUTED_VALUE"""),"Alevtyna")</f>
        <v>Alevtyna</v>
      </c>
      <c r="E1642" s="6" t="str">
        <f>IFERROR(__xludf.DUMMYFUNCTION("""COMPUTED_VALUE"""),"")</f>
        <v/>
      </c>
      <c r="F1642" s="6" t="str">
        <f>IFERROR(__xludf.DUMMYFUNCTION("""COMPUTED_VALUE"""),"Lemesh")</f>
        <v>Lemesh</v>
      </c>
      <c r="G1642" s="6" t="str">
        <f>IFERROR(__xludf.DUMMYFUNCTION("""COMPUTED_VALUE"""),"09/11/2013")</f>
        <v>09/11/2013</v>
      </c>
      <c r="H1642" s="6" t="str">
        <f>IFERROR(__xludf.DUMMYFUNCTION("""COMPUTED_VALUE"""),"Self Identify")</f>
        <v>Self Identify</v>
      </c>
      <c r="I1642" s="6" t="str">
        <f>IFERROR(__xludf.DUMMYFUNCTION("""COMPUTED_VALUE"""),"Middle School")</f>
        <v>Middle School</v>
      </c>
      <c r="J1642" s="6" t="str">
        <f>IFERROR(__xludf.DUMMYFUNCTION("""COMPUTED_VALUE"""),"6")</f>
        <v>6</v>
      </c>
      <c r="K1642" s="6" t="str">
        <f>IFERROR(__xludf.DUMMYFUNCTION("""COMPUTED_VALUE"""),"alevtyna.lemesh@2hourlearning.com")</f>
        <v>alevtyna.lemesh@2hourlearning.com</v>
      </c>
      <c r="L1642" s="6" t="str">
        <f>IFERROR(__xludf.DUMMYFUNCTION("""COMPUTED_VALUE"""),"Learn and Earn Poland")</f>
        <v>Learn and Earn Poland</v>
      </c>
      <c r="M1642" s="6" t="str">
        <f>IFERROR(__xludf.DUMMYFUNCTION("""COMPUTED_VALUE"""),"")</f>
        <v/>
      </c>
      <c r="N1642" s="6" t="str">
        <f>IFERROR(__xludf.DUMMYFUNCTION("""COMPUTED_VALUE"""),"")</f>
        <v/>
      </c>
      <c r="O1642" s="87" t="str">
        <f>IFERROR(__xludf.DUMMYFUNCTION("""COMPUTED_VALUE"""),"https://drive.google.com/drive/folders/10T2cTQHqEJZqE-st6uFKPoI?usp=share_link")</f>
        <v>https://drive.google.com/drive/folders/10T2cTQHqEJZqE-st6uFKPoI?usp=share_link</v>
      </c>
      <c r="P1642" s="6" t="str">
        <f>IFERROR(__xludf.DUMMYFUNCTION("""COMPUTED_VALUE"""),"Alevtyna Lemesh")</f>
        <v>Alevtyna Lemesh</v>
      </c>
      <c r="Q1642" s="6" t="str">
        <f>IFERROR(__xludf.DUMMYFUNCTION("""COMPUTED_VALUE"""),"MS")</f>
        <v>MS</v>
      </c>
      <c r="R1642" s="6">
        <f>IFERROR(__xludf.DUMMYFUNCTION("""COMPUTED_VALUE"""),0.0)</f>
        <v>0</v>
      </c>
      <c r="S1642" s="6" t="str">
        <f>IFERROR(__xludf.DUMMYFUNCTION("""COMPUTED_VALUE""")," ")</f>
        <v> </v>
      </c>
      <c r="T1642" s="6" t="str">
        <f>IFERROR(__xludf.DUMMYFUNCTION("""COMPUTED_VALUE"""),"")</f>
        <v/>
      </c>
      <c r="U1642" s="6" t="str">
        <f>IFERROR(__xludf.DUMMYFUNCTION("""COMPUTED_VALUE"""),"6")</f>
        <v>6</v>
      </c>
      <c r="V1642" s="6" t="str">
        <f>IFERROR(__xludf.DUMMYFUNCTION("""COMPUTED_VALUE"""),"English")</f>
        <v>English</v>
      </c>
      <c r="W1642" s="6" t="str">
        <f>IFERROR(__xludf.DUMMYFUNCTION("""COMPUTED_VALUE"""),"[]")</f>
        <v>[]</v>
      </c>
      <c r="X1642" s="6" t="str">
        <f>IFERROR(__xludf.DUMMYFUNCTION("""COMPUTED_VALUE"""),"Enrolled")</f>
        <v>Enrolled</v>
      </c>
    </row>
    <row r="1643">
      <c r="A1643" s="6" t="str">
        <f>IFERROR(__xludf.DUMMYFUNCTION("""COMPUTED_VALUE"""),"009-3259")</f>
        <v>009-3259</v>
      </c>
      <c r="B1643" s="6" t="str">
        <f>IFERROR(__xludf.DUMMYFUNCTION("""COMPUTED_VALUE"""),"9")</f>
        <v>9</v>
      </c>
      <c r="C1643" s="6" t="str">
        <f>IFERROR(__xludf.DUMMYFUNCTION("""COMPUTED_VALUE"""),"3259")</f>
        <v>3259</v>
      </c>
      <c r="D1643" s="6" t="str">
        <f>IFERROR(__xludf.DUMMYFUNCTION("""COMPUTED_VALUE"""),"Lozovyi")</f>
        <v>Lozovyi</v>
      </c>
      <c r="E1643" s="6" t="str">
        <f>IFERROR(__xludf.DUMMYFUNCTION("""COMPUTED_VALUE"""),"")</f>
        <v/>
      </c>
      <c r="F1643" s="6" t="str">
        <f>IFERROR(__xludf.DUMMYFUNCTION("""COMPUTED_VALUE"""),"Tymur")</f>
        <v>Tymur</v>
      </c>
      <c r="G1643" s="6" t="str">
        <f>IFERROR(__xludf.DUMMYFUNCTION("""COMPUTED_VALUE"""),"04/05/2016")</f>
        <v>04/05/2016</v>
      </c>
      <c r="H1643" s="6" t="str">
        <f>IFERROR(__xludf.DUMMYFUNCTION("""COMPUTED_VALUE"""),"Self Identify")</f>
        <v>Self Identify</v>
      </c>
      <c r="I1643" s="6" t="str">
        <f>IFERROR(__xludf.DUMMYFUNCTION("""COMPUTED_VALUE"""),"Level 2")</f>
        <v>Level 2</v>
      </c>
      <c r="J1643" s="6" t="str">
        <f>IFERROR(__xludf.DUMMYFUNCTION("""COMPUTED_VALUE"""),"4")</f>
        <v>4</v>
      </c>
      <c r="K1643" s="6" t="str">
        <f>IFERROR(__xludf.DUMMYFUNCTION("""COMPUTED_VALUE"""),"lozovyi.tymur@2hourlearning.com")</f>
        <v>lozovyi.tymur@2hourlearning.com</v>
      </c>
      <c r="L1643" s="6" t="str">
        <f>IFERROR(__xludf.DUMMYFUNCTION("""COMPUTED_VALUE"""),"Learn and Earn Poland")</f>
        <v>Learn and Earn Poland</v>
      </c>
      <c r="M1643" s="6" t="str">
        <f>IFERROR(__xludf.DUMMYFUNCTION("""COMPUTED_VALUE"""),"")</f>
        <v/>
      </c>
      <c r="N1643" s="6" t="str">
        <f>IFERROR(__xludf.DUMMYFUNCTION("""COMPUTED_VALUE"""),"")</f>
        <v/>
      </c>
      <c r="O1643" s="87" t="str">
        <f>IFERROR(__xludf.DUMMYFUNCTION("""COMPUTED_VALUE"""),"https://drive.google.com/drive/folders/10T2cTQHqEJZqE-st6uFKPoI?usp=share_link")</f>
        <v>https://drive.google.com/drive/folders/10T2cTQHqEJZqE-st6uFKPoI?usp=share_link</v>
      </c>
      <c r="P1643" s="6" t="str">
        <f>IFERROR(__xludf.DUMMYFUNCTION("""COMPUTED_VALUE"""),"Lozovyi Tymur")</f>
        <v>Lozovyi Tymur</v>
      </c>
      <c r="Q1643" s="6" t="str">
        <f>IFERROR(__xludf.DUMMYFUNCTION("""COMPUTED_VALUE"""),"L2")</f>
        <v>L2</v>
      </c>
      <c r="R1643" s="6">
        <f>IFERROR(__xludf.DUMMYFUNCTION("""COMPUTED_VALUE"""),2.0)</f>
        <v>2</v>
      </c>
      <c r="S1643" s="6" t="str">
        <f>IFERROR(__xludf.DUMMYFUNCTION("""COMPUTED_VALUE""")," ")</f>
        <v> </v>
      </c>
      <c r="T1643" s="6" t="str">
        <f>IFERROR(__xludf.DUMMYFUNCTION("""COMPUTED_VALUE"""),"")</f>
        <v/>
      </c>
      <c r="U1643" s="6" t="str">
        <f>IFERROR(__xludf.DUMMYFUNCTION("""COMPUTED_VALUE"""),"4")</f>
        <v>4</v>
      </c>
      <c r="V1643" s="6" t="str">
        <f>IFERROR(__xludf.DUMMYFUNCTION("""COMPUTED_VALUE"""),"English")</f>
        <v>English</v>
      </c>
      <c r="W1643" s="6" t="str">
        <f>IFERROR(__xludf.DUMMYFUNCTION("""COMPUTED_VALUE"""),"[]")</f>
        <v>[]</v>
      </c>
      <c r="X1643" s="6" t="str">
        <f>IFERROR(__xludf.DUMMYFUNCTION("""COMPUTED_VALUE"""),"Enrolled")</f>
        <v>Enrolled</v>
      </c>
    </row>
    <row r="1644">
      <c r="A1644" s="6" t="str">
        <f>IFERROR(__xludf.DUMMYFUNCTION("""COMPUTED_VALUE"""),"009-3262")</f>
        <v>009-3262</v>
      </c>
      <c r="B1644" s="6" t="str">
        <f>IFERROR(__xludf.DUMMYFUNCTION("""COMPUTED_VALUE"""),"9")</f>
        <v>9</v>
      </c>
      <c r="C1644" s="6" t="str">
        <f>IFERROR(__xludf.DUMMYFUNCTION("""COMPUTED_VALUE"""),"3262")</f>
        <v>3262</v>
      </c>
      <c r="D1644" s="6" t="str">
        <f>IFERROR(__xludf.DUMMYFUNCTION("""COMPUTED_VALUE"""),"Anastasiia")</f>
        <v>Anastasiia</v>
      </c>
      <c r="E1644" s="6" t="str">
        <f>IFERROR(__xludf.DUMMYFUNCTION("""COMPUTED_VALUE"""),"")</f>
        <v/>
      </c>
      <c r="F1644" s="6" t="str">
        <f>IFERROR(__xludf.DUMMYFUNCTION("""COMPUTED_VALUE"""),"Zhadik")</f>
        <v>Zhadik</v>
      </c>
      <c r="G1644" s="6" t="str">
        <f>IFERROR(__xludf.DUMMYFUNCTION("""COMPUTED_VALUE"""),"04/03/2014")</f>
        <v>04/03/2014</v>
      </c>
      <c r="H1644" s="6" t="str">
        <f>IFERROR(__xludf.DUMMYFUNCTION("""COMPUTED_VALUE"""),"Self Identify")</f>
        <v>Self Identify</v>
      </c>
      <c r="I1644" s="6" t="str">
        <f>IFERROR(__xludf.DUMMYFUNCTION("""COMPUTED_VALUE"""),"Middle School")</f>
        <v>Middle School</v>
      </c>
      <c r="J1644" s="6" t="str">
        <f>IFERROR(__xludf.DUMMYFUNCTION("""COMPUTED_VALUE"""),"6")</f>
        <v>6</v>
      </c>
      <c r="K1644" s="6" t="str">
        <f>IFERROR(__xludf.DUMMYFUNCTION("""COMPUTED_VALUE"""),"anastasiia.zhadik@2hourlearning.com")</f>
        <v>anastasiia.zhadik@2hourlearning.com</v>
      </c>
      <c r="L1644" s="6" t="str">
        <f>IFERROR(__xludf.DUMMYFUNCTION("""COMPUTED_VALUE"""),"Learn and Earn Poland")</f>
        <v>Learn and Earn Poland</v>
      </c>
      <c r="M1644" s="6" t="str">
        <f>IFERROR(__xludf.DUMMYFUNCTION("""COMPUTED_VALUE"""),"")</f>
        <v/>
      </c>
      <c r="N1644" s="6" t="str">
        <f>IFERROR(__xludf.DUMMYFUNCTION("""COMPUTED_VALUE"""),"")</f>
        <v/>
      </c>
      <c r="O1644" s="87" t="str">
        <f>IFERROR(__xludf.DUMMYFUNCTION("""COMPUTED_VALUE"""),"https://drive.google.com/drive/folders/10T2cTQHqEJZqE-st6uFKPoI?usp=share_link")</f>
        <v>https://drive.google.com/drive/folders/10T2cTQHqEJZqE-st6uFKPoI?usp=share_link</v>
      </c>
      <c r="P1644" s="6" t="str">
        <f>IFERROR(__xludf.DUMMYFUNCTION("""COMPUTED_VALUE"""),"Anastasiia Zhadik")</f>
        <v>Anastasiia Zhadik</v>
      </c>
      <c r="Q1644" s="6" t="str">
        <f>IFERROR(__xludf.DUMMYFUNCTION("""COMPUTED_VALUE"""),"MS")</f>
        <v>MS</v>
      </c>
      <c r="R1644" s="6">
        <f>IFERROR(__xludf.DUMMYFUNCTION("""COMPUTED_VALUE"""),0.0)</f>
        <v>0</v>
      </c>
      <c r="S1644" s="6" t="str">
        <f>IFERROR(__xludf.DUMMYFUNCTION("""COMPUTED_VALUE""")," ")</f>
        <v> </v>
      </c>
      <c r="T1644" s="6" t="str">
        <f>IFERROR(__xludf.DUMMYFUNCTION("""COMPUTED_VALUE"""),"")</f>
        <v/>
      </c>
      <c r="U1644" s="6" t="str">
        <f>IFERROR(__xludf.DUMMYFUNCTION("""COMPUTED_VALUE"""),"6")</f>
        <v>6</v>
      </c>
      <c r="V1644" s="6" t="str">
        <f>IFERROR(__xludf.DUMMYFUNCTION("""COMPUTED_VALUE"""),"English")</f>
        <v>English</v>
      </c>
      <c r="W1644" s="6" t="str">
        <f>IFERROR(__xludf.DUMMYFUNCTION("""COMPUTED_VALUE"""),"[]")</f>
        <v>[]</v>
      </c>
      <c r="X1644" s="6" t="str">
        <f>IFERROR(__xludf.DUMMYFUNCTION("""COMPUTED_VALUE"""),"Enrolled")</f>
        <v>Enrolled</v>
      </c>
    </row>
    <row r="1645">
      <c r="A1645" s="6" t="str">
        <f>IFERROR(__xludf.DUMMYFUNCTION("""COMPUTED_VALUE"""),"009-3263")</f>
        <v>009-3263</v>
      </c>
      <c r="B1645" s="6" t="str">
        <f>IFERROR(__xludf.DUMMYFUNCTION("""COMPUTED_VALUE"""),"9")</f>
        <v>9</v>
      </c>
      <c r="C1645" s="6" t="str">
        <f>IFERROR(__xludf.DUMMYFUNCTION("""COMPUTED_VALUE"""),"3263")</f>
        <v>3263</v>
      </c>
      <c r="D1645" s="6" t="str">
        <f>IFERROR(__xludf.DUMMYFUNCTION("""COMPUTED_VALUE"""),"Utkalo")</f>
        <v>Utkalo</v>
      </c>
      <c r="E1645" s="6" t="str">
        <f>IFERROR(__xludf.DUMMYFUNCTION("""COMPUTED_VALUE"""),"")</f>
        <v/>
      </c>
      <c r="F1645" s="6" t="str">
        <f>IFERROR(__xludf.DUMMYFUNCTION("""COMPUTED_VALUE"""),"Arina")</f>
        <v>Arina</v>
      </c>
      <c r="G1645" s="6" t="str">
        <f>IFERROR(__xludf.DUMMYFUNCTION("""COMPUTED_VALUE"""),"05/02/2017")</f>
        <v>05/02/2017</v>
      </c>
      <c r="H1645" s="6" t="str">
        <f>IFERROR(__xludf.DUMMYFUNCTION("""COMPUTED_VALUE"""),"Self Identify")</f>
        <v>Self Identify</v>
      </c>
      <c r="I1645" s="6" t="str">
        <f>IFERROR(__xludf.DUMMYFUNCTION("""COMPUTED_VALUE"""),"Level 1")</f>
        <v>Level 1</v>
      </c>
      <c r="J1645" s="6" t="str">
        <f>IFERROR(__xludf.DUMMYFUNCTION("""COMPUTED_VALUE"""),"3")</f>
        <v>3</v>
      </c>
      <c r="K1645" s="6" t="str">
        <f>IFERROR(__xludf.DUMMYFUNCTION("""COMPUTED_VALUE"""),"utkalo.arina@2hourlearning.com")</f>
        <v>utkalo.arina@2hourlearning.com</v>
      </c>
      <c r="L1645" s="6" t="str">
        <f>IFERROR(__xludf.DUMMYFUNCTION("""COMPUTED_VALUE"""),"Learn and Earn Poland")</f>
        <v>Learn and Earn Poland</v>
      </c>
      <c r="M1645" s="6" t="str">
        <f>IFERROR(__xludf.DUMMYFUNCTION("""COMPUTED_VALUE"""),"")</f>
        <v/>
      </c>
      <c r="N1645" s="6" t="str">
        <f>IFERROR(__xludf.DUMMYFUNCTION("""COMPUTED_VALUE"""),"")</f>
        <v/>
      </c>
      <c r="O1645" s="87" t="str">
        <f>IFERROR(__xludf.DUMMYFUNCTION("""COMPUTED_VALUE"""),"https://drive.google.com/drive/folders/10T2cTQHqEJZqE-st6uFKPoI?usp=share_link")</f>
        <v>https://drive.google.com/drive/folders/10T2cTQHqEJZqE-st6uFKPoI?usp=share_link</v>
      </c>
      <c r="P1645" s="6" t="str">
        <f>IFERROR(__xludf.DUMMYFUNCTION("""COMPUTED_VALUE"""),"Utkalo Arina")</f>
        <v>Utkalo Arina</v>
      </c>
      <c r="Q1645" s="6" t="str">
        <f>IFERROR(__xludf.DUMMYFUNCTION("""COMPUTED_VALUE"""),"L1")</f>
        <v>L1</v>
      </c>
      <c r="R1645" s="6">
        <f>IFERROR(__xludf.DUMMYFUNCTION("""COMPUTED_VALUE"""),1.0)</f>
        <v>1</v>
      </c>
      <c r="S1645" s="6" t="str">
        <f>IFERROR(__xludf.DUMMYFUNCTION("""COMPUTED_VALUE""")," ")</f>
        <v> </v>
      </c>
      <c r="T1645" s="6" t="str">
        <f>IFERROR(__xludf.DUMMYFUNCTION("""COMPUTED_VALUE"""),"")</f>
        <v/>
      </c>
      <c r="U1645" s="6" t="str">
        <f>IFERROR(__xludf.DUMMYFUNCTION("""COMPUTED_VALUE"""),"3")</f>
        <v>3</v>
      </c>
      <c r="V1645" s="6" t="str">
        <f>IFERROR(__xludf.DUMMYFUNCTION("""COMPUTED_VALUE"""),"English")</f>
        <v>English</v>
      </c>
      <c r="W1645" s="6" t="str">
        <f>IFERROR(__xludf.DUMMYFUNCTION("""COMPUTED_VALUE"""),"[]")</f>
        <v>[]</v>
      </c>
      <c r="X1645" s="6" t="str">
        <f>IFERROR(__xludf.DUMMYFUNCTION("""COMPUTED_VALUE"""),"Enrolled")</f>
        <v>Enrolled</v>
      </c>
    </row>
    <row r="1646">
      <c r="A1646" s="6" t="str">
        <f>IFERROR(__xludf.DUMMYFUNCTION("""COMPUTED_VALUE"""),"009-3274")</f>
        <v>009-3274</v>
      </c>
      <c r="B1646" s="6" t="str">
        <f>IFERROR(__xludf.DUMMYFUNCTION("""COMPUTED_VALUE"""),"9")</f>
        <v>9</v>
      </c>
      <c r="C1646" s="6" t="str">
        <f>IFERROR(__xludf.DUMMYFUNCTION("""COMPUTED_VALUE"""),"3274")</f>
        <v>3274</v>
      </c>
      <c r="D1646" s="6" t="str">
        <f>IFERROR(__xludf.DUMMYFUNCTION("""COMPUTED_VALUE"""),"Borys")</f>
        <v>Borys</v>
      </c>
      <c r="E1646" s="6" t="str">
        <f>IFERROR(__xludf.DUMMYFUNCTION("""COMPUTED_VALUE"""),"")</f>
        <v/>
      </c>
      <c r="F1646" s="6" t="str">
        <f>IFERROR(__xludf.DUMMYFUNCTION("""COMPUTED_VALUE"""),"Bychkovskyi")</f>
        <v>Bychkovskyi</v>
      </c>
      <c r="G1646" s="6" t="str">
        <f>IFERROR(__xludf.DUMMYFUNCTION("""COMPUTED_VALUE"""),"11/08/2011")</f>
        <v>11/08/2011</v>
      </c>
      <c r="H1646" s="6" t="str">
        <f>IFERROR(__xludf.DUMMYFUNCTION("""COMPUTED_VALUE"""),"Self Identify")</f>
        <v>Self Identify</v>
      </c>
      <c r="I1646" s="6" t="str">
        <f>IFERROR(__xludf.DUMMYFUNCTION("""COMPUTED_VALUE"""),"Middle School")</f>
        <v>Middle School</v>
      </c>
      <c r="J1646" s="6" t="str">
        <f>IFERROR(__xludf.DUMMYFUNCTION("""COMPUTED_VALUE"""),"8")</f>
        <v>8</v>
      </c>
      <c r="K1646" s="6" t="str">
        <f>IFERROR(__xludf.DUMMYFUNCTION("""COMPUTED_VALUE"""),"borys.bychkovskyi@2hourlearning.com")</f>
        <v>borys.bychkovskyi@2hourlearning.com</v>
      </c>
      <c r="L1646" s="6" t="str">
        <f>IFERROR(__xludf.DUMMYFUNCTION("""COMPUTED_VALUE"""),"Learn and Earn Poland")</f>
        <v>Learn and Earn Poland</v>
      </c>
      <c r="M1646" s="6" t="str">
        <f>IFERROR(__xludf.DUMMYFUNCTION("""COMPUTED_VALUE"""),"")</f>
        <v/>
      </c>
      <c r="N1646" s="6" t="str">
        <f>IFERROR(__xludf.DUMMYFUNCTION("""COMPUTED_VALUE"""),"")</f>
        <v/>
      </c>
      <c r="O1646" s="87" t="str">
        <f>IFERROR(__xludf.DUMMYFUNCTION("""COMPUTED_VALUE"""),"https://drive.google.com/drive/folders/10T2cTQHqEJZqE-st6uFKPoI?usp=share_link")</f>
        <v>https://drive.google.com/drive/folders/10T2cTQHqEJZqE-st6uFKPoI?usp=share_link</v>
      </c>
      <c r="P1646" s="6" t="str">
        <f>IFERROR(__xludf.DUMMYFUNCTION("""COMPUTED_VALUE"""),"Borys Bychkovskyi")</f>
        <v>Borys Bychkovskyi</v>
      </c>
      <c r="Q1646" s="6" t="str">
        <f>IFERROR(__xludf.DUMMYFUNCTION("""COMPUTED_VALUE"""),"MS")</f>
        <v>MS</v>
      </c>
      <c r="R1646" s="6">
        <f>IFERROR(__xludf.DUMMYFUNCTION("""COMPUTED_VALUE"""),0.0)</f>
        <v>0</v>
      </c>
      <c r="S1646" s="6" t="str">
        <f>IFERROR(__xludf.DUMMYFUNCTION("""COMPUTED_VALUE""")," ")</f>
        <v> </v>
      </c>
      <c r="T1646" s="6" t="str">
        <f>IFERROR(__xludf.DUMMYFUNCTION("""COMPUTED_VALUE"""),"")</f>
        <v/>
      </c>
      <c r="U1646" s="6" t="str">
        <f>IFERROR(__xludf.DUMMYFUNCTION("""COMPUTED_VALUE"""),"8")</f>
        <v>8</v>
      </c>
      <c r="V1646" s="6" t="str">
        <f>IFERROR(__xludf.DUMMYFUNCTION("""COMPUTED_VALUE"""),"English")</f>
        <v>English</v>
      </c>
      <c r="W1646" s="6" t="str">
        <f>IFERROR(__xludf.DUMMYFUNCTION("""COMPUTED_VALUE"""),"[]")</f>
        <v>[]</v>
      </c>
      <c r="X1646" s="6" t="str">
        <f>IFERROR(__xludf.DUMMYFUNCTION("""COMPUTED_VALUE"""),"Enrolled")</f>
        <v>Enrolled</v>
      </c>
    </row>
    <row r="1647">
      <c r="A1647" s="6" t="str">
        <f>IFERROR(__xludf.DUMMYFUNCTION("""COMPUTED_VALUE"""),"009-3275")</f>
        <v>009-3275</v>
      </c>
      <c r="B1647" s="6" t="str">
        <f>IFERROR(__xludf.DUMMYFUNCTION("""COMPUTED_VALUE"""),"9")</f>
        <v>9</v>
      </c>
      <c r="C1647" s="6" t="str">
        <f>IFERROR(__xludf.DUMMYFUNCTION("""COMPUTED_VALUE"""),"3275")</f>
        <v>3275</v>
      </c>
      <c r="D1647" s="6" t="str">
        <f>IFERROR(__xludf.DUMMYFUNCTION("""COMPUTED_VALUE"""),"Vynnytskyi")</f>
        <v>Vynnytskyi</v>
      </c>
      <c r="E1647" s="6" t="str">
        <f>IFERROR(__xludf.DUMMYFUNCTION("""COMPUTED_VALUE"""),"")</f>
        <v/>
      </c>
      <c r="F1647" s="6" t="str">
        <f>IFERROR(__xludf.DUMMYFUNCTION("""COMPUTED_VALUE"""),"Pavlo")</f>
        <v>Pavlo</v>
      </c>
      <c r="G1647" s="6" t="str">
        <f>IFERROR(__xludf.DUMMYFUNCTION("""COMPUTED_VALUE"""),"07/12/2010")</f>
        <v>07/12/2010</v>
      </c>
      <c r="H1647" s="6" t="str">
        <f>IFERROR(__xludf.DUMMYFUNCTION("""COMPUTED_VALUE"""),"Self Identify")</f>
        <v>Self Identify</v>
      </c>
      <c r="I1647" s="6" t="str">
        <f>IFERROR(__xludf.DUMMYFUNCTION("""COMPUTED_VALUE"""),"High School")</f>
        <v>High School</v>
      </c>
      <c r="J1647" s="6" t="str">
        <f>IFERROR(__xludf.DUMMYFUNCTION("""COMPUTED_VALUE"""),"9")</f>
        <v>9</v>
      </c>
      <c r="K1647" s="6" t="str">
        <f>IFERROR(__xludf.DUMMYFUNCTION("""COMPUTED_VALUE"""),"vynnytskyi.pavlo@2hourlearning.com")</f>
        <v>vynnytskyi.pavlo@2hourlearning.com</v>
      </c>
      <c r="L1647" s="6" t="str">
        <f>IFERROR(__xludf.DUMMYFUNCTION("""COMPUTED_VALUE"""),"Learn and Earn Poland")</f>
        <v>Learn and Earn Poland</v>
      </c>
      <c r="M1647" s="6" t="str">
        <f>IFERROR(__xludf.DUMMYFUNCTION("""COMPUTED_VALUE"""),"")</f>
        <v/>
      </c>
      <c r="N1647" s="6" t="str">
        <f>IFERROR(__xludf.DUMMYFUNCTION("""COMPUTED_VALUE"""),"")</f>
        <v/>
      </c>
      <c r="O1647" s="87" t="str">
        <f>IFERROR(__xludf.DUMMYFUNCTION("""COMPUTED_VALUE"""),"https://drive.google.com/drive/folders/10T2cTQHqEJZqE-st6uFKPoI?usp=share_link")</f>
        <v>https://drive.google.com/drive/folders/10T2cTQHqEJZqE-st6uFKPoI?usp=share_link</v>
      </c>
      <c r="P1647" s="6" t="str">
        <f>IFERROR(__xludf.DUMMYFUNCTION("""COMPUTED_VALUE"""),"Vynnytskyi Pavlo")</f>
        <v>Vynnytskyi Pavlo</v>
      </c>
      <c r="Q1647" s="6" t="str">
        <f>IFERROR(__xludf.DUMMYFUNCTION("""COMPUTED_VALUE"""),"HS")</f>
        <v>HS</v>
      </c>
      <c r="R1647" s="6">
        <f>IFERROR(__xludf.DUMMYFUNCTION("""COMPUTED_VALUE"""),0.0)</f>
        <v>0</v>
      </c>
      <c r="S1647" s="6" t="str">
        <f>IFERROR(__xludf.DUMMYFUNCTION("""COMPUTED_VALUE""")," ")</f>
        <v> </v>
      </c>
      <c r="T1647" s="6" t="str">
        <f>IFERROR(__xludf.DUMMYFUNCTION("""COMPUTED_VALUE"""),"")</f>
        <v/>
      </c>
      <c r="U1647" s="6" t="str">
        <f>IFERROR(__xludf.DUMMYFUNCTION("""COMPUTED_VALUE"""),"9")</f>
        <v>9</v>
      </c>
      <c r="V1647" s="6" t="str">
        <f>IFERROR(__xludf.DUMMYFUNCTION("""COMPUTED_VALUE"""),"English")</f>
        <v>English</v>
      </c>
      <c r="W1647" s="6" t="str">
        <f>IFERROR(__xludf.DUMMYFUNCTION("""COMPUTED_VALUE"""),"[]")</f>
        <v>[]</v>
      </c>
      <c r="X1647" s="6" t="str">
        <f>IFERROR(__xludf.DUMMYFUNCTION("""COMPUTED_VALUE"""),"Enrolled")</f>
        <v>Enrolled</v>
      </c>
    </row>
    <row r="1648">
      <c r="A1648" s="6" t="str">
        <f>IFERROR(__xludf.DUMMYFUNCTION("""COMPUTED_VALUE"""),"009-3276")</f>
        <v>009-3276</v>
      </c>
      <c r="B1648" s="6" t="str">
        <f>IFERROR(__xludf.DUMMYFUNCTION("""COMPUTED_VALUE"""),"9")</f>
        <v>9</v>
      </c>
      <c r="C1648" s="6" t="str">
        <f>IFERROR(__xludf.DUMMYFUNCTION("""COMPUTED_VALUE"""),"3276")</f>
        <v>3276</v>
      </c>
      <c r="D1648" s="6" t="str">
        <f>IFERROR(__xludf.DUMMYFUNCTION("""COMPUTED_VALUE"""),"Romanenko")</f>
        <v>Romanenko</v>
      </c>
      <c r="E1648" s="6" t="str">
        <f>IFERROR(__xludf.DUMMYFUNCTION("""COMPUTED_VALUE"""),"")</f>
        <v/>
      </c>
      <c r="F1648" s="6" t="str">
        <f>IFERROR(__xludf.DUMMYFUNCTION("""COMPUTED_VALUE"""),"Maksym")</f>
        <v>Maksym</v>
      </c>
      <c r="G1648" s="6" t="str">
        <f>IFERROR(__xludf.DUMMYFUNCTION("""COMPUTED_VALUE"""),"10/08/2011")</f>
        <v>10/08/2011</v>
      </c>
      <c r="H1648" s="6" t="str">
        <f>IFERROR(__xludf.DUMMYFUNCTION("""COMPUTED_VALUE"""),"Self Identify")</f>
        <v>Self Identify</v>
      </c>
      <c r="I1648" s="6" t="str">
        <f>IFERROR(__xludf.DUMMYFUNCTION("""COMPUTED_VALUE"""),"Middle School")</f>
        <v>Middle School</v>
      </c>
      <c r="J1648" s="6" t="str">
        <f>IFERROR(__xludf.DUMMYFUNCTION("""COMPUTED_VALUE"""),"8")</f>
        <v>8</v>
      </c>
      <c r="K1648" s="6" t="str">
        <f>IFERROR(__xludf.DUMMYFUNCTION("""COMPUTED_VALUE"""),"romanenko.maksym@2hourlearning.com")</f>
        <v>romanenko.maksym@2hourlearning.com</v>
      </c>
      <c r="L1648" s="6" t="str">
        <f>IFERROR(__xludf.DUMMYFUNCTION("""COMPUTED_VALUE"""),"Learn and Earn Poland")</f>
        <v>Learn and Earn Poland</v>
      </c>
      <c r="M1648" s="6" t="str">
        <f>IFERROR(__xludf.DUMMYFUNCTION("""COMPUTED_VALUE"""),"")</f>
        <v/>
      </c>
      <c r="N1648" s="6" t="str">
        <f>IFERROR(__xludf.DUMMYFUNCTION("""COMPUTED_VALUE"""),"")</f>
        <v/>
      </c>
      <c r="O1648" s="87" t="str">
        <f>IFERROR(__xludf.DUMMYFUNCTION("""COMPUTED_VALUE"""),"https://drive.google.com/drive/folders/10T2cTQHqEJZqE-st6uFKPoI?usp=share_link")</f>
        <v>https://drive.google.com/drive/folders/10T2cTQHqEJZqE-st6uFKPoI?usp=share_link</v>
      </c>
      <c r="P1648" s="6" t="str">
        <f>IFERROR(__xludf.DUMMYFUNCTION("""COMPUTED_VALUE"""),"Romanenko Maksym")</f>
        <v>Romanenko Maksym</v>
      </c>
      <c r="Q1648" s="6" t="str">
        <f>IFERROR(__xludf.DUMMYFUNCTION("""COMPUTED_VALUE"""),"MS")</f>
        <v>MS</v>
      </c>
      <c r="R1648" s="6">
        <f>IFERROR(__xludf.DUMMYFUNCTION("""COMPUTED_VALUE"""),0.0)</f>
        <v>0</v>
      </c>
      <c r="S1648" s="6" t="str">
        <f>IFERROR(__xludf.DUMMYFUNCTION("""COMPUTED_VALUE""")," ")</f>
        <v> </v>
      </c>
      <c r="T1648" s="6" t="str">
        <f>IFERROR(__xludf.DUMMYFUNCTION("""COMPUTED_VALUE"""),"")</f>
        <v/>
      </c>
      <c r="U1648" s="6" t="str">
        <f>IFERROR(__xludf.DUMMYFUNCTION("""COMPUTED_VALUE"""),"8")</f>
        <v>8</v>
      </c>
      <c r="V1648" s="6" t="str">
        <f>IFERROR(__xludf.DUMMYFUNCTION("""COMPUTED_VALUE"""),"English")</f>
        <v>English</v>
      </c>
      <c r="W1648" s="6" t="str">
        <f>IFERROR(__xludf.DUMMYFUNCTION("""COMPUTED_VALUE"""),"[]")</f>
        <v>[]</v>
      </c>
      <c r="X1648" s="6" t="str">
        <f>IFERROR(__xludf.DUMMYFUNCTION("""COMPUTED_VALUE"""),"Enrolled")</f>
        <v>Enrolled</v>
      </c>
    </row>
    <row r="1649">
      <c r="A1649" s="6" t="str">
        <f>IFERROR(__xludf.DUMMYFUNCTION("""COMPUTED_VALUE"""),"009-3277")</f>
        <v>009-3277</v>
      </c>
      <c r="B1649" s="6" t="str">
        <f>IFERROR(__xludf.DUMMYFUNCTION("""COMPUTED_VALUE"""),"9")</f>
        <v>9</v>
      </c>
      <c r="C1649" s="6" t="str">
        <f>IFERROR(__xludf.DUMMYFUNCTION("""COMPUTED_VALUE"""),"3277")</f>
        <v>3277</v>
      </c>
      <c r="D1649" s="6" t="str">
        <f>IFERROR(__xludf.DUMMYFUNCTION("""COMPUTED_VALUE"""),"Kristovf")</f>
        <v>Kristovf</v>
      </c>
      <c r="E1649" s="6" t="str">
        <f>IFERROR(__xludf.DUMMYFUNCTION("""COMPUTED_VALUE"""),"")</f>
        <v/>
      </c>
      <c r="F1649" s="6" t="str">
        <f>IFERROR(__xludf.DUMMYFUNCTION("""COMPUTED_VALUE"""),"Dominik")</f>
        <v>Dominik</v>
      </c>
      <c r="G1649" s="6" t="str">
        <f>IFERROR(__xludf.DUMMYFUNCTION("""COMPUTED_VALUE"""),"07/17/2017")</f>
        <v>07/17/2017</v>
      </c>
      <c r="H1649" s="6" t="str">
        <f>IFERROR(__xludf.DUMMYFUNCTION("""COMPUTED_VALUE"""),"Self Identify")</f>
        <v>Self Identify</v>
      </c>
      <c r="I1649" s="6" t="str">
        <f>IFERROR(__xludf.DUMMYFUNCTION("""COMPUTED_VALUE"""),"Level 1")</f>
        <v>Level 1</v>
      </c>
      <c r="J1649" s="6" t="str">
        <f>IFERROR(__xludf.DUMMYFUNCTION("""COMPUTED_VALUE"""),"2")</f>
        <v>2</v>
      </c>
      <c r="K1649" s="6" t="str">
        <f>IFERROR(__xludf.DUMMYFUNCTION("""COMPUTED_VALUE"""),"kristovf.dominik@2hourlearning.com")</f>
        <v>kristovf.dominik@2hourlearning.com</v>
      </c>
      <c r="L1649" s="6" t="str">
        <f>IFERROR(__xludf.DUMMYFUNCTION("""COMPUTED_VALUE"""),"Learn and Earn Poland")</f>
        <v>Learn and Earn Poland</v>
      </c>
      <c r="M1649" s="6" t="str">
        <f>IFERROR(__xludf.DUMMYFUNCTION("""COMPUTED_VALUE"""),"")</f>
        <v/>
      </c>
      <c r="N1649" s="6" t="str">
        <f>IFERROR(__xludf.DUMMYFUNCTION("""COMPUTED_VALUE"""),"")</f>
        <v/>
      </c>
      <c r="O1649" s="87" t="str">
        <f>IFERROR(__xludf.DUMMYFUNCTION("""COMPUTED_VALUE"""),"https://drive.google.com/drive/folders/10T2cTQHqEJZqE-st6uFKPoI?usp=share_link")</f>
        <v>https://drive.google.com/drive/folders/10T2cTQHqEJZqE-st6uFKPoI?usp=share_link</v>
      </c>
      <c r="P1649" s="6" t="str">
        <f>IFERROR(__xludf.DUMMYFUNCTION("""COMPUTED_VALUE"""),"Kristovf Dominik")</f>
        <v>Kristovf Dominik</v>
      </c>
      <c r="Q1649" s="6" t="str">
        <f>IFERROR(__xludf.DUMMYFUNCTION("""COMPUTED_VALUE"""),"L1")</f>
        <v>L1</v>
      </c>
      <c r="R1649" s="6">
        <f>IFERROR(__xludf.DUMMYFUNCTION("""COMPUTED_VALUE"""),1.0)</f>
        <v>1</v>
      </c>
      <c r="S1649" s="6" t="str">
        <f>IFERROR(__xludf.DUMMYFUNCTION("""COMPUTED_VALUE""")," ")</f>
        <v> </v>
      </c>
      <c r="T1649" s="6" t="str">
        <f>IFERROR(__xludf.DUMMYFUNCTION("""COMPUTED_VALUE"""),"")</f>
        <v/>
      </c>
      <c r="U1649" s="6" t="str">
        <f>IFERROR(__xludf.DUMMYFUNCTION("""COMPUTED_VALUE"""),"2")</f>
        <v>2</v>
      </c>
      <c r="V1649" s="6" t="str">
        <f>IFERROR(__xludf.DUMMYFUNCTION("""COMPUTED_VALUE"""),"English")</f>
        <v>English</v>
      </c>
      <c r="W1649" s="6" t="str">
        <f>IFERROR(__xludf.DUMMYFUNCTION("""COMPUTED_VALUE"""),"[]")</f>
        <v>[]</v>
      </c>
      <c r="X1649" s="6" t="str">
        <f>IFERROR(__xludf.DUMMYFUNCTION("""COMPUTED_VALUE"""),"Enrolled")</f>
        <v>Enrolled</v>
      </c>
    </row>
    <row r="1650">
      <c r="A1650" s="6" t="str">
        <f>IFERROR(__xludf.DUMMYFUNCTION("""COMPUTED_VALUE"""),"009-3278")</f>
        <v>009-3278</v>
      </c>
      <c r="B1650" s="6" t="str">
        <f>IFERROR(__xludf.DUMMYFUNCTION("""COMPUTED_VALUE"""),"9")</f>
        <v>9</v>
      </c>
      <c r="C1650" s="6" t="str">
        <f>IFERROR(__xludf.DUMMYFUNCTION("""COMPUTED_VALUE"""),"3278")</f>
        <v>3278</v>
      </c>
      <c r="D1650" s="6" t="str">
        <f>IFERROR(__xludf.DUMMYFUNCTION("""COMPUTED_VALUE"""),"Nazar")</f>
        <v>Nazar</v>
      </c>
      <c r="E1650" s="6" t="str">
        <f>IFERROR(__xludf.DUMMYFUNCTION("""COMPUTED_VALUE"""),"")</f>
        <v/>
      </c>
      <c r="F1650" s="6" t="str">
        <f>IFERROR(__xludf.DUMMYFUNCTION("""COMPUTED_VALUE"""),"Tkachenko")</f>
        <v>Tkachenko</v>
      </c>
      <c r="G1650" s="6" t="str">
        <f>IFERROR(__xludf.DUMMYFUNCTION("""COMPUTED_VALUE"""),"01/19/2016")</f>
        <v>01/19/2016</v>
      </c>
      <c r="H1650" s="6" t="str">
        <f>IFERROR(__xludf.DUMMYFUNCTION("""COMPUTED_VALUE"""),"Self Identify")</f>
        <v>Self Identify</v>
      </c>
      <c r="I1650" s="6" t="str">
        <f>IFERROR(__xludf.DUMMYFUNCTION("""COMPUTED_VALUE"""),"Level 2")</f>
        <v>Level 2</v>
      </c>
      <c r="J1650" s="6" t="str">
        <f>IFERROR(__xludf.DUMMYFUNCTION("""COMPUTED_VALUE"""),"4")</f>
        <v>4</v>
      </c>
      <c r="K1650" s="6" t="str">
        <f>IFERROR(__xludf.DUMMYFUNCTION("""COMPUTED_VALUE"""),"nazar.tkachenko@2hourlearning.com")</f>
        <v>nazar.tkachenko@2hourlearning.com</v>
      </c>
      <c r="L1650" s="6" t="str">
        <f>IFERROR(__xludf.DUMMYFUNCTION("""COMPUTED_VALUE"""),"Learn and Earn Poland")</f>
        <v>Learn and Earn Poland</v>
      </c>
      <c r="M1650" s="6" t="str">
        <f>IFERROR(__xludf.DUMMYFUNCTION("""COMPUTED_VALUE"""),"")</f>
        <v/>
      </c>
      <c r="N1650" s="6" t="str">
        <f>IFERROR(__xludf.DUMMYFUNCTION("""COMPUTED_VALUE"""),"")</f>
        <v/>
      </c>
      <c r="O1650" s="87" t="str">
        <f>IFERROR(__xludf.DUMMYFUNCTION("""COMPUTED_VALUE"""),"https://drive.google.com/drive/folders/10T2cTQHqEJZqE-st6uFKPoI?usp=share_link")</f>
        <v>https://drive.google.com/drive/folders/10T2cTQHqEJZqE-st6uFKPoI?usp=share_link</v>
      </c>
      <c r="P1650" s="6" t="str">
        <f>IFERROR(__xludf.DUMMYFUNCTION("""COMPUTED_VALUE"""),"Nazar Tkachenko")</f>
        <v>Nazar Tkachenko</v>
      </c>
      <c r="Q1650" s="6" t="str">
        <f>IFERROR(__xludf.DUMMYFUNCTION("""COMPUTED_VALUE"""),"L2")</f>
        <v>L2</v>
      </c>
      <c r="R1650" s="6">
        <f>IFERROR(__xludf.DUMMYFUNCTION("""COMPUTED_VALUE"""),2.0)</f>
        <v>2</v>
      </c>
      <c r="S1650" s="6" t="str">
        <f>IFERROR(__xludf.DUMMYFUNCTION("""COMPUTED_VALUE""")," ")</f>
        <v> </v>
      </c>
      <c r="T1650" s="6" t="str">
        <f>IFERROR(__xludf.DUMMYFUNCTION("""COMPUTED_VALUE"""),"")</f>
        <v/>
      </c>
      <c r="U1650" s="6" t="str">
        <f>IFERROR(__xludf.DUMMYFUNCTION("""COMPUTED_VALUE"""),"4")</f>
        <v>4</v>
      </c>
      <c r="V1650" s="6" t="str">
        <f>IFERROR(__xludf.DUMMYFUNCTION("""COMPUTED_VALUE"""),"English")</f>
        <v>English</v>
      </c>
      <c r="W1650" s="6" t="str">
        <f>IFERROR(__xludf.DUMMYFUNCTION("""COMPUTED_VALUE"""),"[]")</f>
        <v>[]</v>
      </c>
      <c r="X1650" s="6" t="str">
        <f>IFERROR(__xludf.DUMMYFUNCTION("""COMPUTED_VALUE"""),"Enrolled")</f>
        <v>Enrolled</v>
      </c>
    </row>
    <row r="1651">
      <c r="A1651" s="6" t="str">
        <f>IFERROR(__xludf.DUMMYFUNCTION("""COMPUTED_VALUE"""),"009-3279")</f>
        <v>009-3279</v>
      </c>
      <c r="B1651" s="6" t="str">
        <f>IFERROR(__xludf.DUMMYFUNCTION("""COMPUTED_VALUE"""),"9")</f>
        <v>9</v>
      </c>
      <c r="C1651" s="6" t="str">
        <f>IFERROR(__xludf.DUMMYFUNCTION("""COMPUTED_VALUE"""),"3279")</f>
        <v>3279</v>
      </c>
      <c r="D1651" s="6" t="str">
        <f>IFERROR(__xludf.DUMMYFUNCTION("""COMPUTED_VALUE"""),"Anastasiia")</f>
        <v>Anastasiia</v>
      </c>
      <c r="E1651" s="6" t="str">
        <f>IFERROR(__xludf.DUMMYFUNCTION("""COMPUTED_VALUE"""),"")</f>
        <v/>
      </c>
      <c r="F1651" s="6" t="str">
        <f>IFERROR(__xludf.DUMMYFUNCTION("""COMPUTED_VALUE"""),"Tkachenko")</f>
        <v>Tkachenko</v>
      </c>
      <c r="G1651" s="6" t="str">
        <f>IFERROR(__xludf.DUMMYFUNCTION("""COMPUTED_VALUE"""),"09/01/2007")</f>
        <v>09/01/2007</v>
      </c>
      <c r="H1651" s="6" t="str">
        <f>IFERROR(__xludf.DUMMYFUNCTION("""COMPUTED_VALUE"""),"Self Identify")</f>
        <v>Self Identify</v>
      </c>
      <c r="I1651" s="6" t="str">
        <f>IFERROR(__xludf.DUMMYFUNCTION("""COMPUTED_VALUE"""),"High School")</f>
        <v>High School</v>
      </c>
      <c r="J1651" s="6" t="str">
        <f>IFERROR(__xludf.DUMMYFUNCTION("""COMPUTED_VALUE"""),"12")</f>
        <v>12</v>
      </c>
      <c r="K1651" s="6" t="str">
        <f>IFERROR(__xludf.DUMMYFUNCTION("""COMPUTED_VALUE"""),"anastasiia.tkachenko@2hourlearning.com")</f>
        <v>anastasiia.tkachenko@2hourlearning.com</v>
      </c>
      <c r="L1651" s="6" t="str">
        <f>IFERROR(__xludf.DUMMYFUNCTION("""COMPUTED_VALUE"""),"Learn and Earn Poland")</f>
        <v>Learn and Earn Poland</v>
      </c>
      <c r="M1651" s="6" t="str">
        <f>IFERROR(__xludf.DUMMYFUNCTION("""COMPUTED_VALUE"""),"")</f>
        <v/>
      </c>
      <c r="N1651" s="6" t="str">
        <f>IFERROR(__xludf.DUMMYFUNCTION("""COMPUTED_VALUE"""),"")</f>
        <v/>
      </c>
      <c r="O1651" s="87" t="str">
        <f>IFERROR(__xludf.DUMMYFUNCTION("""COMPUTED_VALUE"""),"https://drive.google.com/drive/folders/10T2cTQHqEJZqE-st6uFKPoI?usp=share_link")</f>
        <v>https://drive.google.com/drive/folders/10T2cTQHqEJZqE-st6uFKPoI?usp=share_link</v>
      </c>
      <c r="P1651" s="6" t="str">
        <f>IFERROR(__xludf.DUMMYFUNCTION("""COMPUTED_VALUE"""),"Anastasiia Tkachenko")</f>
        <v>Anastasiia Tkachenko</v>
      </c>
      <c r="Q1651" s="6" t="str">
        <f>IFERROR(__xludf.DUMMYFUNCTION("""COMPUTED_VALUE"""),"HS")</f>
        <v>HS</v>
      </c>
      <c r="R1651" s="6">
        <f>IFERROR(__xludf.DUMMYFUNCTION("""COMPUTED_VALUE"""),0.0)</f>
        <v>0</v>
      </c>
      <c r="S1651" s="6" t="str">
        <f>IFERROR(__xludf.DUMMYFUNCTION("""COMPUTED_VALUE""")," ")</f>
        <v> </v>
      </c>
      <c r="T1651" s="6" t="str">
        <f>IFERROR(__xludf.DUMMYFUNCTION("""COMPUTED_VALUE"""),"")</f>
        <v/>
      </c>
      <c r="U1651" s="6" t="str">
        <f>IFERROR(__xludf.DUMMYFUNCTION("""COMPUTED_VALUE"""),"12")</f>
        <v>12</v>
      </c>
      <c r="V1651" s="6" t="str">
        <f>IFERROR(__xludf.DUMMYFUNCTION("""COMPUTED_VALUE"""),"English")</f>
        <v>English</v>
      </c>
      <c r="W1651" s="6" t="str">
        <f>IFERROR(__xludf.DUMMYFUNCTION("""COMPUTED_VALUE"""),"[]")</f>
        <v>[]</v>
      </c>
      <c r="X1651" s="6" t="str">
        <f>IFERROR(__xludf.DUMMYFUNCTION("""COMPUTED_VALUE"""),"Enrolled")</f>
        <v>Enrolled</v>
      </c>
    </row>
    <row r="1652">
      <c r="A1652" s="6" t="str">
        <f>IFERROR(__xludf.DUMMYFUNCTION("""COMPUTED_VALUE"""),"009-3280")</f>
        <v>009-3280</v>
      </c>
      <c r="B1652" s="6" t="str">
        <f>IFERROR(__xludf.DUMMYFUNCTION("""COMPUTED_VALUE"""),"9")</f>
        <v>9</v>
      </c>
      <c r="C1652" s="6" t="str">
        <f>IFERROR(__xludf.DUMMYFUNCTION("""COMPUTED_VALUE"""),"3280")</f>
        <v>3280</v>
      </c>
      <c r="D1652" s="6" t="str">
        <f>IFERROR(__xludf.DUMMYFUNCTION("""COMPUTED_VALUE"""),"Barbara")</f>
        <v>Barbara</v>
      </c>
      <c r="E1652" s="6" t="str">
        <f>IFERROR(__xludf.DUMMYFUNCTION("""COMPUTED_VALUE"""),"")</f>
        <v/>
      </c>
      <c r="F1652" s="6" t="str">
        <f>IFERROR(__xludf.DUMMYFUNCTION("""COMPUTED_VALUE"""),"Karaslai")</f>
        <v>Karaslai</v>
      </c>
      <c r="G1652" s="6" t="str">
        <f>IFERROR(__xludf.DUMMYFUNCTION("""COMPUTED_VALUE"""),"02/11/2011")</f>
        <v>02/11/2011</v>
      </c>
      <c r="H1652" s="6" t="str">
        <f>IFERROR(__xludf.DUMMYFUNCTION("""COMPUTED_VALUE"""),"Self Identify")</f>
        <v>Self Identify</v>
      </c>
      <c r="I1652" s="6" t="str">
        <f>IFERROR(__xludf.DUMMYFUNCTION("""COMPUTED_VALUE"""),"High School")</f>
        <v>High School</v>
      </c>
      <c r="J1652" s="6" t="str">
        <f>IFERROR(__xludf.DUMMYFUNCTION("""COMPUTED_VALUE"""),"9")</f>
        <v>9</v>
      </c>
      <c r="K1652" s="6" t="str">
        <f>IFERROR(__xludf.DUMMYFUNCTION("""COMPUTED_VALUE"""),"barbara.karaslai@2hourlearning.com")</f>
        <v>barbara.karaslai@2hourlearning.com</v>
      </c>
      <c r="L1652" s="6" t="str">
        <f>IFERROR(__xludf.DUMMYFUNCTION("""COMPUTED_VALUE"""),"Learn and Earn Poland")</f>
        <v>Learn and Earn Poland</v>
      </c>
      <c r="M1652" s="6" t="str">
        <f>IFERROR(__xludf.DUMMYFUNCTION("""COMPUTED_VALUE"""),"")</f>
        <v/>
      </c>
      <c r="N1652" s="6" t="str">
        <f>IFERROR(__xludf.DUMMYFUNCTION("""COMPUTED_VALUE"""),"")</f>
        <v/>
      </c>
      <c r="O1652" s="87" t="str">
        <f>IFERROR(__xludf.DUMMYFUNCTION("""COMPUTED_VALUE"""),"https://drive.google.com/drive/folders/10T2cTQHqEJZqE-st6uFKPoI?usp=share_link")</f>
        <v>https://drive.google.com/drive/folders/10T2cTQHqEJZqE-st6uFKPoI?usp=share_link</v>
      </c>
      <c r="P1652" s="6" t="str">
        <f>IFERROR(__xludf.DUMMYFUNCTION("""COMPUTED_VALUE"""),"Barbara Karaslai")</f>
        <v>Barbara Karaslai</v>
      </c>
      <c r="Q1652" s="6" t="str">
        <f>IFERROR(__xludf.DUMMYFUNCTION("""COMPUTED_VALUE"""),"HS")</f>
        <v>HS</v>
      </c>
      <c r="R1652" s="6">
        <f>IFERROR(__xludf.DUMMYFUNCTION("""COMPUTED_VALUE"""),0.0)</f>
        <v>0</v>
      </c>
      <c r="S1652" s="6" t="str">
        <f>IFERROR(__xludf.DUMMYFUNCTION("""COMPUTED_VALUE""")," ")</f>
        <v> </v>
      </c>
      <c r="T1652" s="6" t="str">
        <f>IFERROR(__xludf.DUMMYFUNCTION("""COMPUTED_VALUE"""),"")</f>
        <v/>
      </c>
      <c r="U1652" s="6" t="str">
        <f>IFERROR(__xludf.DUMMYFUNCTION("""COMPUTED_VALUE"""),"9")</f>
        <v>9</v>
      </c>
      <c r="V1652" s="6" t="str">
        <f>IFERROR(__xludf.DUMMYFUNCTION("""COMPUTED_VALUE"""),"English")</f>
        <v>English</v>
      </c>
      <c r="W1652" s="6" t="str">
        <f>IFERROR(__xludf.DUMMYFUNCTION("""COMPUTED_VALUE"""),"[]")</f>
        <v>[]</v>
      </c>
      <c r="X1652" s="6" t="str">
        <f>IFERROR(__xludf.DUMMYFUNCTION("""COMPUTED_VALUE"""),"Enrolled")</f>
        <v>Enrolled</v>
      </c>
    </row>
    <row r="1653">
      <c r="A1653" s="6" t="str">
        <f>IFERROR(__xludf.DUMMYFUNCTION("""COMPUTED_VALUE"""),"009-3281")</f>
        <v>009-3281</v>
      </c>
      <c r="B1653" s="6" t="str">
        <f>IFERROR(__xludf.DUMMYFUNCTION("""COMPUTED_VALUE"""),"9")</f>
        <v>9</v>
      </c>
      <c r="C1653" s="6" t="str">
        <f>IFERROR(__xludf.DUMMYFUNCTION("""COMPUTED_VALUE"""),"3281")</f>
        <v>3281</v>
      </c>
      <c r="D1653" s="6" t="str">
        <f>IFERROR(__xludf.DUMMYFUNCTION("""COMPUTED_VALUE"""),"Kyrylo")</f>
        <v>Kyrylo</v>
      </c>
      <c r="E1653" s="6" t="str">
        <f>IFERROR(__xludf.DUMMYFUNCTION("""COMPUTED_VALUE"""),"")</f>
        <v/>
      </c>
      <c r="F1653" s="6" t="str">
        <f>IFERROR(__xludf.DUMMYFUNCTION("""COMPUTED_VALUE"""),"Lebediev")</f>
        <v>Lebediev</v>
      </c>
      <c r="G1653" s="6" t="str">
        <f>IFERROR(__xludf.DUMMYFUNCTION("""COMPUTED_VALUE"""),"08/28/2017")</f>
        <v>08/28/2017</v>
      </c>
      <c r="H1653" s="6" t="str">
        <f>IFERROR(__xludf.DUMMYFUNCTION("""COMPUTED_VALUE"""),"Self Identify")</f>
        <v>Self Identify</v>
      </c>
      <c r="I1653" s="6" t="str">
        <f>IFERROR(__xludf.DUMMYFUNCTION("""COMPUTED_VALUE"""),"Level 1")</f>
        <v>Level 1</v>
      </c>
      <c r="J1653" s="6" t="str">
        <f>IFERROR(__xludf.DUMMYFUNCTION("""COMPUTED_VALUE"""),"2")</f>
        <v>2</v>
      </c>
      <c r="K1653" s="6" t="str">
        <f>IFERROR(__xludf.DUMMYFUNCTION("""COMPUTED_VALUE"""),"kyrylo.lebediev@2hourlearning.com")</f>
        <v>kyrylo.lebediev@2hourlearning.com</v>
      </c>
      <c r="L1653" s="6" t="str">
        <f>IFERROR(__xludf.DUMMYFUNCTION("""COMPUTED_VALUE"""),"Learn and Earn Poland")</f>
        <v>Learn and Earn Poland</v>
      </c>
      <c r="M1653" s="6" t="str">
        <f>IFERROR(__xludf.DUMMYFUNCTION("""COMPUTED_VALUE"""),"")</f>
        <v/>
      </c>
      <c r="N1653" s="6" t="str">
        <f>IFERROR(__xludf.DUMMYFUNCTION("""COMPUTED_VALUE"""),"")</f>
        <v/>
      </c>
      <c r="O1653" s="87" t="str">
        <f>IFERROR(__xludf.DUMMYFUNCTION("""COMPUTED_VALUE"""),"https://drive.google.com/drive/folders/10T2cTQHqEJZqE-st6uFKPoI?usp=share_link")</f>
        <v>https://drive.google.com/drive/folders/10T2cTQHqEJZqE-st6uFKPoI?usp=share_link</v>
      </c>
      <c r="P1653" s="6" t="str">
        <f>IFERROR(__xludf.DUMMYFUNCTION("""COMPUTED_VALUE"""),"Kyrylo Lebediev")</f>
        <v>Kyrylo Lebediev</v>
      </c>
      <c r="Q1653" s="6" t="str">
        <f>IFERROR(__xludf.DUMMYFUNCTION("""COMPUTED_VALUE"""),"L1")</f>
        <v>L1</v>
      </c>
      <c r="R1653" s="6">
        <f>IFERROR(__xludf.DUMMYFUNCTION("""COMPUTED_VALUE"""),1.0)</f>
        <v>1</v>
      </c>
      <c r="S1653" s="6" t="str">
        <f>IFERROR(__xludf.DUMMYFUNCTION("""COMPUTED_VALUE""")," ")</f>
        <v> </v>
      </c>
      <c r="T1653" s="6" t="str">
        <f>IFERROR(__xludf.DUMMYFUNCTION("""COMPUTED_VALUE"""),"")</f>
        <v/>
      </c>
      <c r="U1653" s="6" t="str">
        <f>IFERROR(__xludf.DUMMYFUNCTION("""COMPUTED_VALUE"""),"2")</f>
        <v>2</v>
      </c>
      <c r="V1653" s="6" t="str">
        <f>IFERROR(__xludf.DUMMYFUNCTION("""COMPUTED_VALUE"""),"English")</f>
        <v>English</v>
      </c>
      <c r="W1653" s="6" t="str">
        <f>IFERROR(__xludf.DUMMYFUNCTION("""COMPUTED_VALUE"""),"[]")</f>
        <v>[]</v>
      </c>
      <c r="X1653" s="6" t="str">
        <f>IFERROR(__xludf.DUMMYFUNCTION("""COMPUTED_VALUE"""),"Enrolled")</f>
        <v>Enrolled</v>
      </c>
    </row>
    <row r="1654">
      <c r="A1654" s="6" t="str">
        <f>IFERROR(__xludf.DUMMYFUNCTION("""COMPUTED_VALUE"""),"009-3285")</f>
        <v>009-3285</v>
      </c>
      <c r="B1654" s="6" t="str">
        <f>IFERROR(__xludf.DUMMYFUNCTION("""COMPUTED_VALUE"""),"9")</f>
        <v>9</v>
      </c>
      <c r="C1654" s="6" t="str">
        <f>IFERROR(__xludf.DUMMYFUNCTION("""COMPUTED_VALUE"""),"3285")</f>
        <v>3285</v>
      </c>
      <c r="D1654" s="6" t="str">
        <f>IFERROR(__xludf.DUMMYFUNCTION("""COMPUTED_VALUE"""),"Solnoki")</f>
        <v>Solnoki</v>
      </c>
      <c r="E1654" s="6" t="str">
        <f>IFERROR(__xludf.DUMMYFUNCTION("""COMPUTED_VALUE"""),"")</f>
        <v/>
      </c>
      <c r="F1654" s="6" t="str">
        <f>IFERROR(__xludf.DUMMYFUNCTION("""COMPUTED_VALUE"""),"Hanna")</f>
        <v>Hanna</v>
      </c>
      <c r="G1654" s="6" t="str">
        <f>IFERROR(__xludf.DUMMYFUNCTION("""COMPUTED_VALUE"""),"03/03/2015")</f>
        <v>03/03/2015</v>
      </c>
      <c r="H1654" s="6" t="str">
        <f>IFERROR(__xludf.DUMMYFUNCTION("""COMPUTED_VALUE"""),"Self Identify")</f>
        <v>Self Identify</v>
      </c>
      <c r="I1654" s="6" t="str">
        <f>IFERROR(__xludf.DUMMYFUNCTION("""COMPUTED_VALUE"""),"Level 2")</f>
        <v>Level 2</v>
      </c>
      <c r="J1654" s="6" t="str">
        <f>IFERROR(__xludf.DUMMYFUNCTION("""COMPUTED_VALUE"""),"5")</f>
        <v>5</v>
      </c>
      <c r="K1654" s="6" t="str">
        <f>IFERROR(__xludf.DUMMYFUNCTION("""COMPUTED_VALUE"""),"solnoki.hanna@2hourlearning.com")</f>
        <v>solnoki.hanna@2hourlearning.com</v>
      </c>
      <c r="L1654" s="6" t="str">
        <f>IFERROR(__xludf.DUMMYFUNCTION("""COMPUTED_VALUE"""),"Learn and Earn Poland")</f>
        <v>Learn and Earn Poland</v>
      </c>
      <c r="M1654" s="6" t="str">
        <f>IFERROR(__xludf.DUMMYFUNCTION("""COMPUTED_VALUE"""),"")</f>
        <v/>
      </c>
      <c r="N1654" s="6" t="str">
        <f>IFERROR(__xludf.DUMMYFUNCTION("""COMPUTED_VALUE"""),"")</f>
        <v/>
      </c>
      <c r="O1654" s="87" t="str">
        <f>IFERROR(__xludf.DUMMYFUNCTION("""COMPUTED_VALUE"""),"https://drive.google.com/drive/folders/10T2cTQHqEJZqE-st6uFKPoI?usp=share_link")</f>
        <v>https://drive.google.com/drive/folders/10T2cTQHqEJZqE-st6uFKPoI?usp=share_link</v>
      </c>
      <c r="P1654" s="6" t="str">
        <f>IFERROR(__xludf.DUMMYFUNCTION("""COMPUTED_VALUE"""),"Solnoki Hanna")</f>
        <v>Solnoki Hanna</v>
      </c>
      <c r="Q1654" s="6" t="str">
        <f>IFERROR(__xludf.DUMMYFUNCTION("""COMPUTED_VALUE"""),"L2")</f>
        <v>L2</v>
      </c>
      <c r="R1654" s="6">
        <f>IFERROR(__xludf.DUMMYFUNCTION("""COMPUTED_VALUE"""),2.0)</f>
        <v>2</v>
      </c>
      <c r="S1654" s="6" t="str">
        <f>IFERROR(__xludf.DUMMYFUNCTION("""COMPUTED_VALUE""")," ")</f>
        <v> </v>
      </c>
      <c r="T1654" s="6" t="str">
        <f>IFERROR(__xludf.DUMMYFUNCTION("""COMPUTED_VALUE"""),"")</f>
        <v/>
      </c>
      <c r="U1654" s="6" t="str">
        <f>IFERROR(__xludf.DUMMYFUNCTION("""COMPUTED_VALUE"""),"5")</f>
        <v>5</v>
      </c>
      <c r="V1654" s="6" t="str">
        <f>IFERROR(__xludf.DUMMYFUNCTION("""COMPUTED_VALUE"""),"English")</f>
        <v>English</v>
      </c>
      <c r="W1654" s="6" t="str">
        <f>IFERROR(__xludf.DUMMYFUNCTION("""COMPUTED_VALUE"""),"[]")</f>
        <v>[]</v>
      </c>
      <c r="X1654" s="6" t="str">
        <f>IFERROR(__xludf.DUMMYFUNCTION("""COMPUTED_VALUE"""),"Enrolled")</f>
        <v>Enrolled</v>
      </c>
    </row>
    <row r="1655">
      <c r="A1655" s="6" t="str">
        <f>IFERROR(__xludf.DUMMYFUNCTION("""COMPUTED_VALUE"""),"009-3290")</f>
        <v>009-3290</v>
      </c>
      <c r="B1655" s="6" t="str">
        <f>IFERROR(__xludf.DUMMYFUNCTION("""COMPUTED_VALUE"""),"9")</f>
        <v>9</v>
      </c>
      <c r="C1655" s="6" t="str">
        <f>IFERROR(__xludf.DUMMYFUNCTION("""COMPUTED_VALUE"""),"3290")</f>
        <v>3290</v>
      </c>
      <c r="D1655" s="6" t="str">
        <f>IFERROR(__xludf.DUMMYFUNCTION("""COMPUTED_VALUE"""),"Pakholok")</f>
        <v>Pakholok</v>
      </c>
      <c r="E1655" s="6" t="str">
        <f>IFERROR(__xludf.DUMMYFUNCTION("""COMPUTED_VALUE"""),"")</f>
        <v/>
      </c>
      <c r="F1655" s="6" t="str">
        <f>IFERROR(__xludf.DUMMYFUNCTION("""COMPUTED_VALUE"""),"Anna")</f>
        <v>Anna</v>
      </c>
      <c r="G1655" s="6" t="str">
        <f>IFERROR(__xludf.DUMMYFUNCTION("""COMPUTED_VALUE"""),"10/26/2017")</f>
        <v>10/26/2017</v>
      </c>
      <c r="H1655" s="6" t="str">
        <f>IFERROR(__xludf.DUMMYFUNCTION("""COMPUTED_VALUE"""),"Self Identify")</f>
        <v>Self Identify</v>
      </c>
      <c r="I1655" s="6" t="str">
        <f>IFERROR(__xludf.DUMMYFUNCTION("""COMPUTED_VALUE"""),"Level 1")</f>
        <v>Level 1</v>
      </c>
      <c r="J1655" s="6" t="str">
        <f>IFERROR(__xludf.DUMMYFUNCTION("""COMPUTED_VALUE"""),"2")</f>
        <v>2</v>
      </c>
      <c r="K1655" s="6" t="str">
        <f>IFERROR(__xludf.DUMMYFUNCTION("""COMPUTED_VALUE"""),"pakholok.anna@2hourlearning.com")</f>
        <v>pakholok.anna@2hourlearning.com</v>
      </c>
      <c r="L1655" s="6" t="str">
        <f>IFERROR(__xludf.DUMMYFUNCTION("""COMPUTED_VALUE"""),"Learn and Earn Poland")</f>
        <v>Learn and Earn Poland</v>
      </c>
      <c r="M1655" s="6" t="str">
        <f>IFERROR(__xludf.DUMMYFUNCTION("""COMPUTED_VALUE"""),"")</f>
        <v/>
      </c>
      <c r="N1655" s="6" t="str">
        <f>IFERROR(__xludf.DUMMYFUNCTION("""COMPUTED_VALUE"""),"")</f>
        <v/>
      </c>
      <c r="O1655" s="87" t="str">
        <f>IFERROR(__xludf.DUMMYFUNCTION("""COMPUTED_VALUE"""),"https://drive.google.com/drive/folders/10T2cTQHqEJZqE-st6uFKPoI?usp=share_link")</f>
        <v>https://drive.google.com/drive/folders/10T2cTQHqEJZqE-st6uFKPoI?usp=share_link</v>
      </c>
      <c r="P1655" s="6" t="str">
        <f>IFERROR(__xludf.DUMMYFUNCTION("""COMPUTED_VALUE"""),"Pakholok Anna")</f>
        <v>Pakholok Anna</v>
      </c>
      <c r="Q1655" s="6" t="str">
        <f>IFERROR(__xludf.DUMMYFUNCTION("""COMPUTED_VALUE"""),"L1")</f>
        <v>L1</v>
      </c>
      <c r="R1655" s="6">
        <f>IFERROR(__xludf.DUMMYFUNCTION("""COMPUTED_VALUE"""),1.0)</f>
        <v>1</v>
      </c>
      <c r="S1655" s="6" t="str">
        <f>IFERROR(__xludf.DUMMYFUNCTION("""COMPUTED_VALUE""")," ")</f>
        <v> </v>
      </c>
      <c r="T1655" s="6" t="str">
        <f>IFERROR(__xludf.DUMMYFUNCTION("""COMPUTED_VALUE"""),"")</f>
        <v/>
      </c>
      <c r="U1655" s="6" t="str">
        <f>IFERROR(__xludf.DUMMYFUNCTION("""COMPUTED_VALUE"""),"2")</f>
        <v>2</v>
      </c>
      <c r="V1655" s="6" t="str">
        <f>IFERROR(__xludf.DUMMYFUNCTION("""COMPUTED_VALUE"""),"English")</f>
        <v>English</v>
      </c>
      <c r="W1655" s="6" t="str">
        <f>IFERROR(__xludf.DUMMYFUNCTION("""COMPUTED_VALUE"""),"[]")</f>
        <v>[]</v>
      </c>
      <c r="X1655" s="6" t="str">
        <f>IFERROR(__xludf.DUMMYFUNCTION("""COMPUTED_VALUE"""),"Enrolled")</f>
        <v>Enrolled</v>
      </c>
    </row>
    <row r="1656">
      <c r="A1656" s="6" t="str">
        <f>IFERROR(__xludf.DUMMYFUNCTION("""COMPUTED_VALUE"""),"009-3291")</f>
        <v>009-3291</v>
      </c>
      <c r="B1656" s="6" t="str">
        <f>IFERROR(__xludf.DUMMYFUNCTION("""COMPUTED_VALUE"""),"9")</f>
        <v>9</v>
      </c>
      <c r="C1656" s="6" t="str">
        <f>IFERROR(__xludf.DUMMYFUNCTION("""COMPUTED_VALUE"""),"3291")</f>
        <v>3291</v>
      </c>
      <c r="D1656" s="6" t="str">
        <f>IFERROR(__xludf.DUMMYFUNCTION("""COMPUTED_VALUE"""),"Kistrui")</f>
        <v>Kistrui</v>
      </c>
      <c r="E1656" s="6" t="str">
        <f>IFERROR(__xludf.DUMMYFUNCTION("""COMPUTED_VALUE"""),"")</f>
        <v/>
      </c>
      <c r="F1656" s="6" t="str">
        <f>IFERROR(__xludf.DUMMYFUNCTION("""COMPUTED_VALUE"""),"David")</f>
        <v>David</v>
      </c>
      <c r="G1656" s="6" t="str">
        <f>IFERROR(__xludf.DUMMYFUNCTION("""COMPUTED_VALUE"""),"01/25/2017")</f>
        <v>01/25/2017</v>
      </c>
      <c r="H1656" s="6" t="str">
        <f>IFERROR(__xludf.DUMMYFUNCTION("""COMPUTED_VALUE"""),"Self Identify")</f>
        <v>Self Identify</v>
      </c>
      <c r="I1656" s="6" t="str">
        <f>IFERROR(__xludf.DUMMYFUNCTION("""COMPUTED_VALUE"""),"Level 1")</f>
        <v>Level 1</v>
      </c>
      <c r="J1656" s="6" t="str">
        <f>IFERROR(__xludf.DUMMYFUNCTION("""COMPUTED_VALUE"""),"3")</f>
        <v>3</v>
      </c>
      <c r="K1656" s="6" t="str">
        <f>IFERROR(__xludf.DUMMYFUNCTION("""COMPUTED_VALUE"""),"kistrui.david@2hourlearning.com")</f>
        <v>kistrui.david@2hourlearning.com</v>
      </c>
      <c r="L1656" s="6" t="str">
        <f>IFERROR(__xludf.DUMMYFUNCTION("""COMPUTED_VALUE"""),"Learn and Earn Poland")</f>
        <v>Learn and Earn Poland</v>
      </c>
      <c r="M1656" s="6" t="str">
        <f>IFERROR(__xludf.DUMMYFUNCTION("""COMPUTED_VALUE"""),"")</f>
        <v/>
      </c>
      <c r="N1656" s="6" t="str">
        <f>IFERROR(__xludf.DUMMYFUNCTION("""COMPUTED_VALUE"""),"")</f>
        <v/>
      </c>
      <c r="O1656" s="87" t="str">
        <f>IFERROR(__xludf.DUMMYFUNCTION("""COMPUTED_VALUE"""),"https://drive.google.com/drive/folders/10T2cTQHqEJZqE-st6uFKPoI?usp=share_link")</f>
        <v>https://drive.google.com/drive/folders/10T2cTQHqEJZqE-st6uFKPoI?usp=share_link</v>
      </c>
      <c r="P1656" s="6" t="str">
        <f>IFERROR(__xludf.DUMMYFUNCTION("""COMPUTED_VALUE"""),"Kistrui David")</f>
        <v>Kistrui David</v>
      </c>
      <c r="Q1656" s="6" t="str">
        <f>IFERROR(__xludf.DUMMYFUNCTION("""COMPUTED_VALUE"""),"L1")</f>
        <v>L1</v>
      </c>
      <c r="R1656" s="6">
        <f>IFERROR(__xludf.DUMMYFUNCTION("""COMPUTED_VALUE"""),1.0)</f>
        <v>1</v>
      </c>
      <c r="S1656" s="6" t="str">
        <f>IFERROR(__xludf.DUMMYFUNCTION("""COMPUTED_VALUE""")," ")</f>
        <v> </v>
      </c>
      <c r="T1656" s="6" t="str">
        <f>IFERROR(__xludf.DUMMYFUNCTION("""COMPUTED_VALUE"""),"")</f>
        <v/>
      </c>
      <c r="U1656" s="6" t="str">
        <f>IFERROR(__xludf.DUMMYFUNCTION("""COMPUTED_VALUE"""),"3")</f>
        <v>3</v>
      </c>
      <c r="V1656" s="6" t="str">
        <f>IFERROR(__xludf.DUMMYFUNCTION("""COMPUTED_VALUE"""),"English")</f>
        <v>English</v>
      </c>
      <c r="W1656" s="6" t="str">
        <f>IFERROR(__xludf.DUMMYFUNCTION("""COMPUTED_VALUE"""),"[]")</f>
        <v>[]</v>
      </c>
      <c r="X1656" s="6" t="str">
        <f>IFERROR(__xludf.DUMMYFUNCTION("""COMPUTED_VALUE"""),"Enrolled")</f>
        <v>Enrolled</v>
      </c>
    </row>
    <row r="1657">
      <c r="A1657" s="6" t="str">
        <f>IFERROR(__xludf.DUMMYFUNCTION("""COMPUTED_VALUE"""),"009-3292")</f>
        <v>009-3292</v>
      </c>
      <c r="B1657" s="6" t="str">
        <f>IFERROR(__xludf.DUMMYFUNCTION("""COMPUTED_VALUE"""),"9")</f>
        <v>9</v>
      </c>
      <c r="C1657" s="6" t="str">
        <f>IFERROR(__xludf.DUMMYFUNCTION("""COMPUTED_VALUE"""),"3292")</f>
        <v>3292</v>
      </c>
      <c r="D1657" s="6" t="str">
        <f>IFERROR(__xludf.DUMMYFUNCTION("""COMPUTED_VALUE"""),"Oleksandr")</f>
        <v>Oleksandr</v>
      </c>
      <c r="E1657" s="6" t="str">
        <f>IFERROR(__xludf.DUMMYFUNCTION("""COMPUTED_VALUE"""),"")</f>
        <v/>
      </c>
      <c r="F1657" s="6" t="str">
        <f>IFERROR(__xludf.DUMMYFUNCTION("""COMPUTED_VALUE"""),"Kulykovskyi")</f>
        <v>Kulykovskyi</v>
      </c>
      <c r="G1657" s="6" t="str">
        <f>IFERROR(__xludf.DUMMYFUNCTION("""COMPUTED_VALUE"""),"12/27/2009")</f>
        <v>12/27/2009</v>
      </c>
      <c r="H1657" s="6" t="str">
        <f>IFERROR(__xludf.DUMMYFUNCTION("""COMPUTED_VALUE"""),"Self Identify")</f>
        <v>Self Identify</v>
      </c>
      <c r="I1657" s="6" t="str">
        <f>IFERROR(__xludf.DUMMYFUNCTION("""COMPUTED_VALUE"""),"High School")</f>
        <v>High School</v>
      </c>
      <c r="J1657" s="6" t="str">
        <f>IFERROR(__xludf.DUMMYFUNCTION("""COMPUTED_VALUE"""),"10")</f>
        <v>10</v>
      </c>
      <c r="K1657" s="6" t="str">
        <f>IFERROR(__xludf.DUMMYFUNCTION("""COMPUTED_VALUE"""),"oleksandr.kulykovskyi@2hourlearning.com")</f>
        <v>oleksandr.kulykovskyi@2hourlearning.com</v>
      </c>
      <c r="L1657" s="6" t="str">
        <f>IFERROR(__xludf.DUMMYFUNCTION("""COMPUTED_VALUE"""),"Learn and Earn Poland")</f>
        <v>Learn and Earn Poland</v>
      </c>
      <c r="M1657" s="6" t="str">
        <f>IFERROR(__xludf.DUMMYFUNCTION("""COMPUTED_VALUE"""),"")</f>
        <v/>
      </c>
      <c r="N1657" s="6" t="str">
        <f>IFERROR(__xludf.DUMMYFUNCTION("""COMPUTED_VALUE"""),"")</f>
        <v/>
      </c>
      <c r="O1657" s="87" t="str">
        <f>IFERROR(__xludf.DUMMYFUNCTION("""COMPUTED_VALUE"""),"https://drive.google.com/drive/folders/10T2cTQHqEJZqE-st6uFKPoI?usp=share_link")</f>
        <v>https://drive.google.com/drive/folders/10T2cTQHqEJZqE-st6uFKPoI?usp=share_link</v>
      </c>
      <c r="P1657" s="6" t="str">
        <f>IFERROR(__xludf.DUMMYFUNCTION("""COMPUTED_VALUE"""),"Oleksandr Kulykovskyi")</f>
        <v>Oleksandr Kulykovskyi</v>
      </c>
      <c r="Q1657" s="6" t="str">
        <f>IFERROR(__xludf.DUMMYFUNCTION("""COMPUTED_VALUE"""),"HS")</f>
        <v>HS</v>
      </c>
      <c r="R1657" s="6">
        <f>IFERROR(__xludf.DUMMYFUNCTION("""COMPUTED_VALUE"""),0.0)</f>
        <v>0</v>
      </c>
      <c r="S1657" s="6" t="str">
        <f>IFERROR(__xludf.DUMMYFUNCTION("""COMPUTED_VALUE""")," ")</f>
        <v> </v>
      </c>
      <c r="T1657" s="6" t="str">
        <f>IFERROR(__xludf.DUMMYFUNCTION("""COMPUTED_VALUE"""),"")</f>
        <v/>
      </c>
      <c r="U1657" s="6" t="str">
        <f>IFERROR(__xludf.DUMMYFUNCTION("""COMPUTED_VALUE"""),"10")</f>
        <v>10</v>
      </c>
      <c r="V1657" s="6" t="str">
        <f>IFERROR(__xludf.DUMMYFUNCTION("""COMPUTED_VALUE"""),"English")</f>
        <v>English</v>
      </c>
      <c r="W1657" s="6" t="str">
        <f>IFERROR(__xludf.DUMMYFUNCTION("""COMPUTED_VALUE"""),"[]")</f>
        <v>[]</v>
      </c>
      <c r="X1657" s="6" t="str">
        <f>IFERROR(__xludf.DUMMYFUNCTION("""COMPUTED_VALUE"""),"Enrolled")</f>
        <v>Enrolled</v>
      </c>
    </row>
    <row r="1658">
      <c r="A1658" s="6" t="str">
        <f>IFERROR(__xludf.DUMMYFUNCTION("""COMPUTED_VALUE"""),"009-3293")</f>
        <v>009-3293</v>
      </c>
      <c r="B1658" s="6" t="str">
        <f>IFERROR(__xludf.DUMMYFUNCTION("""COMPUTED_VALUE"""),"9")</f>
        <v>9</v>
      </c>
      <c r="C1658" s="6" t="str">
        <f>IFERROR(__xludf.DUMMYFUNCTION("""COMPUTED_VALUE"""),"3293")</f>
        <v>3293</v>
      </c>
      <c r="D1658" s="6" t="str">
        <f>IFERROR(__xludf.DUMMYFUNCTION("""COMPUTED_VALUE"""),"Daniil")</f>
        <v>Daniil</v>
      </c>
      <c r="E1658" s="6" t="str">
        <f>IFERROR(__xludf.DUMMYFUNCTION("""COMPUTED_VALUE"""),"")</f>
        <v/>
      </c>
      <c r="F1658" s="6" t="str">
        <f>IFERROR(__xludf.DUMMYFUNCTION("""COMPUTED_VALUE"""),"Mylnikov")</f>
        <v>Mylnikov</v>
      </c>
      <c r="G1658" s="6" t="str">
        <f>IFERROR(__xludf.DUMMYFUNCTION("""COMPUTED_VALUE"""),"02/05/2013")</f>
        <v>02/05/2013</v>
      </c>
      <c r="H1658" s="6" t="str">
        <f>IFERROR(__xludf.DUMMYFUNCTION("""COMPUTED_VALUE"""),"Self Identify")</f>
        <v>Self Identify</v>
      </c>
      <c r="I1658" s="6" t="str">
        <f>IFERROR(__xludf.DUMMYFUNCTION("""COMPUTED_VALUE"""),"Middle School")</f>
        <v>Middle School</v>
      </c>
      <c r="J1658" s="6" t="str">
        <f>IFERROR(__xludf.DUMMYFUNCTION("""COMPUTED_VALUE"""),"7")</f>
        <v>7</v>
      </c>
      <c r="K1658" s="6" t="str">
        <f>IFERROR(__xludf.DUMMYFUNCTION("""COMPUTED_VALUE"""),"daniil.mylnikov@2hourlearning.com")</f>
        <v>daniil.mylnikov@2hourlearning.com</v>
      </c>
      <c r="L1658" s="6" t="str">
        <f>IFERROR(__xludf.DUMMYFUNCTION("""COMPUTED_VALUE"""),"Learn and Earn Poland")</f>
        <v>Learn and Earn Poland</v>
      </c>
      <c r="M1658" s="6" t="str">
        <f>IFERROR(__xludf.DUMMYFUNCTION("""COMPUTED_VALUE"""),"")</f>
        <v/>
      </c>
      <c r="N1658" s="6" t="str">
        <f>IFERROR(__xludf.DUMMYFUNCTION("""COMPUTED_VALUE"""),"")</f>
        <v/>
      </c>
      <c r="O1658" s="87" t="str">
        <f>IFERROR(__xludf.DUMMYFUNCTION("""COMPUTED_VALUE"""),"https://drive.google.com/drive/folders/10T2cTQHqEJZqE-st6uFKPoI?usp=share_link")</f>
        <v>https://drive.google.com/drive/folders/10T2cTQHqEJZqE-st6uFKPoI?usp=share_link</v>
      </c>
      <c r="P1658" s="6" t="str">
        <f>IFERROR(__xludf.DUMMYFUNCTION("""COMPUTED_VALUE"""),"Daniil Mylnikov")</f>
        <v>Daniil Mylnikov</v>
      </c>
      <c r="Q1658" s="6" t="str">
        <f>IFERROR(__xludf.DUMMYFUNCTION("""COMPUTED_VALUE"""),"MS")</f>
        <v>MS</v>
      </c>
      <c r="R1658" s="6">
        <f>IFERROR(__xludf.DUMMYFUNCTION("""COMPUTED_VALUE"""),0.0)</f>
        <v>0</v>
      </c>
      <c r="S1658" s="6" t="str">
        <f>IFERROR(__xludf.DUMMYFUNCTION("""COMPUTED_VALUE""")," ")</f>
        <v> </v>
      </c>
      <c r="T1658" s="6" t="str">
        <f>IFERROR(__xludf.DUMMYFUNCTION("""COMPUTED_VALUE"""),"")</f>
        <v/>
      </c>
      <c r="U1658" s="6" t="str">
        <f>IFERROR(__xludf.DUMMYFUNCTION("""COMPUTED_VALUE"""),"7")</f>
        <v>7</v>
      </c>
      <c r="V1658" s="6" t="str">
        <f>IFERROR(__xludf.DUMMYFUNCTION("""COMPUTED_VALUE"""),"English")</f>
        <v>English</v>
      </c>
      <c r="W1658" s="6" t="str">
        <f>IFERROR(__xludf.DUMMYFUNCTION("""COMPUTED_VALUE"""),"[]")</f>
        <v>[]</v>
      </c>
      <c r="X1658" s="6" t="str">
        <f>IFERROR(__xludf.DUMMYFUNCTION("""COMPUTED_VALUE"""),"Enrolled")</f>
        <v>Enrolled</v>
      </c>
    </row>
    <row r="1659">
      <c r="A1659" s="6" t="str">
        <f>IFERROR(__xludf.DUMMYFUNCTION("""COMPUTED_VALUE"""),"009-3294")</f>
        <v>009-3294</v>
      </c>
      <c r="B1659" s="6" t="str">
        <f>IFERROR(__xludf.DUMMYFUNCTION("""COMPUTED_VALUE"""),"9")</f>
        <v>9</v>
      </c>
      <c r="C1659" s="6" t="str">
        <f>IFERROR(__xludf.DUMMYFUNCTION("""COMPUTED_VALUE"""),"3294")</f>
        <v>3294</v>
      </c>
      <c r="D1659" s="6" t="str">
        <f>IFERROR(__xludf.DUMMYFUNCTION("""COMPUTED_VALUE"""),"Myron")</f>
        <v>Myron</v>
      </c>
      <c r="E1659" s="6" t="str">
        <f>IFERROR(__xludf.DUMMYFUNCTION("""COMPUTED_VALUE"""),"")</f>
        <v/>
      </c>
      <c r="F1659" s="6" t="str">
        <f>IFERROR(__xludf.DUMMYFUNCTION("""COMPUTED_VALUE"""),"Buzian")</f>
        <v>Buzian</v>
      </c>
      <c r="G1659" s="6" t="str">
        <f>IFERROR(__xludf.DUMMYFUNCTION("""COMPUTED_VALUE"""),"04/05/2013")</f>
        <v>04/05/2013</v>
      </c>
      <c r="H1659" s="6" t="str">
        <f>IFERROR(__xludf.DUMMYFUNCTION("""COMPUTED_VALUE"""),"Self Identify")</f>
        <v>Self Identify</v>
      </c>
      <c r="I1659" s="6" t="str">
        <f>IFERROR(__xludf.DUMMYFUNCTION("""COMPUTED_VALUE"""),"Middle School")</f>
        <v>Middle School</v>
      </c>
      <c r="J1659" s="6" t="str">
        <f>IFERROR(__xludf.DUMMYFUNCTION("""COMPUTED_VALUE"""),"7")</f>
        <v>7</v>
      </c>
      <c r="K1659" s="6" t="str">
        <f>IFERROR(__xludf.DUMMYFUNCTION("""COMPUTED_VALUE"""),"myron.buzian@2hourlearning.com")</f>
        <v>myron.buzian@2hourlearning.com</v>
      </c>
      <c r="L1659" s="6" t="str">
        <f>IFERROR(__xludf.DUMMYFUNCTION("""COMPUTED_VALUE"""),"Learn and Earn Poland")</f>
        <v>Learn and Earn Poland</v>
      </c>
      <c r="M1659" s="6" t="str">
        <f>IFERROR(__xludf.DUMMYFUNCTION("""COMPUTED_VALUE"""),"")</f>
        <v/>
      </c>
      <c r="N1659" s="6" t="str">
        <f>IFERROR(__xludf.DUMMYFUNCTION("""COMPUTED_VALUE"""),"")</f>
        <v/>
      </c>
      <c r="O1659" s="87" t="str">
        <f>IFERROR(__xludf.DUMMYFUNCTION("""COMPUTED_VALUE"""),"https://drive.google.com/drive/folders/10T2cTQHqEJZqE-st6uFKPoI?usp=share_link")</f>
        <v>https://drive.google.com/drive/folders/10T2cTQHqEJZqE-st6uFKPoI?usp=share_link</v>
      </c>
      <c r="P1659" s="6" t="str">
        <f>IFERROR(__xludf.DUMMYFUNCTION("""COMPUTED_VALUE"""),"Myron Buzian")</f>
        <v>Myron Buzian</v>
      </c>
      <c r="Q1659" s="6" t="str">
        <f>IFERROR(__xludf.DUMMYFUNCTION("""COMPUTED_VALUE"""),"MS")</f>
        <v>MS</v>
      </c>
      <c r="R1659" s="6">
        <f>IFERROR(__xludf.DUMMYFUNCTION("""COMPUTED_VALUE"""),0.0)</f>
        <v>0</v>
      </c>
      <c r="S1659" s="6" t="str">
        <f>IFERROR(__xludf.DUMMYFUNCTION("""COMPUTED_VALUE""")," ")</f>
        <v> </v>
      </c>
      <c r="T1659" s="6" t="str">
        <f>IFERROR(__xludf.DUMMYFUNCTION("""COMPUTED_VALUE"""),"")</f>
        <v/>
      </c>
      <c r="U1659" s="6" t="str">
        <f>IFERROR(__xludf.DUMMYFUNCTION("""COMPUTED_VALUE"""),"7")</f>
        <v>7</v>
      </c>
      <c r="V1659" s="6" t="str">
        <f>IFERROR(__xludf.DUMMYFUNCTION("""COMPUTED_VALUE"""),"English")</f>
        <v>English</v>
      </c>
      <c r="W1659" s="6" t="str">
        <f>IFERROR(__xludf.DUMMYFUNCTION("""COMPUTED_VALUE"""),"[]")</f>
        <v>[]</v>
      </c>
      <c r="X1659" s="6" t="str">
        <f>IFERROR(__xludf.DUMMYFUNCTION("""COMPUTED_VALUE"""),"Enrolled")</f>
        <v>Enrolled</v>
      </c>
    </row>
    <row r="1660">
      <c r="A1660" s="6" t="str">
        <f>IFERROR(__xludf.DUMMYFUNCTION("""COMPUTED_VALUE"""),"009-3295")</f>
        <v>009-3295</v>
      </c>
      <c r="B1660" s="6" t="str">
        <f>IFERROR(__xludf.DUMMYFUNCTION("""COMPUTED_VALUE"""),"9")</f>
        <v>9</v>
      </c>
      <c r="C1660" s="6" t="str">
        <f>IFERROR(__xludf.DUMMYFUNCTION("""COMPUTED_VALUE"""),"3295")</f>
        <v>3295</v>
      </c>
      <c r="D1660" s="6" t="str">
        <f>IFERROR(__xludf.DUMMYFUNCTION("""COMPUTED_VALUE"""),"Silviia")</f>
        <v>Silviia</v>
      </c>
      <c r="E1660" s="6" t="str">
        <f>IFERROR(__xludf.DUMMYFUNCTION("""COMPUTED_VALUE"""),"")</f>
        <v/>
      </c>
      <c r="F1660" s="6" t="str">
        <f>IFERROR(__xludf.DUMMYFUNCTION("""COMPUTED_VALUE"""),"Koldorosh")</f>
        <v>Koldorosh</v>
      </c>
      <c r="G1660" s="6" t="str">
        <f>IFERROR(__xludf.DUMMYFUNCTION("""COMPUTED_VALUE"""),"11/29/2016")</f>
        <v>11/29/2016</v>
      </c>
      <c r="H1660" s="6" t="str">
        <f>IFERROR(__xludf.DUMMYFUNCTION("""COMPUTED_VALUE"""),"Self Identify")</f>
        <v>Self Identify</v>
      </c>
      <c r="I1660" s="6" t="str">
        <f>IFERROR(__xludf.DUMMYFUNCTION("""COMPUTED_VALUE"""),"Level 1")</f>
        <v>Level 1</v>
      </c>
      <c r="J1660" s="6" t="str">
        <f>IFERROR(__xludf.DUMMYFUNCTION("""COMPUTED_VALUE"""),"3")</f>
        <v>3</v>
      </c>
      <c r="K1660" s="6" t="str">
        <f>IFERROR(__xludf.DUMMYFUNCTION("""COMPUTED_VALUE"""),"silviia.koldorosh@2hourlearning.com")</f>
        <v>silviia.koldorosh@2hourlearning.com</v>
      </c>
      <c r="L1660" s="6" t="str">
        <f>IFERROR(__xludf.DUMMYFUNCTION("""COMPUTED_VALUE"""),"Learn and Earn Poland")</f>
        <v>Learn and Earn Poland</v>
      </c>
      <c r="M1660" s="6" t="str">
        <f>IFERROR(__xludf.DUMMYFUNCTION("""COMPUTED_VALUE"""),"")</f>
        <v/>
      </c>
      <c r="N1660" s="6" t="str">
        <f>IFERROR(__xludf.DUMMYFUNCTION("""COMPUTED_VALUE"""),"")</f>
        <v/>
      </c>
      <c r="O1660" s="87" t="str">
        <f>IFERROR(__xludf.DUMMYFUNCTION("""COMPUTED_VALUE"""),"https://drive.google.com/drive/folders/10T2cTQHqEJZqE-st6uFKPoI?usp=share_link")</f>
        <v>https://drive.google.com/drive/folders/10T2cTQHqEJZqE-st6uFKPoI?usp=share_link</v>
      </c>
      <c r="P1660" s="6" t="str">
        <f>IFERROR(__xludf.DUMMYFUNCTION("""COMPUTED_VALUE"""),"Silviia Koldorosh")</f>
        <v>Silviia Koldorosh</v>
      </c>
      <c r="Q1660" s="6" t="str">
        <f>IFERROR(__xludf.DUMMYFUNCTION("""COMPUTED_VALUE"""),"L1")</f>
        <v>L1</v>
      </c>
      <c r="R1660" s="6">
        <f>IFERROR(__xludf.DUMMYFUNCTION("""COMPUTED_VALUE"""),1.0)</f>
        <v>1</v>
      </c>
      <c r="S1660" s="6" t="str">
        <f>IFERROR(__xludf.DUMMYFUNCTION("""COMPUTED_VALUE""")," ")</f>
        <v> </v>
      </c>
      <c r="T1660" s="6" t="str">
        <f>IFERROR(__xludf.DUMMYFUNCTION("""COMPUTED_VALUE"""),"")</f>
        <v/>
      </c>
      <c r="U1660" s="6" t="str">
        <f>IFERROR(__xludf.DUMMYFUNCTION("""COMPUTED_VALUE"""),"3")</f>
        <v>3</v>
      </c>
      <c r="V1660" s="6" t="str">
        <f>IFERROR(__xludf.DUMMYFUNCTION("""COMPUTED_VALUE"""),"English")</f>
        <v>English</v>
      </c>
      <c r="W1660" s="6" t="str">
        <f>IFERROR(__xludf.DUMMYFUNCTION("""COMPUTED_VALUE"""),"[]")</f>
        <v>[]</v>
      </c>
      <c r="X1660" s="6" t="str">
        <f>IFERROR(__xludf.DUMMYFUNCTION("""COMPUTED_VALUE"""),"Enrolled")</f>
        <v>Enrolled</v>
      </c>
    </row>
    <row r="1661">
      <c r="A1661" s="6" t="str">
        <f>IFERROR(__xludf.DUMMYFUNCTION("""COMPUTED_VALUE"""),"009-3297")</f>
        <v>009-3297</v>
      </c>
      <c r="B1661" s="6" t="str">
        <f>IFERROR(__xludf.DUMMYFUNCTION("""COMPUTED_VALUE"""),"9")</f>
        <v>9</v>
      </c>
      <c r="C1661" s="6" t="str">
        <f>IFERROR(__xludf.DUMMYFUNCTION("""COMPUTED_VALUE"""),"3297")</f>
        <v>3297</v>
      </c>
      <c r="D1661" s="6" t="str">
        <f>IFERROR(__xludf.DUMMYFUNCTION("""COMPUTED_VALUE"""),"Ivan")</f>
        <v>Ivan</v>
      </c>
      <c r="E1661" s="6" t="str">
        <f>IFERROR(__xludf.DUMMYFUNCTION("""COMPUTED_VALUE"""),"")</f>
        <v/>
      </c>
      <c r="F1661" s="6" t="str">
        <f>IFERROR(__xludf.DUMMYFUNCTION("""COMPUTED_VALUE"""),"Serhiienko")</f>
        <v>Serhiienko</v>
      </c>
      <c r="G1661" s="6" t="str">
        <f>IFERROR(__xludf.DUMMYFUNCTION("""COMPUTED_VALUE"""),"11/05/2014")</f>
        <v>11/05/2014</v>
      </c>
      <c r="H1661" s="6" t="str">
        <f>IFERROR(__xludf.DUMMYFUNCTION("""COMPUTED_VALUE"""),"Self Identify")</f>
        <v>Self Identify</v>
      </c>
      <c r="I1661" s="6" t="str">
        <f>IFERROR(__xludf.DUMMYFUNCTION("""COMPUTED_VALUE"""),"Level 2")</f>
        <v>Level 2</v>
      </c>
      <c r="J1661" s="6" t="str">
        <f>IFERROR(__xludf.DUMMYFUNCTION("""COMPUTED_VALUE"""),"5")</f>
        <v>5</v>
      </c>
      <c r="K1661" s="6" t="str">
        <f>IFERROR(__xludf.DUMMYFUNCTION("""COMPUTED_VALUE"""),"ivan.serhiienko@2hourlearning.com")</f>
        <v>ivan.serhiienko@2hourlearning.com</v>
      </c>
      <c r="L1661" s="6" t="str">
        <f>IFERROR(__xludf.DUMMYFUNCTION("""COMPUTED_VALUE"""),"Learn and Earn Poland")</f>
        <v>Learn and Earn Poland</v>
      </c>
      <c r="M1661" s="6" t="str">
        <f>IFERROR(__xludf.DUMMYFUNCTION("""COMPUTED_VALUE"""),"")</f>
        <v/>
      </c>
      <c r="N1661" s="6" t="str">
        <f>IFERROR(__xludf.DUMMYFUNCTION("""COMPUTED_VALUE"""),"")</f>
        <v/>
      </c>
      <c r="O1661" s="87" t="str">
        <f>IFERROR(__xludf.DUMMYFUNCTION("""COMPUTED_VALUE"""),"https://drive.google.com/drive/folders/10T2cTQHqEJZqE-st6uFKPoI?usp=share_link")</f>
        <v>https://drive.google.com/drive/folders/10T2cTQHqEJZqE-st6uFKPoI?usp=share_link</v>
      </c>
      <c r="P1661" s="6" t="str">
        <f>IFERROR(__xludf.DUMMYFUNCTION("""COMPUTED_VALUE"""),"Ivan Serhiienko")</f>
        <v>Ivan Serhiienko</v>
      </c>
      <c r="Q1661" s="6" t="str">
        <f>IFERROR(__xludf.DUMMYFUNCTION("""COMPUTED_VALUE"""),"L2")</f>
        <v>L2</v>
      </c>
      <c r="R1661" s="6">
        <f>IFERROR(__xludf.DUMMYFUNCTION("""COMPUTED_VALUE"""),2.0)</f>
        <v>2</v>
      </c>
      <c r="S1661" s="6" t="str">
        <f>IFERROR(__xludf.DUMMYFUNCTION("""COMPUTED_VALUE""")," ")</f>
        <v> </v>
      </c>
      <c r="T1661" s="6" t="str">
        <f>IFERROR(__xludf.DUMMYFUNCTION("""COMPUTED_VALUE"""),"")</f>
        <v/>
      </c>
      <c r="U1661" s="6" t="str">
        <f>IFERROR(__xludf.DUMMYFUNCTION("""COMPUTED_VALUE"""),"5")</f>
        <v>5</v>
      </c>
      <c r="V1661" s="6" t="str">
        <f>IFERROR(__xludf.DUMMYFUNCTION("""COMPUTED_VALUE"""),"English")</f>
        <v>English</v>
      </c>
      <c r="W1661" s="6" t="str">
        <f>IFERROR(__xludf.DUMMYFUNCTION("""COMPUTED_VALUE"""),"[]")</f>
        <v>[]</v>
      </c>
      <c r="X1661" s="6" t="str">
        <f>IFERROR(__xludf.DUMMYFUNCTION("""COMPUTED_VALUE"""),"Enrolled")</f>
        <v>Enrolled</v>
      </c>
    </row>
    <row r="1662">
      <c r="A1662" s="6" t="str">
        <f>IFERROR(__xludf.DUMMYFUNCTION("""COMPUTED_VALUE"""),"009-3298")</f>
        <v>009-3298</v>
      </c>
      <c r="B1662" s="6" t="str">
        <f>IFERROR(__xludf.DUMMYFUNCTION("""COMPUTED_VALUE"""),"9")</f>
        <v>9</v>
      </c>
      <c r="C1662" s="6" t="str">
        <f>IFERROR(__xludf.DUMMYFUNCTION("""COMPUTED_VALUE"""),"3298")</f>
        <v>3298</v>
      </c>
      <c r="D1662" s="6" t="str">
        <f>IFERROR(__xludf.DUMMYFUNCTION("""COMPUTED_VALUE"""),"Mariia")</f>
        <v>Mariia</v>
      </c>
      <c r="E1662" s="6" t="str">
        <f>IFERROR(__xludf.DUMMYFUNCTION("""COMPUTED_VALUE"""),"")</f>
        <v/>
      </c>
      <c r="F1662" s="6" t="str">
        <f>IFERROR(__xludf.DUMMYFUNCTION("""COMPUTED_VALUE"""),"Kolesetska")</f>
        <v>Kolesetska</v>
      </c>
      <c r="G1662" s="6" t="str">
        <f>IFERROR(__xludf.DUMMYFUNCTION("""COMPUTED_VALUE"""),"07/31/2015")</f>
        <v>07/31/2015</v>
      </c>
      <c r="H1662" s="6" t="str">
        <f>IFERROR(__xludf.DUMMYFUNCTION("""COMPUTED_VALUE"""),"Self Identify")</f>
        <v>Self Identify</v>
      </c>
      <c r="I1662" s="6" t="str">
        <f>IFERROR(__xludf.DUMMYFUNCTION("""COMPUTED_VALUE"""),"Level 2")</f>
        <v>Level 2</v>
      </c>
      <c r="J1662" s="6" t="str">
        <f>IFERROR(__xludf.DUMMYFUNCTION("""COMPUTED_VALUE"""),"4")</f>
        <v>4</v>
      </c>
      <c r="K1662" s="6" t="str">
        <f>IFERROR(__xludf.DUMMYFUNCTION("""COMPUTED_VALUE"""),"mariia.kolesetska@2hourlearning.com")</f>
        <v>mariia.kolesetska@2hourlearning.com</v>
      </c>
      <c r="L1662" s="6" t="str">
        <f>IFERROR(__xludf.DUMMYFUNCTION("""COMPUTED_VALUE"""),"Learn and Earn Poland")</f>
        <v>Learn and Earn Poland</v>
      </c>
      <c r="M1662" s="6" t="str">
        <f>IFERROR(__xludf.DUMMYFUNCTION("""COMPUTED_VALUE"""),"")</f>
        <v/>
      </c>
      <c r="N1662" s="6" t="str">
        <f>IFERROR(__xludf.DUMMYFUNCTION("""COMPUTED_VALUE"""),"")</f>
        <v/>
      </c>
      <c r="O1662" s="87" t="str">
        <f>IFERROR(__xludf.DUMMYFUNCTION("""COMPUTED_VALUE"""),"https://drive.google.com/drive/folders/10T2cTQHqEJZqE-st6uFKPoI?usp=share_link")</f>
        <v>https://drive.google.com/drive/folders/10T2cTQHqEJZqE-st6uFKPoI?usp=share_link</v>
      </c>
      <c r="P1662" s="6" t="str">
        <f>IFERROR(__xludf.DUMMYFUNCTION("""COMPUTED_VALUE"""),"Mariia Kolesetska")</f>
        <v>Mariia Kolesetska</v>
      </c>
      <c r="Q1662" s="6" t="str">
        <f>IFERROR(__xludf.DUMMYFUNCTION("""COMPUTED_VALUE"""),"L2")</f>
        <v>L2</v>
      </c>
      <c r="R1662" s="6">
        <f>IFERROR(__xludf.DUMMYFUNCTION("""COMPUTED_VALUE"""),2.0)</f>
        <v>2</v>
      </c>
      <c r="S1662" s="6" t="str">
        <f>IFERROR(__xludf.DUMMYFUNCTION("""COMPUTED_VALUE""")," ")</f>
        <v> </v>
      </c>
      <c r="T1662" s="6" t="str">
        <f>IFERROR(__xludf.DUMMYFUNCTION("""COMPUTED_VALUE"""),"")</f>
        <v/>
      </c>
      <c r="U1662" s="6" t="str">
        <f>IFERROR(__xludf.DUMMYFUNCTION("""COMPUTED_VALUE"""),"4")</f>
        <v>4</v>
      </c>
      <c r="V1662" s="6" t="str">
        <f>IFERROR(__xludf.DUMMYFUNCTION("""COMPUTED_VALUE"""),"English")</f>
        <v>English</v>
      </c>
      <c r="W1662" s="6" t="str">
        <f>IFERROR(__xludf.DUMMYFUNCTION("""COMPUTED_VALUE"""),"[]")</f>
        <v>[]</v>
      </c>
      <c r="X1662" s="6" t="str">
        <f>IFERROR(__xludf.DUMMYFUNCTION("""COMPUTED_VALUE"""),"Enrolled")</f>
        <v>Enrolled</v>
      </c>
    </row>
    <row r="1663">
      <c r="A1663" s="6" t="str">
        <f>IFERROR(__xludf.DUMMYFUNCTION("""COMPUTED_VALUE"""),"009-3299")</f>
        <v>009-3299</v>
      </c>
      <c r="B1663" s="6" t="str">
        <f>IFERROR(__xludf.DUMMYFUNCTION("""COMPUTED_VALUE"""),"9")</f>
        <v>9</v>
      </c>
      <c r="C1663" s="6" t="str">
        <f>IFERROR(__xludf.DUMMYFUNCTION("""COMPUTED_VALUE"""),"3299")</f>
        <v>3299</v>
      </c>
      <c r="D1663" s="6" t="str">
        <f>IFERROR(__xludf.DUMMYFUNCTION("""COMPUTED_VALUE"""),"Kadia")</f>
        <v>Kadia</v>
      </c>
      <c r="E1663" s="6" t="str">
        <f>IFERROR(__xludf.DUMMYFUNCTION("""COMPUTED_VALUE"""),"")</f>
        <v/>
      </c>
      <c r="F1663" s="6" t="str">
        <f>IFERROR(__xludf.DUMMYFUNCTION("""COMPUTED_VALUE"""),"Anastasia")</f>
        <v>Anastasia</v>
      </c>
      <c r="G1663" s="6" t="str">
        <f>IFERROR(__xludf.DUMMYFUNCTION("""COMPUTED_VALUE"""),"01/05/2013")</f>
        <v>01/05/2013</v>
      </c>
      <c r="H1663" s="6" t="str">
        <f>IFERROR(__xludf.DUMMYFUNCTION("""COMPUTED_VALUE"""),"Self Identify")</f>
        <v>Self Identify</v>
      </c>
      <c r="I1663" s="6" t="str">
        <f>IFERROR(__xludf.DUMMYFUNCTION("""COMPUTED_VALUE"""),"Middle School")</f>
        <v>Middle School</v>
      </c>
      <c r="J1663" s="6" t="str">
        <f>IFERROR(__xludf.DUMMYFUNCTION("""COMPUTED_VALUE"""),"7")</f>
        <v>7</v>
      </c>
      <c r="K1663" s="6" t="str">
        <f>IFERROR(__xludf.DUMMYFUNCTION("""COMPUTED_VALUE"""),"kadia.anastasia@2hourlearning.com")</f>
        <v>kadia.anastasia@2hourlearning.com</v>
      </c>
      <c r="L1663" s="6" t="str">
        <f>IFERROR(__xludf.DUMMYFUNCTION("""COMPUTED_VALUE"""),"Learn and Earn Poland")</f>
        <v>Learn and Earn Poland</v>
      </c>
      <c r="M1663" s="6" t="str">
        <f>IFERROR(__xludf.DUMMYFUNCTION("""COMPUTED_VALUE"""),"")</f>
        <v/>
      </c>
      <c r="N1663" s="6" t="str">
        <f>IFERROR(__xludf.DUMMYFUNCTION("""COMPUTED_VALUE"""),"")</f>
        <v/>
      </c>
      <c r="O1663" s="87" t="str">
        <f>IFERROR(__xludf.DUMMYFUNCTION("""COMPUTED_VALUE"""),"https://drive.google.com/drive/folders/10T2cTQHqEJZqE-st6uFKPoI?usp=share_link")</f>
        <v>https://drive.google.com/drive/folders/10T2cTQHqEJZqE-st6uFKPoI?usp=share_link</v>
      </c>
      <c r="P1663" s="6" t="str">
        <f>IFERROR(__xludf.DUMMYFUNCTION("""COMPUTED_VALUE"""),"Kadia Anastasia")</f>
        <v>Kadia Anastasia</v>
      </c>
      <c r="Q1663" s="6" t="str">
        <f>IFERROR(__xludf.DUMMYFUNCTION("""COMPUTED_VALUE"""),"MS")</f>
        <v>MS</v>
      </c>
      <c r="R1663" s="6">
        <f>IFERROR(__xludf.DUMMYFUNCTION("""COMPUTED_VALUE"""),0.0)</f>
        <v>0</v>
      </c>
      <c r="S1663" s="6" t="str">
        <f>IFERROR(__xludf.DUMMYFUNCTION("""COMPUTED_VALUE""")," ")</f>
        <v> </v>
      </c>
      <c r="T1663" s="6" t="str">
        <f>IFERROR(__xludf.DUMMYFUNCTION("""COMPUTED_VALUE"""),"")</f>
        <v/>
      </c>
      <c r="U1663" s="6" t="str">
        <f>IFERROR(__xludf.DUMMYFUNCTION("""COMPUTED_VALUE"""),"7")</f>
        <v>7</v>
      </c>
      <c r="V1663" s="6" t="str">
        <f>IFERROR(__xludf.DUMMYFUNCTION("""COMPUTED_VALUE"""),"English")</f>
        <v>English</v>
      </c>
      <c r="W1663" s="6" t="str">
        <f>IFERROR(__xludf.DUMMYFUNCTION("""COMPUTED_VALUE"""),"[]")</f>
        <v>[]</v>
      </c>
      <c r="X1663" s="6" t="str">
        <f>IFERROR(__xludf.DUMMYFUNCTION("""COMPUTED_VALUE"""),"Enrolled")</f>
        <v>Enrolled</v>
      </c>
    </row>
    <row r="1664">
      <c r="A1664" s="6" t="str">
        <f>IFERROR(__xludf.DUMMYFUNCTION("""COMPUTED_VALUE"""),"009-7983")</f>
        <v>009-7983</v>
      </c>
      <c r="B1664" s="6" t="str">
        <f>IFERROR(__xludf.DUMMYFUNCTION("""COMPUTED_VALUE"""),"9")</f>
        <v>9</v>
      </c>
      <c r="C1664" s="6" t="str">
        <f>IFERROR(__xludf.DUMMYFUNCTION("""COMPUTED_VALUE"""),"7983")</f>
        <v>7983</v>
      </c>
      <c r="D1664" s="6" t="str">
        <f>IFERROR(__xludf.DUMMYFUNCTION("""COMPUTED_VALUE"""),"Emma")</f>
        <v>Emma</v>
      </c>
      <c r="E1664" s="6" t="str">
        <f>IFERROR(__xludf.DUMMYFUNCTION("""COMPUTED_VALUE"""),"")</f>
        <v/>
      </c>
      <c r="F1664" s="6" t="str">
        <f>IFERROR(__xludf.DUMMYFUNCTION("""COMPUTED_VALUE"""),"Czapovics")</f>
        <v>Czapovics</v>
      </c>
      <c r="G1664" s="6" t="str">
        <f>IFERROR(__xludf.DUMMYFUNCTION("""COMPUTED_VALUE"""),"04/27/2018")</f>
        <v>04/27/2018</v>
      </c>
      <c r="H1664" s="6" t="str">
        <f>IFERROR(__xludf.DUMMYFUNCTION("""COMPUTED_VALUE"""),"Self Identify")</f>
        <v>Self Identify</v>
      </c>
      <c r="I1664" s="6" t="str">
        <f>IFERROR(__xludf.DUMMYFUNCTION("""COMPUTED_VALUE"""),"Level 1")</f>
        <v>Level 1</v>
      </c>
      <c r="J1664" s="6" t="str">
        <f>IFERROR(__xludf.DUMMYFUNCTION("""COMPUTED_VALUE"""),"2")</f>
        <v>2</v>
      </c>
      <c r="K1664" s="6" t="str">
        <f>IFERROR(__xludf.DUMMYFUNCTION("""COMPUTED_VALUE"""),"emma.czapovics@2hourlearning.com")</f>
        <v>emma.czapovics@2hourlearning.com</v>
      </c>
      <c r="L1664" s="6" t="str">
        <f>IFERROR(__xludf.DUMMYFUNCTION("""COMPUTED_VALUE"""),"Learn and Earn Poland")</f>
        <v>Learn and Earn Poland</v>
      </c>
      <c r="M1664" s="6" t="str">
        <f>IFERROR(__xludf.DUMMYFUNCTION("""COMPUTED_VALUE"""),"")</f>
        <v/>
      </c>
      <c r="N1664" s="6" t="str">
        <f>IFERROR(__xludf.DUMMYFUNCTION("""COMPUTED_VALUE"""),"")</f>
        <v/>
      </c>
      <c r="O1664" s="87" t="str">
        <f>IFERROR(__xludf.DUMMYFUNCTION("""COMPUTED_VALUE"""),"https://drive.google.com/drive/folders/10T2cTQHqEJZqE-st6uFKPoI?usp=share_link")</f>
        <v>https://drive.google.com/drive/folders/10T2cTQHqEJZqE-st6uFKPoI?usp=share_link</v>
      </c>
      <c r="P1664" s="6" t="str">
        <f>IFERROR(__xludf.DUMMYFUNCTION("""COMPUTED_VALUE"""),"Emma Czapovics")</f>
        <v>Emma Czapovics</v>
      </c>
      <c r="Q1664" s="6" t="str">
        <f>IFERROR(__xludf.DUMMYFUNCTION("""COMPUTED_VALUE"""),"L1")</f>
        <v>L1</v>
      </c>
      <c r="R1664" s="6">
        <f>IFERROR(__xludf.DUMMYFUNCTION("""COMPUTED_VALUE"""),1.0)</f>
        <v>1</v>
      </c>
      <c r="S1664" s="6" t="str">
        <f>IFERROR(__xludf.DUMMYFUNCTION("""COMPUTED_VALUE""")," ")</f>
        <v> </v>
      </c>
      <c r="T1664" s="6" t="str">
        <f>IFERROR(__xludf.DUMMYFUNCTION("""COMPUTED_VALUE"""),"")</f>
        <v/>
      </c>
      <c r="U1664" s="6" t="str">
        <f>IFERROR(__xludf.DUMMYFUNCTION("""COMPUTED_VALUE"""),"2")</f>
        <v>2</v>
      </c>
      <c r="V1664" s="6" t="str">
        <f>IFERROR(__xludf.DUMMYFUNCTION("""COMPUTED_VALUE"""),"")</f>
        <v/>
      </c>
      <c r="W1664" s="6" t="str">
        <f>IFERROR(__xludf.DUMMYFUNCTION("""COMPUTED_VALUE"""),"[]")</f>
        <v>[]</v>
      </c>
      <c r="X1664" s="6" t="str">
        <f>IFERROR(__xludf.DUMMYFUNCTION("""COMPUTED_VALUE"""),"Enrolled")</f>
        <v>Enrolled</v>
      </c>
    </row>
    <row r="1665">
      <c r="A1665" s="6" t="str">
        <f>IFERROR(__xludf.DUMMYFUNCTION("""COMPUTED_VALUE"""),"013-0583")</f>
        <v>013-0583</v>
      </c>
      <c r="B1665" s="6" t="str">
        <f>IFERROR(__xludf.DUMMYFUNCTION("""COMPUTED_VALUE"""),"13")</f>
        <v>13</v>
      </c>
      <c r="C1665" s="6" t="str">
        <f>IFERROR(__xludf.DUMMYFUNCTION("""COMPUTED_VALUE"""),"0583")</f>
        <v>0583</v>
      </c>
      <c r="D1665" s="6" t="str">
        <f>IFERROR(__xludf.DUMMYFUNCTION("""COMPUTED_VALUE"""),"Claudia")</f>
        <v>Claudia</v>
      </c>
      <c r="E1665" s="6" t="str">
        <f>IFERROR(__xludf.DUMMYFUNCTION("""COMPUTED_VALUE"""),"")</f>
        <v/>
      </c>
      <c r="F1665" s="6" t="str">
        <f>IFERROR(__xludf.DUMMYFUNCTION("""COMPUTED_VALUE"""),"Hobart")</f>
        <v>Hobart</v>
      </c>
      <c r="G1665" s="6" t="str">
        <f>IFERROR(__xludf.DUMMYFUNCTION("""COMPUTED_VALUE"""),"02/08/2016")</f>
        <v>02/08/2016</v>
      </c>
      <c r="H1665" s="6" t="str">
        <f>IFERROR(__xludf.DUMMYFUNCTION("""COMPUTED_VALUE"""),"F")</f>
        <v>F</v>
      </c>
      <c r="I1665" s="6" t="str">
        <f>IFERROR(__xludf.DUMMYFUNCTION("""COMPUTED_VALUE"""),"Level 2")</f>
        <v>Level 2</v>
      </c>
      <c r="J1665" s="6" t="str">
        <f>IFERROR(__xludf.DUMMYFUNCTION("""COMPUTED_VALUE"""),"4")</f>
        <v>4</v>
      </c>
      <c r="K1665" s="6" t="str">
        <f>IFERROR(__xludf.DUMMYFUNCTION("""COMPUTED_VALUE"""),"claudia.hobart@alpha.school")</f>
        <v>claudia.hobart@alpha.school</v>
      </c>
      <c r="L1665" s="6" t="str">
        <f>IFERROR(__xludf.DUMMYFUNCTION("""COMPUTED_VALUE"""),"GT School")</f>
        <v>GT School</v>
      </c>
      <c r="M1665" s="6" t="str">
        <f>IFERROR(__xludf.DUMMYFUNCTION("""COMPUTED_VALUE"""),"JW")</f>
        <v>JW</v>
      </c>
      <c r="N1665" s="6" t="str">
        <f>IFERROR(__xludf.DUMMYFUNCTION("""COMPUTED_VALUE"""),"")</f>
        <v/>
      </c>
      <c r="O1665" s="87" t="str">
        <f>IFERROR(__xludf.DUMMYFUNCTION("""COMPUTED_VALUE"""),"https://drive.google.com/drive/folders/10T2cTQHqEJZqE-st6uFKPoI?usp=share_link")</f>
        <v>https://drive.google.com/drive/folders/10T2cTQHqEJZqE-st6uFKPoI?usp=share_link</v>
      </c>
      <c r="P1665" s="6" t="str">
        <f>IFERROR(__xludf.DUMMYFUNCTION("""COMPUTED_VALUE"""),"Claudia Hobart")</f>
        <v>Claudia Hobart</v>
      </c>
      <c r="Q1665" s="6" t="str">
        <f>IFERROR(__xludf.DUMMYFUNCTION("""COMPUTED_VALUE"""),"L2")</f>
        <v>L2</v>
      </c>
      <c r="R1665" s="6">
        <f>IFERROR(__xludf.DUMMYFUNCTION("""COMPUTED_VALUE"""),2.0)</f>
        <v>2</v>
      </c>
      <c r="S1665" s="6" t="str">
        <f>IFERROR(__xludf.DUMMYFUNCTION("""COMPUTED_VALUE"""),"Grant Cain")</f>
        <v>Grant Cain</v>
      </c>
      <c r="T1665" s="6" t="str">
        <f>IFERROR(__xludf.DUMMYFUNCTION("""COMPUTED_VALUE"""),"grant.cain@2hourlearning.com")</f>
        <v>grant.cain@2hourlearning.com</v>
      </c>
      <c r="U1665" s="6" t="str">
        <f>IFERROR(__xludf.DUMMYFUNCTION("""COMPUTED_VALUE"""),"4")</f>
        <v>4</v>
      </c>
      <c r="V1665" s="6" t="str">
        <f>IFERROR(__xludf.DUMMYFUNCTION("""COMPUTED_VALUE"""),"")</f>
        <v/>
      </c>
      <c r="W1665" s="6" t="str">
        <f>IFERROR(__xludf.DUMMYFUNCTION("""COMPUTED_VALUE"""),"[]")</f>
        <v>[]</v>
      </c>
      <c r="X1665" s="6" t="str">
        <f>IFERROR(__xludf.DUMMYFUNCTION("""COMPUTED_VALUE"""),"Enrolled")</f>
        <v>Enrolled</v>
      </c>
    </row>
    <row r="1666">
      <c r="A1666" s="6" t="str">
        <f>IFERROR(__xludf.DUMMYFUNCTION("""COMPUTED_VALUE"""),"013-0685")</f>
        <v>013-0685</v>
      </c>
      <c r="B1666" s="6" t="str">
        <f>IFERROR(__xludf.DUMMYFUNCTION("""COMPUTED_VALUE"""),"13")</f>
        <v>13</v>
      </c>
      <c r="C1666" s="6" t="str">
        <f>IFERROR(__xludf.DUMMYFUNCTION("""COMPUTED_VALUE"""),"0685")</f>
        <v>0685</v>
      </c>
      <c r="D1666" s="6" t="str">
        <f>IFERROR(__xludf.DUMMYFUNCTION("""COMPUTED_VALUE"""),"Mallory")</f>
        <v>Mallory</v>
      </c>
      <c r="E1666" s="6" t="str">
        <f>IFERROR(__xludf.DUMMYFUNCTION("""COMPUTED_VALUE"""),"Mallory")</f>
        <v>Mallory</v>
      </c>
      <c r="F1666" s="6" t="str">
        <f>IFERROR(__xludf.DUMMYFUNCTION("""COMPUTED_VALUE"""),"Hobart")</f>
        <v>Hobart</v>
      </c>
      <c r="G1666" s="6" t="str">
        <f>IFERROR(__xludf.DUMMYFUNCTION("""COMPUTED_VALUE"""),"12/10/2017")</f>
        <v>12/10/2017</v>
      </c>
      <c r="H1666" s="6" t="str">
        <f>IFERROR(__xludf.DUMMYFUNCTION("""COMPUTED_VALUE"""),"female")</f>
        <v>female</v>
      </c>
      <c r="I1666" s="6" t="str">
        <f>IFERROR(__xludf.DUMMYFUNCTION("""COMPUTED_VALUE"""),"Level 1")</f>
        <v>Level 1</v>
      </c>
      <c r="J1666" s="6" t="str">
        <f>IFERROR(__xludf.DUMMYFUNCTION("""COMPUTED_VALUE"""),"2")</f>
        <v>2</v>
      </c>
      <c r="K1666" s="6" t="str">
        <f>IFERROR(__xludf.DUMMYFUNCTION("""COMPUTED_VALUE"""),"mallory.hobart@alpha.school")</f>
        <v>mallory.hobart@alpha.school</v>
      </c>
      <c r="L1666" s="6" t="str">
        <f>IFERROR(__xludf.DUMMYFUNCTION("""COMPUTED_VALUE"""),"GT School")</f>
        <v>GT School</v>
      </c>
      <c r="M1666" s="6" t="str">
        <f>IFERROR(__xludf.DUMMYFUNCTION("""COMPUTED_VALUE"""),"")</f>
        <v/>
      </c>
      <c r="N1666" s="6" t="str">
        <f>IFERROR(__xludf.DUMMYFUNCTION("""COMPUTED_VALUE"""),"")</f>
        <v/>
      </c>
      <c r="O1666" s="87" t="str">
        <f>IFERROR(__xludf.DUMMYFUNCTION("""COMPUTED_VALUE"""),"https://drive.google.com/drive/folders/10T2cTQHqEJZqE-st6uFKPoI?usp=share_link")</f>
        <v>https://drive.google.com/drive/folders/10T2cTQHqEJZqE-st6uFKPoI?usp=share_link</v>
      </c>
      <c r="P1666" s="6" t="str">
        <f>IFERROR(__xludf.DUMMYFUNCTION("""COMPUTED_VALUE"""),"Mallory Hobart")</f>
        <v>Mallory Hobart</v>
      </c>
      <c r="Q1666" s="6" t="str">
        <f>IFERROR(__xludf.DUMMYFUNCTION("""COMPUTED_VALUE"""),"L1")</f>
        <v>L1</v>
      </c>
      <c r="R1666" s="6">
        <f>IFERROR(__xludf.DUMMYFUNCTION("""COMPUTED_VALUE"""),1.0)</f>
        <v>1</v>
      </c>
      <c r="S1666" s="6" t="str">
        <f>IFERROR(__xludf.DUMMYFUNCTION("""COMPUTED_VALUE"""),"Lauren Marques")</f>
        <v>Lauren Marques</v>
      </c>
      <c r="T1666" s="6" t="str">
        <f>IFERROR(__xludf.DUMMYFUNCTION("""COMPUTED_VALUE"""),"lauren.marques@2hourlearning.com")</f>
        <v>lauren.marques@2hourlearning.com</v>
      </c>
      <c r="U1666" s="6" t="str">
        <f>IFERROR(__xludf.DUMMYFUNCTION("""COMPUTED_VALUE"""),"2")</f>
        <v>2</v>
      </c>
      <c r="V1666" s="6" t="str">
        <f>IFERROR(__xludf.DUMMYFUNCTION("""COMPUTED_VALUE"""),"")</f>
        <v/>
      </c>
      <c r="W1666" s="6" t="str">
        <f>IFERROR(__xludf.DUMMYFUNCTION("""COMPUTED_VALUE"""),"[]")</f>
        <v>[]</v>
      </c>
      <c r="X1666" s="6" t="str">
        <f>IFERROR(__xludf.DUMMYFUNCTION("""COMPUTED_VALUE"""),"Enrolled")</f>
        <v>Enrolled</v>
      </c>
    </row>
    <row r="1667">
      <c r="A1667" s="6" t="str">
        <f>IFERROR(__xludf.DUMMYFUNCTION("""COMPUTED_VALUE"""),"013-0753")</f>
        <v>013-0753</v>
      </c>
      <c r="B1667" s="6" t="str">
        <f>IFERROR(__xludf.DUMMYFUNCTION("""COMPUTED_VALUE"""),"13")</f>
        <v>13</v>
      </c>
      <c r="C1667" s="6" t="str">
        <f>IFERROR(__xludf.DUMMYFUNCTION("""COMPUTED_VALUE"""),"0753")</f>
        <v>0753</v>
      </c>
      <c r="D1667" s="6" t="str">
        <f>IFERROR(__xludf.DUMMYFUNCTION("""COMPUTED_VALUE"""),"Eric")</f>
        <v>Eric</v>
      </c>
      <c r="E1667" s="6" t="str">
        <f>IFERROR(__xludf.DUMMYFUNCTION("""COMPUTED_VALUE"""),"")</f>
        <v/>
      </c>
      <c r="F1667" s="6" t="str">
        <f>IFERROR(__xludf.DUMMYFUNCTION("""COMPUTED_VALUE"""),"Kenez")</f>
        <v>Kenez</v>
      </c>
      <c r="G1667" s="6" t="str">
        <f>IFERROR(__xludf.DUMMYFUNCTION("""COMPUTED_VALUE"""),"11/17/2017")</f>
        <v>11/17/2017</v>
      </c>
      <c r="H1667" s="6" t="str">
        <f>IFERROR(__xludf.DUMMYFUNCTION("""COMPUTED_VALUE"""),"male")</f>
        <v>male</v>
      </c>
      <c r="I1667" s="6" t="str">
        <f>IFERROR(__xludf.DUMMYFUNCTION("""COMPUTED_VALUE"""),"Level 1")</f>
        <v>Level 1</v>
      </c>
      <c r="J1667" s="6" t="str">
        <f>IFERROR(__xludf.DUMMYFUNCTION("""COMPUTED_VALUE"""),"2")</f>
        <v>2</v>
      </c>
      <c r="K1667" s="6" t="str">
        <f>IFERROR(__xludf.DUMMYFUNCTION("""COMPUTED_VALUE"""),"eric.kenez@2hourlearning.com")</f>
        <v>eric.kenez@2hourlearning.com</v>
      </c>
      <c r="L1667" s="6" t="str">
        <f>IFERROR(__xludf.DUMMYFUNCTION("""COMPUTED_VALUE"""),"GT School")</f>
        <v>GT School</v>
      </c>
      <c r="M1667" s="6" t="str">
        <f>IFERROR(__xludf.DUMMYFUNCTION("""COMPUTED_VALUE"""),"")</f>
        <v/>
      </c>
      <c r="N1667" s="6" t="str">
        <f>IFERROR(__xludf.DUMMYFUNCTION("""COMPUTED_VALUE"""),"")</f>
        <v/>
      </c>
      <c r="O1667" s="87" t="str">
        <f>IFERROR(__xludf.DUMMYFUNCTION("""COMPUTED_VALUE"""),"https://drive.google.com/drive/folders/10T2cTQHqEJZqE-st6uFKPoI?usp=share_link")</f>
        <v>https://drive.google.com/drive/folders/10T2cTQHqEJZqE-st6uFKPoI?usp=share_link</v>
      </c>
      <c r="P1667" s="6" t="str">
        <f>IFERROR(__xludf.DUMMYFUNCTION("""COMPUTED_VALUE"""),"Eric Kenez")</f>
        <v>Eric Kenez</v>
      </c>
      <c r="Q1667" s="6" t="str">
        <f>IFERROR(__xludf.DUMMYFUNCTION("""COMPUTED_VALUE"""),"L1")</f>
        <v>L1</v>
      </c>
      <c r="R1667" s="6">
        <f>IFERROR(__xludf.DUMMYFUNCTION("""COMPUTED_VALUE"""),1.0)</f>
        <v>1</v>
      </c>
      <c r="S1667" s="6" t="str">
        <f>IFERROR(__xludf.DUMMYFUNCTION("""COMPUTED_VALUE"""),"Lauren Marques")</f>
        <v>Lauren Marques</v>
      </c>
      <c r="T1667" s="6" t="str">
        <f>IFERROR(__xludf.DUMMYFUNCTION("""COMPUTED_VALUE"""),"lauren.marques@2hourlearning.com")</f>
        <v>lauren.marques@2hourlearning.com</v>
      </c>
      <c r="U1667" s="6" t="str">
        <f>IFERROR(__xludf.DUMMYFUNCTION("""COMPUTED_VALUE"""),"2")</f>
        <v>2</v>
      </c>
      <c r="V1667" s="6" t="str">
        <f>IFERROR(__xludf.DUMMYFUNCTION("""COMPUTED_VALUE"""),"English")</f>
        <v>English</v>
      </c>
      <c r="W1667" s="6" t="str">
        <f>IFERROR(__xludf.DUMMYFUNCTION("""COMPUTED_VALUE"""),"[]")</f>
        <v>[]</v>
      </c>
      <c r="X1667" s="6" t="str">
        <f>IFERROR(__xludf.DUMMYFUNCTION("""COMPUTED_VALUE"""),"Enrolled")</f>
        <v>Enrolled</v>
      </c>
    </row>
    <row r="1668">
      <c r="A1668" s="6" t="str">
        <f>IFERROR(__xludf.DUMMYFUNCTION("""COMPUTED_VALUE"""),"013-0754")</f>
        <v>013-0754</v>
      </c>
      <c r="B1668" s="6" t="str">
        <f>IFERROR(__xludf.DUMMYFUNCTION("""COMPUTED_VALUE"""),"13")</f>
        <v>13</v>
      </c>
      <c r="C1668" s="6" t="str">
        <f>IFERROR(__xludf.DUMMYFUNCTION("""COMPUTED_VALUE"""),"0754")</f>
        <v>0754</v>
      </c>
      <c r="D1668" s="6" t="str">
        <f>IFERROR(__xludf.DUMMYFUNCTION("""COMPUTED_VALUE"""),"Calvin")</f>
        <v>Calvin</v>
      </c>
      <c r="E1668" s="6" t="str">
        <f>IFERROR(__xludf.DUMMYFUNCTION("""COMPUTED_VALUE"""),"")</f>
        <v/>
      </c>
      <c r="F1668" s="6" t="str">
        <f>IFERROR(__xludf.DUMMYFUNCTION("""COMPUTED_VALUE"""),"Barraza")</f>
        <v>Barraza</v>
      </c>
      <c r="G1668" s="6" t="str">
        <f>IFERROR(__xludf.DUMMYFUNCTION("""COMPUTED_VALUE"""),"08/06/2018")</f>
        <v>08/06/2018</v>
      </c>
      <c r="H1668" s="6" t="str">
        <f>IFERROR(__xludf.DUMMYFUNCTION("""COMPUTED_VALUE"""),"male")</f>
        <v>male</v>
      </c>
      <c r="I1668" s="6" t="str">
        <f>IFERROR(__xludf.DUMMYFUNCTION("""COMPUTED_VALUE"""),"Level 1")</f>
        <v>Level 1</v>
      </c>
      <c r="J1668" s="6" t="str">
        <f>IFERROR(__xludf.DUMMYFUNCTION("""COMPUTED_VALUE"""),"2")</f>
        <v>2</v>
      </c>
      <c r="K1668" s="6" t="str">
        <f>IFERROR(__xludf.DUMMYFUNCTION("""COMPUTED_VALUE"""),"calvin.barraza@2hourlearning.com")</f>
        <v>calvin.barraza@2hourlearning.com</v>
      </c>
      <c r="L1668" s="6" t="str">
        <f>IFERROR(__xludf.DUMMYFUNCTION("""COMPUTED_VALUE"""),"GT School")</f>
        <v>GT School</v>
      </c>
      <c r="M1668" s="6" t="str">
        <f>IFERROR(__xludf.DUMMYFUNCTION("""COMPUTED_VALUE"""),"")</f>
        <v/>
      </c>
      <c r="N1668" s="6" t="str">
        <f>IFERROR(__xludf.DUMMYFUNCTION("""COMPUTED_VALUE"""),"")</f>
        <v/>
      </c>
      <c r="O1668" s="87" t="str">
        <f>IFERROR(__xludf.DUMMYFUNCTION("""COMPUTED_VALUE"""),"https://drive.google.com/drive/folders/10T2cTQHqEJZqE-st6uFKPoI?usp=share_link")</f>
        <v>https://drive.google.com/drive/folders/10T2cTQHqEJZqE-st6uFKPoI?usp=share_link</v>
      </c>
      <c r="P1668" s="6" t="str">
        <f>IFERROR(__xludf.DUMMYFUNCTION("""COMPUTED_VALUE"""),"Calvin Barraza")</f>
        <v>Calvin Barraza</v>
      </c>
      <c r="Q1668" s="6" t="str">
        <f>IFERROR(__xludf.DUMMYFUNCTION("""COMPUTED_VALUE"""),"L1")</f>
        <v>L1</v>
      </c>
      <c r="R1668" s="6">
        <f>IFERROR(__xludf.DUMMYFUNCTION("""COMPUTED_VALUE"""),1.0)</f>
        <v>1</v>
      </c>
      <c r="S1668" s="6" t="str">
        <f>IFERROR(__xludf.DUMMYFUNCTION("""COMPUTED_VALUE"""),"Lauren Marques")</f>
        <v>Lauren Marques</v>
      </c>
      <c r="T1668" s="6" t="str">
        <f>IFERROR(__xludf.DUMMYFUNCTION("""COMPUTED_VALUE"""),"lauren.marques@2hourlearning.com")</f>
        <v>lauren.marques@2hourlearning.com</v>
      </c>
      <c r="U1668" s="6" t="str">
        <f>IFERROR(__xludf.DUMMYFUNCTION("""COMPUTED_VALUE"""),"2")</f>
        <v>2</v>
      </c>
      <c r="V1668" s="6" t="str">
        <f>IFERROR(__xludf.DUMMYFUNCTION("""COMPUTED_VALUE"""),"English")</f>
        <v>English</v>
      </c>
      <c r="W1668" s="6" t="str">
        <f>IFERROR(__xludf.DUMMYFUNCTION("""COMPUTED_VALUE"""),"[]")</f>
        <v>[]</v>
      </c>
      <c r="X1668" s="6" t="str">
        <f>IFERROR(__xludf.DUMMYFUNCTION("""COMPUTED_VALUE"""),"Enrolled")</f>
        <v>Enrolled</v>
      </c>
    </row>
    <row r="1669">
      <c r="A1669" s="6" t="str">
        <f>IFERROR(__xludf.DUMMYFUNCTION("""COMPUTED_VALUE"""),"013-0763")</f>
        <v>013-0763</v>
      </c>
      <c r="B1669" s="6" t="str">
        <f>IFERROR(__xludf.DUMMYFUNCTION("""COMPUTED_VALUE"""),"13")</f>
        <v>13</v>
      </c>
      <c r="C1669" s="6" t="str">
        <f>IFERROR(__xludf.DUMMYFUNCTION("""COMPUTED_VALUE"""),"0763")</f>
        <v>0763</v>
      </c>
      <c r="D1669" s="6" t="str">
        <f>IFERROR(__xludf.DUMMYFUNCTION("""COMPUTED_VALUE"""),"Jaiden")</f>
        <v>Jaiden</v>
      </c>
      <c r="E1669" s="6" t="str">
        <f>IFERROR(__xludf.DUMMYFUNCTION("""COMPUTED_VALUE"""),"")</f>
        <v/>
      </c>
      <c r="F1669" s="6" t="str">
        <f>IFERROR(__xludf.DUMMYFUNCTION("""COMPUTED_VALUE"""),"Bhakta")</f>
        <v>Bhakta</v>
      </c>
      <c r="G1669" s="6" t="str">
        <f>IFERROR(__xludf.DUMMYFUNCTION("""COMPUTED_VALUE"""),"08/29/2011")</f>
        <v>08/29/2011</v>
      </c>
      <c r="H1669" s="6" t="str">
        <f>IFERROR(__xludf.DUMMYFUNCTION("""COMPUTED_VALUE"""),"male")</f>
        <v>male</v>
      </c>
      <c r="I1669" s="6" t="str">
        <f>IFERROR(__xludf.DUMMYFUNCTION("""COMPUTED_VALUE"""),"High School")</f>
        <v>High School</v>
      </c>
      <c r="J1669" s="6" t="str">
        <f>IFERROR(__xludf.DUMMYFUNCTION("""COMPUTED_VALUE"""),"9")</f>
        <v>9</v>
      </c>
      <c r="K1669" s="6" t="str">
        <f>IFERROR(__xludf.DUMMYFUNCTION("""COMPUTED_VALUE"""),"jaiden.bhakta@2hourlearning.com")</f>
        <v>jaiden.bhakta@2hourlearning.com</v>
      </c>
      <c r="L1669" s="6" t="str">
        <f>IFERROR(__xludf.DUMMYFUNCTION("""COMPUTED_VALUE"""),"GT School")</f>
        <v>GT School</v>
      </c>
      <c r="M1669" s="6" t="str">
        <f>IFERROR(__xludf.DUMMYFUNCTION("""COMPUTED_VALUE"""),"")</f>
        <v/>
      </c>
      <c r="N1669" s="6" t="str">
        <f>IFERROR(__xludf.DUMMYFUNCTION("""COMPUTED_VALUE"""),"")</f>
        <v/>
      </c>
      <c r="O1669" s="87" t="str">
        <f>IFERROR(__xludf.DUMMYFUNCTION("""COMPUTED_VALUE"""),"https://drive.google.com/drive/folders/10T2cTQHqEJZqE-st6uFKPoI?usp=share_link")</f>
        <v>https://drive.google.com/drive/folders/10T2cTQHqEJZqE-st6uFKPoI?usp=share_link</v>
      </c>
      <c r="P1669" s="6" t="str">
        <f>IFERROR(__xludf.DUMMYFUNCTION("""COMPUTED_VALUE"""),"Jaiden Bhakta")</f>
        <v>Jaiden Bhakta</v>
      </c>
      <c r="Q1669" s="6" t="str">
        <f>IFERROR(__xludf.DUMMYFUNCTION("""COMPUTED_VALUE"""),"HS")</f>
        <v>HS</v>
      </c>
      <c r="R1669" s="6">
        <f>IFERROR(__xludf.DUMMYFUNCTION("""COMPUTED_VALUE"""),0.0)</f>
        <v>0</v>
      </c>
      <c r="S1669" s="6" t="str">
        <f>IFERROR(__xludf.DUMMYFUNCTION("""COMPUTED_VALUE"""),"Chazz Roper")</f>
        <v>Chazz Roper</v>
      </c>
      <c r="T1669" s="6" t="str">
        <f>IFERROR(__xludf.DUMMYFUNCTION("""COMPUTED_VALUE"""),"chazzmon.roper@alpha.school")</f>
        <v>chazzmon.roper@alpha.school</v>
      </c>
      <c r="U1669" s="6" t="str">
        <f>IFERROR(__xludf.DUMMYFUNCTION("""COMPUTED_VALUE"""),"9")</f>
        <v>9</v>
      </c>
      <c r="V1669" s="6" t="str">
        <f>IFERROR(__xludf.DUMMYFUNCTION("""COMPUTED_VALUE"""),"English")</f>
        <v>English</v>
      </c>
      <c r="W1669" s="6" t="str">
        <f>IFERROR(__xludf.DUMMYFUNCTION("""COMPUTED_VALUE"""),"[]")</f>
        <v>[]</v>
      </c>
      <c r="X1669" s="6" t="str">
        <f>IFERROR(__xludf.DUMMYFUNCTION("""COMPUTED_VALUE"""),"Enrolled")</f>
        <v>Enrolled</v>
      </c>
    </row>
    <row r="1670">
      <c r="A1670" s="6" t="str">
        <f>IFERROR(__xludf.DUMMYFUNCTION("""COMPUTED_VALUE"""),"013-0765")</f>
        <v>013-0765</v>
      </c>
      <c r="B1670" s="6" t="str">
        <f>IFERROR(__xludf.DUMMYFUNCTION("""COMPUTED_VALUE"""),"13")</f>
        <v>13</v>
      </c>
      <c r="C1670" s="6" t="str">
        <f>IFERROR(__xludf.DUMMYFUNCTION("""COMPUTED_VALUE"""),"0765")</f>
        <v>0765</v>
      </c>
      <c r="D1670" s="6" t="str">
        <f>IFERROR(__xludf.DUMMYFUNCTION("""COMPUTED_VALUE"""),"Krish")</f>
        <v>Krish</v>
      </c>
      <c r="E1670" s="6" t="str">
        <f>IFERROR(__xludf.DUMMYFUNCTION("""COMPUTED_VALUE"""),"")</f>
        <v/>
      </c>
      <c r="F1670" s="6" t="str">
        <f>IFERROR(__xludf.DUMMYFUNCTION("""COMPUTED_VALUE"""),"Bhakta")</f>
        <v>Bhakta</v>
      </c>
      <c r="G1670" s="6" t="str">
        <f>IFERROR(__xludf.DUMMYFUNCTION("""COMPUTED_VALUE"""),"02/05/2013")</f>
        <v>02/05/2013</v>
      </c>
      <c r="H1670" s="6" t="str">
        <f>IFERROR(__xludf.DUMMYFUNCTION("""COMPUTED_VALUE"""),"male")</f>
        <v>male</v>
      </c>
      <c r="I1670" s="6" t="str">
        <f>IFERROR(__xludf.DUMMYFUNCTION("""COMPUTED_VALUE"""),"Middle School")</f>
        <v>Middle School</v>
      </c>
      <c r="J1670" s="6" t="str">
        <f>IFERROR(__xludf.DUMMYFUNCTION("""COMPUTED_VALUE"""),"7")</f>
        <v>7</v>
      </c>
      <c r="K1670" s="6" t="str">
        <f>IFERROR(__xludf.DUMMYFUNCTION("""COMPUTED_VALUE"""),"krish.bhakta@2hourlearning.com")</f>
        <v>krish.bhakta@2hourlearning.com</v>
      </c>
      <c r="L1670" s="6" t="str">
        <f>IFERROR(__xludf.DUMMYFUNCTION("""COMPUTED_VALUE"""),"GT School")</f>
        <v>GT School</v>
      </c>
      <c r="M1670" s="6" t="str">
        <f>IFERROR(__xludf.DUMMYFUNCTION("""COMPUTED_VALUE"""),"")</f>
        <v/>
      </c>
      <c r="N1670" s="6" t="str">
        <f>IFERROR(__xludf.DUMMYFUNCTION("""COMPUTED_VALUE"""),"")</f>
        <v/>
      </c>
      <c r="O1670" s="87" t="str">
        <f>IFERROR(__xludf.DUMMYFUNCTION("""COMPUTED_VALUE"""),"https://drive.google.com/drive/folders/10T2cTQHqEJZqE-st6uFKPoI?usp=share_link")</f>
        <v>https://drive.google.com/drive/folders/10T2cTQHqEJZqE-st6uFKPoI?usp=share_link</v>
      </c>
      <c r="P1670" s="6" t="str">
        <f>IFERROR(__xludf.DUMMYFUNCTION("""COMPUTED_VALUE"""),"Krish Bhakta")</f>
        <v>Krish Bhakta</v>
      </c>
      <c r="Q1670" s="6" t="str">
        <f>IFERROR(__xludf.DUMMYFUNCTION("""COMPUTED_VALUE"""),"MS")</f>
        <v>MS</v>
      </c>
      <c r="R1670" s="6">
        <f>IFERROR(__xludf.DUMMYFUNCTION("""COMPUTED_VALUE"""),0.0)</f>
        <v>0</v>
      </c>
      <c r="S1670" s="6" t="str">
        <f>IFERROR(__xludf.DUMMYFUNCTION("""COMPUTED_VALUE"""),"Chazz Roper")</f>
        <v>Chazz Roper</v>
      </c>
      <c r="T1670" s="6" t="str">
        <f>IFERROR(__xludf.DUMMYFUNCTION("""COMPUTED_VALUE"""),"chazzmon.roper@alpha.school")</f>
        <v>chazzmon.roper@alpha.school</v>
      </c>
      <c r="U1670" s="6" t="str">
        <f>IFERROR(__xludf.DUMMYFUNCTION("""COMPUTED_VALUE"""),"7")</f>
        <v>7</v>
      </c>
      <c r="V1670" s="6" t="str">
        <f>IFERROR(__xludf.DUMMYFUNCTION("""COMPUTED_VALUE"""),"English")</f>
        <v>English</v>
      </c>
      <c r="W1670" s="6" t="str">
        <f>IFERROR(__xludf.DUMMYFUNCTION("""COMPUTED_VALUE"""),"[]")</f>
        <v>[]</v>
      </c>
      <c r="X1670" s="6" t="str">
        <f>IFERROR(__xludf.DUMMYFUNCTION("""COMPUTED_VALUE"""),"Enrolled")</f>
        <v>Enrolled</v>
      </c>
    </row>
    <row r="1671">
      <c r="A1671" s="6" t="str">
        <f>IFERROR(__xludf.DUMMYFUNCTION("""COMPUTED_VALUE"""),"013-0948")</f>
        <v>013-0948</v>
      </c>
      <c r="B1671" s="6" t="str">
        <f>IFERROR(__xludf.DUMMYFUNCTION("""COMPUTED_VALUE"""),"13")</f>
        <v>13</v>
      </c>
      <c r="C1671" s="6" t="str">
        <f>IFERROR(__xludf.DUMMYFUNCTION("""COMPUTED_VALUE"""),"0948")</f>
        <v>0948</v>
      </c>
      <c r="D1671" s="6" t="str">
        <f>IFERROR(__xludf.DUMMYFUNCTION("""COMPUTED_VALUE"""),"Lucas")</f>
        <v>Lucas</v>
      </c>
      <c r="E1671" s="6" t="str">
        <f>IFERROR(__xludf.DUMMYFUNCTION("""COMPUTED_VALUE"""),"")</f>
        <v/>
      </c>
      <c r="F1671" s="6" t="str">
        <f>IFERROR(__xludf.DUMMYFUNCTION("""COMPUTED_VALUE"""),"Sanner")</f>
        <v>Sanner</v>
      </c>
      <c r="G1671" s="6" t="str">
        <f>IFERROR(__xludf.DUMMYFUNCTION("""COMPUTED_VALUE"""),"08/24/2012")</f>
        <v>08/24/2012</v>
      </c>
      <c r="H1671" s="6" t="str">
        <f>IFERROR(__xludf.DUMMYFUNCTION("""COMPUTED_VALUE"""),"male")</f>
        <v>male</v>
      </c>
      <c r="I1671" s="6" t="str">
        <f>IFERROR(__xludf.DUMMYFUNCTION("""COMPUTED_VALUE"""),"Middle School")</f>
        <v>Middle School</v>
      </c>
      <c r="J1671" s="6" t="str">
        <f>IFERROR(__xludf.DUMMYFUNCTION("""COMPUTED_VALUE"""),"7")</f>
        <v>7</v>
      </c>
      <c r="K1671" s="6" t="str">
        <f>IFERROR(__xludf.DUMMYFUNCTION("""COMPUTED_VALUE"""),"lucas.sanner@2hourlearning.com")</f>
        <v>lucas.sanner@2hourlearning.com</v>
      </c>
      <c r="L1671" s="6" t="str">
        <f>IFERROR(__xludf.DUMMYFUNCTION("""COMPUTED_VALUE"""),"GT School")</f>
        <v>GT School</v>
      </c>
      <c r="M1671" s="6" t="str">
        <f>IFERROR(__xludf.DUMMYFUNCTION("""COMPUTED_VALUE"""),"")</f>
        <v/>
      </c>
      <c r="N1671" s="6" t="str">
        <f>IFERROR(__xludf.DUMMYFUNCTION("""COMPUTED_VALUE"""),"")</f>
        <v/>
      </c>
      <c r="O1671" s="87" t="str">
        <f>IFERROR(__xludf.DUMMYFUNCTION("""COMPUTED_VALUE"""),"https://drive.google.com/drive/folders/10T2cTQHqEJZqE-st6uFKPoI?usp=share_link")</f>
        <v>https://drive.google.com/drive/folders/10T2cTQHqEJZqE-st6uFKPoI?usp=share_link</v>
      </c>
      <c r="P1671" s="6" t="str">
        <f>IFERROR(__xludf.DUMMYFUNCTION("""COMPUTED_VALUE"""),"Lucas Sanner")</f>
        <v>Lucas Sanner</v>
      </c>
      <c r="Q1671" s="6" t="str">
        <f>IFERROR(__xludf.DUMMYFUNCTION("""COMPUTED_VALUE"""),"MS")</f>
        <v>MS</v>
      </c>
      <c r="R1671" s="6">
        <f>IFERROR(__xludf.DUMMYFUNCTION("""COMPUTED_VALUE"""),0.0)</f>
        <v>0</v>
      </c>
      <c r="S1671" s="6" t="str">
        <f>IFERROR(__xludf.DUMMYFUNCTION("""COMPUTED_VALUE"""),"Chazz Roper")</f>
        <v>Chazz Roper</v>
      </c>
      <c r="T1671" s="6" t="str">
        <f>IFERROR(__xludf.DUMMYFUNCTION("""COMPUTED_VALUE"""),"chazzmon.roper@alpha.school")</f>
        <v>chazzmon.roper@alpha.school</v>
      </c>
      <c r="U1671" s="6" t="str">
        <f>IFERROR(__xludf.DUMMYFUNCTION("""COMPUTED_VALUE"""),"7")</f>
        <v>7</v>
      </c>
      <c r="V1671" s="6" t="str">
        <f>IFERROR(__xludf.DUMMYFUNCTION("""COMPUTED_VALUE"""),"")</f>
        <v/>
      </c>
      <c r="W1671" s="6" t="str">
        <f>IFERROR(__xludf.DUMMYFUNCTION("""COMPUTED_VALUE"""),"[]")</f>
        <v>[]</v>
      </c>
      <c r="X1671" s="6" t="str">
        <f>IFERROR(__xludf.DUMMYFUNCTION("""COMPUTED_VALUE"""),"Enrolled")</f>
        <v>Enrolled</v>
      </c>
    </row>
    <row r="1672">
      <c r="A1672" s="6" t="str">
        <f>IFERROR(__xludf.DUMMYFUNCTION("""COMPUTED_VALUE"""),"013-0950")</f>
        <v>013-0950</v>
      </c>
      <c r="B1672" s="6" t="str">
        <f>IFERROR(__xludf.DUMMYFUNCTION("""COMPUTED_VALUE"""),"13")</f>
        <v>13</v>
      </c>
      <c r="C1672" s="6" t="str">
        <f>IFERROR(__xludf.DUMMYFUNCTION("""COMPUTED_VALUE"""),"0950")</f>
        <v>0950</v>
      </c>
      <c r="D1672" s="6" t="str">
        <f>IFERROR(__xludf.DUMMYFUNCTION("""COMPUTED_VALUE"""),"Ariel")</f>
        <v>Ariel</v>
      </c>
      <c r="E1672" s="6" t="str">
        <f>IFERROR(__xludf.DUMMYFUNCTION("""COMPUTED_VALUE"""),"")</f>
        <v/>
      </c>
      <c r="F1672" s="6" t="str">
        <f>IFERROR(__xludf.DUMMYFUNCTION("""COMPUTED_VALUE"""),"Martel")</f>
        <v>Martel</v>
      </c>
      <c r="G1672" s="6" t="str">
        <f>IFERROR(__xludf.DUMMYFUNCTION("""COMPUTED_VALUE"""),"12/18/2015")</f>
        <v>12/18/2015</v>
      </c>
      <c r="H1672" s="6" t="str">
        <f>IFERROR(__xludf.DUMMYFUNCTION("""COMPUTED_VALUE"""),"female")</f>
        <v>female</v>
      </c>
      <c r="I1672" s="6" t="str">
        <f>IFERROR(__xludf.DUMMYFUNCTION("""COMPUTED_VALUE"""),"Level 2")</f>
        <v>Level 2</v>
      </c>
      <c r="J1672" s="6" t="str">
        <f>IFERROR(__xludf.DUMMYFUNCTION("""COMPUTED_VALUE"""),"4")</f>
        <v>4</v>
      </c>
      <c r="K1672" s="6" t="str">
        <f>IFERROR(__xludf.DUMMYFUNCTION("""COMPUTED_VALUE"""),"ariel.martel@2hourlearning.com")</f>
        <v>ariel.martel@2hourlearning.com</v>
      </c>
      <c r="L1672" s="6" t="str">
        <f>IFERROR(__xludf.DUMMYFUNCTION("""COMPUTED_VALUE"""),"GT School")</f>
        <v>GT School</v>
      </c>
      <c r="M1672" s="6" t="str">
        <f>IFERROR(__xludf.DUMMYFUNCTION("""COMPUTED_VALUE"""),"")</f>
        <v/>
      </c>
      <c r="N1672" s="6" t="str">
        <f>IFERROR(__xludf.DUMMYFUNCTION("""COMPUTED_VALUE"""),"")</f>
        <v/>
      </c>
      <c r="O1672" s="87" t="str">
        <f>IFERROR(__xludf.DUMMYFUNCTION("""COMPUTED_VALUE"""),"https://drive.google.com/drive/folders/10T2cTQHqEJZqE-st6uFKPoI?usp=share_link")</f>
        <v>https://drive.google.com/drive/folders/10T2cTQHqEJZqE-st6uFKPoI?usp=share_link</v>
      </c>
      <c r="P1672" s="6" t="str">
        <f>IFERROR(__xludf.DUMMYFUNCTION("""COMPUTED_VALUE"""),"Ariel Martel")</f>
        <v>Ariel Martel</v>
      </c>
      <c r="Q1672" s="6" t="str">
        <f>IFERROR(__xludf.DUMMYFUNCTION("""COMPUTED_VALUE"""),"L2")</f>
        <v>L2</v>
      </c>
      <c r="R1672" s="6">
        <f>IFERROR(__xludf.DUMMYFUNCTION("""COMPUTED_VALUE"""),2.0)</f>
        <v>2</v>
      </c>
      <c r="S1672" s="6" t="str">
        <f>IFERROR(__xludf.DUMMYFUNCTION("""COMPUTED_VALUE"""),"Grant Cain")</f>
        <v>Grant Cain</v>
      </c>
      <c r="T1672" s="6" t="str">
        <f>IFERROR(__xludf.DUMMYFUNCTION("""COMPUTED_VALUE"""),"grant.cain@2hourlearning.com")</f>
        <v>grant.cain@2hourlearning.com</v>
      </c>
      <c r="U1672" s="6" t="str">
        <f>IFERROR(__xludf.DUMMYFUNCTION("""COMPUTED_VALUE"""),"4")</f>
        <v>4</v>
      </c>
      <c r="V1672" s="6" t="str">
        <f>IFERROR(__xludf.DUMMYFUNCTION("""COMPUTED_VALUE"""),"")</f>
        <v/>
      </c>
      <c r="W1672" s="6" t="str">
        <f>IFERROR(__xludf.DUMMYFUNCTION("""COMPUTED_VALUE"""),"[]")</f>
        <v>[]</v>
      </c>
      <c r="X1672" s="6" t="str">
        <f>IFERROR(__xludf.DUMMYFUNCTION("""COMPUTED_VALUE"""),"Enrolled")</f>
        <v>Enrolled</v>
      </c>
    </row>
    <row r="1673">
      <c r="A1673" s="6" t="str">
        <f>IFERROR(__xludf.DUMMYFUNCTION("""COMPUTED_VALUE"""),"013-1237")</f>
        <v>013-1237</v>
      </c>
      <c r="B1673" s="6" t="str">
        <f>IFERROR(__xludf.DUMMYFUNCTION("""COMPUTED_VALUE"""),"13")</f>
        <v>13</v>
      </c>
      <c r="C1673" s="6" t="str">
        <f>IFERROR(__xludf.DUMMYFUNCTION("""COMPUTED_VALUE"""),"1237")</f>
        <v>1237</v>
      </c>
      <c r="D1673" s="6" t="str">
        <f>IFERROR(__xludf.DUMMYFUNCTION("""COMPUTED_VALUE"""),"Wyatt")</f>
        <v>Wyatt</v>
      </c>
      <c r="E1673" s="6" t="str">
        <f>IFERROR(__xludf.DUMMYFUNCTION("""COMPUTED_VALUE"""),"")</f>
        <v/>
      </c>
      <c r="F1673" s="6" t="str">
        <f>IFERROR(__xludf.DUMMYFUNCTION("""COMPUTED_VALUE"""),"Victore")</f>
        <v>Victore</v>
      </c>
      <c r="G1673" s="6" t="str">
        <f>IFERROR(__xludf.DUMMYFUNCTION("""COMPUTED_VALUE"""),"03/12/2015")</f>
        <v>03/12/2015</v>
      </c>
      <c r="H1673" s="6" t="str">
        <f>IFERROR(__xludf.DUMMYFUNCTION("""COMPUTED_VALUE"""),"male")</f>
        <v>male</v>
      </c>
      <c r="I1673" s="6" t="str">
        <f>IFERROR(__xludf.DUMMYFUNCTION("""COMPUTED_VALUE"""),"Level 2")</f>
        <v>Level 2</v>
      </c>
      <c r="J1673" s="6" t="str">
        <f>IFERROR(__xludf.DUMMYFUNCTION("""COMPUTED_VALUE"""),"5")</f>
        <v>5</v>
      </c>
      <c r="K1673" s="6" t="str">
        <f>IFERROR(__xludf.DUMMYFUNCTION("""COMPUTED_VALUE"""),"wyatt.victore@2hourlearning.com")</f>
        <v>wyatt.victore@2hourlearning.com</v>
      </c>
      <c r="L1673" s="6" t="str">
        <f>IFERROR(__xludf.DUMMYFUNCTION("""COMPUTED_VALUE"""),"GT School")</f>
        <v>GT School</v>
      </c>
      <c r="M1673" s="6" t="str">
        <f>IFERROR(__xludf.DUMMYFUNCTION("""COMPUTED_VALUE"""),"")</f>
        <v/>
      </c>
      <c r="N1673" s="6" t="str">
        <f>IFERROR(__xludf.DUMMYFUNCTION("""COMPUTED_VALUE"""),"")</f>
        <v/>
      </c>
      <c r="O1673" s="87" t="str">
        <f>IFERROR(__xludf.DUMMYFUNCTION("""COMPUTED_VALUE"""),"https://drive.google.com/drive/folders/10T2cTQHqEJZqE-st6uFKPoI?usp=share_link")</f>
        <v>https://drive.google.com/drive/folders/10T2cTQHqEJZqE-st6uFKPoI?usp=share_link</v>
      </c>
      <c r="P1673" s="6" t="str">
        <f>IFERROR(__xludf.DUMMYFUNCTION("""COMPUTED_VALUE"""),"Wyatt Victore")</f>
        <v>Wyatt Victore</v>
      </c>
      <c r="Q1673" s="6" t="str">
        <f>IFERROR(__xludf.DUMMYFUNCTION("""COMPUTED_VALUE"""),"L2")</f>
        <v>L2</v>
      </c>
      <c r="R1673" s="6">
        <f>IFERROR(__xludf.DUMMYFUNCTION("""COMPUTED_VALUE"""),2.0)</f>
        <v>2</v>
      </c>
      <c r="S1673" s="6" t="str">
        <f>IFERROR(__xludf.DUMMYFUNCTION("""COMPUTED_VALUE"""),"Grant Cain")</f>
        <v>Grant Cain</v>
      </c>
      <c r="T1673" s="6" t="str">
        <f>IFERROR(__xludf.DUMMYFUNCTION("""COMPUTED_VALUE"""),"grant.cain@2hourlearning.com")</f>
        <v>grant.cain@2hourlearning.com</v>
      </c>
      <c r="U1673" s="6" t="str">
        <f>IFERROR(__xludf.DUMMYFUNCTION("""COMPUTED_VALUE"""),"5")</f>
        <v>5</v>
      </c>
      <c r="V1673" s="6" t="str">
        <f>IFERROR(__xludf.DUMMYFUNCTION("""COMPUTED_VALUE"""),"")</f>
        <v/>
      </c>
      <c r="W1673" s="6" t="str">
        <f>IFERROR(__xludf.DUMMYFUNCTION("""COMPUTED_VALUE"""),"[]")</f>
        <v>[]</v>
      </c>
      <c r="X1673" s="6" t="str">
        <f>IFERROR(__xludf.DUMMYFUNCTION("""COMPUTED_VALUE"""),"Enrolled")</f>
        <v>Enrolled</v>
      </c>
    </row>
    <row r="1674">
      <c r="A1674" s="6" t="str">
        <f>IFERROR(__xludf.DUMMYFUNCTION("""COMPUTED_VALUE"""),"013-1238")</f>
        <v>013-1238</v>
      </c>
      <c r="B1674" s="6" t="str">
        <f>IFERROR(__xludf.DUMMYFUNCTION("""COMPUTED_VALUE"""),"13")</f>
        <v>13</v>
      </c>
      <c r="C1674" s="6" t="str">
        <f>IFERROR(__xludf.DUMMYFUNCTION("""COMPUTED_VALUE"""),"1238")</f>
        <v>1238</v>
      </c>
      <c r="D1674" s="6" t="str">
        <f>IFERROR(__xludf.DUMMYFUNCTION("""COMPUTED_VALUE"""),"Nova")</f>
        <v>Nova</v>
      </c>
      <c r="E1674" s="6" t="str">
        <f>IFERROR(__xludf.DUMMYFUNCTION("""COMPUTED_VALUE"""),"")</f>
        <v/>
      </c>
      <c r="F1674" s="6" t="str">
        <f>IFERROR(__xludf.DUMMYFUNCTION("""COMPUTED_VALUE"""),"Victore")</f>
        <v>Victore</v>
      </c>
      <c r="G1674" s="6" t="str">
        <f>IFERROR(__xludf.DUMMYFUNCTION("""COMPUTED_VALUE"""),"07/27/2017")</f>
        <v>07/27/2017</v>
      </c>
      <c r="H1674" s="6" t="str">
        <f>IFERROR(__xludf.DUMMYFUNCTION("""COMPUTED_VALUE"""),"female")</f>
        <v>female</v>
      </c>
      <c r="I1674" s="6" t="str">
        <f>IFERROR(__xludf.DUMMYFUNCTION("""COMPUTED_VALUE"""),"Level 1")</f>
        <v>Level 1</v>
      </c>
      <c r="J1674" s="6" t="str">
        <f>IFERROR(__xludf.DUMMYFUNCTION("""COMPUTED_VALUE"""),"3")</f>
        <v>3</v>
      </c>
      <c r="K1674" s="6" t="str">
        <f>IFERROR(__xludf.DUMMYFUNCTION("""COMPUTED_VALUE"""),"nova.victore@2hourlearning.com")</f>
        <v>nova.victore@2hourlearning.com</v>
      </c>
      <c r="L1674" s="6" t="str">
        <f>IFERROR(__xludf.DUMMYFUNCTION("""COMPUTED_VALUE"""),"GT School")</f>
        <v>GT School</v>
      </c>
      <c r="M1674" s="6" t="str">
        <f>IFERROR(__xludf.DUMMYFUNCTION("""COMPUTED_VALUE"""),"")</f>
        <v/>
      </c>
      <c r="N1674" s="6" t="str">
        <f>IFERROR(__xludf.DUMMYFUNCTION("""COMPUTED_VALUE"""),"")</f>
        <v/>
      </c>
      <c r="O1674" s="87" t="str">
        <f>IFERROR(__xludf.DUMMYFUNCTION("""COMPUTED_VALUE"""),"https://drive.google.com/drive/folders/10T2cTQHqEJZqE-st6uFKPoI?usp=share_link")</f>
        <v>https://drive.google.com/drive/folders/10T2cTQHqEJZqE-st6uFKPoI?usp=share_link</v>
      </c>
      <c r="P1674" s="6" t="str">
        <f>IFERROR(__xludf.DUMMYFUNCTION("""COMPUTED_VALUE"""),"Nova Victore")</f>
        <v>Nova Victore</v>
      </c>
      <c r="Q1674" s="6" t="str">
        <f>IFERROR(__xludf.DUMMYFUNCTION("""COMPUTED_VALUE"""),"L1")</f>
        <v>L1</v>
      </c>
      <c r="R1674" s="6">
        <f>IFERROR(__xludf.DUMMYFUNCTION("""COMPUTED_VALUE"""),1.0)</f>
        <v>1</v>
      </c>
      <c r="S1674" s="6" t="str">
        <f>IFERROR(__xludf.DUMMYFUNCTION("""COMPUTED_VALUE"""),"Grant Cain")</f>
        <v>Grant Cain</v>
      </c>
      <c r="T1674" s="6" t="str">
        <f>IFERROR(__xludf.DUMMYFUNCTION("""COMPUTED_VALUE"""),"grant.cain@2hourlearning.com")</f>
        <v>grant.cain@2hourlearning.com</v>
      </c>
      <c r="U1674" s="6" t="str">
        <f>IFERROR(__xludf.DUMMYFUNCTION("""COMPUTED_VALUE"""),"3")</f>
        <v>3</v>
      </c>
      <c r="V1674" s="6" t="str">
        <f>IFERROR(__xludf.DUMMYFUNCTION("""COMPUTED_VALUE"""),"")</f>
        <v/>
      </c>
      <c r="W1674" s="6" t="str">
        <f>IFERROR(__xludf.DUMMYFUNCTION("""COMPUTED_VALUE"""),"[]")</f>
        <v>[]</v>
      </c>
      <c r="X1674" s="6" t="str">
        <f>IFERROR(__xludf.DUMMYFUNCTION("""COMPUTED_VALUE"""),"Enrolled")</f>
        <v>Enrolled</v>
      </c>
    </row>
    <row r="1675">
      <c r="A1675" s="6" t="str">
        <f>IFERROR(__xludf.DUMMYFUNCTION("""COMPUTED_VALUE"""),"013-1239")</f>
        <v>013-1239</v>
      </c>
      <c r="B1675" s="6" t="str">
        <f>IFERROR(__xludf.DUMMYFUNCTION("""COMPUTED_VALUE"""),"13")</f>
        <v>13</v>
      </c>
      <c r="C1675" s="6" t="str">
        <f>IFERROR(__xludf.DUMMYFUNCTION("""COMPUTED_VALUE"""),"1239")</f>
        <v>1239</v>
      </c>
      <c r="D1675" s="6" t="str">
        <f>IFERROR(__xludf.DUMMYFUNCTION("""COMPUTED_VALUE"""),"Neel")</f>
        <v>Neel</v>
      </c>
      <c r="E1675" s="6" t="str">
        <f>IFERROR(__xludf.DUMMYFUNCTION("""COMPUTED_VALUE"""),"Neel")</f>
        <v>Neel</v>
      </c>
      <c r="F1675" s="6" t="str">
        <f>IFERROR(__xludf.DUMMYFUNCTION("""COMPUTED_VALUE"""),"Balija")</f>
        <v>Balija</v>
      </c>
      <c r="G1675" s="6" t="str">
        <f>IFERROR(__xludf.DUMMYFUNCTION("""COMPUTED_VALUE"""),"03/09/2020")</f>
        <v>03/09/2020</v>
      </c>
      <c r="H1675" s="6" t="str">
        <f>IFERROR(__xludf.DUMMYFUNCTION("""COMPUTED_VALUE"""),"male")</f>
        <v>male</v>
      </c>
      <c r="I1675" s="6" t="str">
        <f>IFERROR(__xludf.DUMMYFUNCTION("""COMPUTED_VALUE"""),"Learning Lab")</f>
        <v>Learning Lab</v>
      </c>
      <c r="J1675" s="6" t="str">
        <f>IFERROR(__xludf.DUMMYFUNCTION("""COMPUTED_VALUE"""),"K")</f>
        <v>K</v>
      </c>
      <c r="K1675" s="6" t="str">
        <f>IFERROR(__xludf.DUMMYFUNCTION("""COMPUTED_VALUE"""),"neel.balija@2hourlearning.com")</f>
        <v>neel.balija@2hourlearning.com</v>
      </c>
      <c r="L1675" s="6" t="str">
        <f>IFERROR(__xludf.DUMMYFUNCTION("""COMPUTED_VALUE"""),"GT School")</f>
        <v>GT School</v>
      </c>
      <c r="M1675" s="6" t="str">
        <f>IFERROR(__xludf.DUMMYFUNCTION("""COMPUTED_VALUE"""),"")</f>
        <v/>
      </c>
      <c r="N1675" s="6" t="str">
        <f>IFERROR(__xludf.DUMMYFUNCTION("""COMPUTED_VALUE"""),"")</f>
        <v/>
      </c>
      <c r="O1675" s="87" t="str">
        <f>IFERROR(__xludf.DUMMYFUNCTION("""COMPUTED_VALUE"""),"https://drive.google.com/drive/folders/10T2cTQHqEJZqE-st6uFKPoI?usp=share_link")</f>
        <v>https://drive.google.com/drive/folders/10T2cTQHqEJZqE-st6uFKPoI?usp=share_link</v>
      </c>
      <c r="P1675" s="6" t="str">
        <f>IFERROR(__xludf.DUMMYFUNCTION("""COMPUTED_VALUE"""),"Neel Balija")</f>
        <v>Neel Balija</v>
      </c>
      <c r="Q1675" s="6" t="str">
        <f>IFERROR(__xludf.DUMMYFUNCTION("""COMPUTED_VALUE"""),"LL")</f>
        <v>LL</v>
      </c>
      <c r="R1675" s="6">
        <f>IFERROR(__xludf.DUMMYFUNCTION("""COMPUTED_VALUE"""),0.0)</f>
        <v>0</v>
      </c>
      <c r="S1675" s="6" t="str">
        <f>IFERROR(__xludf.DUMMYFUNCTION("""COMPUTED_VALUE"""),"Lauren Marques")</f>
        <v>Lauren Marques</v>
      </c>
      <c r="T1675" s="6" t="str">
        <f>IFERROR(__xludf.DUMMYFUNCTION("""COMPUTED_VALUE"""),"lauren.marques@2hourlearning.com")</f>
        <v>lauren.marques@2hourlearning.com</v>
      </c>
      <c r="U1675" s="6" t="str">
        <f>IFERROR(__xludf.DUMMYFUNCTION("""COMPUTED_VALUE"""),"K")</f>
        <v>K</v>
      </c>
      <c r="V1675" s="6" t="str">
        <f>IFERROR(__xludf.DUMMYFUNCTION("""COMPUTED_VALUE"""),"")</f>
        <v/>
      </c>
      <c r="W1675" s="6" t="str">
        <f>IFERROR(__xludf.DUMMYFUNCTION("""COMPUTED_VALUE"""),"[]")</f>
        <v>[]</v>
      </c>
      <c r="X1675" s="6" t="str">
        <f>IFERROR(__xludf.DUMMYFUNCTION("""COMPUTED_VALUE"""),"Enrolled")</f>
        <v>Enrolled</v>
      </c>
    </row>
    <row r="1676">
      <c r="A1676" s="6" t="str">
        <f>IFERROR(__xludf.DUMMYFUNCTION("""COMPUTED_VALUE"""),"013-2467")</f>
        <v>013-2467</v>
      </c>
      <c r="B1676" s="6" t="str">
        <f>IFERROR(__xludf.DUMMYFUNCTION("""COMPUTED_VALUE"""),"13")</f>
        <v>13</v>
      </c>
      <c r="C1676" s="6" t="str">
        <f>IFERROR(__xludf.DUMMYFUNCTION("""COMPUTED_VALUE"""),"2467")</f>
        <v>2467</v>
      </c>
      <c r="D1676" s="6" t="str">
        <f>IFERROR(__xludf.DUMMYFUNCTION("""COMPUTED_VALUE"""),"Novah")</f>
        <v>Novah</v>
      </c>
      <c r="E1676" s="6" t="str">
        <f>IFERROR(__xludf.DUMMYFUNCTION("""COMPUTED_VALUE"""),"")</f>
        <v/>
      </c>
      <c r="F1676" s="6" t="str">
        <f>IFERROR(__xludf.DUMMYFUNCTION("""COMPUTED_VALUE"""),"Pitre")</f>
        <v>Pitre</v>
      </c>
      <c r="G1676" s="6" t="str">
        <f>IFERROR(__xludf.DUMMYFUNCTION("""COMPUTED_VALUE"""),"05/11/2020")</f>
        <v>05/11/2020</v>
      </c>
      <c r="H1676" s="6" t="str">
        <f>IFERROR(__xludf.DUMMYFUNCTION("""COMPUTED_VALUE"""),"female")</f>
        <v>female</v>
      </c>
      <c r="I1676" s="6" t="str">
        <f>IFERROR(__xludf.DUMMYFUNCTION("""COMPUTED_VALUE"""),"Learning Lab")</f>
        <v>Learning Lab</v>
      </c>
      <c r="J1676" s="6" t="str">
        <f>IFERROR(__xludf.DUMMYFUNCTION("""COMPUTED_VALUE"""),"K")</f>
        <v>K</v>
      </c>
      <c r="K1676" s="6" t="str">
        <f>IFERROR(__xludf.DUMMYFUNCTION("""COMPUTED_VALUE"""),"novah.pitre@2hourlearning.com")</f>
        <v>novah.pitre@2hourlearning.com</v>
      </c>
      <c r="L1676" s="6" t="str">
        <f>IFERROR(__xludf.DUMMYFUNCTION("""COMPUTED_VALUE"""),"GT School")</f>
        <v>GT School</v>
      </c>
      <c r="M1676" s="6" t="str">
        <f>IFERROR(__xludf.DUMMYFUNCTION("""COMPUTED_VALUE"""),"")</f>
        <v/>
      </c>
      <c r="N1676" s="6" t="str">
        <f>IFERROR(__xludf.DUMMYFUNCTION("""COMPUTED_VALUE"""),"")</f>
        <v/>
      </c>
      <c r="O1676" s="87" t="str">
        <f>IFERROR(__xludf.DUMMYFUNCTION("""COMPUTED_VALUE"""),"https://drive.google.com/drive/folders/10T2cTQHqEJZqE-st6uFKPoI?usp=share_link")</f>
        <v>https://drive.google.com/drive/folders/10T2cTQHqEJZqE-st6uFKPoI?usp=share_link</v>
      </c>
      <c r="P1676" s="6" t="str">
        <f>IFERROR(__xludf.DUMMYFUNCTION("""COMPUTED_VALUE"""),"Novah Pitre")</f>
        <v>Novah Pitre</v>
      </c>
      <c r="Q1676" s="6" t="str">
        <f>IFERROR(__xludf.DUMMYFUNCTION("""COMPUTED_VALUE"""),"LL")</f>
        <v>LL</v>
      </c>
      <c r="R1676" s="6">
        <f>IFERROR(__xludf.DUMMYFUNCTION("""COMPUTED_VALUE"""),0.0)</f>
        <v>0</v>
      </c>
      <c r="S1676" s="6" t="str">
        <f>IFERROR(__xludf.DUMMYFUNCTION("""COMPUTED_VALUE"""),"Lauren Marques")</f>
        <v>Lauren Marques</v>
      </c>
      <c r="T1676" s="6" t="str">
        <f>IFERROR(__xludf.DUMMYFUNCTION("""COMPUTED_VALUE"""),"lauren.marques@2hourlearning.com")</f>
        <v>lauren.marques@2hourlearning.com</v>
      </c>
      <c r="U1676" s="6" t="str">
        <f>IFERROR(__xludf.DUMMYFUNCTION("""COMPUTED_VALUE"""),"K")</f>
        <v>K</v>
      </c>
      <c r="V1676" s="6" t="str">
        <f>IFERROR(__xludf.DUMMYFUNCTION("""COMPUTED_VALUE"""),"")</f>
        <v/>
      </c>
      <c r="W1676" s="6" t="str">
        <f>IFERROR(__xludf.DUMMYFUNCTION("""COMPUTED_VALUE"""),"[]")</f>
        <v>[]</v>
      </c>
      <c r="X1676" s="6" t="str">
        <f>IFERROR(__xludf.DUMMYFUNCTION("""COMPUTED_VALUE"""),"Enrolled")</f>
        <v>Enrolled</v>
      </c>
    </row>
    <row r="1677">
      <c r="A1677" s="6" t="str">
        <f>IFERROR(__xludf.DUMMYFUNCTION("""COMPUTED_VALUE"""),"013-2509")</f>
        <v>013-2509</v>
      </c>
      <c r="B1677" s="6" t="str">
        <f>IFERROR(__xludf.DUMMYFUNCTION("""COMPUTED_VALUE"""),"13")</f>
        <v>13</v>
      </c>
      <c r="C1677" s="6" t="str">
        <f>IFERROR(__xludf.DUMMYFUNCTION("""COMPUTED_VALUE"""),"2509")</f>
        <v>2509</v>
      </c>
      <c r="D1677" s="6" t="str">
        <f>IFERROR(__xludf.DUMMYFUNCTION("""COMPUTED_VALUE"""),"Ethan")</f>
        <v>Ethan</v>
      </c>
      <c r="E1677" s="6" t="str">
        <f>IFERROR(__xludf.DUMMYFUNCTION("""COMPUTED_VALUE"""),"")</f>
        <v/>
      </c>
      <c r="F1677" s="6" t="str">
        <f>IFERROR(__xludf.DUMMYFUNCTION("""COMPUTED_VALUE"""),"Stromfeld")</f>
        <v>Stromfeld</v>
      </c>
      <c r="G1677" s="6" t="str">
        <f>IFERROR(__xludf.DUMMYFUNCTION("""COMPUTED_VALUE"""),"08/22/2018")</f>
        <v>08/22/2018</v>
      </c>
      <c r="H1677" s="6" t="str">
        <f>IFERROR(__xludf.DUMMYFUNCTION("""COMPUTED_VALUE"""),"male")</f>
        <v>male</v>
      </c>
      <c r="I1677" s="6" t="str">
        <f>IFERROR(__xludf.DUMMYFUNCTION("""COMPUTED_VALUE"""),"Level 1")</f>
        <v>Level 1</v>
      </c>
      <c r="J1677" s="6" t="str">
        <f>IFERROR(__xludf.DUMMYFUNCTION("""COMPUTED_VALUE"""),"2")</f>
        <v>2</v>
      </c>
      <c r="K1677" s="6" t="str">
        <f>IFERROR(__xludf.DUMMYFUNCTION("""COMPUTED_VALUE"""),"ethan.stromfeld@2hourlearning.com")</f>
        <v>ethan.stromfeld@2hourlearning.com</v>
      </c>
      <c r="L1677" s="6" t="str">
        <f>IFERROR(__xludf.DUMMYFUNCTION("""COMPUTED_VALUE"""),"GT School")</f>
        <v>GT School</v>
      </c>
      <c r="M1677" s="6" t="str">
        <f>IFERROR(__xludf.DUMMYFUNCTION("""COMPUTED_VALUE"""),"")</f>
        <v/>
      </c>
      <c r="N1677" s="6" t="str">
        <f>IFERROR(__xludf.DUMMYFUNCTION("""COMPUTED_VALUE"""),"")</f>
        <v/>
      </c>
      <c r="O1677" s="87" t="str">
        <f>IFERROR(__xludf.DUMMYFUNCTION("""COMPUTED_VALUE"""),"https://drive.google.com/drive/folders/10T2cTQHqEJZqE-st6uFKPoI?usp=share_link")</f>
        <v>https://drive.google.com/drive/folders/10T2cTQHqEJZqE-st6uFKPoI?usp=share_link</v>
      </c>
      <c r="P1677" s="6" t="str">
        <f>IFERROR(__xludf.DUMMYFUNCTION("""COMPUTED_VALUE"""),"Ethan Stromfeld")</f>
        <v>Ethan Stromfeld</v>
      </c>
      <c r="Q1677" s="6" t="str">
        <f>IFERROR(__xludf.DUMMYFUNCTION("""COMPUTED_VALUE"""),"L1")</f>
        <v>L1</v>
      </c>
      <c r="R1677" s="6">
        <f>IFERROR(__xludf.DUMMYFUNCTION("""COMPUTED_VALUE"""),1.0)</f>
        <v>1</v>
      </c>
      <c r="S1677" s="6" t="str">
        <f>IFERROR(__xludf.DUMMYFUNCTION("""COMPUTED_VALUE"""),"Lauren Marques")</f>
        <v>Lauren Marques</v>
      </c>
      <c r="T1677" s="6" t="str">
        <f>IFERROR(__xludf.DUMMYFUNCTION("""COMPUTED_VALUE"""),"lauren.marques@2hourlearning.com")</f>
        <v>lauren.marques@2hourlearning.com</v>
      </c>
      <c r="U1677" s="6" t="str">
        <f>IFERROR(__xludf.DUMMYFUNCTION("""COMPUTED_VALUE"""),"2")</f>
        <v>2</v>
      </c>
      <c r="V1677" s="6" t="str">
        <f>IFERROR(__xludf.DUMMYFUNCTION("""COMPUTED_VALUE"""),"")</f>
        <v/>
      </c>
      <c r="W1677" s="6" t="str">
        <f>IFERROR(__xludf.DUMMYFUNCTION("""COMPUTED_VALUE"""),"[]")</f>
        <v>[]</v>
      </c>
      <c r="X1677" s="6" t="str">
        <f>IFERROR(__xludf.DUMMYFUNCTION("""COMPUTED_VALUE"""),"Enrolled")</f>
        <v>Enrolled</v>
      </c>
    </row>
    <row r="1678">
      <c r="A1678" s="6" t="str">
        <f>IFERROR(__xludf.DUMMYFUNCTION("""COMPUTED_VALUE"""),"013-2513")</f>
        <v>013-2513</v>
      </c>
      <c r="B1678" s="6" t="str">
        <f>IFERROR(__xludf.DUMMYFUNCTION("""COMPUTED_VALUE"""),"13")</f>
        <v>13</v>
      </c>
      <c r="C1678" s="6" t="str">
        <f>IFERROR(__xludf.DUMMYFUNCTION("""COMPUTED_VALUE"""),"2513")</f>
        <v>2513</v>
      </c>
      <c r="D1678" s="6" t="str">
        <f>IFERROR(__xludf.DUMMYFUNCTION("""COMPUTED_VALUE"""),"Vic")</f>
        <v>Vic</v>
      </c>
      <c r="E1678" s="6" t="str">
        <f>IFERROR(__xludf.DUMMYFUNCTION("""COMPUTED_VALUE"""),"")</f>
        <v/>
      </c>
      <c r="F1678" s="6" t="str">
        <f>IFERROR(__xludf.DUMMYFUNCTION("""COMPUTED_VALUE"""),"Satijn")</f>
        <v>Satijn</v>
      </c>
      <c r="G1678" s="6" t="str">
        <f>IFERROR(__xludf.DUMMYFUNCTION("""COMPUTED_VALUE"""),"11/07/2019")</f>
        <v>11/07/2019</v>
      </c>
      <c r="H1678" s="6" t="str">
        <f>IFERROR(__xludf.DUMMYFUNCTION("""COMPUTED_VALUE"""),"male")</f>
        <v>male</v>
      </c>
      <c r="I1678" s="6" t="str">
        <f>IFERROR(__xludf.DUMMYFUNCTION("""COMPUTED_VALUE"""),"Learning Lab")</f>
        <v>Learning Lab</v>
      </c>
      <c r="J1678" s="6" t="str">
        <f>IFERROR(__xludf.DUMMYFUNCTION("""COMPUTED_VALUE"""),"K")</f>
        <v>K</v>
      </c>
      <c r="K1678" s="6" t="str">
        <f>IFERROR(__xludf.DUMMYFUNCTION("""COMPUTED_VALUE"""),"vic.satijn@2hourlearning.com")</f>
        <v>vic.satijn@2hourlearning.com</v>
      </c>
      <c r="L1678" s="6" t="str">
        <f>IFERROR(__xludf.DUMMYFUNCTION("""COMPUTED_VALUE"""),"GT School")</f>
        <v>GT School</v>
      </c>
      <c r="M1678" s="6" t="str">
        <f>IFERROR(__xludf.DUMMYFUNCTION("""COMPUTED_VALUE"""),"")</f>
        <v/>
      </c>
      <c r="N1678" s="6" t="str">
        <f>IFERROR(__xludf.DUMMYFUNCTION("""COMPUTED_VALUE"""),"")</f>
        <v/>
      </c>
      <c r="O1678" s="87" t="str">
        <f>IFERROR(__xludf.DUMMYFUNCTION("""COMPUTED_VALUE"""),"https://drive.google.com/drive/folders/10T2cTQHqEJZqE-st6uFKPoI?usp=share_link")</f>
        <v>https://drive.google.com/drive/folders/10T2cTQHqEJZqE-st6uFKPoI?usp=share_link</v>
      </c>
      <c r="P1678" s="6" t="str">
        <f>IFERROR(__xludf.DUMMYFUNCTION("""COMPUTED_VALUE"""),"Vic Satijn")</f>
        <v>Vic Satijn</v>
      </c>
      <c r="Q1678" s="6" t="str">
        <f>IFERROR(__xludf.DUMMYFUNCTION("""COMPUTED_VALUE"""),"LL")</f>
        <v>LL</v>
      </c>
      <c r="R1678" s="6">
        <f>IFERROR(__xludf.DUMMYFUNCTION("""COMPUTED_VALUE"""),0.0)</f>
        <v>0</v>
      </c>
      <c r="S1678" s="6" t="str">
        <f>IFERROR(__xludf.DUMMYFUNCTION("""COMPUTED_VALUE"""),"Lauren Marques")</f>
        <v>Lauren Marques</v>
      </c>
      <c r="T1678" s="6" t="str">
        <f>IFERROR(__xludf.DUMMYFUNCTION("""COMPUTED_VALUE"""),"lauren.marques@2hourlearning.com")</f>
        <v>lauren.marques@2hourlearning.com</v>
      </c>
      <c r="U1678" s="6" t="str">
        <f>IFERROR(__xludf.DUMMYFUNCTION("""COMPUTED_VALUE"""),"K")</f>
        <v>K</v>
      </c>
      <c r="V1678" s="6" t="str">
        <f>IFERROR(__xludf.DUMMYFUNCTION("""COMPUTED_VALUE"""),"")</f>
        <v/>
      </c>
      <c r="W1678" s="6" t="str">
        <f>IFERROR(__xludf.DUMMYFUNCTION("""COMPUTED_VALUE"""),"[]")</f>
        <v>[]</v>
      </c>
      <c r="X1678" s="6" t="str">
        <f>IFERROR(__xludf.DUMMYFUNCTION("""COMPUTED_VALUE"""),"Enrolled")</f>
        <v>Enrolled</v>
      </c>
    </row>
    <row r="1679">
      <c r="A1679" s="6" t="str">
        <f>IFERROR(__xludf.DUMMYFUNCTION("""COMPUTED_VALUE"""),"013-2530")</f>
        <v>013-2530</v>
      </c>
      <c r="B1679" s="6" t="str">
        <f>IFERROR(__xludf.DUMMYFUNCTION("""COMPUTED_VALUE"""),"13")</f>
        <v>13</v>
      </c>
      <c r="C1679" s="6" t="str">
        <f>IFERROR(__xludf.DUMMYFUNCTION("""COMPUTED_VALUE"""),"2530")</f>
        <v>2530</v>
      </c>
      <c r="D1679" s="6" t="str">
        <f>IFERROR(__xludf.DUMMYFUNCTION("""COMPUTED_VALUE"""),"August")</f>
        <v>August</v>
      </c>
      <c r="E1679" s="6" t="str">
        <f>IFERROR(__xludf.DUMMYFUNCTION("""COMPUTED_VALUE"""),"August")</f>
        <v>August</v>
      </c>
      <c r="F1679" s="6" t="str">
        <f>IFERROR(__xludf.DUMMYFUNCTION("""COMPUTED_VALUE"""),"Pease")</f>
        <v>Pease</v>
      </c>
      <c r="G1679" s="6" t="str">
        <f>IFERROR(__xludf.DUMMYFUNCTION("""COMPUTED_VALUE"""),"11/08/2014")</f>
        <v>11/08/2014</v>
      </c>
      <c r="H1679" s="6" t="str">
        <f>IFERROR(__xludf.DUMMYFUNCTION("""COMPUTED_VALUE"""),"male")</f>
        <v>male</v>
      </c>
      <c r="I1679" s="6" t="str">
        <f>IFERROR(__xludf.DUMMYFUNCTION("""COMPUTED_VALUE"""),"Level 2")</f>
        <v>Level 2</v>
      </c>
      <c r="J1679" s="6" t="str">
        <f>IFERROR(__xludf.DUMMYFUNCTION("""COMPUTED_VALUE"""),"5")</f>
        <v>5</v>
      </c>
      <c r="K1679" s="6" t="str">
        <f>IFERROR(__xludf.DUMMYFUNCTION("""COMPUTED_VALUE"""),"august.pease@2hourlearning.com")</f>
        <v>august.pease@2hourlearning.com</v>
      </c>
      <c r="L1679" s="6" t="str">
        <f>IFERROR(__xludf.DUMMYFUNCTION("""COMPUTED_VALUE"""),"GT School")</f>
        <v>GT School</v>
      </c>
      <c r="M1679" s="6" t="str">
        <f>IFERROR(__xludf.DUMMYFUNCTION("""COMPUTED_VALUE"""),"")</f>
        <v/>
      </c>
      <c r="N1679" s="6" t="str">
        <f>IFERROR(__xludf.DUMMYFUNCTION("""COMPUTED_VALUE"""),"")</f>
        <v/>
      </c>
      <c r="O1679" s="87" t="str">
        <f>IFERROR(__xludf.DUMMYFUNCTION("""COMPUTED_VALUE"""),"https://drive.google.com/drive/folders/10T2cTQHqEJZqE-st6uFKPoI?usp=share_link")</f>
        <v>https://drive.google.com/drive/folders/10T2cTQHqEJZqE-st6uFKPoI?usp=share_link</v>
      </c>
      <c r="P1679" s="6" t="str">
        <f>IFERROR(__xludf.DUMMYFUNCTION("""COMPUTED_VALUE"""),"August Pease")</f>
        <v>August Pease</v>
      </c>
      <c r="Q1679" s="6" t="str">
        <f>IFERROR(__xludf.DUMMYFUNCTION("""COMPUTED_VALUE"""),"L2")</f>
        <v>L2</v>
      </c>
      <c r="R1679" s="6">
        <f>IFERROR(__xludf.DUMMYFUNCTION("""COMPUTED_VALUE"""),2.0)</f>
        <v>2</v>
      </c>
      <c r="S1679" s="6" t="str">
        <f>IFERROR(__xludf.DUMMYFUNCTION("""COMPUTED_VALUE"""),"Grant Cain")</f>
        <v>Grant Cain</v>
      </c>
      <c r="T1679" s="6" t="str">
        <f>IFERROR(__xludf.DUMMYFUNCTION("""COMPUTED_VALUE"""),"grant.cain@2hourlearning.com")</f>
        <v>grant.cain@2hourlearning.com</v>
      </c>
      <c r="U1679" s="6" t="str">
        <f>IFERROR(__xludf.DUMMYFUNCTION("""COMPUTED_VALUE"""),"5")</f>
        <v>5</v>
      </c>
      <c r="V1679" s="6" t="str">
        <f>IFERROR(__xludf.DUMMYFUNCTION("""COMPUTED_VALUE"""),"")</f>
        <v/>
      </c>
      <c r="W1679" s="6" t="str">
        <f>IFERROR(__xludf.DUMMYFUNCTION("""COMPUTED_VALUE"""),"[]")</f>
        <v>[]</v>
      </c>
      <c r="X1679" s="6" t="str">
        <f>IFERROR(__xludf.DUMMYFUNCTION("""COMPUTED_VALUE"""),"Enrolled")</f>
        <v>Enrolled</v>
      </c>
    </row>
    <row r="1680">
      <c r="A1680" s="6" t="str">
        <f>IFERROR(__xludf.DUMMYFUNCTION("""COMPUTED_VALUE"""),"013-2601")</f>
        <v>013-2601</v>
      </c>
      <c r="B1680" s="6" t="str">
        <f>IFERROR(__xludf.DUMMYFUNCTION("""COMPUTED_VALUE"""),"13")</f>
        <v>13</v>
      </c>
      <c r="C1680" s="6" t="str">
        <f>IFERROR(__xludf.DUMMYFUNCTION("""COMPUTED_VALUE"""),"2601")</f>
        <v>2601</v>
      </c>
      <c r="D1680" s="6" t="str">
        <f>IFERROR(__xludf.DUMMYFUNCTION("""COMPUTED_VALUE"""),"Wayne")</f>
        <v>Wayne</v>
      </c>
      <c r="E1680" s="6" t="str">
        <f>IFERROR(__xludf.DUMMYFUNCTION("""COMPUTED_VALUE"""),"")</f>
        <v/>
      </c>
      <c r="F1680" s="6" t="str">
        <f>IFERROR(__xludf.DUMMYFUNCTION("""COMPUTED_VALUE"""),"Zou")</f>
        <v>Zou</v>
      </c>
      <c r="G1680" s="6" t="str">
        <f>IFERROR(__xludf.DUMMYFUNCTION("""COMPUTED_VALUE"""),"11/23/2014")</f>
        <v>11/23/2014</v>
      </c>
      <c r="H1680" s="6" t="str">
        <f>IFERROR(__xludf.DUMMYFUNCTION("""COMPUTED_VALUE"""),"male")</f>
        <v>male</v>
      </c>
      <c r="I1680" s="6" t="str">
        <f>IFERROR(__xludf.DUMMYFUNCTION("""COMPUTED_VALUE"""),"Level 2")</f>
        <v>Level 2</v>
      </c>
      <c r="J1680" s="6" t="str">
        <f>IFERROR(__xludf.DUMMYFUNCTION("""COMPUTED_VALUE"""),"5")</f>
        <v>5</v>
      </c>
      <c r="K1680" s="6" t="str">
        <f>IFERROR(__xludf.DUMMYFUNCTION("""COMPUTED_VALUE"""),"wayne.zou@alpha.school")</f>
        <v>wayne.zou@alpha.school</v>
      </c>
      <c r="L1680" s="6" t="str">
        <f>IFERROR(__xludf.DUMMYFUNCTION("""COMPUTED_VALUE"""),"GT School")</f>
        <v>GT School</v>
      </c>
      <c r="M1680" s="6" t="str">
        <f>IFERROR(__xludf.DUMMYFUNCTION("""COMPUTED_VALUE"""),"")</f>
        <v/>
      </c>
      <c r="N1680" s="6" t="str">
        <f>IFERROR(__xludf.DUMMYFUNCTION("""COMPUTED_VALUE"""),"")</f>
        <v/>
      </c>
      <c r="O1680" s="87" t="str">
        <f>IFERROR(__xludf.DUMMYFUNCTION("""COMPUTED_VALUE"""),"https://drive.google.com/drive/folders/10T2cTQHqEJZqE-st6uFKPoI?usp=share_link")</f>
        <v>https://drive.google.com/drive/folders/10T2cTQHqEJZqE-st6uFKPoI?usp=share_link</v>
      </c>
      <c r="P1680" s="6" t="str">
        <f>IFERROR(__xludf.DUMMYFUNCTION("""COMPUTED_VALUE"""),"Wayne Zou")</f>
        <v>Wayne Zou</v>
      </c>
      <c r="Q1680" s="6" t="str">
        <f>IFERROR(__xludf.DUMMYFUNCTION("""COMPUTED_VALUE"""),"L2")</f>
        <v>L2</v>
      </c>
      <c r="R1680" s="6">
        <f>IFERROR(__xludf.DUMMYFUNCTION("""COMPUTED_VALUE"""),2.0)</f>
        <v>2</v>
      </c>
      <c r="S1680" s="6" t="str">
        <f>IFERROR(__xludf.DUMMYFUNCTION("""COMPUTED_VALUE"""),"Grant Cain")</f>
        <v>Grant Cain</v>
      </c>
      <c r="T1680" s="6" t="str">
        <f>IFERROR(__xludf.DUMMYFUNCTION("""COMPUTED_VALUE"""),"grant.cain@2hourlearning.com")</f>
        <v>grant.cain@2hourlearning.com</v>
      </c>
      <c r="U1680" s="6" t="str">
        <f>IFERROR(__xludf.DUMMYFUNCTION("""COMPUTED_VALUE"""),"5")</f>
        <v>5</v>
      </c>
      <c r="V1680" s="6" t="str">
        <f>IFERROR(__xludf.DUMMYFUNCTION("""COMPUTED_VALUE"""),"")</f>
        <v/>
      </c>
      <c r="W1680" s="6" t="str">
        <f>IFERROR(__xludf.DUMMYFUNCTION("""COMPUTED_VALUE"""),"[]")</f>
        <v>[]</v>
      </c>
      <c r="X1680" s="6" t="str">
        <f>IFERROR(__xludf.DUMMYFUNCTION("""COMPUTED_VALUE"""),"Enrolled")</f>
        <v>Enrolled</v>
      </c>
    </row>
    <row r="1681">
      <c r="A1681" s="6" t="str">
        <f>IFERROR(__xludf.DUMMYFUNCTION("""COMPUTED_VALUE"""),"013-2781")</f>
        <v>013-2781</v>
      </c>
      <c r="B1681" s="6" t="str">
        <f>IFERROR(__xludf.DUMMYFUNCTION("""COMPUTED_VALUE"""),"13")</f>
        <v>13</v>
      </c>
      <c r="C1681" s="6" t="str">
        <f>IFERROR(__xludf.DUMMYFUNCTION("""COMPUTED_VALUE"""),"2781")</f>
        <v>2781</v>
      </c>
      <c r="D1681" s="6" t="str">
        <f>IFERROR(__xludf.DUMMYFUNCTION("""COMPUTED_VALUE"""),"Daxon")</f>
        <v>Daxon</v>
      </c>
      <c r="E1681" s="6" t="str">
        <f>IFERROR(__xludf.DUMMYFUNCTION("""COMPUTED_VALUE"""),"Dax")</f>
        <v>Dax</v>
      </c>
      <c r="F1681" s="6" t="str">
        <f>IFERROR(__xludf.DUMMYFUNCTION("""COMPUTED_VALUE"""),"Hummel")</f>
        <v>Hummel</v>
      </c>
      <c r="G1681" s="6" t="str">
        <f>IFERROR(__xludf.DUMMYFUNCTION("""COMPUTED_VALUE"""),"02/10/2015")</f>
        <v>02/10/2015</v>
      </c>
      <c r="H1681" s="6" t="str">
        <f>IFERROR(__xludf.DUMMYFUNCTION("""COMPUTED_VALUE"""),"male")</f>
        <v>male</v>
      </c>
      <c r="I1681" s="6" t="str">
        <f>IFERROR(__xludf.DUMMYFUNCTION("""COMPUTED_VALUE"""),"Level 2")</f>
        <v>Level 2</v>
      </c>
      <c r="J1681" s="6" t="str">
        <f>IFERROR(__xludf.DUMMYFUNCTION("""COMPUTED_VALUE"""),"5")</f>
        <v>5</v>
      </c>
      <c r="K1681" s="6" t="str">
        <f>IFERROR(__xludf.DUMMYFUNCTION("""COMPUTED_VALUE"""),"daxon.hummel@2hourlearning.com")</f>
        <v>daxon.hummel@2hourlearning.com</v>
      </c>
      <c r="L1681" s="6" t="str">
        <f>IFERROR(__xludf.DUMMYFUNCTION("""COMPUTED_VALUE"""),"GT School")</f>
        <v>GT School</v>
      </c>
      <c r="M1681" s="6" t="str">
        <f>IFERROR(__xludf.DUMMYFUNCTION("""COMPUTED_VALUE"""),"")</f>
        <v/>
      </c>
      <c r="N1681" s="6" t="str">
        <f>IFERROR(__xludf.DUMMYFUNCTION("""COMPUTED_VALUE"""),"")</f>
        <v/>
      </c>
      <c r="O1681" s="87" t="str">
        <f>IFERROR(__xludf.DUMMYFUNCTION("""COMPUTED_VALUE"""),"https://drive.google.com/drive/folders/10T2cTQHqEJZqE-st6uFKPoI?usp=share_link")</f>
        <v>https://drive.google.com/drive/folders/10T2cTQHqEJZqE-st6uFKPoI?usp=share_link</v>
      </c>
      <c r="P1681" s="6" t="str">
        <f>IFERROR(__xludf.DUMMYFUNCTION("""COMPUTED_VALUE"""),"Dax Hummel")</f>
        <v>Dax Hummel</v>
      </c>
      <c r="Q1681" s="6" t="str">
        <f>IFERROR(__xludf.DUMMYFUNCTION("""COMPUTED_VALUE"""),"L2")</f>
        <v>L2</v>
      </c>
      <c r="R1681" s="6">
        <f>IFERROR(__xludf.DUMMYFUNCTION("""COMPUTED_VALUE"""),2.0)</f>
        <v>2</v>
      </c>
      <c r="S1681" s="6" t="str">
        <f>IFERROR(__xludf.DUMMYFUNCTION("""COMPUTED_VALUE"""),"Grant Cain")</f>
        <v>Grant Cain</v>
      </c>
      <c r="T1681" s="6" t="str">
        <f>IFERROR(__xludf.DUMMYFUNCTION("""COMPUTED_VALUE"""),"grant.cain@2hourlearning.com")</f>
        <v>grant.cain@2hourlearning.com</v>
      </c>
      <c r="U1681" s="6" t="str">
        <f>IFERROR(__xludf.DUMMYFUNCTION("""COMPUTED_VALUE"""),"5")</f>
        <v>5</v>
      </c>
      <c r="V1681" s="6" t="str">
        <f>IFERROR(__xludf.DUMMYFUNCTION("""COMPUTED_VALUE"""),"")</f>
        <v/>
      </c>
      <c r="W1681" s="6" t="str">
        <f>IFERROR(__xludf.DUMMYFUNCTION("""COMPUTED_VALUE"""),"[]")</f>
        <v>[]</v>
      </c>
      <c r="X1681" s="6" t="str">
        <f>IFERROR(__xludf.DUMMYFUNCTION("""COMPUTED_VALUE"""),"Enrolled")</f>
        <v>Enrolled</v>
      </c>
    </row>
    <row r="1682">
      <c r="A1682" s="6" t="str">
        <f>IFERROR(__xludf.DUMMYFUNCTION("""COMPUTED_VALUE"""),"013-3568")</f>
        <v>013-3568</v>
      </c>
      <c r="B1682" s="6" t="str">
        <f>IFERROR(__xludf.DUMMYFUNCTION("""COMPUTED_VALUE"""),"13")</f>
        <v>13</v>
      </c>
      <c r="C1682" s="6" t="str">
        <f>IFERROR(__xludf.DUMMYFUNCTION("""COMPUTED_VALUE"""),"3568")</f>
        <v>3568</v>
      </c>
      <c r="D1682" s="6" t="str">
        <f>IFERROR(__xludf.DUMMYFUNCTION("""COMPUTED_VALUE"""),"Joseph")</f>
        <v>Joseph</v>
      </c>
      <c r="E1682" s="6" t="str">
        <f>IFERROR(__xludf.DUMMYFUNCTION("""COMPUTED_VALUE"""),"")</f>
        <v/>
      </c>
      <c r="F1682" s="6" t="str">
        <f>IFERROR(__xludf.DUMMYFUNCTION("""COMPUTED_VALUE"""),"Ahanobi-Ikekwere, Jr")</f>
        <v>Ahanobi-Ikekwere, Jr</v>
      </c>
      <c r="G1682" s="6" t="str">
        <f>IFERROR(__xludf.DUMMYFUNCTION("""COMPUTED_VALUE"""),"12/14/2018")</f>
        <v>12/14/2018</v>
      </c>
      <c r="H1682" s="6" t="str">
        <f>IFERROR(__xludf.DUMMYFUNCTION("""COMPUTED_VALUE"""),"male")</f>
        <v>male</v>
      </c>
      <c r="I1682" s="6" t="str">
        <f>IFERROR(__xludf.DUMMYFUNCTION("""COMPUTED_VALUE"""),"Level 1")</f>
        <v>Level 1</v>
      </c>
      <c r="J1682" s="6" t="str">
        <f>IFERROR(__xludf.DUMMYFUNCTION("""COMPUTED_VALUE"""),"2")</f>
        <v>2</v>
      </c>
      <c r="K1682" s="6" t="str">
        <f>IFERROR(__xludf.DUMMYFUNCTION("""COMPUTED_VALUE"""),"joseph.ahanobiikekwere.jr@2hourlearning.com")</f>
        <v>joseph.ahanobiikekwere.jr@2hourlearning.com</v>
      </c>
      <c r="L1682" s="6" t="str">
        <f>IFERROR(__xludf.DUMMYFUNCTION("""COMPUTED_VALUE"""),"GT School")</f>
        <v>GT School</v>
      </c>
      <c r="M1682" s="6" t="str">
        <f>IFERROR(__xludf.DUMMYFUNCTION("""COMPUTED_VALUE"""),"")</f>
        <v/>
      </c>
      <c r="N1682" s="6" t="str">
        <f>IFERROR(__xludf.DUMMYFUNCTION("""COMPUTED_VALUE"""),"")</f>
        <v/>
      </c>
      <c r="O1682" s="87" t="str">
        <f>IFERROR(__xludf.DUMMYFUNCTION("""COMPUTED_VALUE"""),"https://drive.google.com/drive/folders/10T2cTQHqEJZqE-st6uFKPoI?usp=share_link")</f>
        <v>https://drive.google.com/drive/folders/10T2cTQHqEJZqE-st6uFKPoI?usp=share_link</v>
      </c>
      <c r="P1682" s="6" t="str">
        <f>IFERROR(__xludf.DUMMYFUNCTION("""COMPUTED_VALUE"""),"Joseph Ahanobi-Ikekwere, Jr")</f>
        <v>Joseph Ahanobi-Ikekwere, Jr</v>
      </c>
      <c r="Q1682" s="6" t="str">
        <f>IFERROR(__xludf.DUMMYFUNCTION("""COMPUTED_VALUE"""),"L1")</f>
        <v>L1</v>
      </c>
      <c r="R1682" s="6">
        <f>IFERROR(__xludf.DUMMYFUNCTION("""COMPUTED_VALUE"""),1.0)</f>
        <v>1</v>
      </c>
      <c r="S1682" s="6" t="str">
        <f>IFERROR(__xludf.DUMMYFUNCTION("""COMPUTED_VALUE"""),"Lauren Marques")</f>
        <v>Lauren Marques</v>
      </c>
      <c r="T1682" s="6" t="str">
        <f>IFERROR(__xludf.DUMMYFUNCTION("""COMPUTED_VALUE"""),"lauren.marques@2hourlearning.com")</f>
        <v>lauren.marques@2hourlearning.com</v>
      </c>
      <c r="U1682" s="6" t="str">
        <f>IFERROR(__xludf.DUMMYFUNCTION("""COMPUTED_VALUE"""),"2")</f>
        <v>2</v>
      </c>
      <c r="V1682" s="6" t="str">
        <f>IFERROR(__xludf.DUMMYFUNCTION("""COMPUTED_VALUE"""),"")</f>
        <v/>
      </c>
      <c r="W1682" s="6" t="str">
        <f>IFERROR(__xludf.DUMMYFUNCTION("""COMPUTED_VALUE"""),"[]")</f>
        <v>[]</v>
      </c>
      <c r="X1682" s="6" t="str">
        <f>IFERROR(__xludf.DUMMYFUNCTION("""COMPUTED_VALUE"""),"Enrolled")</f>
        <v>Enrolled</v>
      </c>
    </row>
    <row r="1683">
      <c r="A1683" s="6" t="str">
        <f>IFERROR(__xludf.DUMMYFUNCTION("""COMPUTED_VALUE"""),"013-3572")</f>
        <v>013-3572</v>
      </c>
      <c r="B1683" s="6" t="str">
        <f>IFERROR(__xludf.DUMMYFUNCTION("""COMPUTED_VALUE"""),"13")</f>
        <v>13</v>
      </c>
      <c r="C1683" s="6" t="str">
        <f>IFERROR(__xludf.DUMMYFUNCTION("""COMPUTED_VALUE"""),"3572")</f>
        <v>3572</v>
      </c>
      <c r="D1683" s="6" t="str">
        <f>IFERROR(__xludf.DUMMYFUNCTION("""COMPUTED_VALUE"""),"Gardner")</f>
        <v>Gardner</v>
      </c>
      <c r="E1683" s="6" t="str">
        <f>IFERROR(__xludf.DUMMYFUNCTION("""COMPUTED_VALUE"""),"Gardner")</f>
        <v>Gardner</v>
      </c>
      <c r="F1683" s="6" t="str">
        <f>IFERROR(__xludf.DUMMYFUNCTION("""COMPUTED_VALUE"""),"Edwards")</f>
        <v>Edwards</v>
      </c>
      <c r="G1683" s="6" t="str">
        <f>IFERROR(__xludf.DUMMYFUNCTION("""COMPUTED_VALUE"""),"07/27/2013")</f>
        <v>07/27/2013</v>
      </c>
      <c r="H1683" s="6" t="str">
        <f>IFERROR(__xludf.DUMMYFUNCTION("""COMPUTED_VALUE"""),"male")</f>
        <v>male</v>
      </c>
      <c r="I1683" s="6" t="str">
        <f>IFERROR(__xludf.DUMMYFUNCTION("""COMPUTED_VALUE"""),"Middle School")</f>
        <v>Middle School</v>
      </c>
      <c r="J1683" s="6" t="str">
        <f>IFERROR(__xludf.DUMMYFUNCTION("""COMPUTED_VALUE"""),"7")</f>
        <v>7</v>
      </c>
      <c r="K1683" s="6" t="str">
        <f>IFERROR(__xludf.DUMMYFUNCTION("""COMPUTED_VALUE"""),"gardner.edwards@2hourlearning.com")</f>
        <v>gardner.edwards@2hourlearning.com</v>
      </c>
      <c r="L1683" s="6" t="str">
        <f>IFERROR(__xludf.DUMMYFUNCTION("""COMPUTED_VALUE"""),"GT School")</f>
        <v>GT School</v>
      </c>
      <c r="M1683" s="6" t="str">
        <f>IFERROR(__xludf.DUMMYFUNCTION("""COMPUTED_VALUE"""),"")</f>
        <v/>
      </c>
      <c r="N1683" s="6" t="str">
        <f>IFERROR(__xludf.DUMMYFUNCTION("""COMPUTED_VALUE"""),"")</f>
        <v/>
      </c>
      <c r="O1683" s="87" t="str">
        <f>IFERROR(__xludf.DUMMYFUNCTION("""COMPUTED_VALUE"""),"https://drive.google.com/drive/folders/10T2cTQHqEJZqE-st6uFKPoI?usp=share_link")</f>
        <v>https://drive.google.com/drive/folders/10T2cTQHqEJZqE-st6uFKPoI?usp=share_link</v>
      </c>
      <c r="P1683" s="6" t="str">
        <f>IFERROR(__xludf.DUMMYFUNCTION("""COMPUTED_VALUE"""),"Gardner Edwards")</f>
        <v>Gardner Edwards</v>
      </c>
      <c r="Q1683" s="6" t="str">
        <f>IFERROR(__xludf.DUMMYFUNCTION("""COMPUTED_VALUE"""),"MS")</f>
        <v>MS</v>
      </c>
      <c r="R1683" s="6">
        <f>IFERROR(__xludf.DUMMYFUNCTION("""COMPUTED_VALUE"""),0.0)</f>
        <v>0</v>
      </c>
      <c r="S1683" s="6" t="str">
        <f>IFERROR(__xludf.DUMMYFUNCTION("""COMPUTED_VALUE"""),"Chazz Roper")</f>
        <v>Chazz Roper</v>
      </c>
      <c r="T1683" s="6" t="str">
        <f>IFERROR(__xludf.DUMMYFUNCTION("""COMPUTED_VALUE"""),"chazzmon.roper@alpha.school")</f>
        <v>chazzmon.roper@alpha.school</v>
      </c>
      <c r="U1683" s="6" t="str">
        <f>IFERROR(__xludf.DUMMYFUNCTION("""COMPUTED_VALUE"""),"7")</f>
        <v>7</v>
      </c>
      <c r="V1683" s="6" t="str">
        <f>IFERROR(__xludf.DUMMYFUNCTION("""COMPUTED_VALUE"""),"")</f>
        <v/>
      </c>
      <c r="W1683" s="6" t="str">
        <f>IFERROR(__xludf.DUMMYFUNCTION("""COMPUTED_VALUE"""),"[]")</f>
        <v>[]</v>
      </c>
      <c r="X1683" s="6" t="str">
        <f>IFERROR(__xludf.DUMMYFUNCTION("""COMPUTED_VALUE"""),"Enrolled")</f>
        <v>Enrolled</v>
      </c>
    </row>
    <row r="1684">
      <c r="A1684" s="6" t="str">
        <f>IFERROR(__xludf.DUMMYFUNCTION("""COMPUTED_VALUE"""),"013-7147")</f>
        <v>013-7147</v>
      </c>
      <c r="B1684" s="6" t="str">
        <f>IFERROR(__xludf.DUMMYFUNCTION("""COMPUTED_VALUE"""),"13")</f>
        <v>13</v>
      </c>
      <c r="C1684" s="6" t="str">
        <f>IFERROR(__xludf.DUMMYFUNCTION("""COMPUTED_VALUE"""),"7147")</f>
        <v>7147</v>
      </c>
      <c r="D1684" s="6" t="str">
        <f>IFERROR(__xludf.DUMMYFUNCTION("""COMPUTED_VALUE"""),"Ethan")</f>
        <v>Ethan</v>
      </c>
      <c r="E1684" s="6" t="str">
        <f>IFERROR(__xludf.DUMMYFUNCTION("""COMPUTED_VALUE"""),"")</f>
        <v/>
      </c>
      <c r="F1684" s="6" t="str">
        <f>IFERROR(__xludf.DUMMYFUNCTION("""COMPUTED_VALUE"""),"Kim")</f>
        <v>Kim</v>
      </c>
      <c r="G1684" s="6" t="str">
        <f>IFERROR(__xludf.DUMMYFUNCTION("""COMPUTED_VALUE"""),"03/19/2019")</f>
        <v>03/19/2019</v>
      </c>
      <c r="H1684" s="6" t="str">
        <f>IFERROR(__xludf.DUMMYFUNCTION("""COMPUTED_VALUE"""),"Self Identify")</f>
        <v>Self Identify</v>
      </c>
      <c r="I1684" s="6" t="str">
        <f>IFERROR(__xludf.DUMMYFUNCTION("""COMPUTED_VALUE"""),"Learning Lab")</f>
        <v>Learning Lab</v>
      </c>
      <c r="J1684" s="6" t="str">
        <f>IFERROR(__xludf.DUMMYFUNCTION("""COMPUTED_VALUE"""),"1")</f>
        <v>1</v>
      </c>
      <c r="K1684" s="6" t="str">
        <f>IFERROR(__xludf.DUMMYFUNCTION("""COMPUTED_VALUE"""),"ethan.kim@alpha.school")</f>
        <v>ethan.kim@alpha.school</v>
      </c>
      <c r="L1684" s="6" t="str">
        <f>IFERROR(__xludf.DUMMYFUNCTION("""COMPUTED_VALUE"""),"GT School")</f>
        <v>GT School</v>
      </c>
      <c r="M1684" s="6" t="str">
        <f>IFERROR(__xludf.DUMMYFUNCTION("""COMPUTED_VALUE"""),"")</f>
        <v/>
      </c>
      <c r="N1684" s="6" t="str">
        <f>IFERROR(__xludf.DUMMYFUNCTION("""COMPUTED_VALUE"""),"")</f>
        <v/>
      </c>
      <c r="O1684" s="87" t="str">
        <f>IFERROR(__xludf.DUMMYFUNCTION("""COMPUTED_VALUE"""),"https://drive.google.com/drive/folders/10T2cTQHqEJZqE-st6uFKPoI?usp=share_link")</f>
        <v>https://drive.google.com/drive/folders/10T2cTQHqEJZqE-st6uFKPoI?usp=share_link</v>
      </c>
      <c r="P1684" s="6" t="str">
        <f>IFERROR(__xludf.DUMMYFUNCTION("""COMPUTED_VALUE"""),"Ethan Kim")</f>
        <v>Ethan Kim</v>
      </c>
      <c r="Q1684" s="6" t="str">
        <f>IFERROR(__xludf.DUMMYFUNCTION("""COMPUTED_VALUE"""),"LL")</f>
        <v>LL</v>
      </c>
      <c r="R1684" s="6">
        <f>IFERROR(__xludf.DUMMYFUNCTION("""COMPUTED_VALUE"""),0.0)</f>
        <v>0</v>
      </c>
      <c r="S1684" s="6" t="str">
        <f>IFERROR(__xludf.DUMMYFUNCTION("""COMPUTED_VALUE"""),"Lauren Marques")</f>
        <v>Lauren Marques</v>
      </c>
      <c r="T1684" s="6" t="str">
        <f>IFERROR(__xludf.DUMMYFUNCTION("""COMPUTED_VALUE"""),"lauren.marques@2hourlearning.com")</f>
        <v>lauren.marques@2hourlearning.com</v>
      </c>
      <c r="U1684" s="6" t="str">
        <f>IFERROR(__xludf.DUMMYFUNCTION("""COMPUTED_VALUE"""),"1")</f>
        <v>1</v>
      </c>
      <c r="V1684" s="6" t="str">
        <f>IFERROR(__xludf.DUMMYFUNCTION("""COMPUTED_VALUE"""),"")</f>
        <v/>
      </c>
      <c r="W1684" s="6" t="str">
        <f>IFERROR(__xludf.DUMMYFUNCTION("""COMPUTED_VALUE"""),"[]")</f>
        <v>[]</v>
      </c>
      <c r="X1684" s="6" t="str">
        <f>IFERROR(__xludf.DUMMYFUNCTION("""COMPUTED_VALUE"""),"Enrolled")</f>
        <v>Enrolled</v>
      </c>
    </row>
    <row r="1685">
      <c r="A1685" s="6" t="str">
        <f>IFERROR(__xludf.DUMMYFUNCTION("""COMPUTED_VALUE"""),"013-8009")</f>
        <v>013-8009</v>
      </c>
      <c r="B1685" s="6" t="str">
        <f>IFERROR(__xludf.DUMMYFUNCTION("""COMPUTED_VALUE"""),"13")</f>
        <v>13</v>
      </c>
      <c r="C1685" s="6" t="str">
        <f>IFERROR(__xludf.DUMMYFUNCTION("""COMPUTED_VALUE"""),"8009")</f>
        <v>8009</v>
      </c>
      <c r="D1685" s="6" t="str">
        <f>IFERROR(__xludf.DUMMYFUNCTION("""COMPUTED_VALUE"""),"Riana")</f>
        <v>Riana</v>
      </c>
      <c r="E1685" s="6" t="str">
        <f>IFERROR(__xludf.DUMMYFUNCTION("""COMPUTED_VALUE"""),"")</f>
        <v/>
      </c>
      <c r="F1685" s="6" t="str">
        <f>IFERROR(__xludf.DUMMYFUNCTION("""COMPUTED_VALUE"""),"Parikh")</f>
        <v>Parikh</v>
      </c>
      <c r="G1685" s="6" t="str">
        <f>IFERROR(__xludf.DUMMYFUNCTION("""COMPUTED_VALUE"""),"06/29/2017")</f>
        <v>06/29/2017</v>
      </c>
      <c r="H1685" s="6" t="str">
        <f>IFERROR(__xludf.DUMMYFUNCTION("""COMPUTED_VALUE"""),"female")</f>
        <v>female</v>
      </c>
      <c r="I1685" s="6" t="str">
        <f>IFERROR(__xludf.DUMMYFUNCTION("""COMPUTED_VALUE"""),"Level 1")</f>
        <v>Level 1</v>
      </c>
      <c r="J1685" s="6" t="str">
        <f>IFERROR(__xludf.DUMMYFUNCTION("""COMPUTED_VALUE"""),"3")</f>
        <v>3</v>
      </c>
      <c r="K1685" s="6" t="str">
        <f>IFERROR(__xludf.DUMMYFUNCTION("""COMPUTED_VALUE"""),"riana.parikh@2hourlearning.com")</f>
        <v>riana.parikh@2hourlearning.com</v>
      </c>
      <c r="L1685" s="6" t="str">
        <f>IFERROR(__xludf.DUMMYFUNCTION("""COMPUTED_VALUE"""),"GT School")</f>
        <v>GT School</v>
      </c>
      <c r="M1685" s="6" t="str">
        <f>IFERROR(__xludf.DUMMYFUNCTION("""COMPUTED_VALUE"""),"")</f>
        <v/>
      </c>
      <c r="N1685" s="6" t="str">
        <f>IFERROR(__xludf.DUMMYFUNCTION("""COMPUTED_VALUE"""),"")</f>
        <v/>
      </c>
      <c r="O1685" s="87" t="str">
        <f>IFERROR(__xludf.DUMMYFUNCTION("""COMPUTED_VALUE"""),"https://drive.google.com/drive/folders/10T2cTQHqEJZqE-st6uFKPoI?usp=share_link")</f>
        <v>https://drive.google.com/drive/folders/10T2cTQHqEJZqE-st6uFKPoI?usp=share_link</v>
      </c>
      <c r="P1685" s="6" t="str">
        <f>IFERROR(__xludf.DUMMYFUNCTION("""COMPUTED_VALUE"""),"Riana Parikh")</f>
        <v>Riana Parikh</v>
      </c>
      <c r="Q1685" s="6" t="str">
        <f>IFERROR(__xludf.DUMMYFUNCTION("""COMPUTED_VALUE"""),"L1")</f>
        <v>L1</v>
      </c>
      <c r="R1685" s="6">
        <f>IFERROR(__xludf.DUMMYFUNCTION("""COMPUTED_VALUE"""),1.0)</f>
        <v>1</v>
      </c>
      <c r="S1685" s="6" t="str">
        <f>IFERROR(__xludf.DUMMYFUNCTION("""COMPUTED_VALUE"""),"Grant Cain")</f>
        <v>Grant Cain</v>
      </c>
      <c r="T1685" s="6" t="str">
        <f>IFERROR(__xludf.DUMMYFUNCTION("""COMPUTED_VALUE"""),"grant.cain@2hourlearning.com")</f>
        <v>grant.cain@2hourlearning.com</v>
      </c>
      <c r="U1685" s="6" t="str">
        <f>IFERROR(__xludf.DUMMYFUNCTION("""COMPUTED_VALUE"""),"3")</f>
        <v>3</v>
      </c>
      <c r="V1685" s="6" t="str">
        <f>IFERROR(__xludf.DUMMYFUNCTION("""COMPUTED_VALUE"""),"")</f>
        <v/>
      </c>
      <c r="W1685" s="6" t="str">
        <f>IFERROR(__xludf.DUMMYFUNCTION("""COMPUTED_VALUE"""),"[]")</f>
        <v>[]</v>
      </c>
      <c r="X1685" s="6" t="str">
        <f>IFERROR(__xludf.DUMMYFUNCTION("""COMPUTED_VALUE"""),"Enrolled")</f>
        <v>Enrolled</v>
      </c>
    </row>
    <row r="1686">
      <c r="A1686" s="6" t="str">
        <f>IFERROR(__xludf.DUMMYFUNCTION("""COMPUTED_VALUE"""),"014-0454")</f>
        <v>014-0454</v>
      </c>
      <c r="B1686" s="6" t="str">
        <f>IFERROR(__xludf.DUMMYFUNCTION("""COMPUTED_VALUE"""),"14")</f>
        <v>14</v>
      </c>
      <c r="C1686" s="6" t="str">
        <f>IFERROR(__xludf.DUMMYFUNCTION("""COMPUTED_VALUE"""),"0454")</f>
        <v>0454</v>
      </c>
      <c r="D1686" s="6" t="str">
        <f>IFERROR(__xludf.DUMMYFUNCTION("""COMPUTED_VALUE"""),"Aksel")</f>
        <v>Aksel</v>
      </c>
      <c r="E1686" s="6" t="str">
        <f>IFERROR(__xludf.DUMMYFUNCTION("""COMPUTED_VALUE"""),"Aksel")</f>
        <v>Aksel</v>
      </c>
      <c r="F1686" s="6" t="str">
        <f>IFERROR(__xludf.DUMMYFUNCTION("""COMPUTED_VALUE"""),"Jensen")</f>
        <v>Jensen</v>
      </c>
      <c r="G1686" s="6" t="str">
        <f>IFERROR(__xludf.DUMMYFUNCTION("""COMPUTED_VALUE"""),"06/19/2012")</f>
        <v>06/19/2012</v>
      </c>
      <c r="H1686" s="6" t="str">
        <f>IFERROR(__xludf.DUMMYFUNCTION("""COMPUTED_VALUE"""),"M")</f>
        <v>M</v>
      </c>
      <c r="I1686" s="6" t="str">
        <f>IFERROR(__xludf.DUMMYFUNCTION("""COMPUTED_VALUE"""),"Middle School")</f>
        <v>Middle School</v>
      </c>
      <c r="J1686" s="6" t="str">
        <f>IFERROR(__xludf.DUMMYFUNCTION("""COMPUTED_VALUE"""),"7")</f>
        <v>7</v>
      </c>
      <c r="K1686" s="6" t="str">
        <f>IFERROR(__xludf.DUMMYFUNCTION("""COMPUTED_VALUE"""),"aksel.jensen@alpha.school")</f>
        <v>aksel.jensen@alpha.school</v>
      </c>
      <c r="L1686" s="6" t="str">
        <f>IFERROR(__xludf.DUMMYFUNCTION("""COMPUTED_VALUE"""),"Texas Sports Academy")</f>
        <v>Texas Sports Academy</v>
      </c>
      <c r="M1686" s="6" t="str">
        <f>IFERROR(__xludf.DUMMYFUNCTION("""COMPUTED_VALUE"""),"")</f>
        <v/>
      </c>
      <c r="N1686" s="6" t="str">
        <f>IFERROR(__xludf.DUMMYFUNCTION("""COMPUTED_VALUE"""),"")</f>
        <v/>
      </c>
      <c r="O1686" s="87" t="str">
        <f>IFERROR(__xludf.DUMMYFUNCTION("""COMPUTED_VALUE"""),"https://drive.google.com/drive/folders/10T2cTQHqEJZqE-st6uFKPoI?usp=share_link")</f>
        <v>https://drive.google.com/drive/folders/10T2cTQHqEJZqE-st6uFKPoI?usp=share_link</v>
      </c>
      <c r="P1686" s="6" t="str">
        <f>IFERROR(__xludf.DUMMYFUNCTION("""COMPUTED_VALUE"""),"Aksel Jensen")</f>
        <v>Aksel Jensen</v>
      </c>
      <c r="Q1686" s="6" t="str">
        <f>IFERROR(__xludf.DUMMYFUNCTION("""COMPUTED_VALUE"""),"MS")</f>
        <v>MS</v>
      </c>
      <c r="R1686" s="6">
        <f>IFERROR(__xludf.DUMMYFUNCTION("""COMPUTED_VALUE"""),0.0)</f>
        <v>0</v>
      </c>
      <c r="S1686" s="6" t="str">
        <f>IFERROR(__xludf.DUMMYFUNCTION("""COMPUTED_VALUE"""),"DJ Tripoli")</f>
        <v>DJ Tripoli</v>
      </c>
      <c r="T1686" s="6" t="str">
        <f>IFERROR(__xludf.DUMMYFUNCTION("""COMPUTED_VALUE"""),"david.tripoli@alpha.school")</f>
        <v>david.tripoli@alpha.school</v>
      </c>
      <c r="U1686" s="6" t="str">
        <f>IFERROR(__xludf.DUMMYFUNCTION("""COMPUTED_VALUE"""),"7")</f>
        <v>7</v>
      </c>
      <c r="V1686" s="6" t="str">
        <f>IFERROR(__xludf.DUMMYFUNCTION("""COMPUTED_VALUE"""),"")</f>
        <v/>
      </c>
      <c r="W1686" s="6" t="str">
        <f>IFERROR(__xludf.DUMMYFUNCTION("""COMPUTED_VALUE"""),"[Text-to-Speech,Solo Space,Extended Time]")</f>
        <v>[Text-to-Speech,Solo Space,Extended Time]</v>
      </c>
      <c r="X1686" s="6" t="str">
        <f>IFERROR(__xludf.DUMMYFUNCTION("""COMPUTED_VALUE"""),"Enrolled")</f>
        <v>Enrolled</v>
      </c>
    </row>
    <row r="1687">
      <c r="A1687" s="6" t="str">
        <f>IFERROR(__xludf.DUMMYFUNCTION("""COMPUTED_VALUE"""),"014-0455")</f>
        <v>014-0455</v>
      </c>
      <c r="B1687" s="6" t="str">
        <f>IFERROR(__xludf.DUMMYFUNCTION("""COMPUTED_VALUE"""),"14")</f>
        <v>14</v>
      </c>
      <c r="C1687" s="6" t="str">
        <f>IFERROR(__xludf.DUMMYFUNCTION("""COMPUTED_VALUE"""),"0455")</f>
        <v>0455</v>
      </c>
      <c r="D1687" s="6" t="str">
        <f>IFERROR(__xludf.DUMMYFUNCTION("""COMPUTED_VALUE"""),"Marshall")</f>
        <v>Marshall</v>
      </c>
      <c r="E1687" s="6" t="str">
        <f>IFERROR(__xludf.DUMMYFUNCTION("""COMPUTED_VALUE"""),"Marshall")</f>
        <v>Marshall</v>
      </c>
      <c r="F1687" s="6" t="str">
        <f>IFERROR(__xludf.DUMMYFUNCTION("""COMPUTED_VALUE"""),"Jensen")</f>
        <v>Jensen</v>
      </c>
      <c r="G1687" s="6" t="str">
        <f>IFERROR(__xludf.DUMMYFUNCTION("""COMPUTED_VALUE"""),"04/06/2015")</f>
        <v>04/06/2015</v>
      </c>
      <c r="H1687" s="6" t="str">
        <f>IFERROR(__xludf.DUMMYFUNCTION("""COMPUTED_VALUE"""),"male")</f>
        <v>male</v>
      </c>
      <c r="I1687" s="6" t="str">
        <f>IFERROR(__xludf.DUMMYFUNCTION("""COMPUTED_VALUE"""),"Level 2")</f>
        <v>Level 2</v>
      </c>
      <c r="J1687" s="6" t="str">
        <f>IFERROR(__xludf.DUMMYFUNCTION("""COMPUTED_VALUE"""),"4")</f>
        <v>4</v>
      </c>
      <c r="K1687" s="6" t="str">
        <f>IFERROR(__xludf.DUMMYFUNCTION("""COMPUTED_VALUE"""),"marshall.jensen@alpha.school")</f>
        <v>marshall.jensen@alpha.school</v>
      </c>
      <c r="L1687" s="6" t="str">
        <f>IFERROR(__xludf.DUMMYFUNCTION("""COMPUTED_VALUE"""),"Texas Sports Academy")</f>
        <v>Texas Sports Academy</v>
      </c>
      <c r="M1687" s="6" t="str">
        <f>IFERROR(__xludf.DUMMYFUNCTION("""COMPUTED_VALUE"""),"")</f>
        <v/>
      </c>
      <c r="N1687" s="6" t="str">
        <f>IFERROR(__xludf.DUMMYFUNCTION("""COMPUTED_VALUE"""),"")</f>
        <v/>
      </c>
      <c r="O1687" s="87" t="str">
        <f>IFERROR(__xludf.DUMMYFUNCTION("""COMPUTED_VALUE"""),"https://drive.google.com/drive/folders/10T2cTQHqEJZqE-st6uFKPoI?usp=share_link")</f>
        <v>https://drive.google.com/drive/folders/10T2cTQHqEJZqE-st6uFKPoI?usp=share_link</v>
      </c>
      <c r="P1687" s="6" t="str">
        <f>IFERROR(__xludf.DUMMYFUNCTION("""COMPUTED_VALUE"""),"Marshall Jensen")</f>
        <v>Marshall Jensen</v>
      </c>
      <c r="Q1687" s="6" t="str">
        <f>IFERROR(__xludf.DUMMYFUNCTION("""COMPUTED_VALUE"""),"L2")</f>
        <v>L2</v>
      </c>
      <c r="R1687" s="6">
        <f>IFERROR(__xludf.DUMMYFUNCTION("""COMPUTED_VALUE"""),2.0)</f>
        <v>2</v>
      </c>
      <c r="S1687" s="6" t="str">
        <f>IFERROR(__xludf.DUMMYFUNCTION("""COMPUTED_VALUE"""),"Lisa Willis")</f>
        <v>Lisa Willis</v>
      </c>
      <c r="T1687" s="6" t="str">
        <f>IFERROR(__xludf.DUMMYFUNCTION("""COMPUTED_VALUE"""),"lisa.willis@sportsacademy.school")</f>
        <v>lisa.willis@sportsacademy.school</v>
      </c>
      <c r="U1687" s="6" t="str">
        <f>IFERROR(__xludf.DUMMYFUNCTION("""COMPUTED_VALUE"""),"4")</f>
        <v>4</v>
      </c>
      <c r="V1687" s="6" t="str">
        <f>IFERROR(__xludf.DUMMYFUNCTION("""COMPUTED_VALUE"""),"")</f>
        <v/>
      </c>
      <c r="W1687" s="6" t="str">
        <f>IFERROR(__xludf.DUMMYFUNCTION("""COMPUTED_VALUE"""),"[Text-to-Speech,Solo Space,50% Extended Time]")</f>
        <v>[Text-to-Speech,Solo Space,50% Extended Time]</v>
      </c>
      <c r="X1687" s="6" t="str">
        <f>IFERROR(__xludf.DUMMYFUNCTION("""COMPUTED_VALUE"""),"Enrolled")</f>
        <v>Enrolled</v>
      </c>
    </row>
    <row r="1688">
      <c r="A1688" s="6" t="str">
        <f>IFERROR(__xludf.DUMMYFUNCTION("""COMPUTED_VALUE"""),"014-0567")</f>
        <v>014-0567</v>
      </c>
      <c r="B1688" s="6" t="str">
        <f>IFERROR(__xludf.DUMMYFUNCTION("""COMPUTED_VALUE"""),"14")</f>
        <v>14</v>
      </c>
      <c r="C1688" s="6" t="str">
        <f>IFERROR(__xludf.DUMMYFUNCTION("""COMPUTED_VALUE"""),"0567")</f>
        <v>0567</v>
      </c>
      <c r="D1688" s="6" t="str">
        <f>IFERROR(__xludf.DUMMYFUNCTION("""COMPUTED_VALUE"""),"Lucius")</f>
        <v>Lucius</v>
      </c>
      <c r="E1688" s="6" t="str">
        <f>IFERROR(__xludf.DUMMYFUNCTION("""COMPUTED_VALUE"""),"")</f>
        <v/>
      </c>
      <c r="F1688" s="6" t="str">
        <f>IFERROR(__xludf.DUMMYFUNCTION("""COMPUTED_VALUE"""),"Walker")</f>
        <v>Walker</v>
      </c>
      <c r="G1688" s="6" t="str">
        <f>IFERROR(__xludf.DUMMYFUNCTION("""COMPUTED_VALUE"""),"05/24/2016")</f>
        <v>05/24/2016</v>
      </c>
      <c r="H1688" s="6" t="str">
        <f>IFERROR(__xludf.DUMMYFUNCTION("""COMPUTED_VALUE"""),"male")</f>
        <v>male</v>
      </c>
      <c r="I1688" s="6" t="str">
        <f>IFERROR(__xludf.DUMMYFUNCTION("""COMPUTED_VALUE"""),"Level 1")</f>
        <v>Level 1</v>
      </c>
      <c r="J1688" s="6" t="str">
        <f>IFERROR(__xludf.DUMMYFUNCTION("""COMPUTED_VALUE"""),"3")</f>
        <v>3</v>
      </c>
      <c r="K1688" s="6" t="str">
        <f>IFERROR(__xludf.DUMMYFUNCTION("""COMPUTED_VALUE"""),"lucius.walker@alpha.school")</f>
        <v>lucius.walker@alpha.school</v>
      </c>
      <c r="L1688" s="6" t="str">
        <f>IFERROR(__xludf.DUMMYFUNCTION("""COMPUTED_VALUE"""),"Texas Sports Academy")</f>
        <v>Texas Sports Academy</v>
      </c>
      <c r="M1688" s="6" t="str">
        <f>IFERROR(__xludf.DUMMYFUNCTION("""COMPUTED_VALUE"""),"JW")</f>
        <v>JW</v>
      </c>
      <c r="N1688" s="6" t="str">
        <f>IFERROR(__xludf.DUMMYFUNCTION("""COMPUTED_VALUE"""),"")</f>
        <v/>
      </c>
      <c r="O1688" s="87" t="str">
        <f>IFERROR(__xludf.DUMMYFUNCTION("""COMPUTED_VALUE"""),"https://drive.google.com/drive/folders/10T2cTQHqEJZqE-st6uFKPoI?usp=share_link")</f>
        <v>https://drive.google.com/drive/folders/10T2cTQHqEJZqE-st6uFKPoI?usp=share_link</v>
      </c>
      <c r="P1688" s="6" t="str">
        <f>IFERROR(__xludf.DUMMYFUNCTION("""COMPUTED_VALUE"""),"Lucius Walker")</f>
        <v>Lucius Walker</v>
      </c>
      <c r="Q1688" s="6" t="str">
        <f>IFERROR(__xludf.DUMMYFUNCTION("""COMPUTED_VALUE"""),"L1")</f>
        <v>L1</v>
      </c>
      <c r="R1688" s="6">
        <f>IFERROR(__xludf.DUMMYFUNCTION("""COMPUTED_VALUE"""),1.0)</f>
        <v>1</v>
      </c>
      <c r="S1688" s="6" t="str">
        <f>IFERROR(__xludf.DUMMYFUNCTION("""COMPUTED_VALUE"""),"Amir Lewis")</f>
        <v>Amir Lewis</v>
      </c>
      <c r="T1688" s="6" t="str">
        <f>IFERROR(__xludf.DUMMYFUNCTION("""COMPUTED_VALUE"""),"amir.lewis@alpha.school")</f>
        <v>amir.lewis@alpha.school</v>
      </c>
      <c r="U1688" s="6" t="str">
        <f>IFERROR(__xludf.DUMMYFUNCTION("""COMPUTED_VALUE"""),"3")</f>
        <v>3</v>
      </c>
      <c r="V1688" s="6" t="str">
        <f>IFERROR(__xludf.DUMMYFUNCTION("""COMPUTED_VALUE"""),"")</f>
        <v/>
      </c>
      <c r="W1688" s="6" t="str">
        <f>IFERROR(__xludf.DUMMYFUNCTION("""COMPUTED_VALUE"""),"[]")</f>
        <v>[]</v>
      </c>
      <c r="X1688" s="6" t="str">
        <f>IFERROR(__xludf.DUMMYFUNCTION("""COMPUTED_VALUE"""),"Enrolled")</f>
        <v>Enrolled</v>
      </c>
    </row>
    <row r="1689">
      <c r="A1689" s="6" t="str">
        <f>IFERROR(__xludf.DUMMYFUNCTION("""COMPUTED_VALUE"""),"014-0711")</f>
        <v>014-0711</v>
      </c>
      <c r="B1689" s="6" t="str">
        <f>IFERROR(__xludf.DUMMYFUNCTION("""COMPUTED_VALUE"""),"14")</f>
        <v>14</v>
      </c>
      <c r="C1689" s="6" t="str">
        <f>IFERROR(__xludf.DUMMYFUNCTION("""COMPUTED_VALUE"""),"0711")</f>
        <v>0711</v>
      </c>
      <c r="D1689" s="6" t="str">
        <f>IFERROR(__xludf.DUMMYFUNCTION("""COMPUTED_VALUE"""),"D'sean")</f>
        <v>D'sean</v>
      </c>
      <c r="E1689" s="6" t="str">
        <f>IFERROR(__xludf.DUMMYFUNCTION("""COMPUTED_VALUE"""),"")</f>
        <v/>
      </c>
      <c r="F1689" s="6" t="str">
        <f>IFERROR(__xludf.DUMMYFUNCTION("""COMPUTED_VALUE"""),"Harden II")</f>
        <v>Harden II</v>
      </c>
      <c r="G1689" s="6" t="str">
        <f>IFERROR(__xludf.DUMMYFUNCTION("""COMPUTED_VALUE"""),"01/16/2015")</f>
        <v>01/16/2015</v>
      </c>
      <c r="H1689" s="6" t="str">
        <f>IFERROR(__xludf.DUMMYFUNCTION("""COMPUTED_VALUE"""),"male")</f>
        <v>male</v>
      </c>
      <c r="I1689" s="6" t="str">
        <f>IFERROR(__xludf.DUMMYFUNCTION("""COMPUTED_VALUE"""),"Level 2")</f>
        <v>Level 2</v>
      </c>
      <c r="J1689" s="6" t="str">
        <f>IFERROR(__xludf.DUMMYFUNCTION("""COMPUTED_VALUE"""),"5")</f>
        <v>5</v>
      </c>
      <c r="K1689" s="6" t="str">
        <f>IFERROR(__xludf.DUMMYFUNCTION("""COMPUTED_VALUE"""),"dsean.harden@alpha.school")</f>
        <v>dsean.harden@alpha.school</v>
      </c>
      <c r="L1689" s="6" t="str">
        <f>IFERROR(__xludf.DUMMYFUNCTION("""COMPUTED_VALUE"""),"Texas Sports Academy")</f>
        <v>Texas Sports Academy</v>
      </c>
      <c r="M1689" s="6" t="str">
        <f>IFERROR(__xludf.DUMMYFUNCTION("""COMPUTED_VALUE"""),"")</f>
        <v/>
      </c>
      <c r="N1689" s="6" t="str">
        <f>IFERROR(__xludf.DUMMYFUNCTION("""COMPUTED_VALUE"""),"")</f>
        <v/>
      </c>
      <c r="O1689" s="87" t="str">
        <f>IFERROR(__xludf.DUMMYFUNCTION("""COMPUTED_VALUE"""),"https://drive.google.com/drive/folders/10T2cTQHqEJZqE-st6uFKPoI?usp=share_link")</f>
        <v>https://drive.google.com/drive/folders/10T2cTQHqEJZqE-st6uFKPoI?usp=share_link</v>
      </c>
      <c r="P1689" s="6" t="str">
        <f>IFERROR(__xludf.DUMMYFUNCTION("""COMPUTED_VALUE"""),"D'sean Harden II")</f>
        <v>D'sean Harden II</v>
      </c>
      <c r="Q1689" s="6" t="str">
        <f>IFERROR(__xludf.DUMMYFUNCTION("""COMPUTED_VALUE"""),"L2")</f>
        <v>L2</v>
      </c>
      <c r="R1689" s="6">
        <f>IFERROR(__xludf.DUMMYFUNCTION("""COMPUTED_VALUE"""),2.0)</f>
        <v>2</v>
      </c>
      <c r="S1689" s="6" t="str">
        <f>IFERROR(__xludf.DUMMYFUNCTION("""COMPUTED_VALUE"""),"Lisa Willis")</f>
        <v>Lisa Willis</v>
      </c>
      <c r="T1689" s="6" t="str">
        <f>IFERROR(__xludf.DUMMYFUNCTION("""COMPUTED_VALUE"""),"lisa.willis@sportsacademy.school")</f>
        <v>lisa.willis@sportsacademy.school</v>
      </c>
      <c r="U1689" s="6" t="str">
        <f>IFERROR(__xludf.DUMMYFUNCTION("""COMPUTED_VALUE"""),"5")</f>
        <v>5</v>
      </c>
      <c r="V1689" s="6" t="str">
        <f>IFERROR(__xludf.DUMMYFUNCTION("""COMPUTED_VALUE"""),"English")</f>
        <v>English</v>
      </c>
      <c r="W1689" s="6" t="str">
        <f>IFERROR(__xludf.DUMMYFUNCTION("""COMPUTED_VALUE"""),"[]")</f>
        <v>[]</v>
      </c>
      <c r="X1689" s="6" t="str">
        <f>IFERROR(__xludf.DUMMYFUNCTION("""COMPUTED_VALUE"""),"Enrolled")</f>
        <v>Enrolled</v>
      </c>
    </row>
    <row r="1690">
      <c r="A1690" s="6" t="str">
        <f>IFERROR(__xludf.DUMMYFUNCTION("""COMPUTED_VALUE"""),"014-0761")</f>
        <v>014-0761</v>
      </c>
      <c r="B1690" s="6" t="str">
        <f>IFERROR(__xludf.DUMMYFUNCTION("""COMPUTED_VALUE"""),"14")</f>
        <v>14</v>
      </c>
      <c r="C1690" s="6" t="str">
        <f>IFERROR(__xludf.DUMMYFUNCTION("""COMPUTED_VALUE"""),"0761")</f>
        <v>0761</v>
      </c>
      <c r="D1690" s="6" t="str">
        <f>IFERROR(__xludf.DUMMYFUNCTION("""COMPUTED_VALUE"""),"Corinne")</f>
        <v>Corinne</v>
      </c>
      <c r="E1690" s="6" t="str">
        <f>IFERROR(__xludf.DUMMYFUNCTION("""COMPUTED_VALUE"""),"")</f>
        <v/>
      </c>
      <c r="F1690" s="6" t="str">
        <f>IFERROR(__xludf.DUMMYFUNCTION("""COMPUTED_VALUE"""),"McGowan")</f>
        <v>McGowan</v>
      </c>
      <c r="G1690" s="6" t="str">
        <f>IFERROR(__xludf.DUMMYFUNCTION("""COMPUTED_VALUE"""),"09/10/2016")</f>
        <v>09/10/2016</v>
      </c>
      <c r="H1690" s="6" t="str">
        <f>IFERROR(__xludf.DUMMYFUNCTION("""COMPUTED_VALUE"""),"female")</f>
        <v>female</v>
      </c>
      <c r="I1690" s="6" t="str">
        <f>IFERROR(__xludf.DUMMYFUNCTION("""COMPUTED_VALUE"""),"Level 1")</f>
        <v>Level 1</v>
      </c>
      <c r="J1690" s="6" t="str">
        <f>IFERROR(__xludf.DUMMYFUNCTION("""COMPUTED_VALUE"""),"3")</f>
        <v>3</v>
      </c>
      <c r="K1690" s="6" t="str">
        <f>IFERROR(__xludf.DUMMYFUNCTION("""COMPUTED_VALUE"""),"corinne.mcgowan@sportsacademy.school")</f>
        <v>corinne.mcgowan@sportsacademy.school</v>
      </c>
      <c r="L1690" s="6" t="str">
        <f>IFERROR(__xludf.DUMMYFUNCTION("""COMPUTED_VALUE"""),"Texas Sports Academy")</f>
        <v>Texas Sports Academy</v>
      </c>
      <c r="M1690" s="6" t="str">
        <f>IFERROR(__xludf.DUMMYFUNCTION("""COMPUTED_VALUE"""),"")</f>
        <v/>
      </c>
      <c r="N1690" s="6" t="str">
        <f>IFERROR(__xludf.DUMMYFUNCTION("""COMPUTED_VALUE"""),"")</f>
        <v/>
      </c>
      <c r="O1690" s="87" t="str">
        <f>IFERROR(__xludf.DUMMYFUNCTION("""COMPUTED_VALUE"""),"https://drive.google.com/drive/folders/10T2cTQHqEJZqE-st6uFKPoI?usp=share_link")</f>
        <v>https://drive.google.com/drive/folders/10T2cTQHqEJZqE-st6uFKPoI?usp=share_link</v>
      </c>
      <c r="P1690" s="6" t="str">
        <f>IFERROR(__xludf.DUMMYFUNCTION("""COMPUTED_VALUE"""),"Corinne McGowan")</f>
        <v>Corinne McGowan</v>
      </c>
      <c r="Q1690" s="6" t="str">
        <f>IFERROR(__xludf.DUMMYFUNCTION("""COMPUTED_VALUE"""),"L1")</f>
        <v>L1</v>
      </c>
      <c r="R1690" s="6">
        <f>IFERROR(__xludf.DUMMYFUNCTION("""COMPUTED_VALUE"""),1.0)</f>
        <v>1</v>
      </c>
      <c r="S1690" s="6" t="str">
        <f>IFERROR(__xludf.DUMMYFUNCTION("""COMPUTED_VALUE"""),"Amir Lewis")</f>
        <v>Amir Lewis</v>
      </c>
      <c r="T1690" s="6" t="str">
        <f>IFERROR(__xludf.DUMMYFUNCTION("""COMPUTED_VALUE"""),"amir.lewis@alpha.school")</f>
        <v>amir.lewis@alpha.school</v>
      </c>
      <c r="U1690" s="6" t="str">
        <f>IFERROR(__xludf.DUMMYFUNCTION("""COMPUTED_VALUE"""),"3")</f>
        <v>3</v>
      </c>
      <c r="V1690" s="6" t="str">
        <f>IFERROR(__xludf.DUMMYFUNCTION("""COMPUTED_VALUE"""),"English")</f>
        <v>English</v>
      </c>
      <c r="W1690" s="6" t="str">
        <f>IFERROR(__xludf.DUMMYFUNCTION("""COMPUTED_VALUE"""),"[]")</f>
        <v>[]</v>
      </c>
      <c r="X1690" s="6" t="str">
        <f>IFERROR(__xludf.DUMMYFUNCTION("""COMPUTED_VALUE"""),"Enrolled")</f>
        <v>Enrolled</v>
      </c>
    </row>
    <row r="1691">
      <c r="A1691" s="6" t="str">
        <f>IFERROR(__xludf.DUMMYFUNCTION("""COMPUTED_VALUE"""),"014-0764")</f>
        <v>014-0764</v>
      </c>
      <c r="B1691" s="6" t="str">
        <f>IFERROR(__xludf.DUMMYFUNCTION("""COMPUTED_VALUE"""),"14")</f>
        <v>14</v>
      </c>
      <c r="C1691" s="6" t="str">
        <f>IFERROR(__xludf.DUMMYFUNCTION("""COMPUTED_VALUE"""),"0764")</f>
        <v>0764</v>
      </c>
      <c r="D1691" s="6" t="str">
        <f>IFERROR(__xludf.DUMMYFUNCTION("""COMPUTED_VALUE"""),"North")</f>
        <v>North</v>
      </c>
      <c r="E1691" s="6" t="str">
        <f>IFERROR(__xludf.DUMMYFUNCTION("""COMPUTED_VALUE"""),"")</f>
        <v/>
      </c>
      <c r="F1691" s="6" t="str">
        <f>IFERROR(__xludf.DUMMYFUNCTION("""COMPUTED_VALUE"""),"Griswold")</f>
        <v>Griswold</v>
      </c>
      <c r="G1691" s="6" t="str">
        <f>IFERROR(__xludf.DUMMYFUNCTION("""COMPUTED_VALUE"""),"07/19/2017")</f>
        <v>07/19/2017</v>
      </c>
      <c r="H1691" s="6" t="str">
        <f>IFERROR(__xludf.DUMMYFUNCTION("""COMPUTED_VALUE"""),"male")</f>
        <v>male</v>
      </c>
      <c r="I1691" s="6" t="str">
        <f>IFERROR(__xludf.DUMMYFUNCTION("""COMPUTED_VALUE"""),"Level 1")</f>
        <v>Level 1</v>
      </c>
      <c r="J1691" s="6" t="str">
        <f>IFERROR(__xludf.DUMMYFUNCTION("""COMPUTED_VALUE"""),"2")</f>
        <v>2</v>
      </c>
      <c r="K1691" s="6" t="str">
        <f>IFERROR(__xludf.DUMMYFUNCTION("""COMPUTED_VALUE"""),"north.griswold@sportsacademy.school")</f>
        <v>north.griswold@sportsacademy.school</v>
      </c>
      <c r="L1691" s="6" t="str">
        <f>IFERROR(__xludf.DUMMYFUNCTION("""COMPUTED_VALUE"""),"Texas Sports Academy")</f>
        <v>Texas Sports Academy</v>
      </c>
      <c r="M1691" s="6" t="str">
        <f>IFERROR(__xludf.DUMMYFUNCTION("""COMPUTED_VALUE"""),"")</f>
        <v/>
      </c>
      <c r="N1691" s="6" t="str">
        <f>IFERROR(__xludf.DUMMYFUNCTION("""COMPUTED_VALUE"""),"")</f>
        <v/>
      </c>
      <c r="O1691" s="87" t="str">
        <f>IFERROR(__xludf.DUMMYFUNCTION("""COMPUTED_VALUE"""),"https://drive.google.com/drive/folders/10T2cTQHqEJZqE-st6uFKPoI?usp=share_link")</f>
        <v>https://drive.google.com/drive/folders/10T2cTQHqEJZqE-st6uFKPoI?usp=share_link</v>
      </c>
      <c r="P1691" s="6" t="str">
        <f>IFERROR(__xludf.DUMMYFUNCTION("""COMPUTED_VALUE"""),"North Griswold")</f>
        <v>North Griswold</v>
      </c>
      <c r="Q1691" s="6" t="str">
        <f>IFERROR(__xludf.DUMMYFUNCTION("""COMPUTED_VALUE"""),"L1")</f>
        <v>L1</v>
      </c>
      <c r="R1691" s="6">
        <f>IFERROR(__xludf.DUMMYFUNCTION("""COMPUTED_VALUE"""),1.0)</f>
        <v>1</v>
      </c>
      <c r="S1691" s="6" t="str">
        <f>IFERROR(__xludf.DUMMYFUNCTION("""COMPUTED_VALUE"""),"Amir Lewis")</f>
        <v>Amir Lewis</v>
      </c>
      <c r="T1691" s="6" t="str">
        <f>IFERROR(__xludf.DUMMYFUNCTION("""COMPUTED_VALUE"""),"amir.lewis@alpha.school")</f>
        <v>amir.lewis@alpha.school</v>
      </c>
      <c r="U1691" s="6" t="str">
        <f>IFERROR(__xludf.DUMMYFUNCTION("""COMPUTED_VALUE"""),"2")</f>
        <v>2</v>
      </c>
      <c r="V1691" s="6" t="str">
        <f>IFERROR(__xludf.DUMMYFUNCTION("""COMPUTED_VALUE"""),"English")</f>
        <v>English</v>
      </c>
      <c r="W1691" s="6" t="str">
        <f>IFERROR(__xludf.DUMMYFUNCTION("""COMPUTED_VALUE"""),"[]")</f>
        <v>[]</v>
      </c>
      <c r="X1691" s="6" t="str">
        <f>IFERROR(__xludf.DUMMYFUNCTION("""COMPUTED_VALUE"""),"Enrolled")</f>
        <v>Enrolled</v>
      </c>
    </row>
    <row r="1692">
      <c r="A1692" s="6" t="str">
        <f>IFERROR(__xludf.DUMMYFUNCTION("""COMPUTED_VALUE"""),"014-0868")</f>
        <v>014-0868</v>
      </c>
      <c r="B1692" s="6" t="str">
        <f>IFERROR(__xludf.DUMMYFUNCTION("""COMPUTED_VALUE"""),"14")</f>
        <v>14</v>
      </c>
      <c r="C1692" s="6" t="str">
        <f>IFERROR(__xludf.DUMMYFUNCTION("""COMPUTED_VALUE"""),"0868")</f>
        <v>0868</v>
      </c>
      <c r="D1692" s="6" t="str">
        <f>IFERROR(__xludf.DUMMYFUNCTION("""COMPUTED_VALUE"""),"Levi")</f>
        <v>Levi</v>
      </c>
      <c r="E1692" s="6" t="str">
        <f>IFERROR(__xludf.DUMMYFUNCTION("""COMPUTED_VALUE"""),"Levi")</f>
        <v>Levi</v>
      </c>
      <c r="F1692" s="6" t="str">
        <f>IFERROR(__xludf.DUMMYFUNCTION("""COMPUTED_VALUE"""),"Reeves")</f>
        <v>Reeves</v>
      </c>
      <c r="G1692" s="6" t="str">
        <f>IFERROR(__xludf.DUMMYFUNCTION("""COMPUTED_VALUE"""),"06/22/2016")</f>
        <v>06/22/2016</v>
      </c>
      <c r="H1692" s="6" t="str">
        <f>IFERROR(__xludf.DUMMYFUNCTION("""COMPUTED_VALUE"""),"male")</f>
        <v>male</v>
      </c>
      <c r="I1692" s="6" t="str">
        <f>IFERROR(__xludf.DUMMYFUNCTION("""COMPUTED_VALUE"""),"Level 1")</f>
        <v>Level 1</v>
      </c>
      <c r="J1692" s="6" t="str">
        <f>IFERROR(__xludf.DUMMYFUNCTION("""COMPUTED_VALUE"""),"3")</f>
        <v>3</v>
      </c>
      <c r="K1692" s="6" t="str">
        <f>IFERROR(__xludf.DUMMYFUNCTION("""COMPUTED_VALUE"""),"levi.reeves@sportsacademy.school")</f>
        <v>levi.reeves@sportsacademy.school</v>
      </c>
      <c r="L1692" s="6" t="str">
        <f>IFERROR(__xludf.DUMMYFUNCTION("""COMPUTED_VALUE"""),"Texas Sports Academy")</f>
        <v>Texas Sports Academy</v>
      </c>
      <c r="M1692" s="6" t="str">
        <f>IFERROR(__xludf.DUMMYFUNCTION("""COMPUTED_VALUE"""),"")</f>
        <v/>
      </c>
      <c r="N1692" s="6" t="str">
        <f>IFERROR(__xludf.DUMMYFUNCTION("""COMPUTED_VALUE"""),"")</f>
        <v/>
      </c>
      <c r="O1692" s="87" t="str">
        <f>IFERROR(__xludf.DUMMYFUNCTION("""COMPUTED_VALUE"""),"https://drive.google.com/drive/folders/10T2cTQHqEJZqE-st6uFKPoI?usp=share_link")</f>
        <v>https://drive.google.com/drive/folders/10T2cTQHqEJZqE-st6uFKPoI?usp=share_link</v>
      </c>
      <c r="P1692" s="6" t="str">
        <f>IFERROR(__xludf.DUMMYFUNCTION("""COMPUTED_VALUE"""),"Levi Reeves")</f>
        <v>Levi Reeves</v>
      </c>
      <c r="Q1692" s="6" t="str">
        <f>IFERROR(__xludf.DUMMYFUNCTION("""COMPUTED_VALUE"""),"L1")</f>
        <v>L1</v>
      </c>
      <c r="R1692" s="6">
        <f>IFERROR(__xludf.DUMMYFUNCTION("""COMPUTED_VALUE"""),1.0)</f>
        <v>1</v>
      </c>
      <c r="S1692" s="6" t="str">
        <f>IFERROR(__xludf.DUMMYFUNCTION("""COMPUTED_VALUE"""),"Graham Spraker")</f>
        <v>Graham Spraker</v>
      </c>
      <c r="T1692" s="6" t="str">
        <f>IFERROR(__xludf.DUMMYFUNCTION("""COMPUTED_VALUE"""),"graham.spraker@sportsacademy.school")</f>
        <v>graham.spraker@sportsacademy.school</v>
      </c>
      <c r="U1692" s="6" t="str">
        <f>IFERROR(__xludf.DUMMYFUNCTION("""COMPUTED_VALUE"""),"3")</f>
        <v>3</v>
      </c>
      <c r="V1692" s="6" t="str">
        <f>IFERROR(__xludf.DUMMYFUNCTION("""COMPUTED_VALUE"""),"")</f>
        <v/>
      </c>
      <c r="W1692" s="6" t="str">
        <f>IFERROR(__xludf.DUMMYFUNCTION("""COMPUTED_VALUE"""),"[]")</f>
        <v>[]</v>
      </c>
      <c r="X1692" s="6" t="str">
        <f>IFERROR(__xludf.DUMMYFUNCTION("""COMPUTED_VALUE"""),"Enrolled")</f>
        <v>Enrolled</v>
      </c>
    </row>
    <row r="1693">
      <c r="A1693" s="6" t="str">
        <f>IFERROR(__xludf.DUMMYFUNCTION("""COMPUTED_VALUE"""),"014-0907")</f>
        <v>014-0907</v>
      </c>
      <c r="B1693" s="6" t="str">
        <f>IFERROR(__xludf.DUMMYFUNCTION("""COMPUTED_VALUE"""),"14")</f>
        <v>14</v>
      </c>
      <c r="C1693" s="6" t="str">
        <f>IFERROR(__xludf.DUMMYFUNCTION("""COMPUTED_VALUE"""),"0907")</f>
        <v>0907</v>
      </c>
      <c r="D1693" s="6" t="str">
        <f>IFERROR(__xludf.DUMMYFUNCTION("""COMPUTED_VALUE"""),"Stone")</f>
        <v>Stone</v>
      </c>
      <c r="E1693" s="6" t="str">
        <f>IFERROR(__xludf.DUMMYFUNCTION("""COMPUTED_VALUE"""),"Stone")</f>
        <v>Stone</v>
      </c>
      <c r="F1693" s="6" t="str">
        <f>IFERROR(__xludf.DUMMYFUNCTION("""COMPUTED_VALUE"""),"Meyers")</f>
        <v>Meyers</v>
      </c>
      <c r="G1693" s="6" t="str">
        <f>IFERROR(__xludf.DUMMYFUNCTION("""COMPUTED_VALUE"""),"08/18/2013")</f>
        <v>08/18/2013</v>
      </c>
      <c r="H1693" s="6" t="str">
        <f>IFERROR(__xludf.DUMMYFUNCTION("""COMPUTED_VALUE"""),"male")</f>
        <v>male</v>
      </c>
      <c r="I1693" s="6" t="str">
        <f>IFERROR(__xludf.DUMMYFUNCTION("""COMPUTED_VALUE"""),"Middle School")</f>
        <v>Middle School</v>
      </c>
      <c r="J1693" s="6" t="str">
        <f>IFERROR(__xludf.DUMMYFUNCTION("""COMPUTED_VALUE"""),"7")</f>
        <v>7</v>
      </c>
      <c r="K1693" s="6" t="str">
        <f>IFERROR(__xludf.DUMMYFUNCTION("""COMPUTED_VALUE"""),"stone.meyers@sportsacademy.school")</f>
        <v>stone.meyers@sportsacademy.school</v>
      </c>
      <c r="L1693" s="6" t="str">
        <f>IFERROR(__xludf.DUMMYFUNCTION("""COMPUTED_VALUE"""),"Texas Sports Academy")</f>
        <v>Texas Sports Academy</v>
      </c>
      <c r="M1693" s="6" t="str">
        <f>IFERROR(__xludf.DUMMYFUNCTION("""COMPUTED_VALUE"""),"")</f>
        <v/>
      </c>
      <c r="N1693" s="6" t="str">
        <f>IFERROR(__xludf.DUMMYFUNCTION("""COMPUTED_VALUE"""),"")</f>
        <v/>
      </c>
      <c r="O1693" s="87" t="str">
        <f>IFERROR(__xludf.DUMMYFUNCTION("""COMPUTED_VALUE"""),"https://drive.google.com/drive/folders/10T2cTQHqEJZqE-st6uFKPoI?usp=share_link")</f>
        <v>https://drive.google.com/drive/folders/10T2cTQHqEJZqE-st6uFKPoI?usp=share_link</v>
      </c>
      <c r="P1693" s="6" t="str">
        <f>IFERROR(__xludf.DUMMYFUNCTION("""COMPUTED_VALUE"""),"Stone Meyers")</f>
        <v>Stone Meyers</v>
      </c>
      <c r="Q1693" s="6" t="str">
        <f>IFERROR(__xludf.DUMMYFUNCTION("""COMPUTED_VALUE"""),"MS")</f>
        <v>MS</v>
      </c>
      <c r="R1693" s="6">
        <f>IFERROR(__xludf.DUMMYFUNCTION("""COMPUTED_VALUE"""),0.0)</f>
        <v>0</v>
      </c>
      <c r="S1693" s="6" t="str">
        <f>IFERROR(__xludf.DUMMYFUNCTION("""COMPUTED_VALUE"""),"DJ Tripoli")</f>
        <v>DJ Tripoli</v>
      </c>
      <c r="T1693" s="6" t="str">
        <f>IFERROR(__xludf.DUMMYFUNCTION("""COMPUTED_VALUE"""),"david.tripoli@alpha.school")</f>
        <v>david.tripoli@alpha.school</v>
      </c>
      <c r="U1693" s="6" t="str">
        <f>IFERROR(__xludf.DUMMYFUNCTION("""COMPUTED_VALUE"""),"7")</f>
        <v>7</v>
      </c>
      <c r="V1693" s="6" t="str">
        <f>IFERROR(__xludf.DUMMYFUNCTION("""COMPUTED_VALUE"""),"")</f>
        <v/>
      </c>
      <c r="W1693" s="6" t="str">
        <f>IFERROR(__xludf.DUMMYFUNCTION("""COMPUTED_VALUE"""),"[]")</f>
        <v>[]</v>
      </c>
      <c r="X1693" s="6" t="str">
        <f>IFERROR(__xludf.DUMMYFUNCTION("""COMPUTED_VALUE"""),"Enrolled")</f>
        <v>Enrolled</v>
      </c>
    </row>
    <row r="1694">
      <c r="A1694" s="6" t="str">
        <f>IFERROR(__xludf.DUMMYFUNCTION("""COMPUTED_VALUE"""),"014-0908")</f>
        <v>014-0908</v>
      </c>
      <c r="B1694" s="6" t="str">
        <f>IFERROR(__xludf.DUMMYFUNCTION("""COMPUTED_VALUE"""),"14")</f>
        <v>14</v>
      </c>
      <c r="C1694" s="6" t="str">
        <f>IFERROR(__xludf.DUMMYFUNCTION("""COMPUTED_VALUE"""),"0908")</f>
        <v>0908</v>
      </c>
      <c r="D1694" s="6" t="str">
        <f>IFERROR(__xludf.DUMMYFUNCTION("""COMPUTED_VALUE"""),"Omar")</f>
        <v>Omar</v>
      </c>
      <c r="E1694" s="6" t="str">
        <f>IFERROR(__xludf.DUMMYFUNCTION("""COMPUTED_VALUE"""),"Omar")</f>
        <v>Omar</v>
      </c>
      <c r="F1694" s="6" t="str">
        <f>IFERROR(__xludf.DUMMYFUNCTION("""COMPUTED_VALUE"""),"Ibarra")</f>
        <v>Ibarra</v>
      </c>
      <c r="G1694" s="6" t="str">
        <f>IFERROR(__xludf.DUMMYFUNCTION("""COMPUTED_VALUE"""),"03/08/2015")</f>
        <v>03/08/2015</v>
      </c>
      <c r="H1694" s="6" t="str">
        <f>IFERROR(__xludf.DUMMYFUNCTION("""COMPUTED_VALUE"""),"male")</f>
        <v>male</v>
      </c>
      <c r="I1694" s="6" t="str">
        <f>IFERROR(__xludf.DUMMYFUNCTION("""COMPUTED_VALUE"""),"Level 2")</f>
        <v>Level 2</v>
      </c>
      <c r="J1694" s="6" t="str">
        <f>IFERROR(__xludf.DUMMYFUNCTION("""COMPUTED_VALUE"""),"5")</f>
        <v>5</v>
      </c>
      <c r="K1694" s="6" t="str">
        <f>IFERROR(__xludf.DUMMYFUNCTION("""COMPUTED_VALUE"""),"omar.ibarra@sportsacademy.school")</f>
        <v>omar.ibarra@sportsacademy.school</v>
      </c>
      <c r="L1694" s="6" t="str">
        <f>IFERROR(__xludf.DUMMYFUNCTION("""COMPUTED_VALUE"""),"Texas Sports Academy")</f>
        <v>Texas Sports Academy</v>
      </c>
      <c r="M1694" s="6" t="str">
        <f>IFERROR(__xludf.DUMMYFUNCTION("""COMPUTED_VALUE"""),"")</f>
        <v/>
      </c>
      <c r="N1694" s="6" t="str">
        <f>IFERROR(__xludf.DUMMYFUNCTION("""COMPUTED_VALUE"""),"")</f>
        <v/>
      </c>
      <c r="O1694" s="87" t="str">
        <f>IFERROR(__xludf.DUMMYFUNCTION("""COMPUTED_VALUE"""),"https://drive.google.com/drive/folders/10T2cTQHqEJZqE-st6uFKPoI?usp=share_link")</f>
        <v>https://drive.google.com/drive/folders/10T2cTQHqEJZqE-st6uFKPoI?usp=share_link</v>
      </c>
      <c r="P1694" s="6" t="str">
        <f>IFERROR(__xludf.DUMMYFUNCTION("""COMPUTED_VALUE"""),"Omar Ibarra")</f>
        <v>Omar Ibarra</v>
      </c>
      <c r="Q1694" s="6" t="str">
        <f>IFERROR(__xludf.DUMMYFUNCTION("""COMPUTED_VALUE"""),"L2")</f>
        <v>L2</v>
      </c>
      <c r="R1694" s="6">
        <f>IFERROR(__xludf.DUMMYFUNCTION("""COMPUTED_VALUE"""),2.0)</f>
        <v>2</v>
      </c>
      <c r="S1694" s="6" t="str">
        <f>IFERROR(__xludf.DUMMYFUNCTION("""COMPUTED_VALUE"""),"Graham Spraker")</f>
        <v>Graham Spraker</v>
      </c>
      <c r="T1694" s="6" t="str">
        <f>IFERROR(__xludf.DUMMYFUNCTION("""COMPUTED_VALUE"""),"graham.spraker@sportsacademy.school")</f>
        <v>graham.spraker@sportsacademy.school</v>
      </c>
      <c r="U1694" s="6" t="str">
        <f>IFERROR(__xludf.DUMMYFUNCTION("""COMPUTED_VALUE"""),"5")</f>
        <v>5</v>
      </c>
      <c r="V1694" s="6" t="str">
        <f>IFERROR(__xludf.DUMMYFUNCTION("""COMPUTED_VALUE"""),"")</f>
        <v/>
      </c>
      <c r="W1694" s="6" t="str">
        <f>IFERROR(__xludf.DUMMYFUNCTION("""COMPUTED_VALUE"""),"[]")</f>
        <v>[]</v>
      </c>
      <c r="X1694" s="6" t="str">
        <f>IFERROR(__xludf.DUMMYFUNCTION("""COMPUTED_VALUE"""),"Enrolled")</f>
        <v>Enrolled</v>
      </c>
    </row>
    <row r="1695">
      <c r="A1695" s="6" t="str">
        <f>IFERROR(__xludf.DUMMYFUNCTION("""COMPUTED_VALUE"""),"014-0967")</f>
        <v>014-0967</v>
      </c>
      <c r="B1695" s="6" t="str">
        <f>IFERROR(__xludf.DUMMYFUNCTION("""COMPUTED_VALUE"""),"14")</f>
        <v>14</v>
      </c>
      <c r="C1695" s="6" t="str">
        <f>IFERROR(__xludf.DUMMYFUNCTION("""COMPUTED_VALUE"""),"0967")</f>
        <v>0967</v>
      </c>
      <c r="D1695" s="6" t="str">
        <f>IFERROR(__xludf.DUMMYFUNCTION("""COMPUTED_VALUE"""),"Zenon")</f>
        <v>Zenon</v>
      </c>
      <c r="E1695" s="6" t="str">
        <f>IFERROR(__xludf.DUMMYFUNCTION("""COMPUTED_VALUE"""),"Zenon")</f>
        <v>Zenon</v>
      </c>
      <c r="F1695" s="6" t="str">
        <f>IFERROR(__xludf.DUMMYFUNCTION("""COMPUTED_VALUE"""),"Zaidi")</f>
        <v>Zaidi</v>
      </c>
      <c r="G1695" s="6" t="str">
        <f>IFERROR(__xludf.DUMMYFUNCTION("""COMPUTED_VALUE"""),"09/20/2016")</f>
        <v>09/20/2016</v>
      </c>
      <c r="H1695" s="6" t="str">
        <f>IFERROR(__xludf.DUMMYFUNCTION("""COMPUTED_VALUE"""),"male")</f>
        <v>male</v>
      </c>
      <c r="I1695" s="6" t="str">
        <f>IFERROR(__xludf.DUMMYFUNCTION("""COMPUTED_VALUE"""),"Level 2")</f>
        <v>Level 2</v>
      </c>
      <c r="J1695" s="6" t="str">
        <f>IFERROR(__xludf.DUMMYFUNCTION("""COMPUTED_VALUE"""),"4")</f>
        <v>4</v>
      </c>
      <c r="K1695" s="6" t="str">
        <f>IFERROR(__xludf.DUMMYFUNCTION("""COMPUTED_VALUE"""),"zenon.zaidi@sportsacademy.school")</f>
        <v>zenon.zaidi@sportsacademy.school</v>
      </c>
      <c r="L1695" s="6" t="str">
        <f>IFERROR(__xludf.DUMMYFUNCTION("""COMPUTED_VALUE"""),"Texas Sports Academy")</f>
        <v>Texas Sports Academy</v>
      </c>
      <c r="M1695" s="6" t="str">
        <f>IFERROR(__xludf.DUMMYFUNCTION("""COMPUTED_VALUE"""),"")</f>
        <v/>
      </c>
      <c r="N1695" s="6" t="str">
        <f>IFERROR(__xludf.DUMMYFUNCTION("""COMPUTED_VALUE"""),"")</f>
        <v/>
      </c>
      <c r="O1695" s="87" t="str">
        <f>IFERROR(__xludf.DUMMYFUNCTION("""COMPUTED_VALUE"""),"https://drive.google.com/drive/folders/10T2cTQHqEJZqE-st6uFKPoI?usp=share_link")</f>
        <v>https://drive.google.com/drive/folders/10T2cTQHqEJZqE-st6uFKPoI?usp=share_link</v>
      </c>
      <c r="P1695" s="6" t="str">
        <f>IFERROR(__xludf.DUMMYFUNCTION("""COMPUTED_VALUE"""),"Zenon Zaidi")</f>
        <v>Zenon Zaidi</v>
      </c>
      <c r="Q1695" s="6" t="str">
        <f>IFERROR(__xludf.DUMMYFUNCTION("""COMPUTED_VALUE"""),"L2")</f>
        <v>L2</v>
      </c>
      <c r="R1695" s="6">
        <f>IFERROR(__xludf.DUMMYFUNCTION("""COMPUTED_VALUE"""),2.0)</f>
        <v>2</v>
      </c>
      <c r="S1695" s="6" t="str">
        <f>IFERROR(__xludf.DUMMYFUNCTION("""COMPUTED_VALUE"""),"Graham Spraker")</f>
        <v>Graham Spraker</v>
      </c>
      <c r="T1695" s="6" t="str">
        <f>IFERROR(__xludf.DUMMYFUNCTION("""COMPUTED_VALUE"""),"graham.spraker@sportsacademy.school")</f>
        <v>graham.spraker@sportsacademy.school</v>
      </c>
      <c r="U1695" s="6" t="str">
        <f>IFERROR(__xludf.DUMMYFUNCTION("""COMPUTED_VALUE"""),"4")</f>
        <v>4</v>
      </c>
      <c r="V1695" s="6" t="str">
        <f>IFERROR(__xludf.DUMMYFUNCTION("""COMPUTED_VALUE"""),"")</f>
        <v/>
      </c>
      <c r="W1695" s="6" t="str">
        <f>IFERROR(__xludf.DUMMYFUNCTION("""COMPUTED_VALUE"""),"[]")</f>
        <v>[]</v>
      </c>
      <c r="X1695" s="6" t="str">
        <f>IFERROR(__xludf.DUMMYFUNCTION("""COMPUTED_VALUE"""),"Enrolled")</f>
        <v>Enrolled</v>
      </c>
    </row>
    <row r="1696">
      <c r="A1696" s="6" t="str">
        <f>IFERROR(__xludf.DUMMYFUNCTION("""COMPUTED_VALUE"""),"014-0971")</f>
        <v>014-0971</v>
      </c>
      <c r="B1696" s="6" t="str">
        <f>IFERROR(__xludf.DUMMYFUNCTION("""COMPUTED_VALUE"""),"14")</f>
        <v>14</v>
      </c>
      <c r="C1696" s="6" t="str">
        <f>IFERROR(__xludf.DUMMYFUNCTION("""COMPUTED_VALUE"""),"0971")</f>
        <v>0971</v>
      </c>
      <c r="D1696" s="6" t="str">
        <f>IFERROR(__xludf.DUMMYFUNCTION("""COMPUTED_VALUE"""),"Zane")</f>
        <v>Zane</v>
      </c>
      <c r="E1696" s="6" t="str">
        <f>IFERROR(__xludf.DUMMYFUNCTION("""COMPUTED_VALUE"""),"Zane")</f>
        <v>Zane</v>
      </c>
      <c r="F1696" s="6" t="str">
        <f>IFERROR(__xludf.DUMMYFUNCTION("""COMPUTED_VALUE"""),"Rogers")</f>
        <v>Rogers</v>
      </c>
      <c r="G1696" s="6" t="str">
        <f>IFERROR(__xludf.DUMMYFUNCTION("""COMPUTED_VALUE"""),"03/25/2014")</f>
        <v>03/25/2014</v>
      </c>
      <c r="H1696" s="6" t="str">
        <f>IFERROR(__xludf.DUMMYFUNCTION("""COMPUTED_VALUE"""),"male")</f>
        <v>male</v>
      </c>
      <c r="I1696" s="6" t="str">
        <f>IFERROR(__xludf.DUMMYFUNCTION("""COMPUTED_VALUE"""),"Level 2")</f>
        <v>Level 2</v>
      </c>
      <c r="J1696" s="6" t="str">
        <f>IFERROR(__xludf.DUMMYFUNCTION("""COMPUTED_VALUE"""),"5")</f>
        <v>5</v>
      </c>
      <c r="K1696" s="6" t="str">
        <f>IFERROR(__xludf.DUMMYFUNCTION("""COMPUTED_VALUE"""),"zane.rogers@sportsacademy.school")</f>
        <v>zane.rogers@sportsacademy.school</v>
      </c>
      <c r="L1696" s="6" t="str">
        <f>IFERROR(__xludf.DUMMYFUNCTION("""COMPUTED_VALUE"""),"Texas Sports Academy")</f>
        <v>Texas Sports Academy</v>
      </c>
      <c r="M1696" s="6" t="str">
        <f>IFERROR(__xludf.DUMMYFUNCTION("""COMPUTED_VALUE"""),"")</f>
        <v/>
      </c>
      <c r="N1696" s="6" t="str">
        <f>IFERROR(__xludf.DUMMYFUNCTION("""COMPUTED_VALUE"""),"")</f>
        <v/>
      </c>
      <c r="O1696" s="87" t="str">
        <f>IFERROR(__xludf.DUMMYFUNCTION("""COMPUTED_VALUE"""),"https://drive.google.com/drive/folders/10T2cTQHqEJZqE-st6uFKPoI?usp=share_link")</f>
        <v>https://drive.google.com/drive/folders/10T2cTQHqEJZqE-st6uFKPoI?usp=share_link</v>
      </c>
      <c r="P1696" s="6" t="str">
        <f>IFERROR(__xludf.DUMMYFUNCTION("""COMPUTED_VALUE"""),"Zane Rogers")</f>
        <v>Zane Rogers</v>
      </c>
      <c r="Q1696" s="6" t="str">
        <f>IFERROR(__xludf.DUMMYFUNCTION("""COMPUTED_VALUE"""),"L2")</f>
        <v>L2</v>
      </c>
      <c r="R1696" s="6">
        <f>IFERROR(__xludf.DUMMYFUNCTION("""COMPUTED_VALUE"""),2.0)</f>
        <v>2</v>
      </c>
      <c r="S1696" s="6" t="str">
        <f>IFERROR(__xludf.DUMMYFUNCTION("""COMPUTED_VALUE"""),"Lisa Willis")</f>
        <v>Lisa Willis</v>
      </c>
      <c r="T1696" s="6" t="str">
        <f>IFERROR(__xludf.DUMMYFUNCTION("""COMPUTED_VALUE"""),"lisa.willis@sportsacademy.school")</f>
        <v>lisa.willis@sportsacademy.school</v>
      </c>
      <c r="U1696" s="6" t="str">
        <f>IFERROR(__xludf.DUMMYFUNCTION("""COMPUTED_VALUE"""),"5")</f>
        <v>5</v>
      </c>
      <c r="V1696" s="6" t="str">
        <f>IFERROR(__xludf.DUMMYFUNCTION("""COMPUTED_VALUE"""),"")</f>
        <v/>
      </c>
      <c r="W1696" s="6" t="str">
        <f>IFERROR(__xludf.DUMMYFUNCTION("""COMPUTED_VALUE"""),"[]")</f>
        <v>[]</v>
      </c>
      <c r="X1696" s="6" t="str">
        <f>IFERROR(__xludf.DUMMYFUNCTION("""COMPUTED_VALUE"""),"Enrolled")</f>
        <v>Enrolled</v>
      </c>
    </row>
    <row r="1697">
      <c r="A1697" s="6" t="str">
        <f>IFERROR(__xludf.DUMMYFUNCTION("""COMPUTED_VALUE"""),"014-0976")</f>
        <v>014-0976</v>
      </c>
      <c r="B1697" s="6" t="str">
        <f>IFERROR(__xludf.DUMMYFUNCTION("""COMPUTED_VALUE"""),"14")</f>
        <v>14</v>
      </c>
      <c r="C1697" s="6" t="str">
        <f>IFERROR(__xludf.DUMMYFUNCTION("""COMPUTED_VALUE"""),"0976")</f>
        <v>0976</v>
      </c>
      <c r="D1697" s="6" t="str">
        <f>IFERROR(__xludf.DUMMYFUNCTION("""COMPUTED_VALUE"""),"Alex")</f>
        <v>Alex</v>
      </c>
      <c r="E1697" s="6" t="str">
        <f>IFERROR(__xludf.DUMMYFUNCTION("""COMPUTED_VALUE"""),"Alex")</f>
        <v>Alex</v>
      </c>
      <c r="F1697" s="6" t="str">
        <f>IFERROR(__xludf.DUMMYFUNCTION("""COMPUTED_VALUE"""),"Lekic Brajovic")</f>
        <v>Lekic Brajovic</v>
      </c>
      <c r="G1697" s="6" t="str">
        <f>IFERROR(__xludf.DUMMYFUNCTION("""COMPUTED_VALUE"""),"08/03/2015")</f>
        <v>08/03/2015</v>
      </c>
      <c r="H1697" s="6" t="str">
        <f>IFERROR(__xludf.DUMMYFUNCTION("""COMPUTED_VALUE"""),"male")</f>
        <v>male</v>
      </c>
      <c r="I1697" s="6" t="str">
        <f>IFERROR(__xludf.DUMMYFUNCTION("""COMPUTED_VALUE"""),"Level 2")</f>
        <v>Level 2</v>
      </c>
      <c r="J1697" s="6" t="str">
        <f>IFERROR(__xludf.DUMMYFUNCTION("""COMPUTED_VALUE"""),"5")</f>
        <v>5</v>
      </c>
      <c r="K1697" s="6" t="str">
        <f>IFERROR(__xludf.DUMMYFUNCTION("""COMPUTED_VALUE"""),"alex.lekicbrajovic@sportsacademy.school")</f>
        <v>alex.lekicbrajovic@sportsacademy.school</v>
      </c>
      <c r="L1697" s="6" t="str">
        <f>IFERROR(__xludf.DUMMYFUNCTION("""COMPUTED_VALUE"""),"Texas Sports Academy")</f>
        <v>Texas Sports Academy</v>
      </c>
      <c r="M1697" s="6" t="str">
        <f>IFERROR(__xludf.DUMMYFUNCTION("""COMPUTED_VALUE"""),"")</f>
        <v/>
      </c>
      <c r="N1697" s="6" t="str">
        <f>IFERROR(__xludf.DUMMYFUNCTION("""COMPUTED_VALUE"""),"")</f>
        <v/>
      </c>
      <c r="O1697" s="87" t="str">
        <f>IFERROR(__xludf.DUMMYFUNCTION("""COMPUTED_VALUE"""),"https://drive.google.com/drive/folders/10T2cTQHqEJZqE-st6uFKPoI?usp=share_link")</f>
        <v>https://drive.google.com/drive/folders/10T2cTQHqEJZqE-st6uFKPoI?usp=share_link</v>
      </c>
      <c r="P1697" s="6" t="str">
        <f>IFERROR(__xludf.DUMMYFUNCTION("""COMPUTED_VALUE"""),"Alex Lekic Brajovic")</f>
        <v>Alex Lekic Brajovic</v>
      </c>
      <c r="Q1697" s="6" t="str">
        <f>IFERROR(__xludf.DUMMYFUNCTION("""COMPUTED_VALUE"""),"L2")</f>
        <v>L2</v>
      </c>
      <c r="R1697" s="6">
        <f>IFERROR(__xludf.DUMMYFUNCTION("""COMPUTED_VALUE"""),2.0)</f>
        <v>2</v>
      </c>
      <c r="S1697" s="6" t="str">
        <f>IFERROR(__xludf.DUMMYFUNCTION("""COMPUTED_VALUE"""),"Graham Spraker")</f>
        <v>Graham Spraker</v>
      </c>
      <c r="T1697" s="6" t="str">
        <f>IFERROR(__xludf.DUMMYFUNCTION("""COMPUTED_VALUE"""),"graham.spraker@sportsacademy.school")</f>
        <v>graham.spraker@sportsacademy.school</v>
      </c>
      <c r="U1697" s="6" t="str">
        <f>IFERROR(__xludf.DUMMYFUNCTION("""COMPUTED_VALUE"""),"5")</f>
        <v>5</v>
      </c>
      <c r="V1697" s="6" t="str">
        <f>IFERROR(__xludf.DUMMYFUNCTION("""COMPUTED_VALUE"""),"")</f>
        <v/>
      </c>
      <c r="W1697" s="6" t="str">
        <f>IFERROR(__xludf.DUMMYFUNCTION("""COMPUTED_VALUE"""),"[]")</f>
        <v>[]</v>
      </c>
      <c r="X1697" s="6" t="str">
        <f>IFERROR(__xludf.DUMMYFUNCTION("""COMPUTED_VALUE"""),"Enrolled")</f>
        <v>Enrolled</v>
      </c>
    </row>
    <row r="1698">
      <c r="A1698" s="6" t="str">
        <f>IFERROR(__xludf.DUMMYFUNCTION("""COMPUTED_VALUE"""),"014-0989")</f>
        <v>014-0989</v>
      </c>
      <c r="B1698" s="6" t="str">
        <f>IFERROR(__xludf.DUMMYFUNCTION("""COMPUTED_VALUE"""),"14")</f>
        <v>14</v>
      </c>
      <c r="C1698" s="6" t="str">
        <f>IFERROR(__xludf.DUMMYFUNCTION("""COMPUTED_VALUE"""),"0989")</f>
        <v>0989</v>
      </c>
      <c r="D1698" s="6" t="str">
        <f>IFERROR(__xludf.DUMMYFUNCTION("""COMPUTED_VALUE"""),"Eastwood")</f>
        <v>Eastwood</v>
      </c>
      <c r="E1698" s="6" t="str">
        <f>IFERROR(__xludf.DUMMYFUNCTION("""COMPUTED_VALUE"""),"")</f>
        <v/>
      </c>
      <c r="F1698" s="6" t="str">
        <f>IFERROR(__xludf.DUMMYFUNCTION("""COMPUTED_VALUE"""),"Washburn")</f>
        <v>Washburn</v>
      </c>
      <c r="G1698" s="6" t="str">
        <f>IFERROR(__xludf.DUMMYFUNCTION("""COMPUTED_VALUE"""),"05/21/2016")</f>
        <v>05/21/2016</v>
      </c>
      <c r="H1698" s="6" t="str">
        <f>IFERROR(__xludf.DUMMYFUNCTION("""COMPUTED_VALUE"""),"male")</f>
        <v>male</v>
      </c>
      <c r="I1698" s="6" t="str">
        <f>IFERROR(__xludf.DUMMYFUNCTION("""COMPUTED_VALUE"""),"Level 2")</f>
        <v>Level 2</v>
      </c>
      <c r="J1698" s="6" t="str">
        <f>IFERROR(__xludf.DUMMYFUNCTION("""COMPUTED_VALUE"""),"4")</f>
        <v>4</v>
      </c>
      <c r="K1698" s="6" t="str">
        <f>IFERROR(__xludf.DUMMYFUNCTION("""COMPUTED_VALUE"""),"eastwood.washburn@sportsacademy.school")</f>
        <v>eastwood.washburn@sportsacademy.school</v>
      </c>
      <c r="L1698" s="6" t="str">
        <f>IFERROR(__xludf.DUMMYFUNCTION("""COMPUTED_VALUE"""),"Texas Sports Academy")</f>
        <v>Texas Sports Academy</v>
      </c>
      <c r="M1698" s="6" t="str">
        <f>IFERROR(__xludf.DUMMYFUNCTION("""COMPUTED_VALUE"""),"")</f>
        <v/>
      </c>
      <c r="N1698" s="6" t="str">
        <f>IFERROR(__xludf.DUMMYFUNCTION("""COMPUTED_VALUE"""),"")</f>
        <v/>
      </c>
      <c r="O1698" s="87" t="str">
        <f>IFERROR(__xludf.DUMMYFUNCTION("""COMPUTED_VALUE"""),"https://drive.google.com/drive/folders/10T2cTQHqEJZqE-st6uFKPoI?usp=share_link")</f>
        <v>https://drive.google.com/drive/folders/10T2cTQHqEJZqE-st6uFKPoI?usp=share_link</v>
      </c>
      <c r="P1698" s="6" t="str">
        <f>IFERROR(__xludf.DUMMYFUNCTION("""COMPUTED_VALUE"""),"Eastwood Washburn")</f>
        <v>Eastwood Washburn</v>
      </c>
      <c r="Q1698" s="6" t="str">
        <f>IFERROR(__xludf.DUMMYFUNCTION("""COMPUTED_VALUE"""),"L2")</f>
        <v>L2</v>
      </c>
      <c r="R1698" s="6">
        <f>IFERROR(__xludf.DUMMYFUNCTION("""COMPUTED_VALUE"""),2.0)</f>
        <v>2</v>
      </c>
      <c r="S1698" s="6" t="str">
        <f>IFERROR(__xludf.DUMMYFUNCTION("""COMPUTED_VALUE"""),"Graham Spraker")</f>
        <v>Graham Spraker</v>
      </c>
      <c r="T1698" s="6" t="str">
        <f>IFERROR(__xludf.DUMMYFUNCTION("""COMPUTED_VALUE"""),"graham.spraker@sportsacademy.school")</f>
        <v>graham.spraker@sportsacademy.school</v>
      </c>
      <c r="U1698" s="6" t="str">
        <f>IFERROR(__xludf.DUMMYFUNCTION("""COMPUTED_VALUE"""),"4")</f>
        <v>4</v>
      </c>
      <c r="V1698" s="6" t="str">
        <f>IFERROR(__xludf.DUMMYFUNCTION("""COMPUTED_VALUE"""),"")</f>
        <v/>
      </c>
      <c r="W1698" s="6" t="str">
        <f>IFERROR(__xludf.DUMMYFUNCTION("""COMPUTED_VALUE"""),"[]")</f>
        <v>[]</v>
      </c>
      <c r="X1698" s="6" t="str">
        <f>IFERROR(__xludf.DUMMYFUNCTION("""COMPUTED_VALUE"""),"Enrolled")</f>
        <v>Enrolled</v>
      </c>
    </row>
    <row r="1699">
      <c r="A1699" s="6" t="str">
        <f>IFERROR(__xludf.DUMMYFUNCTION("""COMPUTED_VALUE"""),"014-13310")</f>
        <v>014-13310</v>
      </c>
      <c r="B1699" s="6" t="str">
        <f>IFERROR(__xludf.DUMMYFUNCTION("""COMPUTED_VALUE"""),"14")</f>
        <v>14</v>
      </c>
      <c r="C1699" s="6" t="str">
        <f>IFERROR(__xludf.DUMMYFUNCTION("""COMPUTED_VALUE"""),"13310")</f>
        <v>13310</v>
      </c>
      <c r="D1699" s="6" t="str">
        <f>IFERROR(__xludf.DUMMYFUNCTION("""COMPUTED_VALUE"""),"Rhoden")</f>
        <v>Rhoden</v>
      </c>
      <c r="E1699" s="6" t="str">
        <f>IFERROR(__xludf.DUMMYFUNCTION("""COMPUTED_VALUE"""),"")</f>
        <v/>
      </c>
      <c r="F1699" s="6" t="str">
        <f>IFERROR(__xludf.DUMMYFUNCTION("""COMPUTED_VALUE"""),"Hamm")</f>
        <v>Hamm</v>
      </c>
      <c r="G1699" s="6" t="str">
        <f>IFERROR(__xludf.DUMMYFUNCTION("""COMPUTED_VALUE"""),"03/17/2018")</f>
        <v>03/17/2018</v>
      </c>
      <c r="H1699" s="6" t="str">
        <f>IFERROR(__xludf.DUMMYFUNCTION("""COMPUTED_VALUE"""),"male")</f>
        <v>male</v>
      </c>
      <c r="I1699" s="6" t="str">
        <f>IFERROR(__xludf.DUMMYFUNCTION("""COMPUTED_VALUE"""),"Level 1")</f>
        <v>Level 1</v>
      </c>
      <c r="J1699" s="6" t="str">
        <f>IFERROR(__xludf.DUMMYFUNCTION("""COMPUTED_VALUE"""),"2")</f>
        <v>2</v>
      </c>
      <c r="K1699" s="6" t="str">
        <f>IFERROR(__xludf.DUMMYFUNCTION("""COMPUTED_VALUE"""),"rhoden.hamm@sportsacademy.school")</f>
        <v>rhoden.hamm@sportsacademy.school</v>
      </c>
      <c r="L1699" s="6" t="str">
        <f>IFERROR(__xludf.DUMMYFUNCTION("""COMPUTED_VALUE"""),"Texas Sports Academy")</f>
        <v>Texas Sports Academy</v>
      </c>
      <c r="M1699" s="6" t="str">
        <f>IFERROR(__xludf.DUMMYFUNCTION("""COMPUTED_VALUE"""),"")</f>
        <v/>
      </c>
      <c r="N1699" s="6" t="str">
        <f>IFERROR(__xludf.DUMMYFUNCTION("""COMPUTED_VALUE"""),"")</f>
        <v/>
      </c>
      <c r="O1699" s="87" t="str">
        <f>IFERROR(__xludf.DUMMYFUNCTION("""COMPUTED_VALUE"""),"https://drive.google.com/drive/folders/10T2cTQHqEJZqE-st6uFKPoI?usp=share_link")</f>
        <v>https://drive.google.com/drive/folders/10T2cTQHqEJZqE-st6uFKPoI?usp=share_link</v>
      </c>
      <c r="P1699" s="6" t="str">
        <f>IFERROR(__xludf.DUMMYFUNCTION("""COMPUTED_VALUE"""),"Rhoden Hamm")</f>
        <v>Rhoden Hamm</v>
      </c>
      <c r="Q1699" s="6" t="str">
        <f>IFERROR(__xludf.DUMMYFUNCTION("""COMPUTED_VALUE"""),"L1")</f>
        <v>L1</v>
      </c>
      <c r="R1699" s="6">
        <f>IFERROR(__xludf.DUMMYFUNCTION("""COMPUTED_VALUE"""),1.0)</f>
        <v>1</v>
      </c>
      <c r="S1699" s="6" t="str">
        <f>IFERROR(__xludf.DUMMYFUNCTION("""COMPUTED_VALUE""")," ")</f>
        <v> </v>
      </c>
      <c r="T1699" s="6" t="str">
        <f>IFERROR(__xludf.DUMMYFUNCTION("""COMPUTED_VALUE"""),"")</f>
        <v/>
      </c>
      <c r="U1699" s="6" t="str">
        <f>IFERROR(__xludf.DUMMYFUNCTION("""COMPUTED_VALUE"""),"2")</f>
        <v>2</v>
      </c>
      <c r="V1699" s="6" t="str">
        <f>IFERROR(__xludf.DUMMYFUNCTION("""COMPUTED_VALUE"""),"")</f>
        <v/>
      </c>
      <c r="W1699" s="6" t="str">
        <f>IFERROR(__xludf.DUMMYFUNCTION("""COMPUTED_VALUE"""),"[]")</f>
        <v>[]</v>
      </c>
      <c r="X1699" s="6" t="str">
        <f>IFERROR(__xludf.DUMMYFUNCTION("""COMPUTED_VALUE"""),"Pending Review")</f>
        <v>Pending Review</v>
      </c>
    </row>
    <row r="1700">
      <c r="A1700" s="6" t="str">
        <f>IFERROR(__xludf.DUMMYFUNCTION("""COMPUTED_VALUE"""),"014-1925")</f>
        <v>014-1925</v>
      </c>
      <c r="B1700" s="6" t="str">
        <f>IFERROR(__xludf.DUMMYFUNCTION("""COMPUTED_VALUE"""),"14")</f>
        <v>14</v>
      </c>
      <c r="C1700" s="6" t="str">
        <f>IFERROR(__xludf.DUMMYFUNCTION("""COMPUTED_VALUE"""),"1925")</f>
        <v>1925</v>
      </c>
      <c r="D1700" s="6" t="str">
        <f>IFERROR(__xludf.DUMMYFUNCTION("""COMPUTED_VALUE"""),"Kai")</f>
        <v>Kai</v>
      </c>
      <c r="E1700" s="6" t="str">
        <f>IFERROR(__xludf.DUMMYFUNCTION("""COMPUTED_VALUE"""),"Kai")</f>
        <v>Kai</v>
      </c>
      <c r="F1700" s="6" t="str">
        <f>IFERROR(__xludf.DUMMYFUNCTION("""COMPUTED_VALUE"""),"Lever")</f>
        <v>Lever</v>
      </c>
      <c r="G1700" s="6" t="str">
        <f>IFERROR(__xludf.DUMMYFUNCTION("""COMPUTED_VALUE"""),"08/09/2013")</f>
        <v>08/09/2013</v>
      </c>
      <c r="H1700" s="6" t="str">
        <f>IFERROR(__xludf.DUMMYFUNCTION("""COMPUTED_VALUE"""),"male")</f>
        <v>male</v>
      </c>
      <c r="I1700" s="6" t="str">
        <f>IFERROR(__xludf.DUMMYFUNCTION("""COMPUTED_VALUE"""),"Middle School")</f>
        <v>Middle School</v>
      </c>
      <c r="J1700" s="6" t="str">
        <f>IFERROR(__xludf.DUMMYFUNCTION("""COMPUTED_VALUE"""),"6")</f>
        <v>6</v>
      </c>
      <c r="K1700" s="6" t="str">
        <f>IFERROR(__xludf.DUMMYFUNCTION("""COMPUTED_VALUE"""),"kai.lever@sportsacademy.school")</f>
        <v>kai.lever@sportsacademy.school</v>
      </c>
      <c r="L1700" s="6" t="str">
        <f>IFERROR(__xludf.DUMMYFUNCTION("""COMPUTED_VALUE"""),"Texas Sports Academy")</f>
        <v>Texas Sports Academy</v>
      </c>
      <c r="M1700" s="6" t="str">
        <f>IFERROR(__xludf.DUMMYFUNCTION("""COMPUTED_VALUE"""),"")</f>
        <v/>
      </c>
      <c r="N1700" s="6" t="str">
        <f>IFERROR(__xludf.DUMMYFUNCTION("""COMPUTED_VALUE"""),"")</f>
        <v/>
      </c>
      <c r="O1700" s="87" t="str">
        <f>IFERROR(__xludf.DUMMYFUNCTION("""COMPUTED_VALUE"""),"https://drive.google.com/drive/folders/10T2cTQHqEJZqE-st6uFKPoI?usp=share_link")</f>
        <v>https://drive.google.com/drive/folders/10T2cTQHqEJZqE-st6uFKPoI?usp=share_link</v>
      </c>
      <c r="P1700" s="6" t="str">
        <f>IFERROR(__xludf.DUMMYFUNCTION("""COMPUTED_VALUE"""),"Kai Lever")</f>
        <v>Kai Lever</v>
      </c>
      <c r="Q1700" s="6" t="str">
        <f>IFERROR(__xludf.DUMMYFUNCTION("""COMPUTED_VALUE"""),"MS")</f>
        <v>MS</v>
      </c>
      <c r="R1700" s="6">
        <f>IFERROR(__xludf.DUMMYFUNCTION("""COMPUTED_VALUE"""),0.0)</f>
        <v>0</v>
      </c>
      <c r="S1700" s="6" t="str">
        <f>IFERROR(__xludf.DUMMYFUNCTION("""COMPUTED_VALUE"""),"DJ Tripoli")</f>
        <v>DJ Tripoli</v>
      </c>
      <c r="T1700" s="6" t="str">
        <f>IFERROR(__xludf.DUMMYFUNCTION("""COMPUTED_VALUE"""),"david.tripoli@alpha.school")</f>
        <v>david.tripoli@alpha.school</v>
      </c>
      <c r="U1700" s="6" t="str">
        <f>IFERROR(__xludf.DUMMYFUNCTION("""COMPUTED_VALUE"""),"6")</f>
        <v>6</v>
      </c>
      <c r="V1700" s="6" t="str">
        <f>IFERROR(__xludf.DUMMYFUNCTION("""COMPUTED_VALUE"""),"")</f>
        <v/>
      </c>
      <c r="W1700" s="6" t="str">
        <f>IFERROR(__xludf.DUMMYFUNCTION("""COMPUTED_VALUE"""),"[]")</f>
        <v>[]</v>
      </c>
      <c r="X1700" s="6" t="str">
        <f>IFERROR(__xludf.DUMMYFUNCTION("""COMPUTED_VALUE"""),"Enrolled")</f>
        <v>Enrolled</v>
      </c>
    </row>
    <row r="1701">
      <c r="A1701" s="6" t="str">
        <f>IFERROR(__xludf.DUMMYFUNCTION("""COMPUTED_VALUE"""),"014-1990")</f>
        <v>014-1990</v>
      </c>
      <c r="B1701" s="6" t="str">
        <f>IFERROR(__xludf.DUMMYFUNCTION("""COMPUTED_VALUE"""),"14")</f>
        <v>14</v>
      </c>
      <c r="C1701" s="6" t="str">
        <f>IFERROR(__xludf.DUMMYFUNCTION("""COMPUTED_VALUE"""),"1990")</f>
        <v>1990</v>
      </c>
      <c r="D1701" s="6" t="str">
        <f>IFERROR(__xludf.DUMMYFUNCTION("""COMPUTED_VALUE"""),"Jay")</f>
        <v>Jay</v>
      </c>
      <c r="E1701" s="6" t="str">
        <f>IFERROR(__xludf.DUMMYFUNCTION("""COMPUTED_VALUE"""),"Jay")</f>
        <v>Jay</v>
      </c>
      <c r="F1701" s="6" t="str">
        <f>IFERROR(__xludf.DUMMYFUNCTION("""COMPUTED_VALUE"""),"Lever")</f>
        <v>Lever</v>
      </c>
      <c r="G1701" s="6" t="str">
        <f>IFERROR(__xludf.DUMMYFUNCTION("""COMPUTED_VALUE"""),"10/19/2015")</f>
        <v>10/19/2015</v>
      </c>
      <c r="H1701" s="6" t="str">
        <f>IFERROR(__xludf.DUMMYFUNCTION("""COMPUTED_VALUE"""),"male")</f>
        <v>male</v>
      </c>
      <c r="I1701" s="6" t="str">
        <f>IFERROR(__xludf.DUMMYFUNCTION("""COMPUTED_VALUE"""),"Level 2")</f>
        <v>Level 2</v>
      </c>
      <c r="J1701" s="6" t="str">
        <f>IFERROR(__xludf.DUMMYFUNCTION("""COMPUTED_VALUE"""),"5")</f>
        <v>5</v>
      </c>
      <c r="K1701" s="6" t="str">
        <f>IFERROR(__xludf.DUMMYFUNCTION("""COMPUTED_VALUE"""),"jay.lever@sportsacademy.school")</f>
        <v>jay.lever@sportsacademy.school</v>
      </c>
      <c r="L1701" s="6" t="str">
        <f>IFERROR(__xludf.DUMMYFUNCTION("""COMPUTED_VALUE"""),"Texas Sports Academy")</f>
        <v>Texas Sports Academy</v>
      </c>
      <c r="M1701" s="6" t="str">
        <f>IFERROR(__xludf.DUMMYFUNCTION("""COMPUTED_VALUE"""),"")</f>
        <v/>
      </c>
      <c r="N1701" s="6" t="str">
        <f>IFERROR(__xludf.DUMMYFUNCTION("""COMPUTED_VALUE"""),"")</f>
        <v/>
      </c>
      <c r="O1701" s="87" t="str">
        <f>IFERROR(__xludf.DUMMYFUNCTION("""COMPUTED_VALUE"""),"https://drive.google.com/drive/folders/10T2cTQHqEJZqE-st6uFKPoI?usp=share_link")</f>
        <v>https://drive.google.com/drive/folders/10T2cTQHqEJZqE-st6uFKPoI?usp=share_link</v>
      </c>
      <c r="P1701" s="6" t="str">
        <f>IFERROR(__xludf.DUMMYFUNCTION("""COMPUTED_VALUE"""),"Jay Lever")</f>
        <v>Jay Lever</v>
      </c>
      <c r="Q1701" s="6" t="str">
        <f>IFERROR(__xludf.DUMMYFUNCTION("""COMPUTED_VALUE"""),"L2")</f>
        <v>L2</v>
      </c>
      <c r="R1701" s="6">
        <f>IFERROR(__xludf.DUMMYFUNCTION("""COMPUTED_VALUE"""),2.0)</f>
        <v>2</v>
      </c>
      <c r="S1701" s="6" t="str">
        <f>IFERROR(__xludf.DUMMYFUNCTION("""COMPUTED_VALUE"""),"Graham Spraker")</f>
        <v>Graham Spraker</v>
      </c>
      <c r="T1701" s="6" t="str">
        <f>IFERROR(__xludf.DUMMYFUNCTION("""COMPUTED_VALUE"""),"graham.spraker@sportsacademy.school")</f>
        <v>graham.spraker@sportsacademy.school</v>
      </c>
      <c r="U1701" s="6" t="str">
        <f>IFERROR(__xludf.DUMMYFUNCTION("""COMPUTED_VALUE"""),"5")</f>
        <v>5</v>
      </c>
      <c r="V1701" s="6" t="str">
        <f>IFERROR(__xludf.DUMMYFUNCTION("""COMPUTED_VALUE"""),"")</f>
        <v/>
      </c>
      <c r="W1701" s="6" t="str">
        <f>IFERROR(__xludf.DUMMYFUNCTION("""COMPUTED_VALUE"""),"[]")</f>
        <v>[]</v>
      </c>
      <c r="X1701" s="6" t="str">
        <f>IFERROR(__xludf.DUMMYFUNCTION("""COMPUTED_VALUE"""),"Enrolled")</f>
        <v>Enrolled</v>
      </c>
    </row>
    <row r="1702">
      <c r="A1702" s="6" t="str">
        <f>IFERROR(__xludf.DUMMYFUNCTION("""COMPUTED_VALUE"""),"014-2231")</f>
        <v>014-2231</v>
      </c>
      <c r="B1702" s="6" t="str">
        <f>IFERROR(__xludf.DUMMYFUNCTION("""COMPUTED_VALUE"""),"14")</f>
        <v>14</v>
      </c>
      <c r="C1702" s="6" t="str">
        <f>IFERROR(__xludf.DUMMYFUNCTION("""COMPUTED_VALUE"""),"2231")</f>
        <v>2231</v>
      </c>
      <c r="D1702" s="6" t="str">
        <f>IFERROR(__xludf.DUMMYFUNCTION("""COMPUTED_VALUE"""),"Fiona")</f>
        <v>Fiona</v>
      </c>
      <c r="E1702" s="6" t="str">
        <f>IFERROR(__xludf.DUMMYFUNCTION("""COMPUTED_VALUE"""),"Fiona")</f>
        <v>Fiona</v>
      </c>
      <c r="F1702" s="6" t="str">
        <f>IFERROR(__xludf.DUMMYFUNCTION("""COMPUTED_VALUE"""),"Krajicek")</f>
        <v>Krajicek</v>
      </c>
      <c r="G1702" s="6" t="str">
        <f>IFERROR(__xludf.DUMMYFUNCTION("""COMPUTED_VALUE"""),"05/11/2020")</f>
        <v>05/11/2020</v>
      </c>
      <c r="H1702" s="6" t="str">
        <f>IFERROR(__xludf.DUMMYFUNCTION("""COMPUTED_VALUE"""),"female")</f>
        <v>female</v>
      </c>
      <c r="I1702" s="6" t="str">
        <f>IFERROR(__xludf.DUMMYFUNCTION("""COMPUTED_VALUE"""),"Learning Lab")</f>
        <v>Learning Lab</v>
      </c>
      <c r="J1702" s="6" t="str">
        <f>IFERROR(__xludf.DUMMYFUNCTION("""COMPUTED_VALUE"""),"K")</f>
        <v>K</v>
      </c>
      <c r="K1702" s="6" t="str">
        <f>IFERROR(__xludf.DUMMYFUNCTION("""COMPUTED_VALUE"""),"fiona.krajicek@sportsacademy.school")</f>
        <v>fiona.krajicek@sportsacademy.school</v>
      </c>
      <c r="L1702" s="6" t="str">
        <f>IFERROR(__xludf.DUMMYFUNCTION("""COMPUTED_VALUE"""),"Texas Sports Academy")</f>
        <v>Texas Sports Academy</v>
      </c>
      <c r="M1702" s="6" t="str">
        <f>IFERROR(__xludf.DUMMYFUNCTION("""COMPUTED_VALUE"""),"")</f>
        <v/>
      </c>
      <c r="N1702" s="6" t="str">
        <f>IFERROR(__xludf.DUMMYFUNCTION("""COMPUTED_VALUE"""),"")</f>
        <v/>
      </c>
      <c r="O1702" s="87" t="str">
        <f>IFERROR(__xludf.DUMMYFUNCTION("""COMPUTED_VALUE"""),"https://drive.google.com/drive/folders/10T2cTQHqEJZqE-st6uFKPoI?usp=share_link")</f>
        <v>https://drive.google.com/drive/folders/10T2cTQHqEJZqE-st6uFKPoI?usp=share_link</v>
      </c>
      <c r="P1702" s="6" t="str">
        <f>IFERROR(__xludf.DUMMYFUNCTION("""COMPUTED_VALUE"""),"Fiona Krajicek")</f>
        <v>Fiona Krajicek</v>
      </c>
      <c r="Q1702" s="6" t="str">
        <f>IFERROR(__xludf.DUMMYFUNCTION("""COMPUTED_VALUE"""),"LL")</f>
        <v>LL</v>
      </c>
      <c r="R1702" s="6">
        <f>IFERROR(__xludf.DUMMYFUNCTION("""COMPUTED_VALUE"""),0.0)</f>
        <v>0</v>
      </c>
      <c r="S1702" s="6" t="str">
        <f>IFERROR(__xludf.DUMMYFUNCTION("""COMPUTED_VALUE"""),"Ella Alexander")</f>
        <v>Ella Alexander</v>
      </c>
      <c r="T1702" s="6" t="str">
        <f>IFERROR(__xludf.DUMMYFUNCTION("""COMPUTED_VALUE"""),"ella.alexander@sportsacademy.school")</f>
        <v>ella.alexander@sportsacademy.school</v>
      </c>
      <c r="U1702" s="6" t="str">
        <f>IFERROR(__xludf.DUMMYFUNCTION("""COMPUTED_VALUE"""),"K")</f>
        <v>K</v>
      </c>
      <c r="V1702" s="6" t="str">
        <f>IFERROR(__xludf.DUMMYFUNCTION("""COMPUTED_VALUE"""),"")</f>
        <v/>
      </c>
      <c r="W1702" s="6" t="str">
        <f>IFERROR(__xludf.DUMMYFUNCTION("""COMPUTED_VALUE"""),"[]")</f>
        <v>[]</v>
      </c>
      <c r="X1702" s="6" t="str">
        <f>IFERROR(__xludf.DUMMYFUNCTION("""COMPUTED_VALUE"""),"Enrolled")</f>
        <v>Enrolled</v>
      </c>
    </row>
    <row r="1703">
      <c r="A1703" s="6" t="str">
        <f>IFERROR(__xludf.DUMMYFUNCTION("""COMPUTED_VALUE"""),"014-2267")</f>
        <v>014-2267</v>
      </c>
      <c r="B1703" s="6" t="str">
        <f>IFERROR(__xludf.DUMMYFUNCTION("""COMPUTED_VALUE"""),"14")</f>
        <v>14</v>
      </c>
      <c r="C1703" s="6" t="str">
        <f>IFERROR(__xludf.DUMMYFUNCTION("""COMPUTED_VALUE"""),"2267")</f>
        <v>2267</v>
      </c>
      <c r="D1703" s="6" t="str">
        <f>IFERROR(__xludf.DUMMYFUNCTION("""COMPUTED_VALUE"""),"Jack")</f>
        <v>Jack</v>
      </c>
      <c r="E1703" s="6" t="str">
        <f>IFERROR(__xludf.DUMMYFUNCTION("""COMPUTED_VALUE"""),"Jack")</f>
        <v>Jack</v>
      </c>
      <c r="F1703" s="6" t="str">
        <f>IFERROR(__xludf.DUMMYFUNCTION("""COMPUTED_VALUE"""),"Delbridge")</f>
        <v>Delbridge</v>
      </c>
      <c r="G1703" s="6" t="str">
        <f>IFERROR(__xludf.DUMMYFUNCTION("""COMPUTED_VALUE"""),"12/01/2019")</f>
        <v>12/01/2019</v>
      </c>
      <c r="H1703" s="6" t="str">
        <f>IFERROR(__xludf.DUMMYFUNCTION("""COMPUTED_VALUE"""),"male")</f>
        <v>male</v>
      </c>
      <c r="I1703" s="6" t="str">
        <f>IFERROR(__xludf.DUMMYFUNCTION("""COMPUTED_VALUE"""),"Learning Lab")</f>
        <v>Learning Lab</v>
      </c>
      <c r="J1703" s="6" t="str">
        <f>IFERROR(__xludf.DUMMYFUNCTION("""COMPUTED_VALUE"""),"K")</f>
        <v>K</v>
      </c>
      <c r="K1703" s="6" t="str">
        <f>IFERROR(__xludf.DUMMYFUNCTION("""COMPUTED_VALUE"""),"jack.delbridge@alpha.school")</f>
        <v>jack.delbridge@alpha.school</v>
      </c>
      <c r="L1703" s="6" t="str">
        <f>IFERROR(__xludf.DUMMYFUNCTION("""COMPUTED_VALUE"""),"Texas Sports Academy")</f>
        <v>Texas Sports Academy</v>
      </c>
      <c r="M1703" s="6" t="str">
        <f>IFERROR(__xludf.DUMMYFUNCTION("""COMPUTED_VALUE"""),"")</f>
        <v/>
      </c>
      <c r="N1703" s="6" t="str">
        <f>IFERROR(__xludf.DUMMYFUNCTION("""COMPUTED_VALUE"""),"")</f>
        <v/>
      </c>
      <c r="O1703" s="87" t="str">
        <f>IFERROR(__xludf.DUMMYFUNCTION("""COMPUTED_VALUE"""),"https://drive.google.com/drive/folders/10T2cTQHqEJZqE-st6uFKPoI?usp=share_link")</f>
        <v>https://drive.google.com/drive/folders/10T2cTQHqEJZqE-st6uFKPoI?usp=share_link</v>
      </c>
      <c r="P1703" s="6" t="str">
        <f>IFERROR(__xludf.DUMMYFUNCTION("""COMPUTED_VALUE"""),"Jack Delbridge")</f>
        <v>Jack Delbridge</v>
      </c>
      <c r="Q1703" s="6" t="str">
        <f>IFERROR(__xludf.DUMMYFUNCTION("""COMPUTED_VALUE"""),"LL")</f>
        <v>LL</v>
      </c>
      <c r="R1703" s="6">
        <f>IFERROR(__xludf.DUMMYFUNCTION("""COMPUTED_VALUE"""),0.0)</f>
        <v>0</v>
      </c>
      <c r="S1703" s="6" t="str">
        <f>IFERROR(__xludf.DUMMYFUNCTION("""COMPUTED_VALUE"""),"Cait Arzu")</f>
        <v>Cait Arzu</v>
      </c>
      <c r="T1703" s="6" t="str">
        <f>IFERROR(__xludf.DUMMYFUNCTION("""COMPUTED_VALUE"""),"caitlin.arzu@alpha.school")</f>
        <v>caitlin.arzu@alpha.school</v>
      </c>
      <c r="U1703" s="6" t="str">
        <f>IFERROR(__xludf.DUMMYFUNCTION("""COMPUTED_VALUE"""),"K")</f>
        <v>K</v>
      </c>
      <c r="V1703" s="6" t="str">
        <f>IFERROR(__xludf.DUMMYFUNCTION("""COMPUTED_VALUE"""),"")</f>
        <v/>
      </c>
      <c r="W1703" s="6" t="str">
        <f>IFERROR(__xludf.DUMMYFUNCTION("""COMPUTED_VALUE"""),"[]")</f>
        <v>[]</v>
      </c>
      <c r="X1703" s="6" t="str">
        <f>IFERROR(__xludf.DUMMYFUNCTION("""COMPUTED_VALUE"""),"Enrolled")</f>
        <v>Enrolled</v>
      </c>
    </row>
    <row r="1704">
      <c r="A1704" s="6" t="str">
        <f>IFERROR(__xludf.DUMMYFUNCTION("""COMPUTED_VALUE"""),"014-2276")</f>
        <v>014-2276</v>
      </c>
      <c r="B1704" s="6" t="str">
        <f>IFERROR(__xludf.DUMMYFUNCTION("""COMPUTED_VALUE"""),"14")</f>
        <v>14</v>
      </c>
      <c r="C1704" s="6" t="str">
        <f>IFERROR(__xludf.DUMMYFUNCTION("""COMPUTED_VALUE"""),"2276")</f>
        <v>2276</v>
      </c>
      <c r="D1704" s="6" t="str">
        <f>IFERROR(__xludf.DUMMYFUNCTION("""COMPUTED_VALUE"""),"Jonathan")</f>
        <v>Jonathan</v>
      </c>
      <c r="E1704" s="6" t="str">
        <f>IFERROR(__xludf.DUMMYFUNCTION("""COMPUTED_VALUE"""),"JT")</f>
        <v>JT</v>
      </c>
      <c r="F1704" s="6" t="str">
        <f>IFERROR(__xludf.DUMMYFUNCTION("""COMPUTED_VALUE"""),"Kambic")</f>
        <v>Kambic</v>
      </c>
      <c r="G1704" s="6" t="str">
        <f>IFERROR(__xludf.DUMMYFUNCTION("""COMPUTED_VALUE"""),"08/04/2019")</f>
        <v>08/04/2019</v>
      </c>
      <c r="H1704" s="6" t="str">
        <f>IFERROR(__xludf.DUMMYFUNCTION("""COMPUTED_VALUE"""),"male")</f>
        <v>male</v>
      </c>
      <c r="I1704" s="6" t="str">
        <f>IFERROR(__xludf.DUMMYFUNCTION("""COMPUTED_VALUE"""),"Learning Lab")</f>
        <v>Learning Lab</v>
      </c>
      <c r="J1704" s="6" t="str">
        <f>IFERROR(__xludf.DUMMYFUNCTION("""COMPUTED_VALUE"""),"K")</f>
        <v>K</v>
      </c>
      <c r="K1704" s="6" t="str">
        <f>IFERROR(__xludf.DUMMYFUNCTION("""COMPUTED_VALUE"""),"jonathan.kambic@alpha.school")</f>
        <v>jonathan.kambic@alpha.school</v>
      </c>
      <c r="L1704" s="6" t="str">
        <f>IFERROR(__xludf.DUMMYFUNCTION("""COMPUTED_VALUE"""),"Texas Sports Academy")</f>
        <v>Texas Sports Academy</v>
      </c>
      <c r="M1704" s="6" t="str">
        <f>IFERROR(__xludf.DUMMYFUNCTION("""COMPUTED_VALUE"""),"")</f>
        <v/>
      </c>
      <c r="N1704" s="6" t="str">
        <f>IFERROR(__xludf.DUMMYFUNCTION("""COMPUTED_VALUE"""),"")</f>
        <v/>
      </c>
      <c r="O1704" s="87" t="str">
        <f>IFERROR(__xludf.DUMMYFUNCTION("""COMPUTED_VALUE"""),"https://drive.google.com/drive/folders/10T2cTQHqEJZqE-st6uFKPoI?usp=share_link")</f>
        <v>https://drive.google.com/drive/folders/10T2cTQHqEJZqE-st6uFKPoI?usp=share_link</v>
      </c>
      <c r="P1704" s="6" t="str">
        <f>IFERROR(__xludf.DUMMYFUNCTION("""COMPUTED_VALUE"""),"JT Kambic")</f>
        <v>JT Kambic</v>
      </c>
      <c r="Q1704" s="6" t="str">
        <f>IFERROR(__xludf.DUMMYFUNCTION("""COMPUTED_VALUE"""),"LL")</f>
        <v>LL</v>
      </c>
      <c r="R1704" s="6">
        <f>IFERROR(__xludf.DUMMYFUNCTION("""COMPUTED_VALUE"""),0.0)</f>
        <v>0</v>
      </c>
      <c r="S1704" s="6" t="str">
        <f>IFERROR(__xludf.DUMMYFUNCTION("""COMPUTED_VALUE"""),"Ella Alexander")</f>
        <v>Ella Alexander</v>
      </c>
      <c r="T1704" s="6" t="str">
        <f>IFERROR(__xludf.DUMMYFUNCTION("""COMPUTED_VALUE"""),"ella.alexander@sportsacademy.school")</f>
        <v>ella.alexander@sportsacademy.school</v>
      </c>
      <c r="U1704" s="6" t="str">
        <f>IFERROR(__xludf.DUMMYFUNCTION("""COMPUTED_VALUE"""),"K")</f>
        <v>K</v>
      </c>
      <c r="V1704" s="6" t="str">
        <f>IFERROR(__xludf.DUMMYFUNCTION("""COMPUTED_VALUE"""),"")</f>
        <v/>
      </c>
      <c r="W1704" s="6" t="str">
        <f>IFERROR(__xludf.DUMMYFUNCTION("""COMPUTED_VALUE"""),"[]")</f>
        <v>[]</v>
      </c>
      <c r="X1704" s="6" t="str">
        <f>IFERROR(__xludf.DUMMYFUNCTION("""COMPUTED_VALUE"""),"Enrolled")</f>
        <v>Enrolled</v>
      </c>
    </row>
    <row r="1705">
      <c r="A1705" s="6" t="str">
        <f>IFERROR(__xludf.DUMMYFUNCTION("""COMPUTED_VALUE"""),"014-2277")</f>
        <v>014-2277</v>
      </c>
      <c r="B1705" s="6" t="str">
        <f>IFERROR(__xludf.DUMMYFUNCTION("""COMPUTED_VALUE"""),"14")</f>
        <v>14</v>
      </c>
      <c r="C1705" s="6" t="str">
        <f>IFERROR(__xludf.DUMMYFUNCTION("""COMPUTED_VALUE"""),"2277")</f>
        <v>2277</v>
      </c>
      <c r="D1705" s="6" t="str">
        <f>IFERROR(__xludf.DUMMYFUNCTION("""COMPUTED_VALUE"""),"Mira")</f>
        <v>Mira</v>
      </c>
      <c r="E1705" s="6" t="str">
        <f>IFERROR(__xludf.DUMMYFUNCTION("""COMPUTED_VALUE"""),"Mira")</f>
        <v>Mira</v>
      </c>
      <c r="F1705" s="6" t="str">
        <f>IFERROR(__xludf.DUMMYFUNCTION("""COMPUTED_VALUE"""),"Kambic")</f>
        <v>Kambic</v>
      </c>
      <c r="G1705" s="6" t="str">
        <f>IFERROR(__xludf.DUMMYFUNCTION("""COMPUTED_VALUE"""),"05/31/2016")</f>
        <v>05/31/2016</v>
      </c>
      <c r="H1705" s="6" t="str">
        <f>IFERROR(__xludf.DUMMYFUNCTION("""COMPUTED_VALUE"""),"female")</f>
        <v>female</v>
      </c>
      <c r="I1705" s="6" t="str">
        <f>IFERROR(__xludf.DUMMYFUNCTION("""COMPUTED_VALUE"""),"Level 2")</f>
        <v>Level 2</v>
      </c>
      <c r="J1705" s="6" t="str">
        <f>IFERROR(__xludf.DUMMYFUNCTION("""COMPUTED_VALUE"""),"4")</f>
        <v>4</v>
      </c>
      <c r="K1705" s="6" t="str">
        <f>IFERROR(__xludf.DUMMYFUNCTION("""COMPUTED_VALUE"""),"mira.kambic@alpha.school")</f>
        <v>mira.kambic@alpha.school</v>
      </c>
      <c r="L1705" s="6" t="str">
        <f>IFERROR(__xludf.DUMMYFUNCTION("""COMPUTED_VALUE"""),"Texas Sports Academy")</f>
        <v>Texas Sports Academy</v>
      </c>
      <c r="M1705" s="6" t="str">
        <f>IFERROR(__xludf.DUMMYFUNCTION("""COMPUTED_VALUE"""),"")</f>
        <v/>
      </c>
      <c r="N1705" s="6" t="str">
        <f>IFERROR(__xludf.DUMMYFUNCTION("""COMPUTED_VALUE"""),"")</f>
        <v/>
      </c>
      <c r="O1705" s="87" t="str">
        <f>IFERROR(__xludf.DUMMYFUNCTION("""COMPUTED_VALUE"""),"https://drive.google.com/drive/folders/10T2cTQHqEJZqE-st6uFKPoI?usp=share_link")</f>
        <v>https://drive.google.com/drive/folders/10T2cTQHqEJZqE-st6uFKPoI?usp=share_link</v>
      </c>
      <c r="P1705" s="6" t="str">
        <f>IFERROR(__xludf.DUMMYFUNCTION("""COMPUTED_VALUE"""),"Mira Kambic")</f>
        <v>Mira Kambic</v>
      </c>
      <c r="Q1705" s="6" t="str">
        <f>IFERROR(__xludf.DUMMYFUNCTION("""COMPUTED_VALUE"""),"L2")</f>
        <v>L2</v>
      </c>
      <c r="R1705" s="6">
        <f>IFERROR(__xludf.DUMMYFUNCTION("""COMPUTED_VALUE"""),2.0)</f>
        <v>2</v>
      </c>
      <c r="S1705" s="6" t="str">
        <f>IFERROR(__xludf.DUMMYFUNCTION("""COMPUTED_VALUE"""),"Lisa Willis")</f>
        <v>Lisa Willis</v>
      </c>
      <c r="T1705" s="6" t="str">
        <f>IFERROR(__xludf.DUMMYFUNCTION("""COMPUTED_VALUE"""),"lisa.willis@sportsacademy.school")</f>
        <v>lisa.willis@sportsacademy.school</v>
      </c>
      <c r="U1705" s="6" t="str">
        <f>IFERROR(__xludf.DUMMYFUNCTION("""COMPUTED_VALUE"""),"4")</f>
        <v>4</v>
      </c>
      <c r="V1705" s="6" t="str">
        <f>IFERROR(__xludf.DUMMYFUNCTION("""COMPUTED_VALUE"""),"")</f>
        <v/>
      </c>
      <c r="W1705" s="6" t="str">
        <f>IFERROR(__xludf.DUMMYFUNCTION("""COMPUTED_VALUE"""),"[]")</f>
        <v>[]</v>
      </c>
      <c r="X1705" s="6" t="str">
        <f>IFERROR(__xludf.DUMMYFUNCTION("""COMPUTED_VALUE"""),"Enrolled")</f>
        <v>Enrolled</v>
      </c>
    </row>
    <row r="1706">
      <c r="A1706" s="6" t="str">
        <f>IFERROR(__xludf.DUMMYFUNCTION("""COMPUTED_VALUE"""),"014-2377")</f>
        <v>014-2377</v>
      </c>
      <c r="B1706" s="6" t="str">
        <f>IFERROR(__xludf.DUMMYFUNCTION("""COMPUTED_VALUE"""),"14")</f>
        <v>14</v>
      </c>
      <c r="C1706" s="6" t="str">
        <f>IFERROR(__xludf.DUMMYFUNCTION("""COMPUTED_VALUE"""),"2377")</f>
        <v>2377</v>
      </c>
      <c r="D1706" s="6" t="str">
        <f>IFERROR(__xludf.DUMMYFUNCTION("""COMPUTED_VALUE"""),"Zane")</f>
        <v>Zane</v>
      </c>
      <c r="E1706" s="6" t="str">
        <f>IFERROR(__xludf.DUMMYFUNCTION("""COMPUTED_VALUE"""),"Zane")</f>
        <v>Zane</v>
      </c>
      <c r="F1706" s="6" t="str">
        <f>IFERROR(__xludf.DUMMYFUNCTION("""COMPUTED_VALUE"""),"Thornton")</f>
        <v>Thornton</v>
      </c>
      <c r="G1706" s="6" t="str">
        <f>IFERROR(__xludf.DUMMYFUNCTION("""COMPUTED_VALUE"""),"07/09/2014")</f>
        <v>07/09/2014</v>
      </c>
      <c r="H1706" s="6" t="str">
        <f>IFERROR(__xludf.DUMMYFUNCTION("""COMPUTED_VALUE"""),"male")</f>
        <v>male</v>
      </c>
      <c r="I1706" s="6" t="str">
        <f>IFERROR(__xludf.DUMMYFUNCTION("""COMPUTED_VALUE"""),"Middle School")</f>
        <v>Middle School</v>
      </c>
      <c r="J1706" s="6" t="str">
        <f>IFERROR(__xludf.DUMMYFUNCTION("""COMPUTED_VALUE"""),"6")</f>
        <v>6</v>
      </c>
      <c r="K1706" s="6" t="str">
        <f>IFERROR(__xludf.DUMMYFUNCTION("""COMPUTED_VALUE"""),"zane.thornton@alpha.school")</f>
        <v>zane.thornton@alpha.school</v>
      </c>
      <c r="L1706" s="6" t="str">
        <f>IFERROR(__xludf.DUMMYFUNCTION("""COMPUTED_VALUE"""),"Texas Sports Academy")</f>
        <v>Texas Sports Academy</v>
      </c>
      <c r="M1706" s="6" t="str">
        <f>IFERROR(__xludf.DUMMYFUNCTION("""COMPUTED_VALUE"""),"")</f>
        <v/>
      </c>
      <c r="N1706" s="6" t="str">
        <f>IFERROR(__xludf.DUMMYFUNCTION("""COMPUTED_VALUE"""),"")</f>
        <v/>
      </c>
      <c r="O1706" s="87" t="str">
        <f>IFERROR(__xludf.DUMMYFUNCTION("""COMPUTED_VALUE"""),"https://drive.google.com/drive/folders/10T2cTQHqEJZqE-st6uFKPoI?usp=share_link")</f>
        <v>https://drive.google.com/drive/folders/10T2cTQHqEJZqE-st6uFKPoI?usp=share_link</v>
      </c>
      <c r="P1706" s="6" t="str">
        <f>IFERROR(__xludf.DUMMYFUNCTION("""COMPUTED_VALUE"""),"Zane Thornton")</f>
        <v>Zane Thornton</v>
      </c>
      <c r="Q1706" s="6" t="str">
        <f>IFERROR(__xludf.DUMMYFUNCTION("""COMPUTED_VALUE"""),"MS")</f>
        <v>MS</v>
      </c>
      <c r="R1706" s="6">
        <f>IFERROR(__xludf.DUMMYFUNCTION("""COMPUTED_VALUE"""),0.0)</f>
        <v>0</v>
      </c>
      <c r="S1706" s="6" t="str">
        <f>IFERROR(__xludf.DUMMYFUNCTION("""COMPUTED_VALUE"""),"DJ Tripoli")</f>
        <v>DJ Tripoli</v>
      </c>
      <c r="T1706" s="6" t="str">
        <f>IFERROR(__xludf.DUMMYFUNCTION("""COMPUTED_VALUE"""),"david.tripoli@alpha.school")</f>
        <v>david.tripoli@alpha.school</v>
      </c>
      <c r="U1706" s="6" t="str">
        <f>IFERROR(__xludf.DUMMYFUNCTION("""COMPUTED_VALUE"""),"6")</f>
        <v>6</v>
      </c>
      <c r="V1706" s="6" t="str">
        <f>IFERROR(__xludf.DUMMYFUNCTION("""COMPUTED_VALUE"""),"")</f>
        <v/>
      </c>
      <c r="W1706" s="6" t="str">
        <f>IFERROR(__xludf.DUMMYFUNCTION("""COMPUTED_VALUE"""),"[]")</f>
        <v>[]</v>
      </c>
      <c r="X1706" s="6" t="str">
        <f>IFERROR(__xludf.DUMMYFUNCTION("""COMPUTED_VALUE"""),"Enrolled")</f>
        <v>Enrolled</v>
      </c>
    </row>
    <row r="1707">
      <c r="A1707" s="6" t="str">
        <f>IFERROR(__xludf.DUMMYFUNCTION("""COMPUTED_VALUE"""),"014-2472")</f>
        <v>014-2472</v>
      </c>
      <c r="B1707" s="6" t="str">
        <f>IFERROR(__xludf.DUMMYFUNCTION("""COMPUTED_VALUE"""),"14")</f>
        <v>14</v>
      </c>
      <c r="C1707" s="6" t="str">
        <f>IFERROR(__xludf.DUMMYFUNCTION("""COMPUTED_VALUE"""),"2472")</f>
        <v>2472</v>
      </c>
      <c r="D1707" s="6" t="str">
        <f>IFERROR(__xludf.DUMMYFUNCTION("""COMPUTED_VALUE"""),"Mason")</f>
        <v>Mason</v>
      </c>
      <c r="E1707" s="6" t="str">
        <f>IFERROR(__xludf.DUMMYFUNCTION("""COMPUTED_VALUE"""),"Mason")</f>
        <v>Mason</v>
      </c>
      <c r="F1707" s="6" t="str">
        <f>IFERROR(__xludf.DUMMYFUNCTION("""COMPUTED_VALUE"""),"McDougald")</f>
        <v>McDougald</v>
      </c>
      <c r="G1707" s="6" t="str">
        <f>IFERROR(__xludf.DUMMYFUNCTION("""COMPUTED_VALUE"""),"12/28/2012")</f>
        <v>12/28/2012</v>
      </c>
      <c r="H1707" s="6" t="str">
        <f>IFERROR(__xludf.DUMMYFUNCTION("""COMPUTED_VALUE"""),"male")</f>
        <v>male</v>
      </c>
      <c r="I1707" s="6" t="str">
        <f>IFERROR(__xludf.DUMMYFUNCTION("""COMPUTED_VALUE"""),"Middle School")</f>
        <v>Middle School</v>
      </c>
      <c r="J1707" s="6" t="str">
        <f>IFERROR(__xludf.DUMMYFUNCTION("""COMPUTED_VALUE"""),"7")</f>
        <v>7</v>
      </c>
      <c r="K1707" s="6" t="str">
        <f>IFERROR(__xludf.DUMMYFUNCTION("""COMPUTED_VALUE"""),"mason.mcdougald@alpha.school")</f>
        <v>mason.mcdougald@alpha.school</v>
      </c>
      <c r="L1707" s="6" t="str">
        <f>IFERROR(__xludf.DUMMYFUNCTION("""COMPUTED_VALUE"""),"Texas Sports Academy")</f>
        <v>Texas Sports Academy</v>
      </c>
      <c r="M1707" s="6" t="str">
        <f>IFERROR(__xludf.DUMMYFUNCTION("""COMPUTED_VALUE"""),"")</f>
        <v/>
      </c>
      <c r="N1707" s="6" t="str">
        <f>IFERROR(__xludf.DUMMYFUNCTION("""COMPUTED_VALUE"""),"")</f>
        <v/>
      </c>
      <c r="O1707" s="87" t="str">
        <f>IFERROR(__xludf.DUMMYFUNCTION("""COMPUTED_VALUE"""),"https://drive.google.com/drive/folders/10T2cTQHqEJZqE-st6uFKPoI?usp=share_link")</f>
        <v>https://drive.google.com/drive/folders/10T2cTQHqEJZqE-st6uFKPoI?usp=share_link</v>
      </c>
      <c r="P1707" s="6" t="str">
        <f>IFERROR(__xludf.DUMMYFUNCTION("""COMPUTED_VALUE"""),"Mason McDougald")</f>
        <v>Mason McDougald</v>
      </c>
      <c r="Q1707" s="6" t="str">
        <f>IFERROR(__xludf.DUMMYFUNCTION("""COMPUTED_VALUE"""),"MS")</f>
        <v>MS</v>
      </c>
      <c r="R1707" s="6">
        <f>IFERROR(__xludf.DUMMYFUNCTION("""COMPUTED_VALUE"""),0.0)</f>
        <v>0</v>
      </c>
      <c r="S1707" s="6" t="str">
        <f>IFERROR(__xludf.DUMMYFUNCTION("""COMPUTED_VALUE"""),"DJ Tripoli")</f>
        <v>DJ Tripoli</v>
      </c>
      <c r="T1707" s="6" t="str">
        <f>IFERROR(__xludf.DUMMYFUNCTION("""COMPUTED_VALUE"""),"david.tripoli@alpha.school")</f>
        <v>david.tripoli@alpha.school</v>
      </c>
      <c r="U1707" s="6" t="str">
        <f>IFERROR(__xludf.DUMMYFUNCTION("""COMPUTED_VALUE"""),"7")</f>
        <v>7</v>
      </c>
      <c r="V1707" s="6" t="str">
        <f>IFERROR(__xludf.DUMMYFUNCTION("""COMPUTED_VALUE"""),"")</f>
        <v/>
      </c>
      <c r="W1707" s="6" t="str">
        <f>IFERROR(__xludf.DUMMYFUNCTION("""COMPUTED_VALUE"""),"[]")</f>
        <v>[]</v>
      </c>
      <c r="X1707" s="6" t="str">
        <f>IFERROR(__xludf.DUMMYFUNCTION("""COMPUTED_VALUE"""),"Enrolled")</f>
        <v>Enrolled</v>
      </c>
    </row>
    <row r="1708">
      <c r="A1708" s="6" t="str">
        <f>IFERROR(__xludf.DUMMYFUNCTION("""COMPUTED_VALUE"""),"014-2537")</f>
        <v>014-2537</v>
      </c>
      <c r="B1708" s="6" t="str">
        <f>IFERROR(__xludf.DUMMYFUNCTION("""COMPUTED_VALUE"""),"14")</f>
        <v>14</v>
      </c>
      <c r="C1708" s="6" t="str">
        <f>IFERROR(__xludf.DUMMYFUNCTION("""COMPUTED_VALUE"""),"2537")</f>
        <v>2537</v>
      </c>
      <c r="D1708" s="6" t="str">
        <f>IFERROR(__xludf.DUMMYFUNCTION("""COMPUTED_VALUE"""),"Tallulah")</f>
        <v>Tallulah</v>
      </c>
      <c r="E1708" s="6" t="str">
        <f>IFERROR(__xludf.DUMMYFUNCTION("""COMPUTED_VALUE"""),"Tallulah")</f>
        <v>Tallulah</v>
      </c>
      <c r="F1708" s="6" t="str">
        <f>IFERROR(__xludf.DUMMYFUNCTION("""COMPUTED_VALUE"""),"Chaney")</f>
        <v>Chaney</v>
      </c>
      <c r="G1708" s="6" t="str">
        <f>IFERROR(__xludf.DUMMYFUNCTION("""COMPUTED_VALUE"""),"09/17/2019")</f>
        <v>09/17/2019</v>
      </c>
      <c r="H1708" s="6" t="str">
        <f>IFERROR(__xludf.DUMMYFUNCTION("""COMPUTED_VALUE"""),"female")</f>
        <v>female</v>
      </c>
      <c r="I1708" s="6" t="str">
        <f>IFERROR(__xludf.DUMMYFUNCTION("""COMPUTED_VALUE"""),"Learning Lab")</f>
        <v>Learning Lab</v>
      </c>
      <c r="J1708" s="6" t="str">
        <f>IFERROR(__xludf.DUMMYFUNCTION("""COMPUTED_VALUE"""),"K")</f>
        <v>K</v>
      </c>
      <c r="K1708" s="6" t="str">
        <f>IFERROR(__xludf.DUMMYFUNCTION("""COMPUTED_VALUE"""),"tallulah.chaney@sportsacademy.school")</f>
        <v>tallulah.chaney@sportsacademy.school</v>
      </c>
      <c r="L1708" s="6" t="str">
        <f>IFERROR(__xludf.DUMMYFUNCTION("""COMPUTED_VALUE"""),"Texas Sports Academy")</f>
        <v>Texas Sports Academy</v>
      </c>
      <c r="M1708" s="6" t="str">
        <f>IFERROR(__xludf.DUMMYFUNCTION("""COMPUTED_VALUE"""),"")</f>
        <v/>
      </c>
      <c r="N1708" s="6" t="str">
        <f>IFERROR(__xludf.DUMMYFUNCTION("""COMPUTED_VALUE"""),"")</f>
        <v/>
      </c>
      <c r="O1708" s="87" t="str">
        <f>IFERROR(__xludf.DUMMYFUNCTION("""COMPUTED_VALUE"""),"https://drive.google.com/drive/folders/10T2cTQHqEJZqE-st6uFKPoI?usp=share_link")</f>
        <v>https://drive.google.com/drive/folders/10T2cTQHqEJZqE-st6uFKPoI?usp=share_link</v>
      </c>
      <c r="P1708" s="6" t="str">
        <f>IFERROR(__xludf.DUMMYFUNCTION("""COMPUTED_VALUE"""),"Tallulah Chaney")</f>
        <v>Tallulah Chaney</v>
      </c>
      <c r="Q1708" s="6" t="str">
        <f>IFERROR(__xludf.DUMMYFUNCTION("""COMPUTED_VALUE"""),"LL")</f>
        <v>LL</v>
      </c>
      <c r="R1708" s="6">
        <f>IFERROR(__xludf.DUMMYFUNCTION("""COMPUTED_VALUE"""),0.0)</f>
        <v>0</v>
      </c>
      <c r="S1708" s="6" t="str">
        <f>IFERROR(__xludf.DUMMYFUNCTION("""COMPUTED_VALUE"""),"Ella Alexander")</f>
        <v>Ella Alexander</v>
      </c>
      <c r="T1708" s="6" t="str">
        <f>IFERROR(__xludf.DUMMYFUNCTION("""COMPUTED_VALUE"""),"ella.alexander@sportsacademy.school")</f>
        <v>ella.alexander@sportsacademy.school</v>
      </c>
      <c r="U1708" s="6" t="str">
        <f>IFERROR(__xludf.DUMMYFUNCTION("""COMPUTED_VALUE"""),"K")</f>
        <v>K</v>
      </c>
      <c r="V1708" s="6" t="str">
        <f>IFERROR(__xludf.DUMMYFUNCTION("""COMPUTED_VALUE"""),"")</f>
        <v/>
      </c>
      <c r="W1708" s="6" t="str">
        <f>IFERROR(__xludf.DUMMYFUNCTION("""COMPUTED_VALUE"""),"[]")</f>
        <v>[]</v>
      </c>
      <c r="X1708" s="6" t="str">
        <f>IFERROR(__xludf.DUMMYFUNCTION("""COMPUTED_VALUE"""),"Enrolled")</f>
        <v>Enrolled</v>
      </c>
    </row>
    <row r="1709">
      <c r="A1709" s="6" t="str">
        <f>IFERROR(__xludf.DUMMYFUNCTION("""COMPUTED_VALUE"""),"014-2595")</f>
        <v>014-2595</v>
      </c>
      <c r="B1709" s="6" t="str">
        <f>IFERROR(__xludf.DUMMYFUNCTION("""COMPUTED_VALUE"""),"14")</f>
        <v>14</v>
      </c>
      <c r="C1709" s="6" t="str">
        <f>IFERROR(__xludf.DUMMYFUNCTION("""COMPUTED_VALUE"""),"2595")</f>
        <v>2595</v>
      </c>
      <c r="D1709" s="6" t="str">
        <f>IFERROR(__xludf.DUMMYFUNCTION("""COMPUTED_VALUE"""),"Lauren")</f>
        <v>Lauren</v>
      </c>
      <c r="E1709" s="6" t="str">
        <f>IFERROR(__xludf.DUMMYFUNCTION("""COMPUTED_VALUE"""),"")</f>
        <v/>
      </c>
      <c r="F1709" s="6" t="str">
        <f>IFERROR(__xludf.DUMMYFUNCTION("""COMPUTED_VALUE"""),"Harden")</f>
        <v>Harden</v>
      </c>
      <c r="G1709" s="6" t="str">
        <f>IFERROR(__xludf.DUMMYFUNCTION("""COMPUTED_VALUE"""),"01/12/2017")</f>
        <v>01/12/2017</v>
      </c>
      <c r="H1709" s="6" t="str">
        <f>IFERROR(__xludf.DUMMYFUNCTION("""COMPUTED_VALUE"""),"female")</f>
        <v>female</v>
      </c>
      <c r="I1709" s="6" t="str">
        <f>IFERROR(__xludf.DUMMYFUNCTION("""COMPUTED_VALUE"""),"Level 1")</f>
        <v>Level 1</v>
      </c>
      <c r="J1709" s="6" t="str">
        <f>IFERROR(__xludf.DUMMYFUNCTION("""COMPUTED_VALUE"""),"3")</f>
        <v>3</v>
      </c>
      <c r="K1709" s="6" t="str">
        <f>IFERROR(__xludf.DUMMYFUNCTION("""COMPUTED_VALUE"""),"lauren.harden@alpha.school")</f>
        <v>lauren.harden@alpha.school</v>
      </c>
      <c r="L1709" s="6" t="str">
        <f>IFERROR(__xludf.DUMMYFUNCTION("""COMPUTED_VALUE"""),"Texas Sports Academy")</f>
        <v>Texas Sports Academy</v>
      </c>
      <c r="M1709" s="6" t="str">
        <f>IFERROR(__xludf.DUMMYFUNCTION("""COMPUTED_VALUE"""),"")</f>
        <v/>
      </c>
      <c r="N1709" s="6" t="str">
        <f>IFERROR(__xludf.DUMMYFUNCTION("""COMPUTED_VALUE"""),"")</f>
        <v/>
      </c>
      <c r="O1709" s="87" t="str">
        <f>IFERROR(__xludf.DUMMYFUNCTION("""COMPUTED_VALUE"""),"https://drive.google.com/drive/folders/10T2cTQHqEJZqE-st6uFKPoI?usp=share_link")</f>
        <v>https://drive.google.com/drive/folders/10T2cTQHqEJZqE-st6uFKPoI?usp=share_link</v>
      </c>
      <c r="P1709" s="6" t="str">
        <f>IFERROR(__xludf.DUMMYFUNCTION("""COMPUTED_VALUE"""),"Lauren Harden")</f>
        <v>Lauren Harden</v>
      </c>
      <c r="Q1709" s="6" t="str">
        <f>IFERROR(__xludf.DUMMYFUNCTION("""COMPUTED_VALUE"""),"L1")</f>
        <v>L1</v>
      </c>
      <c r="R1709" s="6">
        <f>IFERROR(__xludf.DUMMYFUNCTION("""COMPUTED_VALUE"""),1.0)</f>
        <v>1</v>
      </c>
      <c r="S1709" s="6" t="str">
        <f>IFERROR(__xludf.DUMMYFUNCTION("""COMPUTED_VALUE"""),"Cait Arzu")</f>
        <v>Cait Arzu</v>
      </c>
      <c r="T1709" s="6" t="str">
        <f>IFERROR(__xludf.DUMMYFUNCTION("""COMPUTED_VALUE"""),"caitlin.arzu@alpha.school")</f>
        <v>caitlin.arzu@alpha.school</v>
      </c>
      <c r="U1709" s="6" t="str">
        <f>IFERROR(__xludf.DUMMYFUNCTION("""COMPUTED_VALUE"""),"3")</f>
        <v>3</v>
      </c>
      <c r="V1709" s="6" t="str">
        <f>IFERROR(__xludf.DUMMYFUNCTION("""COMPUTED_VALUE"""),"")</f>
        <v/>
      </c>
      <c r="W1709" s="6" t="str">
        <f>IFERROR(__xludf.DUMMYFUNCTION("""COMPUTED_VALUE"""),"[]")</f>
        <v>[]</v>
      </c>
      <c r="X1709" s="6" t="str">
        <f>IFERROR(__xludf.DUMMYFUNCTION("""COMPUTED_VALUE"""),"Enrolled")</f>
        <v>Enrolled</v>
      </c>
    </row>
    <row r="1710">
      <c r="A1710" s="6" t="str">
        <f>IFERROR(__xludf.DUMMYFUNCTION("""COMPUTED_VALUE"""),"014-2645")</f>
        <v>014-2645</v>
      </c>
      <c r="B1710" s="6" t="str">
        <f>IFERROR(__xludf.DUMMYFUNCTION("""COMPUTED_VALUE"""),"14")</f>
        <v>14</v>
      </c>
      <c r="C1710" s="6" t="str">
        <f>IFERROR(__xludf.DUMMYFUNCTION("""COMPUTED_VALUE"""),"2645")</f>
        <v>2645</v>
      </c>
      <c r="D1710" s="6" t="str">
        <f>IFERROR(__xludf.DUMMYFUNCTION("""COMPUTED_VALUE"""),"Allison")</f>
        <v>Allison</v>
      </c>
      <c r="E1710" s="6" t="str">
        <f>IFERROR(__xludf.DUMMYFUNCTION("""COMPUTED_VALUE"""),"")</f>
        <v/>
      </c>
      <c r="F1710" s="6" t="str">
        <f>IFERROR(__xludf.DUMMYFUNCTION("""COMPUTED_VALUE"""),"Kim")</f>
        <v>Kim</v>
      </c>
      <c r="G1710" s="6" t="str">
        <f>IFERROR(__xludf.DUMMYFUNCTION("""COMPUTED_VALUE"""),"08/22/2017")</f>
        <v>08/22/2017</v>
      </c>
      <c r="H1710" s="6" t="str">
        <f>IFERROR(__xludf.DUMMYFUNCTION("""COMPUTED_VALUE"""),"female")</f>
        <v>female</v>
      </c>
      <c r="I1710" s="6" t="str">
        <f>IFERROR(__xludf.DUMMYFUNCTION("""COMPUTED_VALUE"""),"Level 1")</f>
        <v>Level 1</v>
      </c>
      <c r="J1710" s="6" t="str">
        <f>IFERROR(__xludf.DUMMYFUNCTION("""COMPUTED_VALUE"""),"2")</f>
        <v>2</v>
      </c>
      <c r="K1710" s="6" t="str">
        <f>IFERROR(__xludf.DUMMYFUNCTION("""COMPUTED_VALUE"""),"allison.kim@sportsacademy.school")</f>
        <v>allison.kim@sportsacademy.school</v>
      </c>
      <c r="L1710" s="6" t="str">
        <f>IFERROR(__xludf.DUMMYFUNCTION("""COMPUTED_VALUE"""),"Texas Sports Academy")</f>
        <v>Texas Sports Academy</v>
      </c>
      <c r="M1710" s="6" t="str">
        <f>IFERROR(__xludf.DUMMYFUNCTION("""COMPUTED_VALUE"""),"")</f>
        <v/>
      </c>
      <c r="N1710" s="6" t="str">
        <f>IFERROR(__xludf.DUMMYFUNCTION("""COMPUTED_VALUE"""),"")</f>
        <v/>
      </c>
      <c r="O1710" s="87" t="str">
        <f>IFERROR(__xludf.DUMMYFUNCTION("""COMPUTED_VALUE"""),"https://drive.google.com/drive/folders/10T2cTQHqEJZqE-st6uFKPoI?usp=share_link")</f>
        <v>https://drive.google.com/drive/folders/10T2cTQHqEJZqE-st6uFKPoI?usp=share_link</v>
      </c>
      <c r="P1710" s="6" t="str">
        <f>IFERROR(__xludf.DUMMYFUNCTION("""COMPUTED_VALUE"""),"Allison Kim")</f>
        <v>Allison Kim</v>
      </c>
      <c r="Q1710" s="6" t="str">
        <f>IFERROR(__xludf.DUMMYFUNCTION("""COMPUTED_VALUE"""),"L1")</f>
        <v>L1</v>
      </c>
      <c r="R1710" s="6">
        <f>IFERROR(__xludf.DUMMYFUNCTION("""COMPUTED_VALUE"""),1.0)</f>
        <v>1</v>
      </c>
      <c r="S1710" s="6" t="str">
        <f>IFERROR(__xludf.DUMMYFUNCTION("""COMPUTED_VALUE"""),"Cait Arzu")</f>
        <v>Cait Arzu</v>
      </c>
      <c r="T1710" s="6" t="str">
        <f>IFERROR(__xludf.DUMMYFUNCTION("""COMPUTED_VALUE"""),"caitlin.arzu@alpha.school")</f>
        <v>caitlin.arzu@alpha.school</v>
      </c>
      <c r="U1710" s="6" t="str">
        <f>IFERROR(__xludf.DUMMYFUNCTION("""COMPUTED_VALUE"""),"2")</f>
        <v>2</v>
      </c>
      <c r="V1710" s="6" t="str">
        <f>IFERROR(__xludf.DUMMYFUNCTION("""COMPUTED_VALUE"""),"")</f>
        <v/>
      </c>
      <c r="W1710" s="6" t="str">
        <f>IFERROR(__xludf.DUMMYFUNCTION("""COMPUTED_VALUE"""),"[]")</f>
        <v>[]</v>
      </c>
      <c r="X1710" s="6" t="str">
        <f>IFERROR(__xludf.DUMMYFUNCTION("""COMPUTED_VALUE"""),"Enrolled")</f>
        <v>Enrolled</v>
      </c>
    </row>
    <row r="1711">
      <c r="A1711" s="6" t="str">
        <f>IFERROR(__xludf.DUMMYFUNCTION("""COMPUTED_VALUE"""),"014-2666")</f>
        <v>014-2666</v>
      </c>
      <c r="B1711" s="6" t="str">
        <f>IFERROR(__xludf.DUMMYFUNCTION("""COMPUTED_VALUE"""),"14")</f>
        <v>14</v>
      </c>
      <c r="C1711" s="6" t="str">
        <f>IFERROR(__xludf.DUMMYFUNCTION("""COMPUTED_VALUE"""),"2666")</f>
        <v>2666</v>
      </c>
      <c r="D1711" s="6" t="str">
        <f>IFERROR(__xludf.DUMMYFUNCTION("""COMPUTED_VALUE"""),"Ryder")</f>
        <v>Ryder</v>
      </c>
      <c r="E1711" s="6" t="str">
        <f>IFERROR(__xludf.DUMMYFUNCTION("""COMPUTED_VALUE"""),"Ryder")</f>
        <v>Ryder</v>
      </c>
      <c r="F1711" s="6" t="str">
        <f>IFERROR(__xludf.DUMMYFUNCTION("""COMPUTED_VALUE"""),"Shilt")</f>
        <v>Shilt</v>
      </c>
      <c r="G1711" s="6" t="str">
        <f>IFERROR(__xludf.DUMMYFUNCTION("""COMPUTED_VALUE"""),"01/08/2014")</f>
        <v>01/08/2014</v>
      </c>
      <c r="H1711" s="6" t="str">
        <f>IFERROR(__xludf.DUMMYFUNCTION("""COMPUTED_VALUE"""),"male")</f>
        <v>male</v>
      </c>
      <c r="I1711" s="6" t="str">
        <f>IFERROR(__xludf.DUMMYFUNCTION("""COMPUTED_VALUE"""),"Middle School")</f>
        <v>Middle School</v>
      </c>
      <c r="J1711" s="6" t="str">
        <f>IFERROR(__xludf.DUMMYFUNCTION("""COMPUTED_VALUE"""),"6")</f>
        <v>6</v>
      </c>
      <c r="K1711" s="6" t="str">
        <f>IFERROR(__xludf.DUMMYFUNCTION("""COMPUTED_VALUE"""),"ryder.shilt@sportsacademy.school")</f>
        <v>ryder.shilt@sportsacademy.school</v>
      </c>
      <c r="L1711" s="6" t="str">
        <f>IFERROR(__xludf.DUMMYFUNCTION("""COMPUTED_VALUE"""),"Texas Sports Academy")</f>
        <v>Texas Sports Academy</v>
      </c>
      <c r="M1711" s="6" t="str">
        <f>IFERROR(__xludf.DUMMYFUNCTION("""COMPUTED_VALUE"""),"")</f>
        <v/>
      </c>
      <c r="N1711" s="6" t="str">
        <f>IFERROR(__xludf.DUMMYFUNCTION("""COMPUTED_VALUE"""),"")</f>
        <v/>
      </c>
      <c r="O1711" s="87" t="str">
        <f>IFERROR(__xludf.DUMMYFUNCTION("""COMPUTED_VALUE"""),"https://drive.google.com/drive/folders/10T2cTQHqEJZqE-st6uFKPoI?usp=share_link")</f>
        <v>https://drive.google.com/drive/folders/10T2cTQHqEJZqE-st6uFKPoI?usp=share_link</v>
      </c>
      <c r="P1711" s="6" t="str">
        <f>IFERROR(__xludf.DUMMYFUNCTION("""COMPUTED_VALUE"""),"Ryder Shilt")</f>
        <v>Ryder Shilt</v>
      </c>
      <c r="Q1711" s="6" t="str">
        <f>IFERROR(__xludf.DUMMYFUNCTION("""COMPUTED_VALUE"""),"MS")</f>
        <v>MS</v>
      </c>
      <c r="R1711" s="6">
        <f>IFERROR(__xludf.DUMMYFUNCTION("""COMPUTED_VALUE"""),0.0)</f>
        <v>0</v>
      </c>
      <c r="S1711" s="6" t="str">
        <f>IFERROR(__xludf.DUMMYFUNCTION("""COMPUTED_VALUE"""),"DJ Tripoli")</f>
        <v>DJ Tripoli</v>
      </c>
      <c r="T1711" s="6" t="str">
        <f>IFERROR(__xludf.DUMMYFUNCTION("""COMPUTED_VALUE"""),"david.tripoli@alpha.school")</f>
        <v>david.tripoli@alpha.school</v>
      </c>
      <c r="U1711" s="6" t="str">
        <f>IFERROR(__xludf.DUMMYFUNCTION("""COMPUTED_VALUE"""),"6")</f>
        <v>6</v>
      </c>
      <c r="V1711" s="6" t="str">
        <f>IFERROR(__xludf.DUMMYFUNCTION("""COMPUTED_VALUE"""),"")</f>
        <v/>
      </c>
      <c r="W1711" s="6" t="str">
        <f>IFERROR(__xludf.DUMMYFUNCTION("""COMPUTED_VALUE"""),"[]")</f>
        <v>[]</v>
      </c>
      <c r="X1711" s="6" t="str">
        <f>IFERROR(__xludf.DUMMYFUNCTION("""COMPUTED_VALUE"""),"Enrolled")</f>
        <v>Enrolled</v>
      </c>
    </row>
    <row r="1712">
      <c r="A1712" s="6" t="str">
        <f>IFERROR(__xludf.DUMMYFUNCTION("""COMPUTED_VALUE"""),"014-2683")</f>
        <v>014-2683</v>
      </c>
      <c r="B1712" s="6" t="str">
        <f>IFERROR(__xludf.DUMMYFUNCTION("""COMPUTED_VALUE"""),"14")</f>
        <v>14</v>
      </c>
      <c r="C1712" s="6" t="str">
        <f>IFERROR(__xludf.DUMMYFUNCTION("""COMPUTED_VALUE"""),"2683")</f>
        <v>2683</v>
      </c>
      <c r="D1712" s="6" t="str">
        <f>IFERROR(__xludf.DUMMYFUNCTION("""COMPUTED_VALUE"""),"Lawson")</f>
        <v>Lawson</v>
      </c>
      <c r="E1712" s="6" t="str">
        <f>IFERROR(__xludf.DUMMYFUNCTION("""COMPUTED_VALUE"""),"Lawson")</f>
        <v>Lawson</v>
      </c>
      <c r="F1712" s="6" t="str">
        <f>IFERROR(__xludf.DUMMYFUNCTION("""COMPUTED_VALUE"""),"Shilt")</f>
        <v>Shilt</v>
      </c>
      <c r="G1712" s="6" t="str">
        <f>IFERROR(__xludf.DUMMYFUNCTION("""COMPUTED_VALUE"""),"01/08/2014")</f>
        <v>01/08/2014</v>
      </c>
      <c r="H1712" s="6" t="str">
        <f>IFERROR(__xludf.DUMMYFUNCTION("""COMPUTED_VALUE"""),"male")</f>
        <v>male</v>
      </c>
      <c r="I1712" s="6" t="str">
        <f>IFERROR(__xludf.DUMMYFUNCTION("""COMPUTED_VALUE"""),"Middle School")</f>
        <v>Middle School</v>
      </c>
      <c r="J1712" s="6" t="str">
        <f>IFERROR(__xludf.DUMMYFUNCTION("""COMPUTED_VALUE"""),"6")</f>
        <v>6</v>
      </c>
      <c r="K1712" s="6" t="str">
        <f>IFERROR(__xludf.DUMMYFUNCTION("""COMPUTED_VALUE"""),"lawson.shilt@sportsacademy.school")</f>
        <v>lawson.shilt@sportsacademy.school</v>
      </c>
      <c r="L1712" s="6" t="str">
        <f>IFERROR(__xludf.DUMMYFUNCTION("""COMPUTED_VALUE"""),"Texas Sports Academy")</f>
        <v>Texas Sports Academy</v>
      </c>
      <c r="M1712" s="6" t="str">
        <f>IFERROR(__xludf.DUMMYFUNCTION("""COMPUTED_VALUE"""),"")</f>
        <v/>
      </c>
      <c r="N1712" s="6" t="str">
        <f>IFERROR(__xludf.DUMMYFUNCTION("""COMPUTED_VALUE"""),"")</f>
        <v/>
      </c>
      <c r="O1712" s="87" t="str">
        <f>IFERROR(__xludf.DUMMYFUNCTION("""COMPUTED_VALUE"""),"https://drive.google.com/drive/folders/10T2cTQHqEJZqE-st6uFKPoI?usp=share_link")</f>
        <v>https://drive.google.com/drive/folders/10T2cTQHqEJZqE-st6uFKPoI?usp=share_link</v>
      </c>
      <c r="P1712" s="6" t="str">
        <f>IFERROR(__xludf.DUMMYFUNCTION("""COMPUTED_VALUE"""),"Lawson Shilt")</f>
        <v>Lawson Shilt</v>
      </c>
      <c r="Q1712" s="6" t="str">
        <f>IFERROR(__xludf.DUMMYFUNCTION("""COMPUTED_VALUE"""),"MS")</f>
        <v>MS</v>
      </c>
      <c r="R1712" s="6">
        <f>IFERROR(__xludf.DUMMYFUNCTION("""COMPUTED_VALUE"""),0.0)</f>
        <v>0</v>
      </c>
      <c r="S1712" s="6" t="str">
        <f>IFERROR(__xludf.DUMMYFUNCTION("""COMPUTED_VALUE"""),"DJ Tripoli")</f>
        <v>DJ Tripoli</v>
      </c>
      <c r="T1712" s="6" t="str">
        <f>IFERROR(__xludf.DUMMYFUNCTION("""COMPUTED_VALUE"""),"david.tripoli@alpha.school")</f>
        <v>david.tripoli@alpha.school</v>
      </c>
      <c r="U1712" s="6" t="str">
        <f>IFERROR(__xludf.DUMMYFUNCTION("""COMPUTED_VALUE"""),"6")</f>
        <v>6</v>
      </c>
      <c r="V1712" s="6" t="str">
        <f>IFERROR(__xludf.DUMMYFUNCTION("""COMPUTED_VALUE"""),"")</f>
        <v/>
      </c>
      <c r="W1712" s="6" t="str">
        <f>IFERROR(__xludf.DUMMYFUNCTION("""COMPUTED_VALUE"""),"[]")</f>
        <v>[]</v>
      </c>
      <c r="X1712" s="6" t="str">
        <f>IFERROR(__xludf.DUMMYFUNCTION("""COMPUTED_VALUE"""),"Enrolled")</f>
        <v>Enrolled</v>
      </c>
    </row>
    <row r="1713">
      <c r="A1713" s="6" t="str">
        <f>IFERROR(__xludf.DUMMYFUNCTION("""COMPUTED_VALUE"""),"014-2797")</f>
        <v>014-2797</v>
      </c>
      <c r="B1713" s="6" t="str">
        <f>IFERROR(__xludf.DUMMYFUNCTION("""COMPUTED_VALUE"""),"14")</f>
        <v>14</v>
      </c>
      <c r="C1713" s="6" t="str">
        <f>IFERROR(__xludf.DUMMYFUNCTION("""COMPUTED_VALUE"""),"2797")</f>
        <v>2797</v>
      </c>
      <c r="D1713" s="6" t="str">
        <f>IFERROR(__xludf.DUMMYFUNCTION("""COMPUTED_VALUE"""),"Jax")</f>
        <v>Jax</v>
      </c>
      <c r="E1713" s="6" t="str">
        <f>IFERROR(__xludf.DUMMYFUNCTION("""COMPUTED_VALUE"""),"Jax")</f>
        <v>Jax</v>
      </c>
      <c r="F1713" s="6" t="str">
        <f>IFERROR(__xludf.DUMMYFUNCTION("""COMPUTED_VALUE"""),"Marroquin")</f>
        <v>Marroquin</v>
      </c>
      <c r="G1713" s="6" t="str">
        <f>IFERROR(__xludf.DUMMYFUNCTION("""COMPUTED_VALUE"""),"11/21/2019")</f>
        <v>11/21/2019</v>
      </c>
      <c r="H1713" s="6" t="str">
        <f>IFERROR(__xludf.DUMMYFUNCTION("""COMPUTED_VALUE"""),"male")</f>
        <v>male</v>
      </c>
      <c r="I1713" s="6" t="str">
        <f>IFERROR(__xludf.DUMMYFUNCTION("""COMPUTED_VALUE"""),"Learning Lab")</f>
        <v>Learning Lab</v>
      </c>
      <c r="J1713" s="6" t="str">
        <f>IFERROR(__xludf.DUMMYFUNCTION("""COMPUTED_VALUE"""),"K")</f>
        <v>K</v>
      </c>
      <c r="K1713" s="6" t="str">
        <f>IFERROR(__xludf.DUMMYFUNCTION("""COMPUTED_VALUE"""),"jax.marroquin@sportsacademy.school")</f>
        <v>jax.marroquin@sportsacademy.school</v>
      </c>
      <c r="L1713" s="6" t="str">
        <f>IFERROR(__xludf.DUMMYFUNCTION("""COMPUTED_VALUE"""),"Texas Sports Academy")</f>
        <v>Texas Sports Academy</v>
      </c>
      <c r="M1713" s="6" t="str">
        <f>IFERROR(__xludf.DUMMYFUNCTION("""COMPUTED_VALUE"""),"")</f>
        <v/>
      </c>
      <c r="N1713" s="6" t="str">
        <f>IFERROR(__xludf.DUMMYFUNCTION("""COMPUTED_VALUE"""),"")</f>
        <v/>
      </c>
      <c r="O1713" s="87" t="str">
        <f>IFERROR(__xludf.DUMMYFUNCTION("""COMPUTED_VALUE"""),"https://drive.google.com/drive/folders/10T2cTQHqEJZqE-st6uFKPoI?usp=share_link")</f>
        <v>https://drive.google.com/drive/folders/10T2cTQHqEJZqE-st6uFKPoI?usp=share_link</v>
      </c>
      <c r="P1713" s="6" t="str">
        <f>IFERROR(__xludf.DUMMYFUNCTION("""COMPUTED_VALUE"""),"Jax Marroquin")</f>
        <v>Jax Marroquin</v>
      </c>
      <c r="Q1713" s="6" t="str">
        <f>IFERROR(__xludf.DUMMYFUNCTION("""COMPUTED_VALUE"""),"LL")</f>
        <v>LL</v>
      </c>
      <c r="R1713" s="6">
        <f>IFERROR(__xludf.DUMMYFUNCTION("""COMPUTED_VALUE"""),0.0)</f>
        <v>0</v>
      </c>
      <c r="S1713" s="6" t="str">
        <f>IFERROR(__xludf.DUMMYFUNCTION("""COMPUTED_VALUE"""),"Ella Alexander")</f>
        <v>Ella Alexander</v>
      </c>
      <c r="T1713" s="6" t="str">
        <f>IFERROR(__xludf.DUMMYFUNCTION("""COMPUTED_VALUE"""),"ella.alexander@sportsacademy.school")</f>
        <v>ella.alexander@sportsacademy.school</v>
      </c>
      <c r="U1713" s="6" t="str">
        <f>IFERROR(__xludf.DUMMYFUNCTION("""COMPUTED_VALUE"""),"K")</f>
        <v>K</v>
      </c>
      <c r="V1713" s="6" t="str">
        <f>IFERROR(__xludf.DUMMYFUNCTION("""COMPUTED_VALUE"""),"")</f>
        <v/>
      </c>
      <c r="W1713" s="6" t="str">
        <f>IFERROR(__xludf.DUMMYFUNCTION("""COMPUTED_VALUE"""),"[]")</f>
        <v>[]</v>
      </c>
      <c r="X1713" s="6" t="str">
        <f>IFERROR(__xludf.DUMMYFUNCTION("""COMPUTED_VALUE"""),"Enrolled")</f>
        <v>Enrolled</v>
      </c>
    </row>
    <row r="1714">
      <c r="A1714" s="6" t="str">
        <f>IFERROR(__xludf.DUMMYFUNCTION("""COMPUTED_VALUE"""),"014-2809")</f>
        <v>014-2809</v>
      </c>
      <c r="B1714" s="6" t="str">
        <f>IFERROR(__xludf.DUMMYFUNCTION("""COMPUTED_VALUE"""),"14")</f>
        <v>14</v>
      </c>
      <c r="C1714" s="6" t="str">
        <f>IFERROR(__xludf.DUMMYFUNCTION("""COMPUTED_VALUE"""),"2809")</f>
        <v>2809</v>
      </c>
      <c r="D1714" s="6" t="str">
        <f>IFERROR(__xludf.DUMMYFUNCTION("""COMPUTED_VALUE"""),"Jennifer")</f>
        <v>Jennifer</v>
      </c>
      <c r="E1714" s="6" t="str">
        <f>IFERROR(__xludf.DUMMYFUNCTION("""COMPUTED_VALUE"""),"Jenny")</f>
        <v>Jenny</v>
      </c>
      <c r="F1714" s="6" t="str">
        <f>IFERROR(__xludf.DUMMYFUNCTION("""COMPUTED_VALUE"""),"Thomason")</f>
        <v>Thomason</v>
      </c>
      <c r="G1714" s="6" t="str">
        <f>IFERROR(__xludf.DUMMYFUNCTION("""COMPUTED_VALUE"""),"02/12/2019")</f>
        <v>02/12/2019</v>
      </c>
      <c r="H1714" s="6" t="str">
        <f>IFERROR(__xludf.DUMMYFUNCTION("""COMPUTED_VALUE"""),"female")</f>
        <v>female</v>
      </c>
      <c r="I1714" s="6" t="str">
        <f>IFERROR(__xludf.DUMMYFUNCTION("""COMPUTED_VALUE"""),"Learning Lab")</f>
        <v>Learning Lab</v>
      </c>
      <c r="J1714" s="6" t="str">
        <f>IFERROR(__xludf.DUMMYFUNCTION("""COMPUTED_VALUE"""),"1")</f>
        <v>1</v>
      </c>
      <c r="K1714" s="6" t="str">
        <f>IFERROR(__xludf.DUMMYFUNCTION("""COMPUTED_VALUE"""),"jenny.thomason@sportsacademy.school")</f>
        <v>jenny.thomason@sportsacademy.school</v>
      </c>
      <c r="L1714" s="6" t="str">
        <f>IFERROR(__xludf.DUMMYFUNCTION("""COMPUTED_VALUE"""),"Texas Sports Academy")</f>
        <v>Texas Sports Academy</v>
      </c>
      <c r="M1714" s="6" t="str">
        <f>IFERROR(__xludf.DUMMYFUNCTION("""COMPUTED_VALUE"""),"")</f>
        <v/>
      </c>
      <c r="N1714" s="6" t="str">
        <f>IFERROR(__xludf.DUMMYFUNCTION("""COMPUTED_VALUE"""),"")</f>
        <v/>
      </c>
      <c r="O1714" s="87" t="str">
        <f>IFERROR(__xludf.DUMMYFUNCTION("""COMPUTED_VALUE"""),"https://drive.google.com/drive/folders/10T2cTQHqEJZqE-st6uFKPoI?usp=share_link")</f>
        <v>https://drive.google.com/drive/folders/10T2cTQHqEJZqE-st6uFKPoI?usp=share_link</v>
      </c>
      <c r="P1714" s="6" t="str">
        <f>IFERROR(__xludf.DUMMYFUNCTION("""COMPUTED_VALUE"""),"Jenny Thomason")</f>
        <v>Jenny Thomason</v>
      </c>
      <c r="Q1714" s="6" t="str">
        <f>IFERROR(__xludf.DUMMYFUNCTION("""COMPUTED_VALUE"""),"LL")</f>
        <v>LL</v>
      </c>
      <c r="R1714" s="6">
        <f>IFERROR(__xludf.DUMMYFUNCTION("""COMPUTED_VALUE"""),0.0)</f>
        <v>0</v>
      </c>
      <c r="S1714" s="6" t="str">
        <f>IFERROR(__xludf.DUMMYFUNCTION("""COMPUTED_VALUE"""),"Cait Arzu")</f>
        <v>Cait Arzu</v>
      </c>
      <c r="T1714" s="6" t="str">
        <f>IFERROR(__xludf.DUMMYFUNCTION("""COMPUTED_VALUE"""),"caitlin.arzu@alpha.school")</f>
        <v>caitlin.arzu@alpha.school</v>
      </c>
      <c r="U1714" s="6" t="str">
        <f>IFERROR(__xludf.DUMMYFUNCTION("""COMPUTED_VALUE"""),"1")</f>
        <v>1</v>
      </c>
      <c r="V1714" s="6" t="str">
        <f>IFERROR(__xludf.DUMMYFUNCTION("""COMPUTED_VALUE"""),"")</f>
        <v/>
      </c>
      <c r="W1714" s="6" t="str">
        <f>IFERROR(__xludf.DUMMYFUNCTION("""COMPUTED_VALUE"""),"[]")</f>
        <v>[]</v>
      </c>
      <c r="X1714" s="6" t="str">
        <f>IFERROR(__xludf.DUMMYFUNCTION("""COMPUTED_VALUE"""),"Enrolled")</f>
        <v>Enrolled</v>
      </c>
    </row>
    <row r="1715">
      <c r="A1715" s="6" t="str">
        <f>IFERROR(__xludf.DUMMYFUNCTION("""COMPUTED_VALUE"""),"014-4036")</f>
        <v>014-4036</v>
      </c>
      <c r="B1715" s="6" t="str">
        <f>IFERROR(__xludf.DUMMYFUNCTION("""COMPUTED_VALUE"""),"14")</f>
        <v>14</v>
      </c>
      <c r="C1715" s="6" t="str">
        <f>IFERROR(__xludf.DUMMYFUNCTION("""COMPUTED_VALUE"""),"4036")</f>
        <v>4036</v>
      </c>
      <c r="D1715" s="6" t="str">
        <f>IFERROR(__xludf.DUMMYFUNCTION("""COMPUTED_VALUE"""),"Smith")</f>
        <v>Smith</v>
      </c>
      <c r="E1715" s="6" t="str">
        <f>IFERROR(__xludf.DUMMYFUNCTION("""COMPUTED_VALUE"""),"Smith")</f>
        <v>Smith</v>
      </c>
      <c r="F1715" s="6" t="str">
        <f>IFERROR(__xludf.DUMMYFUNCTION("""COMPUTED_VALUE"""),"Adreon")</f>
        <v>Adreon</v>
      </c>
      <c r="G1715" s="6" t="str">
        <f>IFERROR(__xludf.DUMMYFUNCTION("""COMPUTED_VALUE"""),"05/26/2016")</f>
        <v>05/26/2016</v>
      </c>
      <c r="H1715" s="6" t="str">
        <f>IFERROR(__xludf.DUMMYFUNCTION("""COMPUTED_VALUE"""),"male")</f>
        <v>male</v>
      </c>
      <c r="I1715" s="6" t="str">
        <f>IFERROR(__xludf.DUMMYFUNCTION("""COMPUTED_VALUE"""),"Level 2")</f>
        <v>Level 2</v>
      </c>
      <c r="J1715" s="6" t="str">
        <f>IFERROR(__xludf.DUMMYFUNCTION("""COMPUTED_VALUE"""),"4")</f>
        <v>4</v>
      </c>
      <c r="K1715" s="6" t="str">
        <f>IFERROR(__xludf.DUMMYFUNCTION("""COMPUTED_VALUE"""),"smith.adreon@alpha.school")</f>
        <v>smith.adreon@alpha.school</v>
      </c>
      <c r="L1715" s="6" t="str">
        <f>IFERROR(__xludf.DUMMYFUNCTION("""COMPUTED_VALUE"""),"Texas Sports Academy")</f>
        <v>Texas Sports Academy</v>
      </c>
      <c r="M1715" s="6" t="str">
        <f>IFERROR(__xludf.DUMMYFUNCTION("""COMPUTED_VALUE"""),"")</f>
        <v/>
      </c>
      <c r="N1715" s="6" t="str">
        <f>IFERROR(__xludf.DUMMYFUNCTION("""COMPUTED_VALUE"""),"")</f>
        <v/>
      </c>
      <c r="O1715" s="87" t="str">
        <f>IFERROR(__xludf.DUMMYFUNCTION("""COMPUTED_VALUE"""),"https://drive.google.com/drive/folders/10T2cTQHqEJZqE-st6uFKPoI?usp=share_link")</f>
        <v>https://drive.google.com/drive/folders/10T2cTQHqEJZqE-st6uFKPoI?usp=share_link</v>
      </c>
      <c r="P1715" s="6" t="str">
        <f>IFERROR(__xludf.DUMMYFUNCTION("""COMPUTED_VALUE"""),"Smith Adreon")</f>
        <v>Smith Adreon</v>
      </c>
      <c r="Q1715" s="6" t="str">
        <f>IFERROR(__xludf.DUMMYFUNCTION("""COMPUTED_VALUE"""),"L2")</f>
        <v>L2</v>
      </c>
      <c r="R1715" s="6">
        <f>IFERROR(__xludf.DUMMYFUNCTION("""COMPUTED_VALUE"""),2.0)</f>
        <v>2</v>
      </c>
      <c r="S1715" s="6" t="str">
        <f>IFERROR(__xludf.DUMMYFUNCTION("""COMPUTED_VALUE"""),"Lisa Willis")</f>
        <v>Lisa Willis</v>
      </c>
      <c r="T1715" s="6" t="str">
        <f>IFERROR(__xludf.DUMMYFUNCTION("""COMPUTED_VALUE"""),"lisa.willis@sportsacademy.school")</f>
        <v>lisa.willis@sportsacademy.school</v>
      </c>
      <c r="U1715" s="6" t="str">
        <f>IFERROR(__xludf.DUMMYFUNCTION("""COMPUTED_VALUE"""),"4")</f>
        <v>4</v>
      </c>
      <c r="V1715" s="6" t="str">
        <f>IFERROR(__xludf.DUMMYFUNCTION("""COMPUTED_VALUE"""),"English")</f>
        <v>English</v>
      </c>
      <c r="W1715" s="6" t="str">
        <f>IFERROR(__xludf.DUMMYFUNCTION("""COMPUTED_VALUE"""),"[]")</f>
        <v>[]</v>
      </c>
      <c r="X1715" s="6" t="str">
        <f>IFERROR(__xludf.DUMMYFUNCTION("""COMPUTED_VALUE"""),"Enrolled")</f>
        <v>Enrolled</v>
      </c>
    </row>
    <row r="1716">
      <c r="A1716" s="6" t="str">
        <f>IFERROR(__xludf.DUMMYFUNCTION("""COMPUTED_VALUE"""),"014-4327")</f>
        <v>014-4327</v>
      </c>
      <c r="B1716" s="6" t="str">
        <f>IFERROR(__xludf.DUMMYFUNCTION("""COMPUTED_VALUE"""),"14")</f>
        <v>14</v>
      </c>
      <c r="C1716" s="6" t="str">
        <f>IFERROR(__xludf.DUMMYFUNCTION("""COMPUTED_VALUE"""),"4327")</f>
        <v>4327</v>
      </c>
      <c r="D1716" s="6" t="str">
        <f>IFERROR(__xludf.DUMMYFUNCTION("""COMPUTED_VALUE"""),"Lucy")</f>
        <v>Lucy</v>
      </c>
      <c r="E1716" s="6" t="str">
        <f>IFERROR(__xludf.DUMMYFUNCTION("""COMPUTED_VALUE"""),"Lucy")</f>
        <v>Lucy</v>
      </c>
      <c r="F1716" s="6" t="str">
        <f>IFERROR(__xludf.DUMMYFUNCTION("""COMPUTED_VALUE"""),"Wilkinson")</f>
        <v>Wilkinson</v>
      </c>
      <c r="G1716" s="6" t="str">
        <f>IFERROR(__xludf.DUMMYFUNCTION("""COMPUTED_VALUE"""),"12/01/2019")</f>
        <v>12/01/2019</v>
      </c>
      <c r="H1716" s="6" t="str">
        <f>IFERROR(__xludf.DUMMYFUNCTION("""COMPUTED_VALUE"""),"female")</f>
        <v>female</v>
      </c>
      <c r="I1716" s="6" t="str">
        <f>IFERROR(__xludf.DUMMYFUNCTION("""COMPUTED_VALUE"""),"Learning Lab")</f>
        <v>Learning Lab</v>
      </c>
      <c r="J1716" s="6" t="str">
        <f>IFERROR(__xludf.DUMMYFUNCTION("""COMPUTED_VALUE"""),"K")</f>
        <v>K</v>
      </c>
      <c r="K1716" s="6" t="str">
        <f>IFERROR(__xludf.DUMMYFUNCTION("""COMPUTED_VALUE"""),"lucy.wilkinson@sportsacademy.school")</f>
        <v>lucy.wilkinson@sportsacademy.school</v>
      </c>
      <c r="L1716" s="6" t="str">
        <f>IFERROR(__xludf.DUMMYFUNCTION("""COMPUTED_VALUE"""),"Texas Sports Academy")</f>
        <v>Texas Sports Academy</v>
      </c>
      <c r="M1716" s="6" t="str">
        <f>IFERROR(__xludf.DUMMYFUNCTION("""COMPUTED_VALUE"""),"")</f>
        <v/>
      </c>
      <c r="N1716" s="6" t="str">
        <f>IFERROR(__xludf.DUMMYFUNCTION("""COMPUTED_VALUE"""),"")</f>
        <v/>
      </c>
      <c r="O1716" s="87" t="str">
        <f>IFERROR(__xludf.DUMMYFUNCTION("""COMPUTED_VALUE"""),"https://drive.google.com/drive/folders/10T2cTQHqEJZqE-st6uFKPoI?usp=share_link")</f>
        <v>https://drive.google.com/drive/folders/10T2cTQHqEJZqE-st6uFKPoI?usp=share_link</v>
      </c>
      <c r="P1716" s="6" t="str">
        <f>IFERROR(__xludf.DUMMYFUNCTION("""COMPUTED_VALUE"""),"Lucy Wilkinson")</f>
        <v>Lucy Wilkinson</v>
      </c>
      <c r="Q1716" s="6" t="str">
        <f>IFERROR(__xludf.DUMMYFUNCTION("""COMPUTED_VALUE"""),"LL")</f>
        <v>LL</v>
      </c>
      <c r="R1716" s="6">
        <f>IFERROR(__xludf.DUMMYFUNCTION("""COMPUTED_VALUE"""),0.0)</f>
        <v>0</v>
      </c>
      <c r="S1716" s="6" t="str">
        <f>IFERROR(__xludf.DUMMYFUNCTION("""COMPUTED_VALUE"""),"Ella Alexander")</f>
        <v>Ella Alexander</v>
      </c>
      <c r="T1716" s="6" t="str">
        <f>IFERROR(__xludf.DUMMYFUNCTION("""COMPUTED_VALUE"""),"ella.alexander@sportsacademy.school")</f>
        <v>ella.alexander@sportsacademy.school</v>
      </c>
      <c r="U1716" s="6" t="str">
        <f>IFERROR(__xludf.DUMMYFUNCTION("""COMPUTED_VALUE"""),"K")</f>
        <v>K</v>
      </c>
      <c r="V1716" s="6" t="str">
        <f>IFERROR(__xludf.DUMMYFUNCTION("""COMPUTED_VALUE"""),"")</f>
        <v/>
      </c>
      <c r="W1716" s="6" t="str">
        <f>IFERROR(__xludf.DUMMYFUNCTION("""COMPUTED_VALUE"""),"[]")</f>
        <v>[]</v>
      </c>
      <c r="X1716" s="6" t="str">
        <f>IFERROR(__xludf.DUMMYFUNCTION("""COMPUTED_VALUE"""),"Enrolled")</f>
        <v>Enrolled</v>
      </c>
    </row>
    <row r="1717">
      <c r="A1717" s="6" t="str">
        <f>IFERROR(__xludf.DUMMYFUNCTION("""COMPUTED_VALUE"""),"014-4375")</f>
        <v>014-4375</v>
      </c>
      <c r="B1717" s="6" t="str">
        <f>IFERROR(__xludf.DUMMYFUNCTION("""COMPUTED_VALUE"""),"14")</f>
        <v>14</v>
      </c>
      <c r="C1717" s="6" t="str">
        <f>IFERROR(__xludf.DUMMYFUNCTION("""COMPUTED_VALUE"""),"4375")</f>
        <v>4375</v>
      </c>
      <c r="D1717" s="6" t="str">
        <f>IFERROR(__xludf.DUMMYFUNCTION("""COMPUTED_VALUE"""),"Otto")</f>
        <v>Otto</v>
      </c>
      <c r="E1717" s="6" t="str">
        <f>IFERROR(__xludf.DUMMYFUNCTION("""COMPUTED_VALUE"""),"Otto")</f>
        <v>Otto</v>
      </c>
      <c r="F1717" s="6" t="str">
        <f>IFERROR(__xludf.DUMMYFUNCTION("""COMPUTED_VALUE"""),"Metzger")</f>
        <v>Metzger</v>
      </c>
      <c r="G1717" s="6" t="str">
        <f>IFERROR(__xludf.DUMMYFUNCTION("""COMPUTED_VALUE"""),"12/15/2012")</f>
        <v>12/15/2012</v>
      </c>
      <c r="H1717" s="6" t="str">
        <f>IFERROR(__xludf.DUMMYFUNCTION("""COMPUTED_VALUE"""),"male")</f>
        <v>male</v>
      </c>
      <c r="I1717" s="6" t="str">
        <f>IFERROR(__xludf.DUMMYFUNCTION("""COMPUTED_VALUE"""),"Middle School")</f>
        <v>Middle School</v>
      </c>
      <c r="J1717" s="6" t="str">
        <f>IFERROR(__xludf.DUMMYFUNCTION("""COMPUTED_VALUE"""),"6")</f>
        <v>6</v>
      </c>
      <c r="K1717" s="6" t="str">
        <f>IFERROR(__xludf.DUMMYFUNCTION("""COMPUTED_VALUE"""),"otto.metzger@sportsacademy.school")</f>
        <v>otto.metzger@sportsacademy.school</v>
      </c>
      <c r="L1717" s="6" t="str">
        <f>IFERROR(__xludf.DUMMYFUNCTION("""COMPUTED_VALUE"""),"Texas Sports Academy")</f>
        <v>Texas Sports Academy</v>
      </c>
      <c r="M1717" s="6" t="str">
        <f>IFERROR(__xludf.DUMMYFUNCTION("""COMPUTED_VALUE"""),"")</f>
        <v/>
      </c>
      <c r="N1717" s="6" t="str">
        <f>IFERROR(__xludf.DUMMYFUNCTION("""COMPUTED_VALUE"""),"")</f>
        <v/>
      </c>
      <c r="O1717" s="87" t="str">
        <f>IFERROR(__xludf.DUMMYFUNCTION("""COMPUTED_VALUE"""),"https://drive.google.com/drive/folders/10T2cTQHqEJZqE-st6uFKPoI?usp=share_link")</f>
        <v>https://drive.google.com/drive/folders/10T2cTQHqEJZqE-st6uFKPoI?usp=share_link</v>
      </c>
      <c r="P1717" s="6" t="str">
        <f>IFERROR(__xludf.DUMMYFUNCTION("""COMPUTED_VALUE"""),"Otto Metzger")</f>
        <v>Otto Metzger</v>
      </c>
      <c r="Q1717" s="6" t="str">
        <f>IFERROR(__xludf.DUMMYFUNCTION("""COMPUTED_VALUE"""),"MS")</f>
        <v>MS</v>
      </c>
      <c r="R1717" s="6">
        <f>IFERROR(__xludf.DUMMYFUNCTION("""COMPUTED_VALUE"""),0.0)</f>
        <v>0</v>
      </c>
      <c r="S1717" s="6" t="str">
        <f>IFERROR(__xludf.DUMMYFUNCTION("""COMPUTED_VALUE"""),"DJ Tripoli")</f>
        <v>DJ Tripoli</v>
      </c>
      <c r="T1717" s="6" t="str">
        <f>IFERROR(__xludf.DUMMYFUNCTION("""COMPUTED_VALUE"""),"david.tripoli@alpha.school")</f>
        <v>david.tripoli@alpha.school</v>
      </c>
      <c r="U1717" s="6" t="str">
        <f>IFERROR(__xludf.DUMMYFUNCTION("""COMPUTED_VALUE"""),"6")</f>
        <v>6</v>
      </c>
      <c r="V1717" s="6" t="str">
        <f>IFERROR(__xludf.DUMMYFUNCTION("""COMPUTED_VALUE"""),"")</f>
        <v/>
      </c>
      <c r="W1717" s="6" t="str">
        <f>IFERROR(__xludf.DUMMYFUNCTION("""COMPUTED_VALUE"""),"[]")</f>
        <v>[]</v>
      </c>
      <c r="X1717" s="6" t="str">
        <f>IFERROR(__xludf.DUMMYFUNCTION("""COMPUTED_VALUE"""),"Enrolled")</f>
        <v>Enrolled</v>
      </c>
    </row>
    <row r="1718">
      <c r="A1718" s="6" t="str">
        <f>IFERROR(__xludf.DUMMYFUNCTION("""COMPUTED_VALUE"""),"014-4723")</f>
        <v>014-4723</v>
      </c>
      <c r="B1718" s="6" t="str">
        <f>IFERROR(__xludf.DUMMYFUNCTION("""COMPUTED_VALUE"""),"14")</f>
        <v>14</v>
      </c>
      <c r="C1718" s="6" t="str">
        <f>IFERROR(__xludf.DUMMYFUNCTION("""COMPUTED_VALUE"""),"4723")</f>
        <v>4723</v>
      </c>
      <c r="D1718" s="6" t="str">
        <f>IFERROR(__xludf.DUMMYFUNCTION("""COMPUTED_VALUE"""),"Andie")</f>
        <v>Andie</v>
      </c>
      <c r="E1718" s="6" t="str">
        <f>IFERROR(__xludf.DUMMYFUNCTION("""COMPUTED_VALUE"""),"Andie")</f>
        <v>Andie</v>
      </c>
      <c r="F1718" s="6" t="str">
        <f>IFERROR(__xludf.DUMMYFUNCTION("""COMPUTED_VALUE"""),"Childress")</f>
        <v>Childress</v>
      </c>
      <c r="G1718" s="6" t="str">
        <f>IFERROR(__xludf.DUMMYFUNCTION("""COMPUTED_VALUE"""),"04/08/2013")</f>
        <v>04/08/2013</v>
      </c>
      <c r="H1718" s="6" t="str">
        <f>IFERROR(__xludf.DUMMYFUNCTION("""COMPUTED_VALUE"""),"female")</f>
        <v>female</v>
      </c>
      <c r="I1718" s="6" t="str">
        <f>IFERROR(__xludf.DUMMYFUNCTION("""COMPUTED_VALUE"""),"Middle School")</f>
        <v>Middle School</v>
      </c>
      <c r="J1718" s="6" t="str">
        <f>IFERROR(__xludf.DUMMYFUNCTION("""COMPUTED_VALUE"""),"6")</f>
        <v>6</v>
      </c>
      <c r="K1718" s="6" t="str">
        <f>IFERROR(__xludf.DUMMYFUNCTION("""COMPUTED_VALUE"""),"andie.childress@sportsacademy.school")</f>
        <v>andie.childress@sportsacademy.school</v>
      </c>
      <c r="L1718" s="6" t="str">
        <f>IFERROR(__xludf.DUMMYFUNCTION("""COMPUTED_VALUE"""),"Texas Sports Academy")</f>
        <v>Texas Sports Academy</v>
      </c>
      <c r="M1718" s="6" t="str">
        <f>IFERROR(__xludf.DUMMYFUNCTION("""COMPUTED_VALUE"""),"")</f>
        <v/>
      </c>
      <c r="N1718" s="6" t="str">
        <f>IFERROR(__xludf.DUMMYFUNCTION("""COMPUTED_VALUE"""),"")</f>
        <v/>
      </c>
      <c r="O1718" s="87" t="str">
        <f>IFERROR(__xludf.DUMMYFUNCTION("""COMPUTED_VALUE"""),"https://drive.google.com/drive/folders/10T2cTQHqEJZqE-st6uFKPoI?usp=share_link")</f>
        <v>https://drive.google.com/drive/folders/10T2cTQHqEJZqE-st6uFKPoI?usp=share_link</v>
      </c>
      <c r="P1718" s="6" t="str">
        <f>IFERROR(__xludf.DUMMYFUNCTION("""COMPUTED_VALUE"""),"Andie Childress")</f>
        <v>Andie Childress</v>
      </c>
      <c r="Q1718" s="6" t="str">
        <f>IFERROR(__xludf.DUMMYFUNCTION("""COMPUTED_VALUE"""),"MS")</f>
        <v>MS</v>
      </c>
      <c r="R1718" s="6">
        <f>IFERROR(__xludf.DUMMYFUNCTION("""COMPUTED_VALUE"""),0.0)</f>
        <v>0</v>
      </c>
      <c r="S1718" s="6" t="str">
        <f>IFERROR(__xludf.DUMMYFUNCTION("""COMPUTED_VALUE"""),"DJ Tripoli")</f>
        <v>DJ Tripoli</v>
      </c>
      <c r="T1718" s="6" t="str">
        <f>IFERROR(__xludf.DUMMYFUNCTION("""COMPUTED_VALUE"""),"david.tripoli@alpha.school")</f>
        <v>david.tripoli@alpha.school</v>
      </c>
      <c r="U1718" s="6" t="str">
        <f>IFERROR(__xludf.DUMMYFUNCTION("""COMPUTED_VALUE"""),"6")</f>
        <v>6</v>
      </c>
      <c r="V1718" s="6" t="str">
        <f>IFERROR(__xludf.DUMMYFUNCTION("""COMPUTED_VALUE"""),"")</f>
        <v/>
      </c>
      <c r="W1718" s="6" t="str">
        <f>IFERROR(__xludf.DUMMYFUNCTION("""COMPUTED_VALUE"""),"[]")</f>
        <v>[]</v>
      </c>
      <c r="X1718" s="6" t="str">
        <f>IFERROR(__xludf.DUMMYFUNCTION("""COMPUTED_VALUE"""),"Enrolled")</f>
        <v>Enrolled</v>
      </c>
    </row>
    <row r="1719">
      <c r="A1719" s="6" t="str">
        <f>IFERROR(__xludf.DUMMYFUNCTION("""COMPUTED_VALUE"""),"014-5643")</f>
        <v>014-5643</v>
      </c>
      <c r="B1719" s="6" t="str">
        <f>IFERROR(__xludf.DUMMYFUNCTION("""COMPUTED_VALUE"""),"14")</f>
        <v>14</v>
      </c>
      <c r="C1719" s="6" t="str">
        <f>IFERROR(__xludf.DUMMYFUNCTION("""COMPUTED_VALUE"""),"5643")</f>
        <v>5643</v>
      </c>
      <c r="D1719" s="6" t="str">
        <f>IFERROR(__xludf.DUMMYFUNCTION("""COMPUTED_VALUE"""),"Cooper")</f>
        <v>Cooper</v>
      </c>
      <c r="E1719" s="6" t="str">
        <f>IFERROR(__xludf.DUMMYFUNCTION("""COMPUTED_VALUE"""),"Cooper")</f>
        <v>Cooper</v>
      </c>
      <c r="F1719" s="6" t="str">
        <f>IFERROR(__xludf.DUMMYFUNCTION("""COMPUTED_VALUE"""),"Gregston")</f>
        <v>Gregston</v>
      </c>
      <c r="G1719" s="6" t="str">
        <f>IFERROR(__xludf.DUMMYFUNCTION("""COMPUTED_VALUE"""),"03/02/2017")</f>
        <v>03/02/2017</v>
      </c>
      <c r="H1719" s="6" t="str">
        <f>IFERROR(__xludf.DUMMYFUNCTION("""COMPUTED_VALUE"""),"male")</f>
        <v>male</v>
      </c>
      <c r="I1719" s="6" t="str">
        <f>IFERROR(__xludf.DUMMYFUNCTION("""COMPUTED_VALUE"""),"Level 1")</f>
        <v>Level 1</v>
      </c>
      <c r="J1719" s="6" t="str">
        <f>IFERROR(__xludf.DUMMYFUNCTION("""COMPUTED_VALUE"""),"2")</f>
        <v>2</v>
      </c>
      <c r="K1719" s="6" t="str">
        <f>IFERROR(__xludf.DUMMYFUNCTION("""COMPUTED_VALUE"""),"cooper.gregston@sportsacademy.school")</f>
        <v>cooper.gregston@sportsacademy.school</v>
      </c>
      <c r="L1719" s="6" t="str">
        <f>IFERROR(__xludf.DUMMYFUNCTION("""COMPUTED_VALUE"""),"Texas Sports Academy")</f>
        <v>Texas Sports Academy</v>
      </c>
      <c r="M1719" s="6" t="str">
        <f>IFERROR(__xludf.DUMMYFUNCTION("""COMPUTED_VALUE"""),"")</f>
        <v/>
      </c>
      <c r="N1719" s="6" t="str">
        <f>IFERROR(__xludf.DUMMYFUNCTION("""COMPUTED_VALUE"""),"")</f>
        <v/>
      </c>
      <c r="O1719" s="87" t="str">
        <f>IFERROR(__xludf.DUMMYFUNCTION("""COMPUTED_VALUE"""),"https://drive.google.com/drive/folders/10T2cTQHqEJZqE-st6uFKPoI?usp=share_link")</f>
        <v>https://drive.google.com/drive/folders/10T2cTQHqEJZqE-st6uFKPoI?usp=share_link</v>
      </c>
      <c r="P1719" s="6" t="str">
        <f>IFERROR(__xludf.DUMMYFUNCTION("""COMPUTED_VALUE"""),"Cooper Gregston")</f>
        <v>Cooper Gregston</v>
      </c>
      <c r="Q1719" s="6" t="str">
        <f>IFERROR(__xludf.DUMMYFUNCTION("""COMPUTED_VALUE"""),"L1")</f>
        <v>L1</v>
      </c>
      <c r="R1719" s="6">
        <f>IFERROR(__xludf.DUMMYFUNCTION("""COMPUTED_VALUE"""),1.0)</f>
        <v>1</v>
      </c>
      <c r="S1719" s="6" t="str">
        <f>IFERROR(__xludf.DUMMYFUNCTION("""COMPUTED_VALUE"""),"Amir Lewis")</f>
        <v>Amir Lewis</v>
      </c>
      <c r="T1719" s="6" t="str">
        <f>IFERROR(__xludf.DUMMYFUNCTION("""COMPUTED_VALUE"""),"amir.lewis@alpha.school")</f>
        <v>amir.lewis@alpha.school</v>
      </c>
      <c r="U1719" s="6" t="str">
        <f>IFERROR(__xludf.DUMMYFUNCTION("""COMPUTED_VALUE"""),"2")</f>
        <v>2</v>
      </c>
      <c r="V1719" s="6" t="str">
        <f>IFERROR(__xludf.DUMMYFUNCTION("""COMPUTED_VALUE"""),"")</f>
        <v/>
      </c>
      <c r="W1719" s="6" t="str">
        <f>IFERROR(__xludf.DUMMYFUNCTION("""COMPUTED_VALUE"""),"[]")</f>
        <v>[]</v>
      </c>
      <c r="X1719" s="6" t="str">
        <f>IFERROR(__xludf.DUMMYFUNCTION("""COMPUTED_VALUE"""),"Enrolled")</f>
        <v>Enrolled</v>
      </c>
    </row>
    <row r="1720">
      <c r="A1720" s="6" t="str">
        <f>IFERROR(__xludf.DUMMYFUNCTION("""COMPUTED_VALUE"""),"014-8431")</f>
        <v>014-8431</v>
      </c>
      <c r="B1720" s="6" t="str">
        <f>IFERROR(__xludf.DUMMYFUNCTION("""COMPUTED_VALUE"""),"14")</f>
        <v>14</v>
      </c>
      <c r="C1720" s="6" t="str">
        <f>IFERROR(__xludf.DUMMYFUNCTION("""COMPUTED_VALUE"""),"8431")</f>
        <v>8431</v>
      </c>
      <c r="D1720" s="6" t="str">
        <f>IFERROR(__xludf.DUMMYFUNCTION("""COMPUTED_VALUE"""),"Phoenix")</f>
        <v>Phoenix</v>
      </c>
      <c r="E1720" s="6" t="str">
        <f>IFERROR(__xludf.DUMMYFUNCTION("""COMPUTED_VALUE"""),"")</f>
        <v/>
      </c>
      <c r="F1720" s="6" t="str">
        <f>IFERROR(__xludf.DUMMYFUNCTION("""COMPUTED_VALUE"""),"Knight")</f>
        <v>Knight</v>
      </c>
      <c r="G1720" s="6" t="str">
        <f>IFERROR(__xludf.DUMMYFUNCTION("""COMPUTED_VALUE"""),"02/05/2015")</f>
        <v>02/05/2015</v>
      </c>
      <c r="H1720" s="6" t="str">
        <f>IFERROR(__xludf.DUMMYFUNCTION("""COMPUTED_VALUE"""),"male")</f>
        <v>male</v>
      </c>
      <c r="I1720" s="6" t="str">
        <f>IFERROR(__xludf.DUMMYFUNCTION("""COMPUTED_VALUE"""),"Level 2")</f>
        <v>Level 2</v>
      </c>
      <c r="J1720" s="6" t="str">
        <f>IFERROR(__xludf.DUMMYFUNCTION("""COMPUTED_VALUE"""),"5")</f>
        <v>5</v>
      </c>
      <c r="K1720" s="6" t="str">
        <f>IFERROR(__xludf.DUMMYFUNCTION("""COMPUTED_VALUE"""),"phoenix.knight@sportsacademy.school")</f>
        <v>phoenix.knight@sportsacademy.school</v>
      </c>
      <c r="L1720" s="6" t="str">
        <f>IFERROR(__xludf.DUMMYFUNCTION("""COMPUTED_VALUE"""),"Texas Sports Academy")</f>
        <v>Texas Sports Academy</v>
      </c>
      <c r="M1720" s="6" t="str">
        <f>IFERROR(__xludf.DUMMYFUNCTION("""COMPUTED_VALUE"""),"")</f>
        <v/>
      </c>
      <c r="N1720" s="6" t="str">
        <f>IFERROR(__xludf.DUMMYFUNCTION("""COMPUTED_VALUE"""),"")</f>
        <v/>
      </c>
      <c r="O1720" s="87" t="str">
        <f>IFERROR(__xludf.DUMMYFUNCTION("""COMPUTED_VALUE"""),"https://drive.google.com/drive/folders/10T2cTQHqEJZqE-st6uFKPoI?usp=share_link")</f>
        <v>https://drive.google.com/drive/folders/10T2cTQHqEJZqE-st6uFKPoI?usp=share_link</v>
      </c>
      <c r="P1720" s="6" t="str">
        <f>IFERROR(__xludf.DUMMYFUNCTION("""COMPUTED_VALUE"""),"Phoenix Knight")</f>
        <v>Phoenix Knight</v>
      </c>
      <c r="Q1720" s="6" t="str">
        <f>IFERROR(__xludf.DUMMYFUNCTION("""COMPUTED_VALUE"""),"L2")</f>
        <v>L2</v>
      </c>
      <c r="R1720" s="6">
        <f>IFERROR(__xludf.DUMMYFUNCTION("""COMPUTED_VALUE"""),2.0)</f>
        <v>2</v>
      </c>
      <c r="S1720" s="6" t="str">
        <f>IFERROR(__xludf.DUMMYFUNCTION("""COMPUTED_VALUE"""),"Lisa Willis")</f>
        <v>Lisa Willis</v>
      </c>
      <c r="T1720" s="6" t="str">
        <f>IFERROR(__xludf.DUMMYFUNCTION("""COMPUTED_VALUE"""),"lisa.willis@sportsacademy.school")</f>
        <v>lisa.willis@sportsacademy.school</v>
      </c>
      <c r="U1720" s="6" t="str">
        <f>IFERROR(__xludf.DUMMYFUNCTION("""COMPUTED_VALUE"""),"5")</f>
        <v>5</v>
      </c>
      <c r="V1720" s="6" t="str">
        <f>IFERROR(__xludf.DUMMYFUNCTION("""COMPUTED_VALUE"""),"")</f>
        <v/>
      </c>
      <c r="W1720" s="6" t="str">
        <f>IFERROR(__xludf.DUMMYFUNCTION("""COMPUTED_VALUE"""),"[]")</f>
        <v>[]</v>
      </c>
      <c r="X1720" s="6" t="str">
        <f>IFERROR(__xludf.DUMMYFUNCTION("""COMPUTED_VALUE"""),"Enrolled")</f>
        <v>Enrolled</v>
      </c>
    </row>
    <row r="1721">
      <c r="A1721" s="6" t="str">
        <f>IFERROR(__xludf.DUMMYFUNCTION("""COMPUTED_VALUE"""),"014-8866")</f>
        <v>014-8866</v>
      </c>
      <c r="B1721" s="6" t="str">
        <f>IFERROR(__xludf.DUMMYFUNCTION("""COMPUTED_VALUE"""),"14")</f>
        <v>14</v>
      </c>
      <c r="C1721" s="6" t="str">
        <f>IFERROR(__xludf.DUMMYFUNCTION("""COMPUTED_VALUE"""),"8866")</f>
        <v>8866</v>
      </c>
      <c r="D1721" s="6" t="str">
        <f>IFERROR(__xludf.DUMMYFUNCTION("""COMPUTED_VALUE"""),"Scarlett")</f>
        <v>Scarlett</v>
      </c>
      <c r="E1721" s="6" t="str">
        <f>IFERROR(__xludf.DUMMYFUNCTION("""COMPUTED_VALUE"""),"")</f>
        <v/>
      </c>
      <c r="F1721" s="6" t="str">
        <f>IFERROR(__xludf.DUMMYFUNCTION("""COMPUTED_VALUE"""),"Zarabi")</f>
        <v>Zarabi</v>
      </c>
      <c r="G1721" s="6" t="str">
        <f>IFERROR(__xludf.DUMMYFUNCTION("""COMPUTED_VALUE"""),"02/23/2014")</f>
        <v>02/23/2014</v>
      </c>
      <c r="H1721" s="6" t="str">
        <f>IFERROR(__xludf.DUMMYFUNCTION("""COMPUTED_VALUE"""),"female")</f>
        <v>female</v>
      </c>
      <c r="I1721" s="6" t="str">
        <f>IFERROR(__xludf.DUMMYFUNCTION("""COMPUTED_VALUE"""),"Middle School")</f>
        <v>Middle School</v>
      </c>
      <c r="J1721" s="6" t="str">
        <f>IFERROR(__xludf.DUMMYFUNCTION("""COMPUTED_VALUE"""),"6")</f>
        <v>6</v>
      </c>
      <c r="K1721" s="6" t="str">
        <f>IFERROR(__xludf.DUMMYFUNCTION("""COMPUTED_VALUE"""),"scarlett.zarabi@sportsacademy.school")</f>
        <v>scarlett.zarabi@sportsacademy.school</v>
      </c>
      <c r="L1721" s="6" t="str">
        <f>IFERROR(__xludf.DUMMYFUNCTION("""COMPUTED_VALUE"""),"Texas Sports Academy")</f>
        <v>Texas Sports Academy</v>
      </c>
      <c r="M1721" s="6" t="str">
        <f>IFERROR(__xludf.DUMMYFUNCTION("""COMPUTED_VALUE"""),"")</f>
        <v/>
      </c>
      <c r="N1721" s="6" t="str">
        <f>IFERROR(__xludf.DUMMYFUNCTION("""COMPUTED_VALUE"""),"")</f>
        <v/>
      </c>
      <c r="O1721" s="87" t="str">
        <f>IFERROR(__xludf.DUMMYFUNCTION("""COMPUTED_VALUE"""),"https://drive.google.com/drive/folders/10T2cTQHqEJZqE-st6uFKPoI?usp=share_link")</f>
        <v>https://drive.google.com/drive/folders/10T2cTQHqEJZqE-st6uFKPoI?usp=share_link</v>
      </c>
      <c r="P1721" s="6" t="str">
        <f>IFERROR(__xludf.DUMMYFUNCTION("""COMPUTED_VALUE"""),"Scarlett Zarabi")</f>
        <v>Scarlett Zarabi</v>
      </c>
      <c r="Q1721" s="6" t="str">
        <f>IFERROR(__xludf.DUMMYFUNCTION("""COMPUTED_VALUE"""),"MS")</f>
        <v>MS</v>
      </c>
      <c r="R1721" s="6">
        <f>IFERROR(__xludf.DUMMYFUNCTION("""COMPUTED_VALUE"""),0.0)</f>
        <v>0</v>
      </c>
      <c r="S1721" s="6" t="str">
        <f>IFERROR(__xludf.DUMMYFUNCTION("""COMPUTED_VALUE"""),"Greg Annan")</f>
        <v>Greg Annan</v>
      </c>
      <c r="T1721" s="6" t="str">
        <f>IFERROR(__xludf.DUMMYFUNCTION("""COMPUTED_VALUE"""),"greg.annan@sportsacademy.school")</f>
        <v>greg.annan@sportsacademy.school</v>
      </c>
      <c r="U1721" s="6" t="str">
        <f>IFERROR(__xludf.DUMMYFUNCTION("""COMPUTED_VALUE"""),"6")</f>
        <v>6</v>
      </c>
      <c r="V1721" s="6" t="str">
        <f>IFERROR(__xludf.DUMMYFUNCTION("""COMPUTED_VALUE"""),"")</f>
        <v/>
      </c>
      <c r="W1721" s="6" t="str">
        <f>IFERROR(__xludf.DUMMYFUNCTION("""COMPUTED_VALUE"""),"[]")</f>
        <v>[]</v>
      </c>
      <c r="X1721" s="6" t="str">
        <f>IFERROR(__xludf.DUMMYFUNCTION("""COMPUTED_VALUE"""),"Enrolled")</f>
        <v>Enrolled</v>
      </c>
    </row>
    <row r="1722">
      <c r="A1722" s="6" t="str">
        <f>IFERROR(__xludf.DUMMYFUNCTION("""COMPUTED_VALUE"""),"015-0717")</f>
        <v>015-0717</v>
      </c>
      <c r="B1722" s="6" t="str">
        <f>IFERROR(__xludf.DUMMYFUNCTION("""COMPUTED_VALUE"""),"15")</f>
        <v>15</v>
      </c>
      <c r="C1722" s="6" t="str">
        <f>IFERROR(__xludf.DUMMYFUNCTION("""COMPUTED_VALUE"""),"0717")</f>
        <v>0717</v>
      </c>
      <c r="D1722" s="6" t="str">
        <f>IFERROR(__xludf.DUMMYFUNCTION("""COMPUTED_VALUE"""),"Isabella")</f>
        <v>Isabella</v>
      </c>
      <c r="E1722" s="6" t="str">
        <f>IFERROR(__xludf.DUMMYFUNCTION("""COMPUTED_VALUE"""),"Bella")</f>
        <v>Bella</v>
      </c>
      <c r="F1722" s="6" t="str">
        <f>IFERROR(__xludf.DUMMYFUNCTION("""COMPUTED_VALUE"""),"Barba")</f>
        <v>Barba</v>
      </c>
      <c r="G1722" s="6" t="str">
        <f>IFERROR(__xludf.DUMMYFUNCTION("""COMPUTED_VALUE"""),"10/03/2012")</f>
        <v>10/03/2012</v>
      </c>
      <c r="H1722" s="6" t="str">
        <f>IFERROR(__xludf.DUMMYFUNCTION("""COMPUTED_VALUE"""),"female")</f>
        <v>female</v>
      </c>
      <c r="I1722" s="6" t="str">
        <f>IFERROR(__xludf.DUMMYFUNCTION("""COMPUTED_VALUE"""),"Middle School")</f>
        <v>Middle School</v>
      </c>
      <c r="J1722" s="6" t="str">
        <f>IFERROR(__xludf.DUMMYFUNCTION("""COMPUTED_VALUE"""),"7")</f>
        <v>7</v>
      </c>
      <c r="K1722" s="6" t="str">
        <f>IFERROR(__xludf.DUMMYFUNCTION("""COMPUTED_VALUE"""),"isabella.barba@alpha.school")</f>
        <v>isabella.barba@alpha.school</v>
      </c>
      <c r="L1722" s="6" t="str">
        <f>IFERROR(__xludf.DUMMYFUNCTION("""COMPUTED_VALUE"""),"Alpha School Miami")</f>
        <v>Alpha School Miami</v>
      </c>
      <c r="M1722" s="6" t="str">
        <f>IFERROR(__xludf.DUMMYFUNCTION("""COMPUTED_VALUE"""),"")</f>
        <v/>
      </c>
      <c r="N1722" s="6" t="str">
        <f>IFERROR(__xludf.DUMMYFUNCTION("""COMPUTED_VALUE"""),"")</f>
        <v/>
      </c>
      <c r="O1722" s="87" t="str">
        <f>IFERROR(__xludf.DUMMYFUNCTION("""COMPUTED_VALUE"""),"https://drive.google.com/drive/folders/10T2cTQHqEJZqE-st6uFKPoI?usp=share_link")</f>
        <v>https://drive.google.com/drive/folders/10T2cTQHqEJZqE-st6uFKPoI?usp=share_link</v>
      </c>
      <c r="P1722" s="6" t="str">
        <f>IFERROR(__xludf.DUMMYFUNCTION("""COMPUTED_VALUE"""),"Bella Barba")</f>
        <v>Bella Barba</v>
      </c>
      <c r="Q1722" s="6" t="str">
        <f>IFERROR(__xludf.DUMMYFUNCTION("""COMPUTED_VALUE"""),"MS")</f>
        <v>MS</v>
      </c>
      <c r="R1722" s="6">
        <f>IFERROR(__xludf.DUMMYFUNCTION("""COMPUTED_VALUE"""),0.0)</f>
        <v>0</v>
      </c>
      <c r="S1722" s="6" t="str">
        <f>IFERROR(__xludf.DUMMYFUNCTION("""COMPUTED_VALUE"""),"Tamara Stephenson")</f>
        <v>Tamara Stephenson</v>
      </c>
      <c r="T1722" s="6" t="str">
        <f>IFERROR(__xludf.DUMMYFUNCTION("""COMPUTED_VALUE"""),"tamara.stephenson@alpha.school")</f>
        <v>tamara.stephenson@alpha.school</v>
      </c>
      <c r="U1722" s="6" t="str">
        <f>IFERROR(__xludf.DUMMYFUNCTION("""COMPUTED_VALUE"""),"7")</f>
        <v>7</v>
      </c>
      <c r="V1722" s="6" t="str">
        <f>IFERROR(__xludf.DUMMYFUNCTION("""COMPUTED_VALUE"""),"English")</f>
        <v>English</v>
      </c>
      <c r="W1722" s="6" t="str">
        <f>IFERROR(__xludf.DUMMYFUNCTION("""COMPUTED_VALUE"""),"[]")</f>
        <v>[]</v>
      </c>
      <c r="X1722" s="6" t="str">
        <f>IFERROR(__xludf.DUMMYFUNCTION("""COMPUTED_VALUE"""),"Enrolled")</f>
        <v>Enrolled</v>
      </c>
    </row>
    <row r="1723">
      <c r="A1723" s="6" t="str">
        <f>IFERROR(__xludf.DUMMYFUNCTION("""COMPUTED_VALUE"""),"015-0734")</f>
        <v>015-0734</v>
      </c>
      <c r="B1723" s="6" t="str">
        <f>IFERROR(__xludf.DUMMYFUNCTION("""COMPUTED_VALUE"""),"15")</f>
        <v>15</v>
      </c>
      <c r="C1723" s="6" t="str">
        <f>IFERROR(__xludf.DUMMYFUNCTION("""COMPUTED_VALUE"""),"0734")</f>
        <v>0734</v>
      </c>
      <c r="D1723" s="6" t="str">
        <f>IFERROR(__xludf.DUMMYFUNCTION("""COMPUTED_VALUE"""),"Sydney")</f>
        <v>Sydney</v>
      </c>
      <c r="E1723" s="6" t="str">
        <f>IFERROR(__xludf.DUMMYFUNCTION("""COMPUTED_VALUE"""),"Sydney")</f>
        <v>Sydney</v>
      </c>
      <c r="F1723" s="6" t="str">
        <f>IFERROR(__xludf.DUMMYFUNCTION("""COMPUTED_VALUE"""),"Barba")</f>
        <v>Barba</v>
      </c>
      <c r="G1723" s="6" t="str">
        <f>IFERROR(__xludf.DUMMYFUNCTION("""COMPUTED_VALUE"""),"10/18/2010")</f>
        <v>10/18/2010</v>
      </c>
      <c r="H1723" s="6" t="str">
        <f>IFERROR(__xludf.DUMMYFUNCTION("""COMPUTED_VALUE"""),"female")</f>
        <v>female</v>
      </c>
      <c r="I1723" s="6" t="str">
        <f>IFERROR(__xludf.DUMMYFUNCTION("""COMPUTED_VALUE"""),"High School")</f>
        <v>High School</v>
      </c>
      <c r="J1723" s="6" t="str">
        <f>IFERROR(__xludf.DUMMYFUNCTION("""COMPUTED_VALUE"""),"9")</f>
        <v>9</v>
      </c>
      <c r="K1723" s="6" t="str">
        <f>IFERROR(__xludf.DUMMYFUNCTION("""COMPUTED_VALUE"""),"sydney.barba@alpha.school")</f>
        <v>sydney.barba@alpha.school</v>
      </c>
      <c r="L1723" s="6" t="str">
        <f>IFERROR(__xludf.DUMMYFUNCTION("""COMPUTED_VALUE"""),"Alpha School Miami")</f>
        <v>Alpha School Miami</v>
      </c>
      <c r="M1723" s="6" t="str">
        <f>IFERROR(__xludf.DUMMYFUNCTION("""COMPUTED_VALUE"""),"")</f>
        <v/>
      </c>
      <c r="N1723" s="6" t="str">
        <f>IFERROR(__xludf.DUMMYFUNCTION("""COMPUTED_VALUE"""),"")</f>
        <v/>
      </c>
      <c r="O1723" s="87" t="str">
        <f>IFERROR(__xludf.DUMMYFUNCTION("""COMPUTED_VALUE"""),"https://drive.google.com/drive/folders/10T2cTQHqEJZqE-st6uFKPoI?usp=share_link")</f>
        <v>https://drive.google.com/drive/folders/10T2cTQHqEJZqE-st6uFKPoI?usp=share_link</v>
      </c>
      <c r="P1723" s="6" t="str">
        <f>IFERROR(__xludf.DUMMYFUNCTION("""COMPUTED_VALUE"""),"Sydney Barba")</f>
        <v>Sydney Barba</v>
      </c>
      <c r="Q1723" s="6" t="str">
        <f>IFERROR(__xludf.DUMMYFUNCTION("""COMPUTED_VALUE"""),"HS")</f>
        <v>HS</v>
      </c>
      <c r="R1723" s="6">
        <f>IFERROR(__xludf.DUMMYFUNCTION("""COMPUTED_VALUE"""),0.0)</f>
        <v>0</v>
      </c>
      <c r="S1723" s="6" t="str">
        <f>IFERROR(__xludf.DUMMYFUNCTION("""COMPUTED_VALUE"""),"Logan Higuera")</f>
        <v>Logan Higuera</v>
      </c>
      <c r="T1723" s="6" t="str">
        <f>IFERROR(__xludf.DUMMYFUNCTION("""COMPUTED_VALUE"""),"logan.higuera@alpha.school")</f>
        <v>logan.higuera@alpha.school</v>
      </c>
      <c r="U1723" s="6" t="str">
        <f>IFERROR(__xludf.DUMMYFUNCTION("""COMPUTED_VALUE"""),"9")</f>
        <v>9</v>
      </c>
      <c r="V1723" s="6" t="str">
        <f>IFERROR(__xludf.DUMMYFUNCTION("""COMPUTED_VALUE"""),"English")</f>
        <v>English</v>
      </c>
      <c r="W1723" s="6" t="str">
        <f>IFERROR(__xludf.DUMMYFUNCTION("""COMPUTED_VALUE"""),"[]")</f>
        <v>[]</v>
      </c>
      <c r="X1723" s="6" t="str">
        <f>IFERROR(__xludf.DUMMYFUNCTION("""COMPUTED_VALUE"""),"Enrolled")</f>
        <v>Enrolled</v>
      </c>
    </row>
    <row r="1724">
      <c r="A1724" s="6" t="str">
        <f>IFERROR(__xludf.DUMMYFUNCTION("""COMPUTED_VALUE"""),"015-0741")</f>
        <v>015-0741</v>
      </c>
      <c r="B1724" s="6" t="str">
        <f>IFERROR(__xludf.DUMMYFUNCTION("""COMPUTED_VALUE"""),"15")</f>
        <v>15</v>
      </c>
      <c r="C1724" s="6" t="str">
        <f>IFERROR(__xludf.DUMMYFUNCTION("""COMPUTED_VALUE"""),"0741")</f>
        <v>0741</v>
      </c>
      <c r="D1724" s="6" t="str">
        <f>IFERROR(__xludf.DUMMYFUNCTION("""COMPUTED_VALUE"""),"Luna")</f>
        <v>Luna</v>
      </c>
      <c r="E1724" s="6" t="str">
        <f>IFERROR(__xludf.DUMMYFUNCTION("""COMPUTED_VALUE"""),"")</f>
        <v/>
      </c>
      <c r="F1724" s="6" t="str">
        <f>IFERROR(__xludf.DUMMYFUNCTION("""COMPUTED_VALUE"""),"Montagna")</f>
        <v>Montagna</v>
      </c>
      <c r="G1724" s="6" t="str">
        <f>IFERROR(__xludf.DUMMYFUNCTION("""COMPUTED_VALUE"""),"10/07/2015")</f>
        <v>10/07/2015</v>
      </c>
      <c r="H1724" s="6" t="str">
        <f>IFERROR(__xludf.DUMMYFUNCTION("""COMPUTED_VALUE"""),"female")</f>
        <v>female</v>
      </c>
      <c r="I1724" s="6" t="str">
        <f>IFERROR(__xludf.DUMMYFUNCTION("""COMPUTED_VALUE"""),"Level 2")</f>
        <v>Level 2</v>
      </c>
      <c r="J1724" s="6" t="str">
        <f>IFERROR(__xludf.DUMMYFUNCTION("""COMPUTED_VALUE"""),"4")</f>
        <v>4</v>
      </c>
      <c r="K1724" s="6" t="str">
        <f>IFERROR(__xludf.DUMMYFUNCTION("""COMPUTED_VALUE"""),"luna.montagna@alpha.school")</f>
        <v>luna.montagna@alpha.school</v>
      </c>
      <c r="L1724" s="6" t="str">
        <f>IFERROR(__xludf.DUMMYFUNCTION("""COMPUTED_VALUE"""),"Alpha School Miami")</f>
        <v>Alpha School Miami</v>
      </c>
      <c r="M1724" s="6" t="str">
        <f>IFERROR(__xludf.DUMMYFUNCTION("""COMPUTED_VALUE"""),"")</f>
        <v/>
      </c>
      <c r="N1724" s="6" t="str">
        <f>IFERROR(__xludf.DUMMYFUNCTION("""COMPUTED_VALUE"""),"")</f>
        <v/>
      </c>
      <c r="O1724" s="87" t="str">
        <f>IFERROR(__xludf.DUMMYFUNCTION("""COMPUTED_VALUE"""),"https://drive.google.com/drive/folders/10T2cTQHqEJZqE-st6uFKPoI?usp=share_link")</f>
        <v>https://drive.google.com/drive/folders/10T2cTQHqEJZqE-st6uFKPoI?usp=share_link</v>
      </c>
      <c r="P1724" s="6" t="str">
        <f>IFERROR(__xludf.DUMMYFUNCTION("""COMPUTED_VALUE"""),"Luna Montagna")</f>
        <v>Luna Montagna</v>
      </c>
      <c r="Q1724" s="6" t="str">
        <f>IFERROR(__xludf.DUMMYFUNCTION("""COMPUTED_VALUE"""),"L2")</f>
        <v>L2</v>
      </c>
      <c r="R1724" s="6">
        <f>IFERROR(__xludf.DUMMYFUNCTION("""COMPUTED_VALUE"""),2.0)</f>
        <v>2</v>
      </c>
      <c r="S1724" s="6" t="str">
        <f>IFERROR(__xludf.DUMMYFUNCTION("""COMPUTED_VALUE"""),"Sunny Lulla")</f>
        <v>Sunny Lulla</v>
      </c>
      <c r="T1724" s="6" t="str">
        <f>IFERROR(__xludf.DUMMYFUNCTION("""COMPUTED_VALUE"""),"sunny.lulla@alpha.school")</f>
        <v>sunny.lulla@alpha.school</v>
      </c>
      <c r="U1724" s="6" t="str">
        <f>IFERROR(__xludf.DUMMYFUNCTION("""COMPUTED_VALUE"""),"4")</f>
        <v>4</v>
      </c>
      <c r="V1724" s="6" t="str">
        <f>IFERROR(__xludf.DUMMYFUNCTION("""COMPUTED_VALUE"""),"English")</f>
        <v>English</v>
      </c>
      <c r="W1724" s="6" t="str">
        <f>IFERROR(__xludf.DUMMYFUNCTION("""COMPUTED_VALUE"""),"[]")</f>
        <v>[]</v>
      </c>
      <c r="X1724" s="6" t="str">
        <f>IFERROR(__xludf.DUMMYFUNCTION("""COMPUTED_VALUE"""),"Enrolled")</f>
        <v>Enrolled</v>
      </c>
    </row>
    <row r="1725">
      <c r="A1725" s="6" t="str">
        <f>IFERROR(__xludf.DUMMYFUNCTION("""COMPUTED_VALUE"""),"015-0742")</f>
        <v>015-0742</v>
      </c>
      <c r="B1725" s="6" t="str">
        <f>IFERROR(__xludf.DUMMYFUNCTION("""COMPUTED_VALUE"""),"15")</f>
        <v>15</v>
      </c>
      <c r="C1725" s="6" t="str">
        <f>IFERROR(__xludf.DUMMYFUNCTION("""COMPUTED_VALUE"""),"0742")</f>
        <v>0742</v>
      </c>
      <c r="D1725" s="6" t="str">
        <f>IFERROR(__xludf.DUMMYFUNCTION("""COMPUTED_VALUE"""),"Leo")</f>
        <v>Leo</v>
      </c>
      <c r="E1725" s="6" t="str">
        <f>IFERROR(__xludf.DUMMYFUNCTION("""COMPUTED_VALUE"""),"")</f>
        <v/>
      </c>
      <c r="F1725" s="6" t="str">
        <f>IFERROR(__xludf.DUMMYFUNCTION("""COMPUTED_VALUE"""),"Montagna")</f>
        <v>Montagna</v>
      </c>
      <c r="G1725" s="6" t="str">
        <f>IFERROR(__xludf.DUMMYFUNCTION("""COMPUTED_VALUE"""),"04/04/2018")</f>
        <v>04/04/2018</v>
      </c>
      <c r="H1725" s="6" t="str">
        <f>IFERROR(__xludf.DUMMYFUNCTION("""COMPUTED_VALUE"""),"male")</f>
        <v>male</v>
      </c>
      <c r="I1725" s="6" t="str">
        <f>IFERROR(__xludf.DUMMYFUNCTION("""COMPUTED_VALUE"""),"Level 1")</f>
        <v>Level 1</v>
      </c>
      <c r="J1725" s="6" t="str">
        <f>IFERROR(__xludf.DUMMYFUNCTION("""COMPUTED_VALUE"""),"2")</f>
        <v>2</v>
      </c>
      <c r="K1725" s="6" t="str">
        <f>IFERROR(__xludf.DUMMYFUNCTION("""COMPUTED_VALUE"""),"leo.montagna@alpha.school")</f>
        <v>leo.montagna@alpha.school</v>
      </c>
      <c r="L1725" s="6" t="str">
        <f>IFERROR(__xludf.DUMMYFUNCTION("""COMPUTED_VALUE"""),"Alpha School Miami")</f>
        <v>Alpha School Miami</v>
      </c>
      <c r="M1725" s="6" t="str">
        <f>IFERROR(__xludf.DUMMYFUNCTION("""COMPUTED_VALUE"""),"")</f>
        <v/>
      </c>
      <c r="N1725" s="6" t="str">
        <f>IFERROR(__xludf.DUMMYFUNCTION("""COMPUTED_VALUE"""),"")</f>
        <v/>
      </c>
      <c r="O1725" s="87" t="str">
        <f>IFERROR(__xludf.DUMMYFUNCTION("""COMPUTED_VALUE"""),"https://drive.google.com/drive/folders/10T2cTQHqEJZqE-st6uFKPoI?usp=share_link")</f>
        <v>https://drive.google.com/drive/folders/10T2cTQHqEJZqE-st6uFKPoI?usp=share_link</v>
      </c>
      <c r="P1725" s="6" t="str">
        <f>IFERROR(__xludf.DUMMYFUNCTION("""COMPUTED_VALUE"""),"Leo Montagna")</f>
        <v>Leo Montagna</v>
      </c>
      <c r="Q1725" s="6" t="str">
        <f>IFERROR(__xludf.DUMMYFUNCTION("""COMPUTED_VALUE"""),"L1")</f>
        <v>L1</v>
      </c>
      <c r="R1725" s="6">
        <f>IFERROR(__xludf.DUMMYFUNCTION("""COMPUTED_VALUE"""),1.0)</f>
        <v>1</v>
      </c>
      <c r="S1725" s="6" t="str">
        <f>IFERROR(__xludf.DUMMYFUNCTION("""COMPUTED_VALUE"""),"Brittany Ore")</f>
        <v>Brittany Ore</v>
      </c>
      <c r="T1725" s="6" t="str">
        <f>IFERROR(__xludf.DUMMYFUNCTION("""COMPUTED_VALUE"""),"brittany.ore@alpha.school")</f>
        <v>brittany.ore@alpha.school</v>
      </c>
      <c r="U1725" s="6" t="str">
        <f>IFERROR(__xludf.DUMMYFUNCTION("""COMPUTED_VALUE"""),"2")</f>
        <v>2</v>
      </c>
      <c r="V1725" s="6" t="str">
        <f>IFERROR(__xludf.DUMMYFUNCTION("""COMPUTED_VALUE"""),"English")</f>
        <v>English</v>
      </c>
      <c r="W1725" s="6" t="str">
        <f>IFERROR(__xludf.DUMMYFUNCTION("""COMPUTED_VALUE"""),"[]")</f>
        <v>[]</v>
      </c>
      <c r="X1725" s="6" t="str">
        <f>IFERROR(__xludf.DUMMYFUNCTION("""COMPUTED_VALUE"""),"Enrolled")</f>
        <v>Enrolled</v>
      </c>
    </row>
    <row r="1726">
      <c r="A1726" s="6" t="str">
        <f>IFERROR(__xludf.DUMMYFUNCTION("""COMPUTED_VALUE"""),"015-0743")</f>
        <v>015-0743</v>
      </c>
      <c r="B1726" s="6" t="str">
        <f>IFERROR(__xludf.DUMMYFUNCTION("""COMPUTED_VALUE"""),"15")</f>
        <v>15</v>
      </c>
      <c r="C1726" s="6" t="str">
        <f>IFERROR(__xludf.DUMMYFUNCTION("""COMPUTED_VALUE"""),"0743")</f>
        <v>0743</v>
      </c>
      <c r="D1726" s="6" t="str">
        <f>IFERROR(__xludf.DUMMYFUNCTION("""COMPUTED_VALUE"""),"Jason")</f>
        <v>Jason</v>
      </c>
      <c r="E1726" s="6" t="str">
        <f>IFERROR(__xludf.DUMMYFUNCTION("""COMPUTED_VALUE"""),"")</f>
        <v/>
      </c>
      <c r="F1726" s="6" t="str">
        <f>IFERROR(__xludf.DUMMYFUNCTION("""COMPUTED_VALUE"""),"Montagna")</f>
        <v>Montagna</v>
      </c>
      <c r="G1726" s="6" t="str">
        <f>IFERROR(__xludf.DUMMYFUNCTION("""COMPUTED_VALUE"""),"04/15/2014")</f>
        <v>04/15/2014</v>
      </c>
      <c r="H1726" s="6" t="str">
        <f>IFERROR(__xludf.DUMMYFUNCTION("""COMPUTED_VALUE"""),"male")</f>
        <v>male</v>
      </c>
      <c r="I1726" s="6" t="str">
        <f>IFERROR(__xludf.DUMMYFUNCTION("""COMPUTED_VALUE"""),"Middle School")</f>
        <v>Middle School</v>
      </c>
      <c r="J1726" s="6" t="str">
        <f>IFERROR(__xludf.DUMMYFUNCTION("""COMPUTED_VALUE"""),"6")</f>
        <v>6</v>
      </c>
      <c r="K1726" s="6" t="str">
        <f>IFERROR(__xludf.DUMMYFUNCTION("""COMPUTED_VALUE"""),"jason.montagna@alpha.school")</f>
        <v>jason.montagna@alpha.school</v>
      </c>
      <c r="L1726" s="6" t="str">
        <f>IFERROR(__xludf.DUMMYFUNCTION("""COMPUTED_VALUE"""),"Alpha School Miami")</f>
        <v>Alpha School Miami</v>
      </c>
      <c r="M1726" s="6" t="str">
        <f>IFERROR(__xludf.DUMMYFUNCTION("""COMPUTED_VALUE"""),"")</f>
        <v/>
      </c>
      <c r="N1726" s="6" t="str">
        <f>IFERROR(__xludf.DUMMYFUNCTION("""COMPUTED_VALUE"""),"")</f>
        <v/>
      </c>
      <c r="O1726" s="87" t="str">
        <f>IFERROR(__xludf.DUMMYFUNCTION("""COMPUTED_VALUE"""),"https://drive.google.com/drive/folders/10T2cTQHqEJZqE-st6uFKPoI?usp=share_link")</f>
        <v>https://drive.google.com/drive/folders/10T2cTQHqEJZqE-st6uFKPoI?usp=share_link</v>
      </c>
      <c r="P1726" s="6" t="str">
        <f>IFERROR(__xludf.DUMMYFUNCTION("""COMPUTED_VALUE"""),"Jason Montagna")</f>
        <v>Jason Montagna</v>
      </c>
      <c r="Q1726" s="6" t="str">
        <f>IFERROR(__xludf.DUMMYFUNCTION("""COMPUTED_VALUE"""),"MS")</f>
        <v>MS</v>
      </c>
      <c r="R1726" s="6">
        <f>IFERROR(__xludf.DUMMYFUNCTION("""COMPUTED_VALUE"""),0.0)</f>
        <v>0</v>
      </c>
      <c r="S1726" s="6" t="str">
        <f>IFERROR(__xludf.DUMMYFUNCTION("""COMPUTED_VALUE"""),"Santi Orozco")</f>
        <v>Santi Orozco</v>
      </c>
      <c r="T1726" s="6" t="str">
        <f>IFERROR(__xludf.DUMMYFUNCTION("""COMPUTED_VALUE"""),"santiago.garcia@alpha.school")</f>
        <v>santiago.garcia@alpha.school</v>
      </c>
      <c r="U1726" s="6" t="str">
        <f>IFERROR(__xludf.DUMMYFUNCTION("""COMPUTED_VALUE"""),"6")</f>
        <v>6</v>
      </c>
      <c r="V1726" s="6" t="str">
        <f>IFERROR(__xludf.DUMMYFUNCTION("""COMPUTED_VALUE"""),"English")</f>
        <v>English</v>
      </c>
      <c r="W1726" s="6" t="str">
        <f>IFERROR(__xludf.DUMMYFUNCTION("""COMPUTED_VALUE"""),"[]")</f>
        <v>[]</v>
      </c>
      <c r="X1726" s="6" t="str">
        <f>IFERROR(__xludf.DUMMYFUNCTION("""COMPUTED_VALUE"""),"Enrolled")</f>
        <v>Enrolled</v>
      </c>
    </row>
    <row r="1727">
      <c r="A1727" s="6" t="str">
        <f>IFERROR(__xludf.DUMMYFUNCTION("""COMPUTED_VALUE"""),"015-0766")</f>
        <v>015-0766</v>
      </c>
      <c r="B1727" s="6" t="str">
        <f>IFERROR(__xludf.DUMMYFUNCTION("""COMPUTED_VALUE"""),"15")</f>
        <v>15</v>
      </c>
      <c r="C1727" s="6" t="str">
        <f>IFERROR(__xludf.DUMMYFUNCTION("""COMPUTED_VALUE"""),"0766")</f>
        <v>0766</v>
      </c>
      <c r="D1727" s="6" t="str">
        <f>IFERROR(__xludf.DUMMYFUNCTION("""COMPUTED_VALUE"""),"Sai")</f>
        <v>Sai</v>
      </c>
      <c r="E1727" s="6" t="str">
        <f>IFERROR(__xludf.DUMMYFUNCTION("""COMPUTED_VALUE"""),"")</f>
        <v/>
      </c>
      <c r="F1727" s="6" t="str">
        <f>IFERROR(__xludf.DUMMYFUNCTION("""COMPUTED_VALUE"""),"Shah")</f>
        <v>Shah</v>
      </c>
      <c r="G1727" s="6" t="str">
        <f>IFERROR(__xludf.DUMMYFUNCTION("""COMPUTED_VALUE"""),"07/24/2019")</f>
        <v>07/24/2019</v>
      </c>
      <c r="H1727" s="6" t="str">
        <f>IFERROR(__xludf.DUMMYFUNCTION("""COMPUTED_VALUE"""),"male")</f>
        <v>male</v>
      </c>
      <c r="I1727" s="6" t="str">
        <f>IFERROR(__xludf.DUMMYFUNCTION("""COMPUTED_VALUE"""),"Learning Lab")</f>
        <v>Learning Lab</v>
      </c>
      <c r="J1727" s="6" t="str">
        <f>IFERROR(__xludf.DUMMYFUNCTION("""COMPUTED_VALUE"""),"1")</f>
        <v>1</v>
      </c>
      <c r="K1727" s="6" t="str">
        <f>IFERROR(__xludf.DUMMYFUNCTION("""COMPUTED_VALUE"""),"sai.shah@alpha.school")</f>
        <v>sai.shah@alpha.school</v>
      </c>
      <c r="L1727" s="6" t="str">
        <f>IFERROR(__xludf.DUMMYFUNCTION("""COMPUTED_VALUE"""),"Alpha School Miami")</f>
        <v>Alpha School Miami</v>
      </c>
      <c r="M1727" s="6" t="str">
        <f>IFERROR(__xludf.DUMMYFUNCTION("""COMPUTED_VALUE"""),"")</f>
        <v/>
      </c>
      <c r="N1727" s="6" t="str">
        <f>IFERROR(__xludf.DUMMYFUNCTION("""COMPUTED_VALUE"""),"")</f>
        <v/>
      </c>
      <c r="O1727" s="87" t="str">
        <f>IFERROR(__xludf.DUMMYFUNCTION("""COMPUTED_VALUE"""),"https://drive.google.com/drive/folders/10T2cTQHqEJZqE-st6uFKPoI?usp=share_link")</f>
        <v>https://drive.google.com/drive/folders/10T2cTQHqEJZqE-st6uFKPoI?usp=share_link</v>
      </c>
      <c r="P1727" s="6" t="str">
        <f>IFERROR(__xludf.DUMMYFUNCTION("""COMPUTED_VALUE"""),"Sai Shah")</f>
        <v>Sai Shah</v>
      </c>
      <c r="Q1727" s="6" t="str">
        <f>IFERROR(__xludf.DUMMYFUNCTION("""COMPUTED_VALUE"""),"LL")</f>
        <v>LL</v>
      </c>
      <c r="R1727" s="6">
        <f>IFERROR(__xludf.DUMMYFUNCTION("""COMPUTED_VALUE"""),0.0)</f>
        <v>0</v>
      </c>
      <c r="S1727" s="6" t="str">
        <f>IFERROR(__xludf.DUMMYFUNCTION("""COMPUTED_VALUE"""),"Caitlin Calzadilla")</f>
        <v>Caitlin Calzadilla</v>
      </c>
      <c r="T1727" s="6" t="str">
        <f>IFERROR(__xludf.DUMMYFUNCTION("""COMPUTED_VALUE"""),"caitlin.calzadilla@alpha.school")</f>
        <v>caitlin.calzadilla@alpha.school</v>
      </c>
      <c r="U1727" s="6" t="str">
        <f>IFERROR(__xludf.DUMMYFUNCTION("""COMPUTED_VALUE"""),"1")</f>
        <v>1</v>
      </c>
      <c r="V1727" s="6" t="str">
        <f>IFERROR(__xludf.DUMMYFUNCTION("""COMPUTED_VALUE"""),"English")</f>
        <v>English</v>
      </c>
      <c r="W1727" s="6" t="str">
        <f>IFERROR(__xludf.DUMMYFUNCTION("""COMPUTED_VALUE"""),"[]")</f>
        <v>[]</v>
      </c>
      <c r="X1727" s="6" t="str">
        <f>IFERROR(__xludf.DUMMYFUNCTION("""COMPUTED_VALUE"""),"Enrolled")</f>
        <v>Enrolled</v>
      </c>
    </row>
    <row r="1728">
      <c r="A1728" s="6" t="str">
        <f>IFERROR(__xludf.DUMMYFUNCTION("""COMPUTED_VALUE"""),"015-0772")</f>
        <v>015-0772</v>
      </c>
      <c r="B1728" s="6" t="str">
        <f>IFERROR(__xludf.DUMMYFUNCTION("""COMPUTED_VALUE"""),"15")</f>
        <v>15</v>
      </c>
      <c r="C1728" s="6" t="str">
        <f>IFERROR(__xludf.DUMMYFUNCTION("""COMPUTED_VALUE"""),"0772")</f>
        <v>0772</v>
      </c>
      <c r="D1728" s="6" t="str">
        <f>IFERROR(__xludf.DUMMYFUNCTION("""COMPUTED_VALUE"""),"Penelope")</f>
        <v>Penelope</v>
      </c>
      <c r="E1728" s="6" t="str">
        <f>IFERROR(__xludf.DUMMYFUNCTION("""COMPUTED_VALUE"""),"Penny")</f>
        <v>Penny</v>
      </c>
      <c r="F1728" s="6" t="str">
        <f>IFERROR(__xludf.DUMMYFUNCTION("""COMPUTED_VALUE"""),"Marty")</f>
        <v>Marty</v>
      </c>
      <c r="G1728" s="6" t="str">
        <f>IFERROR(__xludf.DUMMYFUNCTION("""COMPUTED_VALUE"""),"08/18/2012")</f>
        <v>08/18/2012</v>
      </c>
      <c r="H1728" s="6" t="str">
        <f>IFERROR(__xludf.DUMMYFUNCTION("""COMPUTED_VALUE"""),"female")</f>
        <v>female</v>
      </c>
      <c r="I1728" s="6" t="str">
        <f>IFERROR(__xludf.DUMMYFUNCTION("""COMPUTED_VALUE"""),"Middle School")</f>
        <v>Middle School</v>
      </c>
      <c r="J1728" s="6" t="str">
        <f>IFERROR(__xludf.DUMMYFUNCTION("""COMPUTED_VALUE"""),"8")</f>
        <v>8</v>
      </c>
      <c r="K1728" s="6" t="str">
        <f>IFERROR(__xludf.DUMMYFUNCTION("""COMPUTED_VALUE"""),"penelope.marty@alpha.school")</f>
        <v>penelope.marty@alpha.school</v>
      </c>
      <c r="L1728" s="6" t="str">
        <f>IFERROR(__xludf.DUMMYFUNCTION("""COMPUTED_VALUE"""),"Alpha School Miami")</f>
        <v>Alpha School Miami</v>
      </c>
      <c r="M1728" s="6" t="str">
        <f>IFERROR(__xludf.DUMMYFUNCTION("""COMPUTED_VALUE"""),"")</f>
        <v/>
      </c>
      <c r="N1728" s="6" t="str">
        <f>IFERROR(__xludf.DUMMYFUNCTION("""COMPUTED_VALUE"""),"")</f>
        <v/>
      </c>
      <c r="O1728" s="87" t="str">
        <f>IFERROR(__xludf.DUMMYFUNCTION("""COMPUTED_VALUE"""),"https://drive.google.com/drive/folders/10T2cTQHqEJZqE-st6uFKPoI?usp=share_link")</f>
        <v>https://drive.google.com/drive/folders/10T2cTQHqEJZqE-st6uFKPoI?usp=share_link</v>
      </c>
      <c r="P1728" s="6" t="str">
        <f>IFERROR(__xludf.DUMMYFUNCTION("""COMPUTED_VALUE"""),"Penny Marty")</f>
        <v>Penny Marty</v>
      </c>
      <c r="Q1728" s="6" t="str">
        <f>IFERROR(__xludf.DUMMYFUNCTION("""COMPUTED_VALUE"""),"MS")</f>
        <v>MS</v>
      </c>
      <c r="R1728" s="6">
        <f>IFERROR(__xludf.DUMMYFUNCTION("""COMPUTED_VALUE"""),0.0)</f>
        <v>0</v>
      </c>
      <c r="S1728" s="6" t="str">
        <f>IFERROR(__xludf.DUMMYFUNCTION("""COMPUTED_VALUE"""),"Tamara Stephenson")</f>
        <v>Tamara Stephenson</v>
      </c>
      <c r="T1728" s="6" t="str">
        <f>IFERROR(__xludf.DUMMYFUNCTION("""COMPUTED_VALUE"""),"tamara.stephenson@alpha.school")</f>
        <v>tamara.stephenson@alpha.school</v>
      </c>
      <c r="U1728" s="6" t="str">
        <f>IFERROR(__xludf.DUMMYFUNCTION("""COMPUTED_VALUE"""),"8")</f>
        <v>8</v>
      </c>
      <c r="V1728" s="6" t="str">
        <f>IFERROR(__xludf.DUMMYFUNCTION("""COMPUTED_VALUE"""),"English")</f>
        <v>English</v>
      </c>
      <c r="W1728" s="6" t="str">
        <f>IFERROR(__xludf.DUMMYFUNCTION("""COMPUTED_VALUE"""),"[]")</f>
        <v>[]</v>
      </c>
      <c r="X1728" s="6" t="str">
        <f>IFERROR(__xludf.DUMMYFUNCTION("""COMPUTED_VALUE"""),"Enrolled")</f>
        <v>Enrolled</v>
      </c>
    </row>
    <row r="1729">
      <c r="A1729" s="6" t="str">
        <f>IFERROR(__xludf.DUMMYFUNCTION("""COMPUTED_VALUE"""),"015-0838")</f>
        <v>015-0838</v>
      </c>
      <c r="B1729" s="6" t="str">
        <f>IFERROR(__xludf.DUMMYFUNCTION("""COMPUTED_VALUE"""),"15")</f>
        <v>15</v>
      </c>
      <c r="C1729" s="6" t="str">
        <f>IFERROR(__xludf.DUMMYFUNCTION("""COMPUTED_VALUE"""),"0838")</f>
        <v>0838</v>
      </c>
      <c r="D1729" s="6" t="str">
        <f>IFERROR(__xludf.DUMMYFUNCTION("""COMPUTED_VALUE"""),"Magnus")</f>
        <v>Magnus</v>
      </c>
      <c r="E1729" s="6" t="str">
        <f>IFERROR(__xludf.DUMMYFUNCTION("""COMPUTED_VALUE"""),"")</f>
        <v/>
      </c>
      <c r="F1729" s="6" t="str">
        <f>IFERROR(__xludf.DUMMYFUNCTION("""COMPUTED_VALUE"""),"Liodden")</f>
        <v>Liodden</v>
      </c>
      <c r="G1729" s="6" t="str">
        <f>IFERROR(__xludf.DUMMYFUNCTION("""COMPUTED_VALUE"""),"10/10/2017")</f>
        <v>10/10/2017</v>
      </c>
      <c r="H1729" s="6" t="str">
        <f>IFERROR(__xludf.DUMMYFUNCTION("""COMPUTED_VALUE"""),"male")</f>
        <v>male</v>
      </c>
      <c r="I1729" s="6" t="str">
        <f>IFERROR(__xludf.DUMMYFUNCTION("""COMPUTED_VALUE"""),"Level 1")</f>
        <v>Level 1</v>
      </c>
      <c r="J1729" s="6" t="str">
        <f>IFERROR(__xludf.DUMMYFUNCTION("""COMPUTED_VALUE"""),"2")</f>
        <v>2</v>
      </c>
      <c r="K1729" s="6" t="str">
        <f>IFERROR(__xludf.DUMMYFUNCTION("""COMPUTED_VALUE"""),"magnus.liodden@alpha.school")</f>
        <v>magnus.liodden@alpha.school</v>
      </c>
      <c r="L1729" s="6" t="str">
        <f>IFERROR(__xludf.DUMMYFUNCTION("""COMPUTED_VALUE"""),"Alpha School Miami")</f>
        <v>Alpha School Miami</v>
      </c>
      <c r="M1729" s="6" t="str">
        <f>IFERROR(__xludf.DUMMYFUNCTION("""COMPUTED_VALUE"""),"")</f>
        <v/>
      </c>
      <c r="N1729" s="6" t="str">
        <f>IFERROR(__xludf.DUMMYFUNCTION("""COMPUTED_VALUE"""),"")</f>
        <v/>
      </c>
      <c r="O1729" s="87" t="str">
        <f>IFERROR(__xludf.DUMMYFUNCTION("""COMPUTED_VALUE"""),"https://drive.google.com/drive/folders/10T2cTQHqEJZqE-st6uFKPoI?usp=share_link")</f>
        <v>https://drive.google.com/drive/folders/10T2cTQHqEJZqE-st6uFKPoI?usp=share_link</v>
      </c>
      <c r="P1729" s="6" t="str">
        <f>IFERROR(__xludf.DUMMYFUNCTION("""COMPUTED_VALUE"""),"Magnus Liodden")</f>
        <v>Magnus Liodden</v>
      </c>
      <c r="Q1729" s="6" t="str">
        <f>IFERROR(__xludf.DUMMYFUNCTION("""COMPUTED_VALUE"""),"L1")</f>
        <v>L1</v>
      </c>
      <c r="R1729" s="6">
        <f>IFERROR(__xludf.DUMMYFUNCTION("""COMPUTED_VALUE"""),1.0)</f>
        <v>1</v>
      </c>
      <c r="S1729" s="6" t="str">
        <f>IFERROR(__xludf.DUMMYFUNCTION("""COMPUTED_VALUE"""),"Jennifer Greenham")</f>
        <v>Jennifer Greenham</v>
      </c>
      <c r="T1729" s="6" t="str">
        <f>IFERROR(__xludf.DUMMYFUNCTION("""COMPUTED_VALUE"""),"jennifer.greenham@alpha.school")</f>
        <v>jennifer.greenham@alpha.school</v>
      </c>
      <c r="U1729" s="6" t="str">
        <f>IFERROR(__xludf.DUMMYFUNCTION("""COMPUTED_VALUE"""),"2")</f>
        <v>2</v>
      </c>
      <c r="V1729" s="6" t="str">
        <f>IFERROR(__xludf.DUMMYFUNCTION("""COMPUTED_VALUE"""),"")</f>
        <v/>
      </c>
      <c r="W1729" s="6" t="str">
        <f>IFERROR(__xludf.DUMMYFUNCTION("""COMPUTED_VALUE"""),"[]")</f>
        <v>[]</v>
      </c>
      <c r="X1729" s="6" t="str">
        <f>IFERROR(__xludf.DUMMYFUNCTION("""COMPUTED_VALUE"""),"Enrolled")</f>
        <v>Enrolled</v>
      </c>
    </row>
    <row r="1730">
      <c r="A1730" s="6" t="str">
        <f>IFERROR(__xludf.DUMMYFUNCTION("""COMPUTED_VALUE"""),"015-0849")</f>
        <v>015-0849</v>
      </c>
      <c r="B1730" s="6" t="str">
        <f>IFERROR(__xludf.DUMMYFUNCTION("""COMPUTED_VALUE"""),"15")</f>
        <v>15</v>
      </c>
      <c r="C1730" s="6" t="str">
        <f>IFERROR(__xludf.DUMMYFUNCTION("""COMPUTED_VALUE"""),"0849")</f>
        <v>0849</v>
      </c>
      <c r="D1730" s="6" t="str">
        <f>IFERROR(__xludf.DUMMYFUNCTION("""COMPUTED_VALUE"""),"Javier")</f>
        <v>Javier</v>
      </c>
      <c r="E1730" s="6" t="str">
        <f>IFERROR(__xludf.DUMMYFUNCTION("""COMPUTED_VALUE"""),"Javier")</f>
        <v>Javier</v>
      </c>
      <c r="F1730" s="6" t="str">
        <f>IFERROR(__xludf.DUMMYFUNCTION("""COMPUTED_VALUE"""),"Martinez")</f>
        <v>Martinez</v>
      </c>
      <c r="G1730" s="6" t="str">
        <f>IFERROR(__xludf.DUMMYFUNCTION("""COMPUTED_VALUE"""),"05/03/2016")</f>
        <v>05/03/2016</v>
      </c>
      <c r="H1730" s="6" t="str">
        <f>IFERROR(__xludf.DUMMYFUNCTION("""COMPUTED_VALUE"""),"male")</f>
        <v>male</v>
      </c>
      <c r="I1730" s="6" t="str">
        <f>IFERROR(__xludf.DUMMYFUNCTION("""COMPUTED_VALUE"""),"Level 1")</f>
        <v>Level 1</v>
      </c>
      <c r="J1730" s="6" t="str">
        <f>IFERROR(__xludf.DUMMYFUNCTION("""COMPUTED_VALUE"""),"3")</f>
        <v>3</v>
      </c>
      <c r="K1730" s="6" t="str">
        <f>IFERROR(__xludf.DUMMYFUNCTION("""COMPUTED_VALUE"""),"javier.martinez@alpha.school")</f>
        <v>javier.martinez@alpha.school</v>
      </c>
      <c r="L1730" s="6" t="str">
        <f>IFERROR(__xludf.DUMMYFUNCTION("""COMPUTED_VALUE"""),"Alpha School Miami")</f>
        <v>Alpha School Miami</v>
      </c>
      <c r="M1730" s="6" t="str">
        <f>IFERROR(__xludf.DUMMYFUNCTION("""COMPUTED_VALUE"""),"")</f>
        <v/>
      </c>
      <c r="N1730" s="6" t="str">
        <f>IFERROR(__xludf.DUMMYFUNCTION("""COMPUTED_VALUE"""),"")</f>
        <v/>
      </c>
      <c r="O1730" s="87" t="str">
        <f>IFERROR(__xludf.DUMMYFUNCTION("""COMPUTED_VALUE"""),"https://drive.google.com/drive/folders/10T2cTQHqEJZqE-st6uFKPoI?usp=share_link")</f>
        <v>https://drive.google.com/drive/folders/10T2cTQHqEJZqE-st6uFKPoI?usp=share_link</v>
      </c>
      <c r="P1730" s="6" t="str">
        <f>IFERROR(__xludf.DUMMYFUNCTION("""COMPUTED_VALUE"""),"Javier Martinez")</f>
        <v>Javier Martinez</v>
      </c>
      <c r="Q1730" s="6" t="str">
        <f>IFERROR(__xludf.DUMMYFUNCTION("""COMPUTED_VALUE"""),"L1")</f>
        <v>L1</v>
      </c>
      <c r="R1730" s="6">
        <f>IFERROR(__xludf.DUMMYFUNCTION("""COMPUTED_VALUE"""),1.0)</f>
        <v>1</v>
      </c>
      <c r="S1730" s="6" t="str">
        <f>IFERROR(__xludf.DUMMYFUNCTION("""COMPUTED_VALUE"""),"Tim Sheehy")</f>
        <v>Tim Sheehy</v>
      </c>
      <c r="T1730" s="6" t="str">
        <f>IFERROR(__xludf.DUMMYFUNCTION("""COMPUTED_VALUE"""),"timothy.sheehy@alpha.school")</f>
        <v>timothy.sheehy@alpha.school</v>
      </c>
      <c r="U1730" s="6" t="str">
        <f>IFERROR(__xludf.DUMMYFUNCTION("""COMPUTED_VALUE"""),"3")</f>
        <v>3</v>
      </c>
      <c r="V1730" s="6" t="str">
        <f>IFERROR(__xludf.DUMMYFUNCTION("""COMPUTED_VALUE"""),"")</f>
        <v/>
      </c>
      <c r="W1730" s="6" t="str">
        <f>IFERROR(__xludf.DUMMYFUNCTION("""COMPUTED_VALUE"""),"[]")</f>
        <v>[]</v>
      </c>
      <c r="X1730" s="6" t="str">
        <f>IFERROR(__xludf.DUMMYFUNCTION("""COMPUTED_VALUE"""),"Enrolled")</f>
        <v>Enrolled</v>
      </c>
    </row>
    <row r="1731">
      <c r="A1731" s="6" t="str">
        <f>IFERROR(__xludf.DUMMYFUNCTION("""COMPUTED_VALUE"""),"015-0850")</f>
        <v>015-0850</v>
      </c>
      <c r="B1731" s="6" t="str">
        <f>IFERROR(__xludf.DUMMYFUNCTION("""COMPUTED_VALUE"""),"15")</f>
        <v>15</v>
      </c>
      <c r="C1731" s="6" t="str">
        <f>IFERROR(__xludf.DUMMYFUNCTION("""COMPUTED_VALUE"""),"0850")</f>
        <v>0850</v>
      </c>
      <c r="D1731" s="6" t="str">
        <f>IFERROR(__xludf.DUMMYFUNCTION("""COMPUTED_VALUE"""),"Eva Joan")</f>
        <v>Eva Joan</v>
      </c>
      <c r="E1731" s="6" t="str">
        <f>IFERROR(__xludf.DUMMYFUNCTION("""COMPUTED_VALUE"""),"")</f>
        <v/>
      </c>
      <c r="F1731" s="6" t="str">
        <f>IFERROR(__xludf.DUMMYFUNCTION("""COMPUTED_VALUE"""),"Martinez")</f>
        <v>Martinez</v>
      </c>
      <c r="G1731" s="6" t="str">
        <f>IFERROR(__xludf.DUMMYFUNCTION("""COMPUTED_VALUE"""),"12/19/2018")</f>
        <v>12/19/2018</v>
      </c>
      <c r="H1731" s="6" t="str">
        <f>IFERROR(__xludf.DUMMYFUNCTION("""COMPUTED_VALUE"""),"female")</f>
        <v>female</v>
      </c>
      <c r="I1731" s="6" t="str">
        <f>IFERROR(__xludf.DUMMYFUNCTION("""COMPUTED_VALUE"""),"Learning Lab")</f>
        <v>Learning Lab</v>
      </c>
      <c r="J1731" s="6" t="str">
        <f>IFERROR(__xludf.DUMMYFUNCTION("""COMPUTED_VALUE"""),"1")</f>
        <v>1</v>
      </c>
      <c r="K1731" s="6" t="str">
        <f>IFERROR(__xludf.DUMMYFUNCTION("""COMPUTED_VALUE"""),"eva.martinez@alpha.school")</f>
        <v>eva.martinez@alpha.school</v>
      </c>
      <c r="L1731" s="6" t="str">
        <f>IFERROR(__xludf.DUMMYFUNCTION("""COMPUTED_VALUE"""),"Alpha School Miami")</f>
        <v>Alpha School Miami</v>
      </c>
      <c r="M1731" s="6" t="str">
        <f>IFERROR(__xludf.DUMMYFUNCTION("""COMPUTED_VALUE"""),"")</f>
        <v/>
      </c>
      <c r="N1731" s="6" t="str">
        <f>IFERROR(__xludf.DUMMYFUNCTION("""COMPUTED_VALUE"""),"")</f>
        <v/>
      </c>
      <c r="O1731" s="87" t="str">
        <f>IFERROR(__xludf.DUMMYFUNCTION("""COMPUTED_VALUE"""),"https://drive.google.com/drive/folders/10T2cTQHqEJZqE-st6uFKPoI?usp=share_link")</f>
        <v>https://drive.google.com/drive/folders/10T2cTQHqEJZqE-st6uFKPoI?usp=share_link</v>
      </c>
      <c r="P1731" s="6" t="str">
        <f>IFERROR(__xludf.DUMMYFUNCTION("""COMPUTED_VALUE"""),"Eva Joan Martinez")</f>
        <v>Eva Joan Martinez</v>
      </c>
      <c r="Q1731" s="6" t="str">
        <f>IFERROR(__xludf.DUMMYFUNCTION("""COMPUTED_VALUE"""),"LL")</f>
        <v>LL</v>
      </c>
      <c r="R1731" s="6">
        <f>IFERROR(__xludf.DUMMYFUNCTION("""COMPUTED_VALUE"""),0.0)</f>
        <v>0</v>
      </c>
      <c r="S1731" s="6" t="str">
        <f>IFERROR(__xludf.DUMMYFUNCTION("""COMPUTED_VALUE"""),"Caitlin Calzadilla")</f>
        <v>Caitlin Calzadilla</v>
      </c>
      <c r="T1731" s="6" t="str">
        <f>IFERROR(__xludf.DUMMYFUNCTION("""COMPUTED_VALUE"""),"caitlin.calzadilla@alpha.school")</f>
        <v>caitlin.calzadilla@alpha.school</v>
      </c>
      <c r="U1731" s="6" t="str">
        <f>IFERROR(__xludf.DUMMYFUNCTION("""COMPUTED_VALUE"""),"1")</f>
        <v>1</v>
      </c>
      <c r="V1731" s="6" t="str">
        <f>IFERROR(__xludf.DUMMYFUNCTION("""COMPUTED_VALUE"""),"")</f>
        <v/>
      </c>
      <c r="W1731" s="6" t="str">
        <f>IFERROR(__xludf.DUMMYFUNCTION("""COMPUTED_VALUE"""),"[]")</f>
        <v>[]</v>
      </c>
      <c r="X1731" s="6" t="str">
        <f>IFERROR(__xludf.DUMMYFUNCTION("""COMPUTED_VALUE"""),"Enrolled")</f>
        <v>Enrolled</v>
      </c>
    </row>
    <row r="1732">
      <c r="A1732" s="6" t="str">
        <f>IFERROR(__xludf.DUMMYFUNCTION("""COMPUTED_VALUE"""),"015-0853")</f>
        <v>015-0853</v>
      </c>
      <c r="B1732" s="6" t="str">
        <f>IFERROR(__xludf.DUMMYFUNCTION("""COMPUTED_VALUE"""),"15")</f>
        <v>15</v>
      </c>
      <c r="C1732" s="6" t="str">
        <f>IFERROR(__xludf.DUMMYFUNCTION("""COMPUTED_VALUE"""),"0853")</f>
        <v>0853</v>
      </c>
      <c r="D1732" s="6" t="str">
        <f>IFERROR(__xludf.DUMMYFUNCTION("""COMPUTED_VALUE"""),"Jeronimo")</f>
        <v>Jeronimo</v>
      </c>
      <c r="E1732" s="6" t="str">
        <f>IFERROR(__xludf.DUMMYFUNCTION("""COMPUTED_VALUE"""),"")</f>
        <v/>
      </c>
      <c r="F1732" s="6" t="str">
        <f>IFERROR(__xludf.DUMMYFUNCTION("""COMPUTED_VALUE"""),"Cardenas Garcia")</f>
        <v>Cardenas Garcia</v>
      </c>
      <c r="G1732" s="6" t="str">
        <f>IFERROR(__xludf.DUMMYFUNCTION("""COMPUTED_VALUE"""),"09/12/2018")</f>
        <v>09/12/2018</v>
      </c>
      <c r="H1732" s="6" t="str">
        <f>IFERROR(__xludf.DUMMYFUNCTION("""COMPUTED_VALUE"""),"male")</f>
        <v>male</v>
      </c>
      <c r="I1732" s="6" t="str">
        <f>IFERROR(__xludf.DUMMYFUNCTION("""COMPUTED_VALUE"""),"Learning Lab")</f>
        <v>Learning Lab</v>
      </c>
      <c r="J1732" s="6" t="str">
        <f>IFERROR(__xludf.DUMMYFUNCTION("""COMPUTED_VALUE"""),"1")</f>
        <v>1</v>
      </c>
      <c r="K1732" s="6" t="str">
        <f>IFERROR(__xludf.DUMMYFUNCTION("""COMPUTED_VALUE"""),"jeronimo.cardenasgarcia@alpha.school")</f>
        <v>jeronimo.cardenasgarcia@alpha.school</v>
      </c>
      <c r="L1732" s="6" t="str">
        <f>IFERROR(__xludf.DUMMYFUNCTION("""COMPUTED_VALUE"""),"Alpha School Miami")</f>
        <v>Alpha School Miami</v>
      </c>
      <c r="M1732" s="6" t="str">
        <f>IFERROR(__xludf.DUMMYFUNCTION("""COMPUTED_VALUE"""),"")</f>
        <v/>
      </c>
      <c r="N1732" s="6" t="str">
        <f>IFERROR(__xludf.DUMMYFUNCTION("""COMPUTED_VALUE"""),"")</f>
        <v/>
      </c>
      <c r="O1732" s="87" t="str">
        <f>IFERROR(__xludf.DUMMYFUNCTION("""COMPUTED_VALUE"""),"https://drive.google.com/drive/folders/10T2cTQHqEJZqE-st6uFKPoI?usp=share_link")</f>
        <v>https://drive.google.com/drive/folders/10T2cTQHqEJZqE-st6uFKPoI?usp=share_link</v>
      </c>
      <c r="P1732" s="6" t="str">
        <f>IFERROR(__xludf.DUMMYFUNCTION("""COMPUTED_VALUE"""),"Jeronimo Cardenas Garcia")</f>
        <v>Jeronimo Cardenas Garcia</v>
      </c>
      <c r="Q1732" s="6" t="str">
        <f>IFERROR(__xludf.DUMMYFUNCTION("""COMPUTED_VALUE"""),"LL")</f>
        <v>LL</v>
      </c>
      <c r="R1732" s="6">
        <f>IFERROR(__xludf.DUMMYFUNCTION("""COMPUTED_VALUE"""),0.0)</f>
        <v>0</v>
      </c>
      <c r="S1732" s="6" t="str">
        <f>IFERROR(__xludf.DUMMYFUNCTION("""COMPUTED_VALUE"""),"Caitlin Calzadilla")</f>
        <v>Caitlin Calzadilla</v>
      </c>
      <c r="T1732" s="6" t="str">
        <f>IFERROR(__xludf.DUMMYFUNCTION("""COMPUTED_VALUE"""),"caitlin.calzadilla@alpha.school")</f>
        <v>caitlin.calzadilla@alpha.school</v>
      </c>
      <c r="U1732" s="6" t="str">
        <f>IFERROR(__xludf.DUMMYFUNCTION("""COMPUTED_VALUE"""),"1")</f>
        <v>1</v>
      </c>
      <c r="V1732" s="6" t="str">
        <f>IFERROR(__xludf.DUMMYFUNCTION("""COMPUTED_VALUE"""),"")</f>
        <v/>
      </c>
      <c r="W1732" s="6" t="str">
        <f>IFERROR(__xludf.DUMMYFUNCTION("""COMPUTED_VALUE"""),"[]")</f>
        <v>[]</v>
      </c>
      <c r="X1732" s="6" t="str">
        <f>IFERROR(__xludf.DUMMYFUNCTION("""COMPUTED_VALUE"""),"Enrolled")</f>
        <v>Enrolled</v>
      </c>
    </row>
    <row r="1733">
      <c r="A1733" s="6" t="str">
        <f>IFERROR(__xludf.DUMMYFUNCTION("""COMPUTED_VALUE"""),"015-0860")</f>
        <v>015-0860</v>
      </c>
      <c r="B1733" s="6" t="str">
        <f>IFERROR(__xludf.DUMMYFUNCTION("""COMPUTED_VALUE"""),"15")</f>
        <v>15</v>
      </c>
      <c r="C1733" s="6" t="str">
        <f>IFERROR(__xludf.DUMMYFUNCTION("""COMPUTED_VALUE"""),"0860")</f>
        <v>0860</v>
      </c>
      <c r="D1733" s="6" t="str">
        <f>IFERROR(__xludf.DUMMYFUNCTION("""COMPUTED_VALUE"""),"Santiago")</f>
        <v>Santiago</v>
      </c>
      <c r="E1733" s="6" t="str">
        <f>IFERROR(__xludf.DUMMYFUNCTION("""COMPUTED_VALUE"""),"Santiago")</f>
        <v>Santiago</v>
      </c>
      <c r="F1733" s="6" t="str">
        <f>IFERROR(__xludf.DUMMYFUNCTION("""COMPUTED_VALUE"""),"Vasquez Lazo")</f>
        <v>Vasquez Lazo</v>
      </c>
      <c r="G1733" s="6" t="str">
        <f>IFERROR(__xludf.DUMMYFUNCTION("""COMPUTED_VALUE"""),"01/22/2014")</f>
        <v>01/22/2014</v>
      </c>
      <c r="H1733" s="6" t="str">
        <f>IFERROR(__xludf.DUMMYFUNCTION("""COMPUTED_VALUE"""),"male")</f>
        <v>male</v>
      </c>
      <c r="I1733" s="6" t="str">
        <f>IFERROR(__xludf.DUMMYFUNCTION("""COMPUTED_VALUE"""),"Middle School")</f>
        <v>Middle School</v>
      </c>
      <c r="J1733" s="6" t="str">
        <f>IFERROR(__xludf.DUMMYFUNCTION("""COMPUTED_VALUE"""),"6")</f>
        <v>6</v>
      </c>
      <c r="K1733" s="6" t="str">
        <f>IFERROR(__xludf.DUMMYFUNCTION("""COMPUTED_VALUE"""),"santiago.vasquez@alpha.school")</f>
        <v>santiago.vasquez@alpha.school</v>
      </c>
      <c r="L1733" s="6" t="str">
        <f>IFERROR(__xludf.DUMMYFUNCTION("""COMPUTED_VALUE"""),"Alpha School Miami")</f>
        <v>Alpha School Miami</v>
      </c>
      <c r="M1733" s="6" t="str">
        <f>IFERROR(__xludf.DUMMYFUNCTION("""COMPUTED_VALUE"""),"")</f>
        <v/>
      </c>
      <c r="N1733" s="6" t="str">
        <f>IFERROR(__xludf.DUMMYFUNCTION("""COMPUTED_VALUE"""),"")</f>
        <v/>
      </c>
      <c r="O1733" s="87" t="str">
        <f>IFERROR(__xludf.DUMMYFUNCTION("""COMPUTED_VALUE"""),"https://drive.google.com/drive/folders/10T2cTQHqEJZqE-st6uFKPoI?usp=share_link")</f>
        <v>https://drive.google.com/drive/folders/10T2cTQHqEJZqE-st6uFKPoI?usp=share_link</v>
      </c>
      <c r="P1733" s="6" t="str">
        <f>IFERROR(__xludf.DUMMYFUNCTION("""COMPUTED_VALUE"""),"Santiago Vasquez Lazo")</f>
        <v>Santiago Vasquez Lazo</v>
      </c>
      <c r="Q1733" s="6" t="str">
        <f>IFERROR(__xludf.DUMMYFUNCTION("""COMPUTED_VALUE"""),"MS")</f>
        <v>MS</v>
      </c>
      <c r="R1733" s="6">
        <f>IFERROR(__xludf.DUMMYFUNCTION("""COMPUTED_VALUE"""),0.0)</f>
        <v>0</v>
      </c>
      <c r="S1733" s="6" t="str">
        <f>IFERROR(__xludf.DUMMYFUNCTION("""COMPUTED_VALUE"""),"Santi Orozco")</f>
        <v>Santi Orozco</v>
      </c>
      <c r="T1733" s="6" t="str">
        <f>IFERROR(__xludf.DUMMYFUNCTION("""COMPUTED_VALUE"""),"santiago.garcia@alpha.school")</f>
        <v>santiago.garcia@alpha.school</v>
      </c>
      <c r="U1733" s="6" t="str">
        <f>IFERROR(__xludf.DUMMYFUNCTION("""COMPUTED_VALUE"""),"6")</f>
        <v>6</v>
      </c>
      <c r="V1733" s="6" t="str">
        <f>IFERROR(__xludf.DUMMYFUNCTION("""COMPUTED_VALUE"""),"")</f>
        <v/>
      </c>
      <c r="W1733" s="6" t="str">
        <f>IFERROR(__xludf.DUMMYFUNCTION("""COMPUTED_VALUE"""),"[]")</f>
        <v>[]</v>
      </c>
      <c r="X1733" s="6" t="str">
        <f>IFERROR(__xludf.DUMMYFUNCTION("""COMPUTED_VALUE"""),"Enrolled")</f>
        <v>Enrolled</v>
      </c>
    </row>
    <row r="1734">
      <c r="A1734" s="6" t="str">
        <f>IFERROR(__xludf.DUMMYFUNCTION("""COMPUTED_VALUE"""),"015-0870")</f>
        <v>015-0870</v>
      </c>
      <c r="B1734" s="6" t="str">
        <f>IFERROR(__xludf.DUMMYFUNCTION("""COMPUTED_VALUE"""),"15")</f>
        <v>15</v>
      </c>
      <c r="C1734" s="6" t="str">
        <f>IFERROR(__xludf.DUMMYFUNCTION("""COMPUTED_VALUE"""),"0870")</f>
        <v>0870</v>
      </c>
      <c r="D1734" s="6" t="str">
        <f>IFERROR(__xludf.DUMMYFUNCTION("""COMPUTED_VALUE"""),"Elle")</f>
        <v>Elle</v>
      </c>
      <c r="E1734" s="6" t="str">
        <f>IFERROR(__xludf.DUMMYFUNCTION("""COMPUTED_VALUE"""),"Elle")</f>
        <v>Elle</v>
      </c>
      <c r="F1734" s="6" t="str">
        <f>IFERROR(__xludf.DUMMYFUNCTION("""COMPUTED_VALUE"""),"Zak")</f>
        <v>Zak</v>
      </c>
      <c r="G1734" s="6" t="str">
        <f>IFERROR(__xludf.DUMMYFUNCTION("""COMPUTED_VALUE"""),"02/14/2015")</f>
        <v>02/14/2015</v>
      </c>
      <c r="H1734" s="6" t="str">
        <f>IFERROR(__xludf.DUMMYFUNCTION("""COMPUTED_VALUE"""),"female")</f>
        <v>female</v>
      </c>
      <c r="I1734" s="6" t="str">
        <f>IFERROR(__xludf.DUMMYFUNCTION("""COMPUTED_VALUE"""),"Level 2")</f>
        <v>Level 2</v>
      </c>
      <c r="J1734" s="6" t="str">
        <f>IFERROR(__xludf.DUMMYFUNCTION("""COMPUTED_VALUE"""),"5")</f>
        <v>5</v>
      </c>
      <c r="K1734" s="6" t="str">
        <f>IFERROR(__xludf.DUMMYFUNCTION("""COMPUTED_VALUE"""),"elle.zak@alpha.school")</f>
        <v>elle.zak@alpha.school</v>
      </c>
      <c r="L1734" s="6" t="str">
        <f>IFERROR(__xludf.DUMMYFUNCTION("""COMPUTED_VALUE"""),"Alpha School Miami")</f>
        <v>Alpha School Miami</v>
      </c>
      <c r="M1734" s="6" t="str">
        <f>IFERROR(__xludf.DUMMYFUNCTION("""COMPUTED_VALUE"""),"")</f>
        <v/>
      </c>
      <c r="N1734" s="6" t="str">
        <f>IFERROR(__xludf.DUMMYFUNCTION("""COMPUTED_VALUE"""),"")</f>
        <v/>
      </c>
      <c r="O1734" s="87" t="str">
        <f>IFERROR(__xludf.DUMMYFUNCTION("""COMPUTED_VALUE"""),"https://drive.google.com/drive/folders/10T2cTQHqEJZqE-st6uFKPoI?usp=share_link")</f>
        <v>https://drive.google.com/drive/folders/10T2cTQHqEJZqE-st6uFKPoI?usp=share_link</v>
      </c>
      <c r="P1734" s="6" t="str">
        <f>IFERROR(__xludf.DUMMYFUNCTION("""COMPUTED_VALUE"""),"Elle Zak")</f>
        <v>Elle Zak</v>
      </c>
      <c r="Q1734" s="6" t="str">
        <f>IFERROR(__xludf.DUMMYFUNCTION("""COMPUTED_VALUE"""),"L2")</f>
        <v>L2</v>
      </c>
      <c r="R1734" s="6">
        <f>IFERROR(__xludf.DUMMYFUNCTION("""COMPUTED_VALUE"""),2.0)</f>
        <v>2</v>
      </c>
      <c r="S1734" s="6" t="str">
        <f>IFERROR(__xludf.DUMMYFUNCTION("""COMPUTED_VALUE"""),"Sunny Lulla")</f>
        <v>Sunny Lulla</v>
      </c>
      <c r="T1734" s="6" t="str">
        <f>IFERROR(__xludf.DUMMYFUNCTION("""COMPUTED_VALUE"""),"sunny.lulla@alpha.school")</f>
        <v>sunny.lulla@alpha.school</v>
      </c>
      <c r="U1734" s="6" t="str">
        <f>IFERROR(__xludf.DUMMYFUNCTION("""COMPUTED_VALUE"""),"5")</f>
        <v>5</v>
      </c>
      <c r="V1734" s="6" t="str">
        <f>IFERROR(__xludf.DUMMYFUNCTION("""COMPUTED_VALUE"""),"")</f>
        <v/>
      </c>
      <c r="W1734" s="6" t="str">
        <f>IFERROR(__xludf.DUMMYFUNCTION("""COMPUTED_VALUE"""),"[]")</f>
        <v>[]</v>
      </c>
      <c r="X1734" s="6" t="str">
        <f>IFERROR(__xludf.DUMMYFUNCTION("""COMPUTED_VALUE"""),"Enrolled")</f>
        <v>Enrolled</v>
      </c>
    </row>
    <row r="1735">
      <c r="A1735" s="6" t="str">
        <f>IFERROR(__xludf.DUMMYFUNCTION("""COMPUTED_VALUE"""),"015-0882")</f>
        <v>015-0882</v>
      </c>
      <c r="B1735" s="6" t="str">
        <f>IFERROR(__xludf.DUMMYFUNCTION("""COMPUTED_VALUE"""),"15")</f>
        <v>15</v>
      </c>
      <c r="C1735" s="6" t="str">
        <f>IFERROR(__xludf.DUMMYFUNCTION("""COMPUTED_VALUE"""),"0882")</f>
        <v>0882</v>
      </c>
      <c r="D1735" s="6" t="str">
        <f>IFERROR(__xludf.DUMMYFUNCTION("""COMPUTED_VALUE"""),"Test")</f>
        <v>Test</v>
      </c>
      <c r="E1735" s="6" t="str">
        <f>IFERROR(__xludf.DUMMYFUNCTION("""COMPUTED_VALUE"""),"")</f>
        <v/>
      </c>
      <c r="F1735" s="6" t="str">
        <f>IFERROR(__xludf.DUMMYFUNCTION("""COMPUTED_VALUE"""),"Account8")</f>
        <v>Account8</v>
      </c>
      <c r="G1735" s="6" t="str">
        <f>IFERROR(__xludf.DUMMYFUNCTION("""COMPUTED_VALUE"""),"08/05/2015")</f>
        <v>08/05/2015</v>
      </c>
      <c r="H1735" s="6" t="str">
        <f>IFERROR(__xludf.DUMMYFUNCTION("""COMPUTED_VALUE"""),"M")</f>
        <v>M</v>
      </c>
      <c r="I1735" s="6" t="str">
        <f>IFERROR(__xludf.DUMMYFUNCTION("""COMPUTED_VALUE"""),"Middle School")</f>
        <v>Middle School</v>
      </c>
      <c r="J1735" s="6" t="str">
        <f>IFERROR(__xludf.DUMMYFUNCTION("""COMPUTED_VALUE"""),"6")</f>
        <v>6</v>
      </c>
      <c r="K1735" s="6" t="str">
        <f>IFERROR(__xludf.DUMMYFUNCTION("""COMPUTED_VALUE"""),"test.account8@alpha.school")</f>
        <v>test.account8@alpha.school</v>
      </c>
      <c r="L1735" s="6" t="str">
        <f>IFERROR(__xludf.DUMMYFUNCTION("""COMPUTED_VALUE"""),"Alpha School Miami")</f>
        <v>Alpha School Miami</v>
      </c>
      <c r="M1735" s="6" t="str">
        <f>IFERROR(__xludf.DUMMYFUNCTION("""COMPUTED_VALUE"""),"Mock")</f>
        <v>Mock</v>
      </c>
      <c r="N1735" s="6" t="str">
        <f>IFERROR(__xludf.DUMMYFUNCTION("""COMPUTED_VALUE"""),"")</f>
        <v/>
      </c>
      <c r="O1735" s="87" t="str">
        <f>IFERROR(__xludf.DUMMYFUNCTION("""COMPUTED_VALUE"""),"https://drive.google.com/drive/folders/10T2cTQHqEJZqE-st6uFKPoI?usp=share_link")</f>
        <v>https://drive.google.com/drive/folders/10T2cTQHqEJZqE-st6uFKPoI?usp=share_link</v>
      </c>
      <c r="P1735" s="6" t="str">
        <f>IFERROR(__xludf.DUMMYFUNCTION("""COMPUTED_VALUE"""),"Test Account8")</f>
        <v>Test Account8</v>
      </c>
      <c r="Q1735" s="6" t="str">
        <f>IFERROR(__xludf.DUMMYFUNCTION("""COMPUTED_VALUE"""),"MS")</f>
        <v>MS</v>
      </c>
      <c r="R1735" s="6">
        <f>IFERROR(__xludf.DUMMYFUNCTION("""COMPUTED_VALUE"""),0.0)</f>
        <v>0</v>
      </c>
      <c r="S1735" s="6" t="str">
        <f>IFERROR(__xludf.DUMMYFUNCTION("""COMPUTED_VALUE"""),"Fernando Pina dos Santos")</f>
        <v>Fernando Pina dos Santos</v>
      </c>
      <c r="T1735" s="6" t="str">
        <f>IFERROR(__xludf.DUMMYFUNCTION("""COMPUTED_VALUE"""),"fernando.dossantos@trilogy.com")</f>
        <v>fernando.dossantos@trilogy.com</v>
      </c>
      <c r="U1735" s="6" t="str">
        <f>IFERROR(__xludf.DUMMYFUNCTION("""COMPUTED_VALUE"""),"6")</f>
        <v>6</v>
      </c>
      <c r="V1735" s="6" t="str">
        <f>IFERROR(__xludf.DUMMYFUNCTION("""COMPUTED_VALUE"""),"")</f>
        <v/>
      </c>
      <c r="W1735" s="6" t="str">
        <f>IFERROR(__xludf.DUMMYFUNCTION("""COMPUTED_VALUE"""),"[]")</f>
        <v>[]</v>
      </c>
      <c r="X1735" s="6" t="str">
        <f>IFERROR(__xludf.DUMMYFUNCTION("""COMPUTED_VALUE"""),"Enrolled")</f>
        <v>Enrolled</v>
      </c>
    </row>
    <row r="1736">
      <c r="A1736" s="6" t="str">
        <f>IFERROR(__xludf.DUMMYFUNCTION("""COMPUTED_VALUE"""),"015-0891")</f>
        <v>015-0891</v>
      </c>
      <c r="B1736" s="6" t="str">
        <f>IFERROR(__xludf.DUMMYFUNCTION("""COMPUTED_VALUE"""),"15")</f>
        <v>15</v>
      </c>
      <c r="C1736" s="6" t="str">
        <f>IFERROR(__xludf.DUMMYFUNCTION("""COMPUTED_VALUE"""),"0891")</f>
        <v>0891</v>
      </c>
      <c r="D1736" s="6" t="str">
        <f>IFERROR(__xludf.DUMMYFUNCTION("""COMPUTED_VALUE"""),"Benjamin")</f>
        <v>Benjamin</v>
      </c>
      <c r="E1736" s="6" t="str">
        <f>IFERROR(__xludf.DUMMYFUNCTION("""COMPUTED_VALUE"""),"Ben")</f>
        <v>Ben</v>
      </c>
      <c r="F1736" s="6" t="str">
        <f>IFERROR(__xludf.DUMMYFUNCTION("""COMPUTED_VALUE"""),"Laserna")</f>
        <v>Laserna</v>
      </c>
      <c r="G1736" s="6" t="str">
        <f>IFERROR(__xludf.DUMMYFUNCTION("""COMPUTED_VALUE"""),"05/04/2018")</f>
        <v>05/04/2018</v>
      </c>
      <c r="H1736" s="6" t="str">
        <f>IFERROR(__xludf.DUMMYFUNCTION("""COMPUTED_VALUE"""),"male")</f>
        <v>male</v>
      </c>
      <c r="I1736" s="6" t="str">
        <f>IFERROR(__xludf.DUMMYFUNCTION("""COMPUTED_VALUE"""),"Level 1")</f>
        <v>Level 1</v>
      </c>
      <c r="J1736" s="6" t="str">
        <f>IFERROR(__xludf.DUMMYFUNCTION("""COMPUTED_VALUE"""),"2")</f>
        <v>2</v>
      </c>
      <c r="K1736" s="6" t="str">
        <f>IFERROR(__xludf.DUMMYFUNCTION("""COMPUTED_VALUE"""),"benjamin.laserna@alpha.school")</f>
        <v>benjamin.laserna@alpha.school</v>
      </c>
      <c r="L1736" s="6" t="str">
        <f>IFERROR(__xludf.DUMMYFUNCTION("""COMPUTED_VALUE"""),"Alpha School Miami")</f>
        <v>Alpha School Miami</v>
      </c>
      <c r="M1736" s="6" t="str">
        <f>IFERROR(__xludf.DUMMYFUNCTION("""COMPUTED_VALUE"""),"")</f>
        <v/>
      </c>
      <c r="N1736" s="6" t="str">
        <f>IFERROR(__xludf.DUMMYFUNCTION("""COMPUTED_VALUE"""),"")</f>
        <v/>
      </c>
      <c r="O1736" s="87" t="str">
        <f>IFERROR(__xludf.DUMMYFUNCTION("""COMPUTED_VALUE"""),"https://drive.google.com/drive/folders/10T2cTQHqEJZqE-st6uFKPoI?usp=share_link")</f>
        <v>https://drive.google.com/drive/folders/10T2cTQHqEJZqE-st6uFKPoI?usp=share_link</v>
      </c>
      <c r="P1736" s="6" t="str">
        <f>IFERROR(__xludf.DUMMYFUNCTION("""COMPUTED_VALUE"""),"Ben Laserna")</f>
        <v>Ben Laserna</v>
      </c>
      <c r="Q1736" s="6" t="str">
        <f>IFERROR(__xludf.DUMMYFUNCTION("""COMPUTED_VALUE"""),"L1")</f>
        <v>L1</v>
      </c>
      <c r="R1736" s="6">
        <f>IFERROR(__xludf.DUMMYFUNCTION("""COMPUTED_VALUE"""),1.0)</f>
        <v>1</v>
      </c>
      <c r="S1736" s="6" t="str">
        <f>IFERROR(__xludf.DUMMYFUNCTION("""COMPUTED_VALUE"""),"Jennifer Greenham")</f>
        <v>Jennifer Greenham</v>
      </c>
      <c r="T1736" s="6" t="str">
        <f>IFERROR(__xludf.DUMMYFUNCTION("""COMPUTED_VALUE"""),"jennifer.greenham@alpha.school")</f>
        <v>jennifer.greenham@alpha.school</v>
      </c>
      <c r="U1736" s="6" t="str">
        <f>IFERROR(__xludf.DUMMYFUNCTION("""COMPUTED_VALUE"""),"2")</f>
        <v>2</v>
      </c>
      <c r="V1736" s="6" t="str">
        <f>IFERROR(__xludf.DUMMYFUNCTION("""COMPUTED_VALUE"""),"")</f>
        <v/>
      </c>
      <c r="W1736" s="6" t="str">
        <f>IFERROR(__xludf.DUMMYFUNCTION("""COMPUTED_VALUE"""),"[]")</f>
        <v>[]</v>
      </c>
      <c r="X1736" s="6" t="str">
        <f>IFERROR(__xludf.DUMMYFUNCTION("""COMPUTED_VALUE"""),"Enrolled")</f>
        <v>Enrolled</v>
      </c>
    </row>
    <row r="1737">
      <c r="A1737" s="6" t="str">
        <f>IFERROR(__xludf.DUMMYFUNCTION("""COMPUTED_VALUE"""),"015-0892")</f>
        <v>015-0892</v>
      </c>
      <c r="B1737" s="6" t="str">
        <f>IFERROR(__xludf.DUMMYFUNCTION("""COMPUTED_VALUE"""),"15")</f>
        <v>15</v>
      </c>
      <c r="C1737" s="6" t="str">
        <f>IFERROR(__xludf.DUMMYFUNCTION("""COMPUTED_VALUE"""),"0892")</f>
        <v>0892</v>
      </c>
      <c r="D1737" s="6" t="str">
        <f>IFERROR(__xludf.DUMMYFUNCTION("""COMPUTED_VALUE"""),"Jace")</f>
        <v>Jace</v>
      </c>
      <c r="E1737" s="6" t="str">
        <f>IFERROR(__xludf.DUMMYFUNCTION("""COMPUTED_VALUE"""),"Jace")</f>
        <v>Jace</v>
      </c>
      <c r="F1737" s="6" t="str">
        <f>IFERROR(__xludf.DUMMYFUNCTION("""COMPUTED_VALUE"""),"Guilarte")</f>
        <v>Guilarte</v>
      </c>
      <c r="G1737" s="6" t="str">
        <f>IFERROR(__xludf.DUMMYFUNCTION("""COMPUTED_VALUE"""),"02/02/2018")</f>
        <v>02/02/2018</v>
      </c>
      <c r="H1737" s="6" t="str">
        <f>IFERROR(__xludf.DUMMYFUNCTION("""COMPUTED_VALUE"""),"male")</f>
        <v>male</v>
      </c>
      <c r="I1737" s="6" t="str">
        <f>IFERROR(__xludf.DUMMYFUNCTION("""COMPUTED_VALUE"""),"Level 1")</f>
        <v>Level 1</v>
      </c>
      <c r="J1737" s="6" t="str">
        <f>IFERROR(__xludf.DUMMYFUNCTION("""COMPUTED_VALUE"""),"2")</f>
        <v>2</v>
      </c>
      <c r="K1737" s="6" t="str">
        <f>IFERROR(__xludf.DUMMYFUNCTION("""COMPUTED_VALUE"""),"jace.guilarte@alpha.school")</f>
        <v>jace.guilarte@alpha.school</v>
      </c>
      <c r="L1737" s="6" t="str">
        <f>IFERROR(__xludf.DUMMYFUNCTION("""COMPUTED_VALUE"""),"Alpha School Miami")</f>
        <v>Alpha School Miami</v>
      </c>
      <c r="M1737" s="6" t="str">
        <f>IFERROR(__xludf.DUMMYFUNCTION("""COMPUTED_VALUE"""),"")</f>
        <v/>
      </c>
      <c r="N1737" s="6" t="str">
        <f>IFERROR(__xludf.DUMMYFUNCTION("""COMPUTED_VALUE"""),"")</f>
        <v/>
      </c>
      <c r="O1737" s="87" t="str">
        <f>IFERROR(__xludf.DUMMYFUNCTION("""COMPUTED_VALUE"""),"https://drive.google.com/drive/folders/10T2cTQHqEJZqE-st6uFKPoI?usp=share_link")</f>
        <v>https://drive.google.com/drive/folders/10T2cTQHqEJZqE-st6uFKPoI?usp=share_link</v>
      </c>
      <c r="P1737" s="6" t="str">
        <f>IFERROR(__xludf.DUMMYFUNCTION("""COMPUTED_VALUE"""),"Jace Guilarte")</f>
        <v>Jace Guilarte</v>
      </c>
      <c r="Q1737" s="6" t="str">
        <f>IFERROR(__xludf.DUMMYFUNCTION("""COMPUTED_VALUE"""),"L1")</f>
        <v>L1</v>
      </c>
      <c r="R1737" s="6">
        <f>IFERROR(__xludf.DUMMYFUNCTION("""COMPUTED_VALUE"""),1.0)</f>
        <v>1</v>
      </c>
      <c r="S1737" s="6" t="str">
        <f>IFERROR(__xludf.DUMMYFUNCTION("""COMPUTED_VALUE"""),"Brittany Ore")</f>
        <v>Brittany Ore</v>
      </c>
      <c r="T1737" s="6" t="str">
        <f>IFERROR(__xludf.DUMMYFUNCTION("""COMPUTED_VALUE"""),"brittany.ore@alpha.school")</f>
        <v>brittany.ore@alpha.school</v>
      </c>
      <c r="U1737" s="6" t="str">
        <f>IFERROR(__xludf.DUMMYFUNCTION("""COMPUTED_VALUE"""),"2")</f>
        <v>2</v>
      </c>
      <c r="V1737" s="6" t="str">
        <f>IFERROR(__xludf.DUMMYFUNCTION("""COMPUTED_VALUE"""),"")</f>
        <v/>
      </c>
      <c r="W1737" s="6" t="str">
        <f>IFERROR(__xludf.DUMMYFUNCTION("""COMPUTED_VALUE"""),"[]")</f>
        <v>[]</v>
      </c>
      <c r="X1737" s="6" t="str">
        <f>IFERROR(__xludf.DUMMYFUNCTION("""COMPUTED_VALUE"""),"Enrolled")</f>
        <v>Enrolled</v>
      </c>
    </row>
    <row r="1738">
      <c r="A1738" s="6" t="str">
        <f>IFERROR(__xludf.DUMMYFUNCTION("""COMPUTED_VALUE"""),"015-0893")</f>
        <v>015-0893</v>
      </c>
      <c r="B1738" s="6" t="str">
        <f>IFERROR(__xludf.DUMMYFUNCTION("""COMPUTED_VALUE"""),"15")</f>
        <v>15</v>
      </c>
      <c r="C1738" s="6" t="str">
        <f>IFERROR(__xludf.DUMMYFUNCTION("""COMPUTED_VALUE"""),"0893")</f>
        <v>0893</v>
      </c>
      <c r="D1738" s="6" t="str">
        <f>IFERROR(__xludf.DUMMYFUNCTION("""COMPUTED_VALUE"""),"Sebastian")</f>
        <v>Sebastian</v>
      </c>
      <c r="E1738" s="6" t="str">
        <f>IFERROR(__xludf.DUMMYFUNCTION("""COMPUTED_VALUE"""),"Sebi")</f>
        <v>Sebi</v>
      </c>
      <c r="F1738" s="6" t="str">
        <f>IFERROR(__xludf.DUMMYFUNCTION("""COMPUTED_VALUE"""),"Cobas")</f>
        <v>Cobas</v>
      </c>
      <c r="G1738" s="6" t="str">
        <f>IFERROR(__xludf.DUMMYFUNCTION("""COMPUTED_VALUE"""),"06/16/2014")</f>
        <v>06/16/2014</v>
      </c>
      <c r="H1738" s="6" t="str">
        <f>IFERROR(__xludf.DUMMYFUNCTION("""COMPUTED_VALUE"""),"male")</f>
        <v>male</v>
      </c>
      <c r="I1738" s="6" t="str">
        <f>IFERROR(__xludf.DUMMYFUNCTION("""COMPUTED_VALUE"""),"Middle School")</f>
        <v>Middle School</v>
      </c>
      <c r="J1738" s="6" t="str">
        <f>IFERROR(__xludf.DUMMYFUNCTION("""COMPUTED_VALUE"""),"6")</f>
        <v>6</v>
      </c>
      <c r="K1738" s="6" t="str">
        <f>IFERROR(__xludf.DUMMYFUNCTION("""COMPUTED_VALUE"""),"sebi.cobas@alpha.school")</f>
        <v>sebi.cobas@alpha.school</v>
      </c>
      <c r="L1738" s="6" t="str">
        <f>IFERROR(__xludf.DUMMYFUNCTION("""COMPUTED_VALUE"""),"Alpha School Miami")</f>
        <v>Alpha School Miami</v>
      </c>
      <c r="M1738" s="6" t="str">
        <f>IFERROR(__xludf.DUMMYFUNCTION("""COMPUTED_VALUE"""),"")</f>
        <v/>
      </c>
      <c r="N1738" s="6" t="str">
        <f>IFERROR(__xludf.DUMMYFUNCTION("""COMPUTED_VALUE"""),"")</f>
        <v/>
      </c>
      <c r="O1738" s="87" t="str">
        <f>IFERROR(__xludf.DUMMYFUNCTION("""COMPUTED_VALUE"""),"https://drive.google.com/drive/folders/10T2cTQHqEJZqE-st6uFKPoI?usp=share_link")</f>
        <v>https://drive.google.com/drive/folders/10T2cTQHqEJZqE-st6uFKPoI?usp=share_link</v>
      </c>
      <c r="P1738" s="6" t="str">
        <f>IFERROR(__xludf.DUMMYFUNCTION("""COMPUTED_VALUE"""),"Sebi Cobas")</f>
        <v>Sebi Cobas</v>
      </c>
      <c r="Q1738" s="6" t="str">
        <f>IFERROR(__xludf.DUMMYFUNCTION("""COMPUTED_VALUE"""),"MS")</f>
        <v>MS</v>
      </c>
      <c r="R1738" s="6">
        <f>IFERROR(__xludf.DUMMYFUNCTION("""COMPUTED_VALUE"""),0.0)</f>
        <v>0</v>
      </c>
      <c r="S1738" s="6" t="str">
        <f>IFERROR(__xludf.DUMMYFUNCTION("""COMPUTED_VALUE"""),"Evan Ore")</f>
        <v>Evan Ore</v>
      </c>
      <c r="T1738" s="6" t="str">
        <f>IFERROR(__xludf.DUMMYFUNCTION("""COMPUTED_VALUE"""),"evan.ore@alpha.school")</f>
        <v>evan.ore@alpha.school</v>
      </c>
      <c r="U1738" s="6" t="str">
        <f>IFERROR(__xludf.DUMMYFUNCTION("""COMPUTED_VALUE"""),"6")</f>
        <v>6</v>
      </c>
      <c r="V1738" s="6" t="str">
        <f>IFERROR(__xludf.DUMMYFUNCTION("""COMPUTED_VALUE"""),"")</f>
        <v/>
      </c>
      <c r="W1738" s="6" t="str">
        <f>IFERROR(__xludf.DUMMYFUNCTION("""COMPUTED_VALUE"""),"[]")</f>
        <v>[]</v>
      </c>
      <c r="X1738" s="6" t="str">
        <f>IFERROR(__xludf.DUMMYFUNCTION("""COMPUTED_VALUE"""),"Enrolled")</f>
        <v>Enrolled</v>
      </c>
    </row>
    <row r="1739">
      <c r="A1739" s="6" t="str">
        <f>IFERROR(__xludf.DUMMYFUNCTION("""COMPUTED_VALUE"""),"015-0894")</f>
        <v>015-0894</v>
      </c>
      <c r="B1739" s="6" t="str">
        <f>IFERROR(__xludf.DUMMYFUNCTION("""COMPUTED_VALUE"""),"15")</f>
        <v>15</v>
      </c>
      <c r="C1739" s="6" t="str">
        <f>IFERROR(__xludf.DUMMYFUNCTION("""COMPUTED_VALUE"""),"0894")</f>
        <v>0894</v>
      </c>
      <c r="D1739" s="6" t="str">
        <f>IFERROR(__xludf.DUMMYFUNCTION("""COMPUTED_VALUE"""),"Lydia")</f>
        <v>Lydia</v>
      </c>
      <c r="E1739" s="6" t="str">
        <f>IFERROR(__xludf.DUMMYFUNCTION("""COMPUTED_VALUE"""),"Lydia")</f>
        <v>Lydia</v>
      </c>
      <c r="F1739" s="6" t="str">
        <f>IFERROR(__xludf.DUMMYFUNCTION("""COMPUTED_VALUE"""),"Cobas")</f>
        <v>Cobas</v>
      </c>
      <c r="G1739" s="6" t="str">
        <f>IFERROR(__xludf.DUMMYFUNCTION("""COMPUTED_VALUE"""),"06/16/2014")</f>
        <v>06/16/2014</v>
      </c>
      <c r="H1739" s="6" t="str">
        <f>IFERROR(__xludf.DUMMYFUNCTION("""COMPUTED_VALUE"""),"female")</f>
        <v>female</v>
      </c>
      <c r="I1739" s="6" t="str">
        <f>IFERROR(__xludf.DUMMYFUNCTION("""COMPUTED_VALUE"""),"Middle School")</f>
        <v>Middle School</v>
      </c>
      <c r="J1739" s="6" t="str">
        <f>IFERROR(__xludf.DUMMYFUNCTION("""COMPUTED_VALUE"""),"6")</f>
        <v>6</v>
      </c>
      <c r="K1739" s="6" t="str">
        <f>IFERROR(__xludf.DUMMYFUNCTION("""COMPUTED_VALUE"""),"lydia.cobas@alpha.school")</f>
        <v>lydia.cobas@alpha.school</v>
      </c>
      <c r="L1739" s="6" t="str">
        <f>IFERROR(__xludf.DUMMYFUNCTION("""COMPUTED_VALUE"""),"Alpha School Miami")</f>
        <v>Alpha School Miami</v>
      </c>
      <c r="M1739" s="6" t="str">
        <f>IFERROR(__xludf.DUMMYFUNCTION("""COMPUTED_VALUE"""),"")</f>
        <v/>
      </c>
      <c r="N1739" s="6" t="str">
        <f>IFERROR(__xludf.DUMMYFUNCTION("""COMPUTED_VALUE"""),"")</f>
        <v/>
      </c>
      <c r="O1739" s="87" t="str">
        <f>IFERROR(__xludf.DUMMYFUNCTION("""COMPUTED_VALUE"""),"https://drive.google.com/drive/folders/10T2cTQHqEJZqE-st6uFKPoI?usp=share_link")</f>
        <v>https://drive.google.com/drive/folders/10T2cTQHqEJZqE-st6uFKPoI?usp=share_link</v>
      </c>
      <c r="P1739" s="6" t="str">
        <f>IFERROR(__xludf.DUMMYFUNCTION("""COMPUTED_VALUE"""),"Lydia Cobas")</f>
        <v>Lydia Cobas</v>
      </c>
      <c r="Q1739" s="6" t="str">
        <f>IFERROR(__xludf.DUMMYFUNCTION("""COMPUTED_VALUE"""),"MS")</f>
        <v>MS</v>
      </c>
      <c r="R1739" s="6">
        <f>IFERROR(__xludf.DUMMYFUNCTION("""COMPUTED_VALUE"""),0.0)</f>
        <v>0</v>
      </c>
      <c r="S1739" s="6" t="str">
        <f>IFERROR(__xludf.DUMMYFUNCTION("""COMPUTED_VALUE"""),"Santi Orozco")</f>
        <v>Santi Orozco</v>
      </c>
      <c r="T1739" s="6" t="str">
        <f>IFERROR(__xludf.DUMMYFUNCTION("""COMPUTED_VALUE"""),"santiago.garcia@alpha.school")</f>
        <v>santiago.garcia@alpha.school</v>
      </c>
      <c r="U1739" s="6" t="str">
        <f>IFERROR(__xludf.DUMMYFUNCTION("""COMPUTED_VALUE"""),"6")</f>
        <v>6</v>
      </c>
      <c r="V1739" s="6" t="str">
        <f>IFERROR(__xludf.DUMMYFUNCTION("""COMPUTED_VALUE"""),"")</f>
        <v/>
      </c>
      <c r="W1739" s="6" t="str">
        <f>IFERROR(__xludf.DUMMYFUNCTION("""COMPUTED_VALUE"""),"[]")</f>
        <v>[]</v>
      </c>
      <c r="X1739" s="6" t="str">
        <f>IFERROR(__xludf.DUMMYFUNCTION("""COMPUTED_VALUE"""),"Enrolled")</f>
        <v>Enrolled</v>
      </c>
    </row>
    <row r="1740">
      <c r="A1740" s="6" t="str">
        <f>IFERROR(__xludf.DUMMYFUNCTION("""COMPUTED_VALUE"""),"015-0920")</f>
        <v>015-0920</v>
      </c>
      <c r="B1740" s="6" t="str">
        <f>IFERROR(__xludf.DUMMYFUNCTION("""COMPUTED_VALUE"""),"15")</f>
        <v>15</v>
      </c>
      <c r="C1740" s="6" t="str">
        <f>IFERROR(__xludf.DUMMYFUNCTION("""COMPUTED_VALUE"""),"0920")</f>
        <v>0920</v>
      </c>
      <c r="D1740" s="6" t="str">
        <f>IFERROR(__xludf.DUMMYFUNCTION("""COMPUTED_VALUE"""),"Robert")</f>
        <v>Robert</v>
      </c>
      <c r="E1740" s="6" t="str">
        <f>IFERROR(__xludf.DUMMYFUNCTION("""COMPUTED_VALUE"""),"Bobby")</f>
        <v>Bobby</v>
      </c>
      <c r="F1740" s="6" t="str">
        <f>IFERROR(__xludf.DUMMYFUNCTION("""COMPUTED_VALUE"""),"Simonds III")</f>
        <v>Simonds III</v>
      </c>
      <c r="G1740" s="6" t="str">
        <f>IFERROR(__xludf.DUMMYFUNCTION("""COMPUTED_VALUE"""),"03/21/2013")</f>
        <v>03/21/2013</v>
      </c>
      <c r="H1740" s="6" t="str">
        <f>IFERROR(__xludf.DUMMYFUNCTION("""COMPUTED_VALUE"""),"male")</f>
        <v>male</v>
      </c>
      <c r="I1740" s="6" t="str">
        <f>IFERROR(__xludf.DUMMYFUNCTION("""COMPUTED_VALUE"""),"Middle School")</f>
        <v>Middle School</v>
      </c>
      <c r="J1740" s="6" t="str">
        <f>IFERROR(__xludf.DUMMYFUNCTION("""COMPUTED_VALUE"""),"7")</f>
        <v>7</v>
      </c>
      <c r="K1740" s="6" t="str">
        <f>IFERROR(__xludf.DUMMYFUNCTION("""COMPUTED_VALUE"""),"bobby.simonds@alpha.school")</f>
        <v>bobby.simonds@alpha.school</v>
      </c>
      <c r="L1740" s="6" t="str">
        <f>IFERROR(__xludf.DUMMYFUNCTION("""COMPUTED_VALUE"""),"Alpha School Miami")</f>
        <v>Alpha School Miami</v>
      </c>
      <c r="M1740" s="6" t="str">
        <f>IFERROR(__xludf.DUMMYFUNCTION("""COMPUTED_VALUE"""),"")</f>
        <v/>
      </c>
      <c r="N1740" s="6" t="str">
        <f>IFERROR(__xludf.DUMMYFUNCTION("""COMPUTED_VALUE"""),"")</f>
        <v/>
      </c>
      <c r="O1740" s="87" t="str">
        <f>IFERROR(__xludf.DUMMYFUNCTION("""COMPUTED_VALUE"""),"https://drive.google.com/drive/folders/10T2cTQHqEJZqE-st6uFKPoI?usp=share_link")</f>
        <v>https://drive.google.com/drive/folders/10T2cTQHqEJZqE-st6uFKPoI?usp=share_link</v>
      </c>
      <c r="P1740" s="6" t="str">
        <f>IFERROR(__xludf.DUMMYFUNCTION("""COMPUTED_VALUE"""),"Bobby Simonds III")</f>
        <v>Bobby Simonds III</v>
      </c>
      <c r="Q1740" s="6" t="str">
        <f>IFERROR(__xludf.DUMMYFUNCTION("""COMPUTED_VALUE"""),"MS")</f>
        <v>MS</v>
      </c>
      <c r="R1740" s="6">
        <f>IFERROR(__xludf.DUMMYFUNCTION("""COMPUTED_VALUE"""),0.0)</f>
        <v>0</v>
      </c>
      <c r="S1740" s="6" t="str">
        <f>IFERROR(__xludf.DUMMYFUNCTION("""COMPUTED_VALUE"""),"Tamara Stephenson")</f>
        <v>Tamara Stephenson</v>
      </c>
      <c r="T1740" s="6" t="str">
        <f>IFERROR(__xludf.DUMMYFUNCTION("""COMPUTED_VALUE"""),"tamara.stephenson@alpha.school")</f>
        <v>tamara.stephenson@alpha.school</v>
      </c>
      <c r="U1740" s="6" t="str">
        <f>IFERROR(__xludf.DUMMYFUNCTION("""COMPUTED_VALUE"""),"7")</f>
        <v>7</v>
      </c>
      <c r="V1740" s="6" t="str">
        <f>IFERROR(__xludf.DUMMYFUNCTION("""COMPUTED_VALUE"""),"")</f>
        <v/>
      </c>
      <c r="W1740" s="6" t="str">
        <f>IFERROR(__xludf.DUMMYFUNCTION("""COMPUTED_VALUE"""),"[]")</f>
        <v>[]</v>
      </c>
      <c r="X1740" s="6" t="str">
        <f>IFERROR(__xludf.DUMMYFUNCTION("""COMPUTED_VALUE"""),"Enrolled")</f>
        <v>Enrolled</v>
      </c>
    </row>
    <row r="1741">
      <c r="A1741" s="6" t="str">
        <f>IFERROR(__xludf.DUMMYFUNCTION("""COMPUTED_VALUE"""),"015-0970")</f>
        <v>015-0970</v>
      </c>
      <c r="B1741" s="6" t="str">
        <f>IFERROR(__xludf.DUMMYFUNCTION("""COMPUTED_VALUE"""),"15")</f>
        <v>15</v>
      </c>
      <c r="C1741" s="6" t="str">
        <f>IFERROR(__xludf.DUMMYFUNCTION("""COMPUTED_VALUE"""),"0970")</f>
        <v>0970</v>
      </c>
      <c r="D1741" s="6" t="str">
        <f>IFERROR(__xludf.DUMMYFUNCTION("""COMPUTED_VALUE"""),"Noah")</f>
        <v>Noah</v>
      </c>
      <c r="E1741" s="6" t="str">
        <f>IFERROR(__xludf.DUMMYFUNCTION("""COMPUTED_VALUE"""),"Noah")</f>
        <v>Noah</v>
      </c>
      <c r="F1741" s="6" t="str">
        <f>IFERROR(__xludf.DUMMYFUNCTION("""COMPUTED_VALUE"""),"Noorani")</f>
        <v>Noorani</v>
      </c>
      <c r="G1741" s="6" t="str">
        <f>IFERROR(__xludf.DUMMYFUNCTION("""COMPUTED_VALUE"""),"12/18/2015")</f>
        <v>12/18/2015</v>
      </c>
      <c r="H1741" s="6" t="str">
        <f>IFERROR(__xludf.DUMMYFUNCTION("""COMPUTED_VALUE"""),"male")</f>
        <v>male</v>
      </c>
      <c r="I1741" s="6" t="str">
        <f>IFERROR(__xludf.DUMMYFUNCTION("""COMPUTED_VALUE"""),"Level 2")</f>
        <v>Level 2</v>
      </c>
      <c r="J1741" s="6" t="str">
        <f>IFERROR(__xludf.DUMMYFUNCTION("""COMPUTED_VALUE"""),"4")</f>
        <v>4</v>
      </c>
      <c r="K1741" s="6" t="str">
        <f>IFERROR(__xludf.DUMMYFUNCTION("""COMPUTED_VALUE"""),"noah.noorani@alpha.school")</f>
        <v>noah.noorani@alpha.school</v>
      </c>
      <c r="L1741" s="6" t="str">
        <f>IFERROR(__xludf.DUMMYFUNCTION("""COMPUTED_VALUE"""),"Alpha School Miami")</f>
        <v>Alpha School Miami</v>
      </c>
      <c r="M1741" s="6" t="str">
        <f>IFERROR(__xludf.DUMMYFUNCTION("""COMPUTED_VALUE"""),"")</f>
        <v/>
      </c>
      <c r="N1741" s="6" t="str">
        <f>IFERROR(__xludf.DUMMYFUNCTION("""COMPUTED_VALUE"""),"")</f>
        <v/>
      </c>
      <c r="O1741" s="87" t="str">
        <f>IFERROR(__xludf.DUMMYFUNCTION("""COMPUTED_VALUE"""),"https://drive.google.com/drive/folders/10T2cTQHqEJZqE-st6uFKPoI?usp=share_link")</f>
        <v>https://drive.google.com/drive/folders/10T2cTQHqEJZqE-st6uFKPoI?usp=share_link</v>
      </c>
      <c r="P1741" s="6" t="str">
        <f>IFERROR(__xludf.DUMMYFUNCTION("""COMPUTED_VALUE"""),"Noah Noorani")</f>
        <v>Noah Noorani</v>
      </c>
      <c r="Q1741" s="6" t="str">
        <f>IFERROR(__xludf.DUMMYFUNCTION("""COMPUTED_VALUE"""),"L2")</f>
        <v>L2</v>
      </c>
      <c r="R1741" s="6">
        <f>IFERROR(__xludf.DUMMYFUNCTION("""COMPUTED_VALUE"""),2.0)</f>
        <v>2</v>
      </c>
      <c r="S1741" s="6" t="str">
        <f>IFERROR(__xludf.DUMMYFUNCTION("""COMPUTED_VALUE"""),"Sunny Lulla")</f>
        <v>Sunny Lulla</v>
      </c>
      <c r="T1741" s="6" t="str">
        <f>IFERROR(__xludf.DUMMYFUNCTION("""COMPUTED_VALUE"""),"sunny.lulla@alpha.school")</f>
        <v>sunny.lulla@alpha.school</v>
      </c>
      <c r="U1741" s="6" t="str">
        <f>IFERROR(__xludf.DUMMYFUNCTION("""COMPUTED_VALUE"""),"4")</f>
        <v>4</v>
      </c>
      <c r="V1741" s="6" t="str">
        <f>IFERROR(__xludf.DUMMYFUNCTION("""COMPUTED_VALUE"""),"")</f>
        <v/>
      </c>
      <c r="W1741" s="6" t="str">
        <f>IFERROR(__xludf.DUMMYFUNCTION("""COMPUTED_VALUE"""),"[]")</f>
        <v>[]</v>
      </c>
      <c r="X1741" s="6" t="str">
        <f>IFERROR(__xludf.DUMMYFUNCTION("""COMPUTED_VALUE"""),"Enrolled")</f>
        <v>Enrolled</v>
      </c>
    </row>
    <row r="1742">
      <c r="A1742" s="6" t="str">
        <f>IFERROR(__xludf.DUMMYFUNCTION("""COMPUTED_VALUE"""),"015-0973")</f>
        <v>015-0973</v>
      </c>
      <c r="B1742" s="6" t="str">
        <f>IFERROR(__xludf.DUMMYFUNCTION("""COMPUTED_VALUE"""),"15")</f>
        <v>15</v>
      </c>
      <c r="C1742" s="6" t="str">
        <f>IFERROR(__xludf.DUMMYFUNCTION("""COMPUTED_VALUE"""),"0973")</f>
        <v>0973</v>
      </c>
      <c r="D1742" s="6" t="str">
        <f>IFERROR(__xludf.DUMMYFUNCTION("""COMPUTED_VALUE"""),"Sofia")</f>
        <v>Sofia</v>
      </c>
      <c r="E1742" s="6" t="str">
        <f>IFERROR(__xludf.DUMMYFUNCTION("""COMPUTED_VALUE"""),"Sofia")</f>
        <v>Sofia</v>
      </c>
      <c r="F1742" s="6" t="str">
        <f>IFERROR(__xludf.DUMMYFUNCTION("""COMPUTED_VALUE"""),"Page")</f>
        <v>Page</v>
      </c>
      <c r="G1742" s="6" t="str">
        <f>IFERROR(__xludf.DUMMYFUNCTION("""COMPUTED_VALUE"""),"12/09/2013")</f>
        <v>12/09/2013</v>
      </c>
      <c r="H1742" s="6" t="str">
        <f>IFERROR(__xludf.DUMMYFUNCTION("""COMPUTED_VALUE"""),"female")</f>
        <v>female</v>
      </c>
      <c r="I1742" s="6" t="str">
        <f>IFERROR(__xludf.DUMMYFUNCTION("""COMPUTED_VALUE"""),"Middle School")</f>
        <v>Middle School</v>
      </c>
      <c r="J1742" s="6" t="str">
        <f>IFERROR(__xludf.DUMMYFUNCTION("""COMPUTED_VALUE"""),"6")</f>
        <v>6</v>
      </c>
      <c r="K1742" s="6" t="str">
        <f>IFERROR(__xludf.DUMMYFUNCTION("""COMPUTED_VALUE"""),"sofia.page@alpha.school")</f>
        <v>sofia.page@alpha.school</v>
      </c>
      <c r="L1742" s="6" t="str">
        <f>IFERROR(__xludf.DUMMYFUNCTION("""COMPUTED_VALUE"""),"Alpha School Miami")</f>
        <v>Alpha School Miami</v>
      </c>
      <c r="M1742" s="6" t="str">
        <f>IFERROR(__xludf.DUMMYFUNCTION("""COMPUTED_VALUE"""),"")</f>
        <v/>
      </c>
      <c r="N1742" s="6" t="str">
        <f>IFERROR(__xludf.DUMMYFUNCTION("""COMPUTED_VALUE"""),"")</f>
        <v/>
      </c>
      <c r="O1742" s="87" t="str">
        <f>IFERROR(__xludf.DUMMYFUNCTION("""COMPUTED_VALUE"""),"https://drive.google.com/drive/folders/10T2cTQHqEJZqE-st6uFKPoI?usp=share_link")</f>
        <v>https://drive.google.com/drive/folders/10T2cTQHqEJZqE-st6uFKPoI?usp=share_link</v>
      </c>
      <c r="P1742" s="6" t="str">
        <f>IFERROR(__xludf.DUMMYFUNCTION("""COMPUTED_VALUE"""),"Sofia Page")</f>
        <v>Sofia Page</v>
      </c>
      <c r="Q1742" s="6" t="str">
        <f>IFERROR(__xludf.DUMMYFUNCTION("""COMPUTED_VALUE"""),"MS")</f>
        <v>MS</v>
      </c>
      <c r="R1742" s="6">
        <f>IFERROR(__xludf.DUMMYFUNCTION("""COMPUTED_VALUE"""),0.0)</f>
        <v>0</v>
      </c>
      <c r="S1742" s="6" t="str">
        <f>IFERROR(__xludf.DUMMYFUNCTION("""COMPUTED_VALUE"""),"Evan Ore")</f>
        <v>Evan Ore</v>
      </c>
      <c r="T1742" s="6" t="str">
        <f>IFERROR(__xludf.DUMMYFUNCTION("""COMPUTED_VALUE"""),"evan.ore@alpha.school")</f>
        <v>evan.ore@alpha.school</v>
      </c>
      <c r="U1742" s="6" t="str">
        <f>IFERROR(__xludf.DUMMYFUNCTION("""COMPUTED_VALUE"""),"6")</f>
        <v>6</v>
      </c>
      <c r="V1742" s="6" t="str">
        <f>IFERROR(__xludf.DUMMYFUNCTION("""COMPUTED_VALUE"""),"")</f>
        <v/>
      </c>
      <c r="W1742" s="6" t="str">
        <f>IFERROR(__xludf.DUMMYFUNCTION("""COMPUTED_VALUE"""),"[]")</f>
        <v>[]</v>
      </c>
      <c r="X1742" s="6" t="str">
        <f>IFERROR(__xludf.DUMMYFUNCTION("""COMPUTED_VALUE"""),"Enrolled")</f>
        <v>Enrolled</v>
      </c>
    </row>
    <row r="1743">
      <c r="A1743" s="6" t="str">
        <f>IFERROR(__xludf.DUMMYFUNCTION("""COMPUTED_VALUE"""),"015-0974")</f>
        <v>015-0974</v>
      </c>
      <c r="B1743" s="6" t="str">
        <f>IFERROR(__xludf.DUMMYFUNCTION("""COMPUTED_VALUE"""),"15")</f>
        <v>15</v>
      </c>
      <c r="C1743" s="6" t="str">
        <f>IFERROR(__xludf.DUMMYFUNCTION("""COMPUTED_VALUE"""),"0974")</f>
        <v>0974</v>
      </c>
      <c r="D1743" s="6" t="str">
        <f>IFERROR(__xludf.DUMMYFUNCTION("""COMPUTED_VALUE"""),"Thomas")</f>
        <v>Thomas</v>
      </c>
      <c r="E1743" s="6" t="str">
        <f>IFERROR(__xludf.DUMMYFUNCTION("""COMPUTED_VALUE"""),"Thomas")</f>
        <v>Thomas</v>
      </c>
      <c r="F1743" s="6" t="str">
        <f>IFERROR(__xludf.DUMMYFUNCTION("""COMPUTED_VALUE"""),"Page")</f>
        <v>Page</v>
      </c>
      <c r="G1743" s="6" t="str">
        <f>IFERROR(__xludf.DUMMYFUNCTION("""COMPUTED_VALUE"""),"05/30/2017")</f>
        <v>05/30/2017</v>
      </c>
      <c r="H1743" s="6" t="str">
        <f>IFERROR(__xludf.DUMMYFUNCTION("""COMPUTED_VALUE"""),"male")</f>
        <v>male</v>
      </c>
      <c r="I1743" s="6" t="str">
        <f>IFERROR(__xludf.DUMMYFUNCTION("""COMPUTED_VALUE"""),"Level 1")</f>
        <v>Level 1</v>
      </c>
      <c r="J1743" s="6" t="str">
        <f>IFERROR(__xludf.DUMMYFUNCTION("""COMPUTED_VALUE"""),"3")</f>
        <v>3</v>
      </c>
      <c r="K1743" s="6" t="str">
        <f>IFERROR(__xludf.DUMMYFUNCTION("""COMPUTED_VALUE"""),"thomas.page@alpha.school")</f>
        <v>thomas.page@alpha.school</v>
      </c>
      <c r="L1743" s="6" t="str">
        <f>IFERROR(__xludf.DUMMYFUNCTION("""COMPUTED_VALUE"""),"Alpha School Miami")</f>
        <v>Alpha School Miami</v>
      </c>
      <c r="M1743" s="6" t="str">
        <f>IFERROR(__xludf.DUMMYFUNCTION("""COMPUTED_VALUE"""),"")</f>
        <v/>
      </c>
      <c r="N1743" s="6" t="str">
        <f>IFERROR(__xludf.DUMMYFUNCTION("""COMPUTED_VALUE"""),"")</f>
        <v/>
      </c>
      <c r="O1743" s="87" t="str">
        <f>IFERROR(__xludf.DUMMYFUNCTION("""COMPUTED_VALUE"""),"https://drive.google.com/drive/folders/10T2cTQHqEJZqE-st6uFKPoI?usp=share_link")</f>
        <v>https://drive.google.com/drive/folders/10T2cTQHqEJZqE-st6uFKPoI?usp=share_link</v>
      </c>
      <c r="P1743" s="6" t="str">
        <f>IFERROR(__xludf.DUMMYFUNCTION("""COMPUTED_VALUE"""),"Thomas Page")</f>
        <v>Thomas Page</v>
      </c>
      <c r="Q1743" s="6" t="str">
        <f>IFERROR(__xludf.DUMMYFUNCTION("""COMPUTED_VALUE"""),"L1")</f>
        <v>L1</v>
      </c>
      <c r="R1743" s="6">
        <f>IFERROR(__xludf.DUMMYFUNCTION("""COMPUTED_VALUE"""),1.0)</f>
        <v>1</v>
      </c>
      <c r="S1743" s="6" t="str">
        <f>IFERROR(__xludf.DUMMYFUNCTION("""COMPUTED_VALUE"""),"Tim Sheehy")</f>
        <v>Tim Sheehy</v>
      </c>
      <c r="T1743" s="6" t="str">
        <f>IFERROR(__xludf.DUMMYFUNCTION("""COMPUTED_VALUE"""),"timothy.sheehy@alpha.school")</f>
        <v>timothy.sheehy@alpha.school</v>
      </c>
      <c r="U1743" s="6" t="str">
        <f>IFERROR(__xludf.DUMMYFUNCTION("""COMPUTED_VALUE"""),"3")</f>
        <v>3</v>
      </c>
      <c r="V1743" s="6" t="str">
        <f>IFERROR(__xludf.DUMMYFUNCTION("""COMPUTED_VALUE"""),"")</f>
        <v/>
      </c>
      <c r="W1743" s="6" t="str">
        <f>IFERROR(__xludf.DUMMYFUNCTION("""COMPUTED_VALUE"""),"[]")</f>
        <v>[]</v>
      </c>
      <c r="X1743" s="6" t="str">
        <f>IFERROR(__xludf.DUMMYFUNCTION("""COMPUTED_VALUE"""),"Enrolled")</f>
        <v>Enrolled</v>
      </c>
    </row>
    <row r="1744">
      <c r="A1744" s="6" t="str">
        <f>IFERROR(__xludf.DUMMYFUNCTION("""COMPUTED_VALUE"""),"015-0984")</f>
        <v>015-0984</v>
      </c>
      <c r="B1744" s="6" t="str">
        <f>IFERROR(__xludf.DUMMYFUNCTION("""COMPUTED_VALUE"""),"15")</f>
        <v>15</v>
      </c>
      <c r="C1744" s="6" t="str">
        <f>IFERROR(__xludf.DUMMYFUNCTION("""COMPUTED_VALUE"""),"0984")</f>
        <v>0984</v>
      </c>
      <c r="D1744" s="6" t="str">
        <f>IFERROR(__xludf.DUMMYFUNCTION("""COMPUTED_VALUE"""),"Daniel")</f>
        <v>Daniel</v>
      </c>
      <c r="E1744" s="6" t="str">
        <f>IFERROR(__xludf.DUMMYFUNCTION("""COMPUTED_VALUE"""),"Daniel")</f>
        <v>Daniel</v>
      </c>
      <c r="F1744" s="6" t="str">
        <f>IFERROR(__xludf.DUMMYFUNCTION("""COMPUTED_VALUE"""),"Calvo")</f>
        <v>Calvo</v>
      </c>
      <c r="G1744" s="6" t="str">
        <f>IFERROR(__xludf.DUMMYFUNCTION("""COMPUTED_VALUE"""),"12/06/2019")</f>
        <v>12/06/2019</v>
      </c>
      <c r="H1744" s="6" t="str">
        <f>IFERROR(__xludf.DUMMYFUNCTION("""COMPUTED_VALUE"""),"male")</f>
        <v>male</v>
      </c>
      <c r="I1744" s="6" t="str">
        <f>IFERROR(__xludf.DUMMYFUNCTION("""COMPUTED_VALUE"""),"Learning Lab")</f>
        <v>Learning Lab</v>
      </c>
      <c r="J1744" s="6" t="str">
        <f>IFERROR(__xludf.DUMMYFUNCTION("""COMPUTED_VALUE"""),"K")</f>
        <v>K</v>
      </c>
      <c r="K1744" s="6" t="str">
        <f>IFERROR(__xludf.DUMMYFUNCTION("""COMPUTED_VALUE"""),"daniel.calvo613@alpha.school")</f>
        <v>daniel.calvo613@alpha.school</v>
      </c>
      <c r="L1744" s="6" t="str">
        <f>IFERROR(__xludf.DUMMYFUNCTION("""COMPUTED_VALUE"""),"Alpha School Miami")</f>
        <v>Alpha School Miami</v>
      </c>
      <c r="M1744" s="6" t="str">
        <f>IFERROR(__xludf.DUMMYFUNCTION("""COMPUTED_VALUE"""),"")</f>
        <v/>
      </c>
      <c r="N1744" s="6" t="str">
        <f>IFERROR(__xludf.DUMMYFUNCTION("""COMPUTED_VALUE"""),"")</f>
        <v/>
      </c>
      <c r="O1744" s="87" t="str">
        <f>IFERROR(__xludf.DUMMYFUNCTION("""COMPUTED_VALUE"""),"https://drive.google.com/drive/folders/10T2cTQHqEJZqE-st6uFKPoI?usp=share_link")</f>
        <v>https://drive.google.com/drive/folders/10T2cTQHqEJZqE-st6uFKPoI?usp=share_link</v>
      </c>
      <c r="P1744" s="6" t="str">
        <f>IFERROR(__xludf.DUMMYFUNCTION("""COMPUTED_VALUE"""),"Daniel Calvo")</f>
        <v>Daniel Calvo</v>
      </c>
      <c r="Q1744" s="6" t="str">
        <f>IFERROR(__xludf.DUMMYFUNCTION("""COMPUTED_VALUE"""),"LL")</f>
        <v>LL</v>
      </c>
      <c r="R1744" s="6">
        <f>IFERROR(__xludf.DUMMYFUNCTION("""COMPUTED_VALUE"""),0.0)</f>
        <v>0</v>
      </c>
      <c r="S1744" s="6" t="str">
        <f>IFERROR(__xludf.DUMMYFUNCTION("""COMPUTED_VALUE"""),"Caitlin Calzadilla")</f>
        <v>Caitlin Calzadilla</v>
      </c>
      <c r="T1744" s="6" t="str">
        <f>IFERROR(__xludf.DUMMYFUNCTION("""COMPUTED_VALUE"""),"caitlin.calzadilla@alpha.school")</f>
        <v>caitlin.calzadilla@alpha.school</v>
      </c>
      <c r="U1744" s="6" t="str">
        <f>IFERROR(__xludf.DUMMYFUNCTION("""COMPUTED_VALUE"""),"K")</f>
        <v>K</v>
      </c>
      <c r="V1744" s="6" t="str">
        <f>IFERROR(__xludf.DUMMYFUNCTION("""COMPUTED_VALUE"""),"")</f>
        <v/>
      </c>
      <c r="W1744" s="6" t="str">
        <f>IFERROR(__xludf.DUMMYFUNCTION("""COMPUTED_VALUE"""),"[]")</f>
        <v>[]</v>
      </c>
      <c r="X1744" s="6" t="str">
        <f>IFERROR(__xludf.DUMMYFUNCTION("""COMPUTED_VALUE"""),"Enrolled")</f>
        <v>Enrolled</v>
      </c>
    </row>
    <row r="1745">
      <c r="A1745" s="6" t="str">
        <f>IFERROR(__xludf.DUMMYFUNCTION("""COMPUTED_VALUE"""),"015-1206")</f>
        <v>015-1206</v>
      </c>
      <c r="B1745" s="6" t="str">
        <f>IFERROR(__xludf.DUMMYFUNCTION("""COMPUTED_VALUE"""),"15")</f>
        <v>15</v>
      </c>
      <c r="C1745" s="6" t="str">
        <f>IFERROR(__xludf.DUMMYFUNCTION("""COMPUTED_VALUE"""),"1206")</f>
        <v>1206</v>
      </c>
      <c r="D1745" s="6" t="str">
        <f>IFERROR(__xludf.DUMMYFUNCTION("""COMPUTED_VALUE"""),"Matias")</f>
        <v>Matias</v>
      </c>
      <c r="E1745" s="6" t="str">
        <f>IFERROR(__xludf.DUMMYFUNCTION("""COMPUTED_VALUE"""),"Mati")</f>
        <v>Mati</v>
      </c>
      <c r="F1745" s="6" t="str">
        <f>IFERROR(__xludf.DUMMYFUNCTION("""COMPUTED_VALUE"""),"Cortazar")</f>
        <v>Cortazar</v>
      </c>
      <c r="G1745" s="6" t="str">
        <f>IFERROR(__xludf.DUMMYFUNCTION("""COMPUTED_VALUE"""),"04/30/2015")</f>
        <v>04/30/2015</v>
      </c>
      <c r="H1745" s="6" t="str">
        <f>IFERROR(__xludf.DUMMYFUNCTION("""COMPUTED_VALUE"""),"male")</f>
        <v>male</v>
      </c>
      <c r="I1745" s="6" t="str">
        <f>IFERROR(__xludf.DUMMYFUNCTION("""COMPUTED_VALUE"""),"Level 2")</f>
        <v>Level 2</v>
      </c>
      <c r="J1745" s="6" t="str">
        <f>IFERROR(__xludf.DUMMYFUNCTION("""COMPUTED_VALUE"""),"5")</f>
        <v>5</v>
      </c>
      <c r="K1745" s="6" t="str">
        <f>IFERROR(__xludf.DUMMYFUNCTION("""COMPUTED_VALUE"""),"matias.cortazar@alpha.school")</f>
        <v>matias.cortazar@alpha.school</v>
      </c>
      <c r="L1745" s="6" t="str">
        <f>IFERROR(__xludf.DUMMYFUNCTION("""COMPUTED_VALUE"""),"Alpha School Miami")</f>
        <v>Alpha School Miami</v>
      </c>
      <c r="M1745" s="6" t="str">
        <f>IFERROR(__xludf.DUMMYFUNCTION("""COMPUTED_VALUE"""),"")</f>
        <v/>
      </c>
      <c r="N1745" s="6" t="str">
        <f>IFERROR(__xludf.DUMMYFUNCTION("""COMPUTED_VALUE"""),"")</f>
        <v/>
      </c>
      <c r="O1745" s="87" t="str">
        <f>IFERROR(__xludf.DUMMYFUNCTION("""COMPUTED_VALUE"""),"https://drive.google.com/drive/folders/10T2cTQHqEJZqE-st6uFKPoI?usp=share_link")</f>
        <v>https://drive.google.com/drive/folders/10T2cTQHqEJZqE-st6uFKPoI?usp=share_link</v>
      </c>
      <c r="P1745" s="6" t="str">
        <f>IFERROR(__xludf.DUMMYFUNCTION("""COMPUTED_VALUE"""),"Mati Cortazar")</f>
        <v>Mati Cortazar</v>
      </c>
      <c r="Q1745" s="6" t="str">
        <f>IFERROR(__xludf.DUMMYFUNCTION("""COMPUTED_VALUE"""),"L2")</f>
        <v>L2</v>
      </c>
      <c r="R1745" s="6">
        <f>IFERROR(__xludf.DUMMYFUNCTION("""COMPUTED_VALUE"""),2.0)</f>
        <v>2</v>
      </c>
      <c r="S1745" s="6" t="str">
        <f>IFERROR(__xludf.DUMMYFUNCTION("""COMPUTED_VALUE"""),"Chris Hayes")</f>
        <v>Chris Hayes</v>
      </c>
      <c r="T1745" s="6" t="str">
        <f>IFERROR(__xludf.DUMMYFUNCTION("""COMPUTED_VALUE"""),"chris.hayes@alpha.school")</f>
        <v>chris.hayes@alpha.school</v>
      </c>
      <c r="U1745" s="6" t="str">
        <f>IFERROR(__xludf.DUMMYFUNCTION("""COMPUTED_VALUE"""),"5")</f>
        <v>5</v>
      </c>
      <c r="V1745" s="6" t="str">
        <f>IFERROR(__xludf.DUMMYFUNCTION("""COMPUTED_VALUE"""),"")</f>
        <v/>
      </c>
      <c r="W1745" s="6" t="str">
        <f>IFERROR(__xludf.DUMMYFUNCTION("""COMPUTED_VALUE"""),"[]")</f>
        <v>[]</v>
      </c>
      <c r="X1745" s="6" t="str">
        <f>IFERROR(__xludf.DUMMYFUNCTION("""COMPUTED_VALUE"""),"Enrolled")</f>
        <v>Enrolled</v>
      </c>
    </row>
    <row r="1746">
      <c r="A1746" s="6" t="str">
        <f>IFERROR(__xludf.DUMMYFUNCTION("""COMPUTED_VALUE"""),"015-1207")</f>
        <v>015-1207</v>
      </c>
      <c r="B1746" s="6" t="str">
        <f>IFERROR(__xludf.DUMMYFUNCTION("""COMPUTED_VALUE"""),"15")</f>
        <v>15</v>
      </c>
      <c r="C1746" s="6" t="str">
        <f>IFERROR(__xludf.DUMMYFUNCTION("""COMPUTED_VALUE"""),"1207")</f>
        <v>1207</v>
      </c>
      <c r="D1746" s="6" t="str">
        <f>IFERROR(__xludf.DUMMYFUNCTION("""COMPUTED_VALUE"""),"Pablo")</f>
        <v>Pablo</v>
      </c>
      <c r="E1746" s="6" t="str">
        <f>IFERROR(__xludf.DUMMYFUNCTION("""COMPUTED_VALUE"""),"Pablo")</f>
        <v>Pablo</v>
      </c>
      <c r="F1746" s="6" t="str">
        <f>IFERROR(__xludf.DUMMYFUNCTION("""COMPUTED_VALUE"""),"Cortazar")</f>
        <v>Cortazar</v>
      </c>
      <c r="G1746" s="6" t="str">
        <f>IFERROR(__xludf.DUMMYFUNCTION("""COMPUTED_VALUE"""),"10/15/2018")</f>
        <v>10/15/2018</v>
      </c>
      <c r="H1746" s="6" t="str">
        <f>IFERROR(__xludf.DUMMYFUNCTION("""COMPUTED_VALUE"""),"male")</f>
        <v>male</v>
      </c>
      <c r="I1746" s="6" t="str">
        <f>IFERROR(__xludf.DUMMYFUNCTION("""COMPUTED_VALUE"""),"Level 1")</f>
        <v>Level 1</v>
      </c>
      <c r="J1746" s="6" t="str">
        <f>IFERROR(__xludf.DUMMYFUNCTION("""COMPUTED_VALUE"""),"2")</f>
        <v>2</v>
      </c>
      <c r="K1746" s="6" t="str">
        <f>IFERROR(__xludf.DUMMYFUNCTION("""COMPUTED_VALUE"""),"pablo.cortazar@alpha.school")</f>
        <v>pablo.cortazar@alpha.school</v>
      </c>
      <c r="L1746" s="6" t="str">
        <f>IFERROR(__xludf.DUMMYFUNCTION("""COMPUTED_VALUE"""),"Alpha School Miami")</f>
        <v>Alpha School Miami</v>
      </c>
      <c r="M1746" s="6" t="str">
        <f>IFERROR(__xludf.DUMMYFUNCTION("""COMPUTED_VALUE"""),"")</f>
        <v/>
      </c>
      <c r="N1746" s="6" t="str">
        <f>IFERROR(__xludf.DUMMYFUNCTION("""COMPUTED_VALUE"""),"")</f>
        <v/>
      </c>
      <c r="O1746" s="87" t="str">
        <f>IFERROR(__xludf.DUMMYFUNCTION("""COMPUTED_VALUE"""),"https://drive.google.com/drive/folders/10T2cTQHqEJZqE-st6uFKPoI?usp=share_link")</f>
        <v>https://drive.google.com/drive/folders/10T2cTQHqEJZqE-st6uFKPoI?usp=share_link</v>
      </c>
      <c r="P1746" s="6" t="str">
        <f>IFERROR(__xludf.DUMMYFUNCTION("""COMPUTED_VALUE"""),"Pablo Cortazar")</f>
        <v>Pablo Cortazar</v>
      </c>
      <c r="Q1746" s="6" t="str">
        <f>IFERROR(__xludf.DUMMYFUNCTION("""COMPUTED_VALUE"""),"L1")</f>
        <v>L1</v>
      </c>
      <c r="R1746" s="6">
        <f>IFERROR(__xludf.DUMMYFUNCTION("""COMPUTED_VALUE"""),1.0)</f>
        <v>1</v>
      </c>
      <c r="S1746" s="6" t="str">
        <f>IFERROR(__xludf.DUMMYFUNCTION("""COMPUTED_VALUE"""),"Tim Sheehy")</f>
        <v>Tim Sheehy</v>
      </c>
      <c r="T1746" s="6" t="str">
        <f>IFERROR(__xludf.DUMMYFUNCTION("""COMPUTED_VALUE"""),"timothy.sheehy@alpha.school")</f>
        <v>timothy.sheehy@alpha.school</v>
      </c>
      <c r="U1746" s="6" t="str">
        <f>IFERROR(__xludf.DUMMYFUNCTION("""COMPUTED_VALUE"""),"2")</f>
        <v>2</v>
      </c>
      <c r="V1746" s="6" t="str">
        <f>IFERROR(__xludf.DUMMYFUNCTION("""COMPUTED_VALUE"""),"")</f>
        <v/>
      </c>
      <c r="W1746" s="6" t="str">
        <f>IFERROR(__xludf.DUMMYFUNCTION("""COMPUTED_VALUE"""),"[]")</f>
        <v>[]</v>
      </c>
      <c r="X1746" s="6" t="str">
        <f>IFERROR(__xludf.DUMMYFUNCTION("""COMPUTED_VALUE"""),"Enrolled")</f>
        <v>Enrolled</v>
      </c>
    </row>
    <row r="1747">
      <c r="A1747" s="6" t="str">
        <f>IFERROR(__xludf.DUMMYFUNCTION("""COMPUTED_VALUE"""),"015-1209")</f>
        <v>015-1209</v>
      </c>
      <c r="B1747" s="6" t="str">
        <f>IFERROR(__xludf.DUMMYFUNCTION("""COMPUTED_VALUE"""),"15")</f>
        <v>15</v>
      </c>
      <c r="C1747" s="6" t="str">
        <f>IFERROR(__xludf.DUMMYFUNCTION("""COMPUTED_VALUE"""),"1209")</f>
        <v>1209</v>
      </c>
      <c r="D1747" s="6" t="str">
        <f>IFERROR(__xludf.DUMMYFUNCTION("""COMPUTED_VALUE"""),"Asher")</f>
        <v>Asher</v>
      </c>
      <c r="E1747" s="6" t="str">
        <f>IFERROR(__xludf.DUMMYFUNCTION("""COMPUTED_VALUE"""),"Asher")</f>
        <v>Asher</v>
      </c>
      <c r="F1747" s="6" t="str">
        <f>IFERROR(__xludf.DUMMYFUNCTION("""COMPUTED_VALUE"""),"Hazard")</f>
        <v>Hazard</v>
      </c>
      <c r="G1747" s="6" t="str">
        <f>IFERROR(__xludf.DUMMYFUNCTION("""COMPUTED_VALUE"""),"07/01/2016")</f>
        <v>07/01/2016</v>
      </c>
      <c r="H1747" s="6" t="str">
        <f>IFERROR(__xludf.DUMMYFUNCTION("""COMPUTED_VALUE"""),"male")</f>
        <v>male</v>
      </c>
      <c r="I1747" s="6" t="str">
        <f>IFERROR(__xludf.DUMMYFUNCTION("""COMPUTED_VALUE"""),"Level 2")</f>
        <v>Level 2</v>
      </c>
      <c r="J1747" s="6" t="str">
        <f>IFERROR(__xludf.DUMMYFUNCTION("""COMPUTED_VALUE"""),"4")</f>
        <v>4</v>
      </c>
      <c r="K1747" s="6" t="str">
        <f>IFERROR(__xludf.DUMMYFUNCTION("""COMPUTED_VALUE"""),"asher.hazard@alpha.school")</f>
        <v>asher.hazard@alpha.school</v>
      </c>
      <c r="L1747" s="6" t="str">
        <f>IFERROR(__xludf.DUMMYFUNCTION("""COMPUTED_VALUE"""),"Alpha School Miami")</f>
        <v>Alpha School Miami</v>
      </c>
      <c r="M1747" s="6" t="str">
        <f>IFERROR(__xludf.DUMMYFUNCTION("""COMPUTED_VALUE"""),"")</f>
        <v/>
      </c>
      <c r="N1747" s="6" t="str">
        <f>IFERROR(__xludf.DUMMYFUNCTION("""COMPUTED_VALUE"""),"")</f>
        <v/>
      </c>
      <c r="O1747" s="87" t="str">
        <f>IFERROR(__xludf.DUMMYFUNCTION("""COMPUTED_VALUE"""),"https://drive.google.com/drive/folders/10T2cTQHqEJZqE-st6uFKPoI?usp=share_link")</f>
        <v>https://drive.google.com/drive/folders/10T2cTQHqEJZqE-st6uFKPoI?usp=share_link</v>
      </c>
      <c r="P1747" s="6" t="str">
        <f>IFERROR(__xludf.DUMMYFUNCTION("""COMPUTED_VALUE"""),"Asher Hazard")</f>
        <v>Asher Hazard</v>
      </c>
      <c r="Q1747" s="6" t="str">
        <f>IFERROR(__xludf.DUMMYFUNCTION("""COMPUTED_VALUE"""),"L2")</f>
        <v>L2</v>
      </c>
      <c r="R1747" s="6">
        <f>IFERROR(__xludf.DUMMYFUNCTION("""COMPUTED_VALUE"""),2.0)</f>
        <v>2</v>
      </c>
      <c r="S1747" s="6" t="str">
        <f>IFERROR(__xludf.DUMMYFUNCTION("""COMPUTED_VALUE"""),"Sunny Lulla")</f>
        <v>Sunny Lulla</v>
      </c>
      <c r="T1747" s="6" t="str">
        <f>IFERROR(__xludf.DUMMYFUNCTION("""COMPUTED_VALUE"""),"sunny.lulla@alpha.school")</f>
        <v>sunny.lulla@alpha.school</v>
      </c>
      <c r="U1747" s="6" t="str">
        <f>IFERROR(__xludf.DUMMYFUNCTION("""COMPUTED_VALUE"""),"4")</f>
        <v>4</v>
      </c>
      <c r="V1747" s="6" t="str">
        <f>IFERROR(__xludf.DUMMYFUNCTION("""COMPUTED_VALUE"""),"")</f>
        <v/>
      </c>
      <c r="W1747" s="6" t="str">
        <f>IFERROR(__xludf.DUMMYFUNCTION("""COMPUTED_VALUE"""),"[]")</f>
        <v>[]</v>
      </c>
      <c r="X1747" s="6" t="str">
        <f>IFERROR(__xludf.DUMMYFUNCTION("""COMPUTED_VALUE"""),"Enrolled")</f>
        <v>Enrolled</v>
      </c>
    </row>
    <row r="1748">
      <c r="A1748" s="6" t="str">
        <f>IFERROR(__xludf.DUMMYFUNCTION("""COMPUTED_VALUE"""),"015-1224")</f>
        <v>015-1224</v>
      </c>
      <c r="B1748" s="6" t="str">
        <f>IFERROR(__xludf.DUMMYFUNCTION("""COMPUTED_VALUE"""),"15")</f>
        <v>15</v>
      </c>
      <c r="C1748" s="6" t="str">
        <f>IFERROR(__xludf.DUMMYFUNCTION("""COMPUTED_VALUE"""),"1224")</f>
        <v>1224</v>
      </c>
      <c r="D1748" s="6" t="str">
        <f>IFERROR(__xludf.DUMMYFUNCTION("""COMPUTED_VALUE"""),"Osborne")</f>
        <v>Osborne</v>
      </c>
      <c r="E1748" s="6" t="str">
        <f>IFERROR(__xludf.DUMMYFUNCTION("""COMPUTED_VALUE"""),"Ozzie")</f>
        <v>Ozzie</v>
      </c>
      <c r="F1748" s="6" t="str">
        <f>IFERROR(__xludf.DUMMYFUNCTION("""COMPUTED_VALUE"""),"Lowe")</f>
        <v>Lowe</v>
      </c>
      <c r="G1748" s="6" t="str">
        <f>IFERROR(__xludf.DUMMYFUNCTION("""COMPUTED_VALUE"""),"07/06/2013")</f>
        <v>07/06/2013</v>
      </c>
      <c r="H1748" s="6" t="str">
        <f>IFERROR(__xludf.DUMMYFUNCTION("""COMPUTED_VALUE"""),"male")</f>
        <v>male</v>
      </c>
      <c r="I1748" s="6" t="str">
        <f>IFERROR(__xludf.DUMMYFUNCTION("""COMPUTED_VALUE"""),"Middle School")</f>
        <v>Middle School</v>
      </c>
      <c r="J1748" s="6" t="str">
        <f>IFERROR(__xludf.DUMMYFUNCTION("""COMPUTED_VALUE"""),"6")</f>
        <v>6</v>
      </c>
      <c r="K1748" s="6" t="str">
        <f>IFERROR(__xludf.DUMMYFUNCTION("""COMPUTED_VALUE"""),"ozzie.lowe@alpha.school")</f>
        <v>ozzie.lowe@alpha.school</v>
      </c>
      <c r="L1748" s="6" t="str">
        <f>IFERROR(__xludf.DUMMYFUNCTION("""COMPUTED_VALUE"""),"Alpha School Miami")</f>
        <v>Alpha School Miami</v>
      </c>
      <c r="M1748" s="6" t="str">
        <f>IFERROR(__xludf.DUMMYFUNCTION("""COMPUTED_VALUE"""),"")</f>
        <v/>
      </c>
      <c r="N1748" s="6" t="str">
        <f>IFERROR(__xludf.DUMMYFUNCTION("""COMPUTED_VALUE"""),"")</f>
        <v/>
      </c>
      <c r="O1748" s="87" t="str">
        <f>IFERROR(__xludf.DUMMYFUNCTION("""COMPUTED_VALUE"""),"https://drive.google.com/drive/folders/10T2cTQHqEJZqE-st6uFKPoI?usp=share_link")</f>
        <v>https://drive.google.com/drive/folders/10T2cTQHqEJZqE-st6uFKPoI?usp=share_link</v>
      </c>
      <c r="P1748" s="6" t="str">
        <f>IFERROR(__xludf.DUMMYFUNCTION("""COMPUTED_VALUE"""),"Ozzie Lowe")</f>
        <v>Ozzie Lowe</v>
      </c>
      <c r="Q1748" s="6" t="str">
        <f>IFERROR(__xludf.DUMMYFUNCTION("""COMPUTED_VALUE"""),"MS")</f>
        <v>MS</v>
      </c>
      <c r="R1748" s="6">
        <f>IFERROR(__xludf.DUMMYFUNCTION("""COMPUTED_VALUE"""),0.0)</f>
        <v>0</v>
      </c>
      <c r="S1748" s="6" t="str">
        <f>IFERROR(__xludf.DUMMYFUNCTION("""COMPUTED_VALUE"""),"Santi Orozco")</f>
        <v>Santi Orozco</v>
      </c>
      <c r="T1748" s="6" t="str">
        <f>IFERROR(__xludf.DUMMYFUNCTION("""COMPUTED_VALUE"""),"santiago.garcia@alpha.school")</f>
        <v>santiago.garcia@alpha.school</v>
      </c>
      <c r="U1748" s="6" t="str">
        <f>IFERROR(__xludf.DUMMYFUNCTION("""COMPUTED_VALUE"""),"6")</f>
        <v>6</v>
      </c>
      <c r="V1748" s="6" t="str">
        <f>IFERROR(__xludf.DUMMYFUNCTION("""COMPUTED_VALUE"""),"")</f>
        <v/>
      </c>
      <c r="W1748" s="6" t="str">
        <f>IFERROR(__xludf.DUMMYFUNCTION("""COMPUTED_VALUE"""),"[]")</f>
        <v>[]</v>
      </c>
      <c r="X1748" s="6" t="str">
        <f>IFERROR(__xludf.DUMMYFUNCTION("""COMPUTED_VALUE"""),"Enrolled")</f>
        <v>Enrolled</v>
      </c>
    </row>
    <row r="1749">
      <c r="A1749" s="6" t="str">
        <f>IFERROR(__xludf.DUMMYFUNCTION("""COMPUTED_VALUE"""),"015-1228")</f>
        <v>015-1228</v>
      </c>
      <c r="B1749" s="6" t="str">
        <f>IFERROR(__xludf.DUMMYFUNCTION("""COMPUTED_VALUE"""),"15")</f>
        <v>15</v>
      </c>
      <c r="C1749" s="6" t="str">
        <f>IFERROR(__xludf.DUMMYFUNCTION("""COMPUTED_VALUE"""),"1228")</f>
        <v>1228</v>
      </c>
      <c r="D1749" s="6" t="str">
        <f>IFERROR(__xludf.DUMMYFUNCTION("""COMPUTED_VALUE"""),"Gavyn")</f>
        <v>Gavyn</v>
      </c>
      <c r="E1749" s="6" t="str">
        <f>IFERROR(__xludf.DUMMYFUNCTION("""COMPUTED_VALUE"""),"Gavyn")</f>
        <v>Gavyn</v>
      </c>
      <c r="F1749" s="6" t="str">
        <f>IFERROR(__xludf.DUMMYFUNCTION("""COMPUTED_VALUE"""),"Martinez")</f>
        <v>Martinez</v>
      </c>
      <c r="G1749" s="6" t="str">
        <f>IFERROR(__xludf.DUMMYFUNCTION("""COMPUTED_VALUE"""),"03/25/2012")</f>
        <v>03/25/2012</v>
      </c>
      <c r="H1749" s="6" t="str">
        <f>IFERROR(__xludf.DUMMYFUNCTION("""COMPUTED_VALUE"""),"male")</f>
        <v>male</v>
      </c>
      <c r="I1749" s="6" t="str">
        <f>IFERROR(__xludf.DUMMYFUNCTION("""COMPUTED_VALUE"""),"Middle School")</f>
        <v>Middle School</v>
      </c>
      <c r="J1749" s="6" t="str">
        <f>IFERROR(__xludf.DUMMYFUNCTION("""COMPUTED_VALUE"""),"8")</f>
        <v>8</v>
      </c>
      <c r="K1749" s="6" t="str">
        <f>IFERROR(__xludf.DUMMYFUNCTION("""COMPUTED_VALUE"""),"gavyn.martinez@alpha.school")</f>
        <v>gavyn.martinez@alpha.school</v>
      </c>
      <c r="L1749" s="6" t="str">
        <f>IFERROR(__xludf.DUMMYFUNCTION("""COMPUTED_VALUE"""),"Alpha School Miami")</f>
        <v>Alpha School Miami</v>
      </c>
      <c r="M1749" s="6" t="str">
        <f>IFERROR(__xludf.DUMMYFUNCTION("""COMPUTED_VALUE"""),"")</f>
        <v/>
      </c>
      <c r="N1749" s="6" t="str">
        <f>IFERROR(__xludf.DUMMYFUNCTION("""COMPUTED_VALUE"""),"")</f>
        <v/>
      </c>
      <c r="O1749" s="87" t="str">
        <f>IFERROR(__xludf.DUMMYFUNCTION("""COMPUTED_VALUE"""),"https://drive.google.com/drive/folders/10T2cTQHqEJZqE-st6uFKPoI?usp=share_link")</f>
        <v>https://drive.google.com/drive/folders/10T2cTQHqEJZqE-st6uFKPoI?usp=share_link</v>
      </c>
      <c r="P1749" s="6" t="str">
        <f>IFERROR(__xludf.DUMMYFUNCTION("""COMPUTED_VALUE"""),"Gavyn Martinez")</f>
        <v>Gavyn Martinez</v>
      </c>
      <c r="Q1749" s="6" t="str">
        <f>IFERROR(__xludf.DUMMYFUNCTION("""COMPUTED_VALUE"""),"MS")</f>
        <v>MS</v>
      </c>
      <c r="R1749" s="6">
        <f>IFERROR(__xludf.DUMMYFUNCTION("""COMPUTED_VALUE"""),0.0)</f>
        <v>0</v>
      </c>
      <c r="S1749" s="6" t="str">
        <f>IFERROR(__xludf.DUMMYFUNCTION("""COMPUTED_VALUE"""),"Evan Ore")</f>
        <v>Evan Ore</v>
      </c>
      <c r="T1749" s="6" t="str">
        <f>IFERROR(__xludf.DUMMYFUNCTION("""COMPUTED_VALUE"""),"evan.ore@alpha.school")</f>
        <v>evan.ore@alpha.school</v>
      </c>
      <c r="U1749" s="6" t="str">
        <f>IFERROR(__xludf.DUMMYFUNCTION("""COMPUTED_VALUE"""),"8")</f>
        <v>8</v>
      </c>
      <c r="V1749" s="6" t="str">
        <f>IFERROR(__xludf.DUMMYFUNCTION("""COMPUTED_VALUE"""),"")</f>
        <v/>
      </c>
      <c r="W1749" s="6" t="str">
        <f>IFERROR(__xludf.DUMMYFUNCTION("""COMPUTED_VALUE"""),"[]")</f>
        <v>[]</v>
      </c>
      <c r="X1749" s="6" t="str">
        <f>IFERROR(__xludf.DUMMYFUNCTION("""COMPUTED_VALUE"""),"Enrolled")</f>
        <v>Enrolled</v>
      </c>
    </row>
    <row r="1750">
      <c r="A1750" s="6" t="str">
        <f>IFERROR(__xludf.DUMMYFUNCTION("""COMPUTED_VALUE"""),"015-1232")</f>
        <v>015-1232</v>
      </c>
      <c r="B1750" s="6" t="str">
        <f>IFERROR(__xludf.DUMMYFUNCTION("""COMPUTED_VALUE"""),"15")</f>
        <v>15</v>
      </c>
      <c r="C1750" s="6" t="str">
        <f>IFERROR(__xludf.DUMMYFUNCTION("""COMPUTED_VALUE"""),"1232")</f>
        <v>1232</v>
      </c>
      <c r="D1750" s="6" t="str">
        <f>IFERROR(__xludf.DUMMYFUNCTION("""COMPUTED_VALUE"""),"Isabella")</f>
        <v>Isabella</v>
      </c>
      <c r="E1750" s="6" t="str">
        <f>IFERROR(__xludf.DUMMYFUNCTION("""COMPUTED_VALUE"""),"Izzy")</f>
        <v>Izzy</v>
      </c>
      <c r="F1750" s="6" t="str">
        <f>IFERROR(__xludf.DUMMYFUNCTION("""COMPUTED_VALUE"""),"Vicente")</f>
        <v>Vicente</v>
      </c>
      <c r="G1750" s="6" t="str">
        <f>IFERROR(__xludf.DUMMYFUNCTION("""COMPUTED_VALUE"""),"04/07/2011")</f>
        <v>04/07/2011</v>
      </c>
      <c r="H1750" s="6" t="str">
        <f>IFERROR(__xludf.DUMMYFUNCTION("""COMPUTED_VALUE"""),"female")</f>
        <v>female</v>
      </c>
      <c r="I1750" s="6" t="str">
        <f>IFERROR(__xludf.DUMMYFUNCTION("""COMPUTED_VALUE"""),"High School")</f>
        <v>High School</v>
      </c>
      <c r="J1750" s="6" t="str">
        <f>IFERROR(__xludf.DUMMYFUNCTION("""COMPUTED_VALUE"""),"9")</f>
        <v>9</v>
      </c>
      <c r="K1750" s="6" t="str">
        <f>IFERROR(__xludf.DUMMYFUNCTION("""COMPUTED_VALUE"""),"isabella.vicente@alpha.school")</f>
        <v>isabella.vicente@alpha.school</v>
      </c>
      <c r="L1750" s="6" t="str">
        <f>IFERROR(__xludf.DUMMYFUNCTION("""COMPUTED_VALUE"""),"Alpha School Miami")</f>
        <v>Alpha School Miami</v>
      </c>
      <c r="M1750" s="6" t="str">
        <f>IFERROR(__xludf.DUMMYFUNCTION("""COMPUTED_VALUE"""),"")</f>
        <v/>
      </c>
      <c r="N1750" s="6" t="str">
        <f>IFERROR(__xludf.DUMMYFUNCTION("""COMPUTED_VALUE"""),"")</f>
        <v/>
      </c>
      <c r="O1750" s="87" t="str">
        <f>IFERROR(__xludf.DUMMYFUNCTION("""COMPUTED_VALUE"""),"https://drive.google.com/drive/folders/10T2cTQHqEJZqE-st6uFKPoI?usp=share_link")</f>
        <v>https://drive.google.com/drive/folders/10T2cTQHqEJZqE-st6uFKPoI?usp=share_link</v>
      </c>
      <c r="P1750" s="6" t="str">
        <f>IFERROR(__xludf.DUMMYFUNCTION("""COMPUTED_VALUE"""),"Izzy Vicente")</f>
        <v>Izzy Vicente</v>
      </c>
      <c r="Q1750" s="6" t="str">
        <f>IFERROR(__xludf.DUMMYFUNCTION("""COMPUTED_VALUE"""),"HS")</f>
        <v>HS</v>
      </c>
      <c r="R1750" s="6">
        <f>IFERROR(__xludf.DUMMYFUNCTION("""COMPUTED_VALUE"""),0.0)</f>
        <v>0</v>
      </c>
      <c r="S1750" s="6" t="str">
        <f>IFERROR(__xludf.DUMMYFUNCTION("""COMPUTED_VALUE"""),"Logan Higuera")</f>
        <v>Logan Higuera</v>
      </c>
      <c r="T1750" s="6" t="str">
        <f>IFERROR(__xludf.DUMMYFUNCTION("""COMPUTED_VALUE"""),"logan.higuera@alpha.school")</f>
        <v>logan.higuera@alpha.school</v>
      </c>
      <c r="U1750" s="6" t="str">
        <f>IFERROR(__xludf.DUMMYFUNCTION("""COMPUTED_VALUE"""),"9")</f>
        <v>9</v>
      </c>
      <c r="V1750" s="6" t="str">
        <f>IFERROR(__xludf.DUMMYFUNCTION("""COMPUTED_VALUE"""),"")</f>
        <v/>
      </c>
      <c r="W1750" s="6" t="str">
        <f>IFERROR(__xludf.DUMMYFUNCTION("""COMPUTED_VALUE"""),"[]")</f>
        <v>[]</v>
      </c>
      <c r="X1750" s="6" t="str">
        <f>IFERROR(__xludf.DUMMYFUNCTION("""COMPUTED_VALUE"""),"Enrolled")</f>
        <v>Enrolled</v>
      </c>
    </row>
    <row r="1751">
      <c r="A1751" s="6" t="str">
        <f>IFERROR(__xludf.DUMMYFUNCTION("""COMPUTED_VALUE"""),"015-1241")</f>
        <v>015-1241</v>
      </c>
      <c r="B1751" s="6" t="str">
        <f>IFERROR(__xludf.DUMMYFUNCTION("""COMPUTED_VALUE"""),"15")</f>
        <v>15</v>
      </c>
      <c r="C1751" s="6" t="str">
        <f>IFERROR(__xludf.DUMMYFUNCTION("""COMPUTED_VALUE"""),"1241")</f>
        <v>1241</v>
      </c>
      <c r="D1751" s="6" t="str">
        <f>IFERROR(__xludf.DUMMYFUNCTION("""COMPUTED_VALUE"""),"Giulia")</f>
        <v>Giulia</v>
      </c>
      <c r="E1751" s="6" t="str">
        <f>IFERROR(__xludf.DUMMYFUNCTION("""COMPUTED_VALUE"""),"")</f>
        <v/>
      </c>
      <c r="F1751" s="6" t="str">
        <f>IFERROR(__xludf.DUMMYFUNCTION("""COMPUTED_VALUE"""),"Scandella")</f>
        <v>Scandella</v>
      </c>
      <c r="G1751" s="6" t="str">
        <f>IFERROR(__xludf.DUMMYFUNCTION("""COMPUTED_VALUE"""),"05/11/2014")</f>
        <v>05/11/2014</v>
      </c>
      <c r="H1751" s="6" t="str">
        <f>IFERROR(__xludf.DUMMYFUNCTION("""COMPUTED_VALUE"""),"Female")</f>
        <v>Female</v>
      </c>
      <c r="I1751" s="6" t="str">
        <f>IFERROR(__xludf.DUMMYFUNCTION("""COMPUTED_VALUE"""),"Level 2")</f>
        <v>Level 2</v>
      </c>
      <c r="J1751" s="6" t="str">
        <f>IFERROR(__xludf.DUMMYFUNCTION("""COMPUTED_VALUE"""),"5")</f>
        <v>5</v>
      </c>
      <c r="K1751" s="6" t="str">
        <f>IFERROR(__xludf.DUMMYFUNCTION("""COMPUTED_VALUE"""),"giulia.scandella@alpha.school")</f>
        <v>giulia.scandella@alpha.school</v>
      </c>
      <c r="L1751" s="6" t="str">
        <f>IFERROR(__xludf.DUMMYFUNCTION("""COMPUTED_VALUE"""),"Alpha School Miami")</f>
        <v>Alpha School Miami</v>
      </c>
      <c r="M1751" s="6" t="str">
        <f>IFERROR(__xludf.DUMMYFUNCTION("""COMPUTED_VALUE"""),"")</f>
        <v/>
      </c>
      <c r="N1751" s="6" t="str">
        <f>IFERROR(__xludf.DUMMYFUNCTION("""COMPUTED_VALUE"""),"")</f>
        <v/>
      </c>
      <c r="O1751" s="87" t="str">
        <f>IFERROR(__xludf.DUMMYFUNCTION("""COMPUTED_VALUE"""),"https://drive.google.com/drive/folders/10T2cTQHqEJZqE-st6uFKPoI?usp=share_link")</f>
        <v>https://drive.google.com/drive/folders/10T2cTQHqEJZqE-st6uFKPoI?usp=share_link</v>
      </c>
      <c r="P1751" s="6" t="str">
        <f>IFERROR(__xludf.DUMMYFUNCTION("""COMPUTED_VALUE"""),"Giulia Scandella")</f>
        <v>Giulia Scandella</v>
      </c>
      <c r="Q1751" s="6" t="str">
        <f>IFERROR(__xludf.DUMMYFUNCTION("""COMPUTED_VALUE"""),"L2")</f>
        <v>L2</v>
      </c>
      <c r="R1751" s="6">
        <f>IFERROR(__xludf.DUMMYFUNCTION("""COMPUTED_VALUE"""),2.0)</f>
        <v>2</v>
      </c>
      <c r="S1751" s="6" t="str">
        <f>IFERROR(__xludf.DUMMYFUNCTION("""COMPUTED_VALUE"""),"Chris Hayes")</f>
        <v>Chris Hayes</v>
      </c>
      <c r="T1751" s="6" t="str">
        <f>IFERROR(__xludf.DUMMYFUNCTION("""COMPUTED_VALUE"""),"chris.hayes@alpha.school")</f>
        <v>chris.hayes@alpha.school</v>
      </c>
      <c r="U1751" s="6" t="str">
        <f>IFERROR(__xludf.DUMMYFUNCTION("""COMPUTED_VALUE"""),"5")</f>
        <v>5</v>
      </c>
      <c r="V1751" s="6" t="str">
        <f>IFERROR(__xludf.DUMMYFUNCTION("""COMPUTED_VALUE"""),"English")</f>
        <v>English</v>
      </c>
      <c r="W1751" s="6" t="str">
        <f>IFERROR(__xludf.DUMMYFUNCTION("""COMPUTED_VALUE"""),"[]")</f>
        <v>[]</v>
      </c>
      <c r="X1751" s="6" t="str">
        <f>IFERROR(__xludf.DUMMYFUNCTION("""COMPUTED_VALUE"""),"Enrolled")</f>
        <v>Enrolled</v>
      </c>
    </row>
    <row r="1752">
      <c r="A1752" s="6" t="str">
        <f>IFERROR(__xludf.DUMMYFUNCTION("""COMPUTED_VALUE"""),"015-1255")</f>
        <v>015-1255</v>
      </c>
      <c r="B1752" s="6" t="str">
        <f>IFERROR(__xludf.DUMMYFUNCTION("""COMPUTED_VALUE"""),"15")</f>
        <v>15</v>
      </c>
      <c r="C1752" s="6" t="str">
        <f>IFERROR(__xludf.DUMMYFUNCTION("""COMPUTED_VALUE"""),"1255")</f>
        <v>1255</v>
      </c>
      <c r="D1752" s="6" t="str">
        <f>IFERROR(__xludf.DUMMYFUNCTION("""COMPUTED_VALUE"""),"Max")</f>
        <v>Max</v>
      </c>
      <c r="E1752" s="6" t="str">
        <f>IFERROR(__xludf.DUMMYFUNCTION("""COMPUTED_VALUE"""),"")</f>
        <v/>
      </c>
      <c r="F1752" s="6" t="str">
        <f>IFERROR(__xludf.DUMMYFUNCTION("""COMPUTED_VALUE"""),"Jimenez")</f>
        <v>Jimenez</v>
      </c>
      <c r="G1752" s="6" t="str">
        <f>IFERROR(__xludf.DUMMYFUNCTION("""COMPUTED_VALUE"""),"01/02/2015")</f>
        <v>01/02/2015</v>
      </c>
      <c r="H1752" s="6" t="str">
        <f>IFERROR(__xludf.DUMMYFUNCTION("""COMPUTED_VALUE"""),"male")</f>
        <v>male</v>
      </c>
      <c r="I1752" s="6" t="str">
        <f>IFERROR(__xludf.DUMMYFUNCTION("""COMPUTED_VALUE"""),"Level 2")</f>
        <v>Level 2</v>
      </c>
      <c r="J1752" s="6" t="str">
        <f>IFERROR(__xludf.DUMMYFUNCTION("""COMPUTED_VALUE"""),"5")</f>
        <v>5</v>
      </c>
      <c r="K1752" s="6" t="str">
        <f>IFERROR(__xludf.DUMMYFUNCTION("""COMPUTED_VALUE"""),"max.jimenez@alpha.school")</f>
        <v>max.jimenez@alpha.school</v>
      </c>
      <c r="L1752" s="6" t="str">
        <f>IFERROR(__xludf.DUMMYFUNCTION("""COMPUTED_VALUE"""),"Alpha School Miami")</f>
        <v>Alpha School Miami</v>
      </c>
      <c r="M1752" s="6" t="str">
        <f>IFERROR(__xludf.DUMMYFUNCTION("""COMPUTED_VALUE"""),"")</f>
        <v/>
      </c>
      <c r="N1752" s="6" t="str">
        <f>IFERROR(__xludf.DUMMYFUNCTION("""COMPUTED_VALUE"""),"")</f>
        <v/>
      </c>
      <c r="O1752" s="87" t="str">
        <f>IFERROR(__xludf.DUMMYFUNCTION("""COMPUTED_VALUE"""),"https://drive.google.com/drive/folders/10T2cTQHqEJZqE-st6uFKPoI?usp=share_link")</f>
        <v>https://drive.google.com/drive/folders/10T2cTQHqEJZqE-st6uFKPoI?usp=share_link</v>
      </c>
      <c r="P1752" s="6" t="str">
        <f>IFERROR(__xludf.DUMMYFUNCTION("""COMPUTED_VALUE"""),"Max Jimenez")</f>
        <v>Max Jimenez</v>
      </c>
      <c r="Q1752" s="6" t="str">
        <f>IFERROR(__xludf.DUMMYFUNCTION("""COMPUTED_VALUE"""),"L2")</f>
        <v>L2</v>
      </c>
      <c r="R1752" s="6">
        <f>IFERROR(__xludf.DUMMYFUNCTION("""COMPUTED_VALUE"""),2.0)</f>
        <v>2</v>
      </c>
      <c r="S1752" s="6" t="str">
        <f>IFERROR(__xludf.DUMMYFUNCTION("""COMPUTED_VALUE"""),"Chris Hayes")</f>
        <v>Chris Hayes</v>
      </c>
      <c r="T1752" s="6" t="str">
        <f>IFERROR(__xludf.DUMMYFUNCTION("""COMPUTED_VALUE"""),"chris.hayes@alpha.school")</f>
        <v>chris.hayes@alpha.school</v>
      </c>
      <c r="U1752" s="6" t="str">
        <f>IFERROR(__xludf.DUMMYFUNCTION("""COMPUTED_VALUE"""),"5")</f>
        <v>5</v>
      </c>
      <c r="V1752" s="6" t="str">
        <f>IFERROR(__xludf.DUMMYFUNCTION("""COMPUTED_VALUE"""),"")</f>
        <v/>
      </c>
      <c r="W1752" s="6" t="str">
        <f>IFERROR(__xludf.DUMMYFUNCTION("""COMPUTED_VALUE"""),"[]")</f>
        <v>[]</v>
      </c>
      <c r="X1752" s="6" t="str">
        <f>IFERROR(__xludf.DUMMYFUNCTION("""COMPUTED_VALUE"""),"Enrolled")</f>
        <v>Enrolled</v>
      </c>
    </row>
    <row r="1753">
      <c r="A1753" s="6" t="str">
        <f>IFERROR(__xludf.DUMMYFUNCTION("""COMPUTED_VALUE"""),"015-1901")</f>
        <v>015-1901</v>
      </c>
      <c r="B1753" s="6" t="str">
        <f>IFERROR(__xludf.DUMMYFUNCTION("""COMPUTED_VALUE"""),"15")</f>
        <v>15</v>
      </c>
      <c r="C1753" s="6" t="str">
        <f>IFERROR(__xludf.DUMMYFUNCTION("""COMPUTED_VALUE"""),"1901")</f>
        <v>1901</v>
      </c>
      <c r="D1753" s="6" t="str">
        <f>IFERROR(__xludf.DUMMYFUNCTION("""COMPUTED_VALUE"""),"Isabella")</f>
        <v>Isabella</v>
      </c>
      <c r="E1753" s="6" t="str">
        <f>IFERROR(__xludf.DUMMYFUNCTION("""COMPUTED_VALUE"""),"Isa")</f>
        <v>Isa</v>
      </c>
      <c r="F1753" s="6" t="str">
        <f>IFERROR(__xludf.DUMMYFUNCTION("""COMPUTED_VALUE"""),"De La Riva")</f>
        <v>De La Riva</v>
      </c>
      <c r="G1753" s="6" t="str">
        <f>IFERROR(__xludf.DUMMYFUNCTION("""COMPUTED_VALUE"""),"02/06/2017")</f>
        <v>02/06/2017</v>
      </c>
      <c r="H1753" s="6" t="str">
        <f>IFERROR(__xludf.DUMMYFUNCTION("""COMPUTED_VALUE"""),"female")</f>
        <v>female</v>
      </c>
      <c r="I1753" s="6" t="str">
        <f>IFERROR(__xludf.DUMMYFUNCTION("""COMPUTED_VALUE"""),"Level 1")</f>
        <v>Level 1</v>
      </c>
      <c r="J1753" s="6" t="str">
        <f>IFERROR(__xludf.DUMMYFUNCTION("""COMPUTED_VALUE"""),"3")</f>
        <v>3</v>
      </c>
      <c r="K1753" s="6" t="str">
        <f>IFERROR(__xludf.DUMMYFUNCTION("""COMPUTED_VALUE"""),"isabella.delariva@alpha.school")</f>
        <v>isabella.delariva@alpha.school</v>
      </c>
      <c r="L1753" s="6" t="str">
        <f>IFERROR(__xludf.DUMMYFUNCTION("""COMPUTED_VALUE"""),"Alpha School Miami")</f>
        <v>Alpha School Miami</v>
      </c>
      <c r="M1753" s="6" t="str">
        <f>IFERROR(__xludf.DUMMYFUNCTION("""COMPUTED_VALUE"""),"")</f>
        <v/>
      </c>
      <c r="N1753" s="6" t="str">
        <f>IFERROR(__xludf.DUMMYFUNCTION("""COMPUTED_VALUE"""),"")</f>
        <v/>
      </c>
      <c r="O1753" s="87" t="str">
        <f>IFERROR(__xludf.DUMMYFUNCTION("""COMPUTED_VALUE"""),"https://drive.google.com/drive/folders/10T2cTQHqEJZqE-st6uFKPoI?usp=share_link")</f>
        <v>https://drive.google.com/drive/folders/10T2cTQHqEJZqE-st6uFKPoI?usp=share_link</v>
      </c>
      <c r="P1753" s="6" t="str">
        <f>IFERROR(__xludf.DUMMYFUNCTION("""COMPUTED_VALUE"""),"Isa De La Riva")</f>
        <v>Isa De La Riva</v>
      </c>
      <c r="Q1753" s="6" t="str">
        <f>IFERROR(__xludf.DUMMYFUNCTION("""COMPUTED_VALUE"""),"L1")</f>
        <v>L1</v>
      </c>
      <c r="R1753" s="6">
        <f>IFERROR(__xludf.DUMMYFUNCTION("""COMPUTED_VALUE"""),1.0)</f>
        <v>1</v>
      </c>
      <c r="S1753" s="6" t="str">
        <f>IFERROR(__xludf.DUMMYFUNCTION("""COMPUTED_VALUE"""),"Brittany Ore")</f>
        <v>Brittany Ore</v>
      </c>
      <c r="T1753" s="6" t="str">
        <f>IFERROR(__xludf.DUMMYFUNCTION("""COMPUTED_VALUE"""),"brittany.ore@alpha.school")</f>
        <v>brittany.ore@alpha.school</v>
      </c>
      <c r="U1753" s="6" t="str">
        <f>IFERROR(__xludf.DUMMYFUNCTION("""COMPUTED_VALUE"""),"3")</f>
        <v>3</v>
      </c>
      <c r="V1753" s="6" t="str">
        <f>IFERROR(__xludf.DUMMYFUNCTION("""COMPUTED_VALUE"""),"")</f>
        <v/>
      </c>
      <c r="W1753" s="6" t="str">
        <f>IFERROR(__xludf.DUMMYFUNCTION("""COMPUTED_VALUE"""),"[]")</f>
        <v>[]</v>
      </c>
      <c r="X1753" s="6" t="str">
        <f>IFERROR(__xludf.DUMMYFUNCTION("""COMPUTED_VALUE"""),"Enrolled")</f>
        <v>Enrolled</v>
      </c>
    </row>
    <row r="1754">
      <c r="A1754" s="6" t="str">
        <f>IFERROR(__xludf.DUMMYFUNCTION("""COMPUTED_VALUE"""),"015-1920")</f>
        <v>015-1920</v>
      </c>
      <c r="B1754" s="6" t="str">
        <f>IFERROR(__xludf.DUMMYFUNCTION("""COMPUTED_VALUE"""),"15")</f>
        <v>15</v>
      </c>
      <c r="C1754" s="6" t="str">
        <f>IFERROR(__xludf.DUMMYFUNCTION("""COMPUTED_VALUE"""),"1920")</f>
        <v>1920</v>
      </c>
      <c r="D1754" s="6" t="str">
        <f>IFERROR(__xludf.DUMMYFUNCTION("""COMPUTED_VALUE"""),"Catherine")</f>
        <v>Catherine</v>
      </c>
      <c r="E1754" s="6" t="str">
        <f>IFERROR(__xludf.DUMMYFUNCTION("""COMPUTED_VALUE"""),"Catherine")</f>
        <v>Catherine</v>
      </c>
      <c r="F1754" s="6" t="str">
        <f>IFERROR(__xludf.DUMMYFUNCTION("""COMPUTED_VALUE"""),"Caballero")</f>
        <v>Caballero</v>
      </c>
      <c r="G1754" s="6" t="str">
        <f>IFERROR(__xludf.DUMMYFUNCTION("""COMPUTED_VALUE"""),"05/21/2018")</f>
        <v>05/21/2018</v>
      </c>
      <c r="H1754" s="6" t="str">
        <f>IFERROR(__xludf.DUMMYFUNCTION("""COMPUTED_VALUE"""),"female")</f>
        <v>female</v>
      </c>
      <c r="I1754" s="6" t="str">
        <f>IFERROR(__xludf.DUMMYFUNCTION("""COMPUTED_VALUE"""),"Level 1")</f>
        <v>Level 1</v>
      </c>
      <c r="J1754" s="6" t="str">
        <f>IFERROR(__xludf.DUMMYFUNCTION("""COMPUTED_VALUE"""),"2")</f>
        <v>2</v>
      </c>
      <c r="K1754" s="6" t="str">
        <f>IFERROR(__xludf.DUMMYFUNCTION("""COMPUTED_VALUE"""),"catherine.caballero@alpha.school")</f>
        <v>catherine.caballero@alpha.school</v>
      </c>
      <c r="L1754" s="6" t="str">
        <f>IFERROR(__xludf.DUMMYFUNCTION("""COMPUTED_VALUE"""),"Alpha School Miami")</f>
        <v>Alpha School Miami</v>
      </c>
      <c r="M1754" s="6" t="str">
        <f>IFERROR(__xludf.DUMMYFUNCTION("""COMPUTED_VALUE"""),"")</f>
        <v/>
      </c>
      <c r="N1754" s="6" t="str">
        <f>IFERROR(__xludf.DUMMYFUNCTION("""COMPUTED_VALUE"""),"")</f>
        <v/>
      </c>
      <c r="O1754" s="87" t="str">
        <f>IFERROR(__xludf.DUMMYFUNCTION("""COMPUTED_VALUE"""),"https://drive.google.com/drive/folders/10T2cTQHqEJZqE-st6uFKPoI?usp=share_link")</f>
        <v>https://drive.google.com/drive/folders/10T2cTQHqEJZqE-st6uFKPoI?usp=share_link</v>
      </c>
      <c r="P1754" s="6" t="str">
        <f>IFERROR(__xludf.DUMMYFUNCTION("""COMPUTED_VALUE"""),"Catherine Caballero")</f>
        <v>Catherine Caballero</v>
      </c>
      <c r="Q1754" s="6" t="str">
        <f>IFERROR(__xludf.DUMMYFUNCTION("""COMPUTED_VALUE"""),"L1")</f>
        <v>L1</v>
      </c>
      <c r="R1754" s="6">
        <f>IFERROR(__xludf.DUMMYFUNCTION("""COMPUTED_VALUE"""),1.0)</f>
        <v>1</v>
      </c>
      <c r="S1754" s="6" t="str">
        <f>IFERROR(__xludf.DUMMYFUNCTION("""COMPUTED_VALUE"""),"Jennifer Greenham")</f>
        <v>Jennifer Greenham</v>
      </c>
      <c r="T1754" s="6" t="str">
        <f>IFERROR(__xludf.DUMMYFUNCTION("""COMPUTED_VALUE"""),"jennifer.greenham@alpha.school")</f>
        <v>jennifer.greenham@alpha.school</v>
      </c>
      <c r="U1754" s="6" t="str">
        <f>IFERROR(__xludf.DUMMYFUNCTION("""COMPUTED_VALUE"""),"2")</f>
        <v>2</v>
      </c>
      <c r="V1754" s="6" t="str">
        <f>IFERROR(__xludf.DUMMYFUNCTION("""COMPUTED_VALUE"""),"")</f>
        <v/>
      </c>
      <c r="W1754" s="6" t="str">
        <f>IFERROR(__xludf.DUMMYFUNCTION("""COMPUTED_VALUE"""),"[]")</f>
        <v>[]</v>
      </c>
      <c r="X1754" s="6" t="str">
        <f>IFERROR(__xludf.DUMMYFUNCTION("""COMPUTED_VALUE"""),"Enrolled")</f>
        <v>Enrolled</v>
      </c>
    </row>
    <row r="1755">
      <c r="A1755" s="6" t="str">
        <f>IFERROR(__xludf.DUMMYFUNCTION("""COMPUTED_VALUE"""),"015-2214")</f>
        <v>015-2214</v>
      </c>
      <c r="B1755" s="6" t="str">
        <f>IFERROR(__xludf.DUMMYFUNCTION("""COMPUTED_VALUE"""),"15")</f>
        <v>15</v>
      </c>
      <c r="C1755" s="6" t="str">
        <f>IFERROR(__xludf.DUMMYFUNCTION("""COMPUTED_VALUE"""),"2214")</f>
        <v>2214</v>
      </c>
      <c r="D1755" s="6" t="str">
        <f>IFERROR(__xludf.DUMMYFUNCTION("""COMPUTED_VALUE"""),"Asaph")</f>
        <v>Asaph</v>
      </c>
      <c r="E1755" s="6" t="str">
        <f>IFERROR(__xludf.DUMMYFUNCTION("""COMPUTED_VALUE"""),"")</f>
        <v/>
      </c>
      <c r="F1755" s="6" t="str">
        <f>IFERROR(__xludf.DUMMYFUNCTION("""COMPUTED_VALUE"""),"Park")</f>
        <v>Park</v>
      </c>
      <c r="G1755" s="6" t="str">
        <f>IFERROR(__xludf.DUMMYFUNCTION("""COMPUTED_VALUE"""),"10/14/2020")</f>
        <v>10/14/2020</v>
      </c>
      <c r="H1755" s="6" t="str">
        <f>IFERROR(__xludf.DUMMYFUNCTION("""COMPUTED_VALUE"""),"male")</f>
        <v>male</v>
      </c>
      <c r="I1755" s="6" t="str">
        <f>IFERROR(__xludf.DUMMYFUNCTION("""COMPUTED_VALUE"""),"Learning Lab")</f>
        <v>Learning Lab</v>
      </c>
      <c r="J1755" s="6" t="str">
        <f>IFERROR(__xludf.DUMMYFUNCTION("""COMPUTED_VALUE"""),"K")</f>
        <v>K</v>
      </c>
      <c r="K1755" s="6" t="str">
        <f>IFERROR(__xludf.DUMMYFUNCTION("""COMPUTED_VALUE"""),"asaph.park@alpha.school")</f>
        <v>asaph.park@alpha.school</v>
      </c>
      <c r="L1755" s="6" t="str">
        <f>IFERROR(__xludf.DUMMYFUNCTION("""COMPUTED_VALUE"""),"Alpha School Miami")</f>
        <v>Alpha School Miami</v>
      </c>
      <c r="M1755" s="6" t="str">
        <f>IFERROR(__xludf.DUMMYFUNCTION("""COMPUTED_VALUE"""),"")</f>
        <v/>
      </c>
      <c r="N1755" s="6" t="str">
        <f>IFERROR(__xludf.DUMMYFUNCTION("""COMPUTED_VALUE"""),"")</f>
        <v/>
      </c>
      <c r="O1755" s="87" t="str">
        <f>IFERROR(__xludf.DUMMYFUNCTION("""COMPUTED_VALUE"""),"https://drive.google.com/drive/folders/10T2cTQHqEJZqE-st6uFKPoI?usp=share_link")</f>
        <v>https://drive.google.com/drive/folders/10T2cTQHqEJZqE-st6uFKPoI?usp=share_link</v>
      </c>
      <c r="P1755" s="6" t="str">
        <f>IFERROR(__xludf.DUMMYFUNCTION("""COMPUTED_VALUE"""),"Asaph Park")</f>
        <v>Asaph Park</v>
      </c>
      <c r="Q1755" s="6" t="str">
        <f>IFERROR(__xludf.DUMMYFUNCTION("""COMPUTED_VALUE"""),"LL")</f>
        <v>LL</v>
      </c>
      <c r="R1755" s="6">
        <f>IFERROR(__xludf.DUMMYFUNCTION("""COMPUTED_VALUE"""),0.0)</f>
        <v>0</v>
      </c>
      <c r="S1755" s="6" t="str">
        <f>IFERROR(__xludf.DUMMYFUNCTION("""COMPUTED_VALUE"""),"Caitlin Calzadilla")</f>
        <v>Caitlin Calzadilla</v>
      </c>
      <c r="T1755" s="6" t="str">
        <f>IFERROR(__xludf.DUMMYFUNCTION("""COMPUTED_VALUE"""),"caitlin.calzadilla@alpha.school")</f>
        <v>caitlin.calzadilla@alpha.school</v>
      </c>
      <c r="U1755" s="6" t="str">
        <f>IFERROR(__xludf.DUMMYFUNCTION("""COMPUTED_VALUE"""),"K")</f>
        <v>K</v>
      </c>
      <c r="V1755" s="6" t="str">
        <f>IFERROR(__xludf.DUMMYFUNCTION("""COMPUTED_VALUE"""),"")</f>
        <v/>
      </c>
      <c r="W1755" s="6" t="str">
        <f>IFERROR(__xludf.DUMMYFUNCTION("""COMPUTED_VALUE"""),"[]")</f>
        <v>[]</v>
      </c>
      <c r="X1755" s="6" t="str">
        <f>IFERROR(__xludf.DUMMYFUNCTION("""COMPUTED_VALUE"""),"Enrolled")</f>
        <v>Enrolled</v>
      </c>
    </row>
    <row r="1756">
      <c r="A1756" s="6" t="str">
        <f>IFERROR(__xludf.DUMMYFUNCTION("""COMPUTED_VALUE"""),"015-2220")</f>
        <v>015-2220</v>
      </c>
      <c r="B1756" s="6" t="str">
        <f>IFERROR(__xludf.DUMMYFUNCTION("""COMPUTED_VALUE"""),"15")</f>
        <v>15</v>
      </c>
      <c r="C1756" s="6" t="str">
        <f>IFERROR(__xludf.DUMMYFUNCTION("""COMPUTED_VALUE"""),"2220")</f>
        <v>2220</v>
      </c>
      <c r="D1756" s="6" t="str">
        <f>IFERROR(__xludf.DUMMYFUNCTION("""COMPUTED_VALUE"""),"Benjamin")</f>
        <v>Benjamin</v>
      </c>
      <c r="E1756" s="6" t="str">
        <f>IFERROR(__xludf.DUMMYFUNCTION("""COMPUTED_VALUE"""),"Ben")</f>
        <v>Ben</v>
      </c>
      <c r="F1756" s="6" t="str">
        <f>IFERROR(__xludf.DUMMYFUNCTION("""COMPUTED_VALUE"""),"De Amorim")</f>
        <v>De Amorim</v>
      </c>
      <c r="G1756" s="6" t="str">
        <f>IFERROR(__xludf.DUMMYFUNCTION("""COMPUTED_VALUE"""),"11/01/2013")</f>
        <v>11/01/2013</v>
      </c>
      <c r="H1756" s="6" t="str">
        <f>IFERROR(__xludf.DUMMYFUNCTION("""COMPUTED_VALUE"""),"male")</f>
        <v>male</v>
      </c>
      <c r="I1756" s="6" t="str">
        <f>IFERROR(__xludf.DUMMYFUNCTION("""COMPUTED_VALUE"""),"Middle School")</f>
        <v>Middle School</v>
      </c>
      <c r="J1756" s="6" t="str">
        <f>IFERROR(__xludf.DUMMYFUNCTION("""COMPUTED_VALUE"""),"6")</f>
        <v>6</v>
      </c>
      <c r="K1756" s="6" t="str">
        <f>IFERROR(__xludf.DUMMYFUNCTION("""COMPUTED_VALUE"""),"ben.deamorim@alpha.school")</f>
        <v>ben.deamorim@alpha.school</v>
      </c>
      <c r="L1756" s="6" t="str">
        <f>IFERROR(__xludf.DUMMYFUNCTION("""COMPUTED_VALUE"""),"Alpha School Miami")</f>
        <v>Alpha School Miami</v>
      </c>
      <c r="M1756" s="6" t="str">
        <f>IFERROR(__xludf.DUMMYFUNCTION("""COMPUTED_VALUE"""),"")</f>
        <v/>
      </c>
      <c r="N1756" s="6" t="str">
        <f>IFERROR(__xludf.DUMMYFUNCTION("""COMPUTED_VALUE"""),"")</f>
        <v/>
      </c>
      <c r="O1756" s="87" t="str">
        <f>IFERROR(__xludf.DUMMYFUNCTION("""COMPUTED_VALUE"""),"https://drive.google.com/drive/folders/10T2cTQHqEJZqE-st6uFKPoI?usp=share_link")</f>
        <v>https://drive.google.com/drive/folders/10T2cTQHqEJZqE-st6uFKPoI?usp=share_link</v>
      </c>
      <c r="P1756" s="6" t="str">
        <f>IFERROR(__xludf.DUMMYFUNCTION("""COMPUTED_VALUE"""),"Ben De Amorim")</f>
        <v>Ben De Amorim</v>
      </c>
      <c r="Q1756" s="6" t="str">
        <f>IFERROR(__xludf.DUMMYFUNCTION("""COMPUTED_VALUE"""),"MS")</f>
        <v>MS</v>
      </c>
      <c r="R1756" s="6">
        <f>IFERROR(__xludf.DUMMYFUNCTION("""COMPUTED_VALUE"""),0.0)</f>
        <v>0</v>
      </c>
      <c r="S1756" s="6" t="str">
        <f>IFERROR(__xludf.DUMMYFUNCTION("""COMPUTED_VALUE"""),"Evan Ore")</f>
        <v>Evan Ore</v>
      </c>
      <c r="T1756" s="6" t="str">
        <f>IFERROR(__xludf.DUMMYFUNCTION("""COMPUTED_VALUE"""),"evan.ore@alpha.school")</f>
        <v>evan.ore@alpha.school</v>
      </c>
      <c r="U1756" s="6" t="str">
        <f>IFERROR(__xludf.DUMMYFUNCTION("""COMPUTED_VALUE"""),"6")</f>
        <v>6</v>
      </c>
      <c r="V1756" s="6" t="str">
        <f>IFERROR(__xludf.DUMMYFUNCTION("""COMPUTED_VALUE"""),"")</f>
        <v/>
      </c>
      <c r="W1756" s="6" t="str">
        <f>IFERROR(__xludf.DUMMYFUNCTION("""COMPUTED_VALUE"""),"[]")</f>
        <v>[]</v>
      </c>
      <c r="X1756" s="6" t="str">
        <f>IFERROR(__xludf.DUMMYFUNCTION("""COMPUTED_VALUE"""),"Enrolled")</f>
        <v>Enrolled</v>
      </c>
    </row>
    <row r="1757">
      <c r="A1757" s="6" t="str">
        <f>IFERROR(__xludf.DUMMYFUNCTION("""COMPUTED_VALUE"""),"015-2221")</f>
        <v>015-2221</v>
      </c>
      <c r="B1757" s="6" t="str">
        <f>IFERROR(__xludf.DUMMYFUNCTION("""COMPUTED_VALUE"""),"15")</f>
        <v>15</v>
      </c>
      <c r="C1757" s="6" t="str">
        <f>IFERROR(__xludf.DUMMYFUNCTION("""COMPUTED_VALUE"""),"2221")</f>
        <v>2221</v>
      </c>
      <c r="D1757" s="6" t="str">
        <f>IFERROR(__xludf.DUMMYFUNCTION("""COMPUTED_VALUE"""),"David")</f>
        <v>David</v>
      </c>
      <c r="E1757" s="6" t="str">
        <f>IFERROR(__xludf.DUMMYFUNCTION("""COMPUTED_VALUE"""),"David")</f>
        <v>David</v>
      </c>
      <c r="F1757" s="6" t="str">
        <f>IFERROR(__xludf.DUMMYFUNCTION("""COMPUTED_VALUE"""),"Sheldon")</f>
        <v>Sheldon</v>
      </c>
      <c r="G1757" s="6" t="str">
        <f>IFERROR(__xludf.DUMMYFUNCTION("""COMPUTED_VALUE"""),"08/04/2014")</f>
        <v>08/04/2014</v>
      </c>
      <c r="H1757" s="6" t="str">
        <f>IFERROR(__xludf.DUMMYFUNCTION("""COMPUTED_VALUE"""),"Male")</f>
        <v>Male</v>
      </c>
      <c r="I1757" s="6" t="str">
        <f>IFERROR(__xludf.DUMMYFUNCTION("""COMPUTED_VALUE"""),"Middle School")</f>
        <v>Middle School</v>
      </c>
      <c r="J1757" s="6" t="str">
        <f>IFERROR(__xludf.DUMMYFUNCTION("""COMPUTED_VALUE"""),"6")</f>
        <v>6</v>
      </c>
      <c r="K1757" s="6" t="str">
        <f>IFERROR(__xludf.DUMMYFUNCTION("""COMPUTED_VALUE"""),"david.sheldon@alpha.school")</f>
        <v>david.sheldon@alpha.school</v>
      </c>
      <c r="L1757" s="6" t="str">
        <f>IFERROR(__xludf.DUMMYFUNCTION("""COMPUTED_VALUE"""),"Alpha School Miami")</f>
        <v>Alpha School Miami</v>
      </c>
      <c r="M1757" s="6" t="str">
        <f>IFERROR(__xludf.DUMMYFUNCTION("""COMPUTED_VALUE"""),"")</f>
        <v/>
      </c>
      <c r="N1757" s="6" t="str">
        <f>IFERROR(__xludf.DUMMYFUNCTION("""COMPUTED_VALUE"""),"")</f>
        <v/>
      </c>
      <c r="O1757" s="87" t="str">
        <f>IFERROR(__xludf.DUMMYFUNCTION("""COMPUTED_VALUE"""),"https://drive.google.com/drive/folders/10T2cTQHqEJZqE-st6uFKPoI?usp=share_link")</f>
        <v>https://drive.google.com/drive/folders/10T2cTQHqEJZqE-st6uFKPoI?usp=share_link</v>
      </c>
      <c r="P1757" s="6" t="str">
        <f>IFERROR(__xludf.DUMMYFUNCTION("""COMPUTED_VALUE"""),"David Sheldon")</f>
        <v>David Sheldon</v>
      </c>
      <c r="Q1757" s="6" t="str">
        <f>IFERROR(__xludf.DUMMYFUNCTION("""COMPUTED_VALUE"""),"MS")</f>
        <v>MS</v>
      </c>
      <c r="R1757" s="6">
        <f>IFERROR(__xludf.DUMMYFUNCTION("""COMPUTED_VALUE"""),0.0)</f>
        <v>0</v>
      </c>
      <c r="S1757" s="6" t="str">
        <f>IFERROR(__xludf.DUMMYFUNCTION("""COMPUTED_VALUE"""),"Evan Ore")</f>
        <v>Evan Ore</v>
      </c>
      <c r="T1757" s="6" t="str">
        <f>IFERROR(__xludf.DUMMYFUNCTION("""COMPUTED_VALUE"""),"evan.ore@alpha.school")</f>
        <v>evan.ore@alpha.school</v>
      </c>
      <c r="U1757" s="6" t="str">
        <f>IFERROR(__xludf.DUMMYFUNCTION("""COMPUTED_VALUE"""),"6")</f>
        <v>6</v>
      </c>
      <c r="V1757" s="6" t="str">
        <f>IFERROR(__xludf.DUMMYFUNCTION("""COMPUTED_VALUE"""),"English")</f>
        <v>English</v>
      </c>
      <c r="W1757" s="6" t="str">
        <f>IFERROR(__xludf.DUMMYFUNCTION("""COMPUTED_VALUE"""),"[]")</f>
        <v>[]</v>
      </c>
      <c r="X1757" s="6" t="str">
        <f>IFERROR(__xludf.DUMMYFUNCTION("""COMPUTED_VALUE"""),"Enrolled")</f>
        <v>Enrolled</v>
      </c>
    </row>
    <row r="1758">
      <c r="A1758" s="6" t="str">
        <f>IFERROR(__xludf.DUMMYFUNCTION("""COMPUTED_VALUE"""),"015-2223")</f>
        <v>015-2223</v>
      </c>
      <c r="B1758" s="6" t="str">
        <f>IFERROR(__xludf.DUMMYFUNCTION("""COMPUTED_VALUE"""),"15")</f>
        <v>15</v>
      </c>
      <c r="C1758" s="6" t="str">
        <f>IFERROR(__xludf.DUMMYFUNCTION("""COMPUTED_VALUE"""),"2223")</f>
        <v>2223</v>
      </c>
      <c r="D1758" s="6" t="str">
        <f>IFERROR(__xludf.DUMMYFUNCTION("""COMPUTED_VALUE"""),"Abigail")</f>
        <v>Abigail</v>
      </c>
      <c r="E1758" s="6" t="str">
        <f>IFERROR(__xludf.DUMMYFUNCTION("""COMPUTED_VALUE"""),"Abi")</f>
        <v>Abi</v>
      </c>
      <c r="F1758" s="6" t="str">
        <f>IFERROR(__xludf.DUMMYFUNCTION("""COMPUTED_VALUE"""),"Constain")</f>
        <v>Constain</v>
      </c>
      <c r="G1758" s="6" t="str">
        <f>IFERROR(__xludf.DUMMYFUNCTION("""COMPUTED_VALUE"""),"08/23/2012")</f>
        <v>08/23/2012</v>
      </c>
      <c r="H1758" s="6" t="str">
        <f>IFERROR(__xludf.DUMMYFUNCTION("""COMPUTED_VALUE"""),"female")</f>
        <v>female</v>
      </c>
      <c r="I1758" s="6" t="str">
        <f>IFERROR(__xludf.DUMMYFUNCTION("""COMPUTED_VALUE"""),"Middle School")</f>
        <v>Middle School</v>
      </c>
      <c r="J1758" s="6" t="str">
        <f>IFERROR(__xludf.DUMMYFUNCTION("""COMPUTED_VALUE"""),"8")</f>
        <v>8</v>
      </c>
      <c r="K1758" s="6" t="str">
        <f>IFERROR(__xludf.DUMMYFUNCTION("""COMPUTED_VALUE"""),"abigail.constain@alpha.school")</f>
        <v>abigail.constain@alpha.school</v>
      </c>
      <c r="L1758" s="6" t="str">
        <f>IFERROR(__xludf.DUMMYFUNCTION("""COMPUTED_VALUE"""),"Alpha School Miami")</f>
        <v>Alpha School Miami</v>
      </c>
      <c r="M1758" s="6" t="str">
        <f>IFERROR(__xludf.DUMMYFUNCTION("""COMPUTED_VALUE"""),"")</f>
        <v/>
      </c>
      <c r="N1758" s="6" t="str">
        <f>IFERROR(__xludf.DUMMYFUNCTION("""COMPUTED_VALUE"""),"")</f>
        <v/>
      </c>
      <c r="O1758" s="87" t="str">
        <f>IFERROR(__xludf.DUMMYFUNCTION("""COMPUTED_VALUE"""),"https://drive.google.com/drive/folders/10T2cTQHqEJZqE-st6uFKPoI?usp=share_link")</f>
        <v>https://drive.google.com/drive/folders/10T2cTQHqEJZqE-st6uFKPoI?usp=share_link</v>
      </c>
      <c r="P1758" s="6" t="str">
        <f>IFERROR(__xludf.DUMMYFUNCTION("""COMPUTED_VALUE"""),"Abi Constain")</f>
        <v>Abi Constain</v>
      </c>
      <c r="Q1758" s="6" t="str">
        <f>IFERROR(__xludf.DUMMYFUNCTION("""COMPUTED_VALUE"""),"MS")</f>
        <v>MS</v>
      </c>
      <c r="R1758" s="6">
        <f>IFERROR(__xludf.DUMMYFUNCTION("""COMPUTED_VALUE"""),0.0)</f>
        <v>0</v>
      </c>
      <c r="S1758" s="6" t="str">
        <f>IFERROR(__xludf.DUMMYFUNCTION("""COMPUTED_VALUE"""),"Evan Ore")</f>
        <v>Evan Ore</v>
      </c>
      <c r="T1758" s="6" t="str">
        <f>IFERROR(__xludf.DUMMYFUNCTION("""COMPUTED_VALUE"""),"evan.ore@alpha.school")</f>
        <v>evan.ore@alpha.school</v>
      </c>
      <c r="U1758" s="6" t="str">
        <f>IFERROR(__xludf.DUMMYFUNCTION("""COMPUTED_VALUE"""),"8")</f>
        <v>8</v>
      </c>
      <c r="V1758" s="6" t="str">
        <f>IFERROR(__xludf.DUMMYFUNCTION("""COMPUTED_VALUE"""),"")</f>
        <v/>
      </c>
      <c r="W1758" s="6" t="str">
        <f>IFERROR(__xludf.DUMMYFUNCTION("""COMPUTED_VALUE"""),"[]")</f>
        <v>[]</v>
      </c>
      <c r="X1758" s="6" t="str">
        <f>IFERROR(__xludf.DUMMYFUNCTION("""COMPUTED_VALUE"""),"Enrolled")</f>
        <v>Enrolled</v>
      </c>
    </row>
    <row r="1759">
      <c r="A1759" s="6" t="str">
        <f>IFERROR(__xludf.DUMMYFUNCTION("""COMPUTED_VALUE"""),"015-2225")</f>
        <v>015-2225</v>
      </c>
      <c r="B1759" s="6" t="str">
        <f>IFERROR(__xludf.DUMMYFUNCTION("""COMPUTED_VALUE"""),"15")</f>
        <v>15</v>
      </c>
      <c r="C1759" s="6" t="str">
        <f>IFERROR(__xludf.DUMMYFUNCTION("""COMPUTED_VALUE"""),"2225")</f>
        <v>2225</v>
      </c>
      <c r="D1759" s="6" t="str">
        <f>IFERROR(__xludf.DUMMYFUNCTION("""COMPUTED_VALUE"""),"Sol")</f>
        <v>Sol</v>
      </c>
      <c r="E1759" s="6" t="str">
        <f>IFERROR(__xludf.DUMMYFUNCTION("""COMPUTED_VALUE"""),"Sol")</f>
        <v>Sol</v>
      </c>
      <c r="F1759" s="6" t="str">
        <f>IFERROR(__xludf.DUMMYFUNCTION("""COMPUTED_VALUE"""),"Felicevich")</f>
        <v>Felicevich</v>
      </c>
      <c r="G1759" s="6" t="str">
        <f>IFERROR(__xludf.DUMMYFUNCTION("""COMPUTED_VALUE"""),"12/05/2012")</f>
        <v>12/05/2012</v>
      </c>
      <c r="H1759" s="6" t="str">
        <f>IFERROR(__xludf.DUMMYFUNCTION("""COMPUTED_VALUE"""),"female")</f>
        <v>female</v>
      </c>
      <c r="I1759" s="6" t="str">
        <f>IFERROR(__xludf.DUMMYFUNCTION("""COMPUTED_VALUE"""),"Middle School")</f>
        <v>Middle School</v>
      </c>
      <c r="J1759" s="6" t="str">
        <f>IFERROR(__xludf.DUMMYFUNCTION("""COMPUTED_VALUE"""),"6")</f>
        <v>6</v>
      </c>
      <c r="K1759" s="6" t="str">
        <f>IFERROR(__xludf.DUMMYFUNCTION("""COMPUTED_VALUE"""),"sol.felicevich@alpha.school")</f>
        <v>sol.felicevich@alpha.school</v>
      </c>
      <c r="L1759" s="6" t="str">
        <f>IFERROR(__xludf.DUMMYFUNCTION("""COMPUTED_VALUE"""),"Alpha School Miami")</f>
        <v>Alpha School Miami</v>
      </c>
      <c r="M1759" s="6" t="str">
        <f>IFERROR(__xludf.DUMMYFUNCTION("""COMPUTED_VALUE"""),"")</f>
        <v/>
      </c>
      <c r="N1759" s="6" t="str">
        <f>IFERROR(__xludf.DUMMYFUNCTION("""COMPUTED_VALUE"""),"")</f>
        <v/>
      </c>
      <c r="O1759" s="87" t="str">
        <f>IFERROR(__xludf.DUMMYFUNCTION("""COMPUTED_VALUE"""),"https://drive.google.com/drive/folders/10T2cTQHqEJZqE-st6uFKPoI?usp=share_link")</f>
        <v>https://drive.google.com/drive/folders/10T2cTQHqEJZqE-st6uFKPoI?usp=share_link</v>
      </c>
      <c r="P1759" s="6" t="str">
        <f>IFERROR(__xludf.DUMMYFUNCTION("""COMPUTED_VALUE"""),"Sol Felicevich")</f>
        <v>Sol Felicevich</v>
      </c>
      <c r="Q1759" s="6" t="str">
        <f>IFERROR(__xludf.DUMMYFUNCTION("""COMPUTED_VALUE"""),"MS")</f>
        <v>MS</v>
      </c>
      <c r="R1759" s="6">
        <f>IFERROR(__xludf.DUMMYFUNCTION("""COMPUTED_VALUE"""),0.0)</f>
        <v>0</v>
      </c>
      <c r="S1759" s="6" t="str">
        <f>IFERROR(__xludf.DUMMYFUNCTION("""COMPUTED_VALUE"""),"Tamara Stephenson")</f>
        <v>Tamara Stephenson</v>
      </c>
      <c r="T1759" s="6" t="str">
        <f>IFERROR(__xludf.DUMMYFUNCTION("""COMPUTED_VALUE"""),"tamara.stephenson@alpha.school")</f>
        <v>tamara.stephenson@alpha.school</v>
      </c>
      <c r="U1759" s="6" t="str">
        <f>IFERROR(__xludf.DUMMYFUNCTION("""COMPUTED_VALUE"""),"6")</f>
        <v>6</v>
      </c>
      <c r="V1759" s="6" t="str">
        <f>IFERROR(__xludf.DUMMYFUNCTION("""COMPUTED_VALUE"""),"")</f>
        <v/>
      </c>
      <c r="W1759" s="6" t="str">
        <f>IFERROR(__xludf.DUMMYFUNCTION("""COMPUTED_VALUE"""),"[]")</f>
        <v>[]</v>
      </c>
      <c r="X1759" s="6" t="str">
        <f>IFERROR(__xludf.DUMMYFUNCTION("""COMPUTED_VALUE"""),"Enrolled")</f>
        <v>Enrolled</v>
      </c>
    </row>
    <row r="1760">
      <c r="A1760" s="6" t="str">
        <f>IFERROR(__xludf.DUMMYFUNCTION("""COMPUTED_VALUE"""),"015-2263")</f>
        <v>015-2263</v>
      </c>
      <c r="B1760" s="6" t="str">
        <f>IFERROR(__xludf.DUMMYFUNCTION("""COMPUTED_VALUE"""),"15")</f>
        <v>15</v>
      </c>
      <c r="C1760" s="6" t="str">
        <f>IFERROR(__xludf.DUMMYFUNCTION("""COMPUTED_VALUE"""),"2263")</f>
        <v>2263</v>
      </c>
      <c r="D1760" s="6" t="str">
        <f>IFERROR(__xludf.DUMMYFUNCTION("""COMPUTED_VALUE"""),"Juliana")</f>
        <v>Juliana</v>
      </c>
      <c r="E1760" s="6" t="str">
        <f>IFERROR(__xludf.DUMMYFUNCTION("""COMPUTED_VALUE"""),"Ju")</f>
        <v>Ju</v>
      </c>
      <c r="F1760" s="6" t="str">
        <f>IFERROR(__xludf.DUMMYFUNCTION("""COMPUTED_VALUE"""),"Orloff")</f>
        <v>Orloff</v>
      </c>
      <c r="G1760" s="6" t="str">
        <f>IFERROR(__xludf.DUMMYFUNCTION("""COMPUTED_VALUE"""),"04/02/2010")</f>
        <v>04/02/2010</v>
      </c>
      <c r="H1760" s="6" t="str">
        <f>IFERROR(__xludf.DUMMYFUNCTION("""COMPUTED_VALUE"""),"female")</f>
        <v>female</v>
      </c>
      <c r="I1760" s="6" t="str">
        <f>IFERROR(__xludf.DUMMYFUNCTION("""COMPUTED_VALUE"""),"High School")</f>
        <v>High School</v>
      </c>
      <c r="J1760" s="6" t="str">
        <f>IFERROR(__xludf.DUMMYFUNCTION("""COMPUTED_VALUE"""),"10")</f>
        <v>10</v>
      </c>
      <c r="K1760" s="6" t="str">
        <f>IFERROR(__xludf.DUMMYFUNCTION("""COMPUTED_VALUE"""),"juliana.orloff@alpha.school")</f>
        <v>juliana.orloff@alpha.school</v>
      </c>
      <c r="L1760" s="6" t="str">
        <f>IFERROR(__xludf.DUMMYFUNCTION("""COMPUTED_VALUE"""),"Alpha School Miami")</f>
        <v>Alpha School Miami</v>
      </c>
      <c r="M1760" s="6" t="str">
        <f>IFERROR(__xludf.DUMMYFUNCTION("""COMPUTED_VALUE"""),"")</f>
        <v/>
      </c>
      <c r="N1760" s="6" t="str">
        <f>IFERROR(__xludf.DUMMYFUNCTION("""COMPUTED_VALUE"""),"")</f>
        <v/>
      </c>
      <c r="O1760" s="87" t="str">
        <f>IFERROR(__xludf.DUMMYFUNCTION("""COMPUTED_VALUE"""),"https://drive.google.com/drive/folders/10T2cTQHqEJZqE-st6uFKPoI?usp=share_link")</f>
        <v>https://drive.google.com/drive/folders/10T2cTQHqEJZqE-st6uFKPoI?usp=share_link</v>
      </c>
      <c r="P1760" s="6" t="str">
        <f>IFERROR(__xludf.DUMMYFUNCTION("""COMPUTED_VALUE"""),"Ju Orloff")</f>
        <v>Ju Orloff</v>
      </c>
      <c r="Q1760" s="6" t="str">
        <f>IFERROR(__xludf.DUMMYFUNCTION("""COMPUTED_VALUE"""),"HS")</f>
        <v>HS</v>
      </c>
      <c r="R1760" s="6">
        <f>IFERROR(__xludf.DUMMYFUNCTION("""COMPUTED_VALUE"""),0.0)</f>
        <v>0</v>
      </c>
      <c r="S1760" s="6" t="str">
        <f>IFERROR(__xludf.DUMMYFUNCTION("""COMPUTED_VALUE"""),"Logan Higuera")</f>
        <v>Logan Higuera</v>
      </c>
      <c r="T1760" s="6" t="str">
        <f>IFERROR(__xludf.DUMMYFUNCTION("""COMPUTED_VALUE"""),"logan.higuera@alpha.school")</f>
        <v>logan.higuera@alpha.school</v>
      </c>
      <c r="U1760" s="6" t="str">
        <f>IFERROR(__xludf.DUMMYFUNCTION("""COMPUTED_VALUE"""),"10")</f>
        <v>10</v>
      </c>
      <c r="V1760" s="6" t="str">
        <f>IFERROR(__xludf.DUMMYFUNCTION("""COMPUTED_VALUE"""),"")</f>
        <v/>
      </c>
      <c r="W1760" s="6" t="str">
        <f>IFERROR(__xludf.DUMMYFUNCTION("""COMPUTED_VALUE"""),"[]")</f>
        <v>[]</v>
      </c>
      <c r="X1760" s="6" t="str">
        <f>IFERROR(__xludf.DUMMYFUNCTION("""COMPUTED_VALUE"""),"Enrolled")</f>
        <v>Enrolled</v>
      </c>
    </row>
    <row r="1761">
      <c r="A1761" s="6" t="str">
        <f>IFERROR(__xludf.DUMMYFUNCTION("""COMPUTED_VALUE"""),"015-2264")</f>
        <v>015-2264</v>
      </c>
      <c r="B1761" s="6" t="str">
        <f>IFERROR(__xludf.DUMMYFUNCTION("""COMPUTED_VALUE"""),"15")</f>
        <v>15</v>
      </c>
      <c r="C1761" s="6" t="str">
        <f>IFERROR(__xludf.DUMMYFUNCTION("""COMPUTED_VALUE"""),"2264")</f>
        <v>2264</v>
      </c>
      <c r="D1761" s="6" t="str">
        <f>IFERROR(__xludf.DUMMYFUNCTION("""COMPUTED_VALUE"""),"Olivia")</f>
        <v>Olivia</v>
      </c>
      <c r="E1761" s="6" t="str">
        <f>IFERROR(__xludf.DUMMYFUNCTION("""COMPUTED_VALUE"""),"Lilly")</f>
        <v>Lilly</v>
      </c>
      <c r="F1761" s="6" t="str">
        <f>IFERROR(__xludf.DUMMYFUNCTION("""COMPUTED_VALUE"""),"Orloff")</f>
        <v>Orloff</v>
      </c>
      <c r="G1761" s="6" t="str">
        <f>IFERROR(__xludf.DUMMYFUNCTION("""COMPUTED_VALUE"""),"06/25/2015")</f>
        <v>06/25/2015</v>
      </c>
      <c r="H1761" s="6" t="str">
        <f>IFERROR(__xludf.DUMMYFUNCTION("""COMPUTED_VALUE"""),"female")</f>
        <v>female</v>
      </c>
      <c r="I1761" s="6" t="str">
        <f>IFERROR(__xludf.DUMMYFUNCTION("""COMPUTED_VALUE"""),"Level 2")</f>
        <v>Level 2</v>
      </c>
      <c r="J1761" s="6" t="str">
        <f>IFERROR(__xludf.DUMMYFUNCTION("""COMPUTED_VALUE"""),"4")</f>
        <v>4</v>
      </c>
      <c r="K1761" s="6" t="str">
        <f>IFERROR(__xludf.DUMMYFUNCTION("""COMPUTED_VALUE"""),"olivia.orloff@alpha.school")</f>
        <v>olivia.orloff@alpha.school</v>
      </c>
      <c r="L1761" s="6" t="str">
        <f>IFERROR(__xludf.DUMMYFUNCTION("""COMPUTED_VALUE"""),"Alpha School Miami")</f>
        <v>Alpha School Miami</v>
      </c>
      <c r="M1761" s="6" t="str">
        <f>IFERROR(__xludf.DUMMYFUNCTION("""COMPUTED_VALUE"""),"")</f>
        <v/>
      </c>
      <c r="N1761" s="6" t="str">
        <f>IFERROR(__xludf.DUMMYFUNCTION("""COMPUTED_VALUE"""),"")</f>
        <v/>
      </c>
      <c r="O1761" s="87" t="str">
        <f>IFERROR(__xludf.DUMMYFUNCTION("""COMPUTED_VALUE"""),"https://drive.google.com/drive/folders/10T2cTQHqEJZqE-st6uFKPoI?usp=share_link")</f>
        <v>https://drive.google.com/drive/folders/10T2cTQHqEJZqE-st6uFKPoI?usp=share_link</v>
      </c>
      <c r="P1761" s="6" t="str">
        <f>IFERROR(__xludf.DUMMYFUNCTION("""COMPUTED_VALUE"""),"Lilly Orloff")</f>
        <v>Lilly Orloff</v>
      </c>
      <c r="Q1761" s="6" t="str">
        <f>IFERROR(__xludf.DUMMYFUNCTION("""COMPUTED_VALUE"""),"L2")</f>
        <v>L2</v>
      </c>
      <c r="R1761" s="6">
        <f>IFERROR(__xludf.DUMMYFUNCTION("""COMPUTED_VALUE"""),2.0)</f>
        <v>2</v>
      </c>
      <c r="S1761" s="6" t="str">
        <f>IFERROR(__xludf.DUMMYFUNCTION("""COMPUTED_VALUE"""),"Sunny Lulla")</f>
        <v>Sunny Lulla</v>
      </c>
      <c r="T1761" s="6" t="str">
        <f>IFERROR(__xludf.DUMMYFUNCTION("""COMPUTED_VALUE"""),"sunny.lulla@alpha.school")</f>
        <v>sunny.lulla@alpha.school</v>
      </c>
      <c r="U1761" s="6" t="str">
        <f>IFERROR(__xludf.DUMMYFUNCTION("""COMPUTED_VALUE"""),"4")</f>
        <v>4</v>
      </c>
      <c r="V1761" s="6" t="str">
        <f>IFERROR(__xludf.DUMMYFUNCTION("""COMPUTED_VALUE"""),"")</f>
        <v/>
      </c>
      <c r="W1761" s="6" t="str">
        <f>IFERROR(__xludf.DUMMYFUNCTION("""COMPUTED_VALUE"""),"[]")</f>
        <v>[]</v>
      </c>
      <c r="X1761" s="6" t="str">
        <f>IFERROR(__xludf.DUMMYFUNCTION("""COMPUTED_VALUE"""),"Enrolled")</f>
        <v>Enrolled</v>
      </c>
    </row>
    <row r="1762">
      <c r="A1762" s="6" t="str">
        <f>IFERROR(__xludf.DUMMYFUNCTION("""COMPUTED_VALUE"""),"015-2285")</f>
        <v>015-2285</v>
      </c>
      <c r="B1762" s="6" t="str">
        <f>IFERROR(__xludf.DUMMYFUNCTION("""COMPUTED_VALUE"""),"15")</f>
        <v>15</v>
      </c>
      <c r="C1762" s="6" t="str">
        <f>IFERROR(__xludf.DUMMYFUNCTION("""COMPUTED_VALUE"""),"2285")</f>
        <v>2285</v>
      </c>
      <c r="D1762" s="6" t="str">
        <f>IFERROR(__xludf.DUMMYFUNCTION("""COMPUTED_VALUE"""),"Justin")</f>
        <v>Justin</v>
      </c>
      <c r="E1762" s="6" t="str">
        <f>IFERROR(__xludf.DUMMYFUNCTION("""COMPUTED_VALUE"""),"Justin")</f>
        <v>Justin</v>
      </c>
      <c r="F1762" s="6" t="str">
        <f>IFERROR(__xludf.DUMMYFUNCTION("""COMPUTED_VALUE"""),"Rodriguez")</f>
        <v>Rodriguez</v>
      </c>
      <c r="G1762" s="6" t="str">
        <f>IFERROR(__xludf.DUMMYFUNCTION("""COMPUTED_VALUE"""),"12/17/2010")</f>
        <v>12/17/2010</v>
      </c>
      <c r="H1762" s="6" t="str">
        <f>IFERROR(__xludf.DUMMYFUNCTION("""COMPUTED_VALUE"""),"male")</f>
        <v>male</v>
      </c>
      <c r="I1762" s="6" t="str">
        <f>IFERROR(__xludf.DUMMYFUNCTION("""COMPUTED_VALUE"""),"High School")</f>
        <v>High School</v>
      </c>
      <c r="J1762" s="6" t="str">
        <f>IFERROR(__xludf.DUMMYFUNCTION("""COMPUTED_VALUE"""),"9")</f>
        <v>9</v>
      </c>
      <c r="K1762" s="6" t="str">
        <f>IFERROR(__xludf.DUMMYFUNCTION("""COMPUTED_VALUE"""),"justin.rodriguez@alpha.school")</f>
        <v>justin.rodriguez@alpha.school</v>
      </c>
      <c r="L1762" s="6" t="str">
        <f>IFERROR(__xludf.DUMMYFUNCTION("""COMPUTED_VALUE"""),"Alpha School Miami")</f>
        <v>Alpha School Miami</v>
      </c>
      <c r="M1762" s="6" t="str">
        <f>IFERROR(__xludf.DUMMYFUNCTION("""COMPUTED_VALUE"""),"")</f>
        <v/>
      </c>
      <c r="N1762" s="6" t="str">
        <f>IFERROR(__xludf.DUMMYFUNCTION("""COMPUTED_VALUE"""),"")</f>
        <v/>
      </c>
      <c r="O1762" s="87" t="str">
        <f>IFERROR(__xludf.DUMMYFUNCTION("""COMPUTED_VALUE"""),"https://drive.google.com/drive/folders/10T2cTQHqEJZqE-st6uFKPoI?usp=share_link")</f>
        <v>https://drive.google.com/drive/folders/10T2cTQHqEJZqE-st6uFKPoI?usp=share_link</v>
      </c>
      <c r="P1762" s="6" t="str">
        <f>IFERROR(__xludf.DUMMYFUNCTION("""COMPUTED_VALUE"""),"Justin Rodriguez")</f>
        <v>Justin Rodriguez</v>
      </c>
      <c r="Q1762" s="6" t="str">
        <f>IFERROR(__xludf.DUMMYFUNCTION("""COMPUTED_VALUE"""),"HS")</f>
        <v>HS</v>
      </c>
      <c r="R1762" s="6">
        <f>IFERROR(__xludf.DUMMYFUNCTION("""COMPUTED_VALUE"""),0.0)</f>
        <v>0</v>
      </c>
      <c r="S1762" s="6" t="str">
        <f>IFERROR(__xludf.DUMMYFUNCTION("""COMPUTED_VALUE"""),"Logan Higuera")</f>
        <v>Logan Higuera</v>
      </c>
      <c r="T1762" s="6" t="str">
        <f>IFERROR(__xludf.DUMMYFUNCTION("""COMPUTED_VALUE"""),"logan.higuera@alpha.school")</f>
        <v>logan.higuera@alpha.school</v>
      </c>
      <c r="U1762" s="6" t="str">
        <f>IFERROR(__xludf.DUMMYFUNCTION("""COMPUTED_VALUE"""),"9")</f>
        <v>9</v>
      </c>
      <c r="V1762" s="6" t="str">
        <f>IFERROR(__xludf.DUMMYFUNCTION("""COMPUTED_VALUE"""),"")</f>
        <v/>
      </c>
      <c r="W1762" s="6" t="str">
        <f>IFERROR(__xludf.DUMMYFUNCTION("""COMPUTED_VALUE"""),"[]")</f>
        <v>[]</v>
      </c>
      <c r="X1762" s="6" t="str">
        <f>IFERROR(__xludf.DUMMYFUNCTION("""COMPUTED_VALUE"""),"Enrolled")</f>
        <v>Enrolled</v>
      </c>
    </row>
    <row r="1763">
      <c r="A1763" s="6" t="str">
        <f>IFERROR(__xludf.DUMMYFUNCTION("""COMPUTED_VALUE"""),"015-2449")</f>
        <v>015-2449</v>
      </c>
      <c r="B1763" s="6" t="str">
        <f>IFERROR(__xludf.DUMMYFUNCTION("""COMPUTED_VALUE"""),"15")</f>
        <v>15</v>
      </c>
      <c r="C1763" s="6" t="str">
        <f>IFERROR(__xludf.DUMMYFUNCTION("""COMPUTED_VALUE"""),"2449")</f>
        <v>2449</v>
      </c>
      <c r="D1763" s="6" t="str">
        <f>IFERROR(__xludf.DUMMYFUNCTION("""COMPUTED_VALUE"""),"Samuel")</f>
        <v>Samuel</v>
      </c>
      <c r="E1763" s="6" t="str">
        <f>IFERROR(__xludf.DUMMYFUNCTION("""COMPUTED_VALUE"""),"Sam")</f>
        <v>Sam</v>
      </c>
      <c r="F1763" s="6" t="str">
        <f>IFERROR(__xludf.DUMMYFUNCTION("""COMPUTED_VALUE"""),"Crumley")</f>
        <v>Crumley</v>
      </c>
      <c r="G1763" s="6" t="str">
        <f>IFERROR(__xludf.DUMMYFUNCTION("""COMPUTED_VALUE"""),"04/27/2013")</f>
        <v>04/27/2013</v>
      </c>
      <c r="H1763" s="6" t="str">
        <f>IFERROR(__xludf.DUMMYFUNCTION("""COMPUTED_VALUE"""),"male")</f>
        <v>male</v>
      </c>
      <c r="I1763" s="6" t="str">
        <f>IFERROR(__xludf.DUMMYFUNCTION("""COMPUTED_VALUE"""),"Middle School")</f>
        <v>Middle School</v>
      </c>
      <c r="J1763" s="6" t="str">
        <f>IFERROR(__xludf.DUMMYFUNCTION("""COMPUTED_VALUE"""),"7")</f>
        <v>7</v>
      </c>
      <c r="K1763" s="6" t="str">
        <f>IFERROR(__xludf.DUMMYFUNCTION("""COMPUTED_VALUE"""),"sam.crumley@alpha.school")</f>
        <v>sam.crumley@alpha.school</v>
      </c>
      <c r="L1763" s="6" t="str">
        <f>IFERROR(__xludf.DUMMYFUNCTION("""COMPUTED_VALUE"""),"Alpha School Miami")</f>
        <v>Alpha School Miami</v>
      </c>
      <c r="M1763" s="6" t="str">
        <f>IFERROR(__xludf.DUMMYFUNCTION("""COMPUTED_VALUE"""),"")</f>
        <v/>
      </c>
      <c r="N1763" s="6" t="str">
        <f>IFERROR(__xludf.DUMMYFUNCTION("""COMPUTED_VALUE"""),"")</f>
        <v/>
      </c>
      <c r="O1763" s="87" t="str">
        <f>IFERROR(__xludf.DUMMYFUNCTION("""COMPUTED_VALUE"""),"https://drive.google.com/drive/folders/10T2cTQHqEJZqE-st6uFKPoI?usp=share_link")</f>
        <v>https://drive.google.com/drive/folders/10T2cTQHqEJZqE-st6uFKPoI?usp=share_link</v>
      </c>
      <c r="P1763" s="6" t="str">
        <f>IFERROR(__xludf.DUMMYFUNCTION("""COMPUTED_VALUE"""),"Sam Crumley")</f>
        <v>Sam Crumley</v>
      </c>
      <c r="Q1763" s="6" t="str">
        <f>IFERROR(__xludf.DUMMYFUNCTION("""COMPUTED_VALUE"""),"MS")</f>
        <v>MS</v>
      </c>
      <c r="R1763" s="6">
        <f>IFERROR(__xludf.DUMMYFUNCTION("""COMPUTED_VALUE"""),0.0)</f>
        <v>0</v>
      </c>
      <c r="S1763" s="6" t="str">
        <f>IFERROR(__xludf.DUMMYFUNCTION("""COMPUTED_VALUE""")," ")</f>
        <v> </v>
      </c>
      <c r="T1763" s="6" t="str">
        <f>IFERROR(__xludf.DUMMYFUNCTION("""COMPUTED_VALUE"""),"")</f>
        <v/>
      </c>
      <c r="U1763" s="6" t="str">
        <f>IFERROR(__xludf.DUMMYFUNCTION("""COMPUTED_VALUE"""),"7")</f>
        <v>7</v>
      </c>
      <c r="V1763" s="6" t="str">
        <f>IFERROR(__xludf.DUMMYFUNCTION("""COMPUTED_VALUE"""),"")</f>
        <v/>
      </c>
      <c r="W1763" s="6" t="str">
        <f>IFERROR(__xludf.DUMMYFUNCTION("""COMPUTED_VALUE"""),"[]")</f>
        <v>[]</v>
      </c>
      <c r="X1763" s="6" t="str">
        <f>IFERROR(__xludf.DUMMYFUNCTION("""COMPUTED_VALUE"""),"Pending Review")</f>
        <v>Pending Review</v>
      </c>
    </row>
    <row r="1764">
      <c r="A1764" s="6" t="str">
        <f>IFERROR(__xludf.DUMMYFUNCTION("""COMPUTED_VALUE"""),"015-2463")</f>
        <v>015-2463</v>
      </c>
      <c r="B1764" s="6" t="str">
        <f>IFERROR(__xludf.DUMMYFUNCTION("""COMPUTED_VALUE"""),"15")</f>
        <v>15</v>
      </c>
      <c r="C1764" s="6" t="str">
        <f>IFERROR(__xludf.DUMMYFUNCTION("""COMPUTED_VALUE"""),"2463")</f>
        <v>2463</v>
      </c>
      <c r="D1764" s="6" t="str">
        <f>IFERROR(__xludf.DUMMYFUNCTION("""COMPUTED_VALUE"""),"Luca")</f>
        <v>Luca</v>
      </c>
      <c r="E1764" s="6" t="str">
        <f>IFERROR(__xludf.DUMMYFUNCTION("""COMPUTED_VALUE"""),"Luca")</f>
        <v>Luca</v>
      </c>
      <c r="F1764" s="6" t="str">
        <f>IFERROR(__xludf.DUMMYFUNCTION("""COMPUTED_VALUE"""),"Stroman")</f>
        <v>Stroman</v>
      </c>
      <c r="G1764" s="6" t="str">
        <f>IFERROR(__xludf.DUMMYFUNCTION("""COMPUTED_VALUE"""),"11/09/2018")</f>
        <v>11/09/2018</v>
      </c>
      <c r="H1764" s="6" t="str">
        <f>IFERROR(__xludf.DUMMYFUNCTION("""COMPUTED_VALUE"""),"male")</f>
        <v>male</v>
      </c>
      <c r="I1764" s="6" t="str">
        <f>IFERROR(__xludf.DUMMYFUNCTION("""COMPUTED_VALUE"""),"Level 1")</f>
        <v>Level 1</v>
      </c>
      <c r="J1764" s="6" t="str">
        <f>IFERROR(__xludf.DUMMYFUNCTION("""COMPUTED_VALUE"""),"2")</f>
        <v>2</v>
      </c>
      <c r="K1764" s="6" t="str">
        <f>IFERROR(__xludf.DUMMYFUNCTION("""COMPUTED_VALUE"""),"luca.stroman@alpha.school")</f>
        <v>luca.stroman@alpha.school</v>
      </c>
      <c r="L1764" s="6" t="str">
        <f>IFERROR(__xludf.DUMMYFUNCTION("""COMPUTED_VALUE"""),"Alpha School Miami")</f>
        <v>Alpha School Miami</v>
      </c>
      <c r="M1764" s="6" t="str">
        <f>IFERROR(__xludf.DUMMYFUNCTION("""COMPUTED_VALUE"""),"")</f>
        <v/>
      </c>
      <c r="N1764" s="6" t="str">
        <f>IFERROR(__xludf.DUMMYFUNCTION("""COMPUTED_VALUE"""),"")</f>
        <v/>
      </c>
      <c r="O1764" s="87" t="str">
        <f>IFERROR(__xludf.DUMMYFUNCTION("""COMPUTED_VALUE"""),"https://drive.google.com/drive/folders/10T2cTQHqEJZqE-st6uFKPoI?usp=share_link")</f>
        <v>https://drive.google.com/drive/folders/10T2cTQHqEJZqE-st6uFKPoI?usp=share_link</v>
      </c>
      <c r="P1764" s="6" t="str">
        <f>IFERROR(__xludf.DUMMYFUNCTION("""COMPUTED_VALUE"""),"Luca Stroman")</f>
        <v>Luca Stroman</v>
      </c>
      <c r="Q1764" s="6" t="str">
        <f>IFERROR(__xludf.DUMMYFUNCTION("""COMPUTED_VALUE"""),"L1")</f>
        <v>L1</v>
      </c>
      <c r="R1764" s="6">
        <f>IFERROR(__xludf.DUMMYFUNCTION("""COMPUTED_VALUE"""),1.0)</f>
        <v>1</v>
      </c>
      <c r="S1764" s="6" t="str">
        <f>IFERROR(__xludf.DUMMYFUNCTION("""COMPUTED_VALUE"""),"Jennifer Greenham")</f>
        <v>Jennifer Greenham</v>
      </c>
      <c r="T1764" s="6" t="str">
        <f>IFERROR(__xludf.DUMMYFUNCTION("""COMPUTED_VALUE"""),"jennifer.greenham@alpha.school")</f>
        <v>jennifer.greenham@alpha.school</v>
      </c>
      <c r="U1764" s="6" t="str">
        <f>IFERROR(__xludf.DUMMYFUNCTION("""COMPUTED_VALUE"""),"2")</f>
        <v>2</v>
      </c>
      <c r="V1764" s="6" t="str">
        <f>IFERROR(__xludf.DUMMYFUNCTION("""COMPUTED_VALUE"""),"")</f>
        <v/>
      </c>
      <c r="W1764" s="6" t="str">
        <f>IFERROR(__xludf.DUMMYFUNCTION("""COMPUTED_VALUE"""),"[]")</f>
        <v>[]</v>
      </c>
      <c r="X1764" s="6" t="str">
        <f>IFERROR(__xludf.DUMMYFUNCTION("""COMPUTED_VALUE"""),"Enrolled")</f>
        <v>Enrolled</v>
      </c>
    </row>
    <row r="1765">
      <c r="A1765" s="6" t="str">
        <f>IFERROR(__xludf.DUMMYFUNCTION("""COMPUTED_VALUE"""),"015-2551")</f>
        <v>015-2551</v>
      </c>
      <c r="B1765" s="6" t="str">
        <f>IFERROR(__xludf.DUMMYFUNCTION("""COMPUTED_VALUE"""),"15")</f>
        <v>15</v>
      </c>
      <c r="C1765" s="6" t="str">
        <f>IFERROR(__xludf.DUMMYFUNCTION("""COMPUTED_VALUE"""),"2551")</f>
        <v>2551</v>
      </c>
      <c r="D1765" s="6" t="str">
        <f>IFERROR(__xludf.DUMMYFUNCTION("""COMPUTED_VALUE"""),"Alessia")</f>
        <v>Alessia</v>
      </c>
      <c r="E1765" s="6" t="str">
        <f>IFERROR(__xludf.DUMMYFUNCTION("""COMPUTED_VALUE"""),"")</f>
        <v/>
      </c>
      <c r="F1765" s="6" t="str">
        <f>IFERROR(__xludf.DUMMYFUNCTION("""COMPUTED_VALUE"""),"Kriete")</f>
        <v>Kriete</v>
      </c>
      <c r="G1765" s="6" t="str">
        <f>IFERROR(__xludf.DUMMYFUNCTION("""COMPUTED_VALUE"""),"12/15/2020")</f>
        <v>12/15/2020</v>
      </c>
      <c r="H1765" s="6" t="str">
        <f>IFERROR(__xludf.DUMMYFUNCTION("""COMPUTED_VALUE"""),"female")</f>
        <v>female</v>
      </c>
      <c r="I1765" s="6" t="str">
        <f>IFERROR(__xludf.DUMMYFUNCTION("""COMPUTED_VALUE"""),"Learning Lab")</f>
        <v>Learning Lab</v>
      </c>
      <c r="J1765" s="6" t="str">
        <f>IFERROR(__xludf.DUMMYFUNCTION("""COMPUTED_VALUE"""),"K")</f>
        <v>K</v>
      </c>
      <c r="K1765" s="6" t="str">
        <f>IFERROR(__xludf.DUMMYFUNCTION("""COMPUTED_VALUE"""),"alessia.kriete@alpha.school")</f>
        <v>alessia.kriete@alpha.school</v>
      </c>
      <c r="L1765" s="6" t="str">
        <f>IFERROR(__xludf.DUMMYFUNCTION("""COMPUTED_VALUE"""),"Alpha School Miami")</f>
        <v>Alpha School Miami</v>
      </c>
      <c r="M1765" s="6" t="str">
        <f>IFERROR(__xludf.DUMMYFUNCTION("""COMPUTED_VALUE"""),"")</f>
        <v/>
      </c>
      <c r="N1765" s="6" t="str">
        <f>IFERROR(__xludf.DUMMYFUNCTION("""COMPUTED_VALUE"""),"")</f>
        <v/>
      </c>
      <c r="O1765" s="87" t="str">
        <f>IFERROR(__xludf.DUMMYFUNCTION("""COMPUTED_VALUE"""),"https://drive.google.com/drive/folders/10T2cTQHqEJZqE-st6uFKPoI?usp=share_link")</f>
        <v>https://drive.google.com/drive/folders/10T2cTQHqEJZqE-st6uFKPoI?usp=share_link</v>
      </c>
      <c r="P1765" s="6" t="str">
        <f>IFERROR(__xludf.DUMMYFUNCTION("""COMPUTED_VALUE"""),"Alessia Kriete")</f>
        <v>Alessia Kriete</v>
      </c>
      <c r="Q1765" s="6" t="str">
        <f>IFERROR(__xludf.DUMMYFUNCTION("""COMPUTED_VALUE"""),"LL")</f>
        <v>LL</v>
      </c>
      <c r="R1765" s="6">
        <f>IFERROR(__xludf.DUMMYFUNCTION("""COMPUTED_VALUE"""),0.0)</f>
        <v>0</v>
      </c>
      <c r="S1765" s="6" t="str">
        <f>IFERROR(__xludf.DUMMYFUNCTION("""COMPUTED_VALUE"""),"Shannon Prior")</f>
        <v>Shannon Prior</v>
      </c>
      <c r="T1765" s="6" t="str">
        <f>IFERROR(__xludf.DUMMYFUNCTION("""COMPUTED_VALUE"""),"shannon.prior@alpha.school")</f>
        <v>shannon.prior@alpha.school</v>
      </c>
      <c r="U1765" s="6" t="str">
        <f>IFERROR(__xludf.DUMMYFUNCTION("""COMPUTED_VALUE"""),"K")</f>
        <v>K</v>
      </c>
      <c r="V1765" s="6" t="str">
        <f>IFERROR(__xludf.DUMMYFUNCTION("""COMPUTED_VALUE"""),"")</f>
        <v/>
      </c>
      <c r="W1765" s="6" t="str">
        <f>IFERROR(__xludf.DUMMYFUNCTION("""COMPUTED_VALUE"""),"[]")</f>
        <v>[]</v>
      </c>
      <c r="X1765" s="6" t="str">
        <f>IFERROR(__xludf.DUMMYFUNCTION("""COMPUTED_VALUE"""),"Enrolled")</f>
        <v>Enrolled</v>
      </c>
    </row>
    <row r="1766">
      <c r="A1766" s="6" t="str">
        <f>IFERROR(__xludf.DUMMYFUNCTION("""COMPUTED_VALUE"""),"015-2566")</f>
        <v>015-2566</v>
      </c>
      <c r="B1766" s="6" t="str">
        <f>IFERROR(__xludf.DUMMYFUNCTION("""COMPUTED_VALUE"""),"15")</f>
        <v>15</v>
      </c>
      <c r="C1766" s="6" t="str">
        <f>IFERROR(__xludf.DUMMYFUNCTION("""COMPUTED_VALUE"""),"2566")</f>
        <v>2566</v>
      </c>
      <c r="D1766" s="6" t="str">
        <f>IFERROR(__xludf.DUMMYFUNCTION("""COMPUTED_VALUE"""),"Elias")</f>
        <v>Elias</v>
      </c>
      <c r="E1766" s="6" t="str">
        <f>IFERROR(__xludf.DUMMYFUNCTION("""COMPUTED_VALUE"""),"Elias")</f>
        <v>Elias</v>
      </c>
      <c r="F1766" s="6" t="str">
        <f>IFERROR(__xludf.DUMMYFUNCTION("""COMPUTED_VALUE"""),"Kellemen")</f>
        <v>Kellemen</v>
      </c>
      <c r="G1766" s="6" t="str">
        <f>IFERROR(__xludf.DUMMYFUNCTION("""COMPUTED_VALUE"""),"04/16/2014")</f>
        <v>04/16/2014</v>
      </c>
      <c r="H1766" s="6" t="str">
        <f>IFERROR(__xludf.DUMMYFUNCTION("""COMPUTED_VALUE"""),"male")</f>
        <v>male</v>
      </c>
      <c r="I1766" s="6" t="str">
        <f>IFERROR(__xludf.DUMMYFUNCTION("""COMPUTED_VALUE"""),"Middle School")</f>
        <v>Middle School</v>
      </c>
      <c r="J1766" s="6" t="str">
        <f>IFERROR(__xludf.DUMMYFUNCTION("""COMPUTED_VALUE"""),"6")</f>
        <v>6</v>
      </c>
      <c r="K1766" s="6" t="str">
        <f>IFERROR(__xludf.DUMMYFUNCTION("""COMPUTED_VALUE"""),"elias.kellemen@alpha.school")</f>
        <v>elias.kellemen@alpha.school</v>
      </c>
      <c r="L1766" s="6" t="str">
        <f>IFERROR(__xludf.DUMMYFUNCTION("""COMPUTED_VALUE"""),"Alpha School Miami")</f>
        <v>Alpha School Miami</v>
      </c>
      <c r="M1766" s="6" t="str">
        <f>IFERROR(__xludf.DUMMYFUNCTION("""COMPUTED_VALUE"""),"")</f>
        <v/>
      </c>
      <c r="N1766" s="6" t="str">
        <f>IFERROR(__xludf.DUMMYFUNCTION("""COMPUTED_VALUE"""),"")</f>
        <v/>
      </c>
      <c r="O1766" s="87" t="str">
        <f>IFERROR(__xludf.DUMMYFUNCTION("""COMPUTED_VALUE"""),"https://drive.google.com/drive/folders/10T2cTQHqEJZqE-st6uFKPoI?usp=share_link")</f>
        <v>https://drive.google.com/drive/folders/10T2cTQHqEJZqE-st6uFKPoI?usp=share_link</v>
      </c>
      <c r="P1766" s="6" t="str">
        <f>IFERROR(__xludf.DUMMYFUNCTION("""COMPUTED_VALUE"""),"Elias Kellemen")</f>
        <v>Elias Kellemen</v>
      </c>
      <c r="Q1766" s="6" t="str">
        <f>IFERROR(__xludf.DUMMYFUNCTION("""COMPUTED_VALUE"""),"MS")</f>
        <v>MS</v>
      </c>
      <c r="R1766" s="6">
        <f>IFERROR(__xludf.DUMMYFUNCTION("""COMPUTED_VALUE"""),0.0)</f>
        <v>0</v>
      </c>
      <c r="S1766" s="6" t="str">
        <f>IFERROR(__xludf.DUMMYFUNCTION("""COMPUTED_VALUE"""),"Evan Ore")</f>
        <v>Evan Ore</v>
      </c>
      <c r="T1766" s="6" t="str">
        <f>IFERROR(__xludf.DUMMYFUNCTION("""COMPUTED_VALUE"""),"evan.ore@alpha.school")</f>
        <v>evan.ore@alpha.school</v>
      </c>
      <c r="U1766" s="6" t="str">
        <f>IFERROR(__xludf.DUMMYFUNCTION("""COMPUTED_VALUE"""),"6")</f>
        <v>6</v>
      </c>
      <c r="V1766" s="6" t="str">
        <f>IFERROR(__xludf.DUMMYFUNCTION("""COMPUTED_VALUE"""),"")</f>
        <v/>
      </c>
      <c r="W1766" s="6" t="str">
        <f>IFERROR(__xludf.DUMMYFUNCTION("""COMPUTED_VALUE"""),"[]")</f>
        <v>[]</v>
      </c>
      <c r="X1766" s="6" t="str">
        <f>IFERROR(__xludf.DUMMYFUNCTION("""COMPUTED_VALUE"""),"Enrolled")</f>
        <v>Enrolled</v>
      </c>
    </row>
    <row r="1767">
      <c r="A1767" s="6" t="str">
        <f>IFERROR(__xludf.DUMMYFUNCTION("""COMPUTED_VALUE"""),"015-2591")</f>
        <v>015-2591</v>
      </c>
      <c r="B1767" s="6" t="str">
        <f>IFERROR(__xludf.DUMMYFUNCTION("""COMPUTED_VALUE"""),"15")</f>
        <v>15</v>
      </c>
      <c r="C1767" s="6" t="str">
        <f>IFERROR(__xludf.DUMMYFUNCTION("""COMPUTED_VALUE"""),"2591")</f>
        <v>2591</v>
      </c>
      <c r="D1767" s="6" t="str">
        <f>IFERROR(__xludf.DUMMYFUNCTION("""COMPUTED_VALUE"""),"Emma")</f>
        <v>Emma</v>
      </c>
      <c r="E1767" s="6" t="str">
        <f>IFERROR(__xludf.DUMMYFUNCTION("""COMPUTED_VALUE"""),"")</f>
        <v/>
      </c>
      <c r="F1767" s="6" t="str">
        <f>IFERROR(__xludf.DUMMYFUNCTION("""COMPUTED_VALUE"""),"Correa")</f>
        <v>Correa</v>
      </c>
      <c r="G1767" s="6" t="str">
        <f>IFERROR(__xludf.DUMMYFUNCTION("""COMPUTED_VALUE"""),"02/28/2013")</f>
        <v>02/28/2013</v>
      </c>
      <c r="H1767" s="6" t="str">
        <f>IFERROR(__xludf.DUMMYFUNCTION("""COMPUTED_VALUE"""),"female")</f>
        <v>female</v>
      </c>
      <c r="I1767" s="6" t="str">
        <f>IFERROR(__xludf.DUMMYFUNCTION("""COMPUTED_VALUE"""),"Middle School")</f>
        <v>Middle School</v>
      </c>
      <c r="J1767" s="6" t="str">
        <f>IFERROR(__xludf.DUMMYFUNCTION("""COMPUTED_VALUE"""),"7")</f>
        <v>7</v>
      </c>
      <c r="K1767" s="6" t="str">
        <f>IFERROR(__xludf.DUMMYFUNCTION("""COMPUTED_VALUE"""),"emma.correa@alpha.school")</f>
        <v>emma.correa@alpha.school</v>
      </c>
      <c r="L1767" s="6" t="str">
        <f>IFERROR(__xludf.DUMMYFUNCTION("""COMPUTED_VALUE"""),"Alpha School Miami")</f>
        <v>Alpha School Miami</v>
      </c>
      <c r="M1767" s="6" t="str">
        <f>IFERROR(__xludf.DUMMYFUNCTION("""COMPUTED_VALUE"""),"")</f>
        <v/>
      </c>
      <c r="N1767" s="6" t="str">
        <f>IFERROR(__xludf.DUMMYFUNCTION("""COMPUTED_VALUE"""),"")</f>
        <v/>
      </c>
      <c r="O1767" s="87" t="str">
        <f>IFERROR(__xludf.DUMMYFUNCTION("""COMPUTED_VALUE"""),"https://drive.google.com/drive/folders/10T2cTQHqEJZqE-st6uFKPoI?usp=share_link")</f>
        <v>https://drive.google.com/drive/folders/10T2cTQHqEJZqE-st6uFKPoI?usp=share_link</v>
      </c>
      <c r="P1767" s="6" t="str">
        <f>IFERROR(__xludf.DUMMYFUNCTION("""COMPUTED_VALUE"""),"Emma Correa")</f>
        <v>Emma Correa</v>
      </c>
      <c r="Q1767" s="6" t="str">
        <f>IFERROR(__xludf.DUMMYFUNCTION("""COMPUTED_VALUE"""),"MS")</f>
        <v>MS</v>
      </c>
      <c r="R1767" s="6">
        <f>IFERROR(__xludf.DUMMYFUNCTION("""COMPUTED_VALUE"""),0.0)</f>
        <v>0</v>
      </c>
      <c r="S1767" s="6" t="str">
        <f>IFERROR(__xludf.DUMMYFUNCTION("""COMPUTED_VALUE"""),"Tamara Stephenson")</f>
        <v>Tamara Stephenson</v>
      </c>
      <c r="T1767" s="6" t="str">
        <f>IFERROR(__xludf.DUMMYFUNCTION("""COMPUTED_VALUE"""),"tamara.stephenson@alpha.school")</f>
        <v>tamara.stephenson@alpha.school</v>
      </c>
      <c r="U1767" s="6" t="str">
        <f>IFERROR(__xludf.DUMMYFUNCTION("""COMPUTED_VALUE"""),"7")</f>
        <v>7</v>
      </c>
      <c r="V1767" s="6" t="str">
        <f>IFERROR(__xludf.DUMMYFUNCTION("""COMPUTED_VALUE"""),"")</f>
        <v/>
      </c>
      <c r="W1767" s="6" t="str">
        <f>IFERROR(__xludf.DUMMYFUNCTION("""COMPUTED_VALUE"""),"[]")</f>
        <v>[]</v>
      </c>
      <c r="X1767" s="6" t="str">
        <f>IFERROR(__xludf.DUMMYFUNCTION("""COMPUTED_VALUE"""),"Enrolled")</f>
        <v>Enrolled</v>
      </c>
    </row>
    <row r="1768">
      <c r="A1768" s="6" t="str">
        <f>IFERROR(__xludf.DUMMYFUNCTION("""COMPUTED_VALUE"""),"015-2598")</f>
        <v>015-2598</v>
      </c>
      <c r="B1768" s="6" t="str">
        <f>IFERROR(__xludf.DUMMYFUNCTION("""COMPUTED_VALUE"""),"15")</f>
        <v>15</v>
      </c>
      <c r="C1768" s="6" t="str">
        <f>IFERROR(__xludf.DUMMYFUNCTION("""COMPUTED_VALUE"""),"2598")</f>
        <v>2598</v>
      </c>
      <c r="D1768" s="6" t="str">
        <f>IFERROR(__xludf.DUMMYFUNCTION("""COMPUTED_VALUE"""),"Julian")</f>
        <v>Julian</v>
      </c>
      <c r="E1768" s="6" t="str">
        <f>IFERROR(__xludf.DUMMYFUNCTION("""COMPUTED_VALUE"""),"Julian")</f>
        <v>Julian</v>
      </c>
      <c r="F1768" s="6" t="str">
        <f>IFERROR(__xludf.DUMMYFUNCTION("""COMPUTED_VALUE"""),"Dziuba")</f>
        <v>Dziuba</v>
      </c>
      <c r="G1768" s="6" t="str">
        <f>IFERROR(__xludf.DUMMYFUNCTION("""COMPUTED_VALUE"""),"11/08/2017")</f>
        <v>11/08/2017</v>
      </c>
      <c r="H1768" s="6" t="str">
        <f>IFERROR(__xludf.DUMMYFUNCTION("""COMPUTED_VALUE"""),"male")</f>
        <v>male</v>
      </c>
      <c r="I1768" s="6" t="str">
        <f>IFERROR(__xludf.DUMMYFUNCTION("""COMPUTED_VALUE"""),"Level 1")</f>
        <v>Level 1</v>
      </c>
      <c r="J1768" s="6" t="str">
        <f>IFERROR(__xludf.DUMMYFUNCTION("""COMPUTED_VALUE"""),"2")</f>
        <v>2</v>
      </c>
      <c r="K1768" s="6" t="str">
        <f>IFERROR(__xludf.DUMMYFUNCTION("""COMPUTED_VALUE"""),"julian.dziuba@alpha.school")</f>
        <v>julian.dziuba@alpha.school</v>
      </c>
      <c r="L1768" s="6" t="str">
        <f>IFERROR(__xludf.DUMMYFUNCTION("""COMPUTED_VALUE"""),"Alpha School Miami")</f>
        <v>Alpha School Miami</v>
      </c>
      <c r="M1768" s="6" t="str">
        <f>IFERROR(__xludf.DUMMYFUNCTION("""COMPUTED_VALUE"""),"")</f>
        <v/>
      </c>
      <c r="N1768" s="6" t="str">
        <f>IFERROR(__xludf.DUMMYFUNCTION("""COMPUTED_VALUE"""),"")</f>
        <v/>
      </c>
      <c r="O1768" s="87" t="str">
        <f>IFERROR(__xludf.DUMMYFUNCTION("""COMPUTED_VALUE"""),"https://drive.google.com/drive/folders/10T2cTQHqEJZqE-st6uFKPoI?usp=share_link")</f>
        <v>https://drive.google.com/drive/folders/10T2cTQHqEJZqE-st6uFKPoI?usp=share_link</v>
      </c>
      <c r="P1768" s="6" t="str">
        <f>IFERROR(__xludf.DUMMYFUNCTION("""COMPUTED_VALUE"""),"Julian Dziuba")</f>
        <v>Julian Dziuba</v>
      </c>
      <c r="Q1768" s="6" t="str">
        <f>IFERROR(__xludf.DUMMYFUNCTION("""COMPUTED_VALUE"""),"L1")</f>
        <v>L1</v>
      </c>
      <c r="R1768" s="6">
        <f>IFERROR(__xludf.DUMMYFUNCTION("""COMPUTED_VALUE"""),1.0)</f>
        <v>1</v>
      </c>
      <c r="S1768" s="6" t="str">
        <f>IFERROR(__xludf.DUMMYFUNCTION("""COMPUTED_VALUE"""),"Brittany Ore")</f>
        <v>Brittany Ore</v>
      </c>
      <c r="T1768" s="6" t="str">
        <f>IFERROR(__xludf.DUMMYFUNCTION("""COMPUTED_VALUE"""),"brittany.ore@alpha.school")</f>
        <v>brittany.ore@alpha.school</v>
      </c>
      <c r="U1768" s="6" t="str">
        <f>IFERROR(__xludf.DUMMYFUNCTION("""COMPUTED_VALUE"""),"2")</f>
        <v>2</v>
      </c>
      <c r="V1768" s="6" t="str">
        <f>IFERROR(__xludf.DUMMYFUNCTION("""COMPUTED_VALUE"""),"")</f>
        <v/>
      </c>
      <c r="W1768" s="6" t="str">
        <f>IFERROR(__xludf.DUMMYFUNCTION("""COMPUTED_VALUE"""),"[]")</f>
        <v>[]</v>
      </c>
      <c r="X1768" s="6" t="str">
        <f>IFERROR(__xludf.DUMMYFUNCTION("""COMPUTED_VALUE"""),"Enrolled")</f>
        <v>Enrolled</v>
      </c>
    </row>
    <row r="1769">
      <c r="A1769" s="6" t="str">
        <f>IFERROR(__xludf.DUMMYFUNCTION("""COMPUTED_VALUE"""),"015-2609")</f>
        <v>015-2609</v>
      </c>
      <c r="B1769" s="6" t="str">
        <f>IFERROR(__xludf.DUMMYFUNCTION("""COMPUTED_VALUE"""),"15")</f>
        <v>15</v>
      </c>
      <c r="C1769" s="6" t="str">
        <f>IFERROR(__xludf.DUMMYFUNCTION("""COMPUTED_VALUE"""),"2609")</f>
        <v>2609</v>
      </c>
      <c r="D1769" s="6" t="str">
        <f>IFERROR(__xludf.DUMMYFUNCTION("""COMPUTED_VALUE"""),"Jason")</f>
        <v>Jason</v>
      </c>
      <c r="E1769" s="6" t="str">
        <f>IFERROR(__xludf.DUMMYFUNCTION("""COMPUTED_VALUE"""),"Jason")</f>
        <v>Jason</v>
      </c>
      <c r="F1769" s="6" t="str">
        <f>IFERROR(__xludf.DUMMYFUNCTION("""COMPUTED_VALUE"""),"Dziuba")</f>
        <v>Dziuba</v>
      </c>
      <c r="G1769" s="6" t="str">
        <f>IFERROR(__xludf.DUMMYFUNCTION("""COMPUTED_VALUE"""),"09/22/2013")</f>
        <v>09/22/2013</v>
      </c>
      <c r="H1769" s="6" t="str">
        <f>IFERROR(__xludf.DUMMYFUNCTION("""COMPUTED_VALUE"""),"male")</f>
        <v>male</v>
      </c>
      <c r="I1769" s="6" t="str">
        <f>IFERROR(__xludf.DUMMYFUNCTION("""COMPUTED_VALUE"""),"Middle School")</f>
        <v>Middle School</v>
      </c>
      <c r="J1769" s="6" t="str">
        <f>IFERROR(__xludf.DUMMYFUNCTION("""COMPUTED_VALUE"""),"6")</f>
        <v>6</v>
      </c>
      <c r="K1769" s="6" t="str">
        <f>IFERROR(__xludf.DUMMYFUNCTION("""COMPUTED_VALUE"""),"jason.dziuba@alpha.school")</f>
        <v>jason.dziuba@alpha.school</v>
      </c>
      <c r="L1769" s="6" t="str">
        <f>IFERROR(__xludf.DUMMYFUNCTION("""COMPUTED_VALUE"""),"Alpha School Miami")</f>
        <v>Alpha School Miami</v>
      </c>
      <c r="M1769" s="6" t="str">
        <f>IFERROR(__xludf.DUMMYFUNCTION("""COMPUTED_VALUE"""),"")</f>
        <v/>
      </c>
      <c r="N1769" s="6" t="str">
        <f>IFERROR(__xludf.DUMMYFUNCTION("""COMPUTED_VALUE"""),"")</f>
        <v/>
      </c>
      <c r="O1769" s="87" t="str">
        <f>IFERROR(__xludf.DUMMYFUNCTION("""COMPUTED_VALUE"""),"https://drive.google.com/drive/folders/10T2cTQHqEJZqE-st6uFKPoI?usp=share_link")</f>
        <v>https://drive.google.com/drive/folders/10T2cTQHqEJZqE-st6uFKPoI?usp=share_link</v>
      </c>
      <c r="P1769" s="6" t="str">
        <f>IFERROR(__xludf.DUMMYFUNCTION("""COMPUTED_VALUE"""),"Jason Dziuba")</f>
        <v>Jason Dziuba</v>
      </c>
      <c r="Q1769" s="6" t="str">
        <f>IFERROR(__xludf.DUMMYFUNCTION("""COMPUTED_VALUE"""),"MS")</f>
        <v>MS</v>
      </c>
      <c r="R1769" s="6">
        <f>IFERROR(__xludf.DUMMYFUNCTION("""COMPUTED_VALUE"""),0.0)</f>
        <v>0</v>
      </c>
      <c r="S1769" s="6" t="str">
        <f>IFERROR(__xludf.DUMMYFUNCTION("""COMPUTED_VALUE"""),"Santi Orozco")</f>
        <v>Santi Orozco</v>
      </c>
      <c r="T1769" s="6" t="str">
        <f>IFERROR(__xludf.DUMMYFUNCTION("""COMPUTED_VALUE"""),"santiago.garcia@alpha.school")</f>
        <v>santiago.garcia@alpha.school</v>
      </c>
      <c r="U1769" s="6" t="str">
        <f>IFERROR(__xludf.DUMMYFUNCTION("""COMPUTED_VALUE"""),"6")</f>
        <v>6</v>
      </c>
      <c r="V1769" s="6" t="str">
        <f>IFERROR(__xludf.DUMMYFUNCTION("""COMPUTED_VALUE"""),"")</f>
        <v/>
      </c>
      <c r="W1769" s="6" t="str">
        <f>IFERROR(__xludf.DUMMYFUNCTION("""COMPUTED_VALUE"""),"[]")</f>
        <v>[]</v>
      </c>
      <c r="X1769" s="6" t="str">
        <f>IFERROR(__xludf.DUMMYFUNCTION("""COMPUTED_VALUE"""),"Enrolled")</f>
        <v>Enrolled</v>
      </c>
    </row>
    <row r="1770">
      <c r="A1770" s="6" t="str">
        <f>IFERROR(__xludf.DUMMYFUNCTION("""COMPUTED_VALUE"""),"015-2627")</f>
        <v>015-2627</v>
      </c>
      <c r="B1770" s="6" t="str">
        <f>IFERROR(__xludf.DUMMYFUNCTION("""COMPUTED_VALUE"""),"15")</f>
        <v>15</v>
      </c>
      <c r="C1770" s="6" t="str">
        <f>IFERROR(__xludf.DUMMYFUNCTION("""COMPUTED_VALUE"""),"2627")</f>
        <v>2627</v>
      </c>
      <c r="D1770" s="6" t="str">
        <f>IFERROR(__xludf.DUMMYFUNCTION("""COMPUTED_VALUE"""),"Emilio")</f>
        <v>Emilio</v>
      </c>
      <c r="E1770" s="6" t="str">
        <f>IFERROR(__xludf.DUMMYFUNCTION("""COMPUTED_VALUE"""),"")</f>
        <v/>
      </c>
      <c r="F1770" s="6" t="str">
        <f>IFERROR(__xludf.DUMMYFUNCTION("""COMPUTED_VALUE"""),"Correa")</f>
        <v>Correa</v>
      </c>
      <c r="G1770" s="6" t="str">
        <f>IFERROR(__xludf.DUMMYFUNCTION("""COMPUTED_VALUE"""),"04/06/2015")</f>
        <v>04/06/2015</v>
      </c>
      <c r="H1770" s="6" t="str">
        <f>IFERROR(__xludf.DUMMYFUNCTION("""COMPUTED_VALUE"""),"male")</f>
        <v>male</v>
      </c>
      <c r="I1770" s="6" t="str">
        <f>IFERROR(__xludf.DUMMYFUNCTION("""COMPUTED_VALUE"""),"Level 2")</f>
        <v>Level 2</v>
      </c>
      <c r="J1770" s="6" t="str">
        <f>IFERROR(__xludf.DUMMYFUNCTION("""COMPUTED_VALUE"""),"5")</f>
        <v>5</v>
      </c>
      <c r="K1770" s="6" t="str">
        <f>IFERROR(__xludf.DUMMYFUNCTION("""COMPUTED_VALUE"""),"emilio.correa@alpha.school")</f>
        <v>emilio.correa@alpha.school</v>
      </c>
      <c r="L1770" s="6" t="str">
        <f>IFERROR(__xludf.DUMMYFUNCTION("""COMPUTED_VALUE"""),"Alpha School Miami")</f>
        <v>Alpha School Miami</v>
      </c>
      <c r="M1770" s="6" t="str">
        <f>IFERROR(__xludf.DUMMYFUNCTION("""COMPUTED_VALUE"""),"")</f>
        <v/>
      </c>
      <c r="N1770" s="6" t="str">
        <f>IFERROR(__xludf.DUMMYFUNCTION("""COMPUTED_VALUE"""),"")</f>
        <v/>
      </c>
      <c r="O1770" s="87" t="str">
        <f>IFERROR(__xludf.DUMMYFUNCTION("""COMPUTED_VALUE"""),"https://drive.google.com/drive/folders/10T2cTQHqEJZqE-st6uFKPoI?usp=share_link")</f>
        <v>https://drive.google.com/drive/folders/10T2cTQHqEJZqE-st6uFKPoI?usp=share_link</v>
      </c>
      <c r="P1770" s="6" t="str">
        <f>IFERROR(__xludf.DUMMYFUNCTION("""COMPUTED_VALUE"""),"Emilio Correa")</f>
        <v>Emilio Correa</v>
      </c>
      <c r="Q1770" s="6" t="str">
        <f>IFERROR(__xludf.DUMMYFUNCTION("""COMPUTED_VALUE"""),"L2")</f>
        <v>L2</v>
      </c>
      <c r="R1770" s="6">
        <f>IFERROR(__xludf.DUMMYFUNCTION("""COMPUTED_VALUE"""),2.0)</f>
        <v>2</v>
      </c>
      <c r="S1770" s="6" t="str">
        <f>IFERROR(__xludf.DUMMYFUNCTION("""COMPUTED_VALUE"""),"Chris Hayes")</f>
        <v>Chris Hayes</v>
      </c>
      <c r="T1770" s="6" t="str">
        <f>IFERROR(__xludf.DUMMYFUNCTION("""COMPUTED_VALUE"""),"chris.hayes@alpha.school")</f>
        <v>chris.hayes@alpha.school</v>
      </c>
      <c r="U1770" s="6" t="str">
        <f>IFERROR(__xludf.DUMMYFUNCTION("""COMPUTED_VALUE"""),"5")</f>
        <v>5</v>
      </c>
      <c r="V1770" s="6" t="str">
        <f>IFERROR(__xludf.DUMMYFUNCTION("""COMPUTED_VALUE"""),"")</f>
        <v/>
      </c>
      <c r="W1770" s="6" t="str">
        <f>IFERROR(__xludf.DUMMYFUNCTION("""COMPUTED_VALUE"""),"[]")</f>
        <v>[]</v>
      </c>
      <c r="X1770" s="6" t="str">
        <f>IFERROR(__xludf.DUMMYFUNCTION("""COMPUTED_VALUE"""),"Enrolled")</f>
        <v>Enrolled</v>
      </c>
    </row>
    <row r="1771">
      <c r="A1771" s="6" t="str">
        <f>IFERROR(__xludf.DUMMYFUNCTION("""COMPUTED_VALUE"""),"015-2727")</f>
        <v>015-2727</v>
      </c>
      <c r="B1771" s="6" t="str">
        <f>IFERROR(__xludf.DUMMYFUNCTION("""COMPUTED_VALUE"""),"15")</f>
        <v>15</v>
      </c>
      <c r="C1771" s="6" t="str">
        <f>IFERROR(__xludf.DUMMYFUNCTION("""COMPUTED_VALUE"""),"2727")</f>
        <v>2727</v>
      </c>
      <c r="D1771" s="6" t="str">
        <f>IFERROR(__xludf.DUMMYFUNCTION("""COMPUTED_VALUE"""),"Nicholas")</f>
        <v>Nicholas</v>
      </c>
      <c r="E1771" s="6" t="str">
        <f>IFERROR(__xludf.DUMMYFUNCTION("""COMPUTED_VALUE"""),"Nico")</f>
        <v>Nico</v>
      </c>
      <c r="F1771" s="6" t="str">
        <f>IFERROR(__xludf.DUMMYFUNCTION("""COMPUTED_VALUE"""),"Mora")</f>
        <v>Mora</v>
      </c>
      <c r="G1771" s="6" t="str">
        <f>IFERROR(__xludf.DUMMYFUNCTION("""COMPUTED_VALUE"""),"03/28/2014")</f>
        <v>03/28/2014</v>
      </c>
      <c r="H1771" s="6" t="str">
        <f>IFERROR(__xludf.DUMMYFUNCTION("""COMPUTED_VALUE"""),"male")</f>
        <v>male</v>
      </c>
      <c r="I1771" s="6" t="str">
        <f>IFERROR(__xludf.DUMMYFUNCTION("""COMPUTED_VALUE"""),"Middle School")</f>
        <v>Middle School</v>
      </c>
      <c r="J1771" s="6" t="str">
        <f>IFERROR(__xludf.DUMMYFUNCTION("""COMPUTED_VALUE"""),"6")</f>
        <v>6</v>
      </c>
      <c r="K1771" s="6" t="str">
        <f>IFERROR(__xludf.DUMMYFUNCTION("""COMPUTED_VALUE"""),"nicholas.mora@alpha.school")</f>
        <v>nicholas.mora@alpha.school</v>
      </c>
      <c r="L1771" s="6" t="str">
        <f>IFERROR(__xludf.DUMMYFUNCTION("""COMPUTED_VALUE"""),"Alpha School Miami")</f>
        <v>Alpha School Miami</v>
      </c>
      <c r="M1771" s="6" t="str">
        <f>IFERROR(__xludf.DUMMYFUNCTION("""COMPUTED_VALUE"""),"")</f>
        <v/>
      </c>
      <c r="N1771" s="6" t="str">
        <f>IFERROR(__xludf.DUMMYFUNCTION("""COMPUTED_VALUE"""),"")</f>
        <v/>
      </c>
      <c r="O1771" s="87" t="str">
        <f>IFERROR(__xludf.DUMMYFUNCTION("""COMPUTED_VALUE"""),"https://drive.google.com/drive/folders/10T2cTQHqEJZqE-st6uFKPoI?usp=share_link")</f>
        <v>https://drive.google.com/drive/folders/10T2cTQHqEJZqE-st6uFKPoI?usp=share_link</v>
      </c>
      <c r="P1771" s="6" t="str">
        <f>IFERROR(__xludf.DUMMYFUNCTION("""COMPUTED_VALUE"""),"Nico Mora")</f>
        <v>Nico Mora</v>
      </c>
      <c r="Q1771" s="6" t="str">
        <f>IFERROR(__xludf.DUMMYFUNCTION("""COMPUTED_VALUE"""),"MS")</f>
        <v>MS</v>
      </c>
      <c r="R1771" s="6">
        <f>IFERROR(__xludf.DUMMYFUNCTION("""COMPUTED_VALUE"""),0.0)</f>
        <v>0</v>
      </c>
      <c r="S1771" s="6" t="str">
        <f>IFERROR(__xludf.DUMMYFUNCTION("""COMPUTED_VALUE"""),"Santi Orozco")</f>
        <v>Santi Orozco</v>
      </c>
      <c r="T1771" s="6" t="str">
        <f>IFERROR(__xludf.DUMMYFUNCTION("""COMPUTED_VALUE"""),"santiago.garcia@alpha.school")</f>
        <v>santiago.garcia@alpha.school</v>
      </c>
      <c r="U1771" s="6" t="str">
        <f>IFERROR(__xludf.DUMMYFUNCTION("""COMPUTED_VALUE"""),"6")</f>
        <v>6</v>
      </c>
      <c r="V1771" s="6" t="str">
        <f>IFERROR(__xludf.DUMMYFUNCTION("""COMPUTED_VALUE"""),"")</f>
        <v/>
      </c>
      <c r="W1771" s="6" t="str">
        <f>IFERROR(__xludf.DUMMYFUNCTION("""COMPUTED_VALUE"""),"[]")</f>
        <v>[]</v>
      </c>
      <c r="X1771" s="6" t="str">
        <f>IFERROR(__xludf.DUMMYFUNCTION("""COMPUTED_VALUE"""),"Enrolled")</f>
        <v>Enrolled</v>
      </c>
    </row>
    <row r="1772">
      <c r="A1772" s="6" t="str">
        <f>IFERROR(__xludf.DUMMYFUNCTION("""COMPUTED_VALUE"""),"015-2732")</f>
        <v>015-2732</v>
      </c>
      <c r="B1772" s="6" t="str">
        <f>IFERROR(__xludf.DUMMYFUNCTION("""COMPUTED_VALUE"""),"15")</f>
        <v>15</v>
      </c>
      <c r="C1772" s="6" t="str">
        <f>IFERROR(__xludf.DUMMYFUNCTION("""COMPUTED_VALUE"""),"2732")</f>
        <v>2732</v>
      </c>
      <c r="D1772" s="6" t="str">
        <f>IFERROR(__xludf.DUMMYFUNCTION("""COMPUTED_VALUE"""),"Enzo")</f>
        <v>Enzo</v>
      </c>
      <c r="E1772" s="6" t="str">
        <f>IFERROR(__xludf.DUMMYFUNCTION("""COMPUTED_VALUE"""),"")</f>
        <v/>
      </c>
      <c r="F1772" s="6" t="str">
        <f>IFERROR(__xludf.DUMMYFUNCTION("""COMPUTED_VALUE"""),"Estrada")</f>
        <v>Estrada</v>
      </c>
      <c r="G1772" s="6" t="str">
        <f>IFERROR(__xludf.DUMMYFUNCTION("""COMPUTED_VALUE"""),"07/18/2019")</f>
        <v>07/18/2019</v>
      </c>
      <c r="H1772" s="6" t="str">
        <f>IFERROR(__xludf.DUMMYFUNCTION("""COMPUTED_VALUE"""),"male")</f>
        <v>male</v>
      </c>
      <c r="I1772" s="6" t="str">
        <f>IFERROR(__xludf.DUMMYFUNCTION("""COMPUTED_VALUE"""),"Learning Lab")</f>
        <v>Learning Lab</v>
      </c>
      <c r="J1772" s="6" t="str">
        <f>IFERROR(__xludf.DUMMYFUNCTION("""COMPUTED_VALUE"""),"K")</f>
        <v>K</v>
      </c>
      <c r="K1772" s="6" t="str">
        <f>IFERROR(__xludf.DUMMYFUNCTION("""COMPUTED_VALUE"""),"enzo.estrada@alpha.school")</f>
        <v>enzo.estrada@alpha.school</v>
      </c>
      <c r="L1772" s="6" t="str">
        <f>IFERROR(__xludf.DUMMYFUNCTION("""COMPUTED_VALUE"""),"Alpha School Miami")</f>
        <v>Alpha School Miami</v>
      </c>
      <c r="M1772" s="6" t="str">
        <f>IFERROR(__xludf.DUMMYFUNCTION("""COMPUTED_VALUE"""),"")</f>
        <v/>
      </c>
      <c r="N1772" s="6" t="str">
        <f>IFERROR(__xludf.DUMMYFUNCTION("""COMPUTED_VALUE"""),"")</f>
        <v/>
      </c>
      <c r="O1772" s="87" t="str">
        <f>IFERROR(__xludf.DUMMYFUNCTION("""COMPUTED_VALUE"""),"https://drive.google.com/drive/folders/10T2cTQHqEJZqE-st6uFKPoI?usp=share_link")</f>
        <v>https://drive.google.com/drive/folders/10T2cTQHqEJZqE-st6uFKPoI?usp=share_link</v>
      </c>
      <c r="P1772" s="6" t="str">
        <f>IFERROR(__xludf.DUMMYFUNCTION("""COMPUTED_VALUE"""),"Enzo Estrada")</f>
        <v>Enzo Estrada</v>
      </c>
      <c r="Q1772" s="6" t="str">
        <f>IFERROR(__xludf.DUMMYFUNCTION("""COMPUTED_VALUE"""),"LL")</f>
        <v>LL</v>
      </c>
      <c r="R1772" s="6">
        <f>IFERROR(__xludf.DUMMYFUNCTION("""COMPUTED_VALUE"""),0.0)</f>
        <v>0</v>
      </c>
      <c r="S1772" s="6" t="str">
        <f>IFERROR(__xludf.DUMMYFUNCTION("""COMPUTED_VALUE"""),"Shannon Prior")</f>
        <v>Shannon Prior</v>
      </c>
      <c r="T1772" s="6" t="str">
        <f>IFERROR(__xludf.DUMMYFUNCTION("""COMPUTED_VALUE"""),"shannon.prior@alpha.school")</f>
        <v>shannon.prior@alpha.school</v>
      </c>
      <c r="U1772" s="6" t="str">
        <f>IFERROR(__xludf.DUMMYFUNCTION("""COMPUTED_VALUE"""),"K")</f>
        <v>K</v>
      </c>
      <c r="V1772" s="6" t="str">
        <f>IFERROR(__xludf.DUMMYFUNCTION("""COMPUTED_VALUE"""),"")</f>
        <v/>
      </c>
      <c r="W1772" s="6" t="str">
        <f>IFERROR(__xludf.DUMMYFUNCTION("""COMPUTED_VALUE"""),"[]")</f>
        <v>[]</v>
      </c>
      <c r="X1772" s="6" t="str">
        <f>IFERROR(__xludf.DUMMYFUNCTION("""COMPUTED_VALUE"""),"Enrolled")</f>
        <v>Enrolled</v>
      </c>
    </row>
    <row r="1773">
      <c r="A1773" s="6" t="str">
        <f>IFERROR(__xludf.DUMMYFUNCTION("""COMPUTED_VALUE"""),"015-2733")</f>
        <v>015-2733</v>
      </c>
      <c r="B1773" s="6" t="str">
        <f>IFERROR(__xludf.DUMMYFUNCTION("""COMPUTED_VALUE"""),"15")</f>
        <v>15</v>
      </c>
      <c r="C1773" s="6" t="str">
        <f>IFERROR(__xludf.DUMMYFUNCTION("""COMPUTED_VALUE"""),"2733")</f>
        <v>2733</v>
      </c>
      <c r="D1773" s="6" t="str">
        <f>IFERROR(__xludf.DUMMYFUNCTION("""COMPUTED_VALUE"""),"Jose Antonio")</f>
        <v>Jose Antonio</v>
      </c>
      <c r="E1773" s="6" t="str">
        <f>IFERROR(__xludf.DUMMYFUNCTION("""COMPUTED_VALUE"""),"Antonio")</f>
        <v>Antonio</v>
      </c>
      <c r="F1773" s="6" t="str">
        <f>IFERROR(__xludf.DUMMYFUNCTION("""COMPUTED_VALUE"""),"Gutierrez")</f>
        <v>Gutierrez</v>
      </c>
      <c r="G1773" s="6" t="str">
        <f>IFERROR(__xludf.DUMMYFUNCTION("""COMPUTED_VALUE"""),"02/09/2016")</f>
        <v>02/09/2016</v>
      </c>
      <c r="H1773" s="6" t="str">
        <f>IFERROR(__xludf.DUMMYFUNCTION("""COMPUTED_VALUE"""),"male")</f>
        <v>male</v>
      </c>
      <c r="I1773" s="6" t="str">
        <f>IFERROR(__xludf.DUMMYFUNCTION("""COMPUTED_VALUE"""),"Level 2")</f>
        <v>Level 2</v>
      </c>
      <c r="J1773" s="6" t="str">
        <f>IFERROR(__xludf.DUMMYFUNCTION("""COMPUTED_VALUE"""),"4")</f>
        <v>4</v>
      </c>
      <c r="K1773" s="6" t="str">
        <f>IFERROR(__xludf.DUMMYFUNCTION("""COMPUTED_VALUE"""),"antonio.gutierrez@alpha.school")</f>
        <v>antonio.gutierrez@alpha.school</v>
      </c>
      <c r="L1773" s="6" t="str">
        <f>IFERROR(__xludf.DUMMYFUNCTION("""COMPUTED_VALUE"""),"Alpha School Miami")</f>
        <v>Alpha School Miami</v>
      </c>
      <c r="M1773" s="6" t="str">
        <f>IFERROR(__xludf.DUMMYFUNCTION("""COMPUTED_VALUE"""),"")</f>
        <v/>
      </c>
      <c r="N1773" s="6" t="str">
        <f>IFERROR(__xludf.DUMMYFUNCTION("""COMPUTED_VALUE"""),"")</f>
        <v/>
      </c>
      <c r="O1773" s="87" t="str">
        <f>IFERROR(__xludf.DUMMYFUNCTION("""COMPUTED_VALUE"""),"https://drive.google.com/drive/folders/10T2cTQHqEJZqE-st6uFKPoI?usp=share_link")</f>
        <v>https://drive.google.com/drive/folders/10T2cTQHqEJZqE-st6uFKPoI?usp=share_link</v>
      </c>
      <c r="P1773" s="6" t="str">
        <f>IFERROR(__xludf.DUMMYFUNCTION("""COMPUTED_VALUE"""),"Antonio Gutierrez")</f>
        <v>Antonio Gutierrez</v>
      </c>
      <c r="Q1773" s="6" t="str">
        <f>IFERROR(__xludf.DUMMYFUNCTION("""COMPUTED_VALUE"""),"L2")</f>
        <v>L2</v>
      </c>
      <c r="R1773" s="6">
        <f>IFERROR(__xludf.DUMMYFUNCTION("""COMPUTED_VALUE"""),2.0)</f>
        <v>2</v>
      </c>
      <c r="S1773" s="6" t="str">
        <f>IFERROR(__xludf.DUMMYFUNCTION("""COMPUTED_VALUE"""),"Chris Hayes")</f>
        <v>Chris Hayes</v>
      </c>
      <c r="T1773" s="6" t="str">
        <f>IFERROR(__xludf.DUMMYFUNCTION("""COMPUTED_VALUE"""),"chris.hayes@alpha.school")</f>
        <v>chris.hayes@alpha.school</v>
      </c>
      <c r="U1773" s="6" t="str">
        <f>IFERROR(__xludf.DUMMYFUNCTION("""COMPUTED_VALUE"""),"4")</f>
        <v>4</v>
      </c>
      <c r="V1773" s="6" t="str">
        <f>IFERROR(__xludf.DUMMYFUNCTION("""COMPUTED_VALUE"""),"")</f>
        <v/>
      </c>
      <c r="W1773" s="6" t="str">
        <f>IFERROR(__xludf.DUMMYFUNCTION("""COMPUTED_VALUE"""),"[]")</f>
        <v>[]</v>
      </c>
      <c r="X1773" s="6" t="str">
        <f>IFERROR(__xludf.DUMMYFUNCTION("""COMPUTED_VALUE"""),"Enrolled")</f>
        <v>Enrolled</v>
      </c>
    </row>
    <row r="1774">
      <c r="A1774" s="6" t="str">
        <f>IFERROR(__xludf.DUMMYFUNCTION("""COMPUTED_VALUE"""),"015-2774")</f>
        <v>015-2774</v>
      </c>
      <c r="B1774" s="6" t="str">
        <f>IFERROR(__xludf.DUMMYFUNCTION("""COMPUTED_VALUE"""),"15")</f>
        <v>15</v>
      </c>
      <c r="C1774" s="6" t="str">
        <f>IFERROR(__xludf.DUMMYFUNCTION("""COMPUTED_VALUE"""),"2774")</f>
        <v>2774</v>
      </c>
      <c r="D1774" s="6" t="str">
        <f>IFERROR(__xludf.DUMMYFUNCTION("""COMPUTED_VALUE"""),"Amelia")</f>
        <v>Amelia</v>
      </c>
      <c r="E1774" s="6" t="str">
        <f>IFERROR(__xludf.DUMMYFUNCTION("""COMPUTED_VALUE"""),"Amelia")</f>
        <v>Amelia</v>
      </c>
      <c r="F1774" s="6" t="str">
        <f>IFERROR(__xludf.DUMMYFUNCTION("""COMPUTED_VALUE"""),"Barakat")</f>
        <v>Barakat</v>
      </c>
      <c r="G1774" s="6" t="str">
        <f>IFERROR(__xludf.DUMMYFUNCTION("""COMPUTED_VALUE"""),"06/13/2018")</f>
        <v>06/13/2018</v>
      </c>
      <c r="H1774" s="6" t="str">
        <f>IFERROR(__xludf.DUMMYFUNCTION("""COMPUTED_VALUE"""),"female")</f>
        <v>female</v>
      </c>
      <c r="I1774" s="6" t="str">
        <f>IFERROR(__xludf.DUMMYFUNCTION("""COMPUTED_VALUE"""),"Level 1")</f>
        <v>Level 1</v>
      </c>
      <c r="J1774" s="6" t="str">
        <f>IFERROR(__xludf.DUMMYFUNCTION("""COMPUTED_VALUE"""),"2")</f>
        <v>2</v>
      </c>
      <c r="K1774" s="6" t="str">
        <f>IFERROR(__xludf.DUMMYFUNCTION("""COMPUTED_VALUE"""),"amelia.barakat@alpha.school")</f>
        <v>amelia.barakat@alpha.school</v>
      </c>
      <c r="L1774" s="6" t="str">
        <f>IFERROR(__xludf.DUMMYFUNCTION("""COMPUTED_VALUE"""),"Alpha School Miami")</f>
        <v>Alpha School Miami</v>
      </c>
      <c r="M1774" s="6" t="str">
        <f>IFERROR(__xludf.DUMMYFUNCTION("""COMPUTED_VALUE"""),"")</f>
        <v/>
      </c>
      <c r="N1774" s="6" t="str">
        <f>IFERROR(__xludf.DUMMYFUNCTION("""COMPUTED_VALUE"""),"")</f>
        <v/>
      </c>
      <c r="O1774" s="87" t="str">
        <f>IFERROR(__xludf.DUMMYFUNCTION("""COMPUTED_VALUE"""),"https://drive.google.com/drive/folders/10T2cTQHqEJZqE-st6uFKPoI?usp=share_link")</f>
        <v>https://drive.google.com/drive/folders/10T2cTQHqEJZqE-st6uFKPoI?usp=share_link</v>
      </c>
      <c r="P1774" s="6" t="str">
        <f>IFERROR(__xludf.DUMMYFUNCTION("""COMPUTED_VALUE"""),"Amelia Barakat")</f>
        <v>Amelia Barakat</v>
      </c>
      <c r="Q1774" s="6" t="str">
        <f>IFERROR(__xludf.DUMMYFUNCTION("""COMPUTED_VALUE"""),"L1")</f>
        <v>L1</v>
      </c>
      <c r="R1774" s="6">
        <f>IFERROR(__xludf.DUMMYFUNCTION("""COMPUTED_VALUE"""),1.0)</f>
        <v>1</v>
      </c>
      <c r="S1774" s="6" t="str">
        <f>IFERROR(__xludf.DUMMYFUNCTION("""COMPUTED_VALUE"""),"Tim Sheehy")</f>
        <v>Tim Sheehy</v>
      </c>
      <c r="T1774" s="6" t="str">
        <f>IFERROR(__xludf.DUMMYFUNCTION("""COMPUTED_VALUE"""),"timothy.sheehy@alpha.school")</f>
        <v>timothy.sheehy@alpha.school</v>
      </c>
      <c r="U1774" s="6" t="str">
        <f>IFERROR(__xludf.DUMMYFUNCTION("""COMPUTED_VALUE"""),"2")</f>
        <v>2</v>
      </c>
      <c r="V1774" s="6" t="str">
        <f>IFERROR(__xludf.DUMMYFUNCTION("""COMPUTED_VALUE"""),"")</f>
        <v/>
      </c>
      <c r="W1774" s="6" t="str">
        <f>IFERROR(__xludf.DUMMYFUNCTION("""COMPUTED_VALUE"""),"[]")</f>
        <v>[]</v>
      </c>
      <c r="X1774" s="6" t="str">
        <f>IFERROR(__xludf.DUMMYFUNCTION("""COMPUTED_VALUE"""),"Enrolled")</f>
        <v>Enrolled</v>
      </c>
    </row>
    <row r="1775">
      <c r="A1775" s="6" t="str">
        <f>IFERROR(__xludf.DUMMYFUNCTION("""COMPUTED_VALUE"""),"015-2829")</f>
        <v>015-2829</v>
      </c>
      <c r="B1775" s="6" t="str">
        <f>IFERROR(__xludf.DUMMYFUNCTION("""COMPUTED_VALUE"""),"15")</f>
        <v>15</v>
      </c>
      <c r="C1775" s="6" t="str">
        <f>IFERROR(__xludf.DUMMYFUNCTION("""COMPUTED_VALUE"""),"2829")</f>
        <v>2829</v>
      </c>
      <c r="D1775" s="6" t="str">
        <f>IFERROR(__xludf.DUMMYFUNCTION("""COMPUTED_VALUE"""),"Estella")</f>
        <v>Estella</v>
      </c>
      <c r="E1775" s="6" t="str">
        <f>IFERROR(__xludf.DUMMYFUNCTION("""COMPUTED_VALUE"""),"Estella")</f>
        <v>Estella</v>
      </c>
      <c r="F1775" s="6" t="str">
        <f>IFERROR(__xludf.DUMMYFUNCTION("""COMPUTED_VALUE"""),"Estrada")</f>
        <v>Estrada</v>
      </c>
      <c r="G1775" s="6" t="str">
        <f>IFERROR(__xludf.DUMMYFUNCTION("""COMPUTED_VALUE"""),"01/17/2010")</f>
        <v>01/17/2010</v>
      </c>
      <c r="H1775" s="6" t="str">
        <f>IFERROR(__xludf.DUMMYFUNCTION("""COMPUTED_VALUE"""),"female")</f>
        <v>female</v>
      </c>
      <c r="I1775" s="6" t="str">
        <f>IFERROR(__xludf.DUMMYFUNCTION("""COMPUTED_VALUE"""),"High School")</f>
        <v>High School</v>
      </c>
      <c r="J1775" s="6" t="str">
        <f>IFERROR(__xludf.DUMMYFUNCTION("""COMPUTED_VALUE"""),"10")</f>
        <v>10</v>
      </c>
      <c r="K1775" s="6" t="str">
        <f>IFERROR(__xludf.DUMMYFUNCTION("""COMPUTED_VALUE"""),"estella.estrada@alpha.school")</f>
        <v>estella.estrada@alpha.school</v>
      </c>
      <c r="L1775" s="6" t="str">
        <f>IFERROR(__xludf.DUMMYFUNCTION("""COMPUTED_VALUE"""),"Alpha School Miami")</f>
        <v>Alpha School Miami</v>
      </c>
      <c r="M1775" s="6" t="str">
        <f>IFERROR(__xludf.DUMMYFUNCTION("""COMPUTED_VALUE"""),"")</f>
        <v/>
      </c>
      <c r="N1775" s="6" t="str">
        <f>IFERROR(__xludf.DUMMYFUNCTION("""COMPUTED_VALUE"""),"")</f>
        <v/>
      </c>
      <c r="O1775" s="87" t="str">
        <f>IFERROR(__xludf.DUMMYFUNCTION("""COMPUTED_VALUE"""),"https://drive.google.com/drive/folders/10T2cTQHqEJZqE-st6uFKPoI?usp=share_link")</f>
        <v>https://drive.google.com/drive/folders/10T2cTQHqEJZqE-st6uFKPoI?usp=share_link</v>
      </c>
      <c r="P1775" s="6" t="str">
        <f>IFERROR(__xludf.DUMMYFUNCTION("""COMPUTED_VALUE"""),"Estella Estrada")</f>
        <v>Estella Estrada</v>
      </c>
      <c r="Q1775" s="6" t="str">
        <f>IFERROR(__xludf.DUMMYFUNCTION("""COMPUTED_VALUE"""),"HS")</f>
        <v>HS</v>
      </c>
      <c r="R1775" s="6">
        <f>IFERROR(__xludf.DUMMYFUNCTION("""COMPUTED_VALUE"""),0.0)</f>
        <v>0</v>
      </c>
      <c r="S1775" s="6" t="str">
        <f>IFERROR(__xludf.DUMMYFUNCTION("""COMPUTED_VALUE"""),"Logan Higuera")</f>
        <v>Logan Higuera</v>
      </c>
      <c r="T1775" s="6" t="str">
        <f>IFERROR(__xludf.DUMMYFUNCTION("""COMPUTED_VALUE"""),"logan.higuera@alpha.school")</f>
        <v>logan.higuera@alpha.school</v>
      </c>
      <c r="U1775" s="6" t="str">
        <f>IFERROR(__xludf.DUMMYFUNCTION("""COMPUTED_VALUE"""),"10")</f>
        <v>10</v>
      </c>
      <c r="V1775" s="6" t="str">
        <f>IFERROR(__xludf.DUMMYFUNCTION("""COMPUTED_VALUE"""),"")</f>
        <v/>
      </c>
      <c r="W1775" s="6" t="str">
        <f>IFERROR(__xludf.DUMMYFUNCTION("""COMPUTED_VALUE"""),"[]")</f>
        <v>[]</v>
      </c>
      <c r="X1775" s="6" t="str">
        <f>IFERROR(__xludf.DUMMYFUNCTION("""COMPUTED_VALUE"""),"Enrolled")</f>
        <v>Enrolled</v>
      </c>
    </row>
    <row r="1776">
      <c r="A1776" s="6" t="str">
        <f>IFERROR(__xludf.DUMMYFUNCTION("""COMPUTED_VALUE"""),"015-2887")</f>
        <v>015-2887</v>
      </c>
      <c r="B1776" s="6" t="str">
        <f>IFERROR(__xludf.DUMMYFUNCTION("""COMPUTED_VALUE"""),"15")</f>
        <v>15</v>
      </c>
      <c r="C1776" s="6" t="str">
        <f>IFERROR(__xludf.DUMMYFUNCTION("""COMPUTED_VALUE"""),"2887")</f>
        <v>2887</v>
      </c>
      <c r="D1776" s="6" t="str">
        <f>IFERROR(__xludf.DUMMYFUNCTION("""COMPUTED_VALUE"""),"Julie")</f>
        <v>Julie</v>
      </c>
      <c r="E1776" s="6" t="str">
        <f>IFERROR(__xludf.DUMMYFUNCTION("""COMPUTED_VALUE"""),"")</f>
        <v/>
      </c>
      <c r="F1776" s="6" t="str">
        <f>IFERROR(__xludf.DUMMYFUNCTION("""COMPUTED_VALUE"""),"Saint")</f>
        <v>Saint</v>
      </c>
      <c r="G1776" s="6" t="str">
        <f>IFERROR(__xludf.DUMMYFUNCTION("""COMPUTED_VALUE"""),"12/30/2015")</f>
        <v>12/30/2015</v>
      </c>
      <c r="H1776" s="6" t="str">
        <f>IFERROR(__xludf.DUMMYFUNCTION("""COMPUTED_VALUE"""),"female")</f>
        <v>female</v>
      </c>
      <c r="I1776" s="6" t="str">
        <f>IFERROR(__xludf.DUMMYFUNCTION("""COMPUTED_VALUE"""),"Level 2")</f>
        <v>Level 2</v>
      </c>
      <c r="J1776" s="6" t="str">
        <f>IFERROR(__xludf.DUMMYFUNCTION("""COMPUTED_VALUE"""),"4")</f>
        <v>4</v>
      </c>
      <c r="K1776" s="6" t="str">
        <f>IFERROR(__xludf.DUMMYFUNCTION("""COMPUTED_VALUE"""),"julie.saint@alpha.school")</f>
        <v>julie.saint@alpha.school</v>
      </c>
      <c r="L1776" s="6" t="str">
        <f>IFERROR(__xludf.DUMMYFUNCTION("""COMPUTED_VALUE"""),"Alpha School Miami")</f>
        <v>Alpha School Miami</v>
      </c>
      <c r="M1776" s="6" t="str">
        <f>IFERROR(__xludf.DUMMYFUNCTION("""COMPUTED_VALUE"""),"")</f>
        <v/>
      </c>
      <c r="N1776" s="6" t="str">
        <f>IFERROR(__xludf.DUMMYFUNCTION("""COMPUTED_VALUE"""),"")</f>
        <v/>
      </c>
      <c r="O1776" s="87" t="str">
        <f>IFERROR(__xludf.DUMMYFUNCTION("""COMPUTED_VALUE"""),"https://drive.google.com/drive/folders/10T2cTQHqEJZqE-st6uFKPoI?usp=share_link")</f>
        <v>https://drive.google.com/drive/folders/10T2cTQHqEJZqE-st6uFKPoI?usp=share_link</v>
      </c>
      <c r="P1776" s="6" t="str">
        <f>IFERROR(__xludf.DUMMYFUNCTION("""COMPUTED_VALUE"""),"Julie Saint")</f>
        <v>Julie Saint</v>
      </c>
      <c r="Q1776" s="6" t="str">
        <f>IFERROR(__xludf.DUMMYFUNCTION("""COMPUTED_VALUE"""),"L2")</f>
        <v>L2</v>
      </c>
      <c r="R1776" s="6">
        <f>IFERROR(__xludf.DUMMYFUNCTION("""COMPUTED_VALUE"""),2.0)</f>
        <v>2</v>
      </c>
      <c r="S1776" s="6" t="str">
        <f>IFERROR(__xludf.DUMMYFUNCTION("""COMPUTED_VALUE"""),"Chris Hayes")</f>
        <v>Chris Hayes</v>
      </c>
      <c r="T1776" s="6" t="str">
        <f>IFERROR(__xludf.DUMMYFUNCTION("""COMPUTED_VALUE"""),"chris.hayes@alpha.school")</f>
        <v>chris.hayes@alpha.school</v>
      </c>
      <c r="U1776" s="6" t="str">
        <f>IFERROR(__xludf.DUMMYFUNCTION("""COMPUTED_VALUE"""),"4")</f>
        <v>4</v>
      </c>
      <c r="V1776" s="6" t="str">
        <f>IFERROR(__xludf.DUMMYFUNCTION("""COMPUTED_VALUE"""),"")</f>
        <v/>
      </c>
      <c r="W1776" s="6" t="str">
        <f>IFERROR(__xludf.DUMMYFUNCTION("""COMPUTED_VALUE"""),"[]")</f>
        <v>[]</v>
      </c>
      <c r="X1776" s="6" t="str">
        <f>IFERROR(__xludf.DUMMYFUNCTION("""COMPUTED_VALUE"""),"Enrolled")</f>
        <v>Enrolled</v>
      </c>
    </row>
    <row r="1777">
      <c r="A1777" s="6" t="str">
        <f>IFERROR(__xludf.DUMMYFUNCTION("""COMPUTED_VALUE"""),"015-2895")</f>
        <v>015-2895</v>
      </c>
      <c r="B1777" s="6" t="str">
        <f>IFERROR(__xludf.DUMMYFUNCTION("""COMPUTED_VALUE"""),"15")</f>
        <v>15</v>
      </c>
      <c r="C1777" s="6" t="str">
        <f>IFERROR(__xludf.DUMMYFUNCTION("""COMPUTED_VALUE"""),"2895")</f>
        <v>2895</v>
      </c>
      <c r="D1777" s="6" t="str">
        <f>IFERROR(__xludf.DUMMYFUNCTION("""COMPUTED_VALUE"""),"Luca")</f>
        <v>Luca</v>
      </c>
      <c r="E1777" s="6" t="str">
        <f>IFERROR(__xludf.DUMMYFUNCTION("""COMPUTED_VALUE"""),"")</f>
        <v/>
      </c>
      <c r="F1777" s="6" t="str">
        <f>IFERROR(__xludf.DUMMYFUNCTION("""COMPUTED_VALUE"""),"Sanchez")</f>
        <v>Sanchez</v>
      </c>
      <c r="G1777" s="6" t="str">
        <f>IFERROR(__xludf.DUMMYFUNCTION("""COMPUTED_VALUE"""),"08/06/2010")</f>
        <v>08/06/2010</v>
      </c>
      <c r="H1777" s="6" t="str">
        <f>IFERROR(__xludf.DUMMYFUNCTION("""COMPUTED_VALUE"""),"male")</f>
        <v>male</v>
      </c>
      <c r="I1777" s="6" t="str">
        <f>IFERROR(__xludf.DUMMYFUNCTION("""COMPUTED_VALUE"""),"High School")</f>
        <v>High School</v>
      </c>
      <c r="J1777" s="6" t="str">
        <f>IFERROR(__xludf.DUMMYFUNCTION("""COMPUTED_VALUE"""),"9")</f>
        <v>9</v>
      </c>
      <c r="K1777" s="6" t="str">
        <f>IFERROR(__xludf.DUMMYFUNCTION("""COMPUTED_VALUE"""),"luca.sanchez@alpha.school")</f>
        <v>luca.sanchez@alpha.school</v>
      </c>
      <c r="L1777" s="6" t="str">
        <f>IFERROR(__xludf.DUMMYFUNCTION("""COMPUTED_VALUE"""),"Alpha School Miami")</f>
        <v>Alpha School Miami</v>
      </c>
      <c r="M1777" s="6" t="str">
        <f>IFERROR(__xludf.DUMMYFUNCTION("""COMPUTED_VALUE"""),"")</f>
        <v/>
      </c>
      <c r="N1777" s="6" t="str">
        <f>IFERROR(__xludf.DUMMYFUNCTION("""COMPUTED_VALUE"""),"")</f>
        <v/>
      </c>
      <c r="O1777" s="87" t="str">
        <f>IFERROR(__xludf.DUMMYFUNCTION("""COMPUTED_VALUE"""),"https://drive.google.com/drive/folders/10T2cTQHqEJZqE-st6uFKPoI?usp=share_link")</f>
        <v>https://drive.google.com/drive/folders/10T2cTQHqEJZqE-st6uFKPoI?usp=share_link</v>
      </c>
      <c r="P1777" s="6" t="str">
        <f>IFERROR(__xludf.DUMMYFUNCTION("""COMPUTED_VALUE"""),"Luca Sanchez")</f>
        <v>Luca Sanchez</v>
      </c>
      <c r="Q1777" s="6" t="str">
        <f>IFERROR(__xludf.DUMMYFUNCTION("""COMPUTED_VALUE"""),"HS")</f>
        <v>HS</v>
      </c>
      <c r="R1777" s="6">
        <f>IFERROR(__xludf.DUMMYFUNCTION("""COMPUTED_VALUE"""),0.0)</f>
        <v>0</v>
      </c>
      <c r="S1777" s="6" t="str">
        <f>IFERROR(__xludf.DUMMYFUNCTION("""COMPUTED_VALUE"""),"Logan Higuera")</f>
        <v>Logan Higuera</v>
      </c>
      <c r="T1777" s="6" t="str">
        <f>IFERROR(__xludf.DUMMYFUNCTION("""COMPUTED_VALUE"""),"logan.higuera@alpha.school")</f>
        <v>logan.higuera@alpha.school</v>
      </c>
      <c r="U1777" s="6" t="str">
        <f>IFERROR(__xludf.DUMMYFUNCTION("""COMPUTED_VALUE"""),"9")</f>
        <v>9</v>
      </c>
      <c r="V1777" s="6" t="str">
        <f>IFERROR(__xludf.DUMMYFUNCTION("""COMPUTED_VALUE"""),"English")</f>
        <v>English</v>
      </c>
      <c r="W1777" s="6" t="str">
        <f>IFERROR(__xludf.DUMMYFUNCTION("""COMPUTED_VALUE"""),"[]")</f>
        <v>[]</v>
      </c>
      <c r="X1777" s="6" t="str">
        <f>IFERROR(__xludf.DUMMYFUNCTION("""COMPUTED_VALUE"""),"Enrolled")</f>
        <v>Enrolled</v>
      </c>
    </row>
    <row r="1778">
      <c r="A1778" s="6" t="str">
        <f>IFERROR(__xludf.DUMMYFUNCTION("""COMPUTED_VALUE"""),"015-2896")</f>
        <v>015-2896</v>
      </c>
      <c r="B1778" s="6" t="str">
        <f>IFERROR(__xludf.DUMMYFUNCTION("""COMPUTED_VALUE"""),"15")</f>
        <v>15</v>
      </c>
      <c r="C1778" s="6" t="str">
        <f>IFERROR(__xludf.DUMMYFUNCTION("""COMPUTED_VALUE"""),"2896")</f>
        <v>2896</v>
      </c>
      <c r="D1778" s="6" t="str">
        <f>IFERROR(__xludf.DUMMYFUNCTION("""COMPUTED_VALUE"""),"Mateo")</f>
        <v>Mateo</v>
      </c>
      <c r="E1778" s="6" t="str">
        <f>IFERROR(__xludf.DUMMYFUNCTION("""COMPUTED_VALUE"""),"")</f>
        <v/>
      </c>
      <c r="F1778" s="6" t="str">
        <f>IFERROR(__xludf.DUMMYFUNCTION("""COMPUTED_VALUE"""),"Sanchez")</f>
        <v>Sanchez</v>
      </c>
      <c r="G1778" s="6" t="str">
        <f>IFERROR(__xludf.DUMMYFUNCTION("""COMPUTED_VALUE"""),"03/28/2016")</f>
        <v>03/28/2016</v>
      </c>
      <c r="H1778" s="6" t="str">
        <f>IFERROR(__xludf.DUMMYFUNCTION("""COMPUTED_VALUE"""),"male")</f>
        <v>male</v>
      </c>
      <c r="I1778" s="6" t="str">
        <f>IFERROR(__xludf.DUMMYFUNCTION("""COMPUTED_VALUE"""),"Level 2")</f>
        <v>Level 2</v>
      </c>
      <c r="J1778" s="6" t="str">
        <f>IFERROR(__xludf.DUMMYFUNCTION("""COMPUTED_VALUE"""),"4")</f>
        <v>4</v>
      </c>
      <c r="K1778" s="6" t="str">
        <f>IFERROR(__xludf.DUMMYFUNCTION("""COMPUTED_VALUE"""),"mateo.sanchez@alpha.school")</f>
        <v>mateo.sanchez@alpha.school</v>
      </c>
      <c r="L1778" s="6" t="str">
        <f>IFERROR(__xludf.DUMMYFUNCTION("""COMPUTED_VALUE"""),"Alpha School Miami")</f>
        <v>Alpha School Miami</v>
      </c>
      <c r="M1778" s="6" t="str">
        <f>IFERROR(__xludf.DUMMYFUNCTION("""COMPUTED_VALUE"""),"")</f>
        <v/>
      </c>
      <c r="N1778" s="6" t="str">
        <f>IFERROR(__xludf.DUMMYFUNCTION("""COMPUTED_VALUE"""),"")</f>
        <v/>
      </c>
      <c r="O1778" s="87" t="str">
        <f>IFERROR(__xludf.DUMMYFUNCTION("""COMPUTED_VALUE"""),"https://drive.google.com/drive/folders/10T2cTQHqEJZqE-st6uFKPoI?usp=share_link")</f>
        <v>https://drive.google.com/drive/folders/10T2cTQHqEJZqE-st6uFKPoI?usp=share_link</v>
      </c>
      <c r="P1778" s="6" t="str">
        <f>IFERROR(__xludf.DUMMYFUNCTION("""COMPUTED_VALUE"""),"Mateo Sanchez")</f>
        <v>Mateo Sanchez</v>
      </c>
      <c r="Q1778" s="6" t="str">
        <f>IFERROR(__xludf.DUMMYFUNCTION("""COMPUTED_VALUE"""),"L2")</f>
        <v>L2</v>
      </c>
      <c r="R1778" s="6">
        <f>IFERROR(__xludf.DUMMYFUNCTION("""COMPUTED_VALUE"""),2.0)</f>
        <v>2</v>
      </c>
      <c r="S1778" s="6" t="str">
        <f>IFERROR(__xludf.DUMMYFUNCTION("""COMPUTED_VALUE"""),"Chris Hayes")</f>
        <v>Chris Hayes</v>
      </c>
      <c r="T1778" s="6" t="str">
        <f>IFERROR(__xludf.DUMMYFUNCTION("""COMPUTED_VALUE"""),"chris.hayes@alpha.school")</f>
        <v>chris.hayes@alpha.school</v>
      </c>
      <c r="U1778" s="6" t="str">
        <f>IFERROR(__xludf.DUMMYFUNCTION("""COMPUTED_VALUE"""),"4")</f>
        <v>4</v>
      </c>
      <c r="V1778" s="6" t="str">
        <f>IFERROR(__xludf.DUMMYFUNCTION("""COMPUTED_VALUE"""),"English")</f>
        <v>English</v>
      </c>
      <c r="W1778" s="6" t="str">
        <f>IFERROR(__xludf.DUMMYFUNCTION("""COMPUTED_VALUE"""),"[]")</f>
        <v>[]</v>
      </c>
      <c r="X1778" s="6" t="str">
        <f>IFERROR(__xludf.DUMMYFUNCTION("""COMPUTED_VALUE"""),"Enrolled")</f>
        <v>Enrolled</v>
      </c>
    </row>
    <row r="1779">
      <c r="A1779" s="6" t="str">
        <f>IFERROR(__xludf.DUMMYFUNCTION("""COMPUTED_VALUE"""),"015-3360")</f>
        <v>015-3360</v>
      </c>
      <c r="B1779" s="6" t="str">
        <f>IFERROR(__xludf.DUMMYFUNCTION("""COMPUTED_VALUE"""),"15")</f>
        <v>15</v>
      </c>
      <c r="C1779" s="6" t="str">
        <f>IFERROR(__xludf.DUMMYFUNCTION("""COMPUTED_VALUE"""),"3360")</f>
        <v>3360</v>
      </c>
      <c r="D1779" s="6" t="str">
        <f>IFERROR(__xludf.DUMMYFUNCTION("""COMPUTED_VALUE"""),"Hinano")</f>
        <v>Hinano</v>
      </c>
      <c r="E1779" s="6" t="str">
        <f>IFERROR(__xludf.DUMMYFUNCTION("""COMPUTED_VALUE"""),"")</f>
        <v/>
      </c>
      <c r="F1779" s="6" t="str">
        <f>IFERROR(__xludf.DUMMYFUNCTION("""COMPUTED_VALUE"""),"Tamura")</f>
        <v>Tamura</v>
      </c>
      <c r="G1779" s="6" t="str">
        <f>IFERROR(__xludf.DUMMYFUNCTION("""COMPUTED_VALUE"""),"12/16/2009")</f>
        <v>12/16/2009</v>
      </c>
      <c r="H1779" s="6" t="str">
        <f>IFERROR(__xludf.DUMMYFUNCTION("""COMPUTED_VALUE"""),"female")</f>
        <v>female</v>
      </c>
      <c r="I1779" s="6" t="str">
        <f>IFERROR(__xludf.DUMMYFUNCTION("""COMPUTED_VALUE"""),"High School")</f>
        <v>High School</v>
      </c>
      <c r="J1779" s="6" t="str">
        <f>IFERROR(__xludf.DUMMYFUNCTION("""COMPUTED_VALUE"""),"9")</f>
        <v>9</v>
      </c>
      <c r="K1779" s="6" t="str">
        <f>IFERROR(__xludf.DUMMYFUNCTION("""COMPUTED_VALUE"""),"hinano.tamura@alpha.school")</f>
        <v>hinano.tamura@alpha.school</v>
      </c>
      <c r="L1779" s="6" t="str">
        <f>IFERROR(__xludf.DUMMYFUNCTION("""COMPUTED_VALUE"""),"Alpha School Miami")</f>
        <v>Alpha School Miami</v>
      </c>
      <c r="M1779" s="6" t="str">
        <f>IFERROR(__xludf.DUMMYFUNCTION("""COMPUTED_VALUE"""),"")</f>
        <v/>
      </c>
      <c r="N1779" s="6" t="str">
        <f>IFERROR(__xludf.DUMMYFUNCTION("""COMPUTED_VALUE"""),"")</f>
        <v/>
      </c>
      <c r="O1779" s="87" t="str">
        <f>IFERROR(__xludf.DUMMYFUNCTION("""COMPUTED_VALUE"""),"https://drive.google.com/drive/folders/10T2cTQHqEJZqE-st6uFKPoI?usp=share_link")</f>
        <v>https://drive.google.com/drive/folders/10T2cTQHqEJZqE-st6uFKPoI?usp=share_link</v>
      </c>
      <c r="P1779" s="6" t="str">
        <f>IFERROR(__xludf.DUMMYFUNCTION("""COMPUTED_VALUE"""),"Hinano Tamura")</f>
        <v>Hinano Tamura</v>
      </c>
      <c r="Q1779" s="6" t="str">
        <f>IFERROR(__xludf.DUMMYFUNCTION("""COMPUTED_VALUE"""),"HS")</f>
        <v>HS</v>
      </c>
      <c r="R1779" s="6">
        <f>IFERROR(__xludf.DUMMYFUNCTION("""COMPUTED_VALUE"""),0.0)</f>
        <v>0</v>
      </c>
      <c r="S1779" s="6" t="str">
        <f>IFERROR(__xludf.DUMMYFUNCTION("""COMPUTED_VALUE"""),"Logan Higuera")</f>
        <v>Logan Higuera</v>
      </c>
      <c r="T1779" s="6" t="str">
        <f>IFERROR(__xludf.DUMMYFUNCTION("""COMPUTED_VALUE"""),"logan.higuera@alpha.school")</f>
        <v>logan.higuera@alpha.school</v>
      </c>
      <c r="U1779" s="6" t="str">
        <f>IFERROR(__xludf.DUMMYFUNCTION("""COMPUTED_VALUE"""),"9")</f>
        <v>9</v>
      </c>
      <c r="V1779" s="6" t="str">
        <f>IFERROR(__xludf.DUMMYFUNCTION("""COMPUTED_VALUE"""),"")</f>
        <v/>
      </c>
      <c r="W1779" s="6" t="str">
        <f>IFERROR(__xludf.DUMMYFUNCTION("""COMPUTED_VALUE"""),"[]")</f>
        <v>[]</v>
      </c>
      <c r="X1779" s="6" t="str">
        <f>IFERROR(__xludf.DUMMYFUNCTION("""COMPUTED_VALUE"""),"Enrolled")</f>
        <v>Enrolled</v>
      </c>
    </row>
    <row r="1780">
      <c r="A1780" s="6" t="str">
        <f>IFERROR(__xludf.DUMMYFUNCTION("""COMPUTED_VALUE"""),"015-3372")</f>
        <v>015-3372</v>
      </c>
      <c r="B1780" s="6" t="str">
        <f>IFERROR(__xludf.DUMMYFUNCTION("""COMPUTED_VALUE"""),"15")</f>
        <v>15</v>
      </c>
      <c r="C1780" s="6" t="str">
        <f>IFERROR(__xludf.DUMMYFUNCTION("""COMPUTED_VALUE"""),"3372")</f>
        <v>3372</v>
      </c>
      <c r="D1780" s="6" t="str">
        <f>IFERROR(__xludf.DUMMYFUNCTION("""COMPUTED_VALUE"""),"Enzo")</f>
        <v>Enzo</v>
      </c>
      <c r="E1780" s="6" t="str">
        <f>IFERROR(__xludf.DUMMYFUNCTION("""COMPUTED_VALUE"""),"")</f>
        <v/>
      </c>
      <c r="F1780" s="6" t="str">
        <f>IFERROR(__xludf.DUMMYFUNCTION("""COMPUTED_VALUE"""),"Noorani")</f>
        <v>Noorani</v>
      </c>
      <c r="G1780" s="6" t="str">
        <f>IFERROR(__xludf.DUMMYFUNCTION("""COMPUTED_VALUE"""),"08/19/2017")</f>
        <v>08/19/2017</v>
      </c>
      <c r="H1780" s="6" t="str">
        <f>IFERROR(__xludf.DUMMYFUNCTION("""COMPUTED_VALUE"""),"Self Identify")</f>
        <v>Self Identify</v>
      </c>
      <c r="I1780" s="6" t="str">
        <f>IFERROR(__xludf.DUMMYFUNCTION("""COMPUTED_VALUE"""),"Level 1")</f>
        <v>Level 1</v>
      </c>
      <c r="J1780" s="6" t="str">
        <f>IFERROR(__xludf.DUMMYFUNCTION("""COMPUTED_VALUE"""),"2")</f>
        <v>2</v>
      </c>
      <c r="K1780" s="6" t="str">
        <f>IFERROR(__xludf.DUMMYFUNCTION("""COMPUTED_VALUE"""),"enzo.noorani@alpha.school")</f>
        <v>enzo.noorani@alpha.school</v>
      </c>
      <c r="L1780" s="6" t="str">
        <f>IFERROR(__xludf.DUMMYFUNCTION("""COMPUTED_VALUE"""),"Alpha School Miami")</f>
        <v>Alpha School Miami</v>
      </c>
      <c r="M1780" s="6" t="str">
        <f>IFERROR(__xludf.DUMMYFUNCTION("""COMPUTED_VALUE"""),"")</f>
        <v/>
      </c>
      <c r="N1780" s="6" t="str">
        <f>IFERROR(__xludf.DUMMYFUNCTION("""COMPUTED_VALUE"""),"")</f>
        <v/>
      </c>
      <c r="O1780" s="87" t="str">
        <f>IFERROR(__xludf.DUMMYFUNCTION("""COMPUTED_VALUE"""),"https://drive.google.com/drive/folders/10T2cTQHqEJZqE-st6uFKPoI?usp=share_link")</f>
        <v>https://drive.google.com/drive/folders/10T2cTQHqEJZqE-st6uFKPoI?usp=share_link</v>
      </c>
      <c r="P1780" s="6" t="str">
        <f>IFERROR(__xludf.DUMMYFUNCTION("""COMPUTED_VALUE"""),"Enzo Noorani")</f>
        <v>Enzo Noorani</v>
      </c>
      <c r="Q1780" s="6" t="str">
        <f>IFERROR(__xludf.DUMMYFUNCTION("""COMPUTED_VALUE"""),"L1")</f>
        <v>L1</v>
      </c>
      <c r="R1780" s="6">
        <f>IFERROR(__xludf.DUMMYFUNCTION("""COMPUTED_VALUE"""),1.0)</f>
        <v>1</v>
      </c>
      <c r="S1780" s="6" t="str">
        <f>IFERROR(__xludf.DUMMYFUNCTION("""COMPUTED_VALUE"""),"Brittany Ore")</f>
        <v>Brittany Ore</v>
      </c>
      <c r="T1780" s="6" t="str">
        <f>IFERROR(__xludf.DUMMYFUNCTION("""COMPUTED_VALUE"""),"brittany.ore@alpha.school")</f>
        <v>brittany.ore@alpha.school</v>
      </c>
      <c r="U1780" s="6" t="str">
        <f>IFERROR(__xludf.DUMMYFUNCTION("""COMPUTED_VALUE"""),"2")</f>
        <v>2</v>
      </c>
      <c r="V1780" s="6" t="str">
        <f>IFERROR(__xludf.DUMMYFUNCTION("""COMPUTED_VALUE"""),"")</f>
        <v/>
      </c>
      <c r="W1780" s="6" t="str">
        <f>IFERROR(__xludf.DUMMYFUNCTION("""COMPUTED_VALUE"""),"[]")</f>
        <v>[]</v>
      </c>
      <c r="X1780" s="6" t="str">
        <f>IFERROR(__xludf.DUMMYFUNCTION("""COMPUTED_VALUE"""),"Enrolled")</f>
        <v>Enrolled</v>
      </c>
    </row>
    <row r="1781">
      <c r="A1781" s="6" t="str">
        <f>IFERROR(__xludf.DUMMYFUNCTION("""COMPUTED_VALUE"""),"015-3471")</f>
        <v>015-3471</v>
      </c>
      <c r="B1781" s="6" t="str">
        <f>IFERROR(__xludf.DUMMYFUNCTION("""COMPUTED_VALUE"""),"15")</f>
        <v>15</v>
      </c>
      <c r="C1781" s="6" t="str">
        <f>IFERROR(__xludf.DUMMYFUNCTION("""COMPUTED_VALUE"""),"3471")</f>
        <v>3471</v>
      </c>
      <c r="D1781" s="6" t="str">
        <f>IFERROR(__xludf.DUMMYFUNCTION("""COMPUTED_VALUE"""),"Tomas")</f>
        <v>Tomas</v>
      </c>
      <c r="E1781" s="6" t="str">
        <f>IFERROR(__xludf.DUMMYFUNCTION("""COMPUTED_VALUE"""),"Tomi")</f>
        <v>Tomi</v>
      </c>
      <c r="F1781" s="6" t="str">
        <f>IFERROR(__xludf.DUMMYFUNCTION("""COMPUTED_VALUE"""),"Fernandez")</f>
        <v>Fernandez</v>
      </c>
      <c r="G1781" s="6" t="str">
        <f>IFERROR(__xludf.DUMMYFUNCTION("""COMPUTED_VALUE"""),"08/16/2014")</f>
        <v>08/16/2014</v>
      </c>
      <c r="H1781" s="6" t="str">
        <f>IFERROR(__xludf.DUMMYFUNCTION("""COMPUTED_VALUE"""),"male")</f>
        <v>male</v>
      </c>
      <c r="I1781" s="6" t="str">
        <f>IFERROR(__xludf.DUMMYFUNCTION("""COMPUTED_VALUE"""),"Middle School")</f>
        <v>Middle School</v>
      </c>
      <c r="J1781" s="6" t="str">
        <f>IFERROR(__xludf.DUMMYFUNCTION("""COMPUTED_VALUE"""),"6")</f>
        <v>6</v>
      </c>
      <c r="K1781" s="6" t="str">
        <f>IFERROR(__xludf.DUMMYFUNCTION("""COMPUTED_VALUE"""),"tomas.fernandez@alpha.school")</f>
        <v>tomas.fernandez@alpha.school</v>
      </c>
      <c r="L1781" s="6" t="str">
        <f>IFERROR(__xludf.DUMMYFUNCTION("""COMPUTED_VALUE"""),"Alpha School Miami")</f>
        <v>Alpha School Miami</v>
      </c>
      <c r="M1781" s="6" t="str">
        <f>IFERROR(__xludf.DUMMYFUNCTION("""COMPUTED_VALUE"""),"")</f>
        <v/>
      </c>
      <c r="N1781" s="6" t="str">
        <f>IFERROR(__xludf.DUMMYFUNCTION("""COMPUTED_VALUE"""),"")</f>
        <v/>
      </c>
      <c r="O1781" s="87" t="str">
        <f>IFERROR(__xludf.DUMMYFUNCTION("""COMPUTED_VALUE"""),"https://drive.google.com/drive/folders/10T2cTQHqEJZqE-st6uFKPoI?usp=share_link")</f>
        <v>https://drive.google.com/drive/folders/10T2cTQHqEJZqE-st6uFKPoI?usp=share_link</v>
      </c>
      <c r="P1781" s="6" t="str">
        <f>IFERROR(__xludf.DUMMYFUNCTION("""COMPUTED_VALUE"""),"Tomi Fernandez")</f>
        <v>Tomi Fernandez</v>
      </c>
      <c r="Q1781" s="6" t="str">
        <f>IFERROR(__xludf.DUMMYFUNCTION("""COMPUTED_VALUE"""),"MS")</f>
        <v>MS</v>
      </c>
      <c r="R1781" s="6">
        <f>IFERROR(__xludf.DUMMYFUNCTION("""COMPUTED_VALUE"""),0.0)</f>
        <v>0</v>
      </c>
      <c r="S1781" s="6" t="str">
        <f>IFERROR(__xludf.DUMMYFUNCTION("""COMPUTED_VALUE"""),"Santi Orozco")</f>
        <v>Santi Orozco</v>
      </c>
      <c r="T1781" s="6" t="str">
        <f>IFERROR(__xludf.DUMMYFUNCTION("""COMPUTED_VALUE"""),"santiago.garcia@alpha.school")</f>
        <v>santiago.garcia@alpha.school</v>
      </c>
      <c r="U1781" s="6" t="str">
        <f>IFERROR(__xludf.DUMMYFUNCTION("""COMPUTED_VALUE"""),"6")</f>
        <v>6</v>
      </c>
      <c r="V1781" s="6" t="str">
        <f>IFERROR(__xludf.DUMMYFUNCTION("""COMPUTED_VALUE"""),"English")</f>
        <v>English</v>
      </c>
      <c r="W1781" s="6" t="str">
        <f>IFERROR(__xludf.DUMMYFUNCTION("""COMPUTED_VALUE"""),"[]")</f>
        <v>[]</v>
      </c>
      <c r="X1781" s="6" t="str">
        <f>IFERROR(__xludf.DUMMYFUNCTION("""COMPUTED_VALUE"""),"Enrolled")</f>
        <v>Enrolled</v>
      </c>
    </row>
    <row r="1782">
      <c r="A1782" s="6" t="str">
        <f>IFERROR(__xludf.DUMMYFUNCTION("""COMPUTED_VALUE"""),"015-3472")</f>
        <v>015-3472</v>
      </c>
      <c r="B1782" s="6" t="str">
        <f>IFERROR(__xludf.DUMMYFUNCTION("""COMPUTED_VALUE"""),"15")</f>
        <v>15</v>
      </c>
      <c r="C1782" s="6" t="str">
        <f>IFERROR(__xludf.DUMMYFUNCTION("""COMPUTED_VALUE"""),"3472")</f>
        <v>3472</v>
      </c>
      <c r="D1782" s="6" t="str">
        <f>IFERROR(__xludf.DUMMYFUNCTION("""COMPUTED_VALUE"""),"Camila")</f>
        <v>Camila</v>
      </c>
      <c r="E1782" s="6" t="str">
        <f>IFERROR(__xludf.DUMMYFUNCTION("""COMPUTED_VALUE"""),"Cami")</f>
        <v>Cami</v>
      </c>
      <c r="F1782" s="6" t="str">
        <f>IFERROR(__xludf.DUMMYFUNCTION("""COMPUTED_VALUE"""),"Fernandez")</f>
        <v>Fernandez</v>
      </c>
      <c r="G1782" s="6" t="str">
        <f>IFERROR(__xludf.DUMMYFUNCTION("""COMPUTED_VALUE"""),"09/18/2012")</f>
        <v>09/18/2012</v>
      </c>
      <c r="H1782" s="6" t="str">
        <f>IFERROR(__xludf.DUMMYFUNCTION("""COMPUTED_VALUE"""),"female")</f>
        <v>female</v>
      </c>
      <c r="I1782" s="6" t="str">
        <f>IFERROR(__xludf.DUMMYFUNCTION("""COMPUTED_VALUE"""),"Middle School")</f>
        <v>Middle School</v>
      </c>
      <c r="J1782" s="6" t="str">
        <f>IFERROR(__xludf.DUMMYFUNCTION("""COMPUTED_VALUE"""),"7")</f>
        <v>7</v>
      </c>
      <c r="K1782" s="6" t="str">
        <f>IFERROR(__xludf.DUMMYFUNCTION("""COMPUTED_VALUE"""),"camila.fernandez@alpha.school")</f>
        <v>camila.fernandez@alpha.school</v>
      </c>
      <c r="L1782" s="6" t="str">
        <f>IFERROR(__xludf.DUMMYFUNCTION("""COMPUTED_VALUE"""),"Alpha School Miami")</f>
        <v>Alpha School Miami</v>
      </c>
      <c r="M1782" s="6" t="str">
        <f>IFERROR(__xludf.DUMMYFUNCTION("""COMPUTED_VALUE"""),"")</f>
        <v/>
      </c>
      <c r="N1782" s="6" t="str">
        <f>IFERROR(__xludf.DUMMYFUNCTION("""COMPUTED_VALUE"""),"")</f>
        <v/>
      </c>
      <c r="O1782" s="87" t="str">
        <f>IFERROR(__xludf.DUMMYFUNCTION("""COMPUTED_VALUE"""),"https://drive.google.com/drive/folders/10T2cTQHqEJZqE-st6uFKPoI?usp=share_link")</f>
        <v>https://drive.google.com/drive/folders/10T2cTQHqEJZqE-st6uFKPoI?usp=share_link</v>
      </c>
      <c r="P1782" s="6" t="str">
        <f>IFERROR(__xludf.DUMMYFUNCTION("""COMPUTED_VALUE"""),"Cami Fernandez")</f>
        <v>Cami Fernandez</v>
      </c>
      <c r="Q1782" s="6" t="str">
        <f>IFERROR(__xludf.DUMMYFUNCTION("""COMPUTED_VALUE"""),"MS")</f>
        <v>MS</v>
      </c>
      <c r="R1782" s="6">
        <f>IFERROR(__xludf.DUMMYFUNCTION("""COMPUTED_VALUE"""),0.0)</f>
        <v>0</v>
      </c>
      <c r="S1782" s="6" t="str">
        <f>IFERROR(__xludf.DUMMYFUNCTION("""COMPUTED_VALUE"""),"Tamara Stephenson")</f>
        <v>Tamara Stephenson</v>
      </c>
      <c r="T1782" s="6" t="str">
        <f>IFERROR(__xludf.DUMMYFUNCTION("""COMPUTED_VALUE"""),"tamara.stephenson@alpha.school")</f>
        <v>tamara.stephenson@alpha.school</v>
      </c>
      <c r="U1782" s="6" t="str">
        <f>IFERROR(__xludf.DUMMYFUNCTION("""COMPUTED_VALUE"""),"7")</f>
        <v>7</v>
      </c>
      <c r="V1782" s="6" t="str">
        <f>IFERROR(__xludf.DUMMYFUNCTION("""COMPUTED_VALUE"""),"English")</f>
        <v>English</v>
      </c>
      <c r="W1782" s="6" t="str">
        <f>IFERROR(__xludf.DUMMYFUNCTION("""COMPUTED_VALUE"""),"[]")</f>
        <v>[]</v>
      </c>
      <c r="X1782" s="6" t="str">
        <f>IFERROR(__xludf.DUMMYFUNCTION("""COMPUTED_VALUE"""),"Enrolled")</f>
        <v>Enrolled</v>
      </c>
    </row>
    <row r="1783">
      <c r="A1783" s="6" t="str">
        <f>IFERROR(__xludf.DUMMYFUNCTION("""COMPUTED_VALUE"""),"015-3656")</f>
        <v>015-3656</v>
      </c>
      <c r="B1783" s="6" t="str">
        <f>IFERROR(__xludf.DUMMYFUNCTION("""COMPUTED_VALUE"""),"15")</f>
        <v>15</v>
      </c>
      <c r="C1783" s="6" t="str">
        <f>IFERROR(__xludf.DUMMYFUNCTION("""COMPUTED_VALUE"""),"3656")</f>
        <v>3656</v>
      </c>
      <c r="D1783" s="6" t="str">
        <f>IFERROR(__xludf.DUMMYFUNCTION("""COMPUTED_VALUE"""),"Nash")</f>
        <v>Nash</v>
      </c>
      <c r="E1783" s="6" t="str">
        <f>IFERROR(__xludf.DUMMYFUNCTION("""COMPUTED_VALUE"""),"Nash")</f>
        <v>Nash</v>
      </c>
      <c r="F1783" s="6" t="str">
        <f>IFERROR(__xludf.DUMMYFUNCTION("""COMPUTED_VALUE"""),"Niccolls")</f>
        <v>Niccolls</v>
      </c>
      <c r="G1783" s="6" t="str">
        <f>IFERROR(__xludf.DUMMYFUNCTION("""COMPUTED_VALUE"""),"08/28/2018")</f>
        <v>08/28/2018</v>
      </c>
      <c r="H1783" s="6" t="str">
        <f>IFERROR(__xludf.DUMMYFUNCTION("""COMPUTED_VALUE"""),"male")</f>
        <v>male</v>
      </c>
      <c r="I1783" s="6" t="str">
        <f>IFERROR(__xludf.DUMMYFUNCTION("""COMPUTED_VALUE"""),"Learning Lab")</f>
        <v>Learning Lab</v>
      </c>
      <c r="J1783" s="6" t="str">
        <f>IFERROR(__xludf.DUMMYFUNCTION("""COMPUTED_VALUE"""),"1")</f>
        <v>1</v>
      </c>
      <c r="K1783" s="6" t="str">
        <f>IFERROR(__xludf.DUMMYFUNCTION("""COMPUTED_VALUE"""),"nash.niccolls@alpha.school")</f>
        <v>nash.niccolls@alpha.school</v>
      </c>
      <c r="L1783" s="6" t="str">
        <f>IFERROR(__xludf.DUMMYFUNCTION("""COMPUTED_VALUE"""),"Alpha School Miami")</f>
        <v>Alpha School Miami</v>
      </c>
      <c r="M1783" s="6" t="str">
        <f>IFERROR(__xludf.DUMMYFUNCTION("""COMPUTED_VALUE"""),"")</f>
        <v/>
      </c>
      <c r="N1783" s="6" t="str">
        <f>IFERROR(__xludf.DUMMYFUNCTION("""COMPUTED_VALUE"""),"")</f>
        <v/>
      </c>
      <c r="O1783" s="87" t="str">
        <f>IFERROR(__xludf.DUMMYFUNCTION("""COMPUTED_VALUE"""),"https://drive.google.com/drive/folders/10T2cTQHqEJZqE-st6uFKPoI?usp=share_link")</f>
        <v>https://drive.google.com/drive/folders/10T2cTQHqEJZqE-st6uFKPoI?usp=share_link</v>
      </c>
      <c r="P1783" s="6" t="str">
        <f>IFERROR(__xludf.DUMMYFUNCTION("""COMPUTED_VALUE"""),"Nash Niccolls")</f>
        <v>Nash Niccolls</v>
      </c>
      <c r="Q1783" s="6" t="str">
        <f>IFERROR(__xludf.DUMMYFUNCTION("""COMPUTED_VALUE"""),"LL")</f>
        <v>LL</v>
      </c>
      <c r="R1783" s="6">
        <f>IFERROR(__xludf.DUMMYFUNCTION("""COMPUTED_VALUE"""),0.0)</f>
        <v>0</v>
      </c>
      <c r="S1783" s="6" t="str">
        <f>IFERROR(__xludf.DUMMYFUNCTION("""COMPUTED_VALUE"""),"Shannon Prior")</f>
        <v>Shannon Prior</v>
      </c>
      <c r="T1783" s="6" t="str">
        <f>IFERROR(__xludf.DUMMYFUNCTION("""COMPUTED_VALUE"""),"shannon.prior@alpha.school")</f>
        <v>shannon.prior@alpha.school</v>
      </c>
      <c r="U1783" s="6" t="str">
        <f>IFERROR(__xludf.DUMMYFUNCTION("""COMPUTED_VALUE"""),"1")</f>
        <v>1</v>
      </c>
      <c r="V1783" s="6" t="str">
        <f>IFERROR(__xludf.DUMMYFUNCTION("""COMPUTED_VALUE"""),"")</f>
        <v/>
      </c>
      <c r="W1783" s="6" t="str">
        <f>IFERROR(__xludf.DUMMYFUNCTION("""COMPUTED_VALUE"""),"[]")</f>
        <v>[]</v>
      </c>
      <c r="X1783" s="6" t="str">
        <f>IFERROR(__xludf.DUMMYFUNCTION("""COMPUTED_VALUE"""),"Enrolled")</f>
        <v>Enrolled</v>
      </c>
    </row>
    <row r="1784">
      <c r="A1784" s="6" t="str">
        <f>IFERROR(__xludf.DUMMYFUNCTION("""COMPUTED_VALUE"""),"015-4429")</f>
        <v>015-4429</v>
      </c>
      <c r="B1784" s="6" t="str">
        <f>IFERROR(__xludf.DUMMYFUNCTION("""COMPUTED_VALUE"""),"15")</f>
        <v>15</v>
      </c>
      <c r="C1784" s="6" t="str">
        <f>IFERROR(__xludf.DUMMYFUNCTION("""COMPUTED_VALUE"""),"4429")</f>
        <v>4429</v>
      </c>
      <c r="D1784" s="6" t="str">
        <f>IFERROR(__xludf.DUMMYFUNCTION("""COMPUTED_VALUE"""),"Boris")</f>
        <v>Boris</v>
      </c>
      <c r="E1784" s="6" t="str">
        <f>IFERROR(__xludf.DUMMYFUNCTION("""COMPUTED_VALUE"""),"")</f>
        <v/>
      </c>
      <c r="F1784" s="6" t="str">
        <f>IFERROR(__xludf.DUMMYFUNCTION("""COMPUTED_VALUE"""),"Dudarev")</f>
        <v>Dudarev</v>
      </c>
      <c r="G1784" s="6" t="str">
        <f>IFERROR(__xludf.DUMMYFUNCTION("""COMPUTED_VALUE"""),"05/20/2011")</f>
        <v>05/20/2011</v>
      </c>
      <c r="H1784" s="6" t="str">
        <f>IFERROR(__xludf.DUMMYFUNCTION("""COMPUTED_VALUE"""),"male")</f>
        <v>male</v>
      </c>
      <c r="I1784" s="6" t="str">
        <f>IFERROR(__xludf.DUMMYFUNCTION("""COMPUTED_VALUE"""),"High School")</f>
        <v>High School</v>
      </c>
      <c r="J1784" s="6" t="str">
        <f>IFERROR(__xludf.DUMMYFUNCTION("""COMPUTED_VALUE"""),"9")</f>
        <v>9</v>
      </c>
      <c r="K1784" s="6" t="str">
        <f>IFERROR(__xludf.DUMMYFUNCTION("""COMPUTED_VALUE"""),"boris.dudarev@alpha.school")</f>
        <v>boris.dudarev@alpha.school</v>
      </c>
      <c r="L1784" s="6" t="str">
        <f>IFERROR(__xludf.DUMMYFUNCTION("""COMPUTED_VALUE"""),"Alpha School Miami")</f>
        <v>Alpha School Miami</v>
      </c>
      <c r="M1784" s="6" t="str">
        <f>IFERROR(__xludf.DUMMYFUNCTION("""COMPUTED_VALUE"""),"")</f>
        <v/>
      </c>
      <c r="N1784" s="6" t="str">
        <f>IFERROR(__xludf.DUMMYFUNCTION("""COMPUTED_VALUE"""),"")</f>
        <v/>
      </c>
      <c r="O1784" s="87" t="str">
        <f>IFERROR(__xludf.DUMMYFUNCTION("""COMPUTED_VALUE"""),"https://drive.google.com/drive/folders/10T2cTQHqEJZqE-st6uFKPoI?usp=share_link")</f>
        <v>https://drive.google.com/drive/folders/10T2cTQHqEJZqE-st6uFKPoI?usp=share_link</v>
      </c>
      <c r="P1784" s="6" t="str">
        <f>IFERROR(__xludf.DUMMYFUNCTION("""COMPUTED_VALUE"""),"Boris Dudarev")</f>
        <v>Boris Dudarev</v>
      </c>
      <c r="Q1784" s="6" t="str">
        <f>IFERROR(__xludf.DUMMYFUNCTION("""COMPUTED_VALUE"""),"HS")</f>
        <v>HS</v>
      </c>
      <c r="R1784" s="6">
        <f>IFERROR(__xludf.DUMMYFUNCTION("""COMPUTED_VALUE"""),0.0)</f>
        <v>0</v>
      </c>
      <c r="S1784" s="6" t="str">
        <f>IFERROR(__xludf.DUMMYFUNCTION("""COMPUTED_VALUE"""),"Logan Higuera")</f>
        <v>Logan Higuera</v>
      </c>
      <c r="T1784" s="6" t="str">
        <f>IFERROR(__xludf.DUMMYFUNCTION("""COMPUTED_VALUE"""),"logan.higuera@alpha.school")</f>
        <v>logan.higuera@alpha.school</v>
      </c>
      <c r="U1784" s="6" t="str">
        <f>IFERROR(__xludf.DUMMYFUNCTION("""COMPUTED_VALUE"""),"9")</f>
        <v>9</v>
      </c>
      <c r="V1784" s="6" t="str">
        <f>IFERROR(__xludf.DUMMYFUNCTION("""COMPUTED_VALUE"""),"")</f>
        <v/>
      </c>
      <c r="W1784" s="6" t="str">
        <f>IFERROR(__xludf.DUMMYFUNCTION("""COMPUTED_VALUE"""),"[]")</f>
        <v>[]</v>
      </c>
      <c r="X1784" s="6" t="str">
        <f>IFERROR(__xludf.DUMMYFUNCTION("""COMPUTED_VALUE"""),"Enrolled")</f>
        <v>Enrolled</v>
      </c>
    </row>
    <row r="1785">
      <c r="A1785" s="6" t="str">
        <f>IFERROR(__xludf.DUMMYFUNCTION("""COMPUTED_VALUE"""),"015-4532")</f>
        <v>015-4532</v>
      </c>
      <c r="B1785" s="6" t="str">
        <f>IFERROR(__xludf.DUMMYFUNCTION("""COMPUTED_VALUE"""),"15")</f>
        <v>15</v>
      </c>
      <c r="C1785" s="6" t="str">
        <f>IFERROR(__xludf.DUMMYFUNCTION("""COMPUTED_VALUE"""),"4532")</f>
        <v>4532</v>
      </c>
      <c r="D1785" s="6" t="str">
        <f>IFERROR(__xludf.DUMMYFUNCTION("""COMPUTED_VALUE"""),"Samantha")</f>
        <v>Samantha</v>
      </c>
      <c r="E1785" s="6" t="str">
        <f>IFERROR(__xludf.DUMMYFUNCTION("""COMPUTED_VALUE"""),"Sammy")</f>
        <v>Sammy</v>
      </c>
      <c r="F1785" s="6" t="str">
        <f>IFERROR(__xludf.DUMMYFUNCTION("""COMPUTED_VALUE"""),"Strems")</f>
        <v>Strems</v>
      </c>
      <c r="G1785" s="6" t="str">
        <f>IFERROR(__xludf.DUMMYFUNCTION("""COMPUTED_VALUE"""),"10/15/2014")</f>
        <v>10/15/2014</v>
      </c>
      <c r="H1785" s="6" t="str">
        <f>IFERROR(__xludf.DUMMYFUNCTION("""COMPUTED_VALUE"""),"female")</f>
        <v>female</v>
      </c>
      <c r="I1785" s="6" t="str">
        <f>IFERROR(__xludf.DUMMYFUNCTION("""COMPUTED_VALUE"""),"Level 2")</f>
        <v>Level 2</v>
      </c>
      <c r="J1785" s="6" t="str">
        <f>IFERROR(__xludf.DUMMYFUNCTION("""COMPUTED_VALUE"""),"5")</f>
        <v>5</v>
      </c>
      <c r="K1785" s="6" t="str">
        <f>IFERROR(__xludf.DUMMYFUNCTION("""COMPUTED_VALUE"""),"samantha.strems@alpha.school")</f>
        <v>samantha.strems@alpha.school</v>
      </c>
      <c r="L1785" s="6" t="str">
        <f>IFERROR(__xludf.DUMMYFUNCTION("""COMPUTED_VALUE"""),"Alpha School Miami")</f>
        <v>Alpha School Miami</v>
      </c>
      <c r="M1785" s="6" t="str">
        <f>IFERROR(__xludf.DUMMYFUNCTION("""COMPUTED_VALUE"""),"")</f>
        <v/>
      </c>
      <c r="N1785" s="6" t="str">
        <f>IFERROR(__xludf.DUMMYFUNCTION("""COMPUTED_VALUE"""),"")</f>
        <v/>
      </c>
      <c r="O1785" s="87" t="str">
        <f>IFERROR(__xludf.DUMMYFUNCTION("""COMPUTED_VALUE"""),"https://drive.google.com/drive/folders/10T2cTQHqEJZqE-st6uFKPoI?usp=share_link")</f>
        <v>https://drive.google.com/drive/folders/10T2cTQHqEJZqE-st6uFKPoI?usp=share_link</v>
      </c>
      <c r="P1785" s="6" t="str">
        <f>IFERROR(__xludf.DUMMYFUNCTION("""COMPUTED_VALUE"""),"Sammy Strems")</f>
        <v>Sammy Strems</v>
      </c>
      <c r="Q1785" s="6" t="str">
        <f>IFERROR(__xludf.DUMMYFUNCTION("""COMPUTED_VALUE"""),"L2")</f>
        <v>L2</v>
      </c>
      <c r="R1785" s="6">
        <f>IFERROR(__xludf.DUMMYFUNCTION("""COMPUTED_VALUE"""),2.0)</f>
        <v>2</v>
      </c>
      <c r="S1785" s="6" t="str">
        <f>IFERROR(__xludf.DUMMYFUNCTION("""COMPUTED_VALUE"""),"Sunny Lulla")</f>
        <v>Sunny Lulla</v>
      </c>
      <c r="T1785" s="6" t="str">
        <f>IFERROR(__xludf.DUMMYFUNCTION("""COMPUTED_VALUE"""),"sunny.lulla@alpha.school")</f>
        <v>sunny.lulla@alpha.school</v>
      </c>
      <c r="U1785" s="6" t="str">
        <f>IFERROR(__xludf.DUMMYFUNCTION("""COMPUTED_VALUE"""),"5")</f>
        <v>5</v>
      </c>
      <c r="V1785" s="6" t="str">
        <f>IFERROR(__xludf.DUMMYFUNCTION("""COMPUTED_VALUE"""),"")</f>
        <v/>
      </c>
      <c r="W1785" s="6" t="str">
        <f>IFERROR(__xludf.DUMMYFUNCTION("""COMPUTED_VALUE"""),"[]")</f>
        <v>[]</v>
      </c>
      <c r="X1785" s="6" t="str">
        <f>IFERROR(__xludf.DUMMYFUNCTION("""COMPUTED_VALUE"""),"Enrolled")</f>
        <v>Enrolled</v>
      </c>
    </row>
    <row r="1786">
      <c r="A1786" s="6" t="str">
        <f>IFERROR(__xludf.DUMMYFUNCTION("""COMPUTED_VALUE"""),"015-5656")</f>
        <v>015-5656</v>
      </c>
      <c r="B1786" s="6" t="str">
        <f>IFERROR(__xludf.DUMMYFUNCTION("""COMPUTED_VALUE"""),"15")</f>
        <v>15</v>
      </c>
      <c r="C1786" s="6" t="str">
        <f>IFERROR(__xludf.DUMMYFUNCTION("""COMPUTED_VALUE"""),"5656")</f>
        <v>5656</v>
      </c>
      <c r="D1786" s="6" t="str">
        <f>IFERROR(__xludf.DUMMYFUNCTION("""COMPUTED_VALUE"""),"Sarah")</f>
        <v>Sarah</v>
      </c>
      <c r="E1786" s="6" t="str">
        <f>IFERROR(__xludf.DUMMYFUNCTION("""COMPUTED_VALUE"""),"Sarah")</f>
        <v>Sarah</v>
      </c>
      <c r="F1786" s="6" t="str">
        <f>IFERROR(__xludf.DUMMYFUNCTION("""COMPUTED_VALUE"""),"Alcaraz Rico")</f>
        <v>Alcaraz Rico</v>
      </c>
      <c r="G1786" s="6" t="str">
        <f>IFERROR(__xludf.DUMMYFUNCTION("""COMPUTED_VALUE"""),"01/11/2016")</f>
        <v>01/11/2016</v>
      </c>
      <c r="H1786" s="6" t="str">
        <f>IFERROR(__xludf.DUMMYFUNCTION("""COMPUTED_VALUE"""),"female")</f>
        <v>female</v>
      </c>
      <c r="I1786" s="6" t="str">
        <f>IFERROR(__xludf.DUMMYFUNCTION("""COMPUTED_VALUE"""),"Level 2")</f>
        <v>Level 2</v>
      </c>
      <c r="J1786" s="6" t="str">
        <f>IFERROR(__xludf.DUMMYFUNCTION("""COMPUTED_VALUE"""),"4")</f>
        <v>4</v>
      </c>
      <c r="K1786" s="6" t="str">
        <f>IFERROR(__xludf.DUMMYFUNCTION("""COMPUTED_VALUE"""),"sarah.alcarazrico@alpha.school")</f>
        <v>sarah.alcarazrico@alpha.school</v>
      </c>
      <c r="L1786" s="6" t="str">
        <f>IFERROR(__xludf.DUMMYFUNCTION("""COMPUTED_VALUE"""),"Alpha School Miami")</f>
        <v>Alpha School Miami</v>
      </c>
      <c r="M1786" s="6" t="str">
        <f>IFERROR(__xludf.DUMMYFUNCTION("""COMPUTED_VALUE"""),"")</f>
        <v/>
      </c>
      <c r="N1786" s="6" t="str">
        <f>IFERROR(__xludf.DUMMYFUNCTION("""COMPUTED_VALUE"""),"")</f>
        <v/>
      </c>
      <c r="O1786" s="87" t="str">
        <f>IFERROR(__xludf.DUMMYFUNCTION("""COMPUTED_VALUE"""),"https://drive.google.com/drive/folders/10T2cTQHqEJZqE-st6uFKPoI?usp=share_link")</f>
        <v>https://drive.google.com/drive/folders/10T2cTQHqEJZqE-st6uFKPoI?usp=share_link</v>
      </c>
      <c r="P1786" s="6" t="str">
        <f>IFERROR(__xludf.DUMMYFUNCTION("""COMPUTED_VALUE"""),"Sarah Alcaraz Rico")</f>
        <v>Sarah Alcaraz Rico</v>
      </c>
      <c r="Q1786" s="6" t="str">
        <f>IFERROR(__xludf.DUMMYFUNCTION("""COMPUTED_VALUE"""),"L2")</f>
        <v>L2</v>
      </c>
      <c r="R1786" s="6">
        <f>IFERROR(__xludf.DUMMYFUNCTION("""COMPUTED_VALUE"""),2.0)</f>
        <v>2</v>
      </c>
      <c r="S1786" s="6" t="str">
        <f>IFERROR(__xludf.DUMMYFUNCTION("""COMPUTED_VALUE"""),"Sunny Lulla")</f>
        <v>Sunny Lulla</v>
      </c>
      <c r="T1786" s="6" t="str">
        <f>IFERROR(__xludf.DUMMYFUNCTION("""COMPUTED_VALUE"""),"sunny.lulla@alpha.school")</f>
        <v>sunny.lulla@alpha.school</v>
      </c>
      <c r="U1786" s="6" t="str">
        <f>IFERROR(__xludf.DUMMYFUNCTION("""COMPUTED_VALUE"""),"4")</f>
        <v>4</v>
      </c>
      <c r="V1786" s="6" t="str">
        <f>IFERROR(__xludf.DUMMYFUNCTION("""COMPUTED_VALUE"""),"")</f>
        <v/>
      </c>
      <c r="W1786" s="6" t="str">
        <f>IFERROR(__xludf.DUMMYFUNCTION("""COMPUTED_VALUE"""),"[]")</f>
        <v>[]</v>
      </c>
      <c r="X1786" s="6" t="str">
        <f>IFERROR(__xludf.DUMMYFUNCTION("""COMPUTED_VALUE"""),"Enrolled")</f>
        <v>Enrolled</v>
      </c>
    </row>
    <row r="1787">
      <c r="A1787" s="6" t="str">
        <f>IFERROR(__xludf.DUMMYFUNCTION("""COMPUTED_VALUE"""),"015-7203")</f>
        <v>015-7203</v>
      </c>
      <c r="B1787" s="6" t="str">
        <f>IFERROR(__xludf.DUMMYFUNCTION("""COMPUTED_VALUE"""),"15")</f>
        <v>15</v>
      </c>
      <c r="C1787" s="6" t="str">
        <f>IFERROR(__xludf.DUMMYFUNCTION("""COMPUTED_VALUE"""),"7203")</f>
        <v>7203</v>
      </c>
      <c r="D1787" s="6" t="str">
        <f>IFERROR(__xludf.DUMMYFUNCTION("""COMPUTED_VALUE"""),"Zoe")</f>
        <v>Zoe</v>
      </c>
      <c r="E1787" s="6" t="str">
        <f>IFERROR(__xludf.DUMMYFUNCTION("""COMPUTED_VALUE"""),"")</f>
        <v/>
      </c>
      <c r="F1787" s="6" t="str">
        <f>IFERROR(__xludf.DUMMYFUNCTION("""COMPUTED_VALUE"""),"Bodnick")</f>
        <v>Bodnick</v>
      </c>
      <c r="G1787" s="6" t="str">
        <f>IFERROR(__xludf.DUMMYFUNCTION("""COMPUTED_VALUE"""),"10/29/2011")</f>
        <v>10/29/2011</v>
      </c>
      <c r="H1787" s="6" t="str">
        <f>IFERROR(__xludf.DUMMYFUNCTION("""COMPUTED_VALUE"""),"Self Identify")</f>
        <v>Self Identify</v>
      </c>
      <c r="I1787" s="6" t="str">
        <f>IFERROR(__xludf.DUMMYFUNCTION("""COMPUTED_VALUE"""),"High School")</f>
        <v>High School</v>
      </c>
      <c r="J1787" s="6" t="str">
        <f>IFERROR(__xludf.DUMMYFUNCTION("""COMPUTED_VALUE"""),"9")</f>
        <v>9</v>
      </c>
      <c r="K1787" s="6" t="str">
        <f>IFERROR(__xludf.DUMMYFUNCTION("""COMPUTED_VALUE"""),"zoe.bodnick@alpha.school")</f>
        <v>zoe.bodnick@alpha.school</v>
      </c>
      <c r="L1787" s="6" t="str">
        <f>IFERROR(__xludf.DUMMYFUNCTION("""COMPUTED_VALUE"""),"Alpha School Miami")</f>
        <v>Alpha School Miami</v>
      </c>
      <c r="M1787" s="6" t="str">
        <f>IFERROR(__xludf.DUMMYFUNCTION("""COMPUTED_VALUE"""),"")</f>
        <v/>
      </c>
      <c r="N1787" s="6" t="str">
        <f>IFERROR(__xludf.DUMMYFUNCTION("""COMPUTED_VALUE"""),"")</f>
        <v/>
      </c>
      <c r="O1787" s="87" t="str">
        <f>IFERROR(__xludf.DUMMYFUNCTION("""COMPUTED_VALUE"""),"https://drive.google.com/drive/folders/10T2cTQHqEJZqE-st6uFKPoI?usp=share_link")</f>
        <v>https://drive.google.com/drive/folders/10T2cTQHqEJZqE-st6uFKPoI?usp=share_link</v>
      </c>
      <c r="P1787" s="6" t="str">
        <f>IFERROR(__xludf.DUMMYFUNCTION("""COMPUTED_VALUE"""),"Zoe Bodnick")</f>
        <v>Zoe Bodnick</v>
      </c>
      <c r="Q1787" s="6" t="str">
        <f>IFERROR(__xludf.DUMMYFUNCTION("""COMPUTED_VALUE"""),"HS")</f>
        <v>HS</v>
      </c>
      <c r="R1787" s="6">
        <f>IFERROR(__xludf.DUMMYFUNCTION("""COMPUTED_VALUE"""),0.0)</f>
        <v>0</v>
      </c>
      <c r="S1787" s="6" t="str">
        <f>IFERROR(__xludf.DUMMYFUNCTION("""COMPUTED_VALUE"""),"Logan Higuera")</f>
        <v>Logan Higuera</v>
      </c>
      <c r="T1787" s="6" t="str">
        <f>IFERROR(__xludf.DUMMYFUNCTION("""COMPUTED_VALUE"""),"logan.higuera@alpha.school")</f>
        <v>logan.higuera@alpha.school</v>
      </c>
      <c r="U1787" s="6" t="str">
        <f>IFERROR(__xludf.DUMMYFUNCTION("""COMPUTED_VALUE"""),"9")</f>
        <v>9</v>
      </c>
      <c r="V1787" s="6" t="str">
        <f>IFERROR(__xludf.DUMMYFUNCTION("""COMPUTED_VALUE"""),"")</f>
        <v/>
      </c>
      <c r="W1787" s="6" t="str">
        <f>IFERROR(__xludf.DUMMYFUNCTION("""COMPUTED_VALUE"""),"[]")</f>
        <v>[]</v>
      </c>
      <c r="X1787" s="6" t="str">
        <f>IFERROR(__xludf.DUMMYFUNCTION("""COMPUTED_VALUE"""),"Enrolled")</f>
        <v>Enrolled</v>
      </c>
    </row>
    <row r="1788">
      <c r="A1788" s="6" t="str">
        <f>IFERROR(__xludf.DUMMYFUNCTION("""COMPUTED_VALUE"""),"015-7505")</f>
        <v>015-7505</v>
      </c>
      <c r="B1788" s="6" t="str">
        <f>IFERROR(__xludf.DUMMYFUNCTION("""COMPUTED_VALUE"""),"15")</f>
        <v>15</v>
      </c>
      <c r="C1788" s="6" t="str">
        <f>IFERROR(__xludf.DUMMYFUNCTION("""COMPUTED_VALUE"""),"7505")</f>
        <v>7505</v>
      </c>
      <c r="D1788" s="6" t="str">
        <f>IFERROR(__xludf.DUMMYFUNCTION("""COMPUTED_VALUE"""),"Evelyn")</f>
        <v>Evelyn</v>
      </c>
      <c r="E1788" s="6" t="str">
        <f>IFERROR(__xludf.DUMMYFUNCTION("""COMPUTED_VALUE"""),"Evie")</f>
        <v>Evie</v>
      </c>
      <c r="F1788" s="6" t="str">
        <f>IFERROR(__xludf.DUMMYFUNCTION("""COMPUTED_VALUE"""),"Anderson")</f>
        <v>Anderson</v>
      </c>
      <c r="G1788" s="6" t="str">
        <f>IFERROR(__xludf.DUMMYFUNCTION("""COMPUTED_VALUE"""),"05/17/2016")</f>
        <v>05/17/2016</v>
      </c>
      <c r="H1788" s="6" t="str">
        <f>IFERROR(__xludf.DUMMYFUNCTION("""COMPUTED_VALUE"""),"female")</f>
        <v>female</v>
      </c>
      <c r="I1788" s="6" t="str">
        <f>IFERROR(__xludf.DUMMYFUNCTION("""COMPUTED_VALUE"""),"Level 2")</f>
        <v>Level 2</v>
      </c>
      <c r="J1788" s="6" t="str">
        <f>IFERROR(__xludf.DUMMYFUNCTION("""COMPUTED_VALUE"""),"4")</f>
        <v>4</v>
      </c>
      <c r="K1788" s="6" t="str">
        <f>IFERROR(__xludf.DUMMYFUNCTION("""COMPUTED_VALUE"""),"evelyn.anderson@alpha.school")</f>
        <v>evelyn.anderson@alpha.school</v>
      </c>
      <c r="L1788" s="6" t="str">
        <f>IFERROR(__xludf.DUMMYFUNCTION("""COMPUTED_VALUE"""),"Alpha School Miami")</f>
        <v>Alpha School Miami</v>
      </c>
      <c r="M1788" s="6" t="str">
        <f>IFERROR(__xludf.DUMMYFUNCTION("""COMPUTED_VALUE"""),"")</f>
        <v/>
      </c>
      <c r="N1788" s="6" t="str">
        <f>IFERROR(__xludf.DUMMYFUNCTION("""COMPUTED_VALUE"""),"")</f>
        <v/>
      </c>
      <c r="O1788" s="87" t="str">
        <f>IFERROR(__xludf.DUMMYFUNCTION("""COMPUTED_VALUE"""),"https://drive.google.com/drive/folders/10T2cTQHqEJZqE-st6uFKPoI?usp=share_link")</f>
        <v>https://drive.google.com/drive/folders/10T2cTQHqEJZqE-st6uFKPoI?usp=share_link</v>
      </c>
      <c r="P1788" s="6" t="str">
        <f>IFERROR(__xludf.DUMMYFUNCTION("""COMPUTED_VALUE"""),"Evie Anderson")</f>
        <v>Evie Anderson</v>
      </c>
      <c r="Q1788" s="6" t="str">
        <f>IFERROR(__xludf.DUMMYFUNCTION("""COMPUTED_VALUE"""),"L2")</f>
        <v>L2</v>
      </c>
      <c r="R1788" s="6">
        <f>IFERROR(__xludf.DUMMYFUNCTION("""COMPUTED_VALUE"""),2.0)</f>
        <v>2</v>
      </c>
      <c r="S1788" s="6" t="str">
        <f>IFERROR(__xludf.DUMMYFUNCTION("""COMPUTED_VALUE"""),"Chris Hayes")</f>
        <v>Chris Hayes</v>
      </c>
      <c r="T1788" s="6" t="str">
        <f>IFERROR(__xludf.DUMMYFUNCTION("""COMPUTED_VALUE"""),"chris.hayes@alpha.school")</f>
        <v>chris.hayes@alpha.school</v>
      </c>
      <c r="U1788" s="6" t="str">
        <f>IFERROR(__xludf.DUMMYFUNCTION("""COMPUTED_VALUE"""),"4")</f>
        <v>4</v>
      </c>
      <c r="V1788" s="6" t="str">
        <f>IFERROR(__xludf.DUMMYFUNCTION("""COMPUTED_VALUE"""),"")</f>
        <v/>
      </c>
      <c r="W1788" s="6" t="str">
        <f>IFERROR(__xludf.DUMMYFUNCTION("""COMPUTED_VALUE"""),"[]")</f>
        <v>[]</v>
      </c>
      <c r="X1788" s="6" t="str">
        <f>IFERROR(__xludf.DUMMYFUNCTION("""COMPUTED_VALUE"""),"Enrolled")</f>
        <v>Enrolled</v>
      </c>
    </row>
    <row r="1789">
      <c r="A1789" s="6" t="str">
        <f>IFERROR(__xludf.DUMMYFUNCTION("""COMPUTED_VALUE"""),"015-7922")</f>
        <v>015-7922</v>
      </c>
      <c r="B1789" s="6" t="str">
        <f>IFERROR(__xludf.DUMMYFUNCTION("""COMPUTED_VALUE"""),"15")</f>
        <v>15</v>
      </c>
      <c r="C1789" s="6" t="str">
        <f>IFERROR(__xludf.DUMMYFUNCTION("""COMPUTED_VALUE"""),"7922")</f>
        <v>7922</v>
      </c>
      <c r="D1789" s="6" t="str">
        <f>IFERROR(__xludf.DUMMYFUNCTION("""COMPUTED_VALUE"""),"James")</f>
        <v>James</v>
      </c>
      <c r="E1789" s="6" t="str">
        <f>IFERROR(__xludf.DUMMYFUNCTION("""COMPUTED_VALUE"""),"James")</f>
        <v>James</v>
      </c>
      <c r="F1789" s="6" t="str">
        <f>IFERROR(__xludf.DUMMYFUNCTION("""COMPUTED_VALUE"""),"Finn Pulichino")</f>
        <v>Finn Pulichino</v>
      </c>
      <c r="G1789" s="6" t="str">
        <f>IFERROR(__xludf.DUMMYFUNCTION("""COMPUTED_VALUE"""),"04/29/2011")</f>
        <v>04/29/2011</v>
      </c>
      <c r="H1789" s="6" t="str">
        <f>IFERROR(__xludf.DUMMYFUNCTION("""COMPUTED_VALUE"""),"male")</f>
        <v>male</v>
      </c>
      <c r="I1789" s="6" t="str">
        <f>IFERROR(__xludf.DUMMYFUNCTION("""COMPUTED_VALUE"""),"Middle School")</f>
        <v>Middle School</v>
      </c>
      <c r="J1789" s="6" t="str">
        <f>IFERROR(__xludf.DUMMYFUNCTION("""COMPUTED_VALUE"""),"8")</f>
        <v>8</v>
      </c>
      <c r="K1789" s="6" t="str">
        <f>IFERROR(__xludf.DUMMYFUNCTION("""COMPUTED_VALUE"""),"james.finnpulichino@alpha.school")</f>
        <v>james.finnpulichino@alpha.school</v>
      </c>
      <c r="L1789" s="6" t="str">
        <f>IFERROR(__xludf.DUMMYFUNCTION("""COMPUTED_VALUE"""),"Alpha School Miami")</f>
        <v>Alpha School Miami</v>
      </c>
      <c r="M1789" s="6" t="str">
        <f>IFERROR(__xludf.DUMMYFUNCTION("""COMPUTED_VALUE"""),"")</f>
        <v/>
      </c>
      <c r="N1789" s="6" t="str">
        <f>IFERROR(__xludf.DUMMYFUNCTION("""COMPUTED_VALUE"""),"")</f>
        <v/>
      </c>
      <c r="O1789" s="87" t="str">
        <f>IFERROR(__xludf.DUMMYFUNCTION("""COMPUTED_VALUE"""),"https://drive.google.com/drive/folders/10T2cTQHqEJZqE-st6uFKPoI?usp=share_link")</f>
        <v>https://drive.google.com/drive/folders/10T2cTQHqEJZqE-st6uFKPoI?usp=share_link</v>
      </c>
      <c r="P1789" s="6" t="str">
        <f>IFERROR(__xludf.DUMMYFUNCTION("""COMPUTED_VALUE"""),"James Finn Pulichino")</f>
        <v>James Finn Pulichino</v>
      </c>
      <c r="Q1789" s="6" t="str">
        <f>IFERROR(__xludf.DUMMYFUNCTION("""COMPUTED_VALUE"""),"MS")</f>
        <v>MS</v>
      </c>
      <c r="R1789" s="6">
        <f>IFERROR(__xludf.DUMMYFUNCTION("""COMPUTED_VALUE"""),0.0)</f>
        <v>0</v>
      </c>
      <c r="S1789" s="6" t="str">
        <f>IFERROR(__xludf.DUMMYFUNCTION("""COMPUTED_VALUE"""),"Tamara Stephenson")</f>
        <v>Tamara Stephenson</v>
      </c>
      <c r="T1789" s="6" t="str">
        <f>IFERROR(__xludf.DUMMYFUNCTION("""COMPUTED_VALUE"""),"tamara.stephenson@alpha.school")</f>
        <v>tamara.stephenson@alpha.school</v>
      </c>
      <c r="U1789" s="6" t="str">
        <f>IFERROR(__xludf.DUMMYFUNCTION("""COMPUTED_VALUE"""),"8")</f>
        <v>8</v>
      </c>
      <c r="V1789" s="6" t="str">
        <f>IFERROR(__xludf.DUMMYFUNCTION("""COMPUTED_VALUE"""),"")</f>
        <v/>
      </c>
      <c r="W1789" s="6" t="str">
        <f>IFERROR(__xludf.DUMMYFUNCTION("""COMPUTED_VALUE"""),"[]")</f>
        <v>[]</v>
      </c>
      <c r="X1789" s="6" t="str">
        <f>IFERROR(__xludf.DUMMYFUNCTION("""COMPUTED_VALUE"""),"Enrolled")</f>
        <v>Enrolled</v>
      </c>
    </row>
    <row r="1790">
      <c r="A1790" s="6" t="str">
        <f>IFERROR(__xludf.DUMMYFUNCTION("""COMPUTED_VALUE"""),"015-8534")</f>
        <v>015-8534</v>
      </c>
      <c r="B1790" s="6" t="str">
        <f>IFERROR(__xludf.DUMMYFUNCTION("""COMPUTED_VALUE"""),"15")</f>
        <v>15</v>
      </c>
      <c r="C1790" s="6" t="str">
        <f>IFERROR(__xludf.DUMMYFUNCTION("""COMPUTED_VALUE"""),"8534")</f>
        <v>8534</v>
      </c>
      <c r="D1790" s="6" t="str">
        <f>IFERROR(__xludf.DUMMYFUNCTION("""COMPUTED_VALUE"""),"Liam")</f>
        <v>Liam</v>
      </c>
      <c r="E1790" s="6" t="str">
        <f>IFERROR(__xludf.DUMMYFUNCTION("""COMPUTED_VALUE"""),"Liam")</f>
        <v>Liam</v>
      </c>
      <c r="F1790" s="6" t="str">
        <f>IFERROR(__xludf.DUMMYFUNCTION("""COMPUTED_VALUE"""),"Teh")</f>
        <v>Teh</v>
      </c>
      <c r="G1790" s="6" t="str">
        <f>IFERROR(__xludf.DUMMYFUNCTION("""COMPUTED_VALUE"""),"09/12/2015")</f>
        <v>09/12/2015</v>
      </c>
      <c r="H1790" s="6" t="str">
        <f>IFERROR(__xludf.DUMMYFUNCTION("""COMPUTED_VALUE"""),"male")</f>
        <v>male</v>
      </c>
      <c r="I1790" s="6" t="str">
        <f>IFERROR(__xludf.DUMMYFUNCTION("""COMPUTED_VALUE"""),"Level 2")</f>
        <v>Level 2</v>
      </c>
      <c r="J1790" s="6" t="str">
        <f>IFERROR(__xludf.DUMMYFUNCTION("""COMPUTED_VALUE"""),"5")</f>
        <v>5</v>
      </c>
      <c r="K1790" s="6" t="str">
        <f>IFERROR(__xludf.DUMMYFUNCTION("""COMPUTED_VALUE"""),"liam.teh@alpha.school")</f>
        <v>liam.teh@alpha.school</v>
      </c>
      <c r="L1790" s="6" t="str">
        <f>IFERROR(__xludf.DUMMYFUNCTION("""COMPUTED_VALUE"""),"Alpha School Miami")</f>
        <v>Alpha School Miami</v>
      </c>
      <c r="M1790" s="6" t="str">
        <f>IFERROR(__xludf.DUMMYFUNCTION("""COMPUTED_VALUE"""),"")</f>
        <v/>
      </c>
      <c r="N1790" s="6" t="str">
        <f>IFERROR(__xludf.DUMMYFUNCTION("""COMPUTED_VALUE"""),"")</f>
        <v/>
      </c>
      <c r="O1790" s="87" t="str">
        <f>IFERROR(__xludf.DUMMYFUNCTION("""COMPUTED_VALUE"""),"https://drive.google.com/drive/folders/10T2cTQHqEJZqE-st6uFKPoI?usp=share_link")</f>
        <v>https://drive.google.com/drive/folders/10T2cTQHqEJZqE-st6uFKPoI?usp=share_link</v>
      </c>
      <c r="P1790" s="6" t="str">
        <f>IFERROR(__xludf.DUMMYFUNCTION("""COMPUTED_VALUE"""),"Liam Teh")</f>
        <v>Liam Teh</v>
      </c>
      <c r="Q1790" s="6" t="str">
        <f>IFERROR(__xludf.DUMMYFUNCTION("""COMPUTED_VALUE"""),"L2")</f>
        <v>L2</v>
      </c>
      <c r="R1790" s="6">
        <f>IFERROR(__xludf.DUMMYFUNCTION("""COMPUTED_VALUE"""),2.0)</f>
        <v>2</v>
      </c>
      <c r="S1790" s="6" t="str">
        <f>IFERROR(__xludf.DUMMYFUNCTION("""COMPUTED_VALUE"""),"Sunny Lulla")</f>
        <v>Sunny Lulla</v>
      </c>
      <c r="T1790" s="6" t="str">
        <f>IFERROR(__xludf.DUMMYFUNCTION("""COMPUTED_VALUE"""),"sunny.lulla@alpha.school")</f>
        <v>sunny.lulla@alpha.school</v>
      </c>
      <c r="U1790" s="6" t="str">
        <f>IFERROR(__xludf.DUMMYFUNCTION("""COMPUTED_VALUE"""),"5")</f>
        <v>5</v>
      </c>
      <c r="V1790" s="6" t="str">
        <f>IFERROR(__xludf.DUMMYFUNCTION("""COMPUTED_VALUE"""),"")</f>
        <v/>
      </c>
      <c r="W1790" s="6" t="str">
        <f>IFERROR(__xludf.DUMMYFUNCTION("""COMPUTED_VALUE"""),"[]")</f>
        <v>[]</v>
      </c>
      <c r="X1790" s="6" t="str">
        <f>IFERROR(__xludf.DUMMYFUNCTION("""COMPUTED_VALUE"""),"Enrolled")</f>
        <v>Enrolled</v>
      </c>
    </row>
    <row r="1791">
      <c r="A1791" s="6" t="str">
        <f>IFERROR(__xludf.DUMMYFUNCTION("""COMPUTED_VALUE"""),"017-10989")</f>
        <v>017-10989</v>
      </c>
      <c r="B1791" s="6" t="str">
        <f>IFERROR(__xludf.DUMMYFUNCTION("""COMPUTED_VALUE"""),"17")</f>
        <v>17</v>
      </c>
      <c r="C1791" s="6" t="str">
        <f>IFERROR(__xludf.DUMMYFUNCTION("""COMPUTED_VALUE"""),"10989")</f>
        <v>10989</v>
      </c>
      <c r="D1791" s="6" t="str">
        <f>IFERROR(__xludf.DUMMYFUNCTION("""COMPUTED_VALUE"""),"Zamara")</f>
        <v>Zamara</v>
      </c>
      <c r="E1791" s="6" t="str">
        <f>IFERROR(__xludf.DUMMYFUNCTION("""COMPUTED_VALUE"""),"")</f>
        <v/>
      </c>
      <c r="F1791" s="6" t="str">
        <f>IFERROR(__xludf.DUMMYFUNCTION("""COMPUTED_VALUE"""),"Peralta")</f>
        <v>Peralta</v>
      </c>
      <c r="G1791" s="6" t="str">
        <f>IFERROR(__xludf.DUMMYFUNCTION("""COMPUTED_VALUE"""),"04/09/2021")</f>
        <v>04/09/2021</v>
      </c>
      <c r="H1791" s="6" t="str">
        <f>IFERROR(__xludf.DUMMYFUNCTION("""COMPUTED_VALUE"""),"Self Identify")</f>
        <v>Self Identify</v>
      </c>
      <c r="I1791" s="6" t="str">
        <f>IFERROR(__xludf.DUMMYFUNCTION("""COMPUTED_VALUE"""),"Learning Lab")</f>
        <v>Learning Lab</v>
      </c>
      <c r="J1791" s="6" t="str">
        <f>IFERROR(__xludf.DUMMYFUNCTION("""COMPUTED_VALUE"""),"K")</f>
        <v>K</v>
      </c>
      <c r="K1791" s="6" t="str">
        <f>IFERROR(__xludf.DUMMYFUNCTION("""COMPUTED_VALUE"""),"zamara.peralta@novaacademy.school")</f>
        <v>zamara.peralta@novaacademy.school</v>
      </c>
      <c r="L1791" s="6" t="str">
        <f>IFERROR(__xludf.DUMMYFUNCTION("""COMPUTED_VALUE"""),"Nova Academy Austin")</f>
        <v>Nova Academy Austin</v>
      </c>
      <c r="M1791" s="6" t="str">
        <f>IFERROR(__xludf.DUMMYFUNCTION("""COMPUTED_VALUE"""),"")</f>
        <v/>
      </c>
      <c r="N1791" s="6" t="str">
        <f>IFERROR(__xludf.DUMMYFUNCTION("""COMPUTED_VALUE"""),"")</f>
        <v/>
      </c>
      <c r="O1791" s="87" t="str">
        <f>IFERROR(__xludf.DUMMYFUNCTION("""COMPUTED_VALUE"""),"https://drive.google.com/drive/folders/10T2cTQHqEJZqE-st6uFKPoI?usp=share_link")</f>
        <v>https://drive.google.com/drive/folders/10T2cTQHqEJZqE-st6uFKPoI?usp=share_link</v>
      </c>
      <c r="P1791" s="6" t="str">
        <f>IFERROR(__xludf.DUMMYFUNCTION("""COMPUTED_VALUE"""),"Zamara Peralta")</f>
        <v>Zamara Peralta</v>
      </c>
      <c r="Q1791" s="6" t="str">
        <f>IFERROR(__xludf.DUMMYFUNCTION("""COMPUTED_VALUE"""),"LL")</f>
        <v>LL</v>
      </c>
      <c r="R1791" s="6">
        <f>IFERROR(__xludf.DUMMYFUNCTION("""COMPUTED_VALUE"""),0.0)</f>
        <v>0</v>
      </c>
      <c r="S1791" s="6" t="str">
        <f>IFERROR(__xludf.DUMMYFUNCTION("""COMPUTED_VALUE""")," ")</f>
        <v> </v>
      </c>
      <c r="T1791" s="6" t="str">
        <f>IFERROR(__xludf.DUMMYFUNCTION("""COMPUTED_VALUE"""),"")</f>
        <v/>
      </c>
      <c r="U1791" s="6" t="str">
        <f>IFERROR(__xludf.DUMMYFUNCTION("""COMPUTED_VALUE"""),"K")</f>
        <v>K</v>
      </c>
      <c r="V1791" s="6" t="str">
        <f>IFERROR(__xludf.DUMMYFUNCTION("""COMPUTED_VALUE"""),"")</f>
        <v/>
      </c>
      <c r="W1791" s="6" t="str">
        <f>IFERROR(__xludf.DUMMYFUNCTION("""COMPUTED_VALUE"""),"[]")</f>
        <v>[]</v>
      </c>
      <c r="X1791" s="6" t="str">
        <f>IFERROR(__xludf.DUMMYFUNCTION("""COMPUTED_VALUE"""),"Pending Review")</f>
        <v>Pending Review</v>
      </c>
    </row>
    <row r="1792">
      <c r="A1792" s="6" t="str">
        <f>IFERROR(__xludf.DUMMYFUNCTION("""COMPUTED_VALUE"""),"017-1926")</f>
        <v>017-1926</v>
      </c>
      <c r="B1792" s="6" t="str">
        <f>IFERROR(__xludf.DUMMYFUNCTION("""COMPUTED_VALUE"""),"17")</f>
        <v>17</v>
      </c>
      <c r="C1792" s="6" t="str">
        <f>IFERROR(__xludf.DUMMYFUNCTION("""COMPUTED_VALUE"""),"1926")</f>
        <v>1926</v>
      </c>
      <c r="D1792" s="6" t="str">
        <f>IFERROR(__xludf.DUMMYFUNCTION("""COMPUTED_VALUE"""),"Anthonella")</f>
        <v>Anthonella</v>
      </c>
      <c r="E1792" s="6" t="str">
        <f>IFERROR(__xludf.DUMMYFUNCTION("""COMPUTED_VALUE"""),"")</f>
        <v/>
      </c>
      <c r="F1792" s="6" t="str">
        <f>IFERROR(__xludf.DUMMYFUNCTION("""COMPUTED_VALUE"""),"Ochoa")</f>
        <v>Ochoa</v>
      </c>
      <c r="G1792" s="6" t="str">
        <f>IFERROR(__xludf.DUMMYFUNCTION("""COMPUTED_VALUE"""),"05/28/2018")</f>
        <v>05/28/2018</v>
      </c>
      <c r="H1792" s="6" t="str">
        <f>IFERROR(__xludf.DUMMYFUNCTION("""COMPUTED_VALUE"""),"female")</f>
        <v>female</v>
      </c>
      <c r="I1792" s="6" t="str">
        <f>IFERROR(__xludf.DUMMYFUNCTION("""COMPUTED_VALUE"""),"Level 1")</f>
        <v>Level 1</v>
      </c>
      <c r="J1792" s="6" t="str">
        <f>IFERROR(__xludf.DUMMYFUNCTION("""COMPUTED_VALUE"""),"2")</f>
        <v>2</v>
      </c>
      <c r="K1792" s="6" t="str">
        <f>IFERROR(__xludf.DUMMYFUNCTION("""COMPUTED_VALUE"""),"anthonella.ochoa@novaacademy.school")</f>
        <v>anthonella.ochoa@novaacademy.school</v>
      </c>
      <c r="L1792" s="6" t="str">
        <f>IFERROR(__xludf.DUMMYFUNCTION("""COMPUTED_VALUE"""),"Nova Academy Austin")</f>
        <v>Nova Academy Austin</v>
      </c>
      <c r="M1792" s="6" t="str">
        <f>IFERROR(__xludf.DUMMYFUNCTION("""COMPUTED_VALUE"""),"")</f>
        <v/>
      </c>
      <c r="N1792" s="6" t="str">
        <f>IFERROR(__xludf.DUMMYFUNCTION("""COMPUTED_VALUE"""),"")</f>
        <v/>
      </c>
      <c r="O1792" s="87" t="str">
        <f>IFERROR(__xludf.DUMMYFUNCTION("""COMPUTED_VALUE"""),"https://drive.google.com/drive/folders/10T2cTQHqEJZqE-st6uFKPoI?usp=share_link")</f>
        <v>https://drive.google.com/drive/folders/10T2cTQHqEJZqE-st6uFKPoI?usp=share_link</v>
      </c>
      <c r="P1792" s="6" t="str">
        <f>IFERROR(__xludf.DUMMYFUNCTION("""COMPUTED_VALUE"""),"Anthonella Ochoa")</f>
        <v>Anthonella Ochoa</v>
      </c>
      <c r="Q1792" s="6" t="str">
        <f>IFERROR(__xludf.DUMMYFUNCTION("""COMPUTED_VALUE"""),"L1")</f>
        <v>L1</v>
      </c>
      <c r="R1792" s="6">
        <f>IFERROR(__xludf.DUMMYFUNCTION("""COMPUTED_VALUE"""),1.0)</f>
        <v>1</v>
      </c>
      <c r="S1792" s="6" t="str">
        <f>IFERROR(__xludf.DUMMYFUNCTION("""COMPUTED_VALUE"""),"Mackenzie Shiau")</f>
        <v>Mackenzie Shiau</v>
      </c>
      <c r="T1792" s="6" t="str">
        <f>IFERROR(__xludf.DUMMYFUNCTION("""COMPUTED_VALUE"""),"mackenzie.shiau@2hourlearning.com")</f>
        <v>mackenzie.shiau@2hourlearning.com</v>
      </c>
      <c r="U1792" s="6" t="str">
        <f>IFERROR(__xludf.DUMMYFUNCTION("""COMPUTED_VALUE"""),"2")</f>
        <v>2</v>
      </c>
      <c r="V1792" s="6" t="str">
        <f>IFERROR(__xludf.DUMMYFUNCTION("""COMPUTED_VALUE"""),"")</f>
        <v/>
      </c>
      <c r="W1792" s="6" t="str">
        <f>IFERROR(__xludf.DUMMYFUNCTION("""COMPUTED_VALUE"""),"[]")</f>
        <v>[]</v>
      </c>
      <c r="X1792" s="6" t="str">
        <f>IFERROR(__xludf.DUMMYFUNCTION("""COMPUTED_VALUE"""),"Enrolled")</f>
        <v>Enrolled</v>
      </c>
    </row>
    <row r="1793">
      <c r="A1793" s="6" t="str">
        <f>IFERROR(__xludf.DUMMYFUNCTION("""COMPUTED_VALUE"""),"017-4357")</f>
        <v>017-4357</v>
      </c>
      <c r="B1793" s="6" t="str">
        <f>IFERROR(__xludf.DUMMYFUNCTION("""COMPUTED_VALUE"""),"17")</f>
        <v>17</v>
      </c>
      <c r="C1793" s="6" t="str">
        <f>IFERROR(__xludf.DUMMYFUNCTION("""COMPUTED_VALUE"""),"4357")</f>
        <v>4357</v>
      </c>
      <c r="D1793" s="6" t="str">
        <f>IFERROR(__xludf.DUMMYFUNCTION("""COMPUTED_VALUE"""),"Gael")</f>
        <v>Gael</v>
      </c>
      <c r="E1793" s="6" t="str">
        <f>IFERROR(__xludf.DUMMYFUNCTION("""COMPUTED_VALUE"""),"")</f>
        <v/>
      </c>
      <c r="F1793" s="6" t="str">
        <f>IFERROR(__xludf.DUMMYFUNCTION("""COMPUTED_VALUE"""),"Gonzalez-Romero")</f>
        <v>Gonzalez-Romero</v>
      </c>
      <c r="G1793" s="6" t="str">
        <f>IFERROR(__xludf.DUMMYFUNCTION("""COMPUTED_VALUE"""),"09/29/2019")</f>
        <v>09/29/2019</v>
      </c>
      <c r="H1793" s="6" t="str">
        <f>IFERROR(__xludf.DUMMYFUNCTION("""COMPUTED_VALUE"""),"male")</f>
        <v>male</v>
      </c>
      <c r="I1793" s="6" t="str">
        <f>IFERROR(__xludf.DUMMYFUNCTION("""COMPUTED_VALUE"""),"Learning Lab")</f>
        <v>Learning Lab</v>
      </c>
      <c r="J1793" s="6" t="str">
        <f>IFERROR(__xludf.DUMMYFUNCTION("""COMPUTED_VALUE"""),"K")</f>
        <v>K</v>
      </c>
      <c r="K1793" s="6" t="str">
        <f>IFERROR(__xludf.DUMMYFUNCTION("""COMPUTED_VALUE"""),"gael.gonzalez-romero@novaacademy.school")</f>
        <v>gael.gonzalez-romero@novaacademy.school</v>
      </c>
      <c r="L1793" s="6" t="str">
        <f>IFERROR(__xludf.DUMMYFUNCTION("""COMPUTED_VALUE"""),"Nova Academy Austin")</f>
        <v>Nova Academy Austin</v>
      </c>
      <c r="M1793" s="6" t="str">
        <f>IFERROR(__xludf.DUMMYFUNCTION("""COMPUTED_VALUE"""),"")</f>
        <v/>
      </c>
      <c r="N1793" s="6" t="str">
        <f>IFERROR(__xludf.DUMMYFUNCTION("""COMPUTED_VALUE"""),"")</f>
        <v/>
      </c>
      <c r="O1793" s="87" t="str">
        <f>IFERROR(__xludf.DUMMYFUNCTION("""COMPUTED_VALUE"""),"https://drive.google.com/drive/folders/10T2cTQHqEJZqE-st6uFKPoI?usp=share_link")</f>
        <v>https://drive.google.com/drive/folders/10T2cTQHqEJZqE-st6uFKPoI?usp=share_link</v>
      </c>
      <c r="P1793" s="6" t="str">
        <f>IFERROR(__xludf.DUMMYFUNCTION("""COMPUTED_VALUE"""),"Gael Gonzalez-Romero")</f>
        <v>Gael Gonzalez-Romero</v>
      </c>
      <c r="Q1793" s="6" t="str">
        <f>IFERROR(__xludf.DUMMYFUNCTION("""COMPUTED_VALUE"""),"LL")</f>
        <v>LL</v>
      </c>
      <c r="R1793" s="6">
        <f>IFERROR(__xludf.DUMMYFUNCTION("""COMPUTED_VALUE"""),0.0)</f>
        <v>0</v>
      </c>
      <c r="S1793" s="6" t="str">
        <f>IFERROR(__xludf.DUMMYFUNCTION("""COMPUTED_VALUE"""),"Mackenzie Shiau")</f>
        <v>Mackenzie Shiau</v>
      </c>
      <c r="T1793" s="6" t="str">
        <f>IFERROR(__xludf.DUMMYFUNCTION("""COMPUTED_VALUE"""),"mackenzie.shiau@2hourlearning.com")</f>
        <v>mackenzie.shiau@2hourlearning.com</v>
      </c>
      <c r="U1793" s="6" t="str">
        <f>IFERROR(__xludf.DUMMYFUNCTION("""COMPUTED_VALUE"""),"K")</f>
        <v>K</v>
      </c>
      <c r="V1793" s="6" t="str">
        <f>IFERROR(__xludf.DUMMYFUNCTION("""COMPUTED_VALUE"""),"")</f>
        <v/>
      </c>
      <c r="W1793" s="6" t="str">
        <f>IFERROR(__xludf.DUMMYFUNCTION("""COMPUTED_VALUE"""),"[]")</f>
        <v>[]</v>
      </c>
      <c r="X1793" s="6" t="str">
        <f>IFERROR(__xludf.DUMMYFUNCTION("""COMPUTED_VALUE"""),"Enrolled")</f>
        <v>Enrolled</v>
      </c>
    </row>
    <row r="1794">
      <c r="A1794" s="6" t="str">
        <f>IFERROR(__xludf.DUMMYFUNCTION("""COMPUTED_VALUE"""),"017-4358")</f>
        <v>017-4358</v>
      </c>
      <c r="B1794" s="6" t="str">
        <f>IFERROR(__xludf.DUMMYFUNCTION("""COMPUTED_VALUE"""),"17")</f>
        <v>17</v>
      </c>
      <c r="C1794" s="6" t="str">
        <f>IFERROR(__xludf.DUMMYFUNCTION("""COMPUTED_VALUE"""),"4358")</f>
        <v>4358</v>
      </c>
      <c r="D1794" s="6" t="str">
        <f>IFERROR(__xludf.DUMMYFUNCTION("""COMPUTED_VALUE"""),"Savannah")</f>
        <v>Savannah</v>
      </c>
      <c r="E1794" s="6" t="str">
        <f>IFERROR(__xludf.DUMMYFUNCTION("""COMPUTED_VALUE"""),"")</f>
        <v/>
      </c>
      <c r="F1794" s="6" t="str">
        <f>IFERROR(__xludf.DUMMYFUNCTION("""COMPUTED_VALUE"""),"Johnson")</f>
        <v>Johnson</v>
      </c>
      <c r="G1794" s="6" t="str">
        <f>IFERROR(__xludf.DUMMYFUNCTION("""COMPUTED_VALUE"""),"01/01/2020")</f>
        <v>01/01/2020</v>
      </c>
      <c r="H1794" s="6" t="str">
        <f>IFERROR(__xludf.DUMMYFUNCTION("""COMPUTED_VALUE"""),"Self Identify")</f>
        <v>Self Identify</v>
      </c>
      <c r="I1794" s="6" t="str">
        <f>IFERROR(__xludf.DUMMYFUNCTION("""COMPUTED_VALUE"""),"Learning Lab")</f>
        <v>Learning Lab</v>
      </c>
      <c r="J1794" s="6" t="str">
        <f>IFERROR(__xludf.DUMMYFUNCTION("""COMPUTED_VALUE"""),"K")</f>
        <v>K</v>
      </c>
      <c r="K1794" s="6" t="str">
        <f>IFERROR(__xludf.DUMMYFUNCTION("""COMPUTED_VALUE"""),"savannah.johnson@novaacademy.school")</f>
        <v>savannah.johnson@novaacademy.school</v>
      </c>
      <c r="L1794" s="6" t="str">
        <f>IFERROR(__xludf.DUMMYFUNCTION("""COMPUTED_VALUE"""),"Nova Academy Austin")</f>
        <v>Nova Academy Austin</v>
      </c>
      <c r="M1794" s="6" t="str">
        <f>IFERROR(__xludf.DUMMYFUNCTION("""COMPUTED_VALUE"""),"")</f>
        <v/>
      </c>
      <c r="N1794" s="6" t="str">
        <f>IFERROR(__xludf.DUMMYFUNCTION("""COMPUTED_VALUE"""),"")</f>
        <v/>
      </c>
      <c r="O1794" s="87" t="str">
        <f>IFERROR(__xludf.DUMMYFUNCTION("""COMPUTED_VALUE"""),"https://drive.google.com/drive/folders/10T2cTQHqEJZqE-st6uFKPoI?usp=share_link")</f>
        <v>https://drive.google.com/drive/folders/10T2cTQHqEJZqE-st6uFKPoI?usp=share_link</v>
      </c>
      <c r="P1794" s="6" t="str">
        <f>IFERROR(__xludf.DUMMYFUNCTION("""COMPUTED_VALUE"""),"Savannah Johnson")</f>
        <v>Savannah Johnson</v>
      </c>
      <c r="Q1794" s="6" t="str">
        <f>IFERROR(__xludf.DUMMYFUNCTION("""COMPUTED_VALUE"""),"LL")</f>
        <v>LL</v>
      </c>
      <c r="R1794" s="6">
        <f>IFERROR(__xludf.DUMMYFUNCTION("""COMPUTED_VALUE"""),0.0)</f>
        <v>0</v>
      </c>
      <c r="S1794" s="6" t="str">
        <f>IFERROR(__xludf.DUMMYFUNCTION("""COMPUTED_VALUE""")," ")</f>
        <v> </v>
      </c>
      <c r="T1794" s="6" t="str">
        <f>IFERROR(__xludf.DUMMYFUNCTION("""COMPUTED_VALUE"""),"")</f>
        <v/>
      </c>
      <c r="U1794" s="6" t="str">
        <f>IFERROR(__xludf.DUMMYFUNCTION("""COMPUTED_VALUE"""),"K")</f>
        <v>K</v>
      </c>
      <c r="V1794" s="6" t="str">
        <f>IFERROR(__xludf.DUMMYFUNCTION("""COMPUTED_VALUE"""),"")</f>
        <v/>
      </c>
      <c r="W1794" s="6" t="str">
        <f>IFERROR(__xludf.DUMMYFUNCTION("""COMPUTED_VALUE"""),"[]")</f>
        <v>[]</v>
      </c>
      <c r="X1794" s="6" t="str">
        <f>IFERROR(__xludf.DUMMYFUNCTION("""COMPUTED_VALUE"""),"Pending Re-enrollment")</f>
        <v>Pending Re-enrollment</v>
      </c>
    </row>
    <row r="1795">
      <c r="A1795" s="6" t="str">
        <f>IFERROR(__xludf.DUMMYFUNCTION("""COMPUTED_VALUE"""),"017-4359")</f>
        <v>017-4359</v>
      </c>
      <c r="B1795" s="6" t="str">
        <f>IFERROR(__xludf.DUMMYFUNCTION("""COMPUTED_VALUE"""),"17")</f>
        <v>17</v>
      </c>
      <c r="C1795" s="6" t="str">
        <f>IFERROR(__xludf.DUMMYFUNCTION("""COMPUTED_VALUE"""),"4359")</f>
        <v>4359</v>
      </c>
      <c r="D1795" s="6" t="str">
        <f>IFERROR(__xludf.DUMMYFUNCTION("""COMPUTED_VALUE"""),"Saija")</f>
        <v>Saija</v>
      </c>
      <c r="E1795" s="6" t="str">
        <f>IFERROR(__xludf.DUMMYFUNCTION("""COMPUTED_VALUE"""),"")</f>
        <v/>
      </c>
      <c r="F1795" s="6" t="str">
        <f>IFERROR(__xludf.DUMMYFUNCTION("""COMPUTED_VALUE"""),"Shittu")</f>
        <v>Shittu</v>
      </c>
      <c r="G1795" s="6" t="str">
        <f>IFERROR(__xludf.DUMMYFUNCTION("""COMPUTED_VALUE"""),"01/01/2020")</f>
        <v>01/01/2020</v>
      </c>
      <c r="H1795" s="6" t="str">
        <f>IFERROR(__xludf.DUMMYFUNCTION("""COMPUTED_VALUE"""),"Self Identify")</f>
        <v>Self Identify</v>
      </c>
      <c r="I1795" s="6" t="str">
        <f>IFERROR(__xludf.DUMMYFUNCTION("""COMPUTED_VALUE"""),"Learning Lab")</f>
        <v>Learning Lab</v>
      </c>
      <c r="J1795" s="6" t="str">
        <f>IFERROR(__xludf.DUMMYFUNCTION("""COMPUTED_VALUE"""),"K")</f>
        <v>K</v>
      </c>
      <c r="K1795" s="6" t="str">
        <f>IFERROR(__xludf.DUMMYFUNCTION("""COMPUTED_VALUE"""),"saija.shittu@novaacademy.school")</f>
        <v>saija.shittu@novaacademy.school</v>
      </c>
      <c r="L1795" s="6" t="str">
        <f>IFERROR(__xludf.DUMMYFUNCTION("""COMPUTED_VALUE"""),"Nova Academy Austin")</f>
        <v>Nova Academy Austin</v>
      </c>
      <c r="M1795" s="6" t="str">
        <f>IFERROR(__xludf.DUMMYFUNCTION("""COMPUTED_VALUE"""),"")</f>
        <v/>
      </c>
      <c r="N1795" s="6" t="str">
        <f>IFERROR(__xludf.DUMMYFUNCTION("""COMPUTED_VALUE"""),"")</f>
        <v/>
      </c>
      <c r="O1795" s="87" t="str">
        <f>IFERROR(__xludf.DUMMYFUNCTION("""COMPUTED_VALUE"""),"https://drive.google.com/drive/folders/10T2cTQHqEJZqE-st6uFKPoI?usp=share_link")</f>
        <v>https://drive.google.com/drive/folders/10T2cTQHqEJZqE-st6uFKPoI?usp=share_link</v>
      </c>
      <c r="P1795" s="6" t="str">
        <f>IFERROR(__xludf.DUMMYFUNCTION("""COMPUTED_VALUE"""),"Saija Shittu")</f>
        <v>Saija Shittu</v>
      </c>
      <c r="Q1795" s="6" t="str">
        <f>IFERROR(__xludf.DUMMYFUNCTION("""COMPUTED_VALUE"""),"LL")</f>
        <v>LL</v>
      </c>
      <c r="R1795" s="6">
        <f>IFERROR(__xludf.DUMMYFUNCTION("""COMPUTED_VALUE"""),0.0)</f>
        <v>0</v>
      </c>
      <c r="S1795" s="6" t="str">
        <f>IFERROR(__xludf.DUMMYFUNCTION("""COMPUTED_VALUE""")," ")</f>
        <v> </v>
      </c>
      <c r="T1795" s="6" t="str">
        <f>IFERROR(__xludf.DUMMYFUNCTION("""COMPUTED_VALUE"""),"")</f>
        <v/>
      </c>
      <c r="U1795" s="6" t="str">
        <f>IFERROR(__xludf.DUMMYFUNCTION("""COMPUTED_VALUE"""),"K")</f>
        <v>K</v>
      </c>
      <c r="V1795" s="6" t="str">
        <f>IFERROR(__xludf.DUMMYFUNCTION("""COMPUTED_VALUE"""),"")</f>
        <v/>
      </c>
      <c r="W1795" s="6" t="str">
        <f>IFERROR(__xludf.DUMMYFUNCTION("""COMPUTED_VALUE"""),"[]")</f>
        <v>[]</v>
      </c>
      <c r="X1795" s="6" t="str">
        <f>IFERROR(__xludf.DUMMYFUNCTION("""COMPUTED_VALUE"""),"Pending Re-enrollment")</f>
        <v>Pending Re-enrollment</v>
      </c>
    </row>
    <row r="1796">
      <c r="A1796" s="6" t="str">
        <f>IFERROR(__xludf.DUMMYFUNCTION("""COMPUTED_VALUE"""),"017-4362")</f>
        <v>017-4362</v>
      </c>
      <c r="B1796" s="6" t="str">
        <f>IFERROR(__xludf.DUMMYFUNCTION("""COMPUTED_VALUE"""),"17")</f>
        <v>17</v>
      </c>
      <c r="C1796" s="6" t="str">
        <f>IFERROR(__xludf.DUMMYFUNCTION("""COMPUTED_VALUE"""),"4362")</f>
        <v>4362</v>
      </c>
      <c r="D1796" s="6" t="str">
        <f>IFERROR(__xludf.DUMMYFUNCTION("""COMPUTED_VALUE"""),"Kyran")</f>
        <v>Kyran</v>
      </c>
      <c r="E1796" s="6" t="str">
        <f>IFERROR(__xludf.DUMMYFUNCTION("""COMPUTED_VALUE"""),"")</f>
        <v/>
      </c>
      <c r="F1796" s="6" t="str">
        <f>IFERROR(__xludf.DUMMYFUNCTION("""COMPUTED_VALUE"""),"Swain")</f>
        <v>Swain</v>
      </c>
      <c r="G1796" s="6" t="str">
        <f>IFERROR(__xludf.DUMMYFUNCTION("""COMPUTED_VALUE"""),"01/01/2020")</f>
        <v>01/01/2020</v>
      </c>
      <c r="H1796" s="6" t="str">
        <f>IFERROR(__xludf.DUMMYFUNCTION("""COMPUTED_VALUE"""),"Self Identify")</f>
        <v>Self Identify</v>
      </c>
      <c r="I1796" s="6" t="str">
        <f>IFERROR(__xludf.DUMMYFUNCTION("""COMPUTED_VALUE"""),"Learning Lab")</f>
        <v>Learning Lab</v>
      </c>
      <c r="J1796" s="6" t="str">
        <f>IFERROR(__xludf.DUMMYFUNCTION("""COMPUTED_VALUE"""),"K")</f>
        <v>K</v>
      </c>
      <c r="K1796" s="6" t="str">
        <f>IFERROR(__xludf.DUMMYFUNCTION("""COMPUTED_VALUE"""),"kyran.swain@novaacademy.school")</f>
        <v>kyran.swain@novaacademy.school</v>
      </c>
      <c r="L1796" s="6" t="str">
        <f>IFERROR(__xludf.DUMMYFUNCTION("""COMPUTED_VALUE"""),"Nova Academy Austin")</f>
        <v>Nova Academy Austin</v>
      </c>
      <c r="M1796" s="6" t="str">
        <f>IFERROR(__xludf.DUMMYFUNCTION("""COMPUTED_VALUE"""),"")</f>
        <v/>
      </c>
      <c r="N1796" s="6" t="str">
        <f>IFERROR(__xludf.DUMMYFUNCTION("""COMPUTED_VALUE"""),"")</f>
        <v/>
      </c>
      <c r="O1796" s="87" t="str">
        <f>IFERROR(__xludf.DUMMYFUNCTION("""COMPUTED_VALUE"""),"https://drive.google.com/drive/folders/10T2cTQHqEJZqE-st6uFKPoI?usp=share_link")</f>
        <v>https://drive.google.com/drive/folders/10T2cTQHqEJZqE-st6uFKPoI?usp=share_link</v>
      </c>
      <c r="P1796" s="6" t="str">
        <f>IFERROR(__xludf.DUMMYFUNCTION("""COMPUTED_VALUE"""),"Kyran Swain")</f>
        <v>Kyran Swain</v>
      </c>
      <c r="Q1796" s="6" t="str">
        <f>IFERROR(__xludf.DUMMYFUNCTION("""COMPUTED_VALUE"""),"LL")</f>
        <v>LL</v>
      </c>
      <c r="R1796" s="6">
        <f>IFERROR(__xludf.DUMMYFUNCTION("""COMPUTED_VALUE"""),0.0)</f>
        <v>0</v>
      </c>
      <c r="S1796" s="6" t="str">
        <f>IFERROR(__xludf.DUMMYFUNCTION("""COMPUTED_VALUE""")," ")</f>
        <v> </v>
      </c>
      <c r="T1796" s="6" t="str">
        <f>IFERROR(__xludf.DUMMYFUNCTION("""COMPUTED_VALUE"""),"")</f>
        <v/>
      </c>
      <c r="U1796" s="6" t="str">
        <f>IFERROR(__xludf.DUMMYFUNCTION("""COMPUTED_VALUE"""),"K")</f>
        <v>K</v>
      </c>
      <c r="V1796" s="6" t="str">
        <f>IFERROR(__xludf.DUMMYFUNCTION("""COMPUTED_VALUE"""),"")</f>
        <v/>
      </c>
      <c r="W1796" s="6" t="str">
        <f>IFERROR(__xludf.DUMMYFUNCTION("""COMPUTED_VALUE"""),"[]")</f>
        <v>[]</v>
      </c>
      <c r="X1796" s="6" t="str">
        <f>IFERROR(__xludf.DUMMYFUNCTION("""COMPUTED_VALUE"""),"Pending Re-enrollment")</f>
        <v>Pending Re-enrollment</v>
      </c>
    </row>
    <row r="1797">
      <c r="A1797" s="6" t="str">
        <f>IFERROR(__xludf.DUMMYFUNCTION("""COMPUTED_VALUE"""),"017-4363")</f>
        <v>017-4363</v>
      </c>
      <c r="B1797" s="6" t="str">
        <f>IFERROR(__xludf.DUMMYFUNCTION("""COMPUTED_VALUE"""),"17")</f>
        <v>17</v>
      </c>
      <c r="C1797" s="6" t="str">
        <f>IFERROR(__xludf.DUMMYFUNCTION("""COMPUTED_VALUE"""),"4363")</f>
        <v>4363</v>
      </c>
      <c r="D1797" s="6" t="str">
        <f>IFERROR(__xludf.DUMMYFUNCTION("""COMPUTED_VALUE"""),"Shailene")</f>
        <v>Shailene</v>
      </c>
      <c r="E1797" s="6" t="str">
        <f>IFERROR(__xludf.DUMMYFUNCTION("""COMPUTED_VALUE"""),"Shailene")</f>
        <v>Shailene</v>
      </c>
      <c r="F1797" s="6" t="str">
        <f>IFERROR(__xludf.DUMMYFUNCTION("""COMPUTED_VALUE"""),"Ferrebus")</f>
        <v>Ferrebus</v>
      </c>
      <c r="G1797" s="6" t="str">
        <f>IFERROR(__xludf.DUMMYFUNCTION("""COMPUTED_VALUE"""),"04/20/2020")</f>
        <v>04/20/2020</v>
      </c>
      <c r="H1797" s="6" t="str">
        <f>IFERROR(__xludf.DUMMYFUNCTION("""COMPUTED_VALUE"""),"female")</f>
        <v>female</v>
      </c>
      <c r="I1797" s="6" t="str">
        <f>IFERROR(__xludf.DUMMYFUNCTION("""COMPUTED_VALUE"""),"Learning Lab")</f>
        <v>Learning Lab</v>
      </c>
      <c r="J1797" s="6" t="str">
        <f>IFERROR(__xludf.DUMMYFUNCTION("""COMPUTED_VALUE"""),"K")</f>
        <v>K</v>
      </c>
      <c r="K1797" s="6" t="str">
        <f>IFERROR(__xludf.DUMMYFUNCTION("""COMPUTED_VALUE"""),"shailene.ferrebus@novaacademy.school")</f>
        <v>shailene.ferrebus@novaacademy.school</v>
      </c>
      <c r="L1797" s="6" t="str">
        <f>IFERROR(__xludf.DUMMYFUNCTION("""COMPUTED_VALUE"""),"Nova Academy Austin")</f>
        <v>Nova Academy Austin</v>
      </c>
      <c r="M1797" s="6" t="str">
        <f>IFERROR(__xludf.DUMMYFUNCTION("""COMPUTED_VALUE"""),"")</f>
        <v/>
      </c>
      <c r="N1797" s="6" t="str">
        <f>IFERROR(__xludf.DUMMYFUNCTION("""COMPUTED_VALUE"""),"")</f>
        <v/>
      </c>
      <c r="O1797" s="87" t="str">
        <f>IFERROR(__xludf.DUMMYFUNCTION("""COMPUTED_VALUE"""),"https://drive.google.com/drive/folders/10T2cTQHqEJZqE-st6uFKPoI?usp=share_link")</f>
        <v>https://drive.google.com/drive/folders/10T2cTQHqEJZqE-st6uFKPoI?usp=share_link</v>
      </c>
      <c r="P1797" s="6" t="str">
        <f>IFERROR(__xludf.DUMMYFUNCTION("""COMPUTED_VALUE"""),"Shailene Ferrebus")</f>
        <v>Shailene Ferrebus</v>
      </c>
      <c r="Q1797" s="6" t="str">
        <f>IFERROR(__xludf.DUMMYFUNCTION("""COMPUTED_VALUE"""),"LL")</f>
        <v>LL</v>
      </c>
      <c r="R1797" s="6">
        <f>IFERROR(__xludf.DUMMYFUNCTION("""COMPUTED_VALUE"""),0.0)</f>
        <v>0</v>
      </c>
      <c r="S1797" s="6" t="str">
        <f>IFERROR(__xludf.DUMMYFUNCTION("""COMPUTED_VALUE"""),"Mackenzie Shiau")</f>
        <v>Mackenzie Shiau</v>
      </c>
      <c r="T1797" s="6" t="str">
        <f>IFERROR(__xludf.DUMMYFUNCTION("""COMPUTED_VALUE"""),"mackenzie.shiau@2hourlearning.com")</f>
        <v>mackenzie.shiau@2hourlearning.com</v>
      </c>
      <c r="U1797" s="6" t="str">
        <f>IFERROR(__xludf.DUMMYFUNCTION("""COMPUTED_VALUE"""),"K")</f>
        <v>K</v>
      </c>
      <c r="V1797" s="6" t="str">
        <f>IFERROR(__xludf.DUMMYFUNCTION("""COMPUTED_VALUE"""),"")</f>
        <v/>
      </c>
      <c r="W1797" s="6" t="str">
        <f>IFERROR(__xludf.DUMMYFUNCTION("""COMPUTED_VALUE"""),"[]")</f>
        <v>[]</v>
      </c>
      <c r="X1797" s="6" t="str">
        <f>IFERROR(__xludf.DUMMYFUNCTION("""COMPUTED_VALUE"""),"Enrolled")</f>
        <v>Enrolled</v>
      </c>
    </row>
    <row r="1798">
      <c r="A1798" s="6" t="str">
        <f>IFERROR(__xludf.DUMMYFUNCTION("""COMPUTED_VALUE"""),"017-4364")</f>
        <v>017-4364</v>
      </c>
      <c r="B1798" s="6" t="str">
        <f>IFERROR(__xludf.DUMMYFUNCTION("""COMPUTED_VALUE"""),"17")</f>
        <v>17</v>
      </c>
      <c r="C1798" s="6" t="str">
        <f>IFERROR(__xludf.DUMMYFUNCTION("""COMPUTED_VALUE"""),"4364")</f>
        <v>4364</v>
      </c>
      <c r="D1798" s="6" t="str">
        <f>IFERROR(__xludf.DUMMYFUNCTION("""COMPUTED_VALUE"""),"Samauri")</f>
        <v>Samauri</v>
      </c>
      <c r="E1798" s="6" t="str">
        <f>IFERROR(__xludf.DUMMYFUNCTION("""COMPUTED_VALUE"""),"")</f>
        <v/>
      </c>
      <c r="F1798" s="6" t="str">
        <f>IFERROR(__xludf.DUMMYFUNCTION("""COMPUTED_VALUE"""),"Lovejoy")</f>
        <v>Lovejoy</v>
      </c>
      <c r="G1798" s="6" t="str">
        <f>IFERROR(__xludf.DUMMYFUNCTION("""COMPUTED_VALUE"""),"01/01/2020")</f>
        <v>01/01/2020</v>
      </c>
      <c r="H1798" s="6" t="str">
        <f>IFERROR(__xludf.DUMMYFUNCTION("""COMPUTED_VALUE"""),"Self Identify")</f>
        <v>Self Identify</v>
      </c>
      <c r="I1798" s="6" t="str">
        <f>IFERROR(__xludf.DUMMYFUNCTION("""COMPUTED_VALUE"""),"Learning Lab")</f>
        <v>Learning Lab</v>
      </c>
      <c r="J1798" s="6" t="str">
        <f>IFERROR(__xludf.DUMMYFUNCTION("""COMPUTED_VALUE"""),"K")</f>
        <v>K</v>
      </c>
      <c r="K1798" s="6" t="str">
        <f>IFERROR(__xludf.DUMMYFUNCTION("""COMPUTED_VALUE"""),"samauri.lovejoy@novaacademy.school")</f>
        <v>samauri.lovejoy@novaacademy.school</v>
      </c>
      <c r="L1798" s="6" t="str">
        <f>IFERROR(__xludf.DUMMYFUNCTION("""COMPUTED_VALUE"""),"Nova Academy Austin")</f>
        <v>Nova Academy Austin</v>
      </c>
      <c r="M1798" s="6" t="str">
        <f>IFERROR(__xludf.DUMMYFUNCTION("""COMPUTED_VALUE"""),"")</f>
        <v/>
      </c>
      <c r="N1798" s="6" t="str">
        <f>IFERROR(__xludf.DUMMYFUNCTION("""COMPUTED_VALUE"""),"")</f>
        <v/>
      </c>
      <c r="O1798" s="87" t="str">
        <f>IFERROR(__xludf.DUMMYFUNCTION("""COMPUTED_VALUE"""),"https://drive.google.com/drive/folders/10T2cTQHqEJZqE-st6uFKPoI?usp=share_link")</f>
        <v>https://drive.google.com/drive/folders/10T2cTQHqEJZqE-st6uFKPoI?usp=share_link</v>
      </c>
      <c r="P1798" s="6" t="str">
        <f>IFERROR(__xludf.DUMMYFUNCTION("""COMPUTED_VALUE"""),"Samauri Lovejoy")</f>
        <v>Samauri Lovejoy</v>
      </c>
      <c r="Q1798" s="6" t="str">
        <f>IFERROR(__xludf.DUMMYFUNCTION("""COMPUTED_VALUE"""),"LL")</f>
        <v>LL</v>
      </c>
      <c r="R1798" s="6">
        <f>IFERROR(__xludf.DUMMYFUNCTION("""COMPUTED_VALUE"""),0.0)</f>
        <v>0</v>
      </c>
      <c r="S1798" s="6" t="str">
        <f>IFERROR(__xludf.DUMMYFUNCTION("""COMPUTED_VALUE""")," ")</f>
        <v> </v>
      </c>
      <c r="T1798" s="6" t="str">
        <f>IFERROR(__xludf.DUMMYFUNCTION("""COMPUTED_VALUE"""),"")</f>
        <v/>
      </c>
      <c r="U1798" s="6" t="str">
        <f>IFERROR(__xludf.DUMMYFUNCTION("""COMPUTED_VALUE"""),"K")</f>
        <v>K</v>
      </c>
      <c r="V1798" s="6" t="str">
        <f>IFERROR(__xludf.DUMMYFUNCTION("""COMPUTED_VALUE"""),"")</f>
        <v/>
      </c>
      <c r="W1798" s="6" t="str">
        <f>IFERROR(__xludf.DUMMYFUNCTION("""COMPUTED_VALUE"""),"[]")</f>
        <v>[]</v>
      </c>
      <c r="X1798" s="6" t="str">
        <f>IFERROR(__xludf.DUMMYFUNCTION("""COMPUTED_VALUE"""),"Pending Re-enrollment")</f>
        <v>Pending Re-enrollment</v>
      </c>
    </row>
    <row r="1799">
      <c r="A1799" s="6" t="str">
        <f>IFERROR(__xludf.DUMMYFUNCTION("""COMPUTED_VALUE"""),"017-4531")</f>
        <v>017-4531</v>
      </c>
      <c r="B1799" s="6" t="str">
        <f>IFERROR(__xludf.DUMMYFUNCTION("""COMPUTED_VALUE"""),"17")</f>
        <v>17</v>
      </c>
      <c r="C1799" s="6" t="str">
        <f>IFERROR(__xludf.DUMMYFUNCTION("""COMPUTED_VALUE"""),"4531")</f>
        <v>4531</v>
      </c>
      <c r="D1799" s="6" t="str">
        <f>IFERROR(__xludf.DUMMYFUNCTION("""COMPUTED_VALUE"""),"Alana")</f>
        <v>Alana</v>
      </c>
      <c r="E1799" s="6" t="str">
        <f>IFERROR(__xludf.DUMMYFUNCTION("""COMPUTED_VALUE"""),"")</f>
        <v/>
      </c>
      <c r="F1799" s="6" t="str">
        <f>IFERROR(__xludf.DUMMYFUNCTION("""COMPUTED_VALUE"""),"Marin Barrios")</f>
        <v>Marin Barrios</v>
      </c>
      <c r="G1799" s="6" t="str">
        <f>IFERROR(__xludf.DUMMYFUNCTION("""COMPUTED_VALUE"""),"09/28/2020")</f>
        <v>09/28/2020</v>
      </c>
      <c r="H1799" s="6" t="str">
        <f>IFERROR(__xludf.DUMMYFUNCTION("""COMPUTED_VALUE"""),"female")</f>
        <v>female</v>
      </c>
      <c r="I1799" s="6" t="str">
        <f>IFERROR(__xludf.DUMMYFUNCTION("""COMPUTED_VALUE"""),"Learning Lab")</f>
        <v>Learning Lab</v>
      </c>
      <c r="J1799" s="6" t="str">
        <f>IFERROR(__xludf.DUMMYFUNCTION("""COMPUTED_VALUE"""),"K")</f>
        <v>K</v>
      </c>
      <c r="K1799" s="6" t="str">
        <f>IFERROR(__xludf.DUMMYFUNCTION("""COMPUTED_VALUE"""),"alanamarinbarrios@novaacademy.school")</f>
        <v>alanamarinbarrios@novaacademy.school</v>
      </c>
      <c r="L1799" s="6" t="str">
        <f>IFERROR(__xludf.DUMMYFUNCTION("""COMPUTED_VALUE"""),"Nova Academy Austin")</f>
        <v>Nova Academy Austin</v>
      </c>
      <c r="M1799" s="6" t="str">
        <f>IFERROR(__xludf.DUMMYFUNCTION("""COMPUTED_VALUE"""),"")</f>
        <v/>
      </c>
      <c r="N1799" s="6" t="str">
        <f>IFERROR(__xludf.DUMMYFUNCTION("""COMPUTED_VALUE"""),"")</f>
        <v/>
      </c>
      <c r="O1799" s="87" t="str">
        <f>IFERROR(__xludf.DUMMYFUNCTION("""COMPUTED_VALUE"""),"https://drive.google.com/drive/folders/10T2cTQHqEJZqE-st6uFKPoI?usp=share_link")</f>
        <v>https://drive.google.com/drive/folders/10T2cTQHqEJZqE-st6uFKPoI?usp=share_link</v>
      </c>
      <c r="P1799" s="6" t="str">
        <f>IFERROR(__xludf.DUMMYFUNCTION("""COMPUTED_VALUE"""),"Alana Marin Barrios")</f>
        <v>Alana Marin Barrios</v>
      </c>
      <c r="Q1799" s="6" t="str">
        <f>IFERROR(__xludf.DUMMYFUNCTION("""COMPUTED_VALUE"""),"LL")</f>
        <v>LL</v>
      </c>
      <c r="R1799" s="6">
        <f>IFERROR(__xludf.DUMMYFUNCTION("""COMPUTED_VALUE"""),0.0)</f>
        <v>0</v>
      </c>
      <c r="S1799" s="6" t="str">
        <f>IFERROR(__xludf.DUMMYFUNCTION("""COMPUTED_VALUE"""),"Mackenzie Shiau")</f>
        <v>Mackenzie Shiau</v>
      </c>
      <c r="T1799" s="6" t="str">
        <f>IFERROR(__xludf.DUMMYFUNCTION("""COMPUTED_VALUE"""),"mackenzie.shiau@2hourlearning.com")</f>
        <v>mackenzie.shiau@2hourlearning.com</v>
      </c>
      <c r="U1799" s="6" t="str">
        <f>IFERROR(__xludf.DUMMYFUNCTION("""COMPUTED_VALUE"""),"K")</f>
        <v>K</v>
      </c>
      <c r="V1799" s="6" t="str">
        <f>IFERROR(__xludf.DUMMYFUNCTION("""COMPUTED_VALUE"""),"")</f>
        <v/>
      </c>
      <c r="W1799" s="6" t="str">
        <f>IFERROR(__xludf.DUMMYFUNCTION("""COMPUTED_VALUE"""),"[]")</f>
        <v>[]</v>
      </c>
      <c r="X1799" s="6" t="str">
        <f>IFERROR(__xludf.DUMMYFUNCTION("""COMPUTED_VALUE"""),"Enrolled")</f>
        <v>Enrolled</v>
      </c>
    </row>
    <row r="1800">
      <c r="A1800" s="6" t="str">
        <f>IFERROR(__xludf.DUMMYFUNCTION("""COMPUTED_VALUE"""),"017-5005")</f>
        <v>017-5005</v>
      </c>
      <c r="B1800" s="6" t="str">
        <f>IFERROR(__xludf.DUMMYFUNCTION("""COMPUTED_VALUE"""),"17")</f>
        <v>17</v>
      </c>
      <c r="C1800" s="6" t="str">
        <f>IFERROR(__xludf.DUMMYFUNCTION("""COMPUTED_VALUE"""),"5005")</f>
        <v>5005</v>
      </c>
      <c r="D1800" s="6" t="str">
        <f>IFERROR(__xludf.DUMMYFUNCTION("""COMPUTED_VALUE"""),"Mya")</f>
        <v>Mya</v>
      </c>
      <c r="E1800" s="6" t="str">
        <f>IFERROR(__xludf.DUMMYFUNCTION("""COMPUTED_VALUE"""),"")</f>
        <v/>
      </c>
      <c r="F1800" s="6" t="str">
        <f>IFERROR(__xludf.DUMMYFUNCTION("""COMPUTED_VALUE"""),"Hadnot")</f>
        <v>Hadnot</v>
      </c>
      <c r="G1800" s="6" t="str">
        <f>IFERROR(__xludf.DUMMYFUNCTION("""COMPUTED_VALUE"""),"04/04/2018")</f>
        <v>04/04/2018</v>
      </c>
      <c r="H1800" s="6" t="str">
        <f>IFERROR(__xludf.DUMMYFUNCTION("""COMPUTED_VALUE"""),"female")</f>
        <v>female</v>
      </c>
      <c r="I1800" s="6" t="str">
        <f>IFERROR(__xludf.DUMMYFUNCTION("""COMPUTED_VALUE"""),"Level 1")</f>
        <v>Level 1</v>
      </c>
      <c r="J1800" s="6" t="str">
        <f>IFERROR(__xludf.DUMMYFUNCTION("""COMPUTED_VALUE"""),"2")</f>
        <v>2</v>
      </c>
      <c r="K1800" s="6" t="str">
        <f>IFERROR(__xludf.DUMMYFUNCTION("""COMPUTED_VALUE"""),"mya.hadnot@novaacademy.school")</f>
        <v>mya.hadnot@novaacademy.school</v>
      </c>
      <c r="L1800" s="6" t="str">
        <f>IFERROR(__xludf.DUMMYFUNCTION("""COMPUTED_VALUE"""),"Nova Academy Austin")</f>
        <v>Nova Academy Austin</v>
      </c>
      <c r="M1800" s="6" t="str">
        <f>IFERROR(__xludf.DUMMYFUNCTION("""COMPUTED_VALUE"""),"")</f>
        <v/>
      </c>
      <c r="N1800" s="6" t="str">
        <f>IFERROR(__xludf.DUMMYFUNCTION("""COMPUTED_VALUE"""),"")</f>
        <v/>
      </c>
      <c r="O1800" s="87" t="str">
        <f>IFERROR(__xludf.DUMMYFUNCTION("""COMPUTED_VALUE"""),"https://drive.google.com/drive/folders/10T2cTQHqEJZqE-st6uFKPoI?usp=share_link")</f>
        <v>https://drive.google.com/drive/folders/10T2cTQHqEJZqE-st6uFKPoI?usp=share_link</v>
      </c>
      <c r="P1800" s="6" t="str">
        <f>IFERROR(__xludf.DUMMYFUNCTION("""COMPUTED_VALUE"""),"Mya Hadnot")</f>
        <v>Mya Hadnot</v>
      </c>
      <c r="Q1800" s="6" t="str">
        <f>IFERROR(__xludf.DUMMYFUNCTION("""COMPUTED_VALUE"""),"L1")</f>
        <v>L1</v>
      </c>
      <c r="R1800" s="6">
        <f>IFERROR(__xludf.DUMMYFUNCTION("""COMPUTED_VALUE"""),1.0)</f>
        <v>1</v>
      </c>
      <c r="S1800" s="6" t="str">
        <f>IFERROR(__xludf.DUMMYFUNCTION("""COMPUTED_VALUE"""),"Chris White")</f>
        <v>Chris White</v>
      </c>
      <c r="T1800" s="6" t="str">
        <f>IFERROR(__xludf.DUMMYFUNCTION("""COMPUTED_VALUE"""),"christopher.white@alpha.school")</f>
        <v>christopher.white@alpha.school</v>
      </c>
      <c r="U1800" s="6" t="str">
        <f>IFERROR(__xludf.DUMMYFUNCTION("""COMPUTED_VALUE"""),"2")</f>
        <v>2</v>
      </c>
      <c r="V1800" s="6" t="str">
        <f>IFERROR(__xludf.DUMMYFUNCTION("""COMPUTED_VALUE"""),"English")</f>
        <v>English</v>
      </c>
      <c r="W1800" s="6" t="str">
        <f>IFERROR(__xludf.DUMMYFUNCTION("""COMPUTED_VALUE"""),"[]")</f>
        <v>[]</v>
      </c>
      <c r="X1800" s="6" t="str">
        <f>IFERROR(__xludf.DUMMYFUNCTION("""COMPUTED_VALUE"""),"Enrolled")</f>
        <v>Enrolled</v>
      </c>
    </row>
    <row r="1801">
      <c r="A1801" s="6" t="str">
        <f>IFERROR(__xludf.DUMMYFUNCTION("""COMPUTED_VALUE"""),"017-5006")</f>
        <v>017-5006</v>
      </c>
      <c r="B1801" s="6" t="str">
        <f>IFERROR(__xludf.DUMMYFUNCTION("""COMPUTED_VALUE"""),"17")</f>
        <v>17</v>
      </c>
      <c r="C1801" s="6" t="str">
        <f>IFERROR(__xludf.DUMMYFUNCTION("""COMPUTED_VALUE"""),"5006")</f>
        <v>5006</v>
      </c>
      <c r="D1801" s="6" t="str">
        <f>IFERROR(__xludf.DUMMYFUNCTION("""COMPUTED_VALUE"""),"A'Leiah")</f>
        <v>A'Leiah</v>
      </c>
      <c r="E1801" s="6" t="str">
        <f>IFERROR(__xludf.DUMMYFUNCTION("""COMPUTED_VALUE"""),"")</f>
        <v/>
      </c>
      <c r="F1801" s="6" t="str">
        <f>IFERROR(__xludf.DUMMYFUNCTION("""COMPUTED_VALUE"""),"Jenkins")</f>
        <v>Jenkins</v>
      </c>
      <c r="G1801" s="6" t="str">
        <f>IFERROR(__xludf.DUMMYFUNCTION("""COMPUTED_VALUE"""),"10/08/2017")</f>
        <v>10/08/2017</v>
      </c>
      <c r="H1801" s="6" t="str">
        <f>IFERROR(__xludf.DUMMYFUNCTION("""COMPUTED_VALUE"""),"female")</f>
        <v>female</v>
      </c>
      <c r="I1801" s="6" t="str">
        <f>IFERROR(__xludf.DUMMYFUNCTION("""COMPUTED_VALUE"""),"Level 1")</f>
        <v>Level 1</v>
      </c>
      <c r="J1801" s="6" t="str">
        <f>IFERROR(__xludf.DUMMYFUNCTION("""COMPUTED_VALUE"""),"2")</f>
        <v>2</v>
      </c>
      <c r="K1801" s="6" t="str">
        <f>IFERROR(__xludf.DUMMYFUNCTION("""COMPUTED_VALUE"""),"aleiah.jenkins@novaacademy.school")</f>
        <v>aleiah.jenkins@novaacademy.school</v>
      </c>
      <c r="L1801" s="6" t="str">
        <f>IFERROR(__xludf.DUMMYFUNCTION("""COMPUTED_VALUE"""),"Nova Academy Austin")</f>
        <v>Nova Academy Austin</v>
      </c>
      <c r="M1801" s="6" t="str">
        <f>IFERROR(__xludf.DUMMYFUNCTION("""COMPUTED_VALUE"""),"")</f>
        <v/>
      </c>
      <c r="N1801" s="6" t="str">
        <f>IFERROR(__xludf.DUMMYFUNCTION("""COMPUTED_VALUE"""),"")</f>
        <v/>
      </c>
      <c r="O1801" s="87" t="str">
        <f>IFERROR(__xludf.DUMMYFUNCTION("""COMPUTED_VALUE"""),"https://drive.google.com/drive/folders/10T2cTQHqEJZqE-st6uFKPoI?usp=share_link")</f>
        <v>https://drive.google.com/drive/folders/10T2cTQHqEJZqE-st6uFKPoI?usp=share_link</v>
      </c>
      <c r="P1801" s="6" t="str">
        <f>IFERROR(__xludf.DUMMYFUNCTION("""COMPUTED_VALUE"""),"A'Leiah Jenkins")</f>
        <v>A'Leiah Jenkins</v>
      </c>
      <c r="Q1801" s="6" t="str">
        <f>IFERROR(__xludf.DUMMYFUNCTION("""COMPUTED_VALUE"""),"L1")</f>
        <v>L1</v>
      </c>
      <c r="R1801" s="6">
        <f>IFERROR(__xludf.DUMMYFUNCTION("""COMPUTED_VALUE"""),1.0)</f>
        <v>1</v>
      </c>
      <c r="S1801" s="6" t="str">
        <f>IFERROR(__xludf.DUMMYFUNCTION("""COMPUTED_VALUE"""),"Chris White")</f>
        <v>Chris White</v>
      </c>
      <c r="T1801" s="6" t="str">
        <f>IFERROR(__xludf.DUMMYFUNCTION("""COMPUTED_VALUE"""),"christopher.white@alpha.school")</f>
        <v>christopher.white@alpha.school</v>
      </c>
      <c r="U1801" s="6" t="str">
        <f>IFERROR(__xludf.DUMMYFUNCTION("""COMPUTED_VALUE"""),"2")</f>
        <v>2</v>
      </c>
      <c r="V1801" s="6" t="str">
        <f>IFERROR(__xludf.DUMMYFUNCTION("""COMPUTED_VALUE"""),"English")</f>
        <v>English</v>
      </c>
      <c r="W1801" s="6" t="str">
        <f>IFERROR(__xludf.DUMMYFUNCTION("""COMPUTED_VALUE"""),"[]")</f>
        <v>[]</v>
      </c>
      <c r="X1801" s="6" t="str">
        <f>IFERROR(__xludf.DUMMYFUNCTION("""COMPUTED_VALUE"""),"Enrolled")</f>
        <v>Enrolled</v>
      </c>
    </row>
    <row r="1802">
      <c r="A1802" s="6" t="str">
        <f>IFERROR(__xludf.DUMMYFUNCTION("""COMPUTED_VALUE"""),"017-5010")</f>
        <v>017-5010</v>
      </c>
      <c r="B1802" s="6" t="str">
        <f>IFERROR(__xludf.DUMMYFUNCTION("""COMPUTED_VALUE"""),"17")</f>
        <v>17</v>
      </c>
      <c r="C1802" s="6" t="str">
        <f>IFERROR(__xludf.DUMMYFUNCTION("""COMPUTED_VALUE"""),"5010")</f>
        <v>5010</v>
      </c>
      <c r="D1802" s="6" t="str">
        <f>IFERROR(__xludf.DUMMYFUNCTION("""COMPUTED_VALUE"""),"Justin")</f>
        <v>Justin</v>
      </c>
      <c r="E1802" s="6" t="str">
        <f>IFERROR(__xludf.DUMMYFUNCTION("""COMPUTED_VALUE"""),"Justin")</f>
        <v>Justin</v>
      </c>
      <c r="F1802" s="6" t="str">
        <f>IFERROR(__xludf.DUMMYFUNCTION("""COMPUTED_VALUE"""),"Wooley Jr.")</f>
        <v>Wooley Jr.</v>
      </c>
      <c r="G1802" s="6" t="str">
        <f>IFERROR(__xludf.DUMMYFUNCTION("""COMPUTED_VALUE"""),"07/11/2018")</f>
        <v>07/11/2018</v>
      </c>
      <c r="H1802" s="6" t="str">
        <f>IFERROR(__xludf.DUMMYFUNCTION("""COMPUTED_VALUE"""),"male")</f>
        <v>male</v>
      </c>
      <c r="I1802" s="6" t="str">
        <f>IFERROR(__xludf.DUMMYFUNCTION("""COMPUTED_VALUE"""),"Level 1")</f>
        <v>Level 1</v>
      </c>
      <c r="J1802" s="6" t="str">
        <f>IFERROR(__xludf.DUMMYFUNCTION("""COMPUTED_VALUE"""),"2")</f>
        <v>2</v>
      </c>
      <c r="K1802" s="6" t="str">
        <f>IFERROR(__xludf.DUMMYFUNCTION("""COMPUTED_VALUE"""),"justin.wooley@novaacademy.school")</f>
        <v>justin.wooley@novaacademy.school</v>
      </c>
      <c r="L1802" s="6" t="str">
        <f>IFERROR(__xludf.DUMMYFUNCTION("""COMPUTED_VALUE"""),"Nova Academy Austin")</f>
        <v>Nova Academy Austin</v>
      </c>
      <c r="M1802" s="6" t="str">
        <f>IFERROR(__xludf.DUMMYFUNCTION("""COMPUTED_VALUE"""),"")</f>
        <v/>
      </c>
      <c r="N1802" s="6" t="str">
        <f>IFERROR(__xludf.DUMMYFUNCTION("""COMPUTED_VALUE"""),"")</f>
        <v/>
      </c>
      <c r="O1802" s="87" t="str">
        <f>IFERROR(__xludf.DUMMYFUNCTION("""COMPUTED_VALUE"""),"https://drive.google.com/drive/folders/10T2cTQHqEJZqE-st6uFKPoI?usp=share_link")</f>
        <v>https://drive.google.com/drive/folders/10T2cTQHqEJZqE-st6uFKPoI?usp=share_link</v>
      </c>
      <c r="P1802" s="6" t="str">
        <f>IFERROR(__xludf.DUMMYFUNCTION("""COMPUTED_VALUE"""),"Justin Wooley Jr.")</f>
        <v>Justin Wooley Jr.</v>
      </c>
      <c r="Q1802" s="6" t="str">
        <f>IFERROR(__xludf.DUMMYFUNCTION("""COMPUTED_VALUE"""),"L1")</f>
        <v>L1</v>
      </c>
      <c r="R1802" s="6">
        <f>IFERROR(__xludf.DUMMYFUNCTION("""COMPUTED_VALUE"""),1.0)</f>
        <v>1</v>
      </c>
      <c r="S1802" s="6" t="str">
        <f>IFERROR(__xludf.DUMMYFUNCTION("""COMPUTED_VALUE"""),"Chris White")</f>
        <v>Chris White</v>
      </c>
      <c r="T1802" s="6" t="str">
        <f>IFERROR(__xludf.DUMMYFUNCTION("""COMPUTED_VALUE"""),"christopher.white@alpha.school")</f>
        <v>christopher.white@alpha.school</v>
      </c>
      <c r="U1802" s="6" t="str">
        <f>IFERROR(__xludf.DUMMYFUNCTION("""COMPUTED_VALUE"""),"2")</f>
        <v>2</v>
      </c>
      <c r="V1802" s="6" t="str">
        <f>IFERROR(__xludf.DUMMYFUNCTION("""COMPUTED_VALUE"""),"English")</f>
        <v>English</v>
      </c>
      <c r="W1802" s="6" t="str">
        <f>IFERROR(__xludf.DUMMYFUNCTION("""COMPUTED_VALUE"""),"[]")</f>
        <v>[]</v>
      </c>
      <c r="X1802" s="6" t="str">
        <f>IFERROR(__xludf.DUMMYFUNCTION("""COMPUTED_VALUE"""),"Enrolled")</f>
        <v>Enrolled</v>
      </c>
    </row>
    <row r="1803">
      <c r="A1803" s="6" t="str">
        <f>IFERROR(__xludf.DUMMYFUNCTION("""COMPUTED_VALUE"""),"017-5014")</f>
        <v>017-5014</v>
      </c>
      <c r="B1803" s="6" t="str">
        <f>IFERROR(__xludf.DUMMYFUNCTION("""COMPUTED_VALUE"""),"17")</f>
        <v>17</v>
      </c>
      <c r="C1803" s="6" t="str">
        <f>IFERROR(__xludf.DUMMYFUNCTION("""COMPUTED_VALUE"""),"5014")</f>
        <v>5014</v>
      </c>
      <c r="D1803" s="6" t="str">
        <f>IFERROR(__xludf.DUMMYFUNCTION("""COMPUTED_VALUE"""),"Faustina")</f>
        <v>Faustina</v>
      </c>
      <c r="E1803" s="6" t="str">
        <f>IFERROR(__xludf.DUMMYFUNCTION("""COMPUTED_VALUE"""),"Faustina")</f>
        <v>Faustina</v>
      </c>
      <c r="F1803" s="6" t="str">
        <f>IFERROR(__xludf.DUMMYFUNCTION("""COMPUTED_VALUE"""),"Ngambo-Kialengele")</f>
        <v>Ngambo-Kialengele</v>
      </c>
      <c r="G1803" s="6" t="str">
        <f>IFERROR(__xludf.DUMMYFUNCTION("""COMPUTED_VALUE"""),"12/15/2017")</f>
        <v>12/15/2017</v>
      </c>
      <c r="H1803" s="6" t="str">
        <f>IFERROR(__xludf.DUMMYFUNCTION("""COMPUTED_VALUE"""),"female")</f>
        <v>female</v>
      </c>
      <c r="I1803" s="6" t="str">
        <f>IFERROR(__xludf.DUMMYFUNCTION("""COMPUTED_VALUE"""),"Level 1")</f>
        <v>Level 1</v>
      </c>
      <c r="J1803" s="6" t="str">
        <f>IFERROR(__xludf.DUMMYFUNCTION("""COMPUTED_VALUE"""),"2")</f>
        <v>2</v>
      </c>
      <c r="K1803" s="6" t="str">
        <f>IFERROR(__xludf.DUMMYFUNCTION("""COMPUTED_VALUE"""),"faustina.ngambo-kialengele@novaacademy.school")</f>
        <v>faustina.ngambo-kialengele@novaacademy.school</v>
      </c>
      <c r="L1803" s="6" t="str">
        <f>IFERROR(__xludf.DUMMYFUNCTION("""COMPUTED_VALUE"""),"Nova Academy Austin")</f>
        <v>Nova Academy Austin</v>
      </c>
      <c r="M1803" s="6" t="str">
        <f>IFERROR(__xludf.DUMMYFUNCTION("""COMPUTED_VALUE"""),"")</f>
        <v/>
      </c>
      <c r="N1803" s="6" t="str">
        <f>IFERROR(__xludf.DUMMYFUNCTION("""COMPUTED_VALUE"""),"")</f>
        <v/>
      </c>
      <c r="O1803" s="87" t="str">
        <f>IFERROR(__xludf.DUMMYFUNCTION("""COMPUTED_VALUE"""),"https://drive.google.com/drive/folders/10T2cTQHqEJZqE-st6uFKPoI?usp=share_link")</f>
        <v>https://drive.google.com/drive/folders/10T2cTQHqEJZqE-st6uFKPoI?usp=share_link</v>
      </c>
      <c r="P1803" s="6" t="str">
        <f>IFERROR(__xludf.DUMMYFUNCTION("""COMPUTED_VALUE"""),"Faustina Ngambo-Kialengele")</f>
        <v>Faustina Ngambo-Kialengele</v>
      </c>
      <c r="Q1803" s="6" t="str">
        <f>IFERROR(__xludf.DUMMYFUNCTION("""COMPUTED_VALUE"""),"L1")</f>
        <v>L1</v>
      </c>
      <c r="R1803" s="6">
        <f>IFERROR(__xludf.DUMMYFUNCTION("""COMPUTED_VALUE"""),1.0)</f>
        <v>1</v>
      </c>
      <c r="S1803" s="6" t="str">
        <f>IFERROR(__xludf.DUMMYFUNCTION("""COMPUTED_VALUE"""),"Mackenzie Shiau")</f>
        <v>Mackenzie Shiau</v>
      </c>
      <c r="T1803" s="6" t="str">
        <f>IFERROR(__xludf.DUMMYFUNCTION("""COMPUTED_VALUE"""),"mackenzie.shiau@2hourlearning.com")</f>
        <v>mackenzie.shiau@2hourlearning.com</v>
      </c>
      <c r="U1803" s="6" t="str">
        <f>IFERROR(__xludf.DUMMYFUNCTION("""COMPUTED_VALUE"""),"2")</f>
        <v>2</v>
      </c>
      <c r="V1803" s="6" t="str">
        <f>IFERROR(__xludf.DUMMYFUNCTION("""COMPUTED_VALUE"""),"English")</f>
        <v>English</v>
      </c>
      <c r="W1803" s="6" t="str">
        <f>IFERROR(__xludf.DUMMYFUNCTION("""COMPUTED_VALUE"""),"[]")</f>
        <v>[]</v>
      </c>
      <c r="X1803" s="6" t="str">
        <f>IFERROR(__xludf.DUMMYFUNCTION("""COMPUTED_VALUE"""),"Enrolled")</f>
        <v>Enrolled</v>
      </c>
    </row>
    <row r="1804">
      <c r="A1804" s="6" t="str">
        <f>IFERROR(__xludf.DUMMYFUNCTION("""COMPUTED_VALUE"""),"017-5015")</f>
        <v>017-5015</v>
      </c>
      <c r="B1804" s="6" t="str">
        <f>IFERROR(__xludf.DUMMYFUNCTION("""COMPUTED_VALUE"""),"17")</f>
        <v>17</v>
      </c>
      <c r="C1804" s="6" t="str">
        <f>IFERROR(__xludf.DUMMYFUNCTION("""COMPUTED_VALUE"""),"5015")</f>
        <v>5015</v>
      </c>
      <c r="D1804" s="6" t="str">
        <f>IFERROR(__xludf.DUMMYFUNCTION("""COMPUTED_VALUE"""),"Kamila")</f>
        <v>Kamila</v>
      </c>
      <c r="E1804" s="6" t="str">
        <f>IFERROR(__xludf.DUMMYFUNCTION("""COMPUTED_VALUE"""),"Kamila")</f>
        <v>Kamila</v>
      </c>
      <c r="F1804" s="6" t="str">
        <f>IFERROR(__xludf.DUMMYFUNCTION("""COMPUTED_VALUE"""),"Gonzalez-Romero")</f>
        <v>Gonzalez-Romero</v>
      </c>
      <c r="G1804" s="6" t="str">
        <f>IFERROR(__xludf.DUMMYFUNCTION("""COMPUTED_VALUE"""),"05/19/2017")</f>
        <v>05/19/2017</v>
      </c>
      <c r="H1804" s="6" t="str">
        <f>IFERROR(__xludf.DUMMYFUNCTION("""COMPUTED_VALUE"""),"female")</f>
        <v>female</v>
      </c>
      <c r="I1804" s="6" t="str">
        <f>IFERROR(__xludf.DUMMYFUNCTION("""COMPUTED_VALUE"""),"Level 1")</f>
        <v>Level 1</v>
      </c>
      <c r="J1804" s="6" t="str">
        <f>IFERROR(__xludf.DUMMYFUNCTION("""COMPUTED_VALUE"""),"3")</f>
        <v>3</v>
      </c>
      <c r="K1804" s="6" t="str">
        <f>IFERROR(__xludf.DUMMYFUNCTION("""COMPUTED_VALUE"""),"kamila.gonzalez-romero@novaacademy.school")</f>
        <v>kamila.gonzalez-romero@novaacademy.school</v>
      </c>
      <c r="L1804" s="6" t="str">
        <f>IFERROR(__xludf.DUMMYFUNCTION("""COMPUTED_VALUE"""),"Nova Academy Austin")</f>
        <v>Nova Academy Austin</v>
      </c>
      <c r="M1804" s="6" t="str">
        <f>IFERROR(__xludf.DUMMYFUNCTION("""COMPUTED_VALUE"""),"")</f>
        <v/>
      </c>
      <c r="N1804" s="6" t="str">
        <f>IFERROR(__xludf.DUMMYFUNCTION("""COMPUTED_VALUE"""),"")</f>
        <v/>
      </c>
      <c r="O1804" s="87" t="str">
        <f>IFERROR(__xludf.DUMMYFUNCTION("""COMPUTED_VALUE"""),"https://drive.google.com/drive/folders/10T2cTQHqEJZqE-st6uFKPoI?usp=share_link")</f>
        <v>https://drive.google.com/drive/folders/10T2cTQHqEJZqE-st6uFKPoI?usp=share_link</v>
      </c>
      <c r="P1804" s="6" t="str">
        <f>IFERROR(__xludf.DUMMYFUNCTION("""COMPUTED_VALUE"""),"Kamila Gonzalez-Romero")</f>
        <v>Kamila Gonzalez-Romero</v>
      </c>
      <c r="Q1804" s="6" t="str">
        <f>IFERROR(__xludf.DUMMYFUNCTION("""COMPUTED_VALUE"""),"L1")</f>
        <v>L1</v>
      </c>
      <c r="R1804" s="6">
        <f>IFERROR(__xludf.DUMMYFUNCTION("""COMPUTED_VALUE"""),1.0)</f>
        <v>1</v>
      </c>
      <c r="S1804" s="6" t="str">
        <f>IFERROR(__xludf.DUMMYFUNCTION("""COMPUTED_VALUE"""),"Cole Ransdell")</f>
        <v>Cole Ransdell</v>
      </c>
      <c r="T1804" s="6" t="str">
        <f>IFERROR(__xludf.DUMMYFUNCTION("""COMPUTED_VALUE"""),"cole.ransdell@alpha.school")</f>
        <v>cole.ransdell@alpha.school</v>
      </c>
      <c r="U1804" s="6" t="str">
        <f>IFERROR(__xludf.DUMMYFUNCTION("""COMPUTED_VALUE"""),"3")</f>
        <v>3</v>
      </c>
      <c r="V1804" s="6" t="str">
        <f>IFERROR(__xludf.DUMMYFUNCTION("""COMPUTED_VALUE"""),"English")</f>
        <v>English</v>
      </c>
      <c r="W1804" s="6" t="str">
        <f>IFERROR(__xludf.DUMMYFUNCTION("""COMPUTED_VALUE"""),"[]")</f>
        <v>[]</v>
      </c>
      <c r="X1804" s="6" t="str">
        <f>IFERROR(__xludf.DUMMYFUNCTION("""COMPUTED_VALUE"""),"Enrolled")</f>
        <v>Enrolled</v>
      </c>
    </row>
    <row r="1805">
      <c r="A1805" s="6" t="str">
        <f>IFERROR(__xludf.DUMMYFUNCTION("""COMPUTED_VALUE"""),"017-5021")</f>
        <v>017-5021</v>
      </c>
      <c r="B1805" s="6" t="str">
        <f>IFERROR(__xludf.DUMMYFUNCTION("""COMPUTED_VALUE"""),"17")</f>
        <v>17</v>
      </c>
      <c r="C1805" s="6" t="str">
        <f>IFERROR(__xludf.DUMMYFUNCTION("""COMPUTED_VALUE"""),"5021")</f>
        <v>5021</v>
      </c>
      <c r="D1805" s="6" t="str">
        <f>IFERROR(__xludf.DUMMYFUNCTION("""COMPUTED_VALUE"""),"Victoria")</f>
        <v>Victoria</v>
      </c>
      <c r="E1805" s="6" t="str">
        <f>IFERROR(__xludf.DUMMYFUNCTION("""COMPUTED_VALUE"""),"Victoria")</f>
        <v>Victoria</v>
      </c>
      <c r="F1805" s="6" t="str">
        <f>IFERROR(__xludf.DUMMYFUNCTION("""COMPUTED_VALUE"""),"Marin Barrios")</f>
        <v>Marin Barrios</v>
      </c>
      <c r="G1805" s="6" t="str">
        <f>IFERROR(__xludf.DUMMYFUNCTION("""COMPUTED_VALUE"""),"05/23/2017")</f>
        <v>05/23/2017</v>
      </c>
      <c r="H1805" s="6" t="str">
        <f>IFERROR(__xludf.DUMMYFUNCTION("""COMPUTED_VALUE"""),"female")</f>
        <v>female</v>
      </c>
      <c r="I1805" s="6" t="str">
        <f>IFERROR(__xludf.DUMMYFUNCTION("""COMPUTED_VALUE"""),"Level 1")</f>
        <v>Level 1</v>
      </c>
      <c r="J1805" s="6" t="str">
        <f>IFERROR(__xludf.DUMMYFUNCTION("""COMPUTED_VALUE"""),"3")</f>
        <v>3</v>
      </c>
      <c r="K1805" s="6" t="str">
        <f>IFERROR(__xludf.DUMMYFUNCTION("""COMPUTED_VALUE"""),"victoria.marin.barrios@novaacademy.school")</f>
        <v>victoria.marin.barrios@novaacademy.school</v>
      </c>
      <c r="L1805" s="6" t="str">
        <f>IFERROR(__xludf.DUMMYFUNCTION("""COMPUTED_VALUE"""),"Nova Academy Austin")</f>
        <v>Nova Academy Austin</v>
      </c>
      <c r="M1805" s="6" t="str">
        <f>IFERROR(__xludf.DUMMYFUNCTION("""COMPUTED_VALUE"""),"")</f>
        <v/>
      </c>
      <c r="N1805" s="6" t="str">
        <f>IFERROR(__xludf.DUMMYFUNCTION("""COMPUTED_VALUE"""),"")</f>
        <v/>
      </c>
      <c r="O1805" s="87" t="str">
        <f>IFERROR(__xludf.DUMMYFUNCTION("""COMPUTED_VALUE"""),"https://drive.google.com/drive/folders/10T2cTQHqEJZqE-st6uFKPoI?usp=share_link")</f>
        <v>https://drive.google.com/drive/folders/10T2cTQHqEJZqE-st6uFKPoI?usp=share_link</v>
      </c>
      <c r="P1805" s="6" t="str">
        <f>IFERROR(__xludf.DUMMYFUNCTION("""COMPUTED_VALUE"""),"Victoria Marin Barrios")</f>
        <v>Victoria Marin Barrios</v>
      </c>
      <c r="Q1805" s="6" t="str">
        <f>IFERROR(__xludf.DUMMYFUNCTION("""COMPUTED_VALUE"""),"L1")</f>
        <v>L1</v>
      </c>
      <c r="R1805" s="6">
        <f>IFERROR(__xludf.DUMMYFUNCTION("""COMPUTED_VALUE"""),1.0)</f>
        <v>1</v>
      </c>
      <c r="S1805" s="6" t="str">
        <f>IFERROR(__xludf.DUMMYFUNCTION("""COMPUTED_VALUE"""),"Cole Ransdell")</f>
        <v>Cole Ransdell</v>
      </c>
      <c r="T1805" s="6" t="str">
        <f>IFERROR(__xludf.DUMMYFUNCTION("""COMPUTED_VALUE"""),"cole.ransdell@alpha.school")</f>
        <v>cole.ransdell@alpha.school</v>
      </c>
      <c r="U1805" s="6" t="str">
        <f>IFERROR(__xludf.DUMMYFUNCTION("""COMPUTED_VALUE"""),"3")</f>
        <v>3</v>
      </c>
      <c r="V1805" s="6" t="str">
        <f>IFERROR(__xludf.DUMMYFUNCTION("""COMPUTED_VALUE"""),"English")</f>
        <v>English</v>
      </c>
      <c r="W1805" s="6" t="str">
        <f>IFERROR(__xludf.DUMMYFUNCTION("""COMPUTED_VALUE"""),"[]")</f>
        <v>[]</v>
      </c>
      <c r="X1805" s="6" t="str">
        <f>IFERROR(__xludf.DUMMYFUNCTION("""COMPUTED_VALUE"""),"Enrolled")</f>
        <v>Enrolled</v>
      </c>
    </row>
    <row r="1806">
      <c r="A1806" s="6" t="str">
        <f>IFERROR(__xludf.DUMMYFUNCTION("""COMPUTED_VALUE"""),"017-5022")</f>
        <v>017-5022</v>
      </c>
      <c r="B1806" s="6" t="str">
        <f>IFERROR(__xludf.DUMMYFUNCTION("""COMPUTED_VALUE"""),"17")</f>
        <v>17</v>
      </c>
      <c r="C1806" s="6" t="str">
        <f>IFERROR(__xludf.DUMMYFUNCTION("""COMPUTED_VALUE"""),"5022")</f>
        <v>5022</v>
      </c>
      <c r="D1806" s="6" t="str">
        <f>IFERROR(__xludf.DUMMYFUNCTION("""COMPUTED_VALUE"""),"Angel")</f>
        <v>Angel</v>
      </c>
      <c r="E1806" s="6" t="str">
        <f>IFERROR(__xludf.DUMMYFUNCTION("""COMPUTED_VALUE"""),"Angel")</f>
        <v>Angel</v>
      </c>
      <c r="F1806" s="6" t="str">
        <f>IFERROR(__xludf.DUMMYFUNCTION("""COMPUTED_VALUE"""),"Gonzalez-Romero")</f>
        <v>Gonzalez-Romero</v>
      </c>
      <c r="G1806" s="6" t="str">
        <f>IFERROR(__xludf.DUMMYFUNCTION("""COMPUTED_VALUE"""),"11/02/2015")</f>
        <v>11/02/2015</v>
      </c>
      <c r="H1806" s="6" t="str">
        <f>IFERROR(__xludf.DUMMYFUNCTION("""COMPUTED_VALUE"""),"male")</f>
        <v>male</v>
      </c>
      <c r="I1806" s="6" t="str">
        <f>IFERROR(__xludf.DUMMYFUNCTION("""COMPUTED_VALUE"""),"Level 2")</f>
        <v>Level 2</v>
      </c>
      <c r="J1806" s="6" t="str">
        <f>IFERROR(__xludf.DUMMYFUNCTION("""COMPUTED_VALUE"""),"4")</f>
        <v>4</v>
      </c>
      <c r="K1806" s="6" t="str">
        <f>IFERROR(__xludf.DUMMYFUNCTION("""COMPUTED_VALUE"""),"angel.gonzalez-romero@novaacademy.school")</f>
        <v>angel.gonzalez-romero@novaacademy.school</v>
      </c>
      <c r="L1806" s="6" t="str">
        <f>IFERROR(__xludf.DUMMYFUNCTION("""COMPUTED_VALUE"""),"Nova Academy Austin")</f>
        <v>Nova Academy Austin</v>
      </c>
      <c r="M1806" s="6" t="str">
        <f>IFERROR(__xludf.DUMMYFUNCTION("""COMPUTED_VALUE"""),"")</f>
        <v/>
      </c>
      <c r="N1806" s="6" t="str">
        <f>IFERROR(__xludf.DUMMYFUNCTION("""COMPUTED_VALUE"""),"")</f>
        <v/>
      </c>
      <c r="O1806" s="87" t="str">
        <f>IFERROR(__xludf.DUMMYFUNCTION("""COMPUTED_VALUE"""),"https://drive.google.com/drive/folders/10T2cTQHqEJZqE-st6uFKPoI?usp=share_link")</f>
        <v>https://drive.google.com/drive/folders/10T2cTQHqEJZqE-st6uFKPoI?usp=share_link</v>
      </c>
      <c r="P1806" s="6" t="str">
        <f>IFERROR(__xludf.DUMMYFUNCTION("""COMPUTED_VALUE"""),"Angel Gonzalez-Romero")</f>
        <v>Angel Gonzalez-Romero</v>
      </c>
      <c r="Q1806" s="6" t="str">
        <f>IFERROR(__xludf.DUMMYFUNCTION("""COMPUTED_VALUE"""),"L2")</f>
        <v>L2</v>
      </c>
      <c r="R1806" s="6">
        <f>IFERROR(__xludf.DUMMYFUNCTION("""COMPUTED_VALUE"""),2.0)</f>
        <v>2</v>
      </c>
      <c r="S1806" s="6" t="str">
        <f>IFERROR(__xludf.DUMMYFUNCTION("""COMPUTED_VALUE"""),"Cole Ransdell")</f>
        <v>Cole Ransdell</v>
      </c>
      <c r="T1806" s="6" t="str">
        <f>IFERROR(__xludf.DUMMYFUNCTION("""COMPUTED_VALUE"""),"cole.ransdell@alpha.school")</f>
        <v>cole.ransdell@alpha.school</v>
      </c>
      <c r="U1806" s="6" t="str">
        <f>IFERROR(__xludf.DUMMYFUNCTION("""COMPUTED_VALUE"""),"4")</f>
        <v>4</v>
      </c>
      <c r="V1806" s="6" t="str">
        <f>IFERROR(__xludf.DUMMYFUNCTION("""COMPUTED_VALUE"""),"English")</f>
        <v>English</v>
      </c>
      <c r="W1806" s="6" t="str">
        <f>IFERROR(__xludf.DUMMYFUNCTION("""COMPUTED_VALUE"""),"[]")</f>
        <v>[]</v>
      </c>
      <c r="X1806" s="6" t="str">
        <f>IFERROR(__xludf.DUMMYFUNCTION("""COMPUTED_VALUE"""),"Enrolled")</f>
        <v>Enrolled</v>
      </c>
    </row>
    <row r="1807">
      <c r="A1807" s="6" t="str">
        <f>IFERROR(__xludf.DUMMYFUNCTION("""COMPUTED_VALUE"""),"017-5027")</f>
        <v>017-5027</v>
      </c>
      <c r="B1807" s="6" t="str">
        <f>IFERROR(__xludf.DUMMYFUNCTION("""COMPUTED_VALUE"""),"17")</f>
        <v>17</v>
      </c>
      <c r="C1807" s="6" t="str">
        <f>IFERROR(__xludf.DUMMYFUNCTION("""COMPUTED_VALUE"""),"5027")</f>
        <v>5027</v>
      </c>
      <c r="D1807" s="6" t="str">
        <f>IFERROR(__xludf.DUMMYFUNCTION("""COMPUTED_VALUE"""),"Jarius")</f>
        <v>Jarius</v>
      </c>
      <c r="E1807" s="6" t="str">
        <f>IFERROR(__xludf.DUMMYFUNCTION("""COMPUTED_VALUE"""),"Jarius")</f>
        <v>Jarius</v>
      </c>
      <c r="F1807" s="6" t="str">
        <f>IFERROR(__xludf.DUMMYFUNCTION("""COMPUTED_VALUE"""),"Collins")</f>
        <v>Collins</v>
      </c>
      <c r="G1807" s="6" t="str">
        <f>IFERROR(__xludf.DUMMYFUNCTION("""COMPUTED_VALUE"""),"06/29/2015")</f>
        <v>06/29/2015</v>
      </c>
      <c r="H1807" s="6" t="str">
        <f>IFERROR(__xludf.DUMMYFUNCTION("""COMPUTED_VALUE"""),"male")</f>
        <v>male</v>
      </c>
      <c r="I1807" s="6" t="str">
        <f>IFERROR(__xludf.DUMMYFUNCTION("""COMPUTED_VALUE"""),"Level 2")</f>
        <v>Level 2</v>
      </c>
      <c r="J1807" s="6" t="str">
        <f>IFERROR(__xludf.DUMMYFUNCTION("""COMPUTED_VALUE"""),"5")</f>
        <v>5</v>
      </c>
      <c r="K1807" s="6" t="str">
        <f>IFERROR(__xludf.DUMMYFUNCTION("""COMPUTED_VALUE"""),"jarius.collins@novaacademy.school")</f>
        <v>jarius.collins@novaacademy.school</v>
      </c>
      <c r="L1807" s="6" t="str">
        <f>IFERROR(__xludf.DUMMYFUNCTION("""COMPUTED_VALUE"""),"Nova Academy Austin")</f>
        <v>Nova Academy Austin</v>
      </c>
      <c r="M1807" s="6" t="str">
        <f>IFERROR(__xludf.DUMMYFUNCTION("""COMPUTED_VALUE"""),"")</f>
        <v/>
      </c>
      <c r="N1807" s="6" t="str">
        <f>IFERROR(__xludf.DUMMYFUNCTION("""COMPUTED_VALUE"""),"")</f>
        <v/>
      </c>
      <c r="O1807" s="87" t="str">
        <f>IFERROR(__xludf.DUMMYFUNCTION("""COMPUTED_VALUE"""),"https://drive.google.com/drive/folders/10T2cTQHqEJZqE-st6uFKPoI?usp=share_link")</f>
        <v>https://drive.google.com/drive/folders/10T2cTQHqEJZqE-st6uFKPoI?usp=share_link</v>
      </c>
      <c r="P1807" s="6" t="str">
        <f>IFERROR(__xludf.DUMMYFUNCTION("""COMPUTED_VALUE"""),"Jarius Collins")</f>
        <v>Jarius Collins</v>
      </c>
      <c r="Q1807" s="6" t="str">
        <f>IFERROR(__xludf.DUMMYFUNCTION("""COMPUTED_VALUE"""),"L2")</f>
        <v>L2</v>
      </c>
      <c r="R1807" s="6">
        <f>IFERROR(__xludf.DUMMYFUNCTION("""COMPUTED_VALUE"""),2.0)</f>
        <v>2</v>
      </c>
      <c r="S1807" s="6" t="str">
        <f>IFERROR(__xludf.DUMMYFUNCTION("""COMPUTED_VALUE"""),"Rob Eakin")</f>
        <v>Rob Eakin</v>
      </c>
      <c r="T1807" s="6" t="str">
        <f>IFERROR(__xludf.DUMMYFUNCTION("""COMPUTED_VALUE"""),"robert.eakin@alpha.school")</f>
        <v>robert.eakin@alpha.school</v>
      </c>
      <c r="U1807" s="6" t="str">
        <f>IFERROR(__xludf.DUMMYFUNCTION("""COMPUTED_VALUE"""),"5")</f>
        <v>5</v>
      </c>
      <c r="V1807" s="6" t="str">
        <f>IFERROR(__xludf.DUMMYFUNCTION("""COMPUTED_VALUE"""),"English")</f>
        <v>English</v>
      </c>
      <c r="W1807" s="6" t="str">
        <f>IFERROR(__xludf.DUMMYFUNCTION("""COMPUTED_VALUE"""),"[]")</f>
        <v>[]</v>
      </c>
      <c r="X1807" s="6" t="str">
        <f>IFERROR(__xludf.DUMMYFUNCTION("""COMPUTED_VALUE"""),"Enrolled")</f>
        <v>Enrolled</v>
      </c>
    </row>
    <row r="1808">
      <c r="A1808" s="6" t="str">
        <f>IFERROR(__xludf.DUMMYFUNCTION("""COMPUTED_VALUE"""),"017-5035")</f>
        <v>017-5035</v>
      </c>
      <c r="B1808" s="6" t="str">
        <f>IFERROR(__xludf.DUMMYFUNCTION("""COMPUTED_VALUE"""),"17")</f>
        <v>17</v>
      </c>
      <c r="C1808" s="6" t="str">
        <f>IFERROR(__xludf.DUMMYFUNCTION("""COMPUTED_VALUE"""),"5035")</f>
        <v>5035</v>
      </c>
      <c r="D1808" s="6" t="str">
        <f>IFERROR(__xludf.DUMMYFUNCTION("""COMPUTED_VALUE"""),"Jalayah")</f>
        <v>Jalayah</v>
      </c>
      <c r="E1808" s="6" t="str">
        <f>IFERROR(__xludf.DUMMYFUNCTION("""COMPUTED_VALUE"""),"Jalayah")</f>
        <v>Jalayah</v>
      </c>
      <c r="F1808" s="6" t="str">
        <f>IFERROR(__xludf.DUMMYFUNCTION("""COMPUTED_VALUE"""),"Washington")</f>
        <v>Washington</v>
      </c>
      <c r="G1808" s="6" t="str">
        <f>IFERROR(__xludf.DUMMYFUNCTION("""COMPUTED_VALUE"""),"05/29/2014")</f>
        <v>05/29/2014</v>
      </c>
      <c r="H1808" s="6" t="str">
        <f>IFERROR(__xludf.DUMMYFUNCTION("""COMPUTED_VALUE"""),"female")</f>
        <v>female</v>
      </c>
      <c r="I1808" s="6" t="str">
        <f>IFERROR(__xludf.DUMMYFUNCTION("""COMPUTED_VALUE"""),"Middle School")</f>
        <v>Middle School</v>
      </c>
      <c r="J1808" s="6" t="str">
        <f>IFERROR(__xludf.DUMMYFUNCTION("""COMPUTED_VALUE"""),"6")</f>
        <v>6</v>
      </c>
      <c r="K1808" s="6" t="str">
        <f>IFERROR(__xludf.DUMMYFUNCTION("""COMPUTED_VALUE"""),"jalayah.washington@novaacademy.school")</f>
        <v>jalayah.washington@novaacademy.school</v>
      </c>
      <c r="L1808" s="6" t="str">
        <f>IFERROR(__xludf.DUMMYFUNCTION("""COMPUTED_VALUE"""),"Nova Academy Austin")</f>
        <v>Nova Academy Austin</v>
      </c>
      <c r="M1808" s="6" t="str">
        <f>IFERROR(__xludf.DUMMYFUNCTION("""COMPUTED_VALUE"""),"")</f>
        <v/>
      </c>
      <c r="N1808" s="6" t="str">
        <f>IFERROR(__xludf.DUMMYFUNCTION("""COMPUTED_VALUE"""),"")</f>
        <v/>
      </c>
      <c r="O1808" s="87" t="str">
        <f>IFERROR(__xludf.DUMMYFUNCTION("""COMPUTED_VALUE"""),"https://drive.google.com/drive/folders/10T2cTQHqEJZqE-st6uFKPoI?usp=share_link")</f>
        <v>https://drive.google.com/drive/folders/10T2cTQHqEJZqE-st6uFKPoI?usp=share_link</v>
      </c>
      <c r="P1808" s="6" t="str">
        <f>IFERROR(__xludf.DUMMYFUNCTION("""COMPUTED_VALUE"""),"Jalayah Washington")</f>
        <v>Jalayah Washington</v>
      </c>
      <c r="Q1808" s="6" t="str">
        <f>IFERROR(__xludf.DUMMYFUNCTION("""COMPUTED_VALUE"""),"MS")</f>
        <v>MS</v>
      </c>
      <c r="R1808" s="6">
        <f>IFERROR(__xludf.DUMMYFUNCTION("""COMPUTED_VALUE"""),0.0)</f>
        <v>0</v>
      </c>
      <c r="S1808" s="6" t="str">
        <f>IFERROR(__xludf.DUMMYFUNCTION("""COMPUTED_VALUE"""),"Rob Eakin")</f>
        <v>Rob Eakin</v>
      </c>
      <c r="T1808" s="6" t="str">
        <f>IFERROR(__xludf.DUMMYFUNCTION("""COMPUTED_VALUE"""),"robert.eakin@alpha.school")</f>
        <v>robert.eakin@alpha.school</v>
      </c>
      <c r="U1808" s="6" t="str">
        <f>IFERROR(__xludf.DUMMYFUNCTION("""COMPUTED_VALUE"""),"6")</f>
        <v>6</v>
      </c>
      <c r="V1808" s="6" t="str">
        <f>IFERROR(__xludf.DUMMYFUNCTION("""COMPUTED_VALUE"""),"English")</f>
        <v>English</v>
      </c>
      <c r="W1808" s="6" t="str">
        <f>IFERROR(__xludf.DUMMYFUNCTION("""COMPUTED_VALUE"""),"[]")</f>
        <v>[]</v>
      </c>
      <c r="X1808" s="6" t="str">
        <f>IFERROR(__xludf.DUMMYFUNCTION("""COMPUTED_VALUE"""),"Enrolled")</f>
        <v>Enrolled</v>
      </c>
    </row>
    <row r="1809">
      <c r="A1809" s="6" t="str">
        <f>IFERROR(__xludf.DUMMYFUNCTION("""COMPUTED_VALUE"""),"017-5036")</f>
        <v>017-5036</v>
      </c>
      <c r="B1809" s="6" t="str">
        <f>IFERROR(__xludf.DUMMYFUNCTION("""COMPUTED_VALUE"""),"17")</f>
        <v>17</v>
      </c>
      <c r="C1809" s="6" t="str">
        <f>IFERROR(__xludf.DUMMYFUNCTION("""COMPUTED_VALUE"""),"5036")</f>
        <v>5036</v>
      </c>
      <c r="D1809" s="6" t="str">
        <f>IFERROR(__xludf.DUMMYFUNCTION("""COMPUTED_VALUE"""),"Leoxinelys")</f>
        <v>Leoxinelys</v>
      </c>
      <c r="E1809" s="6" t="str">
        <f>IFERROR(__xludf.DUMMYFUNCTION("""COMPUTED_VALUE"""),"Leoxinelys")</f>
        <v>Leoxinelys</v>
      </c>
      <c r="F1809" s="6" t="str">
        <f>IFERROR(__xludf.DUMMYFUNCTION("""COMPUTED_VALUE"""),"Campos-Ferrebus")</f>
        <v>Campos-Ferrebus</v>
      </c>
      <c r="G1809" s="6" t="str">
        <f>IFERROR(__xludf.DUMMYFUNCTION("""COMPUTED_VALUE"""),"01/30/2014")</f>
        <v>01/30/2014</v>
      </c>
      <c r="H1809" s="6" t="str">
        <f>IFERROR(__xludf.DUMMYFUNCTION("""COMPUTED_VALUE"""),"male")</f>
        <v>male</v>
      </c>
      <c r="I1809" s="6" t="str">
        <f>IFERROR(__xludf.DUMMYFUNCTION("""COMPUTED_VALUE"""),"Middle School")</f>
        <v>Middle School</v>
      </c>
      <c r="J1809" s="6" t="str">
        <f>IFERROR(__xludf.DUMMYFUNCTION("""COMPUTED_VALUE"""),"6")</f>
        <v>6</v>
      </c>
      <c r="K1809" s="6" t="str">
        <f>IFERROR(__xludf.DUMMYFUNCTION("""COMPUTED_VALUE"""),"leoxinelys.campos-ferrebus@novaacademy.school")</f>
        <v>leoxinelys.campos-ferrebus@novaacademy.school</v>
      </c>
      <c r="L1809" s="6" t="str">
        <f>IFERROR(__xludf.DUMMYFUNCTION("""COMPUTED_VALUE"""),"Nova Academy Austin")</f>
        <v>Nova Academy Austin</v>
      </c>
      <c r="M1809" s="6" t="str">
        <f>IFERROR(__xludf.DUMMYFUNCTION("""COMPUTED_VALUE"""),"")</f>
        <v/>
      </c>
      <c r="N1809" s="6" t="str">
        <f>IFERROR(__xludf.DUMMYFUNCTION("""COMPUTED_VALUE"""),"")</f>
        <v/>
      </c>
      <c r="O1809" s="87" t="str">
        <f>IFERROR(__xludf.DUMMYFUNCTION("""COMPUTED_VALUE"""),"https://drive.google.com/drive/folders/10T2cTQHqEJZqE-st6uFKPoI?usp=share_link")</f>
        <v>https://drive.google.com/drive/folders/10T2cTQHqEJZqE-st6uFKPoI?usp=share_link</v>
      </c>
      <c r="P1809" s="6" t="str">
        <f>IFERROR(__xludf.DUMMYFUNCTION("""COMPUTED_VALUE"""),"Leoxinelys Campos-Ferrebus")</f>
        <v>Leoxinelys Campos-Ferrebus</v>
      </c>
      <c r="Q1809" s="6" t="str">
        <f>IFERROR(__xludf.DUMMYFUNCTION("""COMPUTED_VALUE"""),"MS")</f>
        <v>MS</v>
      </c>
      <c r="R1809" s="6">
        <f>IFERROR(__xludf.DUMMYFUNCTION("""COMPUTED_VALUE"""),0.0)</f>
        <v>0</v>
      </c>
      <c r="S1809" s="6" t="str">
        <f>IFERROR(__xludf.DUMMYFUNCTION("""COMPUTED_VALUE"""),"Rob Eakin")</f>
        <v>Rob Eakin</v>
      </c>
      <c r="T1809" s="6" t="str">
        <f>IFERROR(__xludf.DUMMYFUNCTION("""COMPUTED_VALUE"""),"robert.eakin@alpha.school")</f>
        <v>robert.eakin@alpha.school</v>
      </c>
      <c r="U1809" s="6" t="str">
        <f>IFERROR(__xludf.DUMMYFUNCTION("""COMPUTED_VALUE"""),"6")</f>
        <v>6</v>
      </c>
      <c r="V1809" s="6" t="str">
        <f>IFERROR(__xludf.DUMMYFUNCTION("""COMPUTED_VALUE"""),"English")</f>
        <v>English</v>
      </c>
      <c r="W1809" s="6" t="str">
        <f>IFERROR(__xludf.DUMMYFUNCTION("""COMPUTED_VALUE"""),"[]")</f>
        <v>[]</v>
      </c>
      <c r="X1809" s="6" t="str">
        <f>IFERROR(__xludf.DUMMYFUNCTION("""COMPUTED_VALUE"""),"Enrolled")</f>
        <v>Enrolled</v>
      </c>
    </row>
    <row r="1810">
      <c r="A1810" s="6" t="str">
        <f>IFERROR(__xludf.DUMMYFUNCTION("""COMPUTED_VALUE"""),"017-5052")</f>
        <v>017-5052</v>
      </c>
      <c r="B1810" s="6" t="str">
        <f>IFERROR(__xludf.DUMMYFUNCTION("""COMPUTED_VALUE"""),"17")</f>
        <v>17</v>
      </c>
      <c r="C1810" s="6" t="str">
        <f>IFERROR(__xludf.DUMMYFUNCTION("""COMPUTED_VALUE"""),"5052")</f>
        <v>5052</v>
      </c>
      <c r="D1810" s="6" t="str">
        <f>IFERROR(__xludf.DUMMYFUNCTION("""COMPUTED_VALUE"""),"Texasprep")</f>
        <v>Texasprep</v>
      </c>
      <c r="E1810" s="6" t="str">
        <f>IFERROR(__xludf.DUMMYFUNCTION("""COMPUTED_VALUE"""),"")</f>
        <v/>
      </c>
      <c r="F1810" s="6" t="str">
        <f>IFERROR(__xludf.DUMMYFUNCTION("""COMPUTED_VALUE"""),"User")</f>
        <v>User</v>
      </c>
      <c r="G1810" s="6" t="str">
        <f>IFERROR(__xludf.DUMMYFUNCTION("""COMPUTED_VALUE"""),"08/05/2015")</f>
        <v>08/05/2015</v>
      </c>
      <c r="H1810" s="6" t="str">
        <f>IFERROR(__xludf.DUMMYFUNCTION("""COMPUTED_VALUE"""),"Self Identify")</f>
        <v>Self Identify</v>
      </c>
      <c r="I1810" s="6" t="str">
        <f>IFERROR(__xludf.DUMMYFUNCTION("""COMPUTED_VALUE"""),"Level 2")</f>
        <v>Level 2</v>
      </c>
      <c r="J1810" s="6" t="str">
        <f>IFERROR(__xludf.DUMMYFUNCTION("""COMPUTED_VALUE"""),"4")</f>
        <v>4</v>
      </c>
      <c r="K1810" s="6" t="str">
        <f>IFERROR(__xludf.DUMMYFUNCTION("""COMPUTED_VALUE"""),"texasprep.user@novaacademy.school")</f>
        <v>texasprep.user@novaacademy.school</v>
      </c>
      <c r="L1810" s="6" t="str">
        <f>IFERROR(__xludf.DUMMYFUNCTION("""COMPUTED_VALUE"""),"Nova Academy Austin")</f>
        <v>Nova Academy Austin</v>
      </c>
      <c r="M1810" s="6" t="str">
        <f>IFERROR(__xludf.DUMMYFUNCTION("""COMPUTED_VALUE"""),"Mock")</f>
        <v>Mock</v>
      </c>
      <c r="N1810" s="6" t="str">
        <f>IFERROR(__xludf.DUMMYFUNCTION("""COMPUTED_VALUE"""),"")</f>
        <v/>
      </c>
      <c r="O1810" s="87" t="str">
        <f>IFERROR(__xludf.DUMMYFUNCTION("""COMPUTED_VALUE"""),"https://drive.google.com/drive/folders/10T2cTQHqEJZqE-st6uFKPoI?usp=share_link")</f>
        <v>https://drive.google.com/drive/folders/10T2cTQHqEJZqE-st6uFKPoI?usp=share_link</v>
      </c>
      <c r="P1810" s="6" t="str">
        <f>IFERROR(__xludf.DUMMYFUNCTION("""COMPUTED_VALUE"""),"Texasprep User")</f>
        <v>Texasprep User</v>
      </c>
      <c r="Q1810" s="6" t="str">
        <f>IFERROR(__xludf.DUMMYFUNCTION("""COMPUTED_VALUE"""),"L2")</f>
        <v>L2</v>
      </c>
      <c r="R1810" s="6">
        <f>IFERROR(__xludf.DUMMYFUNCTION("""COMPUTED_VALUE"""),2.0)</f>
        <v>2</v>
      </c>
      <c r="S1810" s="6" t="str">
        <f>IFERROR(__xludf.DUMMYFUNCTION("""COMPUTED_VALUE""")," ")</f>
        <v> </v>
      </c>
      <c r="T1810" s="6" t="str">
        <f>IFERROR(__xludf.DUMMYFUNCTION("""COMPUTED_VALUE"""),"")</f>
        <v/>
      </c>
      <c r="U1810" s="6" t="str">
        <f>IFERROR(__xludf.DUMMYFUNCTION("""COMPUTED_VALUE"""),"4")</f>
        <v>4</v>
      </c>
      <c r="V1810" s="6" t="str">
        <f>IFERROR(__xludf.DUMMYFUNCTION("""COMPUTED_VALUE"""),"English")</f>
        <v>English</v>
      </c>
      <c r="W1810" s="6" t="str">
        <f>IFERROR(__xludf.DUMMYFUNCTION("""COMPUTED_VALUE"""),"[]")</f>
        <v>[]</v>
      </c>
      <c r="X1810" s="6" t="str">
        <f>IFERROR(__xludf.DUMMYFUNCTION("""COMPUTED_VALUE"""),"Enrolled")</f>
        <v>Enrolled</v>
      </c>
    </row>
    <row r="1811">
      <c r="A1811" s="6" t="str">
        <f>IFERROR(__xludf.DUMMYFUNCTION("""COMPUTED_VALUE"""),"017-5054")</f>
        <v>017-5054</v>
      </c>
      <c r="B1811" s="6" t="str">
        <f>IFERROR(__xludf.DUMMYFUNCTION("""COMPUTED_VALUE"""),"17")</f>
        <v>17</v>
      </c>
      <c r="C1811" s="6" t="str">
        <f>IFERROR(__xludf.DUMMYFUNCTION("""COMPUTED_VALUE"""),"5054")</f>
        <v>5054</v>
      </c>
      <c r="D1811" s="6" t="str">
        <f>IFERROR(__xludf.DUMMYFUNCTION("""COMPUTED_VALUE"""),"Sofia")</f>
        <v>Sofia</v>
      </c>
      <c r="E1811" s="6" t="str">
        <f>IFERROR(__xludf.DUMMYFUNCTION("""COMPUTED_VALUE"""),"")</f>
        <v/>
      </c>
      <c r="F1811" s="6" t="str">
        <f>IFERROR(__xludf.DUMMYFUNCTION("""COMPUTED_VALUE"""),"Cruz-Peralta")</f>
        <v>Cruz-Peralta</v>
      </c>
      <c r="G1811" s="6" t="str">
        <f>IFERROR(__xludf.DUMMYFUNCTION("""COMPUTED_VALUE"""),"04/09/2018")</f>
        <v>04/09/2018</v>
      </c>
      <c r="H1811" s="6" t="str">
        <f>IFERROR(__xludf.DUMMYFUNCTION("""COMPUTED_VALUE"""),"Self Identify")</f>
        <v>Self Identify</v>
      </c>
      <c r="I1811" s="6" t="str">
        <f>IFERROR(__xludf.DUMMYFUNCTION("""COMPUTED_VALUE"""),"Level 1")</f>
        <v>Level 1</v>
      </c>
      <c r="J1811" s="6" t="str">
        <f>IFERROR(__xludf.DUMMYFUNCTION("""COMPUTED_VALUE"""),"2")</f>
        <v>2</v>
      </c>
      <c r="K1811" s="6" t="str">
        <f>IFERROR(__xludf.DUMMYFUNCTION("""COMPUTED_VALUE"""),"sofia.cruz-peralta@novaacademy.school")</f>
        <v>sofia.cruz-peralta@novaacademy.school</v>
      </c>
      <c r="L1811" s="6" t="str">
        <f>IFERROR(__xludf.DUMMYFUNCTION("""COMPUTED_VALUE"""),"Nova Academy Austin")</f>
        <v>Nova Academy Austin</v>
      </c>
      <c r="M1811" s="6" t="str">
        <f>IFERROR(__xludf.DUMMYFUNCTION("""COMPUTED_VALUE"""),"")</f>
        <v/>
      </c>
      <c r="N1811" s="6" t="str">
        <f>IFERROR(__xludf.DUMMYFUNCTION("""COMPUTED_VALUE"""),"")</f>
        <v/>
      </c>
      <c r="O1811" s="87" t="str">
        <f>IFERROR(__xludf.DUMMYFUNCTION("""COMPUTED_VALUE"""),"https://drive.google.com/drive/folders/10T2cTQHqEJZqE-st6uFKPoI?usp=share_link")</f>
        <v>https://drive.google.com/drive/folders/10T2cTQHqEJZqE-st6uFKPoI?usp=share_link</v>
      </c>
      <c r="P1811" s="6" t="str">
        <f>IFERROR(__xludf.DUMMYFUNCTION("""COMPUTED_VALUE"""),"Sofia Cruz-Peralta")</f>
        <v>Sofia Cruz-Peralta</v>
      </c>
      <c r="Q1811" s="6" t="str">
        <f>IFERROR(__xludf.DUMMYFUNCTION("""COMPUTED_VALUE"""),"L1")</f>
        <v>L1</v>
      </c>
      <c r="R1811" s="6">
        <f>IFERROR(__xludf.DUMMYFUNCTION("""COMPUTED_VALUE"""),1.0)</f>
        <v>1</v>
      </c>
      <c r="S1811" s="6" t="str">
        <f>IFERROR(__xludf.DUMMYFUNCTION("""COMPUTED_VALUE""")," ")</f>
        <v> </v>
      </c>
      <c r="T1811" s="6" t="str">
        <f>IFERROR(__xludf.DUMMYFUNCTION("""COMPUTED_VALUE"""),"")</f>
        <v/>
      </c>
      <c r="U1811" s="6" t="str">
        <f>IFERROR(__xludf.DUMMYFUNCTION("""COMPUTED_VALUE"""),"2")</f>
        <v>2</v>
      </c>
      <c r="V1811" s="6" t="str">
        <f>IFERROR(__xludf.DUMMYFUNCTION("""COMPUTED_VALUE"""),"English")</f>
        <v>English</v>
      </c>
      <c r="W1811" s="6" t="str">
        <f>IFERROR(__xludf.DUMMYFUNCTION("""COMPUTED_VALUE"""),"[]")</f>
        <v>[]</v>
      </c>
      <c r="X1811" s="6" t="str">
        <f>IFERROR(__xludf.DUMMYFUNCTION("""COMPUTED_VALUE"""),"Pending Review")</f>
        <v>Pending Review</v>
      </c>
    </row>
    <row r="1812">
      <c r="A1812" s="6" t="str">
        <f>IFERROR(__xludf.DUMMYFUNCTION("""COMPUTED_VALUE"""),"017-5057")</f>
        <v>017-5057</v>
      </c>
      <c r="B1812" s="6" t="str">
        <f>IFERROR(__xludf.DUMMYFUNCTION("""COMPUTED_VALUE"""),"17")</f>
        <v>17</v>
      </c>
      <c r="C1812" s="6" t="str">
        <f>IFERROR(__xludf.DUMMYFUNCTION("""COMPUTED_VALUE"""),"5057")</f>
        <v>5057</v>
      </c>
      <c r="D1812" s="6" t="str">
        <f>IFERROR(__xludf.DUMMYFUNCTION("""COMPUTED_VALUE"""),"Megan")</f>
        <v>Megan</v>
      </c>
      <c r="E1812" s="6" t="str">
        <f>IFERROR(__xludf.DUMMYFUNCTION("""COMPUTED_VALUE"""),"")</f>
        <v/>
      </c>
      <c r="F1812" s="6" t="str">
        <f>IFERROR(__xludf.DUMMYFUNCTION("""COMPUTED_VALUE"""),"Chukwura")</f>
        <v>Chukwura</v>
      </c>
      <c r="G1812" s="6" t="str">
        <f>IFERROR(__xludf.DUMMYFUNCTION("""COMPUTED_VALUE"""),"02/01/2018")</f>
        <v>02/01/2018</v>
      </c>
      <c r="H1812" s="6" t="str">
        <f>IFERROR(__xludf.DUMMYFUNCTION("""COMPUTED_VALUE"""),"female")</f>
        <v>female</v>
      </c>
      <c r="I1812" s="6" t="str">
        <f>IFERROR(__xludf.DUMMYFUNCTION("""COMPUTED_VALUE"""),"Level 1")</f>
        <v>Level 1</v>
      </c>
      <c r="J1812" s="6" t="str">
        <f>IFERROR(__xludf.DUMMYFUNCTION("""COMPUTED_VALUE"""),"2")</f>
        <v>2</v>
      </c>
      <c r="K1812" s="6" t="str">
        <f>IFERROR(__xludf.DUMMYFUNCTION("""COMPUTED_VALUE"""),"megan.chukwura@novaacademy.school")</f>
        <v>megan.chukwura@novaacademy.school</v>
      </c>
      <c r="L1812" s="6" t="str">
        <f>IFERROR(__xludf.DUMMYFUNCTION("""COMPUTED_VALUE"""),"Nova Academy Austin")</f>
        <v>Nova Academy Austin</v>
      </c>
      <c r="M1812" s="6" t="str">
        <f>IFERROR(__xludf.DUMMYFUNCTION("""COMPUTED_VALUE"""),"")</f>
        <v/>
      </c>
      <c r="N1812" s="6" t="str">
        <f>IFERROR(__xludf.DUMMYFUNCTION("""COMPUTED_VALUE"""),"")</f>
        <v/>
      </c>
      <c r="O1812" s="87" t="str">
        <f>IFERROR(__xludf.DUMMYFUNCTION("""COMPUTED_VALUE"""),"https://drive.google.com/drive/folders/10T2cTQHqEJZqE-st6uFKPoI?usp=share_link")</f>
        <v>https://drive.google.com/drive/folders/10T2cTQHqEJZqE-st6uFKPoI?usp=share_link</v>
      </c>
      <c r="P1812" s="6" t="str">
        <f>IFERROR(__xludf.DUMMYFUNCTION("""COMPUTED_VALUE"""),"Megan Chukwura")</f>
        <v>Megan Chukwura</v>
      </c>
      <c r="Q1812" s="6" t="str">
        <f>IFERROR(__xludf.DUMMYFUNCTION("""COMPUTED_VALUE"""),"L1")</f>
        <v>L1</v>
      </c>
      <c r="R1812" s="6">
        <f>IFERROR(__xludf.DUMMYFUNCTION("""COMPUTED_VALUE"""),1.0)</f>
        <v>1</v>
      </c>
      <c r="S1812" s="6" t="str">
        <f>IFERROR(__xludf.DUMMYFUNCTION("""COMPUTED_VALUE"""),"Chris White")</f>
        <v>Chris White</v>
      </c>
      <c r="T1812" s="6" t="str">
        <f>IFERROR(__xludf.DUMMYFUNCTION("""COMPUTED_VALUE"""),"christopher.white@alpha.school")</f>
        <v>christopher.white@alpha.school</v>
      </c>
      <c r="U1812" s="6" t="str">
        <f>IFERROR(__xludf.DUMMYFUNCTION("""COMPUTED_VALUE"""),"2")</f>
        <v>2</v>
      </c>
      <c r="V1812" s="6" t="str">
        <f>IFERROR(__xludf.DUMMYFUNCTION("""COMPUTED_VALUE"""),"English")</f>
        <v>English</v>
      </c>
      <c r="W1812" s="6" t="str">
        <f>IFERROR(__xludf.DUMMYFUNCTION("""COMPUTED_VALUE"""),"[]")</f>
        <v>[]</v>
      </c>
      <c r="X1812" s="6" t="str">
        <f>IFERROR(__xludf.DUMMYFUNCTION("""COMPUTED_VALUE"""),"Enrolled")</f>
        <v>Enrolled</v>
      </c>
    </row>
    <row r="1813">
      <c r="A1813" s="6" t="str">
        <f>IFERROR(__xludf.DUMMYFUNCTION("""COMPUTED_VALUE"""),"018-0899")</f>
        <v>018-0899</v>
      </c>
      <c r="B1813" s="6" t="str">
        <f>IFERROR(__xludf.DUMMYFUNCTION("""COMPUTED_VALUE"""),"18")</f>
        <v>18</v>
      </c>
      <c r="C1813" s="6" t="str">
        <f>IFERROR(__xludf.DUMMYFUNCTION("""COMPUTED_VALUE"""),"0899")</f>
        <v>0899</v>
      </c>
      <c r="D1813" s="6" t="str">
        <f>IFERROR(__xludf.DUMMYFUNCTION("""COMPUTED_VALUE"""),"Test")</f>
        <v>Test</v>
      </c>
      <c r="E1813" s="6" t="str">
        <f>IFERROR(__xludf.DUMMYFUNCTION("""COMPUTED_VALUE"""),"")</f>
        <v/>
      </c>
      <c r="F1813" s="6" t="str">
        <f>IFERROR(__xludf.DUMMYFUNCTION("""COMPUTED_VALUE"""),"Irvington")</f>
        <v>Irvington</v>
      </c>
      <c r="G1813" s="6" t="str">
        <f>IFERROR(__xludf.DUMMYFUNCTION("""COMPUTED_VALUE"""),"12/15/2019")</f>
        <v>12/15/2019</v>
      </c>
      <c r="H1813" s="6" t="str">
        <f>IFERROR(__xludf.DUMMYFUNCTION("""COMPUTED_VALUE"""),"Self Identify")</f>
        <v>Self Identify</v>
      </c>
      <c r="I1813" s="6" t="str">
        <f>IFERROR(__xludf.DUMMYFUNCTION("""COMPUTED_VALUE"""),"Middle School")</f>
        <v>Middle School</v>
      </c>
      <c r="J1813" s="6" t="str">
        <f>IFERROR(__xludf.DUMMYFUNCTION("""COMPUTED_VALUE"""),"7")</f>
        <v>7</v>
      </c>
      <c r="K1813" s="6" t="str">
        <f>IFERROR(__xludf.DUMMYFUNCTION("""COMPUTED_VALUE"""),"test.irvington@2hourlearning.com")</f>
        <v>test.irvington@2hourlearning.com</v>
      </c>
      <c r="L1813" s="6" t="str">
        <f>IFERROR(__xludf.DUMMYFUNCTION("""COMPUTED_VALUE"""),"Irvington High School")</f>
        <v>Irvington High School</v>
      </c>
      <c r="M1813" s="6" t="str">
        <f>IFERROR(__xludf.DUMMYFUNCTION("""COMPUTED_VALUE"""),"Test")</f>
        <v>Test</v>
      </c>
      <c r="N1813" s="6" t="str">
        <f>IFERROR(__xludf.DUMMYFUNCTION("""COMPUTED_VALUE"""),"")</f>
        <v/>
      </c>
      <c r="O1813" s="87" t="str">
        <f>IFERROR(__xludf.DUMMYFUNCTION("""COMPUTED_VALUE"""),"https://drive.google.com/drive/folders/10T2cTQHqEJZqE-st6uFKPoI?usp=share_link")</f>
        <v>https://drive.google.com/drive/folders/10T2cTQHqEJZqE-st6uFKPoI?usp=share_link</v>
      </c>
      <c r="P1813" s="6" t="str">
        <f>IFERROR(__xludf.DUMMYFUNCTION("""COMPUTED_VALUE"""),"Test Irvington")</f>
        <v>Test Irvington</v>
      </c>
      <c r="Q1813" s="6" t="str">
        <f>IFERROR(__xludf.DUMMYFUNCTION("""COMPUTED_VALUE"""),"MS")</f>
        <v>MS</v>
      </c>
      <c r="R1813" s="6">
        <f>IFERROR(__xludf.DUMMYFUNCTION("""COMPUTED_VALUE"""),0.0)</f>
        <v>0</v>
      </c>
      <c r="S1813" s="6" t="str">
        <f>IFERROR(__xludf.DUMMYFUNCTION("""COMPUTED_VALUE""")," ")</f>
        <v> </v>
      </c>
      <c r="T1813" s="6" t="str">
        <f>IFERROR(__xludf.DUMMYFUNCTION("""COMPUTED_VALUE"""),"")</f>
        <v/>
      </c>
      <c r="U1813" s="6" t="str">
        <f>IFERROR(__xludf.DUMMYFUNCTION("""COMPUTED_VALUE"""),"7")</f>
        <v>7</v>
      </c>
      <c r="V1813" s="6" t="str">
        <f>IFERROR(__xludf.DUMMYFUNCTION("""COMPUTED_VALUE"""),"")</f>
        <v/>
      </c>
      <c r="W1813" s="6" t="str">
        <f>IFERROR(__xludf.DUMMYFUNCTION("""COMPUTED_VALUE"""),"[]")</f>
        <v>[]</v>
      </c>
      <c r="X1813" s="6" t="str">
        <f>IFERROR(__xludf.DUMMYFUNCTION("""COMPUTED_VALUE"""),"Enrolled")</f>
        <v>Enrolled</v>
      </c>
    </row>
    <row r="1814">
      <c r="A1814" s="6" t="str">
        <f>IFERROR(__xludf.DUMMYFUNCTION("""COMPUTED_VALUE"""),"018-0924")</f>
        <v>018-0924</v>
      </c>
      <c r="B1814" s="6" t="str">
        <f>IFERROR(__xludf.DUMMYFUNCTION("""COMPUTED_VALUE"""),"18")</f>
        <v>18</v>
      </c>
      <c r="C1814" s="6" t="str">
        <f>IFERROR(__xludf.DUMMYFUNCTION("""COMPUTED_VALUE"""),"0924")</f>
        <v>0924</v>
      </c>
      <c r="D1814" s="6" t="str">
        <f>IFERROR(__xludf.DUMMYFUNCTION("""COMPUTED_VALUE"""),"Natalie")</f>
        <v>Natalie</v>
      </c>
      <c r="E1814" s="6" t="str">
        <f>IFERROR(__xludf.DUMMYFUNCTION("""COMPUTED_VALUE"""),"")</f>
        <v/>
      </c>
      <c r="F1814" s="6" t="str">
        <f>IFERROR(__xludf.DUMMYFUNCTION("""COMPUTED_VALUE"""),"Ceja")</f>
        <v>Ceja</v>
      </c>
      <c r="G1814" s="6" t="str">
        <f>IFERROR(__xludf.DUMMYFUNCTION("""COMPUTED_VALUE"""),"12/15/2009")</f>
        <v>12/15/2009</v>
      </c>
      <c r="H1814" s="6" t="str">
        <f>IFERROR(__xludf.DUMMYFUNCTION("""COMPUTED_VALUE"""),"Self Identify")</f>
        <v>Self Identify</v>
      </c>
      <c r="I1814" s="6" t="str">
        <f>IFERROR(__xludf.DUMMYFUNCTION("""COMPUTED_VALUE"""),"High School")</f>
        <v>High School</v>
      </c>
      <c r="J1814" s="6" t="str">
        <f>IFERROR(__xludf.DUMMYFUNCTION("""COMPUTED_VALUE"""),"9")</f>
        <v>9</v>
      </c>
      <c r="K1814" s="6" t="str">
        <f>IFERROR(__xludf.DUMMYFUNCTION("""COMPUTED_VALUE"""),"natalie.ceja@2hourlearning.com")</f>
        <v>natalie.ceja@2hourlearning.com</v>
      </c>
      <c r="L1814" s="6" t="str">
        <f>IFERROR(__xludf.DUMMYFUNCTION("""COMPUTED_VALUE"""),"Irvington High School")</f>
        <v>Irvington High School</v>
      </c>
      <c r="M1814" s="6" t="str">
        <f>IFERROR(__xludf.DUMMYFUNCTION("""COMPUTED_VALUE"""),"")</f>
        <v/>
      </c>
      <c r="N1814" s="6" t="str">
        <f>IFERROR(__xludf.DUMMYFUNCTION("""COMPUTED_VALUE"""),"")</f>
        <v/>
      </c>
      <c r="O1814" s="87" t="str">
        <f>IFERROR(__xludf.DUMMYFUNCTION("""COMPUTED_VALUE"""),"https://drive.google.com/drive/folders/10T2cTQHqEJZqE-st6uFKPoI?usp=share_link")</f>
        <v>https://drive.google.com/drive/folders/10T2cTQHqEJZqE-st6uFKPoI?usp=share_link</v>
      </c>
      <c r="P1814" s="6" t="str">
        <f>IFERROR(__xludf.DUMMYFUNCTION("""COMPUTED_VALUE"""),"Natalie Ceja")</f>
        <v>Natalie Ceja</v>
      </c>
      <c r="Q1814" s="6" t="str">
        <f>IFERROR(__xludf.DUMMYFUNCTION("""COMPUTED_VALUE"""),"HS")</f>
        <v>HS</v>
      </c>
      <c r="R1814" s="6">
        <f>IFERROR(__xludf.DUMMYFUNCTION("""COMPUTED_VALUE"""),0.0)</f>
        <v>0</v>
      </c>
      <c r="S1814" s="6" t="str">
        <f>IFERROR(__xludf.DUMMYFUNCTION("""COMPUTED_VALUE""")," ")</f>
        <v> </v>
      </c>
      <c r="T1814" s="6" t="str">
        <f>IFERROR(__xludf.DUMMYFUNCTION("""COMPUTED_VALUE"""),"")</f>
        <v/>
      </c>
      <c r="U1814" s="6" t="str">
        <f>IFERROR(__xludf.DUMMYFUNCTION("""COMPUTED_VALUE"""),"9")</f>
        <v>9</v>
      </c>
      <c r="V1814" s="6" t="str">
        <f>IFERROR(__xludf.DUMMYFUNCTION("""COMPUTED_VALUE"""),"")</f>
        <v/>
      </c>
      <c r="W1814" s="6" t="str">
        <f>IFERROR(__xludf.DUMMYFUNCTION("""COMPUTED_VALUE"""),"[]")</f>
        <v>[]</v>
      </c>
      <c r="X1814" s="6" t="str">
        <f>IFERROR(__xludf.DUMMYFUNCTION("""COMPUTED_VALUE"""),"Enrolled")</f>
        <v>Enrolled</v>
      </c>
    </row>
    <row r="1815">
      <c r="A1815" s="6" t="str">
        <f>IFERROR(__xludf.DUMMYFUNCTION("""COMPUTED_VALUE"""),"018-0925")</f>
        <v>018-0925</v>
      </c>
      <c r="B1815" s="6" t="str">
        <f>IFERROR(__xludf.DUMMYFUNCTION("""COMPUTED_VALUE"""),"18")</f>
        <v>18</v>
      </c>
      <c r="C1815" s="6" t="str">
        <f>IFERROR(__xludf.DUMMYFUNCTION("""COMPUTED_VALUE"""),"0925")</f>
        <v>0925</v>
      </c>
      <c r="D1815" s="6" t="str">
        <f>IFERROR(__xludf.DUMMYFUNCTION("""COMPUTED_VALUE"""),"Noah")</f>
        <v>Noah</v>
      </c>
      <c r="E1815" s="6" t="str">
        <f>IFERROR(__xludf.DUMMYFUNCTION("""COMPUTED_VALUE"""),"")</f>
        <v/>
      </c>
      <c r="F1815" s="6" t="str">
        <f>IFERROR(__xludf.DUMMYFUNCTION("""COMPUTED_VALUE"""),"Cordero")</f>
        <v>Cordero</v>
      </c>
      <c r="G1815" s="6" t="str">
        <f>IFERROR(__xludf.DUMMYFUNCTION("""COMPUTED_VALUE"""),"12/15/2009")</f>
        <v>12/15/2009</v>
      </c>
      <c r="H1815" s="6" t="str">
        <f>IFERROR(__xludf.DUMMYFUNCTION("""COMPUTED_VALUE"""),"Self Identify")</f>
        <v>Self Identify</v>
      </c>
      <c r="I1815" s="6" t="str">
        <f>IFERROR(__xludf.DUMMYFUNCTION("""COMPUTED_VALUE"""),"High School")</f>
        <v>High School</v>
      </c>
      <c r="J1815" s="6" t="str">
        <f>IFERROR(__xludf.DUMMYFUNCTION("""COMPUTED_VALUE"""),"9")</f>
        <v>9</v>
      </c>
      <c r="K1815" s="6" t="str">
        <f>IFERROR(__xludf.DUMMYFUNCTION("""COMPUTED_VALUE"""),"noah.cordero@2hourlearning.com")</f>
        <v>noah.cordero@2hourlearning.com</v>
      </c>
      <c r="L1815" s="6" t="str">
        <f>IFERROR(__xludf.DUMMYFUNCTION("""COMPUTED_VALUE"""),"Irvington High School")</f>
        <v>Irvington High School</v>
      </c>
      <c r="M1815" s="6" t="str">
        <f>IFERROR(__xludf.DUMMYFUNCTION("""COMPUTED_VALUE"""),"")</f>
        <v/>
      </c>
      <c r="N1815" s="6" t="str">
        <f>IFERROR(__xludf.DUMMYFUNCTION("""COMPUTED_VALUE"""),"")</f>
        <v/>
      </c>
      <c r="O1815" s="87" t="str">
        <f>IFERROR(__xludf.DUMMYFUNCTION("""COMPUTED_VALUE"""),"https://drive.google.com/drive/folders/10T2cTQHqEJZqE-st6uFKPoI?usp=share_link")</f>
        <v>https://drive.google.com/drive/folders/10T2cTQHqEJZqE-st6uFKPoI?usp=share_link</v>
      </c>
      <c r="P1815" s="6" t="str">
        <f>IFERROR(__xludf.DUMMYFUNCTION("""COMPUTED_VALUE"""),"Noah Cordero")</f>
        <v>Noah Cordero</v>
      </c>
      <c r="Q1815" s="6" t="str">
        <f>IFERROR(__xludf.DUMMYFUNCTION("""COMPUTED_VALUE"""),"HS")</f>
        <v>HS</v>
      </c>
      <c r="R1815" s="6">
        <f>IFERROR(__xludf.DUMMYFUNCTION("""COMPUTED_VALUE"""),0.0)</f>
        <v>0</v>
      </c>
      <c r="S1815" s="6" t="str">
        <f>IFERROR(__xludf.DUMMYFUNCTION("""COMPUTED_VALUE""")," ")</f>
        <v> </v>
      </c>
      <c r="T1815" s="6" t="str">
        <f>IFERROR(__xludf.DUMMYFUNCTION("""COMPUTED_VALUE"""),"")</f>
        <v/>
      </c>
      <c r="U1815" s="6" t="str">
        <f>IFERROR(__xludf.DUMMYFUNCTION("""COMPUTED_VALUE"""),"9")</f>
        <v>9</v>
      </c>
      <c r="V1815" s="6" t="str">
        <f>IFERROR(__xludf.DUMMYFUNCTION("""COMPUTED_VALUE"""),"")</f>
        <v/>
      </c>
      <c r="W1815" s="6" t="str">
        <f>IFERROR(__xludf.DUMMYFUNCTION("""COMPUTED_VALUE"""),"[]")</f>
        <v>[]</v>
      </c>
      <c r="X1815" s="6" t="str">
        <f>IFERROR(__xludf.DUMMYFUNCTION("""COMPUTED_VALUE"""),"Enrolled")</f>
        <v>Enrolled</v>
      </c>
    </row>
    <row r="1816">
      <c r="A1816" s="6" t="str">
        <f>IFERROR(__xludf.DUMMYFUNCTION("""COMPUTED_VALUE"""),"018-0926")</f>
        <v>018-0926</v>
      </c>
      <c r="B1816" s="6" t="str">
        <f>IFERROR(__xludf.DUMMYFUNCTION("""COMPUTED_VALUE"""),"18")</f>
        <v>18</v>
      </c>
      <c r="C1816" s="6" t="str">
        <f>IFERROR(__xludf.DUMMYFUNCTION("""COMPUTED_VALUE"""),"0926")</f>
        <v>0926</v>
      </c>
      <c r="D1816" s="6" t="str">
        <f>IFERROR(__xludf.DUMMYFUNCTION("""COMPUTED_VALUE"""),"Umar")</f>
        <v>Umar</v>
      </c>
      <c r="E1816" s="6" t="str">
        <f>IFERROR(__xludf.DUMMYFUNCTION("""COMPUTED_VALUE"""),"")</f>
        <v/>
      </c>
      <c r="F1816" s="6" t="str">
        <f>IFERROR(__xludf.DUMMYFUNCTION("""COMPUTED_VALUE"""),"Khaliq")</f>
        <v>Khaliq</v>
      </c>
      <c r="G1816" s="6" t="str">
        <f>IFERROR(__xludf.DUMMYFUNCTION("""COMPUTED_VALUE"""),"12/15/2008")</f>
        <v>12/15/2008</v>
      </c>
      <c r="H1816" s="6" t="str">
        <f>IFERROR(__xludf.DUMMYFUNCTION("""COMPUTED_VALUE"""),"Self Identify")</f>
        <v>Self Identify</v>
      </c>
      <c r="I1816" s="6" t="str">
        <f>IFERROR(__xludf.DUMMYFUNCTION("""COMPUTED_VALUE"""),"High School")</f>
        <v>High School</v>
      </c>
      <c r="J1816" s="6" t="str">
        <f>IFERROR(__xludf.DUMMYFUNCTION("""COMPUTED_VALUE"""),"10")</f>
        <v>10</v>
      </c>
      <c r="K1816" s="6" t="str">
        <f>IFERROR(__xludf.DUMMYFUNCTION("""COMPUTED_VALUE"""),"umar.khaliq@2hourlearning.com")</f>
        <v>umar.khaliq@2hourlearning.com</v>
      </c>
      <c r="L1816" s="6" t="str">
        <f>IFERROR(__xludf.DUMMYFUNCTION("""COMPUTED_VALUE"""),"Irvington High School")</f>
        <v>Irvington High School</v>
      </c>
      <c r="M1816" s="6" t="str">
        <f>IFERROR(__xludf.DUMMYFUNCTION("""COMPUTED_VALUE"""),"")</f>
        <v/>
      </c>
      <c r="N1816" s="6" t="str">
        <f>IFERROR(__xludf.DUMMYFUNCTION("""COMPUTED_VALUE"""),"")</f>
        <v/>
      </c>
      <c r="O1816" s="87" t="str">
        <f>IFERROR(__xludf.DUMMYFUNCTION("""COMPUTED_VALUE"""),"https://drive.google.com/drive/folders/10T2cTQHqEJZqE-st6uFKPoI?usp=share_link")</f>
        <v>https://drive.google.com/drive/folders/10T2cTQHqEJZqE-st6uFKPoI?usp=share_link</v>
      </c>
      <c r="P1816" s="6" t="str">
        <f>IFERROR(__xludf.DUMMYFUNCTION("""COMPUTED_VALUE"""),"Umar Khaliq")</f>
        <v>Umar Khaliq</v>
      </c>
      <c r="Q1816" s="6" t="str">
        <f>IFERROR(__xludf.DUMMYFUNCTION("""COMPUTED_VALUE"""),"HS")</f>
        <v>HS</v>
      </c>
      <c r="R1816" s="6">
        <f>IFERROR(__xludf.DUMMYFUNCTION("""COMPUTED_VALUE"""),0.0)</f>
        <v>0</v>
      </c>
      <c r="S1816" s="6" t="str">
        <f>IFERROR(__xludf.DUMMYFUNCTION("""COMPUTED_VALUE""")," ")</f>
        <v> </v>
      </c>
      <c r="T1816" s="6" t="str">
        <f>IFERROR(__xludf.DUMMYFUNCTION("""COMPUTED_VALUE"""),"")</f>
        <v/>
      </c>
      <c r="U1816" s="6" t="str">
        <f>IFERROR(__xludf.DUMMYFUNCTION("""COMPUTED_VALUE"""),"10")</f>
        <v>10</v>
      </c>
      <c r="V1816" s="6" t="str">
        <f>IFERROR(__xludf.DUMMYFUNCTION("""COMPUTED_VALUE"""),"")</f>
        <v/>
      </c>
      <c r="W1816" s="6" t="str">
        <f>IFERROR(__xludf.DUMMYFUNCTION("""COMPUTED_VALUE"""),"[]")</f>
        <v>[]</v>
      </c>
      <c r="X1816" s="6" t="str">
        <f>IFERROR(__xludf.DUMMYFUNCTION("""COMPUTED_VALUE"""),"Enrolled")</f>
        <v>Enrolled</v>
      </c>
    </row>
    <row r="1817">
      <c r="A1817" s="6" t="str">
        <f>IFERROR(__xludf.DUMMYFUNCTION("""COMPUTED_VALUE"""),"018-0927")</f>
        <v>018-0927</v>
      </c>
      <c r="B1817" s="6" t="str">
        <f>IFERROR(__xludf.DUMMYFUNCTION("""COMPUTED_VALUE"""),"18")</f>
        <v>18</v>
      </c>
      <c r="C1817" s="6" t="str">
        <f>IFERROR(__xludf.DUMMYFUNCTION("""COMPUTED_VALUE"""),"0927")</f>
        <v>0927</v>
      </c>
      <c r="D1817" s="6" t="str">
        <f>IFERROR(__xludf.DUMMYFUNCTION("""COMPUTED_VALUE"""),"Ysobelle")</f>
        <v>Ysobelle</v>
      </c>
      <c r="E1817" s="6" t="str">
        <f>IFERROR(__xludf.DUMMYFUNCTION("""COMPUTED_VALUE"""),"")</f>
        <v/>
      </c>
      <c r="F1817" s="6" t="str">
        <f>IFERROR(__xludf.DUMMYFUNCTION("""COMPUTED_VALUE"""),"Lapena")</f>
        <v>Lapena</v>
      </c>
      <c r="G1817" s="6" t="str">
        <f>IFERROR(__xludf.DUMMYFUNCTION("""COMPUTED_VALUE"""),"12/15/2009")</f>
        <v>12/15/2009</v>
      </c>
      <c r="H1817" s="6" t="str">
        <f>IFERROR(__xludf.DUMMYFUNCTION("""COMPUTED_VALUE"""),"Self Identify")</f>
        <v>Self Identify</v>
      </c>
      <c r="I1817" s="6" t="str">
        <f>IFERROR(__xludf.DUMMYFUNCTION("""COMPUTED_VALUE"""),"High School")</f>
        <v>High School</v>
      </c>
      <c r="J1817" s="6" t="str">
        <f>IFERROR(__xludf.DUMMYFUNCTION("""COMPUTED_VALUE"""),"9")</f>
        <v>9</v>
      </c>
      <c r="K1817" s="6" t="str">
        <f>IFERROR(__xludf.DUMMYFUNCTION("""COMPUTED_VALUE"""),"ysobelle.lapena@2hourlearning.com")</f>
        <v>ysobelle.lapena@2hourlearning.com</v>
      </c>
      <c r="L1817" s="6" t="str">
        <f>IFERROR(__xludf.DUMMYFUNCTION("""COMPUTED_VALUE"""),"Irvington High School")</f>
        <v>Irvington High School</v>
      </c>
      <c r="M1817" s="6" t="str">
        <f>IFERROR(__xludf.DUMMYFUNCTION("""COMPUTED_VALUE"""),"")</f>
        <v/>
      </c>
      <c r="N1817" s="6" t="str">
        <f>IFERROR(__xludf.DUMMYFUNCTION("""COMPUTED_VALUE"""),"")</f>
        <v/>
      </c>
      <c r="O1817" s="87" t="str">
        <f>IFERROR(__xludf.DUMMYFUNCTION("""COMPUTED_VALUE"""),"https://drive.google.com/drive/folders/10T2cTQHqEJZqE-st6uFKPoI?usp=share_link")</f>
        <v>https://drive.google.com/drive/folders/10T2cTQHqEJZqE-st6uFKPoI?usp=share_link</v>
      </c>
      <c r="P1817" s="6" t="str">
        <f>IFERROR(__xludf.DUMMYFUNCTION("""COMPUTED_VALUE"""),"Ysobelle Lapena")</f>
        <v>Ysobelle Lapena</v>
      </c>
      <c r="Q1817" s="6" t="str">
        <f>IFERROR(__xludf.DUMMYFUNCTION("""COMPUTED_VALUE"""),"HS")</f>
        <v>HS</v>
      </c>
      <c r="R1817" s="6">
        <f>IFERROR(__xludf.DUMMYFUNCTION("""COMPUTED_VALUE"""),0.0)</f>
        <v>0</v>
      </c>
      <c r="S1817" s="6" t="str">
        <f>IFERROR(__xludf.DUMMYFUNCTION("""COMPUTED_VALUE""")," ")</f>
        <v> </v>
      </c>
      <c r="T1817" s="6" t="str">
        <f>IFERROR(__xludf.DUMMYFUNCTION("""COMPUTED_VALUE"""),"")</f>
        <v/>
      </c>
      <c r="U1817" s="6" t="str">
        <f>IFERROR(__xludf.DUMMYFUNCTION("""COMPUTED_VALUE"""),"9")</f>
        <v>9</v>
      </c>
      <c r="V1817" s="6" t="str">
        <f>IFERROR(__xludf.DUMMYFUNCTION("""COMPUTED_VALUE"""),"")</f>
        <v/>
      </c>
      <c r="W1817" s="6" t="str">
        <f>IFERROR(__xludf.DUMMYFUNCTION("""COMPUTED_VALUE"""),"[]")</f>
        <v>[]</v>
      </c>
      <c r="X1817" s="6" t="str">
        <f>IFERROR(__xludf.DUMMYFUNCTION("""COMPUTED_VALUE"""),"Enrolled")</f>
        <v>Enrolled</v>
      </c>
    </row>
    <row r="1818">
      <c r="A1818" s="6" t="str">
        <f>IFERROR(__xludf.DUMMYFUNCTION("""COMPUTED_VALUE"""),"018-0929")</f>
        <v>018-0929</v>
      </c>
      <c r="B1818" s="6" t="str">
        <f>IFERROR(__xludf.DUMMYFUNCTION("""COMPUTED_VALUE"""),"18")</f>
        <v>18</v>
      </c>
      <c r="C1818" s="6" t="str">
        <f>IFERROR(__xludf.DUMMYFUNCTION("""COMPUTED_VALUE"""),"0929")</f>
        <v>0929</v>
      </c>
      <c r="D1818" s="6" t="str">
        <f>IFERROR(__xludf.DUMMYFUNCTION("""COMPUTED_VALUE"""),"Abaijit")</f>
        <v>Abaijit</v>
      </c>
      <c r="E1818" s="6" t="str">
        <f>IFERROR(__xludf.DUMMYFUNCTION("""COMPUTED_VALUE"""),"")</f>
        <v/>
      </c>
      <c r="F1818" s="6" t="str">
        <f>IFERROR(__xludf.DUMMYFUNCTION("""COMPUTED_VALUE"""),"Mangat")</f>
        <v>Mangat</v>
      </c>
      <c r="G1818" s="6" t="str">
        <f>IFERROR(__xludf.DUMMYFUNCTION("""COMPUTED_VALUE"""),"12/15/2009")</f>
        <v>12/15/2009</v>
      </c>
      <c r="H1818" s="6" t="str">
        <f>IFERROR(__xludf.DUMMYFUNCTION("""COMPUTED_VALUE"""),"Self Identify")</f>
        <v>Self Identify</v>
      </c>
      <c r="I1818" s="6" t="str">
        <f>IFERROR(__xludf.DUMMYFUNCTION("""COMPUTED_VALUE"""),"High School")</f>
        <v>High School</v>
      </c>
      <c r="J1818" s="6" t="str">
        <f>IFERROR(__xludf.DUMMYFUNCTION("""COMPUTED_VALUE"""),"9")</f>
        <v>9</v>
      </c>
      <c r="K1818" s="6" t="str">
        <f>IFERROR(__xludf.DUMMYFUNCTION("""COMPUTED_VALUE"""),"abaijit.mangat@2hourlearning.com")</f>
        <v>abaijit.mangat@2hourlearning.com</v>
      </c>
      <c r="L1818" s="6" t="str">
        <f>IFERROR(__xludf.DUMMYFUNCTION("""COMPUTED_VALUE"""),"Irvington High School")</f>
        <v>Irvington High School</v>
      </c>
      <c r="M1818" s="6" t="str">
        <f>IFERROR(__xludf.DUMMYFUNCTION("""COMPUTED_VALUE"""),"")</f>
        <v/>
      </c>
      <c r="N1818" s="6" t="str">
        <f>IFERROR(__xludf.DUMMYFUNCTION("""COMPUTED_VALUE"""),"")</f>
        <v/>
      </c>
      <c r="O1818" s="87" t="str">
        <f>IFERROR(__xludf.DUMMYFUNCTION("""COMPUTED_VALUE"""),"https://drive.google.com/drive/folders/10T2cTQHqEJZqE-st6uFKPoI?usp=share_link")</f>
        <v>https://drive.google.com/drive/folders/10T2cTQHqEJZqE-st6uFKPoI?usp=share_link</v>
      </c>
      <c r="P1818" s="6" t="str">
        <f>IFERROR(__xludf.DUMMYFUNCTION("""COMPUTED_VALUE"""),"Abaijit Mangat")</f>
        <v>Abaijit Mangat</v>
      </c>
      <c r="Q1818" s="6" t="str">
        <f>IFERROR(__xludf.DUMMYFUNCTION("""COMPUTED_VALUE"""),"HS")</f>
        <v>HS</v>
      </c>
      <c r="R1818" s="6">
        <f>IFERROR(__xludf.DUMMYFUNCTION("""COMPUTED_VALUE"""),0.0)</f>
        <v>0</v>
      </c>
      <c r="S1818" s="6" t="str">
        <f>IFERROR(__xludf.DUMMYFUNCTION("""COMPUTED_VALUE""")," ")</f>
        <v> </v>
      </c>
      <c r="T1818" s="6" t="str">
        <f>IFERROR(__xludf.DUMMYFUNCTION("""COMPUTED_VALUE"""),"")</f>
        <v/>
      </c>
      <c r="U1818" s="6" t="str">
        <f>IFERROR(__xludf.DUMMYFUNCTION("""COMPUTED_VALUE"""),"9")</f>
        <v>9</v>
      </c>
      <c r="V1818" s="6" t="str">
        <f>IFERROR(__xludf.DUMMYFUNCTION("""COMPUTED_VALUE"""),"")</f>
        <v/>
      </c>
      <c r="W1818" s="6" t="str">
        <f>IFERROR(__xludf.DUMMYFUNCTION("""COMPUTED_VALUE"""),"[]")</f>
        <v>[]</v>
      </c>
      <c r="X1818" s="6" t="str">
        <f>IFERROR(__xludf.DUMMYFUNCTION("""COMPUTED_VALUE"""),"Enrolled")</f>
        <v>Enrolled</v>
      </c>
    </row>
    <row r="1819">
      <c r="A1819" s="6" t="str">
        <f>IFERROR(__xludf.DUMMYFUNCTION("""COMPUTED_VALUE"""),"018-0930")</f>
        <v>018-0930</v>
      </c>
      <c r="B1819" s="6" t="str">
        <f>IFERROR(__xludf.DUMMYFUNCTION("""COMPUTED_VALUE"""),"18")</f>
        <v>18</v>
      </c>
      <c r="C1819" s="6" t="str">
        <f>IFERROR(__xludf.DUMMYFUNCTION("""COMPUTED_VALUE"""),"0930")</f>
        <v>0930</v>
      </c>
      <c r="D1819" s="6" t="str">
        <f>IFERROR(__xludf.DUMMYFUNCTION("""COMPUTED_VALUE"""),"Aivi")</f>
        <v>Aivi</v>
      </c>
      <c r="E1819" s="6" t="str">
        <f>IFERROR(__xludf.DUMMYFUNCTION("""COMPUTED_VALUE"""),"")</f>
        <v/>
      </c>
      <c r="F1819" s="6" t="str">
        <f>IFERROR(__xludf.DUMMYFUNCTION("""COMPUTED_VALUE"""),"Pham")</f>
        <v>Pham</v>
      </c>
      <c r="G1819" s="6" t="str">
        <f>IFERROR(__xludf.DUMMYFUNCTION("""COMPUTED_VALUE"""),"12/15/2009")</f>
        <v>12/15/2009</v>
      </c>
      <c r="H1819" s="6" t="str">
        <f>IFERROR(__xludf.DUMMYFUNCTION("""COMPUTED_VALUE"""),"Self Identify")</f>
        <v>Self Identify</v>
      </c>
      <c r="I1819" s="6" t="str">
        <f>IFERROR(__xludf.DUMMYFUNCTION("""COMPUTED_VALUE"""),"High School")</f>
        <v>High School</v>
      </c>
      <c r="J1819" s="6" t="str">
        <f>IFERROR(__xludf.DUMMYFUNCTION("""COMPUTED_VALUE"""),"9")</f>
        <v>9</v>
      </c>
      <c r="K1819" s="6" t="str">
        <f>IFERROR(__xludf.DUMMYFUNCTION("""COMPUTED_VALUE"""),"aivi.pham@2hourlearning.com")</f>
        <v>aivi.pham@2hourlearning.com</v>
      </c>
      <c r="L1819" s="6" t="str">
        <f>IFERROR(__xludf.DUMMYFUNCTION("""COMPUTED_VALUE"""),"Irvington High School")</f>
        <v>Irvington High School</v>
      </c>
      <c r="M1819" s="6" t="str">
        <f>IFERROR(__xludf.DUMMYFUNCTION("""COMPUTED_VALUE"""),"")</f>
        <v/>
      </c>
      <c r="N1819" s="6" t="str">
        <f>IFERROR(__xludf.DUMMYFUNCTION("""COMPUTED_VALUE"""),"")</f>
        <v/>
      </c>
      <c r="O1819" s="87" t="str">
        <f>IFERROR(__xludf.DUMMYFUNCTION("""COMPUTED_VALUE"""),"https://drive.google.com/drive/folders/10T2cTQHqEJZqE-st6uFKPoI?usp=share_link")</f>
        <v>https://drive.google.com/drive/folders/10T2cTQHqEJZqE-st6uFKPoI?usp=share_link</v>
      </c>
      <c r="P1819" s="6" t="str">
        <f>IFERROR(__xludf.DUMMYFUNCTION("""COMPUTED_VALUE"""),"Aivi Pham")</f>
        <v>Aivi Pham</v>
      </c>
      <c r="Q1819" s="6" t="str">
        <f>IFERROR(__xludf.DUMMYFUNCTION("""COMPUTED_VALUE"""),"HS")</f>
        <v>HS</v>
      </c>
      <c r="R1819" s="6">
        <f>IFERROR(__xludf.DUMMYFUNCTION("""COMPUTED_VALUE"""),0.0)</f>
        <v>0</v>
      </c>
      <c r="S1819" s="6" t="str">
        <f>IFERROR(__xludf.DUMMYFUNCTION("""COMPUTED_VALUE""")," ")</f>
        <v> </v>
      </c>
      <c r="T1819" s="6" t="str">
        <f>IFERROR(__xludf.DUMMYFUNCTION("""COMPUTED_VALUE"""),"")</f>
        <v/>
      </c>
      <c r="U1819" s="6" t="str">
        <f>IFERROR(__xludf.DUMMYFUNCTION("""COMPUTED_VALUE"""),"9")</f>
        <v>9</v>
      </c>
      <c r="V1819" s="6" t="str">
        <f>IFERROR(__xludf.DUMMYFUNCTION("""COMPUTED_VALUE"""),"")</f>
        <v/>
      </c>
      <c r="W1819" s="6" t="str">
        <f>IFERROR(__xludf.DUMMYFUNCTION("""COMPUTED_VALUE"""),"[]")</f>
        <v>[]</v>
      </c>
      <c r="X1819" s="6" t="str">
        <f>IFERROR(__xludf.DUMMYFUNCTION("""COMPUTED_VALUE"""),"Enrolled")</f>
        <v>Enrolled</v>
      </c>
    </row>
    <row r="1820">
      <c r="A1820" s="6" t="str">
        <f>IFERROR(__xludf.DUMMYFUNCTION("""COMPUTED_VALUE"""),"018-0931")</f>
        <v>018-0931</v>
      </c>
      <c r="B1820" s="6" t="str">
        <f>IFERROR(__xludf.DUMMYFUNCTION("""COMPUTED_VALUE"""),"18")</f>
        <v>18</v>
      </c>
      <c r="C1820" s="6" t="str">
        <f>IFERROR(__xludf.DUMMYFUNCTION("""COMPUTED_VALUE"""),"0931")</f>
        <v>0931</v>
      </c>
      <c r="D1820" s="6" t="str">
        <f>IFERROR(__xludf.DUMMYFUNCTION("""COMPUTED_VALUE"""),"Jaiden")</f>
        <v>Jaiden</v>
      </c>
      <c r="E1820" s="6" t="str">
        <f>IFERROR(__xludf.DUMMYFUNCTION("""COMPUTED_VALUE"""),"")</f>
        <v/>
      </c>
      <c r="F1820" s="6" t="str">
        <f>IFERROR(__xludf.DUMMYFUNCTION("""COMPUTED_VALUE"""),"Robles")</f>
        <v>Robles</v>
      </c>
      <c r="G1820" s="6" t="str">
        <f>IFERROR(__xludf.DUMMYFUNCTION("""COMPUTED_VALUE"""),"12/15/2009")</f>
        <v>12/15/2009</v>
      </c>
      <c r="H1820" s="6" t="str">
        <f>IFERROR(__xludf.DUMMYFUNCTION("""COMPUTED_VALUE"""),"Self Identify")</f>
        <v>Self Identify</v>
      </c>
      <c r="I1820" s="6" t="str">
        <f>IFERROR(__xludf.DUMMYFUNCTION("""COMPUTED_VALUE"""),"High School")</f>
        <v>High School</v>
      </c>
      <c r="J1820" s="6" t="str">
        <f>IFERROR(__xludf.DUMMYFUNCTION("""COMPUTED_VALUE"""),"9")</f>
        <v>9</v>
      </c>
      <c r="K1820" s="6" t="str">
        <f>IFERROR(__xludf.DUMMYFUNCTION("""COMPUTED_VALUE"""),"jaiden.robles@2hourlearning.com")</f>
        <v>jaiden.robles@2hourlearning.com</v>
      </c>
      <c r="L1820" s="6" t="str">
        <f>IFERROR(__xludf.DUMMYFUNCTION("""COMPUTED_VALUE"""),"Irvington High School")</f>
        <v>Irvington High School</v>
      </c>
      <c r="M1820" s="6" t="str">
        <f>IFERROR(__xludf.DUMMYFUNCTION("""COMPUTED_VALUE"""),"")</f>
        <v/>
      </c>
      <c r="N1820" s="6" t="str">
        <f>IFERROR(__xludf.DUMMYFUNCTION("""COMPUTED_VALUE"""),"")</f>
        <v/>
      </c>
      <c r="O1820" s="87" t="str">
        <f>IFERROR(__xludf.DUMMYFUNCTION("""COMPUTED_VALUE"""),"https://drive.google.com/drive/folders/10T2cTQHqEJZqE-st6uFKPoI?usp=share_link")</f>
        <v>https://drive.google.com/drive/folders/10T2cTQHqEJZqE-st6uFKPoI?usp=share_link</v>
      </c>
      <c r="P1820" s="6" t="str">
        <f>IFERROR(__xludf.DUMMYFUNCTION("""COMPUTED_VALUE"""),"Jaiden Robles")</f>
        <v>Jaiden Robles</v>
      </c>
      <c r="Q1820" s="6" t="str">
        <f>IFERROR(__xludf.DUMMYFUNCTION("""COMPUTED_VALUE"""),"HS")</f>
        <v>HS</v>
      </c>
      <c r="R1820" s="6">
        <f>IFERROR(__xludf.DUMMYFUNCTION("""COMPUTED_VALUE"""),0.0)</f>
        <v>0</v>
      </c>
      <c r="S1820" s="6" t="str">
        <f>IFERROR(__xludf.DUMMYFUNCTION("""COMPUTED_VALUE""")," ")</f>
        <v> </v>
      </c>
      <c r="T1820" s="6" t="str">
        <f>IFERROR(__xludf.DUMMYFUNCTION("""COMPUTED_VALUE"""),"")</f>
        <v/>
      </c>
      <c r="U1820" s="6" t="str">
        <f>IFERROR(__xludf.DUMMYFUNCTION("""COMPUTED_VALUE"""),"9")</f>
        <v>9</v>
      </c>
      <c r="V1820" s="6" t="str">
        <f>IFERROR(__xludf.DUMMYFUNCTION("""COMPUTED_VALUE"""),"")</f>
        <v/>
      </c>
      <c r="W1820" s="6" t="str">
        <f>IFERROR(__xludf.DUMMYFUNCTION("""COMPUTED_VALUE"""),"[]")</f>
        <v>[]</v>
      </c>
      <c r="X1820" s="6" t="str">
        <f>IFERROR(__xludf.DUMMYFUNCTION("""COMPUTED_VALUE"""),"Enrolled")</f>
        <v>Enrolled</v>
      </c>
    </row>
    <row r="1821">
      <c r="A1821" s="6" t="str">
        <f>IFERROR(__xludf.DUMMYFUNCTION("""COMPUTED_VALUE"""),"018-0932")</f>
        <v>018-0932</v>
      </c>
      <c r="B1821" s="6" t="str">
        <f>IFERROR(__xludf.DUMMYFUNCTION("""COMPUTED_VALUE"""),"18")</f>
        <v>18</v>
      </c>
      <c r="C1821" s="6" t="str">
        <f>IFERROR(__xludf.DUMMYFUNCTION("""COMPUTED_VALUE"""),"0932")</f>
        <v>0932</v>
      </c>
      <c r="D1821" s="6" t="str">
        <f>IFERROR(__xludf.DUMMYFUNCTION("""COMPUTED_VALUE"""),"Erin")</f>
        <v>Erin</v>
      </c>
      <c r="E1821" s="6" t="str">
        <f>IFERROR(__xludf.DUMMYFUNCTION("""COMPUTED_VALUE"""),"")</f>
        <v/>
      </c>
      <c r="F1821" s="6" t="str">
        <f>IFERROR(__xludf.DUMMYFUNCTION("""COMPUTED_VALUE"""),"Stuart")</f>
        <v>Stuart</v>
      </c>
      <c r="G1821" s="6" t="str">
        <f>IFERROR(__xludf.DUMMYFUNCTION("""COMPUTED_VALUE"""),"12/15/2009")</f>
        <v>12/15/2009</v>
      </c>
      <c r="H1821" s="6" t="str">
        <f>IFERROR(__xludf.DUMMYFUNCTION("""COMPUTED_VALUE"""),"Self Identify")</f>
        <v>Self Identify</v>
      </c>
      <c r="I1821" s="6" t="str">
        <f>IFERROR(__xludf.DUMMYFUNCTION("""COMPUTED_VALUE"""),"High School")</f>
        <v>High School</v>
      </c>
      <c r="J1821" s="6" t="str">
        <f>IFERROR(__xludf.DUMMYFUNCTION("""COMPUTED_VALUE"""),"9")</f>
        <v>9</v>
      </c>
      <c r="K1821" s="6" t="str">
        <f>IFERROR(__xludf.DUMMYFUNCTION("""COMPUTED_VALUE"""),"erin.stuart@2hourlearning.com")</f>
        <v>erin.stuart@2hourlearning.com</v>
      </c>
      <c r="L1821" s="6" t="str">
        <f>IFERROR(__xludf.DUMMYFUNCTION("""COMPUTED_VALUE"""),"Irvington High School")</f>
        <v>Irvington High School</v>
      </c>
      <c r="M1821" s="6" t="str">
        <f>IFERROR(__xludf.DUMMYFUNCTION("""COMPUTED_VALUE"""),"")</f>
        <v/>
      </c>
      <c r="N1821" s="6" t="str">
        <f>IFERROR(__xludf.DUMMYFUNCTION("""COMPUTED_VALUE"""),"")</f>
        <v/>
      </c>
      <c r="O1821" s="87" t="str">
        <f>IFERROR(__xludf.DUMMYFUNCTION("""COMPUTED_VALUE"""),"https://drive.google.com/drive/folders/10T2cTQHqEJZqE-st6uFKPoI?usp=share_link")</f>
        <v>https://drive.google.com/drive/folders/10T2cTQHqEJZqE-st6uFKPoI?usp=share_link</v>
      </c>
      <c r="P1821" s="6" t="str">
        <f>IFERROR(__xludf.DUMMYFUNCTION("""COMPUTED_VALUE"""),"Erin Stuart")</f>
        <v>Erin Stuart</v>
      </c>
      <c r="Q1821" s="6" t="str">
        <f>IFERROR(__xludf.DUMMYFUNCTION("""COMPUTED_VALUE"""),"HS")</f>
        <v>HS</v>
      </c>
      <c r="R1821" s="6">
        <f>IFERROR(__xludf.DUMMYFUNCTION("""COMPUTED_VALUE"""),0.0)</f>
        <v>0</v>
      </c>
      <c r="S1821" s="6" t="str">
        <f>IFERROR(__xludf.DUMMYFUNCTION("""COMPUTED_VALUE""")," ")</f>
        <v> </v>
      </c>
      <c r="T1821" s="6" t="str">
        <f>IFERROR(__xludf.DUMMYFUNCTION("""COMPUTED_VALUE"""),"")</f>
        <v/>
      </c>
      <c r="U1821" s="6" t="str">
        <f>IFERROR(__xludf.DUMMYFUNCTION("""COMPUTED_VALUE"""),"9")</f>
        <v>9</v>
      </c>
      <c r="V1821" s="6" t="str">
        <f>IFERROR(__xludf.DUMMYFUNCTION("""COMPUTED_VALUE"""),"")</f>
        <v/>
      </c>
      <c r="W1821" s="6" t="str">
        <f>IFERROR(__xludf.DUMMYFUNCTION("""COMPUTED_VALUE"""),"[]")</f>
        <v>[]</v>
      </c>
      <c r="X1821" s="6" t="str">
        <f>IFERROR(__xludf.DUMMYFUNCTION("""COMPUTED_VALUE"""),"Enrolled")</f>
        <v>Enrolled</v>
      </c>
    </row>
    <row r="1822">
      <c r="A1822" s="6" t="str">
        <f>IFERROR(__xludf.DUMMYFUNCTION("""COMPUTED_VALUE"""),"018-0933")</f>
        <v>018-0933</v>
      </c>
      <c r="B1822" s="6" t="str">
        <f>IFERROR(__xludf.DUMMYFUNCTION("""COMPUTED_VALUE"""),"18")</f>
        <v>18</v>
      </c>
      <c r="C1822" s="6" t="str">
        <f>IFERROR(__xludf.DUMMYFUNCTION("""COMPUTED_VALUE"""),"0933")</f>
        <v>0933</v>
      </c>
      <c r="D1822" s="6" t="str">
        <f>IFERROR(__xludf.DUMMYFUNCTION("""COMPUTED_VALUE"""),"Sivaimauga")</f>
        <v>Sivaimauga</v>
      </c>
      <c r="E1822" s="6" t="str">
        <f>IFERROR(__xludf.DUMMYFUNCTION("""COMPUTED_VALUE"""),"")</f>
        <v/>
      </c>
      <c r="F1822" s="6" t="str">
        <f>IFERROR(__xludf.DUMMYFUNCTION("""COMPUTED_VALUE"""),"Ah Loe")</f>
        <v>Ah Loe</v>
      </c>
      <c r="G1822" s="6" t="str">
        <f>IFERROR(__xludf.DUMMYFUNCTION("""COMPUTED_VALUE"""),"12/15/2009")</f>
        <v>12/15/2009</v>
      </c>
      <c r="H1822" s="6" t="str">
        <f>IFERROR(__xludf.DUMMYFUNCTION("""COMPUTED_VALUE"""),"Self Identify")</f>
        <v>Self Identify</v>
      </c>
      <c r="I1822" s="6" t="str">
        <f>IFERROR(__xludf.DUMMYFUNCTION("""COMPUTED_VALUE"""),"High School")</f>
        <v>High School</v>
      </c>
      <c r="J1822" s="6" t="str">
        <f>IFERROR(__xludf.DUMMYFUNCTION("""COMPUTED_VALUE"""),"9")</f>
        <v>9</v>
      </c>
      <c r="K1822" s="6" t="str">
        <f>IFERROR(__xludf.DUMMYFUNCTION("""COMPUTED_VALUE"""),"sivaimauga.ahloe@2hourlearning.com")</f>
        <v>sivaimauga.ahloe@2hourlearning.com</v>
      </c>
      <c r="L1822" s="6" t="str">
        <f>IFERROR(__xludf.DUMMYFUNCTION("""COMPUTED_VALUE"""),"Irvington High School")</f>
        <v>Irvington High School</v>
      </c>
      <c r="M1822" s="6" t="str">
        <f>IFERROR(__xludf.DUMMYFUNCTION("""COMPUTED_VALUE"""),"")</f>
        <v/>
      </c>
      <c r="N1822" s="6" t="str">
        <f>IFERROR(__xludf.DUMMYFUNCTION("""COMPUTED_VALUE"""),"")</f>
        <v/>
      </c>
      <c r="O1822" s="87" t="str">
        <f>IFERROR(__xludf.DUMMYFUNCTION("""COMPUTED_VALUE"""),"https://drive.google.com/drive/folders/10T2cTQHqEJZqE-st6uFKPoI?usp=share_link")</f>
        <v>https://drive.google.com/drive/folders/10T2cTQHqEJZqE-st6uFKPoI?usp=share_link</v>
      </c>
      <c r="P1822" s="6" t="str">
        <f>IFERROR(__xludf.DUMMYFUNCTION("""COMPUTED_VALUE"""),"Sivaimauga Ah Loe")</f>
        <v>Sivaimauga Ah Loe</v>
      </c>
      <c r="Q1822" s="6" t="str">
        <f>IFERROR(__xludf.DUMMYFUNCTION("""COMPUTED_VALUE"""),"HS")</f>
        <v>HS</v>
      </c>
      <c r="R1822" s="6">
        <f>IFERROR(__xludf.DUMMYFUNCTION("""COMPUTED_VALUE"""),0.0)</f>
        <v>0</v>
      </c>
      <c r="S1822" s="6" t="str">
        <f>IFERROR(__xludf.DUMMYFUNCTION("""COMPUTED_VALUE""")," ")</f>
        <v> </v>
      </c>
      <c r="T1822" s="6" t="str">
        <f>IFERROR(__xludf.DUMMYFUNCTION("""COMPUTED_VALUE"""),"")</f>
        <v/>
      </c>
      <c r="U1822" s="6" t="str">
        <f>IFERROR(__xludf.DUMMYFUNCTION("""COMPUTED_VALUE"""),"9")</f>
        <v>9</v>
      </c>
      <c r="V1822" s="6" t="str">
        <f>IFERROR(__xludf.DUMMYFUNCTION("""COMPUTED_VALUE"""),"")</f>
        <v/>
      </c>
      <c r="W1822" s="6" t="str">
        <f>IFERROR(__xludf.DUMMYFUNCTION("""COMPUTED_VALUE"""),"[]")</f>
        <v>[]</v>
      </c>
      <c r="X1822" s="6" t="str">
        <f>IFERROR(__xludf.DUMMYFUNCTION("""COMPUTED_VALUE"""),"Enrolled")</f>
        <v>Enrolled</v>
      </c>
    </row>
    <row r="1823">
      <c r="A1823" s="6" t="str">
        <f>IFERROR(__xludf.DUMMYFUNCTION("""COMPUTED_VALUE"""),"018-0934")</f>
        <v>018-0934</v>
      </c>
      <c r="B1823" s="6" t="str">
        <f>IFERROR(__xludf.DUMMYFUNCTION("""COMPUTED_VALUE"""),"18")</f>
        <v>18</v>
      </c>
      <c r="C1823" s="6" t="str">
        <f>IFERROR(__xludf.DUMMYFUNCTION("""COMPUTED_VALUE"""),"0934")</f>
        <v>0934</v>
      </c>
      <c r="D1823" s="6" t="str">
        <f>IFERROR(__xludf.DUMMYFUNCTION("""COMPUTED_VALUE"""),"Amena")</f>
        <v>Amena</v>
      </c>
      <c r="E1823" s="6" t="str">
        <f>IFERROR(__xludf.DUMMYFUNCTION("""COMPUTED_VALUE"""),"")</f>
        <v/>
      </c>
      <c r="F1823" s="6" t="str">
        <f>IFERROR(__xludf.DUMMYFUNCTION("""COMPUTED_VALUE"""),"Hashemi")</f>
        <v>Hashemi</v>
      </c>
      <c r="G1823" s="6" t="str">
        <f>IFERROR(__xludf.DUMMYFUNCTION("""COMPUTED_VALUE"""),"12/15/2009")</f>
        <v>12/15/2009</v>
      </c>
      <c r="H1823" s="6" t="str">
        <f>IFERROR(__xludf.DUMMYFUNCTION("""COMPUTED_VALUE"""),"Self Identify")</f>
        <v>Self Identify</v>
      </c>
      <c r="I1823" s="6" t="str">
        <f>IFERROR(__xludf.DUMMYFUNCTION("""COMPUTED_VALUE"""),"High School")</f>
        <v>High School</v>
      </c>
      <c r="J1823" s="6" t="str">
        <f>IFERROR(__xludf.DUMMYFUNCTION("""COMPUTED_VALUE"""),"9")</f>
        <v>9</v>
      </c>
      <c r="K1823" s="6" t="str">
        <f>IFERROR(__xludf.DUMMYFUNCTION("""COMPUTED_VALUE"""),"amena.hashemi@2hourlearning.com")</f>
        <v>amena.hashemi@2hourlearning.com</v>
      </c>
      <c r="L1823" s="6" t="str">
        <f>IFERROR(__xludf.DUMMYFUNCTION("""COMPUTED_VALUE"""),"Irvington High School")</f>
        <v>Irvington High School</v>
      </c>
      <c r="M1823" s="6" t="str">
        <f>IFERROR(__xludf.DUMMYFUNCTION("""COMPUTED_VALUE"""),"")</f>
        <v/>
      </c>
      <c r="N1823" s="6" t="str">
        <f>IFERROR(__xludf.DUMMYFUNCTION("""COMPUTED_VALUE"""),"")</f>
        <v/>
      </c>
      <c r="O1823" s="87" t="str">
        <f>IFERROR(__xludf.DUMMYFUNCTION("""COMPUTED_VALUE"""),"https://drive.google.com/drive/folders/10T2cTQHqEJZqE-st6uFKPoI?usp=share_link")</f>
        <v>https://drive.google.com/drive/folders/10T2cTQHqEJZqE-st6uFKPoI?usp=share_link</v>
      </c>
      <c r="P1823" s="6" t="str">
        <f>IFERROR(__xludf.DUMMYFUNCTION("""COMPUTED_VALUE"""),"Amena Hashemi")</f>
        <v>Amena Hashemi</v>
      </c>
      <c r="Q1823" s="6" t="str">
        <f>IFERROR(__xludf.DUMMYFUNCTION("""COMPUTED_VALUE"""),"HS")</f>
        <v>HS</v>
      </c>
      <c r="R1823" s="6">
        <f>IFERROR(__xludf.DUMMYFUNCTION("""COMPUTED_VALUE"""),0.0)</f>
        <v>0</v>
      </c>
      <c r="S1823" s="6" t="str">
        <f>IFERROR(__xludf.DUMMYFUNCTION("""COMPUTED_VALUE""")," ")</f>
        <v> </v>
      </c>
      <c r="T1823" s="6" t="str">
        <f>IFERROR(__xludf.DUMMYFUNCTION("""COMPUTED_VALUE"""),"")</f>
        <v/>
      </c>
      <c r="U1823" s="6" t="str">
        <f>IFERROR(__xludf.DUMMYFUNCTION("""COMPUTED_VALUE"""),"9")</f>
        <v>9</v>
      </c>
      <c r="V1823" s="6" t="str">
        <f>IFERROR(__xludf.DUMMYFUNCTION("""COMPUTED_VALUE"""),"")</f>
        <v/>
      </c>
      <c r="W1823" s="6" t="str">
        <f>IFERROR(__xludf.DUMMYFUNCTION("""COMPUTED_VALUE"""),"[]")</f>
        <v>[]</v>
      </c>
      <c r="X1823" s="6" t="str">
        <f>IFERROR(__xludf.DUMMYFUNCTION("""COMPUTED_VALUE"""),"Enrolled")</f>
        <v>Enrolled</v>
      </c>
    </row>
    <row r="1824">
      <c r="A1824" s="6" t="str">
        <f>IFERROR(__xludf.DUMMYFUNCTION("""COMPUTED_VALUE"""),"018-0936")</f>
        <v>018-0936</v>
      </c>
      <c r="B1824" s="6" t="str">
        <f>IFERROR(__xludf.DUMMYFUNCTION("""COMPUTED_VALUE"""),"18")</f>
        <v>18</v>
      </c>
      <c r="C1824" s="6" t="str">
        <f>IFERROR(__xludf.DUMMYFUNCTION("""COMPUTED_VALUE"""),"0936")</f>
        <v>0936</v>
      </c>
      <c r="D1824" s="6" t="str">
        <f>IFERROR(__xludf.DUMMYFUNCTION("""COMPUTED_VALUE"""),"Nasib")</f>
        <v>Nasib</v>
      </c>
      <c r="E1824" s="6" t="str">
        <f>IFERROR(__xludf.DUMMYFUNCTION("""COMPUTED_VALUE"""),"")</f>
        <v/>
      </c>
      <c r="F1824" s="6" t="str">
        <f>IFERROR(__xludf.DUMMYFUNCTION("""COMPUTED_VALUE"""),"Rahman")</f>
        <v>Rahman</v>
      </c>
      <c r="G1824" s="6" t="str">
        <f>IFERROR(__xludf.DUMMYFUNCTION("""COMPUTED_VALUE"""),"12/15/2009")</f>
        <v>12/15/2009</v>
      </c>
      <c r="H1824" s="6" t="str">
        <f>IFERROR(__xludf.DUMMYFUNCTION("""COMPUTED_VALUE"""),"Self Identify")</f>
        <v>Self Identify</v>
      </c>
      <c r="I1824" s="6" t="str">
        <f>IFERROR(__xludf.DUMMYFUNCTION("""COMPUTED_VALUE"""),"High School")</f>
        <v>High School</v>
      </c>
      <c r="J1824" s="6" t="str">
        <f>IFERROR(__xludf.DUMMYFUNCTION("""COMPUTED_VALUE"""),"9")</f>
        <v>9</v>
      </c>
      <c r="K1824" s="6" t="str">
        <f>IFERROR(__xludf.DUMMYFUNCTION("""COMPUTED_VALUE"""),"nasib.rahman@2hourlearning.com")</f>
        <v>nasib.rahman@2hourlearning.com</v>
      </c>
      <c r="L1824" s="6" t="str">
        <f>IFERROR(__xludf.DUMMYFUNCTION("""COMPUTED_VALUE"""),"Irvington High School")</f>
        <v>Irvington High School</v>
      </c>
      <c r="M1824" s="6" t="str">
        <f>IFERROR(__xludf.DUMMYFUNCTION("""COMPUTED_VALUE"""),"")</f>
        <v/>
      </c>
      <c r="N1824" s="6" t="str">
        <f>IFERROR(__xludf.DUMMYFUNCTION("""COMPUTED_VALUE"""),"")</f>
        <v/>
      </c>
      <c r="O1824" s="87" t="str">
        <f>IFERROR(__xludf.DUMMYFUNCTION("""COMPUTED_VALUE"""),"https://drive.google.com/drive/folders/10T2cTQHqEJZqE-st6uFKPoI?usp=share_link")</f>
        <v>https://drive.google.com/drive/folders/10T2cTQHqEJZqE-st6uFKPoI?usp=share_link</v>
      </c>
      <c r="P1824" s="6" t="str">
        <f>IFERROR(__xludf.DUMMYFUNCTION("""COMPUTED_VALUE"""),"Nasib Rahman")</f>
        <v>Nasib Rahman</v>
      </c>
      <c r="Q1824" s="6" t="str">
        <f>IFERROR(__xludf.DUMMYFUNCTION("""COMPUTED_VALUE"""),"HS")</f>
        <v>HS</v>
      </c>
      <c r="R1824" s="6">
        <f>IFERROR(__xludf.DUMMYFUNCTION("""COMPUTED_VALUE"""),0.0)</f>
        <v>0</v>
      </c>
      <c r="S1824" s="6" t="str">
        <f>IFERROR(__xludf.DUMMYFUNCTION("""COMPUTED_VALUE""")," ")</f>
        <v> </v>
      </c>
      <c r="T1824" s="6" t="str">
        <f>IFERROR(__xludf.DUMMYFUNCTION("""COMPUTED_VALUE"""),"")</f>
        <v/>
      </c>
      <c r="U1824" s="6" t="str">
        <f>IFERROR(__xludf.DUMMYFUNCTION("""COMPUTED_VALUE"""),"9")</f>
        <v>9</v>
      </c>
      <c r="V1824" s="6" t="str">
        <f>IFERROR(__xludf.DUMMYFUNCTION("""COMPUTED_VALUE"""),"")</f>
        <v/>
      </c>
      <c r="W1824" s="6" t="str">
        <f>IFERROR(__xludf.DUMMYFUNCTION("""COMPUTED_VALUE"""),"[]")</f>
        <v>[]</v>
      </c>
      <c r="X1824" s="6" t="str">
        <f>IFERROR(__xludf.DUMMYFUNCTION("""COMPUTED_VALUE"""),"Enrolled")</f>
        <v>Enrolled</v>
      </c>
    </row>
    <row r="1825">
      <c r="A1825" s="6" t="str">
        <f>IFERROR(__xludf.DUMMYFUNCTION("""COMPUTED_VALUE"""),"018-0937")</f>
        <v>018-0937</v>
      </c>
      <c r="B1825" s="6" t="str">
        <f>IFERROR(__xludf.DUMMYFUNCTION("""COMPUTED_VALUE"""),"18")</f>
        <v>18</v>
      </c>
      <c r="C1825" s="6" t="str">
        <f>IFERROR(__xludf.DUMMYFUNCTION("""COMPUTED_VALUE"""),"0937")</f>
        <v>0937</v>
      </c>
      <c r="D1825" s="6" t="str">
        <f>IFERROR(__xludf.DUMMYFUNCTION("""COMPUTED_VALUE"""),"Katherine")</f>
        <v>Katherine</v>
      </c>
      <c r="E1825" s="6" t="str">
        <f>IFERROR(__xludf.DUMMYFUNCTION("""COMPUTED_VALUE"""),"")</f>
        <v/>
      </c>
      <c r="F1825" s="6" t="str">
        <f>IFERROR(__xludf.DUMMYFUNCTION("""COMPUTED_VALUE"""),"Ropue Umana")</f>
        <v>Ropue Umana</v>
      </c>
      <c r="G1825" s="6" t="str">
        <f>IFERROR(__xludf.DUMMYFUNCTION("""COMPUTED_VALUE"""),"12/15/2009")</f>
        <v>12/15/2009</v>
      </c>
      <c r="H1825" s="6" t="str">
        <f>IFERROR(__xludf.DUMMYFUNCTION("""COMPUTED_VALUE"""),"Self Identify")</f>
        <v>Self Identify</v>
      </c>
      <c r="I1825" s="6" t="str">
        <f>IFERROR(__xludf.DUMMYFUNCTION("""COMPUTED_VALUE"""),"High School")</f>
        <v>High School</v>
      </c>
      <c r="J1825" s="6" t="str">
        <f>IFERROR(__xludf.DUMMYFUNCTION("""COMPUTED_VALUE"""),"9")</f>
        <v>9</v>
      </c>
      <c r="K1825" s="6" t="str">
        <f>IFERROR(__xludf.DUMMYFUNCTION("""COMPUTED_VALUE"""),"katherine.ropue-umana@2hourlearning.com")</f>
        <v>katherine.ropue-umana@2hourlearning.com</v>
      </c>
      <c r="L1825" s="6" t="str">
        <f>IFERROR(__xludf.DUMMYFUNCTION("""COMPUTED_VALUE"""),"Irvington High School")</f>
        <v>Irvington High School</v>
      </c>
      <c r="M1825" s="6" t="str">
        <f>IFERROR(__xludf.DUMMYFUNCTION("""COMPUTED_VALUE"""),"")</f>
        <v/>
      </c>
      <c r="N1825" s="6" t="str">
        <f>IFERROR(__xludf.DUMMYFUNCTION("""COMPUTED_VALUE"""),"")</f>
        <v/>
      </c>
      <c r="O1825" s="87" t="str">
        <f>IFERROR(__xludf.DUMMYFUNCTION("""COMPUTED_VALUE"""),"https://drive.google.com/drive/folders/10T2cTQHqEJZqE-st6uFKPoI?usp=share_link")</f>
        <v>https://drive.google.com/drive/folders/10T2cTQHqEJZqE-st6uFKPoI?usp=share_link</v>
      </c>
      <c r="P1825" s="6" t="str">
        <f>IFERROR(__xludf.DUMMYFUNCTION("""COMPUTED_VALUE"""),"Katherine Ropue Umana")</f>
        <v>Katherine Ropue Umana</v>
      </c>
      <c r="Q1825" s="6" t="str">
        <f>IFERROR(__xludf.DUMMYFUNCTION("""COMPUTED_VALUE"""),"HS")</f>
        <v>HS</v>
      </c>
      <c r="R1825" s="6">
        <f>IFERROR(__xludf.DUMMYFUNCTION("""COMPUTED_VALUE"""),0.0)</f>
        <v>0</v>
      </c>
      <c r="S1825" s="6" t="str">
        <f>IFERROR(__xludf.DUMMYFUNCTION("""COMPUTED_VALUE""")," ")</f>
        <v> </v>
      </c>
      <c r="T1825" s="6" t="str">
        <f>IFERROR(__xludf.DUMMYFUNCTION("""COMPUTED_VALUE"""),"")</f>
        <v/>
      </c>
      <c r="U1825" s="6" t="str">
        <f>IFERROR(__xludf.DUMMYFUNCTION("""COMPUTED_VALUE"""),"9")</f>
        <v>9</v>
      </c>
      <c r="V1825" s="6" t="str">
        <f>IFERROR(__xludf.DUMMYFUNCTION("""COMPUTED_VALUE"""),"")</f>
        <v/>
      </c>
      <c r="W1825" s="6" t="str">
        <f>IFERROR(__xludf.DUMMYFUNCTION("""COMPUTED_VALUE"""),"[]")</f>
        <v>[]</v>
      </c>
      <c r="X1825" s="6" t="str">
        <f>IFERROR(__xludf.DUMMYFUNCTION("""COMPUTED_VALUE"""),"Enrolled")</f>
        <v>Enrolled</v>
      </c>
    </row>
    <row r="1826">
      <c r="A1826" s="6" t="str">
        <f>IFERROR(__xludf.DUMMYFUNCTION("""COMPUTED_VALUE"""),"018-0938")</f>
        <v>018-0938</v>
      </c>
      <c r="B1826" s="6" t="str">
        <f>IFERROR(__xludf.DUMMYFUNCTION("""COMPUTED_VALUE"""),"18")</f>
        <v>18</v>
      </c>
      <c r="C1826" s="6" t="str">
        <f>IFERROR(__xludf.DUMMYFUNCTION("""COMPUTED_VALUE"""),"0938")</f>
        <v>0938</v>
      </c>
      <c r="D1826" s="6" t="str">
        <f>IFERROR(__xludf.DUMMYFUNCTION("""COMPUTED_VALUE"""),"Ahmed Yousuf")</f>
        <v>Ahmed Yousuf</v>
      </c>
      <c r="E1826" s="6" t="str">
        <f>IFERROR(__xludf.DUMMYFUNCTION("""COMPUTED_VALUE"""),"")</f>
        <v/>
      </c>
      <c r="F1826" s="6" t="str">
        <f>IFERROR(__xludf.DUMMYFUNCTION("""COMPUTED_VALUE"""),"Shaik")</f>
        <v>Shaik</v>
      </c>
      <c r="G1826" s="6" t="str">
        <f>IFERROR(__xludf.DUMMYFUNCTION("""COMPUTED_VALUE"""),"12/15/2009")</f>
        <v>12/15/2009</v>
      </c>
      <c r="H1826" s="6" t="str">
        <f>IFERROR(__xludf.DUMMYFUNCTION("""COMPUTED_VALUE"""),"Self Identify")</f>
        <v>Self Identify</v>
      </c>
      <c r="I1826" s="6" t="str">
        <f>IFERROR(__xludf.DUMMYFUNCTION("""COMPUTED_VALUE"""),"High School")</f>
        <v>High School</v>
      </c>
      <c r="J1826" s="6" t="str">
        <f>IFERROR(__xludf.DUMMYFUNCTION("""COMPUTED_VALUE"""),"9")</f>
        <v>9</v>
      </c>
      <c r="K1826" s="6" t="str">
        <f>IFERROR(__xludf.DUMMYFUNCTION("""COMPUTED_VALUE"""),"ahmed-yousuf.shaik@2hourlearning.com")</f>
        <v>ahmed-yousuf.shaik@2hourlearning.com</v>
      </c>
      <c r="L1826" s="6" t="str">
        <f>IFERROR(__xludf.DUMMYFUNCTION("""COMPUTED_VALUE"""),"Irvington High School")</f>
        <v>Irvington High School</v>
      </c>
      <c r="M1826" s="6" t="str">
        <f>IFERROR(__xludf.DUMMYFUNCTION("""COMPUTED_VALUE"""),"")</f>
        <v/>
      </c>
      <c r="N1826" s="6" t="str">
        <f>IFERROR(__xludf.DUMMYFUNCTION("""COMPUTED_VALUE"""),"")</f>
        <v/>
      </c>
      <c r="O1826" s="87" t="str">
        <f>IFERROR(__xludf.DUMMYFUNCTION("""COMPUTED_VALUE"""),"https://drive.google.com/drive/folders/10T2cTQHqEJZqE-st6uFKPoI?usp=share_link")</f>
        <v>https://drive.google.com/drive/folders/10T2cTQHqEJZqE-st6uFKPoI?usp=share_link</v>
      </c>
      <c r="P1826" s="6" t="str">
        <f>IFERROR(__xludf.DUMMYFUNCTION("""COMPUTED_VALUE"""),"Ahmed Yousuf Shaik")</f>
        <v>Ahmed Yousuf Shaik</v>
      </c>
      <c r="Q1826" s="6" t="str">
        <f>IFERROR(__xludf.DUMMYFUNCTION("""COMPUTED_VALUE"""),"HS")</f>
        <v>HS</v>
      </c>
      <c r="R1826" s="6">
        <f>IFERROR(__xludf.DUMMYFUNCTION("""COMPUTED_VALUE"""),0.0)</f>
        <v>0</v>
      </c>
      <c r="S1826" s="6" t="str">
        <f>IFERROR(__xludf.DUMMYFUNCTION("""COMPUTED_VALUE""")," ")</f>
        <v> </v>
      </c>
      <c r="T1826" s="6" t="str">
        <f>IFERROR(__xludf.DUMMYFUNCTION("""COMPUTED_VALUE"""),"")</f>
        <v/>
      </c>
      <c r="U1826" s="6" t="str">
        <f>IFERROR(__xludf.DUMMYFUNCTION("""COMPUTED_VALUE"""),"9")</f>
        <v>9</v>
      </c>
      <c r="V1826" s="6" t="str">
        <f>IFERROR(__xludf.DUMMYFUNCTION("""COMPUTED_VALUE"""),"")</f>
        <v/>
      </c>
      <c r="W1826" s="6" t="str">
        <f>IFERROR(__xludf.DUMMYFUNCTION("""COMPUTED_VALUE"""),"[]")</f>
        <v>[]</v>
      </c>
      <c r="X1826" s="6" t="str">
        <f>IFERROR(__xludf.DUMMYFUNCTION("""COMPUTED_VALUE"""),"Enrolled")</f>
        <v>Enrolled</v>
      </c>
    </row>
    <row r="1827">
      <c r="A1827" s="6" t="str">
        <f>IFERROR(__xludf.DUMMYFUNCTION("""COMPUTED_VALUE"""),"018-0940")</f>
        <v>018-0940</v>
      </c>
      <c r="B1827" s="6" t="str">
        <f>IFERROR(__xludf.DUMMYFUNCTION("""COMPUTED_VALUE"""),"18")</f>
        <v>18</v>
      </c>
      <c r="C1827" s="6" t="str">
        <f>IFERROR(__xludf.DUMMYFUNCTION("""COMPUTED_VALUE"""),"0940")</f>
        <v>0940</v>
      </c>
      <c r="D1827" s="6" t="str">
        <f>IFERROR(__xludf.DUMMYFUNCTION("""COMPUTED_VALUE"""),"Su")</f>
        <v>Su</v>
      </c>
      <c r="E1827" s="6" t="str">
        <f>IFERROR(__xludf.DUMMYFUNCTION("""COMPUTED_VALUE"""),"")</f>
        <v/>
      </c>
      <c r="F1827" s="6" t="str">
        <f>IFERROR(__xludf.DUMMYFUNCTION("""COMPUTED_VALUE"""),"Park")</f>
        <v>Park</v>
      </c>
      <c r="G1827" s="6" t="str">
        <f>IFERROR(__xludf.DUMMYFUNCTION("""COMPUTED_VALUE"""),"12/15/2008")</f>
        <v>12/15/2008</v>
      </c>
      <c r="H1827" s="6" t="str">
        <f>IFERROR(__xludf.DUMMYFUNCTION("""COMPUTED_VALUE"""),"Self Identify")</f>
        <v>Self Identify</v>
      </c>
      <c r="I1827" s="6" t="str">
        <f>IFERROR(__xludf.DUMMYFUNCTION("""COMPUTED_VALUE"""),"High School")</f>
        <v>High School</v>
      </c>
      <c r="J1827" s="6" t="str">
        <f>IFERROR(__xludf.DUMMYFUNCTION("""COMPUTED_VALUE"""),"10")</f>
        <v>10</v>
      </c>
      <c r="K1827" s="6" t="str">
        <f>IFERROR(__xludf.DUMMYFUNCTION("""COMPUTED_VALUE"""),"su.park@2hourlearning.com")</f>
        <v>su.park@2hourlearning.com</v>
      </c>
      <c r="L1827" s="6" t="str">
        <f>IFERROR(__xludf.DUMMYFUNCTION("""COMPUTED_VALUE"""),"Irvington High School")</f>
        <v>Irvington High School</v>
      </c>
      <c r="M1827" s="6" t="str">
        <f>IFERROR(__xludf.DUMMYFUNCTION("""COMPUTED_VALUE"""),"")</f>
        <v/>
      </c>
      <c r="N1827" s="6" t="str">
        <f>IFERROR(__xludf.DUMMYFUNCTION("""COMPUTED_VALUE"""),"")</f>
        <v/>
      </c>
      <c r="O1827" s="87" t="str">
        <f>IFERROR(__xludf.DUMMYFUNCTION("""COMPUTED_VALUE"""),"https://drive.google.com/drive/folders/10T2cTQHqEJZqE-st6uFKPoI?usp=share_link")</f>
        <v>https://drive.google.com/drive/folders/10T2cTQHqEJZqE-st6uFKPoI?usp=share_link</v>
      </c>
      <c r="P1827" s="6" t="str">
        <f>IFERROR(__xludf.DUMMYFUNCTION("""COMPUTED_VALUE"""),"Su Park")</f>
        <v>Su Park</v>
      </c>
      <c r="Q1827" s="6" t="str">
        <f>IFERROR(__xludf.DUMMYFUNCTION("""COMPUTED_VALUE"""),"HS")</f>
        <v>HS</v>
      </c>
      <c r="R1827" s="6">
        <f>IFERROR(__xludf.DUMMYFUNCTION("""COMPUTED_VALUE"""),0.0)</f>
        <v>0</v>
      </c>
      <c r="S1827" s="6" t="str">
        <f>IFERROR(__xludf.DUMMYFUNCTION("""COMPUTED_VALUE""")," ")</f>
        <v> </v>
      </c>
      <c r="T1827" s="6" t="str">
        <f>IFERROR(__xludf.DUMMYFUNCTION("""COMPUTED_VALUE"""),"")</f>
        <v/>
      </c>
      <c r="U1827" s="6" t="str">
        <f>IFERROR(__xludf.DUMMYFUNCTION("""COMPUTED_VALUE"""),"10")</f>
        <v>10</v>
      </c>
      <c r="V1827" s="6" t="str">
        <f>IFERROR(__xludf.DUMMYFUNCTION("""COMPUTED_VALUE"""),"")</f>
        <v/>
      </c>
      <c r="W1827" s="6" t="str">
        <f>IFERROR(__xludf.DUMMYFUNCTION("""COMPUTED_VALUE"""),"[]")</f>
        <v>[]</v>
      </c>
      <c r="X1827" s="6" t="str">
        <f>IFERROR(__xludf.DUMMYFUNCTION("""COMPUTED_VALUE"""),"Enrolled")</f>
        <v>Enrolled</v>
      </c>
    </row>
    <row r="1828">
      <c r="A1828" s="6" t="str">
        <f>IFERROR(__xludf.DUMMYFUNCTION("""COMPUTED_VALUE"""),"018-0941")</f>
        <v>018-0941</v>
      </c>
      <c r="B1828" s="6" t="str">
        <f>IFERROR(__xludf.DUMMYFUNCTION("""COMPUTED_VALUE"""),"18")</f>
        <v>18</v>
      </c>
      <c r="C1828" s="6" t="str">
        <f>IFERROR(__xludf.DUMMYFUNCTION("""COMPUTED_VALUE"""),"0941")</f>
        <v>0941</v>
      </c>
      <c r="D1828" s="6" t="str">
        <f>IFERROR(__xludf.DUMMYFUNCTION("""COMPUTED_VALUE"""),"Melanie")</f>
        <v>Melanie</v>
      </c>
      <c r="E1828" s="6" t="str">
        <f>IFERROR(__xludf.DUMMYFUNCTION("""COMPUTED_VALUE"""),"")</f>
        <v/>
      </c>
      <c r="F1828" s="6" t="str">
        <f>IFERROR(__xludf.DUMMYFUNCTION("""COMPUTED_VALUE"""),"Ortiz-Santellan")</f>
        <v>Ortiz-Santellan</v>
      </c>
      <c r="G1828" s="6" t="str">
        <f>IFERROR(__xludf.DUMMYFUNCTION("""COMPUTED_VALUE"""),"12/15/2007")</f>
        <v>12/15/2007</v>
      </c>
      <c r="H1828" s="6" t="str">
        <f>IFERROR(__xludf.DUMMYFUNCTION("""COMPUTED_VALUE"""),"Self Identify")</f>
        <v>Self Identify</v>
      </c>
      <c r="I1828" s="6" t="str">
        <f>IFERROR(__xludf.DUMMYFUNCTION("""COMPUTED_VALUE"""),"High School")</f>
        <v>High School</v>
      </c>
      <c r="J1828" s="6" t="str">
        <f>IFERROR(__xludf.DUMMYFUNCTION("""COMPUTED_VALUE"""),"11")</f>
        <v>11</v>
      </c>
      <c r="K1828" s="6" t="str">
        <f>IFERROR(__xludf.DUMMYFUNCTION("""COMPUTED_VALUE"""),"melanie.ortiz-santellan@2hourlearning.com")</f>
        <v>melanie.ortiz-santellan@2hourlearning.com</v>
      </c>
      <c r="L1828" s="6" t="str">
        <f>IFERROR(__xludf.DUMMYFUNCTION("""COMPUTED_VALUE"""),"Irvington High School")</f>
        <v>Irvington High School</v>
      </c>
      <c r="M1828" s="6" t="str">
        <f>IFERROR(__xludf.DUMMYFUNCTION("""COMPUTED_VALUE"""),"")</f>
        <v/>
      </c>
      <c r="N1828" s="6" t="str">
        <f>IFERROR(__xludf.DUMMYFUNCTION("""COMPUTED_VALUE"""),"")</f>
        <v/>
      </c>
      <c r="O1828" s="87" t="str">
        <f>IFERROR(__xludf.DUMMYFUNCTION("""COMPUTED_VALUE"""),"https://drive.google.com/drive/folders/10T2cTQHqEJZqE-st6uFKPoI?usp=share_link")</f>
        <v>https://drive.google.com/drive/folders/10T2cTQHqEJZqE-st6uFKPoI?usp=share_link</v>
      </c>
      <c r="P1828" s="6" t="str">
        <f>IFERROR(__xludf.DUMMYFUNCTION("""COMPUTED_VALUE"""),"Melanie Ortiz-Santellan")</f>
        <v>Melanie Ortiz-Santellan</v>
      </c>
      <c r="Q1828" s="6" t="str">
        <f>IFERROR(__xludf.DUMMYFUNCTION("""COMPUTED_VALUE"""),"HS")</f>
        <v>HS</v>
      </c>
      <c r="R1828" s="6">
        <f>IFERROR(__xludf.DUMMYFUNCTION("""COMPUTED_VALUE"""),0.0)</f>
        <v>0</v>
      </c>
      <c r="S1828" s="6" t="str">
        <f>IFERROR(__xludf.DUMMYFUNCTION("""COMPUTED_VALUE""")," ")</f>
        <v> </v>
      </c>
      <c r="T1828" s="6" t="str">
        <f>IFERROR(__xludf.DUMMYFUNCTION("""COMPUTED_VALUE"""),"")</f>
        <v/>
      </c>
      <c r="U1828" s="6" t="str">
        <f>IFERROR(__xludf.DUMMYFUNCTION("""COMPUTED_VALUE"""),"11")</f>
        <v>11</v>
      </c>
      <c r="V1828" s="6" t="str">
        <f>IFERROR(__xludf.DUMMYFUNCTION("""COMPUTED_VALUE"""),"")</f>
        <v/>
      </c>
      <c r="W1828" s="6" t="str">
        <f>IFERROR(__xludf.DUMMYFUNCTION("""COMPUTED_VALUE"""),"[]")</f>
        <v>[]</v>
      </c>
      <c r="X1828" s="6" t="str">
        <f>IFERROR(__xludf.DUMMYFUNCTION("""COMPUTED_VALUE"""),"Enrolled")</f>
        <v>Enrolled</v>
      </c>
    </row>
    <row r="1829">
      <c r="A1829" s="6" t="str">
        <f>IFERROR(__xludf.DUMMYFUNCTION("""COMPUTED_VALUE"""),"018-0947")</f>
        <v>018-0947</v>
      </c>
      <c r="B1829" s="6" t="str">
        <f>IFERROR(__xludf.DUMMYFUNCTION("""COMPUTED_VALUE"""),"18")</f>
        <v>18</v>
      </c>
      <c r="C1829" s="6" t="str">
        <f>IFERROR(__xludf.DUMMYFUNCTION("""COMPUTED_VALUE"""),"0947")</f>
        <v>0947</v>
      </c>
      <c r="D1829" s="6" t="str">
        <f>IFERROR(__xludf.DUMMYFUNCTION("""COMPUTED_VALUE"""),"Ana")</f>
        <v>Ana</v>
      </c>
      <c r="E1829" s="6" t="str">
        <f>IFERROR(__xludf.DUMMYFUNCTION("""COMPUTED_VALUE"""),"")</f>
        <v/>
      </c>
      <c r="F1829" s="6" t="str">
        <f>IFERROR(__xludf.DUMMYFUNCTION("""COMPUTED_VALUE"""),"Cruz-Rodriguez")</f>
        <v>Cruz-Rodriguez</v>
      </c>
      <c r="G1829" s="6" t="str">
        <f>IFERROR(__xludf.DUMMYFUNCTION("""COMPUTED_VALUE"""),"12/15/2009")</f>
        <v>12/15/2009</v>
      </c>
      <c r="H1829" s="6" t="str">
        <f>IFERROR(__xludf.DUMMYFUNCTION("""COMPUTED_VALUE"""),"Self Identify")</f>
        <v>Self Identify</v>
      </c>
      <c r="I1829" s="6" t="str">
        <f>IFERROR(__xludf.DUMMYFUNCTION("""COMPUTED_VALUE"""),"High School")</f>
        <v>High School</v>
      </c>
      <c r="J1829" s="6" t="str">
        <f>IFERROR(__xludf.DUMMYFUNCTION("""COMPUTED_VALUE"""),"9")</f>
        <v>9</v>
      </c>
      <c r="K1829" s="6" t="str">
        <f>IFERROR(__xludf.DUMMYFUNCTION("""COMPUTED_VALUE"""),"ana.cruzrodriguez@2hourlearning.com")</f>
        <v>ana.cruzrodriguez@2hourlearning.com</v>
      </c>
      <c r="L1829" s="6" t="str">
        <f>IFERROR(__xludf.DUMMYFUNCTION("""COMPUTED_VALUE"""),"Irvington High School")</f>
        <v>Irvington High School</v>
      </c>
      <c r="M1829" s="6" t="str">
        <f>IFERROR(__xludf.DUMMYFUNCTION("""COMPUTED_VALUE"""),"")</f>
        <v/>
      </c>
      <c r="N1829" s="6" t="str">
        <f>IFERROR(__xludf.DUMMYFUNCTION("""COMPUTED_VALUE"""),"")</f>
        <v/>
      </c>
      <c r="O1829" s="87" t="str">
        <f>IFERROR(__xludf.DUMMYFUNCTION("""COMPUTED_VALUE"""),"https://drive.google.com/drive/folders/10T2cTQHqEJZqE-st6uFKPoI?usp=share_link")</f>
        <v>https://drive.google.com/drive/folders/10T2cTQHqEJZqE-st6uFKPoI?usp=share_link</v>
      </c>
      <c r="P1829" s="6" t="str">
        <f>IFERROR(__xludf.DUMMYFUNCTION("""COMPUTED_VALUE"""),"Ana Cruz-Rodriguez")</f>
        <v>Ana Cruz-Rodriguez</v>
      </c>
      <c r="Q1829" s="6" t="str">
        <f>IFERROR(__xludf.DUMMYFUNCTION("""COMPUTED_VALUE"""),"HS")</f>
        <v>HS</v>
      </c>
      <c r="R1829" s="6">
        <f>IFERROR(__xludf.DUMMYFUNCTION("""COMPUTED_VALUE"""),0.0)</f>
        <v>0</v>
      </c>
      <c r="S1829" s="6" t="str">
        <f>IFERROR(__xludf.DUMMYFUNCTION("""COMPUTED_VALUE""")," ")</f>
        <v> </v>
      </c>
      <c r="T1829" s="6" t="str">
        <f>IFERROR(__xludf.DUMMYFUNCTION("""COMPUTED_VALUE"""),"")</f>
        <v/>
      </c>
      <c r="U1829" s="6" t="str">
        <f>IFERROR(__xludf.DUMMYFUNCTION("""COMPUTED_VALUE"""),"9")</f>
        <v>9</v>
      </c>
      <c r="V1829" s="6" t="str">
        <f>IFERROR(__xludf.DUMMYFUNCTION("""COMPUTED_VALUE"""),"")</f>
        <v/>
      </c>
      <c r="W1829" s="6" t="str">
        <f>IFERROR(__xludf.DUMMYFUNCTION("""COMPUTED_VALUE"""),"[]")</f>
        <v>[]</v>
      </c>
      <c r="X1829" s="6" t="str">
        <f>IFERROR(__xludf.DUMMYFUNCTION("""COMPUTED_VALUE"""),"Enrolled")</f>
        <v>Enrolled</v>
      </c>
    </row>
    <row r="1830">
      <c r="A1830" s="6" t="str">
        <f>IFERROR(__xludf.DUMMYFUNCTION("""COMPUTED_VALUE"""),"018-0985")</f>
        <v>018-0985</v>
      </c>
      <c r="B1830" s="6" t="str">
        <f>IFERROR(__xludf.DUMMYFUNCTION("""COMPUTED_VALUE"""),"18")</f>
        <v>18</v>
      </c>
      <c r="C1830" s="6" t="str">
        <f>IFERROR(__xludf.DUMMYFUNCTION("""COMPUTED_VALUE"""),"0985")</f>
        <v>0985</v>
      </c>
      <c r="D1830" s="6" t="str">
        <f>IFERROR(__xludf.DUMMYFUNCTION("""COMPUTED_VALUE"""),"Matthew")</f>
        <v>Matthew</v>
      </c>
      <c r="E1830" s="6" t="str">
        <f>IFERROR(__xludf.DUMMYFUNCTION("""COMPUTED_VALUE"""),"")</f>
        <v/>
      </c>
      <c r="F1830" s="6" t="str">
        <f>IFERROR(__xludf.DUMMYFUNCTION("""COMPUTED_VALUE"""),"Hunt")</f>
        <v>Hunt</v>
      </c>
      <c r="G1830" s="6" t="str">
        <f>IFERROR(__xludf.DUMMYFUNCTION("""COMPUTED_VALUE"""),"12/15/2009")</f>
        <v>12/15/2009</v>
      </c>
      <c r="H1830" s="6" t="str">
        <f>IFERROR(__xludf.DUMMYFUNCTION("""COMPUTED_VALUE"""),"Self Identify")</f>
        <v>Self Identify</v>
      </c>
      <c r="I1830" s="6" t="str">
        <f>IFERROR(__xludf.DUMMYFUNCTION("""COMPUTED_VALUE"""),"High School")</f>
        <v>High School</v>
      </c>
      <c r="J1830" s="6" t="str">
        <f>IFERROR(__xludf.DUMMYFUNCTION("""COMPUTED_VALUE"""),"9")</f>
        <v>9</v>
      </c>
      <c r="K1830" s="6" t="str">
        <f>IFERROR(__xludf.DUMMYFUNCTION("""COMPUTED_VALUE"""),"matthew.hunt@2hourlearning.com")</f>
        <v>matthew.hunt@2hourlearning.com</v>
      </c>
      <c r="L1830" s="6" t="str">
        <f>IFERROR(__xludf.DUMMYFUNCTION("""COMPUTED_VALUE"""),"Irvington High School")</f>
        <v>Irvington High School</v>
      </c>
      <c r="M1830" s="6" t="str">
        <f>IFERROR(__xludf.DUMMYFUNCTION("""COMPUTED_VALUE"""),"")</f>
        <v/>
      </c>
      <c r="N1830" s="6" t="str">
        <f>IFERROR(__xludf.DUMMYFUNCTION("""COMPUTED_VALUE"""),"")</f>
        <v/>
      </c>
      <c r="O1830" s="87" t="str">
        <f>IFERROR(__xludf.DUMMYFUNCTION("""COMPUTED_VALUE"""),"https://drive.google.com/drive/folders/10T2cTQHqEJZqE-st6uFKPoI?usp=share_link")</f>
        <v>https://drive.google.com/drive/folders/10T2cTQHqEJZqE-st6uFKPoI?usp=share_link</v>
      </c>
      <c r="P1830" s="6" t="str">
        <f>IFERROR(__xludf.DUMMYFUNCTION("""COMPUTED_VALUE"""),"Matthew Hunt")</f>
        <v>Matthew Hunt</v>
      </c>
      <c r="Q1830" s="6" t="str">
        <f>IFERROR(__xludf.DUMMYFUNCTION("""COMPUTED_VALUE"""),"HS")</f>
        <v>HS</v>
      </c>
      <c r="R1830" s="6">
        <f>IFERROR(__xludf.DUMMYFUNCTION("""COMPUTED_VALUE"""),0.0)</f>
        <v>0</v>
      </c>
      <c r="S1830" s="6" t="str">
        <f>IFERROR(__xludf.DUMMYFUNCTION("""COMPUTED_VALUE""")," ")</f>
        <v> </v>
      </c>
      <c r="T1830" s="6" t="str">
        <f>IFERROR(__xludf.DUMMYFUNCTION("""COMPUTED_VALUE"""),"")</f>
        <v/>
      </c>
      <c r="U1830" s="6" t="str">
        <f>IFERROR(__xludf.DUMMYFUNCTION("""COMPUTED_VALUE"""),"9")</f>
        <v>9</v>
      </c>
      <c r="V1830" s="6" t="str">
        <f>IFERROR(__xludf.DUMMYFUNCTION("""COMPUTED_VALUE"""),"")</f>
        <v/>
      </c>
      <c r="W1830" s="6" t="str">
        <f>IFERROR(__xludf.DUMMYFUNCTION("""COMPUTED_VALUE"""),"[]")</f>
        <v>[]</v>
      </c>
      <c r="X1830" s="6" t="str">
        <f>IFERROR(__xludf.DUMMYFUNCTION("""COMPUTED_VALUE"""),"Enrolled")</f>
        <v>Enrolled</v>
      </c>
    </row>
    <row r="1831">
      <c r="A1831" s="6" t="str">
        <f>IFERROR(__xludf.DUMMYFUNCTION("""COMPUTED_VALUE"""),"018-6000")</f>
        <v>018-6000</v>
      </c>
      <c r="B1831" s="6" t="str">
        <f>IFERROR(__xludf.DUMMYFUNCTION("""COMPUTED_VALUE"""),"18")</f>
        <v>18</v>
      </c>
      <c r="C1831" s="6" t="str">
        <f>IFERROR(__xludf.DUMMYFUNCTION("""COMPUTED_VALUE"""),"6000")</f>
        <v>6000</v>
      </c>
      <c r="D1831" s="6" t="str">
        <f>IFERROR(__xludf.DUMMYFUNCTION("""COMPUTED_VALUE"""),"Abdiel")</f>
        <v>Abdiel</v>
      </c>
      <c r="E1831" s="6" t="str">
        <f>IFERROR(__xludf.DUMMYFUNCTION("""COMPUTED_VALUE"""),"")</f>
        <v/>
      </c>
      <c r="F1831" s="6" t="str">
        <f>IFERROR(__xludf.DUMMYFUNCTION("""COMPUTED_VALUE"""),"Campista Rodas")</f>
        <v>Campista Rodas</v>
      </c>
      <c r="G1831" s="6" t="str">
        <f>IFERROR(__xludf.DUMMYFUNCTION("""COMPUTED_VALUE"""),"12/15/2009")</f>
        <v>12/15/2009</v>
      </c>
      <c r="H1831" s="6" t="str">
        <f>IFERROR(__xludf.DUMMYFUNCTION("""COMPUTED_VALUE"""),"Other")</f>
        <v>Other</v>
      </c>
      <c r="I1831" s="6" t="str">
        <f>IFERROR(__xludf.DUMMYFUNCTION("""COMPUTED_VALUE"""),"High School")</f>
        <v>High School</v>
      </c>
      <c r="J1831" s="6" t="str">
        <f>IFERROR(__xludf.DUMMYFUNCTION("""COMPUTED_VALUE"""),"9")</f>
        <v>9</v>
      </c>
      <c r="K1831" s="6" t="str">
        <f>IFERROR(__xludf.DUMMYFUNCTION("""COMPUTED_VALUE"""),"abdiel.campista.rodas@2hourlearning.com")</f>
        <v>abdiel.campista.rodas@2hourlearning.com</v>
      </c>
      <c r="L1831" s="6" t="str">
        <f>IFERROR(__xludf.DUMMYFUNCTION("""COMPUTED_VALUE"""),"Irvington High School")</f>
        <v>Irvington High School</v>
      </c>
      <c r="M1831" s="6" t="str">
        <f>IFERROR(__xludf.DUMMYFUNCTION("""COMPUTED_VALUE"""),"")</f>
        <v/>
      </c>
      <c r="N1831" s="6" t="str">
        <f>IFERROR(__xludf.DUMMYFUNCTION("""COMPUTED_VALUE"""),"")</f>
        <v/>
      </c>
      <c r="O1831" s="87" t="str">
        <f>IFERROR(__xludf.DUMMYFUNCTION("""COMPUTED_VALUE"""),"https://drive.google.com/drive/folders/10T2cTQHqEJZqE-st6uFKPoI?usp=share_link")</f>
        <v>https://drive.google.com/drive/folders/10T2cTQHqEJZqE-st6uFKPoI?usp=share_link</v>
      </c>
      <c r="P1831" s="6" t="str">
        <f>IFERROR(__xludf.DUMMYFUNCTION("""COMPUTED_VALUE"""),"Abdiel Campista Rodas")</f>
        <v>Abdiel Campista Rodas</v>
      </c>
      <c r="Q1831" s="6" t="str">
        <f>IFERROR(__xludf.DUMMYFUNCTION("""COMPUTED_VALUE"""),"HS")</f>
        <v>HS</v>
      </c>
      <c r="R1831" s="6">
        <f>IFERROR(__xludf.DUMMYFUNCTION("""COMPUTED_VALUE"""),0.0)</f>
        <v>0</v>
      </c>
      <c r="S1831" s="6" t="str">
        <f>IFERROR(__xludf.DUMMYFUNCTION("""COMPUTED_VALUE""")," ")</f>
        <v> </v>
      </c>
      <c r="T1831" s="6" t="str">
        <f>IFERROR(__xludf.DUMMYFUNCTION("""COMPUTED_VALUE"""),"")</f>
        <v/>
      </c>
      <c r="U1831" s="6" t="str">
        <f>IFERROR(__xludf.DUMMYFUNCTION("""COMPUTED_VALUE"""),"9")</f>
        <v>9</v>
      </c>
      <c r="V1831" s="6" t="str">
        <f>IFERROR(__xludf.DUMMYFUNCTION("""COMPUTED_VALUE"""),"English")</f>
        <v>English</v>
      </c>
      <c r="W1831" s="6" t="str">
        <f>IFERROR(__xludf.DUMMYFUNCTION("""COMPUTED_VALUE"""),"[]")</f>
        <v>[]</v>
      </c>
      <c r="X1831" s="6" t="str">
        <f>IFERROR(__xludf.DUMMYFUNCTION("""COMPUTED_VALUE"""),"Enrolled")</f>
        <v>Enrolled</v>
      </c>
    </row>
    <row r="1832">
      <c r="A1832" s="6" t="str">
        <f>IFERROR(__xludf.DUMMYFUNCTION("""COMPUTED_VALUE"""),"018-6001")</f>
        <v>018-6001</v>
      </c>
      <c r="B1832" s="6" t="str">
        <f>IFERROR(__xludf.DUMMYFUNCTION("""COMPUTED_VALUE"""),"18")</f>
        <v>18</v>
      </c>
      <c r="C1832" s="6" t="str">
        <f>IFERROR(__xludf.DUMMYFUNCTION("""COMPUTED_VALUE"""),"6001")</f>
        <v>6001</v>
      </c>
      <c r="D1832" s="6" t="str">
        <f>IFERROR(__xludf.DUMMYFUNCTION("""COMPUTED_VALUE"""),"Ahmad")</f>
        <v>Ahmad</v>
      </c>
      <c r="E1832" s="6" t="str">
        <f>IFERROR(__xludf.DUMMYFUNCTION("""COMPUTED_VALUE"""),"")</f>
        <v/>
      </c>
      <c r="F1832" s="6" t="str">
        <f>IFERROR(__xludf.DUMMYFUNCTION("""COMPUTED_VALUE"""),"Rezwan")</f>
        <v>Rezwan</v>
      </c>
      <c r="G1832" s="6" t="str">
        <f>IFERROR(__xludf.DUMMYFUNCTION("""COMPUTED_VALUE"""),"12/15/2009")</f>
        <v>12/15/2009</v>
      </c>
      <c r="H1832" s="6" t="str">
        <f>IFERROR(__xludf.DUMMYFUNCTION("""COMPUTED_VALUE"""),"Other")</f>
        <v>Other</v>
      </c>
      <c r="I1832" s="6" t="str">
        <f>IFERROR(__xludf.DUMMYFUNCTION("""COMPUTED_VALUE"""),"High School")</f>
        <v>High School</v>
      </c>
      <c r="J1832" s="6" t="str">
        <f>IFERROR(__xludf.DUMMYFUNCTION("""COMPUTED_VALUE"""),"9")</f>
        <v>9</v>
      </c>
      <c r="K1832" s="6" t="str">
        <f>IFERROR(__xludf.DUMMYFUNCTION("""COMPUTED_VALUE"""),"ahmad.rezwan@2hourlearning.com")</f>
        <v>ahmad.rezwan@2hourlearning.com</v>
      </c>
      <c r="L1832" s="6" t="str">
        <f>IFERROR(__xludf.DUMMYFUNCTION("""COMPUTED_VALUE"""),"Irvington High School")</f>
        <v>Irvington High School</v>
      </c>
      <c r="M1832" s="6" t="str">
        <f>IFERROR(__xludf.DUMMYFUNCTION("""COMPUTED_VALUE"""),"")</f>
        <v/>
      </c>
      <c r="N1832" s="6" t="str">
        <f>IFERROR(__xludf.DUMMYFUNCTION("""COMPUTED_VALUE"""),"")</f>
        <v/>
      </c>
      <c r="O1832" s="87" t="str">
        <f>IFERROR(__xludf.DUMMYFUNCTION("""COMPUTED_VALUE"""),"https://drive.google.com/drive/folders/10T2cTQHqEJZqE-st6uFKPoI?usp=share_link")</f>
        <v>https://drive.google.com/drive/folders/10T2cTQHqEJZqE-st6uFKPoI?usp=share_link</v>
      </c>
      <c r="P1832" s="6" t="str">
        <f>IFERROR(__xludf.DUMMYFUNCTION("""COMPUTED_VALUE"""),"Ahmad Rezwan")</f>
        <v>Ahmad Rezwan</v>
      </c>
      <c r="Q1832" s="6" t="str">
        <f>IFERROR(__xludf.DUMMYFUNCTION("""COMPUTED_VALUE"""),"HS")</f>
        <v>HS</v>
      </c>
      <c r="R1832" s="6">
        <f>IFERROR(__xludf.DUMMYFUNCTION("""COMPUTED_VALUE"""),0.0)</f>
        <v>0</v>
      </c>
      <c r="S1832" s="6" t="str">
        <f>IFERROR(__xludf.DUMMYFUNCTION("""COMPUTED_VALUE""")," ")</f>
        <v> </v>
      </c>
      <c r="T1832" s="6" t="str">
        <f>IFERROR(__xludf.DUMMYFUNCTION("""COMPUTED_VALUE"""),"")</f>
        <v/>
      </c>
      <c r="U1832" s="6" t="str">
        <f>IFERROR(__xludf.DUMMYFUNCTION("""COMPUTED_VALUE"""),"9")</f>
        <v>9</v>
      </c>
      <c r="V1832" s="6" t="str">
        <f>IFERROR(__xludf.DUMMYFUNCTION("""COMPUTED_VALUE"""),"English")</f>
        <v>English</v>
      </c>
      <c r="W1832" s="6" t="str">
        <f>IFERROR(__xludf.DUMMYFUNCTION("""COMPUTED_VALUE"""),"[]")</f>
        <v>[]</v>
      </c>
      <c r="X1832" s="6" t="str">
        <f>IFERROR(__xludf.DUMMYFUNCTION("""COMPUTED_VALUE"""),"Enrolled")</f>
        <v>Enrolled</v>
      </c>
    </row>
    <row r="1833">
      <c r="A1833" s="6" t="str">
        <f>IFERROR(__xludf.DUMMYFUNCTION("""COMPUTED_VALUE"""),"018-6002")</f>
        <v>018-6002</v>
      </c>
      <c r="B1833" s="6" t="str">
        <f>IFERROR(__xludf.DUMMYFUNCTION("""COMPUTED_VALUE"""),"18")</f>
        <v>18</v>
      </c>
      <c r="C1833" s="6" t="str">
        <f>IFERROR(__xludf.DUMMYFUNCTION("""COMPUTED_VALUE"""),"6002")</f>
        <v>6002</v>
      </c>
      <c r="D1833" s="6" t="str">
        <f>IFERROR(__xludf.DUMMYFUNCTION("""COMPUTED_VALUE"""),"Aleena")</f>
        <v>Aleena</v>
      </c>
      <c r="E1833" s="6" t="str">
        <f>IFERROR(__xludf.DUMMYFUNCTION("""COMPUTED_VALUE"""),"")</f>
        <v/>
      </c>
      <c r="F1833" s="6" t="str">
        <f>IFERROR(__xludf.DUMMYFUNCTION("""COMPUTED_VALUE"""),"Welagedara")</f>
        <v>Welagedara</v>
      </c>
      <c r="G1833" s="6" t="str">
        <f>IFERROR(__xludf.DUMMYFUNCTION("""COMPUTED_VALUE"""),"12/15/2009")</f>
        <v>12/15/2009</v>
      </c>
      <c r="H1833" s="6" t="str">
        <f>IFERROR(__xludf.DUMMYFUNCTION("""COMPUTED_VALUE"""),"Other")</f>
        <v>Other</v>
      </c>
      <c r="I1833" s="6" t="str">
        <f>IFERROR(__xludf.DUMMYFUNCTION("""COMPUTED_VALUE"""),"High School")</f>
        <v>High School</v>
      </c>
      <c r="J1833" s="6" t="str">
        <f>IFERROR(__xludf.DUMMYFUNCTION("""COMPUTED_VALUE"""),"9")</f>
        <v>9</v>
      </c>
      <c r="K1833" s="6" t="str">
        <f>IFERROR(__xludf.DUMMYFUNCTION("""COMPUTED_VALUE"""),"aleena.welagedara@2hourlearning.com")</f>
        <v>aleena.welagedara@2hourlearning.com</v>
      </c>
      <c r="L1833" s="6" t="str">
        <f>IFERROR(__xludf.DUMMYFUNCTION("""COMPUTED_VALUE"""),"Irvington High School")</f>
        <v>Irvington High School</v>
      </c>
      <c r="M1833" s="6" t="str">
        <f>IFERROR(__xludf.DUMMYFUNCTION("""COMPUTED_VALUE"""),"")</f>
        <v/>
      </c>
      <c r="N1833" s="6" t="str">
        <f>IFERROR(__xludf.DUMMYFUNCTION("""COMPUTED_VALUE"""),"")</f>
        <v/>
      </c>
      <c r="O1833" s="87" t="str">
        <f>IFERROR(__xludf.DUMMYFUNCTION("""COMPUTED_VALUE"""),"https://drive.google.com/drive/folders/10T2cTQHqEJZqE-st6uFKPoI?usp=share_link")</f>
        <v>https://drive.google.com/drive/folders/10T2cTQHqEJZqE-st6uFKPoI?usp=share_link</v>
      </c>
      <c r="P1833" s="6" t="str">
        <f>IFERROR(__xludf.DUMMYFUNCTION("""COMPUTED_VALUE"""),"Aleena Welagedara")</f>
        <v>Aleena Welagedara</v>
      </c>
      <c r="Q1833" s="6" t="str">
        <f>IFERROR(__xludf.DUMMYFUNCTION("""COMPUTED_VALUE"""),"HS")</f>
        <v>HS</v>
      </c>
      <c r="R1833" s="6">
        <f>IFERROR(__xludf.DUMMYFUNCTION("""COMPUTED_VALUE"""),0.0)</f>
        <v>0</v>
      </c>
      <c r="S1833" s="6" t="str">
        <f>IFERROR(__xludf.DUMMYFUNCTION("""COMPUTED_VALUE""")," ")</f>
        <v> </v>
      </c>
      <c r="T1833" s="6" t="str">
        <f>IFERROR(__xludf.DUMMYFUNCTION("""COMPUTED_VALUE"""),"")</f>
        <v/>
      </c>
      <c r="U1833" s="6" t="str">
        <f>IFERROR(__xludf.DUMMYFUNCTION("""COMPUTED_VALUE"""),"9")</f>
        <v>9</v>
      </c>
      <c r="V1833" s="6" t="str">
        <f>IFERROR(__xludf.DUMMYFUNCTION("""COMPUTED_VALUE"""),"English")</f>
        <v>English</v>
      </c>
      <c r="W1833" s="6" t="str">
        <f>IFERROR(__xludf.DUMMYFUNCTION("""COMPUTED_VALUE"""),"[]")</f>
        <v>[]</v>
      </c>
      <c r="X1833" s="6" t="str">
        <f>IFERROR(__xludf.DUMMYFUNCTION("""COMPUTED_VALUE"""),"Enrolled")</f>
        <v>Enrolled</v>
      </c>
    </row>
    <row r="1834">
      <c r="A1834" s="6" t="str">
        <f>IFERROR(__xludf.DUMMYFUNCTION("""COMPUTED_VALUE"""),"018-6003")</f>
        <v>018-6003</v>
      </c>
      <c r="B1834" s="6" t="str">
        <f>IFERROR(__xludf.DUMMYFUNCTION("""COMPUTED_VALUE"""),"18")</f>
        <v>18</v>
      </c>
      <c r="C1834" s="6" t="str">
        <f>IFERROR(__xludf.DUMMYFUNCTION("""COMPUTED_VALUE"""),"6003")</f>
        <v>6003</v>
      </c>
      <c r="D1834" s="6" t="str">
        <f>IFERROR(__xludf.DUMMYFUNCTION("""COMPUTED_VALUE"""),"Alexa")</f>
        <v>Alexa</v>
      </c>
      <c r="E1834" s="6" t="str">
        <f>IFERROR(__xludf.DUMMYFUNCTION("""COMPUTED_VALUE"""),"")</f>
        <v/>
      </c>
      <c r="F1834" s="6" t="str">
        <f>IFERROR(__xludf.DUMMYFUNCTION("""COMPUTED_VALUE"""),"De Leon")</f>
        <v>De Leon</v>
      </c>
      <c r="G1834" s="6" t="str">
        <f>IFERROR(__xludf.DUMMYFUNCTION("""COMPUTED_VALUE"""),"12/15/2009")</f>
        <v>12/15/2009</v>
      </c>
      <c r="H1834" s="6" t="str">
        <f>IFERROR(__xludf.DUMMYFUNCTION("""COMPUTED_VALUE"""),"Other")</f>
        <v>Other</v>
      </c>
      <c r="I1834" s="6" t="str">
        <f>IFERROR(__xludf.DUMMYFUNCTION("""COMPUTED_VALUE"""),"High School")</f>
        <v>High School</v>
      </c>
      <c r="J1834" s="6" t="str">
        <f>IFERROR(__xludf.DUMMYFUNCTION("""COMPUTED_VALUE"""),"9")</f>
        <v>9</v>
      </c>
      <c r="K1834" s="6" t="str">
        <f>IFERROR(__xludf.DUMMYFUNCTION("""COMPUTED_VALUE"""),"alexa.de.leon@2hourlearning.com")</f>
        <v>alexa.de.leon@2hourlearning.com</v>
      </c>
      <c r="L1834" s="6" t="str">
        <f>IFERROR(__xludf.DUMMYFUNCTION("""COMPUTED_VALUE"""),"Irvington High School")</f>
        <v>Irvington High School</v>
      </c>
      <c r="M1834" s="6" t="str">
        <f>IFERROR(__xludf.DUMMYFUNCTION("""COMPUTED_VALUE"""),"")</f>
        <v/>
      </c>
      <c r="N1834" s="6" t="str">
        <f>IFERROR(__xludf.DUMMYFUNCTION("""COMPUTED_VALUE"""),"")</f>
        <v/>
      </c>
      <c r="O1834" s="87" t="str">
        <f>IFERROR(__xludf.DUMMYFUNCTION("""COMPUTED_VALUE"""),"https://drive.google.com/drive/folders/10T2cTQHqEJZqE-st6uFKPoI?usp=share_link")</f>
        <v>https://drive.google.com/drive/folders/10T2cTQHqEJZqE-st6uFKPoI?usp=share_link</v>
      </c>
      <c r="P1834" s="6" t="str">
        <f>IFERROR(__xludf.DUMMYFUNCTION("""COMPUTED_VALUE"""),"Alexa De Leon")</f>
        <v>Alexa De Leon</v>
      </c>
      <c r="Q1834" s="6" t="str">
        <f>IFERROR(__xludf.DUMMYFUNCTION("""COMPUTED_VALUE"""),"HS")</f>
        <v>HS</v>
      </c>
      <c r="R1834" s="6">
        <f>IFERROR(__xludf.DUMMYFUNCTION("""COMPUTED_VALUE"""),0.0)</f>
        <v>0</v>
      </c>
      <c r="S1834" s="6" t="str">
        <f>IFERROR(__xludf.DUMMYFUNCTION("""COMPUTED_VALUE""")," ")</f>
        <v> </v>
      </c>
      <c r="T1834" s="6" t="str">
        <f>IFERROR(__xludf.DUMMYFUNCTION("""COMPUTED_VALUE"""),"")</f>
        <v/>
      </c>
      <c r="U1834" s="6" t="str">
        <f>IFERROR(__xludf.DUMMYFUNCTION("""COMPUTED_VALUE"""),"9")</f>
        <v>9</v>
      </c>
      <c r="V1834" s="6" t="str">
        <f>IFERROR(__xludf.DUMMYFUNCTION("""COMPUTED_VALUE"""),"English")</f>
        <v>English</v>
      </c>
      <c r="W1834" s="6" t="str">
        <f>IFERROR(__xludf.DUMMYFUNCTION("""COMPUTED_VALUE"""),"[]")</f>
        <v>[]</v>
      </c>
      <c r="X1834" s="6" t="str">
        <f>IFERROR(__xludf.DUMMYFUNCTION("""COMPUTED_VALUE"""),"Enrolled")</f>
        <v>Enrolled</v>
      </c>
    </row>
    <row r="1835">
      <c r="A1835" s="6" t="str">
        <f>IFERROR(__xludf.DUMMYFUNCTION("""COMPUTED_VALUE"""),"018-6004")</f>
        <v>018-6004</v>
      </c>
      <c r="B1835" s="6" t="str">
        <f>IFERROR(__xludf.DUMMYFUNCTION("""COMPUTED_VALUE"""),"18")</f>
        <v>18</v>
      </c>
      <c r="C1835" s="6" t="str">
        <f>IFERROR(__xludf.DUMMYFUNCTION("""COMPUTED_VALUE"""),"6004")</f>
        <v>6004</v>
      </c>
      <c r="D1835" s="6" t="str">
        <f>IFERROR(__xludf.DUMMYFUNCTION("""COMPUTED_VALUE"""),"Alexa")</f>
        <v>Alexa</v>
      </c>
      <c r="E1835" s="6" t="str">
        <f>IFERROR(__xludf.DUMMYFUNCTION("""COMPUTED_VALUE"""),"")</f>
        <v/>
      </c>
      <c r="F1835" s="6" t="str">
        <f>IFERROR(__xludf.DUMMYFUNCTION("""COMPUTED_VALUE"""),"Ontiveros Portillo")</f>
        <v>Ontiveros Portillo</v>
      </c>
      <c r="G1835" s="6" t="str">
        <f>IFERROR(__xludf.DUMMYFUNCTION("""COMPUTED_VALUE"""),"12/15/2009")</f>
        <v>12/15/2009</v>
      </c>
      <c r="H1835" s="6" t="str">
        <f>IFERROR(__xludf.DUMMYFUNCTION("""COMPUTED_VALUE"""),"Other")</f>
        <v>Other</v>
      </c>
      <c r="I1835" s="6" t="str">
        <f>IFERROR(__xludf.DUMMYFUNCTION("""COMPUTED_VALUE"""),"High School")</f>
        <v>High School</v>
      </c>
      <c r="J1835" s="6" t="str">
        <f>IFERROR(__xludf.DUMMYFUNCTION("""COMPUTED_VALUE"""),"9")</f>
        <v>9</v>
      </c>
      <c r="K1835" s="6" t="str">
        <f>IFERROR(__xludf.DUMMYFUNCTION("""COMPUTED_VALUE"""),"alexa.ontiveros.portillo@2hourlearning.com")</f>
        <v>alexa.ontiveros.portillo@2hourlearning.com</v>
      </c>
      <c r="L1835" s="6" t="str">
        <f>IFERROR(__xludf.DUMMYFUNCTION("""COMPUTED_VALUE"""),"Irvington High School")</f>
        <v>Irvington High School</v>
      </c>
      <c r="M1835" s="6" t="str">
        <f>IFERROR(__xludf.DUMMYFUNCTION("""COMPUTED_VALUE"""),"")</f>
        <v/>
      </c>
      <c r="N1835" s="6" t="str">
        <f>IFERROR(__xludf.DUMMYFUNCTION("""COMPUTED_VALUE"""),"")</f>
        <v/>
      </c>
      <c r="O1835" s="87" t="str">
        <f>IFERROR(__xludf.DUMMYFUNCTION("""COMPUTED_VALUE"""),"https://drive.google.com/drive/folders/10T2cTQHqEJZqE-st6uFKPoI?usp=share_link")</f>
        <v>https://drive.google.com/drive/folders/10T2cTQHqEJZqE-st6uFKPoI?usp=share_link</v>
      </c>
      <c r="P1835" s="6" t="str">
        <f>IFERROR(__xludf.DUMMYFUNCTION("""COMPUTED_VALUE"""),"Alexa Ontiveros Portillo")</f>
        <v>Alexa Ontiveros Portillo</v>
      </c>
      <c r="Q1835" s="6" t="str">
        <f>IFERROR(__xludf.DUMMYFUNCTION("""COMPUTED_VALUE"""),"HS")</f>
        <v>HS</v>
      </c>
      <c r="R1835" s="6">
        <f>IFERROR(__xludf.DUMMYFUNCTION("""COMPUTED_VALUE"""),0.0)</f>
        <v>0</v>
      </c>
      <c r="S1835" s="6" t="str">
        <f>IFERROR(__xludf.DUMMYFUNCTION("""COMPUTED_VALUE""")," ")</f>
        <v> </v>
      </c>
      <c r="T1835" s="6" t="str">
        <f>IFERROR(__xludf.DUMMYFUNCTION("""COMPUTED_VALUE"""),"")</f>
        <v/>
      </c>
      <c r="U1835" s="6" t="str">
        <f>IFERROR(__xludf.DUMMYFUNCTION("""COMPUTED_VALUE"""),"9")</f>
        <v>9</v>
      </c>
      <c r="V1835" s="6" t="str">
        <f>IFERROR(__xludf.DUMMYFUNCTION("""COMPUTED_VALUE"""),"English")</f>
        <v>English</v>
      </c>
      <c r="W1835" s="6" t="str">
        <f>IFERROR(__xludf.DUMMYFUNCTION("""COMPUTED_VALUE"""),"[]")</f>
        <v>[]</v>
      </c>
      <c r="X1835" s="6" t="str">
        <f>IFERROR(__xludf.DUMMYFUNCTION("""COMPUTED_VALUE"""),"Enrolled")</f>
        <v>Enrolled</v>
      </c>
    </row>
    <row r="1836">
      <c r="A1836" s="6" t="str">
        <f>IFERROR(__xludf.DUMMYFUNCTION("""COMPUTED_VALUE"""),"018-6005")</f>
        <v>018-6005</v>
      </c>
      <c r="B1836" s="6" t="str">
        <f>IFERROR(__xludf.DUMMYFUNCTION("""COMPUTED_VALUE"""),"18")</f>
        <v>18</v>
      </c>
      <c r="C1836" s="6" t="str">
        <f>IFERROR(__xludf.DUMMYFUNCTION("""COMPUTED_VALUE"""),"6005")</f>
        <v>6005</v>
      </c>
      <c r="D1836" s="6" t="str">
        <f>IFERROR(__xludf.DUMMYFUNCTION("""COMPUTED_VALUE"""),"Alina")</f>
        <v>Alina</v>
      </c>
      <c r="E1836" s="6" t="str">
        <f>IFERROR(__xludf.DUMMYFUNCTION("""COMPUTED_VALUE"""),"")</f>
        <v/>
      </c>
      <c r="F1836" s="6" t="str">
        <f>IFERROR(__xludf.DUMMYFUNCTION("""COMPUTED_VALUE"""),"Smith")</f>
        <v>Smith</v>
      </c>
      <c r="G1836" s="6" t="str">
        <f>IFERROR(__xludf.DUMMYFUNCTION("""COMPUTED_VALUE"""),"12/15/2009")</f>
        <v>12/15/2009</v>
      </c>
      <c r="H1836" s="6" t="str">
        <f>IFERROR(__xludf.DUMMYFUNCTION("""COMPUTED_VALUE"""),"Other")</f>
        <v>Other</v>
      </c>
      <c r="I1836" s="6" t="str">
        <f>IFERROR(__xludf.DUMMYFUNCTION("""COMPUTED_VALUE"""),"High School")</f>
        <v>High School</v>
      </c>
      <c r="J1836" s="6" t="str">
        <f>IFERROR(__xludf.DUMMYFUNCTION("""COMPUTED_VALUE"""),"9")</f>
        <v>9</v>
      </c>
      <c r="K1836" s="6" t="str">
        <f>IFERROR(__xludf.DUMMYFUNCTION("""COMPUTED_VALUE"""),"alina.smith@2hourlearning.com")</f>
        <v>alina.smith@2hourlearning.com</v>
      </c>
      <c r="L1836" s="6" t="str">
        <f>IFERROR(__xludf.DUMMYFUNCTION("""COMPUTED_VALUE"""),"Irvington High School")</f>
        <v>Irvington High School</v>
      </c>
      <c r="M1836" s="6" t="str">
        <f>IFERROR(__xludf.DUMMYFUNCTION("""COMPUTED_VALUE"""),"")</f>
        <v/>
      </c>
      <c r="N1836" s="6" t="str">
        <f>IFERROR(__xludf.DUMMYFUNCTION("""COMPUTED_VALUE"""),"")</f>
        <v/>
      </c>
      <c r="O1836" s="87" t="str">
        <f>IFERROR(__xludf.DUMMYFUNCTION("""COMPUTED_VALUE"""),"https://drive.google.com/drive/folders/10T2cTQHqEJZqE-st6uFKPoI?usp=share_link")</f>
        <v>https://drive.google.com/drive/folders/10T2cTQHqEJZqE-st6uFKPoI?usp=share_link</v>
      </c>
      <c r="P1836" s="6" t="str">
        <f>IFERROR(__xludf.DUMMYFUNCTION("""COMPUTED_VALUE"""),"Alina Smith")</f>
        <v>Alina Smith</v>
      </c>
      <c r="Q1836" s="6" t="str">
        <f>IFERROR(__xludf.DUMMYFUNCTION("""COMPUTED_VALUE"""),"HS")</f>
        <v>HS</v>
      </c>
      <c r="R1836" s="6">
        <f>IFERROR(__xludf.DUMMYFUNCTION("""COMPUTED_VALUE"""),0.0)</f>
        <v>0</v>
      </c>
      <c r="S1836" s="6" t="str">
        <f>IFERROR(__xludf.DUMMYFUNCTION("""COMPUTED_VALUE""")," ")</f>
        <v> </v>
      </c>
      <c r="T1836" s="6" t="str">
        <f>IFERROR(__xludf.DUMMYFUNCTION("""COMPUTED_VALUE"""),"")</f>
        <v/>
      </c>
      <c r="U1836" s="6" t="str">
        <f>IFERROR(__xludf.DUMMYFUNCTION("""COMPUTED_VALUE"""),"9")</f>
        <v>9</v>
      </c>
      <c r="V1836" s="6" t="str">
        <f>IFERROR(__xludf.DUMMYFUNCTION("""COMPUTED_VALUE"""),"English")</f>
        <v>English</v>
      </c>
      <c r="W1836" s="6" t="str">
        <f>IFERROR(__xludf.DUMMYFUNCTION("""COMPUTED_VALUE"""),"[]")</f>
        <v>[]</v>
      </c>
      <c r="X1836" s="6" t="str">
        <f>IFERROR(__xludf.DUMMYFUNCTION("""COMPUTED_VALUE"""),"Enrolled")</f>
        <v>Enrolled</v>
      </c>
    </row>
    <row r="1837">
      <c r="A1837" s="6" t="str">
        <f>IFERROR(__xludf.DUMMYFUNCTION("""COMPUTED_VALUE"""),"018-6006")</f>
        <v>018-6006</v>
      </c>
      <c r="B1837" s="6" t="str">
        <f>IFERROR(__xludf.DUMMYFUNCTION("""COMPUTED_VALUE"""),"18")</f>
        <v>18</v>
      </c>
      <c r="C1837" s="6" t="str">
        <f>IFERROR(__xludf.DUMMYFUNCTION("""COMPUTED_VALUE"""),"6006")</f>
        <v>6006</v>
      </c>
      <c r="D1837" s="6" t="str">
        <f>IFERROR(__xludf.DUMMYFUNCTION("""COMPUTED_VALUE"""),"Aman")</f>
        <v>Aman</v>
      </c>
      <c r="E1837" s="6" t="str">
        <f>IFERROR(__xludf.DUMMYFUNCTION("""COMPUTED_VALUE"""),"")</f>
        <v/>
      </c>
      <c r="F1837" s="6" t="str">
        <f>IFERROR(__xludf.DUMMYFUNCTION("""COMPUTED_VALUE"""),"Yosief")</f>
        <v>Yosief</v>
      </c>
      <c r="G1837" s="6" t="str">
        <f>IFERROR(__xludf.DUMMYFUNCTION("""COMPUTED_VALUE"""),"12/15/2009")</f>
        <v>12/15/2009</v>
      </c>
      <c r="H1837" s="6" t="str">
        <f>IFERROR(__xludf.DUMMYFUNCTION("""COMPUTED_VALUE"""),"Other")</f>
        <v>Other</v>
      </c>
      <c r="I1837" s="6" t="str">
        <f>IFERROR(__xludf.DUMMYFUNCTION("""COMPUTED_VALUE"""),"High School")</f>
        <v>High School</v>
      </c>
      <c r="J1837" s="6" t="str">
        <f>IFERROR(__xludf.DUMMYFUNCTION("""COMPUTED_VALUE"""),"9")</f>
        <v>9</v>
      </c>
      <c r="K1837" s="6" t="str">
        <f>IFERROR(__xludf.DUMMYFUNCTION("""COMPUTED_VALUE"""),"aman.yosief@2hourlearning.com")</f>
        <v>aman.yosief@2hourlearning.com</v>
      </c>
      <c r="L1837" s="6" t="str">
        <f>IFERROR(__xludf.DUMMYFUNCTION("""COMPUTED_VALUE"""),"Irvington High School")</f>
        <v>Irvington High School</v>
      </c>
      <c r="M1837" s="6" t="str">
        <f>IFERROR(__xludf.DUMMYFUNCTION("""COMPUTED_VALUE"""),"")</f>
        <v/>
      </c>
      <c r="N1837" s="6" t="str">
        <f>IFERROR(__xludf.DUMMYFUNCTION("""COMPUTED_VALUE"""),"")</f>
        <v/>
      </c>
      <c r="O1837" s="87" t="str">
        <f>IFERROR(__xludf.DUMMYFUNCTION("""COMPUTED_VALUE"""),"https://drive.google.com/drive/folders/10T2cTQHqEJZqE-st6uFKPoI?usp=share_link")</f>
        <v>https://drive.google.com/drive/folders/10T2cTQHqEJZqE-st6uFKPoI?usp=share_link</v>
      </c>
      <c r="P1837" s="6" t="str">
        <f>IFERROR(__xludf.DUMMYFUNCTION("""COMPUTED_VALUE"""),"Aman Yosief")</f>
        <v>Aman Yosief</v>
      </c>
      <c r="Q1837" s="6" t="str">
        <f>IFERROR(__xludf.DUMMYFUNCTION("""COMPUTED_VALUE"""),"HS")</f>
        <v>HS</v>
      </c>
      <c r="R1837" s="6">
        <f>IFERROR(__xludf.DUMMYFUNCTION("""COMPUTED_VALUE"""),0.0)</f>
        <v>0</v>
      </c>
      <c r="S1837" s="6" t="str">
        <f>IFERROR(__xludf.DUMMYFUNCTION("""COMPUTED_VALUE""")," ")</f>
        <v> </v>
      </c>
      <c r="T1837" s="6" t="str">
        <f>IFERROR(__xludf.DUMMYFUNCTION("""COMPUTED_VALUE"""),"")</f>
        <v/>
      </c>
      <c r="U1837" s="6" t="str">
        <f>IFERROR(__xludf.DUMMYFUNCTION("""COMPUTED_VALUE"""),"9")</f>
        <v>9</v>
      </c>
      <c r="V1837" s="6" t="str">
        <f>IFERROR(__xludf.DUMMYFUNCTION("""COMPUTED_VALUE"""),"English")</f>
        <v>English</v>
      </c>
      <c r="W1837" s="6" t="str">
        <f>IFERROR(__xludf.DUMMYFUNCTION("""COMPUTED_VALUE"""),"[]")</f>
        <v>[]</v>
      </c>
      <c r="X1837" s="6" t="str">
        <f>IFERROR(__xludf.DUMMYFUNCTION("""COMPUTED_VALUE"""),"Enrolled")</f>
        <v>Enrolled</v>
      </c>
    </row>
    <row r="1838">
      <c r="A1838" s="6" t="str">
        <f>IFERROR(__xludf.DUMMYFUNCTION("""COMPUTED_VALUE"""),"018-6007")</f>
        <v>018-6007</v>
      </c>
      <c r="B1838" s="6" t="str">
        <f>IFERROR(__xludf.DUMMYFUNCTION("""COMPUTED_VALUE"""),"18")</f>
        <v>18</v>
      </c>
      <c r="C1838" s="6" t="str">
        <f>IFERROR(__xludf.DUMMYFUNCTION("""COMPUTED_VALUE"""),"6007")</f>
        <v>6007</v>
      </c>
      <c r="D1838" s="6" t="str">
        <f>IFERROR(__xludf.DUMMYFUNCTION("""COMPUTED_VALUE"""),"Anthony")</f>
        <v>Anthony</v>
      </c>
      <c r="E1838" s="6" t="str">
        <f>IFERROR(__xludf.DUMMYFUNCTION("""COMPUTED_VALUE"""),"")</f>
        <v/>
      </c>
      <c r="F1838" s="6" t="str">
        <f>IFERROR(__xludf.DUMMYFUNCTION("""COMPUTED_VALUE"""),"Valdovinos")</f>
        <v>Valdovinos</v>
      </c>
      <c r="G1838" s="6" t="str">
        <f>IFERROR(__xludf.DUMMYFUNCTION("""COMPUTED_VALUE"""),"12/15/2009")</f>
        <v>12/15/2009</v>
      </c>
      <c r="H1838" s="6" t="str">
        <f>IFERROR(__xludf.DUMMYFUNCTION("""COMPUTED_VALUE"""),"Other")</f>
        <v>Other</v>
      </c>
      <c r="I1838" s="6" t="str">
        <f>IFERROR(__xludf.DUMMYFUNCTION("""COMPUTED_VALUE"""),"High School")</f>
        <v>High School</v>
      </c>
      <c r="J1838" s="6" t="str">
        <f>IFERROR(__xludf.DUMMYFUNCTION("""COMPUTED_VALUE"""),"9")</f>
        <v>9</v>
      </c>
      <c r="K1838" s="6" t="str">
        <f>IFERROR(__xludf.DUMMYFUNCTION("""COMPUTED_VALUE"""),"anthony.valdovinos@2hourlearning.com")</f>
        <v>anthony.valdovinos@2hourlearning.com</v>
      </c>
      <c r="L1838" s="6" t="str">
        <f>IFERROR(__xludf.DUMMYFUNCTION("""COMPUTED_VALUE"""),"Irvington High School")</f>
        <v>Irvington High School</v>
      </c>
      <c r="M1838" s="6" t="str">
        <f>IFERROR(__xludf.DUMMYFUNCTION("""COMPUTED_VALUE"""),"")</f>
        <v/>
      </c>
      <c r="N1838" s="6" t="str">
        <f>IFERROR(__xludf.DUMMYFUNCTION("""COMPUTED_VALUE"""),"")</f>
        <v/>
      </c>
      <c r="O1838" s="87" t="str">
        <f>IFERROR(__xludf.DUMMYFUNCTION("""COMPUTED_VALUE"""),"https://drive.google.com/drive/folders/10T2cTQHqEJZqE-st6uFKPoI?usp=share_link")</f>
        <v>https://drive.google.com/drive/folders/10T2cTQHqEJZqE-st6uFKPoI?usp=share_link</v>
      </c>
      <c r="P1838" s="6" t="str">
        <f>IFERROR(__xludf.DUMMYFUNCTION("""COMPUTED_VALUE"""),"Anthony Valdovinos")</f>
        <v>Anthony Valdovinos</v>
      </c>
      <c r="Q1838" s="6" t="str">
        <f>IFERROR(__xludf.DUMMYFUNCTION("""COMPUTED_VALUE"""),"HS")</f>
        <v>HS</v>
      </c>
      <c r="R1838" s="6">
        <f>IFERROR(__xludf.DUMMYFUNCTION("""COMPUTED_VALUE"""),0.0)</f>
        <v>0</v>
      </c>
      <c r="S1838" s="6" t="str">
        <f>IFERROR(__xludf.DUMMYFUNCTION("""COMPUTED_VALUE""")," ")</f>
        <v> </v>
      </c>
      <c r="T1838" s="6" t="str">
        <f>IFERROR(__xludf.DUMMYFUNCTION("""COMPUTED_VALUE"""),"")</f>
        <v/>
      </c>
      <c r="U1838" s="6" t="str">
        <f>IFERROR(__xludf.DUMMYFUNCTION("""COMPUTED_VALUE"""),"9")</f>
        <v>9</v>
      </c>
      <c r="V1838" s="6" t="str">
        <f>IFERROR(__xludf.DUMMYFUNCTION("""COMPUTED_VALUE"""),"English")</f>
        <v>English</v>
      </c>
      <c r="W1838" s="6" t="str">
        <f>IFERROR(__xludf.DUMMYFUNCTION("""COMPUTED_VALUE"""),"[]")</f>
        <v>[]</v>
      </c>
      <c r="X1838" s="6" t="str">
        <f>IFERROR(__xludf.DUMMYFUNCTION("""COMPUTED_VALUE"""),"Enrolled")</f>
        <v>Enrolled</v>
      </c>
    </row>
    <row r="1839">
      <c r="A1839" s="6" t="str">
        <f>IFERROR(__xludf.DUMMYFUNCTION("""COMPUTED_VALUE"""),"018-6008")</f>
        <v>018-6008</v>
      </c>
      <c r="B1839" s="6" t="str">
        <f>IFERROR(__xludf.DUMMYFUNCTION("""COMPUTED_VALUE"""),"18")</f>
        <v>18</v>
      </c>
      <c r="C1839" s="6" t="str">
        <f>IFERROR(__xludf.DUMMYFUNCTION("""COMPUTED_VALUE"""),"6008")</f>
        <v>6008</v>
      </c>
      <c r="D1839" s="6" t="str">
        <f>IFERROR(__xludf.DUMMYFUNCTION("""COMPUTED_VALUE"""),"Arsh")</f>
        <v>Arsh</v>
      </c>
      <c r="E1839" s="6" t="str">
        <f>IFERROR(__xludf.DUMMYFUNCTION("""COMPUTED_VALUE"""),"")</f>
        <v/>
      </c>
      <c r="F1839" s="6" t="str">
        <f>IFERROR(__xludf.DUMMYFUNCTION("""COMPUTED_VALUE"""),"Chadda")</f>
        <v>Chadda</v>
      </c>
      <c r="G1839" s="6" t="str">
        <f>IFERROR(__xludf.DUMMYFUNCTION("""COMPUTED_VALUE"""),"12/15/2009")</f>
        <v>12/15/2009</v>
      </c>
      <c r="H1839" s="6" t="str">
        <f>IFERROR(__xludf.DUMMYFUNCTION("""COMPUTED_VALUE"""),"Other")</f>
        <v>Other</v>
      </c>
      <c r="I1839" s="6" t="str">
        <f>IFERROR(__xludf.DUMMYFUNCTION("""COMPUTED_VALUE"""),"High School")</f>
        <v>High School</v>
      </c>
      <c r="J1839" s="6" t="str">
        <f>IFERROR(__xludf.DUMMYFUNCTION("""COMPUTED_VALUE"""),"9")</f>
        <v>9</v>
      </c>
      <c r="K1839" s="6" t="str">
        <f>IFERROR(__xludf.DUMMYFUNCTION("""COMPUTED_VALUE"""),"arsh.chadda@2hourlearning.com")</f>
        <v>arsh.chadda@2hourlearning.com</v>
      </c>
      <c r="L1839" s="6" t="str">
        <f>IFERROR(__xludf.DUMMYFUNCTION("""COMPUTED_VALUE"""),"Irvington High School")</f>
        <v>Irvington High School</v>
      </c>
      <c r="M1839" s="6" t="str">
        <f>IFERROR(__xludf.DUMMYFUNCTION("""COMPUTED_VALUE"""),"")</f>
        <v/>
      </c>
      <c r="N1839" s="6" t="str">
        <f>IFERROR(__xludf.DUMMYFUNCTION("""COMPUTED_VALUE"""),"")</f>
        <v/>
      </c>
      <c r="O1839" s="87" t="str">
        <f>IFERROR(__xludf.DUMMYFUNCTION("""COMPUTED_VALUE"""),"https://drive.google.com/drive/folders/10T2cTQHqEJZqE-st6uFKPoI?usp=share_link")</f>
        <v>https://drive.google.com/drive/folders/10T2cTQHqEJZqE-st6uFKPoI?usp=share_link</v>
      </c>
      <c r="P1839" s="6" t="str">
        <f>IFERROR(__xludf.DUMMYFUNCTION("""COMPUTED_VALUE"""),"Arsh Chadda")</f>
        <v>Arsh Chadda</v>
      </c>
      <c r="Q1839" s="6" t="str">
        <f>IFERROR(__xludf.DUMMYFUNCTION("""COMPUTED_VALUE"""),"HS")</f>
        <v>HS</v>
      </c>
      <c r="R1839" s="6">
        <f>IFERROR(__xludf.DUMMYFUNCTION("""COMPUTED_VALUE"""),0.0)</f>
        <v>0</v>
      </c>
      <c r="S1839" s="6" t="str">
        <f>IFERROR(__xludf.DUMMYFUNCTION("""COMPUTED_VALUE""")," ")</f>
        <v> </v>
      </c>
      <c r="T1839" s="6" t="str">
        <f>IFERROR(__xludf.DUMMYFUNCTION("""COMPUTED_VALUE"""),"")</f>
        <v/>
      </c>
      <c r="U1839" s="6" t="str">
        <f>IFERROR(__xludf.DUMMYFUNCTION("""COMPUTED_VALUE"""),"9")</f>
        <v>9</v>
      </c>
      <c r="V1839" s="6" t="str">
        <f>IFERROR(__xludf.DUMMYFUNCTION("""COMPUTED_VALUE"""),"English")</f>
        <v>English</v>
      </c>
      <c r="W1839" s="6" t="str">
        <f>IFERROR(__xludf.DUMMYFUNCTION("""COMPUTED_VALUE"""),"[]")</f>
        <v>[]</v>
      </c>
      <c r="X1839" s="6" t="str">
        <f>IFERROR(__xludf.DUMMYFUNCTION("""COMPUTED_VALUE"""),"Enrolled")</f>
        <v>Enrolled</v>
      </c>
    </row>
    <row r="1840">
      <c r="A1840" s="6" t="str">
        <f>IFERROR(__xludf.DUMMYFUNCTION("""COMPUTED_VALUE"""),"018-6009")</f>
        <v>018-6009</v>
      </c>
      <c r="B1840" s="6" t="str">
        <f>IFERROR(__xludf.DUMMYFUNCTION("""COMPUTED_VALUE"""),"18")</f>
        <v>18</v>
      </c>
      <c r="C1840" s="6" t="str">
        <f>IFERROR(__xludf.DUMMYFUNCTION("""COMPUTED_VALUE"""),"6009")</f>
        <v>6009</v>
      </c>
      <c r="D1840" s="6" t="str">
        <f>IFERROR(__xludf.DUMMYFUNCTION("""COMPUTED_VALUE"""),"Brian")</f>
        <v>Brian</v>
      </c>
      <c r="E1840" s="6" t="str">
        <f>IFERROR(__xludf.DUMMYFUNCTION("""COMPUTED_VALUE"""),"")</f>
        <v/>
      </c>
      <c r="F1840" s="6" t="str">
        <f>IFERROR(__xludf.DUMMYFUNCTION("""COMPUTED_VALUE"""),"Bjornson")</f>
        <v>Bjornson</v>
      </c>
      <c r="G1840" s="6" t="str">
        <f>IFERROR(__xludf.DUMMYFUNCTION("""COMPUTED_VALUE"""),"12/15/2009")</f>
        <v>12/15/2009</v>
      </c>
      <c r="H1840" s="6" t="str">
        <f>IFERROR(__xludf.DUMMYFUNCTION("""COMPUTED_VALUE"""),"Other")</f>
        <v>Other</v>
      </c>
      <c r="I1840" s="6" t="str">
        <f>IFERROR(__xludf.DUMMYFUNCTION("""COMPUTED_VALUE"""),"High School")</f>
        <v>High School</v>
      </c>
      <c r="J1840" s="6" t="str">
        <f>IFERROR(__xludf.DUMMYFUNCTION("""COMPUTED_VALUE"""),"9")</f>
        <v>9</v>
      </c>
      <c r="K1840" s="6" t="str">
        <f>IFERROR(__xludf.DUMMYFUNCTION("""COMPUTED_VALUE"""),"brian.bjornson@2hourlearning.com")</f>
        <v>brian.bjornson@2hourlearning.com</v>
      </c>
      <c r="L1840" s="6" t="str">
        <f>IFERROR(__xludf.DUMMYFUNCTION("""COMPUTED_VALUE"""),"Irvington High School")</f>
        <v>Irvington High School</v>
      </c>
      <c r="M1840" s="6" t="str">
        <f>IFERROR(__xludf.DUMMYFUNCTION("""COMPUTED_VALUE"""),"")</f>
        <v/>
      </c>
      <c r="N1840" s="6" t="str">
        <f>IFERROR(__xludf.DUMMYFUNCTION("""COMPUTED_VALUE"""),"")</f>
        <v/>
      </c>
      <c r="O1840" s="87" t="str">
        <f>IFERROR(__xludf.DUMMYFUNCTION("""COMPUTED_VALUE"""),"https://drive.google.com/drive/folders/10T2cTQHqEJZqE-st6uFKPoI?usp=share_link")</f>
        <v>https://drive.google.com/drive/folders/10T2cTQHqEJZqE-st6uFKPoI?usp=share_link</v>
      </c>
      <c r="P1840" s="6" t="str">
        <f>IFERROR(__xludf.DUMMYFUNCTION("""COMPUTED_VALUE"""),"Brian Bjornson")</f>
        <v>Brian Bjornson</v>
      </c>
      <c r="Q1840" s="6" t="str">
        <f>IFERROR(__xludf.DUMMYFUNCTION("""COMPUTED_VALUE"""),"HS")</f>
        <v>HS</v>
      </c>
      <c r="R1840" s="6">
        <f>IFERROR(__xludf.DUMMYFUNCTION("""COMPUTED_VALUE"""),0.0)</f>
        <v>0</v>
      </c>
      <c r="S1840" s="6" t="str">
        <f>IFERROR(__xludf.DUMMYFUNCTION("""COMPUTED_VALUE""")," ")</f>
        <v> </v>
      </c>
      <c r="T1840" s="6" t="str">
        <f>IFERROR(__xludf.DUMMYFUNCTION("""COMPUTED_VALUE"""),"")</f>
        <v/>
      </c>
      <c r="U1840" s="6" t="str">
        <f>IFERROR(__xludf.DUMMYFUNCTION("""COMPUTED_VALUE"""),"9")</f>
        <v>9</v>
      </c>
      <c r="V1840" s="6" t="str">
        <f>IFERROR(__xludf.DUMMYFUNCTION("""COMPUTED_VALUE"""),"English")</f>
        <v>English</v>
      </c>
      <c r="W1840" s="6" t="str">
        <f>IFERROR(__xludf.DUMMYFUNCTION("""COMPUTED_VALUE"""),"[]")</f>
        <v>[]</v>
      </c>
      <c r="X1840" s="6" t="str">
        <f>IFERROR(__xludf.DUMMYFUNCTION("""COMPUTED_VALUE"""),"Enrolled")</f>
        <v>Enrolled</v>
      </c>
    </row>
    <row r="1841">
      <c r="A1841" s="6" t="str">
        <f>IFERROR(__xludf.DUMMYFUNCTION("""COMPUTED_VALUE"""),"018-6010")</f>
        <v>018-6010</v>
      </c>
      <c r="B1841" s="6" t="str">
        <f>IFERROR(__xludf.DUMMYFUNCTION("""COMPUTED_VALUE"""),"18")</f>
        <v>18</v>
      </c>
      <c r="C1841" s="6" t="str">
        <f>IFERROR(__xludf.DUMMYFUNCTION("""COMPUTED_VALUE"""),"6010")</f>
        <v>6010</v>
      </c>
      <c r="D1841" s="6" t="str">
        <f>IFERROR(__xludf.DUMMYFUNCTION("""COMPUTED_VALUE"""),"Brianna")</f>
        <v>Brianna</v>
      </c>
      <c r="E1841" s="6" t="str">
        <f>IFERROR(__xludf.DUMMYFUNCTION("""COMPUTED_VALUE"""),"")</f>
        <v/>
      </c>
      <c r="F1841" s="6" t="str">
        <f>IFERROR(__xludf.DUMMYFUNCTION("""COMPUTED_VALUE"""),"Cortes Apolinar")</f>
        <v>Cortes Apolinar</v>
      </c>
      <c r="G1841" s="6" t="str">
        <f>IFERROR(__xludf.DUMMYFUNCTION("""COMPUTED_VALUE"""),"12/15/2009")</f>
        <v>12/15/2009</v>
      </c>
      <c r="H1841" s="6" t="str">
        <f>IFERROR(__xludf.DUMMYFUNCTION("""COMPUTED_VALUE"""),"Other")</f>
        <v>Other</v>
      </c>
      <c r="I1841" s="6" t="str">
        <f>IFERROR(__xludf.DUMMYFUNCTION("""COMPUTED_VALUE"""),"High School")</f>
        <v>High School</v>
      </c>
      <c r="J1841" s="6" t="str">
        <f>IFERROR(__xludf.DUMMYFUNCTION("""COMPUTED_VALUE"""),"9")</f>
        <v>9</v>
      </c>
      <c r="K1841" s="6" t="str">
        <f>IFERROR(__xludf.DUMMYFUNCTION("""COMPUTED_VALUE"""),"brianna.cortes.apolinar@2hourlearning.com")</f>
        <v>brianna.cortes.apolinar@2hourlearning.com</v>
      </c>
      <c r="L1841" s="6" t="str">
        <f>IFERROR(__xludf.DUMMYFUNCTION("""COMPUTED_VALUE"""),"Irvington High School")</f>
        <v>Irvington High School</v>
      </c>
      <c r="M1841" s="6" t="str">
        <f>IFERROR(__xludf.DUMMYFUNCTION("""COMPUTED_VALUE"""),"")</f>
        <v/>
      </c>
      <c r="N1841" s="6" t="str">
        <f>IFERROR(__xludf.DUMMYFUNCTION("""COMPUTED_VALUE"""),"")</f>
        <v/>
      </c>
      <c r="O1841" s="87" t="str">
        <f>IFERROR(__xludf.DUMMYFUNCTION("""COMPUTED_VALUE"""),"https://drive.google.com/drive/folders/10T2cTQHqEJZqE-st6uFKPoI?usp=share_link")</f>
        <v>https://drive.google.com/drive/folders/10T2cTQHqEJZqE-st6uFKPoI?usp=share_link</v>
      </c>
      <c r="P1841" s="6" t="str">
        <f>IFERROR(__xludf.DUMMYFUNCTION("""COMPUTED_VALUE"""),"Brianna Cortes Apolinar")</f>
        <v>Brianna Cortes Apolinar</v>
      </c>
      <c r="Q1841" s="6" t="str">
        <f>IFERROR(__xludf.DUMMYFUNCTION("""COMPUTED_VALUE"""),"HS")</f>
        <v>HS</v>
      </c>
      <c r="R1841" s="6">
        <f>IFERROR(__xludf.DUMMYFUNCTION("""COMPUTED_VALUE"""),0.0)</f>
        <v>0</v>
      </c>
      <c r="S1841" s="6" t="str">
        <f>IFERROR(__xludf.DUMMYFUNCTION("""COMPUTED_VALUE""")," ")</f>
        <v> </v>
      </c>
      <c r="T1841" s="6" t="str">
        <f>IFERROR(__xludf.DUMMYFUNCTION("""COMPUTED_VALUE"""),"")</f>
        <v/>
      </c>
      <c r="U1841" s="6" t="str">
        <f>IFERROR(__xludf.DUMMYFUNCTION("""COMPUTED_VALUE"""),"9")</f>
        <v>9</v>
      </c>
      <c r="V1841" s="6" t="str">
        <f>IFERROR(__xludf.DUMMYFUNCTION("""COMPUTED_VALUE"""),"English")</f>
        <v>English</v>
      </c>
      <c r="W1841" s="6" t="str">
        <f>IFERROR(__xludf.DUMMYFUNCTION("""COMPUTED_VALUE"""),"[]")</f>
        <v>[]</v>
      </c>
      <c r="X1841" s="6" t="str">
        <f>IFERROR(__xludf.DUMMYFUNCTION("""COMPUTED_VALUE"""),"Enrolled")</f>
        <v>Enrolled</v>
      </c>
    </row>
    <row r="1842">
      <c r="A1842" s="6" t="str">
        <f>IFERROR(__xludf.DUMMYFUNCTION("""COMPUTED_VALUE"""),"018-6011")</f>
        <v>018-6011</v>
      </c>
      <c r="B1842" s="6" t="str">
        <f>IFERROR(__xludf.DUMMYFUNCTION("""COMPUTED_VALUE"""),"18")</f>
        <v>18</v>
      </c>
      <c r="C1842" s="6" t="str">
        <f>IFERROR(__xludf.DUMMYFUNCTION("""COMPUTED_VALUE"""),"6011")</f>
        <v>6011</v>
      </c>
      <c r="D1842" s="6" t="str">
        <f>IFERROR(__xludf.DUMMYFUNCTION("""COMPUTED_VALUE"""),"Bryan")</f>
        <v>Bryan</v>
      </c>
      <c r="E1842" s="6" t="str">
        <f>IFERROR(__xludf.DUMMYFUNCTION("""COMPUTED_VALUE"""),"")</f>
        <v/>
      </c>
      <c r="F1842" s="6" t="str">
        <f>IFERROR(__xludf.DUMMYFUNCTION("""COMPUTED_VALUE"""),"Cervantes")</f>
        <v>Cervantes</v>
      </c>
      <c r="G1842" s="6" t="str">
        <f>IFERROR(__xludf.DUMMYFUNCTION("""COMPUTED_VALUE"""),"12/15/2009")</f>
        <v>12/15/2009</v>
      </c>
      <c r="H1842" s="6" t="str">
        <f>IFERROR(__xludf.DUMMYFUNCTION("""COMPUTED_VALUE"""),"Other")</f>
        <v>Other</v>
      </c>
      <c r="I1842" s="6" t="str">
        <f>IFERROR(__xludf.DUMMYFUNCTION("""COMPUTED_VALUE"""),"High School")</f>
        <v>High School</v>
      </c>
      <c r="J1842" s="6" t="str">
        <f>IFERROR(__xludf.DUMMYFUNCTION("""COMPUTED_VALUE"""),"9")</f>
        <v>9</v>
      </c>
      <c r="K1842" s="6" t="str">
        <f>IFERROR(__xludf.DUMMYFUNCTION("""COMPUTED_VALUE"""),"bryan.cervantes@2hourlearning.com")</f>
        <v>bryan.cervantes@2hourlearning.com</v>
      </c>
      <c r="L1842" s="6" t="str">
        <f>IFERROR(__xludf.DUMMYFUNCTION("""COMPUTED_VALUE"""),"Irvington High School")</f>
        <v>Irvington High School</v>
      </c>
      <c r="M1842" s="6" t="str">
        <f>IFERROR(__xludf.DUMMYFUNCTION("""COMPUTED_VALUE"""),"")</f>
        <v/>
      </c>
      <c r="N1842" s="6" t="str">
        <f>IFERROR(__xludf.DUMMYFUNCTION("""COMPUTED_VALUE"""),"")</f>
        <v/>
      </c>
      <c r="O1842" s="87" t="str">
        <f>IFERROR(__xludf.DUMMYFUNCTION("""COMPUTED_VALUE"""),"https://drive.google.com/drive/folders/10T2cTQHqEJZqE-st6uFKPoI?usp=share_link")</f>
        <v>https://drive.google.com/drive/folders/10T2cTQHqEJZqE-st6uFKPoI?usp=share_link</v>
      </c>
      <c r="P1842" s="6" t="str">
        <f>IFERROR(__xludf.DUMMYFUNCTION("""COMPUTED_VALUE"""),"Bryan Cervantes")</f>
        <v>Bryan Cervantes</v>
      </c>
      <c r="Q1842" s="6" t="str">
        <f>IFERROR(__xludf.DUMMYFUNCTION("""COMPUTED_VALUE"""),"HS")</f>
        <v>HS</v>
      </c>
      <c r="R1842" s="6">
        <f>IFERROR(__xludf.DUMMYFUNCTION("""COMPUTED_VALUE"""),0.0)</f>
        <v>0</v>
      </c>
      <c r="S1842" s="6" t="str">
        <f>IFERROR(__xludf.DUMMYFUNCTION("""COMPUTED_VALUE""")," ")</f>
        <v> </v>
      </c>
      <c r="T1842" s="6" t="str">
        <f>IFERROR(__xludf.DUMMYFUNCTION("""COMPUTED_VALUE"""),"")</f>
        <v/>
      </c>
      <c r="U1842" s="6" t="str">
        <f>IFERROR(__xludf.DUMMYFUNCTION("""COMPUTED_VALUE"""),"9")</f>
        <v>9</v>
      </c>
      <c r="V1842" s="6" t="str">
        <f>IFERROR(__xludf.DUMMYFUNCTION("""COMPUTED_VALUE"""),"English")</f>
        <v>English</v>
      </c>
      <c r="W1842" s="6" t="str">
        <f>IFERROR(__xludf.DUMMYFUNCTION("""COMPUTED_VALUE"""),"[]")</f>
        <v>[]</v>
      </c>
      <c r="X1842" s="6" t="str">
        <f>IFERROR(__xludf.DUMMYFUNCTION("""COMPUTED_VALUE"""),"Enrolled")</f>
        <v>Enrolled</v>
      </c>
    </row>
    <row r="1843">
      <c r="A1843" s="6" t="str">
        <f>IFERROR(__xludf.DUMMYFUNCTION("""COMPUTED_VALUE"""),"018-6012")</f>
        <v>018-6012</v>
      </c>
      <c r="B1843" s="6" t="str">
        <f>IFERROR(__xludf.DUMMYFUNCTION("""COMPUTED_VALUE"""),"18")</f>
        <v>18</v>
      </c>
      <c r="C1843" s="6" t="str">
        <f>IFERROR(__xludf.DUMMYFUNCTION("""COMPUTED_VALUE"""),"6012")</f>
        <v>6012</v>
      </c>
      <c r="D1843" s="6" t="str">
        <f>IFERROR(__xludf.DUMMYFUNCTION("""COMPUTED_VALUE"""),"Cristobal")</f>
        <v>Cristobal</v>
      </c>
      <c r="E1843" s="6" t="str">
        <f>IFERROR(__xludf.DUMMYFUNCTION("""COMPUTED_VALUE"""),"")</f>
        <v/>
      </c>
      <c r="F1843" s="6" t="str">
        <f>IFERROR(__xludf.DUMMYFUNCTION("""COMPUTED_VALUE"""),"Lopez Contreras")</f>
        <v>Lopez Contreras</v>
      </c>
      <c r="G1843" s="6" t="str">
        <f>IFERROR(__xludf.DUMMYFUNCTION("""COMPUTED_VALUE"""),"12/15/2009")</f>
        <v>12/15/2009</v>
      </c>
      <c r="H1843" s="6" t="str">
        <f>IFERROR(__xludf.DUMMYFUNCTION("""COMPUTED_VALUE"""),"Other")</f>
        <v>Other</v>
      </c>
      <c r="I1843" s="6" t="str">
        <f>IFERROR(__xludf.DUMMYFUNCTION("""COMPUTED_VALUE"""),"High School")</f>
        <v>High School</v>
      </c>
      <c r="J1843" s="6" t="str">
        <f>IFERROR(__xludf.DUMMYFUNCTION("""COMPUTED_VALUE"""),"9")</f>
        <v>9</v>
      </c>
      <c r="K1843" s="6" t="str">
        <f>IFERROR(__xludf.DUMMYFUNCTION("""COMPUTED_VALUE"""),"cristobal.lopez.contreras@2hourlearning.com")</f>
        <v>cristobal.lopez.contreras@2hourlearning.com</v>
      </c>
      <c r="L1843" s="6" t="str">
        <f>IFERROR(__xludf.DUMMYFUNCTION("""COMPUTED_VALUE"""),"Irvington High School")</f>
        <v>Irvington High School</v>
      </c>
      <c r="M1843" s="6" t="str">
        <f>IFERROR(__xludf.DUMMYFUNCTION("""COMPUTED_VALUE"""),"")</f>
        <v/>
      </c>
      <c r="N1843" s="6" t="str">
        <f>IFERROR(__xludf.DUMMYFUNCTION("""COMPUTED_VALUE"""),"")</f>
        <v/>
      </c>
      <c r="O1843" s="87" t="str">
        <f>IFERROR(__xludf.DUMMYFUNCTION("""COMPUTED_VALUE"""),"https://drive.google.com/drive/folders/10T2cTQHqEJZqE-st6uFKPoI?usp=share_link")</f>
        <v>https://drive.google.com/drive/folders/10T2cTQHqEJZqE-st6uFKPoI?usp=share_link</v>
      </c>
      <c r="P1843" s="6" t="str">
        <f>IFERROR(__xludf.DUMMYFUNCTION("""COMPUTED_VALUE"""),"Cristobal Lopez Contreras")</f>
        <v>Cristobal Lopez Contreras</v>
      </c>
      <c r="Q1843" s="6" t="str">
        <f>IFERROR(__xludf.DUMMYFUNCTION("""COMPUTED_VALUE"""),"HS")</f>
        <v>HS</v>
      </c>
      <c r="R1843" s="6">
        <f>IFERROR(__xludf.DUMMYFUNCTION("""COMPUTED_VALUE"""),0.0)</f>
        <v>0</v>
      </c>
      <c r="S1843" s="6" t="str">
        <f>IFERROR(__xludf.DUMMYFUNCTION("""COMPUTED_VALUE""")," ")</f>
        <v> </v>
      </c>
      <c r="T1843" s="6" t="str">
        <f>IFERROR(__xludf.DUMMYFUNCTION("""COMPUTED_VALUE"""),"")</f>
        <v/>
      </c>
      <c r="U1843" s="6" t="str">
        <f>IFERROR(__xludf.DUMMYFUNCTION("""COMPUTED_VALUE"""),"9")</f>
        <v>9</v>
      </c>
      <c r="V1843" s="6" t="str">
        <f>IFERROR(__xludf.DUMMYFUNCTION("""COMPUTED_VALUE"""),"English")</f>
        <v>English</v>
      </c>
      <c r="W1843" s="6" t="str">
        <f>IFERROR(__xludf.DUMMYFUNCTION("""COMPUTED_VALUE"""),"[]")</f>
        <v>[]</v>
      </c>
      <c r="X1843" s="6" t="str">
        <f>IFERROR(__xludf.DUMMYFUNCTION("""COMPUTED_VALUE"""),"Enrolled")</f>
        <v>Enrolled</v>
      </c>
    </row>
    <row r="1844">
      <c r="A1844" s="6" t="str">
        <f>IFERROR(__xludf.DUMMYFUNCTION("""COMPUTED_VALUE"""),"018-6013")</f>
        <v>018-6013</v>
      </c>
      <c r="B1844" s="6" t="str">
        <f>IFERROR(__xludf.DUMMYFUNCTION("""COMPUTED_VALUE"""),"18")</f>
        <v>18</v>
      </c>
      <c r="C1844" s="6" t="str">
        <f>IFERROR(__xludf.DUMMYFUNCTION("""COMPUTED_VALUE"""),"6013")</f>
        <v>6013</v>
      </c>
      <c r="D1844" s="6" t="str">
        <f>IFERROR(__xludf.DUMMYFUNCTION("""COMPUTED_VALUE"""),"Edwin")</f>
        <v>Edwin</v>
      </c>
      <c r="E1844" s="6" t="str">
        <f>IFERROR(__xludf.DUMMYFUNCTION("""COMPUTED_VALUE"""),"")</f>
        <v/>
      </c>
      <c r="F1844" s="6" t="str">
        <f>IFERROR(__xludf.DUMMYFUNCTION("""COMPUTED_VALUE"""),"Sanchez Valadez")</f>
        <v>Sanchez Valadez</v>
      </c>
      <c r="G1844" s="6" t="str">
        <f>IFERROR(__xludf.DUMMYFUNCTION("""COMPUTED_VALUE"""),"12/15/2009")</f>
        <v>12/15/2009</v>
      </c>
      <c r="H1844" s="6" t="str">
        <f>IFERROR(__xludf.DUMMYFUNCTION("""COMPUTED_VALUE"""),"Other")</f>
        <v>Other</v>
      </c>
      <c r="I1844" s="6" t="str">
        <f>IFERROR(__xludf.DUMMYFUNCTION("""COMPUTED_VALUE"""),"High School")</f>
        <v>High School</v>
      </c>
      <c r="J1844" s="6" t="str">
        <f>IFERROR(__xludf.DUMMYFUNCTION("""COMPUTED_VALUE"""),"9")</f>
        <v>9</v>
      </c>
      <c r="K1844" s="6" t="str">
        <f>IFERROR(__xludf.DUMMYFUNCTION("""COMPUTED_VALUE"""),"edwin.sanchez.valadez@2hourlearning.com")</f>
        <v>edwin.sanchez.valadez@2hourlearning.com</v>
      </c>
      <c r="L1844" s="6" t="str">
        <f>IFERROR(__xludf.DUMMYFUNCTION("""COMPUTED_VALUE"""),"Irvington High School")</f>
        <v>Irvington High School</v>
      </c>
      <c r="M1844" s="6" t="str">
        <f>IFERROR(__xludf.DUMMYFUNCTION("""COMPUTED_VALUE"""),"")</f>
        <v/>
      </c>
      <c r="N1844" s="6" t="str">
        <f>IFERROR(__xludf.DUMMYFUNCTION("""COMPUTED_VALUE"""),"")</f>
        <v/>
      </c>
      <c r="O1844" s="87" t="str">
        <f>IFERROR(__xludf.DUMMYFUNCTION("""COMPUTED_VALUE"""),"https://drive.google.com/drive/folders/10T2cTQHqEJZqE-st6uFKPoI?usp=share_link")</f>
        <v>https://drive.google.com/drive/folders/10T2cTQHqEJZqE-st6uFKPoI?usp=share_link</v>
      </c>
      <c r="P1844" s="6" t="str">
        <f>IFERROR(__xludf.DUMMYFUNCTION("""COMPUTED_VALUE"""),"Edwin Sanchez Valadez")</f>
        <v>Edwin Sanchez Valadez</v>
      </c>
      <c r="Q1844" s="6" t="str">
        <f>IFERROR(__xludf.DUMMYFUNCTION("""COMPUTED_VALUE"""),"HS")</f>
        <v>HS</v>
      </c>
      <c r="R1844" s="6">
        <f>IFERROR(__xludf.DUMMYFUNCTION("""COMPUTED_VALUE"""),0.0)</f>
        <v>0</v>
      </c>
      <c r="S1844" s="6" t="str">
        <f>IFERROR(__xludf.DUMMYFUNCTION("""COMPUTED_VALUE""")," ")</f>
        <v> </v>
      </c>
      <c r="T1844" s="6" t="str">
        <f>IFERROR(__xludf.DUMMYFUNCTION("""COMPUTED_VALUE"""),"")</f>
        <v/>
      </c>
      <c r="U1844" s="6" t="str">
        <f>IFERROR(__xludf.DUMMYFUNCTION("""COMPUTED_VALUE"""),"9")</f>
        <v>9</v>
      </c>
      <c r="V1844" s="6" t="str">
        <f>IFERROR(__xludf.DUMMYFUNCTION("""COMPUTED_VALUE"""),"English")</f>
        <v>English</v>
      </c>
      <c r="W1844" s="6" t="str">
        <f>IFERROR(__xludf.DUMMYFUNCTION("""COMPUTED_VALUE"""),"[]")</f>
        <v>[]</v>
      </c>
      <c r="X1844" s="6" t="str">
        <f>IFERROR(__xludf.DUMMYFUNCTION("""COMPUTED_VALUE"""),"Enrolled")</f>
        <v>Enrolled</v>
      </c>
    </row>
    <row r="1845">
      <c r="A1845" s="6" t="str">
        <f>IFERROR(__xludf.DUMMYFUNCTION("""COMPUTED_VALUE"""),"018-6014")</f>
        <v>018-6014</v>
      </c>
      <c r="B1845" s="6" t="str">
        <f>IFERROR(__xludf.DUMMYFUNCTION("""COMPUTED_VALUE"""),"18")</f>
        <v>18</v>
      </c>
      <c r="C1845" s="6" t="str">
        <f>IFERROR(__xludf.DUMMYFUNCTION("""COMPUTED_VALUE"""),"6014")</f>
        <v>6014</v>
      </c>
      <c r="D1845" s="6" t="str">
        <f>IFERROR(__xludf.DUMMYFUNCTION("""COMPUTED_VALUE"""),"Emilia")</f>
        <v>Emilia</v>
      </c>
      <c r="E1845" s="6" t="str">
        <f>IFERROR(__xludf.DUMMYFUNCTION("""COMPUTED_VALUE"""),"")</f>
        <v/>
      </c>
      <c r="F1845" s="6" t="str">
        <f>IFERROR(__xludf.DUMMYFUNCTION("""COMPUTED_VALUE"""),"Bieszcz")</f>
        <v>Bieszcz</v>
      </c>
      <c r="G1845" s="6" t="str">
        <f>IFERROR(__xludf.DUMMYFUNCTION("""COMPUTED_VALUE"""),"12/15/2009")</f>
        <v>12/15/2009</v>
      </c>
      <c r="H1845" s="6" t="str">
        <f>IFERROR(__xludf.DUMMYFUNCTION("""COMPUTED_VALUE"""),"Other")</f>
        <v>Other</v>
      </c>
      <c r="I1845" s="6" t="str">
        <f>IFERROR(__xludf.DUMMYFUNCTION("""COMPUTED_VALUE"""),"High School")</f>
        <v>High School</v>
      </c>
      <c r="J1845" s="6" t="str">
        <f>IFERROR(__xludf.DUMMYFUNCTION("""COMPUTED_VALUE"""),"9")</f>
        <v>9</v>
      </c>
      <c r="K1845" s="6" t="str">
        <f>IFERROR(__xludf.DUMMYFUNCTION("""COMPUTED_VALUE"""),"emilia.bieszcz@2hourlearning.com")</f>
        <v>emilia.bieszcz@2hourlearning.com</v>
      </c>
      <c r="L1845" s="6" t="str">
        <f>IFERROR(__xludf.DUMMYFUNCTION("""COMPUTED_VALUE"""),"Irvington High School")</f>
        <v>Irvington High School</v>
      </c>
      <c r="M1845" s="6" t="str">
        <f>IFERROR(__xludf.DUMMYFUNCTION("""COMPUTED_VALUE"""),"")</f>
        <v/>
      </c>
      <c r="N1845" s="6" t="str">
        <f>IFERROR(__xludf.DUMMYFUNCTION("""COMPUTED_VALUE"""),"")</f>
        <v/>
      </c>
      <c r="O1845" s="87" t="str">
        <f>IFERROR(__xludf.DUMMYFUNCTION("""COMPUTED_VALUE"""),"https://drive.google.com/drive/folders/10T2cTQHqEJZqE-st6uFKPoI?usp=share_link")</f>
        <v>https://drive.google.com/drive/folders/10T2cTQHqEJZqE-st6uFKPoI?usp=share_link</v>
      </c>
      <c r="P1845" s="6" t="str">
        <f>IFERROR(__xludf.DUMMYFUNCTION("""COMPUTED_VALUE"""),"Emilia Bieszcz")</f>
        <v>Emilia Bieszcz</v>
      </c>
      <c r="Q1845" s="6" t="str">
        <f>IFERROR(__xludf.DUMMYFUNCTION("""COMPUTED_VALUE"""),"HS")</f>
        <v>HS</v>
      </c>
      <c r="R1845" s="6">
        <f>IFERROR(__xludf.DUMMYFUNCTION("""COMPUTED_VALUE"""),0.0)</f>
        <v>0</v>
      </c>
      <c r="S1845" s="6" t="str">
        <f>IFERROR(__xludf.DUMMYFUNCTION("""COMPUTED_VALUE""")," ")</f>
        <v> </v>
      </c>
      <c r="T1845" s="6" t="str">
        <f>IFERROR(__xludf.DUMMYFUNCTION("""COMPUTED_VALUE"""),"")</f>
        <v/>
      </c>
      <c r="U1845" s="6" t="str">
        <f>IFERROR(__xludf.DUMMYFUNCTION("""COMPUTED_VALUE"""),"9")</f>
        <v>9</v>
      </c>
      <c r="V1845" s="6" t="str">
        <f>IFERROR(__xludf.DUMMYFUNCTION("""COMPUTED_VALUE"""),"English")</f>
        <v>English</v>
      </c>
      <c r="W1845" s="6" t="str">
        <f>IFERROR(__xludf.DUMMYFUNCTION("""COMPUTED_VALUE"""),"[]")</f>
        <v>[]</v>
      </c>
      <c r="X1845" s="6" t="str">
        <f>IFERROR(__xludf.DUMMYFUNCTION("""COMPUTED_VALUE"""),"Enrolled")</f>
        <v>Enrolled</v>
      </c>
    </row>
    <row r="1846">
      <c r="A1846" s="6" t="str">
        <f>IFERROR(__xludf.DUMMYFUNCTION("""COMPUTED_VALUE"""),"018-6015")</f>
        <v>018-6015</v>
      </c>
      <c r="B1846" s="6" t="str">
        <f>IFERROR(__xludf.DUMMYFUNCTION("""COMPUTED_VALUE"""),"18")</f>
        <v>18</v>
      </c>
      <c r="C1846" s="6" t="str">
        <f>IFERROR(__xludf.DUMMYFUNCTION("""COMPUTED_VALUE"""),"6015")</f>
        <v>6015</v>
      </c>
      <c r="D1846" s="6" t="str">
        <f>IFERROR(__xludf.DUMMYFUNCTION("""COMPUTED_VALUE"""),"Emiliano")</f>
        <v>Emiliano</v>
      </c>
      <c r="E1846" s="6" t="str">
        <f>IFERROR(__xludf.DUMMYFUNCTION("""COMPUTED_VALUE"""),"")</f>
        <v/>
      </c>
      <c r="F1846" s="6" t="str">
        <f>IFERROR(__xludf.DUMMYFUNCTION("""COMPUTED_VALUE"""),"Casas Mota")</f>
        <v>Casas Mota</v>
      </c>
      <c r="G1846" s="6" t="str">
        <f>IFERROR(__xludf.DUMMYFUNCTION("""COMPUTED_VALUE"""),"12/15/2009")</f>
        <v>12/15/2009</v>
      </c>
      <c r="H1846" s="6" t="str">
        <f>IFERROR(__xludf.DUMMYFUNCTION("""COMPUTED_VALUE"""),"Other")</f>
        <v>Other</v>
      </c>
      <c r="I1846" s="6" t="str">
        <f>IFERROR(__xludf.DUMMYFUNCTION("""COMPUTED_VALUE"""),"High School")</f>
        <v>High School</v>
      </c>
      <c r="J1846" s="6" t="str">
        <f>IFERROR(__xludf.DUMMYFUNCTION("""COMPUTED_VALUE"""),"9")</f>
        <v>9</v>
      </c>
      <c r="K1846" s="6" t="str">
        <f>IFERROR(__xludf.DUMMYFUNCTION("""COMPUTED_VALUE"""),"emiliano.casas.mota@2hourlearning.com")</f>
        <v>emiliano.casas.mota@2hourlearning.com</v>
      </c>
      <c r="L1846" s="6" t="str">
        <f>IFERROR(__xludf.DUMMYFUNCTION("""COMPUTED_VALUE"""),"Irvington High School")</f>
        <v>Irvington High School</v>
      </c>
      <c r="M1846" s="6" t="str">
        <f>IFERROR(__xludf.DUMMYFUNCTION("""COMPUTED_VALUE"""),"")</f>
        <v/>
      </c>
      <c r="N1846" s="6" t="str">
        <f>IFERROR(__xludf.DUMMYFUNCTION("""COMPUTED_VALUE"""),"")</f>
        <v/>
      </c>
      <c r="O1846" s="87" t="str">
        <f>IFERROR(__xludf.DUMMYFUNCTION("""COMPUTED_VALUE"""),"https://drive.google.com/drive/folders/10T2cTQHqEJZqE-st6uFKPoI?usp=share_link")</f>
        <v>https://drive.google.com/drive/folders/10T2cTQHqEJZqE-st6uFKPoI?usp=share_link</v>
      </c>
      <c r="P1846" s="6" t="str">
        <f>IFERROR(__xludf.DUMMYFUNCTION("""COMPUTED_VALUE"""),"Emiliano Casas Mota")</f>
        <v>Emiliano Casas Mota</v>
      </c>
      <c r="Q1846" s="6" t="str">
        <f>IFERROR(__xludf.DUMMYFUNCTION("""COMPUTED_VALUE"""),"HS")</f>
        <v>HS</v>
      </c>
      <c r="R1846" s="6">
        <f>IFERROR(__xludf.DUMMYFUNCTION("""COMPUTED_VALUE"""),0.0)</f>
        <v>0</v>
      </c>
      <c r="S1846" s="6" t="str">
        <f>IFERROR(__xludf.DUMMYFUNCTION("""COMPUTED_VALUE""")," ")</f>
        <v> </v>
      </c>
      <c r="T1846" s="6" t="str">
        <f>IFERROR(__xludf.DUMMYFUNCTION("""COMPUTED_VALUE"""),"")</f>
        <v/>
      </c>
      <c r="U1846" s="6" t="str">
        <f>IFERROR(__xludf.DUMMYFUNCTION("""COMPUTED_VALUE"""),"9")</f>
        <v>9</v>
      </c>
      <c r="V1846" s="6" t="str">
        <f>IFERROR(__xludf.DUMMYFUNCTION("""COMPUTED_VALUE"""),"English")</f>
        <v>English</v>
      </c>
      <c r="W1846" s="6" t="str">
        <f>IFERROR(__xludf.DUMMYFUNCTION("""COMPUTED_VALUE"""),"[]")</f>
        <v>[]</v>
      </c>
      <c r="X1846" s="6" t="str">
        <f>IFERROR(__xludf.DUMMYFUNCTION("""COMPUTED_VALUE"""),"Enrolled")</f>
        <v>Enrolled</v>
      </c>
    </row>
    <row r="1847">
      <c r="A1847" s="6" t="str">
        <f>IFERROR(__xludf.DUMMYFUNCTION("""COMPUTED_VALUE"""),"018-6016")</f>
        <v>018-6016</v>
      </c>
      <c r="B1847" s="6" t="str">
        <f>IFERROR(__xludf.DUMMYFUNCTION("""COMPUTED_VALUE"""),"18")</f>
        <v>18</v>
      </c>
      <c r="C1847" s="6" t="str">
        <f>IFERROR(__xludf.DUMMYFUNCTION("""COMPUTED_VALUE"""),"6016")</f>
        <v>6016</v>
      </c>
      <c r="D1847" s="6" t="str">
        <f>IFERROR(__xludf.DUMMYFUNCTION("""COMPUTED_VALUE"""),"Evan")</f>
        <v>Evan</v>
      </c>
      <c r="E1847" s="6" t="str">
        <f>IFERROR(__xludf.DUMMYFUNCTION("""COMPUTED_VALUE"""),"")</f>
        <v/>
      </c>
      <c r="F1847" s="6" t="str">
        <f>IFERROR(__xludf.DUMMYFUNCTION("""COMPUTED_VALUE"""),"Attard")</f>
        <v>Attard</v>
      </c>
      <c r="G1847" s="6" t="str">
        <f>IFERROR(__xludf.DUMMYFUNCTION("""COMPUTED_VALUE"""),"12/15/2009")</f>
        <v>12/15/2009</v>
      </c>
      <c r="H1847" s="6" t="str">
        <f>IFERROR(__xludf.DUMMYFUNCTION("""COMPUTED_VALUE"""),"Other")</f>
        <v>Other</v>
      </c>
      <c r="I1847" s="6" t="str">
        <f>IFERROR(__xludf.DUMMYFUNCTION("""COMPUTED_VALUE"""),"High School")</f>
        <v>High School</v>
      </c>
      <c r="J1847" s="6" t="str">
        <f>IFERROR(__xludf.DUMMYFUNCTION("""COMPUTED_VALUE"""),"9")</f>
        <v>9</v>
      </c>
      <c r="K1847" s="6" t="str">
        <f>IFERROR(__xludf.DUMMYFUNCTION("""COMPUTED_VALUE"""),"evan.attard@2hourlearning.com")</f>
        <v>evan.attard@2hourlearning.com</v>
      </c>
      <c r="L1847" s="6" t="str">
        <f>IFERROR(__xludf.DUMMYFUNCTION("""COMPUTED_VALUE"""),"Irvington High School")</f>
        <v>Irvington High School</v>
      </c>
      <c r="M1847" s="6" t="str">
        <f>IFERROR(__xludf.DUMMYFUNCTION("""COMPUTED_VALUE"""),"")</f>
        <v/>
      </c>
      <c r="N1847" s="6" t="str">
        <f>IFERROR(__xludf.DUMMYFUNCTION("""COMPUTED_VALUE"""),"")</f>
        <v/>
      </c>
      <c r="O1847" s="87" t="str">
        <f>IFERROR(__xludf.DUMMYFUNCTION("""COMPUTED_VALUE"""),"https://drive.google.com/drive/folders/10T2cTQHqEJZqE-st6uFKPoI?usp=share_link")</f>
        <v>https://drive.google.com/drive/folders/10T2cTQHqEJZqE-st6uFKPoI?usp=share_link</v>
      </c>
      <c r="P1847" s="6" t="str">
        <f>IFERROR(__xludf.DUMMYFUNCTION("""COMPUTED_VALUE"""),"Evan Attard")</f>
        <v>Evan Attard</v>
      </c>
      <c r="Q1847" s="6" t="str">
        <f>IFERROR(__xludf.DUMMYFUNCTION("""COMPUTED_VALUE"""),"HS")</f>
        <v>HS</v>
      </c>
      <c r="R1847" s="6">
        <f>IFERROR(__xludf.DUMMYFUNCTION("""COMPUTED_VALUE"""),0.0)</f>
        <v>0</v>
      </c>
      <c r="S1847" s="6" t="str">
        <f>IFERROR(__xludf.DUMMYFUNCTION("""COMPUTED_VALUE""")," ")</f>
        <v> </v>
      </c>
      <c r="T1847" s="6" t="str">
        <f>IFERROR(__xludf.DUMMYFUNCTION("""COMPUTED_VALUE"""),"")</f>
        <v/>
      </c>
      <c r="U1847" s="6" t="str">
        <f>IFERROR(__xludf.DUMMYFUNCTION("""COMPUTED_VALUE"""),"9")</f>
        <v>9</v>
      </c>
      <c r="V1847" s="6" t="str">
        <f>IFERROR(__xludf.DUMMYFUNCTION("""COMPUTED_VALUE"""),"English")</f>
        <v>English</v>
      </c>
      <c r="W1847" s="6" t="str">
        <f>IFERROR(__xludf.DUMMYFUNCTION("""COMPUTED_VALUE"""),"[]")</f>
        <v>[]</v>
      </c>
      <c r="X1847" s="6" t="str">
        <f>IFERROR(__xludf.DUMMYFUNCTION("""COMPUTED_VALUE"""),"Enrolled")</f>
        <v>Enrolled</v>
      </c>
    </row>
    <row r="1848">
      <c r="A1848" s="6" t="str">
        <f>IFERROR(__xludf.DUMMYFUNCTION("""COMPUTED_VALUE"""),"018-6017")</f>
        <v>018-6017</v>
      </c>
      <c r="B1848" s="6" t="str">
        <f>IFERROR(__xludf.DUMMYFUNCTION("""COMPUTED_VALUE"""),"18")</f>
        <v>18</v>
      </c>
      <c r="C1848" s="6" t="str">
        <f>IFERROR(__xludf.DUMMYFUNCTION("""COMPUTED_VALUE"""),"6017")</f>
        <v>6017</v>
      </c>
      <c r="D1848" s="6" t="str">
        <f>IFERROR(__xludf.DUMMYFUNCTION("""COMPUTED_VALUE"""),"Francis")</f>
        <v>Francis</v>
      </c>
      <c r="E1848" s="6" t="str">
        <f>IFERROR(__xludf.DUMMYFUNCTION("""COMPUTED_VALUE"""),"")</f>
        <v/>
      </c>
      <c r="F1848" s="6" t="str">
        <f>IFERROR(__xludf.DUMMYFUNCTION("""COMPUTED_VALUE"""),"Smith")</f>
        <v>Smith</v>
      </c>
      <c r="G1848" s="6" t="str">
        <f>IFERROR(__xludf.DUMMYFUNCTION("""COMPUTED_VALUE"""),"12/15/2009")</f>
        <v>12/15/2009</v>
      </c>
      <c r="H1848" s="6" t="str">
        <f>IFERROR(__xludf.DUMMYFUNCTION("""COMPUTED_VALUE"""),"Other")</f>
        <v>Other</v>
      </c>
      <c r="I1848" s="6" t="str">
        <f>IFERROR(__xludf.DUMMYFUNCTION("""COMPUTED_VALUE"""),"High School")</f>
        <v>High School</v>
      </c>
      <c r="J1848" s="6" t="str">
        <f>IFERROR(__xludf.DUMMYFUNCTION("""COMPUTED_VALUE"""),"9")</f>
        <v>9</v>
      </c>
      <c r="K1848" s="6" t="str">
        <f>IFERROR(__xludf.DUMMYFUNCTION("""COMPUTED_VALUE"""),"francis.smith@2hourlearning.com")</f>
        <v>francis.smith@2hourlearning.com</v>
      </c>
      <c r="L1848" s="6" t="str">
        <f>IFERROR(__xludf.DUMMYFUNCTION("""COMPUTED_VALUE"""),"Irvington High School")</f>
        <v>Irvington High School</v>
      </c>
      <c r="M1848" s="6" t="str">
        <f>IFERROR(__xludf.DUMMYFUNCTION("""COMPUTED_VALUE"""),"")</f>
        <v/>
      </c>
      <c r="N1848" s="6" t="str">
        <f>IFERROR(__xludf.DUMMYFUNCTION("""COMPUTED_VALUE"""),"")</f>
        <v/>
      </c>
      <c r="O1848" s="87" t="str">
        <f>IFERROR(__xludf.DUMMYFUNCTION("""COMPUTED_VALUE"""),"https://drive.google.com/drive/folders/10T2cTQHqEJZqE-st6uFKPoI?usp=share_link")</f>
        <v>https://drive.google.com/drive/folders/10T2cTQHqEJZqE-st6uFKPoI?usp=share_link</v>
      </c>
      <c r="P1848" s="6" t="str">
        <f>IFERROR(__xludf.DUMMYFUNCTION("""COMPUTED_VALUE"""),"Francis Smith")</f>
        <v>Francis Smith</v>
      </c>
      <c r="Q1848" s="6" t="str">
        <f>IFERROR(__xludf.DUMMYFUNCTION("""COMPUTED_VALUE"""),"HS")</f>
        <v>HS</v>
      </c>
      <c r="R1848" s="6">
        <f>IFERROR(__xludf.DUMMYFUNCTION("""COMPUTED_VALUE"""),0.0)</f>
        <v>0</v>
      </c>
      <c r="S1848" s="6" t="str">
        <f>IFERROR(__xludf.DUMMYFUNCTION("""COMPUTED_VALUE""")," ")</f>
        <v> </v>
      </c>
      <c r="T1848" s="6" t="str">
        <f>IFERROR(__xludf.DUMMYFUNCTION("""COMPUTED_VALUE"""),"")</f>
        <v/>
      </c>
      <c r="U1848" s="6" t="str">
        <f>IFERROR(__xludf.DUMMYFUNCTION("""COMPUTED_VALUE"""),"9")</f>
        <v>9</v>
      </c>
      <c r="V1848" s="6" t="str">
        <f>IFERROR(__xludf.DUMMYFUNCTION("""COMPUTED_VALUE"""),"English")</f>
        <v>English</v>
      </c>
      <c r="W1848" s="6" t="str">
        <f>IFERROR(__xludf.DUMMYFUNCTION("""COMPUTED_VALUE"""),"[]")</f>
        <v>[]</v>
      </c>
      <c r="X1848" s="6" t="str">
        <f>IFERROR(__xludf.DUMMYFUNCTION("""COMPUTED_VALUE"""),"Enrolled")</f>
        <v>Enrolled</v>
      </c>
    </row>
    <row r="1849">
      <c r="A1849" s="6" t="str">
        <f>IFERROR(__xludf.DUMMYFUNCTION("""COMPUTED_VALUE"""),"018-6019")</f>
        <v>018-6019</v>
      </c>
      <c r="B1849" s="6" t="str">
        <f>IFERROR(__xludf.DUMMYFUNCTION("""COMPUTED_VALUE"""),"18")</f>
        <v>18</v>
      </c>
      <c r="C1849" s="6" t="str">
        <f>IFERROR(__xludf.DUMMYFUNCTION("""COMPUTED_VALUE"""),"6019")</f>
        <v>6019</v>
      </c>
      <c r="D1849" s="6" t="str">
        <f>IFERROR(__xludf.DUMMYFUNCTION("""COMPUTED_VALUE"""),"Hector")</f>
        <v>Hector</v>
      </c>
      <c r="E1849" s="6" t="str">
        <f>IFERROR(__xludf.DUMMYFUNCTION("""COMPUTED_VALUE"""),"")</f>
        <v/>
      </c>
      <c r="F1849" s="6" t="str">
        <f>IFERROR(__xludf.DUMMYFUNCTION("""COMPUTED_VALUE"""),"Andrade")</f>
        <v>Andrade</v>
      </c>
      <c r="G1849" s="6" t="str">
        <f>IFERROR(__xludf.DUMMYFUNCTION("""COMPUTED_VALUE"""),"12/15/2009")</f>
        <v>12/15/2009</v>
      </c>
      <c r="H1849" s="6" t="str">
        <f>IFERROR(__xludf.DUMMYFUNCTION("""COMPUTED_VALUE"""),"Other")</f>
        <v>Other</v>
      </c>
      <c r="I1849" s="6" t="str">
        <f>IFERROR(__xludf.DUMMYFUNCTION("""COMPUTED_VALUE"""),"High School")</f>
        <v>High School</v>
      </c>
      <c r="J1849" s="6" t="str">
        <f>IFERROR(__xludf.DUMMYFUNCTION("""COMPUTED_VALUE"""),"9")</f>
        <v>9</v>
      </c>
      <c r="K1849" s="6" t="str">
        <f>IFERROR(__xludf.DUMMYFUNCTION("""COMPUTED_VALUE"""),"hector.andrade@2hourlearning.com")</f>
        <v>hector.andrade@2hourlearning.com</v>
      </c>
      <c r="L1849" s="6" t="str">
        <f>IFERROR(__xludf.DUMMYFUNCTION("""COMPUTED_VALUE"""),"Irvington High School")</f>
        <v>Irvington High School</v>
      </c>
      <c r="M1849" s="6" t="str">
        <f>IFERROR(__xludf.DUMMYFUNCTION("""COMPUTED_VALUE"""),"")</f>
        <v/>
      </c>
      <c r="N1849" s="6" t="str">
        <f>IFERROR(__xludf.DUMMYFUNCTION("""COMPUTED_VALUE"""),"")</f>
        <v/>
      </c>
      <c r="O1849" s="87" t="str">
        <f>IFERROR(__xludf.DUMMYFUNCTION("""COMPUTED_VALUE"""),"https://drive.google.com/drive/folders/10T2cTQHqEJZqE-st6uFKPoI?usp=share_link")</f>
        <v>https://drive.google.com/drive/folders/10T2cTQHqEJZqE-st6uFKPoI?usp=share_link</v>
      </c>
      <c r="P1849" s="6" t="str">
        <f>IFERROR(__xludf.DUMMYFUNCTION("""COMPUTED_VALUE"""),"Hector Andrade")</f>
        <v>Hector Andrade</v>
      </c>
      <c r="Q1849" s="6" t="str">
        <f>IFERROR(__xludf.DUMMYFUNCTION("""COMPUTED_VALUE"""),"HS")</f>
        <v>HS</v>
      </c>
      <c r="R1849" s="6">
        <f>IFERROR(__xludf.DUMMYFUNCTION("""COMPUTED_VALUE"""),0.0)</f>
        <v>0</v>
      </c>
      <c r="S1849" s="6" t="str">
        <f>IFERROR(__xludf.DUMMYFUNCTION("""COMPUTED_VALUE""")," ")</f>
        <v> </v>
      </c>
      <c r="T1849" s="6" t="str">
        <f>IFERROR(__xludf.DUMMYFUNCTION("""COMPUTED_VALUE"""),"")</f>
        <v/>
      </c>
      <c r="U1849" s="6" t="str">
        <f>IFERROR(__xludf.DUMMYFUNCTION("""COMPUTED_VALUE"""),"9")</f>
        <v>9</v>
      </c>
      <c r="V1849" s="6" t="str">
        <f>IFERROR(__xludf.DUMMYFUNCTION("""COMPUTED_VALUE"""),"English")</f>
        <v>English</v>
      </c>
      <c r="W1849" s="6" t="str">
        <f>IFERROR(__xludf.DUMMYFUNCTION("""COMPUTED_VALUE"""),"[]")</f>
        <v>[]</v>
      </c>
      <c r="X1849" s="6" t="str">
        <f>IFERROR(__xludf.DUMMYFUNCTION("""COMPUTED_VALUE"""),"Enrolled")</f>
        <v>Enrolled</v>
      </c>
    </row>
    <row r="1850">
      <c r="A1850" s="6" t="str">
        <f>IFERROR(__xludf.DUMMYFUNCTION("""COMPUTED_VALUE"""),"018-6020")</f>
        <v>018-6020</v>
      </c>
      <c r="B1850" s="6" t="str">
        <f>IFERROR(__xludf.DUMMYFUNCTION("""COMPUTED_VALUE"""),"18")</f>
        <v>18</v>
      </c>
      <c r="C1850" s="6" t="str">
        <f>IFERROR(__xludf.DUMMYFUNCTION("""COMPUTED_VALUE"""),"6020")</f>
        <v>6020</v>
      </c>
      <c r="D1850" s="6" t="str">
        <f>IFERROR(__xludf.DUMMYFUNCTION("""COMPUTED_VALUE"""),"Ibrar")</f>
        <v>Ibrar</v>
      </c>
      <c r="E1850" s="6" t="str">
        <f>IFERROR(__xludf.DUMMYFUNCTION("""COMPUTED_VALUE"""),"")</f>
        <v/>
      </c>
      <c r="F1850" s="6" t="str">
        <f>IFERROR(__xludf.DUMMYFUNCTION("""COMPUTED_VALUE"""),"Sadat")</f>
        <v>Sadat</v>
      </c>
      <c r="G1850" s="6" t="str">
        <f>IFERROR(__xludf.DUMMYFUNCTION("""COMPUTED_VALUE"""),"12/15/2009")</f>
        <v>12/15/2009</v>
      </c>
      <c r="H1850" s="6" t="str">
        <f>IFERROR(__xludf.DUMMYFUNCTION("""COMPUTED_VALUE"""),"Other")</f>
        <v>Other</v>
      </c>
      <c r="I1850" s="6" t="str">
        <f>IFERROR(__xludf.DUMMYFUNCTION("""COMPUTED_VALUE"""),"High School")</f>
        <v>High School</v>
      </c>
      <c r="J1850" s="6" t="str">
        <f>IFERROR(__xludf.DUMMYFUNCTION("""COMPUTED_VALUE"""),"9")</f>
        <v>9</v>
      </c>
      <c r="K1850" s="6" t="str">
        <f>IFERROR(__xludf.DUMMYFUNCTION("""COMPUTED_VALUE"""),"ibrar.sadat@2hourlearning.com")</f>
        <v>ibrar.sadat@2hourlearning.com</v>
      </c>
      <c r="L1850" s="6" t="str">
        <f>IFERROR(__xludf.DUMMYFUNCTION("""COMPUTED_VALUE"""),"Irvington High School")</f>
        <v>Irvington High School</v>
      </c>
      <c r="M1850" s="6" t="str">
        <f>IFERROR(__xludf.DUMMYFUNCTION("""COMPUTED_VALUE"""),"")</f>
        <v/>
      </c>
      <c r="N1850" s="6" t="str">
        <f>IFERROR(__xludf.DUMMYFUNCTION("""COMPUTED_VALUE"""),"")</f>
        <v/>
      </c>
      <c r="O1850" s="87" t="str">
        <f>IFERROR(__xludf.DUMMYFUNCTION("""COMPUTED_VALUE"""),"https://drive.google.com/drive/folders/10T2cTQHqEJZqE-st6uFKPoI?usp=share_link")</f>
        <v>https://drive.google.com/drive/folders/10T2cTQHqEJZqE-st6uFKPoI?usp=share_link</v>
      </c>
      <c r="P1850" s="6" t="str">
        <f>IFERROR(__xludf.DUMMYFUNCTION("""COMPUTED_VALUE"""),"Ibrar Sadat")</f>
        <v>Ibrar Sadat</v>
      </c>
      <c r="Q1850" s="6" t="str">
        <f>IFERROR(__xludf.DUMMYFUNCTION("""COMPUTED_VALUE"""),"HS")</f>
        <v>HS</v>
      </c>
      <c r="R1850" s="6">
        <f>IFERROR(__xludf.DUMMYFUNCTION("""COMPUTED_VALUE"""),0.0)</f>
        <v>0</v>
      </c>
      <c r="S1850" s="6" t="str">
        <f>IFERROR(__xludf.DUMMYFUNCTION("""COMPUTED_VALUE""")," ")</f>
        <v> </v>
      </c>
      <c r="T1850" s="6" t="str">
        <f>IFERROR(__xludf.DUMMYFUNCTION("""COMPUTED_VALUE"""),"")</f>
        <v/>
      </c>
      <c r="U1850" s="6" t="str">
        <f>IFERROR(__xludf.DUMMYFUNCTION("""COMPUTED_VALUE"""),"9")</f>
        <v>9</v>
      </c>
      <c r="V1850" s="6" t="str">
        <f>IFERROR(__xludf.DUMMYFUNCTION("""COMPUTED_VALUE"""),"English")</f>
        <v>English</v>
      </c>
      <c r="W1850" s="6" t="str">
        <f>IFERROR(__xludf.DUMMYFUNCTION("""COMPUTED_VALUE"""),"[]")</f>
        <v>[]</v>
      </c>
      <c r="X1850" s="6" t="str">
        <f>IFERROR(__xludf.DUMMYFUNCTION("""COMPUTED_VALUE"""),"Enrolled")</f>
        <v>Enrolled</v>
      </c>
    </row>
    <row r="1851">
      <c r="A1851" s="6" t="str">
        <f>IFERROR(__xludf.DUMMYFUNCTION("""COMPUTED_VALUE"""),"018-6021")</f>
        <v>018-6021</v>
      </c>
      <c r="B1851" s="6" t="str">
        <f>IFERROR(__xludf.DUMMYFUNCTION("""COMPUTED_VALUE"""),"18")</f>
        <v>18</v>
      </c>
      <c r="C1851" s="6" t="str">
        <f>IFERROR(__xludf.DUMMYFUNCTION("""COMPUTED_VALUE"""),"6021")</f>
        <v>6021</v>
      </c>
      <c r="D1851" s="6" t="str">
        <f>IFERROR(__xludf.DUMMYFUNCTION("""COMPUTED_VALUE"""),"Itzel")</f>
        <v>Itzel</v>
      </c>
      <c r="E1851" s="6" t="str">
        <f>IFERROR(__xludf.DUMMYFUNCTION("""COMPUTED_VALUE"""),"")</f>
        <v/>
      </c>
      <c r="F1851" s="6" t="str">
        <f>IFERROR(__xludf.DUMMYFUNCTION("""COMPUTED_VALUE"""),"Rocha-Sepulveda")</f>
        <v>Rocha-Sepulveda</v>
      </c>
      <c r="G1851" s="6" t="str">
        <f>IFERROR(__xludf.DUMMYFUNCTION("""COMPUTED_VALUE"""),"12/15/2009")</f>
        <v>12/15/2009</v>
      </c>
      <c r="H1851" s="6" t="str">
        <f>IFERROR(__xludf.DUMMYFUNCTION("""COMPUTED_VALUE"""),"Other")</f>
        <v>Other</v>
      </c>
      <c r="I1851" s="6" t="str">
        <f>IFERROR(__xludf.DUMMYFUNCTION("""COMPUTED_VALUE"""),"High School")</f>
        <v>High School</v>
      </c>
      <c r="J1851" s="6" t="str">
        <f>IFERROR(__xludf.DUMMYFUNCTION("""COMPUTED_VALUE"""),"9")</f>
        <v>9</v>
      </c>
      <c r="K1851" s="6" t="str">
        <f>IFERROR(__xludf.DUMMYFUNCTION("""COMPUTED_VALUE"""),"itzel.rocha-sepulveda@2hourlearning.com")</f>
        <v>itzel.rocha-sepulveda@2hourlearning.com</v>
      </c>
      <c r="L1851" s="6" t="str">
        <f>IFERROR(__xludf.DUMMYFUNCTION("""COMPUTED_VALUE"""),"Irvington High School")</f>
        <v>Irvington High School</v>
      </c>
      <c r="M1851" s="6" t="str">
        <f>IFERROR(__xludf.DUMMYFUNCTION("""COMPUTED_VALUE"""),"")</f>
        <v/>
      </c>
      <c r="N1851" s="6" t="str">
        <f>IFERROR(__xludf.DUMMYFUNCTION("""COMPUTED_VALUE"""),"")</f>
        <v/>
      </c>
      <c r="O1851" s="87" t="str">
        <f>IFERROR(__xludf.DUMMYFUNCTION("""COMPUTED_VALUE"""),"https://drive.google.com/drive/folders/10T2cTQHqEJZqE-st6uFKPoI?usp=share_link")</f>
        <v>https://drive.google.com/drive/folders/10T2cTQHqEJZqE-st6uFKPoI?usp=share_link</v>
      </c>
      <c r="P1851" s="6" t="str">
        <f>IFERROR(__xludf.DUMMYFUNCTION("""COMPUTED_VALUE"""),"Itzel Rocha-Sepulveda")</f>
        <v>Itzel Rocha-Sepulveda</v>
      </c>
      <c r="Q1851" s="6" t="str">
        <f>IFERROR(__xludf.DUMMYFUNCTION("""COMPUTED_VALUE"""),"HS")</f>
        <v>HS</v>
      </c>
      <c r="R1851" s="6">
        <f>IFERROR(__xludf.DUMMYFUNCTION("""COMPUTED_VALUE"""),0.0)</f>
        <v>0</v>
      </c>
      <c r="S1851" s="6" t="str">
        <f>IFERROR(__xludf.DUMMYFUNCTION("""COMPUTED_VALUE""")," ")</f>
        <v> </v>
      </c>
      <c r="T1851" s="6" t="str">
        <f>IFERROR(__xludf.DUMMYFUNCTION("""COMPUTED_VALUE"""),"")</f>
        <v/>
      </c>
      <c r="U1851" s="6" t="str">
        <f>IFERROR(__xludf.DUMMYFUNCTION("""COMPUTED_VALUE"""),"9")</f>
        <v>9</v>
      </c>
      <c r="V1851" s="6" t="str">
        <f>IFERROR(__xludf.DUMMYFUNCTION("""COMPUTED_VALUE"""),"English")</f>
        <v>English</v>
      </c>
      <c r="W1851" s="6" t="str">
        <f>IFERROR(__xludf.DUMMYFUNCTION("""COMPUTED_VALUE"""),"[]")</f>
        <v>[]</v>
      </c>
      <c r="X1851" s="6" t="str">
        <f>IFERROR(__xludf.DUMMYFUNCTION("""COMPUTED_VALUE"""),"Enrolled")</f>
        <v>Enrolled</v>
      </c>
    </row>
    <row r="1852">
      <c r="A1852" s="6" t="str">
        <f>IFERROR(__xludf.DUMMYFUNCTION("""COMPUTED_VALUE"""),"018-6022")</f>
        <v>018-6022</v>
      </c>
      <c r="B1852" s="6" t="str">
        <f>IFERROR(__xludf.DUMMYFUNCTION("""COMPUTED_VALUE"""),"18")</f>
        <v>18</v>
      </c>
      <c r="C1852" s="6" t="str">
        <f>IFERROR(__xludf.DUMMYFUNCTION("""COMPUTED_VALUE"""),"6022")</f>
        <v>6022</v>
      </c>
      <c r="D1852" s="6" t="str">
        <f>IFERROR(__xludf.DUMMYFUNCTION("""COMPUTED_VALUE"""),"Jairo")</f>
        <v>Jairo</v>
      </c>
      <c r="E1852" s="6" t="str">
        <f>IFERROR(__xludf.DUMMYFUNCTION("""COMPUTED_VALUE"""),"")</f>
        <v/>
      </c>
      <c r="F1852" s="6" t="str">
        <f>IFERROR(__xludf.DUMMYFUNCTION("""COMPUTED_VALUE"""),"Vence Molano")</f>
        <v>Vence Molano</v>
      </c>
      <c r="G1852" s="6" t="str">
        <f>IFERROR(__xludf.DUMMYFUNCTION("""COMPUTED_VALUE"""),"12/15/2009")</f>
        <v>12/15/2009</v>
      </c>
      <c r="H1852" s="6" t="str">
        <f>IFERROR(__xludf.DUMMYFUNCTION("""COMPUTED_VALUE"""),"Other")</f>
        <v>Other</v>
      </c>
      <c r="I1852" s="6" t="str">
        <f>IFERROR(__xludf.DUMMYFUNCTION("""COMPUTED_VALUE"""),"High School")</f>
        <v>High School</v>
      </c>
      <c r="J1852" s="6" t="str">
        <f>IFERROR(__xludf.DUMMYFUNCTION("""COMPUTED_VALUE"""),"9")</f>
        <v>9</v>
      </c>
      <c r="K1852" s="6" t="str">
        <f>IFERROR(__xludf.DUMMYFUNCTION("""COMPUTED_VALUE"""),"jairo.vence.molano@2hourlearning.com")</f>
        <v>jairo.vence.molano@2hourlearning.com</v>
      </c>
      <c r="L1852" s="6" t="str">
        <f>IFERROR(__xludf.DUMMYFUNCTION("""COMPUTED_VALUE"""),"Irvington High School")</f>
        <v>Irvington High School</v>
      </c>
      <c r="M1852" s="6" t="str">
        <f>IFERROR(__xludf.DUMMYFUNCTION("""COMPUTED_VALUE"""),"")</f>
        <v/>
      </c>
      <c r="N1852" s="6" t="str">
        <f>IFERROR(__xludf.DUMMYFUNCTION("""COMPUTED_VALUE"""),"")</f>
        <v/>
      </c>
      <c r="O1852" s="87" t="str">
        <f>IFERROR(__xludf.DUMMYFUNCTION("""COMPUTED_VALUE"""),"https://drive.google.com/drive/folders/10T2cTQHqEJZqE-st6uFKPoI?usp=share_link")</f>
        <v>https://drive.google.com/drive/folders/10T2cTQHqEJZqE-st6uFKPoI?usp=share_link</v>
      </c>
      <c r="P1852" s="6" t="str">
        <f>IFERROR(__xludf.DUMMYFUNCTION("""COMPUTED_VALUE"""),"Jairo Vence Molano")</f>
        <v>Jairo Vence Molano</v>
      </c>
      <c r="Q1852" s="6" t="str">
        <f>IFERROR(__xludf.DUMMYFUNCTION("""COMPUTED_VALUE"""),"HS")</f>
        <v>HS</v>
      </c>
      <c r="R1852" s="6">
        <f>IFERROR(__xludf.DUMMYFUNCTION("""COMPUTED_VALUE"""),0.0)</f>
        <v>0</v>
      </c>
      <c r="S1852" s="6" t="str">
        <f>IFERROR(__xludf.DUMMYFUNCTION("""COMPUTED_VALUE""")," ")</f>
        <v> </v>
      </c>
      <c r="T1852" s="6" t="str">
        <f>IFERROR(__xludf.DUMMYFUNCTION("""COMPUTED_VALUE"""),"")</f>
        <v/>
      </c>
      <c r="U1852" s="6" t="str">
        <f>IFERROR(__xludf.DUMMYFUNCTION("""COMPUTED_VALUE"""),"9")</f>
        <v>9</v>
      </c>
      <c r="V1852" s="6" t="str">
        <f>IFERROR(__xludf.DUMMYFUNCTION("""COMPUTED_VALUE"""),"English")</f>
        <v>English</v>
      </c>
      <c r="W1852" s="6" t="str">
        <f>IFERROR(__xludf.DUMMYFUNCTION("""COMPUTED_VALUE"""),"[]")</f>
        <v>[]</v>
      </c>
      <c r="X1852" s="6" t="str">
        <f>IFERROR(__xludf.DUMMYFUNCTION("""COMPUTED_VALUE"""),"Enrolled")</f>
        <v>Enrolled</v>
      </c>
    </row>
    <row r="1853">
      <c r="A1853" s="6" t="str">
        <f>IFERROR(__xludf.DUMMYFUNCTION("""COMPUTED_VALUE"""),"018-6023")</f>
        <v>018-6023</v>
      </c>
      <c r="B1853" s="6" t="str">
        <f>IFERROR(__xludf.DUMMYFUNCTION("""COMPUTED_VALUE"""),"18")</f>
        <v>18</v>
      </c>
      <c r="C1853" s="6" t="str">
        <f>IFERROR(__xludf.DUMMYFUNCTION("""COMPUTED_VALUE"""),"6023")</f>
        <v>6023</v>
      </c>
      <c r="D1853" s="6" t="str">
        <f>IFERROR(__xludf.DUMMYFUNCTION("""COMPUTED_VALUE"""),"Jiayin")</f>
        <v>Jiayin</v>
      </c>
      <c r="E1853" s="6" t="str">
        <f>IFERROR(__xludf.DUMMYFUNCTION("""COMPUTED_VALUE"""),"")</f>
        <v/>
      </c>
      <c r="F1853" s="6" t="str">
        <f>IFERROR(__xludf.DUMMYFUNCTION("""COMPUTED_VALUE"""),"Liu")</f>
        <v>Liu</v>
      </c>
      <c r="G1853" s="6" t="str">
        <f>IFERROR(__xludf.DUMMYFUNCTION("""COMPUTED_VALUE"""),"12/15/2009")</f>
        <v>12/15/2009</v>
      </c>
      <c r="H1853" s="6" t="str">
        <f>IFERROR(__xludf.DUMMYFUNCTION("""COMPUTED_VALUE"""),"Other")</f>
        <v>Other</v>
      </c>
      <c r="I1853" s="6" t="str">
        <f>IFERROR(__xludf.DUMMYFUNCTION("""COMPUTED_VALUE"""),"High School")</f>
        <v>High School</v>
      </c>
      <c r="J1853" s="6" t="str">
        <f>IFERROR(__xludf.DUMMYFUNCTION("""COMPUTED_VALUE"""),"9")</f>
        <v>9</v>
      </c>
      <c r="K1853" s="6" t="str">
        <f>IFERROR(__xludf.DUMMYFUNCTION("""COMPUTED_VALUE"""),"jiayin.liu@2hourlearning.com")</f>
        <v>jiayin.liu@2hourlearning.com</v>
      </c>
      <c r="L1853" s="6" t="str">
        <f>IFERROR(__xludf.DUMMYFUNCTION("""COMPUTED_VALUE"""),"Irvington High School")</f>
        <v>Irvington High School</v>
      </c>
      <c r="M1853" s="6" t="str">
        <f>IFERROR(__xludf.DUMMYFUNCTION("""COMPUTED_VALUE"""),"")</f>
        <v/>
      </c>
      <c r="N1853" s="6" t="str">
        <f>IFERROR(__xludf.DUMMYFUNCTION("""COMPUTED_VALUE"""),"")</f>
        <v/>
      </c>
      <c r="O1853" s="87" t="str">
        <f>IFERROR(__xludf.DUMMYFUNCTION("""COMPUTED_VALUE"""),"https://drive.google.com/drive/folders/10T2cTQHqEJZqE-st6uFKPoI?usp=share_link")</f>
        <v>https://drive.google.com/drive/folders/10T2cTQHqEJZqE-st6uFKPoI?usp=share_link</v>
      </c>
      <c r="P1853" s="6" t="str">
        <f>IFERROR(__xludf.DUMMYFUNCTION("""COMPUTED_VALUE"""),"Jiayin Liu")</f>
        <v>Jiayin Liu</v>
      </c>
      <c r="Q1853" s="6" t="str">
        <f>IFERROR(__xludf.DUMMYFUNCTION("""COMPUTED_VALUE"""),"HS")</f>
        <v>HS</v>
      </c>
      <c r="R1853" s="6">
        <f>IFERROR(__xludf.DUMMYFUNCTION("""COMPUTED_VALUE"""),0.0)</f>
        <v>0</v>
      </c>
      <c r="S1853" s="6" t="str">
        <f>IFERROR(__xludf.DUMMYFUNCTION("""COMPUTED_VALUE""")," ")</f>
        <v> </v>
      </c>
      <c r="T1853" s="6" t="str">
        <f>IFERROR(__xludf.DUMMYFUNCTION("""COMPUTED_VALUE"""),"")</f>
        <v/>
      </c>
      <c r="U1853" s="6" t="str">
        <f>IFERROR(__xludf.DUMMYFUNCTION("""COMPUTED_VALUE"""),"9")</f>
        <v>9</v>
      </c>
      <c r="V1853" s="6" t="str">
        <f>IFERROR(__xludf.DUMMYFUNCTION("""COMPUTED_VALUE"""),"English")</f>
        <v>English</v>
      </c>
      <c r="W1853" s="6" t="str">
        <f>IFERROR(__xludf.DUMMYFUNCTION("""COMPUTED_VALUE"""),"[]")</f>
        <v>[]</v>
      </c>
      <c r="X1853" s="6" t="str">
        <f>IFERROR(__xludf.DUMMYFUNCTION("""COMPUTED_VALUE"""),"Enrolled")</f>
        <v>Enrolled</v>
      </c>
    </row>
    <row r="1854">
      <c r="A1854" s="6" t="str">
        <f>IFERROR(__xludf.DUMMYFUNCTION("""COMPUTED_VALUE"""),"018-6024")</f>
        <v>018-6024</v>
      </c>
      <c r="B1854" s="6" t="str">
        <f>IFERROR(__xludf.DUMMYFUNCTION("""COMPUTED_VALUE"""),"18")</f>
        <v>18</v>
      </c>
      <c r="C1854" s="6" t="str">
        <f>IFERROR(__xludf.DUMMYFUNCTION("""COMPUTED_VALUE"""),"6024")</f>
        <v>6024</v>
      </c>
      <c r="D1854" s="6" t="str">
        <f>IFERROR(__xludf.DUMMYFUNCTION("""COMPUTED_VALUE"""),"Jordyn")</f>
        <v>Jordyn</v>
      </c>
      <c r="E1854" s="6" t="str">
        <f>IFERROR(__xludf.DUMMYFUNCTION("""COMPUTED_VALUE"""),"")</f>
        <v/>
      </c>
      <c r="F1854" s="6" t="str">
        <f>IFERROR(__xludf.DUMMYFUNCTION("""COMPUTED_VALUE"""),"Howe")</f>
        <v>Howe</v>
      </c>
      <c r="G1854" s="6" t="str">
        <f>IFERROR(__xludf.DUMMYFUNCTION("""COMPUTED_VALUE"""),"12/15/2009")</f>
        <v>12/15/2009</v>
      </c>
      <c r="H1854" s="6" t="str">
        <f>IFERROR(__xludf.DUMMYFUNCTION("""COMPUTED_VALUE"""),"Other")</f>
        <v>Other</v>
      </c>
      <c r="I1854" s="6" t="str">
        <f>IFERROR(__xludf.DUMMYFUNCTION("""COMPUTED_VALUE"""),"High School")</f>
        <v>High School</v>
      </c>
      <c r="J1854" s="6" t="str">
        <f>IFERROR(__xludf.DUMMYFUNCTION("""COMPUTED_VALUE"""),"9")</f>
        <v>9</v>
      </c>
      <c r="K1854" s="6" t="str">
        <f>IFERROR(__xludf.DUMMYFUNCTION("""COMPUTED_VALUE"""),"jordyn.howe@2hourlearning.com")</f>
        <v>jordyn.howe@2hourlearning.com</v>
      </c>
      <c r="L1854" s="6" t="str">
        <f>IFERROR(__xludf.DUMMYFUNCTION("""COMPUTED_VALUE"""),"Irvington High School")</f>
        <v>Irvington High School</v>
      </c>
      <c r="M1854" s="6" t="str">
        <f>IFERROR(__xludf.DUMMYFUNCTION("""COMPUTED_VALUE"""),"")</f>
        <v/>
      </c>
      <c r="N1854" s="6" t="str">
        <f>IFERROR(__xludf.DUMMYFUNCTION("""COMPUTED_VALUE"""),"")</f>
        <v/>
      </c>
      <c r="O1854" s="87" t="str">
        <f>IFERROR(__xludf.DUMMYFUNCTION("""COMPUTED_VALUE"""),"https://drive.google.com/drive/folders/10T2cTQHqEJZqE-st6uFKPoI?usp=share_link")</f>
        <v>https://drive.google.com/drive/folders/10T2cTQHqEJZqE-st6uFKPoI?usp=share_link</v>
      </c>
      <c r="P1854" s="6" t="str">
        <f>IFERROR(__xludf.DUMMYFUNCTION("""COMPUTED_VALUE"""),"Jordyn Howe")</f>
        <v>Jordyn Howe</v>
      </c>
      <c r="Q1854" s="6" t="str">
        <f>IFERROR(__xludf.DUMMYFUNCTION("""COMPUTED_VALUE"""),"HS")</f>
        <v>HS</v>
      </c>
      <c r="R1854" s="6">
        <f>IFERROR(__xludf.DUMMYFUNCTION("""COMPUTED_VALUE"""),0.0)</f>
        <v>0</v>
      </c>
      <c r="S1854" s="6" t="str">
        <f>IFERROR(__xludf.DUMMYFUNCTION("""COMPUTED_VALUE""")," ")</f>
        <v> </v>
      </c>
      <c r="T1854" s="6" t="str">
        <f>IFERROR(__xludf.DUMMYFUNCTION("""COMPUTED_VALUE"""),"")</f>
        <v/>
      </c>
      <c r="U1854" s="6" t="str">
        <f>IFERROR(__xludf.DUMMYFUNCTION("""COMPUTED_VALUE"""),"9")</f>
        <v>9</v>
      </c>
      <c r="V1854" s="6" t="str">
        <f>IFERROR(__xludf.DUMMYFUNCTION("""COMPUTED_VALUE"""),"English")</f>
        <v>English</v>
      </c>
      <c r="W1854" s="6" t="str">
        <f>IFERROR(__xludf.DUMMYFUNCTION("""COMPUTED_VALUE"""),"[]")</f>
        <v>[]</v>
      </c>
      <c r="X1854" s="6" t="str">
        <f>IFERROR(__xludf.DUMMYFUNCTION("""COMPUTED_VALUE"""),"Enrolled")</f>
        <v>Enrolled</v>
      </c>
    </row>
    <row r="1855">
      <c r="A1855" s="6" t="str">
        <f>IFERROR(__xludf.DUMMYFUNCTION("""COMPUTED_VALUE"""),"018-6025")</f>
        <v>018-6025</v>
      </c>
      <c r="B1855" s="6" t="str">
        <f>IFERROR(__xludf.DUMMYFUNCTION("""COMPUTED_VALUE"""),"18")</f>
        <v>18</v>
      </c>
      <c r="C1855" s="6" t="str">
        <f>IFERROR(__xludf.DUMMYFUNCTION("""COMPUTED_VALUE"""),"6025")</f>
        <v>6025</v>
      </c>
      <c r="D1855" s="6" t="str">
        <f>IFERROR(__xludf.DUMMYFUNCTION("""COMPUTED_VALUE"""),"Jose")</f>
        <v>Jose</v>
      </c>
      <c r="E1855" s="6" t="str">
        <f>IFERROR(__xludf.DUMMYFUNCTION("""COMPUTED_VALUE"""),"")</f>
        <v/>
      </c>
      <c r="F1855" s="6" t="str">
        <f>IFERROR(__xludf.DUMMYFUNCTION("""COMPUTED_VALUE"""),"Estrada Jimenez")</f>
        <v>Estrada Jimenez</v>
      </c>
      <c r="G1855" s="6" t="str">
        <f>IFERROR(__xludf.DUMMYFUNCTION("""COMPUTED_VALUE"""),"12/15/2009")</f>
        <v>12/15/2009</v>
      </c>
      <c r="H1855" s="6" t="str">
        <f>IFERROR(__xludf.DUMMYFUNCTION("""COMPUTED_VALUE"""),"Other")</f>
        <v>Other</v>
      </c>
      <c r="I1855" s="6" t="str">
        <f>IFERROR(__xludf.DUMMYFUNCTION("""COMPUTED_VALUE"""),"High School")</f>
        <v>High School</v>
      </c>
      <c r="J1855" s="6" t="str">
        <f>IFERROR(__xludf.DUMMYFUNCTION("""COMPUTED_VALUE"""),"9")</f>
        <v>9</v>
      </c>
      <c r="K1855" s="6" t="str">
        <f>IFERROR(__xludf.DUMMYFUNCTION("""COMPUTED_VALUE"""),"jose.estrada.jimenez@2hourlearning.com")</f>
        <v>jose.estrada.jimenez@2hourlearning.com</v>
      </c>
      <c r="L1855" s="6" t="str">
        <f>IFERROR(__xludf.DUMMYFUNCTION("""COMPUTED_VALUE"""),"Irvington High School")</f>
        <v>Irvington High School</v>
      </c>
      <c r="M1855" s="6" t="str">
        <f>IFERROR(__xludf.DUMMYFUNCTION("""COMPUTED_VALUE"""),"")</f>
        <v/>
      </c>
      <c r="N1855" s="6" t="str">
        <f>IFERROR(__xludf.DUMMYFUNCTION("""COMPUTED_VALUE"""),"")</f>
        <v/>
      </c>
      <c r="O1855" s="87" t="str">
        <f>IFERROR(__xludf.DUMMYFUNCTION("""COMPUTED_VALUE"""),"https://drive.google.com/drive/folders/10T2cTQHqEJZqE-st6uFKPoI?usp=share_link")</f>
        <v>https://drive.google.com/drive/folders/10T2cTQHqEJZqE-st6uFKPoI?usp=share_link</v>
      </c>
      <c r="P1855" s="6" t="str">
        <f>IFERROR(__xludf.DUMMYFUNCTION("""COMPUTED_VALUE"""),"Jose Estrada Jimenez")</f>
        <v>Jose Estrada Jimenez</v>
      </c>
      <c r="Q1855" s="6" t="str">
        <f>IFERROR(__xludf.DUMMYFUNCTION("""COMPUTED_VALUE"""),"HS")</f>
        <v>HS</v>
      </c>
      <c r="R1855" s="6">
        <f>IFERROR(__xludf.DUMMYFUNCTION("""COMPUTED_VALUE"""),0.0)</f>
        <v>0</v>
      </c>
      <c r="S1855" s="6" t="str">
        <f>IFERROR(__xludf.DUMMYFUNCTION("""COMPUTED_VALUE""")," ")</f>
        <v> </v>
      </c>
      <c r="T1855" s="6" t="str">
        <f>IFERROR(__xludf.DUMMYFUNCTION("""COMPUTED_VALUE"""),"")</f>
        <v/>
      </c>
      <c r="U1855" s="6" t="str">
        <f>IFERROR(__xludf.DUMMYFUNCTION("""COMPUTED_VALUE"""),"9")</f>
        <v>9</v>
      </c>
      <c r="V1855" s="6" t="str">
        <f>IFERROR(__xludf.DUMMYFUNCTION("""COMPUTED_VALUE"""),"English")</f>
        <v>English</v>
      </c>
      <c r="W1855" s="6" t="str">
        <f>IFERROR(__xludf.DUMMYFUNCTION("""COMPUTED_VALUE"""),"[]")</f>
        <v>[]</v>
      </c>
      <c r="X1855" s="6" t="str">
        <f>IFERROR(__xludf.DUMMYFUNCTION("""COMPUTED_VALUE"""),"Enrolled")</f>
        <v>Enrolled</v>
      </c>
    </row>
    <row r="1856">
      <c r="A1856" s="6" t="str">
        <f>IFERROR(__xludf.DUMMYFUNCTION("""COMPUTED_VALUE"""),"018-6026")</f>
        <v>018-6026</v>
      </c>
      <c r="B1856" s="6" t="str">
        <f>IFERROR(__xludf.DUMMYFUNCTION("""COMPUTED_VALUE"""),"18")</f>
        <v>18</v>
      </c>
      <c r="C1856" s="6" t="str">
        <f>IFERROR(__xludf.DUMMYFUNCTION("""COMPUTED_VALUE"""),"6026")</f>
        <v>6026</v>
      </c>
      <c r="D1856" s="6" t="str">
        <f>IFERROR(__xludf.DUMMYFUNCTION("""COMPUTED_VALUE"""),"Josiah")</f>
        <v>Josiah</v>
      </c>
      <c r="E1856" s="6" t="str">
        <f>IFERROR(__xludf.DUMMYFUNCTION("""COMPUTED_VALUE"""),"")</f>
        <v/>
      </c>
      <c r="F1856" s="6" t="str">
        <f>IFERROR(__xludf.DUMMYFUNCTION("""COMPUTED_VALUE"""),"Valadez")</f>
        <v>Valadez</v>
      </c>
      <c r="G1856" s="6" t="str">
        <f>IFERROR(__xludf.DUMMYFUNCTION("""COMPUTED_VALUE"""),"12/15/2009")</f>
        <v>12/15/2009</v>
      </c>
      <c r="H1856" s="6" t="str">
        <f>IFERROR(__xludf.DUMMYFUNCTION("""COMPUTED_VALUE"""),"Other")</f>
        <v>Other</v>
      </c>
      <c r="I1856" s="6" t="str">
        <f>IFERROR(__xludf.DUMMYFUNCTION("""COMPUTED_VALUE"""),"High School")</f>
        <v>High School</v>
      </c>
      <c r="J1856" s="6" t="str">
        <f>IFERROR(__xludf.DUMMYFUNCTION("""COMPUTED_VALUE"""),"9")</f>
        <v>9</v>
      </c>
      <c r="K1856" s="6" t="str">
        <f>IFERROR(__xludf.DUMMYFUNCTION("""COMPUTED_VALUE"""),"josiah.valadez@2hourlearning.com")</f>
        <v>josiah.valadez@2hourlearning.com</v>
      </c>
      <c r="L1856" s="6" t="str">
        <f>IFERROR(__xludf.DUMMYFUNCTION("""COMPUTED_VALUE"""),"Irvington High School")</f>
        <v>Irvington High School</v>
      </c>
      <c r="M1856" s="6" t="str">
        <f>IFERROR(__xludf.DUMMYFUNCTION("""COMPUTED_VALUE"""),"")</f>
        <v/>
      </c>
      <c r="N1856" s="6" t="str">
        <f>IFERROR(__xludf.DUMMYFUNCTION("""COMPUTED_VALUE"""),"")</f>
        <v/>
      </c>
      <c r="O1856" s="87" t="str">
        <f>IFERROR(__xludf.DUMMYFUNCTION("""COMPUTED_VALUE"""),"https://drive.google.com/drive/folders/10T2cTQHqEJZqE-st6uFKPoI?usp=share_link")</f>
        <v>https://drive.google.com/drive/folders/10T2cTQHqEJZqE-st6uFKPoI?usp=share_link</v>
      </c>
      <c r="P1856" s="6" t="str">
        <f>IFERROR(__xludf.DUMMYFUNCTION("""COMPUTED_VALUE"""),"Josiah Valadez")</f>
        <v>Josiah Valadez</v>
      </c>
      <c r="Q1856" s="6" t="str">
        <f>IFERROR(__xludf.DUMMYFUNCTION("""COMPUTED_VALUE"""),"HS")</f>
        <v>HS</v>
      </c>
      <c r="R1856" s="6">
        <f>IFERROR(__xludf.DUMMYFUNCTION("""COMPUTED_VALUE"""),0.0)</f>
        <v>0</v>
      </c>
      <c r="S1856" s="6" t="str">
        <f>IFERROR(__xludf.DUMMYFUNCTION("""COMPUTED_VALUE""")," ")</f>
        <v> </v>
      </c>
      <c r="T1856" s="6" t="str">
        <f>IFERROR(__xludf.DUMMYFUNCTION("""COMPUTED_VALUE"""),"")</f>
        <v/>
      </c>
      <c r="U1856" s="6" t="str">
        <f>IFERROR(__xludf.DUMMYFUNCTION("""COMPUTED_VALUE"""),"9")</f>
        <v>9</v>
      </c>
      <c r="V1856" s="6" t="str">
        <f>IFERROR(__xludf.DUMMYFUNCTION("""COMPUTED_VALUE"""),"English")</f>
        <v>English</v>
      </c>
      <c r="W1856" s="6" t="str">
        <f>IFERROR(__xludf.DUMMYFUNCTION("""COMPUTED_VALUE"""),"[]")</f>
        <v>[]</v>
      </c>
      <c r="X1856" s="6" t="str">
        <f>IFERROR(__xludf.DUMMYFUNCTION("""COMPUTED_VALUE"""),"Enrolled")</f>
        <v>Enrolled</v>
      </c>
    </row>
    <row r="1857">
      <c r="A1857" s="6" t="str">
        <f>IFERROR(__xludf.DUMMYFUNCTION("""COMPUTED_VALUE"""),"018-6027")</f>
        <v>018-6027</v>
      </c>
      <c r="B1857" s="6" t="str">
        <f>IFERROR(__xludf.DUMMYFUNCTION("""COMPUTED_VALUE"""),"18")</f>
        <v>18</v>
      </c>
      <c r="C1857" s="6" t="str">
        <f>IFERROR(__xludf.DUMMYFUNCTION("""COMPUTED_VALUE"""),"6027")</f>
        <v>6027</v>
      </c>
      <c r="D1857" s="6" t="str">
        <f>IFERROR(__xludf.DUMMYFUNCTION("""COMPUTED_VALUE"""),"Julian")</f>
        <v>Julian</v>
      </c>
      <c r="E1857" s="6" t="str">
        <f>IFERROR(__xludf.DUMMYFUNCTION("""COMPUTED_VALUE"""),"")</f>
        <v/>
      </c>
      <c r="F1857" s="6" t="str">
        <f>IFERROR(__xludf.DUMMYFUNCTION("""COMPUTED_VALUE"""),"Sabogal Cadena")</f>
        <v>Sabogal Cadena</v>
      </c>
      <c r="G1857" s="6" t="str">
        <f>IFERROR(__xludf.DUMMYFUNCTION("""COMPUTED_VALUE"""),"12/15/2009")</f>
        <v>12/15/2009</v>
      </c>
      <c r="H1857" s="6" t="str">
        <f>IFERROR(__xludf.DUMMYFUNCTION("""COMPUTED_VALUE"""),"Other")</f>
        <v>Other</v>
      </c>
      <c r="I1857" s="6" t="str">
        <f>IFERROR(__xludf.DUMMYFUNCTION("""COMPUTED_VALUE"""),"High School")</f>
        <v>High School</v>
      </c>
      <c r="J1857" s="6" t="str">
        <f>IFERROR(__xludf.DUMMYFUNCTION("""COMPUTED_VALUE"""),"9")</f>
        <v>9</v>
      </c>
      <c r="K1857" s="6" t="str">
        <f>IFERROR(__xludf.DUMMYFUNCTION("""COMPUTED_VALUE"""),"julian.sabogal.cadena@2hourlearning.com")</f>
        <v>julian.sabogal.cadena@2hourlearning.com</v>
      </c>
      <c r="L1857" s="6" t="str">
        <f>IFERROR(__xludf.DUMMYFUNCTION("""COMPUTED_VALUE"""),"Irvington High School")</f>
        <v>Irvington High School</v>
      </c>
      <c r="M1857" s="6" t="str">
        <f>IFERROR(__xludf.DUMMYFUNCTION("""COMPUTED_VALUE"""),"")</f>
        <v/>
      </c>
      <c r="N1857" s="6" t="str">
        <f>IFERROR(__xludf.DUMMYFUNCTION("""COMPUTED_VALUE"""),"")</f>
        <v/>
      </c>
      <c r="O1857" s="87" t="str">
        <f>IFERROR(__xludf.DUMMYFUNCTION("""COMPUTED_VALUE"""),"https://drive.google.com/drive/folders/10T2cTQHqEJZqE-st6uFKPoI?usp=share_link")</f>
        <v>https://drive.google.com/drive/folders/10T2cTQHqEJZqE-st6uFKPoI?usp=share_link</v>
      </c>
      <c r="P1857" s="6" t="str">
        <f>IFERROR(__xludf.DUMMYFUNCTION("""COMPUTED_VALUE"""),"Julian Sabogal Cadena")</f>
        <v>Julian Sabogal Cadena</v>
      </c>
      <c r="Q1857" s="6" t="str">
        <f>IFERROR(__xludf.DUMMYFUNCTION("""COMPUTED_VALUE"""),"HS")</f>
        <v>HS</v>
      </c>
      <c r="R1857" s="6">
        <f>IFERROR(__xludf.DUMMYFUNCTION("""COMPUTED_VALUE"""),0.0)</f>
        <v>0</v>
      </c>
      <c r="S1857" s="6" t="str">
        <f>IFERROR(__xludf.DUMMYFUNCTION("""COMPUTED_VALUE""")," ")</f>
        <v> </v>
      </c>
      <c r="T1857" s="6" t="str">
        <f>IFERROR(__xludf.DUMMYFUNCTION("""COMPUTED_VALUE"""),"")</f>
        <v/>
      </c>
      <c r="U1857" s="6" t="str">
        <f>IFERROR(__xludf.DUMMYFUNCTION("""COMPUTED_VALUE"""),"9")</f>
        <v>9</v>
      </c>
      <c r="V1857" s="6" t="str">
        <f>IFERROR(__xludf.DUMMYFUNCTION("""COMPUTED_VALUE"""),"English")</f>
        <v>English</v>
      </c>
      <c r="W1857" s="6" t="str">
        <f>IFERROR(__xludf.DUMMYFUNCTION("""COMPUTED_VALUE"""),"[]")</f>
        <v>[]</v>
      </c>
      <c r="X1857" s="6" t="str">
        <f>IFERROR(__xludf.DUMMYFUNCTION("""COMPUTED_VALUE"""),"Enrolled")</f>
        <v>Enrolled</v>
      </c>
    </row>
    <row r="1858">
      <c r="A1858" s="6" t="str">
        <f>IFERROR(__xludf.DUMMYFUNCTION("""COMPUTED_VALUE"""),"018-6028")</f>
        <v>018-6028</v>
      </c>
      <c r="B1858" s="6" t="str">
        <f>IFERROR(__xludf.DUMMYFUNCTION("""COMPUTED_VALUE"""),"18")</f>
        <v>18</v>
      </c>
      <c r="C1858" s="6" t="str">
        <f>IFERROR(__xludf.DUMMYFUNCTION("""COMPUTED_VALUE"""),"6028")</f>
        <v>6028</v>
      </c>
      <c r="D1858" s="6" t="str">
        <f>IFERROR(__xludf.DUMMYFUNCTION("""COMPUTED_VALUE"""),"Justin Trey")</f>
        <v>Justin Trey</v>
      </c>
      <c r="E1858" s="6" t="str">
        <f>IFERROR(__xludf.DUMMYFUNCTION("""COMPUTED_VALUE"""),"")</f>
        <v/>
      </c>
      <c r="F1858" s="6" t="str">
        <f>IFERROR(__xludf.DUMMYFUNCTION("""COMPUTED_VALUE"""),"Ordonez")</f>
        <v>Ordonez</v>
      </c>
      <c r="G1858" s="6" t="str">
        <f>IFERROR(__xludf.DUMMYFUNCTION("""COMPUTED_VALUE"""),"12/15/2009")</f>
        <v>12/15/2009</v>
      </c>
      <c r="H1858" s="6" t="str">
        <f>IFERROR(__xludf.DUMMYFUNCTION("""COMPUTED_VALUE"""),"Other")</f>
        <v>Other</v>
      </c>
      <c r="I1858" s="6" t="str">
        <f>IFERROR(__xludf.DUMMYFUNCTION("""COMPUTED_VALUE"""),"High School")</f>
        <v>High School</v>
      </c>
      <c r="J1858" s="6" t="str">
        <f>IFERROR(__xludf.DUMMYFUNCTION("""COMPUTED_VALUE"""),"9")</f>
        <v>9</v>
      </c>
      <c r="K1858" s="6" t="str">
        <f>IFERROR(__xludf.DUMMYFUNCTION("""COMPUTED_VALUE"""),"justin.trey.ordonez@2hourlearning.com")</f>
        <v>justin.trey.ordonez@2hourlearning.com</v>
      </c>
      <c r="L1858" s="6" t="str">
        <f>IFERROR(__xludf.DUMMYFUNCTION("""COMPUTED_VALUE"""),"Irvington High School")</f>
        <v>Irvington High School</v>
      </c>
      <c r="M1858" s="6" t="str">
        <f>IFERROR(__xludf.DUMMYFUNCTION("""COMPUTED_VALUE"""),"")</f>
        <v/>
      </c>
      <c r="N1858" s="6" t="str">
        <f>IFERROR(__xludf.DUMMYFUNCTION("""COMPUTED_VALUE"""),"")</f>
        <v/>
      </c>
      <c r="O1858" s="87" t="str">
        <f>IFERROR(__xludf.DUMMYFUNCTION("""COMPUTED_VALUE"""),"https://drive.google.com/drive/folders/10T2cTQHqEJZqE-st6uFKPoI?usp=share_link")</f>
        <v>https://drive.google.com/drive/folders/10T2cTQHqEJZqE-st6uFKPoI?usp=share_link</v>
      </c>
      <c r="P1858" s="6" t="str">
        <f>IFERROR(__xludf.DUMMYFUNCTION("""COMPUTED_VALUE"""),"Justin Trey Ordonez")</f>
        <v>Justin Trey Ordonez</v>
      </c>
      <c r="Q1858" s="6" t="str">
        <f>IFERROR(__xludf.DUMMYFUNCTION("""COMPUTED_VALUE"""),"HS")</f>
        <v>HS</v>
      </c>
      <c r="R1858" s="6">
        <f>IFERROR(__xludf.DUMMYFUNCTION("""COMPUTED_VALUE"""),0.0)</f>
        <v>0</v>
      </c>
      <c r="S1858" s="6" t="str">
        <f>IFERROR(__xludf.DUMMYFUNCTION("""COMPUTED_VALUE""")," ")</f>
        <v> </v>
      </c>
      <c r="T1858" s="6" t="str">
        <f>IFERROR(__xludf.DUMMYFUNCTION("""COMPUTED_VALUE"""),"")</f>
        <v/>
      </c>
      <c r="U1858" s="6" t="str">
        <f>IFERROR(__xludf.DUMMYFUNCTION("""COMPUTED_VALUE"""),"9")</f>
        <v>9</v>
      </c>
      <c r="V1858" s="6" t="str">
        <f>IFERROR(__xludf.DUMMYFUNCTION("""COMPUTED_VALUE"""),"English")</f>
        <v>English</v>
      </c>
      <c r="W1858" s="6" t="str">
        <f>IFERROR(__xludf.DUMMYFUNCTION("""COMPUTED_VALUE"""),"[]")</f>
        <v>[]</v>
      </c>
      <c r="X1858" s="6" t="str">
        <f>IFERROR(__xludf.DUMMYFUNCTION("""COMPUTED_VALUE"""),"Enrolled")</f>
        <v>Enrolled</v>
      </c>
    </row>
    <row r="1859">
      <c r="A1859" s="6" t="str">
        <f>IFERROR(__xludf.DUMMYFUNCTION("""COMPUTED_VALUE"""),"018-6029")</f>
        <v>018-6029</v>
      </c>
      <c r="B1859" s="6" t="str">
        <f>IFERROR(__xludf.DUMMYFUNCTION("""COMPUTED_VALUE"""),"18")</f>
        <v>18</v>
      </c>
      <c r="C1859" s="6" t="str">
        <f>IFERROR(__xludf.DUMMYFUNCTION("""COMPUTED_VALUE"""),"6029")</f>
        <v>6029</v>
      </c>
      <c r="D1859" s="6" t="str">
        <f>IFERROR(__xludf.DUMMYFUNCTION("""COMPUTED_VALUE"""),"Layla")</f>
        <v>Layla</v>
      </c>
      <c r="E1859" s="6" t="str">
        <f>IFERROR(__xludf.DUMMYFUNCTION("""COMPUTED_VALUE"""),"")</f>
        <v/>
      </c>
      <c r="F1859" s="6" t="str">
        <f>IFERROR(__xludf.DUMMYFUNCTION("""COMPUTED_VALUE"""),"Barthelow")</f>
        <v>Barthelow</v>
      </c>
      <c r="G1859" s="6" t="str">
        <f>IFERROR(__xludf.DUMMYFUNCTION("""COMPUTED_VALUE"""),"12/15/2009")</f>
        <v>12/15/2009</v>
      </c>
      <c r="H1859" s="6" t="str">
        <f>IFERROR(__xludf.DUMMYFUNCTION("""COMPUTED_VALUE"""),"Other")</f>
        <v>Other</v>
      </c>
      <c r="I1859" s="6" t="str">
        <f>IFERROR(__xludf.DUMMYFUNCTION("""COMPUTED_VALUE"""),"High School")</f>
        <v>High School</v>
      </c>
      <c r="J1859" s="6" t="str">
        <f>IFERROR(__xludf.DUMMYFUNCTION("""COMPUTED_VALUE"""),"9")</f>
        <v>9</v>
      </c>
      <c r="K1859" s="6" t="str">
        <f>IFERROR(__xludf.DUMMYFUNCTION("""COMPUTED_VALUE"""),"layla.barthelow@2hourlearning.com")</f>
        <v>layla.barthelow@2hourlearning.com</v>
      </c>
      <c r="L1859" s="6" t="str">
        <f>IFERROR(__xludf.DUMMYFUNCTION("""COMPUTED_VALUE"""),"Irvington High School")</f>
        <v>Irvington High School</v>
      </c>
      <c r="M1859" s="6" t="str">
        <f>IFERROR(__xludf.DUMMYFUNCTION("""COMPUTED_VALUE"""),"")</f>
        <v/>
      </c>
      <c r="N1859" s="6" t="str">
        <f>IFERROR(__xludf.DUMMYFUNCTION("""COMPUTED_VALUE"""),"")</f>
        <v/>
      </c>
      <c r="O1859" s="87" t="str">
        <f>IFERROR(__xludf.DUMMYFUNCTION("""COMPUTED_VALUE"""),"https://drive.google.com/drive/folders/10T2cTQHqEJZqE-st6uFKPoI?usp=share_link")</f>
        <v>https://drive.google.com/drive/folders/10T2cTQHqEJZqE-st6uFKPoI?usp=share_link</v>
      </c>
      <c r="P1859" s="6" t="str">
        <f>IFERROR(__xludf.DUMMYFUNCTION("""COMPUTED_VALUE"""),"Layla Barthelow")</f>
        <v>Layla Barthelow</v>
      </c>
      <c r="Q1859" s="6" t="str">
        <f>IFERROR(__xludf.DUMMYFUNCTION("""COMPUTED_VALUE"""),"HS")</f>
        <v>HS</v>
      </c>
      <c r="R1859" s="6">
        <f>IFERROR(__xludf.DUMMYFUNCTION("""COMPUTED_VALUE"""),0.0)</f>
        <v>0</v>
      </c>
      <c r="S1859" s="6" t="str">
        <f>IFERROR(__xludf.DUMMYFUNCTION("""COMPUTED_VALUE""")," ")</f>
        <v> </v>
      </c>
      <c r="T1859" s="6" t="str">
        <f>IFERROR(__xludf.DUMMYFUNCTION("""COMPUTED_VALUE"""),"")</f>
        <v/>
      </c>
      <c r="U1859" s="6" t="str">
        <f>IFERROR(__xludf.DUMMYFUNCTION("""COMPUTED_VALUE"""),"9")</f>
        <v>9</v>
      </c>
      <c r="V1859" s="6" t="str">
        <f>IFERROR(__xludf.DUMMYFUNCTION("""COMPUTED_VALUE"""),"English")</f>
        <v>English</v>
      </c>
      <c r="W1859" s="6" t="str">
        <f>IFERROR(__xludf.DUMMYFUNCTION("""COMPUTED_VALUE"""),"[]")</f>
        <v>[]</v>
      </c>
      <c r="X1859" s="6" t="str">
        <f>IFERROR(__xludf.DUMMYFUNCTION("""COMPUTED_VALUE"""),"Enrolled")</f>
        <v>Enrolled</v>
      </c>
    </row>
    <row r="1860">
      <c r="A1860" s="6" t="str">
        <f>IFERROR(__xludf.DUMMYFUNCTION("""COMPUTED_VALUE"""),"018-6030")</f>
        <v>018-6030</v>
      </c>
      <c r="B1860" s="6" t="str">
        <f>IFERROR(__xludf.DUMMYFUNCTION("""COMPUTED_VALUE"""),"18")</f>
        <v>18</v>
      </c>
      <c r="C1860" s="6" t="str">
        <f>IFERROR(__xludf.DUMMYFUNCTION("""COMPUTED_VALUE"""),"6030")</f>
        <v>6030</v>
      </c>
      <c r="D1860" s="6" t="str">
        <f>IFERROR(__xludf.DUMMYFUNCTION("""COMPUTED_VALUE"""),"Leandra Anahi")</f>
        <v>Leandra Anahi</v>
      </c>
      <c r="E1860" s="6" t="str">
        <f>IFERROR(__xludf.DUMMYFUNCTION("""COMPUTED_VALUE"""),"")</f>
        <v/>
      </c>
      <c r="F1860" s="6" t="str">
        <f>IFERROR(__xludf.DUMMYFUNCTION("""COMPUTED_VALUE"""),"Rodriguez Sanchez")</f>
        <v>Rodriguez Sanchez</v>
      </c>
      <c r="G1860" s="6" t="str">
        <f>IFERROR(__xludf.DUMMYFUNCTION("""COMPUTED_VALUE"""),"12/15/2009")</f>
        <v>12/15/2009</v>
      </c>
      <c r="H1860" s="6" t="str">
        <f>IFERROR(__xludf.DUMMYFUNCTION("""COMPUTED_VALUE"""),"Other")</f>
        <v>Other</v>
      </c>
      <c r="I1860" s="6" t="str">
        <f>IFERROR(__xludf.DUMMYFUNCTION("""COMPUTED_VALUE"""),"High School")</f>
        <v>High School</v>
      </c>
      <c r="J1860" s="6" t="str">
        <f>IFERROR(__xludf.DUMMYFUNCTION("""COMPUTED_VALUE"""),"9")</f>
        <v>9</v>
      </c>
      <c r="K1860" s="6" t="str">
        <f>IFERROR(__xludf.DUMMYFUNCTION("""COMPUTED_VALUE"""),"leandra.anahi.rodriguez.sanchez@2hourlearning.com")</f>
        <v>leandra.anahi.rodriguez.sanchez@2hourlearning.com</v>
      </c>
      <c r="L1860" s="6" t="str">
        <f>IFERROR(__xludf.DUMMYFUNCTION("""COMPUTED_VALUE"""),"Irvington High School")</f>
        <v>Irvington High School</v>
      </c>
      <c r="M1860" s="6" t="str">
        <f>IFERROR(__xludf.DUMMYFUNCTION("""COMPUTED_VALUE"""),"")</f>
        <v/>
      </c>
      <c r="N1860" s="6" t="str">
        <f>IFERROR(__xludf.DUMMYFUNCTION("""COMPUTED_VALUE"""),"")</f>
        <v/>
      </c>
      <c r="O1860" s="87" t="str">
        <f>IFERROR(__xludf.DUMMYFUNCTION("""COMPUTED_VALUE"""),"https://drive.google.com/drive/folders/10T2cTQHqEJZqE-st6uFKPoI?usp=share_link")</f>
        <v>https://drive.google.com/drive/folders/10T2cTQHqEJZqE-st6uFKPoI?usp=share_link</v>
      </c>
      <c r="P1860" s="6" t="str">
        <f>IFERROR(__xludf.DUMMYFUNCTION("""COMPUTED_VALUE"""),"Leandra Anahi Rodriguez Sanchez")</f>
        <v>Leandra Anahi Rodriguez Sanchez</v>
      </c>
      <c r="Q1860" s="6" t="str">
        <f>IFERROR(__xludf.DUMMYFUNCTION("""COMPUTED_VALUE"""),"HS")</f>
        <v>HS</v>
      </c>
      <c r="R1860" s="6">
        <f>IFERROR(__xludf.DUMMYFUNCTION("""COMPUTED_VALUE"""),0.0)</f>
        <v>0</v>
      </c>
      <c r="S1860" s="6" t="str">
        <f>IFERROR(__xludf.DUMMYFUNCTION("""COMPUTED_VALUE""")," ")</f>
        <v> </v>
      </c>
      <c r="T1860" s="6" t="str">
        <f>IFERROR(__xludf.DUMMYFUNCTION("""COMPUTED_VALUE"""),"")</f>
        <v/>
      </c>
      <c r="U1860" s="6" t="str">
        <f>IFERROR(__xludf.DUMMYFUNCTION("""COMPUTED_VALUE"""),"9")</f>
        <v>9</v>
      </c>
      <c r="V1860" s="6" t="str">
        <f>IFERROR(__xludf.DUMMYFUNCTION("""COMPUTED_VALUE"""),"English")</f>
        <v>English</v>
      </c>
      <c r="W1860" s="6" t="str">
        <f>IFERROR(__xludf.DUMMYFUNCTION("""COMPUTED_VALUE"""),"[]")</f>
        <v>[]</v>
      </c>
      <c r="X1860" s="6" t="str">
        <f>IFERROR(__xludf.DUMMYFUNCTION("""COMPUTED_VALUE"""),"Enrolled")</f>
        <v>Enrolled</v>
      </c>
    </row>
    <row r="1861">
      <c r="A1861" s="6" t="str">
        <f>IFERROR(__xludf.DUMMYFUNCTION("""COMPUTED_VALUE"""),"018-6031")</f>
        <v>018-6031</v>
      </c>
      <c r="B1861" s="6" t="str">
        <f>IFERROR(__xludf.DUMMYFUNCTION("""COMPUTED_VALUE"""),"18")</f>
        <v>18</v>
      </c>
      <c r="C1861" s="6" t="str">
        <f>IFERROR(__xludf.DUMMYFUNCTION("""COMPUTED_VALUE"""),"6031")</f>
        <v>6031</v>
      </c>
      <c r="D1861" s="6" t="str">
        <f>IFERROR(__xludf.DUMMYFUNCTION("""COMPUTED_VALUE"""),"Manh Dung")</f>
        <v>Manh Dung</v>
      </c>
      <c r="E1861" s="6" t="str">
        <f>IFERROR(__xludf.DUMMYFUNCTION("""COMPUTED_VALUE"""),"")</f>
        <v/>
      </c>
      <c r="F1861" s="6" t="str">
        <f>IFERROR(__xludf.DUMMYFUNCTION("""COMPUTED_VALUE"""),"Mai")</f>
        <v>Mai</v>
      </c>
      <c r="G1861" s="6" t="str">
        <f>IFERROR(__xludf.DUMMYFUNCTION("""COMPUTED_VALUE"""),"12/15/2009")</f>
        <v>12/15/2009</v>
      </c>
      <c r="H1861" s="6" t="str">
        <f>IFERROR(__xludf.DUMMYFUNCTION("""COMPUTED_VALUE"""),"Other")</f>
        <v>Other</v>
      </c>
      <c r="I1861" s="6" t="str">
        <f>IFERROR(__xludf.DUMMYFUNCTION("""COMPUTED_VALUE"""),"High School")</f>
        <v>High School</v>
      </c>
      <c r="J1861" s="6" t="str">
        <f>IFERROR(__xludf.DUMMYFUNCTION("""COMPUTED_VALUE"""),"9")</f>
        <v>9</v>
      </c>
      <c r="K1861" s="6" t="str">
        <f>IFERROR(__xludf.DUMMYFUNCTION("""COMPUTED_VALUE"""),"manh.dung.mai@2hourlearning.com")</f>
        <v>manh.dung.mai@2hourlearning.com</v>
      </c>
      <c r="L1861" s="6" t="str">
        <f>IFERROR(__xludf.DUMMYFUNCTION("""COMPUTED_VALUE"""),"Irvington High School")</f>
        <v>Irvington High School</v>
      </c>
      <c r="M1861" s="6" t="str">
        <f>IFERROR(__xludf.DUMMYFUNCTION("""COMPUTED_VALUE"""),"")</f>
        <v/>
      </c>
      <c r="N1861" s="6" t="str">
        <f>IFERROR(__xludf.DUMMYFUNCTION("""COMPUTED_VALUE"""),"")</f>
        <v/>
      </c>
      <c r="O1861" s="87" t="str">
        <f>IFERROR(__xludf.DUMMYFUNCTION("""COMPUTED_VALUE"""),"https://drive.google.com/drive/folders/10T2cTQHqEJZqE-st6uFKPoI?usp=share_link")</f>
        <v>https://drive.google.com/drive/folders/10T2cTQHqEJZqE-st6uFKPoI?usp=share_link</v>
      </c>
      <c r="P1861" s="6" t="str">
        <f>IFERROR(__xludf.DUMMYFUNCTION("""COMPUTED_VALUE"""),"Manh Dung Mai")</f>
        <v>Manh Dung Mai</v>
      </c>
      <c r="Q1861" s="6" t="str">
        <f>IFERROR(__xludf.DUMMYFUNCTION("""COMPUTED_VALUE"""),"HS")</f>
        <v>HS</v>
      </c>
      <c r="R1861" s="6">
        <f>IFERROR(__xludf.DUMMYFUNCTION("""COMPUTED_VALUE"""),0.0)</f>
        <v>0</v>
      </c>
      <c r="S1861" s="6" t="str">
        <f>IFERROR(__xludf.DUMMYFUNCTION("""COMPUTED_VALUE""")," ")</f>
        <v> </v>
      </c>
      <c r="T1861" s="6" t="str">
        <f>IFERROR(__xludf.DUMMYFUNCTION("""COMPUTED_VALUE"""),"")</f>
        <v/>
      </c>
      <c r="U1861" s="6" t="str">
        <f>IFERROR(__xludf.DUMMYFUNCTION("""COMPUTED_VALUE"""),"9")</f>
        <v>9</v>
      </c>
      <c r="V1861" s="6" t="str">
        <f>IFERROR(__xludf.DUMMYFUNCTION("""COMPUTED_VALUE"""),"English")</f>
        <v>English</v>
      </c>
      <c r="W1861" s="6" t="str">
        <f>IFERROR(__xludf.DUMMYFUNCTION("""COMPUTED_VALUE"""),"[]")</f>
        <v>[]</v>
      </c>
      <c r="X1861" s="6" t="str">
        <f>IFERROR(__xludf.DUMMYFUNCTION("""COMPUTED_VALUE"""),"Enrolled")</f>
        <v>Enrolled</v>
      </c>
    </row>
    <row r="1862">
      <c r="A1862" s="6" t="str">
        <f>IFERROR(__xludf.DUMMYFUNCTION("""COMPUTED_VALUE"""),"018-6032")</f>
        <v>018-6032</v>
      </c>
      <c r="B1862" s="6" t="str">
        <f>IFERROR(__xludf.DUMMYFUNCTION("""COMPUTED_VALUE"""),"18")</f>
        <v>18</v>
      </c>
      <c r="C1862" s="6" t="str">
        <f>IFERROR(__xludf.DUMMYFUNCTION("""COMPUTED_VALUE"""),"6032")</f>
        <v>6032</v>
      </c>
      <c r="D1862" s="6" t="str">
        <f>IFERROR(__xludf.DUMMYFUNCTION("""COMPUTED_VALUE"""),"Mariana")</f>
        <v>Mariana</v>
      </c>
      <c r="E1862" s="6" t="str">
        <f>IFERROR(__xludf.DUMMYFUNCTION("""COMPUTED_VALUE"""),"")</f>
        <v/>
      </c>
      <c r="F1862" s="6" t="str">
        <f>IFERROR(__xludf.DUMMYFUNCTION("""COMPUTED_VALUE"""),"Bonilla Lujan")</f>
        <v>Bonilla Lujan</v>
      </c>
      <c r="G1862" s="6" t="str">
        <f>IFERROR(__xludf.DUMMYFUNCTION("""COMPUTED_VALUE"""),"12/15/2009")</f>
        <v>12/15/2009</v>
      </c>
      <c r="H1862" s="6" t="str">
        <f>IFERROR(__xludf.DUMMYFUNCTION("""COMPUTED_VALUE"""),"Other")</f>
        <v>Other</v>
      </c>
      <c r="I1862" s="6" t="str">
        <f>IFERROR(__xludf.DUMMYFUNCTION("""COMPUTED_VALUE"""),"High School")</f>
        <v>High School</v>
      </c>
      <c r="J1862" s="6" t="str">
        <f>IFERROR(__xludf.DUMMYFUNCTION("""COMPUTED_VALUE"""),"9")</f>
        <v>9</v>
      </c>
      <c r="K1862" s="6" t="str">
        <f>IFERROR(__xludf.DUMMYFUNCTION("""COMPUTED_VALUE"""),"mariana.bonilla.lujan@2hourlearning.com")</f>
        <v>mariana.bonilla.lujan@2hourlearning.com</v>
      </c>
      <c r="L1862" s="6" t="str">
        <f>IFERROR(__xludf.DUMMYFUNCTION("""COMPUTED_VALUE"""),"Irvington High School")</f>
        <v>Irvington High School</v>
      </c>
      <c r="M1862" s="6" t="str">
        <f>IFERROR(__xludf.DUMMYFUNCTION("""COMPUTED_VALUE"""),"")</f>
        <v/>
      </c>
      <c r="N1862" s="6" t="str">
        <f>IFERROR(__xludf.DUMMYFUNCTION("""COMPUTED_VALUE"""),"")</f>
        <v/>
      </c>
      <c r="O1862" s="87" t="str">
        <f>IFERROR(__xludf.DUMMYFUNCTION("""COMPUTED_VALUE"""),"https://drive.google.com/drive/folders/10T2cTQHqEJZqE-st6uFKPoI?usp=share_link")</f>
        <v>https://drive.google.com/drive/folders/10T2cTQHqEJZqE-st6uFKPoI?usp=share_link</v>
      </c>
      <c r="P1862" s="6" t="str">
        <f>IFERROR(__xludf.DUMMYFUNCTION("""COMPUTED_VALUE"""),"Mariana Bonilla Lujan")</f>
        <v>Mariana Bonilla Lujan</v>
      </c>
      <c r="Q1862" s="6" t="str">
        <f>IFERROR(__xludf.DUMMYFUNCTION("""COMPUTED_VALUE"""),"HS")</f>
        <v>HS</v>
      </c>
      <c r="R1862" s="6">
        <f>IFERROR(__xludf.DUMMYFUNCTION("""COMPUTED_VALUE"""),0.0)</f>
        <v>0</v>
      </c>
      <c r="S1862" s="6" t="str">
        <f>IFERROR(__xludf.DUMMYFUNCTION("""COMPUTED_VALUE""")," ")</f>
        <v> </v>
      </c>
      <c r="T1862" s="6" t="str">
        <f>IFERROR(__xludf.DUMMYFUNCTION("""COMPUTED_VALUE"""),"")</f>
        <v/>
      </c>
      <c r="U1862" s="6" t="str">
        <f>IFERROR(__xludf.DUMMYFUNCTION("""COMPUTED_VALUE"""),"9")</f>
        <v>9</v>
      </c>
      <c r="V1862" s="6" t="str">
        <f>IFERROR(__xludf.DUMMYFUNCTION("""COMPUTED_VALUE"""),"English")</f>
        <v>English</v>
      </c>
      <c r="W1862" s="6" t="str">
        <f>IFERROR(__xludf.DUMMYFUNCTION("""COMPUTED_VALUE"""),"[]")</f>
        <v>[]</v>
      </c>
      <c r="X1862" s="6" t="str">
        <f>IFERROR(__xludf.DUMMYFUNCTION("""COMPUTED_VALUE"""),"Enrolled")</f>
        <v>Enrolled</v>
      </c>
    </row>
    <row r="1863">
      <c r="A1863" s="6" t="str">
        <f>IFERROR(__xludf.DUMMYFUNCTION("""COMPUTED_VALUE"""),"018-6033")</f>
        <v>018-6033</v>
      </c>
      <c r="B1863" s="6" t="str">
        <f>IFERROR(__xludf.DUMMYFUNCTION("""COMPUTED_VALUE"""),"18")</f>
        <v>18</v>
      </c>
      <c r="C1863" s="6" t="str">
        <f>IFERROR(__xludf.DUMMYFUNCTION("""COMPUTED_VALUE"""),"6033")</f>
        <v>6033</v>
      </c>
      <c r="D1863" s="6" t="str">
        <f>IFERROR(__xludf.DUMMYFUNCTION("""COMPUTED_VALUE"""),"Marquisha")</f>
        <v>Marquisha</v>
      </c>
      <c r="E1863" s="6" t="str">
        <f>IFERROR(__xludf.DUMMYFUNCTION("""COMPUTED_VALUE"""),"")</f>
        <v/>
      </c>
      <c r="F1863" s="6" t="str">
        <f>IFERROR(__xludf.DUMMYFUNCTION("""COMPUTED_VALUE"""),"De Vera")</f>
        <v>De Vera</v>
      </c>
      <c r="G1863" s="6" t="str">
        <f>IFERROR(__xludf.DUMMYFUNCTION("""COMPUTED_VALUE"""),"12/15/2009")</f>
        <v>12/15/2009</v>
      </c>
      <c r="H1863" s="6" t="str">
        <f>IFERROR(__xludf.DUMMYFUNCTION("""COMPUTED_VALUE"""),"Other")</f>
        <v>Other</v>
      </c>
      <c r="I1863" s="6" t="str">
        <f>IFERROR(__xludf.DUMMYFUNCTION("""COMPUTED_VALUE"""),"High School")</f>
        <v>High School</v>
      </c>
      <c r="J1863" s="6" t="str">
        <f>IFERROR(__xludf.DUMMYFUNCTION("""COMPUTED_VALUE"""),"9")</f>
        <v>9</v>
      </c>
      <c r="K1863" s="6" t="str">
        <f>IFERROR(__xludf.DUMMYFUNCTION("""COMPUTED_VALUE"""),"marquisha.de.vera@2hourlearning.com")</f>
        <v>marquisha.de.vera@2hourlearning.com</v>
      </c>
      <c r="L1863" s="6" t="str">
        <f>IFERROR(__xludf.DUMMYFUNCTION("""COMPUTED_VALUE"""),"Irvington High School")</f>
        <v>Irvington High School</v>
      </c>
      <c r="M1863" s="6" t="str">
        <f>IFERROR(__xludf.DUMMYFUNCTION("""COMPUTED_VALUE"""),"")</f>
        <v/>
      </c>
      <c r="N1863" s="6" t="str">
        <f>IFERROR(__xludf.DUMMYFUNCTION("""COMPUTED_VALUE"""),"")</f>
        <v/>
      </c>
      <c r="O1863" s="87" t="str">
        <f>IFERROR(__xludf.DUMMYFUNCTION("""COMPUTED_VALUE"""),"https://drive.google.com/drive/folders/10T2cTQHqEJZqE-st6uFKPoI?usp=share_link")</f>
        <v>https://drive.google.com/drive/folders/10T2cTQHqEJZqE-st6uFKPoI?usp=share_link</v>
      </c>
      <c r="P1863" s="6" t="str">
        <f>IFERROR(__xludf.DUMMYFUNCTION("""COMPUTED_VALUE"""),"Marquisha De Vera")</f>
        <v>Marquisha De Vera</v>
      </c>
      <c r="Q1863" s="6" t="str">
        <f>IFERROR(__xludf.DUMMYFUNCTION("""COMPUTED_VALUE"""),"HS")</f>
        <v>HS</v>
      </c>
      <c r="R1863" s="6">
        <f>IFERROR(__xludf.DUMMYFUNCTION("""COMPUTED_VALUE"""),0.0)</f>
        <v>0</v>
      </c>
      <c r="S1863" s="6" t="str">
        <f>IFERROR(__xludf.DUMMYFUNCTION("""COMPUTED_VALUE""")," ")</f>
        <v> </v>
      </c>
      <c r="T1863" s="6" t="str">
        <f>IFERROR(__xludf.DUMMYFUNCTION("""COMPUTED_VALUE"""),"")</f>
        <v/>
      </c>
      <c r="U1863" s="6" t="str">
        <f>IFERROR(__xludf.DUMMYFUNCTION("""COMPUTED_VALUE"""),"9")</f>
        <v>9</v>
      </c>
      <c r="V1863" s="6" t="str">
        <f>IFERROR(__xludf.DUMMYFUNCTION("""COMPUTED_VALUE"""),"English")</f>
        <v>English</v>
      </c>
      <c r="W1863" s="6" t="str">
        <f>IFERROR(__xludf.DUMMYFUNCTION("""COMPUTED_VALUE"""),"[]")</f>
        <v>[]</v>
      </c>
      <c r="X1863" s="6" t="str">
        <f>IFERROR(__xludf.DUMMYFUNCTION("""COMPUTED_VALUE"""),"Enrolled")</f>
        <v>Enrolled</v>
      </c>
    </row>
    <row r="1864">
      <c r="A1864" s="6" t="str">
        <f>IFERROR(__xludf.DUMMYFUNCTION("""COMPUTED_VALUE"""),"018-6034")</f>
        <v>018-6034</v>
      </c>
      <c r="B1864" s="6" t="str">
        <f>IFERROR(__xludf.DUMMYFUNCTION("""COMPUTED_VALUE"""),"18")</f>
        <v>18</v>
      </c>
      <c r="C1864" s="6" t="str">
        <f>IFERROR(__xludf.DUMMYFUNCTION("""COMPUTED_VALUE"""),"6034")</f>
        <v>6034</v>
      </c>
      <c r="D1864" s="6" t="str">
        <f>IFERROR(__xludf.DUMMYFUNCTION("""COMPUTED_VALUE"""),"Mason")</f>
        <v>Mason</v>
      </c>
      <c r="E1864" s="6" t="str">
        <f>IFERROR(__xludf.DUMMYFUNCTION("""COMPUTED_VALUE"""),"")</f>
        <v/>
      </c>
      <c r="F1864" s="6" t="str">
        <f>IFERROR(__xludf.DUMMYFUNCTION("""COMPUTED_VALUE"""),"Aquino Cowan")</f>
        <v>Aquino Cowan</v>
      </c>
      <c r="G1864" s="6" t="str">
        <f>IFERROR(__xludf.DUMMYFUNCTION("""COMPUTED_VALUE"""),"12/15/2009")</f>
        <v>12/15/2009</v>
      </c>
      <c r="H1864" s="6" t="str">
        <f>IFERROR(__xludf.DUMMYFUNCTION("""COMPUTED_VALUE"""),"Other")</f>
        <v>Other</v>
      </c>
      <c r="I1864" s="6" t="str">
        <f>IFERROR(__xludf.DUMMYFUNCTION("""COMPUTED_VALUE"""),"High School")</f>
        <v>High School</v>
      </c>
      <c r="J1864" s="6" t="str">
        <f>IFERROR(__xludf.DUMMYFUNCTION("""COMPUTED_VALUE"""),"9")</f>
        <v>9</v>
      </c>
      <c r="K1864" s="6" t="str">
        <f>IFERROR(__xludf.DUMMYFUNCTION("""COMPUTED_VALUE"""),"mason.aquino.cowan@2hourlearning.com")</f>
        <v>mason.aquino.cowan@2hourlearning.com</v>
      </c>
      <c r="L1864" s="6" t="str">
        <f>IFERROR(__xludf.DUMMYFUNCTION("""COMPUTED_VALUE"""),"Irvington High School")</f>
        <v>Irvington High School</v>
      </c>
      <c r="M1864" s="6" t="str">
        <f>IFERROR(__xludf.DUMMYFUNCTION("""COMPUTED_VALUE"""),"")</f>
        <v/>
      </c>
      <c r="N1864" s="6" t="str">
        <f>IFERROR(__xludf.DUMMYFUNCTION("""COMPUTED_VALUE"""),"")</f>
        <v/>
      </c>
      <c r="O1864" s="87" t="str">
        <f>IFERROR(__xludf.DUMMYFUNCTION("""COMPUTED_VALUE"""),"https://drive.google.com/drive/folders/10T2cTQHqEJZqE-st6uFKPoI?usp=share_link")</f>
        <v>https://drive.google.com/drive/folders/10T2cTQHqEJZqE-st6uFKPoI?usp=share_link</v>
      </c>
      <c r="P1864" s="6" t="str">
        <f>IFERROR(__xludf.DUMMYFUNCTION("""COMPUTED_VALUE"""),"Mason Aquino Cowan")</f>
        <v>Mason Aquino Cowan</v>
      </c>
      <c r="Q1864" s="6" t="str">
        <f>IFERROR(__xludf.DUMMYFUNCTION("""COMPUTED_VALUE"""),"HS")</f>
        <v>HS</v>
      </c>
      <c r="R1864" s="6">
        <f>IFERROR(__xludf.DUMMYFUNCTION("""COMPUTED_VALUE"""),0.0)</f>
        <v>0</v>
      </c>
      <c r="S1864" s="6" t="str">
        <f>IFERROR(__xludf.DUMMYFUNCTION("""COMPUTED_VALUE""")," ")</f>
        <v> </v>
      </c>
      <c r="T1864" s="6" t="str">
        <f>IFERROR(__xludf.DUMMYFUNCTION("""COMPUTED_VALUE"""),"")</f>
        <v/>
      </c>
      <c r="U1864" s="6" t="str">
        <f>IFERROR(__xludf.DUMMYFUNCTION("""COMPUTED_VALUE"""),"9")</f>
        <v>9</v>
      </c>
      <c r="V1864" s="6" t="str">
        <f>IFERROR(__xludf.DUMMYFUNCTION("""COMPUTED_VALUE"""),"English")</f>
        <v>English</v>
      </c>
      <c r="W1864" s="6" t="str">
        <f>IFERROR(__xludf.DUMMYFUNCTION("""COMPUTED_VALUE"""),"[]")</f>
        <v>[]</v>
      </c>
      <c r="X1864" s="6" t="str">
        <f>IFERROR(__xludf.DUMMYFUNCTION("""COMPUTED_VALUE"""),"Enrolled")</f>
        <v>Enrolled</v>
      </c>
    </row>
    <row r="1865">
      <c r="A1865" s="6" t="str">
        <f>IFERROR(__xludf.DUMMYFUNCTION("""COMPUTED_VALUE"""),"018-6035")</f>
        <v>018-6035</v>
      </c>
      <c r="B1865" s="6" t="str">
        <f>IFERROR(__xludf.DUMMYFUNCTION("""COMPUTED_VALUE"""),"18")</f>
        <v>18</v>
      </c>
      <c r="C1865" s="6" t="str">
        <f>IFERROR(__xludf.DUMMYFUNCTION("""COMPUTED_VALUE"""),"6035")</f>
        <v>6035</v>
      </c>
      <c r="D1865" s="6" t="str">
        <f>IFERROR(__xludf.DUMMYFUNCTION("""COMPUTED_VALUE"""),"Maximiliano")</f>
        <v>Maximiliano</v>
      </c>
      <c r="E1865" s="6" t="str">
        <f>IFERROR(__xludf.DUMMYFUNCTION("""COMPUTED_VALUE"""),"")</f>
        <v/>
      </c>
      <c r="F1865" s="6" t="str">
        <f>IFERROR(__xludf.DUMMYFUNCTION("""COMPUTED_VALUE"""),"Escobedo Garcia")</f>
        <v>Escobedo Garcia</v>
      </c>
      <c r="G1865" s="6" t="str">
        <f>IFERROR(__xludf.DUMMYFUNCTION("""COMPUTED_VALUE"""),"12/15/2009")</f>
        <v>12/15/2009</v>
      </c>
      <c r="H1865" s="6" t="str">
        <f>IFERROR(__xludf.DUMMYFUNCTION("""COMPUTED_VALUE"""),"Other")</f>
        <v>Other</v>
      </c>
      <c r="I1865" s="6" t="str">
        <f>IFERROR(__xludf.DUMMYFUNCTION("""COMPUTED_VALUE"""),"High School")</f>
        <v>High School</v>
      </c>
      <c r="J1865" s="6" t="str">
        <f>IFERROR(__xludf.DUMMYFUNCTION("""COMPUTED_VALUE"""),"9")</f>
        <v>9</v>
      </c>
      <c r="K1865" s="6" t="str">
        <f>IFERROR(__xludf.DUMMYFUNCTION("""COMPUTED_VALUE"""),"maximiliano.escobedo.garcia@2hourlearning.com")</f>
        <v>maximiliano.escobedo.garcia@2hourlearning.com</v>
      </c>
      <c r="L1865" s="6" t="str">
        <f>IFERROR(__xludf.DUMMYFUNCTION("""COMPUTED_VALUE"""),"Irvington High School")</f>
        <v>Irvington High School</v>
      </c>
      <c r="M1865" s="6" t="str">
        <f>IFERROR(__xludf.DUMMYFUNCTION("""COMPUTED_VALUE"""),"")</f>
        <v/>
      </c>
      <c r="N1865" s="6" t="str">
        <f>IFERROR(__xludf.DUMMYFUNCTION("""COMPUTED_VALUE"""),"")</f>
        <v/>
      </c>
      <c r="O1865" s="87" t="str">
        <f>IFERROR(__xludf.DUMMYFUNCTION("""COMPUTED_VALUE"""),"https://drive.google.com/drive/folders/10T2cTQHqEJZqE-st6uFKPoI?usp=share_link")</f>
        <v>https://drive.google.com/drive/folders/10T2cTQHqEJZqE-st6uFKPoI?usp=share_link</v>
      </c>
      <c r="P1865" s="6" t="str">
        <f>IFERROR(__xludf.DUMMYFUNCTION("""COMPUTED_VALUE"""),"Maximiliano Escobedo Garcia")</f>
        <v>Maximiliano Escobedo Garcia</v>
      </c>
      <c r="Q1865" s="6" t="str">
        <f>IFERROR(__xludf.DUMMYFUNCTION("""COMPUTED_VALUE"""),"HS")</f>
        <v>HS</v>
      </c>
      <c r="R1865" s="6">
        <f>IFERROR(__xludf.DUMMYFUNCTION("""COMPUTED_VALUE"""),0.0)</f>
        <v>0</v>
      </c>
      <c r="S1865" s="6" t="str">
        <f>IFERROR(__xludf.DUMMYFUNCTION("""COMPUTED_VALUE""")," ")</f>
        <v> </v>
      </c>
      <c r="T1865" s="6" t="str">
        <f>IFERROR(__xludf.DUMMYFUNCTION("""COMPUTED_VALUE"""),"")</f>
        <v/>
      </c>
      <c r="U1865" s="6" t="str">
        <f>IFERROR(__xludf.DUMMYFUNCTION("""COMPUTED_VALUE"""),"9")</f>
        <v>9</v>
      </c>
      <c r="V1865" s="6" t="str">
        <f>IFERROR(__xludf.DUMMYFUNCTION("""COMPUTED_VALUE"""),"English")</f>
        <v>English</v>
      </c>
      <c r="W1865" s="6" t="str">
        <f>IFERROR(__xludf.DUMMYFUNCTION("""COMPUTED_VALUE"""),"[]")</f>
        <v>[]</v>
      </c>
      <c r="X1865" s="6" t="str">
        <f>IFERROR(__xludf.DUMMYFUNCTION("""COMPUTED_VALUE"""),"Enrolled")</f>
        <v>Enrolled</v>
      </c>
    </row>
    <row r="1866">
      <c r="A1866" s="6" t="str">
        <f>IFERROR(__xludf.DUMMYFUNCTION("""COMPUTED_VALUE"""),"018-6036")</f>
        <v>018-6036</v>
      </c>
      <c r="B1866" s="6" t="str">
        <f>IFERROR(__xludf.DUMMYFUNCTION("""COMPUTED_VALUE"""),"18")</f>
        <v>18</v>
      </c>
      <c r="C1866" s="6" t="str">
        <f>IFERROR(__xludf.DUMMYFUNCTION("""COMPUTED_VALUE"""),"6036")</f>
        <v>6036</v>
      </c>
      <c r="D1866" s="6" t="str">
        <f>IFERROR(__xludf.DUMMYFUNCTION("""COMPUTED_VALUE"""),"Mellina")</f>
        <v>Mellina</v>
      </c>
      <c r="E1866" s="6" t="str">
        <f>IFERROR(__xludf.DUMMYFUNCTION("""COMPUTED_VALUE"""),"")</f>
        <v/>
      </c>
      <c r="F1866" s="6" t="str">
        <f>IFERROR(__xludf.DUMMYFUNCTION("""COMPUTED_VALUE"""),"Bharani")</f>
        <v>Bharani</v>
      </c>
      <c r="G1866" s="6" t="str">
        <f>IFERROR(__xludf.DUMMYFUNCTION("""COMPUTED_VALUE"""),"12/15/2009")</f>
        <v>12/15/2009</v>
      </c>
      <c r="H1866" s="6" t="str">
        <f>IFERROR(__xludf.DUMMYFUNCTION("""COMPUTED_VALUE"""),"Other")</f>
        <v>Other</v>
      </c>
      <c r="I1866" s="6" t="str">
        <f>IFERROR(__xludf.DUMMYFUNCTION("""COMPUTED_VALUE"""),"High School")</f>
        <v>High School</v>
      </c>
      <c r="J1866" s="6" t="str">
        <f>IFERROR(__xludf.DUMMYFUNCTION("""COMPUTED_VALUE"""),"9")</f>
        <v>9</v>
      </c>
      <c r="K1866" s="6" t="str">
        <f>IFERROR(__xludf.DUMMYFUNCTION("""COMPUTED_VALUE"""),"mellina.bharani@2hourlearning.com")</f>
        <v>mellina.bharani@2hourlearning.com</v>
      </c>
      <c r="L1866" s="6" t="str">
        <f>IFERROR(__xludf.DUMMYFUNCTION("""COMPUTED_VALUE"""),"Irvington High School")</f>
        <v>Irvington High School</v>
      </c>
      <c r="M1866" s="6" t="str">
        <f>IFERROR(__xludf.DUMMYFUNCTION("""COMPUTED_VALUE"""),"")</f>
        <v/>
      </c>
      <c r="N1866" s="6" t="str">
        <f>IFERROR(__xludf.DUMMYFUNCTION("""COMPUTED_VALUE"""),"")</f>
        <v/>
      </c>
      <c r="O1866" s="87" t="str">
        <f>IFERROR(__xludf.DUMMYFUNCTION("""COMPUTED_VALUE"""),"https://drive.google.com/drive/folders/10T2cTQHqEJZqE-st6uFKPoI?usp=share_link")</f>
        <v>https://drive.google.com/drive/folders/10T2cTQHqEJZqE-st6uFKPoI?usp=share_link</v>
      </c>
      <c r="P1866" s="6" t="str">
        <f>IFERROR(__xludf.DUMMYFUNCTION("""COMPUTED_VALUE"""),"Mellina Bharani")</f>
        <v>Mellina Bharani</v>
      </c>
      <c r="Q1866" s="6" t="str">
        <f>IFERROR(__xludf.DUMMYFUNCTION("""COMPUTED_VALUE"""),"HS")</f>
        <v>HS</v>
      </c>
      <c r="R1866" s="6">
        <f>IFERROR(__xludf.DUMMYFUNCTION("""COMPUTED_VALUE"""),0.0)</f>
        <v>0</v>
      </c>
      <c r="S1866" s="6" t="str">
        <f>IFERROR(__xludf.DUMMYFUNCTION("""COMPUTED_VALUE""")," ")</f>
        <v> </v>
      </c>
      <c r="T1866" s="6" t="str">
        <f>IFERROR(__xludf.DUMMYFUNCTION("""COMPUTED_VALUE"""),"")</f>
        <v/>
      </c>
      <c r="U1866" s="6" t="str">
        <f>IFERROR(__xludf.DUMMYFUNCTION("""COMPUTED_VALUE"""),"9")</f>
        <v>9</v>
      </c>
      <c r="V1866" s="6" t="str">
        <f>IFERROR(__xludf.DUMMYFUNCTION("""COMPUTED_VALUE"""),"English")</f>
        <v>English</v>
      </c>
      <c r="W1866" s="6" t="str">
        <f>IFERROR(__xludf.DUMMYFUNCTION("""COMPUTED_VALUE"""),"[]")</f>
        <v>[]</v>
      </c>
      <c r="X1866" s="6" t="str">
        <f>IFERROR(__xludf.DUMMYFUNCTION("""COMPUTED_VALUE"""),"Enrolled")</f>
        <v>Enrolled</v>
      </c>
    </row>
    <row r="1867">
      <c r="A1867" s="6" t="str">
        <f>IFERROR(__xludf.DUMMYFUNCTION("""COMPUTED_VALUE"""),"018-6038")</f>
        <v>018-6038</v>
      </c>
      <c r="B1867" s="6" t="str">
        <f>IFERROR(__xludf.DUMMYFUNCTION("""COMPUTED_VALUE"""),"18")</f>
        <v>18</v>
      </c>
      <c r="C1867" s="6" t="str">
        <f>IFERROR(__xludf.DUMMYFUNCTION("""COMPUTED_VALUE"""),"6038")</f>
        <v>6038</v>
      </c>
      <c r="D1867" s="6" t="str">
        <f>IFERROR(__xludf.DUMMYFUNCTION("""COMPUTED_VALUE"""),"Moises")</f>
        <v>Moises</v>
      </c>
      <c r="E1867" s="6" t="str">
        <f>IFERROR(__xludf.DUMMYFUNCTION("""COMPUTED_VALUE"""),"")</f>
        <v/>
      </c>
      <c r="F1867" s="6" t="str">
        <f>IFERROR(__xludf.DUMMYFUNCTION("""COMPUTED_VALUE"""),"Sandoval")</f>
        <v>Sandoval</v>
      </c>
      <c r="G1867" s="6" t="str">
        <f>IFERROR(__xludf.DUMMYFUNCTION("""COMPUTED_VALUE"""),"12/15/2009")</f>
        <v>12/15/2009</v>
      </c>
      <c r="H1867" s="6" t="str">
        <f>IFERROR(__xludf.DUMMYFUNCTION("""COMPUTED_VALUE"""),"Other")</f>
        <v>Other</v>
      </c>
      <c r="I1867" s="6" t="str">
        <f>IFERROR(__xludf.DUMMYFUNCTION("""COMPUTED_VALUE"""),"High School")</f>
        <v>High School</v>
      </c>
      <c r="J1867" s="6" t="str">
        <f>IFERROR(__xludf.DUMMYFUNCTION("""COMPUTED_VALUE"""),"9")</f>
        <v>9</v>
      </c>
      <c r="K1867" s="6" t="str">
        <f>IFERROR(__xludf.DUMMYFUNCTION("""COMPUTED_VALUE"""),"moises.sandoval@2hourlearning.com")</f>
        <v>moises.sandoval@2hourlearning.com</v>
      </c>
      <c r="L1867" s="6" t="str">
        <f>IFERROR(__xludf.DUMMYFUNCTION("""COMPUTED_VALUE"""),"Irvington High School")</f>
        <v>Irvington High School</v>
      </c>
      <c r="M1867" s="6" t="str">
        <f>IFERROR(__xludf.DUMMYFUNCTION("""COMPUTED_VALUE"""),"")</f>
        <v/>
      </c>
      <c r="N1867" s="6" t="str">
        <f>IFERROR(__xludf.DUMMYFUNCTION("""COMPUTED_VALUE"""),"")</f>
        <v/>
      </c>
      <c r="O1867" s="87" t="str">
        <f>IFERROR(__xludf.DUMMYFUNCTION("""COMPUTED_VALUE"""),"https://drive.google.com/drive/folders/10T2cTQHqEJZqE-st6uFKPoI?usp=share_link")</f>
        <v>https://drive.google.com/drive/folders/10T2cTQHqEJZqE-st6uFKPoI?usp=share_link</v>
      </c>
      <c r="P1867" s="6" t="str">
        <f>IFERROR(__xludf.DUMMYFUNCTION("""COMPUTED_VALUE"""),"Moises Sandoval")</f>
        <v>Moises Sandoval</v>
      </c>
      <c r="Q1867" s="6" t="str">
        <f>IFERROR(__xludf.DUMMYFUNCTION("""COMPUTED_VALUE"""),"HS")</f>
        <v>HS</v>
      </c>
      <c r="R1867" s="6">
        <f>IFERROR(__xludf.DUMMYFUNCTION("""COMPUTED_VALUE"""),0.0)</f>
        <v>0</v>
      </c>
      <c r="S1867" s="6" t="str">
        <f>IFERROR(__xludf.DUMMYFUNCTION("""COMPUTED_VALUE""")," ")</f>
        <v> </v>
      </c>
      <c r="T1867" s="6" t="str">
        <f>IFERROR(__xludf.DUMMYFUNCTION("""COMPUTED_VALUE"""),"")</f>
        <v/>
      </c>
      <c r="U1867" s="6" t="str">
        <f>IFERROR(__xludf.DUMMYFUNCTION("""COMPUTED_VALUE"""),"9")</f>
        <v>9</v>
      </c>
      <c r="V1867" s="6" t="str">
        <f>IFERROR(__xludf.DUMMYFUNCTION("""COMPUTED_VALUE"""),"English")</f>
        <v>English</v>
      </c>
      <c r="W1867" s="6" t="str">
        <f>IFERROR(__xludf.DUMMYFUNCTION("""COMPUTED_VALUE"""),"[]")</f>
        <v>[]</v>
      </c>
      <c r="X1867" s="6" t="str">
        <f>IFERROR(__xludf.DUMMYFUNCTION("""COMPUTED_VALUE"""),"Enrolled")</f>
        <v>Enrolled</v>
      </c>
    </row>
    <row r="1868">
      <c r="A1868" s="6" t="str">
        <f>IFERROR(__xludf.DUMMYFUNCTION("""COMPUTED_VALUE"""),"018-6039")</f>
        <v>018-6039</v>
      </c>
      <c r="B1868" s="6" t="str">
        <f>IFERROR(__xludf.DUMMYFUNCTION("""COMPUTED_VALUE"""),"18")</f>
        <v>18</v>
      </c>
      <c r="C1868" s="6" t="str">
        <f>IFERROR(__xludf.DUMMYFUNCTION("""COMPUTED_VALUE"""),"6039")</f>
        <v>6039</v>
      </c>
      <c r="D1868" s="6" t="str">
        <f>IFERROR(__xludf.DUMMYFUNCTION("""COMPUTED_VALUE"""),"Roberto")</f>
        <v>Roberto</v>
      </c>
      <c r="E1868" s="6" t="str">
        <f>IFERROR(__xludf.DUMMYFUNCTION("""COMPUTED_VALUE"""),"")</f>
        <v/>
      </c>
      <c r="F1868" s="6" t="str">
        <f>IFERROR(__xludf.DUMMYFUNCTION("""COMPUTED_VALUE"""),"Narvaez Serrato")</f>
        <v>Narvaez Serrato</v>
      </c>
      <c r="G1868" s="6" t="str">
        <f>IFERROR(__xludf.DUMMYFUNCTION("""COMPUTED_VALUE"""),"12/15/2009")</f>
        <v>12/15/2009</v>
      </c>
      <c r="H1868" s="6" t="str">
        <f>IFERROR(__xludf.DUMMYFUNCTION("""COMPUTED_VALUE"""),"Other")</f>
        <v>Other</v>
      </c>
      <c r="I1868" s="6" t="str">
        <f>IFERROR(__xludf.DUMMYFUNCTION("""COMPUTED_VALUE"""),"High School")</f>
        <v>High School</v>
      </c>
      <c r="J1868" s="6" t="str">
        <f>IFERROR(__xludf.DUMMYFUNCTION("""COMPUTED_VALUE"""),"9")</f>
        <v>9</v>
      </c>
      <c r="K1868" s="6" t="str">
        <f>IFERROR(__xludf.DUMMYFUNCTION("""COMPUTED_VALUE"""),"roberto.narvaez.serrato@2hourlearning.com")</f>
        <v>roberto.narvaez.serrato@2hourlearning.com</v>
      </c>
      <c r="L1868" s="6" t="str">
        <f>IFERROR(__xludf.DUMMYFUNCTION("""COMPUTED_VALUE"""),"Irvington High School")</f>
        <v>Irvington High School</v>
      </c>
      <c r="M1868" s="6" t="str">
        <f>IFERROR(__xludf.DUMMYFUNCTION("""COMPUTED_VALUE"""),"")</f>
        <v/>
      </c>
      <c r="N1868" s="6" t="str">
        <f>IFERROR(__xludf.DUMMYFUNCTION("""COMPUTED_VALUE"""),"")</f>
        <v/>
      </c>
      <c r="O1868" s="87" t="str">
        <f>IFERROR(__xludf.DUMMYFUNCTION("""COMPUTED_VALUE"""),"https://drive.google.com/drive/folders/10T2cTQHqEJZqE-st6uFKPoI?usp=share_link")</f>
        <v>https://drive.google.com/drive/folders/10T2cTQHqEJZqE-st6uFKPoI?usp=share_link</v>
      </c>
      <c r="P1868" s="6" t="str">
        <f>IFERROR(__xludf.DUMMYFUNCTION("""COMPUTED_VALUE"""),"Roberto Narvaez Serrato")</f>
        <v>Roberto Narvaez Serrato</v>
      </c>
      <c r="Q1868" s="6" t="str">
        <f>IFERROR(__xludf.DUMMYFUNCTION("""COMPUTED_VALUE"""),"HS")</f>
        <v>HS</v>
      </c>
      <c r="R1868" s="6">
        <f>IFERROR(__xludf.DUMMYFUNCTION("""COMPUTED_VALUE"""),0.0)</f>
        <v>0</v>
      </c>
      <c r="S1868" s="6" t="str">
        <f>IFERROR(__xludf.DUMMYFUNCTION("""COMPUTED_VALUE""")," ")</f>
        <v> </v>
      </c>
      <c r="T1868" s="6" t="str">
        <f>IFERROR(__xludf.DUMMYFUNCTION("""COMPUTED_VALUE"""),"")</f>
        <v/>
      </c>
      <c r="U1868" s="6" t="str">
        <f>IFERROR(__xludf.DUMMYFUNCTION("""COMPUTED_VALUE"""),"9")</f>
        <v>9</v>
      </c>
      <c r="V1868" s="6" t="str">
        <f>IFERROR(__xludf.DUMMYFUNCTION("""COMPUTED_VALUE"""),"English")</f>
        <v>English</v>
      </c>
      <c r="W1868" s="6" t="str">
        <f>IFERROR(__xludf.DUMMYFUNCTION("""COMPUTED_VALUE"""),"[]")</f>
        <v>[]</v>
      </c>
      <c r="X1868" s="6" t="str">
        <f>IFERROR(__xludf.DUMMYFUNCTION("""COMPUTED_VALUE"""),"Enrolled")</f>
        <v>Enrolled</v>
      </c>
    </row>
    <row r="1869">
      <c r="A1869" s="6" t="str">
        <f>IFERROR(__xludf.DUMMYFUNCTION("""COMPUTED_VALUE"""),"018-6040")</f>
        <v>018-6040</v>
      </c>
      <c r="B1869" s="6" t="str">
        <f>IFERROR(__xludf.DUMMYFUNCTION("""COMPUTED_VALUE"""),"18")</f>
        <v>18</v>
      </c>
      <c r="C1869" s="6" t="str">
        <f>IFERROR(__xludf.DUMMYFUNCTION("""COMPUTED_VALUE"""),"6040")</f>
        <v>6040</v>
      </c>
      <c r="D1869" s="6" t="str">
        <f>IFERROR(__xludf.DUMMYFUNCTION("""COMPUTED_VALUE"""),"Rolando")</f>
        <v>Rolando</v>
      </c>
      <c r="E1869" s="6" t="str">
        <f>IFERROR(__xludf.DUMMYFUNCTION("""COMPUTED_VALUE"""),"")</f>
        <v/>
      </c>
      <c r="F1869" s="6" t="str">
        <f>IFERROR(__xludf.DUMMYFUNCTION("""COMPUTED_VALUE"""),"Barrios")</f>
        <v>Barrios</v>
      </c>
      <c r="G1869" s="6" t="str">
        <f>IFERROR(__xludf.DUMMYFUNCTION("""COMPUTED_VALUE"""),"12/15/2009")</f>
        <v>12/15/2009</v>
      </c>
      <c r="H1869" s="6" t="str">
        <f>IFERROR(__xludf.DUMMYFUNCTION("""COMPUTED_VALUE"""),"Other")</f>
        <v>Other</v>
      </c>
      <c r="I1869" s="6" t="str">
        <f>IFERROR(__xludf.DUMMYFUNCTION("""COMPUTED_VALUE"""),"High School")</f>
        <v>High School</v>
      </c>
      <c r="J1869" s="6" t="str">
        <f>IFERROR(__xludf.DUMMYFUNCTION("""COMPUTED_VALUE"""),"9")</f>
        <v>9</v>
      </c>
      <c r="K1869" s="6" t="str">
        <f>IFERROR(__xludf.DUMMYFUNCTION("""COMPUTED_VALUE"""),"rolando.barrios@2hourlearning.com")</f>
        <v>rolando.barrios@2hourlearning.com</v>
      </c>
      <c r="L1869" s="6" t="str">
        <f>IFERROR(__xludf.DUMMYFUNCTION("""COMPUTED_VALUE"""),"Irvington High School")</f>
        <v>Irvington High School</v>
      </c>
      <c r="M1869" s="6" t="str">
        <f>IFERROR(__xludf.DUMMYFUNCTION("""COMPUTED_VALUE"""),"")</f>
        <v/>
      </c>
      <c r="N1869" s="6" t="str">
        <f>IFERROR(__xludf.DUMMYFUNCTION("""COMPUTED_VALUE"""),"")</f>
        <v/>
      </c>
      <c r="O1869" s="87" t="str">
        <f>IFERROR(__xludf.DUMMYFUNCTION("""COMPUTED_VALUE"""),"https://drive.google.com/drive/folders/10T2cTQHqEJZqE-st6uFKPoI?usp=share_link")</f>
        <v>https://drive.google.com/drive/folders/10T2cTQHqEJZqE-st6uFKPoI?usp=share_link</v>
      </c>
      <c r="P1869" s="6" t="str">
        <f>IFERROR(__xludf.DUMMYFUNCTION("""COMPUTED_VALUE"""),"Rolando Barrios")</f>
        <v>Rolando Barrios</v>
      </c>
      <c r="Q1869" s="6" t="str">
        <f>IFERROR(__xludf.DUMMYFUNCTION("""COMPUTED_VALUE"""),"HS")</f>
        <v>HS</v>
      </c>
      <c r="R1869" s="6">
        <f>IFERROR(__xludf.DUMMYFUNCTION("""COMPUTED_VALUE"""),0.0)</f>
        <v>0</v>
      </c>
      <c r="S1869" s="6" t="str">
        <f>IFERROR(__xludf.DUMMYFUNCTION("""COMPUTED_VALUE""")," ")</f>
        <v> </v>
      </c>
      <c r="T1869" s="6" t="str">
        <f>IFERROR(__xludf.DUMMYFUNCTION("""COMPUTED_VALUE"""),"")</f>
        <v/>
      </c>
      <c r="U1869" s="6" t="str">
        <f>IFERROR(__xludf.DUMMYFUNCTION("""COMPUTED_VALUE"""),"9")</f>
        <v>9</v>
      </c>
      <c r="V1869" s="6" t="str">
        <f>IFERROR(__xludf.DUMMYFUNCTION("""COMPUTED_VALUE"""),"English")</f>
        <v>English</v>
      </c>
      <c r="W1869" s="6" t="str">
        <f>IFERROR(__xludf.DUMMYFUNCTION("""COMPUTED_VALUE"""),"[]")</f>
        <v>[]</v>
      </c>
      <c r="X1869" s="6" t="str">
        <f>IFERROR(__xludf.DUMMYFUNCTION("""COMPUTED_VALUE"""),"Enrolled")</f>
        <v>Enrolled</v>
      </c>
    </row>
    <row r="1870">
      <c r="A1870" s="6" t="str">
        <f>IFERROR(__xludf.DUMMYFUNCTION("""COMPUTED_VALUE"""),"018-6041")</f>
        <v>018-6041</v>
      </c>
      <c r="B1870" s="6" t="str">
        <f>IFERROR(__xludf.DUMMYFUNCTION("""COMPUTED_VALUE"""),"18")</f>
        <v>18</v>
      </c>
      <c r="C1870" s="6" t="str">
        <f>IFERROR(__xludf.DUMMYFUNCTION("""COMPUTED_VALUE"""),"6041")</f>
        <v>6041</v>
      </c>
      <c r="D1870" s="6" t="str">
        <f>IFERROR(__xludf.DUMMYFUNCTION("""COMPUTED_VALUE"""),"Rumaisah")</f>
        <v>Rumaisah</v>
      </c>
      <c r="E1870" s="6" t="str">
        <f>IFERROR(__xludf.DUMMYFUNCTION("""COMPUTED_VALUE"""),"")</f>
        <v/>
      </c>
      <c r="F1870" s="6" t="str">
        <f>IFERROR(__xludf.DUMMYFUNCTION("""COMPUTED_VALUE"""),"Noori")</f>
        <v>Noori</v>
      </c>
      <c r="G1870" s="6" t="str">
        <f>IFERROR(__xludf.DUMMYFUNCTION("""COMPUTED_VALUE"""),"12/15/2009")</f>
        <v>12/15/2009</v>
      </c>
      <c r="H1870" s="6" t="str">
        <f>IFERROR(__xludf.DUMMYFUNCTION("""COMPUTED_VALUE"""),"Other")</f>
        <v>Other</v>
      </c>
      <c r="I1870" s="6" t="str">
        <f>IFERROR(__xludf.DUMMYFUNCTION("""COMPUTED_VALUE"""),"High School")</f>
        <v>High School</v>
      </c>
      <c r="J1870" s="6" t="str">
        <f>IFERROR(__xludf.DUMMYFUNCTION("""COMPUTED_VALUE"""),"9")</f>
        <v>9</v>
      </c>
      <c r="K1870" s="6" t="str">
        <f>IFERROR(__xludf.DUMMYFUNCTION("""COMPUTED_VALUE"""),"rumaisah.noori@2hourlearning.com")</f>
        <v>rumaisah.noori@2hourlearning.com</v>
      </c>
      <c r="L1870" s="6" t="str">
        <f>IFERROR(__xludf.DUMMYFUNCTION("""COMPUTED_VALUE"""),"Irvington High School")</f>
        <v>Irvington High School</v>
      </c>
      <c r="M1870" s="6" t="str">
        <f>IFERROR(__xludf.DUMMYFUNCTION("""COMPUTED_VALUE"""),"")</f>
        <v/>
      </c>
      <c r="N1870" s="6" t="str">
        <f>IFERROR(__xludf.DUMMYFUNCTION("""COMPUTED_VALUE"""),"")</f>
        <v/>
      </c>
      <c r="O1870" s="87" t="str">
        <f>IFERROR(__xludf.DUMMYFUNCTION("""COMPUTED_VALUE"""),"https://drive.google.com/drive/folders/10T2cTQHqEJZqE-st6uFKPoI?usp=share_link")</f>
        <v>https://drive.google.com/drive/folders/10T2cTQHqEJZqE-st6uFKPoI?usp=share_link</v>
      </c>
      <c r="P1870" s="6" t="str">
        <f>IFERROR(__xludf.DUMMYFUNCTION("""COMPUTED_VALUE"""),"Rumaisah Noori")</f>
        <v>Rumaisah Noori</v>
      </c>
      <c r="Q1870" s="6" t="str">
        <f>IFERROR(__xludf.DUMMYFUNCTION("""COMPUTED_VALUE"""),"HS")</f>
        <v>HS</v>
      </c>
      <c r="R1870" s="6">
        <f>IFERROR(__xludf.DUMMYFUNCTION("""COMPUTED_VALUE"""),0.0)</f>
        <v>0</v>
      </c>
      <c r="S1870" s="6" t="str">
        <f>IFERROR(__xludf.DUMMYFUNCTION("""COMPUTED_VALUE""")," ")</f>
        <v> </v>
      </c>
      <c r="T1870" s="6" t="str">
        <f>IFERROR(__xludf.DUMMYFUNCTION("""COMPUTED_VALUE"""),"")</f>
        <v/>
      </c>
      <c r="U1870" s="6" t="str">
        <f>IFERROR(__xludf.DUMMYFUNCTION("""COMPUTED_VALUE"""),"9")</f>
        <v>9</v>
      </c>
      <c r="V1870" s="6" t="str">
        <f>IFERROR(__xludf.DUMMYFUNCTION("""COMPUTED_VALUE"""),"English")</f>
        <v>English</v>
      </c>
      <c r="W1870" s="6" t="str">
        <f>IFERROR(__xludf.DUMMYFUNCTION("""COMPUTED_VALUE"""),"[]")</f>
        <v>[]</v>
      </c>
      <c r="X1870" s="6" t="str">
        <f>IFERROR(__xludf.DUMMYFUNCTION("""COMPUTED_VALUE"""),"Enrolled")</f>
        <v>Enrolled</v>
      </c>
    </row>
    <row r="1871">
      <c r="A1871" s="6" t="str">
        <f>IFERROR(__xludf.DUMMYFUNCTION("""COMPUTED_VALUE"""),"018-6042")</f>
        <v>018-6042</v>
      </c>
      <c r="B1871" s="6" t="str">
        <f>IFERROR(__xludf.DUMMYFUNCTION("""COMPUTED_VALUE"""),"18")</f>
        <v>18</v>
      </c>
      <c r="C1871" s="6" t="str">
        <f>IFERROR(__xludf.DUMMYFUNCTION("""COMPUTED_VALUE"""),"6042")</f>
        <v>6042</v>
      </c>
      <c r="D1871" s="6" t="str">
        <f>IFERROR(__xludf.DUMMYFUNCTION("""COMPUTED_VALUE"""),"Sama")</f>
        <v>Sama</v>
      </c>
      <c r="E1871" s="6" t="str">
        <f>IFERROR(__xludf.DUMMYFUNCTION("""COMPUTED_VALUE"""),"")</f>
        <v/>
      </c>
      <c r="F1871" s="6" t="str">
        <f>IFERROR(__xludf.DUMMYFUNCTION("""COMPUTED_VALUE"""),"Nabi")</f>
        <v>Nabi</v>
      </c>
      <c r="G1871" s="6" t="str">
        <f>IFERROR(__xludf.DUMMYFUNCTION("""COMPUTED_VALUE"""),"12/15/2009")</f>
        <v>12/15/2009</v>
      </c>
      <c r="H1871" s="6" t="str">
        <f>IFERROR(__xludf.DUMMYFUNCTION("""COMPUTED_VALUE"""),"Other")</f>
        <v>Other</v>
      </c>
      <c r="I1871" s="6" t="str">
        <f>IFERROR(__xludf.DUMMYFUNCTION("""COMPUTED_VALUE"""),"High School")</f>
        <v>High School</v>
      </c>
      <c r="J1871" s="6" t="str">
        <f>IFERROR(__xludf.DUMMYFUNCTION("""COMPUTED_VALUE"""),"9")</f>
        <v>9</v>
      </c>
      <c r="K1871" s="6" t="str">
        <f>IFERROR(__xludf.DUMMYFUNCTION("""COMPUTED_VALUE"""),"sama.nabi@2hourlearning.com")</f>
        <v>sama.nabi@2hourlearning.com</v>
      </c>
      <c r="L1871" s="6" t="str">
        <f>IFERROR(__xludf.DUMMYFUNCTION("""COMPUTED_VALUE"""),"Irvington High School")</f>
        <v>Irvington High School</v>
      </c>
      <c r="M1871" s="6" t="str">
        <f>IFERROR(__xludf.DUMMYFUNCTION("""COMPUTED_VALUE"""),"")</f>
        <v/>
      </c>
      <c r="N1871" s="6" t="str">
        <f>IFERROR(__xludf.DUMMYFUNCTION("""COMPUTED_VALUE"""),"")</f>
        <v/>
      </c>
      <c r="O1871" s="87" t="str">
        <f>IFERROR(__xludf.DUMMYFUNCTION("""COMPUTED_VALUE"""),"https://drive.google.com/drive/folders/10T2cTQHqEJZqE-st6uFKPoI?usp=share_link")</f>
        <v>https://drive.google.com/drive/folders/10T2cTQHqEJZqE-st6uFKPoI?usp=share_link</v>
      </c>
      <c r="P1871" s="6" t="str">
        <f>IFERROR(__xludf.DUMMYFUNCTION("""COMPUTED_VALUE"""),"Sama Nabi")</f>
        <v>Sama Nabi</v>
      </c>
      <c r="Q1871" s="6" t="str">
        <f>IFERROR(__xludf.DUMMYFUNCTION("""COMPUTED_VALUE"""),"HS")</f>
        <v>HS</v>
      </c>
      <c r="R1871" s="6">
        <f>IFERROR(__xludf.DUMMYFUNCTION("""COMPUTED_VALUE"""),0.0)</f>
        <v>0</v>
      </c>
      <c r="S1871" s="6" t="str">
        <f>IFERROR(__xludf.DUMMYFUNCTION("""COMPUTED_VALUE""")," ")</f>
        <v> </v>
      </c>
      <c r="T1871" s="6" t="str">
        <f>IFERROR(__xludf.DUMMYFUNCTION("""COMPUTED_VALUE"""),"")</f>
        <v/>
      </c>
      <c r="U1871" s="6" t="str">
        <f>IFERROR(__xludf.DUMMYFUNCTION("""COMPUTED_VALUE"""),"9")</f>
        <v>9</v>
      </c>
      <c r="V1871" s="6" t="str">
        <f>IFERROR(__xludf.DUMMYFUNCTION("""COMPUTED_VALUE"""),"English")</f>
        <v>English</v>
      </c>
      <c r="W1871" s="6" t="str">
        <f>IFERROR(__xludf.DUMMYFUNCTION("""COMPUTED_VALUE"""),"[]")</f>
        <v>[]</v>
      </c>
      <c r="X1871" s="6" t="str">
        <f>IFERROR(__xludf.DUMMYFUNCTION("""COMPUTED_VALUE"""),"Enrolled")</f>
        <v>Enrolled</v>
      </c>
    </row>
    <row r="1872">
      <c r="A1872" s="6" t="str">
        <f>IFERROR(__xludf.DUMMYFUNCTION("""COMPUTED_VALUE"""),"018-6043")</f>
        <v>018-6043</v>
      </c>
      <c r="B1872" s="6" t="str">
        <f>IFERROR(__xludf.DUMMYFUNCTION("""COMPUTED_VALUE"""),"18")</f>
        <v>18</v>
      </c>
      <c r="C1872" s="6" t="str">
        <f>IFERROR(__xludf.DUMMYFUNCTION("""COMPUTED_VALUE"""),"6043")</f>
        <v>6043</v>
      </c>
      <c r="D1872" s="6" t="str">
        <f>IFERROR(__xludf.DUMMYFUNCTION("""COMPUTED_VALUE"""),"Samantha")</f>
        <v>Samantha</v>
      </c>
      <c r="E1872" s="6" t="str">
        <f>IFERROR(__xludf.DUMMYFUNCTION("""COMPUTED_VALUE"""),"")</f>
        <v/>
      </c>
      <c r="F1872" s="6" t="str">
        <f>IFERROR(__xludf.DUMMYFUNCTION("""COMPUTED_VALUE"""),"Villareal")</f>
        <v>Villareal</v>
      </c>
      <c r="G1872" s="6" t="str">
        <f>IFERROR(__xludf.DUMMYFUNCTION("""COMPUTED_VALUE"""),"12/15/2009")</f>
        <v>12/15/2009</v>
      </c>
      <c r="H1872" s="6" t="str">
        <f>IFERROR(__xludf.DUMMYFUNCTION("""COMPUTED_VALUE"""),"Other")</f>
        <v>Other</v>
      </c>
      <c r="I1872" s="6" t="str">
        <f>IFERROR(__xludf.DUMMYFUNCTION("""COMPUTED_VALUE"""),"High School")</f>
        <v>High School</v>
      </c>
      <c r="J1872" s="6" t="str">
        <f>IFERROR(__xludf.DUMMYFUNCTION("""COMPUTED_VALUE"""),"9")</f>
        <v>9</v>
      </c>
      <c r="K1872" s="6" t="str">
        <f>IFERROR(__xludf.DUMMYFUNCTION("""COMPUTED_VALUE"""),"samantha.villareal@2hourlearning.com")</f>
        <v>samantha.villareal@2hourlearning.com</v>
      </c>
      <c r="L1872" s="6" t="str">
        <f>IFERROR(__xludf.DUMMYFUNCTION("""COMPUTED_VALUE"""),"Irvington High School")</f>
        <v>Irvington High School</v>
      </c>
      <c r="M1872" s="6" t="str">
        <f>IFERROR(__xludf.DUMMYFUNCTION("""COMPUTED_VALUE"""),"")</f>
        <v/>
      </c>
      <c r="N1872" s="6" t="str">
        <f>IFERROR(__xludf.DUMMYFUNCTION("""COMPUTED_VALUE"""),"")</f>
        <v/>
      </c>
      <c r="O1872" s="87" t="str">
        <f>IFERROR(__xludf.DUMMYFUNCTION("""COMPUTED_VALUE"""),"https://drive.google.com/drive/folders/10T2cTQHqEJZqE-st6uFKPoI?usp=share_link")</f>
        <v>https://drive.google.com/drive/folders/10T2cTQHqEJZqE-st6uFKPoI?usp=share_link</v>
      </c>
      <c r="P1872" s="6" t="str">
        <f>IFERROR(__xludf.DUMMYFUNCTION("""COMPUTED_VALUE"""),"Samantha Villareal")</f>
        <v>Samantha Villareal</v>
      </c>
      <c r="Q1872" s="6" t="str">
        <f>IFERROR(__xludf.DUMMYFUNCTION("""COMPUTED_VALUE"""),"HS")</f>
        <v>HS</v>
      </c>
      <c r="R1872" s="6">
        <f>IFERROR(__xludf.DUMMYFUNCTION("""COMPUTED_VALUE"""),0.0)</f>
        <v>0</v>
      </c>
      <c r="S1872" s="6" t="str">
        <f>IFERROR(__xludf.DUMMYFUNCTION("""COMPUTED_VALUE""")," ")</f>
        <v> </v>
      </c>
      <c r="T1872" s="6" t="str">
        <f>IFERROR(__xludf.DUMMYFUNCTION("""COMPUTED_VALUE"""),"")</f>
        <v/>
      </c>
      <c r="U1872" s="6" t="str">
        <f>IFERROR(__xludf.DUMMYFUNCTION("""COMPUTED_VALUE"""),"9")</f>
        <v>9</v>
      </c>
      <c r="V1872" s="6" t="str">
        <f>IFERROR(__xludf.DUMMYFUNCTION("""COMPUTED_VALUE"""),"English")</f>
        <v>English</v>
      </c>
      <c r="W1872" s="6" t="str">
        <f>IFERROR(__xludf.DUMMYFUNCTION("""COMPUTED_VALUE"""),"[]")</f>
        <v>[]</v>
      </c>
      <c r="X1872" s="6" t="str">
        <f>IFERROR(__xludf.DUMMYFUNCTION("""COMPUTED_VALUE"""),"Enrolled")</f>
        <v>Enrolled</v>
      </c>
    </row>
    <row r="1873">
      <c r="A1873" s="6" t="str">
        <f>IFERROR(__xludf.DUMMYFUNCTION("""COMPUTED_VALUE"""),"018-6044")</f>
        <v>018-6044</v>
      </c>
      <c r="B1873" s="6" t="str">
        <f>IFERROR(__xludf.DUMMYFUNCTION("""COMPUTED_VALUE"""),"18")</f>
        <v>18</v>
      </c>
      <c r="C1873" s="6" t="str">
        <f>IFERROR(__xludf.DUMMYFUNCTION("""COMPUTED_VALUE"""),"6044")</f>
        <v>6044</v>
      </c>
      <c r="D1873" s="6" t="str">
        <f>IFERROR(__xludf.DUMMYFUNCTION("""COMPUTED_VALUE"""),"Siena")</f>
        <v>Siena</v>
      </c>
      <c r="E1873" s="6" t="str">
        <f>IFERROR(__xludf.DUMMYFUNCTION("""COMPUTED_VALUE"""),"")</f>
        <v/>
      </c>
      <c r="F1873" s="6" t="str">
        <f>IFERROR(__xludf.DUMMYFUNCTION("""COMPUTED_VALUE"""),"Fiorelli")</f>
        <v>Fiorelli</v>
      </c>
      <c r="G1873" s="6" t="str">
        <f>IFERROR(__xludf.DUMMYFUNCTION("""COMPUTED_VALUE"""),"12/15/2009")</f>
        <v>12/15/2009</v>
      </c>
      <c r="H1873" s="6" t="str">
        <f>IFERROR(__xludf.DUMMYFUNCTION("""COMPUTED_VALUE"""),"Other")</f>
        <v>Other</v>
      </c>
      <c r="I1873" s="6" t="str">
        <f>IFERROR(__xludf.DUMMYFUNCTION("""COMPUTED_VALUE"""),"High School")</f>
        <v>High School</v>
      </c>
      <c r="J1873" s="6" t="str">
        <f>IFERROR(__xludf.DUMMYFUNCTION("""COMPUTED_VALUE"""),"9")</f>
        <v>9</v>
      </c>
      <c r="K1873" s="6" t="str">
        <f>IFERROR(__xludf.DUMMYFUNCTION("""COMPUTED_VALUE"""),"siena.fiorelli@2hourlearning.com")</f>
        <v>siena.fiorelli@2hourlearning.com</v>
      </c>
      <c r="L1873" s="6" t="str">
        <f>IFERROR(__xludf.DUMMYFUNCTION("""COMPUTED_VALUE"""),"Irvington High School")</f>
        <v>Irvington High School</v>
      </c>
      <c r="M1873" s="6" t="str">
        <f>IFERROR(__xludf.DUMMYFUNCTION("""COMPUTED_VALUE"""),"")</f>
        <v/>
      </c>
      <c r="N1873" s="6" t="str">
        <f>IFERROR(__xludf.DUMMYFUNCTION("""COMPUTED_VALUE"""),"")</f>
        <v/>
      </c>
      <c r="O1873" s="87" t="str">
        <f>IFERROR(__xludf.DUMMYFUNCTION("""COMPUTED_VALUE"""),"https://drive.google.com/drive/folders/10T2cTQHqEJZqE-st6uFKPoI?usp=share_link")</f>
        <v>https://drive.google.com/drive/folders/10T2cTQHqEJZqE-st6uFKPoI?usp=share_link</v>
      </c>
      <c r="P1873" s="6" t="str">
        <f>IFERROR(__xludf.DUMMYFUNCTION("""COMPUTED_VALUE"""),"Siena Fiorelli")</f>
        <v>Siena Fiorelli</v>
      </c>
      <c r="Q1873" s="6" t="str">
        <f>IFERROR(__xludf.DUMMYFUNCTION("""COMPUTED_VALUE"""),"HS")</f>
        <v>HS</v>
      </c>
      <c r="R1873" s="6">
        <f>IFERROR(__xludf.DUMMYFUNCTION("""COMPUTED_VALUE"""),0.0)</f>
        <v>0</v>
      </c>
      <c r="S1873" s="6" t="str">
        <f>IFERROR(__xludf.DUMMYFUNCTION("""COMPUTED_VALUE""")," ")</f>
        <v> </v>
      </c>
      <c r="T1873" s="6" t="str">
        <f>IFERROR(__xludf.DUMMYFUNCTION("""COMPUTED_VALUE"""),"")</f>
        <v/>
      </c>
      <c r="U1873" s="6" t="str">
        <f>IFERROR(__xludf.DUMMYFUNCTION("""COMPUTED_VALUE"""),"9")</f>
        <v>9</v>
      </c>
      <c r="V1873" s="6" t="str">
        <f>IFERROR(__xludf.DUMMYFUNCTION("""COMPUTED_VALUE"""),"English")</f>
        <v>English</v>
      </c>
      <c r="W1873" s="6" t="str">
        <f>IFERROR(__xludf.DUMMYFUNCTION("""COMPUTED_VALUE"""),"[]")</f>
        <v>[]</v>
      </c>
      <c r="X1873" s="6" t="str">
        <f>IFERROR(__xludf.DUMMYFUNCTION("""COMPUTED_VALUE"""),"Enrolled")</f>
        <v>Enrolled</v>
      </c>
    </row>
    <row r="1874">
      <c r="A1874" s="6" t="str">
        <f>IFERROR(__xludf.DUMMYFUNCTION("""COMPUTED_VALUE"""),"018-6045")</f>
        <v>018-6045</v>
      </c>
      <c r="B1874" s="6" t="str">
        <f>IFERROR(__xludf.DUMMYFUNCTION("""COMPUTED_VALUE"""),"18")</f>
        <v>18</v>
      </c>
      <c r="C1874" s="6" t="str">
        <f>IFERROR(__xludf.DUMMYFUNCTION("""COMPUTED_VALUE"""),"6045")</f>
        <v>6045</v>
      </c>
      <c r="D1874" s="6" t="str">
        <f>IFERROR(__xludf.DUMMYFUNCTION("""COMPUTED_VALUE"""),"Sorosh")</f>
        <v>Sorosh</v>
      </c>
      <c r="E1874" s="6" t="str">
        <f>IFERROR(__xludf.DUMMYFUNCTION("""COMPUTED_VALUE"""),"")</f>
        <v/>
      </c>
      <c r="F1874" s="6" t="str">
        <f>IFERROR(__xludf.DUMMYFUNCTION("""COMPUTED_VALUE"""),"Hazeen")</f>
        <v>Hazeen</v>
      </c>
      <c r="G1874" s="6" t="str">
        <f>IFERROR(__xludf.DUMMYFUNCTION("""COMPUTED_VALUE"""),"12/15/2009")</f>
        <v>12/15/2009</v>
      </c>
      <c r="H1874" s="6" t="str">
        <f>IFERROR(__xludf.DUMMYFUNCTION("""COMPUTED_VALUE"""),"Other")</f>
        <v>Other</v>
      </c>
      <c r="I1874" s="6" t="str">
        <f>IFERROR(__xludf.DUMMYFUNCTION("""COMPUTED_VALUE"""),"High School")</f>
        <v>High School</v>
      </c>
      <c r="J1874" s="6" t="str">
        <f>IFERROR(__xludf.DUMMYFUNCTION("""COMPUTED_VALUE"""),"9")</f>
        <v>9</v>
      </c>
      <c r="K1874" s="6" t="str">
        <f>IFERROR(__xludf.DUMMYFUNCTION("""COMPUTED_VALUE"""),"sorosh.hazeen@2hourlearning.com")</f>
        <v>sorosh.hazeen@2hourlearning.com</v>
      </c>
      <c r="L1874" s="6" t="str">
        <f>IFERROR(__xludf.DUMMYFUNCTION("""COMPUTED_VALUE"""),"Irvington High School")</f>
        <v>Irvington High School</v>
      </c>
      <c r="M1874" s="6" t="str">
        <f>IFERROR(__xludf.DUMMYFUNCTION("""COMPUTED_VALUE"""),"")</f>
        <v/>
      </c>
      <c r="N1874" s="6" t="str">
        <f>IFERROR(__xludf.DUMMYFUNCTION("""COMPUTED_VALUE"""),"")</f>
        <v/>
      </c>
      <c r="O1874" s="87" t="str">
        <f>IFERROR(__xludf.DUMMYFUNCTION("""COMPUTED_VALUE"""),"https://drive.google.com/drive/folders/10T2cTQHqEJZqE-st6uFKPoI?usp=share_link")</f>
        <v>https://drive.google.com/drive/folders/10T2cTQHqEJZqE-st6uFKPoI?usp=share_link</v>
      </c>
      <c r="P1874" s="6" t="str">
        <f>IFERROR(__xludf.DUMMYFUNCTION("""COMPUTED_VALUE"""),"Sorosh Hazeen")</f>
        <v>Sorosh Hazeen</v>
      </c>
      <c r="Q1874" s="6" t="str">
        <f>IFERROR(__xludf.DUMMYFUNCTION("""COMPUTED_VALUE"""),"HS")</f>
        <v>HS</v>
      </c>
      <c r="R1874" s="6">
        <f>IFERROR(__xludf.DUMMYFUNCTION("""COMPUTED_VALUE"""),0.0)</f>
        <v>0</v>
      </c>
      <c r="S1874" s="6" t="str">
        <f>IFERROR(__xludf.DUMMYFUNCTION("""COMPUTED_VALUE""")," ")</f>
        <v> </v>
      </c>
      <c r="T1874" s="6" t="str">
        <f>IFERROR(__xludf.DUMMYFUNCTION("""COMPUTED_VALUE"""),"")</f>
        <v/>
      </c>
      <c r="U1874" s="6" t="str">
        <f>IFERROR(__xludf.DUMMYFUNCTION("""COMPUTED_VALUE"""),"9")</f>
        <v>9</v>
      </c>
      <c r="V1874" s="6" t="str">
        <f>IFERROR(__xludf.DUMMYFUNCTION("""COMPUTED_VALUE"""),"English")</f>
        <v>English</v>
      </c>
      <c r="W1874" s="6" t="str">
        <f>IFERROR(__xludf.DUMMYFUNCTION("""COMPUTED_VALUE"""),"[]")</f>
        <v>[]</v>
      </c>
      <c r="X1874" s="6" t="str">
        <f>IFERROR(__xludf.DUMMYFUNCTION("""COMPUTED_VALUE"""),"Enrolled")</f>
        <v>Enrolled</v>
      </c>
    </row>
    <row r="1875">
      <c r="A1875" s="6" t="str">
        <f>IFERROR(__xludf.DUMMYFUNCTION("""COMPUTED_VALUE"""),"018-6046")</f>
        <v>018-6046</v>
      </c>
      <c r="B1875" s="6" t="str">
        <f>IFERROR(__xludf.DUMMYFUNCTION("""COMPUTED_VALUE"""),"18")</f>
        <v>18</v>
      </c>
      <c r="C1875" s="6" t="str">
        <f>IFERROR(__xludf.DUMMYFUNCTION("""COMPUTED_VALUE"""),"6046")</f>
        <v>6046</v>
      </c>
      <c r="D1875" s="6" t="str">
        <f>IFERROR(__xludf.DUMMYFUNCTION("""COMPUTED_VALUE"""),"Sreya")</f>
        <v>Sreya</v>
      </c>
      <c r="E1875" s="6" t="str">
        <f>IFERROR(__xludf.DUMMYFUNCTION("""COMPUTED_VALUE"""),"")</f>
        <v/>
      </c>
      <c r="F1875" s="6" t="str">
        <f>IFERROR(__xludf.DUMMYFUNCTION("""COMPUTED_VALUE"""),"Purushothaman")</f>
        <v>Purushothaman</v>
      </c>
      <c r="G1875" s="6" t="str">
        <f>IFERROR(__xludf.DUMMYFUNCTION("""COMPUTED_VALUE"""),"12/15/2009")</f>
        <v>12/15/2009</v>
      </c>
      <c r="H1875" s="6" t="str">
        <f>IFERROR(__xludf.DUMMYFUNCTION("""COMPUTED_VALUE"""),"Other")</f>
        <v>Other</v>
      </c>
      <c r="I1875" s="6" t="str">
        <f>IFERROR(__xludf.DUMMYFUNCTION("""COMPUTED_VALUE"""),"High School")</f>
        <v>High School</v>
      </c>
      <c r="J1875" s="6" t="str">
        <f>IFERROR(__xludf.DUMMYFUNCTION("""COMPUTED_VALUE"""),"9")</f>
        <v>9</v>
      </c>
      <c r="K1875" s="6" t="str">
        <f>IFERROR(__xludf.DUMMYFUNCTION("""COMPUTED_VALUE"""),"sreya.purushothaman@2hourlearning.com")</f>
        <v>sreya.purushothaman@2hourlearning.com</v>
      </c>
      <c r="L1875" s="6" t="str">
        <f>IFERROR(__xludf.DUMMYFUNCTION("""COMPUTED_VALUE"""),"Irvington High School")</f>
        <v>Irvington High School</v>
      </c>
      <c r="M1875" s="6" t="str">
        <f>IFERROR(__xludf.DUMMYFUNCTION("""COMPUTED_VALUE"""),"")</f>
        <v/>
      </c>
      <c r="N1875" s="6" t="str">
        <f>IFERROR(__xludf.DUMMYFUNCTION("""COMPUTED_VALUE"""),"")</f>
        <v/>
      </c>
      <c r="O1875" s="87" t="str">
        <f>IFERROR(__xludf.DUMMYFUNCTION("""COMPUTED_VALUE"""),"https://drive.google.com/drive/folders/10T2cTQHqEJZqE-st6uFKPoI?usp=share_link")</f>
        <v>https://drive.google.com/drive/folders/10T2cTQHqEJZqE-st6uFKPoI?usp=share_link</v>
      </c>
      <c r="P1875" s="6" t="str">
        <f>IFERROR(__xludf.DUMMYFUNCTION("""COMPUTED_VALUE"""),"Sreya Purushothaman")</f>
        <v>Sreya Purushothaman</v>
      </c>
      <c r="Q1875" s="6" t="str">
        <f>IFERROR(__xludf.DUMMYFUNCTION("""COMPUTED_VALUE"""),"HS")</f>
        <v>HS</v>
      </c>
      <c r="R1875" s="6">
        <f>IFERROR(__xludf.DUMMYFUNCTION("""COMPUTED_VALUE"""),0.0)</f>
        <v>0</v>
      </c>
      <c r="S1875" s="6" t="str">
        <f>IFERROR(__xludf.DUMMYFUNCTION("""COMPUTED_VALUE""")," ")</f>
        <v> </v>
      </c>
      <c r="T1875" s="6" t="str">
        <f>IFERROR(__xludf.DUMMYFUNCTION("""COMPUTED_VALUE"""),"")</f>
        <v/>
      </c>
      <c r="U1875" s="6" t="str">
        <f>IFERROR(__xludf.DUMMYFUNCTION("""COMPUTED_VALUE"""),"9")</f>
        <v>9</v>
      </c>
      <c r="V1875" s="6" t="str">
        <f>IFERROR(__xludf.DUMMYFUNCTION("""COMPUTED_VALUE"""),"English")</f>
        <v>English</v>
      </c>
      <c r="W1875" s="6" t="str">
        <f>IFERROR(__xludf.DUMMYFUNCTION("""COMPUTED_VALUE"""),"[]")</f>
        <v>[]</v>
      </c>
      <c r="X1875" s="6" t="str">
        <f>IFERROR(__xludf.DUMMYFUNCTION("""COMPUTED_VALUE"""),"Enrolled")</f>
        <v>Enrolled</v>
      </c>
    </row>
    <row r="1876">
      <c r="A1876" s="6" t="str">
        <f>IFERROR(__xludf.DUMMYFUNCTION("""COMPUTED_VALUE"""),"018-6047")</f>
        <v>018-6047</v>
      </c>
      <c r="B1876" s="6" t="str">
        <f>IFERROR(__xludf.DUMMYFUNCTION("""COMPUTED_VALUE"""),"18")</f>
        <v>18</v>
      </c>
      <c r="C1876" s="6" t="str">
        <f>IFERROR(__xludf.DUMMYFUNCTION("""COMPUTED_VALUE"""),"6047")</f>
        <v>6047</v>
      </c>
      <c r="D1876" s="6" t="str">
        <f>IFERROR(__xludf.DUMMYFUNCTION("""COMPUTED_VALUE"""),"Tyler")</f>
        <v>Tyler</v>
      </c>
      <c r="E1876" s="6" t="str">
        <f>IFERROR(__xludf.DUMMYFUNCTION("""COMPUTED_VALUE"""),"")</f>
        <v/>
      </c>
      <c r="F1876" s="6" t="str">
        <f>IFERROR(__xludf.DUMMYFUNCTION("""COMPUTED_VALUE"""),"Landre")</f>
        <v>Landre</v>
      </c>
      <c r="G1876" s="6" t="str">
        <f>IFERROR(__xludf.DUMMYFUNCTION("""COMPUTED_VALUE"""),"12/15/2009")</f>
        <v>12/15/2009</v>
      </c>
      <c r="H1876" s="6" t="str">
        <f>IFERROR(__xludf.DUMMYFUNCTION("""COMPUTED_VALUE"""),"Other")</f>
        <v>Other</v>
      </c>
      <c r="I1876" s="6" t="str">
        <f>IFERROR(__xludf.DUMMYFUNCTION("""COMPUTED_VALUE"""),"High School")</f>
        <v>High School</v>
      </c>
      <c r="J1876" s="6" t="str">
        <f>IFERROR(__xludf.DUMMYFUNCTION("""COMPUTED_VALUE"""),"9")</f>
        <v>9</v>
      </c>
      <c r="K1876" s="6" t="str">
        <f>IFERROR(__xludf.DUMMYFUNCTION("""COMPUTED_VALUE"""),"tyler.landre@2hourlearning.com")</f>
        <v>tyler.landre@2hourlearning.com</v>
      </c>
      <c r="L1876" s="6" t="str">
        <f>IFERROR(__xludf.DUMMYFUNCTION("""COMPUTED_VALUE"""),"Irvington High School")</f>
        <v>Irvington High School</v>
      </c>
      <c r="M1876" s="6" t="str">
        <f>IFERROR(__xludf.DUMMYFUNCTION("""COMPUTED_VALUE"""),"")</f>
        <v/>
      </c>
      <c r="N1876" s="6" t="str">
        <f>IFERROR(__xludf.DUMMYFUNCTION("""COMPUTED_VALUE"""),"")</f>
        <v/>
      </c>
      <c r="O1876" s="87" t="str">
        <f>IFERROR(__xludf.DUMMYFUNCTION("""COMPUTED_VALUE"""),"https://drive.google.com/drive/folders/10T2cTQHqEJZqE-st6uFKPoI?usp=share_link")</f>
        <v>https://drive.google.com/drive/folders/10T2cTQHqEJZqE-st6uFKPoI?usp=share_link</v>
      </c>
      <c r="P1876" s="6" t="str">
        <f>IFERROR(__xludf.DUMMYFUNCTION("""COMPUTED_VALUE"""),"Tyler Landre")</f>
        <v>Tyler Landre</v>
      </c>
      <c r="Q1876" s="6" t="str">
        <f>IFERROR(__xludf.DUMMYFUNCTION("""COMPUTED_VALUE"""),"HS")</f>
        <v>HS</v>
      </c>
      <c r="R1876" s="6">
        <f>IFERROR(__xludf.DUMMYFUNCTION("""COMPUTED_VALUE"""),0.0)</f>
        <v>0</v>
      </c>
      <c r="S1876" s="6" t="str">
        <f>IFERROR(__xludf.DUMMYFUNCTION("""COMPUTED_VALUE""")," ")</f>
        <v> </v>
      </c>
      <c r="T1876" s="6" t="str">
        <f>IFERROR(__xludf.DUMMYFUNCTION("""COMPUTED_VALUE"""),"")</f>
        <v/>
      </c>
      <c r="U1876" s="6" t="str">
        <f>IFERROR(__xludf.DUMMYFUNCTION("""COMPUTED_VALUE"""),"9")</f>
        <v>9</v>
      </c>
      <c r="V1876" s="6" t="str">
        <f>IFERROR(__xludf.DUMMYFUNCTION("""COMPUTED_VALUE"""),"English")</f>
        <v>English</v>
      </c>
      <c r="W1876" s="6" t="str">
        <f>IFERROR(__xludf.DUMMYFUNCTION("""COMPUTED_VALUE"""),"[]")</f>
        <v>[]</v>
      </c>
      <c r="X1876" s="6" t="str">
        <f>IFERROR(__xludf.DUMMYFUNCTION("""COMPUTED_VALUE"""),"Enrolled")</f>
        <v>Enrolled</v>
      </c>
    </row>
    <row r="1877">
      <c r="A1877" s="6" t="str">
        <f>IFERROR(__xludf.DUMMYFUNCTION("""COMPUTED_VALUE"""),"018-6048")</f>
        <v>018-6048</v>
      </c>
      <c r="B1877" s="6" t="str">
        <f>IFERROR(__xludf.DUMMYFUNCTION("""COMPUTED_VALUE"""),"18")</f>
        <v>18</v>
      </c>
      <c r="C1877" s="6" t="str">
        <f>IFERROR(__xludf.DUMMYFUNCTION("""COMPUTED_VALUE"""),"6048")</f>
        <v>6048</v>
      </c>
      <c r="D1877" s="6" t="str">
        <f>IFERROR(__xludf.DUMMYFUNCTION("""COMPUTED_VALUE"""),"Venkata Srinidhi")</f>
        <v>Venkata Srinidhi</v>
      </c>
      <c r="E1877" s="6" t="str">
        <f>IFERROR(__xludf.DUMMYFUNCTION("""COMPUTED_VALUE"""),"")</f>
        <v/>
      </c>
      <c r="F1877" s="6" t="str">
        <f>IFERROR(__xludf.DUMMYFUNCTION("""COMPUTED_VALUE"""),"Kodamasimham")</f>
        <v>Kodamasimham</v>
      </c>
      <c r="G1877" s="6" t="str">
        <f>IFERROR(__xludf.DUMMYFUNCTION("""COMPUTED_VALUE"""),"12/15/2009")</f>
        <v>12/15/2009</v>
      </c>
      <c r="H1877" s="6" t="str">
        <f>IFERROR(__xludf.DUMMYFUNCTION("""COMPUTED_VALUE"""),"Other")</f>
        <v>Other</v>
      </c>
      <c r="I1877" s="6" t="str">
        <f>IFERROR(__xludf.DUMMYFUNCTION("""COMPUTED_VALUE"""),"High School")</f>
        <v>High School</v>
      </c>
      <c r="J1877" s="6" t="str">
        <f>IFERROR(__xludf.DUMMYFUNCTION("""COMPUTED_VALUE"""),"9")</f>
        <v>9</v>
      </c>
      <c r="K1877" s="6" t="str">
        <f>IFERROR(__xludf.DUMMYFUNCTION("""COMPUTED_VALUE"""),"venkata.srinidhi.kodamasimham@2hourlearning.com")</f>
        <v>venkata.srinidhi.kodamasimham@2hourlearning.com</v>
      </c>
      <c r="L1877" s="6" t="str">
        <f>IFERROR(__xludf.DUMMYFUNCTION("""COMPUTED_VALUE"""),"Irvington High School")</f>
        <v>Irvington High School</v>
      </c>
      <c r="M1877" s="6" t="str">
        <f>IFERROR(__xludf.DUMMYFUNCTION("""COMPUTED_VALUE"""),"")</f>
        <v/>
      </c>
      <c r="N1877" s="6" t="str">
        <f>IFERROR(__xludf.DUMMYFUNCTION("""COMPUTED_VALUE"""),"")</f>
        <v/>
      </c>
      <c r="O1877" s="87" t="str">
        <f>IFERROR(__xludf.DUMMYFUNCTION("""COMPUTED_VALUE"""),"https://drive.google.com/drive/folders/10T2cTQHqEJZqE-st6uFKPoI?usp=share_link")</f>
        <v>https://drive.google.com/drive/folders/10T2cTQHqEJZqE-st6uFKPoI?usp=share_link</v>
      </c>
      <c r="P1877" s="6" t="str">
        <f>IFERROR(__xludf.DUMMYFUNCTION("""COMPUTED_VALUE"""),"Venkata Srinidhi Kodamasimham")</f>
        <v>Venkata Srinidhi Kodamasimham</v>
      </c>
      <c r="Q1877" s="6" t="str">
        <f>IFERROR(__xludf.DUMMYFUNCTION("""COMPUTED_VALUE"""),"HS")</f>
        <v>HS</v>
      </c>
      <c r="R1877" s="6">
        <f>IFERROR(__xludf.DUMMYFUNCTION("""COMPUTED_VALUE"""),0.0)</f>
        <v>0</v>
      </c>
      <c r="S1877" s="6" t="str">
        <f>IFERROR(__xludf.DUMMYFUNCTION("""COMPUTED_VALUE""")," ")</f>
        <v> </v>
      </c>
      <c r="T1877" s="6" t="str">
        <f>IFERROR(__xludf.DUMMYFUNCTION("""COMPUTED_VALUE"""),"")</f>
        <v/>
      </c>
      <c r="U1877" s="6" t="str">
        <f>IFERROR(__xludf.DUMMYFUNCTION("""COMPUTED_VALUE"""),"9")</f>
        <v>9</v>
      </c>
      <c r="V1877" s="6" t="str">
        <f>IFERROR(__xludf.DUMMYFUNCTION("""COMPUTED_VALUE"""),"English")</f>
        <v>English</v>
      </c>
      <c r="W1877" s="6" t="str">
        <f>IFERROR(__xludf.DUMMYFUNCTION("""COMPUTED_VALUE"""),"[]")</f>
        <v>[]</v>
      </c>
      <c r="X1877" s="6" t="str">
        <f>IFERROR(__xludf.DUMMYFUNCTION("""COMPUTED_VALUE"""),"Enrolled")</f>
        <v>Enrolled</v>
      </c>
    </row>
    <row r="1878">
      <c r="A1878" s="6" t="str">
        <f>IFERROR(__xludf.DUMMYFUNCTION("""COMPUTED_VALUE"""),"018-6049")</f>
        <v>018-6049</v>
      </c>
      <c r="B1878" s="6" t="str">
        <f>IFERROR(__xludf.DUMMYFUNCTION("""COMPUTED_VALUE"""),"18")</f>
        <v>18</v>
      </c>
      <c r="C1878" s="6" t="str">
        <f>IFERROR(__xludf.DUMMYFUNCTION("""COMPUTED_VALUE"""),"6049")</f>
        <v>6049</v>
      </c>
      <c r="D1878" s="6" t="str">
        <f>IFERROR(__xludf.DUMMYFUNCTION("""COMPUTED_VALUE"""),"Violet")</f>
        <v>Violet</v>
      </c>
      <c r="E1878" s="6" t="str">
        <f>IFERROR(__xludf.DUMMYFUNCTION("""COMPUTED_VALUE"""),"")</f>
        <v/>
      </c>
      <c r="F1878" s="6" t="str">
        <f>IFERROR(__xludf.DUMMYFUNCTION("""COMPUTED_VALUE"""),"Caples")</f>
        <v>Caples</v>
      </c>
      <c r="G1878" s="6" t="str">
        <f>IFERROR(__xludf.DUMMYFUNCTION("""COMPUTED_VALUE"""),"12/15/2009")</f>
        <v>12/15/2009</v>
      </c>
      <c r="H1878" s="6" t="str">
        <f>IFERROR(__xludf.DUMMYFUNCTION("""COMPUTED_VALUE"""),"Other")</f>
        <v>Other</v>
      </c>
      <c r="I1878" s="6" t="str">
        <f>IFERROR(__xludf.DUMMYFUNCTION("""COMPUTED_VALUE"""),"High School")</f>
        <v>High School</v>
      </c>
      <c r="J1878" s="6" t="str">
        <f>IFERROR(__xludf.DUMMYFUNCTION("""COMPUTED_VALUE"""),"9")</f>
        <v>9</v>
      </c>
      <c r="K1878" s="6" t="str">
        <f>IFERROR(__xludf.DUMMYFUNCTION("""COMPUTED_VALUE"""),"violet.caples@2hourlearning.com")</f>
        <v>violet.caples@2hourlearning.com</v>
      </c>
      <c r="L1878" s="6" t="str">
        <f>IFERROR(__xludf.DUMMYFUNCTION("""COMPUTED_VALUE"""),"Irvington High School")</f>
        <v>Irvington High School</v>
      </c>
      <c r="M1878" s="6" t="str">
        <f>IFERROR(__xludf.DUMMYFUNCTION("""COMPUTED_VALUE"""),"")</f>
        <v/>
      </c>
      <c r="N1878" s="6" t="str">
        <f>IFERROR(__xludf.DUMMYFUNCTION("""COMPUTED_VALUE"""),"")</f>
        <v/>
      </c>
      <c r="O1878" s="87" t="str">
        <f>IFERROR(__xludf.DUMMYFUNCTION("""COMPUTED_VALUE"""),"https://drive.google.com/drive/folders/10T2cTQHqEJZqE-st6uFKPoI?usp=share_link")</f>
        <v>https://drive.google.com/drive/folders/10T2cTQHqEJZqE-st6uFKPoI?usp=share_link</v>
      </c>
      <c r="P1878" s="6" t="str">
        <f>IFERROR(__xludf.DUMMYFUNCTION("""COMPUTED_VALUE"""),"Violet Caples")</f>
        <v>Violet Caples</v>
      </c>
      <c r="Q1878" s="6" t="str">
        <f>IFERROR(__xludf.DUMMYFUNCTION("""COMPUTED_VALUE"""),"HS")</f>
        <v>HS</v>
      </c>
      <c r="R1878" s="6">
        <f>IFERROR(__xludf.DUMMYFUNCTION("""COMPUTED_VALUE"""),0.0)</f>
        <v>0</v>
      </c>
      <c r="S1878" s="6" t="str">
        <f>IFERROR(__xludf.DUMMYFUNCTION("""COMPUTED_VALUE""")," ")</f>
        <v> </v>
      </c>
      <c r="T1878" s="6" t="str">
        <f>IFERROR(__xludf.DUMMYFUNCTION("""COMPUTED_VALUE"""),"")</f>
        <v/>
      </c>
      <c r="U1878" s="6" t="str">
        <f>IFERROR(__xludf.DUMMYFUNCTION("""COMPUTED_VALUE"""),"9")</f>
        <v>9</v>
      </c>
      <c r="V1878" s="6" t="str">
        <f>IFERROR(__xludf.DUMMYFUNCTION("""COMPUTED_VALUE"""),"English")</f>
        <v>English</v>
      </c>
      <c r="W1878" s="6" t="str">
        <f>IFERROR(__xludf.DUMMYFUNCTION("""COMPUTED_VALUE"""),"[]")</f>
        <v>[]</v>
      </c>
      <c r="X1878" s="6" t="str">
        <f>IFERROR(__xludf.DUMMYFUNCTION("""COMPUTED_VALUE"""),"Enrolled")</f>
        <v>Enrolled</v>
      </c>
    </row>
    <row r="1879">
      <c r="A1879" s="6" t="str">
        <f>IFERROR(__xludf.DUMMYFUNCTION("""COMPUTED_VALUE"""),"018-6050")</f>
        <v>018-6050</v>
      </c>
      <c r="B1879" s="6" t="str">
        <f>IFERROR(__xludf.DUMMYFUNCTION("""COMPUTED_VALUE"""),"18")</f>
        <v>18</v>
      </c>
      <c r="C1879" s="6" t="str">
        <f>IFERROR(__xludf.DUMMYFUNCTION("""COMPUTED_VALUE"""),"6050")</f>
        <v>6050</v>
      </c>
      <c r="D1879" s="6" t="str">
        <f>IFERROR(__xludf.DUMMYFUNCTION("""COMPUTED_VALUE"""),"Wayne Ashton")</f>
        <v>Wayne Ashton</v>
      </c>
      <c r="E1879" s="6" t="str">
        <f>IFERROR(__xludf.DUMMYFUNCTION("""COMPUTED_VALUE"""),"")</f>
        <v/>
      </c>
      <c r="F1879" s="6" t="str">
        <f>IFERROR(__xludf.DUMMYFUNCTION("""COMPUTED_VALUE"""),"Mallari")</f>
        <v>Mallari</v>
      </c>
      <c r="G1879" s="6" t="str">
        <f>IFERROR(__xludf.DUMMYFUNCTION("""COMPUTED_VALUE"""),"12/15/2009")</f>
        <v>12/15/2009</v>
      </c>
      <c r="H1879" s="6" t="str">
        <f>IFERROR(__xludf.DUMMYFUNCTION("""COMPUTED_VALUE"""),"Other")</f>
        <v>Other</v>
      </c>
      <c r="I1879" s="6" t="str">
        <f>IFERROR(__xludf.DUMMYFUNCTION("""COMPUTED_VALUE"""),"High School")</f>
        <v>High School</v>
      </c>
      <c r="J1879" s="6" t="str">
        <f>IFERROR(__xludf.DUMMYFUNCTION("""COMPUTED_VALUE"""),"9")</f>
        <v>9</v>
      </c>
      <c r="K1879" s="6" t="str">
        <f>IFERROR(__xludf.DUMMYFUNCTION("""COMPUTED_VALUE"""),"wayne.ashton.mallari@2hourlearning.com")</f>
        <v>wayne.ashton.mallari@2hourlearning.com</v>
      </c>
      <c r="L1879" s="6" t="str">
        <f>IFERROR(__xludf.DUMMYFUNCTION("""COMPUTED_VALUE"""),"Irvington High School")</f>
        <v>Irvington High School</v>
      </c>
      <c r="M1879" s="6" t="str">
        <f>IFERROR(__xludf.DUMMYFUNCTION("""COMPUTED_VALUE"""),"")</f>
        <v/>
      </c>
      <c r="N1879" s="6" t="str">
        <f>IFERROR(__xludf.DUMMYFUNCTION("""COMPUTED_VALUE"""),"")</f>
        <v/>
      </c>
      <c r="O1879" s="87" t="str">
        <f>IFERROR(__xludf.DUMMYFUNCTION("""COMPUTED_VALUE"""),"https://drive.google.com/drive/folders/10T2cTQHqEJZqE-st6uFKPoI?usp=share_link")</f>
        <v>https://drive.google.com/drive/folders/10T2cTQHqEJZqE-st6uFKPoI?usp=share_link</v>
      </c>
      <c r="P1879" s="6" t="str">
        <f>IFERROR(__xludf.DUMMYFUNCTION("""COMPUTED_VALUE"""),"Wayne Ashton Mallari")</f>
        <v>Wayne Ashton Mallari</v>
      </c>
      <c r="Q1879" s="6" t="str">
        <f>IFERROR(__xludf.DUMMYFUNCTION("""COMPUTED_VALUE"""),"HS")</f>
        <v>HS</v>
      </c>
      <c r="R1879" s="6">
        <f>IFERROR(__xludf.DUMMYFUNCTION("""COMPUTED_VALUE"""),0.0)</f>
        <v>0</v>
      </c>
      <c r="S1879" s="6" t="str">
        <f>IFERROR(__xludf.DUMMYFUNCTION("""COMPUTED_VALUE""")," ")</f>
        <v> </v>
      </c>
      <c r="T1879" s="6" t="str">
        <f>IFERROR(__xludf.DUMMYFUNCTION("""COMPUTED_VALUE"""),"")</f>
        <v/>
      </c>
      <c r="U1879" s="6" t="str">
        <f>IFERROR(__xludf.DUMMYFUNCTION("""COMPUTED_VALUE"""),"9")</f>
        <v>9</v>
      </c>
      <c r="V1879" s="6" t="str">
        <f>IFERROR(__xludf.DUMMYFUNCTION("""COMPUTED_VALUE"""),"English")</f>
        <v>English</v>
      </c>
      <c r="W1879" s="6" t="str">
        <f>IFERROR(__xludf.DUMMYFUNCTION("""COMPUTED_VALUE"""),"[]")</f>
        <v>[]</v>
      </c>
      <c r="X1879" s="6" t="str">
        <f>IFERROR(__xludf.DUMMYFUNCTION("""COMPUTED_VALUE"""),"Enrolled")</f>
        <v>Enrolled</v>
      </c>
    </row>
    <row r="1880">
      <c r="A1880" s="6" t="str">
        <f>IFERROR(__xludf.DUMMYFUNCTION("""COMPUTED_VALUE"""),"018-6051")</f>
        <v>018-6051</v>
      </c>
      <c r="B1880" s="6" t="str">
        <f>IFERROR(__xludf.DUMMYFUNCTION("""COMPUTED_VALUE"""),"18")</f>
        <v>18</v>
      </c>
      <c r="C1880" s="6" t="str">
        <f>IFERROR(__xludf.DUMMYFUNCTION("""COMPUTED_VALUE"""),"6051")</f>
        <v>6051</v>
      </c>
      <c r="D1880" s="6" t="str">
        <f>IFERROR(__xludf.DUMMYFUNCTION("""COMPUTED_VALUE"""),"Zakir")</f>
        <v>Zakir</v>
      </c>
      <c r="E1880" s="6" t="str">
        <f>IFERROR(__xludf.DUMMYFUNCTION("""COMPUTED_VALUE"""),"")</f>
        <v/>
      </c>
      <c r="F1880" s="6" t="str">
        <f>IFERROR(__xludf.DUMMYFUNCTION("""COMPUTED_VALUE"""),"Hashim")</f>
        <v>Hashim</v>
      </c>
      <c r="G1880" s="6" t="str">
        <f>IFERROR(__xludf.DUMMYFUNCTION("""COMPUTED_VALUE"""),"12/15/2009")</f>
        <v>12/15/2009</v>
      </c>
      <c r="H1880" s="6" t="str">
        <f>IFERROR(__xludf.DUMMYFUNCTION("""COMPUTED_VALUE"""),"Other")</f>
        <v>Other</v>
      </c>
      <c r="I1880" s="6" t="str">
        <f>IFERROR(__xludf.DUMMYFUNCTION("""COMPUTED_VALUE"""),"High School")</f>
        <v>High School</v>
      </c>
      <c r="J1880" s="6" t="str">
        <f>IFERROR(__xludf.DUMMYFUNCTION("""COMPUTED_VALUE"""),"9")</f>
        <v>9</v>
      </c>
      <c r="K1880" s="6" t="str">
        <f>IFERROR(__xludf.DUMMYFUNCTION("""COMPUTED_VALUE"""),"zakir.hashim@2hourlearning.com")</f>
        <v>zakir.hashim@2hourlearning.com</v>
      </c>
      <c r="L1880" s="6" t="str">
        <f>IFERROR(__xludf.DUMMYFUNCTION("""COMPUTED_VALUE"""),"Irvington High School")</f>
        <v>Irvington High School</v>
      </c>
      <c r="M1880" s="6" t="str">
        <f>IFERROR(__xludf.DUMMYFUNCTION("""COMPUTED_VALUE"""),"")</f>
        <v/>
      </c>
      <c r="N1880" s="6" t="str">
        <f>IFERROR(__xludf.DUMMYFUNCTION("""COMPUTED_VALUE"""),"")</f>
        <v/>
      </c>
      <c r="O1880" s="87" t="str">
        <f>IFERROR(__xludf.DUMMYFUNCTION("""COMPUTED_VALUE"""),"https://drive.google.com/drive/folders/10T2cTQHqEJZqE-st6uFKPoI?usp=share_link")</f>
        <v>https://drive.google.com/drive/folders/10T2cTQHqEJZqE-st6uFKPoI?usp=share_link</v>
      </c>
      <c r="P1880" s="6" t="str">
        <f>IFERROR(__xludf.DUMMYFUNCTION("""COMPUTED_VALUE"""),"Zakir Hashim")</f>
        <v>Zakir Hashim</v>
      </c>
      <c r="Q1880" s="6" t="str">
        <f>IFERROR(__xludf.DUMMYFUNCTION("""COMPUTED_VALUE"""),"HS")</f>
        <v>HS</v>
      </c>
      <c r="R1880" s="6">
        <f>IFERROR(__xludf.DUMMYFUNCTION("""COMPUTED_VALUE"""),0.0)</f>
        <v>0</v>
      </c>
      <c r="S1880" s="6" t="str">
        <f>IFERROR(__xludf.DUMMYFUNCTION("""COMPUTED_VALUE""")," ")</f>
        <v> </v>
      </c>
      <c r="T1880" s="6" t="str">
        <f>IFERROR(__xludf.DUMMYFUNCTION("""COMPUTED_VALUE"""),"")</f>
        <v/>
      </c>
      <c r="U1880" s="6" t="str">
        <f>IFERROR(__xludf.DUMMYFUNCTION("""COMPUTED_VALUE"""),"9")</f>
        <v>9</v>
      </c>
      <c r="V1880" s="6" t="str">
        <f>IFERROR(__xludf.DUMMYFUNCTION("""COMPUTED_VALUE"""),"English")</f>
        <v>English</v>
      </c>
      <c r="W1880" s="6" t="str">
        <f>IFERROR(__xludf.DUMMYFUNCTION("""COMPUTED_VALUE"""),"[]")</f>
        <v>[]</v>
      </c>
      <c r="X1880" s="6" t="str">
        <f>IFERROR(__xludf.DUMMYFUNCTION("""COMPUTED_VALUE"""),"Enrolled")</f>
        <v>Enrolled</v>
      </c>
    </row>
    <row r="1881">
      <c r="A1881" s="6" t="str">
        <f>IFERROR(__xludf.DUMMYFUNCTION("""COMPUTED_VALUE"""),"018-6052")</f>
        <v>018-6052</v>
      </c>
      <c r="B1881" s="6" t="str">
        <f>IFERROR(__xludf.DUMMYFUNCTION("""COMPUTED_VALUE"""),"18")</f>
        <v>18</v>
      </c>
      <c r="C1881" s="6" t="str">
        <f>IFERROR(__xludf.DUMMYFUNCTION("""COMPUTED_VALUE"""),"6052")</f>
        <v>6052</v>
      </c>
      <c r="D1881" s="6" t="str">
        <f>IFERROR(__xludf.DUMMYFUNCTION("""COMPUTED_VALUE"""),"Zoha")</f>
        <v>Zoha</v>
      </c>
      <c r="E1881" s="6" t="str">
        <f>IFERROR(__xludf.DUMMYFUNCTION("""COMPUTED_VALUE"""),"")</f>
        <v/>
      </c>
      <c r="F1881" s="6" t="str">
        <f>IFERROR(__xludf.DUMMYFUNCTION("""COMPUTED_VALUE"""),"Shaikh")</f>
        <v>Shaikh</v>
      </c>
      <c r="G1881" s="6" t="str">
        <f>IFERROR(__xludf.DUMMYFUNCTION("""COMPUTED_VALUE"""),"12/15/2009")</f>
        <v>12/15/2009</v>
      </c>
      <c r="H1881" s="6" t="str">
        <f>IFERROR(__xludf.DUMMYFUNCTION("""COMPUTED_VALUE"""),"Other")</f>
        <v>Other</v>
      </c>
      <c r="I1881" s="6" t="str">
        <f>IFERROR(__xludf.DUMMYFUNCTION("""COMPUTED_VALUE"""),"High School")</f>
        <v>High School</v>
      </c>
      <c r="J1881" s="6" t="str">
        <f>IFERROR(__xludf.DUMMYFUNCTION("""COMPUTED_VALUE"""),"9")</f>
        <v>9</v>
      </c>
      <c r="K1881" s="6" t="str">
        <f>IFERROR(__xludf.DUMMYFUNCTION("""COMPUTED_VALUE"""),"zoha.shaikh@2hourlearning.com")</f>
        <v>zoha.shaikh@2hourlearning.com</v>
      </c>
      <c r="L1881" s="6" t="str">
        <f>IFERROR(__xludf.DUMMYFUNCTION("""COMPUTED_VALUE"""),"Irvington High School")</f>
        <v>Irvington High School</v>
      </c>
      <c r="M1881" s="6" t="str">
        <f>IFERROR(__xludf.DUMMYFUNCTION("""COMPUTED_VALUE"""),"")</f>
        <v/>
      </c>
      <c r="N1881" s="6" t="str">
        <f>IFERROR(__xludf.DUMMYFUNCTION("""COMPUTED_VALUE"""),"")</f>
        <v/>
      </c>
      <c r="O1881" s="87" t="str">
        <f>IFERROR(__xludf.DUMMYFUNCTION("""COMPUTED_VALUE"""),"https://drive.google.com/drive/folders/10T2cTQHqEJZqE-st6uFKPoI?usp=share_link")</f>
        <v>https://drive.google.com/drive/folders/10T2cTQHqEJZqE-st6uFKPoI?usp=share_link</v>
      </c>
      <c r="P1881" s="6" t="str">
        <f>IFERROR(__xludf.DUMMYFUNCTION("""COMPUTED_VALUE"""),"Zoha Shaikh")</f>
        <v>Zoha Shaikh</v>
      </c>
      <c r="Q1881" s="6" t="str">
        <f>IFERROR(__xludf.DUMMYFUNCTION("""COMPUTED_VALUE"""),"HS")</f>
        <v>HS</v>
      </c>
      <c r="R1881" s="6">
        <f>IFERROR(__xludf.DUMMYFUNCTION("""COMPUTED_VALUE"""),0.0)</f>
        <v>0</v>
      </c>
      <c r="S1881" s="6" t="str">
        <f>IFERROR(__xludf.DUMMYFUNCTION("""COMPUTED_VALUE""")," ")</f>
        <v> </v>
      </c>
      <c r="T1881" s="6" t="str">
        <f>IFERROR(__xludf.DUMMYFUNCTION("""COMPUTED_VALUE"""),"")</f>
        <v/>
      </c>
      <c r="U1881" s="6" t="str">
        <f>IFERROR(__xludf.DUMMYFUNCTION("""COMPUTED_VALUE"""),"9")</f>
        <v>9</v>
      </c>
      <c r="V1881" s="6" t="str">
        <f>IFERROR(__xludf.DUMMYFUNCTION("""COMPUTED_VALUE"""),"English")</f>
        <v>English</v>
      </c>
      <c r="W1881" s="6" t="str">
        <f>IFERROR(__xludf.DUMMYFUNCTION("""COMPUTED_VALUE"""),"[]")</f>
        <v>[]</v>
      </c>
      <c r="X1881" s="6" t="str">
        <f>IFERROR(__xludf.DUMMYFUNCTION("""COMPUTED_VALUE"""),"Enrolled")</f>
        <v>Enrolled</v>
      </c>
    </row>
    <row r="1882">
      <c r="A1882" s="6" t="str">
        <f>IFERROR(__xludf.DUMMYFUNCTION("""COMPUTED_VALUE"""),"018-6053")</f>
        <v>018-6053</v>
      </c>
      <c r="B1882" s="6" t="str">
        <f>IFERROR(__xludf.DUMMYFUNCTION("""COMPUTED_VALUE"""),"18")</f>
        <v>18</v>
      </c>
      <c r="C1882" s="6" t="str">
        <f>IFERROR(__xludf.DUMMYFUNCTION("""COMPUTED_VALUE"""),"6053")</f>
        <v>6053</v>
      </c>
      <c r="D1882" s="6" t="str">
        <f>IFERROR(__xludf.DUMMYFUNCTION("""COMPUTED_VALUE"""),"Chloe Thel")</f>
        <v>Chloe Thel</v>
      </c>
      <c r="E1882" s="6" t="str">
        <f>IFERROR(__xludf.DUMMYFUNCTION("""COMPUTED_VALUE"""),"")</f>
        <v/>
      </c>
      <c r="F1882" s="6" t="str">
        <f>IFERROR(__xludf.DUMMYFUNCTION("""COMPUTED_VALUE"""),"Dilao")</f>
        <v>Dilao</v>
      </c>
      <c r="G1882" s="6" t="str">
        <f>IFERROR(__xludf.DUMMYFUNCTION("""COMPUTED_VALUE"""),"12/15/2008")</f>
        <v>12/15/2008</v>
      </c>
      <c r="H1882" s="6" t="str">
        <f>IFERROR(__xludf.DUMMYFUNCTION("""COMPUTED_VALUE"""),"Other")</f>
        <v>Other</v>
      </c>
      <c r="I1882" s="6" t="str">
        <f>IFERROR(__xludf.DUMMYFUNCTION("""COMPUTED_VALUE"""),"High School")</f>
        <v>High School</v>
      </c>
      <c r="J1882" s="6" t="str">
        <f>IFERROR(__xludf.DUMMYFUNCTION("""COMPUTED_VALUE"""),"10")</f>
        <v>10</v>
      </c>
      <c r="K1882" s="6" t="str">
        <f>IFERROR(__xludf.DUMMYFUNCTION("""COMPUTED_VALUE"""),"chloe.thel.dilao@2hourlearning.com")</f>
        <v>chloe.thel.dilao@2hourlearning.com</v>
      </c>
      <c r="L1882" s="6" t="str">
        <f>IFERROR(__xludf.DUMMYFUNCTION("""COMPUTED_VALUE"""),"Irvington High School")</f>
        <v>Irvington High School</v>
      </c>
      <c r="M1882" s="6" t="str">
        <f>IFERROR(__xludf.DUMMYFUNCTION("""COMPUTED_VALUE"""),"")</f>
        <v/>
      </c>
      <c r="N1882" s="6" t="str">
        <f>IFERROR(__xludf.DUMMYFUNCTION("""COMPUTED_VALUE"""),"")</f>
        <v/>
      </c>
      <c r="O1882" s="87" t="str">
        <f>IFERROR(__xludf.DUMMYFUNCTION("""COMPUTED_VALUE"""),"https://drive.google.com/drive/folders/10T2cTQHqEJZqE-st6uFKPoI?usp=share_link")</f>
        <v>https://drive.google.com/drive/folders/10T2cTQHqEJZqE-st6uFKPoI?usp=share_link</v>
      </c>
      <c r="P1882" s="6" t="str">
        <f>IFERROR(__xludf.DUMMYFUNCTION("""COMPUTED_VALUE"""),"Chloe Thel Dilao")</f>
        <v>Chloe Thel Dilao</v>
      </c>
      <c r="Q1882" s="6" t="str">
        <f>IFERROR(__xludf.DUMMYFUNCTION("""COMPUTED_VALUE"""),"HS")</f>
        <v>HS</v>
      </c>
      <c r="R1882" s="6">
        <f>IFERROR(__xludf.DUMMYFUNCTION("""COMPUTED_VALUE"""),0.0)</f>
        <v>0</v>
      </c>
      <c r="S1882" s="6" t="str">
        <f>IFERROR(__xludf.DUMMYFUNCTION("""COMPUTED_VALUE""")," ")</f>
        <v> </v>
      </c>
      <c r="T1882" s="6" t="str">
        <f>IFERROR(__xludf.DUMMYFUNCTION("""COMPUTED_VALUE"""),"")</f>
        <v/>
      </c>
      <c r="U1882" s="6" t="str">
        <f>IFERROR(__xludf.DUMMYFUNCTION("""COMPUTED_VALUE"""),"10")</f>
        <v>10</v>
      </c>
      <c r="V1882" s="6" t="str">
        <f>IFERROR(__xludf.DUMMYFUNCTION("""COMPUTED_VALUE"""),"English")</f>
        <v>English</v>
      </c>
      <c r="W1882" s="6" t="str">
        <f>IFERROR(__xludf.DUMMYFUNCTION("""COMPUTED_VALUE"""),"[]")</f>
        <v>[]</v>
      </c>
      <c r="X1882" s="6" t="str">
        <f>IFERROR(__xludf.DUMMYFUNCTION("""COMPUTED_VALUE"""),"Enrolled")</f>
        <v>Enrolled</v>
      </c>
    </row>
    <row r="1883">
      <c r="A1883" s="6" t="str">
        <f>IFERROR(__xludf.DUMMYFUNCTION("""COMPUTED_VALUE"""),"018-6054")</f>
        <v>018-6054</v>
      </c>
      <c r="B1883" s="6" t="str">
        <f>IFERROR(__xludf.DUMMYFUNCTION("""COMPUTED_VALUE"""),"18")</f>
        <v>18</v>
      </c>
      <c r="C1883" s="6" t="str">
        <f>IFERROR(__xludf.DUMMYFUNCTION("""COMPUTED_VALUE"""),"6054")</f>
        <v>6054</v>
      </c>
      <c r="D1883" s="6" t="str">
        <f>IFERROR(__xludf.DUMMYFUNCTION("""COMPUTED_VALUE"""),"Elida")</f>
        <v>Elida</v>
      </c>
      <c r="E1883" s="6" t="str">
        <f>IFERROR(__xludf.DUMMYFUNCTION("""COMPUTED_VALUE"""),"")</f>
        <v/>
      </c>
      <c r="F1883" s="6" t="str">
        <f>IFERROR(__xludf.DUMMYFUNCTION("""COMPUTED_VALUE"""),"Godinez Morales")</f>
        <v>Godinez Morales</v>
      </c>
      <c r="G1883" s="6" t="str">
        <f>IFERROR(__xludf.DUMMYFUNCTION("""COMPUTED_VALUE"""),"12/15/2008")</f>
        <v>12/15/2008</v>
      </c>
      <c r="H1883" s="6" t="str">
        <f>IFERROR(__xludf.DUMMYFUNCTION("""COMPUTED_VALUE"""),"Other")</f>
        <v>Other</v>
      </c>
      <c r="I1883" s="6" t="str">
        <f>IFERROR(__xludf.DUMMYFUNCTION("""COMPUTED_VALUE"""),"High School")</f>
        <v>High School</v>
      </c>
      <c r="J1883" s="6" t="str">
        <f>IFERROR(__xludf.DUMMYFUNCTION("""COMPUTED_VALUE"""),"10")</f>
        <v>10</v>
      </c>
      <c r="K1883" s="6" t="str">
        <f>IFERROR(__xludf.DUMMYFUNCTION("""COMPUTED_VALUE"""),"elida.godinez.morales@2hourlearning.com")</f>
        <v>elida.godinez.morales@2hourlearning.com</v>
      </c>
      <c r="L1883" s="6" t="str">
        <f>IFERROR(__xludf.DUMMYFUNCTION("""COMPUTED_VALUE"""),"Irvington High School")</f>
        <v>Irvington High School</v>
      </c>
      <c r="M1883" s="6" t="str">
        <f>IFERROR(__xludf.DUMMYFUNCTION("""COMPUTED_VALUE"""),"")</f>
        <v/>
      </c>
      <c r="N1883" s="6" t="str">
        <f>IFERROR(__xludf.DUMMYFUNCTION("""COMPUTED_VALUE"""),"")</f>
        <v/>
      </c>
      <c r="O1883" s="87" t="str">
        <f>IFERROR(__xludf.DUMMYFUNCTION("""COMPUTED_VALUE"""),"https://drive.google.com/drive/folders/10T2cTQHqEJZqE-st6uFKPoI?usp=share_link")</f>
        <v>https://drive.google.com/drive/folders/10T2cTQHqEJZqE-st6uFKPoI?usp=share_link</v>
      </c>
      <c r="P1883" s="6" t="str">
        <f>IFERROR(__xludf.DUMMYFUNCTION("""COMPUTED_VALUE"""),"Elida Godinez Morales")</f>
        <v>Elida Godinez Morales</v>
      </c>
      <c r="Q1883" s="6" t="str">
        <f>IFERROR(__xludf.DUMMYFUNCTION("""COMPUTED_VALUE"""),"HS")</f>
        <v>HS</v>
      </c>
      <c r="R1883" s="6">
        <f>IFERROR(__xludf.DUMMYFUNCTION("""COMPUTED_VALUE"""),0.0)</f>
        <v>0</v>
      </c>
      <c r="S1883" s="6" t="str">
        <f>IFERROR(__xludf.DUMMYFUNCTION("""COMPUTED_VALUE""")," ")</f>
        <v> </v>
      </c>
      <c r="T1883" s="6" t="str">
        <f>IFERROR(__xludf.DUMMYFUNCTION("""COMPUTED_VALUE"""),"")</f>
        <v/>
      </c>
      <c r="U1883" s="6" t="str">
        <f>IFERROR(__xludf.DUMMYFUNCTION("""COMPUTED_VALUE"""),"10")</f>
        <v>10</v>
      </c>
      <c r="V1883" s="6" t="str">
        <f>IFERROR(__xludf.DUMMYFUNCTION("""COMPUTED_VALUE"""),"English")</f>
        <v>English</v>
      </c>
      <c r="W1883" s="6" t="str">
        <f>IFERROR(__xludf.DUMMYFUNCTION("""COMPUTED_VALUE"""),"[]")</f>
        <v>[]</v>
      </c>
      <c r="X1883" s="6" t="str">
        <f>IFERROR(__xludf.DUMMYFUNCTION("""COMPUTED_VALUE"""),"Enrolled")</f>
        <v>Enrolled</v>
      </c>
    </row>
    <row r="1884">
      <c r="A1884" s="6" t="str">
        <f>IFERROR(__xludf.DUMMYFUNCTION("""COMPUTED_VALUE"""),"018-6055")</f>
        <v>018-6055</v>
      </c>
      <c r="B1884" s="6" t="str">
        <f>IFERROR(__xludf.DUMMYFUNCTION("""COMPUTED_VALUE"""),"18")</f>
        <v>18</v>
      </c>
      <c r="C1884" s="6" t="str">
        <f>IFERROR(__xludf.DUMMYFUNCTION("""COMPUTED_VALUE"""),"6055")</f>
        <v>6055</v>
      </c>
      <c r="D1884" s="6" t="str">
        <f>IFERROR(__xludf.DUMMYFUNCTION("""COMPUTED_VALUE"""),"Lalith")</f>
        <v>Lalith</v>
      </c>
      <c r="E1884" s="6" t="str">
        <f>IFERROR(__xludf.DUMMYFUNCTION("""COMPUTED_VALUE"""),"")</f>
        <v/>
      </c>
      <c r="F1884" s="6" t="str">
        <f>IFERROR(__xludf.DUMMYFUNCTION("""COMPUTED_VALUE"""),"Sureshbabu")</f>
        <v>Sureshbabu</v>
      </c>
      <c r="G1884" s="6" t="str">
        <f>IFERROR(__xludf.DUMMYFUNCTION("""COMPUTED_VALUE"""),"12/15/2008")</f>
        <v>12/15/2008</v>
      </c>
      <c r="H1884" s="6" t="str">
        <f>IFERROR(__xludf.DUMMYFUNCTION("""COMPUTED_VALUE"""),"Other")</f>
        <v>Other</v>
      </c>
      <c r="I1884" s="6" t="str">
        <f>IFERROR(__xludf.DUMMYFUNCTION("""COMPUTED_VALUE"""),"High School")</f>
        <v>High School</v>
      </c>
      <c r="J1884" s="6" t="str">
        <f>IFERROR(__xludf.DUMMYFUNCTION("""COMPUTED_VALUE"""),"10")</f>
        <v>10</v>
      </c>
      <c r="K1884" s="6" t="str">
        <f>IFERROR(__xludf.DUMMYFUNCTION("""COMPUTED_VALUE"""),"lalith.sureshbabu@2hourlearning.com")</f>
        <v>lalith.sureshbabu@2hourlearning.com</v>
      </c>
      <c r="L1884" s="6" t="str">
        <f>IFERROR(__xludf.DUMMYFUNCTION("""COMPUTED_VALUE"""),"Irvington High School")</f>
        <v>Irvington High School</v>
      </c>
      <c r="M1884" s="6" t="str">
        <f>IFERROR(__xludf.DUMMYFUNCTION("""COMPUTED_VALUE"""),"")</f>
        <v/>
      </c>
      <c r="N1884" s="6" t="str">
        <f>IFERROR(__xludf.DUMMYFUNCTION("""COMPUTED_VALUE"""),"")</f>
        <v/>
      </c>
      <c r="O1884" s="87" t="str">
        <f>IFERROR(__xludf.DUMMYFUNCTION("""COMPUTED_VALUE"""),"https://drive.google.com/drive/folders/10T2cTQHqEJZqE-st6uFKPoI?usp=share_link")</f>
        <v>https://drive.google.com/drive/folders/10T2cTQHqEJZqE-st6uFKPoI?usp=share_link</v>
      </c>
      <c r="P1884" s="6" t="str">
        <f>IFERROR(__xludf.DUMMYFUNCTION("""COMPUTED_VALUE"""),"Lalith Sureshbabu")</f>
        <v>Lalith Sureshbabu</v>
      </c>
      <c r="Q1884" s="6" t="str">
        <f>IFERROR(__xludf.DUMMYFUNCTION("""COMPUTED_VALUE"""),"HS")</f>
        <v>HS</v>
      </c>
      <c r="R1884" s="6">
        <f>IFERROR(__xludf.DUMMYFUNCTION("""COMPUTED_VALUE"""),0.0)</f>
        <v>0</v>
      </c>
      <c r="S1884" s="6" t="str">
        <f>IFERROR(__xludf.DUMMYFUNCTION("""COMPUTED_VALUE""")," ")</f>
        <v> </v>
      </c>
      <c r="T1884" s="6" t="str">
        <f>IFERROR(__xludf.DUMMYFUNCTION("""COMPUTED_VALUE"""),"")</f>
        <v/>
      </c>
      <c r="U1884" s="6" t="str">
        <f>IFERROR(__xludf.DUMMYFUNCTION("""COMPUTED_VALUE"""),"10")</f>
        <v>10</v>
      </c>
      <c r="V1884" s="6" t="str">
        <f>IFERROR(__xludf.DUMMYFUNCTION("""COMPUTED_VALUE"""),"English")</f>
        <v>English</v>
      </c>
      <c r="W1884" s="6" t="str">
        <f>IFERROR(__xludf.DUMMYFUNCTION("""COMPUTED_VALUE"""),"[]")</f>
        <v>[]</v>
      </c>
      <c r="X1884" s="6" t="str">
        <f>IFERROR(__xludf.DUMMYFUNCTION("""COMPUTED_VALUE"""),"Enrolled")</f>
        <v>Enrolled</v>
      </c>
    </row>
    <row r="1885">
      <c r="A1885" s="6" t="str">
        <f>IFERROR(__xludf.DUMMYFUNCTION("""COMPUTED_VALUE"""),"018-6057")</f>
        <v>018-6057</v>
      </c>
      <c r="B1885" s="6" t="str">
        <f>IFERROR(__xludf.DUMMYFUNCTION("""COMPUTED_VALUE"""),"18")</f>
        <v>18</v>
      </c>
      <c r="C1885" s="6" t="str">
        <f>IFERROR(__xludf.DUMMYFUNCTION("""COMPUTED_VALUE"""),"6057")</f>
        <v>6057</v>
      </c>
      <c r="D1885" s="6" t="str">
        <f>IFERROR(__xludf.DUMMYFUNCTION("""COMPUTED_VALUE"""),"Hamna")</f>
        <v>Hamna</v>
      </c>
      <c r="E1885" s="6" t="str">
        <f>IFERROR(__xludf.DUMMYFUNCTION("""COMPUTED_VALUE"""),"")</f>
        <v/>
      </c>
      <c r="F1885" s="6" t="str">
        <f>IFERROR(__xludf.DUMMYFUNCTION("""COMPUTED_VALUE"""),"Noori")</f>
        <v>Noori</v>
      </c>
      <c r="G1885" s="6" t="str">
        <f>IFERROR(__xludf.DUMMYFUNCTION("""COMPUTED_VALUE"""),"12/15/2008")</f>
        <v>12/15/2008</v>
      </c>
      <c r="H1885" s="6" t="str">
        <f>IFERROR(__xludf.DUMMYFUNCTION("""COMPUTED_VALUE"""),"Other")</f>
        <v>Other</v>
      </c>
      <c r="I1885" s="6" t="str">
        <f>IFERROR(__xludf.DUMMYFUNCTION("""COMPUTED_VALUE"""),"High School")</f>
        <v>High School</v>
      </c>
      <c r="J1885" s="6" t="str">
        <f>IFERROR(__xludf.DUMMYFUNCTION("""COMPUTED_VALUE"""),"10")</f>
        <v>10</v>
      </c>
      <c r="K1885" s="6" t="str">
        <f>IFERROR(__xludf.DUMMYFUNCTION("""COMPUTED_VALUE"""),"hamna.noori@2hourlearning.com")</f>
        <v>hamna.noori@2hourlearning.com</v>
      </c>
      <c r="L1885" s="6" t="str">
        <f>IFERROR(__xludf.DUMMYFUNCTION("""COMPUTED_VALUE"""),"Irvington High School")</f>
        <v>Irvington High School</v>
      </c>
      <c r="M1885" s="6" t="str">
        <f>IFERROR(__xludf.DUMMYFUNCTION("""COMPUTED_VALUE"""),"")</f>
        <v/>
      </c>
      <c r="N1885" s="6" t="str">
        <f>IFERROR(__xludf.DUMMYFUNCTION("""COMPUTED_VALUE"""),"")</f>
        <v/>
      </c>
      <c r="O1885" s="87" t="str">
        <f>IFERROR(__xludf.DUMMYFUNCTION("""COMPUTED_VALUE"""),"https://drive.google.com/drive/folders/10T2cTQHqEJZqE-st6uFKPoI?usp=share_link")</f>
        <v>https://drive.google.com/drive/folders/10T2cTQHqEJZqE-st6uFKPoI?usp=share_link</v>
      </c>
      <c r="P1885" s="6" t="str">
        <f>IFERROR(__xludf.DUMMYFUNCTION("""COMPUTED_VALUE"""),"Hamna Noori")</f>
        <v>Hamna Noori</v>
      </c>
      <c r="Q1885" s="6" t="str">
        <f>IFERROR(__xludf.DUMMYFUNCTION("""COMPUTED_VALUE"""),"HS")</f>
        <v>HS</v>
      </c>
      <c r="R1885" s="6">
        <f>IFERROR(__xludf.DUMMYFUNCTION("""COMPUTED_VALUE"""),0.0)</f>
        <v>0</v>
      </c>
      <c r="S1885" s="6" t="str">
        <f>IFERROR(__xludf.DUMMYFUNCTION("""COMPUTED_VALUE""")," ")</f>
        <v> </v>
      </c>
      <c r="T1885" s="6" t="str">
        <f>IFERROR(__xludf.DUMMYFUNCTION("""COMPUTED_VALUE"""),"")</f>
        <v/>
      </c>
      <c r="U1885" s="6" t="str">
        <f>IFERROR(__xludf.DUMMYFUNCTION("""COMPUTED_VALUE"""),"10")</f>
        <v>10</v>
      </c>
      <c r="V1885" s="6" t="str">
        <f>IFERROR(__xludf.DUMMYFUNCTION("""COMPUTED_VALUE"""),"English")</f>
        <v>English</v>
      </c>
      <c r="W1885" s="6" t="str">
        <f>IFERROR(__xludf.DUMMYFUNCTION("""COMPUTED_VALUE"""),"[]")</f>
        <v>[]</v>
      </c>
      <c r="X1885" s="6" t="str">
        <f>IFERROR(__xludf.DUMMYFUNCTION("""COMPUTED_VALUE"""),"Enrolled")</f>
        <v>Enrolled</v>
      </c>
    </row>
    <row r="1886">
      <c r="A1886" s="6" t="str">
        <f>IFERROR(__xludf.DUMMYFUNCTION("""COMPUTED_VALUE"""),"018-6061")</f>
        <v>018-6061</v>
      </c>
      <c r="B1886" s="6" t="str">
        <f>IFERROR(__xludf.DUMMYFUNCTION("""COMPUTED_VALUE"""),"18")</f>
        <v>18</v>
      </c>
      <c r="C1886" s="6" t="str">
        <f>IFERROR(__xludf.DUMMYFUNCTION("""COMPUTED_VALUE"""),"6061")</f>
        <v>6061</v>
      </c>
      <c r="D1886" s="6" t="str">
        <f>IFERROR(__xludf.DUMMYFUNCTION("""COMPUTED_VALUE"""),"Juan Pablo")</f>
        <v>Juan Pablo</v>
      </c>
      <c r="E1886" s="6" t="str">
        <f>IFERROR(__xludf.DUMMYFUNCTION("""COMPUTED_VALUE"""),"")</f>
        <v/>
      </c>
      <c r="F1886" s="6" t="str">
        <f>IFERROR(__xludf.DUMMYFUNCTION("""COMPUTED_VALUE"""),"Monroy Perdomo")</f>
        <v>Monroy Perdomo</v>
      </c>
      <c r="G1886" s="6" t="str">
        <f>IFERROR(__xludf.DUMMYFUNCTION("""COMPUTED_VALUE"""),"12/15/2006")</f>
        <v>12/15/2006</v>
      </c>
      <c r="H1886" s="6" t="str">
        <f>IFERROR(__xludf.DUMMYFUNCTION("""COMPUTED_VALUE"""),"Other")</f>
        <v>Other</v>
      </c>
      <c r="I1886" s="6" t="str">
        <f>IFERROR(__xludf.DUMMYFUNCTION("""COMPUTED_VALUE"""),"High School")</f>
        <v>High School</v>
      </c>
      <c r="J1886" s="6" t="str">
        <f>IFERROR(__xludf.DUMMYFUNCTION("""COMPUTED_VALUE"""),"12")</f>
        <v>12</v>
      </c>
      <c r="K1886" s="6" t="str">
        <f>IFERROR(__xludf.DUMMYFUNCTION("""COMPUTED_VALUE"""),"juan.pablo.monroy.perdomo@2hourlearning.com")</f>
        <v>juan.pablo.monroy.perdomo@2hourlearning.com</v>
      </c>
      <c r="L1886" s="6" t="str">
        <f>IFERROR(__xludf.DUMMYFUNCTION("""COMPUTED_VALUE"""),"Irvington High School")</f>
        <v>Irvington High School</v>
      </c>
      <c r="M1886" s="6" t="str">
        <f>IFERROR(__xludf.DUMMYFUNCTION("""COMPUTED_VALUE"""),"")</f>
        <v/>
      </c>
      <c r="N1886" s="6" t="str">
        <f>IFERROR(__xludf.DUMMYFUNCTION("""COMPUTED_VALUE"""),"")</f>
        <v/>
      </c>
      <c r="O1886" s="87" t="str">
        <f>IFERROR(__xludf.DUMMYFUNCTION("""COMPUTED_VALUE"""),"https://drive.google.com/drive/folders/10T2cTQHqEJZqE-st6uFKPoI?usp=share_link")</f>
        <v>https://drive.google.com/drive/folders/10T2cTQHqEJZqE-st6uFKPoI?usp=share_link</v>
      </c>
      <c r="P1886" s="6" t="str">
        <f>IFERROR(__xludf.DUMMYFUNCTION("""COMPUTED_VALUE"""),"Juan Pablo Monroy Perdomo")</f>
        <v>Juan Pablo Monroy Perdomo</v>
      </c>
      <c r="Q1886" s="6" t="str">
        <f>IFERROR(__xludf.DUMMYFUNCTION("""COMPUTED_VALUE"""),"HS")</f>
        <v>HS</v>
      </c>
      <c r="R1886" s="6">
        <f>IFERROR(__xludf.DUMMYFUNCTION("""COMPUTED_VALUE"""),0.0)</f>
        <v>0</v>
      </c>
      <c r="S1886" s="6" t="str">
        <f>IFERROR(__xludf.DUMMYFUNCTION("""COMPUTED_VALUE""")," ")</f>
        <v> </v>
      </c>
      <c r="T1886" s="6" t="str">
        <f>IFERROR(__xludf.DUMMYFUNCTION("""COMPUTED_VALUE"""),"")</f>
        <v/>
      </c>
      <c r="U1886" s="6" t="str">
        <f>IFERROR(__xludf.DUMMYFUNCTION("""COMPUTED_VALUE"""),"12")</f>
        <v>12</v>
      </c>
      <c r="V1886" s="6" t="str">
        <f>IFERROR(__xludf.DUMMYFUNCTION("""COMPUTED_VALUE"""),"English")</f>
        <v>English</v>
      </c>
      <c r="W1886" s="6" t="str">
        <f>IFERROR(__xludf.DUMMYFUNCTION("""COMPUTED_VALUE"""),"[]")</f>
        <v>[]</v>
      </c>
      <c r="X1886" s="6" t="str">
        <f>IFERROR(__xludf.DUMMYFUNCTION("""COMPUTED_VALUE"""),"Enrolled")</f>
        <v>Enrolled</v>
      </c>
    </row>
    <row r="1887">
      <c r="A1887" s="6" t="str">
        <f>IFERROR(__xludf.DUMMYFUNCTION("""COMPUTED_VALUE"""),"018-6062")</f>
        <v>018-6062</v>
      </c>
      <c r="B1887" s="6" t="str">
        <f>IFERROR(__xludf.DUMMYFUNCTION("""COMPUTED_VALUE"""),"18")</f>
        <v>18</v>
      </c>
      <c r="C1887" s="6" t="str">
        <f>IFERROR(__xludf.DUMMYFUNCTION("""COMPUTED_VALUE"""),"6062")</f>
        <v>6062</v>
      </c>
      <c r="D1887" s="6" t="str">
        <f>IFERROR(__xludf.DUMMYFUNCTION("""COMPUTED_VALUE"""),"Osbaldo")</f>
        <v>Osbaldo</v>
      </c>
      <c r="E1887" s="6" t="str">
        <f>IFERROR(__xludf.DUMMYFUNCTION("""COMPUTED_VALUE"""),"")</f>
        <v/>
      </c>
      <c r="F1887" s="6" t="str">
        <f>IFERROR(__xludf.DUMMYFUNCTION("""COMPUTED_VALUE"""),"Soriano Moreno")</f>
        <v>Soriano Moreno</v>
      </c>
      <c r="G1887" s="6" t="str">
        <f>IFERROR(__xludf.DUMMYFUNCTION("""COMPUTED_VALUE"""),"12/15/2006")</f>
        <v>12/15/2006</v>
      </c>
      <c r="H1887" s="6" t="str">
        <f>IFERROR(__xludf.DUMMYFUNCTION("""COMPUTED_VALUE"""),"Other")</f>
        <v>Other</v>
      </c>
      <c r="I1887" s="6" t="str">
        <f>IFERROR(__xludf.DUMMYFUNCTION("""COMPUTED_VALUE"""),"High School")</f>
        <v>High School</v>
      </c>
      <c r="J1887" s="6" t="str">
        <f>IFERROR(__xludf.DUMMYFUNCTION("""COMPUTED_VALUE"""),"12")</f>
        <v>12</v>
      </c>
      <c r="K1887" s="6" t="str">
        <f>IFERROR(__xludf.DUMMYFUNCTION("""COMPUTED_VALUE"""),"osbaldo.soriano.moreno@2hourlearning.com")</f>
        <v>osbaldo.soriano.moreno@2hourlearning.com</v>
      </c>
      <c r="L1887" s="6" t="str">
        <f>IFERROR(__xludf.DUMMYFUNCTION("""COMPUTED_VALUE"""),"Irvington High School")</f>
        <v>Irvington High School</v>
      </c>
      <c r="M1887" s="6" t="str">
        <f>IFERROR(__xludf.DUMMYFUNCTION("""COMPUTED_VALUE"""),"")</f>
        <v/>
      </c>
      <c r="N1887" s="6" t="str">
        <f>IFERROR(__xludf.DUMMYFUNCTION("""COMPUTED_VALUE"""),"")</f>
        <v/>
      </c>
      <c r="O1887" s="87" t="str">
        <f>IFERROR(__xludf.DUMMYFUNCTION("""COMPUTED_VALUE"""),"https://drive.google.com/drive/folders/10T2cTQHqEJZqE-st6uFKPoI?usp=share_link")</f>
        <v>https://drive.google.com/drive/folders/10T2cTQHqEJZqE-st6uFKPoI?usp=share_link</v>
      </c>
      <c r="P1887" s="6" t="str">
        <f>IFERROR(__xludf.DUMMYFUNCTION("""COMPUTED_VALUE"""),"Osbaldo Soriano Moreno")</f>
        <v>Osbaldo Soriano Moreno</v>
      </c>
      <c r="Q1887" s="6" t="str">
        <f>IFERROR(__xludf.DUMMYFUNCTION("""COMPUTED_VALUE"""),"HS")</f>
        <v>HS</v>
      </c>
      <c r="R1887" s="6">
        <f>IFERROR(__xludf.DUMMYFUNCTION("""COMPUTED_VALUE"""),0.0)</f>
        <v>0</v>
      </c>
      <c r="S1887" s="6" t="str">
        <f>IFERROR(__xludf.DUMMYFUNCTION("""COMPUTED_VALUE""")," ")</f>
        <v> </v>
      </c>
      <c r="T1887" s="6" t="str">
        <f>IFERROR(__xludf.DUMMYFUNCTION("""COMPUTED_VALUE"""),"")</f>
        <v/>
      </c>
      <c r="U1887" s="6" t="str">
        <f>IFERROR(__xludf.DUMMYFUNCTION("""COMPUTED_VALUE"""),"12")</f>
        <v>12</v>
      </c>
      <c r="V1887" s="6" t="str">
        <f>IFERROR(__xludf.DUMMYFUNCTION("""COMPUTED_VALUE"""),"English")</f>
        <v>English</v>
      </c>
      <c r="W1887" s="6" t="str">
        <f>IFERROR(__xludf.DUMMYFUNCTION("""COMPUTED_VALUE"""),"[]")</f>
        <v>[]</v>
      </c>
      <c r="X1887" s="6" t="str">
        <f>IFERROR(__xludf.DUMMYFUNCTION("""COMPUTED_VALUE"""),"Enrolled")</f>
        <v>Enrolled</v>
      </c>
    </row>
    <row r="1888">
      <c r="A1888" s="6" t="str">
        <f>IFERROR(__xludf.DUMMYFUNCTION("""COMPUTED_VALUE"""),"018-7094")</f>
        <v>018-7094</v>
      </c>
      <c r="B1888" s="6" t="str">
        <f>IFERROR(__xludf.DUMMYFUNCTION("""COMPUTED_VALUE"""),"18")</f>
        <v>18</v>
      </c>
      <c r="C1888" s="6" t="str">
        <f>IFERROR(__xludf.DUMMYFUNCTION("""COMPUTED_VALUE"""),"7094")</f>
        <v>7094</v>
      </c>
      <c r="D1888" s="6" t="str">
        <f>IFERROR(__xludf.DUMMYFUNCTION("""COMPUTED_VALUE"""),"Jorge")</f>
        <v>Jorge</v>
      </c>
      <c r="E1888" s="6" t="str">
        <f>IFERROR(__xludf.DUMMYFUNCTION("""COMPUTED_VALUE"""),"")</f>
        <v/>
      </c>
      <c r="F1888" s="6" t="str">
        <f>IFERROR(__xludf.DUMMYFUNCTION("""COMPUTED_VALUE"""),"Barco Avella")</f>
        <v>Barco Avella</v>
      </c>
      <c r="G1888" s="6" t="str">
        <f>IFERROR(__xludf.DUMMYFUNCTION("""COMPUTED_VALUE"""),"08/27/2011")</f>
        <v>08/27/2011</v>
      </c>
      <c r="H1888" s="6" t="str">
        <f>IFERROR(__xludf.DUMMYFUNCTION("""COMPUTED_VALUE"""),"Self Identify")</f>
        <v>Self Identify</v>
      </c>
      <c r="I1888" s="6" t="str">
        <f>IFERROR(__xludf.DUMMYFUNCTION("""COMPUTED_VALUE"""),"High School")</f>
        <v>High School</v>
      </c>
      <c r="J1888" s="6" t="str">
        <f>IFERROR(__xludf.DUMMYFUNCTION("""COMPUTED_VALUE"""),"9")</f>
        <v>9</v>
      </c>
      <c r="K1888" s="6" t="str">
        <f>IFERROR(__xludf.DUMMYFUNCTION("""COMPUTED_VALUE"""),"jorge.barcoavella@2hourlearning.com")</f>
        <v>jorge.barcoavella@2hourlearning.com</v>
      </c>
      <c r="L1888" s="6" t="str">
        <f>IFERROR(__xludf.DUMMYFUNCTION("""COMPUTED_VALUE"""),"Irvington High School")</f>
        <v>Irvington High School</v>
      </c>
      <c r="M1888" s="6" t="str">
        <f>IFERROR(__xludf.DUMMYFUNCTION("""COMPUTED_VALUE"""),"")</f>
        <v/>
      </c>
      <c r="N1888" s="6" t="str">
        <f>IFERROR(__xludf.DUMMYFUNCTION("""COMPUTED_VALUE"""),"")</f>
        <v/>
      </c>
      <c r="O1888" s="87" t="str">
        <f>IFERROR(__xludf.DUMMYFUNCTION("""COMPUTED_VALUE"""),"https://drive.google.com/drive/folders/10T2cTQHqEJZqE-st6uFKPoI?usp=share_link")</f>
        <v>https://drive.google.com/drive/folders/10T2cTQHqEJZqE-st6uFKPoI?usp=share_link</v>
      </c>
      <c r="P1888" s="6" t="str">
        <f>IFERROR(__xludf.DUMMYFUNCTION("""COMPUTED_VALUE"""),"Jorge Barco Avella")</f>
        <v>Jorge Barco Avella</v>
      </c>
      <c r="Q1888" s="6" t="str">
        <f>IFERROR(__xludf.DUMMYFUNCTION("""COMPUTED_VALUE"""),"HS")</f>
        <v>HS</v>
      </c>
      <c r="R1888" s="6">
        <f>IFERROR(__xludf.DUMMYFUNCTION("""COMPUTED_VALUE"""),0.0)</f>
        <v>0</v>
      </c>
      <c r="S1888" s="6" t="str">
        <f>IFERROR(__xludf.DUMMYFUNCTION("""COMPUTED_VALUE"""),"Alicia Westcot")</f>
        <v>Alicia Westcot</v>
      </c>
      <c r="T1888" s="6" t="str">
        <f>IFERROR(__xludf.DUMMYFUNCTION("""COMPUTED_VALUE"""),"alicia.westcot@studient.com")</f>
        <v>alicia.westcot@studient.com</v>
      </c>
      <c r="U1888" s="6" t="str">
        <f>IFERROR(__xludf.DUMMYFUNCTION("""COMPUTED_VALUE"""),"9")</f>
        <v>9</v>
      </c>
      <c r="V1888" s="6" t="str">
        <f>IFERROR(__xludf.DUMMYFUNCTION("""COMPUTED_VALUE"""),"Spanish")</f>
        <v>Spanish</v>
      </c>
      <c r="W1888" s="6" t="str">
        <f>IFERROR(__xludf.DUMMYFUNCTION("""COMPUTED_VALUE"""),"[]")</f>
        <v>[]</v>
      </c>
      <c r="X1888" s="6" t="str">
        <f>IFERROR(__xludf.DUMMYFUNCTION("""COMPUTED_VALUE"""),"Enrolled")</f>
        <v>Enrolled</v>
      </c>
    </row>
    <row r="1889">
      <c r="A1889" s="6" t="str">
        <f>IFERROR(__xludf.DUMMYFUNCTION("""COMPUTED_VALUE"""),"018-7095")</f>
        <v>018-7095</v>
      </c>
      <c r="B1889" s="6" t="str">
        <f>IFERROR(__xludf.DUMMYFUNCTION("""COMPUTED_VALUE"""),"18")</f>
        <v>18</v>
      </c>
      <c r="C1889" s="6" t="str">
        <f>IFERROR(__xludf.DUMMYFUNCTION("""COMPUTED_VALUE"""),"7095")</f>
        <v>7095</v>
      </c>
      <c r="D1889" s="6" t="str">
        <f>IFERROR(__xludf.DUMMYFUNCTION("""COMPUTED_VALUE"""),"Radcliffe Angelo")</f>
        <v>Radcliffe Angelo</v>
      </c>
      <c r="E1889" s="6" t="str">
        <f>IFERROR(__xludf.DUMMYFUNCTION("""COMPUTED_VALUE"""),"")</f>
        <v/>
      </c>
      <c r="F1889" s="6" t="str">
        <f>IFERROR(__xludf.DUMMYFUNCTION("""COMPUTED_VALUE"""),"Bastasa")</f>
        <v>Bastasa</v>
      </c>
      <c r="G1889" s="6" t="str">
        <f>IFERROR(__xludf.DUMMYFUNCTION("""COMPUTED_VALUE"""),"04/05/2009")</f>
        <v>04/05/2009</v>
      </c>
      <c r="H1889" s="6" t="str">
        <f>IFERROR(__xludf.DUMMYFUNCTION("""COMPUTED_VALUE"""),"Self Identify")</f>
        <v>Self Identify</v>
      </c>
      <c r="I1889" s="6" t="str">
        <f>IFERROR(__xludf.DUMMYFUNCTION("""COMPUTED_VALUE"""),"High School")</f>
        <v>High School</v>
      </c>
      <c r="J1889" s="6" t="str">
        <f>IFERROR(__xludf.DUMMYFUNCTION("""COMPUTED_VALUE"""),"11")</f>
        <v>11</v>
      </c>
      <c r="K1889" s="6" t="str">
        <f>IFERROR(__xludf.DUMMYFUNCTION("""COMPUTED_VALUE"""),"radcliffeangelo.bastasa@2hourlearning.com")</f>
        <v>radcliffeangelo.bastasa@2hourlearning.com</v>
      </c>
      <c r="L1889" s="6" t="str">
        <f>IFERROR(__xludf.DUMMYFUNCTION("""COMPUTED_VALUE"""),"Irvington High School")</f>
        <v>Irvington High School</v>
      </c>
      <c r="M1889" s="6" t="str">
        <f>IFERROR(__xludf.DUMMYFUNCTION("""COMPUTED_VALUE"""),"")</f>
        <v/>
      </c>
      <c r="N1889" s="6" t="str">
        <f>IFERROR(__xludf.DUMMYFUNCTION("""COMPUTED_VALUE"""),"")</f>
        <v/>
      </c>
      <c r="O1889" s="87" t="str">
        <f>IFERROR(__xludf.DUMMYFUNCTION("""COMPUTED_VALUE"""),"https://drive.google.com/drive/folders/10T2cTQHqEJZqE-st6uFKPoI?usp=share_link")</f>
        <v>https://drive.google.com/drive/folders/10T2cTQHqEJZqE-st6uFKPoI?usp=share_link</v>
      </c>
      <c r="P1889" s="6" t="str">
        <f>IFERROR(__xludf.DUMMYFUNCTION("""COMPUTED_VALUE"""),"Radcliffe Angelo Bastasa")</f>
        <v>Radcliffe Angelo Bastasa</v>
      </c>
      <c r="Q1889" s="6" t="str">
        <f>IFERROR(__xludf.DUMMYFUNCTION("""COMPUTED_VALUE"""),"HS")</f>
        <v>HS</v>
      </c>
      <c r="R1889" s="6">
        <f>IFERROR(__xludf.DUMMYFUNCTION("""COMPUTED_VALUE"""),0.0)</f>
        <v>0</v>
      </c>
      <c r="S1889" s="6" t="str">
        <f>IFERROR(__xludf.DUMMYFUNCTION("""COMPUTED_VALUE"""),"Alicia Westcot")</f>
        <v>Alicia Westcot</v>
      </c>
      <c r="T1889" s="6" t="str">
        <f>IFERROR(__xludf.DUMMYFUNCTION("""COMPUTED_VALUE"""),"alicia.westcot@studient.com")</f>
        <v>alicia.westcot@studient.com</v>
      </c>
      <c r="U1889" s="6" t="str">
        <f>IFERROR(__xludf.DUMMYFUNCTION("""COMPUTED_VALUE"""),"11")</f>
        <v>11</v>
      </c>
      <c r="V1889" s="6" t="str">
        <f>IFERROR(__xludf.DUMMYFUNCTION("""COMPUTED_VALUE"""),"English")</f>
        <v>English</v>
      </c>
      <c r="W1889" s="6" t="str">
        <f>IFERROR(__xludf.DUMMYFUNCTION("""COMPUTED_VALUE"""),"[]")</f>
        <v>[]</v>
      </c>
      <c r="X1889" s="6" t="str">
        <f>IFERROR(__xludf.DUMMYFUNCTION("""COMPUTED_VALUE"""),"Enrolled")</f>
        <v>Enrolled</v>
      </c>
    </row>
    <row r="1890">
      <c r="A1890" s="6" t="str">
        <f>IFERROR(__xludf.DUMMYFUNCTION("""COMPUTED_VALUE"""),"018-7096")</f>
        <v>018-7096</v>
      </c>
      <c r="B1890" s="6" t="str">
        <f>IFERROR(__xludf.DUMMYFUNCTION("""COMPUTED_VALUE"""),"18")</f>
        <v>18</v>
      </c>
      <c r="C1890" s="6" t="str">
        <f>IFERROR(__xludf.DUMMYFUNCTION("""COMPUTED_VALUE"""),"7096")</f>
        <v>7096</v>
      </c>
      <c r="D1890" s="6" t="str">
        <f>IFERROR(__xludf.DUMMYFUNCTION("""COMPUTED_VALUE"""),"Jackson")</f>
        <v>Jackson</v>
      </c>
      <c r="E1890" s="6" t="str">
        <f>IFERROR(__xludf.DUMMYFUNCTION("""COMPUTED_VALUE"""),"")</f>
        <v/>
      </c>
      <c r="F1890" s="6" t="str">
        <f>IFERROR(__xludf.DUMMYFUNCTION("""COMPUTED_VALUE"""),"Bohannon")</f>
        <v>Bohannon</v>
      </c>
      <c r="G1890" s="6" t="str">
        <f>IFERROR(__xludf.DUMMYFUNCTION("""COMPUTED_VALUE"""),"11/15/2010")</f>
        <v>11/15/2010</v>
      </c>
      <c r="H1890" s="6" t="str">
        <f>IFERROR(__xludf.DUMMYFUNCTION("""COMPUTED_VALUE"""),"Self Identify")</f>
        <v>Self Identify</v>
      </c>
      <c r="I1890" s="6" t="str">
        <f>IFERROR(__xludf.DUMMYFUNCTION("""COMPUTED_VALUE"""),"High School")</f>
        <v>High School</v>
      </c>
      <c r="J1890" s="6" t="str">
        <f>IFERROR(__xludf.DUMMYFUNCTION("""COMPUTED_VALUE"""),"9")</f>
        <v>9</v>
      </c>
      <c r="K1890" s="6" t="str">
        <f>IFERROR(__xludf.DUMMYFUNCTION("""COMPUTED_VALUE"""),"jackson.bohannon@2hourlearning.com")</f>
        <v>jackson.bohannon@2hourlearning.com</v>
      </c>
      <c r="L1890" s="6" t="str">
        <f>IFERROR(__xludf.DUMMYFUNCTION("""COMPUTED_VALUE"""),"Irvington High School")</f>
        <v>Irvington High School</v>
      </c>
      <c r="M1890" s="6" t="str">
        <f>IFERROR(__xludf.DUMMYFUNCTION("""COMPUTED_VALUE"""),"")</f>
        <v/>
      </c>
      <c r="N1890" s="6" t="str">
        <f>IFERROR(__xludf.DUMMYFUNCTION("""COMPUTED_VALUE"""),"")</f>
        <v/>
      </c>
      <c r="O1890" s="87" t="str">
        <f>IFERROR(__xludf.DUMMYFUNCTION("""COMPUTED_VALUE"""),"https://drive.google.com/drive/folders/10T2cTQHqEJZqE-st6uFKPoI?usp=share_link")</f>
        <v>https://drive.google.com/drive/folders/10T2cTQHqEJZqE-st6uFKPoI?usp=share_link</v>
      </c>
      <c r="P1890" s="6" t="str">
        <f>IFERROR(__xludf.DUMMYFUNCTION("""COMPUTED_VALUE"""),"Jackson Bohannon")</f>
        <v>Jackson Bohannon</v>
      </c>
      <c r="Q1890" s="6" t="str">
        <f>IFERROR(__xludf.DUMMYFUNCTION("""COMPUTED_VALUE"""),"HS")</f>
        <v>HS</v>
      </c>
      <c r="R1890" s="6">
        <f>IFERROR(__xludf.DUMMYFUNCTION("""COMPUTED_VALUE"""),0.0)</f>
        <v>0</v>
      </c>
      <c r="S1890" s="6" t="str">
        <f>IFERROR(__xludf.DUMMYFUNCTION("""COMPUTED_VALUE"""),"Alicia Westcot")</f>
        <v>Alicia Westcot</v>
      </c>
      <c r="T1890" s="6" t="str">
        <f>IFERROR(__xludf.DUMMYFUNCTION("""COMPUTED_VALUE"""),"alicia.westcot@studient.com")</f>
        <v>alicia.westcot@studient.com</v>
      </c>
      <c r="U1890" s="6" t="str">
        <f>IFERROR(__xludf.DUMMYFUNCTION("""COMPUTED_VALUE"""),"9")</f>
        <v>9</v>
      </c>
      <c r="V1890" s="6" t="str">
        <f>IFERROR(__xludf.DUMMYFUNCTION("""COMPUTED_VALUE"""),"English")</f>
        <v>English</v>
      </c>
      <c r="W1890" s="6" t="str">
        <f>IFERROR(__xludf.DUMMYFUNCTION("""COMPUTED_VALUE"""),"[]")</f>
        <v>[]</v>
      </c>
      <c r="X1890" s="6" t="str">
        <f>IFERROR(__xludf.DUMMYFUNCTION("""COMPUTED_VALUE"""),"Enrolled")</f>
        <v>Enrolled</v>
      </c>
    </row>
    <row r="1891">
      <c r="A1891" s="6" t="str">
        <f>IFERROR(__xludf.DUMMYFUNCTION("""COMPUTED_VALUE"""),"018-7097")</f>
        <v>018-7097</v>
      </c>
      <c r="B1891" s="6" t="str">
        <f>IFERROR(__xludf.DUMMYFUNCTION("""COMPUTED_VALUE"""),"18")</f>
        <v>18</v>
      </c>
      <c r="C1891" s="6" t="str">
        <f>IFERROR(__xludf.DUMMYFUNCTION("""COMPUTED_VALUE"""),"7097")</f>
        <v>7097</v>
      </c>
      <c r="D1891" s="6" t="str">
        <f>IFERROR(__xludf.DUMMYFUNCTION("""COMPUTED_VALUE"""),"Pratyush")</f>
        <v>Pratyush</v>
      </c>
      <c r="E1891" s="6" t="str">
        <f>IFERROR(__xludf.DUMMYFUNCTION("""COMPUTED_VALUE"""),"")</f>
        <v/>
      </c>
      <c r="F1891" s="6" t="str">
        <f>IFERROR(__xludf.DUMMYFUNCTION("""COMPUTED_VALUE"""),"Choudhary")</f>
        <v>Choudhary</v>
      </c>
      <c r="G1891" s="6" t="str">
        <f>IFERROR(__xludf.DUMMYFUNCTION("""COMPUTED_VALUE"""),"10/12/2010")</f>
        <v>10/12/2010</v>
      </c>
      <c r="H1891" s="6" t="str">
        <f>IFERROR(__xludf.DUMMYFUNCTION("""COMPUTED_VALUE"""),"Self Identify")</f>
        <v>Self Identify</v>
      </c>
      <c r="I1891" s="6" t="str">
        <f>IFERROR(__xludf.DUMMYFUNCTION("""COMPUTED_VALUE"""),"High School")</f>
        <v>High School</v>
      </c>
      <c r="J1891" s="6" t="str">
        <f>IFERROR(__xludf.DUMMYFUNCTION("""COMPUTED_VALUE"""),"9")</f>
        <v>9</v>
      </c>
      <c r="K1891" s="6" t="str">
        <f>IFERROR(__xludf.DUMMYFUNCTION("""COMPUTED_VALUE"""),"pratyush.choudhary@2hourlearning.com")</f>
        <v>pratyush.choudhary@2hourlearning.com</v>
      </c>
      <c r="L1891" s="6" t="str">
        <f>IFERROR(__xludf.DUMMYFUNCTION("""COMPUTED_VALUE"""),"Irvington High School")</f>
        <v>Irvington High School</v>
      </c>
      <c r="M1891" s="6" t="str">
        <f>IFERROR(__xludf.DUMMYFUNCTION("""COMPUTED_VALUE"""),"")</f>
        <v/>
      </c>
      <c r="N1891" s="6" t="str">
        <f>IFERROR(__xludf.DUMMYFUNCTION("""COMPUTED_VALUE"""),"")</f>
        <v/>
      </c>
      <c r="O1891" s="87" t="str">
        <f>IFERROR(__xludf.DUMMYFUNCTION("""COMPUTED_VALUE"""),"https://drive.google.com/drive/folders/10T2cTQHqEJZqE-st6uFKPoI?usp=share_link")</f>
        <v>https://drive.google.com/drive/folders/10T2cTQHqEJZqE-st6uFKPoI?usp=share_link</v>
      </c>
      <c r="P1891" s="6" t="str">
        <f>IFERROR(__xludf.DUMMYFUNCTION("""COMPUTED_VALUE"""),"Pratyush Choudhary")</f>
        <v>Pratyush Choudhary</v>
      </c>
      <c r="Q1891" s="6" t="str">
        <f>IFERROR(__xludf.DUMMYFUNCTION("""COMPUTED_VALUE"""),"HS")</f>
        <v>HS</v>
      </c>
      <c r="R1891" s="6">
        <f>IFERROR(__xludf.DUMMYFUNCTION("""COMPUTED_VALUE"""),0.0)</f>
        <v>0</v>
      </c>
      <c r="S1891" s="6" t="str">
        <f>IFERROR(__xludf.DUMMYFUNCTION("""COMPUTED_VALUE"""),"Alicia Westcot")</f>
        <v>Alicia Westcot</v>
      </c>
      <c r="T1891" s="6" t="str">
        <f>IFERROR(__xludf.DUMMYFUNCTION("""COMPUTED_VALUE"""),"alicia.westcot@studient.com")</f>
        <v>alicia.westcot@studient.com</v>
      </c>
      <c r="U1891" s="6" t="str">
        <f>IFERROR(__xludf.DUMMYFUNCTION("""COMPUTED_VALUE"""),"9")</f>
        <v>9</v>
      </c>
      <c r="V1891" s="6" t="str">
        <f>IFERROR(__xludf.DUMMYFUNCTION("""COMPUTED_VALUE"""),"English")</f>
        <v>English</v>
      </c>
      <c r="W1891" s="6" t="str">
        <f>IFERROR(__xludf.DUMMYFUNCTION("""COMPUTED_VALUE"""),"[]")</f>
        <v>[]</v>
      </c>
      <c r="X1891" s="6" t="str">
        <f>IFERROR(__xludf.DUMMYFUNCTION("""COMPUTED_VALUE"""),"Enrolled")</f>
        <v>Enrolled</v>
      </c>
    </row>
    <row r="1892">
      <c r="A1892" s="6" t="str">
        <f>IFERROR(__xludf.DUMMYFUNCTION("""COMPUTED_VALUE"""),"018-7098")</f>
        <v>018-7098</v>
      </c>
      <c r="B1892" s="6" t="str">
        <f>IFERROR(__xludf.DUMMYFUNCTION("""COMPUTED_VALUE"""),"18")</f>
        <v>18</v>
      </c>
      <c r="C1892" s="6" t="str">
        <f>IFERROR(__xludf.DUMMYFUNCTION("""COMPUTED_VALUE"""),"7098")</f>
        <v>7098</v>
      </c>
      <c r="D1892" s="6" t="str">
        <f>IFERROR(__xludf.DUMMYFUNCTION("""COMPUTED_VALUE"""),"Cristian")</f>
        <v>Cristian</v>
      </c>
      <c r="E1892" s="6" t="str">
        <f>IFERROR(__xludf.DUMMYFUNCTION("""COMPUTED_VALUE"""),"")</f>
        <v/>
      </c>
      <c r="F1892" s="6" t="str">
        <f>IFERROR(__xludf.DUMMYFUNCTION("""COMPUTED_VALUE"""),"Gaytan")</f>
        <v>Gaytan</v>
      </c>
      <c r="G1892" s="6" t="str">
        <f>IFERROR(__xludf.DUMMYFUNCTION("""COMPUTED_VALUE"""),"07/25/2011")</f>
        <v>07/25/2011</v>
      </c>
      <c r="H1892" s="6" t="str">
        <f>IFERROR(__xludf.DUMMYFUNCTION("""COMPUTED_VALUE"""),"Self Identify")</f>
        <v>Self Identify</v>
      </c>
      <c r="I1892" s="6" t="str">
        <f>IFERROR(__xludf.DUMMYFUNCTION("""COMPUTED_VALUE"""),"High School")</f>
        <v>High School</v>
      </c>
      <c r="J1892" s="6" t="str">
        <f>IFERROR(__xludf.DUMMYFUNCTION("""COMPUTED_VALUE"""),"9")</f>
        <v>9</v>
      </c>
      <c r="K1892" s="6" t="str">
        <f>IFERROR(__xludf.DUMMYFUNCTION("""COMPUTED_VALUE"""),"cristian.gaytan@2hourlearning.com")</f>
        <v>cristian.gaytan@2hourlearning.com</v>
      </c>
      <c r="L1892" s="6" t="str">
        <f>IFERROR(__xludf.DUMMYFUNCTION("""COMPUTED_VALUE"""),"Irvington High School")</f>
        <v>Irvington High School</v>
      </c>
      <c r="M1892" s="6" t="str">
        <f>IFERROR(__xludf.DUMMYFUNCTION("""COMPUTED_VALUE"""),"")</f>
        <v/>
      </c>
      <c r="N1892" s="6" t="str">
        <f>IFERROR(__xludf.DUMMYFUNCTION("""COMPUTED_VALUE"""),"")</f>
        <v/>
      </c>
      <c r="O1892" s="87" t="str">
        <f>IFERROR(__xludf.DUMMYFUNCTION("""COMPUTED_VALUE"""),"https://drive.google.com/drive/folders/10T2cTQHqEJZqE-st6uFKPoI?usp=share_link")</f>
        <v>https://drive.google.com/drive/folders/10T2cTQHqEJZqE-st6uFKPoI?usp=share_link</v>
      </c>
      <c r="P1892" s="6" t="str">
        <f>IFERROR(__xludf.DUMMYFUNCTION("""COMPUTED_VALUE"""),"Cristian Gaytan")</f>
        <v>Cristian Gaytan</v>
      </c>
      <c r="Q1892" s="6" t="str">
        <f>IFERROR(__xludf.DUMMYFUNCTION("""COMPUTED_VALUE"""),"HS")</f>
        <v>HS</v>
      </c>
      <c r="R1892" s="6">
        <f>IFERROR(__xludf.DUMMYFUNCTION("""COMPUTED_VALUE"""),0.0)</f>
        <v>0</v>
      </c>
      <c r="S1892" s="6" t="str">
        <f>IFERROR(__xludf.DUMMYFUNCTION("""COMPUTED_VALUE"""),"Alicia Westcot")</f>
        <v>Alicia Westcot</v>
      </c>
      <c r="T1892" s="6" t="str">
        <f>IFERROR(__xludf.DUMMYFUNCTION("""COMPUTED_VALUE"""),"alicia.westcot@studient.com")</f>
        <v>alicia.westcot@studient.com</v>
      </c>
      <c r="U1892" s="6" t="str">
        <f>IFERROR(__xludf.DUMMYFUNCTION("""COMPUTED_VALUE"""),"9")</f>
        <v>9</v>
      </c>
      <c r="V1892" s="6" t="str">
        <f>IFERROR(__xludf.DUMMYFUNCTION("""COMPUTED_VALUE"""),"English")</f>
        <v>English</v>
      </c>
      <c r="W1892" s="6" t="str">
        <f>IFERROR(__xludf.DUMMYFUNCTION("""COMPUTED_VALUE"""),"[]")</f>
        <v>[]</v>
      </c>
      <c r="X1892" s="6" t="str">
        <f>IFERROR(__xludf.DUMMYFUNCTION("""COMPUTED_VALUE"""),"Enrolled")</f>
        <v>Enrolled</v>
      </c>
    </row>
    <row r="1893">
      <c r="A1893" s="6" t="str">
        <f>IFERROR(__xludf.DUMMYFUNCTION("""COMPUTED_VALUE"""),"018-7099")</f>
        <v>018-7099</v>
      </c>
      <c r="B1893" s="6" t="str">
        <f>IFERROR(__xludf.DUMMYFUNCTION("""COMPUTED_VALUE"""),"18")</f>
        <v>18</v>
      </c>
      <c r="C1893" s="6" t="str">
        <f>IFERROR(__xludf.DUMMYFUNCTION("""COMPUTED_VALUE"""),"7099")</f>
        <v>7099</v>
      </c>
      <c r="D1893" s="6" t="str">
        <f>IFERROR(__xludf.DUMMYFUNCTION("""COMPUTED_VALUE"""),"Jacob")</f>
        <v>Jacob</v>
      </c>
      <c r="E1893" s="6" t="str">
        <f>IFERROR(__xludf.DUMMYFUNCTION("""COMPUTED_VALUE"""),"")</f>
        <v/>
      </c>
      <c r="F1893" s="6" t="str">
        <f>IFERROR(__xludf.DUMMYFUNCTION("""COMPUTED_VALUE"""),"Cornejo")</f>
        <v>Cornejo</v>
      </c>
      <c r="G1893" s="6" t="str">
        <f>IFERROR(__xludf.DUMMYFUNCTION("""COMPUTED_VALUE"""),"05/18/2011")</f>
        <v>05/18/2011</v>
      </c>
      <c r="H1893" s="6" t="str">
        <f>IFERROR(__xludf.DUMMYFUNCTION("""COMPUTED_VALUE"""),"Self Identify")</f>
        <v>Self Identify</v>
      </c>
      <c r="I1893" s="6" t="str">
        <f>IFERROR(__xludf.DUMMYFUNCTION("""COMPUTED_VALUE"""),"High School")</f>
        <v>High School</v>
      </c>
      <c r="J1893" s="6" t="str">
        <f>IFERROR(__xludf.DUMMYFUNCTION("""COMPUTED_VALUE"""),"9")</f>
        <v>9</v>
      </c>
      <c r="K1893" s="6" t="str">
        <f>IFERROR(__xludf.DUMMYFUNCTION("""COMPUTED_VALUE"""),"jacob.cornejo@2hourlearning.com")</f>
        <v>jacob.cornejo@2hourlearning.com</v>
      </c>
      <c r="L1893" s="6" t="str">
        <f>IFERROR(__xludf.DUMMYFUNCTION("""COMPUTED_VALUE"""),"Irvington High School")</f>
        <v>Irvington High School</v>
      </c>
      <c r="M1893" s="6" t="str">
        <f>IFERROR(__xludf.DUMMYFUNCTION("""COMPUTED_VALUE"""),"")</f>
        <v/>
      </c>
      <c r="N1893" s="6" t="str">
        <f>IFERROR(__xludf.DUMMYFUNCTION("""COMPUTED_VALUE"""),"")</f>
        <v/>
      </c>
      <c r="O1893" s="87" t="str">
        <f>IFERROR(__xludf.DUMMYFUNCTION("""COMPUTED_VALUE"""),"https://drive.google.com/drive/folders/10T2cTQHqEJZqE-st6uFKPoI?usp=share_link")</f>
        <v>https://drive.google.com/drive/folders/10T2cTQHqEJZqE-st6uFKPoI?usp=share_link</v>
      </c>
      <c r="P1893" s="6" t="str">
        <f>IFERROR(__xludf.DUMMYFUNCTION("""COMPUTED_VALUE"""),"Jacob Cornejo")</f>
        <v>Jacob Cornejo</v>
      </c>
      <c r="Q1893" s="6" t="str">
        <f>IFERROR(__xludf.DUMMYFUNCTION("""COMPUTED_VALUE"""),"HS")</f>
        <v>HS</v>
      </c>
      <c r="R1893" s="6">
        <f>IFERROR(__xludf.DUMMYFUNCTION("""COMPUTED_VALUE"""),0.0)</f>
        <v>0</v>
      </c>
      <c r="S1893" s="6" t="str">
        <f>IFERROR(__xludf.DUMMYFUNCTION("""COMPUTED_VALUE"""),"Alicia Westcot")</f>
        <v>Alicia Westcot</v>
      </c>
      <c r="T1893" s="6" t="str">
        <f>IFERROR(__xludf.DUMMYFUNCTION("""COMPUTED_VALUE"""),"alicia.westcot@studient.com")</f>
        <v>alicia.westcot@studient.com</v>
      </c>
      <c r="U1893" s="6" t="str">
        <f>IFERROR(__xludf.DUMMYFUNCTION("""COMPUTED_VALUE"""),"9")</f>
        <v>9</v>
      </c>
      <c r="V1893" s="6" t="str">
        <f>IFERROR(__xludf.DUMMYFUNCTION("""COMPUTED_VALUE"""),"English")</f>
        <v>English</v>
      </c>
      <c r="W1893" s="6" t="str">
        <f>IFERROR(__xludf.DUMMYFUNCTION("""COMPUTED_VALUE"""),"[]")</f>
        <v>[]</v>
      </c>
      <c r="X1893" s="6" t="str">
        <f>IFERROR(__xludf.DUMMYFUNCTION("""COMPUTED_VALUE"""),"Enrolled")</f>
        <v>Enrolled</v>
      </c>
    </row>
    <row r="1894">
      <c r="A1894" s="6" t="str">
        <f>IFERROR(__xludf.DUMMYFUNCTION("""COMPUTED_VALUE"""),"018-7100")</f>
        <v>018-7100</v>
      </c>
      <c r="B1894" s="6" t="str">
        <f>IFERROR(__xludf.DUMMYFUNCTION("""COMPUTED_VALUE"""),"18")</f>
        <v>18</v>
      </c>
      <c r="C1894" s="6" t="str">
        <f>IFERROR(__xludf.DUMMYFUNCTION("""COMPUTED_VALUE"""),"7100")</f>
        <v>7100</v>
      </c>
      <c r="D1894" s="6" t="str">
        <f>IFERROR(__xludf.DUMMYFUNCTION("""COMPUTED_VALUE"""),"Jasmine")</f>
        <v>Jasmine</v>
      </c>
      <c r="E1894" s="6" t="str">
        <f>IFERROR(__xludf.DUMMYFUNCTION("""COMPUTED_VALUE"""),"")</f>
        <v/>
      </c>
      <c r="F1894" s="6" t="str">
        <f>IFERROR(__xludf.DUMMYFUNCTION("""COMPUTED_VALUE"""),"Hasanzada")</f>
        <v>Hasanzada</v>
      </c>
      <c r="G1894" s="6" t="str">
        <f>IFERROR(__xludf.DUMMYFUNCTION("""COMPUTED_VALUE"""),"05/16/2011")</f>
        <v>05/16/2011</v>
      </c>
      <c r="H1894" s="6" t="str">
        <f>IFERROR(__xludf.DUMMYFUNCTION("""COMPUTED_VALUE"""),"Self Identify")</f>
        <v>Self Identify</v>
      </c>
      <c r="I1894" s="6" t="str">
        <f>IFERROR(__xludf.DUMMYFUNCTION("""COMPUTED_VALUE"""),"High School")</f>
        <v>High School</v>
      </c>
      <c r="J1894" s="6" t="str">
        <f>IFERROR(__xludf.DUMMYFUNCTION("""COMPUTED_VALUE"""),"9")</f>
        <v>9</v>
      </c>
      <c r="K1894" s="6" t="str">
        <f>IFERROR(__xludf.DUMMYFUNCTION("""COMPUTED_VALUE"""),"jasmine.hasanzada@2hourlearning.com")</f>
        <v>jasmine.hasanzada@2hourlearning.com</v>
      </c>
      <c r="L1894" s="6" t="str">
        <f>IFERROR(__xludf.DUMMYFUNCTION("""COMPUTED_VALUE"""),"Irvington High School")</f>
        <v>Irvington High School</v>
      </c>
      <c r="M1894" s="6" t="str">
        <f>IFERROR(__xludf.DUMMYFUNCTION("""COMPUTED_VALUE"""),"")</f>
        <v/>
      </c>
      <c r="N1894" s="6" t="str">
        <f>IFERROR(__xludf.DUMMYFUNCTION("""COMPUTED_VALUE"""),"")</f>
        <v/>
      </c>
      <c r="O1894" s="87" t="str">
        <f>IFERROR(__xludf.DUMMYFUNCTION("""COMPUTED_VALUE"""),"https://drive.google.com/drive/folders/10T2cTQHqEJZqE-st6uFKPoI?usp=share_link")</f>
        <v>https://drive.google.com/drive/folders/10T2cTQHqEJZqE-st6uFKPoI?usp=share_link</v>
      </c>
      <c r="P1894" s="6" t="str">
        <f>IFERROR(__xludf.DUMMYFUNCTION("""COMPUTED_VALUE"""),"Jasmine Hasanzada")</f>
        <v>Jasmine Hasanzada</v>
      </c>
      <c r="Q1894" s="6" t="str">
        <f>IFERROR(__xludf.DUMMYFUNCTION("""COMPUTED_VALUE"""),"HS")</f>
        <v>HS</v>
      </c>
      <c r="R1894" s="6">
        <f>IFERROR(__xludf.DUMMYFUNCTION("""COMPUTED_VALUE"""),0.0)</f>
        <v>0</v>
      </c>
      <c r="S1894" s="6" t="str">
        <f>IFERROR(__xludf.DUMMYFUNCTION("""COMPUTED_VALUE"""),"Alicia Westcot")</f>
        <v>Alicia Westcot</v>
      </c>
      <c r="T1894" s="6" t="str">
        <f>IFERROR(__xludf.DUMMYFUNCTION("""COMPUTED_VALUE"""),"alicia.westcot@studient.com")</f>
        <v>alicia.westcot@studient.com</v>
      </c>
      <c r="U1894" s="6" t="str">
        <f>IFERROR(__xludf.DUMMYFUNCTION("""COMPUTED_VALUE"""),"9")</f>
        <v>9</v>
      </c>
      <c r="V1894" s="6" t="str">
        <f>IFERROR(__xludf.DUMMYFUNCTION("""COMPUTED_VALUE"""),"English")</f>
        <v>English</v>
      </c>
      <c r="W1894" s="6" t="str">
        <f>IFERROR(__xludf.DUMMYFUNCTION("""COMPUTED_VALUE"""),"[]")</f>
        <v>[]</v>
      </c>
      <c r="X1894" s="6" t="str">
        <f>IFERROR(__xludf.DUMMYFUNCTION("""COMPUTED_VALUE"""),"Enrolled")</f>
        <v>Enrolled</v>
      </c>
    </row>
    <row r="1895">
      <c r="A1895" s="6" t="str">
        <f>IFERROR(__xludf.DUMMYFUNCTION("""COMPUTED_VALUE"""),"018-7101")</f>
        <v>018-7101</v>
      </c>
      <c r="B1895" s="6" t="str">
        <f>IFERROR(__xludf.DUMMYFUNCTION("""COMPUTED_VALUE"""),"18")</f>
        <v>18</v>
      </c>
      <c r="C1895" s="6" t="str">
        <f>IFERROR(__xludf.DUMMYFUNCTION("""COMPUTED_VALUE"""),"7101")</f>
        <v>7101</v>
      </c>
      <c r="D1895" s="6" t="str">
        <f>IFERROR(__xludf.DUMMYFUNCTION("""COMPUTED_VALUE"""),"Juan")</f>
        <v>Juan</v>
      </c>
      <c r="E1895" s="6" t="str">
        <f>IFERROR(__xludf.DUMMYFUNCTION("""COMPUTED_VALUE"""),"")</f>
        <v/>
      </c>
      <c r="F1895" s="6" t="str">
        <f>IFERROR(__xludf.DUMMYFUNCTION("""COMPUTED_VALUE"""),"Magana Tovar")</f>
        <v>Magana Tovar</v>
      </c>
      <c r="G1895" s="6" t="str">
        <f>IFERROR(__xludf.DUMMYFUNCTION("""COMPUTED_VALUE"""),"09/30/2010")</f>
        <v>09/30/2010</v>
      </c>
      <c r="H1895" s="6" t="str">
        <f>IFERROR(__xludf.DUMMYFUNCTION("""COMPUTED_VALUE"""),"Self Identify")</f>
        <v>Self Identify</v>
      </c>
      <c r="I1895" s="6" t="str">
        <f>IFERROR(__xludf.DUMMYFUNCTION("""COMPUTED_VALUE"""),"High School")</f>
        <v>High School</v>
      </c>
      <c r="J1895" s="6" t="str">
        <f>IFERROR(__xludf.DUMMYFUNCTION("""COMPUTED_VALUE"""),"9")</f>
        <v>9</v>
      </c>
      <c r="K1895" s="6" t="str">
        <f>IFERROR(__xludf.DUMMYFUNCTION("""COMPUTED_VALUE"""),"juan.maganatovar@2hourlearning.com")</f>
        <v>juan.maganatovar@2hourlearning.com</v>
      </c>
      <c r="L1895" s="6" t="str">
        <f>IFERROR(__xludf.DUMMYFUNCTION("""COMPUTED_VALUE"""),"Irvington High School")</f>
        <v>Irvington High School</v>
      </c>
      <c r="M1895" s="6" t="str">
        <f>IFERROR(__xludf.DUMMYFUNCTION("""COMPUTED_VALUE"""),"")</f>
        <v/>
      </c>
      <c r="N1895" s="6" t="str">
        <f>IFERROR(__xludf.DUMMYFUNCTION("""COMPUTED_VALUE"""),"")</f>
        <v/>
      </c>
      <c r="O1895" s="87" t="str">
        <f>IFERROR(__xludf.DUMMYFUNCTION("""COMPUTED_VALUE"""),"https://drive.google.com/drive/folders/10T2cTQHqEJZqE-st6uFKPoI?usp=share_link")</f>
        <v>https://drive.google.com/drive/folders/10T2cTQHqEJZqE-st6uFKPoI?usp=share_link</v>
      </c>
      <c r="P1895" s="6" t="str">
        <f>IFERROR(__xludf.DUMMYFUNCTION("""COMPUTED_VALUE"""),"Juan Magana Tovar")</f>
        <v>Juan Magana Tovar</v>
      </c>
      <c r="Q1895" s="6" t="str">
        <f>IFERROR(__xludf.DUMMYFUNCTION("""COMPUTED_VALUE"""),"HS")</f>
        <v>HS</v>
      </c>
      <c r="R1895" s="6">
        <f>IFERROR(__xludf.DUMMYFUNCTION("""COMPUTED_VALUE"""),0.0)</f>
        <v>0</v>
      </c>
      <c r="S1895" s="6" t="str">
        <f>IFERROR(__xludf.DUMMYFUNCTION("""COMPUTED_VALUE"""),"Alicia Westcot")</f>
        <v>Alicia Westcot</v>
      </c>
      <c r="T1895" s="6" t="str">
        <f>IFERROR(__xludf.DUMMYFUNCTION("""COMPUTED_VALUE"""),"alicia.westcot@studient.com")</f>
        <v>alicia.westcot@studient.com</v>
      </c>
      <c r="U1895" s="6" t="str">
        <f>IFERROR(__xludf.DUMMYFUNCTION("""COMPUTED_VALUE"""),"9")</f>
        <v>9</v>
      </c>
      <c r="V1895" s="6" t="str">
        <f>IFERROR(__xludf.DUMMYFUNCTION("""COMPUTED_VALUE"""),"Spanish")</f>
        <v>Spanish</v>
      </c>
      <c r="W1895" s="6" t="str">
        <f>IFERROR(__xludf.DUMMYFUNCTION("""COMPUTED_VALUE"""),"[]")</f>
        <v>[]</v>
      </c>
      <c r="X1895" s="6" t="str">
        <f>IFERROR(__xludf.DUMMYFUNCTION("""COMPUTED_VALUE"""),"Enrolled")</f>
        <v>Enrolled</v>
      </c>
    </row>
    <row r="1896">
      <c r="A1896" s="6" t="str">
        <f>IFERROR(__xludf.DUMMYFUNCTION("""COMPUTED_VALUE"""),"018-7102")</f>
        <v>018-7102</v>
      </c>
      <c r="B1896" s="6" t="str">
        <f>IFERROR(__xludf.DUMMYFUNCTION("""COMPUTED_VALUE"""),"18")</f>
        <v>18</v>
      </c>
      <c r="C1896" s="6" t="str">
        <f>IFERROR(__xludf.DUMMYFUNCTION("""COMPUTED_VALUE"""),"7102")</f>
        <v>7102</v>
      </c>
      <c r="D1896" s="6" t="str">
        <f>IFERROR(__xludf.DUMMYFUNCTION("""COMPUTED_VALUE"""),"Jhon")</f>
        <v>Jhon</v>
      </c>
      <c r="E1896" s="6" t="str">
        <f>IFERROR(__xludf.DUMMYFUNCTION("""COMPUTED_VALUE"""),"")</f>
        <v/>
      </c>
      <c r="F1896" s="6" t="str">
        <f>IFERROR(__xludf.DUMMYFUNCTION("""COMPUTED_VALUE"""),"Martinez Perez")</f>
        <v>Martinez Perez</v>
      </c>
      <c r="G1896" s="6" t="str">
        <f>IFERROR(__xludf.DUMMYFUNCTION("""COMPUTED_VALUE"""),"11/04/2009")</f>
        <v>11/04/2009</v>
      </c>
      <c r="H1896" s="6" t="str">
        <f>IFERROR(__xludf.DUMMYFUNCTION("""COMPUTED_VALUE"""),"Self Identify")</f>
        <v>Self Identify</v>
      </c>
      <c r="I1896" s="6" t="str">
        <f>IFERROR(__xludf.DUMMYFUNCTION("""COMPUTED_VALUE"""),"High School")</f>
        <v>High School</v>
      </c>
      <c r="J1896" s="6" t="str">
        <f>IFERROR(__xludf.DUMMYFUNCTION("""COMPUTED_VALUE"""),"11")</f>
        <v>11</v>
      </c>
      <c r="K1896" s="6" t="str">
        <f>IFERROR(__xludf.DUMMYFUNCTION("""COMPUTED_VALUE"""),"jhon.martinezperez@2hourlearning.com")</f>
        <v>jhon.martinezperez@2hourlearning.com</v>
      </c>
      <c r="L1896" s="6" t="str">
        <f>IFERROR(__xludf.DUMMYFUNCTION("""COMPUTED_VALUE"""),"Irvington High School")</f>
        <v>Irvington High School</v>
      </c>
      <c r="M1896" s="6" t="str">
        <f>IFERROR(__xludf.DUMMYFUNCTION("""COMPUTED_VALUE"""),"")</f>
        <v/>
      </c>
      <c r="N1896" s="6" t="str">
        <f>IFERROR(__xludf.DUMMYFUNCTION("""COMPUTED_VALUE"""),"")</f>
        <v/>
      </c>
      <c r="O1896" s="87" t="str">
        <f>IFERROR(__xludf.DUMMYFUNCTION("""COMPUTED_VALUE"""),"https://drive.google.com/drive/folders/10T2cTQHqEJZqE-st6uFKPoI?usp=share_link")</f>
        <v>https://drive.google.com/drive/folders/10T2cTQHqEJZqE-st6uFKPoI?usp=share_link</v>
      </c>
      <c r="P1896" s="6" t="str">
        <f>IFERROR(__xludf.DUMMYFUNCTION("""COMPUTED_VALUE"""),"Jhon Martinez Perez")</f>
        <v>Jhon Martinez Perez</v>
      </c>
      <c r="Q1896" s="6" t="str">
        <f>IFERROR(__xludf.DUMMYFUNCTION("""COMPUTED_VALUE"""),"HS")</f>
        <v>HS</v>
      </c>
      <c r="R1896" s="6">
        <f>IFERROR(__xludf.DUMMYFUNCTION("""COMPUTED_VALUE"""),0.0)</f>
        <v>0</v>
      </c>
      <c r="S1896" s="6" t="str">
        <f>IFERROR(__xludf.DUMMYFUNCTION("""COMPUTED_VALUE"""),"Alicia Westcot")</f>
        <v>Alicia Westcot</v>
      </c>
      <c r="T1896" s="6" t="str">
        <f>IFERROR(__xludf.DUMMYFUNCTION("""COMPUTED_VALUE"""),"alicia.westcot@studient.com")</f>
        <v>alicia.westcot@studient.com</v>
      </c>
      <c r="U1896" s="6" t="str">
        <f>IFERROR(__xludf.DUMMYFUNCTION("""COMPUTED_VALUE"""),"11")</f>
        <v>11</v>
      </c>
      <c r="V1896" s="6" t="str">
        <f>IFERROR(__xludf.DUMMYFUNCTION("""COMPUTED_VALUE"""),"Spanish")</f>
        <v>Spanish</v>
      </c>
      <c r="W1896" s="6" t="str">
        <f>IFERROR(__xludf.DUMMYFUNCTION("""COMPUTED_VALUE"""),"[]")</f>
        <v>[]</v>
      </c>
      <c r="X1896" s="6" t="str">
        <f>IFERROR(__xludf.DUMMYFUNCTION("""COMPUTED_VALUE"""),"Enrolled")</f>
        <v>Enrolled</v>
      </c>
    </row>
    <row r="1897">
      <c r="A1897" s="6" t="str">
        <f>IFERROR(__xludf.DUMMYFUNCTION("""COMPUTED_VALUE"""),"018-7103")</f>
        <v>018-7103</v>
      </c>
      <c r="B1897" s="6" t="str">
        <f>IFERROR(__xludf.DUMMYFUNCTION("""COMPUTED_VALUE"""),"18")</f>
        <v>18</v>
      </c>
      <c r="C1897" s="6" t="str">
        <f>IFERROR(__xludf.DUMMYFUNCTION("""COMPUTED_VALUE"""),"7103")</f>
        <v>7103</v>
      </c>
      <c r="D1897" s="6" t="str">
        <f>IFERROR(__xludf.DUMMYFUNCTION("""COMPUTED_VALUE"""),"Ferough")</f>
        <v>Ferough</v>
      </c>
      <c r="E1897" s="6" t="str">
        <f>IFERROR(__xludf.DUMMYFUNCTION("""COMPUTED_VALUE"""),"")</f>
        <v/>
      </c>
      <c r="F1897" s="6" t="str">
        <f>IFERROR(__xludf.DUMMYFUNCTION("""COMPUTED_VALUE"""),"Osmani")</f>
        <v>Osmani</v>
      </c>
      <c r="G1897" s="6" t="str">
        <f>IFERROR(__xludf.DUMMYFUNCTION("""COMPUTED_VALUE"""),"07/21/2011")</f>
        <v>07/21/2011</v>
      </c>
      <c r="H1897" s="6" t="str">
        <f>IFERROR(__xludf.DUMMYFUNCTION("""COMPUTED_VALUE"""),"Self Identify")</f>
        <v>Self Identify</v>
      </c>
      <c r="I1897" s="6" t="str">
        <f>IFERROR(__xludf.DUMMYFUNCTION("""COMPUTED_VALUE"""),"High School")</f>
        <v>High School</v>
      </c>
      <c r="J1897" s="6" t="str">
        <f>IFERROR(__xludf.DUMMYFUNCTION("""COMPUTED_VALUE"""),"9")</f>
        <v>9</v>
      </c>
      <c r="K1897" s="6" t="str">
        <f>IFERROR(__xludf.DUMMYFUNCTION("""COMPUTED_VALUE"""),"ferough.osmani@2hourlearning.com")</f>
        <v>ferough.osmani@2hourlearning.com</v>
      </c>
      <c r="L1897" s="6" t="str">
        <f>IFERROR(__xludf.DUMMYFUNCTION("""COMPUTED_VALUE"""),"Irvington High School")</f>
        <v>Irvington High School</v>
      </c>
      <c r="M1897" s="6" t="str">
        <f>IFERROR(__xludf.DUMMYFUNCTION("""COMPUTED_VALUE"""),"")</f>
        <v/>
      </c>
      <c r="N1897" s="6" t="str">
        <f>IFERROR(__xludf.DUMMYFUNCTION("""COMPUTED_VALUE"""),"")</f>
        <v/>
      </c>
      <c r="O1897" s="87" t="str">
        <f>IFERROR(__xludf.DUMMYFUNCTION("""COMPUTED_VALUE"""),"https://drive.google.com/drive/folders/10T2cTQHqEJZqE-st6uFKPoI?usp=share_link")</f>
        <v>https://drive.google.com/drive/folders/10T2cTQHqEJZqE-st6uFKPoI?usp=share_link</v>
      </c>
      <c r="P1897" s="6" t="str">
        <f>IFERROR(__xludf.DUMMYFUNCTION("""COMPUTED_VALUE"""),"Ferough Osmani")</f>
        <v>Ferough Osmani</v>
      </c>
      <c r="Q1897" s="6" t="str">
        <f>IFERROR(__xludf.DUMMYFUNCTION("""COMPUTED_VALUE"""),"HS")</f>
        <v>HS</v>
      </c>
      <c r="R1897" s="6">
        <f>IFERROR(__xludf.DUMMYFUNCTION("""COMPUTED_VALUE"""),0.0)</f>
        <v>0</v>
      </c>
      <c r="S1897" s="6" t="str">
        <f>IFERROR(__xludf.DUMMYFUNCTION("""COMPUTED_VALUE"""),"Alicia Westcot")</f>
        <v>Alicia Westcot</v>
      </c>
      <c r="T1897" s="6" t="str">
        <f>IFERROR(__xludf.DUMMYFUNCTION("""COMPUTED_VALUE"""),"alicia.westcot@studient.com")</f>
        <v>alicia.westcot@studient.com</v>
      </c>
      <c r="U1897" s="6" t="str">
        <f>IFERROR(__xludf.DUMMYFUNCTION("""COMPUTED_VALUE"""),"9")</f>
        <v>9</v>
      </c>
      <c r="V1897" s="6" t="str">
        <f>IFERROR(__xludf.DUMMYFUNCTION("""COMPUTED_VALUE"""),"English")</f>
        <v>English</v>
      </c>
      <c r="W1897" s="6" t="str">
        <f>IFERROR(__xludf.DUMMYFUNCTION("""COMPUTED_VALUE"""),"[]")</f>
        <v>[]</v>
      </c>
      <c r="X1897" s="6" t="str">
        <f>IFERROR(__xludf.DUMMYFUNCTION("""COMPUTED_VALUE"""),"Enrolled")</f>
        <v>Enrolled</v>
      </c>
    </row>
    <row r="1898">
      <c r="A1898" s="6" t="str">
        <f>IFERROR(__xludf.DUMMYFUNCTION("""COMPUTED_VALUE"""),"018-7104")</f>
        <v>018-7104</v>
      </c>
      <c r="B1898" s="6" t="str">
        <f>IFERROR(__xludf.DUMMYFUNCTION("""COMPUTED_VALUE"""),"18")</f>
        <v>18</v>
      </c>
      <c r="C1898" s="6" t="str">
        <f>IFERROR(__xludf.DUMMYFUNCTION("""COMPUTED_VALUE"""),"7104")</f>
        <v>7104</v>
      </c>
      <c r="D1898" s="6" t="str">
        <f>IFERROR(__xludf.DUMMYFUNCTION("""COMPUTED_VALUE"""),"Adrien")</f>
        <v>Adrien</v>
      </c>
      <c r="E1898" s="6" t="str">
        <f>IFERROR(__xludf.DUMMYFUNCTION("""COMPUTED_VALUE"""),"")</f>
        <v/>
      </c>
      <c r="F1898" s="6" t="str">
        <f>IFERROR(__xludf.DUMMYFUNCTION("""COMPUTED_VALUE"""),"Perera")</f>
        <v>Perera</v>
      </c>
      <c r="G1898" s="6" t="str">
        <f>IFERROR(__xludf.DUMMYFUNCTION("""COMPUTED_VALUE"""),"06/05/2011")</f>
        <v>06/05/2011</v>
      </c>
      <c r="H1898" s="6" t="str">
        <f>IFERROR(__xludf.DUMMYFUNCTION("""COMPUTED_VALUE"""),"Self Identify")</f>
        <v>Self Identify</v>
      </c>
      <c r="I1898" s="6" t="str">
        <f>IFERROR(__xludf.DUMMYFUNCTION("""COMPUTED_VALUE"""),"High School")</f>
        <v>High School</v>
      </c>
      <c r="J1898" s="6" t="str">
        <f>IFERROR(__xludf.DUMMYFUNCTION("""COMPUTED_VALUE"""),"9")</f>
        <v>9</v>
      </c>
      <c r="K1898" s="6" t="str">
        <f>IFERROR(__xludf.DUMMYFUNCTION("""COMPUTED_VALUE"""),"adrien.perera@2hourlearning.com")</f>
        <v>adrien.perera@2hourlearning.com</v>
      </c>
      <c r="L1898" s="6" t="str">
        <f>IFERROR(__xludf.DUMMYFUNCTION("""COMPUTED_VALUE"""),"Irvington High School")</f>
        <v>Irvington High School</v>
      </c>
      <c r="M1898" s="6" t="str">
        <f>IFERROR(__xludf.DUMMYFUNCTION("""COMPUTED_VALUE"""),"")</f>
        <v/>
      </c>
      <c r="N1898" s="6" t="str">
        <f>IFERROR(__xludf.DUMMYFUNCTION("""COMPUTED_VALUE"""),"")</f>
        <v/>
      </c>
      <c r="O1898" s="87" t="str">
        <f>IFERROR(__xludf.DUMMYFUNCTION("""COMPUTED_VALUE"""),"https://drive.google.com/drive/folders/10T2cTQHqEJZqE-st6uFKPoI?usp=share_link")</f>
        <v>https://drive.google.com/drive/folders/10T2cTQHqEJZqE-st6uFKPoI?usp=share_link</v>
      </c>
      <c r="P1898" s="6" t="str">
        <f>IFERROR(__xludf.DUMMYFUNCTION("""COMPUTED_VALUE"""),"Adrien Perera")</f>
        <v>Adrien Perera</v>
      </c>
      <c r="Q1898" s="6" t="str">
        <f>IFERROR(__xludf.DUMMYFUNCTION("""COMPUTED_VALUE"""),"HS")</f>
        <v>HS</v>
      </c>
      <c r="R1898" s="6">
        <f>IFERROR(__xludf.DUMMYFUNCTION("""COMPUTED_VALUE"""),0.0)</f>
        <v>0</v>
      </c>
      <c r="S1898" s="6" t="str">
        <f>IFERROR(__xludf.DUMMYFUNCTION("""COMPUTED_VALUE"""),"Alicia Westcot")</f>
        <v>Alicia Westcot</v>
      </c>
      <c r="T1898" s="6" t="str">
        <f>IFERROR(__xludf.DUMMYFUNCTION("""COMPUTED_VALUE"""),"alicia.westcot@studient.com")</f>
        <v>alicia.westcot@studient.com</v>
      </c>
      <c r="U1898" s="6" t="str">
        <f>IFERROR(__xludf.DUMMYFUNCTION("""COMPUTED_VALUE"""),"9")</f>
        <v>9</v>
      </c>
      <c r="V1898" s="6" t="str">
        <f>IFERROR(__xludf.DUMMYFUNCTION("""COMPUTED_VALUE"""),"English")</f>
        <v>English</v>
      </c>
      <c r="W1898" s="6" t="str">
        <f>IFERROR(__xludf.DUMMYFUNCTION("""COMPUTED_VALUE"""),"[]")</f>
        <v>[]</v>
      </c>
      <c r="X1898" s="6" t="str">
        <f>IFERROR(__xludf.DUMMYFUNCTION("""COMPUTED_VALUE"""),"Enrolled")</f>
        <v>Enrolled</v>
      </c>
    </row>
    <row r="1899">
      <c r="A1899" s="6" t="str">
        <f>IFERROR(__xludf.DUMMYFUNCTION("""COMPUTED_VALUE"""),"018-7105")</f>
        <v>018-7105</v>
      </c>
      <c r="B1899" s="6" t="str">
        <f>IFERROR(__xludf.DUMMYFUNCTION("""COMPUTED_VALUE"""),"18")</f>
        <v>18</v>
      </c>
      <c r="C1899" s="6" t="str">
        <f>IFERROR(__xludf.DUMMYFUNCTION("""COMPUTED_VALUE"""),"7105")</f>
        <v>7105</v>
      </c>
      <c r="D1899" s="6" t="str">
        <f>IFERROR(__xludf.DUMMYFUNCTION("""COMPUTED_VALUE"""),"Sathyajith")</f>
        <v>Sathyajith</v>
      </c>
      <c r="E1899" s="6" t="str">
        <f>IFERROR(__xludf.DUMMYFUNCTION("""COMPUTED_VALUE"""),"")</f>
        <v/>
      </c>
      <c r="F1899" s="6" t="str">
        <f>IFERROR(__xludf.DUMMYFUNCTION("""COMPUTED_VALUE"""),"Ramesh")</f>
        <v>Ramesh</v>
      </c>
      <c r="G1899" s="6" t="str">
        <f>IFERROR(__xludf.DUMMYFUNCTION("""COMPUTED_VALUE"""),"07/28/2011")</f>
        <v>07/28/2011</v>
      </c>
      <c r="H1899" s="6" t="str">
        <f>IFERROR(__xludf.DUMMYFUNCTION("""COMPUTED_VALUE"""),"Self Identify")</f>
        <v>Self Identify</v>
      </c>
      <c r="I1899" s="6" t="str">
        <f>IFERROR(__xludf.DUMMYFUNCTION("""COMPUTED_VALUE"""),"High School")</f>
        <v>High School</v>
      </c>
      <c r="J1899" s="6" t="str">
        <f>IFERROR(__xludf.DUMMYFUNCTION("""COMPUTED_VALUE"""),"9")</f>
        <v>9</v>
      </c>
      <c r="K1899" s="6" t="str">
        <f>IFERROR(__xludf.DUMMYFUNCTION("""COMPUTED_VALUE"""),"sathyajith.ramesh@2hourlearning.com")</f>
        <v>sathyajith.ramesh@2hourlearning.com</v>
      </c>
      <c r="L1899" s="6" t="str">
        <f>IFERROR(__xludf.DUMMYFUNCTION("""COMPUTED_VALUE"""),"Irvington High School")</f>
        <v>Irvington High School</v>
      </c>
      <c r="M1899" s="6" t="str">
        <f>IFERROR(__xludf.DUMMYFUNCTION("""COMPUTED_VALUE"""),"")</f>
        <v/>
      </c>
      <c r="N1899" s="6" t="str">
        <f>IFERROR(__xludf.DUMMYFUNCTION("""COMPUTED_VALUE"""),"")</f>
        <v/>
      </c>
      <c r="O1899" s="87" t="str">
        <f>IFERROR(__xludf.DUMMYFUNCTION("""COMPUTED_VALUE"""),"https://drive.google.com/drive/folders/10T2cTQHqEJZqE-st6uFKPoI?usp=share_link")</f>
        <v>https://drive.google.com/drive/folders/10T2cTQHqEJZqE-st6uFKPoI?usp=share_link</v>
      </c>
      <c r="P1899" s="6" t="str">
        <f>IFERROR(__xludf.DUMMYFUNCTION("""COMPUTED_VALUE"""),"Sathyajith Ramesh")</f>
        <v>Sathyajith Ramesh</v>
      </c>
      <c r="Q1899" s="6" t="str">
        <f>IFERROR(__xludf.DUMMYFUNCTION("""COMPUTED_VALUE"""),"HS")</f>
        <v>HS</v>
      </c>
      <c r="R1899" s="6">
        <f>IFERROR(__xludf.DUMMYFUNCTION("""COMPUTED_VALUE"""),0.0)</f>
        <v>0</v>
      </c>
      <c r="S1899" s="6" t="str">
        <f>IFERROR(__xludf.DUMMYFUNCTION("""COMPUTED_VALUE"""),"Alicia Westcot")</f>
        <v>Alicia Westcot</v>
      </c>
      <c r="T1899" s="6" t="str">
        <f>IFERROR(__xludf.DUMMYFUNCTION("""COMPUTED_VALUE"""),"alicia.westcot@studient.com")</f>
        <v>alicia.westcot@studient.com</v>
      </c>
      <c r="U1899" s="6" t="str">
        <f>IFERROR(__xludf.DUMMYFUNCTION("""COMPUTED_VALUE"""),"9")</f>
        <v>9</v>
      </c>
      <c r="V1899" s="6" t="str">
        <f>IFERROR(__xludf.DUMMYFUNCTION("""COMPUTED_VALUE"""),"English")</f>
        <v>English</v>
      </c>
      <c r="W1899" s="6" t="str">
        <f>IFERROR(__xludf.DUMMYFUNCTION("""COMPUTED_VALUE"""),"[]")</f>
        <v>[]</v>
      </c>
      <c r="X1899" s="6" t="str">
        <f>IFERROR(__xludf.DUMMYFUNCTION("""COMPUTED_VALUE"""),"Enrolled")</f>
        <v>Enrolled</v>
      </c>
    </row>
    <row r="1900">
      <c r="A1900" s="6" t="str">
        <f>IFERROR(__xludf.DUMMYFUNCTION("""COMPUTED_VALUE"""),"018-7106")</f>
        <v>018-7106</v>
      </c>
      <c r="B1900" s="6" t="str">
        <f>IFERROR(__xludf.DUMMYFUNCTION("""COMPUTED_VALUE"""),"18")</f>
        <v>18</v>
      </c>
      <c r="C1900" s="6" t="str">
        <f>IFERROR(__xludf.DUMMYFUNCTION("""COMPUTED_VALUE"""),"7106")</f>
        <v>7106</v>
      </c>
      <c r="D1900" s="6" t="str">
        <f>IFERROR(__xludf.DUMMYFUNCTION("""COMPUTED_VALUE"""),"Yuhang")</f>
        <v>Yuhang</v>
      </c>
      <c r="E1900" s="6" t="str">
        <f>IFERROR(__xludf.DUMMYFUNCTION("""COMPUTED_VALUE"""),"")</f>
        <v/>
      </c>
      <c r="F1900" s="6" t="str">
        <f>IFERROR(__xludf.DUMMYFUNCTION("""COMPUTED_VALUE"""),"Ran")</f>
        <v>Ran</v>
      </c>
      <c r="G1900" s="6" t="str">
        <f>IFERROR(__xludf.DUMMYFUNCTION("""COMPUTED_VALUE"""),"01/05/2011")</f>
        <v>01/05/2011</v>
      </c>
      <c r="H1900" s="6" t="str">
        <f>IFERROR(__xludf.DUMMYFUNCTION("""COMPUTED_VALUE"""),"Self Identify")</f>
        <v>Self Identify</v>
      </c>
      <c r="I1900" s="6" t="str">
        <f>IFERROR(__xludf.DUMMYFUNCTION("""COMPUTED_VALUE"""),"High School")</f>
        <v>High School</v>
      </c>
      <c r="J1900" s="6" t="str">
        <f>IFERROR(__xludf.DUMMYFUNCTION("""COMPUTED_VALUE"""),"9")</f>
        <v>9</v>
      </c>
      <c r="K1900" s="6" t="str">
        <f>IFERROR(__xludf.DUMMYFUNCTION("""COMPUTED_VALUE"""),"yuhang.ran@2hourlearning.com")</f>
        <v>yuhang.ran@2hourlearning.com</v>
      </c>
      <c r="L1900" s="6" t="str">
        <f>IFERROR(__xludf.DUMMYFUNCTION("""COMPUTED_VALUE"""),"Irvington High School")</f>
        <v>Irvington High School</v>
      </c>
      <c r="M1900" s="6" t="str">
        <f>IFERROR(__xludf.DUMMYFUNCTION("""COMPUTED_VALUE"""),"")</f>
        <v/>
      </c>
      <c r="N1900" s="6" t="str">
        <f>IFERROR(__xludf.DUMMYFUNCTION("""COMPUTED_VALUE"""),"")</f>
        <v/>
      </c>
      <c r="O1900" s="87" t="str">
        <f>IFERROR(__xludf.DUMMYFUNCTION("""COMPUTED_VALUE"""),"https://drive.google.com/drive/folders/10T2cTQHqEJZqE-st6uFKPoI?usp=share_link")</f>
        <v>https://drive.google.com/drive/folders/10T2cTQHqEJZqE-st6uFKPoI?usp=share_link</v>
      </c>
      <c r="P1900" s="6" t="str">
        <f>IFERROR(__xludf.DUMMYFUNCTION("""COMPUTED_VALUE"""),"Yuhang Ran")</f>
        <v>Yuhang Ran</v>
      </c>
      <c r="Q1900" s="6" t="str">
        <f>IFERROR(__xludf.DUMMYFUNCTION("""COMPUTED_VALUE"""),"HS")</f>
        <v>HS</v>
      </c>
      <c r="R1900" s="6">
        <f>IFERROR(__xludf.DUMMYFUNCTION("""COMPUTED_VALUE"""),0.0)</f>
        <v>0</v>
      </c>
      <c r="S1900" s="6" t="str">
        <f>IFERROR(__xludf.DUMMYFUNCTION("""COMPUTED_VALUE"""),"Alicia Westcot")</f>
        <v>Alicia Westcot</v>
      </c>
      <c r="T1900" s="6" t="str">
        <f>IFERROR(__xludf.DUMMYFUNCTION("""COMPUTED_VALUE"""),"alicia.westcot@studient.com")</f>
        <v>alicia.westcot@studient.com</v>
      </c>
      <c r="U1900" s="6" t="str">
        <f>IFERROR(__xludf.DUMMYFUNCTION("""COMPUTED_VALUE"""),"9")</f>
        <v>9</v>
      </c>
      <c r="V1900" s="6" t="str">
        <f>IFERROR(__xludf.DUMMYFUNCTION("""COMPUTED_VALUE"""),"Mandarin")</f>
        <v>Mandarin</v>
      </c>
      <c r="W1900" s="6" t="str">
        <f>IFERROR(__xludf.DUMMYFUNCTION("""COMPUTED_VALUE"""),"[]")</f>
        <v>[]</v>
      </c>
      <c r="X1900" s="6" t="str">
        <f>IFERROR(__xludf.DUMMYFUNCTION("""COMPUTED_VALUE"""),"Enrolled")</f>
        <v>Enrolled</v>
      </c>
    </row>
    <row r="1901">
      <c r="A1901" s="6" t="str">
        <f>IFERROR(__xludf.DUMMYFUNCTION("""COMPUTED_VALUE"""),"018-7107")</f>
        <v>018-7107</v>
      </c>
      <c r="B1901" s="6" t="str">
        <f>IFERROR(__xludf.DUMMYFUNCTION("""COMPUTED_VALUE"""),"18")</f>
        <v>18</v>
      </c>
      <c r="C1901" s="6" t="str">
        <f>IFERROR(__xludf.DUMMYFUNCTION("""COMPUTED_VALUE"""),"7107")</f>
        <v>7107</v>
      </c>
      <c r="D1901" s="6" t="str">
        <f>IFERROR(__xludf.DUMMYFUNCTION("""COMPUTED_VALUE"""),"Alexis")</f>
        <v>Alexis</v>
      </c>
      <c r="E1901" s="6" t="str">
        <f>IFERROR(__xludf.DUMMYFUNCTION("""COMPUTED_VALUE"""),"")</f>
        <v/>
      </c>
      <c r="F1901" s="6" t="str">
        <f>IFERROR(__xludf.DUMMYFUNCTION("""COMPUTED_VALUE"""),"Vera Franklin")</f>
        <v>Vera Franklin</v>
      </c>
      <c r="G1901" s="6" t="str">
        <f>IFERROR(__xludf.DUMMYFUNCTION("""COMPUTED_VALUE"""),"01/16/2011")</f>
        <v>01/16/2011</v>
      </c>
      <c r="H1901" s="6" t="str">
        <f>IFERROR(__xludf.DUMMYFUNCTION("""COMPUTED_VALUE"""),"Self Identify")</f>
        <v>Self Identify</v>
      </c>
      <c r="I1901" s="6" t="str">
        <f>IFERROR(__xludf.DUMMYFUNCTION("""COMPUTED_VALUE"""),"High School")</f>
        <v>High School</v>
      </c>
      <c r="J1901" s="6" t="str">
        <f>IFERROR(__xludf.DUMMYFUNCTION("""COMPUTED_VALUE"""),"9")</f>
        <v>9</v>
      </c>
      <c r="K1901" s="6" t="str">
        <f>IFERROR(__xludf.DUMMYFUNCTION("""COMPUTED_VALUE"""),"alexis.verafranklin@2hourlearning.com")</f>
        <v>alexis.verafranklin@2hourlearning.com</v>
      </c>
      <c r="L1901" s="6" t="str">
        <f>IFERROR(__xludf.DUMMYFUNCTION("""COMPUTED_VALUE"""),"Irvington High School")</f>
        <v>Irvington High School</v>
      </c>
      <c r="M1901" s="6" t="str">
        <f>IFERROR(__xludf.DUMMYFUNCTION("""COMPUTED_VALUE"""),"")</f>
        <v/>
      </c>
      <c r="N1901" s="6" t="str">
        <f>IFERROR(__xludf.DUMMYFUNCTION("""COMPUTED_VALUE"""),"")</f>
        <v/>
      </c>
      <c r="O1901" s="87" t="str">
        <f>IFERROR(__xludf.DUMMYFUNCTION("""COMPUTED_VALUE"""),"https://drive.google.com/drive/folders/10T2cTQHqEJZqE-st6uFKPoI?usp=share_link")</f>
        <v>https://drive.google.com/drive/folders/10T2cTQHqEJZqE-st6uFKPoI?usp=share_link</v>
      </c>
      <c r="P1901" s="6" t="str">
        <f>IFERROR(__xludf.DUMMYFUNCTION("""COMPUTED_VALUE"""),"Alexis Vera Franklin")</f>
        <v>Alexis Vera Franklin</v>
      </c>
      <c r="Q1901" s="6" t="str">
        <f>IFERROR(__xludf.DUMMYFUNCTION("""COMPUTED_VALUE"""),"HS")</f>
        <v>HS</v>
      </c>
      <c r="R1901" s="6">
        <f>IFERROR(__xludf.DUMMYFUNCTION("""COMPUTED_VALUE"""),0.0)</f>
        <v>0</v>
      </c>
      <c r="S1901" s="6" t="str">
        <f>IFERROR(__xludf.DUMMYFUNCTION("""COMPUTED_VALUE"""),"Alicia Westcot")</f>
        <v>Alicia Westcot</v>
      </c>
      <c r="T1901" s="6" t="str">
        <f>IFERROR(__xludf.DUMMYFUNCTION("""COMPUTED_VALUE"""),"alicia.westcot@studient.com")</f>
        <v>alicia.westcot@studient.com</v>
      </c>
      <c r="U1901" s="6" t="str">
        <f>IFERROR(__xludf.DUMMYFUNCTION("""COMPUTED_VALUE"""),"9")</f>
        <v>9</v>
      </c>
      <c r="V1901" s="6" t="str">
        <f>IFERROR(__xludf.DUMMYFUNCTION("""COMPUTED_VALUE"""),"English")</f>
        <v>English</v>
      </c>
      <c r="W1901" s="6" t="str">
        <f>IFERROR(__xludf.DUMMYFUNCTION("""COMPUTED_VALUE"""),"[]")</f>
        <v>[]</v>
      </c>
      <c r="X1901" s="6" t="str">
        <f>IFERROR(__xludf.DUMMYFUNCTION("""COMPUTED_VALUE"""),"Enrolled")</f>
        <v>Enrolled</v>
      </c>
    </row>
    <row r="1902">
      <c r="A1902" s="6" t="str">
        <f>IFERROR(__xludf.DUMMYFUNCTION("""COMPUTED_VALUE"""),"018-7108")</f>
        <v>018-7108</v>
      </c>
      <c r="B1902" s="6" t="str">
        <f>IFERROR(__xludf.DUMMYFUNCTION("""COMPUTED_VALUE"""),"18")</f>
        <v>18</v>
      </c>
      <c r="C1902" s="6" t="str">
        <f>IFERROR(__xludf.DUMMYFUNCTION("""COMPUTED_VALUE"""),"7108")</f>
        <v>7108</v>
      </c>
      <c r="D1902" s="6" t="str">
        <f>IFERROR(__xludf.DUMMYFUNCTION("""COMPUTED_VALUE"""),"Kaiming")</f>
        <v>Kaiming</v>
      </c>
      <c r="E1902" s="6" t="str">
        <f>IFERROR(__xludf.DUMMYFUNCTION("""COMPUTED_VALUE"""),"")</f>
        <v/>
      </c>
      <c r="F1902" s="6" t="str">
        <f>IFERROR(__xludf.DUMMYFUNCTION("""COMPUTED_VALUE"""),"Wen")</f>
        <v>Wen</v>
      </c>
      <c r="G1902" s="6" t="str">
        <f>IFERROR(__xludf.DUMMYFUNCTION("""COMPUTED_VALUE"""),"08/08/2011")</f>
        <v>08/08/2011</v>
      </c>
      <c r="H1902" s="6" t="str">
        <f>IFERROR(__xludf.DUMMYFUNCTION("""COMPUTED_VALUE"""),"Self Identify")</f>
        <v>Self Identify</v>
      </c>
      <c r="I1902" s="6" t="str">
        <f>IFERROR(__xludf.DUMMYFUNCTION("""COMPUTED_VALUE"""),"High School")</f>
        <v>High School</v>
      </c>
      <c r="J1902" s="6" t="str">
        <f>IFERROR(__xludf.DUMMYFUNCTION("""COMPUTED_VALUE"""),"9")</f>
        <v>9</v>
      </c>
      <c r="K1902" s="6" t="str">
        <f>IFERROR(__xludf.DUMMYFUNCTION("""COMPUTED_VALUE"""),"kaiming.wen@2hourlearning.com")</f>
        <v>kaiming.wen@2hourlearning.com</v>
      </c>
      <c r="L1902" s="6" t="str">
        <f>IFERROR(__xludf.DUMMYFUNCTION("""COMPUTED_VALUE"""),"Irvington High School")</f>
        <v>Irvington High School</v>
      </c>
      <c r="M1902" s="6" t="str">
        <f>IFERROR(__xludf.DUMMYFUNCTION("""COMPUTED_VALUE"""),"")</f>
        <v/>
      </c>
      <c r="N1902" s="6" t="str">
        <f>IFERROR(__xludf.DUMMYFUNCTION("""COMPUTED_VALUE"""),"")</f>
        <v/>
      </c>
      <c r="O1902" s="87" t="str">
        <f>IFERROR(__xludf.DUMMYFUNCTION("""COMPUTED_VALUE"""),"https://drive.google.com/drive/folders/10T2cTQHqEJZqE-st6uFKPoI?usp=share_link")</f>
        <v>https://drive.google.com/drive/folders/10T2cTQHqEJZqE-st6uFKPoI?usp=share_link</v>
      </c>
      <c r="P1902" s="6" t="str">
        <f>IFERROR(__xludf.DUMMYFUNCTION("""COMPUTED_VALUE"""),"Kaiming Wen")</f>
        <v>Kaiming Wen</v>
      </c>
      <c r="Q1902" s="6" t="str">
        <f>IFERROR(__xludf.DUMMYFUNCTION("""COMPUTED_VALUE"""),"HS")</f>
        <v>HS</v>
      </c>
      <c r="R1902" s="6">
        <f>IFERROR(__xludf.DUMMYFUNCTION("""COMPUTED_VALUE"""),0.0)</f>
        <v>0</v>
      </c>
      <c r="S1902" s="6" t="str">
        <f>IFERROR(__xludf.DUMMYFUNCTION("""COMPUTED_VALUE"""),"Alicia Westcot")</f>
        <v>Alicia Westcot</v>
      </c>
      <c r="T1902" s="6" t="str">
        <f>IFERROR(__xludf.DUMMYFUNCTION("""COMPUTED_VALUE"""),"alicia.westcot@studient.com")</f>
        <v>alicia.westcot@studient.com</v>
      </c>
      <c r="U1902" s="6" t="str">
        <f>IFERROR(__xludf.DUMMYFUNCTION("""COMPUTED_VALUE"""),"9")</f>
        <v>9</v>
      </c>
      <c r="V1902" s="6" t="str">
        <f>IFERROR(__xludf.DUMMYFUNCTION("""COMPUTED_VALUE"""),"Mandarin")</f>
        <v>Mandarin</v>
      </c>
      <c r="W1902" s="6" t="str">
        <f>IFERROR(__xludf.DUMMYFUNCTION("""COMPUTED_VALUE"""),"[]")</f>
        <v>[]</v>
      </c>
      <c r="X1902" s="6" t="str">
        <f>IFERROR(__xludf.DUMMYFUNCTION("""COMPUTED_VALUE"""),"Enrolled")</f>
        <v>Enrolled</v>
      </c>
    </row>
    <row r="1903">
      <c r="A1903" s="6" t="str">
        <f>IFERROR(__xludf.DUMMYFUNCTION("""COMPUTED_VALUE"""),"018-7109")</f>
        <v>018-7109</v>
      </c>
      <c r="B1903" s="6" t="str">
        <f>IFERROR(__xludf.DUMMYFUNCTION("""COMPUTED_VALUE"""),"18")</f>
        <v>18</v>
      </c>
      <c r="C1903" s="6" t="str">
        <f>IFERROR(__xludf.DUMMYFUNCTION("""COMPUTED_VALUE"""),"7109")</f>
        <v>7109</v>
      </c>
      <c r="D1903" s="6" t="str">
        <f>IFERROR(__xludf.DUMMYFUNCTION("""COMPUTED_VALUE"""),"Jacob")</f>
        <v>Jacob</v>
      </c>
      <c r="E1903" s="6" t="str">
        <f>IFERROR(__xludf.DUMMYFUNCTION("""COMPUTED_VALUE"""),"")</f>
        <v/>
      </c>
      <c r="F1903" s="6" t="str">
        <f>IFERROR(__xludf.DUMMYFUNCTION("""COMPUTED_VALUE"""),"Cardenas Mora")</f>
        <v>Cardenas Mora</v>
      </c>
      <c r="G1903" s="6" t="str">
        <f>IFERROR(__xludf.DUMMYFUNCTION("""COMPUTED_VALUE"""),"09/16/2010")</f>
        <v>09/16/2010</v>
      </c>
      <c r="H1903" s="6" t="str">
        <f>IFERROR(__xludf.DUMMYFUNCTION("""COMPUTED_VALUE"""),"Self Identify")</f>
        <v>Self Identify</v>
      </c>
      <c r="I1903" s="6" t="str">
        <f>IFERROR(__xludf.DUMMYFUNCTION("""COMPUTED_VALUE"""),"High School")</f>
        <v>High School</v>
      </c>
      <c r="J1903" s="6" t="str">
        <f>IFERROR(__xludf.DUMMYFUNCTION("""COMPUTED_VALUE"""),"9")</f>
        <v>9</v>
      </c>
      <c r="K1903" s="6" t="str">
        <f>IFERROR(__xludf.DUMMYFUNCTION("""COMPUTED_VALUE"""),"jacob.cardenasmora@2hourlearning.com")</f>
        <v>jacob.cardenasmora@2hourlearning.com</v>
      </c>
      <c r="L1903" s="6" t="str">
        <f>IFERROR(__xludf.DUMMYFUNCTION("""COMPUTED_VALUE"""),"Irvington High School")</f>
        <v>Irvington High School</v>
      </c>
      <c r="M1903" s="6" t="str">
        <f>IFERROR(__xludf.DUMMYFUNCTION("""COMPUTED_VALUE"""),"")</f>
        <v/>
      </c>
      <c r="N1903" s="6" t="str">
        <f>IFERROR(__xludf.DUMMYFUNCTION("""COMPUTED_VALUE"""),"")</f>
        <v/>
      </c>
      <c r="O1903" s="87" t="str">
        <f>IFERROR(__xludf.DUMMYFUNCTION("""COMPUTED_VALUE"""),"https://drive.google.com/drive/folders/10T2cTQHqEJZqE-st6uFKPoI?usp=share_link")</f>
        <v>https://drive.google.com/drive/folders/10T2cTQHqEJZqE-st6uFKPoI?usp=share_link</v>
      </c>
      <c r="P1903" s="6" t="str">
        <f>IFERROR(__xludf.DUMMYFUNCTION("""COMPUTED_VALUE"""),"Jacob Cardenas Mora")</f>
        <v>Jacob Cardenas Mora</v>
      </c>
      <c r="Q1903" s="6" t="str">
        <f>IFERROR(__xludf.DUMMYFUNCTION("""COMPUTED_VALUE"""),"HS")</f>
        <v>HS</v>
      </c>
      <c r="R1903" s="6">
        <f>IFERROR(__xludf.DUMMYFUNCTION("""COMPUTED_VALUE"""),0.0)</f>
        <v>0</v>
      </c>
      <c r="S1903" s="6" t="str">
        <f>IFERROR(__xludf.DUMMYFUNCTION("""COMPUTED_VALUE"""),"Alicia Westcot")</f>
        <v>Alicia Westcot</v>
      </c>
      <c r="T1903" s="6" t="str">
        <f>IFERROR(__xludf.DUMMYFUNCTION("""COMPUTED_VALUE"""),"alicia.westcot@studient.com")</f>
        <v>alicia.westcot@studient.com</v>
      </c>
      <c r="U1903" s="6" t="str">
        <f>IFERROR(__xludf.DUMMYFUNCTION("""COMPUTED_VALUE"""),"9")</f>
        <v>9</v>
      </c>
      <c r="V1903" s="6" t="str">
        <f>IFERROR(__xludf.DUMMYFUNCTION("""COMPUTED_VALUE"""),"English")</f>
        <v>English</v>
      </c>
      <c r="W1903" s="6" t="str">
        <f>IFERROR(__xludf.DUMMYFUNCTION("""COMPUTED_VALUE"""),"[]")</f>
        <v>[]</v>
      </c>
      <c r="X1903" s="6" t="str">
        <f>IFERROR(__xludf.DUMMYFUNCTION("""COMPUTED_VALUE"""),"Enrolled")</f>
        <v>Enrolled</v>
      </c>
    </row>
    <row r="1904">
      <c r="A1904" s="6" t="str">
        <f>IFERROR(__xludf.DUMMYFUNCTION("""COMPUTED_VALUE"""),"018-7110")</f>
        <v>018-7110</v>
      </c>
      <c r="B1904" s="6" t="str">
        <f>IFERROR(__xludf.DUMMYFUNCTION("""COMPUTED_VALUE"""),"18")</f>
        <v>18</v>
      </c>
      <c r="C1904" s="6" t="str">
        <f>IFERROR(__xludf.DUMMYFUNCTION("""COMPUTED_VALUE"""),"7110")</f>
        <v>7110</v>
      </c>
      <c r="D1904" s="6" t="str">
        <f>IFERROR(__xludf.DUMMYFUNCTION("""COMPUTED_VALUE"""),"Jesus")</f>
        <v>Jesus</v>
      </c>
      <c r="E1904" s="6" t="str">
        <f>IFERROR(__xludf.DUMMYFUNCTION("""COMPUTED_VALUE"""),"")</f>
        <v/>
      </c>
      <c r="F1904" s="6" t="str">
        <f>IFERROR(__xludf.DUMMYFUNCTION("""COMPUTED_VALUE"""),"Cisneros")</f>
        <v>Cisneros</v>
      </c>
      <c r="G1904" s="6" t="str">
        <f>IFERROR(__xludf.DUMMYFUNCTION("""COMPUTED_VALUE"""),"09/29/2010")</f>
        <v>09/29/2010</v>
      </c>
      <c r="H1904" s="6" t="str">
        <f>IFERROR(__xludf.DUMMYFUNCTION("""COMPUTED_VALUE"""),"Self Identify")</f>
        <v>Self Identify</v>
      </c>
      <c r="I1904" s="6" t="str">
        <f>IFERROR(__xludf.DUMMYFUNCTION("""COMPUTED_VALUE"""),"High School")</f>
        <v>High School</v>
      </c>
      <c r="J1904" s="6" t="str">
        <f>IFERROR(__xludf.DUMMYFUNCTION("""COMPUTED_VALUE"""),"9")</f>
        <v>9</v>
      </c>
      <c r="K1904" s="6" t="str">
        <f>IFERROR(__xludf.DUMMYFUNCTION("""COMPUTED_VALUE"""),"jesus.cisneros@2hourlearning.com")</f>
        <v>jesus.cisneros@2hourlearning.com</v>
      </c>
      <c r="L1904" s="6" t="str">
        <f>IFERROR(__xludf.DUMMYFUNCTION("""COMPUTED_VALUE"""),"Irvington High School")</f>
        <v>Irvington High School</v>
      </c>
      <c r="M1904" s="6" t="str">
        <f>IFERROR(__xludf.DUMMYFUNCTION("""COMPUTED_VALUE"""),"")</f>
        <v/>
      </c>
      <c r="N1904" s="6" t="str">
        <f>IFERROR(__xludf.DUMMYFUNCTION("""COMPUTED_VALUE"""),"")</f>
        <v/>
      </c>
      <c r="O1904" s="87" t="str">
        <f>IFERROR(__xludf.DUMMYFUNCTION("""COMPUTED_VALUE"""),"https://drive.google.com/drive/folders/10T2cTQHqEJZqE-st6uFKPoI?usp=share_link")</f>
        <v>https://drive.google.com/drive/folders/10T2cTQHqEJZqE-st6uFKPoI?usp=share_link</v>
      </c>
      <c r="P1904" s="6" t="str">
        <f>IFERROR(__xludf.DUMMYFUNCTION("""COMPUTED_VALUE"""),"Jesus Cisneros")</f>
        <v>Jesus Cisneros</v>
      </c>
      <c r="Q1904" s="6" t="str">
        <f>IFERROR(__xludf.DUMMYFUNCTION("""COMPUTED_VALUE"""),"HS")</f>
        <v>HS</v>
      </c>
      <c r="R1904" s="6">
        <f>IFERROR(__xludf.DUMMYFUNCTION("""COMPUTED_VALUE"""),0.0)</f>
        <v>0</v>
      </c>
      <c r="S1904" s="6" t="str">
        <f>IFERROR(__xludf.DUMMYFUNCTION("""COMPUTED_VALUE"""),"Alicia Westcot")</f>
        <v>Alicia Westcot</v>
      </c>
      <c r="T1904" s="6" t="str">
        <f>IFERROR(__xludf.DUMMYFUNCTION("""COMPUTED_VALUE"""),"alicia.westcot@studient.com")</f>
        <v>alicia.westcot@studient.com</v>
      </c>
      <c r="U1904" s="6" t="str">
        <f>IFERROR(__xludf.DUMMYFUNCTION("""COMPUTED_VALUE"""),"9")</f>
        <v>9</v>
      </c>
      <c r="V1904" s="6" t="str">
        <f>IFERROR(__xludf.DUMMYFUNCTION("""COMPUTED_VALUE"""),"English")</f>
        <v>English</v>
      </c>
      <c r="W1904" s="6" t="str">
        <f>IFERROR(__xludf.DUMMYFUNCTION("""COMPUTED_VALUE"""),"[]")</f>
        <v>[]</v>
      </c>
      <c r="X1904" s="6" t="str">
        <f>IFERROR(__xludf.DUMMYFUNCTION("""COMPUTED_VALUE"""),"Enrolled")</f>
        <v>Enrolled</v>
      </c>
    </row>
    <row r="1905">
      <c r="A1905" s="6" t="str">
        <f>IFERROR(__xludf.DUMMYFUNCTION("""COMPUTED_VALUE"""),"018-7111")</f>
        <v>018-7111</v>
      </c>
      <c r="B1905" s="6" t="str">
        <f>IFERROR(__xludf.DUMMYFUNCTION("""COMPUTED_VALUE"""),"18")</f>
        <v>18</v>
      </c>
      <c r="C1905" s="6" t="str">
        <f>IFERROR(__xludf.DUMMYFUNCTION("""COMPUTED_VALUE"""),"7111")</f>
        <v>7111</v>
      </c>
      <c r="D1905" s="6" t="str">
        <f>IFERROR(__xludf.DUMMYFUNCTION("""COMPUTED_VALUE"""),"Steven")</f>
        <v>Steven</v>
      </c>
      <c r="E1905" s="6" t="str">
        <f>IFERROR(__xludf.DUMMYFUNCTION("""COMPUTED_VALUE"""),"")</f>
        <v/>
      </c>
      <c r="F1905" s="6" t="str">
        <f>IFERROR(__xludf.DUMMYFUNCTION("""COMPUTED_VALUE"""),"Echeverria Galvez")</f>
        <v>Echeverria Galvez</v>
      </c>
      <c r="G1905" s="6" t="str">
        <f>IFERROR(__xludf.DUMMYFUNCTION("""COMPUTED_VALUE"""),"12/31/2010")</f>
        <v>12/31/2010</v>
      </c>
      <c r="H1905" s="6" t="str">
        <f>IFERROR(__xludf.DUMMYFUNCTION("""COMPUTED_VALUE"""),"Self Identify")</f>
        <v>Self Identify</v>
      </c>
      <c r="I1905" s="6" t="str">
        <f>IFERROR(__xludf.DUMMYFUNCTION("""COMPUTED_VALUE"""),"High School")</f>
        <v>High School</v>
      </c>
      <c r="J1905" s="6" t="str">
        <f>IFERROR(__xludf.DUMMYFUNCTION("""COMPUTED_VALUE"""),"9")</f>
        <v>9</v>
      </c>
      <c r="K1905" s="6" t="str">
        <f>IFERROR(__xludf.DUMMYFUNCTION("""COMPUTED_VALUE"""),"steven.echeverriagalvez@2hourlearning.com")</f>
        <v>steven.echeverriagalvez@2hourlearning.com</v>
      </c>
      <c r="L1905" s="6" t="str">
        <f>IFERROR(__xludf.DUMMYFUNCTION("""COMPUTED_VALUE"""),"Irvington High School")</f>
        <v>Irvington High School</v>
      </c>
      <c r="M1905" s="6" t="str">
        <f>IFERROR(__xludf.DUMMYFUNCTION("""COMPUTED_VALUE"""),"")</f>
        <v/>
      </c>
      <c r="N1905" s="6" t="str">
        <f>IFERROR(__xludf.DUMMYFUNCTION("""COMPUTED_VALUE"""),"")</f>
        <v/>
      </c>
      <c r="O1905" s="87" t="str">
        <f>IFERROR(__xludf.DUMMYFUNCTION("""COMPUTED_VALUE"""),"https://drive.google.com/drive/folders/10T2cTQHqEJZqE-st6uFKPoI?usp=share_link")</f>
        <v>https://drive.google.com/drive/folders/10T2cTQHqEJZqE-st6uFKPoI?usp=share_link</v>
      </c>
      <c r="P1905" s="6" t="str">
        <f>IFERROR(__xludf.DUMMYFUNCTION("""COMPUTED_VALUE"""),"Steven Echeverria Galvez")</f>
        <v>Steven Echeverria Galvez</v>
      </c>
      <c r="Q1905" s="6" t="str">
        <f>IFERROR(__xludf.DUMMYFUNCTION("""COMPUTED_VALUE"""),"HS")</f>
        <v>HS</v>
      </c>
      <c r="R1905" s="6">
        <f>IFERROR(__xludf.DUMMYFUNCTION("""COMPUTED_VALUE"""),0.0)</f>
        <v>0</v>
      </c>
      <c r="S1905" s="6" t="str">
        <f>IFERROR(__xludf.DUMMYFUNCTION("""COMPUTED_VALUE"""),"Alicia Westcot")</f>
        <v>Alicia Westcot</v>
      </c>
      <c r="T1905" s="6" t="str">
        <f>IFERROR(__xludf.DUMMYFUNCTION("""COMPUTED_VALUE"""),"alicia.westcot@studient.com")</f>
        <v>alicia.westcot@studient.com</v>
      </c>
      <c r="U1905" s="6" t="str">
        <f>IFERROR(__xludf.DUMMYFUNCTION("""COMPUTED_VALUE"""),"9")</f>
        <v>9</v>
      </c>
      <c r="V1905" s="6" t="str">
        <f>IFERROR(__xludf.DUMMYFUNCTION("""COMPUTED_VALUE"""),"English")</f>
        <v>English</v>
      </c>
      <c r="W1905" s="6" t="str">
        <f>IFERROR(__xludf.DUMMYFUNCTION("""COMPUTED_VALUE"""),"[]")</f>
        <v>[]</v>
      </c>
      <c r="X1905" s="6" t="str">
        <f>IFERROR(__xludf.DUMMYFUNCTION("""COMPUTED_VALUE"""),"Enrolled")</f>
        <v>Enrolled</v>
      </c>
    </row>
    <row r="1906">
      <c r="A1906" s="6" t="str">
        <f>IFERROR(__xludf.DUMMYFUNCTION("""COMPUTED_VALUE"""),"018-7112")</f>
        <v>018-7112</v>
      </c>
      <c r="B1906" s="6" t="str">
        <f>IFERROR(__xludf.DUMMYFUNCTION("""COMPUTED_VALUE"""),"18")</f>
        <v>18</v>
      </c>
      <c r="C1906" s="6" t="str">
        <f>IFERROR(__xludf.DUMMYFUNCTION("""COMPUTED_VALUE"""),"7112")</f>
        <v>7112</v>
      </c>
      <c r="D1906" s="6" t="str">
        <f>IFERROR(__xludf.DUMMYFUNCTION("""COMPUTED_VALUE"""),"Joaquin")</f>
        <v>Joaquin</v>
      </c>
      <c r="E1906" s="6" t="str">
        <f>IFERROR(__xludf.DUMMYFUNCTION("""COMPUTED_VALUE"""),"")</f>
        <v/>
      </c>
      <c r="F1906" s="6" t="str">
        <f>IFERROR(__xludf.DUMMYFUNCTION("""COMPUTED_VALUE"""),"Gutierrez")</f>
        <v>Gutierrez</v>
      </c>
      <c r="G1906" s="6" t="str">
        <f>IFERROR(__xludf.DUMMYFUNCTION("""COMPUTED_VALUE"""),"12/27/2010")</f>
        <v>12/27/2010</v>
      </c>
      <c r="H1906" s="6" t="str">
        <f>IFERROR(__xludf.DUMMYFUNCTION("""COMPUTED_VALUE"""),"Self Identify")</f>
        <v>Self Identify</v>
      </c>
      <c r="I1906" s="6" t="str">
        <f>IFERROR(__xludf.DUMMYFUNCTION("""COMPUTED_VALUE"""),"High School")</f>
        <v>High School</v>
      </c>
      <c r="J1906" s="6" t="str">
        <f>IFERROR(__xludf.DUMMYFUNCTION("""COMPUTED_VALUE"""),"9")</f>
        <v>9</v>
      </c>
      <c r="K1906" s="6" t="str">
        <f>IFERROR(__xludf.DUMMYFUNCTION("""COMPUTED_VALUE"""),"joaquin.gutierrez@2hourlearning.com")</f>
        <v>joaquin.gutierrez@2hourlearning.com</v>
      </c>
      <c r="L1906" s="6" t="str">
        <f>IFERROR(__xludf.DUMMYFUNCTION("""COMPUTED_VALUE"""),"Irvington High School")</f>
        <v>Irvington High School</v>
      </c>
      <c r="M1906" s="6" t="str">
        <f>IFERROR(__xludf.DUMMYFUNCTION("""COMPUTED_VALUE"""),"")</f>
        <v/>
      </c>
      <c r="N1906" s="6" t="str">
        <f>IFERROR(__xludf.DUMMYFUNCTION("""COMPUTED_VALUE"""),"")</f>
        <v/>
      </c>
      <c r="O1906" s="87" t="str">
        <f>IFERROR(__xludf.DUMMYFUNCTION("""COMPUTED_VALUE"""),"https://drive.google.com/drive/folders/10T2cTQHqEJZqE-st6uFKPoI?usp=share_link")</f>
        <v>https://drive.google.com/drive/folders/10T2cTQHqEJZqE-st6uFKPoI?usp=share_link</v>
      </c>
      <c r="P1906" s="6" t="str">
        <f>IFERROR(__xludf.DUMMYFUNCTION("""COMPUTED_VALUE"""),"Joaquin Gutierrez")</f>
        <v>Joaquin Gutierrez</v>
      </c>
      <c r="Q1906" s="6" t="str">
        <f>IFERROR(__xludf.DUMMYFUNCTION("""COMPUTED_VALUE"""),"HS")</f>
        <v>HS</v>
      </c>
      <c r="R1906" s="6">
        <f>IFERROR(__xludf.DUMMYFUNCTION("""COMPUTED_VALUE"""),0.0)</f>
        <v>0</v>
      </c>
      <c r="S1906" s="6" t="str">
        <f>IFERROR(__xludf.DUMMYFUNCTION("""COMPUTED_VALUE"""),"Alicia Westcot")</f>
        <v>Alicia Westcot</v>
      </c>
      <c r="T1906" s="6" t="str">
        <f>IFERROR(__xludf.DUMMYFUNCTION("""COMPUTED_VALUE"""),"alicia.westcot@studient.com")</f>
        <v>alicia.westcot@studient.com</v>
      </c>
      <c r="U1906" s="6" t="str">
        <f>IFERROR(__xludf.DUMMYFUNCTION("""COMPUTED_VALUE"""),"9")</f>
        <v>9</v>
      </c>
      <c r="V1906" s="6" t="str">
        <f>IFERROR(__xludf.DUMMYFUNCTION("""COMPUTED_VALUE"""),"English")</f>
        <v>English</v>
      </c>
      <c r="W1906" s="6" t="str">
        <f>IFERROR(__xludf.DUMMYFUNCTION("""COMPUTED_VALUE"""),"[]")</f>
        <v>[]</v>
      </c>
      <c r="X1906" s="6" t="str">
        <f>IFERROR(__xludf.DUMMYFUNCTION("""COMPUTED_VALUE"""),"Enrolled")</f>
        <v>Enrolled</v>
      </c>
    </row>
    <row r="1907">
      <c r="A1907" s="6" t="str">
        <f>IFERROR(__xludf.DUMMYFUNCTION("""COMPUTED_VALUE"""),"018-7113")</f>
        <v>018-7113</v>
      </c>
      <c r="B1907" s="6" t="str">
        <f>IFERROR(__xludf.DUMMYFUNCTION("""COMPUTED_VALUE"""),"18")</f>
        <v>18</v>
      </c>
      <c r="C1907" s="6" t="str">
        <f>IFERROR(__xludf.DUMMYFUNCTION("""COMPUTED_VALUE"""),"7113")</f>
        <v>7113</v>
      </c>
      <c r="D1907" s="6" t="str">
        <f>IFERROR(__xludf.DUMMYFUNCTION("""COMPUTED_VALUE"""),"Navpreet")</f>
        <v>Navpreet</v>
      </c>
      <c r="E1907" s="6" t="str">
        <f>IFERROR(__xludf.DUMMYFUNCTION("""COMPUTED_VALUE"""),"")</f>
        <v/>
      </c>
      <c r="F1907" s="6" t="str">
        <f>IFERROR(__xludf.DUMMYFUNCTION("""COMPUTED_VALUE"""),"Kaur")</f>
        <v>Kaur</v>
      </c>
      <c r="G1907" s="6" t="str">
        <f>IFERROR(__xludf.DUMMYFUNCTION("""COMPUTED_VALUE"""),"01/19/2011")</f>
        <v>01/19/2011</v>
      </c>
      <c r="H1907" s="6" t="str">
        <f>IFERROR(__xludf.DUMMYFUNCTION("""COMPUTED_VALUE"""),"Self Identify")</f>
        <v>Self Identify</v>
      </c>
      <c r="I1907" s="6" t="str">
        <f>IFERROR(__xludf.DUMMYFUNCTION("""COMPUTED_VALUE"""),"High School")</f>
        <v>High School</v>
      </c>
      <c r="J1907" s="6" t="str">
        <f>IFERROR(__xludf.DUMMYFUNCTION("""COMPUTED_VALUE"""),"9")</f>
        <v>9</v>
      </c>
      <c r="K1907" s="6" t="str">
        <f>IFERROR(__xludf.DUMMYFUNCTION("""COMPUTED_VALUE"""),"navpreet.kaur@2hourlearning.com")</f>
        <v>navpreet.kaur@2hourlearning.com</v>
      </c>
      <c r="L1907" s="6" t="str">
        <f>IFERROR(__xludf.DUMMYFUNCTION("""COMPUTED_VALUE"""),"Irvington High School")</f>
        <v>Irvington High School</v>
      </c>
      <c r="M1907" s="6" t="str">
        <f>IFERROR(__xludf.DUMMYFUNCTION("""COMPUTED_VALUE"""),"")</f>
        <v/>
      </c>
      <c r="N1907" s="6" t="str">
        <f>IFERROR(__xludf.DUMMYFUNCTION("""COMPUTED_VALUE"""),"")</f>
        <v/>
      </c>
      <c r="O1907" s="87" t="str">
        <f>IFERROR(__xludf.DUMMYFUNCTION("""COMPUTED_VALUE"""),"https://drive.google.com/drive/folders/10T2cTQHqEJZqE-st6uFKPoI?usp=share_link")</f>
        <v>https://drive.google.com/drive/folders/10T2cTQHqEJZqE-st6uFKPoI?usp=share_link</v>
      </c>
      <c r="P1907" s="6" t="str">
        <f>IFERROR(__xludf.DUMMYFUNCTION("""COMPUTED_VALUE"""),"Navpreet Kaur")</f>
        <v>Navpreet Kaur</v>
      </c>
      <c r="Q1907" s="6" t="str">
        <f>IFERROR(__xludf.DUMMYFUNCTION("""COMPUTED_VALUE"""),"HS")</f>
        <v>HS</v>
      </c>
      <c r="R1907" s="6">
        <f>IFERROR(__xludf.DUMMYFUNCTION("""COMPUTED_VALUE"""),0.0)</f>
        <v>0</v>
      </c>
      <c r="S1907" s="6" t="str">
        <f>IFERROR(__xludf.DUMMYFUNCTION("""COMPUTED_VALUE"""),"Alicia Westcot")</f>
        <v>Alicia Westcot</v>
      </c>
      <c r="T1907" s="6" t="str">
        <f>IFERROR(__xludf.DUMMYFUNCTION("""COMPUTED_VALUE"""),"alicia.westcot@studient.com")</f>
        <v>alicia.westcot@studient.com</v>
      </c>
      <c r="U1907" s="6" t="str">
        <f>IFERROR(__xludf.DUMMYFUNCTION("""COMPUTED_VALUE"""),"9")</f>
        <v>9</v>
      </c>
      <c r="V1907" s="6" t="str">
        <f>IFERROR(__xludf.DUMMYFUNCTION("""COMPUTED_VALUE"""),"English")</f>
        <v>English</v>
      </c>
      <c r="W1907" s="6" t="str">
        <f>IFERROR(__xludf.DUMMYFUNCTION("""COMPUTED_VALUE"""),"[]")</f>
        <v>[]</v>
      </c>
      <c r="X1907" s="6" t="str">
        <f>IFERROR(__xludf.DUMMYFUNCTION("""COMPUTED_VALUE"""),"Enrolled")</f>
        <v>Enrolled</v>
      </c>
    </row>
    <row r="1908">
      <c r="A1908" s="6" t="str">
        <f>IFERROR(__xludf.DUMMYFUNCTION("""COMPUTED_VALUE"""),"018-7114")</f>
        <v>018-7114</v>
      </c>
      <c r="B1908" s="6" t="str">
        <f>IFERROR(__xludf.DUMMYFUNCTION("""COMPUTED_VALUE"""),"18")</f>
        <v>18</v>
      </c>
      <c r="C1908" s="6" t="str">
        <f>IFERROR(__xludf.DUMMYFUNCTION("""COMPUTED_VALUE"""),"7114")</f>
        <v>7114</v>
      </c>
      <c r="D1908" s="6" t="str">
        <f>IFERROR(__xludf.DUMMYFUNCTION("""COMPUTED_VALUE"""),"Sehaj")</f>
        <v>Sehaj</v>
      </c>
      <c r="E1908" s="6" t="str">
        <f>IFERROR(__xludf.DUMMYFUNCTION("""COMPUTED_VALUE"""),"")</f>
        <v/>
      </c>
      <c r="F1908" s="6" t="str">
        <f>IFERROR(__xludf.DUMMYFUNCTION("""COMPUTED_VALUE"""),"Kaur")</f>
        <v>Kaur</v>
      </c>
      <c r="G1908" s="6" t="str">
        <f>IFERROR(__xludf.DUMMYFUNCTION("""COMPUTED_VALUE"""),"11/13/2010")</f>
        <v>11/13/2010</v>
      </c>
      <c r="H1908" s="6" t="str">
        <f>IFERROR(__xludf.DUMMYFUNCTION("""COMPUTED_VALUE"""),"Self Identify")</f>
        <v>Self Identify</v>
      </c>
      <c r="I1908" s="6" t="str">
        <f>IFERROR(__xludf.DUMMYFUNCTION("""COMPUTED_VALUE"""),"High School")</f>
        <v>High School</v>
      </c>
      <c r="J1908" s="6" t="str">
        <f>IFERROR(__xludf.DUMMYFUNCTION("""COMPUTED_VALUE"""),"9")</f>
        <v>9</v>
      </c>
      <c r="K1908" s="6" t="str">
        <f>IFERROR(__xludf.DUMMYFUNCTION("""COMPUTED_VALUE"""),"sehaj.kaur@2hourlearning.com")</f>
        <v>sehaj.kaur@2hourlearning.com</v>
      </c>
      <c r="L1908" s="6" t="str">
        <f>IFERROR(__xludf.DUMMYFUNCTION("""COMPUTED_VALUE"""),"Irvington High School")</f>
        <v>Irvington High School</v>
      </c>
      <c r="M1908" s="6" t="str">
        <f>IFERROR(__xludf.DUMMYFUNCTION("""COMPUTED_VALUE"""),"")</f>
        <v/>
      </c>
      <c r="N1908" s="6" t="str">
        <f>IFERROR(__xludf.DUMMYFUNCTION("""COMPUTED_VALUE"""),"")</f>
        <v/>
      </c>
      <c r="O1908" s="87" t="str">
        <f>IFERROR(__xludf.DUMMYFUNCTION("""COMPUTED_VALUE"""),"https://drive.google.com/drive/folders/10T2cTQHqEJZqE-st6uFKPoI?usp=share_link")</f>
        <v>https://drive.google.com/drive/folders/10T2cTQHqEJZqE-st6uFKPoI?usp=share_link</v>
      </c>
      <c r="P1908" s="6" t="str">
        <f>IFERROR(__xludf.DUMMYFUNCTION("""COMPUTED_VALUE"""),"Sehaj Kaur")</f>
        <v>Sehaj Kaur</v>
      </c>
      <c r="Q1908" s="6" t="str">
        <f>IFERROR(__xludf.DUMMYFUNCTION("""COMPUTED_VALUE"""),"HS")</f>
        <v>HS</v>
      </c>
      <c r="R1908" s="6">
        <f>IFERROR(__xludf.DUMMYFUNCTION("""COMPUTED_VALUE"""),0.0)</f>
        <v>0</v>
      </c>
      <c r="S1908" s="6" t="str">
        <f>IFERROR(__xludf.DUMMYFUNCTION("""COMPUTED_VALUE"""),"Alicia Westcot")</f>
        <v>Alicia Westcot</v>
      </c>
      <c r="T1908" s="6" t="str">
        <f>IFERROR(__xludf.DUMMYFUNCTION("""COMPUTED_VALUE"""),"alicia.westcot@studient.com")</f>
        <v>alicia.westcot@studient.com</v>
      </c>
      <c r="U1908" s="6" t="str">
        <f>IFERROR(__xludf.DUMMYFUNCTION("""COMPUTED_VALUE"""),"9")</f>
        <v>9</v>
      </c>
      <c r="V1908" s="6" t="str">
        <f>IFERROR(__xludf.DUMMYFUNCTION("""COMPUTED_VALUE"""),"English")</f>
        <v>English</v>
      </c>
      <c r="W1908" s="6" t="str">
        <f>IFERROR(__xludf.DUMMYFUNCTION("""COMPUTED_VALUE"""),"[]")</f>
        <v>[]</v>
      </c>
      <c r="X1908" s="6" t="str">
        <f>IFERROR(__xludf.DUMMYFUNCTION("""COMPUTED_VALUE"""),"Enrolled")</f>
        <v>Enrolled</v>
      </c>
    </row>
    <row r="1909">
      <c r="A1909" s="6" t="str">
        <f>IFERROR(__xludf.DUMMYFUNCTION("""COMPUTED_VALUE"""),"018-7115")</f>
        <v>018-7115</v>
      </c>
      <c r="B1909" s="6" t="str">
        <f>IFERROR(__xludf.DUMMYFUNCTION("""COMPUTED_VALUE"""),"18")</f>
        <v>18</v>
      </c>
      <c r="C1909" s="6" t="str">
        <f>IFERROR(__xludf.DUMMYFUNCTION("""COMPUTED_VALUE"""),"7115")</f>
        <v>7115</v>
      </c>
      <c r="D1909" s="6" t="str">
        <f>IFERROR(__xludf.DUMMYFUNCTION("""COMPUTED_VALUE"""),"Qiaoruo")</f>
        <v>Qiaoruo</v>
      </c>
      <c r="E1909" s="6" t="str">
        <f>IFERROR(__xludf.DUMMYFUNCTION("""COMPUTED_VALUE"""),"")</f>
        <v/>
      </c>
      <c r="F1909" s="6" t="str">
        <f>IFERROR(__xludf.DUMMYFUNCTION("""COMPUTED_VALUE"""),"Li")</f>
        <v>Li</v>
      </c>
      <c r="G1909" s="6" t="str">
        <f>IFERROR(__xludf.DUMMYFUNCTION("""COMPUTED_VALUE"""),"06/28/2011")</f>
        <v>06/28/2011</v>
      </c>
      <c r="H1909" s="6" t="str">
        <f>IFERROR(__xludf.DUMMYFUNCTION("""COMPUTED_VALUE"""),"Self Identify")</f>
        <v>Self Identify</v>
      </c>
      <c r="I1909" s="6" t="str">
        <f>IFERROR(__xludf.DUMMYFUNCTION("""COMPUTED_VALUE"""),"High School")</f>
        <v>High School</v>
      </c>
      <c r="J1909" s="6" t="str">
        <f>IFERROR(__xludf.DUMMYFUNCTION("""COMPUTED_VALUE"""),"9")</f>
        <v>9</v>
      </c>
      <c r="K1909" s="6" t="str">
        <f>IFERROR(__xludf.DUMMYFUNCTION("""COMPUTED_VALUE"""),"qiaoruo.li@2hourlearning.com")</f>
        <v>qiaoruo.li@2hourlearning.com</v>
      </c>
      <c r="L1909" s="6" t="str">
        <f>IFERROR(__xludf.DUMMYFUNCTION("""COMPUTED_VALUE"""),"Irvington High School")</f>
        <v>Irvington High School</v>
      </c>
      <c r="M1909" s="6" t="str">
        <f>IFERROR(__xludf.DUMMYFUNCTION("""COMPUTED_VALUE"""),"")</f>
        <v/>
      </c>
      <c r="N1909" s="6" t="str">
        <f>IFERROR(__xludf.DUMMYFUNCTION("""COMPUTED_VALUE"""),"")</f>
        <v/>
      </c>
      <c r="O1909" s="87" t="str">
        <f>IFERROR(__xludf.DUMMYFUNCTION("""COMPUTED_VALUE"""),"https://drive.google.com/drive/folders/10T2cTQHqEJZqE-st6uFKPoI?usp=share_link")</f>
        <v>https://drive.google.com/drive/folders/10T2cTQHqEJZqE-st6uFKPoI?usp=share_link</v>
      </c>
      <c r="P1909" s="6" t="str">
        <f>IFERROR(__xludf.DUMMYFUNCTION("""COMPUTED_VALUE"""),"Qiaoruo Li")</f>
        <v>Qiaoruo Li</v>
      </c>
      <c r="Q1909" s="6" t="str">
        <f>IFERROR(__xludf.DUMMYFUNCTION("""COMPUTED_VALUE"""),"HS")</f>
        <v>HS</v>
      </c>
      <c r="R1909" s="6">
        <f>IFERROR(__xludf.DUMMYFUNCTION("""COMPUTED_VALUE"""),0.0)</f>
        <v>0</v>
      </c>
      <c r="S1909" s="6" t="str">
        <f>IFERROR(__xludf.DUMMYFUNCTION("""COMPUTED_VALUE"""),"Alicia Westcot")</f>
        <v>Alicia Westcot</v>
      </c>
      <c r="T1909" s="6" t="str">
        <f>IFERROR(__xludf.DUMMYFUNCTION("""COMPUTED_VALUE"""),"alicia.westcot@studient.com")</f>
        <v>alicia.westcot@studient.com</v>
      </c>
      <c r="U1909" s="6" t="str">
        <f>IFERROR(__xludf.DUMMYFUNCTION("""COMPUTED_VALUE"""),"9")</f>
        <v>9</v>
      </c>
      <c r="V1909" s="6" t="str">
        <f>IFERROR(__xludf.DUMMYFUNCTION("""COMPUTED_VALUE"""),"English")</f>
        <v>English</v>
      </c>
      <c r="W1909" s="6" t="str">
        <f>IFERROR(__xludf.DUMMYFUNCTION("""COMPUTED_VALUE"""),"[]")</f>
        <v>[]</v>
      </c>
      <c r="X1909" s="6" t="str">
        <f>IFERROR(__xludf.DUMMYFUNCTION("""COMPUTED_VALUE"""),"Enrolled")</f>
        <v>Enrolled</v>
      </c>
    </row>
    <row r="1910">
      <c r="A1910" s="6" t="str">
        <f>IFERROR(__xludf.DUMMYFUNCTION("""COMPUTED_VALUE"""),"018-7116")</f>
        <v>018-7116</v>
      </c>
      <c r="B1910" s="6" t="str">
        <f>IFERROR(__xludf.DUMMYFUNCTION("""COMPUTED_VALUE"""),"18")</f>
        <v>18</v>
      </c>
      <c r="C1910" s="6" t="str">
        <f>IFERROR(__xludf.DUMMYFUNCTION("""COMPUTED_VALUE"""),"7116")</f>
        <v>7116</v>
      </c>
      <c r="D1910" s="6" t="str">
        <f>IFERROR(__xludf.DUMMYFUNCTION("""COMPUTED_VALUE"""),"Jaiden")</f>
        <v>Jaiden</v>
      </c>
      <c r="E1910" s="6" t="str">
        <f>IFERROR(__xludf.DUMMYFUNCTION("""COMPUTED_VALUE"""),"")</f>
        <v/>
      </c>
      <c r="F1910" s="6" t="str">
        <f>IFERROR(__xludf.DUMMYFUNCTION("""COMPUTED_VALUE"""),"Martinez Rodriguez")</f>
        <v>Martinez Rodriguez</v>
      </c>
      <c r="G1910" s="6" t="str">
        <f>IFERROR(__xludf.DUMMYFUNCTION("""COMPUTED_VALUE"""),"07/21/2010")</f>
        <v>07/21/2010</v>
      </c>
      <c r="H1910" s="6" t="str">
        <f>IFERROR(__xludf.DUMMYFUNCTION("""COMPUTED_VALUE"""),"Self Identify")</f>
        <v>Self Identify</v>
      </c>
      <c r="I1910" s="6" t="str">
        <f>IFERROR(__xludf.DUMMYFUNCTION("""COMPUTED_VALUE"""),"High School")</f>
        <v>High School</v>
      </c>
      <c r="J1910" s="6" t="str">
        <f>IFERROR(__xludf.DUMMYFUNCTION("""COMPUTED_VALUE"""),"10")</f>
        <v>10</v>
      </c>
      <c r="K1910" s="6" t="str">
        <f>IFERROR(__xludf.DUMMYFUNCTION("""COMPUTED_VALUE"""),"jaiden.martinezrodriguez@2hourlearning.com")</f>
        <v>jaiden.martinezrodriguez@2hourlearning.com</v>
      </c>
      <c r="L1910" s="6" t="str">
        <f>IFERROR(__xludf.DUMMYFUNCTION("""COMPUTED_VALUE"""),"Irvington High School")</f>
        <v>Irvington High School</v>
      </c>
      <c r="M1910" s="6" t="str">
        <f>IFERROR(__xludf.DUMMYFUNCTION("""COMPUTED_VALUE"""),"")</f>
        <v/>
      </c>
      <c r="N1910" s="6" t="str">
        <f>IFERROR(__xludf.DUMMYFUNCTION("""COMPUTED_VALUE"""),"")</f>
        <v/>
      </c>
      <c r="O1910" s="87" t="str">
        <f>IFERROR(__xludf.DUMMYFUNCTION("""COMPUTED_VALUE"""),"https://drive.google.com/drive/folders/10T2cTQHqEJZqE-st6uFKPoI?usp=share_link")</f>
        <v>https://drive.google.com/drive/folders/10T2cTQHqEJZqE-st6uFKPoI?usp=share_link</v>
      </c>
      <c r="P1910" s="6" t="str">
        <f>IFERROR(__xludf.DUMMYFUNCTION("""COMPUTED_VALUE"""),"Jaiden Martinez Rodriguez")</f>
        <v>Jaiden Martinez Rodriguez</v>
      </c>
      <c r="Q1910" s="6" t="str">
        <f>IFERROR(__xludf.DUMMYFUNCTION("""COMPUTED_VALUE"""),"HS")</f>
        <v>HS</v>
      </c>
      <c r="R1910" s="6">
        <f>IFERROR(__xludf.DUMMYFUNCTION("""COMPUTED_VALUE"""),0.0)</f>
        <v>0</v>
      </c>
      <c r="S1910" s="6" t="str">
        <f>IFERROR(__xludf.DUMMYFUNCTION("""COMPUTED_VALUE"""),"Alicia Westcot")</f>
        <v>Alicia Westcot</v>
      </c>
      <c r="T1910" s="6" t="str">
        <f>IFERROR(__xludf.DUMMYFUNCTION("""COMPUTED_VALUE"""),"alicia.westcot@studient.com")</f>
        <v>alicia.westcot@studient.com</v>
      </c>
      <c r="U1910" s="6" t="str">
        <f>IFERROR(__xludf.DUMMYFUNCTION("""COMPUTED_VALUE"""),"10")</f>
        <v>10</v>
      </c>
      <c r="V1910" s="6" t="str">
        <f>IFERROR(__xludf.DUMMYFUNCTION("""COMPUTED_VALUE"""),"English")</f>
        <v>English</v>
      </c>
      <c r="W1910" s="6" t="str">
        <f>IFERROR(__xludf.DUMMYFUNCTION("""COMPUTED_VALUE"""),"[]")</f>
        <v>[]</v>
      </c>
      <c r="X1910" s="6" t="str">
        <f>IFERROR(__xludf.DUMMYFUNCTION("""COMPUTED_VALUE"""),"Enrolled")</f>
        <v>Enrolled</v>
      </c>
    </row>
    <row r="1911">
      <c r="A1911" s="6" t="str">
        <f>IFERROR(__xludf.DUMMYFUNCTION("""COMPUTED_VALUE"""),"018-7117")</f>
        <v>018-7117</v>
      </c>
      <c r="B1911" s="6" t="str">
        <f>IFERROR(__xludf.DUMMYFUNCTION("""COMPUTED_VALUE"""),"18")</f>
        <v>18</v>
      </c>
      <c r="C1911" s="6" t="str">
        <f>IFERROR(__xludf.DUMMYFUNCTION("""COMPUTED_VALUE"""),"7117")</f>
        <v>7117</v>
      </c>
      <c r="D1911" s="6" t="str">
        <f>IFERROR(__xludf.DUMMYFUNCTION("""COMPUTED_VALUE"""),"Selina")</f>
        <v>Selina</v>
      </c>
      <c r="E1911" s="6" t="str">
        <f>IFERROR(__xludf.DUMMYFUNCTION("""COMPUTED_VALUE"""),"")</f>
        <v/>
      </c>
      <c r="F1911" s="6" t="str">
        <f>IFERROR(__xludf.DUMMYFUNCTION("""COMPUTED_VALUE"""),"Mcintyre")</f>
        <v>Mcintyre</v>
      </c>
      <c r="G1911" s="6" t="str">
        <f>IFERROR(__xludf.DUMMYFUNCTION("""COMPUTED_VALUE"""),"10/20/2010")</f>
        <v>10/20/2010</v>
      </c>
      <c r="H1911" s="6" t="str">
        <f>IFERROR(__xludf.DUMMYFUNCTION("""COMPUTED_VALUE"""),"Self Identify")</f>
        <v>Self Identify</v>
      </c>
      <c r="I1911" s="6" t="str">
        <f>IFERROR(__xludf.DUMMYFUNCTION("""COMPUTED_VALUE"""),"High School")</f>
        <v>High School</v>
      </c>
      <c r="J1911" s="6" t="str">
        <f>IFERROR(__xludf.DUMMYFUNCTION("""COMPUTED_VALUE"""),"9")</f>
        <v>9</v>
      </c>
      <c r="K1911" s="6" t="str">
        <f>IFERROR(__xludf.DUMMYFUNCTION("""COMPUTED_VALUE"""),"selina.mcintyre@2hourlearning.com")</f>
        <v>selina.mcintyre@2hourlearning.com</v>
      </c>
      <c r="L1911" s="6" t="str">
        <f>IFERROR(__xludf.DUMMYFUNCTION("""COMPUTED_VALUE"""),"Irvington High School")</f>
        <v>Irvington High School</v>
      </c>
      <c r="M1911" s="6" t="str">
        <f>IFERROR(__xludf.DUMMYFUNCTION("""COMPUTED_VALUE"""),"")</f>
        <v/>
      </c>
      <c r="N1911" s="6" t="str">
        <f>IFERROR(__xludf.DUMMYFUNCTION("""COMPUTED_VALUE"""),"")</f>
        <v/>
      </c>
      <c r="O1911" s="87" t="str">
        <f>IFERROR(__xludf.DUMMYFUNCTION("""COMPUTED_VALUE"""),"https://drive.google.com/drive/folders/10T2cTQHqEJZqE-st6uFKPoI?usp=share_link")</f>
        <v>https://drive.google.com/drive/folders/10T2cTQHqEJZqE-st6uFKPoI?usp=share_link</v>
      </c>
      <c r="P1911" s="6" t="str">
        <f>IFERROR(__xludf.DUMMYFUNCTION("""COMPUTED_VALUE"""),"Selina Mcintyre")</f>
        <v>Selina Mcintyre</v>
      </c>
      <c r="Q1911" s="6" t="str">
        <f>IFERROR(__xludf.DUMMYFUNCTION("""COMPUTED_VALUE"""),"HS")</f>
        <v>HS</v>
      </c>
      <c r="R1911" s="6">
        <f>IFERROR(__xludf.DUMMYFUNCTION("""COMPUTED_VALUE"""),0.0)</f>
        <v>0</v>
      </c>
      <c r="S1911" s="6" t="str">
        <f>IFERROR(__xludf.DUMMYFUNCTION("""COMPUTED_VALUE"""),"Alicia Westcot")</f>
        <v>Alicia Westcot</v>
      </c>
      <c r="T1911" s="6" t="str">
        <f>IFERROR(__xludf.DUMMYFUNCTION("""COMPUTED_VALUE"""),"alicia.westcot@studient.com")</f>
        <v>alicia.westcot@studient.com</v>
      </c>
      <c r="U1911" s="6" t="str">
        <f>IFERROR(__xludf.DUMMYFUNCTION("""COMPUTED_VALUE"""),"9")</f>
        <v>9</v>
      </c>
      <c r="V1911" s="6" t="str">
        <f>IFERROR(__xludf.DUMMYFUNCTION("""COMPUTED_VALUE"""),"English")</f>
        <v>English</v>
      </c>
      <c r="W1911" s="6" t="str">
        <f>IFERROR(__xludf.DUMMYFUNCTION("""COMPUTED_VALUE"""),"[]")</f>
        <v>[]</v>
      </c>
      <c r="X1911" s="6" t="str">
        <f>IFERROR(__xludf.DUMMYFUNCTION("""COMPUTED_VALUE"""),"Enrolled")</f>
        <v>Enrolled</v>
      </c>
    </row>
    <row r="1912">
      <c r="A1912" s="6" t="str">
        <f>IFERROR(__xludf.DUMMYFUNCTION("""COMPUTED_VALUE"""),"018-7118")</f>
        <v>018-7118</v>
      </c>
      <c r="B1912" s="6" t="str">
        <f>IFERROR(__xludf.DUMMYFUNCTION("""COMPUTED_VALUE"""),"18")</f>
        <v>18</v>
      </c>
      <c r="C1912" s="6" t="str">
        <f>IFERROR(__xludf.DUMMYFUNCTION("""COMPUTED_VALUE"""),"7118")</f>
        <v>7118</v>
      </c>
      <c r="D1912" s="6" t="str">
        <f>IFERROR(__xludf.DUMMYFUNCTION("""COMPUTED_VALUE"""),"Kayvon")</f>
        <v>Kayvon</v>
      </c>
      <c r="E1912" s="6" t="str">
        <f>IFERROR(__xludf.DUMMYFUNCTION("""COMPUTED_VALUE"""),"")</f>
        <v/>
      </c>
      <c r="F1912" s="6" t="str">
        <f>IFERROR(__xludf.DUMMYFUNCTION("""COMPUTED_VALUE"""),"Moghaddam")</f>
        <v>Moghaddam</v>
      </c>
      <c r="G1912" s="6" t="str">
        <f>IFERROR(__xludf.DUMMYFUNCTION("""COMPUTED_VALUE"""),"05/03/2010")</f>
        <v>05/03/2010</v>
      </c>
      <c r="H1912" s="6" t="str">
        <f>IFERROR(__xludf.DUMMYFUNCTION("""COMPUTED_VALUE"""),"Self Identify")</f>
        <v>Self Identify</v>
      </c>
      <c r="I1912" s="6" t="str">
        <f>IFERROR(__xludf.DUMMYFUNCTION("""COMPUTED_VALUE"""),"High School")</f>
        <v>High School</v>
      </c>
      <c r="J1912" s="6" t="str">
        <f>IFERROR(__xludf.DUMMYFUNCTION("""COMPUTED_VALUE"""),"10")</f>
        <v>10</v>
      </c>
      <c r="K1912" s="6" t="str">
        <f>IFERROR(__xludf.DUMMYFUNCTION("""COMPUTED_VALUE"""),"kayvon.moghaddam@2hourlearning.com")</f>
        <v>kayvon.moghaddam@2hourlearning.com</v>
      </c>
      <c r="L1912" s="6" t="str">
        <f>IFERROR(__xludf.DUMMYFUNCTION("""COMPUTED_VALUE"""),"Irvington High School")</f>
        <v>Irvington High School</v>
      </c>
      <c r="M1912" s="6" t="str">
        <f>IFERROR(__xludf.DUMMYFUNCTION("""COMPUTED_VALUE"""),"")</f>
        <v/>
      </c>
      <c r="N1912" s="6" t="str">
        <f>IFERROR(__xludf.DUMMYFUNCTION("""COMPUTED_VALUE"""),"")</f>
        <v/>
      </c>
      <c r="O1912" s="87" t="str">
        <f>IFERROR(__xludf.DUMMYFUNCTION("""COMPUTED_VALUE"""),"https://drive.google.com/drive/folders/10T2cTQHqEJZqE-st6uFKPoI?usp=share_link")</f>
        <v>https://drive.google.com/drive/folders/10T2cTQHqEJZqE-st6uFKPoI?usp=share_link</v>
      </c>
      <c r="P1912" s="6" t="str">
        <f>IFERROR(__xludf.DUMMYFUNCTION("""COMPUTED_VALUE"""),"Kayvon Moghaddam")</f>
        <v>Kayvon Moghaddam</v>
      </c>
      <c r="Q1912" s="6" t="str">
        <f>IFERROR(__xludf.DUMMYFUNCTION("""COMPUTED_VALUE"""),"HS")</f>
        <v>HS</v>
      </c>
      <c r="R1912" s="6">
        <f>IFERROR(__xludf.DUMMYFUNCTION("""COMPUTED_VALUE"""),0.0)</f>
        <v>0</v>
      </c>
      <c r="S1912" s="6" t="str">
        <f>IFERROR(__xludf.DUMMYFUNCTION("""COMPUTED_VALUE"""),"Alicia Westcot")</f>
        <v>Alicia Westcot</v>
      </c>
      <c r="T1912" s="6" t="str">
        <f>IFERROR(__xludf.DUMMYFUNCTION("""COMPUTED_VALUE"""),"alicia.westcot@studient.com")</f>
        <v>alicia.westcot@studient.com</v>
      </c>
      <c r="U1912" s="6" t="str">
        <f>IFERROR(__xludf.DUMMYFUNCTION("""COMPUTED_VALUE"""),"10")</f>
        <v>10</v>
      </c>
      <c r="V1912" s="6" t="str">
        <f>IFERROR(__xludf.DUMMYFUNCTION("""COMPUTED_VALUE"""),"English")</f>
        <v>English</v>
      </c>
      <c r="W1912" s="6" t="str">
        <f>IFERROR(__xludf.DUMMYFUNCTION("""COMPUTED_VALUE"""),"[]")</f>
        <v>[]</v>
      </c>
      <c r="X1912" s="6" t="str">
        <f>IFERROR(__xludf.DUMMYFUNCTION("""COMPUTED_VALUE"""),"Enrolled")</f>
        <v>Enrolled</v>
      </c>
    </row>
    <row r="1913">
      <c r="A1913" s="6" t="str">
        <f>IFERROR(__xludf.DUMMYFUNCTION("""COMPUTED_VALUE"""),"018-7119")</f>
        <v>018-7119</v>
      </c>
      <c r="B1913" s="6" t="str">
        <f>IFERROR(__xludf.DUMMYFUNCTION("""COMPUTED_VALUE"""),"18")</f>
        <v>18</v>
      </c>
      <c r="C1913" s="6" t="str">
        <f>IFERROR(__xludf.DUMMYFUNCTION("""COMPUTED_VALUE"""),"7119")</f>
        <v>7119</v>
      </c>
      <c r="D1913" s="6" t="str">
        <f>IFERROR(__xludf.DUMMYFUNCTION("""COMPUTED_VALUE"""),"Laiyah")</f>
        <v>Laiyah</v>
      </c>
      <c r="E1913" s="6" t="str">
        <f>IFERROR(__xludf.DUMMYFUNCTION("""COMPUTED_VALUE"""),"")</f>
        <v/>
      </c>
      <c r="F1913" s="6" t="str">
        <f>IFERROR(__xludf.DUMMYFUNCTION("""COMPUTED_VALUE"""),"Morganstein")</f>
        <v>Morganstein</v>
      </c>
      <c r="G1913" s="6" t="str">
        <f>IFERROR(__xludf.DUMMYFUNCTION("""COMPUTED_VALUE"""),"01/13/2011")</f>
        <v>01/13/2011</v>
      </c>
      <c r="H1913" s="6" t="str">
        <f>IFERROR(__xludf.DUMMYFUNCTION("""COMPUTED_VALUE"""),"Self Identify")</f>
        <v>Self Identify</v>
      </c>
      <c r="I1913" s="6" t="str">
        <f>IFERROR(__xludf.DUMMYFUNCTION("""COMPUTED_VALUE"""),"High School")</f>
        <v>High School</v>
      </c>
      <c r="J1913" s="6" t="str">
        <f>IFERROR(__xludf.DUMMYFUNCTION("""COMPUTED_VALUE"""),"9")</f>
        <v>9</v>
      </c>
      <c r="K1913" s="6" t="str">
        <f>IFERROR(__xludf.DUMMYFUNCTION("""COMPUTED_VALUE"""),"laiyah.morganstein@2hourlearning.com")</f>
        <v>laiyah.morganstein@2hourlearning.com</v>
      </c>
      <c r="L1913" s="6" t="str">
        <f>IFERROR(__xludf.DUMMYFUNCTION("""COMPUTED_VALUE"""),"Irvington High School")</f>
        <v>Irvington High School</v>
      </c>
      <c r="M1913" s="6" t="str">
        <f>IFERROR(__xludf.DUMMYFUNCTION("""COMPUTED_VALUE"""),"")</f>
        <v/>
      </c>
      <c r="N1913" s="6" t="str">
        <f>IFERROR(__xludf.DUMMYFUNCTION("""COMPUTED_VALUE"""),"")</f>
        <v/>
      </c>
      <c r="O1913" s="87" t="str">
        <f>IFERROR(__xludf.DUMMYFUNCTION("""COMPUTED_VALUE"""),"https://drive.google.com/drive/folders/10T2cTQHqEJZqE-st6uFKPoI?usp=share_link")</f>
        <v>https://drive.google.com/drive/folders/10T2cTQHqEJZqE-st6uFKPoI?usp=share_link</v>
      </c>
      <c r="P1913" s="6" t="str">
        <f>IFERROR(__xludf.DUMMYFUNCTION("""COMPUTED_VALUE"""),"Laiyah Morganstein")</f>
        <v>Laiyah Morganstein</v>
      </c>
      <c r="Q1913" s="6" t="str">
        <f>IFERROR(__xludf.DUMMYFUNCTION("""COMPUTED_VALUE"""),"HS")</f>
        <v>HS</v>
      </c>
      <c r="R1913" s="6">
        <f>IFERROR(__xludf.DUMMYFUNCTION("""COMPUTED_VALUE"""),0.0)</f>
        <v>0</v>
      </c>
      <c r="S1913" s="6" t="str">
        <f>IFERROR(__xludf.DUMMYFUNCTION("""COMPUTED_VALUE"""),"Alicia Westcot")</f>
        <v>Alicia Westcot</v>
      </c>
      <c r="T1913" s="6" t="str">
        <f>IFERROR(__xludf.DUMMYFUNCTION("""COMPUTED_VALUE"""),"alicia.westcot@studient.com")</f>
        <v>alicia.westcot@studient.com</v>
      </c>
      <c r="U1913" s="6" t="str">
        <f>IFERROR(__xludf.DUMMYFUNCTION("""COMPUTED_VALUE"""),"9")</f>
        <v>9</v>
      </c>
      <c r="V1913" s="6" t="str">
        <f>IFERROR(__xludf.DUMMYFUNCTION("""COMPUTED_VALUE"""),"English")</f>
        <v>English</v>
      </c>
      <c r="W1913" s="6" t="str">
        <f>IFERROR(__xludf.DUMMYFUNCTION("""COMPUTED_VALUE"""),"[]")</f>
        <v>[]</v>
      </c>
      <c r="X1913" s="6" t="str">
        <f>IFERROR(__xludf.DUMMYFUNCTION("""COMPUTED_VALUE"""),"Enrolled")</f>
        <v>Enrolled</v>
      </c>
    </row>
    <row r="1914">
      <c r="A1914" s="6" t="str">
        <f>IFERROR(__xludf.DUMMYFUNCTION("""COMPUTED_VALUE"""),"018-7120")</f>
        <v>018-7120</v>
      </c>
      <c r="B1914" s="6" t="str">
        <f>IFERROR(__xludf.DUMMYFUNCTION("""COMPUTED_VALUE"""),"18")</f>
        <v>18</v>
      </c>
      <c r="C1914" s="6" t="str">
        <f>IFERROR(__xludf.DUMMYFUNCTION("""COMPUTED_VALUE"""),"7120")</f>
        <v>7120</v>
      </c>
      <c r="D1914" s="6" t="str">
        <f>IFERROR(__xludf.DUMMYFUNCTION("""COMPUTED_VALUE"""),"Vanessa")</f>
        <v>Vanessa</v>
      </c>
      <c r="E1914" s="6" t="str">
        <f>IFERROR(__xludf.DUMMYFUNCTION("""COMPUTED_VALUE"""),"")</f>
        <v/>
      </c>
      <c r="F1914" s="6" t="str">
        <f>IFERROR(__xludf.DUMMYFUNCTION("""COMPUTED_VALUE"""),"Ortega Casas")</f>
        <v>Ortega Casas</v>
      </c>
      <c r="G1914" s="6" t="str">
        <f>IFERROR(__xludf.DUMMYFUNCTION("""COMPUTED_VALUE"""),"08/13/2011")</f>
        <v>08/13/2011</v>
      </c>
      <c r="H1914" s="6" t="str">
        <f>IFERROR(__xludf.DUMMYFUNCTION("""COMPUTED_VALUE"""),"Self Identify")</f>
        <v>Self Identify</v>
      </c>
      <c r="I1914" s="6" t="str">
        <f>IFERROR(__xludf.DUMMYFUNCTION("""COMPUTED_VALUE"""),"High School")</f>
        <v>High School</v>
      </c>
      <c r="J1914" s="6" t="str">
        <f>IFERROR(__xludf.DUMMYFUNCTION("""COMPUTED_VALUE"""),"9")</f>
        <v>9</v>
      </c>
      <c r="K1914" s="6" t="str">
        <f>IFERROR(__xludf.DUMMYFUNCTION("""COMPUTED_VALUE"""),"vanessa.ortegacasas@2hourlearning.com")</f>
        <v>vanessa.ortegacasas@2hourlearning.com</v>
      </c>
      <c r="L1914" s="6" t="str">
        <f>IFERROR(__xludf.DUMMYFUNCTION("""COMPUTED_VALUE"""),"Irvington High School")</f>
        <v>Irvington High School</v>
      </c>
      <c r="M1914" s="6" t="str">
        <f>IFERROR(__xludf.DUMMYFUNCTION("""COMPUTED_VALUE"""),"")</f>
        <v/>
      </c>
      <c r="N1914" s="6" t="str">
        <f>IFERROR(__xludf.DUMMYFUNCTION("""COMPUTED_VALUE"""),"")</f>
        <v/>
      </c>
      <c r="O1914" s="87" t="str">
        <f>IFERROR(__xludf.DUMMYFUNCTION("""COMPUTED_VALUE"""),"https://drive.google.com/drive/folders/10T2cTQHqEJZqE-st6uFKPoI?usp=share_link")</f>
        <v>https://drive.google.com/drive/folders/10T2cTQHqEJZqE-st6uFKPoI?usp=share_link</v>
      </c>
      <c r="P1914" s="6" t="str">
        <f>IFERROR(__xludf.DUMMYFUNCTION("""COMPUTED_VALUE"""),"Vanessa Ortega Casas")</f>
        <v>Vanessa Ortega Casas</v>
      </c>
      <c r="Q1914" s="6" t="str">
        <f>IFERROR(__xludf.DUMMYFUNCTION("""COMPUTED_VALUE"""),"HS")</f>
        <v>HS</v>
      </c>
      <c r="R1914" s="6">
        <f>IFERROR(__xludf.DUMMYFUNCTION("""COMPUTED_VALUE"""),0.0)</f>
        <v>0</v>
      </c>
      <c r="S1914" s="6" t="str">
        <f>IFERROR(__xludf.DUMMYFUNCTION("""COMPUTED_VALUE"""),"Alicia Westcot")</f>
        <v>Alicia Westcot</v>
      </c>
      <c r="T1914" s="6" t="str">
        <f>IFERROR(__xludf.DUMMYFUNCTION("""COMPUTED_VALUE"""),"alicia.westcot@studient.com")</f>
        <v>alicia.westcot@studient.com</v>
      </c>
      <c r="U1914" s="6" t="str">
        <f>IFERROR(__xludf.DUMMYFUNCTION("""COMPUTED_VALUE"""),"9")</f>
        <v>9</v>
      </c>
      <c r="V1914" s="6" t="str">
        <f>IFERROR(__xludf.DUMMYFUNCTION("""COMPUTED_VALUE"""),"English")</f>
        <v>English</v>
      </c>
      <c r="W1914" s="6" t="str">
        <f>IFERROR(__xludf.DUMMYFUNCTION("""COMPUTED_VALUE"""),"[]")</f>
        <v>[]</v>
      </c>
      <c r="X1914" s="6" t="str">
        <f>IFERROR(__xludf.DUMMYFUNCTION("""COMPUTED_VALUE"""),"Enrolled")</f>
        <v>Enrolled</v>
      </c>
    </row>
    <row r="1915">
      <c r="A1915" s="6" t="str">
        <f>IFERROR(__xludf.DUMMYFUNCTION("""COMPUTED_VALUE"""),"018-7121")</f>
        <v>018-7121</v>
      </c>
      <c r="B1915" s="6" t="str">
        <f>IFERROR(__xludf.DUMMYFUNCTION("""COMPUTED_VALUE"""),"18")</f>
        <v>18</v>
      </c>
      <c r="C1915" s="6" t="str">
        <f>IFERROR(__xludf.DUMMYFUNCTION("""COMPUTED_VALUE"""),"7121")</f>
        <v>7121</v>
      </c>
      <c r="D1915" s="6" t="str">
        <f>IFERROR(__xludf.DUMMYFUNCTION("""COMPUTED_VALUE"""),"Sayed Wedad")</f>
        <v>Sayed Wedad</v>
      </c>
      <c r="E1915" s="6" t="str">
        <f>IFERROR(__xludf.DUMMYFUNCTION("""COMPUTED_VALUE"""),"")</f>
        <v/>
      </c>
      <c r="F1915" s="6" t="str">
        <f>IFERROR(__xludf.DUMMYFUNCTION("""COMPUTED_VALUE"""),"Sadaat")</f>
        <v>Sadaat</v>
      </c>
      <c r="G1915" s="6" t="str">
        <f>IFERROR(__xludf.DUMMYFUNCTION("""COMPUTED_VALUE"""),"07/04/2011")</f>
        <v>07/04/2011</v>
      </c>
      <c r="H1915" s="6" t="str">
        <f>IFERROR(__xludf.DUMMYFUNCTION("""COMPUTED_VALUE"""),"Self Identify")</f>
        <v>Self Identify</v>
      </c>
      <c r="I1915" s="6" t="str">
        <f>IFERROR(__xludf.DUMMYFUNCTION("""COMPUTED_VALUE"""),"High School")</f>
        <v>High School</v>
      </c>
      <c r="J1915" s="6" t="str">
        <f>IFERROR(__xludf.DUMMYFUNCTION("""COMPUTED_VALUE"""),"9")</f>
        <v>9</v>
      </c>
      <c r="K1915" s="6" t="str">
        <f>IFERROR(__xludf.DUMMYFUNCTION("""COMPUTED_VALUE"""),"sayedwedad.sadaat@2hourlearning.com")</f>
        <v>sayedwedad.sadaat@2hourlearning.com</v>
      </c>
      <c r="L1915" s="6" t="str">
        <f>IFERROR(__xludf.DUMMYFUNCTION("""COMPUTED_VALUE"""),"Irvington High School")</f>
        <v>Irvington High School</v>
      </c>
      <c r="M1915" s="6" t="str">
        <f>IFERROR(__xludf.DUMMYFUNCTION("""COMPUTED_VALUE"""),"")</f>
        <v/>
      </c>
      <c r="N1915" s="6" t="str">
        <f>IFERROR(__xludf.DUMMYFUNCTION("""COMPUTED_VALUE"""),"")</f>
        <v/>
      </c>
      <c r="O1915" s="87" t="str">
        <f>IFERROR(__xludf.DUMMYFUNCTION("""COMPUTED_VALUE"""),"https://drive.google.com/drive/folders/10T2cTQHqEJZqE-st6uFKPoI?usp=share_link")</f>
        <v>https://drive.google.com/drive/folders/10T2cTQHqEJZqE-st6uFKPoI?usp=share_link</v>
      </c>
      <c r="P1915" s="6" t="str">
        <f>IFERROR(__xludf.DUMMYFUNCTION("""COMPUTED_VALUE"""),"Sayed Wedad Sadaat")</f>
        <v>Sayed Wedad Sadaat</v>
      </c>
      <c r="Q1915" s="6" t="str">
        <f>IFERROR(__xludf.DUMMYFUNCTION("""COMPUTED_VALUE"""),"HS")</f>
        <v>HS</v>
      </c>
      <c r="R1915" s="6">
        <f>IFERROR(__xludf.DUMMYFUNCTION("""COMPUTED_VALUE"""),0.0)</f>
        <v>0</v>
      </c>
      <c r="S1915" s="6" t="str">
        <f>IFERROR(__xludf.DUMMYFUNCTION("""COMPUTED_VALUE"""),"Alicia Westcot")</f>
        <v>Alicia Westcot</v>
      </c>
      <c r="T1915" s="6" t="str">
        <f>IFERROR(__xludf.DUMMYFUNCTION("""COMPUTED_VALUE"""),"alicia.westcot@studient.com")</f>
        <v>alicia.westcot@studient.com</v>
      </c>
      <c r="U1915" s="6" t="str">
        <f>IFERROR(__xludf.DUMMYFUNCTION("""COMPUTED_VALUE"""),"9")</f>
        <v>9</v>
      </c>
      <c r="V1915" s="6" t="str">
        <f>IFERROR(__xludf.DUMMYFUNCTION("""COMPUTED_VALUE"""),"English")</f>
        <v>English</v>
      </c>
      <c r="W1915" s="6" t="str">
        <f>IFERROR(__xludf.DUMMYFUNCTION("""COMPUTED_VALUE"""),"[]")</f>
        <v>[]</v>
      </c>
      <c r="X1915" s="6" t="str">
        <f>IFERROR(__xludf.DUMMYFUNCTION("""COMPUTED_VALUE"""),"Enrolled")</f>
        <v>Enrolled</v>
      </c>
    </row>
    <row r="1916">
      <c r="A1916" s="6" t="str">
        <f>IFERROR(__xludf.DUMMYFUNCTION("""COMPUTED_VALUE"""),"018-7122")</f>
        <v>018-7122</v>
      </c>
      <c r="B1916" s="6" t="str">
        <f>IFERROR(__xludf.DUMMYFUNCTION("""COMPUTED_VALUE"""),"18")</f>
        <v>18</v>
      </c>
      <c r="C1916" s="6" t="str">
        <f>IFERROR(__xludf.DUMMYFUNCTION("""COMPUTED_VALUE"""),"7122")</f>
        <v>7122</v>
      </c>
      <c r="D1916" s="6" t="str">
        <f>IFERROR(__xludf.DUMMYFUNCTION("""COMPUTED_VALUE"""),"London")</f>
        <v>London</v>
      </c>
      <c r="E1916" s="6" t="str">
        <f>IFERROR(__xludf.DUMMYFUNCTION("""COMPUTED_VALUE"""),"")</f>
        <v/>
      </c>
      <c r="F1916" s="6" t="str">
        <f>IFERROR(__xludf.DUMMYFUNCTION("""COMPUTED_VALUE"""),"Sykes Murray")</f>
        <v>Sykes Murray</v>
      </c>
      <c r="G1916" s="6" t="str">
        <f>IFERROR(__xludf.DUMMYFUNCTION("""COMPUTED_VALUE"""),"07/02/2011")</f>
        <v>07/02/2011</v>
      </c>
      <c r="H1916" s="6" t="str">
        <f>IFERROR(__xludf.DUMMYFUNCTION("""COMPUTED_VALUE"""),"Self Identify")</f>
        <v>Self Identify</v>
      </c>
      <c r="I1916" s="6" t="str">
        <f>IFERROR(__xludf.DUMMYFUNCTION("""COMPUTED_VALUE"""),"High School")</f>
        <v>High School</v>
      </c>
      <c r="J1916" s="6" t="str">
        <f>IFERROR(__xludf.DUMMYFUNCTION("""COMPUTED_VALUE"""),"9")</f>
        <v>9</v>
      </c>
      <c r="K1916" s="6" t="str">
        <f>IFERROR(__xludf.DUMMYFUNCTION("""COMPUTED_VALUE"""),"london.sykesmurray@2hourlearning.com")</f>
        <v>london.sykesmurray@2hourlearning.com</v>
      </c>
      <c r="L1916" s="6" t="str">
        <f>IFERROR(__xludf.DUMMYFUNCTION("""COMPUTED_VALUE"""),"Irvington High School")</f>
        <v>Irvington High School</v>
      </c>
      <c r="M1916" s="6" t="str">
        <f>IFERROR(__xludf.DUMMYFUNCTION("""COMPUTED_VALUE"""),"")</f>
        <v/>
      </c>
      <c r="N1916" s="6" t="str">
        <f>IFERROR(__xludf.DUMMYFUNCTION("""COMPUTED_VALUE"""),"")</f>
        <v/>
      </c>
      <c r="O1916" s="87" t="str">
        <f>IFERROR(__xludf.DUMMYFUNCTION("""COMPUTED_VALUE"""),"https://drive.google.com/drive/folders/10T2cTQHqEJZqE-st6uFKPoI?usp=share_link")</f>
        <v>https://drive.google.com/drive/folders/10T2cTQHqEJZqE-st6uFKPoI?usp=share_link</v>
      </c>
      <c r="P1916" s="6" t="str">
        <f>IFERROR(__xludf.DUMMYFUNCTION("""COMPUTED_VALUE"""),"London Sykes Murray")</f>
        <v>London Sykes Murray</v>
      </c>
      <c r="Q1916" s="6" t="str">
        <f>IFERROR(__xludf.DUMMYFUNCTION("""COMPUTED_VALUE"""),"HS")</f>
        <v>HS</v>
      </c>
      <c r="R1916" s="6">
        <f>IFERROR(__xludf.DUMMYFUNCTION("""COMPUTED_VALUE"""),0.0)</f>
        <v>0</v>
      </c>
      <c r="S1916" s="6" t="str">
        <f>IFERROR(__xludf.DUMMYFUNCTION("""COMPUTED_VALUE"""),"Alicia Westcot")</f>
        <v>Alicia Westcot</v>
      </c>
      <c r="T1916" s="6" t="str">
        <f>IFERROR(__xludf.DUMMYFUNCTION("""COMPUTED_VALUE"""),"alicia.westcot@studient.com")</f>
        <v>alicia.westcot@studient.com</v>
      </c>
      <c r="U1916" s="6" t="str">
        <f>IFERROR(__xludf.DUMMYFUNCTION("""COMPUTED_VALUE"""),"9")</f>
        <v>9</v>
      </c>
      <c r="V1916" s="6" t="str">
        <f>IFERROR(__xludf.DUMMYFUNCTION("""COMPUTED_VALUE"""),"English")</f>
        <v>English</v>
      </c>
      <c r="W1916" s="6" t="str">
        <f>IFERROR(__xludf.DUMMYFUNCTION("""COMPUTED_VALUE"""),"[]")</f>
        <v>[]</v>
      </c>
      <c r="X1916" s="6" t="str">
        <f>IFERROR(__xludf.DUMMYFUNCTION("""COMPUTED_VALUE"""),"Enrolled")</f>
        <v>Enrolled</v>
      </c>
    </row>
    <row r="1917">
      <c r="A1917" s="6" t="str">
        <f>IFERROR(__xludf.DUMMYFUNCTION("""COMPUTED_VALUE"""),"018-7123")</f>
        <v>018-7123</v>
      </c>
      <c r="B1917" s="6" t="str">
        <f>IFERROR(__xludf.DUMMYFUNCTION("""COMPUTED_VALUE"""),"18")</f>
        <v>18</v>
      </c>
      <c r="C1917" s="6" t="str">
        <f>IFERROR(__xludf.DUMMYFUNCTION("""COMPUTED_VALUE"""),"7123")</f>
        <v>7123</v>
      </c>
      <c r="D1917" s="6" t="str">
        <f>IFERROR(__xludf.DUMMYFUNCTION("""COMPUTED_VALUE"""),"Diego")</f>
        <v>Diego</v>
      </c>
      <c r="E1917" s="6" t="str">
        <f>IFERROR(__xludf.DUMMYFUNCTION("""COMPUTED_VALUE"""),"")</f>
        <v/>
      </c>
      <c r="F1917" s="6" t="str">
        <f>IFERROR(__xludf.DUMMYFUNCTION("""COMPUTED_VALUE"""),"Toral Villegas")</f>
        <v>Toral Villegas</v>
      </c>
      <c r="G1917" s="6" t="str">
        <f>IFERROR(__xludf.DUMMYFUNCTION("""COMPUTED_VALUE"""),"04/23/2011")</f>
        <v>04/23/2011</v>
      </c>
      <c r="H1917" s="6" t="str">
        <f>IFERROR(__xludf.DUMMYFUNCTION("""COMPUTED_VALUE"""),"Self Identify")</f>
        <v>Self Identify</v>
      </c>
      <c r="I1917" s="6" t="str">
        <f>IFERROR(__xludf.DUMMYFUNCTION("""COMPUTED_VALUE"""),"High School")</f>
        <v>High School</v>
      </c>
      <c r="J1917" s="6" t="str">
        <f>IFERROR(__xludf.DUMMYFUNCTION("""COMPUTED_VALUE"""),"9")</f>
        <v>9</v>
      </c>
      <c r="K1917" s="6" t="str">
        <f>IFERROR(__xludf.DUMMYFUNCTION("""COMPUTED_VALUE"""),"diego.toralvillegas@2hourlearning.com")</f>
        <v>diego.toralvillegas@2hourlearning.com</v>
      </c>
      <c r="L1917" s="6" t="str">
        <f>IFERROR(__xludf.DUMMYFUNCTION("""COMPUTED_VALUE"""),"Irvington High School")</f>
        <v>Irvington High School</v>
      </c>
      <c r="M1917" s="6" t="str">
        <f>IFERROR(__xludf.DUMMYFUNCTION("""COMPUTED_VALUE"""),"")</f>
        <v/>
      </c>
      <c r="N1917" s="6" t="str">
        <f>IFERROR(__xludf.DUMMYFUNCTION("""COMPUTED_VALUE"""),"")</f>
        <v/>
      </c>
      <c r="O1917" s="87" t="str">
        <f>IFERROR(__xludf.DUMMYFUNCTION("""COMPUTED_VALUE"""),"https://drive.google.com/drive/folders/10T2cTQHqEJZqE-st6uFKPoI?usp=share_link")</f>
        <v>https://drive.google.com/drive/folders/10T2cTQHqEJZqE-st6uFKPoI?usp=share_link</v>
      </c>
      <c r="P1917" s="6" t="str">
        <f>IFERROR(__xludf.DUMMYFUNCTION("""COMPUTED_VALUE"""),"Diego Toral Villegas")</f>
        <v>Diego Toral Villegas</v>
      </c>
      <c r="Q1917" s="6" t="str">
        <f>IFERROR(__xludf.DUMMYFUNCTION("""COMPUTED_VALUE"""),"HS")</f>
        <v>HS</v>
      </c>
      <c r="R1917" s="6">
        <f>IFERROR(__xludf.DUMMYFUNCTION("""COMPUTED_VALUE"""),0.0)</f>
        <v>0</v>
      </c>
      <c r="S1917" s="6" t="str">
        <f>IFERROR(__xludf.DUMMYFUNCTION("""COMPUTED_VALUE"""),"Alicia Westcot")</f>
        <v>Alicia Westcot</v>
      </c>
      <c r="T1917" s="6" t="str">
        <f>IFERROR(__xludf.DUMMYFUNCTION("""COMPUTED_VALUE"""),"alicia.westcot@studient.com")</f>
        <v>alicia.westcot@studient.com</v>
      </c>
      <c r="U1917" s="6" t="str">
        <f>IFERROR(__xludf.DUMMYFUNCTION("""COMPUTED_VALUE"""),"9")</f>
        <v>9</v>
      </c>
      <c r="V1917" s="6" t="str">
        <f>IFERROR(__xludf.DUMMYFUNCTION("""COMPUTED_VALUE"""),"English")</f>
        <v>English</v>
      </c>
      <c r="W1917" s="6" t="str">
        <f>IFERROR(__xludf.DUMMYFUNCTION("""COMPUTED_VALUE"""),"[]")</f>
        <v>[]</v>
      </c>
      <c r="X1917" s="6" t="str">
        <f>IFERROR(__xludf.DUMMYFUNCTION("""COMPUTED_VALUE"""),"Enrolled")</f>
        <v>Enrolled</v>
      </c>
    </row>
    <row r="1918">
      <c r="A1918" s="6" t="str">
        <f>IFERROR(__xludf.DUMMYFUNCTION("""COMPUTED_VALUE"""),"018-7124")</f>
        <v>018-7124</v>
      </c>
      <c r="B1918" s="6" t="str">
        <f>IFERROR(__xludf.DUMMYFUNCTION("""COMPUTED_VALUE"""),"18")</f>
        <v>18</v>
      </c>
      <c r="C1918" s="6" t="str">
        <f>IFERROR(__xludf.DUMMYFUNCTION("""COMPUTED_VALUE"""),"7124")</f>
        <v>7124</v>
      </c>
      <c r="D1918" s="6" t="str">
        <f>IFERROR(__xludf.DUMMYFUNCTION("""COMPUTED_VALUE"""),"Leon")</f>
        <v>Leon</v>
      </c>
      <c r="E1918" s="6" t="str">
        <f>IFERROR(__xludf.DUMMYFUNCTION("""COMPUTED_VALUE"""),"")</f>
        <v/>
      </c>
      <c r="F1918" s="6" t="str">
        <f>IFERROR(__xludf.DUMMYFUNCTION("""COMPUTED_VALUE"""),"Vuong")</f>
        <v>Vuong</v>
      </c>
      <c r="G1918" s="6" t="str">
        <f>IFERROR(__xludf.DUMMYFUNCTION("""COMPUTED_VALUE"""),"10/31/2010")</f>
        <v>10/31/2010</v>
      </c>
      <c r="H1918" s="6" t="str">
        <f>IFERROR(__xludf.DUMMYFUNCTION("""COMPUTED_VALUE"""),"Self Identify")</f>
        <v>Self Identify</v>
      </c>
      <c r="I1918" s="6" t="str">
        <f>IFERROR(__xludf.DUMMYFUNCTION("""COMPUTED_VALUE"""),"High School")</f>
        <v>High School</v>
      </c>
      <c r="J1918" s="6" t="str">
        <f>IFERROR(__xludf.DUMMYFUNCTION("""COMPUTED_VALUE"""),"9")</f>
        <v>9</v>
      </c>
      <c r="K1918" s="6" t="str">
        <f>IFERROR(__xludf.DUMMYFUNCTION("""COMPUTED_VALUE"""),"leon.vuong@2hourlearning.com")</f>
        <v>leon.vuong@2hourlearning.com</v>
      </c>
      <c r="L1918" s="6" t="str">
        <f>IFERROR(__xludf.DUMMYFUNCTION("""COMPUTED_VALUE"""),"Irvington High School")</f>
        <v>Irvington High School</v>
      </c>
      <c r="M1918" s="6" t="str">
        <f>IFERROR(__xludf.DUMMYFUNCTION("""COMPUTED_VALUE"""),"")</f>
        <v/>
      </c>
      <c r="N1918" s="6" t="str">
        <f>IFERROR(__xludf.DUMMYFUNCTION("""COMPUTED_VALUE"""),"")</f>
        <v/>
      </c>
      <c r="O1918" s="87" t="str">
        <f>IFERROR(__xludf.DUMMYFUNCTION("""COMPUTED_VALUE"""),"https://drive.google.com/drive/folders/10T2cTQHqEJZqE-st6uFKPoI?usp=share_link")</f>
        <v>https://drive.google.com/drive/folders/10T2cTQHqEJZqE-st6uFKPoI?usp=share_link</v>
      </c>
      <c r="P1918" s="6" t="str">
        <f>IFERROR(__xludf.DUMMYFUNCTION("""COMPUTED_VALUE"""),"Leon Vuong")</f>
        <v>Leon Vuong</v>
      </c>
      <c r="Q1918" s="6" t="str">
        <f>IFERROR(__xludf.DUMMYFUNCTION("""COMPUTED_VALUE"""),"HS")</f>
        <v>HS</v>
      </c>
      <c r="R1918" s="6">
        <f>IFERROR(__xludf.DUMMYFUNCTION("""COMPUTED_VALUE"""),0.0)</f>
        <v>0</v>
      </c>
      <c r="S1918" s="6" t="str">
        <f>IFERROR(__xludf.DUMMYFUNCTION("""COMPUTED_VALUE"""),"Alicia Westcot")</f>
        <v>Alicia Westcot</v>
      </c>
      <c r="T1918" s="6" t="str">
        <f>IFERROR(__xludf.DUMMYFUNCTION("""COMPUTED_VALUE"""),"alicia.westcot@studient.com")</f>
        <v>alicia.westcot@studient.com</v>
      </c>
      <c r="U1918" s="6" t="str">
        <f>IFERROR(__xludf.DUMMYFUNCTION("""COMPUTED_VALUE"""),"9")</f>
        <v>9</v>
      </c>
      <c r="V1918" s="6" t="str">
        <f>IFERROR(__xludf.DUMMYFUNCTION("""COMPUTED_VALUE"""),"English")</f>
        <v>English</v>
      </c>
      <c r="W1918" s="6" t="str">
        <f>IFERROR(__xludf.DUMMYFUNCTION("""COMPUTED_VALUE"""),"[]")</f>
        <v>[]</v>
      </c>
      <c r="X1918" s="6" t="str">
        <f>IFERROR(__xludf.DUMMYFUNCTION("""COMPUTED_VALUE"""),"Enrolled")</f>
        <v>Enrolled</v>
      </c>
    </row>
    <row r="1919">
      <c r="A1919" s="6" t="str">
        <f>IFERROR(__xludf.DUMMYFUNCTION("""COMPUTED_VALUE"""),"018-7125")</f>
        <v>018-7125</v>
      </c>
      <c r="B1919" s="6" t="str">
        <f>IFERROR(__xludf.DUMMYFUNCTION("""COMPUTED_VALUE"""),"18")</f>
        <v>18</v>
      </c>
      <c r="C1919" s="6" t="str">
        <f>IFERROR(__xludf.DUMMYFUNCTION("""COMPUTED_VALUE"""),"7125")</f>
        <v>7125</v>
      </c>
      <c r="D1919" s="6" t="str">
        <f>IFERROR(__xludf.DUMMYFUNCTION("""COMPUTED_VALUE"""),"Cali")</f>
        <v>Cali</v>
      </c>
      <c r="E1919" s="6" t="str">
        <f>IFERROR(__xludf.DUMMYFUNCTION("""COMPUTED_VALUE"""),"")</f>
        <v/>
      </c>
      <c r="F1919" s="6" t="str">
        <f>IFERROR(__xludf.DUMMYFUNCTION("""COMPUTED_VALUE"""),"Bannon")</f>
        <v>Bannon</v>
      </c>
      <c r="G1919" s="6" t="str">
        <f>IFERROR(__xludf.DUMMYFUNCTION("""COMPUTED_VALUE"""),"02/15/2011")</f>
        <v>02/15/2011</v>
      </c>
      <c r="H1919" s="6" t="str">
        <f>IFERROR(__xludf.DUMMYFUNCTION("""COMPUTED_VALUE"""),"Self Identify")</f>
        <v>Self Identify</v>
      </c>
      <c r="I1919" s="6" t="str">
        <f>IFERROR(__xludf.DUMMYFUNCTION("""COMPUTED_VALUE"""),"High School")</f>
        <v>High School</v>
      </c>
      <c r="J1919" s="6" t="str">
        <f>IFERROR(__xludf.DUMMYFUNCTION("""COMPUTED_VALUE"""),"9")</f>
        <v>9</v>
      </c>
      <c r="K1919" s="6" t="str">
        <f>IFERROR(__xludf.DUMMYFUNCTION("""COMPUTED_VALUE"""),"cali.bannon@2hourlearning.com")</f>
        <v>cali.bannon@2hourlearning.com</v>
      </c>
      <c r="L1919" s="6" t="str">
        <f>IFERROR(__xludf.DUMMYFUNCTION("""COMPUTED_VALUE"""),"Irvington High School")</f>
        <v>Irvington High School</v>
      </c>
      <c r="M1919" s="6" t="str">
        <f>IFERROR(__xludf.DUMMYFUNCTION("""COMPUTED_VALUE"""),"")</f>
        <v/>
      </c>
      <c r="N1919" s="6" t="str">
        <f>IFERROR(__xludf.DUMMYFUNCTION("""COMPUTED_VALUE"""),"")</f>
        <v/>
      </c>
      <c r="O1919" s="87" t="str">
        <f>IFERROR(__xludf.DUMMYFUNCTION("""COMPUTED_VALUE"""),"https://drive.google.com/drive/folders/10T2cTQHqEJZqE-st6uFKPoI?usp=share_link")</f>
        <v>https://drive.google.com/drive/folders/10T2cTQHqEJZqE-st6uFKPoI?usp=share_link</v>
      </c>
      <c r="P1919" s="6" t="str">
        <f>IFERROR(__xludf.DUMMYFUNCTION("""COMPUTED_VALUE"""),"Cali Bannon")</f>
        <v>Cali Bannon</v>
      </c>
      <c r="Q1919" s="6" t="str">
        <f>IFERROR(__xludf.DUMMYFUNCTION("""COMPUTED_VALUE"""),"HS")</f>
        <v>HS</v>
      </c>
      <c r="R1919" s="6">
        <f>IFERROR(__xludf.DUMMYFUNCTION("""COMPUTED_VALUE"""),0.0)</f>
        <v>0</v>
      </c>
      <c r="S1919" s="6" t="str">
        <f>IFERROR(__xludf.DUMMYFUNCTION("""COMPUTED_VALUE"""),"Alicia Westcot")</f>
        <v>Alicia Westcot</v>
      </c>
      <c r="T1919" s="6" t="str">
        <f>IFERROR(__xludf.DUMMYFUNCTION("""COMPUTED_VALUE"""),"alicia.westcot@studient.com")</f>
        <v>alicia.westcot@studient.com</v>
      </c>
      <c r="U1919" s="6" t="str">
        <f>IFERROR(__xludf.DUMMYFUNCTION("""COMPUTED_VALUE"""),"9")</f>
        <v>9</v>
      </c>
      <c r="V1919" s="6" t="str">
        <f>IFERROR(__xludf.DUMMYFUNCTION("""COMPUTED_VALUE"""),"English")</f>
        <v>English</v>
      </c>
      <c r="W1919" s="6" t="str">
        <f>IFERROR(__xludf.DUMMYFUNCTION("""COMPUTED_VALUE"""),"[]")</f>
        <v>[]</v>
      </c>
      <c r="X1919" s="6" t="str">
        <f>IFERROR(__xludf.DUMMYFUNCTION("""COMPUTED_VALUE"""),"Enrolled")</f>
        <v>Enrolled</v>
      </c>
    </row>
    <row r="1920">
      <c r="A1920" s="6" t="str">
        <f>IFERROR(__xludf.DUMMYFUNCTION("""COMPUTED_VALUE"""),"019-0450")</f>
        <v>019-0450</v>
      </c>
      <c r="B1920" s="6" t="str">
        <f>IFERROR(__xludf.DUMMYFUNCTION("""COMPUTED_VALUE"""),"19")</f>
        <v>19</v>
      </c>
      <c r="C1920" s="6" t="str">
        <f>IFERROR(__xludf.DUMMYFUNCTION("""COMPUTED_VALUE"""),"0450")</f>
        <v>0450</v>
      </c>
      <c r="D1920" s="6" t="str">
        <f>IFERROR(__xludf.DUMMYFUNCTION("""COMPUTED_VALUE"""),"Olivia")</f>
        <v>Olivia</v>
      </c>
      <c r="E1920" s="6" t="str">
        <f>IFERROR(__xludf.DUMMYFUNCTION("""COMPUTED_VALUE"""),"Olivia")</f>
        <v>Olivia</v>
      </c>
      <c r="F1920" s="6" t="str">
        <f>IFERROR(__xludf.DUMMYFUNCTION("""COMPUTED_VALUE"""),"Attia")</f>
        <v>Attia</v>
      </c>
      <c r="G1920" s="6" t="str">
        <f>IFERROR(__xludf.DUMMYFUNCTION("""COMPUTED_VALUE"""),"07/25/2008")</f>
        <v>07/25/2008</v>
      </c>
      <c r="H1920" s="6" t="str">
        <f>IFERROR(__xludf.DUMMYFUNCTION("""COMPUTED_VALUE"""),"F")</f>
        <v>F</v>
      </c>
      <c r="I1920" s="6" t="str">
        <f>IFERROR(__xludf.DUMMYFUNCTION("""COMPUTED_VALUE"""),"High School")</f>
        <v>High School</v>
      </c>
      <c r="J1920" s="6" t="str">
        <f>IFERROR(__xludf.DUMMYFUNCTION("""COMPUTED_VALUE"""),"10")</f>
        <v>10</v>
      </c>
      <c r="K1920" s="6" t="str">
        <f>IFERROR(__xludf.DUMMYFUNCTION("""COMPUTED_VALUE"""),"olivia.attia@2hourlearning.com")</f>
        <v>olivia.attia@2hourlearning.com</v>
      </c>
      <c r="L1920" s="6" t="str">
        <f>IFERROR(__xludf.DUMMYFUNCTION("""COMPUTED_VALUE"""),"High School SAT Prep")</f>
        <v>High School SAT Prep</v>
      </c>
      <c r="M1920" s="6" t="str">
        <f>IFERROR(__xludf.DUMMYFUNCTION("""COMPUTED_VALUE"""),"")</f>
        <v/>
      </c>
      <c r="N1920" s="6" t="str">
        <f>IFERROR(__xludf.DUMMYFUNCTION("""COMPUTED_VALUE"""),"")</f>
        <v/>
      </c>
      <c r="O1920" s="87" t="str">
        <f>IFERROR(__xludf.DUMMYFUNCTION("""COMPUTED_VALUE"""),"https://drive.google.com/drive/folders/10T2cTQHqEJZqE-st6uFKPoI?usp=share_link")</f>
        <v>https://drive.google.com/drive/folders/10T2cTQHqEJZqE-st6uFKPoI?usp=share_link</v>
      </c>
      <c r="P1920" s="6" t="str">
        <f>IFERROR(__xludf.DUMMYFUNCTION("""COMPUTED_VALUE"""),"Olivia Attia")</f>
        <v>Olivia Attia</v>
      </c>
      <c r="Q1920" s="6" t="str">
        <f>IFERROR(__xludf.DUMMYFUNCTION("""COMPUTED_VALUE"""),"HS")</f>
        <v>HS</v>
      </c>
      <c r="R1920" s="6">
        <f>IFERROR(__xludf.DUMMYFUNCTION("""COMPUTED_VALUE"""),0.0)</f>
        <v>0</v>
      </c>
      <c r="S1920" s="6" t="str">
        <f>IFERROR(__xludf.DUMMYFUNCTION("""COMPUTED_VALUE""")," ")</f>
        <v> </v>
      </c>
      <c r="T1920" s="6" t="str">
        <f>IFERROR(__xludf.DUMMYFUNCTION("""COMPUTED_VALUE"""),"")</f>
        <v/>
      </c>
      <c r="U1920" s="6" t="str">
        <f>IFERROR(__xludf.DUMMYFUNCTION("""COMPUTED_VALUE"""),"10")</f>
        <v>10</v>
      </c>
      <c r="V1920" s="6" t="str">
        <f>IFERROR(__xludf.DUMMYFUNCTION("""COMPUTED_VALUE"""),"")</f>
        <v/>
      </c>
      <c r="W1920" s="6" t="str">
        <f>IFERROR(__xludf.DUMMYFUNCTION("""COMPUTED_VALUE"""),"[]")</f>
        <v>[]</v>
      </c>
      <c r="X1920" s="6" t="str">
        <f>IFERROR(__xludf.DUMMYFUNCTION("""COMPUTED_VALUE"""),"Pending Review")</f>
        <v>Pending Review</v>
      </c>
    </row>
    <row r="1921">
      <c r="A1921" s="6" t="str">
        <f>IFERROR(__xludf.DUMMYFUNCTION("""COMPUTED_VALUE"""),"019-0911")</f>
        <v>019-0911</v>
      </c>
      <c r="B1921" s="6" t="str">
        <f>IFERROR(__xludf.DUMMYFUNCTION("""COMPUTED_VALUE"""),"19")</f>
        <v>19</v>
      </c>
      <c r="C1921" s="6" t="str">
        <f>IFERROR(__xludf.DUMMYFUNCTION("""COMPUTED_VALUE"""),"0911")</f>
        <v>0911</v>
      </c>
      <c r="D1921" s="6" t="str">
        <f>IFERROR(__xludf.DUMMYFUNCTION("""COMPUTED_VALUE"""),"Test")</f>
        <v>Test</v>
      </c>
      <c r="E1921" s="6" t="str">
        <f>IFERROR(__xludf.DUMMYFUNCTION("""COMPUTED_VALUE"""),"")</f>
        <v/>
      </c>
      <c r="F1921" s="6" t="str">
        <f>IFERROR(__xludf.DUMMYFUNCTION("""COMPUTED_VALUE"""),"Student2025")</f>
        <v>Student2025</v>
      </c>
      <c r="G1921" s="6" t="str">
        <f>IFERROR(__xludf.DUMMYFUNCTION("""COMPUTED_VALUE"""),"10/20/2009")</f>
        <v>10/20/2009</v>
      </c>
      <c r="H1921" s="6" t="str">
        <f>IFERROR(__xludf.DUMMYFUNCTION("""COMPUTED_VALUE"""),"Self Identify")</f>
        <v>Self Identify</v>
      </c>
      <c r="I1921" s="6" t="str">
        <f>IFERROR(__xludf.DUMMYFUNCTION("""COMPUTED_VALUE"""),"High School")</f>
        <v>High School</v>
      </c>
      <c r="J1921" s="6" t="str">
        <f>IFERROR(__xludf.DUMMYFUNCTION("""COMPUTED_VALUE"""),"11")</f>
        <v>11</v>
      </c>
      <c r="K1921" s="6" t="str">
        <f>IFERROR(__xludf.DUMMYFUNCTION("""COMPUTED_VALUE"""),"teststudent2025@alpha.school")</f>
        <v>teststudent2025@alpha.school</v>
      </c>
      <c r="L1921" s="6" t="str">
        <f>IFERROR(__xludf.DUMMYFUNCTION("""COMPUTED_VALUE"""),"High School SAT Prep")</f>
        <v>High School SAT Prep</v>
      </c>
      <c r="M1921" s="6" t="str">
        <f>IFERROR(__xludf.DUMMYFUNCTION("""COMPUTED_VALUE"""),"Test")</f>
        <v>Test</v>
      </c>
      <c r="N1921" s="6" t="str">
        <f>IFERROR(__xludf.DUMMYFUNCTION("""COMPUTED_VALUE"""),"")</f>
        <v/>
      </c>
      <c r="O1921" s="87" t="str">
        <f>IFERROR(__xludf.DUMMYFUNCTION("""COMPUTED_VALUE"""),"https://drive.google.com/drive/folders/10T2cTQHqEJZqE-st6uFKPoI?usp=share_link")</f>
        <v>https://drive.google.com/drive/folders/10T2cTQHqEJZqE-st6uFKPoI?usp=share_link</v>
      </c>
      <c r="P1921" s="6" t="str">
        <f>IFERROR(__xludf.DUMMYFUNCTION("""COMPUTED_VALUE"""),"Test Student2025")</f>
        <v>Test Student2025</v>
      </c>
      <c r="Q1921" s="6" t="str">
        <f>IFERROR(__xludf.DUMMYFUNCTION("""COMPUTED_VALUE"""),"HS")</f>
        <v>HS</v>
      </c>
      <c r="R1921" s="6">
        <f>IFERROR(__xludf.DUMMYFUNCTION("""COMPUTED_VALUE"""),0.0)</f>
        <v>0</v>
      </c>
      <c r="S1921" s="6" t="str">
        <f>IFERROR(__xludf.DUMMYFUNCTION("""COMPUTED_VALUE""")," ")</f>
        <v> </v>
      </c>
      <c r="T1921" s="6" t="str">
        <f>IFERROR(__xludf.DUMMYFUNCTION("""COMPUTED_VALUE"""),"")</f>
        <v/>
      </c>
      <c r="U1921" s="6" t="str">
        <f>IFERROR(__xludf.DUMMYFUNCTION("""COMPUTED_VALUE"""),"11")</f>
        <v>11</v>
      </c>
      <c r="V1921" s="6" t="str">
        <f>IFERROR(__xludf.DUMMYFUNCTION("""COMPUTED_VALUE"""),"")</f>
        <v/>
      </c>
      <c r="W1921" s="6" t="str">
        <f>IFERROR(__xludf.DUMMYFUNCTION("""COMPUTED_VALUE"""),"[]")</f>
        <v>[]</v>
      </c>
      <c r="X1921" s="6" t="str">
        <f>IFERROR(__xludf.DUMMYFUNCTION("""COMPUTED_VALUE"""),"Enrolled")</f>
        <v>Enrolled</v>
      </c>
    </row>
    <row r="1922">
      <c r="A1922" s="6" t="str">
        <f>IFERROR(__xludf.DUMMYFUNCTION("""COMPUTED_VALUE"""),"019-0923")</f>
        <v>019-0923</v>
      </c>
      <c r="B1922" s="6" t="str">
        <f>IFERROR(__xludf.DUMMYFUNCTION("""COMPUTED_VALUE"""),"19")</f>
        <v>19</v>
      </c>
      <c r="C1922" s="6" t="str">
        <f>IFERROR(__xludf.DUMMYFUNCTION("""COMPUTED_VALUE"""),"0923")</f>
        <v>0923</v>
      </c>
      <c r="D1922" s="6" t="str">
        <f>IFERROR(__xludf.DUMMYFUNCTION("""COMPUTED_VALUE"""),"Keyen")</f>
        <v>Keyen</v>
      </c>
      <c r="E1922" s="6" t="str">
        <f>IFERROR(__xludf.DUMMYFUNCTION("""COMPUTED_VALUE"""),"")</f>
        <v/>
      </c>
      <c r="F1922" s="6" t="str">
        <f>IFERROR(__xludf.DUMMYFUNCTION("""COMPUTED_VALUE"""),"Gupta")</f>
        <v>Gupta</v>
      </c>
      <c r="G1922" s="6" t="str">
        <f>IFERROR(__xludf.DUMMYFUNCTION("""COMPUTED_VALUE"""),"11/15/2007")</f>
        <v>11/15/2007</v>
      </c>
      <c r="H1922" s="6" t="str">
        <f>IFERROR(__xludf.DUMMYFUNCTION("""COMPUTED_VALUE"""),"Self Identify")</f>
        <v>Self Identify</v>
      </c>
      <c r="I1922" s="6" t="str">
        <f>IFERROR(__xludf.DUMMYFUNCTION("""COMPUTED_VALUE"""),"High School")</f>
        <v>High School</v>
      </c>
      <c r="J1922" s="6" t="str">
        <f>IFERROR(__xludf.DUMMYFUNCTION("""COMPUTED_VALUE"""),"11")</f>
        <v>11</v>
      </c>
      <c r="K1922" s="6" t="str">
        <f>IFERROR(__xludf.DUMMYFUNCTION("""COMPUTED_VALUE"""),"keyen.gupta@2hourlearning.com")</f>
        <v>keyen.gupta@2hourlearning.com</v>
      </c>
      <c r="L1922" s="6" t="str">
        <f>IFERROR(__xludf.DUMMYFUNCTION("""COMPUTED_VALUE"""),"High School SAT Prep")</f>
        <v>High School SAT Prep</v>
      </c>
      <c r="M1922" s="6" t="str">
        <f>IFERROR(__xludf.DUMMYFUNCTION("""COMPUTED_VALUE"""),"")</f>
        <v/>
      </c>
      <c r="N1922" s="6" t="str">
        <f>IFERROR(__xludf.DUMMYFUNCTION("""COMPUTED_VALUE"""),"")</f>
        <v/>
      </c>
      <c r="O1922" s="87" t="str">
        <f>IFERROR(__xludf.DUMMYFUNCTION("""COMPUTED_VALUE"""),"https://drive.google.com/drive/folders/10T2cTQHqEJZqE-st6uFKPoI?usp=share_link")</f>
        <v>https://drive.google.com/drive/folders/10T2cTQHqEJZqE-st6uFKPoI?usp=share_link</v>
      </c>
      <c r="P1922" s="6" t="str">
        <f>IFERROR(__xludf.DUMMYFUNCTION("""COMPUTED_VALUE"""),"Keyen Gupta")</f>
        <v>Keyen Gupta</v>
      </c>
      <c r="Q1922" s="6" t="str">
        <f>IFERROR(__xludf.DUMMYFUNCTION("""COMPUTED_VALUE"""),"HS")</f>
        <v>HS</v>
      </c>
      <c r="R1922" s="6">
        <f>IFERROR(__xludf.DUMMYFUNCTION("""COMPUTED_VALUE"""),0.0)</f>
        <v>0</v>
      </c>
      <c r="S1922" s="6" t="str">
        <f>IFERROR(__xludf.DUMMYFUNCTION("""COMPUTED_VALUE""")," ")</f>
        <v> </v>
      </c>
      <c r="T1922" s="6" t="str">
        <f>IFERROR(__xludf.DUMMYFUNCTION("""COMPUTED_VALUE"""),"")</f>
        <v/>
      </c>
      <c r="U1922" s="6" t="str">
        <f>IFERROR(__xludf.DUMMYFUNCTION("""COMPUTED_VALUE"""),"11")</f>
        <v>11</v>
      </c>
      <c r="V1922" s="6" t="str">
        <f>IFERROR(__xludf.DUMMYFUNCTION("""COMPUTED_VALUE"""),"")</f>
        <v/>
      </c>
      <c r="W1922" s="6" t="str">
        <f>IFERROR(__xludf.DUMMYFUNCTION("""COMPUTED_VALUE"""),"[]")</f>
        <v>[]</v>
      </c>
      <c r="X1922" s="6" t="str">
        <f>IFERROR(__xludf.DUMMYFUNCTION("""COMPUTED_VALUE"""),"Pending Review")</f>
        <v>Pending Review</v>
      </c>
    </row>
    <row r="1923">
      <c r="A1923" s="6" t="str">
        <f>IFERROR(__xludf.DUMMYFUNCTION("""COMPUTED_VALUE"""),"019-0960")</f>
        <v>019-0960</v>
      </c>
      <c r="B1923" s="6" t="str">
        <f>IFERROR(__xludf.DUMMYFUNCTION("""COMPUTED_VALUE"""),"19")</f>
        <v>19</v>
      </c>
      <c r="C1923" s="6" t="str">
        <f>IFERROR(__xludf.DUMMYFUNCTION("""COMPUTED_VALUE"""),"0960")</f>
        <v>0960</v>
      </c>
      <c r="D1923" s="6" t="str">
        <f>IFERROR(__xludf.DUMMYFUNCTION("""COMPUTED_VALUE"""),"Layla")</f>
        <v>Layla</v>
      </c>
      <c r="E1923" s="6" t="str">
        <f>IFERROR(__xludf.DUMMYFUNCTION("""COMPUTED_VALUE"""),"Layla")</f>
        <v>Layla</v>
      </c>
      <c r="F1923" s="6" t="str">
        <f>IFERROR(__xludf.DUMMYFUNCTION("""COMPUTED_VALUE"""),"Kelch")</f>
        <v>Kelch</v>
      </c>
      <c r="G1923" s="6" t="str">
        <f>IFERROR(__xludf.DUMMYFUNCTION("""COMPUTED_VALUE"""),"05/17/2011")</f>
        <v>05/17/2011</v>
      </c>
      <c r="H1923" s="6" t="str">
        <f>IFERROR(__xludf.DUMMYFUNCTION("""COMPUTED_VALUE"""),"female")</f>
        <v>female</v>
      </c>
      <c r="I1923" s="6" t="str">
        <f>IFERROR(__xludf.DUMMYFUNCTION("""COMPUTED_VALUE"""),"Middle School")</f>
        <v>Middle School</v>
      </c>
      <c r="J1923" s="6" t="str">
        <f>IFERROR(__xludf.DUMMYFUNCTION("""COMPUTED_VALUE"""),"8")</f>
        <v>8</v>
      </c>
      <c r="K1923" s="6" t="str">
        <f>IFERROR(__xludf.DUMMYFUNCTION("""COMPUTED_VALUE"""),"layla.kelch@alpha.school")</f>
        <v>layla.kelch@alpha.school</v>
      </c>
      <c r="L1923" s="6" t="str">
        <f>IFERROR(__xludf.DUMMYFUNCTION("""COMPUTED_VALUE"""),"High School SAT Prep")</f>
        <v>High School SAT Prep</v>
      </c>
      <c r="M1923" s="6" t="str">
        <f>IFERROR(__xludf.DUMMYFUNCTION("""COMPUTED_VALUE"""),"")</f>
        <v/>
      </c>
      <c r="N1923" s="6" t="str">
        <f>IFERROR(__xludf.DUMMYFUNCTION("""COMPUTED_VALUE"""),"")</f>
        <v/>
      </c>
      <c r="O1923" s="87" t="str">
        <f>IFERROR(__xludf.DUMMYFUNCTION("""COMPUTED_VALUE"""),"https://drive.google.com/drive/folders/10T2cTQHqEJZqE-st6uFKPoI?usp=share_link")</f>
        <v>https://drive.google.com/drive/folders/10T2cTQHqEJZqE-st6uFKPoI?usp=share_link</v>
      </c>
      <c r="P1923" s="6" t="str">
        <f>IFERROR(__xludf.DUMMYFUNCTION("""COMPUTED_VALUE"""),"Layla Kelch")</f>
        <v>Layla Kelch</v>
      </c>
      <c r="Q1923" s="6" t="str">
        <f>IFERROR(__xludf.DUMMYFUNCTION("""COMPUTED_VALUE"""),"MS")</f>
        <v>MS</v>
      </c>
      <c r="R1923" s="6">
        <f>IFERROR(__xludf.DUMMYFUNCTION("""COMPUTED_VALUE"""),0.0)</f>
        <v>0</v>
      </c>
      <c r="S1923" s="6" t="str">
        <f>IFERROR(__xludf.DUMMYFUNCTION("""COMPUTED_VALUE""")," ")</f>
        <v> </v>
      </c>
      <c r="T1923" s="6" t="str">
        <f>IFERROR(__xludf.DUMMYFUNCTION("""COMPUTED_VALUE"""),"")</f>
        <v/>
      </c>
      <c r="U1923" s="6" t="str">
        <f>IFERROR(__xludf.DUMMYFUNCTION("""COMPUTED_VALUE"""),"8")</f>
        <v>8</v>
      </c>
      <c r="V1923" s="6" t="str">
        <f>IFERROR(__xludf.DUMMYFUNCTION("""COMPUTED_VALUE"""),"")</f>
        <v/>
      </c>
      <c r="W1923" s="6" t="str">
        <f>IFERROR(__xludf.DUMMYFUNCTION("""COMPUTED_VALUE"""),"[]")</f>
        <v>[]</v>
      </c>
      <c r="X1923" s="6" t="str">
        <f>IFERROR(__xludf.DUMMYFUNCTION("""COMPUTED_VALUE"""),"Pending Review")</f>
        <v>Pending Review</v>
      </c>
    </row>
    <row r="1924">
      <c r="A1924" s="6" t="str">
        <f>IFERROR(__xludf.DUMMYFUNCTION("""COMPUTED_VALUE"""),"019-10980")</f>
        <v>019-10980</v>
      </c>
      <c r="B1924" s="6" t="str">
        <f>IFERROR(__xludf.DUMMYFUNCTION("""COMPUTED_VALUE"""),"19")</f>
        <v>19</v>
      </c>
      <c r="C1924" s="6" t="str">
        <f>IFERROR(__xludf.DUMMYFUNCTION("""COMPUTED_VALUE"""),"10980")</f>
        <v>10980</v>
      </c>
      <c r="D1924" s="6" t="str">
        <f>IFERROR(__xludf.DUMMYFUNCTION("""COMPUTED_VALUE"""),"Elyse")</f>
        <v>Elyse</v>
      </c>
      <c r="E1924" s="6" t="str">
        <f>IFERROR(__xludf.DUMMYFUNCTION("""COMPUTED_VALUE"""),"")</f>
        <v/>
      </c>
      <c r="F1924" s="6" t="str">
        <f>IFERROR(__xludf.DUMMYFUNCTION("""COMPUTED_VALUE"""),"Suarez")</f>
        <v>Suarez</v>
      </c>
      <c r="G1924" s="6" t="str">
        <f>IFERROR(__xludf.DUMMYFUNCTION("""COMPUTED_VALUE"""),"01/01/2009")</f>
        <v>01/01/2009</v>
      </c>
      <c r="H1924" s="6" t="str">
        <f>IFERROR(__xludf.DUMMYFUNCTION("""COMPUTED_VALUE"""),"Self Identify")</f>
        <v>Self Identify</v>
      </c>
      <c r="I1924" s="6" t="str">
        <f>IFERROR(__xludf.DUMMYFUNCTION("""COMPUTED_VALUE"""),"Level 2")</f>
        <v>Level 2</v>
      </c>
      <c r="J1924" s="6" t="str">
        <f>IFERROR(__xludf.DUMMYFUNCTION("""COMPUTED_VALUE"""),"11")</f>
        <v>11</v>
      </c>
      <c r="K1924" s="6" t="str">
        <f>IFERROR(__xludf.DUMMYFUNCTION("""COMPUTED_VALUE"""),"elyse.suarez@2hourlearning.com")</f>
        <v>elyse.suarez@2hourlearning.com</v>
      </c>
      <c r="L1924" s="6" t="str">
        <f>IFERROR(__xludf.DUMMYFUNCTION("""COMPUTED_VALUE"""),"High School SAT Prep")</f>
        <v>High School SAT Prep</v>
      </c>
      <c r="M1924" s="6" t="str">
        <f>IFERROR(__xludf.DUMMYFUNCTION("""COMPUTED_VALUE"""),"")</f>
        <v/>
      </c>
      <c r="N1924" s="6" t="str">
        <f>IFERROR(__xludf.DUMMYFUNCTION("""COMPUTED_VALUE"""),"")</f>
        <v/>
      </c>
      <c r="O1924" s="87" t="str">
        <f>IFERROR(__xludf.DUMMYFUNCTION("""COMPUTED_VALUE"""),"https://drive.google.com/drive/folders/10T2cTQHqEJZqE-st6uFKPoI?usp=share_link")</f>
        <v>https://drive.google.com/drive/folders/10T2cTQHqEJZqE-st6uFKPoI?usp=share_link</v>
      </c>
      <c r="P1924" s="6" t="str">
        <f>IFERROR(__xludf.DUMMYFUNCTION("""COMPUTED_VALUE"""),"Elyse Suarez")</f>
        <v>Elyse Suarez</v>
      </c>
      <c r="Q1924" s="6" t="str">
        <f>IFERROR(__xludf.DUMMYFUNCTION("""COMPUTED_VALUE"""),"L2")</f>
        <v>L2</v>
      </c>
      <c r="R1924" s="6">
        <f>IFERROR(__xludf.DUMMYFUNCTION("""COMPUTED_VALUE"""),2.0)</f>
        <v>2</v>
      </c>
      <c r="S1924" s="6" t="str">
        <f>IFERROR(__xludf.DUMMYFUNCTION("""COMPUTED_VALUE""")," ")</f>
        <v> </v>
      </c>
      <c r="T1924" s="6" t="str">
        <f>IFERROR(__xludf.DUMMYFUNCTION("""COMPUTED_VALUE"""),"")</f>
        <v/>
      </c>
      <c r="U1924" s="6" t="str">
        <f>IFERROR(__xludf.DUMMYFUNCTION("""COMPUTED_VALUE"""),"11")</f>
        <v>11</v>
      </c>
      <c r="V1924" s="6" t="str">
        <f>IFERROR(__xludf.DUMMYFUNCTION("""COMPUTED_VALUE"""),"")</f>
        <v/>
      </c>
      <c r="W1924" s="6" t="str">
        <f>IFERROR(__xludf.DUMMYFUNCTION("""COMPUTED_VALUE"""),"[]")</f>
        <v>[]</v>
      </c>
      <c r="X1924" s="6" t="str">
        <f>IFERROR(__xludf.DUMMYFUNCTION("""COMPUTED_VALUE"""),"Enrolled")</f>
        <v>Enrolled</v>
      </c>
    </row>
    <row r="1925">
      <c r="A1925" s="6" t="str">
        <f>IFERROR(__xludf.DUMMYFUNCTION("""COMPUTED_VALUE"""),"019-13405")</f>
        <v>019-13405</v>
      </c>
      <c r="B1925" s="6" t="str">
        <f>IFERROR(__xludf.DUMMYFUNCTION("""COMPUTED_VALUE"""),"19")</f>
        <v>19</v>
      </c>
      <c r="C1925" s="6" t="str">
        <f>IFERROR(__xludf.DUMMYFUNCTION("""COMPUTED_VALUE"""),"13405")</f>
        <v>13405</v>
      </c>
      <c r="D1925" s="6" t="str">
        <f>IFERROR(__xludf.DUMMYFUNCTION("""COMPUTED_VALUE"""),"Chloe")</f>
        <v>Chloe</v>
      </c>
      <c r="E1925" s="6" t="str">
        <f>IFERROR(__xludf.DUMMYFUNCTION("""COMPUTED_VALUE"""),"")</f>
        <v/>
      </c>
      <c r="F1925" s="6" t="str">
        <f>IFERROR(__xludf.DUMMYFUNCTION("""COMPUTED_VALUE"""),"Lane")</f>
        <v>Lane</v>
      </c>
      <c r="G1925" s="6" t="str">
        <f>IFERROR(__xludf.DUMMYFUNCTION("""COMPUTED_VALUE"""),"01/25/2011")</f>
        <v>01/25/2011</v>
      </c>
      <c r="H1925" s="6" t="str">
        <f>IFERROR(__xludf.DUMMYFUNCTION("""COMPUTED_VALUE"""),"Self Identify")</f>
        <v>Self Identify</v>
      </c>
      <c r="I1925" s="6" t="str">
        <f>IFERROR(__xludf.DUMMYFUNCTION("""COMPUTED_VALUE"""),"High School")</f>
        <v>High School</v>
      </c>
      <c r="J1925" s="6" t="str">
        <f>IFERROR(__xludf.DUMMYFUNCTION("""COMPUTED_VALUE"""),"9")</f>
        <v>9</v>
      </c>
      <c r="K1925" s="6" t="str">
        <f>IFERROR(__xludf.DUMMYFUNCTION("""COMPUTED_VALUE"""),"chloe.lane@2hourlearning.com")</f>
        <v>chloe.lane@2hourlearning.com</v>
      </c>
      <c r="L1925" s="6" t="str">
        <f>IFERROR(__xludf.DUMMYFUNCTION("""COMPUTED_VALUE"""),"High School SAT Prep")</f>
        <v>High School SAT Prep</v>
      </c>
      <c r="M1925" s="6" t="str">
        <f>IFERROR(__xludf.DUMMYFUNCTION("""COMPUTED_VALUE"""),"")</f>
        <v/>
      </c>
      <c r="N1925" s="6" t="str">
        <f>IFERROR(__xludf.DUMMYFUNCTION("""COMPUTED_VALUE"""),"")</f>
        <v/>
      </c>
      <c r="O1925" s="87" t="str">
        <f>IFERROR(__xludf.DUMMYFUNCTION("""COMPUTED_VALUE"""),"https://drive.google.com/drive/folders/10T2cTQHqEJZqE-st6uFKPoI?usp=share_link")</f>
        <v>https://drive.google.com/drive/folders/10T2cTQHqEJZqE-st6uFKPoI?usp=share_link</v>
      </c>
      <c r="P1925" s="6" t="str">
        <f>IFERROR(__xludf.DUMMYFUNCTION("""COMPUTED_VALUE"""),"Chloe Lane")</f>
        <v>Chloe Lane</v>
      </c>
      <c r="Q1925" s="6" t="str">
        <f>IFERROR(__xludf.DUMMYFUNCTION("""COMPUTED_VALUE"""),"HS")</f>
        <v>HS</v>
      </c>
      <c r="R1925" s="6">
        <f>IFERROR(__xludf.DUMMYFUNCTION("""COMPUTED_VALUE"""),0.0)</f>
        <v>0</v>
      </c>
      <c r="S1925" s="6" t="str">
        <f>IFERROR(__xludf.DUMMYFUNCTION("""COMPUTED_VALUE""")," ")</f>
        <v> </v>
      </c>
      <c r="T1925" s="6" t="str">
        <f>IFERROR(__xludf.DUMMYFUNCTION("""COMPUTED_VALUE"""),"")</f>
        <v/>
      </c>
      <c r="U1925" s="6" t="str">
        <f>IFERROR(__xludf.DUMMYFUNCTION("""COMPUTED_VALUE"""),"9")</f>
        <v>9</v>
      </c>
      <c r="V1925" s="6" t="str">
        <f>IFERROR(__xludf.DUMMYFUNCTION("""COMPUTED_VALUE"""),"")</f>
        <v/>
      </c>
      <c r="W1925" s="6" t="str">
        <f>IFERROR(__xludf.DUMMYFUNCTION("""COMPUTED_VALUE"""),"[]")</f>
        <v>[]</v>
      </c>
      <c r="X1925" s="6" t="str">
        <f>IFERROR(__xludf.DUMMYFUNCTION("""COMPUTED_VALUE"""),"Enrolled")</f>
        <v>Enrolled</v>
      </c>
    </row>
    <row r="1926">
      <c r="A1926" s="6" t="str">
        <f>IFERROR(__xludf.DUMMYFUNCTION("""COMPUTED_VALUE"""),"019-2102")</f>
        <v>019-2102</v>
      </c>
      <c r="B1926" s="6" t="str">
        <f>IFERROR(__xludf.DUMMYFUNCTION("""COMPUTED_VALUE"""),"19")</f>
        <v>19</v>
      </c>
      <c r="C1926" s="6" t="str">
        <f>IFERROR(__xludf.DUMMYFUNCTION("""COMPUTED_VALUE"""),"2102")</f>
        <v>2102</v>
      </c>
      <c r="D1926" s="6" t="str">
        <f>IFERROR(__xludf.DUMMYFUNCTION("""COMPUTED_VALUE"""),"Hasini")</f>
        <v>Hasini</v>
      </c>
      <c r="E1926" s="6" t="str">
        <f>IFERROR(__xludf.DUMMYFUNCTION("""COMPUTED_VALUE"""),"Hasini")</f>
        <v>Hasini</v>
      </c>
      <c r="F1926" s="6" t="str">
        <f>IFERROR(__xludf.DUMMYFUNCTION("""COMPUTED_VALUE"""),"Chandrakumar")</f>
        <v>Chandrakumar</v>
      </c>
      <c r="G1926" s="6" t="str">
        <f>IFERROR(__xludf.DUMMYFUNCTION("""COMPUTED_VALUE"""),"02/22/2009")</f>
        <v>02/22/2009</v>
      </c>
      <c r="H1926" s="6" t="str">
        <f>IFERROR(__xludf.DUMMYFUNCTION("""COMPUTED_VALUE"""),"female")</f>
        <v>female</v>
      </c>
      <c r="I1926" s="6" t="str">
        <f>IFERROR(__xludf.DUMMYFUNCTION("""COMPUTED_VALUE"""),"High School")</f>
        <v>High School</v>
      </c>
      <c r="J1926" s="6" t="str">
        <f>IFERROR(__xludf.DUMMYFUNCTION("""COMPUTED_VALUE"""),"10")</f>
        <v>10</v>
      </c>
      <c r="K1926" s="6" t="str">
        <f>IFERROR(__xludf.DUMMYFUNCTION("""COMPUTED_VALUE"""),"hasini.chandrakumar@2hourlearning.com")</f>
        <v>hasini.chandrakumar@2hourlearning.com</v>
      </c>
      <c r="L1926" s="6" t="str">
        <f>IFERROR(__xludf.DUMMYFUNCTION("""COMPUTED_VALUE"""),"High School SAT Prep")</f>
        <v>High School SAT Prep</v>
      </c>
      <c r="M1926" s="6" t="str">
        <f>IFERROR(__xludf.DUMMYFUNCTION("""COMPUTED_VALUE"""),"")</f>
        <v/>
      </c>
      <c r="N1926" s="6" t="str">
        <f>IFERROR(__xludf.DUMMYFUNCTION("""COMPUTED_VALUE"""),"")</f>
        <v/>
      </c>
      <c r="O1926" s="87" t="str">
        <f>IFERROR(__xludf.DUMMYFUNCTION("""COMPUTED_VALUE"""),"https://drive.google.com/drive/folders/10T2cTQHqEJZqE-st6uFKPoI?usp=share_link")</f>
        <v>https://drive.google.com/drive/folders/10T2cTQHqEJZqE-st6uFKPoI?usp=share_link</v>
      </c>
      <c r="P1926" s="6" t="str">
        <f>IFERROR(__xludf.DUMMYFUNCTION("""COMPUTED_VALUE"""),"Hasini Chandrakumar")</f>
        <v>Hasini Chandrakumar</v>
      </c>
      <c r="Q1926" s="6" t="str">
        <f>IFERROR(__xludf.DUMMYFUNCTION("""COMPUTED_VALUE"""),"HS")</f>
        <v>HS</v>
      </c>
      <c r="R1926" s="6">
        <f>IFERROR(__xludf.DUMMYFUNCTION("""COMPUTED_VALUE"""),0.0)</f>
        <v>0</v>
      </c>
      <c r="S1926" s="6" t="str">
        <f>IFERROR(__xludf.DUMMYFUNCTION("""COMPUTED_VALUE""")," ")</f>
        <v> </v>
      </c>
      <c r="T1926" s="6" t="str">
        <f>IFERROR(__xludf.DUMMYFUNCTION("""COMPUTED_VALUE"""),"")</f>
        <v/>
      </c>
      <c r="U1926" s="6" t="str">
        <f>IFERROR(__xludf.DUMMYFUNCTION("""COMPUTED_VALUE"""),"10")</f>
        <v>10</v>
      </c>
      <c r="V1926" s="6" t="str">
        <f>IFERROR(__xludf.DUMMYFUNCTION("""COMPUTED_VALUE"""),"")</f>
        <v/>
      </c>
      <c r="W1926" s="6" t="str">
        <f>IFERROR(__xludf.DUMMYFUNCTION("""COMPUTED_VALUE"""),"[]")</f>
        <v>[]</v>
      </c>
      <c r="X1926" s="6" t="str">
        <f>IFERROR(__xludf.DUMMYFUNCTION("""COMPUTED_VALUE"""),"Enrolled")</f>
        <v>Enrolled</v>
      </c>
    </row>
    <row r="1927">
      <c r="A1927" s="6" t="str">
        <f>IFERROR(__xludf.DUMMYFUNCTION("""COMPUTED_VALUE"""),"019-2103")</f>
        <v>019-2103</v>
      </c>
      <c r="B1927" s="6" t="str">
        <f>IFERROR(__xludf.DUMMYFUNCTION("""COMPUTED_VALUE"""),"19")</f>
        <v>19</v>
      </c>
      <c r="C1927" s="6" t="str">
        <f>IFERROR(__xludf.DUMMYFUNCTION("""COMPUTED_VALUE"""),"2103")</f>
        <v>2103</v>
      </c>
      <c r="D1927" s="6" t="str">
        <f>IFERROR(__xludf.DUMMYFUNCTION("""COMPUTED_VALUE"""),"Layla")</f>
        <v>Layla</v>
      </c>
      <c r="E1927" s="6" t="str">
        <f>IFERROR(__xludf.DUMMYFUNCTION("""COMPUTED_VALUE"""),"")</f>
        <v/>
      </c>
      <c r="F1927" s="6" t="str">
        <f>IFERROR(__xludf.DUMMYFUNCTION("""COMPUTED_VALUE"""),"Ford")</f>
        <v>Ford</v>
      </c>
      <c r="G1927" s="6" t="str">
        <f>IFERROR(__xludf.DUMMYFUNCTION("""COMPUTED_VALUE"""),"07/07/2009")</f>
        <v>07/07/2009</v>
      </c>
      <c r="H1927" s="6" t="str">
        <f>IFERROR(__xludf.DUMMYFUNCTION("""COMPUTED_VALUE"""),"female")</f>
        <v>female</v>
      </c>
      <c r="I1927" s="6" t="str">
        <f>IFERROR(__xludf.DUMMYFUNCTION("""COMPUTED_VALUE"""),"High School")</f>
        <v>High School</v>
      </c>
      <c r="J1927" s="6" t="str">
        <f>IFERROR(__xludf.DUMMYFUNCTION("""COMPUTED_VALUE"""),"10")</f>
        <v>10</v>
      </c>
      <c r="K1927" s="6" t="str">
        <f>IFERROR(__xludf.DUMMYFUNCTION("""COMPUTED_VALUE"""),"layla.ford@2hourlearning.com")</f>
        <v>layla.ford@2hourlearning.com</v>
      </c>
      <c r="L1927" s="6" t="str">
        <f>IFERROR(__xludf.DUMMYFUNCTION("""COMPUTED_VALUE"""),"High School SAT Prep")</f>
        <v>High School SAT Prep</v>
      </c>
      <c r="M1927" s="6" t="str">
        <f>IFERROR(__xludf.DUMMYFUNCTION("""COMPUTED_VALUE"""),"")</f>
        <v/>
      </c>
      <c r="N1927" s="6" t="str">
        <f>IFERROR(__xludf.DUMMYFUNCTION("""COMPUTED_VALUE"""),"")</f>
        <v/>
      </c>
      <c r="O1927" s="87" t="str">
        <f>IFERROR(__xludf.DUMMYFUNCTION("""COMPUTED_VALUE"""),"https://drive.google.com/drive/folders/10T2cTQHqEJZqE-st6uFKPoI?usp=share_link")</f>
        <v>https://drive.google.com/drive/folders/10T2cTQHqEJZqE-st6uFKPoI?usp=share_link</v>
      </c>
      <c r="P1927" s="6" t="str">
        <f>IFERROR(__xludf.DUMMYFUNCTION("""COMPUTED_VALUE"""),"Layla Ford")</f>
        <v>Layla Ford</v>
      </c>
      <c r="Q1927" s="6" t="str">
        <f>IFERROR(__xludf.DUMMYFUNCTION("""COMPUTED_VALUE"""),"HS")</f>
        <v>HS</v>
      </c>
      <c r="R1927" s="6">
        <f>IFERROR(__xludf.DUMMYFUNCTION("""COMPUTED_VALUE"""),0.0)</f>
        <v>0</v>
      </c>
      <c r="S1927" s="6" t="str">
        <f>IFERROR(__xludf.DUMMYFUNCTION("""COMPUTED_VALUE""")," ")</f>
        <v> </v>
      </c>
      <c r="T1927" s="6" t="str">
        <f>IFERROR(__xludf.DUMMYFUNCTION("""COMPUTED_VALUE"""),"")</f>
        <v/>
      </c>
      <c r="U1927" s="6" t="str">
        <f>IFERROR(__xludf.DUMMYFUNCTION("""COMPUTED_VALUE"""),"10")</f>
        <v>10</v>
      </c>
      <c r="V1927" s="6" t="str">
        <f>IFERROR(__xludf.DUMMYFUNCTION("""COMPUTED_VALUE"""),"")</f>
        <v/>
      </c>
      <c r="W1927" s="6" t="str">
        <f>IFERROR(__xludf.DUMMYFUNCTION("""COMPUTED_VALUE"""),"[]")</f>
        <v>[]</v>
      </c>
      <c r="X1927" s="6" t="str">
        <f>IFERROR(__xludf.DUMMYFUNCTION("""COMPUTED_VALUE"""),"Enrolled")</f>
        <v>Enrolled</v>
      </c>
    </row>
    <row r="1928">
      <c r="A1928" s="6" t="str">
        <f>IFERROR(__xludf.DUMMYFUNCTION("""COMPUTED_VALUE"""),"019-2230")</f>
        <v>019-2230</v>
      </c>
      <c r="B1928" s="6" t="str">
        <f>IFERROR(__xludf.DUMMYFUNCTION("""COMPUTED_VALUE"""),"19")</f>
        <v>19</v>
      </c>
      <c r="C1928" s="6" t="str">
        <f>IFERROR(__xludf.DUMMYFUNCTION("""COMPUTED_VALUE"""),"2230")</f>
        <v>2230</v>
      </c>
      <c r="D1928" s="6" t="str">
        <f>IFERROR(__xludf.DUMMYFUNCTION("""COMPUTED_VALUE"""),"Lawson")</f>
        <v>Lawson</v>
      </c>
      <c r="E1928" s="6" t="str">
        <f>IFERROR(__xludf.DUMMYFUNCTION("""COMPUTED_VALUE"""),"Lawson")</f>
        <v>Lawson</v>
      </c>
      <c r="F1928" s="6" t="str">
        <f>IFERROR(__xludf.DUMMYFUNCTION("""COMPUTED_VALUE"""),"Fass")</f>
        <v>Fass</v>
      </c>
      <c r="G1928" s="6" t="str">
        <f>IFERROR(__xludf.DUMMYFUNCTION("""COMPUTED_VALUE"""),"06/26/2008")</f>
        <v>06/26/2008</v>
      </c>
      <c r="H1928" s="6" t="str">
        <f>IFERROR(__xludf.DUMMYFUNCTION("""COMPUTED_VALUE"""),"male")</f>
        <v>male</v>
      </c>
      <c r="I1928" s="6" t="str">
        <f>IFERROR(__xludf.DUMMYFUNCTION("""COMPUTED_VALUE"""),"High School")</f>
        <v>High School</v>
      </c>
      <c r="J1928" s="6" t="str">
        <f>IFERROR(__xludf.DUMMYFUNCTION("""COMPUTED_VALUE"""),"10")</f>
        <v>10</v>
      </c>
      <c r="K1928" s="6" t="str">
        <f>IFERROR(__xludf.DUMMYFUNCTION("""COMPUTED_VALUE"""),"lawson.fass@2hourlearning.com")</f>
        <v>lawson.fass@2hourlearning.com</v>
      </c>
      <c r="L1928" s="6" t="str">
        <f>IFERROR(__xludf.DUMMYFUNCTION("""COMPUTED_VALUE"""),"High School SAT Prep")</f>
        <v>High School SAT Prep</v>
      </c>
      <c r="M1928" s="6" t="str">
        <f>IFERROR(__xludf.DUMMYFUNCTION("""COMPUTED_VALUE"""),"")</f>
        <v/>
      </c>
      <c r="N1928" s="6" t="str">
        <f>IFERROR(__xludf.DUMMYFUNCTION("""COMPUTED_VALUE"""),"")</f>
        <v/>
      </c>
      <c r="O1928" s="87" t="str">
        <f>IFERROR(__xludf.DUMMYFUNCTION("""COMPUTED_VALUE"""),"https://drive.google.com/drive/folders/10T2cTQHqEJZqE-st6uFKPoI?usp=share_link")</f>
        <v>https://drive.google.com/drive/folders/10T2cTQHqEJZqE-st6uFKPoI?usp=share_link</v>
      </c>
      <c r="P1928" s="6" t="str">
        <f>IFERROR(__xludf.DUMMYFUNCTION("""COMPUTED_VALUE"""),"Lawson Fass")</f>
        <v>Lawson Fass</v>
      </c>
      <c r="Q1928" s="6" t="str">
        <f>IFERROR(__xludf.DUMMYFUNCTION("""COMPUTED_VALUE"""),"HS")</f>
        <v>HS</v>
      </c>
      <c r="R1928" s="6">
        <f>IFERROR(__xludf.DUMMYFUNCTION("""COMPUTED_VALUE"""),0.0)</f>
        <v>0</v>
      </c>
      <c r="S1928" s="6" t="str">
        <f>IFERROR(__xludf.DUMMYFUNCTION("""COMPUTED_VALUE""")," ")</f>
        <v> </v>
      </c>
      <c r="T1928" s="6" t="str">
        <f>IFERROR(__xludf.DUMMYFUNCTION("""COMPUTED_VALUE"""),"")</f>
        <v/>
      </c>
      <c r="U1928" s="6" t="str">
        <f>IFERROR(__xludf.DUMMYFUNCTION("""COMPUTED_VALUE"""),"10")</f>
        <v>10</v>
      </c>
      <c r="V1928" s="6" t="str">
        <f>IFERROR(__xludf.DUMMYFUNCTION("""COMPUTED_VALUE"""),"")</f>
        <v/>
      </c>
      <c r="W1928" s="6" t="str">
        <f>IFERROR(__xludf.DUMMYFUNCTION("""COMPUTED_VALUE"""),"[]")</f>
        <v>[]</v>
      </c>
      <c r="X1928" s="6" t="str">
        <f>IFERROR(__xludf.DUMMYFUNCTION("""COMPUTED_VALUE"""),"Enrolled")</f>
        <v>Enrolled</v>
      </c>
    </row>
    <row r="1929">
      <c r="A1929" s="6" t="str">
        <f>IFERROR(__xludf.DUMMYFUNCTION("""COMPUTED_VALUE"""),"019-2405")</f>
        <v>019-2405</v>
      </c>
      <c r="B1929" s="6" t="str">
        <f>IFERROR(__xludf.DUMMYFUNCTION("""COMPUTED_VALUE"""),"19")</f>
        <v>19</v>
      </c>
      <c r="C1929" s="6" t="str">
        <f>IFERROR(__xludf.DUMMYFUNCTION("""COMPUTED_VALUE"""),"2405")</f>
        <v>2405</v>
      </c>
      <c r="D1929" s="6" t="str">
        <f>IFERROR(__xludf.DUMMYFUNCTION("""COMPUTED_VALUE"""),"Shrika")</f>
        <v>Shrika</v>
      </c>
      <c r="E1929" s="6" t="str">
        <f>IFERROR(__xludf.DUMMYFUNCTION("""COMPUTED_VALUE"""),"")</f>
        <v/>
      </c>
      <c r="F1929" s="6" t="str">
        <f>IFERROR(__xludf.DUMMYFUNCTION("""COMPUTED_VALUE"""),"Vudumu")</f>
        <v>Vudumu</v>
      </c>
      <c r="G1929" s="6" t="str">
        <f>IFERROR(__xludf.DUMMYFUNCTION("""COMPUTED_VALUE"""),"05/22/2008")</f>
        <v>05/22/2008</v>
      </c>
      <c r="H1929" s="6" t="str">
        <f>IFERROR(__xludf.DUMMYFUNCTION("""COMPUTED_VALUE"""),"Self Identify")</f>
        <v>Self Identify</v>
      </c>
      <c r="I1929" s="6" t="str">
        <f>IFERROR(__xludf.DUMMYFUNCTION("""COMPUTED_VALUE"""),"High School")</f>
        <v>High School</v>
      </c>
      <c r="J1929" s="6" t="str">
        <f>IFERROR(__xludf.DUMMYFUNCTION("""COMPUTED_VALUE"""),"11")</f>
        <v>11</v>
      </c>
      <c r="K1929" s="6" t="str">
        <f>IFERROR(__xludf.DUMMYFUNCTION("""COMPUTED_VALUE"""),"shrika.vudumu@2hourlearning.com")</f>
        <v>shrika.vudumu@2hourlearning.com</v>
      </c>
      <c r="L1929" s="6" t="str">
        <f>IFERROR(__xludf.DUMMYFUNCTION("""COMPUTED_VALUE"""),"High School SAT Prep")</f>
        <v>High School SAT Prep</v>
      </c>
      <c r="M1929" s="6" t="str">
        <f>IFERROR(__xludf.DUMMYFUNCTION("""COMPUTED_VALUE"""),"")</f>
        <v/>
      </c>
      <c r="N1929" s="6" t="str">
        <f>IFERROR(__xludf.DUMMYFUNCTION("""COMPUTED_VALUE"""),"")</f>
        <v/>
      </c>
      <c r="O1929" s="87" t="str">
        <f>IFERROR(__xludf.DUMMYFUNCTION("""COMPUTED_VALUE"""),"https://drive.google.com/drive/folders/10T2cTQHqEJZqE-st6uFKPoI?usp=share_link")</f>
        <v>https://drive.google.com/drive/folders/10T2cTQHqEJZqE-st6uFKPoI?usp=share_link</v>
      </c>
      <c r="P1929" s="6" t="str">
        <f>IFERROR(__xludf.DUMMYFUNCTION("""COMPUTED_VALUE"""),"Shrika Vudumu")</f>
        <v>Shrika Vudumu</v>
      </c>
      <c r="Q1929" s="6" t="str">
        <f>IFERROR(__xludf.DUMMYFUNCTION("""COMPUTED_VALUE"""),"HS")</f>
        <v>HS</v>
      </c>
      <c r="R1929" s="6">
        <f>IFERROR(__xludf.DUMMYFUNCTION("""COMPUTED_VALUE"""),0.0)</f>
        <v>0</v>
      </c>
      <c r="S1929" s="6" t="str">
        <f>IFERROR(__xludf.DUMMYFUNCTION("""COMPUTED_VALUE""")," ")</f>
        <v> </v>
      </c>
      <c r="T1929" s="6" t="str">
        <f>IFERROR(__xludf.DUMMYFUNCTION("""COMPUTED_VALUE"""),"")</f>
        <v/>
      </c>
      <c r="U1929" s="6" t="str">
        <f>IFERROR(__xludf.DUMMYFUNCTION("""COMPUTED_VALUE"""),"11")</f>
        <v>11</v>
      </c>
      <c r="V1929" s="6" t="str">
        <f>IFERROR(__xludf.DUMMYFUNCTION("""COMPUTED_VALUE"""),"")</f>
        <v/>
      </c>
      <c r="W1929" s="6" t="str">
        <f>IFERROR(__xludf.DUMMYFUNCTION("""COMPUTED_VALUE"""),"[]")</f>
        <v>[]</v>
      </c>
      <c r="X1929" s="6" t="str">
        <f>IFERROR(__xludf.DUMMYFUNCTION("""COMPUTED_VALUE"""),"Pending Review")</f>
        <v>Pending Review</v>
      </c>
    </row>
    <row r="1930">
      <c r="A1930" s="6" t="str">
        <f>IFERROR(__xludf.DUMMYFUNCTION("""COMPUTED_VALUE"""),"019-2407")</f>
        <v>019-2407</v>
      </c>
      <c r="B1930" s="6" t="str">
        <f>IFERROR(__xludf.DUMMYFUNCTION("""COMPUTED_VALUE"""),"19")</f>
        <v>19</v>
      </c>
      <c r="C1930" s="6" t="str">
        <f>IFERROR(__xludf.DUMMYFUNCTION("""COMPUTED_VALUE"""),"2407")</f>
        <v>2407</v>
      </c>
      <c r="D1930" s="6" t="str">
        <f>IFERROR(__xludf.DUMMYFUNCTION("""COMPUTED_VALUE"""),"Ridhima")</f>
        <v>Ridhima</v>
      </c>
      <c r="E1930" s="6" t="str">
        <f>IFERROR(__xludf.DUMMYFUNCTION("""COMPUTED_VALUE"""),"")</f>
        <v/>
      </c>
      <c r="F1930" s="6" t="str">
        <f>IFERROR(__xludf.DUMMYFUNCTION("""COMPUTED_VALUE"""),"Chelani")</f>
        <v>Chelani</v>
      </c>
      <c r="G1930" s="6" t="str">
        <f>IFERROR(__xludf.DUMMYFUNCTION("""COMPUTED_VALUE"""),"02/12/2009")</f>
        <v>02/12/2009</v>
      </c>
      <c r="H1930" s="6" t="str">
        <f>IFERROR(__xludf.DUMMYFUNCTION("""COMPUTED_VALUE"""),"Self Identify")</f>
        <v>Self Identify</v>
      </c>
      <c r="I1930" s="6" t="str">
        <f>IFERROR(__xludf.DUMMYFUNCTION("""COMPUTED_VALUE"""),"High School")</f>
        <v>High School</v>
      </c>
      <c r="J1930" s="6" t="str">
        <f>IFERROR(__xludf.DUMMYFUNCTION("""COMPUTED_VALUE"""),"10")</f>
        <v>10</v>
      </c>
      <c r="K1930" s="6" t="str">
        <f>IFERROR(__xludf.DUMMYFUNCTION("""COMPUTED_VALUE"""),"ridhima.chelani@2hourlearning.com")</f>
        <v>ridhima.chelani@2hourlearning.com</v>
      </c>
      <c r="L1930" s="6" t="str">
        <f>IFERROR(__xludf.DUMMYFUNCTION("""COMPUTED_VALUE"""),"High School SAT Prep")</f>
        <v>High School SAT Prep</v>
      </c>
      <c r="M1930" s="6" t="str">
        <f>IFERROR(__xludf.DUMMYFUNCTION("""COMPUTED_VALUE"""),"")</f>
        <v/>
      </c>
      <c r="N1930" s="6" t="str">
        <f>IFERROR(__xludf.DUMMYFUNCTION("""COMPUTED_VALUE"""),"")</f>
        <v/>
      </c>
      <c r="O1930" s="87" t="str">
        <f>IFERROR(__xludf.DUMMYFUNCTION("""COMPUTED_VALUE"""),"https://drive.google.com/drive/folders/10T2cTQHqEJZqE-st6uFKPoI?usp=share_link")</f>
        <v>https://drive.google.com/drive/folders/10T2cTQHqEJZqE-st6uFKPoI?usp=share_link</v>
      </c>
      <c r="P1930" s="6" t="str">
        <f>IFERROR(__xludf.DUMMYFUNCTION("""COMPUTED_VALUE"""),"Ridhima Chelani")</f>
        <v>Ridhima Chelani</v>
      </c>
      <c r="Q1930" s="6" t="str">
        <f>IFERROR(__xludf.DUMMYFUNCTION("""COMPUTED_VALUE"""),"HS")</f>
        <v>HS</v>
      </c>
      <c r="R1930" s="6">
        <f>IFERROR(__xludf.DUMMYFUNCTION("""COMPUTED_VALUE"""),0.0)</f>
        <v>0</v>
      </c>
      <c r="S1930" s="6" t="str">
        <f>IFERROR(__xludf.DUMMYFUNCTION("""COMPUTED_VALUE""")," ")</f>
        <v> </v>
      </c>
      <c r="T1930" s="6" t="str">
        <f>IFERROR(__xludf.DUMMYFUNCTION("""COMPUTED_VALUE"""),"")</f>
        <v/>
      </c>
      <c r="U1930" s="6" t="str">
        <f>IFERROR(__xludf.DUMMYFUNCTION("""COMPUTED_VALUE"""),"10")</f>
        <v>10</v>
      </c>
      <c r="V1930" s="6" t="str">
        <f>IFERROR(__xludf.DUMMYFUNCTION("""COMPUTED_VALUE"""),"")</f>
        <v/>
      </c>
      <c r="W1930" s="6" t="str">
        <f>IFERROR(__xludf.DUMMYFUNCTION("""COMPUTED_VALUE"""),"[]")</f>
        <v>[]</v>
      </c>
      <c r="X1930" s="6" t="str">
        <f>IFERROR(__xludf.DUMMYFUNCTION("""COMPUTED_VALUE"""),"Pending Review")</f>
        <v>Pending Review</v>
      </c>
    </row>
    <row r="1931">
      <c r="A1931" s="6" t="str">
        <f>IFERROR(__xludf.DUMMYFUNCTION("""COMPUTED_VALUE"""),"019-2479")</f>
        <v>019-2479</v>
      </c>
      <c r="B1931" s="6" t="str">
        <f>IFERROR(__xludf.DUMMYFUNCTION("""COMPUTED_VALUE"""),"19")</f>
        <v>19</v>
      </c>
      <c r="C1931" s="6" t="str">
        <f>IFERROR(__xludf.DUMMYFUNCTION("""COMPUTED_VALUE"""),"2479")</f>
        <v>2479</v>
      </c>
      <c r="D1931" s="6" t="str">
        <f>IFERROR(__xludf.DUMMYFUNCTION("""COMPUTED_VALUE"""),"JASHWANTH")</f>
        <v>JASHWANTH</v>
      </c>
      <c r="E1931" s="6" t="str">
        <f>IFERROR(__xludf.DUMMYFUNCTION("""COMPUTED_VALUE"""),"Jash")</f>
        <v>Jash</v>
      </c>
      <c r="F1931" s="6" t="str">
        <f>IFERROR(__xludf.DUMMYFUNCTION("""COMPUTED_VALUE"""),"Jagadeesan")</f>
        <v>Jagadeesan</v>
      </c>
      <c r="G1931" s="6" t="str">
        <f>IFERROR(__xludf.DUMMYFUNCTION("""COMPUTED_VALUE"""),"08/01/2012")</f>
        <v>08/01/2012</v>
      </c>
      <c r="H1931" s="6" t="str">
        <f>IFERROR(__xludf.DUMMYFUNCTION("""COMPUTED_VALUE"""),"male")</f>
        <v>male</v>
      </c>
      <c r="I1931" s="6" t="str">
        <f>IFERROR(__xludf.DUMMYFUNCTION("""COMPUTED_VALUE"""),"Middle School")</f>
        <v>Middle School</v>
      </c>
      <c r="J1931" s="6" t="str">
        <f>IFERROR(__xludf.DUMMYFUNCTION("""COMPUTED_VALUE"""),"7")</f>
        <v>7</v>
      </c>
      <c r="K1931" s="6" t="str">
        <f>IFERROR(__xludf.DUMMYFUNCTION("""COMPUTED_VALUE"""),"jash.jagadeesan@2hourlearning.com")</f>
        <v>jash.jagadeesan@2hourlearning.com</v>
      </c>
      <c r="L1931" s="6" t="str">
        <f>IFERROR(__xludf.DUMMYFUNCTION("""COMPUTED_VALUE"""),"High School SAT Prep")</f>
        <v>High School SAT Prep</v>
      </c>
      <c r="M1931" s="6" t="str">
        <f>IFERROR(__xludf.DUMMYFUNCTION("""COMPUTED_VALUE"""),"")</f>
        <v/>
      </c>
      <c r="N1931" s="6" t="str">
        <f>IFERROR(__xludf.DUMMYFUNCTION("""COMPUTED_VALUE"""),"")</f>
        <v/>
      </c>
      <c r="O1931" s="87" t="str">
        <f>IFERROR(__xludf.DUMMYFUNCTION("""COMPUTED_VALUE"""),"https://drive.google.com/drive/folders/10T2cTQHqEJZqE-st6uFKPoI?usp=share_link")</f>
        <v>https://drive.google.com/drive/folders/10T2cTQHqEJZqE-st6uFKPoI?usp=share_link</v>
      </c>
      <c r="P1931" s="6" t="str">
        <f>IFERROR(__xludf.DUMMYFUNCTION("""COMPUTED_VALUE"""),"Jash Jagadeesan")</f>
        <v>Jash Jagadeesan</v>
      </c>
      <c r="Q1931" s="6" t="str">
        <f>IFERROR(__xludf.DUMMYFUNCTION("""COMPUTED_VALUE"""),"MS")</f>
        <v>MS</v>
      </c>
      <c r="R1931" s="6">
        <f>IFERROR(__xludf.DUMMYFUNCTION("""COMPUTED_VALUE"""),0.0)</f>
        <v>0</v>
      </c>
      <c r="S1931" s="6" t="str">
        <f>IFERROR(__xludf.DUMMYFUNCTION("""COMPUTED_VALUE""")," ")</f>
        <v> </v>
      </c>
      <c r="T1931" s="6" t="str">
        <f>IFERROR(__xludf.DUMMYFUNCTION("""COMPUTED_VALUE"""),"")</f>
        <v/>
      </c>
      <c r="U1931" s="6" t="str">
        <f>IFERROR(__xludf.DUMMYFUNCTION("""COMPUTED_VALUE"""),"7")</f>
        <v>7</v>
      </c>
      <c r="V1931" s="6" t="str">
        <f>IFERROR(__xludf.DUMMYFUNCTION("""COMPUTED_VALUE"""),"")</f>
        <v/>
      </c>
      <c r="W1931" s="6" t="str">
        <f>IFERROR(__xludf.DUMMYFUNCTION("""COMPUTED_VALUE"""),"[]")</f>
        <v>[]</v>
      </c>
      <c r="X1931" s="6" t="str">
        <f>IFERROR(__xludf.DUMMYFUNCTION("""COMPUTED_VALUE"""),"Enrolled")</f>
        <v>Enrolled</v>
      </c>
    </row>
    <row r="1932">
      <c r="A1932" s="6" t="str">
        <f>IFERROR(__xludf.DUMMYFUNCTION("""COMPUTED_VALUE"""),"019-2480")</f>
        <v>019-2480</v>
      </c>
      <c r="B1932" s="6" t="str">
        <f>IFERROR(__xludf.DUMMYFUNCTION("""COMPUTED_VALUE"""),"19")</f>
        <v>19</v>
      </c>
      <c r="C1932" s="6" t="str">
        <f>IFERROR(__xludf.DUMMYFUNCTION("""COMPUTED_VALUE"""),"2480")</f>
        <v>2480</v>
      </c>
      <c r="D1932" s="6" t="str">
        <f>IFERROR(__xludf.DUMMYFUNCTION("""COMPUTED_VALUE"""),"Jaswanth")</f>
        <v>Jaswanth</v>
      </c>
      <c r="E1932" s="6" t="str">
        <f>IFERROR(__xludf.DUMMYFUNCTION("""COMPUTED_VALUE"""),"")</f>
        <v/>
      </c>
      <c r="F1932" s="6" t="str">
        <f>IFERROR(__xludf.DUMMYFUNCTION("""COMPUTED_VALUE"""),"Jagadeesan")</f>
        <v>Jagadeesan</v>
      </c>
      <c r="G1932" s="6" t="str">
        <f>IFERROR(__xludf.DUMMYFUNCTION("""COMPUTED_VALUE"""),"08/01/2012")</f>
        <v>08/01/2012</v>
      </c>
      <c r="H1932" s="6" t="str">
        <f>IFERROR(__xludf.DUMMYFUNCTION("""COMPUTED_VALUE"""),"Self Identify")</f>
        <v>Self Identify</v>
      </c>
      <c r="I1932" s="6" t="str">
        <f>IFERROR(__xludf.DUMMYFUNCTION("""COMPUTED_VALUE"""),"Middle School")</f>
        <v>Middle School</v>
      </c>
      <c r="J1932" s="6" t="str">
        <f>IFERROR(__xludf.DUMMYFUNCTION("""COMPUTED_VALUE"""),"7")</f>
        <v>7</v>
      </c>
      <c r="K1932" s="6" t="str">
        <f>IFERROR(__xludf.DUMMYFUNCTION("""COMPUTED_VALUE"""),"jaswanth.jagadeesan@2hourlearning.com")</f>
        <v>jaswanth.jagadeesan@2hourlearning.com</v>
      </c>
      <c r="L1932" s="6" t="str">
        <f>IFERROR(__xludf.DUMMYFUNCTION("""COMPUTED_VALUE"""),"High School SAT Prep")</f>
        <v>High School SAT Prep</v>
      </c>
      <c r="M1932" s="6" t="str">
        <f>IFERROR(__xludf.DUMMYFUNCTION("""COMPUTED_VALUE"""),"")</f>
        <v/>
      </c>
      <c r="N1932" s="6" t="str">
        <f>IFERROR(__xludf.DUMMYFUNCTION("""COMPUTED_VALUE"""),"")</f>
        <v/>
      </c>
      <c r="O1932" s="87" t="str">
        <f>IFERROR(__xludf.DUMMYFUNCTION("""COMPUTED_VALUE"""),"https://drive.google.com/drive/folders/10T2cTQHqEJZqE-st6uFKPoI?usp=share_link")</f>
        <v>https://drive.google.com/drive/folders/10T2cTQHqEJZqE-st6uFKPoI?usp=share_link</v>
      </c>
      <c r="P1932" s="6" t="str">
        <f>IFERROR(__xludf.DUMMYFUNCTION("""COMPUTED_VALUE"""),"Jaswanth Jagadeesan")</f>
        <v>Jaswanth Jagadeesan</v>
      </c>
      <c r="Q1932" s="6" t="str">
        <f>IFERROR(__xludf.DUMMYFUNCTION("""COMPUTED_VALUE"""),"MS")</f>
        <v>MS</v>
      </c>
      <c r="R1932" s="6">
        <f>IFERROR(__xludf.DUMMYFUNCTION("""COMPUTED_VALUE"""),0.0)</f>
        <v>0</v>
      </c>
      <c r="S1932" s="6" t="str">
        <f>IFERROR(__xludf.DUMMYFUNCTION("""COMPUTED_VALUE""")," ")</f>
        <v> </v>
      </c>
      <c r="T1932" s="6" t="str">
        <f>IFERROR(__xludf.DUMMYFUNCTION("""COMPUTED_VALUE"""),"")</f>
        <v/>
      </c>
      <c r="U1932" s="6" t="str">
        <f>IFERROR(__xludf.DUMMYFUNCTION("""COMPUTED_VALUE"""),"7")</f>
        <v>7</v>
      </c>
      <c r="V1932" s="6" t="str">
        <f>IFERROR(__xludf.DUMMYFUNCTION("""COMPUTED_VALUE"""),"")</f>
        <v/>
      </c>
      <c r="W1932" s="6" t="str">
        <f>IFERROR(__xludf.DUMMYFUNCTION("""COMPUTED_VALUE"""),"[]")</f>
        <v>[]</v>
      </c>
      <c r="X1932" s="6" t="str">
        <f>IFERROR(__xludf.DUMMYFUNCTION("""COMPUTED_VALUE"""),"Pending Review")</f>
        <v>Pending Review</v>
      </c>
    </row>
    <row r="1933">
      <c r="A1933" s="6" t="str">
        <f>IFERROR(__xludf.DUMMYFUNCTION("""COMPUTED_VALUE"""),"019-2527")</f>
        <v>019-2527</v>
      </c>
      <c r="B1933" s="6" t="str">
        <f>IFERROR(__xludf.DUMMYFUNCTION("""COMPUTED_VALUE"""),"19")</f>
        <v>19</v>
      </c>
      <c r="C1933" s="6" t="str">
        <f>IFERROR(__xludf.DUMMYFUNCTION("""COMPUTED_VALUE"""),"2527")</f>
        <v>2527</v>
      </c>
      <c r="D1933" s="6" t="str">
        <f>IFERROR(__xludf.DUMMYFUNCTION("""COMPUTED_VALUE"""),"Dilan")</f>
        <v>Dilan</v>
      </c>
      <c r="E1933" s="6" t="str">
        <f>IFERROR(__xludf.DUMMYFUNCTION("""COMPUTED_VALUE"""),"")</f>
        <v/>
      </c>
      <c r="F1933" s="6" t="str">
        <f>IFERROR(__xludf.DUMMYFUNCTION("""COMPUTED_VALUE"""),"Koya")</f>
        <v>Koya</v>
      </c>
      <c r="G1933" s="6" t="str">
        <f>IFERROR(__xludf.DUMMYFUNCTION("""COMPUTED_VALUE"""),"06/19/2008")</f>
        <v>06/19/2008</v>
      </c>
      <c r="H1933" s="6" t="str">
        <f>IFERROR(__xludf.DUMMYFUNCTION("""COMPUTED_VALUE"""),"male")</f>
        <v>male</v>
      </c>
      <c r="I1933" s="6" t="str">
        <f>IFERROR(__xludf.DUMMYFUNCTION("""COMPUTED_VALUE"""),"High School")</f>
        <v>High School</v>
      </c>
      <c r="J1933" s="6" t="str">
        <f>IFERROR(__xludf.DUMMYFUNCTION("""COMPUTED_VALUE"""),"11")</f>
        <v>11</v>
      </c>
      <c r="K1933" s="6" t="str">
        <f>IFERROR(__xludf.DUMMYFUNCTION("""COMPUTED_VALUE"""),"dilan.koya@2hourlearning.com")</f>
        <v>dilan.koya@2hourlearning.com</v>
      </c>
      <c r="L1933" s="6" t="str">
        <f>IFERROR(__xludf.DUMMYFUNCTION("""COMPUTED_VALUE"""),"High School SAT Prep")</f>
        <v>High School SAT Prep</v>
      </c>
      <c r="M1933" s="6" t="str">
        <f>IFERROR(__xludf.DUMMYFUNCTION("""COMPUTED_VALUE"""),"")</f>
        <v/>
      </c>
      <c r="N1933" s="6" t="str">
        <f>IFERROR(__xludf.DUMMYFUNCTION("""COMPUTED_VALUE"""),"")</f>
        <v/>
      </c>
      <c r="O1933" s="87" t="str">
        <f>IFERROR(__xludf.DUMMYFUNCTION("""COMPUTED_VALUE"""),"https://drive.google.com/drive/folders/10T2cTQHqEJZqE-st6uFKPoI?usp=share_link")</f>
        <v>https://drive.google.com/drive/folders/10T2cTQHqEJZqE-st6uFKPoI?usp=share_link</v>
      </c>
      <c r="P1933" s="6" t="str">
        <f>IFERROR(__xludf.DUMMYFUNCTION("""COMPUTED_VALUE"""),"Dilan Koya")</f>
        <v>Dilan Koya</v>
      </c>
      <c r="Q1933" s="6" t="str">
        <f>IFERROR(__xludf.DUMMYFUNCTION("""COMPUTED_VALUE"""),"HS")</f>
        <v>HS</v>
      </c>
      <c r="R1933" s="6">
        <f>IFERROR(__xludf.DUMMYFUNCTION("""COMPUTED_VALUE"""),0.0)</f>
        <v>0</v>
      </c>
      <c r="S1933" s="6" t="str">
        <f>IFERROR(__xludf.DUMMYFUNCTION("""COMPUTED_VALUE""")," ")</f>
        <v> </v>
      </c>
      <c r="T1933" s="6" t="str">
        <f>IFERROR(__xludf.DUMMYFUNCTION("""COMPUTED_VALUE"""),"")</f>
        <v/>
      </c>
      <c r="U1933" s="6" t="str">
        <f>IFERROR(__xludf.DUMMYFUNCTION("""COMPUTED_VALUE"""),"11")</f>
        <v>11</v>
      </c>
      <c r="V1933" s="6" t="str">
        <f>IFERROR(__xludf.DUMMYFUNCTION("""COMPUTED_VALUE"""),"")</f>
        <v/>
      </c>
      <c r="W1933" s="6" t="str">
        <f>IFERROR(__xludf.DUMMYFUNCTION("""COMPUTED_VALUE"""),"[]")</f>
        <v>[]</v>
      </c>
      <c r="X1933" s="6" t="str">
        <f>IFERROR(__xludf.DUMMYFUNCTION("""COMPUTED_VALUE"""),"Enrolled")</f>
        <v>Enrolled</v>
      </c>
    </row>
    <row r="1934">
      <c r="A1934" s="6" t="str">
        <f>IFERROR(__xludf.DUMMYFUNCTION("""COMPUTED_VALUE"""),"019-2528")</f>
        <v>019-2528</v>
      </c>
      <c r="B1934" s="6" t="str">
        <f>IFERROR(__xludf.DUMMYFUNCTION("""COMPUTED_VALUE"""),"19")</f>
        <v>19</v>
      </c>
      <c r="C1934" s="6" t="str">
        <f>IFERROR(__xludf.DUMMYFUNCTION("""COMPUTED_VALUE"""),"2528")</f>
        <v>2528</v>
      </c>
      <c r="D1934" s="6" t="str">
        <f>IFERROR(__xludf.DUMMYFUNCTION("""COMPUTED_VALUE"""),"Jaiden")</f>
        <v>Jaiden</v>
      </c>
      <c r="E1934" s="6" t="str">
        <f>IFERROR(__xludf.DUMMYFUNCTION("""COMPUTED_VALUE"""),"")</f>
        <v/>
      </c>
      <c r="F1934" s="6" t="str">
        <f>IFERROR(__xludf.DUMMYFUNCTION("""COMPUTED_VALUE"""),"Koya")</f>
        <v>Koya</v>
      </c>
      <c r="G1934" s="6" t="str">
        <f>IFERROR(__xludf.DUMMYFUNCTION("""COMPUTED_VALUE"""),"10/15/2009")</f>
        <v>10/15/2009</v>
      </c>
      <c r="H1934" s="6" t="str">
        <f>IFERROR(__xludf.DUMMYFUNCTION("""COMPUTED_VALUE"""),"male")</f>
        <v>male</v>
      </c>
      <c r="I1934" s="6" t="str">
        <f>IFERROR(__xludf.DUMMYFUNCTION("""COMPUTED_VALUE"""),"High School")</f>
        <v>High School</v>
      </c>
      <c r="J1934" s="6" t="str">
        <f>IFERROR(__xludf.DUMMYFUNCTION("""COMPUTED_VALUE"""),"9")</f>
        <v>9</v>
      </c>
      <c r="K1934" s="6" t="str">
        <f>IFERROR(__xludf.DUMMYFUNCTION("""COMPUTED_VALUE"""),"jaiden.koya@2hourlearning.com")</f>
        <v>jaiden.koya@2hourlearning.com</v>
      </c>
      <c r="L1934" s="6" t="str">
        <f>IFERROR(__xludf.DUMMYFUNCTION("""COMPUTED_VALUE"""),"High School SAT Prep")</f>
        <v>High School SAT Prep</v>
      </c>
      <c r="M1934" s="6" t="str">
        <f>IFERROR(__xludf.DUMMYFUNCTION("""COMPUTED_VALUE"""),"")</f>
        <v/>
      </c>
      <c r="N1934" s="6" t="str">
        <f>IFERROR(__xludf.DUMMYFUNCTION("""COMPUTED_VALUE"""),"")</f>
        <v/>
      </c>
      <c r="O1934" s="87" t="str">
        <f>IFERROR(__xludf.DUMMYFUNCTION("""COMPUTED_VALUE"""),"https://drive.google.com/drive/folders/10T2cTQHqEJZqE-st6uFKPoI?usp=share_link")</f>
        <v>https://drive.google.com/drive/folders/10T2cTQHqEJZqE-st6uFKPoI?usp=share_link</v>
      </c>
      <c r="P1934" s="6" t="str">
        <f>IFERROR(__xludf.DUMMYFUNCTION("""COMPUTED_VALUE"""),"Jaiden Koya")</f>
        <v>Jaiden Koya</v>
      </c>
      <c r="Q1934" s="6" t="str">
        <f>IFERROR(__xludf.DUMMYFUNCTION("""COMPUTED_VALUE"""),"HS")</f>
        <v>HS</v>
      </c>
      <c r="R1934" s="6">
        <f>IFERROR(__xludf.DUMMYFUNCTION("""COMPUTED_VALUE"""),0.0)</f>
        <v>0</v>
      </c>
      <c r="S1934" s="6" t="str">
        <f>IFERROR(__xludf.DUMMYFUNCTION("""COMPUTED_VALUE""")," ")</f>
        <v> </v>
      </c>
      <c r="T1934" s="6" t="str">
        <f>IFERROR(__xludf.DUMMYFUNCTION("""COMPUTED_VALUE"""),"")</f>
        <v/>
      </c>
      <c r="U1934" s="6" t="str">
        <f>IFERROR(__xludf.DUMMYFUNCTION("""COMPUTED_VALUE"""),"9")</f>
        <v>9</v>
      </c>
      <c r="V1934" s="6" t="str">
        <f>IFERROR(__xludf.DUMMYFUNCTION("""COMPUTED_VALUE"""),"")</f>
        <v/>
      </c>
      <c r="W1934" s="6" t="str">
        <f>IFERROR(__xludf.DUMMYFUNCTION("""COMPUTED_VALUE"""),"[]")</f>
        <v>[]</v>
      </c>
      <c r="X1934" s="6" t="str">
        <f>IFERROR(__xludf.DUMMYFUNCTION("""COMPUTED_VALUE"""),"Enrolled")</f>
        <v>Enrolled</v>
      </c>
    </row>
    <row r="1935">
      <c r="A1935" s="6" t="str">
        <f>IFERROR(__xludf.DUMMYFUNCTION("""COMPUTED_VALUE"""),"019-2876")</f>
        <v>019-2876</v>
      </c>
      <c r="B1935" s="6" t="str">
        <f>IFERROR(__xludf.DUMMYFUNCTION("""COMPUTED_VALUE"""),"19")</f>
        <v>19</v>
      </c>
      <c r="C1935" s="6" t="str">
        <f>IFERROR(__xludf.DUMMYFUNCTION("""COMPUTED_VALUE"""),"2876")</f>
        <v>2876</v>
      </c>
      <c r="D1935" s="6" t="str">
        <f>IFERROR(__xludf.DUMMYFUNCTION("""COMPUTED_VALUE"""),"Ananya")</f>
        <v>Ananya</v>
      </c>
      <c r="E1935" s="6" t="str">
        <f>IFERROR(__xludf.DUMMYFUNCTION("""COMPUTED_VALUE"""),"")</f>
        <v/>
      </c>
      <c r="F1935" s="6" t="str">
        <f>IFERROR(__xludf.DUMMYFUNCTION("""COMPUTED_VALUE"""),"Peesu")</f>
        <v>Peesu</v>
      </c>
      <c r="G1935" s="6" t="str">
        <f>IFERROR(__xludf.DUMMYFUNCTION("""COMPUTED_VALUE"""),"05/04/2012")</f>
        <v>05/04/2012</v>
      </c>
      <c r="H1935" s="6" t="str">
        <f>IFERROR(__xludf.DUMMYFUNCTION("""COMPUTED_VALUE"""),"Self Identify")</f>
        <v>Self Identify</v>
      </c>
      <c r="I1935" s="6" t="str">
        <f>IFERROR(__xludf.DUMMYFUNCTION("""COMPUTED_VALUE"""),"Middle School")</f>
        <v>Middle School</v>
      </c>
      <c r="J1935" s="6" t="str">
        <f>IFERROR(__xludf.DUMMYFUNCTION("""COMPUTED_VALUE"""),"7")</f>
        <v>7</v>
      </c>
      <c r="K1935" s="6" t="str">
        <f>IFERROR(__xludf.DUMMYFUNCTION("""COMPUTED_VALUE"""),"ananya.peesu@2hourlearning.com")</f>
        <v>ananya.peesu@2hourlearning.com</v>
      </c>
      <c r="L1935" s="6" t="str">
        <f>IFERROR(__xludf.DUMMYFUNCTION("""COMPUTED_VALUE"""),"High School SAT Prep")</f>
        <v>High School SAT Prep</v>
      </c>
      <c r="M1935" s="6" t="str">
        <f>IFERROR(__xludf.DUMMYFUNCTION("""COMPUTED_VALUE"""),"")</f>
        <v/>
      </c>
      <c r="N1935" s="6" t="str">
        <f>IFERROR(__xludf.DUMMYFUNCTION("""COMPUTED_VALUE"""),"")</f>
        <v/>
      </c>
      <c r="O1935" s="87" t="str">
        <f>IFERROR(__xludf.DUMMYFUNCTION("""COMPUTED_VALUE"""),"https://drive.google.com/drive/folders/10T2cTQHqEJZqE-st6uFKPoI?usp=share_link")</f>
        <v>https://drive.google.com/drive/folders/10T2cTQHqEJZqE-st6uFKPoI?usp=share_link</v>
      </c>
      <c r="P1935" s="6" t="str">
        <f>IFERROR(__xludf.DUMMYFUNCTION("""COMPUTED_VALUE"""),"Ananya Peesu")</f>
        <v>Ananya Peesu</v>
      </c>
      <c r="Q1935" s="6" t="str">
        <f>IFERROR(__xludf.DUMMYFUNCTION("""COMPUTED_VALUE"""),"MS")</f>
        <v>MS</v>
      </c>
      <c r="R1935" s="6">
        <f>IFERROR(__xludf.DUMMYFUNCTION("""COMPUTED_VALUE"""),0.0)</f>
        <v>0</v>
      </c>
      <c r="S1935" s="6" t="str">
        <f>IFERROR(__xludf.DUMMYFUNCTION("""COMPUTED_VALUE""")," ")</f>
        <v> </v>
      </c>
      <c r="T1935" s="6" t="str">
        <f>IFERROR(__xludf.DUMMYFUNCTION("""COMPUTED_VALUE"""),"")</f>
        <v/>
      </c>
      <c r="U1935" s="6" t="str">
        <f>IFERROR(__xludf.DUMMYFUNCTION("""COMPUTED_VALUE"""),"7")</f>
        <v>7</v>
      </c>
      <c r="V1935" s="6" t="str">
        <f>IFERROR(__xludf.DUMMYFUNCTION("""COMPUTED_VALUE"""),"")</f>
        <v/>
      </c>
      <c r="W1935" s="6" t="str">
        <f>IFERROR(__xludf.DUMMYFUNCTION("""COMPUTED_VALUE"""),"[]")</f>
        <v>[]</v>
      </c>
      <c r="X1935" s="6" t="str">
        <f>IFERROR(__xludf.DUMMYFUNCTION("""COMPUTED_VALUE"""),"Pending Review")</f>
        <v>Pending Review</v>
      </c>
    </row>
    <row r="1936">
      <c r="A1936" s="6" t="str">
        <f>IFERROR(__xludf.DUMMYFUNCTION("""COMPUTED_VALUE"""),"019-2897")</f>
        <v>019-2897</v>
      </c>
      <c r="B1936" s="6" t="str">
        <f>IFERROR(__xludf.DUMMYFUNCTION("""COMPUTED_VALUE"""),"19")</f>
        <v>19</v>
      </c>
      <c r="C1936" s="6" t="str">
        <f>IFERROR(__xludf.DUMMYFUNCTION("""COMPUTED_VALUE"""),"2897")</f>
        <v>2897</v>
      </c>
      <c r="D1936" s="6" t="str">
        <f>IFERROR(__xludf.DUMMYFUNCTION("""COMPUTED_VALUE"""),"Adam")</f>
        <v>Adam</v>
      </c>
      <c r="E1936" s="6" t="str">
        <f>IFERROR(__xludf.DUMMYFUNCTION("""COMPUTED_VALUE"""),"")</f>
        <v/>
      </c>
      <c r="F1936" s="6" t="str">
        <f>IFERROR(__xludf.DUMMYFUNCTION("""COMPUTED_VALUE"""),"Phan")</f>
        <v>Phan</v>
      </c>
      <c r="G1936" s="6" t="str">
        <f>IFERROR(__xludf.DUMMYFUNCTION("""COMPUTED_VALUE"""),"10/09/2009")</f>
        <v>10/09/2009</v>
      </c>
      <c r="H1936" s="6" t="str">
        <f>IFERROR(__xludf.DUMMYFUNCTION("""COMPUTED_VALUE"""),"Self Identify")</f>
        <v>Self Identify</v>
      </c>
      <c r="I1936" s="6" t="str">
        <f>IFERROR(__xludf.DUMMYFUNCTION("""COMPUTED_VALUE"""),"High School")</f>
        <v>High School</v>
      </c>
      <c r="J1936" s="6" t="str">
        <f>IFERROR(__xludf.DUMMYFUNCTION("""COMPUTED_VALUE"""),"10")</f>
        <v>10</v>
      </c>
      <c r="K1936" s="6" t="str">
        <f>IFERROR(__xludf.DUMMYFUNCTION("""COMPUTED_VALUE"""),"adam.phan@2hourlearning.com")</f>
        <v>adam.phan@2hourlearning.com</v>
      </c>
      <c r="L1936" s="6" t="str">
        <f>IFERROR(__xludf.DUMMYFUNCTION("""COMPUTED_VALUE"""),"High School SAT Prep")</f>
        <v>High School SAT Prep</v>
      </c>
      <c r="M1936" s="6" t="str">
        <f>IFERROR(__xludf.DUMMYFUNCTION("""COMPUTED_VALUE"""),"")</f>
        <v/>
      </c>
      <c r="N1936" s="6" t="str">
        <f>IFERROR(__xludf.DUMMYFUNCTION("""COMPUTED_VALUE"""),"")</f>
        <v/>
      </c>
      <c r="O1936" s="87" t="str">
        <f>IFERROR(__xludf.DUMMYFUNCTION("""COMPUTED_VALUE"""),"https://drive.google.com/drive/folders/10T2cTQHqEJZqE-st6uFKPoI?usp=share_link")</f>
        <v>https://drive.google.com/drive/folders/10T2cTQHqEJZqE-st6uFKPoI?usp=share_link</v>
      </c>
      <c r="P1936" s="6" t="str">
        <f>IFERROR(__xludf.DUMMYFUNCTION("""COMPUTED_VALUE"""),"Adam Phan")</f>
        <v>Adam Phan</v>
      </c>
      <c r="Q1936" s="6" t="str">
        <f>IFERROR(__xludf.DUMMYFUNCTION("""COMPUTED_VALUE"""),"HS")</f>
        <v>HS</v>
      </c>
      <c r="R1936" s="6">
        <f>IFERROR(__xludf.DUMMYFUNCTION("""COMPUTED_VALUE"""),0.0)</f>
        <v>0</v>
      </c>
      <c r="S1936" s="6" t="str">
        <f>IFERROR(__xludf.DUMMYFUNCTION("""COMPUTED_VALUE""")," ")</f>
        <v> </v>
      </c>
      <c r="T1936" s="6" t="str">
        <f>IFERROR(__xludf.DUMMYFUNCTION("""COMPUTED_VALUE"""),"")</f>
        <v/>
      </c>
      <c r="U1936" s="6" t="str">
        <f>IFERROR(__xludf.DUMMYFUNCTION("""COMPUTED_VALUE"""),"10")</f>
        <v>10</v>
      </c>
      <c r="V1936" s="6" t="str">
        <f>IFERROR(__xludf.DUMMYFUNCTION("""COMPUTED_VALUE"""),"")</f>
        <v/>
      </c>
      <c r="W1936" s="6" t="str">
        <f>IFERROR(__xludf.DUMMYFUNCTION("""COMPUTED_VALUE"""),"[]")</f>
        <v>[]</v>
      </c>
      <c r="X1936" s="6" t="str">
        <f>IFERROR(__xludf.DUMMYFUNCTION("""COMPUTED_VALUE"""),"Enrolled")</f>
        <v>Enrolled</v>
      </c>
    </row>
    <row r="1937">
      <c r="A1937" s="6" t="str">
        <f>IFERROR(__xludf.DUMMYFUNCTION("""COMPUTED_VALUE"""),"019-4412")</f>
        <v>019-4412</v>
      </c>
      <c r="B1937" s="6" t="str">
        <f>IFERROR(__xludf.DUMMYFUNCTION("""COMPUTED_VALUE"""),"19")</f>
        <v>19</v>
      </c>
      <c r="C1937" s="6" t="str">
        <f>IFERROR(__xludf.DUMMYFUNCTION("""COMPUTED_VALUE"""),"4412")</f>
        <v>4412</v>
      </c>
      <c r="D1937" s="6" t="str">
        <f>IFERROR(__xludf.DUMMYFUNCTION("""COMPUTED_VALUE"""),"Raghavi")</f>
        <v>Raghavi</v>
      </c>
      <c r="E1937" s="6" t="str">
        <f>IFERROR(__xludf.DUMMYFUNCTION("""COMPUTED_VALUE"""),"")</f>
        <v/>
      </c>
      <c r="F1937" s="6" t="str">
        <f>IFERROR(__xludf.DUMMYFUNCTION("""COMPUTED_VALUE"""),"Srinivasan")</f>
        <v>Srinivasan</v>
      </c>
      <c r="G1937" s="6" t="str">
        <f>IFERROR(__xludf.DUMMYFUNCTION("""COMPUTED_VALUE"""),"03/11/2010")</f>
        <v>03/11/2010</v>
      </c>
      <c r="H1937" s="6" t="str">
        <f>IFERROR(__xludf.DUMMYFUNCTION("""COMPUTED_VALUE"""),"Self Identify")</f>
        <v>Self Identify</v>
      </c>
      <c r="I1937" s="6" t="str">
        <f>IFERROR(__xludf.DUMMYFUNCTION("""COMPUTED_VALUE"""),"High School")</f>
        <v>High School</v>
      </c>
      <c r="J1937" s="6" t="str">
        <f>IFERROR(__xludf.DUMMYFUNCTION("""COMPUTED_VALUE"""),"10")</f>
        <v>10</v>
      </c>
      <c r="K1937" s="6" t="str">
        <f>IFERROR(__xludf.DUMMYFUNCTION("""COMPUTED_VALUE"""),"raghavi.srinivasan@2hourlearning.com")</f>
        <v>raghavi.srinivasan@2hourlearning.com</v>
      </c>
      <c r="L1937" s="6" t="str">
        <f>IFERROR(__xludf.DUMMYFUNCTION("""COMPUTED_VALUE"""),"High School SAT Prep")</f>
        <v>High School SAT Prep</v>
      </c>
      <c r="M1937" s="6" t="str">
        <f>IFERROR(__xludf.DUMMYFUNCTION("""COMPUTED_VALUE"""),"")</f>
        <v/>
      </c>
      <c r="N1937" s="6" t="str">
        <f>IFERROR(__xludf.DUMMYFUNCTION("""COMPUTED_VALUE"""),"")</f>
        <v/>
      </c>
      <c r="O1937" s="87" t="str">
        <f>IFERROR(__xludf.DUMMYFUNCTION("""COMPUTED_VALUE"""),"https://drive.google.com/drive/folders/10T2cTQHqEJZqE-st6uFKPoI?usp=share_link")</f>
        <v>https://drive.google.com/drive/folders/10T2cTQHqEJZqE-st6uFKPoI?usp=share_link</v>
      </c>
      <c r="P1937" s="6" t="str">
        <f>IFERROR(__xludf.DUMMYFUNCTION("""COMPUTED_VALUE"""),"Raghavi Srinivasan")</f>
        <v>Raghavi Srinivasan</v>
      </c>
      <c r="Q1937" s="6" t="str">
        <f>IFERROR(__xludf.DUMMYFUNCTION("""COMPUTED_VALUE"""),"HS")</f>
        <v>HS</v>
      </c>
      <c r="R1937" s="6">
        <f>IFERROR(__xludf.DUMMYFUNCTION("""COMPUTED_VALUE"""),0.0)</f>
        <v>0</v>
      </c>
      <c r="S1937" s="6" t="str">
        <f>IFERROR(__xludf.DUMMYFUNCTION("""COMPUTED_VALUE""")," ")</f>
        <v> </v>
      </c>
      <c r="T1937" s="6" t="str">
        <f>IFERROR(__xludf.DUMMYFUNCTION("""COMPUTED_VALUE"""),"")</f>
        <v/>
      </c>
      <c r="U1937" s="6" t="str">
        <f>IFERROR(__xludf.DUMMYFUNCTION("""COMPUTED_VALUE"""),"10")</f>
        <v>10</v>
      </c>
      <c r="V1937" s="6" t="str">
        <f>IFERROR(__xludf.DUMMYFUNCTION("""COMPUTED_VALUE"""),"")</f>
        <v/>
      </c>
      <c r="W1937" s="6" t="str">
        <f>IFERROR(__xludf.DUMMYFUNCTION("""COMPUTED_VALUE"""),"[]")</f>
        <v>[]</v>
      </c>
      <c r="X1937" s="6" t="str">
        <f>IFERROR(__xludf.DUMMYFUNCTION("""COMPUTED_VALUE"""),"Enrolled")</f>
        <v>Enrolled</v>
      </c>
    </row>
    <row r="1938">
      <c r="A1938" s="6" t="str">
        <f>IFERROR(__xludf.DUMMYFUNCTION("""COMPUTED_VALUE"""),"019-5075")</f>
        <v>019-5075</v>
      </c>
      <c r="B1938" s="6" t="str">
        <f>IFERROR(__xludf.DUMMYFUNCTION("""COMPUTED_VALUE"""),"19")</f>
        <v>19</v>
      </c>
      <c r="C1938" s="6" t="str">
        <f>IFERROR(__xludf.DUMMYFUNCTION("""COMPUTED_VALUE"""),"5075")</f>
        <v>5075</v>
      </c>
      <c r="D1938" s="6" t="str">
        <f>IFERROR(__xludf.DUMMYFUNCTION("""COMPUTED_VALUE"""),"Arnav")</f>
        <v>Arnav</v>
      </c>
      <c r="E1938" s="6" t="str">
        <f>IFERROR(__xludf.DUMMYFUNCTION("""COMPUTED_VALUE"""),"")</f>
        <v/>
      </c>
      <c r="F1938" s="6" t="str">
        <f>IFERROR(__xludf.DUMMYFUNCTION("""COMPUTED_VALUE"""),"Konduru")</f>
        <v>Konduru</v>
      </c>
      <c r="G1938" s="6" t="str">
        <f>IFERROR(__xludf.DUMMYFUNCTION("""COMPUTED_VALUE"""),"12/31/2008")</f>
        <v>12/31/2008</v>
      </c>
      <c r="H1938" s="6" t="str">
        <f>IFERROR(__xludf.DUMMYFUNCTION("""COMPUTED_VALUE"""),"Self Identify")</f>
        <v>Self Identify</v>
      </c>
      <c r="I1938" s="6" t="str">
        <f>IFERROR(__xludf.DUMMYFUNCTION("""COMPUTED_VALUE"""),"High School")</f>
        <v>High School</v>
      </c>
      <c r="J1938" s="6" t="str">
        <f>IFERROR(__xludf.DUMMYFUNCTION("""COMPUTED_VALUE"""),"11")</f>
        <v>11</v>
      </c>
      <c r="K1938" s="6" t="str">
        <f>IFERROR(__xludf.DUMMYFUNCTION("""COMPUTED_VALUE"""),"arnav.konduru@2hourlearning.com")</f>
        <v>arnav.konduru@2hourlearning.com</v>
      </c>
      <c r="L1938" s="6" t="str">
        <f>IFERROR(__xludf.DUMMYFUNCTION("""COMPUTED_VALUE"""),"High School SAT Prep")</f>
        <v>High School SAT Prep</v>
      </c>
      <c r="M1938" s="6" t="str">
        <f>IFERROR(__xludf.DUMMYFUNCTION("""COMPUTED_VALUE"""),"")</f>
        <v/>
      </c>
      <c r="N1938" s="6" t="str">
        <f>IFERROR(__xludf.DUMMYFUNCTION("""COMPUTED_VALUE"""),"")</f>
        <v/>
      </c>
      <c r="O1938" s="87" t="str">
        <f>IFERROR(__xludf.DUMMYFUNCTION("""COMPUTED_VALUE"""),"https://drive.google.com/drive/folders/10T2cTQHqEJZqE-st6uFKPoI?usp=share_link")</f>
        <v>https://drive.google.com/drive/folders/10T2cTQHqEJZqE-st6uFKPoI?usp=share_link</v>
      </c>
      <c r="P1938" s="6" t="str">
        <f>IFERROR(__xludf.DUMMYFUNCTION("""COMPUTED_VALUE"""),"Arnav Konduru")</f>
        <v>Arnav Konduru</v>
      </c>
      <c r="Q1938" s="6" t="str">
        <f>IFERROR(__xludf.DUMMYFUNCTION("""COMPUTED_VALUE"""),"HS")</f>
        <v>HS</v>
      </c>
      <c r="R1938" s="6">
        <f>IFERROR(__xludf.DUMMYFUNCTION("""COMPUTED_VALUE"""),0.0)</f>
        <v>0</v>
      </c>
      <c r="S1938" s="6" t="str">
        <f>IFERROR(__xludf.DUMMYFUNCTION("""COMPUTED_VALUE""")," ")</f>
        <v> </v>
      </c>
      <c r="T1938" s="6" t="str">
        <f>IFERROR(__xludf.DUMMYFUNCTION("""COMPUTED_VALUE"""),"")</f>
        <v/>
      </c>
      <c r="U1938" s="6" t="str">
        <f>IFERROR(__xludf.DUMMYFUNCTION("""COMPUTED_VALUE"""),"11")</f>
        <v>11</v>
      </c>
      <c r="V1938" s="6" t="str">
        <f>IFERROR(__xludf.DUMMYFUNCTION("""COMPUTED_VALUE"""),"")</f>
        <v/>
      </c>
      <c r="W1938" s="6" t="str">
        <f>IFERROR(__xludf.DUMMYFUNCTION("""COMPUTED_VALUE"""),"[]")</f>
        <v>[]</v>
      </c>
      <c r="X1938" s="6" t="str">
        <f>IFERROR(__xludf.DUMMYFUNCTION("""COMPUTED_VALUE"""),"Enrolled")</f>
        <v>Enrolled</v>
      </c>
    </row>
    <row r="1939">
      <c r="A1939" s="6" t="str">
        <f>IFERROR(__xludf.DUMMYFUNCTION("""COMPUTED_VALUE"""),"019-5076")</f>
        <v>019-5076</v>
      </c>
      <c r="B1939" s="6" t="str">
        <f>IFERROR(__xludf.DUMMYFUNCTION("""COMPUTED_VALUE"""),"19")</f>
        <v>19</v>
      </c>
      <c r="C1939" s="6" t="str">
        <f>IFERROR(__xludf.DUMMYFUNCTION("""COMPUTED_VALUE"""),"5076")</f>
        <v>5076</v>
      </c>
      <c r="D1939" s="6" t="str">
        <f>IFERROR(__xludf.DUMMYFUNCTION("""COMPUTED_VALUE"""),"Ashrith")</f>
        <v>Ashrith</v>
      </c>
      <c r="E1939" s="6" t="str">
        <f>IFERROR(__xludf.DUMMYFUNCTION("""COMPUTED_VALUE"""),"")</f>
        <v/>
      </c>
      <c r="F1939" s="6" t="str">
        <f>IFERROR(__xludf.DUMMYFUNCTION("""COMPUTED_VALUE"""),"Chinta")</f>
        <v>Chinta</v>
      </c>
      <c r="G1939" s="6" t="str">
        <f>IFERROR(__xludf.DUMMYFUNCTION("""COMPUTED_VALUE"""),"10/08/2007")</f>
        <v>10/08/2007</v>
      </c>
      <c r="H1939" s="6" t="str">
        <f>IFERROR(__xludf.DUMMYFUNCTION("""COMPUTED_VALUE"""),"Self Identify")</f>
        <v>Self Identify</v>
      </c>
      <c r="I1939" s="6" t="str">
        <f>IFERROR(__xludf.DUMMYFUNCTION("""COMPUTED_VALUE"""),"High School")</f>
        <v>High School</v>
      </c>
      <c r="J1939" s="6" t="str">
        <f>IFERROR(__xludf.DUMMYFUNCTION("""COMPUTED_VALUE"""),"12")</f>
        <v>12</v>
      </c>
      <c r="K1939" s="6" t="str">
        <f>IFERROR(__xludf.DUMMYFUNCTION("""COMPUTED_VALUE"""),"ashrith.chinta@2hourlearning.com")</f>
        <v>ashrith.chinta@2hourlearning.com</v>
      </c>
      <c r="L1939" s="6" t="str">
        <f>IFERROR(__xludf.DUMMYFUNCTION("""COMPUTED_VALUE"""),"High School SAT Prep")</f>
        <v>High School SAT Prep</v>
      </c>
      <c r="M1939" s="6" t="str">
        <f>IFERROR(__xludf.DUMMYFUNCTION("""COMPUTED_VALUE"""),"")</f>
        <v/>
      </c>
      <c r="N1939" s="6" t="str">
        <f>IFERROR(__xludf.DUMMYFUNCTION("""COMPUTED_VALUE"""),"")</f>
        <v/>
      </c>
      <c r="O1939" s="87" t="str">
        <f>IFERROR(__xludf.DUMMYFUNCTION("""COMPUTED_VALUE"""),"https://drive.google.com/drive/folders/10T2cTQHqEJZqE-st6uFKPoI?usp=share_link")</f>
        <v>https://drive.google.com/drive/folders/10T2cTQHqEJZqE-st6uFKPoI?usp=share_link</v>
      </c>
      <c r="P1939" s="6" t="str">
        <f>IFERROR(__xludf.DUMMYFUNCTION("""COMPUTED_VALUE"""),"Ashrith Chinta")</f>
        <v>Ashrith Chinta</v>
      </c>
      <c r="Q1939" s="6" t="str">
        <f>IFERROR(__xludf.DUMMYFUNCTION("""COMPUTED_VALUE"""),"HS")</f>
        <v>HS</v>
      </c>
      <c r="R1939" s="6">
        <f>IFERROR(__xludf.DUMMYFUNCTION("""COMPUTED_VALUE"""),0.0)</f>
        <v>0</v>
      </c>
      <c r="S1939" s="6" t="str">
        <f>IFERROR(__xludf.DUMMYFUNCTION("""COMPUTED_VALUE""")," ")</f>
        <v> </v>
      </c>
      <c r="T1939" s="6" t="str">
        <f>IFERROR(__xludf.DUMMYFUNCTION("""COMPUTED_VALUE"""),"")</f>
        <v/>
      </c>
      <c r="U1939" s="6" t="str">
        <f>IFERROR(__xludf.DUMMYFUNCTION("""COMPUTED_VALUE"""),"12")</f>
        <v>12</v>
      </c>
      <c r="V1939" s="6" t="str">
        <f>IFERROR(__xludf.DUMMYFUNCTION("""COMPUTED_VALUE"""),"")</f>
        <v/>
      </c>
      <c r="W1939" s="6" t="str">
        <f>IFERROR(__xludf.DUMMYFUNCTION("""COMPUTED_VALUE"""),"[]")</f>
        <v>[]</v>
      </c>
      <c r="X1939" s="6" t="str">
        <f>IFERROR(__xludf.DUMMYFUNCTION("""COMPUTED_VALUE"""),"Enrolled")</f>
        <v>Enrolled</v>
      </c>
    </row>
    <row r="1940">
      <c r="A1940" s="6" t="str">
        <f>IFERROR(__xludf.DUMMYFUNCTION("""COMPUTED_VALUE"""),"019-5077")</f>
        <v>019-5077</v>
      </c>
      <c r="B1940" s="6" t="str">
        <f>IFERROR(__xludf.DUMMYFUNCTION("""COMPUTED_VALUE"""),"19")</f>
        <v>19</v>
      </c>
      <c r="C1940" s="6" t="str">
        <f>IFERROR(__xludf.DUMMYFUNCTION("""COMPUTED_VALUE"""),"5077")</f>
        <v>5077</v>
      </c>
      <c r="D1940" s="6" t="str">
        <f>IFERROR(__xludf.DUMMYFUNCTION("""COMPUTED_VALUE"""),"Shiven")</f>
        <v>Shiven</v>
      </c>
      <c r="E1940" s="6" t="str">
        <f>IFERROR(__xludf.DUMMYFUNCTION("""COMPUTED_VALUE"""),"")</f>
        <v/>
      </c>
      <c r="F1940" s="6" t="str">
        <f>IFERROR(__xludf.DUMMYFUNCTION("""COMPUTED_VALUE"""),"Uppuluri")</f>
        <v>Uppuluri</v>
      </c>
      <c r="G1940" s="6" t="str">
        <f>IFERROR(__xludf.DUMMYFUNCTION("""COMPUTED_VALUE"""),"03/02/2009")</f>
        <v>03/02/2009</v>
      </c>
      <c r="H1940" s="6" t="str">
        <f>IFERROR(__xludf.DUMMYFUNCTION("""COMPUTED_VALUE"""),"Self Identify")</f>
        <v>Self Identify</v>
      </c>
      <c r="I1940" s="6" t="str">
        <f>IFERROR(__xludf.DUMMYFUNCTION("""COMPUTED_VALUE"""),"High School")</f>
        <v>High School</v>
      </c>
      <c r="J1940" s="6" t="str">
        <f>IFERROR(__xludf.DUMMYFUNCTION("""COMPUTED_VALUE"""),"11")</f>
        <v>11</v>
      </c>
      <c r="K1940" s="6" t="str">
        <f>IFERROR(__xludf.DUMMYFUNCTION("""COMPUTED_VALUE"""),"shiven.uppuluri@2hourlearning.com")</f>
        <v>shiven.uppuluri@2hourlearning.com</v>
      </c>
      <c r="L1940" s="6" t="str">
        <f>IFERROR(__xludf.DUMMYFUNCTION("""COMPUTED_VALUE"""),"High School SAT Prep")</f>
        <v>High School SAT Prep</v>
      </c>
      <c r="M1940" s="6" t="str">
        <f>IFERROR(__xludf.DUMMYFUNCTION("""COMPUTED_VALUE"""),"")</f>
        <v/>
      </c>
      <c r="N1940" s="6" t="str">
        <f>IFERROR(__xludf.DUMMYFUNCTION("""COMPUTED_VALUE"""),"")</f>
        <v/>
      </c>
      <c r="O1940" s="87" t="str">
        <f>IFERROR(__xludf.DUMMYFUNCTION("""COMPUTED_VALUE"""),"https://drive.google.com/drive/folders/10T2cTQHqEJZqE-st6uFKPoI?usp=share_link")</f>
        <v>https://drive.google.com/drive/folders/10T2cTQHqEJZqE-st6uFKPoI?usp=share_link</v>
      </c>
      <c r="P1940" s="6" t="str">
        <f>IFERROR(__xludf.DUMMYFUNCTION("""COMPUTED_VALUE"""),"Shiven Uppuluri")</f>
        <v>Shiven Uppuluri</v>
      </c>
      <c r="Q1940" s="6" t="str">
        <f>IFERROR(__xludf.DUMMYFUNCTION("""COMPUTED_VALUE"""),"HS")</f>
        <v>HS</v>
      </c>
      <c r="R1940" s="6">
        <f>IFERROR(__xludf.DUMMYFUNCTION("""COMPUTED_VALUE"""),0.0)</f>
        <v>0</v>
      </c>
      <c r="S1940" s="6" t="str">
        <f>IFERROR(__xludf.DUMMYFUNCTION("""COMPUTED_VALUE""")," ")</f>
        <v> </v>
      </c>
      <c r="T1940" s="6" t="str">
        <f>IFERROR(__xludf.DUMMYFUNCTION("""COMPUTED_VALUE"""),"")</f>
        <v/>
      </c>
      <c r="U1940" s="6" t="str">
        <f>IFERROR(__xludf.DUMMYFUNCTION("""COMPUTED_VALUE"""),"11")</f>
        <v>11</v>
      </c>
      <c r="V1940" s="6" t="str">
        <f>IFERROR(__xludf.DUMMYFUNCTION("""COMPUTED_VALUE"""),"")</f>
        <v/>
      </c>
      <c r="W1940" s="6" t="str">
        <f>IFERROR(__xludf.DUMMYFUNCTION("""COMPUTED_VALUE"""),"[]")</f>
        <v>[]</v>
      </c>
      <c r="X1940" s="6" t="str">
        <f>IFERROR(__xludf.DUMMYFUNCTION("""COMPUTED_VALUE"""),"Enrolled")</f>
        <v>Enrolled</v>
      </c>
    </row>
    <row r="1941">
      <c r="A1941" s="6" t="str">
        <f>IFERROR(__xludf.DUMMYFUNCTION("""COMPUTED_VALUE"""),"019-5079")</f>
        <v>019-5079</v>
      </c>
      <c r="B1941" s="6" t="str">
        <f>IFERROR(__xludf.DUMMYFUNCTION("""COMPUTED_VALUE"""),"19")</f>
        <v>19</v>
      </c>
      <c r="C1941" s="6" t="str">
        <f>IFERROR(__xludf.DUMMYFUNCTION("""COMPUTED_VALUE"""),"5079")</f>
        <v>5079</v>
      </c>
      <c r="D1941" s="6" t="str">
        <f>IFERROR(__xludf.DUMMYFUNCTION("""COMPUTED_VALUE"""),"Vishnu")</f>
        <v>Vishnu</v>
      </c>
      <c r="E1941" s="6" t="str">
        <f>IFERROR(__xludf.DUMMYFUNCTION("""COMPUTED_VALUE"""),"")</f>
        <v/>
      </c>
      <c r="F1941" s="6" t="str">
        <f>IFERROR(__xludf.DUMMYFUNCTION("""COMPUTED_VALUE"""),"Mahesha")</f>
        <v>Mahesha</v>
      </c>
      <c r="G1941" s="6" t="str">
        <f>IFERROR(__xludf.DUMMYFUNCTION("""COMPUTED_VALUE"""),"01/08/2009")</f>
        <v>01/08/2009</v>
      </c>
      <c r="H1941" s="6" t="str">
        <f>IFERROR(__xludf.DUMMYFUNCTION("""COMPUTED_VALUE"""),"Self Identify")</f>
        <v>Self Identify</v>
      </c>
      <c r="I1941" s="6" t="str">
        <f>IFERROR(__xludf.DUMMYFUNCTION("""COMPUTED_VALUE"""),"High School")</f>
        <v>High School</v>
      </c>
      <c r="J1941" s="6" t="str">
        <f>IFERROR(__xludf.DUMMYFUNCTION("""COMPUTED_VALUE"""),"11")</f>
        <v>11</v>
      </c>
      <c r="K1941" s="6" t="str">
        <f>IFERROR(__xludf.DUMMYFUNCTION("""COMPUTED_VALUE"""),"vishnu.mahesha@2hourlearning.com")</f>
        <v>vishnu.mahesha@2hourlearning.com</v>
      </c>
      <c r="L1941" s="6" t="str">
        <f>IFERROR(__xludf.DUMMYFUNCTION("""COMPUTED_VALUE"""),"High School SAT Prep")</f>
        <v>High School SAT Prep</v>
      </c>
      <c r="M1941" s="6" t="str">
        <f>IFERROR(__xludf.DUMMYFUNCTION("""COMPUTED_VALUE"""),"")</f>
        <v/>
      </c>
      <c r="N1941" s="6" t="str">
        <f>IFERROR(__xludf.DUMMYFUNCTION("""COMPUTED_VALUE"""),"")</f>
        <v/>
      </c>
      <c r="O1941" s="87" t="str">
        <f>IFERROR(__xludf.DUMMYFUNCTION("""COMPUTED_VALUE"""),"https://drive.google.com/drive/folders/10T2cTQHqEJZqE-st6uFKPoI?usp=share_link")</f>
        <v>https://drive.google.com/drive/folders/10T2cTQHqEJZqE-st6uFKPoI?usp=share_link</v>
      </c>
      <c r="P1941" s="6" t="str">
        <f>IFERROR(__xludf.DUMMYFUNCTION("""COMPUTED_VALUE"""),"Vishnu Mahesha")</f>
        <v>Vishnu Mahesha</v>
      </c>
      <c r="Q1941" s="6" t="str">
        <f>IFERROR(__xludf.DUMMYFUNCTION("""COMPUTED_VALUE"""),"HS")</f>
        <v>HS</v>
      </c>
      <c r="R1941" s="6">
        <f>IFERROR(__xludf.DUMMYFUNCTION("""COMPUTED_VALUE"""),0.0)</f>
        <v>0</v>
      </c>
      <c r="S1941" s="6" t="str">
        <f>IFERROR(__xludf.DUMMYFUNCTION("""COMPUTED_VALUE""")," ")</f>
        <v> </v>
      </c>
      <c r="T1941" s="6" t="str">
        <f>IFERROR(__xludf.DUMMYFUNCTION("""COMPUTED_VALUE"""),"")</f>
        <v/>
      </c>
      <c r="U1941" s="6" t="str">
        <f>IFERROR(__xludf.DUMMYFUNCTION("""COMPUTED_VALUE"""),"11")</f>
        <v>11</v>
      </c>
      <c r="V1941" s="6" t="str">
        <f>IFERROR(__xludf.DUMMYFUNCTION("""COMPUTED_VALUE"""),"")</f>
        <v/>
      </c>
      <c r="W1941" s="6" t="str">
        <f>IFERROR(__xludf.DUMMYFUNCTION("""COMPUTED_VALUE"""),"[]")</f>
        <v>[]</v>
      </c>
      <c r="X1941" s="6" t="str">
        <f>IFERROR(__xludf.DUMMYFUNCTION("""COMPUTED_VALUE"""),"Enrolled")</f>
        <v>Enrolled</v>
      </c>
    </row>
    <row r="1942">
      <c r="A1942" s="6" t="str">
        <f>IFERROR(__xludf.DUMMYFUNCTION("""COMPUTED_VALUE"""),"019-5080")</f>
        <v>019-5080</v>
      </c>
      <c r="B1942" s="6" t="str">
        <f>IFERROR(__xludf.DUMMYFUNCTION("""COMPUTED_VALUE"""),"19")</f>
        <v>19</v>
      </c>
      <c r="C1942" s="6" t="str">
        <f>IFERROR(__xludf.DUMMYFUNCTION("""COMPUTED_VALUE"""),"5080")</f>
        <v>5080</v>
      </c>
      <c r="D1942" s="6" t="str">
        <f>IFERROR(__xludf.DUMMYFUNCTION("""COMPUTED_VALUE"""),"Kathiravan")</f>
        <v>Kathiravan</v>
      </c>
      <c r="E1942" s="6" t="str">
        <f>IFERROR(__xludf.DUMMYFUNCTION("""COMPUTED_VALUE"""),"")</f>
        <v/>
      </c>
      <c r="F1942" s="6" t="str">
        <f>IFERROR(__xludf.DUMMYFUNCTION("""COMPUTED_VALUE"""),"Balakrishnan")</f>
        <v>Balakrishnan</v>
      </c>
      <c r="G1942" s="6" t="str">
        <f>IFERROR(__xludf.DUMMYFUNCTION("""COMPUTED_VALUE"""),"10/13/2008")</f>
        <v>10/13/2008</v>
      </c>
      <c r="H1942" s="6" t="str">
        <f>IFERROR(__xludf.DUMMYFUNCTION("""COMPUTED_VALUE"""),"Self Identify")</f>
        <v>Self Identify</v>
      </c>
      <c r="I1942" s="6" t="str">
        <f>IFERROR(__xludf.DUMMYFUNCTION("""COMPUTED_VALUE"""),"High School")</f>
        <v>High School</v>
      </c>
      <c r="J1942" s="6" t="str">
        <f>IFERROR(__xludf.DUMMYFUNCTION("""COMPUTED_VALUE"""),"11")</f>
        <v>11</v>
      </c>
      <c r="K1942" s="6" t="str">
        <f>IFERROR(__xludf.DUMMYFUNCTION("""COMPUTED_VALUE"""),"kathiravan.balakrishnan@2hourlearning.com")</f>
        <v>kathiravan.balakrishnan@2hourlearning.com</v>
      </c>
      <c r="L1942" s="6" t="str">
        <f>IFERROR(__xludf.DUMMYFUNCTION("""COMPUTED_VALUE"""),"High School SAT Prep")</f>
        <v>High School SAT Prep</v>
      </c>
      <c r="M1942" s="6" t="str">
        <f>IFERROR(__xludf.DUMMYFUNCTION("""COMPUTED_VALUE"""),"")</f>
        <v/>
      </c>
      <c r="N1942" s="6" t="str">
        <f>IFERROR(__xludf.DUMMYFUNCTION("""COMPUTED_VALUE"""),"")</f>
        <v/>
      </c>
      <c r="O1942" s="87" t="str">
        <f>IFERROR(__xludf.DUMMYFUNCTION("""COMPUTED_VALUE"""),"https://drive.google.com/drive/folders/10T2cTQHqEJZqE-st6uFKPoI?usp=share_link")</f>
        <v>https://drive.google.com/drive/folders/10T2cTQHqEJZqE-st6uFKPoI?usp=share_link</v>
      </c>
      <c r="P1942" s="6" t="str">
        <f>IFERROR(__xludf.DUMMYFUNCTION("""COMPUTED_VALUE"""),"Kathiravan Balakrishnan")</f>
        <v>Kathiravan Balakrishnan</v>
      </c>
      <c r="Q1942" s="6" t="str">
        <f>IFERROR(__xludf.DUMMYFUNCTION("""COMPUTED_VALUE"""),"HS")</f>
        <v>HS</v>
      </c>
      <c r="R1942" s="6">
        <f>IFERROR(__xludf.DUMMYFUNCTION("""COMPUTED_VALUE"""),0.0)</f>
        <v>0</v>
      </c>
      <c r="S1942" s="6" t="str">
        <f>IFERROR(__xludf.DUMMYFUNCTION("""COMPUTED_VALUE""")," ")</f>
        <v> </v>
      </c>
      <c r="T1942" s="6" t="str">
        <f>IFERROR(__xludf.DUMMYFUNCTION("""COMPUTED_VALUE"""),"")</f>
        <v/>
      </c>
      <c r="U1942" s="6" t="str">
        <f>IFERROR(__xludf.DUMMYFUNCTION("""COMPUTED_VALUE"""),"11")</f>
        <v>11</v>
      </c>
      <c r="V1942" s="6" t="str">
        <f>IFERROR(__xludf.DUMMYFUNCTION("""COMPUTED_VALUE"""),"")</f>
        <v/>
      </c>
      <c r="W1942" s="6" t="str">
        <f>IFERROR(__xludf.DUMMYFUNCTION("""COMPUTED_VALUE"""),"[]")</f>
        <v>[]</v>
      </c>
      <c r="X1942" s="6" t="str">
        <f>IFERROR(__xludf.DUMMYFUNCTION("""COMPUTED_VALUE"""),"Enrolled")</f>
        <v>Enrolled</v>
      </c>
    </row>
    <row r="1943">
      <c r="A1943" s="6" t="str">
        <f>IFERROR(__xludf.DUMMYFUNCTION("""COMPUTED_VALUE"""),"019-6886")</f>
        <v>019-6886</v>
      </c>
      <c r="B1943" s="6" t="str">
        <f>IFERROR(__xludf.DUMMYFUNCTION("""COMPUTED_VALUE"""),"19")</f>
        <v>19</v>
      </c>
      <c r="C1943" s="6" t="str">
        <f>IFERROR(__xludf.DUMMYFUNCTION("""COMPUTED_VALUE"""),"6886")</f>
        <v>6886</v>
      </c>
      <c r="D1943" s="6" t="str">
        <f>IFERROR(__xludf.DUMMYFUNCTION("""COMPUTED_VALUE"""),"Parnika")</f>
        <v>Parnika</v>
      </c>
      <c r="E1943" s="6" t="str">
        <f>IFERROR(__xludf.DUMMYFUNCTION("""COMPUTED_VALUE"""),"")</f>
        <v/>
      </c>
      <c r="F1943" s="6" t="str">
        <f>IFERROR(__xludf.DUMMYFUNCTION("""COMPUTED_VALUE"""),"Taluru")</f>
        <v>Taluru</v>
      </c>
      <c r="G1943" s="6" t="str">
        <f>IFERROR(__xludf.DUMMYFUNCTION("""COMPUTED_VALUE"""),"06/29/2009")</f>
        <v>06/29/2009</v>
      </c>
      <c r="H1943" s="6" t="str">
        <f>IFERROR(__xludf.DUMMYFUNCTION("""COMPUTED_VALUE"""),"Self Identify")</f>
        <v>Self Identify</v>
      </c>
      <c r="I1943" s="6" t="str">
        <f>IFERROR(__xludf.DUMMYFUNCTION("""COMPUTED_VALUE"""),"High School")</f>
        <v>High School</v>
      </c>
      <c r="J1943" s="6" t="str">
        <f>IFERROR(__xludf.DUMMYFUNCTION("""COMPUTED_VALUE"""),"11")</f>
        <v>11</v>
      </c>
      <c r="K1943" s="6" t="str">
        <f>IFERROR(__xludf.DUMMYFUNCTION("""COMPUTED_VALUE"""),"parnika.taluru@2hourlearning.com")</f>
        <v>parnika.taluru@2hourlearning.com</v>
      </c>
      <c r="L1943" s="6" t="str">
        <f>IFERROR(__xludf.DUMMYFUNCTION("""COMPUTED_VALUE"""),"High School SAT Prep")</f>
        <v>High School SAT Prep</v>
      </c>
      <c r="M1943" s="6" t="str">
        <f>IFERROR(__xludf.DUMMYFUNCTION("""COMPUTED_VALUE"""),"")</f>
        <v/>
      </c>
      <c r="N1943" s="6" t="str">
        <f>IFERROR(__xludf.DUMMYFUNCTION("""COMPUTED_VALUE"""),"")</f>
        <v/>
      </c>
      <c r="O1943" s="87" t="str">
        <f>IFERROR(__xludf.DUMMYFUNCTION("""COMPUTED_VALUE"""),"https://drive.google.com/drive/folders/10T2cTQHqEJZqE-st6uFKPoI?usp=share_link")</f>
        <v>https://drive.google.com/drive/folders/10T2cTQHqEJZqE-st6uFKPoI?usp=share_link</v>
      </c>
      <c r="P1943" s="6" t="str">
        <f>IFERROR(__xludf.DUMMYFUNCTION("""COMPUTED_VALUE"""),"Parnika Taluru")</f>
        <v>Parnika Taluru</v>
      </c>
      <c r="Q1943" s="6" t="str">
        <f>IFERROR(__xludf.DUMMYFUNCTION("""COMPUTED_VALUE"""),"HS")</f>
        <v>HS</v>
      </c>
      <c r="R1943" s="6">
        <f>IFERROR(__xludf.DUMMYFUNCTION("""COMPUTED_VALUE"""),0.0)</f>
        <v>0</v>
      </c>
      <c r="S1943" s="6" t="str">
        <f>IFERROR(__xludf.DUMMYFUNCTION("""COMPUTED_VALUE""")," ")</f>
        <v> </v>
      </c>
      <c r="T1943" s="6" t="str">
        <f>IFERROR(__xludf.DUMMYFUNCTION("""COMPUTED_VALUE"""),"")</f>
        <v/>
      </c>
      <c r="U1943" s="6" t="str">
        <f>IFERROR(__xludf.DUMMYFUNCTION("""COMPUTED_VALUE"""),"11")</f>
        <v>11</v>
      </c>
      <c r="V1943" s="6" t="str">
        <f>IFERROR(__xludf.DUMMYFUNCTION("""COMPUTED_VALUE"""),"")</f>
        <v/>
      </c>
      <c r="W1943" s="6" t="str">
        <f>IFERROR(__xludf.DUMMYFUNCTION("""COMPUTED_VALUE"""),"[]")</f>
        <v>[]</v>
      </c>
      <c r="X1943" s="6" t="str">
        <f>IFERROR(__xludf.DUMMYFUNCTION("""COMPUTED_VALUE"""),"Enrolled")</f>
        <v>Enrolled</v>
      </c>
    </row>
    <row r="1944">
      <c r="A1944" s="6" t="str">
        <f>IFERROR(__xludf.DUMMYFUNCTION("""COMPUTED_VALUE"""),"019-7551")</f>
        <v>019-7551</v>
      </c>
      <c r="B1944" s="6" t="str">
        <f>IFERROR(__xludf.DUMMYFUNCTION("""COMPUTED_VALUE"""),"19")</f>
        <v>19</v>
      </c>
      <c r="C1944" s="6" t="str">
        <f>IFERROR(__xludf.DUMMYFUNCTION("""COMPUTED_VALUE"""),"7551")</f>
        <v>7551</v>
      </c>
      <c r="D1944" s="6" t="str">
        <f>IFERROR(__xludf.DUMMYFUNCTION("""COMPUTED_VALUE"""),"Max")</f>
        <v>Max</v>
      </c>
      <c r="E1944" s="6" t="str">
        <f>IFERROR(__xludf.DUMMYFUNCTION("""COMPUTED_VALUE"""),"")</f>
        <v/>
      </c>
      <c r="F1944" s="6" t="str">
        <f>IFERROR(__xludf.DUMMYFUNCTION("""COMPUTED_VALUE"""),"Schneider")</f>
        <v>Schneider</v>
      </c>
      <c r="G1944" s="6" t="str">
        <f>IFERROR(__xludf.DUMMYFUNCTION("""COMPUTED_VALUE"""),"01/01/2008")</f>
        <v>01/01/2008</v>
      </c>
      <c r="H1944" s="6" t="str">
        <f>IFERROR(__xludf.DUMMYFUNCTION("""COMPUTED_VALUE"""),"Self Identify")</f>
        <v>Self Identify</v>
      </c>
      <c r="I1944" s="6" t="str">
        <f>IFERROR(__xludf.DUMMYFUNCTION("""COMPUTED_VALUE"""),"High School")</f>
        <v>High School</v>
      </c>
      <c r="J1944" s="6" t="str">
        <f>IFERROR(__xludf.DUMMYFUNCTION("""COMPUTED_VALUE"""),"12")</f>
        <v>12</v>
      </c>
      <c r="K1944" s="6" t="str">
        <f>IFERROR(__xludf.DUMMYFUNCTION("""COMPUTED_VALUE"""),"max.schneider@2hourlearning.com")</f>
        <v>max.schneider@2hourlearning.com</v>
      </c>
      <c r="L1944" s="6" t="str">
        <f>IFERROR(__xludf.DUMMYFUNCTION("""COMPUTED_VALUE"""),"High School SAT Prep")</f>
        <v>High School SAT Prep</v>
      </c>
      <c r="M1944" s="6" t="str">
        <f>IFERROR(__xludf.DUMMYFUNCTION("""COMPUTED_VALUE"""),"")</f>
        <v/>
      </c>
      <c r="N1944" s="6" t="str">
        <f>IFERROR(__xludf.DUMMYFUNCTION("""COMPUTED_VALUE"""),"")</f>
        <v/>
      </c>
      <c r="O1944" s="87" t="str">
        <f>IFERROR(__xludf.DUMMYFUNCTION("""COMPUTED_VALUE"""),"https://drive.google.com/drive/folders/10T2cTQHqEJZqE-st6uFKPoI?usp=share_link")</f>
        <v>https://drive.google.com/drive/folders/10T2cTQHqEJZqE-st6uFKPoI?usp=share_link</v>
      </c>
      <c r="P1944" s="6" t="str">
        <f>IFERROR(__xludf.DUMMYFUNCTION("""COMPUTED_VALUE"""),"Max Schneider")</f>
        <v>Max Schneider</v>
      </c>
      <c r="Q1944" s="6" t="str">
        <f>IFERROR(__xludf.DUMMYFUNCTION("""COMPUTED_VALUE"""),"HS")</f>
        <v>HS</v>
      </c>
      <c r="R1944" s="6">
        <f>IFERROR(__xludf.DUMMYFUNCTION("""COMPUTED_VALUE"""),0.0)</f>
        <v>0</v>
      </c>
      <c r="S1944" s="6" t="str">
        <f>IFERROR(__xludf.DUMMYFUNCTION("""COMPUTED_VALUE""")," ")</f>
        <v> </v>
      </c>
      <c r="T1944" s="6" t="str">
        <f>IFERROR(__xludf.DUMMYFUNCTION("""COMPUTED_VALUE"""),"")</f>
        <v/>
      </c>
      <c r="U1944" s="6" t="str">
        <f>IFERROR(__xludf.DUMMYFUNCTION("""COMPUTED_VALUE"""),"12")</f>
        <v>12</v>
      </c>
      <c r="V1944" s="6" t="str">
        <f>IFERROR(__xludf.DUMMYFUNCTION("""COMPUTED_VALUE"""),"")</f>
        <v/>
      </c>
      <c r="W1944" s="6" t="str">
        <f>IFERROR(__xludf.DUMMYFUNCTION("""COMPUTED_VALUE"""),"[]")</f>
        <v>[]</v>
      </c>
      <c r="X1944" s="6" t="str">
        <f>IFERROR(__xludf.DUMMYFUNCTION("""COMPUTED_VALUE"""),"Enrolled")</f>
        <v>Enrolled</v>
      </c>
    </row>
    <row r="1945">
      <c r="A1945" s="6" t="str">
        <f>IFERROR(__xludf.DUMMYFUNCTION("""COMPUTED_VALUE"""),"019-7552")</f>
        <v>019-7552</v>
      </c>
      <c r="B1945" s="6" t="str">
        <f>IFERROR(__xludf.DUMMYFUNCTION("""COMPUTED_VALUE"""),"19")</f>
        <v>19</v>
      </c>
      <c r="C1945" s="6" t="str">
        <f>IFERROR(__xludf.DUMMYFUNCTION("""COMPUTED_VALUE"""),"7552")</f>
        <v>7552</v>
      </c>
      <c r="D1945" s="6" t="str">
        <f>IFERROR(__xludf.DUMMYFUNCTION("""COMPUTED_VALUE"""),"Otto")</f>
        <v>Otto</v>
      </c>
      <c r="E1945" s="6" t="str">
        <f>IFERROR(__xludf.DUMMYFUNCTION("""COMPUTED_VALUE"""),"")</f>
        <v/>
      </c>
      <c r="F1945" s="6" t="str">
        <f>IFERROR(__xludf.DUMMYFUNCTION("""COMPUTED_VALUE"""),"Schneider")</f>
        <v>Schneider</v>
      </c>
      <c r="G1945" s="6" t="str">
        <f>IFERROR(__xludf.DUMMYFUNCTION("""COMPUTED_VALUE"""),"01/01/2010")</f>
        <v>01/01/2010</v>
      </c>
      <c r="H1945" s="6" t="str">
        <f>IFERROR(__xludf.DUMMYFUNCTION("""COMPUTED_VALUE"""),"Self Identify")</f>
        <v>Self Identify</v>
      </c>
      <c r="I1945" s="6" t="str">
        <f>IFERROR(__xludf.DUMMYFUNCTION("""COMPUTED_VALUE"""),"High School")</f>
        <v>High School</v>
      </c>
      <c r="J1945" s="6" t="str">
        <f>IFERROR(__xludf.DUMMYFUNCTION("""COMPUTED_VALUE"""),"10")</f>
        <v>10</v>
      </c>
      <c r="K1945" s="6" t="str">
        <f>IFERROR(__xludf.DUMMYFUNCTION("""COMPUTED_VALUE"""),"otto.schneider@2hourlearning.com")</f>
        <v>otto.schneider@2hourlearning.com</v>
      </c>
      <c r="L1945" s="6" t="str">
        <f>IFERROR(__xludf.DUMMYFUNCTION("""COMPUTED_VALUE"""),"High School SAT Prep")</f>
        <v>High School SAT Prep</v>
      </c>
      <c r="M1945" s="6" t="str">
        <f>IFERROR(__xludf.DUMMYFUNCTION("""COMPUTED_VALUE"""),"")</f>
        <v/>
      </c>
      <c r="N1945" s="6" t="str">
        <f>IFERROR(__xludf.DUMMYFUNCTION("""COMPUTED_VALUE"""),"")</f>
        <v/>
      </c>
      <c r="O1945" s="87" t="str">
        <f>IFERROR(__xludf.DUMMYFUNCTION("""COMPUTED_VALUE"""),"https://drive.google.com/drive/folders/10T2cTQHqEJZqE-st6uFKPoI?usp=share_link")</f>
        <v>https://drive.google.com/drive/folders/10T2cTQHqEJZqE-st6uFKPoI?usp=share_link</v>
      </c>
      <c r="P1945" s="6" t="str">
        <f>IFERROR(__xludf.DUMMYFUNCTION("""COMPUTED_VALUE"""),"Otto Schneider")</f>
        <v>Otto Schneider</v>
      </c>
      <c r="Q1945" s="6" t="str">
        <f>IFERROR(__xludf.DUMMYFUNCTION("""COMPUTED_VALUE"""),"HS")</f>
        <v>HS</v>
      </c>
      <c r="R1945" s="6">
        <f>IFERROR(__xludf.DUMMYFUNCTION("""COMPUTED_VALUE"""),0.0)</f>
        <v>0</v>
      </c>
      <c r="S1945" s="6" t="str">
        <f>IFERROR(__xludf.DUMMYFUNCTION("""COMPUTED_VALUE""")," ")</f>
        <v> </v>
      </c>
      <c r="T1945" s="6" t="str">
        <f>IFERROR(__xludf.DUMMYFUNCTION("""COMPUTED_VALUE"""),"")</f>
        <v/>
      </c>
      <c r="U1945" s="6" t="str">
        <f>IFERROR(__xludf.DUMMYFUNCTION("""COMPUTED_VALUE"""),"10")</f>
        <v>10</v>
      </c>
      <c r="V1945" s="6" t="str">
        <f>IFERROR(__xludf.DUMMYFUNCTION("""COMPUTED_VALUE"""),"")</f>
        <v/>
      </c>
      <c r="W1945" s="6" t="str">
        <f>IFERROR(__xludf.DUMMYFUNCTION("""COMPUTED_VALUE"""),"[]")</f>
        <v>[]</v>
      </c>
      <c r="X1945" s="6" t="str">
        <f>IFERROR(__xludf.DUMMYFUNCTION("""COMPUTED_VALUE"""),"Enrolled")</f>
        <v>Enrolled</v>
      </c>
    </row>
    <row r="1946">
      <c r="A1946" s="6" t="str">
        <f>IFERROR(__xludf.DUMMYFUNCTION("""COMPUTED_VALUE"""),"019-7554")</f>
        <v>019-7554</v>
      </c>
      <c r="B1946" s="6" t="str">
        <f>IFERROR(__xludf.DUMMYFUNCTION("""COMPUTED_VALUE"""),"19")</f>
        <v>19</v>
      </c>
      <c r="C1946" s="6" t="str">
        <f>IFERROR(__xludf.DUMMYFUNCTION("""COMPUTED_VALUE"""),"7554")</f>
        <v>7554</v>
      </c>
      <c r="D1946" s="6" t="str">
        <f>IFERROR(__xludf.DUMMYFUNCTION("""COMPUTED_VALUE"""),"Aksel")</f>
        <v>Aksel</v>
      </c>
      <c r="E1946" s="6" t="str">
        <f>IFERROR(__xludf.DUMMYFUNCTION("""COMPUTED_VALUE"""),"")</f>
        <v/>
      </c>
      <c r="F1946" s="6" t="str">
        <f>IFERROR(__xludf.DUMMYFUNCTION("""COMPUTED_VALUE"""),"Schneider")</f>
        <v>Schneider</v>
      </c>
      <c r="G1946" s="6" t="str">
        <f>IFERROR(__xludf.DUMMYFUNCTION("""COMPUTED_VALUE"""),"01/01/2013")</f>
        <v>01/01/2013</v>
      </c>
      <c r="H1946" s="6" t="str">
        <f>IFERROR(__xludf.DUMMYFUNCTION("""COMPUTED_VALUE"""),"Self Identify")</f>
        <v>Self Identify</v>
      </c>
      <c r="I1946" s="6" t="str">
        <f>IFERROR(__xludf.DUMMYFUNCTION("""COMPUTED_VALUE"""),"High School")</f>
        <v>High School</v>
      </c>
      <c r="J1946" s="6" t="str">
        <f>IFERROR(__xludf.DUMMYFUNCTION("""COMPUTED_VALUE"""),"7")</f>
        <v>7</v>
      </c>
      <c r="K1946" s="6" t="str">
        <f>IFERROR(__xludf.DUMMYFUNCTION("""COMPUTED_VALUE"""),"aksel.schneider@2hourlearning.com")</f>
        <v>aksel.schneider@2hourlearning.com</v>
      </c>
      <c r="L1946" s="6" t="str">
        <f>IFERROR(__xludf.DUMMYFUNCTION("""COMPUTED_VALUE"""),"High School SAT Prep")</f>
        <v>High School SAT Prep</v>
      </c>
      <c r="M1946" s="6" t="str">
        <f>IFERROR(__xludf.DUMMYFUNCTION("""COMPUTED_VALUE"""),"")</f>
        <v/>
      </c>
      <c r="N1946" s="6" t="str">
        <f>IFERROR(__xludf.DUMMYFUNCTION("""COMPUTED_VALUE"""),"")</f>
        <v/>
      </c>
      <c r="O1946" s="87" t="str">
        <f>IFERROR(__xludf.DUMMYFUNCTION("""COMPUTED_VALUE"""),"https://drive.google.com/drive/folders/10T2cTQHqEJZqE-st6uFKPoI?usp=share_link")</f>
        <v>https://drive.google.com/drive/folders/10T2cTQHqEJZqE-st6uFKPoI?usp=share_link</v>
      </c>
      <c r="P1946" s="6" t="str">
        <f>IFERROR(__xludf.DUMMYFUNCTION("""COMPUTED_VALUE"""),"Aksel Schneider")</f>
        <v>Aksel Schneider</v>
      </c>
      <c r="Q1946" s="6" t="str">
        <f>IFERROR(__xludf.DUMMYFUNCTION("""COMPUTED_VALUE"""),"HS")</f>
        <v>HS</v>
      </c>
      <c r="R1946" s="6">
        <f>IFERROR(__xludf.DUMMYFUNCTION("""COMPUTED_VALUE"""),0.0)</f>
        <v>0</v>
      </c>
      <c r="S1946" s="6" t="str">
        <f>IFERROR(__xludf.DUMMYFUNCTION("""COMPUTED_VALUE""")," ")</f>
        <v> </v>
      </c>
      <c r="T1946" s="6" t="str">
        <f>IFERROR(__xludf.DUMMYFUNCTION("""COMPUTED_VALUE"""),"")</f>
        <v/>
      </c>
      <c r="U1946" s="6" t="str">
        <f>IFERROR(__xludf.DUMMYFUNCTION("""COMPUTED_VALUE"""),"7")</f>
        <v>7</v>
      </c>
      <c r="V1946" s="6" t="str">
        <f>IFERROR(__xludf.DUMMYFUNCTION("""COMPUTED_VALUE"""),"")</f>
        <v/>
      </c>
      <c r="W1946" s="6" t="str">
        <f>IFERROR(__xludf.DUMMYFUNCTION("""COMPUTED_VALUE"""),"[]")</f>
        <v>[]</v>
      </c>
      <c r="X1946" s="6" t="str">
        <f>IFERROR(__xludf.DUMMYFUNCTION("""COMPUTED_VALUE"""),"Enrolled")</f>
        <v>Enrolled</v>
      </c>
    </row>
    <row r="1947">
      <c r="A1947" s="6" t="str">
        <f>IFERROR(__xludf.DUMMYFUNCTION("""COMPUTED_VALUE"""),"019-7556")</f>
        <v>019-7556</v>
      </c>
      <c r="B1947" s="6" t="str">
        <f>IFERROR(__xludf.DUMMYFUNCTION("""COMPUTED_VALUE"""),"19")</f>
        <v>19</v>
      </c>
      <c r="C1947" s="6" t="str">
        <f>IFERROR(__xludf.DUMMYFUNCTION("""COMPUTED_VALUE"""),"7556")</f>
        <v>7556</v>
      </c>
      <c r="D1947" s="6" t="str">
        <f>IFERROR(__xludf.DUMMYFUNCTION("""COMPUTED_VALUE"""),"Preston")</f>
        <v>Preston</v>
      </c>
      <c r="E1947" s="6" t="str">
        <f>IFERROR(__xludf.DUMMYFUNCTION("""COMPUTED_VALUE"""),"")</f>
        <v/>
      </c>
      <c r="F1947" s="6" t="str">
        <f>IFERROR(__xludf.DUMMYFUNCTION("""COMPUTED_VALUE"""),"Ramirez")</f>
        <v>Ramirez</v>
      </c>
      <c r="G1947" s="6" t="str">
        <f>IFERROR(__xludf.DUMMYFUNCTION("""COMPUTED_VALUE"""),"01/01/2010")</f>
        <v>01/01/2010</v>
      </c>
      <c r="H1947" s="6" t="str">
        <f>IFERROR(__xludf.DUMMYFUNCTION("""COMPUTED_VALUE"""),"Self Identify")</f>
        <v>Self Identify</v>
      </c>
      <c r="I1947" s="6" t="str">
        <f>IFERROR(__xludf.DUMMYFUNCTION("""COMPUTED_VALUE"""),"High School")</f>
        <v>High School</v>
      </c>
      <c r="J1947" s="6" t="str">
        <f>IFERROR(__xludf.DUMMYFUNCTION("""COMPUTED_VALUE"""),"10")</f>
        <v>10</v>
      </c>
      <c r="K1947" s="6" t="str">
        <f>IFERROR(__xludf.DUMMYFUNCTION("""COMPUTED_VALUE"""),"preston.ramirez@2hourlearning.com")</f>
        <v>preston.ramirez@2hourlearning.com</v>
      </c>
      <c r="L1947" s="6" t="str">
        <f>IFERROR(__xludf.DUMMYFUNCTION("""COMPUTED_VALUE"""),"High School SAT Prep")</f>
        <v>High School SAT Prep</v>
      </c>
      <c r="M1947" s="6" t="str">
        <f>IFERROR(__xludf.DUMMYFUNCTION("""COMPUTED_VALUE"""),"")</f>
        <v/>
      </c>
      <c r="N1947" s="6" t="str">
        <f>IFERROR(__xludf.DUMMYFUNCTION("""COMPUTED_VALUE"""),"")</f>
        <v/>
      </c>
      <c r="O1947" s="87" t="str">
        <f>IFERROR(__xludf.DUMMYFUNCTION("""COMPUTED_VALUE"""),"https://drive.google.com/drive/folders/10T2cTQHqEJZqE-st6uFKPoI?usp=share_link")</f>
        <v>https://drive.google.com/drive/folders/10T2cTQHqEJZqE-st6uFKPoI?usp=share_link</v>
      </c>
      <c r="P1947" s="6" t="str">
        <f>IFERROR(__xludf.DUMMYFUNCTION("""COMPUTED_VALUE"""),"Preston Ramirez")</f>
        <v>Preston Ramirez</v>
      </c>
      <c r="Q1947" s="6" t="str">
        <f>IFERROR(__xludf.DUMMYFUNCTION("""COMPUTED_VALUE"""),"HS")</f>
        <v>HS</v>
      </c>
      <c r="R1947" s="6">
        <f>IFERROR(__xludf.DUMMYFUNCTION("""COMPUTED_VALUE"""),0.0)</f>
        <v>0</v>
      </c>
      <c r="S1947" s="6" t="str">
        <f>IFERROR(__xludf.DUMMYFUNCTION("""COMPUTED_VALUE""")," ")</f>
        <v> </v>
      </c>
      <c r="T1947" s="6" t="str">
        <f>IFERROR(__xludf.DUMMYFUNCTION("""COMPUTED_VALUE"""),"")</f>
        <v/>
      </c>
      <c r="U1947" s="6" t="str">
        <f>IFERROR(__xludf.DUMMYFUNCTION("""COMPUTED_VALUE"""),"10")</f>
        <v>10</v>
      </c>
      <c r="V1947" s="6" t="str">
        <f>IFERROR(__xludf.DUMMYFUNCTION("""COMPUTED_VALUE"""),"")</f>
        <v/>
      </c>
      <c r="W1947" s="6" t="str">
        <f>IFERROR(__xludf.DUMMYFUNCTION("""COMPUTED_VALUE"""),"[]")</f>
        <v>[]</v>
      </c>
      <c r="X1947" s="6" t="str">
        <f>IFERROR(__xludf.DUMMYFUNCTION("""COMPUTED_VALUE"""),"Enrolled")</f>
        <v>Enrolled</v>
      </c>
    </row>
    <row r="1948">
      <c r="A1948" s="6" t="str">
        <f>IFERROR(__xludf.DUMMYFUNCTION("""COMPUTED_VALUE"""),"019-8038")</f>
        <v>019-8038</v>
      </c>
      <c r="B1948" s="6" t="str">
        <f>IFERROR(__xludf.DUMMYFUNCTION("""COMPUTED_VALUE"""),"19")</f>
        <v>19</v>
      </c>
      <c r="C1948" s="6" t="str">
        <f>IFERROR(__xludf.DUMMYFUNCTION("""COMPUTED_VALUE"""),"8038")</f>
        <v>8038</v>
      </c>
      <c r="D1948" s="6" t="str">
        <f>IFERROR(__xludf.DUMMYFUNCTION("""COMPUTED_VALUE"""),"Deshna")</f>
        <v>Deshna</v>
      </c>
      <c r="E1948" s="6" t="str">
        <f>IFERROR(__xludf.DUMMYFUNCTION("""COMPUTED_VALUE"""),"")</f>
        <v/>
      </c>
      <c r="F1948" s="6" t="str">
        <f>IFERROR(__xludf.DUMMYFUNCTION("""COMPUTED_VALUE"""),"Porwar")</f>
        <v>Porwar</v>
      </c>
      <c r="G1948" s="6" t="str">
        <f>IFERROR(__xludf.DUMMYFUNCTION("""COMPUTED_VALUE"""),"01/01/2007")</f>
        <v>01/01/2007</v>
      </c>
      <c r="H1948" s="6" t="str">
        <f>IFERROR(__xludf.DUMMYFUNCTION("""COMPUTED_VALUE"""),"Self Identify")</f>
        <v>Self Identify</v>
      </c>
      <c r="I1948" s="6" t="str">
        <f>IFERROR(__xludf.DUMMYFUNCTION("""COMPUTED_VALUE"""),"High School")</f>
        <v>High School</v>
      </c>
      <c r="J1948" s="6" t="str">
        <f>IFERROR(__xludf.DUMMYFUNCTION("""COMPUTED_VALUE"""),"11")</f>
        <v>11</v>
      </c>
      <c r="K1948" s="6" t="str">
        <f>IFERROR(__xludf.DUMMYFUNCTION("""COMPUTED_VALUE"""),"deshna.porwar@2hourlearning.com")</f>
        <v>deshna.porwar@2hourlearning.com</v>
      </c>
      <c r="L1948" s="6" t="str">
        <f>IFERROR(__xludf.DUMMYFUNCTION("""COMPUTED_VALUE"""),"High School SAT Prep")</f>
        <v>High School SAT Prep</v>
      </c>
      <c r="M1948" s="6" t="str">
        <f>IFERROR(__xludf.DUMMYFUNCTION("""COMPUTED_VALUE"""),"")</f>
        <v/>
      </c>
      <c r="N1948" s="6" t="str">
        <f>IFERROR(__xludf.DUMMYFUNCTION("""COMPUTED_VALUE"""),"")</f>
        <v/>
      </c>
      <c r="O1948" s="87" t="str">
        <f>IFERROR(__xludf.DUMMYFUNCTION("""COMPUTED_VALUE"""),"https://drive.google.com/drive/folders/10T2cTQHqEJZqE-st6uFKPoI?usp=share_link")</f>
        <v>https://drive.google.com/drive/folders/10T2cTQHqEJZqE-st6uFKPoI?usp=share_link</v>
      </c>
      <c r="P1948" s="6" t="str">
        <f>IFERROR(__xludf.DUMMYFUNCTION("""COMPUTED_VALUE"""),"Deshna Porwar")</f>
        <v>Deshna Porwar</v>
      </c>
      <c r="Q1948" s="6" t="str">
        <f>IFERROR(__xludf.DUMMYFUNCTION("""COMPUTED_VALUE"""),"HS")</f>
        <v>HS</v>
      </c>
      <c r="R1948" s="6">
        <f>IFERROR(__xludf.DUMMYFUNCTION("""COMPUTED_VALUE"""),0.0)</f>
        <v>0</v>
      </c>
      <c r="S1948" s="6" t="str">
        <f>IFERROR(__xludf.DUMMYFUNCTION("""COMPUTED_VALUE""")," ")</f>
        <v> </v>
      </c>
      <c r="T1948" s="6" t="str">
        <f>IFERROR(__xludf.DUMMYFUNCTION("""COMPUTED_VALUE"""),"")</f>
        <v/>
      </c>
      <c r="U1948" s="6" t="str">
        <f>IFERROR(__xludf.DUMMYFUNCTION("""COMPUTED_VALUE"""),"11")</f>
        <v>11</v>
      </c>
      <c r="V1948" s="6" t="str">
        <f>IFERROR(__xludf.DUMMYFUNCTION("""COMPUTED_VALUE"""),"")</f>
        <v/>
      </c>
      <c r="W1948" s="6" t="str">
        <f>IFERROR(__xludf.DUMMYFUNCTION("""COMPUTED_VALUE"""),"[]")</f>
        <v>[]</v>
      </c>
      <c r="X1948" s="6" t="str">
        <f>IFERROR(__xludf.DUMMYFUNCTION("""COMPUTED_VALUE"""),"Enrolled")</f>
        <v>Enrolled</v>
      </c>
    </row>
    <row r="1949">
      <c r="A1949" s="6" t="str">
        <f>IFERROR(__xludf.DUMMYFUNCTION("""COMPUTED_VALUE"""),"019-8039")</f>
        <v>019-8039</v>
      </c>
      <c r="B1949" s="6" t="str">
        <f>IFERROR(__xludf.DUMMYFUNCTION("""COMPUTED_VALUE"""),"19")</f>
        <v>19</v>
      </c>
      <c r="C1949" s="6" t="str">
        <f>IFERROR(__xludf.DUMMYFUNCTION("""COMPUTED_VALUE"""),"8039")</f>
        <v>8039</v>
      </c>
      <c r="D1949" s="6" t="str">
        <f>IFERROR(__xludf.DUMMYFUNCTION("""COMPUTED_VALUE"""),"Sai Deepthi")</f>
        <v>Sai Deepthi</v>
      </c>
      <c r="E1949" s="6" t="str">
        <f>IFERROR(__xludf.DUMMYFUNCTION("""COMPUTED_VALUE"""),"")</f>
        <v/>
      </c>
      <c r="F1949" s="6" t="str">
        <f>IFERROR(__xludf.DUMMYFUNCTION("""COMPUTED_VALUE"""),"Puligadda")</f>
        <v>Puligadda</v>
      </c>
      <c r="G1949" s="6" t="str">
        <f>IFERROR(__xludf.DUMMYFUNCTION("""COMPUTED_VALUE"""),"01/01/2008")</f>
        <v>01/01/2008</v>
      </c>
      <c r="H1949" s="6" t="str">
        <f>IFERROR(__xludf.DUMMYFUNCTION("""COMPUTED_VALUE"""),"Self Identify")</f>
        <v>Self Identify</v>
      </c>
      <c r="I1949" s="6" t="str">
        <f>IFERROR(__xludf.DUMMYFUNCTION("""COMPUTED_VALUE"""),"High School")</f>
        <v>High School</v>
      </c>
      <c r="J1949" s="6" t="str">
        <f>IFERROR(__xludf.DUMMYFUNCTION("""COMPUTED_VALUE"""),"11")</f>
        <v>11</v>
      </c>
      <c r="K1949" s="6" t="str">
        <f>IFERROR(__xludf.DUMMYFUNCTION("""COMPUTED_VALUE"""),"saideepthi.puligadda@2hourlearning.com")</f>
        <v>saideepthi.puligadda@2hourlearning.com</v>
      </c>
      <c r="L1949" s="6" t="str">
        <f>IFERROR(__xludf.DUMMYFUNCTION("""COMPUTED_VALUE"""),"High School SAT Prep")</f>
        <v>High School SAT Prep</v>
      </c>
      <c r="M1949" s="6" t="str">
        <f>IFERROR(__xludf.DUMMYFUNCTION("""COMPUTED_VALUE"""),"")</f>
        <v/>
      </c>
      <c r="N1949" s="6" t="str">
        <f>IFERROR(__xludf.DUMMYFUNCTION("""COMPUTED_VALUE"""),"")</f>
        <v/>
      </c>
      <c r="O1949" s="87" t="str">
        <f>IFERROR(__xludf.DUMMYFUNCTION("""COMPUTED_VALUE"""),"https://drive.google.com/drive/folders/10T2cTQHqEJZqE-st6uFKPoI?usp=share_link")</f>
        <v>https://drive.google.com/drive/folders/10T2cTQHqEJZqE-st6uFKPoI?usp=share_link</v>
      </c>
      <c r="P1949" s="6" t="str">
        <f>IFERROR(__xludf.DUMMYFUNCTION("""COMPUTED_VALUE"""),"Sai Deepthi Puligadda")</f>
        <v>Sai Deepthi Puligadda</v>
      </c>
      <c r="Q1949" s="6" t="str">
        <f>IFERROR(__xludf.DUMMYFUNCTION("""COMPUTED_VALUE"""),"HS")</f>
        <v>HS</v>
      </c>
      <c r="R1949" s="6">
        <f>IFERROR(__xludf.DUMMYFUNCTION("""COMPUTED_VALUE"""),0.0)</f>
        <v>0</v>
      </c>
      <c r="S1949" s="6" t="str">
        <f>IFERROR(__xludf.DUMMYFUNCTION("""COMPUTED_VALUE""")," ")</f>
        <v> </v>
      </c>
      <c r="T1949" s="6" t="str">
        <f>IFERROR(__xludf.DUMMYFUNCTION("""COMPUTED_VALUE"""),"")</f>
        <v/>
      </c>
      <c r="U1949" s="6" t="str">
        <f>IFERROR(__xludf.DUMMYFUNCTION("""COMPUTED_VALUE"""),"11")</f>
        <v>11</v>
      </c>
      <c r="V1949" s="6" t="str">
        <f>IFERROR(__xludf.DUMMYFUNCTION("""COMPUTED_VALUE"""),"")</f>
        <v/>
      </c>
      <c r="W1949" s="6" t="str">
        <f>IFERROR(__xludf.DUMMYFUNCTION("""COMPUTED_VALUE"""),"[]")</f>
        <v>[]</v>
      </c>
      <c r="X1949" s="6" t="str">
        <f>IFERROR(__xludf.DUMMYFUNCTION("""COMPUTED_VALUE"""),"Enrolled")</f>
        <v>Enrolled</v>
      </c>
    </row>
    <row r="1950">
      <c r="A1950" s="6" t="str">
        <f>IFERROR(__xludf.DUMMYFUNCTION("""COMPUTED_VALUE"""),"019-8999")</f>
        <v>019-8999</v>
      </c>
      <c r="B1950" s="6" t="str">
        <f>IFERROR(__xludf.DUMMYFUNCTION("""COMPUTED_VALUE"""),"19")</f>
        <v>19</v>
      </c>
      <c r="C1950" s="6" t="str">
        <f>IFERROR(__xludf.DUMMYFUNCTION("""COMPUTED_VALUE"""),"8999")</f>
        <v>8999</v>
      </c>
      <c r="D1950" s="6" t="str">
        <f>IFERROR(__xludf.DUMMYFUNCTION("""COMPUTED_VALUE"""),"Colette")</f>
        <v>Colette</v>
      </c>
      <c r="E1950" s="6" t="str">
        <f>IFERROR(__xludf.DUMMYFUNCTION("""COMPUTED_VALUE"""),"")</f>
        <v/>
      </c>
      <c r="F1950" s="6" t="str">
        <f>IFERROR(__xludf.DUMMYFUNCTION("""COMPUTED_VALUE"""),"Kim")</f>
        <v>Kim</v>
      </c>
      <c r="G1950" s="6" t="str">
        <f>IFERROR(__xludf.DUMMYFUNCTION("""COMPUTED_VALUE"""),"01/01/2010")</f>
        <v>01/01/2010</v>
      </c>
      <c r="H1950" s="6" t="str">
        <f>IFERROR(__xludf.DUMMYFUNCTION("""COMPUTED_VALUE"""),"Self Identify")</f>
        <v>Self Identify</v>
      </c>
      <c r="I1950" s="6" t="str">
        <f>IFERROR(__xludf.DUMMYFUNCTION("""COMPUTED_VALUE"""),"High School")</f>
        <v>High School</v>
      </c>
      <c r="J1950" s="6" t="str">
        <f>IFERROR(__xludf.DUMMYFUNCTION("""COMPUTED_VALUE"""),"10")</f>
        <v>10</v>
      </c>
      <c r="K1950" s="6" t="str">
        <f>IFERROR(__xludf.DUMMYFUNCTION("""COMPUTED_VALUE"""),"colette.kim@2hourlearning.com")</f>
        <v>colette.kim@2hourlearning.com</v>
      </c>
      <c r="L1950" s="6" t="str">
        <f>IFERROR(__xludf.DUMMYFUNCTION("""COMPUTED_VALUE"""),"High School SAT Prep")</f>
        <v>High School SAT Prep</v>
      </c>
      <c r="M1950" s="6" t="str">
        <f>IFERROR(__xludf.DUMMYFUNCTION("""COMPUTED_VALUE"""),"")</f>
        <v/>
      </c>
      <c r="N1950" s="6" t="str">
        <f>IFERROR(__xludf.DUMMYFUNCTION("""COMPUTED_VALUE"""),"")</f>
        <v/>
      </c>
      <c r="O1950" s="87" t="str">
        <f>IFERROR(__xludf.DUMMYFUNCTION("""COMPUTED_VALUE"""),"https://drive.google.com/drive/folders/10T2cTQHqEJZqE-st6uFKPoI?usp=share_link")</f>
        <v>https://drive.google.com/drive/folders/10T2cTQHqEJZqE-st6uFKPoI?usp=share_link</v>
      </c>
      <c r="P1950" s="6" t="str">
        <f>IFERROR(__xludf.DUMMYFUNCTION("""COMPUTED_VALUE"""),"Colette Kim")</f>
        <v>Colette Kim</v>
      </c>
      <c r="Q1950" s="6" t="str">
        <f>IFERROR(__xludf.DUMMYFUNCTION("""COMPUTED_VALUE"""),"HS")</f>
        <v>HS</v>
      </c>
      <c r="R1950" s="6">
        <f>IFERROR(__xludf.DUMMYFUNCTION("""COMPUTED_VALUE"""),0.0)</f>
        <v>0</v>
      </c>
      <c r="S1950" s="6" t="str">
        <f>IFERROR(__xludf.DUMMYFUNCTION("""COMPUTED_VALUE""")," ")</f>
        <v> </v>
      </c>
      <c r="T1950" s="6" t="str">
        <f>IFERROR(__xludf.DUMMYFUNCTION("""COMPUTED_VALUE"""),"")</f>
        <v/>
      </c>
      <c r="U1950" s="6" t="str">
        <f>IFERROR(__xludf.DUMMYFUNCTION("""COMPUTED_VALUE"""),"10")</f>
        <v>10</v>
      </c>
      <c r="V1950" s="6" t="str">
        <f>IFERROR(__xludf.DUMMYFUNCTION("""COMPUTED_VALUE"""),"")</f>
        <v/>
      </c>
      <c r="W1950" s="6" t="str">
        <f>IFERROR(__xludf.DUMMYFUNCTION("""COMPUTED_VALUE"""),"[]")</f>
        <v>[]</v>
      </c>
      <c r="X1950" s="6" t="str">
        <f>IFERROR(__xludf.DUMMYFUNCTION("""COMPUTED_VALUE"""),"Enrolled")</f>
        <v>Enrolled</v>
      </c>
    </row>
    <row r="1951">
      <c r="A1951" s="6" t="str">
        <f>IFERROR(__xludf.DUMMYFUNCTION("""COMPUTED_VALUE"""),"020-10931")</f>
        <v>020-10931</v>
      </c>
      <c r="B1951" s="6" t="str">
        <f>IFERROR(__xludf.DUMMYFUNCTION("""COMPUTED_VALUE"""),"20")</f>
        <v>20</v>
      </c>
      <c r="C1951" s="6" t="str">
        <f>IFERROR(__xludf.DUMMYFUNCTION("""COMPUTED_VALUE"""),"10931")</f>
        <v>10931</v>
      </c>
      <c r="D1951" s="6" t="str">
        <f>IFERROR(__xludf.DUMMYFUNCTION("""COMPUTED_VALUE"""),"Olivia")</f>
        <v>Olivia</v>
      </c>
      <c r="E1951" s="6" t="str">
        <f>IFERROR(__xludf.DUMMYFUNCTION("""COMPUTED_VALUE"""),"Livy")</f>
        <v>Livy</v>
      </c>
      <c r="F1951" s="6" t="str">
        <f>IFERROR(__xludf.DUMMYFUNCTION("""COMPUTED_VALUE"""),"Fay")</f>
        <v>Fay</v>
      </c>
      <c r="G1951" s="6" t="str">
        <f>IFERROR(__xludf.DUMMYFUNCTION("""COMPUTED_VALUE"""),"05/29/2019")</f>
        <v>05/29/2019</v>
      </c>
      <c r="H1951" s="6" t="str">
        <f>IFERROR(__xludf.DUMMYFUNCTION("""COMPUTED_VALUE"""),"female")</f>
        <v>female</v>
      </c>
      <c r="I1951" s="6" t="str">
        <f>IFERROR(__xludf.DUMMYFUNCTION("""COMPUTED_VALUE"""),"Learning Lab")</f>
        <v>Learning Lab</v>
      </c>
      <c r="J1951" s="6" t="str">
        <f>IFERROR(__xludf.DUMMYFUNCTION("""COMPUTED_VALUE"""),"1")</f>
        <v>1</v>
      </c>
      <c r="K1951" s="6" t="str">
        <f>IFERROR(__xludf.DUMMYFUNCTION("""COMPUTED_VALUE"""),"olivia.fay@alpha.school")</f>
        <v>olivia.fay@alpha.school</v>
      </c>
      <c r="L1951" s="6" t="str">
        <f>IFERROR(__xludf.DUMMYFUNCTION("""COMPUTED_VALUE"""),"Alpha School Scottsdale")</f>
        <v>Alpha School Scottsdale</v>
      </c>
      <c r="M1951" s="6" t="str">
        <f>IFERROR(__xludf.DUMMYFUNCTION("""COMPUTED_VALUE"""),"")</f>
        <v/>
      </c>
      <c r="N1951" s="6" t="str">
        <f>IFERROR(__xludf.DUMMYFUNCTION("""COMPUTED_VALUE"""),"")</f>
        <v/>
      </c>
      <c r="O1951" s="87" t="str">
        <f>IFERROR(__xludf.DUMMYFUNCTION("""COMPUTED_VALUE"""),"https://drive.google.com/drive/folders/10T2cTQHqEJZqE-st6uFKPoI?usp=share_link")</f>
        <v>https://drive.google.com/drive/folders/10T2cTQHqEJZqE-st6uFKPoI?usp=share_link</v>
      </c>
      <c r="P1951" s="6" t="str">
        <f>IFERROR(__xludf.DUMMYFUNCTION("""COMPUTED_VALUE"""),"Livy Fay")</f>
        <v>Livy Fay</v>
      </c>
      <c r="Q1951" s="6" t="str">
        <f>IFERROR(__xludf.DUMMYFUNCTION("""COMPUTED_VALUE"""),"LL")</f>
        <v>LL</v>
      </c>
      <c r="R1951" s="6">
        <f>IFERROR(__xludf.DUMMYFUNCTION("""COMPUTED_VALUE"""),0.0)</f>
        <v>0</v>
      </c>
      <c r="S1951" s="6" t="str">
        <f>IFERROR(__xludf.DUMMYFUNCTION("""COMPUTED_VALUE"""),"Holly Haygood")</f>
        <v>Holly Haygood</v>
      </c>
      <c r="T1951" s="6" t="str">
        <f>IFERROR(__xludf.DUMMYFUNCTION("""COMPUTED_VALUE"""),"holly.haygood@alpha.school")</f>
        <v>holly.haygood@alpha.school</v>
      </c>
      <c r="U1951" s="6" t="str">
        <f>IFERROR(__xludf.DUMMYFUNCTION("""COMPUTED_VALUE"""),"1")</f>
        <v>1</v>
      </c>
      <c r="V1951" s="6" t="str">
        <f>IFERROR(__xludf.DUMMYFUNCTION("""COMPUTED_VALUE"""),"")</f>
        <v/>
      </c>
      <c r="W1951" s="6" t="str">
        <f>IFERROR(__xludf.DUMMYFUNCTION("""COMPUTED_VALUE"""),"[]")</f>
        <v>[]</v>
      </c>
      <c r="X1951" s="6" t="str">
        <f>IFERROR(__xludf.DUMMYFUNCTION("""COMPUTED_VALUE"""),"Enrolled")</f>
        <v>Enrolled</v>
      </c>
    </row>
    <row r="1952">
      <c r="A1952" s="6" t="str">
        <f>IFERROR(__xludf.DUMMYFUNCTION("""COMPUTED_VALUE"""),"020-10960")</f>
        <v>020-10960</v>
      </c>
      <c r="B1952" s="6" t="str">
        <f>IFERROR(__xludf.DUMMYFUNCTION("""COMPUTED_VALUE"""),"20")</f>
        <v>20</v>
      </c>
      <c r="C1952" s="6" t="str">
        <f>IFERROR(__xludf.DUMMYFUNCTION("""COMPUTED_VALUE"""),"10960")</f>
        <v>10960</v>
      </c>
      <c r="D1952" s="6" t="str">
        <f>IFERROR(__xludf.DUMMYFUNCTION("""COMPUTED_VALUE"""),"Jensen")</f>
        <v>Jensen</v>
      </c>
      <c r="E1952" s="6" t="str">
        <f>IFERROR(__xludf.DUMMYFUNCTION("""COMPUTED_VALUE"""),"Jensen")</f>
        <v>Jensen</v>
      </c>
      <c r="F1952" s="6" t="str">
        <f>IFERROR(__xludf.DUMMYFUNCTION("""COMPUTED_VALUE"""),"Langston")</f>
        <v>Langston</v>
      </c>
      <c r="G1952" s="6" t="str">
        <f>IFERROR(__xludf.DUMMYFUNCTION("""COMPUTED_VALUE"""),"04/23/2014")</f>
        <v>04/23/2014</v>
      </c>
      <c r="H1952" s="6" t="str">
        <f>IFERROR(__xludf.DUMMYFUNCTION("""COMPUTED_VALUE"""),"male")</f>
        <v>male</v>
      </c>
      <c r="I1952" s="6" t="str">
        <f>IFERROR(__xludf.DUMMYFUNCTION("""COMPUTED_VALUE"""),"Middle School")</f>
        <v>Middle School</v>
      </c>
      <c r="J1952" s="6" t="str">
        <f>IFERROR(__xludf.DUMMYFUNCTION("""COMPUTED_VALUE"""),"6")</f>
        <v>6</v>
      </c>
      <c r="K1952" s="6" t="str">
        <f>IFERROR(__xludf.DUMMYFUNCTION("""COMPUTED_VALUE"""),"jensen.langston@alpha.school")</f>
        <v>jensen.langston@alpha.school</v>
      </c>
      <c r="L1952" s="6" t="str">
        <f>IFERROR(__xludf.DUMMYFUNCTION("""COMPUTED_VALUE"""),"Alpha School Scottsdale")</f>
        <v>Alpha School Scottsdale</v>
      </c>
      <c r="M1952" s="6" t="str">
        <f>IFERROR(__xludf.DUMMYFUNCTION("""COMPUTED_VALUE"""),"")</f>
        <v/>
      </c>
      <c r="N1952" s="6" t="str">
        <f>IFERROR(__xludf.DUMMYFUNCTION("""COMPUTED_VALUE"""),"")</f>
        <v/>
      </c>
      <c r="O1952" s="87" t="str">
        <f>IFERROR(__xludf.DUMMYFUNCTION("""COMPUTED_VALUE"""),"https://drive.google.com/drive/folders/10T2cTQHqEJZqE-st6uFKPoI?usp=share_link")</f>
        <v>https://drive.google.com/drive/folders/10T2cTQHqEJZqE-st6uFKPoI?usp=share_link</v>
      </c>
      <c r="P1952" s="6" t="str">
        <f>IFERROR(__xludf.DUMMYFUNCTION("""COMPUTED_VALUE"""),"Jensen Langston")</f>
        <v>Jensen Langston</v>
      </c>
      <c r="Q1952" s="6" t="str">
        <f>IFERROR(__xludf.DUMMYFUNCTION("""COMPUTED_VALUE"""),"MS")</f>
        <v>MS</v>
      </c>
      <c r="R1952" s="6">
        <f>IFERROR(__xludf.DUMMYFUNCTION("""COMPUTED_VALUE"""),0.0)</f>
        <v>0</v>
      </c>
      <c r="S1952" s="6" t="str">
        <f>IFERROR(__xludf.DUMMYFUNCTION("""COMPUTED_VALUE"""),"Zac DeJovine")</f>
        <v>Zac DeJovine</v>
      </c>
      <c r="T1952" s="6" t="str">
        <f>IFERROR(__xludf.DUMMYFUNCTION("""COMPUTED_VALUE"""),"zac.dejovine@alpha.school")</f>
        <v>zac.dejovine@alpha.school</v>
      </c>
      <c r="U1952" s="6" t="str">
        <f>IFERROR(__xludf.DUMMYFUNCTION("""COMPUTED_VALUE"""),"6")</f>
        <v>6</v>
      </c>
      <c r="V1952" s="6" t="str">
        <f>IFERROR(__xludf.DUMMYFUNCTION("""COMPUTED_VALUE"""),"")</f>
        <v/>
      </c>
      <c r="W1952" s="6" t="str">
        <f>IFERROR(__xludf.DUMMYFUNCTION("""COMPUTED_VALUE"""),"[]")</f>
        <v>[]</v>
      </c>
      <c r="X1952" s="6" t="str">
        <f>IFERROR(__xludf.DUMMYFUNCTION("""COMPUTED_VALUE"""),"Enrolled")</f>
        <v>Enrolled</v>
      </c>
    </row>
    <row r="1953">
      <c r="A1953" s="6" t="str">
        <f>IFERROR(__xludf.DUMMYFUNCTION("""COMPUTED_VALUE"""),"020-1222")</f>
        <v>020-1222</v>
      </c>
      <c r="B1953" s="6" t="str">
        <f>IFERROR(__xludf.DUMMYFUNCTION("""COMPUTED_VALUE"""),"20")</f>
        <v>20</v>
      </c>
      <c r="C1953" s="6" t="str">
        <f>IFERROR(__xludf.DUMMYFUNCTION("""COMPUTED_VALUE"""),"1222")</f>
        <v>1222</v>
      </c>
      <c r="D1953" s="6" t="str">
        <f>IFERROR(__xludf.DUMMYFUNCTION("""COMPUTED_VALUE"""),"Connor")</f>
        <v>Connor</v>
      </c>
      <c r="E1953" s="6" t="str">
        <f>IFERROR(__xludf.DUMMYFUNCTION("""COMPUTED_VALUE"""),"")</f>
        <v/>
      </c>
      <c r="F1953" s="6" t="str">
        <f>IFERROR(__xludf.DUMMYFUNCTION("""COMPUTED_VALUE"""),"Baker-Hassell")</f>
        <v>Baker-Hassell</v>
      </c>
      <c r="G1953" s="6" t="str">
        <f>IFERROR(__xludf.DUMMYFUNCTION("""COMPUTED_VALUE"""),"11/01/2013")</f>
        <v>11/01/2013</v>
      </c>
      <c r="H1953" s="6" t="str">
        <f>IFERROR(__xludf.DUMMYFUNCTION("""COMPUTED_VALUE"""),"male")</f>
        <v>male</v>
      </c>
      <c r="I1953" s="6" t="str">
        <f>IFERROR(__xludf.DUMMYFUNCTION("""COMPUTED_VALUE"""),"Level 2")</f>
        <v>Level 2</v>
      </c>
      <c r="J1953" s="6" t="str">
        <f>IFERROR(__xludf.DUMMYFUNCTION("""COMPUTED_VALUE"""),"5")</f>
        <v>5</v>
      </c>
      <c r="K1953" s="6" t="str">
        <f>IFERROR(__xludf.DUMMYFUNCTION("""COMPUTED_VALUE"""),"connor.bakerhassell@alpha.school")</f>
        <v>connor.bakerhassell@alpha.school</v>
      </c>
      <c r="L1953" s="6" t="str">
        <f>IFERROR(__xludf.DUMMYFUNCTION("""COMPUTED_VALUE"""),"Alpha School Scottsdale")</f>
        <v>Alpha School Scottsdale</v>
      </c>
      <c r="M1953" s="6" t="str">
        <f>IFERROR(__xludf.DUMMYFUNCTION("""COMPUTED_VALUE"""),"")</f>
        <v/>
      </c>
      <c r="N1953" s="6" t="str">
        <f>IFERROR(__xludf.DUMMYFUNCTION("""COMPUTED_VALUE"""),"")</f>
        <v/>
      </c>
      <c r="O1953" s="87" t="str">
        <f>IFERROR(__xludf.DUMMYFUNCTION("""COMPUTED_VALUE"""),"https://drive.google.com/drive/folders/10T2cTQHqEJZqE-st6uFKPoI?usp=share_link")</f>
        <v>https://drive.google.com/drive/folders/10T2cTQHqEJZqE-st6uFKPoI?usp=share_link</v>
      </c>
      <c r="P1953" s="6" t="str">
        <f>IFERROR(__xludf.DUMMYFUNCTION("""COMPUTED_VALUE"""),"Connor Baker-Hassell")</f>
        <v>Connor Baker-Hassell</v>
      </c>
      <c r="Q1953" s="6" t="str">
        <f>IFERROR(__xludf.DUMMYFUNCTION("""COMPUTED_VALUE"""),"L2")</f>
        <v>L2</v>
      </c>
      <c r="R1953" s="6">
        <f>IFERROR(__xludf.DUMMYFUNCTION("""COMPUTED_VALUE"""),2.0)</f>
        <v>2</v>
      </c>
      <c r="S1953" s="6" t="str">
        <f>IFERROR(__xludf.DUMMYFUNCTION("""COMPUTED_VALUE"""),"Zac DeJovine")</f>
        <v>Zac DeJovine</v>
      </c>
      <c r="T1953" s="6" t="str">
        <f>IFERROR(__xludf.DUMMYFUNCTION("""COMPUTED_VALUE"""),"zac.dejovine@alpha.school")</f>
        <v>zac.dejovine@alpha.school</v>
      </c>
      <c r="U1953" s="6" t="str">
        <f>IFERROR(__xludf.DUMMYFUNCTION("""COMPUTED_VALUE"""),"5")</f>
        <v>5</v>
      </c>
      <c r="V1953" s="6" t="str">
        <f>IFERROR(__xludf.DUMMYFUNCTION("""COMPUTED_VALUE"""),"")</f>
        <v/>
      </c>
      <c r="W1953" s="6" t="str">
        <f>IFERROR(__xludf.DUMMYFUNCTION("""COMPUTED_VALUE"""),"[]")</f>
        <v>[]</v>
      </c>
      <c r="X1953" s="6" t="str">
        <f>IFERROR(__xludf.DUMMYFUNCTION("""COMPUTED_VALUE"""),"Enrolled")</f>
        <v>Enrolled</v>
      </c>
    </row>
    <row r="1954">
      <c r="A1954" s="6" t="str">
        <f>IFERROR(__xludf.DUMMYFUNCTION("""COMPUTED_VALUE"""),"020-1246")</f>
        <v>020-1246</v>
      </c>
      <c r="B1954" s="6" t="str">
        <f>IFERROR(__xludf.DUMMYFUNCTION("""COMPUTED_VALUE"""),"20")</f>
        <v>20</v>
      </c>
      <c r="C1954" s="6" t="str">
        <f>IFERROR(__xludf.DUMMYFUNCTION("""COMPUTED_VALUE"""),"1246")</f>
        <v>1246</v>
      </c>
      <c r="D1954" s="6" t="str">
        <f>IFERROR(__xludf.DUMMYFUNCTION("""COMPUTED_VALUE"""),"Axl")</f>
        <v>Axl</v>
      </c>
      <c r="E1954" s="6" t="str">
        <f>IFERROR(__xludf.DUMMYFUNCTION("""COMPUTED_VALUE"""),"Axl")</f>
        <v>Axl</v>
      </c>
      <c r="F1954" s="6" t="str">
        <f>IFERROR(__xludf.DUMMYFUNCTION("""COMPUTED_VALUE"""),"Meyer")</f>
        <v>Meyer</v>
      </c>
      <c r="G1954" s="6" t="str">
        <f>IFERROR(__xludf.DUMMYFUNCTION("""COMPUTED_VALUE"""),"03/16/2015")</f>
        <v>03/16/2015</v>
      </c>
      <c r="H1954" s="6" t="str">
        <f>IFERROR(__xludf.DUMMYFUNCTION("""COMPUTED_VALUE"""),"male")</f>
        <v>male</v>
      </c>
      <c r="I1954" s="6" t="str">
        <f>IFERROR(__xludf.DUMMYFUNCTION("""COMPUTED_VALUE"""),"Level 2")</f>
        <v>Level 2</v>
      </c>
      <c r="J1954" s="6" t="str">
        <f>IFERROR(__xludf.DUMMYFUNCTION("""COMPUTED_VALUE"""),"5")</f>
        <v>5</v>
      </c>
      <c r="K1954" s="6" t="str">
        <f>IFERROR(__xludf.DUMMYFUNCTION("""COMPUTED_VALUE"""),"axl.meyer@alpha.school")</f>
        <v>axl.meyer@alpha.school</v>
      </c>
      <c r="L1954" s="6" t="str">
        <f>IFERROR(__xludf.DUMMYFUNCTION("""COMPUTED_VALUE"""),"Alpha School Scottsdale")</f>
        <v>Alpha School Scottsdale</v>
      </c>
      <c r="M1954" s="6" t="str">
        <f>IFERROR(__xludf.DUMMYFUNCTION("""COMPUTED_VALUE"""),"")</f>
        <v/>
      </c>
      <c r="N1954" s="6" t="str">
        <f>IFERROR(__xludf.DUMMYFUNCTION("""COMPUTED_VALUE"""),"")</f>
        <v/>
      </c>
      <c r="O1954" s="87" t="str">
        <f>IFERROR(__xludf.DUMMYFUNCTION("""COMPUTED_VALUE"""),"https://drive.google.com/drive/folders/10T2cTQHqEJZqE-st6uFKPoI?usp=share_link")</f>
        <v>https://drive.google.com/drive/folders/10T2cTQHqEJZqE-st6uFKPoI?usp=share_link</v>
      </c>
      <c r="P1954" s="6" t="str">
        <f>IFERROR(__xludf.DUMMYFUNCTION("""COMPUTED_VALUE"""),"Axl Meyer")</f>
        <v>Axl Meyer</v>
      </c>
      <c r="Q1954" s="6" t="str">
        <f>IFERROR(__xludf.DUMMYFUNCTION("""COMPUTED_VALUE"""),"L2")</f>
        <v>L2</v>
      </c>
      <c r="R1954" s="6">
        <f>IFERROR(__xludf.DUMMYFUNCTION("""COMPUTED_VALUE"""),2.0)</f>
        <v>2</v>
      </c>
      <c r="S1954" s="6" t="str">
        <f>IFERROR(__xludf.DUMMYFUNCTION("""COMPUTED_VALUE"""),"Matt Shenker")</f>
        <v>Matt Shenker</v>
      </c>
      <c r="T1954" s="6" t="str">
        <f>IFERROR(__xludf.DUMMYFUNCTION("""COMPUTED_VALUE"""),"matt.shenker@alpha.school")</f>
        <v>matt.shenker@alpha.school</v>
      </c>
      <c r="U1954" s="6" t="str">
        <f>IFERROR(__xludf.DUMMYFUNCTION("""COMPUTED_VALUE"""),"5")</f>
        <v>5</v>
      </c>
      <c r="V1954" s="6" t="str">
        <f>IFERROR(__xludf.DUMMYFUNCTION("""COMPUTED_VALUE"""),"")</f>
        <v/>
      </c>
      <c r="W1954" s="6" t="str">
        <f>IFERROR(__xludf.DUMMYFUNCTION("""COMPUTED_VALUE"""),"[]")</f>
        <v>[]</v>
      </c>
      <c r="X1954" s="6" t="str">
        <f>IFERROR(__xludf.DUMMYFUNCTION("""COMPUTED_VALUE"""),"Enrolled")</f>
        <v>Enrolled</v>
      </c>
    </row>
    <row r="1955">
      <c r="A1955" s="6" t="str">
        <f>IFERROR(__xludf.DUMMYFUNCTION("""COMPUTED_VALUE"""),"020-1247")</f>
        <v>020-1247</v>
      </c>
      <c r="B1955" s="6" t="str">
        <f>IFERROR(__xludf.DUMMYFUNCTION("""COMPUTED_VALUE"""),"20")</f>
        <v>20</v>
      </c>
      <c r="C1955" s="6" t="str">
        <f>IFERROR(__xludf.DUMMYFUNCTION("""COMPUTED_VALUE"""),"1247")</f>
        <v>1247</v>
      </c>
      <c r="D1955" s="6" t="str">
        <f>IFERROR(__xludf.DUMMYFUNCTION("""COMPUTED_VALUE"""),"Scarlett")</f>
        <v>Scarlett</v>
      </c>
      <c r="E1955" s="6" t="str">
        <f>IFERROR(__xludf.DUMMYFUNCTION("""COMPUTED_VALUE"""),"Scarlett")</f>
        <v>Scarlett</v>
      </c>
      <c r="F1955" s="6" t="str">
        <f>IFERROR(__xludf.DUMMYFUNCTION("""COMPUTED_VALUE"""),"Meyer")</f>
        <v>Meyer</v>
      </c>
      <c r="G1955" s="6" t="str">
        <f>IFERROR(__xludf.DUMMYFUNCTION("""COMPUTED_VALUE"""),"12/01/2017")</f>
        <v>12/01/2017</v>
      </c>
      <c r="H1955" s="6" t="str">
        <f>IFERROR(__xludf.DUMMYFUNCTION("""COMPUTED_VALUE"""),"female")</f>
        <v>female</v>
      </c>
      <c r="I1955" s="6" t="str">
        <f>IFERROR(__xludf.DUMMYFUNCTION("""COMPUTED_VALUE"""),"Level 1")</f>
        <v>Level 1</v>
      </c>
      <c r="J1955" s="6" t="str">
        <f>IFERROR(__xludf.DUMMYFUNCTION("""COMPUTED_VALUE"""),"2")</f>
        <v>2</v>
      </c>
      <c r="K1955" s="6" t="str">
        <f>IFERROR(__xludf.DUMMYFUNCTION("""COMPUTED_VALUE"""),"scarlett.meyer@alpha.school")</f>
        <v>scarlett.meyer@alpha.school</v>
      </c>
      <c r="L1955" s="6" t="str">
        <f>IFERROR(__xludf.DUMMYFUNCTION("""COMPUTED_VALUE"""),"Alpha School Scottsdale")</f>
        <v>Alpha School Scottsdale</v>
      </c>
      <c r="M1955" s="6" t="str">
        <f>IFERROR(__xludf.DUMMYFUNCTION("""COMPUTED_VALUE"""),"")</f>
        <v/>
      </c>
      <c r="N1955" s="6" t="str">
        <f>IFERROR(__xludf.DUMMYFUNCTION("""COMPUTED_VALUE"""),"")</f>
        <v/>
      </c>
      <c r="O1955" s="87" t="str">
        <f>IFERROR(__xludf.DUMMYFUNCTION("""COMPUTED_VALUE"""),"https://drive.google.com/drive/folders/10T2cTQHqEJZqE-st6uFKPoI?usp=share_link")</f>
        <v>https://drive.google.com/drive/folders/10T2cTQHqEJZqE-st6uFKPoI?usp=share_link</v>
      </c>
      <c r="P1955" s="6" t="str">
        <f>IFERROR(__xludf.DUMMYFUNCTION("""COMPUTED_VALUE"""),"Scarlett Meyer")</f>
        <v>Scarlett Meyer</v>
      </c>
      <c r="Q1955" s="6" t="str">
        <f>IFERROR(__xludf.DUMMYFUNCTION("""COMPUTED_VALUE"""),"L1")</f>
        <v>L1</v>
      </c>
      <c r="R1955" s="6">
        <f>IFERROR(__xludf.DUMMYFUNCTION("""COMPUTED_VALUE"""),1.0)</f>
        <v>1</v>
      </c>
      <c r="S1955" s="6" t="str">
        <f>IFERROR(__xludf.DUMMYFUNCTION("""COMPUTED_VALUE"""),"Patricio Rosas")</f>
        <v>Patricio Rosas</v>
      </c>
      <c r="T1955" s="6" t="str">
        <f>IFERROR(__xludf.DUMMYFUNCTION("""COMPUTED_VALUE"""),"patricio.rosas@alpha.school")</f>
        <v>patricio.rosas@alpha.school</v>
      </c>
      <c r="U1955" s="6" t="str">
        <f>IFERROR(__xludf.DUMMYFUNCTION("""COMPUTED_VALUE"""),"2")</f>
        <v>2</v>
      </c>
      <c r="V1955" s="6" t="str">
        <f>IFERROR(__xludf.DUMMYFUNCTION("""COMPUTED_VALUE"""),"")</f>
        <v/>
      </c>
      <c r="W1955" s="6" t="str">
        <f>IFERROR(__xludf.DUMMYFUNCTION("""COMPUTED_VALUE"""),"[]")</f>
        <v>[]</v>
      </c>
      <c r="X1955" s="6" t="str">
        <f>IFERROR(__xludf.DUMMYFUNCTION("""COMPUTED_VALUE"""),"Enrolled")</f>
        <v>Enrolled</v>
      </c>
    </row>
    <row r="1956">
      <c r="A1956" s="6" t="str">
        <f>IFERROR(__xludf.DUMMYFUNCTION("""COMPUTED_VALUE"""),"020-1884")</f>
        <v>020-1884</v>
      </c>
      <c r="B1956" s="6" t="str">
        <f>IFERROR(__xludf.DUMMYFUNCTION("""COMPUTED_VALUE"""),"20")</f>
        <v>20</v>
      </c>
      <c r="C1956" s="6" t="str">
        <f>IFERROR(__xludf.DUMMYFUNCTION("""COMPUTED_VALUE"""),"1884")</f>
        <v>1884</v>
      </c>
      <c r="D1956" s="6" t="str">
        <f>IFERROR(__xludf.DUMMYFUNCTION("""COMPUTED_VALUE"""),"Ethan")</f>
        <v>Ethan</v>
      </c>
      <c r="E1956" s="6" t="str">
        <f>IFERROR(__xludf.DUMMYFUNCTION("""COMPUTED_VALUE"""),"")</f>
        <v/>
      </c>
      <c r="F1956" s="6" t="str">
        <f>IFERROR(__xludf.DUMMYFUNCTION("""COMPUTED_VALUE"""),"Dailey")</f>
        <v>Dailey</v>
      </c>
      <c r="G1956" s="6" t="str">
        <f>IFERROR(__xludf.DUMMYFUNCTION("""COMPUTED_VALUE"""),"11/15/2018")</f>
        <v>11/15/2018</v>
      </c>
      <c r="H1956" s="6" t="str">
        <f>IFERROR(__xludf.DUMMYFUNCTION("""COMPUTED_VALUE"""),"male")</f>
        <v>male</v>
      </c>
      <c r="I1956" s="6" t="str">
        <f>IFERROR(__xludf.DUMMYFUNCTION("""COMPUTED_VALUE"""),"Learning Lab")</f>
        <v>Learning Lab</v>
      </c>
      <c r="J1956" s="6" t="str">
        <f>IFERROR(__xludf.DUMMYFUNCTION("""COMPUTED_VALUE"""),"1")</f>
        <v>1</v>
      </c>
      <c r="K1956" s="6" t="str">
        <f>IFERROR(__xludf.DUMMYFUNCTION("""COMPUTED_VALUE"""),"ethan.dailey@alpha.school")</f>
        <v>ethan.dailey@alpha.school</v>
      </c>
      <c r="L1956" s="6" t="str">
        <f>IFERROR(__xludf.DUMMYFUNCTION("""COMPUTED_VALUE"""),"Alpha School Scottsdale")</f>
        <v>Alpha School Scottsdale</v>
      </c>
      <c r="M1956" s="6" t="str">
        <f>IFERROR(__xludf.DUMMYFUNCTION("""COMPUTED_VALUE"""),"")</f>
        <v/>
      </c>
      <c r="N1956" s="6" t="str">
        <f>IFERROR(__xludf.DUMMYFUNCTION("""COMPUTED_VALUE"""),"")</f>
        <v/>
      </c>
      <c r="O1956" s="87" t="str">
        <f>IFERROR(__xludf.DUMMYFUNCTION("""COMPUTED_VALUE"""),"https://drive.google.com/drive/folders/10T2cTQHqEJZqE-st6uFKPoI?usp=share_link")</f>
        <v>https://drive.google.com/drive/folders/10T2cTQHqEJZqE-st6uFKPoI?usp=share_link</v>
      </c>
      <c r="P1956" s="6" t="str">
        <f>IFERROR(__xludf.DUMMYFUNCTION("""COMPUTED_VALUE"""),"Ethan Dailey")</f>
        <v>Ethan Dailey</v>
      </c>
      <c r="Q1956" s="6" t="str">
        <f>IFERROR(__xludf.DUMMYFUNCTION("""COMPUTED_VALUE"""),"LL")</f>
        <v>LL</v>
      </c>
      <c r="R1956" s="6">
        <f>IFERROR(__xludf.DUMMYFUNCTION("""COMPUTED_VALUE"""),0.0)</f>
        <v>0</v>
      </c>
      <c r="S1956" s="6" t="str">
        <f>IFERROR(__xludf.DUMMYFUNCTION("""COMPUTED_VALUE"""),"Holly Haygood")</f>
        <v>Holly Haygood</v>
      </c>
      <c r="T1956" s="6" t="str">
        <f>IFERROR(__xludf.DUMMYFUNCTION("""COMPUTED_VALUE"""),"holly.haygood@alpha.school")</f>
        <v>holly.haygood@alpha.school</v>
      </c>
      <c r="U1956" s="6" t="str">
        <f>IFERROR(__xludf.DUMMYFUNCTION("""COMPUTED_VALUE"""),"1")</f>
        <v>1</v>
      </c>
      <c r="V1956" s="6" t="str">
        <f>IFERROR(__xludf.DUMMYFUNCTION("""COMPUTED_VALUE"""),"")</f>
        <v/>
      </c>
      <c r="W1956" s="6" t="str">
        <f>IFERROR(__xludf.DUMMYFUNCTION("""COMPUTED_VALUE"""),"[]")</f>
        <v>[]</v>
      </c>
      <c r="X1956" s="6" t="str">
        <f>IFERROR(__xludf.DUMMYFUNCTION("""COMPUTED_VALUE"""),"Enrolled")</f>
        <v>Enrolled</v>
      </c>
    </row>
    <row r="1957">
      <c r="A1957" s="6" t="str">
        <f>IFERROR(__xludf.DUMMYFUNCTION("""COMPUTED_VALUE"""),"020-1885")</f>
        <v>020-1885</v>
      </c>
      <c r="B1957" s="6" t="str">
        <f>IFERROR(__xludf.DUMMYFUNCTION("""COMPUTED_VALUE"""),"20")</f>
        <v>20</v>
      </c>
      <c r="C1957" s="6" t="str">
        <f>IFERROR(__xludf.DUMMYFUNCTION("""COMPUTED_VALUE"""),"1885")</f>
        <v>1885</v>
      </c>
      <c r="D1957" s="6" t="str">
        <f>IFERROR(__xludf.DUMMYFUNCTION("""COMPUTED_VALUE"""),"Noah")</f>
        <v>Noah</v>
      </c>
      <c r="E1957" s="6" t="str">
        <f>IFERROR(__xludf.DUMMYFUNCTION("""COMPUTED_VALUE"""),"")</f>
        <v/>
      </c>
      <c r="F1957" s="6" t="str">
        <f>IFERROR(__xludf.DUMMYFUNCTION("""COMPUTED_VALUE"""),"Hastings")</f>
        <v>Hastings</v>
      </c>
      <c r="G1957" s="6" t="str">
        <f>IFERROR(__xludf.DUMMYFUNCTION("""COMPUTED_VALUE"""),"07/17/2015")</f>
        <v>07/17/2015</v>
      </c>
      <c r="H1957" s="6" t="str">
        <f>IFERROR(__xludf.DUMMYFUNCTION("""COMPUTED_VALUE"""),"male")</f>
        <v>male</v>
      </c>
      <c r="I1957" s="6" t="str">
        <f>IFERROR(__xludf.DUMMYFUNCTION("""COMPUTED_VALUE"""),"Level 2")</f>
        <v>Level 2</v>
      </c>
      <c r="J1957" s="6" t="str">
        <f>IFERROR(__xludf.DUMMYFUNCTION("""COMPUTED_VALUE"""),"4")</f>
        <v>4</v>
      </c>
      <c r="K1957" s="6" t="str">
        <f>IFERROR(__xludf.DUMMYFUNCTION("""COMPUTED_VALUE"""),"noah.hastings@alpha.school")</f>
        <v>noah.hastings@alpha.school</v>
      </c>
      <c r="L1957" s="6" t="str">
        <f>IFERROR(__xludf.DUMMYFUNCTION("""COMPUTED_VALUE"""),"Alpha School Scottsdale")</f>
        <v>Alpha School Scottsdale</v>
      </c>
      <c r="M1957" s="6" t="str">
        <f>IFERROR(__xludf.DUMMYFUNCTION("""COMPUTED_VALUE"""),"")</f>
        <v/>
      </c>
      <c r="N1957" s="6" t="str">
        <f>IFERROR(__xludf.DUMMYFUNCTION("""COMPUTED_VALUE"""),"")</f>
        <v/>
      </c>
      <c r="O1957" s="87" t="str">
        <f>IFERROR(__xludf.DUMMYFUNCTION("""COMPUTED_VALUE"""),"https://drive.google.com/drive/folders/10T2cTQHqEJZqE-st6uFKPoI?usp=share_link")</f>
        <v>https://drive.google.com/drive/folders/10T2cTQHqEJZqE-st6uFKPoI?usp=share_link</v>
      </c>
      <c r="P1957" s="6" t="str">
        <f>IFERROR(__xludf.DUMMYFUNCTION("""COMPUTED_VALUE"""),"Noah Hastings")</f>
        <v>Noah Hastings</v>
      </c>
      <c r="Q1957" s="6" t="str">
        <f>IFERROR(__xludf.DUMMYFUNCTION("""COMPUTED_VALUE"""),"L2")</f>
        <v>L2</v>
      </c>
      <c r="R1957" s="6">
        <f>IFERROR(__xludf.DUMMYFUNCTION("""COMPUTED_VALUE"""),2.0)</f>
        <v>2</v>
      </c>
      <c r="S1957" s="6" t="str">
        <f>IFERROR(__xludf.DUMMYFUNCTION("""COMPUTED_VALUE"""),"Zac DeJovine")</f>
        <v>Zac DeJovine</v>
      </c>
      <c r="T1957" s="6" t="str">
        <f>IFERROR(__xludf.DUMMYFUNCTION("""COMPUTED_VALUE"""),"zac.dejovine@alpha.school")</f>
        <v>zac.dejovine@alpha.school</v>
      </c>
      <c r="U1957" s="6" t="str">
        <f>IFERROR(__xludf.DUMMYFUNCTION("""COMPUTED_VALUE"""),"4")</f>
        <v>4</v>
      </c>
      <c r="V1957" s="6" t="str">
        <f>IFERROR(__xludf.DUMMYFUNCTION("""COMPUTED_VALUE"""),"")</f>
        <v/>
      </c>
      <c r="W1957" s="6" t="str">
        <f>IFERROR(__xludf.DUMMYFUNCTION("""COMPUTED_VALUE"""),"[]")</f>
        <v>[]</v>
      </c>
      <c r="X1957" s="6" t="str">
        <f>IFERROR(__xludf.DUMMYFUNCTION("""COMPUTED_VALUE"""),"Enrolled")</f>
        <v>Enrolled</v>
      </c>
    </row>
    <row r="1958">
      <c r="A1958" s="6" t="str">
        <f>IFERROR(__xludf.DUMMYFUNCTION("""COMPUTED_VALUE"""),"020-1942")</f>
        <v>020-1942</v>
      </c>
      <c r="B1958" s="6" t="str">
        <f>IFERROR(__xludf.DUMMYFUNCTION("""COMPUTED_VALUE"""),"20")</f>
        <v>20</v>
      </c>
      <c r="C1958" s="6" t="str">
        <f>IFERROR(__xludf.DUMMYFUNCTION("""COMPUTED_VALUE"""),"1942")</f>
        <v>1942</v>
      </c>
      <c r="D1958" s="6" t="str">
        <f>IFERROR(__xludf.DUMMYFUNCTION("""COMPUTED_VALUE"""),"Benjamin")</f>
        <v>Benjamin</v>
      </c>
      <c r="E1958" s="6" t="str">
        <f>IFERROR(__xludf.DUMMYFUNCTION("""COMPUTED_VALUE"""),"Ben")</f>
        <v>Ben</v>
      </c>
      <c r="F1958" s="6" t="str">
        <f>IFERROR(__xludf.DUMMYFUNCTION("""COMPUTED_VALUE"""),"Doherty")</f>
        <v>Doherty</v>
      </c>
      <c r="G1958" s="6" t="str">
        <f>IFERROR(__xludf.DUMMYFUNCTION("""COMPUTED_VALUE"""),"01/18/2012")</f>
        <v>01/18/2012</v>
      </c>
      <c r="H1958" s="6" t="str">
        <f>IFERROR(__xludf.DUMMYFUNCTION("""COMPUTED_VALUE"""),"male")</f>
        <v>male</v>
      </c>
      <c r="I1958" s="6" t="str">
        <f>IFERROR(__xludf.DUMMYFUNCTION("""COMPUTED_VALUE"""),"Middle School")</f>
        <v>Middle School</v>
      </c>
      <c r="J1958" s="6" t="str">
        <f>IFERROR(__xludf.DUMMYFUNCTION("""COMPUTED_VALUE"""),"8")</f>
        <v>8</v>
      </c>
      <c r="K1958" s="6" t="str">
        <f>IFERROR(__xludf.DUMMYFUNCTION("""COMPUTED_VALUE"""),"benjamin.doherty@alpha.school")</f>
        <v>benjamin.doherty@alpha.school</v>
      </c>
      <c r="L1958" s="6" t="str">
        <f>IFERROR(__xludf.DUMMYFUNCTION("""COMPUTED_VALUE"""),"Alpha School Scottsdale")</f>
        <v>Alpha School Scottsdale</v>
      </c>
      <c r="M1958" s="6" t="str">
        <f>IFERROR(__xludf.DUMMYFUNCTION("""COMPUTED_VALUE"""),"Phoenix Roadshow")</f>
        <v>Phoenix Roadshow</v>
      </c>
      <c r="N1958" s="6" t="str">
        <f>IFERROR(__xludf.DUMMYFUNCTION("""COMPUTED_VALUE"""),"")</f>
        <v/>
      </c>
      <c r="O1958" s="87" t="str">
        <f>IFERROR(__xludf.DUMMYFUNCTION("""COMPUTED_VALUE"""),"https://drive.google.com/drive/folders/10T2cTQHqEJZqE-st6uFKPoI?usp=share_link")</f>
        <v>https://drive.google.com/drive/folders/10T2cTQHqEJZqE-st6uFKPoI?usp=share_link</v>
      </c>
      <c r="P1958" s="6" t="str">
        <f>IFERROR(__xludf.DUMMYFUNCTION("""COMPUTED_VALUE"""),"Ben Doherty")</f>
        <v>Ben Doherty</v>
      </c>
      <c r="Q1958" s="6" t="str">
        <f>IFERROR(__xludf.DUMMYFUNCTION("""COMPUTED_VALUE"""),"MS")</f>
        <v>MS</v>
      </c>
      <c r="R1958" s="6">
        <f>IFERROR(__xludf.DUMMYFUNCTION("""COMPUTED_VALUE"""),0.0)</f>
        <v>0</v>
      </c>
      <c r="S1958" s="6" t="str">
        <f>IFERROR(__xludf.DUMMYFUNCTION("""COMPUTED_VALUE"""),"Zac DeJovine")</f>
        <v>Zac DeJovine</v>
      </c>
      <c r="T1958" s="6" t="str">
        <f>IFERROR(__xludf.DUMMYFUNCTION("""COMPUTED_VALUE"""),"zac.dejovine@alpha.school")</f>
        <v>zac.dejovine@alpha.school</v>
      </c>
      <c r="U1958" s="6" t="str">
        <f>IFERROR(__xludf.DUMMYFUNCTION("""COMPUTED_VALUE"""),"8")</f>
        <v>8</v>
      </c>
      <c r="V1958" s="6" t="str">
        <f>IFERROR(__xludf.DUMMYFUNCTION("""COMPUTED_VALUE"""),"")</f>
        <v/>
      </c>
      <c r="W1958" s="6" t="str">
        <f>IFERROR(__xludf.DUMMYFUNCTION("""COMPUTED_VALUE"""),"[]")</f>
        <v>[]</v>
      </c>
      <c r="X1958" s="6" t="str">
        <f>IFERROR(__xludf.DUMMYFUNCTION("""COMPUTED_VALUE"""),"Enrolled")</f>
        <v>Enrolled</v>
      </c>
    </row>
    <row r="1959">
      <c r="A1959" s="6" t="str">
        <f>IFERROR(__xludf.DUMMYFUNCTION("""COMPUTED_VALUE"""),"020-1943")</f>
        <v>020-1943</v>
      </c>
      <c r="B1959" s="6" t="str">
        <f>IFERROR(__xludf.DUMMYFUNCTION("""COMPUTED_VALUE"""),"20")</f>
        <v>20</v>
      </c>
      <c r="C1959" s="6" t="str">
        <f>IFERROR(__xludf.DUMMYFUNCTION("""COMPUTED_VALUE"""),"1943")</f>
        <v>1943</v>
      </c>
      <c r="D1959" s="6" t="str">
        <f>IFERROR(__xludf.DUMMYFUNCTION("""COMPUTED_VALUE"""),"Cruz")</f>
        <v>Cruz</v>
      </c>
      <c r="E1959" s="6" t="str">
        <f>IFERROR(__xludf.DUMMYFUNCTION("""COMPUTED_VALUE"""),"Cruz")</f>
        <v>Cruz</v>
      </c>
      <c r="F1959" s="6" t="str">
        <f>IFERROR(__xludf.DUMMYFUNCTION("""COMPUTED_VALUE"""),"Munoz")</f>
        <v>Munoz</v>
      </c>
      <c r="G1959" s="6" t="str">
        <f>IFERROR(__xludf.DUMMYFUNCTION("""COMPUTED_VALUE"""),"04/16/2017")</f>
        <v>04/16/2017</v>
      </c>
      <c r="H1959" s="6" t="str">
        <f>IFERROR(__xludf.DUMMYFUNCTION("""COMPUTED_VALUE"""),"male")</f>
        <v>male</v>
      </c>
      <c r="I1959" s="6" t="str">
        <f>IFERROR(__xludf.DUMMYFUNCTION("""COMPUTED_VALUE"""),"Level 1")</f>
        <v>Level 1</v>
      </c>
      <c r="J1959" s="6" t="str">
        <f>IFERROR(__xludf.DUMMYFUNCTION("""COMPUTED_VALUE"""),"2")</f>
        <v>2</v>
      </c>
      <c r="K1959" s="6" t="str">
        <f>IFERROR(__xludf.DUMMYFUNCTION("""COMPUTED_VALUE"""),"cruz.munoz@alpha.school")</f>
        <v>cruz.munoz@alpha.school</v>
      </c>
      <c r="L1959" s="6" t="str">
        <f>IFERROR(__xludf.DUMMYFUNCTION("""COMPUTED_VALUE"""),"Alpha School Scottsdale")</f>
        <v>Alpha School Scottsdale</v>
      </c>
      <c r="M1959" s="6" t="str">
        <f>IFERROR(__xludf.DUMMYFUNCTION("""COMPUTED_VALUE"""),"Phoenix Roadshow")</f>
        <v>Phoenix Roadshow</v>
      </c>
      <c r="N1959" s="6" t="str">
        <f>IFERROR(__xludf.DUMMYFUNCTION("""COMPUTED_VALUE"""),"")</f>
        <v/>
      </c>
      <c r="O1959" s="87" t="str">
        <f>IFERROR(__xludf.DUMMYFUNCTION("""COMPUTED_VALUE"""),"https://drive.google.com/drive/folders/10T2cTQHqEJZqE-st6uFKPoI?usp=share_link")</f>
        <v>https://drive.google.com/drive/folders/10T2cTQHqEJZqE-st6uFKPoI?usp=share_link</v>
      </c>
      <c r="P1959" s="6" t="str">
        <f>IFERROR(__xludf.DUMMYFUNCTION("""COMPUTED_VALUE"""),"Cruz Munoz")</f>
        <v>Cruz Munoz</v>
      </c>
      <c r="Q1959" s="6" t="str">
        <f>IFERROR(__xludf.DUMMYFUNCTION("""COMPUTED_VALUE"""),"L1")</f>
        <v>L1</v>
      </c>
      <c r="R1959" s="6">
        <f>IFERROR(__xludf.DUMMYFUNCTION("""COMPUTED_VALUE"""),1.0)</f>
        <v>1</v>
      </c>
      <c r="S1959" s="6" t="str">
        <f>IFERROR(__xludf.DUMMYFUNCTION("""COMPUTED_VALUE"""),"Patricio Rosas")</f>
        <v>Patricio Rosas</v>
      </c>
      <c r="T1959" s="6" t="str">
        <f>IFERROR(__xludf.DUMMYFUNCTION("""COMPUTED_VALUE"""),"patricio.rosas@alpha.school")</f>
        <v>patricio.rosas@alpha.school</v>
      </c>
      <c r="U1959" s="6" t="str">
        <f>IFERROR(__xludf.DUMMYFUNCTION("""COMPUTED_VALUE"""),"2")</f>
        <v>2</v>
      </c>
      <c r="V1959" s="6" t="str">
        <f>IFERROR(__xludf.DUMMYFUNCTION("""COMPUTED_VALUE"""),"")</f>
        <v/>
      </c>
      <c r="W1959" s="6" t="str">
        <f>IFERROR(__xludf.DUMMYFUNCTION("""COMPUTED_VALUE"""),"[]")</f>
        <v>[]</v>
      </c>
      <c r="X1959" s="6" t="str">
        <f>IFERROR(__xludf.DUMMYFUNCTION("""COMPUTED_VALUE"""),"Enrolled")</f>
        <v>Enrolled</v>
      </c>
    </row>
    <row r="1960">
      <c r="A1960" s="6" t="str">
        <f>IFERROR(__xludf.DUMMYFUNCTION("""COMPUTED_VALUE"""),"020-1976")</f>
        <v>020-1976</v>
      </c>
      <c r="B1960" s="6" t="str">
        <f>IFERROR(__xludf.DUMMYFUNCTION("""COMPUTED_VALUE"""),"20")</f>
        <v>20</v>
      </c>
      <c r="C1960" s="6" t="str">
        <f>IFERROR(__xludf.DUMMYFUNCTION("""COMPUTED_VALUE"""),"1976")</f>
        <v>1976</v>
      </c>
      <c r="D1960" s="6" t="str">
        <f>IFERROR(__xludf.DUMMYFUNCTION("""COMPUTED_VALUE"""),"Wells")</f>
        <v>Wells</v>
      </c>
      <c r="E1960" s="6" t="str">
        <f>IFERROR(__xludf.DUMMYFUNCTION("""COMPUTED_VALUE"""),"Wells")</f>
        <v>Wells</v>
      </c>
      <c r="F1960" s="6" t="str">
        <f>IFERROR(__xludf.DUMMYFUNCTION("""COMPUTED_VALUE"""),"Lindsley")</f>
        <v>Lindsley</v>
      </c>
      <c r="G1960" s="6" t="str">
        <f>IFERROR(__xludf.DUMMYFUNCTION("""COMPUTED_VALUE"""),"03/29/2017")</f>
        <v>03/29/2017</v>
      </c>
      <c r="H1960" s="6" t="str">
        <f>IFERROR(__xludf.DUMMYFUNCTION("""COMPUTED_VALUE"""),"male")</f>
        <v>male</v>
      </c>
      <c r="I1960" s="6" t="str">
        <f>IFERROR(__xludf.DUMMYFUNCTION("""COMPUTED_VALUE"""),"Level 1")</f>
        <v>Level 1</v>
      </c>
      <c r="J1960" s="6" t="str">
        <f>IFERROR(__xludf.DUMMYFUNCTION("""COMPUTED_VALUE"""),"3")</f>
        <v>3</v>
      </c>
      <c r="K1960" s="6" t="str">
        <f>IFERROR(__xludf.DUMMYFUNCTION("""COMPUTED_VALUE"""),"wells.lindsley@alpha.school")</f>
        <v>wells.lindsley@alpha.school</v>
      </c>
      <c r="L1960" s="6" t="str">
        <f>IFERROR(__xludf.DUMMYFUNCTION("""COMPUTED_VALUE"""),"Alpha School Scottsdale")</f>
        <v>Alpha School Scottsdale</v>
      </c>
      <c r="M1960" s="6" t="str">
        <f>IFERROR(__xludf.DUMMYFUNCTION("""COMPUTED_VALUE"""),"")</f>
        <v/>
      </c>
      <c r="N1960" s="6" t="str">
        <f>IFERROR(__xludf.DUMMYFUNCTION("""COMPUTED_VALUE"""),"")</f>
        <v/>
      </c>
      <c r="O1960" s="87" t="str">
        <f>IFERROR(__xludf.DUMMYFUNCTION("""COMPUTED_VALUE"""),"https://drive.google.com/drive/folders/10T2cTQHqEJZqE-st6uFKPoI?usp=share_link")</f>
        <v>https://drive.google.com/drive/folders/10T2cTQHqEJZqE-st6uFKPoI?usp=share_link</v>
      </c>
      <c r="P1960" s="6" t="str">
        <f>IFERROR(__xludf.DUMMYFUNCTION("""COMPUTED_VALUE"""),"Wells Lindsley")</f>
        <v>Wells Lindsley</v>
      </c>
      <c r="Q1960" s="6" t="str">
        <f>IFERROR(__xludf.DUMMYFUNCTION("""COMPUTED_VALUE"""),"L1")</f>
        <v>L1</v>
      </c>
      <c r="R1960" s="6">
        <f>IFERROR(__xludf.DUMMYFUNCTION("""COMPUTED_VALUE"""),1.0)</f>
        <v>1</v>
      </c>
      <c r="S1960" s="6" t="str">
        <f>IFERROR(__xludf.DUMMYFUNCTION("""COMPUTED_VALUE"""),"Patricio Rosas")</f>
        <v>Patricio Rosas</v>
      </c>
      <c r="T1960" s="6" t="str">
        <f>IFERROR(__xludf.DUMMYFUNCTION("""COMPUTED_VALUE"""),"patricio.rosas@alpha.school")</f>
        <v>patricio.rosas@alpha.school</v>
      </c>
      <c r="U1960" s="6" t="str">
        <f>IFERROR(__xludf.DUMMYFUNCTION("""COMPUTED_VALUE"""),"3")</f>
        <v>3</v>
      </c>
      <c r="V1960" s="6" t="str">
        <f>IFERROR(__xludf.DUMMYFUNCTION("""COMPUTED_VALUE"""),"")</f>
        <v/>
      </c>
      <c r="W1960" s="6" t="str">
        <f>IFERROR(__xludf.DUMMYFUNCTION("""COMPUTED_VALUE"""),"[]")</f>
        <v>[]</v>
      </c>
      <c r="X1960" s="6" t="str">
        <f>IFERROR(__xludf.DUMMYFUNCTION("""COMPUTED_VALUE"""),"Enrolled")</f>
        <v>Enrolled</v>
      </c>
    </row>
    <row r="1961">
      <c r="A1961" s="6" t="str">
        <f>IFERROR(__xludf.DUMMYFUNCTION("""COMPUTED_VALUE"""),"020-2288")</f>
        <v>020-2288</v>
      </c>
      <c r="B1961" s="6" t="str">
        <f>IFERROR(__xludf.DUMMYFUNCTION("""COMPUTED_VALUE"""),"20")</f>
        <v>20</v>
      </c>
      <c r="C1961" s="6" t="str">
        <f>IFERROR(__xludf.DUMMYFUNCTION("""COMPUTED_VALUE"""),"2288")</f>
        <v>2288</v>
      </c>
      <c r="D1961" s="6" t="str">
        <f>IFERROR(__xludf.DUMMYFUNCTION("""COMPUTED_VALUE"""),"Matthew")</f>
        <v>Matthew</v>
      </c>
      <c r="E1961" s="6" t="str">
        <f>IFERROR(__xludf.DUMMYFUNCTION("""COMPUTED_VALUE"""),"Rocket")</f>
        <v>Rocket</v>
      </c>
      <c r="F1961" s="6" t="str">
        <f>IFERROR(__xludf.DUMMYFUNCTION("""COMPUTED_VALUE"""),"Roark")</f>
        <v>Roark</v>
      </c>
      <c r="G1961" s="6" t="str">
        <f>IFERROR(__xludf.DUMMYFUNCTION("""COMPUTED_VALUE"""),"07/28/2019")</f>
        <v>07/28/2019</v>
      </c>
      <c r="H1961" s="6" t="str">
        <f>IFERROR(__xludf.DUMMYFUNCTION("""COMPUTED_VALUE"""),"male")</f>
        <v>male</v>
      </c>
      <c r="I1961" s="6" t="str">
        <f>IFERROR(__xludf.DUMMYFUNCTION("""COMPUTED_VALUE"""),"Learning Lab")</f>
        <v>Learning Lab</v>
      </c>
      <c r="J1961" s="6" t="str">
        <f>IFERROR(__xludf.DUMMYFUNCTION("""COMPUTED_VALUE"""),"1")</f>
        <v>1</v>
      </c>
      <c r="K1961" s="6" t="str">
        <f>IFERROR(__xludf.DUMMYFUNCTION("""COMPUTED_VALUE"""),"matthew.roark@alpha.school")</f>
        <v>matthew.roark@alpha.school</v>
      </c>
      <c r="L1961" s="6" t="str">
        <f>IFERROR(__xludf.DUMMYFUNCTION("""COMPUTED_VALUE"""),"Alpha School Scottsdale")</f>
        <v>Alpha School Scottsdale</v>
      </c>
      <c r="M1961" s="6" t="str">
        <f>IFERROR(__xludf.DUMMYFUNCTION("""COMPUTED_VALUE"""),"")</f>
        <v/>
      </c>
      <c r="N1961" s="6" t="str">
        <f>IFERROR(__xludf.DUMMYFUNCTION("""COMPUTED_VALUE"""),"")</f>
        <v/>
      </c>
      <c r="O1961" s="87" t="str">
        <f>IFERROR(__xludf.DUMMYFUNCTION("""COMPUTED_VALUE"""),"https://drive.google.com/drive/folders/10T2cTQHqEJZqE-st6uFKPoI?usp=share_link")</f>
        <v>https://drive.google.com/drive/folders/10T2cTQHqEJZqE-st6uFKPoI?usp=share_link</v>
      </c>
      <c r="P1961" s="6" t="str">
        <f>IFERROR(__xludf.DUMMYFUNCTION("""COMPUTED_VALUE"""),"Rocket Roark")</f>
        <v>Rocket Roark</v>
      </c>
      <c r="Q1961" s="6" t="str">
        <f>IFERROR(__xludf.DUMMYFUNCTION("""COMPUTED_VALUE"""),"LL")</f>
        <v>LL</v>
      </c>
      <c r="R1961" s="6">
        <f>IFERROR(__xludf.DUMMYFUNCTION("""COMPUTED_VALUE"""),0.0)</f>
        <v>0</v>
      </c>
      <c r="S1961" s="6" t="str">
        <f>IFERROR(__xludf.DUMMYFUNCTION("""COMPUTED_VALUE"""),"Holly Haygood")</f>
        <v>Holly Haygood</v>
      </c>
      <c r="T1961" s="6" t="str">
        <f>IFERROR(__xludf.DUMMYFUNCTION("""COMPUTED_VALUE"""),"holly.haygood@alpha.school")</f>
        <v>holly.haygood@alpha.school</v>
      </c>
      <c r="U1961" s="6" t="str">
        <f>IFERROR(__xludf.DUMMYFUNCTION("""COMPUTED_VALUE"""),"1")</f>
        <v>1</v>
      </c>
      <c r="V1961" s="6" t="str">
        <f>IFERROR(__xludf.DUMMYFUNCTION("""COMPUTED_VALUE"""),"")</f>
        <v/>
      </c>
      <c r="W1961" s="6" t="str">
        <f>IFERROR(__xludf.DUMMYFUNCTION("""COMPUTED_VALUE"""),"[]")</f>
        <v>[]</v>
      </c>
      <c r="X1961" s="6" t="str">
        <f>IFERROR(__xludf.DUMMYFUNCTION("""COMPUTED_VALUE"""),"Enrolled")</f>
        <v>Enrolled</v>
      </c>
    </row>
    <row r="1962">
      <c r="A1962" s="6" t="str">
        <f>IFERROR(__xludf.DUMMYFUNCTION("""COMPUTED_VALUE"""),"020-2289")</f>
        <v>020-2289</v>
      </c>
      <c r="B1962" s="6" t="str">
        <f>IFERROR(__xludf.DUMMYFUNCTION("""COMPUTED_VALUE"""),"20")</f>
        <v>20</v>
      </c>
      <c r="C1962" s="6" t="str">
        <f>IFERROR(__xludf.DUMMYFUNCTION("""COMPUTED_VALUE"""),"2289")</f>
        <v>2289</v>
      </c>
      <c r="D1962" s="6" t="str">
        <f>IFERROR(__xludf.DUMMYFUNCTION("""COMPUTED_VALUE"""),"Ruby")</f>
        <v>Ruby</v>
      </c>
      <c r="E1962" s="6" t="str">
        <f>IFERROR(__xludf.DUMMYFUNCTION("""COMPUTED_VALUE"""),"")</f>
        <v/>
      </c>
      <c r="F1962" s="6" t="str">
        <f>IFERROR(__xludf.DUMMYFUNCTION("""COMPUTED_VALUE"""),"Roark")</f>
        <v>Roark</v>
      </c>
      <c r="G1962" s="6" t="str">
        <f>IFERROR(__xludf.DUMMYFUNCTION("""COMPUTED_VALUE"""),"04/10/2015")</f>
        <v>04/10/2015</v>
      </c>
      <c r="H1962" s="6" t="str">
        <f>IFERROR(__xludf.DUMMYFUNCTION("""COMPUTED_VALUE"""),"female")</f>
        <v>female</v>
      </c>
      <c r="I1962" s="6" t="str">
        <f>IFERROR(__xludf.DUMMYFUNCTION("""COMPUTED_VALUE"""),"Level 2")</f>
        <v>Level 2</v>
      </c>
      <c r="J1962" s="6" t="str">
        <f>IFERROR(__xludf.DUMMYFUNCTION("""COMPUTED_VALUE"""),"5")</f>
        <v>5</v>
      </c>
      <c r="K1962" s="6" t="str">
        <f>IFERROR(__xludf.DUMMYFUNCTION("""COMPUTED_VALUE"""),"ruby.roark@alpha.school")</f>
        <v>ruby.roark@alpha.school</v>
      </c>
      <c r="L1962" s="6" t="str">
        <f>IFERROR(__xludf.DUMMYFUNCTION("""COMPUTED_VALUE"""),"Alpha School Scottsdale")</f>
        <v>Alpha School Scottsdale</v>
      </c>
      <c r="M1962" s="6" t="str">
        <f>IFERROR(__xludf.DUMMYFUNCTION("""COMPUTED_VALUE"""),"")</f>
        <v/>
      </c>
      <c r="N1962" s="6" t="str">
        <f>IFERROR(__xludf.DUMMYFUNCTION("""COMPUTED_VALUE"""),"")</f>
        <v/>
      </c>
      <c r="O1962" s="87" t="str">
        <f>IFERROR(__xludf.DUMMYFUNCTION("""COMPUTED_VALUE"""),"https://drive.google.com/drive/folders/10T2cTQHqEJZqE-st6uFKPoI?usp=share_link")</f>
        <v>https://drive.google.com/drive/folders/10T2cTQHqEJZqE-st6uFKPoI?usp=share_link</v>
      </c>
      <c r="P1962" s="6" t="str">
        <f>IFERROR(__xludf.DUMMYFUNCTION("""COMPUTED_VALUE"""),"Ruby Roark")</f>
        <v>Ruby Roark</v>
      </c>
      <c r="Q1962" s="6" t="str">
        <f>IFERROR(__xludf.DUMMYFUNCTION("""COMPUTED_VALUE"""),"L2")</f>
        <v>L2</v>
      </c>
      <c r="R1962" s="6">
        <f>IFERROR(__xludf.DUMMYFUNCTION("""COMPUTED_VALUE"""),2.0)</f>
        <v>2</v>
      </c>
      <c r="S1962" s="6" t="str">
        <f>IFERROR(__xludf.DUMMYFUNCTION("""COMPUTED_VALUE"""),"Matt Shenker")</f>
        <v>Matt Shenker</v>
      </c>
      <c r="T1962" s="6" t="str">
        <f>IFERROR(__xludf.DUMMYFUNCTION("""COMPUTED_VALUE"""),"matt.shenker@alpha.school")</f>
        <v>matt.shenker@alpha.school</v>
      </c>
      <c r="U1962" s="6" t="str">
        <f>IFERROR(__xludf.DUMMYFUNCTION("""COMPUTED_VALUE"""),"5")</f>
        <v>5</v>
      </c>
      <c r="V1962" s="6" t="str">
        <f>IFERROR(__xludf.DUMMYFUNCTION("""COMPUTED_VALUE"""),"")</f>
        <v/>
      </c>
      <c r="W1962" s="6" t="str">
        <f>IFERROR(__xludf.DUMMYFUNCTION("""COMPUTED_VALUE"""),"[]")</f>
        <v>[]</v>
      </c>
      <c r="X1962" s="6" t="str">
        <f>IFERROR(__xludf.DUMMYFUNCTION("""COMPUTED_VALUE"""),"Enrolled")</f>
        <v>Enrolled</v>
      </c>
    </row>
    <row r="1963">
      <c r="A1963" s="6" t="str">
        <f>IFERROR(__xludf.DUMMYFUNCTION("""COMPUTED_VALUE"""),"020-2290")</f>
        <v>020-2290</v>
      </c>
      <c r="B1963" s="6" t="str">
        <f>IFERROR(__xludf.DUMMYFUNCTION("""COMPUTED_VALUE"""),"20")</f>
        <v>20</v>
      </c>
      <c r="C1963" s="6" t="str">
        <f>IFERROR(__xludf.DUMMYFUNCTION("""COMPUTED_VALUE"""),"2290")</f>
        <v>2290</v>
      </c>
      <c r="D1963" s="6" t="str">
        <f>IFERROR(__xludf.DUMMYFUNCTION("""COMPUTED_VALUE"""),"Lilah")</f>
        <v>Lilah</v>
      </c>
      <c r="E1963" s="6" t="str">
        <f>IFERROR(__xludf.DUMMYFUNCTION("""COMPUTED_VALUE"""),"")</f>
        <v/>
      </c>
      <c r="F1963" s="6" t="str">
        <f>IFERROR(__xludf.DUMMYFUNCTION("""COMPUTED_VALUE"""),"Roark")</f>
        <v>Roark</v>
      </c>
      <c r="G1963" s="6" t="str">
        <f>IFERROR(__xludf.DUMMYFUNCTION("""COMPUTED_VALUE"""),"11/25/2016")</f>
        <v>11/25/2016</v>
      </c>
      <c r="H1963" s="6" t="str">
        <f>IFERROR(__xludf.DUMMYFUNCTION("""COMPUTED_VALUE"""),"female")</f>
        <v>female</v>
      </c>
      <c r="I1963" s="6" t="str">
        <f>IFERROR(__xludf.DUMMYFUNCTION("""COMPUTED_VALUE"""),"Level 2")</f>
        <v>Level 2</v>
      </c>
      <c r="J1963" s="6" t="str">
        <f>IFERROR(__xludf.DUMMYFUNCTION("""COMPUTED_VALUE"""),"4")</f>
        <v>4</v>
      </c>
      <c r="K1963" s="6" t="str">
        <f>IFERROR(__xludf.DUMMYFUNCTION("""COMPUTED_VALUE"""),"lilah.roark@alpha.school")</f>
        <v>lilah.roark@alpha.school</v>
      </c>
      <c r="L1963" s="6" t="str">
        <f>IFERROR(__xludf.DUMMYFUNCTION("""COMPUTED_VALUE"""),"Alpha School Scottsdale")</f>
        <v>Alpha School Scottsdale</v>
      </c>
      <c r="M1963" s="6" t="str">
        <f>IFERROR(__xludf.DUMMYFUNCTION("""COMPUTED_VALUE"""),"")</f>
        <v/>
      </c>
      <c r="N1963" s="6" t="str">
        <f>IFERROR(__xludf.DUMMYFUNCTION("""COMPUTED_VALUE"""),"")</f>
        <v/>
      </c>
      <c r="O1963" s="87" t="str">
        <f>IFERROR(__xludf.DUMMYFUNCTION("""COMPUTED_VALUE"""),"https://drive.google.com/drive/folders/10T2cTQHqEJZqE-st6uFKPoI?usp=share_link")</f>
        <v>https://drive.google.com/drive/folders/10T2cTQHqEJZqE-st6uFKPoI?usp=share_link</v>
      </c>
      <c r="P1963" s="6" t="str">
        <f>IFERROR(__xludf.DUMMYFUNCTION("""COMPUTED_VALUE"""),"Lilah Roark")</f>
        <v>Lilah Roark</v>
      </c>
      <c r="Q1963" s="6" t="str">
        <f>IFERROR(__xludf.DUMMYFUNCTION("""COMPUTED_VALUE"""),"L2")</f>
        <v>L2</v>
      </c>
      <c r="R1963" s="6">
        <f>IFERROR(__xludf.DUMMYFUNCTION("""COMPUTED_VALUE"""),2.0)</f>
        <v>2</v>
      </c>
      <c r="S1963" s="6" t="str">
        <f>IFERROR(__xludf.DUMMYFUNCTION("""COMPUTED_VALUE"""),"Mary Schroll")</f>
        <v>Mary Schroll</v>
      </c>
      <c r="T1963" s="6" t="str">
        <f>IFERROR(__xludf.DUMMYFUNCTION("""COMPUTED_VALUE"""),"mary.shroll@alpha.school")</f>
        <v>mary.shroll@alpha.school</v>
      </c>
      <c r="U1963" s="6" t="str">
        <f>IFERROR(__xludf.DUMMYFUNCTION("""COMPUTED_VALUE"""),"4")</f>
        <v>4</v>
      </c>
      <c r="V1963" s="6" t="str">
        <f>IFERROR(__xludf.DUMMYFUNCTION("""COMPUTED_VALUE"""),"")</f>
        <v/>
      </c>
      <c r="W1963" s="6" t="str">
        <f>IFERROR(__xludf.DUMMYFUNCTION("""COMPUTED_VALUE"""),"[]")</f>
        <v>[]</v>
      </c>
      <c r="X1963" s="6" t="str">
        <f>IFERROR(__xludf.DUMMYFUNCTION("""COMPUTED_VALUE"""),"Enrolled")</f>
        <v>Enrolled</v>
      </c>
    </row>
    <row r="1964">
      <c r="A1964" s="6" t="str">
        <f>IFERROR(__xludf.DUMMYFUNCTION("""COMPUTED_VALUE"""),"020-2322")</f>
        <v>020-2322</v>
      </c>
      <c r="B1964" s="6" t="str">
        <f>IFERROR(__xludf.DUMMYFUNCTION("""COMPUTED_VALUE"""),"20")</f>
        <v>20</v>
      </c>
      <c r="C1964" s="6" t="str">
        <f>IFERROR(__xludf.DUMMYFUNCTION("""COMPUTED_VALUE"""),"2322")</f>
        <v>2322</v>
      </c>
      <c r="D1964" s="6" t="str">
        <f>IFERROR(__xludf.DUMMYFUNCTION("""COMPUTED_VALUE"""),"Mila")</f>
        <v>Mila</v>
      </c>
      <c r="E1964" s="6" t="str">
        <f>IFERROR(__xludf.DUMMYFUNCTION("""COMPUTED_VALUE"""),"Mila")</f>
        <v>Mila</v>
      </c>
      <c r="F1964" s="6" t="str">
        <f>IFERROR(__xludf.DUMMYFUNCTION("""COMPUTED_VALUE"""),"Tinkler")</f>
        <v>Tinkler</v>
      </c>
      <c r="G1964" s="6" t="str">
        <f>IFERROR(__xludf.DUMMYFUNCTION("""COMPUTED_VALUE"""),"08/04/2015")</f>
        <v>08/04/2015</v>
      </c>
      <c r="H1964" s="6" t="str">
        <f>IFERROR(__xludf.DUMMYFUNCTION("""COMPUTED_VALUE"""),"female")</f>
        <v>female</v>
      </c>
      <c r="I1964" s="6" t="str">
        <f>IFERROR(__xludf.DUMMYFUNCTION("""COMPUTED_VALUE"""),"Level 2")</f>
        <v>Level 2</v>
      </c>
      <c r="J1964" s="6" t="str">
        <f>IFERROR(__xludf.DUMMYFUNCTION("""COMPUTED_VALUE"""),"4")</f>
        <v>4</v>
      </c>
      <c r="K1964" s="6" t="str">
        <f>IFERROR(__xludf.DUMMYFUNCTION("""COMPUTED_VALUE"""),"mila.tinkler@alpha.school")</f>
        <v>mila.tinkler@alpha.school</v>
      </c>
      <c r="L1964" s="6" t="str">
        <f>IFERROR(__xludf.DUMMYFUNCTION("""COMPUTED_VALUE"""),"Alpha School Scottsdale")</f>
        <v>Alpha School Scottsdale</v>
      </c>
      <c r="M1964" s="6" t="str">
        <f>IFERROR(__xludf.DUMMYFUNCTION("""COMPUTED_VALUE"""),"")</f>
        <v/>
      </c>
      <c r="N1964" s="6" t="str">
        <f>IFERROR(__xludf.DUMMYFUNCTION("""COMPUTED_VALUE"""),"")</f>
        <v/>
      </c>
      <c r="O1964" s="87" t="str">
        <f>IFERROR(__xludf.DUMMYFUNCTION("""COMPUTED_VALUE"""),"https://drive.google.com/drive/folders/10T2cTQHqEJZqE-st6uFKPoI?usp=share_link")</f>
        <v>https://drive.google.com/drive/folders/10T2cTQHqEJZqE-st6uFKPoI?usp=share_link</v>
      </c>
      <c r="P1964" s="6" t="str">
        <f>IFERROR(__xludf.DUMMYFUNCTION("""COMPUTED_VALUE"""),"Mila Tinkler")</f>
        <v>Mila Tinkler</v>
      </c>
      <c r="Q1964" s="6" t="str">
        <f>IFERROR(__xludf.DUMMYFUNCTION("""COMPUTED_VALUE"""),"L2")</f>
        <v>L2</v>
      </c>
      <c r="R1964" s="6">
        <f>IFERROR(__xludf.DUMMYFUNCTION("""COMPUTED_VALUE"""),2.0)</f>
        <v>2</v>
      </c>
      <c r="S1964" s="6" t="str">
        <f>IFERROR(__xludf.DUMMYFUNCTION("""COMPUTED_VALUE"""),"Mary Schroll")</f>
        <v>Mary Schroll</v>
      </c>
      <c r="T1964" s="6" t="str">
        <f>IFERROR(__xludf.DUMMYFUNCTION("""COMPUTED_VALUE"""),"mary.shroll@alpha.school")</f>
        <v>mary.shroll@alpha.school</v>
      </c>
      <c r="U1964" s="6" t="str">
        <f>IFERROR(__xludf.DUMMYFUNCTION("""COMPUTED_VALUE"""),"4")</f>
        <v>4</v>
      </c>
      <c r="V1964" s="6" t="str">
        <f>IFERROR(__xludf.DUMMYFUNCTION("""COMPUTED_VALUE"""),"")</f>
        <v/>
      </c>
      <c r="W1964" s="6" t="str">
        <f>IFERROR(__xludf.DUMMYFUNCTION("""COMPUTED_VALUE"""),"[]")</f>
        <v>[]</v>
      </c>
      <c r="X1964" s="6" t="str">
        <f>IFERROR(__xludf.DUMMYFUNCTION("""COMPUTED_VALUE"""),"Enrolled")</f>
        <v>Enrolled</v>
      </c>
    </row>
    <row r="1965">
      <c r="A1965" s="6" t="str">
        <f>IFERROR(__xludf.DUMMYFUNCTION("""COMPUTED_VALUE"""),"020-2325")</f>
        <v>020-2325</v>
      </c>
      <c r="B1965" s="6" t="str">
        <f>IFERROR(__xludf.DUMMYFUNCTION("""COMPUTED_VALUE"""),"20")</f>
        <v>20</v>
      </c>
      <c r="C1965" s="6" t="str">
        <f>IFERROR(__xludf.DUMMYFUNCTION("""COMPUTED_VALUE"""),"2325")</f>
        <v>2325</v>
      </c>
      <c r="D1965" s="6" t="str">
        <f>IFERROR(__xludf.DUMMYFUNCTION("""COMPUTED_VALUE"""),"Alexandria")</f>
        <v>Alexandria</v>
      </c>
      <c r="E1965" s="6" t="str">
        <f>IFERROR(__xludf.DUMMYFUNCTION("""COMPUTED_VALUE"""),"Lex")</f>
        <v>Lex</v>
      </c>
      <c r="F1965" s="6" t="str">
        <f>IFERROR(__xludf.DUMMYFUNCTION("""COMPUTED_VALUE"""),"DeMaree")</f>
        <v>DeMaree</v>
      </c>
      <c r="G1965" s="6" t="str">
        <f>IFERROR(__xludf.DUMMYFUNCTION("""COMPUTED_VALUE"""),"08/23/2015")</f>
        <v>08/23/2015</v>
      </c>
      <c r="H1965" s="6" t="str">
        <f>IFERROR(__xludf.DUMMYFUNCTION("""COMPUTED_VALUE"""),"female")</f>
        <v>female</v>
      </c>
      <c r="I1965" s="6" t="str">
        <f>IFERROR(__xludf.DUMMYFUNCTION("""COMPUTED_VALUE"""),"Level 2")</f>
        <v>Level 2</v>
      </c>
      <c r="J1965" s="6" t="str">
        <f>IFERROR(__xludf.DUMMYFUNCTION("""COMPUTED_VALUE"""),"4")</f>
        <v>4</v>
      </c>
      <c r="K1965" s="6" t="str">
        <f>IFERROR(__xludf.DUMMYFUNCTION("""COMPUTED_VALUE"""),"alexandria.demaree@alpha.school")</f>
        <v>alexandria.demaree@alpha.school</v>
      </c>
      <c r="L1965" s="6" t="str">
        <f>IFERROR(__xludf.DUMMYFUNCTION("""COMPUTED_VALUE"""),"Alpha School Scottsdale")</f>
        <v>Alpha School Scottsdale</v>
      </c>
      <c r="M1965" s="6" t="str">
        <f>IFERROR(__xludf.DUMMYFUNCTION("""COMPUTED_VALUE"""),"")</f>
        <v/>
      </c>
      <c r="N1965" s="6" t="str">
        <f>IFERROR(__xludf.DUMMYFUNCTION("""COMPUTED_VALUE"""),"")</f>
        <v/>
      </c>
      <c r="O1965" s="87" t="str">
        <f>IFERROR(__xludf.DUMMYFUNCTION("""COMPUTED_VALUE"""),"https://drive.google.com/drive/folders/10T2cTQHqEJZqE-st6uFKPoI?usp=share_link")</f>
        <v>https://drive.google.com/drive/folders/10T2cTQHqEJZqE-st6uFKPoI?usp=share_link</v>
      </c>
      <c r="P1965" s="6" t="str">
        <f>IFERROR(__xludf.DUMMYFUNCTION("""COMPUTED_VALUE"""),"Lex DeMaree")</f>
        <v>Lex DeMaree</v>
      </c>
      <c r="Q1965" s="6" t="str">
        <f>IFERROR(__xludf.DUMMYFUNCTION("""COMPUTED_VALUE"""),"L2")</f>
        <v>L2</v>
      </c>
      <c r="R1965" s="6">
        <f>IFERROR(__xludf.DUMMYFUNCTION("""COMPUTED_VALUE"""),2.0)</f>
        <v>2</v>
      </c>
      <c r="S1965" s="6" t="str">
        <f>IFERROR(__xludf.DUMMYFUNCTION("""COMPUTED_VALUE"""),"Morgan Routh")</f>
        <v>Morgan Routh</v>
      </c>
      <c r="T1965" s="6" t="str">
        <f>IFERROR(__xludf.DUMMYFUNCTION("""COMPUTED_VALUE"""),"morgan.routh@alpha.school")</f>
        <v>morgan.routh@alpha.school</v>
      </c>
      <c r="U1965" s="6" t="str">
        <f>IFERROR(__xludf.DUMMYFUNCTION("""COMPUTED_VALUE"""),"4")</f>
        <v>4</v>
      </c>
      <c r="V1965" s="6" t="str">
        <f>IFERROR(__xludf.DUMMYFUNCTION("""COMPUTED_VALUE"""),"")</f>
        <v/>
      </c>
      <c r="W1965" s="6" t="str">
        <f>IFERROR(__xludf.DUMMYFUNCTION("""COMPUTED_VALUE"""),"[]")</f>
        <v>[]</v>
      </c>
      <c r="X1965" s="6" t="str">
        <f>IFERROR(__xludf.DUMMYFUNCTION("""COMPUTED_VALUE"""),"Enrolled")</f>
        <v>Enrolled</v>
      </c>
    </row>
    <row r="1966">
      <c r="A1966" s="6" t="str">
        <f>IFERROR(__xludf.DUMMYFUNCTION("""COMPUTED_VALUE"""),"020-2327")</f>
        <v>020-2327</v>
      </c>
      <c r="B1966" s="6" t="str">
        <f>IFERROR(__xludf.DUMMYFUNCTION("""COMPUTED_VALUE"""),"20")</f>
        <v>20</v>
      </c>
      <c r="C1966" s="6" t="str">
        <f>IFERROR(__xludf.DUMMYFUNCTION("""COMPUTED_VALUE"""),"2327")</f>
        <v>2327</v>
      </c>
      <c r="D1966" s="6" t="str">
        <f>IFERROR(__xludf.DUMMYFUNCTION("""COMPUTED_VALUE"""),"Carter")</f>
        <v>Carter</v>
      </c>
      <c r="E1966" s="6" t="str">
        <f>IFERROR(__xludf.DUMMYFUNCTION("""COMPUTED_VALUE"""),"Carter")</f>
        <v>Carter</v>
      </c>
      <c r="F1966" s="6" t="str">
        <f>IFERROR(__xludf.DUMMYFUNCTION("""COMPUTED_VALUE"""),"Tinkler")</f>
        <v>Tinkler</v>
      </c>
      <c r="G1966" s="6" t="str">
        <f>IFERROR(__xludf.DUMMYFUNCTION("""COMPUTED_VALUE"""),"06/27/2014")</f>
        <v>06/27/2014</v>
      </c>
      <c r="H1966" s="6" t="str">
        <f>IFERROR(__xludf.DUMMYFUNCTION("""COMPUTED_VALUE"""),"male")</f>
        <v>male</v>
      </c>
      <c r="I1966" s="6" t="str">
        <f>IFERROR(__xludf.DUMMYFUNCTION("""COMPUTED_VALUE"""),"Level 2")</f>
        <v>Level 2</v>
      </c>
      <c r="J1966" s="6" t="str">
        <f>IFERROR(__xludf.DUMMYFUNCTION("""COMPUTED_VALUE"""),"5")</f>
        <v>5</v>
      </c>
      <c r="K1966" s="6" t="str">
        <f>IFERROR(__xludf.DUMMYFUNCTION("""COMPUTED_VALUE"""),"carter.tinkler@alpha.school")</f>
        <v>carter.tinkler@alpha.school</v>
      </c>
      <c r="L1966" s="6" t="str">
        <f>IFERROR(__xludf.DUMMYFUNCTION("""COMPUTED_VALUE"""),"Alpha School Scottsdale")</f>
        <v>Alpha School Scottsdale</v>
      </c>
      <c r="M1966" s="6" t="str">
        <f>IFERROR(__xludf.DUMMYFUNCTION("""COMPUTED_VALUE"""),"")</f>
        <v/>
      </c>
      <c r="N1966" s="6" t="str">
        <f>IFERROR(__xludf.DUMMYFUNCTION("""COMPUTED_VALUE"""),"")</f>
        <v/>
      </c>
      <c r="O1966" s="87" t="str">
        <f>IFERROR(__xludf.DUMMYFUNCTION("""COMPUTED_VALUE"""),"https://drive.google.com/drive/folders/10T2cTQHqEJZqE-st6uFKPoI?usp=share_link")</f>
        <v>https://drive.google.com/drive/folders/10T2cTQHqEJZqE-st6uFKPoI?usp=share_link</v>
      </c>
      <c r="P1966" s="6" t="str">
        <f>IFERROR(__xludf.DUMMYFUNCTION("""COMPUTED_VALUE"""),"Carter Tinkler")</f>
        <v>Carter Tinkler</v>
      </c>
      <c r="Q1966" s="6" t="str">
        <f>IFERROR(__xludf.DUMMYFUNCTION("""COMPUTED_VALUE"""),"L2")</f>
        <v>L2</v>
      </c>
      <c r="R1966" s="6">
        <f>IFERROR(__xludf.DUMMYFUNCTION("""COMPUTED_VALUE"""),2.0)</f>
        <v>2</v>
      </c>
      <c r="S1966" s="6" t="str">
        <f>IFERROR(__xludf.DUMMYFUNCTION("""COMPUTED_VALUE"""),"Matt Shenker")</f>
        <v>Matt Shenker</v>
      </c>
      <c r="T1966" s="6" t="str">
        <f>IFERROR(__xludf.DUMMYFUNCTION("""COMPUTED_VALUE"""),"matt.shenker@alpha.school")</f>
        <v>matt.shenker@alpha.school</v>
      </c>
      <c r="U1966" s="6" t="str">
        <f>IFERROR(__xludf.DUMMYFUNCTION("""COMPUTED_VALUE"""),"5")</f>
        <v>5</v>
      </c>
      <c r="V1966" s="6" t="str">
        <f>IFERROR(__xludf.DUMMYFUNCTION("""COMPUTED_VALUE"""),"")</f>
        <v/>
      </c>
      <c r="W1966" s="6" t="str">
        <f>IFERROR(__xludf.DUMMYFUNCTION("""COMPUTED_VALUE"""),"[]")</f>
        <v>[]</v>
      </c>
      <c r="X1966" s="6" t="str">
        <f>IFERROR(__xludf.DUMMYFUNCTION("""COMPUTED_VALUE"""),"Enrolled")</f>
        <v>Enrolled</v>
      </c>
    </row>
    <row r="1967">
      <c r="A1967" s="6" t="str">
        <f>IFERROR(__xludf.DUMMYFUNCTION("""COMPUTED_VALUE"""),"020-2466")</f>
        <v>020-2466</v>
      </c>
      <c r="B1967" s="6" t="str">
        <f>IFERROR(__xludf.DUMMYFUNCTION("""COMPUTED_VALUE"""),"20")</f>
        <v>20</v>
      </c>
      <c r="C1967" s="6" t="str">
        <f>IFERROR(__xludf.DUMMYFUNCTION("""COMPUTED_VALUE"""),"2466")</f>
        <v>2466</v>
      </c>
      <c r="D1967" s="6" t="str">
        <f>IFERROR(__xludf.DUMMYFUNCTION("""COMPUTED_VALUE"""),"Cameron")</f>
        <v>Cameron</v>
      </c>
      <c r="E1967" s="6" t="str">
        <f>IFERROR(__xludf.DUMMYFUNCTION("""COMPUTED_VALUE"""),"Cameron")</f>
        <v>Cameron</v>
      </c>
      <c r="F1967" s="6" t="str">
        <f>IFERROR(__xludf.DUMMYFUNCTION("""COMPUTED_VALUE"""),"White")</f>
        <v>White</v>
      </c>
      <c r="G1967" s="6" t="str">
        <f>IFERROR(__xludf.DUMMYFUNCTION("""COMPUTED_VALUE"""),"01/23/2015")</f>
        <v>01/23/2015</v>
      </c>
      <c r="H1967" s="6" t="str">
        <f>IFERROR(__xludf.DUMMYFUNCTION("""COMPUTED_VALUE"""),"male")</f>
        <v>male</v>
      </c>
      <c r="I1967" s="6" t="str">
        <f>IFERROR(__xludf.DUMMYFUNCTION("""COMPUTED_VALUE"""),"Level 2")</f>
        <v>Level 2</v>
      </c>
      <c r="J1967" s="6" t="str">
        <f>IFERROR(__xludf.DUMMYFUNCTION("""COMPUTED_VALUE"""),"5")</f>
        <v>5</v>
      </c>
      <c r="K1967" s="6" t="str">
        <f>IFERROR(__xludf.DUMMYFUNCTION("""COMPUTED_VALUE"""),"cameron.white@alpha.school")</f>
        <v>cameron.white@alpha.school</v>
      </c>
      <c r="L1967" s="6" t="str">
        <f>IFERROR(__xludf.DUMMYFUNCTION("""COMPUTED_VALUE"""),"Alpha School Scottsdale")</f>
        <v>Alpha School Scottsdale</v>
      </c>
      <c r="M1967" s="6" t="str">
        <f>IFERROR(__xludf.DUMMYFUNCTION("""COMPUTED_VALUE"""),"")</f>
        <v/>
      </c>
      <c r="N1967" s="6" t="str">
        <f>IFERROR(__xludf.DUMMYFUNCTION("""COMPUTED_VALUE"""),"")</f>
        <v/>
      </c>
      <c r="O1967" s="87" t="str">
        <f>IFERROR(__xludf.DUMMYFUNCTION("""COMPUTED_VALUE"""),"https://drive.google.com/drive/folders/10T2cTQHqEJZqE-st6uFKPoI?usp=share_link")</f>
        <v>https://drive.google.com/drive/folders/10T2cTQHqEJZqE-st6uFKPoI?usp=share_link</v>
      </c>
      <c r="P1967" s="6" t="str">
        <f>IFERROR(__xludf.DUMMYFUNCTION("""COMPUTED_VALUE"""),"Cameron White")</f>
        <v>Cameron White</v>
      </c>
      <c r="Q1967" s="6" t="str">
        <f>IFERROR(__xludf.DUMMYFUNCTION("""COMPUTED_VALUE"""),"L2")</f>
        <v>L2</v>
      </c>
      <c r="R1967" s="6">
        <f>IFERROR(__xludf.DUMMYFUNCTION("""COMPUTED_VALUE"""),2.0)</f>
        <v>2</v>
      </c>
      <c r="S1967" s="6" t="str">
        <f>IFERROR(__xludf.DUMMYFUNCTION("""COMPUTED_VALUE"""),"Mary Schroll")</f>
        <v>Mary Schroll</v>
      </c>
      <c r="T1967" s="6" t="str">
        <f>IFERROR(__xludf.DUMMYFUNCTION("""COMPUTED_VALUE"""),"mary.shroll@alpha.school")</f>
        <v>mary.shroll@alpha.school</v>
      </c>
      <c r="U1967" s="6" t="str">
        <f>IFERROR(__xludf.DUMMYFUNCTION("""COMPUTED_VALUE"""),"5")</f>
        <v>5</v>
      </c>
      <c r="V1967" s="6" t="str">
        <f>IFERROR(__xludf.DUMMYFUNCTION("""COMPUTED_VALUE"""),"")</f>
        <v/>
      </c>
      <c r="W1967" s="6" t="str">
        <f>IFERROR(__xludf.DUMMYFUNCTION("""COMPUTED_VALUE"""),"[]")</f>
        <v>[]</v>
      </c>
      <c r="X1967" s="6" t="str">
        <f>IFERROR(__xludf.DUMMYFUNCTION("""COMPUTED_VALUE"""),"Enrolled")</f>
        <v>Enrolled</v>
      </c>
    </row>
    <row r="1968">
      <c r="A1968" s="6" t="str">
        <f>IFERROR(__xludf.DUMMYFUNCTION("""COMPUTED_VALUE"""),"020-2642")</f>
        <v>020-2642</v>
      </c>
      <c r="B1968" s="6" t="str">
        <f>IFERROR(__xludf.DUMMYFUNCTION("""COMPUTED_VALUE"""),"20")</f>
        <v>20</v>
      </c>
      <c r="C1968" s="6" t="str">
        <f>IFERROR(__xludf.DUMMYFUNCTION("""COMPUTED_VALUE"""),"2642")</f>
        <v>2642</v>
      </c>
      <c r="D1968" s="6" t="str">
        <f>IFERROR(__xludf.DUMMYFUNCTION("""COMPUTED_VALUE"""),"Brooks")</f>
        <v>Brooks</v>
      </c>
      <c r="E1968" s="6" t="str">
        <f>IFERROR(__xludf.DUMMYFUNCTION("""COMPUTED_VALUE"""),"Brooks")</f>
        <v>Brooks</v>
      </c>
      <c r="F1968" s="6" t="str">
        <f>IFERROR(__xludf.DUMMYFUNCTION("""COMPUTED_VALUE"""),"Knight")</f>
        <v>Knight</v>
      </c>
      <c r="G1968" s="6" t="str">
        <f>IFERROR(__xludf.DUMMYFUNCTION("""COMPUTED_VALUE"""),"10/03/2016")</f>
        <v>10/03/2016</v>
      </c>
      <c r="H1968" s="6" t="str">
        <f>IFERROR(__xludf.DUMMYFUNCTION("""COMPUTED_VALUE"""),"male")</f>
        <v>male</v>
      </c>
      <c r="I1968" s="6" t="str">
        <f>IFERROR(__xludf.DUMMYFUNCTION("""COMPUTED_VALUE"""),"Level 1")</f>
        <v>Level 1</v>
      </c>
      <c r="J1968" s="6" t="str">
        <f>IFERROR(__xludf.DUMMYFUNCTION("""COMPUTED_VALUE"""),"3")</f>
        <v>3</v>
      </c>
      <c r="K1968" s="6" t="str">
        <f>IFERROR(__xludf.DUMMYFUNCTION("""COMPUTED_VALUE"""),"brooks.knight@alpha.school")</f>
        <v>brooks.knight@alpha.school</v>
      </c>
      <c r="L1968" s="6" t="str">
        <f>IFERROR(__xludf.DUMMYFUNCTION("""COMPUTED_VALUE"""),"Alpha School Scottsdale")</f>
        <v>Alpha School Scottsdale</v>
      </c>
      <c r="M1968" s="6" t="str">
        <f>IFERROR(__xludf.DUMMYFUNCTION("""COMPUTED_VALUE"""),"")</f>
        <v/>
      </c>
      <c r="N1968" s="6" t="str">
        <f>IFERROR(__xludf.DUMMYFUNCTION("""COMPUTED_VALUE"""),"")</f>
        <v/>
      </c>
      <c r="O1968" s="87" t="str">
        <f>IFERROR(__xludf.DUMMYFUNCTION("""COMPUTED_VALUE"""),"https://drive.google.com/drive/folders/10T2cTQHqEJZqE-st6uFKPoI?usp=share_link")</f>
        <v>https://drive.google.com/drive/folders/10T2cTQHqEJZqE-st6uFKPoI?usp=share_link</v>
      </c>
      <c r="P1968" s="6" t="str">
        <f>IFERROR(__xludf.DUMMYFUNCTION("""COMPUTED_VALUE"""),"Brooks Knight")</f>
        <v>Brooks Knight</v>
      </c>
      <c r="Q1968" s="6" t="str">
        <f>IFERROR(__xludf.DUMMYFUNCTION("""COMPUTED_VALUE"""),"L1")</f>
        <v>L1</v>
      </c>
      <c r="R1968" s="6">
        <f>IFERROR(__xludf.DUMMYFUNCTION("""COMPUTED_VALUE"""),1.0)</f>
        <v>1</v>
      </c>
      <c r="S1968" s="6" t="str">
        <f>IFERROR(__xludf.DUMMYFUNCTION("""COMPUTED_VALUE"""),"Patricio Rosas")</f>
        <v>Patricio Rosas</v>
      </c>
      <c r="T1968" s="6" t="str">
        <f>IFERROR(__xludf.DUMMYFUNCTION("""COMPUTED_VALUE"""),"patricio.rosas@alpha.school")</f>
        <v>patricio.rosas@alpha.school</v>
      </c>
      <c r="U1968" s="6" t="str">
        <f>IFERROR(__xludf.DUMMYFUNCTION("""COMPUTED_VALUE"""),"3")</f>
        <v>3</v>
      </c>
      <c r="V1968" s="6" t="str">
        <f>IFERROR(__xludf.DUMMYFUNCTION("""COMPUTED_VALUE"""),"")</f>
        <v/>
      </c>
      <c r="W1968" s="6" t="str">
        <f>IFERROR(__xludf.DUMMYFUNCTION("""COMPUTED_VALUE"""),"[]")</f>
        <v>[]</v>
      </c>
      <c r="X1968" s="6" t="str">
        <f>IFERROR(__xludf.DUMMYFUNCTION("""COMPUTED_VALUE"""),"Enrolled")</f>
        <v>Enrolled</v>
      </c>
    </row>
    <row r="1969">
      <c r="A1969" s="6" t="str">
        <f>IFERROR(__xludf.DUMMYFUNCTION("""COMPUTED_VALUE"""),"020-2714")</f>
        <v>020-2714</v>
      </c>
      <c r="B1969" s="6" t="str">
        <f>IFERROR(__xludf.DUMMYFUNCTION("""COMPUTED_VALUE"""),"20")</f>
        <v>20</v>
      </c>
      <c r="C1969" s="6" t="str">
        <f>IFERROR(__xludf.DUMMYFUNCTION("""COMPUTED_VALUE"""),"2714")</f>
        <v>2714</v>
      </c>
      <c r="D1969" s="6" t="str">
        <f>IFERROR(__xludf.DUMMYFUNCTION("""COMPUTED_VALUE"""),"Eden")</f>
        <v>Eden</v>
      </c>
      <c r="E1969" s="6" t="str">
        <f>IFERROR(__xludf.DUMMYFUNCTION("""COMPUTED_VALUE"""),"Eden")</f>
        <v>Eden</v>
      </c>
      <c r="F1969" s="6" t="str">
        <f>IFERROR(__xludf.DUMMYFUNCTION("""COMPUTED_VALUE"""),"Meave")</f>
        <v>Meave</v>
      </c>
      <c r="G1969" s="6" t="str">
        <f>IFERROR(__xludf.DUMMYFUNCTION("""COMPUTED_VALUE"""),"07/24/2015")</f>
        <v>07/24/2015</v>
      </c>
      <c r="H1969" s="6" t="str">
        <f>IFERROR(__xludf.DUMMYFUNCTION("""COMPUTED_VALUE"""),"Self Identify")</f>
        <v>Self Identify</v>
      </c>
      <c r="I1969" s="6" t="str">
        <f>IFERROR(__xludf.DUMMYFUNCTION("""COMPUTED_VALUE"""),"Level 2")</f>
        <v>Level 2</v>
      </c>
      <c r="J1969" s="6" t="str">
        <f>IFERROR(__xludf.DUMMYFUNCTION("""COMPUTED_VALUE"""),"5")</f>
        <v>5</v>
      </c>
      <c r="K1969" s="6" t="str">
        <f>IFERROR(__xludf.DUMMYFUNCTION("""COMPUTED_VALUE"""),"eden.meave@alpha.school")</f>
        <v>eden.meave@alpha.school</v>
      </c>
      <c r="L1969" s="6" t="str">
        <f>IFERROR(__xludf.DUMMYFUNCTION("""COMPUTED_VALUE"""),"Alpha School Scottsdale")</f>
        <v>Alpha School Scottsdale</v>
      </c>
      <c r="M1969" s="6" t="str">
        <f>IFERROR(__xludf.DUMMYFUNCTION("""COMPUTED_VALUE"""),"")</f>
        <v/>
      </c>
      <c r="N1969" s="6" t="str">
        <f>IFERROR(__xludf.DUMMYFUNCTION("""COMPUTED_VALUE"""),"")</f>
        <v/>
      </c>
      <c r="O1969" s="87" t="str">
        <f>IFERROR(__xludf.DUMMYFUNCTION("""COMPUTED_VALUE"""),"https://drive.google.com/drive/folders/10T2cTQHqEJZqE-st6uFKPoI?usp=share_link")</f>
        <v>https://drive.google.com/drive/folders/10T2cTQHqEJZqE-st6uFKPoI?usp=share_link</v>
      </c>
      <c r="P1969" s="6" t="str">
        <f>IFERROR(__xludf.DUMMYFUNCTION("""COMPUTED_VALUE"""),"Eden Meave")</f>
        <v>Eden Meave</v>
      </c>
      <c r="Q1969" s="6" t="str">
        <f>IFERROR(__xludf.DUMMYFUNCTION("""COMPUTED_VALUE"""),"L2")</f>
        <v>L2</v>
      </c>
      <c r="R1969" s="6">
        <f>IFERROR(__xludf.DUMMYFUNCTION("""COMPUTED_VALUE"""),2.0)</f>
        <v>2</v>
      </c>
      <c r="S1969" s="6" t="str">
        <f>IFERROR(__xludf.DUMMYFUNCTION("""COMPUTED_VALUE"""),"Matt Shenker")</f>
        <v>Matt Shenker</v>
      </c>
      <c r="T1969" s="6" t="str">
        <f>IFERROR(__xludf.DUMMYFUNCTION("""COMPUTED_VALUE"""),"matt.shenker@alpha.school")</f>
        <v>matt.shenker@alpha.school</v>
      </c>
      <c r="U1969" s="6" t="str">
        <f>IFERROR(__xludf.DUMMYFUNCTION("""COMPUTED_VALUE"""),"5")</f>
        <v>5</v>
      </c>
      <c r="V1969" s="6" t="str">
        <f>IFERROR(__xludf.DUMMYFUNCTION("""COMPUTED_VALUE"""),"")</f>
        <v/>
      </c>
      <c r="W1969" s="6" t="str">
        <f>IFERROR(__xludf.DUMMYFUNCTION("""COMPUTED_VALUE"""),"[]")</f>
        <v>[]</v>
      </c>
      <c r="X1969" s="6" t="str">
        <f>IFERROR(__xludf.DUMMYFUNCTION("""COMPUTED_VALUE"""),"Enrolled")</f>
        <v>Enrolled</v>
      </c>
    </row>
    <row r="1970">
      <c r="A1970" s="6" t="str">
        <f>IFERROR(__xludf.DUMMYFUNCTION("""COMPUTED_VALUE"""),"020-3504")</f>
        <v>020-3504</v>
      </c>
      <c r="B1970" s="6" t="str">
        <f>IFERROR(__xludf.DUMMYFUNCTION("""COMPUTED_VALUE"""),"20")</f>
        <v>20</v>
      </c>
      <c r="C1970" s="6" t="str">
        <f>IFERROR(__xludf.DUMMYFUNCTION("""COMPUTED_VALUE"""),"3504")</f>
        <v>3504</v>
      </c>
      <c r="D1970" s="6" t="str">
        <f>IFERROR(__xludf.DUMMYFUNCTION("""COMPUTED_VALUE"""),"Elliott")</f>
        <v>Elliott</v>
      </c>
      <c r="E1970" s="6" t="str">
        <f>IFERROR(__xludf.DUMMYFUNCTION("""COMPUTED_VALUE"""),"Elliott")</f>
        <v>Elliott</v>
      </c>
      <c r="F1970" s="6" t="str">
        <f>IFERROR(__xludf.DUMMYFUNCTION("""COMPUTED_VALUE"""),"Rudnicki")</f>
        <v>Rudnicki</v>
      </c>
      <c r="G1970" s="6" t="str">
        <f>IFERROR(__xludf.DUMMYFUNCTION("""COMPUTED_VALUE"""),"03/02/2020")</f>
        <v>03/02/2020</v>
      </c>
      <c r="H1970" s="6" t="str">
        <f>IFERROR(__xludf.DUMMYFUNCTION("""COMPUTED_VALUE"""),"male")</f>
        <v>male</v>
      </c>
      <c r="I1970" s="6" t="str">
        <f>IFERROR(__xludf.DUMMYFUNCTION("""COMPUTED_VALUE"""),"Learning Lab")</f>
        <v>Learning Lab</v>
      </c>
      <c r="J1970" s="6" t="str">
        <f>IFERROR(__xludf.DUMMYFUNCTION("""COMPUTED_VALUE"""),"K")</f>
        <v>K</v>
      </c>
      <c r="K1970" s="6" t="str">
        <f>IFERROR(__xludf.DUMMYFUNCTION("""COMPUTED_VALUE"""),"elliott.rudnicki@alpha.school")</f>
        <v>elliott.rudnicki@alpha.school</v>
      </c>
      <c r="L1970" s="6" t="str">
        <f>IFERROR(__xludf.DUMMYFUNCTION("""COMPUTED_VALUE"""),"Alpha School Scottsdale")</f>
        <v>Alpha School Scottsdale</v>
      </c>
      <c r="M1970" s="6" t="str">
        <f>IFERROR(__xludf.DUMMYFUNCTION("""COMPUTED_VALUE"""),"")</f>
        <v/>
      </c>
      <c r="N1970" s="6" t="str">
        <f>IFERROR(__xludf.DUMMYFUNCTION("""COMPUTED_VALUE"""),"")</f>
        <v/>
      </c>
      <c r="O1970" s="87" t="str">
        <f>IFERROR(__xludf.DUMMYFUNCTION("""COMPUTED_VALUE"""),"https://drive.google.com/drive/folders/10T2cTQHqEJZqE-st6uFKPoI?usp=share_link")</f>
        <v>https://drive.google.com/drive/folders/10T2cTQHqEJZqE-st6uFKPoI?usp=share_link</v>
      </c>
      <c r="P1970" s="6" t="str">
        <f>IFERROR(__xludf.DUMMYFUNCTION("""COMPUTED_VALUE"""),"Elliott Rudnicki")</f>
        <v>Elliott Rudnicki</v>
      </c>
      <c r="Q1970" s="6" t="str">
        <f>IFERROR(__xludf.DUMMYFUNCTION("""COMPUTED_VALUE"""),"LL")</f>
        <v>LL</v>
      </c>
      <c r="R1970" s="6">
        <f>IFERROR(__xludf.DUMMYFUNCTION("""COMPUTED_VALUE"""),0.0)</f>
        <v>0</v>
      </c>
      <c r="S1970" s="6" t="str">
        <f>IFERROR(__xludf.DUMMYFUNCTION("""COMPUTED_VALUE"""),"Holly Haygood")</f>
        <v>Holly Haygood</v>
      </c>
      <c r="T1970" s="6" t="str">
        <f>IFERROR(__xludf.DUMMYFUNCTION("""COMPUTED_VALUE"""),"holly.haygood@alpha.school")</f>
        <v>holly.haygood@alpha.school</v>
      </c>
      <c r="U1970" s="6" t="str">
        <f>IFERROR(__xludf.DUMMYFUNCTION("""COMPUTED_VALUE"""),"K")</f>
        <v>K</v>
      </c>
      <c r="V1970" s="6" t="str">
        <f>IFERROR(__xludf.DUMMYFUNCTION("""COMPUTED_VALUE"""),"")</f>
        <v/>
      </c>
      <c r="W1970" s="6" t="str">
        <f>IFERROR(__xludf.DUMMYFUNCTION("""COMPUTED_VALUE"""),"[]")</f>
        <v>[]</v>
      </c>
      <c r="X1970" s="6" t="str">
        <f>IFERROR(__xludf.DUMMYFUNCTION("""COMPUTED_VALUE"""),"Enrolled")</f>
        <v>Enrolled</v>
      </c>
    </row>
    <row r="1971">
      <c r="A1971" s="6" t="str">
        <f>IFERROR(__xludf.DUMMYFUNCTION("""COMPUTED_VALUE"""),"020-3626")</f>
        <v>020-3626</v>
      </c>
      <c r="B1971" s="6" t="str">
        <f>IFERROR(__xludf.DUMMYFUNCTION("""COMPUTED_VALUE"""),"20")</f>
        <v>20</v>
      </c>
      <c r="C1971" s="6" t="str">
        <f>IFERROR(__xludf.DUMMYFUNCTION("""COMPUTED_VALUE"""),"3626")</f>
        <v>3626</v>
      </c>
      <c r="D1971" s="6" t="str">
        <f>IFERROR(__xludf.DUMMYFUNCTION("""COMPUTED_VALUE"""),"Garret")</f>
        <v>Garret</v>
      </c>
      <c r="E1971" s="6" t="str">
        <f>IFERROR(__xludf.DUMMYFUNCTION("""COMPUTED_VALUE"""),"Garret")</f>
        <v>Garret</v>
      </c>
      <c r="F1971" s="6" t="str">
        <f>IFERROR(__xludf.DUMMYFUNCTION("""COMPUTED_VALUE"""),"Farnham")</f>
        <v>Farnham</v>
      </c>
      <c r="G1971" s="6" t="str">
        <f>IFERROR(__xludf.DUMMYFUNCTION("""COMPUTED_VALUE"""),"05/30/2014")</f>
        <v>05/30/2014</v>
      </c>
      <c r="H1971" s="6" t="str">
        <f>IFERROR(__xludf.DUMMYFUNCTION("""COMPUTED_VALUE"""),"male")</f>
        <v>male</v>
      </c>
      <c r="I1971" s="6" t="str">
        <f>IFERROR(__xludf.DUMMYFUNCTION("""COMPUTED_VALUE"""),"Middle School")</f>
        <v>Middle School</v>
      </c>
      <c r="J1971" s="6" t="str">
        <f>IFERROR(__xludf.DUMMYFUNCTION("""COMPUTED_VALUE"""),"6")</f>
        <v>6</v>
      </c>
      <c r="K1971" s="6" t="str">
        <f>IFERROR(__xludf.DUMMYFUNCTION("""COMPUTED_VALUE"""),"garret.farnham@alpha.school")</f>
        <v>garret.farnham@alpha.school</v>
      </c>
      <c r="L1971" s="6" t="str">
        <f>IFERROR(__xludf.DUMMYFUNCTION("""COMPUTED_VALUE"""),"Alpha School Scottsdale")</f>
        <v>Alpha School Scottsdale</v>
      </c>
      <c r="M1971" s="6" t="str">
        <f>IFERROR(__xludf.DUMMYFUNCTION("""COMPUTED_VALUE"""),"")</f>
        <v/>
      </c>
      <c r="N1971" s="6" t="str">
        <f>IFERROR(__xludf.DUMMYFUNCTION("""COMPUTED_VALUE"""),"")</f>
        <v/>
      </c>
      <c r="O1971" s="87" t="str">
        <f>IFERROR(__xludf.DUMMYFUNCTION("""COMPUTED_VALUE"""),"https://drive.google.com/drive/folders/10T2cTQHqEJZqE-st6uFKPoI?usp=share_link")</f>
        <v>https://drive.google.com/drive/folders/10T2cTQHqEJZqE-st6uFKPoI?usp=share_link</v>
      </c>
      <c r="P1971" s="6" t="str">
        <f>IFERROR(__xludf.DUMMYFUNCTION("""COMPUTED_VALUE"""),"Garret Farnham")</f>
        <v>Garret Farnham</v>
      </c>
      <c r="Q1971" s="6" t="str">
        <f>IFERROR(__xludf.DUMMYFUNCTION("""COMPUTED_VALUE"""),"MS")</f>
        <v>MS</v>
      </c>
      <c r="R1971" s="6">
        <f>IFERROR(__xludf.DUMMYFUNCTION("""COMPUTED_VALUE"""),0.0)</f>
        <v>0</v>
      </c>
      <c r="S1971" s="6" t="str">
        <f>IFERROR(__xludf.DUMMYFUNCTION("""COMPUTED_VALUE"""),"Zac DeJovine")</f>
        <v>Zac DeJovine</v>
      </c>
      <c r="T1971" s="6" t="str">
        <f>IFERROR(__xludf.DUMMYFUNCTION("""COMPUTED_VALUE"""),"zac.dejovine@alpha.school")</f>
        <v>zac.dejovine@alpha.school</v>
      </c>
      <c r="U1971" s="6" t="str">
        <f>IFERROR(__xludf.DUMMYFUNCTION("""COMPUTED_VALUE"""),"6")</f>
        <v>6</v>
      </c>
      <c r="V1971" s="6" t="str">
        <f>IFERROR(__xludf.DUMMYFUNCTION("""COMPUTED_VALUE"""),"")</f>
        <v/>
      </c>
      <c r="W1971" s="6" t="str">
        <f>IFERROR(__xludf.DUMMYFUNCTION("""COMPUTED_VALUE"""),"[]")</f>
        <v>[]</v>
      </c>
      <c r="X1971" s="6" t="str">
        <f>IFERROR(__xludf.DUMMYFUNCTION("""COMPUTED_VALUE"""),"Enrolled")</f>
        <v>Enrolled</v>
      </c>
    </row>
    <row r="1972">
      <c r="A1972" s="6" t="str">
        <f>IFERROR(__xludf.DUMMYFUNCTION("""COMPUTED_VALUE"""),"020-3647")</f>
        <v>020-3647</v>
      </c>
      <c r="B1972" s="6" t="str">
        <f>IFERROR(__xludf.DUMMYFUNCTION("""COMPUTED_VALUE"""),"20")</f>
        <v>20</v>
      </c>
      <c r="C1972" s="6" t="str">
        <f>IFERROR(__xludf.DUMMYFUNCTION("""COMPUTED_VALUE"""),"3647")</f>
        <v>3647</v>
      </c>
      <c r="D1972" s="6" t="str">
        <f>IFERROR(__xludf.DUMMYFUNCTION("""COMPUTED_VALUE"""),"Brecken")</f>
        <v>Brecken</v>
      </c>
      <c r="E1972" s="6" t="str">
        <f>IFERROR(__xludf.DUMMYFUNCTION("""COMPUTED_VALUE"""),"")</f>
        <v/>
      </c>
      <c r="F1972" s="6" t="str">
        <f>IFERROR(__xludf.DUMMYFUNCTION("""COMPUTED_VALUE"""),"Smith")</f>
        <v>Smith</v>
      </c>
      <c r="G1972" s="6" t="str">
        <f>IFERROR(__xludf.DUMMYFUNCTION("""COMPUTED_VALUE"""),"10/24/2013")</f>
        <v>10/24/2013</v>
      </c>
      <c r="H1972" s="6" t="str">
        <f>IFERROR(__xludf.DUMMYFUNCTION("""COMPUTED_VALUE"""),"Self Identify")</f>
        <v>Self Identify</v>
      </c>
      <c r="I1972" s="6" t="str">
        <f>IFERROR(__xludf.DUMMYFUNCTION("""COMPUTED_VALUE"""),"Middle School")</f>
        <v>Middle School</v>
      </c>
      <c r="J1972" s="6" t="str">
        <f>IFERROR(__xludf.DUMMYFUNCTION("""COMPUTED_VALUE"""),"6")</f>
        <v>6</v>
      </c>
      <c r="K1972" s="6" t="str">
        <f>IFERROR(__xludf.DUMMYFUNCTION("""COMPUTED_VALUE"""),"brecken.smith@alpha.school")</f>
        <v>brecken.smith@alpha.school</v>
      </c>
      <c r="L1972" s="6" t="str">
        <f>IFERROR(__xludf.DUMMYFUNCTION("""COMPUTED_VALUE"""),"Alpha School Scottsdale")</f>
        <v>Alpha School Scottsdale</v>
      </c>
      <c r="M1972" s="6" t="str">
        <f>IFERROR(__xludf.DUMMYFUNCTION("""COMPUTED_VALUE"""),"")</f>
        <v/>
      </c>
      <c r="N1972" s="6" t="str">
        <f>IFERROR(__xludf.DUMMYFUNCTION("""COMPUTED_VALUE"""),"")</f>
        <v/>
      </c>
      <c r="O1972" s="87" t="str">
        <f>IFERROR(__xludf.DUMMYFUNCTION("""COMPUTED_VALUE"""),"https://drive.google.com/drive/folders/10T2cTQHqEJZqE-st6uFKPoI?usp=share_link")</f>
        <v>https://drive.google.com/drive/folders/10T2cTQHqEJZqE-st6uFKPoI?usp=share_link</v>
      </c>
      <c r="P1972" s="6" t="str">
        <f>IFERROR(__xludf.DUMMYFUNCTION("""COMPUTED_VALUE"""),"Brecken Smith")</f>
        <v>Brecken Smith</v>
      </c>
      <c r="Q1972" s="6" t="str">
        <f>IFERROR(__xludf.DUMMYFUNCTION("""COMPUTED_VALUE"""),"MS")</f>
        <v>MS</v>
      </c>
      <c r="R1972" s="6">
        <f>IFERROR(__xludf.DUMMYFUNCTION("""COMPUTED_VALUE"""),0.0)</f>
        <v>0</v>
      </c>
      <c r="S1972" s="6" t="str">
        <f>IFERROR(__xludf.DUMMYFUNCTION("""COMPUTED_VALUE"""),"Zac DeJovine")</f>
        <v>Zac DeJovine</v>
      </c>
      <c r="T1972" s="6" t="str">
        <f>IFERROR(__xludf.DUMMYFUNCTION("""COMPUTED_VALUE"""),"zac.dejovine@alpha.school")</f>
        <v>zac.dejovine@alpha.school</v>
      </c>
      <c r="U1972" s="6" t="str">
        <f>IFERROR(__xludf.DUMMYFUNCTION("""COMPUTED_VALUE"""),"6")</f>
        <v>6</v>
      </c>
      <c r="V1972" s="6" t="str">
        <f>IFERROR(__xludf.DUMMYFUNCTION("""COMPUTED_VALUE"""),"")</f>
        <v/>
      </c>
      <c r="W1972" s="6" t="str">
        <f>IFERROR(__xludf.DUMMYFUNCTION("""COMPUTED_VALUE"""),"[]")</f>
        <v>[]</v>
      </c>
      <c r="X1972" s="6" t="str">
        <f>IFERROR(__xludf.DUMMYFUNCTION("""COMPUTED_VALUE"""),"Enrolled")</f>
        <v>Enrolled</v>
      </c>
    </row>
    <row r="1973">
      <c r="A1973" s="6" t="str">
        <f>IFERROR(__xludf.DUMMYFUNCTION("""COMPUTED_VALUE"""),"020-3654")</f>
        <v>020-3654</v>
      </c>
      <c r="B1973" s="6" t="str">
        <f>IFERROR(__xludf.DUMMYFUNCTION("""COMPUTED_VALUE"""),"20")</f>
        <v>20</v>
      </c>
      <c r="C1973" s="6" t="str">
        <f>IFERROR(__xludf.DUMMYFUNCTION("""COMPUTED_VALUE"""),"3654")</f>
        <v>3654</v>
      </c>
      <c r="D1973" s="6" t="str">
        <f>IFERROR(__xludf.DUMMYFUNCTION("""COMPUTED_VALUE"""),"Griffin")</f>
        <v>Griffin</v>
      </c>
      <c r="E1973" s="6" t="str">
        <f>IFERROR(__xludf.DUMMYFUNCTION("""COMPUTED_VALUE"""),"Griffin")</f>
        <v>Griffin</v>
      </c>
      <c r="F1973" s="6" t="str">
        <f>IFERROR(__xludf.DUMMYFUNCTION("""COMPUTED_VALUE"""),"Farnham")</f>
        <v>Farnham</v>
      </c>
      <c r="G1973" s="6" t="str">
        <f>IFERROR(__xludf.DUMMYFUNCTION("""COMPUTED_VALUE"""),"08/22/2017")</f>
        <v>08/22/2017</v>
      </c>
      <c r="H1973" s="6" t="str">
        <f>IFERROR(__xludf.DUMMYFUNCTION("""COMPUTED_VALUE"""),"Self Identify")</f>
        <v>Self Identify</v>
      </c>
      <c r="I1973" s="6" t="str">
        <f>IFERROR(__xludf.DUMMYFUNCTION("""COMPUTED_VALUE"""),"Level 1")</f>
        <v>Level 1</v>
      </c>
      <c r="J1973" s="6" t="str">
        <f>IFERROR(__xludf.DUMMYFUNCTION("""COMPUTED_VALUE"""),"3")</f>
        <v>3</v>
      </c>
      <c r="K1973" s="6" t="str">
        <f>IFERROR(__xludf.DUMMYFUNCTION("""COMPUTED_VALUE"""),"griffin.farnham@alpha.school")</f>
        <v>griffin.farnham@alpha.school</v>
      </c>
      <c r="L1973" s="6" t="str">
        <f>IFERROR(__xludf.DUMMYFUNCTION("""COMPUTED_VALUE"""),"Alpha School Scottsdale")</f>
        <v>Alpha School Scottsdale</v>
      </c>
      <c r="M1973" s="6" t="str">
        <f>IFERROR(__xludf.DUMMYFUNCTION("""COMPUTED_VALUE"""),"")</f>
        <v/>
      </c>
      <c r="N1973" s="6" t="str">
        <f>IFERROR(__xludf.DUMMYFUNCTION("""COMPUTED_VALUE"""),"")</f>
        <v/>
      </c>
      <c r="O1973" s="87" t="str">
        <f>IFERROR(__xludf.DUMMYFUNCTION("""COMPUTED_VALUE"""),"https://drive.google.com/drive/folders/10T2cTQHqEJZqE-st6uFKPoI?usp=share_link")</f>
        <v>https://drive.google.com/drive/folders/10T2cTQHqEJZqE-st6uFKPoI?usp=share_link</v>
      </c>
      <c r="P1973" s="6" t="str">
        <f>IFERROR(__xludf.DUMMYFUNCTION("""COMPUTED_VALUE"""),"Griffin Farnham")</f>
        <v>Griffin Farnham</v>
      </c>
      <c r="Q1973" s="6" t="str">
        <f>IFERROR(__xludf.DUMMYFUNCTION("""COMPUTED_VALUE"""),"L1")</f>
        <v>L1</v>
      </c>
      <c r="R1973" s="6">
        <f>IFERROR(__xludf.DUMMYFUNCTION("""COMPUTED_VALUE"""),1.0)</f>
        <v>1</v>
      </c>
      <c r="S1973" s="6" t="str">
        <f>IFERROR(__xludf.DUMMYFUNCTION("""COMPUTED_VALUE"""),"Patricio Rosas")</f>
        <v>Patricio Rosas</v>
      </c>
      <c r="T1973" s="6" t="str">
        <f>IFERROR(__xludf.DUMMYFUNCTION("""COMPUTED_VALUE"""),"patricio.rosas@alpha.school")</f>
        <v>patricio.rosas@alpha.school</v>
      </c>
      <c r="U1973" s="6" t="str">
        <f>IFERROR(__xludf.DUMMYFUNCTION("""COMPUTED_VALUE"""),"3")</f>
        <v>3</v>
      </c>
      <c r="V1973" s="6" t="str">
        <f>IFERROR(__xludf.DUMMYFUNCTION("""COMPUTED_VALUE"""),"")</f>
        <v/>
      </c>
      <c r="W1973" s="6" t="str">
        <f>IFERROR(__xludf.DUMMYFUNCTION("""COMPUTED_VALUE"""),"[]")</f>
        <v>[]</v>
      </c>
      <c r="X1973" s="6" t="str">
        <f>IFERROR(__xludf.DUMMYFUNCTION("""COMPUTED_VALUE"""),"Enrolled")</f>
        <v>Enrolled</v>
      </c>
    </row>
    <row r="1974">
      <c r="A1974" s="6" t="str">
        <f>IFERROR(__xludf.DUMMYFUNCTION("""COMPUTED_VALUE"""),"020-4843")</f>
        <v>020-4843</v>
      </c>
      <c r="B1974" s="6" t="str">
        <f>IFERROR(__xludf.DUMMYFUNCTION("""COMPUTED_VALUE"""),"20")</f>
        <v>20</v>
      </c>
      <c r="C1974" s="6" t="str">
        <f>IFERROR(__xludf.DUMMYFUNCTION("""COMPUTED_VALUE"""),"4843")</f>
        <v>4843</v>
      </c>
      <c r="D1974" s="6" t="str">
        <f>IFERROR(__xludf.DUMMYFUNCTION("""COMPUTED_VALUE"""),"Kai")</f>
        <v>Kai</v>
      </c>
      <c r="E1974" s="6" t="str">
        <f>IFERROR(__xludf.DUMMYFUNCTION("""COMPUTED_VALUE"""),"Kai")</f>
        <v>Kai</v>
      </c>
      <c r="F1974" s="6" t="str">
        <f>IFERROR(__xludf.DUMMYFUNCTION("""COMPUTED_VALUE"""),"Abromovitz")</f>
        <v>Abromovitz</v>
      </c>
      <c r="G1974" s="6" t="str">
        <f>IFERROR(__xludf.DUMMYFUNCTION("""COMPUTED_VALUE"""),"10/14/2014")</f>
        <v>10/14/2014</v>
      </c>
      <c r="H1974" s="6" t="str">
        <f>IFERROR(__xludf.DUMMYFUNCTION("""COMPUTED_VALUE"""),"male")</f>
        <v>male</v>
      </c>
      <c r="I1974" s="6" t="str">
        <f>IFERROR(__xludf.DUMMYFUNCTION("""COMPUTED_VALUE"""),"Level 2")</f>
        <v>Level 2</v>
      </c>
      <c r="J1974" s="6" t="str">
        <f>IFERROR(__xludf.DUMMYFUNCTION("""COMPUTED_VALUE"""),"5")</f>
        <v>5</v>
      </c>
      <c r="K1974" s="6" t="str">
        <f>IFERROR(__xludf.DUMMYFUNCTION("""COMPUTED_VALUE"""),"kai.abromovitz@alpha.school")</f>
        <v>kai.abromovitz@alpha.school</v>
      </c>
      <c r="L1974" s="6" t="str">
        <f>IFERROR(__xludf.DUMMYFUNCTION("""COMPUTED_VALUE"""),"Alpha School Scottsdale")</f>
        <v>Alpha School Scottsdale</v>
      </c>
      <c r="M1974" s="6" t="str">
        <f>IFERROR(__xludf.DUMMYFUNCTION("""COMPUTED_VALUE"""),"")</f>
        <v/>
      </c>
      <c r="N1974" s="6" t="str">
        <f>IFERROR(__xludf.DUMMYFUNCTION("""COMPUTED_VALUE"""),"")</f>
        <v/>
      </c>
      <c r="O1974" s="87" t="str">
        <f>IFERROR(__xludf.DUMMYFUNCTION("""COMPUTED_VALUE"""),"https://drive.google.com/drive/folders/10T2cTQHqEJZqE-st6uFKPoI?usp=share_link")</f>
        <v>https://drive.google.com/drive/folders/10T2cTQHqEJZqE-st6uFKPoI?usp=share_link</v>
      </c>
      <c r="P1974" s="6" t="str">
        <f>IFERROR(__xludf.DUMMYFUNCTION("""COMPUTED_VALUE"""),"Kai Abromovitz")</f>
        <v>Kai Abromovitz</v>
      </c>
      <c r="Q1974" s="6" t="str">
        <f>IFERROR(__xludf.DUMMYFUNCTION("""COMPUTED_VALUE"""),"L2")</f>
        <v>L2</v>
      </c>
      <c r="R1974" s="6">
        <f>IFERROR(__xludf.DUMMYFUNCTION("""COMPUTED_VALUE"""),2.0)</f>
        <v>2</v>
      </c>
      <c r="S1974" s="6" t="str">
        <f>IFERROR(__xludf.DUMMYFUNCTION("""COMPUTED_VALUE"""),"Matt Shenker")</f>
        <v>Matt Shenker</v>
      </c>
      <c r="T1974" s="6" t="str">
        <f>IFERROR(__xludf.DUMMYFUNCTION("""COMPUTED_VALUE"""),"matt.shenker@alpha.school")</f>
        <v>matt.shenker@alpha.school</v>
      </c>
      <c r="U1974" s="6" t="str">
        <f>IFERROR(__xludf.DUMMYFUNCTION("""COMPUTED_VALUE"""),"5")</f>
        <v>5</v>
      </c>
      <c r="V1974" s="6" t="str">
        <f>IFERROR(__xludf.DUMMYFUNCTION("""COMPUTED_VALUE"""),"")</f>
        <v/>
      </c>
      <c r="W1974" s="6" t="str">
        <f>IFERROR(__xludf.DUMMYFUNCTION("""COMPUTED_VALUE"""),"[]")</f>
        <v>[]</v>
      </c>
      <c r="X1974" s="6" t="str">
        <f>IFERROR(__xludf.DUMMYFUNCTION("""COMPUTED_VALUE"""),"Enrolled")</f>
        <v>Enrolled</v>
      </c>
    </row>
    <row r="1975">
      <c r="A1975" s="6" t="str">
        <f>IFERROR(__xludf.DUMMYFUNCTION("""COMPUTED_VALUE"""),"020-4996")</f>
        <v>020-4996</v>
      </c>
      <c r="B1975" s="6" t="str">
        <f>IFERROR(__xludf.DUMMYFUNCTION("""COMPUTED_VALUE"""),"20")</f>
        <v>20</v>
      </c>
      <c r="C1975" s="6" t="str">
        <f>IFERROR(__xludf.DUMMYFUNCTION("""COMPUTED_VALUE"""),"4996")</f>
        <v>4996</v>
      </c>
      <c r="D1975" s="6" t="str">
        <f>IFERROR(__xludf.DUMMYFUNCTION("""COMPUTED_VALUE"""),"Milan")</f>
        <v>Milan</v>
      </c>
      <c r="E1975" s="6" t="str">
        <f>IFERROR(__xludf.DUMMYFUNCTION("""COMPUTED_VALUE"""),"Milan")</f>
        <v>Milan</v>
      </c>
      <c r="F1975" s="6" t="str">
        <f>IFERROR(__xludf.DUMMYFUNCTION("""COMPUTED_VALUE"""),"Marcinek")</f>
        <v>Marcinek</v>
      </c>
      <c r="G1975" s="6" t="str">
        <f>IFERROR(__xludf.DUMMYFUNCTION("""COMPUTED_VALUE"""),"08/13/2013")</f>
        <v>08/13/2013</v>
      </c>
      <c r="H1975" s="6" t="str">
        <f>IFERROR(__xludf.DUMMYFUNCTION("""COMPUTED_VALUE"""),"female")</f>
        <v>female</v>
      </c>
      <c r="I1975" s="6" t="str">
        <f>IFERROR(__xludf.DUMMYFUNCTION("""COMPUTED_VALUE"""),"Middle School")</f>
        <v>Middle School</v>
      </c>
      <c r="J1975" s="6" t="str">
        <f>IFERROR(__xludf.DUMMYFUNCTION("""COMPUTED_VALUE"""),"6")</f>
        <v>6</v>
      </c>
      <c r="K1975" s="6" t="str">
        <f>IFERROR(__xludf.DUMMYFUNCTION("""COMPUTED_VALUE"""),"milan.marcinek@2hourlearning.com")</f>
        <v>milan.marcinek@2hourlearning.com</v>
      </c>
      <c r="L1975" s="6" t="str">
        <f>IFERROR(__xludf.DUMMYFUNCTION("""COMPUTED_VALUE"""),"Alpha School Scottsdale")</f>
        <v>Alpha School Scottsdale</v>
      </c>
      <c r="M1975" s="6" t="str">
        <f>IFERROR(__xludf.DUMMYFUNCTION("""COMPUTED_VALUE"""),"")</f>
        <v/>
      </c>
      <c r="N1975" s="6" t="str">
        <f>IFERROR(__xludf.DUMMYFUNCTION("""COMPUTED_VALUE"""),"")</f>
        <v/>
      </c>
      <c r="O1975" s="87" t="str">
        <f>IFERROR(__xludf.DUMMYFUNCTION("""COMPUTED_VALUE"""),"https://drive.google.com/drive/folders/10T2cTQHqEJZqE-st6uFKPoI?usp=share_link")</f>
        <v>https://drive.google.com/drive/folders/10T2cTQHqEJZqE-st6uFKPoI?usp=share_link</v>
      </c>
      <c r="P1975" s="6" t="str">
        <f>IFERROR(__xludf.DUMMYFUNCTION("""COMPUTED_VALUE"""),"Milan Marcinek")</f>
        <v>Milan Marcinek</v>
      </c>
      <c r="Q1975" s="6" t="str">
        <f>IFERROR(__xludf.DUMMYFUNCTION("""COMPUTED_VALUE"""),"MS")</f>
        <v>MS</v>
      </c>
      <c r="R1975" s="6">
        <f>IFERROR(__xludf.DUMMYFUNCTION("""COMPUTED_VALUE"""),0.0)</f>
        <v>0</v>
      </c>
      <c r="S1975" s="6" t="str">
        <f>IFERROR(__xludf.DUMMYFUNCTION("""COMPUTED_VALUE"""),"Zac DeJovine")</f>
        <v>Zac DeJovine</v>
      </c>
      <c r="T1975" s="6" t="str">
        <f>IFERROR(__xludf.DUMMYFUNCTION("""COMPUTED_VALUE"""),"zac.dejovine@alpha.school")</f>
        <v>zac.dejovine@alpha.school</v>
      </c>
      <c r="U1975" s="6" t="str">
        <f>IFERROR(__xludf.DUMMYFUNCTION("""COMPUTED_VALUE"""),"6")</f>
        <v>6</v>
      </c>
      <c r="V1975" s="6" t="str">
        <f>IFERROR(__xludf.DUMMYFUNCTION("""COMPUTED_VALUE"""),"")</f>
        <v/>
      </c>
      <c r="W1975" s="6" t="str">
        <f>IFERROR(__xludf.DUMMYFUNCTION("""COMPUTED_VALUE"""),"[]")</f>
        <v>[]</v>
      </c>
      <c r="X1975" s="6" t="str">
        <f>IFERROR(__xludf.DUMMYFUNCTION("""COMPUTED_VALUE"""),"Enrolled")</f>
        <v>Enrolled</v>
      </c>
    </row>
    <row r="1976">
      <c r="A1976" s="6" t="str">
        <f>IFERROR(__xludf.DUMMYFUNCTION("""COMPUTED_VALUE"""),"020-6841")</f>
        <v>020-6841</v>
      </c>
      <c r="B1976" s="6" t="str">
        <f>IFERROR(__xludf.DUMMYFUNCTION("""COMPUTED_VALUE"""),"20")</f>
        <v>20</v>
      </c>
      <c r="C1976" s="6" t="str">
        <f>IFERROR(__xludf.DUMMYFUNCTION("""COMPUTED_VALUE"""),"6841")</f>
        <v>6841</v>
      </c>
      <c r="D1976" s="6" t="str">
        <f>IFERROR(__xludf.DUMMYFUNCTION("""COMPUTED_VALUE"""),"Jameson")</f>
        <v>Jameson</v>
      </c>
      <c r="E1976" s="6" t="str">
        <f>IFERROR(__xludf.DUMMYFUNCTION("""COMPUTED_VALUE"""),"")</f>
        <v/>
      </c>
      <c r="F1976" s="6" t="str">
        <f>IFERROR(__xludf.DUMMYFUNCTION("""COMPUTED_VALUE"""),"Walsh")</f>
        <v>Walsh</v>
      </c>
      <c r="G1976" s="6" t="str">
        <f>IFERROR(__xludf.DUMMYFUNCTION("""COMPUTED_VALUE"""),"03/01/2016")</f>
        <v>03/01/2016</v>
      </c>
      <c r="H1976" s="6" t="str">
        <f>IFERROR(__xludf.DUMMYFUNCTION("""COMPUTED_VALUE"""),"male")</f>
        <v>male</v>
      </c>
      <c r="I1976" s="6" t="str">
        <f>IFERROR(__xludf.DUMMYFUNCTION("""COMPUTED_VALUE"""),"Level 1")</f>
        <v>Level 1</v>
      </c>
      <c r="J1976" s="6" t="str">
        <f>IFERROR(__xludf.DUMMYFUNCTION("""COMPUTED_VALUE"""),"3")</f>
        <v>3</v>
      </c>
      <c r="K1976" s="6" t="str">
        <f>IFERROR(__xludf.DUMMYFUNCTION("""COMPUTED_VALUE"""),"jameson.walsh@alpha.school")</f>
        <v>jameson.walsh@alpha.school</v>
      </c>
      <c r="L1976" s="6" t="str">
        <f>IFERROR(__xludf.DUMMYFUNCTION("""COMPUTED_VALUE"""),"Alpha School Scottsdale")</f>
        <v>Alpha School Scottsdale</v>
      </c>
      <c r="M1976" s="6" t="str">
        <f>IFERROR(__xludf.DUMMYFUNCTION("""COMPUTED_VALUE"""),"")</f>
        <v/>
      </c>
      <c r="N1976" s="6" t="str">
        <f>IFERROR(__xludf.DUMMYFUNCTION("""COMPUTED_VALUE"""),"")</f>
        <v/>
      </c>
      <c r="O1976" s="87" t="str">
        <f>IFERROR(__xludf.DUMMYFUNCTION("""COMPUTED_VALUE"""),"https://drive.google.com/drive/folders/10T2cTQHqEJZqE-st6uFKPoI?usp=share_link")</f>
        <v>https://drive.google.com/drive/folders/10T2cTQHqEJZqE-st6uFKPoI?usp=share_link</v>
      </c>
      <c r="P1976" s="6" t="str">
        <f>IFERROR(__xludf.DUMMYFUNCTION("""COMPUTED_VALUE"""),"Jameson Walsh")</f>
        <v>Jameson Walsh</v>
      </c>
      <c r="Q1976" s="6" t="str">
        <f>IFERROR(__xludf.DUMMYFUNCTION("""COMPUTED_VALUE"""),"L1")</f>
        <v>L1</v>
      </c>
      <c r="R1976" s="6">
        <f>IFERROR(__xludf.DUMMYFUNCTION("""COMPUTED_VALUE"""),1.0)</f>
        <v>1</v>
      </c>
      <c r="S1976" s="6" t="str">
        <f>IFERROR(__xludf.DUMMYFUNCTION("""COMPUTED_VALUE"""),"Patricio Rosas")</f>
        <v>Patricio Rosas</v>
      </c>
      <c r="T1976" s="6" t="str">
        <f>IFERROR(__xludf.DUMMYFUNCTION("""COMPUTED_VALUE"""),"patricio.rosas@alpha.school")</f>
        <v>patricio.rosas@alpha.school</v>
      </c>
      <c r="U1976" s="6" t="str">
        <f>IFERROR(__xludf.DUMMYFUNCTION("""COMPUTED_VALUE"""),"3")</f>
        <v>3</v>
      </c>
      <c r="V1976" s="6" t="str">
        <f>IFERROR(__xludf.DUMMYFUNCTION("""COMPUTED_VALUE"""),"")</f>
        <v/>
      </c>
      <c r="W1976" s="6" t="str">
        <f>IFERROR(__xludf.DUMMYFUNCTION("""COMPUTED_VALUE"""),"[]")</f>
        <v>[]</v>
      </c>
      <c r="X1976" s="6" t="str">
        <f>IFERROR(__xludf.DUMMYFUNCTION("""COMPUTED_VALUE"""),"Enrolled")</f>
        <v>Enrolled</v>
      </c>
    </row>
    <row r="1977">
      <c r="A1977" s="6" t="str">
        <f>IFERROR(__xludf.DUMMYFUNCTION("""COMPUTED_VALUE"""),"020-6967")</f>
        <v>020-6967</v>
      </c>
      <c r="B1977" s="6" t="str">
        <f>IFERROR(__xludf.DUMMYFUNCTION("""COMPUTED_VALUE"""),"20")</f>
        <v>20</v>
      </c>
      <c r="C1977" s="6" t="str">
        <f>IFERROR(__xludf.DUMMYFUNCTION("""COMPUTED_VALUE"""),"6967")</f>
        <v>6967</v>
      </c>
      <c r="D1977" s="6" t="str">
        <f>IFERROR(__xludf.DUMMYFUNCTION("""COMPUTED_VALUE"""),"Griffin")</f>
        <v>Griffin</v>
      </c>
      <c r="E1977" s="6" t="str">
        <f>IFERROR(__xludf.DUMMYFUNCTION("""COMPUTED_VALUE"""),"")</f>
        <v/>
      </c>
      <c r="F1977" s="6" t="str">
        <f>IFERROR(__xludf.DUMMYFUNCTION("""COMPUTED_VALUE"""),"Smith")</f>
        <v>Smith</v>
      </c>
      <c r="G1977" s="6" t="str">
        <f>IFERROR(__xludf.DUMMYFUNCTION("""COMPUTED_VALUE"""),"07/30/2015")</f>
        <v>07/30/2015</v>
      </c>
      <c r="H1977" s="6" t="str">
        <f>IFERROR(__xludf.DUMMYFUNCTION("""COMPUTED_VALUE"""),"male")</f>
        <v>male</v>
      </c>
      <c r="I1977" s="6" t="str">
        <f>IFERROR(__xludf.DUMMYFUNCTION("""COMPUTED_VALUE"""),"Level 2")</f>
        <v>Level 2</v>
      </c>
      <c r="J1977" s="6" t="str">
        <f>IFERROR(__xludf.DUMMYFUNCTION("""COMPUTED_VALUE"""),"4")</f>
        <v>4</v>
      </c>
      <c r="K1977" s="6" t="str">
        <f>IFERROR(__xludf.DUMMYFUNCTION("""COMPUTED_VALUE"""),"griffin.smith@alpha.school")</f>
        <v>griffin.smith@alpha.school</v>
      </c>
      <c r="L1977" s="6" t="str">
        <f>IFERROR(__xludf.DUMMYFUNCTION("""COMPUTED_VALUE"""),"Alpha School Scottsdale")</f>
        <v>Alpha School Scottsdale</v>
      </c>
      <c r="M1977" s="6" t="str">
        <f>IFERROR(__xludf.DUMMYFUNCTION("""COMPUTED_VALUE"""),"")</f>
        <v/>
      </c>
      <c r="N1977" s="6" t="str">
        <f>IFERROR(__xludf.DUMMYFUNCTION("""COMPUTED_VALUE"""),"")</f>
        <v/>
      </c>
      <c r="O1977" s="87" t="str">
        <f>IFERROR(__xludf.DUMMYFUNCTION("""COMPUTED_VALUE"""),"https://drive.google.com/drive/folders/10T2cTQHqEJZqE-st6uFKPoI?usp=share_link")</f>
        <v>https://drive.google.com/drive/folders/10T2cTQHqEJZqE-st6uFKPoI?usp=share_link</v>
      </c>
      <c r="P1977" s="6" t="str">
        <f>IFERROR(__xludf.DUMMYFUNCTION("""COMPUTED_VALUE"""),"Griffin Smith")</f>
        <v>Griffin Smith</v>
      </c>
      <c r="Q1977" s="6" t="str">
        <f>IFERROR(__xludf.DUMMYFUNCTION("""COMPUTED_VALUE"""),"L2")</f>
        <v>L2</v>
      </c>
      <c r="R1977" s="6">
        <f>IFERROR(__xludf.DUMMYFUNCTION("""COMPUTED_VALUE"""),2.0)</f>
        <v>2</v>
      </c>
      <c r="S1977" s="6" t="str">
        <f>IFERROR(__xludf.DUMMYFUNCTION("""COMPUTED_VALUE"""),"Morgan Routh")</f>
        <v>Morgan Routh</v>
      </c>
      <c r="T1977" s="6" t="str">
        <f>IFERROR(__xludf.DUMMYFUNCTION("""COMPUTED_VALUE"""),"morgan.routh@alpha.school")</f>
        <v>morgan.routh@alpha.school</v>
      </c>
      <c r="U1977" s="6" t="str">
        <f>IFERROR(__xludf.DUMMYFUNCTION("""COMPUTED_VALUE"""),"4")</f>
        <v>4</v>
      </c>
      <c r="V1977" s="6" t="str">
        <f>IFERROR(__xludf.DUMMYFUNCTION("""COMPUTED_VALUE"""),"")</f>
        <v/>
      </c>
      <c r="W1977" s="6" t="str">
        <f>IFERROR(__xludf.DUMMYFUNCTION("""COMPUTED_VALUE"""),"[]")</f>
        <v>[]</v>
      </c>
      <c r="X1977" s="6" t="str">
        <f>IFERROR(__xludf.DUMMYFUNCTION("""COMPUTED_VALUE"""),"Enrolled")</f>
        <v>Enrolled</v>
      </c>
    </row>
    <row r="1978">
      <c r="A1978" s="6" t="str">
        <f>IFERROR(__xludf.DUMMYFUNCTION("""COMPUTED_VALUE"""),"020-7175")</f>
        <v>020-7175</v>
      </c>
      <c r="B1978" s="6" t="str">
        <f>IFERROR(__xludf.DUMMYFUNCTION("""COMPUTED_VALUE"""),"20")</f>
        <v>20</v>
      </c>
      <c r="C1978" s="6" t="str">
        <f>IFERROR(__xludf.DUMMYFUNCTION("""COMPUTED_VALUE"""),"7175")</f>
        <v>7175</v>
      </c>
      <c r="D1978" s="6" t="str">
        <f>IFERROR(__xludf.DUMMYFUNCTION("""COMPUTED_VALUE"""),"Crinion")</f>
        <v>Crinion</v>
      </c>
      <c r="E1978" s="6" t="str">
        <f>IFERROR(__xludf.DUMMYFUNCTION("""COMPUTED_VALUE"""),"Crinion")</f>
        <v>Crinion</v>
      </c>
      <c r="F1978" s="6" t="str">
        <f>IFERROR(__xludf.DUMMYFUNCTION("""COMPUTED_VALUE"""),"Levin")</f>
        <v>Levin</v>
      </c>
      <c r="G1978" s="6" t="str">
        <f>IFERROR(__xludf.DUMMYFUNCTION("""COMPUTED_VALUE"""),"08/15/2013")</f>
        <v>08/15/2013</v>
      </c>
      <c r="H1978" s="6" t="str">
        <f>IFERROR(__xludf.DUMMYFUNCTION("""COMPUTED_VALUE"""),"Self Identify")</f>
        <v>Self Identify</v>
      </c>
      <c r="I1978" s="6" t="str">
        <f>IFERROR(__xludf.DUMMYFUNCTION("""COMPUTED_VALUE"""),"Middle School")</f>
        <v>Middle School</v>
      </c>
      <c r="J1978" s="6" t="str">
        <f>IFERROR(__xludf.DUMMYFUNCTION("""COMPUTED_VALUE"""),"6")</f>
        <v>6</v>
      </c>
      <c r="K1978" s="6" t="str">
        <f>IFERROR(__xludf.DUMMYFUNCTION("""COMPUTED_VALUE"""),"crinion.levin@alpha.school")</f>
        <v>crinion.levin@alpha.school</v>
      </c>
      <c r="L1978" s="6" t="str">
        <f>IFERROR(__xludf.DUMMYFUNCTION("""COMPUTED_VALUE"""),"Alpha School Scottsdale")</f>
        <v>Alpha School Scottsdale</v>
      </c>
      <c r="M1978" s="6" t="str">
        <f>IFERROR(__xludf.DUMMYFUNCTION("""COMPUTED_VALUE"""),"")</f>
        <v/>
      </c>
      <c r="N1978" s="6" t="str">
        <f>IFERROR(__xludf.DUMMYFUNCTION("""COMPUTED_VALUE"""),"")</f>
        <v/>
      </c>
      <c r="O1978" s="87" t="str">
        <f>IFERROR(__xludf.DUMMYFUNCTION("""COMPUTED_VALUE"""),"https://drive.google.com/drive/folders/10T2cTQHqEJZqE-st6uFKPoI?usp=share_link")</f>
        <v>https://drive.google.com/drive/folders/10T2cTQHqEJZqE-st6uFKPoI?usp=share_link</v>
      </c>
      <c r="P1978" s="6" t="str">
        <f>IFERROR(__xludf.DUMMYFUNCTION("""COMPUTED_VALUE"""),"Crinion Levin")</f>
        <v>Crinion Levin</v>
      </c>
      <c r="Q1978" s="6" t="str">
        <f>IFERROR(__xludf.DUMMYFUNCTION("""COMPUTED_VALUE"""),"MS")</f>
        <v>MS</v>
      </c>
      <c r="R1978" s="6">
        <f>IFERROR(__xludf.DUMMYFUNCTION("""COMPUTED_VALUE"""),0.0)</f>
        <v>0</v>
      </c>
      <c r="S1978" s="6" t="str">
        <f>IFERROR(__xludf.DUMMYFUNCTION("""COMPUTED_VALUE"""),"Morgan Routh")</f>
        <v>Morgan Routh</v>
      </c>
      <c r="T1978" s="6" t="str">
        <f>IFERROR(__xludf.DUMMYFUNCTION("""COMPUTED_VALUE"""),"morgan.routh@alpha.school")</f>
        <v>morgan.routh@alpha.school</v>
      </c>
      <c r="U1978" s="6" t="str">
        <f>IFERROR(__xludf.DUMMYFUNCTION("""COMPUTED_VALUE"""),"6")</f>
        <v>6</v>
      </c>
      <c r="V1978" s="6" t="str">
        <f>IFERROR(__xludf.DUMMYFUNCTION("""COMPUTED_VALUE"""),"")</f>
        <v/>
      </c>
      <c r="W1978" s="6" t="str">
        <f>IFERROR(__xludf.DUMMYFUNCTION("""COMPUTED_VALUE"""),"[]")</f>
        <v>[]</v>
      </c>
      <c r="X1978" s="6" t="str">
        <f>IFERROR(__xludf.DUMMYFUNCTION("""COMPUTED_VALUE"""),"Enrolled")</f>
        <v>Enrolled</v>
      </c>
    </row>
    <row r="1979">
      <c r="A1979" s="6" t="str">
        <f>IFERROR(__xludf.DUMMYFUNCTION("""COMPUTED_VALUE"""),"020-8076")</f>
        <v>020-8076</v>
      </c>
      <c r="B1979" s="6" t="str">
        <f>IFERROR(__xludf.DUMMYFUNCTION("""COMPUTED_VALUE"""),"20")</f>
        <v>20</v>
      </c>
      <c r="C1979" s="6" t="str">
        <f>IFERROR(__xludf.DUMMYFUNCTION("""COMPUTED_VALUE"""),"8076")</f>
        <v>8076</v>
      </c>
      <c r="D1979" s="6" t="str">
        <f>IFERROR(__xludf.DUMMYFUNCTION("""COMPUTED_VALUE"""),"Maren Gray")</f>
        <v>Maren Gray</v>
      </c>
      <c r="E1979" s="6" t="str">
        <f>IFERROR(__xludf.DUMMYFUNCTION("""COMPUTED_VALUE"""),"Gray")</f>
        <v>Gray</v>
      </c>
      <c r="F1979" s="6" t="str">
        <f>IFERROR(__xludf.DUMMYFUNCTION("""COMPUTED_VALUE"""),"Marcinek")</f>
        <v>Marcinek</v>
      </c>
      <c r="G1979" s="6" t="str">
        <f>IFERROR(__xludf.DUMMYFUNCTION("""COMPUTED_VALUE"""),"10/01/2019")</f>
        <v>10/01/2019</v>
      </c>
      <c r="H1979" s="6" t="str">
        <f>IFERROR(__xludf.DUMMYFUNCTION("""COMPUTED_VALUE"""),"female")</f>
        <v>female</v>
      </c>
      <c r="I1979" s="6" t="str">
        <f>IFERROR(__xludf.DUMMYFUNCTION("""COMPUTED_VALUE"""),"Learning Lab")</f>
        <v>Learning Lab</v>
      </c>
      <c r="J1979" s="6" t="str">
        <f>IFERROR(__xludf.DUMMYFUNCTION("""COMPUTED_VALUE"""),"K")</f>
        <v>K</v>
      </c>
      <c r="K1979" s="6" t="str">
        <f>IFERROR(__xludf.DUMMYFUNCTION("""COMPUTED_VALUE"""),"marengray.marcinek@alpha.school")</f>
        <v>marengray.marcinek@alpha.school</v>
      </c>
      <c r="L1979" s="6" t="str">
        <f>IFERROR(__xludf.DUMMYFUNCTION("""COMPUTED_VALUE"""),"Alpha School Scottsdale")</f>
        <v>Alpha School Scottsdale</v>
      </c>
      <c r="M1979" s="6" t="str">
        <f>IFERROR(__xludf.DUMMYFUNCTION("""COMPUTED_VALUE"""),"")</f>
        <v/>
      </c>
      <c r="N1979" s="6" t="str">
        <f>IFERROR(__xludf.DUMMYFUNCTION("""COMPUTED_VALUE"""),"")</f>
        <v/>
      </c>
      <c r="O1979" s="87" t="str">
        <f>IFERROR(__xludf.DUMMYFUNCTION("""COMPUTED_VALUE"""),"https://drive.google.com/drive/folders/10T2cTQHqEJZqE-st6uFKPoI?usp=share_link")</f>
        <v>https://drive.google.com/drive/folders/10T2cTQHqEJZqE-st6uFKPoI?usp=share_link</v>
      </c>
      <c r="P1979" s="6" t="str">
        <f>IFERROR(__xludf.DUMMYFUNCTION("""COMPUTED_VALUE"""),"Gray Marcinek")</f>
        <v>Gray Marcinek</v>
      </c>
      <c r="Q1979" s="6" t="str">
        <f>IFERROR(__xludf.DUMMYFUNCTION("""COMPUTED_VALUE"""),"LL")</f>
        <v>LL</v>
      </c>
      <c r="R1979" s="6">
        <f>IFERROR(__xludf.DUMMYFUNCTION("""COMPUTED_VALUE"""),0.0)</f>
        <v>0</v>
      </c>
      <c r="S1979" s="6" t="str">
        <f>IFERROR(__xludf.DUMMYFUNCTION("""COMPUTED_VALUE"""),"Holly Haygood")</f>
        <v>Holly Haygood</v>
      </c>
      <c r="T1979" s="6" t="str">
        <f>IFERROR(__xludf.DUMMYFUNCTION("""COMPUTED_VALUE"""),"holly.haygood@alpha.school")</f>
        <v>holly.haygood@alpha.school</v>
      </c>
      <c r="U1979" s="6" t="str">
        <f>IFERROR(__xludf.DUMMYFUNCTION("""COMPUTED_VALUE"""),"K")</f>
        <v>K</v>
      </c>
      <c r="V1979" s="6" t="str">
        <f>IFERROR(__xludf.DUMMYFUNCTION("""COMPUTED_VALUE"""),"")</f>
        <v/>
      </c>
      <c r="W1979" s="6" t="str">
        <f>IFERROR(__xludf.DUMMYFUNCTION("""COMPUTED_VALUE"""),"[]")</f>
        <v>[]</v>
      </c>
      <c r="X1979" s="6" t="str">
        <f>IFERROR(__xludf.DUMMYFUNCTION("""COMPUTED_VALUE"""),"Enrolled")</f>
        <v>Enrolled</v>
      </c>
    </row>
    <row r="1980">
      <c r="A1980" s="6" t="str">
        <f>IFERROR(__xludf.DUMMYFUNCTION("""COMPUTED_VALUE"""),"020-8390")</f>
        <v>020-8390</v>
      </c>
      <c r="B1980" s="6" t="str">
        <f>IFERROR(__xludf.DUMMYFUNCTION("""COMPUTED_VALUE"""),"20")</f>
        <v>20</v>
      </c>
      <c r="C1980" s="6" t="str">
        <f>IFERROR(__xludf.DUMMYFUNCTION("""COMPUTED_VALUE"""),"8390")</f>
        <v>8390</v>
      </c>
      <c r="D1980" s="6" t="str">
        <f>IFERROR(__xludf.DUMMYFUNCTION("""COMPUTED_VALUE"""),"Benjamin")</f>
        <v>Benjamin</v>
      </c>
      <c r="E1980" s="6" t="str">
        <f>IFERROR(__xludf.DUMMYFUNCTION("""COMPUTED_VALUE"""),"Ben")</f>
        <v>Ben</v>
      </c>
      <c r="F1980" s="6" t="str">
        <f>IFERROR(__xludf.DUMMYFUNCTION("""COMPUTED_VALUE"""),"Shaffer")</f>
        <v>Shaffer</v>
      </c>
      <c r="G1980" s="6" t="str">
        <f>IFERROR(__xludf.DUMMYFUNCTION("""COMPUTED_VALUE"""),"02/23/2015")</f>
        <v>02/23/2015</v>
      </c>
      <c r="H1980" s="6" t="str">
        <f>IFERROR(__xludf.DUMMYFUNCTION("""COMPUTED_VALUE"""),"male")</f>
        <v>male</v>
      </c>
      <c r="I1980" s="6" t="str">
        <f>IFERROR(__xludf.DUMMYFUNCTION("""COMPUTED_VALUE"""),"Level 2")</f>
        <v>Level 2</v>
      </c>
      <c r="J1980" s="6" t="str">
        <f>IFERROR(__xludf.DUMMYFUNCTION("""COMPUTED_VALUE"""),"5")</f>
        <v>5</v>
      </c>
      <c r="K1980" s="6" t="str">
        <f>IFERROR(__xludf.DUMMYFUNCTION("""COMPUTED_VALUE"""),"benjamin.shaffer@alpha.school")</f>
        <v>benjamin.shaffer@alpha.school</v>
      </c>
      <c r="L1980" s="6" t="str">
        <f>IFERROR(__xludf.DUMMYFUNCTION("""COMPUTED_VALUE"""),"Alpha School Scottsdale")</f>
        <v>Alpha School Scottsdale</v>
      </c>
      <c r="M1980" s="6" t="str">
        <f>IFERROR(__xludf.DUMMYFUNCTION("""COMPUTED_VALUE"""),"")</f>
        <v/>
      </c>
      <c r="N1980" s="6" t="str">
        <f>IFERROR(__xludf.DUMMYFUNCTION("""COMPUTED_VALUE"""),"")</f>
        <v/>
      </c>
      <c r="O1980" s="87" t="str">
        <f>IFERROR(__xludf.DUMMYFUNCTION("""COMPUTED_VALUE"""),"https://drive.google.com/drive/folders/10T2cTQHqEJZqE-st6uFKPoI?usp=share_link")</f>
        <v>https://drive.google.com/drive/folders/10T2cTQHqEJZqE-st6uFKPoI?usp=share_link</v>
      </c>
      <c r="P1980" s="6" t="str">
        <f>IFERROR(__xludf.DUMMYFUNCTION("""COMPUTED_VALUE"""),"Ben Shaffer")</f>
        <v>Ben Shaffer</v>
      </c>
      <c r="Q1980" s="6" t="str">
        <f>IFERROR(__xludf.DUMMYFUNCTION("""COMPUTED_VALUE"""),"L2")</f>
        <v>L2</v>
      </c>
      <c r="R1980" s="6">
        <f>IFERROR(__xludf.DUMMYFUNCTION("""COMPUTED_VALUE"""),2.0)</f>
        <v>2</v>
      </c>
      <c r="S1980" s="6" t="str">
        <f>IFERROR(__xludf.DUMMYFUNCTION("""COMPUTED_VALUE"""),"Zac DeJovine")</f>
        <v>Zac DeJovine</v>
      </c>
      <c r="T1980" s="6" t="str">
        <f>IFERROR(__xludf.DUMMYFUNCTION("""COMPUTED_VALUE"""),"zac.dejovine@alpha.school")</f>
        <v>zac.dejovine@alpha.school</v>
      </c>
      <c r="U1980" s="6" t="str">
        <f>IFERROR(__xludf.DUMMYFUNCTION("""COMPUTED_VALUE"""),"5")</f>
        <v>5</v>
      </c>
      <c r="V1980" s="6" t="str">
        <f>IFERROR(__xludf.DUMMYFUNCTION("""COMPUTED_VALUE"""),"")</f>
        <v/>
      </c>
      <c r="W1980" s="6" t="str">
        <f>IFERROR(__xludf.DUMMYFUNCTION("""COMPUTED_VALUE"""),"[]")</f>
        <v>[]</v>
      </c>
      <c r="X1980" s="6" t="str">
        <f>IFERROR(__xludf.DUMMYFUNCTION("""COMPUTED_VALUE"""),"Enrolled")</f>
        <v>Enrolled</v>
      </c>
    </row>
    <row r="1981">
      <c r="A1981" s="6" t="str">
        <f>IFERROR(__xludf.DUMMYFUNCTION("""COMPUTED_VALUE"""),"020-8678")</f>
        <v>020-8678</v>
      </c>
      <c r="B1981" s="6" t="str">
        <f>IFERROR(__xludf.DUMMYFUNCTION("""COMPUTED_VALUE"""),"20")</f>
        <v>20</v>
      </c>
      <c r="C1981" s="6" t="str">
        <f>IFERROR(__xludf.DUMMYFUNCTION("""COMPUTED_VALUE"""),"8678")</f>
        <v>8678</v>
      </c>
      <c r="D1981" s="6" t="str">
        <f>IFERROR(__xludf.DUMMYFUNCTION("""COMPUTED_VALUE"""),"Kai")</f>
        <v>Kai</v>
      </c>
      <c r="E1981" s="6" t="str">
        <f>IFERROR(__xludf.DUMMYFUNCTION("""COMPUTED_VALUE"""),"Kai")</f>
        <v>Kai</v>
      </c>
      <c r="F1981" s="6" t="str">
        <f>IFERROR(__xludf.DUMMYFUNCTION("""COMPUTED_VALUE"""),"Tilzer")</f>
        <v>Tilzer</v>
      </c>
      <c r="G1981" s="6" t="str">
        <f>IFERROR(__xludf.DUMMYFUNCTION("""COMPUTED_VALUE"""),"07/19/2019")</f>
        <v>07/19/2019</v>
      </c>
      <c r="H1981" s="6" t="str">
        <f>IFERROR(__xludf.DUMMYFUNCTION("""COMPUTED_VALUE"""),"male")</f>
        <v>male</v>
      </c>
      <c r="I1981" s="6" t="str">
        <f>IFERROR(__xludf.DUMMYFUNCTION("""COMPUTED_VALUE"""),"Learning Lab")</f>
        <v>Learning Lab</v>
      </c>
      <c r="J1981" s="6" t="str">
        <f>IFERROR(__xludf.DUMMYFUNCTION("""COMPUTED_VALUE"""),"K")</f>
        <v>K</v>
      </c>
      <c r="K1981" s="6" t="str">
        <f>IFERROR(__xludf.DUMMYFUNCTION("""COMPUTED_VALUE"""),"kai.tilzer@alpha.school")</f>
        <v>kai.tilzer@alpha.school</v>
      </c>
      <c r="L1981" s="6" t="str">
        <f>IFERROR(__xludf.DUMMYFUNCTION("""COMPUTED_VALUE"""),"Alpha School Scottsdale")</f>
        <v>Alpha School Scottsdale</v>
      </c>
      <c r="M1981" s="6" t="str">
        <f>IFERROR(__xludf.DUMMYFUNCTION("""COMPUTED_VALUE"""),"")</f>
        <v/>
      </c>
      <c r="N1981" s="6" t="str">
        <f>IFERROR(__xludf.DUMMYFUNCTION("""COMPUTED_VALUE"""),"")</f>
        <v/>
      </c>
      <c r="O1981" s="87" t="str">
        <f>IFERROR(__xludf.DUMMYFUNCTION("""COMPUTED_VALUE"""),"https://drive.google.com/drive/folders/10T2cTQHqEJZqE-st6uFKPoI?usp=share_link")</f>
        <v>https://drive.google.com/drive/folders/10T2cTQHqEJZqE-st6uFKPoI?usp=share_link</v>
      </c>
      <c r="P1981" s="6" t="str">
        <f>IFERROR(__xludf.DUMMYFUNCTION("""COMPUTED_VALUE"""),"Kai Tilzer")</f>
        <v>Kai Tilzer</v>
      </c>
      <c r="Q1981" s="6" t="str">
        <f>IFERROR(__xludf.DUMMYFUNCTION("""COMPUTED_VALUE"""),"LL")</f>
        <v>LL</v>
      </c>
      <c r="R1981" s="6">
        <f>IFERROR(__xludf.DUMMYFUNCTION("""COMPUTED_VALUE"""),0.0)</f>
        <v>0</v>
      </c>
      <c r="S1981" s="6" t="str">
        <f>IFERROR(__xludf.DUMMYFUNCTION("""COMPUTED_VALUE"""),"Holly Haygood")</f>
        <v>Holly Haygood</v>
      </c>
      <c r="T1981" s="6" t="str">
        <f>IFERROR(__xludf.DUMMYFUNCTION("""COMPUTED_VALUE"""),"holly.haygood@alpha.school")</f>
        <v>holly.haygood@alpha.school</v>
      </c>
      <c r="U1981" s="6" t="str">
        <f>IFERROR(__xludf.DUMMYFUNCTION("""COMPUTED_VALUE"""),"K")</f>
        <v>K</v>
      </c>
      <c r="V1981" s="6" t="str">
        <f>IFERROR(__xludf.DUMMYFUNCTION("""COMPUTED_VALUE"""),"")</f>
        <v/>
      </c>
      <c r="W1981" s="6" t="str">
        <f>IFERROR(__xludf.DUMMYFUNCTION("""COMPUTED_VALUE"""),"[]")</f>
        <v>[]</v>
      </c>
      <c r="X1981" s="6" t="str">
        <f>IFERROR(__xludf.DUMMYFUNCTION("""COMPUTED_VALUE"""),"Enrolled")</f>
        <v>Enrolled</v>
      </c>
    </row>
    <row r="1982">
      <c r="A1982" s="6" t="str">
        <f>IFERROR(__xludf.DUMMYFUNCTION("""COMPUTED_VALUE"""),"020-8679")</f>
        <v>020-8679</v>
      </c>
      <c r="B1982" s="6" t="str">
        <f>IFERROR(__xludf.DUMMYFUNCTION("""COMPUTED_VALUE"""),"20")</f>
        <v>20</v>
      </c>
      <c r="C1982" s="6" t="str">
        <f>IFERROR(__xludf.DUMMYFUNCTION("""COMPUTED_VALUE"""),"8679")</f>
        <v>8679</v>
      </c>
      <c r="D1982" s="6" t="str">
        <f>IFERROR(__xludf.DUMMYFUNCTION("""COMPUTED_VALUE"""),"Sage")</f>
        <v>Sage</v>
      </c>
      <c r="E1982" s="6" t="str">
        <f>IFERROR(__xludf.DUMMYFUNCTION("""COMPUTED_VALUE"""),"Sage")</f>
        <v>Sage</v>
      </c>
      <c r="F1982" s="6" t="str">
        <f>IFERROR(__xludf.DUMMYFUNCTION("""COMPUTED_VALUE"""),"Tilzer")</f>
        <v>Tilzer</v>
      </c>
      <c r="G1982" s="6" t="str">
        <f>IFERROR(__xludf.DUMMYFUNCTION("""COMPUTED_VALUE"""),"01/24/2018")</f>
        <v>01/24/2018</v>
      </c>
      <c r="H1982" s="6" t="str">
        <f>IFERROR(__xludf.DUMMYFUNCTION("""COMPUTED_VALUE"""),"female")</f>
        <v>female</v>
      </c>
      <c r="I1982" s="6" t="str">
        <f>IFERROR(__xludf.DUMMYFUNCTION("""COMPUTED_VALUE"""),"Learning Lab")</f>
        <v>Learning Lab</v>
      </c>
      <c r="J1982" s="6" t="str">
        <f>IFERROR(__xludf.DUMMYFUNCTION("""COMPUTED_VALUE"""),"1")</f>
        <v>1</v>
      </c>
      <c r="K1982" s="6" t="str">
        <f>IFERROR(__xludf.DUMMYFUNCTION("""COMPUTED_VALUE"""),"sage.tilzer@alpha.school")</f>
        <v>sage.tilzer@alpha.school</v>
      </c>
      <c r="L1982" s="6" t="str">
        <f>IFERROR(__xludf.DUMMYFUNCTION("""COMPUTED_VALUE"""),"Alpha School Scottsdale")</f>
        <v>Alpha School Scottsdale</v>
      </c>
      <c r="M1982" s="6" t="str">
        <f>IFERROR(__xludf.DUMMYFUNCTION("""COMPUTED_VALUE"""),"")</f>
        <v/>
      </c>
      <c r="N1982" s="6" t="str">
        <f>IFERROR(__xludf.DUMMYFUNCTION("""COMPUTED_VALUE"""),"")</f>
        <v/>
      </c>
      <c r="O1982" s="87" t="str">
        <f>IFERROR(__xludf.DUMMYFUNCTION("""COMPUTED_VALUE"""),"https://drive.google.com/drive/folders/10T2cTQHqEJZqE-st6uFKPoI?usp=share_link")</f>
        <v>https://drive.google.com/drive/folders/10T2cTQHqEJZqE-st6uFKPoI?usp=share_link</v>
      </c>
      <c r="P1982" s="6" t="str">
        <f>IFERROR(__xludf.DUMMYFUNCTION("""COMPUTED_VALUE"""),"Sage Tilzer")</f>
        <v>Sage Tilzer</v>
      </c>
      <c r="Q1982" s="6" t="str">
        <f>IFERROR(__xludf.DUMMYFUNCTION("""COMPUTED_VALUE"""),"LL")</f>
        <v>LL</v>
      </c>
      <c r="R1982" s="6">
        <f>IFERROR(__xludf.DUMMYFUNCTION("""COMPUTED_VALUE"""),0.0)</f>
        <v>0</v>
      </c>
      <c r="S1982" s="6" t="str">
        <f>IFERROR(__xludf.DUMMYFUNCTION("""COMPUTED_VALUE"""),"Holly Haygood")</f>
        <v>Holly Haygood</v>
      </c>
      <c r="T1982" s="6" t="str">
        <f>IFERROR(__xludf.DUMMYFUNCTION("""COMPUTED_VALUE"""),"holly.haygood@alpha.school")</f>
        <v>holly.haygood@alpha.school</v>
      </c>
      <c r="U1982" s="6" t="str">
        <f>IFERROR(__xludf.DUMMYFUNCTION("""COMPUTED_VALUE"""),"1")</f>
        <v>1</v>
      </c>
      <c r="V1982" s="6" t="str">
        <f>IFERROR(__xludf.DUMMYFUNCTION("""COMPUTED_VALUE"""),"")</f>
        <v/>
      </c>
      <c r="W1982" s="6" t="str">
        <f>IFERROR(__xludf.DUMMYFUNCTION("""COMPUTED_VALUE"""),"[]")</f>
        <v>[]</v>
      </c>
      <c r="X1982" s="6" t="str">
        <f>IFERROR(__xludf.DUMMYFUNCTION("""COMPUTED_VALUE"""),"Enrolled")</f>
        <v>Enrolled</v>
      </c>
    </row>
    <row r="1983">
      <c r="A1983" s="6" t="str">
        <f>IFERROR(__xludf.DUMMYFUNCTION("""COMPUTED_VALUE"""),"020-8680")</f>
        <v>020-8680</v>
      </c>
      <c r="B1983" s="6" t="str">
        <f>IFERROR(__xludf.DUMMYFUNCTION("""COMPUTED_VALUE"""),"20")</f>
        <v>20</v>
      </c>
      <c r="C1983" s="6" t="str">
        <f>IFERROR(__xludf.DUMMYFUNCTION("""COMPUTED_VALUE"""),"8680")</f>
        <v>8680</v>
      </c>
      <c r="D1983" s="6" t="str">
        <f>IFERROR(__xludf.DUMMYFUNCTION("""COMPUTED_VALUE"""),"Palmer")</f>
        <v>Palmer</v>
      </c>
      <c r="E1983" s="6" t="str">
        <f>IFERROR(__xludf.DUMMYFUNCTION("""COMPUTED_VALUE"""),"Palmer")</f>
        <v>Palmer</v>
      </c>
      <c r="F1983" s="6" t="str">
        <f>IFERROR(__xludf.DUMMYFUNCTION("""COMPUTED_VALUE"""),"Lucovich")</f>
        <v>Lucovich</v>
      </c>
      <c r="G1983" s="6" t="str">
        <f>IFERROR(__xludf.DUMMYFUNCTION("""COMPUTED_VALUE"""),"06/07/2019")</f>
        <v>06/07/2019</v>
      </c>
      <c r="H1983" s="6" t="str">
        <f>IFERROR(__xludf.DUMMYFUNCTION("""COMPUTED_VALUE"""),"Self Identify")</f>
        <v>Self Identify</v>
      </c>
      <c r="I1983" s="6" t="str">
        <f>IFERROR(__xludf.DUMMYFUNCTION("""COMPUTED_VALUE"""),"Learning Lab")</f>
        <v>Learning Lab</v>
      </c>
      <c r="J1983" s="6" t="str">
        <f>IFERROR(__xludf.DUMMYFUNCTION("""COMPUTED_VALUE"""),"1")</f>
        <v>1</v>
      </c>
      <c r="K1983" s="6" t="str">
        <f>IFERROR(__xludf.DUMMYFUNCTION("""COMPUTED_VALUE"""),"palmer.lucovich@alpha.school")</f>
        <v>palmer.lucovich@alpha.school</v>
      </c>
      <c r="L1983" s="6" t="str">
        <f>IFERROR(__xludf.DUMMYFUNCTION("""COMPUTED_VALUE"""),"Alpha School Scottsdale")</f>
        <v>Alpha School Scottsdale</v>
      </c>
      <c r="M1983" s="6" t="str">
        <f>IFERROR(__xludf.DUMMYFUNCTION("""COMPUTED_VALUE"""),"")</f>
        <v/>
      </c>
      <c r="N1983" s="6" t="str">
        <f>IFERROR(__xludf.DUMMYFUNCTION("""COMPUTED_VALUE"""),"")</f>
        <v/>
      </c>
      <c r="O1983" s="87" t="str">
        <f>IFERROR(__xludf.DUMMYFUNCTION("""COMPUTED_VALUE"""),"https://drive.google.com/drive/folders/10T2cTQHqEJZqE-st6uFKPoI?usp=share_link")</f>
        <v>https://drive.google.com/drive/folders/10T2cTQHqEJZqE-st6uFKPoI?usp=share_link</v>
      </c>
      <c r="P1983" s="6" t="str">
        <f>IFERROR(__xludf.DUMMYFUNCTION("""COMPUTED_VALUE"""),"Palmer Lucovich")</f>
        <v>Palmer Lucovich</v>
      </c>
      <c r="Q1983" s="6" t="str">
        <f>IFERROR(__xludf.DUMMYFUNCTION("""COMPUTED_VALUE"""),"LL")</f>
        <v>LL</v>
      </c>
      <c r="R1983" s="6">
        <f>IFERROR(__xludf.DUMMYFUNCTION("""COMPUTED_VALUE"""),0.0)</f>
        <v>0</v>
      </c>
      <c r="S1983" s="6" t="str">
        <f>IFERROR(__xludf.DUMMYFUNCTION("""COMPUTED_VALUE""")," ")</f>
        <v> </v>
      </c>
      <c r="T1983" s="6" t="str">
        <f>IFERROR(__xludf.DUMMYFUNCTION("""COMPUTED_VALUE"""),"")</f>
        <v/>
      </c>
      <c r="U1983" s="6" t="str">
        <f>IFERROR(__xludf.DUMMYFUNCTION("""COMPUTED_VALUE"""),"1")</f>
        <v>1</v>
      </c>
      <c r="V1983" s="6" t="str">
        <f>IFERROR(__xludf.DUMMYFUNCTION("""COMPUTED_VALUE"""),"")</f>
        <v/>
      </c>
      <c r="W1983" s="6" t="str">
        <f>IFERROR(__xludf.DUMMYFUNCTION("""COMPUTED_VALUE"""),"[]")</f>
        <v>[]</v>
      </c>
      <c r="X1983" s="6" t="str">
        <f>IFERROR(__xludf.DUMMYFUNCTION("""COMPUTED_VALUE"""),"Pending Review")</f>
        <v>Pending Review</v>
      </c>
    </row>
    <row r="1984">
      <c r="A1984" s="6" t="str">
        <f>IFERROR(__xludf.DUMMYFUNCTION("""COMPUTED_VALUE"""),"021-2752")</f>
        <v>021-2752</v>
      </c>
      <c r="B1984" s="6" t="str">
        <f>IFERROR(__xludf.DUMMYFUNCTION("""COMPUTED_VALUE"""),"21")</f>
        <v>21</v>
      </c>
      <c r="C1984" s="6" t="str">
        <f>IFERROR(__xludf.DUMMYFUNCTION("""COMPUTED_VALUE"""),"2752")</f>
        <v>2752</v>
      </c>
      <c r="D1984" s="6" t="str">
        <f>IFERROR(__xludf.DUMMYFUNCTION("""COMPUTED_VALUE"""),"Test 12")</f>
        <v>Test 12</v>
      </c>
      <c r="E1984" s="6" t="str">
        <f>IFERROR(__xludf.DUMMYFUNCTION("""COMPUTED_VALUE"""),"")</f>
        <v/>
      </c>
      <c r="F1984" s="6" t="str">
        <f>IFERROR(__xludf.DUMMYFUNCTION("""COMPUTED_VALUE"""),"_test_")</f>
        <v>_test_</v>
      </c>
      <c r="G1984" s="6" t="str">
        <f>IFERROR(__xludf.DUMMYFUNCTION("""COMPUTED_VALUE"""),"05/01/2025")</f>
        <v>05/01/2025</v>
      </c>
      <c r="H1984" s="6" t="str">
        <f>IFERROR(__xludf.DUMMYFUNCTION("""COMPUTED_VALUE"""),"Self Identify")</f>
        <v>Self Identify</v>
      </c>
      <c r="I1984" s="6" t="str">
        <f>IFERROR(__xludf.DUMMYFUNCTION("""COMPUTED_VALUE"""),"Wonder Lab")</f>
        <v>Wonder Lab</v>
      </c>
      <c r="J1984" s="6" t="str">
        <f>IFERROR(__xludf.DUMMYFUNCTION("""COMPUTED_VALUE"""),"PK")</f>
        <v>PK</v>
      </c>
      <c r="K1984" s="6" t="str">
        <f>IFERROR(__xludf.DUMMYFUNCTION("""COMPUTED_VALUE"""),"test.12._test_@alpha.school")</f>
        <v>test.12._test_@alpha.school</v>
      </c>
      <c r="L1984" s="6" t="str">
        <f>IFERROR(__xludf.DUMMYFUNCTION("""COMPUTED_VALUE"""),"Alpha School Houston")</f>
        <v>Alpha School Houston</v>
      </c>
      <c r="M1984" s="6" t="str">
        <f>IFERROR(__xludf.DUMMYFUNCTION("""COMPUTED_VALUE"""),"Test")</f>
        <v>Test</v>
      </c>
      <c r="N1984" s="6" t="str">
        <f>IFERROR(__xludf.DUMMYFUNCTION("""COMPUTED_VALUE"""),"")</f>
        <v/>
      </c>
      <c r="O1984" s="87" t="str">
        <f>IFERROR(__xludf.DUMMYFUNCTION("""COMPUTED_VALUE"""),"https://drive.google.com/drive/folders/10T2cTQHqEJZqE-st6uFKPoI?usp=share_link")</f>
        <v>https://drive.google.com/drive/folders/10T2cTQHqEJZqE-st6uFKPoI?usp=share_link</v>
      </c>
      <c r="P1984" s="6" t="str">
        <f>IFERROR(__xludf.DUMMYFUNCTION("""COMPUTED_VALUE"""),"Test 12 _test_")</f>
        <v>Test 12 _test_</v>
      </c>
      <c r="Q1984" s="6" t="str">
        <f>IFERROR(__xludf.DUMMYFUNCTION("""COMPUTED_VALUE"""),"WL")</f>
        <v>WL</v>
      </c>
      <c r="R1984" s="6">
        <f>IFERROR(__xludf.DUMMYFUNCTION("""COMPUTED_VALUE"""),-1.0)</f>
        <v>-1</v>
      </c>
      <c r="S1984" s="6" t="str">
        <f>IFERROR(__xludf.DUMMYFUNCTION("""COMPUTED_VALUE"""),"Migo _test_")</f>
        <v>Migo _test_</v>
      </c>
      <c r="T1984" s="6" t="str">
        <f>IFERROR(__xludf.DUMMYFUNCTION("""COMPUTED_VALUE"""),"migo.test+1@gmail.com")</f>
        <v>migo.test+1@gmail.com</v>
      </c>
      <c r="U1984" s="6" t="str">
        <f>IFERROR(__xludf.DUMMYFUNCTION("""COMPUTED_VALUE"""),"PK")</f>
        <v>PK</v>
      </c>
      <c r="V1984" s="6" t="str">
        <f>IFERROR(__xludf.DUMMYFUNCTION("""COMPUTED_VALUE"""),"")</f>
        <v/>
      </c>
      <c r="W1984" s="6" t="str">
        <f>IFERROR(__xludf.DUMMYFUNCTION("""COMPUTED_VALUE"""),"[]")</f>
        <v>[]</v>
      </c>
      <c r="X1984" s="6" t="str">
        <f>IFERROR(__xludf.DUMMYFUNCTION("""COMPUTED_VALUE"""),"Pending Re-enrollment")</f>
        <v>Pending Re-enrollment</v>
      </c>
    </row>
    <row r="1985">
      <c r="A1985" s="6" t="str">
        <f>IFERROR(__xludf.DUMMYFUNCTION("""COMPUTED_VALUE"""),"022-1250")</f>
        <v>022-1250</v>
      </c>
      <c r="B1985" s="6" t="str">
        <f>IFERROR(__xludf.DUMMYFUNCTION("""COMPUTED_VALUE"""),"22")</f>
        <v>22</v>
      </c>
      <c r="C1985" s="6" t="str">
        <f>IFERROR(__xludf.DUMMYFUNCTION("""COMPUTED_VALUE"""),"1250")</f>
        <v>1250</v>
      </c>
      <c r="D1985" s="6" t="str">
        <f>IFERROR(__xludf.DUMMYFUNCTION("""COMPUTED_VALUE"""),"Hope")</f>
        <v>Hope</v>
      </c>
      <c r="E1985" s="6" t="str">
        <f>IFERROR(__xludf.DUMMYFUNCTION("""COMPUTED_VALUE"""),"")</f>
        <v/>
      </c>
      <c r="F1985" s="6" t="str">
        <f>IFERROR(__xludf.DUMMYFUNCTION("""COMPUTED_VALUE"""),"Grunow")</f>
        <v>Grunow</v>
      </c>
      <c r="G1985" s="6" t="str">
        <f>IFERROR(__xludf.DUMMYFUNCTION("""COMPUTED_VALUE"""),"01/24/2017")</f>
        <v>01/24/2017</v>
      </c>
      <c r="H1985" s="6" t="str">
        <f>IFERROR(__xludf.DUMMYFUNCTION("""COMPUTED_VALUE"""),"female")</f>
        <v>female</v>
      </c>
      <c r="I1985" s="6" t="str">
        <f>IFERROR(__xludf.DUMMYFUNCTION("""COMPUTED_VALUE"""),"Level 1")</f>
        <v>Level 1</v>
      </c>
      <c r="J1985" s="6" t="str">
        <f>IFERROR(__xludf.DUMMYFUNCTION("""COMPUTED_VALUE"""),"3")</f>
        <v>3</v>
      </c>
      <c r="K1985" s="6" t="str">
        <f>IFERROR(__xludf.DUMMYFUNCTION("""COMPUTED_VALUE"""),"hope.grunow@alpha.school")</f>
        <v>hope.grunow@alpha.school</v>
      </c>
      <c r="L1985" s="6" t="str">
        <f>IFERROR(__xludf.DUMMYFUNCTION("""COMPUTED_VALUE"""),"Alpha School Palm Beach")</f>
        <v>Alpha School Palm Beach</v>
      </c>
      <c r="M1985" s="6" t="str">
        <f>IFERROR(__xludf.DUMMYFUNCTION("""COMPUTED_VALUE"""),"")</f>
        <v/>
      </c>
      <c r="N1985" s="6" t="str">
        <f>IFERROR(__xludf.DUMMYFUNCTION("""COMPUTED_VALUE"""),"")</f>
        <v/>
      </c>
      <c r="O1985" s="87" t="str">
        <f>IFERROR(__xludf.DUMMYFUNCTION("""COMPUTED_VALUE"""),"https://drive.google.com/drive/folders/10T2cTQHqEJZqE-st6uFKPoI?usp=share_link")</f>
        <v>https://drive.google.com/drive/folders/10T2cTQHqEJZqE-st6uFKPoI?usp=share_link</v>
      </c>
      <c r="P1985" s="6" t="str">
        <f>IFERROR(__xludf.DUMMYFUNCTION("""COMPUTED_VALUE"""),"Hope Grunow")</f>
        <v>Hope Grunow</v>
      </c>
      <c r="Q1985" s="6" t="str">
        <f>IFERROR(__xludf.DUMMYFUNCTION("""COMPUTED_VALUE"""),"L1")</f>
        <v>L1</v>
      </c>
      <c r="R1985" s="6">
        <f>IFERROR(__xludf.DUMMYFUNCTION("""COMPUTED_VALUE"""),1.0)</f>
        <v>1</v>
      </c>
      <c r="S1985" s="6" t="str">
        <f>IFERROR(__xludf.DUMMYFUNCTION("""COMPUTED_VALUE"""),"Sean McKenna")</f>
        <v>Sean McKenna</v>
      </c>
      <c r="T1985" s="6" t="str">
        <f>IFERROR(__xludf.DUMMYFUNCTION("""COMPUTED_VALUE"""),"sean.mckenna@alpha.school")</f>
        <v>sean.mckenna@alpha.school</v>
      </c>
      <c r="U1985" s="6" t="str">
        <f>IFERROR(__xludf.DUMMYFUNCTION("""COMPUTED_VALUE"""),"3")</f>
        <v>3</v>
      </c>
      <c r="V1985" s="6" t="str">
        <f>IFERROR(__xludf.DUMMYFUNCTION("""COMPUTED_VALUE"""),"")</f>
        <v/>
      </c>
      <c r="W1985" s="6" t="str">
        <f>IFERROR(__xludf.DUMMYFUNCTION("""COMPUTED_VALUE"""),"[]")</f>
        <v>[]</v>
      </c>
      <c r="X1985" s="6" t="str">
        <f>IFERROR(__xludf.DUMMYFUNCTION("""COMPUTED_VALUE"""),"Enrolled")</f>
        <v>Enrolled</v>
      </c>
    </row>
    <row r="1986">
      <c r="A1986" s="6" t="str">
        <f>IFERROR(__xludf.DUMMYFUNCTION("""COMPUTED_VALUE"""),"022-1251")</f>
        <v>022-1251</v>
      </c>
      <c r="B1986" s="6" t="str">
        <f>IFERROR(__xludf.DUMMYFUNCTION("""COMPUTED_VALUE"""),"22")</f>
        <v>22</v>
      </c>
      <c r="C1986" s="6" t="str">
        <f>IFERROR(__xludf.DUMMYFUNCTION("""COMPUTED_VALUE"""),"1251")</f>
        <v>1251</v>
      </c>
      <c r="D1986" s="6" t="str">
        <f>IFERROR(__xludf.DUMMYFUNCTION("""COMPUTED_VALUE"""),"Johnny")</f>
        <v>Johnny</v>
      </c>
      <c r="E1986" s="6" t="str">
        <f>IFERROR(__xludf.DUMMYFUNCTION("""COMPUTED_VALUE"""),"")</f>
        <v/>
      </c>
      <c r="F1986" s="6" t="str">
        <f>IFERROR(__xludf.DUMMYFUNCTION("""COMPUTED_VALUE"""),"Grunow")</f>
        <v>Grunow</v>
      </c>
      <c r="G1986" s="6" t="str">
        <f>IFERROR(__xludf.DUMMYFUNCTION("""COMPUTED_VALUE"""),"12/01/2015")</f>
        <v>12/01/2015</v>
      </c>
      <c r="H1986" s="6" t="str">
        <f>IFERROR(__xludf.DUMMYFUNCTION("""COMPUTED_VALUE"""),"male")</f>
        <v>male</v>
      </c>
      <c r="I1986" s="6" t="str">
        <f>IFERROR(__xludf.DUMMYFUNCTION("""COMPUTED_VALUE"""),"Level 2")</f>
        <v>Level 2</v>
      </c>
      <c r="J1986" s="6" t="str">
        <f>IFERROR(__xludf.DUMMYFUNCTION("""COMPUTED_VALUE"""),"4")</f>
        <v>4</v>
      </c>
      <c r="K1986" s="6" t="str">
        <f>IFERROR(__xludf.DUMMYFUNCTION("""COMPUTED_VALUE"""),"johnny.grunow@alpha.school")</f>
        <v>johnny.grunow@alpha.school</v>
      </c>
      <c r="L1986" s="6" t="str">
        <f>IFERROR(__xludf.DUMMYFUNCTION("""COMPUTED_VALUE"""),"Alpha School Palm Beach")</f>
        <v>Alpha School Palm Beach</v>
      </c>
      <c r="M1986" s="6" t="str">
        <f>IFERROR(__xludf.DUMMYFUNCTION("""COMPUTED_VALUE"""),"")</f>
        <v/>
      </c>
      <c r="N1986" s="6" t="str">
        <f>IFERROR(__xludf.DUMMYFUNCTION("""COMPUTED_VALUE"""),"")</f>
        <v/>
      </c>
      <c r="O1986" s="87" t="str">
        <f>IFERROR(__xludf.DUMMYFUNCTION("""COMPUTED_VALUE"""),"https://drive.google.com/drive/folders/10T2cTQHqEJZqE-st6uFKPoI?usp=share_link")</f>
        <v>https://drive.google.com/drive/folders/10T2cTQHqEJZqE-st6uFKPoI?usp=share_link</v>
      </c>
      <c r="P1986" s="6" t="str">
        <f>IFERROR(__xludf.DUMMYFUNCTION("""COMPUTED_VALUE"""),"Johnny Grunow")</f>
        <v>Johnny Grunow</v>
      </c>
      <c r="Q1986" s="6" t="str">
        <f>IFERROR(__xludf.DUMMYFUNCTION("""COMPUTED_VALUE"""),"L2")</f>
        <v>L2</v>
      </c>
      <c r="R1986" s="6">
        <f>IFERROR(__xludf.DUMMYFUNCTION("""COMPUTED_VALUE"""),2.0)</f>
        <v>2</v>
      </c>
      <c r="S1986" s="6" t="str">
        <f>IFERROR(__xludf.DUMMYFUNCTION("""COMPUTED_VALUE"""),"Sean McKenna")</f>
        <v>Sean McKenna</v>
      </c>
      <c r="T1986" s="6" t="str">
        <f>IFERROR(__xludf.DUMMYFUNCTION("""COMPUTED_VALUE"""),"sean.mckenna@alpha.school")</f>
        <v>sean.mckenna@alpha.school</v>
      </c>
      <c r="U1986" s="6" t="str">
        <f>IFERROR(__xludf.DUMMYFUNCTION("""COMPUTED_VALUE"""),"4")</f>
        <v>4</v>
      </c>
      <c r="V1986" s="6" t="str">
        <f>IFERROR(__xludf.DUMMYFUNCTION("""COMPUTED_VALUE"""),"")</f>
        <v/>
      </c>
      <c r="W1986" s="6" t="str">
        <f>IFERROR(__xludf.DUMMYFUNCTION("""COMPUTED_VALUE"""),"[]")</f>
        <v>[]</v>
      </c>
      <c r="X1986" s="6" t="str">
        <f>IFERROR(__xludf.DUMMYFUNCTION("""COMPUTED_VALUE"""),"Enrolled")</f>
        <v>Enrolled</v>
      </c>
    </row>
    <row r="1987">
      <c r="A1987" s="6" t="str">
        <f>IFERROR(__xludf.DUMMYFUNCTION("""COMPUTED_VALUE"""),"022-1840")</f>
        <v>022-1840</v>
      </c>
      <c r="B1987" s="6" t="str">
        <f>IFERROR(__xludf.DUMMYFUNCTION("""COMPUTED_VALUE"""),"22")</f>
        <v>22</v>
      </c>
      <c r="C1987" s="6" t="str">
        <f>IFERROR(__xludf.DUMMYFUNCTION("""COMPUTED_VALUE"""),"1840")</f>
        <v>1840</v>
      </c>
      <c r="D1987" s="6" t="str">
        <f>IFERROR(__xludf.DUMMYFUNCTION("""COMPUTED_VALUE"""),"Elizabeth")</f>
        <v>Elizabeth</v>
      </c>
      <c r="E1987" s="6" t="str">
        <f>IFERROR(__xludf.DUMMYFUNCTION("""COMPUTED_VALUE"""),"Betty")</f>
        <v>Betty</v>
      </c>
      <c r="F1987" s="6" t="str">
        <f>IFERROR(__xludf.DUMMYFUNCTION("""COMPUTED_VALUE"""),"Grunow")</f>
        <v>Grunow</v>
      </c>
      <c r="G1987" s="6" t="str">
        <f>IFERROR(__xludf.DUMMYFUNCTION("""COMPUTED_VALUE"""),"06/02/2020")</f>
        <v>06/02/2020</v>
      </c>
      <c r="H1987" s="6" t="str">
        <f>IFERROR(__xludf.DUMMYFUNCTION("""COMPUTED_VALUE"""),"female")</f>
        <v>female</v>
      </c>
      <c r="I1987" s="6" t="str">
        <f>IFERROR(__xludf.DUMMYFUNCTION("""COMPUTED_VALUE"""),"Learning Lab")</f>
        <v>Learning Lab</v>
      </c>
      <c r="J1987" s="6" t="str">
        <f>IFERROR(__xludf.DUMMYFUNCTION("""COMPUTED_VALUE"""),"K")</f>
        <v>K</v>
      </c>
      <c r="K1987" s="6" t="str">
        <f>IFERROR(__xludf.DUMMYFUNCTION("""COMPUTED_VALUE"""),"betty.grunow@alpha.school")</f>
        <v>betty.grunow@alpha.school</v>
      </c>
      <c r="L1987" s="6" t="str">
        <f>IFERROR(__xludf.DUMMYFUNCTION("""COMPUTED_VALUE"""),"Alpha School Palm Beach")</f>
        <v>Alpha School Palm Beach</v>
      </c>
      <c r="M1987" s="6" t="str">
        <f>IFERROR(__xludf.DUMMYFUNCTION("""COMPUTED_VALUE"""),"")</f>
        <v/>
      </c>
      <c r="N1987" s="6" t="str">
        <f>IFERROR(__xludf.DUMMYFUNCTION("""COMPUTED_VALUE"""),"")</f>
        <v/>
      </c>
      <c r="O1987" s="87" t="str">
        <f>IFERROR(__xludf.DUMMYFUNCTION("""COMPUTED_VALUE"""),"https://drive.google.com/drive/folders/10T2cTQHqEJZqE-st6uFKPoI?usp=share_link")</f>
        <v>https://drive.google.com/drive/folders/10T2cTQHqEJZqE-st6uFKPoI?usp=share_link</v>
      </c>
      <c r="P1987" s="6" t="str">
        <f>IFERROR(__xludf.DUMMYFUNCTION("""COMPUTED_VALUE"""),"Betty Grunow")</f>
        <v>Betty Grunow</v>
      </c>
      <c r="Q1987" s="6" t="str">
        <f>IFERROR(__xludf.DUMMYFUNCTION("""COMPUTED_VALUE"""),"LL")</f>
        <v>LL</v>
      </c>
      <c r="R1987" s="6">
        <f>IFERROR(__xludf.DUMMYFUNCTION("""COMPUTED_VALUE"""),0.0)</f>
        <v>0</v>
      </c>
      <c r="S1987" s="6" t="str">
        <f>IFERROR(__xludf.DUMMYFUNCTION("""COMPUTED_VALUE"""),"Scott Dangerfield")</f>
        <v>Scott Dangerfield</v>
      </c>
      <c r="T1987" s="6" t="str">
        <f>IFERROR(__xludf.DUMMYFUNCTION("""COMPUTED_VALUE"""),"scott.dangerfield@alpha.school")</f>
        <v>scott.dangerfield@alpha.school</v>
      </c>
      <c r="U1987" s="6" t="str">
        <f>IFERROR(__xludf.DUMMYFUNCTION("""COMPUTED_VALUE"""),"K")</f>
        <v>K</v>
      </c>
      <c r="V1987" s="6" t="str">
        <f>IFERROR(__xludf.DUMMYFUNCTION("""COMPUTED_VALUE"""),"")</f>
        <v/>
      </c>
      <c r="W1987" s="6" t="str">
        <f>IFERROR(__xludf.DUMMYFUNCTION("""COMPUTED_VALUE"""),"[]")</f>
        <v>[]</v>
      </c>
      <c r="X1987" s="6" t="str">
        <f>IFERROR(__xludf.DUMMYFUNCTION("""COMPUTED_VALUE"""),"Enrolled")</f>
        <v>Enrolled</v>
      </c>
    </row>
    <row r="1988">
      <c r="A1988" s="6" t="str">
        <f>IFERROR(__xludf.DUMMYFUNCTION("""COMPUTED_VALUE"""),"022-1899")</f>
        <v>022-1899</v>
      </c>
      <c r="B1988" s="6" t="str">
        <f>IFERROR(__xludf.DUMMYFUNCTION("""COMPUTED_VALUE"""),"22")</f>
        <v>22</v>
      </c>
      <c r="C1988" s="6" t="str">
        <f>IFERROR(__xludf.DUMMYFUNCTION("""COMPUTED_VALUE"""),"1899")</f>
        <v>1899</v>
      </c>
      <c r="D1988" s="6" t="str">
        <f>IFERROR(__xludf.DUMMYFUNCTION("""COMPUTED_VALUE"""),"Adriana")</f>
        <v>Adriana</v>
      </c>
      <c r="E1988" s="6" t="str">
        <f>IFERROR(__xludf.DUMMYFUNCTION("""COMPUTED_VALUE"""),"Adriana")</f>
        <v>Adriana</v>
      </c>
      <c r="F1988" s="6" t="str">
        <f>IFERROR(__xludf.DUMMYFUNCTION("""COMPUTED_VALUE"""),"D'Anieri")</f>
        <v>D'Anieri</v>
      </c>
      <c r="G1988" s="6" t="str">
        <f>IFERROR(__xludf.DUMMYFUNCTION("""COMPUTED_VALUE"""),"05/29/2018")</f>
        <v>05/29/2018</v>
      </c>
      <c r="H1988" s="6" t="str">
        <f>IFERROR(__xludf.DUMMYFUNCTION("""COMPUTED_VALUE"""),"female")</f>
        <v>female</v>
      </c>
      <c r="I1988" s="6" t="str">
        <f>IFERROR(__xludf.DUMMYFUNCTION("""COMPUTED_VALUE"""),"Level 1")</f>
        <v>Level 1</v>
      </c>
      <c r="J1988" s="6" t="str">
        <f>IFERROR(__xludf.DUMMYFUNCTION("""COMPUTED_VALUE"""),"2")</f>
        <v>2</v>
      </c>
      <c r="K1988" s="6" t="str">
        <f>IFERROR(__xludf.DUMMYFUNCTION("""COMPUTED_VALUE"""),"adriana.danieri@alpha.school")</f>
        <v>adriana.danieri@alpha.school</v>
      </c>
      <c r="L1988" s="6" t="str">
        <f>IFERROR(__xludf.DUMMYFUNCTION("""COMPUTED_VALUE"""),"Alpha School Palm Beach")</f>
        <v>Alpha School Palm Beach</v>
      </c>
      <c r="M1988" s="6" t="str">
        <f>IFERROR(__xludf.DUMMYFUNCTION("""COMPUTED_VALUE"""),"")</f>
        <v/>
      </c>
      <c r="N1988" s="6" t="str">
        <f>IFERROR(__xludf.DUMMYFUNCTION("""COMPUTED_VALUE"""),"")</f>
        <v/>
      </c>
      <c r="O1988" s="87" t="str">
        <f>IFERROR(__xludf.DUMMYFUNCTION("""COMPUTED_VALUE"""),"https://drive.google.com/drive/folders/10T2cTQHqEJZqE-st6uFKPoI?usp=share_link")</f>
        <v>https://drive.google.com/drive/folders/10T2cTQHqEJZqE-st6uFKPoI?usp=share_link</v>
      </c>
      <c r="P1988" s="6" t="str">
        <f>IFERROR(__xludf.DUMMYFUNCTION("""COMPUTED_VALUE"""),"Adriana D'Anieri")</f>
        <v>Adriana D'Anieri</v>
      </c>
      <c r="Q1988" s="6" t="str">
        <f>IFERROR(__xludf.DUMMYFUNCTION("""COMPUTED_VALUE"""),"L1")</f>
        <v>L1</v>
      </c>
      <c r="R1988" s="6">
        <f>IFERROR(__xludf.DUMMYFUNCTION("""COMPUTED_VALUE"""),1.0)</f>
        <v>1</v>
      </c>
      <c r="S1988" s="6" t="str">
        <f>IFERROR(__xludf.DUMMYFUNCTION("""COMPUTED_VALUE"""),"Allie Bradian")</f>
        <v>Allie Bradian</v>
      </c>
      <c r="T1988" s="6" t="str">
        <f>IFERROR(__xludf.DUMMYFUNCTION("""COMPUTED_VALUE"""),"allie.bradian@alpha.school")</f>
        <v>allie.bradian@alpha.school</v>
      </c>
      <c r="U1988" s="6" t="str">
        <f>IFERROR(__xludf.DUMMYFUNCTION("""COMPUTED_VALUE"""),"2")</f>
        <v>2</v>
      </c>
      <c r="V1988" s="6" t="str">
        <f>IFERROR(__xludf.DUMMYFUNCTION("""COMPUTED_VALUE"""),"")</f>
        <v/>
      </c>
      <c r="W1988" s="6" t="str">
        <f>IFERROR(__xludf.DUMMYFUNCTION("""COMPUTED_VALUE"""),"[]")</f>
        <v>[]</v>
      </c>
      <c r="X1988" s="6" t="str">
        <f>IFERROR(__xludf.DUMMYFUNCTION("""COMPUTED_VALUE"""),"Enrolled")</f>
        <v>Enrolled</v>
      </c>
    </row>
    <row r="1989">
      <c r="A1989" s="6" t="str">
        <f>IFERROR(__xludf.DUMMYFUNCTION("""COMPUTED_VALUE"""),"022-2217")</f>
        <v>022-2217</v>
      </c>
      <c r="B1989" s="6" t="str">
        <f>IFERROR(__xludf.DUMMYFUNCTION("""COMPUTED_VALUE"""),"22")</f>
        <v>22</v>
      </c>
      <c r="C1989" s="6" t="str">
        <f>IFERROR(__xludf.DUMMYFUNCTION("""COMPUTED_VALUE"""),"2217")</f>
        <v>2217</v>
      </c>
      <c r="D1989" s="6" t="str">
        <f>IFERROR(__xludf.DUMMYFUNCTION("""COMPUTED_VALUE"""),"Grace")</f>
        <v>Grace</v>
      </c>
      <c r="E1989" s="6" t="str">
        <f>IFERROR(__xludf.DUMMYFUNCTION("""COMPUTED_VALUE"""),"GraceHonan")</f>
        <v>GraceHonan</v>
      </c>
      <c r="F1989" s="6" t="str">
        <f>IFERROR(__xludf.DUMMYFUNCTION("""COMPUTED_VALUE"""),"Goedereis")</f>
        <v>Goedereis</v>
      </c>
      <c r="G1989" s="6" t="str">
        <f>IFERROR(__xludf.DUMMYFUNCTION("""COMPUTED_VALUE"""),"03/01/2016")</f>
        <v>03/01/2016</v>
      </c>
      <c r="H1989" s="6" t="str">
        <f>IFERROR(__xludf.DUMMYFUNCTION("""COMPUTED_VALUE"""),"female")</f>
        <v>female</v>
      </c>
      <c r="I1989" s="6" t="str">
        <f>IFERROR(__xludf.DUMMYFUNCTION("""COMPUTED_VALUE"""),"Level 1")</f>
        <v>Level 1</v>
      </c>
      <c r="J1989" s="6" t="str">
        <f>IFERROR(__xludf.DUMMYFUNCTION("""COMPUTED_VALUE"""),"3")</f>
        <v>3</v>
      </c>
      <c r="K1989" s="6" t="str">
        <f>IFERROR(__xludf.DUMMYFUNCTION("""COMPUTED_VALUE"""),"grace.goedereis@alpha.school")</f>
        <v>grace.goedereis@alpha.school</v>
      </c>
      <c r="L1989" s="6" t="str">
        <f>IFERROR(__xludf.DUMMYFUNCTION("""COMPUTED_VALUE"""),"Alpha School Palm Beach")</f>
        <v>Alpha School Palm Beach</v>
      </c>
      <c r="M1989" s="6" t="str">
        <f>IFERROR(__xludf.DUMMYFUNCTION("""COMPUTED_VALUE"""),"")</f>
        <v/>
      </c>
      <c r="N1989" s="6" t="str">
        <f>IFERROR(__xludf.DUMMYFUNCTION("""COMPUTED_VALUE"""),"")</f>
        <v/>
      </c>
      <c r="O1989" s="87" t="str">
        <f>IFERROR(__xludf.DUMMYFUNCTION("""COMPUTED_VALUE"""),"https://drive.google.com/drive/folders/10T2cTQHqEJZqE-st6uFKPoI?usp=share_link")</f>
        <v>https://drive.google.com/drive/folders/10T2cTQHqEJZqE-st6uFKPoI?usp=share_link</v>
      </c>
      <c r="P1989" s="6" t="str">
        <f>IFERROR(__xludf.DUMMYFUNCTION("""COMPUTED_VALUE"""),"GraceHonan Goedereis")</f>
        <v>GraceHonan Goedereis</v>
      </c>
      <c r="Q1989" s="6" t="str">
        <f>IFERROR(__xludf.DUMMYFUNCTION("""COMPUTED_VALUE"""),"L1")</f>
        <v>L1</v>
      </c>
      <c r="R1989" s="6">
        <f>IFERROR(__xludf.DUMMYFUNCTION("""COMPUTED_VALUE"""),1.0)</f>
        <v>1</v>
      </c>
      <c r="S1989" s="6" t="str">
        <f>IFERROR(__xludf.DUMMYFUNCTION("""COMPUTED_VALUE""")," ")</f>
        <v> </v>
      </c>
      <c r="T1989" s="6" t="str">
        <f>IFERROR(__xludf.DUMMYFUNCTION("""COMPUTED_VALUE"""),"")</f>
        <v/>
      </c>
      <c r="U1989" s="6" t="str">
        <f>IFERROR(__xludf.DUMMYFUNCTION("""COMPUTED_VALUE"""),"3")</f>
        <v>3</v>
      </c>
      <c r="V1989" s="6" t="str">
        <f>IFERROR(__xludf.DUMMYFUNCTION("""COMPUTED_VALUE"""),"")</f>
        <v/>
      </c>
      <c r="W1989" s="6" t="str">
        <f>IFERROR(__xludf.DUMMYFUNCTION("""COMPUTED_VALUE"""),"[]")</f>
        <v>[]</v>
      </c>
      <c r="X1989" s="6" t="str">
        <f>IFERROR(__xludf.DUMMYFUNCTION("""COMPUTED_VALUE"""),"Enrolled")</f>
        <v>Enrolled</v>
      </c>
    </row>
    <row r="1990">
      <c r="A1990" s="6" t="str">
        <f>IFERROR(__xludf.DUMMYFUNCTION("""COMPUTED_VALUE"""),"022-4724")</f>
        <v>022-4724</v>
      </c>
      <c r="B1990" s="6" t="str">
        <f>IFERROR(__xludf.DUMMYFUNCTION("""COMPUTED_VALUE"""),"22")</f>
        <v>22</v>
      </c>
      <c r="C1990" s="6" t="str">
        <f>IFERROR(__xludf.DUMMYFUNCTION("""COMPUTED_VALUE"""),"4724")</f>
        <v>4724</v>
      </c>
      <c r="D1990" s="6" t="str">
        <f>IFERROR(__xludf.DUMMYFUNCTION("""COMPUTED_VALUE"""),"Isaac")</f>
        <v>Isaac</v>
      </c>
      <c r="E1990" s="6" t="str">
        <f>IFERROR(__xludf.DUMMYFUNCTION("""COMPUTED_VALUE"""),"")</f>
        <v/>
      </c>
      <c r="F1990" s="6" t="str">
        <f>IFERROR(__xludf.DUMMYFUNCTION("""COMPUTED_VALUE"""),"David")</f>
        <v>David</v>
      </c>
      <c r="G1990" s="6" t="str">
        <f>IFERROR(__xludf.DUMMYFUNCTION("""COMPUTED_VALUE"""),"03/22/2019")</f>
        <v>03/22/2019</v>
      </c>
      <c r="H1990" s="6" t="str">
        <f>IFERROR(__xludf.DUMMYFUNCTION("""COMPUTED_VALUE"""),"male")</f>
        <v>male</v>
      </c>
      <c r="I1990" s="6" t="str">
        <f>IFERROR(__xludf.DUMMYFUNCTION("""COMPUTED_VALUE"""),"Learning Lab")</f>
        <v>Learning Lab</v>
      </c>
      <c r="J1990" s="6" t="str">
        <f>IFERROR(__xludf.DUMMYFUNCTION("""COMPUTED_VALUE"""),"1")</f>
        <v>1</v>
      </c>
      <c r="K1990" s="6" t="str">
        <f>IFERROR(__xludf.DUMMYFUNCTION("""COMPUTED_VALUE"""),"isaac.david@alpha.school")</f>
        <v>isaac.david@alpha.school</v>
      </c>
      <c r="L1990" s="6" t="str">
        <f>IFERROR(__xludf.DUMMYFUNCTION("""COMPUTED_VALUE"""),"Alpha School Palm Beach")</f>
        <v>Alpha School Palm Beach</v>
      </c>
      <c r="M1990" s="6" t="str">
        <f>IFERROR(__xludf.DUMMYFUNCTION("""COMPUTED_VALUE"""),"")</f>
        <v/>
      </c>
      <c r="N1990" s="6" t="str">
        <f>IFERROR(__xludf.DUMMYFUNCTION("""COMPUTED_VALUE"""),"")</f>
        <v/>
      </c>
      <c r="O1990" s="87" t="str">
        <f>IFERROR(__xludf.DUMMYFUNCTION("""COMPUTED_VALUE"""),"https://drive.google.com/drive/folders/10T2cTQHqEJZqE-st6uFKPoI?usp=share_link")</f>
        <v>https://drive.google.com/drive/folders/10T2cTQHqEJZqE-st6uFKPoI?usp=share_link</v>
      </c>
      <c r="P1990" s="6" t="str">
        <f>IFERROR(__xludf.DUMMYFUNCTION("""COMPUTED_VALUE"""),"Isaac David")</f>
        <v>Isaac David</v>
      </c>
      <c r="Q1990" s="6" t="str">
        <f>IFERROR(__xludf.DUMMYFUNCTION("""COMPUTED_VALUE"""),"LL")</f>
        <v>LL</v>
      </c>
      <c r="R1990" s="6">
        <f>IFERROR(__xludf.DUMMYFUNCTION("""COMPUTED_VALUE"""),0.0)</f>
        <v>0</v>
      </c>
      <c r="S1990" s="6" t="str">
        <f>IFERROR(__xludf.DUMMYFUNCTION("""COMPUTED_VALUE"""),"Scott Dangerfield")</f>
        <v>Scott Dangerfield</v>
      </c>
      <c r="T1990" s="6" t="str">
        <f>IFERROR(__xludf.DUMMYFUNCTION("""COMPUTED_VALUE"""),"scott.dangerfield@alpha.school")</f>
        <v>scott.dangerfield@alpha.school</v>
      </c>
      <c r="U1990" s="6" t="str">
        <f>IFERROR(__xludf.DUMMYFUNCTION("""COMPUTED_VALUE"""),"1")</f>
        <v>1</v>
      </c>
      <c r="V1990" s="6" t="str">
        <f>IFERROR(__xludf.DUMMYFUNCTION("""COMPUTED_VALUE"""),"")</f>
        <v/>
      </c>
      <c r="W1990" s="6" t="str">
        <f>IFERROR(__xludf.DUMMYFUNCTION("""COMPUTED_VALUE"""),"[]")</f>
        <v>[]</v>
      </c>
      <c r="X1990" s="6" t="str">
        <f>IFERROR(__xludf.DUMMYFUNCTION("""COMPUTED_VALUE"""),"Enrolled")</f>
        <v>Enrolled</v>
      </c>
    </row>
    <row r="1991">
      <c r="A1991" s="6" t="str">
        <f>IFERROR(__xludf.DUMMYFUNCTION("""COMPUTED_VALUE"""),"022-8834")</f>
        <v>022-8834</v>
      </c>
      <c r="B1991" s="6" t="str">
        <f>IFERROR(__xludf.DUMMYFUNCTION("""COMPUTED_VALUE"""),"22")</f>
        <v>22</v>
      </c>
      <c r="C1991" s="6" t="str">
        <f>IFERROR(__xludf.DUMMYFUNCTION("""COMPUTED_VALUE"""),"8834")</f>
        <v>8834</v>
      </c>
      <c r="D1991" s="6" t="str">
        <f>IFERROR(__xludf.DUMMYFUNCTION("""COMPUTED_VALUE"""),"Clark")</f>
        <v>Clark</v>
      </c>
      <c r="E1991" s="6" t="str">
        <f>IFERROR(__xludf.DUMMYFUNCTION("""COMPUTED_VALUE"""),"")</f>
        <v/>
      </c>
      <c r="F1991" s="6" t="str">
        <f>IFERROR(__xludf.DUMMYFUNCTION("""COMPUTED_VALUE"""),"Cho")</f>
        <v>Cho</v>
      </c>
      <c r="G1991" s="6" t="str">
        <f>IFERROR(__xludf.DUMMYFUNCTION("""COMPUTED_VALUE"""),"03/25/2019")</f>
        <v>03/25/2019</v>
      </c>
      <c r="H1991" s="6" t="str">
        <f>IFERROR(__xludf.DUMMYFUNCTION("""COMPUTED_VALUE"""),"male")</f>
        <v>male</v>
      </c>
      <c r="I1991" s="6" t="str">
        <f>IFERROR(__xludf.DUMMYFUNCTION("""COMPUTED_VALUE"""),"Learning Lab")</f>
        <v>Learning Lab</v>
      </c>
      <c r="J1991" s="6" t="str">
        <f>IFERROR(__xludf.DUMMYFUNCTION("""COMPUTED_VALUE"""),"1")</f>
        <v>1</v>
      </c>
      <c r="K1991" s="6" t="str">
        <f>IFERROR(__xludf.DUMMYFUNCTION("""COMPUTED_VALUE"""),"clark.cho@alpha.school")</f>
        <v>clark.cho@alpha.school</v>
      </c>
      <c r="L1991" s="6" t="str">
        <f>IFERROR(__xludf.DUMMYFUNCTION("""COMPUTED_VALUE"""),"Alpha School Palm Beach")</f>
        <v>Alpha School Palm Beach</v>
      </c>
      <c r="M1991" s="6" t="str">
        <f>IFERROR(__xludf.DUMMYFUNCTION("""COMPUTED_VALUE"""),"")</f>
        <v/>
      </c>
      <c r="N1991" s="6" t="str">
        <f>IFERROR(__xludf.DUMMYFUNCTION("""COMPUTED_VALUE"""),"")</f>
        <v/>
      </c>
      <c r="O1991" s="87" t="str">
        <f>IFERROR(__xludf.DUMMYFUNCTION("""COMPUTED_VALUE"""),"https://drive.google.com/drive/folders/10T2cTQHqEJZqE-st6uFKPoI?usp=share_link")</f>
        <v>https://drive.google.com/drive/folders/10T2cTQHqEJZqE-st6uFKPoI?usp=share_link</v>
      </c>
      <c r="P1991" s="6" t="str">
        <f>IFERROR(__xludf.DUMMYFUNCTION("""COMPUTED_VALUE"""),"Clark Cho")</f>
        <v>Clark Cho</v>
      </c>
      <c r="Q1991" s="6" t="str">
        <f>IFERROR(__xludf.DUMMYFUNCTION("""COMPUTED_VALUE"""),"LL")</f>
        <v>LL</v>
      </c>
      <c r="R1991" s="6">
        <f>IFERROR(__xludf.DUMMYFUNCTION("""COMPUTED_VALUE"""),0.0)</f>
        <v>0</v>
      </c>
      <c r="S1991" s="6" t="str">
        <f>IFERROR(__xludf.DUMMYFUNCTION("""COMPUTED_VALUE"""),"Scott Dangerfield")</f>
        <v>Scott Dangerfield</v>
      </c>
      <c r="T1991" s="6" t="str">
        <f>IFERROR(__xludf.DUMMYFUNCTION("""COMPUTED_VALUE"""),"scott.dangerfield@alpha.school")</f>
        <v>scott.dangerfield@alpha.school</v>
      </c>
      <c r="U1991" s="6" t="str">
        <f>IFERROR(__xludf.DUMMYFUNCTION("""COMPUTED_VALUE"""),"1")</f>
        <v>1</v>
      </c>
      <c r="V1991" s="6" t="str">
        <f>IFERROR(__xludf.DUMMYFUNCTION("""COMPUTED_VALUE"""),"")</f>
        <v/>
      </c>
      <c r="W1991" s="6" t="str">
        <f>IFERROR(__xludf.DUMMYFUNCTION("""COMPUTED_VALUE"""),"[]")</f>
        <v>[]</v>
      </c>
      <c r="X1991" s="6" t="str">
        <f>IFERROR(__xludf.DUMMYFUNCTION("""COMPUTED_VALUE"""),"Enrolled")</f>
        <v>Enrolled</v>
      </c>
    </row>
    <row r="1992">
      <c r="A1992" s="6" t="str">
        <f>IFERROR(__xludf.DUMMYFUNCTION("""COMPUTED_VALUE"""),"023-1916")</f>
        <v>023-1916</v>
      </c>
      <c r="B1992" s="6" t="str">
        <f>IFERROR(__xludf.DUMMYFUNCTION("""COMPUTED_VALUE"""),"23")</f>
        <v>23</v>
      </c>
      <c r="C1992" s="6" t="str">
        <f>IFERROR(__xludf.DUMMYFUNCTION("""COMPUTED_VALUE"""),"1916")</f>
        <v>1916</v>
      </c>
      <c r="D1992" s="6" t="str">
        <f>IFERROR(__xludf.DUMMYFUNCTION("""COMPUTED_VALUE"""),"Arya")</f>
        <v>Arya</v>
      </c>
      <c r="E1992" s="6" t="str">
        <f>IFERROR(__xludf.DUMMYFUNCTION("""COMPUTED_VALUE"""),"Arya")</f>
        <v>Arya</v>
      </c>
      <c r="F1992" s="6" t="str">
        <f>IFERROR(__xludf.DUMMYFUNCTION("""COMPUTED_VALUE"""),"Powers")</f>
        <v>Powers</v>
      </c>
      <c r="G1992" s="6" t="str">
        <f>IFERROR(__xludf.DUMMYFUNCTION("""COMPUTED_VALUE"""),"06/17/2019")</f>
        <v>06/17/2019</v>
      </c>
      <c r="H1992" s="6" t="str">
        <f>IFERROR(__xludf.DUMMYFUNCTION("""COMPUTED_VALUE"""),"female")</f>
        <v>female</v>
      </c>
      <c r="I1992" s="6" t="str">
        <f>IFERROR(__xludf.DUMMYFUNCTION("""COMPUTED_VALUE"""),"Learning Lab")</f>
        <v>Learning Lab</v>
      </c>
      <c r="J1992" s="6" t="str">
        <f>IFERROR(__xludf.DUMMYFUNCTION("""COMPUTED_VALUE"""),"1")</f>
        <v>1</v>
      </c>
      <c r="K1992" s="6" t="str">
        <f>IFERROR(__xludf.DUMMYFUNCTION("""COMPUTED_VALUE"""),"arya.powers@alpha.school")</f>
        <v>arya.powers@alpha.school</v>
      </c>
      <c r="L1992" s="6" t="str">
        <f>IFERROR(__xludf.DUMMYFUNCTION("""COMPUTED_VALUE"""),"Alpha School Tampa")</f>
        <v>Alpha School Tampa</v>
      </c>
      <c r="M1992" s="6" t="str">
        <f>IFERROR(__xludf.DUMMYFUNCTION("""COMPUTED_VALUE"""),"")</f>
        <v/>
      </c>
      <c r="N1992" s="6" t="str">
        <f>IFERROR(__xludf.DUMMYFUNCTION("""COMPUTED_VALUE"""),"")</f>
        <v/>
      </c>
      <c r="O1992" s="87" t="str">
        <f>IFERROR(__xludf.DUMMYFUNCTION("""COMPUTED_VALUE"""),"https://drive.google.com/drive/folders/10T2cTQHqEJZqE-st6uFKPoI?usp=share_link")</f>
        <v>https://drive.google.com/drive/folders/10T2cTQHqEJZqE-st6uFKPoI?usp=share_link</v>
      </c>
      <c r="P1992" s="6" t="str">
        <f>IFERROR(__xludf.DUMMYFUNCTION("""COMPUTED_VALUE"""),"Arya Powers")</f>
        <v>Arya Powers</v>
      </c>
      <c r="Q1992" s="6" t="str">
        <f>IFERROR(__xludf.DUMMYFUNCTION("""COMPUTED_VALUE"""),"LL")</f>
        <v>LL</v>
      </c>
      <c r="R1992" s="6">
        <f>IFERROR(__xludf.DUMMYFUNCTION("""COMPUTED_VALUE"""),0.0)</f>
        <v>0</v>
      </c>
      <c r="S1992" s="6" t="str">
        <f>IFERROR(__xludf.DUMMYFUNCTION("""COMPUTED_VALUE""")," ")</f>
        <v> </v>
      </c>
      <c r="T1992" s="6" t="str">
        <f>IFERROR(__xludf.DUMMYFUNCTION("""COMPUTED_VALUE"""),"")</f>
        <v/>
      </c>
      <c r="U1992" s="6" t="str">
        <f>IFERROR(__xludf.DUMMYFUNCTION("""COMPUTED_VALUE"""),"1")</f>
        <v>1</v>
      </c>
      <c r="V1992" s="6" t="str">
        <f>IFERROR(__xludf.DUMMYFUNCTION("""COMPUTED_VALUE"""),"")</f>
        <v/>
      </c>
      <c r="W1992" s="6" t="str">
        <f>IFERROR(__xludf.DUMMYFUNCTION("""COMPUTED_VALUE"""),"[]")</f>
        <v>[]</v>
      </c>
      <c r="X1992" s="6" t="str">
        <f>IFERROR(__xludf.DUMMYFUNCTION("""COMPUTED_VALUE"""),"Enrolled")</f>
        <v>Enrolled</v>
      </c>
    </row>
    <row r="1993">
      <c r="A1993" s="6" t="str">
        <f>IFERROR(__xludf.DUMMYFUNCTION("""COMPUTED_VALUE"""),"025-1216")</f>
        <v>025-1216</v>
      </c>
      <c r="B1993" s="6" t="str">
        <f>IFERROR(__xludf.DUMMYFUNCTION("""COMPUTED_VALUE"""),"25")</f>
        <v>25</v>
      </c>
      <c r="C1993" s="6" t="str">
        <f>IFERROR(__xludf.DUMMYFUNCTION("""COMPUTED_VALUE"""),"1216")</f>
        <v>1216</v>
      </c>
      <c r="D1993" s="6" t="str">
        <f>IFERROR(__xludf.DUMMYFUNCTION("""COMPUTED_VALUE"""),"Rhys")</f>
        <v>Rhys</v>
      </c>
      <c r="E1993" s="6" t="str">
        <f>IFERROR(__xludf.DUMMYFUNCTION("""COMPUTED_VALUE"""),"")</f>
        <v/>
      </c>
      <c r="F1993" s="6" t="str">
        <f>IFERROR(__xludf.DUMMYFUNCTION("""COMPUTED_VALUE"""),"Robertson")</f>
        <v>Robertson</v>
      </c>
      <c r="G1993" s="6" t="str">
        <f>IFERROR(__xludf.DUMMYFUNCTION("""COMPUTED_VALUE"""),"08/09/2012")</f>
        <v>08/09/2012</v>
      </c>
      <c r="H1993" s="6" t="str">
        <f>IFERROR(__xludf.DUMMYFUNCTION("""COMPUTED_VALUE"""),"male")</f>
        <v>male</v>
      </c>
      <c r="I1993" s="6" t="str">
        <f>IFERROR(__xludf.DUMMYFUNCTION("""COMPUTED_VALUE"""),"Middle School")</f>
        <v>Middle School</v>
      </c>
      <c r="J1993" s="6" t="str">
        <f>IFERROR(__xludf.DUMMYFUNCTION("""COMPUTED_VALUE"""),"7")</f>
        <v>7</v>
      </c>
      <c r="K1993" s="6" t="str">
        <f>IFERROR(__xludf.DUMMYFUNCTION("""COMPUTED_VALUE"""),"rhys.robertson@alpha.school")</f>
        <v>rhys.robertson@alpha.school</v>
      </c>
      <c r="L1993" s="6" t="str">
        <f>IFERROR(__xludf.DUMMYFUNCTION("""COMPUTED_VALUE"""),"Alpha School Santa Barbara")</f>
        <v>Alpha School Santa Barbara</v>
      </c>
      <c r="M1993" s="6" t="str">
        <f>IFERROR(__xludf.DUMMYFUNCTION("""COMPUTED_VALUE"""),"")</f>
        <v/>
      </c>
      <c r="N1993" s="6" t="str">
        <f>IFERROR(__xludf.DUMMYFUNCTION("""COMPUTED_VALUE"""),"")</f>
        <v/>
      </c>
      <c r="O1993" s="87" t="str">
        <f>IFERROR(__xludf.DUMMYFUNCTION("""COMPUTED_VALUE"""),"https://drive.google.com/drive/folders/10T2cTQHqEJZqE-st6uFKPoI?usp=share_link")</f>
        <v>https://drive.google.com/drive/folders/10T2cTQHqEJZqE-st6uFKPoI?usp=share_link</v>
      </c>
      <c r="P1993" s="6" t="str">
        <f>IFERROR(__xludf.DUMMYFUNCTION("""COMPUTED_VALUE"""),"Rhys Robertson")</f>
        <v>Rhys Robertson</v>
      </c>
      <c r="Q1993" s="6" t="str">
        <f>IFERROR(__xludf.DUMMYFUNCTION("""COMPUTED_VALUE"""),"MS")</f>
        <v>MS</v>
      </c>
      <c r="R1993" s="6">
        <f>IFERROR(__xludf.DUMMYFUNCTION("""COMPUTED_VALUE"""),0.0)</f>
        <v>0</v>
      </c>
      <c r="S1993" s="6" t="str">
        <f>IFERROR(__xludf.DUMMYFUNCTION("""COMPUTED_VALUE"""),"Derek Rinks")</f>
        <v>Derek Rinks</v>
      </c>
      <c r="T1993" s="6" t="str">
        <f>IFERROR(__xludf.DUMMYFUNCTION("""COMPUTED_VALUE"""),"derek.rinks@alpha.school")</f>
        <v>derek.rinks@alpha.school</v>
      </c>
      <c r="U1993" s="6" t="str">
        <f>IFERROR(__xludf.DUMMYFUNCTION("""COMPUTED_VALUE"""),"7")</f>
        <v>7</v>
      </c>
      <c r="V1993" s="6" t="str">
        <f>IFERROR(__xludf.DUMMYFUNCTION("""COMPUTED_VALUE"""),"")</f>
        <v/>
      </c>
      <c r="W1993" s="6" t="str">
        <f>IFERROR(__xludf.DUMMYFUNCTION("""COMPUTED_VALUE"""),"[]")</f>
        <v>[]</v>
      </c>
      <c r="X1993" s="6" t="str">
        <f>IFERROR(__xludf.DUMMYFUNCTION("""COMPUTED_VALUE"""),"Enrolled")</f>
        <v>Enrolled</v>
      </c>
    </row>
    <row r="1994">
      <c r="A1994" s="6" t="str">
        <f>IFERROR(__xludf.DUMMYFUNCTION("""COMPUTED_VALUE"""),"025-1217")</f>
        <v>025-1217</v>
      </c>
      <c r="B1994" s="6" t="str">
        <f>IFERROR(__xludf.DUMMYFUNCTION("""COMPUTED_VALUE"""),"25")</f>
        <v>25</v>
      </c>
      <c r="C1994" s="6" t="str">
        <f>IFERROR(__xludf.DUMMYFUNCTION("""COMPUTED_VALUE"""),"1217")</f>
        <v>1217</v>
      </c>
      <c r="D1994" s="6" t="str">
        <f>IFERROR(__xludf.DUMMYFUNCTION("""COMPUTED_VALUE"""),"Theodore")</f>
        <v>Theodore</v>
      </c>
      <c r="E1994" s="6" t="str">
        <f>IFERROR(__xludf.DUMMYFUNCTION("""COMPUTED_VALUE"""),"Theo")</f>
        <v>Theo</v>
      </c>
      <c r="F1994" s="6" t="str">
        <f>IFERROR(__xludf.DUMMYFUNCTION("""COMPUTED_VALUE"""),"Jenkins")</f>
        <v>Jenkins</v>
      </c>
      <c r="G1994" s="6" t="str">
        <f>IFERROR(__xludf.DUMMYFUNCTION("""COMPUTED_VALUE"""),"06/04/2012")</f>
        <v>06/04/2012</v>
      </c>
      <c r="H1994" s="6" t="str">
        <f>IFERROR(__xludf.DUMMYFUNCTION("""COMPUTED_VALUE"""),"male")</f>
        <v>male</v>
      </c>
      <c r="I1994" s="6" t="str">
        <f>IFERROR(__xludf.DUMMYFUNCTION("""COMPUTED_VALUE"""),"Middle School")</f>
        <v>Middle School</v>
      </c>
      <c r="J1994" s="6" t="str">
        <f>IFERROR(__xludf.DUMMYFUNCTION("""COMPUTED_VALUE"""),"8")</f>
        <v>8</v>
      </c>
      <c r="K1994" s="6" t="str">
        <f>IFERROR(__xludf.DUMMYFUNCTION("""COMPUTED_VALUE"""),"theo.jenkins@alpha.school")</f>
        <v>theo.jenkins@alpha.school</v>
      </c>
      <c r="L1994" s="6" t="str">
        <f>IFERROR(__xludf.DUMMYFUNCTION("""COMPUTED_VALUE"""),"Alpha School Santa Barbara")</f>
        <v>Alpha School Santa Barbara</v>
      </c>
      <c r="M1994" s="6" t="str">
        <f>IFERROR(__xludf.DUMMYFUNCTION("""COMPUTED_VALUE"""),"")</f>
        <v/>
      </c>
      <c r="N1994" s="6" t="str">
        <f>IFERROR(__xludf.DUMMYFUNCTION("""COMPUTED_VALUE"""),"")</f>
        <v/>
      </c>
      <c r="O1994" s="87" t="str">
        <f>IFERROR(__xludf.DUMMYFUNCTION("""COMPUTED_VALUE"""),"https://drive.google.com/drive/folders/10T2cTQHqEJZqE-st6uFKPoI?usp=share_link")</f>
        <v>https://drive.google.com/drive/folders/10T2cTQHqEJZqE-st6uFKPoI?usp=share_link</v>
      </c>
      <c r="P1994" s="6" t="str">
        <f>IFERROR(__xludf.DUMMYFUNCTION("""COMPUTED_VALUE"""),"Theo Jenkins")</f>
        <v>Theo Jenkins</v>
      </c>
      <c r="Q1994" s="6" t="str">
        <f>IFERROR(__xludf.DUMMYFUNCTION("""COMPUTED_VALUE"""),"MS")</f>
        <v>MS</v>
      </c>
      <c r="R1994" s="6">
        <f>IFERROR(__xludf.DUMMYFUNCTION("""COMPUTED_VALUE"""),0.0)</f>
        <v>0</v>
      </c>
      <c r="S1994" s="6" t="str">
        <f>IFERROR(__xludf.DUMMYFUNCTION("""COMPUTED_VALUE"""),"Drew Casebier")</f>
        <v>Drew Casebier</v>
      </c>
      <c r="T1994" s="6" t="str">
        <f>IFERROR(__xludf.DUMMYFUNCTION("""COMPUTED_VALUE"""),"drew.casebier@sportsacademy.school")</f>
        <v>drew.casebier@sportsacademy.school</v>
      </c>
      <c r="U1994" s="6" t="str">
        <f>IFERROR(__xludf.DUMMYFUNCTION("""COMPUTED_VALUE"""),"8")</f>
        <v>8</v>
      </c>
      <c r="V1994" s="6" t="str">
        <f>IFERROR(__xludf.DUMMYFUNCTION("""COMPUTED_VALUE"""),"")</f>
        <v/>
      </c>
      <c r="W1994" s="6" t="str">
        <f>IFERROR(__xludf.DUMMYFUNCTION("""COMPUTED_VALUE"""),"[]")</f>
        <v>[]</v>
      </c>
      <c r="X1994" s="6" t="str">
        <f>IFERROR(__xludf.DUMMYFUNCTION("""COMPUTED_VALUE"""),"Enrolled")</f>
        <v>Enrolled</v>
      </c>
    </row>
    <row r="1995">
      <c r="A1995" s="6" t="str">
        <f>IFERROR(__xludf.DUMMYFUNCTION("""COMPUTED_VALUE"""),"025-1846")</f>
        <v>025-1846</v>
      </c>
      <c r="B1995" s="6" t="str">
        <f>IFERROR(__xludf.DUMMYFUNCTION("""COMPUTED_VALUE"""),"25")</f>
        <v>25</v>
      </c>
      <c r="C1995" s="6" t="str">
        <f>IFERROR(__xludf.DUMMYFUNCTION("""COMPUTED_VALUE"""),"1846")</f>
        <v>1846</v>
      </c>
      <c r="D1995" s="6" t="str">
        <f>IFERROR(__xludf.DUMMYFUNCTION("""COMPUTED_VALUE"""),"Donovan")</f>
        <v>Donovan</v>
      </c>
      <c r="E1995" s="6" t="str">
        <f>IFERROR(__xludf.DUMMYFUNCTION("""COMPUTED_VALUE"""),"Donny")</f>
        <v>Donny</v>
      </c>
      <c r="F1995" s="6" t="str">
        <f>IFERROR(__xludf.DUMMYFUNCTION("""COMPUTED_VALUE"""),"Warm")</f>
        <v>Warm</v>
      </c>
      <c r="G1995" s="6" t="str">
        <f>IFERROR(__xludf.DUMMYFUNCTION("""COMPUTED_VALUE"""),"12/25/2013")</f>
        <v>12/25/2013</v>
      </c>
      <c r="H1995" s="6" t="str">
        <f>IFERROR(__xludf.DUMMYFUNCTION("""COMPUTED_VALUE"""),"male")</f>
        <v>male</v>
      </c>
      <c r="I1995" s="6" t="str">
        <f>IFERROR(__xludf.DUMMYFUNCTION("""COMPUTED_VALUE"""),"Middle School")</f>
        <v>Middle School</v>
      </c>
      <c r="J1995" s="6" t="str">
        <f>IFERROR(__xludf.DUMMYFUNCTION("""COMPUTED_VALUE"""),"6")</f>
        <v>6</v>
      </c>
      <c r="K1995" s="6" t="str">
        <f>IFERROR(__xludf.DUMMYFUNCTION("""COMPUTED_VALUE"""),"donovan.warm@alpha.school")</f>
        <v>donovan.warm@alpha.school</v>
      </c>
      <c r="L1995" s="6" t="str">
        <f>IFERROR(__xludf.DUMMYFUNCTION("""COMPUTED_VALUE"""),"Alpha School Santa Barbara")</f>
        <v>Alpha School Santa Barbara</v>
      </c>
      <c r="M1995" s="6" t="str">
        <f>IFERROR(__xludf.DUMMYFUNCTION("""COMPUTED_VALUE"""),"")</f>
        <v/>
      </c>
      <c r="N1995" s="6" t="str">
        <f>IFERROR(__xludf.DUMMYFUNCTION("""COMPUTED_VALUE"""),"")</f>
        <v/>
      </c>
      <c r="O1995" s="87" t="str">
        <f>IFERROR(__xludf.DUMMYFUNCTION("""COMPUTED_VALUE"""),"https://drive.google.com/drive/folders/10T2cTQHqEJZqE-st6uFKPoI?usp=share_link")</f>
        <v>https://drive.google.com/drive/folders/10T2cTQHqEJZqE-st6uFKPoI?usp=share_link</v>
      </c>
      <c r="P1995" s="6" t="str">
        <f>IFERROR(__xludf.DUMMYFUNCTION("""COMPUTED_VALUE"""),"Donny Warm")</f>
        <v>Donny Warm</v>
      </c>
      <c r="Q1995" s="6" t="str">
        <f>IFERROR(__xludf.DUMMYFUNCTION("""COMPUTED_VALUE"""),"MS")</f>
        <v>MS</v>
      </c>
      <c r="R1995" s="6">
        <f>IFERROR(__xludf.DUMMYFUNCTION("""COMPUTED_VALUE"""),0.0)</f>
        <v>0</v>
      </c>
      <c r="S1995" s="6" t="str">
        <f>IFERROR(__xludf.DUMMYFUNCTION("""COMPUTED_VALUE"""),"Derek Rinks")</f>
        <v>Derek Rinks</v>
      </c>
      <c r="T1995" s="6" t="str">
        <f>IFERROR(__xludf.DUMMYFUNCTION("""COMPUTED_VALUE"""),"derek.rinks@alpha.school")</f>
        <v>derek.rinks@alpha.school</v>
      </c>
      <c r="U1995" s="6" t="str">
        <f>IFERROR(__xludf.DUMMYFUNCTION("""COMPUTED_VALUE"""),"6")</f>
        <v>6</v>
      </c>
      <c r="V1995" s="6" t="str">
        <f>IFERROR(__xludf.DUMMYFUNCTION("""COMPUTED_VALUE"""),"")</f>
        <v/>
      </c>
      <c r="W1995" s="6" t="str">
        <f>IFERROR(__xludf.DUMMYFUNCTION("""COMPUTED_VALUE"""),"[]")</f>
        <v>[]</v>
      </c>
      <c r="X1995" s="6" t="str">
        <f>IFERROR(__xludf.DUMMYFUNCTION("""COMPUTED_VALUE"""),"Enrolled")</f>
        <v>Enrolled</v>
      </c>
    </row>
    <row r="1996">
      <c r="A1996" s="6" t="str">
        <f>IFERROR(__xludf.DUMMYFUNCTION("""COMPUTED_VALUE"""),"025-2162")</f>
        <v>025-2162</v>
      </c>
      <c r="B1996" s="6" t="str">
        <f>IFERROR(__xludf.DUMMYFUNCTION("""COMPUTED_VALUE"""),"25")</f>
        <v>25</v>
      </c>
      <c r="C1996" s="6" t="str">
        <f>IFERROR(__xludf.DUMMYFUNCTION("""COMPUTED_VALUE"""),"2162")</f>
        <v>2162</v>
      </c>
      <c r="D1996" s="6" t="str">
        <f>IFERROR(__xludf.DUMMYFUNCTION("""COMPUTED_VALUE"""),"Aidan")</f>
        <v>Aidan</v>
      </c>
      <c r="E1996" s="6" t="str">
        <f>IFERROR(__xludf.DUMMYFUNCTION("""COMPUTED_VALUE"""),"Aidan")</f>
        <v>Aidan</v>
      </c>
      <c r="F1996" s="6" t="str">
        <f>IFERROR(__xludf.DUMMYFUNCTION("""COMPUTED_VALUE"""),"Chase")</f>
        <v>Chase</v>
      </c>
      <c r="G1996" s="6" t="str">
        <f>IFERROR(__xludf.DUMMYFUNCTION("""COMPUTED_VALUE"""),"03/17/2011")</f>
        <v>03/17/2011</v>
      </c>
      <c r="H1996" s="6" t="str">
        <f>IFERROR(__xludf.DUMMYFUNCTION("""COMPUTED_VALUE"""),"male")</f>
        <v>male</v>
      </c>
      <c r="I1996" s="6" t="str">
        <f>IFERROR(__xludf.DUMMYFUNCTION("""COMPUTED_VALUE"""),"Middle School")</f>
        <v>Middle School</v>
      </c>
      <c r="J1996" s="6" t="str">
        <f>IFERROR(__xludf.DUMMYFUNCTION("""COMPUTED_VALUE"""),"8")</f>
        <v>8</v>
      </c>
      <c r="K1996" s="6" t="str">
        <f>IFERROR(__xludf.DUMMYFUNCTION("""COMPUTED_VALUE"""),"aidan.chase@alpha.school")</f>
        <v>aidan.chase@alpha.school</v>
      </c>
      <c r="L1996" s="6" t="str">
        <f>IFERROR(__xludf.DUMMYFUNCTION("""COMPUTED_VALUE"""),"Alpha School Santa Barbara")</f>
        <v>Alpha School Santa Barbara</v>
      </c>
      <c r="M1996" s="6" t="str">
        <f>IFERROR(__xludf.DUMMYFUNCTION("""COMPUTED_VALUE"""),"")</f>
        <v/>
      </c>
      <c r="N1996" s="6" t="str">
        <f>IFERROR(__xludf.DUMMYFUNCTION("""COMPUTED_VALUE"""),"")</f>
        <v/>
      </c>
      <c r="O1996" s="87" t="str">
        <f>IFERROR(__xludf.DUMMYFUNCTION("""COMPUTED_VALUE"""),"https://drive.google.com/drive/folders/10T2cTQHqEJZqE-st6uFKPoI?usp=share_link")</f>
        <v>https://drive.google.com/drive/folders/10T2cTQHqEJZqE-st6uFKPoI?usp=share_link</v>
      </c>
      <c r="P1996" s="6" t="str">
        <f>IFERROR(__xludf.DUMMYFUNCTION("""COMPUTED_VALUE"""),"Aidan Chase")</f>
        <v>Aidan Chase</v>
      </c>
      <c r="Q1996" s="6" t="str">
        <f>IFERROR(__xludf.DUMMYFUNCTION("""COMPUTED_VALUE"""),"MS")</f>
        <v>MS</v>
      </c>
      <c r="R1996" s="6">
        <f>IFERROR(__xludf.DUMMYFUNCTION("""COMPUTED_VALUE"""),0.0)</f>
        <v>0</v>
      </c>
      <c r="S1996" s="6" t="str">
        <f>IFERROR(__xludf.DUMMYFUNCTION("""COMPUTED_VALUE"""),"Derek Rinks")</f>
        <v>Derek Rinks</v>
      </c>
      <c r="T1996" s="6" t="str">
        <f>IFERROR(__xludf.DUMMYFUNCTION("""COMPUTED_VALUE"""),"derek.rinks@alpha.school")</f>
        <v>derek.rinks@alpha.school</v>
      </c>
      <c r="U1996" s="6" t="str">
        <f>IFERROR(__xludf.DUMMYFUNCTION("""COMPUTED_VALUE"""),"8")</f>
        <v>8</v>
      </c>
      <c r="V1996" s="6" t="str">
        <f>IFERROR(__xludf.DUMMYFUNCTION("""COMPUTED_VALUE"""),"")</f>
        <v/>
      </c>
      <c r="W1996" s="6" t="str">
        <f>IFERROR(__xludf.DUMMYFUNCTION("""COMPUTED_VALUE"""),"[]")</f>
        <v>[]</v>
      </c>
      <c r="X1996" s="6" t="str">
        <f>IFERROR(__xludf.DUMMYFUNCTION("""COMPUTED_VALUE"""),"Enrolled")</f>
        <v>Enrolled</v>
      </c>
    </row>
    <row r="1997">
      <c r="A1997" s="6" t="str">
        <f>IFERROR(__xludf.DUMMYFUNCTION("""COMPUTED_VALUE"""),"025-2163")</f>
        <v>025-2163</v>
      </c>
      <c r="B1997" s="6" t="str">
        <f>IFERROR(__xludf.DUMMYFUNCTION("""COMPUTED_VALUE"""),"25")</f>
        <v>25</v>
      </c>
      <c r="C1997" s="6" t="str">
        <f>IFERROR(__xludf.DUMMYFUNCTION("""COMPUTED_VALUE"""),"2163")</f>
        <v>2163</v>
      </c>
      <c r="D1997" s="6" t="str">
        <f>IFERROR(__xludf.DUMMYFUNCTION("""COMPUTED_VALUE"""),"Greyson Robert")</f>
        <v>Greyson Robert</v>
      </c>
      <c r="E1997" s="6" t="str">
        <f>IFERROR(__xludf.DUMMYFUNCTION("""COMPUTED_VALUE"""),"")</f>
        <v/>
      </c>
      <c r="F1997" s="6" t="str">
        <f>IFERROR(__xludf.DUMMYFUNCTION("""COMPUTED_VALUE"""),"Boyle")</f>
        <v>Boyle</v>
      </c>
      <c r="G1997" s="6" t="str">
        <f>IFERROR(__xludf.DUMMYFUNCTION("""COMPUTED_VALUE"""),"12/11/2012")</f>
        <v>12/11/2012</v>
      </c>
      <c r="H1997" s="6" t="str">
        <f>IFERROR(__xludf.DUMMYFUNCTION("""COMPUTED_VALUE"""),"male")</f>
        <v>male</v>
      </c>
      <c r="I1997" s="6" t="str">
        <f>IFERROR(__xludf.DUMMYFUNCTION("""COMPUTED_VALUE"""),"Middle School")</f>
        <v>Middle School</v>
      </c>
      <c r="J1997" s="6" t="str">
        <f>IFERROR(__xludf.DUMMYFUNCTION("""COMPUTED_VALUE"""),"7")</f>
        <v>7</v>
      </c>
      <c r="K1997" s="6" t="str">
        <f>IFERROR(__xludf.DUMMYFUNCTION("""COMPUTED_VALUE"""),"greyson.boyle@alpha.school")</f>
        <v>greyson.boyle@alpha.school</v>
      </c>
      <c r="L1997" s="6" t="str">
        <f>IFERROR(__xludf.DUMMYFUNCTION("""COMPUTED_VALUE"""),"Alpha School Santa Barbara")</f>
        <v>Alpha School Santa Barbara</v>
      </c>
      <c r="M1997" s="6" t="str">
        <f>IFERROR(__xludf.DUMMYFUNCTION("""COMPUTED_VALUE"""),"")</f>
        <v/>
      </c>
      <c r="N1997" s="6" t="str">
        <f>IFERROR(__xludf.DUMMYFUNCTION("""COMPUTED_VALUE"""),"")</f>
        <v/>
      </c>
      <c r="O1997" s="87" t="str">
        <f>IFERROR(__xludf.DUMMYFUNCTION("""COMPUTED_VALUE"""),"https://drive.google.com/drive/folders/10T2cTQHqEJZqE-st6uFKPoI?usp=share_link")</f>
        <v>https://drive.google.com/drive/folders/10T2cTQHqEJZqE-st6uFKPoI?usp=share_link</v>
      </c>
      <c r="P1997" s="6" t="str">
        <f>IFERROR(__xludf.DUMMYFUNCTION("""COMPUTED_VALUE"""),"Greyson Robert Boyle")</f>
        <v>Greyson Robert Boyle</v>
      </c>
      <c r="Q1997" s="6" t="str">
        <f>IFERROR(__xludf.DUMMYFUNCTION("""COMPUTED_VALUE"""),"MS")</f>
        <v>MS</v>
      </c>
      <c r="R1997" s="6">
        <f>IFERROR(__xludf.DUMMYFUNCTION("""COMPUTED_VALUE"""),0.0)</f>
        <v>0</v>
      </c>
      <c r="S1997" s="6" t="str">
        <f>IFERROR(__xludf.DUMMYFUNCTION("""COMPUTED_VALUE"""),"Derek Rinks")</f>
        <v>Derek Rinks</v>
      </c>
      <c r="T1997" s="6" t="str">
        <f>IFERROR(__xludf.DUMMYFUNCTION("""COMPUTED_VALUE"""),"derek.rinks@alpha.school")</f>
        <v>derek.rinks@alpha.school</v>
      </c>
      <c r="U1997" s="6" t="str">
        <f>IFERROR(__xludf.DUMMYFUNCTION("""COMPUTED_VALUE"""),"7")</f>
        <v>7</v>
      </c>
      <c r="V1997" s="6" t="str">
        <f>IFERROR(__xludf.DUMMYFUNCTION("""COMPUTED_VALUE"""),"")</f>
        <v/>
      </c>
      <c r="W1997" s="6" t="str">
        <f>IFERROR(__xludf.DUMMYFUNCTION("""COMPUTED_VALUE"""),"[]")</f>
        <v>[]</v>
      </c>
      <c r="X1997" s="6" t="str">
        <f>IFERROR(__xludf.DUMMYFUNCTION("""COMPUTED_VALUE"""),"Enrolled")</f>
        <v>Enrolled</v>
      </c>
    </row>
    <row r="1998">
      <c r="A1998" s="6" t="str">
        <f>IFERROR(__xludf.DUMMYFUNCTION("""COMPUTED_VALUE"""),"025-2164")</f>
        <v>025-2164</v>
      </c>
      <c r="B1998" s="6" t="str">
        <f>IFERROR(__xludf.DUMMYFUNCTION("""COMPUTED_VALUE"""),"25")</f>
        <v>25</v>
      </c>
      <c r="C1998" s="6" t="str">
        <f>IFERROR(__xludf.DUMMYFUNCTION("""COMPUTED_VALUE"""),"2164")</f>
        <v>2164</v>
      </c>
      <c r="D1998" s="6" t="str">
        <f>IFERROR(__xludf.DUMMYFUNCTION("""COMPUTED_VALUE"""),"Liam")</f>
        <v>Liam</v>
      </c>
      <c r="E1998" s="6" t="str">
        <f>IFERROR(__xludf.DUMMYFUNCTION("""COMPUTED_VALUE"""),"Liam")</f>
        <v>Liam</v>
      </c>
      <c r="F1998" s="6" t="str">
        <f>IFERROR(__xludf.DUMMYFUNCTION("""COMPUTED_VALUE"""),"Moore")</f>
        <v>Moore</v>
      </c>
      <c r="G1998" s="6" t="str">
        <f>IFERROR(__xludf.DUMMYFUNCTION("""COMPUTED_VALUE"""),"05/11/2011")</f>
        <v>05/11/2011</v>
      </c>
      <c r="H1998" s="6" t="str">
        <f>IFERROR(__xludf.DUMMYFUNCTION("""COMPUTED_VALUE"""),"male")</f>
        <v>male</v>
      </c>
      <c r="I1998" s="6" t="str">
        <f>IFERROR(__xludf.DUMMYFUNCTION("""COMPUTED_VALUE"""),"High School")</f>
        <v>High School</v>
      </c>
      <c r="J1998" s="6" t="str">
        <f>IFERROR(__xludf.DUMMYFUNCTION("""COMPUTED_VALUE"""),"9")</f>
        <v>9</v>
      </c>
      <c r="K1998" s="6" t="str">
        <f>IFERROR(__xludf.DUMMYFUNCTION("""COMPUTED_VALUE"""),"liam.moore@alpha.school")</f>
        <v>liam.moore@alpha.school</v>
      </c>
      <c r="L1998" s="6" t="str">
        <f>IFERROR(__xludf.DUMMYFUNCTION("""COMPUTED_VALUE"""),"Alpha School Santa Barbara")</f>
        <v>Alpha School Santa Barbara</v>
      </c>
      <c r="M1998" s="6" t="str">
        <f>IFERROR(__xludf.DUMMYFUNCTION("""COMPUTED_VALUE"""),"")</f>
        <v/>
      </c>
      <c r="N1998" s="6" t="str">
        <f>IFERROR(__xludf.DUMMYFUNCTION("""COMPUTED_VALUE"""),"")</f>
        <v/>
      </c>
      <c r="O1998" s="87" t="str">
        <f>IFERROR(__xludf.DUMMYFUNCTION("""COMPUTED_VALUE"""),"https://drive.google.com/drive/folders/10T2cTQHqEJZqE-st6uFKPoI?usp=share_link")</f>
        <v>https://drive.google.com/drive/folders/10T2cTQHqEJZqE-st6uFKPoI?usp=share_link</v>
      </c>
      <c r="P1998" s="6" t="str">
        <f>IFERROR(__xludf.DUMMYFUNCTION("""COMPUTED_VALUE"""),"Liam Moore")</f>
        <v>Liam Moore</v>
      </c>
      <c r="Q1998" s="6" t="str">
        <f>IFERROR(__xludf.DUMMYFUNCTION("""COMPUTED_VALUE"""),"HS")</f>
        <v>HS</v>
      </c>
      <c r="R1998" s="6">
        <f>IFERROR(__xludf.DUMMYFUNCTION("""COMPUTED_VALUE"""),0.0)</f>
        <v>0</v>
      </c>
      <c r="S1998" s="6" t="str">
        <f>IFERROR(__xludf.DUMMYFUNCTION("""COMPUTED_VALUE"""),"Drew Casebier")</f>
        <v>Drew Casebier</v>
      </c>
      <c r="T1998" s="6" t="str">
        <f>IFERROR(__xludf.DUMMYFUNCTION("""COMPUTED_VALUE"""),"drew.casebier@sportsacademy.school")</f>
        <v>drew.casebier@sportsacademy.school</v>
      </c>
      <c r="U1998" s="6" t="str">
        <f>IFERROR(__xludf.DUMMYFUNCTION("""COMPUTED_VALUE"""),"9")</f>
        <v>9</v>
      </c>
      <c r="V1998" s="6" t="str">
        <f>IFERROR(__xludf.DUMMYFUNCTION("""COMPUTED_VALUE"""),"")</f>
        <v/>
      </c>
      <c r="W1998" s="6" t="str">
        <f>IFERROR(__xludf.DUMMYFUNCTION("""COMPUTED_VALUE"""),"[]")</f>
        <v>[]</v>
      </c>
      <c r="X1998" s="6" t="str">
        <f>IFERROR(__xludf.DUMMYFUNCTION("""COMPUTED_VALUE"""),"Enrolled")</f>
        <v>Enrolled</v>
      </c>
    </row>
    <row r="1999">
      <c r="A1999" s="6" t="str">
        <f>IFERROR(__xludf.DUMMYFUNCTION("""COMPUTED_VALUE"""),"025-2165")</f>
        <v>025-2165</v>
      </c>
      <c r="B1999" s="6" t="str">
        <f>IFERROR(__xludf.DUMMYFUNCTION("""COMPUTED_VALUE"""),"25")</f>
        <v>25</v>
      </c>
      <c r="C1999" s="6" t="str">
        <f>IFERROR(__xludf.DUMMYFUNCTION("""COMPUTED_VALUE"""),"2165")</f>
        <v>2165</v>
      </c>
      <c r="D1999" s="6" t="str">
        <f>IFERROR(__xludf.DUMMYFUNCTION("""COMPUTED_VALUE"""),"Colton")</f>
        <v>Colton</v>
      </c>
      <c r="E1999" s="6" t="str">
        <f>IFERROR(__xludf.DUMMYFUNCTION("""COMPUTED_VALUE"""),"")</f>
        <v/>
      </c>
      <c r="F1999" s="6" t="str">
        <f>IFERROR(__xludf.DUMMYFUNCTION("""COMPUTED_VALUE"""),"Bellamy")</f>
        <v>Bellamy</v>
      </c>
      <c r="G1999" s="6" t="str">
        <f>IFERROR(__xludf.DUMMYFUNCTION("""COMPUTED_VALUE"""),"03/31/2011")</f>
        <v>03/31/2011</v>
      </c>
      <c r="H1999" s="6" t="str">
        <f>IFERROR(__xludf.DUMMYFUNCTION("""COMPUTED_VALUE"""),"male")</f>
        <v>male</v>
      </c>
      <c r="I1999" s="6" t="str">
        <f>IFERROR(__xludf.DUMMYFUNCTION("""COMPUTED_VALUE"""),"Middle School")</f>
        <v>Middle School</v>
      </c>
      <c r="J1999" s="6" t="str">
        <f>IFERROR(__xludf.DUMMYFUNCTION("""COMPUTED_VALUE"""),"8")</f>
        <v>8</v>
      </c>
      <c r="K1999" s="6" t="str">
        <f>IFERROR(__xludf.DUMMYFUNCTION("""COMPUTED_VALUE"""),"colton.bellamy@alpha.school")</f>
        <v>colton.bellamy@alpha.school</v>
      </c>
      <c r="L1999" s="6" t="str">
        <f>IFERROR(__xludf.DUMMYFUNCTION("""COMPUTED_VALUE"""),"Alpha School Santa Barbara")</f>
        <v>Alpha School Santa Barbara</v>
      </c>
      <c r="M1999" s="6" t="str">
        <f>IFERROR(__xludf.DUMMYFUNCTION("""COMPUTED_VALUE"""),"Repeat 8th")</f>
        <v>Repeat 8th</v>
      </c>
      <c r="N1999" s="6" t="str">
        <f>IFERROR(__xludf.DUMMYFUNCTION("""COMPUTED_VALUE"""),"")</f>
        <v/>
      </c>
      <c r="O1999" s="87" t="str">
        <f>IFERROR(__xludf.DUMMYFUNCTION("""COMPUTED_VALUE"""),"https://drive.google.com/drive/folders/10T2cTQHqEJZqE-st6uFKPoI?usp=share_link")</f>
        <v>https://drive.google.com/drive/folders/10T2cTQHqEJZqE-st6uFKPoI?usp=share_link</v>
      </c>
      <c r="P1999" s="6" t="str">
        <f>IFERROR(__xludf.DUMMYFUNCTION("""COMPUTED_VALUE"""),"Colton Bellamy")</f>
        <v>Colton Bellamy</v>
      </c>
      <c r="Q1999" s="6" t="str">
        <f>IFERROR(__xludf.DUMMYFUNCTION("""COMPUTED_VALUE"""),"MS")</f>
        <v>MS</v>
      </c>
      <c r="R1999" s="6">
        <f>IFERROR(__xludf.DUMMYFUNCTION("""COMPUTED_VALUE"""),0.0)</f>
        <v>0</v>
      </c>
      <c r="S1999" s="6" t="str">
        <f>IFERROR(__xludf.DUMMYFUNCTION("""COMPUTED_VALUE"""),"Drew Casebier")</f>
        <v>Drew Casebier</v>
      </c>
      <c r="T1999" s="6" t="str">
        <f>IFERROR(__xludf.DUMMYFUNCTION("""COMPUTED_VALUE"""),"drew.casebier@sportsacademy.school")</f>
        <v>drew.casebier@sportsacademy.school</v>
      </c>
      <c r="U1999" s="6" t="str">
        <f>IFERROR(__xludf.DUMMYFUNCTION("""COMPUTED_VALUE"""),"8")</f>
        <v>8</v>
      </c>
      <c r="V1999" s="6" t="str">
        <f>IFERROR(__xludf.DUMMYFUNCTION("""COMPUTED_VALUE"""),"")</f>
        <v/>
      </c>
      <c r="W1999" s="6" t="str">
        <f>IFERROR(__xludf.DUMMYFUNCTION("""COMPUTED_VALUE"""),"[]")</f>
        <v>[]</v>
      </c>
      <c r="X1999" s="6" t="str">
        <f>IFERROR(__xludf.DUMMYFUNCTION("""COMPUTED_VALUE"""),"Enrolled")</f>
        <v>Enrolled</v>
      </c>
    </row>
    <row r="2000">
      <c r="A2000" s="6" t="str">
        <f>IFERROR(__xludf.DUMMYFUNCTION("""COMPUTED_VALUE"""),"025-2624")</f>
        <v>025-2624</v>
      </c>
      <c r="B2000" s="6" t="str">
        <f>IFERROR(__xludf.DUMMYFUNCTION("""COMPUTED_VALUE"""),"25")</f>
        <v>25</v>
      </c>
      <c r="C2000" s="6" t="str">
        <f>IFERROR(__xludf.DUMMYFUNCTION("""COMPUTED_VALUE"""),"2624")</f>
        <v>2624</v>
      </c>
      <c r="D2000" s="6" t="str">
        <f>IFERROR(__xludf.DUMMYFUNCTION("""COMPUTED_VALUE"""),"Angus")</f>
        <v>Angus</v>
      </c>
      <c r="E2000" s="6" t="str">
        <f>IFERROR(__xludf.DUMMYFUNCTION("""COMPUTED_VALUE"""),"Angus")</f>
        <v>Angus</v>
      </c>
      <c r="F2000" s="6" t="str">
        <f>IFERROR(__xludf.DUMMYFUNCTION("""COMPUTED_VALUE"""),"Duncan")</f>
        <v>Duncan</v>
      </c>
      <c r="G2000" s="6" t="str">
        <f>IFERROR(__xludf.DUMMYFUNCTION("""COMPUTED_VALUE"""),"03/07/2011")</f>
        <v>03/07/2011</v>
      </c>
      <c r="H2000" s="6" t="str">
        <f>IFERROR(__xludf.DUMMYFUNCTION("""COMPUTED_VALUE"""),"male")</f>
        <v>male</v>
      </c>
      <c r="I2000" s="6" t="str">
        <f>IFERROR(__xludf.DUMMYFUNCTION("""COMPUTED_VALUE"""),"Middle School")</f>
        <v>Middle School</v>
      </c>
      <c r="J2000" s="6" t="str">
        <f>IFERROR(__xludf.DUMMYFUNCTION("""COMPUTED_VALUE"""),"8")</f>
        <v>8</v>
      </c>
      <c r="K2000" s="6" t="str">
        <f>IFERROR(__xludf.DUMMYFUNCTION("""COMPUTED_VALUE"""),"angus.duncan@alpha.school")</f>
        <v>angus.duncan@alpha.school</v>
      </c>
      <c r="L2000" s="6" t="str">
        <f>IFERROR(__xludf.DUMMYFUNCTION("""COMPUTED_VALUE"""),"Alpha School Santa Barbara")</f>
        <v>Alpha School Santa Barbara</v>
      </c>
      <c r="M2000" s="6" t="str">
        <f>IFERROR(__xludf.DUMMYFUNCTION("""COMPUTED_VALUE"""),"")</f>
        <v/>
      </c>
      <c r="N2000" s="6" t="str">
        <f>IFERROR(__xludf.DUMMYFUNCTION("""COMPUTED_VALUE"""),"")</f>
        <v/>
      </c>
      <c r="O2000" s="87" t="str">
        <f>IFERROR(__xludf.DUMMYFUNCTION("""COMPUTED_VALUE"""),"https://drive.google.com/drive/folders/10T2cTQHqEJZqE-st6uFKPoI?usp=share_link")</f>
        <v>https://drive.google.com/drive/folders/10T2cTQHqEJZqE-st6uFKPoI?usp=share_link</v>
      </c>
      <c r="P2000" s="6" t="str">
        <f>IFERROR(__xludf.DUMMYFUNCTION("""COMPUTED_VALUE"""),"Angus Duncan")</f>
        <v>Angus Duncan</v>
      </c>
      <c r="Q2000" s="6" t="str">
        <f>IFERROR(__xludf.DUMMYFUNCTION("""COMPUTED_VALUE"""),"MS")</f>
        <v>MS</v>
      </c>
      <c r="R2000" s="6">
        <f>IFERROR(__xludf.DUMMYFUNCTION("""COMPUTED_VALUE"""),0.0)</f>
        <v>0</v>
      </c>
      <c r="S2000" s="6" t="str">
        <f>IFERROR(__xludf.DUMMYFUNCTION("""COMPUTED_VALUE"""),"Drew Casebier")</f>
        <v>Drew Casebier</v>
      </c>
      <c r="T2000" s="6" t="str">
        <f>IFERROR(__xludf.DUMMYFUNCTION("""COMPUTED_VALUE"""),"drew.casebier@sportsacademy.school")</f>
        <v>drew.casebier@sportsacademy.school</v>
      </c>
      <c r="U2000" s="6" t="str">
        <f>IFERROR(__xludf.DUMMYFUNCTION("""COMPUTED_VALUE"""),"8")</f>
        <v>8</v>
      </c>
      <c r="V2000" s="6" t="str">
        <f>IFERROR(__xludf.DUMMYFUNCTION("""COMPUTED_VALUE"""),"")</f>
        <v/>
      </c>
      <c r="W2000" s="6" t="str">
        <f>IFERROR(__xludf.DUMMYFUNCTION("""COMPUTED_VALUE"""),"[]")</f>
        <v>[]</v>
      </c>
      <c r="X2000" s="6" t="str">
        <f>IFERROR(__xludf.DUMMYFUNCTION("""COMPUTED_VALUE"""),"Enrolled")</f>
        <v>Enrolled</v>
      </c>
    </row>
    <row r="2001">
      <c r="A2001" s="6" t="str">
        <f>IFERROR(__xludf.DUMMYFUNCTION("""COMPUTED_VALUE"""),"025-2841")</f>
        <v>025-2841</v>
      </c>
      <c r="B2001" s="6" t="str">
        <f>IFERROR(__xludf.DUMMYFUNCTION("""COMPUTED_VALUE"""),"25")</f>
        <v>25</v>
      </c>
      <c r="C2001" s="6" t="str">
        <f>IFERROR(__xludf.DUMMYFUNCTION("""COMPUTED_VALUE"""),"2841")</f>
        <v>2841</v>
      </c>
      <c r="D2001" s="6" t="str">
        <f>IFERROR(__xludf.DUMMYFUNCTION("""COMPUTED_VALUE"""),"August")</f>
        <v>August</v>
      </c>
      <c r="E2001" s="6" t="str">
        <f>IFERROR(__xludf.DUMMYFUNCTION("""COMPUTED_VALUE"""),"Gus")</f>
        <v>Gus</v>
      </c>
      <c r="F2001" s="6" t="str">
        <f>IFERROR(__xludf.DUMMYFUNCTION("""COMPUTED_VALUE"""),"Haig")</f>
        <v>Haig</v>
      </c>
      <c r="G2001" s="6" t="str">
        <f>IFERROR(__xludf.DUMMYFUNCTION("""COMPUTED_VALUE"""),"03/06/2015")</f>
        <v>03/06/2015</v>
      </c>
      <c r="H2001" s="6" t="str">
        <f>IFERROR(__xludf.DUMMYFUNCTION("""COMPUTED_VALUE"""),"male")</f>
        <v>male</v>
      </c>
      <c r="I2001" s="6" t="str">
        <f>IFERROR(__xludf.DUMMYFUNCTION("""COMPUTED_VALUE"""),"Level 2")</f>
        <v>Level 2</v>
      </c>
      <c r="J2001" s="6" t="str">
        <f>IFERROR(__xludf.DUMMYFUNCTION("""COMPUTED_VALUE"""),"5")</f>
        <v>5</v>
      </c>
      <c r="K2001" s="6" t="str">
        <f>IFERROR(__xludf.DUMMYFUNCTION("""COMPUTED_VALUE"""),"august.haig@alpha.school")</f>
        <v>august.haig@alpha.school</v>
      </c>
      <c r="L2001" s="6" t="str">
        <f>IFERROR(__xludf.DUMMYFUNCTION("""COMPUTED_VALUE"""),"Alpha School Santa Barbara")</f>
        <v>Alpha School Santa Barbara</v>
      </c>
      <c r="M2001" s="6" t="str">
        <f>IFERROR(__xludf.DUMMYFUNCTION("""COMPUTED_VALUE"""),"")</f>
        <v/>
      </c>
      <c r="N2001" s="6" t="str">
        <f>IFERROR(__xludf.DUMMYFUNCTION("""COMPUTED_VALUE"""),"")</f>
        <v/>
      </c>
      <c r="O2001" s="87" t="str">
        <f>IFERROR(__xludf.DUMMYFUNCTION("""COMPUTED_VALUE"""),"https://drive.google.com/drive/folders/10T2cTQHqEJZqE-st6uFKPoI?usp=share_link")</f>
        <v>https://drive.google.com/drive/folders/10T2cTQHqEJZqE-st6uFKPoI?usp=share_link</v>
      </c>
      <c r="P2001" s="6" t="str">
        <f>IFERROR(__xludf.DUMMYFUNCTION("""COMPUTED_VALUE"""),"Gus Haig")</f>
        <v>Gus Haig</v>
      </c>
      <c r="Q2001" s="6" t="str">
        <f>IFERROR(__xludf.DUMMYFUNCTION("""COMPUTED_VALUE"""),"L2")</f>
        <v>L2</v>
      </c>
      <c r="R2001" s="6">
        <f>IFERROR(__xludf.DUMMYFUNCTION("""COMPUTED_VALUE"""),2.0)</f>
        <v>2</v>
      </c>
      <c r="S2001" s="6" t="str">
        <f>IFERROR(__xludf.DUMMYFUNCTION("""COMPUTED_VALUE"""),"Whitney Snow")</f>
        <v>Whitney Snow</v>
      </c>
      <c r="T2001" s="6" t="str">
        <f>IFERROR(__xludf.DUMMYFUNCTION("""COMPUTED_VALUE"""),"whitney.snow@alpha.school")</f>
        <v>whitney.snow@alpha.school</v>
      </c>
      <c r="U2001" s="6" t="str">
        <f>IFERROR(__xludf.DUMMYFUNCTION("""COMPUTED_VALUE"""),"5")</f>
        <v>5</v>
      </c>
      <c r="V2001" s="6" t="str">
        <f>IFERROR(__xludf.DUMMYFUNCTION("""COMPUTED_VALUE"""),"")</f>
        <v/>
      </c>
      <c r="W2001" s="6" t="str">
        <f>IFERROR(__xludf.DUMMYFUNCTION("""COMPUTED_VALUE"""),"[]")</f>
        <v>[]</v>
      </c>
      <c r="X2001" s="6" t="str">
        <f>IFERROR(__xludf.DUMMYFUNCTION("""COMPUTED_VALUE"""),"Enrolled")</f>
        <v>Enrolled</v>
      </c>
    </row>
    <row r="2002">
      <c r="A2002" s="6" t="str">
        <f>IFERROR(__xludf.DUMMYFUNCTION("""COMPUTED_VALUE"""),"025-2909")</f>
        <v>025-2909</v>
      </c>
      <c r="B2002" s="6" t="str">
        <f>IFERROR(__xludf.DUMMYFUNCTION("""COMPUTED_VALUE"""),"25")</f>
        <v>25</v>
      </c>
      <c r="C2002" s="6" t="str">
        <f>IFERROR(__xludf.DUMMYFUNCTION("""COMPUTED_VALUE"""),"2909")</f>
        <v>2909</v>
      </c>
      <c r="D2002" s="6" t="str">
        <f>IFERROR(__xludf.DUMMYFUNCTION("""COMPUTED_VALUE"""),"Yashar IPL Student 1")</f>
        <v>Yashar IPL Student 1</v>
      </c>
      <c r="E2002" s="6" t="str">
        <f>IFERROR(__xludf.DUMMYFUNCTION("""COMPUTED_VALUE"""),"")</f>
        <v/>
      </c>
      <c r="F2002" s="6" t="str">
        <f>IFERROR(__xludf.DUMMYFUNCTION("""COMPUTED_VALUE"""),"_test_")</f>
        <v>_test_</v>
      </c>
      <c r="G2002" s="6" t="str">
        <f>IFERROR(__xludf.DUMMYFUNCTION("""COMPUTED_VALUE"""),"05/12/2023")</f>
        <v>05/12/2023</v>
      </c>
      <c r="H2002" s="6" t="str">
        <f>IFERROR(__xludf.DUMMYFUNCTION("""COMPUTED_VALUE"""),"Self Identify")</f>
        <v>Self Identify</v>
      </c>
      <c r="I2002" s="6" t="str">
        <f>IFERROR(__xludf.DUMMYFUNCTION("""COMPUTED_VALUE"""),"Learning Lab")</f>
        <v>Learning Lab</v>
      </c>
      <c r="J2002" s="6" t="str">
        <f>IFERROR(__xludf.DUMMYFUNCTION("""COMPUTED_VALUE"""),"K")</f>
        <v>K</v>
      </c>
      <c r="K2002" s="6" t="str">
        <f>IFERROR(__xludf.DUMMYFUNCTION("""COMPUTED_VALUE"""),"yashar.ipl.student.1._test_@alpha.school")</f>
        <v>yashar.ipl.student.1._test_@alpha.school</v>
      </c>
      <c r="L2002" s="6" t="str">
        <f>IFERROR(__xludf.DUMMYFUNCTION("""COMPUTED_VALUE"""),"Alpha School Santa Barbara")</f>
        <v>Alpha School Santa Barbara</v>
      </c>
      <c r="M2002" s="6" t="str">
        <f>IFERROR(__xludf.DUMMYFUNCTION("""COMPUTED_VALUE"""),"Test")</f>
        <v>Test</v>
      </c>
      <c r="N2002" s="6" t="str">
        <f>IFERROR(__xludf.DUMMYFUNCTION("""COMPUTED_VALUE"""),"")</f>
        <v/>
      </c>
      <c r="O2002" s="87" t="str">
        <f>IFERROR(__xludf.DUMMYFUNCTION("""COMPUTED_VALUE"""),"https://drive.google.com/drive/folders/10T2cTQHqEJZqE-st6uFKPoI?usp=share_link")</f>
        <v>https://drive.google.com/drive/folders/10T2cTQHqEJZqE-st6uFKPoI?usp=share_link</v>
      </c>
      <c r="P2002" s="6" t="str">
        <f>IFERROR(__xludf.DUMMYFUNCTION("""COMPUTED_VALUE"""),"Yashar IPL Student 1 _test_")</f>
        <v>Yashar IPL Student 1 _test_</v>
      </c>
      <c r="Q2002" s="6" t="str">
        <f>IFERROR(__xludf.DUMMYFUNCTION("""COMPUTED_VALUE"""),"LL")</f>
        <v>LL</v>
      </c>
      <c r="R2002" s="6">
        <f>IFERROR(__xludf.DUMMYFUNCTION("""COMPUTED_VALUE"""),0.0)</f>
        <v>0</v>
      </c>
      <c r="S2002" s="6" t="str">
        <f>IFERROR(__xludf.DUMMYFUNCTION("""COMPUTED_VALUE""")," ")</f>
        <v> </v>
      </c>
      <c r="T2002" s="6" t="str">
        <f>IFERROR(__xludf.DUMMYFUNCTION("""COMPUTED_VALUE"""),"")</f>
        <v/>
      </c>
      <c r="U2002" s="6" t="str">
        <f>IFERROR(__xludf.DUMMYFUNCTION("""COMPUTED_VALUE"""),"K")</f>
        <v>K</v>
      </c>
      <c r="V2002" s="6" t="str">
        <f>IFERROR(__xludf.DUMMYFUNCTION("""COMPUTED_VALUE"""),"")</f>
        <v/>
      </c>
      <c r="W2002" s="6" t="str">
        <f>IFERROR(__xludf.DUMMYFUNCTION("""COMPUTED_VALUE"""),"[]")</f>
        <v>[]</v>
      </c>
      <c r="X2002" s="6" t="str">
        <f>IFERROR(__xludf.DUMMYFUNCTION("""COMPUTED_VALUE"""),"Enrolled")</f>
        <v>Enrolled</v>
      </c>
    </row>
    <row r="2003">
      <c r="A2003" s="6" t="str">
        <f>IFERROR(__xludf.DUMMYFUNCTION("""COMPUTED_VALUE"""),"025-7523")</f>
        <v>025-7523</v>
      </c>
      <c r="B2003" s="6" t="str">
        <f>IFERROR(__xludf.DUMMYFUNCTION("""COMPUTED_VALUE"""),"25")</f>
        <v>25</v>
      </c>
      <c r="C2003" s="6" t="str">
        <f>IFERROR(__xludf.DUMMYFUNCTION("""COMPUTED_VALUE"""),"7523")</f>
        <v>7523</v>
      </c>
      <c r="D2003" s="6" t="str">
        <f>IFERROR(__xludf.DUMMYFUNCTION("""COMPUTED_VALUE"""),"Jonah")</f>
        <v>Jonah</v>
      </c>
      <c r="E2003" s="6" t="str">
        <f>IFERROR(__xludf.DUMMYFUNCTION("""COMPUTED_VALUE"""),"")</f>
        <v/>
      </c>
      <c r="F2003" s="6" t="str">
        <f>IFERROR(__xludf.DUMMYFUNCTION("""COMPUTED_VALUE"""),"Penna")</f>
        <v>Penna</v>
      </c>
      <c r="G2003" s="6" t="str">
        <f>IFERROR(__xludf.DUMMYFUNCTION("""COMPUTED_VALUE"""),"09/03/2014")</f>
        <v>09/03/2014</v>
      </c>
      <c r="H2003" s="6" t="str">
        <f>IFERROR(__xludf.DUMMYFUNCTION("""COMPUTED_VALUE"""),"male")</f>
        <v>male</v>
      </c>
      <c r="I2003" s="6" t="str">
        <f>IFERROR(__xludf.DUMMYFUNCTION("""COMPUTED_VALUE"""),"Level 2")</f>
        <v>Level 2</v>
      </c>
      <c r="J2003" s="6" t="str">
        <f>IFERROR(__xludf.DUMMYFUNCTION("""COMPUTED_VALUE"""),"5")</f>
        <v>5</v>
      </c>
      <c r="K2003" s="6" t="str">
        <f>IFERROR(__xludf.DUMMYFUNCTION("""COMPUTED_VALUE"""),"jonah.penna@alpha.school")</f>
        <v>jonah.penna@alpha.school</v>
      </c>
      <c r="L2003" s="6" t="str">
        <f>IFERROR(__xludf.DUMMYFUNCTION("""COMPUTED_VALUE"""),"Alpha School Santa Barbara")</f>
        <v>Alpha School Santa Barbara</v>
      </c>
      <c r="M2003" s="6" t="str">
        <f>IFERROR(__xludf.DUMMYFUNCTION("""COMPUTED_VALUE"""),"")</f>
        <v/>
      </c>
      <c r="N2003" s="6" t="str">
        <f>IFERROR(__xludf.DUMMYFUNCTION("""COMPUTED_VALUE"""),"")</f>
        <v/>
      </c>
      <c r="O2003" s="87" t="str">
        <f>IFERROR(__xludf.DUMMYFUNCTION("""COMPUTED_VALUE"""),"https://drive.google.com/drive/folders/10T2cTQHqEJZqE-st6uFKPoI?usp=share_link")</f>
        <v>https://drive.google.com/drive/folders/10T2cTQHqEJZqE-st6uFKPoI?usp=share_link</v>
      </c>
      <c r="P2003" s="6" t="str">
        <f>IFERROR(__xludf.DUMMYFUNCTION("""COMPUTED_VALUE"""),"Jonah Penna")</f>
        <v>Jonah Penna</v>
      </c>
      <c r="Q2003" s="6" t="str">
        <f>IFERROR(__xludf.DUMMYFUNCTION("""COMPUTED_VALUE"""),"L2")</f>
        <v>L2</v>
      </c>
      <c r="R2003" s="6">
        <f>IFERROR(__xludf.DUMMYFUNCTION("""COMPUTED_VALUE"""),2.0)</f>
        <v>2</v>
      </c>
      <c r="S2003" s="6" t="str">
        <f>IFERROR(__xludf.DUMMYFUNCTION("""COMPUTED_VALUE"""),"Whitney Snow")</f>
        <v>Whitney Snow</v>
      </c>
      <c r="T2003" s="6" t="str">
        <f>IFERROR(__xludf.DUMMYFUNCTION("""COMPUTED_VALUE"""),"whitney.snow@alpha.school")</f>
        <v>whitney.snow@alpha.school</v>
      </c>
      <c r="U2003" s="6" t="str">
        <f>IFERROR(__xludf.DUMMYFUNCTION("""COMPUTED_VALUE"""),"5")</f>
        <v>5</v>
      </c>
      <c r="V2003" s="6" t="str">
        <f>IFERROR(__xludf.DUMMYFUNCTION("""COMPUTED_VALUE"""),"")</f>
        <v/>
      </c>
      <c r="W2003" s="6" t="str">
        <f>IFERROR(__xludf.DUMMYFUNCTION("""COMPUTED_VALUE"""),"[]")</f>
        <v>[]</v>
      </c>
      <c r="X2003" s="6" t="str">
        <f>IFERROR(__xludf.DUMMYFUNCTION("""COMPUTED_VALUE"""),"Enrolled")</f>
        <v>Enrolled</v>
      </c>
    </row>
    <row r="2004">
      <c r="A2004" s="6" t="str">
        <f>IFERROR(__xludf.DUMMYFUNCTION("""COMPUTED_VALUE"""),"025-8799")</f>
        <v>025-8799</v>
      </c>
      <c r="B2004" s="6" t="str">
        <f>IFERROR(__xludf.DUMMYFUNCTION("""COMPUTED_VALUE"""),"25")</f>
        <v>25</v>
      </c>
      <c r="C2004" s="6" t="str">
        <f>IFERROR(__xludf.DUMMYFUNCTION("""COMPUTED_VALUE"""),"8799")</f>
        <v>8799</v>
      </c>
      <c r="D2004" s="6" t="str">
        <f>IFERROR(__xludf.DUMMYFUNCTION("""COMPUTED_VALUE"""),"Nicholas")</f>
        <v>Nicholas</v>
      </c>
      <c r="E2004" s="6" t="str">
        <f>IFERROR(__xludf.DUMMYFUNCTION("""COMPUTED_VALUE"""),"Nico")</f>
        <v>Nico</v>
      </c>
      <c r="F2004" s="6" t="str">
        <f>IFERROR(__xludf.DUMMYFUNCTION("""COMPUTED_VALUE"""),"Choe")</f>
        <v>Choe</v>
      </c>
      <c r="G2004" s="6" t="str">
        <f>IFERROR(__xludf.DUMMYFUNCTION("""COMPUTED_VALUE"""),"05/31/2012")</f>
        <v>05/31/2012</v>
      </c>
      <c r="H2004" s="6" t="str">
        <f>IFERROR(__xludf.DUMMYFUNCTION("""COMPUTED_VALUE"""),"male")</f>
        <v>male</v>
      </c>
      <c r="I2004" s="6" t="str">
        <f>IFERROR(__xludf.DUMMYFUNCTION("""COMPUTED_VALUE"""),"Middle School")</f>
        <v>Middle School</v>
      </c>
      <c r="J2004" s="6" t="str">
        <f>IFERROR(__xludf.DUMMYFUNCTION("""COMPUTED_VALUE"""),"7")</f>
        <v>7</v>
      </c>
      <c r="K2004" s="6" t="str">
        <f>IFERROR(__xludf.DUMMYFUNCTION("""COMPUTED_VALUE"""),"nicholas.choe@alpha.school")</f>
        <v>nicholas.choe@alpha.school</v>
      </c>
      <c r="L2004" s="6" t="str">
        <f>IFERROR(__xludf.DUMMYFUNCTION("""COMPUTED_VALUE"""),"Alpha School Santa Barbara")</f>
        <v>Alpha School Santa Barbara</v>
      </c>
      <c r="M2004" s="6" t="str">
        <f>IFERROR(__xludf.DUMMYFUNCTION("""COMPUTED_VALUE"""),"")</f>
        <v/>
      </c>
      <c r="N2004" s="6" t="str">
        <f>IFERROR(__xludf.DUMMYFUNCTION("""COMPUTED_VALUE"""),"")</f>
        <v/>
      </c>
      <c r="O2004" s="87" t="str">
        <f>IFERROR(__xludf.DUMMYFUNCTION("""COMPUTED_VALUE"""),"https://drive.google.com/drive/folders/10T2cTQHqEJZqE-st6uFKPoI?usp=share_link")</f>
        <v>https://drive.google.com/drive/folders/10T2cTQHqEJZqE-st6uFKPoI?usp=share_link</v>
      </c>
      <c r="P2004" s="6" t="str">
        <f>IFERROR(__xludf.DUMMYFUNCTION("""COMPUTED_VALUE"""),"Nico Choe")</f>
        <v>Nico Choe</v>
      </c>
      <c r="Q2004" s="6" t="str">
        <f>IFERROR(__xludf.DUMMYFUNCTION("""COMPUTED_VALUE"""),"MS")</f>
        <v>MS</v>
      </c>
      <c r="R2004" s="6">
        <f>IFERROR(__xludf.DUMMYFUNCTION("""COMPUTED_VALUE"""),0.0)</f>
        <v>0</v>
      </c>
      <c r="S2004" s="6" t="str">
        <f>IFERROR(__xludf.DUMMYFUNCTION("""COMPUTED_VALUE"""),"Drew Casebier")</f>
        <v>Drew Casebier</v>
      </c>
      <c r="T2004" s="6" t="str">
        <f>IFERROR(__xludf.DUMMYFUNCTION("""COMPUTED_VALUE"""),"drew.casebier@sportsacademy.school")</f>
        <v>drew.casebier@sportsacademy.school</v>
      </c>
      <c r="U2004" s="6" t="str">
        <f>IFERROR(__xludf.DUMMYFUNCTION("""COMPUTED_VALUE"""),"7")</f>
        <v>7</v>
      </c>
      <c r="V2004" s="6" t="str">
        <f>IFERROR(__xludf.DUMMYFUNCTION("""COMPUTED_VALUE"""),"")</f>
        <v/>
      </c>
      <c r="W2004" s="6" t="str">
        <f>IFERROR(__xludf.DUMMYFUNCTION("""COMPUTED_VALUE"""),"[]")</f>
        <v>[]</v>
      </c>
      <c r="X2004" s="6" t="str">
        <f>IFERROR(__xludf.DUMMYFUNCTION("""COMPUTED_VALUE"""),"Enrolled")</f>
        <v>Enrolled</v>
      </c>
    </row>
    <row r="2005">
      <c r="A2005" s="6" t="str">
        <f>IFERROR(__xludf.DUMMYFUNCTION("""COMPUTED_VALUE"""),"025-8801")</f>
        <v>025-8801</v>
      </c>
      <c r="B2005" s="6" t="str">
        <f>IFERROR(__xludf.DUMMYFUNCTION("""COMPUTED_VALUE"""),"25")</f>
        <v>25</v>
      </c>
      <c r="C2005" s="6" t="str">
        <f>IFERROR(__xludf.DUMMYFUNCTION("""COMPUTED_VALUE"""),"8801")</f>
        <v>8801</v>
      </c>
      <c r="D2005" s="6" t="str">
        <f>IFERROR(__xludf.DUMMYFUNCTION("""COMPUTED_VALUE"""),"Niam")</f>
        <v>Niam</v>
      </c>
      <c r="E2005" s="6" t="str">
        <f>IFERROR(__xludf.DUMMYFUNCTION("""COMPUTED_VALUE"""),"Niam")</f>
        <v>Niam</v>
      </c>
      <c r="F2005" s="6" t="str">
        <f>IFERROR(__xludf.DUMMYFUNCTION("""COMPUTED_VALUE"""),"Choe")</f>
        <v>Choe</v>
      </c>
      <c r="G2005" s="6" t="str">
        <f>IFERROR(__xludf.DUMMYFUNCTION("""COMPUTED_VALUE"""),"06/26/2016")</f>
        <v>06/26/2016</v>
      </c>
      <c r="H2005" s="6" t="str">
        <f>IFERROR(__xludf.DUMMYFUNCTION("""COMPUTED_VALUE"""),"male")</f>
        <v>male</v>
      </c>
      <c r="I2005" s="6" t="str">
        <f>IFERROR(__xludf.DUMMYFUNCTION("""COMPUTED_VALUE"""),"Level 2")</f>
        <v>Level 2</v>
      </c>
      <c r="J2005" s="6" t="str">
        <f>IFERROR(__xludf.DUMMYFUNCTION("""COMPUTED_VALUE"""),"4")</f>
        <v>4</v>
      </c>
      <c r="K2005" s="6" t="str">
        <f>IFERROR(__xludf.DUMMYFUNCTION("""COMPUTED_VALUE"""),"niam.choe@alpha.school")</f>
        <v>niam.choe@alpha.school</v>
      </c>
      <c r="L2005" s="6" t="str">
        <f>IFERROR(__xludf.DUMMYFUNCTION("""COMPUTED_VALUE"""),"Alpha School Santa Barbara")</f>
        <v>Alpha School Santa Barbara</v>
      </c>
      <c r="M2005" s="6" t="str">
        <f>IFERROR(__xludf.DUMMYFUNCTION("""COMPUTED_VALUE"""),"")</f>
        <v/>
      </c>
      <c r="N2005" s="6" t="str">
        <f>IFERROR(__xludf.DUMMYFUNCTION("""COMPUTED_VALUE"""),"")</f>
        <v/>
      </c>
      <c r="O2005" s="87" t="str">
        <f>IFERROR(__xludf.DUMMYFUNCTION("""COMPUTED_VALUE"""),"https://drive.google.com/drive/folders/10T2cTQHqEJZqE-st6uFKPoI?usp=share_link")</f>
        <v>https://drive.google.com/drive/folders/10T2cTQHqEJZqE-st6uFKPoI?usp=share_link</v>
      </c>
      <c r="P2005" s="6" t="str">
        <f>IFERROR(__xludf.DUMMYFUNCTION("""COMPUTED_VALUE"""),"Niam Choe")</f>
        <v>Niam Choe</v>
      </c>
      <c r="Q2005" s="6" t="str">
        <f>IFERROR(__xludf.DUMMYFUNCTION("""COMPUTED_VALUE"""),"L2")</f>
        <v>L2</v>
      </c>
      <c r="R2005" s="6">
        <f>IFERROR(__xludf.DUMMYFUNCTION("""COMPUTED_VALUE"""),2.0)</f>
        <v>2</v>
      </c>
      <c r="S2005" s="6" t="str">
        <f>IFERROR(__xludf.DUMMYFUNCTION("""COMPUTED_VALUE"""),"Whitney Snow")</f>
        <v>Whitney Snow</v>
      </c>
      <c r="T2005" s="6" t="str">
        <f>IFERROR(__xludf.DUMMYFUNCTION("""COMPUTED_VALUE"""),"whitney.snow@alpha.school")</f>
        <v>whitney.snow@alpha.school</v>
      </c>
      <c r="U2005" s="6" t="str">
        <f>IFERROR(__xludf.DUMMYFUNCTION("""COMPUTED_VALUE"""),"4")</f>
        <v>4</v>
      </c>
      <c r="V2005" s="6" t="str">
        <f>IFERROR(__xludf.DUMMYFUNCTION("""COMPUTED_VALUE"""),"")</f>
        <v/>
      </c>
      <c r="W2005" s="6" t="str">
        <f>IFERROR(__xludf.DUMMYFUNCTION("""COMPUTED_VALUE"""),"[]")</f>
        <v>[]</v>
      </c>
      <c r="X2005" s="6" t="str">
        <f>IFERROR(__xludf.DUMMYFUNCTION("""COMPUTED_VALUE"""),"Enrolled")</f>
        <v>Enrolled</v>
      </c>
    </row>
    <row r="2006">
      <c r="A2006" s="6" t="str">
        <f>IFERROR(__xludf.DUMMYFUNCTION("""COMPUTED_VALUE"""),"026-0883")</f>
        <v>026-0883</v>
      </c>
      <c r="B2006" s="6" t="str">
        <f>IFERROR(__xludf.DUMMYFUNCTION("""COMPUTED_VALUE"""),"26")</f>
        <v>26</v>
      </c>
      <c r="C2006" s="6" t="str">
        <f>IFERROR(__xludf.DUMMYFUNCTION("""COMPUTED_VALUE"""),"0883")</f>
        <v>0883</v>
      </c>
      <c r="D2006" s="6" t="str">
        <f>IFERROR(__xludf.DUMMYFUNCTION("""COMPUTED_VALUE"""),"Test")</f>
        <v>Test</v>
      </c>
      <c r="E2006" s="6" t="str">
        <f>IFERROR(__xludf.DUMMYFUNCTION("""COMPUTED_VALUE"""),"")</f>
        <v/>
      </c>
      <c r="F2006" s="6" t="str">
        <f>IFERROR(__xludf.DUMMYFUNCTION("""COMPUTED_VALUE"""),"Account7")</f>
        <v>Account7</v>
      </c>
      <c r="G2006" s="6" t="str">
        <f>IFERROR(__xludf.DUMMYFUNCTION("""COMPUTED_VALUE"""),"08/25/2016")</f>
        <v>08/25/2016</v>
      </c>
      <c r="H2006" s="6" t="str">
        <f>IFERROR(__xludf.DUMMYFUNCTION("""COMPUTED_VALUE"""),"F")</f>
        <v>F</v>
      </c>
      <c r="I2006" s="6" t="str">
        <f>IFERROR(__xludf.DUMMYFUNCTION("""COMPUTED_VALUE"""),"Middle School")</f>
        <v>Middle School</v>
      </c>
      <c r="J2006" s="6" t="str">
        <f>IFERROR(__xludf.DUMMYFUNCTION("""COMPUTED_VALUE"""),"6")</f>
        <v>6</v>
      </c>
      <c r="K2006" s="6" t="str">
        <f>IFERROR(__xludf.DUMMYFUNCTION("""COMPUTED_VALUE"""),"test.account7@alpha.school")</f>
        <v>test.account7@alpha.school</v>
      </c>
      <c r="L2006" s="6" t="str">
        <f>IFERROR(__xludf.DUMMYFUNCTION("""COMPUTED_VALUE"""),"NextGen Afterschool Tutoring Austin")</f>
        <v>NextGen Afterschool Tutoring Austin</v>
      </c>
      <c r="M2006" s="6" t="str">
        <f>IFERROR(__xludf.DUMMYFUNCTION("""COMPUTED_VALUE"""),"Mock")</f>
        <v>Mock</v>
      </c>
      <c r="N2006" s="6" t="str">
        <f>IFERROR(__xludf.DUMMYFUNCTION("""COMPUTED_VALUE"""),"")</f>
        <v/>
      </c>
      <c r="O2006" s="87" t="str">
        <f>IFERROR(__xludf.DUMMYFUNCTION("""COMPUTED_VALUE"""),"https://drive.google.com/drive/folders/10T2cTQHqEJZqE-st6uFKPoI?usp=share_link")</f>
        <v>https://drive.google.com/drive/folders/10T2cTQHqEJZqE-st6uFKPoI?usp=share_link</v>
      </c>
      <c r="P2006" s="6" t="str">
        <f>IFERROR(__xludf.DUMMYFUNCTION("""COMPUTED_VALUE"""),"Test Account7")</f>
        <v>Test Account7</v>
      </c>
      <c r="Q2006" s="6" t="str">
        <f>IFERROR(__xludf.DUMMYFUNCTION("""COMPUTED_VALUE"""),"MS")</f>
        <v>MS</v>
      </c>
      <c r="R2006" s="6">
        <f>IFERROR(__xludf.DUMMYFUNCTION("""COMPUTED_VALUE"""),0.0)</f>
        <v>0</v>
      </c>
      <c r="S2006" s="6" t="str">
        <f>IFERROR(__xludf.DUMMYFUNCTION("""COMPUTED_VALUE""")," ")</f>
        <v> </v>
      </c>
      <c r="T2006" s="6" t="str">
        <f>IFERROR(__xludf.DUMMYFUNCTION("""COMPUTED_VALUE"""),"")</f>
        <v/>
      </c>
      <c r="U2006" s="6" t="str">
        <f>IFERROR(__xludf.DUMMYFUNCTION("""COMPUTED_VALUE"""),"6")</f>
        <v>6</v>
      </c>
      <c r="V2006" s="6" t="str">
        <f>IFERROR(__xludf.DUMMYFUNCTION("""COMPUTED_VALUE"""),"")</f>
        <v/>
      </c>
      <c r="W2006" s="6" t="str">
        <f>IFERROR(__xludf.DUMMYFUNCTION("""COMPUTED_VALUE"""),"[]")</f>
        <v>[]</v>
      </c>
      <c r="X2006" s="6" t="str">
        <f>IFERROR(__xludf.DUMMYFUNCTION("""COMPUTED_VALUE"""),"Enrolled")</f>
        <v>Enrolled</v>
      </c>
    </row>
    <row r="2007">
      <c r="A2007" s="6" t="str">
        <f>IFERROR(__xludf.DUMMYFUNCTION("""COMPUTED_VALUE"""),"026-2271")</f>
        <v>026-2271</v>
      </c>
      <c r="B2007" s="6" t="str">
        <f>IFERROR(__xludf.DUMMYFUNCTION("""COMPUTED_VALUE"""),"26")</f>
        <v>26</v>
      </c>
      <c r="C2007" s="6" t="str">
        <f>IFERROR(__xludf.DUMMYFUNCTION("""COMPUTED_VALUE"""),"2271")</f>
        <v>2271</v>
      </c>
      <c r="D2007" s="6" t="str">
        <f>IFERROR(__xludf.DUMMYFUNCTION("""COMPUTED_VALUE"""),"Nextgen")</f>
        <v>Nextgen</v>
      </c>
      <c r="E2007" s="6" t="str">
        <f>IFERROR(__xludf.DUMMYFUNCTION("""COMPUTED_VALUE"""),"")</f>
        <v/>
      </c>
      <c r="F2007" s="6" t="str">
        <f>IFERROR(__xludf.DUMMYFUNCTION("""COMPUTED_VALUE"""),"Student1")</f>
        <v>Student1</v>
      </c>
      <c r="G2007" s="6" t="str">
        <f>IFERROR(__xludf.DUMMYFUNCTION("""COMPUTED_VALUE"""),"01/01/2012")</f>
        <v>01/01/2012</v>
      </c>
      <c r="H2007" s="6" t="str">
        <f>IFERROR(__xludf.DUMMYFUNCTION("""COMPUTED_VALUE"""),"male")</f>
        <v>male</v>
      </c>
      <c r="I2007" s="6" t="str">
        <f>IFERROR(__xludf.DUMMYFUNCTION("""COMPUTED_VALUE"""),"Middle School")</f>
        <v>Middle School</v>
      </c>
      <c r="J2007" s="6" t="str">
        <f>IFERROR(__xludf.DUMMYFUNCTION("""COMPUTED_VALUE"""),"6")</f>
        <v>6</v>
      </c>
      <c r="K2007" s="6" t="str">
        <f>IFERROR(__xludf.DUMMYFUNCTION("""COMPUTED_VALUE"""),"nextgen.student1@nextgenacademy.school")</f>
        <v>nextgen.student1@nextgenacademy.school</v>
      </c>
      <c r="L2007" s="6" t="str">
        <f>IFERROR(__xludf.DUMMYFUNCTION("""COMPUTED_VALUE"""),"NextGen Afterschool Tutoring Austin")</f>
        <v>NextGen Afterschool Tutoring Austin</v>
      </c>
      <c r="M2007" s="6" t="str">
        <f>IFERROR(__xludf.DUMMYFUNCTION("""COMPUTED_VALUE"""),"Test")</f>
        <v>Test</v>
      </c>
      <c r="N2007" s="6" t="str">
        <f>IFERROR(__xludf.DUMMYFUNCTION("""COMPUTED_VALUE"""),"")</f>
        <v/>
      </c>
      <c r="O2007" s="87" t="str">
        <f>IFERROR(__xludf.DUMMYFUNCTION("""COMPUTED_VALUE"""),"https://drive.google.com/drive/folders/10T2cTQHqEJZqE-st6uFKPoI?usp=share_link")</f>
        <v>https://drive.google.com/drive/folders/10T2cTQHqEJZqE-st6uFKPoI?usp=share_link</v>
      </c>
      <c r="P2007" s="6" t="str">
        <f>IFERROR(__xludf.DUMMYFUNCTION("""COMPUTED_VALUE"""),"Nextgen Student1")</f>
        <v>Nextgen Student1</v>
      </c>
      <c r="Q2007" s="6" t="str">
        <f>IFERROR(__xludf.DUMMYFUNCTION("""COMPUTED_VALUE"""),"MS")</f>
        <v>MS</v>
      </c>
      <c r="R2007" s="6">
        <f>IFERROR(__xludf.DUMMYFUNCTION("""COMPUTED_VALUE"""),0.0)</f>
        <v>0</v>
      </c>
      <c r="S2007" s="6" t="str">
        <f>IFERROR(__xludf.DUMMYFUNCTION("""COMPUTED_VALUE""")," ")</f>
        <v> </v>
      </c>
      <c r="T2007" s="6" t="str">
        <f>IFERROR(__xludf.DUMMYFUNCTION("""COMPUTED_VALUE"""),"")</f>
        <v/>
      </c>
      <c r="U2007" s="6" t="str">
        <f>IFERROR(__xludf.DUMMYFUNCTION("""COMPUTED_VALUE"""),"6")</f>
        <v>6</v>
      </c>
      <c r="V2007" s="6" t="str">
        <f>IFERROR(__xludf.DUMMYFUNCTION("""COMPUTED_VALUE"""),"")</f>
        <v/>
      </c>
      <c r="W2007" s="6" t="str">
        <f>IFERROR(__xludf.DUMMYFUNCTION("""COMPUTED_VALUE"""),"[]")</f>
        <v>[]</v>
      </c>
      <c r="X2007" s="6" t="str">
        <f>IFERROR(__xludf.DUMMYFUNCTION("""COMPUTED_VALUE"""),"Enrolled")</f>
        <v>Enrolled</v>
      </c>
    </row>
    <row r="2008">
      <c r="A2008" s="6" t="str">
        <f>IFERROR(__xludf.DUMMYFUNCTION("""COMPUTED_VALUE"""),"026-4631")</f>
        <v>026-4631</v>
      </c>
      <c r="B2008" s="6" t="str">
        <f>IFERROR(__xludf.DUMMYFUNCTION("""COMPUTED_VALUE"""),"26")</f>
        <v>26</v>
      </c>
      <c r="C2008" s="6" t="str">
        <f>IFERROR(__xludf.DUMMYFUNCTION("""COMPUTED_VALUE"""),"4631")</f>
        <v>4631</v>
      </c>
      <c r="D2008" s="6" t="str">
        <f>IFERROR(__xludf.DUMMYFUNCTION("""COMPUTED_VALUE"""),"Beau")</f>
        <v>Beau</v>
      </c>
      <c r="E2008" s="6" t="str">
        <f>IFERROR(__xludf.DUMMYFUNCTION("""COMPUTED_VALUE"""),"")</f>
        <v/>
      </c>
      <c r="F2008" s="6" t="str">
        <f>IFERROR(__xludf.DUMMYFUNCTION("""COMPUTED_VALUE"""),"Sydes - Test")</f>
        <v>Sydes - Test</v>
      </c>
      <c r="G2008" s="6" t="str">
        <f>IFERROR(__xludf.DUMMYFUNCTION("""COMPUTED_VALUE"""),"12/01/2012")</f>
        <v>12/01/2012</v>
      </c>
      <c r="H2008" s="6" t="str">
        <f>IFERROR(__xludf.DUMMYFUNCTION("""COMPUTED_VALUE"""),"Self Identify")</f>
        <v>Self Identify</v>
      </c>
      <c r="I2008" s="6" t="str">
        <f>IFERROR(__xludf.DUMMYFUNCTION("""COMPUTED_VALUE"""),"Middle School")</f>
        <v>Middle School</v>
      </c>
      <c r="J2008" s="6" t="str">
        <f>IFERROR(__xludf.DUMMYFUNCTION("""COMPUTED_VALUE"""),"7")</f>
        <v>7</v>
      </c>
      <c r="K2008" s="6" t="str">
        <f>IFERROR(__xludf.DUMMYFUNCTION("""COMPUTED_VALUE"""),"beau.sydes.test@nextgenacademy.school")</f>
        <v>beau.sydes.test@nextgenacademy.school</v>
      </c>
      <c r="L2008" s="6" t="str">
        <f>IFERROR(__xludf.DUMMYFUNCTION("""COMPUTED_VALUE"""),"NextGen Afterschool Tutoring Austin")</f>
        <v>NextGen Afterschool Tutoring Austin</v>
      </c>
      <c r="M2008" s="6" t="str">
        <f>IFERROR(__xludf.DUMMYFUNCTION("""COMPUTED_VALUE"""),"Mock")</f>
        <v>Mock</v>
      </c>
      <c r="N2008" s="6" t="str">
        <f>IFERROR(__xludf.DUMMYFUNCTION("""COMPUTED_VALUE"""),"")</f>
        <v/>
      </c>
      <c r="O2008" s="87" t="str">
        <f>IFERROR(__xludf.DUMMYFUNCTION("""COMPUTED_VALUE"""),"https://drive.google.com/drive/folders/10T2cTQHqEJZqE-st6uFKPoI?usp=share_link")</f>
        <v>https://drive.google.com/drive/folders/10T2cTQHqEJZqE-st6uFKPoI?usp=share_link</v>
      </c>
      <c r="P2008" s="6" t="str">
        <f>IFERROR(__xludf.DUMMYFUNCTION("""COMPUTED_VALUE"""),"Beau Sydes - Test")</f>
        <v>Beau Sydes - Test</v>
      </c>
      <c r="Q2008" s="6" t="str">
        <f>IFERROR(__xludf.DUMMYFUNCTION("""COMPUTED_VALUE"""),"MS")</f>
        <v>MS</v>
      </c>
      <c r="R2008" s="6">
        <f>IFERROR(__xludf.DUMMYFUNCTION("""COMPUTED_VALUE"""),0.0)</f>
        <v>0</v>
      </c>
      <c r="S2008" s="6" t="str">
        <f>IFERROR(__xludf.DUMMYFUNCTION("""COMPUTED_VALUE""")," ")</f>
        <v> </v>
      </c>
      <c r="T2008" s="6" t="str">
        <f>IFERROR(__xludf.DUMMYFUNCTION("""COMPUTED_VALUE"""),"")</f>
        <v/>
      </c>
      <c r="U2008" s="6" t="str">
        <f>IFERROR(__xludf.DUMMYFUNCTION("""COMPUTED_VALUE"""),"7")</f>
        <v>7</v>
      </c>
      <c r="V2008" s="6" t="str">
        <f>IFERROR(__xludf.DUMMYFUNCTION("""COMPUTED_VALUE"""),"")</f>
        <v/>
      </c>
      <c r="W2008" s="6" t="str">
        <f>IFERROR(__xludf.DUMMYFUNCTION("""COMPUTED_VALUE"""),"[]")</f>
        <v>[]</v>
      </c>
      <c r="X2008" s="6" t="str">
        <f>IFERROR(__xludf.DUMMYFUNCTION("""COMPUTED_VALUE"""),"Enrolled")</f>
        <v>Enrolled</v>
      </c>
    </row>
    <row r="2009">
      <c r="A2009" s="6" t="str">
        <f>IFERROR(__xludf.DUMMYFUNCTION("""COMPUTED_VALUE"""),"027-10024")</f>
        <v>027-10024</v>
      </c>
      <c r="B2009" s="6" t="str">
        <f>IFERROR(__xludf.DUMMYFUNCTION("""COMPUTED_VALUE"""),"27")</f>
        <v>27</v>
      </c>
      <c r="C2009" s="6" t="str">
        <f>IFERROR(__xludf.DUMMYFUNCTION("""COMPUTED_VALUE"""),"10024")</f>
        <v>10024</v>
      </c>
      <c r="D2009" s="6" t="str">
        <f>IFERROR(__xludf.DUMMYFUNCTION("""COMPUTED_VALUE"""),"Ayla")</f>
        <v>Ayla</v>
      </c>
      <c r="E2009" s="6" t="str">
        <f>IFERROR(__xludf.DUMMYFUNCTION("""COMPUTED_VALUE"""),"")</f>
        <v/>
      </c>
      <c r="F2009" s="6" t="str">
        <f>IFERROR(__xludf.DUMMYFUNCTION("""COMPUTED_VALUE"""),"Enayat")</f>
        <v>Enayat</v>
      </c>
      <c r="G2009" s="6" t="str">
        <f>IFERROR(__xludf.DUMMYFUNCTION("""COMPUTED_VALUE"""),"10/04/2014")</f>
        <v>10/04/2014</v>
      </c>
      <c r="H2009" s="6" t="str">
        <f>IFERROR(__xludf.DUMMYFUNCTION("""COMPUTED_VALUE"""),"Self Identify")</f>
        <v>Self Identify</v>
      </c>
      <c r="I2009" s="6" t="str">
        <f>IFERROR(__xludf.DUMMYFUNCTION("""COMPUTED_VALUE"""),"Level 2")</f>
        <v>Level 2</v>
      </c>
      <c r="J2009" s="6" t="str">
        <f>IFERROR(__xludf.DUMMYFUNCTION("""COMPUTED_VALUE"""),"5")</f>
        <v>5</v>
      </c>
      <c r="K2009" s="6" t="str">
        <f>IFERROR(__xludf.DUMMYFUNCTION("""COMPUTED_VALUE"""),"ayla.enayat@alpha.school")</f>
        <v>ayla.enayat@alpha.school</v>
      </c>
      <c r="L2009" s="6" t="str">
        <f>IFERROR(__xludf.DUMMYFUNCTION("""COMPUTED_VALUE"""),"Alpha Anywhere Center")</f>
        <v>Alpha Anywhere Center</v>
      </c>
      <c r="M2009" s="6" t="str">
        <f>IFERROR(__xludf.DUMMYFUNCTION("""COMPUTED_VALUE"""),"")</f>
        <v/>
      </c>
      <c r="N2009" s="6" t="str">
        <f>IFERROR(__xludf.DUMMYFUNCTION("""COMPUTED_VALUE"""),"")</f>
        <v/>
      </c>
      <c r="O2009" s="87" t="str">
        <f>IFERROR(__xludf.DUMMYFUNCTION("""COMPUTED_VALUE"""),"https://drive.google.com/drive/folders/10T2cTQHqEJZqE-st6uFKPoI?usp=share_link")</f>
        <v>https://drive.google.com/drive/folders/10T2cTQHqEJZqE-st6uFKPoI?usp=share_link</v>
      </c>
      <c r="P2009" s="6" t="str">
        <f>IFERROR(__xludf.DUMMYFUNCTION("""COMPUTED_VALUE"""),"Ayla Enayat")</f>
        <v>Ayla Enayat</v>
      </c>
      <c r="Q2009" s="6" t="str">
        <f>IFERROR(__xludf.DUMMYFUNCTION("""COMPUTED_VALUE"""),"L2")</f>
        <v>L2</v>
      </c>
      <c r="R2009" s="6">
        <f>IFERROR(__xludf.DUMMYFUNCTION("""COMPUTED_VALUE"""),2.0)</f>
        <v>2</v>
      </c>
      <c r="S2009" s="6" t="str">
        <f>IFERROR(__xludf.DUMMYFUNCTION("""COMPUTED_VALUE""")," ")</f>
        <v> </v>
      </c>
      <c r="T2009" s="6" t="str">
        <f>IFERROR(__xludf.DUMMYFUNCTION("""COMPUTED_VALUE"""),"")</f>
        <v/>
      </c>
      <c r="U2009" s="6" t="str">
        <f>IFERROR(__xludf.DUMMYFUNCTION("""COMPUTED_VALUE"""),"5")</f>
        <v>5</v>
      </c>
      <c r="V2009" s="6" t="str">
        <f>IFERROR(__xludf.DUMMYFUNCTION("""COMPUTED_VALUE"""),"")</f>
        <v/>
      </c>
      <c r="W2009" s="6" t="str">
        <f>IFERROR(__xludf.DUMMYFUNCTION("""COMPUTED_VALUE"""),"[]")</f>
        <v>[]</v>
      </c>
      <c r="X2009" s="6" t="str">
        <f>IFERROR(__xludf.DUMMYFUNCTION("""COMPUTED_VALUE"""),"Pending Review")</f>
        <v>Pending Review</v>
      </c>
    </row>
    <row r="2010">
      <c r="A2010" s="6" t="str">
        <f>IFERROR(__xludf.DUMMYFUNCTION("""COMPUTED_VALUE"""),"027-10025")</f>
        <v>027-10025</v>
      </c>
      <c r="B2010" s="6" t="str">
        <f>IFERROR(__xludf.DUMMYFUNCTION("""COMPUTED_VALUE"""),"27")</f>
        <v>27</v>
      </c>
      <c r="C2010" s="6" t="str">
        <f>IFERROR(__xludf.DUMMYFUNCTION("""COMPUTED_VALUE"""),"10025")</f>
        <v>10025</v>
      </c>
      <c r="D2010" s="6" t="str">
        <f>IFERROR(__xludf.DUMMYFUNCTION("""COMPUTED_VALUE"""),"Casper")</f>
        <v>Casper</v>
      </c>
      <c r="E2010" s="6" t="str">
        <f>IFERROR(__xludf.DUMMYFUNCTION("""COMPUTED_VALUE"""),"")</f>
        <v/>
      </c>
      <c r="F2010" s="6" t="str">
        <f>IFERROR(__xludf.DUMMYFUNCTION("""COMPUTED_VALUE"""),"Enayat")</f>
        <v>Enayat</v>
      </c>
      <c r="G2010" s="6" t="str">
        <f>IFERROR(__xludf.DUMMYFUNCTION("""COMPUTED_VALUE"""),"11/03/2016")</f>
        <v>11/03/2016</v>
      </c>
      <c r="H2010" s="6" t="str">
        <f>IFERROR(__xludf.DUMMYFUNCTION("""COMPUTED_VALUE"""),"Self Identify")</f>
        <v>Self Identify</v>
      </c>
      <c r="I2010" s="6" t="str">
        <f>IFERROR(__xludf.DUMMYFUNCTION("""COMPUTED_VALUE"""),"Level 2")</f>
        <v>Level 2</v>
      </c>
      <c r="J2010" s="6" t="str">
        <f>IFERROR(__xludf.DUMMYFUNCTION("""COMPUTED_VALUE"""),"4")</f>
        <v>4</v>
      </c>
      <c r="K2010" s="6" t="str">
        <f>IFERROR(__xludf.DUMMYFUNCTION("""COMPUTED_VALUE"""),"casper.enayat@alpha.school")</f>
        <v>casper.enayat@alpha.school</v>
      </c>
      <c r="L2010" s="6" t="str">
        <f>IFERROR(__xludf.DUMMYFUNCTION("""COMPUTED_VALUE"""),"Alpha Anywhere Center")</f>
        <v>Alpha Anywhere Center</v>
      </c>
      <c r="M2010" s="6" t="str">
        <f>IFERROR(__xludf.DUMMYFUNCTION("""COMPUTED_VALUE"""),"")</f>
        <v/>
      </c>
      <c r="N2010" s="6" t="str">
        <f>IFERROR(__xludf.DUMMYFUNCTION("""COMPUTED_VALUE"""),"")</f>
        <v/>
      </c>
      <c r="O2010" s="87" t="str">
        <f>IFERROR(__xludf.DUMMYFUNCTION("""COMPUTED_VALUE"""),"https://drive.google.com/drive/folders/10T2cTQHqEJZqE-st6uFKPoI?usp=share_link")</f>
        <v>https://drive.google.com/drive/folders/10T2cTQHqEJZqE-st6uFKPoI?usp=share_link</v>
      </c>
      <c r="P2010" s="6" t="str">
        <f>IFERROR(__xludf.DUMMYFUNCTION("""COMPUTED_VALUE"""),"Casper Enayat")</f>
        <v>Casper Enayat</v>
      </c>
      <c r="Q2010" s="6" t="str">
        <f>IFERROR(__xludf.DUMMYFUNCTION("""COMPUTED_VALUE"""),"L2")</f>
        <v>L2</v>
      </c>
      <c r="R2010" s="6">
        <f>IFERROR(__xludf.DUMMYFUNCTION("""COMPUTED_VALUE"""),2.0)</f>
        <v>2</v>
      </c>
      <c r="S2010" s="6" t="str">
        <f>IFERROR(__xludf.DUMMYFUNCTION("""COMPUTED_VALUE""")," ")</f>
        <v> </v>
      </c>
      <c r="T2010" s="6" t="str">
        <f>IFERROR(__xludf.DUMMYFUNCTION("""COMPUTED_VALUE"""),"")</f>
        <v/>
      </c>
      <c r="U2010" s="6" t="str">
        <f>IFERROR(__xludf.DUMMYFUNCTION("""COMPUTED_VALUE"""),"4")</f>
        <v>4</v>
      </c>
      <c r="V2010" s="6" t="str">
        <f>IFERROR(__xludf.DUMMYFUNCTION("""COMPUTED_VALUE"""),"")</f>
        <v/>
      </c>
      <c r="W2010" s="6" t="str">
        <f>IFERROR(__xludf.DUMMYFUNCTION("""COMPUTED_VALUE"""),"[]")</f>
        <v>[]</v>
      </c>
      <c r="X2010" s="6" t="str">
        <f>IFERROR(__xludf.DUMMYFUNCTION("""COMPUTED_VALUE"""),"Pending Review")</f>
        <v>Pending Review</v>
      </c>
    </row>
    <row r="2011">
      <c r="A2011" s="6" t="str">
        <f>IFERROR(__xludf.DUMMYFUNCTION("""COMPUTED_VALUE"""),"027-2017")</f>
        <v>027-2017</v>
      </c>
      <c r="B2011" s="6" t="str">
        <f>IFERROR(__xludf.DUMMYFUNCTION("""COMPUTED_VALUE"""),"27")</f>
        <v>27</v>
      </c>
      <c r="C2011" s="6" t="str">
        <f>IFERROR(__xludf.DUMMYFUNCTION("""COMPUTED_VALUE"""),"2017")</f>
        <v>2017</v>
      </c>
      <c r="D2011" s="6" t="str">
        <f>IFERROR(__xludf.DUMMYFUNCTION("""COMPUTED_VALUE"""),"Alice")</f>
        <v>Alice</v>
      </c>
      <c r="E2011" s="6" t="str">
        <f>IFERROR(__xludf.DUMMYFUNCTION("""COMPUTED_VALUE"""),"Hildy")</f>
        <v>Hildy</v>
      </c>
      <c r="F2011" s="6" t="str">
        <f>IFERROR(__xludf.DUMMYFUNCTION("""COMPUTED_VALUE"""),"Grimm")</f>
        <v>Grimm</v>
      </c>
      <c r="G2011" s="6" t="str">
        <f>IFERROR(__xludf.DUMMYFUNCTION("""COMPUTED_VALUE"""),"09/08/2019")</f>
        <v>09/08/2019</v>
      </c>
      <c r="H2011" s="6" t="str">
        <f>IFERROR(__xludf.DUMMYFUNCTION("""COMPUTED_VALUE"""),"female")</f>
        <v>female</v>
      </c>
      <c r="I2011" s="6" t="str">
        <f>IFERROR(__xludf.DUMMYFUNCTION("""COMPUTED_VALUE"""),"Learning Lab")</f>
        <v>Learning Lab</v>
      </c>
      <c r="J2011" s="6" t="str">
        <f>IFERROR(__xludf.DUMMYFUNCTION("""COMPUTED_VALUE"""),"K")</f>
        <v>K</v>
      </c>
      <c r="K2011" s="6" t="str">
        <f>IFERROR(__xludf.DUMMYFUNCTION("""COMPUTED_VALUE"""),"hildy.grimm@alpha.school")</f>
        <v>hildy.grimm@alpha.school</v>
      </c>
      <c r="L2011" s="6" t="str">
        <f>IFERROR(__xludf.DUMMYFUNCTION("""COMPUTED_VALUE"""),"Alpha Anywhere Center")</f>
        <v>Alpha Anywhere Center</v>
      </c>
      <c r="M2011" s="6" t="str">
        <f>IFERROR(__xludf.DUMMYFUNCTION("""COMPUTED_VALUE"""),"New York Roadshow")</f>
        <v>New York Roadshow</v>
      </c>
      <c r="N2011" s="6" t="str">
        <f>IFERROR(__xludf.DUMMYFUNCTION("""COMPUTED_VALUE"""),"")</f>
        <v/>
      </c>
      <c r="O2011" s="87" t="str">
        <f>IFERROR(__xludf.DUMMYFUNCTION("""COMPUTED_VALUE"""),"https://drive.google.com/drive/folders/10T2cTQHqEJZqE-st6uFKPoI?usp=share_link")</f>
        <v>https://drive.google.com/drive/folders/10T2cTQHqEJZqE-st6uFKPoI?usp=share_link</v>
      </c>
      <c r="P2011" s="6" t="str">
        <f>IFERROR(__xludf.DUMMYFUNCTION("""COMPUTED_VALUE"""),"Hildy Grimm")</f>
        <v>Hildy Grimm</v>
      </c>
      <c r="Q2011" s="6" t="str">
        <f>IFERROR(__xludf.DUMMYFUNCTION("""COMPUTED_VALUE"""),"LL")</f>
        <v>LL</v>
      </c>
      <c r="R2011" s="6">
        <f>IFERROR(__xludf.DUMMYFUNCTION("""COMPUTED_VALUE"""),0.0)</f>
        <v>0</v>
      </c>
      <c r="S2011" s="6" t="str">
        <f>IFERROR(__xludf.DUMMYFUNCTION("""COMPUTED_VALUE"""),"Jenna Klemm")</f>
        <v>Jenna Klemm</v>
      </c>
      <c r="T2011" s="6" t="str">
        <f>IFERROR(__xludf.DUMMYFUNCTION("""COMPUTED_VALUE"""),"jenna.klemm@alpha.school")</f>
        <v>jenna.klemm@alpha.school</v>
      </c>
      <c r="U2011" s="6" t="str">
        <f>IFERROR(__xludf.DUMMYFUNCTION("""COMPUTED_VALUE"""),"K")</f>
        <v>K</v>
      </c>
      <c r="V2011" s="6" t="str">
        <f>IFERROR(__xludf.DUMMYFUNCTION("""COMPUTED_VALUE"""),"")</f>
        <v/>
      </c>
      <c r="W2011" s="6" t="str">
        <f>IFERROR(__xludf.DUMMYFUNCTION("""COMPUTED_VALUE"""),"[]")</f>
        <v>[]</v>
      </c>
      <c r="X2011" s="6" t="str">
        <f>IFERROR(__xludf.DUMMYFUNCTION("""COMPUTED_VALUE"""),"Enrolled")</f>
        <v>Enrolled</v>
      </c>
    </row>
    <row r="2012">
      <c r="A2012" s="6" t="str">
        <f>IFERROR(__xludf.DUMMYFUNCTION("""COMPUTED_VALUE"""),"027-2019")</f>
        <v>027-2019</v>
      </c>
      <c r="B2012" s="6" t="str">
        <f>IFERROR(__xludf.DUMMYFUNCTION("""COMPUTED_VALUE"""),"27")</f>
        <v>27</v>
      </c>
      <c r="C2012" s="6" t="str">
        <f>IFERROR(__xludf.DUMMYFUNCTION("""COMPUTED_VALUE"""),"2019")</f>
        <v>2019</v>
      </c>
      <c r="D2012" s="6" t="str">
        <f>IFERROR(__xludf.DUMMYFUNCTION("""COMPUTED_VALUE"""),"Georgia")</f>
        <v>Georgia</v>
      </c>
      <c r="E2012" s="6" t="str">
        <f>IFERROR(__xludf.DUMMYFUNCTION("""COMPUTED_VALUE"""),"Georgia")</f>
        <v>Georgia</v>
      </c>
      <c r="F2012" s="6" t="str">
        <f>IFERROR(__xludf.DUMMYFUNCTION("""COMPUTED_VALUE"""),"Flaherty")</f>
        <v>Flaherty</v>
      </c>
      <c r="G2012" s="6" t="str">
        <f>IFERROR(__xludf.DUMMYFUNCTION("""COMPUTED_VALUE"""),"06/25/2014")</f>
        <v>06/25/2014</v>
      </c>
      <c r="H2012" s="6" t="str">
        <f>IFERROR(__xludf.DUMMYFUNCTION("""COMPUTED_VALUE"""),"female")</f>
        <v>female</v>
      </c>
      <c r="I2012" s="6" t="str">
        <f>IFERROR(__xludf.DUMMYFUNCTION("""COMPUTED_VALUE"""),"Level 2")</f>
        <v>Level 2</v>
      </c>
      <c r="J2012" s="6" t="str">
        <f>IFERROR(__xludf.DUMMYFUNCTION("""COMPUTED_VALUE"""),"5")</f>
        <v>5</v>
      </c>
      <c r="K2012" s="6" t="str">
        <f>IFERROR(__xludf.DUMMYFUNCTION("""COMPUTED_VALUE"""),"georgia.flaherty@alpha.school")</f>
        <v>georgia.flaherty@alpha.school</v>
      </c>
      <c r="L2012" s="6" t="str">
        <f>IFERROR(__xludf.DUMMYFUNCTION("""COMPUTED_VALUE"""),"Alpha Anywhere Center")</f>
        <v>Alpha Anywhere Center</v>
      </c>
      <c r="M2012" s="6" t="str">
        <f>IFERROR(__xludf.DUMMYFUNCTION("""COMPUTED_VALUE"""),"New York Roadshow")</f>
        <v>New York Roadshow</v>
      </c>
      <c r="N2012" s="6" t="str">
        <f>IFERROR(__xludf.DUMMYFUNCTION("""COMPUTED_VALUE"""),"")</f>
        <v/>
      </c>
      <c r="O2012" s="87" t="str">
        <f>IFERROR(__xludf.DUMMYFUNCTION("""COMPUTED_VALUE"""),"https://drive.google.com/drive/folders/10T2cTQHqEJZqE-st6uFKPoI?usp=share_link")</f>
        <v>https://drive.google.com/drive/folders/10T2cTQHqEJZqE-st6uFKPoI?usp=share_link</v>
      </c>
      <c r="P2012" s="6" t="str">
        <f>IFERROR(__xludf.DUMMYFUNCTION("""COMPUTED_VALUE"""),"Georgia Flaherty")</f>
        <v>Georgia Flaherty</v>
      </c>
      <c r="Q2012" s="6" t="str">
        <f>IFERROR(__xludf.DUMMYFUNCTION("""COMPUTED_VALUE"""),"L2")</f>
        <v>L2</v>
      </c>
      <c r="R2012" s="6">
        <f>IFERROR(__xludf.DUMMYFUNCTION("""COMPUTED_VALUE"""),2.0)</f>
        <v>2</v>
      </c>
      <c r="S2012" s="6" t="str">
        <f>IFERROR(__xludf.DUMMYFUNCTION("""COMPUTED_VALUE""")," ")</f>
        <v> </v>
      </c>
      <c r="T2012" s="6" t="str">
        <f>IFERROR(__xludf.DUMMYFUNCTION("""COMPUTED_VALUE"""),"")</f>
        <v/>
      </c>
      <c r="U2012" s="6" t="str">
        <f>IFERROR(__xludf.DUMMYFUNCTION("""COMPUTED_VALUE"""),"5")</f>
        <v>5</v>
      </c>
      <c r="V2012" s="6" t="str">
        <f>IFERROR(__xludf.DUMMYFUNCTION("""COMPUTED_VALUE"""),"")</f>
        <v/>
      </c>
      <c r="W2012" s="6" t="str">
        <f>IFERROR(__xludf.DUMMYFUNCTION("""COMPUTED_VALUE"""),"[]")</f>
        <v>[]</v>
      </c>
      <c r="X2012" s="6" t="str">
        <f>IFERROR(__xludf.DUMMYFUNCTION("""COMPUTED_VALUE"""),"Pending Review")</f>
        <v>Pending Review</v>
      </c>
    </row>
    <row r="2013">
      <c r="A2013" s="6" t="str">
        <f>IFERROR(__xludf.DUMMYFUNCTION("""COMPUTED_VALUE"""),"027-2021")</f>
        <v>027-2021</v>
      </c>
      <c r="B2013" s="6" t="str">
        <f>IFERROR(__xludf.DUMMYFUNCTION("""COMPUTED_VALUE"""),"27")</f>
        <v>27</v>
      </c>
      <c r="C2013" s="6" t="str">
        <f>IFERROR(__xludf.DUMMYFUNCTION("""COMPUTED_VALUE"""),"2021")</f>
        <v>2021</v>
      </c>
      <c r="D2013" s="6" t="str">
        <f>IFERROR(__xludf.DUMMYFUNCTION("""COMPUTED_VALUE"""),"Jaya")</f>
        <v>Jaya</v>
      </c>
      <c r="E2013" s="6" t="str">
        <f>IFERROR(__xludf.DUMMYFUNCTION("""COMPUTED_VALUE"""),"")</f>
        <v/>
      </c>
      <c r="F2013" s="6" t="str">
        <f>IFERROR(__xludf.DUMMYFUNCTION("""COMPUTED_VALUE"""),"Vora")</f>
        <v>Vora</v>
      </c>
      <c r="G2013" s="6" t="str">
        <f>IFERROR(__xludf.DUMMYFUNCTION("""COMPUTED_VALUE"""),"11/06/2015")</f>
        <v>11/06/2015</v>
      </c>
      <c r="H2013" s="6" t="str">
        <f>IFERROR(__xludf.DUMMYFUNCTION("""COMPUTED_VALUE"""),"female")</f>
        <v>female</v>
      </c>
      <c r="I2013" s="6" t="str">
        <f>IFERROR(__xludf.DUMMYFUNCTION("""COMPUTED_VALUE"""),"Level 2")</f>
        <v>Level 2</v>
      </c>
      <c r="J2013" s="6" t="str">
        <f>IFERROR(__xludf.DUMMYFUNCTION("""COMPUTED_VALUE"""),"4")</f>
        <v>4</v>
      </c>
      <c r="K2013" s="6" t="str">
        <f>IFERROR(__xludf.DUMMYFUNCTION("""COMPUTED_VALUE"""),"jaya.vora@alpha.school")</f>
        <v>jaya.vora@alpha.school</v>
      </c>
      <c r="L2013" s="6" t="str">
        <f>IFERROR(__xludf.DUMMYFUNCTION("""COMPUTED_VALUE"""),"Alpha Anywhere Center")</f>
        <v>Alpha Anywhere Center</v>
      </c>
      <c r="M2013" s="6" t="str">
        <f>IFERROR(__xludf.DUMMYFUNCTION("""COMPUTED_VALUE"""),"New York Roadshow")</f>
        <v>New York Roadshow</v>
      </c>
      <c r="N2013" s="6" t="str">
        <f>IFERROR(__xludf.DUMMYFUNCTION("""COMPUTED_VALUE"""),"")</f>
        <v/>
      </c>
      <c r="O2013" s="87" t="str">
        <f>IFERROR(__xludf.DUMMYFUNCTION("""COMPUTED_VALUE"""),"https://drive.google.com/drive/folders/10T2cTQHqEJZqE-st6uFKPoI?usp=share_link")</f>
        <v>https://drive.google.com/drive/folders/10T2cTQHqEJZqE-st6uFKPoI?usp=share_link</v>
      </c>
      <c r="P2013" s="6" t="str">
        <f>IFERROR(__xludf.DUMMYFUNCTION("""COMPUTED_VALUE"""),"Jaya Vora")</f>
        <v>Jaya Vora</v>
      </c>
      <c r="Q2013" s="6" t="str">
        <f>IFERROR(__xludf.DUMMYFUNCTION("""COMPUTED_VALUE"""),"L2")</f>
        <v>L2</v>
      </c>
      <c r="R2013" s="6">
        <f>IFERROR(__xludf.DUMMYFUNCTION("""COMPUTED_VALUE"""),2.0)</f>
        <v>2</v>
      </c>
      <c r="S2013" s="6" t="str">
        <f>IFERROR(__xludf.DUMMYFUNCTION("""COMPUTED_VALUE"""),"Liam Stanton")</f>
        <v>Liam Stanton</v>
      </c>
      <c r="T2013" s="6" t="str">
        <f>IFERROR(__xludf.DUMMYFUNCTION("""COMPUTED_VALUE"""),"william.stanton@alpha.school")</f>
        <v>william.stanton@alpha.school</v>
      </c>
      <c r="U2013" s="6" t="str">
        <f>IFERROR(__xludf.DUMMYFUNCTION("""COMPUTED_VALUE"""),"4")</f>
        <v>4</v>
      </c>
      <c r="V2013" s="6" t="str">
        <f>IFERROR(__xludf.DUMMYFUNCTION("""COMPUTED_VALUE"""),"")</f>
        <v/>
      </c>
      <c r="W2013" s="6" t="str">
        <f>IFERROR(__xludf.DUMMYFUNCTION("""COMPUTED_VALUE"""),"[]")</f>
        <v>[]</v>
      </c>
      <c r="X2013" s="6" t="str">
        <f>IFERROR(__xludf.DUMMYFUNCTION("""COMPUTED_VALUE"""),"Enrolled")</f>
        <v>Enrolled</v>
      </c>
    </row>
    <row r="2014">
      <c r="A2014" s="6" t="str">
        <f>IFERROR(__xludf.DUMMYFUNCTION("""COMPUTED_VALUE"""),"027-2024")</f>
        <v>027-2024</v>
      </c>
      <c r="B2014" s="6" t="str">
        <f>IFERROR(__xludf.DUMMYFUNCTION("""COMPUTED_VALUE"""),"27")</f>
        <v>27</v>
      </c>
      <c r="C2014" s="6" t="str">
        <f>IFERROR(__xludf.DUMMYFUNCTION("""COMPUTED_VALUE"""),"2024")</f>
        <v>2024</v>
      </c>
      <c r="D2014" s="6" t="str">
        <f>IFERROR(__xludf.DUMMYFUNCTION("""COMPUTED_VALUE"""),"Ada")</f>
        <v>Ada</v>
      </c>
      <c r="E2014" s="6" t="str">
        <f>IFERROR(__xludf.DUMMYFUNCTION("""COMPUTED_VALUE"""),"Ada")</f>
        <v>Ada</v>
      </c>
      <c r="F2014" s="6" t="str">
        <f>IFERROR(__xludf.DUMMYFUNCTION("""COMPUTED_VALUE"""),"Cone")</f>
        <v>Cone</v>
      </c>
      <c r="G2014" s="6" t="str">
        <f>IFERROR(__xludf.DUMMYFUNCTION("""COMPUTED_VALUE"""),"02/01/2018")</f>
        <v>02/01/2018</v>
      </c>
      <c r="H2014" s="6" t="str">
        <f>IFERROR(__xludf.DUMMYFUNCTION("""COMPUTED_VALUE"""),"female")</f>
        <v>female</v>
      </c>
      <c r="I2014" s="6" t="str">
        <f>IFERROR(__xludf.DUMMYFUNCTION("""COMPUTED_VALUE"""),"Level 1")</f>
        <v>Level 1</v>
      </c>
      <c r="J2014" s="6" t="str">
        <f>IFERROR(__xludf.DUMMYFUNCTION("""COMPUTED_VALUE"""),"2")</f>
        <v>2</v>
      </c>
      <c r="K2014" s="6" t="str">
        <f>IFERROR(__xludf.DUMMYFUNCTION("""COMPUTED_VALUE"""),"ada.cone@alpha.school")</f>
        <v>ada.cone@alpha.school</v>
      </c>
      <c r="L2014" s="6" t="str">
        <f>IFERROR(__xludf.DUMMYFUNCTION("""COMPUTED_VALUE"""),"Alpha Anywhere Center")</f>
        <v>Alpha Anywhere Center</v>
      </c>
      <c r="M2014" s="6" t="str">
        <f>IFERROR(__xludf.DUMMYFUNCTION("""COMPUTED_VALUE"""),"New York Roadshow")</f>
        <v>New York Roadshow</v>
      </c>
      <c r="N2014" s="6" t="str">
        <f>IFERROR(__xludf.DUMMYFUNCTION("""COMPUTED_VALUE"""),"")</f>
        <v/>
      </c>
      <c r="O2014" s="87" t="str">
        <f>IFERROR(__xludf.DUMMYFUNCTION("""COMPUTED_VALUE"""),"https://drive.google.com/drive/folders/10T2cTQHqEJZqE-st6uFKPoI?usp=share_link")</f>
        <v>https://drive.google.com/drive/folders/10T2cTQHqEJZqE-st6uFKPoI?usp=share_link</v>
      </c>
      <c r="P2014" s="6" t="str">
        <f>IFERROR(__xludf.DUMMYFUNCTION("""COMPUTED_VALUE"""),"Ada Cone")</f>
        <v>Ada Cone</v>
      </c>
      <c r="Q2014" s="6" t="str">
        <f>IFERROR(__xludf.DUMMYFUNCTION("""COMPUTED_VALUE"""),"L1")</f>
        <v>L1</v>
      </c>
      <c r="R2014" s="6">
        <f>IFERROR(__xludf.DUMMYFUNCTION("""COMPUTED_VALUE"""),1.0)</f>
        <v>1</v>
      </c>
      <c r="S2014" s="6" t="str">
        <f>IFERROR(__xludf.DUMMYFUNCTION("""COMPUTED_VALUE"""),"Parthvi Harde")</f>
        <v>Parthvi Harde</v>
      </c>
      <c r="T2014" s="6" t="str">
        <f>IFERROR(__xludf.DUMMYFUNCTION("""COMPUTED_VALUE"""),"parthvi.harde@alpha.school")</f>
        <v>parthvi.harde@alpha.school</v>
      </c>
      <c r="U2014" s="6" t="str">
        <f>IFERROR(__xludf.DUMMYFUNCTION("""COMPUTED_VALUE"""),"2")</f>
        <v>2</v>
      </c>
      <c r="V2014" s="6" t="str">
        <f>IFERROR(__xludf.DUMMYFUNCTION("""COMPUTED_VALUE"""),"")</f>
        <v/>
      </c>
      <c r="W2014" s="6" t="str">
        <f>IFERROR(__xludf.DUMMYFUNCTION("""COMPUTED_VALUE"""),"[]")</f>
        <v>[]</v>
      </c>
      <c r="X2014" s="6" t="str">
        <f>IFERROR(__xludf.DUMMYFUNCTION("""COMPUTED_VALUE"""),"Enrolled")</f>
        <v>Enrolled</v>
      </c>
    </row>
    <row r="2015">
      <c r="A2015" s="6" t="str">
        <f>IFERROR(__xludf.DUMMYFUNCTION("""COMPUTED_VALUE"""),"027-2284")</f>
        <v>027-2284</v>
      </c>
      <c r="B2015" s="6" t="str">
        <f>IFERROR(__xludf.DUMMYFUNCTION("""COMPUTED_VALUE"""),"27")</f>
        <v>27</v>
      </c>
      <c r="C2015" s="6" t="str">
        <f>IFERROR(__xludf.DUMMYFUNCTION("""COMPUTED_VALUE"""),"2284")</f>
        <v>2284</v>
      </c>
      <c r="D2015" s="6" t="str">
        <f>IFERROR(__xludf.DUMMYFUNCTION("""COMPUTED_VALUE"""),"Max")</f>
        <v>Max</v>
      </c>
      <c r="E2015" s="6" t="str">
        <f>IFERROR(__xludf.DUMMYFUNCTION("""COMPUTED_VALUE"""),"")</f>
        <v/>
      </c>
      <c r="F2015" s="6" t="str">
        <f>IFERROR(__xludf.DUMMYFUNCTION("""COMPUTED_VALUE"""),"Rzepecki")</f>
        <v>Rzepecki</v>
      </c>
      <c r="G2015" s="6" t="str">
        <f>IFERROR(__xludf.DUMMYFUNCTION("""COMPUTED_VALUE"""),"12/24/2016")</f>
        <v>12/24/2016</v>
      </c>
      <c r="H2015" s="6" t="str">
        <f>IFERROR(__xludf.DUMMYFUNCTION("""COMPUTED_VALUE"""),"male")</f>
        <v>male</v>
      </c>
      <c r="I2015" s="6" t="str">
        <f>IFERROR(__xludf.DUMMYFUNCTION("""COMPUTED_VALUE"""),"Level 1")</f>
        <v>Level 1</v>
      </c>
      <c r="J2015" s="6" t="str">
        <f>IFERROR(__xludf.DUMMYFUNCTION("""COMPUTED_VALUE"""),"3")</f>
        <v>3</v>
      </c>
      <c r="K2015" s="6" t="str">
        <f>IFERROR(__xludf.DUMMYFUNCTION("""COMPUTED_VALUE"""),"max.rzepecki@alpha.school")</f>
        <v>max.rzepecki@alpha.school</v>
      </c>
      <c r="L2015" s="6" t="str">
        <f>IFERROR(__xludf.DUMMYFUNCTION("""COMPUTED_VALUE"""),"Alpha Anywhere Center")</f>
        <v>Alpha Anywhere Center</v>
      </c>
      <c r="M2015" s="6" t="str">
        <f>IFERROR(__xludf.DUMMYFUNCTION("""COMPUTED_VALUE"""),"")</f>
        <v/>
      </c>
      <c r="N2015" s="6" t="str">
        <f>IFERROR(__xludf.DUMMYFUNCTION("""COMPUTED_VALUE"""),"")</f>
        <v/>
      </c>
      <c r="O2015" s="87" t="str">
        <f>IFERROR(__xludf.DUMMYFUNCTION("""COMPUTED_VALUE"""),"https://drive.google.com/drive/folders/10T2cTQHqEJZqE-st6uFKPoI?usp=share_link")</f>
        <v>https://drive.google.com/drive/folders/10T2cTQHqEJZqE-st6uFKPoI?usp=share_link</v>
      </c>
      <c r="P2015" s="6" t="str">
        <f>IFERROR(__xludf.DUMMYFUNCTION("""COMPUTED_VALUE"""),"Max Rzepecki")</f>
        <v>Max Rzepecki</v>
      </c>
      <c r="Q2015" s="6" t="str">
        <f>IFERROR(__xludf.DUMMYFUNCTION("""COMPUTED_VALUE"""),"L1")</f>
        <v>L1</v>
      </c>
      <c r="R2015" s="6">
        <f>IFERROR(__xludf.DUMMYFUNCTION("""COMPUTED_VALUE"""),1.0)</f>
        <v>1</v>
      </c>
      <c r="S2015" s="6" t="str">
        <f>IFERROR(__xludf.DUMMYFUNCTION("""COMPUTED_VALUE"""),"Nathan Witkin")</f>
        <v>Nathan Witkin</v>
      </c>
      <c r="T2015" s="6" t="str">
        <f>IFERROR(__xludf.DUMMYFUNCTION("""COMPUTED_VALUE"""),"nathan.witkin@alpha.school")</f>
        <v>nathan.witkin@alpha.school</v>
      </c>
      <c r="U2015" s="6" t="str">
        <f>IFERROR(__xludf.DUMMYFUNCTION("""COMPUTED_VALUE"""),"3")</f>
        <v>3</v>
      </c>
      <c r="V2015" s="6" t="str">
        <f>IFERROR(__xludf.DUMMYFUNCTION("""COMPUTED_VALUE"""),"")</f>
        <v/>
      </c>
      <c r="W2015" s="6" t="str">
        <f>IFERROR(__xludf.DUMMYFUNCTION("""COMPUTED_VALUE"""),"[]")</f>
        <v>[]</v>
      </c>
      <c r="X2015" s="6" t="str">
        <f>IFERROR(__xludf.DUMMYFUNCTION("""COMPUTED_VALUE"""),"Enrolled")</f>
        <v>Enrolled</v>
      </c>
    </row>
    <row r="2016">
      <c r="A2016" s="6" t="str">
        <f>IFERROR(__xludf.DUMMYFUNCTION("""COMPUTED_VALUE"""),"027-2381")</f>
        <v>027-2381</v>
      </c>
      <c r="B2016" s="6" t="str">
        <f>IFERROR(__xludf.DUMMYFUNCTION("""COMPUTED_VALUE"""),"27")</f>
        <v>27</v>
      </c>
      <c r="C2016" s="6" t="str">
        <f>IFERROR(__xludf.DUMMYFUNCTION("""COMPUTED_VALUE"""),"2381")</f>
        <v>2381</v>
      </c>
      <c r="D2016" s="6" t="str">
        <f>IFERROR(__xludf.DUMMYFUNCTION("""COMPUTED_VALUE"""),"_test_DmitryChildFName2")</f>
        <v>_test_DmitryChildFName2</v>
      </c>
      <c r="E2016" s="6" t="str">
        <f>IFERROR(__xludf.DUMMYFUNCTION("""COMPUTED_VALUE"""),"")</f>
        <v/>
      </c>
      <c r="F2016" s="6" t="str">
        <f>IFERROR(__xludf.DUMMYFUNCTION("""COMPUTED_VALUE"""),"DmitryChildLName2")</f>
        <v>DmitryChildLName2</v>
      </c>
      <c r="G2016" s="6" t="str">
        <f>IFERROR(__xludf.DUMMYFUNCTION("""COMPUTED_VALUE"""),"01/20/2020")</f>
        <v>01/20/2020</v>
      </c>
      <c r="H2016" s="6" t="str">
        <f>IFERROR(__xludf.DUMMYFUNCTION("""COMPUTED_VALUE"""),"male")</f>
        <v>male</v>
      </c>
      <c r="I2016" s="6" t="str">
        <f>IFERROR(__xludf.DUMMYFUNCTION("""COMPUTED_VALUE"""),"Level 1")</f>
        <v>Level 1</v>
      </c>
      <c r="J2016" s="6" t="str">
        <f>IFERROR(__xludf.DUMMYFUNCTION("""COMPUTED_VALUE"""),"3")</f>
        <v>3</v>
      </c>
      <c r="K2016" s="6" t="str">
        <f>IFERROR(__xludf.DUMMYFUNCTION("""COMPUTED_VALUE"""),"_test_dmitrychildfname2.dmitrychildlname2@alpha.school")</f>
        <v>_test_dmitrychildfname2.dmitrychildlname2@alpha.school</v>
      </c>
      <c r="L2016" s="6" t="str">
        <f>IFERROR(__xludf.DUMMYFUNCTION("""COMPUTED_VALUE"""),"Alpha Anywhere Center")</f>
        <v>Alpha Anywhere Center</v>
      </c>
      <c r="M2016" s="6" t="str">
        <f>IFERROR(__xludf.DUMMYFUNCTION("""COMPUTED_VALUE"""),"Test")</f>
        <v>Test</v>
      </c>
      <c r="N2016" s="6" t="str">
        <f>IFERROR(__xludf.DUMMYFUNCTION("""COMPUTED_VALUE"""),"")</f>
        <v/>
      </c>
      <c r="O2016" s="87" t="str">
        <f>IFERROR(__xludf.DUMMYFUNCTION("""COMPUTED_VALUE"""),"https://drive.google.com/drive/folders/10T2cTQHqEJZqE-st6uFKPoI?usp=share_link")</f>
        <v>https://drive.google.com/drive/folders/10T2cTQHqEJZqE-st6uFKPoI?usp=share_link</v>
      </c>
      <c r="P2016" s="6" t="str">
        <f>IFERROR(__xludf.DUMMYFUNCTION("""COMPUTED_VALUE"""),"_test_DmitryChildFName2 DmitryChildLName2")</f>
        <v>_test_DmitryChildFName2 DmitryChildLName2</v>
      </c>
      <c r="Q2016" s="6" t="str">
        <f>IFERROR(__xludf.DUMMYFUNCTION("""COMPUTED_VALUE"""),"L1")</f>
        <v>L1</v>
      </c>
      <c r="R2016" s="6">
        <f>IFERROR(__xludf.DUMMYFUNCTION("""COMPUTED_VALUE"""),1.0)</f>
        <v>1</v>
      </c>
      <c r="S2016" s="6" t="str">
        <f>IFERROR(__xludf.DUMMYFUNCTION("""COMPUTED_VALUE"""),"Chetan Verma")</f>
        <v>Chetan Verma</v>
      </c>
      <c r="T2016" s="6" t="str">
        <f>IFERROR(__xludf.DUMMYFUNCTION("""COMPUTED_VALUE"""),"chetanverma19@gmail.com")</f>
        <v>chetanverma19@gmail.com</v>
      </c>
      <c r="U2016" s="6" t="str">
        <f>IFERROR(__xludf.DUMMYFUNCTION("""COMPUTED_VALUE"""),"3")</f>
        <v>3</v>
      </c>
      <c r="V2016" s="6" t="str">
        <f>IFERROR(__xludf.DUMMYFUNCTION("""COMPUTED_VALUE"""),"")</f>
        <v/>
      </c>
      <c r="W2016" s="6" t="str">
        <f>IFERROR(__xludf.DUMMYFUNCTION("""COMPUTED_VALUE"""),"[]")</f>
        <v>[]</v>
      </c>
      <c r="X2016" s="6" t="str">
        <f>IFERROR(__xludf.DUMMYFUNCTION("""COMPUTED_VALUE"""),"Enrolled")</f>
        <v>Enrolled</v>
      </c>
    </row>
    <row r="2017">
      <c r="A2017" s="6" t="str">
        <f>IFERROR(__xludf.DUMMYFUNCTION("""COMPUTED_VALUE"""),"027-2507")</f>
        <v>027-2507</v>
      </c>
      <c r="B2017" s="6" t="str">
        <f>IFERROR(__xludf.DUMMYFUNCTION("""COMPUTED_VALUE"""),"27")</f>
        <v>27</v>
      </c>
      <c r="C2017" s="6" t="str">
        <f>IFERROR(__xludf.DUMMYFUNCTION("""COMPUTED_VALUE"""),"2507")</f>
        <v>2507</v>
      </c>
      <c r="D2017" s="6" t="str">
        <f>IFERROR(__xludf.DUMMYFUNCTION("""COMPUTED_VALUE"""),"Pax")</f>
        <v>Pax</v>
      </c>
      <c r="E2017" s="6" t="str">
        <f>IFERROR(__xludf.DUMMYFUNCTION("""COMPUTED_VALUE"""),"")</f>
        <v/>
      </c>
      <c r="F2017" s="6" t="str">
        <f>IFERROR(__xludf.DUMMYFUNCTION("""COMPUTED_VALUE"""),"Ovitz")</f>
        <v>Ovitz</v>
      </c>
      <c r="G2017" s="6" t="str">
        <f>IFERROR(__xludf.DUMMYFUNCTION("""COMPUTED_VALUE"""),"11/27/2015")</f>
        <v>11/27/2015</v>
      </c>
      <c r="H2017" s="6" t="str">
        <f>IFERROR(__xludf.DUMMYFUNCTION("""COMPUTED_VALUE"""),"male")</f>
        <v>male</v>
      </c>
      <c r="I2017" s="6" t="str">
        <f>IFERROR(__xludf.DUMMYFUNCTION("""COMPUTED_VALUE"""),"Level 2")</f>
        <v>Level 2</v>
      </c>
      <c r="J2017" s="6" t="str">
        <f>IFERROR(__xludf.DUMMYFUNCTION("""COMPUTED_VALUE"""),"4")</f>
        <v>4</v>
      </c>
      <c r="K2017" s="6" t="str">
        <f>IFERROR(__xludf.DUMMYFUNCTION("""COMPUTED_VALUE"""),"pax.ovitz@alpha.school")</f>
        <v>pax.ovitz@alpha.school</v>
      </c>
      <c r="L2017" s="6" t="str">
        <f>IFERROR(__xludf.DUMMYFUNCTION("""COMPUTED_VALUE"""),"Alpha Anywhere Center")</f>
        <v>Alpha Anywhere Center</v>
      </c>
      <c r="M2017" s="6" t="str">
        <f>IFERROR(__xludf.DUMMYFUNCTION("""COMPUTED_VALUE"""),"")</f>
        <v/>
      </c>
      <c r="N2017" s="6" t="str">
        <f>IFERROR(__xludf.DUMMYFUNCTION("""COMPUTED_VALUE"""),"")</f>
        <v/>
      </c>
      <c r="O2017" s="87" t="str">
        <f>IFERROR(__xludf.DUMMYFUNCTION("""COMPUTED_VALUE"""),"https://drive.google.com/drive/folders/10T2cTQHqEJZqE-st6uFKPoI?usp=share_link")</f>
        <v>https://drive.google.com/drive/folders/10T2cTQHqEJZqE-st6uFKPoI?usp=share_link</v>
      </c>
      <c r="P2017" s="6" t="str">
        <f>IFERROR(__xludf.DUMMYFUNCTION("""COMPUTED_VALUE"""),"Pax Ovitz")</f>
        <v>Pax Ovitz</v>
      </c>
      <c r="Q2017" s="6" t="str">
        <f>IFERROR(__xludf.DUMMYFUNCTION("""COMPUTED_VALUE"""),"L2")</f>
        <v>L2</v>
      </c>
      <c r="R2017" s="6">
        <f>IFERROR(__xludf.DUMMYFUNCTION("""COMPUTED_VALUE"""),2.0)</f>
        <v>2</v>
      </c>
      <c r="S2017" s="6" t="str">
        <f>IFERROR(__xludf.DUMMYFUNCTION("""COMPUTED_VALUE"""),"Liam Stanton")</f>
        <v>Liam Stanton</v>
      </c>
      <c r="T2017" s="6" t="str">
        <f>IFERROR(__xludf.DUMMYFUNCTION("""COMPUTED_VALUE"""),"william.stanton@alpha.school")</f>
        <v>william.stanton@alpha.school</v>
      </c>
      <c r="U2017" s="6" t="str">
        <f>IFERROR(__xludf.DUMMYFUNCTION("""COMPUTED_VALUE"""),"4")</f>
        <v>4</v>
      </c>
      <c r="V2017" s="6" t="str">
        <f>IFERROR(__xludf.DUMMYFUNCTION("""COMPUTED_VALUE"""),"")</f>
        <v/>
      </c>
      <c r="W2017" s="6" t="str">
        <f>IFERROR(__xludf.DUMMYFUNCTION("""COMPUTED_VALUE"""),"[]")</f>
        <v>[]</v>
      </c>
      <c r="X2017" s="6" t="str">
        <f>IFERROR(__xludf.DUMMYFUNCTION("""COMPUTED_VALUE"""),"Enrolled")</f>
        <v>Enrolled</v>
      </c>
    </row>
    <row r="2018">
      <c r="A2018" s="6" t="str">
        <f>IFERROR(__xludf.DUMMYFUNCTION("""COMPUTED_VALUE"""),"027-2508")</f>
        <v>027-2508</v>
      </c>
      <c r="B2018" s="6" t="str">
        <f>IFERROR(__xludf.DUMMYFUNCTION("""COMPUTED_VALUE"""),"27")</f>
        <v>27</v>
      </c>
      <c r="C2018" s="6" t="str">
        <f>IFERROR(__xludf.DUMMYFUNCTION("""COMPUTED_VALUE"""),"2508")</f>
        <v>2508</v>
      </c>
      <c r="D2018" s="6" t="str">
        <f>IFERROR(__xludf.DUMMYFUNCTION("""COMPUTED_VALUE"""),"Mireille")</f>
        <v>Mireille</v>
      </c>
      <c r="E2018" s="6" t="str">
        <f>IFERROR(__xludf.DUMMYFUNCTION("""COMPUTED_VALUE"""),"Mimi")</f>
        <v>Mimi</v>
      </c>
      <c r="F2018" s="6" t="str">
        <f>IFERROR(__xludf.DUMMYFUNCTION("""COMPUTED_VALUE"""),"Prospere")</f>
        <v>Prospere</v>
      </c>
      <c r="G2018" s="6" t="str">
        <f>IFERROR(__xludf.DUMMYFUNCTION("""COMPUTED_VALUE"""),"09/08/2011")</f>
        <v>09/08/2011</v>
      </c>
      <c r="H2018" s="6" t="str">
        <f>IFERROR(__xludf.DUMMYFUNCTION("""COMPUTED_VALUE"""),"female")</f>
        <v>female</v>
      </c>
      <c r="I2018" s="6" t="str">
        <f>IFERROR(__xludf.DUMMYFUNCTION("""COMPUTED_VALUE"""),"Middle School")</f>
        <v>Middle School</v>
      </c>
      <c r="J2018" s="6" t="str">
        <f>IFERROR(__xludf.DUMMYFUNCTION("""COMPUTED_VALUE"""),"8")</f>
        <v>8</v>
      </c>
      <c r="K2018" s="6" t="str">
        <f>IFERROR(__xludf.DUMMYFUNCTION("""COMPUTED_VALUE"""),"mireille.prospere@alpha.school")</f>
        <v>mireille.prospere@alpha.school</v>
      </c>
      <c r="L2018" s="6" t="str">
        <f>IFERROR(__xludf.DUMMYFUNCTION("""COMPUTED_VALUE"""),"Alpha Anywhere Center")</f>
        <v>Alpha Anywhere Center</v>
      </c>
      <c r="M2018" s="6" t="str">
        <f>IFERROR(__xludf.DUMMYFUNCTION("""COMPUTED_VALUE"""),"")</f>
        <v/>
      </c>
      <c r="N2018" s="6" t="str">
        <f>IFERROR(__xludf.DUMMYFUNCTION("""COMPUTED_VALUE"""),"")</f>
        <v/>
      </c>
      <c r="O2018" s="87" t="str">
        <f>IFERROR(__xludf.DUMMYFUNCTION("""COMPUTED_VALUE"""),"https://drive.google.com/drive/folders/10T2cTQHqEJZqE-st6uFKPoI?usp=share_link")</f>
        <v>https://drive.google.com/drive/folders/10T2cTQHqEJZqE-st6uFKPoI?usp=share_link</v>
      </c>
      <c r="P2018" s="6" t="str">
        <f>IFERROR(__xludf.DUMMYFUNCTION("""COMPUTED_VALUE"""),"Mimi Prospere")</f>
        <v>Mimi Prospere</v>
      </c>
      <c r="Q2018" s="6" t="str">
        <f>IFERROR(__xludf.DUMMYFUNCTION("""COMPUTED_VALUE"""),"MS")</f>
        <v>MS</v>
      </c>
      <c r="R2018" s="6">
        <f>IFERROR(__xludf.DUMMYFUNCTION("""COMPUTED_VALUE"""),0.0)</f>
        <v>0</v>
      </c>
      <c r="S2018" s="6" t="str">
        <f>IFERROR(__xludf.DUMMYFUNCTION("""COMPUTED_VALUE"""),"Emily Lopez")</f>
        <v>Emily Lopez</v>
      </c>
      <c r="T2018" s="6" t="str">
        <f>IFERROR(__xludf.DUMMYFUNCTION("""COMPUTED_VALUE"""),"emily.lopez@alpha.school")</f>
        <v>emily.lopez@alpha.school</v>
      </c>
      <c r="U2018" s="6" t="str">
        <f>IFERROR(__xludf.DUMMYFUNCTION("""COMPUTED_VALUE"""),"8")</f>
        <v>8</v>
      </c>
      <c r="V2018" s="6" t="str">
        <f>IFERROR(__xludf.DUMMYFUNCTION("""COMPUTED_VALUE"""),"")</f>
        <v/>
      </c>
      <c r="W2018" s="6" t="str">
        <f>IFERROR(__xludf.DUMMYFUNCTION("""COMPUTED_VALUE"""),"[]")</f>
        <v>[]</v>
      </c>
      <c r="X2018" s="6" t="str">
        <f>IFERROR(__xludf.DUMMYFUNCTION("""COMPUTED_VALUE"""),"Enrolled")</f>
        <v>Enrolled</v>
      </c>
    </row>
    <row r="2019">
      <c r="A2019" s="6" t="str">
        <f>IFERROR(__xludf.DUMMYFUNCTION("""COMPUTED_VALUE"""),"027-2590")</f>
        <v>027-2590</v>
      </c>
      <c r="B2019" s="6" t="str">
        <f>IFERROR(__xludf.DUMMYFUNCTION("""COMPUTED_VALUE"""),"27")</f>
        <v>27</v>
      </c>
      <c r="C2019" s="6" t="str">
        <f>IFERROR(__xludf.DUMMYFUNCTION("""COMPUTED_VALUE"""),"2590")</f>
        <v>2590</v>
      </c>
      <c r="D2019" s="6" t="str">
        <f>IFERROR(__xludf.DUMMYFUNCTION("""COMPUTED_VALUE"""),"London")</f>
        <v>London</v>
      </c>
      <c r="E2019" s="6" t="str">
        <f>IFERROR(__xludf.DUMMYFUNCTION("""COMPUTED_VALUE"""),"London")</f>
        <v>London</v>
      </c>
      <c r="F2019" s="6" t="str">
        <f>IFERROR(__xludf.DUMMYFUNCTION("""COMPUTED_VALUE"""),"Politi")</f>
        <v>Politi</v>
      </c>
      <c r="G2019" s="6" t="str">
        <f>IFERROR(__xludf.DUMMYFUNCTION("""COMPUTED_VALUE"""),"01/29/2018")</f>
        <v>01/29/2018</v>
      </c>
      <c r="H2019" s="6" t="str">
        <f>IFERROR(__xludf.DUMMYFUNCTION("""COMPUTED_VALUE"""),"female")</f>
        <v>female</v>
      </c>
      <c r="I2019" s="6" t="str">
        <f>IFERROR(__xludf.DUMMYFUNCTION("""COMPUTED_VALUE"""),"Level 1")</f>
        <v>Level 1</v>
      </c>
      <c r="J2019" s="6" t="str">
        <f>IFERROR(__xludf.DUMMYFUNCTION("""COMPUTED_VALUE"""),"2")</f>
        <v>2</v>
      </c>
      <c r="K2019" s="6" t="str">
        <f>IFERROR(__xludf.DUMMYFUNCTION("""COMPUTED_VALUE"""),"london.politi@alpha.school")</f>
        <v>london.politi@alpha.school</v>
      </c>
      <c r="L2019" s="6" t="str">
        <f>IFERROR(__xludf.DUMMYFUNCTION("""COMPUTED_VALUE"""),"Alpha Anywhere Center")</f>
        <v>Alpha Anywhere Center</v>
      </c>
      <c r="M2019" s="6" t="str">
        <f>IFERROR(__xludf.DUMMYFUNCTION("""COMPUTED_VALUE"""),"")</f>
        <v/>
      </c>
      <c r="N2019" s="6" t="str">
        <f>IFERROR(__xludf.DUMMYFUNCTION("""COMPUTED_VALUE"""),"")</f>
        <v/>
      </c>
      <c r="O2019" s="87" t="str">
        <f>IFERROR(__xludf.DUMMYFUNCTION("""COMPUTED_VALUE"""),"https://drive.google.com/drive/folders/10T2cTQHqEJZqE-st6uFKPoI?usp=share_link")</f>
        <v>https://drive.google.com/drive/folders/10T2cTQHqEJZqE-st6uFKPoI?usp=share_link</v>
      </c>
      <c r="P2019" s="6" t="str">
        <f>IFERROR(__xludf.DUMMYFUNCTION("""COMPUTED_VALUE"""),"London Politi")</f>
        <v>London Politi</v>
      </c>
      <c r="Q2019" s="6" t="str">
        <f>IFERROR(__xludf.DUMMYFUNCTION("""COMPUTED_VALUE"""),"L1")</f>
        <v>L1</v>
      </c>
      <c r="R2019" s="6">
        <f>IFERROR(__xludf.DUMMYFUNCTION("""COMPUTED_VALUE"""),1.0)</f>
        <v>1</v>
      </c>
      <c r="S2019" s="6" t="str">
        <f>IFERROR(__xludf.DUMMYFUNCTION("""COMPUTED_VALUE"""),"Parthvi Harde")</f>
        <v>Parthvi Harde</v>
      </c>
      <c r="T2019" s="6" t="str">
        <f>IFERROR(__xludf.DUMMYFUNCTION("""COMPUTED_VALUE"""),"parthvi.harde@alpha.school")</f>
        <v>parthvi.harde@alpha.school</v>
      </c>
      <c r="U2019" s="6" t="str">
        <f>IFERROR(__xludf.DUMMYFUNCTION("""COMPUTED_VALUE"""),"2")</f>
        <v>2</v>
      </c>
      <c r="V2019" s="6" t="str">
        <f>IFERROR(__xludf.DUMMYFUNCTION("""COMPUTED_VALUE"""),"")</f>
        <v/>
      </c>
      <c r="W2019" s="6" t="str">
        <f>IFERROR(__xludf.DUMMYFUNCTION("""COMPUTED_VALUE"""),"[]")</f>
        <v>[]</v>
      </c>
      <c r="X2019" s="6" t="str">
        <f>IFERROR(__xludf.DUMMYFUNCTION("""COMPUTED_VALUE"""),"Enrolled")</f>
        <v>Enrolled</v>
      </c>
    </row>
    <row r="2020">
      <c r="A2020" s="6" t="str">
        <f>IFERROR(__xludf.DUMMYFUNCTION("""COMPUTED_VALUE"""),"027-2715")</f>
        <v>027-2715</v>
      </c>
      <c r="B2020" s="6" t="str">
        <f>IFERROR(__xludf.DUMMYFUNCTION("""COMPUTED_VALUE"""),"27")</f>
        <v>27</v>
      </c>
      <c r="C2020" s="6" t="str">
        <f>IFERROR(__xludf.DUMMYFUNCTION("""COMPUTED_VALUE"""),"2715")</f>
        <v>2715</v>
      </c>
      <c r="D2020" s="6" t="str">
        <f>IFERROR(__xludf.DUMMYFUNCTION("""COMPUTED_VALUE"""),"Blake")</f>
        <v>Blake</v>
      </c>
      <c r="E2020" s="6" t="str">
        <f>IFERROR(__xludf.DUMMYFUNCTION("""COMPUTED_VALUE"""),"Blake")</f>
        <v>Blake</v>
      </c>
      <c r="F2020" s="6" t="str">
        <f>IFERROR(__xludf.DUMMYFUNCTION("""COMPUTED_VALUE"""),"Richheimer")</f>
        <v>Richheimer</v>
      </c>
      <c r="G2020" s="6" t="str">
        <f>IFERROR(__xludf.DUMMYFUNCTION("""COMPUTED_VALUE"""),"02/01/2017")</f>
        <v>02/01/2017</v>
      </c>
      <c r="H2020" s="6" t="str">
        <f>IFERROR(__xludf.DUMMYFUNCTION("""COMPUTED_VALUE"""),"male")</f>
        <v>male</v>
      </c>
      <c r="I2020" s="6" t="str">
        <f>IFERROR(__xludf.DUMMYFUNCTION("""COMPUTED_VALUE"""),"Level 1")</f>
        <v>Level 1</v>
      </c>
      <c r="J2020" s="6" t="str">
        <f>IFERROR(__xludf.DUMMYFUNCTION("""COMPUTED_VALUE"""),"3")</f>
        <v>3</v>
      </c>
      <c r="K2020" s="6" t="str">
        <f>IFERROR(__xludf.DUMMYFUNCTION("""COMPUTED_VALUE"""),"blake.richheimer@alpha.school")</f>
        <v>blake.richheimer@alpha.school</v>
      </c>
      <c r="L2020" s="6" t="str">
        <f>IFERROR(__xludf.DUMMYFUNCTION("""COMPUTED_VALUE"""),"Alpha Anywhere Center")</f>
        <v>Alpha Anywhere Center</v>
      </c>
      <c r="M2020" s="6" t="str">
        <f>IFERROR(__xludf.DUMMYFUNCTION("""COMPUTED_VALUE"""),"")</f>
        <v/>
      </c>
      <c r="N2020" s="6" t="str">
        <f>IFERROR(__xludf.DUMMYFUNCTION("""COMPUTED_VALUE"""),"")</f>
        <v/>
      </c>
      <c r="O2020" s="87" t="str">
        <f>IFERROR(__xludf.DUMMYFUNCTION("""COMPUTED_VALUE"""),"https://drive.google.com/drive/folders/10T2cTQHqEJZqE-st6uFKPoI?usp=share_link")</f>
        <v>https://drive.google.com/drive/folders/10T2cTQHqEJZqE-st6uFKPoI?usp=share_link</v>
      </c>
      <c r="P2020" s="6" t="str">
        <f>IFERROR(__xludf.DUMMYFUNCTION("""COMPUTED_VALUE"""),"Blake Richheimer")</f>
        <v>Blake Richheimer</v>
      </c>
      <c r="Q2020" s="6" t="str">
        <f>IFERROR(__xludf.DUMMYFUNCTION("""COMPUTED_VALUE"""),"L1")</f>
        <v>L1</v>
      </c>
      <c r="R2020" s="6">
        <f>IFERROR(__xludf.DUMMYFUNCTION("""COMPUTED_VALUE"""),1.0)</f>
        <v>1</v>
      </c>
      <c r="S2020" s="6" t="str">
        <f>IFERROR(__xludf.DUMMYFUNCTION("""COMPUTED_VALUE"""),"Nathan Witkin")</f>
        <v>Nathan Witkin</v>
      </c>
      <c r="T2020" s="6" t="str">
        <f>IFERROR(__xludf.DUMMYFUNCTION("""COMPUTED_VALUE"""),"nathan.witkin@alpha.school")</f>
        <v>nathan.witkin@alpha.school</v>
      </c>
      <c r="U2020" s="6" t="str">
        <f>IFERROR(__xludf.DUMMYFUNCTION("""COMPUTED_VALUE"""),"3")</f>
        <v>3</v>
      </c>
      <c r="V2020" s="6" t="str">
        <f>IFERROR(__xludf.DUMMYFUNCTION("""COMPUTED_VALUE"""),"")</f>
        <v/>
      </c>
      <c r="W2020" s="6" t="str">
        <f>IFERROR(__xludf.DUMMYFUNCTION("""COMPUTED_VALUE"""),"[]")</f>
        <v>[]</v>
      </c>
      <c r="X2020" s="6" t="str">
        <f>IFERROR(__xludf.DUMMYFUNCTION("""COMPUTED_VALUE"""),"Enrolled")</f>
        <v>Enrolled</v>
      </c>
    </row>
    <row r="2021">
      <c r="A2021" s="6" t="str">
        <f>IFERROR(__xludf.DUMMYFUNCTION("""COMPUTED_VALUE"""),"027-2757")</f>
        <v>027-2757</v>
      </c>
      <c r="B2021" s="6" t="str">
        <f>IFERROR(__xludf.DUMMYFUNCTION("""COMPUTED_VALUE"""),"27")</f>
        <v>27</v>
      </c>
      <c r="C2021" s="6" t="str">
        <f>IFERROR(__xludf.DUMMYFUNCTION("""COMPUTED_VALUE"""),"2757")</f>
        <v>2757</v>
      </c>
      <c r="D2021" s="6" t="str">
        <f>IFERROR(__xludf.DUMMYFUNCTION("""COMPUTED_VALUE"""),"Yashar Student 1")</f>
        <v>Yashar Student 1</v>
      </c>
      <c r="E2021" s="6" t="str">
        <f>IFERROR(__xludf.DUMMYFUNCTION("""COMPUTED_VALUE"""),"")</f>
        <v/>
      </c>
      <c r="F2021" s="6" t="str">
        <f>IFERROR(__xludf.DUMMYFUNCTION("""COMPUTED_VALUE"""),"_test_")</f>
        <v>_test_</v>
      </c>
      <c r="G2021" s="6" t="str">
        <f>IFERROR(__xludf.DUMMYFUNCTION("""COMPUTED_VALUE"""),"11/07/2024")</f>
        <v>11/07/2024</v>
      </c>
      <c r="H2021" s="6" t="str">
        <f>IFERROR(__xludf.DUMMYFUNCTION("""COMPUTED_VALUE"""),"Self Identify")</f>
        <v>Self Identify</v>
      </c>
      <c r="I2021" s="6" t="str">
        <f>IFERROR(__xludf.DUMMYFUNCTION("""COMPUTED_VALUE"""),"Learning Lab")</f>
        <v>Learning Lab</v>
      </c>
      <c r="J2021" s="6" t="str">
        <f>IFERROR(__xludf.DUMMYFUNCTION("""COMPUTED_VALUE"""),"K")</f>
        <v>K</v>
      </c>
      <c r="K2021" s="6" t="str">
        <f>IFERROR(__xludf.DUMMYFUNCTION("""COMPUTED_VALUE"""),"yashar.student.1._test_@alpha.school")</f>
        <v>yashar.student.1._test_@alpha.school</v>
      </c>
      <c r="L2021" s="6" t="str">
        <f>IFERROR(__xludf.DUMMYFUNCTION("""COMPUTED_VALUE"""),"Alpha Anywhere Center")</f>
        <v>Alpha Anywhere Center</v>
      </c>
      <c r="M2021" s="6" t="str">
        <f>IFERROR(__xludf.DUMMYFUNCTION("""COMPUTED_VALUE"""),"Test")</f>
        <v>Test</v>
      </c>
      <c r="N2021" s="6" t="str">
        <f>IFERROR(__xludf.DUMMYFUNCTION("""COMPUTED_VALUE"""),"")</f>
        <v/>
      </c>
      <c r="O2021" s="87" t="str">
        <f>IFERROR(__xludf.DUMMYFUNCTION("""COMPUTED_VALUE"""),"https://drive.google.com/drive/folders/10T2cTQHqEJZqE-st6uFKPoI?usp=share_link")</f>
        <v>https://drive.google.com/drive/folders/10T2cTQHqEJZqE-st6uFKPoI?usp=share_link</v>
      </c>
      <c r="P2021" s="6" t="str">
        <f>IFERROR(__xludf.DUMMYFUNCTION("""COMPUTED_VALUE"""),"Yashar Student 1 _test_")</f>
        <v>Yashar Student 1 _test_</v>
      </c>
      <c r="Q2021" s="6" t="str">
        <f>IFERROR(__xludf.DUMMYFUNCTION("""COMPUTED_VALUE"""),"LL")</f>
        <v>LL</v>
      </c>
      <c r="R2021" s="6">
        <f>IFERROR(__xludf.DUMMYFUNCTION("""COMPUTED_VALUE"""),0.0)</f>
        <v>0</v>
      </c>
      <c r="S2021" s="6" t="str">
        <f>IFERROR(__xludf.DUMMYFUNCTION("""COMPUTED_VALUE""")," ")</f>
        <v> </v>
      </c>
      <c r="T2021" s="6" t="str">
        <f>IFERROR(__xludf.DUMMYFUNCTION("""COMPUTED_VALUE"""),"")</f>
        <v/>
      </c>
      <c r="U2021" s="6" t="str">
        <f>IFERROR(__xludf.DUMMYFUNCTION("""COMPUTED_VALUE"""),"K")</f>
        <v>K</v>
      </c>
      <c r="V2021" s="6" t="str">
        <f>IFERROR(__xludf.DUMMYFUNCTION("""COMPUTED_VALUE"""),"")</f>
        <v/>
      </c>
      <c r="W2021" s="6" t="str">
        <f>IFERROR(__xludf.DUMMYFUNCTION("""COMPUTED_VALUE"""),"[]")</f>
        <v>[]</v>
      </c>
      <c r="X2021" s="6" t="str">
        <f>IFERROR(__xludf.DUMMYFUNCTION("""COMPUTED_VALUE"""),"Enrolled")</f>
        <v>Enrolled</v>
      </c>
    </row>
    <row r="2022">
      <c r="A2022" s="6" t="str">
        <f>IFERROR(__xludf.DUMMYFUNCTION("""COMPUTED_VALUE"""),"027-2771")</f>
        <v>027-2771</v>
      </c>
      <c r="B2022" s="6" t="str">
        <f>IFERROR(__xludf.DUMMYFUNCTION("""COMPUTED_VALUE"""),"27")</f>
        <v>27</v>
      </c>
      <c r="C2022" s="6" t="str">
        <f>IFERROR(__xludf.DUMMYFUNCTION("""COMPUTED_VALUE"""),"2771")</f>
        <v>2771</v>
      </c>
      <c r="D2022" s="6" t="str">
        <f>IFERROR(__xludf.DUMMYFUNCTION("""COMPUTED_VALUE"""),"_test_farhan_student2_firstname")</f>
        <v>_test_farhan_student2_firstname</v>
      </c>
      <c r="E2022" s="6" t="str">
        <f>IFERROR(__xludf.DUMMYFUNCTION("""COMPUTED_VALUE"""),"")</f>
        <v/>
      </c>
      <c r="F2022" s="6" t="str">
        <f>IFERROR(__xludf.DUMMYFUNCTION("""COMPUTED_VALUE"""),"_test_farhan_student2_lastname")</f>
        <v>_test_farhan_student2_lastname</v>
      </c>
      <c r="G2022" s="6" t="str">
        <f>IFERROR(__xludf.DUMMYFUNCTION("""COMPUTED_VALUE"""),"04/01/2025")</f>
        <v>04/01/2025</v>
      </c>
      <c r="H2022" s="6" t="str">
        <f>IFERROR(__xludf.DUMMYFUNCTION("""COMPUTED_VALUE"""),"Self Identify")</f>
        <v>Self Identify</v>
      </c>
      <c r="I2022" s="6" t="str">
        <f>IFERROR(__xludf.DUMMYFUNCTION("""COMPUTED_VALUE"""),"Learning Lab")</f>
        <v>Learning Lab</v>
      </c>
      <c r="J2022" s="6" t="str">
        <f>IFERROR(__xludf.DUMMYFUNCTION("""COMPUTED_VALUE"""),"1")</f>
        <v>1</v>
      </c>
      <c r="K2022" s="6" t="str">
        <f>IFERROR(__xludf.DUMMYFUNCTION("""COMPUTED_VALUE"""),"_test_farhan_student2_firstname._test_farhan_student2_lastname@alpha.school")</f>
        <v>_test_farhan_student2_firstname._test_farhan_student2_lastname@alpha.school</v>
      </c>
      <c r="L2022" s="6" t="str">
        <f>IFERROR(__xludf.DUMMYFUNCTION("""COMPUTED_VALUE"""),"Alpha Anywhere Center")</f>
        <v>Alpha Anywhere Center</v>
      </c>
      <c r="M2022" s="6" t="str">
        <f>IFERROR(__xludf.DUMMYFUNCTION("""COMPUTED_VALUE"""),"Test")</f>
        <v>Test</v>
      </c>
      <c r="N2022" s="6" t="str">
        <f>IFERROR(__xludf.DUMMYFUNCTION("""COMPUTED_VALUE"""),"")</f>
        <v/>
      </c>
      <c r="O2022" s="87" t="str">
        <f>IFERROR(__xludf.DUMMYFUNCTION("""COMPUTED_VALUE"""),"https://drive.google.com/drive/folders/10T2cTQHqEJZqE-st6uFKPoI?usp=share_link")</f>
        <v>https://drive.google.com/drive/folders/10T2cTQHqEJZqE-st6uFKPoI?usp=share_link</v>
      </c>
      <c r="P2022" s="6" t="str">
        <f>IFERROR(__xludf.DUMMYFUNCTION("""COMPUTED_VALUE"""),"_test_farhan_student2_firstname _test_farhan_student2_lastname")</f>
        <v>_test_farhan_student2_firstname _test_farhan_student2_lastname</v>
      </c>
      <c r="Q2022" s="6" t="str">
        <f>IFERROR(__xludf.DUMMYFUNCTION("""COMPUTED_VALUE"""),"LL")</f>
        <v>LL</v>
      </c>
      <c r="R2022" s="6">
        <f>IFERROR(__xludf.DUMMYFUNCTION("""COMPUTED_VALUE"""),0.0)</f>
        <v>0</v>
      </c>
      <c r="S2022" s="6" t="str">
        <f>IFERROR(__xludf.DUMMYFUNCTION("""COMPUTED_VALUE""")," ")</f>
        <v> </v>
      </c>
      <c r="T2022" s="6" t="str">
        <f>IFERROR(__xludf.DUMMYFUNCTION("""COMPUTED_VALUE"""),"")</f>
        <v/>
      </c>
      <c r="U2022" s="6" t="str">
        <f>IFERROR(__xludf.DUMMYFUNCTION("""COMPUTED_VALUE"""),"1")</f>
        <v>1</v>
      </c>
      <c r="V2022" s="6" t="str">
        <f>IFERROR(__xludf.DUMMYFUNCTION("""COMPUTED_VALUE"""),"")</f>
        <v/>
      </c>
      <c r="W2022" s="6" t="str">
        <f>IFERROR(__xludf.DUMMYFUNCTION("""COMPUTED_VALUE"""),"[]")</f>
        <v>[]</v>
      </c>
      <c r="X2022" s="6" t="str">
        <f>IFERROR(__xludf.DUMMYFUNCTION("""COMPUTED_VALUE"""),"Enrolled")</f>
        <v>Enrolled</v>
      </c>
    </row>
    <row r="2023">
      <c r="A2023" s="6" t="str">
        <f>IFERROR(__xludf.DUMMYFUNCTION("""COMPUTED_VALUE"""),"027-2886")</f>
        <v>027-2886</v>
      </c>
      <c r="B2023" s="6" t="str">
        <f>IFERROR(__xludf.DUMMYFUNCTION("""COMPUTED_VALUE"""),"27")</f>
        <v>27</v>
      </c>
      <c r="C2023" s="6" t="str">
        <f>IFERROR(__xludf.DUMMYFUNCTION("""COMPUTED_VALUE"""),"2886")</f>
        <v>2886</v>
      </c>
      <c r="D2023" s="6" t="str">
        <f>IFERROR(__xludf.DUMMYFUNCTION("""COMPUTED_VALUE"""),"Conan")</f>
        <v>Conan</v>
      </c>
      <c r="E2023" s="6" t="str">
        <f>IFERROR(__xludf.DUMMYFUNCTION("""COMPUTED_VALUE"""),"Conan")</f>
        <v>Conan</v>
      </c>
      <c r="F2023" s="6" t="str">
        <f>IFERROR(__xludf.DUMMYFUNCTION("""COMPUTED_VALUE"""),"Hogan")</f>
        <v>Hogan</v>
      </c>
      <c r="G2023" s="6" t="str">
        <f>IFERROR(__xludf.DUMMYFUNCTION("""COMPUTED_VALUE"""),"09/18/2017")</f>
        <v>09/18/2017</v>
      </c>
      <c r="H2023" s="6" t="str">
        <f>IFERROR(__xludf.DUMMYFUNCTION("""COMPUTED_VALUE"""),"male")</f>
        <v>male</v>
      </c>
      <c r="I2023" s="6" t="str">
        <f>IFERROR(__xludf.DUMMYFUNCTION("""COMPUTED_VALUE"""),"Level 1")</f>
        <v>Level 1</v>
      </c>
      <c r="J2023" s="6" t="str">
        <f>IFERROR(__xludf.DUMMYFUNCTION("""COMPUTED_VALUE"""),"2")</f>
        <v>2</v>
      </c>
      <c r="K2023" s="6" t="str">
        <f>IFERROR(__xludf.DUMMYFUNCTION("""COMPUTED_VALUE"""),"conan.hogan@alpha.school")</f>
        <v>conan.hogan@alpha.school</v>
      </c>
      <c r="L2023" s="6" t="str">
        <f>IFERROR(__xludf.DUMMYFUNCTION("""COMPUTED_VALUE"""),"Alpha Anywhere Center")</f>
        <v>Alpha Anywhere Center</v>
      </c>
      <c r="M2023" s="6" t="str">
        <f>IFERROR(__xludf.DUMMYFUNCTION("""COMPUTED_VALUE"""),"")</f>
        <v/>
      </c>
      <c r="N2023" s="6" t="str">
        <f>IFERROR(__xludf.DUMMYFUNCTION("""COMPUTED_VALUE"""),"")</f>
        <v/>
      </c>
      <c r="O2023" s="87" t="str">
        <f>IFERROR(__xludf.DUMMYFUNCTION("""COMPUTED_VALUE"""),"https://drive.google.com/drive/folders/10T2cTQHqEJZqE-st6uFKPoI?usp=share_link")</f>
        <v>https://drive.google.com/drive/folders/10T2cTQHqEJZqE-st6uFKPoI?usp=share_link</v>
      </c>
      <c r="P2023" s="6" t="str">
        <f>IFERROR(__xludf.DUMMYFUNCTION("""COMPUTED_VALUE"""),"Conan Hogan")</f>
        <v>Conan Hogan</v>
      </c>
      <c r="Q2023" s="6" t="str">
        <f>IFERROR(__xludf.DUMMYFUNCTION("""COMPUTED_VALUE"""),"L1")</f>
        <v>L1</v>
      </c>
      <c r="R2023" s="6">
        <f>IFERROR(__xludf.DUMMYFUNCTION("""COMPUTED_VALUE"""),1.0)</f>
        <v>1</v>
      </c>
      <c r="S2023" s="6" t="str">
        <f>IFERROR(__xludf.DUMMYFUNCTION("""COMPUTED_VALUE"""),"Nathan Witkin")</f>
        <v>Nathan Witkin</v>
      </c>
      <c r="T2023" s="6" t="str">
        <f>IFERROR(__xludf.DUMMYFUNCTION("""COMPUTED_VALUE"""),"nathan.witkin@alpha.school")</f>
        <v>nathan.witkin@alpha.school</v>
      </c>
      <c r="U2023" s="6" t="str">
        <f>IFERROR(__xludf.DUMMYFUNCTION("""COMPUTED_VALUE"""),"2")</f>
        <v>2</v>
      </c>
      <c r="V2023" s="6" t="str">
        <f>IFERROR(__xludf.DUMMYFUNCTION("""COMPUTED_VALUE"""),"")</f>
        <v/>
      </c>
      <c r="W2023" s="6" t="str">
        <f>IFERROR(__xludf.DUMMYFUNCTION("""COMPUTED_VALUE"""),"[]")</f>
        <v>[]</v>
      </c>
      <c r="X2023" s="6" t="str">
        <f>IFERROR(__xludf.DUMMYFUNCTION("""COMPUTED_VALUE"""),"Enrolled")</f>
        <v>Enrolled</v>
      </c>
    </row>
    <row r="2024">
      <c r="A2024" s="6" t="str">
        <f>IFERROR(__xludf.DUMMYFUNCTION("""COMPUTED_VALUE"""),"027-2923")</f>
        <v>027-2923</v>
      </c>
      <c r="B2024" s="6" t="str">
        <f>IFERROR(__xludf.DUMMYFUNCTION("""COMPUTED_VALUE"""),"27")</f>
        <v>27</v>
      </c>
      <c r="C2024" s="6" t="str">
        <f>IFERROR(__xludf.DUMMYFUNCTION("""COMPUTED_VALUE"""),"2923")</f>
        <v>2923</v>
      </c>
      <c r="D2024" s="6" t="str">
        <f>IFERROR(__xludf.DUMMYFUNCTION("""COMPUTED_VALUE"""),"Colm")</f>
        <v>Colm</v>
      </c>
      <c r="E2024" s="6" t="str">
        <f>IFERROR(__xludf.DUMMYFUNCTION("""COMPUTED_VALUE"""),"Colm")</f>
        <v>Colm</v>
      </c>
      <c r="F2024" s="6" t="str">
        <f>IFERROR(__xludf.DUMMYFUNCTION("""COMPUTED_VALUE"""),"Bowen")</f>
        <v>Bowen</v>
      </c>
      <c r="G2024" s="6" t="str">
        <f>IFERROR(__xludf.DUMMYFUNCTION("""COMPUTED_VALUE"""),"08/07/2020")</f>
        <v>08/07/2020</v>
      </c>
      <c r="H2024" s="6" t="str">
        <f>IFERROR(__xludf.DUMMYFUNCTION("""COMPUTED_VALUE"""),"male")</f>
        <v>male</v>
      </c>
      <c r="I2024" s="6" t="str">
        <f>IFERROR(__xludf.DUMMYFUNCTION("""COMPUTED_VALUE"""),"Learning Lab")</f>
        <v>Learning Lab</v>
      </c>
      <c r="J2024" s="6" t="str">
        <f>IFERROR(__xludf.DUMMYFUNCTION("""COMPUTED_VALUE"""),"K")</f>
        <v>K</v>
      </c>
      <c r="K2024" s="6" t="str">
        <f>IFERROR(__xludf.DUMMYFUNCTION("""COMPUTED_VALUE"""),"colm.bowen@alpha.school")</f>
        <v>colm.bowen@alpha.school</v>
      </c>
      <c r="L2024" s="6" t="str">
        <f>IFERROR(__xludf.DUMMYFUNCTION("""COMPUTED_VALUE"""),"Alpha Anywhere Center")</f>
        <v>Alpha Anywhere Center</v>
      </c>
      <c r="M2024" s="6" t="str">
        <f>IFERROR(__xludf.DUMMYFUNCTION("""COMPUTED_VALUE"""),"")</f>
        <v/>
      </c>
      <c r="N2024" s="6" t="str">
        <f>IFERROR(__xludf.DUMMYFUNCTION("""COMPUTED_VALUE"""),"")</f>
        <v/>
      </c>
      <c r="O2024" s="87" t="str">
        <f>IFERROR(__xludf.DUMMYFUNCTION("""COMPUTED_VALUE"""),"https://drive.google.com/drive/folders/10T2cTQHqEJZqE-st6uFKPoI?usp=share_link")</f>
        <v>https://drive.google.com/drive/folders/10T2cTQHqEJZqE-st6uFKPoI?usp=share_link</v>
      </c>
      <c r="P2024" s="6" t="str">
        <f>IFERROR(__xludf.DUMMYFUNCTION("""COMPUTED_VALUE"""),"Colm Bowen")</f>
        <v>Colm Bowen</v>
      </c>
      <c r="Q2024" s="6" t="str">
        <f>IFERROR(__xludf.DUMMYFUNCTION("""COMPUTED_VALUE"""),"LL")</f>
        <v>LL</v>
      </c>
      <c r="R2024" s="6">
        <f>IFERROR(__xludf.DUMMYFUNCTION("""COMPUTED_VALUE"""),0.0)</f>
        <v>0</v>
      </c>
      <c r="S2024" s="6" t="str">
        <f>IFERROR(__xludf.DUMMYFUNCTION("""COMPUTED_VALUE"""),"Jenna Klemm")</f>
        <v>Jenna Klemm</v>
      </c>
      <c r="T2024" s="6" t="str">
        <f>IFERROR(__xludf.DUMMYFUNCTION("""COMPUTED_VALUE"""),"jenna.klemm@alpha.school")</f>
        <v>jenna.klemm@alpha.school</v>
      </c>
      <c r="U2024" s="6" t="str">
        <f>IFERROR(__xludf.DUMMYFUNCTION("""COMPUTED_VALUE"""),"K")</f>
        <v>K</v>
      </c>
      <c r="V2024" s="6" t="str">
        <f>IFERROR(__xludf.DUMMYFUNCTION("""COMPUTED_VALUE"""),"")</f>
        <v/>
      </c>
      <c r="W2024" s="6" t="str">
        <f>IFERROR(__xludf.DUMMYFUNCTION("""COMPUTED_VALUE"""),"[]")</f>
        <v>[]</v>
      </c>
      <c r="X2024" s="6" t="str">
        <f>IFERROR(__xludf.DUMMYFUNCTION("""COMPUTED_VALUE"""),"Enrolled")</f>
        <v>Enrolled</v>
      </c>
    </row>
    <row r="2025">
      <c r="A2025" s="6" t="str">
        <f>IFERROR(__xludf.DUMMYFUNCTION("""COMPUTED_VALUE"""),"027-3306")</f>
        <v>027-3306</v>
      </c>
      <c r="B2025" s="6" t="str">
        <f>IFERROR(__xludf.DUMMYFUNCTION("""COMPUTED_VALUE"""),"27")</f>
        <v>27</v>
      </c>
      <c r="C2025" s="6" t="str">
        <f>IFERROR(__xludf.DUMMYFUNCTION("""COMPUTED_VALUE"""),"3306")</f>
        <v>3306</v>
      </c>
      <c r="D2025" s="6" t="str">
        <f>IFERROR(__xludf.DUMMYFUNCTION("""COMPUTED_VALUE"""),"Annabelle")</f>
        <v>Annabelle</v>
      </c>
      <c r="E2025" s="6" t="str">
        <f>IFERROR(__xludf.DUMMYFUNCTION("""COMPUTED_VALUE"""),"")</f>
        <v/>
      </c>
      <c r="F2025" s="6" t="str">
        <f>IFERROR(__xludf.DUMMYFUNCTION("""COMPUTED_VALUE"""),"Lembo")</f>
        <v>Lembo</v>
      </c>
      <c r="G2025" s="6" t="str">
        <f>IFERROR(__xludf.DUMMYFUNCTION("""COMPUTED_VALUE"""),"12/07/2015")</f>
        <v>12/07/2015</v>
      </c>
      <c r="H2025" s="6" t="str">
        <f>IFERROR(__xludf.DUMMYFUNCTION("""COMPUTED_VALUE"""),"Self Identify")</f>
        <v>Self Identify</v>
      </c>
      <c r="I2025" s="6" t="str">
        <f>IFERROR(__xludf.DUMMYFUNCTION("""COMPUTED_VALUE"""),"Level 2")</f>
        <v>Level 2</v>
      </c>
      <c r="J2025" s="6" t="str">
        <f>IFERROR(__xludf.DUMMYFUNCTION("""COMPUTED_VALUE"""),"4")</f>
        <v>4</v>
      </c>
      <c r="K2025" s="6" t="str">
        <f>IFERROR(__xludf.DUMMYFUNCTION("""COMPUTED_VALUE"""),"annabelle.lembo@alpha.school")</f>
        <v>annabelle.lembo@alpha.school</v>
      </c>
      <c r="L2025" s="6" t="str">
        <f>IFERROR(__xludf.DUMMYFUNCTION("""COMPUTED_VALUE"""),"Alpha Anywhere Center")</f>
        <v>Alpha Anywhere Center</v>
      </c>
      <c r="M2025" s="6" t="str">
        <f>IFERROR(__xludf.DUMMYFUNCTION("""COMPUTED_VALUE"""),"")</f>
        <v/>
      </c>
      <c r="N2025" s="6" t="str">
        <f>IFERROR(__xludf.DUMMYFUNCTION("""COMPUTED_VALUE"""),"")</f>
        <v/>
      </c>
      <c r="O2025" s="87" t="str">
        <f>IFERROR(__xludf.DUMMYFUNCTION("""COMPUTED_VALUE"""),"https://drive.google.com/drive/folders/10T2cTQHqEJZqE-st6uFKPoI?usp=share_link")</f>
        <v>https://drive.google.com/drive/folders/10T2cTQHqEJZqE-st6uFKPoI?usp=share_link</v>
      </c>
      <c r="P2025" s="6" t="str">
        <f>IFERROR(__xludf.DUMMYFUNCTION("""COMPUTED_VALUE"""),"Annabelle Lembo")</f>
        <v>Annabelle Lembo</v>
      </c>
      <c r="Q2025" s="6" t="str">
        <f>IFERROR(__xludf.DUMMYFUNCTION("""COMPUTED_VALUE"""),"L2")</f>
        <v>L2</v>
      </c>
      <c r="R2025" s="6">
        <f>IFERROR(__xludf.DUMMYFUNCTION("""COMPUTED_VALUE"""),2.0)</f>
        <v>2</v>
      </c>
      <c r="S2025" s="6" t="str">
        <f>IFERROR(__xludf.DUMMYFUNCTION("""COMPUTED_VALUE"""),"Liam Stanton")</f>
        <v>Liam Stanton</v>
      </c>
      <c r="T2025" s="6" t="str">
        <f>IFERROR(__xludf.DUMMYFUNCTION("""COMPUTED_VALUE"""),"william.stanton@alpha.school")</f>
        <v>william.stanton@alpha.school</v>
      </c>
      <c r="U2025" s="6" t="str">
        <f>IFERROR(__xludf.DUMMYFUNCTION("""COMPUTED_VALUE"""),"4")</f>
        <v>4</v>
      </c>
      <c r="V2025" s="6" t="str">
        <f>IFERROR(__xludf.DUMMYFUNCTION("""COMPUTED_VALUE"""),"")</f>
        <v/>
      </c>
      <c r="W2025" s="6" t="str">
        <f>IFERROR(__xludf.DUMMYFUNCTION("""COMPUTED_VALUE"""),"[]")</f>
        <v>[]</v>
      </c>
      <c r="X2025" s="6" t="str">
        <f>IFERROR(__xludf.DUMMYFUNCTION("""COMPUTED_VALUE"""),"Enrolled")</f>
        <v>Enrolled</v>
      </c>
    </row>
    <row r="2026">
      <c r="A2026" s="6" t="str">
        <f>IFERROR(__xludf.DUMMYFUNCTION("""COMPUTED_VALUE"""),"027-3311")</f>
        <v>027-3311</v>
      </c>
      <c r="B2026" s="6" t="str">
        <f>IFERROR(__xludf.DUMMYFUNCTION("""COMPUTED_VALUE"""),"27")</f>
        <v>27</v>
      </c>
      <c r="C2026" s="6" t="str">
        <f>IFERROR(__xludf.DUMMYFUNCTION("""COMPUTED_VALUE"""),"3311")</f>
        <v>3311</v>
      </c>
      <c r="D2026" s="6" t="str">
        <f>IFERROR(__xludf.DUMMYFUNCTION("""COMPUTED_VALUE"""),"Harper")</f>
        <v>Harper</v>
      </c>
      <c r="E2026" s="6" t="str">
        <f>IFERROR(__xludf.DUMMYFUNCTION("""COMPUTED_VALUE"""),"")</f>
        <v/>
      </c>
      <c r="F2026" s="6" t="str">
        <f>IFERROR(__xludf.DUMMYFUNCTION("""COMPUTED_VALUE"""),"Lembo")</f>
        <v>Lembo</v>
      </c>
      <c r="G2026" s="6" t="str">
        <f>IFERROR(__xludf.DUMMYFUNCTION("""COMPUTED_VALUE"""),"05/10/2020")</f>
        <v>05/10/2020</v>
      </c>
      <c r="H2026" s="6" t="str">
        <f>IFERROR(__xludf.DUMMYFUNCTION("""COMPUTED_VALUE"""),"female")</f>
        <v>female</v>
      </c>
      <c r="I2026" s="6" t="str">
        <f>IFERROR(__xludf.DUMMYFUNCTION("""COMPUTED_VALUE"""),"Learning Lab")</f>
        <v>Learning Lab</v>
      </c>
      <c r="J2026" s="6" t="str">
        <f>IFERROR(__xludf.DUMMYFUNCTION("""COMPUTED_VALUE"""),"K")</f>
        <v>K</v>
      </c>
      <c r="K2026" s="6" t="str">
        <f>IFERROR(__xludf.DUMMYFUNCTION("""COMPUTED_VALUE"""),"harper.lembo@alpha.school")</f>
        <v>harper.lembo@alpha.school</v>
      </c>
      <c r="L2026" s="6" t="str">
        <f>IFERROR(__xludf.DUMMYFUNCTION("""COMPUTED_VALUE"""),"Alpha Anywhere Center")</f>
        <v>Alpha Anywhere Center</v>
      </c>
      <c r="M2026" s="6" t="str">
        <f>IFERROR(__xludf.DUMMYFUNCTION("""COMPUTED_VALUE"""),"")</f>
        <v/>
      </c>
      <c r="N2026" s="6" t="str">
        <f>IFERROR(__xludf.DUMMYFUNCTION("""COMPUTED_VALUE"""),"")</f>
        <v/>
      </c>
      <c r="O2026" s="87" t="str">
        <f>IFERROR(__xludf.DUMMYFUNCTION("""COMPUTED_VALUE"""),"https://drive.google.com/drive/folders/10T2cTQHqEJZqE-st6uFKPoI?usp=share_link")</f>
        <v>https://drive.google.com/drive/folders/10T2cTQHqEJZqE-st6uFKPoI?usp=share_link</v>
      </c>
      <c r="P2026" s="6" t="str">
        <f>IFERROR(__xludf.DUMMYFUNCTION("""COMPUTED_VALUE"""),"Harper Lembo")</f>
        <v>Harper Lembo</v>
      </c>
      <c r="Q2026" s="6" t="str">
        <f>IFERROR(__xludf.DUMMYFUNCTION("""COMPUTED_VALUE"""),"LL")</f>
        <v>LL</v>
      </c>
      <c r="R2026" s="6">
        <f>IFERROR(__xludf.DUMMYFUNCTION("""COMPUTED_VALUE"""),0.0)</f>
        <v>0</v>
      </c>
      <c r="S2026" s="6" t="str">
        <f>IFERROR(__xludf.DUMMYFUNCTION("""COMPUTED_VALUE"""),"Jenna Klemm")</f>
        <v>Jenna Klemm</v>
      </c>
      <c r="T2026" s="6" t="str">
        <f>IFERROR(__xludf.DUMMYFUNCTION("""COMPUTED_VALUE"""),"jenna.klemm@alpha.school")</f>
        <v>jenna.klemm@alpha.school</v>
      </c>
      <c r="U2026" s="6" t="str">
        <f>IFERROR(__xludf.DUMMYFUNCTION("""COMPUTED_VALUE"""),"K")</f>
        <v>K</v>
      </c>
      <c r="V2026" s="6" t="str">
        <f>IFERROR(__xludf.DUMMYFUNCTION("""COMPUTED_VALUE"""),"")</f>
        <v/>
      </c>
      <c r="W2026" s="6" t="str">
        <f>IFERROR(__xludf.DUMMYFUNCTION("""COMPUTED_VALUE"""),"[]")</f>
        <v>[]</v>
      </c>
      <c r="X2026" s="6" t="str">
        <f>IFERROR(__xludf.DUMMYFUNCTION("""COMPUTED_VALUE"""),"Enrolled")</f>
        <v>Enrolled</v>
      </c>
    </row>
    <row r="2027">
      <c r="A2027" s="6" t="str">
        <f>IFERROR(__xludf.DUMMYFUNCTION("""COMPUTED_VALUE"""),"027-3356")</f>
        <v>027-3356</v>
      </c>
      <c r="B2027" s="6" t="str">
        <f>IFERROR(__xludf.DUMMYFUNCTION("""COMPUTED_VALUE"""),"27")</f>
        <v>27</v>
      </c>
      <c r="C2027" s="6" t="str">
        <f>IFERROR(__xludf.DUMMYFUNCTION("""COMPUTED_VALUE"""),"3356")</f>
        <v>3356</v>
      </c>
      <c r="D2027" s="6" t="str">
        <f>IFERROR(__xludf.DUMMYFUNCTION("""COMPUTED_VALUE"""),"Raika")</f>
        <v>Raika</v>
      </c>
      <c r="E2027" s="6" t="str">
        <f>IFERROR(__xludf.DUMMYFUNCTION("""COMPUTED_VALUE"""),"Raika")</f>
        <v>Raika</v>
      </c>
      <c r="F2027" s="6" t="str">
        <f>IFERROR(__xludf.DUMMYFUNCTION("""COMPUTED_VALUE"""),"Ackman")</f>
        <v>Ackman</v>
      </c>
      <c r="G2027" s="6" t="str">
        <f>IFERROR(__xludf.DUMMYFUNCTION("""COMPUTED_VALUE"""),"05/02/2019")</f>
        <v>05/02/2019</v>
      </c>
      <c r="H2027" s="6" t="str">
        <f>IFERROR(__xludf.DUMMYFUNCTION("""COMPUTED_VALUE"""),"female")</f>
        <v>female</v>
      </c>
      <c r="I2027" s="6" t="str">
        <f>IFERROR(__xludf.DUMMYFUNCTION("""COMPUTED_VALUE"""),"Level 1")</f>
        <v>Level 1</v>
      </c>
      <c r="J2027" s="6" t="str">
        <f>IFERROR(__xludf.DUMMYFUNCTION("""COMPUTED_VALUE"""),"1")</f>
        <v>1</v>
      </c>
      <c r="K2027" s="6" t="str">
        <f>IFERROR(__xludf.DUMMYFUNCTION("""COMPUTED_VALUE"""),"raika.ackman@alpha.school")</f>
        <v>raika.ackman@alpha.school</v>
      </c>
      <c r="L2027" s="6" t="str">
        <f>IFERROR(__xludf.DUMMYFUNCTION("""COMPUTED_VALUE"""),"Alpha Anywhere Center")</f>
        <v>Alpha Anywhere Center</v>
      </c>
      <c r="M2027" s="6" t="str">
        <f>IFERROR(__xludf.DUMMYFUNCTION("""COMPUTED_VALUE"""),"")</f>
        <v/>
      </c>
      <c r="N2027" s="6" t="str">
        <f>IFERROR(__xludf.DUMMYFUNCTION("""COMPUTED_VALUE"""),"")</f>
        <v/>
      </c>
      <c r="O2027" s="87" t="str">
        <f>IFERROR(__xludf.DUMMYFUNCTION("""COMPUTED_VALUE"""),"https://drive.google.com/drive/folders/10T2cTQHqEJZqE-st6uFKPoI?usp=share_link")</f>
        <v>https://drive.google.com/drive/folders/10T2cTQHqEJZqE-st6uFKPoI?usp=share_link</v>
      </c>
      <c r="P2027" s="6" t="str">
        <f>IFERROR(__xludf.DUMMYFUNCTION("""COMPUTED_VALUE"""),"Raika Ackman")</f>
        <v>Raika Ackman</v>
      </c>
      <c r="Q2027" s="6" t="str">
        <f>IFERROR(__xludf.DUMMYFUNCTION("""COMPUTED_VALUE"""),"L1")</f>
        <v>L1</v>
      </c>
      <c r="R2027" s="6">
        <f>IFERROR(__xludf.DUMMYFUNCTION("""COMPUTED_VALUE"""),1.0)</f>
        <v>1</v>
      </c>
      <c r="S2027" s="6" t="str">
        <f>IFERROR(__xludf.DUMMYFUNCTION("""COMPUTED_VALUE"""),"Nathan Witkin")</f>
        <v>Nathan Witkin</v>
      </c>
      <c r="T2027" s="6" t="str">
        <f>IFERROR(__xludf.DUMMYFUNCTION("""COMPUTED_VALUE"""),"nathan.witkin@alpha.school")</f>
        <v>nathan.witkin@alpha.school</v>
      </c>
      <c r="U2027" s="6" t="str">
        <f>IFERROR(__xludf.DUMMYFUNCTION("""COMPUTED_VALUE"""),"1")</f>
        <v>1</v>
      </c>
      <c r="V2027" s="6" t="str">
        <f>IFERROR(__xludf.DUMMYFUNCTION("""COMPUTED_VALUE"""),"")</f>
        <v/>
      </c>
      <c r="W2027" s="6" t="str">
        <f>IFERROR(__xludf.DUMMYFUNCTION("""COMPUTED_VALUE"""),"[]")</f>
        <v>[]</v>
      </c>
      <c r="X2027" s="6" t="str">
        <f>IFERROR(__xludf.DUMMYFUNCTION("""COMPUTED_VALUE"""),"Enrolled")</f>
        <v>Enrolled</v>
      </c>
    </row>
    <row r="2028">
      <c r="A2028" s="6" t="str">
        <f>IFERROR(__xludf.DUMMYFUNCTION("""COMPUTED_VALUE"""),"027-3357")</f>
        <v>027-3357</v>
      </c>
      <c r="B2028" s="6" t="str">
        <f>IFERROR(__xludf.DUMMYFUNCTION("""COMPUTED_VALUE"""),"27")</f>
        <v>27</v>
      </c>
      <c r="C2028" s="6" t="str">
        <f>IFERROR(__xludf.DUMMYFUNCTION("""COMPUTED_VALUE"""),"3357")</f>
        <v>3357</v>
      </c>
      <c r="D2028" s="6" t="str">
        <f>IFERROR(__xludf.DUMMYFUNCTION("""COMPUTED_VALUE"""),"Eli")</f>
        <v>Eli</v>
      </c>
      <c r="E2028" s="6" t="str">
        <f>IFERROR(__xludf.DUMMYFUNCTION("""COMPUTED_VALUE"""),"")</f>
        <v/>
      </c>
      <c r="F2028" s="6" t="str">
        <f>IFERROR(__xludf.DUMMYFUNCTION("""COMPUTED_VALUE"""),"Slifka")</f>
        <v>Slifka</v>
      </c>
      <c r="G2028" s="6" t="str">
        <f>IFERROR(__xludf.DUMMYFUNCTION("""COMPUTED_VALUE"""),"07/15/2012")</f>
        <v>07/15/2012</v>
      </c>
      <c r="H2028" s="6" t="str">
        <f>IFERROR(__xludf.DUMMYFUNCTION("""COMPUTED_VALUE"""),"male")</f>
        <v>male</v>
      </c>
      <c r="I2028" s="6" t="str">
        <f>IFERROR(__xludf.DUMMYFUNCTION("""COMPUTED_VALUE"""),"Middle School")</f>
        <v>Middle School</v>
      </c>
      <c r="J2028" s="6" t="str">
        <f>IFERROR(__xludf.DUMMYFUNCTION("""COMPUTED_VALUE"""),"8")</f>
        <v>8</v>
      </c>
      <c r="K2028" s="6" t="str">
        <f>IFERROR(__xludf.DUMMYFUNCTION("""COMPUTED_VALUE"""),"eli.slifka@alpha.school")</f>
        <v>eli.slifka@alpha.school</v>
      </c>
      <c r="L2028" s="6" t="str">
        <f>IFERROR(__xludf.DUMMYFUNCTION("""COMPUTED_VALUE"""),"Alpha Anywhere Center")</f>
        <v>Alpha Anywhere Center</v>
      </c>
      <c r="M2028" s="6" t="str">
        <f>IFERROR(__xludf.DUMMYFUNCTION("""COMPUTED_VALUE"""),"")</f>
        <v/>
      </c>
      <c r="N2028" s="6" t="str">
        <f>IFERROR(__xludf.DUMMYFUNCTION("""COMPUTED_VALUE"""),"")</f>
        <v/>
      </c>
      <c r="O2028" s="87" t="str">
        <f>IFERROR(__xludf.DUMMYFUNCTION("""COMPUTED_VALUE"""),"https://drive.google.com/drive/folders/10T2cTQHqEJZqE-st6uFKPoI?usp=share_link")</f>
        <v>https://drive.google.com/drive/folders/10T2cTQHqEJZqE-st6uFKPoI?usp=share_link</v>
      </c>
      <c r="P2028" s="6" t="str">
        <f>IFERROR(__xludf.DUMMYFUNCTION("""COMPUTED_VALUE"""),"Eli Slifka")</f>
        <v>Eli Slifka</v>
      </c>
      <c r="Q2028" s="6" t="str">
        <f>IFERROR(__xludf.DUMMYFUNCTION("""COMPUTED_VALUE"""),"MS")</f>
        <v>MS</v>
      </c>
      <c r="R2028" s="6">
        <f>IFERROR(__xludf.DUMMYFUNCTION("""COMPUTED_VALUE"""),0.0)</f>
        <v>0</v>
      </c>
      <c r="S2028" s="6" t="str">
        <f>IFERROR(__xludf.DUMMYFUNCTION("""COMPUTED_VALUE"""),"Emily Lopez")</f>
        <v>Emily Lopez</v>
      </c>
      <c r="T2028" s="6" t="str">
        <f>IFERROR(__xludf.DUMMYFUNCTION("""COMPUTED_VALUE"""),"emily.lopez@alpha.school")</f>
        <v>emily.lopez@alpha.school</v>
      </c>
      <c r="U2028" s="6" t="str">
        <f>IFERROR(__xludf.DUMMYFUNCTION("""COMPUTED_VALUE"""),"8")</f>
        <v>8</v>
      </c>
      <c r="V2028" s="6" t="str">
        <f>IFERROR(__xludf.DUMMYFUNCTION("""COMPUTED_VALUE"""),"")</f>
        <v/>
      </c>
      <c r="W2028" s="6" t="str">
        <f>IFERROR(__xludf.DUMMYFUNCTION("""COMPUTED_VALUE"""),"[]")</f>
        <v>[]</v>
      </c>
      <c r="X2028" s="6" t="str">
        <f>IFERROR(__xludf.DUMMYFUNCTION("""COMPUTED_VALUE"""),"Enrolled")</f>
        <v>Enrolled</v>
      </c>
    </row>
    <row r="2029">
      <c r="A2029" s="6" t="str">
        <f>IFERROR(__xludf.DUMMYFUNCTION("""COMPUTED_VALUE"""),"027-3358")</f>
        <v>027-3358</v>
      </c>
      <c r="B2029" s="6" t="str">
        <f>IFERROR(__xludf.DUMMYFUNCTION("""COMPUTED_VALUE"""),"27")</f>
        <v>27</v>
      </c>
      <c r="C2029" s="6" t="str">
        <f>IFERROR(__xludf.DUMMYFUNCTION("""COMPUTED_VALUE"""),"3358")</f>
        <v>3358</v>
      </c>
      <c r="D2029" s="6" t="str">
        <f>IFERROR(__xludf.DUMMYFUNCTION("""COMPUTED_VALUE"""),"Emma")</f>
        <v>Emma</v>
      </c>
      <c r="E2029" s="6" t="str">
        <f>IFERROR(__xludf.DUMMYFUNCTION("""COMPUTED_VALUE"""),"Emma")</f>
        <v>Emma</v>
      </c>
      <c r="F2029" s="6" t="str">
        <f>IFERROR(__xludf.DUMMYFUNCTION("""COMPUTED_VALUE"""),"Slifka")</f>
        <v>Slifka</v>
      </c>
      <c r="G2029" s="6" t="str">
        <f>IFERROR(__xludf.DUMMYFUNCTION("""COMPUTED_VALUE"""),"07/15/2012")</f>
        <v>07/15/2012</v>
      </c>
      <c r="H2029" s="6" t="str">
        <f>IFERROR(__xludf.DUMMYFUNCTION("""COMPUTED_VALUE"""),"female")</f>
        <v>female</v>
      </c>
      <c r="I2029" s="6" t="str">
        <f>IFERROR(__xludf.DUMMYFUNCTION("""COMPUTED_VALUE"""),"Middle School")</f>
        <v>Middle School</v>
      </c>
      <c r="J2029" s="6" t="str">
        <f>IFERROR(__xludf.DUMMYFUNCTION("""COMPUTED_VALUE"""),"8")</f>
        <v>8</v>
      </c>
      <c r="K2029" s="6" t="str">
        <f>IFERROR(__xludf.DUMMYFUNCTION("""COMPUTED_VALUE"""),"emma.slifka@alpha.school")</f>
        <v>emma.slifka@alpha.school</v>
      </c>
      <c r="L2029" s="6" t="str">
        <f>IFERROR(__xludf.DUMMYFUNCTION("""COMPUTED_VALUE"""),"Alpha Anywhere Center")</f>
        <v>Alpha Anywhere Center</v>
      </c>
      <c r="M2029" s="6" t="str">
        <f>IFERROR(__xludf.DUMMYFUNCTION("""COMPUTED_VALUE"""),"")</f>
        <v/>
      </c>
      <c r="N2029" s="6" t="str">
        <f>IFERROR(__xludf.DUMMYFUNCTION("""COMPUTED_VALUE"""),"")</f>
        <v/>
      </c>
      <c r="O2029" s="87" t="str">
        <f>IFERROR(__xludf.DUMMYFUNCTION("""COMPUTED_VALUE"""),"https://drive.google.com/drive/folders/10T2cTQHqEJZqE-st6uFKPoI?usp=share_link")</f>
        <v>https://drive.google.com/drive/folders/10T2cTQHqEJZqE-st6uFKPoI?usp=share_link</v>
      </c>
      <c r="P2029" s="6" t="str">
        <f>IFERROR(__xludf.DUMMYFUNCTION("""COMPUTED_VALUE"""),"Emma Slifka")</f>
        <v>Emma Slifka</v>
      </c>
      <c r="Q2029" s="6" t="str">
        <f>IFERROR(__xludf.DUMMYFUNCTION("""COMPUTED_VALUE"""),"MS")</f>
        <v>MS</v>
      </c>
      <c r="R2029" s="6">
        <f>IFERROR(__xludf.DUMMYFUNCTION("""COMPUTED_VALUE"""),0.0)</f>
        <v>0</v>
      </c>
      <c r="S2029" s="6" t="str">
        <f>IFERROR(__xludf.DUMMYFUNCTION("""COMPUTED_VALUE"""),"Emily Lopez")</f>
        <v>Emily Lopez</v>
      </c>
      <c r="T2029" s="6" t="str">
        <f>IFERROR(__xludf.DUMMYFUNCTION("""COMPUTED_VALUE"""),"emily.lopez@alpha.school")</f>
        <v>emily.lopez@alpha.school</v>
      </c>
      <c r="U2029" s="6" t="str">
        <f>IFERROR(__xludf.DUMMYFUNCTION("""COMPUTED_VALUE"""),"8")</f>
        <v>8</v>
      </c>
      <c r="V2029" s="6" t="str">
        <f>IFERROR(__xludf.DUMMYFUNCTION("""COMPUTED_VALUE"""),"")</f>
        <v/>
      </c>
      <c r="W2029" s="6" t="str">
        <f>IFERROR(__xludf.DUMMYFUNCTION("""COMPUTED_VALUE"""),"[]")</f>
        <v>[]</v>
      </c>
      <c r="X2029" s="6" t="str">
        <f>IFERROR(__xludf.DUMMYFUNCTION("""COMPUTED_VALUE"""),"Enrolled")</f>
        <v>Enrolled</v>
      </c>
    </row>
    <row r="2030">
      <c r="A2030" s="6" t="str">
        <f>IFERROR(__xludf.DUMMYFUNCTION("""COMPUTED_VALUE"""),"027-4478")</f>
        <v>027-4478</v>
      </c>
      <c r="B2030" s="6" t="str">
        <f>IFERROR(__xludf.DUMMYFUNCTION("""COMPUTED_VALUE"""),"27")</f>
        <v>27</v>
      </c>
      <c r="C2030" s="6" t="str">
        <f>IFERROR(__xludf.DUMMYFUNCTION("""COMPUTED_VALUE"""),"4478")</f>
        <v>4478</v>
      </c>
      <c r="D2030" s="6" t="str">
        <f>IFERROR(__xludf.DUMMYFUNCTION("""COMPUTED_VALUE"""),"Lucian")</f>
        <v>Lucian</v>
      </c>
      <c r="E2030" s="6" t="str">
        <f>IFERROR(__xludf.DUMMYFUNCTION("""COMPUTED_VALUE"""),"")</f>
        <v/>
      </c>
      <c r="F2030" s="6" t="str">
        <f>IFERROR(__xludf.DUMMYFUNCTION("""COMPUTED_VALUE"""),"McDavid")</f>
        <v>McDavid</v>
      </c>
      <c r="G2030" s="6" t="str">
        <f>IFERROR(__xludf.DUMMYFUNCTION("""COMPUTED_VALUE"""),"06/20/2016")</f>
        <v>06/20/2016</v>
      </c>
      <c r="H2030" s="6" t="str">
        <f>IFERROR(__xludf.DUMMYFUNCTION("""COMPUTED_VALUE"""),"male")</f>
        <v>male</v>
      </c>
      <c r="I2030" s="6" t="str">
        <f>IFERROR(__xludf.DUMMYFUNCTION("""COMPUTED_VALUE"""),"Level 2")</f>
        <v>Level 2</v>
      </c>
      <c r="J2030" s="6" t="str">
        <f>IFERROR(__xludf.DUMMYFUNCTION("""COMPUTED_VALUE"""),"4")</f>
        <v>4</v>
      </c>
      <c r="K2030" s="6" t="str">
        <f>IFERROR(__xludf.DUMMYFUNCTION("""COMPUTED_VALUE"""),"lucian.mcdavid@alpha.school")</f>
        <v>lucian.mcdavid@alpha.school</v>
      </c>
      <c r="L2030" s="6" t="str">
        <f>IFERROR(__xludf.DUMMYFUNCTION("""COMPUTED_VALUE"""),"Alpha Anywhere Center")</f>
        <v>Alpha Anywhere Center</v>
      </c>
      <c r="M2030" s="6" t="str">
        <f>IFERROR(__xludf.DUMMYFUNCTION("""COMPUTED_VALUE"""),"")</f>
        <v/>
      </c>
      <c r="N2030" s="6" t="str">
        <f>IFERROR(__xludf.DUMMYFUNCTION("""COMPUTED_VALUE"""),"")</f>
        <v/>
      </c>
      <c r="O2030" s="87" t="str">
        <f>IFERROR(__xludf.DUMMYFUNCTION("""COMPUTED_VALUE"""),"https://drive.google.com/drive/folders/10T2cTQHqEJZqE-st6uFKPoI?usp=share_link")</f>
        <v>https://drive.google.com/drive/folders/10T2cTQHqEJZqE-st6uFKPoI?usp=share_link</v>
      </c>
      <c r="P2030" s="6" t="str">
        <f>IFERROR(__xludf.DUMMYFUNCTION("""COMPUTED_VALUE"""),"Lucian McDavid")</f>
        <v>Lucian McDavid</v>
      </c>
      <c r="Q2030" s="6" t="str">
        <f>IFERROR(__xludf.DUMMYFUNCTION("""COMPUTED_VALUE"""),"L2")</f>
        <v>L2</v>
      </c>
      <c r="R2030" s="6">
        <f>IFERROR(__xludf.DUMMYFUNCTION("""COMPUTED_VALUE"""),2.0)</f>
        <v>2</v>
      </c>
      <c r="S2030" s="6" t="str">
        <f>IFERROR(__xludf.DUMMYFUNCTION("""COMPUTED_VALUE"""),"Liam Stanton")</f>
        <v>Liam Stanton</v>
      </c>
      <c r="T2030" s="6" t="str">
        <f>IFERROR(__xludf.DUMMYFUNCTION("""COMPUTED_VALUE"""),"william.stanton@alpha.school")</f>
        <v>william.stanton@alpha.school</v>
      </c>
      <c r="U2030" s="6" t="str">
        <f>IFERROR(__xludf.DUMMYFUNCTION("""COMPUTED_VALUE"""),"4")</f>
        <v>4</v>
      </c>
      <c r="V2030" s="6" t="str">
        <f>IFERROR(__xludf.DUMMYFUNCTION("""COMPUTED_VALUE"""),"")</f>
        <v/>
      </c>
      <c r="W2030" s="6" t="str">
        <f>IFERROR(__xludf.DUMMYFUNCTION("""COMPUTED_VALUE"""),"[]")</f>
        <v>[]</v>
      </c>
      <c r="X2030" s="6" t="str">
        <f>IFERROR(__xludf.DUMMYFUNCTION("""COMPUTED_VALUE"""),"Enrolled")</f>
        <v>Enrolled</v>
      </c>
    </row>
    <row r="2031">
      <c r="A2031" s="6" t="str">
        <f>IFERROR(__xludf.DUMMYFUNCTION("""COMPUTED_VALUE"""),"027-4479")</f>
        <v>027-4479</v>
      </c>
      <c r="B2031" s="6" t="str">
        <f>IFERROR(__xludf.DUMMYFUNCTION("""COMPUTED_VALUE"""),"27")</f>
        <v>27</v>
      </c>
      <c r="C2031" s="6" t="str">
        <f>IFERROR(__xludf.DUMMYFUNCTION("""COMPUTED_VALUE"""),"4479")</f>
        <v>4479</v>
      </c>
      <c r="D2031" s="6" t="str">
        <f>IFERROR(__xludf.DUMMYFUNCTION("""COMPUTED_VALUE"""),"Van")</f>
        <v>Van</v>
      </c>
      <c r="E2031" s="6" t="str">
        <f>IFERROR(__xludf.DUMMYFUNCTION("""COMPUTED_VALUE"""),"")</f>
        <v/>
      </c>
      <c r="F2031" s="6" t="str">
        <f>IFERROR(__xludf.DUMMYFUNCTION("""COMPUTED_VALUE"""),"McDavid")</f>
        <v>McDavid</v>
      </c>
      <c r="G2031" s="6" t="str">
        <f>IFERROR(__xludf.DUMMYFUNCTION("""COMPUTED_VALUE"""),"08/08/2018")</f>
        <v>08/08/2018</v>
      </c>
      <c r="H2031" s="6" t="str">
        <f>IFERROR(__xludf.DUMMYFUNCTION("""COMPUTED_VALUE"""),"Self Identify")</f>
        <v>Self Identify</v>
      </c>
      <c r="I2031" s="6" t="str">
        <f>IFERROR(__xludf.DUMMYFUNCTION("""COMPUTED_VALUE"""),"Level 1")</f>
        <v>Level 1</v>
      </c>
      <c r="J2031" s="6" t="str">
        <f>IFERROR(__xludf.DUMMYFUNCTION("""COMPUTED_VALUE"""),"2")</f>
        <v>2</v>
      </c>
      <c r="K2031" s="6" t="str">
        <f>IFERROR(__xludf.DUMMYFUNCTION("""COMPUTED_VALUE"""),"van.mcdavid@alpha.school")</f>
        <v>van.mcdavid@alpha.school</v>
      </c>
      <c r="L2031" s="6" t="str">
        <f>IFERROR(__xludf.DUMMYFUNCTION("""COMPUTED_VALUE"""),"Alpha Anywhere Center")</f>
        <v>Alpha Anywhere Center</v>
      </c>
      <c r="M2031" s="6" t="str">
        <f>IFERROR(__xludf.DUMMYFUNCTION("""COMPUTED_VALUE"""),"")</f>
        <v/>
      </c>
      <c r="N2031" s="6" t="str">
        <f>IFERROR(__xludf.DUMMYFUNCTION("""COMPUTED_VALUE"""),"")</f>
        <v/>
      </c>
      <c r="O2031" s="87" t="str">
        <f>IFERROR(__xludf.DUMMYFUNCTION("""COMPUTED_VALUE"""),"https://drive.google.com/drive/folders/10T2cTQHqEJZqE-st6uFKPoI?usp=share_link")</f>
        <v>https://drive.google.com/drive/folders/10T2cTQHqEJZqE-st6uFKPoI?usp=share_link</v>
      </c>
      <c r="P2031" s="6" t="str">
        <f>IFERROR(__xludf.DUMMYFUNCTION("""COMPUTED_VALUE"""),"Van McDavid")</f>
        <v>Van McDavid</v>
      </c>
      <c r="Q2031" s="6" t="str">
        <f>IFERROR(__xludf.DUMMYFUNCTION("""COMPUTED_VALUE"""),"L1")</f>
        <v>L1</v>
      </c>
      <c r="R2031" s="6">
        <f>IFERROR(__xludf.DUMMYFUNCTION("""COMPUTED_VALUE"""),1.0)</f>
        <v>1</v>
      </c>
      <c r="S2031" s="6" t="str">
        <f>IFERROR(__xludf.DUMMYFUNCTION("""COMPUTED_VALUE"""),"Parthvi Harde")</f>
        <v>Parthvi Harde</v>
      </c>
      <c r="T2031" s="6" t="str">
        <f>IFERROR(__xludf.DUMMYFUNCTION("""COMPUTED_VALUE"""),"parthvi.harde@alpha.school")</f>
        <v>parthvi.harde@alpha.school</v>
      </c>
      <c r="U2031" s="6" t="str">
        <f>IFERROR(__xludf.DUMMYFUNCTION("""COMPUTED_VALUE"""),"2")</f>
        <v>2</v>
      </c>
      <c r="V2031" s="6" t="str">
        <f>IFERROR(__xludf.DUMMYFUNCTION("""COMPUTED_VALUE"""),"")</f>
        <v/>
      </c>
      <c r="W2031" s="6" t="str">
        <f>IFERROR(__xludf.DUMMYFUNCTION("""COMPUTED_VALUE"""),"[]")</f>
        <v>[]</v>
      </c>
      <c r="X2031" s="6" t="str">
        <f>IFERROR(__xludf.DUMMYFUNCTION("""COMPUTED_VALUE"""),"Enrolled")</f>
        <v>Enrolled</v>
      </c>
    </row>
    <row r="2032">
      <c r="A2032" s="6" t="str">
        <f>IFERROR(__xludf.DUMMYFUNCTION("""COMPUTED_VALUE"""),"027-4681")</f>
        <v>027-4681</v>
      </c>
      <c r="B2032" s="6" t="str">
        <f>IFERROR(__xludf.DUMMYFUNCTION("""COMPUTED_VALUE"""),"27")</f>
        <v>27</v>
      </c>
      <c r="C2032" s="6" t="str">
        <f>IFERROR(__xludf.DUMMYFUNCTION("""COMPUTED_VALUE"""),"4681")</f>
        <v>4681</v>
      </c>
      <c r="D2032" s="6" t="str">
        <f>IFERROR(__xludf.DUMMYFUNCTION("""COMPUTED_VALUE"""),"Lola")</f>
        <v>Lola</v>
      </c>
      <c r="E2032" s="6" t="str">
        <f>IFERROR(__xludf.DUMMYFUNCTION("""COMPUTED_VALUE"""),"Lola")</f>
        <v>Lola</v>
      </c>
      <c r="F2032" s="6" t="str">
        <f>IFERROR(__xludf.DUMMYFUNCTION("""COMPUTED_VALUE"""),"Propp")</f>
        <v>Propp</v>
      </c>
      <c r="G2032" s="6" t="str">
        <f>IFERROR(__xludf.DUMMYFUNCTION("""COMPUTED_VALUE"""),"11/13/2017")</f>
        <v>11/13/2017</v>
      </c>
      <c r="H2032" s="6" t="str">
        <f>IFERROR(__xludf.DUMMYFUNCTION("""COMPUTED_VALUE"""),"female")</f>
        <v>female</v>
      </c>
      <c r="I2032" s="6" t="str">
        <f>IFERROR(__xludf.DUMMYFUNCTION("""COMPUTED_VALUE"""),"Level 1")</f>
        <v>Level 1</v>
      </c>
      <c r="J2032" s="6" t="str">
        <f>IFERROR(__xludf.DUMMYFUNCTION("""COMPUTED_VALUE"""),"3")</f>
        <v>3</v>
      </c>
      <c r="K2032" s="6" t="str">
        <f>IFERROR(__xludf.DUMMYFUNCTION("""COMPUTED_VALUE"""),"lola.propp@alpha.school")</f>
        <v>lola.propp@alpha.school</v>
      </c>
      <c r="L2032" s="6" t="str">
        <f>IFERROR(__xludf.DUMMYFUNCTION("""COMPUTED_VALUE"""),"Alpha Anywhere Center")</f>
        <v>Alpha Anywhere Center</v>
      </c>
      <c r="M2032" s="6" t="str">
        <f>IFERROR(__xludf.DUMMYFUNCTION("""COMPUTED_VALUE"""),"")</f>
        <v/>
      </c>
      <c r="N2032" s="6" t="str">
        <f>IFERROR(__xludf.DUMMYFUNCTION("""COMPUTED_VALUE"""),"")</f>
        <v/>
      </c>
      <c r="O2032" s="87" t="str">
        <f>IFERROR(__xludf.DUMMYFUNCTION("""COMPUTED_VALUE"""),"https://drive.google.com/drive/folders/10T2cTQHqEJZqE-st6uFKPoI?usp=share_link")</f>
        <v>https://drive.google.com/drive/folders/10T2cTQHqEJZqE-st6uFKPoI?usp=share_link</v>
      </c>
      <c r="P2032" s="6" t="str">
        <f>IFERROR(__xludf.DUMMYFUNCTION("""COMPUTED_VALUE"""),"Lola Propp")</f>
        <v>Lola Propp</v>
      </c>
      <c r="Q2032" s="6" t="str">
        <f>IFERROR(__xludf.DUMMYFUNCTION("""COMPUTED_VALUE"""),"L1")</f>
        <v>L1</v>
      </c>
      <c r="R2032" s="6">
        <f>IFERROR(__xludf.DUMMYFUNCTION("""COMPUTED_VALUE"""),1.0)</f>
        <v>1</v>
      </c>
      <c r="S2032" s="6" t="str">
        <f>IFERROR(__xludf.DUMMYFUNCTION("""COMPUTED_VALUE"""),"Nathan Witkin")</f>
        <v>Nathan Witkin</v>
      </c>
      <c r="T2032" s="6" t="str">
        <f>IFERROR(__xludf.DUMMYFUNCTION("""COMPUTED_VALUE"""),"nathan.witkin@alpha.school")</f>
        <v>nathan.witkin@alpha.school</v>
      </c>
      <c r="U2032" s="6" t="str">
        <f>IFERROR(__xludf.DUMMYFUNCTION("""COMPUTED_VALUE"""),"3")</f>
        <v>3</v>
      </c>
      <c r="V2032" s="6" t="str">
        <f>IFERROR(__xludf.DUMMYFUNCTION("""COMPUTED_VALUE"""),"")</f>
        <v/>
      </c>
      <c r="W2032" s="6" t="str">
        <f>IFERROR(__xludf.DUMMYFUNCTION("""COMPUTED_VALUE"""),"[]")</f>
        <v>[]</v>
      </c>
      <c r="X2032" s="6" t="str">
        <f>IFERROR(__xludf.DUMMYFUNCTION("""COMPUTED_VALUE"""),"Enrolled")</f>
        <v>Enrolled</v>
      </c>
    </row>
    <row r="2033">
      <c r="A2033" s="6" t="str">
        <f>IFERROR(__xludf.DUMMYFUNCTION("""COMPUTED_VALUE"""),"027-4844")</f>
        <v>027-4844</v>
      </c>
      <c r="B2033" s="6" t="str">
        <f>IFERROR(__xludf.DUMMYFUNCTION("""COMPUTED_VALUE"""),"27")</f>
        <v>27</v>
      </c>
      <c r="C2033" s="6" t="str">
        <f>IFERROR(__xludf.DUMMYFUNCTION("""COMPUTED_VALUE"""),"4844")</f>
        <v>4844</v>
      </c>
      <c r="D2033" s="6" t="str">
        <f>IFERROR(__xludf.DUMMYFUNCTION("""COMPUTED_VALUE"""),"Liv")</f>
        <v>Liv</v>
      </c>
      <c r="E2033" s="6" t="str">
        <f>IFERROR(__xludf.DUMMYFUNCTION("""COMPUTED_VALUE"""),"")</f>
        <v/>
      </c>
      <c r="F2033" s="6" t="str">
        <f>IFERROR(__xludf.DUMMYFUNCTION("""COMPUTED_VALUE"""),"Brodsky")</f>
        <v>Brodsky</v>
      </c>
      <c r="G2033" s="6" t="str">
        <f>IFERROR(__xludf.DUMMYFUNCTION("""COMPUTED_VALUE"""),"01/28/2016")</f>
        <v>01/28/2016</v>
      </c>
      <c r="H2033" s="6" t="str">
        <f>IFERROR(__xludf.DUMMYFUNCTION("""COMPUTED_VALUE"""),"female")</f>
        <v>female</v>
      </c>
      <c r="I2033" s="6" t="str">
        <f>IFERROR(__xludf.DUMMYFUNCTION("""COMPUTED_VALUE"""),"Level 2")</f>
        <v>Level 2</v>
      </c>
      <c r="J2033" s="6" t="str">
        <f>IFERROR(__xludf.DUMMYFUNCTION("""COMPUTED_VALUE"""),"4")</f>
        <v>4</v>
      </c>
      <c r="K2033" s="6" t="str">
        <f>IFERROR(__xludf.DUMMYFUNCTION("""COMPUTED_VALUE"""),"liv.brodsky@alpha.school")</f>
        <v>liv.brodsky@alpha.school</v>
      </c>
      <c r="L2033" s="6" t="str">
        <f>IFERROR(__xludf.DUMMYFUNCTION("""COMPUTED_VALUE"""),"Alpha Anywhere Center")</f>
        <v>Alpha Anywhere Center</v>
      </c>
      <c r="M2033" s="6" t="str">
        <f>IFERROR(__xludf.DUMMYFUNCTION("""COMPUTED_VALUE"""),"")</f>
        <v/>
      </c>
      <c r="N2033" s="6" t="str">
        <f>IFERROR(__xludf.DUMMYFUNCTION("""COMPUTED_VALUE"""),"")</f>
        <v/>
      </c>
      <c r="O2033" s="87" t="str">
        <f>IFERROR(__xludf.DUMMYFUNCTION("""COMPUTED_VALUE"""),"https://drive.google.com/drive/folders/10T2cTQHqEJZqE-st6uFKPoI?usp=share_link")</f>
        <v>https://drive.google.com/drive/folders/10T2cTQHqEJZqE-st6uFKPoI?usp=share_link</v>
      </c>
      <c r="P2033" s="6" t="str">
        <f>IFERROR(__xludf.DUMMYFUNCTION("""COMPUTED_VALUE"""),"Liv Brodsky")</f>
        <v>Liv Brodsky</v>
      </c>
      <c r="Q2033" s="6" t="str">
        <f>IFERROR(__xludf.DUMMYFUNCTION("""COMPUTED_VALUE"""),"L2")</f>
        <v>L2</v>
      </c>
      <c r="R2033" s="6">
        <f>IFERROR(__xludf.DUMMYFUNCTION("""COMPUTED_VALUE"""),2.0)</f>
        <v>2</v>
      </c>
      <c r="S2033" s="6" t="str">
        <f>IFERROR(__xludf.DUMMYFUNCTION("""COMPUTED_VALUE"""),"Liam Stanton")</f>
        <v>Liam Stanton</v>
      </c>
      <c r="T2033" s="6" t="str">
        <f>IFERROR(__xludf.DUMMYFUNCTION("""COMPUTED_VALUE"""),"william.stanton@alpha.school")</f>
        <v>william.stanton@alpha.school</v>
      </c>
      <c r="U2033" s="6" t="str">
        <f>IFERROR(__xludf.DUMMYFUNCTION("""COMPUTED_VALUE"""),"4")</f>
        <v>4</v>
      </c>
      <c r="V2033" s="6" t="str">
        <f>IFERROR(__xludf.DUMMYFUNCTION("""COMPUTED_VALUE"""),"")</f>
        <v/>
      </c>
      <c r="W2033" s="6" t="str">
        <f>IFERROR(__xludf.DUMMYFUNCTION("""COMPUTED_VALUE"""),"[]")</f>
        <v>[]</v>
      </c>
      <c r="X2033" s="6" t="str">
        <f>IFERROR(__xludf.DUMMYFUNCTION("""COMPUTED_VALUE"""),"Enrolled")</f>
        <v>Enrolled</v>
      </c>
    </row>
    <row r="2034">
      <c r="A2034" s="6" t="str">
        <f>IFERROR(__xludf.DUMMYFUNCTION("""COMPUTED_VALUE"""),"027-5529")</f>
        <v>027-5529</v>
      </c>
      <c r="B2034" s="6" t="str">
        <f>IFERROR(__xludf.DUMMYFUNCTION("""COMPUTED_VALUE"""),"27")</f>
        <v>27</v>
      </c>
      <c r="C2034" s="6" t="str">
        <f>IFERROR(__xludf.DUMMYFUNCTION("""COMPUTED_VALUE"""),"5529")</f>
        <v>5529</v>
      </c>
      <c r="D2034" s="6" t="str">
        <f>IFERROR(__xludf.DUMMYFUNCTION("""COMPUTED_VALUE"""),"Vasilios")</f>
        <v>Vasilios</v>
      </c>
      <c r="E2034" s="6" t="str">
        <f>IFERROR(__xludf.DUMMYFUNCTION("""COMPUTED_VALUE"""),"Vasili")</f>
        <v>Vasili</v>
      </c>
      <c r="F2034" s="6" t="str">
        <f>IFERROR(__xludf.DUMMYFUNCTION("""COMPUTED_VALUE"""),"Giannopoulos")</f>
        <v>Giannopoulos</v>
      </c>
      <c r="G2034" s="6" t="str">
        <f>IFERROR(__xludf.DUMMYFUNCTION("""COMPUTED_VALUE"""),"08/02/2018")</f>
        <v>08/02/2018</v>
      </c>
      <c r="H2034" s="6" t="str">
        <f>IFERROR(__xludf.DUMMYFUNCTION("""COMPUTED_VALUE"""),"male")</f>
        <v>male</v>
      </c>
      <c r="I2034" s="6" t="str">
        <f>IFERROR(__xludf.DUMMYFUNCTION("""COMPUTED_VALUE"""),"Level 1")</f>
        <v>Level 1</v>
      </c>
      <c r="J2034" s="6" t="str">
        <f>IFERROR(__xludf.DUMMYFUNCTION("""COMPUTED_VALUE"""),"2")</f>
        <v>2</v>
      </c>
      <c r="K2034" s="6" t="str">
        <f>IFERROR(__xludf.DUMMYFUNCTION("""COMPUTED_VALUE"""),"vasilios.giannopoulos@alpha.school")</f>
        <v>vasilios.giannopoulos@alpha.school</v>
      </c>
      <c r="L2034" s="6" t="str">
        <f>IFERROR(__xludf.DUMMYFUNCTION("""COMPUTED_VALUE"""),"Alpha Anywhere Center")</f>
        <v>Alpha Anywhere Center</v>
      </c>
      <c r="M2034" s="6" t="str">
        <f>IFERROR(__xludf.DUMMYFUNCTION("""COMPUTED_VALUE"""),"")</f>
        <v/>
      </c>
      <c r="N2034" s="6" t="str">
        <f>IFERROR(__xludf.DUMMYFUNCTION("""COMPUTED_VALUE"""),"")</f>
        <v/>
      </c>
      <c r="O2034" s="87" t="str">
        <f>IFERROR(__xludf.DUMMYFUNCTION("""COMPUTED_VALUE"""),"https://drive.google.com/drive/folders/10T2cTQHqEJZqE-st6uFKPoI?usp=share_link")</f>
        <v>https://drive.google.com/drive/folders/10T2cTQHqEJZqE-st6uFKPoI?usp=share_link</v>
      </c>
      <c r="P2034" s="6" t="str">
        <f>IFERROR(__xludf.DUMMYFUNCTION("""COMPUTED_VALUE"""),"Vasili Giannopoulos")</f>
        <v>Vasili Giannopoulos</v>
      </c>
      <c r="Q2034" s="6" t="str">
        <f>IFERROR(__xludf.DUMMYFUNCTION("""COMPUTED_VALUE"""),"L1")</f>
        <v>L1</v>
      </c>
      <c r="R2034" s="6">
        <f>IFERROR(__xludf.DUMMYFUNCTION("""COMPUTED_VALUE"""),1.0)</f>
        <v>1</v>
      </c>
      <c r="S2034" s="6" t="str">
        <f>IFERROR(__xludf.DUMMYFUNCTION("""COMPUTED_VALUE"""),"Parthvi Harde")</f>
        <v>Parthvi Harde</v>
      </c>
      <c r="T2034" s="6" t="str">
        <f>IFERROR(__xludf.DUMMYFUNCTION("""COMPUTED_VALUE"""),"parthvi.harde@alpha.school")</f>
        <v>parthvi.harde@alpha.school</v>
      </c>
      <c r="U2034" s="6" t="str">
        <f>IFERROR(__xludf.DUMMYFUNCTION("""COMPUTED_VALUE"""),"2")</f>
        <v>2</v>
      </c>
      <c r="V2034" s="6" t="str">
        <f>IFERROR(__xludf.DUMMYFUNCTION("""COMPUTED_VALUE"""),"")</f>
        <v/>
      </c>
      <c r="W2034" s="6" t="str">
        <f>IFERROR(__xludf.DUMMYFUNCTION("""COMPUTED_VALUE"""),"[]")</f>
        <v>[]</v>
      </c>
      <c r="X2034" s="6" t="str">
        <f>IFERROR(__xludf.DUMMYFUNCTION("""COMPUTED_VALUE"""),"Enrolled")</f>
        <v>Enrolled</v>
      </c>
    </row>
    <row r="2035">
      <c r="A2035" s="6" t="str">
        <f>IFERROR(__xludf.DUMMYFUNCTION("""COMPUTED_VALUE"""),"027-7292")</f>
        <v>027-7292</v>
      </c>
      <c r="B2035" s="6" t="str">
        <f>IFERROR(__xludf.DUMMYFUNCTION("""COMPUTED_VALUE"""),"27")</f>
        <v>27</v>
      </c>
      <c r="C2035" s="6" t="str">
        <f>IFERROR(__xludf.DUMMYFUNCTION("""COMPUTED_VALUE"""),"7292")</f>
        <v>7292</v>
      </c>
      <c r="D2035" s="6" t="str">
        <f>IFERROR(__xludf.DUMMYFUNCTION("""COMPUTED_VALUE"""),"Leah")</f>
        <v>Leah</v>
      </c>
      <c r="E2035" s="6" t="str">
        <f>IFERROR(__xludf.DUMMYFUNCTION("""COMPUTED_VALUE"""),"Leah")</f>
        <v>Leah</v>
      </c>
      <c r="F2035" s="6" t="str">
        <f>IFERROR(__xludf.DUMMYFUNCTION("""COMPUTED_VALUE"""),"Abramovich")</f>
        <v>Abramovich</v>
      </c>
      <c r="G2035" s="6" t="str">
        <f>IFERROR(__xludf.DUMMYFUNCTION("""COMPUTED_VALUE"""),"04/08/2013")</f>
        <v>04/08/2013</v>
      </c>
      <c r="H2035" s="6" t="str">
        <f>IFERROR(__xludf.DUMMYFUNCTION("""COMPUTED_VALUE"""),"female")</f>
        <v>female</v>
      </c>
      <c r="I2035" s="6" t="str">
        <f>IFERROR(__xludf.DUMMYFUNCTION("""COMPUTED_VALUE"""),"Middle School")</f>
        <v>Middle School</v>
      </c>
      <c r="J2035" s="6" t="str">
        <f>IFERROR(__xludf.DUMMYFUNCTION("""COMPUTED_VALUE"""),"7")</f>
        <v>7</v>
      </c>
      <c r="K2035" s="6" t="str">
        <f>IFERROR(__xludf.DUMMYFUNCTION("""COMPUTED_VALUE"""),"leah.abramovich@alpha.school")</f>
        <v>leah.abramovich@alpha.school</v>
      </c>
      <c r="L2035" s="6" t="str">
        <f>IFERROR(__xludf.DUMMYFUNCTION("""COMPUTED_VALUE"""),"Alpha Anywhere Center")</f>
        <v>Alpha Anywhere Center</v>
      </c>
      <c r="M2035" s="6" t="str">
        <f>IFERROR(__xludf.DUMMYFUNCTION("""COMPUTED_VALUE"""),"")</f>
        <v/>
      </c>
      <c r="N2035" s="6" t="str">
        <f>IFERROR(__xludf.DUMMYFUNCTION("""COMPUTED_VALUE"""),"")</f>
        <v/>
      </c>
      <c r="O2035" s="87" t="str">
        <f>IFERROR(__xludf.DUMMYFUNCTION("""COMPUTED_VALUE"""),"https://drive.google.com/drive/folders/10T2cTQHqEJZqE-st6uFKPoI?usp=share_link")</f>
        <v>https://drive.google.com/drive/folders/10T2cTQHqEJZqE-st6uFKPoI?usp=share_link</v>
      </c>
      <c r="P2035" s="6" t="str">
        <f>IFERROR(__xludf.DUMMYFUNCTION("""COMPUTED_VALUE"""),"Leah Abramovich")</f>
        <v>Leah Abramovich</v>
      </c>
      <c r="Q2035" s="6" t="str">
        <f>IFERROR(__xludf.DUMMYFUNCTION("""COMPUTED_VALUE"""),"MS")</f>
        <v>MS</v>
      </c>
      <c r="R2035" s="6">
        <f>IFERROR(__xludf.DUMMYFUNCTION("""COMPUTED_VALUE"""),0.0)</f>
        <v>0</v>
      </c>
      <c r="S2035" s="6" t="str">
        <f>IFERROR(__xludf.DUMMYFUNCTION("""COMPUTED_VALUE"""),"Emily Lopez")</f>
        <v>Emily Lopez</v>
      </c>
      <c r="T2035" s="6" t="str">
        <f>IFERROR(__xludf.DUMMYFUNCTION("""COMPUTED_VALUE"""),"emily.lopez@alpha.school")</f>
        <v>emily.lopez@alpha.school</v>
      </c>
      <c r="U2035" s="6" t="str">
        <f>IFERROR(__xludf.DUMMYFUNCTION("""COMPUTED_VALUE"""),"7")</f>
        <v>7</v>
      </c>
      <c r="V2035" s="6" t="str">
        <f>IFERROR(__xludf.DUMMYFUNCTION("""COMPUTED_VALUE"""),"")</f>
        <v/>
      </c>
      <c r="W2035" s="6" t="str">
        <f>IFERROR(__xludf.DUMMYFUNCTION("""COMPUTED_VALUE"""),"[]")</f>
        <v>[]</v>
      </c>
      <c r="X2035" s="6" t="str">
        <f>IFERROR(__xludf.DUMMYFUNCTION("""COMPUTED_VALUE"""),"Enrolled")</f>
        <v>Enrolled</v>
      </c>
    </row>
    <row r="2036">
      <c r="A2036" s="6" t="str">
        <f>IFERROR(__xludf.DUMMYFUNCTION("""COMPUTED_VALUE"""),"027-7727")</f>
        <v>027-7727</v>
      </c>
      <c r="B2036" s="6" t="str">
        <f>IFERROR(__xludf.DUMMYFUNCTION("""COMPUTED_VALUE"""),"27")</f>
        <v>27</v>
      </c>
      <c r="C2036" s="6" t="str">
        <f>IFERROR(__xludf.DUMMYFUNCTION("""COMPUTED_VALUE"""),"7727")</f>
        <v>7727</v>
      </c>
      <c r="D2036" s="6" t="str">
        <f>IFERROR(__xludf.DUMMYFUNCTION("""COMPUTED_VALUE"""),"Catherine")</f>
        <v>Catherine</v>
      </c>
      <c r="E2036" s="6" t="str">
        <f>IFERROR(__xludf.DUMMYFUNCTION("""COMPUTED_VALUE"""),"Cate")</f>
        <v>Cate</v>
      </c>
      <c r="F2036" s="6" t="str">
        <f>IFERROR(__xludf.DUMMYFUNCTION("""COMPUTED_VALUE"""),"Henry")</f>
        <v>Henry</v>
      </c>
      <c r="G2036" s="6" t="str">
        <f>IFERROR(__xludf.DUMMYFUNCTION("""COMPUTED_VALUE"""),"10/20/2015")</f>
        <v>10/20/2015</v>
      </c>
      <c r="H2036" s="6" t="str">
        <f>IFERROR(__xludf.DUMMYFUNCTION("""COMPUTED_VALUE"""),"female")</f>
        <v>female</v>
      </c>
      <c r="I2036" s="6" t="str">
        <f>IFERROR(__xludf.DUMMYFUNCTION("""COMPUTED_VALUE"""),"Level 2")</f>
        <v>Level 2</v>
      </c>
      <c r="J2036" s="6" t="str">
        <f>IFERROR(__xludf.DUMMYFUNCTION("""COMPUTED_VALUE"""),"4")</f>
        <v>4</v>
      </c>
      <c r="K2036" s="6" t="str">
        <f>IFERROR(__xludf.DUMMYFUNCTION("""COMPUTED_VALUE"""),"catherine.henry@alpha.school")</f>
        <v>catherine.henry@alpha.school</v>
      </c>
      <c r="L2036" s="6" t="str">
        <f>IFERROR(__xludf.DUMMYFUNCTION("""COMPUTED_VALUE"""),"Alpha Anywhere Center")</f>
        <v>Alpha Anywhere Center</v>
      </c>
      <c r="M2036" s="6" t="str">
        <f>IFERROR(__xludf.DUMMYFUNCTION("""COMPUTED_VALUE"""),"")</f>
        <v/>
      </c>
      <c r="N2036" s="6" t="str">
        <f>IFERROR(__xludf.DUMMYFUNCTION("""COMPUTED_VALUE"""),"")</f>
        <v/>
      </c>
      <c r="O2036" s="87" t="str">
        <f>IFERROR(__xludf.DUMMYFUNCTION("""COMPUTED_VALUE"""),"https://drive.google.com/drive/folders/10T2cTQHqEJZqE-st6uFKPoI?usp=share_link")</f>
        <v>https://drive.google.com/drive/folders/10T2cTQHqEJZqE-st6uFKPoI?usp=share_link</v>
      </c>
      <c r="P2036" s="6" t="str">
        <f>IFERROR(__xludf.DUMMYFUNCTION("""COMPUTED_VALUE"""),"Cate Henry")</f>
        <v>Cate Henry</v>
      </c>
      <c r="Q2036" s="6" t="str">
        <f>IFERROR(__xludf.DUMMYFUNCTION("""COMPUTED_VALUE"""),"L2")</f>
        <v>L2</v>
      </c>
      <c r="R2036" s="6">
        <f>IFERROR(__xludf.DUMMYFUNCTION("""COMPUTED_VALUE"""),2.0)</f>
        <v>2</v>
      </c>
      <c r="S2036" s="6" t="str">
        <f>IFERROR(__xludf.DUMMYFUNCTION("""COMPUTED_VALUE"""),"Liam Stanton")</f>
        <v>Liam Stanton</v>
      </c>
      <c r="T2036" s="6" t="str">
        <f>IFERROR(__xludf.DUMMYFUNCTION("""COMPUTED_VALUE"""),"william.stanton@alpha.school")</f>
        <v>william.stanton@alpha.school</v>
      </c>
      <c r="U2036" s="6" t="str">
        <f>IFERROR(__xludf.DUMMYFUNCTION("""COMPUTED_VALUE"""),"4")</f>
        <v>4</v>
      </c>
      <c r="V2036" s="6" t="str">
        <f>IFERROR(__xludf.DUMMYFUNCTION("""COMPUTED_VALUE"""),"")</f>
        <v/>
      </c>
      <c r="W2036" s="6" t="str">
        <f>IFERROR(__xludf.DUMMYFUNCTION("""COMPUTED_VALUE"""),"[]")</f>
        <v>[]</v>
      </c>
      <c r="X2036" s="6" t="str">
        <f>IFERROR(__xludf.DUMMYFUNCTION("""COMPUTED_VALUE"""),"Enrolled")</f>
        <v>Enrolled</v>
      </c>
    </row>
    <row r="2037">
      <c r="A2037" s="6" t="str">
        <f>IFERROR(__xludf.DUMMYFUNCTION("""COMPUTED_VALUE"""),"027-7778")</f>
        <v>027-7778</v>
      </c>
      <c r="B2037" s="6" t="str">
        <f>IFERROR(__xludf.DUMMYFUNCTION("""COMPUTED_VALUE"""),"27")</f>
        <v>27</v>
      </c>
      <c r="C2037" s="6" t="str">
        <f>IFERROR(__xludf.DUMMYFUNCTION("""COMPUTED_VALUE"""),"7778")</f>
        <v>7778</v>
      </c>
      <c r="D2037" s="6" t="str">
        <f>IFERROR(__xludf.DUMMYFUNCTION("""COMPUTED_VALUE"""),"Pierce")</f>
        <v>Pierce</v>
      </c>
      <c r="E2037" s="6" t="str">
        <f>IFERROR(__xludf.DUMMYFUNCTION("""COMPUTED_VALUE"""),"Pierce")</f>
        <v>Pierce</v>
      </c>
      <c r="F2037" s="6" t="str">
        <f>IFERROR(__xludf.DUMMYFUNCTION("""COMPUTED_VALUE"""),"Bandier")</f>
        <v>Bandier</v>
      </c>
      <c r="G2037" s="6" t="str">
        <f>IFERROR(__xludf.DUMMYFUNCTION("""COMPUTED_VALUE"""),"04/14/2020")</f>
        <v>04/14/2020</v>
      </c>
      <c r="H2037" s="6" t="str">
        <f>IFERROR(__xludf.DUMMYFUNCTION("""COMPUTED_VALUE"""),"male")</f>
        <v>male</v>
      </c>
      <c r="I2037" s="6" t="str">
        <f>IFERROR(__xludf.DUMMYFUNCTION("""COMPUTED_VALUE"""),"Learning Lab")</f>
        <v>Learning Lab</v>
      </c>
      <c r="J2037" s="6" t="str">
        <f>IFERROR(__xludf.DUMMYFUNCTION("""COMPUTED_VALUE"""),"K")</f>
        <v>K</v>
      </c>
      <c r="K2037" s="6" t="str">
        <f>IFERROR(__xludf.DUMMYFUNCTION("""COMPUTED_VALUE"""),"pierce.bandier@alpha.school")</f>
        <v>pierce.bandier@alpha.school</v>
      </c>
      <c r="L2037" s="6" t="str">
        <f>IFERROR(__xludf.DUMMYFUNCTION("""COMPUTED_VALUE"""),"Alpha Anywhere Center")</f>
        <v>Alpha Anywhere Center</v>
      </c>
      <c r="M2037" s="6" t="str">
        <f>IFERROR(__xludf.DUMMYFUNCTION("""COMPUTED_VALUE"""),"")</f>
        <v/>
      </c>
      <c r="N2037" s="6" t="str">
        <f>IFERROR(__xludf.DUMMYFUNCTION("""COMPUTED_VALUE"""),"")</f>
        <v/>
      </c>
      <c r="O2037" s="87" t="str">
        <f>IFERROR(__xludf.DUMMYFUNCTION("""COMPUTED_VALUE"""),"https://drive.google.com/drive/folders/10T2cTQHqEJZqE-st6uFKPoI?usp=share_link")</f>
        <v>https://drive.google.com/drive/folders/10T2cTQHqEJZqE-st6uFKPoI?usp=share_link</v>
      </c>
      <c r="P2037" s="6" t="str">
        <f>IFERROR(__xludf.DUMMYFUNCTION("""COMPUTED_VALUE"""),"Pierce Bandier")</f>
        <v>Pierce Bandier</v>
      </c>
      <c r="Q2037" s="6" t="str">
        <f>IFERROR(__xludf.DUMMYFUNCTION("""COMPUTED_VALUE"""),"LL")</f>
        <v>LL</v>
      </c>
      <c r="R2037" s="6">
        <f>IFERROR(__xludf.DUMMYFUNCTION("""COMPUTED_VALUE"""),0.0)</f>
        <v>0</v>
      </c>
      <c r="S2037" s="6" t="str">
        <f>IFERROR(__xludf.DUMMYFUNCTION("""COMPUTED_VALUE""")," ")</f>
        <v> </v>
      </c>
      <c r="T2037" s="6" t="str">
        <f>IFERROR(__xludf.DUMMYFUNCTION("""COMPUTED_VALUE"""),"")</f>
        <v/>
      </c>
      <c r="U2037" s="6" t="str">
        <f>IFERROR(__xludf.DUMMYFUNCTION("""COMPUTED_VALUE"""),"K")</f>
        <v>K</v>
      </c>
      <c r="V2037" s="6" t="str">
        <f>IFERROR(__xludf.DUMMYFUNCTION("""COMPUTED_VALUE"""),"")</f>
        <v/>
      </c>
      <c r="W2037" s="6" t="str">
        <f>IFERROR(__xludf.DUMMYFUNCTION("""COMPUTED_VALUE"""),"[]")</f>
        <v>[]</v>
      </c>
      <c r="X2037" s="6" t="str">
        <f>IFERROR(__xludf.DUMMYFUNCTION("""COMPUTED_VALUE"""),"Pending Review")</f>
        <v>Pending Review</v>
      </c>
    </row>
    <row r="2038">
      <c r="A2038" s="6" t="str">
        <f>IFERROR(__xludf.DUMMYFUNCTION("""COMPUTED_VALUE"""),"027-7798")</f>
        <v>027-7798</v>
      </c>
      <c r="B2038" s="6" t="str">
        <f>IFERROR(__xludf.DUMMYFUNCTION("""COMPUTED_VALUE"""),"27")</f>
        <v>27</v>
      </c>
      <c r="C2038" s="6" t="str">
        <f>IFERROR(__xludf.DUMMYFUNCTION("""COMPUTED_VALUE"""),"7798")</f>
        <v>7798</v>
      </c>
      <c r="D2038" s="6" t="str">
        <f>IFERROR(__xludf.DUMMYFUNCTION("""COMPUTED_VALUE"""),"Glen-Eric")</f>
        <v>Glen-Eric</v>
      </c>
      <c r="E2038" s="6" t="str">
        <f>IFERROR(__xludf.DUMMYFUNCTION("""COMPUTED_VALUE"""),"GlenEric")</f>
        <v>GlenEric</v>
      </c>
      <c r="F2038" s="6" t="str">
        <f>IFERROR(__xludf.DUMMYFUNCTION("""COMPUTED_VALUE"""),"Ostrander")</f>
        <v>Ostrander</v>
      </c>
      <c r="G2038" s="6" t="str">
        <f>IFERROR(__xludf.DUMMYFUNCTION("""COMPUTED_VALUE"""),"02/06/2012")</f>
        <v>02/06/2012</v>
      </c>
      <c r="H2038" s="6" t="str">
        <f>IFERROR(__xludf.DUMMYFUNCTION("""COMPUTED_VALUE"""),"female")</f>
        <v>female</v>
      </c>
      <c r="I2038" s="6" t="str">
        <f>IFERROR(__xludf.DUMMYFUNCTION("""COMPUTED_VALUE"""),"Middle School")</f>
        <v>Middle School</v>
      </c>
      <c r="J2038" s="6" t="str">
        <f>IFERROR(__xludf.DUMMYFUNCTION("""COMPUTED_VALUE"""),"8")</f>
        <v>8</v>
      </c>
      <c r="K2038" s="6" t="str">
        <f>IFERROR(__xludf.DUMMYFUNCTION("""COMPUTED_VALUE"""),"glen-eric.ostrander@alpha.school")</f>
        <v>glen-eric.ostrander@alpha.school</v>
      </c>
      <c r="L2038" s="6" t="str">
        <f>IFERROR(__xludf.DUMMYFUNCTION("""COMPUTED_VALUE"""),"Alpha Anywhere Center")</f>
        <v>Alpha Anywhere Center</v>
      </c>
      <c r="M2038" s="6" t="str">
        <f>IFERROR(__xludf.DUMMYFUNCTION("""COMPUTED_VALUE"""),"")</f>
        <v/>
      </c>
      <c r="N2038" s="6" t="str">
        <f>IFERROR(__xludf.DUMMYFUNCTION("""COMPUTED_VALUE"""),"")</f>
        <v/>
      </c>
      <c r="O2038" s="87" t="str">
        <f>IFERROR(__xludf.DUMMYFUNCTION("""COMPUTED_VALUE"""),"https://drive.google.com/drive/folders/10T2cTQHqEJZqE-st6uFKPoI?usp=share_link")</f>
        <v>https://drive.google.com/drive/folders/10T2cTQHqEJZqE-st6uFKPoI?usp=share_link</v>
      </c>
      <c r="P2038" s="6" t="str">
        <f>IFERROR(__xludf.DUMMYFUNCTION("""COMPUTED_VALUE"""),"GlenEric Ostrander")</f>
        <v>GlenEric Ostrander</v>
      </c>
      <c r="Q2038" s="6" t="str">
        <f>IFERROR(__xludf.DUMMYFUNCTION("""COMPUTED_VALUE"""),"MS")</f>
        <v>MS</v>
      </c>
      <c r="R2038" s="6">
        <f>IFERROR(__xludf.DUMMYFUNCTION("""COMPUTED_VALUE"""),0.0)</f>
        <v>0</v>
      </c>
      <c r="S2038" s="6" t="str">
        <f>IFERROR(__xludf.DUMMYFUNCTION("""COMPUTED_VALUE"""),"Emily Lopez")</f>
        <v>Emily Lopez</v>
      </c>
      <c r="T2038" s="6" t="str">
        <f>IFERROR(__xludf.DUMMYFUNCTION("""COMPUTED_VALUE"""),"emily.lopez@alpha.school")</f>
        <v>emily.lopez@alpha.school</v>
      </c>
      <c r="U2038" s="6" t="str">
        <f>IFERROR(__xludf.DUMMYFUNCTION("""COMPUTED_VALUE"""),"8")</f>
        <v>8</v>
      </c>
      <c r="V2038" s="6" t="str">
        <f>IFERROR(__xludf.DUMMYFUNCTION("""COMPUTED_VALUE"""),"")</f>
        <v/>
      </c>
      <c r="W2038" s="6" t="str">
        <f>IFERROR(__xludf.DUMMYFUNCTION("""COMPUTED_VALUE"""),"[]")</f>
        <v>[]</v>
      </c>
      <c r="X2038" s="6" t="str">
        <f>IFERROR(__xludf.DUMMYFUNCTION("""COMPUTED_VALUE"""),"Enrolled")</f>
        <v>Enrolled</v>
      </c>
    </row>
    <row r="2039">
      <c r="A2039" s="6" t="str">
        <f>IFERROR(__xludf.DUMMYFUNCTION("""COMPUTED_VALUE"""),"027-7871")</f>
        <v>027-7871</v>
      </c>
      <c r="B2039" s="6" t="str">
        <f>IFERROR(__xludf.DUMMYFUNCTION("""COMPUTED_VALUE"""),"27")</f>
        <v>27</v>
      </c>
      <c r="C2039" s="6" t="str">
        <f>IFERROR(__xludf.DUMMYFUNCTION("""COMPUTED_VALUE"""),"7871")</f>
        <v>7871</v>
      </c>
      <c r="D2039" s="6" t="str">
        <f>IFERROR(__xludf.DUMMYFUNCTION("""COMPUTED_VALUE"""),"Penelope")</f>
        <v>Penelope</v>
      </c>
      <c r="E2039" s="6" t="str">
        <f>IFERROR(__xludf.DUMMYFUNCTION("""COMPUTED_VALUE"""),"Penelope")</f>
        <v>Penelope</v>
      </c>
      <c r="F2039" s="6" t="str">
        <f>IFERROR(__xludf.DUMMYFUNCTION("""COMPUTED_VALUE"""),"Carrington")</f>
        <v>Carrington</v>
      </c>
      <c r="G2039" s="6" t="str">
        <f>IFERROR(__xludf.DUMMYFUNCTION("""COMPUTED_VALUE"""),"09/01/2012")</f>
        <v>09/01/2012</v>
      </c>
      <c r="H2039" s="6" t="str">
        <f>IFERROR(__xludf.DUMMYFUNCTION("""COMPUTED_VALUE"""),"female")</f>
        <v>female</v>
      </c>
      <c r="I2039" s="6" t="str">
        <f>IFERROR(__xludf.DUMMYFUNCTION("""COMPUTED_VALUE"""),"Middle School")</f>
        <v>Middle School</v>
      </c>
      <c r="J2039" s="6" t="str">
        <f>IFERROR(__xludf.DUMMYFUNCTION("""COMPUTED_VALUE"""),"7")</f>
        <v>7</v>
      </c>
      <c r="K2039" s="6" t="str">
        <f>IFERROR(__xludf.DUMMYFUNCTION("""COMPUTED_VALUE"""),"penelope.carrington@alpha.school")</f>
        <v>penelope.carrington@alpha.school</v>
      </c>
      <c r="L2039" s="6" t="str">
        <f>IFERROR(__xludf.DUMMYFUNCTION("""COMPUTED_VALUE"""),"Alpha Anywhere Center")</f>
        <v>Alpha Anywhere Center</v>
      </c>
      <c r="M2039" s="6" t="str">
        <f>IFERROR(__xludf.DUMMYFUNCTION("""COMPUTED_VALUE"""),"")</f>
        <v/>
      </c>
      <c r="N2039" s="6" t="str">
        <f>IFERROR(__xludf.DUMMYFUNCTION("""COMPUTED_VALUE"""),"")</f>
        <v/>
      </c>
      <c r="O2039" s="87" t="str">
        <f>IFERROR(__xludf.DUMMYFUNCTION("""COMPUTED_VALUE"""),"https://drive.google.com/drive/folders/10T2cTQHqEJZqE-st6uFKPoI?usp=share_link")</f>
        <v>https://drive.google.com/drive/folders/10T2cTQHqEJZqE-st6uFKPoI?usp=share_link</v>
      </c>
      <c r="P2039" s="6" t="str">
        <f>IFERROR(__xludf.DUMMYFUNCTION("""COMPUTED_VALUE"""),"Penelope Carrington")</f>
        <v>Penelope Carrington</v>
      </c>
      <c r="Q2039" s="6" t="str">
        <f>IFERROR(__xludf.DUMMYFUNCTION("""COMPUTED_VALUE"""),"MS")</f>
        <v>MS</v>
      </c>
      <c r="R2039" s="6">
        <f>IFERROR(__xludf.DUMMYFUNCTION("""COMPUTED_VALUE"""),0.0)</f>
        <v>0</v>
      </c>
      <c r="S2039" s="6" t="str">
        <f>IFERROR(__xludf.DUMMYFUNCTION("""COMPUTED_VALUE"""),"Emily Lopez")</f>
        <v>Emily Lopez</v>
      </c>
      <c r="T2039" s="6" t="str">
        <f>IFERROR(__xludf.DUMMYFUNCTION("""COMPUTED_VALUE"""),"emily.lopez@alpha.school")</f>
        <v>emily.lopez@alpha.school</v>
      </c>
      <c r="U2039" s="6" t="str">
        <f>IFERROR(__xludf.DUMMYFUNCTION("""COMPUTED_VALUE"""),"7")</f>
        <v>7</v>
      </c>
      <c r="V2039" s="6" t="str">
        <f>IFERROR(__xludf.DUMMYFUNCTION("""COMPUTED_VALUE"""),"")</f>
        <v/>
      </c>
      <c r="W2039" s="6" t="str">
        <f>IFERROR(__xludf.DUMMYFUNCTION("""COMPUTED_VALUE"""),"[]")</f>
        <v>[]</v>
      </c>
      <c r="X2039" s="6" t="str">
        <f>IFERROR(__xludf.DUMMYFUNCTION("""COMPUTED_VALUE"""),"Enrolled")</f>
        <v>Enrolled</v>
      </c>
    </row>
    <row r="2040">
      <c r="A2040" s="6" t="str">
        <f>IFERROR(__xludf.DUMMYFUNCTION("""COMPUTED_VALUE"""),"027-7978")</f>
        <v>027-7978</v>
      </c>
      <c r="B2040" s="6" t="str">
        <f>IFERROR(__xludf.DUMMYFUNCTION("""COMPUTED_VALUE"""),"27")</f>
        <v>27</v>
      </c>
      <c r="C2040" s="6" t="str">
        <f>IFERROR(__xludf.DUMMYFUNCTION("""COMPUTED_VALUE"""),"7978")</f>
        <v>7978</v>
      </c>
      <c r="D2040" s="6" t="str">
        <f>IFERROR(__xludf.DUMMYFUNCTION("""COMPUTED_VALUE"""),"Max")</f>
        <v>Max</v>
      </c>
      <c r="E2040" s="6" t="str">
        <f>IFERROR(__xludf.DUMMYFUNCTION("""COMPUTED_VALUE"""),"")</f>
        <v/>
      </c>
      <c r="F2040" s="6" t="str">
        <f>IFERROR(__xludf.DUMMYFUNCTION("""COMPUTED_VALUE"""),"Brodsky")</f>
        <v>Brodsky</v>
      </c>
      <c r="G2040" s="6" t="str">
        <f>IFERROR(__xludf.DUMMYFUNCTION("""COMPUTED_VALUE"""),"12/07/2013")</f>
        <v>12/07/2013</v>
      </c>
      <c r="H2040" s="6" t="str">
        <f>IFERROR(__xludf.DUMMYFUNCTION("""COMPUTED_VALUE"""),"male")</f>
        <v>male</v>
      </c>
      <c r="I2040" s="6" t="str">
        <f>IFERROR(__xludf.DUMMYFUNCTION("""COMPUTED_VALUE"""),"Middle School")</f>
        <v>Middle School</v>
      </c>
      <c r="J2040" s="6" t="str">
        <f>IFERROR(__xludf.DUMMYFUNCTION("""COMPUTED_VALUE"""),"7")</f>
        <v>7</v>
      </c>
      <c r="K2040" s="6" t="str">
        <f>IFERROR(__xludf.DUMMYFUNCTION("""COMPUTED_VALUE"""),"max.brodsky@alpha.school")</f>
        <v>max.brodsky@alpha.school</v>
      </c>
      <c r="L2040" s="6" t="str">
        <f>IFERROR(__xludf.DUMMYFUNCTION("""COMPUTED_VALUE"""),"Alpha Anywhere Center")</f>
        <v>Alpha Anywhere Center</v>
      </c>
      <c r="M2040" s="6" t="str">
        <f>IFERROR(__xludf.DUMMYFUNCTION("""COMPUTED_VALUE"""),"")</f>
        <v/>
      </c>
      <c r="N2040" s="6" t="str">
        <f>IFERROR(__xludf.DUMMYFUNCTION("""COMPUTED_VALUE"""),"")</f>
        <v/>
      </c>
      <c r="O2040" s="87" t="str">
        <f>IFERROR(__xludf.DUMMYFUNCTION("""COMPUTED_VALUE"""),"https://drive.google.com/drive/folders/10T2cTQHqEJZqE-st6uFKPoI?usp=share_link")</f>
        <v>https://drive.google.com/drive/folders/10T2cTQHqEJZqE-st6uFKPoI?usp=share_link</v>
      </c>
      <c r="P2040" s="6" t="str">
        <f>IFERROR(__xludf.DUMMYFUNCTION("""COMPUTED_VALUE"""),"Max Brodsky")</f>
        <v>Max Brodsky</v>
      </c>
      <c r="Q2040" s="6" t="str">
        <f>IFERROR(__xludf.DUMMYFUNCTION("""COMPUTED_VALUE"""),"MS")</f>
        <v>MS</v>
      </c>
      <c r="R2040" s="6">
        <f>IFERROR(__xludf.DUMMYFUNCTION("""COMPUTED_VALUE"""),0.0)</f>
        <v>0</v>
      </c>
      <c r="S2040" s="6" t="str">
        <f>IFERROR(__xludf.DUMMYFUNCTION("""COMPUTED_VALUE"""),"Emily Lopez")</f>
        <v>Emily Lopez</v>
      </c>
      <c r="T2040" s="6" t="str">
        <f>IFERROR(__xludf.DUMMYFUNCTION("""COMPUTED_VALUE"""),"emily.lopez@alpha.school")</f>
        <v>emily.lopez@alpha.school</v>
      </c>
      <c r="U2040" s="6" t="str">
        <f>IFERROR(__xludf.DUMMYFUNCTION("""COMPUTED_VALUE"""),"7")</f>
        <v>7</v>
      </c>
      <c r="V2040" s="6" t="str">
        <f>IFERROR(__xludf.DUMMYFUNCTION("""COMPUTED_VALUE"""),"")</f>
        <v/>
      </c>
      <c r="W2040" s="6" t="str">
        <f>IFERROR(__xludf.DUMMYFUNCTION("""COMPUTED_VALUE"""),"[]")</f>
        <v>[]</v>
      </c>
      <c r="X2040" s="6" t="str">
        <f>IFERROR(__xludf.DUMMYFUNCTION("""COMPUTED_VALUE"""),"Enrolled")</f>
        <v>Enrolled</v>
      </c>
    </row>
    <row r="2041">
      <c r="A2041" s="6" t="str">
        <f>IFERROR(__xludf.DUMMYFUNCTION("""COMPUTED_VALUE"""),"027-8366")</f>
        <v>027-8366</v>
      </c>
      <c r="B2041" s="6" t="str">
        <f>IFERROR(__xludf.DUMMYFUNCTION("""COMPUTED_VALUE"""),"27")</f>
        <v>27</v>
      </c>
      <c r="C2041" s="6" t="str">
        <f>IFERROR(__xludf.DUMMYFUNCTION("""COMPUTED_VALUE"""),"8366")</f>
        <v>8366</v>
      </c>
      <c r="D2041" s="6" t="str">
        <f>IFERROR(__xludf.DUMMYFUNCTION("""COMPUTED_VALUE"""),"Oliver")</f>
        <v>Oliver</v>
      </c>
      <c r="E2041" s="6" t="str">
        <f>IFERROR(__xludf.DUMMYFUNCTION("""COMPUTED_VALUE"""),"")</f>
        <v/>
      </c>
      <c r="F2041" s="6" t="str">
        <f>IFERROR(__xludf.DUMMYFUNCTION("""COMPUTED_VALUE"""),"McLeod")</f>
        <v>McLeod</v>
      </c>
      <c r="G2041" s="6" t="str">
        <f>IFERROR(__xludf.DUMMYFUNCTION("""COMPUTED_VALUE"""),"08/19/2019")</f>
        <v>08/19/2019</v>
      </c>
      <c r="H2041" s="6" t="str">
        <f>IFERROR(__xludf.DUMMYFUNCTION("""COMPUTED_VALUE"""),"Self Identify")</f>
        <v>Self Identify</v>
      </c>
      <c r="I2041" s="6" t="str">
        <f>IFERROR(__xludf.DUMMYFUNCTION("""COMPUTED_VALUE"""),"Learning Lab")</f>
        <v>Learning Lab</v>
      </c>
      <c r="J2041" s="6" t="str">
        <f>IFERROR(__xludf.DUMMYFUNCTION("""COMPUTED_VALUE"""),"K")</f>
        <v>K</v>
      </c>
      <c r="K2041" s="6" t="str">
        <f>IFERROR(__xludf.DUMMYFUNCTION("""COMPUTED_VALUE"""),"oliver.mcleod@alpha.school")</f>
        <v>oliver.mcleod@alpha.school</v>
      </c>
      <c r="L2041" s="6" t="str">
        <f>IFERROR(__xludf.DUMMYFUNCTION("""COMPUTED_VALUE"""),"Alpha Anywhere Center")</f>
        <v>Alpha Anywhere Center</v>
      </c>
      <c r="M2041" s="6" t="str">
        <f>IFERROR(__xludf.DUMMYFUNCTION("""COMPUTED_VALUE"""),"")</f>
        <v/>
      </c>
      <c r="N2041" s="6" t="str">
        <f>IFERROR(__xludf.DUMMYFUNCTION("""COMPUTED_VALUE"""),"")</f>
        <v/>
      </c>
      <c r="O2041" s="87" t="str">
        <f>IFERROR(__xludf.DUMMYFUNCTION("""COMPUTED_VALUE"""),"https://drive.google.com/drive/folders/10T2cTQHqEJZqE-st6uFKPoI?usp=share_link")</f>
        <v>https://drive.google.com/drive/folders/10T2cTQHqEJZqE-st6uFKPoI?usp=share_link</v>
      </c>
      <c r="P2041" s="6" t="str">
        <f>IFERROR(__xludf.DUMMYFUNCTION("""COMPUTED_VALUE"""),"Oliver McLeod")</f>
        <v>Oliver McLeod</v>
      </c>
      <c r="Q2041" s="6" t="str">
        <f>IFERROR(__xludf.DUMMYFUNCTION("""COMPUTED_VALUE"""),"LL")</f>
        <v>LL</v>
      </c>
      <c r="R2041" s="6">
        <f>IFERROR(__xludf.DUMMYFUNCTION("""COMPUTED_VALUE"""),0.0)</f>
        <v>0</v>
      </c>
      <c r="S2041" s="6" t="str">
        <f>IFERROR(__xludf.DUMMYFUNCTION("""COMPUTED_VALUE""")," ")</f>
        <v> </v>
      </c>
      <c r="T2041" s="6" t="str">
        <f>IFERROR(__xludf.DUMMYFUNCTION("""COMPUTED_VALUE"""),"")</f>
        <v/>
      </c>
      <c r="U2041" s="6" t="str">
        <f>IFERROR(__xludf.DUMMYFUNCTION("""COMPUTED_VALUE"""),"K")</f>
        <v>K</v>
      </c>
      <c r="V2041" s="6" t="str">
        <f>IFERROR(__xludf.DUMMYFUNCTION("""COMPUTED_VALUE"""),"")</f>
        <v/>
      </c>
      <c r="W2041" s="6" t="str">
        <f>IFERROR(__xludf.DUMMYFUNCTION("""COMPUTED_VALUE"""),"[]")</f>
        <v>[]</v>
      </c>
      <c r="X2041" s="6" t="str">
        <f>IFERROR(__xludf.DUMMYFUNCTION("""COMPUTED_VALUE"""),"Enrolled")</f>
        <v>Enrolled</v>
      </c>
    </row>
    <row r="2042">
      <c r="A2042" s="6" t="str">
        <f>IFERROR(__xludf.DUMMYFUNCTION("""COMPUTED_VALUE"""),"027-8657")</f>
        <v>027-8657</v>
      </c>
      <c r="B2042" s="6" t="str">
        <f>IFERROR(__xludf.DUMMYFUNCTION("""COMPUTED_VALUE"""),"27")</f>
        <v>27</v>
      </c>
      <c r="C2042" s="6" t="str">
        <f>IFERROR(__xludf.DUMMYFUNCTION("""COMPUTED_VALUE"""),"8657")</f>
        <v>8657</v>
      </c>
      <c r="D2042" s="6" t="str">
        <f>IFERROR(__xludf.DUMMYFUNCTION("""COMPUTED_VALUE"""),"Harvey")</f>
        <v>Harvey</v>
      </c>
      <c r="E2042" s="6" t="str">
        <f>IFERROR(__xludf.DUMMYFUNCTION("""COMPUTED_VALUE"""),"")</f>
        <v/>
      </c>
      <c r="F2042" s="6" t="str">
        <f>IFERROR(__xludf.DUMMYFUNCTION("""COMPUTED_VALUE"""),"Caulin")</f>
        <v>Caulin</v>
      </c>
      <c r="G2042" s="6" t="str">
        <f>IFERROR(__xludf.DUMMYFUNCTION("""COMPUTED_VALUE"""),"08/25/2018")</f>
        <v>08/25/2018</v>
      </c>
      <c r="H2042" s="6" t="str">
        <f>IFERROR(__xludf.DUMMYFUNCTION("""COMPUTED_VALUE"""),"Self Identify")</f>
        <v>Self Identify</v>
      </c>
      <c r="I2042" s="6" t="str">
        <f>IFERROR(__xludf.DUMMYFUNCTION("""COMPUTED_VALUE"""),"Level 1")</f>
        <v>Level 1</v>
      </c>
      <c r="J2042" s="6" t="str">
        <f>IFERROR(__xludf.DUMMYFUNCTION("""COMPUTED_VALUE"""),"2")</f>
        <v>2</v>
      </c>
      <c r="K2042" s="6" t="str">
        <f>IFERROR(__xludf.DUMMYFUNCTION("""COMPUTED_VALUE"""),"harvey.caulin@alpha.school")</f>
        <v>harvey.caulin@alpha.school</v>
      </c>
      <c r="L2042" s="6" t="str">
        <f>IFERROR(__xludf.DUMMYFUNCTION("""COMPUTED_VALUE"""),"Alpha Anywhere Center")</f>
        <v>Alpha Anywhere Center</v>
      </c>
      <c r="M2042" s="6" t="str">
        <f>IFERROR(__xludf.DUMMYFUNCTION("""COMPUTED_VALUE"""),"")</f>
        <v/>
      </c>
      <c r="N2042" s="6" t="str">
        <f>IFERROR(__xludf.DUMMYFUNCTION("""COMPUTED_VALUE"""),"")</f>
        <v/>
      </c>
      <c r="O2042" s="87" t="str">
        <f>IFERROR(__xludf.DUMMYFUNCTION("""COMPUTED_VALUE"""),"https://drive.google.com/drive/folders/10T2cTQHqEJZqE-st6uFKPoI?usp=share_link")</f>
        <v>https://drive.google.com/drive/folders/10T2cTQHqEJZqE-st6uFKPoI?usp=share_link</v>
      </c>
      <c r="P2042" s="6" t="str">
        <f>IFERROR(__xludf.DUMMYFUNCTION("""COMPUTED_VALUE"""),"Harvey Caulin")</f>
        <v>Harvey Caulin</v>
      </c>
      <c r="Q2042" s="6" t="str">
        <f>IFERROR(__xludf.DUMMYFUNCTION("""COMPUTED_VALUE"""),"L1")</f>
        <v>L1</v>
      </c>
      <c r="R2042" s="6">
        <f>IFERROR(__xludf.DUMMYFUNCTION("""COMPUTED_VALUE"""),1.0)</f>
        <v>1</v>
      </c>
      <c r="S2042" s="6" t="str">
        <f>IFERROR(__xludf.DUMMYFUNCTION("""COMPUTED_VALUE""")," ")</f>
        <v> </v>
      </c>
      <c r="T2042" s="6" t="str">
        <f>IFERROR(__xludf.DUMMYFUNCTION("""COMPUTED_VALUE"""),"")</f>
        <v/>
      </c>
      <c r="U2042" s="6" t="str">
        <f>IFERROR(__xludf.DUMMYFUNCTION("""COMPUTED_VALUE"""),"2")</f>
        <v>2</v>
      </c>
      <c r="V2042" s="6" t="str">
        <f>IFERROR(__xludf.DUMMYFUNCTION("""COMPUTED_VALUE"""),"")</f>
        <v/>
      </c>
      <c r="W2042" s="6" t="str">
        <f>IFERROR(__xludf.DUMMYFUNCTION("""COMPUTED_VALUE"""),"[]")</f>
        <v>[]</v>
      </c>
      <c r="X2042" s="6" t="str">
        <f>IFERROR(__xludf.DUMMYFUNCTION("""COMPUTED_VALUE"""),"Enrolled")</f>
        <v>Enrolled</v>
      </c>
    </row>
    <row r="2043">
      <c r="A2043" s="6" t="str">
        <f>IFERROR(__xludf.DUMMYFUNCTION("""COMPUTED_VALUE"""),"027-8982")</f>
        <v>027-8982</v>
      </c>
      <c r="B2043" s="6" t="str">
        <f>IFERROR(__xludf.DUMMYFUNCTION("""COMPUTED_VALUE"""),"27")</f>
        <v>27</v>
      </c>
      <c r="C2043" s="6" t="str">
        <f>IFERROR(__xludf.DUMMYFUNCTION("""COMPUTED_VALUE"""),"8982")</f>
        <v>8982</v>
      </c>
      <c r="D2043" s="6" t="str">
        <f>IFERROR(__xludf.DUMMYFUNCTION("""COMPUTED_VALUE"""),"Hunter")</f>
        <v>Hunter</v>
      </c>
      <c r="E2043" s="6" t="str">
        <f>IFERROR(__xludf.DUMMYFUNCTION("""COMPUTED_VALUE"""),"")</f>
        <v/>
      </c>
      <c r="F2043" s="6" t="str">
        <f>IFERROR(__xludf.DUMMYFUNCTION("""COMPUTED_VALUE"""),"Taback")</f>
        <v>Taback</v>
      </c>
      <c r="G2043" s="6" t="str">
        <f>IFERROR(__xludf.DUMMYFUNCTION("""COMPUTED_VALUE"""),"02/11/2016")</f>
        <v>02/11/2016</v>
      </c>
      <c r="H2043" s="6" t="str">
        <f>IFERROR(__xludf.DUMMYFUNCTION("""COMPUTED_VALUE"""),"Self Identify")</f>
        <v>Self Identify</v>
      </c>
      <c r="I2043" s="6" t="str">
        <f>IFERROR(__xludf.DUMMYFUNCTION("""COMPUTED_VALUE"""),"Level 2")</f>
        <v>Level 2</v>
      </c>
      <c r="J2043" s="6" t="str">
        <f>IFERROR(__xludf.DUMMYFUNCTION("""COMPUTED_VALUE"""),"4")</f>
        <v>4</v>
      </c>
      <c r="K2043" s="6" t="str">
        <f>IFERROR(__xludf.DUMMYFUNCTION("""COMPUTED_VALUE"""),"hunter.taback@alpha.school")</f>
        <v>hunter.taback@alpha.school</v>
      </c>
      <c r="L2043" s="6" t="str">
        <f>IFERROR(__xludf.DUMMYFUNCTION("""COMPUTED_VALUE"""),"Alpha Anywhere Center")</f>
        <v>Alpha Anywhere Center</v>
      </c>
      <c r="M2043" s="6" t="str">
        <f>IFERROR(__xludf.DUMMYFUNCTION("""COMPUTED_VALUE"""),"")</f>
        <v/>
      </c>
      <c r="N2043" s="6" t="str">
        <f>IFERROR(__xludf.DUMMYFUNCTION("""COMPUTED_VALUE"""),"")</f>
        <v/>
      </c>
      <c r="O2043" s="87" t="str">
        <f>IFERROR(__xludf.DUMMYFUNCTION("""COMPUTED_VALUE"""),"https://drive.google.com/drive/folders/10T2cTQHqEJZqE-st6uFKPoI?usp=share_link")</f>
        <v>https://drive.google.com/drive/folders/10T2cTQHqEJZqE-st6uFKPoI?usp=share_link</v>
      </c>
      <c r="P2043" s="6" t="str">
        <f>IFERROR(__xludf.DUMMYFUNCTION("""COMPUTED_VALUE"""),"Hunter Taback")</f>
        <v>Hunter Taback</v>
      </c>
      <c r="Q2043" s="6" t="str">
        <f>IFERROR(__xludf.DUMMYFUNCTION("""COMPUTED_VALUE"""),"L2")</f>
        <v>L2</v>
      </c>
      <c r="R2043" s="6">
        <f>IFERROR(__xludf.DUMMYFUNCTION("""COMPUTED_VALUE"""),2.0)</f>
        <v>2</v>
      </c>
      <c r="S2043" s="6" t="str">
        <f>IFERROR(__xludf.DUMMYFUNCTION("""COMPUTED_VALUE"""),"Liam Stanton")</f>
        <v>Liam Stanton</v>
      </c>
      <c r="T2043" s="6" t="str">
        <f>IFERROR(__xludf.DUMMYFUNCTION("""COMPUTED_VALUE"""),"william.stanton@alpha.school")</f>
        <v>william.stanton@alpha.school</v>
      </c>
      <c r="U2043" s="6" t="str">
        <f>IFERROR(__xludf.DUMMYFUNCTION("""COMPUTED_VALUE"""),"4")</f>
        <v>4</v>
      </c>
      <c r="V2043" s="6" t="str">
        <f>IFERROR(__xludf.DUMMYFUNCTION("""COMPUTED_VALUE"""),"")</f>
        <v/>
      </c>
      <c r="W2043" s="6" t="str">
        <f>IFERROR(__xludf.DUMMYFUNCTION("""COMPUTED_VALUE"""),"[]")</f>
        <v>[]</v>
      </c>
      <c r="X2043" s="6" t="str">
        <f>IFERROR(__xludf.DUMMYFUNCTION("""COMPUTED_VALUE"""),"Enrolled")</f>
        <v>Enrolled</v>
      </c>
    </row>
    <row r="2044">
      <c r="A2044" s="6" t="str">
        <f>IFERROR(__xludf.DUMMYFUNCTION("""COMPUTED_VALUE"""),"028-11266")</f>
        <v>028-11266</v>
      </c>
      <c r="B2044" s="6" t="str">
        <f>IFERROR(__xludf.DUMMYFUNCTION("""COMPUTED_VALUE"""),"28")</f>
        <v>28</v>
      </c>
      <c r="C2044" s="6" t="str">
        <f>IFERROR(__xludf.DUMMYFUNCTION("""COMPUTED_VALUE"""),"11266")</f>
        <v>11266</v>
      </c>
      <c r="D2044" s="6" t="str">
        <f>IFERROR(__xludf.DUMMYFUNCTION("""COMPUTED_VALUE"""),"Kaden")</f>
        <v>Kaden</v>
      </c>
      <c r="E2044" s="6" t="str">
        <f>IFERROR(__xludf.DUMMYFUNCTION("""COMPUTED_VALUE"""),"")</f>
        <v/>
      </c>
      <c r="F2044" s="6" t="str">
        <f>IFERROR(__xludf.DUMMYFUNCTION("""COMPUTED_VALUE"""),"Kane")</f>
        <v>Kane</v>
      </c>
      <c r="G2044" s="6" t="str">
        <f>IFERROR(__xludf.DUMMYFUNCTION("""COMPUTED_VALUE"""),"03/22/2012")</f>
        <v>03/22/2012</v>
      </c>
      <c r="H2044" s="6" t="str">
        <f>IFERROR(__xludf.DUMMYFUNCTION("""COMPUTED_VALUE"""),"male")</f>
        <v>male</v>
      </c>
      <c r="I2044" s="6" t="str">
        <f>IFERROR(__xludf.DUMMYFUNCTION("""COMPUTED_VALUE"""),"Middle School")</f>
        <v>Middle School</v>
      </c>
      <c r="J2044" s="6" t="str">
        <f>IFERROR(__xludf.DUMMYFUNCTION("""COMPUTED_VALUE"""),"8")</f>
        <v>8</v>
      </c>
      <c r="K2044" s="6" t="str">
        <f>IFERROR(__xludf.DUMMYFUNCTION("""COMPUTED_VALUE"""),"kaden.kane@alpha.school")</f>
        <v>kaden.kane@alpha.school</v>
      </c>
      <c r="L2044" s="6" t="str">
        <f>IFERROR(__xludf.DUMMYFUNCTION("""COMPUTED_VALUE"""),"Alpha School Fort Worth")</f>
        <v>Alpha School Fort Worth</v>
      </c>
      <c r="M2044" s="6" t="str">
        <f>IFERROR(__xludf.DUMMYFUNCTION("""COMPUTED_VALUE"""),"")</f>
        <v/>
      </c>
      <c r="N2044" s="6" t="str">
        <f>IFERROR(__xludf.DUMMYFUNCTION("""COMPUTED_VALUE"""),"")</f>
        <v/>
      </c>
      <c r="O2044" s="87" t="str">
        <f>IFERROR(__xludf.DUMMYFUNCTION("""COMPUTED_VALUE"""),"https://drive.google.com/drive/folders/10T2cTQHqEJZqE-st6uFKPoI?usp=share_link")</f>
        <v>https://drive.google.com/drive/folders/10T2cTQHqEJZqE-st6uFKPoI?usp=share_link</v>
      </c>
      <c r="P2044" s="6" t="str">
        <f>IFERROR(__xludf.DUMMYFUNCTION("""COMPUTED_VALUE"""),"Kaden Kane")</f>
        <v>Kaden Kane</v>
      </c>
      <c r="Q2044" s="6" t="str">
        <f>IFERROR(__xludf.DUMMYFUNCTION("""COMPUTED_VALUE"""),"MS")</f>
        <v>MS</v>
      </c>
      <c r="R2044" s="6">
        <f>IFERROR(__xludf.DUMMYFUNCTION("""COMPUTED_VALUE"""),0.0)</f>
        <v>0</v>
      </c>
      <c r="S2044" s="6" t="str">
        <f>IFERROR(__xludf.DUMMYFUNCTION("""COMPUTED_VALUE""")," ")</f>
        <v> </v>
      </c>
      <c r="T2044" s="6" t="str">
        <f>IFERROR(__xludf.DUMMYFUNCTION("""COMPUTED_VALUE"""),"")</f>
        <v/>
      </c>
      <c r="U2044" s="6" t="str">
        <f>IFERROR(__xludf.DUMMYFUNCTION("""COMPUTED_VALUE"""),"8")</f>
        <v>8</v>
      </c>
      <c r="V2044" s="6" t="str">
        <f>IFERROR(__xludf.DUMMYFUNCTION("""COMPUTED_VALUE"""),"")</f>
        <v/>
      </c>
      <c r="W2044" s="6" t="str">
        <f>IFERROR(__xludf.DUMMYFUNCTION("""COMPUTED_VALUE"""),"[]")</f>
        <v>[]</v>
      </c>
      <c r="X2044" s="6" t="str">
        <f>IFERROR(__xludf.DUMMYFUNCTION("""COMPUTED_VALUE"""),"Enrolled")</f>
        <v>Enrolled</v>
      </c>
    </row>
    <row r="2045">
      <c r="A2045" s="6" t="str">
        <f>IFERROR(__xludf.DUMMYFUNCTION("""COMPUTED_VALUE"""),"028-2393")</f>
        <v>028-2393</v>
      </c>
      <c r="B2045" s="6" t="str">
        <f>IFERROR(__xludf.DUMMYFUNCTION("""COMPUTED_VALUE"""),"28")</f>
        <v>28</v>
      </c>
      <c r="C2045" s="6" t="str">
        <f>IFERROR(__xludf.DUMMYFUNCTION("""COMPUTED_VALUE"""),"2393")</f>
        <v>2393</v>
      </c>
      <c r="D2045" s="6" t="str">
        <f>IFERROR(__xludf.DUMMYFUNCTION("""COMPUTED_VALUE"""),"Emma")</f>
        <v>Emma</v>
      </c>
      <c r="E2045" s="6" t="str">
        <f>IFERROR(__xludf.DUMMYFUNCTION("""COMPUTED_VALUE"""),"")</f>
        <v/>
      </c>
      <c r="F2045" s="6" t="str">
        <f>IFERROR(__xludf.DUMMYFUNCTION("""COMPUTED_VALUE"""),"Murphy")</f>
        <v>Murphy</v>
      </c>
      <c r="G2045" s="6" t="str">
        <f>IFERROR(__xludf.DUMMYFUNCTION("""COMPUTED_VALUE"""),"12/30/2013")</f>
        <v>12/30/2013</v>
      </c>
      <c r="H2045" s="6" t="str">
        <f>IFERROR(__xludf.DUMMYFUNCTION("""COMPUTED_VALUE"""),"female")</f>
        <v>female</v>
      </c>
      <c r="I2045" s="6" t="str">
        <f>IFERROR(__xludf.DUMMYFUNCTION("""COMPUTED_VALUE"""),"Middle School")</f>
        <v>Middle School</v>
      </c>
      <c r="J2045" s="6" t="str">
        <f>IFERROR(__xludf.DUMMYFUNCTION("""COMPUTED_VALUE"""),"6")</f>
        <v>6</v>
      </c>
      <c r="K2045" s="6" t="str">
        <f>IFERROR(__xludf.DUMMYFUNCTION("""COMPUTED_VALUE"""),"emma.murphy@alpha.school")</f>
        <v>emma.murphy@alpha.school</v>
      </c>
      <c r="L2045" s="6" t="str">
        <f>IFERROR(__xludf.DUMMYFUNCTION("""COMPUTED_VALUE"""),"Alpha School Fort Worth")</f>
        <v>Alpha School Fort Worth</v>
      </c>
      <c r="M2045" s="6" t="str">
        <f>IFERROR(__xludf.DUMMYFUNCTION("""COMPUTED_VALUE"""),"")</f>
        <v/>
      </c>
      <c r="N2045" s="6" t="str">
        <f>IFERROR(__xludf.DUMMYFUNCTION("""COMPUTED_VALUE"""),"")</f>
        <v/>
      </c>
      <c r="O2045" s="87" t="str">
        <f>IFERROR(__xludf.DUMMYFUNCTION("""COMPUTED_VALUE"""),"https://drive.google.com/drive/folders/10T2cTQHqEJZqE-st6uFKPoI?usp=share_link")</f>
        <v>https://drive.google.com/drive/folders/10T2cTQHqEJZqE-st6uFKPoI?usp=share_link</v>
      </c>
      <c r="P2045" s="6" t="str">
        <f>IFERROR(__xludf.DUMMYFUNCTION("""COMPUTED_VALUE"""),"Emma Murphy")</f>
        <v>Emma Murphy</v>
      </c>
      <c r="Q2045" s="6" t="str">
        <f>IFERROR(__xludf.DUMMYFUNCTION("""COMPUTED_VALUE"""),"MS")</f>
        <v>MS</v>
      </c>
      <c r="R2045" s="6">
        <f>IFERROR(__xludf.DUMMYFUNCTION("""COMPUTED_VALUE"""),0.0)</f>
        <v>0</v>
      </c>
      <c r="S2045" s="6" t="str">
        <f>IFERROR(__xludf.DUMMYFUNCTION("""COMPUTED_VALUE"""),"Bryce Derry")</f>
        <v>Bryce Derry</v>
      </c>
      <c r="T2045" s="6" t="str">
        <f>IFERROR(__xludf.DUMMYFUNCTION("""COMPUTED_VALUE"""),"bryce.derry@alpha.school")</f>
        <v>bryce.derry@alpha.school</v>
      </c>
      <c r="U2045" s="6" t="str">
        <f>IFERROR(__xludf.DUMMYFUNCTION("""COMPUTED_VALUE"""),"6")</f>
        <v>6</v>
      </c>
      <c r="V2045" s="6" t="str">
        <f>IFERROR(__xludf.DUMMYFUNCTION("""COMPUTED_VALUE"""),"")</f>
        <v/>
      </c>
      <c r="W2045" s="6" t="str">
        <f>IFERROR(__xludf.DUMMYFUNCTION("""COMPUTED_VALUE"""),"[]")</f>
        <v>[]</v>
      </c>
      <c r="X2045" s="6" t="str">
        <f>IFERROR(__xludf.DUMMYFUNCTION("""COMPUTED_VALUE"""),"Enrolled")</f>
        <v>Enrolled</v>
      </c>
    </row>
    <row r="2046">
      <c r="A2046" s="6" t="str">
        <f>IFERROR(__xludf.DUMMYFUNCTION("""COMPUTED_VALUE"""),"028-2731")</f>
        <v>028-2731</v>
      </c>
      <c r="B2046" s="6" t="str">
        <f>IFERROR(__xludf.DUMMYFUNCTION("""COMPUTED_VALUE"""),"28")</f>
        <v>28</v>
      </c>
      <c r="C2046" s="6" t="str">
        <f>IFERROR(__xludf.DUMMYFUNCTION("""COMPUTED_VALUE"""),"2731")</f>
        <v>2731</v>
      </c>
      <c r="D2046" s="6" t="str">
        <f>IFERROR(__xludf.DUMMYFUNCTION("""COMPUTED_VALUE"""),"London")</f>
        <v>London</v>
      </c>
      <c r="E2046" s="6" t="str">
        <f>IFERROR(__xludf.DUMMYFUNCTION("""COMPUTED_VALUE"""),"London")</f>
        <v>London</v>
      </c>
      <c r="F2046" s="6" t="str">
        <f>IFERROR(__xludf.DUMMYFUNCTION("""COMPUTED_VALUE"""),"Plascencia")</f>
        <v>Plascencia</v>
      </c>
      <c r="G2046" s="6" t="str">
        <f>IFERROR(__xludf.DUMMYFUNCTION("""COMPUTED_VALUE"""),"12/03/2019")</f>
        <v>12/03/2019</v>
      </c>
      <c r="H2046" s="6" t="str">
        <f>IFERROR(__xludf.DUMMYFUNCTION("""COMPUTED_VALUE"""),"female")</f>
        <v>female</v>
      </c>
      <c r="I2046" s="6" t="str">
        <f>IFERROR(__xludf.DUMMYFUNCTION("""COMPUTED_VALUE"""),"Learning Lab")</f>
        <v>Learning Lab</v>
      </c>
      <c r="J2046" s="6" t="str">
        <f>IFERROR(__xludf.DUMMYFUNCTION("""COMPUTED_VALUE"""),"K")</f>
        <v>K</v>
      </c>
      <c r="K2046" s="6" t="str">
        <f>IFERROR(__xludf.DUMMYFUNCTION("""COMPUTED_VALUE"""),"london.plascencia@alpha.school")</f>
        <v>london.plascencia@alpha.school</v>
      </c>
      <c r="L2046" s="6" t="str">
        <f>IFERROR(__xludf.DUMMYFUNCTION("""COMPUTED_VALUE"""),"Alpha School Fort Worth")</f>
        <v>Alpha School Fort Worth</v>
      </c>
      <c r="M2046" s="6" t="str">
        <f>IFERROR(__xludf.DUMMYFUNCTION("""COMPUTED_VALUE"""),"")</f>
        <v/>
      </c>
      <c r="N2046" s="6" t="str">
        <f>IFERROR(__xludf.DUMMYFUNCTION("""COMPUTED_VALUE"""),"")</f>
        <v/>
      </c>
      <c r="O2046" s="87" t="str">
        <f>IFERROR(__xludf.DUMMYFUNCTION("""COMPUTED_VALUE"""),"https://drive.google.com/drive/folders/10T2cTQHqEJZqE-st6uFKPoI?usp=share_link")</f>
        <v>https://drive.google.com/drive/folders/10T2cTQHqEJZqE-st6uFKPoI?usp=share_link</v>
      </c>
      <c r="P2046" s="6" t="str">
        <f>IFERROR(__xludf.DUMMYFUNCTION("""COMPUTED_VALUE"""),"London Plascencia")</f>
        <v>London Plascencia</v>
      </c>
      <c r="Q2046" s="6" t="str">
        <f>IFERROR(__xludf.DUMMYFUNCTION("""COMPUTED_VALUE"""),"LL")</f>
        <v>LL</v>
      </c>
      <c r="R2046" s="6">
        <f>IFERROR(__xludf.DUMMYFUNCTION("""COMPUTED_VALUE"""),0.0)</f>
        <v>0</v>
      </c>
      <c r="S2046" s="6" t="str">
        <f>IFERROR(__xludf.DUMMYFUNCTION("""COMPUTED_VALUE"""),"Kimberley Dillard")</f>
        <v>Kimberley Dillard</v>
      </c>
      <c r="T2046" s="6" t="str">
        <f>IFERROR(__xludf.DUMMYFUNCTION("""COMPUTED_VALUE"""),"kimberley.dillard@alpha.school")</f>
        <v>kimberley.dillard@alpha.school</v>
      </c>
      <c r="U2046" s="6" t="str">
        <f>IFERROR(__xludf.DUMMYFUNCTION("""COMPUTED_VALUE"""),"K")</f>
        <v>K</v>
      </c>
      <c r="V2046" s="6" t="str">
        <f>IFERROR(__xludf.DUMMYFUNCTION("""COMPUTED_VALUE"""),"")</f>
        <v/>
      </c>
      <c r="W2046" s="6" t="str">
        <f>IFERROR(__xludf.DUMMYFUNCTION("""COMPUTED_VALUE"""),"[]")</f>
        <v>[]</v>
      </c>
      <c r="X2046" s="6" t="str">
        <f>IFERROR(__xludf.DUMMYFUNCTION("""COMPUTED_VALUE"""),"Enrolled")</f>
        <v>Enrolled</v>
      </c>
    </row>
    <row r="2047">
      <c r="A2047" s="6" t="str">
        <f>IFERROR(__xludf.DUMMYFUNCTION("""COMPUTED_VALUE"""),"028-2776")</f>
        <v>028-2776</v>
      </c>
      <c r="B2047" s="6" t="str">
        <f>IFERROR(__xludf.DUMMYFUNCTION("""COMPUTED_VALUE"""),"28")</f>
        <v>28</v>
      </c>
      <c r="C2047" s="6" t="str">
        <f>IFERROR(__xludf.DUMMYFUNCTION("""COMPUTED_VALUE"""),"2776")</f>
        <v>2776</v>
      </c>
      <c r="D2047" s="6" t="str">
        <f>IFERROR(__xludf.DUMMYFUNCTION("""COMPUTED_VALUE"""),"Emori")</f>
        <v>Emori</v>
      </c>
      <c r="E2047" s="6" t="str">
        <f>IFERROR(__xludf.DUMMYFUNCTION("""COMPUTED_VALUE"""),"")</f>
        <v/>
      </c>
      <c r="F2047" s="6" t="str">
        <f>IFERROR(__xludf.DUMMYFUNCTION("""COMPUTED_VALUE"""),"McDaniel")</f>
        <v>McDaniel</v>
      </c>
      <c r="G2047" s="6" t="str">
        <f>IFERROR(__xludf.DUMMYFUNCTION("""COMPUTED_VALUE"""),"04/05/2015")</f>
        <v>04/05/2015</v>
      </c>
      <c r="H2047" s="6" t="str">
        <f>IFERROR(__xludf.DUMMYFUNCTION("""COMPUTED_VALUE"""),"female")</f>
        <v>female</v>
      </c>
      <c r="I2047" s="6" t="str">
        <f>IFERROR(__xludf.DUMMYFUNCTION("""COMPUTED_VALUE"""),"Level 2")</f>
        <v>Level 2</v>
      </c>
      <c r="J2047" s="6" t="str">
        <f>IFERROR(__xludf.DUMMYFUNCTION("""COMPUTED_VALUE"""),"4")</f>
        <v>4</v>
      </c>
      <c r="K2047" s="6" t="str">
        <f>IFERROR(__xludf.DUMMYFUNCTION("""COMPUTED_VALUE"""),"emori.mcdaniel@2hourlearning.com")</f>
        <v>emori.mcdaniel@2hourlearning.com</v>
      </c>
      <c r="L2047" s="6" t="str">
        <f>IFERROR(__xludf.DUMMYFUNCTION("""COMPUTED_VALUE"""),"Alpha School Fort Worth")</f>
        <v>Alpha School Fort Worth</v>
      </c>
      <c r="M2047" s="6" t="str">
        <f>IFERROR(__xludf.DUMMYFUNCTION("""COMPUTED_VALUE"""),"")</f>
        <v/>
      </c>
      <c r="N2047" s="6" t="str">
        <f>IFERROR(__xludf.DUMMYFUNCTION("""COMPUTED_VALUE"""),"")</f>
        <v/>
      </c>
      <c r="O2047" s="87" t="str">
        <f>IFERROR(__xludf.DUMMYFUNCTION("""COMPUTED_VALUE"""),"https://drive.google.com/drive/folders/10T2cTQHqEJZqE-st6uFKPoI?usp=share_link")</f>
        <v>https://drive.google.com/drive/folders/10T2cTQHqEJZqE-st6uFKPoI?usp=share_link</v>
      </c>
      <c r="P2047" s="6" t="str">
        <f>IFERROR(__xludf.DUMMYFUNCTION("""COMPUTED_VALUE"""),"Emori McDaniel")</f>
        <v>Emori McDaniel</v>
      </c>
      <c r="Q2047" s="6" t="str">
        <f>IFERROR(__xludf.DUMMYFUNCTION("""COMPUTED_VALUE"""),"L2")</f>
        <v>L2</v>
      </c>
      <c r="R2047" s="6">
        <f>IFERROR(__xludf.DUMMYFUNCTION("""COMPUTED_VALUE"""),2.0)</f>
        <v>2</v>
      </c>
      <c r="S2047" s="6" t="str">
        <f>IFERROR(__xludf.DUMMYFUNCTION("""COMPUTED_VALUE"""),"Bryce Derry")</f>
        <v>Bryce Derry</v>
      </c>
      <c r="T2047" s="6" t="str">
        <f>IFERROR(__xludf.DUMMYFUNCTION("""COMPUTED_VALUE"""),"bryce.derry@alpha.school")</f>
        <v>bryce.derry@alpha.school</v>
      </c>
      <c r="U2047" s="6" t="str">
        <f>IFERROR(__xludf.DUMMYFUNCTION("""COMPUTED_VALUE"""),"4")</f>
        <v>4</v>
      </c>
      <c r="V2047" s="6" t="str">
        <f>IFERROR(__xludf.DUMMYFUNCTION("""COMPUTED_VALUE"""),"")</f>
        <v/>
      </c>
      <c r="W2047" s="6" t="str">
        <f>IFERROR(__xludf.DUMMYFUNCTION("""COMPUTED_VALUE"""),"[]")</f>
        <v>[]</v>
      </c>
      <c r="X2047" s="6" t="str">
        <f>IFERROR(__xludf.DUMMYFUNCTION("""COMPUTED_VALUE"""),"Enrolled")</f>
        <v>Enrolled</v>
      </c>
    </row>
    <row r="2048">
      <c r="A2048" s="6" t="str">
        <f>IFERROR(__xludf.DUMMYFUNCTION("""COMPUTED_VALUE"""),"028-3382")</f>
        <v>028-3382</v>
      </c>
      <c r="B2048" s="6" t="str">
        <f>IFERROR(__xludf.DUMMYFUNCTION("""COMPUTED_VALUE"""),"28")</f>
        <v>28</v>
      </c>
      <c r="C2048" s="6" t="str">
        <f>IFERROR(__xludf.DUMMYFUNCTION("""COMPUTED_VALUE"""),"3382")</f>
        <v>3382</v>
      </c>
      <c r="D2048" s="6" t="str">
        <f>IFERROR(__xludf.DUMMYFUNCTION("""COMPUTED_VALUE"""),"Reed")</f>
        <v>Reed</v>
      </c>
      <c r="E2048" s="6" t="str">
        <f>IFERROR(__xludf.DUMMYFUNCTION("""COMPUTED_VALUE"""),"Reed")</f>
        <v>Reed</v>
      </c>
      <c r="F2048" s="6" t="str">
        <f>IFERROR(__xludf.DUMMYFUNCTION("""COMPUTED_VALUE"""),"Emerton")</f>
        <v>Emerton</v>
      </c>
      <c r="G2048" s="6" t="str">
        <f>IFERROR(__xludf.DUMMYFUNCTION("""COMPUTED_VALUE"""),"01/16/2020")</f>
        <v>01/16/2020</v>
      </c>
      <c r="H2048" s="6" t="str">
        <f>IFERROR(__xludf.DUMMYFUNCTION("""COMPUTED_VALUE"""),"male")</f>
        <v>male</v>
      </c>
      <c r="I2048" s="6" t="str">
        <f>IFERROR(__xludf.DUMMYFUNCTION("""COMPUTED_VALUE"""),"Learning Lab")</f>
        <v>Learning Lab</v>
      </c>
      <c r="J2048" s="6" t="str">
        <f>IFERROR(__xludf.DUMMYFUNCTION("""COMPUTED_VALUE"""),"K")</f>
        <v>K</v>
      </c>
      <c r="K2048" s="6" t="str">
        <f>IFERROR(__xludf.DUMMYFUNCTION("""COMPUTED_VALUE"""),"reed.emerton@alpha.school")</f>
        <v>reed.emerton@alpha.school</v>
      </c>
      <c r="L2048" s="6" t="str">
        <f>IFERROR(__xludf.DUMMYFUNCTION("""COMPUTED_VALUE"""),"Alpha School Fort Worth")</f>
        <v>Alpha School Fort Worth</v>
      </c>
      <c r="M2048" s="6" t="str">
        <f>IFERROR(__xludf.DUMMYFUNCTION("""COMPUTED_VALUE"""),"")</f>
        <v/>
      </c>
      <c r="N2048" s="6" t="str">
        <f>IFERROR(__xludf.DUMMYFUNCTION("""COMPUTED_VALUE"""),"")</f>
        <v/>
      </c>
      <c r="O2048" s="87" t="str">
        <f>IFERROR(__xludf.DUMMYFUNCTION("""COMPUTED_VALUE"""),"https://drive.google.com/drive/folders/10T2cTQHqEJZqE-st6uFKPoI?usp=share_link")</f>
        <v>https://drive.google.com/drive/folders/10T2cTQHqEJZqE-st6uFKPoI?usp=share_link</v>
      </c>
      <c r="P2048" s="6" t="str">
        <f>IFERROR(__xludf.DUMMYFUNCTION("""COMPUTED_VALUE"""),"Reed Emerton")</f>
        <v>Reed Emerton</v>
      </c>
      <c r="Q2048" s="6" t="str">
        <f>IFERROR(__xludf.DUMMYFUNCTION("""COMPUTED_VALUE"""),"LL")</f>
        <v>LL</v>
      </c>
      <c r="R2048" s="6">
        <f>IFERROR(__xludf.DUMMYFUNCTION("""COMPUTED_VALUE"""),0.0)</f>
        <v>0</v>
      </c>
      <c r="S2048" s="6" t="str">
        <f>IFERROR(__xludf.DUMMYFUNCTION("""COMPUTED_VALUE"""),"Kimberley Dillard")</f>
        <v>Kimberley Dillard</v>
      </c>
      <c r="T2048" s="6" t="str">
        <f>IFERROR(__xludf.DUMMYFUNCTION("""COMPUTED_VALUE"""),"kimberley.dillard@alpha.school")</f>
        <v>kimberley.dillard@alpha.school</v>
      </c>
      <c r="U2048" s="6" t="str">
        <f>IFERROR(__xludf.DUMMYFUNCTION("""COMPUTED_VALUE"""),"K")</f>
        <v>K</v>
      </c>
      <c r="V2048" s="6" t="str">
        <f>IFERROR(__xludf.DUMMYFUNCTION("""COMPUTED_VALUE"""),"")</f>
        <v/>
      </c>
      <c r="W2048" s="6" t="str">
        <f>IFERROR(__xludf.DUMMYFUNCTION("""COMPUTED_VALUE"""),"[]")</f>
        <v>[]</v>
      </c>
      <c r="X2048" s="6" t="str">
        <f>IFERROR(__xludf.DUMMYFUNCTION("""COMPUTED_VALUE"""),"Enrolled")</f>
        <v>Enrolled</v>
      </c>
    </row>
    <row r="2049">
      <c r="A2049" s="6" t="str">
        <f>IFERROR(__xludf.DUMMYFUNCTION("""COMPUTED_VALUE"""),"028-3451")</f>
        <v>028-3451</v>
      </c>
      <c r="B2049" s="6" t="str">
        <f>IFERROR(__xludf.DUMMYFUNCTION("""COMPUTED_VALUE"""),"28")</f>
        <v>28</v>
      </c>
      <c r="C2049" s="6" t="str">
        <f>IFERROR(__xludf.DUMMYFUNCTION("""COMPUTED_VALUE"""),"3451")</f>
        <v>3451</v>
      </c>
      <c r="D2049" s="6" t="str">
        <f>IFERROR(__xludf.DUMMYFUNCTION("""COMPUTED_VALUE"""),"Keaton")</f>
        <v>Keaton</v>
      </c>
      <c r="E2049" s="6" t="str">
        <f>IFERROR(__xludf.DUMMYFUNCTION("""COMPUTED_VALUE"""),"")</f>
        <v/>
      </c>
      <c r="F2049" s="6" t="str">
        <f>IFERROR(__xludf.DUMMYFUNCTION("""COMPUTED_VALUE"""),"Beck")</f>
        <v>Beck</v>
      </c>
      <c r="G2049" s="6" t="str">
        <f>IFERROR(__xludf.DUMMYFUNCTION("""COMPUTED_VALUE"""),"08/19/2017")</f>
        <v>08/19/2017</v>
      </c>
      <c r="H2049" s="6" t="str">
        <f>IFERROR(__xludf.DUMMYFUNCTION("""COMPUTED_VALUE"""),"male")</f>
        <v>male</v>
      </c>
      <c r="I2049" s="6" t="str">
        <f>IFERROR(__xludf.DUMMYFUNCTION("""COMPUTED_VALUE"""),"Level 1")</f>
        <v>Level 1</v>
      </c>
      <c r="J2049" s="6" t="str">
        <f>IFERROR(__xludf.DUMMYFUNCTION("""COMPUTED_VALUE"""),"2")</f>
        <v>2</v>
      </c>
      <c r="K2049" s="6" t="str">
        <f>IFERROR(__xludf.DUMMYFUNCTION("""COMPUTED_VALUE"""),"keaton.beck@alpha.school")</f>
        <v>keaton.beck@alpha.school</v>
      </c>
      <c r="L2049" s="6" t="str">
        <f>IFERROR(__xludf.DUMMYFUNCTION("""COMPUTED_VALUE"""),"Alpha School Fort Worth")</f>
        <v>Alpha School Fort Worth</v>
      </c>
      <c r="M2049" s="6" t="str">
        <f>IFERROR(__xludf.DUMMYFUNCTION("""COMPUTED_VALUE"""),"")</f>
        <v/>
      </c>
      <c r="N2049" s="6" t="str">
        <f>IFERROR(__xludf.DUMMYFUNCTION("""COMPUTED_VALUE"""),"")</f>
        <v/>
      </c>
      <c r="O2049" s="87" t="str">
        <f>IFERROR(__xludf.DUMMYFUNCTION("""COMPUTED_VALUE"""),"https://drive.google.com/drive/folders/10T2cTQHqEJZqE-st6uFKPoI?usp=share_link")</f>
        <v>https://drive.google.com/drive/folders/10T2cTQHqEJZqE-st6uFKPoI?usp=share_link</v>
      </c>
      <c r="P2049" s="6" t="str">
        <f>IFERROR(__xludf.DUMMYFUNCTION("""COMPUTED_VALUE"""),"Keaton Beck")</f>
        <v>Keaton Beck</v>
      </c>
      <c r="Q2049" s="6" t="str">
        <f>IFERROR(__xludf.DUMMYFUNCTION("""COMPUTED_VALUE"""),"L1")</f>
        <v>L1</v>
      </c>
      <c r="R2049" s="6">
        <f>IFERROR(__xludf.DUMMYFUNCTION("""COMPUTED_VALUE"""),1.0)</f>
        <v>1</v>
      </c>
      <c r="S2049" s="6" t="str">
        <f>IFERROR(__xludf.DUMMYFUNCTION("""COMPUTED_VALUE"""),"Jessica Staggs")</f>
        <v>Jessica Staggs</v>
      </c>
      <c r="T2049" s="6" t="str">
        <f>IFERROR(__xludf.DUMMYFUNCTION("""COMPUTED_VALUE"""),"jessica.staggs@alpha.school")</f>
        <v>jessica.staggs@alpha.school</v>
      </c>
      <c r="U2049" s="6" t="str">
        <f>IFERROR(__xludf.DUMMYFUNCTION("""COMPUTED_VALUE"""),"2")</f>
        <v>2</v>
      </c>
      <c r="V2049" s="6" t="str">
        <f>IFERROR(__xludf.DUMMYFUNCTION("""COMPUTED_VALUE"""),"")</f>
        <v/>
      </c>
      <c r="W2049" s="6" t="str">
        <f>IFERROR(__xludf.DUMMYFUNCTION("""COMPUTED_VALUE"""),"[]")</f>
        <v>[]</v>
      </c>
      <c r="X2049" s="6" t="str">
        <f>IFERROR(__xludf.DUMMYFUNCTION("""COMPUTED_VALUE"""),"Enrolled")</f>
        <v>Enrolled</v>
      </c>
    </row>
    <row r="2050">
      <c r="A2050" s="6" t="str">
        <f>IFERROR(__xludf.DUMMYFUNCTION("""COMPUTED_VALUE"""),"028-3457")</f>
        <v>028-3457</v>
      </c>
      <c r="B2050" s="6" t="str">
        <f>IFERROR(__xludf.DUMMYFUNCTION("""COMPUTED_VALUE"""),"28")</f>
        <v>28</v>
      </c>
      <c r="C2050" s="6" t="str">
        <f>IFERROR(__xludf.DUMMYFUNCTION("""COMPUTED_VALUE"""),"3457")</f>
        <v>3457</v>
      </c>
      <c r="D2050" s="6" t="str">
        <f>IFERROR(__xludf.DUMMYFUNCTION("""COMPUTED_VALUE"""),"Jacob")</f>
        <v>Jacob</v>
      </c>
      <c r="E2050" s="6" t="str">
        <f>IFERROR(__xludf.DUMMYFUNCTION("""COMPUTED_VALUE"""),"Jacob")</f>
        <v>Jacob</v>
      </c>
      <c r="F2050" s="6" t="str">
        <f>IFERROR(__xludf.DUMMYFUNCTION("""COMPUTED_VALUE"""),"Vandercook")</f>
        <v>Vandercook</v>
      </c>
      <c r="G2050" s="6" t="str">
        <f>IFERROR(__xludf.DUMMYFUNCTION("""COMPUTED_VALUE"""),"07/22/2013")</f>
        <v>07/22/2013</v>
      </c>
      <c r="H2050" s="6" t="str">
        <f>IFERROR(__xludf.DUMMYFUNCTION("""COMPUTED_VALUE"""),"male")</f>
        <v>male</v>
      </c>
      <c r="I2050" s="6" t="str">
        <f>IFERROR(__xludf.DUMMYFUNCTION("""COMPUTED_VALUE"""),"Middle School")</f>
        <v>Middle School</v>
      </c>
      <c r="J2050" s="6" t="str">
        <f>IFERROR(__xludf.DUMMYFUNCTION("""COMPUTED_VALUE"""),"7")</f>
        <v>7</v>
      </c>
      <c r="K2050" s="6" t="str">
        <f>IFERROR(__xludf.DUMMYFUNCTION("""COMPUTED_VALUE"""),"jacob.vandercook@alpha.school")</f>
        <v>jacob.vandercook@alpha.school</v>
      </c>
      <c r="L2050" s="6" t="str">
        <f>IFERROR(__xludf.DUMMYFUNCTION("""COMPUTED_VALUE"""),"Alpha School Fort Worth")</f>
        <v>Alpha School Fort Worth</v>
      </c>
      <c r="M2050" s="6" t="str">
        <f>IFERROR(__xludf.DUMMYFUNCTION("""COMPUTED_VALUE"""),"")</f>
        <v/>
      </c>
      <c r="N2050" s="6" t="str">
        <f>IFERROR(__xludf.DUMMYFUNCTION("""COMPUTED_VALUE"""),"")</f>
        <v/>
      </c>
      <c r="O2050" s="87" t="str">
        <f>IFERROR(__xludf.DUMMYFUNCTION("""COMPUTED_VALUE"""),"https://drive.google.com/drive/folders/10T2cTQHqEJZqE-st6uFKPoI?usp=share_link")</f>
        <v>https://drive.google.com/drive/folders/10T2cTQHqEJZqE-st6uFKPoI?usp=share_link</v>
      </c>
      <c r="P2050" s="6" t="str">
        <f>IFERROR(__xludf.DUMMYFUNCTION("""COMPUTED_VALUE"""),"Jacob Vandercook")</f>
        <v>Jacob Vandercook</v>
      </c>
      <c r="Q2050" s="6" t="str">
        <f>IFERROR(__xludf.DUMMYFUNCTION("""COMPUTED_VALUE"""),"MS")</f>
        <v>MS</v>
      </c>
      <c r="R2050" s="6">
        <f>IFERROR(__xludf.DUMMYFUNCTION("""COMPUTED_VALUE"""),0.0)</f>
        <v>0</v>
      </c>
      <c r="S2050" s="6" t="str">
        <f>IFERROR(__xludf.DUMMYFUNCTION("""COMPUTED_VALUE"""),"Bryce Derry")</f>
        <v>Bryce Derry</v>
      </c>
      <c r="T2050" s="6" t="str">
        <f>IFERROR(__xludf.DUMMYFUNCTION("""COMPUTED_VALUE"""),"bryce.derry@alpha.school")</f>
        <v>bryce.derry@alpha.school</v>
      </c>
      <c r="U2050" s="6" t="str">
        <f>IFERROR(__xludf.DUMMYFUNCTION("""COMPUTED_VALUE"""),"7")</f>
        <v>7</v>
      </c>
      <c r="V2050" s="6" t="str">
        <f>IFERROR(__xludf.DUMMYFUNCTION("""COMPUTED_VALUE"""),"English")</f>
        <v>English</v>
      </c>
      <c r="W2050" s="6" t="str">
        <f>IFERROR(__xludf.DUMMYFUNCTION("""COMPUTED_VALUE"""),"[]")</f>
        <v>[]</v>
      </c>
      <c r="X2050" s="6" t="str">
        <f>IFERROR(__xludf.DUMMYFUNCTION("""COMPUTED_VALUE"""),"Enrolled")</f>
        <v>Enrolled</v>
      </c>
    </row>
    <row r="2051">
      <c r="A2051" s="6" t="str">
        <f>IFERROR(__xludf.DUMMYFUNCTION("""COMPUTED_VALUE"""),"028-3485")</f>
        <v>028-3485</v>
      </c>
      <c r="B2051" s="6" t="str">
        <f>IFERROR(__xludf.DUMMYFUNCTION("""COMPUTED_VALUE"""),"28")</f>
        <v>28</v>
      </c>
      <c r="C2051" s="6" t="str">
        <f>IFERROR(__xludf.DUMMYFUNCTION("""COMPUTED_VALUE"""),"3485")</f>
        <v>3485</v>
      </c>
      <c r="D2051" s="6" t="str">
        <f>IFERROR(__xludf.DUMMYFUNCTION("""COMPUTED_VALUE"""),"Ava")</f>
        <v>Ava</v>
      </c>
      <c r="E2051" s="6" t="str">
        <f>IFERROR(__xludf.DUMMYFUNCTION("""COMPUTED_VALUE"""),"Blair")</f>
        <v>Blair</v>
      </c>
      <c r="F2051" s="6" t="str">
        <f>IFERROR(__xludf.DUMMYFUNCTION("""COMPUTED_VALUE"""),"Obrecht")</f>
        <v>Obrecht</v>
      </c>
      <c r="G2051" s="6" t="str">
        <f>IFERROR(__xludf.DUMMYFUNCTION("""COMPUTED_VALUE"""),"03/05/2015")</f>
        <v>03/05/2015</v>
      </c>
      <c r="H2051" s="6" t="str">
        <f>IFERROR(__xludf.DUMMYFUNCTION("""COMPUTED_VALUE"""),"female")</f>
        <v>female</v>
      </c>
      <c r="I2051" s="6" t="str">
        <f>IFERROR(__xludf.DUMMYFUNCTION("""COMPUTED_VALUE"""),"Level 2")</f>
        <v>Level 2</v>
      </c>
      <c r="J2051" s="6" t="str">
        <f>IFERROR(__xludf.DUMMYFUNCTION("""COMPUTED_VALUE"""),"5")</f>
        <v>5</v>
      </c>
      <c r="K2051" s="6" t="str">
        <f>IFERROR(__xludf.DUMMYFUNCTION("""COMPUTED_VALUE"""),"blair.obrecht@alpha.school")</f>
        <v>blair.obrecht@alpha.school</v>
      </c>
      <c r="L2051" s="6" t="str">
        <f>IFERROR(__xludf.DUMMYFUNCTION("""COMPUTED_VALUE"""),"Alpha School Fort Worth")</f>
        <v>Alpha School Fort Worth</v>
      </c>
      <c r="M2051" s="6" t="str">
        <f>IFERROR(__xludf.DUMMYFUNCTION("""COMPUTED_VALUE"""),"")</f>
        <v/>
      </c>
      <c r="N2051" s="6" t="str">
        <f>IFERROR(__xludf.DUMMYFUNCTION("""COMPUTED_VALUE"""),"")</f>
        <v/>
      </c>
      <c r="O2051" s="87" t="str">
        <f>IFERROR(__xludf.DUMMYFUNCTION("""COMPUTED_VALUE"""),"https://drive.google.com/drive/folders/10T2cTQHqEJZqE-st6uFKPoI?usp=share_link")</f>
        <v>https://drive.google.com/drive/folders/10T2cTQHqEJZqE-st6uFKPoI?usp=share_link</v>
      </c>
      <c r="P2051" s="6" t="str">
        <f>IFERROR(__xludf.DUMMYFUNCTION("""COMPUTED_VALUE"""),"Blair Obrecht")</f>
        <v>Blair Obrecht</v>
      </c>
      <c r="Q2051" s="6" t="str">
        <f>IFERROR(__xludf.DUMMYFUNCTION("""COMPUTED_VALUE"""),"L2")</f>
        <v>L2</v>
      </c>
      <c r="R2051" s="6">
        <f>IFERROR(__xludf.DUMMYFUNCTION("""COMPUTED_VALUE"""),2.0)</f>
        <v>2</v>
      </c>
      <c r="S2051" s="6" t="str">
        <f>IFERROR(__xludf.DUMMYFUNCTION("""COMPUTED_VALUE"""),"Bryce Derry")</f>
        <v>Bryce Derry</v>
      </c>
      <c r="T2051" s="6" t="str">
        <f>IFERROR(__xludf.DUMMYFUNCTION("""COMPUTED_VALUE"""),"bryce.derry@alpha.school")</f>
        <v>bryce.derry@alpha.school</v>
      </c>
      <c r="U2051" s="6" t="str">
        <f>IFERROR(__xludf.DUMMYFUNCTION("""COMPUTED_VALUE"""),"5")</f>
        <v>5</v>
      </c>
      <c r="V2051" s="6" t="str">
        <f>IFERROR(__xludf.DUMMYFUNCTION("""COMPUTED_VALUE"""),"")</f>
        <v/>
      </c>
      <c r="W2051" s="6" t="str">
        <f>IFERROR(__xludf.DUMMYFUNCTION("""COMPUTED_VALUE"""),"[]")</f>
        <v>[]</v>
      </c>
      <c r="X2051" s="6" t="str">
        <f>IFERROR(__xludf.DUMMYFUNCTION("""COMPUTED_VALUE"""),"Enrolled")</f>
        <v>Enrolled</v>
      </c>
    </row>
    <row r="2052">
      <c r="A2052" s="6" t="str">
        <f>IFERROR(__xludf.DUMMYFUNCTION("""COMPUTED_VALUE"""),"028-3486")</f>
        <v>028-3486</v>
      </c>
      <c r="B2052" s="6" t="str">
        <f>IFERROR(__xludf.DUMMYFUNCTION("""COMPUTED_VALUE"""),"28")</f>
        <v>28</v>
      </c>
      <c r="C2052" s="6" t="str">
        <f>IFERROR(__xludf.DUMMYFUNCTION("""COMPUTED_VALUE"""),"3486")</f>
        <v>3486</v>
      </c>
      <c r="D2052" s="6" t="str">
        <f>IFERROR(__xludf.DUMMYFUNCTION("""COMPUTED_VALUE"""),"Theodora")</f>
        <v>Theodora</v>
      </c>
      <c r="E2052" s="6" t="str">
        <f>IFERROR(__xludf.DUMMYFUNCTION("""COMPUTED_VALUE"""),"Teddy")</f>
        <v>Teddy</v>
      </c>
      <c r="F2052" s="6" t="str">
        <f>IFERROR(__xludf.DUMMYFUNCTION("""COMPUTED_VALUE"""),"Obrecht")</f>
        <v>Obrecht</v>
      </c>
      <c r="G2052" s="6" t="str">
        <f>IFERROR(__xludf.DUMMYFUNCTION("""COMPUTED_VALUE"""),"01/17/2019")</f>
        <v>01/17/2019</v>
      </c>
      <c r="H2052" s="6" t="str">
        <f>IFERROR(__xludf.DUMMYFUNCTION("""COMPUTED_VALUE"""),"female")</f>
        <v>female</v>
      </c>
      <c r="I2052" s="6" t="str">
        <f>IFERROR(__xludf.DUMMYFUNCTION("""COMPUTED_VALUE"""),"Learning Lab")</f>
        <v>Learning Lab</v>
      </c>
      <c r="J2052" s="6" t="str">
        <f>IFERROR(__xludf.DUMMYFUNCTION("""COMPUTED_VALUE"""),"1")</f>
        <v>1</v>
      </c>
      <c r="K2052" s="6" t="str">
        <f>IFERROR(__xludf.DUMMYFUNCTION("""COMPUTED_VALUE"""),"theodora.obrecht@alpha.school")</f>
        <v>theodora.obrecht@alpha.school</v>
      </c>
      <c r="L2052" s="6" t="str">
        <f>IFERROR(__xludf.DUMMYFUNCTION("""COMPUTED_VALUE"""),"Alpha School Fort Worth")</f>
        <v>Alpha School Fort Worth</v>
      </c>
      <c r="M2052" s="6" t="str">
        <f>IFERROR(__xludf.DUMMYFUNCTION("""COMPUTED_VALUE"""),"")</f>
        <v/>
      </c>
      <c r="N2052" s="6" t="str">
        <f>IFERROR(__xludf.DUMMYFUNCTION("""COMPUTED_VALUE"""),"")</f>
        <v/>
      </c>
      <c r="O2052" s="87" t="str">
        <f>IFERROR(__xludf.DUMMYFUNCTION("""COMPUTED_VALUE"""),"https://drive.google.com/drive/folders/10T2cTQHqEJZqE-st6uFKPoI?usp=share_link")</f>
        <v>https://drive.google.com/drive/folders/10T2cTQHqEJZqE-st6uFKPoI?usp=share_link</v>
      </c>
      <c r="P2052" s="6" t="str">
        <f>IFERROR(__xludf.DUMMYFUNCTION("""COMPUTED_VALUE"""),"Teddy Obrecht")</f>
        <v>Teddy Obrecht</v>
      </c>
      <c r="Q2052" s="6" t="str">
        <f>IFERROR(__xludf.DUMMYFUNCTION("""COMPUTED_VALUE"""),"LL")</f>
        <v>LL</v>
      </c>
      <c r="R2052" s="6">
        <f>IFERROR(__xludf.DUMMYFUNCTION("""COMPUTED_VALUE"""),0.0)</f>
        <v>0</v>
      </c>
      <c r="S2052" s="6" t="str">
        <f>IFERROR(__xludf.DUMMYFUNCTION("""COMPUTED_VALUE"""),"Jessica Staggs")</f>
        <v>Jessica Staggs</v>
      </c>
      <c r="T2052" s="6" t="str">
        <f>IFERROR(__xludf.DUMMYFUNCTION("""COMPUTED_VALUE"""),"jessica.staggs@alpha.school")</f>
        <v>jessica.staggs@alpha.school</v>
      </c>
      <c r="U2052" s="6" t="str">
        <f>IFERROR(__xludf.DUMMYFUNCTION("""COMPUTED_VALUE"""),"1")</f>
        <v>1</v>
      </c>
      <c r="V2052" s="6" t="str">
        <f>IFERROR(__xludf.DUMMYFUNCTION("""COMPUTED_VALUE"""),"")</f>
        <v/>
      </c>
      <c r="W2052" s="6" t="str">
        <f>IFERROR(__xludf.DUMMYFUNCTION("""COMPUTED_VALUE"""),"[]")</f>
        <v>[]</v>
      </c>
      <c r="X2052" s="6" t="str">
        <f>IFERROR(__xludf.DUMMYFUNCTION("""COMPUTED_VALUE"""),"Enrolled")</f>
        <v>Enrolled</v>
      </c>
    </row>
    <row r="2053">
      <c r="A2053" s="6" t="str">
        <f>IFERROR(__xludf.DUMMYFUNCTION("""COMPUTED_VALUE"""),"028-3489")</f>
        <v>028-3489</v>
      </c>
      <c r="B2053" s="6" t="str">
        <f>IFERROR(__xludf.DUMMYFUNCTION("""COMPUTED_VALUE"""),"28")</f>
        <v>28</v>
      </c>
      <c r="C2053" s="6" t="str">
        <f>IFERROR(__xludf.DUMMYFUNCTION("""COMPUTED_VALUE"""),"3489")</f>
        <v>3489</v>
      </c>
      <c r="D2053" s="6" t="str">
        <f>IFERROR(__xludf.DUMMYFUNCTION("""COMPUTED_VALUE"""),"Evanna")</f>
        <v>Evanna</v>
      </c>
      <c r="E2053" s="6" t="str">
        <f>IFERROR(__xludf.DUMMYFUNCTION("""COMPUTED_VALUE"""),"Evanna")</f>
        <v>Evanna</v>
      </c>
      <c r="F2053" s="6" t="str">
        <f>IFERROR(__xludf.DUMMYFUNCTION("""COMPUTED_VALUE"""),"McDaniel")</f>
        <v>McDaniel</v>
      </c>
      <c r="G2053" s="6" t="str">
        <f>IFERROR(__xludf.DUMMYFUNCTION("""COMPUTED_VALUE"""),"07/27/2018")</f>
        <v>07/27/2018</v>
      </c>
      <c r="H2053" s="6" t="str">
        <f>IFERROR(__xludf.DUMMYFUNCTION("""COMPUTED_VALUE"""),"female")</f>
        <v>female</v>
      </c>
      <c r="I2053" s="6" t="str">
        <f>IFERROR(__xludf.DUMMYFUNCTION("""COMPUTED_VALUE"""),"Learning Lab")</f>
        <v>Learning Lab</v>
      </c>
      <c r="J2053" s="6" t="str">
        <f>IFERROR(__xludf.DUMMYFUNCTION("""COMPUTED_VALUE"""),"K")</f>
        <v>K</v>
      </c>
      <c r="K2053" s="6" t="str">
        <f>IFERROR(__xludf.DUMMYFUNCTION("""COMPUTED_VALUE"""),"evanna.mcdaniel@alpha.school")</f>
        <v>evanna.mcdaniel@alpha.school</v>
      </c>
      <c r="L2053" s="6" t="str">
        <f>IFERROR(__xludf.DUMMYFUNCTION("""COMPUTED_VALUE"""),"Alpha School Fort Worth")</f>
        <v>Alpha School Fort Worth</v>
      </c>
      <c r="M2053" s="6" t="str">
        <f>IFERROR(__xludf.DUMMYFUNCTION("""COMPUTED_VALUE"""),"")</f>
        <v/>
      </c>
      <c r="N2053" s="6" t="str">
        <f>IFERROR(__xludf.DUMMYFUNCTION("""COMPUTED_VALUE"""),"")</f>
        <v/>
      </c>
      <c r="O2053" s="87" t="str">
        <f>IFERROR(__xludf.DUMMYFUNCTION("""COMPUTED_VALUE"""),"https://drive.google.com/drive/folders/10T2cTQHqEJZqE-st6uFKPoI?usp=share_link")</f>
        <v>https://drive.google.com/drive/folders/10T2cTQHqEJZqE-st6uFKPoI?usp=share_link</v>
      </c>
      <c r="P2053" s="6" t="str">
        <f>IFERROR(__xludf.DUMMYFUNCTION("""COMPUTED_VALUE"""),"Evanna McDaniel")</f>
        <v>Evanna McDaniel</v>
      </c>
      <c r="Q2053" s="6" t="str">
        <f>IFERROR(__xludf.DUMMYFUNCTION("""COMPUTED_VALUE"""),"LL")</f>
        <v>LL</v>
      </c>
      <c r="R2053" s="6">
        <f>IFERROR(__xludf.DUMMYFUNCTION("""COMPUTED_VALUE"""),0.0)</f>
        <v>0</v>
      </c>
      <c r="S2053" s="6" t="str">
        <f>IFERROR(__xludf.DUMMYFUNCTION("""COMPUTED_VALUE"""),"Jessica Staggs")</f>
        <v>Jessica Staggs</v>
      </c>
      <c r="T2053" s="6" t="str">
        <f>IFERROR(__xludf.DUMMYFUNCTION("""COMPUTED_VALUE"""),"jessica.staggs@alpha.school")</f>
        <v>jessica.staggs@alpha.school</v>
      </c>
      <c r="U2053" s="6" t="str">
        <f>IFERROR(__xludf.DUMMYFUNCTION("""COMPUTED_VALUE"""),"K")</f>
        <v>K</v>
      </c>
      <c r="V2053" s="6" t="str">
        <f>IFERROR(__xludf.DUMMYFUNCTION("""COMPUTED_VALUE"""),"")</f>
        <v/>
      </c>
      <c r="W2053" s="6" t="str">
        <f>IFERROR(__xludf.DUMMYFUNCTION("""COMPUTED_VALUE"""),"[]")</f>
        <v>[]</v>
      </c>
      <c r="X2053" s="6" t="str">
        <f>IFERROR(__xludf.DUMMYFUNCTION("""COMPUTED_VALUE"""),"Enrolled")</f>
        <v>Enrolled</v>
      </c>
    </row>
    <row r="2054">
      <c r="A2054" s="6" t="str">
        <f>IFERROR(__xludf.DUMMYFUNCTION("""COMPUTED_VALUE"""),"028-5539")</f>
        <v>028-5539</v>
      </c>
      <c r="B2054" s="6" t="str">
        <f>IFERROR(__xludf.DUMMYFUNCTION("""COMPUTED_VALUE"""),"28")</f>
        <v>28</v>
      </c>
      <c r="C2054" s="6" t="str">
        <f>IFERROR(__xludf.DUMMYFUNCTION("""COMPUTED_VALUE"""),"5539")</f>
        <v>5539</v>
      </c>
      <c r="D2054" s="6" t="str">
        <f>IFERROR(__xludf.DUMMYFUNCTION("""COMPUTED_VALUE"""),"Payton")</f>
        <v>Payton</v>
      </c>
      <c r="E2054" s="6" t="str">
        <f>IFERROR(__xludf.DUMMYFUNCTION("""COMPUTED_VALUE"""),"Payton")</f>
        <v>Payton</v>
      </c>
      <c r="F2054" s="6" t="str">
        <f>IFERROR(__xludf.DUMMYFUNCTION("""COMPUTED_VALUE"""),"Kroll")</f>
        <v>Kroll</v>
      </c>
      <c r="G2054" s="6" t="str">
        <f>IFERROR(__xludf.DUMMYFUNCTION("""COMPUTED_VALUE"""),"10/12/2020")</f>
        <v>10/12/2020</v>
      </c>
      <c r="H2054" s="6" t="str">
        <f>IFERROR(__xludf.DUMMYFUNCTION("""COMPUTED_VALUE"""),"female")</f>
        <v>female</v>
      </c>
      <c r="I2054" s="6" t="str">
        <f>IFERROR(__xludf.DUMMYFUNCTION("""COMPUTED_VALUE"""),"Wonder Lab")</f>
        <v>Wonder Lab</v>
      </c>
      <c r="J2054" s="6" t="str">
        <f>IFERROR(__xludf.DUMMYFUNCTION("""COMPUTED_VALUE"""),"PK")</f>
        <v>PK</v>
      </c>
      <c r="K2054" s="6" t="str">
        <f>IFERROR(__xludf.DUMMYFUNCTION("""COMPUTED_VALUE"""),"payton.kroll@alpha.school")</f>
        <v>payton.kroll@alpha.school</v>
      </c>
      <c r="L2054" s="6" t="str">
        <f>IFERROR(__xludf.DUMMYFUNCTION("""COMPUTED_VALUE"""),"Alpha School Fort Worth")</f>
        <v>Alpha School Fort Worth</v>
      </c>
      <c r="M2054" s="6" t="str">
        <f>IFERROR(__xludf.DUMMYFUNCTION("""COMPUTED_VALUE"""),"")</f>
        <v/>
      </c>
      <c r="N2054" s="6" t="str">
        <f>IFERROR(__xludf.DUMMYFUNCTION("""COMPUTED_VALUE"""),"")</f>
        <v/>
      </c>
      <c r="O2054" s="87" t="str">
        <f>IFERROR(__xludf.DUMMYFUNCTION("""COMPUTED_VALUE"""),"https://drive.google.com/drive/folders/10T2cTQHqEJZqE-st6uFKPoI?usp=share_link")</f>
        <v>https://drive.google.com/drive/folders/10T2cTQHqEJZqE-st6uFKPoI?usp=share_link</v>
      </c>
      <c r="P2054" s="6" t="str">
        <f>IFERROR(__xludf.DUMMYFUNCTION("""COMPUTED_VALUE"""),"Payton Kroll")</f>
        <v>Payton Kroll</v>
      </c>
      <c r="Q2054" s="6" t="str">
        <f>IFERROR(__xludf.DUMMYFUNCTION("""COMPUTED_VALUE"""),"WL")</f>
        <v>WL</v>
      </c>
      <c r="R2054" s="6">
        <f>IFERROR(__xludf.DUMMYFUNCTION("""COMPUTED_VALUE"""),-1.0)</f>
        <v>-1</v>
      </c>
      <c r="S2054" s="6" t="str">
        <f>IFERROR(__xludf.DUMMYFUNCTION("""COMPUTED_VALUE""")," ")</f>
        <v> </v>
      </c>
      <c r="T2054" s="6" t="str">
        <f>IFERROR(__xludf.DUMMYFUNCTION("""COMPUTED_VALUE"""),"")</f>
        <v/>
      </c>
      <c r="U2054" s="6" t="str">
        <f>IFERROR(__xludf.DUMMYFUNCTION("""COMPUTED_VALUE"""),"PK")</f>
        <v>PK</v>
      </c>
      <c r="V2054" s="6" t="str">
        <f>IFERROR(__xludf.DUMMYFUNCTION("""COMPUTED_VALUE"""),"")</f>
        <v/>
      </c>
      <c r="W2054" s="6" t="str">
        <f>IFERROR(__xludf.DUMMYFUNCTION("""COMPUTED_VALUE"""),"[]")</f>
        <v>[]</v>
      </c>
      <c r="X2054" s="6" t="str">
        <f>IFERROR(__xludf.DUMMYFUNCTION("""COMPUTED_VALUE"""),"Enrolled")</f>
        <v>Enrolled</v>
      </c>
    </row>
    <row r="2055">
      <c r="A2055" s="6" t="str">
        <f>IFERROR(__xludf.DUMMYFUNCTION("""COMPUTED_VALUE"""),"029-2233")</f>
        <v>029-2233</v>
      </c>
      <c r="B2055" s="6" t="str">
        <f>IFERROR(__xludf.DUMMYFUNCTION("""COMPUTED_VALUE"""),"29")</f>
        <v>29</v>
      </c>
      <c r="C2055" s="6" t="str">
        <f>IFERROR(__xludf.DUMMYFUNCTION("""COMPUTED_VALUE"""),"2233")</f>
        <v>2233</v>
      </c>
      <c r="D2055" s="6" t="str">
        <f>IFERROR(__xludf.DUMMYFUNCTION("""COMPUTED_VALUE"""),"Jace")</f>
        <v>Jace</v>
      </c>
      <c r="E2055" s="6" t="str">
        <f>IFERROR(__xludf.DUMMYFUNCTION("""COMPUTED_VALUE"""),"Jace")</f>
        <v>Jace</v>
      </c>
      <c r="F2055" s="6" t="str">
        <f>IFERROR(__xludf.DUMMYFUNCTION("""COMPUTED_VALUE"""),"Joslyn")</f>
        <v>Joslyn</v>
      </c>
      <c r="G2055" s="6" t="str">
        <f>IFERROR(__xludf.DUMMYFUNCTION("""COMPUTED_VALUE"""),"11/05/2019")</f>
        <v>11/05/2019</v>
      </c>
      <c r="H2055" s="6" t="str">
        <f>IFERROR(__xludf.DUMMYFUNCTION("""COMPUTED_VALUE"""),"male")</f>
        <v>male</v>
      </c>
      <c r="I2055" s="6" t="str">
        <f>IFERROR(__xludf.DUMMYFUNCTION("""COMPUTED_VALUE"""),"Learning Lab")</f>
        <v>Learning Lab</v>
      </c>
      <c r="J2055" s="6" t="str">
        <f>IFERROR(__xludf.DUMMYFUNCTION("""COMPUTED_VALUE"""),"K")</f>
        <v>K</v>
      </c>
      <c r="K2055" s="6" t="str">
        <f>IFERROR(__xludf.DUMMYFUNCTION("""COMPUTED_VALUE"""),"jace.joslyn@novaacademy.school")</f>
        <v>jace.joslyn@novaacademy.school</v>
      </c>
      <c r="L2055" s="6" t="str">
        <f>IFERROR(__xludf.DUMMYFUNCTION("""COMPUTED_VALUE"""),"Nova Academy Bastrop")</f>
        <v>Nova Academy Bastrop</v>
      </c>
      <c r="M2055" s="6" t="str">
        <f>IFERROR(__xludf.DUMMYFUNCTION("""COMPUTED_VALUE"""),"")</f>
        <v/>
      </c>
      <c r="N2055" s="6" t="str">
        <f>IFERROR(__xludf.DUMMYFUNCTION("""COMPUTED_VALUE"""),"")</f>
        <v/>
      </c>
      <c r="O2055" s="87" t="str">
        <f>IFERROR(__xludf.DUMMYFUNCTION("""COMPUTED_VALUE"""),"https://drive.google.com/drive/folders/10T2cTQHqEJZqE-st6uFKPoI?usp=share_link")</f>
        <v>https://drive.google.com/drive/folders/10T2cTQHqEJZqE-st6uFKPoI?usp=share_link</v>
      </c>
      <c r="P2055" s="6" t="str">
        <f>IFERROR(__xludf.DUMMYFUNCTION("""COMPUTED_VALUE"""),"Jace Joslyn")</f>
        <v>Jace Joslyn</v>
      </c>
      <c r="Q2055" s="6" t="str">
        <f>IFERROR(__xludf.DUMMYFUNCTION("""COMPUTED_VALUE"""),"LL")</f>
        <v>LL</v>
      </c>
      <c r="R2055" s="6">
        <f>IFERROR(__xludf.DUMMYFUNCTION("""COMPUTED_VALUE"""),0.0)</f>
        <v>0</v>
      </c>
      <c r="S2055" s="6" t="str">
        <f>IFERROR(__xludf.DUMMYFUNCTION("""COMPUTED_VALUE"""),"Jessica Criss")</f>
        <v>Jessica Criss</v>
      </c>
      <c r="T2055" s="6" t="str">
        <f>IFERROR(__xludf.DUMMYFUNCTION("""COMPUTED_VALUE"""),"jessica.criss@alpha.school")</f>
        <v>jessica.criss@alpha.school</v>
      </c>
      <c r="U2055" s="6" t="str">
        <f>IFERROR(__xludf.DUMMYFUNCTION("""COMPUTED_VALUE"""),"K")</f>
        <v>K</v>
      </c>
      <c r="V2055" s="6" t="str">
        <f>IFERROR(__xludf.DUMMYFUNCTION("""COMPUTED_VALUE"""),"")</f>
        <v/>
      </c>
      <c r="W2055" s="6" t="str">
        <f>IFERROR(__xludf.DUMMYFUNCTION("""COMPUTED_VALUE"""),"[]")</f>
        <v>[]</v>
      </c>
      <c r="X2055" s="6" t="str">
        <f>IFERROR(__xludf.DUMMYFUNCTION("""COMPUTED_VALUE"""),"Enrolled")</f>
        <v>Enrolled</v>
      </c>
    </row>
    <row r="2056">
      <c r="A2056" s="6" t="str">
        <f>IFERROR(__xludf.DUMMYFUNCTION("""COMPUTED_VALUE"""),"029-2234")</f>
        <v>029-2234</v>
      </c>
      <c r="B2056" s="6" t="str">
        <f>IFERROR(__xludf.DUMMYFUNCTION("""COMPUTED_VALUE"""),"29")</f>
        <v>29</v>
      </c>
      <c r="C2056" s="6" t="str">
        <f>IFERROR(__xludf.DUMMYFUNCTION("""COMPUTED_VALUE"""),"2234")</f>
        <v>2234</v>
      </c>
      <c r="D2056" s="6" t="str">
        <f>IFERROR(__xludf.DUMMYFUNCTION("""COMPUTED_VALUE"""),"Analea")</f>
        <v>Analea</v>
      </c>
      <c r="E2056" s="6" t="str">
        <f>IFERROR(__xludf.DUMMYFUNCTION("""COMPUTED_VALUE"""),"Analea")</f>
        <v>Analea</v>
      </c>
      <c r="F2056" s="6" t="str">
        <f>IFERROR(__xludf.DUMMYFUNCTION("""COMPUTED_VALUE"""),"Lopez")</f>
        <v>Lopez</v>
      </c>
      <c r="G2056" s="6" t="str">
        <f>IFERROR(__xludf.DUMMYFUNCTION("""COMPUTED_VALUE"""),"12/13/2017")</f>
        <v>12/13/2017</v>
      </c>
      <c r="H2056" s="6" t="str">
        <f>IFERROR(__xludf.DUMMYFUNCTION("""COMPUTED_VALUE"""),"female")</f>
        <v>female</v>
      </c>
      <c r="I2056" s="6" t="str">
        <f>IFERROR(__xludf.DUMMYFUNCTION("""COMPUTED_VALUE"""),"Level 1")</f>
        <v>Level 1</v>
      </c>
      <c r="J2056" s="6" t="str">
        <f>IFERROR(__xludf.DUMMYFUNCTION("""COMPUTED_VALUE"""),"2")</f>
        <v>2</v>
      </c>
      <c r="K2056" s="6" t="str">
        <f>IFERROR(__xludf.DUMMYFUNCTION("""COMPUTED_VALUE"""),"analea.lopez@novaacademy.school")</f>
        <v>analea.lopez@novaacademy.school</v>
      </c>
      <c r="L2056" s="6" t="str">
        <f>IFERROR(__xludf.DUMMYFUNCTION("""COMPUTED_VALUE"""),"Nova Academy Bastrop")</f>
        <v>Nova Academy Bastrop</v>
      </c>
      <c r="M2056" s="6" t="str">
        <f>IFERROR(__xludf.DUMMYFUNCTION("""COMPUTED_VALUE"""),"")</f>
        <v/>
      </c>
      <c r="N2056" s="6" t="str">
        <f>IFERROR(__xludf.DUMMYFUNCTION("""COMPUTED_VALUE"""),"")</f>
        <v/>
      </c>
      <c r="O2056" s="87" t="str">
        <f>IFERROR(__xludf.DUMMYFUNCTION("""COMPUTED_VALUE"""),"https://drive.google.com/drive/folders/10T2cTQHqEJZqE-st6uFKPoI?usp=share_link")</f>
        <v>https://drive.google.com/drive/folders/10T2cTQHqEJZqE-st6uFKPoI?usp=share_link</v>
      </c>
      <c r="P2056" s="6" t="str">
        <f>IFERROR(__xludf.DUMMYFUNCTION("""COMPUTED_VALUE"""),"Analea Lopez")</f>
        <v>Analea Lopez</v>
      </c>
      <c r="Q2056" s="6" t="str">
        <f>IFERROR(__xludf.DUMMYFUNCTION("""COMPUTED_VALUE"""),"L1")</f>
        <v>L1</v>
      </c>
      <c r="R2056" s="6">
        <f>IFERROR(__xludf.DUMMYFUNCTION("""COMPUTED_VALUE"""),1.0)</f>
        <v>1</v>
      </c>
      <c r="S2056" s="6" t="str">
        <f>IFERROR(__xludf.DUMMYFUNCTION("""COMPUTED_VALUE"""),"Jessica Criss")</f>
        <v>Jessica Criss</v>
      </c>
      <c r="T2056" s="6" t="str">
        <f>IFERROR(__xludf.DUMMYFUNCTION("""COMPUTED_VALUE"""),"jessica.criss@alpha.school")</f>
        <v>jessica.criss@alpha.school</v>
      </c>
      <c r="U2056" s="6" t="str">
        <f>IFERROR(__xludf.DUMMYFUNCTION("""COMPUTED_VALUE"""),"2")</f>
        <v>2</v>
      </c>
      <c r="V2056" s="6" t="str">
        <f>IFERROR(__xludf.DUMMYFUNCTION("""COMPUTED_VALUE"""),"")</f>
        <v/>
      </c>
      <c r="W2056" s="6" t="str">
        <f>IFERROR(__xludf.DUMMYFUNCTION("""COMPUTED_VALUE"""),"[]")</f>
        <v>[]</v>
      </c>
      <c r="X2056" s="6" t="str">
        <f>IFERROR(__xludf.DUMMYFUNCTION("""COMPUTED_VALUE"""),"Enrolled")</f>
        <v>Enrolled</v>
      </c>
    </row>
    <row r="2057">
      <c r="A2057" s="6" t="str">
        <f>IFERROR(__xludf.DUMMYFUNCTION("""COMPUTED_VALUE"""),"029-2235")</f>
        <v>029-2235</v>
      </c>
      <c r="B2057" s="6" t="str">
        <f>IFERROR(__xludf.DUMMYFUNCTION("""COMPUTED_VALUE"""),"29")</f>
        <v>29</v>
      </c>
      <c r="C2057" s="6" t="str">
        <f>IFERROR(__xludf.DUMMYFUNCTION("""COMPUTED_VALUE"""),"2235")</f>
        <v>2235</v>
      </c>
      <c r="D2057" s="6" t="str">
        <f>IFERROR(__xludf.DUMMYFUNCTION("""COMPUTED_VALUE"""),"Octavia")</f>
        <v>Octavia</v>
      </c>
      <c r="E2057" s="6" t="str">
        <f>IFERROR(__xludf.DUMMYFUNCTION("""COMPUTED_VALUE"""),"")</f>
        <v/>
      </c>
      <c r="F2057" s="6" t="str">
        <f>IFERROR(__xludf.DUMMYFUNCTION("""COMPUTED_VALUE"""),"Gieskes")</f>
        <v>Gieskes</v>
      </c>
      <c r="G2057" s="6" t="str">
        <f>IFERROR(__xludf.DUMMYFUNCTION("""COMPUTED_VALUE"""),"04/15/2019")</f>
        <v>04/15/2019</v>
      </c>
      <c r="H2057" s="6" t="str">
        <f>IFERROR(__xludf.DUMMYFUNCTION("""COMPUTED_VALUE"""),"female")</f>
        <v>female</v>
      </c>
      <c r="I2057" s="6" t="str">
        <f>IFERROR(__xludf.DUMMYFUNCTION("""COMPUTED_VALUE"""),"Learning Lab")</f>
        <v>Learning Lab</v>
      </c>
      <c r="J2057" s="6" t="str">
        <f>IFERROR(__xludf.DUMMYFUNCTION("""COMPUTED_VALUE"""),"1")</f>
        <v>1</v>
      </c>
      <c r="K2057" s="6" t="str">
        <f>IFERROR(__xludf.DUMMYFUNCTION("""COMPUTED_VALUE"""),"octavia.gieskes@novaacademy.school")</f>
        <v>octavia.gieskes@novaacademy.school</v>
      </c>
      <c r="L2057" s="6" t="str">
        <f>IFERROR(__xludf.DUMMYFUNCTION("""COMPUTED_VALUE"""),"Nova Academy Bastrop")</f>
        <v>Nova Academy Bastrop</v>
      </c>
      <c r="M2057" s="6" t="str">
        <f>IFERROR(__xludf.DUMMYFUNCTION("""COMPUTED_VALUE"""),"")</f>
        <v/>
      </c>
      <c r="N2057" s="6" t="str">
        <f>IFERROR(__xludf.DUMMYFUNCTION("""COMPUTED_VALUE"""),"")</f>
        <v/>
      </c>
      <c r="O2057" s="87" t="str">
        <f>IFERROR(__xludf.DUMMYFUNCTION("""COMPUTED_VALUE"""),"https://drive.google.com/drive/folders/10T2cTQHqEJZqE-st6uFKPoI?usp=share_link")</f>
        <v>https://drive.google.com/drive/folders/10T2cTQHqEJZqE-st6uFKPoI?usp=share_link</v>
      </c>
      <c r="P2057" s="6" t="str">
        <f>IFERROR(__xludf.DUMMYFUNCTION("""COMPUTED_VALUE"""),"Octavia Gieskes")</f>
        <v>Octavia Gieskes</v>
      </c>
      <c r="Q2057" s="6" t="str">
        <f>IFERROR(__xludf.DUMMYFUNCTION("""COMPUTED_VALUE"""),"LL")</f>
        <v>LL</v>
      </c>
      <c r="R2057" s="6">
        <f>IFERROR(__xludf.DUMMYFUNCTION("""COMPUTED_VALUE"""),0.0)</f>
        <v>0</v>
      </c>
      <c r="S2057" s="6" t="str">
        <f>IFERROR(__xludf.DUMMYFUNCTION("""COMPUTED_VALUE"""),"Jessica Criss")</f>
        <v>Jessica Criss</v>
      </c>
      <c r="T2057" s="6" t="str">
        <f>IFERROR(__xludf.DUMMYFUNCTION("""COMPUTED_VALUE"""),"jessica.criss@alpha.school")</f>
        <v>jessica.criss@alpha.school</v>
      </c>
      <c r="U2057" s="6" t="str">
        <f>IFERROR(__xludf.DUMMYFUNCTION("""COMPUTED_VALUE"""),"1")</f>
        <v>1</v>
      </c>
      <c r="V2057" s="6" t="str">
        <f>IFERROR(__xludf.DUMMYFUNCTION("""COMPUTED_VALUE"""),"")</f>
        <v/>
      </c>
      <c r="W2057" s="6" t="str">
        <f>IFERROR(__xludf.DUMMYFUNCTION("""COMPUTED_VALUE"""),"[]")</f>
        <v>[]</v>
      </c>
      <c r="X2057" s="6" t="str">
        <f>IFERROR(__xludf.DUMMYFUNCTION("""COMPUTED_VALUE"""),"Enrolled")</f>
        <v>Enrolled</v>
      </c>
    </row>
    <row r="2058">
      <c r="A2058" s="6" t="str">
        <f>IFERROR(__xludf.DUMMYFUNCTION("""COMPUTED_VALUE"""),"029-2236")</f>
        <v>029-2236</v>
      </c>
      <c r="B2058" s="6" t="str">
        <f>IFERROR(__xludf.DUMMYFUNCTION("""COMPUTED_VALUE"""),"29")</f>
        <v>29</v>
      </c>
      <c r="C2058" s="6" t="str">
        <f>IFERROR(__xludf.DUMMYFUNCTION("""COMPUTED_VALUE"""),"2236")</f>
        <v>2236</v>
      </c>
      <c r="D2058" s="6" t="str">
        <f>IFERROR(__xludf.DUMMYFUNCTION("""COMPUTED_VALUE"""),"Atticus")</f>
        <v>Atticus</v>
      </c>
      <c r="E2058" s="6" t="str">
        <f>IFERROR(__xludf.DUMMYFUNCTION("""COMPUTED_VALUE"""),"")</f>
        <v/>
      </c>
      <c r="F2058" s="6" t="str">
        <f>IFERROR(__xludf.DUMMYFUNCTION("""COMPUTED_VALUE"""),"Gieskes")</f>
        <v>Gieskes</v>
      </c>
      <c r="G2058" s="6" t="str">
        <f>IFERROR(__xludf.DUMMYFUNCTION("""COMPUTED_VALUE"""),"07/20/2015")</f>
        <v>07/20/2015</v>
      </c>
      <c r="H2058" s="6" t="str">
        <f>IFERROR(__xludf.DUMMYFUNCTION("""COMPUTED_VALUE"""),"male")</f>
        <v>male</v>
      </c>
      <c r="I2058" s="6" t="str">
        <f>IFERROR(__xludf.DUMMYFUNCTION("""COMPUTED_VALUE"""),"Level 2")</f>
        <v>Level 2</v>
      </c>
      <c r="J2058" s="6" t="str">
        <f>IFERROR(__xludf.DUMMYFUNCTION("""COMPUTED_VALUE"""),"5")</f>
        <v>5</v>
      </c>
      <c r="K2058" s="6" t="str">
        <f>IFERROR(__xludf.DUMMYFUNCTION("""COMPUTED_VALUE"""),"atticus.gieskes@novaacademy.school")</f>
        <v>atticus.gieskes@novaacademy.school</v>
      </c>
      <c r="L2058" s="6" t="str">
        <f>IFERROR(__xludf.DUMMYFUNCTION("""COMPUTED_VALUE"""),"Nova Academy Bastrop")</f>
        <v>Nova Academy Bastrop</v>
      </c>
      <c r="M2058" s="6" t="str">
        <f>IFERROR(__xludf.DUMMYFUNCTION("""COMPUTED_VALUE"""),"")</f>
        <v/>
      </c>
      <c r="N2058" s="6" t="str">
        <f>IFERROR(__xludf.DUMMYFUNCTION("""COMPUTED_VALUE"""),"")</f>
        <v/>
      </c>
      <c r="O2058" s="87" t="str">
        <f>IFERROR(__xludf.DUMMYFUNCTION("""COMPUTED_VALUE"""),"https://drive.google.com/drive/folders/10T2cTQHqEJZqE-st6uFKPoI?usp=share_link")</f>
        <v>https://drive.google.com/drive/folders/10T2cTQHqEJZqE-st6uFKPoI?usp=share_link</v>
      </c>
      <c r="P2058" s="6" t="str">
        <f>IFERROR(__xludf.DUMMYFUNCTION("""COMPUTED_VALUE"""),"Atticus Gieskes")</f>
        <v>Atticus Gieskes</v>
      </c>
      <c r="Q2058" s="6" t="str">
        <f>IFERROR(__xludf.DUMMYFUNCTION("""COMPUTED_VALUE"""),"L2")</f>
        <v>L2</v>
      </c>
      <c r="R2058" s="6">
        <f>IFERROR(__xludf.DUMMYFUNCTION("""COMPUTED_VALUE"""),2.0)</f>
        <v>2</v>
      </c>
      <c r="S2058" s="6" t="str">
        <f>IFERROR(__xludf.DUMMYFUNCTION("""COMPUTED_VALUE"""),"Stephanie Gasch")</f>
        <v>Stephanie Gasch</v>
      </c>
      <c r="T2058" s="6" t="str">
        <f>IFERROR(__xludf.DUMMYFUNCTION("""COMPUTED_VALUE"""),"stephanie.gasch@alpha.school")</f>
        <v>stephanie.gasch@alpha.school</v>
      </c>
      <c r="U2058" s="6" t="str">
        <f>IFERROR(__xludf.DUMMYFUNCTION("""COMPUTED_VALUE"""),"5")</f>
        <v>5</v>
      </c>
      <c r="V2058" s="6" t="str">
        <f>IFERROR(__xludf.DUMMYFUNCTION("""COMPUTED_VALUE"""),"")</f>
        <v/>
      </c>
      <c r="W2058" s="6" t="str">
        <f>IFERROR(__xludf.DUMMYFUNCTION("""COMPUTED_VALUE"""),"[]")</f>
        <v>[]</v>
      </c>
      <c r="X2058" s="6" t="str">
        <f>IFERROR(__xludf.DUMMYFUNCTION("""COMPUTED_VALUE"""),"Enrolled")</f>
        <v>Enrolled</v>
      </c>
    </row>
    <row r="2059">
      <c r="A2059" s="6" t="str">
        <f>IFERROR(__xludf.DUMMYFUNCTION("""COMPUTED_VALUE"""),"029-2238")</f>
        <v>029-2238</v>
      </c>
      <c r="B2059" s="6" t="str">
        <f>IFERROR(__xludf.DUMMYFUNCTION("""COMPUTED_VALUE"""),"29")</f>
        <v>29</v>
      </c>
      <c r="C2059" s="6" t="str">
        <f>IFERROR(__xludf.DUMMYFUNCTION("""COMPUTED_VALUE"""),"2238")</f>
        <v>2238</v>
      </c>
      <c r="D2059" s="6" t="str">
        <f>IFERROR(__xludf.DUMMYFUNCTION("""COMPUTED_VALUE"""),"Joan")</f>
        <v>Joan</v>
      </c>
      <c r="E2059" s="6" t="str">
        <f>IFERROR(__xludf.DUMMYFUNCTION("""COMPUTED_VALUE"""),"")</f>
        <v/>
      </c>
      <c r="F2059" s="6" t="str">
        <f>IFERROR(__xludf.DUMMYFUNCTION("""COMPUTED_VALUE"""),"Olson")</f>
        <v>Olson</v>
      </c>
      <c r="G2059" s="6" t="str">
        <f>IFERROR(__xludf.DUMMYFUNCTION("""COMPUTED_VALUE"""),"06/15/2013")</f>
        <v>06/15/2013</v>
      </c>
      <c r="H2059" s="6" t="str">
        <f>IFERROR(__xludf.DUMMYFUNCTION("""COMPUTED_VALUE"""),"female")</f>
        <v>female</v>
      </c>
      <c r="I2059" s="6" t="str">
        <f>IFERROR(__xludf.DUMMYFUNCTION("""COMPUTED_VALUE"""),"Middle School")</f>
        <v>Middle School</v>
      </c>
      <c r="J2059" s="6" t="str">
        <f>IFERROR(__xludf.DUMMYFUNCTION("""COMPUTED_VALUE"""),"6")</f>
        <v>6</v>
      </c>
      <c r="K2059" s="6" t="str">
        <f>IFERROR(__xludf.DUMMYFUNCTION("""COMPUTED_VALUE"""),"joan.olson@novaacademy.school")</f>
        <v>joan.olson@novaacademy.school</v>
      </c>
      <c r="L2059" s="6" t="str">
        <f>IFERROR(__xludf.DUMMYFUNCTION("""COMPUTED_VALUE"""),"Nova Academy Bastrop")</f>
        <v>Nova Academy Bastrop</v>
      </c>
      <c r="M2059" s="6" t="str">
        <f>IFERROR(__xludf.DUMMYFUNCTION("""COMPUTED_VALUE"""),"")</f>
        <v/>
      </c>
      <c r="N2059" s="6" t="str">
        <f>IFERROR(__xludf.DUMMYFUNCTION("""COMPUTED_VALUE"""),"")</f>
        <v/>
      </c>
      <c r="O2059" s="87" t="str">
        <f>IFERROR(__xludf.DUMMYFUNCTION("""COMPUTED_VALUE"""),"https://drive.google.com/drive/folders/10T2cTQHqEJZqE-st6uFKPoI?usp=share_link")</f>
        <v>https://drive.google.com/drive/folders/10T2cTQHqEJZqE-st6uFKPoI?usp=share_link</v>
      </c>
      <c r="P2059" s="6" t="str">
        <f>IFERROR(__xludf.DUMMYFUNCTION("""COMPUTED_VALUE"""),"Joan Olson")</f>
        <v>Joan Olson</v>
      </c>
      <c r="Q2059" s="6" t="str">
        <f>IFERROR(__xludf.DUMMYFUNCTION("""COMPUTED_VALUE"""),"MS")</f>
        <v>MS</v>
      </c>
      <c r="R2059" s="6">
        <f>IFERROR(__xludf.DUMMYFUNCTION("""COMPUTED_VALUE"""),0.0)</f>
        <v>0</v>
      </c>
      <c r="S2059" s="6" t="str">
        <f>IFERROR(__xludf.DUMMYFUNCTION("""COMPUTED_VALUE"""),"Ashley Storms")</f>
        <v>Ashley Storms</v>
      </c>
      <c r="T2059" s="6" t="str">
        <f>IFERROR(__xludf.DUMMYFUNCTION("""COMPUTED_VALUE"""),"ashley.storms@alpha.school")</f>
        <v>ashley.storms@alpha.school</v>
      </c>
      <c r="U2059" s="6" t="str">
        <f>IFERROR(__xludf.DUMMYFUNCTION("""COMPUTED_VALUE"""),"6")</f>
        <v>6</v>
      </c>
      <c r="V2059" s="6" t="str">
        <f>IFERROR(__xludf.DUMMYFUNCTION("""COMPUTED_VALUE"""),"")</f>
        <v/>
      </c>
      <c r="W2059" s="6" t="str">
        <f>IFERROR(__xludf.DUMMYFUNCTION("""COMPUTED_VALUE"""),"[]")</f>
        <v>[]</v>
      </c>
      <c r="X2059" s="6" t="str">
        <f>IFERROR(__xludf.DUMMYFUNCTION("""COMPUTED_VALUE"""),"Enrolled")</f>
        <v>Enrolled</v>
      </c>
    </row>
    <row r="2060">
      <c r="A2060" s="6" t="str">
        <f>IFERROR(__xludf.DUMMYFUNCTION("""COMPUTED_VALUE"""),"029-2239")</f>
        <v>029-2239</v>
      </c>
      <c r="B2060" s="6" t="str">
        <f>IFERROR(__xludf.DUMMYFUNCTION("""COMPUTED_VALUE"""),"29")</f>
        <v>29</v>
      </c>
      <c r="C2060" s="6" t="str">
        <f>IFERROR(__xludf.DUMMYFUNCTION("""COMPUTED_VALUE"""),"2239")</f>
        <v>2239</v>
      </c>
      <c r="D2060" s="6" t="str">
        <f>IFERROR(__xludf.DUMMYFUNCTION("""COMPUTED_VALUE"""),"Lisa")</f>
        <v>Lisa</v>
      </c>
      <c r="E2060" s="6" t="str">
        <f>IFERROR(__xludf.DUMMYFUNCTION("""COMPUTED_VALUE"""),"")</f>
        <v/>
      </c>
      <c r="F2060" s="6" t="str">
        <f>IFERROR(__xludf.DUMMYFUNCTION("""COMPUTED_VALUE"""),"Olson")</f>
        <v>Olson</v>
      </c>
      <c r="G2060" s="6" t="str">
        <f>IFERROR(__xludf.DUMMYFUNCTION("""COMPUTED_VALUE"""),"06/07/2016")</f>
        <v>06/07/2016</v>
      </c>
      <c r="H2060" s="6" t="str">
        <f>IFERROR(__xludf.DUMMYFUNCTION("""COMPUTED_VALUE"""),"female")</f>
        <v>female</v>
      </c>
      <c r="I2060" s="6" t="str">
        <f>IFERROR(__xludf.DUMMYFUNCTION("""COMPUTED_VALUE"""),"Level 1")</f>
        <v>Level 1</v>
      </c>
      <c r="J2060" s="6" t="str">
        <f>IFERROR(__xludf.DUMMYFUNCTION("""COMPUTED_VALUE"""),"3")</f>
        <v>3</v>
      </c>
      <c r="K2060" s="6" t="str">
        <f>IFERROR(__xludf.DUMMYFUNCTION("""COMPUTED_VALUE"""),"lisa.olson@novaacademy.school")</f>
        <v>lisa.olson@novaacademy.school</v>
      </c>
      <c r="L2060" s="6" t="str">
        <f>IFERROR(__xludf.DUMMYFUNCTION("""COMPUTED_VALUE"""),"Nova Academy Bastrop")</f>
        <v>Nova Academy Bastrop</v>
      </c>
      <c r="M2060" s="6" t="str">
        <f>IFERROR(__xludf.DUMMYFUNCTION("""COMPUTED_VALUE"""),"")</f>
        <v/>
      </c>
      <c r="N2060" s="6" t="str">
        <f>IFERROR(__xludf.DUMMYFUNCTION("""COMPUTED_VALUE"""),"")</f>
        <v/>
      </c>
      <c r="O2060" s="87" t="str">
        <f>IFERROR(__xludf.DUMMYFUNCTION("""COMPUTED_VALUE"""),"https://drive.google.com/drive/folders/10T2cTQHqEJZqE-st6uFKPoI?usp=share_link")</f>
        <v>https://drive.google.com/drive/folders/10T2cTQHqEJZqE-st6uFKPoI?usp=share_link</v>
      </c>
      <c r="P2060" s="6" t="str">
        <f>IFERROR(__xludf.DUMMYFUNCTION("""COMPUTED_VALUE"""),"Lisa Olson")</f>
        <v>Lisa Olson</v>
      </c>
      <c r="Q2060" s="6" t="str">
        <f>IFERROR(__xludf.DUMMYFUNCTION("""COMPUTED_VALUE"""),"L1")</f>
        <v>L1</v>
      </c>
      <c r="R2060" s="6">
        <f>IFERROR(__xludf.DUMMYFUNCTION("""COMPUTED_VALUE"""),1.0)</f>
        <v>1</v>
      </c>
      <c r="S2060" s="6" t="str">
        <f>IFERROR(__xludf.DUMMYFUNCTION("""COMPUTED_VALUE"""),"Stephanie Gasch")</f>
        <v>Stephanie Gasch</v>
      </c>
      <c r="T2060" s="6" t="str">
        <f>IFERROR(__xludf.DUMMYFUNCTION("""COMPUTED_VALUE"""),"stephanie.gasch@alpha.school")</f>
        <v>stephanie.gasch@alpha.school</v>
      </c>
      <c r="U2060" s="6" t="str">
        <f>IFERROR(__xludf.DUMMYFUNCTION("""COMPUTED_VALUE"""),"3")</f>
        <v>3</v>
      </c>
      <c r="V2060" s="6" t="str">
        <f>IFERROR(__xludf.DUMMYFUNCTION("""COMPUTED_VALUE"""),"")</f>
        <v/>
      </c>
      <c r="W2060" s="6" t="str">
        <f>IFERROR(__xludf.DUMMYFUNCTION("""COMPUTED_VALUE"""),"[]")</f>
        <v>[]</v>
      </c>
      <c r="X2060" s="6" t="str">
        <f>IFERROR(__xludf.DUMMYFUNCTION("""COMPUTED_VALUE"""),"Enrolled")</f>
        <v>Enrolled</v>
      </c>
    </row>
    <row r="2061">
      <c r="A2061" s="6" t="str">
        <f>IFERROR(__xludf.DUMMYFUNCTION("""COMPUTED_VALUE"""),"029-2240")</f>
        <v>029-2240</v>
      </c>
      <c r="B2061" s="6" t="str">
        <f>IFERROR(__xludf.DUMMYFUNCTION("""COMPUTED_VALUE"""),"29")</f>
        <v>29</v>
      </c>
      <c r="C2061" s="6" t="str">
        <f>IFERROR(__xludf.DUMMYFUNCTION("""COMPUTED_VALUE"""),"2240")</f>
        <v>2240</v>
      </c>
      <c r="D2061" s="6" t="str">
        <f>IFERROR(__xludf.DUMMYFUNCTION("""COMPUTED_VALUE"""),"Rayan")</f>
        <v>Rayan</v>
      </c>
      <c r="E2061" s="6" t="str">
        <f>IFERROR(__xludf.DUMMYFUNCTION("""COMPUTED_VALUE"""),"Ryan")</f>
        <v>Ryan</v>
      </c>
      <c r="F2061" s="6" t="str">
        <f>IFERROR(__xludf.DUMMYFUNCTION("""COMPUTED_VALUE"""),"Zawatieh")</f>
        <v>Zawatieh</v>
      </c>
      <c r="G2061" s="6" t="str">
        <f>IFERROR(__xludf.DUMMYFUNCTION("""COMPUTED_VALUE"""),"07/29/2014")</f>
        <v>07/29/2014</v>
      </c>
      <c r="H2061" s="6" t="str">
        <f>IFERROR(__xludf.DUMMYFUNCTION("""COMPUTED_VALUE"""),"male")</f>
        <v>male</v>
      </c>
      <c r="I2061" s="6" t="str">
        <f>IFERROR(__xludf.DUMMYFUNCTION("""COMPUTED_VALUE"""),"Middle School")</f>
        <v>Middle School</v>
      </c>
      <c r="J2061" s="6" t="str">
        <f>IFERROR(__xludf.DUMMYFUNCTION("""COMPUTED_VALUE"""),"6")</f>
        <v>6</v>
      </c>
      <c r="K2061" s="6" t="str">
        <f>IFERROR(__xludf.DUMMYFUNCTION("""COMPUTED_VALUE"""),"rayan.zawatieh@novaacademy.school")</f>
        <v>rayan.zawatieh@novaacademy.school</v>
      </c>
      <c r="L2061" s="6" t="str">
        <f>IFERROR(__xludf.DUMMYFUNCTION("""COMPUTED_VALUE"""),"Nova Academy Bastrop")</f>
        <v>Nova Academy Bastrop</v>
      </c>
      <c r="M2061" s="6" t="str">
        <f>IFERROR(__xludf.DUMMYFUNCTION("""COMPUTED_VALUE"""),"")</f>
        <v/>
      </c>
      <c r="N2061" s="6" t="str">
        <f>IFERROR(__xludf.DUMMYFUNCTION("""COMPUTED_VALUE"""),"")</f>
        <v/>
      </c>
      <c r="O2061" s="87" t="str">
        <f>IFERROR(__xludf.DUMMYFUNCTION("""COMPUTED_VALUE"""),"https://drive.google.com/drive/folders/10T2cTQHqEJZqE-st6uFKPoI?usp=share_link")</f>
        <v>https://drive.google.com/drive/folders/10T2cTQHqEJZqE-st6uFKPoI?usp=share_link</v>
      </c>
      <c r="P2061" s="6" t="str">
        <f>IFERROR(__xludf.DUMMYFUNCTION("""COMPUTED_VALUE"""),"Ryan Zawatieh")</f>
        <v>Ryan Zawatieh</v>
      </c>
      <c r="Q2061" s="6" t="str">
        <f>IFERROR(__xludf.DUMMYFUNCTION("""COMPUTED_VALUE"""),"MS")</f>
        <v>MS</v>
      </c>
      <c r="R2061" s="6">
        <f>IFERROR(__xludf.DUMMYFUNCTION("""COMPUTED_VALUE"""),0.0)</f>
        <v>0</v>
      </c>
      <c r="S2061" s="6" t="str">
        <f>IFERROR(__xludf.DUMMYFUNCTION("""COMPUTED_VALUE"""),"Ashley Storms")</f>
        <v>Ashley Storms</v>
      </c>
      <c r="T2061" s="6" t="str">
        <f>IFERROR(__xludf.DUMMYFUNCTION("""COMPUTED_VALUE"""),"ashley.storms@alpha.school")</f>
        <v>ashley.storms@alpha.school</v>
      </c>
      <c r="U2061" s="6" t="str">
        <f>IFERROR(__xludf.DUMMYFUNCTION("""COMPUTED_VALUE"""),"6")</f>
        <v>6</v>
      </c>
      <c r="V2061" s="6" t="str">
        <f>IFERROR(__xludf.DUMMYFUNCTION("""COMPUTED_VALUE"""),"")</f>
        <v/>
      </c>
      <c r="W2061" s="6" t="str">
        <f>IFERROR(__xludf.DUMMYFUNCTION("""COMPUTED_VALUE"""),"[]")</f>
        <v>[]</v>
      </c>
      <c r="X2061" s="6" t="str">
        <f>IFERROR(__xludf.DUMMYFUNCTION("""COMPUTED_VALUE"""),"Enrolled")</f>
        <v>Enrolled</v>
      </c>
    </row>
    <row r="2062">
      <c r="A2062" s="6" t="str">
        <f>IFERROR(__xludf.DUMMYFUNCTION("""COMPUTED_VALUE"""),"029-2242")</f>
        <v>029-2242</v>
      </c>
      <c r="B2062" s="6" t="str">
        <f>IFERROR(__xludf.DUMMYFUNCTION("""COMPUTED_VALUE"""),"29")</f>
        <v>29</v>
      </c>
      <c r="C2062" s="6" t="str">
        <f>IFERROR(__xludf.DUMMYFUNCTION("""COMPUTED_VALUE"""),"2242")</f>
        <v>2242</v>
      </c>
      <c r="D2062" s="6" t="str">
        <f>IFERROR(__xludf.DUMMYFUNCTION("""COMPUTED_VALUE"""),"Garrett")</f>
        <v>Garrett</v>
      </c>
      <c r="E2062" s="6" t="str">
        <f>IFERROR(__xludf.DUMMYFUNCTION("""COMPUTED_VALUE"""),"")</f>
        <v/>
      </c>
      <c r="F2062" s="6" t="str">
        <f>IFERROR(__xludf.DUMMYFUNCTION("""COMPUTED_VALUE"""),"Mullins")</f>
        <v>Mullins</v>
      </c>
      <c r="G2062" s="6" t="str">
        <f>IFERROR(__xludf.DUMMYFUNCTION("""COMPUTED_VALUE"""),"09/26/2014")</f>
        <v>09/26/2014</v>
      </c>
      <c r="H2062" s="6" t="str">
        <f>IFERROR(__xludf.DUMMYFUNCTION("""COMPUTED_VALUE"""),"male")</f>
        <v>male</v>
      </c>
      <c r="I2062" s="6" t="str">
        <f>IFERROR(__xludf.DUMMYFUNCTION("""COMPUTED_VALUE"""),"Level 2")</f>
        <v>Level 2</v>
      </c>
      <c r="J2062" s="6" t="str">
        <f>IFERROR(__xludf.DUMMYFUNCTION("""COMPUTED_VALUE"""),"5")</f>
        <v>5</v>
      </c>
      <c r="K2062" s="6" t="str">
        <f>IFERROR(__xludf.DUMMYFUNCTION("""COMPUTED_VALUE"""),"garrett.mullins@novaacademy.school")</f>
        <v>garrett.mullins@novaacademy.school</v>
      </c>
      <c r="L2062" s="6" t="str">
        <f>IFERROR(__xludf.DUMMYFUNCTION("""COMPUTED_VALUE"""),"Nova Academy Bastrop")</f>
        <v>Nova Academy Bastrop</v>
      </c>
      <c r="M2062" s="6" t="str">
        <f>IFERROR(__xludf.DUMMYFUNCTION("""COMPUTED_VALUE"""),"")</f>
        <v/>
      </c>
      <c r="N2062" s="6" t="str">
        <f>IFERROR(__xludf.DUMMYFUNCTION("""COMPUTED_VALUE"""),"")</f>
        <v/>
      </c>
      <c r="O2062" s="87" t="str">
        <f>IFERROR(__xludf.DUMMYFUNCTION("""COMPUTED_VALUE"""),"https://drive.google.com/drive/folders/10T2cTQHqEJZqE-st6uFKPoI?usp=share_link")</f>
        <v>https://drive.google.com/drive/folders/10T2cTQHqEJZqE-st6uFKPoI?usp=share_link</v>
      </c>
      <c r="P2062" s="6" t="str">
        <f>IFERROR(__xludf.DUMMYFUNCTION("""COMPUTED_VALUE"""),"Garrett Mullins")</f>
        <v>Garrett Mullins</v>
      </c>
      <c r="Q2062" s="6" t="str">
        <f>IFERROR(__xludf.DUMMYFUNCTION("""COMPUTED_VALUE"""),"L2")</f>
        <v>L2</v>
      </c>
      <c r="R2062" s="6">
        <f>IFERROR(__xludf.DUMMYFUNCTION("""COMPUTED_VALUE"""),2.0)</f>
        <v>2</v>
      </c>
      <c r="S2062" s="6" t="str">
        <f>IFERROR(__xludf.DUMMYFUNCTION("""COMPUTED_VALUE"""),"Stephanie Gasch")</f>
        <v>Stephanie Gasch</v>
      </c>
      <c r="T2062" s="6" t="str">
        <f>IFERROR(__xludf.DUMMYFUNCTION("""COMPUTED_VALUE"""),"stephanie.gasch@alpha.school")</f>
        <v>stephanie.gasch@alpha.school</v>
      </c>
      <c r="U2062" s="6" t="str">
        <f>IFERROR(__xludf.DUMMYFUNCTION("""COMPUTED_VALUE"""),"5")</f>
        <v>5</v>
      </c>
      <c r="V2062" s="6" t="str">
        <f>IFERROR(__xludf.DUMMYFUNCTION("""COMPUTED_VALUE"""),"")</f>
        <v/>
      </c>
      <c r="W2062" s="6" t="str">
        <f>IFERROR(__xludf.DUMMYFUNCTION("""COMPUTED_VALUE"""),"[]")</f>
        <v>[]</v>
      </c>
      <c r="X2062" s="6" t="str">
        <f>IFERROR(__xludf.DUMMYFUNCTION("""COMPUTED_VALUE"""),"Enrolled")</f>
        <v>Enrolled</v>
      </c>
    </row>
    <row r="2063">
      <c r="A2063" s="6" t="str">
        <f>IFERROR(__xludf.DUMMYFUNCTION("""COMPUTED_VALUE"""),"029-2243")</f>
        <v>029-2243</v>
      </c>
      <c r="B2063" s="6" t="str">
        <f>IFERROR(__xludf.DUMMYFUNCTION("""COMPUTED_VALUE"""),"29")</f>
        <v>29</v>
      </c>
      <c r="C2063" s="6" t="str">
        <f>IFERROR(__xludf.DUMMYFUNCTION("""COMPUTED_VALUE"""),"2243")</f>
        <v>2243</v>
      </c>
      <c r="D2063" s="6" t="str">
        <f>IFERROR(__xludf.DUMMYFUNCTION("""COMPUTED_VALUE"""),"Joshua")</f>
        <v>Joshua</v>
      </c>
      <c r="E2063" s="6" t="str">
        <f>IFERROR(__xludf.DUMMYFUNCTION("""COMPUTED_VALUE"""),"")</f>
        <v/>
      </c>
      <c r="F2063" s="6" t="str">
        <f>IFERROR(__xludf.DUMMYFUNCTION("""COMPUTED_VALUE"""),"Mullins")</f>
        <v>Mullins</v>
      </c>
      <c r="G2063" s="6" t="str">
        <f>IFERROR(__xludf.DUMMYFUNCTION("""COMPUTED_VALUE"""),"09/26/2014")</f>
        <v>09/26/2014</v>
      </c>
      <c r="H2063" s="6" t="str">
        <f>IFERROR(__xludf.DUMMYFUNCTION("""COMPUTED_VALUE"""),"male")</f>
        <v>male</v>
      </c>
      <c r="I2063" s="6" t="str">
        <f>IFERROR(__xludf.DUMMYFUNCTION("""COMPUTED_VALUE"""),"Level 2")</f>
        <v>Level 2</v>
      </c>
      <c r="J2063" s="6" t="str">
        <f>IFERROR(__xludf.DUMMYFUNCTION("""COMPUTED_VALUE"""),"5")</f>
        <v>5</v>
      </c>
      <c r="K2063" s="6" t="str">
        <f>IFERROR(__xludf.DUMMYFUNCTION("""COMPUTED_VALUE"""),"joshua.mullins@novaacademy.school")</f>
        <v>joshua.mullins@novaacademy.school</v>
      </c>
      <c r="L2063" s="6" t="str">
        <f>IFERROR(__xludf.DUMMYFUNCTION("""COMPUTED_VALUE"""),"Nova Academy Bastrop")</f>
        <v>Nova Academy Bastrop</v>
      </c>
      <c r="M2063" s="6" t="str">
        <f>IFERROR(__xludf.DUMMYFUNCTION("""COMPUTED_VALUE"""),"")</f>
        <v/>
      </c>
      <c r="N2063" s="6" t="str">
        <f>IFERROR(__xludf.DUMMYFUNCTION("""COMPUTED_VALUE"""),"")</f>
        <v/>
      </c>
      <c r="O2063" s="87" t="str">
        <f>IFERROR(__xludf.DUMMYFUNCTION("""COMPUTED_VALUE"""),"https://drive.google.com/drive/folders/10T2cTQHqEJZqE-st6uFKPoI?usp=share_link")</f>
        <v>https://drive.google.com/drive/folders/10T2cTQHqEJZqE-st6uFKPoI?usp=share_link</v>
      </c>
      <c r="P2063" s="6" t="str">
        <f>IFERROR(__xludf.DUMMYFUNCTION("""COMPUTED_VALUE"""),"Joshua Mullins")</f>
        <v>Joshua Mullins</v>
      </c>
      <c r="Q2063" s="6" t="str">
        <f>IFERROR(__xludf.DUMMYFUNCTION("""COMPUTED_VALUE"""),"L2")</f>
        <v>L2</v>
      </c>
      <c r="R2063" s="6">
        <f>IFERROR(__xludf.DUMMYFUNCTION("""COMPUTED_VALUE"""),2.0)</f>
        <v>2</v>
      </c>
      <c r="S2063" s="6" t="str">
        <f>IFERROR(__xludf.DUMMYFUNCTION("""COMPUTED_VALUE"""),"Stephanie Gasch")</f>
        <v>Stephanie Gasch</v>
      </c>
      <c r="T2063" s="6" t="str">
        <f>IFERROR(__xludf.DUMMYFUNCTION("""COMPUTED_VALUE"""),"stephanie.gasch@alpha.school")</f>
        <v>stephanie.gasch@alpha.school</v>
      </c>
      <c r="U2063" s="6" t="str">
        <f>IFERROR(__xludf.DUMMYFUNCTION("""COMPUTED_VALUE"""),"5")</f>
        <v>5</v>
      </c>
      <c r="V2063" s="6" t="str">
        <f>IFERROR(__xludf.DUMMYFUNCTION("""COMPUTED_VALUE"""),"")</f>
        <v/>
      </c>
      <c r="W2063" s="6" t="str">
        <f>IFERROR(__xludf.DUMMYFUNCTION("""COMPUTED_VALUE"""),"[]")</f>
        <v>[]</v>
      </c>
      <c r="X2063" s="6" t="str">
        <f>IFERROR(__xludf.DUMMYFUNCTION("""COMPUTED_VALUE"""),"Enrolled")</f>
        <v>Enrolled</v>
      </c>
    </row>
    <row r="2064">
      <c r="A2064" s="6" t="str">
        <f>IFERROR(__xludf.DUMMYFUNCTION("""COMPUTED_VALUE"""),"029-2319")</f>
        <v>029-2319</v>
      </c>
      <c r="B2064" s="6" t="str">
        <f>IFERROR(__xludf.DUMMYFUNCTION("""COMPUTED_VALUE"""),"29")</f>
        <v>29</v>
      </c>
      <c r="C2064" s="6" t="str">
        <f>IFERROR(__xludf.DUMMYFUNCTION("""COMPUTED_VALUE"""),"2319")</f>
        <v>2319</v>
      </c>
      <c r="D2064" s="6" t="str">
        <f>IFERROR(__xludf.DUMMYFUNCTION("""COMPUTED_VALUE"""),"Everett")</f>
        <v>Everett</v>
      </c>
      <c r="E2064" s="6" t="str">
        <f>IFERROR(__xludf.DUMMYFUNCTION("""COMPUTED_VALUE"""),"Everett")</f>
        <v>Everett</v>
      </c>
      <c r="F2064" s="6" t="str">
        <f>IFERROR(__xludf.DUMMYFUNCTION("""COMPUTED_VALUE"""),"Mroczkowski")</f>
        <v>Mroczkowski</v>
      </c>
      <c r="G2064" s="6" t="str">
        <f>IFERROR(__xludf.DUMMYFUNCTION("""COMPUTED_VALUE"""),"12/24/2017")</f>
        <v>12/24/2017</v>
      </c>
      <c r="H2064" s="6" t="str">
        <f>IFERROR(__xludf.DUMMYFUNCTION("""COMPUTED_VALUE"""),"male")</f>
        <v>male</v>
      </c>
      <c r="I2064" s="6" t="str">
        <f>IFERROR(__xludf.DUMMYFUNCTION("""COMPUTED_VALUE"""),"Level 1")</f>
        <v>Level 1</v>
      </c>
      <c r="J2064" s="6" t="str">
        <f>IFERROR(__xludf.DUMMYFUNCTION("""COMPUTED_VALUE"""),"2")</f>
        <v>2</v>
      </c>
      <c r="K2064" s="6" t="str">
        <f>IFERROR(__xludf.DUMMYFUNCTION("""COMPUTED_VALUE"""),"everett.mroczkowski@novaacademy.school")</f>
        <v>everett.mroczkowski@novaacademy.school</v>
      </c>
      <c r="L2064" s="6" t="str">
        <f>IFERROR(__xludf.DUMMYFUNCTION("""COMPUTED_VALUE"""),"Nova Academy Bastrop")</f>
        <v>Nova Academy Bastrop</v>
      </c>
      <c r="M2064" s="6" t="str">
        <f>IFERROR(__xludf.DUMMYFUNCTION("""COMPUTED_VALUE"""),"")</f>
        <v/>
      </c>
      <c r="N2064" s="6" t="str">
        <f>IFERROR(__xludf.DUMMYFUNCTION("""COMPUTED_VALUE"""),"")</f>
        <v/>
      </c>
      <c r="O2064" s="87" t="str">
        <f>IFERROR(__xludf.DUMMYFUNCTION("""COMPUTED_VALUE"""),"https://drive.google.com/drive/folders/10T2cTQHqEJZqE-st6uFKPoI?usp=share_link")</f>
        <v>https://drive.google.com/drive/folders/10T2cTQHqEJZqE-st6uFKPoI?usp=share_link</v>
      </c>
      <c r="P2064" s="6" t="str">
        <f>IFERROR(__xludf.DUMMYFUNCTION("""COMPUTED_VALUE"""),"Everett Mroczkowski")</f>
        <v>Everett Mroczkowski</v>
      </c>
      <c r="Q2064" s="6" t="str">
        <f>IFERROR(__xludf.DUMMYFUNCTION("""COMPUTED_VALUE"""),"L1")</f>
        <v>L1</v>
      </c>
      <c r="R2064" s="6">
        <f>IFERROR(__xludf.DUMMYFUNCTION("""COMPUTED_VALUE"""),1.0)</f>
        <v>1</v>
      </c>
      <c r="S2064" s="6" t="str">
        <f>IFERROR(__xludf.DUMMYFUNCTION("""COMPUTED_VALUE"""),"Jessica Criss")</f>
        <v>Jessica Criss</v>
      </c>
      <c r="T2064" s="6" t="str">
        <f>IFERROR(__xludf.DUMMYFUNCTION("""COMPUTED_VALUE"""),"jessica.criss@alpha.school")</f>
        <v>jessica.criss@alpha.school</v>
      </c>
      <c r="U2064" s="6" t="str">
        <f>IFERROR(__xludf.DUMMYFUNCTION("""COMPUTED_VALUE"""),"2")</f>
        <v>2</v>
      </c>
      <c r="V2064" s="6" t="str">
        <f>IFERROR(__xludf.DUMMYFUNCTION("""COMPUTED_VALUE"""),"")</f>
        <v/>
      </c>
      <c r="W2064" s="6" t="str">
        <f>IFERROR(__xludf.DUMMYFUNCTION("""COMPUTED_VALUE"""),"[]")</f>
        <v>[]</v>
      </c>
      <c r="X2064" s="6" t="str">
        <f>IFERROR(__xludf.DUMMYFUNCTION("""COMPUTED_VALUE"""),"Enrolled")</f>
        <v>Enrolled</v>
      </c>
    </row>
    <row r="2065">
      <c r="A2065" s="6" t="str">
        <f>IFERROR(__xludf.DUMMYFUNCTION("""COMPUTED_VALUE"""),"029-2557")</f>
        <v>029-2557</v>
      </c>
      <c r="B2065" s="6" t="str">
        <f>IFERROR(__xludf.DUMMYFUNCTION("""COMPUTED_VALUE"""),"29")</f>
        <v>29</v>
      </c>
      <c r="C2065" s="6" t="str">
        <f>IFERROR(__xludf.DUMMYFUNCTION("""COMPUTED_VALUE"""),"2557")</f>
        <v>2557</v>
      </c>
      <c r="D2065" s="6" t="str">
        <f>IFERROR(__xludf.DUMMYFUNCTION("""COMPUTED_VALUE"""),"Arianna")</f>
        <v>Arianna</v>
      </c>
      <c r="E2065" s="6" t="str">
        <f>IFERROR(__xludf.DUMMYFUNCTION("""COMPUTED_VALUE"""),"")</f>
        <v/>
      </c>
      <c r="F2065" s="6" t="str">
        <f>IFERROR(__xludf.DUMMYFUNCTION("""COMPUTED_VALUE"""),"Salazar")</f>
        <v>Salazar</v>
      </c>
      <c r="G2065" s="6" t="str">
        <f>IFERROR(__xludf.DUMMYFUNCTION("""COMPUTED_VALUE"""),"12/27/2014")</f>
        <v>12/27/2014</v>
      </c>
      <c r="H2065" s="6" t="str">
        <f>IFERROR(__xludf.DUMMYFUNCTION("""COMPUTED_VALUE"""),"female")</f>
        <v>female</v>
      </c>
      <c r="I2065" s="6" t="str">
        <f>IFERROR(__xludf.DUMMYFUNCTION("""COMPUTED_VALUE"""),"Level 2")</f>
        <v>Level 2</v>
      </c>
      <c r="J2065" s="6" t="str">
        <f>IFERROR(__xludf.DUMMYFUNCTION("""COMPUTED_VALUE"""),"5")</f>
        <v>5</v>
      </c>
      <c r="K2065" s="6" t="str">
        <f>IFERROR(__xludf.DUMMYFUNCTION("""COMPUTED_VALUE"""),"arianna.salazar@novaacademy.school")</f>
        <v>arianna.salazar@novaacademy.school</v>
      </c>
      <c r="L2065" s="6" t="str">
        <f>IFERROR(__xludf.DUMMYFUNCTION("""COMPUTED_VALUE"""),"Nova Academy Bastrop")</f>
        <v>Nova Academy Bastrop</v>
      </c>
      <c r="M2065" s="6" t="str">
        <f>IFERROR(__xludf.DUMMYFUNCTION("""COMPUTED_VALUE"""),"")</f>
        <v/>
      </c>
      <c r="N2065" s="6" t="str">
        <f>IFERROR(__xludf.DUMMYFUNCTION("""COMPUTED_VALUE"""),"")</f>
        <v/>
      </c>
      <c r="O2065" s="87" t="str">
        <f>IFERROR(__xludf.DUMMYFUNCTION("""COMPUTED_VALUE"""),"https://drive.google.com/drive/folders/10T2cTQHqEJZqE-st6uFKPoI?usp=share_link")</f>
        <v>https://drive.google.com/drive/folders/10T2cTQHqEJZqE-st6uFKPoI?usp=share_link</v>
      </c>
      <c r="P2065" s="6" t="str">
        <f>IFERROR(__xludf.DUMMYFUNCTION("""COMPUTED_VALUE"""),"Arianna Salazar")</f>
        <v>Arianna Salazar</v>
      </c>
      <c r="Q2065" s="6" t="str">
        <f>IFERROR(__xludf.DUMMYFUNCTION("""COMPUTED_VALUE"""),"L2")</f>
        <v>L2</v>
      </c>
      <c r="R2065" s="6">
        <f>IFERROR(__xludf.DUMMYFUNCTION("""COMPUTED_VALUE"""),2.0)</f>
        <v>2</v>
      </c>
      <c r="S2065" s="6" t="str">
        <f>IFERROR(__xludf.DUMMYFUNCTION("""COMPUTED_VALUE"""),"Stephanie Gasch")</f>
        <v>Stephanie Gasch</v>
      </c>
      <c r="T2065" s="6" t="str">
        <f>IFERROR(__xludf.DUMMYFUNCTION("""COMPUTED_VALUE"""),"stephanie.gasch@alpha.school")</f>
        <v>stephanie.gasch@alpha.school</v>
      </c>
      <c r="U2065" s="6" t="str">
        <f>IFERROR(__xludf.DUMMYFUNCTION("""COMPUTED_VALUE"""),"5")</f>
        <v>5</v>
      </c>
      <c r="V2065" s="6" t="str">
        <f>IFERROR(__xludf.DUMMYFUNCTION("""COMPUTED_VALUE"""),"")</f>
        <v/>
      </c>
      <c r="W2065" s="6" t="str">
        <f>IFERROR(__xludf.DUMMYFUNCTION("""COMPUTED_VALUE"""),"[]")</f>
        <v>[]</v>
      </c>
      <c r="X2065" s="6" t="str">
        <f>IFERROR(__xludf.DUMMYFUNCTION("""COMPUTED_VALUE"""),"Enrolled")</f>
        <v>Enrolled</v>
      </c>
    </row>
    <row r="2066">
      <c r="A2066" s="6" t="str">
        <f>IFERROR(__xludf.DUMMYFUNCTION("""COMPUTED_VALUE"""),"029-2558")</f>
        <v>029-2558</v>
      </c>
      <c r="B2066" s="6" t="str">
        <f>IFERROR(__xludf.DUMMYFUNCTION("""COMPUTED_VALUE"""),"29")</f>
        <v>29</v>
      </c>
      <c r="C2066" s="6" t="str">
        <f>IFERROR(__xludf.DUMMYFUNCTION("""COMPUTED_VALUE"""),"2558")</f>
        <v>2558</v>
      </c>
      <c r="D2066" s="6" t="str">
        <f>IFERROR(__xludf.DUMMYFUNCTION("""COMPUTED_VALUE"""),"Brandon")</f>
        <v>Brandon</v>
      </c>
      <c r="E2066" s="6" t="str">
        <f>IFERROR(__xludf.DUMMYFUNCTION("""COMPUTED_VALUE"""),"")</f>
        <v/>
      </c>
      <c r="F2066" s="6" t="str">
        <f>IFERROR(__xludf.DUMMYFUNCTION("""COMPUTED_VALUE"""),"Gonzales")</f>
        <v>Gonzales</v>
      </c>
      <c r="G2066" s="6" t="str">
        <f>IFERROR(__xludf.DUMMYFUNCTION("""COMPUTED_VALUE"""),"05/20/2017")</f>
        <v>05/20/2017</v>
      </c>
      <c r="H2066" s="6" t="str">
        <f>IFERROR(__xludf.DUMMYFUNCTION("""COMPUTED_VALUE"""),"male")</f>
        <v>male</v>
      </c>
      <c r="I2066" s="6" t="str">
        <f>IFERROR(__xludf.DUMMYFUNCTION("""COMPUTED_VALUE"""),"Level 1")</f>
        <v>Level 1</v>
      </c>
      <c r="J2066" s="6" t="str">
        <f>IFERROR(__xludf.DUMMYFUNCTION("""COMPUTED_VALUE"""),"3")</f>
        <v>3</v>
      </c>
      <c r="K2066" s="6" t="str">
        <f>IFERROR(__xludf.DUMMYFUNCTION("""COMPUTED_VALUE"""),"brandon.gonzales@novaacademy.school")</f>
        <v>brandon.gonzales@novaacademy.school</v>
      </c>
      <c r="L2066" s="6" t="str">
        <f>IFERROR(__xludf.DUMMYFUNCTION("""COMPUTED_VALUE"""),"Nova Academy Bastrop")</f>
        <v>Nova Academy Bastrop</v>
      </c>
      <c r="M2066" s="6" t="str">
        <f>IFERROR(__xludf.DUMMYFUNCTION("""COMPUTED_VALUE"""),"")</f>
        <v/>
      </c>
      <c r="N2066" s="6" t="str">
        <f>IFERROR(__xludf.DUMMYFUNCTION("""COMPUTED_VALUE"""),"")</f>
        <v/>
      </c>
      <c r="O2066" s="87" t="str">
        <f>IFERROR(__xludf.DUMMYFUNCTION("""COMPUTED_VALUE"""),"https://drive.google.com/drive/folders/10T2cTQHqEJZqE-st6uFKPoI?usp=share_link")</f>
        <v>https://drive.google.com/drive/folders/10T2cTQHqEJZqE-st6uFKPoI?usp=share_link</v>
      </c>
      <c r="P2066" s="6" t="str">
        <f>IFERROR(__xludf.DUMMYFUNCTION("""COMPUTED_VALUE"""),"Brandon Gonzales")</f>
        <v>Brandon Gonzales</v>
      </c>
      <c r="Q2066" s="6" t="str">
        <f>IFERROR(__xludf.DUMMYFUNCTION("""COMPUTED_VALUE"""),"L1")</f>
        <v>L1</v>
      </c>
      <c r="R2066" s="6">
        <f>IFERROR(__xludf.DUMMYFUNCTION("""COMPUTED_VALUE"""),1.0)</f>
        <v>1</v>
      </c>
      <c r="S2066" s="6" t="str">
        <f>IFERROR(__xludf.DUMMYFUNCTION("""COMPUTED_VALUE"""),"Ashley Storms")</f>
        <v>Ashley Storms</v>
      </c>
      <c r="T2066" s="6" t="str">
        <f>IFERROR(__xludf.DUMMYFUNCTION("""COMPUTED_VALUE"""),"ashley.storms@alpha.school")</f>
        <v>ashley.storms@alpha.school</v>
      </c>
      <c r="U2066" s="6" t="str">
        <f>IFERROR(__xludf.DUMMYFUNCTION("""COMPUTED_VALUE"""),"3")</f>
        <v>3</v>
      </c>
      <c r="V2066" s="6" t="str">
        <f>IFERROR(__xludf.DUMMYFUNCTION("""COMPUTED_VALUE"""),"")</f>
        <v/>
      </c>
      <c r="W2066" s="6" t="str">
        <f>IFERROR(__xludf.DUMMYFUNCTION("""COMPUTED_VALUE"""),"[]")</f>
        <v>[]</v>
      </c>
      <c r="X2066" s="6" t="str">
        <f>IFERROR(__xludf.DUMMYFUNCTION("""COMPUTED_VALUE"""),"Enrolled")</f>
        <v>Enrolled</v>
      </c>
    </row>
    <row r="2067">
      <c r="A2067" s="6" t="str">
        <f>IFERROR(__xludf.DUMMYFUNCTION("""COMPUTED_VALUE"""),"029-2608")</f>
        <v>029-2608</v>
      </c>
      <c r="B2067" s="6" t="str">
        <f>IFERROR(__xludf.DUMMYFUNCTION("""COMPUTED_VALUE"""),"29")</f>
        <v>29</v>
      </c>
      <c r="C2067" s="6" t="str">
        <f>IFERROR(__xludf.DUMMYFUNCTION("""COMPUTED_VALUE"""),"2608")</f>
        <v>2608</v>
      </c>
      <c r="D2067" s="6" t="str">
        <f>IFERROR(__xludf.DUMMYFUNCTION("""COMPUTED_VALUE"""),"Orion")</f>
        <v>Orion</v>
      </c>
      <c r="E2067" s="6" t="str">
        <f>IFERROR(__xludf.DUMMYFUNCTION("""COMPUTED_VALUE"""),"")</f>
        <v/>
      </c>
      <c r="F2067" s="6" t="str">
        <f>IFERROR(__xludf.DUMMYFUNCTION("""COMPUTED_VALUE"""),"Lira")</f>
        <v>Lira</v>
      </c>
      <c r="G2067" s="6" t="str">
        <f>IFERROR(__xludf.DUMMYFUNCTION("""COMPUTED_VALUE"""),"08/03/2016")</f>
        <v>08/03/2016</v>
      </c>
      <c r="H2067" s="6" t="str">
        <f>IFERROR(__xludf.DUMMYFUNCTION("""COMPUTED_VALUE"""),"male")</f>
        <v>male</v>
      </c>
      <c r="I2067" s="6" t="str">
        <f>IFERROR(__xludf.DUMMYFUNCTION("""COMPUTED_VALUE"""),"Level 1")</f>
        <v>Level 1</v>
      </c>
      <c r="J2067" s="6" t="str">
        <f>IFERROR(__xludf.DUMMYFUNCTION("""COMPUTED_VALUE"""),"3")</f>
        <v>3</v>
      </c>
      <c r="K2067" s="6" t="str">
        <f>IFERROR(__xludf.DUMMYFUNCTION("""COMPUTED_VALUE"""),"orion.lira@novaacademy.school")</f>
        <v>orion.lira@novaacademy.school</v>
      </c>
      <c r="L2067" s="6" t="str">
        <f>IFERROR(__xludf.DUMMYFUNCTION("""COMPUTED_VALUE"""),"Nova Academy Bastrop")</f>
        <v>Nova Academy Bastrop</v>
      </c>
      <c r="M2067" s="6" t="str">
        <f>IFERROR(__xludf.DUMMYFUNCTION("""COMPUTED_VALUE"""),"")</f>
        <v/>
      </c>
      <c r="N2067" s="6" t="str">
        <f>IFERROR(__xludf.DUMMYFUNCTION("""COMPUTED_VALUE"""),"")</f>
        <v/>
      </c>
      <c r="O2067" s="87" t="str">
        <f>IFERROR(__xludf.DUMMYFUNCTION("""COMPUTED_VALUE"""),"https://drive.google.com/drive/folders/10T2cTQHqEJZqE-st6uFKPoI?usp=share_link")</f>
        <v>https://drive.google.com/drive/folders/10T2cTQHqEJZqE-st6uFKPoI?usp=share_link</v>
      </c>
      <c r="P2067" s="6" t="str">
        <f>IFERROR(__xludf.DUMMYFUNCTION("""COMPUTED_VALUE"""),"Orion Lira")</f>
        <v>Orion Lira</v>
      </c>
      <c r="Q2067" s="6" t="str">
        <f>IFERROR(__xludf.DUMMYFUNCTION("""COMPUTED_VALUE"""),"L1")</f>
        <v>L1</v>
      </c>
      <c r="R2067" s="6">
        <f>IFERROR(__xludf.DUMMYFUNCTION("""COMPUTED_VALUE"""),1.0)</f>
        <v>1</v>
      </c>
      <c r="S2067" s="6" t="str">
        <f>IFERROR(__xludf.DUMMYFUNCTION("""COMPUTED_VALUE"""),"Stephanie Gasch")</f>
        <v>Stephanie Gasch</v>
      </c>
      <c r="T2067" s="6" t="str">
        <f>IFERROR(__xludf.DUMMYFUNCTION("""COMPUTED_VALUE"""),"stephanie.gasch@alpha.school")</f>
        <v>stephanie.gasch@alpha.school</v>
      </c>
      <c r="U2067" s="6" t="str">
        <f>IFERROR(__xludf.DUMMYFUNCTION("""COMPUTED_VALUE"""),"3")</f>
        <v>3</v>
      </c>
      <c r="V2067" s="6" t="str">
        <f>IFERROR(__xludf.DUMMYFUNCTION("""COMPUTED_VALUE"""),"")</f>
        <v/>
      </c>
      <c r="W2067" s="6" t="str">
        <f>IFERROR(__xludf.DUMMYFUNCTION("""COMPUTED_VALUE"""),"[]")</f>
        <v>[]</v>
      </c>
      <c r="X2067" s="6" t="str">
        <f>IFERROR(__xludf.DUMMYFUNCTION("""COMPUTED_VALUE"""),"Enrolled")</f>
        <v>Enrolled</v>
      </c>
    </row>
    <row r="2068">
      <c r="A2068" s="6" t="str">
        <f>IFERROR(__xludf.DUMMYFUNCTION("""COMPUTED_VALUE"""),"029-3735")</f>
        <v>029-3735</v>
      </c>
      <c r="B2068" s="6" t="str">
        <f>IFERROR(__xludf.DUMMYFUNCTION("""COMPUTED_VALUE"""),"29")</f>
        <v>29</v>
      </c>
      <c r="C2068" s="6" t="str">
        <f>IFERROR(__xludf.DUMMYFUNCTION("""COMPUTED_VALUE"""),"3735")</f>
        <v>3735</v>
      </c>
      <c r="D2068" s="6" t="str">
        <f>IFERROR(__xludf.DUMMYFUNCTION("""COMPUTED_VALUE"""),"Lincoln")</f>
        <v>Lincoln</v>
      </c>
      <c r="E2068" s="6" t="str">
        <f>IFERROR(__xludf.DUMMYFUNCTION("""COMPUTED_VALUE"""),"")</f>
        <v/>
      </c>
      <c r="F2068" s="6" t="str">
        <f>IFERROR(__xludf.DUMMYFUNCTION("""COMPUTED_VALUE"""),"Criss")</f>
        <v>Criss</v>
      </c>
      <c r="G2068" s="6" t="str">
        <f>IFERROR(__xludf.DUMMYFUNCTION("""COMPUTED_VALUE"""),"02/24/2017")</f>
        <v>02/24/2017</v>
      </c>
      <c r="H2068" s="6" t="str">
        <f>IFERROR(__xludf.DUMMYFUNCTION("""COMPUTED_VALUE"""),"female")</f>
        <v>female</v>
      </c>
      <c r="I2068" s="6" t="str">
        <f>IFERROR(__xludf.DUMMYFUNCTION("""COMPUTED_VALUE"""),"Level 1")</f>
        <v>Level 1</v>
      </c>
      <c r="J2068" s="6" t="str">
        <f>IFERROR(__xludf.DUMMYFUNCTION("""COMPUTED_VALUE"""),"3")</f>
        <v>3</v>
      </c>
      <c r="K2068" s="6" t="str">
        <f>IFERROR(__xludf.DUMMYFUNCTION("""COMPUTED_VALUE"""),"lincoln.criss@novaacademy.school")</f>
        <v>lincoln.criss@novaacademy.school</v>
      </c>
      <c r="L2068" s="6" t="str">
        <f>IFERROR(__xludf.DUMMYFUNCTION("""COMPUTED_VALUE"""),"Nova Academy Bastrop")</f>
        <v>Nova Academy Bastrop</v>
      </c>
      <c r="M2068" s="6" t="str">
        <f>IFERROR(__xludf.DUMMYFUNCTION("""COMPUTED_VALUE"""),"")</f>
        <v/>
      </c>
      <c r="N2068" s="6" t="str">
        <f>IFERROR(__xludf.DUMMYFUNCTION("""COMPUTED_VALUE"""),"")</f>
        <v/>
      </c>
      <c r="O2068" s="87" t="str">
        <f>IFERROR(__xludf.DUMMYFUNCTION("""COMPUTED_VALUE"""),"https://drive.google.com/drive/folders/10T2cTQHqEJZqE-st6uFKPoI?usp=share_link")</f>
        <v>https://drive.google.com/drive/folders/10T2cTQHqEJZqE-st6uFKPoI?usp=share_link</v>
      </c>
      <c r="P2068" s="6" t="str">
        <f>IFERROR(__xludf.DUMMYFUNCTION("""COMPUTED_VALUE"""),"Lincoln Criss")</f>
        <v>Lincoln Criss</v>
      </c>
      <c r="Q2068" s="6" t="str">
        <f>IFERROR(__xludf.DUMMYFUNCTION("""COMPUTED_VALUE"""),"L1")</f>
        <v>L1</v>
      </c>
      <c r="R2068" s="6">
        <f>IFERROR(__xludf.DUMMYFUNCTION("""COMPUTED_VALUE"""),1.0)</f>
        <v>1</v>
      </c>
      <c r="S2068" s="6" t="str">
        <f>IFERROR(__xludf.DUMMYFUNCTION("""COMPUTED_VALUE"""),"Stephanie Gasch")</f>
        <v>Stephanie Gasch</v>
      </c>
      <c r="T2068" s="6" t="str">
        <f>IFERROR(__xludf.DUMMYFUNCTION("""COMPUTED_VALUE"""),"stephanie.gasch@alpha.school")</f>
        <v>stephanie.gasch@alpha.school</v>
      </c>
      <c r="U2068" s="6" t="str">
        <f>IFERROR(__xludf.DUMMYFUNCTION("""COMPUTED_VALUE"""),"3")</f>
        <v>3</v>
      </c>
      <c r="V2068" s="6" t="str">
        <f>IFERROR(__xludf.DUMMYFUNCTION("""COMPUTED_VALUE"""),"")</f>
        <v/>
      </c>
      <c r="W2068" s="6" t="str">
        <f>IFERROR(__xludf.DUMMYFUNCTION("""COMPUTED_VALUE"""),"[]")</f>
        <v>[]</v>
      </c>
      <c r="X2068" s="6" t="str">
        <f>IFERROR(__xludf.DUMMYFUNCTION("""COMPUTED_VALUE"""),"Enrolled")</f>
        <v>Enrolled</v>
      </c>
    </row>
    <row r="2069">
      <c r="A2069" s="6" t="str">
        <f>IFERROR(__xludf.DUMMYFUNCTION("""COMPUTED_VALUE"""),"029-8146")</f>
        <v>029-8146</v>
      </c>
      <c r="B2069" s="6" t="str">
        <f>IFERROR(__xludf.DUMMYFUNCTION("""COMPUTED_VALUE"""),"29")</f>
        <v>29</v>
      </c>
      <c r="C2069" s="6" t="str">
        <f>IFERROR(__xludf.DUMMYFUNCTION("""COMPUTED_VALUE"""),"8146")</f>
        <v>8146</v>
      </c>
      <c r="D2069" s="6" t="str">
        <f>IFERROR(__xludf.DUMMYFUNCTION("""COMPUTED_VALUE"""),"Oscar")</f>
        <v>Oscar</v>
      </c>
      <c r="E2069" s="6" t="str">
        <f>IFERROR(__xludf.DUMMYFUNCTION("""COMPUTED_VALUE"""),"Oscar")</f>
        <v>Oscar</v>
      </c>
      <c r="F2069" s="6" t="str">
        <f>IFERROR(__xludf.DUMMYFUNCTION("""COMPUTED_VALUE"""),"Beard")</f>
        <v>Beard</v>
      </c>
      <c r="G2069" s="6" t="str">
        <f>IFERROR(__xludf.DUMMYFUNCTION("""COMPUTED_VALUE"""),"03/17/2014")</f>
        <v>03/17/2014</v>
      </c>
      <c r="H2069" s="6" t="str">
        <f>IFERROR(__xludf.DUMMYFUNCTION("""COMPUTED_VALUE"""),"male")</f>
        <v>male</v>
      </c>
      <c r="I2069" s="6" t="str">
        <f>IFERROR(__xludf.DUMMYFUNCTION("""COMPUTED_VALUE"""),"Middle School")</f>
        <v>Middle School</v>
      </c>
      <c r="J2069" s="6" t="str">
        <f>IFERROR(__xludf.DUMMYFUNCTION("""COMPUTED_VALUE"""),"6")</f>
        <v>6</v>
      </c>
      <c r="K2069" s="6" t="str">
        <f>IFERROR(__xludf.DUMMYFUNCTION("""COMPUTED_VALUE"""),"oscar.beard@novaacademy.school")</f>
        <v>oscar.beard@novaacademy.school</v>
      </c>
      <c r="L2069" s="6" t="str">
        <f>IFERROR(__xludf.DUMMYFUNCTION("""COMPUTED_VALUE"""),"Nova Academy Bastrop")</f>
        <v>Nova Academy Bastrop</v>
      </c>
      <c r="M2069" s="6" t="str">
        <f>IFERROR(__xludf.DUMMYFUNCTION("""COMPUTED_VALUE"""),"")</f>
        <v/>
      </c>
      <c r="N2069" s="6" t="str">
        <f>IFERROR(__xludf.DUMMYFUNCTION("""COMPUTED_VALUE"""),"")</f>
        <v/>
      </c>
      <c r="O2069" s="87" t="str">
        <f>IFERROR(__xludf.DUMMYFUNCTION("""COMPUTED_VALUE"""),"https://drive.google.com/drive/folders/10T2cTQHqEJZqE-st6uFKPoI?usp=share_link")</f>
        <v>https://drive.google.com/drive/folders/10T2cTQHqEJZqE-st6uFKPoI?usp=share_link</v>
      </c>
      <c r="P2069" s="6" t="str">
        <f>IFERROR(__xludf.DUMMYFUNCTION("""COMPUTED_VALUE"""),"Oscar Beard")</f>
        <v>Oscar Beard</v>
      </c>
      <c r="Q2069" s="6" t="str">
        <f>IFERROR(__xludf.DUMMYFUNCTION("""COMPUTED_VALUE"""),"MS")</f>
        <v>MS</v>
      </c>
      <c r="R2069" s="6">
        <f>IFERROR(__xludf.DUMMYFUNCTION("""COMPUTED_VALUE"""),0.0)</f>
        <v>0</v>
      </c>
      <c r="S2069" s="6" t="str">
        <f>IFERROR(__xludf.DUMMYFUNCTION("""COMPUTED_VALUE"""),"Ashley Storms")</f>
        <v>Ashley Storms</v>
      </c>
      <c r="T2069" s="6" t="str">
        <f>IFERROR(__xludf.DUMMYFUNCTION("""COMPUTED_VALUE"""),"ashley.storms@alpha.school")</f>
        <v>ashley.storms@alpha.school</v>
      </c>
      <c r="U2069" s="6" t="str">
        <f>IFERROR(__xludf.DUMMYFUNCTION("""COMPUTED_VALUE"""),"6")</f>
        <v>6</v>
      </c>
      <c r="V2069" s="6" t="str">
        <f>IFERROR(__xludf.DUMMYFUNCTION("""COMPUTED_VALUE"""),"")</f>
        <v/>
      </c>
      <c r="W2069" s="6" t="str">
        <f>IFERROR(__xludf.DUMMYFUNCTION("""COMPUTED_VALUE"""),"[]")</f>
        <v>[]</v>
      </c>
      <c r="X2069" s="6" t="str">
        <f>IFERROR(__xludf.DUMMYFUNCTION("""COMPUTED_VALUE"""),"Enrolled")</f>
        <v>Enrolled</v>
      </c>
    </row>
    <row r="2070">
      <c r="A2070" s="6" t="str">
        <f>IFERROR(__xludf.DUMMYFUNCTION("""COMPUTED_VALUE"""),"030-0795")</f>
        <v>030-0795</v>
      </c>
      <c r="B2070" s="6" t="str">
        <f>IFERROR(__xludf.DUMMYFUNCTION("""COMPUTED_VALUE"""),"30")</f>
        <v>30</v>
      </c>
      <c r="C2070" s="6" t="str">
        <f>IFERROR(__xludf.DUMMYFUNCTION("""COMPUTED_VALUE"""),"0795")</f>
        <v>0795</v>
      </c>
      <c r="D2070" s="6" t="str">
        <f>IFERROR(__xludf.DUMMYFUNCTION("""COMPUTED_VALUE"""),"Kolton")</f>
        <v>Kolton</v>
      </c>
      <c r="E2070" s="6" t="str">
        <f>IFERROR(__xludf.DUMMYFUNCTION("""COMPUTED_VALUE"""),"")</f>
        <v/>
      </c>
      <c r="F2070" s="6" t="str">
        <f>IFERROR(__xludf.DUMMYFUNCTION("""COMPUTED_VALUE"""),"Radtke")</f>
        <v>Radtke</v>
      </c>
      <c r="G2070" s="6" t="str">
        <f>IFERROR(__xludf.DUMMYFUNCTION("""COMPUTED_VALUE"""),"12/23/2014")</f>
        <v>12/23/2014</v>
      </c>
      <c r="H2070" s="6" t="str">
        <f>IFERROR(__xludf.DUMMYFUNCTION("""COMPUTED_VALUE"""),"Self Identify")</f>
        <v>Self Identify</v>
      </c>
      <c r="I2070" s="6" t="str">
        <f>IFERROR(__xludf.DUMMYFUNCTION("""COMPUTED_VALUE"""),"Level 2")</f>
        <v>Level 2</v>
      </c>
      <c r="J2070" s="6" t="str">
        <f>IFERROR(__xludf.DUMMYFUNCTION("""COMPUTED_VALUE"""),"5")</f>
        <v>5</v>
      </c>
      <c r="K2070" s="6" t="str">
        <f>IFERROR(__xludf.DUMMYFUNCTION("""COMPUTED_VALUE"""),"kolton.radtke@novatio.school")</f>
        <v>kolton.radtke@novatio.school</v>
      </c>
      <c r="L2070" s="6" t="str">
        <f>IFERROR(__xludf.DUMMYFUNCTION("""COMPUTED_VALUE"""),"Novatio")</f>
        <v>Novatio</v>
      </c>
      <c r="M2070" s="6" t="str">
        <f>IFERROR(__xludf.DUMMYFUNCTION("""COMPUTED_VALUE"""),"")</f>
        <v/>
      </c>
      <c r="N2070" s="6" t="str">
        <f>IFERROR(__xludf.DUMMYFUNCTION("""COMPUTED_VALUE"""),"")</f>
        <v/>
      </c>
      <c r="O2070" s="87" t="str">
        <f>IFERROR(__xludf.DUMMYFUNCTION("""COMPUTED_VALUE"""),"https://drive.google.com/drive/folders/10T2cTQHqEJZqE-st6uFKPoI?usp=share_link")</f>
        <v>https://drive.google.com/drive/folders/10T2cTQHqEJZqE-st6uFKPoI?usp=share_link</v>
      </c>
      <c r="P2070" s="6" t="str">
        <f>IFERROR(__xludf.DUMMYFUNCTION("""COMPUTED_VALUE"""),"Kolton Radtke")</f>
        <v>Kolton Radtke</v>
      </c>
      <c r="Q2070" s="6" t="str">
        <f>IFERROR(__xludf.DUMMYFUNCTION("""COMPUTED_VALUE"""),"L2")</f>
        <v>L2</v>
      </c>
      <c r="R2070" s="6">
        <f>IFERROR(__xludf.DUMMYFUNCTION("""COMPUTED_VALUE"""),2.0)</f>
        <v>2</v>
      </c>
      <c r="S2070" s="6" t="str">
        <f>IFERROR(__xludf.DUMMYFUNCTION("""COMPUTED_VALUE""")," ")</f>
        <v> </v>
      </c>
      <c r="T2070" s="6" t="str">
        <f>IFERROR(__xludf.DUMMYFUNCTION("""COMPUTED_VALUE"""),"")</f>
        <v/>
      </c>
      <c r="U2070" s="6" t="str">
        <f>IFERROR(__xludf.DUMMYFUNCTION("""COMPUTED_VALUE"""),"5")</f>
        <v>5</v>
      </c>
      <c r="V2070" s="6" t="str">
        <f>IFERROR(__xludf.DUMMYFUNCTION("""COMPUTED_VALUE"""),"English")</f>
        <v>English</v>
      </c>
      <c r="W2070" s="6" t="str">
        <f>IFERROR(__xludf.DUMMYFUNCTION("""COMPUTED_VALUE"""),"[]")</f>
        <v>[]</v>
      </c>
      <c r="X2070" s="6" t="str">
        <f>IFERROR(__xludf.DUMMYFUNCTION("""COMPUTED_VALUE"""),"Enrolled")</f>
        <v>Enrolled</v>
      </c>
    </row>
    <row r="2071">
      <c r="A2071" s="6" t="str">
        <f>IFERROR(__xludf.DUMMYFUNCTION("""COMPUTED_VALUE"""),"030-0796")</f>
        <v>030-0796</v>
      </c>
      <c r="B2071" s="6" t="str">
        <f>IFERROR(__xludf.DUMMYFUNCTION("""COMPUTED_VALUE"""),"30")</f>
        <v>30</v>
      </c>
      <c r="C2071" s="6" t="str">
        <f>IFERROR(__xludf.DUMMYFUNCTION("""COMPUTED_VALUE"""),"0796")</f>
        <v>0796</v>
      </c>
      <c r="D2071" s="6" t="str">
        <f>IFERROR(__xludf.DUMMYFUNCTION("""COMPUTED_VALUE"""),"Kherington")</f>
        <v>Kherington</v>
      </c>
      <c r="E2071" s="6" t="str">
        <f>IFERROR(__xludf.DUMMYFUNCTION("""COMPUTED_VALUE"""),"")</f>
        <v/>
      </c>
      <c r="F2071" s="6" t="str">
        <f>IFERROR(__xludf.DUMMYFUNCTION("""COMPUTED_VALUE"""),"Radtke")</f>
        <v>Radtke</v>
      </c>
      <c r="G2071" s="6" t="str">
        <f>IFERROR(__xludf.DUMMYFUNCTION("""COMPUTED_VALUE"""),"06/27/2016")</f>
        <v>06/27/2016</v>
      </c>
      <c r="H2071" s="6" t="str">
        <f>IFERROR(__xludf.DUMMYFUNCTION("""COMPUTED_VALUE"""),"Self Identify")</f>
        <v>Self Identify</v>
      </c>
      <c r="I2071" s="6" t="str">
        <f>IFERROR(__xludf.DUMMYFUNCTION("""COMPUTED_VALUE"""),"Level 2")</f>
        <v>Level 2</v>
      </c>
      <c r="J2071" s="6" t="str">
        <f>IFERROR(__xludf.DUMMYFUNCTION("""COMPUTED_VALUE"""),"5")</f>
        <v>5</v>
      </c>
      <c r="K2071" s="6" t="str">
        <f>IFERROR(__xludf.DUMMYFUNCTION("""COMPUTED_VALUE"""),"kherington.radtke@novatio.school")</f>
        <v>kherington.radtke@novatio.school</v>
      </c>
      <c r="L2071" s="6" t="str">
        <f>IFERROR(__xludf.DUMMYFUNCTION("""COMPUTED_VALUE"""),"Novatio")</f>
        <v>Novatio</v>
      </c>
      <c r="M2071" s="6" t="str">
        <f>IFERROR(__xludf.DUMMYFUNCTION("""COMPUTED_VALUE"""),"")</f>
        <v/>
      </c>
      <c r="N2071" s="6" t="str">
        <f>IFERROR(__xludf.DUMMYFUNCTION("""COMPUTED_VALUE"""),"")</f>
        <v/>
      </c>
      <c r="O2071" s="87" t="str">
        <f>IFERROR(__xludf.DUMMYFUNCTION("""COMPUTED_VALUE"""),"https://drive.google.com/drive/folders/10T2cTQHqEJZqE-st6uFKPoI?usp=share_link")</f>
        <v>https://drive.google.com/drive/folders/10T2cTQHqEJZqE-st6uFKPoI?usp=share_link</v>
      </c>
      <c r="P2071" s="6" t="str">
        <f>IFERROR(__xludf.DUMMYFUNCTION("""COMPUTED_VALUE"""),"Kherington Radtke")</f>
        <v>Kherington Radtke</v>
      </c>
      <c r="Q2071" s="6" t="str">
        <f>IFERROR(__xludf.DUMMYFUNCTION("""COMPUTED_VALUE"""),"L2")</f>
        <v>L2</v>
      </c>
      <c r="R2071" s="6">
        <f>IFERROR(__xludf.DUMMYFUNCTION("""COMPUTED_VALUE"""),2.0)</f>
        <v>2</v>
      </c>
      <c r="S2071" s="6" t="str">
        <f>IFERROR(__xludf.DUMMYFUNCTION("""COMPUTED_VALUE""")," ")</f>
        <v> </v>
      </c>
      <c r="T2071" s="6" t="str">
        <f>IFERROR(__xludf.DUMMYFUNCTION("""COMPUTED_VALUE"""),"")</f>
        <v/>
      </c>
      <c r="U2071" s="6" t="str">
        <f>IFERROR(__xludf.DUMMYFUNCTION("""COMPUTED_VALUE"""),"5")</f>
        <v>5</v>
      </c>
      <c r="V2071" s="6" t="str">
        <f>IFERROR(__xludf.DUMMYFUNCTION("""COMPUTED_VALUE"""),"English")</f>
        <v>English</v>
      </c>
      <c r="W2071" s="6" t="str">
        <f>IFERROR(__xludf.DUMMYFUNCTION("""COMPUTED_VALUE"""),"[]")</f>
        <v>[]</v>
      </c>
      <c r="X2071" s="6" t="str">
        <f>IFERROR(__xludf.DUMMYFUNCTION("""COMPUTED_VALUE"""),"Enrolled")</f>
        <v>Enrolled</v>
      </c>
    </row>
    <row r="2072">
      <c r="A2072" s="6" t="str">
        <f>IFERROR(__xludf.DUMMYFUNCTION("""COMPUTED_VALUE"""),"030-10056")</f>
        <v>030-10056</v>
      </c>
      <c r="B2072" s="6" t="str">
        <f>IFERROR(__xludf.DUMMYFUNCTION("""COMPUTED_VALUE"""),"30")</f>
        <v>30</v>
      </c>
      <c r="C2072" s="6" t="str">
        <f>IFERROR(__xludf.DUMMYFUNCTION("""COMPUTED_VALUE"""),"10056")</f>
        <v>10056</v>
      </c>
      <c r="D2072" s="6" t="str">
        <f>IFERROR(__xludf.DUMMYFUNCTION("""COMPUTED_VALUE"""),"Ezekiel")</f>
        <v>Ezekiel</v>
      </c>
      <c r="E2072" s="6" t="str">
        <f>IFERROR(__xludf.DUMMYFUNCTION("""COMPUTED_VALUE"""),"")</f>
        <v/>
      </c>
      <c r="F2072" s="6" t="str">
        <f>IFERROR(__xludf.DUMMYFUNCTION("""COMPUTED_VALUE"""),"Villa")</f>
        <v>Villa</v>
      </c>
      <c r="G2072" s="6" t="str">
        <f>IFERROR(__xludf.DUMMYFUNCTION("""COMPUTED_VALUE"""),"08/03/2018")</f>
        <v>08/03/2018</v>
      </c>
      <c r="H2072" s="6" t="str">
        <f>IFERROR(__xludf.DUMMYFUNCTION("""COMPUTED_VALUE"""),"Self Identify")</f>
        <v>Self Identify</v>
      </c>
      <c r="I2072" s="6" t="str">
        <f>IFERROR(__xludf.DUMMYFUNCTION("""COMPUTED_VALUE"""),"Level 1")</f>
        <v>Level 1</v>
      </c>
      <c r="J2072" s="6" t="str">
        <f>IFERROR(__xludf.DUMMYFUNCTION("""COMPUTED_VALUE"""),"2")</f>
        <v>2</v>
      </c>
      <c r="K2072" s="6" t="str">
        <f>IFERROR(__xludf.DUMMYFUNCTION("""COMPUTED_VALUE"""),"ezekiel.villa@novatio.school")</f>
        <v>ezekiel.villa@novatio.school</v>
      </c>
      <c r="L2072" s="6" t="str">
        <f>IFERROR(__xludf.DUMMYFUNCTION("""COMPUTED_VALUE"""),"Novatio")</f>
        <v>Novatio</v>
      </c>
      <c r="M2072" s="6" t="str">
        <f>IFERROR(__xludf.DUMMYFUNCTION("""COMPUTED_VALUE"""),"")</f>
        <v/>
      </c>
      <c r="N2072" s="6" t="str">
        <f>IFERROR(__xludf.DUMMYFUNCTION("""COMPUTED_VALUE"""),"")</f>
        <v/>
      </c>
      <c r="O2072" s="87" t="str">
        <f>IFERROR(__xludf.DUMMYFUNCTION("""COMPUTED_VALUE"""),"https://drive.google.com/drive/folders/10T2cTQHqEJZqE-st6uFKPoI?usp=share_link")</f>
        <v>https://drive.google.com/drive/folders/10T2cTQHqEJZqE-st6uFKPoI?usp=share_link</v>
      </c>
      <c r="P2072" s="6" t="str">
        <f>IFERROR(__xludf.DUMMYFUNCTION("""COMPUTED_VALUE"""),"Ezekiel Villa")</f>
        <v>Ezekiel Villa</v>
      </c>
      <c r="Q2072" s="6" t="str">
        <f>IFERROR(__xludf.DUMMYFUNCTION("""COMPUTED_VALUE"""),"L1")</f>
        <v>L1</v>
      </c>
      <c r="R2072" s="6">
        <f>IFERROR(__xludf.DUMMYFUNCTION("""COMPUTED_VALUE"""),1.0)</f>
        <v>1</v>
      </c>
      <c r="S2072" s="6" t="str">
        <f>IFERROR(__xludf.DUMMYFUNCTION("""COMPUTED_VALUE""")," ")</f>
        <v> </v>
      </c>
      <c r="T2072" s="6" t="str">
        <f>IFERROR(__xludf.DUMMYFUNCTION("""COMPUTED_VALUE"""),"")</f>
        <v/>
      </c>
      <c r="U2072" s="6" t="str">
        <f>IFERROR(__xludf.DUMMYFUNCTION("""COMPUTED_VALUE"""),"2")</f>
        <v>2</v>
      </c>
      <c r="V2072" s="6" t="str">
        <f>IFERROR(__xludf.DUMMYFUNCTION("""COMPUTED_VALUE"""),"")</f>
        <v/>
      </c>
      <c r="W2072" s="6" t="str">
        <f>IFERROR(__xludf.DUMMYFUNCTION("""COMPUTED_VALUE"""),"[]")</f>
        <v>[]</v>
      </c>
      <c r="X2072" s="6" t="str">
        <f>IFERROR(__xludf.DUMMYFUNCTION("""COMPUTED_VALUE"""),"Enrolled")</f>
        <v>Enrolled</v>
      </c>
    </row>
    <row r="2073">
      <c r="A2073" s="6" t="str">
        <f>IFERROR(__xludf.DUMMYFUNCTION("""COMPUTED_VALUE"""),"030-10301")</f>
        <v>030-10301</v>
      </c>
      <c r="B2073" s="6" t="str">
        <f>IFERROR(__xludf.DUMMYFUNCTION("""COMPUTED_VALUE"""),"30")</f>
        <v>30</v>
      </c>
      <c r="C2073" s="6" t="str">
        <f>IFERROR(__xludf.DUMMYFUNCTION("""COMPUTED_VALUE"""),"10301")</f>
        <v>10301</v>
      </c>
      <c r="D2073" s="6" t="str">
        <f>IFERROR(__xludf.DUMMYFUNCTION("""COMPUTED_VALUE"""),"Caleb")</f>
        <v>Caleb</v>
      </c>
      <c r="E2073" s="6" t="str">
        <f>IFERROR(__xludf.DUMMYFUNCTION("""COMPUTED_VALUE"""),"")</f>
        <v/>
      </c>
      <c r="F2073" s="6" t="str">
        <f>IFERROR(__xludf.DUMMYFUNCTION("""COMPUTED_VALUE"""),"Magallanes")</f>
        <v>Magallanes</v>
      </c>
      <c r="G2073" s="6" t="str">
        <f>IFERROR(__xludf.DUMMYFUNCTION("""COMPUTED_VALUE"""),"11/20/2012")</f>
        <v>11/20/2012</v>
      </c>
      <c r="H2073" s="6" t="str">
        <f>IFERROR(__xludf.DUMMYFUNCTION("""COMPUTED_VALUE"""),"Self Identify")</f>
        <v>Self Identify</v>
      </c>
      <c r="I2073" s="6" t="str">
        <f>IFERROR(__xludf.DUMMYFUNCTION("""COMPUTED_VALUE"""),"Middle School")</f>
        <v>Middle School</v>
      </c>
      <c r="J2073" s="6" t="str">
        <f>IFERROR(__xludf.DUMMYFUNCTION("""COMPUTED_VALUE"""),"7")</f>
        <v>7</v>
      </c>
      <c r="K2073" s="6" t="str">
        <f>IFERROR(__xludf.DUMMYFUNCTION("""COMPUTED_VALUE"""),"caleb.magallanes@novatio.school")</f>
        <v>caleb.magallanes@novatio.school</v>
      </c>
      <c r="L2073" s="6" t="str">
        <f>IFERROR(__xludf.DUMMYFUNCTION("""COMPUTED_VALUE"""),"Novatio")</f>
        <v>Novatio</v>
      </c>
      <c r="M2073" s="6" t="str">
        <f>IFERROR(__xludf.DUMMYFUNCTION("""COMPUTED_VALUE"""),"")</f>
        <v/>
      </c>
      <c r="N2073" s="6" t="str">
        <f>IFERROR(__xludf.DUMMYFUNCTION("""COMPUTED_VALUE"""),"")</f>
        <v/>
      </c>
      <c r="O2073" s="87" t="str">
        <f>IFERROR(__xludf.DUMMYFUNCTION("""COMPUTED_VALUE"""),"https://drive.google.com/drive/folders/10T2cTQHqEJZqE-st6uFKPoI?usp=share_link")</f>
        <v>https://drive.google.com/drive/folders/10T2cTQHqEJZqE-st6uFKPoI?usp=share_link</v>
      </c>
      <c r="P2073" s="6" t="str">
        <f>IFERROR(__xludf.DUMMYFUNCTION("""COMPUTED_VALUE"""),"Caleb Magallanes")</f>
        <v>Caleb Magallanes</v>
      </c>
      <c r="Q2073" s="6" t="str">
        <f>IFERROR(__xludf.DUMMYFUNCTION("""COMPUTED_VALUE"""),"MS")</f>
        <v>MS</v>
      </c>
      <c r="R2073" s="6">
        <f>IFERROR(__xludf.DUMMYFUNCTION("""COMPUTED_VALUE"""),0.0)</f>
        <v>0</v>
      </c>
      <c r="S2073" s="6" t="str">
        <f>IFERROR(__xludf.DUMMYFUNCTION("""COMPUTED_VALUE""")," ")</f>
        <v> </v>
      </c>
      <c r="T2073" s="6" t="str">
        <f>IFERROR(__xludf.DUMMYFUNCTION("""COMPUTED_VALUE"""),"")</f>
        <v/>
      </c>
      <c r="U2073" s="6" t="str">
        <f>IFERROR(__xludf.DUMMYFUNCTION("""COMPUTED_VALUE"""),"7")</f>
        <v>7</v>
      </c>
      <c r="V2073" s="6" t="str">
        <f>IFERROR(__xludf.DUMMYFUNCTION("""COMPUTED_VALUE"""),"")</f>
        <v/>
      </c>
      <c r="W2073" s="6" t="str">
        <f>IFERROR(__xludf.DUMMYFUNCTION("""COMPUTED_VALUE"""),"[]")</f>
        <v>[]</v>
      </c>
      <c r="X2073" s="6" t="str">
        <f>IFERROR(__xludf.DUMMYFUNCTION("""COMPUTED_VALUE"""),"Enrolled")</f>
        <v>Enrolled</v>
      </c>
    </row>
    <row r="2074">
      <c r="A2074" s="6" t="str">
        <f>IFERROR(__xludf.DUMMYFUNCTION("""COMPUTED_VALUE"""),"030-10302")</f>
        <v>030-10302</v>
      </c>
      <c r="B2074" s="6" t="str">
        <f>IFERROR(__xludf.DUMMYFUNCTION("""COMPUTED_VALUE"""),"30")</f>
        <v>30</v>
      </c>
      <c r="C2074" s="6" t="str">
        <f>IFERROR(__xludf.DUMMYFUNCTION("""COMPUTED_VALUE"""),"10302")</f>
        <v>10302</v>
      </c>
      <c r="D2074" s="6" t="str">
        <f>IFERROR(__xludf.DUMMYFUNCTION("""COMPUTED_VALUE"""),"Gyshelah")</f>
        <v>Gyshelah</v>
      </c>
      <c r="E2074" s="6" t="str">
        <f>IFERROR(__xludf.DUMMYFUNCTION("""COMPUTED_VALUE"""),"")</f>
        <v/>
      </c>
      <c r="F2074" s="6" t="str">
        <f>IFERROR(__xludf.DUMMYFUNCTION("""COMPUTED_VALUE"""),"Moultry")</f>
        <v>Moultry</v>
      </c>
      <c r="G2074" s="6" t="str">
        <f>IFERROR(__xludf.DUMMYFUNCTION("""COMPUTED_VALUE"""),"03/24/2012")</f>
        <v>03/24/2012</v>
      </c>
      <c r="H2074" s="6" t="str">
        <f>IFERROR(__xludf.DUMMYFUNCTION("""COMPUTED_VALUE"""),"Self Identify")</f>
        <v>Self Identify</v>
      </c>
      <c r="I2074" s="6" t="str">
        <f>IFERROR(__xludf.DUMMYFUNCTION("""COMPUTED_VALUE"""),"Middle School")</f>
        <v>Middle School</v>
      </c>
      <c r="J2074" s="6" t="str">
        <f>IFERROR(__xludf.DUMMYFUNCTION("""COMPUTED_VALUE"""),"8")</f>
        <v>8</v>
      </c>
      <c r="K2074" s="6" t="str">
        <f>IFERROR(__xludf.DUMMYFUNCTION("""COMPUTED_VALUE"""),"gyshelah.moultry@novatio.school")</f>
        <v>gyshelah.moultry@novatio.school</v>
      </c>
      <c r="L2074" s="6" t="str">
        <f>IFERROR(__xludf.DUMMYFUNCTION("""COMPUTED_VALUE"""),"Novatio")</f>
        <v>Novatio</v>
      </c>
      <c r="M2074" s="6" t="str">
        <f>IFERROR(__xludf.DUMMYFUNCTION("""COMPUTED_VALUE"""),"")</f>
        <v/>
      </c>
      <c r="N2074" s="6" t="str">
        <f>IFERROR(__xludf.DUMMYFUNCTION("""COMPUTED_VALUE"""),"")</f>
        <v/>
      </c>
      <c r="O2074" s="87" t="str">
        <f>IFERROR(__xludf.DUMMYFUNCTION("""COMPUTED_VALUE"""),"https://drive.google.com/drive/folders/10T2cTQHqEJZqE-st6uFKPoI?usp=share_link")</f>
        <v>https://drive.google.com/drive/folders/10T2cTQHqEJZqE-st6uFKPoI?usp=share_link</v>
      </c>
      <c r="P2074" s="6" t="str">
        <f>IFERROR(__xludf.DUMMYFUNCTION("""COMPUTED_VALUE"""),"Gyshelah Moultry")</f>
        <v>Gyshelah Moultry</v>
      </c>
      <c r="Q2074" s="6" t="str">
        <f>IFERROR(__xludf.DUMMYFUNCTION("""COMPUTED_VALUE"""),"MS")</f>
        <v>MS</v>
      </c>
      <c r="R2074" s="6">
        <f>IFERROR(__xludf.DUMMYFUNCTION("""COMPUTED_VALUE"""),0.0)</f>
        <v>0</v>
      </c>
      <c r="S2074" s="6" t="str">
        <f>IFERROR(__xludf.DUMMYFUNCTION("""COMPUTED_VALUE""")," ")</f>
        <v> </v>
      </c>
      <c r="T2074" s="6" t="str">
        <f>IFERROR(__xludf.DUMMYFUNCTION("""COMPUTED_VALUE"""),"")</f>
        <v/>
      </c>
      <c r="U2074" s="6" t="str">
        <f>IFERROR(__xludf.DUMMYFUNCTION("""COMPUTED_VALUE"""),"8")</f>
        <v>8</v>
      </c>
      <c r="V2074" s="6" t="str">
        <f>IFERROR(__xludf.DUMMYFUNCTION("""COMPUTED_VALUE"""),"")</f>
        <v/>
      </c>
      <c r="W2074" s="6" t="str">
        <f>IFERROR(__xludf.DUMMYFUNCTION("""COMPUTED_VALUE"""),"[]")</f>
        <v>[]</v>
      </c>
      <c r="X2074" s="6" t="str">
        <f>IFERROR(__xludf.DUMMYFUNCTION("""COMPUTED_VALUE"""),"Enrolled")</f>
        <v>Enrolled</v>
      </c>
    </row>
    <row r="2075">
      <c r="A2075" s="6" t="str">
        <f>IFERROR(__xludf.DUMMYFUNCTION("""COMPUTED_VALUE"""),"030-10402")</f>
        <v>030-10402</v>
      </c>
      <c r="B2075" s="6" t="str">
        <f>IFERROR(__xludf.DUMMYFUNCTION("""COMPUTED_VALUE"""),"30")</f>
        <v>30</v>
      </c>
      <c r="C2075" s="6" t="str">
        <f>IFERROR(__xludf.DUMMYFUNCTION("""COMPUTED_VALUE"""),"10402")</f>
        <v>10402</v>
      </c>
      <c r="D2075" s="6" t="str">
        <f>IFERROR(__xludf.DUMMYFUNCTION("""COMPUTED_VALUE"""),"Gacori")</f>
        <v>Gacori</v>
      </c>
      <c r="E2075" s="6" t="str">
        <f>IFERROR(__xludf.DUMMYFUNCTION("""COMPUTED_VALUE"""),"")</f>
        <v/>
      </c>
      <c r="F2075" s="6" t="str">
        <f>IFERROR(__xludf.DUMMYFUNCTION("""COMPUTED_VALUE"""),"Moultry")</f>
        <v>Moultry</v>
      </c>
      <c r="G2075" s="6" t="str">
        <f>IFERROR(__xludf.DUMMYFUNCTION("""COMPUTED_VALUE"""),"09/24/2016")</f>
        <v>09/24/2016</v>
      </c>
      <c r="H2075" s="6" t="str">
        <f>IFERROR(__xludf.DUMMYFUNCTION("""COMPUTED_VALUE"""),"Self Identify")</f>
        <v>Self Identify</v>
      </c>
      <c r="I2075" s="6" t="str">
        <f>IFERROR(__xludf.DUMMYFUNCTION("""COMPUTED_VALUE"""),"Level 2")</f>
        <v>Level 2</v>
      </c>
      <c r="J2075" s="6" t="str">
        <f>IFERROR(__xludf.DUMMYFUNCTION("""COMPUTED_VALUE"""),"4")</f>
        <v>4</v>
      </c>
      <c r="K2075" s="6" t="str">
        <f>IFERROR(__xludf.DUMMYFUNCTION("""COMPUTED_VALUE"""),"gacori.moultry@novatio.school")</f>
        <v>gacori.moultry@novatio.school</v>
      </c>
      <c r="L2075" s="6" t="str">
        <f>IFERROR(__xludf.DUMMYFUNCTION("""COMPUTED_VALUE"""),"Novatio")</f>
        <v>Novatio</v>
      </c>
      <c r="M2075" s="6" t="str">
        <f>IFERROR(__xludf.DUMMYFUNCTION("""COMPUTED_VALUE"""),"")</f>
        <v/>
      </c>
      <c r="N2075" s="6" t="str">
        <f>IFERROR(__xludf.DUMMYFUNCTION("""COMPUTED_VALUE"""),"")</f>
        <v/>
      </c>
      <c r="O2075" s="87" t="str">
        <f>IFERROR(__xludf.DUMMYFUNCTION("""COMPUTED_VALUE"""),"https://drive.google.com/drive/folders/10T2cTQHqEJZqE-st6uFKPoI?usp=share_link")</f>
        <v>https://drive.google.com/drive/folders/10T2cTQHqEJZqE-st6uFKPoI?usp=share_link</v>
      </c>
      <c r="P2075" s="6" t="str">
        <f>IFERROR(__xludf.DUMMYFUNCTION("""COMPUTED_VALUE"""),"Gacori Moultry")</f>
        <v>Gacori Moultry</v>
      </c>
      <c r="Q2075" s="6" t="str">
        <f>IFERROR(__xludf.DUMMYFUNCTION("""COMPUTED_VALUE"""),"L2")</f>
        <v>L2</v>
      </c>
      <c r="R2075" s="6">
        <f>IFERROR(__xludf.DUMMYFUNCTION("""COMPUTED_VALUE"""),2.0)</f>
        <v>2</v>
      </c>
      <c r="S2075" s="6" t="str">
        <f>IFERROR(__xludf.DUMMYFUNCTION("""COMPUTED_VALUE""")," ")</f>
        <v> </v>
      </c>
      <c r="T2075" s="6" t="str">
        <f>IFERROR(__xludf.DUMMYFUNCTION("""COMPUTED_VALUE"""),"")</f>
        <v/>
      </c>
      <c r="U2075" s="6" t="str">
        <f>IFERROR(__xludf.DUMMYFUNCTION("""COMPUTED_VALUE"""),"4")</f>
        <v>4</v>
      </c>
      <c r="V2075" s="6" t="str">
        <f>IFERROR(__xludf.DUMMYFUNCTION("""COMPUTED_VALUE"""),"")</f>
        <v/>
      </c>
      <c r="W2075" s="6" t="str">
        <f>IFERROR(__xludf.DUMMYFUNCTION("""COMPUTED_VALUE"""),"[]")</f>
        <v>[]</v>
      </c>
      <c r="X2075" s="6" t="str">
        <f>IFERROR(__xludf.DUMMYFUNCTION("""COMPUTED_VALUE"""),"Enrolled")</f>
        <v>Enrolled</v>
      </c>
    </row>
    <row r="2076">
      <c r="A2076" s="6" t="str">
        <f>IFERROR(__xludf.DUMMYFUNCTION("""COMPUTED_VALUE"""),"030-10403")</f>
        <v>030-10403</v>
      </c>
      <c r="B2076" s="6" t="str">
        <f>IFERROR(__xludf.DUMMYFUNCTION("""COMPUTED_VALUE"""),"30")</f>
        <v>30</v>
      </c>
      <c r="C2076" s="6" t="str">
        <f>IFERROR(__xludf.DUMMYFUNCTION("""COMPUTED_VALUE"""),"10403")</f>
        <v>10403</v>
      </c>
      <c r="D2076" s="6" t="str">
        <f>IFERROR(__xludf.DUMMYFUNCTION("""COMPUTED_VALUE"""),"Gakai")</f>
        <v>Gakai</v>
      </c>
      <c r="E2076" s="6" t="str">
        <f>IFERROR(__xludf.DUMMYFUNCTION("""COMPUTED_VALUE"""),"")</f>
        <v/>
      </c>
      <c r="F2076" s="6" t="str">
        <f>IFERROR(__xludf.DUMMYFUNCTION("""COMPUTED_VALUE"""),"Moultry")</f>
        <v>Moultry</v>
      </c>
      <c r="G2076" s="6" t="str">
        <f>IFERROR(__xludf.DUMMYFUNCTION("""COMPUTED_VALUE"""),"04/02/2018")</f>
        <v>04/02/2018</v>
      </c>
      <c r="H2076" s="6" t="str">
        <f>IFERROR(__xludf.DUMMYFUNCTION("""COMPUTED_VALUE"""),"Self Identify")</f>
        <v>Self Identify</v>
      </c>
      <c r="I2076" s="6" t="str">
        <f>IFERROR(__xludf.DUMMYFUNCTION("""COMPUTED_VALUE"""),"Level 1")</f>
        <v>Level 1</v>
      </c>
      <c r="J2076" s="6" t="str">
        <f>IFERROR(__xludf.DUMMYFUNCTION("""COMPUTED_VALUE"""),"2")</f>
        <v>2</v>
      </c>
      <c r="K2076" s="6" t="str">
        <f>IFERROR(__xludf.DUMMYFUNCTION("""COMPUTED_VALUE"""),"gakai.moultry@novatio.school")</f>
        <v>gakai.moultry@novatio.school</v>
      </c>
      <c r="L2076" s="6" t="str">
        <f>IFERROR(__xludf.DUMMYFUNCTION("""COMPUTED_VALUE"""),"Novatio")</f>
        <v>Novatio</v>
      </c>
      <c r="M2076" s="6" t="str">
        <f>IFERROR(__xludf.DUMMYFUNCTION("""COMPUTED_VALUE"""),"")</f>
        <v/>
      </c>
      <c r="N2076" s="6" t="str">
        <f>IFERROR(__xludf.DUMMYFUNCTION("""COMPUTED_VALUE"""),"")</f>
        <v/>
      </c>
      <c r="O2076" s="87" t="str">
        <f>IFERROR(__xludf.DUMMYFUNCTION("""COMPUTED_VALUE"""),"https://drive.google.com/drive/folders/10T2cTQHqEJZqE-st6uFKPoI?usp=share_link")</f>
        <v>https://drive.google.com/drive/folders/10T2cTQHqEJZqE-st6uFKPoI?usp=share_link</v>
      </c>
      <c r="P2076" s="6" t="str">
        <f>IFERROR(__xludf.DUMMYFUNCTION("""COMPUTED_VALUE"""),"Gakai Moultry")</f>
        <v>Gakai Moultry</v>
      </c>
      <c r="Q2076" s="6" t="str">
        <f>IFERROR(__xludf.DUMMYFUNCTION("""COMPUTED_VALUE"""),"L1")</f>
        <v>L1</v>
      </c>
      <c r="R2076" s="6">
        <f>IFERROR(__xludf.DUMMYFUNCTION("""COMPUTED_VALUE"""),1.0)</f>
        <v>1</v>
      </c>
      <c r="S2076" s="6" t="str">
        <f>IFERROR(__xludf.DUMMYFUNCTION("""COMPUTED_VALUE""")," ")</f>
        <v> </v>
      </c>
      <c r="T2076" s="6" t="str">
        <f>IFERROR(__xludf.DUMMYFUNCTION("""COMPUTED_VALUE"""),"")</f>
        <v/>
      </c>
      <c r="U2076" s="6" t="str">
        <f>IFERROR(__xludf.DUMMYFUNCTION("""COMPUTED_VALUE"""),"2")</f>
        <v>2</v>
      </c>
      <c r="V2076" s="6" t="str">
        <f>IFERROR(__xludf.DUMMYFUNCTION("""COMPUTED_VALUE"""),"")</f>
        <v/>
      </c>
      <c r="W2076" s="6" t="str">
        <f>IFERROR(__xludf.DUMMYFUNCTION("""COMPUTED_VALUE"""),"[]")</f>
        <v>[]</v>
      </c>
      <c r="X2076" s="6" t="str">
        <f>IFERROR(__xludf.DUMMYFUNCTION("""COMPUTED_VALUE"""),"Enrolled")</f>
        <v>Enrolled</v>
      </c>
    </row>
    <row r="2077">
      <c r="A2077" s="6" t="str">
        <f>IFERROR(__xludf.DUMMYFUNCTION("""COMPUTED_VALUE"""),"030-10404")</f>
        <v>030-10404</v>
      </c>
      <c r="B2077" s="6" t="str">
        <f>IFERROR(__xludf.DUMMYFUNCTION("""COMPUTED_VALUE"""),"30")</f>
        <v>30</v>
      </c>
      <c r="C2077" s="6" t="str">
        <f>IFERROR(__xludf.DUMMYFUNCTION("""COMPUTED_VALUE"""),"10404")</f>
        <v>10404</v>
      </c>
      <c r="D2077" s="6" t="str">
        <f>IFERROR(__xludf.DUMMYFUNCTION("""COMPUTED_VALUE"""),"Genai")</f>
        <v>Genai</v>
      </c>
      <c r="E2077" s="6" t="str">
        <f>IFERROR(__xludf.DUMMYFUNCTION("""COMPUTED_VALUE"""),"")</f>
        <v/>
      </c>
      <c r="F2077" s="6" t="str">
        <f>IFERROR(__xludf.DUMMYFUNCTION("""COMPUTED_VALUE"""),"Moultry")</f>
        <v>Moultry</v>
      </c>
      <c r="G2077" s="6" t="str">
        <f>IFERROR(__xludf.DUMMYFUNCTION("""COMPUTED_VALUE"""),"02/02/2016")</f>
        <v>02/02/2016</v>
      </c>
      <c r="H2077" s="6" t="str">
        <f>IFERROR(__xludf.DUMMYFUNCTION("""COMPUTED_VALUE"""),"Self Identify")</f>
        <v>Self Identify</v>
      </c>
      <c r="I2077" s="6" t="str">
        <f>IFERROR(__xludf.DUMMYFUNCTION("""COMPUTED_VALUE"""),"Level 2")</f>
        <v>Level 2</v>
      </c>
      <c r="J2077" s="6" t="str">
        <f>IFERROR(__xludf.DUMMYFUNCTION("""COMPUTED_VALUE"""),"4")</f>
        <v>4</v>
      </c>
      <c r="K2077" s="6" t="str">
        <f>IFERROR(__xludf.DUMMYFUNCTION("""COMPUTED_VALUE"""),"genai.moultry@novatio.school")</f>
        <v>genai.moultry@novatio.school</v>
      </c>
      <c r="L2077" s="6" t="str">
        <f>IFERROR(__xludf.DUMMYFUNCTION("""COMPUTED_VALUE"""),"Novatio")</f>
        <v>Novatio</v>
      </c>
      <c r="M2077" s="6" t="str">
        <f>IFERROR(__xludf.DUMMYFUNCTION("""COMPUTED_VALUE"""),"")</f>
        <v/>
      </c>
      <c r="N2077" s="6" t="str">
        <f>IFERROR(__xludf.DUMMYFUNCTION("""COMPUTED_VALUE"""),"")</f>
        <v/>
      </c>
      <c r="O2077" s="87" t="str">
        <f>IFERROR(__xludf.DUMMYFUNCTION("""COMPUTED_VALUE"""),"https://drive.google.com/drive/folders/10T2cTQHqEJZqE-st6uFKPoI?usp=share_link")</f>
        <v>https://drive.google.com/drive/folders/10T2cTQHqEJZqE-st6uFKPoI?usp=share_link</v>
      </c>
      <c r="P2077" s="6" t="str">
        <f>IFERROR(__xludf.DUMMYFUNCTION("""COMPUTED_VALUE"""),"Genai Moultry")</f>
        <v>Genai Moultry</v>
      </c>
      <c r="Q2077" s="6" t="str">
        <f>IFERROR(__xludf.DUMMYFUNCTION("""COMPUTED_VALUE"""),"L2")</f>
        <v>L2</v>
      </c>
      <c r="R2077" s="6">
        <f>IFERROR(__xludf.DUMMYFUNCTION("""COMPUTED_VALUE"""),2.0)</f>
        <v>2</v>
      </c>
      <c r="S2077" s="6" t="str">
        <f>IFERROR(__xludf.DUMMYFUNCTION("""COMPUTED_VALUE""")," ")</f>
        <v> </v>
      </c>
      <c r="T2077" s="6" t="str">
        <f>IFERROR(__xludf.DUMMYFUNCTION("""COMPUTED_VALUE"""),"")</f>
        <v/>
      </c>
      <c r="U2077" s="6" t="str">
        <f>IFERROR(__xludf.DUMMYFUNCTION("""COMPUTED_VALUE"""),"4")</f>
        <v>4</v>
      </c>
      <c r="V2077" s="6" t="str">
        <f>IFERROR(__xludf.DUMMYFUNCTION("""COMPUTED_VALUE"""),"")</f>
        <v/>
      </c>
      <c r="W2077" s="6" t="str">
        <f>IFERROR(__xludf.DUMMYFUNCTION("""COMPUTED_VALUE"""),"[]")</f>
        <v>[]</v>
      </c>
      <c r="X2077" s="6" t="str">
        <f>IFERROR(__xludf.DUMMYFUNCTION("""COMPUTED_VALUE"""),"Enrolled")</f>
        <v>Enrolled</v>
      </c>
    </row>
    <row r="2078">
      <c r="A2078" s="6" t="str">
        <f>IFERROR(__xludf.DUMMYFUNCTION("""COMPUTED_VALUE"""),"030-10409")</f>
        <v>030-10409</v>
      </c>
      <c r="B2078" s="6" t="str">
        <f>IFERROR(__xludf.DUMMYFUNCTION("""COMPUTED_VALUE"""),"30")</f>
        <v>30</v>
      </c>
      <c r="C2078" s="6" t="str">
        <f>IFERROR(__xludf.DUMMYFUNCTION("""COMPUTED_VALUE"""),"10409")</f>
        <v>10409</v>
      </c>
      <c r="D2078" s="6" t="str">
        <f>IFERROR(__xludf.DUMMYFUNCTION("""COMPUTED_VALUE"""),"Gabriel")</f>
        <v>Gabriel</v>
      </c>
      <c r="E2078" s="6" t="str">
        <f>IFERROR(__xludf.DUMMYFUNCTION("""COMPUTED_VALUE"""),"")</f>
        <v/>
      </c>
      <c r="F2078" s="6" t="str">
        <f>IFERROR(__xludf.DUMMYFUNCTION("""COMPUTED_VALUE"""),"Herran")</f>
        <v>Herran</v>
      </c>
      <c r="G2078" s="6" t="str">
        <f>IFERROR(__xludf.DUMMYFUNCTION("""COMPUTED_VALUE"""),"03/25/2017")</f>
        <v>03/25/2017</v>
      </c>
      <c r="H2078" s="6" t="str">
        <f>IFERROR(__xludf.DUMMYFUNCTION("""COMPUTED_VALUE"""),"Self Identify")</f>
        <v>Self Identify</v>
      </c>
      <c r="I2078" s="6" t="str">
        <f>IFERROR(__xludf.DUMMYFUNCTION("""COMPUTED_VALUE"""),"Level 1")</f>
        <v>Level 1</v>
      </c>
      <c r="J2078" s="6" t="str">
        <f>IFERROR(__xludf.DUMMYFUNCTION("""COMPUTED_VALUE"""),"3")</f>
        <v>3</v>
      </c>
      <c r="K2078" s="6" t="str">
        <f>IFERROR(__xludf.DUMMYFUNCTION("""COMPUTED_VALUE"""),"gabriel.herran@novatio.school")</f>
        <v>gabriel.herran@novatio.school</v>
      </c>
      <c r="L2078" s="6" t="str">
        <f>IFERROR(__xludf.DUMMYFUNCTION("""COMPUTED_VALUE"""),"Novatio")</f>
        <v>Novatio</v>
      </c>
      <c r="M2078" s="6" t="str">
        <f>IFERROR(__xludf.DUMMYFUNCTION("""COMPUTED_VALUE"""),"")</f>
        <v/>
      </c>
      <c r="N2078" s="6" t="str">
        <f>IFERROR(__xludf.DUMMYFUNCTION("""COMPUTED_VALUE"""),"")</f>
        <v/>
      </c>
      <c r="O2078" s="87" t="str">
        <f>IFERROR(__xludf.DUMMYFUNCTION("""COMPUTED_VALUE"""),"https://drive.google.com/drive/folders/10T2cTQHqEJZqE-st6uFKPoI?usp=share_link")</f>
        <v>https://drive.google.com/drive/folders/10T2cTQHqEJZqE-st6uFKPoI?usp=share_link</v>
      </c>
      <c r="P2078" s="6" t="str">
        <f>IFERROR(__xludf.DUMMYFUNCTION("""COMPUTED_VALUE"""),"Gabriel Herran")</f>
        <v>Gabriel Herran</v>
      </c>
      <c r="Q2078" s="6" t="str">
        <f>IFERROR(__xludf.DUMMYFUNCTION("""COMPUTED_VALUE"""),"L1")</f>
        <v>L1</v>
      </c>
      <c r="R2078" s="6">
        <f>IFERROR(__xludf.DUMMYFUNCTION("""COMPUTED_VALUE"""),1.0)</f>
        <v>1</v>
      </c>
      <c r="S2078" s="6" t="str">
        <f>IFERROR(__xludf.DUMMYFUNCTION("""COMPUTED_VALUE""")," ")</f>
        <v> </v>
      </c>
      <c r="T2078" s="6" t="str">
        <f>IFERROR(__xludf.DUMMYFUNCTION("""COMPUTED_VALUE"""),"")</f>
        <v/>
      </c>
      <c r="U2078" s="6" t="str">
        <f>IFERROR(__xludf.DUMMYFUNCTION("""COMPUTED_VALUE"""),"3")</f>
        <v>3</v>
      </c>
      <c r="V2078" s="6" t="str">
        <f>IFERROR(__xludf.DUMMYFUNCTION("""COMPUTED_VALUE"""),"")</f>
        <v/>
      </c>
      <c r="W2078" s="6" t="str">
        <f>IFERROR(__xludf.DUMMYFUNCTION("""COMPUTED_VALUE"""),"[]")</f>
        <v>[]</v>
      </c>
      <c r="X2078" s="6" t="str">
        <f>IFERROR(__xludf.DUMMYFUNCTION("""COMPUTED_VALUE"""),"Enrolled")</f>
        <v>Enrolled</v>
      </c>
    </row>
    <row r="2079">
      <c r="A2079" s="6" t="str">
        <f>IFERROR(__xludf.DUMMYFUNCTION("""COMPUTED_VALUE"""),"030-10410")</f>
        <v>030-10410</v>
      </c>
      <c r="B2079" s="6" t="str">
        <f>IFERROR(__xludf.DUMMYFUNCTION("""COMPUTED_VALUE"""),"30")</f>
        <v>30</v>
      </c>
      <c r="C2079" s="6" t="str">
        <f>IFERROR(__xludf.DUMMYFUNCTION("""COMPUTED_VALUE"""),"10410")</f>
        <v>10410</v>
      </c>
      <c r="D2079" s="6" t="str">
        <f>IFERROR(__xludf.DUMMYFUNCTION("""COMPUTED_VALUE"""),"Sebastian")</f>
        <v>Sebastian</v>
      </c>
      <c r="E2079" s="6" t="str">
        <f>IFERROR(__xludf.DUMMYFUNCTION("""COMPUTED_VALUE"""),"")</f>
        <v/>
      </c>
      <c r="F2079" s="6" t="str">
        <f>IFERROR(__xludf.DUMMYFUNCTION("""COMPUTED_VALUE"""),"Herran")</f>
        <v>Herran</v>
      </c>
      <c r="G2079" s="6" t="str">
        <f>IFERROR(__xludf.DUMMYFUNCTION("""COMPUTED_VALUE"""),"06/09/2012")</f>
        <v>06/09/2012</v>
      </c>
      <c r="H2079" s="6" t="str">
        <f>IFERROR(__xludf.DUMMYFUNCTION("""COMPUTED_VALUE"""),"Self Identify")</f>
        <v>Self Identify</v>
      </c>
      <c r="I2079" s="6" t="str">
        <f>IFERROR(__xludf.DUMMYFUNCTION("""COMPUTED_VALUE"""),"Middle School")</f>
        <v>Middle School</v>
      </c>
      <c r="J2079" s="6" t="str">
        <f>IFERROR(__xludf.DUMMYFUNCTION("""COMPUTED_VALUE"""),"8")</f>
        <v>8</v>
      </c>
      <c r="K2079" s="6" t="str">
        <f>IFERROR(__xludf.DUMMYFUNCTION("""COMPUTED_VALUE"""),"sebastian.herran@novatio.school")</f>
        <v>sebastian.herran@novatio.school</v>
      </c>
      <c r="L2079" s="6" t="str">
        <f>IFERROR(__xludf.DUMMYFUNCTION("""COMPUTED_VALUE"""),"Novatio")</f>
        <v>Novatio</v>
      </c>
      <c r="M2079" s="6" t="str">
        <f>IFERROR(__xludf.DUMMYFUNCTION("""COMPUTED_VALUE"""),"")</f>
        <v/>
      </c>
      <c r="N2079" s="6" t="str">
        <f>IFERROR(__xludf.DUMMYFUNCTION("""COMPUTED_VALUE"""),"")</f>
        <v/>
      </c>
      <c r="O2079" s="87" t="str">
        <f>IFERROR(__xludf.DUMMYFUNCTION("""COMPUTED_VALUE"""),"https://drive.google.com/drive/folders/10T2cTQHqEJZqE-st6uFKPoI?usp=share_link")</f>
        <v>https://drive.google.com/drive/folders/10T2cTQHqEJZqE-st6uFKPoI?usp=share_link</v>
      </c>
      <c r="P2079" s="6" t="str">
        <f>IFERROR(__xludf.DUMMYFUNCTION("""COMPUTED_VALUE"""),"Sebastian Herran")</f>
        <v>Sebastian Herran</v>
      </c>
      <c r="Q2079" s="6" t="str">
        <f>IFERROR(__xludf.DUMMYFUNCTION("""COMPUTED_VALUE"""),"MS")</f>
        <v>MS</v>
      </c>
      <c r="R2079" s="6">
        <f>IFERROR(__xludf.DUMMYFUNCTION("""COMPUTED_VALUE"""),0.0)</f>
        <v>0</v>
      </c>
      <c r="S2079" s="6" t="str">
        <f>IFERROR(__xludf.DUMMYFUNCTION("""COMPUTED_VALUE""")," ")</f>
        <v> </v>
      </c>
      <c r="T2079" s="6" t="str">
        <f>IFERROR(__xludf.DUMMYFUNCTION("""COMPUTED_VALUE"""),"")</f>
        <v/>
      </c>
      <c r="U2079" s="6" t="str">
        <f>IFERROR(__xludf.DUMMYFUNCTION("""COMPUTED_VALUE"""),"8")</f>
        <v>8</v>
      </c>
      <c r="V2079" s="6" t="str">
        <f>IFERROR(__xludf.DUMMYFUNCTION("""COMPUTED_VALUE"""),"")</f>
        <v/>
      </c>
      <c r="W2079" s="6" t="str">
        <f>IFERROR(__xludf.DUMMYFUNCTION("""COMPUTED_VALUE"""),"[]")</f>
        <v>[]</v>
      </c>
      <c r="X2079" s="6" t="str">
        <f>IFERROR(__xludf.DUMMYFUNCTION("""COMPUTED_VALUE"""),"Enrolled")</f>
        <v>Enrolled</v>
      </c>
    </row>
    <row r="2080">
      <c r="A2080" s="6" t="str">
        <f>IFERROR(__xludf.DUMMYFUNCTION("""COMPUTED_VALUE"""),"030-10411")</f>
        <v>030-10411</v>
      </c>
      <c r="B2080" s="6" t="str">
        <f>IFERROR(__xludf.DUMMYFUNCTION("""COMPUTED_VALUE"""),"30")</f>
        <v>30</v>
      </c>
      <c r="C2080" s="6" t="str">
        <f>IFERROR(__xludf.DUMMYFUNCTION("""COMPUTED_VALUE"""),"10411")</f>
        <v>10411</v>
      </c>
      <c r="D2080" s="6" t="str">
        <f>IFERROR(__xludf.DUMMYFUNCTION("""COMPUTED_VALUE"""),"Anastasia")</f>
        <v>Anastasia</v>
      </c>
      <c r="E2080" s="6" t="str">
        <f>IFERROR(__xludf.DUMMYFUNCTION("""COMPUTED_VALUE"""),"")</f>
        <v/>
      </c>
      <c r="F2080" s="6" t="str">
        <f>IFERROR(__xludf.DUMMYFUNCTION("""COMPUTED_VALUE"""),"Collins")</f>
        <v>Collins</v>
      </c>
      <c r="G2080" s="6" t="str">
        <f>IFERROR(__xludf.DUMMYFUNCTION("""COMPUTED_VALUE"""),"07/03/2013")</f>
        <v>07/03/2013</v>
      </c>
      <c r="H2080" s="6" t="str">
        <f>IFERROR(__xludf.DUMMYFUNCTION("""COMPUTED_VALUE"""),"Self Identify")</f>
        <v>Self Identify</v>
      </c>
      <c r="I2080" s="6" t="str">
        <f>IFERROR(__xludf.DUMMYFUNCTION("""COMPUTED_VALUE"""),"Middle School")</f>
        <v>Middle School</v>
      </c>
      <c r="J2080" s="6" t="str">
        <f>IFERROR(__xludf.DUMMYFUNCTION("""COMPUTED_VALUE"""),"6")</f>
        <v>6</v>
      </c>
      <c r="K2080" s="6" t="str">
        <f>IFERROR(__xludf.DUMMYFUNCTION("""COMPUTED_VALUE"""),"anastasia.collins@novatio.school")</f>
        <v>anastasia.collins@novatio.school</v>
      </c>
      <c r="L2080" s="6" t="str">
        <f>IFERROR(__xludf.DUMMYFUNCTION("""COMPUTED_VALUE"""),"Novatio")</f>
        <v>Novatio</v>
      </c>
      <c r="M2080" s="6" t="str">
        <f>IFERROR(__xludf.DUMMYFUNCTION("""COMPUTED_VALUE"""),"")</f>
        <v/>
      </c>
      <c r="N2080" s="6" t="str">
        <f>IFERROR(__xludf.DUMMYFUNCTION("""COMPUTED_VALUE"""),"")</f>
        <v/>
      </c>
      <c r="O2080" s="87" t="str">
        <f>IFERROR(__xludf.DUMMYFUNCTION("""COMPUTED_VALUE"""),"https://drive.google.com/drive/folders/10T2cTQHqEJZqE-st6uFKPoI?usp=share_link")</f>
        <v>https://drive.google.com/drive/folders/10T2cTQHqEJZqE-st6uFKPoI?usp=share_link</v>
      </c>
      <c r="P2080" s="6" t="str">
        <f>IFERROR(__xludf.DUMMYFUNCTION("""COMPUTED_VALUE"""),"Anastasia Collins")</f>
        <v>Anastasia Collins</v>
      </c>
      <c r="Q2080" s="6" t="str">
        <f>IFERROR(__xludf.DUMMYFUNCTION("""COMPUTED_VALUE"""),"MS")</f>
        <v>MS</v>
      </c>
      <c r="R2080" s="6">
        <f>IFERROR(__xludf.DUMMYFUNCTION("""COMPUTED_VALUE"""),0.0)</f>
        <v>0</v>
      </c>
      <c r="S2080" s="6" t="str">
        <f>IFERROR(__xludf.DUMMYFUNCTION("""COMPUTED_VALUE""")," ")</f>
        <v> </v>
      </c>
      <c r="T2080" s="6" t="str">
        <f>IFERROR(__xludf.DUMMYFUNCTION("""COMPUTED_VALUE"""),"")</f>
        <v/>
      </c>
      <c r="U2080" s="6" t="str">
        <f>IFERROR(__xludf.DUMMYFUNCTION("""COMPUTED_VALUE"""),"6")</f>
        <v>6</v>
      </c>
      <c r="V2080" s="6" t="str">
        <f>IFERROR(__xludf.DUMMYFUNCTION("""COMPUTED_VALUE"""),"")</f>
        <v/>
      </c>
      <c r="W2080" s="6" t="str">
        <f>IFERROR(__xludf.DUMMYFUNCTION("""COMPUTED_VALUE"""),"[]")</f>
        <v>[]</v>
      </c>
      <c r="X2080" s="6" t="str">
        <f>IFERROR(__xludf.DUMMYFUNCTION("""COMPUTED_VALUE"""),"Enrolled")</f>
        <v>Enrolled</v>
      </c>
    </row>
    <row r="2081">
      <c r="A2081" s="6" t="str">
        <f>IFERROR(__xludf.DUMMYFUNCTION("""COMPUTED_VALUE"""),"030-10412")</f>
        <v>030-10412</v>
      </c>
      <c r="B2081" s="6" t="str">
        <f>IFERROR(__xludf.DUMMYFUNCTION("""COMPUTED_VALUE"""),"30")</f>
        <v>30</v>
      </c>
      <c r="C2081" s="6" t="str">
        <f>IFERROR(__xludf.DUMMYFUNCTION("""COMPUTED_VALUE"""),"10412")</f>
        <v>10412</v>
      </c>
      <c r="D2081" s="6" t="str">
        <f>IFERROR(__xludf.DUMMYFUNCTION("""COMPUTED_VALUE"""),"Olivia")</f>
        <v>Olivia</v>
      </c>
      <c r="E2081" s="6" t="str">
        <f>IFERROR(__xludf.DUMMYFUNCTION("""COMPUTED_VALUE"""),"")</f>
        <v/>
      </c>
      <c r="F2081" s="6" t="str">
        <f>IFERROR(__xludf.DUMMYFUNCTION("""COMPUTED_VALUE"""),"Collins")</f>
        <v>Collins</v>
      </c>
      <c r="G2081" s="6" t="str">
        <f>IFERROR(__xludf.DUMMYFUNCTION("""COMPUTED_VALUE"""),"12/10/2014")</f>
        <v>12/10/2014</v>
      </c>
      <c r="H2081" s="6" t="str">
        <f>IFERROR(__xludf.DUMMYFUNCTION("""COMPUTED_VALUE"""),"Self Identify")</f>
        <v>Self Identify</v>
      </c>
      <c r="I2081" s="6" t="str">
        <f>IFERROR(__xludf.DUMMYFUNCTION("""COMPUTED_VALUE"""),"Level 2")</f>
        <v>Level 2</v>
      </c>
      <c r="J2081" s="6" t="str">
        <f>IFERROR(__xludf.DUMMYFUNCTION("""COMPUTED_VALUE"""),"4")</f>
        <v>4</v>
      </c>
      <c r="K2081" s="6" t="str">
        <f>IFERROR(__xludf.DUMMYFUNCTION("""COMPUTED_VALUE"""),"olivia.collins@novatio.school")</f>
        <v>olivia.collins@novatio.school</v>
      </c>
      <c r="L2081" s="6" t="str">
        <f>IFERROR(__xludf.DUMMYFUNCTION("""COMPUTED_VALUE"""),"Novatio")</f>
        <v>Novatio</v>
      </c>
      <c r="M2081" s="6" t="str">
        <f>IFERROR(__xludf.DUMMYFUNCTION("""COMPUTED_VALUE"""),"")</f>
        <v/>
      </c>
      <c r="N2081" s="6" t="str">
        <f>IFERROR(__xludf.DUMMYFUNCTION("""COMPUTED_VALUE"""),"")</f>
        <v/>
      </c>
      <c r="O2081" s="87" t="str">
        <f>IFERROR(__xludf.DUMMYFUNCTION("""COMPUTED_VALUE"""),"https://drive.google.com/drive/folders/10T2cTQHqEJZqE-st6uFKPoI?usp=share_link")</f>
        <v>https://drive.google.com/drive/folders/10T2cTQHqEJZqE-st6uFKPoI?usp=share_link</v>
      </c>
      <c r="P2081" s="6" t="str">
        <f>IFERROR(__xludf.DUMMYFUNCTION("""COMPUTED_VALUE"""),"Olivia Collins")</f>
        <v>Olivia Collins</v>
      </c>
      <c r="Q2081" s="6" t="str">
        <f>IFERROR(__xludf.DUMMYFUNCTION("""COMPUTED_VALUE"""),"L2")</f>
        <v>L2</v>
      </c>
      <c r="R2081" s="6">
        <f>IFERROR(__xludf.DUMMYFUNCTION("""COMPUTED_VALUE"""),2.0)</f>
        <v>2</v>
      </c>
      <c r="S2081" s="6" t="str">
        <f>IFERROR(__xludf.DUMMYFUNCTION("""COMPUTED_VALUE""")," ")</f>
        <v> </v>
      </c>
      <c r="T2081" s="6" t="str">
        <f>IFERROR(__xludf.DUMMYFUNCTION("""COMPUTED_VALUE"""),"")</f>
        <v/>
      </c>
      <c r="U2081" s="6" t="str">
        <f>IFERROR(__xludf.DUMMYFUNCTION("""COMPUTED_VALUE"""),"4")</f>
        <v>4</v>
      </c>
      <c r="V2081" s="6" t="str">
        <f>IFERROR(__xludf.DUMMYFUNCTION("""COMPUTED_VALUE"""),"")</f>
        <v/>
      </c>
      <c r="W2081" s="6" t="str">
        <f>IFERROR(__xludf.DUMMYFUNCTION("""COMPUTED_VALUE"""),"[]")</f>
        <v>[]</v>
      </c>
      <c r="X2081" s="6" t="str">
        <f>IFERROR(__xludf.DUMMYFUNCTION("""COMPUTED_VALUE"""),"Enrolled")</f>
        <v>Enrolled</v>
      </c>
    </row>
    <row r="2082">
      <c r="A2082" s="6" t="str">
        <f>IFERROR(__xludf.DUMMYFUNCTION("""COMPUTED_VALUE"""),"030-10413")</f>
        <v>030-10413</v>
      </c>
      <c r="B2082" s="6" t="str">
        <f>IFERROR(__xludf.DUMMYFUNCTION("""COMPUTED_VALUE"""),"30")</f>
        <v>30</v>
      </c>
      <c r="C2082" s="6" t="str">
        <f>IFERROR(__xludf.DUMMYFUNCTION("""COMPUTED_VALUE"""),"10413")</f>
        <v>10413</v>
      </c>
      <c r="D2082" s="6" t="str">
        <f>IFERROR(__xludf.DUMMYFUNCTION("""COMPUTED_VALUE"""),"Jhadea")</f>
        <v>Jhadea</v>
      </c>
      <c r="E2082" s="6" t="str">
        <f>IFERROR(__xludf.DUMMYFUNCTION("""COMPUTED_VALUE"""),"")</f>
        <v/>
      </c>
      <c r="F2082" s="6" t="str">
        <f>IFERROR(__xludf.DUMMYFUNCTION("""COMPUTED_VALUE"""),"Johnson")</f>
        <v>Johnson</v>
      </c>
      <c r="G2082" s="6" t="str">
        <f>IFERROR(__xludf.DUMMYFUNCTION("""COMPUTED_VALUE"""),"11/23/2015")</f>
        <v>11/23/2015</v>
      </c>
      <c r="H2082" s="6" t="str">
        <f>IFERROR(__xludf.DUMMYFUNCTION("""COMPUTED_VALUE"""),"Self Identify")</f>
        <v>Self Identify</v>
      </c>
      <c r="I2082" s="6" t="str">
        <f>IFERROR(__xludf.DUMMYFUNCTION("""COMPUTED_VALUE"""),"Level 2")</f>
        <v>Level 2</v>
      </c>
      <c r="J2082" s="6" t="str">
        <f>IFERROR(__xludf.DUMMYFUNCTION("""COMPUTED_VALUE"""),"4")</f>
        <v>4</v>
      </c>
      <c r="K2082" s="6" t="str">
        <f>IFERROR(__xludf.DUMMYFUNCTION("""COMPUTED_VALUE"""),"jhadea.johnson@novatio.school")</f>
        <v>jhadea.johnson@novatio.school</v>
      </c>
      <c r="L2082" s="6" t="str">
        <f>IFERROR(__xludf.DUMMYFUNCTION("""COMPUTED_VALUE"""),"Novatio")</f>
        <v>Novatio</v>
      </c>
      <c r="M2082" s="6" t="str">
        <f>IFERROR(__xludf.DUMMYFUNCTION("""COMPUTED_VALUE"""),"")</f>
        <v/>
      </c>
      <c r="N2082" s="6" t="str">
        <f>IFERROR(__xludf.DUMMYFUNCTION("""COMPUTED_VALUE"""),"")</f>
        <v/>
      </c>
      <c r="O2082" s="87" t="str">
        <f>IFERROR(__xludf.DUMMYFUNCTION("""COMPUTED_VALUE"""),"https://drive.google.com/drive/folders/10T2cTQHqEJZqE-st6uFKPoI?usp=share_link")</f>
        <v>https://drive.google.com/drive/folders/10T2cTQHqEJZqE-st6uFKPoI?usp=share_link</v>
      </c>
      <c r="P2082" s="6" t="str">
        <f>IFERROR(__xludf.DUMMYFUNCTION("""COMPUTED_VALUE"""),"Jhadea Johnson")</f>
        <v>Jhadea Johnson</v>
      </c>
      <c r="Q2082" s="6" t="str">
        <f>IFERROR(__xludf.DUMMYFUNCTION("""COMPUTED_VALUE"""),"L2")</f>
        <v>L2</v>
      </c>
      <c r="R2082" s="6">
        <f>IFERROR(__xludf.DUMMYFUNCTION("""COMPUTED_VALUE"""),2.0)</f>
        <v>2</v>
      </c>
      <c r="S2082" s="6" t="str">
        <f>IFERROR(__xludf.DUMMYFUNCTION("""COMPUTED_VALUE""")," ")</f>
        <v> </v>
      </c>
      <c r="T2082" s="6" t="str">
        <f>IFERROR(__xludf.DUMMYFUNCTION("""COMPUTED_VALUE"""),"")</f>
        <v/>
      </c>
      <c r="U2082" s="6" t="str">
        <f>IFERROR(__xludf.DUMMYFUNCTION("""COMPUTED_VALUE"""),"4")</f>
        <v>4</v>
      </c>
      <c r="V2082" s="6" t="str">
        <f>IFERROR(__xludf.DUMMYFUNCTION("""COMPUTED_VALUE"""),"")</f>
        <v/>
      </c>
      <c r="W2082" s="6" t="str">
        <f>IFERROR(__xludf.DUMMYFUNCTION("""COMPUTED_VALUE"""),"[]")</f>
        <v>[]</v>
      </c>
      <c r="X2082" s="6" t="str">
        <f>IFERROR(__xludf.DUMMYFUNCTION("""COMPUTED_VALUE"""),"Enrolled")</f>
        <v>Enrolled</v>
      </c>
    </row>
    <row r="2083">
      <c r="A2083" s="6" t="str">
        <f>IFERROR(__xludf.DUMMYFUNCTION("""COMPUTED_VALUE"""),"030-10623")</f>
        <v>030-10623</v>
      </c>
      <c r="B2083" s="6" t="str">
        <f>IFERROR(__xludf.DUMMYFUNCTION("""COMPUTED_VALUE"""),"30")</f>
        <v>30</v>
      </c>
      <c r="C2083" s="6" t="str">
        <f>IFERROR(__xludf.DUMMYFUNCTION("""COMPUTED_VALUE"""),"10623")</f>
        <v>10623</v>
      </c>
      <c r="D2083" s="6" t="str">
        <f>IFERROR(__xludf.DUMMYFUNCTION("""COMPUTED_VALUE"""),"Sebastian")</f>
        <v>Sebastian</v>
      </c>
      <c r="E2083" s="6" t="str">
        <f>IFERROR(__xludf.DUMMYFUNCTION("""COMPUTED_VALUE"""),"")</f>
        <v/>
      </c>
      <c r="F2083" s="6" t="str">
        <f>IFERROR(__xludf.DUMMYFUNCTION("""COMPUTED_VALUE"""),"Lizarraga")</f>
        <v>Lizarraga</v>
      </c>
      <c r="G2083" s="6" t="str">
        <f>IFERROR(__xludf.DUMMYFUNCTION("""COMPUTED_VALUE"""),"09/04/2011")</f>
        <v>09/04/2011</v>
      </c>
      <c r="H2083" s="6" t="str">
        <f>IFERROR(__xludf.DUMMYFUNCTION("""COMPUTED_VALUE"""),"Self Identify")</f>
        <v>Self Identify</v>
      </c>
      <c r="I2083" s="6" t="str">
        <f>IFERROR(__xludf.DUMMYFUNCTION("""COMPUTED_VALUE"""),"Middle School")</f>
        <v>Middle School</v>
      </c>
      <c r="J2083" s="6" t="str">
        <f>IFERROR(__xludf.DUMMYFUNCTION("""COMPUTED_VALUE"""),"8")</f>
        <v>8</v>
      </c>
      <c r="K2083" s="6" t="str">
        <f>IFERROR(__xludf.DUMMYFUNCTION("""COMPUTED_VALUE"""),"sebastian.lizarraga@novatio.school")</f>
        <v>sebastian.lizarraga@novatio.school</v>
      </c>
      <c r="L2083" s="6" t="str">
        <f>IFERROR(__xludf.DUMMYFUNCTION("""COMPUTED_VALUE"""),"Novatio")</f>
        <v>Novatio</v>
      </c>
      <c r="M2083" s="6" t="str">
        <f>IFERROR(__xludf.DUMMYFUNCTION("""COMPUTED_VALUE"""),"")</f>
        <v/>
      </c>
      <c r="N2083" s="6" t="str">
        <f>IFERROR(__xludf.DUMMYFUNCTION("""COMPUTED_VALUE"""),"")</f>
        <v/>
      </c>
      <c r="O2083" s="87" t="str">
        <f>IFERROR(__xludf.DUMMYFUNCTION("""COMPUTED_VALUE"""),"https://drive.google.com/drive/folders/10T2cTQHqEJZqE-st6uFKPoI?usp=share_link")</f>
        <v>https://drive.google.com/drive/folders/10T2cTQHqEJZqE-st6uFKPoI?usp=share_link</v>
      </c>
      <c r="P2083" s="6" t="str">
        <f>IFERROR(__xludf.DUMMYFUNCTION("""COMPUTED_VALUE"""),"Sebastian Lizarraga")</f>
        <v>Sebastian Lizarraga</v>
      </c>
      <c r="Q2083" s="6" t="str">
        <f>IFERROR(__xludf.DUMMYFUNCTION("""COMPUTED_VALUE"""),"MS")</f>
        <v>MS</v>
      </c>
      <c r="R2083" s="6">
        <f>IFERROR(__xludf.DUMMYFUNCTION("""COMPUTED_VALUE"""),0.0)</f>
        <v>0</v>
      </c>
      <c r="S2083" s="6" t="str">
        <f>IFERROR(__xludf.DUMMYFUNCTION("""COMPUTED_VALUE""")," ")</f>
        <v> </v>
      </c>
      <c r="T2083" s="6" t="str">
        <f>IFERROR(__xludf.DUMMYFUNCTION("""COMPUTED_VALUE"""),"")</f>
        <v/>
      </c>
      <c r="U2083" s="6" t="str">
        <f>IFERROR(__xludf.DUMMYFUNCTION("""COMPUTED_VALUE"""),"8")</f>
        <v>8</v>
      </c>
      <c r="V2083" s="6" t="str">
        <f>IFERROR(__xludf.DUMMYFUNCTION("""COMPUTED_VALUE"""),"")</f>
        <v/>
      </c>
      <c r="W2083" s="6" t="str">
        <f>IFERROR(__xludf.DUMMYFUNCTION("""COMPUTED_VALUE"""),"[]")</f>
        <v>[]</v>
      </c>
      <c r="X2083" s="6" t="str">
        <f>IFERROR(__xludf.DUMMYFUNCTION("""COMPUTED_VALUE"""),"Enrolled")</f>
        <v>Enrolled</v>
      </c>
    </row>
    <row r="2084">
      <c r="A2084" s="6" t="str">
        <f>IFERROR(__xludf.DUMMYFUNCTION("""COMPUTED_VALUE"""),"030-11029")</f>
        <v>030-11029</v>
      </c>
      <c r="B2084" s="6" t="str">
        <f>IFERROR(__xludf.DUMMYFUNCTION("""COMPUTED_VALUE"""),"30")</f>
        <v>30</v>
      </c>
      <c r="C2084" s="6" t="str">
        <f>IFERROR(__xludf.DUMMYFUNCTION("""COMPUTED_VALUE"""),"11029")</f>
        <v>11029</v>
      </c>
      <c r="D2084" s="6" t="str">
        <f>IFERROR(__xludf.DUMMYFUNCTION("""COMPUTED_VALUE"""),"James")</f>
        <v>James</v>
      </c>
      <c r="E2084" s="6" t="str">
        <f>IFERROR(__xludf.DUMMYFUNCTION("""COMPUTED_VALUE"""),"")</f>
        <v/>
      </c>
      <c r="F2084" s="6" t="str">
        <f>IFERROR(__xludf.DUMMYFUNCTION("""COMPUTED_VALUE"""),"Palmer")</f>
        <v>Palmer</v>
      </c>
      <c r="G2084" s="6" t="str">
        <f>IFERROR(__xludf.DUMMYFUNCTION("""COMPUTED_VALUE"""),"03/05/2013")</f>
        <v>03/05/2013</v>
      </c>
      <c r="H2084" s="6" t="str">
        <f>IFERROR(__xludf.DUMMYFUNCTION("""COMPUTED_VALUE"""),"Self Identify")</f>
        <v>Self Identify</v>
      </c>
      <c r="I2084" s="6" t="str">
        <f>IFERROR(__xludf.DUMMYFUNCTION("""COMPUTED_VALUE"""),"Middle School")</f>
        <v>Middle School</v>
      </c>
      <c r="J2084" s="6" t="str">
        <f>IFERROR(__xludf.DUMMYFUNCTION("""COMPUTED_VALUE"""),"7")</f>
        <v>7</v>
      </c>
      <c r="K2084" s="6" t="str">
        <f>IFERROR(__xludf.DUMMYFUNCTION("""COMPUTED_VALUE"""),"james.palmer@novatio.school")</f>
        <v>james.palmer@novatio.school</v>
      </c>
      <c r="L2084" s="6" t="str">
        <f>IFERROR(__xludf.DUMMYFUNCTION("""COMPUTED_VALUE"""),"Novatio")</f>
        <v>Novatio</v>
      </c>
      <c r="M2084" s="6" t="str">
        <f>IFERROR(__xludf.DUMMYFUNCTION("""COMPUTED_VALUE"""),"")</f>
        <v/>
      </c>
      <c r="N2084" s="6" t="str">
        <f>IFERROR(__xludf.DUMMYFUNCTION("""COMPUTED_VALUE"""),"")</f>
        <v/>
      </c>
      <c r="O2084" s="87" t="str">
        <f>IFERROR(__xludf.DUMMYFUNCTION("""COMPUTED_VALUE"""),"https://drive.google.com/drive/folders/10T2cTQHqEJZqE-st6uFKPoI?usp=share_link")</f>
        <v>https://drive.google.com/drive/folders/10T2cTQHqEJZqE-st6uFKPoI?usp=share_link</v>
      </c>
      <c r="P2084" s="6" t="str">
        <f>IFERROR(__xludf.DUMMYFUNCTION("""COMPUTED_VALUE"""),"James Palmer")</f>
        <v>James Palmer</v>
      </c>
      <c r="Q2084" s="6" t="str">
        <f>IFERROR(__xludf.DUMMYFUNCTION("""COMPUTED_VALUE"""),"MS")</f>
        <v>MS</v>
      </c>
      <c r="R2084" s="6">
        <f>IFERROR(__xludf.DUMMYFUNCTION("""COMPUTED_VALUE"""),0.0)</f>
        <v>0</v>
      </c>
      <c r="S2084" s="6" t="str">
        <f>IFERROR(__xludf.DUMMYFUNCTION("""COMPUTED_VALUE""")," ")</f>
        <v> </v>
      </c>
      <c r="T2084" s="6" t="str">
        <f>IFERROR(__xludf.DUMMYFUNCTION("""COMPUTED_VALUE"""),"")</f>
        <v/>
      </c>
      <c r="U2084" s="6" t="str">
        <f>IFERROR(__xludf.DUMMYFUNCTION("""COMPUTED_VALUE"""),"7")</f>
        <v>7</v>
      </c>
      <c r="V2084" s="6" t="str">
        <f>IFERROR(__xludf.DUMMYFUNCTION("""COMPUTED_VALUE"""),"")</f>
        <v/>
      </c>
      <c r="W2084" s="6" t="str">
        <f>IFERROR(__xludf.DUMMYFUNCTION("""COMPUTED_VALUE"""),"[]")</f>
        <v>[]</v>
      </c>
      <c r="X2084" s="6" t="str">
        <f>IFERROR(__xludf.DUMMYFUNCTION("""COMPUTED_VALUE"""),"Enrolled")</f>
        <v>Enrolled</v>
      </c>
    </row>
    <row r="2085">
      <c r="A2085" s="6" t="str">
        <f>IFERROR(__xludf.DUMMYFUNCTION("""COMPUTED_VALUE"""),"030-11093")</f>
        <v>030-11093</v>
      </c>
      <c r="B2085" s="6" t="str">
        <f>IFERROR(__xludf.DUMMYFUNCTION("""COMPUTED_VALUE"""),"30")</f>
        <v>30</v>
      </c>
      <c r="C2085" s="6" t="str">
        <f>IFERROR(__xludf.DUMMYFUNCTION("""COMPUTED_VALUE"""),"11093")</f>
        <v>11093</v>
      </c>
      <c r="D2085" s="6" t="str">
        <f>IFERROR(__xludf.DUMMYFUNCTION("""COMPUTED_VALUE"""),"Deyna")</f>
        <v>Deyna</v>
      </c>
      <c r="E2085" s="6" t="str">
        <f>IFERROR(__xludf.DUMMYFUNCTION("""COMPUTED_VALUE"""),"")</f>
        <v/>
      </c>
      <c r="F2085" s="6" t="str">
        <f>IFERROR(__xludf.DUMMYFUNCTION("""COMPUTED_VALUE"""),"Edwards")</f>
        <v>Edwards</v>
      </c>
      <c r="G2085" s="6" t="str">
        <f>IFERROR(__xludf.DUMMYFUNCTION("""COMPUTED_VALUE"""),"01/05/2013")</f>
        <v>01/05/2013</v>
      </c>
      <c r="H2085" s="6" t="str">
        <f>IFERROR(__xludf.DUMMYFUNCTION("""COMPUTED_VALUE"""),"Self Identify")</f>
        <v>Self Identify</v>
      </c>
      <c r="I2085" s="6" t="str">
        <f>IFERROR(__xludf.DUMMYFUNCTION("""COMPUTED_VALUE"""),"Middle School")</f>
        <v>Middle School</v>
      </c>
      <c r="J2085" s="6" t="str">
        <f>IFERROR(__xludf.DUMMYFUNCTION("""COMPUTED_VALUE"""),"7")</f>
        <v>7</v>
      </c>
      <c r="K2085" s="6" t="str">
        <f>IFERROR(__xludf.DUMMYFUNCTION("""COMPUTED_VALUE"""),"deyna.edwards@novatio.school")</f>
        <v>deyna.edwards@novatio.school</v>
      </c>
      <c r="L2085" s="6" t="str">
        <f>IFERROR(__xludf.DUMMYFUNCTION("""COMPUTED_VALUE"""),"Novatio")</f>
        <v>Novatio</v>
      </c>
      <c r="M2085" s="6" t="str">
        <f>IFERROR(__xludf.DUMMYFUNCTION("""COMPUTED_VALUE"""),"")</f>
        <v/>
      </c>
      <c r="N2085" s="6" t="str">
        <f>IFERROR(__xludf.DUMMYFUNCTION("""COMPUTED_VALUE"""),"")</f>
        <v/>
      </c>
      <c r="O2085" s="87" t="str">
        <f>IFERROR(__xludf.DUMMYFUNCTION("""COMPUTED_VALUE"""),"https://drive.google.com/drive/folders/10T2cTQHqEJZqE-st6uFKPoI?usp=share_link")</f>
        <v>https://drive.google.com/drive/folders/10T2cTQHqEJZqE-st6uFKPoI?usp=share_link</v>
      </c>
      <c r="P2085" s="6" t="str">
        <f>IFERROR(__xludf.DUMMYFUNCTION("""COMPUTED_VALUE"""),"Deyna Edwards")</f>
        <v>Deyna Edwards</v>
      </c>
      <c r="Q2085" s="6" t="str">
        <f>IFERROR(__xludf.DUMMYFUNCTION("""COMPUTED_VALUE"""),"MS")</f>
        <v>MS</v>
      </c>
      <c r="R2085" s="6">
        <f>IFERROR(__xludf.DUMMYFUNCTION("""COMPUTED_VALUE"""),0.0)</f>
        <v>0</v>
      </c>
      <c r="S2085" s="6" t="str">
        <f>IFERROR(__xludf.DUMMYFUNCTION("""COMPUTED_VALUE""")," ")</f>
        <v> </v>
      </c>
      <c r="T2085" s="6" t="str">
        <f>IFERROR(__xludf.DUMMYFUNCTION("""COMPUTED_VALUE"""),"")</f>
        <v/>
      </c>
      <c r="U2085" s="6" t="str">
        <f>IFERROR(__xludf.DUMMYFUNCTION("""COMPUTED_VALUE"""),"7")</f>
        <v>7</v>
      </c>
      <c r="V2085" s="6" t="str">
        <f>IFERROR(__xludf.DUMMYFUNCTION("""COMPUTED_VALUE"""),"")</f>
        <v/>
      </c>
      <c r="W2085" s="6" t="str">
        <f>IFERROR(__xludf.DUMMYFUNCTION("""COMPUTED_VALUE"""),"[]")</f>
        <v>[]</v>
      </c>
      <c r="X2085" s="6" t="str">
        <f>IFERROR(__xludf.DUMMYFUNCTION("""COMPUTED_VALUE"""),"Enrolled")</f>
        <v>Enrolled</v>
      </c>
    </row>
    <row r="2086">
      <c r="A2086" s="6" t="str">
        <f>IFERROR(__xludf.DUMMYFUNCTION("""COMPUTED_VALUE"""),"030-11094")</f>
        <v>030-11094</v>
      </c>
      <c r="B2086" s="6" t="str">
        <f>IFERROR(__xludf.DUMMYFUNCTION("""COMPUTED_VALUE"""),"30")</f>
        <v>30</v>
      </c>
      <c r="C2086" s="6" t="str">
        <f>IFERROR(__xludf.DUMMYFUNCTION("""COMPUTED_VALUE"""),"11094")</f>
        <v>11094</v>
      </c>
      <c r="D2086" s="6" t="str">
        <f>IFERROR(__xludf.DUMMYFUNCTION("""COMPUTED_VALUE"""),"Christian")</f>
        <v>Christian</v>
      </c>
      <c r="E2086" s="6" t="str">
        <f>IFERROR(__xludf.DUMMYFUNCTION("""COMPUTED_VALUE"""),"")</f>
        <v/>
      </c>
      <c r="F2086" s="6" t="str">
        <f>IFERROR(__xludf.DUMMYFUNCTION("""COMPUTED_VALUE"""),"Hanson")</f>
        <v>Hanson</v>
      </c>
      <c r="G2086" s="6" t="str">
        <f>IFERROR(__xludf.DUMMYFUNCTION("""COMPUTED_VALUE"""),"07/18/2017")</f>
        <v>07/18/2017</v>
      </c>
      <c r="H2086" s="6" t="str">
        <f>IFERROR(__xludf.DUMMYFUNCTION("""COMPUTED_VALUE"""),"Self Identify")</f>
        <v>Self Identify</v>
      </c>
      <c r="I2086" s="6" t="str">
        <f>IFERROR(__xludf.DUMMYFUNCTION("""COMPUTED_VALUE"""),"Level 1")</f>
        <v>Level 1</v>
      </c>
      <c r="J2086" s="6" t="str">
        <f>IFERROR(__xludf.DUMMYFUNCTION("""COMPUTED_VALUE"""),"3")</f>
        <v>3</v>
      </c>
      <c r="K2086" s="6" t="str">
        <f>IFERROR(__xludf.DUMMYFUNCTION("""COMPUTED_VALUE"""),"christian.hanson@novatio.school")</f>
        <v>christian.hanson@novatio.school</v>
      </c>
      <c r="L2086" s="6" t="str">
        <f>IFERROR(__xludf.DUMMYFUNCTION("""COMPUTED_VALUE"""),"Novatio")</f>
        <v>Novatio</v>
      </c>
      <c r="M2086" s="6" t="str">
        <f>IFERROR(__xludf.DUMMYFUNCTION("""COMPUTED_VALUE"""),"")</f>
        <v/>
      </c>
      <c r="N2086" s="6" t="str">
        <f>IFERROR(__xludf.DUMMYFUNCTION("""COMPUTED_VALUE"""),"")</f>
        <v/>
      </c>
      <c r="O2086" s="87" t="str">
        <f>IFERROR(__xludf.DUMMYFUNCTION("""COMPUTED_VALUE"""),"https://drive.google.com/drive/folders/10T2cTQHqEJZqE-st6uFKPoI?usp=share_link")</f>
        <v>https://drive.google.com/drive/folders/10T2cTQHqEJZqE-st6uFKPoI?usp=share_link</v>
      </c>
      <c r="P2086" s="6" t="str">
        <f>IFERROR(__xludf.DUMMYFUNCTION("""COMPUTED_VALUE"""),"Christian Hanson")</f>
        <v>Christian Hanson</v>
      </c>
      <c r="Q2086" s="6" t="str">
        <f>IFERROR(__xludf.DUMMYFUNCTION("""COMPUTED_VALUE"""),"L1")</f>
        <v>L1</v>
      </c>
      <c r="R2086" s="6">
        <f>IFERROR(__xludf.DUMMYFUNCTION("""COMPUTED_VALUE"""),1.0)</f>
        <v>1</v>
      </c>
      <c r="S2086" s="6" t="str">
        <f>IFERROR(__xludf.DUMMYFUNCTION("""COMPUTED_VALUE""")," ")</f>
        <v> </v>
      </c>
      <c r="T2086" s="6" t="str">
        <f>IFERROR(__xludf.DUMMYFUNCTION("""COMPUTED_VALUE"""),"")</f>
        <v/>
      </c>
      <c r="U2086" s="6" t="str">
        <f>IFERROR(__xludf.DUMMYFUNCTION("""COMPUTED_VALUE"""),"3")</f>
        <v>3</v>
      </c>
      <c r="V2086" s="6" t="str">
        <f>IFERROR(__xludf.DUMMYFUNCTION("""COMPUTED_VALUE"""),"")</f>
        <v/>
      </c>
      <c r="W2086" s="6" t="str">
        <f>IFERROR(__xludf.DUMMYFUNCTION("""COMPUTED_VALUE"""),"[]")</f>
        <v>[]</v>
      </c>
      <c r="X2086" s="6" t="str">
        <f>IFERROR(__xludf.DUMMYFUNCTION("""COMPUTED_VALUE"""),"Enrolled")</f>
        <v>Enrolled</v>
      </c>
    </row>
    <row r="2087">
      <c r="A2087" s="6" t="str">
        <f>IFERROR(__xludf.DUMMYFUNCTION("""COMPUTED_VALUE"""),"030-11095")</f>
        <v>030-11095</v>
      </c>
      <c r="B2087" s="6" t="str">
        <f>IFERROR(__xludf.DUMMYFUNCTION("""COMPUTED_VALUE"""),"30")</f>
        <v>30</v>
      </c>
      <c r="C2087" s="6" t="str">
        <f>IFERROR(__xludf.DUMMYFUNCTION("""COMPUTED_VALUE"""),"11095")</f>
        <v>11095</v>
      </c>
      <c r="D2087" s="6" t="str">
        <f>IFERROR(__xludf.DUMMYFUNCTION("""COMPUTED_VALUE"""),"Skylar")</f>
        <v>Skylar</v>
      </c>
      <c r="E2087" s="6" t="str">
        <f>IFERROR(__xludf.DUMMYFUNCTION("""COMPUTED_VALUE"""),"")</f>
        <v/>
      </c>
      <c r="F2087" s="6" t="str">
        <f>IFERROR(__xludf.DUMMYFUNCTION("""COMPUTED_VALUE"""),"Hanson")</f>
        <v>Hanson</v>
      </c>
      <c r="G2087" s="6" t="str">
        <f>IFERROR(__xludf.DUMMYFUNCTION("""COMPUTED_VALUE"""),"01/21/2015")</f>
        <v>01/21/2015</v>
      </c>
      <c r="H2087" s="6" t="str">
        <f>IFERROR(__xludf.DUMMYFUNCTION("""COMPUTED_VALUE"""),"Self Identify")</f>
        <v>Self Identify</v>
      </c>
      <c r="I2087" s="6" t="str">
        <f>IFERROR(__xludf.DUMMYFUNCTION("""COMPUTED_VALUE"""),"Level 2")</f>
        <v>Level 2</v>
      </c>
      <c r="J2087" s="6" t="str">
        <f>IFERROR(__xludf.DUMMYFUNCTION("""COMPUTED_VALUE"""),"5")</f>
        <v>5</v>
      </c>
      <c r="K2087" s="6" t="str">
        <f>IFERROR(__xludf.DUMMYFUNCTION("""COMPUTED_VALUE"""),"skylar.hanson@novatio.school")</f>
        <v>skylar.hanson@novatio.school</v>
      </c>
      <c r="L2087" s="6" t="str">
        <f>IFERROR(__xludf.DUMMYFUNCTION("""COMPUTED_VALUE"""),"Novatio")</f>
        <v>Novatio</v>
      </c>
      <c r="M2087" s="6" t="str">
        <f>IFERROR(__xludf.DUMMYFUNCTION("""COMPUTED_VALUE"""),"")</f>
        <v/>
      </c>
      <c r="N2087" s="6" t="str">
        <f>IFERROR(__xludf.DUMMYFUNCTION("""COMPUTED_VALUE"""),"")</f>
        <v/>
      </c>
      <c r="O2087" s="87" t="str">
        <f>IFERROR(__xludf.DUMMYFUNCTION("""COMPUTED_VALUE"""),"https://drive.google.com/drive/folders/10T2cTQHqEJZqE-st6uFKPoI?usp=share_link")</f>
        <v>https://drive.google.com/drive/folders/10T2cTQHqEJZqE-st6uFKPoI?usp=share_link</v>
      </c>
      <c r="P2087" s="6" t="str">
        <f>IFERROR(__xludf.DUMMYFUNCTION("""COMPUTED_VALUE"""),"Skylar Hanson")</f>
        <v>Skylar Hanson</v>
      </c>
      <c r="Q2087" s="6" t="str">
        <f>IFERROR(__xludf.DUMMYFUNCTION("""COMPUTED_VALUE"""),"L2")</f>
        <v>L2</v>
      </c>
      <c r="R2087" s="6">
        <f>IFERROR(__xludf.DUMMYFUNCTION("""COMPUTED_VALUE"""),2.0)</f>
        <v>2</v>
      </c>
      <c r="S2087" s="6" t="str">
        <f>IFERROR(__xludf.DUMMYFUNCTION("""COMPUTED_VALUE""")," ")</f>
        <v> </v>
      </c>
      <c r="T2087" s="6" t="str">
        <f>IFERROR(__xludf.DUMMYFUNCTION("""COMPUTED_VALUE"""),"")</f>
        <v/>
      </c>
      <c r="U2087" s="6" t="str">
        <f>IFERROR(__xludf.DUMMYFUNCTION("""COMPUTED_VALUE"""),"5")</f>
        <v>5</v>
      </c>
      <c r="V2087" s="6" t="str">
        <f>IFERROR(__xludf.DUMMYFUNCTION("""COMPUTED_VALUE"""),"")</f>
        <v/>
      </c>
      <c r="W2087" s="6" t="str">
        <f>IFERROR(__xludf.DUMMYFUNCTION("""COMPUTED_VALUE"""),"[]")</f>
        <v>[]</v>
      </c>
      <c r="X2087" s="6" t="str">
        <f>IFERROR(__xludf.DUMMYFUNCTION("""COMPUTED_VALUE"""),"Enrolled")</f>
        <v>Enrolled</v>
      </c>
    </row>
    <row r="2088">
      <c r="A2088" s="6" t="str">
        <f>IFERROR(__xludf.DUMMYFUNCTION("""COMPUTED_VALUE"""),"030-11190")</f>
        <v>030-11190</v>
      </c>
      <c r="B2088" s="6" t="str">
        <f>IFERROR(__xludf.DUMMYFUNCTION("""COMPUTED_VALUE"""),"30")</f>
        <v>30</v>
      </c>
      <c r="C2088" s="6" t="str">
        <f>IFERROR(__xludf.DUMMYFUNCTION("""COMPUTED_VALUE"""),"11190")</f>
        <v>11190</v>
      </c>
      <c r="D2088" s="6" t="str">
        <f>IFERROR(__xludf.DUMMYFUNCTION("""COMPUTED_VALUE"""),"Aaliyah")</f>
        <v>Aaliyah</v>
      </c>
      <c r="E2088" s="6" t="str">
        <f>IFERROR(__xludf.DUMMYFUNCTION("""COMPUTED_VALUE"""),"")</f>
        <v/>
      </c>
      <c r="F2088" s="6" t="str">
        <f>IFERROR(__xludf.DUMMYFUNCTION("""COMPUTED_VALUE"""),"Bracamontes")</f>
        <v>Bracamontes</v>
      </c>
      <c r="G2088" s="6" t="str">
        <f>IFERROR(__xludf.DUMMYFUNCTION("""COMPUTED_VALUE"""),"02/05/2015")</f>
        <v>02/05/2015</v>
      </c>
      <c r="H2088" s="6" t="str">
        <f>IFERROR(__xludf.DUMMYFUNCTION("""COMPUTED_VALUE"""),"Self Identify")</f>
        <v>Self Identify</v>
      </c>
      <c r="I2088" s="6" t="str">
        <f>IFERROR(__xludf.DUMMYFUNCTION("""COMPUTED_VALUE"""),"Level 2")</f>
        <v>Level 2</v>
      </c>
      <c r="J2088" s="6" t="str">
        <f>IFERROR(__xludf.DUMMYFUNCTION("""COMPUTED_VALUE"""),"5")</f>
        <v>5</v>
      </c>
      <c r="K2088" s="6" t="str">
        <f>IFERROR(__xludf.DUMMYFUNCTION("""COMPUTED_VALUE"""),"aaliyah.bracamontes@novatio.school")</f>
        <v>aaliyah.bracamontes@novatio.school</v>
      </c>
      <c r="L2088" s="6" t="str">
        <f>IFERROR(__xludf.DUMMYFUNCTION("""COMPUTED_VALUE"""),"Novatio")</f>
        <v>Novatio</v>
      </c>
      <c r="M2088" s="6" t="str">
        <f>IFERROR(__xludf.DUMMYFUNCTION("""COMPUTED_VALUE"""),"")</f>
        <v/>
      </c>
      <c r="N2088" s="6" t="str">
        <f>IFERROR(__xludf.DUMMYFUNCTION("""COMPUTED_VALUE"""),"")</f>
        <v/>
      </c>
      <c r="O2088" s="87" t="str">
        <f>IFERROR(__xludf.DUMMYFUNCTION("""COMPUTED_VALUE"""),"https://drive.google.com/drive/folders/10T2cTQHqEJZqE-st6uFKPoI?usp=share_link")</f>
        <v>https://drive.google.com/drive/folders/10T2cTQHqEJZqE-st6uFKPoI?usp=share_link</v>
      </c>
      <c r="P2088" s="6" t="str">
        <f>IFERROR(__xludf.DUMMYFUNCTION("""COMPUTED_VALUE"""),"Aaliyah Bracamontes")</f>
        <v>Aaliyah Bracamontes</v>
      </c>
      <c r="Q2088" s="6" t="str">
        <f>IFERROR(__xludf.DUMMYFUNCTION("""COMPUTED_VALUE"""),"L2")</f>
        <v>L2</v>
      </c>
      <c r="R2088" s="6">
        <f>IFERROR(__xludf.DUMMYFUNCTION("""COMPUTED_VALUE"""),2.0)</f>
        <v>2</v>
      </c>
      <c r="S2088" s="6" t="str">
        <f>IFERROR(__xludf.DUMMYFUNCTION("""COMPUTED_VALUE""")," ")</f>
        <v> </v>
      </c>
      <c r="T2088" s="6" t="str">
        <f>IFERROR(__xludf.DUMMYFUNCTION("""COMPUTED_VALUE"""),"")</f>
        <v/>
      </c>
      <c r="U2088" s="6" t="str">
        <f>IFERROR(__xludf.DUMMYFUNCTION("""COMPUTED_VALUE"""),"5")</f>
        <v>5</v>
      </c>
      <c r="V2088" s="6" t="str">
        <f>IFERROR(__xludf.DUMMYFUNCTION("""COMPUTED_VALUE"""),"")</f>
        <v/>
      </c>
      <c r="W2088" s="6" t="str">
        <f>IFERROR(__xludf.DUMMYFUNCTION("""COMPUTED_VALUE"""),"[]")</f>
        <v>[]</v>
      </c>
      <c r="X2088" s="6" t="str">
        <f>IFERROR(__xludf.DUMMYFUNCTION("""COMPUTED_VALUE"""),"Enrolled")</f>
        <v>Enrolled</v>
      </c>
    </row>
    <row r="2089">
      <c r="A2089" s="6" t="str">
        <f>IFERROR(__xludf.DUMMYFUNCTION("""COMPUTED_VALUE"""),"030-11204")</f>
        <v>030-11204</v>
      </c>
      <c r="B2089" s="6" t="str">
        <f>IFERROR(__xludf.DUMMYFUNCTION("""COMPUTED_VALUE"""),"30")</f>
        <v>30</v>
      </c>
      <c r="C2089" s="6" t="str">
        <f>IFERROR(__xludf.DUMMYFUNCTION("""COMPUTED_VALUE"""),"11204")</f>
        <v>11204</v>
      </c>
      <c r="D2089" s="6" t="str">
        <f>IFERROR(__xludf.DUMMYFUNCTION("""COMPUTED_VALUE"""),"Alaya")</f>
        <v>Alaya</v>
      </c>
      <c r="E2089" s="6" t="str">
        <f>IFERROR(__xludf.DUMMYFUNCTION("""COMPUTED_VALUE"""),"")</f>
        <v/>
      </c>
      <c r="F2089" s="6" t="str">
        <f>IFERROR(__xludf.DUMMYFUNCTION("""COMPUTED_VALUE"""),"Rodriguez")</f>
        <v>Rodriguez</v>
      </c>
      <c r="G2089" s="6" t="str">
        <f>IFERROR(__xludf.DUMMYFUNCTION("""COMPUTED_VALUE"""),"01/05/2012")</f>
        <v>01/05/2012</v>
      </c>
      <c r="H2089" s="6" t="str">
        <f>IFERROR(__xludf.DUMMYFUNCTION("""COMPUTED_VALUE"""),"Self Identify")</f>
        <v>Self Identify</v>
      </c>
      <c r="I2089" s="6" t="str">
        <f>IFERROR(__xludf.DUMMYFUNCTION("""COMPUTED_VALUE"""),"Middle School")</f>
        <v>Middle School</v>
      </c>
      <c r="J2089" s="6" t="str">
        <f>IFERROR(__xludf.DUMMYFUNCTION("""COMPUTED_VALUE"""),"8")</f>
        <v>8</v>
      </c>
      <c r="K2089" s="6" t="str">
        <f>IFERROR(__xludf.DUMMYFUNCTION("""COMPUTED_VALUE"""),"alaya.rodriguez@novatio.school")</f>
        <v>alaya.rodriguez@novatio.school</v>
      </c>
      <c r="L2089" s="6" t="str">
        <f>IFERROR(__xludf.DUMMYFUNCTION("""COMPUTED_VALUE"""),"Novatio")</f>
        <v>Novatio</v>
      </c>
      <c r="M2089" s="6" t="str">
        <f>IFERROR(__xludf.DUMMYFUNCTION("""COMPUTED_VALUE"""),"")</f>
        <v/>
      </c>
      <c r="N2089" s="6" t="str">
        <f>IFERROR(__xludf.DUMMYFUNCTION("""COMPUTED_VALUE"""),"")</f>
        <v/>
      </c>
      <c r="O2089" s="87" t="str">
        <f>IFERROR(__xludf.DUMMYFUNCTION("""COMPUTED_VALUE"""),"https://drive.google.com/drive/folders/10T2cTQHqEJZqE-st6uFKPoI?usp=share_link")</f>
        <v>https://drive.google.com/drive/folders/10T2cTQHqEJZqE-st6uFKPoI?usp=share_link</v>
      </c>
      <c r="P2089" s="6" t="str">
        <f>IFERROR(__xludf.DUMMYFUNCTION("""COMPUTED_VALUE"""),"Alaya Rodriguez")</f>
        <v>Alaya Rodriguez</v>
      </c>
      <c r="Q2089" s="6" t="str">
        <f>IFERROR(__xludf.DUMMYFUNCTION("""COMPUTED_VALUE"""),"MS")</f>
        <v>MS</v>
      </c>
      <c r="R2089" s="6">
        <f>IFERROR(__xludf.DUMMYFUNCTION("""COMPUTED_VALUE"""),0.0)</f>
        <v>0</v>
      </c>
      <c r="S2089" s="6" t="str">
        <f>IFERROR(__xludf.DUMMYFUNCTION("""COMPUTED_VALUE""")," ")</f>
        <v> </v>
      </c>
      <c r="T2089" s="6" t="str">
        <f>IFERROR(__xludf.DUMMYFUNCTION("""COMPUTED_VALUE"""),"")</f>
        <v/>
      </c>
      <c r="U2089" s="6" t="str">
        <f>IFERROR(__xludf.DUMMYFUNCTION("""COMPUTED_VALUE"""),"8")</f>
        <v>8</v>
      </c>
      <c r="V2089" s="6" t="str">
        <f>IFERROR(__xludf.DUMMYFUNCTION("""COMPUTED_VALUE"""),"")</f>
        <v/>
      </c>
      <c r="W2089" s="6" t="str">
        <f>IFERROR(__xludf.DUMMYFUNCTION("""COMPUTED_VALUE"""),"[]")</f>
        <v>[]</v>
      </c>
      <c r="X2089" s="6" t="str">
        <f>IFERROR(__xludf.DUMMYFUNCTION("""COMPUTED_VALUE"""),"Enrolled")</f>
        <v>Enrolled</v>
      </c>
    </row>
    <row r="2090">
      <c r="A2090" s="6" t="str">
        <f>IFERROR(__xludf.DUMMYFUNCTION("""COMPUTED_VALUE"""),"030-11856")</f>
        <v>030-11856</v>
      </c>
      <c r="B2090" s="6" t="str">
        <f>IFERROR(__xludf.DUMMYFUNCTION("""COMPUTED_VALUE"""),"30")</f>
        <v>30</v>
      </c>
      <c r="C2090" s="6" t="str">
        <f>IFERROR(__xludf.DUMMYFUNCTION("""COMPUTED_VALUE"""),"11856")</f>
        <v>11856</v>
      </c>
      <c r="D2090" s="6" t="str">
        <f>IFERROR(__xludf.DUMMYFUNCTION("""COMPUTED_VALUE"""),"Lola")</f>
        <v>Lola</v>
      </c>
      <c r="E2090" s="6" t="str">
        <f>IFERROR(__xludf.DUMMYFUNCTION("""COMPUTED_VALUE"""),"")</f>
        <v/>
      </c>
      <c r="F2090" s="6" t="str">
        <f>IFERROR(__xludf.DUMMYFUNCTION("""COMPUTED_VALUE"""),"Encinas")</f>
        <v>Encinas</v>
      </c>
      <c r="G2090" s="6" t="str">
        <f>IFERROR(__xludf.DUMMYFUNCTION("""COMPUTED_VALUE"""),"09/10/2018")</f>
        <v>09/10/2018</v>
      </c>
      <c r="H2090" s="6" t="str">
        <f>IFERROR(__xludf.DUMMYFUNCTION("""COMPUTED_VALUE"""),"Self Identify")</f>
        <v>Self Identify</v>
      </c>
      <c r="I2090" s="6" t="str">
        <f>IFERROR(__xludf.DUMMYFUNCTION("""COMPUTED_VALUE"""),"Learning Lab")</f>
        <v>Learning Lab</v>
      </c>
      <c r="J2090" s="6" t="str">
        <f>IFERROR(__xludf.DUMMYFUNCTION("""COMPUTED_VALUE"""),"1")</f>
        <v>1</v>
      </c>
      <c r="K2090" s="6" t="str">
        <f>IFERROR(__xludf.DUMMYFUNCTION("""COMPUTED_VALUE"""),"lola.encinas@novatio.school")</f>
        <v>lola.encinas@novatio.school</v>
      </c>
      <c r="L2090" s="6" t="str">
        <f>IFERROR(__xludf.DUMMYFUNCTION("""COMPUTED_VALUE"""),"Novatio")</f>
        <v>Novatio</v>
      </c>
      <c r="M2090" s="6" t="str">
        <f>IFERROR(__xludf.DUMMYFUNCTION("""COMPUTED_VALUE"""),"")</f>
        <v/>
      </c>
      <c r="N2090" s="6" t="str">
        <f>IFERROR(__xludf.DUMMYFUNCTION("""COMPUTED_VALUE"""),"")</f>
        <v/>
      </c>
      <c r="O2090" s="87" t="str">
        <f>IFERROR(__xludf.DUMMYFUNCTION("""COMPUTED_VALUE"""),"https://drive.google.com/drive/folders/10T2cTQHqEJZqE-st6uFKPoI?usp=share_link")</f>
        <v>https://drive.google.com/drive/folders/10T2cTQHqEJZqE-st6uFKPoI?usp=share_link</v>
      </c>
      <c r="P2090" s="6" t="str">
        <f>IFERROR(__xludf.DUMMYFUNCTION("""COMPUTED_VALUE"""),"Lola Encinas")</f>
        <v>Lola Encinas</v>
      </c>
      <c r="Q2090" s="6" t="str">
        <f>IFERROR(__xludf.DUMMYFUNCTION("""COMPUTED_VALUE"""),"LL")</f>
        <v>LL</v>
      </c>
      <c r="R2090" s="6">
        <f>IFERROR(__xludf.DUMMYFUNCTION("""COMPUTED_VALUE"""),0.0)</f>
        <v>0</v>
      </c>
      <c r="S2090" s="6" t="str">
        <f>IFERROR(__xludf.DUMMYFUNCTION("""COMPUTED_VALUE""")," ")</f>
        <v> </v>
      </c>
      <c r="T2090" s="6" t="str">
        <f>IFERROR(__xludf.DUMMYFUNCTION("""COMPUTED_VALUE"""),"")</f>
        <v/>
      </c>
      <c r="U2090" s="6" t="str">
        <f>IFERROR(__xludf.DUMMYFUNCTION("""COMPUTED_VALUE"""),"1")</f>
        <v>1</v>
      </c>
      <c r="V2090" s="6" t="str">
        <f>IFERROR(__xludf.DUMMYFUNCTION("""COMPUTED_VALUE"""),"")</f>
        <v/>
      </c>
      <c r="W2090" s="6" t="str">
        <f>IFERROR(__xludf.DUMMYFUNCTION("""COMPUTED_VALUE"""),"[]")</f>
        <v>[]</v>
      </c>
      <c r="X2090" s="6" t="str">
        <f>IFERROR(__xludf.DUMMYFUNCTION("""COMPUTED_VALUE"""),"Enrolled")</f>
        <v>Enrolled</v>
      </c>
    </row>
    <row r="2091">
      <c r="A2091" s="6" t="str">
        <f>IFERROR(__xludf.DUMMYFUNCTION("""COMPUTED_VALUE"""),"030-11858")</f>
        <v>030-11858</v>
      </c>
      <c r="B2091" s="6" t="str">
        <f>IFERROR(__xludf.DUMMYFUNCTION("""COMPUTED_VALUE"""),"30")</f>
        <v>30</v>
      </c>
      <c r="C2091" s="6" t="str">
        <f>IFERROR(__xludf.DUMMYFUNCTION("""COMPUTED_VALUE"""),"11858")</f>
        <v>11858</v>
      </c>
      <c r="D2091" s="6" t="str">
        <f>IFERROR(__xludf.DUMMYFUNCTION("""COMPUTED_VALUE"""),"Zoe")</f>
        <v>Zoe</v>
      </c>
      <c r="E2091" s="6" t="str">
        <f>IFERROR(__xludf.DUMMYFUNCTION("""COMPUTED_VALUE"""),"")</f>
        <v/>
      </c>
      <c r="F2091" s="6" t="str">
        <f>IFERROR(__xludf.DUMMYFUNCTION("""COMPUTED_VALUE"""),"Miller")</f>
        <v>Miller</v>
      </c>
      <c r="G2091" s="6" t="str">
        <f>IFERROR(__xludf.DUMMYFUNCTION("""COMPUTED_VALUE"""),"12/02/2016")</f>
        <v>12/02/2016</v>
      </c>
      <c r="H2091" s="6" t="str">
        <f>IFERROR(__xludf.DUMMYFUNCTION("""COMPUTED_VALUE"""),"Self Identify")</f>
        <v>Self Identify</v>
      </c>
      <c r="I2091" s="6" t="str">
        <f>IFERROR(__xludf.DUMMYFUNCTION("""COMPUTED_VALUE"""),"Level 1")</f>
        <v>Level 1</v>
      </c>
      <c r="J2091" s="6" t="str">
        <f>IFERROR(__xludf.DUMMYFUNCTION("""COMPUTED_VALUE"""),"3")</f>
        <v>3</v>
      </c>
      <c r="K2091" s="6" t="str">
        <f>IFERROR(__xludf.DUMMYFUNCTION("""COMPUTED_VALUE"""),"zoe.miller@novatio.school")</f>
        <v>zoe.miller@novatio.school</v>
      </c>
      <c r="L2091" s="6" t="str">
        <f>IFERROR(__xludf.DUMMYFUNCTION("""COMPUTED_VALUE"""),"Novatio")</f>
        <v>Novatio</v>
      </c>
      <c r="M2091" s="6" t="str">
        <f>IFERROR(__xludf.DUMMYFUNCTION("""COMPUTED_VALUE"""),"")</f>
        <v/>
      </c>
      <c r="N2091" s="6" t="str">
        <f>IFERROR(__xludf.DUMMYFUNCTION("""COMPUTED_VALUE"""),"")</f>
        <v/>
      </c>
      <c r="O2091" s="87" t="str">
        <f>IFERROR(__xludf.DUMMYFUNCTION("""COMPUTED_VALUE"""),"https://drive.google.com/drive/folders/10T2cTQHqEJZqE-st6uFKPoI?usp=share_link")</f>
        <v>https://drive.google.com/drive/folders/10T2cTQHqEJZqE-st6uFKPoI?usp=share_link</v>
      </c>
      <c r="P2091" s="6" t="str">
        <f>IFERROR(__xludf.DUMMYFUNCTION("""COMPUTED_VALUE"""),"Zoe Miller")</f>
        <v>Zoe Miller</v>
      </c>
      <c r="Q2091" s="6" t="str">
        <f>IFERROR(__xludf.DUMMYFUNCTION("""COMPUTED_VALUE"""),"L1")</f>
        <v>L1</v>
      </c>
      <c r="R2091" s="6">
        <f>IFERROR(__xludf.DUMMYFUNCTION("""COMPUTED_VALUE"""),1.0)</f>
        <v>1</v>
      </c>
      <c r="S2091" s="6" t="str">
        <f>IFERROR(__xludf.DUMMYFUNCTION("""COMPUTED_VALUE""")," ")</f>
        <v> </v>
      </c>
      <c r="T2091" s="6" t="str">
        <f>IFERROR(__xludf.DUMMYFUNCTION("""COMPUTED_VALUE"""),"")</f>
        <v/>
      </c>
      <c r="U2091" s="6" t="str">
        <f>IFERROR(__xludf.DUMMYFUNCTION("""COMPUTED_VALUE"""),"3")</f>
        <v>3</v>
      </c>
      <c r="V2091" s="6" t="str">
        <f>IFERROR(__xludf.DUMMYFUNCTION("""COMPUTED_VALUE"""),"")</f>
        <v/>
      </c>
      <c r="W2091" s="6" t="str">
        <f>IFERROR(__xludf.DUMMYFUNCTION("""COMPUTED_VALUE"""),"[]")</f>
        <v>[]</v>
      </c>
      <c r="X2091" s="6" t="str">
        <f>IFERROR(__xludf.DUMMYFUNCTION("""COMPUTED_VALUE"""),"Enrolled")</f>
        <v>Enrolled</v>
      </c>
    </row>
    <row r="2092">
      <c r="A2092" s="6" t="str">
        <f>IFERROR(__xludf.DUMMYFUNCTION("""COMPUTED_VALUE"""),"030-13332")</f>
        <v>030-13332</v>
      </c>
      <c r="B2092" s="6" t="str">
        <f>IFERROR(__xludf.DUMMYFUNCTION("""COMPUTED_VALUE"""),"30")</f>
        <v>30</v>
      </c>
      <c r="C2092" s="6" t="str">
        <f>IFERROR(__xludf.DUMMYFUNCTION("""COMPUTED_VALUE"""),"13332")</f>
        <v>13332</v>
      </c>
      <c r="D2092" s="6" t="str">
        <f>IFERROR(__xludf.DUMMYFUNCTION("""COMPUTED_VALUE"""),"Jam'iya")</f>
        <v>Jam'iya</v>
      </c>
      <c r="E2092" s="6" t="str">
        <f>IFERROR(__xludf.DUMMYFUNCTION("""COMPUTED_VALUE"""),"")</f>
        <v/>
      </c>
      <c r="F2092" s="6" t="str">
        <f>IFERROR(__xludf.DUMMYFUNCTION("""COMPUTED_VALUE"""),"Finley")</f>
        <v>Finley</v>
      </c>
      <c r="G2092" s="6" t="str">
        <f>IFERROR(__xludf.DUMMYFUNCTION("""COMPUTED_VALUE"""),"01/03/2014")</f>
        <v>01/03/2014</v>
      </c>
      <c r="H2092" s="6" t="str">
        <f>IFERROR(__xludf.DUMMYFUNCTION("""COMPUTED_VALUE"""),"Self Identify")</f>
        <v>Self Identify</v>
      </c>
      <c r="I2092" s="6" t="str">
        <f>IFERROR(__xludf.DUMMYFUNCTION("""COMPUTED_VALUE"""),"Middle School")</f>
        <v>Middle School</v>
      </c>
      <c r="J2092" s="6" t="str">
        <f>IFERROR(__xludf.DUMMYFUNCTION("""COMPUTED_VALUE"""),"6")</f>
        <v>6</v>
      </c>
      <c r="K2092" s="6" t="str">
        <f>IFERROR(__xludf.DUMMYFUNCTION("""COMPUTED_VALUE"""),"jamiya.finley@novatio.school")</f>
        <v>jamiya.finley@novatio.school</v>
      </c>
      <c r="L2092" s="6" t="str">
        <f>IFERROR(__xludf.DUMMYFUNCTION("""COMPUTED_VALUE"""),"Novatio")</f>
        <v>Novatio</v>
      </c>
      <c r="M2092" s="6" t="str">
        <f>IFERROR(__xludf.DUMMYFUNCTION("""COMPUTED_VALUE"""),"")</f>
        <v/>
      </c>
      <c r="N2092" s="6" t="str">
        <f>IFERROR(__xludf.DUMMYFUNCTION("""COMPUTED_VALUE"""),"")</f>
        <v/>
      </c>
      <c r="O2092" s="87" t="str">
        <f>IFERROR(__xludf.DUMMYFUNCTION("""COMPUTED_VALUE"""),"https://drive.google.com/drive/folders/10T2cTQHqEJZqE-st6uFKPoI?usp=share_link")</f>
        <v>https://drive.google.com/drive/folders/10T2cTQHqEJZqE-st6uFKPoI?usp=share_link</v>
      </c>
      <c r="P2092" s="6" t="str">
        <f>IFERROR(__xludf.DUMMYFUNCTION("""COMPUTED_VALUE"""),"Jam'iya Finley")</f>
        <v>Jam'iya Finley</v>
      </c>
      <c r="Q2092" s="6" t="str">
        <f>IFERROR(__xludf.DUMMYFUNCTION("""COMPUTED_VALUE"""),"MS")</f>
        <v>MS</v>
      </c>
      <c r="R2092" s="6">
        <f>IFERROR(__xludf.DUMMYFUNCTION("""COMPUTED_VALUE"""),0.0)</f>
        <v>0</v>
      </c>
      <c r="S2092" s="6" t="str">
        <f>IFERROR(__xludf.DUMMYFUNCTION("""COMPUTED_VALUE""")," ")</f>
        <v> </v>
      </c>
      <c r="T2092" s="6" t="str">
        <f>IFERROR(__xludf.DUMMYFUNCTION("""COMPUTED_VALUE"""),"")</f>
        <v/>
      </c>
      <c r="U2092" s="6" t="str">
        <f>IFERROR(__xludf.DUMMYFUNCTION("""COMPUTED_VALUE"""),"6")</f>
        <v>6</v>
      </c>
      <c r="V2092" s="6" t="str">
        <f>IFERROR(__xludf.DUMMYFUNCTION("""COMPUTED_VALUE"""),"")</f>
        <v/>
      </c>
      <c r="W2092" s="6" t="str">
        <f>IFERROR(__xludf.DUMMYFUNCTION("""COMPUTED_VALUE"""),"[]")</f>
        <v>[]</v>
      </c>
      <c r="X2092" s="6" t="str">
        <f>IFERROR(__xludf.DUMMYFUNCTION("""COMPUTED_VALUE"""),"Enrolled")</f>
        <v>Enrolled</v>
      </c>
    </row>
    <row r="2093">
      <c r="A2093" s="6" t="str">
        <f>IFERROR(__xludf.DUMMYFUNCTION("""COMPUTED_VALUE"""),"030-13333")</f>
        <v>030-13333</v>
      </c>
      <c r="B2093" s="6" t="str">
        <f>IFERROR(__xludf.DUMMYFUNCTION("""COMPUTED_VALUE"""),"30")</f>
        <v>30</v>
      </c>
      <c r="C2093" s="6" t="str">
        <f>IFERROR(__xludf.DUMMYFUNCTION("""COMPUTED_VALUE"""),"13333")</f>
        <v>13333</v>
      </c>
      <c r="D2093" s="6" t="str">
        <f>IFERROR(__xludf.DUMMYFUNCTION("""COMPUTED_VALUE"""),"Isabel")</f>
        <v>Isabel</v>
      </c>
      <c r="E2093" s="6" t="str">
        <f>IFERROR(__xludf.DUMMYFUNCTION("""COMPUTED_VALUE"""),"")</f>
        <v/>
      </c>
      <c r="F2093" s="6" t="str">
        <f>IFERROR(__xludf.DUMMYFUNCTION("""COMPUTED_VALUE"""),"Webb")</f>
        <v>Webb</v>
      </c>
      <c r="G2093" s="6" t="str">
        <f>IFERROR(__xludf.DUMMYFUNCTION("""COMPUTED_VALUE"""),"09/19/2014")</f>
        <v>09/19/2014</v>
      </c>
      <c r="H2093" s="6" t="str">
        <f>IFERROR(__xludf.DUMMYFUNCTION("""COMPUTED_VALUE"""),"Self Identify")</f>
        <v>Self Identify</v>
      </c>
      <c r="I2093" s="6" t="str">
        <f>IFERROR(__xludf.DUMMYFUNCTION("""COMPUTED_VALUE"""),"Level 2")</f>
        <v>Level 2</v>
      </c>
      <c r="J2093" s="6" t="str">
        <f>IFERROR(__xludf.DUMMYFUNCTION("""COMPUTED_VALUE"""),"5")</f>
        <v>5</v>
      </c>
      <c r="K2093" s="6" t="str">
        <f>IFERROR(__xludf.DUMMYFUNCTION("""COMPUTED_VALUE"""),"isabel.webb@novatio.school")</f>
        <v>isabel.webb@novatio.school</v>
      </c>
      <c r="L2093" s="6" t="str">
        <f>IFERROR(__xludf.DUMMYFUNCTION("""COMPUTED_VALUE"""),"Novatio")</f>
        <v>Novatio</v>
      </c>
      <c r="M2093" s="6" t="str">
        <f>IFERROR(__xludf.DUMMYFUNCTION("""COMPUTED_VALUE"""),"")</f>
        <v/>
      </c>
      <c r="N2093" s="6" t="str">
        <f>IFERROR(__xludf.DUMMYFUNCTION("""COMPUTED_VALUE"""),"")</f>
        <v/>
      </c>
      <c r="O2093" s="87" t="str">
        <f>IFERROR(__xludf.DUMMYFUNCTION("""COMPUTED_VALUE"""),"https://drive.google.com/drive/folders/10T2cTQHqEJZqE-st6uFKPoI?usp=share_link")</f>
        <v>https://drive.google.com/drive/folders/10T2cTQHqEJZqE-st6uFKPoI?usp=share_link</v>
      </c>
      <c r="P2093" s="6" t="str">
        <f>IFERROR(__xludf.DUMMYFUNCTION("""COMPUTED_VALUE"""),"Isabel Webb")</f>
        <v>Isabel Webb</v>
      </c>
      <c r="Q2093" s="6" t="str">
        <f>IFERROR(__xludf.DUMMYFUNCTION("""COMPUTED_VALUE"""),"L2")</f>
        <v>L2</v>
      </c>
      <c r="R2093" s="6">
        <f>IFERROR(__xludf.DUMMYFUNCTION("""COMPUTED_VALUE"""),2.0)</f>
        <v>2</v>
      </c>
      <c r="S2093" s="6" t="str">
        <f>IFERROR(__xludf.DUMMYFUNCTION("""COMPUTED_VALUE""")," ")</f>
        <v> </v>
      </c>
      <c r="T2093" s="6" t="str">
        <f>IFERROR(__xludf.DUMMYFUNCTION("""COMPUTED_VALUE"""),"")</f>
        <v/>
      </c>
      <c r="U2093" s="6" t="str">
        <f>IFERROR(__xludf.DUMMYFUNCTION("""COMPUTED_VALUE"""),"5")</f>
        <v>5</v>
      </c>
      <c r="V2093" s="6" t="str">
        <f>IFERROR(__xludf.DUMMYFUNCTION("""COMPUTED_VALUE"""),"")</f>
        <v/>
      </c>
      <c r="W2093" s="6" t="str">
        <f>IFERROR(__xludf.DUMMYFUNCTION("""COMPUTED_VALUE"""),"[]")</f>
        <v>[]</v>
      </c>
      <c r="X2093" s="6" t="str">
        <f>IFERROR(__xludf.DUMMYFUNCTION("""COMPUTED_VALUE"""),"Enrolled")</f>
        <v>Enrolled</v>
      </c>
    </row>
    <row r="2094">
      <c r="A2094" s="6" t="str">
        <f>IFERROR(__xludf.DUMMYFUNCTION("""COMPUTED_VALUE"""),"030-1995")</f>
        <v>030-1995</v>
      </c>
      <c r="B2094" s="6" t="str">
        <f>IFERROR(__xludf.DUMMYFUNCTION("""COMPUTED_VALUE"""),"30")</f>
        <v>30</v>
      </c>
      <c r="C2094" s="6" t="str">
        <f>IFERROR(__xludf.DUMMYFUNCTION("""COMPUTED_VALUE"""),"1995")</f>
        <v>1995</v>
      </c>
      <c r="D2094" s="6" t="str">
        <f>IFERROR(__xludf.DUMMYFUNCTION("""COMPUTED_VALUE"""),"Test")</f>
        <v>Test</v>
      </c>
      <c r="E2094" s="6" t="str">
        <f>IFERROR(__xludf.DUMMYFUNCTION("""COMPUTED_VALUE"""),"")</f>
        <v/>
      </c>
      <c r="F2094" s="6" t="str">
        <f>IFERROR(__xludf.DUMMYFUNCTION("""COMPUTED_VALUE"""),"Novatio1")</f>
        <v>Novatio1</v>
      </c>
      <c r="G2094" s="6" t="str">
        <f>IFERROR(__xludf.DUMMYFUNCTION("""COMPUTED_VALUE"""),"01/01/2012")</f>
        <v>01/01/2012</v>
      </c>
      <c r="H2094" s="6" t="str">
        <f>IFERROR(__xludf.DUMMYFUNCTION("""COMPUTED_VALUE"""),"male")</f>
        <v>male</v>
      </c>
      <c r="I2094" s="6" t="str">
        <f>IFERROR(__xludf.DUMMYFUNCTION("""COMPUTED_VALUE"""),"Middle School")</f>
        <v>Middle School</v>
      </c>
      <c r="J2094" s="6" t="str">
        <f>IFERROR(__xludf.DUMMYFUNCTION("""COMPUTED_VALUE"""),"6")</f>
        <v>6</v>
      </c>
      <c r="K2094" s="6" t="str">
        <f>IFERROR(__xludf.DUMMYFUNCTION("""COMPUTED_VALUE"""),"test.novatio1@novatio.school")</f>
        <v>test.novatio1@novatio.school</v>
      </c>
      <c r="L2094" s="6" t="str">
        <f>IFERROR(__xludf.DUMMYFUNCTION("""COMPUTED_VALUE"""),"Novatio")</f>
        <v>Novatio</v>
      </c>
      <c r="M2094" s="6" t="str">
        <f>IFERROR(__xludf.DUMMYFUNCTION("""COMPUTED_VALUE"""),"Mock")</f>
        <v>Mock</v>
      </c>
      <c r="N2094" s="6" t="str">
        <f>IFERROR(__xludf.DUMMYFUNCTION("""COMPUTED_VALUE"""),"")</f>
        <v/>
      </c>
      <c r="O2094" s="87" t="str">
        <f>IFERROR(__xludf.DUMMYFUNCTION("""COMPUTED_VALUE"""),"https://drive.google.com/drive/folders/10T2cTQHqEJZqE-st6uFKPoI?usp=share_link")</f>
        <v>https://drive.google.com/drive/folders/10T2cTQHqEJZqE-st6uFKPoI?usp=share_link</v>
      </c>
      <c r="P2094" s="6" t="str">
        <f>IFERROR(__xludf.DUMMYFUNCTION("""COMPUTED_VALUE"""),"Test Novatio1")</f>
        <v>Test Novatio1</v>
      </c>
      <c r="Q2094" s="6" t="str">
        <f>IFERROR(__xludf.DUMMYFUNCTION("""COMPUTED_VALUE"""),"MS")</f>
        <v>MS</v>
      </c>
      <c r="R2094" s="6">
        <f>IFERROR(__xludf.DUMMYFUNCTION("""COMPUTED_VALUE"""),0.0)</f>
        <v>0</v>
      </c>
      <c r="S2094" s="6" t="str">
        <f>IFERROR(__xludf.DUMMYFUNCTION("""COMPUTED_VALUE""")," ")</f>
        <v> </v>
      </c>
      <c r="T2094" s="6" t="str">
        <f>IFERROR(__xludf.DUMMYFUNCTION("""COMPUTED_VALUE"""),"")</f>
        <v/>
      </c>
      <c r="U2094" s="6" t="str">
        <f>IFERROR(__xludf.DUMMYFUNCTION("""COMPUTED_VALUE"""),"6")</f>
        <v>6</v>
      </c>
      <c r="V2094" s="6" t="str">
        <f>IFERROR(__xludf.DUMMYFUNCTION("""COMPUTED_VALUE"""),"")</f>
        <v/>
      </c>
      <c r="W2094" s="6" t="str">
        <f>IFERROR(__xludf.DUMMYFUNCTION("""COMPUTED_VALUE"""),"[]")</f>
        <v>[]</v>
      </c>
      <c r="X2094" s="6" t="str">
        <f>IFERROR(__xludf.DUMMYFUNCTION("""COMPUTED_VALUE"""),"Enrolled")</f>
        <v>Enrolled</v>
      </c>
    </row>
    <row r="2095">
      <c r="A2095" s="6" t="str">
        <f>IFERROR(__xludf.DUMMYFUNCTION("""COMPUTED_VALUE"""),"030-2010")</f>
        <v>030-2010</v>
      </c>
      <c r="B2095" s="6" t="str">
        <f>IFERROR(__xludf.DUMMYFUNCTION("""COMPUTED_VALUE"""),"30")</f>
        <v>30</v>
      </c>
      <c r="C2095" s="6" t="str">
        <f>IFERROR(__xludf.DUMMYFUNCTION("""COMPUTED_VALUE"""),"2010")</f>
        <v>2010</v>
      </c>
      <c r="D2095" s="6" t="str">
        <f>IFERROR(__xludf.DUMMYFUNCTION("""COMPUTED_VALUE"""),"Tyiir")</f>
        <v>Tyiir</v>
      </c>
      <c r="E2095" s="6" t="str">
        <f>IFERROR(__xludf.DUMMYFUNCTION("""COMPUTED_VALUE"""),"")</f>
        <v/>
      </c>
      <c r="F2095" s="6" t="str">
        <f>IFERROR(__xludf.DUMMYFUNCTION("""COMPUTED_VALUE"""),"Woods")</f>
        <v>Woods</v>
      </c>
      <c r="G2095" s="6" t="str">
        <f>IFERROR(__xludf.DUMMYFUNCTION("""COMPUTED_VALUE"""),"05/11/2015")</f>
        <v>05/11/2015</v>
      </c>
      <c r="H2095" s="6" t="str">
        <f>IFERROR(__xludf.DUMMYFUNCTION("""COMPUTED_VALUE"""),"Self Identify")</f>
        <v>Self Identify</v>
      </c>
      <c r="I2095" s="6" t="str">
        <f>IFERROR(__xludf.DUMMYFUNCTION("""COMPUTED_VALUE"""),"Level 2")</f>
        <v>Level 2</v>
      </c>
      <c r="J2095" s="6" t="str">
        <f>IFERROR(__xludf.DUMMYFUNCTION("""COMPUTED_VALUE"""),"4")</f>
        <v>4</v>
      </c>
      <c r="K2095" s="6" t="str">
        <f>IFERROR(__xludf.DUMMYFUNCTION("""COMPUTED_VALUE"""),"tyiir.woods@novatio.school")</f>
        <v>tyiir.woods@novatio.school</v>
      </c>
      <c r="L2095" s="6" t="str">
        <f>IFERROR(__xludf.DUMMYFUNCTION("""COMPUTED_VALUE"""),"Novatio")</f>
        <v>Novatio</v>
      </c>
      <c r="M2095" s="6" t="str">
        <f>IFERROR(__xludf.DUMMYFUNCTION("""COMPUTED_VALUE"""),"")</f>
        <v/>
      </c>
      <c r="N2095" s="6" t="str">
        <f>IFERROR(__xludf.DUMMYFUNCTION("""COMPUTED_VALUE"""),"")</f>
        <v/>
      </c>
      <c r="O2095" s="87" t="str">
        <f>IFERROR(__xludf.DUMMYFUNCTION("""COMPUTED_VALUE"""),"https://drive.google.com/drive/folders/10T2cTQHqEJZqE-st6uFKPoI?usp=share_link")</f>
        <v>https://drive.google.com/drive/folders/10T2cTQHqEJZqE-st6uFKPoI?usp=share_link</v>
      </c>
      <c r="P2095" s="6" t="str">
        <f>IFERROR(__xludf.DUMMYFUNCTION("""COMPUTED_VALUE"""),"Tyiir Woods")</f>
        <v>Tyiir Woods</v>
      </c>
      <c r="Q2095" s="6" t="str">
        <f>IFERROR(__xludf.DUMMYFUNCTION("""COMPUTED_VALUE"""),"L2")</f>
        <v>L2</v>
      </c>
      <c r="R2095" s="6">
        <f>IFERROR(__xludf.DUMMYFUNCTION("""COMPUTED_VALUE"""),2.0)</f>
        <v>2</v>
      </c>
      <c r="S2095" s="6" t="str">
        <f>IFERROR(__xludf.DUMMYFUNCTION("""COMPUTED_VALUE""")," ")</f>
        <v> </v>
      </c>
      <c r="T2095" s="6" t="str">
        <f>IFERROR(__xludf.DUMMYFUNCTION("""COMPUTED_VALUE"""),"")</f>
        <v/>
      </c>
      <c r="U2095" s="6" t="str">
        <f>IFERROR(__xludf.DUMMYFUNCTION("""COMPUTED_VALUE"""),"4")</f>
        <v>4</v>
      </c>
      <c r="V2095" s="6" t="str">
        <f>IFERROR(__xludf.DUMMYFUNCTION("""COMPUTED_VALUE"""),"")</f>
        <v/>
      </c>
      <c r="W2095" s="6" t="str">
        <f>IFERROR(__xludf.DUMMYFUNCTION("""COMPUTED_VALUE"""),"[]")</f>
        <v>[]</v>
      </c>
      <c r="X2095" s="6" t="str">
        <f>IFERROR(__xludf.DUMMYFUNCTION("""COMPUTED_VALUE"""),"Pending Review")</f>
        <v>Pending Review</v>
      </c>
    </row>
    <row r="2096">
      <c r="A2096" s="6" t="str">
        <f>IFERROR(__xludf.DUMMYFUNCTION("""COMPUTED_VALUE"""),"030-2206")</f>
        <v>030-2206</v>
      </c>
      <c r="B2096" s="6" t="str">
        <f>IFERROR(__xludf.DUMMYFUNCTION("""COMPUTED_VALUE"""),"30")</f>
        <v>30</v>
      </c>
      <c r="C2096" s="6" t="str">
        <f>IFERROR(__xludf.DUMMYFUNCTION("""COMPUTED_VALUE"""),"2206")</f>
        <v>2206</v>
      </c>
      <c r="D2096" s="6" t="str">
        <f>IFERROR(__xludf.DUMMYFUNCTION("""COMPUTED_VALUE"""),"Anabeth")</f>
        <v>Anabeth</v>
      </c>
      <c r="E2096" s="6" t="str">
        <f>IFERROR(__xludf.DUMMYFUNCTION("""COMPUTED_VALUE"""),"")</f>
        <v/>
      </c>
      <c r="F2096" s="6" t="str">
        <f>IFERROR(__xludf.DUMMYFUNCTION("""COMPUTED_VALUE"""),"Blodgett")</f>
        <v>Blodgett</v>
      </c>
      <c r="G2096" s="6" t="str">
        <f>IFERROR(__xludf.DUMMYFUNCTION("""COMPUTED_VALUE"""),"01/26/2013")</f>
        <v>01/26/2013</v>
      </c>
      <c r="H2096" s="6" t="str">
        <f>IFERROR(__xludf.DUMMYFUNCTION("""COMPUTED_VALUE"""),"self_identify")</f>
        <v>self_identify</v>
      </c>
      <c r="I2096" s="6" t="str">
        <f>IFERROR(__xludf.DUMMYFUNCTION("""COMPUTED_VALUE"""),"Middle School")</f>
        <v>Middle School</v>
      </c>
      <c r="J2096" s="6" t="str">
        <f>IFERROR(__xludf.DUMMYFUNCTION("""COMPUTED_VALUE"""),"7")</f>
        <v>7</v>
      </c>
      <c r="K2096" s="6" t="str">
        <f>IFERROR(__xludf.DUMMYFUNCTION("""COMPUTED_VALUE"""),"anabeth.blodgett@novatio.school")</f>
        <v>anabeth.blodgett@novatio.school</v>
      </c>
      <c r="L2096" s="6" t="str">
        <f>IFERROR(__xludf.DUMMYFUNCTION("""COMPUTED_VALUE"""),"Novatio")</f>
        <v>Novatio</v>
      </c>
      <c r="M2096" s="6" t="str">
        <f>IFERROR(__xludf.DUMMYFUNCTION("""COMPUTED_VALUE"""),"")</f>
        <v/>
      </c>
      <c r="N2096" s="6" t="str">
        <f>IFERROR(__xludf.DUMMYFUNCTION("""COMPUTED_VALUE"""),"")</f>
        <v/>
      </c>
      <c r="O2096" s="87" t="str">
        <f>IFERROR(__xludf.DUMMYFUNCTION("""COMPUTED_VALUE"""),"https://drive.google.com/drive/folders/10T2cTQHqEJZqE-st6uFKPoI?usp=share_link")</f>
        <v>https://drive.google.com/drive/folders/10T2cTQHqEJZqE-st6uFKPoI?usp=share_link</v>
      </c>
      <c r="P2096" s="6" t="str">
        <f>IFERROR(__xludf.DUMMYFUNCTION("""COMPUTED_VALUE"""),"Anabeth Blodgett")</f>
        <v>Anabeth Blodgett</v>
      </c>
      <c r="Q2096" s="6" t="str">
        <f>IFERROR(__xludf.DUMMYFUNCTION("""COMPUTED_VALUE"""),"MS")</f>
        <v>MS</v>
      </c>
      <c r="R2096" s="6">
        <f>IFERROR(__xludf.DUMMYFUNCTION("""COMPUTED_VALUE"""),0.0)</f>
        <v>0</v>
      </c>
      <c r="S2096" s="6" t="str">
        <f>IFERROR(__xludf.DUMMYFUNCTION("""COMPUTED_VALUE""")," ")</f>
        <v> </v>
      </c>
      <c r="T2096" s="6" t="str">
        <f>IFERROR(__xludf.DUMMYFUNCTION("""COMPUTED_VALUE"""),"")</f>
        <v/>
      </c>
      <c r="U2096" s="6" t="str">
        <f>IFERROR(__xludf.DUMMYFUNCTION("""COMPUTED_VALUE"""),"7")</f>
        <v>7</v>
      </c>
      <c r="V2096" s="6" t="str">
        <f>IFERROR(__xludf.DUMMYFUNCTION("""COMPUTED_VALUE"""),"")</f>
        <v/>
      </c>
      <c r="W2096" s="6" t="str">
        <f>IFERROR(__xludf.DUMMYFUNCTION("""COMPUTED_VALUE"""),"[]")</f>
        <v>[]</v>
      </c>
      <c r="X2096" s="6" t="str">
        <f>IFERROR(__xludf.DUMMYFUNCTION("""COMPUTED_VALUE"""),"Enrolled")</f>
        <v>Enrolled</v>
      </c>
    </row>
    <row r="2097">
      <c r="A2097" s="6" t="str">
        <f>IFERROR(__xludf.DUMMYFUNCTION("""COMPUTED_VALUE"""),"030-2272")</f>
        <v>030-2272</v>
      </c>
      <c r="B2097" s="6" t="str">
        <f>IFERROR(__xludf.DUMMYFUNCTION("""COMPUTED_VALUE"""),"30")</f>
        <v>30</v>
      </c>
      <c r="C2097" s="6" t="str">
        <f>IFERROR(__xludf.DUMMYFUNCTION("""COMPUTED_VALUE"""),"2272")</f>
        <v>2272</v>
      </c>
      <c r="D2097" s="6" t="str">
        <f>IFERROR(__xludf.DUMMYFUNCTION("""COMPUTED_VALUE"""),"Sophie")</f>
        <v>Sophie</v>
      </c>
      <c r="E2097" s="6" t="str">
        <f>IFERROR(__xludf.DUMMYFUNCTION("""COMPUTED_VALUE"""),"Sophie")</f>
        <v>Sophie</v>
      </c>
      <c r="F2097" s="6" t="str">
        <f>IFERROR(__xludf.DUMMYFUNCTION("""COMPUTED_VALUE"""),"Chang")</f>
        <v>Chang</v>
      </c>
      <c r="G2097" s="6" t="str">
        <f>IFERROR(__xludf.DUMMYFUNCTION("""COMPUTED_VALUE"""),"05/25/2013")</f>
        <v>05/25/2013</v>
      </c>
      <c r="H2097" s="6" t="str">
        <f>IFERROR(__xludf.DUMMYFUNCTION("""COMPUTED_VALUE"""),"Female")</f>
        <v>Female</v>
      </c>
      <c r="I2097" s="6" t="str">
        <f>IFERROR(__xludf.DUMMYFUNCTION("""COMPUTED_VALUE"""),"Middle School")</f>
        <v>Middle School</v>
      </c>
      <c r="J2097" s="6" t="str">
        <f>IFERROR(__xludf.DUMMYFUNCTION("""COMPUTED_VALUE"""),"7")</f>
        <v>7</v>
      </c>
      <c r="K2097" s="6" t="str">
        <f>IFERROR(__xludf.DUMMYFUNCTION("""COMPUTED_VALUE"""),"sophie.chang@novatio.school")</f>
        <v>sophie.chang@novatio.school</v>
      </c>
      <c r="L2097" s="6" t="str">
        <f>IFERROR(__xludf.DUMMYFUNCTION("""COMPUTED_VALUE"""),"Novatio")</f>
        <v>Novatio</v>
      </c>
      <c r="M2097" s="6" t="str">
        <f>IFERROR(__xludf.DUMMYFUNCTION("""COMPUTED_VALUE"""),"")</f>
        <v/>
      </c>
      <c r="N2097" s="6" t="str">
        <f>IFERROR(__xludf.DUMMYFUNCTION("""COMPUTED_VALUE"""),"")</f>
        <v/>
      </c>
      <c r="O2097" s="87" t="str">
        <f>IFERROR(__xludf.DUMMYFUNCTION("""COMPUTED_VALUE"""),"https://drive.google.com/drive/folders/10T2cTQHqEJZqE-st6uFKPoI?usp=share_link")</f>
        <v>https://drive.google.com/drive/folders/10T2cTQHqEJZqE-st6uFKPoI?usp=share_link</v>
      </c>
      <c r="P2097" s="6" t="str">
        <f>IFERROR(__xludf.DUMMYFUNCTION("""COMPUTED_VALUE"""),"Sophie Chang")</f>
        <v>Sophie Chang</v>
      </c>
      <c r="Q2097" s="6" t="str">
        <f>IFERROR(__xludf.DUMMYFUNCTION("""COMPUTED_VALUE"""),"MS")</f>
        <v>MS</v>
      </c>
      <c r="R2097" s="6">
        <f>IFERROR(__xludf.DUMMYFUNCTION("""COMPUTED_VALUE"""),0.0)</f>
        <v>0</v>
      </c>
      <c r="S2097" s="6" t="str">
        <f>IFERROR(__xludf.DUMMYFUNCTION("""COMPUTED_VALUE"""),"Michael Goto")</f>
        <v>Michael Goto</v>
      </c>
      <c r="T2097" s="6" t="str">
        <f>IFERROR(__xludf.DUMMYFUNCTION("""COMPUTED_VALUE"""),"michael.goto@unbound.school")</f>
        <v>michael.goto@unbound.school</v>
      </c>
      <c r="U2097" s="6" t="str">
        <f>IFERROR(__xludf.DUMMYFUNCTION("""COMPUTED_VALUE"""),"7")</f>
        <v>7</v>
      </c>
      <c r="V2097" s="6" t="str">
        <f>IFERROR(__xludf.DUMMYFUNCTION("""COMPUTED_VALUE"""),"")</f>
        <v/>
      </c>
      <c r="W2097" s="6" t="str">
        <f>IFERROR(__xludf.DUMMYFUNCTION("""COMPUTED_VALUE"""),"[]")</f>
        <v>[]</v>
      </c>
      <c r="X2097" s="6" t="str">
        <f>IFERROR(__xludf.DUMMYFUNCTION("""COMPUTED_VALUE"""),"Enrolled")</f>
        <v>Enrolled</v>
      </c>
    </row>
    <row r="2098">
      <c r="A2098" s="6" t="str">
        <f>IFERROR(__xludf.DUMMYFUNCTION("""COMPUTED_VALUE"""),"030-2541")</f>
        <v>030-2541</v>
      </c>
      <c r="B2098" s="6" t="str">
        <f>IFERROR(__xludf.DUMMYFUNCTION("""COMPUTED_VALUE"""),"30")</f>
        <v>30</v>
      </c>
      <c r="C2098" s="6" t="str">
        <f>IFERROR(__xludf.DUMMYFUNCTION("""COMPUTED_VALUE"""),"2541")</f>
        <v>2541</v>
      </c>
      <c r="D2098" s="6" t="str">
        <f>IFERROR(__xludf.DUMMYFUNCTION("""COMPUTED_VALUE"""),"Warren")</f>
        <v>Warren</v>
      </c>
      <c r="E2098" s="6" t="str">
        <f>IFERROR(__xludf.DUMMYFUNCTION("""COMPUTED_VALUE"""),"Warren")</f>
        <v>Warren</v>
      </c>
      <c r="F2098" s="6" t="str">
        <f>IFERROR(__xludf.DUMMYFUNCTION("""COMPUTED_VALUE"""),"Meyer")</f>
        <v>Meyer</v>
      </c>
      <c r="G2098" s="6" t="str">
        <f>IFERROR(__xludf.DUMMYFUNCTION("""COMPUTED_VALUE"""),"07/01/2018")</f>
        <v>07/01/2018</v>
      </c>
      <c r="H2098" s="6" t="str">
        <f>IFERROR(__xludf.DUMMYFUNCTION("""COMPUTED_VALUE"""),"male")</f>
        <v>male</v>
      </c>
      <c r="I2098" s="6" t="str">
        <f>IFERROR(__xludf.DUMMYFUNCTION("""COMPUTED_VALUE"""),"Level 2")</f>
        <v>Level 2</v>
      </c>
      <c r="J2098" s="6" t="str">
        <f>IFERROR(__xludf.DUMMYFUNCTION("""COMPUTED_VALUE"""),"4")</f>
        <v>4</v>
      </c>
      <c r="K2098" s="6" t="str">
        <f>IFERROR(__xludf.DUMMYFUNCTION("""COMPUTED_VALUE"""),"warren.meyer@2hourlearning.com")</f>
        <v>warren.meyer@2hourlearning.com</v>
      </c>
      <c r="L2098" s="6" t="str">
        <f>IFERROR(__xludf.DUMMYFUNCTION("""COMPUTED_VALUE"""),"Novatio")</f>
        <v>Novatio</v>
      </c>
      <c r="M2098" s="6" t="str">
        <f>IFERROR(__xludf.DUMMYFUNCTION("""COMPUTED_VALUE"""),"")</f>
        <v/>
      </c>
      <c r="N2098" s="6" t="str">
        <f>IFERROR(__xludf.DUMMYFUNCTION("""COMPUTED_VALUE"""),"")</f>
        <v/>
      </c>
      <c r="O2098" s="87" t="str">
        <f>IFERROR(__xludf.DUMMYFUNCTION("""COMPUTED_VALUE"""),"https://drive.google.com/drive/folders/10T2cTQHqEJZqE-st6uFKPoI?usp=share_link")</f>
        <v>https://drive.google.com/drive/folders/10T2cTQHqEJZqE-st6uFKPoI?usp=share_link</v>
      </c>
      <c r="P2098" s="6" t="str">
        <f>IFERROR(__xludf.DUMMYFUNCTION("""COMPUTED_VALUE"""),"Warren Meyer")</f>
        <v>Warren Meyer</v>
      </c>
      <c r="Q2098" s="6" t="str">
        <f>IFERROR(__xludf.DUMMYFUNCTION("""COMPUTED_VALUE"""),"L2")</f>
        <v>L2</v>
      </c>
      <c r="R2098" s="6">
        <f>IFERROR(__xludf.DUMMYFUNCTION("""COMPUTED_VALUE"""),2.0)</f>
        <v>2</v>
      </c>
      <c r="S2098" s="6" t="str">
        <f>IFERROR(__xludf.DUMMYFUNCTION("""COMPUTED_VALUE""")," ")</f>
        <v> </v>
      </c>
      <c r="T2098" s="6" t="str">
        <f>IFERROR(__xludf.DUMMYFUNCTION("""COMPUTED_VALUE"""),"")</f>
        <v/>
      </c>
      <c r="U2098" s="6" t="str">
        <f>IFERROR(__xludf.DUMMYFUNCTION("""COMPUTED_VALUE"""),"4")</f>
        <v>4</v>
      </c>
      <c r="V2098" s="6" t="str">
        <f>IFERROR(__xludf.DUMMYFUNCTION("""COMPUTED_VALUE"""),"")</f>
        <v/>
      </c>
      <c r="W2098" s="6" t="str">
        <f>IFERROR(__xludf.DUMMYFUNCTION("""COMPUTED_VALUE"""),"[]")</f>
        <v>[]</v>
      </c>
      <c r="X2098" s="6" t="str">
        <f>IFERROR(__xludf.DUMMYFUNCTION("""COMPUTED_VALUE"""),"Enrolled")</f>
        <v>Enrolled</v>
      </c>
    </row>
    <row r="2099">
      <c r="A2099" s="6" t="str">
        <f>IFERROR(__xludf.DUMMYFUNCTION("""COMPUTED_VALUE"""),"030-3573")</f>
        <v>030-3573</v>
      </c>
      <c r="B2099" s="6" t="str">
        <f>IFERROR(__xludf.DUMMYFUNCTION("""COMPUTED_VALUE"""),"30")</f>
        <v>30</v>
      </c>
      <c r="C2099" s="6" t="str">
        <f>IFERROR(__xludf.DUMMYFUNCTION("""COMPUTED_VALUE"""),"3573")</f>
        <v>3573</v>
      </c>
      <c r="D2099" s="6" t="str">
        <f>IFERROR(__xludf.DUMMYFUNCTION("""COMPUTED_VALUE"""),"Alexander")</f>
        <v>Alexander</v>
      </c>
      <c r="E2099" s="6" t="str">
        <f>IFERROR(__xludf.DUMMYFUNCTION("""COMPUTED_VALUE"""),"Alex")</f>
        <v>Alex</v>
      </c>
      <c r="F2099" s="6" t="str">
        <f>IFERROR(__xludf.DUMMYFUNCTION("""COMPUTED_VALUE"""),"Langenberg")</f>
        <v>Langenberg</v>
      </c>
      <c r="G2099" s="6" t="str">
        <f>IFERROR(__xludf.DUMMYFUNCTION("""COMPUTED_VALUE"""),"07/20/2014")</f>
        <v>07/20/2014</v>
      </c>
      <c r="H2099" s="6" t="str">
        <f>IFERROR(__xludf.DUMMYFUNCTION("""COMPUTED_VALUE"""),"male")</f>
        <v>male</v>
      </c>
      <c r="I2099" s="6" t="str">
        <f>IFERROR(__xludf.DUMMYFUNCTION("""COMPUTED_VALUE"""),"Middle School")</f>
        <v>Middle School</v>
      </c>
      <c r="J2099" s="6" t="str">
        <f>IFERROR(__xludf.DUMMYFUNCTION("""COMPUTED_VALUE"""),"6")</f>
        <v>6</v>
      </c>
      <c r="K2099" s="6" t="str">
        <f>IFERROR(__xludf.DUMMYFUNCTION("""COMPUTED_VALUE"""),"alexander.langenberg@novatio.school")</f>
        <v>alexander.langenberg@novatio.school</v>
      </c>
      <c r="L2099" s="6" t="str">
        <f>IFERROR(__xludf.DUMMYFUNCTION("""COMPUTED_VALUE"""),"Novatio")</f>
        <v>Novatio</v>
      </c>
      <c r="M2099" s="6" t="str">
        <f>IFERROR(__xludf.DUMMYFUNCTION("""COMPUTED_VALUE"""),"")</f>
        <v/>
      </c>
      <c r="N2099" s="6" t="str">
        <f>IFERROR(__xludf.DUMMYFUNCTION("""COMPUTED_VALUE"""),"")</f>
        <v/>
      </c>
      <c r="O2099" s="87" t="str">
        <f>IFERROR(__xludf.DUMMYFUNCTION("""COMPUTED_VALUE"""),"https://drive.google.com/drive/folders/10T2cTQHqEJZqE-st6uFKPoI?usp=share_link")</f>
        <v>https://drive.google.com/drive/folders/10T2cTQHqEJZqE-st6uFKPoI?usp=share_link</v>
      </c>
      <c r="P2099" s="6" t="str">
        <f>IFERROR(__xludf.DUMMYFUNCTION("""COMPUTED_VALUE"""),"Alex Langenberg")</f>
        <v>Alex Langenberg</v>
      </c>
      <c r="Q2099" s="6" t="str">
        <f>IFERROR(__xludf.DUMMYFUNCTION("""COMPUTED_VALUE"""),"MS")</f>
        <v>MS</v>
      </c>
      <c r="R2099" s="6">
        <f>IFERROR(__xludf.DUMMYFUNCTION("""COMPUTED_VALUE"""),0.0)</f>
        <v>0</v>
      </c>
      <c r="S2099" s="6" t="str">
        <f>IFERROR(__xludf.DUMMYFUNCTION("""COMPUTED_VALUE"""),"Michael Goto")</f>
        <v>Michael Goto</v>
      </c>
      <c r="T2099" s="6" t="str">
        <f>IFERROR(__xludf.DUMMYFUNCTION("""COMPUTED_VALUE"""),"michael.goto@unbound.school")</f>
        <v>michael.goto@unbound.school</v>
      </c>
      <c r="U2099" s="6" t="str">
        <f>IFERROR(__xludf.DUMMYFUNCTION("""COMPUTED_VALUE"""),"6")</f>
        <v>6</v>
      </c>
      <c r="V2099" s="6" t="str">
        <f>IFERROR(__xludf.DUMMYFUNCTION("""COMPUTED_VALUE"""),"")</f>
        <v/>
      </c>
      <c r="W2099" s="6" t="str">
        <f>IFERROR(__xludf.DUMMYFUNCTION("""COMPUTED_VALUE"""),"[]")</f>
        <v>[]</v>
      </c>
      <c r="X2099" s="6" t="str">
        <f>IFERROR(__xludf.DUMMYFUNCTION("""COMPUTED_VALUE"""),"Enrolled")</f>
        <v>Enrolled</v>
      </c>
    </row>
    <row r="2100">
      <c r="A2100" s="6" t="str">
        <f>IFERROR(__xludf.DUMMYFUNCTION("""COMPUTED_VALUE"""),"030-3575")</f>
        <v>030-3575</v>
      </c>
      <c r="B2100" s="6" t="str">
        <f>IFERROR(__xludf.DUMMYFUNCTION("""COMPUTED_VALUE"""),"30")</f>
        <v>30</v>
      </c>
      <c r="C2100" s="6" t="str">
        <f>IFERROR(__xludf.DUMMYFUNCTION("""COMPUTED_VALUE"""),"3575")</f>
        <v>3575</v>
      </c>
      <c r="D2100" s="6" t="str">
        <f>IFERROR(__xludf.DUMMYFUNCTION("""COMPUTED_VALUE"""),"Londyn")</f>
        <v>Londyn</v>
      </c>
      <c r="E2100" s="6" t="str">
        <f>IFERROR(__xludf.DUMMYFUNCTION("""COMPUTED_VALUE"""),"Londyn")</f>
        <v>Londyn</v>
      </c>
      <c r="F2100" s="6" t="str">
        <f>IFERROR(__xludf.DUMMYFUNCTION("""COMPUTED_VALUE"""),"Massey")</f>
        <v>Massey</v>
      </c>
      <c r="G2100" s="6" t="str">
        <f>IFERROR(__xludf.DUMMYFUNCTION("""COMPUTED_VALUE"""),"01/06/2013")</f>
        <v>01/06/2013</v>
      </c>
      <c r="H2100" s="6" t="str">
        <f>IFERROR(__xludf.DUMMYFUNCTION("""COMPUTED_VALUE"""),"female")</f>
        <v>female</v>
      </c>
      <c r="I2100" s="6" t="str">
        <f>IFERROR(__xludf.DUMMYFUNCTION("""COMPUTED_VALUE"""),"Middle School")</f>
        <v>Middle School</v>
      </c>
      <c r="J2100" s="6" t="str">
        <f>IFERROR(__xludf.DUMMYFUNCTION("""COMPUTED_VALUE"""),"8")</f>
        <v>8</v>
      </c>
      <c r="K2100" s="6" t="str">
        <f>IFERROR(__xludf.DUMMYFUNCTION("""COMPUTED_VALUE"""),"londyn.massey@novatio.school")</f>
        <v>londyn.massey@novatio.school</v>
      </c>
      <c r="L2100" s="6" t="str">
        <f>IFERROR(__xludf.DUMMYFUNCTION("""COMPUTED_VALUE"""),"Novatio")</f>
        <v>Novatio</v>
      </c>
      <c r="M2100" s="6" t="str">
        <f>IFERROR(__xludf.DUMMYFUNCTION("""COMPUTED_VALUE"""),"")</f>
        <v/>
      </c>
      <c r="N2100" s="6" t="str">
        <f>IFERROR(__xludf.DUMMYFUNCTION("""COMPUTED_VALUE"""),"")</f>
        <v/>
      </c>
      <c r="O2100" s="87" t="str">
        <f>IFERROR(__xludf.DUMMYFUNCTION("""COMPUTED_VALUE"""),"https://drive.google.com/drive/folders/10T2cTQHqEJZqE-st6uFKPoI?usp=share_link")</f>
        <v>https://drive.google.com/drive/folders/10T2cTQHqEJZqE-st6uFKPoI?usp=share_link</v>
      </c>
      <c r="P2100" s="6" t="str">
        <f>IFERROR(__xludf.DUMMYFUNCTION("""COMPUTED_VALUE"""),"Londyn Massey")</f>
        <v>Londyn Massey</v>
      </c>
      <c r="Q2100" s="6" t="str">
        <f>IFERROR(__xludf.DUMMYFUNCTION("""COMPUTED_VALUE"""),"MS")</f>
        <v>MS</v>
      </c>
      <c r="R2100" s="6">
        <f>IFERROR(__xludf.DUMMYFUNCTION("""COMPUTED_VALUE"""),0.0)</f>
        <v>0</v>
      </c>
      <c r="S2100" s="6" t="str">
        <f>IFERROR(__xludf.DUMMYFUNCTION("""COMPUTED_VALUE"""),"Michael Goto")</f>
        <v>Michael Goto</v>
      </c>
      <c r="T2100" s="6" t="str">
        <f>IFERROR(__xludf.DUMMYFUNCTION("""COMPUTED_VALUE"""),"michael.goto@unbound.school")</f>
        <v>michael.goto@unbound.school</v>
      </c>
      <c r="U2100" s="6" t="str">
        <f>IFERROR(__xludf.DUMMYFUNCTION("""COMPUTED_VALUE"""),"8")</f>
        <v>8</v>
      </c>
      <c r="V2100" s="6" t="str">
        <f>IFERROR(__xludf.DUMMYFUNCTION("""COMPUTED_VALUE"""),"")</f>
        <v/>
      </c>
      <c r="W2100" s="6" t="str">
        <f>IFERROR(__xludf.DUMMYFUNCTION("""COMPUTED_VALUE"""),"[]")</f>
        <v>[]</v>
      </c>
      <c r="X2100" s="6" t="str">
        <f>IFERROR(__xludf.DUMMYFUNCTION("""COMPUTED_VALUE"""),"Enrolled")</f>
        <v>Enrolled</v>
      </c>
    </row>
    <row r="2101">
      <c r="A2101" s="6" t="str">
        <f>IFERROR(__xludf.DUMMYFUNCTION("""COMPUTED_VALUE"""),"030-3715")</f>
        <v>030-3715</v>
      </c>
      <c r="B2101" s="6" t="str">
        <f>IFERROR(__xludf.DUMMYFUNCTION("""COMPUTED_VALUE"""),"30")</f>
        <v>30</v>
      </c>
      <c r="C2101" s="6" t="str">
        <f>IFERROR(__xludf.DUMMYFUNCTION("""COMPUTED_VALUE"""),"3715")</f>
        <v>3715</v>
      </c>
      <c r="D2101" s="6" t="str">
        <f>IFERROR(__xludf.DUMMYFUNCTION("""COMPUTED_VALUE"""),"Noah")</f>
        <v>Noah</v>
      </c>
      <c r="E2101" s="6" t="str">
        <f>IFERROR(__xludf.DUMMYFUNCTION("""COMPUTED_VALUE"""),"Noah")</f>
        <v>Noah</v>
      </c>
      <c r="F2101" s="6" t="str">
        <f>IFERROR(__xludf.DUMMYFUNCTION("""COMPUTED_VALUE"""),"Sanders")</f>
        <v>Sanders</v>
      </c>
      <c r="G2101" s="6" t="str">
        <f>IFERROR(__xludf.DUMMYFUNCTION("""COMPUTED_VALUE"""),"08/17/2012")</f>
        <v>08/17/2012</v>
      </c>
      <c r="H2101" s="6" t="str">
        <f>IFERROR(__xludf.DUMMYFUNCTION("""COMPUTED_VALUE"""),"male")</f>
        <v>male</v>
      </c>
      <c r="I2101" s="6" t="str">
        <f>IFERROR(__xludf.DUMMYFUNCTION("""COMPUTED_VALUE"""),"Middle School")</f>
        <v>Middle School</v>
      </c>
      <c r="J2101" s="6" t="str">
        <f>IFERROR(__xludf.DUMMYFUNCTION("""COMPUTED_VALUE"""),"8")</f>
        <v>8</v>
      </c>
      <c r="K2101" s="6" t="str">
        <f>IFERROR(__xludf.DUMMYFUNCTION("""COMPUTED_VALUE"""),"noah.sanders@novatio.school")</f>
        <v>noah.sanders@novatio.school</v>
      </c>
      <c r="L2101" s="6" t="str">
        <f>IFERROR(__xludf.DUMMYFUNCTION("""COMPUTED_VALUE"""),"Novatio")</f>
        <v>Novatio</v>
      </c>
      <c r="M2101" s="6" t="str">
        <f>IFERROR(__xludf.DUMMYFUNCTION("""COMPUTED_VALUE"""),"")</f>
        <v/>
      </c>
      <c r="N2101" s="6" t="str">
        <f>IFERROR(__xludf.DUMMYFUNCTION("""COMPUTED_VALUE"""),"")</f>
        <v/>
      </c>
      <c r="O2101" s="87" t="str">
        <f>IFERROR(__xludf.DUMMYFUNCTION("""COMPUTED_VALUE"""),"https://drive.google.com/drive/folders/10T2cTQHqEJZqE-st6uFKPoI?usp=share_link")</f>
        <v>https://drive.google.com/drive/folders/10T2cTQHqEJZqE-st6uFKPoI?usp=share_link</v>
      </c>
      <c r="P2101" s="6" t="str">
        <f>IFERROR(__xludf.DUMMYFUNCTION("""COMPUTED_VALUE"""),"Noah Sanders")</f>
        <v>Noah Sanders</v>
      </c>
      <c r="Q2101" s="6" t="str">
        <f>IFERROR(__xludf.DUMMYFUNCTION("""COMPUTED_VALUE"""),"MS")</f>
        <v>MS</v>
      </c>
      <c r="R2101" s="6">
        <f>IFERROR(__xludf.DUMMYFUNCTION("""COMPUTED_VALUE"""),0.0)</f>
        <v>0</v>
      </c>
      <c r="S2101" s="6" t="str">
        <f>IFERROR(__xludf.DUMMYFUNCTION("""COMPUTED_VALUE""")," ")</f>
        <v> </v>
      </c>
      <c r="T2101" s="6" t="str">
        <f>IFERROR(__xludf.DUMMYFUNCTION("""COMPUTED_VALUE"""),"")</f>
        <v/>
      </c>
      <c r="U2101" s="6" t="str">
        <f>IFERROR(__xludf.DUMMYFUNCTION("""COMPUTED_VALUE"""),"8")</f>
        <v>8</v>
      </c>
      <c r="V2101" s="6" t="str">
        <f>IFERROR(__xludf.DUMMYFUNCTION("""COMPUTED_VALUE"""),"English")</f>
        <v>English</v>
      </c>
      <c r="W2101" s="6" t="str">
        <f>IFERROR(__xludf.DUMMYFUNCTION("""COMPUTED_VALUE"""),"[]")</f>
        <v>[]</v>
      </c>
      <c r="X2101" s="6" t="str">
        <f>IFERROR(__xludf.DUMMYFUNCTION("""COMPUTED_VALUE"""),"Enrolled")</f>
        <v>Enrolled</v>
      </c>
    </row>
    <row r="2102">
      <c r="A2102" s="6" t="str">
        <f>IFERROR(__xludf.DUMMYFUNCTION("""COMPUTED_VALUE"""),"030-3716")</f>
        <v>030-3716</v>
      </c>
      <c r="B2102" s="6" t="str">
        <f>IFERROR(__xludf.DUMMYFUNCTION("""COMPUTED_VALUE"""),"30")</f>
        <v>30</v>
      </c>
      <c r="C2102" s="6" t="str">
        <f>IFERROR(__xludf.DUMMYFUNCTION("""COMPUTED_VALUE"""),"3716")</f>
        <v>3716</v>
      </c>
      <c r="D2102" s="6" t="str">
        <f>IFERROR(__xludf.DUMMYFUNCTION("""COMPUTED_VALUE"""),"Sawyer")</f>
        <v>Sawyer</v>
      </c>
      <c r="E2102" s="6" t="str">
        <f>IFERROR(__xludf.DUMMYFUNCTION("""COMPUTED_VALUE"""),"Sawyer")</f>
        <v>Sawyer</v>
      </c>
      <c r="F2102" s="6" t="str">
        <f>IFERROR(__xludf.DUMMYFUNCTION("""COMPUTED_VALUE"""),"Hartman")</f>
        <v>Hartman</v>
      </c>
      <c r="G2102" s="6" t="str">
        <f>IFERROR(__xludf.DUMMYFUNCTION("""COMPUTED_VALUE"""),"03/15/2016")</f>
        <v>03/15/2016</v>
      </c>
      <c r="H2102" s="6" t="str">
        <f>IFERROR(__xludf.DUMMYFUNCTION("""COMPUTED_VALUE"""),"male")</f>
        <v>male</v>
      </c>
      <c r="I2102" s="6" t="str">
        <f>IFERROR(__xludf.DUMMYFUNCTION("""COMPUTED_VALUE"""),"Level 2")</f>
        <v>Level 2</v>
      </c>
      <c r="J2102" s="6" t="str">
        <f>IFERROR(__xludf.DUMMYFUNCTION("""COMPUTED_VALUE"""),"5")</f>
        <v>5</v>
      </c>
      <c r="K2102" s="6" t="str">
        <f>IFERROR(__xludf.DUMMYFUNCTION("""COMPUTED_VALUE"""),"sawyer.hartman@novatio.school")</f>
        <v>sawyer.hartman@novatio.school</v>
      </c>
      <c r="L2102" s="6" t="str">
        <f>IFERROR(__xludf.DUMMYFUNCTION("""COMPUTED_VALUE"""),"Novatio")</f>
        <v>Novatio</v>
      </c>
      <c r="M2102" s="6" t="str">
        <f>IFERROR(__xludf.DUMMYFUNCTION("""COMPUTED_VALUE"""),"")</f>
        <v/>
      </c>
      <c r="N2102" s="6" t="str">
        <f>IFERROR(__xludf.DUMMYFUNCTION("""COMPUTED_VALUE"""),"")</f>
        <v/>
      </c>
      <c r="O2102" s="87" t="str">
        <f>IFERROR(__xludf.DUMMYFUNCTION("""COMPUTED_VALUE"""),"https://drive.google.com/drive/folders/10T2cTQHqEJZqE-st6uFKPoI?usp=share_link")</f>
        <v>https://drive.google.com/drive/folders/10T2cTQHqEJZqE-st6uFKPoI?usp=share_link</v>
      </c>
      <c r="P2102" s="6" t="str">
        <f>IFERROR(__xludf.DUMMYFUNCTION("""COMPUTED_VALUE"""),"Sawyer Hartman")</f>
        <v>Sawyer Hartman</v>
      </c>
      <c r="Q2102" s="6" t="str">
        <f>IFERROR(__xludf.DUMMYFUNCTION("""COMPUTED_VALUE"""),"L2")</f>
        <v>L2</v>
      </c>
      <c r="R2102" s="6">
        <f>IFERROR(__xludf.DUMMYFUNCTION("""COMPUTED_VALUE"""),2.0)</f>
        <v>2</v>
      </c>
      <c r="S2102" s="6" t="str">
        <f>IFERROR(__xludf.DUMMYFUNCTION("""COMPUTED_VALUE""")," ")</f>
        <v> </v>
      </c>
      <c r="T2102" s="6" t="str">
        <f>IFERROR(__xludf.DUMMYFUNCTION("""COMPUTED_VALUE"""),"")</f>
        <v/>
      </c>
      <c r="U2102" s="6" t="str">
        <f>IFERROR(__xludf.DUMMYFUNCTION("""COMPUTED_VALUE"""),"5")</f>
        <v>5</v>
      </c>
      <c r="V2102" s="6" t="str">
        <f>IFERROR(__xludf.DUMMYFUNCTION("""COMPUTED_VALUE"""),"English")</f>
        <v>English</v>
      </c>
      <c r="W2102" s="6" t="str">
        <f>IFERROR(__xludf.DUMMYFUNCTION("""COMPUTED_VALUE"""),"[]")</f>
        <v>[]</v>
      </c>
      <c r="X2102" s="6" t="str">
        <f>IFERROR(__xludf.DUMMYFUNCTION("""COMPUTED_VALUE"""),"Enrolled")</f>
        <v>Enrolled</v>
      </c>
    </row>
    <row r="2103">
      <c r="A2103" s="6" t="str">
        <f>IFERROR(__xludf.DUMMYFUNCTION("""COMPUTED_VALUE"""),"030-4109")</f>
        <v>030-4109</v>
      </c>
      <c r="B2103" s="6" t="str">
        <f>IFERROR(__xludf.DUMMYFUNCTION("""COMPUTED_VALUE"""),"30")</f>
        <v>30</v>
      </c>
      <c r="C2103" s="6" t="str">
        <f>IFERROR(__xludf.DUMMYFUNCTION("""COMPUTED_VALUE"""),"4109")</f>
        <v>4109</v>
      </c>
      <c r="D2103" s="6" t="str">
        <f>IFERROR(__xludf.DUMMYFUNCTION("""COMPUTED_VALUE"""),"Jacob")</f>
        <v>Jacob</v>
      </c>
      <c r="E2103" s="6" t="str">
        <f>IFERROR(__xludf.DUMMYFUNCTION("""COMPUTED_VALUE"""),"")</f>
        <v/>
      </c>
      <c r="F2103" s="6" t="str">
        <f>IFERROR(__xludf.DUMMYFUNCTION("""COMPUTED_VALUE"""),"Blevins")</f>
        <v>Blevins</v>
      </c>
      <c r="G2103" s="6" t="str">
        <f>IFERROR(__xludf.DUMMYFUNCTION("""COMPUTED_VALUE"""),"12/04/2015")</f>
        <v>12/04/2015</v>
      </c>
      <c r="H2103" s="6" t="str">
        <f>IFERROR(__xludf.DUMMYFUNCTION("""COMPUTED_VALUE"""),"male")</f>
        <v>male</v>
      </c>
      <c r="I2103" s="6" t="str">
        <f>IFERROR(__xludf.DUMMYFUNCTION("""COMPUTED_VALUE"""),"Level 2")</f>
        <v>Level 2</v>
      </c>
      <c r="J2103" s="6" t="str">
        <f>IFERROR(__xludf.DUMMYFUNCTION("""COMPUTED_VALUE"""),"4")</f>
        <v>4</v>
      </c>
      <c r="K2103" s="6" t="str">
        <f>IFERROR(__xludf.DUMMYFUNCTION("""COMPUTED_VALUE"""),"jacob.blevins@novatio.school")</f>
        <v>jacob.blevins@novatio.school</v>
      </c>
      <c r="L2103" s="6" t="str">
        <f>IFERROR(__xludf.DUMMYFUNCTION("""COMPUTED_VALUE"""),"Novatio")</f>
        <v>Novatio</v>
      </c>
      <c r="M2103" s="6" t="str">
        <f>IFERROR(__xludf.DUMMYFUNCTION("""COMPUTED_VALUE"""),"")</f>
        <v/>
      </c>
      <c r="N2103" s="6" t="str">
        <f>IFERROR(__xludf.DUMMYFUNCTION("""COMPUTED_VALUE"""),"")</f>
        <v/>
      </c>
      <c r="O2103" s="87" t="str">
        <f>IFERROR(__xludf.DUMMYFUNCTION("""COMPUTED_VALUE"""),"https://drive.google.com/drive/folders/10T2cTQHqEJZqE-st6uFKPoI?usp=share_link")</f>
        <v>https://drive.google.com/drive/folders/10T2cTQHqEJZqE-st6uFKPoI?usp=share_link</v>
      </c>
      <c r="P2103" s="6" t="str">
        <f>IFERROR(__xludf.DUMMYFUNCTION("""COMPUTED_VALUE"""),"Jacob Blevins")</f>
        <v>Jacob Blevins</v>
      </c>
      <c r="Q2103" s="6" t="str">
        <f>IFERROR(__xludf.DUMMYFUNCTION("""COMPUTED_VALUE"""),"L2")</f>
        <v>L2</v>
      </c>
      <c r="R2103" s="6">
        <f>IFERROR(__xludf.DUMMYFUNCTION("""COMPUTED_VALUE"""),2.0)</f>
        <v>2</v>
      </c>
      <c r="S2103" s="6" t="str">
        <f>IFERROR(__xludf.DUMMYFUNCTION("""COMPUTED_VALUE""")," ")</f>
        <v> </v>
      </c>
      <c r="T2103" s="6" t="str">
        <f>IFERROR(__xludf.DUMMYFUNCTION("""COMPUTED_VALUE"""),"")</f>
        <v/>
      </c>
      <c r="U2103" s="6" t="str">
        <f>IFERROR(__xludf.DUMMYFUNCTION("""COMPUTED_VALUE"""),"4")</f>
        <v>4</v>
      </c>
      <c r="V2103" s="6" t="str">
        <f>IFERROR(__xludf.DUMMYFUNCTION("""COMPUTED_VALUE"""),"")</f>
        <v/>
      </c>
      <c r="W2103" s="6" t="str">
        <f>IFERROR(__xludf.DUMMYFUNCTION("""COMPUTED_VALUE"""),"[]")</f>
        <v>[]</v>
      </c>
      <c r="X2103" s="6" t="str">
        <f>IFERROR(__xludf.DUMMYFUNCTION("""COMPUTED_VALUE"""),"Enrolled")</f>
        <v>Enrolled</v>
      </c>
    </row>
    <row r="2104">
      <c r="A2104" s="6" t="str">
        <f>IFERROR(__xludf.DUMMYFUNCTION("""COMPUTED_VALUE"""),"030-4163")</f>
        <v>030-4163</v>
      </c>
      <c r="B2104" s="6" t="str">
        <f>IFERROR(__xludf.DUMMYFUNCTION("""COMPUTED_VALUE"""),"30")</f>
        <v>30</v>
      </c>
      <c r="C2104" s="6" t="str">
        <f>IFERROR(__xludf.DUMMYFUNCTION("""COMPUTED_VALUE"""),"4163")</f>
        <v>4163</v>
      </c>
      <c r="D2104" s="6" t="str">
        <f>IFERROR(__xludf.DUMMYFUNCTION("""COMPUTED_VALUE"""),"Blake")</f>
        <v>Blake</v>
      </c>
      <c r="E2104" s="6" t="str">
        <f>IFERROR(__xludf.DUMMYFUNCTION("""COMPUTED_VALUE"""),"")</f>
        <v/>
      </c>
      <c r="F2104" s="6" t="str">
        <f>IFERROR(__xludf.DUMMYFUNCTION("""COMPUTED_VALUE"""),"Garrity")</f>
        <v>Garrity</v>
      </c>
      <c r="G2104" s="6" t="str">
        <f>IFERROR(__xludf.DUMMYFUNCTION("""COMPUTED_VALUE"""),"03/01/2014")</f>
        <v>03/01/2014</v>
      </c>
      <c r="H2104" s="6" t="str">
        <f>IFERROR(__xludf.DUMMYFUNCTION("""COMPUTED_VALUE"""),"Self Identify")</f>
        <v>Self Identify</v>
      </c>
      <c r="I2104" s="6" t="str">
        <f>IFERROR(__xludf.DUMMYFUNCTION("""COMPUTED_VALUE"""),"Middle School")</f>
        <v>Middle School</v>
      </c>
      <c r="J2104" s="6" t="str">
        <f>IFERROR(__xludf.DUMMYFUNCTION("""COMPUTED_VALUE"""),"6")</f>
        <v>6</v>
      </c>
      <c r="K2104" s="6" t="str">
        <f>IFERROR(__xludf.DUMMYFUNCTION("""COMPUTED_VALUE"""),"blake.garrity@novatio.school")</f>
        <v>blake.garrity@novatio.school</v>
      </c>
      <c r="L2104" s="6" t="str">
        <f>IFERROR(__xludf.DUMMYFUNCTION("""COMPUTED_VALUE"""),"Novatio")</f>
        <v>Novatio</v>
      </c>
      <c r="M2104" s="6" t="str">
        <f>IFERROR(__xludf.DUMMYFUNCTION("""COMPUTED_VALUE"""),"")</f>
        <v/>
      </c>
      <c r="N2104" s="6" t="str">
        <f>IFERROR(__xludf.DUMMYFUNCTION("""COMPUTED_VALUE"""),"")</f>
        <v/>
      </c>
      <c r="O2104" s="87" t="str">
        <f>IFERROR(__xludf.DUMMYFUNCTION("""COMPUTED_VALUE"""),"https://drive.google.com/drive/folders/10T2cTQHqEJZqE-st6uFKPoI?usp=share_link")</f>
        <v>https://drive.google.com/drive/folders/10T2cTQHqEJZqE-st6uFKPoI?usp=share_link</v>
      </c>
      <c r="P2104" s="6" t="str">
        <f>IFERROR(__xludf.DUMMYFUNCTION("""COMPUTED_VALUE"""),"Blake Garrity")</f>
        <v>Blake Garrity</v>
      </c>
      <c r="Q2104" s="6" t="str">
        <f>IFERROR(__xludf.DUMMYFUNCTION("""COMPUTED_VALUE"""),"MS")</f>
        <v>MS</v>
      </c>
      <c r="R2104" s="6">
        <f>IFERROR(__xludf.DUMMYFUNCTION("""COMPUTED_VALUE"""),0.0)</f>
        <v>0</v>
      </c>
      <c r="S2104" s="6" t="str">
        <f>IFERROR(__xludf.DUMMYFUNCTION("""COMPUTED_VALUE""")," ")</f>
        <v> </v>
      </c>
      <c r="T2104" s="6" t="str">
        <f>IFERROR(__xludf.DUMMYFUNCTION("""COMPUTED_VALUE"""),"")</f>
        <v/>
      </c>
      <c r="U2104" s="6" t="str">
        <f>IFERROR(__xludf.DUMMYFUNCTION("""COMPUTED_VALUE"""),"6")</f>
        <v>6</v>
      </c>
      <c r="V2104" s="6" t="str">
        <f>IFERROR(__xludf.DUMMYFUNCTION("""COMPUTED_VALUE"""),"")</f>
        <v/>
      </c>
      <c r="W2104" s="6" t="str">
        <f>IFERROR(__xludf.DUMMYFUNCTION("""COMPUTED_VALUE"""),"[]")</f>
        <v>[]</v>
      </c>
      <c r="X2104" s="6" t="str">
        <f>IFERROR(__xludf.DUMMYFUNCTION("""COMPUTED_VALUE"""),"Enrolled")</f>
        <v>Enrolled</v>
      </c>
    </row>
    <row r="2105">
      <c r="A2105" s="6" t="str">
        <f>IFERROR(__xludf.DUMMYFUNCTION("""COMPUTED_VALUE"""),"030-4198")</f>
        <v>030-4198</v>
      </c>
      <c r="B2105" s="6" t="str">
        <f>IFERROR(__xludf.DUMMYFUNCTION("""COMPUTED_VALUE"""),"30")</f>
        <v>30</v>
      </c>
      <c r="C2105" s="6" t="str">
        <f>IFERROR(__xludf.DUMMYFUNCTION("""COMPUTED_VALUE"""),"4198")</f>
        <v>4198</v>
      </c>
      <c r="D2105" s="6" t="str">
        <f>IFERROR(__xludf.DUMMYFUNCTION("""COMPUTED_VALUE"""),"Harley")</f>
        <v>Harley</v>
      </c>
      <c r="E2105" s="6" t="str">
        <f>IFERROR(__xludf.DUMMYFUNCTION("""COMPUTED_VALUE"""),"")</f>
        <v/>
      </c>
      <c r="F2105" s="6" t="str">
        <f>IFERROR(__xludf.DUMMYFUNCTION("""COMPUTED_VALUE"""),"Garlock")</f>
        <v>Garlock</v>
      </c>
      <c r="G2105" s="6" t="str">
        <f>IFERROR(__xludf.DUMMYFUNCTION("""COMPUTED_VALUE"""),"05/23/2011")</f>
        <v>05/23/2011</v>
      </c>
      <c r="H2105" s="6" t="str">
        <f>IFERROR(__xludf.DUMMYFUNCTION("""COMPUTED_VALUE"""),"Self Identify")</f>
        <v>Self Identify</v>
      </c>
      <c r="I2105" s="6" t="str">
        <f>IFERROR(__xludf.DUMMYFUNCTION("""COMPUTED_VALUE"""),"Middle School")</f>
        <v>Middle School</v>
      </c>
      <c r="J2105" s="6" t="str">
        <f>IFERROR(__xludf.DUMMYFUNCTION("""COMPUTED_VALUE"""),"8")</f>
        <v>8</v>
      </c>
      <c r="K2105" s="6" t="str">
        <f>IFERROR(__xludf.DUMMYFUNCTION("""COMPUTED_VALUE"""),"harley.garlock@novatio.school")</f>
        <v>harley.garlock@novatio.school</v>
      </c>
      <c r="L2105" s="6" t="str">
        <f>IFERROR(__xludf.DUMMYFUNCTION("""COMPUTED_VALUE"""),"Novatio")</f>
        <v>Novatio</v>
      </c>
      <c r="M2105" s="6" t="str">
        <f>IFERROR(__xludf.DUMMYFUNCTION("""COMPUTED_VALUE"""),"")</f>
        <v/>
      </c>
      <c r="N2105" s="6" t="str">
        <f>IFERROR(__xludf.DUMMYFUNCTION("""COMPUTED_VALUE"""),"")</f>
        <v/>
      </c>
      <c r="O2105" s="87" t="str">
        <f>IFERROR(__xludf.DUMMYFUNCTION("""COMPUTED_VALUE"""),"https://drive.google.com/drive/folders/10T2cTQHqEJZqE-st6uFKPoI?usp=share_link")</f>
        <v>https://drive.google.com/drive/folders/10T2cTQHqEJZqE-st6uFKPoI?usp=share_link</v>
      </c>
      <c r="P2105" s="6" t="str">
        <f>IFERROR(__xludf.DUMMYFUNCTION("""COMPUTED_VALUE"""),"Harley Garlock")</f>
        <v>Harley Garlock</v>
      </c>
      <c r="Q2105" s="6" t="str">
        <f>IFERROR(__xludf.DUMMYFUNCTION("""COMPUTED_VALUE"""),"MS")</f>
        <v>MS</v>
      </c>
      <c r="R2105" s="6">
        <f>IFERROR(__xludf.DUMMYFUNCTION("""COMPUTED_VALUE"""),0.0)</f>
        <v>0</v>
      </c>
      <c r="S2105" s="6" t="str">
        <f>IFERROR(__xludf.DUMMYFUNCTION("""COMPUTED_VALUE""")," ")</f>
        <v> </v>
      </c>
      <c r="T2105" s="6" t="str">
        <f>IFERROR(__xludf.DUMMYFUNCTION("""COMPUTED_VALUE"""),"")</f>
        <v/>
      </c>
      <c r="U2105" s="6" t="str">
        <f>IFERROR(__xludf.DUMMYFUNCTION("""COMPUTED_VALUE"""),"8")</f>
        <v>8</v>
      </c>
      <c r="V2105" s="6" t="str">
        <f>IFERROR(__xludf.DUMMYFUNCTION("""COMPUTED_VALUE"""),"")</f>
        <v/>
      </c>
      <c r="W2105" s="6" t="str">
        <f>IFERROR(__xludf.DUMMYFUNCTION("""COMPUTED_VALUE"""),"[]")</f>
        <v>[]</v>
      </c>
      <c r="X2105" s="6" t="str">
        <f>IFERROR(__xludf.DUMMYFUNCTION("""COMPUTED_VALUE"""),"Enrolled")</f>
        <v>Enrolled</v>
      </c>
    </row>
    <row r="2106">
      <c r="A2106" s="6" t="str">
        <f>IFERROR(__xludf.DUMMYFUNCTION("""COMPUTED_VALUE"""),"030-4199")</f>
        <v>030-4199</v>
      </c>
      <c r="B2106" s="6" t="str">
        <f>IFERROR(__xludf.DUMMYFUNCTION("""COMPUTED_VALUE"""),"30")</f>
        <v>30</v>
      </c>
      <c r="C2106" s="6" t="str">
        <f>IFERROR(__xludf.DUMMYFUNCTION("""COMPUTED_VALUE"""),"4199")</f>
        <v>4199</v>
      </c>
      <c r="D2106" s="6" t="str">
        <f>IFERROR(__xludf.DUMMYFUNCTION("""COMPUTED_VALUE"""),"Cadence")</f>
        <v>Cadence</v>
      </c>
      <c r="E2106" s="6" t="str">
        <f>IFERROR(__xludf.DUMMYFUNCTION("""COMPUTED_VALUE"""),"")</f>
        <v/>
      </c>
      <c r="F2106" s="6" t="str">
        <f>IFERROR(__xludf.DUMMYFUNCTION("""COMPUTED_VALUE"""),"Antonucci")</f>
        <v>Antonucci</v>
      </c>
      <c r="G2106" s="6" t="str">
        <f>IFERROR(__xludf.DUMMYFUNCTION("""COMPUTED_VALUE"""),"01/18/2015")</f>
        <v>01/18/2015</v>
      </c>
      <c r="H2106" s="6" t="str">
        <f>IFERROR(__xludf.DUMMYFUNCTION("""COMPUTED_VALUE"""),"Self Identify")</f>
        <v>Self Identify</v>
      </c>
      <c r="I2106" s="6" t="str">
        <f>IFERROR(__xludf.DUMMYFUNCTION("""COMPUTED_VALUE"""),"Level 2")</f>
        <v>Level 2</v>
      </c>
      <c r="J2106" s="6" t="str">
        <f>IFERROR(__xludf.DUMMYFUNCTION("""COMPUTED_VALUE"""),"5")</f>
        <v>5</v>
      </c>
      <c r="K2106" s="6" t="str">
        <f>IFERROR(__xludf.DUMMYFUNCTION("""COMPUTED_VALUE"""),"cadence.antonucci@novatio.school")</f>
        <v>cadence.antonucci@novatio.school</v>
      </c>
      <c r="L2106" s="6" t="str">
        <f>IFERROR(__xludf.DUMMYFUNCTION("""COMPUTED_VALUE"""),"Novatio")</f>
        <v>Novatio</v>
      </c>
      <c r="M2106" s="6" t="str">
        <f>IFERROR(__xludf.DUMMYFUNCTION("""COMPUTED_VALUE"""),"")</f>
        <v/>
      </c>
      <c r="N2106" s="6" t="str">
        <f>IFERROR(__xludf.DUMMYFUNCTION("""COMPUTED_VALUE"""),"")</f>
        <v/>
      </c>
      <c r="O2106" s="87" t="str">
        <f>IFERROR(__xludf.DUMMYFUNCTION("""COMPUTED_VALUE"""),"https://drive.google.com/drive/folders/10T2cTQHqEJZqE-st6uFKPoI?usp=share_link")</f>
        <v>https://drive.google.com/drive/folders/10T2cTQHqEJZqE-st6uFKPoI?usp=share_link</v>
      </c>
      <c r="P2106" s="6" t="str">
        <f>IFERROR(__xludf.DUMMYFUNCTION("""COMPUTED_VALUE"""),"Cadence Antonucci")</f>
        <v>Cadence Antonucci</v>
      </c>
      <c r="Q2106" s="6" t="str">
        <f>IFERROR(__xludf.DUMMYFUNCTION("""COMPUTED_VALUE"""),"L2")</f>
        <v>L2</v>
      </c>
      <c r="R2106" s="6">
        <f>IFERROR(__xludf.DUMMYFUNCTION("""COMPUTED_VALUE"""),2.0)</f>
        <v>2</v>
      </c>
      <c r="S2106" s="6" t="str">
        <f>IFERROR(__xludf.DUMMYFUNCTION("""COMPUTED_VALUE""")," ")</f>
        <v> </v>
      </c>
      <c r="T2106" s="6" t="str">
        <f>IFERROR(__xludf.DUMMYFUNCTION("""COMPUTED_VALUE"""),"")</f>
        <v/>
      </c>
      <c r="U2106" s="6" t="str">
        <f>IFERROR(__xludf.DUMMYFUNCTION("""COMPUTED_VALUE"""),"5")</f>
        <v>5</v>
      </c>
      <c r="V2106" s="6" t="str">
        <f>IFERROR(__xludf.DUMMYFUNCTION("""COMPUTED_VALUE"""),"")</f>
        <v/>
      </c>
      <c r="W2106" s="6" t="str">
        <f>IFERROR(__xludf.DUMMYFUNCTION("""COMPUTED_VALUE"""),"[]")</f>
        <v>[]</v>
      </c>
      <c r="X2106" s="6" t="str">
        <f>IFERROR(__xludf.DUMMYFUNCTION("""COMPUTED_VALUE"""),"Enrolled")</f>
        <v>Enrolled</v>
      </c>
    </row>
    <row r="2107">
      <c r="A2107" s="6" t="str">
        <f>IFERROR(__xludf.DUMMYFUNCTION("""COMPUTED_VALUE"""),"030-4201")</f>
        <v>030-4201</v>
      </c>
      <c r="B2107" s="6" t="str">
        <f>IFERROR(__xludf.DUMMYFUNCTION("""COMPUTED_VALUE"""),"30")</f>
        <v>30</v>
      </c>
      <c r="C2107" s="6" t="str">
        <f>IFERROR(__xludf.DUMMYFUNCTION("""COMPUTED_VALUE"""),"4201")</f>
        <v>4201</v>
      </c>
      <c r="D2107" s="6" t="str">
        <f>IFERROR(__xludf.DUMMYFUNCTION("""COMPUTED_VALUE"""),"Jaime")</f>
        <v>Jaime</v>
      </c>
      <c r="E2107" s="6" t="str">
        <f>IFERROR(__xludf.DUMMYFUNCTION("""COMPUTED_VALUE"""),"")</f>
        <v/>
      </c>
      <c r="F2107" s="6" t="str">
        <f>IFERROR(__xludf.DUMMYFUNCTION("""COMPUTED_VALUE"""),"Ramirez")</f>
        <v>Ramirez</v>
      </c>
      <c r="G2107" s="6" t="str">
        <f>IFERROR(__xludf.DUMMYFUNCTION("""COMPUTED_VALUE"""),"08/31/2012")</f>
        <v>08/31/2012</v>
      </c>
      <c r="H2107" s="6" t="str">
        <f>IFERROR(__xludf.DUMMYFUNCTION("""COMPUTED_VALUE"""),"Self Identify")</f>
        <v>Self Identify</v>
      </c>
      <c r="I2107" s="6" t="str">
        <f>IFERROR(__xludf.DUMMYFUNCTION("""COMPUTED_VALUE"""),"Middle School")</f>
        <v>Middle School</v>
      </c>
      <c r="J2107" s="6" t="str">
        <f>IFERROR(__xludf.DUMMYFUNCTION("""COMPUTED_VALUE"""),"8")</f>
        <v>8</v>
      </c>
      <c r="K2107" s="6" t="str">
        <f>IFERROR(__xludf.DUMMYFUNCTION("""COMPUTED_VALUE"""),"jaime.ramirez@novatio.school")</f>
        <v>jaime.ramirez@novatio.school</v>
      </c>
      <c r="L2107" s="6" t="str">
        <f>IFERROR(__xludf.DUMMYFUNCTION("""COMPUTED_VALUE"""),"Novatio")</f>
        <v>Novatio</v>
      </c>
      <c r="M2107" s="6" t="str">
        <f>IFERROR(__xludf.DUMMYFUNCTION("""COMPUTED_VALUE"""),"")</f>
        <v/>
      </c>
      <c r="N2107" s="6" t="str">
        <f>IFERROR(__xludf.DUMMYFUNCTION("""COMPUTED_VALUE"""),"")</f>
        <v/>
      </c>
      <c r="O2107" s="87" t="str">
        <f>IFERROR(__xludf.DUMMYFUNCTION("""COMPUTED_VALUE"""),"https://drive.google.com/drive/folders/10T2cTQHqEJZqE-st6uFKPoI?usp=share_link")</f>
        <v>https://drive.google.com/drive/folders/10T2cTQHqEJZqE-st6uFKPoI?usp=share_link</v>
      </c>
      <c r="P2107" s="6" t="str">
        <f>IFERROR(__xludf.DUMMYFUNCTION("""COMPUTED_VALUE"""),"Jaime Ramirez")</f>
        <v>Jaime Ramirez</v>
      </c>
      <c r="Q2107" s="6" t="str">
        <f>IFERROR(__xludf.DUMMYFUNCTION("""COMPUTED_VALUE"""),"MS")</f>
        <v>MS</v>
      </c>
      <c r="R2107" s="6">
        <f>IFERROR(__xludf.DUMMYFUNCTION("""COMPUTED_VALUE"""),0.0)</f>
        <v>0</v>
      </c>
      <c r="S2107" s="6" t="str">
        <f>IFERROR(__xludf.DUMMYFUNCTION("""COMPUTED_VALUE""")," ")</f>
        <v> </v>
      </c>
      <c r="T2107" s="6" t="str">
        <f>IFERROR(__xludf.DUMMYFUNCTION("""COMPUTED_VALUE"""),"")</f>
        <v/>
      </c>
      <c r="U2107" s="6" t="str">
        <f>IFERROR(__xludf.DUMMYFUNCTION("""COMPUTED_VALUE"""),"8")</f>
        <v>8</v>
      </c>
      <c r="V2107" s="6" t="str">
        <f>IFERROR(__xludf.DUMMYFUNCTION("""COMPUTED_VALUE"""),"")</f>
        <v/>
      </c>
      <c r="W2107" s="6" t="str">
        <f>IFERROR(__xludf.DUMMYFUNCTION("""COMPUTED_VALUE"""),"[]")</f>
        <v>[]</v>
      </c>
      <c r="X2107" s="6" t="str">
        <f>IFERROR(__xludf.DUMMYFUNCTION("""COMPUTED_VALUE"""),"Enrolled")</f>
        <v>Enrolled</v>
      </c>
    </row>
    <row r="2108">
      <c r="A2108" s="6" t="str">
        <f>IFERROR(__xludf.DUMMYFUNCTION("""COMPUTED_VALUE"""),"030-4239")</f>
        <v>030-4239</v>
      </c>
      <c r="B2108" s="6" t="str">
        <f>IFERROR(__xludf.DUMMYFUNCTION("""COMPUTED_VALUE"""),"30")</f>
        <v>30</v>
      </c>
      <c r="C2108" s="6" t="str">
        <f>IFERROR(__xludf.DUMMYFUNCTION("""COMPUTED_VALUE"""),"4239")</f>
        <v>4239</v>
      </c>
      <c r="D2108" s="6" t="str">
        <f>IFERROR(__xludf.DUMMYFUNCTION("""COMPUTED_VALUE"""),"Jase")</f>
        <v>Jase</v>
      </c>
      <c r="E2108" s="6" t="str">
        <f>IFERROR(__xludf.DUMMYFUNCTION("""COMPUTED_VALUE"""),"")</f>
        <v/>
      </c>
      <c r="F2108" s="6" t="str">
        <f>IFERROR(__xludf.DUMMYFUNCTION("""COMPUTED_VALUE"""),"Hawkins")</f>
        <v>Hawkins</v>
      </c>
      <c r="G2108" s="6" t="str">
        <f>IFERROR(__xludf.DUMMYFUNCTION("""COMPUTED_VALUE"""),"03/02/2013")</f>
        <v>03/02/2013</v>
      </c>
      <c r="H2108" s="6" t="str">
        <f>IFERROR(__xludf.DUMMYFUNCTION("""COMPUTED_VALUE"""),"Self Identify")</f>
        <v>Self Identify</v>
      </c>
      <c r="I2108" s="6" t="str">
        <f>IFERROR(__xludf.DUMMYFUNCTION("""COMPUTED_VALUE"""),"Middle School")</f>
        <v>Middle School</v>
      </c>
      <c r="J2108" s="6" t="str">
        <f>IFERROR(__xludf.DUMMYFUNCTION("""COMPUTED_VALUE"""),"7")</f>
        <v>7</v>
      </c>
      <c r="K2108" s="6" t="str">
        <f>IFERROR(__xludf.DUMMYFUNCTION("""COMPUTED_VALUE"""),"jase.hawkins@novatio.school")</f>
        <v>jase.hawkins@novatio.school</v>
      </c>
      <c r="L2108" s="6" t="str">
        <f>IFERROR(__xludf.DUMMYFUNCTION("""COMPUTED_VALUE"""),"Novatio")</f>
        <v>Novatio</v>
      </c>
      <c r="M2108" s="6" t="str">
        <f>IFERROR(__xludf.DUMMYFUNCTION("""COMPUTED_VALUE"""),"")</f>
        <v/>
      </c>
      <c r="N2108" s="6" t="str">
        <f>IFERROR(__xludf.DUMMYFUNCTION("""COMPUTED_VALUE"""),"")</f>
        <v/>
      </c>
      <c r="O2108" s="87" t="str">
        <f>IFERROR(__xludf.DUMMYFUNCTION("""COMPUTED_VALUE"""),"https://drive.google.com/drive/folders/10T2cTQHqEJZqE-st6uFKPoI?usp=share_link")</f>
        <v>https://drive.google.com/drive/folders/10T2cTQHqEJZqE-st6uFKPoI?usp=share_link</v>
      </c>
      <c r="P2108" s="6" t="str">
        <f>IFERROR(__xludf.DUMMYFUNCTION("""COMPUTED_VALUE"""),"Jase Hawkins")</f>
        <v>Jase Hawkins</v>
      </c>
      <c r="Q2108" s="6" t="str">
        <f>IFERROR(__xludf.DUMMYFUNCTION("""COMPUTED_VALUE"""),"MS")</f>
        <v>MS</v>
      </c>
      <c r="R2108" s="6">
        <f>IFERROR(__xludf.DUMMYFUNCTION("""COMPUTED_VALUE"""),0.0)</f>
        <v>0</v>
      </c>
      <c r="S2108" s="6" t="str">
        <f>IFERROR(__xludf.DUMMYFUNCTION("""COMPUTED_VALUE""")," ")</f>
        <v> </v>
      </c>
      <c r="T2108" s="6" t="str">
        <f>IFERROR(__xludf.DUMMYFUNCTION("""COMPUTED_VALUE"""),"")</f>
        <v/>
      </c>
      <c r="U2108" s="6" t="str">
        <f>IFERROR(__xludf.DUMMYFUNCTION("""COMPUTED_VALUE"""),"7")</f>
        <v>7</v>
      </c>
      <c r="V2108" s="6" t="str">
        <f>IFERROR(__xludf.DUMMYFUNCTION("""COMPUTED_VALUE"""),"")</f>
        <v/>
      </c>
      <c r="W2108" s="6" t="str">
        <f>IFERROR(__xludf.DUMMYFUNCTION("""COMPUTED_VALUE"""),"[]")</f>
        <v>[]</v>
      </c>
      <c r="X2108" s="6" t="str">
        <f>IFERROR(__xludf.DUMMYFUNCTION("""COMPUTED_VALUE"""),"Enrolled")</f>
        <v>Enrolled</v>
      </c>
    </row>
    <row r="2109">
      <c r="A2109" s="6" t="str">
        <f>IFERROR(__xludf.DUMMYFUNCTION("""COMPUTED_VALUE"""),"030-4240")</f>
        <v>030-4240</v>
      </c>
      <c r="B2109" s="6" t="str">
        <f>IFERROR(__xludf.DUMMYFUNCTION("""COMPUTED_VALUE"""),"30")</f>
        <v>30</v>
      </c>
      <c r="C2109" s="6" t="str">
        <f>IFERROR(__xludf.DUMMYFUNCTION("""COMPUTED_VALUE"""),"4240")</f>
        <v>4240</v>
      </c>
      <c r="D2109" s="6" t="str">
        <f>IFERROR(__xludf.DUMMYFUNCTION("""COMPUTED_VALUE"""),"Chloe")</f>
        <v>Chloe</v>
      </c>
      <c r="E2109" s="6" t="str">
        <f>IFERROR(__xludf.DUMMYFUNCTION("""COMPUTED_VALUE"""),"")</f>
        <v/>
      </c>
      <c r="F2109" s="6" t="str">
        <f>IFERROR(__xludf.DUMMYFUNCTION("""COMPUTED_VALUE"""),"Antonucci")</f>
        <v>Antonucci</v>
      </c>
      <c r="G2109" s="6" t="str">
        <f>IFERROR(__xludf.DUMMYFUNCTION("""COMPUTED_VALUE"""),"07/24/2016")</f>
        <v>07/24/2016</v>
      </c>
      <c r="H2109" s="6" t="str">
        <f>IFERROR(__xludf.DUMMYFUNCTION("""COMPUTED_VALUE"""),"Self Identify")</f>
        <v>Self Identify</v>
      </c>
      <c r="I2109" s="6" t="str">
        <f>IFERROR(__xludf.DUMMYFUNCTION("""COMPUTED_VALUE"""),"Level 2")</f>
        <v>Level 2</v>
      </c>
      <c r="J2109" s="6" t="str">
        <f>IFERROR(__xludf.DUMMYFUNCTION("""COMPUTED_VALUE"""),"4")</f>
        <v>4</v>
      </c>
      <c r="K2109" s="6" t="str">
        <f>IFERROR(__xludf.DUMMYFUNCTION("""COMPUTED_VALUE"""),"chloe.antonucci@novatio.school")</f>
        <v>chloe.antonucci@novatio.school</v>
      </c>
      <c r="L2109" s="6" t="str">
        <f>IFERROR(__xludf.DUMMYFUNCTION("""COMPUTED_VALUE"""),"Novatio")</f>
        <v>Novatio</v>
      </c>
      <c r="M2109" s="6" t="str">
        <f>IFERROR(__xludf.DUMMYFUNCTION("""COMPUTED_VALUE"""),"")</f>
        <v/>
      </c>
      <c r="N2109" s="6" t="str">
        <f>IFERROR(__xludf.DUMMYFUNCTION("""COMPUTED_VALUE"""),"")</f>
        <v/>
      </c>
      <c r="O2109" s="87" t="str">
        <f>IFERROR(__xludf.DUMMYFUNCTION("""COMPUTED_VALUE"""),"https://drive.google.com/drive/folders/10T2cTQHqEJZqE-st6uFKPoI?usp=share_link")</f>
        <v>https://drive.google.com/drive/folders/10T2cTQHqEJZqE-st6uFKPoI?usp=share_link</v>
      </c>
      <c r="P2109" s="6" t="str">
        <f>IFERROR(__xludf.DUMMYFUNCTION("""COMPUTED_VALUE"""),"Chloe Antonucci")</f>
        <v>Chloe Antonucci</v>
      </c>
      <c r="Q2109" s="6" t="str">
        <f>IFERROR(__xludf.DUMMYFUNCTION("""COMPUTED_VALUE"""),"L2")</f>
        <v>L2</v>
      </c>
      <c r="R2109" s="6">
        <f>IFERROR(__xludf.DUMMYFUNCTION("""COMPUTED_VALUE"""),2.0)</f>
        <v>2</v>
      </c>
      <c r="S2109" s="6" t="str">
        <f>IFERROR(__xludf.DUMMYFUNCTION("""COMPUTED_VALUE""")," ")</f>
        <v> </v>
      </c>
      <c r="T2109" s="6" t="str">
        <f>IFERROR(__xludf.DUMMYFUNCTION("""COMPUTED_VALUE"""),"")</f>
        <v/>
      </c>
      <c r="U2109" s="6" t="str">
        <f>IFERROR(__xludf.DUMMYFUNCTION("""COMPUTED_VALUE"""),"4")</f>
        <v>4</v>
      </c>
      <c r="V2109" s="6" t="str">
        <f>IFERROR(__xludf.DUMMYFUNCTION("""COMPUTED_VALUE"""),"")</f>
        <v/>
      </c>
      <c r="W2109" s="6" t="str">
        <f>IFERROR(__xludf.DUMMYFUNCTION("""COMPUTED_VALUE"""),"[]")</f>
        <v>[]</v>
      </c>
      <c r="X2109" s="6" t="str">
        <f>IFERROR(__xludf.DUMMYFUNCTION("""COMPUTED_VALUE"""),"Enrolled")</f>
        <v>Enrolled</v>
      </c>
    </row>
    <row r="2110">
      <c r="A2110" s="6" t="str">
        <f>IFERROR(__xludf.DUMMYFUNCTION("""COMPUTED_VALUE"""),"030-4241")</f>
        <v>030-4241</v>
      </c>
      <c r="B2110" s="6" t="str">
        <f>IFERROR(__xludf.DUMMYFUNCTION("""COMPUTED_VALUE"""),"30")</f>
        <v>30</v>
      </c>
      <c r="C2110" s="6" t="str">
        <f>IFERROR(__xludf.DUMMYFUNCTION("""COMPUTED_VALUE"""),"4241")</f>
        <v>4241</v>
      </c>
      <c r="D2110" s="6" t="str">
        <f>IFERROR(__xludf.DUMMYFUNCTION("""COMPUTED_VALUE"""),"Christopher")</f>
        <v>Christopher</v>
      </c>
      <c r="E2110" s="6" t="str">
        <f>IFERROR(__xludf.DUMMYFUNCTION("""COMPUTED_VALUE"""),"")</f>
        <v/>
      </c>
      <c r="F2110" s="6" t="str">
        <f>IFERROR(__xludf.DUMMYFUNCTION("""COMPUTED_VALUE"""),"Olson")</f>
        <v>Olson</v>
      </c>
      <c r="G2110" s="6" t="str">
        <f>IFERROR(__xludf.DUMMYFUNCTION("""COMPUTED_VALUE"""),"09/08/2014")</f>
        <v>09/08/2014</v>
      </c>
      <c r="H2110" s="6" t="str">
        <f>IFERROR(__xludf.DUMMYFUNCTION("""COMPUTED_VALUE"""),"Self Identify")</f>
        <v>Self Identify</v>
      </c>
      <c r="I2110" s="6" t="str">
        <f>IFERROR(__xludf.DUMMYFUNCTION("""COMPUTED_VALUE"""),"Middle School")</f>
        <v>Middle School</v>
      </c>
      <c r="J2110" s="6" t="str">
        <f>IFERROR(__xludf.DUMMYFUNCTION("""COMPUTED_VALUE"""),"6")</f>
        <v>6</v>
      </c>
      <c r="K2110" s="6" t="str">
        <f>IFERROR(__xludf.DUMMYFUNCTION("""COMPUTED_VALUE"""),"christopher.olson@novatio.school")</f>
        <v>christopher.olson@novatio.school</v>
      </c>
      <c r="L2110" s="6" t="str">
        <f>IFERROR(__xludf.DUMMYFUNCTION("""COMPUTED_VALUE"""),"Novatio")</f>
        <v>Novatio</v>
      </c>
      <c r="M2110" s="6" t="str">
        <f>IFERROR(__xludf.DUMMYFUNCTION("""COMPUTED_VALUE"""),"")</f>
        <v/>
      </c>
      <c r="N2110" s="6" t="str">
        <f>IFERROR(__xludf.DUMMYFUNCTION("""COMPUTED_VALUE"""),"")</f>
        <v/>
      </c>
      <c r="O2110" s="87" t="str">
        <f>IFERROR(__xludf.DUMMYFUNCTION("""COMPUTED_VALUE"""),"https://drive.google.com/drive/folders/10T2cTQHqEJZqE-st6uFKPoI?usp=share_link")</f>
        <v>https://drive.google.com/drive/folders/10T2cTQHqEJZqE-st6uFKPoI?usp=share_link</v>
      </c>
      <c r="P2110" s="6" t="str">
        <f>IFERROR(__xludf.DUMMYFUNCTION("""COMPUTED_VALUE"""),"Christopher Olson")</f>
        <v>Christopher Olson</v>
      </c>
      <c r="Q2110" s="6" t="str">
        <f>IFERROR(__xludf.DUMMYFUNCTION("""COMPUTED_VALUE"""),"MS")</f>
        <v>MS</v>
      </c>
      <c r="R2110" s="6">
        <f>IFERROR(__xludf.DUMMYFUNCTION("""COMPUTED_VALUE"""),0.0)</f>
        <v>0</v>
      </c>
      <c r="S2110" s="6" t="str">
        <f>IFERROR(__xludf.DUMMYFUNCTION("""COMPUTED_VALUE""")," ")</f>
        <v> </v>
      </c>
      <c r="T2110" s="6" t="str">
        <f>IFERROR(__xludf.DUMMYFUNCTION("""COMPUTED_VALUE"""),"")</f>
        <v/>
      </c>
      <c r="U2110" s="6" t="str">
        <f>IFERROR(__xludf.DUMMYFUNCTION("""COMPUTED_VALUE"""),"6")</f>
        <v>6</v>
      </c>
      <c r="V2110" s="6" t="str">
        <f>IFERROR(__xludf.DUMMYFUNCTION("""COMPUTED_VALUE"""),"")</f>
        <v/>
      </c>
      <c r="W2110" s="6" t="str">
        <f>IFERROR(__xludf.DUMMYFUNCTION("""COMPUTED_VALUE"""),"[]")</f>
        <v>[]</v>
      </c>
      <c r="X2110" s="6" t="str">
        <f>IFERROR(__xludf.DUMMYFUNCTION("""COMPUTED_VALUE"""),"Enrolled")</f>
        <v>Enrolled</v>
      </c>
    </row>
    <row r="2111">
      <c r="A2111" s="6" t="str">
        <f>IFERROR(__xludf.DUMMYFUNCTION("""COMPUTED_VALUE"""),"030-4341")</f>
        <v>030-4341</v>
      </c>
      <c r="B2111" s="6" t="str">
        <f>IFERROR(__xludf.DUMMYFUNCTION("""COMPUTED_VALUE"""),"30")</f>
        <v>30</v>
      </c>
      <c r="C2111" s="6" t="str">
        <f>IFERROR(__xludf.DUMMYFUNCTION("""COMPUTED_VALUE"""),"4341")</f>
        <v>4341</v>
      </c>
      <c r="D2111" s="6" t="str">
        <f>IFERROR(__xludf.DUMMYFUNCTION("""COMPUTED_VALUE"""),"Rahul")</f>
        <v>Rahul</v>
      </c>
      <c r="E2111" s="6" t="str">
        <f>IFERROR(__xludf.DUMMYFUNCTION("""COMPUTED_VALUE"""),"")</f>
        <v/>
      </c>
      <c r="F2111" s="6" t="str">
        <f>IFERROR(__xludf.DUMMYFUNCTION("""COMPUTED_VALUE"""),"Yazzie")</f>
        <v>Yazzie</v>
      </c>
      <c r="G2111" s="6" t="str">
        <f>IFERROR(__xludf.DUMMYFUNCTION("""COMPUTED_VALUE"""),"09/08/2012")</f>
        <v>09/08/2012</v>
      </c>
      <c r="H2111" s="6" t="str">
        <f>IFERROR(__xludf.DUMMYFUNCTION("""COMPUTED_VALUE"""),"Self Identify")</f>
        <v>Self Identify</v>
      </c>
      <c r="I2111" s="6" t="str">
        <f>IFERROR(__xludf.DUMMYFUNCTION("""COMPUTED_VALUE"""),"Middle School")</f>
        <v>Middle School</v>
      </c>
      <c r="J2111" s="6" t="str">
        <f>IFERROR(__xludf.DUMMYFUNCTION("""COMPUTED_VALUE"""),"7")</f>
        <v>7</v>
      </c>
      <c r="K2111" s="6" t="str">
        <f>IFERROR(__xludf.DUMMYFUNCTION("""COMPUTED_VALUE"""),"rahul.yazzie@novatio.school")</f>
        <v>rahul.yazzie@novatio.school</v>
      </c>
      <c r="L2111" s="6" t="str">
        <f>IFERROR(__xludf.DUMMYFUNCTION("""COMPUTED_VALUE"""),"Novatio")</f>
        <v>Novatio</v>
      </c>
      <c r="M2111" s="6" t="str">
        <f>IFERROR(__xludf.DUMMYFUNCTION("""COMPUTED_VALUE"""),"")</f>
        <v/>
      </c>
      <c r="N2111" s="6" t="str">
        <f>IFERROR(__xludf.DUMMYFUNCTION("""COMPUTED_VALUE"""),"")</f>
        <v/>
      </c>
      <c r="O2111" s="87" t="str">
        <f>IFERROR(__xludf.DUMMYFUNCTION("""COMPUTED_VALUE"""),"https://drive.google.com/drive/folders/10T2cTQHqEJZqE-st6uFKPoI?usp=share_link")</f>
        <v>https://drive.google.com/drive/folders/10T2cTQHqEJZqE-st6uFKPoI?usp=share_link</v>
      </c>
      <c r="P2111" s="6" t="str">
        <f>IFERROR(__xludf.DUMMYFUNCTION("""COMPUTED_VALUE"""),"Rahul Yazzie")</f>
        <v>Rahul Yazzie</v>
      </c>
      <c r="Q2111" s="6" t="str">
        <f>IFERROR(__xludf.DUMMYFUNCTION("""COMPUTED_VALUE"""),"MS")</f>
        <v>MS</v>
      </c>
      <c r="R2111" s="6">
        <f>IFERROR(__xludf.DUMMYFUNCTION("""COMPUTED_VALUE"""),0.0)</f>
        <v>0</v>
      </c>
      <c r="S2111" s="6" t="str">
        <f>IFERROR(__xludf.DUMMYFUNCTION("""COMPUTED_VALUE""")," ")</f>
        <v> </v>
      </c>
      <c r="T2111" s="6" t="str">
        <f>IFERROR(__xludf.DUMMYFUNCTION("""COMPUTED_VALUE"""),"")</f>
        <v/>
      </c>
      <c r="U2111" s="6" t="str">
        <f>IFERROR(__xludf.DUMMYFUNCTION("""COMPUTED_VALUE"""),"7")</f>
        <v>7</v>
      </c>
      <c r="V2111" s="6" t="str">
        <f>IFERROR(__xludf.DUMMYFUNCTION("""COMPUTED_VALUE"""),"")</f>
        <v/>
      </c>
      <c r="W2111" s="6" t="str">
        <f>IFERROR(__xludf.DUMMYFUNCTION("""COMPUTED_VALUE"""),"[]")</f>
        <v>[]</v>
      </c>
      <c r="X2111" s="6" t="str">
        <f>IFERROR(__xludf.DUMMYFUNCTION("""COMPUTED_VALUE"""),"Enrolled")</f>
        <v>Enrolled</v>
      </c>
    </row>
    <row r="2112">
      <c r="A2112" s="6" t="str">
        <f>IFERROR(__xludf.DUMMYFUNCTION("""COMPUTED_VALUE"""),"030-4342")</f>
        <v>030-4342</v>
      </c>
      <c r="B2112" s="6" t="str">
        <f>IFERROR(__xludf.DUMMYFUNCTION("""COMPUTED_VALUE"""),"30")</f>
        <v>30</v>
      </c>
      <c r="C2112" s="6" t="str">
        <f>IFERROR(__xludf.DUMMYFUNCTION("""COMPUTED_VALUE"""),"4342")</f>
        <v>4342</v>
      </c>
      <c r="D2112" s="6" t="str">
        <f>IFERROR(__xludf.DUMMYFUNCTION("""COMPUTED_VALUE"""),"Jaxton")</f>
        <v>Jaxton</v>
      </c>
      <c r="E2112" s="6" t="str">
        <f>IFERROR(__xludf.DUMMYFUNCTION("""COMPUTED_VALUE"""),"")</f>
        <v/>
      </c>
      <c r="F2112" s="6" t="str">
        <f>IFERROR(__xludf.DUMMYFUNCTION("""COMPUTED_VALUE"""),"Haukos")</f>
        <v>Haukos</v>
      </c>
      <c r="G2112" s="6" t="str">
        <f>IFERROR(__xludf.DUMMYFUNCTION("""COMPUTED_VALUE"""),"05/02/2014")</f>
        <v>05/02/2014</v>
      </c>
      <c r="H2112" s="6" t="str">
        <f>IFERROR(__xludf.DUMMYFUNCTION("""COMPUTED_VALUE"""),"Self Identify")</f>
        <v>Self Identify</v>
      </c>
      <c r="I2112" s="6" t="str">
        <f>IFERROR(__xludf.DUMMYFUNCTION("""COMPUTED_VALUE"""),"Middle School")</f>
        <v>Middle School</v>
      </c>
      <c r="J2112" s="6" t="str">
        <f>IFERROR(__xludf.DUMMYFUNCTION("""COMPUTED_VALUE"""),"5")</f>
        <v>5</v>
      </c>
      <c r="K2112" s="6" t="str">
        <f>IFERROR(__xludf.DUMMYFUNCTION("""COMPUTED_VALUE"""),"jaxton.haukos@novatio.school")</f>
        <v>jaxton.haukos@novatio.school</v>
      </c>
      <c r="L2112" s="6" t="str">
        <f>IFERROR(__xludf.DUMMYFUNCTION("""COMPUTED_VALUE"""),"Novatio")</f>
        <v>Novatio</v>
      </c>
      <c r="M2112" s="6" t="str">
        <f>IFERROR(__xludf.DUMMYFUNCTION("""COMPUTED_VALUE"""),"")</f>
        <v/>
      </c>
      <c r="N2112" s="6" t="str">
        <f>IFERROR(__xludf.DUMMYFUNCTION("""COMPUTED_VALUE"""),"")</f>
        <v/>
      </c>
      <c r="O2112" s="87" t="str">
        <f>IFERROR(__xludf.DUMMYFUNCTION("""COMPUTED_VALUE"""),"https://drive.google.com/drive/folders/10T2cTQHqEJZqE-st6uFKPoI?usp=share_link")</f>
        <v>https://drive.google.com/drive/folders/10T2cTQHqEJZqE-st6uFKPoI?usp=share_link</v>
      </c>
      <c r="P2112" s="6" t="str">
        <f>IFERROR(__xludf.DUMMYFUNCTION("""COMPUTED_VALUE"""),"Jaxton Haukos")</f>
        <v>Jaxton Haukos</v>
      </c>
      <c r="Q2112" s="6" t="str">
        <f>IFERROR(__xludf.DUMMYFUNCTION("""COMPUTED_VALUE"""),"MS")</f>
        <v>MS</v>
      </c>
      <c r="R2112" s="6">
        <f>IFERROR(__xludf.DUMMYFUNCTION("""COMPUTED_VALUE"""),0.0)</f>
        <v>0</v>
      </c>
      <c r="S2112" s="6" t="str">
        <f>IFERROR(__xludf.DUMMYFUNCTION("""COMPUTED_VALUE""")," ")</f>
        <v> </v>
      </c>
      <c r="T2112" s="6" t="str">
        <f>IFERROR(__xludf.DUMMYFUNCTION("""COMPUTED_VALUE"""),"")</f>
        <v/>
      </c>
      <c r="U2112" s="6" t="str">
        <f>IFERROR(__xludf.DUMMYFUNCTION("""COMPUTED_VALUE"""),"5")</f>
        <v>5</v>
      </c>
      <c r="V2112" s="6" t="str">
        <f>IFERROR(__xludf.DUMMYFUNCTION("""COMPUTED_VALUE"""),"")</f>
        <v/>
      </c>
      <c r="W2112" s="6" t="str">
        <f>IFERROR(__xludf.DUMMYFUNCTION("""COMPUTED_VALUE"""),"[]")</f>
        <v>[]</v>
      </c>
      <c r="X2112" s="6" t="str">
        <f>IFERROR(__xludf.DUMMYFUNCTION("""COMPUTED_VALUE"""),"Enrolled")</f>
        <v>Enrolled</v>
      </c>
    </row>
    <row r="2113">
      <c r="A2113" s="6" t="str">
        <f>IFERROR(__xludf.DUMMYFUNCTION("""COMPUTED_VALUE"""),"030-4343")</f>
        <v>030-4343</v>
      </c>
      <c r="B2113" s="6" t="str">
        <f>IFERROR(__xludf.DUMMYFUNCTION("""COMPUTED_VALUE"""),"30")</f>
        <v>30</v>
      </c>
      <c r="C2113" s="6" t="str">
        <f>IFERROR(__xludf.DUMMYFUNCTION("""COMPUTED_VALUE"""),"4343")</f>
        <v>4343</v>
      </c>
      <c r="D2113" s="6" t="str">
        <f>IFERROR(__xludf.DUMMYFUNCTION("""COMPUTED_VALUE"""),"Luciano")</f>
        <v>Luciano</v>
      </c>
      <c r="E2113" s="6" t="str">
        <f>IFERROR(__xludf.DUMMYFUNCTION("""COMPUTED_VALUE"""),"")</f>
        <v/>
      </c>
      <c r="F2113" s="6" t="str">
        <f>IFERROR(__xludf.DUMMYFUNCTION("""COMPUTED_VALUE"""),"Barraza")</f>
        <v>Barraza</v>
      </c>
      <c r="G2113" s="6" t="str">
        <f>IFERROR(__xludf.DUMMYFUNCTION("""COMPUTED_VALUE"""),"02/01/2012")</f>
        <v>02/01/2012</v>
      </c>
      <c r="H2113" s="6" t="str">
        <f>IFERROR(__xludf.DUMMYFUNCTION("""COMPUTED_VALUE"""),"Self Identify")</f>
        <v>Self Identify</v>
      </c>
      <c r="I2113" s="6" t="str">
        <f>IFERROR(__xludf.DUMMYFUNCTION("""COMPUTED_VALUE"""),"Middle School")</f>
        <v>Middle School</v>
      </c>
      <c r="J2113" s="6" t="str">
        <f>IFERROR(__xludf.DUMMYFUNCTION("""COMPUTED_VALUE"""),"7")</f>
        <v>7</v>
      </c>
      <c r="K2113" s="6" t="str">
        <f>IFERROR(__xludf.DUMMYFUNCTION("""COMPUTED_VALUE"""),"luciano.barraza@novatio.school")</f>
        <v>luciano.barraza@novatio.school</v>
      </c>
      <c r="L2113" s="6" t="str">
        <f>IFERROR(__xludf.DUMMYFUNCTION("""COMPUTED_VALUE"""),"Novatio")</f>
        <v>Novatio</v>
      </c>
      <c r="M2113" s="6" t="str">
        <f>IFERROR(__xludf.DUMMYFUNCTION("""COMPUTED_VALUE"""),"")</f>
        <v/>
      </c>
      <c r="N2113" s="6" t="str">
        <f>IFERROR(__xludf.DUMMYFUNCTION("""COMPUTED_VALUE"""),"")</f>
        <v/>
      </c>
      <c r="O2113" s="87" t="str">
        <f>IFERROR(__xludf.DUMMYFUNCTION("""COMPUTED_VALUE"""),"https://drive.google.com/drive/folders/10T2cTQHqEJZqE-st6uFKPoI?usp=share_link")</f>
        <v>https://drive.google.com/drive/folders/10T2cTQHqEJZqE-st6uFKPoI?usp=share_link</v>
      </c>
      <c r="P2113" s="6" t="str">
        <f>IFERROR(__xludf.DUMMYFUNCTION("""COMPUTED_VALUE"""),"Luciano Barraza")</f>
        <v>Luciano Barraza</v>
      </c>
      <c r="Q2113" s="6" t="str">
        <f>IFERROR(__xludf.DUMMYFUNCTION("""COMPUTED_VALUE"""),"MS")</f>
        <v>MS</v>
      </c>
      <c r="R2113" s="6">
        <f>IFERROR(__xludf.DUMMYFUNCTION("""COMPUTED_VALUE"""),0.0)</f>
        <v>0</v>
      </c>
      <c r="S2113" s="6" t="str">
        <f>IFERROR(__xludf.DUMMYFUNCTION("""COMPUTED_VALUE""")," ")</f>
        <v> </v>
      </c>
      <c r="T2113" s="6" t="str">
        <f>IFERROR(__xludf.DUMMYFUNCTION("""COMPUTED_VALUE"""),"")</f>
        <v/>
      </c>
      <c r="U2113" s="6" t="str">
        <f>IFERROR(__xludf.DUMMYFUNCTION("""COMPUTED_VALUE"""),"7")</f>
        <v>7</v>
      </c>
      <c r="V2113" s="6" t="str">
        <f>IFERROR(__xludf.DUMMYFUNCTION("""COMPUTED_VALUE"""),"")</f>
        <v/>
      </c>
      <c r="W2113" s="6" t="str">
        <f>IFERROR(__xludf.DUMMYFUNCTION("""COMPUTED_VALUE"""),"[]")</f>
        <v>[]</v>
      </c>
      <c r="X2113" s="6" t="str">
        <f>IFERROR(__xludf.DUMMYFUNCTION("""COMPUTED_VALUE"""),"Enrolled")</f>
        <v>Enrolled</v>
      </c>
    </row>
    <row r="2114">
      <c r="A2114" s="6" t="str">
        <f>IFERROR(__xludf.DUMMYFUNCTION("""COMPUTED_VALUE"""),"030-4411")</f>
        <v>030-4411</v>
      </c>
      <c r="B2114" s="6" t="str">
        <f>IFERROR(__xludf.DUMMYFUNCTION("""COMPUTED_VALUE"""),"30")</f>
        <v>30</v>
      </c>
      <c r="C2114" s="6" t="str">
        <f>IFERROR(__xludf.DUMMYFUNCTION("""COMPUTED_VALUE"""),"4411")</f>
        <v>4411</v>
      </c>
      <c r="D2114" s="6" t="str">
        <f>IFERROR(__xludf.DUMMYFUNCTION("""COMPUTED_VALUE"""),"Pearl")</f>
        <v>Pearl</v>
      </c>
      <c r="E2114" s="6" t="str">
        <f>IFERROR(__xludf.DUMMYFUNCTION("""COMPUTED_VALUE"""),"")</f>
        <v/>
      </c>
      <c r="F2114" s="6" t="str">
        <f>IFERROR(__xludf.DUMMYFUNCTION("""COMPUTED_VALUE"""),"Terrell")</f>
        <v>Terrell</v>
      </c>
      <c r="G2114" s="6" t="str">
        <f>IFERROR(__xludf.DUMMYFUNCTION("""COMPUTED_VALUE"""),"03/27/2015")</f>
        <v>03/27/2015</v>
      </c>
      <c r="H2114" s="6" t="str">
        <f>IFERROR(__xludf.DUMMYFUNCTION("""COMPUTED_VALUE"""),"Self Identify")</f>
        <v>Self Identify</v>
      </c>
      <c r="I2114" s="6" t="str">
        <f>IFERROR(__xludf.DUMMYFUNCTION("""COMPUTED_VALUE"""),"Level 2")</f>
        <v>Level 2</v>
      </c>
      <c r="J2114" s="6" t="str">
        <f>IFERROR(__xludf.DUMMYFUNCTION("""COMPUTED_VALUE"""),"5")</f>
        <v>5</v>
      </c>
      <c r="K2114" s="6" t="str">
        <f>IFERROR(__xludf.DUMMYFUNCTION("""COMPUTED_VALUE"""),"pearl.terrell@novatio.school")</f>
        <v>pearl.terrell@novatio.school</v>
      </c>
      <c r="L2114" s="6" t="str">
        <f>IFERROR(__xludf.DUMMYFUNCTION("""COMPUTED_VALUE"""),"Novatio")</f>
        <v>Novatio</v>
      </c>
      <c r="M2114" s="6" t="str">
        <f>IFERROR(__xludf.DUMMYFUNCTION("""COMPUTED_VALUE"""),"")</f>
        <v/>
      </c>
      <c r="N2114" s="6" t="str">
        <f>IFERROR(__xludf.DUMMYFUNCTION("""COMPUTED_VALUE"""),"")</f>
        <v/>
      </c>
      <c r="O2114" s="87" t="str">
        <f>IFERROR(__xludf.DUMMYFUNCTION("""COMPUTED_VALUE"""),"https://drive.google.com/drive/folders/10T2cTQHqEJZqE-st6uFKPoI?usp=share_link")</f>
        <v>https://drive.google.com/drive/folders/10T2cTQHqEJZqE-st6uFKPoI?usp=share_link</v>
      </c>
      <c r="P2114" s="6" t="str">
        <f>IFERROR(__xludf.DUMMYFUNCTION("""COMPUTED_VALUE"""),"Pearl Terrell")</f>
        <v>Pearl Terrell</v>
      </c>
      <c r="Q2114" s="6" t="str">
        <f>IFERROR(__xludf.DUMMYFUNCTION("""COMPUTED_VALUE"""),"L2")</f>
        <v>L2</v>
      </c>
      <c r="R2114" s="6">
        <f>IFERROR(__xludf.DUMMYFUNCTION("""COMPUTED_VALUE"""),2.0)</f>
        <v>2</v>
      </c>
      <c r="S2114" s="6" t="str">
        <f>IFERROR(__xludf.DUMMYFUNCTION("""COMPUTED_VALUE""")," ")</f>
        <v> </v>
      </c>
      <c r="T2114" s="6" t="str">
        <f>IFERROR(__xludf.DUMMYFUNCTION("""COMPUTED_VALUE"""),"")</f>
        <v/>
      </c>
      <c r="U2114" s="6" t="str">
        <f>IFERROR(__xludf.DUMMYFUNCTION("""COMPUTED_VALUE"""),"5")</f>
        <v>5</v>
      </c>
      <c r="V2114" s="6" t="str">
        <f>IFERROR(__xludf.DUMMYFUNCTION("""COMPUTED_VALUE"""),"")</f>
        <v/>
      </c>
      <c r="W2114" s="6" t="str">
        <f>IFERROR(__xludf.DUMMYFUNCTION("""COMPUTED_VALUE"""),"[]")</f>
        <v>[]</v>
      </c>
      <c r="X2114" s="6" t="str">
        <f>IFERROR(__xludf.DUMMYFUNCTION("""COMPUTED_VALUE"""),"Enrolled")</f>
        <v>Enrolled</v>
      </c>
    </row>
    <row r="2115">
      <c r="A2115" s="6" t="str">
        <f>IFERROR(__xludf.DUMMYFUNCTION("""COMPUTED_VALUE"""),"030-4525")</f>
        <v>030-4525</v>
      </c>
      <c r="B2115" s="6" t="str">
        <f>IFERROR(__xludf.DUMMYFUNCTION("""COMPUTED_VALUE"""),"30")</f>
        <v>30</v>
      </c>
      <c r="C2115" s="6" t="str">
        <f>IFERROR(__xludf.DUMMYFUNCTION("""COMPUTED_VALUE"""),"4525")</f>
        <v>4525</v>
      </c>
      <c r="D2115" s="6" t="str">
        <f>IFERROR(__xludf.DUMMYFUNCTION("""COMPUTED_VALUE"""),"Indeanna")</f>
        <v>Indeanna</v>
      </c>
      <c r="E2115" s="6" t="str">
        <f>IFERROR(__xludf.DUMMYFUNCTION("""COMPUTED_VALUE"""),"")</f>
        <v/>
      </c>
      <c r="F2115" s="6" t="str">
        <f>IFERROR(__xludf.DUMMYFUNCTION("""COMPUTED_VALUE"""),"Ham")</f>
        <v>Ham</v>
      </c>
      <c r="G2115" s="6" t="str">
        <f>IFERROR(__xludf.DUMMYFUNCTION("""COMPUTED_VALUE"""),"11/10/2014")</f>
        <v>11/10/2014</v>
      </c>
      <c r="H2115" s="6" t="str">
        <f>IFERROR(__xludf.DUMMYFUNCTION("""COMPUTED_VALUE"""),"Self Identify")</f>
        <v>Self Identify</v>
      </c>
      <c r="I2115" s="6" t="str">
        <f>IFERROR(__xludf.DUMMYFUNCTION("""COMPUTED_VALUE"""),"Level 2")</f>
        <v>Level 2</v>
      </c>
      <c r="J2115" s="6" t="str">
        <f>IFERROR(__xludf.DUMMYFUNCTION("""COMPUTED_VALUE"""),"5")</f>
        <v>5</v>
      </c>
      <c r="K2115" s="6" t="str">
        <f>IFERROR(__xludf.DUMMYFUNCTION("""COMPUTED_VALUE"""),"indeanna.ham@novatio.school")</f>
        <v>indeanna.ham@novatio.school</v>
      </c>
      <c r="L2115" s="6" t="str">
        <f>IFERROR(__xludf.DUMMYFUNCTION("""COMPUTED_VALUE"""),"Novatio")</f>
        <v>Novatio</v>
      </c>
      <c r="M2115" s="6" t="str">
        <f>IFERROR(__xludf.DUMMYFUNCTION("""COMPUTED_VALUE"""),"")</f>
        <v/>
      </c>
      <c r="N2115" s="6" t="str">
        <f>IFERROR(__xludf.DUMMYFUNCTION("""COMPUTED_VALUE"""),"")</f>
        <v/>
      </c>
      <c r="O2115" s="87" t="str">
        <f>IFERROR(__xludf.DUMMYFUNCTION("""COMPUTED_VALUE"""),"https://drive.google.com/drive/folders/10T2cTQHqEJZqE-st6uFKPoI?usp=share_link")</f>
        <v>https://drive.google.com/drive/folders/10T2cTQHqEJZqE-st6uFKPoI?usp=share_link</v>
      </c>
      <c r="P2115" s="6" t="str">
        <f>IFERROR(__xludf.DUMMYFUNCTION("""COMPUTED_VALUE"""),"Indeanna Ham")</f>
        <v>Indeanna Ham</v>
      </c>
      <c r="Q2115" s="6" t="str">
        <f>IFERROR(__xludf.DUMMYFUNCTION("""COMPUTED_VALUE"""),"L2")</f>
        <v>L2</v>
      </c>
      <c r="R2115" s="6">
        <f>IFERROR(__xludf.DUMMYFUNCTION("""COMPUTED_VALUE"""),2.0)</f>
        <v>2</v>
      </c>
      <c r="S2115" s="6" t="str">
        <f>IFERROR(__xludf.DUMMYFUNCTION("""COMPUTED_VALUE""")," ")</f>
        <v> </v>
      </c>
      <c r="T2115" s="6" t="str">
        <f>IFERROR(__xludf.DUMMYFUNCTION("""COMPUTED_VALUE"""),"")</f>
        <v/>
      </c>
      <c r="U2115" s="6" t="str">
        <f>IFERROR(__xludf.DUMMYFUNCTION("""COMPUTED_VALUE"""),"5")</f>
        <v>5</v>
      </c>
      <c r="V2115" s="6" t="str">
        <f>IFERROR(__xludf.DUMMYFUNCTION("""COMPUTED_VALUE"""),"")</f>
        <v/>
      </c>
      <c r="W2115" s="6" t="str">
        <f>IFERROR(__xludf.DUMMYFUNCTION("""COMPUTED_VALUE"""),"[]")</f>
        <v>[]</v>
      </c>
      <c r="X2115" s="6" t="str">
        <f>IFERROR(__xludf.DUMMYFUNCTION("""COMPUTED_VALUE"""),"Enrolled")</f>
        <v>Enrolled</v>
      </c>
    </row>
    <row r="2116">
      <c r="A2116" s="6" t="str">
        <f>IFERROR(__xludf.DUMMYFUNCTION("""COMPUTED_VALUE"""),"030-4779")</f>
        <v>030-4779</v>
      </c>
      <c r="B2116" s="6" t="str">
        <f>IFERROR(__xludf.DUMMYFUNCTION("""COMPUTED_VALUE"""),"30")</f>
        <v>30</v>
      </c>
      <c r="C2116" s="6" t="str">
        <f>IFERROR(__xludf.DUMMYFUNCTION("""COMPUTED_VALUE"""),"4779")</f>
        <v>4779</v>
      </c>
      <c r="D2116" s="6" t="str">
        <f>IFERROR(__xludf.DUMMYFUNCTION("""COMPUTED_VALUE"""),"Antonio")</f>
        <v>Antonio</v>
      </c>
      <c r="E2116" s="6" t="str">
        <f>IFERROR(__xludf.DUMMYFUNCTION("""COMPUTED_VALUE"""),"")</f>
        <v/>
      </c>
      <c r="F2116" s="6" t="str">
        <f>IFERROR(__xludf.DUMMYFUNCTION("""COMPUTED_VALUE"""),"Gerlach")</f>
        <v>Gerlach</v>
      </c>
      <c r="G2116" s="6" t="str">
        <f>IFERROR(__xludf.DUMMYFUNCTION("""COMPUTED_VALUE"""),"01/28/2015")</f>
        <v>01/28/2015</v>
      </c>
      <c r="H2116" s="6" t="str">
        <f>IFERROR(__xludf.DUMMYFUNCTION("""COMPUTED_VALUE"""),"Self Identify")</f>
        <v>Self Identify</v>
      </c>
      <c r="I2116" s="6" t="str">
        <f>IFERROR(__xludf.DUMMYFUNCTION("""COMPUTED_VALUE"""),"Level 2")</f>
        <v>Level 2</v>
      </c>
      <c r="J2116" s="6" t="str">
        <f>IFERROR(__xludf.DUMMYFUNCTION("""COMPUTED_VALUE"""),"5")</f>
        <v>5</v>
      </c>
      <c r="K2116" s="6" t="str">
        <f>IFERROR(__xludf.DUMMYFUNCTION("""COMPUTED_VALUE"""),"antonio.gerlach@novatio.school")</f>
        <v>antonio.gerlach@novatio.school</v>
      </c>
      <c r="L2116" s="6" t="str">
        <f>IFERROR(__xludf.DUMMYFUNCTION("""COMPUTED_VALUE"""),"Novatio")</f>
        <v>Novatio</v>
      </c>
      <c r="M2116" s="6" t="str">
        <f>IFERROR(__xludf.DUMMYFUNCTION("""COMPUTED_VALUE"""),"")</f>
        <v/>
      </c>
      <c r="N2116" s="6" t="str">
        <f>IFERROR(__xludf.DUMMYFUNCTION("""COMPUTED_VALUE"""),"")</f>
        <v/>
      </c>
      <c r="O2116" s="87" t="str">
        <f>IFERROR(__xludf.DUMMYFUNCTION("""COMPUTED_VALUE"""),"https://drive.google.com/drive/folders/10T2cTQHqEJZqE-st6uFKPoI?usp=share_link")</f>
        <v>https://drive.google.com/drive/folders/10T2cTQHqEJZqE-st6uFKPoI?usp=share_link</v>
      </c>
      <c r="P2116" s="6" t="str">
        <f>IFERROR(__xludf.DUMMYFUNCTION("""COMPUTED_VALUE"""),"Antonio Gerlach")</f>
        <v>Antonio Gerlach</v>
      </c>
      <c r="Q2116" s="6" t="str">
        <f>IFERROR(__xludf.DUMMYFUNCTION("""COMPUTED_VALUE"""),"L2")</f>
        <v>L2</v>
      </c>
      <c r="R2116" s="6">
        <f>IFERROR(__xludf.DUMMYFUNCTION("""COMPUTED_VALUE"""),2.0)</f>
        <v>2</v>
      </c>
      <c r="S2116" s="6" t="str">
        <f>IFERROR(__xludf.DUMMYFUNCTION("""COMPUTED_VALUE""")," ")</f>
        <v> </v>
      </c>
      <c r="T2116" s="6" t="str">
        <f>IFERROR(__xludf.DUMMYFUNCTION("""COMPUTED_VALUE"""),"")</f>
        <v/>
      </c>
      <c r="U2116" s="6" t="str">
        <f>IFERROR(__xludf.DUMMYFUNCTION("""COMPUTED_VALUE"""),"5")</f>
        <v>5</v>
      </c>
      <c r="V2116" s="6" t="str">
        <f>IFERROR(__xludf.DUMMYFUNCTION("""COMPUTED_VALUE"""),"")</f>
        <v/>
      </c>
      <c r="W2116" s="6" t="str">
        <f>IFERROR(__xludf.DUMMYFUNCTION("""COMPUTED_VALUE"""),"[]")</f>
        <v>[]</v>
      </c>
      <c r="X2116" s="6" t="str">
        <f>IFERROR(__xludf.DUMMYFUNCTION("""COMPUTED_VALUE"""),"Enrolled")</f>
        <v>Enrolled</v>
      </c>
    </row>
    <row r="2117">
      <c r="A2117" s="6" t="str">
        <f>IFERROR(__xludf.DUMMYFUNCTION("""COMPUTED_VALUE"""),"030-4963")</f>
        <v>030-4963</v>
      </c>
      <c r="B2117" s="6" t="str">
        <f>IFERROR(__xludf.DUMMYFUNCTION("""COMPUTED_VALUE"""),"30")</f>
        <v>30</v>
      </c>
      <c r="C2117" s="6" t="str">
        <f>IFERROR(__xludf.DUMMYFUNCTION("""COMPUTED_VALUE"""),"4963")</f>
        <v>4963</v>
      </c>
      <c r="D2117" s="6" t="str">
        <f>IFERROR(__xludf.DUMMYFUNCTION("""COMPUTED_VALUE"""),"Javin")</f>
        <v>Javin</v>
      </c>
      <c r="E2117" s="6" t="str">
        <f>IFERROR(__xludf.DUMMYFUNCTION("""COMPUTED_VALUE"""),"")</f>
        <v/>
      </c>
      <c r="F2117" s="6" t="str">
        <f>IFERROR(__xludf.DUMMYFUNCTION("""COMPUTED_VALUE"""),"Bowser")</f>
        <v>Bowser</v>
      </c>
      <c r="G2117" s="6" t="str">
        <f>IFERROR(__xludf.DUMMYFUNCTION("""COMPUTED_VALUE"""),"09/26/2011")</f>
        <v>09/26/2011</v>
      </c>
      <c r="H2117" s="6" t="str">
        <f>IFERROR(__xludf.DUMMYFUNCTION("""COMPUTED_VALUE"""),"Self Identify")</f>
        <v>Self Identify</v>
      </c>
      <c r="I2117" s="6" t="str">
        <f>IFERROR(__xludf.DUMMYFUNCTION("""COMPUTED_VALUE"""),"Middle School")</f>
        <v>Middle School</v>
      </c>
      <c r="J2117" s="6" t="str">
        <f>IFERROR(__xludf.DUMMYFUNCTION("""COMPUTED_VALUE"""),"8")</f>
        <v>8</v>
      </c>
      <c r="K2117" s="6" t="str">
        <f>IFERROR(__xludf.DUMMYFUNCTION("""COMPUTED_VALUE"""),"javin.bowser@novatio.school")</f>
        <v>javin.bowser@novatio.school</v>
      </c>
      <c r="L2117" s="6" t="str">
        <f>IFERROR(__xludf.DUMMYFUNCTION("""COMPUTED_VALUE"""),"Novatio")</f>
        <v>Novatio</v>
      </c>
      <c r="M2117" s="6" t="str">
        <f>IFERROR(__xludf.DUMMYFUNCTION("""COMPUTED_VALUE"""),"")</f>
        <v/>
      </c>
      <c r="N2117" s="6" t="str">
        <f>IFERROR(__xludf.DUMMYFUNCTION("""COMPUTED_VALUE"""),"")</f>
        <v/>
      </c>
      <c r="O2117" s="87" t="str">
        <f>IFERROR(__xludf.DUMMYFUNCTION("""COMPUTED_VALUE"""),"https://drive.google.com/drive/folders/10T2cTQHqEJZqE-st6uFKPoI?usp=share_link")</f>
        <v>https://drive.google.com/drive/folders/10T2cTQHqEJZqE-st6uFKPoI?usp=share_link</v>
      </c>
      <c r="P2117" s="6" t="str">
        <f>IFERROR(__xludf.DUMMYFUNCTION("""COMPUTED_VALUE"""),"Javin Bowser")</f>
        <v>Javin Bowser</v>
      </c>
      <c r="Q2117" s="6" t="str">
        <f>IFERROR(__xludf.DUMMYFUNCTION("""COMPUTED_VALUE"""),"MS")</f>
        <v>MS</v>
      </c>
      <c r="R2117" s="6">
        <f>IFERROR(__xludf.DUMMYFUNCTION("""COMPUTED_VALUE"""),0.0)</f>
        <v>0</v>
      </c>
      <c r="S2117" s="6" t="str">
        <f>IFERROR(__xludf.DUMMYFUNCTION("""COMPUTED_VALUE""")," ")</f>
        <v> </v>
      </c>
      <c r="T2117" s="6" t="str">
        <f>IFERROR(__xludf.DUMMYFUNCTION("""COMPUTED_VALUE"""),"")</f>
        <v/>
      </c>
      <c r="U2117" s="6" t="str">
        <f>IFERROR(__xludf.DUMMYFUNCTION("""COMPUTED_VALUE"""),"8")</f>
        <v>8</v>
      </c>
      <c r="V2117" s="6" t="str">
        <f>IFERROR(__xludf.DUMMYFUNCTION("""COMPUTED_VALUE"""),"")</f>
        <v/>
      </c>
      <c r="W2117" s="6" t="str">
        <f>IFERROR(__xludf.DUMMYFUNCTION("""COMPUTED_VALUE"""),"[]")</f>
        <v>[]</v>
      </c>
      <c r="X2117" s="6" t="str">
        <f>IFERROR(__xludf.DUMMYFUNCTION("""COMPUTED_VALUE"""),"Enrolled")</f>
        <v>Enrolled</v>
      </c>
    </row>
    <row r="2118">
      <c r="A2118" s="6" t="str">
        <f>IFERROR(__xludf.DUMMYFUNCTION("""COMPUTED_VALUE"""),"030-5641")</f>
        <v>030-5641</v>
      </c>
      <c r="B2118" s="6" t="str">
        <f>IFERROR(__xludf.DUMMYFUNCTION("""COMPUTED_VALUE"""),"30")</f>
        <v>30</v>
      </c>
      <c r="C2118" s="6" t="str">
        <f>IFERROR(__xludf.DUMMYFUNCTION("""COMPUTED_VALUE"""),"5641")</f>
        <v>5641</v>
      </c>
      <c r="D2118" s="6" t="str">
        <f>IFERROR(__xludf.DUMMYFUNCTION("""COMPUTED_VALUE"""),"Jeremy")</f>
        <v>Jeremy</v>
      </c>
      <c r="E2118" s="6" t="str">
        <f>IFERROR(__xludf.DUMMYFUNCTION("""COMPUTED_VALUE"""),"")</f>
        <v/>
      </c>
      <c r="F2118" s="6" t="str">
        <f>IFERROR(__xludf.DUMMYFUNCTION("""COMPUTED_VALUE"""),"Merriweather")</f>
        <v>Merriweather</v>
      </c>
      <c r="G2118" s="6" t="str">
        <f>IFERROR(__xludf.DUMMYFUNCTION("""COMPUTED_VALUE"""),"12/25/2014")</f>
        <v>12/25/2014</v>
      </c>
      <c r="H2118" s="6" t="str">
        <f>IFERROR(__xludf.DUMMYFUNCTION("""COMPUTED_VALUE"""),"Self Identify")</f>
        <v>Self Identify</v>
      </c>
      <c r="I2118" s="6" t="str">
        <f>IFERROR(__xludf.DUMMYFUNCTION("""COMPUTED_VALUE"""),"Middle School")</f>
        <v>Middle School</v>
      </c>
      <c r="J2118" s="6" t="str">
        <f>IFERROR(__xludf.DUMMYFUNCTION("""COMPUTED_VALUE"""),"6")</f>
        <v>6</v>
      </c>
      <c r="K2118" s="6" t="str">
        <f>IFERROR(__xludf.DUMMYFUNCTION("""COMPUTED_VALUE"""),"jeremy.merriweather@novatio.school")</f>
        <v>jeremy.merriweather@novatio.school</v>
      </c>
      <c r="L2118" s="6" t="str">
        <f>IFERROR(__xludf.DUMMYFUNCTION("""COMPUTED_VALUE"""),"Novatio")</f>
        <v>Novatio</v>
      </c>
      <c r="M2118" s="6" t="str">
        <f>IFERROR(__xludf.DUMMYFUNCTION("""COMPUTED_VALUE"""),"")</f>
        <v/>
      </c>
      <c r="N2118" s="6" t="str">
        <f>IFERROR(__xludf.DUMMYFUNCTION("""COMPUTED_VALUE"""),"")</f>
        <v/>
      </c>
      <c r="O2118" s="87" t="str">
        <f>IFERROR(__xludf.DUMMYFUNCTION("""COMPUTED_VALUE"""),"https://drive.google.com/drive/folders/10T2cTQHqEJZqE-st6uFKPoI?usp=share_link")</f>
        <v>https://drive.google.com/drive/folders/10T2cTQHqEJZqE-st6uFKPoI?usp=share_link</v>
      </c>
      <c r="P2118" s="6" t="str">
        <f>IFERROR(__xludf.DUMMYFUNCTION("""COMPUTED_VALUE"""),"Jeremy Merriweather")</f>
        <v>Jeremy Merriweather</v>
      </c>
      <c r="Q2118" s="6" t="str">
        <f>IFERROR(__xludf.DUMMYFUNCTION("""COMPUTED_VALUE"""),"MS")</f>
        <v>MS</v>
      </c>
      <c r="R2118" s="6">
        <f>IFERROR(__xludf.DUMMYFUNCTION("""COMPUTED_VALUE"""),0.0)</f>
        <v>0</v>
      </c>
      <c r="S2118" s="6" t="str">
        <f>IFERROR(__xludf.DUMMYFUNCTION("""COMPUTED_VALUE""")," ")</f>
        <v> </v>
      </c>
      <c r="T2118" s="6" t="str">
        <f>IFERROR(__xludf.DUMMYFUNCTION("""COMPUTED_VALUE"""),"")</f>
        <v/>
      </c>
      <c r="U2118" s="6" t="str">
        <f>IFERROR(__xludf.DUMMYFUNCTION("""COMPUTED_VALUE"""),"6")</f>
        <v>6</v>
      </c>
      <c r="V2118" s="6" t="str">
        <f>IFERROR(__xludf.DUMMYFUNCTION("""COMPUTED_VALUE"""),"")</f>
        <v/>
      </c>
      <c r="W2118" s="6" t="str">
        <f>IFERROR(__xludf.DUMMYFUNCTION("""COMPUTED_VALUE"""),"[]")</f>
        <v>[]</v>
      </c>
      <c r="X2118" s="6" t="str">
        <f>IFERROR(__xludf.DUMMYFUNCTION("""COMPUTED_VALUE"""),"Enrolled")</f>
        <v>Enrolled</v>
      </c>
    </row>
    <row r="2119">
      <c r="A2119" s="6" t="str">
        <f>IFERROR(__xludf.DUMMYFUNCTION("""COMPUTED_VALUE"""),"030-5642")</f>
        <v>030-5642</v>
      </c>
      <c r="B2119" s="6" t="str">
        <f>IFERROR(__xludf.DUMMYFUNCTION("""COMPUTED_VALUE"""),"30")</f>
        <v>30</v>
      </c>
      <c r="C2119" s="6" t="str">
        <f>IFERROR(__xludf.DUMMYFUNCTION("""COMPUTED_VALUE"""),"5642")</f>
        <v>5642</v>
      </c>
      <c r="D2119" s="6" t="str">
        <f>IFERROR(__xludf.DUMMYFUNCTION("""COMPUTED_VALUE"""),"Alana")</f>
        <v>Alana</v>
      </c>
      <c r="E2119" s="6" t="str">
        <f>IFERROR(__xludf.DUMMYFUNCTION("""COMPUTED_VALUE"""),"")</f>
        <v/>
      </c>
      <c r="F2119" s="6" t="str">
        <f>IFERROR(__xludf.DUMMYFUNCTION("""COMPUTED_VALUE"""),"Crown")</f>
        <v>Crown</v>
      </c>
      <c r="G2119" s="6" t="str">
        <f>IFERROR(__xludf.DUMMYFUNCTION("""COMPUTED_VALUE"""),"03/23/2017")</f>
        <v>03/23/2017</v>
      </c>
      <c r="H2119" s="6" t="str">
        <f>IFERROR(__xludf.DUMMYFUNCTION("""COMPUTED_VALUE"""),"Self Identify")</f>
        <v>Self Identify</v>
      </c>
      <c r="I2119" s="6" t="str">
        <f>IFERROR(__xludf.DUMMYFUNCTION("""COMPUTED_VALUE"""),"Level 1")</f>
        <v>Level 1</v>
      </c>
      <c r="J2119" s="6" t="str">
        <f>IFERROR(__xludf.DUMMYFUNCTION("""COMPUTED_VALUE"""),"3")</f>
        <v>3</v>
      </c>
      <c r="K2119" s="6" t="str">
        <f>IFERROR(__xludf.DUMMYFUNCTION("""COMPUTED_VALUE"""),"alana.crown@novatio.school")</f>
        <v>alana.crown@novatio.school</v>
      </c>
      <c r="L2119" s="6" t="str">
        <f>IFERROR(__xludf.DUMMYFUNCTION("""COMPUTED_VALUE"""),"Novatio")</f>
        <v>Novatio</v>
      </c>
      <c r="M2119" s="6" t="str">
        <f>IFERROR(__xludf.DUMMYFUNCTION("""COMPUTED_VALUE"""),"")</f>
        <v/>
      </c>
      <c r="N2119" s="6" t="str">
        <f>IFERROR(__xludf.DUMMYFUNCTION("""COMPUTED_VALUE"""),"")</f>
        <v/>
      </c>
      <c r="O2119" s="87" t="str">
        <f>IFERROR(__xludf.DUMMYFUNCTION("""COMPUTED_VALUE"""),"https://drive.google.com/drive/folders/10T2cTQHqEJZqE-st6uFKPoI?usp=share_link")</f>
        <v>https://drive.google.com/drive/folders/10T2cTQHqEJZqE-st6uFKPoI?usp=share_link</v>
      </c>
      <c r="P2119" s="6" t="str">
        <f>IFERROR(__xludf.DUMMYFUNCTION("""COMPUTED_VALUE"""),"Alana Crown")</f>
        <v>Alana Crown</v>
      </c>
      <c r="Q2119" s="6" t="str">
        <f>IFERROR(__xludf.DUMMYFUNCTION("""COMPUTED_VALUE"""),"L1")</f>
        <v>L1</v>
      </c>
      <c r="R2119" s="6">
        <f>IFERROR(__xludf.DUMMYFUNCTION("""COMPUTED_VALUE"""),1.0)</f>
        <v>1</v>
      </c>
      <c r="S2119" s="6" t="str">
        <f>IFERROR(__xludf.DUMMYFUNCTION("""COMPUTED_VALUE""")," ")</f>
        <v> </v>
      </c>
      <c r="T2119" s="6" t="str">
        <f>IFERROR(__xludf.DUMMYFUNCTION("""COMPUTED_VALUE"""),"")</f>
        <v/>
      </c>
      <c r="U2119" s="6" t="str">
        <f>IFERROR(__xludf.DUMMYFUNCTION("""COMPUTED_VALUE"""),"3")</f>
        <v>3</v>
      </c>
      <c r="V2119" s="6" t="str">
        <f>IFERROR(__xludf.DUMMYFUNCTION("""COMPUTED_VALUE"""),"")</f>
        <v/>
      </c>
      <c r="W2119" s="6" t="str">
        <f>IFERROR(__xludf.DUMMYFUNCTION("""COMPUTED_VALUE"""),"[]")</f>
        <v>[]</v>
      </c>
      <c r="X2119" s="6" t="str">
        <f>IFERROR(__xludf.DUMMYFUNCTION("""COMPUTED_VALUE"""),"Enrolled")</f>
        <v>Enrolled</v>
      </c>
    </row>
    <row r="2120">
      <c r="A2120" s="6" t="str">
        <f>IFERROR(__xludf.DUMMYFUNCTION("""COMPUTED_VALUE"""),"030-7318")</f>
        <v>030-7318</v>
      </c>
      <c r="B2120" s="6" t="str">
        <f>IFERROR(__xludf.DUMMYFUNCTION("""COMPUTED_VALUE"""),"30")</f>
        <v>30</v>
      </c>
      <c r="C2120" s="6" t="str">
        <f>IFERROR(__xludf.DUMMYFUNCTION("""COMPUTED_VALUE"""),"7318")</f>
        <v>7318</v>
      </c>
      <c r="D2120" s="6" t="str">
        <f>IFERROR(__xludf.DUMMYFUNCTION("""COMPUTED_VALUE"""),"Madeline")</f>
        <v>Madeline</v>
      </c>
      <c r="E2120" s="6" t="str">
        <f>IFERROR(__xludf.DUMMYFUNCTION("""COMPUTED_VALUE"""),"")</f>
        <v/>
      </c>
      <c r="F2120" s="6" t="str">
        <f>IFERROR(__xludf.DUMMYFUNCTION("""COMPUTED_VALUE"""),"Medina")</f>
        <v>Medina</v>
      </c>
      <c r="G2120" s="6" t="str">
        <f>IFERROR(__xludf.DUMMYFUNCTION("""COMPUTED_VALUE"""),"08/04/2016")</f>
        <v>08/04/2016</v>
      </c>
      <c r="H2120" s="6" t="str">
        <f>IFERROR(__xludf.DUMMYFUNCTION("""COMPUTED_VALUE"""),"Self Identify")</f>
        <v>Self Identify</v>
      </c>
      <c r="I2120" s="6" t="str">
        <f>IFERROR(__xludf.DUMMYFUNCTION("""COMPUTED_VALUE"""),"Level 2")</f>
        <v>Level 2</v>
      </c>
      <c r="J2120" s="6" t="str">
        <f>IFERROR(__xludf.DUMMYFUNCTION("""COMPUTED_VALUE"""),"4")</f>
        <v>4</v>
      </c>
      <c r="K2120" s="6" t="str">
        <f>IFERROR(__xludf.DUMMYFUNCTION("""COMPUTED_VALUE"""),"madeline.medina@novatio.school")</f>
        <v>madeline.medina@novatio.school</v>
      </c>
      <c r="L2120" s="6" t="str">
        <f>IFERROR(__xludf.DUMMYFUNCTION("""COMPUTED_VALUE"""),"Novatio")</f>
        <v>Novatio</v>
      </c>
      <c r="M2120" s="6" t="str">
        <f>IFERROR(__xludf.DUMMYFUNCTION("""COMPUTED_VALUE"""),"")</f>
        <v/>
      </c>
      <c r="N2120" s="6" t="str">
        <f>IFERROR(__xludf.DUMMYFUNCTION("""COMPUTED_VALUE"""),"")</f>
        <v/>
      </c>
      <c r="O2120" s="87" t="str">
        <f>IFERROR(__xludf.DUMMYFUNCTION("""COMPUTED_VALUE"""),"https://drive.google.com/drive/folders/10T2cTQHqEJZqE-st6uFKPoI?usp=share_link")</f>
        <v>https://drive.google.com/drive/folders/10T2cTQHqEJZqE-st6uFKPoI?usp=share_link</v>
      </c>
      <c r="P2120" s="6" t="str">
        <f>IFERROR(__xludf.DUMMYFUNCTION("""COMPUTED_VALUE"""),"Madeline Medina")</f>
        <v>Madeline Medina</v>
      </c>
      <c r="Q2120" s="6" t="str">
        <f>IFERROR(__xludf.DUMMYFUNCTION("""COMPUTED_VALUE"""),"L2")</f>
        <v>L2</v>
      </c>
      <c r="R2120" s="6">
        <f>IFERROR(__xludf.DUMMYFUNCTION("""COMPUTED_VALUE"""),2.0)</f>
        <v>2</v>
      </c>
      <c r="S2120" s="6" t="str">
        <f>IFERROR(__xludf.DUMMYFUNCTION("""COMPUTED_VALUE""")," ")</f>
        <v> </v>
      </c>
      <c r="T2120" s="6" t="str">
        <f>IFERROR(__xludf.DUMMYFUNCTION("""COMPUTED_VALUE"""),"")</f>
        <v/>
      </c>
      <c r="U2120" s="6" t="str">
        <f>IFERROR(__xludf.DUMMYFUNCTION("""COMPUTED_VALUE"""),"4")</f>
        <v>4</v>
      </c>
      <c r="V2120" s="6" t="str">
        <f>IFERROR(__xludf.DUMMYFUNCTION("""COMPUTED_VALUE"""),"")</f>
        <v/>
      </c>
      <c r="W2120" s="6" t="str">
        <f>IFERROR(__xludf.DUMMYFUNCTION("""COMPUTED_VALUE"""),"[]")</f>
        <v>[]</v>
      </c>
      <c r="X2120" s="6" t="str">
        <f>IFERROR(__xludf.DUMMYFUNCTION("""COMPUTED_VALUE"""),"Enrolled")</f>
        <v>Enrolled</v>
      </c>
    </row>
    <row r="2121">
      <c r="A2121" s="6" t="str">
        <f>IFERROR(__xludf.DUMMYFUNCTION("""COMPUTED_VALUE"""),"030-7576")</f>
        <v>030-7576</v>
      </c>
      <c r="B2121" s="6" t="str">
        <f>IFERROR(__xludf.DUMMYFUNCTION("""COMPUTED_VALUE"""),"30")</f>
        <v>30</v>
      </c>
      <c r="C2121" s="6" t="str">
        <f>IFERROR(__xludf.DUMMYFUNCTION("""COMPUTED_VALUE"""),"7576")</f>
        <v>7576</v>
      </c>
      <c r="D2121" s="6" t="str">
        <f>IFERROR(__xludf.DUMMYFUNCTION("""COMPUTED_VALUE"""),"Dayson")</f>
        <v>Dayson</v>
      </c>
      <c r="E2121" s="6" t="str">
        <f>IFERROR(__xludf.DUMMYFUNCTION("""COMPUTED_VALUE"""),"")</f>
        <v/>
      </c>
      <c r="F2121" s="6" t="str">
        <f>IFERROR(__xludf.DUMMYFUNCTION("""COMPUTED_VALUE"""),"Rodarte")</f>
        <v>Rodarte</v>
      </c>
      <c r="G2121" s="6" t="str">
        <f>IFERROR(__xludf.DUMMYFUNCTION("""COMPUTED_VALUE"""),"03/14/2017")</f>
        <v>03/14/2017</v>
      </c>
      <c r="H2121" s="6" t="str">
        <f>IFERROR(__xludf.DUMMYFUNCTION("""COMPUTED_VALUE"""),"Self Identify")</f>
        <v>Self Identify</v>
      </c>
      <c r="I2121" s="6" t="str">
        <f>IFERROR(__xludf.DUMMYFUNCTION("""COMPUTED_VALUE"""),"Level 1")</f>
        <v>Level 1</v>
      </c>
      <c r="J2121" s="6" t="str">
        <f>IFERROR(__xludf.DUMMYFUNCTION("""COMPUTED_VALUE"""),"3")</f>
        <v>3</v>
      </c>
      <c r="K2121" s="6" t="str">
        <f>IFERROR(__xludf.DUMMYFUNCTION("""COMPUTED_VALUE"""),"dayson.rodarte@novatio.school")</f>
        <v>dayson.rodarte@novatio.school</v>
      </c>
      <c r="L2121" s="6" t="str">
        <f>IFERROR(__xludf.DUMMYFUNCTION("""COMPUTED_VALUE"""),"Novatio")</f>
        <v>Novatio</v>
      </c>
      <c r="M2121" s="6" t="str">
        <f>IFERROR(__xludf.DUMMYFUNCTION("""COMPUTED_VALUE"""),"")</f>
        <v/>
      </c>
      <c r="N2121" s="6" t="str">
        <f>IFERROR(__xludf.DUMMYFUNCTION("""COMPUTED_VALUE"""),"")</f>
        <v/>
      </c>
      <c r="O2121" s="87" t="str">
        <f>IFERROR(__xludf.DUMMYFUNCTION("""COMPUTED_VALUE"""),"https://drive.google.com/drive/folders/10T2cTQHqEJZqE-st6uFKPoI?usp=share_link")</f>
        <v>https://drive.google.com/drive/folders/10T2cTQHqEJZqE-st6uFKPoI?usp=share_link</v>
      </c>
      <c r="P2121" s="6" t="str">
        <f>IFERROR(__xludf.DUMMYFUNCTION("""COMPUTED_VALUE"""),"Dayson Rodarte")</f>
        <v>Dayson Rodarte</v>
      </c>
      <c r="Q2121" s="6" t="str">
        <f>IFERROR(__xludf.DUMMYFUNCTION("""COMPUTED_VALUE"""),"L1")</f>
        <v>L1</v>
      </c>
      <c r="R2121" s="6">
        <f>IFERROR(__xludf.DUMMYFUNCTION("""COMPUTED_VALUE"""),1.0)</f>
        <v>1</v>
      </c>
      <c r="S2121" s="6" t="str">
        <f>IFERROR(__xludf.DUMMYFUNCTION("""COMPUTED_VALUE""")," ")</f>
        <v> </v>
      </c>
      <c r="T2121" s="6" t="str">
        <f>IFERROR(__xludf.DUMMYFUNCTION("""COMPUTED_VALUE"""),"")</f>
        <v/>
      </c>
      <c r="U2121" s="6" t="str">
        <f>IFERROR(__xludf.DUMMYFUNCTION("""COMPUTED_VALUE"""),"3")</f>
        <v>3</v>
      </c>
      <c r="V2121" s="6" t="str">
        <f>IFERROR(__xludf.DUMMYFUNCTION("""COMPUTED_VALUE"""),"")</f>
        <v/>
      </c>
      <c r="W2121" s="6" t="str">
        <f>IFERROR(__xludf.DUMMYFUNCTION("""COMPUTED_VALUE"""),"[]")</f>
        <v>[]</v>
      </c>
      <c r="X2121" s="6" t="str">
        <f>IFERROR(__xludf.DUMMYFUNCTION("""COMPUTED_VALUE"""),"Enrolled")</f>
        <v>Enrolled</v>
      </c>
    </row>
    <row r="2122">
      <c r="A2122" s="6" t="str">
        <f>IFERROR(__xludf.DUMMYFUNCTION("""COMPUTED_VALUE"""),"030-7623")</f>
        <v>030-7623</v>
      </c>
      <c r="B2122" s="6" t="str">
        <f>IFERROR(__xludf.DUMMYFUNCTION("""COMPUTED_VALUE"""),"30")</f>
        <v>30</v>
      </c>
      <c r="C2122" s="6" t="str">
        <f>IFERROR(__xludf.DUMMYFUNCTION("""COMPUTED_VALUE"""),"7623")</f>
        <v>7623</v>
      </c>
      <c r="D2122" s="6" t="str">
        <f>IFERROR(__xludf.DUMMYFUNCTION("""COMPUTED_VALUE"""),"Eden")</f>
        <v>Eden</v>
      </c>
      <c r="E2122" s="6" t="str">
        <f>IFERROR(__xludf.DUMMYFUNCTION("""COMPUTED_VALUE"""),"")</f>
        <v/>
      </c>
      <c r="F2122" s="6" t="str">
        <f>IFERROR(__xludf.DUMMYFUNCTION("""COMPUTED_VALUE"""),"Dent")</f>
        <v>Dent</v>
      </c>
      <c r="G2122" s="6" t="str">
        <f>IFERROR(__xludf.DUMMYFUNCTION("""COMPUTED_VALUE"""),"07/20/2015")</f>
        <v>07/20/2015</v>
      </c>
      <c r="H2122" s="6" t="str">
        <f>IFERROR(__xludf.DUMMYFUNCTION("""COMPUTED_VALUE"""),"Self Identify")</f>
        <v>Self Identify</v>
      </c>
      <c r="I2122" s="6" t="str">
        <f>IFERROR(__xludf.DUMMYFUNCTION("""COMPUTED_VALUE"""),"Level 2")</f>
        <v>Level 2</v>
      </c>
      <c r="J2122" s="6" t="str">
        <f>IFERROR(__xludf.DUMMYFUNCTION("""COMPUTED_VALUE"""),"5")</f>
        <v>5</v>
      </c>
      <c r="K2122" s="6" t="str">
        <f>IFERROR(__xludf.DUMMYFUNCTION("""COMPUTED_VALUE"""),"eden.dent@novatio.school")</f>
        <v>eden.dent@novatio.school</v>
      </c>
      <c r="L2122" s="6" t="str">
        <f>IFERROR(__xludf.DUMMYFUNCTION("""COMPUTED_VALUE"""),"Novatio")</f>
        <v>Novatio</v>
      </c>
      <c r="M2122" s="6" t="str">
        <f>IFERROR(__xludf.DUMMYFUNCTION("""COMPUTED_VALUE"""),"")</f>
        <v/>
      </c>
      <c r="N2122" s="6" t="str">
        <f>IFERROR(__xludf.DUMMYFUNCTION("""COMPUTED_VALUE"""),"")</f>
        <v/>
      </c>
      <c r="O2122" s="87" t="str">
        <f>IFERROR(__xludf.DUMMYFUNCTION("""COMPUTED_VALUE"""),"https://drive.google.com/drive/folders/10T2cTQHqEJZqE-st6uFKPoI?usp=share_link")</f>
        <v>https://drive.google.com/drive/folders/10T2cTQHqEJZqE-st6uFKPoI?usp=share_link</v>
      </c>
      <c r="P2122" s="6" t="str">
        <f>IFERROR(__xludf.DUMMYFUNCTION("""COMPUTED_VALUE"""),"Eden Dent")</f>
        <v>Eden Dent</v>
      </c>
      <c r="Q2122" s="6" t="str">
        <f>IFERROR(__xludf.DUMMYFUNCTION("""COMPUTED_VALUE"""),"L2")</f>
        <v>L2</v>
      </c>
      <c r="R2122" s="6">
        <f>IFERROR(__xludf.DUMMYFUNCTION("""COMPUTED_VALUE"""),2.0)</f>
        <v>2</v>
      </c>
      <c r="S2122" s="6" t="str">
        <f>IFERROR(__xludf.DUMMYFUNCTION("""COMPUTED_VALUE""")," ")</f>
        <v> </v>
      </c>
      <c r="T2122" s="6" t="str">
        <f>IFERROR(__xludf.DUMMYFUNCTION("""COMPUTED_VALUE"""),"")</f>
        <v/>
      </c>
      <c r="U2122" s="6" t="str">
        <f>IFERROR(__xludf.DUMMYFUNCTION("""COMPUTED_VALUE"""),"5")</f>
        <v>5</v>
      </c>
      <c r="V2122" s="6" t="str">
        <f>IFERROR(__xludf.DUMMYFUNCTION("""COMPUTED_VALUE"""),"")</f>
        <v/>
      </c>
      <c r="W2122" s="6" t="str">
        <f>IFERROR(__xludf.DUMMYFUNCTION("""COMPUTED_VALUE"""),"[]")</f>
        <v>[]</v>
      </c>
      <c r="X2122" s="6" t="str">
        <f>IFERROR(__xludf.DUMMYFUNCTION("""COMPUTED_VALUE"""),"Enrolled")</f>
        <v>Enrolled</v>
      </c>
    </row>
    <row r="2123">
      <c r="A2123" s="6" t="str">
        <f>IFERROR(__xludf.DUMMYFUNCTION("""COMPUTED_VALUE"""),"030-7678")</f>
        <v>030-7678</v>
      </c>
      <c r="B2123" s="6" t="str">
        <f>IFERROR(__xludf.DUMMYFUNCTION("""COMPUTED_VALUE"""),"30")</f>
        <v>30</v>
      </c>
      <c r="C2123" s="6" t="str">
        <f>IFERROR(__xludf.DUMMYFUNCTION("""COMPUTED_VALUE"""),"7678")</f>
        <v>7678</v>
      </c>
      <c r="D2123" s="6" t="str">
        <f>IFERROR(__xludf.DUMMYFUNCTION("""COMPUTED_VALUE"""),"Zander")</f>
        <v>Zander</v>
      </c>
      <c r="E2123" s="6" t="str">
        <f>IFERROR(__xludf.DUMMYFUNCTION("""COMPUTED_VALUE"""),"")</f>
        <v/>
      </c>
      <c r="F2123" s="6" t="str">
        <f>IFERROR(__xludf.DUMMYFUNCTION("""COMPUTED_VALUE"""),"Macdonald")</f>
        <v>Macdonald</v>
      </c>
      <c r="G2123" s="6" t="str">
        <f>IFERROR(__xludf.DUMMYFUNCTION("""COMPUTED_VALUE"""),"03/30/2016")</f>
        <v>03/30/2016</v>
      </c>
      <c r="H2123" s="6" t="str">
        <f>IFERROR(__xludf.DUMMYFUNCTION("""COMPUTED_VALUE"""),"Self Identify")</f>
        <v>Self Identify</v>
      </c>
      <c r="I2123" s="6" t="str">
        <f>IFERROR(__xludf.DUMMYFUNCTION("""COMPUTED_VALUE"""),"Level 2")</f>
        <v>Level 2</v>
      </c>
      <c r="J2123" s="6" t="str">
        <f>IFERROR(__xludf.DUMMYFUNCTION("""COMPUTED_VALUE"""),"4")</f>
        <v>4</v>
      </c>
      <c r="K2123" s="6" t="str">
        <f>IFERROR(__xludf.DUMMYFUNCTION("""COMPUTED_VALUE"""),"zander.macdonald@novatio.school")</f>
        <v>zander.macdonald@novatio.school</v>
      </c>
      <c r="L2123" s="6" t="str">
        <f>IFERROR(__xludf.DUMMYFUNCTION("""COMPUTED_VALUE"""),"Novatio")</f>
        <v>Novatio</v>
      </c>
      <c r="M2123" s="6" t="str">
        <f>IFERROR(__xludf.DUMMYFUNCTION("""COMPUTED_VALUE"""),"")</f>
        <v/>
      </c>
      <c r="N2123" s="6" t="str">
        <f>IFERROR(__xludf.DUMMYFUNCTION("""COMPUTED_VALUE"""),"")</f>
        <v/>
      </c>
      <c r="O2123" s="87" t="str">
        <f>IFERROR(__xludf.DUMMYFUNCTION("""COMPUTED_VALUE"""),"https://drive.google.com/drive/folders/10T2cTQHqEJZqE-st6uFKPoI?usp=share_link")</f>
        <v>https://drive.google.com/drive/folders/10T2cTQHqEJZqE-st6uFKPoI?usp=share_link</v>
      </c>
      <c r="P2123" s="6" t="str">
        <f>IFERROR(__xludf.DUMMYFUNCTION("""COMPUTED_VALUE"""),"Zander Macdonald")</f>
        <v>Zander Macdonald</v>
      </c>
      <c r="Q2123" s="6" t="str">
        <f>IFERROR(__xludf.DUMMYFUNCTION("""COMPUTED_VALUE"""),"L2")</f>
        <v>L2</v>
      </c>
      <c r="R2123" s="6">
        <f>IFERROR(__xludf.DUMMYFUNCTION("""COMPUTED_VALUE"""),2.0)</f>
        <v>2</v>
      </c>
      <c r="S2123" s="6" t="str">
        <f>IFERROR(__xludf.DUMMYFUNCTION("""COMPUTED_VALUE""")," ")</f>
        <v> </v>
      </c>
      <c r="T2123" s="6" t="str">
        <f>IFERROR(__xludf.DUMMYFUNCTION("""COMPUTED_VALUE"""),"")</f>
        <v/>
      </c>
      <c r="U2123" s="6" t="str">
        <f>IFERROR(__xludf.DUMMYFUNCTION("""COMPUTED_VALUE"""),"4")</f>
        <v>4</v>
      </c>
      <c r="V2123" s="6" t="str">
        <f>IFERROR(__xludf.DUMMYFUNCTION("""COMPUTED_VALUE"""),"")</f>
        <v/>
      </c>
      <c r="W2123" s="6" t="str">
        <f>IFERROR(__xludf.DUMMYFUNCTION("""COMPUTED_VALUE"""),"[]")</f>
        <v>[]</v>
      </c>
      <c r="X2123" s="6" t="str">
        <f>IFERROR(__xludf.DUMMYFUNCTION("""COMPUTED_VALUE"""),"Enrolled")</f>
        <v>Enrolled</v>
      </c>
    </row>
    <row r="2124">
      <c r="A2124" s="6" t="str">
        <f>IFERROR(__xludf.DUMMYFUNCTION("""COMPUTED_VALUE"""),"030-8037")</f>
        <v>030-8037</v>
      </c>
      <c r="B2124" s="6" t="str">
        <f>IFERROR(__xludf.DUMMYFUNCTION("""COMPUTED_VALUE"""),"30")</f>
        <v>30</v>
      </c>
      <c r="C2124" s="6" t="str">
        <f>IFERROR(__xludf.DUMMYFUNCTION("""COMPUTED_VALUE"""),"8037")</f>
        <v>8037</v>
      </c>
      <c r="D2124" s="6" t="str">
        <f>IFERROR(__xludf.DUMMYFUNCTION("""COMPUTED_VALUE"""),"Kenneth")</f>
        <v>Kenneth</v>
      </c>
      <c r="E2124" s="6" t="str">
        <f>IFERROR(__xludf.DUMMYFUNCTION("""COMPUTED_VALUE"""),"")</f>
        <v/>
      </c>
      <c r="F2124" s="6" t="str">
        <f>IFERROR(__xludf.DUMMYFUNCTION("""COMPUTED_VALUE"""),"Eady")</f>
        <v>Eady</v>
      </c>
      <c r="G2124" s="6" t="str">
        <f>IFERROR(__xludf.DUMMYFUNCTION("""COMPUTED_VALUE"""),"09/15/2017")</f>
        <v>09/15/2017</v>
      </c>
      <c r="H2124" s="6" t="str">
        <f>IFERROR(__xludf.DUMMYFUNCTION("""COMPUTED_VALUE"""),"Self Identify")</f>
        <v>Self Identify</v>
      </c>
      <c r="I2124" s="6" t="str">
        <f>IFERROR(__xludf.DUMMYFUNCTION("""COMPUTED_VALUE"""),"Level 1")</f>
        <v>Level 1</v>
      </c>
      <c r="J2124" s="6" t="str">
        <f>IFERROR(__xludf.DUMMYFUNCTION("""COMPUTED_VALUE"""),"3")</f>
        <v>3</v>
      </c>
      <c r="K2124" s="6" t="str">
        <f>IFERROR(__xludf.DUMMYFUNCTION("""COMPUTED_VALUE"""),"kenneth.eady@novatio.school")</f>
        <v>kenneth.eady@novatio.school</v>
      </c>
      <c r="L2124" s="6" t="str">
        <f>IFERROR(__xludf.DUMMYFUNCTION("""COMPUTED_VALUE"""),"Novatio")</f>
        <v>Novatio</v>
      </c>
      <c r="M2124" s="6" t="str">
        <f>IFERROR(__xludf.DUMMYFUNCTION("""COMPUTED_VALUE"""),"")</f>
        <v/>
      </c>
      <c r="N2124" s="6" t="str">
        <f>IFERROR(__xludf.DUMMYFUNCTION("""COMPUTED_VALUE"""),"")</f>
        <v/>
      </c>
      <c r="O2124" s="87" t="str">
        <f>IFERROR(__xludf.DUMMYFUNCTION("""COMPUTED_VALUE"""),"https://drive.google.com/drive/folders/10T2cTQHqEJZqE-st6uFKPoI?usp=share_link")</f>
        <v>https://drive.google.com/drive/folders/10T2cTQHqEJZqE-st6uFKPoI?usp=share_link</v>
      </c>
      <c r="P2124" s="6" t="str">
        <f>IFERROR(__xludf.DUMMYFUNCTION("""COMPUTED_VALUE"""),"Kenneth Eady")</f>
        <v>Kenneth Eady</v>
      </c>
      <c r="Q2124" s="6" t="str">
        <f>IFERROR(__xludf.DUMMYFUNCTION("""COMPUTED_VALUE"""),"L1")</f>
        <v>L1</v>
      </c>
      <c r="R2124" s="6">
        <f>IFERROR(__xludf.DUMMYFUNCTION("""COMPUTED_VALUE"""),1.0)</f>
        <v>1</v>
      </c>
      <c r="S2124" s="6" t="str">
        <f>IFERROR(__xludf.DUMMYFUNCTION("""COMPUTED_VALUE""")," ")</f>
        <v> </v>
      </c>
      <c r="T2124" s="6" t="str">
        <f>IFERROR(__xludf.DUMMYFUNCTION("""COMPUTED_VALUE"""),"")</f>
        <v/>
      </c>
      <c r="U2124" s="6" t="str">
        <f>IFERROR(__xludf.DUMMYFUNCTION("""COMPUTED_VALUE"""),"3")</f>
        <v>3</v>
      </c>
      <c r="V2124" s="6" t="str">
        <f>IFERROR(__xludf.DUMMYFUNCTION("""COMPUTED_VALUE"""),"")</f>
        <v/>
      </c>
      <c r="W2124" s="6" t="str">
        <f>IFERROR(__xludf.DUMMYFUNCTION("""COMPUTED_VALUE"""),"[]")</f>
        <v>[]</v>
      </c>
      <c r="X2124" s="6" t="str">
        <f>IFERROR(__xludf.DUMMYFUNCTION("""COMPUTED_VALUE"""),"Enrolled")</f>
        <v>Enrolled</v>
      </c>
    </row>
    <row r="2125">
      <c r="A2125" s="6" t="str">
        <f>IFERROR(__xludf.DUMMYFUNCTION("""COMPUTED_VALUE"""),"030-8096")</f>
        <v>030-8096</v>
      </c>
      <c r="B2125" s="6" t="str">
        <f>IFERROR(__xludf.DUMMYFUNCTION("""COMPUTED_VALUE"""),"30")</f>
        <v>30</v>
      </c>
      <c r="C2125" s="6" t="str">
        <f>IFERROR(__xludf.DUMMYFUNCTION("""COMPUTED_VALUE"""),"8096")</f>
        <v>8096</v>
      </c>
      <c r="D2125" s="6" t="str">
        <f>IFERROR(__xludf.DUMMYFUNCTION("""COMPUTED_VALUE"""),"Anela")</f>
        <v>Anela</v>
      </c>
      <c r="E2125" s="6" t="str">
        <f>IFERROR(__xludf.DUMMYFUNCTION("""COMPUTED_VALUE"""),"")</f>
        <v/>
      </c>
      <c r="F2125" s="6" t="str">
        <f>IFERROR(__xludf.DUMMYFUNCTION("""COMPUTED_VALUE"""),"Manako")</f>
        <v>Manako</v>
      </c>
      <c r="G2125" s="6" t="str">
        <f>IFERROR(__xludf.DUMMYFUNCTION("""COMPUTED_VALUE"""),"01/17/2013")</f>
        <v>01/17/2013</v>
      </c>
      <c r="H2125" s="6" t="str">
        <f>IFERROR(__xludf.DUMMYFUNCTION("""COMPUTED_VALUE"""),"Self Identify")</f>
        <v>Self Identify</v>
      </c>
      <c r="I2125" s="6" t="str">
        <f>IFERROR(__xludf.DUMMYFUNCTION("""COMPUTED_VALUE"""),"Middle School")</f>
        <v>Middle School</v>
      </c>
      <c r="J2125" s="6" t="str">
        <f>IFERROR(__xludf.DUMMYFUNCTION("""COMPUTED_VALUE"""),"7")</f>
        <v>7</v>
      </c>
      <c r="K2125" s="6" t="str">
        <f>IFERROR(__xludf.DUMMYFUNCTION("""COMPUTED_VALUE"""),"anela.manako@novatio.school")</f>
        <v>anela.manako@novatio.school</v>
      </c>
      <c r="L2125" s="6" t="str">
        <f>IFERROR(__xludf.DUMMYFUNCTION("""COMPUTED_VALUE"""),"Novatio")</f>
        <v>Novatio</v>
      </c>
      <c r="M2125" s="6" t="str">
        <f>IFERROR(__xludf.DUMMYFUNCTION("""COMPUTED_VALUE"""),"")</f>
        <v/>
      </c>
      <c r="N2125" s="6" t="str">
        <f>IFERROR(__xludf.DUMMYFUNCTION("""COMPUTED_VALUE"""),"")</f>
        <v/>
      </c>
      <c r="O2125" s="87" t="str">
        <f>IFERROR(__xludf.DUMMYFUNCTION("""COMPUTED_VALUE"""),"https://drive.google.com/drive/folders/10T2cTQHqEJZqE-st6uFKPoI?usp=share_link")</f>
        <v>https://drive.google.com/drive/folders/10T2cTQHqEJZqE-st6uFKPoI?usp=share_link</v>
      </c>
      <c r="P2125" s="6" t="str">
        <f>IFERROR(__xludf.DUMMYFUNCTION("""COMPUTED_VALUE"""),"Anela Manako")</f>
        <v>Anela Manako</v>
      </c>
      <c r="Q2125" s="6" t="str">
        <f>IFERROR(__xludf.DUMMYFUNCTION("""COMPUTED_VALUE"""),"MS")</f>
        <v>MS</v>
      </c>
      <c r="R2125" s="6">
        <f>IFERROR(__xludf.DUMMYFUNCTION("""COMPUTED_VALUE"""),0.0)</f>
        <v>0</v>
      </c>
      <c r="S2125" s="6" t="str">
        <f>IFERROR(__xludf.DUMMYFUNCTION("""COMPUTED_VALUE""")," ")</f>
        <v> </v>
      </c>
      <c r="T2125" s="6" t="str">
        <f>IFERROR(__xludf.DUMMYFUNCTION("""COMPUTED_VALUE"""),"")</f>
        <v/>
      </c>
      <c r="U2125" s="6" t="str">
        <f>IFERROR(__xludf.DUMMYFUNCTION("""COMPUTED_VALUE"""),"7")</f>
        <v>7</v>
      </c>
      <c r="V2125" s="6" t="str">
        <f>IFERROR(__xludf.DUMMYFUNCTION("""COMPUTED_VALUE"""),"")</f>
        <v/>
      </c>
      <c r="W2125" s="6" t="str">
        <f>IFERROR(__xludf.DUMMYFUNCTION("""COMPUTED_VALUE"""),"[]")</f>
        <v>[]</v>
      </c>
      <c r="X2125" s="6" t="str">
        <f>IFERROR(__xludf.DUMMYFUNCTION("""COMPUTED_VALUE"""),"Enrolled")</f>
        <v>Enrolled</v>
      </c>
    </row>
    <row r="2126">
      <c r="A2126" s="6" t="str">
        <f>IFERROR(__xludf.DUMMYFUNCTION("""COMPUTED_VALUE"""),"030-8097")</f>
        <v>030-8097</v>
      </c>
      <c r="B2126" s="6" t="str">
        <f>IFERROR(__xludf.DUMMYFUNCTION("""COMPUTED_VALUE"""),"30")</f>
        <v>30</v>
      </c>
      <c r="C2126" s="6" t="str">
        <f>IFERROR(__xludf.DUMMYFUNCTION("""COMPUTED_VALUE"""),"8097")</f>
        <v>8097</v>
      </c>
      <c r="D2126" s="6" t="str">
        <f>IFERROR(__xludf.DUMMYFUNCTION("""COMPUTED_VALUE"""),"Tobias")</f>
        <v>Tobias</v>
      </c>
      <c r="E2126" s="6" t="str">
        <f>IFERROR(__xludf.DUMMYFUNCTION("""COMPUTED_VALUE"""),"")</f>
        <v/>
      </c>
      <c r="F2126" s="6" t="str">
        <f>IFERROR(__xludf.DUMMYFUNCTION("""COMPUTED_VALUE"""),"Strothers")</f>
        <v>Strothers</v>
      </c>
      <c r="G2126" s="6" t="str">
        <f>IFERROR(__xludf.DUMMYFUNCTION("""COMPUTED_VALUE"""),"12/04/2011")</f>
        <v>12/04/2011</v>
      </c>
      <c r="H2126" s="6" t="str">
        <f>IFERROR(__xludf.DUMMYFUNCTION("""COMPUTED_VALUE"""),"Self Identify")</f>
        <v>Self Identify</v>
      </c>
      <c r="I2126" s="6" t="str">
        <f>IFERROR(__xludf.DUMMYFUNCTION("""COMPUTED_VALUE"""),"Middle School")</f>
        <v>Middle School</v>
      </c>
      <c r="J2126" s="6" t="str">
        <f>IFERROR(__xludf.DUMMYFUNCTION("""COMPUTED_VALUE"""),"7")</f>
        <v>7</v>
      </c>
      <c r="K2126" s="6" t="str">
        <f>IFERROR(__xludf.DUMMYFUNCTION("""COMPUTED_VALUE"""),"tobias.strothers@novatio.school")</f>
        <v>tobias.strothers@novatio.school</v>
      </c>
      <c r="L2126" s="6" t="str">
        <f>IFERROR(__xludf.DUMMYFUNCTION("""COMPUTED_VALUE"""),"Novatio")</f>
        <v>Novatio</v>
      </c>
      <c r="M2126" s="6" t="str">
        <f>IFERROR(__xludf.DUMMYFUNCTION("""COMPUTED_VALUE"""),"")</f>
        <v/>
      </c>
      <c r="N2126" s="6" t="str">
        <f>IFERROR(__xludf.DUMMYFUNCTION("""COMPUTED_VALUE"""),"")</f>
        <v/>
      </c>
      <c r="O2126" s="87" t="str">
        <f>IFERROR(__xludf.DUMMYFUNCTION("""COMPUTED_VALUE"""),"https://drive.google.com/drive/folders/10T2cTQHqEJZqE-st6uFKPoI?usp=share_link")</f>
        <v>https://drive.google.com/drive/folders/10T2cTQHqEJZqE-st6uFKPoI?usp=share_link</v>
      </c>
      <c r="P2126" s="6" t="str">
        <f>IFERROR(__xludf.DUMMYFUNCTION("""COMPUTED_VALUE"""),"Tobias Strothers")</f>
        <v>Tobias Strothers</v>
      </c>
      <c r="Q2126" s="6" t="str">
        <f>IFERROR(__xludf.DUMMYFUNCTION("""COMPUTED_VALUE"""),"MS")</f>
        <v>MS</v>
      </c>
      <c r="R2126" s="6">
        <f>IFERROR(__xludf.DUMMYFUNCTION("""COMPUTED_VALUE"""),0.0)</f>
        <v>0</v>
      </c>
      <c r="S2126" s="6" t="str">
        <f>IFERROR(__xludf.DUMMYFUNCTION("""COMPUTED_VALUE""")," ")</f>
        <v> </v>
      </c>
      <c r="T2126" s="6" t="str">
        <f>IFERROR(__xludf.DUMMYFUNCTION("""COMPUTED_VALUE"""),"")</f>
        <v/>
      </c>
      <c r="U2126" s="6" t="str">
        <f>IFERROR(__xludf.DUMMYFUNCTION("""COMPUTED_VALUE"""),"7")</f>
        <v>7</v>
      </c>
      <c r="V2126" s="6" t="str">
        <f>IFERROR(__xludf.DUMMYFUNCTION("""COMPUTED_VALUE"""),"")</f>
        <v/>
      </c>
      <c r="W2126" s="6" t="str">
        <f>IFERROR(__xludf.DUMMYFUNCTION("""COMPUTED_VALUE"""),"[]")</f>
        <v>[]</v>
      </c>
      <c r="X2126" s="6" t="str">
        <f>IFERROR(__xludf.DUMMYFUNCTION("""COMPUTED_VALUE"""),"Enrolled")</f>
        <v>Enrolled</v>
      </c>
    </row>
    <row r="2127">
      <c r="A2127" s="6" t="str">
        <f>IFERROR(__xludf.DUMMYFUNCTION("""COMPUTED_VALUE"""),"030-8124")</f>
        <v>030-8124</v>
      </c>
      <c r="B2127" s="6" t="str">
        <f>IFERROR(__xludf.DUMMYFUNCTION("""COMPUTED_VALUE"""),"30")</f>
        <v>30</v>
      </c>
      <c r="C2127" s="6" t="str">
        <f>IFERROR(__xludf.DUMMYFUNCTION("""COMPUTED_VALUE"""),"8124")</f>
        <v>8124</v>
      </c>
      <c r="D2127" s="6" t="str">
        <f>IFERROR(__xludf.DUMMYFUNCTION("""COMPUTED_VALUE"""),"Bryce")</f>
        <v>Bryce</v>
      </c>
      <c r="E2127" s="6" t="str">
        <f>IFERROR(__xludf.DUMMYFUNCTION("""COMPUTED_VALUE"""),"")</f>
        <v/>
      </c>
      <c r="F2127" s="6" t="str">
        <f>IFERROR(__xludf.DUMMYFUNCTION("""COMPUTED_VALUE"""),"Steele")</f>
        <v>Steele</v>
      </c>
      <c r="G2127" s="6" t="str">
        <f>IFERROR(__xludf.DUMMYFUNCTION("""COMPUTED_VALUE"""),"06/08/2012")</f>
        <v>06/08/2012</v>
      </c>
      <c r="H2127" s="6" t="str">
        <f>IFERROR(__xludf.DUMMYFUNCTION("""COMPUTED_VALUE"""),"Self Identify")</f>
        <v>Self Identify</v>
      </c>
      <c r="I2127" s="6" t="str">
        <f>IFERROR(__xludf.DUMMYFUNCTION("""COMPUTED_VALUE"""),"Middle School")</f>
        <v>Middle School</v>
      </c>
      <c r="J2127" s="6" t="str">
        <f>IFERROR(__xludf.DUMMYFUNCTION("""COMPUTED_VALUE"""),"7")</f>
        <v>7</v>
      </c>
      <c r="K2127" s="6" t="str">
        <f>IFERROR(__xludf.DUMMYFUNCTION("""COMPUTED_VALUE"""),"bryce.steele@novatio.school")</f>
        <v>bryce.steele@novatio.school</v>
      </c>
      <c r="L2127" s="6" t="str">
        <f>IFERROR(__xludf.DUMMYFUNCTION("""COMPUTED_VALUE"""),"Novatio")</f>
        <v>Novatio</v>
      </c>
      <c r="M2127" s="6" t="str">
        <f>IFERROR(__xludf.DUMMYFUNCTION("""COMPUTED_VALUE"""),"")</f>
        <v/>
      </c>
      <c r="N2127" s="6" t="str">
        <f>IFERROR(__xludf.DUMMYFUNCTION("""COMPUTED_VALUE"""),"")</f>
        <v/>
      </c>
      <c r="O2127" s="87" t="str">
        <f>IFERROR(__xludf.DUMMYFUNCTION("""COMPUTED_VALUE"""),"https://drive.google.com/drive/folders/10T2cTQHqEJZqE-st6uFKPoI?usp=share_link")</f>
        <v>https://drive.google.com/drive/folders/10T2cTQHqEJZqE-st6uFKPoI?usp=share_link</v>
      </c>
      <c r="P2127" s="6" t="str">
        <f>IFERROR(__xludf.DUMMYFUNCTION("""COMPUTED_VALUE"""),"Bryce Steele")</f>
        <v>Bryce Steele</v>
      </c>
      <c r="Q2127" s="6" t="str">
        <f>IFERROR(__xludf.DUMMYFUNCTION("""COMPUTED_VALUE"""),"MS")</f>
        <v>MS</v>
      </c>
      <c r="R2127" s="6">
        <f>IFERROR(__xludf.DUMMYFUNCTION("""COMPUTED_VALUE"""),0.0)</f>
        <v>0</v>
      </c>
      <c r="S2127" s="6" t="str">
        <f>IFERROR(__xludf.DUMMYFUNCTION("""COMPUTED_VALUE""")," ")</f>
        <v> </v>
      </c>
      <c r="T2127" s="6" t="str">
        <f>IFERROR(__xludf.DUMMYFUNCTION("""COMPUTED_VALUE"""),"")</f>
        <v/>
      </c>
      <c r="U2127" s="6" t="str">
        <f>IFERROR(__xludf.DUMMYFUNCTION("""COMPUTED_VALUE"""),"7")</f>
        <v>7</v>
      </c>
      <c r="V2127" s="6" t="str">
        <f>IFERROR(__xludf.DUMMYFUNCTION("""COMPUTED_VALUE"""),"")</f>
        <v/>
      </c>
      <c r="W2127" s="6" t="str">
        <f>IFERROR(__xludf.DUMMYFUNCTION("""COMPUTED_VALUE"""),"[]")</f>
        <v>[]</v>
      </c>
      <c r="X2127" s="6" t="str">
        <f>IFERROR(__xludf.DUMMYFUNCTION("""COMPUTED_VALUE"""),"Enrolled")</f>
        <v>Enrolled</v>
      </c>
    </row>
    <row r="2128">
      <c r="A2128" s="6" t="str">
        <f>IFERROR(__xludf.DUMMYFUNCTION("""COMPUTED_VALUE"""),"030-8211")</f>
        <v>030-8211</v>
      </c>
      <c r="B2128" s="6" t="str">
        <f>IFERROR(__xludf.DUMMYFUNCTION("""COMPUTED_VALUE"""),"30")</f>
        <v>30</v>
      </c>
      <c r="C2128" s="6" t="str">
        <f>IFERROR(__xludf.DUMMYFUNCTION("""COMPUTED_VALUE"""),"8211")</f>
        <v>8211</v>
      </c>
      <c r="D2128" s="6" t="str">
        <f>IFERROR(__xludf.DUMMYFUNCTION("""COMPUTED_VALUE"""),"Maximiliano")</f>
        <v>Maximiliano</v>
      </c>
      <c r="E2128" s="6" t="str">
        <f>IFERROR(__xludf.DUMMYFUNCTION("""COMPUTED_VALUE"""),"")</f>
        <v/>
      </c>
      <c r="F2128" s="6" t="str">
        <f>IFERROR(__xludf.DUMMYFUNCTION("""COMPUTED_VALUE"""),"Talamantes")</f>
        <v>Talamantes</v>
      </c>
      <c r="G2128" s="6" t="str">
        <f>IFERROR(__xludf.DUMMYFUNCTION("""COMPUTED_VALUE"""),"07/19/2013")</f>
        <v>07/19/2013</v>
      </c>
      <c r="H2128" s="6" t="str">
        <f>IFERROR(__xludf.DUMMYFUNCTION("""COMPUTED_VALUE"""),"Self Identify")</f>
        <v>Self Identify</v>
      </c>
      <c r="I2128" s="6" t="str">
        <f>IFERROR(__xludf.DUMMYFUNCTION("""COMPUTED_VALUE"""),"Middle School")</f>
        <v>Middle School</v>
      </c>
      <c r="J2128" s="6" t="str">
        <f>IFERROR(__xludf.DUMMYFUNCTION("""COMPUTED_VALUE"""),"7")</f>
        <v>7</v>
      </c>
      <c r="K2128" s="6" t="str">
        <f>IFERROR(__xludf.DUMMYFUNCTION("""COMPUTED_VALUE"""),"maximiliano.talamantes@novatio.school")</f>
        <v>maximiliano.talamantes@novatio.school</v>
      </c>
      <c r="L2128" s="6" t="str">
        <f>IFERROR(__xludf.DUMMYFUNCTION("""COMPUTED_VALUE"""),"Novatio")</f>
        <v>Novatio</v>
      </c>
      <c r="M2128" s="6" t="str">
        <f>IFERROR(__xludf.DUMMYFUNCTION("""COMPUTED_VALUE"""),"")</f>
        <v/>
      </c>
      <c r="N2128" s="6" t="str">
        <f>IFERROR(__xludf.DUMMYFUNCTION("""COMPUTED_VALUE"""),"")</f>
        <v/>
      </c>
      <c r="O2128" s="87" t="str">
        <f>IFERROR(__xludf.DUMMYFUNCTION("""COMPUTED_VALUE"""),"https://drive.google.com/drive/folders/10T2cTQHqEJZqE-st6uFKPoI?usp=share_link")</f>
        <v>https://drive.google.com/drive/folders/10T2cTQHqEJZqE-st6uFKPoI?usp=share_link</v>
      </c>
      <c r="P2128" s="6" t="str">
        <f>IFERROR(__xludf.DUMMYFUNCTION("""COMPUTED_VALUE"""),"Maximiliano Talamantes")</f>
        <v>Maximiliano Talamantes</v>
      </c>
      <c r="Q2128" s="6" t="str">
        <f>IFERROR(__xludf.DUMMYFUNCTION("""COMPUTED_VALUE"""),"MS")</f>
        <v>MS</v>
      </c>
      <c r="R2128" s="6">
        <f>IFERROR(__xludf.DUMMYFUNCTION("""COMPUTED_VALUE"""),0.0)</f>
        <v>0</v>
      </c>
      <c r="S2128" s="6" t="str">
        <f>IFERROR(__xludf.DUMMYFUNCTION("""COMPUTED_VALUE""")," ")</f>
        <v> </v>
      </c>
      <c r="T2128" s="6" t="str">
        <f>IFERROR(__xludf.DUMMYFUNCTION("""COMPUTED_VALUE"""),"")</f>
        <v/>
      </c>
      <c r="U2128" s="6" t="str">
        <f>IFERROR(__xludf.DUMMYFUNCTION("""COMPUTED_VALUE"""),"7")</f>
        <v>7</v>
      </c>
      <c r="V2128" s="6" t="str">
        <f>IFERROR(__xludf.DUMMYFUNCTION("""COMPUTED_VALUE"""),"")</f>
        <v/>
      </c>
      <c r="W2128" s="6" t="str">
        <f>IFERROR(__xludf.DUMMYFUNCTION("""COMPUTED_VALUE"""),"[]")</f>
        <v>[]</v>
      </c>
      <c r="X2128" s="6" t="str">
        <f>IFERROR(__xludf.DUMMYFUNCTION("""COMPUTED_VALUE"""),"Enrolled")</f>
        <v>Enrolled</v>
      </c>
    </row>
    <row r="2129">
      <c r="A2129" s="6" t="str">
        <f>IFERROR(__xludf.DUMMYFUNCTION("""COMPUTED_VALUE"""),"030-8345")</f>
        <v>030-8345</v>
      </c>
      <c r="B2129" s="6" t="str">
        <f>IFERROR(__xludf.DUMMYFUNCTION("""COMPUTED_VALUE"""),"30")</f>
        <v>30</v>
      </c>
      <c r="C2129" s="6" t="str">
        <f>IFERROR(__xludf.DUMMYFUNCTION("""COMPUTED_VALUE"""),"8345")</f>
        <v>8345</v>
      </c>
      <c r="D2129" s="6" t="str">
        <f>IFERROR(__xludf.DUMMYFUNCTION("""COMPUTED_VALUE"""),"Ky")</f>
        <v>Ky</v>
      </c>
      <c r="E2129" s="6" t="str">
        <f>IFERROR(__xludf.DUMMYFUNCTION("""COMPUTED_VALUE"""),"")</f>
        <v/>
      </c>
      <c r="F2129" s="6" t="str">
        <f>IFERROR(__xludf.DUMMYFUNCTION("""COMPUTED_VALUE"""),"Page")</f>
        <v>Page</v>
      </c>
      <c r="G2129" s="6" t="str">
        <f>IFERROR(__xludf.DUMMYFUNCTION("""COMPUTED_VALUE"""),"05/18/2016")</f>
        <v>05/18/2016</v>
      </c>
      <c r="H2129" s="6" t="str">
        <f>IFERROR(__xludf.DUMMYFUNCTION("""COMPUTED_VALUE"""),"Self Identify")</f>
        <v>Self Identify</v>
      </c>
      <c r="I2129" s="6" t="str">
        <f>IFERROR(__xludf.DUMMYFUNCTION("""COMPUTED_VALUE"""),"Level 2")</f>
        <v>Level 2</v>
      </c>
      <c r="J2129" s="6" t="str">
        <f>IFERROR(__xludf.DUMMYFUNCTION("""COMPUTED_VALUE"""),"4")</f>
        <v>4</v>
      </c>
      <c r="K2129" s="6" t="str">
        <f>IFERROR(__xludf.DUMMYFUNCTION("""COMPUTED_VALUE"""),"ky.page@novatio.school")</f>
        <v>ky.page@novatio.school</v>
      </c>
      <c r="L2129" s="6" t="str">
        <f>IFERROR(__xludf.DUMMYFUNCTION("""COMPUTED_VALUE"""),"Novatio")</f>
        <v>Novatio</v>
      </c>
      <c r="M2129" s="6" t="str">
        <f>IFERROR(__xludf.DUMMYFUNCTION("""COMPUTED_VALUE"""),"")</f>
        <v/>
      </c>
      <c r="N2129" s="6" t="str">
        <f>IFERROR(__xludf.DUMMYFUNCTION("""COMPUTED_VALUE"""),"")</f>
        <v/>
      </c>
      <c r="O2129" s="87" t="str">
        <f>IFERROR(__xludf.DUMMYFUNCTION("""COMPUTED_VALUE"""),"https://drive.google.com/drive/folders/10T2cTQHqEJZqE-st6uFKPoI?usp=share_link")</f>
        <v>https://drive.google.com/drive/folders/10T2cTQHqEJZqE-st6uFKPoI?usp=share_link</v>
      </c>
      <c r="P2129" s="6" t="str">
        <f>IFERROR(__xludf.DUMMYFUNCTION("""COMPUTED_VALUE"""),"Ky Page")</f>
        <v>Ky Page</v>
      </c>
      <c r="Q2129" s="6" t="str">
        <f>IFERROR(__xludf.DUMMYFUNCTION("""COMPUTED_VALUE"""),"L2")</f>
        <v>L2</v>
      </c>
      <c r="R2129" s="6">
        <f>IFERROR(__xludf.DUMMYFUNCTION("""COMPUTED_VALUE"""),2.0)</f>
        <v>2</v>
      </c>
      <c r="S2129" s="6" t="str">
        <f>IFERROR(__xludf.DUMMYFUNCTION("""COMPUTED_VALUE""")," ")</f>
        <v> </v>
      </c>
      <c r="T2129" s="6" t="str">
        <f>IFERROR(__xludf.DUMMYFUNCTION("""COMPUTED_VALUE"""),"")</f>
        <v/>
      </c>
      <c r="U2129" s="6" t="str">
        <f>IFERROR(__xludf.DUMMYFUNCTION("""COMPUTED_VALUE"""),"4")</f>
        <v>4</v>
      </c>
      <c r="V2129" s="6" t="str">
        <f>IFERROR(__xludf.DUMMYFUNCTION("""COMPUTED_VALUE"""),"")</f>
        <v/>
      </c>
      <c r="W2129" s="6" t="str">
        <f>IFERROR(__xludf.DUMMYFUNCTION("""COMPUTED_VALUE"""),"[]")</f>
        <v>[]</v>
      </c>
      <c r="X2129" s="6" t="str">
        <f>IFERROR(__xludf.DUMMYFUNCTION("""COMPUTED_VALUE"""),"Enrolled")</f>
        <v>Enrolled</v>
      </c>
    </row>
    <row r="2130">
      <c r="A2130" s="6" t="str">
        <f>IFERROR(__xludf.DUMMYFUNCTION("""COMPUTED_VALUE"""),"030-8432")</f>
        <v>030-8432</v>
      </c>
      <c r="B2130" s="6" t="str">
        <f>IFERROR(__xludf.DUMMYFUNCTION("""COMPUTED_VALUE"""),"30")</f>
        <v>30</v>
      </c>
      <c r="C2130" s="6" t="str">
        <f>IFERROR(__xludf.DUMMYFUNCTION("""COMPUTED_VALUE"""),"8432")</f>
        <v>8432</v>
      </c>
      <c r="D2130" s="6" t="str">
        <f>IFERROR(__xludf.DUMMYFUNCTION("""COMPUTED_VALUE"""),"Caspian")</f>
        <v>Caspian</v>
      </c>
      <c r="E2130" s="6" t="str">
        <f>IFERROR(__xludf.DUMMYFUNCTION("""COMPUTED_VALUE"""),"")</f>
        <v/>
      </c>
      <c r="F2130" s="6" t="str">
        <f>IFERROR(__xludf.DUMMYFUNCTION("""COMPUTED_VALUE"""),"Antonucci")</f>
        <v>Antonucci</v>
      </c>
      <c r="G2130" s="6" t="str">
        <f>IFERROR(__xludf.DUMMYFUNCTION("""COMPUTED_VALUE"""),"08/20/2018")</f>
        <v>08/20/2018</v>
      </c>
      <c r="H2130" s="6" t="str">
        <f>IFERROR(__xludf.DUMMYFUNCTION("""COMPUTED_VALUE"""),"Self Identify")</f>
        <v>Self Identify</v>
      </c>
      <c r="I2130" s="6" t="str">
        <f>IFERROR(__xludf.DUMMYFUNCTION("""COMPUTED_VALUE"""),"Level 1")</f>
        <v>Level 1</v>
      </c>
      <c r="J2130" s="6" t="str">
        <f>IFERROR(__xludf.DUMMYFUNCTION("""COMPUTED_VALUE"""),"2")</f>
        <v>2</v>
      </c>
      <c r="K2130" s="6" t="str">
        <f>IFERROR(__xludf.DUMMYFUNCTION("""COMPUTED_VALUE"""),"caspian.antonucci@novatio.school")</f>
        <v>caspian.antonucci@novatio.school</v>
      </c>
      <c r="L2130" s="6" t="str">
        <f>IFERROR(__xludf.DUMMYFUNCTION("""COMPUTED_VALUE"""),"Novatio")</f>
        <v>Novatio</v>
      </c>
      <c r="M2130" s="6" t="str">
        <f>IFERROR(__xludf.DUMMYFUNCTION("""COMPUTED_VALUE"""),"")</f>
        <v/>
      </c>
      <c r="N2130" s="6" t="str">
        <f>IFERROR(__xludf.DUMMYFUNCTION("""COMPUTED_VALUE"""),"")</f>
        <v/>
      </c>
      <c r="O2130" s="87" t="str">
        <f>IFERROR(__xludf.DUMMYFUNCTION("""COMPUTED_VALUE"""),"https://drive.google.com/drive/folders/10T2cTQHqEJZqE-st6uFKPoI?usp=share_link")</f>
        <v>https://drive.google.com/drive/folders/10T2cTQHqEJZqE-st6uFKPoI?usp=share_link</v>
      </c>
      <c r="P2130" s="6" t="str">
        <f>IFERROR(__xludf.DUMMYFUNCTION("""COMPUTED_VALUE"""),"Caspian Antonucci")</f>
        <v>Caspian Antonucci</v>
      </c>
      <c r="Q2130" s="6" t="str">
        <f>IFERROR(__xludf.DUMMYFUNCTION("""COMPUTED_VALUE"""),"L1")</f>
        <v>L1</v>
      </c>
      <c r="R2130" s="6">
        <f>IFERROR(__xludf.DUMMYFUNCTION("""COMPUTED_VALUE"""),1.0)</f>
        <v>1</v>
      </c>
      <c r="S2130" s="6" t="str">
        <f>IFERROR(__xludf.DUMMYFUNCTION("""COMPUTED_VALUE""")," ")</f>
        <v> </v>
      </c>
      <c r="T2130" s="6" t="str">
        <f>IFERROR(__xludf.DUMMYFUNCTION("""COMPUTED_VALUE"""),"")</f>
        <v/>
      </c>
      <c r="U2130" s="6" t="str">
        <f>IFERROR(__xludf.DUMMYFUNCTION("""COMPUTED_VALUE"""),"2")</f>
        <v>2</v>
      </c>
      <c r="V2130" s="6" t="str">
        <f>IFERROR(__xludf.DUMMYFUNCTION("""COMPUTED_VALUE"""),"")</f>
        <v/>
      </c>
      <c r="W2130" s="6" t="str">
        <f>IFERROR(__xludf.DUMMYFUNCTION("""COMPUTED_VALUE"""),"[]")</f>
        <v>[]</v>
      </c>
      <c r="X2130" s="6" t="str">
        <f>IFERROR(__xludf.DUMMYFUNCTION("""COMPUTED_VALUE"""),"Enrolled")</f>
        <v>Enrolled</v>
      </c>
    </row>
    <row r="2131">
      <c r="A2131" s="6" t="str">
        <f>IFERROR(__xludf.DUMMYFUNCTION("""COMPUTED_VALUE"""),"030-8433")</f>
        <v>030-8433</v>
      </c>
      <c r="B2131" s="6" t="str">
        <f>IFERROR(__xludf.DUMMYFUNCTION("""COMPUTED_VALUE"""),"30")</f>
        <v>30</v>
      </c>
      <c r="C2131" s="6" t="str">
        <f>IFERROR(__xludf.DUMMYFUNCTION("""COMPUTED_VALUE"""),"8433")</f>
        <v>8433</v>
      </c>
      <c r="D2131" s="6" t="str">
        <f>IFERROR(__xludf.DUMMYFUNCTION("""COMPUTED_VALUE"""),"Brooke")</f>
        <v>Brooke</v>
      </c>
      <c r="E2131" s="6" t="str">
        <f>IFERROR(__xludf.DUMMYFUNCTION("""COMPUTED_VALUE"""),"")</f>
        <v/>
      </c>
      <c r="F2131" s="6" t="str">
        <f>IFERROR(__xludf.DUMMYFUNCTION("""COMPUTED_VALUE"""),"Van Nostrand")</f>
        <v>Van Nostrand</v>
      </c>
      <c r="G2131" s="6" t="str">
        <f>IFERROR(__xludf.DUMMYFUNCTION("""COMPUTED_VALUE"""),"03/30/2015")</f>
        <v>03/30/2015</v>
      </c>
      <c r="H2131" s="6" t="str">
        <f>IFERROR(__xludf.DUMMYFUNCTION("""COMPUTED_VALUE"""),"Self Identify")</f>
        <v>Self Identify</v>
      </c>
      <c r="I2131" s="6" t="str">
        <f>IFERROR(__xludf.DUMMYFUNCTION("""COMPUTED_VALUE"""),"Level 2")</f>
        <v>Level 2</v>
      </c>
      <c r="J2131" s="6" t="str">
        <f>IFERROR(__xludf.DUMMYFUNCTION("""COMPUTED_VALUE"""),"5")</f>
        <v>5</v>
      </c>
      <c r="K2131" s="6" t="str">
        <f>IFERROR(__xludf.DUMMYFUNCTION("""COMPUTED_VALUE"""),"brooke.vannostrand@novatio.school")</f>
        <v>brooke.vannostrand@novatio.school</v>
      </c>
      <c r="L2131" s="6" t="str">
        <f>IFERROR(__xludf.DUMMYFUNCTION("""COMPUTED_VALUE"""),"Novatio")</f>
        <v>Novatio</v>
      </c>
      <c r="M2131" s="6" t="str">
        <f>IFERROR(__xludf.DUMMYFUNCTION("""COMPUTED_VALUE"""),"")</f>
        <v/>
      </c>
      <c r="N2131" s="6" t="str">
        <f>IFERROR(__xludf.DUMMYFUNCTION("""COMPUTED_VALUE"""),"")</f>
        <v/>
      </c>
      <c r="O2131" s="87" t="str">
        <f>IFERROR(__xludf.DUMMYFUNCTION("""COMPUTED_VALUE"""),"https://drive.google.com/drive/folders/10T2cTQHqEJZqE-st6uFKPoI?usp=share_link")</f>
        <v>https://drive.google.com/drive/folders/10T2cTQHqEJZqE-st6uFKPoI?usp=share_link</v>
      </c>
      <c r="P2131" s="6" t="str">
        <f>IFERROR(__xludf.DUMMYFUNCTION("""COMPUTED_VALUE"""),"Brooke Van Nostrand")</f>
        <v>Brooke Van Nostrand</v>
      </c>
      <c r="Q2131" s="6" t="str">
        <f>IFERROR(__xludf.DUMMYFUNCTION("""COMPUTED_VALUE"""),"L2")</f>
        <v>L2</v>
      </c>
      <c r="R2131" s="6">
        <f>IFERROR(__xludf.DUMMYFUNCTION("""COMPUTED_VALUE"""),2.0)</f>
        <v>2</v>
      </c>
      <c r="S2131" s="6" t="str">
        <f>IFERROR(__xludf.DUMMYFUNCTION("""COMPUTED_VALUE""")," ")</f>
        <v> </v>
      </c>
      <c r="T2131" s="6" t="str">
        <f>IFERROR(__xludf.DUMMYFUNCTION("""COMPUTED_VALUE"""),"")</f>
        <v/>
      </c>
      <c r="U2131" s="6" t="str">
        <f>IFERROR(__xludf.DUMMYFUNCTION("""COMPUTED_VALUE"""),"5")</f>
        <v>5</v>
      </c>
      <c r="V2131" s="6" t="str">
        <f>IFERROR(__xludf.DUMMYFUNCTION("""COMPUTED_VALUE"""),"")</f>
        <v/>
      </c>
      <c r="W2131" s="6" t="str">
        <f>IFERROR(__xludf.DUMMYFUNCTION("""COMPUTED_VALUE"""),"[]")</f>
        <v>[]</v>
      </c>
      <c r="X2131" s="6" t="str">
        <f>IFERROR(__xludf.DUMMYFUNCTION("""COMPUTED_VALUE"""),"Enrolled")</f>
        <v>Enrolled</v>
      </c>
    </row>
    <row r="2132">
      <c r="A2132" s="6" t="str">
        <f>IFERROR(__xludf.DUMMYFUNCTION("""COMPUTED_VALUE"""),"030-8434")</f>
        <v>030-8434</v>
      </c>
      <c r="B2132" s="6" t="str">
        <f>IFERROR(__xludf.DUMMYFUNCTION("""COMPUTED_VALUE"""),"30")</f>
        <v>30</v>
      </c>
      <c r="C2132" s="6" t="str">
        <f>IFERROR(__xludf.DUMMYFUNCTION("""COMPUTED_VALUE"""),"8434")</f>
        <v>8434</v>
      </c>
      <c r="D2132" s="6" t="str">
        <f>IFERROR(__xludf.DUMMYFUNCTION("""COMPUTED_VALUE"""),"Kenzie")</f>
        <v>Kenzie</v>
      </c>
      <c r="E2132" s="6" t="str">
        <f>IFERROR(__xludf.DUMMYFUNCTION("""COMPUTED_VALUE"""),"")</f>
        <v/>
      </c>
      <c r="F2132" s="6" t="str">
        <f>IFERROR(__xludf.DUMMYFUNCTION("""COMPUTED_VALUE"""),"Van Nostrand")</f>
        <v>Van Nostrand</v>
      </c>
      <c r="G2132" s="6" t="str">
        <f>IFERROR(__xludf.DUMMYFUNCTION("""COMPUTED_VALUE"""),"12/28/2012")</f>
        <v>12/28/2012</v>
      </c>
      <c r="H2132" s="6" t="str">
        <f>IFERROR(__xludf.DUMMYFUNCTION("""COMPUTED_VALUE"""),"Self Identify")</f>
        <v>Self Identify</v>
      </c>
      <c r="I2132" s="6" t="str">
        <f>IFERROR(__xludf.DUMMYFUNCTION("""COMPUTED_VALUE"""),"Middle School")</f>
        <v>Middle School</v>
      </c>
      <c r="J2132" s="6" t="str">
        <f>IFERROR(__xludf.DUMMYFUNCTION("""COMPUTED_VALUE"""),"7")</f>
        <v>7</v>
      </c>
      <c r="K2132" s="6" t="str">
        <f>IFERROR(__xludf.DUMMYFUNCTION("""COMPUTED_VALUE"""),"kenzie.vannostrand@novatio.school")</f>
        <v>kenzie.vannostrand@novatio.school</v>
      </c>
      <c r="L2132" s="6" t="str">
        <f>IFERROR(__xludf.DUMMYFUNCTION("""COMPUTED_VALUE"""),"Novatio")</f>
        <v>Novatio</v>
      </c>
      <c r="M2132" s="6" t="str">
        <f>IFERROR(__xludf.DUMMYFUNCTION("""COMPUTED_VALUE"""),"")</f>
        <v/>
      </c>
      <c r="N2132" s="6" t="str">
        <f>IFERROR(__xludf.DUMMYFUNCTION("""COMPUTED_VALUE"""),"")</f>
        <v/>
      </c>
      <c r="O2132" s="87" t="str">
        <f>IFERROR(__xludf.DUMMYFUNCTION("""COMPUTED_VALUE"""),"https://drive.google.com/drive/folders/10T2cTQHqEJZqE-st6uFKPoI?usp=share_link")</f>
        <v>https://drive.google.com/drive/folders/10T2cTQHqEJZqE-st6uFKPoI?usp=share_link</v>
      </c>
      <c r="P2132" s="6" t="str">
        <f>IFERROR(__xludf.DUMMYFUNCTION("""COMPUTED_VALUE"""),"Kenzie Van Nostrand")</f>
        <v>Kenzie Van Nostrand</v>
      </c>
      <c r="Q2132" s="6" t="str">
        <f>IFERROR(__xludf.DUMMYFUNCTION("""COMPUTED_VALUE"""),"MS")</f>
        <v>MS</v>
      </c>
      <c r="R2132" s="6">
        <f>IFERROR(__xludf.DUMMYFUNCTION("""COMPUTED_VALUE"""),0.0)</f>
        <v>0</v>
      </c>
      <c r="S2132" s="6" t="str">
        <f>IFERROR(__xludf.DUMMYFUNCTION("""COMPUTED_VALUE""")," ")</f>
        <v> </v>
      </c>
      <c r="T2132" s="6" t="str">
        <f>IFERROR(__xludf.DUMMYFUNCTION("""COMPUTED_VALUE"""),"")</f>
        <v/>
      </c>
      <c r="U2132" s="6" t="str">
        <f>IFERROR(__xludf.DUMMYFUNCTION("""COMPUTED_VALUE"""),"7")</f>
        <v>7</v>
      </c>
      <c r="V2132" s="6" t="str">
        <f>IFERROR(__xludf.DUMMYFUNCTION("""COMPUTED_VALUE"""),"")</f>
        <v/>
      </c>
      <c r="W2132" s="6" t="str">
        <f>IFERROR(__xludf.DUMMYFUNCTION("""COMPUTED_VALUE"""),"[]")</f>
        <v>[]</v>
      </c>
      <c r="X2132" s="6" t="str">
        <f>IFERROR(__xludf.DUMMYFUNCTION("""COMPUTED_VALUE"""),"Enrolled")</f>
        <v>Enrolled</v>
      </c>
    </row>
    <row r="2133">
      <c r="A2133" s="6" t="str">
        <f>IFERROR(__xludf.DUMMYFUNCTION("""COMPUTED_VALUE"""),"030-8454")</f>
        <v>030-8454</v>
      </c>
      <c r="B2133" s="6" t="str">
        <f>IFERROR(__xludf.DUMMYFUNCTION("""COMPUTED_VALUE"""),"30")</f>
        <v>30</v>
      </c>
      <c r="C2133" s="6" t="str">
        <f>IFERROR(__xludf.DUMMYFUNCTION("""COMPUTED_VALUE"""),"8454")</f>
        <v>8454</v>
      </c>
      <c r="D2133" s="6" t="str">
        <f>IFERROR(__xludf.DUMMYFUNCTION("""COMPUTED_VALUE"""),"Dakota")</f>
        <v>Dakota</v>
      </c>
      <c r="E2133" s="6" t="str">
        <f>IFERROR(__xludf.DUMMYFUNCTION("""COMPUTED_VALUE"""),"")</f>
        <v/>
      </c>
      <c r="F2133" s="6" t="str">
        <f>IFERROR(__xludf.DUMMYFUNCTION("""COMPUTED_VALUE"""),"Friello")</f>
        <v>Friello</v>
      </c>
      <c r="G2133" s="6" t="str">
        <f>IFERROR(__xludf.DUMMYFUNCTION("""COMPUTED_VALUE"""),"10/23/2012")</f>
        <v>10/23/2012</v>
      </c>
      <c r="H2133" s="6" t="str">
        <f>IFERROR(__xludf.DUMMYFUNCTION("""COMPUTED_VALUE"""),"Self Identify")</f>
        <v>Self Identify</v>
      </c>
      <c r="I2133" s="6" t="str">
        <f>IFERROR(__xludf.DUMMYFUNCTION("""COMPUTED_VALUE"""),"Middle School")</f>
        <v>Middle School</v>
      </c>
      <c r="J2133" s="6" t="str">
        <f>IFERROR(__xludf.DUMMYFUNCTION("""COMPUTED_VALUE"""),"7")</f>
        <v>7</v>
      </c>
      <c r="K2133" s="6" t="str">
        <f>IFERROR(__xludf.DUMMYFUNCTION("""COMPUTED_VALUE"""),"dakota.friello@novatio.school")</f>
        <v>dakota.friello@novatio.school</v>
      </c>
      <c r="L2133" s="6" t="str">
        <f>IFERROR(__xludf.DUMMYFUNCTION("""COMPUTED_VALUE"""),"Novatio")</f>
        <v>Novatio</v>
      </c>
      <c r="M2133" s="6" t="str">
        <f>IFERROR(__xludf.DUMMYFUNCTION("""COMPUTED_VALUE"""),"")</f>
        <v/>
      </c>
      <c r="N2133" s="6" t="str">
        <f>IFERROR(__xludf.DUMMYFUNCTION("""COMPUTED_VALUE"""),"")</f>
        <v/>
      </c>
      <c r="O2133" s="87" t="str">
        <f>IFERROR(__xludf.DUMMYFUNCTION("""COMPUTED_VALUE"""),"https://drive.google.com/drive/folders/10T2cTQHqEJZqE-st6uFKPoI?usp=share_link")</f>
        <v>https://drive.google.com/drive/folders/10T2cTQHqEJZqE-st6uFKPoI?usp=share_link</v>
      </c>
      <c r="P2133" s="6" t="str">
        <f>IFERROR(__xludf.DUMMYFUNCTION("""COMPUTED_VALUE"""),"Dakota Friello")</f>
        <v>Dakota Friello</v>
      </c>
      <c r="Q2133" s="6" t="str">
        <f>IFERROR(__xludf.DUMMYFUNCTION("""COMPUTED_VALUE"""),"MS")</f>
        <v>MS</v>
      </c>
      <c r="R2133" s="6">
        <f>IFERROR(__xludf.DUMMYFUNCTION("""COMPUTED_VALUE"""),0.0)</f>
        <v>0</v>
      </c>
      <c r="S2133" s="6" t="str">
        <f>IFERROR(__xludf.DUMMYFUNCTION("""COMPUTED_VALUE""")," ")</f>
        <v> </v>
      </c>
      <c r="T2133" s="6" t="str">
        <f>IFERROR(__xludf.DUMMYFUNCTION("""COMPUTED_VALUE"""),"")</f>
        <v/>
      </c>
      <c r="U2133" s="6" t="str">
        <f>IFERROR(__xludf.DUMMYFUNCTION("""COMPUTED_VALUE"""),"7")</f>
        <v>7</v>
      </c>
      <c r="V2133" s="6" t="str">
        <f>IFERROR(__xludf.DUMMYFUNCTION("""COMPUTED_VALUE"""),"")</f>
        <v/>
      </c>
      <c r="W2133" s="6" t="str">
        <f>IFERROR(__xludf.DUMMYFUNCTION("""COMPUTED_VALUE"""),"[]")</f>
        <v>[]</v>
      </c>
      <c r="X2133" s="6" t="str">
        <f>IFERROR(__xludf.DUMMYFUNCTION("""COMPUTED_VALUE"""),"Enrolled")</f>
        <v>Enrolled</v>
      </c>
    </row>
    <row r="2134">
      <c r="A2134" s="6" t="str">
        <f>IFERROR(__xludf.DUMMYFUNCTION("""COMPUTED_VALUE"""),"030-8576")</f>
        <v>030-8576</v>
      </c>
      <c r="B2134" s="6" t="str">
        <f>IFERROR(__xludf.DUMMYFUNCTION("""COMPUTED_VALUE"""),"30")</f>
        <v>30</v>
      </c>
      <c r="C2134" s="6" t="str">
        <f>IFERROR(__xludf.DUMMYFUNCTION("""COMPUTED_VALUE"""),"8576")</f>
        <v>8576</v>
      </c>
      <c r="D2134" s="6" t="str">
        <f>IFERROR(__xludf.DUMMYFUNCTION("""COMPUTED_VALUE"""),"Royale")</f>
        <v>Royale</v>
      </c>
      <c r="E2134" s="6" t="str">
        <f>IFERROR(__xludf.DUMMYFUNCTION("""COMPUTED_VALUE"""),"")</f>
        <v/>
      </c>
      <c r="F2134" s="6" t="str">
        <f>IFERROR(__xludf.DUMMYFUNCTION("""COMPUTED_VALUE"""),"Johnson")</f>
        <v>Johnson</v>
      </c>
      <c r="G2134" s="6" t="str">
        <f>IFERROR(__xludf.DUMMYFUNCTION("""COMPUTED_VALUE"""),"08/08/2017")</f>
        <v>08/08/2017</v>
      </c>
      <c r="H2134" s="6" t="str">
        <f>IFERROR(__xludf.DUMMYFUNCTION("""COMPUTED_VALUE"""),"Self Identify")</f>
        <v>Self Identify</v>
      </c>
      <c r="I2134" s="6" t="str">
        <f>IFERROR(__xludf.DUMMYFUNCTION("""COMPUTED_VALUE"""),"Level 1")</f>
        <v>Level 1</v>
      </c>
      <c r="J2134" s="6" t="str">
        <f>IFERROR(__xludf.DUMMYFUNCTION("""COMPUTED_VALUE"""),"3")</f>
        <v>3</v>
      </c>
      <c r="K2134" s="6" t="str">
        <f>IFERROR(__xludf.DUMMYFUNCTION("""COMPUTED_VALUE"""),"royale.johnson@novatio.school")</f>
        <v>royale.johnson@novatio.school</v>
      </c>
      <c r="L2134" s="6" t="str">
        <f>IFERROR(__xludf.DUMMYFUNCTION("""COMPUTED_VALUE"""),"Novatio")</f>
        <v>Novatio</v>
      </c>
      <c r="M2134" s="6" t="str">
        <f>IFERROR(__xludf.DUMMYFUNCTION("""COMPUTED_VALUE"""),"")</f>
        <v/>
      </c>
      <c r="N2134" s="6" t="str">
        <f>IFERROR(__xludf.DUMMYFUNCTION("""COMPUTED_VALUE"""),"")</f>
        <v/>
      </c>
      <c r="O2134" s="87" t="str">
        <f>IFERROR(__xludf.DUMMYFUNCTION("""COMPUTED_VALUE"""),"https://drive.google.com/drive/folders/10T2cTQHqEJZqE-st6uFKPoI?usp=share_link")</f>
        <v>https://drive.google.com/drive/folders/10T2cTQHqEJZqE-st6uFKPoI?usp=share_link</v>
      </c>
      <c r="P2134" s="6" t="str">
        <f>IFERROR(__xludf.DUMMYFUNCTION("""COMPUTED_VALUE"""),"Royale Johnson")</f>
        <v>Royale Johnson</v>
      </c>
      <c r="Q2134" s="6" t="str">
        <f>IFERROR(__xludf.DUMMYFUNCTION("""COMPUTED_VALUE"""),"L1")</f>
        <v>L1</v>
      </c>
      <c r="R2134" s="6">
        <f>IFERROR(__xludf.DUMMYFUNCTION("""COMPUTED_VALUE"""),1.0)</f>
        <v>1</v>
      </c>
      <c r="S2134" s="6" t="str">
        <f>IFERROR(__xludf.DUMMYFUNCTION("""COMPUTED_VALUE""")," ")</f>
        <v> </v>
      </c>
      <c r="T2134" s="6" t="str">
        <f>IFERROR(__xludf.DUMMYFUNCTION("""COMPUTED_VALUE"""),"")</f>
        <v/>
      </c>
      <c r="U2134" s="6" t="str">
        <f>IFERROR(__xludf.DUMMYFUNCTION("""COMPUTED_VALUE"""),"3")</f>
        <v>3</v>
      </c>
      <c r="V2134" s="6" t="str">
        <f>IFERROR(__xludf.DUMMYFUNCTION("""COMPUTED_VALUE"""),"")</f>
        <v/>
      </c>
      <c r="W2134" s="6" t="str">
        <f>IFERROR(__xludf.DUMMYFUNCTION("""COMPUTED_VALUE"""),"[]")</f>
        <v>[]</v>
      </c>
      <c r="X2134" s="6" t="str">
        <f>IFERROR(__xludf.DUMMYFUNCTION("""COMPUTED_VALUE"""),"Enrolled")</f>
        <v>Enrolled</v>
      </c>
    </row>
    <row r="2135">
      <c r="A2135" s="6" t="str">
        <f>IFERROR(__xludf.DUMMYFUNCTION("""COMPUTED_VALUE"""),"030-8626")</f>
        <v>030-8626</v>
      </c>
      <c r="B2135" s="6" t="str">
        <f>IFERROR(__xludf.DUMMYFUNCTION("""COMPUTED_VALUE"""),"30")</f>
        <v>30</v>
      </c>
      <c r="C2135" s="6" t="str">
        <f>IFERROR(__xludf.DUMMYFUNCTION("""COMPUTED_VALUE"""),"8626")</f>
        <v>8626</v>
      </c>
      <c r="D2135" s="6" t="str">
        <f>IFERROR(__xludf.DUMMYFUNCTION("""COMPUTED_VALUE"""),"Kit")</f>
        <v>Kit</v>
      </c>
      <c r="E2135" s="6" t="str">
        <f>IFERROR(__xludf.DUMMYFUNCTION("""COMPUTED_VALUE"""),"")</f>
        <v/>
      </c>
      <c r="F2135" s="6" t="str">
        <f>IFERROR(__xludf.DUMMYFUNCTION("""COMPUTED_VALUE"""),"Meredith")</f>
        <v>Meredith</v>
      </c>
      <c r="G2135" s="6" t="str">
        <f>IFERROR(__xludf.DUMMYFUNCTION("""COMPUTED_VALUE"""),"12/22/2014")</f>
        <v>12/22/2014</v>
      </c>
      <c r="H2135" s="6" t="str">
        <f>IFERROR(__xludf.DUMMYFUNCTION("""COMPUTED_VALUE"""),"Self Identify")</f>
        <v>Self Identify</v>
      </c>
      <c r="I2135" s="6" t="str">
        <f>IFERROR(__xludf.DUMMYFUNCTION("""COMPUTED_VALUE"""),"Level 2")</f>
        <v>Level 2</v>
      </c>
      <c r="J2135" s="6" t="str">
        <f>IFERROR(__xludf.DUMMYFUNCTION("""COMPUTED_VALUE"""),"5")</f>
        <v>5</v>
      </c>
      <c r="K2135" s="6" t="str">
        <f>IFERROR(__xludf.DUMMYFUNCTION("""COMPUTED_VALUE"""),"kit.meredith@novatio.school")</f>
        <v>kit.meredith@novatio.school</v>
      </c>
      <c r="L2135" s="6" t="str">
        <f>IFERROR(__xludf.DUMMYFUNCTION("""COMPUTED_VALUE"""),"Novatio")</f>
        <v>Novatio</v>
      </c>
      <c r="M2135" s="6" t="str">
        <f>IFERROR(__xludf.DUMMYFUNCTION("""COMPUTED_VALUE"""),"")</f>
        <v/>
      </c>
      <c r="N2135" s="6" t="str">
        <f>IFERROR(__xludf.DUMMYFUNCTION("""COMPUTED_VALUE"""),"")</f>
        <v/>
      </c>
      <c r="O2135" s="87" t="str">
        <f>IFERROR(__xludf.DUMMYFUNCTION("""COMPUTED_VALUE"""),"https://drive.google.com/drive/folders/10T2cTQHqEJZqE-st6uFKPoI?usp=share_link")</f>
        <v>https://drive.google.com/drive/folders/10T2cTQHqEJZqE-st6uFKPoI?usp=share_link</v>
      </c>
      <c r="P2135" s="6" t="str">
        <f>IFERROR(__xludf.DUMMYFUNCTION("""COMPUTED_VALUE"""),"Kit Meredith")</f>
        <v>Kit Meredith</v>
      </c>
      <c r="Q2135" s="6" t="str">
        <f>IFERROR(__xludf.DUMMYFUNCTION("""COMPUTED_VALUE"""),"L2")</f>
        <v>L2</v>
      </c>
      <c r="R2135" s="6">
        <f>IFERROR(__xludf.DUMMYFUNCTION("""COMPUTED_VALUE"""),2.0)</f>
        <v>2</v>
      </c>
      <c r="S2135" s="6" t="str">
        <f>IFERROR(__xludf.DUMMYFUNCTION("""COMPUTED_VALUE""")," ")</f>
        <v> </v>
      </c>
      <c r="T2135" s="6" t="str">
        <f>IFERROR(__xludf.DUMMYFUNCTION("""COMPUTED_VALUE"""),"")</f>
        <v/>
      </c>
      <c r="U2135" s="6" t="str">
        <f>IFERROR(__xludf.DUMMYFUNCTION("""COMPUTED_VALUE"""),"5")</f>
        <v>5</v>
      </c>
      <c r="V2135" s="6" t="str">
        <f>IFERROR(__xludf.DUMMYFUNCTION("""COMPUTED_VALUE"""),"")</f>
        <v/>
      </c>
      <c r="W2135" s="6" t="str">
        <f>IFERROR(__xludf.DUMMYFUNCTION("""COMPUTED_VALUE"""),"[]")</f>
        <v>[]</v>
      </c>
      <c r="X2135" s="6" t="str">
        <f>IFERROR(__xludf.DUMMYFUNCTION("""COMPUTED_VALUE"""),"Enrolled")</f>
        <v>Enrolled</v>
      </c>
    </row>
    <row r="2136">
      <c r="A2136" s="6" t="str">
        <f>IFERROR(__xludf.DUMMYFUNCTION("""COMPUTED_VALUE"""),"030-8821")</f>
        <v>030-8821</v>
      </c>
      <c r="B2136" s="6" t="str">
        <f>IFERROR(__xludf.DUMMYFUNCTION("""COMPUTED_VALUE"""),"30")</f>
        <v>30</v>
      </c>
      <c r="C2136" s="6" t="str">
        <f>IFERROR(__xludf.DUMMYFUNCTION("""COMPUTED_VALUE"""),"8821")</f>
        <v>8821</v>
      </c>
      <c r="D2136" s="6" t="str">
        <f>IFERROR(__xludf.DUMMYFUNCTION("""COMPUTED_VALUE"""),"Tim")</f>
        <v>Tim</v>
      </c>
      <c r="E2136" s="6" t="str">
        <f>IFERROR(__xludf.DUMMYFUNCTION("""COMPUTED_VALUE"""),"")</f>
        <v/>
      </c>
      <c r="F2136" s="6" t="str">
        <f>IFERROR(__xludf.DUMMYFUNCTION("""COMPUTED_VALUE"""),"Swartz")</f>
        <v>Swartz</v>
      </c>
      <c r="G2136" s="6" t="str">
        <f>IFERROR(__xludf.DUMMYFUNCTION("""COMPUTED_VALUE"""),"07/01/2011")</f>
        <v>07/01/2011</v>
      </c>
      <c r="H2136" s="6" t="str">
        <f>IFERROR(__xludf.DUMMYFUNCTION("""COMPUTED_VALUE"""),"Self Identify")</f>
        <v>Self Identify</v>
      </c>
      <c r="I2136" s="6" t="str">
        <f>IFERROR(__xludf.DUMMYFUNCTION("""COMPUTED_VALUE"""),"Middle School")</f>
        <v>Middle School</v>
      </c>
      <c r="J2136" s="6" t="str">
        <f>IFERROR(__xludf.DUMMYFUNCTION("""COMPUTED_VALUE"""),"8")</f>
        <v>8</v>
      </c>
      <c r="K2136" s="6" t="str">
        <f>IFERROR(__xludf.DUMMYFUNCTION("""COMPUTED_VALUE"""),"tim.swartz@novatio.school")</f>
        <v>tim.swartz@novatio.school</v>
      </c>
      <c r="L2136" s="6" t="str">
        <f>IFERROR(__xludf.DUMMYFUNCTION("""COMPUTED_VALUE"""),"Novatio")</f>
        <v>Novatio</v>
      </c>
      <c r="M2136" s="6" t="str">
        <f>IFERROR(__xludf.DUMMYFUNCTION("""COMPUTED_VALUE"""),"")</f>
        <v/>
      </c>
      <c r="N2136" s="6" t="str">
        <f>IFERROR(__xludf.DUMMYFUNCTION("""COMPUTED_VALUE"""),"")</f>
        <v/>
      </c>
      <c r="O2136" s="87" t="str">
        <f>IFERROR(__xludf.DUMMYFUNCTION("""COMPUTED_VALUE"""),"https://drive.google.com/drive/folders/10T2cTQHqEJZqE-st6uFKPoI?usp=share_link")</f>
        <v>https://drive.google.com/drive/folders/10T2cTQHqEJZqE-st6uFKPoI?usp=share_link</v>
      </c>
      <c r="P2136" s="6" t="str">
        <f>IFERROR(__xludf.DUMMYFUNCTION("""COMPUTED_VALUE"""),"Tim Swartz")</f>
        <v>Tim Swartz</v>
      </c>
      <c r="Q2136" s="6" t="str">
        <f>IFERROR(__xludf.DUMMYFUNCTION("""COMPUTED_VALUE"""),"MS")</f>
        <v>MS</v>
      </c>
      <c r="R2136" s="6">
        <f>IFERROR(__xludf.DUMMYFUNCTION("""COMPUTED_VALUE"""),0.0)</f>
        <v>0</v>
      </c>
      <c r="S2136" s="6" t="str">
        <f>IFERROR(__xludf.DUMMYFUNCTION("""COMPUTED_VALUE""")," ")</f>
        <v> </v>
      </c>
      <c r="T2136" s="6" t="str">
        <f>IFERROR(__xludf.DUMMYFUNCTION("""COMPUTED_VALUE"""),"")</f>
        <v/>
      </c>
      <c r="U2136" s="6" t="str">
        <f>IFERROR(__xludf.DUMMYFUNCTION("""COMPUTED_VALUE"""),"8")</f>
        <v>8</v>
      </c>
      <c r="V2136" s="6" t="str">
        <f>IFERROR(__xludf.DUMMYFUNCTION("""COMPUTED_VALUE"""),"")</f>
        <v/>
      </c>
      <c r="W2136" s="6" t="str">
        <f>IFERROR(__xludf.DUMMYFUNCTION("""COMPUTED_VALUE"""),"[]")</f>
        <v>[]</v>
      </c>
      <c r="X2136" s="6" t="str">
        <f>IFERROR(__xludf.DUMMYFUNCTION("""COMPUTED_VALUE"""),"Enrolled")</f>
        <v>Enrolled</v>
      </c>
    </row>
    <row r="2137">
      <c r="A2137" s="6" t="str">
        <f>IFERROR(__xludf.DUMMYFUNCTION("""COMPUTED_VALUE"""),"030-8822")</f>
        <v>030-8822</v>
      </c>
      <c r="B2137" s="6" t="str">
        <f>IFERROR(__xludf.DUMMYFUNCTION("""COMPUTED_VALUE"""),"30")</f>
        <v>30</v>
      </c>
      <c r="C2137" s="6" t="str">
        <f>IFERROR(__xludf.DUMMYFUNCTION("""COMPUTED_VALUE"""),"8822")</f>
        <v>8822</v>
      </c>
      <c r="D2137" s="6" t="str">
        <f>IFERROR(__xludf.DUMMYFUNCTION("""COMPUTED_VALUE"""),"Emmalyn")</f>
        <v>Emmalyn</v>
      </c>
      <c r="E2137" s="6" t="str">
        <f>IFERROR(__xludf.DUMMYFUNCTION("""COMPUTED_VALUE"""),"")</f>
        <v/>
      </c>
      <c r="F2137" s="6" t="str">
        <f>IFERROR(__xludf.DUMMYFUNCTION("""COMPUTED_VALUE"""),"Cope")</f>
        <v>Cope</v>
      </c>
      <c r="G2137" s="6" t="str">
        <f>IFERROR(__xludf.DUMMYFUNCTION("""COMPUTED_VALUE"""),"08/29/2012")</f>
        <v>08/29/2012</v>
      </c>
      <c r="H2137" s="6" t="str">
        <f>IFERROR(__xludf.DUMMYFUNCTION("""COMPUTED_VALUE"""),"Self Identify")</f>
        <v>Self Identify</v>
      </c>
      <c r="I2137" s="6" t="str">
        <f>IFERROR(__xludf.DUMMYFUNCTION("""COMPUTED_VALUE"""),"Middle School")</f>
        <v>Middle School</v>
      </c>
      <c r="J2137" s="6" t="str">
        <f>IFERROR(__xludf.DUMMYFUNCTION("""COMPUTED_VALUE"""),"7")</f>
        <v>7</v>
      </c>
      <c r="K2137" s="6" t="str">
        <f>IFERROR(__xludf.DUMMYFUNCTION("""COMPUTED_VALUE"""),"emmalyn.cope@novatio.school")</f>
        <v>emmalyn.cope@novatio.school</v>
      </c>
      <c r="L2137" s="6" t="str">
        <f>IFERROR(__xludf.DUMMYFUNCTION("""COMPUTED_VALUE"""),"Novatio")</f>
        <v>Novatio</v>
      </c>
      <c r="M2137" s="6" t="str">
        <f>IFERROR(__xludf.DUMMYFUNCTION("""COMPUTED_VALUE"""),"")</f>
        <v/>
      </c>
      <c r="N2137" s="6" t="str">
        <f>IFERROR(__xludf.DUMMYFUNCTION("""COMPUTED_VALUE"""),"")</f>
        <v/>
      </c>
      <c r="O2137" s="87" t="str">
        <f>IFERROR(__xludf.DUMMYFUNCTION("""COMPUTED_VALUE"""),"https://drive.google.com/drive/folders/10T2cTQHqEJZqE-st6uFKPoI?usp=share_link")</f>
        <v>https://drive.google.com/drive/folders/10T2cTQHqEJZqE-st6uFKPoI?usp=share_link</v>
      </c>
      <c r="P2137" s="6" t="str">
        <f>IFERROR(__xludf.DUMMYFUNCTION("""COMPUTED_VALUE"""),"Emmalyn Cope")</f>
        <v>Emmalyn Cope</v>
      </c>
      <c r="Q2137" s="6" t="str">
        <f>IFERROR(__xludf.DUMMYFUNCTION("""COMPUTED_VALUE"""),"MS")</f>
        <v>MS</v>
      </c>
      <c r="R2137" s="6">
        <f>IFERROR(__xludf.DUMMYFUNCTION("""COMPUTED_VALUE"""),0.0)</f>
        <v>0</v>
      </c>
      <c r="S2137" s="6" t="str">
        <f>IFERROR(__xludf.DUMMYFUNCTION("""COMPUTED_VALUE""")," ")</f>
        <v> </v>
      </c>
      <c r="T2137" s="6" t="str">
        <f>IFERROR(__xludf.DUMMYFUNCTION("""COMPUTED_VALUE"""),"")</f>
        <v/>
      </c>
      <c r="U2137" s="6" t="str">
        <f>IFERROR(__xludf.DUMMYFUNCTION("""COMPUTED_VALUE"""),"7")</f>
        <v>7</v>
      </c>
      <c r="V2137" s="6" t="str">
        <f>IFERROR(__xludf.DUMMYFUNCTION("""COMPUTED_VALUE"""),"")</f>
        <v/>
      </c>
      <c r="W2137" s="6" t="str">
        <f>IFERROR(__xludf.DUMMYFUNCTION("""COMPUTED_VALUE"""),"[]")</f>
        <v>[]</v>
      </c>
      <c r="X2137" s="6" t="str">
        <f>IFERROR(__xludf.DUMMYFUNCTION("""COMPUTED_VALUE"""),"Enrolled")</f>
        <v>Enrolled</v>
      </c>
    </row>
    <row r="2138">
      <c r="A2138" s="6" t="str">
        <f>IFERROR(__xludf.DUMMYFUNCTION("""COMPUTED_VALUE"""),"030-8823")</f>
        <v>030-8823</v>
      </c>
      <c r="B2138" s="6" t="str">
        <f>IFERROR(__xludf.DUMMYFUNCTION("""COMPUTED_VALUE"""),"30")</f>
        <v>30</v>
      </c>
      <c r="C2138" s="6" t="str">
        <f>IFERROR(__xludf.DUMMYFUNCTION("""COMPUTED_VALUE"""),"8823")</f>
        <v>8823</v>
      </c>
      <c r="D2138" s="6" t="str">
        <f>IFERROR(__xludf.DUMMYFUNCTION("""COMPUTED_VALUE"""),"Coleton")</f>
        <v>Coleton</v>
      </c>
      <c r="E2138" s="6" t="str">
        <f>IFERROR(__xludf.DUMMYFUNCTION("""COMPUTED_VALUE"""),"")</f>
        <v/>
      </c>
      <c r="F2138" s="6" t="str">
        <f>IFERROR(__xludf.DUMMYFUNCTION("""COMPUTED_VALUE"""),"Ryan")</f>
        <v>Ryan</v>
      </c>
      <c r="G2138" s="6" t="str">
        <f>IFERROR(__xludf.DUMMYFUNCTION("""COMPUTED_VALUE"""),"02/14/2012")</f>
        <v>02/14/2012</v>
      </c>
      <c r="H2138" s="6" t="str">
        <f>IFERROR(__xludf.DUMMYFUNCTION("""COMPUTED_VALUE"""),"Self Identify")</f>
        <v>Self Identify</v>
      </c>
      <c r="I2138" s="6" t="str">
        <f>IFERROR(__xludf.DUMMYFUNCTION("""COMPUTED_VALUE"""),"Middle School")</f>
        <v>Middle School</v>
      </c>
      <c r="J2138" s="6" t="str">
        <f>IFERROR(__xludf.DUMMYFUNCTION("""COMPUTED_VALUE"""),"8")</f>
        <v>8</v>
      </c>
      <c r="K2138" s="6" t="str">
        <f>IFERROR(__xludf.DUMMYFUNCTION("""COMPUTED_VALUE"""),"coleton.ryan@novatio.school")</f>
        <v>coleton.ryan@novatio.school</v>
      </c>
      <c r="L2138" s="6" t="str">
        <f>IFERROR(__xludf.DUMMYFUNCTION("""COMPUTED_VALUE"""),"Novatio")</f>
        <v>Novatio</v>
      </c>
      <c r="M2138" s="6" t="str">
        <f>IFERROR(__xludf.DUMMYFUNCTION("""COMPUTED_VALUE"""),"")</f>
        <v/>
      </c>
      <c r="N2138" s="6" t="str">
        <f>IFERROR(__xludf.DUMMYFUNCTION("""COMPUTED_VALUE"""),"")</f>
        <v/>
      </c>
      <c r="O2138" s="87" t="str">
        <f>IFERROR(__xludf.DUMMYFUNCTION("""COMPUTED_VALUE"""),"https://drive.google.com/drive/folders/10T2cTQHqEJZqE-st6uFKPoI?usp=share_link")</f>
        <v>https://drive.google.com/drive/folders/10T2cTQHqEJZqE-st6uFKPoI?usp=share_link</v>
      </c>
      <c r="P2138" s="6" t="str">
        <f>IFERROR(__xludf.DUMMYFUNCTION("""COMPUTED_VALUE"""),"Coleton Ryan")</f>
        <v>Coleton Ryan</v>
      </c>
      <c r="Q2138" s="6" t="str">
        <f>IFERROR(__xludf.DUMMYFUNCTION("""COMPUTED_VALUE"""),"MS")</f>
        <v>MS</v>
      </c>
      <c r="R2138" s="6">
        <f>IFERROR(__xludf.DUMMYFUNCTION("""COMPUTED_VALUE"""),0.0)</f>
        <v>0</v>
      </c>
      <c r="S2138" s="6" t="str">
        <f>IFERROR(__xludf.DUMMYFUNCTION("""COMPUTED_VALUE""")," ")</f>
        <v> </v>
      </c>
      <c r="T2138" s="6" t="str">
        <f>IFERROR(__xludf.DUMMYFUNCTION("""COMPUTED_VALUE"""),"")</f>
        <v/>
      </c>
      <c r="U2138" s="6" t="str">
        <f>IFERROR(__xludf.DUMMYFUNCTION("""COMPUTED_VALUE"""),"8")</f>
        <v>8</v>
      </c>
      <c r="V2138" s="6" t="str">
        <f>IFERROR(__xludf.DUMMYFUNCTION("""COMPUTED_VALUE"""),"")</f>
        <v/>
      </c>
      <c r="W2138" s="6" t="str">
        <f>IFERROR(__xludf.DUMMYFUNCTION("""COMPUTED_VALUE"""),"[]")</f>
        <v>[]</v>
      </c>
      <c r="X2138" s="6" t="str">
        <f>IFERROR(__xludf.DUMMYFUNCTION("""COMPUTED_VALUE"""),"Enrolled")</f>
        <v>Enrolled</v>
      </c>
    </row>
    <row r="2139">
      <c r="A2139" s="6" t="str">
        <f>IFERROR(__xludf.DUMMYFUNCTION("""COMPUTED_VALUE"""),"030-9121")</f>
        <v>030-9121</v>
      </c>
      <c r="B2139" s="6" t="str">
        <f>IFERROR(__xludf.DUMMYFUNCTION("""COMPUTED_VALUE"""),"30")</f>
        <v>30</v>
      </c>
      <c r="C2139" s="6" t="str">
        <f>IFERROR(__xludf.DUMMYFUNCTION("""COMPUTED_VALUE"""),"9121")</f>
        <v>9121</v>
      </c>
      <c r="D2139" s="6" t="str">
        <f>IFERROR(__xludf.DUMMYFUNCTION("""COMPUTED_VALUE"""),"Zion")</f>
        <v>Zion</v>
      </c>
      <c r="E2139" s="6" t="str">
        <f>IFERROR(__xludf.DUMMYFUNCTION("""COMPUTED_VALUE"""),"")</f>
        <v/>
      </c>
      <c r="F2139" s="6" t="str">
        <f>IFERROR(__xludf.DUMMYFUNCTION("""COMPUTED_VALUE"""),"Rutledge")</f>
        <v>Rutledge</v>
      </c>
      <c r="G2139" s="6" t="str">
        <f>IFERROR(__xludf.DUMMYFUNCTION("""COMPUTED_VALUE"""),"07/11/2012")</f>
        <v>07/11/2012</v>
      </c>
      <c r="H2139" s="6" t="str">
        <f>IFERROR(__xludf.DUMMYFUNCTION("""COMPUTED_VALUE"""),"Self Identify")</f>
        <v>Self Identify</v>
      </c>
      <c r="I2139" s="6" t="str">
        <f>IFERROR(__xludf.DUMMYFUNCTION("""COMPUTED_VALUE"""),"Middle School")</f>
        <v>Middle School</v>
      </c>
      <c r="J2139" s="6" t="str">
        <f>IFERROR(__xludf.DUMMYFUNCTION("""COMPUTED_VALUE"""),"8")</f>
        <v>8</v>
      </c>
      <c r="K2139" s="6" t="str">
        <f>IFERROR(__xludf.DUMMYFUNCTION("""COMPUTED_VALUE"""),"zion.rutledge@novatio.school")</f>
        <v>zion.rutledge@novatio.school</v>
      </c>
      <c r="L2139" s="6" t="str">
        <f>IFERROR(__xludf.DUMMYFUNCTION("""COMPUTED_VALUE"""),"Novatio")</f>
        <v>Novatio</v>
      </c>
      <c r="M2139" s="6" t="str">
        <f>IFERROR(__xludf.DUMMYFUNCTION("""COMPUTED_VALUE"""),"")</f>
        <v/>
      </c>
      <c r="N2139" s="6" t="str">
        <f>IFERROR(__xludf.DUMMYFUNCTION("""COMPUTED_VALUE"""),"")</f>
        <v/>
      </c>
      <c r="O2139" s="87" t="str">
        <f>IFERROR(__xludf.DUMMYFUNCTION("""COMPUTED_VALUE"""),"https://drive.google.com/drive/folders/10T2cTQHqEJZqE-st6uFKPoI?usp=share_link")</f>
        <v>https://drive.google.com/drive/folders/10T2cTQHqEJZqE-st6uFKPoI?usp=share_link</v>
      </c>
      <c r="P2139" s="6" t="str">
        <f>IFERROR(__xludf.DUMMYFUNCTION("""COMPUTED_VALUE"""),"Zion Rutledge")</f>
        <v>Zion Rutledge</v>
      </c>
      <c r="Q2139" s="6" t="str">
        <f>IFERROR(__xludf.DUMMYFUNCTION("""COMPUTED_VALUE"""),"MS")</f>
        <v>MS</v>
      </c>
      <c r="R2139" s="6">
        <f>IFERROR(__xludf.DUMMYFUNCTION("""COMPUTED_VALUE"""),0.0)</f>
        <v>0</v>
      </c>
      <c r="S2139" s="6" t="str">
        <f>IFERROR(__xludf.DUMMYFUNCTION("""COMPUTED_VALUE""")," ")</f>
        <v> </v>
      </c>
      <c r="T2139" s="6" t="str">
        <f>IFERROR(__xludf.DUMMYFUNCTION("""COMPUTED_VALUE"""),"")</f>
        <v/>
      </c>
      <c r="U2139" s="6" t="str">
        <f>IFERROR(__xludf.DUMMYFUNCTION("""COMPUTED_VALUE"""),"8")</f>
        <v>8</v>
      </c>
      <c r="V2139" s="6" t="str">
        <f>IFERROR(__xludf.DUMMYFUNCTION("""COMPUTED_VALUE"""),"")</f>
        <v/>
      </c>
      <c r="W2139" s="6" t="str">
        <f>IFERROR(__xludf.DUMMYFUNCTION("""COMPUTED_VALUE"""),"[]")</f>
        <v>[]</v>
      </c>
      <c r="X2139" s="6" t="str">
        <f>IFERROR(__xludf.DUMMYFUNCTION("""COMPUTED_VALUE"""),"Enrolled")</f>
        <v>Enrolled</v>
      </c>
    </row>
    <row r="2140">
      <c r="A2140" s="6" t="str">
        <f>IFERROR(__xludf.DUMMYFUNCTION("""COMPUTED_VALUE"""),"030-9122")</f>
        <v>030-9122</v>
      </c>
      <c r="B2140" s="6" t="str">
        <f>IFERROR(__xludf.DUMMYFUNCTION("""COMPUTED_VALUE"""),"30")</f>
        <v>30</v>
      </c>
      <c r="C2140" s="6" t="str">
        <f>IFERROR(__xludf.DUMMYFUNCTION("""COMPUTED_VALUE"""),"9122")</f>
        <v>9122</v>
      </c>
      <c r="D2140" s="6" t="str">
        <f>IFERROR(__xludf.DUMMYFUNCTION("""COMPUTED_VALUE"""),"Nicholas")</f>
        <v>Nicholas</v>
      </c>
      <c r="E2140" s="6" t="str">
        <f>IFERROR(__xludf.DUMMYFUNCTION("""COMPUTED_VALUE"""),"")</f>
        <v/>
      </c>
      <c r="F2140" s="6" t="str">
        <f>IFERROR(__xludf.DUMMYFUNCTION("""COMPUTED_VALUE"""),"Keiser")</f>
        <v>Keiser</v>
      </c>
      <c r="G2140" s="6" t="str">
        <f>IFERROR(__xludf.DUMMYFUNCTION("""COMPUTED_VALUE"""),"05/20/2014")</f>
        <v>05/20/2014</v>
      </c>
      <c r="H2140" s="6" t="str">
        <f>IFERROR(__xludf.DUMMYFUNCTION("""COMPUTED_VALUE"""),"Self Identify")</f>
        <v>Self Identify</v>
      </c>
      <c r="I2140" s="6" t="str">
        <f>IFERROR(__xludf.DUMMYFUNCTION("""COMPUTED_VALUE"""),"Middle School")</f>
        <v>Middle School</v>
      </c>
      <c r="J2140" s="6" t="str">
        <f>IFERROR(__xludf.DUMMYFUNCTION("""COMPUTED_VALUE"""),"6")</f>
        <v>6</v>
      </c>
      <c r="K2140" s="6" t="str">
        <f>IFERROR(__xludf.DUMMYFUNCTION("""COMPUTED_VALUE"""),"nicholas.keiser@novatio.school")</f>
        <v>nicholas.keiser@novatio.school</v>
      </c>
      <c r="L2140" s="6" t="str">
        <f>IFERROR(__xludf.DUMMYFUNCTION("""COMPUTED_VALUE"""),"Novatio")</f>
        <v>Novatio</v>
      </c>
      <c r="M2140" s="6" t="str">
        <f>IFERROR(__xludf.DUMMYFUNCTION("""COMPUTED_VALUE"""),"")</f>
        <v/>
      </c>
      <c r="N2140" s="6" t="str">
        <f>IFERROR(__xludf.DUMMYFUNCTION("""COMPUTED_VALUE"""),"")</f>
        <v/>
      </c>
      <c r="O2140" s="87" t="str">
        <f>IFERROR(__xludf.DUMMYFUNCTION("""COMPUTED_VALUE"""),"https://drive.google.com/drive/folders/10T2cTQHqEJZqE-st6uFKPoI?usp=share_link")</f>
        <v>https://drive.google.com/drive/folders/10T2cTQHqEJZqE-st6uFKPoI?usp=share_link</v>
      </c>
      <c r="P2140" s="6" t="str">
        <f>IFERROR(__xludf.DUMMYFUNCTION("""COMPUTED_VALUE"""),"Nicholas Keiser")</f>
        <v>Nicholas Keiser</v>
      </c>
      <c r="Q2140" s="6" t="str">
        <f>IFERROR(__xludf.DUMMYFUNCTION("""COMPUTED_VALUE"""),"MS")</f>
        <v>MS</v>
      </c>
      <c r="R2140" s="6">
        <f>IFERROR(__xludf.DUMMYFUNCTION("""COMPUTED_VALUE"""),0.0)</f>
        <v>0</v>
      </c>
      <c r="S2140" s="6" t="str">
        <f>IFERROR(__xludf.DUMMYFUNCTION("""COMPUTED_VALUE""")," ")</f>
        <v> </v>
      </c>
      <c r="T2140" s="6" t="str">
        <f>IFERROR(__xludf.DUMMYFUNCTION("""COMPUTED_VALUE"""),"")</f>
        <v/>
      </c>
      <c r="U2140" s="6" t="str">
        <f>IFERROR(__xludf.DUMMYFUNCTION("""COMPUTED_VALUE"""),"6")</f>
        <v>6</v>
      </c>
      <c r="V2140" s="6" t="str">
        <f>IFERROR(__xludf.DUMMYFUNCTION("""COMPUTED_VALUE"""),"")</f>
        <v/>
      </c>
      <c r="W2140" s="6" t="str">
        <f>IFERROR(__xludf.DUMMYFUNCTION("""COMPUTED_VALUE"""),"[]")</f>
        <v>[]</v>
      </c>
      <c r="X2140" s="6" t="str">
        <f>IFERROR(__xludf.DUMMYFUNCTION("""COMPUTED_VALUE"""),"Enrolled")</f>
        <v>Enrolled</v>
      </c>
    </row>
    <row r="2141">
      <c r="A2141" s="6" t="str">
        <f>IFERROR(__xludf.DUMMYFUNCTION("""COMPUTED_VALUE"""),"030-9124")</f>
        <v>030-9124</v>
      </c>
      <c r="B2141" s="6" t="str">
        <f>IFERROR(__xludf.DUMMYFUNCTION("""COMPUTED_VALUE"""),"30")</f>
        <v>30</v>
      </c>
      <c r="C2141" s="6" t="str">
        <f>IFERROR(__xludf.DUMMYFUNCTION("""COMPUTED_VALUE"""),"9124")</f>
        <v>9124</v>
      </c>
      <c r="D2141" s="6" t="str">
        <f>IFERROR(__xludf.DUMMYFUNCTION("""COMPUTED_VALUE"""),"Kendall")</f>
        <v>Kendall</v>
      </c>
      <c r="E2141" s="6" t="str">
        <f>IFERROR(__xludf.DUMMYFUNCTION("""COMPUTED_VALUE"""),"")</f>
        <v/>
      </c>
      <c r="F2141" s="6" t="str">
        <f>IFERROR(__xludf.DUMMYFUNCTION("""COMPUTED_VALUE"""),"Keiser")</f>
        <v>Keiser</v>
      </c>
      <c r="G2141" s="6" t="str">
        <f>IFERROR(__xludf.DUMMYFUNCTION("""COMPUTED_VALUE"""),"09/14/2016")</f>
        <v>09/14/2016</v>
      </c>
      <c r="H2141" s="6" t="str">
        <f>IFERROR(__xludf.DUMMYFUNCTION("""COMPUTED_VALUE"""),"Self Identify")</f>
        <v>Self Identify</v>
      </c>
      <c r="I2141" s="6" t="str">
        <f>IFERROR(__xludf.DUMMYFUNCTION("""COMPUTED_VALUE"""),"Level 1")</f>
        <v>Level 1</v>
      </c>
      <c r="J2141" s="6" t="str">
        <f>IFERROR(__xludf.DUMMYFUNCTION("""COMPUTED_VALUE"""),"3")</f>
        <v>3</v>
      </c>
      <c r="K2141" s="6" t="str">
        <f>IFERROR(__xludf.DUMMYFUNCTION("""COMPUTED_VALUE"""),"kendall.keiser@novatio.school")</f>
        <v>kendall.keiser@novatio.school</v>
      </c>
      <c r="L2141" s="6" t="str">
        <f>IFERROR(__xludf.DUMMYFUNCTION("""COMPUTED_VALUE"""),"Novatio")</f>
        <v>Novatio</v>
      </c>
      <c r="M2141" s="6" t="str">
        <f>IFERROR(__xludf.DUMMYFUNCTION("""COMPUTED_VALUE"""),"")</f>
        <v/>
      </c>
      <c r="N2141" s="6" t="str">
        <f>IFERROR(__xludf.DUMMYFUNCTION("""COMPUTED_VALUE"""),"")</f>
        <v/>
      </c>
      <c r="O2141" s="87" t="str">
        <f>IFERROR(__xludf.DUMMYFUNCTION("""COMPUTED_VALUE"""),"https://drive.google.com/drive/folders/10T2cTQHqEJZqE-st6uFKPoI?usp=share_link")</f>
        <v>https://drive.google.com/drive/folders/10T2cTQHqEJZqE-st6uFKPoI?usp=share_link</v>
      </c>
      <c r="P2141" s="6" t="str">
        <f>IFERROR(__xludf.DUMMYFUNCTION("""COMPUTED_VALUE"""),"Kendall Keiser")</f>
        <v>Kendall Keiser</v>
      </c>
      <c r="Q2141" s="6" t="str">
        <f>IFERROR(__xludf.DUMMYFUNCTION("""COMPUTED_VALUE"""),"L1")</f>
        <v>L1</v>
      </c>
      <c r="R2141" s="6">
        <f>IFERROR(__xludf.DUMMYFUNCTION("""COMPUTED_VALUE"""),1.0)</f>
        <v>1</v>
      </c>
      <c r="S2141" s="6" t="str">
        <f>IFERROR(__xludf.DUMMYFUNCTION("""COMPUTED_VALUE""")," ")</f>
        <v> </v>
      </c>
      <c r="T2141" s="6" t="str">
        <f>IFERROR(__xludf.DUMMYFUNCTION("""COMPUTED_VALUE"""),"")</f>
        <v/>
      </c>
      <c r="U2141" s="6" t="str">
        <f>IFERROR(__xludf.DUMMYFUNCTION("""COMPUTED_VALUE"""),"3")</f>
        <v>3</v>
      </c>
      <c r="V2141" s="6" t="str">
        <f>IFERROR(__xludf.DUMMYFUNCTION("""COMPUTED_VALUE"""),"")</f>
        <v/>
      </c>
      <c r="W2141" s="6" t="str">
        <f>IFERROR(__xludf.DUMMYFUNCTION("""COMPUTED_VALUE"""),"[]")</f>
        <v>[]</v>
      </c>
      <c r="X2141" s="6" t="str">
        <f>IFERROR(__xludf.DUMMYFUNCTION("""COMPUTED_VALUE"""),"Enrolled")</f>
        <v>Enrolled</v>
      </c>
    </row>
    <row r="2142">
      <c r="A2142" s="6" t="str">
        <f>IFERROR(__xludf.DUMMYFUNCTION("""COMPUTED_VALUE"""),"030-9125")</f>
        <v>030-9125</v>
      </c>
      <c r="B2142" s="6" t="str">
        <f>IFERROR(__xludf.DUMMYFUNCTION("""COMPUTED_VALUE"""),"30")</f>
        <v>30</v>
      </c>
      <c r="C2142" s="6" t="str">
        <f>IFERROR(__xludf.DUMMYFUNCTION("""COMPUTED_VALUE"""),"9125")</f>
        <v>9125</v>
      </c>
      <c r="D2142" s="6" t="str">
        <f>IFERROR(__xludf.DUMMYFUNCTION("""COMPUTED_VALUE"""),"Ellis")</f>
        <v>Ellis</v>
      </c>
      <c r="E2142" s="6" t="str">
        <f>IFERROR(__xludf.DUMMYFUNCTION("""COMPUTED_VALUE"""),"")</f>
        <v/>
      </c>
      <c r="F2142" s="6" t="str">
        <f>IFERROR(__xludf.DUMMYFUNCTION("""COMPUTED_VALUE"""),"Keiser")</f>
        <v>Keiser</v>
      </c>
      <c r="G2142" s="6" t="str">
        <f>IFERROR(__xludf.DUMMYFUNCTION("""COMPUTED_VALUE"""),"05/23/2019")</f>
        <v>05/23/2019</v>
      </c>
      <c r="H2142" s="6" t="str">
        <f>IFERROR(__xludf.DUMMYFUNCTION("""COMPUTED_VALUE"""),"Self Identify")</f>
        <v>Self Identify</v>
      </c>
      <c r="I2142" s="6" t="str">
        <f>IFERROR(__xludf.DUMMYFUNCTION("""COMPUTED_VALUE"""),"Learning Lab")</f>
        <v>Learning Lab</v>
      </c>
      <c r="J2142" s="6" t="str">
        <f>IFERROR(__xludf.DUMMYFUNCTION("""COMPUTED_VALUE"""),"1")</f>
        <v>1</v>
      </c>
      <c r="K2142" s="6" t="str">
        <f>IFERROR(__xludf.DUMMYFUNCTION("""COMPUTED_VALUE"""),"ellis.keiser@novatio.school")</f>
        <v>ellis.keiser@novatio.school</v>
      </c>
      <c r="L2142" s="6" t="str">
        <f>IFERROR(__xludf.DUMMYFUNCTION("""COMPUTED_VALUE"""),"Novatio")</f>
        <v>Novatio</v>
      </c>
      <c r="M2142" s="6" t="str">
        <f>IFERROR(__xludf.DUMMYFUNCTION("""COMPUTED_VALUE"""),"")</f>
        <v/>
      </c>
      <c r="N2142" s="6" t="str">
        <f>IFERROR(__xludf.DUMMYFUNCTION("""COMPUTED_VALUE"""),"")</f>
        <v/>
      </c>
      <c r="O2142" s="87" t="str">
        <f>IFERROR(__xludf.DUMMYFUNCTION("""COMPUTED_VALUE"""),"https://drive.google.com/drive/folders/10T2cTQHqEJZqE-st6uFKPoI?usp=share_link")</f>
        <v>https://drive.google.com/drive/folders/10T2cTQHqEJZqE-st6uFKPoI?usp=share_link</v>
      </c>
      <c r="P2142" s="6" t="str">
        <f>IFERROR(__xludf.DUMMYFUNCTION("""COMPUTED_VALUE"""),"Ellis Keiser")</f>
        <v>Ellis Keiser</v>
      </c>
      <c r="Q2142" s="6" t="str">
        <f>IFERROR(__xludf.DUMMYFUNCTION("""COMPUTED_VALUE"""),"LL")</f>
        <v>LL</v>
      </c>
      <c r="R2142" s="6">
        <f>IFERROR(__xludf.DUMMYFUNCTION("""COMPUTED_VALUE"""),0.0)</f>
        <v>0</v>
      </c>
      <c r="S2142" s="6" t="str">
        <f>IFERROR(__xludf.DUMMYFUNCTION("""COMPUTED_VALUE""")," ")</f>
        <v> </v>
      </c>
      <c r="T2142" s="6" t="str">
        <f>IFERROR(__xludf.DUMMYFUNCTION("""COMPUTED_VALUE"""),"")</f>
        <v/>
      </c>
      <c r="U2142" s="6" t="str">
        <f>IFERROR(__xludf.DUMMYFUNCTION("""COMPUTED_VALUE"""),"1")</f>
        <v>1</v>
      </c>
      <c r="V2142" s="6" t="str">
        <f>IFERROR(__xludf.DUMMYFUNCTION("""COMPUTED_VALUE"""),"")</f>
        <v/>
      </c>
      <c r="W2142" s="6" t="str">
        <f>IFERROR(__xludf.DUMMYFUNCTION("""COMPUTED_VALUE"""),"[]")</f>
        <v>[]</v>
      </c>
      <c r="X2142" s="6" t="str">
        <f>IFERROR(__xludf.DUMMYFUNCTION("""COMPUTED_VALUE"""),"Enrolled")</f>
        <v>Enrolled</v>
      </c>
    </row>
    <row r="2143">
      <c r="A2143" s="6" t="str">
        <f>IFERROR(__xludf.DUMMYFUNCTION("""COMPUTED_VALUE"""),"030-9126")</f>
        <v>030-9126</v>
      </c>
      <c r="B2143" s="6" t="str">
        <f>IFERROR(__xludf.DUMMYFUNCTION("""COMPUTED_VALUE"""),"30")</f>
        <v>30</v>
      </c>
      <c r="C2143" s="6" t="str">
        <f>IFERROR(__xludf.DUMMYFUNCTION("""COMPUTED_VALUE"""),"9126")</f>
        <v>9126</v>
      </c>
      <c r="D2143" s="6" t="str">
        <f>IFERROR(__xludf.DUMMYFUNCTION("""COMPUTED_VALUE"""),"Lukas")</f>
        <v>Lukas</v>
      </c>
      <c r="E2143" s="6" t="str">
        <f>IFERROR(__xludf.DUMMYFUNCTION("""COMPUTED_VALUE"""),"")</f>
        <v/>
      </c>
      <c r="F2143" s="6" t="str">
        <f>IFERROR(__xludf.DUMMYFUNCTION("""COMPUTED_VALUE"""),"Prentice")</f>
        <v>Prentice</v>
      </c>
      <c r="G2143" s="6" t="str">
        <f>IFERROR(__xludf.DUMMYFUNCTION("""COMPUTED_VALUE"""),"11/16/2015")</f>
        <v>11/16/2015</v>
      </c>
      <c r="H2143" s="6" t="str">
        <f>IFERROR(__xludf.DUMMYFUNCTION("""COMPUTED_VALUE"""),"Self Identify")</f>
        <v>Self Identify</v>
      </c>
      <c r="I2143" s="6" t="str">
        <f>IFERROR(__xludf.DUMMYFUNCTION("""COMPUTED_VALUE"""),"Level 2")</f>
        <v>Level 2</v>
      </c>
      <c r="J2143" s="6" t="str">
        <f>IFERROR(__xludf.DUMMYFUNCTION("""COMPUTED_VALUE"""),"4")</f>
        <v>4</v>
      </c>
      <c r="K2143" s="6" t="str">
        <f>IFERROR(__xludf.DUMMYFUNCTION("""COMPUTED_VALUE"""),"lukas.prentice@novatio.school")</f>
        <v>lukas.prentice@novatio.school</v>
      </c>
      <c r="L2143" s="6" t="str">
        <f>IFERROR(__xludf.DUMMYFUNCTION("""COMPUTED_VALUE"""),"Novatio")</f>
        <v>Novatio</v>
      </c>
      <c r="M2143" s="6" t="str">
        <f>IFERROR(__xludf.DUMMYFUNCTION("""COMPUTED_VALUE"""),"")</f>
        <v/>
      </c>
      <c r="N2143" s="6" t="str">
        <f>IFERROR(__xludf.DUMMYFUNCTION("""COMPUTED_VALUE"""),"")</f>
        <v/>
      </c>
      <c r="O2143" s="87" t="str">
        <f>IFERROR(__xludf.DUMMYFUNCTION("""COMPUTED_VALUE"""),"https://drive.google.com/drive/folders/10T2cTQHqEJZqE-st6uFKPoI?usp=share_link")</f>
        <v>https://drive.google.com/drive/folders/10T2cTQHqEJZqE-st6uFKPoI?usp=share_link</v>
      </c>
      <c r="P2143" s="6" t="str">
        <f>IFERROR(__xludf.DUMMYFUNCTION("""COMPUTED_VALUE"""),"Lukas Prentice")</f>
        <v>Lukas Prentice</v>
      </c>
      <c r="Q2143" s="6" t="str">
        <f>IFERROR(__xludf.DUMMYFUNCTION("""COMPUTED_VALUE"""),"L2")</f>
        <v>L2</v>
      </c>
      <c r="R2143" s="6">
        <f>IFERROR(__xludf.DUMMYFUNCTION("""COMPUTED_VALUE"""),2.0)</f>
        <v>2</v>
      </c>
      <c r="S2143" s="6" t="str">
        <f>IFERROR(__xludf.DUMMYFUNCTION("""COMPUTED_VALUE""")," ")</f>
        <v> </v>
      </c>
      <c r="T2143" s="6" t="str">
        <f>IFERROR(__xludf.DUMMYFUNCTION("""COMPUTED_VALUE"""),"")</f>
        <v/>
      </c>
      <c r="U2143" s="6" t="str">
        <f>IFERROR(__xludf.DUMMYFUNCTION("""COMPUTED_VALUE"""),"4")</f>
        <v>4</v>
      </c>
      <c r="V2143" s="6" t="str">
        <f>IFERROR(__xludf.DUMMYFUNCTION("""COMPUTED_VALUE"""),"")</f>
        <v/>
      </c>
      <c r="W2143" s="6" t="str">
        <f>IFERROR(__xludf.DUMMYFUNCTION("""COMPUTED_VALUE"""),"[]")</f>
        <v>[]</v>
      </c>
      <c r="X2143" s="6" t="str">
        <f>IFERROR(__xludf.DUMMYFUNCTION("""COMPUTED_VALUE"""),"Enrolled")</f>
        <v>Enrolled</v>
      </c>
    </row>
    <row r="2144">
      <c r="A2144" s="6" t="str">
        <f>IFERROR(__xludf.DUMMYFUNCTION("""COMPUTED_VALUE"""),"030-9127")</f>
        <v>030-9127</v>
      </c>
      <c r="B2144" s="6" t="str">
        <f>IFERROR(__xludf.DUMMYFUNCTION("""COMPUTED_VALUE"""),"30")</f>
        <v>30</v>
      </c>
      <c r="C2144" s="6" t="str">
        <f>IFERROR(__xludf.DUMMYFUNCTION("""COMPUTED_VALUE"""),"9127")</f>
        <v>9127</v>
      </c>
      <c r="D2144" s="6" t="str">
        <f>IFERROR(__xludf.DUMMYFUNCTION("""COMPUTED_VALUE"""),"Felix")</f>
        <v>Felix</v>
      </c>
      <c r="E2144" s="6" t="str">
        <f>IFERROR(__xludf.DUMMYFUNCTION("""COMPUTED_VALUE"""),"")</f>
        <v/>
      </c>
      <c r="F2144" s="6" t="str">
        <f>IFERROR(__xludf.DUMMYFUNCTION("""COMPUTED_VALUE"""),"Vigil")</f>
        <v>Vigil</v>
      </c>
      <c r="G2144" s="6" t="str">
        <f>IFERROR(__xludf.DUMMYFUNCTION("""COMPUTED_VALUE"""),"07/20/2016")</f>
        <v>07/20/2016</v>
      </c>
      <c r="H2144" s="6" t="str">
        <f>IFERROR(__xludf.DUMMYFUNCTION("""COMPUTED_VALUE"""),"Self Identify")</f>
        <v>Self Identify</v>
      </c>
      <c r="I2144" s="6" t="str">
        <f>IFERROR(__xludf.DUMMYFUNCTION("""COMPUTED_VALUE"""),"Level 1")</f>
        <v>Level 1</v>
      </c>
      <c r="J2144" s="6" t="str">
        <f>IFERROR(__xludf.DUMMYFUNCTION("""COMPUTED_VALUE"""),"3")</f>
        <v>3</v>
      </c>
      <c r="K2144" s="6" t="str">
        <f>IFERROR(__xludf.DUMMYFUNCTION("""COMPUTED_VALUE"""),"felix.vigil@novatio.school")</f>
        <v>felix.vigil@novatio.school</v>
      </c>
      <c r="L2144" s="6" t="str">
        <f>IFERROR(__xludf.DUMMYFUNCTION("""COMPUTED_VALUE"""),"Novatio")</f>
        <v>Novatio</v>
      </c>
      <c r="M2144" s="6" t="str">
        <f>IFERROR(__xludf.DUMMYFUNCTION("""COMPUTED_VALUE"""),"")</f>
        <v/>
      </c>
      <c r="N2144" s="6" t="str">
        <f>IFERROR(__xludf.DUMMYFUNCTION("""COMPUTED_VALUE"""),"")</f>
        <v/>
      </c>
      <c r="O2144" s="87" t="str">
        <f>IFERROR(__xludf.DUMMYFUNCTION("""COMPUTED_VALUE"""),"https://drive.google.com/drive/folders/10T2cTQHqEJZqE-st6uFKPoI?usp=share_link")</f>
        <v>https://drive.google.com/drive/folders/10T2cTQHqEJZqE-st6uFKPoI?usp=share_link</v>
      </c>
      <c r="P2144" s="6" t="str">
        <f>IFERROR(__xludf.DUMMYFUNCTION("""COMPUTED_VALUE"""),"Felix Vigil")</f>
        <v>Felix Vigil</v>
      </c>
      <c r="Q2144" s="6" t="str">
        <f>IFERROR(__xludf.DUMMYFUNCTION("""COMPUTED_VALUE"""),"L1")</f>
        <v>L1</v>
      </c>
      <c r="R2144" s="6">
        <f>IFERROR(__xludf.DUMMYFUNCTION("""COMPUTED_VALUE"""),1.0)</f>
        <v>1</v>
      </c>
      <c r="S2144" s="6" t="str">
        <f>IFERROR(__xludf.DUMMYFUNCTION("""COMPUTED_VALUE""")," ")</f>
        <v> </v>
      </c>
      <c r="T2144" s="6" t="str">
        <f>IFERROR(__xludf.DUMMYFUNCTION("""COMPUTED_VALUE"""),"")</f>
        <v/>
      </c>
      <c r="U2144" s="6" t="str">
        <f>IFERROR(__xludf.DUMMYFUNCTION("""COMPUTED_VALUE"""),"3")</f>
        <v>3</v>
      </c>
      <c r="V2144" s="6" t="str">
        <f>IFERROR(__xludf.DUMMYFUNCTION("""COMPUTED_VALUE"""),"")</f>
        <v/>
      </c>
      <c r="W2144" s="6" t="str">
        <f>IFERROR(__xludf.DUMMYFUNCTION("""COMPUTED_VALUE"""),"[]")</f>
        <v>[]</v>
      </c>
      <c r="X2144" s="6" t="str">
        <f>IFERROR(__xludf.DUMMYFUNCTION("""COMPUTED_VALUE"""),"Enrolled")</f>
        <v>Enrolled</v>
      </c>
    </row>
    <row r="2145">
      <c r="A2145" s="6" t="str">
        <f>IFERROR(__xludf.DUMMYFUNCTION("""COMPUTED_VALUE"""),"030-9128")</f>
        <v>030-9128</v>
      </c>
      <c r="B2145" s="6" t="str">
        <f>IFERROR(__xludf.DUMMYFUNCTION("""COMPUTED_VALUE"""),"30")</f>
        <v>30</v>
      </c>
      <c r="C2145" s="6" t="str">
        <f>IFERROR(__xludf.DUMMYFUNCTION("""COMPUTED_VALUE"""),"9128")</f>
        <v>9128</v>
      </c>
      <c r="D2145" s="6" t="str">
        <f>IFERROR(__xludf.DUMMYFUNCTION("""COMPUTED_VALUE"""),"Rayna")</f>
        <v>Rayna</v>
      </c>
      <c r="E2145" s="6" t="str">
        <f>IFERROR(__xludf.DUMMYFUNCTION("""COMPUTED_VALUE"""),"")</f>
        <v/>
      </c>
      <c r="F2145" s="6" t="str">
        <f>IFERROR(__xludf.DUMMYFUNCTION("""COMPUTED_VALUE"""),"Thomas")</f>
        <v>Thomas</v>
      </c>
      <c r="G2145" s="6" t="str">
        <f>IFERROR(__xludf.DUMMYFUNCTION("""COMPUTED_VALUE"""),"05/05/2016")</f>
        <v>05/05/2016</v>
      </c>
      <c r="H2145" s="6" t="str">
        <f>IFERROR(__xludf.DUMMYFUNCTION("""COMPUTED_VALUE"""),"Self Identify")</f>
        <v>Self Identify</v>
      </c>
      <c r="I2145" s="6" t="str">
        <f>IFERROR(__xludf.DUMMYFUNCTION("""COMPUTED_VALUE"""),"Level 2")</f>
        <v>Level 2</v>
      </c>
      <c r="J2145" s="6" t="str">
        <f>IFERROR(__xludf.DUMMYFUNCTION("""COMPUTED_VALUE"""),"4")</f>
        <v>4</v>
      </c>
      <c r="K2145" s="6" t="str">
        <f>IFERROR(__xludf.DUMMYFUNCTION("""COMPUTED_VALUE"""),"rayna.thomas@novatio.school")</f>
        <v>rayna.thomas@novatio.school</v>
      </c>
      <c r="L2145" s="6" t="str">
        <f>IFERROR(__xludf.DUMMYFUNCTION("""COMPUTED_VALUE"""),"Novatio")</f>
        <v>Novatio</v>
      </c>
      <c r="M2145" s="6" t="str">
        <f>IFERROR(__xludf.DUMMYFUNCTION("""COMPUTED_VALUE"""),"")</f>
        <v/>
      </c>
      <c r="N2145" s="6" t="str">
        <f>IFERROR(__xludf.DUMMYFUNCTION("""COMPUTED_VALUE"""),"")</f>
        <v/>
      </c>
      <c r="O2145" s="87" t="str">
        <f>IFERROR(__xludf.DUMMYFUNCTION("""COMPUTED_VALUE"""),"https://drive.google.com/drive/folders/10T2cTQHqEJZqE-st6uFKPoI?usp=share_link")</f>
        <v>https://drive.google.com/drive/folders/10T2cTQHqEJZqE-st6uFKPoI?usp=share_link</v>
      </c>
      <c r="P2145" s="6" t="str">
        <f>IFERROR(__xludf.DUMMYFUNCTION("""COMPUTED_VALUE"""),"Rayna Thomas")</f>
        <v>Rayna Thomas</v>
      </c>
      <c r="Q2145" s="6" t="str">
        <f>IFERROR(__xludf.DUMMYFUNCTION("""COMPUTED_VALUE"""),"L2")</f>
        <v>L2</v>
      </c>
      <c r="R2145" s="6">
        <f>IFERROR(__xludf.DUMMYFUNCTION("""COMPUTED_VALUE"""),2.0)</f>
        <v>2</v>
      </c>
      <c r="S2145" s="6" t="str">
        <f>IFERROR(__xludf.DUMMYFUNCTION("""COMPUTED_VALUE""")," ")</f>
        <v> </v>
      </c>
      <c r="T2145" s="6" t="str">
        <f>IFERROR(__xludf.DUMMYFUNCTION("""COMPUTED_VALUE"""),"")</f>
        <v/>
      </c>
      <c r="U2145" s="6" t="str">
        <f>IFERROR(__xludf.DUMMYFUNCTION("""COMPUTED_VALUE"""),"4")</f>
        <v>4</v>
      </c>
      <c r="V2145" s="6" t="str">
        <f>IFERROR(__xludf.DUMMYFUNCTION("""COMPUTED_VALUE"""),"")</f>
        <v/>
      </c>
      <c r="W2145" s="6" t="str">
        <f>IFERROR(__xludf.DUMMYFUNCTION("""COMPUTED_VALUE"""),"[]")</f>
        <v>[]</v>
      </c>
      <c r="X2145" s="6" t="str">
        <f>IFERROR(__xludf.DUMMYFUNCTION("""COMPUTED_VALUE"""),"Enrolled")</f>
        <v>Enrolled</v>
      </c>
    </row>
    <row r="2146">
      <c r="A2146" s="6" t="str">
        <f>IFERROR(__xludf.DUMMYFUNCTION("""COMPUTED_VALUE"""),"031-2166")</f>
        <v>031-2166</v>
      </c>
      <c r="B2146" s="6" t="str">
        <f>IFERROR(__xludf.DUMMYFUNCTION("""COMPUTED_VALUE"""),"31")</f>
        <v>31</v>
      </c>
      <c r="C2146" s="6" t="str">
        <f>IFERROR(__xludf.DUMMYFUNCTION("""COMPUTED_VALUE"""),"2166")</f>
        <v>2166</v>
      </c>
      <c r="D2146" s="6" t="str">
        <f>IFERROR(__xludf.DUMMYFUNCTION("""COMPUTED_VALUE"""),"Aisha")</f>
        <v>Aisha</v>
      </c>
      <c r="E2146" s="6" t="str">
        <f>IFERROR(__xludf.DUMMYFUNCTION("""COMPUTED_VALUE"""),"")</f>
        <v/>
      </c>
      <c r="F2146" s="6" t="str">
        <f>IFERROR(__xludf.DUMMYFUNCTION("""COMPUTED_VALUE"""),"Kabwe")</f>
        <v>Kabwe</v>
      </c>
      <c r="G2146" s="6" t="str">
        <f>IFERROR(__xludf.DUMMYFUNCTION("""COMPUTED_VALUE"""),"08/22/2008")</f>
        <v>08/22/2008</v>
      </c>
      <c r="H2146" s="6" t="str">
        <f>IFERROR(__xludf.DUMMYFUNCTION("""COMPUTED_VALUE"""),"Self Identify")</f>
        <v>Self Identify</v>
      </c>
      <c r="I2146" s="6" t="str">
        <f>IFERROR(__xludf.DUMMYFUNCTION("""COMPUTED_VALUE"""),"Middle School")</f>
        <v>Middle School</v>
      </c>
      <c r="J2146" s="6" t="str">
        <f>IFERROR(__xludf.DUMMYFUNCTION("""COMPUTED_VALUE"""),"8")</f>
        <v>8</v>
      </c>
      <c r="K2146" s="6" t="str">
        <f>IFERROR(__xludf.DUMMYFUNCTION("""COMPUTED_VALUE"""),"aisha.kabwe@2hourlearning.com")</f>
        <v>aisha.kabwe@2hourlearning.com</v>
      </c>
      <c r="L2146" s="6" t="str">
        <f>IFERROR(__xludf.DUMMYFUNCTION("""COMPUTED_VALUE"""),"Limitless Education - Malawi")</f>
        <v>Limitless Education - Malawi</v>
      </c>
      <c r="M2146" s="6" t="str">
        <f>IFERROR(__xludf.DUMMYFUNCTION("""COMPUTED_VALUE"""),"")</f>
        <v/>
      </c>
      <c r="N2146" s="6" t="str">
        <f>IFERROR(__xludf.DUMMYFUNCTION("""COMPUTED_VALUE"""),"")</f>
        <v/>
      </c>
      <c r="O2146" s="87" t="str">
        <f>IFERROR(__xludf.DUMMYFUNCTION("""COMPUTED_VALUE"""),"https://drive.google.com/drive/folders/10T2cTQHqEJZqE-st6uFKPoI?usp=share_link")</f>
        <v>https://drive.google.com/drive/folders/10T2cTQHqEJZqE-st6uFKPoI?usp=share_link</v>
      </c>
      <c r="P2146" s="6" t="str">
        <f>IFERROR(__xludf.DUMMYFUNCTION("""COMPUTED_VALUE"""),"Aisha Kabwe")</f>
        <v>Aisha Kabwe</v>
      </c>
      <c r="Q2146" s="6" t="str">
        <f>IFERROR(__xludf.DUMMYFUNCTION("""COMPUTED_VALUE"""),"MS")</f>
        <v>MS</v>
      </c>
      <c r="R2146" s="6">
        <f>IFERROR(__xludf.DUMMYFUNCTION("""COMPUTED_VALUE"""),0.0)</f>
        <v>0</v>
      </c>
      <c r="S2146" s="6" t="str">
        <f>IFERROR(__xludf.DUMMYFUNCTION("""COMPUTED_VALUE""")," ")</f>
        <v> </v>
      </c>
      <c r="T2146" s="6" t="str">
        <f>IFERROR(__xludf.DUMMYFUNCTION("""COMPUTED_VALUE"""),"")</f>
        <v/>
      </c>
      <c r="U2146" s="6" t="str">
        <f>IFERROR(__xludf.DUMMYFUNCTION("""COMPUTED_VALUE"""),"8")</f>
        <v>8</v>
      </c>
      <c r="V2146" s="6" t="str">
        <f>IFERROR(__xludf.DUMMYFUNCTION("""COMPUTED_VALUE"""),"")</f>
        <v/>
      </c>
      <c r="W2146" s="6" t="str">
        <f>IFERROR(__xludf.DUMMYFUNCTION("""COMPUTED_VALUE"""),"[]")</f>
        <v>[]</v>
      </c>
      <c r="X2146" s="6" t="str">
        <f>IFERROR(__xludf.DUMMYFUNCTION("""COMPUTED_VALUE"""),"Enrolled")</f>
        <v>Enrolled</v>
      </c>
    </row>
    <row r="2147">
      <c r="A2147" s="6" t="str">
        <f>IFERROR(__xludf.DUMMYFUNCTION("""COMPUTED_VALUE"""),"031-2167")</f>
        <v>031-2167</v>
      </c>
      <c r="B2147" s="6" t="str">
        <f>IFERROR(__xludf.DUMMYFUNCTION("""COMPUTED_VALUE"""),"31")</f>
        <v>31</v>
      </c>
      <c r="C2147" s="6" t="str">
        <f>IFERROR(__xludf.DUMMYFUNCTION("""COMPUTED_VALUE"""),"2167")</f>
        <v>2167</v>
      </c>
      <c r="D2147" s="6" t="str">
        <f>IFERROR(__xludf.DUMMYFUNCTION("""COMPUTED_VALUE"""),"Christelle")</f>
        <v>Christelle</v>
      </c>
      <c r="E2147" s="6" t="str">
        <f>IFERROR(__xludf.DUMMYFUNCTION("""COMPUTED_VALUE"""),"")</f>
        <v/>
      </c>
      <c r="F2147" s="6" t="str">
        <f>IFERROR(__xludf.DUMMYFUNCTION("""COMPUTED_VALUE"""),"Ngoyi")</f>
        <v>Ngoyi</v>
      </c>
      <c r="G2147" s="6" t="str">
        <f>IFERROR(__xludf.DUMMYFUNCTION("""COMPUTED_VALUE"""),"Invalid Date")</f>
        <v>Invalid Date</v>
      </c>
      <c r="H2147" s="6" t="str">
        <f>IFERROR(__xludf.DUMMYFUNCTION("""COMPUTED_VALUE"""),"Self Identify")</f>
        <v>Self Identify</v>
      </c>
      <c r="I2147" s="6" t="str">
        <f>IFERROR(__xludf.DUMMYFUNCTION("""COMPUTED_VALUE"""),"Middle School")</f>
        <v>Middle School</v>
      </c>
      <c r="J2147" s="6" t="str">
        <f>IFERROR(__xludf.DUMMYFUNCTION("""COMPUTED_VALUE"""),"8")</f>
        <v>8</v>
      </c>
      <c r="K2147" s="6" t="str">
        <f>IFERROR(__xludf.DUMMYFUNCTION("""COMPUTED_VALUE"""),"christelle.ngoyi@2hourlearning.com")</f>
        <v>christelle.ngoyi@2hourlearning.com</v>
      </c>
      <c r="L2147" s="6" t="str">
        <f>IFERROR(__xludf.DUMMYFUNCTION("""COMPUTED_VALUE"""),"Limitless Education - Malawi")</f>
        <v>Limitless Education - Malawi</v>
      </c>
      <c r="M2147" s="6" t="str">
        <f>IFERROR(__xludf.DUMMYFUNCTION("""COMPUTED_VALUE"""),"")</f>
        <v/>
      </c>
      <c r="N2147" s="6" t="str">
        <f>IFERROR(__xludf.DUMMYFUNCTION("""COMPUTED_VALUE"""),"")</f>
        <v/>
      </c>
      <c r="O2147" s="87" t="str">
        <f>IFERROR(__xludf.DUMMYFUNCTION("""COMPUTED_VALUE"""),"https://drive.google.com/drive/folders/10T2cTQHqEJZqE-st6uFKPoI?usp=share_link")</f>
        <v>https://drive.google.com/drive/folders/10T2cTQHqEJZqE-st6uFKPoI?usp=share_link</v>
      </c>
      <c r="P2147" s="6" t="str">
        <f>IFERROR(__xludf.DUMMYFUNCTION("""COMPUTED_VALUE"""),"Christelle Ngoyi")</f>
        <v>Christelle Ngoyi</v>
      </c>
      <c r="Q2147" s="6" t="str">
        <f>IFERROR(__xludf.DUMMYFUNCTION("""COMPUTED_VALUE"""),"MS")</f>
        <v>MS</v>
      </c>
      <c r="R2147" s="6">
        <f>IFERROR(__xludf.DUMMYFUNCTION("""COMPUTED_VALUE"""),0.0)</f>
        <v>0</v>
      </c>
      <c r="S2147" s="6" t="str">
        <f>IFERROR(__xludf.DUMMYFUNCTION("""COMPUTED_VALUE""")," ")</f>
        <v> </v>
      </c>
      <c r="T2147" s="6" t="str">
        <f>IFERROR(__xludf.DUMMYFUNCTION("""COMPUTED_VALUE"""),"")</f>
        <v/>
      </c>
      <c r="U2147" s="6" t="str">
        <f>IFERROR(__xludf.DUMMYFUNCTION("""COMPUTED_VALUE"""),"8")</f>
        <v>8</v>
      </c>
      <c r="V2147" s="6" t="str">
        <f>IFERROR(__xludf.DUMMYFUNCTION("""COMPUTED_VALUE"""),"")</f>
        <v/>
      </c>
      <c r="W2147" s="6" t="str">
        <f>IFERROR(__xludf.DUMMYFUNCTION("""COMPUTED_VALUE"""),"[]")</f>
        <v>[]</v>
      </c>
      <c r="X2147" s="6" t="str">
        <f>IFERROR(__xludf.DUMMYFUNCTION("""COMPUTED_VALUE"""),"Enrolled")</f>
        <v>Enrolled</v>
      </c>
    </row>
    <row r="2148">
      <c r="A2148" s="6" t="str">
        <f>IFERROR(__xludf.DUMMYFUNCTION("""COMPUTED_VALUE"""),"031-2168")</f>
        <v>031-2168</v>
      </c>
      <c r="B2148" s="6" t="str">
        <f>IFERROR(__xludf.DUMMYFUNCTION("""COMPUTED_VALUE"""),"31")</f>
        <v>31</v>
      </c>
      <c r="C2148" s="6" t="str">
        <f>IFERROR(__xludf.DUMMYFUNCTION("""COMPUTED_VALUE"""),"2168")</f>
        <v>2168</v>
      </c>
      <c r="D2148" s="6" t="str">
        <f>IFERROR(__xludf.DUMMYFUNCTION("""COMPUTED_VALUE"""),"Tegra")</f>
        <v>Tegra</v>
      </c>
      <c r="E2148" s="6" t="str">
        <f>IFERROR(__xludf.DUMMYFUNCTION("""COMPUTED_VALUE"""),"")</f>
        <v/>
      </c>
      <c r="F2148" s="6" t="str">
        <f>IFERROR(__xludf.DUMMYFUNCTION("""COMPUTED_VALUE"""),"Mulanga")</f>
        <v>Mulanga</v>
      </c>
      <c r="G2148" s="6" t="str">
        <f>IFERROR(__xludf.DUMMYFUNCTION("""COMPUTED_VALUE"""),"Invalid Date")</f>
        <v>Invalid Date</v>
      </c>
      <c r="H2148" s="6" t="str">
        <f>IFERROR(__xludf.DUMMYFUNCTION("""COMPUTED_VALUE"""),"Self Identify")</f>
        <v>Self Identify</v>
      </c>
      <c r="I2148" s="6" t="str">
        <f>IFERROR(__xludf.DUMMYFUNCTION("""COMPUTED_VALUE"""),"Middle School")</f>
        <v>Middle School</v>
      </c>
      <c r="J2148" s="6" t="str">
        <f>IFERROR(__xludf.DUMMYFUNCTION("""COMPUTED_VALUE"""),"8")</f>
        <v>8</v>
      </c>
      <c r="K2148" s="6" t="str">
        <f>IFERROR(__xludf.DUMMYFUNCTION("""COMPUTED_VALUE"""),"tegra.mulanga@2hourlearning.com")</f>
        <v>tegra.mulanga@2hourlearning.com</v>
      </c>
      <c r="L2148" s="6" t="str">
        <f>IFERROR(__xludf.DUMMYFUNCTION("""COMPUTED_VALUE"""),"Limitless Education - Malawi")</f>
        <v>Limitless Education - Malawi</v>
      </c>
      <c r="M2148" s="6" t="str">
        <f>IFERROR(__xludf.DUMMYFUNCTION("""COMPUTED_VALUE"""),"")</f>
        <v/>
      </c>
      <c r="N2148" s="6" t="str">
        <f>IFERROR(__xludf.DUMMYFUNCTION("""COMPUTED_VALUE"""),"")</f>
        <v/>
      </c>
      <c r="O2148" s="87" t="str">
        <f>IFERROR(__xludf.DUMMYFUNCTION("""COMPUTED_VALUE"""),"https://drive.google.com/drive/folders/10T2cTQHqEJZqE-st6uFKPoI?usp=share_link")</f>
        <v>https://drive.google.com/drive/folders/10T2cTQHqEJZqE-st6uFKPoI?usp=share_link</v>
      </c>
      <c r="P2148" s="6" t="str">
        <f>IFERROR(__xludf.DUMMYFUNCTION("""COMPUTED_VALUE"""),"Tegra Mulanga")</f>
        <v>Tegra Mulanga</v>
      </c>
      <c r="Q2148" s="6" t="str">
        <f>IFERROR(__xludf.DUMMYFUNCTION("""COMPUTED_VALUE"""),"MS")</f>
        <v>MS</v>
      </c>
      <c r="R2148" s="6">
        <f>IFERROR(__xludf.DUMMYFUNCTION("""COMPUTED_VALUE"""),0.0)</f>
        <v>0</v>
      </c>
      <c r="S2148" s="6" t="str">
        <f>IFERROR(__xludf.DUMMYFUNCTION("""COMPUTED_VALUE""")," ")</f>
        <v> </v>
      </c>
      <c r="T2148" s="6" t="str">
        <f>IFERROR(__xludf.DUMMYFUNCTION("""COMPUTED_VALUE"""),"")</f>
        <v/>
      </c>
      <c r="U2148" s="6" t="str">
        <f>IFERROR(__xludf.DUMMYFUNCTION("""COMPUTED_VALUE"""),"8")</f>
        <v>8</v>
      </c>
      <c r="V2148" s="6" t="str">
        <f>IFERROR(__xludf.DUMMYFUNCTION("""COMPUTED_VALUE"""),"")</f>
        <v/>
      </c>
      <c r="W2148" s="6" t="str">
        <f>IFERROR(__xludf.DUMMYFUNCTION("""COMPUTED_VALUE"""),"[]")</f>
        <v>[]</v>
      </c>
      <c r="X2148" s="6" t="str">
        <f>IFERROR(__xludf.DUMMYFUNCTION("""COMPUTED_VALUE"""),"Enrolled")</f>
        <v>Enrolled</v>
      </c>
    </row>
    <row r="2149">
      <c r="A2149" s="6" t="str">
        <f>IFERROR(__xludf.DUMMYFUNCTION("""COMPUTED_VALUE"""),"031-2169")</f>
        <v>031-2169</v>
      </c>
      <c r="B2149" s="6" t="str">
        <f>IFERROR(__xludf.DUMMYFUNCTION("""COMPUTED_VALUE"""),"31")</f>
        <v>31</v>
      </c>
      <c r="C2149" s="6" t="str">
        <f>IFERROR(__xludf.DUMMYFUNCTION("""COMPUTED_VALUE"""),"2169")</f>
        <v>2169</v>
      </c>
      <c r="D2149" s="6" t="str">
        <f>IFERROR(__xludf.DUMMYFUNCTION("""COMPUTED_VALUE"""),"Malemba")</f>
        <v>Malemba</v>
      </c>
      <c r="E2149" s="6" t="str">
        <f>IFERROR(__xludf.DUMMYFUNCTION("""COMPUTED_VALUE"""),"")</f>
        <v/>
      </c>
      <c r="F2149" s="6" t="str">
        <f>IFERROR(__xludf.DUMMYFUNCTION("""COMPUTED_VALUE"""),"Darren")</f>
        <v>Darren</v>
      </c>
      <c r="G2149" s="6" t="str">
        <f>IFERROR(__xludf.DUMMYFUNCTION("""COMPUTED_VALUE"""),"Invalid Date")</f>
        <v>Invalid Date</v>
      </c>
      <c r="H2149" s="6" t="str">
        <f>IFERROR(__xludf.DUMMYFUNCTION("""COMPUTED_VALUE"""),"Self Identify")</f>
        <v>Self Identify</v>
      </c>
      <c r="I2149" s="6" t="str">
        <f>IFERROR(__xludf.DUMMYFUNCTION("""COMPUTED_VALUE"""),"Middle School")</f>
        <v>Middle School</v>
      </c>
      <c r="J2149" s="6" t="str">
        <f>IFERROR(__xludf.DUMMYFUNCTION("""COMPUTED_VALUE"""),"8")</f>
        <v>8</v>
      </c>
      <c r="K2149" s="6" t="str">
        <f>IFERROR(__xludf.DUMMYFUNCTION("""COMPUTED_VALUE"""),"malemba.darren@2hourlearning.com")</f>
        <v>malemba.darren@2hourlearning.com</v>
      </c>
      <c r="L2149" s="6" t="str">
        <f>IFERROR(__xludf.DUMMYFUNCTION("""COMPUTED_VALUE"""),"Limitless Education - Malawi")</f>
        <v>Limitless Education - Malawi</v>
      </c>
      <c r="M2149" s="6" t="str">
        <f>IFERROR(__xludf.DUMMYFUNCTION("""COMPUTED_VALUE"""),"")</f>
        <v/>
      </c>
      <c r="N2149" s="6" t="str">
        <f>IFERROR(__xludf.DUMMYFUNCTION("""COMPUTED_VALUE"""),"")</f>
        <v/>
      </c>
      <c r="O2149" s="87" t="str">
        <f>IFERROR(__xludf.DUMMYFUNCTION("""COMPUTED_VALUE"""),"https://drive.google.com/drive/folders/10T2cTQHqEJZqE-st6uFKPoI?usp=share_link")</f>
        <v>https://drive.google.com/drive/folders/10T2cTQHqEJZqE-st6uFKPoI?usp=share_link</v>
      </c>
      <c r="P2149" s="6" t="str">
        <f>IFERROR(__xludf.DUMMYFUNCTION("""COMPUTED_VALUE"""),"Malemba Darren")</f>
        <v>Malemba Darren</v>
      </c>
      <c r="Q2149" s="6" t="str">
        <f>IFERROR(__xludf.DUMMYFUNCTION("""COMPUTED_VALUE"""),"MS")</f>
        <v>MS</v>
      </c>
      <c r="R2149" s="6">
        <f>IFERROR(__xludf.DUMMYFUNCTION("""COMPUTED_VALUE"""),0.0)</f>
        <v>0</v>
      </c>
      <c r="S2149" s="6" t="str">
        <f>IFERROR(__xludf.DUMMYFUNCTION("""COMPUTED_VALUE""")," ")</f>
        <v> </v>
      </c>
      <c r="T2149" s="6" t="str">
        <f>IFERROR(__xludf.DUMMYFUNCTION("""COMPUTED_VALUE"""),"")</f>
        <v/>
      </c>
      <c r="U2149" s="6" t="str">
        <f>IFERROR(__xludf.DUMMYFUNCTION("""COMPUTED_VALUE"""),"8")</f>
        <v>8</v>
      </c>
      <c r="V2149" s="6" t="str">
        <f>IFERROR(__xludf.DUMMYFUNCTION("""COMPUTED_VALUE"""),"")</f>
        <v/>
      </c>
      <c r="W2149" s="6" t="str">
        <f>IFERROR(__xludf.DUMMYFUNCTION("""COMPUTED_VALUE"""),"[]")</f>
        <v>[]</v>
      </c>
      <c r="X2149" s="6" t="str">
        <f>IFERROR(__xludf.DUMMYFUNCTION("""COMPUTED_VALUE"""),"Enrolled")</f>
        <v>Enrolled</v>
      </c>
    </row>
    <row r="2150">
      <c r="A2150" s="6" t="str">
        <f>IFERROR(__xludf.DUMMYFUNCTION("""COMPUTED_VALUE"""),"031-2170")</f>
        <v>031-2170</v>
      </c>
      <c r="B2150" s="6" t="str">
        <f>IFERROR(__xludf.DUMMYFUNCTION("""COMPUTED_VALUE"""),"31")</f>
        <v>31</v>
      </c>
      <c r="C2150" s="6" t="str">
        <f>IFERROR(__xludf.DUMMYFUNCTION("""COMPUTED_VALUE"""),"2170")</f>
        <v>2170</v>
      </c>
      <c r="D2150" s="6" t="str">
        <f>IFERROR(__xludf.DUMMYFUNCTION("""COMPUTED_VALUE"""),"Grace")</f>
        <v>Grace</v>
      </c>
      <c r="E2150" s="6" t="str">
        <f>IFERROR(__xludf.DUMMYFUNCTION("""COMPUTED_VALUE"""),"")</f>
        <v/>
      </c>
      <c r="F2150" s="6" t="str">
        <f>IFERROR(__xludf.DUMMYFUNCTION("""COMPUTED_VALUE"""),"Mujinga")</f>
        <v>Mujinga</v>
      </c>
      <c r="G2150" s="6" t="str">
        <f>IFERROR(__xludf.DUMMYFUNCTION("""COMPUTED_VALUE"""),"Invalid Date")</f>
        <v>Invalid Date</v>
      </c>
      <c r="H2150" s="6" t="str">
        <f>IFERROR(__xludf.DUMMYFUNCTION("""COMPUTED_VALUE"""),"Self Identify")</f>
        <v>Self Identify</v>
      </c>
      <c r="I2150" s="6" t="str">
        <f>IFERROR(__xludf.DUMMYFUNCTION("""COMPUTED_VALUE"""),"High School")</f>
        <v>High School</v>
      </c>
      <c r="J2150" s="6" t="str">
        <f>IFERROR(__xludf.DUMMYFUNCTION("""COMPUTED_VALUE"""),"9")</f>
        <v>9</v>
      </c>
      <c r="K2150" s="6" t="str">
        <f>IFERROR(__xludf.DUMMYFUNCTION("""COMPUTED_VALUE"""),"grace.mujinga@2hourlearning.com")</f>
        <v>grace.mujinga@2hourlearning.com</v>
      </c>
      <c r="L2150" s="6" t="str">
        <f>IFERROR(__xludf.DUMMYFUNCTION("""COMPUTED_VALUE"""),"Limitless Education - Malawi")</f>
        <v>Limitless Education - Malawi</v>
      </c>
      <c r="M2150" s="6" t="str">
        <f>IFERROR(__xludf.DUMMYFUNCTION("""COMPUTED_VALUE"""),"")</f>
        <v/>
      </c>
      <c r="N2150" s="6" t="str">
        <f>IFERROR(__xludf.DUMMYFUNCTION("""COMPUTED_VALUE"""),"")</f>
        <v/>
      </c>
      <c r="O2150" s="87" t="str">
        <f>IFERROR(__xludf.DUMMYFUNCTION("""COMPUTED_VALUE"""),"https://drive.google.com/drive/folders/10T2cTQHqEJZqE-st6uFKPoI?usp=share_link")</f>
        <v>https://drive.google.com/drive/folders/10T2cTQHqEJZqE-st6uFKPoI?usp=share_link</v>
      </c>
      <c r="P2150" s="6" t="str">
        <f>IFERROR(__xludf.DUMMYFUNCTION("""COMPUTED_VALUE"""),"Grace Mujinga")</f>
        <v>Grace Mujinga</v>
      </c>
      <c r="Q2150" s="6" t="str">
        <f>IFERROR(__xludf.DUMMYFUNCTION("""COMPUTED_VALUE"""),"HS")</f>
        <v>HS</v>
      </c>
      <c r="R2150" s="6">
        <f>IFERROR(__xludf.DUMMYFUNCTION("""COMPUTED_VALUE"""),0.0)</f>
        <v>0</v>
      </c>
      <c r="S2150" s="6" t="str">
        <f>IFERROR(__xludf.DUMMYFUNCTION("""COMPUTED_VALUE""")," ")</f>
        <v> </v>
      </c>
      <c r="T2150" s="6" t="str">
        <f>IFERROR(__xludf.DUMMYFUNCTION("""COMPUTED_VALUE"""),"")</f>
        <v/>
      </c>
      <c r="U2150" s="6" t="str">
        <f>IFERROR(__xludf.DUMMYFUNCTION("""COMPUTED_VALUE"""),"9")</f>
        <v>9</v>
      </c>
      <c r="V2150" s="6" t="str">
        <f>IFERROR(__xludf.DUMMYFUNCTION("""COMPUTED_VALUE"""),"")</f>
        <v/>
      </c>
      <c r="W2150" s="6" t="str">
        <f>IFERROR(__xludf.DUMMYFUNCTION("""COMPUTED_VALUE"""),"[]")</f>
        <v>[]</v>
      </c>
      <c r="X2150" s="6" t="str">
        <f>IFERROR(__xludf.DUMMYFUNCTION("""COMPUTED_VALUE"""),"Enrolled")</f>
        <v>Enrolled</v>
      </c>
    </row>
    <row r="2151">
      <c r="A2151" s="6" t="str">
        <f>IFERROR(__xludf.DUMMYFUNCTION("""COMPUTED_VALUE"""),"031-2171")</f>
        <v>031-2171</v>
      </c>
      <c r="B2151" s="6" t="str">
        <f>IFERROR(__xludf.DUMMYFUNCTION("""COMPUTED_VALUE"""),"31")</f>
        <v>31</v>
      </c>
      <c r="C2151" s="6" t="str">
        <f>IFERROR(__xludf.DUMMYFUNCTION("""COMPUTED_VALUE"""),"2171")</f>
        <v>2171</v>
      </c>
      <c r="D2151" s="6" t="str">
        <f>IFERROR(__xludf.DUMMYFUNCTION("""COMPUTED_VALUE"""),"Elvis")</f>
        <v>Elvis</v>
      </c>
      <c r="E2151" s="6" t="str">
        <f>IFERROR(__xludf.DUMMYFUNCTION("""COMPUTED_VALUE"""),"")</f>
        <v/>
      </c>
      <c r="F2151" s="6" t="str">
        <f>IFERROR(__xludf.DUMMYFUNCTION("""COMPUTED_VALUE"""),"Ilunga")</f>
        <v>Ilunga</v>
      </c>
      <c r="G2151" s="6" t="str">
        <f>IFERROR(__xludf.DUMMYFUNCTION("""COMPUTED_VALUE"""),"Invalid Date")</f>
        <v>Invalid Date</v>
      </c>
      <c r="H2151" s="6" t="str">
        <f>IFERROR(__xludf.DUMMYFUNCTION("""COMPUTED_VALUE"""),"Self Identify")</f>
        <v>Self Identify</v>
      </c>
      <c r="I2151" s="6" t="str">
        <f>IFERROR(__xludf.DUMMYFUNCTION("""COMPUTED_VALUE"""),"High School")</f>
        <v>High School</v>
      </c>
      <c r="J2151" s="6" t="str">
        <f>IFERROR(__xludf.DUMMYFUNCTION("""COMPUTED_VALUE"""),"9")</f>
        <v>9</v>
      </c>
      <c r="K2151" s="6" t="str">
        <f>IFERROR(__xludf.DUMMYFUNCTION("""COMPUTED_VALUE"""),"elvis.ilunga@2hourlearning.com")</f>
        <v>elvis.ilunga@2hourlearning.com</v>
      </c>
      <c r="L2151" s="6" t="str">
        <f>IFERROR(__xludf.DUMMYFUNCTION("""COMPUTED_VALUE"""),"Limitless Education - Malawi")</f>
        <v>Limitless Education - Malawi</v>
      </c>
      <c r="M2151" s="6" t="str">
        <f>IFERROR(__xludf.DUMMYFUNCTION("""COMPUTED_VALUE"""),"")</f>
        <v/>
      </c>
      <c r="N2151" s="6" t="str">
        <f>IFERROR(__xludf.DUMMYFUNCTION("""COMPUTED_VALUE"""),"")</f>
        <v/>
      </c>
      <c r="O2151" s="87" t="str">
        <f>IFERROR(__xludf.DUMMYFUNCTION("""COMPUTED_VALUE"""),"https://drive.google.com/drive/folders/10T2cTQHqEJZqE-st6uFKPoI?usp=share_link")</f>
        <v>https://drive.google.com/drive/folders/10T2cTQHqEJZqE-st6uFKPoI?usp=share_link</v>
      </c>
      <c r="P2151" s="6" t="str">
        <f>IFERROR(__xludf.DUMMYFUNCTION("""COMPUTED_VALUE"""),"Elvis Ilunga")</f>
        <v>Elvis Ilunga</v>
      </c>
      <c r="Q2151" s="6" t="str">
        <f>IFERROR(__xludf.DUMMYFUNCTION("""COMPUTED_VALUE"""),"HS")</f>
        <v>HS</v>
      </c>
      <c r="R2151" s="6">
        <f>IFERROR(__xludf.DUMMYFUNCTION("""COMPUTED_VALUE"""),0.0)</f>
        <v>0</v>
      </c>
      <c r="S2151" s="6" t="str">
        <f>IFERROR(__xludf.DUMMYFUNCTION("""COMPUTED_VALUE""")," ")</f>
        <v> </v>
      </c>
      <c r="T2151" s="6" t="str">
        <f>IFERROR(__xludf.DUMMYFUNCTION("""COMPUTED_VALUE"""),"")</f>
        <v/>
      </c>
      <c r="U2151" s="6" t="str">
        <f>IFERROR(__xludf.DUMMYFUNCTION("""COMPUTED_VALUE"""),"9")</f>
        <v>9</v>
      </c>
      <c r="V2151" s="6" t="str">
        <f>IFERROR(__xludf.DUMMYFUNCTION("""COMPUTED_VALUE"""),"")</f>
        <v/>
      </c>
      <c r="W2151" s="6" t="str">
        <f>IFERROR(__xludf.DUMMYFUNCTION("""COMPUTED_VALUE"""),"[]")</f>
        <v>[]</v>
      </c>
      <c r="X2151" s="6" t="str">
        <f>IFERROR(__xludf.DUMMYFUNCTION("""COMPUTED_VALUE"""),"Enrolled")</f>
        <v>Enrolled</v>
      </c>
    </row>
    <row r="2152">
      <c r="A2152" s="6" t="str">
        <f>IFERROR(__xludf.DUMMYFUNCTION("""COMPUTED_VALUE"""),"031-2172")</f>
        <v>031-2172</v>
      </c>
      <c r="B2152" s="6" t="str">
        <f>IFERROR(__xludf.DUMMYFUNCTION("""COMPUTED_VALUE"""),"31")</f>
        <v>31</v>
      </c>
      <c r="C2152" s="6" t="str">
        <f>IFERROR(__xludf.DUMMYFUNCTION("""COMPUTED_VALUE"""),"2172")</f>
        <v>2172</v>
      </c>
      <c r="D2152" s="6" t="str">
        <f>IFERROR(__xludf.DUMMYFUNCTION("""COMPUTED_VALUE"""),"Holly")</f>
        <v>Holly</v>
      </c>
      <c r="E2152" s="6" t="str">
        <f>IFERROR(__xludf.DUMMYFUNCTION("""COMPUTED_VALUE"""),"")</f>
        <v/>
      </c>
      <c r="F2152" s="6" t="str">
        <f>IFERROR(__xludf.DUMMYFUNCTION("""COMPUTED_VALUE"""),"Hope")</f>
        <v>Hope</v>
      </c>
      <c r="G2152" s="6" t="str">
        <f>IFERROR(__xludf.DUMMYFUNCTION("""COMPUTED_VALUE"""),"Invalid Date")</f>
        <v>Invalid Date</v>
      </c>
      <c r="H2152" s="6" t="str">
        <f>IFERROR(__xludf.DUMMYFUNCTION("""COMPUTED_VALUE"""),"Self Identify")</f>
        <v>Self Identify</v>
      </c>
      <c r="I2152" s="6" t="str">
        <f>IFERROR(__xludf.DUMMYFUNCTION("""COMPUTED_VALUE"""),"High School")</f>
        <v>High School</v>
      </c>
      <c r="J2152" s="6" t="str">
        <f>IFERROR(__xludf.DUMMYFUNCTION("""COMPUTED_VALUE"""),"9")</f>
        <v>9</v>
      </c>
      <c r="K2152" s="6" t="str">
        <f>IFERROR(__xludf.DUMMYFUNCTION("""COMPUTED_VALUE"""),"holly.hope@2hourlearning.com")</f>
        <v>holly.hope@2hourlearning.com</v>
      </c>
      <c r="L2152" s="6" t="str">
        <f>IFERROR(__xludf.DUMMYFUNCTION("""COMPUTED_VALUE"""),"Limitless Education - Malawi")</f>
        <v>Limitless Education - Malawi</v>
      </c>
      <c r="M2152" s="6" t="str">
        <f>IFERROR(__xludf.DUMMYFUNCTION("""COMPUTED_VALUE"""),"")</f>
        <v/>
      </c>
      <c r="N2152" s="6" t="str">
        <f>IFERROR(__xludf.DUMMYFUNCTION("""COMPUTED_VALUE"""),"")</f>
        <v/>
      </c>
      <c r="O2152" s="87" t="str">
        <f>IFERROR(__xludf.DUMMYFUNCTION("""COMPUTED_VALUE"""),"https://drive.google.com/drive/folders/10T2cTQHqEJZqE-st6uFKPoI?usp=share_link")</f>
        <v>https://drive.google.com/drive/folders/10T2cTQHqEJZqE-st6uFKPoI?usp=share_link</v>
      </c>
      <c r="P2152" s="6" t="str">
        <f>IFERROR(__xludf.DUMMYFUNCTION("""COMPUTED_VALUE"""),"Holly Hope")</f>
        <v>Holly Hope</v>
      </c>
      <c r="Q2152" s="6" t="str">
        <f>IFERROR(__xludf.DUMMYFUNCTION("""COMPUTED_VALUE"""),"HS")</f>
        <v>HS</v>
      </c>
      <c r="R2152" s="6">
        <f>IFERROR(__xludf.DUMMYFUNCTION("""COMPUTED_VALUE"""),0.0)</f>
        <v>0</v>
      </c>
      <c r="S2152" s="6" t="str">
        <f>IFERROR(__xludf.DUMMYFUNCTION("""COMPUTED_VALUE""")," ")</f>
        <v> </v>
      </c>
      <c r="T2152" s="6" t="str">
        <f>IFERROR(__xludf.DUMMYFUNCTION("""COMPUTED_VALUE"""),"")</f>
        <v/>
      </c>
      <c r="U2152" s="6" t="str">
        <f>IFERROR(__xludf.DUMMYFUNCTION("""COMPUTED_VALUE"""),"9")</f>
        <v>9</v>
      </c>
      <c r="V2152" s="6" t="str">
        <f>IFERROR(__xludf.DUMMYFUNCTION("""COMPUTED_VALUE"""),"")</f>
        <v/>
      </c>
      <c r="W2152" s="6" t="str">
        <f>IFERROR(__xludf.DUMMYFUNCTION("""COMPUTED_VALUE"""),"[]")</f>
        <v>[]</v>
      </c>
      <c r="X2152" s="6" t="str">
        <f>IFERROR(__xludf.DUMMYFUNCTION("""COMPUTED_VALUE"""),"Enrolled")</f>
        <v>Enrolled</v>
      </c>
    </row>
    <row r="2153">
      <c r="A2153" s="6" t="str">
        <f>IFERROR(__xludf.DUMMYFUNCTION("""COMPUTED_VALUE"""),"031-2173")</f>
        <v>031-2173</v>
      </c>
      <c r="B2153" s="6" t="str">
        <f>IFERROR(__xludf.DUMMYFUNCTION("""COMPUTED_VALUE"""),"31")</f>
        <v>31</v>
      </c>
      <c r="C2153" s="6" t="str">
        <f>IFERROR(__xludf.DUMMYFUNCTION("""COMPUTED_VALUE"""),"2173")</f>
        <v>2173</v>
      </c>
      <c r="D2153" s="6" t="str">
        <f>IFERROR(__xludf.DUMMYFUNCTION("""COMPUTED_VALUE"""),"Igiraneza")</f>
        <v>Igiraneza</v>
      </c>
      <c r="E2153" s="6" t="str">
        <f>IFERROR(__xludf.DUMMYFUNCTION("""COMPUTED_VALUE"""),"")</f>
        <v/>
      </c>
      <c r="F2153" s="6" t="str">
        <f>IFERROR(__xludf.DUMMYFUNCTION("""COMPUTED_VALUE"""),"Joshua")</f>
        <v>Joshua</v>
      </c>
      <c r="G2153" s="6" t="str">
        <f>IFERROR(__xludf.DUMMYFUNCTION("""COMPUTED_VALUE"""),"Invalid Date")</f>
        <v>Invalid Date</v>
      </c>
      <c r="H2153" s="6" t="str">
        <f>IFERROR(__xludf.DUMMYFUNCTION("""COMPUTED_VALUE"""),"Self Identify")</f>
        <v>Self Identify</v>
      </c>
      <c r="I2153" s="6" t="str">
        <f>IFERROR(__xludf.DUMMYFUNCTION("""COMPUTED_VALUE"""),"High School")</f>
        <v>High School</v>
      </c>
      <c r="J2153" s="6" t="str">
        <f>IFERROR(__xludf.DUMMYFUNCTION("""COMPUTED_VALUE"""),"9")</f>
        <v>9</v>
      </c>
      <c r="K2153" s="6" t="str">
        <f>IFERROR(__xludf.DUMMYFUNCTION("""COMPUTED_VALUE"""),"igiraneza.joshua@2hourlearning.com")</f>
        <v>igiraneza.joshua@2hourlearning.com</v>
      </c>
      <c r="L2153" s="6" t="str">
        <f>IFERROR(__xludf.DUMMYFUNCTION("""COMPUTED_VALUE"""),"Limitless Education - Malawi")</f>
        <v>Limitless Education - Malawi</v>
      </c>
      <c r="M2153" s="6" t="str">
        <f>IFERROR(__xludf.DUMMYFUNCTION("""COMPUTED_VALUE"""),"")</f>
        <v/>
      </c>
      <c r="N2153" s="6" t="str">
        <f>IFERROR(__xludf.DUMMYFUNCTION("""COMPUTED_VALUE"""),"")</f>
        <v/>
      </c>
      <c r="O2153" s="87" t="str">
        <f>IFERROR(__xludf.DUMMYFUNCTION("""COMPUTED_VALUE"""),"https://drive.google.com/drive/folders/10T2cTQHqEJZqE-st6uFKPoI?usp=share_link")</f>
        <v>https://drive.google.com/drive/folders/10T2cTQHqEJZqE-st6uFKPoI?usp=share_link</v>
      </c>
      <c r="P2153" s="6" t="str">
        <f>IFERROR(__xludf.DUMMYFUNCTION("""COMPUTED_VALUE"""),"Igiraneza Joshua")</f>
        <v>Igiraneza Joshua</v>
      </c>
      <c r="Q2153" s="6" t="str">
        <f>IFERROR(__xludf.DUMMYFUNCTION("""COMPUTED_VALUE"""),"HS")</f>
        <v>HS</v>
      </c>
      <c r="R2153" s="6">
        <f>IFERROR(__xludf.DUMMYFUNCTION("""COMPUTED_VALUE"""),0.0)</f>
        <v>0</v>
      </c>
      <c r="S2153" s="6" t="str">
        <f>IFERROR(__xludf.DUMMYFUNCTION("""COMPUTED_VALUE""")," ")</f>
        <v> </v>
      </c>
      <c r="T2153" s="6" t="str">
        <f>IFERROR(__xludf.DUMMYFUNCTION("""COMPUTED_VALUE"""),"")</f>
        <v/>
      </c>
      <c r="U2153" s="6" t="str">
        <f>IFERROR(__xludf.DUMMYFUNCTION("""COMPUTED_VALUE"""),"9")</f>
        <v>9</v>
      </c>
      <c r="V2153" s="6" t="str">
        <f>IFERROR(__xludf.DUMMYFUNCTION("""COMPUTED_VALUE"""),"")</f>
        <v/>
      </c>
      <c r="W2153" s="6" t="str">
        <f>IFERROR(__xludf.DUMMYFUNCTION("""COMPUTED_VALUE"""),"[]")</f>
        <v>[]</v>
      </c>
      <c r="X2153" s="6" t="str">
        <f>IFERROR(__xludf.DUMMYFUNCTION("""COMPUTED_VALUE"""),"Enrolled")</f>
        <v>Enrolled</v>
      </c>
    </row>
    <row r="2154">
      <c r="A2154" s="6" t="str">
        <f>IFERROR(__xludf.DUMMYFUNCTION("""COMPUTED_VALUE"""),"031-2174")</f>
        <v>031-2174</v>
      </c>
      <c r="B2154" s="6" t="str">
        <f>IFERROR(__xludf.DUMMYFUNCTION("""COMPUTED_VALUE"""),"31")</f>
        <v>31</v>
      </c>
      <c r="C2154" s="6" t="str">
        <f>IFERROR(__xludf.DUMMYFUNCTION("""COMPUTED_VALUE"""),"2174")</f>
        <v>2174</v>
      </c>
      <c r="D2154" s="6" t="str">
        <f>IFERROR(__xludf.DUMMYFUNCTION("""COMPUTED_VALUE"""),"Erick")</f>
        <v>Erick</v>
      </c>
      <c r="E2154" s="6" t="str">
        <f>IFERROR(__xludf.DUMMYFUNCTION("""COMPUTED_VALUE"""),"")</f>
        <v/>
      </c>
      <c r="F2154" s="6" t="str">
        <f>IFERROR(__xludf.DUMMYFUNCTION("""COMPUTED_VALUE"""),"Sobanika")</f>
        <v>Sobanika</v>
      </c>
      <c r="G2154" s="6" t="str">
        <f>IFERROR(__xludf.DUMMYFUNCTION("""COMPUTED_VALUE"""),"Invalid Date")</f>
        <v>Invalid Date</v>
      </c>
      <c r="H2154" s="6" t="str">
        <f>IFERROR(__xludf.DUMMYFUNCTION("""COMPUTED_VALUE"""),"Self Identify")</f>
        <v>Self Identify</v>
      </c>
      <c r="I2154" s="6" t="str">
        <f>IFERROR(__xludf.DUMMYFUNCTION("""COMPUTED_VALUE"""),"Middle School")</f>
        <v>Middle School</v>
      </c>
      <c r="J2154" s="6" t="str">
        <f>IFERROR(__xludf.DUMMYFUNCTION("""COMPUTED_VALUE"""),"7")</f>
        <v>7</v>
      </c>
      <c r="K2154" s="6" t="str">
        <f>IFERROR(__xludf.DUMMYFUNCTION("""COMPUTED_VALUE"""),"erick.sobanika@2hourlearning.com")</f>
        <v>erick.sobanika@2hourlearning.com</v>
      </c>
      <c r="L2154" s="6" t="str">
        <f>IFERROR(__xludf.DUMMYFUNCTION("""COMPUTED_VALUE"""),"Limitless Education - Malawi")</f>
        <v>Limitless Education - Malawi</v>
      </c>
      <c r="M2154" s="6" t="str">
        <f>IFERROR(__xludf.DUMMYFUNCTION("""COMPUTED_VALUE"""),"")</f>
        <v/>
      </c>
      <c r="N2154" s="6" t="str">
        <f>IFERROR(__xludf.DUMMYFUNCTION("""COMPUTED_VALUE"""),"")</f>
        <v/>
      </c>
      <c r="O2154" s="87" t="str">
        <f>IFERROR(__xludf.DUMMYFUNCTION("""COMPUTED_VALUE"""),"https://drive.google.com/drive/folders/10T2cTQHqEJZqE-st6uFKPoI?usp=share_link")</f>
        <v>https://drive.google.com/drive/folders/10T2cTQHqEJZqE-st6uFKPoI?usp=share_link</v>
      </c>
      <c r="P2154" s="6" t="str">
        <f>IFERROR(__xludf.DUMMYFUNCTION("""COMPUTED_VALUE"""),"Erick Sobanika")</f>
        <v>Erick Sobanika</v>
      </c>
      <c r="Q2154" s="6" t="str">
        <f>IFERROR(__xludf.DUMMYFUNCTION("""COMPUTED_VALUE"""),"MS")</f>
        <v>MS</v>
      </c>
      <c r="R2154" s="6">
        <f>IFERROR(__xludf.DUMMYFUNCTION("""COMPUTED_VALUE"""),0.0)</f>
        <v>0</v>
      </c>
      <c r="S2154" s="6" t="str">
        <f>IFERROR(__xludf.DUMMYFUNCTION("""COMPUTED_VALUE""")," ")</f>
        <v> </v>
      </c>
      <c r="T2154" s="6" t="str">
        <f>IFERROR(__xludf.DUMMYFUNCTION("""COMPUTED_VALUE"""),"")</f>
        <v/>
      </c>
      <c r="U2154" s="6" t="str">
        <f>IFERROR(__xludf.DUMMYFUNCTION("""COMPUTED_VALUE"""),"7")</f>
        <v>7</v>
      </c>
      <c r="V2154" s="6" t="str">
        <f>IFERROR(__xludf.DUMMYFUNCTION("""COMPUTED_VALUE"""),"")</f>
        <v/>
      </c>
      <c r="W2154" s="6" t="str">
        <f>IFERROR(__xludf.DUMMYFUNCTION("""COMPUTED_VALUE"""),"[]")</f>
        <v>[]</v>
      </c>
      <c r="X2154" s="6" t="str">
        <f>IFERROR(__xludf.DUMMYFUNCTION("""COMPUTED_VALUE"""),"Enrolled")</f>
        <v>Enrolled</v>
      </c>
    </row>
    <row r="2155">
      <c r="A2155" s="6" t="str">
        <f>IFERROR(__xludf.DUMMYFUNCTION("""COMPUTED_VALUE"""),"031-2175")</f>
        <v>031-2175</v>
      </c>
      <c r="B2155" s="6" t="str">
        <f>IFERROR(__xludf.DUMMYFUNCTION("""COMPUTED_VALUE"""),"31")</f>
        <v>31</v>
      </c>
      <c r="C2155" s="6" t="str">
        <f>IFERROR(__xludf.DUMMYFUNCTION("""COMPUTED_VALUE"""),"2175")</f>
        <v>2175</v>
      </c>
      <c r="D2155" s="6" t="str">
        <f>IFERROR(__xludf.DUMMYFUNCTION("""COMPUTED_VALUE"""),"Hellena")</f>
        <v>Hellena</v>
      </c>
      <c r="E2155" s="6" t="str">
        <f>IFERROR(__xludf.DUMMYFUNCTION("""COMPUTED_VALUE"""),"")</f>
        <v/>
      </c>
      <c r="F2155" s="6" t="str">
        <f>IFERROR(__xludf.DUMMYFUNCTION("""COMPUTED_VALUE"""),"Furanisha")</f>
        <v>Furanisha</v>
      </c>
      <c r="G2155" s="6" t="str">
        <f>IFERROR(__xludf.DUMMYFUNCTION("""COMPUTED_VALUE"""),"Invalid Date")</f>
        <v>Invalid Date</v>
      </c>
      <c r="H2155" s="6" t="str">
        <f>IFERROR(__xludf.DUMMYFUNCTION("""COMPUTED_VALUE"""),"Self Identify")</f>
        <v>Self Identify</v>
      </c>
      <c r="I2155" s="6" t="str">
        <f>IFERROR(__xludf.DUMMYFUNCTION("""COMPUTED_VALUE"""),"Level 2")</f>
        <v>Level 2</v>
      </c>
      <c r="J2155" s="6" t="str">
        <f>IFERROR(__xludf.DUMMYFUNCTION("""COMPUTED_VALUE"""),"5")</f>
        <v>5</v>
      </c>
      <c r="K2155" s="6" t="str">
        <f>IFERROR(__xludf.DUMMYFUNCTION("""COMPUTED_VALUE"""),"hellena.furanisha@2hourlearning.com")</f>
        <v>hellena.furanisha@2hourlearning.com</v>
      </c>
      <c r="L2155" s="6" t="str">
        <f>IFERROR(__xludf.DUMMYFUNCTION("""COMPUTED_VALUE"""),"Limitless Education - Malawi")</f>
        <v>Limitless Education - Malawi</v>
      </c>
      <c r="M2155" s="6" t="str">
        <f>IFERROR(__xludf.DUMMYFUNCTION("""COMPUTED_VALUE"""),"")</f>
        <v/>
      </c>
      <c r="N2155" s="6" t="str">
        <f>IFERROR(__xludf.DUMMYFUNCTION("""COMPUTED_VALUE"""),"")</f>
        <v/>
      </c>
      <c r="O2155" s="87" t="str">
        <f>IFERROR(__xludf.DUMMYFUNCTION("""COMPUTED_VALUE"""),"https://drive.google.com/drive/folders/10T2cTQHqEJZqE-st6uFKPoI?usp=share_link")</f>
        <v>https://drive.google.com/drive/folders/10T2cTQHqEJZqE-st6uFKPoI?usp=share_link</v>
      </c>
      <c r="P2155" s="6" t="str">
        <f>IFERROR(__xludf.DUMMYFUNCTION("""COMPUTED_VALUE"""),"Hellena Furanisha")</f>
        <v>Hellena Furanisha</v>
      </c>
      <c r="Q2155" s="6" t="str">
        <f>IFERROR(__xludf.DUMMYFUNCTION("""COMPUTED_VALUE"""),"L2")</f>
        <v>L2</v>
      </c>
      <c r="R2155" s="6">
        <f>IFERROR(__xludf.DUMMYFUNCTION("""COMPUTED_VALUE"""),2.0)</f>
        <v>2</v>
      </c>
      <c r="S2155" s="6" t="str">
        <f>IFERROR(__xludf.DUMMYFUNCTION("""COMPUTED_VALUE""")," ")</f>
        <v> </v>
      </c>
      <c r="T2155" s="6" t="str">
        <f>IFERROR(__xludf.DUMMYFUNCTION("""COMPUTED_VALUE"""),"")</f>
        <v/>
      </c>
      <c r="U2155" s="6" t="str">
        <f>IFERROR(__xludf.DUMMYFUNCTION("""COMPUTED_VALUE"""),"5")</f>
        <v>5</v>
      </c>
      <c r="V2155" s="6" t="str">
        <f>IFERROR(__xludf.DUMMYFUNCTION("""COMPUTED_VALUE"""),"")</f>
        <v/>
      </c>
      <c r="W2155" s="6" t="str">
        <f>IFERROR(__xludf.DUMMYFUNCTION("""COMPUTED_VALUE"""),"[]")</f>
        <v>[]</v>
      </c>
      <c r="X2155" s="6" t="str">
        <f>IFERROR(__xludf.DUMMYFUNCTION("""COMPUTED_VALUE"""),"Enrolled")</f>
        <v>Enrolled</v>
      </c>
    </row>
    <row r="2156">
      <c r="A2156" s="6" t="str">
        <f>IFERROR(__xludf.DUMMYFUNCTION("""COMPUTED_VALUE"""),"031-2176")</f>
        <v>031-2176</v>
      </c>
      <c r="B2156" s="6" t="str">
        <f>IFERROR(__xludf.DUMMYFUNCTION("""COMPUTED_VALUE"""),"31")</f>
        <v>31</v>
      </c>
      <c r="C2156" s="6" t="str">
        <f>IFERROR(__xludf.DUMMYFUNCTION("""COMPUTED_VALUE"""),"2176")</f>
        <v>2176</v>
      </c>
      <c r="D2156" s="6" t="str">
        <f>IFERROR(__xludf.DUMMYFUNCTION("""COMPUTED_VALUE"""),"Felix")</f>
        <v>Felix</v>
      </c>
      <c r="E2156" s="6" t="str">
        <f>IFERROR(__xludf.DUMMYFUNCTION("""COMPUTED_VALUE"""),"")</f>
        <v/>
      </c>
      <c r="F2156" s="6" t="str">
        <f>IFERROR(__xludf.DUMMYFUNCTION("""COMPUTED_VALUE"""),"Jacques")</f>
        <v>Jacques</v>
      </c>
      <c r="G2156" s="6" t="str">
        <f>IFERROR(__xludf.DUMMYFUNCTION("""COMPUTED_VALUE"""),"Invalid Date")</f>
        <v>Invalid Date</v>
      </c>
      <c r="H2156" s="6" t="str">
        <f>IFERROR(__xludf.DUMMYFUNCTION("""COMPUTED_VALUE"""),"Self Identify")</f>
        <v>Self Identify</v>
      </c>
      <c r="I2156" s="6" t="str">
        <f>IFERROR(__xludf.DUMMYFUNCTION("""COMPUTED_VALUE"""),"Middle School")</f>
        <v>Middle School</v>
      </c>
      <c r="J2156" s="6" t="str">
        <f>IFERROR(__xludf.DUMMYFUNCTION("""COMPUTED_VALUE"""),"6")</f>
        <v>6</v>
      </c>
      <c r="K2156" s="6" t="str">
        <f>IFERROR(__xludf.DUMMYFUNCTION("""COMPUTED_VALUE"""),"felix.jacques@2hourlearning.com")</f>
        <v>felix.jacques@2hourlearning.com</v>
      </c>
      <c r="L2156" s="6" t="str">
        <f>IFERROR(__xludf.DUMMYFUNCTION("""COMPUTED_VALUE"""),"Limitless Education - Malawi")</f>
        <v>Limitless Education - Malawi</v>
      </c>
      <c r="M2156" s="6" t="str">
        <f>IFERROR(__xludf.DUMMYFUNCTION("""COMPUTED_VALUE"""),"")</f>
        <v/>
      </c>
      <c r="N2156" s="6" t="str">
        <f>IFERROR(__xludf.DUMMYFUNCTION("""COMPUTED_VALUE"""),"")</f>
        <v/>
      </c>
      <c r="O2156" s="87" t="str">
        <f>IFERROR(__xludf.DUMMYFUNCTION("""COMPUTED_VALUE"""),"https://drive.google.com/drive/folders/10T2cTQHqEJZqE-st6uFKPoI?usp=share_link")</f>
        <v>https://drive.google.com/drive/folders/10T2cTQHqEJZqE-st6uFKPoI?usp=share_link</v>
      </c>
      <c r="P2156" s="6" t="str">
        <f>IFERROR(__xludf.DUMMYFUNCTION("""COMPUTED_VALUE"""),"Felix Jacques")</f>
        <v>Felix Jacques</v>
      </c>
      <c r="Q2156" s="6" t="str">
        <f>IFERROR(__xludf.DUMMYFUNCTION("""COMPUTED_VALUE"""),"MS")</f>
        <v>MS</v>
      </c>
      <c r="R2156" s="6">
        <f>IFERROR(__xludf.DUMMYFUNCTION("""COMPUTED_VALUE"""),0.0)</f>
        <v>0</v>
      </c>
      <c r="S2156" s="6" t="str">
        <f>IFERROR(__xludf.DUMMYFUNCTION("""COMPUTED_VALUE""")," ")</f>
        <v> </v>
      </c>
      <c r="T2156" s="6" t="str">
        <f>IFERROR(__xludf.DUMMYFUNCTION("""COMPUTED_VALUE"""),"")</f>
        <v/>
      </c>
      <c r="U2156" s="6" t="str">
        <f>IFERROR(__xludf.DUMMYFUNCTION("""COMPUTED_VALUE"""),"6")</f>
        <v>6</v>
      </c>
      <c r="V2156" s="6" t="str">
        <f>IFERROR(__xludf.DUMMYFUNCTION("""COMPUTED_VALUE"""),"")</f>
        <v/>
      </c>
      <c r="W2156" s="6" t="str">
        <f>IFERROR(__xludf.DUMMYFUNCTION("""COMPUTED_VALUE"""),"[]")</f>
        <v>[]</v>
      </c>
      <c r="X2156" s="6" t="str">
        <f>IFERROR(__xludf.DUMMYFUNCTION("""COMPUTED_VALUE"""),"Enrolled")</f>
        <v>Enrolled</v>
      </c>
    </row>
    <row r="2157">
      <c r="A2157" s="6" t="str">
        <f>IFERROR(__xludf.DUMMYFUNCTION("""COMPUTED_VALUE"""),"031-2177")</f>
        <v>031-2177</v>
      </c>
      <c r="B2157" s="6" t="str">
        <f>IFERROR(__xludf.DUMMYFUNCTION("""COMPUTED_VALUE"""),"31")</f>
        <v>31</v>
      </c>
      <c r="C2157" s="6" t="str">
        <f>IFERROR(__xludf.DUMMYFUNCTION("""COMPUTED_VALUE"""),"2177")</f>
        <v>2177</v>
      </c>
      <c r="D2157" s="6" t="str">
        <f>IFERROR(__xludf.DUMMYFUNCTION("""COMPUTED_VALUE"""),"Mary")</f>
        <v>Mary</v>
      </c>
      <c r="E2157" s="6" t="str">
        <f>IFERROR(__xludf.DUMMYFUNCTION("""COMPUTED_VALUE"""),"")</f>
        <v/>
      </c>
      <c r="F2157" s="6" t="str">
        <f>IFERROR(__xludf.DUMMYFUNCTION("""COMPUTED_VALUE"""),"Johnson")</f>
        <v>Johnson</v>
      </c>
      <c r="G2157" s="6" t="str">
        <f>IFERROR(__xludf.DUMMYFUNCTION("""COMPUTED_VALUE"""),"Invalid Date")</f>
        <v>Invalid Date</v>
      </c>
      <c r="H2157" s="6" t="str">
        <f>IFERROR(__xludf.DUMMYFUNCTION("""COMPUTED_VALUE"""),"Self Identify")</f>
        <v>Self Identify</v>
      </c>
      <c r="I2157" s="6" t="str">
        <f>IFERROR(__xludf.DUMMYFUNCTION("""COMPUTED_VALUE"""),"High School")</f>
        <v>High School</v>
      </c>
      <c r="J2157" s="6" t="str">
        <f>IFERROR(__xludf.DUMMYFUNCTION("""COMPUTED_VALUE"""),"9")</f>
        <v>9</v>
      </c>
      <c r="K2157" s="6" t="str">
        <f>IFERROR(__xludf.DUMMYFUNCTION("""COMPUTED_VALUE"""),"mary.johnson@2hourlearning.com")</f>
        <v>mary.johnson@2hourlearning.com</v>
      </c>
      <c r="L2157" s="6" t="str">
        <f>IFERROR(__xludf.DUMMYFUNCTION("""COMPUTED_VALUE"""),"Limitless Education - Malawi")</f>
        <v>Limitless Education - Malawi</v>
      </c>
      <c r="M2157" s="6" t="str">
        <f>IFERROR(__xludf.DUMMYFUNCTION("""COMPUTED_VALUE"""),"")</f>
        <v/>
      </c>
      <c r="N2157" s="6" t="str">
        <f>IFERROR(__xludf.DUMMYFUNCTION("""COMPUTED_VALUE"""),"")</f>
        <v/>
      </c>
      <c r="O2157" s="87" t="str">
        <f>IFERROR(__xludf.DUMMYFUNCTION("""COMPUTED_VALUE"""),"https://drive.google.com/drive/folders/10T2cTQHqEJZqE-st6uFKPoI?usp=share_link")</f>
        <v>https://drive.google.com/drive/folders/10T2cTQHqEJZqE-st6uFKPoI?usp=share_link</v>
      </c>
      <c r="P2157" s="6" t="str">
        <f>IFERROR(__xludf.DUMMYFUNCTION("""COMPUTED_VALUE"""),"Mary Johnson")</f>
        <v>Mary Johnson</v>
      </c>
      <c r="Q2157" s="6" t="str">
        <f>IFERROR(__xludf.DUMMYFUNCTION("""COMPUTED_VALUE"""),"HS")</f>
        <v>HS</v>
      </c>
      <c r="R2157" s="6">
        <f>IFERROR(__xludf.DUMMYFUNCTION("""COMPUTED_VALUE"""),0.0)</f>
        <v>0</v>
      </c>
      <c r="S2157" s="6" t="str">
        <f>IFERROR(__xludf.DUMMYFUNCTION("""COMPUTED_VALUE""")," ")</f>
        <v> </v>
      </c>
      <c r="T2157" s="6" t="str">
        <f>IFERROR(__xludf.DUMMYFUNCTION("""COMPUTED_VALUE"""),"")</f>
        <v/>
      </c>
      <c r="U2157" s="6" t="str">
        <f>IFERROR(__xludf.DUMMYFUNCTION("""COMPUTED_VALUE"""),"9")</f>
        <v>9</v>
      </c>
      <c r="V2157" s="6" t="str">
        <f>IFERROR(__xludf.DUMMYFUNCTION("""COMPUTED_VALUE"""),"")</f>
        <v/>
      </c>
      <c r="W2157" s="6" t="str">
        <f>IFERROR(__xludf.DUMMYFUNCTION("""COMPUTED_VALUE"""),"[]")</f>
        <v>[]</v>
      </c>
      <c r="X2157" s="6" t="str">
        <f>IFERROR(__xludf.DUMMYFUNCTION("""COMPUTED_VALUE"""),"Enrolled")</f>
        <v>Enrolled</v>
      </c>
    </row>
    <row r="2158">
      <c r="A2158" s="6" t="str">
        <f>IFERROR(__xludf.DUMMYFUNCTION("""COMPUTED_VALUE"""),"031-2178")</f>
        <v>031-2178</v>
      </c>
      <c r="B2158" s="6" t="str">
        <f>IFERROR(__xludf.DUMMYFUNCTION("""COMPUTED_VALUE"""),"31")</f>
        <v>31</v>
      </c>
      <c r="C2158" s="6" t="str">
        <f>IFERROR(__xludf.DUMMYFUNCTION("""COMPUTED_VALUE"""),"2178")</f>
        <v>2178</v>
      </c>
      <c r="D2158" s="6" t="str">
        <f>IFERROR(__xludf.DUMMYFUNCTION("""COMPUTED_VALUE"""),"Dorcas")</f>
        <v>Dorcas</v>
      </c>
      <c r="E2158" s="6" t="str">
        <f>IFERROR(__xludf.DUMMYFUNCTION("""COMPUTED_VALUE"""),"")</f>
        <v/>
      </c>
      <c r="F2158" s="6" t="str">
        <f>IFERROR(__xludf.DUMMYFUNCTION("""COMPUTED_VALUE"""),"Mashaka")</f>
        <v>Mashaka</v>
      </c>
      <c r="G2158" s="6" t="str">
        <f>IFERROR(__xludf.DUMMYFUNCTION("""COMPUTED_VALUE"""),"Invalid Date")</f>
        <v>Invalid Date</v>
      </c>
      <c r="H2158" s="6" t="str">
        <f>IFERROR(__xludf.DUMMYFUNCTION("""COMPUTED_VALUE"""),"Self Identify")</f>
        <v>Self Identify</v>
      </c>
      <c r="I2158" s="6" t="str">
        <f>IFERROR(__xludf.DUMMYFUNCTION("""COMPUTED_VALUE"""),"Middle School")</f>
        <v>Middle School</v>
      </c>
      <c r="J2158" s="6" t="str">
        <f>IFERROR(__xludf.DUMMYFUNCTION("""COMPUTED_VALUE"""),"7")</f>
        <v>7</v>
      </c>
      <c r="K2158" s="6" t="str">
        <f>IFERROR(__xludf.DUMMYFUNCTION("""COMPUTED_VALUE"""),"dorcas.mashaka@2hourlearning.com")</f>
        <v>dorcas.mashaka@2hourlearning.com</v>
      </c>
      <c r="L2158" s="6" t="str">
        <f>IFERROR(__xludf.DUMMYFUNCTION("""COMPUTED_VALUE"""),"Limitless Education - Malawi")</f>
        <v>Limitless Education - Malawi</v>
      </c>
      <c r="M2158" s="6" t="str">
        <f>IFERROR(__xludf.DUMMYFUNCTION("""COMPUTED_VALUE"""),"")</f>
        <v/>
      </c>
      <c r="N2158" s="6" t="str">
        <f>IFERROR(__xludf.DUMMYFUNCTION("""COMPUTED_VALUE"""),"")</f>
        <v/>
      </c>
      <c r="O2158" s="87" t="str">
        <f>IFERROR(__xludf.DUMMYFUNCTION("""COMPUTED_VALUE"""),"https://drive.google.com/drive/folders/10T2cTQHqEJZqE-st6uFKPoI?usp=share_link")</f>
        <v>https://drive.google.com/drive/folders/10T2cTQHqEJZqE-st6uFKPoI?usp=share_link</v>
      </c>
      <c r="P2158" s="6" t="str">
        <f>IFERROR(__xludf.DUMMYFUNCTION("""COMPUTED_VALUE"""),"Dorcas Mashaka")</f>
        <v>Dorcas Mashaka</v>
      </c>
      <c r="Q2158" s="6" t="str">
        <f>IFERROR(__xludf.DUMMYFUNCTION("""COMPUTED_VALUE"""),"MS")</f>
        <v>MS</v>
      </c>
      <c r="R2158" s="6">
        <f>IFERROR(__xludf.DUMMYFUNCTION("""COMPUTED_VALUE"""),0.0)</f>
        <v>0</v>
      </c>
      <c r="S2158" s="6" t="str">
        <f>IFERROR(__xludf.DUMMYFUNCTION("""COMPUTED_VALUE""")," ")</f>
        <v> </v>
      </c>
      <c r="T2158" s="6" t="str">
        <f>IFERROR(__xludf.DUMMYFUNCTION("""COMPUTED_VALUE"""),"")</f>
        <v/>
      </c>
      <c r="U2158" s="6" t="str">
        <f>IFERROR(__xludf.DUMMYFUNCTION("""COMPUTED_VALUE"""),"7")</f>
        <v>7</v>
      </c>
      <c r="V2158" s="6" t="str">
        <f>IFERROR(__xludf.DUMMYFUNCTION("""COMPUTED_VALUE"""),"")</f>
        <v/>
      </c>
      <c r="W2158" s="6" t="str">
        <f>IFERROR(__xludf.DUMMYFUNCTION("""COMPUTED_VALUE"""),"[]")</f>
        <v>[]</v>
      </c>
      <c r="X2158" s="6" t="str">
        <f>IFERROR(__xludf.DUMMYFUNCTION("""COMPUTED_VALUE"""),"Enrolled")</f>
        <v>Enrolled</v>
      </c>
    </row>
    <row r="2159">
      <c r="A2159" s="6" t="str">
        <f>IFERROR(__xludf.DUMMYFUNCTION("""COMPUTED_VALUE"""),"031-2179")</f>
        <v>031-2179</v>
      </c>
      <c r="B2159" s="6" t="str">
        <f>IFERROR(__xludf.DUMMYFUNCTION("""COMPUTED_VALUE"""),"31")</f>
        <v>31</v>
      </c>
      <c r="C2159" s="6" t="str">
        <f>IFERROR(__xludf.DUMMYFUNCTION("""COMPUTED_VALUE"""),"2179")</f>
        <v>2179</v>
      </c>
      <c r="D2159" s="6" t="str">
        <f>IFERROR(__xludf.DUMMYFUNCTION("""COMPUTED_VALUE"""),"Beni")</f>
        <v>Beni</v>
      </c>
      <c r="E2159" s="6" t="str">
        <f>IFERROR(__xludf.DUMMYFUNCTION("""COMPUTED_VALUE"""),"")</f>
        <v/>
      </c>
      <c r="F2159" s="6" t="str">
        <f>IFERROR(__xludf.DUMMYFUNCTION("""COMPUTED_VALUE"""),"Ingabire")</f>
        <v>Ingabire</v>
      </c>
      <c r="G2159" s="6" t="str">
        <f>IFERROR(__xludf.DUMMYFUNCTION("""COMPUTED_VALUE"""),"Invalid Date")</f>
        <v>Invalid Date</v>
      </c>
      <c r="H2159" s="6" t="str">
        <f>IFERROR(__xludf.DUMMYFUNCTION("""COMPUTED_VALUE"""),"Self Identify")</f>
        <v>Self Identify</v>
      </c>
      <c r="I2159" s="6" t="str">
        <f>IFERROR(__xludf.DUMMYFUNCTION("""COMPUTED_VALUE"""),"Middle School")</f>
        <v>Middle School</v>
      </c>
      <c r="J2159" s="6" t="str">
        <f>IFERROR(__xludf.DUMMYFUNCTION("""COMPUTED_VALUE"""),"8")</f>
        <v>8</v>
      </c>
      <c r="K2159" s="6" t="str">
        <f>IFERROR(__xludf.DUMMYFUNCTION("""COMPUTED_VALUE"""),"beni.ingabire@2hourlearning.com")</f>
        <v>beni.ingabire@2hourlearning.com</v>
      </c>
      <c r="L2159" s="6" t="str">
        <f>IFERROR(__xludf.DUMMYFUNCTION("""COMPUTED_VALUE"""),"Limitless Education - Malawi")</f>
        <v>Limitless Education - Malawi</v>
      </c>
      <c r="M2159" s="6" t="str">
        <f>IFERROR(__xludf.DUMMYFUNCTION("""COMPUTED_VALUE"""),"")</f>
        <v/>
      </c>
      <c r="N2159" s="6" t="str">
        <f>IFERROR(__xludf.DUMMYFUNCTION("""COMPUTED_VALUE"""),"")</f>
        <v/>
      </c>
      <c r="O2159" s="87" t="str">
        <f>IFERROR(__xludf.DUMMYFUNCTION("""COMPUTED_VALUE"""),"https://drive.google.com/drive/folders/10T2cTQHqEJZqE-st6uFKPoI?usp=share_link")</f>
        <v>https://drive.google.com/drive/folders/10T2cTQHqEJZqE-st6uFKPoI?usp=share_link</v>
      </c>
      <c r="P2159" s="6" t="str">
        <f>IFERROR(__xludf.DUMMYFUNCTION("""COMPUTED_VALUE"""),"Beni Ingabire")</f>
        <v>Beni Ingabire</v>
      </c>
      <c r="Q2159" s="6" t="str">
        <f>IFERROR(__xludf.DUMMYFUNCTION("""COMPUTED_VALUE"""),"MS")</f>
        <v>MS</v>
      </c>
      <c r="R2159" s="6">
        <f>IFERROR(__xludf.DUMMYFUNCTION("""COMPUTED_VALUE"""),0.0)</f>
        <v>0</v>
      </c>
      <c r="S2159" s="6" t="str">
        <f>IFERROR(__xludf.DUMMYFUNCTION("""COMPUTED_VALUE""")," ")</f>
        <v> </v>
      </c>
      <c r="T2159" s="6" t="str">
        <f>IFERROR(__xludf.DUMMYFUNCTION("""COMPUTED_VALUE"""),"")</f>
        <v/>
      </c>
      <c r="U2159" s="6" t="str">
        <f>IFERROR(__xludf.DUMMYFUNCTION("""COMPUTED_VALUE"""),"8")</f>
        <v>8</v>
      </c>
      <c r="V2159" s="6" t="str">
        <f>IFERROR(__xludf.DUMMYFUNCTION("""COMPUTED_VALUE"""),"")</f>
        <v/>
      </c>
      <c r="W2159" s="6" t="str">
        <f>IFERROR(__xludf.DUMMYFUNCTION("""COMPUTED_VALUE"""),"[]")</f>
        <v>[]</v>
      </c>
      <c r="X2159" s="6" t="str">
        <f>IFERROR(__xludf.DUMMYFUNCTION("""COMPUTED_VALUE"""),"Enrolled")</f>
        <v>Enrolled</v>
      </c>
    </row>
    <row r="2160">
      <c r="A2160" s="6" t="str">
        <f>IFERROR(__xludf.DUMMYFUNCTION("""COMPUTED_VALUE"""),"031-2180")</f>
        <v>031-2180</v>
      </c>
      <c r="B2160" s="6" t="str">
        <f>IFERROR(__xludf.DUMMYFUNCTION("""COMPUTED_VALUE"""),"31")</f>
        <v>31</v>
      </c>
      <c r="C2160" s="6" t="str">
        <f>IFERROR(__xludf.DUMMYFUNCTION("""COMPUTED_VALUE"""),"2180")</f>
        <v>2180</v>
      </c>
      <c r="D2160" s="6" t="str">
        <f>IFERROR(__xludf.DUMMYFUNCTION("""COMPUTED_VALUE"""),"Alvin")</f>
        <v>Alvin</v>
      </c>
      <c r="E2160" s="6" t="str">
        <f>IFERROR(__xludf.DUMMYFUNCTION("""COMPUTED_VALUE"""),"")</f>
        <v/>
      </c>
      <c r="F2160" s="6" t="str">
        <f>IFERROR(__xludf.DUMMYFUNCTION("""COMPUTED_VALUE"""),"Mukegere")</f>
        <v>Mukegere</v>
      </c>
      <c r="G2160" s="6" t="str">
        <f>IFERROR(__xludf.DUMMYFUNCTION("""COMPUTED_VALUE"""),"Invalid Date")</f>
        <v>Invalid Date</v>
      </c>
      <c r="H2160" s="6" t="str">
        <f>IFERROR(__xludf.DUMMYFUNCTION("""COMPUTED_VALUE"""),"Self Identify")</f>
        <v>Self Identify</v>
      </c>
      <c r="I2160" s="6" t="str">
        <f>IFERROR(__xludf.DUMMYFUNCTION("""COMPUTED_VALUE"""),"Level 2")</f>
        <v>Level 2</v>
      </c>
      <c r="J2160" s="6" t="str">
        <f>IFERROR(__xludf.DUMMYFUNCTION("""COMPUTED_VALUE"""),"5")</f>
        <v>5</v>
      </c>
      <c r="K2160" s="6" t="str">
        <f>IFERROR(__xludf.DUMMYFUNCTION("""COMPUTED_VALUE"""),"alvin.mukegere@2hourlearning.com")</f>
        <v>alvin.mukegere@2hourlearning.com</v>
      </c>
      <c r="L2160" s="6" t="str">
        <f>IFERROR(__xludf.DUMMYFUNCTION("""COMPUTED_VALUE"""),"Limitless Education - Malawi")</f>
        <v>Limitless Education - Malawi</v>
      </c>
      <c r="M2160" s="6" t="str">
        <f>IFERROR(__xludf.DUMMYFUNCTION("""COMPUTED_VALUE"""),"")</f>
        <v/>
      </c>
      <c r="N2160" s="6" t="str">
        <f>IFERROR(__xludf.DUMMYFUNCTION("""COMPUTED_VALUE"""),"")</f>
        <v/>
      </c>
      <c r="O2160" s="87" t="str">
        <f>IFERROR(__xludf.DUMMYFUNCTION("""COMPUTED_VALUE"""),"https://drive.google.com/drive/folders/10T2cTQHqEJZqE-st6uFKPoI?usp=share_link")</f>
        <v>https://drive.google.com/drive/folders/10T2cTQHqEJZqE-st6uFKPoI?usp=share_link</v>
      </c>
      <c r="P2160" s="6" t="str">
        <f>IFERROR(__xludf.DUMMYFUNCTION("""COMPUTED_VALUE"""),"Alvin Mukegere")</f>
        <v>Alvin Mukegere</v>
      </c>
      <c r="Q2160" s="6" t="str">
        <f>IFERROR(__xludf.DUMMYFUNCTION("""COMPUTED_VALUE"""),"L2")</f>
        <v>L2</v>
      </c>
      <c r="R2160" s="6">
        <f>IFERROR(__xludf.DUMMYFUNCTION("""COMPUTED_VALUE"""),2.0)</f>
        <v>2</v>
      </c>
      <c r="S2160" s="6" t="str">
        <f>IFERROR(__xludf.DUMMYFUNCTION("""COMPUTED_VALUE""")," ")</f>
        <v> </v>
      </c>
      <c r="T2160" s="6" t="str">
        <f>IFERROR(__xludf.DUMMYFUNCTION("""COMPUTED_VALUE"""),"")</f>
        <v/>
      </c>
      <c r="U2160" s="6" t="str">
        <f>IFERROR(__xludf.DUMMYFUNCTION("""COMPUTED_VALUE"""),"5")</f>
        <v>5</v>
      </c>
      <c r="V2160" s="6" t="str">
        <f>IFERROR(__xludf.DUMMYFUNCTION("""COMPUTED_VALUE"""),"")</f>
        <v/>
      </c>
      <c r="W2160" s="6" t="str">
        <f>IFERROR(__xludf.DUMMYFUNCTION("""COMPUTED_VALUE"""),"[]")</f>
        <v>[]</v>
      </c>
      <c r="X2160" s="6" t="str">
        <f>IFERROR(__xludf.DUMMYFUNCTION("""COMPUTED_VALUE"""),"Enrolled")</f>
        <v>Enrolled</v>
      </c>
    </row>
    <row r="2161">
      <c r="A2161" s="6" t="str">
        <f>IFERROR(__xludf.DUMMYFUNCTION("""COMPUTED_VALUE"""),"031-2181")</f>
        <v>031-2181</v>
      </c>
      <c r="B2161" s="6" t="str">
        <f>IFERROR(__xludf.DUMMYFUNCTION("""COMPUTED_VALUE"""),"31")</f>
        <v>31</v>
      </c>
      <c r="C2161" s="6" t="str">
        <f>IFERROR(__xludf.DUMMYFUNCTION("""COMPUTED_VALUE"""),"2181")</f>
        <v>2181</v>
      </c>
      <c r="D2161" s="6" t="str">
        <f>IFERROR(__xludf.DUMMYFUNCTION("""COMPUTED_VALUE"""),"Joyance")</f>
        <v>Joyance</v>
      </c>
      <c r="E2161" s="6" t="str">
        <f>IFERROR(__xludf.DUMMYFUNCTION("""COMPUTED_VALUE"""),"")</f>
        <v/>
      </c>
      <c r="F2161" s="6" t="str">
        <f>IFERROR(__xludf.DUMMYFUNCTION("""COMPUTED_VALUE"""),"Kizungu")</f>
        <v>Kizungu</v>
      </c>
      <c r="G2161" s="6" t="str">
        <f>IFERROR(__xludf.DUMMYFUNCTION("""COMPUTED_VALUE"""),"Invalid Date")</f>
        <v>Invalid Date</v>
      </c>
      <c r="H2161" s="6" t="str">
        <f>IFERROR(__xludf.DUMMYFUNCTION("""COMPUTED_VALUE"""),"Self Identify")</f>
        <v>Self Identify</v>
      </c>
      <c r="I2161" s="6" t="str">
        <f>IFERROR(__xludf.DUMMYFUNCTION("""COMPUTED_VALUE"""),"Middle School")</f>
        <v>Middle School</v>
      </c>
      <c r="J2161" s="6" t="str">
        <f>IFERROR(__xludf.DUMMYFUNCTION("""COMPUTED_VALUE"""),"6")</f>
        <v>6</v>
      </c>
      <c r="K2161" s="6" t="str">
        <f>IFERROR(__xludf.DUMMYFUNCTION("""COMPUTED_VALUE"""),"joyance.kizungu@2hourlearning.com")</f>
        <v>joyance.kizungu@2hourlearning.com</v>
      </c>
      <c r="L2161" s="6" t="str">
        <f>IFERROR(__xludf.DUMMYFUNCTION("""COMPUTED_VALUE"""),"Limitless Education - Malawi")</f>
        <v>Limitless Education - Malawi</v>
      </c>
      <c r="M2161" s="6" t="str">
        <f>IFERROR(__xludf.DUMMYFUNCTION("""COMPUTED_VALUE"""),"")</f>
        <v/>
      </c>
      <c r="N2161" s="6" t="str">
        <f>IFERROR(__xludf.DUMMYFUNCTION("""COMPUTED_VALUE"""),"")</f>
        <v/>
      </c>
      <c r="O2161" s="87" t="str">
        <f>IFERROR(__xludf.DUMMYFUNCTION("""COMPUTED_VALUE"""),"https://drive.google.com/drive/folders/10T2cTQHqEJZqE-st6uFKPoI?usp=share_link")</f>
        <v>https://drive.google.com/drive/folders/10T2cTQHqEJZqE-st6uFKPoI?usp=share_link</v>
      </c>
      <c r="P2161" s="6" t="str">
        <f>IFERROR(__xludf.DUMMYFUNCTION("""COMPUTED_VALUE"""),"Joyance Kizungu")</f>
        <v>Joyance Kizungu</v>
      </c>
      <c r="Q2161" s="6" t="str">
        <f>IFERROR(__xludf.DUMMYFUNCTION("""COMPUTED_VALUE"""),"MS")</f>
        <v>MS</v>
      </c>
      <c r="R2161" s="6">
        <f>IFERROR(__xludf.DUMMYFUNCTION("""COMPUTED_VALUE"""),0.0)</f>
        <v>0</v>
      </c>
      <c r="S2161" s="6" t="str">
        <f>IFERROR(__xludf.DUMMYFUNCTION("""COMPUTED_VALUE""")," ")</f>
        <v> </v>
      </c>
      <c r="T2161" s="6" t="str">
        <f>IFERROR(__xludf.DUMMYFUNCTION("""COMPUTED_VALUE"""),"")</f>
        <v/>
      </c>
      <c r="U2161" s="6" t="str">
        <f>IFERROR(__xludf.DUMMYFUNCTION("""COMPUTED_VALUE"""),"6")</f>
        <v>6</v>
      </c>
      <c r="V2161" s="6" t="str">
        <f>IFERROR(__xludf.DUMMYFUNCTION("""COMPUTED_VALUE"""),"")</f>
        <v/>
      </c>
      <c r="W2161" s="6" t="str">
        <f>IFERROR(__xludf.DUMMYFUNCTION("""COMPUTED_VALUE"""),"[]")</f>
        <v>[]</v>
      </c>
      <c r="X2161" s="6" t="str">
        <f>IFERROR(__xludf.DUMMYFUNCTION("""COMPUTED_VALUE"""),"Enrolled")</f>
        <v>Enrolled</v>
      </c>
    </row>
    <row r="2162">
      <c r="A2162" s="6" t="str">
        <f>IFERROR(__xludf.DUMMYFUNCTION("""COMPUTED_VALUE"""),"031-2182")</f>
        <v>031-2182</v>
      </c>
      <c r="B2162" s="6" t="str">
        <f>IFERROR(__xludf.DUMMYFUNCTION("""COMPUTED_VALUE"""),"31")</f>
        <v>31</v>
      </c>
      <c r="C2162" s="6" t="str">
        <f>IFERROR(__xludf.DUMMYFUNCTION("""COMPUTED_VALUE"""),"2182")</f>
        <v>2182</v>
      </c>
      <c r="D2162" s="6" t="str">
        <f>IFERROR(__xludf.DUMMYFUNCTION("""COMPUTED_VALUE"""),"Never")</f>
        <v>Never</v>
      </c>
      <c r="E2162" s="6" t="str">
        <f>IFERROR(__xludf.DUMMYFUNCTION("""COMPUTED_VALUE"""),"")</f>
        <v/>
      </c>
      <c r="F2162" s="6" t="str">
        <f>IFERROR(__xludf.DUMMYFUNCTION("""COMPUTED_VALUE"""),"Kamakoko")</f>
        <v>Kamakoko</v>
      </c>
      <c r="G2162" s="6" t="str">
        <f>IFERROR(__xludf.DUMMYFUNCTION("""COMPUTED_VALUE"""),"Invalid Date")</f>
        <v>Invalid Date</v>
      </c>
      <c r="H2162" s="6" t="str">
        <f>IFERROR(__xludf.DUMMYFUNCTION("""COMPUTED_VALUE"""),"Self Identify")</f>
        <v>Self Identify</v>
      </c>
      <c r="I2162" s="6" t="str">
        <f>IFERROR(__xludf.DUMMYFUNCTION("""COMPUTED_VALUE"""),"Level 2")</f>
        <v>Level 2</v>
      </c>
      <c r="J2162" s="6" t="str">
        <f>IFERROR(__xludf.DUMMYFUNCTION("""COMPUTED_VALUE"""),"5")</f>
        <v>5</v>
      </c>
      <c r="K2162" s="6" t="str">
        <f>IFERROR(__xludf.DUMMYFUNCTION("""COMPUTED_VALUE"""),"never.kamakoko@2hourlearning.com")</f>
        <v>never.kamakoko@2hourlearning.com</v>
      </c>
      <c r="L2162" s="6" t="str">
        <f>IFERROR(__xludf.DUMMYFUNCTION("""COMPUTED_VALUE"""),"Limitless Education - Malawi")</f>
        <v>Limitless Education - Malawi</v>
      </c>
      <c r="M2162" s="6" t="str">
        <f>IFERROR(__xludf.DUMMYFUNCTION("""COMPUTED_VALUE"""),"")</f>
        <v/>
      </c>
      <c r="N2162" s="6" t="str">
        <f>IFERROR(__xludf.DUMMYFUNCTION("""COMPUTED_VALUE"""),"")</f>
        <v/>
      </c>
      <c r="O2162" s="87" t="str">
        <f>IFERROR(__xludf.DUMMYFUNCTION("""COMPUTED_VALUE"""),"https://drive.google.com/drive/folders/10T2cTQHqEJZqE-st6uFKPoI?usp=share_link")</f>
        <v>https://drive.google.com/drive/folders/10T2cTQHqEJZqE-st6uFKPoI?usp=share_link</v>
      </c>
      <c r="P2162" s="6" t="str">
        <f>IFERROR(__xludf.DUMMYFUNCTION("""COMPUTED_VALUE"""),"Never Kamakoko")</f>
        <v>Never Kamakoko</v>
      </c>
      <c r="Q2162" s="6" t="str">
        <f>IFERROR(__xludf.DUMMYFUNCTION("""COMPUTED_VALUE"""),"L2")</f>
        <v>L2</v>
      </c>
      <c r="R2162" s="6">
        <f>IFERROR(__xludf.DUMMYFUNCTION("""COMPUTED_VALUE"""),2.0)</f>
        <v>2</v>
      </c>
      <c r="S2162" s="6" t="str">
        <f>IFERROR(__xludf.DUMMYFUNCTION("""COMPUTED_VALUE""")," ")</f>
        <v> </v>
      </c>
      <c r="T2162" s="6" t="str">
        <f>IFERROR(__xludf.DUMMYFUNCTION("""COMPUTED_VALUE"""),"")</f>
        <v/>
      </c>
      <c r="U2162" s="6" t="str">
        <f>IFERROR(__xludf.DUMMYFUNCTION("""COMPUTED_VALUE"""),"5")</f>
        <v>5</v>
      </c>
      <c r="V2162" s="6" t="str">
        <f>IFERROR(__xludf.DUMMYFUNCTION("""COMPUTED_VALUE"""),"")</f>
        <v/>
      </c>
      <c r="W2162" s="6" t="str">
        <f>IFERROR(__xludf.DUMMYFUNCTION("""COMPUTED_VALUE"""),"[]")</f>
        <v>[]</v>
      </c>
      <c r="X2162" s="6" t="str">
        <f>IFERROR(__xludf.DUMMYFUNCTION("""COMPUTED_VALUE"""),"Enrolled")</f>
        <v>Enrolled</v>
      </c>
    </row>
    <row r="2163">
      <c r="A2163" s="6" t="str">
        <f>IFERROR(__xludf.DUMMYFUNCTION("""COMPUTED_VALUE"""),"031-2183")</f>
        <v>031-2183</v>
      </c>
      <c r="B2163" s="6" t="str">
        <f>IFERROR(__xludf.DUMMYFUNCTION("""COMPUTED_VALUE"""),"31")</f>
        <v>31</v>
      </c>
      <c r="C2163" s="6" t="str">
        <f>IFERROR(__xludf.DUMMYFUNCTION("""COMPUTED_VALUE"""),"2183")</f>
        <v>2183</v>
      </c>
      <c r="D2163" s="6" t="str">
        <f>IFERROR(__xludf.DUMMYFUNCTION("""COMPUTED_VALUE"""),"Happiness")</f>
        <v>Happiness</v>
      </c>
      <c r="E2163" s="6" t="str">
        <f>IFERROR(__xludf.DUMMYFUNCTION("""COMPUTED_VALUE"""),"")</f>
        <v/>
      </c>
      <c r="F2163" s="6" t="str">
        <f>IFERROR(__xludf.DUMMYFUNCTION("""COMPUTED_VALUE"""),"Jamisoni")</f>
        <v>Jamisoni</v>
      </c>
      <c r="G2163" s="6" t="str">
        <f>IFERROR(__xludf.DUMMYFUNCTION("""COMPUTED_VALUE"""),"Invalid Date")</f>
        <v>Invalid Date</v>
      </c>
      <c r="H2163" s="6" t="str">
        <f>IFERROR(__xludf.DUMMYFUNCTION("""COMPUTED_VALUE"""),"Self Identify")</f>
        <v>Self Identify</v>
      </c>
      <c r="I2163" s="6" t="str">
        <f>IFERROR(__xludf.DUMMYFUNCTION("""COMPUTED_VALUE"""),"Level 2")</f>
        <v>Level 2</v>
      </c>
      <c r="J2163" s="6" t="str">
        <f>IFERROR(__xludf.DUMMYFUNCTION("""COMPUTED_VALUE"""),"5")</f>
        <v>5</v>
      </c>
      <c r="K2163" s="6" t="str">
        <f>IFERROR(__xludf.DUMMYFUNCTION("""COMPUTED_VALUE"""),"happiness.jamisoni@2hourlearning.com")</f>
        <v>happiness.jamisoni@2hourlearning.com</v>
      </c>
      <c r="L2163" s="6" t="str">
        <f>IFERROR(__xludf.DUMMYFUNCTION("""COMPUTED_VALUE"""),"Limitless Education - Malawi")</f>
        <v>Limitless Education - Malawi</v>
      </c>
      <c r="M2163" s="6" t="str">
        <f>IFERROR(__xludf.DUMMYFUNCTION("""COMPUTED_VALUE"""),"")</f>
        <v/>
      </c>
      <c r="N2163" s="6" t="str">
        <f>IFERROR(__xludf.DUMMYFUNCTION("""COMPUTED_VALUE"""),"")</f>
        <v/>
      </c>
      <c r="O2163" s="87" t="str">
        <f>IFERROR(__xludf.DUMMYFUNCTION("""COMPUTED_VALUE"""),"https://drive.google.com/drive/folders/10T2cTQHqEJZqE-st6uFKPoI?usp=share_link")</f>
        <v>https://drive.google.com/drive/folders/10T2cTQHqEJZqE-st6uFKPoI?usp=share_link</v>
      </c>
      <c r="P2163" s="6" t="str">
        <f>IFERROR(__xludf.DUMMYFUNCTION("""COMPUTED_VALUE"""),"Happiness Jamisoni")</f>
        <v>Happiness Jamisoni</v>
      </c>
      <c r="Q2163" s="6" t="str">
        <f>IFERROR(__xludf.DUMMYFUNCTION("""COMPUTED_VALUE"""),"L2")</f>
        <v>L2</v>
      </c>
      <c r="R2163" s="6">
        <f>IFERROR(__xludf.DUMMYFUNCTION("""COMPUTED_VALUE"""),2.0)</f>
        <v>2</v>
      </c>
      <c r="S2163" s="6" t="str">
        <f>IFERROR(__xludf.DUMMYFUNCTION("""COMPUTED_VALUE""")," ")</f>
        <v> </v>
      </c>
      <c r="T2163" s="6" t="str">
        <f>IFERROR(__xludf.DUMMYFUNCTION("""COMPUTED_VALUE"""),"")</f>
        <v/>
      </c>
      <c r="U2163" s="6" t="str">
        <f>IFERROR(__xludf.DUMMYFUNCTION("""COMPUTED_VALUE"""),"5")</f>
        <v>5</v>
      </c>
      <c r="V2163" s="6" t="str">
        <f>IFERROR(__xludf.DUMMYFUNCTION("""COMPUTED_VALUE"""),"")</f>
        <v/>
      </c>
      <c r="W2163" s="6" t="str">
        <f>IFERROR(__xludf.DUMMYFUNCTION("""COMPUTED_VALUE"""),"[]")</f>
        <v>[]</v>
      </c>
      <c r="X2163" s="6" t="str">
        <f>IFERROR(__xludf.DUMMYFUNCTION("""COMPUTED_VALUE"""),"Enrolled")</f>
        <v>Enrolled</v>
      </c>
    </row>
    <row r="2164">
      <c r="A2164" s="6" t="str">
        <f>IFERROR(__xludf.DUMMYFUNCTION("""COMPUTED_VALUE"""),"031-2184")</f>
        <v>031-2184</v>
      </c>
      <c r="B2164" s="6" t="str">
        <f>IFERROR(__xludf.DUMMYFUNCTION("""COMPUTED_VALUE"""),"31")</f>
        <v>31</v>
      </c>
      <c r="C2164" s="6" t="str">
        <f>IFERROR(__xludf.DUMMYFUNCTION("""COMPUTED_VALUE"""),"2184")</f>
        <v>2184</v>
      </c>
      <c r="D2164" s="6" t="str">
        <f>IFERROR(__xludf.DUMMYFUNCTION("""COMPUTED_VALUE"""),"Miracle")</f>
        <v>Miracle</v>
      </c>
      <c r="E2164" s="6" t="str">
        <f>IFERROR(__xludf.DUMMYFUNCTION("""COMPUTED_VALUE"""),"")</f>
        <v/>
      </c>
      <c r="F2164" s="6" t="str">
        <f>IFERROR(__xludf.DUMMYFUNCTION("""COMPUTED_VALUE"""),"Kahina")</f>
        <v>Kahina</v>
      </c>
      <c r="G2164" s="6" t="str">
        <f>IFERROR(__xludf.DUMMYFUNCTION("""COMPUTED_VALUE"""),"Invalid Date")</f>
        <v>Invalid Date</v>
      </c>
      <c r="H2164" s="6" t="str">
        <f>IFERROR(__xludf.DUMMYFUNCTION("""COMPUTED_VALUE"""),"Self Identify")</f>
        <v>Self Identify</v>
      </c>
      <c r="I2164" s="6" t="str">
        <f>IFERROR(__xludf.DUMMYFUNCTION("""COMPUTED_VALUE"""),"Middle School")</f>
        <v>Middle School</v>
      </c>
      <c r="J2164" s="6" t="str">
        <f>IFERROR(__xludf.DUMMYFUNCTION("""COMPUTED_VALUE"""),"6")</f>
        <v>6</v>
      </c>
      <c r="K2164" s="6" t="str">
        <f>IFERROR(__xludf.DUMMYFUNCTION("""COMPUTED_VALUE"""),"miracle.kahina@2hourlearning.com")</f>
        <v>miracle.kahina@2hourlearning.com</v>
      </c>
      <c r="L2164" s="6" t="str">
        <f>IFERROR(__xludf.DUMMYFUNCTION("""COMPUTED_VALUE"""),"Limitless Education - Malawi")</f>
        <v>Limitless Education - Malawi</v>
      </c>
      <c r="M2164" s="6" t="str">
        <f>IFERROR(__xludf.DUMMYFUNCTION("""COMPUTED_VALUE"""),"")</f>
        <v/>
      </c>
      <c r="N2164" s="6" t="str">
        <f>IFERROR(__xludf.DUMMYFUNCTION("""COMPUTED_VALUE"""),"")</f>
        <v/>
      </c>
      <c r="O2164" s="87" t="str">
        <f>IFERROR(__xludf.DUMMYFUNCTION("""COMPUTED_VALUE"""),"https://drive.google.com/drive/folders/10T2cTQHqEJZqE-st6uFKPoI?usp=share_link")</f>
        <v>https://drive.google.com/drive/folders/10T2cTQHqEJZqE-st6uFKPoI?usp=share_link</v>
      </c>
      <c r="P2164" s="6" t="str">
        <f>IFERROR(__xludf.DUMMYFUNCTION("""COMPUTED_VALUE"""),"Miracle Kahina")</f>
        <v>Miracle Kahina</v>
      </c>
      <c r="Q2164" s="6" t="str">
        <f>IFERROR(__xludf.DUMMYFUNCTION("""COMPUTED_VALUE"""),"MS")</f>
        <v>MS</v>
      </c>
      <c r="R2164" s="6">
        <f>IFERROR(__xludf.DUMMYFUNCTION("""COMPUTED_VALUE"""),0.0)</f>
        <v>0</v>
      </c>
      <c r="S2164" s="6" t="str">
        <f>IFERROR(__xludf.DUMMYFUNCTION("""COMPUTED_VALUE""")," ")</f>
        <v> </v>
      </c>
      <c r="T2164" s="6" t="str">
        <f>IFERROR(__xludf.DUMMYFUNCTION("""COMPUTED_VALUE"""),"")</f>
        <v/>
      </c>
      <c r="U2164" s="6" t="str">
        <f>IFERROR(__xludf.DUMMYFUNCTION("""COMPUTED_VALUE"""),"6")</f>
        <v>6</v>
      </c>
      <c r="V2164" s="6" t="str">
        <f>IFERROR(__xludf.DUMMYFUNCTION("""COMPUTED_VALUE"""),"")</f>
        <v/>
      </c>
      <c r="W2164" s="6" t="str">
        <f>IFERROR(__xludf.DUMMYFUNCTION("""COMPUTED_VALUE"""),"[]")</f>
        <v>[]</v>
      </c>
      <c r="X2164" s="6" t="str">
        <f>IFERROR(__xludf.DUMMYFUNCTION("""COMPUTED_VALUE"""),"Enrolled")</f>
        <v>Enrolled</v>
      </c>
    </row>
    <row r="2165">
      <c r="A2165" s="6" t="str">
        <f>IFERROR(__xludf.DUMMYFUNCTION("""COMPUTED_VALUE"""),"031-2185")</f>
        <v>031-2185</v>
      </c>
      <c r="B2165" s="6" t="str">
        <f>IFERROR(__xludf.DUMMYFUNCTION("""COMPUTED_VALUE"""),"31")</f>
        <v>31</v>
      </c>
      <c r="C2165" s="6" t="str">
        <f>IFERROR(__xludf.DUMMYFUNCTION("""COMPUTED_VALUE"""),"2185")</f>
        <v>2185</v>
      </c>
      <c r="D2165" s="6" t="str">
        <f>IFERROR(__xludf.DUMMYFUNCTION("""COMPUTED_VALUE"""),"Raymond")</f>
        <v>Raymond</v>
      </c>
      <c r="E2165" s="6" t="str">
        <f>IFERROR(__xludf.DUMMYFUNCTION("""COMPUTED_VALUE"""),"")</f>
        <v/>
      </c>
      <c r="F2165" s="6" t="str">
        <f>IFERROR(__xludf.DUMMYFUNCTION("""COMPUTED_VALUE"""),"Nkhwachi")</f>
        <v>Nkhwachi</v>
      </c>
      <c r="G2165" s="6" t="str">
        <f>IFERROR(__xludf.DUMMYFUNCTION("""COMPUTED_VALUE"""),"Invalid Date")</f>
        <v>Invalid Date</v>
      </c>
      <c r="H2165" s="6" t="str">
        <f>IFERROR(__xludf.DUMMYFUNCTION("""COMPUTED_VALUE"""),"Self Identify")</f>
        <v>Self Identify</v>
      </c>
      <c r="I2165" s="6" t="str">
        <f>IFERROR(__xludf.DUMMYFUNCTION("""COMPUTED_VALUE"""),"Middle School")</f>
        <v>Middle School</v>
      </c>
      <c r="J2165" s="6" t="str">
        <f>IFERROR(__xludf.DUMMYFUNCTION("""COMPUTED_VALUE"""),"6")</f>
        <v>6</v>
      </c>
      <c r="K2165" s="6" t="str">
        <f>IFERROR(__xludf.DUMMYFUNCTION("""COMPUTED_VALUE"""),"raymond.nkhwachi@2hourlearning.com")</f>
        <v>raymond.nkhwachi@2hourlearning.com</v>
      </c>
      <c r="L2165" s="6" t="str">
        <f>IFERROR(__xludf.DUMMYFUNCTION("""COMPUTED_VALUE"""),"Limitless Education - Malawi")</f>
        <v>Limitless Education - Malawi</v>
      </c>
      <c r="M2165" s="6" t="str">
        <f>IFERROR(__xludf.DUMMYFUNCTION("""COMPUTED_VALUE"""),"")</f>
        <v/>
      </c>
      <c r="N2165" s="6" t="str">
        <f>IFERROR(__xludf.DUMMYFUNCTION("""COMPUTED_VALUE"""),"")</f>
        <v/>
      </c>
      <c r="O2165" s="87" t="str">
        <f>IFERROR(__xludf.DUMMYFUNCTION("""COMPUTED_VALUE"""),"https://drive.google.com/drive/folders/10T2cTQHqEJZqE-st6uFKPoI?usp=share_link")</f>
        <v>https://drive.google.com/drive/folders/10T2cTQHqEJZqE-st6uFKPoI?usp=share_link</v>
      </c>
      <c r="P2165" s="6" t="str">
        <f>IFERROR(__xludf.DUMMYFUNCTION("""COMPUTED_VALUE"""),"Raymond Nkhwachi")</f>
        <v>Raymond Nkhwachi</v>
      </c>
      <c r="Q2165" s="6" t="str">
        <f>IFERROR(__xludf.DUMMYFUNCTION("""COMPUTED_VALUE"""),"MS")</f>
        <v>MS</v>
      </c>
      <c r="R2165" s="6">
        <f>IFERROR(__xludf.DUMMYFUNCTION("""COMPUTED_VALUE"""),0.0)</f>
        <v>0</v>
      </c>
      <c r="S2165" s="6" t="str">
        <f>IFERROR(__xludf.DUMMYFUNCTION("""COMPUTED_VALUE""")," ")</f>
        <v> </v>
      </c>
      <c r="T2165" s="6" t="str">
        <f>IFERROR(__xludf.DUMMYFUNCTION("""COMPUTED_VALUE"""),"")</f>
        <v/>
      </c>
      <c r="U2165" s="6" t="str">
        <f>IFERROR(__xludf.DUMMYFUNCTION("""COMPUTED_VALUE"""),"6")</f>
        <v>6</v>
      </c>
      <c r="V2165" s="6" t="str">
        <f>IFERROR(__xludf.DUMMYFUNCTION("""COMPUTED_VALUE"""),"")</f>
        <v/>
      </c>
      <c r="W2165" s="6" t="str">
        <f>IFERROR(__xludf.DUMMYFUNCTION("""COMPUTED_VALUE"""),"[]")</f>
        <v>[]</v>
      </c>
      <c r="X2165" s="6" t="str">
        <f>IFERROR(__xludf.DUMMYFUNCTION("""COMPUTED_VALUE"""),"Enrolled")</f>
        <v>Enrolled</v>
      </c>
    </row>
    <row r="2166">
      <c r="A2166" s="6" t="str">
        <f>IFERROR(__xludf.DUMMYFUNCTION("""COMPUTED_VALUE"""),"031-2186")</f>
        <v>031-2186</v>
      </c>
      <c r="B2166" s="6" t="str">
        <f>IFERROR(__xludf.DUMMYFUNCTION("""COMPUTED_VALUE"""),"31")</f>
        <v>31</v>
      </c>
      <c r="C2166" s="6" t="str">
        <f>IFERROR(__xludf.DUMMYFUNCTION("""COMPUTED_VALUE"""),"2186")</f>
        <v>2186</v>
      </c>
      <c r="D2166" s="6" t="str">
        <f>IFERROR(__xludf.DUMMYFUNCTION("""COMPUTED_VALUE"""),"Tadala")</f>
        <v>Tadala</v>
      </c>
      <c r="E2166" s="6" t="str">
        <f>IFERROR(__xludf.DUMMYFUNCTION("""COMPUTED_VALUE"""),"")</f>
        <v/>
      </c>
      <c r="F2166" s="6" t="str">
        <f>IFERROR(__xludf.DUMMYFUNCTION("""COMPUTED_VALUE"""),"Banda")</f>
        <v>Banda</v>
      </c>
      <c r="G2166" s="6" t="str">
        <f>IFERROR(__xludf.DUMMYFUNCTION("""COMPUTED_VALUE"""),"Invalid Date")</f>
        <v>Invalid Date</v>
      </c>
      <c r="H2166" s="6" t="str">
        <f>IFERROR(__xludf.DUMMYFUNCTION("""COMPUTED_VALUE"""),"Self Identify")</f>
        <v>Self Identify</v>
      </c>
      <c r="I2166" s="6" t="str">
        <f>IFERROR(__xludf.DUMMYFUNCTION("""COMPUTED_VALUE"""),"Middle School")</f>
        <v>Middle School</v>
      </c>
      <c r="J2166" s="6" t="str">
        <f>IFERROR(__xludf.DUMMYFUNCTION("""COMPUTED_VALUE"""),"7")</f>
        <v>7</v>
      </c>
      <c r="K2166" s="6" t="str">
        <f>IFERROR(__xludf.DUMMYFUNCTION("""COMPUTED_VALUE"""),"tadala.banda@2hourlearning.com")</f>
        <v>tadala.banda@2hourlearning.com</v>
      </c>
      <c r="L2166" s="6" t="str">
        <f>IFERROR(__xludf.DUMMYFUNCTION("""COMPUTED_VALUE"""),"Limitless Education - Malawi")</f>
        <v>Limitless Education - Malawi</v>
      </c>
      <c r="M2166" s="6" t="str">
        <f>IFERROR(__xludf.DUMMYFUNCTION("""COMPUTED_VALUE"""),"")</f>
        <v/>
      </c>
      <c r="N2166" s="6" t="str">
        <f>IFERROR(__xludf.DUMMYFUNCTION("""COMPUTED_VALUE"""),"")</f>
        <v/>
      </c>
      <c r="O2166" s="87" t="str">
        <f>IFERROR(__xludf.DUMMYFUNCTION("""COMPUTED_VALUE"""),"https://drive.google.com/drive/folders/10T2cTQHqEJZqE-st6uFKPoI?usp=share_link")</f>
        <v>https://drive.google.com/drive/folders/10T2cTQHqEJZqE-st6uFKPoI?usp=share_link</v>
      </c>
      <c r="P2166" s="6" t="str">
        <f>IFERROR(__xludf.DUMMYFUNCTION("""COMPUTED_VALUE"""),"Tadala Banda")</f>
        <v>Tadala Banda</v>
      </c>
      <c r="Q2166" s="6" t="str">
        <f>IFERROR(__xludf.DUMMYFUNCTION("""COMPUTED_VALUE"""),"MS")</f>
        <v>MS</v>
      </c>
      <c r="R2166" s="6">
        <f>IFERROR(__xludf.DUMMYFUNCTION("""COMPUTED_VALUE"""),0.0)</f>
        <v>0</v>
      </c>
      <c r="S2166" s="6" t="str">
        <f>IFERROR(__xludf.DUMMYFUNCTION("""COMPUTED_VALUE""")," ")</f>
        <v> </v>
      </c>
      <c r="T2166" s="6" t="str">
        <f>IFERROR(__xludf.DUMMYFUNCTION("""COMPUTED_VALUE"""),"")</f>
        <v/>
      </c>
      <c r="U2166" s="6" t="str">
        <f>IFERROR(__xludf.DUMMYFUNCTION("""COMPUTED_VALUE"""),"7")</f>
        <v>7</v>
      </c>
      <c r="V2166" s="6" t="str">
        <f>IFERROR(__xludf.DUMMYFUNCTION("""COMPUTED_VALUE"""),"")</f>
        <v/>
      </c>
      <c r="W2166" s="6" t="str">
        <f>IFERROR(__xludf.DUMMYFUNCTION("""COMPUTED_VALUE"""),"[]")</f>
        <v>[]</v>
      </c>
      <c r="X2166" s="6" t="str">
        <f>IFERROR(__xludf.DUMMYFUNCTION("""COMPUTED_VALUE"""),"Enrolled")</f>
        <v>Enrolled</v>
      </c>
    </row>
    <row r="2167">
      <c r="A2167" s="6" t="str">
        <f>IFERROR(__xludf.DUMMYFUNCTION("""COMPUTED_VALUE"""),"031-2187")</f>
        <v>031-2187</v>
      </c>
      <c r="B2167" s="6" t="str">
        <f>IFERROR(__xludf.DUMMYFUNCTION("""COMPUTED_VALUE"""),"31")</f>
        <v>31</v>
      </c>
      <c r="C2167" s="6" t="str">
        <f>IFERROR(__xludf.DUMMYFUNCTION("""COMPUTED_VALUE"""),"2187")</f>
        <v>2187</v>
      </c>
      <c r="D2167" s="6" t="str">
        <f>IFERROR(__xludf.DUMMYFUNCTION("""COMPUTED_VALUE"""),"Francis")</f>
        <v>Francis</v>
      </c>
      <c r="E2167" s="6" t="str">
        <f>IFERROR(__xludf.DUMMYFUNCTION("""COMPUTED_VALUE"""),"")</f>
        <v/>
      </c>
      <c r="F2167" s="6" t="str">
        <f>IFERROR(__xludf.DUMMYFUNCTION("""COMPUTED_VALUE"""),"Lungu")</f>
        <v>Lungu</v>
      </c>
      <c r="G2167" s="6" t="str">
        <f>IFERROR(__xludf.DUMMYFUNCTION("""COMPUTED_VALUE"""),"Invalid Date")</f>
        <v>Invalid Date</v>
      </c>
      <c r="H2167" s="6" t="str">
        <f>IFERROR(__xludf.DUMMYFUNCTION("""COMPUTED_VALUE"""),"Self Identify")</f>
        <v>Self Identify</v>
      </c>
      <c r="I2167" s="6" t="str">
        <f>IFERROR(__xludf.DUMMYFUNCTION("""COMPUTED_VALUE"""),"Middle School")</f>
        <v>Middle School</v>
      </c>
      <c r="J2167" s="6" t="str">
        <f>IFERROR(__xludf.DUMMYFUNCTION("""COMPUTED_VALUE"""),"7")</f>
        <v>7</v>
      </c>
      <c r="K2167" s="6" t="str">
        <f>IFERROR(__xludf.DUMMYFUNCTION("""COMPUTED_VALUE"""),"francis.lungu@2hourlearning.com")</f>
        <v>francis.lungu@2hourlearning.com</v>
      </c>
      <c r="L2167" s="6" t="str">
        <f>IFERROR(__xludf.DUMMYFUNCTION("""COMPUTED_VALUE"""),"Limitless Education - Malawi")</f>
        <v>Limitless Education - Malawi</v>
      </c>
      <c r="M2167" s="6" t="str">
        <f>IFERROR(__xludf.DUMMYFUNCTION("""COMPUTED_VALUE"""),"")</f>
        <v/>
      </c>
      <c r="N2167" s="6" t="str">
        <f>IFERROR(__xludf.DUMMYFUNCTION("""COMPUTED_VALUE"""),"")</f>
        <v/>
      </c>
      <c r="O2167" s="87" t="str">
        <f>IFERROR(__xludf.DUMMYFUNCTION("""COMPUTED_VALUE"""),"https://drive.google.com/drive/folders/10T2cTQHqEJZqE-st6uFKPoI?usp=share_link")</f>
        <v>https://drive.google.com/drive/folders/10T2cTQHqEJZqE-st6uFKPoI?usp=share_link</v>
      </c>
      <c r="P2167" s="6" t="str">
        <f>IFERROR(__xludf.DUMMYFUNCTION("""COMPUTED_VALUE"""),"Francis Lungu")</f>
        <v>Francis Lungu</v>
      </c>
      <c r="Q2167" s="6" t="str">
        <f>IFERROR(__xludf.DUMMYFUNCTION("""COMPUTED_VALUE"""),"MS")</f>
        <v>MS</v>
      </c>
      <c r="R2167" s="6">
        <f>IFERROR(__xludf.DUMMYFUNCTION("""COMPUTED_VALUE"""),0.0)</f>
        <v>0</v>
      </c>
      <c r="S2167" s="6" t="str">
        <f>IFERROR(__xludf.DUMMYFUNCTION("""COMPUTED_VALUE""")," ")</f>
        <v> </v>
      </c>
      <c r="T2167" s="6" t="str">
        <f>IFERROR(__xludf.DUMMYFUNCTION("""COMPUTED_VALUE"""),"")</f>
        <v/>
      </c>
      <c r="U2167" s="6" t="str">
        <f>IFERROR(__xludf.DUMMYFUNCTION("""COMPUTED_VALUE"""),"7")</f>
        <v>7</v>
      </c>
      <c r="V2167" s="6" t="str">
        <f>IFERROR(__xludf.DUMMYFUNCTION("""COMPUTED_VALUE"""),"")</f>
        <v/>
      </c>
      <c r="W2167" s="6" t="str">
        <f>IFERROR(__xludf.DUMMYFUNCTION("""COMPUTED_VALUE"""),"[]")</f>
        <v>[]</v>
      </c>
      <c r="X2167" s="6" t="str">
        <f>IFERROR(__xludf.DUMMYFUNCTION("""COMPUTED_VALUE"""),"Enrolled")</f>
        <v>Enrolled</v>
      </c>
    </row>
    <row r="2168">
      <c r="A2168" s="6" t="str">
        <f>IFERROR(__xludf.DUMMYFUNCTION("""COMPUTED_VALUE"""),"031-2188")</f>
        <v>031-2188</v>
      </c>
      <c r="B2168" s="6" t="str">
        <f>IFERROR(__xludf.DUMMYFUNCTION("""COMPUTED_VALUE"""),"31")</f>
        <v>31</v>
      </c>
      <c r="C2168" s="6" t="str">
        <f>IFERROR(__xludf.DUMMYFUNCTION("""COMPUTED_VALUE"""),"2188")</f>
        <v>2188</v>
      </c>
      <c r="D2168" s="6" t="str">
        <f>IFERROR(__xludf.DUMMYFUNCTION("""COMPUTED_VALUE"""),"Esther")</f>
        <v>Esther</v>
      </c>
      <c r="E2168" s="6" t="str">
        <f>IFERROR(__xludf.DUMMYFUNCTION("""COMPUTED_VALUE"""),"")</f>
        <v/>
      </c>
      <c r="F2168" s="6" t="str">
        <f>IFERROR(__xludf.DUMMYFUNCTION("""COMPUTED_VALUE"""),"Nthaka")</f>
        <v>Nthaka</v>
      </c>
      <c r="G2168" s="6" t="str">
        <f>IFERROR(__xludf.DUMMYFUNCTION("""COMPUTED_VALUE"""),"Invalid Date")</f>
        <v>Invalid Date</v>
      </c>
      <c r="H2168" s="6" t="str">
        <f>IFERROR(__xludf.DUMMYFUNCTION("""COMPUTED_VALUE"""),"Self Identify")</f>
        <v>Self Identify</v>
      </c>
      <c r="I2168" s="6" t="str">
        <f>IFERROR(__xludf.DUMMYFUNCTION("""COMPUTED_VALUE"""),"Middle School")</f>
        <v>Middle School</v>
      </c>
      <c r="J2168" s="6" t="str">
        <f>IFERROR(__xludf.DUMMYFUNCTION("""COMPUTED_VALUE"""),"8")</f>
        <v>8</v>
      </c>
      <c r="K2168" s="6" t="str">
        <f>IFERROR(__xludf.DUMMYFUNCTION("""COMPUTED_VALUE"""),"esther.nthaka@2hourlearning.com")</f>
        <v>esther.nthaka@2hourlearning.com</v>
      </c>
      <c r="L2168" s="6" t="str">
        <f>IFERROR(__xludf.DUMMYFUNCTION("""COMPUTED_VALUE"""),"Limitless Education - Malawi")</f>
        <v>Limitless Education - Malawi</v>
      </c>
      <c r="M2168" s="6" t="str">
        <f>IFERROR(__xludf.DUMMYFUNCTION("""COMPUTED_VALUE"""),"")</f>
        <v/>
      </c>
      <c r="N2168" s="6" t="str">
        <f>IFERROR(__xludf.DUMMYFUNCTION("""COMPUTED_VALUE"""),"")</f>
        <v/>
      </c>
      <c r="O2168" s="87" t="str">
        <f>IFERROR(__xludf.DUMMYFUNCTION("""COMPUTED_VALUE"""),"https://drive.google.com/drive/folders/10T2cTQHqEJZqE-st6uFKPoI?usp=share_link")</f>
        <v>https://drive.google.com/drive/folders/10T2cTQHqEJZqE-st6uFKPoI?usp=share_link</v>
      </c>
      <c r="P2168" s="6" t="str">
        <f>IFERROR(__xludf.DUMMYFUNCTION("""COMPUTED_VALUE"""),"Esther Nthaka")</f>
        <v>Esther Nthaka</v>
      </c>
      <c r="Q2168" s="6" t="str">
        <f>IFERROR(__xludf.DUMMYFUNCTION("""COMPUTED_VALUE"""),"MS")</f>
        <v>MS</v>
      </c>
      <c r="R2168" s="6">
        <f>IFERROR(__xludf.DUMMYFUNCTION("""COMPUTED_VALUE"""),0.0)</f>
        <v>0</v>
      </c>
      <c r="S2168" s="6" t="str">
        <f>IFERROR(__xludf.DUMMYFUNCTION("""COMPUTED_VALUE""")," ")</f>
        <v> </v>
      </c>
      <c r="T2168" s="6" t="str">
        <f>IFERROR(__xludf.DUMMYFUNCTION("""COMPUTED_VALUE"""),"")</f>
        <v/>
      </c>
      <c r="U2168" s="6" t="str">
        <f>IFERROR(__xludf.DUMMYFUNCTION("""COMPUTED_VALUE"""),"8")</f>
        <v>8</v>
      </c>
      <c r="V2168" s="6" t="str">
        <f>IFERROR(__xludf.DUMMYFUNCTION("""COMPUTED_VALUE"""),"")</f>
        <v/>
      </c>
      <c r="W2168" s="6" t="str">
        <f>IFERROR(__xludf.DUMMYFUNCTION("""COMPUTED_VALUE"""),"[]")</f>
        <v>[]</v>
      </c>
      <c r="X2168" s="6" t="str">
        <f>IFERROR(__xludf.DUMMYFUNCTION("""COMPUTED_VALUE"""),"Enrolled")</f>
        <v>Enrolled</v>
      </c>
    </row>
    <row r="2169">
      <c r="A2169" s="6" t="str">
        <f>IFERROR(__xludf.DUMMYFUNCTION("""COMPUTED_VALUE"""),"031-2189")</f>
        <v>031-2189</v>
      </c>
      <c r="B2169" s="6" t="str">
        <f>IFERROR(__xludf.DUMMYFUNCTION("""COMPUTED_VALUE"""),"31")</f>
        <v>31</v>
      </c>
      <c r="C2169" s="6" t="str">
        <f>IFERROR(__xludf.DUMMYFUNCTION("""COMPUTED_VALUE"""),"2189")</f>
        <v>2189</v>
      </c>
      <c r="D2169" s="6" t="str">
        <f>IFERROR(__xludf.DUMMYFUNCTION("""COMPUTED_VALUE"""),"Kelvin")</f>
        <v>Kelvin</v>
      </c>
      <c r="E2169" s="6" t="str">
        <f>IFERROR(__xludf.DUMMYFUNCTION("""COMPUTED_VALUE"""),"")</f>
        <v/>
      </c>
      <c r="F2169" s="6" t="str">
        <f>IFERROR(__xludf.DUMMYFUNCTION("""COMPUTED_VALUE"""),"Kamakoko")</f>
        <v>Kamakoko</v>
      </c>
      <c r="G2169" s="6" t="str">
        <f>IFERROR(__xludf.DUMMYFUNCTION("""COMPUTED_VALUE"""),"Invalid Date")</f>
        <v>Invalid Date</v>
      </c>
      <c r="H2169" s="6" t="str">
        <f>IFERROR(__xludf.DUMMYFUNCTION("""COMPUTED_VALUE"""),"Self Identify")</f>
        <v>Self Identify</v>
      </c>
      <c r="I2169" s="6" t="str">
        <f>IFERROR(__xludf.DUMMYFUNCTION("""COMPUTED_VALUE"""),"Middle School")</f>
        <v>Middle School</v>
      </c>
      <c r="J2169" s="6" t="str">
        <f>IFERROR(__xludf.DUMMYFUNCTION("""COMPUTED_VALUE"""),"8")</f>
        <v>8</v>
      </c>
      <c r="K2169" s="6" t="str">
        <f>IFERROR(__xludf.DUMMYFUNCTION("""COMPUTED_VALUE"""),"kelvin.kamakoko@2hourlearning.com")</f>
        <v>kelvin.kamakoko@2hourlearning.com</v>
      </c>
      <c r="L2169" s="6" t="str">
        <f>IFERROR(__xludf.DUMMYFUNCTION("""COMPUTED_VALUE"""),"Limitless Education - Malawi")</f>
        <v>Limitless Education - Malawi</v>
      </c>
      <c r="M2169" s="6" t="str">
        <f>IFERROR(__xludf.DUMMYFUNCTION("""COMPUTED_VALUE"""),"")</f>
        <v/>
      </c>
      <c r="N2169" s="6" t="str">
        <f>IFERROR(__xludf.DUMMYFUNCTION("""COMPUTED_VALUE"""),"")</f>
        <v/>
      </c>
      <c r="O2169" s="87" t="str">
        <f>IFERROR(__xludf.DUMMYFUNCTION("""COMPUTED_VALUE"""),"https://drive.google.com/drive/folders/10T2cTQHqEJZqE-st6uFKPoI?usp=share_link")</f>
        <v>https://drive.google.com/drive/folders/10T2cTQHqEJZqE-st6uFKPoI?usp=share_link</v>
      </c>
      <c r="P2169" s="6" t="str">
        <f>IFERROR(__xludf.DUMMYFUNCTION("""COMPUTED_VALUE"""),"Kelvin Kamakoko")</f>
        <v>Kelvin Kamakoko</v>
      </c>
      <c r="Q2169" s="6" t="str">
        <f>IFERROR(__xludf.DUMMYFUNCTION("""COMPUTED_VALUE"""),"MS")</f>
        <v>MS</v>
      </c>
      <c r="R2169" s="6">
        <f>IFERROR(__xludf.DUMMYFUNCTION("""COMPUTED_VALUE"""),0.0)</f>
        <v>0</v>
      </c>
      <c r="S2169" s="6" t="str">
        <f>IFERROR(__xludf.DUMMYFUNCTION("""COMPUTED_VALUE""")," ")</f>
        <v> </v>
      </c>
      <c r="T2169" s="6" t="str">
        <f>IFERROR(__xludf.DUMMYFUNCTION("""COMPUTED_VALUE"""),"")</f>
        <v/>
      </c>
      <c r="U2169" s="6" t="str">
        <f>IFERROR(__xludf.DUMMYFUNCTION("""COMPUTED_VALUE"""),"8")</f>
        <v>8</v>
      </c>
      <c r="V2169" s="6" t="str">
        <f>IFERROR(__xludf.DUMMYFUNCTION("""COMPUTED_VALUE"""),"")</f>
        <v/>
      </c>
      <c r="W2169" s="6" t="str">
        <f>IFERROR(__xludf.DUMMYFUNCTION("""COMPUTED_VALUE"""),"[]")</f>
        <v>[]</v>
      </c>
      <c r="X2169" s="6" t="str">
        <f>IFERROR(__xludf.DUMMYFUNCTION("""COMPUTED_VALUE"""),"Enrolled")</f>
        <v>Enrolled</v>
      </c>
    </row>
    <row r="2170">
      <c r="A2170" s="6" t="str">
        <f>IFERROR(__xludf.DUMMYFUNCTION("""COMPUTED_VALUE"""),"031-2190")</f>
        <v>031-2190</v>
      </c>
      <c r="B2170" s="6" t="str">
        <f>IFERROR(__xludf.DUMMYFUNCTION("""COMPUTED_VALUE"""),"31")</f>
        <v>31</v>
      </c>
      <c r="C2170" s="6" t="str">
        <f>IFERROR(__xludf.DUMMYFUNCTION("""COMPUTED_VALUE"""),"2190")</f>
        <v>2190</v>
      </c>
      <c r="D2170" s="6" t="str">
        <f>IFERROR(__xludf.DUMMYFUNCTION("""COMPUTED_VALUE"""),"Patrick")</f>
        <v>Patrick</v>
      </c>
      <c r="E2170" s="6" t="str">
        <f>IFERROR(__xludf.DUMMYFUNCTION("""COMPUTED_VALUE"""),"")</f>
        <v/>
      </c>
      <c r="F2170" s="6" t="str">
        <f>IFERROR(__xludf.DUMMYFUNCTION("""COMPUTED_VALUE"""),"Juma")</f>
        <v>Juma</v>
      </c>
      <c r="G2170" s="6" t="str">
        <f>IFERROR(__xludf.DUMMYFUNCTION("""COMPUTED_VALUE"""),"Invalid Date")</f>
        <v>Invalid Date</v>
      </c>
      <c r="H2170" s="6" t="str">
        <f>IFERROR(__xludf.DUMMYFUNCTION("""COMPUTED_VALUE"""),"Self Identify")</f>
        <v>Self Identify</v>
      </c>
      <c r="I2170" s="6" t="str">
        <f>IFERROR(__xludf.DUMMYFUNCTION("""COMPUTED_VALUE"""),"Middle School")</f>
        <v>Middle School</v>
      </c>
      <c r="J2170" s="6" t="str">
        <f>IFERROR(__xludf.DUMMYFUNCTION("""COMPUTED_VALUE"""),"8")</f>
        <v>8</v>
      </c>
      <c r="K2170" s="6" t="str">
        <f>IFERROR(__xludf.DUMMYFUNCTION("""COMPUTED_VALUE"""),"patrick.juma@2hourlearning.com")</f>
        <v>patrick.juma@2hourlearning.com</v>
      </c>
      <c r="L2170" s="6" t="str">
        <f>IFERROR(__xludf.DUMMYFUNCTION("""COMPUTED_VALUE"""),"Limitless Education - Malawi")</f>
        <v>Limitless Education - Malawi</v>
      </c>
      <c r="M2170" s="6" t="str">
        <f>IFERROR(__xludf.DUMMYFUNCTION("""COMPUTED_VALUE"""),"")</f>
        <v/>
      </c>
      <c r="N2170" s="6" t="str">
        <f>IFERROR(__xludf.DUMMYFUNCTION("""COMPUTED_VALUE"""),"")</f>
        <v/>
      </c>
      <c r="O2170" s="87" t="str">
        <f>IFERROR(__xludf.DUMMYFUNCTION("""COMPUTED_VALUE"""),"https://drive.google.com/drive/folders/10T2cTQHqEJZqE-st6uFKPoI?usp=share_link")</f>
        <v>https://drive.google.com/drive/folders/10T2cTQHqEJZqE-st6uFKPoI?usp=share_link</v>
      </c>
      <c r="P2170" s="6" t="str">
        <f>IFERROR(__xludf.DUMMYFUNCTION("""COMPUTED_VALUE"""),"Patrick Juma")</f>
        <v>Patrick Juma</v>
      </c>
      <c r="Q2170" s="6" t="str">
        <f>IFERROR(__xludf.DUMMYFUNCTION("""COMPUTED_VALUE"""),"MS")</f>
        <v>MS</v>
      </c>
      <c r="R2170" s="6">
        <f>IFERROR(__xludf.DUMMYFUNCTION("""COMPUTED_VALUE"""),0.0)</f>
        <v>0</v>
      </c>
      <c r="S2170" s="6" t="str">
        <f>IFERROR(__xludf.DUMMYFUNCTION("""COMPUTED_VALUE""")," ")</f>
        <v> </v>
      </c>
      <c r="T2170" s="6" t="str">
        <f>IFERROR(__xludf.DUMMYFUNCTION("""COMPUTED_VALUE"""),"")</f>
        <v/>
      </c>
      <c r="U2170" s="6" t="str">
        <f>IFERROR(__xludf.DUMMYFUNCTION("""COMPUTED_VALUE"""),"8")</f>
        <v>8</v>
      </c>
      <c r="V2170" s="6" t="str">
        <f>IFERROR(__xludf.DUMMYFUNCTION("""COMPUTED_VALUE"""),"")</f>
        <v/>
      </c>
      <c r="W2170" s="6" t="str">
        <f>IFERROR(__xludf.DUMMYFUNCTION("""COMPUTED_VALUE"""),"[]")</f>
        <v>[]</v>
      </c>
      <c r="X2170" s="6" t="str">
        <f>IFERROR(__xludf.DUMMYFUNCTION("""COMPUTED_VALUE"""),"Enrolled")</f>
        <v>Enrolled</v>
      </c>
    </row>
    <row r="2171">
      <c r="A2171" s="6" t="str">
        <f>IFERROR(__xludf.DUMMYFUNCTION("""COMPUTED_VALUE"""),"031-2191")</f>
        <v>031-2191</v>
      </c>
      <c r="B2171" s="6" t="str">
        <f>IFERROR(__xludf.DUMMYFUNCTION("""COMPUTED_VALUE"""),"31")</f>
        <v>31</v>
      </c>
      <c r="C2171" s="6" t="str">
        <f>IFERROR(__xludf.DUMMYFUNCTION("""COMPUTED_VALUE"""),"2191")</f>
        <v>2191</v>
      </c>
      <c r="D2171" s="6" t="str">
        <f>IFERROR(__xludf.DUMMYFUNCTION("""COMPUTED_VALUE"""),"Marc")</f>
        <v>Marc</v>
      </c>
      <c r="E2171" s="6" t="str">
        <f>IFERROR(__xludf.DUMMYFUNCTION("""COMPUTED_VALUE"""),"")</f>
        <v/>
      </c>
      <c r="F2171" s="6" t="str">
        <f>IFERROR(__xludf.DUMMYFUNCTION("""COMPUTED_VALUE"""),"Shehinge")</f>
        <v>Shehinge</v>
      </c>
      <c r="G2171" s="6" t="str">
        <f>IFERROR(__xludf.DUMMYFUNCTION("""COMPUTED_VALUE"""),"Invalid Date")</f>
        <v>Invalid Date</v>
      </c>
      <c r="H2171" s="6" t="str">
        <f>IFERROR(__xludf.DUMMYFUNCTION("""COMPUTED_VALUE"""),"Self Identify")</f>
        <v>Self Identify</v>
      </c>
      <c r="I2171" s="6" t="str">
        <f>IFERROR(__xludf.DUMMYFUNCTION("""COMPUTED_VALUE"""),"Middle School")</f>
        <v>Middle School</v>
      </c>
      <c r="J2171" s="6" t="str">
        <f>IFERROR(__xludf.DUMMYFUNCTION("""COMPUTED_VALUE"""),"8")</f>
        <v>8</v>
      </c>
      <c r="K2171" s="6" t="str">
        <f>IFERROR(__xludf.DUMMYFUNCTION("""COMPUTED_VALUE"""),"marc.shehinge@2hourlearning.com")</f>
        <v>marc.shehinge@2hourlearning.com</v>
      </c>
      <c r="L2171" s="6" t="str">
        <f>IFERROR(__xludf.DUMMYFUNCTION("""COMPUTED_VALUE"""),"Limitless Education - Malawi")</f>
        <v>Limitless Education - Malawi</v>
      </c>
      <c r="M2171" s="6" t="str">
        <f>IFERROR(__xludf.DUMMYFUNCTION("""COMPUTED_VALUE"""),"")</f>
        <v/>
      </c>
      <c r="N2171" s="6" t="str">
        <f>IFERROR(__xludf.DUMMYFUNCTION("""COMPUTED_VALUE"""),"")</f>
        <v/>
      </c>
      <c r="O2171" s="87" t="str">
        <f>IFERROR(__xludf.DUMMYFUNCTION("""COMPUTED_VALUE"""),"https://drive.google.com/drive/folders/10T2cTQHqEJZqE-st6uFKPoI?usp=share_link")</f>
        <v>https://drive.google.com/drive/folders/10T2cTQHqEJZqE-st6uFKPoI?usp=share_link</v>
      </c>
      <c r="P2171" s="6" t="str">
        <f>IFERROR(__xludf.DUMMYFUNCTION("""COMPUTED_VALUE"""),"Marc Shehinge")</f>
        <v>Marc Shehinge</v>
      </c>
      <c r="Q2171" s="6" t="str">
        <f>IFERROR(__xludf.DUMMYFUNCTION("""COMPUTED_VALUE"""),"MS")</f>
        <v>MS</v>
      </c>
      <c r="R2171" s="6">
        <f>IFERROR(__xludf.DUMMYFUNCTION("""COMPUTED_VALUE"""),0.0)</f>
        <v>0</v>
      </c>
      <c r="S2171" s="6" t="str">
        <f>IFERROR(__xludf.DUMMYFUNCTION("""COMPUTED_VALUE""")," ")</f>
        <v> </v>
      </c>
      <c r="T2171" s="6" t="str">
        <f>IFERROR(__xludf.DUMMYFUNCTION("""COMPUTED_VALUE"""),"")</f>
        <v/>
      </c>
      <c r="U2171" s="6" t="str">
        <f>IFERROR(__xludf.DUMMYFUNCTION("""COMPUTED_VALUE"""),"8")</f>
        <v>8</v>
      </c>
      <c r="V2171" s="6" t="str">
        <f>IFERROR(__xludf.DUMMYFUNCTION("""COMPUTED_VALUE"""),"")</f>
        <v/>
      </c>
      <c r="W2171" s="6" t="str">
        <f>IFERROR(__xludf.DUMMYFUNCTION("""COMPUTED_VALUE"""),"[]")</f>
        <v>[]</v>
      </c>
      <c r="X2171" s="6" t="str">
        <f>IFERROR(__xludf.DUMMYFUNCTION("""COMPUTED_VALUE"""),"Enrolled")</f>
        <v>Enrolled</v>
      </c>
    </row>
    <row r="2172">
      <c r="A2172" s="6" t="str">
        <f>IFERROR(__xludf.DUMMYFUNCTION("""COMPUTED_VALUE"""),"031-2192")</f>
        <v>031-2192</v>
      </c>
      <c r="B2172" s="6" t="str">
        <f>IFERROR(__xludf.DUMMYFUNCTION("""COMPUTED_VALUE"""),"31")</f>
        <v>31</v>
      </c>
      <c r="C2172" s="6" t="str">
        <f>IFERROR(__xludf.DUMMYFUNCTION("""COMPUTED_VALUE"""),"2192")</f>
        <v>2192</v>
      </c>
      <c r="D2172" s="6" t="str">
        <f>IFERROR(__xludf.DUMMYFUNCTION("""COMPUTED_VALUE"""),"Ninda")</f>
        <v>Ninda</v>
      </c>
      <c r="E2172" s="6" t="str">
        <f>IFERROR(__xludf.DUMMYFUNCTION("""COMPUTED_VALUE"""),"")</f>
        <v/>
      </c>
      <c r="F2172" s="6" t="str">
        <f>IFERROR(__xludf.DUMMYFUNCTION("""COMPUTED_VALUE"""),"Kiputa")</f>
        <v>Kiputa</v>
      </c>
      <c r="G2172" s="6" t="str">
        <f>IFERROR(__xludf.DUMMYFUNCTION("""COMPUTED_VALUE"""),"Invalid Date")</f>
        <v>Invalid Date</v>
      </c>
      <c r="H2172" s="6" t="str">
        <f>IFERROR(__xludf.DUMMYFUNCTION("""COMPUTED_VALUE"""),"Self Identify")</f>
        <v>Self Identify</v>
      </c>
      <c r="I2172" s="6" t="str">
        <f>IFERROR(__xludf.DUMMYFUNCTION("""COMPUTED_VALUE"""),"Middle School")</f>
        <v>Middle School</v>
      </c>
      <c r="J2172" s="6" t="str">
        <f>IFERROR(__xludf.DUMMYFUNCTION("""COMPUTED_VALUE"""),"8")</f>
        <v>8</v>
      </c>
      <c r="K2172" s="6" t="str">
        <f>IFERROR(__xludf.DUMMYFUNCTION("""COMPUTED_VALUE"""),"ninda.kiputa@2hourlearning.com")</f>
        <v>ninda.kiputa@2hourlearning.com</v>
      </c>
      <c r="L2172" s="6" t="str">
        <f>IFERROR(__xludf.DUMMYFUNCTION("""COMPUTED_VALUE"""),"Limitless Education - Malawi")</f>
        <v>Limitless Education - Malawi</v>
      </c>
      <c r="M2172" s="6" t="str">
        <f>IFERROR(__xludf.DUMMYFUNCTION("""COMPUTED_VALUE"""),"")</f>
        <v/>
      </c>
      <c r="N2172" s="6" t="str">
        <f>IFERROR(__xludf.DUMMYFUNCTION("""COMPUTED_VALUE"""),"")</f>
        <v/>
      </c>
      <c r="O2172" s="87" t="str">
        <f>IFERROR(__xludf.DUMMYFUNCTION("""COMPUTED_VALUE"""),"https://drive.google.com/drive/folders/10T2cTQHqEJZqE-st6uFKPoI?usp=share_link")</f>
        <v>https://drive.google.com/drive/folders/10T2cTQHqEJZqE-st6uFKPoI?usp=share_link</v>
      </c>
      <c r="P2172" s="6" t="str">
        <f>IFERROR(__xludf.DUMMYFUNCTION("""COMPUTED_VALUE"""),"Ninda Kiputa")</f>
        <v>Ninda Kiputa</v>
      </c>
      <c r="Q2172" s="6" t="str">
        <f>IFERROR(__xludf.DUMMYFUNCTION("""COMPUTED_VALUE"""),"MS")</f>
        <v>MS</v>
      </c>
      <c r="R2172" s="6">
        <f>IFERROR(__xludf.DUMMYFUNCTION("""COMPUTED_VALUE"""),0.0)</f>
        <v>0</v>
      </c>
      <c r="S2172" s="6" t="str">
        <f>IFERROR(__xludf.DUMMYFUNCTION("""COMPUTED_VALUE""")," ")</f>
        <v> </v>
      </c>
      <c r="T2172" s="6" t="str">
        <f>IFERROR(__xludf.DUMMYFUNCTION("""COMPUTED_VALUE"""),"")</f>
        <v/>
      </c>
      <c r="U2172" s="6" t="str">
        <f>IFERROR(__xludf.DUMMYFUNCTION("""COMPUTED_VALUE"""),"8")</f>
        <v>8</v>
      </c>
      <c r="V2172" s="6" t="str">
        <f>IFERROR(__xludf.DUMMYFUNCTION("""COMPUTED_VALUE"""),"")</f>
        <v/>
      </c>
      <c r="W2172" s="6" t="str">
        <f>IFERROR(__xludf.DUMMYFUNCTION("""COMPUTED_VALUE"""),"[]")</f>
        <v>[]</v>
      </c>
      <c r="X2172" s="6" t="str">
        <f>IFERROR(__xludf.DUMMYFUNCTION("""COMPUTED_VALUE"""),"Enrolled")</f>
        <v>Enrolled</v>
      </c>
    </row>
    <row r="2173">
      <c r="A2173" s="6" t="str">
        <f>IFERROR(__xludf.DUMMYFUNCTION("""COMPUTED_VALUE"""),"031-2193")</f>
        <v>031-2193</v>
      </c>
      <c r="B2173" s="6" t="str">
        <f>IFERROR(__xludf.DUMMYFUNCTION("""COMPUTED_VALUE"""),"31")</f>
        <v>31</v>
      </c>
      <c r="C2173" s="6" t="str">
        <f>IFERROR(__xludf.DUMMYFUNCTION("""COMPUTED_VALUE"""),"2193")</f>
        <v>2193</v>
      </c>
      <c r="D2173" s="6" t="str">
        <f>IFERROR(__xludf.DUMMYFUNCTION("""COMPUTED_VALUE"""),"Frank")</f>
        <v>Frank</v>
      </c>
      <c r="E2173" s="6" t="str">
        <f>IFERROR(__xludf.DUMMYFUNCTION("""COMPUTED_VALUE"""),"")</f>
        <v/>
      </c>
      <c r="F2173" s="6" t="str">
        <f>IFERROR(__xludf.DUMMYFUNCTION("""COMPUTED_VALUE"""),"Mihindu")</f>
        <v>Mihindu</v>
      </c>
      <c r="G2173" s="6" t="str">
        <f>IFERROR(__xludf.DUMMYFUNCTION("""COMPUTED_VALUE"""),"Invalid Date")</f>
        <v>Invalid Date</v>
      </c>
      <c r="H2173" s="6" t="str">
        <f>IFERROR(__xludf.DUMMYFUNCTION("""COMPUTED_VALUE"""),"Self Identify")</f>
        <v>Self Identify</v>
      </c>
      <c r="I2173" s="6" t="str">
        <f>IFERROR(__xludf.DUMMYFUNCTION("""COMPUTED_VALUE"""),"Middle School")</f>
        <v>Middle School</v>
      </c>
      <c r="J2173" s="6" t="str">
        <f>IFERROR(__xludf.DUMMYFUNCTION("""COMPUTED_VALUE"""),"8")</f>
        <v>8</v>
      </c>
      <c r="K2173" s="6" t="str">
        <f>IFERROR(__xludf.DUMMYFUNCTION("""COMPUTED_VALUE"""),"frank.mihindu@2hourlearning.com")</f>
        <v>frank.mihindu@2hourlearning.com</v>
      </c>
      <c r="L2173" s="6" t="str">
        <f>IFERROR(__xludf.DUMMYFUNCTION("""COMPUTED_VALUE"""),"Limitless Education - Malawi")</f>
        <v>Limitless Education - Malawi</v>
      </c>
      <c r="M2173" s="6" t="str">
        <f>IFERROR(__xludf.DUMMYFUNCTION("""COMPUTED_VALUE"""),"")</f>
        <v/>
      </c>
      <c r="N2173" s="6" t="str">
        <f>IFERROR(__xludf.DUMMYFUNCTION("""COMPUTED_VALUE"""),"")</f>
        <v/>
      </c>
      <c r="O2173" s="87" t="str">
        <f>IFERROR(__xludf.DUMMYFUNCTION("""COMPUTED_VALUE"""),"https://drive.google.com/drive/folders/10T2cTQHqEJZqE-st6uFKPoI?usp=share_link")</f>
        <v>https://drive.google.com/drive/folders/10T2cTQHqEJZqE-st6uFKPoI?usp=share_link</v>
      </c>
      <c r="P2173" s="6" t="str">
        <f>IFERROR(__xludf.DUMMYFUNCTION("""COMPUTED_VALUE"""),"Frank Mihindu")</f>
        <v>Frank Mihindu</v>
      </c>
      <c r="Q2173" s="6" t="str">
        <f>IFERROR(__xludf.DUMMYFUNCTION("""COMPUTED_VALUE"""),"MS")</f>
        <v>MS</v>
      </c>
      <c r="R2173" s="6">
        <f>IFERROR(__xludf.DUMMYFUNCTION("""COMPUTED_VALUE"""),0.0)</f>
        <v>0</v>
      </c>
      <c r="S2173" s="6" t="str">
        <f>IFERROR(__xludf.DUMMYFUNCTION("""COMPUTED_VALUE""")," ")</f>
        <v> </v>
      </c>
      <c r="T2173" s="6" t="str">
        <f>IFERROR(__xludf.DUMMYFUNCTION("""COMPUTED_VALUE"""),"")</f>
        <v/>
      </c>
      <c r="U2173" s="6" t="str">
        <f>IFERROR(__xludf.DUMMYFUNCTION("""COMPUTED_VALUE"""),"8")</f>
        <v>8</v>
      </c>
      <c r="V2173" s="6" t="str">
        <f>IFERROR(__xludf.DUMMYFUNCTION("""COMPUTED_VALUE"""),"")</f>
        <v/>
      </c>
      <c r="W2173" s="6" t="str">
        <f>IFERROR(__xludf.DUMMYFUNCTION("""COMPUTED_VALUE"""),"[]")</f>
        <v>[]</v>
      </c>
      <c r="X2173" s="6" t="str">
        <f>IFERROR(__xludf.DUMMYFUNCTION("""COMPUTED_VALUE"""),"Enrolled")</f>
        <v>Enrolled</v>
      </c>
    </row>
    <row r="2174">
      <c r="A2174" s="6" t="str">
        <f>IFERROR(__xludf.DUMMYFUNCTION("""COMPUTED_VALUE"""),"031-2194")</f>
        <v>031-2194</v>
      </c>
      <c r="B2174" s="6" t="str">
        <f>IFERROR(__xludf.DUMMYFUNCTION("""COMPUTED_VALUE"""),"31")</f>
        <v>31</v>
      </c>
      <c r="C2174" s="6" t="str">
        <f>IFERROR(__xludf.DUMMYFUNCTION("""COMPUTED_VALUE"""),"2194")</f>
        <v>2194</v>
      </c>
      <c r="D2174" s="6" t="str">
        <f>IFERROR(__xludf.DUMMYFUNCTION("""COMPUTED_VALUE"""),"Gasaro")</f>
        <v>Gasaro</v>
      </c>
      <c r="E2174" s="6" t="str">
        <f>IFERROR(__xludf.DUMMYFUNCTION("""COMPUTED_VALUE"""),"")</f>
        <v/>
      </c>
      <c r="F2174" s="6" t="str">
        <f>IFERROR(__xludf.DUMMYFUNCTION("""COMPUTED_VALUE"""),"Daniella")</f>
        <v>Daniella</v>
      </c>
      <c r="G2174" s="6" t="str">
        <f>IFERROR(__xludf.DUMMYFUNCTION("""COMPUTED_VALUE"""),"Invalid Date")</f>
        <v>Invalid Date</v>
      </c>
      <c r="H2174" s="6" t="str">
        <f>IFERROR(__xludf.DUMMYFUNCTION("""COMPUTED_VALUE"""),"Self Identify")</f>
        <v>Self Identify</v>
      </c>
      <c r="I2174" s="6" t="str">
        <f>IFERROR(__xludf.DUMMYFUNCTION("""COMPUTED_VALUE"""),"High School")</f>
        <v>High School</v>
      </c>
      <c r="J2174" s="6" t="str">
        <f>IFERROR(__xludf.DUMMYFUNCTION("""COMPUTED_VALUE"""),"9")</f>
        <v>9</v>
      </c>
      <c r="K2174" s="6" t="str">
        <f>IFERROR(__xludf.DUMMYFUNCTION("""COMPUTED_VALUE"""),"gasaro.daniella@2hourlearning.com")</f>
        <v>gasaro.daniella@2hourlearning.com</v>
      </c>
      <c r="L2174" s="6" t="str">
        <f>IFERROR(__xludf.DUMMYFUNCTION("""COMPUTED_VALUE"""),"Limitless Education - Malawi")</f>
        <v>Limitless Education - Malawi</v>
      </c>
      <c r="M2174" s="6" t="str">
        <f>IFERROR(__xludf.DUMMYFUNCTION("""COMPUTED_VALUE"""),"")</f>
        <v/>
      </c>
      <c r="N2174" s="6" t="str">
        <f>IFERROR(__xludf.DUMMYFUNCTION("""COMPUTED_VALUE"""),"")</f>
        <v/>
      </c>
      <c r="O2174" s="87" t="str">
        <f>IFERROR(__xludf.DUMMYFUNCTION("""COMPUTED_VALUE"""),"https://drive.google.com/drive/folders/10T2cTQHqEJZqE-st6uFKPoI?usp=share_link")</f>
        <v>https://drive.google.com/drive/folders/10T2cTQHqEJZqE-st6uFKPoI?usp=share_link</v>
      </c>
      <c r="P2174" s="6" t="str">
        <f>IFERROR(__xludf.DUMMYFUNCTION("""COMPUTED_VALUE"""),"Gasaro Daniella")</f>
        <v>Gasaro Daniella</v>
      </c>
      <c r="Q2174" s="6" t="str">
        <f>IFERROR(__xludf.DUMMYFUNCTION("""COMPUTED_VALUE"""),"HS")</f>
        <v>HS</v>
      </c>
      <c r="R2174" s="6">
        <f>IFERROR(__xludf.DUMMYFUNCTION("""COMPUTED_VALUE"""),0.0)</f>
        <v>0</v>
      </c>
      <c r="S2174" s="6" t="str">
        <f>IFERROR(__xludf.DUMMYFUNCTION("""COMPUTED_VALUE""")," ")</f>
        <v> </v>
      </c>
      <c r="T2174" s="6" t="str">
        <f>IFERROR(__xludf.DUMMYFUNCTION("""COMPUTED_VALUE"""),"")</f>
        <v/>
      </c>
      <c r="U2174" s="6" t="str">
        <f>IFERROR(__xludf.DUMMYFUNCTION("""COMPUTED_VALUE"""),"9")</f>
        <v>9</v>
      </c>
      <c r="V2174" s="6" t="str">
        <f>IFERROR(__xludf.DUMMYFUNCTION("""COMPUTED_VALUE"""),"")</f>
        <v/>
      </c>
      <c r="W2174" s="6" t="str">
        <f>IFERROR(__xludf.DUMMYFUNCTION("""COMPUTED_VALUE"""),"[]")</f>
        <v>[]</v>
      </c>
      <c r="X2174" s="6" t="str">
        <f>IFERROR(__xludf.DUMMYFUNCTION("""COMPUTED_VALUE"""),"Enrolled")</f>
        <v>Enrolled</v>
      </c>
    </row>
    <row r="2175">
      <c r="A2175" s="6" t="str">
        <f>IFERROR(__xludf.DUMMYFUNCTION("""COMPUTED_VALUE"""),"031-2195")</f>
        <v>031-2195</v>
      </c>
      <c r="B2175" s="6" t="str">
        <f>IFERROR(__xludf.DUMMYFUNCTION("""COMPUTED_VALUE"""),"31")</f>
        <v>31</v>
      </c>
      <c r="C2175" s="6" t="str">
        <f>IFERROR(__xludf.DUMMYFUNCTION("""COMPUTED_VALUE"""),"2195")</f>
        <v>2195</v>
      </c>
      <c r="D2175" s="6" t="str">
        <f>IFERROR(__xludf.DUMMYFUNCTION("""COMPUTED_VALUE"""),"Salma")</f>
        <v>Salma</v>
      </c>
      <c r="E2175" s="6" t="str">
        <f>IFERROR(__xludf.DUMMYFUNCTION("""COMPUTED_VALUE"""),"")</f>
        <v/>
      </c>
      <c r="F2175" s="6" t="str">
        <f>IFERROR(__xludf.DUMMYFUNCTION("""COMPUTED_VALUE"""),"Irakoze")</f>
        <v>Irakoze</v>
      </c>
      <c r="G2175" s="6" t="str">
        <f>IFERROR(__xludf.DUMMYFUNCTION("""COMPUTED_VALUE"""),"Invalid Date")</f>
        <v>Invalid Date</v>
      </c>
      <c r="H2175" s="6" t="str">
        <f>IFERROR(__xludf.DUMMYFUNCTION("""COMPUTED_VALUE"""),"Self Identify")</f>
        <v>Self Identify</v>
      </c>
      <c r="I2175" s="6" t="str">
        <f>IFERROR(__xludf.DUMMYFUNCTION("""COMPUTED_VALUE"""),"Middle School")</f>
        <v>Middle School</v>
      </c>
      <c r="J2175" s="6" t="str">
        <f>IFERROR(__xludf.DUMMYFUNCTION("""COMPUTED_VALUE"""),"7")</f>
        <v>7</v>
      </c>
      <c r="K2175" s="6" t="str">
        <f>IFERROR(__xludf.DUMMYFUNCTION("""COMPUTED_VALUE"""),"salma.irakoze@2hourlearning.com")</f>
        <v>salma.irakoze@2hourlearning.com</v>
      </c>
      <c r="L2175" s="6" t="str">
        <f>IFERROR(__xludf.DUMMYFUNCTION("""COMPUTED_VALUE"""),"Limitless Education - Malawi")</f>
        <v>Limitless Education - Malawi</v>
      </c>
      <c r="M2175" s="6" t="str">
        <f>IFERROR(__xludf.DUMMYFUNCTION("""COMPUTED_VALUE"""),"")</f>
        <v/>
      </c>
      <c r="N2175" s="6" t="str">
        <f>IFERROR(__xludf.DUMMYFUNCTION("""COMPUTED_VALUE"""),"")</f>
        <v/>
      </c>
      <c r="O2175" s="87" t="str">
        <f>IFERROR(__xludf.DUMMYFUNCTION("""COMPUTED_VALUE"""),"https://drive.google.com/drive/folders/10T2cTQHqEJZqE-st6uFKPoI?usp=share_link")</f>
        <v>https://drive.google.com/drive/folders/10T2cTQHqEJZqE-st6uFKPoI?usp=share_link</v>
      </c>
      <c r="P2175" s="6" t="str">
        <f>IFERROR(__xludf.DUMMYFUNCTION("""COMPUTED_VALUE"""),"Salma Irakoze")</f>
        <v>Salma Irakoze</v>
      </c>
      <c r="Q2175" s="6" t="str">
        <f>IFERROR(__xludf.DUMMYFUNCTION("""COMPUTED_VALUE"""),"MS")</f>
        <v>MS</v>
      </c>
      <c r="R2175" s="6">
        <f>IFERROR(__xludf.DUMMYFUNCTION("""COMPUTED_VALUE"""),0.0)</f>
        <v>0</v>
      </c>
      <c r="S2175" s="6" t="str">
        <f>IFERROR(__xludf.DUMMYFUNCTION("""COMPUTED_VALUE""")," ")</f>
        <v> </v>
      </c>
      <c r="T2175" s="6" t="str">
        <f>IFERROR(__xludf.DUMMYFUNCTION("""COMPUTED_VALUE"""),"")</f>
        <v/>
      </c>
      <c r="U2175" s="6" t="str">
        <f>IFERROR(__xludf.DUMMYFUNCTION("""COMPUTED_VALUE"""),"7")</f>
        <v>7</v>
      </c>
      <c r="V2175" s="6" t="str">
        <f>IFERROR(__xludf.DUMMYFUNCTION("""COMPUTED_VALUE"""),"")</f>
        <v/>
      </c>
      <c r="W2175" s="6" t="str">
        <f>IFERROR(__xludf.DUMMYFUNCTION("""COMPUTED_VALUE"""),"[]")</f>
        <v>[]</v>
      </c>
      <c r="X2175" s="6" t="str">
        <f>IFERROR(__xludf.DUMMYFUNCTION("""COMPUTED_VALUE"""),"Enrolled")</f>
        <v>Enrolled</v>
      </c>
    </row>
    <row r="2176">
      <c r="A2176" s="6" t="str">
        <f>IFERROR(__xludf.DUMMYFUNCTION("""COMPUTED_VALUE"""),"031-2196")</f>
        <v>031-2196</v>
      </c>
      <c r="B2176" s="6" t="str">
        <f>IFERROR(__xludf.DUMMYFUNCTION("""COMPUTED_VALUE"""),"31")</f>
        <v>31</v>
      </c>
      <c r="C2176" s="6" t="str">
        <f>IFERROR(__xludf.DUMMYFUNCTION("""COMPUTED_VALUE"""),"2196")</f>
        <v>2196</v>
      </c>
      <c r="D2176" s="6" t="str">
        <f>IFERROR(__xludf.DUMMYFUNCTION("""COMPUTED_VALUE"""),"Abigael")</f>
        <v>Abigael</v>
      </c>
      <c r="E2176" s="6" t="str">
        <f>IFERROR(__xludf.DUMMYFUNCTION("""COMPUTED_VALUE"""),"")</f>
        <v/>
      </c>
      <c r="F2176" s="6" t="str">
        <f>IFERROR(__xludf.DUMMYFUNCTION("""COMPUTED_VALUE"""),"Augustin")</f>
        <v>Augustin</v>
      </c>
      <c r="G2176" s="6" t="str">
        <f>IFERROR(__xludf.DUMMYFUNCTION("""COMPUTED_VALUE"""),"Invalid Date")</f>
        <v>Invalid Date</v>
      </c>
      <c r="H2176" s="6" t="str">
        <f>IFERROR(__xludf.DUMMYFUNCTION("""COMPUTED_VALUE"""),"Self Identify")</f>
        <v>Self Identify</v>
      </c>
      <c r="I2176" s="6" t="str">
        <f>IFERROR(__xludf.DUMMYFUNCTION("""COMPUTED_VALUE"""),"Middle School")</f>
        <v>Middle School</v>
      </c>
      <c r="J2176" s="6" t="str">
        <f>IFERROR(__xludf.DUMMYFUNCTION("""COMPUTED_VALUE"""),"7")</f>
        <v>7</v>
      </c>
      <c r="K2176" s="6" t="str">
        <f>IFERROR(__xludf.DUMMYFUNCTION("""COMPUTED_VALUE"""),"abigael.augustin@2hourlearning.com")</f>
        <v>abigael.augustin@2hourlearning.com</v>
      </c>
      <c r="L2176" s="6" t="str">
        <f>IFERROR(__xludf.DUMMYFUNCTION("""COMPUTED_VALUE"""),"Limitless Education - Malawi")</f>
        <v>Limitless Education - Malawi</v>
      </c>
      <c r="M2176" s="6" t="str">
        <f>IFERROR(__xludf.DUMMYFUNCTION("""COMPUTED_VALUE"""),"")</f>
        <v/>
      </c>
      <c r="N2176" s="6" t="str">
        <f>IFERROR(__xludf.DUMMYFUNCTION("""COMPUTED_VALUE"""),"")</f>
        <v/>
      </c>
      <c r="O2176" s="87" t="str">
        <f>IFERROR(__xludf.DUMMYFUNCTION("""COMPUTED_VALUE"""),"https://drive.google.com/drive/folders/10T2cTQHqEJZqE-st6uFKPoI?usp=share_link")</f>
        <v>https://drive.google.com/drive/folders/10T2cTQHqEJZqE-st6uFKPoI?usp=share_link</v>
      </c>
      <c r="P2176" s="6" t="str">
        <f>IFERROR(__xludf.DUMMYFUNCTION("""COMPUTED_VALUE"""),"Abigael Augustin")</f>
        <v>Abigael Augustin</v>
      </c>
      <c r="Q2176" s="6" t="str">
        <f>IFERROR(__xludf.DUMMYFUNCTION("""COMPUTED_VALUE"""),"MS")</f>
        <v>MS</v>
      </c>
      <c r="R2176" s="6">
        <f>IFERROR(__xludf.DUMMYFUNCTION("""COMPUTED_VALUE"""),0.0)</f>
        <v>0</v>
      </c>
      <c r="S2176" s="6" t="str">
        <f>IFERROR(__xludf.DUMMYFUNCTION("""COMPUTED_VALUE""")," ")</f>
        <v> </v>
      </c>
      <c r="T2176" s="6" t="str">
        <f>IFERROR(__xludf.DUMMYFUNCTION("""COMPUTED_VALUE"""),"")</f>
        <v/>
      </c>
      <c r="U2176" s="6" t="str">
        <f>IFERROR(__xludf.DUMMYFUNCTION("""COMPUTED_VALUE"""),"7")</f>
        <v>7</v>
      </c>
      <c r="V2176" s="6" t="str">
        <f>IFERROR(__xludf.DUMMYFUNCTION("""COMPUTED_VALUE"""),"")</f>
        <v/>
      </c>
      <c r="W2176" s="6" t="str">
        <f>IFERROR(__xludf.DUMMYFUNCTION("""COMPUTED_VALUE"""),"[]")</f>
        <v>[]</v>
      </c>
      <c r="X2176" s="6" t="str">
        <f>IFERROR(__xludf.DUMMYFUNCTION("""COMPUTED_VALUE"""),"Enrolled")</f>
        <v>Enrolled</v>
      </c>
    </row>
    <row r="2177">
      <c r="A2177" s="6" t="str">
        <f>IFERROR(__xludf.DUMMYFUNCTION("""COMPUTED_VALUE"""),"031-2197")</f>
        <v>031-2197</v>
      </c>
      <c r="B2177" s="6" t="str">
        <f>IFERROR(__xludf.DUMMYFUNCTION("""COMPUTED_VALUE"""),"31")</f>
        <v>31</v>
      </c>
      <c r="C2177" s="6" t="str">
        <f>IFERROR(__xludf.DUMMYFUNCTION("""COMPUTED_VALUE"""),"2197")</f>
        <v>2197</v>
      </c>
      <c r="D2177" s="6" t="str">
        <f>IFERROR(__xludf.DUMMYFUNCTION("""COMPUTED_VALUE"""),"Dieu-merci")</f>
        <v>Dieu-merci</v>
      </c>
      <c r="E2177" s="6" t="str">
        <f>IFERROR(__xludf.DUMMYFUNCTION("""COMPUTED_VALUE"""),"")</f>
        <v/>
      </c>
      <c r="F2177" s="6" t="str">
        <f>IFERROR(__xludf.DUMMYFUNCTION("""COMPUTED_VALUE"""),"Moses")</f>
        <v>Moses</v>
      </c>
      <c r="G2177" s="6" t="str">
        <f>IFERROR(__xludf.DUMMYFUNCTION("""COMPUTED_VALUE"""),"Invalid Date")</f>
        <v>Invalid Date</v>
      </c>
      <c r="H2177" s="6" t="str">
        <f>IFERROR(__xludf.DUMMYFUNCTION("""COMPUTED_VALUE"""),"Self Identify")</f>
        <v>Self Identify</v>
      </c>
      <c r="I2177" s="6" t="str">
        <f>IFERROR(__xludf.DUMMYFUNCTION("""COMPUTED_VALUE"""),"Level 2")</f>
        <v>Level 2</v>
      </c>
      <c r="J2177" s="6" t="str">
        <f>IFERROR(__xludf.DUMMYFUNCTION("""COMPUTED_VALUE"""),"5")</f>
        <v>5</v>
      </c>
      <c r="K2177" s="6" t="str">
        <f>IFERROR(__xludf.DUMMYFUNCTION("""COMPUTED_VALUE"""),"dieu-merci.moses@2hourlearning.com")</f>
        <v>dieu-merci.moses@2hourlearning.com</v>
      </c>
      <c r="L2177" s="6" t="str">
        <f>IFERROR(__xludf.DUMMYFUNCTION("""COMPUTED_VALUE"""),"Limitless Education - Malawi")</f>
        <v>Limitless Education - Malawi</v>
      </c>
      <c r="M2177" s="6" t="str">
        <f>IFERROR(__xludf.DUMMYFUNCTION("""COMPUTED_VALUE"""),"")</f>
        <v/>
      </c>
      <c r="N2177" s="6" t="str">
        <f>IFERROR(__xludf.DUMMYFUNCTION("""COMPUTED_VALUE"""),"")</f>
        <v/>
      </c>
      <c r="O2177" s="87" t="str">
        <f>IFERROR(__xludf.DUMMYFUNCTION("""COMPUTED_VALUE"""),"https://drive.google.com/drive/folders/10T2cTQHqEJZqE-st6uFKPoI?usp=share_link")</f>
        <v>https://drive.google.com/drive/folders/10T2cTQHqEJZqE-st6uFKPoI?usp=share_link</v>
      </c>
      <c r="P2177" s="6" t="str">
        <f>IFERROR(__xludf.DUMMYFUNCTION("""COMPUTED_VALUE"""),"Dieu-merci Moses")</f>
        <v>Dieu-merci Moses</v>
      </c>
      <c r="Q2177" s="6" t="str">
        <f>IFERROR(__xludf.DUMMYFUNCTION("""COMPUTED_VALUE"""),"L2")</f>
        <v>L2</v>
      </c>
      <c r="R2177" s="6">
        <f>IFERROR(__xludf.DUMMYFUNCTION("""COMPUTED_VALUE"""),2.0)</f>
        <v>2</v>
      </c>
      <c r="S2177" s="6" t="str">
        <f>IFERROR(__xludf.DUMMYFUNCTION("""COMPUTED_VALUE""")," ")</f>
        <v> </v>
      </c>
      <c r="T2177" s="6" t="str">
        <f>IFERROR(__xludf.DUMMYFUNCTION("""COMPUTED_VALUE"""),"")</f>
        <v/>
      </c>
      <c r="U2177" s="6" t="str">
        <f>IFERROR(__xludf.DUMMYFUNCTION("""COMPUTED_VALUE"""),"5")</f>
        <v>5</v>
      </c>
      <c r="V2177" s="6" t="str">
        <f>IFERROR(__xludf.DUMMYFUNCTION("""COMPUTED_VALUE"""),"")</f>
        <v/>
      </c>
      <c r="W2177" s="6" t="str">
        <f>IFERROR(__xludf.DUMMYFUNCTION("""COMPUTED_VALUE"""),"[]")</f>
        <v>[]</v>
      </c>
      <c r="X2177" s="6" t="str">
        <f>IFERROR(__xludf.DUMMYFUNCTION("""COMPUTED_VALUE"""),"Enrolled")</f>
        <v>Enrolled</v>
      </c>
    </row>
    <row r="2178">
      <c r="A2178" s="6" t="str">
        <f>IFERROR(__xludf.DUMMYFUNCTION("""COMPUTED_VALUE"""),"031-2198")</f>
        <v>031-2198</v>
      </c>
      <c r="B2178" s="6" t="str">
        <f>IFERROR(__xludf.DUMMYFUNCTION("""COMPUTED_VALUE"""),"31")</f>
        <v>31</v>
      </c>
      <c r="C2178" s="6" t="str">
        <f>IFERROR(__xludf.DUMMYFUNCTION("""COMPUTED_VALUE"""),"2198")</f>
        <v>2198</v>
      </c>
      <c r="D2178" s="6" t="str">
        <f>IFERROR(__xludf.DUMMYFUNCTION("""COMPUTED_VALUE"""),"Etabi")</f>
        <v>Etabi</v>
      </c>
      <c r="E2178" s="6" t="str">
        <f>IFERROR(__xludf.DUMMYFUNCTION("""COMPUTED_VALUE"""),"")</f>
        <v/>
      </c>
      <c r="F2178" s="6" t="str">
        <f>IFERROR(__xludf.DUMMYFUNCTION("""COMPUTED_VALUE"""),"Bilombele")</f>
        <v>Bilombele</v>
      </c>
      <c r="G2178" s="6" t="str">
        <f>IFERROR(__xludf.DUMMYFUNCTION("""COMPUTED_VALUE"""),"Invalid Date")</f>
        <v>Invalid Date</v>
      </c>
      <c r="H2178" s="6" t="str">
        <f>IFERROR(__xludf.DUMMYFUNCTION("""COMPUTED_VALUE"""),"Self Identify")</f>
        <v>Self Identify</v>
      </c>
      <c r="I2178" s="6" t="str">
        <f>IFERROR(__xludf.DUMMYFUNCTION("""COMPUTED_VALUE"""),"Level 2")</f>
        <v>Level 2</v>
      </c>
      <c r="J2178" s="6" t="str">
        <f>IFERROR(__xludf.DUMMYFUNCTION("""COMPUTED_VALUE"""),"5")</f>
        <v>5</v>
      </c>
      <c r="K2178" s="6" t="str">
        <f>IFERROR(__xludf.DUMMYFUNCTION("""COMPUTED_VALUE"""),"etabi.bilombele@2hourlearning.com")</f>
        <v>etabi.bilombele@2hourlearning.com</v>
      </c>
      <c r="L2178" s="6" t="str">
        <f>IFERROR(__xludf.DUMMYFUNCTION("""COMPUTED_VALUE"""),"Limitless Education - Malawi")</f>
        <v>Limitless Education - Malawi</v>
      </c>
      <c r="M2178" s="6" t="str">
        <f>IFERROR(__xludf.DUMMYFUNCTION("""COMPUTED_VALUE"""),"")</f>
        <v/>
      </c>
      <c r="N2178" s="6" t="str">
        <f>IFERROR(__xludf.DUMMYFUNCTION("""COMPUTED_VALUE"""),"")</f>
        <v/>
      </c>
      <c r="O2178" s="87" t="str">
        <f>IFERROR(__xludf.DUMMYFUNCTION("""COMPUTED_VALUE"""),"https://drive.google.com/drive/folders/10T2cTQHqEJZqE-st6uFKPoI?usp=share_link")</f>
        <v>https://drive.google.com/drive/folders/10T2cTQHqEJZqE-st6uFKPoI?usp=share_link</v>
      </c>
      <c r="P2178" s="6" t="str">
        <f>IFERROR(__xludf.DUMMYFUNCTION("""COMPUTED_VALUE"""),"Etabi Bilombele")</f>
        <v>Etabi Bilombele</v>
      </c>
      <c r="Q2178" s="6" t="str">
        <f>IFERROR(__xludf.DUMMYFUNCTION("""COMPUTED_VALUE"""),"L2")</f>
        <v>L2</v>
      </c>
      <c r="R2178" s="6">
        <f>IFERROR(__xludf.DUMMYFUNCTION("""COMPUTED_VALUE"""),2.0)</f>
        <v>2</v>
      </c>
      <c r="S2178" s="6" t="str">
        <f>IFERROR(__xludf.DUMMYFUNCTION("""COMPUTED_VALUE""")," ")</f>
        <v> </v>
      </c>
      <c r="T2178" s="6" t="str">
        <f>IFERROR(__xludf.DUMMYFUNCTION("""COMPUTED_VALUE"""),"")</f>
        <v/>
      </c>
      <c r="U2178" s="6" t="str">
        <f>IFERROR(__xludf.DUMMYFUNCTION("""COMPUTED_VALUE"""),"5")</f>
        <v>5</v>
      </c>
      <c r="V2178" s="6" t="str">
        <f>IFERROR(__xludf.DUMMYFUNCTION("""COMPUTED_VALUE"""),"")</f>
        <v/>
      </c>
      <c r="W2178" s="6" t="str">
        <f>IFERROR(__xludf.DUMMYFUNCTION("""COMPUTED_VALUE"""),"[]")</f>
        <v>[]</v>
      </c>
      <c r="X2178" s="6" t="str">
        <f>IFERROR(__xludf.DUMMYFUNCTION("""COMPUTED_VALUE"""),"Enrolled")</f>
        <v>Enrolled</v>
      </c>
    </row>
    <row r="2179">
      <c r="A2179" s="6" t="str">
        <f>IFERROR(__xludf.DUMMYFUNCTION("""COMPUTED_VALUE"""),"031-2199")</f>
        <v>031-2199</v>
      </c>
      <c r="B2179" s="6" t="str">
        <f>IFERROR(__xludf.DUMMYFUNCTION("""COMPUTED_VALUE"""),"31")</f>
        <v>31</v>
      </c>
      <c r="C2179" s="6" t="str">
        <f>IFERROR(__xludf.DUMMYFUNCTION("""COMPUTED_VALUE"""),"2199")</f>
        <v>2199</v>
      </c>
      <c r="D2179" s="6" t="str">
        <f>IFERROR(__xludf.DUMMYFUNCTION("""COMPUTED_VALUE"""),"Finidi")</f>
        <v>Finidi</v>
      </c>
      <c r="E2179" s="6" t="str">
        <f>IFERROR(__xludf.DUMMYFUNCTION("""COMPUTED_VALUE"""),"")</f>
        <v/>
      </c>
      <c r="F2179" s="6" t="str">
        <f>IFERROR(__xludf.DUMMYFUNCTION("""COMPUTED_VALUE"""),"Batakumba")</f>
        <v>Batakumba</v>
      </c>
      <c r="G2179" s="6" t="str">
        <f>IFERROR(__xludf.DUMMYFUNCTION("""COMPUTED_VALUE"""),"Invalid Date")</f>
        <v>Invalid Date</v>
      </c>
      <c r="H2179" s="6" t="str">
        <f>IFERROR(__xludf.DUMMYFUNCTION("""COMPUTED_VALUE"""),"Self Identify")</f>
        <v>Self Identify</v>
      </c>
      <c r="I2179" s="6" t="str">
        <f>IFERROR(__xludf.DUMMYFUNCTION("""COMPUTED_VALUE"""),"Middle School")</f>
        <v>Middle School</v>
      </c>
      <c r="J2179" s="6" t="str">
        <f>IFERROR(__xludf.DUMMYFUNCTION("""COMPUTED_VALUE"""),"6")</f>
        <v>6</v>
      </c>
      <c r="K2179" s="6" t="str">
        <f>IFERROR(__xludf.DUMMYFUNCTION("""COMPUTED_VALUE"""),"finidi.batakumba@2hourlearning.com")</f>
        <v>finidi.batakumba@2hourlearning.com</v>
      </c>
      <c r="L2179" s="6" t="str">
        <f>IFERROR(__xludf.DUMMYFUNCTION("""COMPUTED_VALUE"""),"Limitless Education - Malawi")</f>
        <v>Limitless Education - Malawi</v>
      </c>
      <c r="M2179" s="6" t="str">
        <f>IFERROR(__xludf.DUMMYFUNCTION("""COMPUTED_VALUE"""),"")</f>
        <v/>
      </c>
      <c r="N2179" s="6" t="str">
        <f>IFERROR(__xludf.DUMMYFUNCTION("""COMPUTED_VALUE"""),"")</f>
        <v/>
      </c>
      <c r="O2179" s="87" t="str">
        <f>IFERROR(__xludf.DUMMYFUNCTION("""COMPUTED_VALUE"""),"https://drive.google.com/drive/folders/10T2cTQHqEJZqE-st6uFKPoI?usp=share_link")</f>
        <v>https://drive.google.com/drive/folders/10T2cTQHqEJZqE-st6uFKPoI?usp=share_link</v>
      </c>
      <c r="P2179" s="6" t="str">
        <f>IFERROR(__xludf.DUMMYFUNCTION("""COMPUTED_VALUE"""),"Finidi Batakumba")</f>
        <v>Finidi Batakumba</v>
      </c>
      <c r="Q2179" s="6" t="str">
        <f>IFERROR(__xludf.DUMMYFUNCTION("""COMPUTED_VALUE"""),"MS")</f>
        <v>MS</v>
      </c>
      <c r="R2179" s="6">
        <f>IFERROR(__xludf.DUMMYFUNCTION("""COMPUTED_VALUE"""),0.0)</f>
        <v>0</v>
      </c>
      <c r="S2179" s="6" t="str">
        <f>IFERROR(__xludf.DUMMYFUNCTION("""COMPUTED_VALUE""")," ")</f>
        <v> </v>
      </c>
      <c r="T2179" s="6" t="str">
        <f>IFERROR(__xludf.DUMMYFUNCTION("""COMPUTED_VALUE"""),"")</f>
        <v/>
      </c>
      <c r="U2179" s="6" t="str">
        <f>IFERROR(__xludf.DUMMYFUNCTION("""COMPUTED_VALUE"""),"6")</f>
        <v>6</v>
      </c>
      <c r="V2179" s="6" t="str">
        <f>IFERROR(__xludf.DUMMYFUNCTION("""COMPUTED_VALUE"""),"")</f>
        <v/>
      </c>
      <c r="W2179" s="6" t="str">
        <f>IFERROR(__xludf.DUMMYFUNCTION("""COMPUTED_VALUE"""),"[]")</f>
        <v>[]</v>
      </c>
      <c r="X2179" s="6" t="str">
        <f>IFERROR(__xludf.DUMMYFUNCTION("""COMPUTED_VALUE"""),"Enrolled")</f>
        <v>Enrolled</v>
      </c>
    </row>
    <row r="2180">
      <c r="A2180" s="6" t="str">
        <f>IFERROR(__xludf.DUMMYFUNCTION("""COMPUTED_VALUE"""),"031-2200")</f>
        <v>031-2200</v>
      </c>
      <c r="B2180" s="6" t="str">
        <f>IFERROR(__xludf.DUMMYFUNCTION("""COMPUTED_VALUE"""),"31")</f>
        <v>31</v>
      </c>
      <c r="C2180" s="6" t="str">
        <f>IFERROR(__xludf.DUMMYFUNCTION("""COMPUTED_VALUE"""),"2200")</f>
        <v>2200</v>
      </c>
      <c r="D2180" s="6" t="str">
        <f>IFERROR(__xludf.DUMMYFUNCTION("""COMPUTED_VALUE"""),"Angel")</f>
        <v>Angel</v>
      </c>
      <c r="E2180" s="6" t="str">
        <f>IFERROR(__xludf.DUMMYFUNCTION("""COMPUTED_VALUE"""),"")</f>
        <v/>
      </c>
      <c r="F2180" s="6" t="str">
        <f>IFERROR(__xludf.DUMMYFUNCTION("""COMPUTED_VALUE"""),"Muswege")</f>
        <v>Muswege</v>
      </c>
      <c r="G2180" s="6" t="str">
        <f>IFERROR(__xludf.DUMMYFUNCTION("""COMPUTED_VALUE"""),"Invalid Date")</f>
        <v>Invalid Date</v>
      </c>
      <c r="H2180" s="6" t="str">
        <f>IFERROR(__xludf.DUMMYFUNCTION("""COMPUTED_VALUE"""),"Self Identify")</f>
        <v>Self Identify</v>
      </c>
      <c r="I2180" s="6" t="str">
        <f>IFERROR(__xludf.DUMMYFUNCTION("""COMPUTED_VALUE"""),"Middle School")</f>
        <v>Middle School</v>
      </c>
      <c r="J2180" s="6" t="str">
        <f>IFERROR(__xludf.DUMMYFUNCTION("""COMPUTED_VALUE"""),"6")</f>
        <v>6</v>
      </c>
      <c r="K2180" s="6" t="str">
        <f>IFERROR(__xludf.DUMMYFUNCTION("""COMPUTED_VALUE"""),"angel.muswege@2hourlearning.com")</f>
        <v>angel.muswege@2hourlearning.com</v>
      </c>
      <c r="L2180" s="6" t="str">
        <f>IFERROR(__xludf.DUMMYFUNCTION("""COMPUTED_VALUE"""),"Limitless Education - Malawi")</f>
        <v>Limitless Education - Malawi</v>
      </c>
      <c r="M2180" s="6" t="str">
        <f>IFERROR(__xludf.DUMMYFUNCTION("""COMPUTED_VALUE"""),"")</f>
        <v/>
      </c>
      <c r="N2180" s="6" t="str">
        <f>IFERROR(__xludf.DUMMYFUNCTION("""COMPUTED_VALUE"""),"")</f>
        <v/>
      </c>
      <c r="O2180" s="87" t="str">
        <f>IFERROR(__xludf.DUMMYFUNCTION("""COMPUTED_VALUE"""),"https://drive.google.com/drive/folders/10T2cTQHqEJZqE-st6uFKPoI?usp=share_link")</f>
        <v>https://drive.google.com/drive/folders/10T2cTQHqEJZqE-st6uFKPoI?usp=share_link</v>
      </c>
      <c r="P2180" s="6" t="str">
        <f>IFERROR(__xludf.DUMMYFUNCTION("""COMPUTED_VALUE"""),"Angel Muswege")</f>
        <v>Angel Muswege</v>
      </c>
      <c r="Q2180" s="6" t="str">
        <f>IFERROR(__xludf.DUMMYFUNCTION("""COMPUTED_VALUE"""),"MS")</f>
        <v>MS</v>
      </c>
      <c r="R2180" s="6">
        <f>IFERROR(__xludf.DUMMYFUNCTION("""COMPUTED_VALUE"""),0.0)</f>
        <v>0</v>
      </c>
      <c r="S2180" s="6" t="str">
        <f>IFERROR(__xludf.DUMMYFUNCTION("""COMPUTED_VALUE""")," ")</f>
        <v> </v>
      </c>
      <c r="T2180" s="6" t="str">
        <f>IFERROR(__xludf.DUMMYFUNCTION("""COMPUTED_VALUE"""),"")</f>
        <v/>
      </c>
      <c r="U2180" s="6" t="str">
        <f>IFERROR(__xludf.DUMMYFUNCTION("""COMPUTED_VALUE"""),"6")</f>
        <v>6</v>
      </c>
      <c r="V2180" s="6" t="str">
        <f>IFERROR(__xludf.DUMMYFUNCTION("""COMPUTED_VALUE"""),"")</f>
        <v/>
      </c>
      <c r="W2180" s="6" t="str">
        <f>IFERROR(__xludf.DUMMYFUNCTION("""COMPUTED_VALUE"""),"[]")</f>
        <v>[]</v>
      </c>
      <c r="X2180" s="6" t="str">
        <f>IFERROR(__xludf.DUMMYFUNCTION("""COMPUTED_VALUE"""),"Enrolled")</f>
        <v>Enrolled</v>
      </c>
    </row>
    <row r="2181">
      <c r="A2181" s="6" t="str">
        <f>IFERROR(__xludf.DUMMYFUNCTION("""COMPUTED_VALUE"""),"031-2201")</f>
        <v>031-2201</v>
      </c>
      <c r="B2181" s="6" t="str">
        <f>IFERROR(__xludf.DUMMYFUNCTION("""COMPUTED_VALUE"""),"31")</f>
        <v>31</v>
      </c>
      <c r="C2181" s="6" t="str">
        <f>IFERROR(__xludf.DUMMYFUNCTION("""COMPUTED_VALUE"""),"2201")</f>
        <v>2201</v>
      </c>
      <c r="D2181" s="6" t="str">
        <f>IFERROR(__xludf.DUMMYFUNCTION("""COMPUTED_VALUE"""),"Ashura")</f>
        <v>Ashura</v>
      </c>
      <c r="E2181" s="6" t="str">
        <f>IFERROR(__xludf.DUMMYFUNCTION("""COMPUTED_VALUE"""),"")</f>
        <v/>
      </c>
      <c r="F2181" s="6" t="str">
        <f>IFERROR(__xludf.DUMMYFUNCTION("""COMPUTED_VALUE"""),"Monga")</f>
        <v>Monga</v>
      </c>
      <c r="G2181" s="6" t="str">
        <f>IFERROR(__xludf.DUMMYFUNCTION("""COMPUTED_VALUE"""),"Invalid Date")</f>
        <v>Invalid Date</v>
      </c>
      <c r="H2181" s="6" t="str">
        <f>IFERROR(__xludf.DUMMYFUNCTION("""COMPUTED_VALUE"""),"Self Identify")</f>
        <v>Self Identify</v>
      </c>
      <c r="I2181" s="6" t="str">
        <f>IFERROR(__xludf.DUMMYFUNCTION("""COMPUTED_VALUE"""),"Middle School")</f>
        <v>Middle School</v>
      </c>
      <c r="J2181" s="6" t="str">
        <f>IFERROR(__xludf.DUMMYFUNCTION("""COMPUTED_VALUE"""),"7")</f>
        <v>7</v>
      </c>
      <c r="K2181" s="6" t="str">
        <f>IFERROR(__xludf.DUMMYFUNCTION("""COMPUTED_VALUE"""),"ashura.monga@2hourlearning.com")</f>
        <v>ashura.monga@2hourlearning.com</v>
      </c>
      <c r="L2181" s="6" t="str">
        <f>IFERROR(__xludf.DUMMYFUNCTION("""COMPUTED_VALUE"""),"Limitless Education - Malawi")</f>
        <v>Limitless Education - Malawi</v>
      </c>
      <c r="M2181" s="6" t="str">
        <f>IFERROR(__xludf.DUMMYFUNCTION("""COMPUTED_VALUE"""),"")</f>
        <v/>
      </c>
      <c r="N2181" s="6" t="str">
        <f>IFERROR(__xludf.DUMMYFUNCTION("""COMPUTED_VALUE"""),"")</f>
        <v/>
      </c>
      <c r="O2181" s="87" t="str">
        <f>IFERROR(__xludf.DUMMYFUNCTION("""COMPUTED_VALUE"""),"https://drive.google.com/drive/folders/10T2cTQHqEJZqE-st6uFKPoI?usp=share_link")</f>
        <v>https://drive.google.com/drive/folders/10T2cTQHqEJZqE-st6uFKPoI?usp=share_link</v>
      </c>
      <c r="P2181" s="6" t="str">
        <f>IFERROR(__xludf.DUMMYFUNCTION("""COMPUTED_VALUE"""),"Ashura Monga")</f>
        <v>Ashura Monga</v>
      </c>
      <c r="Q2181" s="6" t="str">
        <f>IFERROR(__xludf.DUMMYFUNCTION("""COMPUTED_VALUE"""),"MS")</f>
        <v>MS</v>
      </c>
      <c r="R2181" s="6">
        <f>IFERROR(__xludf.DUMMYFUNCTION("""COMPUTED_VALUE"""),0.0)</f>
        <v>0</v>
      </c>
      <c r="S2181" s="6" t="str">
        <f>IFERROR(__xludf.DUMMYFUNCTION("""COMPUTED_VALUE""")," ")</f>
        <v> </v>
      </c>
      <c r="T2181" s="6" t="str">
        <f>IFERROR(__xludf.DUMMYFUNCTION("""COMPUTED_VALUE"""),"")</f>
        <v/>
      </c>
      <c r="U2181" s="6" t="str">
        <f>IFERROR(__xludf.DUMMYFUNCTION("""COMPUTED_VALUE"""),"7")</f>
        <v>7</v>
      </c>
      <c r="V2181" s="6" t="str">
        <f>IFERROR(__xludf.DUMMYFUNCTION("""COMPUTED_VALUE"""),"")</f>
        <v/>
      </c>
      <c r="W2181" s="6" t="str">
        <f>IFERROR(__xludf.DUMMYFUNCTION("""COMPUTED_VALUE"""),"[]")</f>
        <v>[]</v>
      </c>
      <c r="X2181" s="6" t="str">
        <f>IFERROR(__xludf.DUMMYFUNCTION("""COMPUTED_VALUE"""),"Enrolled")</f>
        <v>Enrolled</v>
      </c>
    </row>
    <row r="2182">
      <c r="A2182" s="6" t="str">
        <f>IFERROR(__xludf.DUMMYFUNCTION("""COMPUTED_VALUE"""),"031-2202")</f>
        <v>031-2202</v>
      </c>
      <c r="B2182" s="6" t="str">
        <f>IFERROR(__xludf.DUMMYFUNCTION("""COMPUTED_VALUE"""),"31")</f>
        <v>31</v>
      </c>
      <c r="C2182" s="6" t="str">
        <f>IFERROR(__xludf.DUMMYFUNCTION("""COMPUTED_VALUE"""),"2202")</f>
        <v>2202</v>
      </c>
      <c r="D2182" s="6" t="str">
        <f>IFERROR(__xludf.DUMMYFUNCTION("""COMPUTED_VALUE"""),"Muzaliwa")</f>
        <v>Muzaliwa</v>
      </c>
      <c r="E2182" s="6" t="str">
        <f>IFERROR(__xludf.DUMMYFUNCTION("""COMPUTED_VALUE"""),"")</f>
        <v/>
      </c>
      <c r="F2182" s="6" t="str">
        <f>IFERROR(__xludf.DUMMYFUNCTION("""COMPUTED_VALUE"""),"Mbilizi")</f>
        <v>Mbilizi</v>
      </c>
      <c r="G2182" s="6" t="str">
        <f>IFERROR(__xludf.DUMMYFUNCTION("""COMPUTED_VALUE"""),"Invalid Date")</f>
        <v>Invalid Date</v>
      </c>
      <c r="H2182" s="6" t="str">
        <f>IFERROR(__xludf.DUMMYFUNCTION("""COMPUTED_VALUE"""),"Self Identify")</f>
        <v>Self Identify</v>
      </c>
      <c r="I2182" s="6" t="str">
        <f>IFERROR(__xludf.DUMMYFUNCTION("""COMPUTED_VALUE"""),"Middle School")</f>
        <v>Middle School</v>
      </c>
      <c r="J2182" s="6" t="str">
        <f>IFERROR(__xludf.DUMMYFUNCTION("""COMPUTED_VALUE"""),"7")</f>
        <v>7</v>
      </c>
      <c r="K2182" s="6" t="str">
        <f>IFERROR(__xludf.DUMMYFUNCTION("""COMPUTED_VALUE"""),"muzaliwa.mbilizi@2hourlearning.com")</f>
        <v>muzaliwa.mbilizi@2hourlearning.com</v>
      </c>
      <c r="L2182" s="6" t="str">
        <f>IFERROR(__xludf.DUMMYFUNCTION("""COMPUTED_VALUE"""),"Limitless Education - Malawi")</f>
        <v>Limitless Education - Malawi</v>
      </c>
      <c r="M2182" s="6" t="str">
        <f>IFERROR(__xludf.DUMMYFUNCTION("""COMPUTED_VALUE"""),"")</f>
        <v/>
      </c>
      <c r="N2182" s="6" t="str">
        <f>IFERROR(__xludf.DUMMYFUNCTION("""COMPUTED_VALUE"""),"")</f>
        <v/>
      </c>
      <c r="O2182" s="87" t="str">
        <f>IFERROR(__xludf.DUMMYFUNCTION("""COMPUTED_VALUE"""),"https://drive.google.com/drive/folders/10T2cTQHqEJZqE-st6uFKPoI?usp=share_link")</f>
        <v>https://drive.google.com/drive/folders/10T2cTQHqEJZqE-st6uFKPoI?usp=share_link</v>
      </c>
      <c r="P2182" s="6" t="str">
        <f>IFERROR(__xludf.DUMMYFUNCTION("""COMPUTED_VALUE"""),"Muzaliwa Mbilizi")</f>
        <v>Muzaliwa Mbilizi</v>
      </c>
      <c r="Q2182" s="6" t="str">
        <f>IFERROR(__xludf.DUMMYFUNCTION("""COMPUTED_VALUE"""),"MS")</f>
        <v>MS</v>
      </c>
      <c r="R2182" s="6">
        <f>IFERROR(__xludf.DUMMYFUNCTION("""COMPUTED_VALUE"""),0.0)</f>
        <v>0</v>
      </c>
      <c r="S2182" s="6" t="str">
        <f>IFERROR(__xludf.DUMMYFUNCTION("""COMPUTED_VALUE""")," ")</f>
        <v> </v>
      </c>
      <c r="T2182" s="6" t="str">
        <f>IFERROR(__xludf.DUMMYFUNCTION("""COMPUTED_VALUE"""),"")</f>
        <v/>
      </c>
      <c r="U2182" s="6" t="str">
        <f>IFERROR(__xludf.DUMMYFUNCTION("""COMPUTED_VALUE"""),"7")</f>
        <v>7</v>
      </c>
      <c r="V2182" s="6" t="str">
        <f>IFERROR(__xludf.DUMMYFUNCTION("""COMPUTED_VALUE"""),"")</f>
        <v/>
      </c>
      <c r="W2182" s="6" t="str">
        <f>IFERROR(__xludf.DUMMYFUNCTION("""COMPUTED_VALUE"""),"[]")</f>
        <v>[]</v>
      </c>
      <c r="X2182" s="6" t="str">
        <f>IFERROR(__xludf.DUMMYFUNCTION("""COMPUTED_VALUE"""),"Enrolled")</f>
        <v>Enrolled</v>
      </c>
    </row>
    <row r="2183">
      <c r="A2183" s="6" t="str">
        <f>IFERROR(__xludf.DUMMYFUNCTION("""COMPUTED_VALUE"""),"031-2203")</f>
        <v>031-2203</v>
      </c>
      <c r="B2183" s="6" t="str">
        <f>IFERROR(__xludf.DUMMYFUNCTION("""COMPUTED_VALUE"""),"31")</f>
        <v>31</v>
      </c>
      <c r="C2183" s="6" t="str">
        <f>IFERROR(__xludf.DUMMYFUNCTION("""COMPUTED_VALUE"""),"2203")</f>
        <v>2203</v>
      </c>
      <c r="D2183" s="6" t="str">
        <f>IFERROR(__xludf.DUMMYFUNCTION("""COMPUTED_VALUE"""),"Preference")</f>
        <v>Preference</v>
      </c>
      <c r="E2183" s="6" t="str">
        <f>IFERROR(__xludf.DUMMYFUNCTION("""COMPUTED_VALUE"""),"")</f>
        <v/>
      </c>
      <c r="F2183" s="6" t="str">
        <f>IFERROR(__xludf.DUMMYFUNCTION("""COMPUTED_VALUE"""),"Muka")</f>
        <v>Muka</v>
      </c>
      <c r="G2183" s="6" t="str">
        <f>IFERROR(__xludf.DUMMYFUNCTION("""COMPUTED_VALUE"""),"Invalid Date")</f>
        <v>Invalid Date</v>
      </c>
      <c r="H2183" s="6" t="str">
        <f>IFERROR(__xludf.DUMMYFUNCTION("""COMPUTED_VALUE"""),"Self Identify")</f>
        <v>Self Identify</v>
      </c>
      <c r="I2183" s="6" t="str">
        <f>IFERROR(__xludf.DUMMYFUNCTION("""COMPUTED_VALUE"""),"Middle School")</f>
        <v>Middle School</v>
      </c>
      <c r="J2183" s="6" t="str">
        <f>IFERROR(__xludf.DUMMYFUNCTION("""COMPUTED_VALUE"""),"8")</f>
        <v>8</v>
      </c>
      <c r="K2183" s="6" t="str">
        <f>IFERROR(__xludf.DUMMYFUNCTION("""COMPUTED_VALUE"""),"preference.muka@2hourlearning.com")</f>
        <v>preference.muka@2hourlearning.com</v>
      </c>
      <c r="L2183" s="6" t="str">
        <f>IFERROR(__xludf.DUMMYFUNCTION("""COMPUTED_VALUE"""),"Limitless Education - Malawi")</f>
        <v>Limitless Education - Malawi</v>
      </c>
      <c r="M2183" s="6" t="str">
        <f>IFERROR(__xludf.DUMMYFUNCTION("""COMPUTED_VALUE"""),"")</f>
        <v/>
      </c>
      <c r="N2183" s="6" t="str">
        <f>IFERROR(__xludf.DUMMYFUNCTION("""COMPUTED_VALUE"""),"")</f>
        <v/>
      </c>
      <c r="O2183" s="87" t="str">
        <f>IFERROR(__xludf.DUMMYFUNCTION("""COMPUTED_VALUE"""),"https://drive.google.com/drive/folders/10T2cTQHqEJZqE-st6uFKPoI?usp=share_link")</f>
        <v>https://drive.google.com/drive/folders/10T2cTQHqEJZqE-st6uFKPoI?usp=share_link</v>
      </c>
      <c r="P2183" s="6" t="str">
        <f>IFERROR(__xludf.DUMMYFUNCTION("""COMPUTED_VALUE"""),"Preference Muka")</f>
        <v>Preference Muka</v>
      </c>
      <c r="Q2183" s="6" t="str">
        <f>IFERROR(__xludf.DUMMYFUNCTION("""COMPUTED_VALUE"""),"MS")</f>
        <v>MS</v>
      </c>
      <c r="R2183" s="6">
        <f>IFERROR(__xludf.DUMMYFUNCTION("""COMPUTED_VALUE"""),0.0)</f>
        <v>0</v>
      </c>
      <c r="S2183" s="6" t="str">
        <f>IFERROR(__xludf.DUMMYFUNCTION("""COMPUTED_VALUE""")," ")</f>
        <v> </v>
      </c>
      <c r="T2183" s="6" t="str">
        <f>IFERROR(__xludf.DUMMYFUNCTION("""COMPUTED_VALUE"""),"")</f>
        <v/>
      </c>
      <c r="U2183" s="6" t="str">
        <f>IFERROR(__xludf.DUMMYFUNCTION("""COMPUTED_VALUE"""),"8")</f>
        <v>8</v>
      </c>
      <c r="V2183" s="6" t="str">
        <f>IFERROR(__xludf.DUMMYFUNCTION("""COMPUTED_VALUE"""),"")</f>
        <v/>
      </c>
      <c r="W2183" s="6" t="str">
        <f>IFERROR(__xludf.DUMMYFUNCTION("""COMPUTED_VALUE"""),"[]")</f>
        <v>[]</v>
      </c>
      <c r="X2183" s="6" t="str">
        <f>IFERROR(__xludf.DUMMYFUNCTION("""COMPUTED_VALUE"""),"Enrolled")</f>
        <v>Enrolled</v>
      </c>
    </row>
    <row r="2184">
      <c r="A2184" s="6" t="str">
        <f>IFERROR(__xludf.DUMMYFUNCTION("""COMPUTED_VALUE"""),"031-2204")</f>
        <v>031-2204</v>
      </c>
      <c r="B2184" s="6" t="str">
        <f>IFERROR(__xludf.DUMMYFUNCTION("""COMPUTED_VALUE"""),"31")</f>
        <v>31</v>
      </c>
      <c r="C2184" s="6" t="str">
        <f>IFERROR(__xludf.DUMMYFUNCTION("""COMPUTED_VALUE"""),"2204")</f>
        <v>2204</v>
      </c>
      <c r="D2184" s="6" t="str">
        <f>IFERROR(__xludf.DUMMYFUNCTION("""COMPUTED_VALUE"""),"Kyanda")</f>
        <v>Kyanda</v>
      </c>
      <c r="E2184" s="6" t="str">
        <f>IFERROR(__xludf.DUMMYFUNCTION("""COMPUTED_VALUE"""),"")</f>
        <v/>
      </c>
      <c r="F2184" s="6" t="str">
        <f>IFERROR(__xludf.DUMMYFUNCTION("""COMPUTED_VALUE"""),"Mbumba")</f>
        <v>Mbumba</v>
      </c>
      <c r="G2184" s="6" t="str">
        <f>IFERROR(__xludf.DUMMYFUNCTION("""COMPUTED_VALUE"""),"Invalid Date")</f>
        <v>Invalid Date</v>
      </c>
      <c r="H2184" s="6" t="str">
        <f>IFERROR(__xludf.DUMMYFUNCTION("""COMPUTED_VALUE"""),"Self Identify")</f>
        <v>Self Identify</v>
      </c>
      <c r="I2184" s="6" t="str">
        <f>IFERROR(__xludf.DUMMYFUNCTION("""COMPUTED_VALUE"""),"Middle School")</f>
        <v>Middle School</v>
      </c>
      <c r="J2184" s="6" t="str">
        <f>IFERROR(__xludf.DUMMYFUNCTION("""COMPUTED_VALUE"""),"8")</f>
        <v>8</v>
      </c>
      <c r="K2184" s="6" t="str">
        <f>IFERROR(__xludf.DUMMYFUNCTION("""COMPUTED_VALUE"""),"kyanda.mbumba@2hourlearning.com")</f>
        <v>kyanda.mbumba@2hourlearning.com</v>
      </c>
      <c r="L2184" s="6" t="str">
        <f>IFERROR(__xludf.DUMMYFUNCTION("""COMPUTED_VALUE"""),"Limitless Education - Malawi")</f>
        <v>Limitless Education - Malawi</v>
      </c>
      <c r="M2184" s="6" t="str">
        <f>IFERROR(__xludf.DUMMYFUNCTION("""COMPUTED_VALUE"""),"")</f>
        <v/>
      </c>
      <c r="N2184" s="6" t="str">
        <f>IFERROR(__xludf.DUMMYFUNCTION("""COMPUTED_VALUE"""),"")</f>
        <v/>
      </c>
      <c r="O2184" s="87" t="str">
        <f>IFERROR(__xludf.DUMMYFUNCTION("""COMPUTED_VALUE"""),"https://drive.google.com/drive/folders/10T2cTQHqEJZqE-st6uFKPoI?usp=share_link")</f>
        <v>https://drive.google.com/drive/folders/10T2cTQHqEJZqE-st6uFKPoI?usp=share_link</v>
      </c>
      <c r="P2184" s="6" t="str">
        <f>IFERROR(__xludf.DUMMYFUNCTION("""COMPUTED_VALUE"""),"Kyanda Mbumba")</f>
        <v>Kyanda Mbumba</v>
      </c>
      <c r="Q2184" s="6" t="str">
        <f>IFERROR(__xludf.DUMMYFUNCTION("""COMPUTED_VALUE"""),"MS")</f>
        <v>MS</v>
      </c>
      <c r="R2184" s="6">
        <f>IFERROR(__xludf.DUMMYFUNCTION("""COMPUTED_VALUE"""),0.0)</f>
        <v>0</v>
      </c>
      <c r="S2184" s="6" t="str">
        <f>IFERROR(__xludf.DUMMYFUNCTION("""COMPUTED_VALUE""")," ")</f>
        <v> </v>
      </c>
      <c r="T2184" s="6" t="str">
        <f>IFERROR(__xludf.DUMMYFUNCTION("""COMPUTED_VALUE"""),"")</f>
        <v/>
      </c>
      <c r="U2184" s="6" t="str">
        <f>IFERROR(__xludf.DUMMYFUNCTION("""COMPUTED_VALUE"""),"8")</f>
        <v>8</v>
      </c>
      <c r="V2184" s="6" t="str">
        <f>IFERROR(__xludf.DUMMYFUNCTION("""COMPUTED_VALUE"""),"")</f>
        <v/>
      </c>
      <c r="W2184" s="6" t="str">
        <f>IFERROR(__xludf.DUMMYFUNCTION("""COMPUTED_VALUE"""),"[]")</f>
        <v>[]</v>
      </c>
      <c r="X2184" s="6" t="str">
        <f>IFERROR(__xludf.DUMMYFUNCTION("""COMPUTED_VALUE"""),"Enrolled")</f>
        <v>Enrolled</v>
      </c>
    </row>
    <row r="2185">
      <c r="A2185" s="6" t="str">
        <f>IFERROR(__xludf.DUMMYFUNCTION("""COMPUTED_VALUE"""),"031-2205")</f>
        <v>031-2205</v>
      </c>
      <c r="B2185" s="6" t="str">
        <f>IFERROR(__xludf.DUMMYFUNCTION("""COMPUTED_VALUE"""),"31")</f>
        <v>31</v>
      </c>
      <c r="C2185" s="6" t="str">
        <f>IFERROR(__xludf.DUMMYFUNCTION("""COMPUTED_VALUE"""),"2205")</f>
        <v>2205</v>
      </c>
      <c r="D2185" s="6" t="str">
        <f>IFERROR(__xludf.DUMMYFUNCTION("""COMPUTED_VALUE"""),"Julliene")</f>
        <v>Julliene</v>
      </c>
      <c r="E2185" s="6" t="str">
        <f>IFERROR(__xludf.DUMMYFUNCTION("""COMPUTED_VALUE"""),"")</f>
        <v/>
      </c>
      <c r="F2185" s="6" t="str">
        <f>IFERROR(__xludf.DUMMYFUNCTION("""COMPUTED_VALUE"""),"Augustin")</f>
        <v>Augustin</v>
      </c>
      <c r="G2185" s="6" t="str">
        <f>IFERROR(__xludf.DUMMYFUNCTION("""COMPUTED_VALUE"""),"Invalid Date")</f>
        <v>Invalid Date</v>
      </c>
      <c r="H2185" s="6" t="str">
        <f>IFERROR(__xludf.DUMMYFUNCTION("""COMPUTED_VALUE"""),"Self Identify")</f>
        <v>Self Identify</v>
      </c>
      <c r="I2185" s="6" t="str">
        <f>IFERROR(__xludf.DUMMYFUNCTION("""COMPUTED_VALUE"""),"Middle School")</f>
        <v>Middle School</v>
      </c>
      <c r="J2185" s="6" t="str">
        <f>IFERROR(__xludf.DUMMYFUNCTION("""COMPUTED_VALUE"""),"8")</f>
        <v>8</v>
      </c>
      <c r="K2185" s="6" t="str">
        <f>IFERROR(__xludf.DUMMYFUNCTION("""COMPUTED_VALUE"""),"julliene.augustin@2hourlearning.com")</f>
        <v>julliene.augustin@2hourlearning.com</v>
      </c>
      <c r="L2185" s="6" t="str">
        <f>IFERROR(__xludf.DUMMYFUNCTION("""COMPUTED_VALUE"""),"Limitless Education - Malawi")</f>
        <v>Limitless Education - Malawi</v>
      </c>
      <c r="M2185" s="6" t="str">
        <f>IFERROR(__xludf.DUMMYFUNCTION("""COMPUTED_VALUE"""),"")</f>
        <v/>
      </c>
      <c r="N2185" s="6" t="str">
        <f>IFERROR(__xludf.DUMMYFUNCTION("""COMPUTED_VALUE"""),"")</f>
        <v/>
      </c>
      <c r="O2185" s="87" t="str">
        <f>IFERROR(__xludf.DUMMYFUNCTION("""COMPUTED_VALUE"""),"https://drive.google.com/drive/folders/10T2cTQHqEJZqE-st6uFKPoI?usp=share_link")</f>
        <v>https://drive.google.com/drive/folders/10T2cTQHqEJZqE-st6uFKPoI?usp=share_link</v>
      </c>
      <c r="P2185" s="6" t="str">
        <f>IFERROR(__xludf.DUMMYFUNCTION("""COMPUTED_VALUE"""),"Julliene Augustin")</f>
        <v>Julliene Augustin</v>
      </c>
      <c r="Q2185" s="6" t="str">
        <f>IFERROR(__xludf.DUMMYFUNCTION("""COMPUTED_VALUE"""),"MS")</f>
        <v>MS</v>
      </c>
      <c r="R2185" s="6">
        <f>IFERROR(__xludf.DUMMYFUNCTION("""COMPUTED_VALUE"""),0.0)</f>
        <v>0</v>
      </c>
      <c r="S2185" s="6" t="str">
        <f>IFERROR(__xludf.DUMMYFUNCTION("""COMPUTED_VALUE""")," ")</f>
        <v> </v>
      </c>
      <c r="T2185" s="6" t="str">
        <f>IFERROR(__xludf.DUMMYFUNCTION("""COMPUTED_VALUE"""),"")</f>
        <v/>
      </c>
      <c r="U2185" s="6" t="str">
        <f>IFERROR(__xludf.DUMMYFUNCTION("""COMPUTED_VALUE"""),"8")</f>
        <v>8</v>
      </c>
      <c r="V2185" s="6" t="str">
        <f>IFERROR(__xludf.DUMMYFUNCTION("""COMPUTED_VALUE"""),"")</f>
        <v/>
      </c>
      <c r="W2185" s="6" t="str">
        <f>IFERROR(__xludf.DUMMYFUNCTION("""COMPUTED_VALUE"""),"[]")</f>
        <v>[]</v>
      </c>
      <c r="X2185" s="6" t="str">
        <f>IFERROR(__xludf.DUMMYFUNCTION("""COMPUTED_VALUE"""),"Enrolled")</f>
        <v>Enrolled</v>
      </c>
    </row>
    <row r="2186">
      <c r="A2186" s="6" t="str">
        <f>IFERROR(__xludf.DUMMYFUNCTION("""COMPUTED_VALUE"""),"031-2245")</f>
        <v>031-2245</v>
      </c>
      <c r="B2186" s="6" t="str">
        <f>IFERROR(__xludf.DUMMYFUNCTION("""COMPUTED_VALUE"""),"31")</f>
        <v>31</v>
      </c>
      <c r="C2186" s="6" t="str">
        <f>IFERROR(__xludf.DUMMYFUNCTION("""COMPUTED_VALUE"""),"2245")</f>
        <v>2245</v>
      </c>
      <c r="D2186" s="6" t="str">
        <f>IFERROR(__xludf.DUMMYFUNCTION("""COMPUTED_VALUE"""),"Light")</f>
        <v>Light</v>
      </c>
      <c r="E2186" s="6" t="str">
        <f>IFERROR(__xludf.DUMMYFUNCTION("""COMPUTED_VALUE"""),"")</f>
        <v/>
      </c>
      <c r="F2186" s="6" t="str">
        <f>IFERROR(__xludf.DUMMYFUNCTION("""COMPUTED_VALUE"""),"Nshimbi")</f>
        <v>Nshimbi</v>
      </c>
      <c r="G2186" s="6" t="str">
        <f>IFERROR(__xludf.DUMMYFUNCTION("""COMPUTED_VALUE"""),"Invalid Date")</f>
        <v>Invalid Date</v>
      </c>
      <c r="H2186" s="6" t="str">
        <f>IFERROR(__xludf.DUMMYFUNCTION("""COMPUTED_VALUE"""),"Self Identify")</f>
        <v>Self Identify</v>
      </c>
      <c r="I2186" s="6" t="str">
        <f>IFERROR(__xludf.DUMMYFUNCTION("""COMPUTED_VALUE"""),"Middle School")</f>
        <v>Middle School</v>
      </c>
      <c r="J2186" s="6" t="str">
        <f>IFERROR(__xludf.DUMMYFUNCTION("""COMPUTED_VALUE"""),"7")</f>
        <v>7</v>
      </c>
      <c r="K2186" s="6" t="str">
        <f>IFERROR(__xludf.DUMMYFUNCTION("""COMPUTED_VALUE"""),"light.nshimbi@2hourlearning.com")</f>
        <v>light.nshimbi@2hourlearning.com</v>
      </c>
      <c r="L2186" s="6" t="str">
        <f>IFERROR(__xludf.DUMMYFUNCTION("""COMPUTED_VALUE"""),"Limitless Education - Malawi")</f>
        <v>Limitless Education - Malawi</v>
      </c>
      <c r="M2186" s="6" t="str">
        <f>IFERROR(__xludf.DUMMYFUNCTION("""COMPUTED_VALUE"""),"")</f>
        <v/>
      </c>
      <c r="N2186" s="6" t="str">
        <f>IFERROR(__xludf.DUMMYFUNCTION("""COMPUTED_VALUE"""),"")</f>
        <v/>
      </c>
      <c r="O2186" s="87" t="str">
        <f>IFERROR(__xludf.DUMMYFUNCTION("""COMPUTED_VALUE"""),"https://drive.google.com/drive/folders/10T2cTQHqEJZqE-st6uFKPoI?usp=share_link")</f>
        <v>https://drive.google.com/drive/folders/10T2cTQHqEJZqE-st6uFKPoI?usp=share_link</v>
      </c>
      <c r="P2186" s="6" t="str">
        <f>IFERROR(__xludf.DUMMYFUNCTION("""COMPUTED_VALUE"""),"Light Nshimbi")</f>
        <v>Light Nshimbi</v>
      </c>
      <c r="Q2186" s="6" t="str">
        <f>IFERROR(__xludf.DUMMYFUNCTION("""COMPUTED_VALUE"""),"MS")</f>
        <v>MS</v>
      </c>
      <c r="R2186" s="6">
        <f>IFERROR(__xludf.DUMMYFUNCTION("""COMPUTED_VALUE"""),0.0)</f>
        <v>0</v>
      </c>
      <c r="S2186" s="6" t="str">
        <f>IFERROR(__xludf.DUMMYFUNCTION("""COMPUTED_VALUE""")," ")</f>
        <v> </v>
      </c>
      <c r="T2186" s="6" t="str">
        <f>IFERROR(__xludf.DUMMYFUNCTION("""COMPUTED_VALUE"""),"")</f>
        <v/>
      </c>
      <c r="U2186" s="6" t="str">
        <f>IFERROR(__xludf.DUMMYFUNCTION("""COMPUTED_VALUE"""),"7")</f>
        <v>7</v>
      </c>
      <c r="V2186" s="6" t="str">
        <f>IFERROR(__xludf.DUMMYFUNCTION("""COMPUTED_VALUE"""),"")</f>
        <v/>
      </c>
      <c r="W2186" s="6" t="str">
        <f>IFERROR(__xludf.DUMMYFUNCTION("""COMPUTED_VALUE"""),"[]")</f>
        <v>[]</v>
      </c>
      <c r="X2186" s="6" t="str">
        <f>IFERROR(__xludf.DUMMYFUNCTION("""COMPUTED_VALUE"""),"Enrolled")</f>
        <v>Enrolled</v>
      </c>
    </row>
    <row r="2187">
      <c r="A2187" s="6" t="str">
        <f>IFERROR(__xludf.DUMMYFUNCTION("""COMPUTED_VALUE"""),"031-2246")</f>
        <v>031-2246</v>
      </c>
      <c r="B2187" s="6" t="str">
        <f>IFERROR(__xludf.DUMMYFUNCTION("""COMPUTED_VALUE"""),"31")</f>
        <v>31</v>
      </c>
      <c r="C2187" s="6" t="str">
        <f>IFERROR(__xludf.DUMMYFUNCTION("""COMPUTED_VALUE"""),"2246")</f>
        <v>2246</v>
      </c>
      <c r="D2187" s="6" t="str">
        <f>IFERROR(__xludf.DUMMYFUNCTION("""COMPUTED_VALUE"""),"Blessings")</f>
        <v>Blessings</v>
      </c>
      <c r="E2187" s="6" t="str">
        <f>IFERROR(__xludf.DUMMYFUNCTION("""COMPUTED_VALUE"""),"")</f>
        <v/>
      </c>
      <c r="F2187" s="6" t="str">
        <f>IFERROR(__xludf.DUMMYFUNCTION("""COMPUTED_VALUE"""),"Nshimbi")</f>
        <v>Nshimbi</v>
      </c>
      <c r="G2187" s="6" t="str">
        <f>IFERROR(__xludf.DUMMYFUNCTION("""COMPUTED_VALUE"""),"Invalid Date")</f>
        <v>Invalid Date</v>
      </c>
      <c r="H2187" s="6" t="str">
        <f>IFERROR(__xludf.DUMMYFUNCTION("""COMPUTED_VALUE"""),"Self Identify")</f>
        <v>Self Identify</v>
      </c>
      <c r="I2187" s="6" t="str">
        <f>IFERROR(__xludf.DUMMYFUNCTION("""COMPUTED_VALUE"""),"Middle School")</f>
        <v>Middle School</v>
      </c>
      <c r="J2187" s="6" t="str">
        <f>IFERROR(__xludf.DUMMYFUNCTION("""COMPUTED_VALUE"""),"7")</f>
        <v>7</v>
      </c>
      <c r="K2187" s="6" t="str">
        <f>IFERROR(__xludf.DUMMYFUNCTION("""COMPUTED_VALUE"""),"blessings.nshimbi@2hourlearning.com")</f>
        <v>blessings.nshimbi@2hourlearning.com</v>
      </c>
      <c r="L2187" s="6" t="str">
        <f>IFERROR(__xludf.DUMMYFUNCTION("""COMPUTED_VALUE"""),"Limitless Education - Malawi")</f>
        <v>Limitless Education - Malawi</v>
      </c>
      <c r="M2187" s="6" t="str">
        <f>IFERROR(__xludf.DUMMYFUNCTION("""COMPUTED_VALUE"""),"")</f>
        <v/>
      </c>
      <c r="N2187" s="6" t="str">
        <f>IFERROR(__xludf.DUMMYFUNCTION("""COMPUTED_VALUE"""),"")</f>
        <v/>
      </c>
      <c r="O2187" s="87" t="str">
        <f>IFERROR(__xludf.DUMMYFUNCTION("""COMPUTED_VALUE"""),"https://drive.google.com/drive/folders/10T2cTQHqEJZqE-st6uFKPoI?usp=share_link")</f>
        <v>https://drive.google.com/drive/folders/10T2cTQHqEJZqE-st6uFKPoI?usp=share_link</v>
      </c>
      <c r="P2187" s="6" t="str">
        <f>IFERROR(__xludf.DUMMYFUNCTION("""COMPUTED_VALUE"""),"Blessings Nshimbi")</f>
        <v>Blessings Nshimbi</v>
      </c>
      <c r="Q2187" s="6" t="str">
        <f>IFERROR(__xludf.DUMMYFUNCTION("""COMPUTED_VALUE"""),"MS")</f>
        <v>MS</v>
      </c>
      <c r="R2187" s="6">
        <f>IFERROR(__xludf.DUMMYFUNCTION("""COMPUTED_VALUE"""),0.0)</f>
        <v>0</v>
      </c>
      <c r="S2187" s="6" t="str">
        <f>IFERROR(__xludf.DUMMYFUNCTION("""COMPUTED_VALUE""")," ")</f>
        <v> </v>
      </c>
      <c r="T2187" s="6" t="str">
        <f>IFERROR(__xludf.DUMMYFUNCTION("""COMPUTED_VALUE"""),"")</f>
        <v/>
      </c>
      <c r="U2187" s="6" t="str">
        <f>IFERROR(__xludf.DUMMYFUNCTION("""COMPUTED_VALUE"""),"7")</f>
        <v>7</v>
      </c>
      <c r="V2187" s="6" t="str">
        <f>IFERROR(__xludf.DUMMYFUNCTION("""COMPUTED_VALUE"""),"")</f>
        <v/>
      </c>
      <c r="W2187" s="6" t="str">
        <f>IFERROR(__xludf.DUMMYFUNCTION("""COMPUTED_VALUE"""),"[]")</f>
        <v>[]</v>
      </c>
      <c r="X2187" s="6" t="str">
        <f>IFERROR(__xludf.DUMMYFUNCTION("""COMPUTED_VALUE"""),"Enrolled")</f>
        <v>Enrolled</v>
      </c>
    </row>
    <row r="2188">
      <c r="A2188" s="6" t="str">
        <f>IFERROR(__xludf.DUMMYFUNCTION("""COMPUTED_VALUE"""),"031-2247")</f>
        <v>031-2247</v>
      </c>
      <c r="B2188" s="6" t="str">
        <f>IFERROR(__xludf.DUMMYFUNCTION("""COMPUTED_VALUE"""),"31")</f>
        <v>31</v>
      </c>
      <c r="C2188" s="6" t="str">
        <f>IFERROR(__xludf.DUMMYFUNCTION("""COMPUTED_VALUE"""),"2247")</f>
        <v>2247</v>
      </c>
      <c r="D2188" s="6" t="str">
        <f>IFERROR(__xludf.DUMMYFUNCTION("""COMPUTED_VALUE"""),"Esther")</f>
        <v>Esther</v>
      </c>
      <c r="E2188" s="6" t="str">
        <f>IFERROR(__xludf.DUMMYFUNCTION("""COMPUTED_VALUE"""),"")</f>
        <v/>
      </c>
      <c r="F2188" s="6" t="str">
        <f>IFERROR(__xludf.DUMMYFUNCTION("""COMPUTED_VALUE"""),"Victorina")</f>
        <v>Victorina</v>
      </c>
      <c r="G2188" s="6" t="str">
        <f>IFERROR(__xludf.DUMMYFUNCTION("""COMPUTED_VALUE"""),"Invalid Date")</f>
        <v>Invalid Date</v>
      </c>
      <c r="H2188" s="6" t="str">
        <f>IFERROR(__xludf.DUMMYFUNCTION("""COMPUTED_VALUE"""),"Self Identify")</f>
        <v>Self Identify</v>
      </c>
      <c r="I2188" s="6" t="str">
        <f>IFERROR(__xludf.DUMMYFUNCTION("""COMPUTED_VALUE"""),"Middle School")</f>
        <v>Middle School</v>
      </c>
      <c r="J2188" s="6" t="str">
        <f>IFERROR(__xludf.DUMMYFUNCTION("""COMPUTED_VALUE"""),"7")</f>
        <v>7</v>
      </c>
      <c r="K2188" s="6" t="str">
        <f>IFERROR(__xludf.DUMMYFUNCTION("""COMPUTED_VALUE"""),"esther.victorina@2hourlearning.com")</f>
        <v>esther.victorina@2hourlearning.com</v>
      </c>
      <c r="L2188" s="6" t="str">
        <f>IFERROR(__xludf.DUMMYFUNCTION("""COMPUTED_VALUE"""),"Limitless Education - Malawi")</f>
        <v>Limitless Education - Malawi</v>
      </c>
      <c r="M2188" s="6" t="str">
        <f>IFERROR(__xludf.DUMMYFUNCTION("""COMPUTED_VALUE"""),"")</f>
        <v/>
      </c>
      <c r="N2188" s="6" t="str">
        <f>IFERROR(__xludf.DUMMYFUNCTION("""COMPUTED_VALUE"""),"")</f>
        <v/>
      </c>
      <c r="O2188" s="87" t="str">
        <f>IFERROR(__xludf.DUMMYFUNCTION("""COMPUTED_VALUE"""),"https://drive.google.com/drive/folders/10T2cTQHqEJZqE-st6uFKPoI?usp=share_link")</f>
        <v>https://drive.google.com/drive/folders/10T2cTQHqEJZqE-st6uFKPoI?usp=share_link</v>
      </c>
      <c r="P2188" s="6" t="str">
        <f>IFERROR(__xludf.DUMMYFUNCTION("""COMPUTED_VALUE"""),"Esther Victorina")</f>
        <v>Esther Victorina</v>
      </c>
      <c r="Q2188" s="6" t="str">
        <f>IFERROR(__xludf.DUMMYFUNCTION("""COMPUTED_VALUE"""),"MS")</f>
        <v>MS</v>
      </c>
      <c r="R2188" s="6">
        <f>IFERROR(__xludf.DUMMYFUNCTION("""COMPUTED_VALUE"""),0.0)</f>
        <v>0</v>
      </c>
      <c r="S2188" s="6" t="str">
        <f>IFERROR(__xludf.DUMMYFUNCTION("""COMPUTED_VALUE""")," ")</f>
        <v> </v>
      </c>
      <c r="T2188" s="6" t="str">
        <f>IFERROR(__xludf.DUMMYFUNCTION("""COMPUTED_VALUE"""),"")</f>
        <v/>
      </c>
      <c r="U2188" s="6" t="str">
        <f>IFERROR(__xludf.DUMMYFUNCTION("""COMPUTED_VALUE"""),"7")</f>
        <v>7</v>
      </c>
      <c r="V2188" s="6" t="str">
        <f>IFERROR(__xludf.DUMMYFUNCTION("""COMPUTED_VALUE"""),"")</f>
        <v/>
      </c>
      <c r="W2188" s="6" t="str">
        <f>IFERROR(__xludf.DUMMYFUNCTION("""COMPUTED_VALUE"""),"[]")</f>
        <v>[]</v>
      </c>
      <c r="X2188" s="6" t="str">
        <f>IFERROR(__xludf.DUMMYFUNCTION("""COMPUTED_VALUE"""),"Enrolled")</f>
        <v>Enrolled</v>
      </c>
    </row>
    <row r="2189">
      <c r="A2189" s="6" t="str">
        <f>IFERROR(__xludf.DUMMYFUNCTION("""COMPUTED_VALUE"""),"031-2248")</f>
        <v>031-2248</v>
      </c>
      <c r="B2189" s="6" t="str">
        <f>IFERROR(__xludf.DUMMYFUNCTION("""COMPUTED_VALUE"""),"31")</f>
        <v>31</v>
      </c>
      <c r="C2189" s="6" t="str">
        <f>IFERROR(__xludf.DUMMYFUNCTION("""COMPUTED_VALUE"""),"2248")</f>
        <v>2248</v>
      </c>
      <c r="D2189" s="6" t="str">
        <f>IFERROR(__xludf.DUMMYFUNCTION("""COMPUTED_VALUE"""),"Jemimah")</f>
        <v>Jemimah</v>
      </c>
      <c r="E2189" s="6" t="str">
        <f>IFERROR(__xludf.DUMMYFUNCTION("""COMPUTED_VALUE"""),"")</f>
        <v/>
      </c>
      <c r="F2189" s="6" t="str">
        <f>IFERROR(__xludf.DUMMYFUNCTION("""COMPUTED_VALUE"""),"Mapenzi")</f>
        <v>Mapenzi</v>
      </c>
      <c r="G2189" s="6" t="str">
        <f>IFERROR(__xludf.DUMMYFUNCTION("""COMPUTED_VALUE"""),"Invalid Date")</f>
        <v>Invalid Date</v>
      </c>
      <c r="H2189" s="6" t="str">
        <f>IFERROR(__xludf.DUMMYFUNCTION("""COMPUTED_VALUE"""),"Self Identify")</f>
        <v>Self Identify</v>
      </c>
      <c r="I2189" s="6" t="str">
        <f>IFERROR(__xludf.DUMMYFUNCTION("""COMPUTED_VALUE"""),"High School")</f>
        <v>High School</v>
      </c>
      <c r="J2189" s="6" t="str">
        <f>IFERROR(__xludf.DUMMYFUNCTION("""COMPUTED_VALUE"""),"9")</f>
        <v>9</v>
      </c>
      <c r="K2189" s="6" t="str">
        <f>IFERROR(__xludf.DUMMYFUNCTION("""COMPUTED_VALUE"""),"jemimah.mapenzi@2hourlearning.com")</f>
        <v>jemimah.mapenzi@2hourlearning.com</v>
      </c>
      <c r="L2189" s="6" t="str">
        <f>IFERROR(__xludf.DUMMYFUNCTION("""COMPUTED_VALUE"""),"Limitless Education - Malawi")</f>
        <v>Limitless Education - Malawi</v>
      </c>
      <c r="M2189" s="6" t="str">
        <f>IFERROR(__xludf.DUMMYFUNCTION("""COMPUTED_VALUE"""),"")</f>
        <v/>
      </c>
      <c r="N2189" s="6" t="str">
        <f>IFERROR(__xludf.DUMMYFUNCTION("""COMPUTED_VALUE"""),"")</f>
        <v/>
      </c>
      <c r="O2189" s="87" t="str">
        <f>IFERROR(__xludf.DUMMYFUNCTION("""COMPUTED_VALUE"""),"https://drive.google.com/drive/folders/10T2cTQHqEJZqE-st6uFKPoI?usp=share_link")</f>
        <v>https://drive.google.com/drive/folders/10T2cTQHqEJZqE-st6uFKPoI?usp=share_link</v>
      </c>
      <c r="P2189" s="6" t="str">
        <f>IFERROR(__xludf.DUMMYFUNCTION("""COMPUTED_VALUE"""),"Jemimah Mapenzi")</f>
        <v>Jemimah Mapenzi</v>
      </c>
      <c r="Q2189" s="6" t="str">
        <f>IFERROR(__xludf.DUMMYFUNCTION("""COMPUTED_VALUE"""),"HS")</f>
        <v>HS</v>
      </c>
      <c r="R2189" s="6">
        <f>IFERROR(__xludf.DUMMYFUNCTION("""COMPUTED_VALUE"""),0.0)</f>
        <v>0</v>
      </c>
      <c r="S2189" s="6" t="str">
        <f>IFERROR(__xludf.DUMMYFUNCTION("""COMPUTED_VALUE""")," ")</f>
        <v> </v>
      </c>
      <c r="T2189" s="6" t="str">
        <f>IFERROR(__xludf.DUMMYFUNCTION("""COMPUTED_VALUE"""),"")</f>
        <v/>
      </c>
      <c r="U2189" s="6" t="str">
        <f>IFERROR(__xludf.DUMMYFUNCTION("""COMPUTED_VALUE"""),"9")</f>
        <v>9</v>
      </c>
      <c r="V2189" s="6" t="str">
        <f>IFERROR(__xludf.DUMMYFUNCTION("""COMPUTED_VALUE"""),"")</f>
        <v/>
      </c>
      <c r="W2189" s="6" t="str">
        <f>IFERROR(__xludf.DUMMYFUNCTION("""COMPUTED_VALUE"""),"[]")</f>
        <v>[]</v>
      </c>
      <c r="X2189" s="6" t="str">
        <f>IFERROR(__xludf.DUMMYFUNCTION("""COMPUTED_VALUE"""),"Enrolled")</f>
        <v>Enrolled</v>
      </c>
    </row>
    <row r="2190">
      <c r="A2190" s="6" t="str">
        <f>IFERROR(__xludf.DUMMYFUNCTION("""COMPUTED_VALUE"""),"031-2249")</f>
        <v>031-2249</v>
      </c>
      <c r="B2190" s="6" t="str">
        <f>IFERROR(__xludf.DUMMYFUNCTION("""COMPUTED_VALUE"""),"31")</f>
        <v>31</v>
      </c>
      <c r="C2190" s="6" t="str">
        <f>IFERROR(__xludf.DUMMYFUNCTION("""COMPUTED_VALUE"""),"2249")</f>
        <v>2249</v>
      </c>
      <c r="D2190" s="6" t="str">
        <f>IFERROR(__xludf.DUMMYFUNCTION("""COMPUTED_VALUE"""),"Zawadi")</f>
        <v>Zawadi</v>
      </c>
      <c r="E2190" s="6" t="str">
        <f>IFERROR(__xludf.DUMMYFUNCTION("""COMPUTED_VALUE"""),"")</f>
        <v/>
      </c>
      <c r="F2190" s="6" t="str">
        <f>IFERROR(__xludf.DUMMYFUNCTION("""COMPUTED_VALUE"""),"Napamba")</f>
        <v>Napamba</v>
      </c>
      <c r="G2190" s="6" t="str">
        <f>IFERROR(__xludf.DUMMYFUNCTION("""COMPUTED_VALUE"""),"Invalid Date")</f>
        <v>Invalid Date</v>
      </c>
      <c r="H2190" s="6" t="str">
        <f>IFERROR(__xludf.DUMMYFUNCTION("""COMPUTED_VALUE"""),"Self Identify")</f>
        <v>Self Identify</v>
      </c>
      <c r="I2190" s="6" t="str">
        <f>IFERROR(__xludf.DUMMYFUNCTION("""COMPUTED_VALUE"""),"Middle School")</f>
        <v>Middle School</v>
      </c>
      <c r="J2190" s="6" t="str">
        <f>IFERROR(__xludf.DUMMYFUNCTION("""COMPUTED_VALUE"""),"6")</f>
        <v>6</v>
      </c>
      <c r="K2190" s="6" t="str">
        <f>IFERROR(__xludf.DUMMYFUNCTION("""COMPUTED_VALUE"""),"zawadi.napamba@2hourlearning.com")</f>
        <v>zawadi.napamba@2hourlearning.com</v>
      </c>
      <c r="L2190" s="6" t="str">
        <f>IFERROR(__xludf.DUMMYFUNCTION("""COMPUTED_VALUE"""),"Limitless Education - Malawi")</f>
        <v>Limitless Education - Malawi</v>
      </c>
      <c r="M2190" s="6" t="str">
        <f>IFERROR(__xludf.DUMMYFUNCTION("""COMPUTED_VALUE"""),"")</f>
        <v/>
      </c>
      <c r="N2190" s="6" t="str">
        <f>IFERROR(__xludf.DUMMYFUNCTION("""COMPUTED_VALUE"""),"")</f>
        <v/>
      </c>
      <c r="O2190" s="87" t="str">
        <f>IFERROR(__xludf.DUMMYFUNCTION("""COMPUTED_VALUE"""),"https://drive.google.com/drive/folders/10T2cTQHqEJZqE-st6uFKPoI?usp=share_link")</f>
        <v>https://drive.google.com/drive/folders/10T2cTQHqEJZqE-st6uFKPoI?usp=share_link</v>
      </c>
      <c r="P2190" s="6" t="str">
        <f>IFERROR(__xludf.DUMMYFUNCTION("""COMPUTED_VALUE"""),"Zawadi Napamba")</f>
        <v>Zawadi Napamba</v>
      </c>
      <c r="Q2190" s="6" t="str">
        <f>IFERROR(__xludf.DUMMYFUNCTION("""COMPUTED_VALUE"""),"MS")</f>
        <v>MS</v>
      </c>
      <c r="R2190" s="6">
        <f>IFERROR(__xludf.DUMMYFUNCTION("""COMPUTED_VALUE"""),0.0)</f>
        <v>0</v>
      </c>
      <c r="S2190" s="6" t="str">
        <f>IFERROR(__xludf.DUMMYFUNCTION("""COMPUTED_VALUE""")," ")</f>
        <v> </v>
      </c>
      <c r="T2190" s="6" t="str">
        <f>IFERROR(__xludf.DUMMYFUNCTION("""COMPUTED_VALUE"""),"")</f>
        <v/>
      </c>
      <c r="U2190" s="6" t="str">
        <f>IFERROR(__xludf.DUMMYFUNCTION("""COMPUTED_VALUE"""),"6")</f>
        <v>6</v>
      </c>
      <c r="V2190" s="6" t="str">
        <f>IFERROR(__xludf.DUMMYFUNCTION("""COMPUTED_VALUE"""),"")</f>
        <v/>
      </c>
      <c r="W2190" s="6" t="str">
        <f>IFERROR(__xludf.DUMMYFUNCTION("""COMPUTED_VALUE"""),"[]")</f>
        <v>[]</v>
      </c>
      <c r="X2190" s="6" t="str">
        <f>IFERROR(__xludf.DUMMYFUNCTION("""COMPUTED_VALUE"""),"Enrolled")</f>
        <v>Enrolled</v>
      </c>
    </row>
    <row r="2191">
      <c r="A2191" s="6" t="str">
        <f>IFERROR(__xludf.DUMMYFUNCTION("""COMPUTED_VALUE"""),"031-2250")</f>
        <v>031-2250</v>
      </c>
      <c r="B2191" s="6" t="str">
        <f>IFERROR(__xludf.DUMMYFUNCTION("""COMPUTED_VALUE"""),"31")</f>
        <v>31</v>
      </c>
      <c r="C2191" s="6" t="str">
        <f>IFERROR(__xludf.DUMMYFUNCTION("""COMPUTED_VALUE"""),"2250")</f>
        <v>2250</v>
      </c>
      <c r="D2191" s="6" t="str">
        <f>IFERROR(__xludf.DUMMYFUNCTION("""COMPUTED_VALUE"""),"Raisa")</f>
        <v>Raisa</v>
      </c>
      <c r="E2191" s="6" t="str">
        <f>IFERROR(__xludf.DUMMYFUNCTION("""COMPUTED_VALUE"""),"")</f>
        <v/>
      </c>
      <c r="F2191" s="6" t="str">
        <f>IFERROR(__xludf.DUMMYFUNCTION("""COMPUTED_VALUE"""),"Furaha")</f>
        <v>Furaha</v>
      </c>
      <c r="G2191" s="6" t="str">
        <f>IFERROR(__xludf.DUMMYFUNCTION("""COMPUTED_VALUE"""),"Invalid Date")</f>
        <v>Invalid Date</v>
      </c>
      <c r="H2191" s="6" t="str">
        <f>IFERROR(__xludf.DUMMYFUNCTION("""COMPUTED_VALUE"""),"Self Identify")</f>
        <v>Self Identify</v>
      </c>
      <c r="I2191" s="6" t="str">
        <f>IFERROR(__xludf.DUMMYFUNCTION("""COMPUTED_VALUE"""),"High School")</f>
        <v>High School</v>
      </c>
      <c r="J2191" s="6" t="str">
        <f>IFERROR(__xludf.DUMMYFUNCTION("""COMPUTED_VALUE"""),"9")</f>
        <v>9</v>
      </c>
      <c r="K2191" s="6" t="str">
        <f>IFERROR(__xludf.DUMMYFUNCTION("""COMPUTED_VALUE"""),"raisa.furaha@2hourlearning.com")</f>
        <v>raisa.furaha@2hourlearning.com</v>
      </c>
      <c r="L2191" s="6" t="str">
        <f>IFERROR(__xludf.DUMMYFUNCTION("""COMPUTED_VALUE"""),"Limitless Education - Malawi")</f>
        <v>Limitless Education - Malawi</v>
      </c>
      <c r="M2191" s="6" t="str">
        <f>IFERROR(__xludf.DUMMYFUNCTION("""COMPUTED_VALUE"""),"")</f>
        <v/>
      </c>
      <c r="N2191" s="6" t="str">
        <f>IFERROR(__xludf.DUMMYFUNCTION("""COMPUTED_VALUE"""),"")</f>
        <v/>
      </c>
      <c r="O2191" s="87" t="str">
        <f>IFERROR(__xludf.DUMMYFUNCTION("""COMPUTED_VALUE"""),"https://drive.google.com/drive/folders/10T2cTQHqEJZqE-st6uFKPoI?usp=share_link")</f>
        <v>https://drive.google.com/drive/folders/10T2cTQHqEJZqE-st6uFKPoI?usp=share_link</v>
      </c>
      <c r="P2191" s="6" t="str">
        <f>IFERROR(__xludf.DUMMYFUNCTION("""COMPUTED_VALUE"""),"Raisa Furaha")</f>
        <v>Raisa Furaha</v>
      </c>
      <c r="Q2191" s="6" t="str">
        <f>IFERROR(__xludf.DUMMYFUNCTION("""COMPUTED_VALUE"""),"HS")</f>
        <v>HS</v>
      </c>
      <c r="R2191" s="6">
        <f>IFERROR(__xludf.DUMMYFUNCTION("""COMPUTED_VALUE"""),0.0)</f>
        <v>0</v>
      </c>
      <c r="S2191" s="6" t="str">
        <f>IFERROR(__xludf.DUMMYFUNCTION("""COMPUTED_VALUE""")," ")</f>
        <v> </v>
      </c>
      <c r="T2191" s="6" t="str">
        <f>IFERROR(__xludf.DUMMYFUNCTION("""COMPUTED_VALUE"""),"")</f>
        <v/>
      </c>
      <c r="U2191" s="6" t="str">
        <f>IFERROR(__xludf.DUMMYFUNCTION("""COMPUTED_VALUE"""),"9")</f>
        <v>9</v>
      </c>
      <c r="V2191" s="6" t="str">
        <f>IFERROR(__xludf.DUMMYFUNCTION("""COMPUTED_VALUE"""),"")</f>
        <v/>
      </c>
      <c r="W2191" s="6" t="str">
        <f>IFERROR(__xludf.DUMMYFUNCTION("""COMPUTED_VALUE"""),"[]")</f>
        <v>[]</v>
      </c>
      <c r="X2191" s="6" t="str">
        <f>IFERROR(__xludf.DUMMYFUNCTION("""COMPUTED_VALUE"""),"Enrolled")</f>
        <v>Enrolled</v>
      </c>
    </row>
    <row r="2192">
      <c r="A2192" s="6" t="str">
        <f>IFERROR(__xludf.DUMMYFUNCTION("""COMPUTED_VALUE"""),"031-2251")</f>
        <v>031-2251</v>
      </c>
      <c r="B2192" s="6" t="str">
        <f>IFERROR(__xludf.DUMMYFUNCTION("""COMPUTED_VALUE"""),"31")</f>
        <v>31</v>
      </c>
      <c r="C2192" s="6" t="str">
        <f>IFERROR(__xludf.DUMMYFUNCTION("""COMPUTED_VALUE"""),"2251")</f>
        <v>2251</v>
      </c>
      <c r="D2192" s="6" t="str">
        <f>IFERROR(__xludf.DUMMYFUNCTION("""COMPUTED_VALUE"""),"Merciana")</f>
        <v>Merciana</v>
      </c>
      <c r="E2192" s="6" t="str">
        <f>IFERROR(__xludf.DUMMYFUNCTION("""COMPUTED_VALUE"""),"")</f>
        <v/>
      </c>
      <c r="F2192" s="6" t="str">
        <f>IFERROR(__xludf.DUMMYFUNCTION("""COMPUTED_VALUE"""),"Sikabwe")</f>
        <v>Sikabwe</v>
      </c>
      <c r="G2192" s="6" t="str">
        <f>IFERROR(__xludf.DUMMYFUNCTION("""COMPUTED_VALUE"""),"Invalid Date")</f>
        <v>Invalid Date</v>
      </c>
      <c r="H2192" s="6" t="str">
        <f>IFERROR(__xludf.DUMMYFUNCTION("""COMPUTED_VALUE"""),"Self Identify")</f>
        <v>Self Identify</v>
      </c>
      <c r="I2192" s="6" t="str">
        <f>IFERROR(__xludf.DUMMYFUNCTION("""COMPUTED_VALUE"""),"Level 2")</f>
        <v>Level 2</v>
      </c>
      <c r="J2192" s="6" t="str">
        <f>IFERROR(__xludf.DUMMYFUNCTION("""COMPUTED_VALUE"""),"5")</f>
        <v>5</v>
      </c>
      <c r="K2192" s="6" t="str">
        <f>IFERROR(__xludf.DUMMYFUNCTION("""COMPUTED_VALUE"""),"merciana.sikabwe@2hourlearning.com")</f>
        <v>merciana.sikabwe@2hourlearning.com</v>
      </c>
      <c r="L2192" s="6" t="str">
        <f>IFERROR(__xludf.DUMMYFUNCTION("""COMPUTED_VALUE"""),"Limitless Education - Malawi")</f>
        <v>Limitless Education - Malawi</v>
      </c>
      <c r="M2192" s="6" t="str">
        <f>IFERROR(__xludf.DUMMYFUNCTION("""COMPUTED_VALUE"""),"")</f>
        <v/>
      </c>
      <c r="N2192" s="6" t="str">
        <f>IFERROR(__xludf.DUMMYFUNCTION("""COMPUTED_VALUE"""),"")</f>
        <v/>
      </c>
      <c r="O2192" s="87" t="str">
        <f>IFERROR(__xludf.DUMMYFUNCTION("""COMPUTED_VALUE"""),"https://drive.google.com/drive/folders/10T2cTQHqEJZqE-st6uFKPoI?usp=share_link")</f>
        <v>https://drive.google.com/drive/folders/10T2cTQHqEJZqE-st6uFKPoI?usp=share_link</v>
      </c>
      <c r="P2192" s="6" t="str">
        <f>IFERROR(__xludf.DUMMYFUNCTION("""COMPUTED_VALUE"""),"Merciana Sikabwe")</f>
        <v>Merciana Sikabwe</v>
      </c>
      <c r="Q2192" s="6" t="str">
        <f>IFERROR(__xludf.DUMMYFUNCTION("""COMPUTED_VALUE"""),"L2")</f>
        <v>L2</v>
      </c>
      <c r="R2192" s="6">
        <f>IFERROR(__xludf.DUMMYFUNCTION("""COMPUTED_VALUE"""),2.0)</f>
        <v>2</v>
      </c>
      <c r="S2192" s="6" t="str">
        <f>IFERROR(__xludf.DUMMYFUNCTION("""COMPUTED_VALUE""")," ")</f>
        <v> </v>
      </c>
      <c r="T2192" s="6" t="str">
        <f>IFERROR(__xludf.DUMMYFUNCTION("""COMPUTED_VALUE"""),"")</f>
        <v/>
      </c>
      <c r="U2192" s="6" t="str">
        <f>IFERROR(__xludf.DUMMYFUNCTION("""COMPUTED_VALUE"""),"5")</f>
        <v>5</v>
      </c>
      <c r="V2192" s="6" t="str">
        <f>IFERROR(__xludf.DUMMYFUNCTION("""COMPUTED_VALUE"""),"")</f>
        <v/>
      </c>
      <c r="W2192" s="6" t="str">
        <f>IFERROR(__xludf.DUMMYFUNCTION("""COMPUTED_VALUE"""),"[]")</f>
        <v>[]</v>
      </c>
      <c r="X2192" s="6" t="str">
        <f>IFERROR(__xludf.DUMMYFUNCTION("""COMPUTED_VALUE"""),"Enrolled")</f>
        <v>Enrolled</v>
      </c>
    </row>
    <row r="2193">
      <c r="A2193" s="6" t="str">
        <f>IFERROR(__xludf.DUMMYFUNCTION("""COMPUTED_VALUE"""),"031-2252")</f>
        <v>031-2252</v>
      </c>
      <c r="B2193" s="6" t="str">
        <f>IFERROR(__xludf.DUMMYFUNCTION("""COMPUTED_VALUE"""),"31")</f>
        <v>31</v>
      </c>
      <c r="C2193" s="6" t="str">
        <f>IFERROR(__xludf.DUMMYFUNCTION("""COMPUTED_VALUE"""),"2252")</f>
        <v>2252</v>
      </c>
      <c r="D2193" s="6" t="str">
        <f>IFERROR(__xludf.DUMMYFUNCTION("""COMPUTED_VALUE"""),"Hadassah")</f>
        <v>Hadassah</v>
      </c>
      <c r="E2193" s="6" t="str">
        <f>IFERROR(__xludf.DUMMYFUNCTION("""COMPUTED_VALUE"""),"")</f>
        <v/>
      </c>
      <c r="F2193" s="6" t="str">
        <f>IFERROR(__xludf.DUMMYFUNCTION("""COMPUTED_VALUE"""),"Banze")</f>
        <v>Banze</v>
      </c>
      <c r="G2193" s="6" t="str">
        <f>IFERROR(__xludf.DUMMYFUNCTION("""COMPUTED_VALUE"""),"Invalid Date")</f>
        <v>Invalid Date</v>
      </c>
      <c r="H2193" s="6" t="str">
        <f>IFERROR(__xludf.DUMMYFUNCTION("""COMPUTED_VALUE"""),"Self Identify")</f>
        <v>Self Identify</v>
      </c>
      <c r="I2193" s="6" t="str">
        <f>IFERROR(__xludf.DUMMYFUNCTION("""COMPUTED_VALUE"""),"High School")</f>
        <v>High School</v>
      </c>
      <c r="J2193" s="6" t="str">
        <f>IFERROR(__xludf.DUMMYFUNCTION("""COMPUTED_VALUE"""),"11")</f>
        <v>11</v>
      </c>
      <c r="K2193" s="6" t="str">
        <f>IFERROR(__xludf.DUMMYFUNCTION("""COMPUTED_VALUE"""),"hadassah.banze@2hourlearning.com")</f>
        <v>hadassah.banze@2hourlearning.com</v>
      </c>
      <c r="L2193" s="6" t="str">
        <f>IFERROR(__xludf.DUMMYFUNCTION("""COMPUTED_VALUE"""),"Limitless Education - Malawi")</f>
        <v>Limitless Education - Malawi</v>
      </c>
      <c r="M2193" s="6" t="str">
        <f>IFERROR(__xludf.DUMMYFUNCTION("""COMPUTED_VALUE"""),"")</f>
        <v/>
      </c>
      <c r="N2193" s="6" t="str">
        <f>IFERROR(__xludf.DUMMYFUNCTION("""COMPUTED_VALUE"""),"")</f>
        <v/>
      </c>
      <c r="O2193" s="87" t="str">
        <f>IFERROR(__xludf.DUMMYFUNCTION("""COMPUTED_VALUE"""),"https://drive.google.com/drive/folders/10T2cTQHqEJZqE-st6uFKPoI?usp=share_link")</f>
        <v>https://drive.google.com/drive/folders/10T2cTQHqEJZqE-st6uFKPoI?usp=share_link</v>
      </c>
      <c r="P2193" s="6" t="str">
        <f>IFERROR(__xludf.DUMMYFUNCTION("""COMPUTED_VALUE"""),"Hadassah Banze")</f>
        <v>Hadassah Banze</v>
      </c>
      <c r="Q2193" s="6" t="str">
        <f>IFERROR(__xludf.DUMMYFUNCTION("""COMPUTED_VALUE"""),"HS")</f>
        <v>HS</v>
      </c>
      <c r="R2193" s="6">
        <f>IFERROR(__xludf.DUMMYFUNCTION("""COMPUTED_VALUE"""),0.0)</f>
        <v>0</v>
      </c>
      <c r="S2193" s="6" t="str">
        <f>IFERROR(__xludf.DUMMYFUNCTION("""COMPUTED_VALUE""")," ")</f>
        <v> </v>
      </c>
      <c r="T2193" s="6" t="str">
        <f>IFERROR(__xludf.DUMMYFUNCTION("""COMPUTED_VALUE"""),"")</f>
        <v/>
      </c>
      <c r="U2193" s="6" t="str">
        <f>IFERROR(__xludf.DUMMYFUNCTION("""COMPUTED_VALUE"""),"11")</f>
        <v>11</v>
      </c>
      <c r="V2193" s="6" t="str">
        <f>IFERROR(__xludf.DUMMYFUNCTION("""COMPUTED_VALUE"""),"")</f>
        <v/>
      </c>
      <c r="W2193" s="6" t="str">
        <f>IFERROR(__xludf.DUMMYFUNCTION("""COMPUTED_VALUE"""),"[]")</f>
        <v>[]</v>
      </c>
      <c r="X2193" s="6" t="str">
        <f>IFERROR(__xludf.DUMMYFUNCTION("""COMPUTED_VALUE"""),"Enrolled")</f>
        <v>Enrolled</v>
      </c>
    </row>
    <row r="2194">
      <c r="A2194" s="6" t="str">
        <f>IFERROR(__xludf.DUMMYFUNCTION("""COMPUTED_VALUE"""),"031-2253")</f>
        <v>031-2253</v>
      </c>
      <c r="B2194" s="6" t="str">
        <f>IFERROR(__xludf.DUMMYFUNCTION("""COMPUTED_VALUE"""),"31")</f>
        <v>31</v>
      </c>
      <c r="C2194" s="6" t="str">
        <f>IFERROR(__xludf.DUMMYFUNCTION("""COMPUTED_VALUE"""),"2253")</f>
        <v>2253</v>
      </c>
      <c r="D2194" s="6" t="str">
        <f>IFERROR(__xludf.DUMMYFUNCTION("""COMPUTED_VALUE"""),"Mazingwa")</f>
        <v>Mazingwa</v>
      </c>
      <c r="E2194" s="6" t="str">
        <f>IFERROR(__xludf.DUMMYFUNCTION("""COMPUTED_VALUE"""),"")</f>
        <v/>
      </c>
      <c r="F2194" s="6" t="str">
        <f>IFERROR(__xludf.DUMMYFUNCTION("""COMPUTED_VALUE"""),"Jeane")</f>
        <v>Jeane</v>
      </c>
      <c r="G2194" s="6" t="str">
        <f>IFERROR(__xludf.DUMMYFUNCTION("""COMPUTED_VALUE"""),"Invalid Date")</f>
        <v>Invalid Date</v>
      </c>
      <c r="H2194" s="6" t="str">
        <f>IFERROR(__xludf.DUMMYFUNCTION("""COMPUTED_VALUE"""),"Self Identify")</f>
        <v>Self Identify</v>
      </c>
      <c r="I2194" s="6" t="str">
        <f>IFERROR(__xludf.DUMMYFUNCTION("""COMPUTED_VALUE"""),"Middle School")</f>
        <v>Middle School</v>
      </c>
      <c r="J2194" s="6" t="str">
        <f>IFERROR(__xludf.DUMMYFUNCTION("""COMPUTED_VALUE"""),"6")</f>
        <v>6</v>
      </c>
      <c r="K2194" s="6" t="str">
        <f>IFERROR(__xludf.DUMMYFUNCTION("""COMPUTED_VALUE"""),"mazingwa.jeane@2hourlearning.com")</f>
        <v>mazingwa.jeane@2hourlearning.com</v>
      </c>
      <c r="L2194" s="6" t="str">
        <f>IFERROR(__xludf.DUMMYFUNCTION("""COMPUTED_VALUE"""),"Limitless Education - Malawi")</f>
        <v>Limitless Education - Malawi</v>
      </c>
      <c r="M2194" s="6" t="str">
        <f>IFERROR(__xludf.DUMMYFUNCTION("""COMPUTED_VALUE"""),"")</f>
        <v/>
      </c>
      <c r="N2194" s="6" t="str">
        <f>IFERROR(__xludf.DUMMYFUNCTION("""COMPUTED_VALUE"""),"")</f>
        <v/>
      </c>
      <c r="O2194" s="87" t="str">
        <f>IFERROR(__xludf.DUMMYFUNCTION("""COMPUTED_VALUE"""),"https://drive.google.com/drive/folders/10T2cTQHqEJZqE-st6uFKPoI?usp=share_link")</f>
        <v>https://drive.google.com/drive/folders/10T2cTQHqEJZqE-st6uFKPoI?usp=share_link</v>
      </c>
      <c r="P2194" s="6" t="str">
        <f>IFERROR(__xludf.DUMMYFUNCTION("""COMPUTED_VALUE"""),"Mazingwa Jeane")</f>
        <v>Mazingwa Jeane</v>
      </c>
      <c r="Q2194" s="6" t="str">
        <f>IFERROR(__xludf.DUMMYFUNCTION("""COMPUTED_VALUE"""),"MS")</f>
        <v>MS</v>
      </c>
      <c r="R2194" s="6">
        <f>IFERROR(__xludf.DUMMYFUNCTION("""COMPUTED_VALUE"""),0.0)</f>
        <v>0</v>
      </c>
      <c r="S2194" s="6" t="str">
        <f>IFERROR(__xludf.DUMMYFUNCTION("""COMPUTED_VALUE""")," ")</f>
        <v> </v>
      </c>
      <c r="T2194" s="6" t="str">
        <f>IFERROR(__xludf.DUMMYFUNCTION("""COMPUTED_VALUE"""),"")</f>
        <v/>
      </c>
      <c r="U2194" s="6" t="str">
        <f>IFERROR(__xludf.DUMMYFUNCTION("""COMPUTED_VALUE"""),"6")</f>
        <v>6</v>
      </c>
      <c r="V2194" s="6" t="str">
        <f>IFERROR(__xludf.DUMMYFUNCTION("""COMPUTED_VALUE"""),"")</f>
        <v/>
      </c>
      <c r="W2194" s="6" t="str">
        <f>IFERROR(__xludf.DUMMYFUNCTION("""COMPUTED_VALUE"""),"[]")</f>
        <v>[]</v>
      </c>
      <c r="X2194" s="6" t="str">
        <f>IFERROR(__xludf.DUMMYFUNCTION("""COMPUTED_VALUE"""),"Enrolled")</f>
        <v>Enrolled</v>
      </c>
    </row>
    <row r="2195">
      <c r="A2195" s="6" t="str">
        <f>IFERROR(__xludf.DUMMYFUNCTION("""COMPUTED_VALUE"""),"032-1994")</f>
        <v>032-1994</v>
      </c>
      <c r="B2195" s="6" t="str">
        <f>IFERROR(__xludf.DUMMYFUNCTION("""COMPUTED_VALUE"""),"32")</f>
        <v>32</v>
      </c>
      <c r="C2195" s="6" t="str">
        <f>IFERROR(__xludf.DUMMYFUNCTION("""COMPUTED_VALUE"""),"1994")</f>
        <v>1994</v>
      </c>
      <c r="D2195" s="6" t="str">
        <f>IFERROR(__xludf.DUMMYFUNCTION("""COMPUTED_VALUE"""),"Aviva")</f>
        <v>Aviva</v>
      </c>
      <c r="E2195" s="6" t="str">
        <f>IFERROR(__xludf.DUMMYFUNCTION("""COMPUTED_VALUE"""),"")</f>
        <v/>
      </c>
      <c r="F2195" s="6" t="str">
        <f>IFERROR(__xludf.DUMMYFUNCTION("""COMPUTED_VALUE"""),"Centner")</f>
        <v>Centner</v>
      </c>
      <c r="G2195" s="6" t="str">
        <f>IFERROR(__xludf.DUMMYFUNCTION("""COMPUTED_VALUE"""),"02/15/2015")</f>
        <v>02/15/2015</v>
      </c>
      <c r="H2195" s="6" t="str">
        <f>IFERROR(__xludf.DUMMYFUNCTION("""COMPUTED_VALUE"""),"Self Identify")</f>
        <v>Self Identify</v>
      </c>
      <c r="I2195" s="6" t="str">
        <f>IFERROR(__xludf.DUMMYFUNCTION("""COMPUTED_VALUE"""),"Level 2")</f>
        <v>Level 2</v>
      </c>
      <c r="J2195" s="6" t="str">
        <f>IFERROR(__xludf.DUMMYFUNCTION("""COMPUTED_VALUE"""),"5")</f>
        <v>5</v>
      </c>
      <c r="K2195" s="6" t="str">
        <f>IFERROR(__xludf.DUMMYFUNCTION("""COMPUTED_VALUE"""),"aviva.centner@2hourlearning.com")</f>
        <v>aviva.centner@2hourlearning.com</v>
      </c>
      <c r="L2195" s="6" t="str">
        <f>IFERROR(__xludf.DUMMYFUNCTION("""COMPUTED_VALUE"""),"Centner Academy")</f>
        <v>Centner Academy</v>
      </c>
      <c r="M2195" s="6" t="str">
        <f>IFERROR(__xludf.DUMMYFUNCTION("""COMPUTED_VALUE"""),"")</f>
        <v/>
      </c>
      <c r="N2195" s="6" t="str">
        <f>IFERROR(__xludf.DUMMYFUNCTION("""COMPUTED_VALUE"""),"")</f>
        <v/>
      </c>
      <c r="O2195" s="87" t="str">
        <f>IFERROR(__xludf.DUMMYFUNCTION("""COMPUTED_VALUE"""),"https://drive.google.com/drive/folders/10T2cTQHqEJZqE-st6uFKPoI?usp=share_link")</f>
        <v>https://drive.google.com/drive/folders/10T2cTQHqEJZqE-st6uFKPoI?usp=share_link</v>
      </c>
      <c r="P2195" s="6" t="str">
        <f>IFERROR(__xludf.DUMMYFUNCTION("""COMPUTED_VALUE"""),"Aviva Centner")</f>
        <v>Aviva Centner</v>
      </c>
      <c r="Q2195" s="6" t="str">
        <f>IFERROR(__xludf.DUMMYFUNCTION("""COMPUTED_VALUE"""),"L2")</f>
        <v>L2</v>
      </c>
      <c r="R2195" s="6">
        <f>IFERROR(__xludf.DUMMYFUNCTION("""COMPUTED_VALUE"""),2.0)</f>
        <v>2</v>
      </c>
      <c r="S2195" s="6" t="str">
        <f>IFERROR(__xludf.DUMMYFUNCTION("""COMPUTED_VALUE""")," ")</f>
        <v> </v>
      </c>
      <c r="T2195" s="6" t="str">
        <f>IFERROR(__xludf.DUMMYFUNCTION("""COMPUTED_VALUE"""),"")</f>
        <v/>
      </c>
      <c r="U2195" s="6" t="str">
        <f>IFERROR(__xludf.DUMMYFUNCTION("""COMPUTED_VALUE"""),"5")</f>
        <v>5</v>
      </c>
      <c r="V2195" s="6" t="str">
        <f>IFERROR(__xludf.DUMMYFUNCTION("""COMPUTED_VALUE"""),"")</f>
        <v/>
      </c>
      <c r="W2195" s="6" t="str">
        <f>IFERROR(__xludf.DUMMYFUNCTION("""COMPUTED_VALUE"""),"[]")</f>
        <v>[]</v>
      </c>
      <c r="X2195" s="6" t="str">
        <f>IFERROR(__xludf.DUMMYFUNCTION("""COMPUTED_VALUE"""),"Enrolled")</f>
        <v>Enrolled</v>
      </c>
    </row>
    <row r="2196">
      <c r="A2196" s="6" t="str">
        <f>IFERROR(__xludf.DUMMYFUNCTION("""COMPUTED_VALUE"""),"032-1996")</f>
        <v>032-1996</v>
      </c>
      <c r="B2196" s="6" t="str">
        <f>IFERROR(__xludf.DUMMYFUNCTION("""COMPUTED_VALUE"""),"32")</f>
        <v>32</v>
      </c>
      <c r="C2196" s="6" t="str">
        <f>IFERROR(__xludf.DUMMYFUNCTION("""COMPUTED_VALUE"""),"1996")</f>
        <v>1996</v>
      </c>
      <c r="D2196" s="6" t="str">
        <f>IFERROR(__xludf.DUMMYFUNCTION("""COMPUTED_VALUE"""),"Test")</f>
        <v>Test</v>
      </c>
      <c r="E2196" s="6" t="str">
        <f>IFERROR(__xludf.DUMMYFUNCTION("""COMPUTED_VALUE"""),"")</f>
        <v/>
      </c>
      <c r="F2196" s="6" t="str">
        <f>IFERROR(__xludf.DUMMYFUNCTION("""COMPUTED_VALUE"""),"Centner1")</f>
        <v>Centner1</v>
      </c>
      <c r="G2196" s="6" t="str">
        <f>IFERROR(__xludf.DUMMYFUNCTION("""COMPUTED_VALUE"""),"Invalid Date")</f>
        <v>Invalid Date</v>
      </c>
      <c r="H2196" s="6" t="str">
        <f>IFERROR(__xludf.DUMMYFUNCTION("""COMPUTED_VALUE"""),"Self Identify")</f>
        <v>Self Identify</v>
      </c>
      <c r="I2196" s="6" t="str">
        <f>IFERROR(__xludf.DUMMYFUNCTION("""COMPUTED_VALUE"""),"Middle School")</f>
        <v>Middle School</v>
      </c>
      <c r="J2196" s="6" t="str">
        <f>IFERROR(__xludf.DUMMYFUNCTION("""COMPUTED_VALUE"""),"6")</f>
        <v>6</v>
      </c>
      <c r="K2196" s="6" t="str">
        <f>IFERROR(__xludf.DUMMYFUNCTION("""COMPUTED_VALUE"""),"test.centner1@2hourlearning.com")</f>
        <v>test.centner1@2hourlearning.com</v>
      </c>
      <c r="L2196" s="6" t="str">
        <f>IFERROR(__xludf.DUMMYFUNCTION("""COMPUTED_VALUE"""),"Centner Academy")</f>
        <v>Centner Academy</v>
      </c>
      <c r="M2196" s="6" t="str">
        <f>IFERROR(__xludf.DUMMYFUNCTION("""COMPUTED_VALUE"""),"Test")</f>
        <v>Test</v>
      </c>
      <c r="N2196" s="6" t="str">
        <f>IFERROR(__xludf.DUMMYFUNCTION("""COMPUTED_VALUE"""),"")</f>
        <v/>
      </c>
      <c r="O2196" s="87" t="str">
        <f>IFERROR(__xludf.DUMMYFUNCTION("""COMPUTED_VALUE"""),"https://drive.google.com/drive/folders/10T2cTQHqEJZqE-st6uFKPoI?usp=share_link")</f>
        <v>https://drive.google.com/drive/folders/10T2cTQHqEJZqE-st6uFKPoI?usp=share_link</v>
      </c>
      <c r="P2196" s="6" t="str">
        <f>IFERROR(__xludf.DUMMYFUNCTION("""COMPUTED_VALUE"""),"Test Centner1")</f>
        <v>Test Centner1</v>
      </c>
      <c r="Q2196" s="6" t="str">
        <f>IFERROR(__xludf.DUMMYFUNCTION("""COMPUTED_VALUE"""),"MS")</f>
        <v>MS</v>
      </c>
      <c r="R2196" s="6">
        <f>IFERROR(__xludf.DUMMYFUNCTION("""COMPUTED_VALUE"""),0.0)</f>
        <v>0</v>
      </c>
      <c r="S2196" s="6" t="str">
        <f>IFERROR(__xludf.DUMMYFUNCTION("""COMPUTED_VALUE""")," ")</f>
        <v> </v>
      </c>
      <c r="T2196" s="6" t="str">
        <f>IFERROR(__xludf.DUMMYFUNCTION("""COMPUTED_VALUE"""),"")</f>
        <v/>
      </c>
      <c r="U2196" s="6" t="str">
        <f>IFERROR(__xludf.DUMMYFUNCTION("""COMPUTED_VALUE"""),"6")</f>
        <v>6</v>
      </c>
      <c r="V2196" s="6" t="str">
        <f>IFERROR(__xludf.DUMMYFUNCTION("""COMPUTED_VALUE"""),"")</f>
        <v/>
      </c>
      <c r="W2196" s="6" t="str">
        <f>IFERROR(__xludf.DUMMYFUNCTION("""COMPUTED_VALUE"""),"[]")</f>
        <v>[]</v>
      </c>
      <c r="X2196" s="6" t="str">
        <f>IFERROR(__xludf.DUMMYFUNCTION("""COMPUTED_VALUE"""),"Enrolled")</f>
        <v>Enrolled</v>
      </c>
    </row>
    <row r="2197">
      <c r="A2197" s="6" t="str">
        <f>IFERROR(__xludf.DUMMYFUNCTION("""COMPUTED_VALUE"""),"033-2135")</f>
        <v>033-2135</v>
      </c>
      <c r="B2197" s="6" t="str">
        <f>IFERROR(__xludf.DUMMYFUNCTION("""COMPUTED_VALUE"""),"33")</f>
        <v>33</v>
      </c>
      <c r="C2197" s="6" t="str">
        <f>IFERROR(__xludf.DUMMYFUNCTION("""COMPUTED_VALUE"""),"2135")</f>
        <v>2135</v>
      </c>
      <c r="D2197" s="6" t="str">
        <f>IFERROR(__xludf.DUMMYFUNCTION("""COMPUTED_VALUE"""),"Sophia")</f>
        <v>Sophia</v>
      </c>
      <c r="E2197" s="6" t="str">
        <f>IFERROR(__xludf.DUMMYFUNCTION("""COMPUTED_VALUE"""),"")</f>
        <v/>
      </c>
      <c r="F2197" s="6" t="str">
        <f>IFERROR(__xludf.DUMMYFUNCTION("""COMPUTED_VALUE"""),"Nurse")</f>
        <v>Nurse</v>
      </c>
      <c r="G2197" s="6" t="str">
        <f>IFERROR(__xludf.DUMMYFUNCTION("""COMPUTED_VALUE"""),"07/03/2010")</f>
        <v>07/03/2010</v>
      </c>
      <c r="H2197" s="6" t="str">
        <f>IFERROR(__xludf.DUMMYFUNCTION("""COMPUTED_VALUE"""),"Self Identify")</f>
        <v>Self Identify</v>
      </c>
      <c r="I2197" s="6" t="str">
        <f>IFERROR(__xludf.DUMMYFUNCTION("""COMPUTED_VALUE"""),"High School")</f>
        <v>High School</v>
      </c>
      <c r="J2197" s="6" t="str">
        <f>IFERROR(__xludf.DUMMYFUNCTION("""COMPUTED_VALUE"""),"9")</f>
        <v>9</v>
      </c>
      <c r="K2197" s="6" t="str">
        <f>IFERROR(__xludf.DUMMYFUNCTION("""COMPUTED_VALUE"""),"sophia.nurse@2hourlearning.com")</f>
        <v>sophia.nurse@2hourlearning.com</v>
      </c>
      <c r="L2197" s="6" t="str">
        <f>IFERROR(__xludf.DUMMYFUNCTION("""COMPUTED_VALUE"""),"Vita High School")</f>
        <v>Vita High School</v>
      </c>
      <c r="M2197" s="6" t="str">
        <f>IFERROR(__xludf.DUMMYFUNCTION("""COMPUTED_VALUE"""),"")</f>
        <v/>
      </c>
      <c r="N2197" s="6" t="str">
        <f>IFERROR(__xludf.DUMMYFUNCTION("""COMPUTED_VALUE"""),"")</f>
        <v/>
      </c>
      <c r="O2197" s="87" t="str">
        <f>IFERROR(__xludf.DUMMYFUNCTION("""COMPUTED_VALUE"""),"https://drive.google.com/drive/folders/10T2cTQHqEJZqE-st6uFKPoI?usp=share_link")</f>
        <v>https://drive.google.com/drive/folders/10T2cTQHqEJZqE-st6uFKPoI?usp=share_link</v>
      </c>
      <c r="P2197" s="6" t="str">
        <f>IFERROR(__xludf.DUMMYFUNCTION("""COMPUTED_VALUE"""),"Sophia Nurse")</f>
        <v>Sophia Nurse</v>
      </c>
      <c r="Q2197" s="6" t="str">
        <f>IFERROR(__xludf.DUMMYFUNCTION("""COMPUTED_VALUE"""),"HS")</f>
        <v>HS</v>
      </c>
      <c r="R2197" s="6">
        <f>IFERROR(__xludf.DUMMYFUNCTION("""COMPUTED_VALUE"""),0.0)</f>
        <v>0</v>
      </c>
      <c r="S2197" s="6" t="str">
        <f>IFERROR(__xludf.DUMMYFUNCTION("""COMPUTED_VALUE""")," ")</f>
        <v> </v>
      </c>
      <c r="T2197" s="6" t="str">
        <f>IFERROR(__xludf.DUMMYFUNCTION("""COMPUTED_VALUE"""),"")</f>
        <v/>
      </c>
      <c r="U2197" s="6" t="str">
        <f>IFERROR(__xludf.DUMMYFUNCTION("""COMPUTED_VALUE"""),"9")</f>
        <v>9</v>
      </c>
      <c r="V2197" s="6" t="str">
        <f>IFERROR(__xludf.DUMMYFUNCTION("""COMPUTED_VALUE"""),"")</f>
        <v/>
      </c>
      <c r="W2197" s="6" t="str">
        <f>IFERROR(__xludf.DUMMYFUNCTION("""COMPUTED_VALUE"""),"[]")</f>
        <v>[]</v>
      </c>
      <c r="X2197" s="6" t="str">
        <f>IFERROR(__xludf.DUMMYFUNCTION("""COMPUTED_VALUE"""),"Enrolled")</f>
        <v>Enrolled</v>
      </c>
    </row>
    <row r="2198">
      <c r="A2198" s="6" t="str">
        <f>IFERROR(__xludf.DUMMYFUNCTION("""COMPUTED_VALUE"""),"033-2137")</f>
        <v>033-2137</v>
      </c>
      <c r="B2198" s="6" t="str">
        <f>IFERROR(__xludf.DUMMYFUNCTION("""COMPUTED_VALUE"""),"33")</f>
        <v>33</v>
      </c>
      <c r="C2198" s="6" t="str">
        <f>IFERROR(__xludf.DUMMYFUNCTION("""COMPUTED_VALUE"""),"2137")</f>
        <v>2137</v>
      </c>
      <c r="D2198" s="6" t="str">
        <f>IFERROR(__xludf.DUMMYFUNCTION("""COMPUTED_VALUE"""),"Nicole")</f>
        <v>Nicole</v>
      </c>
      <c r="E2198" s="6" t="str">
        <f>IFERROR(__xludf.DUMMYFUNCTION("""COMPUTED_VALUE"""),"")</f>
        <v/>
      </c>
      <c r="F2198" s="6" t="str">
        <f>IFERROR(__xludf.DUMMYFUNCTION("""COMPUTED_VALUE"""),"Diaz")</f>
        <v>Diaz</v>
      </c>
      <c r="G2198" s="6" t="str">
        <f>IFERROR(__xludf.DUMMYFUNCTION("""COMPUTED_VALUE"""),"04/02/2009")</f>
        <v>04/02/2009</v>
      </c>
      <c r="H2198" s="6" t="str">
        <f>IFERROR(__xludf.DUMMYFUNCTION("""COMPUTED_VALUE"""),"Self Identify")</f>
        <v>Self Identify</v>
      </c>
      <c r="I2198" s="6" t="str">
        <f>IFERROR(__xludf.DUMMYFUNCTION("""COMPUTED_VALUE"""),"High School")</f>
        <v>High School</v>
      </c>
      <c r="J2198" s="6" t="str">
        <f>IFERROR(__xludf.DUMMYFUNCTION("""COMPUTED_VALUE"""),"9")</f>
        <v>9</v>
      </c>
      <c r="K2198" s="6" t="str">
        <f>IFERROR(__xludf.DUMMYFUNCTION("""COMPUTED_VALUE"""),"nicole.diaz@2hourlearning.com")</f>
        <v>nicole.diaz@2hourlearning.com</v>
      </c>
      <c r="L2198" s="6" t="str">
        <f>IFERROR(__xludf.DUMMYFUNCTION("""COMPUTED_VALUE"""),"Vita High School")</f>
        <v>Vita High School</v>
      </c>
      <c r="M2198" s="6" t="str">
        <f>IFERROR(__xludf.DUMMYFUNCTION("""COMPUTED_VALUE"""),"")</f>
        <v/>
      </c>
      <c r="N2198" s="6" t="str">
        <f>IFERROR(__xludf.DUMMYFUNCTION("""COMPUTED_VALUE"""),"")</f>
        <v/>
      </c>
      <c r="O2198" s="87" t="str">
        <f>IFERROR(__xludf.DUMMYFUNCTION("""COMPUTED_VALUE"""),"https://drive.google.com/drive/folders/10T2cTQHqEJZqE-st6uFKPoI?usp=share_link")</f>
        <v>https://drive.google.com/drive/folders/10T2cTQHqEJZqE-st6uFKPoI?usp=share_link</v>
      </c>
      <c r="P2198" s="6" t="str">
        <f>IFERROR(__xludf.DUMMYFUNCTION("""COMPUTED_VALUE"""),"Nicole Diaz")</f>
        <v>Nicole Diaz</v>
      </c>
      <c r="Q2198" s="6" t="str">
        <f>IFERROR(__xludf.DUMMYFUNCTION("""COMPUTED_VALUE"""),"HS")</f>
        <v>HS</v>
      </c>
      <c r="R2198" s="6">
        <f>IFERROR(__xludf.DUMMYFUNCTION("""COMPUTED_VALUE"""),0.0)</f>
        <v>0</v>
      </c>
      <c r="S2198" s="6" t="str">
        <f>IFERROR(__xludf.DUMMYFUNCTION("""COMPUTED_VALUE""")," ")</f>
        <v> </v>
      </c>
      <c r="T2198" s="6" t="str">
        <f>IFERROR(__xludf.DUMMYFUNCTION("""COMPUTED_VALUE"""),"")</f>
        <v/>
      </c>
      <c r="U2198" s="6" t="str">
        <f>IFERROR(__xludf.DUMMYFUNCTION("""COMPUTED_VALUE"""),"9")</f>
        <v>9</v>
      </c>
      <c r="V2198" s="6" t="str">
        <f>IFERROR(__xludf.DUMMYFUNCTION("""COMPUTED_VALUE"""),"")</f>
        <v/>
      </c>
      <c r="W2198" s="6" t="str">
        <f>IFERROR(__xludf.DUMMYFUNCTION("""COMPUTED_VALUE"""),"[]")</f>
        <v>[]</v>
      </c>
      <c r="X2198" s="6" t="str">
        <f>IFERROR(__xludf.DUMMYFUNCTION("""COMPUTED_VALUE"""),"Enrolled")</f>
        <v>Enrolled</v>
      </c>
    </row>
    <row r="2199">
      <c r="A2199" s="6" t="str">
        <f>IFERROR(__xludf.DUMMYFUNCTION("""COMPUTED_VALUE"""),"033-2153")</f>
        <v>033-2153</v>
      </c>
      <c r="B2199" s="6" t="str">
        <f>IFERROR(__xludf.DUMMYFUNCTION("""COMPUTED_VALUE"""),"33")</f>
        <v>33</v>
      </c>
      <c r="C2199" s="6" t="str">
        <f>IFERROR(__xludf.DUMMYFUNCTION("""COMPUTED_VALUE"""),"2153")</f>
        <v>2153</v>
      </c>
      <c r="D2199" s="6" t="str">
        <f>IFERROR(__xludf.DUMMYFUNCTION("""COMPUTED_VALUE"""),"Charlotte")</f>
        <v>Charlotte</v>
      </c>
      <c r="E2199" s="6" t="str">
        <f>IFERROR(__xludf.DUMMYFUNCTION("""COMPUTED_VALUE"""),"")</f>
        <v/>
      </c>
      <c r="F2199" s="6" t="str">
        <f>IFERROR(__xludf.DUMMYFUNCTION("""COMPUTED_VALUE"""),"Gutierrez")</f>
        <v>Gutierrez</v>
      </c>
      <c r="G2199" s="6" t="str">
        <f>IFERROR(__xludf.DUMMYFUNCTION("""COMPUTED_VALUE"""),"09/25/2009")</f>
        <v>09/25/2009</v>
      </c>
      <c r="H2199" s="6" t="str">
        <f>IFERROR(__xludf.DUMMYFUNCTION("""COMPUTED_VALUE"""),"Self Identify")</f>
        <v>Self Identify</v>
      </c>
      <c r="I2199" s="6" t="str">
        <f>IFERROR(__xludf.DUMMYFUNCTION("""COMPUTED_VALUE"""),"High School")</f>
        <v>High School</v>
      </c>
      <c r="J2199" s="6" t="str">
        <f>IFERROR(__xludf.DUMMYFUNCTION("""COMPUTED_VALUE"""),"9")</f>
        <v>9</v>
      </c>
      <c r="K2199" s="6" t="str">
        <f>IFERROR(__xludf.DUMMYFUNCTION("""COMPUTED_VALUE"""),"charlotte.gutierrez@2hourlearning.com")</f>
        <v>charlotte.gutierrez@2hourlearning.com</v>
      </c>
      <c r="L2199" s="6" t="str">
        <f>IFERROR(__xludf.DUMMYFUNCTION("""COMPUTED_VALUE"""),"Vita High School")</f>
        <v>Vita High School</v>
      </c>
      <c r="M2199" s="6" t="str">
        <f>IFERROR(__xludf.DUMMYFUNCTION("""COMPUTED_VALUE"""),"")</f>
        <v/>
      </c>
      <c r="N2199" s="6" t="str">
        <f>IFERROR(__xludf.DUMMYFUNCTION("""COMPUTED_VALUE"""),"")</f>
        <v/>
      </c>
      <c r="O2199" s="87" t="str">
        <f>IFERROR(__xludf.DUMMYFUNCTION("""COMPUTED_VALUE"""),"https://drive.google.com/drive/folders/10T2cTQHqEJZqE-st6uFKPoI?usp=share_link")</f>
        <v>https://drive.google.com/drive/folders/10T2cTQHqEJZqE-st6uFKPoI?usp=share_link</v>
      </c>
      <c r="P2199" s="6" t="str">
        <f>IFERROR(__xludf.DUMMYFUNCTION("""COMPUTED_VALUE"""),"Charlotte Gutierrez")</f>
        <v>Charlotte Gutierrez</v>
      </c>
      <c r="Q2199" s="6" t="str">
        <f>IFERROR(__xludf.DUMMYFUNCTION("""COMPUTED_VALUE"""),"HS")</f>
        <v>HS</v>
      </c>
      <c r="R2199" s="6">
        <f>IFERROR(__xludf.DUMMYFUNCTION("""COMPUTED_VALUE"""),0.0)</f>
        <v>0</v>
      </c>
      <c r="S2199" s="6" t="str">
        <f>IFERROR(__xludf.DUMMYFUNCTION("""COMPUTED_VALUE""")," ")</f>
        <v> </v>
      </c>
      <c r="T2199" s="6" t="str">
        <f>IFERROR(__xludf.DUMMYFUNCTION("""COMPUTED_VALUE"""),"")</f>
        <v/>
      </c>
      <c r="U2199" s="6" t="str">
        <f>IFERROR(__xludf.DUMMYFUNCTION("""COMPUTED_VALUE"""),"9")</f>
        <v>9</v>
      </c>
      <c r="V2199" s="6" t="str">
        <f>IFERROR(__xludf.DUMMYFUNCTION("""COMPUTED_VALUE"""),"")</f>
        <v/>
      </c>
      <c r="W2199" s="6" t="str">
        <f>IFERROR(__xludf.DUMMYFUNCTION("""COMPUTED_VALUE"""),"[]")</f>
        <v>[]</v>
      </c>
      <c r="X2199" s="6" t="str">
        <f>IFERROR(__xludf.DUMMYFUNCTION("""COMPUTED_VALUE"""),"Enrolled")</f>
        <v>Enrolled</v>
      </c>
    </row>
    <row r="2200">
      <c r="A2200" s="6" t="str">
        <f>IFERROR(__xludf.DUMMYFUNCTION("""COMPUTED_VALUE"""),"033-2154")</f>
        <v>033-2154</v>
      </c>
      <c r="B2200" s="6" t="str">
        <f>IFERROR(__xludf.DUMMYFUNCTION("""COMPUTED_VALUE"""),"33")</f>
        <v>33</v>
      </c>
      <c r="C2200" s="6" t="str">
        <f>IFERROR(__xludf.DUMMYFUNCTION("""COMPUTED_VALUE"""),"2154")</f>
        <v>2154</v>
      </c>
      <c r="D2200" s="6" t="str">
        <f>IFERROR(__xludf.DUMMYFUNCTION("""COMPUTED_VALUE"""),"Aaliyah")</f>
        <v>Aaliyah</v>
      </c>
      <c r="E2200" s="6" t="str">
        <f>IFERROR(__xludf.DUMMYFUNCTION("""COMPUTED_VALUE"""),"")</f>
        <v/>
      </c>
      <c r="F2200" s="6" t="str">
        <f>IFERROR(__xludf.DUMMYFUNCTION("""COMPUTED_VALUE"""),"O'Neal")</f>
        <v>O'Neal</v>
      </c>
      <c r="G2200" s="6" t="str">
        <f>IFERROR(__xludf.DUMMYFUNCTION("""COMPUTED_VALUE"""),"01/02/2010")</f>
        <v>01/02/2010</v>
      </c>
      <c r="H2200" s="6" t="str">
        <f>IFERROR(__xludf.DUMMYFUNCTION("""COMPUTED_VALUE"""),"Self Identify")</f>
        <v>Self Identify</v>
      </c>
      <c r="I2200" s="6" t="str">
        <f>IFERROR(__xludf.DUMMYFUNCTION("""COMPUTED_VALUE"""),"High School")</f>
        <v>High School</v>
      </c>
      <c r="J2200" s="6" t="str">
        <f>IFERROR(__xludf.DUMMYFUNCTION("""COMPUTED_VALUE"""),"9")</f>
        <v>9</v>
      </c>
      <c r="K2200" s="6" t="str">
        <f>IFERROR(__xludf.DUMMYFUNCTION("""COMPUTED_VALUE"""),"aaliyah.oneal@2hourlearning.com")</f>
        <v>aaliyah.oneal@2hourlearning.com</v>
      </c>
      <c r="L2200" s="6" t="str">
        <f>IFERROR(__xludf.DUMMYFUNCTION("""COMPUTED_VALUE"""),"Vita High School")</f>
        <v>Vita High School</v>
      </c>
      <c r="M2200" s="6" t="str">
        <f>IFERROR(__xludf.DUMMYFUNCTION("""COMPUTED_VALUE"""),"")</f>
        <v/>
      </c>
      <c r="N2200" s="6" t="str">
        <f>IFERROR(__xludf.DUMMYFUNCTION("""COMPUTED_VALUE"""),"")</f>
        <v/>
      </c>
      <c r="O2200" s="87" t="str">
        <f>IFERROR(__xludf.DUMMYFUNCTION("""COMPUTED_VALUE"""),"https://drive.google.com/drive/folders/10T2cTQHqEJZqE-st6uFKPoI?usp=share_link")</f>
        <v>https://drive.google.com/drive/folders/10T2cTQHqEJZqE-st6uFKPoI?usp=share_link</v>
      </c>
      <c r="P2200" s="6" t="str">
        <f>IFERROR(__xludf.DUMMYFUNCTION("""COMPUTED_VALUE"""),"Aaliyah O'Neal")</f>
        <v>Aaliyah O'Neal</v>
      </c>
      <c r="Q2200" s="6" t="str">
        <f>IFERROR(__xludf.DUMMYFUNCTION("""COMPUTED_VALUE"""),"HS")</f>
        <v>HS</v>
      </c>
      <c r="R2200" s="6">
        <f>IFERROR(__xludf.DUMMYFUNCTION("""COMPUTED_VALUE"""),0.0)</f>
        <v>0</v>
      </c>
      <c r="S2200" s="6" t="str">
        <f>IFERROR(__xludf.DUMMYFUNCTION("""COMPUTED_VALUE""")," ")</f>
        <v> </v>
      </c>
      <c r="T2200" s="6" t="str">
        <f>IFERROR(__xludf.DUMMYFUNCTION("""COMPUTED_VALUE"""),"")</f>
        <v/>
      </c>
      <c r="U2200" s="6" t="str">
        <f>IFERROR(__xludf.DUMMYFUNCTION("""COMPUTED_VALUE"""),"9")</f>
        <v>9</v>
      </c>
      <c r="V2200" s="6" t="str">
        <f>IFERROR(__xludf.DUMMYFUNCTION("""COMPUTED_VALUE"""),"")</f>
        <v/>
      </c>
      <c r="W2200" s="6" t="str">
        <f>IFERROR(__xludf.DUMMYFUNCTION("""COMPUTED_VALUE"""),"[]")</f>
        <v>[]</v>
      </c>
      <c r="X2200" s="6" t="str">
        <f>IFERROR(__xludf.DUMMYFUNCTION("""COMPUTED_VALUE"""),"Enrolled")</f>
        <v>Enrolled</v>
      </c>
    </row>
    <row r="2201">
      <c r="A2201" s="6" t="str">
        <f>IFERROR(__xludf.DUMMYFUNCTION("""COMPUTED_VALUE"""),"033-2155")</f>
        <v>033-2155</v>
      </c>
      <c r="B2201" s="6" t="str">
        <f>IFERROR(__xludf.DUMMYFUNCTION("""COMPUTED_VALUE"""),"33")</f>
        <v>33</v>
      </c>
      <c r="C2201" s="6" t="str">
        <f>IFERROR(__xludf.DUMMYFUNCTION("""COMPUTED_VALUE"""),"2155")</f>
        <v>2155</v>
      </c>
      <c r="D2201" s="6" t="str">
        <f>IFERROR(__xludf.DUMMYFUNCTION("""COMPUTED_VALUE"""),"Jay")</f>
        <v>Jay</v>
      </c>
      <c r="E2201" s="6" t="str">
        <f>IFERROR(__xludf.DUMMYFUNCTION("""COMPUTED_VALUE"""),"")</f>
        <v/>
      </c>
      <c r="F2201" s="6" t="str">
        <f>IFERROR(__xludf.DUMMYFUNCTION("""COMPUTED_VALUE"""),"Hernandez")</f>
        <v>Hernandez</v>
      </c>
      <c r="G2201" s="6" t="str">
        <f>IFERROR(__xludf.DUMMYFUNCTION("""COMPUTED_VALUE"""),"07/17/2009")</f>
        <v>07/17/2009</v>
      </c>
      <c r="H2201" s="6" t="str">
        <f>IFERROR(__xludf.DUMMYFUNCTION("""COMPUTED_VALUE"""),"Self Identify")</f>
        <v>Self Identify</v>
      </c>
      <c r="I2201" s="6" t="str">
        <f>IFERROR(__xludf.DUMMYFUNCTION("""COMPUTED_VALUE"""),"High School")</f>
        <v>High School</v>
      </c>
      <c r="J2201" s="6" t="str">
        <f>IFERROR(__xludf.DUMMYFUNCTION("""COMPUTED_VALUE"""),"10")</f>
        <v>10</v>
      </c>
      <c r="K2201" s="6" t="str">
        <f>IFERROR(__xludf.DUMMYFUNCTION("""COMPUTED_VALUE"""),"jay.hernandez@2hourlearning.com")</f>
        <v>jay.hernandez@2hourlearning.com</v>
      </c>
      <c r="L2201" s="6" t="str">
        <f>IFERROR(__xludf.DUMMYFUNCTION("""COMPUTED_VALUE"""),"Vita High School")</f>
        <v>Vita High School</v>
      </c>
      <c r="M2201" s="6" t="str">
        <f>IFERROR(__xludf.DUMMYFUNCTION("""COMPUTED_VALUE"""),"")</f>
        <v/>
      </c>
      <c r="N2201" s="6" t="str">
        <f>IFERROR(__xludf.DUMMYFUNCTION("""COMPUTED_VALUE"""),"")</f>
        <v/>
      </c>
      <c r="O2201" s="87" t="str">
        <f>IFERROR(__xludf.DUMMYFUNCTION("""COMPUTED_VALUE"""),"https://drive.google.com/drive/folders/10T2cTQHqEJZqE-st6uFKPoI?usp=share_link")</f>
        <v>https://drive.google.com/drive/folders/10T2cTQHqEJZqE-st6uFKPoI?usp=share_link</v>
      </c>
      <c r="P2201" s="6" t="str">
        <f>IFERROR(__xludf.DUMMYFUNCTION("""COMPUTED_VALUE"""),"Jay Hernandez")</f>
        <v>Jay Hernandez</v>
      </c>
      <c r="Q2201" s="6" t="str">
        <f>IFERROR(__xludf.DUMMYFUNCTION("""COMPUTED_VALUE"""),"HS")</f>
        <v>HS</v>
      </c>
      <c r="R2201" s="6">
        <f>IFERROR(__xludf.DUMMYFUNCTION("""COMPUTED_VALUE"""),0.0)</f>
        <v>0</v>
      </c>
      <c r="S2201" s="6" t="str">
        <f>IFERROR(__xludf.DUMMYFUNCTION("""COMPUTED_VALUE""")," ")</f>
        <v> </v>
      </c>
      <c r="T2201" s="6" t="str">
        <f>IFERROR(__xludf.DUMMYFUNCTION("""COMPUTED_VALUE"""),"")</f>
        <v/>
      </c>
      <c r="U2201" s="6" t="str">
        <f>IFERROR(__xludf.DUMMYFUNCTION("""COMPUTED_VALUE"""),"10")</f>
        <v>10</v>
      </c>
      <c r="V2201" s="6" t="str">
        <f>IFERROR(__xludf.DUMMYFUNCTION("""COMPUTED_VALUE"""),"")</f>
        <v/>
      </c>
      <c r="W2201" s="6" t="str">
        <f>IFERROR(__xludf.DUMMYFUNCTION("""COMPUTED_VALUE"""),"[]")</f>
        <v>[]</v>
      </c>
      <c r="X2201" s="6" t="str">
        <f>IFERROR(__xludf.DUMMYFUNCTION("""COMPUTED_VALUE"""),"Enrolled")</f>
        <v>Enrolled</v>
      </c>
    </row>
    <row r="2202">
      <c r="A2202" s="6" t="str">
        <f>IFERROR(__xludf.DUMMYFUNCTION("""COMPUTED_VALUE"""),"033-2156")</f>
        <v>033-2156</v>
      </c>
      <c r="B2202" s="6" t="str">
        <f>IFERROR(__xludf.DUMMYFUNCTION("""COMPUTED_VALUE"""),"33")</f>
        <v>33</v>
      </c>
      <c r="C2202" s="6" t="str">
        <f>IFERROR(__xludf.DUMMYFUNCTION("""COMPUTED_VALUE"""),"2156")</f>
        <v>2156</v>
      </c>
      <c r="D2202" s="6" t="str">
        <f>IFERROR(__xludf.DUMMYFUNCTION("""COMPUTED_VALUE"""),"Luis")</f>
        <v>Luis</v>
      </c>
      <c r="E2202" s="6" t="str">
        <f>IFERROR(__xludf.DUMMYFUNCTION("""COMPUTED_VALUE"""),"")</f>
        <v/>
      </c>
      <c r="F2202" s="6" t="str">
        <f>IFERROR(__xludf.DUMMYFUNCTION("""COMPUTED_VALUE"""),"Acabal Rivas")</f>
        <v>Acabal Rivas</v>
      </c>
      <c r="G2202" s="6" t="str">
        <f>IFERROR(__xludf.DUMMYFUNCTION("""COMPUTED_VALUE"""),"03/07/2007")</f>
        <v>03/07/2007</v>
      </c>
      <c r="H2202" s="6" t="str">
        <f>IFERROR(__xludf.DUMMYFUNCTION("""COMPUTED_VALUE"""),"Self Identify")</f>
        <v>Self Identify</v>
      </c>
      <c r="I2202" s="6" t="str">
        <f>IFERROR(__xludf.DUMMYFUNCTION("""COMPUTED_VALUE"""),"High School")</f>
        <v>High School</v>
      </c>
      <c r="J2202" s="6" t="str">
        <f>IFERROR(__xludf.DUMMYFUNCTION("""COMPUTED_VALUE"""),"10")</f>
        <v>10</v>
      </c>
      <c r="K2202" s="6" t="str">
        <f>IFERROR(__xludf.DUMMYFUNCTION("""COMPUTED_VALUE"""),"luis.acabalrivas@2hourlearning.com")</f>
        <v>luis.acabalrivas@2hourlearning.com</v>
      </c>
      <c r="L2202" s="6" t="str">
        <f>IFERROR(__xludf.DUMMYFUNCTION("""COMPUTED_VALUE"""),"Vita High School")</f>
        <v>Vita High School</v>
      </c>
      <c r="M2202" s="6" t="str">
        <f>IFERROR(__xludf.DUMMYFUNCTION("""COMPUTED_VALUE"""),"")</f>
        <v/>
      </c>
      <c r="N2202" s="6" t="str">
        <f>IFERROR(__xludf.DUMMYFUNCTION("""COMPUTED_VALUE"""),"")</f>
        <v/>
      </c>
      <c r="O2202" s="87" t="str">
        <f>IFERROR(__xludf.DUMMYFUNCTION("""COMPUTED_VALUE"""),"https://drive.google.com/drive/folders/10T2cTQHqEJZqE-st6uFKPoI?usp=share_link")</f>
        <v>https://drive.google.com/drive/folders/10T2cTQHqEJZqE-st6uFKPoI?usp=share_link</v>
      </c>
      <c r="P2202" s="6" t="str">
        <f>IFERROR(__xludf.DUMMYFUNCTION("""COMPUTED_VALUE"""),"Luis Acabal Rivas")</f>
        <v>Luis Acabal Rivas</v>
      </c>
      <c r="Q2202" s="6" t="str">
        <f>IFERROR(__xludf.DUMMYFUNCTION("""COMPUTED_VALUE"""),"HS")</f>
        <v>HS</v>
      </c>
      <c r="R2202" s="6">
        <f>IFERROR(__xludf.DUMMYFUNCTION("""COMPUTED_VALUE"""),0.0)</f>
        <v>0</v>
      </c>
      <c r="S2202" s="6" t="str">
        <f>IFERROR(__xludf.DUMMYFUNCTION("""COMPUTED_VALUE""")," ")</f>
        <v> </v>
      </c>
      <c r="T2202" s="6" t="str">
        <f>IFERROR(__xludf.DUMMYFUNCTION("""COMPUTED_VALUE"""),"")</f>
        <v/>
      </c>
      <c r="U2202" s="6" t="str">
        <f>IFERROR(__xludf.DUMMYFUNCTION("""COMPUTED_VALUE"""),"10")</f>
        <v>10</v>
      </c>
      <c r="V2202" s="6" t="str">
        <f>IFERROR(__xludf.DUMMYFUNCTION("""COMPUTED_VALUE"""),"")</f>
        <v/>
      </c>
      <c r="W2202" s="6" t="str">
        <f>IFERROR(__xludf.DUMMYFUNCTION("""COMPUTED_VALUE"""),"[]")</f>
        <v>[]</v>
      </c>
      <c r="X2202" s="6" t="str">
        <f>IFERROR(__xludf.DUMMYFUNCTION("""COMPUTED_VALUE"""),"Enrolled")</f>
        <v>Enrolled</v>
      </c>
    </row>
    <row r="2203">
      <c r="A2203" s="6" t="str">
        <f>IFERROR(__xludf.DUMMYFUNCTION("""COMPUTED_VALUE"""),"033-2157")</f>
        <v>033-2157</v>
      </c>
      <c r="B2203" s="6" t="str">
        <f>IFERROR(__xludf.DUMMYFUNCTION("""COMPUTED_VALUE"""),"33")</f>
        <v>33</v>
      </c>
      <c r="C2203" s="6" t="str">
        <f>IFERROR(__xludf.DUMMYFUNCTION("""COMPUTED_VALUE"""),"2157")</f>
        <v>2157</v>
      </c>
      <c r="D2203" s="6" t="str">
        <f>IFERROR(__xludf.DUMMYFUNCTION("""COMPUTED_VALUE"""),"Cody")</f>
        <v>Cody</v>
      </c>
      <c r="E2203" s="6" t="str">
        <f>IFERROR(__xludf.DUMMYFUNCTION("""COMPUTED_VALUE"""),"")</f>
        <v/>
      </c>
      <c r="F2203" s="6" t="str">
        <f>IFERROR(__xludf.DUMMYFUNCTION("""COMPUTED_VALUE"""),"Hutson")</f>
        <v>Hutson</v>
      </c>
      <c r="G2203" s="6" t="str">
        <f>IFERROR(__xludf.DUMMYFUNCTION("""COMPUTED_VALUE"""),"03/31/2010")</f>
        <v>03/31/2010</v>
      </c>
      <c r="H2203" s="6" t="str">
        <f>IFERROR(__xludf.DUMMYFUNCTION("""COMPUTED_VALUE"""),"Self Identify")</f>
        <v>Self Identify</v>
      </c>
      <c r="I2203" s="6" t="str">
        <f>IFERROR(__xludf.DUMMYFUNCTION("""COMPUTED_VALUE"""),"High School")</f>
        <v>High School</v>
      </c>
      <c r="J2203" s="6" t="str">
        <f>IFERROR(__xludf.DUMMYFUNCTION("""COMPUTED_VALUE"""),"9")</f>
        <v>9</v>
      </c>
      <c r="K2203" s="6" t="str">
        <f>IFERROR(__xludf.DUMMYFUNCTION("""COMPUTED_VALUE"""),"cody.hutson@2hourlearning.com")</f>
        <v>cody.hutson@2hourlearning.com</v>
      </c>
      <c r="L2203" s="6" t="str">
        <f>IFERROR(__xludf.DUMMYFUNCTION("""COMPUTED_VALUE"""),"Vita High School")</f>
        <v>Vita High School</v>
      </c>
      <c r="M2203" s="6" t="str">
        <f>IFERROR(__xludf.DUMMYFUNCTION("""COMPUTED_VALUE"""),"")</f>
        <v/>
      </c>
      <c r="N2203" s="6" t="str">
        <f>IFERROR(__xludf.DUMMYFUNCTION("""COMPUTED_VALUE"""),"")</f>
        <v/>
      </c>
      <c r="O2203" s="87" t="str">
        <f>IFERROR(__xludf.DUMMYFUNCTION("""COMPUTED_VALUE"""),"https://drive.google.com/drive/folders/10T2cTQHqEJZqE-st6uFKPoI?usp=share_link")</f>
        <v>https://drive.google.com/drive/folders/10T2cTQHqEJZqE-st6uFKPoI?usp=share_link</v>
      </c>
      <c r="P2203" s="6" t="str">
        <f>IFERROR(__xludf.DUMMYFUNCTION("""COMPUTED_VALUE"""),"Cody Hutson")</f>
        <v>Cody Hutson</v>
      </c>
      <c r="Q2203" s="6" t="str">
        <f>IFERROR(__xludf.DUMMYFUNCTION("""COMPUTED_VALUE"""),"HS")</f>
        <v>HS</v>
      </c>
      <c r="R2203" s="6">
        <f>IFERROR(__xludf.DUMMYFUNCTION("""COMPUTED_VALUE"""),0.0)</f>
        <v>0</v>
      </c>
      <c r="S2203" s="6" t="str">
        <f>IFERROR(__xludf.DUMMYFUNCTION("""COMPUTED_VALUE""")," ")</f>
        <v> </v>
      </c>
      <c r="T2203" s="6" t="str">
        <f>IFERROR(__xludf.DUMMYFUNCTION("""COMPUTED_VALUE"""),"")</f>
        <v/>
      </c>
      <c r="U2203" s="6" t="str">
        <f>IFERROR(__xludf.DUMMYFUNCTION("""COMPUTED_VALUE"""),"9")</f>
        <v>9</v>
      </c>
      <c r="V2203" s="6" t="str">
        <f>IFERROR(__xludf.DUMMYFUNCTION("""COMPUTED_VALUE"""),"")</f>
        <v/>
      </c>
      <c r="W2203" s="6" t="str">
        <f>IFERROR(__xludf.DUMMYFUNCTION("""COMPUTED_VALUE"""),"[]")</f>
        <v>[]</v>
      </c>
      <c r="X2203" s="6" t="str">
        <f>IFERROR(__xludf.DUMMYFUNCTION("""COMPUTED_VALUE"""),"Enrolled")</f>
        <v>Enrolled</v>
      </c>
    </row>
    <row r="2204">
      <c r="A2204" s="6" t="str">
        <f>IFERROR(__xludf.DUMMYFUNCTION("""COMPUTED_VALUE"""),"033-2158")</f>
        <v>033-2158</v>
      </c>
      <c r="B2204" s="6" t="str">
        <f>IFERROR(__xludf.DUMMYFUNCTION("""COMPUTED_VALUE"""),"33")</f>
        <v>33</v>
      </c>
      <c r="C2204" s="6" t="str">
        <f>IFERROR(__xludf.DUMMYFUNCTION("""COMPUTED_VALUE"""),"2158")</f>
        <v>2158</v>
      </c>
      <c r="D2204" s="6" t="str">
        <f>IFERROR(__xludf.DUMMYFUNCTION("""COMPUTED_VALUE"""),"Andre")</f>
        <v>Andre</v>
      </c>
      <c r="E2204" s="6" t="str">
        <f>IFERROR(__xludf.DUMMYFUNCTION("""COMPUTED_VALUE"""),"")</f>
        <v/>
      </c>
      <c r="F2204" s="6" t="str">
        <f>IFERROR(__xludf.DUMMYFUNCTION("""COMPUTED_VALUE"""),"Gainey")</f>
        <v>Gainey</v>
      </c>
      <c r="G2204" s="6" t="str">
        <f>IFERROR(__xludf.DUMMYFUNCTION("""COMPUTED_VALUE"""),"06/12/2008")</f>
        <v>06/12/2008</v>
      </c>
      <c r="H2204" s="6" t="str">
        <f>IFERROR(__xludf.DUMMYFUNCTION("""COMPUTED_VALUE"""),"Self Identify")</f>
        <v>Self Identify</v>
      </c>
      <c r="I2204" s="6" t="str">
        <f>IFERROR(__xludf.DUMMYFUNCTION("""COMPUTED_VALUE"""),"High School")</f>
        <v>High School</v>
      </c>
      <c r="J2204" s="6" t="str">
        <f>IFERROR(__xludf.DUMMYFUNCTION("""COMPUTED_VALUE"""),"11")</f>
        <v>11</v>
      </c>
      <c r="K2204" s="6" t="str">
        <f>IFERROR(__xludf.DUMMYFUNCTION("""COMPUTED_VALUE"""),"andre.gainey@2hourlearning.com")</f>
        <v>andre.gainey@2hourlearning.com</v>
      </c>
      <c r="L2204" s="6" t="str">
        <f>IFERROR(__xludf.DUMMYFUNCTION("""COMPUTED_VALUE"""),"Vita High School")</f>
        <v>Vita High School</v>
      </c>
      <c r="M2204" s="6" t="str">
        <f>IFERROR(__xludf.DUMMYFUNCTION("""COMPUTED_VALUE"""),"")</f>
        <v/>
      </c>
      <c r="N2204" s="6" t="str">
        <f>IFERROR(__xludf.DUMMYFUNCTION("""COMPUTED_VALUE"""),"")</f>
        <v/>
      </c>
      <c r="O2204" s="87" t="str">
        <f>IFERROR(__xludf.DUMMYFUNCTION("""COMPUTED_VALUE"""),"https://drive.google.com/drive/folders/10T2cTQHqEJZqE-st6uFKPoI?usp=share_link")</f>
        <v>https://drive.google.com/drive/folders/10T2cTQHqEJZqE-st6uFKPoI?usp=share_link</v>
      </c>
      <c r="P2204" s="6" t="str">
        <f>IFERROR(__xludf.DUMMYFUNCTION("""COMPUTED_VALUE"""),"Andre Gainey")</f>
        <v>Andre Gainey</v>
      </c>
      <c r="Q2204" s="6" t="str">
        <f>IFERROR(__xludf.DUMMYFUNCTION("""COMPUTED_VALUE"""),"HS")</f>
        <v>HS</v>
      </c>
      <c r="R2204" s="6">
        <f>IFERROR(__xludf.DUMMYFUNCTION("""COMPUTED_VALUE"""),0.0)</f>
        <v>0</v>
      </c>
      <c r="S2204" s="6" t="str">
        <f>IFERROR(__xludf.DUMMYFUNCTION("""COMPUTED_VALUE""")," ")</f>
        <v> </v>
      </c>
      <c r="T2204" s="6" t="str">
        <f>IFERROR(__xludf.DUMMYFUNCTION("""COMPUTED_VALUE"""),"")</f>
        <v/>
      </c>
      <c r="U2204" s="6" t="str">
        <f>IFERROR(__xludf.DUMMYFUNCTION("""COMPUTED_VALUE"""),"11")</f>
        <v>11</v>
      </c>
      <c r="V2204" s="6" t="str">
        <f>IFERROR(__xludf.DUMMYFUNCTION("""COMPUTED_VALUE"""),"")</f>
        <v/>
      </c>
      <c r="W2204" s="6" t="str">
        <f>IFERROR(__xludf.DUMMYFUNCTION("""COMPUTED_VALUE"""),"[]")</f>
        <v>[]</v>
      </c>
      <c r="X2204" s="6" t="str">
        <f>IFERROR(__xludf.DUMMYFUNCTION("""COMPUTED_VALUE"""),"Enrolled")</f>
        <v>Enrolled</v>
      </c>
    </row>
    <row r="2205">
      <c r="A2205" s="6" t="str">
        <f>IFERROR(__xludf.DUMMYFUNCTION("""COMPUTED_VALUE"""),"033-2634")</f>
        <v>033-2634</v>
      </c>
      <c r="B2205" s="6" t="str">
        <f>IFERROR(__xludf.DUMMYFUNCTION("""COMPUTED_VALUE"""),"33")</f>
        <v>33</v>
      </c>
      <c r="C2205" s="6" t="str">
        <f>IFERROR(__xludf.DUMMYFUNCTION("""COMPUTED_VALUE"""),"2634")</f>
        <v>2634</v>
      </c>
      <c r="D2205" s="6" t="str">
        <f>IFERROR(__xludf.DUMMYFUNCTION("""COMPUTED_VALUE"""),"Yember")</f>
        <v>Yember</v>
      </c>
      <c r="E2205" s="6" t="str">
        <f>IFERROR(__xludf.DUMMYFUNCTION("""COMPUTED_VALUE"""),"")</f>
        <v/>
      </c>
      <c r="F2205" s="6" t="str">
        <f>IFERROR(__xludf.DUMMYFUNCTION("""COMPUTED_VALUE"""),"Aguilera Ramirez")</f>
        <v>Aguilera Ramirez</v>
      </c>
      <c r="G2205" s="6" t="str">
        <f>IFERROR(__xludf.DUMMYFUNCTION("""COMPUTED_VALUE"""),"07/25/2010")</f>
        <v>07/25/2010</v>
      </c>
      <c r="H2205" s="6" t="str">
        <f>IFERROR(__xludf.DUMMYFUNCTION("""COMPUTED_VALUE"""),"Self Identify")</f>
        <v>Self Identify</v>
      </c>
      <c r="I2205" s="6" t="str">
        <f>IFERROR(__xludf.DUMMYFUNCTION("""COMPUTED_VALUE"""),"High School")</f>
        <v>High School</v>
      </c>
      <c r="J2205" s="6" t="str">
        <f>IFERROR(__xludf.DUMMYFUNCTION("""COMPUTED_VALUE"""),"9")</f>
        <v>9</v>
      </c>
      <c r="K2205" s="6" t="str">
        <f>IFERROR(__xludf.DUMMYFUNCTION("""COMPUTED_VALUE"""),"yember.ramirez@2hourlearning.com")</f>
        <v>yember.ramirez@2hourlearning.com</v>
      </c>
      <c r="L2205" s="6" t="str">
        <f>IFERROR(__xludf.DUMMYFUNCTION("""COMPUTED_VALUE"""),"Vita High School")</f>
        <v>Vita High School</v>
      </c>
      <c r="M2205" s="6" t="str">
        <f>IFERROR(__xludf.DUMMYFUNCTION("""COMPUTED_VALUE"""),"")</f>
        <v/>
      </c>
      <c r="N2205" s="6" t="str">
        <f>IFERROR(__xludf.DUMMYFUNCTION("""COMPUTED_VALUE"""),"")</f>
        <v/>
      </c>
      <c r="O2205" s="87" t="str">
        <f>IFERROR(__xludf.DUMMYFUNCTION("""COMPUTED_VALUE"""),"https://drive.google.com/drive/folders/10T2cTQHqEJZqE-st6uFKPoI?usp=share_link")</f>
        <v>https://drive.google.com/drive/folders/10T2cTQHqEJZqE-st6uFKPoI?usp=share_link</v>
      </c>
      <c r="P2205" s="6" t="str">
        <f>IFERROR(__xludf.DUMMYFUNCTION("""COMPUTED_VALUE"""),"Yember Aguilera Ramirez")</f>
        <v>Yember Aguilera Ramirez</v>
      </c>
      <c r="Q2205" s="6" t="str">
        <f>IFERROR(__xludf.DUMMYFUNCTION("""COMPUTED_VALUE"""),"HS")</f>
        <v>HS</v>
      </c>
      <c r="R2205" s="6">
        <f>IFERROR(__xludf.DUMMYFUNCTION("""COMPUTED_VALUE"""),0.0)</f>
        <v>0</v>
      </c>
      <c r="S2205" s="6" t="str">
        <f>IFERROR(__xludf.DUMMYFUNCTION("""COMPUTED_VALUE""")," ")</f>
        <v> </v>
      </c>
      <c r="T2205" s="6" t="str">
        <f>IFERROR(__xludf.DUMMYFUNCTION("""COMPUTED_VALUE"""),"")</f>
        <v/>
      </c>
      <c r="U2205" s="6" t="str">
        <f>IFERROR(__xludf.DUMMYFUNCTION("""COMPUTED_VALUE"""),"9")</f>
        <v>9</v>
      </c>
      <c r="V2205" s="6" t="str">
        <f>IFERROR(__xludf.DUMMYFUNCTION("""COMPUTED_VALUE"""),"")</f>
        <v/>
      </c>
      <c r="W2205" s="6" t="str">
        <f>IFERROR(__xludf.DUMMYFUNCTION("""COMPUTED_VALUE"""),"[]")</f>
        <v>[]</v>
      </c>
      <c r="X2205" s="6" t="str">
        <f>IFERROR(__xludf.DUMMYFUNCTION("""COMPUTED_VALUE"""),"Enrolled")</f>
        <v>Enrolled</v>
      </c>
    </row>
    <row r="2206">
      <c r="A2206" s="6" t="str">
        <f>IFERROR(__xludf.DUMMYFUNCTION("""COMPUTED_VALUE"""),"033-3497")</f>
        <v>033-3497</v>
      </c>
      <c r="B2206" s="6" t="str">
        <f>IFERROR(__xludf.DUMMYFUNCTION("""COMPUTED_VALUE"""),"33")</f>
        <v>33</v>
      </c>
      <c r="C2206" s="6" t="str">
        <f>IFERROR(__xludf.DUMMYFUNCTION("""COMPUTED_VALUE"""),"3497")</f>
        <v>3497</v>
      </c>
      <c r="D2206" s="6" t="str">
        <f>IFERROR(__xludf.DUMMYFUNCTION("""COMPUTED_VALUE"""),"Pasco")</f>
        <v>Pasco</v>
      </c>
      <c r="E2206" s="6" t="str">
        <f>IFERROR(__xludf.DUMMYFUNCTION("""COMPUTED_VALUE"""),"")</f>
        <v/>
      </c>
      <c r="F2206" s="6" t="str">
        <f>IFERROR(__xludf.DUMMYFUNCTION("""COMPUTED_VALUE"""),"Test")</f>
        <v>Test</v>
      </c>
      <c r="G2206" s="6" t="str">
        <f>IFERROR(__xludf.DUMMYFUNCTION("""COMPUTED_VALUE"""),"01/15/2015")</f>
        <v>01/15/2015</v>
      </c>
      <c r="H2206" s="6" t="str">
        <f>IFERROR(__xludf.DUMMYFUNCTION("""COMPUTED_VALUE"""),"male")</f>
        <v>male</v>
      </c>
      <c r="I2206" s="6" t="str">
        <f>IFERROR(__xludf.DUMMYFUNCTION("""COMPUTED_VALUE"""),"Middle School")</f>
        <v>Middle School</v>
      </c>
      <c r="J2206" s="6" t="str">
        <f>IFERROR(__xludf.DUMMYFUNCTION("""COMPUTED_VALUE"""),"7")</f>
        <v>7</v>
      </c>
      <c r="K2206" s="6" t="str">
        <f>IFERROR(__xludf.DUMMYFUNCTION("""COMPUTED_VALUE"""),"pasco.test@2hourlearning.com")</f>
        <v>pasco.test@2hourlearning.com</v>
      </c>
      <c r="L2206" s="6" t="str">
        <f>IFERROR(__xludf.DUMMYFUNCTION("""COMPUTED_VALUE"""),"Vita High School")</f>
        <v>Vita High School</v>
      </c>
      <c r="M2206" s="6" t="str">
        <f>IFERROR(__xludf.DUMMYFUNCTION("""COMPUTED_VALUE"""),"")</f>
        <v/>
      </c>
      <c r="N2206" s="6" t="str">
        <f>IFERROR(__xludf.DUMMYFUNCTION("""COMPUTED_VALUE"""),"")</f>
        <v/>
      </c>
      <c r="O2206" s="87" t="str">
        <f>IFERROR(__xludf.DUMMYFUNCTION("""COMPUTED_VALUE"""),"https://drive.google.com/drive/folders/10T2cTQHqEJZqE-st6uFKPoI?usp=share_link")</f>
        <v>https://drive.google.com/drive/folders/10T2cTQHqEJZqE-st6uFKPoI?usp=share_link</v>
      </c>
      <c r="P2206" s="6" t="str">
        <f>IFERROR(__xludf.DUMMYFUNCTION("""COMPUTED_VALUE"""),"Pasco Test")</f>
        <v>Pasco Test</v>
      </c>
      <c r="Q2206" s="6" t="str">
        <f>IFERROR(__xludf.DUMMYFUNCTION("""COMPUTED_VALUE"""),"MS")</f>
        <v>MS</v>
      </c>
      <c r="R2206" s="6">
        <f>IFERROR(__xludf.DUMMYFUNCTION("""COMPUTED_VALUE"""),0.0)</f>
        <v>0</v>
      </c>
      <c r="S2206" s="6" t="str">
        <f>IFERROR(__xludf.DUMMYFUNCTION("""COMPUTED_VALUE""")," ")</f>
        <v> </v>
      </c>
      <c r="T2206" s="6" t="str">
        <f>IFERROR(__xludf.DUMMYFUNCTION("""COMPUTED_VALUE"""),"")</f>
        <v/>
      </c>
      <c r="U2206" s="6" t="str">
        <f>IFERROR(__xludf.DUMMYFUNCTION("""COMPUTED_VALUE"""),"7")</f>
        <v>7</v>
      </c>
      <c r="V2206" s="6" t="str">
        <f>IFERROR(__xludf.DUMMYFUNCTION("""COMPUTED_VALUE"""),"English")</f>
        <v>English</v>
      </c>
      <c r="W2206" s="6" t="str">
        <f>IFERROR(__xludf.DUMMYFUNCTION("""COMPUTED_VALUE"""),"[]")</f>
        <v>[]</v>
      </c>
      <c r="X2206" s="6" t="str">
        <f>IFERROR(__xludf.DUMMYFUNCTION("""COMPUTED_VALUE"""),"Enrolled")</f>
        <v>Enrolled</v>
      </c>
    </row>
    <row r="2207">
      <c r="A2207" s="6" t="str">
        <f>IFERROR(__xludf.DUMMYFUNCTION("""COMPUTED_VALUE"""),"033-5550")</f>
        <v>033-5550</v>
      </c>
      <c r="B2207" s="6" t="str">
        <f>IFERROR(__xludf.DUMMYFUNCTION("""COMPUTED_VALUE"""),"33")</f>
        <v>33</v>
      </c>
      <c r="C2207" s="6" t="str">
        <f>IFERROR(__xludf.DUMMYFUNCTION("""COMPUTED_VALUE"""),"5550")</f>
        <v>5550</v>
      </c>
      <c r="D2207" s="6" t="str">
        <f>IFERROR(__xludf.DUMMYFUNCTION("""COMPUTED_VALUE"""),"Alan")</f>
        <v>Alan</v>
      </c>
      <c r="E2207" s="6" t="str">
        <f>IFERROR(__xludf.DUMMYFUNCTION("""COMPUTED_VALUE"""),"")</f>
        <v/>
      </c>
      <c r="F2207" s="6" t="str">
        <f>IFERROR(__xludf.DUMMYFUNCTION("""COMPUTED_VALUE"""),"Rodriguez")</f>
        <v>Rodriguez</v>
      </c>
      <c r="G2207" s="6" t="str">
        <f>IFERROR(__xludf.DUMMYFUNCTION("""COMPUTED_VALUE"""),"02/08/2011")</f>
        <v>02/08/2011</v>
      </c>
      <c r="H2207" s="6" t="str">
        <f>IFERROR(__xludf.DUMMYFUNCTION("""COMPUTED_VALUE"""),"Self Identify")</f>
        <v>Self Identify</v>
      </c>
      <c r="I2207" s="6" t="str">
        <f>IFERROR(__xludf.DUMMYFUNCTION("""COMPUTED_VALUE"""),"High School")</f>
        <v>High School</v>
      </c>
      <c r="J2207" s="6" t="str">
        <f>IFERROR(__xludf.DUMMYFUNCTION("""COMPUTED_VALUE"""),"9")</f>
        <v>9</v>
      </c>
      <c r="K2207" s="6" t="str">
        <f>IFERROR(__xludf.DUMMYFUNCTION("""COMPUTED_VALUE"""),"alan.rodriguez@2hourlearning.com")</f>
        <v>alan.rodriguez@2hourlearning.com</v>
      </c>
      <c r="L2207" s="6" t="str">
        <f>IFERROR(__xludf.DUMMYFUNCTION("""COMPUTED_VALUE"""),"Vita High School")</f>
        <v>Vita High School</v>
      </c>
      <c r="M2207" s="6" t="str">
        <f>IFERROR(__xludf.DUMMYFUNCTION("""COMPUTED_VALUE"""),"")</f>
        <v/>
      </c>
      <c r="N2207" s="6" t="str">
        <f>IFERROR(__xludf.DUMMYFUNCTION("""COMPUTED_VALUE"""),"")</f>
        <v/>
      </c>
      <c r="O2207" s="87" t="str">
        <f>IFERROR(__xludf.DUMMYFUNCTION("""COMPUTED_VALUE"""),"https://drive.google.com/drive/folders/10T2cTQHqEJZqE-st6uFKPoI?usp=share_link")</f>
        <v>https://drive.google.com/drive/folders/10T2cTQHqEJZqE-st6uFKPoI?usp=share_link</v>
      </c>
      <c r="P2207" s="6" t="str">
        <f>IFERROR(__xludf.DUMMYFUNCTION("""COMPUTED_VALUE"""),"Alan Rodriguez")</f>
        <v>Alan Rodriguez</v>
      </c>
      <c r="Q2207" s="6" t="str">
        <f>IFERROR(__xludf.DUMMYFUNCTION("""COMPUTED_VALUE"""),"HS")</f>
        <v>HS</v>
      </c>
      <c r="R2207" s="6">
        <f>IFERROR(__xludf.DUMMYFUNCTION("""COMPUTED_VALUE"""),0.0)</f>
        <v>0</v>
      </c>
      <c r="S2207" s="6" t="str">
        <f>IFERROR(__xludf.DUMMYFUNCTION("""COMPUTED_VALUE"""),"Alicia Westcot")</f>
        <v>Alicia Westcot</v>
      </c>
      <c r="T2207" s="6" t="str">
        <f>IFERROR(__xludf.DUMMYFUNCTION("""COMPUTED_VALUE"""),"alicia.westcot@studient.com")</f>
        <v>alicia.westcot@studient.com</v>
      </c>
      <c r="U2207" s="6" t="str">
        <f>IFERROR(__xludf.DUMMYFUNCTION("""COMPUTED_VALUE"""),"9")</f>
        <v>9</v>
      </c>
      <c r="V2207" s="6" t="str">
        <f>IFERROR(__xludf.DUMMYFUNCTION("""COMPUTED_VALUE"""),"")</f>
        <v/>
      </c>
      <c r="W2207" s="6" t="str">
        <f>IFERROR(__xludf.DUMMYFUNCTION("""COMPUTED_VALUE"""),"[]")</f>
        <v>[]</v>
      </c>
      <c r="X2207" s="6" t="str">
        <f>IFERROR(__xludf.DUMMYFUNCTION("""COMPUTED_VALUE"""),"Enrolled")</f>
        <v>Enrolled</v>
      </c>
    </row>
    <row r="2208">
      <c r="A2208" s="6" t="str">
        <f>IFERROR(__xludf.DUMMYFUNCTION("""COMPUTED_VALUE"""),"033-5551")</f>
        <v>033-5551</v>
      </c>
      <c r="B2208" s="6" t="str">
        <f>IFERROR(__xludf.DUMMYFUNCTION("""COMPUTED_VALUE"""),"33")</f>
        <v>33</v>
      </c>
      <c r="C2208" s="6" t="str">
        <f>IFERROR(__xludf.DUMMYFUNCTION("""COMPUTED_VALUE"""),"5551")</f>
        <v>5551</v>
      </c>
      <c r="D2208" s="6" t="str">
        <f>IFERROR(__xludf.DUMMYFUNCTION("""COMPUTED_VALUE"""),"Andre")</f>
        <v>Andre</v>
      </c>
      <c r="E2208" s="6" t="str">
        <f>IFERROR(__xludf.DUMMYFUNCTION("""COMPUTED_VALUE"""),"")</f>
        <v/>
      </c>
      <c r="F2208" s="6" t="str">
        <f>IFERROR(__xludf.DUMMYFUNCTION("""COMPUTED_VALUE"""),"Rios")</f>
        <v>Rios</v>
      </c>
      <c r="G2208" s="6" t="str">
        <f>IFERROR(__xludf.DUMMYFUNCTION("""COMPUTED_VALUE"""),"02/27/2011")</f>
        <v>02/27/2011</v>
      </c>
      <c r="H2208" s="6" t="str">
        <f>IFERROR(__xludf.DUMMYFUNCTION("""COMPUTED_VALUE"""),"Self Identify")</f>
        <v>Self Identify</v>
      </c>
      <c r="I2208" s="6" t="str">
        <f>IFERROR(__xludf.DUMMYFUNCTION("""COMPUTED_VALUE"""),"High School")</f>
        <v>High School</v>
      </c>
      <c r="J2208" s="6" t="str">
        <f>IFERROR(__xludf.DUMMYFUNCTION("""COMPUTED_VALUE"""),"9")</f>
        <v>9</v>
      </c>
      <c r="K2208" s="6" t="str">
        <f>IFERROR(__xludf.DUMMYFUNCTION("""COMPUTED_VALUE"""),"andre.rios@2hourlearning.com")</f>
        <v>andre.rios@2hourlearning.com</v>
      </c>
      <c r="L2208" s="6" t="str">
        <f>IFERROR(__xludf.DUMMYFUNCTION("""COMPUTED_VALUE"""),"Vita High School")</f>
        <v>Vita High School</v>
      </c>
      <c r="M2208" s="6" t="str">
        <f>IFERROR(__xludf.DUMMYFUNCTION("""COMPUTED_VALUE"""),"")</f>
        <v/>
      </c>
      <c r="N2208" s="6" t="str">
        <f>IFERROR(__xludf.DUMMYFUNCTION("""COMPUTED_VALUE"""),"")</f>
        <v/>
      </c>
      <c r="O2208" s="87" t="str">
        <f>IFERROR(__xludf.DUMMYFUNCTION("""COMPUTED_VALUE"""),"https://drive.google.com/drive/folders/10T2cTQHqEJZqE-st6uFKPoI?usp=share_link")</f>
        <v>https://drive.google.com/drive/folders/10T2cTQHqEJZqE-st6uFKPoI?usp=share_link</v>
      </c>
      <c r="P2208" s="6" t="str">
        <f>IFERROR(__xludf.DUMMYFUNCTION("""COMPUTED_VALUE"""),"Andre Rios")</f>
        <v>Andre Rios</v>
      </c>
      <c r="Q2208" s="6" t="str">
        <f>IFERROR(__xludf.DUMMYFUNCTION("""COMPUTED_VALUE"""),"HS")</f>
        <v>HS</v>
      </c>
      <c r="R2208" s="6">
        <f>IFERROR(__xludf.DUMMYFUNCTION("""COMPUTED_VALUE"""),0.0)</f>
        <v>0</v>
      </c>
      <c r="S2208" s="6" t="str">
        <f>IFERROR(__xludf.DUMMYFUNCTION("""COMPUTED_VALUE"""),"Alicia Westcot")</f>
        <v>Alicia Westcot</v>
      </c>
      <c r="T2208" s="6" t="str">
        <f>IFERROR(__xludf.DUMMYFUNCTION("""COMPUTED_VALUE"""),"alicia.westcot@studient.com")</f>
        <v>alicia.westcot@studient.com</v>
      </c>
      <c r="U2208" s="6" t="str">
        <f>IFERROR(__xludf.DUMMYFUNCTION("""COMPUTED_VALUE"""),"9")</f>
        <v>9</v>
      </c>
      <c r="V2208" s="6" t="str">
        <f>IFERROR(__xludf.DUMMYFUNCTION("""COMPUTED_VALUE"""),"")</f>
        <v/>
      </c>
      <c r="W2208" s="6" t="str">
        <f>IFERROR(__xludf.DUMMYFUNCTION("""COMPUTED_VALUE"""),"[]")</f>
        <v>[]</v>
      </c>
      <c r="X2208" s="6" t="str">
        <f>IFERROR(__xludf.DUMMYFUNCTION("""COMPUTED_VALUE"""),"Enrolled")</f>
        <v>Enrolled</v>
      </c>
    </row>
    <row r="2209">
      <c r="A2209" s="6" t="str">
        <f>IFERROR(__xludf.DUMMYFUNCTION("""COMPUTED_VALUE"""),"033-5552")</f>
        <v>033-5552</v>
      </c>
      <c r="B2209" s="6" t="str">
        <f>IFERROR(__xludf.DUMMYFUNCTION("""COMPUTED_VALUE"""),"33")</f>
        <v>33</v>
      </c>
      <c r="C2209" s="6" t="str">
        <f>IFERROR(__xludf.DUMMYFUNCTION("""COMPUTED_VALUE"""),"5552")</f>
        <v>5552</v>
      </c>
      <c r="D2209" s="6" t="str">
        <f>IFERROR(__xludf.DUMMYFUNCTION("""COMPUTED_VALUE"""),"Angel")</f>
        <v>Angel</v>
      </c>
      <c r="E2209" s="6" t="str">
        <f>IFERROR(__xludf.DUMMYFUNCTION("""COMPUTED_VALUE"""),"")</f>
        <v/>
      </c>
      <c r="F2209" s="6" t="str">
        <f>IFERROR(__xludf.DUMMYFUNCTION("""COMPUTED_VALUE"""),"Raymundo Duarte")</f>
        <v>Raymundo Duarte</v>
      </c>
      <c r="G2209" s="6" t="str">
        <f>IFERROR(__xludf.DUMMYFUNCTION("""COMPUTED_VALUE"""),"07/18/2011")</f>
        <v>07/18/2011</v>
      </c>
      <c r="H2209" s="6" t="str">
        <f>IFERROR(__xludf.DUMMYFUNCTION("""COMPUTED_VALUE"""),"Self Identify")</f>
        <v>Self Identify</v>
      </c>
      <c r="I2209" s="6" t="str">
        <f>IFERROR(__xludf.DUMMYFUNCTION("""COMPUTED_VALUE"""),"High School")</f>
        <v>High School</v>
      </c>
      <c r="J2209" s="6" t="str">
        <f>IFERROR(__xludf.DUMMYFUNCTION("""COMPUTED_VALUE"""),"9")</f>
        <v>9</v>
      </c>
      <c r="K2209" s="6" t="str">
        <f>IFERROR(__xludf.DUMMYFUNCTION("""COMPUTED_VALUE"""),"angel.raymundoduarte@2hourlearning.com")</f>
        <v>angel.raymundoduarte@2hourlearning.com</v>
      </c>
      <c r="L2209" s="6" t="str">
        <f>IFERROR(__xludf.DUMMYFUNCTION("""COMPUTED_VALUE"""),"Vita High School")</f>
        <v>Vita High School</v>
      </c>
      <c r="M2209" s="6" t="str">
        <f>IFERROR(__xludf.DUMMYFUNCTION("""COMPUTED_VALUE"""),"")</f>
        <v/>
      </c>
      <c r="N2209" s="6" t="str">
        <f>IFERROR(__xludf.DUMMYFUNCTION("""COMPUTED_VALUE"""),"")</f>
        <v/>
      </c>
      <c r="O2209" s="87" t="str">
        <f>IFERROR(__xludf.DUMMYFUNCTION("""COMPUTED_VALUE"""),"https://drive.google.com/drive/folders/10T2cTQHqEJZqE-st6uFKPoI?usp=share_link")</f>
        <v>https://drive.google.com/drive/folders/10T2cTQHqEJZqE-st6uFKPoI?usp=share_link</v>
      </c>
      <c r="P2209" s="6" t="str">
        <f>IFERROR(__xludf.DUMMYFUNCTION("""COMPUTED_VALUE"""),"Angel Raymundo Duarte")</f>
        <v>Angel Raymundo Duarte</v>
      </c>
      <c r="Q2209" s="6" t="str">
        <f>IFERROR(__xludf.DUMMYFUNCTION("""COMPUTED_VALUE"""),"HS")</f>
        <v>HS</v>
      </c>
      <c r="R2209" s="6">
        <f>IFERROR(__xludf.DUMMYFUNCTION("""COMPUTED_VALUE"""),0.0)</f>
        <v>0</v>
      </c>
      <c r="S2209" s="6" t="str">
        <f>IFERROR(__xludf.DUMMYFUNCTION("""COMPUTED_VALUE"""),"Alicia Westcot")</f>
        <v>Alicia Westcot</v>
      </c>
      <c r="T2209" s="6" t="str">
        <f>IFERROR(__xludf.DUMMYFUNCTION("""COMPUTED_VALUE"""),"alicia.westcot@studient.com")</f>
        <v>alicia.westcot@studient.com</v>
      </c>
      <c r="U2209" s="6" t="str">
        <f>IFERROR(__xludf.DUMMYFUNCTION("""COMPUTED_VALUE"""),"9")</f>
        <v>9</v>
      </c>
      <c r="V2209" s="6" t="str">
        <f>IFERROR(__xludf.DUMMYFUNCTION("""COMPUTED_VALUE"""),"")</f>
        <v/>
      </c>
      <c r="W2209" s="6" t="str">
        <f>IFERROR(__xludf.DUMMYFUNCTION("""COMPUTED_VALUE"""),"[]")</f>
        <v>[]</v>
      </c>
      <c r="X2209" s="6" t="str">
        <f>IFERROR(__xludf.DUMMYFUNCTION("""COMPUTED_VALUE"""),"Enrolled")</f>
        <v>Enrolled</v>
      </c>
    </row>
    <row r="2210">
      <c r="A2210" s="6" t="str">
        <f>IFERROR(__xludf.DUMMYFUNCTION("""COMPUTED_VALUE"""),"033-5553")</f>
        <v>033-5553</v>
      </c>
      <c r="B2210" s="6" t="str">
        <f>IFERROR(__xludf.DUMMYFUNCTION("""COMPUTED_VALUE"""),"33")</f>
        <v>33</v>
      </c>
      <c r="C2210" s="6" t="str">
        <f>IFERROR(__xludf.DUMMYFUNCTION("""COMPUTED_VALUE"""),"5553")</f>
        <v>5553</v>
      </c>
      <c r="D2210" s="6" t="str">
        <f>IFERROR(__xludf.DUMMYFUNCTION("""COMPUTED_VALUE"""),"Cullen")</f>
        <v>Cullen</v>
      </c>
      <c r="E2210" s="6" t="str">
        <f>IFERROR(__xludf.DUMMYFUNCTION("""COMPUTED_VALUE"""),"")</f>
        <v/>
      </c>
      <c r="F2210" s="6" t="str">
        <f>IFERROR(__xludf.DUMMYFUNCTION("""COMPUTED_VALUE"""),"Harris")</f>
        <v>Harris</v>
      </c>
      <c r="G2210" s="6" t="str">
        <f>IFERROR(__xludf.DUMMYFUNCTION("""COMPUTED_VALUE"""),"12/22/2010")</f>
        <v>12/22/2010</v>
      </c>
      <c r="H2210" s="6" t="str">
        <f>IFERROR(__xludf.DUMMYFUNCTION("""COMPUTED_VALUE"""),"Self Identify")</f>
        <v>Self Identify</v>
      </c>
      <c r="I2210" s="6" t="str">
        <f>IFERROR(__xludf.DUMMYFUNCTION("""COMPUTED_VALUE"""),"High School")</f>
        <v>High School</v>
      </c>
      <c r="J2210" s="6" t="str">
        <f>IFERROR(__xludf.DUMMYFUNCTION("""COMPUTED_VALUE"""),"9")</f>
        <v>9</v>
      </c>
      <c r="K2210" s="6" t="str">
        <f>IFERROR(__xludf.DUMMYFUNCTION("""COMPUTED_VALUE"""),"cullen.harris@2hourlearning.com")</f>
        <v>cullen.harris@2hourlearning.com</v>
      </c>
      <c r="L2210" s="6" t="str">
        <f>IFERROR(__xludf.DUMMYFUNCTION("""COMPUTED_VALUE"""),"Vita High School")</f>
        <v>Vita High School</v>
      </c>
      <c r="M2210" s="6" t="str">
        <f>IFERROR(__xludf.DUMMYFUNCTION("""COMPUTED_VALUE"""),"")</f>
        <v/>
      </c>
      <c r="N2210" s="6" t="str">
        <f>IFERROR(__xludf.DUMMYFUNCTION("""COMPUTED_VALUE"""),"")</f>
        <v/>
      </c>
      <c r="O2210" s="87" t="str">
        <f>IFERROR(__xludf.DUMMYFUNCTION("""COMPUTED_VALUE"""),"https://drive.google.com/drive/folders/10T2cTQHqEJZqE-st6uFKPoI?usp=share_link")</f>
        <v>https://drive.google.com/drive/folders/10T2cTQHqEJZqE-st6uFKPoI?usp=share_link</v>
      </c>
      <c r="P2210" s="6" t="str">
        <f>IFERROR(__xludf.DUMMYFUNCTION("""COMPUTED_VALUE"""),"Cullen Harris")</f>
        <v>Cullen Harris</v>
      </c>
      <c r="Q2210" s="6" t="str">
        <f>IFERROR(__xludf.DUMMYFUNCTION("""COMPUTED_VALUE"""),"HS")</f>
        <v>HS</v>
      </c>
      <c r="R2210" s="6">
        <f>IFERROR(__xludf.DUMMYFUNCTION("""COMPUTED_VALUE"""),0.0)</f>
        <v>0</v>
      </c>
      <c r="S2210" s="6" t="str">
        <f>IFERROR(__xludf.DUMMYFUNCTION("""COMPUTED_VALUE"""),"Alicia Westcot")</f>
        <v>Alicia Westcot</v>
      </c>
      <c r="T2210" s="6" t="str">
        <f>IFERROR(__xludf.DUMMYFUNCTION("""COMPUTED_VALUE"""),"alicia.westcot@studient.com")</f>
        <v>alicia.westcot@studient.com</v>
      </c>
      <c r="U2210" s="6" t="str">
        <f>IFERROR(__xludf.DUMMYFUNCTION("""COMPUTED_VALUE"""),"9")</f>
        <v>9</v>
      </c>
      <c r="V2210" s="6" t="str">
        <f>IFERROR(__xludf.DUMMYFUNCTION("""COMPUTED_VALUE"""),"")</f>
        <v/>
      </c>
      <c r="W2210" s="6" t="str">
        <f>IFERROR(__xludf.DUMMYFUNCTION("""COMPUTED_VALUE"""),"[]")</f>
        <v>[]</v>
      </c>
      <c r="X2210" s="6" t="str">
        <f>IFERROR(__xludf.DUMMYFUNCTION("""COMPUTED_VALUE"""),"Enrolled")</f>
        <v>Enrolled</v>
      </c>
    </row>
    <row r="2211">
      <c r="A2211" s="6" t="str">
        <f>IFERROR(__xludf.DUMMYFUNCTION("""COMPUTED_VALUE"""),"033-5554")</f>
        <v>033-5554</v>
      </c>
      <c r="B2211" s="6" t="str">
        <f>IFERROR(__xludf.DUMMYFUNCTION("""COMPUTED_VALUE"""),"33")</f>
        <v>33</v>
      </c>
      <c r="C2211" s="6" t="str">
        <f>IFERROR(__xludf.DUMMYFUNCTION("""COMPUTED_VALUE"""),"5554")</f>
        <v>5554</v>
      </c>
      <c r="D2211" s="6" t="str">
        <f>IFERROR(__xludf.DUMMYFUNCTION("""COMPUTED_VALUE"""),"Elijah")</f>
        <v>Elijah</v>
      </c>
      <c r="E2211" s="6" t="str">
        <f>IFERROR(__xludf.DUMMYFUNCTION("""COMPUTED_VALUE"""),"")</f>
        <v/>
      </c>
      <c r="F2211" s="6" t="str">
        <f>IFERROR(__xludf.DUMMYFUNCTION("""COMPUTED_VALUE"""),"Criner")</f>
        <v>Criner</v>
      </c>
      <c r="G2211" s="6" t="str">
        <f>IFERROR(__xludf.DUMMYFUNCTION("""COMPUTED_VALUE"""),"05/23/2009")</f>
        <v>05/23/2009</v>
      </c>
      <c r="H2211" s="6" t="str">
        <f>IFERROR(__xludf.DUMMYFUNCTION("""COMPUTED_VALUE"""),"Self Identify")</f>
        <v>Self Identify</v>
      </c>
      <c r="I2211" s="6" t="str">
        <f>IFERROR(__xludf.DUMMYFUNCTION("""COMPUTED_VALUE"""),"High School")</f>
        <v>High School</v>
      </c>
      <c r="J2211" s="6" t="str">
        <f>IFERROR(__xludf.DUMMYFUNCTION("""COMPUTED_VALUE"""),"10")</f>
        <v>10</v>
      </c>
      <c r="K2211" s="6" t="str">
        <f>IFERROR(__xludf.DUMMYFUNCTION("""COMPUTED_VALUE"""),"elijah.criner@2hourlearning.com")</f>
        <v>elijah.criner@2hourlearning.com</v>
      </c>
      <c r="L2211" s="6" t="str">
        <f>IFERROR(__xludf.DUMMYFUNCTION("""COMPUTED_VALUE"""),"Vita High School")</f>
        <v>Vita High School</v>
      </c>
      <c r="M2211" s="6" t="str">
        <f>IFERROR(__xludf.DUMMYFUNCTION("""COMPUTED_VALUE"""),"")</f>
        <v/>
      </c>
      <c r="N2211" s="6" t="str">
        <f>IFERROR(__xludf.DUMMYFUNCTION("""COMPUTED_VALUE"""),"")</f>
        <v/>
      </c>
      <c r="O2211" s="87" t="str">
        <f>IFERROR(__xludf.DUMMYFUNCTION("""COMPUTED_VALUE"""),"https://drive.google.com/drive/folders/10T2cTQHqEJZqE-st6uFKPoI?usp=share_link")</f>
        <v>https://drive.google.com/drive/folders/10T2cTQHqEJZqE-st6uFKPoI?usp=share_link</v>
      </c>
      <c r="P2211" s="6" t="str">
        <f>IFERROR(__xludf.DUMMYFUNCTION("""COMPUTED_VALUE"""),"Elijah Criner")</f>
        <v>Elijah Criner</v>
      </c>
      <c r="Q2211" s="6" t="str">
        <f>IFERROR(__xludf.DUMMYFUNCTION("""COMPUTED_VALUE"""),"HS")</f>
        <v>HS</v>
      </c>
      <c r="R2211" s="6">
        <f>IFERROR(__xludf.DUMMYFUNCTION("""COMPUTED_VALUE"""),0.0)</f>
        <v>0</v>
      </c>
      <c r="S2211" s="6" t="str">
        <f>IFERROR(__xludf.DUMMYFUNCTION("""COMPUTED_VALUE"""),"Alicia Westcot")</f>
        <v>Alicia Westcot</v>
      </c>
      <c r="T2211" s="6" t="str">
        <f>IFERROR(__xludf.DUMMYFUNCTION("""COMPUTED_VALUE"""),"alicia.westcot@studient.com")</f>
        <v>alicia.westcot@studient.com</v>
      </c>
      <c r="U2211" s="6" t="str">
        <f>IFERROR(__xludf.DUMMYFUNCTION("""COMPUTED_VALUE"""),"10")</f>
        <v>10</v>
      </c>
      <c r="V2211" s="6" t="str">
        <f>IFERROR(__xludf.DUMMYFUNCTION("""COMPUTED_VALUE"""),"")</f>
        <v/>
      </c>
      <c r="W2211" s="6" t="str">
        <f>IFERROR(__xludf.DUMMYFUNCTION("""COMPUTED_VALUE"""),"[]")</f>
        <v>[]</v>
      </c>
      <c r="X2211" s="6" t="str">
        <f>IFERROR(__xludf.DUMMYFUNCTION("""COMPUTED_VALUE"""),"Enrolled")</f>
        <v>Enrolled</v>
      </c>
    </row>
    <row r="2212">
      <c r="A2212" s="6" t="str">
        <f>IFERROR(__xludf.DUMMYFUNCTION("""COMPUTED_VALUE"""),"033-5556")</f>
        <v>033-5556</v>
      </c>
      <c r="B2212" s="6" t="str">
        <f>IFERROR(__xludf.DUMMYFUNCTION("""COMPUTED_VALUE"""),"33")</f>
        <v>33</v>
      </c>
      <c r="C2212" s="6" t="str">
        <f>IFERROR(__xludf.DUMMYFUNCTION("""COMPUTED_VALUE"""),"5556")</f>
        <v>5556</v>
      </c>
      <c r="D2212" s="6" t="str">
        <f>IFERROR(__xludf.DUMMYFUNCTION("""COMPUTED_VALUE"""),"Glayven")</f>
        <v>Glayven</v>
      </c>
      <c r="E2212" s="6" t="str">
        <f>IFERROR(__xludf.DUMMYFUNCTION("""COMPUTED_VALUE"""),"")</f>
        <v/>
      </c>
      <c r="F2212" s="6" t="str">
        <f>IFERROR(__xludf.DUMMYFUNCTION("""COMPUTED_VALUE"""),"Lenox")</f>
        <v>Lenox</v>
      </c>
      <c r="G2212" s="6" t="str">
        <f>IFERROR(__xludf.DUMMYFUNCTION("""COMPUTED_VALUE"""),"04/06/2011")</f>
        <v>04/06/2011</v>
      </c>
      <c r="H2212" s="6" t="str">
        <f>IFERROR(__xludf.DUMMYFUNCTION("""COMPUTED_VALUE"""),"Self Identify")</f>
        <v>Self Identify</v>
      </c>
      <c r="I2212" s="6" t="str">
        <f>IFERROR(__xludf.DUMMYFUNCTION("""COMPUTED_VALUE"""),"High School")</f>
        <v>High School</v>
      </c>
      <c r="J2212" s="6" t="str">
        <f>IFERROR(__xludf.DUMMYFUNCTION("""COMPUTED_VALUE"""),"9")</f>
        <v>9</v>
      </c>
      <c r="K2212" s="6" t="str">
        <f>IFERROR(__xludf.DUMMYFUNCTION("""COMPUTED_VALUE"""),"glayven.lenox@2hourlearning.com")</f>
        <v>glayven.lenox@2hourlearning.com</v>
      </c>
      <c r="L2212" s="6" t="str">
        <f>IFERROR(__xludf.DUMMYFUNCTION("""COMPUTED_VALUE"""),"Vita High School")</f>
        <v>Vita High School</v>
      </c>
      <c r="M2212" s="6" t="str">
        <f>IFERROR(__xludf.DUMMYFUNCTION("""COMPUTED_VALUE"""),"")</f>
        <v/>
      </c>
      <c r="N2212" s="6" t="str">
        <f>IFERROR(__xludf.DUMMYFUNCTION("""COMPUTED_VALUE"""),"")</f>
        <v/>
      </c>
      <c r="O2212" s="87" t="str">
        <f>IFERROR(__xludf.DUMMYFUNCTION("""COMPUTED_VALUE"""),"https://drive.google.com/drive/folders/10T2cTQHqEJZqE-st6uFKPoI?usp=share_link")</f>
        <v>https://drive.google.com/drive/folders/10T2cTQHqEJZqE-st6uFKPoI?usp=share_link</v>
      </c>
      <c r="P2212" s="6" t="str">
        <f>IFERROR(__xludf.DUMMYFUNCTION("""COMPUTED_VALUE"""),"Glayven Lenox")</f>
        <v>Glayven Lenox</v>
      </c>
      <c r="Q2212" s="6" t="str">
        <f>IFERROR(__xludf.DUMMYFUNCTION("""COMPUTED_VALUE"""),"HS")</f>
        <v>HS</v>
      </c>
      <c r="R2212" s="6">
        <f>IFERROR(__xludf.DUMMYFUNCTION("""COMPUTED_VALUE"""),0.0)</f>
        <v>0</v>
      </c>
      <c r="S2212" s="6" t="str">
        <f>IFERROR(__xludf.DUMMYFUNCTION("""COMPUTED_VALUE"""),"Alicia Westcot")</f>
        <v>Alicia Westcot</v>
      </c>
      <c r="T2212" s="6" t="str">
        <f>IFERROR(__xludf.DUMMYFUNCTION("""COMPUTED_VALUE"""),"alicia.westcot@studient.com")</f>
        <v>alicia.westcot@studient.com</v>
      </c>
      <c r="U2212" s="6" t="str">
        <f>IFERROR(__xludf.DUMMYFUNCTION("""COMPUTED_VALUE"""),"9")</f>
        <v>9</v>
      </c>
      <c r="V2212" s="6" t="str">
        <f>IFERROR(__xludf.DUMMYFUNCTION("""COMPUTED_VALUE"""),"")</f>
        <v/>
      </c>
      <c r="W2212" s="6" t="str">
        <f>IFERROR(__xludf.DUMMYFUNCTION("""COMPUTED_VALUE"""),"[]")</f>
        <v>[]</v>
      </c>
      <c r="X2212" s="6" t="str">
        <f>IFERROR(__xludf.DUMMYFUNCTION("""COMPUTED_VALUE"""),"Enrolled")</f>
        <v>Enrolled</v>
      </c>
    </row>
    <row r="2213">
      <c r="A2213" s="6" t="str">
        <f>IFERROR(__xludf.DUMMYFUNCTION("""COMPUTED_VALUE"""),"033-5557")</f>
        <v>033-5557</v>
      </c>
      <c r="B2213" s="6" t="str">
        <f>IFERROR(__xludf.DUMMYFUNCTION("""COMPUTED_VALUE"""),"33")</f>
        <v>33</v>
      </c>
      <c r="C2213" s="6" t="str">
        <f>IFERROR(__xludf.DUMMYFUNCTION("""COMPUTED_VALUE"""),"5557")</f>
        <v>5557</v>
      </c>
      <c r="D2213" s="6" t="str">
        <f>IFERROR(__xludf.DUMMYFUNCTION("""COMPUTED_VALUE"""),"Isabella")</f>
        <v>Isabella</v>
      </c>
      <c r="E2213" s="6" t="str">
        <f>IFERROR(__xludf.DUMMYFUNCTION("""COMPUTED_VALUE"""),"")</f>
        <v/>
      </c>
      <c r="F2213" s="6" t="str">
        <f>IFERROR(__xludf.DUMMYFUNCTION("""COMPUTED_VALUE"""),"Thomas")</f>
        <v>Thomas</v>
      </c>
      <c r="G2213" s="6" t="str">
        <f>IFERROR(__xludf.DUMMYFUNCTION("""COMPUTED_VALUE"""),"03/15/2011")</f>
        <v>03/15/2011</v>
      </c>
      <c r="H2213" s="6" t="str">
        <f>IFERROR(__xludf.DUMMYFUNCTION("""COMPUTED_VALUE"""),"Self Identify")</f>
        <v>Self Identify</v>
      </c>
      <c r="I2213" s="6" t="str">
        <f>IFERROR(__xludf.DUMMYFUNCTION("""COMPUTED_VALUE"""),"High School")</f>
        <v>High School</v>
      </c>
      <c r="J2213" s="6" t="str">
        <f>IFERROR(__xludf.DUMMYFUNCTION("""COMPUTED_VALUE"""),"9")</f>
        <v>9</v>
      </c>
      <c r="K2213" s="6" t="str">
        <f>IFERROR(__xludf.DUMMYFUNCTION("""COMPUTED_VALUE"""),"isabella.thomas@2hourlearning.com")</f>
        <v>isabella.thomas@2hourlearning.com</v>
      </c>
      <c r="L2213" s="6" t="str">
        <f>IFERROR(__xludf.DUMMYFUNCTION("""COMPUTED_VALUE"""),"Vita High School")</f>
        <v>Vita High School</v>
      </c>
      <c r="M2213" s="6" t="str">
        <f>IFERROR(__xludf.DUMMYFUNCTION("""COMPUTED_VALUE"""),"")</f>
        <v/>
      </c>
      <c r="N2213" s="6" t="str">
        <f>IFERROR(__xludf.DUMMYFUNCTION("""COMPUTED_VALUE"""),"")</f>
        <v/>
      </c>
      <c r="O2213" s="87" t="str">
        <f>IFERROR(__xludf.DUMMYFUNCTION("""COMPUTED_VALUE"""),"https://drive.google.com/drive/folders/10T2cTQHqEJZqE-st6uFKPoI?usp=share_link")</f>
        <v>https://drive.google.com/drive/folders/10T2cTQHqEJZqE-st6uFKPoI?usp=share_link</v>
      </c>
      <c r="P2213" s="6" t="str">
        <f>IFERROR(__xludf.DUMMYFUNCTION("""COMPUTED_VALUE"""),"Isabella Thomas")</f>
        <v>Isabella Thomas</v>
      </c>
      <c r="Q2213" s="6" t="str">
        <f>IFERROR(__xludf.DUMMYFUNCTION("""COMPUTED_VALUE"""),"HS")</f>
        <v>HS</v>
      </c>
      <c r="R2213" s="6">
        <f>IFERROR(__xludf.DUMMYFUNCTION("""COMPUTED_VALUE"""),0.0)</f>
        <v>0</v>
      </c>
      <c r="S2213" s="6" t="str">
        <f>IFERROR(__xludf.DUMMYFUNCTION("""COMPUTED_VALUE"""),"Alicia Westcot")</f>
        <v>Alicia Westcot</v>
      </c>
      <c r="T2213" s="6" t="str">
        <f>IFERROR(__xludf.DUMMYFUNCTION("""COMPUTED_VALUE"""),"alicia.westcot@studient.com")</f>
        <v>alicia.westcot@studient.com</v>
      </c>
      <c r="U2213" s="6" t="str">
        <f>IFERROR(__xludf.DUMMYFUNCTION("""COMPUTED_VALUE"""),"9")</f>
        <v>9</v>
      </c>
      <c r="V2213" s="6" t="str">
        <f>IFERROR(__xludf.DUMMYFUNCTION("""COMPUTED_VALUE"""),"")</f>
        <v/>
      </c>
      <c r="W2213" s="6" t="str">
        <f>IFERROR(__xludf.DUMMYFUNCTION("""COMPUTED_VALUE"""),"[]")</f>
        <v>[]</v>
      </c>
      <c r="X2213" s="6" t="str">
        <f>IFERROR(__xludf.DUMMYFUNCTION("""COMPUTED_VALUE"""),"Enrolled")</f>
        <v>Enrolled</v>
      </c>
    </row>
    <row r="2214">
      <c r="A2214" s="6" t="str">
        <f>IFERROR(__xludf.DUMMYFUNCTION("""COMPUTED_VALUE"""),"033-5558")</f>
        <v>033-5558</v>
      </c>
      <c r="B2214" s="6" t="str">
        <f>IFERROR(__xludf.DUMMYFUNCTION("""COMPUTED_VALUE"""),"33")</f>
        <v>33</v>
      </c>
      <c r="C2214" s="6" t="str">
        <f>IFERROR(__xludf.DUMMYFUNCTION("""COMPUTED_VALUE"""),"5558")</f>
        <v>5558</v>
      </c>
      <c r="D2214" s="6" t="str">
        <f>IFERROR(__xludf.DUMMYFUNCTION("""COMPUTED_VALUE"""),"Jose")</f>
        <v>Jose</v>
      </c>
      <c r="E2214" s="6" t="str">
        <f>IFERROR(__xludf.DUMMYFUNCTION("""COMPUTED_VALUE"""),"")</f>
        <v/>
      </c>
      <c r="F2214" s="6" t="str">
        <f>IFERROR(__xludf.DUMMYFUNCTION("""COMPUTED_VALUE"""),"Salinas")</f>
        <v>Salinas</v>
      </c>
      <c r="G2214" s="6" t="str">
        <f>IFERROR(__xludf.DUMMYFUNCTION("""COMPUTED_VALUE"""),"11/11/2010")</f>
        <v>11/11/2010</v>
      </c>
      <c r="H2214" s="6" t="str">
        <f>IFERROR(__xludf.DUMMYFUNCTION("""COMPUTED_VALUE"""),"Self Identify")</f>
        <v>Self Identify</v>
      </c>
      <c r="I2214" s="6" t="str">
        <f>IFERROR(__xludf.DUMMYFUNCTION("""COMPUTED_VALUE"""),"High School")</f>
        <v>High School</v>
      </c>
      <c r="J2214" s="6" t="str">
        <f>IFERROR(__xludf.DUMMYFUNCTION("""COMPUTED_VALUE"""),"9")</f>
        <v>9</v>
      </c>
      <c r="K2214" s="6" t="str">
        <f>IFERROR(__xludf.DUMMYFUNCTION("""COMPUTED_VALUE"""),"jose.salinas@2hourlearning.com")</f>
        <v>jose.salinas@2hourlearning.com</v>
      </c>
      <c r="L2214" s="6" t="str">
        <f>IFERROR(__xludf.DUMMYFUNCTION("""COMPUTED_VALUE"""),"Vita High School")</f>
        <v>Vita High School</v>
      </c>
      <c r="M2214" s="6" t="str">
        <f>IFERROR(__xludf.DUMMYFUNCTION("""COMPUTED_VALUE"""),"")</f>
        <v/>
      </c>
      <c r="N2214" s="6" t="str">
        <f>IFERROR(__xludf.DUMMYFUNCTION("""COMPUTED_VALUE"""),"")</f>
        <v/>
      </c>
      <c r="O2214" s="87" t="str">
        <f>IFERROR(__xludf.DUMMYFUNCTION("""COMPUTED_VALUE"""),"https://drive.google.com/drive/folders/10T2cTQHqEJZqE-st6uFKPoI?usp=share_link")</f>
        <v>https://drive.google.com/drive/folders/10T2cTQHqEJZqE-st6uFKPoI?usp=share_link</v>
      </c>
      <c r="P2214" s="6" t="str">
        <f>IFERROR(__xludf.DUMMYFUNCTION("""COMPUTED_VALUE"""),"Jose Salinas")</f>
        <v>Jose Salinas</v>
      </c>
      <c r="Q2214" s="6" t="str">
        <f>IFERROR(__xludf.DUMMYFUNCTION("""COMPUTED_VALUE"""),"HS")</f>
        <v>HS</v>
      </c>
      <c r="R2214" s="6">
        <f>IFERROR(__xludf.DUMMYFUNCTION("""COMPUTED_VALUE"""),0.0)</f>
        <v>0</v>
      </c>
      <c r="S2214" s="6" t="str">
        <f>IFERROR(__xludf.DUMMYFUNCTION("""COMPUTED_VALUE"""),"Alicia Westcot")</f>
        <v>Alicia Westcot</v>
      </c>
      <c r="T2214" s="6" t="str">
        <f>IFERROR(__xludf.DUMMYFUNCTION("""COMPUTED_VALUE"""),"alicia.westcot@studient.com")</f>
        <v>alicia.westcot@studient.com</v>
      </c>
      <c r="U2214" s="6" t="str">
        <f>IFERROR(__xludf.DUMMYFUNCTION("""COMPUTED_VALUE"""),"9")</f>
        <v>9</v>
      </c>
      <c r="V2214" s="6" t="str">
        <f>IFERROR(__xludf.DUMMYFUNCTION("""COMPUTED_VALUE"""),"")</f>
        <v/>
      </c>
      <c r="W2214" s="6" t="str">
        <f>IFERROR(__xludf.DUMMYFUNCTION("""COMPUTED_VALUE"""),"[]")</f>
        <v>[]</v>
      </c>
      <c r="X2214" s="6" t="str">
        <f>IFERROR(__xludf.DUMMYFUNCTION("""COMPUTED_VALUE"""),"Enrolled")</f>
        <v>Enrolled</v>
      </c>
    </row>
    <row r="2215">
      <c r="A2215" s="6" t="str">
        <f>IFERROR(__xludf.DUMMYFUNCTION("""COMPUTED_VALUE"""),"033-5559")</f>
        <v>033-5559</v>
      </c>
      <c r="B2215" s="6" t="str">
        <f>IFERROR(__xludf.DUMMYFUNCTION("""COMPUTED_VALUE"""),"33")</f>
        <v>33</v>
      </c>
      <c r="C2215" s="6" t="str">
        <f>IFERROR(__xludf.DUMMYFUNCTION("""COMPUTED_VALUE"""),"5559")</f>
        <v>5559</v>
      </c>
      <c r="D2215" s="6" t="str">
        <f>IFERROR(__xludf.DUMMYFUNCTION("""COMPUTED_VALUE"""),"Josephine")</f>
        <v>Josephine</v>
      </c>
      <c r="E2215" s="6" t="str">
        <f>IFERROR(__xludf.DUMMYFUNCTION("""COMPUTED_VALUE"""),"")</f>
        <v/>
      </c>
      <c r="F2215" s="6" t="str">
        <f>IFERROR(__xludf.DUMMYFUNCTION("""COMPUTED_VALUE"""),"Nurse")</f>
        <v>Nurse</v>
      </c>
      <c r="G2215" s="6" t="str">
        <f>IFERROR(__xludf.DUMMYFUNCTION("""COMPUTED_VALUE"""),"06/14/2011")</f>
        <v>06/14/2011</v>
      </c>
      <c r="H2215" s="6" t="str">
        <f>IFERROR(__xludf.DUMMYFUNCTION("""COMPUTED_VALUE"""),"Self Identify")</f>
        <v>Self Identify</v>
      </c>
      <c r="I2215" s="6" t="str">
        <f>IFERROR(__xludf.DUMMYFUNCTION("""COMPUTED_VALUE"""),"High School")</f>
        <v>High School</v>
      </c>
      <c r="J2215" s="6" t="str">
        <f>IFERROR(__xludf.DUMMYFUNCTION("""COMPUTED_VALUE"""),"9")</f>
        <v>9</v>
      </c>
      <c r="K2215" s="6" t="str">
        <f>IFERROR(__xludf.DUMMYFUNCTION("""COMPUTED_VALUE"""),"josephine.nurse@2hourlearning.com")</f>
        <v>josephine.nurse@2hourlearning.com</v>
      </c>
      <c r="L2215" s="6" t="str">
        <f>IFERROR(__xludf.DUMMYFUNCTION("""COMPUTED_VALUE"""),"Vita High School")</f>
        <v>Vita High School</v>
      </c>
      <c r="M2215" s="6" t="str">
        <f>IFERROR(__xludf.DUMMYFUNCTION("""COMPUTED_VALUE"""),"")</f>
        <v/>
      </c>
      <c r="N2215" s="6" t="str">
        <f>IFERROR(__xludf.DUMMYFUNCTION("""COMPUTED_VALUE"""),"")</f>
        <v/>
      </c>
      <c r="O2215" s="87" t="str">
        <f>IFERROR(__xludf.DUMMYFUNCTION("""COMPUTED_VALUE"""),"https://drive.google.com/drive/folders/10T2cTQHqEJZqE-st6uFKPoI?usp=share_link")</f>
        <v>https://drive.google.com/drive/folders/10T2cTQHqEJZqE-st6uFKPoI?usp=share_link</v>
      </c>
      <c r="P2215" s="6" t="str">
        <f>IFERROR(__xludf.DUMMYFUNCTION("""COMPUTED_VALUE"""),"Josephine Nurse")</f>
        <v>Josephine Nurse</v>
      </c>
      <c r="Q2215" s="6" t="str">
        <f>IFERROR(__xludf.DUMMYFUNCTION("""COMPUTED_VALUE"""),"HS")</f>
        <v>HS</v>
      </c>
      <c r="R2215" s="6">
        <f>IFERROR(__xludf.DUMMYFUNCTION("""COMPUTED_VALUE"""),0.0)</f>
        <v>0</v>
      </c>
      <c r="S2215" s="6" t="str">
        <f>IFERROR(__xludf.DUMMYFUNCTION("""COMPUTED_VALUE"""),"Alicia Westcot")</f>
        <v>Alicia Westcot</v>
      </c>
      <c r="T2215" s="6" t="str">
        <f>IFERROR(__xludf.DUMMYFUNCTION("""COMPUTED_VALUE"""),"alicia.westcot@studient.com")</f>
        <v>alicia.westcot@studient.com</v>
      </c>
      <c r="U2215" s="6" t="str">
        <f>IFERROR(__xludf.DUMMYFUNCTION("""COMPUTED_VALUE"""),"9")</f>
        <v>9</v>
      </c>
      <c r="V2215" s="6" t="str">
        <f>IFERROR(__xludf.DUMMYFUNCTION("""COMPUTED_VALUE"""),"")</f>
        <v/>
      </c>
      <c r="W2215" s="6" t="str">
        <f>IFERROR(__xludf.DUMMYFUNCTION("""COMPUTED_VALUE"""),"[]")</f>
        <v>[]</v>
      </c>
      <c r="X2215" s="6" t="str">
        <f>IFERROR(__xludf.DUMMYFUNCTION("""COMPUTED_VALUE"""),"Enrolled")</f>
        <v>Enrolled</v>
      </c>
    </row>
    <row r="2216">
      <c r="A2216" s="6" t="str">
        <f>IFERROR(__xludf.DUMMYFUNCTION("""COMPUTED_VALUE"""),"033-5560")</f>
        <v>033-5560</v>
      </c>
      <c r="B2216" s="6" t="str">
        <f>IFERROR(__xludf.DUMMYFUNCTION("""COMPUTED_VALUE"""),"33")</f>
        <v>33</v>
      </c>
      <c r="C2216" s="6" t="str">
        <f>IFERROR(__xludf.DUMMYFUNCTION("""COMPUTED_VALUE"""),"5560")</f>
        <v>5560</v>
      </c>
      <c r="D2216" s="6" t="str">
        <f>IFERROR(__xludf.DUMMYFUNCTION("""COMPUTED_VALUE"""),"Linnea")</f>
        <v>Linnea</v>
      </c>
      <c r="E2216" s="6" t="str">
        <f>IFERROR(__xludf.DUMMYFUNCTION("""COMPUTED_VALUE"""),"")</f>
        <v/>
      </c>
      <c r="F2216" s="6" t="str">
        <f>IFERROR(__xludf.DUMMYFUNCTION("""COMPUTED_VALUE"""),"Shelton Smith")</f>
        <v>Shelton Smith</v>
      </c>
      <c r="G2216" s="6" t="str">
        <f>IFERROR(__xludf.DUMMYFUNCTION("""COMPUTED_VALUE"""),"04/02/2008")</f>
        <v>04/02/2008</v>
      </c>
      <c r="H2216" s="6" t="str">
        <f>IFERROR(__xludf.DUMMYFUNCTION("""COMPUTED_VALUE"""),"Self Identify")</f>
        <v>Self Identify</v>
      </c>
      <c r="I2216" s="6" t="str">
        <f>IFERROR(__xludf.DUMMYFUNCTION("""COMPUTED_VALUE"""),"High School")</f>
        <v>High School</v>
      </c>
      <c r="J2216" s="6" t="str">
        <f>IFERROR(__xludf.DUMMYFUNCTION("""COMPUTED_VALUE"""),"12")</f>
        <v>12</v>
      </c>
      <c r="K2216" s="6" t="str">
        <f>IFERROR(__xludf.DUMMYFUNCTION("""COMPUTED_VALUE"""),"linnea.sheltonsmith@2hourlearning.com")</f>
        <v>linnea.sheltonsmith@2hourlearning.com</v>
      </c>
      <c r="L2216" s="6" t="str">
        <f>IFERROR(__xludf.DUMMYFUNCTION("""COMPUTED_VALUE"""),"Vita High School")</f>
        <v>Vita High School</v>
      </c>
      <c r="M2216" s="6" t="str">
        <f>IFERROR(__xludf.DUMMYFUNCTION("""COMPUTED_VALUE"""),"")</f>
        <v/>
      </c>
      <c r="N2216" s="6" t="str">
        <f>IFERROR(__xludf.DUMMYFUNCTION("""COMPUTED_VALUE"""),"")</f>
        <v/>
      </c>
      <c r="O2216" s="87" t="str">
        <f>IFERROR(__xludf.DUMMYFUNCTION("""COMPUTED_VALUE"""),"https://drive.google.com/drive/folders/10T2cTQHqEJZqE-st6uFKPoI?usp=share_link")</f>
        <v>https://drive.google.com/drive/folders/10T2cTQHqEJZqE-st6uFKPoI?usp=share_link</v>
      </c>
      <c r="P2216" s="6" t="str">
        <f>IFERROR(__xludf.DUMMYFUNCTION("""COMPUTED_VALUE"""),"Linnea Shelton Smith")</f>
        <v>Linnea Shelton Smith</v>
      </c>
      <c r="Q2216" s="6" t="str">
        <f>IFERROR(__xludf.DUMMYFUNCTION("""COMPUTED_VALUE"""),"HS")</f>
        <v>HS</v>
      </c>
      <c r="R2216" s="6">
        <f>IFERROR(__xludf.DUMMYFUNCTION("""COMPUTED_VALUE"""),0.0)</f>
        <v>0</v>
      </c>
      <c r="S2216" s="6" t="str">
        <f>IFERROR(__xludf.DUMMYFUNCTION("""COMPUTED_VALUE"""),"Alicia Westcot")</f>
        <v>Alicia Westcot</v>
      </c>
      <c r="T2216" s="6" t="str">
        <f>IFERROR(__xludf.DUMMYFUNCTION("""COMPUTED_VALUE"""),"alicia.westcot@studient.com")</f>
        <v>alicia.westcot@studient.com</v>
      </c>
      <c r="U2216" s="6" t="str">
        <f>IFERROR(__xludf.DUMMYFUNCTION("""COMPUTED_VALUE"""),"12")</f>
        <v>12</v>
      </c>
      <c r="V2216" s="6" t="str">
        <f>IFERROR(__xludf.DUMMYFUNCTION("""COMPUTED_VALUE"""),"")</f>
        <v/>
      </c>
      <c r="W2216" s="6" t="str">
        <f>IFERROR(__xludf.DUMMYFUNCTION("""COMPUTED_VALUE"""),"[]")</f>
        <v>[]</v>
      </c>
      <c r="X2216" s="6" t="str">
        <f>IFERROR(__xludf.DUMMYFUNCTION("""COMPUTED_VALUE"""),"Enrolled")</f>
        <v>Enrolled</v>
      </c>
    </row>
    <row r="2217">
      <c r="A2217" s="6" t="str">
        <f>IFERROR(__xludf.DUMMYFUNCTION("""COMPUTED_VALUE"""),"033-5561")</f>
        <v>033-5561</v>
      </c>
      <c r="B2217" s="6" t="str">
        <f>IFERROR(__xludf.DUMMYFUNCTION("""COMPUTED_VALUE"""),"33")</f>
        <v>33</v>
      </c>
      <c r="C2217" s="6" t="str">
        <f>IFERROR(__xludf.DUMMYFUNCTION("""COMPUTED_VALUE"""),"5561")</f>
        <v>5561</v>
      </c>
      <c r="D2217" s="6" t="str">
        <f>IFERROR(__xludf.DUMMYFUNCTION("""COMPUTED_VALUE"""),"Zane")</f>
        <v>Zane</v>
      </c>
      <c r="E2217" s="6" t="str">
        <f>IFERROR(__xludf.DUMMYFUNCTION("""COMPUTED_VALUE"""),"")</f>
        <v/>
      </c>
      <c r="F2217" s="6" t="str">
        <f>IFERROR(__xludf.DUMMYFUNCTION("""COMPUTED_VALUE"""),"Skilnyk")</f>
        <v>Skilnyk</v>
      </c>
      <c r="G2217" s="6" t="str">
        <f>IFERROR(__xludf.DUMMYFUNCTION("""COMPUTED_VALUE"""),"08/28/2009")</f>
        <v>08/28/2009</v>
      </c>
      <c r="H2217" s="6" t="str">
        <f>IFERROR(__xludf.DUMMYFUNCTION("""COMPUTED_VALUE"""),"Self Identify")</f>
        <v>Self Identify</v>
      </c>
      <c r="I2217" s="6" t="str">
        <f>IFERROR(__xludf.DUMMYFUNCTION("""COMPUTED_VALUE"""),"High School")</f>
        <v>High School</v>
      </c>
      <c r="J2217" s="6" t="str">
        <f>IFERROR(__xludf.DUMMYFUNCTION("""COMPUTED_VALUE"""),"9")</f>
        <v>9</v>
      </c>
      <c r="K2217" s="6" t="str">
        <f>IFERROR(__xludf.DUMMYFUNCTION("""COMPUTED_VALUE"""),"zane.skilnyk@2hourlearning.com")</f>
        <v>zane.skilnyk@2hourlearning.com</v>
      </c>
      <c r="L2217" s="6" t="str">
        <f>IFERROR(__xludf.DUMMYFUNCTION("""COMPUTED_VALUE"""),"Vita High School")</f>
        <v>Vita High School</v>
      </c>
      <c r="M2217" s="6" t="str">
        <f>IFERROR(__xludf.DUMMYFUNCTION("""COMPUTED_VALUE"""),"")</f>
        <v/>
      </c>
      <c r="N2217" s="6" t="str">
        <f>IFERROR(__xludf.DUMMYFUNCTION("""COMPUTED_VALUE"""),"")</f>
        <v/>
      </c>
      <c r="O2217" s="87" t="str">
        <f>IFERROR(__xludf.DUMMYFUNCTION("""COMPUTED_VALUE"""),"https://drive.google.com/drive/folders/10T2cTQHqEJZqE-st6uFKPoI?usp=share_link")</f>
        <v>https://drive.google.com/drive/folders/10T2cTQHqEJZqE-st6uFKPoI?usp=share_link</v>
      </c>
      <c r="P2217" s="6" t="str">
        <f>IFERROR(__xludf.DUMMYFUNCTION("""COMPUTED_VALUE"""),"Zane Skilnyk")</f>
        <v>Zane Skilnyk</v>
      </c>
      <c r="Q2217" s="6" t="str">
        <f>IFERROR(__xludf.DUMMYFUNCTION("""COMPUTED_VALUE"""),"HS")</f>
        <v>HS</v>
      </c>
      <c r="R2217" s="6">
        <f>IFERROR(__xludf.DUMMYFUNCTION("""COMPUTED_VALUE"""),0.0)</f>
        <v>0</v>
      </c>
      <c r="S2217" s="6" t="str">
        <f>IFERROR(__xludf.DUMMYFUNCTION("""COMPUTED_VALUE"""),"Alicia Westcot")</f>
        <v>Alicia Westcot</v>
      </c>
      <c r="T2217" s="6" t="str">
        <f>IFERROR(__xludf.DUMMYFUNCTION("""COMPUTED_VALUE"""),"alicia.westcot@studient.com")</f>
        <v>alicia.westcot@studient.com</v>
      </c>
      <c r="U2217" s="6" t="str">
        <f>IFERROR(__xludf.DUMMYFUNCTION("""COMPUTED_VALUE"""),"9")</f>
        <v>9</v>
      </c>
      <c r="V2217" s="6" t="str">
        <f>IFERROR(__xludf.DUMMYFUNCTION("""COMPUTED_VALUE"""),"")</f>
        <v/>
      </c>
      <c r="W2217" s="6" t="str">
        <f>IFERROR(__xludf.DUMMYFUNCTION("""COMPUTED_VALUE"""),"[]")</f>
        <v>[]</v>
      </c>
      <c r="X2217" s="6" t="str">
        <f>IFERROR(__xludf.DUMMYFUNCTION("""COMPUTED_VALUE"""),"Enrolled")</f>
        <v>Enrolled</v>
      </c>
    </row>
    <row r="2218">
      <c r="A2218" s="6" t="str">
        <f>IFERROR(__xludf.DUMMYFUNCTION("""COMPUTED_VALUE"""),"033-5562")</f>
        <v>033-5562</v>
      </c>
      <c r="B2218" s="6" t="str">
        <f>IFERROR(__xludf.DUMMYFUNCTION("""COMPUTED_VALUE"""),"33")</f>
        <v>33</v>
      </c>
      <c r="C2218" s="6" t="str">
        <f>IFERROR(__xludf.DUMMYFUNCTION("""COMPUTED_VALUE"""),"5562")</f>
        <v>5562</v>
      </c>
      <c r="D2218" s="6" t="str">
        <f>IFERROR(__xludf.DUMMYFUNCTION("""COMPUTED_VALUE"""),"Rashaud")</f>
        <v>Rashaud</v>
      </c>
      <c r="E2218" s="6" t="str">
        <f>IFERROR(__xludf.DUMMYFUNCTION("""COMPUTED_VALUE"""),"")</f>
        <v/>
      </c>
      <c r="F2218" s="6" t="str">
        <f>IFERROR(__xludf.DUMMYFUNCTION("""COMPUTED_VALUE"""),"Hollen")</f>
        <v>Hollen</v>
      </c>
      <c r="G2218" s="6" t="str">
        <f>IFERROR(__xludf.DUMMYFUNCTION("""COMPUTED_VALUE"""),"07/03/2008")</f>
        <v>07/03/2008</v>
      </c>
      <c r="H2218" s="6" t="str">
        <f>IFERROR(__xludf.DUMMYFUNCTION("""COMPUTED_VALUE"""),"Self Identify")</f>
        <v>Self Identify</v>
      </c>
      <c r="I2218" s="6" t="str">
        <f>IFERROR(__xludf.DUMMYFUNCTION("""COMPUTED_VALUE"""),"High School")</f>
        <v>High School</v>
      </c>
      <c r="J2218" s="6" t="str">
        <f>IFERROR(__xludf.DUMMYFUNCTION("""COMPUTED_VALUE"""),"10")</f>
        <v>10</v>
      </c>
      <c r="K2218" s="6" t="str">
        <f>IFERROR(__xludf.DUMMYFUNCTION("""COMPUTED_VALUE"""),"rashaud.hollen@2hourlearning.com")</f>
        <v>rashaud.hollen@2hourlearning.com</v>
      </c>
      <c r="L2218" s="6" t="str">
        <f>IFERROR(__xludf.DUMMYFUNCTION("""COMPUTED_VALUE"""),"Vita High School")</f>
        <v>Vita High School</v>
      </c>
      <c r="M2218" s="6" t="str">
        <f>IFERROR(__xludf.DUMMYFUNCTION("""COMPUTED_VALUE"""),"")</f>
        <v/>
      </c>
      <c r="N2218" s="6" t="str">
        <f>IFERROR(__xludf.DUMMYFUNCTION("""COMPUTED_VALUE"""),"")</f>
        <v/>
      </c>
      <c r="O2218" s="87" t="str">
        <f>IFERROR(__xludf.DUMMYFUNCTION("""COMPUTED_VALUE"""),"https://drive.google.com/drive/folders/10T2cTQHqEJZqE-st6uFKPoI?usp=share_link")</f>
        <v>https://drive.google.com/drive/folders/10T2cTQHqEJZqE-st6uFKPoI?usp=share_link</v>
      </c>
      <c r="P2218" s="6" t="str">
        <f>IFERROR(__xludf.DUMMYFUNCTION("""COMPUTED_VALUE"""),"Rashaud Hollen")</f>
        <v>Rashaud Hollen</v>
      </c>
      <c r="Q2218" s="6" t="str">
        <f>IFERROR(__xludf.DUMMYFUNCTION("""COMPUTED_VALUE"""),"HS")</f>
        <v>HS</v>
      </c>
      <c r="R2218" s="6">
        <f>IFERROR(__xludf.DUMMYFUNCTION("""COMPUTED_VALUE"""),0.0)</f>
        <v>0</v>
      </c>
      <c r="S2218" s="6" t="str">
        <f>IFERROR(__xludf.DUMMYFUNCTION("""COMPUTED_VALUE"""),"Alicia Westcot")</f>
        <v>Alicia Westcot</v>
      </c>
      <c r="T2218" s="6" t="str">
        <f>IFERROR(__xludf.DUMMYFUNCTION("""COMPUTED_VALUE"""),"alicia.westcot@studient.com")</f>
        <v>alicia.westcot@studient.com</v>
      </c>
      <c r="U2218" s="6" t="str">
        <f>IFERROR(__xludf.DUMMYFUNCTION("""COMPUTED_VALUE"""),"10")</f>
        <v>10</v>
      </c>
      <c r="V2218" s="6" t="str">
        <f>IFERROR(__xludf.DUMMYFUNCTION("""COMPUTED_VALUE"""),"")</f>
        <v/>
      </c>
      <c r="W2218" s="6" t="str">
        <f>IFERROR(__xludf.DUMMYFUNCTION("""COMPUTED_VALUE"""),"[]")</f>
        <v>[]</v>
      </c>
      <c r="X2218" s="6" t="str">
        <f>IFERROR(__xludf.DUMMYFUNCTION("""COMPUTED_VALUE"""),"Enrolled")</f>
        <v>Enrolled</v>
      </c>
    </row>
    <row r="2219">
      <c r="A2219" s="6" t="str">
        <f>IFERROR(__xludf.DUMMYFUNCTION("""COMPUTED_VALUE"""),"033-8879")</f>
        <v>033-8879</v>
      </c>
      <c r="B2219" s="6" t="str">
        <f>IFERROR(__xludf.DUMMYFUNCTION("""COMPUTED_VALUE"""),"33")</f>
        <v>33</v>
      </c>
      <c r="C2219" s="6" t="str">
        <f>IFERROR(__xludf.DUMMYFUNCTION("""COMPUTED_VALUE"""),"8879")</f>
        <v>8879</v>
      </c>
      <c r="D2219" s="6" t="str">
        <f>IFERROR(__xludf.DUMMYFUNCTION("""COMPUTED_VALUE"""),"Dauz")</f>
        <v>Dauz</v>
      </c>
      <c r="E2219" s="6" t="str">
        <f>IFERROR(__xludf.DUMMYFUNCTION("""COMPUTED_VALUE"""),"")</f>
        <v/>
      </c>
      <c r="F2219" s="6" t="str">
        <f>IFERROR(__xludf.DUMMYFUNCTION("""COMPUTED_VALUE"""),"Lee-Zablotny")</f>
        <v>Lee-Zablotny</v>
      </c>
      <c r="G2219" s="6" t="str">
        <f>IFERROR(__xludf.DUMMYFUNCTION("""COMPUTED_VALUE"""),"05/31/2009")</f>
        <v>05/31/2009</v>
      </c>
      <c r="H2219" s="6" t="str">
        <f>IFERROR(__xludf.DUMMYFUNCTION("""COMPUTED_VALUE"""),"Self Identify")</f>
        <v>Self Identify</v>
      </c>
      <c r="I2219" s="6" t="str">
        <f>IFERROR(__xludf.DUMMYFUNCTION("""COMPUTED_VALUE"""),"High School")</f>
        <v>High School</v>
      </c>
      <c r="J2219" s="6" t="str">
        <f>IFERROR(__xludf.DUMMYFUNCTION("""COMPUTED_VALUE"""),"10")</f>
        <v>10</v>
      </c>
      <c r="K2219" s="6" t="str">
        <f>IFERROR(__xludf.DUMMYFUNCTION("""COMPUTED_VALUE"""),"dauz.leezablotny@2hourlearning.com")</f>
        <v>dauz.leezablotny@2hourlearning.com</v>
      </c>
      <c r="L2219" s="6" t="str">
        <f>IFERROR(__xludf.DUMMYFUNCTION("""COMPUTED_VALUE"""),"Vita High School")</f>
        <v>Vita High School</v>
      </c>
      <c r="M2219" s="6" t="str">
        <f>IFERROR(__xludf.DUMMYFUNCTION("""COMPUTED_VALUE"""),"")</f>
        <v/>
      </c>
      <c r="N2219" s="6" t="str">
        <f>IFERROR(__xludf.DUMMYFUNCTION("""COMPUTED_VALUE"""),"")</f>
        <v/>
      </c>
      <c r="O2219" s="87" t="str">
        <f>IFERROR(__xludf.DUMMYFUNCTION("""COMPUTED_VALUE"""),"https://drive.google.com/drive/folders/10T2cTQHqEJZqE-st6uFKPoI?usp=share_link")</f>
        <v>https://drive.google.com/drive/folders/10T2cTQHqEJZqE-st6uFKPoI?usp=share_link</v>
      </c>
      <c r="P2219" s="6" t="str">
        <f>IFERROR(__xludf.DUMMYFUNCTION("""COMPUTED_VALUE"""),"Dauz Lee-Zablotny")</f>
        <v>Dauz Lee-Zablotny</v>
      </c>
      <c r="Q2219" s="6" t="str">
        <f>IFERROR(__xludf.DUMMYFUNCTION("""COMPUTED_VALUE"""),"HS")</f>
        <v>HS</v>
      </c>
      <c r="R2219" s="6">
        <f>IFERROR(__xludf.DUMMYFUNCTION("""COMPUTED_VALUE"""),0.0)</f>
        <v>0</v>
      </c>
      <c r="S2219" s="6" t="str">
        <f>IFERROR(__xludf.DUMMYFUNCTION("""COMPUTED_VALUE""")," ")</f>
        <v> </v>
      </c>
      <c r="T2219" s="6" t="str">
        <f>IFERROR(__xludf.DUMMYFUNCTION("""COMPUTED_VALUE"""),"")</f>
        <v/>
      </c>
      <c r="U2219" s="6" t="str">
        <f>IFERROR(__xludf.DUMMYFUNCTION("""COMPUTED_VALUE"""),"10")</f>
        <v>10</v>
      </c>
      <c r="V2219" s="6" t="str">
        <f>IFERROR(__xludf.DUMMYFUNCTION("""COMPUTED_VALUE"""),"")</f>
        <v/>
      </c>
      <c r="W2219" s="6" t="str">
        <f>IFERROR(__xludf.DUMMYFUNCTION("""COMPUTED_VALUE"""),"[]")</f>
        <v>[]</v>
      </c>
      <c r="X2219" s="6" t="str">
        <f>IFERROR(__xludf.DUMMYFUNCTION("""COMPUTED_VALUE"""),"Enrolled")</f>
        <v>Enrolled</v>
      </c>
    </row>
    <row r="2220">
      <c r="A2220" s="6" t="str">
        <f>IFERROR(__xludf.DUMMYFUNCTION("""COMPUTED_VALUE"""),"034-2849")</f>
        <v>034-2849</v>
      </c>
      <c r="B2220" s="6" t="str">
        <f>IFERROR(__xludf.DUMMYFUNCTION("""COMPUTED_VALUE"""),"34")</f>
        <v>34</v>
      </c>
      <c r="C2220" s="6" t="str">
        <f>IFERROR(__xludf.DUMMYFUNCTION("""COMPUTED_VALUE"""),"2849")</f>
        <v>2849</v>
      </c>
      <c r="D2220" s="6" t="str">
        <f>IFERROR(__xludf.DUMMYFUNCTION("""COMPUTED_VALUE"""),"Isaiah")</f>
        <v>Isaiah</v>
      </c>
      <c r="E2220" s="6" t="str">
        <f>IFERROR(__xludf.DUMMYFUNCTION("""COMPUTED_VALUE"""),"")</f>
        <v/>
      </c>
      <c r="F2220" s="6" t="str">
        <f>IFERROR(__xludf.DUMMYFUNCTION("""COMPUTED_VALUE"""),"Murray")</f>
        <v>Murray</v>
      </c>
      <c r="G2220" s="6" t="str">
        <f>IFERROR(__xludf.DUMMYFUNCTION("""COMPUTED_VALUE"""),"11/14/2010")</f>
        <v>11/14/2010</v>
      </c>
      <c r="H2220" s="6" t="str">
        <f>IFERROR(__xludf.DUMMYFUNCTION("""COMPUTED_VALUE"""),"Male")</f>
        <v>Male</v>
      </c>
      <c r="I2220" s="6" t="str">
        <f>IFERROR(__xludf.DUMMYFUNCTION("""COMPUTED_VALUE"""),"Middle School")</f>
        <v>Middle School</v>
      </c>
      <c r="J2220" s="6" t="str">
        <f>IFERROR(__xludf.DUMMYFUNCTION("""COMPUTED_VALUE"""),"8")</f>
        <v>8</v>
      </c>
      <c r="K2220" s="6" t="str">
        <f>IFERROR(__xludf.DUMMYFUNCTION("""COMPUTED_VALUE"""),"isaiah.murray@2hourlearning.com")</f>
        <v>isaiah.murray@2hourlearning.com</v>
      </c>
      <c r="L2220" s="6" t="str">
        <f>IFERROR(__xludf.DUMMYFUNCTION("""COMPUTED_VALUE"""),"Colearn Academy")</f>
        <v>Colearn Academy</v>
      </c>
      <c r="M2220" s="6" t="str">
        <f>IFERROR(__xludf.DUMMYFUNCTION("""COMPUTED_VALUE"""),"")</f>
        <v/>
      </c>
      <c r="N2220" s="6" t="str">
        <f>IFERROR(__xludf.DUMMYFUNCTION("""COMPUTED_VALUE"""),"")</f>
        <v/>
      </c>
      <c r="O2220" s="87" t="str">
        <f>IFERROR(__xludf.DUMMYFUNCTION("""COMPUTED_VALUE"""),"https://drive.google.com/drive/folders/10T2cTQHqEJZqE-st6uFKPoI?usp=share_link")</f>
        <v>https://drive.google.com/drive/folders/10T2cTQHqEJZqE-st6uFKPoI?usp=share_link</v>
      </c>
      <c r="P2220" s="6" t="str">
        <f>IFERROR(__xludf.DUMMYFUNCTION("""COMPUTED_VALUE"""),"Isaiah Murray")</f>
        <v>Isaiah Murray</v>
      </c>
      <c r="Q2220" s="6" t="str">
        <f>IFERROR(__xludf.DUMMYFUNCTION("""COMPUTED_VALUE"""),"MS")</f>
        <v>MS</v>
      </c>
      <c r="R2220" s="6">
        <f>IFERROR(__xludf.DUMMYFUNCTION("""COMPUTED_VALUE"""),0.0)</f>
        <v>0</v>
      </c>
      <c r="S2220" s="6" t="str">
        <f>IFERROR(__xludf.DUMMYFUNCTION("""COMPUTED_VALUE"""),"A. Robinson")</f>
        <v>A. Robinson</v>
      </c>
      <c r="T2220" s="6" t="str">
        <f>IFERROR(__xludf.DUMMYFUNCTION("""COMPUTED_VALUE"""),"arobinson@colearn.com")</f>
        <v>arobinson@colearn.com</v>
      </c>
      <c r="U2220" s="6" t="str">
        <f>IFERROR(__xludf.DUMMYFUNCTION("""COMPUTED_VALUE"""),"8")</f>
        <v>8</v>
      </c>
      <c r="V2220" s="6" t="str">
        <f>IFERROR(__xludf.DUMMYFUNCTION("""COMPUTED_VALUE"""),"English")</f>
        <v>English</v>
      </c>
      <c r="W2220" s="6" t="str">
        <f>IFERROR(__xludf.DUMMYFUNCTION("""COMPUTED_VALUE"""),"[]")</f>
        <v>[]</v>
      </c>
      <c r="X2220" s="6" t="str">
        <f>IFERROR(__xludf.DUMMYFUNCTION("""COMPUTED_VALUE"""),"Enrolled")</f>
        <v>Enrolled</v>
      </c>
    </row>
    <row r="2221">
      <c r="A2221" s="6" t="str">
        <f>IFERROR(__xludf.DUMMYFUNCTION("""COMPUTED_VALUE"""),"034-2850")</f>
        <v>034-2850</v>
      </c>
      <c r="B2221" s="6" t="str">
        <f>IFERROR(__xludf.DUMMYFUNCTION("""COMPUTED_VALUE"""),"34")</f>
        <v>34</v>
      </c>
      <c r="C2221" s="6" t="str">
        <f>IFERROR(__xludf.DUMMYFUNCTION("""COMPUTED_VALUE"""),"2850")</f>
        <v>2850</v>
      </c>
      <c r="D2221" s="6" t="str">
        <f>IFERROR(__xludf.DUMMYFUNCTION("""COMPUTED_VALUE"""),"Hunter")</f>
        <v>Hunter</v>
      </c>
      <c r="E2221" s="6" t="str">
        <f>IFERROR(__xludf.DUMMYFUNCTION("""COMPUTED_VALUE"""),"")</f>
        <v/>
      </c>
      <c r="F2221" s="6" t="str">
        <f>IFERROR(__xludf.DUMMYFUNCTION("""COMPUTED_VALUE"""),"Dastrup")</f>
        <v>Dastrup</v>
      </c>
      <c r="G2221" s="6" t="str">
        <f>IFERROR(__xludf.DUMMYFUNCTION("""COMPUTED_VALUE"""),"11/10/2015")</f>
        <v>11/10/2015</v>
      </c>
      <c r="H2221" s="6" t="str">
        <f>IFERROR(__xludf.DUMMYFUNCTION("""COMPUTED_VALUE"""),"Male")</f>
        <v>Male</v>
      </c>
      <c r="I2221" s="6" t="str">
        <f>IFERROR(__xludf.DUMMYFUNCTION("""COMPUTED_VALUE"""),"Level 2")</f>
        <v>Level 2</v>
      </c>
      <c r="J2221" s="6" t="str">
        <f>IFERROR(__xludf.DUMMYFUNCTION("""COMPUTED_VALUE"""),"4")</f>
        <v>4</v>
      </c>
      <c r="K2221" s="6" t="str">
        <f>IFERROR(__xludf.DUMMYFUNCTION("""COMPUTED_VALUE"""),"hunter.dastrup@2hourlearning.com")</f>
        <v>hunter.dastrup@2hourlearning.com</v>
      </c>
      <c r="L2221" s="6" t="str">
        <f>IFERROR(__xludf.DUMMYFUNCTION("""COMPUTED_VALUE"""),"Colearn Academy")</f>
        <v>Colearn Academy</v>
      </c>
      <c r="M2221" s="6" t="str">
        <f>IFERROR(__xludf.DUMMYFUNCTION("""COMPUTED_VALUE"""),"")</f>
        <v/>
      </c>
      <c r="N2221" s="6" t="str">
        <f>IFERROR(__xludf.DUMMYFUNCTION("""COMPUTED_VALUE"""),"")</f>
        <v/>
      </c>
      <c r="O2221" s="87" t="str">
        <f>IFERROR(__xludf.DUMMYFUNCTION("""COMPUTED_VALUE"""),"https://drive.google.com/drive/folders/10T2cTQHqEJZqE-st6uFKPoI?usp=share_link")</f>
        <v>https://drive.google.com/drive/folders/10T2cTQHqEJZqE-st6uFKPoI?usp=share_link</v>
      </c>
      <c r="P2221" s="6" t="str">
        <f>IFERROR(__xludf.DUMMYFUNCTION("""COMPUTED_VALUE"""),"Hunter Dastrup")</f>
        <v>Hunter Dastrup</v>
      </c>
      <c r="Q2221" s="6" t="str">
        <f>IFERROR(__xludf.DUMMYFUNCTION("""COMPUTED_VALUE"""),"L2")</f>
        <v>L2</v>
      </c>
      <c r="R2221" s="6">
        <f>IFERROR(__xludf.DUMMYFUNCTION("""COMPUTED_VALUE"""),2.0)</f>
        <v>2</v>
      </c>
      <c r="S2221" s="6" t="str">
        <f>IFERROR(__xludf.DUMMYFUNCTION("""COMPUTED_VALUE"""),"A. Robinson")</f>
        <v>A. Robinson</v>
      </c>
      <c r="T2221" s="6" t="str">
        <f>IFERROR(__xludf.DUMMYFUNCTION("""COMPUTED_VALUE"""),"arobinson@colearn.com")</f>
        <v>arobinson@colearn.com</v>
      </c>
      <c r="U2221" s="6" t="str">
        <f>IFERROR(__xludf.DUMMYFUNCTION("""COMPUTED_VALUE"""),"4")</f>
        <v>4</v>
      </c>
      <c r="V2221" s="6" t="str">
        <f>IFERROR(__xludf.DUMMYFUNCTION("""COMPUTED_VALUE"""),"English")</f>
        <v>English</v>
      </c>
      <c r="W2221" s="6" t="str">
        <f>IFERROR(__xludf.DUMMYFUNCTION("""COMPUTED_VALUE"""),"[]")</f>
        <v>[]</v>
      </c>
      <c r="X2221" s="6" t="str">
        <f>IFERROR(__xludf.DUMMYFUNCTION("""COMPUTED_VALUE"""),"Enrolled")</f>
        <v>Enrolled</v>
      </c>
    </row>
    <row r="2222">
      <c r="A2222" s="6" t="str">
        <f>IFERROR(__xludf.DUMMYFUNCTION("""COMPUTED_VALUE"""),"034-2851")</f>
        <v>034-2851</v>
      </c>
      <c r="B2222" s="6" t="str">
        <f>IFERROR(__xludf.DUMMYFUNCTION("""COMPUTED_VALUE"""),"34")</f>
        <v>34</v>
      </c>
      <c r="C2222" s="6" t="str">
        <f>IFERROR(__xludf.DUMMYFUNCTION("""COMPUTED_VALUE"""),"2851")</f>
        <v>2851</v>
      </c>
      <c r="D2222" s="6" t="str">
        <f>IFERROR(__xludf.DUMMYFUNCTION("""COMPUTED_VALUE"""),"Gabriella")</f>
        <v>Gabriella</v>
      </c>
      <c r="E2222" s="6" t="str">
        <f>IFERROR(__xludf.DUMMYFUNCTION("""COMPUTED_VALUE"""),"")</f>
        <v/>
      </c>
      <c r="F2222" s="6" t="str">
        <f>IFERROR(__xludf.DUMMYFUNCTION("""COMPUTED_VALUE"""),"Gonzalez")</f>
        <v>Gonzalez</v>
      </c>
      <c r="G2222" s="6" t="str">
        <f>IFERROR(__xludf.DUMMYFUNCTION("""COMPUTED_VALUE"""),"01/12/2014")</f>
        <v>01/12/2014</v>
      </c>
      <c r="H2222" s="6" t="str">
        <f>IFERROR(__xludf.DUMMYFUNCTION("""COMPUTED_VALUE"""),"Female")</f>
        <v>Female</v>
      </c>
      <c r="I2222" s="6" t="str">
        <f>IFERROR(__xludf.DUMMYFUNCTION("""COMPUTED_VALUE"""),"Middle School")</f>
        <v>Middle School</v>
      </c>
      <c r="J2222" s="6" t="str">
        <f>IFERROR(__xludf.DUMMYFUNCTION("""COMPUTED_VALUE"""),"6")</f>
        <v>6</v>
      </c>
      <c r="K2222" s="6" t="str">
        <f>IFERROR(__xludf.DUMMYFUNCTION("""COMPUTED_VALUE"""),"gabriella.gonzalez@2hourlearning.com")</f>
        <v>gabriella.gonzalez@2hourlearning.com</v>
      </c>
      <c r="L2222" s="6" t="str">
        <f>IFERROR(__xludf.DUMMYFUNCTION("""COMPUTED_VALUE"""),"Colearn Academy")</f>
        <v>Colearn Academy</v>
      </c>
      <c r="M2222" s="6" t="str">
        <f>IFERROR(__xludf.DUMMYFUNCTION("""COMPUTED_VALUE"""),"")</f>
        <v/>
      </c>
      <c r="N2222" s="6" t="str">
        <f>IFERROR(__xludf.DUMMYFUNCTION("""COMPUTED_VALUE"""),"")</f>
        <v/>
      </c>
      <c r="O2222" s="87" t="str">
        <f>IFERROR(__xludf.DUMMYFUNCTION("""COMPUTED_VALUE"""),"https://drive.google.com/drive/folders/10T2cTQHqEJZqE-st6uFKPoI?usp=share_link")</f>
        <v>https://drive.google.com/drive/folders/10T2cTQHqEJZqE-st6uFKPoI?usp=share_link</v>
      </c>
      <c r="P2222" s="6" t="str">
        <f>IFERROR(__xludf.DUMMYFUNCTION("""COMPUTED_VALUE"""),"Gabriella Gonzalez")</f>
        <v>Gabriella Gonzalez</v>
      </c>
      <c r="Q2222" s="6" t="str">
        <f>IFERROR(__xludf.DUMMYFUNCTION("""COMPUTED_VALUE"""),"MS")</f>
        <v>MS</v>
      </c>
      <c r="R2222" s="6">
        <f>IFERROR(__xludf.DUMMYFUNCTION("""COMPUTED_VALUE"""),0.0)</f>
        <v>0</v>
      </c>
      <c r="S2222" s="6" t="str">
        <f>IFERROR(__xludf.DUMMYFUNCTION("""COMPUTED_VALUE"""),"A. Robinson")</f>
        <v>A. Robinson</v>
      </c>
      <c r="T2222" s="6" t="str">
        <f>IFERROR(__xludf.DUMMYFUNCTION("""COMPUTED_VALUE"""),"arobinson@colearn.com")</f>
        <v>arobinson@colearn.com</v>
      </c>
      <c r="U2222" s="6" t="str">
        <f>IFERROR(__xludf.DUMMYFUNCTION("""COMPUTED_VALUE"""),"6")</f>
        <v>6</v>
      </c>
      <c r="V2222" s="6" t="str">
        <f>IFERROR(__xludf.DUMMYFUNCTION("""COMPUTED_VALUE"""),"English")</f>
        <v>English</v>
      </c>
      <c r="W2222" s="6" t="str">
        <f>IFERROR(__xludf.DUMMYFUNCTION("""COMPUTED_VALUE"""),"[]")</f>
        <v>[]</v>
      </c>
      <c r="X2222" s="6" t="str">
        <f>IFERROR(__xludf.DUMMYFUNCTION("""COMPUTED_VALUE"""),"Enrolled")</f>
        <v>Enrolled</v>
      </c>
    </row>
    <row r="2223">
      <c r="A2223" s="6" t="str">
        <f>IFERROR(__xludf.DUMMYFUNCTION("""COMPUTED_VALUE"""),"034-2852")</f>
        <v>034-2852</v>
      </c>
      <c r="B2223" s="6" t="str">
        <f>IFERROR(__xludf.DUMMYFUNCTION("""COMPUTED_VALUE"""),"34")</f>
        <v>34</v>
      </c>
      <c r="C2223" s="6" t="str">
        <f>IFERROR(__xludf.DUMMYFUNCTION("""COMPUTED_VALUE"""),"2852")</f>
        <v>2852</v>
      </c>
      <c r="D2223" s="6" t="str">
        <f>IFERROR(__xludf.DUMMYFUNCTION("""COMPUTED_VALUE"""),"Dalton")</f>
        <v>Dalton</v>
      </c>
      <c r="E2223" s="6" t="str">
        <f>IFERROR(__xludf.DUMMYFUNCTION("""COMPUTED_VALUE"""),"")</f>
        <v/>
      </c>
      <c r="F2223" s="6" t="str">
        <f>IFERROR(__xludf.DUMMYFUNCTION("""COMPUTED_VALUE"""),"Robinson")</f>
        <v>Robinson</v>
      </c>
      <c r="G2223" s="6" t="str">
        <f>IFERROR(__xludf.DUMMYFUNCTION("""COMPUTED_VALUE"""),"03/30/2012")</f>
        <v>03/30/2012</v>
      </c>
      <c r="H2223" s="6" t="str">
        <f>IFERROR(__xludf.DUMMYFUNCTION("""COMPUTED_VALUE"""),"Male")</f>
        <v>Male</v>
      </c>
      <c r="I2223" s="6" t="str">
        <f>IFERROR(__xludf.DUMMYFUNCTION("""COMPUTED_VALUE"""),"Middle School")</f>
        <v>Middle School</v>
      </c>
      <c r="J2223" s="6" t="str">
        <f>IFERROR(__xludf.DUMMYFUNCTION("""COMPUTED_VALUE"""),"7")</f>
        <v>7</v>
      </c>
      <c r="K2223" s="6" t="str">
        <f>IFERROR(__xludf.DUMMYFUNCTION("""COMPUTED_VALUE"""),"dalton.robinson@2hourlearning.com")</f>
        <v>dalton.robinson@2hourlearning.com</v>
      </c>
      <c r="L2223" s="6" t="str">
        <f>IFERROR(__xludf.DUMMYFUNCTION("""COMPUTED_VALUE"""),"Colearn Academy")</f>
        <v>Colearn Academy</v>
      </c>
      <c r="M2223" s="6" t="str">
        <f>IFERROR(__xludf.DUMMYFUNCTION("""COMPUTED_VALUE"""),"")</f>
        <v/>
      </c>
      <c r="N2223" s="6" t="str">
        <f>IFERROR(__xludf.DUMMYFUNCTION("""COMPUTED_VALUE"""),"")</f>
        <v/>
      </c>
      <c r="O2223" s="87" t="str">
        <f>IFERROR(__xludf.DUMMYFUNCTION("""COMPUTED_VALUE"""),"https://drive.google.com/drive/folders/10T2cTQHqEJZqE-st6uFKPoI?usp=share_link")</f>
        <v>https://drive.google.com/drive/folders/10T2cTQHqEJZqE-st6uFKPoI?usp=share_link</v>
      </c>
      <c r="P2223" s="6" t="str">
        <f>IFERROR(__xludf.DUMMYFUNCTION("""COMPUTED_VALUE"""),"Dalton Robinson")</f>
        <v>Dalton Robinson</v>
      </c>
      <c r="Q2223" s="6" t="str">
        <f>IFERROR(__xludf.DUMMYFUNCTION("""COMPUTED_VALUE"""),"MS")</f>
        <v>MS</v>
      </c>
      <c r="R2223" s="6">
        <f>IFERROR(__xludf.DUMMYFUNCTION("""COMPUTED_VALUE"""),0.0)</f>
        <v>0</v>
      </c>
      <c r="S2223" s="6" t="str">
        <f>IFERROR(__xludf.DUMMYFUNCTION("""COMPUTED_VALUE"""),"A. Robinson")</f>
        <v>A. Robinson</v>
      </c>
      <c r="T2223" s="6" t="str">
        <f>IFERROR(__xludf.DUMMYFUNCTION("""COMPUTED_VALUE"""),"arobinson@colearn.com")</f>
        <v>arobinson@colearn.com</v>
      </c>
      <c r="U2223" s="6" t="str">
        <f>IFERROR(__xludf.DUMMYFUNCTION("""COMPUTED_VALUE"""),"7")</f>
        <v>7</v>
      </c>
      <c r="V2223" s="6" t="str">
        <f>IFERROR(__xludf.DUMMYFUNCTION("""COMPUTED_VALUE"""),"English")</f>
        <v>English</v>
      </c>
      <c r="W2223" s="6" t="str">
        <f>IFERROR(__xludf.DUMMYFUNCTION("""COMPUTED_VALUE"""),"[]")</f>
        <v>[]</v>
      </c>
      <c r="X2223" s="6" t="str">
        <f>IFERROR(__xludf.DUMMYFUNCTION("""COMPUTED_VALUE"""),"Enrolled")</f>
        <v>Enrolled</v>
      </c>
    </row>
    <row r="2224">
      <c r="A2224" s="6" t="str">
        <f>IFERROR(__xludf.DUMMYFUNCTION("""COMPUTED_VALUE"""),"034-2853")</f>
        <v>034-2853</v>
      </c>
      <c r="B2224" s="6" t="str">
        <f>IFERROR(__xludf.DUMMYFUNCTION("""COMPUTED_VALUE"""),"34")</f>
        <v>34</v>
      </c>
      <c r="C2224" s="6" t="str">
        <f>IFERROR(__xludf.DUMMYFUNCTION("""COMPUTED_VALUE"""),"2853")</f>
        <v>2853</v>
      </c>
      <c r="D2224" s="6" t="str">
        <f>IFERROR(__xludf.DUMMYFUNCTION("""COMPUTED_VALUE"""),"William")</f>
        <v>William</v>
      </c>
      <c r="E2224" s="6" t="str">
        <f>IFERROR(__xludf.DUMMYFUNCTION("""COMPUTED_VALUE"""),"")</f>
        <v/>
      </c>
      <c r="F2224" s="6" t="str">
        <f>IFERROR(__xludf.DUMMYFUNCTION("""COMPUTED_VALUE"""),"Case")</f>
        <v>Case</v>
      </c>
      <c r="G2224" s="6" t="str">
        <f>IFERROR(__xludf.DUMMYFUNCTION("""COMPUTED_VALUE"""),"05/29/2012")</f>
        <v>05/29/2012</v>
      </c>
      <c r="H2224" s="6" t="str">
        <f>IFERROR(__xludf.DUMMYFUNCTION("""COMPUTED_VALUE"""),"Male")</f>
        <v>Male</v>
      </c>
      <c r="I2224" s="6" t="str">
        <f>IFERROR(__xludf.DUMMYFUNCTION("""COMPUTED_VALUE"""),"Middle School")</f>
        <v>Middle School</v>
      </c>
      <c r="J2224" s="6" t="str">
        <f>IFERROR(__xludf.DUMMYFUNCTION("""COMPUTED_VALUE"""),"7")</f>
        <v>7</v>
      </c>
      <c r="K2224" s="6" t="str">
        <f>IFERROR(__xludf.DUMMYFUNCTION("""COMPUTED_VALUE"""),"william.case@2hourlearning.com")</f>
        <v>william.case@2hourlearning.com</v>
      </c>
      <c r="L2224" s="6" t="str">
        <f>IFERROR(__xludf.DUMMYFUNCTION("""COMPUTED_VALUE"""),"Colearn Academy")</f>
        <v>Colearn Academy</v>
      </c>
      <c r="M2224" s="6" t="str">
        <f>IFERROR(__xludf.DUMMYFUNCTION("""COMPUTED_VALUE"""),"")</f>
        <v/>
      </c>
      <c r="N2224" s="6" t="str">
        <f>IFERROR(__xludf.DUMMYFUNCTION("""COMPUTED_VALUE"""),"")</f>
        <v/>
      </c>
      <c r="O2224" s="87" t="str">
        <f>IFERROR(__xludf.DUMMYFUNCTION("""COMPUTED_VALUE"""),"https://drive.google.com/drive/folders/10T2cTQHqEJZqE-st6uFKPoI?usp=share_link")</f>
        <v>https://drive.google.com/drive/folders/10T2cTQHqEJZqE-st6uFKPoI?usp=share_link</v>
      </c>
      <c r="P2224" s="6" t="str">
        <f>IFERROR(__xludf.DUMMYFUNCTION("""COMPUTED_VALUE"""),"William Case")</f>
        <v>William Case</v>
      </c>
      <c r="Q2224" s="6" t="str">
        <f>IFERROR(__xludf.DUMMYFUNCTION("""COMPUTED_VALUE"""),"MS")</f>
        <v>MS</v>
      </c>
      <c r="R2224" s="6">
        <f>IFERROR(__xludf.DUMMYFUNCTION("""COMPUTED_VALUE"""),0.0)</f>
        <v>0</v>
      </c>
      <c r="S2224" s="6" t="str">
        <f>IFERROR(__xludf.DUMMYFUNCTION("""COMPUTED_VALUE"""),"A. Robinson")</f>
        <v>A. Robinson</v>
      </c>
      <c r="T2224" s="6" t="str">
        <f>IFERROR(__xludf.DUMMYFUNCTION("""COMPUTED_VALUE"""),"arobinson@colearn.com")</f>
        <v>arobinson@colearn.com</v>
      </c>
      <c r="U2224" s="6" t="str">
        <f>IFERROR(__xludf.DUMMYFUNCTION("""COMPUTED_VALUE"""),"7")</f>
        <v>7</v>
      </c>
      <c r="V2224" s="6" t="str">
        <f>IFERROR(__xludf.DUMMYFUNCTION("""COMPUTED_VALUE"""),"English")</f>
        <v>English</v>
      </c>
      <c r="W2224" s="6" t="str">
        <f>IFERROR(__xludf.DUMMYFUNCTION("""COMPUTED_VALUE"""),"[]")</f>
        <v>[]</v>
      </c>
      <c r="X2224" s="6" t="str">
        <f>IFERROR(__xludf.DUMMYFUNCTION("""COMPUTED_VALUE"""),"Enrolled")</f>
        <v>Enrolled</v>
      </c>
    </row>
    <row r="2225">
      <c r="A2225" s="6" t="str">
        <f>IFERROR(__xludf.DUMMYFUNCTION("""COMPUTED_VALUE"""),"034-2854")</f>
        <v>034-2854</v>
      </c>
      <c r="B2225" s="6" t="str">
        <f>IFERROR(__xludf.DUMMYFUNCTION("""COMPUTED_VALUE"""),"34")</f>
        <v>34</v>
      </c>
      <c r="C2225" s="6" t="str">
        <f>IFERROR(__xludf.DUMMYFUNCTION("""COMPUTED_VALUE"""),"2854")</f>
        <v>2854</v>
      </c>
      <c r="D2225" s="6" t="str">
        <f>IFERROR(__xludf.DUMMYFUNCTION("""COMPUTED_VALUE"""),"Samuel")</f>
        <v>Samuel</v>
      </c>
      <c r="E2225" s="6" t="str">
        <f>IFERROR(__xludf.DUMMYFUNCTION("""COMPUTED_VALUE"""),"")</f>
        <v/>
      </c>
      <c r="F2225" s="6" t="str">
        <f>IFERROR(__xludf.DUMMYFUNCTION("""COMPUTED_VALUE"""),"Case")</f>
        <v>Case</v>
      </c>
      <c r="G2225" s="6" t="str">
        <f>IFERROR(__xludf.DUMMYFUNCTION("""COMPUTED_VALUE"""),"12/03/2010")</f>
        <v>12/03/2010</v>
      </c>
      <c r="H2225" s="6" t="str">
        <f>IFERROR(__xludf.DUMMYFUNCTION("""COMPUTED_VALUE"""),"Male")</f>
        <v>Male</v>
      </c>
      <c r="I2225" s="6" t="str">
        <f>IFERROR(__xludf.DUMMYFUNCTION("""COMPUTED_VALUE"""),"Middle School")</f>
        <v>Middle School</v>
      </c>
      <c r="J2225" s="6" t="str">
        <f>IFERROR(__xludf.DUMMYFUNCTION("""COMPUTED_VALUE"""),"8")</f>
        <v>8</v>
      </c>
      <c r="K2225" s="6" t="str">
        <f>IFERROR(__xludf.DUMMYFUNCTION("""COMPUTED_VALUE"""),"samuel.case@2hourlearning.com")</f>
        <v>samuel.case@2hourlearning.com</v>
      </c>
      <c r="L2225" s="6" t="str">
        <f>IFERROR(__xludf.DUMMYFUNCTION("""COMPUTED_VALUE"""),"Colearn Academy")</f>
        <v>Colearn Academy</v>
      </c>
      <c r="M2225" s="6" t="str">
        <f>IFERROR(__xludf.DUMMYFUNCTION("""COMPUTED_VALUE"""),"")</f>
        <v/>
      </c>
      <c r="N2225" s="6" t="str">
        <f>IFERROR(__xludf.DUMMYFUNCTION("""COMPUTED_VALUE"""),"")</f>
        <v/>
      </c>
      <c r="O2225" s="87" t="str">
        <f>IFERROR(__xludf.DUMMYFUNCTION("""COMPUTED_VALUE"""),"https://drive.google.com/drive/folders/10T2cTQHqEJZqE-st6uFKPoI?usp=share_link")</f>
        <v>https://drive.google.com/drive/folders/10T2cTQHqEJZqE-st6uFKPoI?usp=share_link</v>
      </c>
      <c r="P2225" s="6" t="str">
        <f>IFERROR(__xludf.DUMMYFUNCTION("""COMPUTED_VALUE"""),"Samuel Case")</f>
        <v>Samuel Case</v>
      </c>
      <c r="Q2225" s="6" t="str">
        <f>IFERROR(__xludf.DUMMYFUNCTION("""COMPUTED_VALUE"""),"MS")</f>
        <v>MS</v>
      </c>
      <c r="R2225" s="6">
        <f>IFERROR(__xludf.DUMMYFUNCTION("""COMPUTED_VALUE"""),0.0)</f>
        <v>0</v>
      </c>
      <c r="S2225" s="6" t="str">
        <f>IFERROR(__xludf.DUMMYFUNCTION("""COMPUTED_VALUE"""),"A. Robinson")</f>
        <v>A. Robinson</v>
      </c>
      <c r="T2225" s="6" t="str">
        <f>IFERROR(__xludf.DUMMYFUNCTION("""COMPUTED_VALUE"""),"arobinson@colearn.com")</f>
        <v>arobinson@colearn.com</v>
      </c>
      <c r="U2225" s="6" t="str">
        <f>IFERROR(__xludf.DUMMYFUNCTION("""COMPUTED_VALUE"""),"8")</f>
        <v>8</v>
      </c>
      <c r="V2225" s="6" t="str">
        <f>IFERROR(__xludf.DUMMYFUNCTION("""COMPUTED_VALUE"""),"English")</f>
        <v>English</v>
      </c>
      <c r="W2225" s="6" t="str">
        <f>IFERROR(__xludf.DUMMYFUNCTION("""COMPUTED_VALUE"""),"[]")</f>
        <v>[]</v>
      </c>
      <c r="X2225" s="6" t="str">
        <f>IFERROR(__xludf.DUMMYFUNCTION("""COMPUTED_VALUE"""),"Enrolled")</f>
        <v>Enrolled</v>
      </c>
    </row>
    <row r="2226">
      <c r="A2226" s="6" t="str">
        <f>IFERROR(__xludf.DUMMYFUNCTION("""COMPUTED_VALUE"""),"034-2855")</f>
        <v>034-2855</v>
      </c>
      <c r="B2226" s="6" t="str">
        <f>IFERROR(__xludf.DUMMYFUNCTION("""COMPUTED_VALUE"""),"34")</f>
        <v>34</v>
      </c>
      <c r="C2226" s="6" t="str">
        <f>IFERROR(__xludf.DUMMYFUNCTION("""COMPUTED_VALUE"""),"2855")</f>
        <v>2855</v>
      </c>
      <c r="D2226" s="6" t="str">
        <f>IFERROR(__xludf.DUMMYFUNCTION("""COMPUTED_VALUE"""),"Will")</f>
        <v>Will</v>
      </c>
      <c r="E2226" s="6" t="str">
        <f>IFERROR(__xludf.DUMMYFUNCTION("""COMPUTED_VALUE"""),"")</f>
        <v/>
      </c>
      <c r="F2226" s="6" t="str">
        <f>IFERROR(__xludf.DUMMYFUNCTION("""COMPUTED_VALUE"""),"Robinson")</f>
        <v>Robinson</v>
      </c>
      <c r="G2226" s="6" t="str">
        <f>IFERROR(__xludf.DUMMYFUNCTION("""COMPUTED_VALUE"""),"03/26/2018")</f>
        <v>03/26/2018</v>
      </c>
      <c r="H2226" s="6" t="str">
        <f>IFERROR(__xludf.DUMMYFUNCTION("""COMPUTED_VALUE"""),"Male")</f>
        <v>Male</v>
      </c>
      <c r="I2226" s="6" t="str">
        <f>IFERROR(__xludf.DUMMYFUNCTION("""COMPUTED_VALUE"""),"Learning Lab")</f>
        <v>Learning Lab</v>
      </c>
      <c r="J2226" s="6" t="str">
        <f>IFERROR(__xludf.DUMMYFUNCTION("""COMPUTED_VALUE"""),"1")</f>
        <v>1</v>
      </c>
      <c r="K2226" s="6" t="str">
        <f>IFERROR(__xludf.DUMMYFUNCTION("""COMPUTED_VALUE"""),"will.robinson@2hourlearning.com")</f>
        <v>will.robinson@2hourlearning.com</v>
      </c>
      <c r="L2226" s="6" t="str">
        <f>IFERROR(__xludf.DUMMYFUNCTION("""COMPUTED_VALUE"""),"Colearn Academy")</f>
        <v>Colearn Academy</v>
      </c>
      <c r="M2226" s="6" t="str">
        <f>IFERROR(__xludf.DUMMYFUNCTION("""COMPUTED_VALUE"""),"")</f>
        <v/>
      </c>
      <c r="N2226" s="6" t="str">
        <f>IFERROR(__xludf.DUMMYFUNCTION("""COMPUTED_VALUE"""),"")</f>
        <v/>
      </c>
      <c r="O2226" s="87" t="str">
        <f>IFERROR(__xludf.DUMMYFUNCTION("""COMPUTED_VALUE"""),"https://drive.google.com/drive/folders/10T2cTQHqEJZqE-st6uFKPoI?usp=share_link")</f>
        <v>https://drive.google.com/drive/folders/10T2cTQHqEJZqE-st6uFKPoI?usp=share_link</v>
      </c>
      <c r="P2226" s="6" t="str">
        <f>IFERROR(__xludf.DUMMYFUNCTION("""COMPUTED_VALUE"""),"Will Robinson")</f>
        <v>Will Robinson</v>
      </c>
      <c r="Q2226" s="6" t="str">
        <f>IFERROR(__xludf.DUMMYFUNCTION("""COMPUTED_VALUE"""),"LL")</f>
        <v>LL</v>
      </c>
      <c r="R2226" s="6">
        <f>IFERROR(__xludf.DUMMYFUNCTION("""COMPUTED_VALUE"""),0.0)</f>
        <v>0</v>
      </c>
      <c r="S2226" s="6" t="str">
        <f>IFERROR(__xludf.DUMMYFUNCTION("""COMPUTED_VALUE"""),"A. Robinson")</f>
        <v>A. Robinson</v>
      </c>
      <c r="T2226" s="6" t="str">
        <f>IFERROR(__xludf.DUMMYFUNCTION("""COMPUTED_VALUE"""),"arobinson@colearn.com")</f>
        <v>arobinson@colearn.com</v>
      </c>
      <c r="U2226" s="6" t="str">
        <f>IFERROR(__xludf.DUMMYFUNCTION("""COMPUTED_VALUE"""),"1")</f>
        <v>1</v>
      </c>
      <c r="V2226" s="6" t="str">
        <f>IFERROR(__xludf.DUMMYFUNCTION("""COMPUTED_VALUE"""),"English")</f>
        <v>English</v>
      </c>
      <c r="W2226" s="6" t="str">
        <f>IFERROR(__xludf.DUMMYFUNCTION("""COMPUTED_VALUE"""),"[]")</f>
        <v>[]</v>
      </c>
      <c r="X2226" s="6" t="str">
        <f>IFERROR(__xludf.DUMMYFUNCTION("""COMPUTED_VALUE"""),"Enrolled")</f>
        <v>Enrolled</v>
      </c>
    </row>
    <row r="2227">
      <c r="A2227" s="6" t="str">
        <f>IFERROR(__xludf.DUMMYFUNCTION("""COMPUTED_VALUE"""),"034-2856")</f>
        <v>034-2856</v>
      </c>
      <c r="B2227" s="6" t="str">
        <f>IFERROR(__xludf.DUMMYFUNCTION("""COMPUTED_VALUE"""),"34")</f>
        <v>34</v>
      </c>
      <c r="C2227" s="6" t="str">
        <f>IFERROR(__xludf.DUMMYFUNCTION("""COMPUTED_VALUE"""),"2856")</f>
        <v>2856</v>
      </c>
      <c r="D2227" s="6" t="str">
        <f>IFERROR(__xludf.DUMMYFUNCTION("""COMPUTED_VALUE"""),"Lynnix")</f>
        <v>Lynnix</v>
      </c>
      <c r="E2227" s="6" t="str">
        <f>IFERROR(__xludf.DUMMYFUNCTION("""COMPUTED_VALUE"""),"")</f>
        <v/>
      </c>
      <c r="F2227" s="6" t="str">
        <f>IFERROR(__xludf.DUMMYFUNCTION("""COMPUTED_VALUE"""),"Russel")</f>
        <v>Russel</v>
      </c>
      <c r="G2227" s="6" t="str">
        <f>IFERROR(__xludf.DUMMYFUNCTION("""COMPUTED_VALUE"""),"03/28/2015")</f>
        <v>03/28/2015</v>
      </c>
      <c r="H2227" s="6" t="str">
        <f>IFERROR(__xludf.DUMMYFUNCTION("""COMPUTED_VALUE"""),"Female")</f>
        <v>Female</v>
      </c>
      <c r="I2227" s="6" t="str">
        <f>IFERROR(__xludf.DUMMYFUNCTION("""COMPUTED_VALUE"""),"Level 2")</f>
        <v>Level 2</v>
      </c>
      <c r="J2227" s="6" t="str">
        <f>IFERROR(__xludf.DUMMYFUNCTION("""COMPUTED_VALUE"""),"4")</f>
        <v>4</v>
      </c>
      <c r="K2227" s="6" t="str">
        <f>IFERROR(__xludf.DUMMYFUNCTION("""COMPUTED_VALUE"""),"lynnix.russel@2hourlearning.com")</f>
        <v>lynnix.russel@2hourlearning.com</v>
      </c>
      <c r="L2227" s="6" t="str">
        <f>IFERROR(__xludf.DUMMYFUNCTION("""COMPUTED_VALUE"""),"Colearn Academy")</f>
        <v>Colearn Academy</v>
      </c>
      <c r="M2227" s="6" t="str">
        <f>IFERROR(__xludf.DUMMYFUNCTION("""COMPUTED_VALUE"""),"")</f>
        <v/>
      </c>
      <c r="N2227" s="6" t="str">
        <f>IFERROR(__xludf.DUMMYFUNCTION("""COMPUTED_VALUE"""),"")</f>
        <v/>
      </c>
      <c r="O2227" s="87" t="str">
        <f>IFERROR(__xludf.DUMMYFUNCTION("""COMPUTED_VALUE"""),"https://drive.google.com/drive/folders/10T2cTQHqEJZqE-st6uFKPoI?usp=share_link")</f>
        <v>https://drive.google.com/drive/folders/10T2cTQHqEJZqE-st6uFKPoI?usp=share_link</v>
      </c>
      <c r="P2227" s="6" t="str">
        <f>IFERROR(__xludf.DUMMYFUNCTION("""COMPUTED_VALUE"""),"Lynnix Russel")</f>
        <v>Lynnix Russel</v>
      </c>
      <c r="Q2227" s="6" t="str">
        <f>IFERROR(__xludf.DUMMYFUNCTION("""COMPUTED_VALUE"""),"L2")</f>
        <v>L2</v>
      </c>
      <c r="R2227" s="6">
        <f>IFERROR(__xludf.DUMMYFUNCTION("""COMPUTED_VALUE"""),2.0)</f>
        <v>2</v>
      </c>
      <c r="S2227" s="6" t="str">
        <f>IFERROR(__xludf.DUMMYFUNCTION("""COMPUTED_VALUE"""),"A. Robinson")</f>
        <v>A. Robinson</v>
      </c>
      <c r="T2227" s="6" t="str">
        <f>IFERROR(__xludf.DUMMYFUNCTION("""COMPUTED_VALUE"""),"arobinson@colearn.com")</f>
        <v>arobinson@colearn.com</v>
      </c>
      <c r="U2227" s="6" t="str">
        <f>IFERROR(__xludf.DUMMYFUNCTION("""COMPUTED_VALUE"""),"4")</f>
        <v>4</v>
      </c>
      <c r="V2227" s="6" t="str">
        <f>IFERROR(__xludf.DUMMYFUNCTION("""COMPUTED_VALUE"""),"English")</f>
        <v>English</v>
      </c>
      <c r="W2227" s="6" t="str">
        <f>IFERROR(__xludf.DUMMYFUNCTION("""COMPUTED_VALUE"""),"[]")</f>
        <v>[]</v>
      </c>
      <c r="X2227" s="6" t="str">
        <f>IFERROR(__xludf.DUMMYFUNCTION("""COMPUTED_VALUE"""),"Enrolled")</f>
        <v>Enrolled</v>
      </c>
    </row>
    <row r="2228">
      <c r="A2228" s="6" t="str">
        <f>IFERROR(__xludf.DUMMYFUNCTION("""COMPUTED_VALUE"""),"034-2857")</f>
        <v>034-2857</v>
      </c>
      <c r="B2228" s="6" t="str">
        <f>IFERROR(__xludf.DUMMYFUNCTION("""COMPUTED_VALUE"""),"34")</f>
        <v>34</v>
      </c>
      <c r="C2228" s="6" t="str">
        <f>IFERROR(__xludf.DUMMYFUNCTION("""COMPUTED_VALUE"""),"2857")</f>
        <v>2857</v>
      </c>
      <c r="D2228" s="6" t="str">
        <f>IFERROR(__xludf.DUMMYFUNCTION("""COMPUTED_VALUE"""),"Reagan")</f>
        <v>Reagan</v>
      </c>
      <c r="E2228" s="6" t="str">
        <f>IFERROR(__xludf.DUMMYFUNCTION("""COMPUTED_VALUE"""),"")</f>
        <v/>
      </c>
      <c r="F2228" s="6" t="str">
        <f>IFERROR(__xludf.DUMMYFUNCTION("""COMPUTED_VALUE"""),"Galbreth")</f>
        <v>Galbreth</v>
      </c>
      <c r="G2228" s="6" t="str">
        <f>IFERROR(__xludf.DUMMYFUNCTION("""COMPUTED_VALUE"""),"05/20/2015")</f>
        <v>05/20/2015</v>
      </c>
      <c r="H2228" s="6" t="str">
        <f>IFERROR(__xludf.DUMMYFUNCTION("""COMPUTED_VALUE"""),"Female")</f>
        <v>Female</v>
      </c>
      <c r="I2228" s="6" t="str">
        <f>IFERROR(__xludf.DUMMYFUNCTION("""COMPUTED_VALUE"""),"Level 1")</f>
        <v>Level 1</v>
      </c>
      <c r="J2228" s="6" t="str">
        <f>IFERROR(__xludf.DUMMYFUNCTION("""COMPUTED_VALUE"""),"3")</f>
        <v>3</v>
      </c>
      <c r="K2228" s="6" t="str">
        <f>IFERROR(__xludf.DUMMYFUNCTION("""COMPUTED_VALUE"""),"reagan.galbreth@2hourlearning.com")</f>
        <v>reagan.galbreth@2hourlearning.com</v>
      </c>
      <c r="L2228" s="6" t="str">
        <f>IFERROR(__xludf.DUMMYFUNCTION("""COMPUTED_VALUE"""),"Colearn Academy")</f>
        <v>Colearn Academy</v>
      </c>
      <c r="M2228" s="6" t="str">
        <f>IFERROR(__xludf.DUMMYFUNCTION("""COMPUTED_VALUE"""),"")</f>
        <v/>
      </c>
      <c r="N2228" s="6" t="str">
        <f>IFERROR(__xludf.DUMMYFUNCTION("""COMPUTED_VALUE"""),"")</f>
        <v/>
      </c>
      <c r="O2228" s="87" t="str">
        <f>IFERROR(__xludf.DUMMYFUNCTION("""COMPUTED_VALUE"""),"https://drive.google.com/drive/folders/10T2cTQHqEJZqE-st6uFKPoI?usp=share_link")</f>
        <v>https://drive.google.com/drive/folders/10T2cTQHqEJZqE-st6uFKPoI?usp=share_link</v>
      </c>
      <c r="P2228" s="6" t="str">
        <f>IFERROR(__xludf.DUMMYFUNCTION("""COMPUTED_VALUE"""),"Reagan Galbreth")</f>
        <v>Reagan Galbreth</v>
      </c>
      <c r="Q2228" s="6" t="str">
        <f>IFERROR(__xludf.DUMMYFUNCTION("""COMPUTED_VALUE"""),"L1")</f>
        <v>L1</v>
      </c>
      <c r="R2228" s="6">
        <f>IFERROR(__xludf.DUMMYFUNCTION("""COMPUTED_VALUE"""),1.0)</f>
        <v>1</v>
      </c>
      <c r="S2228" s="6" t="str">
        <f>IFERROR(__xludf.DUMMYFUNCTION("""COMPUTED_VALUE"""),"A. Robinson")</f>
        <v>A. Robinson</v>
      </c>
      <c r="T2228" s="6" t="str">
        <f>IFERROR(__xludf.DUMMYFUNCTION("""COMPUTED_VALUE"""),"arobinson@colearn.com")</f>
        <v>arobinson@colearn.com</v>
      </c>
      <c r="U2228" s="6" t="str">
        <f>IFERROR(__xludf.DUMMYFUNCTION("""COMPUTED_VALUE"""),"3")</f>
        <v>3</v>
      </c>
      <c r="V2228" s="6" t="str">
        <f>IFERROR(__xludf.DUMMYFUNCTION("""COMPUTED_VALUE"""),"English")</f>
        <v>English</v>
      </c>
      <c r="W2228" s="6" t="str">
        <f>IFERROR(__xludf.DUMMYFUNCTION("""COMPUTED_VALUE"""),"[]")</f>
        <v>[]</v>
      </c>
      <c r="X2228" s="6" t="str">
        <f>IFERROR(__xludf.DUMMYFUNCTION("""COMPUTED_VALUE"""),"Enrolled")</f>
        <v>Enrolled</v>
      </c>
    </row>
    <row r="2229">
      <c r="A2229" s="6" t="str">
        <f>IFERROR(__xludf.DUMMYFUNCTION("""COMPUTED_VALUE"""),"034-2858")</f>
        <v>034-2858</v>
      </c>
      <c r="B2229" s="6" t="str">
        <f>IFERROR(__xludf.DUMMYFUNCTION("""COMPUTED_VALUE"""),"34")</f>
        <v>34</v>
      </c>
      <c r="C2229" s="6" t="str">
        <f>IFERROR(__xludf.DUMMYFUNCTION("""COMPUTED_VALUE"""),"2858")</f>
        <v>2858</v>
      </c>
      <c r="D2229" s="6" t="str">
        <f>IFERROR(__xludf.DUMMYFUNCTION("""COMPUTED_VALUE"""),"Monica")</f>
        <v>Monica</v>
      </c>
      <c r="E2229" s="6" t="str">
        <f>IFERROR(__xludf.DUMMYFUNCTION("""COMPUTED_VALUE"""),"")</f>
        <v/>
      </c>
      <c r="F2229" s="6" t="str">
        <f>IFERROR(__xludf.DUMMYFUNCTION("""COMPUTED_VALUE"""),"Langford-Sanchez")</f>
        <v>Langford-Sanchez</v>
      </c>
      <c r="G2229" s="6" t="str">
        <f>IFERROR(__xludf.DUMMYFUNCTION("""COMPUTED_VALUE"""),"10/05/2015")</f>
        <v>10/05/2015</v>
      </c>
      <c r="H2229" s="6" t="str">
        <f>IFERROR(__xludf.DUMMYFUNCTION("""COMPUTED_VALUE"""),"Female")</f>
        <v>Female</v>
      </c>
      <c r="I2229" s="6" t="str">
        <f>IFERROR(__xludf.DUMMYFUNCTION("""COMPUTED_VALUE"""),"Level 2")</f>
        <v>Level 2</v>
      </c>
      <c r="J2229" s="6" t="str">
        <f>IFERROR(__xludf.DUMMYFUNCTION("""COMPUTED_VALUE"""),"4")</f>
        <v>4</v>
      </c>
      <c r="K2229" s="6" t="str">
        <f>IFERROR(__xludf.DUMMYFUNCTION("""COMPUTED_VALUE"""),"monica.langford-sanchez@2hourlearning.com")</f>
        <v>monica.langford-sanchez@2hourlearning.com</v>
      </c>
      <c r="L2229" s="6" t="str">
        <f>IFERROR(__xludf.DUMMYFUNCTION("""COMPUTED_VALUE"""),"Colearn Academy")</f>
        <v>Colearn Academy</v>
      </c>
      <c r="M2229" s="6" t="str">
        <f>IFERROR(__xludf.DUMMYFUNCTION("""COMPUTED_VALUE"""),"")</f>
        <v/>
      </c>
      <c r="N2229" s="6" t="str">
        <f>IFERROR(__xludf.DUMMYFUNCTION("""COMPUTED_VALUE"""),"")</f>
        <v/>
      </c>
      <c r="O2229" s="87" t="str">
        <f>IFERROR(__xludf.DUMMYFUNCTION("""COMPUTED_VALUE"""),"https://drive.google.com/drive/folders/10T2cTQHqEJZqE-st6uFKPoI?usp=share_link")</f>
        <v>https://drive.google.com/drive/folders/10T2cTQHqEJZqE-st6uFKPoI?usp=share_link</v>
      </c>
      <c r="P2229" s="6" t="str">
        <f>IFERROR(__xludf.DUMMYFUNCTION("""COMPUTED_VALUE"""),"Monica Langford-Sanchez")</f>
        <v>Monica Langford-Sanchez</v>
      </c>
      <c r="Q2229" s="6" t="str">
        <f>IFERROR(__xludf.DUMMYFUNCTION("""COMPUTED_VALUE"""),"L2")</f>
        <v>L2</v>
      </c>
      <c r="R2229" s="6">
        <f>IFERROR(__xludf.DUMMYFUNCTION("""COMPUTED_VALUE"""),2.0)</f>
        <v>2</v>
      </c>
      <c r="S2229" s="6" t="str">
        <f>IFERROR(__xludf.DUMMYFUNCTION("""COMPUTED_VALUE"""),"A. Robinson")</f>
        <v>A. Robinson</v>
      </c>
      <c r="T2229" s="6" t="str">
        <f>IFERROR(__xludf.DUMMYFUNCTION("""COMPUTED_VALUE"""),"arobinson@colearn.com")</f>
        <v>arobinson@colearn.com</v>
      </c>
      <c r="U2229" s="6" t="str">
        <f>IFERROR(__xludf.DUMMYFUNCTION("""COMPUTED_VALUE"""),"4")</f>
        <v>4</v>
      </c>
      <c r="V2229" s="6" t="str">
        <f>IFERROR(__xludf.DUMMYFUNCTION("""COMPUTED_VALUE"""),"English")</f>
        <v>English</v>
      </c>
      <c r="W2229" s="6" t="str">
        <f>IFERROR(__xludf.DUMMYFUNCTION("""COMPUTED_VALUE"""),"[]")</f>
        <v>[]</v>
      </c>
      <c r="X2229" s="6" t="str">
        <f>IFERROR(__xludf.DUMMYFUNCTION("""COMPUTED_VALUE"""),"Enrolled")</f>
        <v>Enrolled</v>
      </c>
    </row>
    <row r="2230">
      <c r="A2230" s="6" t="str">
        <f>IFERROR(__xludf.DUMMYFUNCTION("""COMPUTED_VALUE"""),"034-2859")</f>
        <v>034-2859</v>
      </c>
      <c r="B2230" s="6" t="str">
        <f>IFERROR(__xludf.DUMMYFUNCTION("""COMPUTED_VALUE"""),"34")</f>
        <v>34</v>
      </c>
      <c r="C2230" s="6" t="str">
        <f>IFERROR(__xludf.DUMMYFUNCTION("""COMPUTED_VALUE"""),"2859")</f>
        <v>2859</v>
      </c>
      <c r="D2230" s="6" t="str">
        <f>IFERROR(__xludf.DUMMYFUNCTION("""COMPUTED_VALUE"""),"Ivan")</f>
        <v>Ivan</v>
      </c>
      <c r="E2230" s="6" t="str">
        <f>IFERROR(__xludf.DUMMYFUNCTION("""COMPUTED_VALUE"""),"")</f>
        <v/>
      </c>
      <c r="F2230" s="6" t="str">
        <f>IFERROR(__xludf.DUMMYFUNCTION("""COMPUTED_VALUE"""),"Langford-Sanchez")</f>
        <v>Langford-Sanchez</v>
      </c>
      <c r="G2230" s="6" t="str">
        <f>IFERROR(__xludf.DUMMYFUNCTION("""COMPUTED_VALUE"""),"08/23/2013")</f>
        <v>08/23/2013</v>
      </c>
      <c r="H2230" s="6" t="str">
        <f>IFERROR(__xludf.DUMMYFUNCTION("""COMPUTED_VALUE"""),"Male")</f>
        <v>Male</v>
      </c>
      <c r="I2230" s="6" t="str">
        <f>IFERROR(__xludf.DUMMYFUNCTION("""COMPUTED_VALUE"""),"Middle School")</f>
        <v>Middle School</v>
      </c>
      <c r="J2230" s="6" t="str">
        <f>IFERROR(__xludf.DUMMYFUNCTION("""COMPUTED_VALUE"""),"6")</f>
        <v>6</v>
      </c>
      <c r="K2230" s="6" t="str">
        <f>IFERROR(__xludf.DUMMYFUNCTION("""COMPUTED_VALUE"""),"ivan.langford-sanchez@2hourlearning.com")</f>
        <v>ivan.langford-sanchez@2hourlearning.com</v>
      </c>
      <c r="L2230" s="6" t="str">
        <f>IFERROR(__xludf.DUMMYFUNCTION("""COMPUTED_VALUE"""),"Colearn Academy")</f>
        <v>Colearn Academy</v>
      </c>
      <c r="M2230" s="6" t="str">
        <f>IFERROR(__xludf.DUMMYFUNCTION("""COMPUTED_VALUE"""),"")</f>
        <v/>
      </c>
      <c r="N2230" s="6" t="str">
        <f>IFERROR(__xludf.DUMMYFUNCTION("""COMPUTED_VALUE"""),"")</f>
        <v/>
      </c>
      <c r="O2230" s="87" t="str">
        <f>IFERROR(__xludf.DUMMYFUNCTION("""COMPUTED_VALUE"""),"https://drive.google.com/drive/folders/10T2cTQHqEJZqE-st6uFKPoI?usp=share_link")</f>
        <v>https://drive.google.com/drive/folders/10T2cTQHqEJZqE-st6uFKPoI?usp=share_link</v>
      </c>
      <c r="P2230" s="6" t="str">
        <f>IFERROR(__xludf.DUMMYFUNCTION("""COMPUTED_VALUE"""),"Ivan Langford-Sanchez")</f>
        <v>Ivan Langford-Sanchez</v>
      </c>
      <c r="Q2230" s="6" t="str">
        <f>IFERROR(__xludf.DUMMYFUNCTION("""COMPUTED_VALUE"""),"MS")</f>
        <v>MS</v>
      </c>
      <c r="R2230" s="6">
        <f>IFERROR(__xludf.DUMMYFUNCTION("""COMPUTED_VALUE"""),0.0)</f>
        <v>0</v>
      </c>
      <c r="S2230" s="6" t="str">
        <f>IFERROR(__xludf.DUMMYFUNCTION("""COMPUTED_VALUE"""),"A. Robinson")</f>
        <v>A. Robinson</v>
      </c>
      <c r="T2230" s="6" t="str">
        <f>IFERROR(__xludf.DUMMYFUNCTION("""COMPUTED_VALUE"""),"arobinson@colearn.com")</f>
        <v>arobinson@colearn.com</v>
      </c>
      <c r="U2230" s="6" t="str">
        <f>IFERROR(__xludf.DUMMYFUNCTION("""COMPUTED_VALUE"""),"6")</f>
        <v>6</v>
      </c>
      <c r="V2230" s="6" t="str">
        <f>IFERROR(__xludf.DUMMYFUNCTION("""COMPUTED_VALUE"""),"English")</f>
        <v>English</v>
      </c>
      <c r="W2230" s="6" t="str">
        <f>IFERROR(__xludf.DUMMYFUNCTION("""COMPUTED_VALUE"""),"[]")</f>
        <v>[]</v>
      </c>
      <c r="X2230" s="6" t="str">
        <f>IFERROR(__xludf.DUMMYFUNCTION("""COMPUTED_VALUE"""),"Enrolled")</f>
        <v>Enrolled</v>
      </c>
    </row>
    <row r="2231">
      <c r="A2231" s="6" t="str">
        <f>IFERROR(__xludf.DUMMYFUNCTION("""COMPUTED_VALUE"""),"034-2860")</f>
        <v>034-2860</v>
      </c>
      <c r="B2231" s="6" t="str">
        <f>IFERROR(__xludf.DUMMYFUNCTION("""COMPUTED_VALUE"""),"34")</f>
        <v>34</v>
      </c>
      <c r="C2231" s="6" t="str">
        <f>IFERROR(__xludf.DUMMYFUNCTION("""COMPUTED_VALUE"""),"2860")</f>
        <v>2860</v>
      </c>
      <c r="D2231" s="6" t="str">
        <f>IFERROR(__xludf.DUMMYFUNCTION("""COMPUTED_VALUE"""),"Joshua")</f>
        <v>Joshua</v>
      </c>
      <c r="E2231" s="6" t="str">
        <f>IFERROR(__xludf.DUMMYFUNCTION("""COMPUTED_VALUE"""),"")</f>
        <v/>
      </c>
      <c r="F2231" s="6" t="str">
        <f>IFERROR(__xludf.DUMMYFUNCTION("""COMPUTED_VALUE"""),"Kennard")</f>
        <v>Kennard</v>
      </c>
      <c r="G2231" s="6" t="str">
        <f>IFERROR(__xludf.DUMMYFUNCTION("""COMPUTED_VALUE"""),"05/28/2009")</f>
        <v>05/28/2009</v>
      </c>
      <c r="H2231" s="6" t="str">
        <f>IFERROR(__xludf.DUMMYFUNCTION("""COMPUTED_VALUE"""),"Male")</f>
        <v>Male</v>
      </c>
      <c r="I2231" s="6" t="str">
        <f>IFERROR(__xludf.DUMMYFUNCTION("""COMPUTED_VALUE"""),"High School")</f>
        <v>High School</v>
      </c>
      <c r="J2231" s="6" t="str">
        <f>IFERROR(__xludf.DUMMYFUNCTION("""COMPUTED_VALUE"""),"9")</f>
        <v>9</v>
      </c>
      <c r="K2231" s="6" t="str">
        <f>IFERROR(__xludf.DUMMYFUNCTION("""COMPUTED_VALUE"""),"joshua.kennard@2hourlearning.com")</f>
        <v>joshua.kennard@2hourlearning.com</v>
      </c>
      <c r="L2231" s="6" t="str">
        <f>IFERROR(__xludf.DUMMYFUNCTION("""COMPUTED_VALUE"""),"Colearn Academy")</f>
        <v>Colearn Academy</v>
      </c>
      <c r="M2231" s="6" t="str">
        <f>IFERROR(__xludf.DUMMYFUNCTION("""COMPUTED_VALUE"""),"")</f>
        <v/>
      </c>
      <c r="N2231" s="6" t="str">
        <f>IFERROR(__xludf.DUMMYFUNCTION("""COMPUTED_VALUE"""),"")</f>
        <v/>
      </c>
      <c r="O2231" s="87" t="str">
        <f>IFERROR(__xludf.DUMMYFUNCTION("""COMPUTED_VALUE"""),"https://drive.google.com/drive/folders/10T2cTQHqEJZqE-st6uFKPoI?usp=share_link")</f>
        <v>https://drive.google.com/drive/folders/10T2cTQHqEJZqE-st6uFKPoI?usp=share_link</v>
      </c>
      <c r="P2231" s="6" t="str">
        <f>IFERROR(__xludf.DUMMYFUNCTION("""COMPUTED_VALUE"""),"Joshua Kennard")</f>
        <v>Joshua Kennard</v>
      </c>
      <c r="Q2231" s="6" t="str">
        <f>IFERROR(__xludf.DUMMYFUNCTION("""COMPUTED_VALUE"""),"HS")</f>
        <v>HS</v>
      </c>
      <c r="R2231" s="6">
        <f>IFERROR(__xludf.DUMMYFUNCTION("""COMPUTED_VALUE"""),0.0)</f>
        <v>0</v>
      </c>
      <c r="S2231" s="6" t="str">
        <f>IFERROR(__xludf.DUMMYFUNCTION("""COMPUTED_VALUE"""),"A. Robinson")</f>
        <v>A. Robinson</v>
      </c>
      <c r="T2231" s="6" t="str">
        <f>IFERROR(__xludf.DUMMYFUNCTION("""COMPUTED_VALUE"""),"arobinson@colearn.com")</f>
        <v>arobinson@colearn.com</v>
      </c>
      <c r="U2231" s="6" t="str">
        <f>IFERROR(__xludf.DUMMYFUNCTION("""COMPUTED_VALUE"""),"9")</f>
        <v>9</v>
      </c>
      <c r="V2231" s="6" t="str">
        <f>IFERROR(__xludf.DUMMYFUNCTION("""COMPUTED_VALUE"""),"English")</f>
        <v>English</v>
      </c>
      <c r="W2231" s="6" t="str">
        <f>IFERROR(__xludf.DUMMYFUNCTION("""COMPUTED_VALUE"""),"[]")</f>
        <v>[]</v>
      </c>
      <c r="X2231" s="6" t="str">
        <f>IFERROR(__xludf.DUMMYFUNCTION("""COMPUTED_VALUE"""),"Enrolled")</f>
        <v>Enrolled</v>
      </c>
    </row>
    <row r="2232">
      <c r="A2232" s="6" t="str">
        <f>IFERROR(__xludf.DUMMYFUNCTION("""COMPUTED_VALUE"""),"034-2861")</f>
        <v>034-2861</v>
      </c>
      <c r="B2232" s="6" t="str">
        <f>IFERROR(__xludf.DUMMYFUNCTION("""COMPUTED_VALUE"""),"34")</f>
        <v>34</v>
      </c>
      <c r="C2232" s="6" t="str">
        <f>IFERROR(__xludf.DUMMYFUNCTION("""COMPUTED_VALUE"""),"2861")</f>
        <v>2861</v>
      </c>
      <c r="D2232" s="6" t="str">
        <f>IFERROR(__xludf.DUMMYFUNCTION("""COMPUTED_VALUE"""),"Joseph")</f>
        <v>Joseph</v>
      </c>
      <c r="E2232" s="6" t="str">
        <f>IFERROR(__xludf.DUMMYFUNCTION("""COMPUTED_VALUE"""),"")</f>
        <v/>
      </c>
      <c r="F2232" s="6" t="str">
        <f>IFERROR(__xludf.DUMMYFUNCTION("""COMPUTED_VALUE"""),"Kennard")</f>
        <v>Kennard</v>
      </c>
      <c r="G2232" s="6" t="str">
        <f>IFERROR(__xludf.DUMMYFUNCTION("""COMPUTED_VALUE"""),"12/14/2011")</f>
        <v>12/14/2011</v>
      </c>
      <c r="H2232" s="6" t="str">
        <f>IFERROR(__xludf.DUMMYFUNCTION("""COMPUTED_VALUE"""),"Male")</f>
        <v>Male</v>
      </c>
      <c r="I2232" s="6" t="str">
        <f>IFERROR(__xludf.DUMMYFUNCTION("""COMPUTED_VALUE"""),"Middle School")</f>
        <v>Middle School</v>
      </c>
      <c r="J2232" s="6" t="str">
        <f>IFERROR(__xludf.DUMMYFUNCTION("""COMPUTED_VALUE"""),"7")</f>
        <v>7</v>
      </c>
      <c r="K2232" s="6" t="str">
        <f>IFERROR(__xludf.DUMMYFUNCTION("""COMPUTED_VALUE"""),"joseph.kennard@2hourlearning.com")</f>
        <v>joseph.kennard@2hourlearning.com</v>
      </c>
      <c r="L2232" s="6" t="str">
        <f>IFERROR(__xludf.DUMMYFUNCTION("""COMPUTED_VALUE"""),"Colearn Academy")</f>
        <v>Colearn Academy</v>
      </c>
      <c r="M2232" s="6" t="str">
        <f>IFERROR(__xludf.DUMMYFUNCTION("""COMPUTED_VALUE"""),"")</f>
        <v/>
      </c>
      <c r="N2232" s="6" t="str">
        <f>IFERROR(__xludf.DUMMYFUNCTION("""COMPUTED_VALUE"""),"")</f>
        <v/>
      </c>
      <c r="O2232" s="87" t="str">
        <f>IFERROR(__xludf.DUMMYFUNCTION("""COMPUTED_VALUE"""),"https://drive.google.com/drive/folders/10T2cTQHqEJZqE-st6uFKPoI?usp=share_link")</f>
        <v>https://drive.google.com/drive/folders/10T2cTQHqEJZqE-st6uFKPoI?usp=share_link</v>
      </c>
      <c r="P2232" s="6" t="str">
        <f>IFERROR(__xludf.DUMMYFUNCTION("""COMPUTED_VALUE"""),"Joseph Kennard")</f>
        <v>Joseph Kennard</v>
      </c>
      <c r="Q2232" s="6" t="str">
        <f>IFERROR(__xludf.DUMMYFUNCTION("""COMPUTED_VALUE"""),"MS")</f>
        <v>MS</v>
      </c>
      <c r="R2232" s="6">
        <f>IFERROR(__xludf.DUMMYFUNCTION("""COMPUTED_VALUE"""),0.0)</f>
        <v>0</v>
      </c>
      <c r="S2232" s="6" t="str">
        <f>IFERROR(__xludf.DUMMYFUNCTION("""COMPUTED_VALUE"""),"A. Robinson")</f>
        <v>A. Robinson</v>
      </c>
      <c r="T2232" s="6" t="str">
        <f>IFERROR(__xludf.DUMMYFUNCTION("""COMPUTED_VALUE"""),"arobinson@colearn.com")</f>
        <v>arobinson@colearn.com</v>
      </c>
      <c r="U2232" s="6" t="str">
        <f>IFERROR(__xludf.DUMMYFUNCTION("""COMPUTED_VALUE"""),"7")</f>
        <v>7</v>
      </c>
      <c r="V2232" s="6" t="str">
        <f>IFERROR(__xludf.DUMMYFUNCTION("""COMPUTED_VALUE"""),"English")</f>
        <v>English</v>
      </c>
      <c r="W2232" s="6" t="str">
        <f>IFERROR(__xludf.DUMMYFUNCTION("""COMPUTED_VALUE"""),"[]")</f>
        <v>[]</v>
      </c>
      <c r="X2232" s="6" t="str">
        <f>IFERROR(__xludf.DUMMYFUNCTION("""COMPUTED_VALUE"""),"Enrolled")</f>
        <v>Enrolled</v>
      </c>
    </row>
    <row r="2233">
      <c r="A2233" s="6" t="str">
        <f>IFERROR(__xludf.DUMMYFUNCTION("""COMPUTED_VALUE"""),"034-2862")</f>
        <v>034-2862</v>
      </c>
      <c r="B2233" s="6" t="str">
        <f>IFERROR(__xludf.DUMMYFUNCTION("""COMPUTED_VALUE"""),"34")</f>
        <v>34</v>
      </c>
      <c r="C2233" s="6" t="str">
        <f>IFERROR(__xludf.DUMMYFUNCTION("""COMPUTED_VALUE"""),"2862")</f>
        <v>2862</v>
      </c>
      <c r="D2233" s="6" t="str">
        <f>IFERROR(__xludf.DUMMYFUNCTION("""COMPUTED_VALUE"""),"Timothy")</f>
        <v>Timothy</v>
      </c>
      <c r="E2233" s="6" t="str">
        <f>IFERROR(__xludf.DUMMYFUNCTION("""COMPUTED_VALUE"""),"")</f>
        <v/>
      </c>
      <c r="F2233" s="6" t="str">
        <f>IFERROR(__xludf.DUMMYFUNCTION("""COMPUTED_VALUE"""),"Pena")</f>
        <v>Pena</v>
      </c>
      <c r="G2233" s="6" t="str">
        <f>IFERROR(__xludf.DUMMYFUNCTION("""COMPUTED_VALUE"""),"01/16/2012")</f>
        <v>01/16/2012</v>
      </c>
      <c r="H2233" s="6" t="str">
        <f>IFERROR(__xludf.DUMMYFUNCTION("""COMPUTED_VALUE"""),"Male")</f>
        <v>Male</v>
      </c>
      <c r="I2233" s="6" t="str">
        <f>IFERROR(__xludf.DUMMYFUNCTION("""COMPUTED_VALUE"""),"Middle School")</f>
        <v>Middle School</v>
      </c>
      <c r="J2233" s="6" t="str">
        <f>IFERROR(__xludf.DUMMYFUNCTION("""COMPUTED_VALUE"""),"7")</f>
        <v>7</v>
      </c>
      <c r="K2233" s="6" t="str">
        <f>IFERROR(__xludf.DUMMYFUNCTION("""COMPUTED_VALUE"""),"timothy.pena@2hourlearning.com")</f>
        <v>timothy.pena@2hourlearning.com</v>
      </c>
      <c r="L2233" s="6" t="str">
        <f>IFERROR(__xludf.DUMMYFUNCTION("""COMPUTED_VALUE"""),"Colearn Academy")</f>
        <v>Colearn Academy</v>
      </c>
      <c r="M2233" s="6" t="str">
        <f>IFERROR(__xludf.DUMMYFUNCTION("""COMPUTED_VALUE"""),"")</f>
        <v/>
      </c>
      <c r="N2233" s="6" t="str">
        <f>IFERROR(__xludf.DUMMYFUNCTION("""COMPUTED_VALUE"""),"")</f>
        <v/>
      </c>
      <c r="O2233" s="87" t="str">
        <f>IFERROR(__xludf.DUMMYFUNCTION("""COMPUTED_VALUE"""),"https://drive.google.com/drive/folders/10T2cTQHqEJZqE-st6uFKPoI?usp=share_link")</f>
        <v>https://drive.google.com/drive/folders/10T2cTQHqEJZqE-st6uFKPoI?usp=share_link</v>
      </c>
      <c r="P2233" s="6" t="str">
        <f>IFERROR(__xludf.DUMMYFUNCTION("""COMPUTED_VALUE"""),"Timothy Pena")</f>
        <v>Timothy Pena</v>
      </c>
      <c r="Q2233" s="6" t="str">
        <f>IFERROR(__xludf.DUMMYFUNCTION("""COMPUTED_VALUE"""),"MS")</f>
        <v>MS</v>
      </c>
      <c r="R2233" s="6">
        <f>IFERROR(__xludf.DUMMYFUNCTION("""COMPUTED_VALUE"""),0.0)</f>
        <v>0</v>
      </c>
      <c r="S2233" s="6" t="str">
        <f>IFERROR(__xludf.DUMMYFUNCTION("""COMPUTED_VALUE"""),"A. Robinson")</f>
        <v>A. Robinson</v>
      </c>
      <c r="T2233" s="6" t="str">
        <f>IFERROR(__xludf.DUMMYFUNCTION("""COMPUTED_VALUE"""),"arobinson@colearn.com")</f>
        <v>arobinson@colearn.com</v>
      </c>
      <c r="U2233" s="6" t="str">
        <f>IFERROR(__xludf.DUMMYFUNCTION("""COMPUTED_VALUE"""),"7")</f>
        <v>7</v>
      </c>
      <c r="V2233" s="6" t="str">
        <f>IFERROR(__xludf.DUMMYFUNCTION("""COMPUTED_VALUE"""),"English")</f>
        <v>English</v>
      </c>
      <c r="W2233" s="6" t="str">
        <f>IFERROR(__xludf.DUMMYFUNCTION("""COMPUTED_VALUE"""),"[]")</f>
        <v>[]</v>
      </c>
      <c r="X2233" s="6" t="str">
        <f>IFERROR(__xludf.DUMMYFUNCTION("""COMPUTED_VALUE"""),"Enrolled")</f>
        <v>Enrolled</v>
      </c>
    </row>
    <row r="2234">
      <c r="A2234" s="6" t="str">
        <f>IFERROR(__xludf.DUMMYFUNCTION("""COMPUTED_VALUE"""),"034-2863")</f>
        <v>034-2863</v>
      </c>
      <c r="B2234" s="6" t="str">
        <f>IFERROR(__xludf.DUMMYFUNCTION("""COMPUTED_VALUE"""),"34")</f>
        <v>34</v>
      </c>
      <c r="C2234" s="6" t="str">
        <f>IFERROR(__xludf.DUMMYFUNCTION("""COMPUTED_VALUE"""),"2863")</f>
        <v>2863</v>
      </c>
      <c r="D2234" s="6" t="str">
        <f>IFERROR(__xludf.DUMMYFUNCTION("""COMPUTED_VALUE"""),"Evelyn")</f>
        <v>Evelyn</v>
      </c>
      <c r="E2234" s="6" t="str">
        <f>IFERROR(__xludf.DUMMYFUNCTION("""COMPUTED_VALUE"""),"")</f>
        <v/>
      </c>
      <c r="F2234" s="6" t="str">
        <f>IFERROR(__xludf.DUMMYFUNCTION("""COMPUTED_VALUE"""),"Kennard")</f>
        <v>Kennard</v>
      </c>
      <c r="G2234" s="6" t="str">
        <f>IFERROR(__xludf.DUMMYFUNCTION("""COMPUTED_VALUE"""),"06/14/2017")</f>
        <v>06/14/2017</v>
      </c>
      <c r="H2234" s="6" t="str">
        <f>IFERROR(__xludf.DUMMYFUNCTION("""COMPUTED_VALUE"""),"Female")</f>
        <v>Female</v>
      </c>
      <c r="I2234" s="6" t="str">
        <f>IFERROR(__xludf.DUMMYFUNCTION("""COMPUTED_VALUE"""),"Level 1")</f>
        <v>Level 1</v>
      </c>
      <c r="J2234" s="6" t="str">
        <f>IFERROR(__xludf.DUMMYFUNCTION("""COMPUTED_VALUE"""),"2")</f>
        <v>2</v>
      </c>
      <c r="K2234" s="6" t="str">
        <f>IFERROR(__xludf.DUMMYFUNCTION("""COMPUTED_VALUE"""),"evelyn.kennard@2hourlearning.com")</f>
        <v>evelyn.kennard@2hourlearning.com</v>
      </c>
      <c r="L2234" s="6" t="str">
        <f>IFERROR(__xludf.DUMMYFUNCTION("""COMPUTED_VALUE"""),"Colearn Academy")</f>
        <v>Colearn Academy</v>
      </c>
      <c r="M2234" s="6" t="str">
        <f>IFERROR(__xludf.DUMMYFUNCTION("""COMPUTED_VALUE"""),"")</f>
        <v/>
      </c>
      <c r="N2234" s="6" t="str">
        <f>IFERROR(__xludf.DUMMYFUNCTION("""COMPUTED_VALUE"""),"")</f>
        <v/>
      </c>
      <c r="O2234" s="87" t="str">
        <f>IFERROR(__xludf.DUMMYFUNCTION("""COMPUTED_VALUE"""),"https://drive.google.com/drive/folders/10T2cTQHqEJZqE-st6uFKPoI?usp=share_link")</f>
        <v>https://drive.google.com/drive/folders/10T2cTQHqEJZqE-st6uFKPoI?usp=share_link</v>
      </c>
      <c r="P2234" s="6" t="str">
        <f>IFERROR(__xludf.DUMMYFUNCTION("""COMPUTED_VALUE"""),"Evelyn Kennard")</f>
        <v>Evelyn Kennard</v>
      </c>
      <c r="Q2234" s="6" t="str">
        <f>IFERROR(__xludf.DUMMYFUNCTION("""COMPUTED_VALUE"""),"L1")</f>
        <v>L1</v>
      </c>
      <c r="R2234" s="6">
        <f>IFERROR(__xludf.DUMMYFUNCTION("""COMPUTED_VALUE"""),1.0)</f>
        <v>1</v>
      </c>
      <c r="S2234" s="6" t="str">
        <f>IFERROR(__xludf.DUMMYFUNCTION("""COMPUTED_VALUE"""),"A. Robinson")</f>
        <v>A. Robinson</v>
      </c>
      <c r="T2234" s="6" t="str">
        <f>IFERROR(__xludf.DUMMYFUNCTION("""COMPUTED_VALUE"""),"arobinson@colearn.com")</f>
        <v>arobinson@colearn.com</v>
      </c>
      <c r="U2234" s="6" t="str">
        <f>IFERROR(__xludf.DUMMYFUNCTION("""COMPUTED_VALUE"""),"2")</f>
        <v>2</v>
      </c>
      <c r="V2234" s="6" t="str">
        <f>IFERROR(__xludf.DUMMYFUNCTION("""COMPUTED_VALUE"""),"English")</f>
        <v>English</v>
      </c>
      <c r="W2234" s="6" t="str">
        <f>IFERROR(__xludf.DUMMYFUNCTION("""COMPUTED_VALUE"""),"[]")</f>
        <v>[]</v>
      </c>
      <c r="X2234" s="6" t="str">
        <f>IFERROR(__xludf.DUMMYFUNCTION("""COMPUTED_VALUE"""),"Enrolled")</f>
        <v>Enrolled</v>
      </c>
    </row>
    <row r="2235">
      <c r="A2235" s="6" t="str">
        <f>IFERROR(__xludf.DUMMYFUNCTION("""COMPUTED_VALUE"""),"034-2864")</f>
        <v>034-2864</v>
      </c>
      <c r="B2235" s="6" t="str">
        <f>IFERROR(__xludf.DUMMYFUNCTION("""COMPUTED_VALUE"""),"34")</f>
        <v>34</v>
      </c>
      <c r="C2235" s="6" t="str">
        <f>IFERROR(__xludf.DUMMYFUNCTION("""COMPUTED_VALUE"""),"2864")</f>
        <v>2864</v>
      </c>
      <c r="D2235" s="6" t="str">
        <f>IFERROR(__xludf.DUMMYFUNCTION("""COMPUTED_VALUE"""),"James")</f>
        <v>James</v>
      </c>
      <c r="E2235" s="6" t="str">
        <f>IFERROR(__xludf.DUMMYFUNCTION("""COMPUTED_VALUE"""),"")</f>
        <v/>
      </c>
      <c r="F2235" s="6" t="str">
        <f>IFERROR(__xludf.DUMMYFUNCTION("""COMPUTED_VALUE"""),"Thompson")</f>
        <v>Thompson</v>
      </c>
      <c r="G2235" s="6" t="str">
        <f>IFERROR(__xludf.DUMMYFUNCTION("""COMPUTED_VALUE"""),"02/06/2014")</f>
        <v>02/06/2014</v>
      </c>
      <c r="H2235" s="6" t="str">
        <f>IFERROR(__xludf.DUMMYFUNCTION("""COMPUTED_VALUE"""),"Male")</f>
        <v>Male</v>
      </c>
      <c r="I2235" s="6" t="str">
        <f>IFERROR(__xludf.DUMMYFUNCTION("""COMPUTED_VALUE"""),"Level 2")</f>
        <v>Level 2</v>
      </c>
      <c r="J2235" s="6" t="str">
        <f>IFERROR(__xludf.DUMMYFUNCTION("""COMPUTED_VALUE"""),"5")</f>
        <v>5</v>
      </c>
      <c r="K2235" s="6" t="str">
        <f>IFERROR(__xludf.DUMMYFUNCTION("""COMPUTED_VALUE"""),"james.thompson@2hourlearning.com")</f>
        <v>james.thompson@2hourlearning.com</v>
      </c>
      <c r="L2235" s="6" t="str">
        <f>IFERROR(__xludf.DUMMYFUNCTION("""COMPUTED_VALUE"""),"Colearn Academy")</f>
        <v>Colearn Academy</v>
      </c>
      <c r="M2235" s="6" t="str">
        <f>IFERROR(__xludf.DUMMYFUNCTION("""COMPUTED_VALUE"""),"")</f>
        <v/>
      </c>
      <c r="N2235" s="6" t="str">
        <f>IFERROR(__xludf.DUMMYFUNCTION("""COMPUTED_VALUE"""),"")</f>
        <v/>
      </c>
      <c r="O2235" s="87" t="str">
        <f>IFERROR(__xludf.DUMMYFUNCTION("""COMPUTED_VALUE"""),"https://drive.google.com/drive/folders/10T2cTQHqEJZqE-st6uFKPoI?usp=share_link")</f>
        <v>https://drive.google.com/drive/folders/10T2cTQHqEJZqE-st6uFKPoI?usp=share_link</v>
      </c>
      <c r="P2235" s="6" t="str">
        <f>IFERROR(__xludf.DUMMYFUNCTION("""COMPUTED_VALUE"""),"James Thompson")</f>
        <v>James Thompson</v>
      </c>
      <c r="Q2235" s="6" t="str">
        <f>IFERROR(__xludf.DUMMYFUNCTION("""COMPUTED_VALUE"""),"L2")</f>
        <v>L2</v>
      </c>
      <c r="R2235" s="6">
        <f>IFERROR(__xludf.DUMMYFUNCTION("""COMPUTED_VALUE"""),2.0)</f>
        <v>2</v>
      </c>
      <c r="S2235" s="6" t="str">
        <f>IFERROR(__xludf.DUMMYFUNCTION("""COMPUTED_VALUE"""),"A. Robinson")</f>
        <v>A. Robinson</v>
      </c>
      <c r="T2235" s="6" t="str">
        <f>IFERROR(__xludf.DUMMYFUNCTION("""COMPUTED_VALUE"""),"arobinson@colearn.com")</f>
        <v>arobinson@colearn.com</v>
      </c>
      <c r="U2235" s="6" t="str">
        <f>IFERROR(__xludf.DUMMYFUNCTION("""COMPUTED_VALUE"""),"5")</f>
        <v>5</v>
      </c>
      <c r="V2235" s="6" t="str">
        <f>IFERROR(__xludf.DUMMYFUNCTION("""COMPUTED_VALUE"""),"English")</f>
        <v>English</v>
      </c>
      <c r="W2235" s="6" t="str">
        <f>IFERROR(__xludf.DUMMYFUNCTION("""COMPUTED_VALUE"""),"[]")</f>
        <v>[]</v>
      </c>
      <c r="X2235" s="6" t="str">
        <f>IFERROR(__xludf.DUMMYFUNCTION("""COMPUTED_VALUE"""),"Enrolled")</f>
        <v>Enrolled</v>
      </c>
    </row>
    <row r="2236">
      <c r="A2236" s="6" t="str">
        <f>IFERROR(__xludf.DUMMYFUNCTION("""COMPUTED_VALUE"""),"034-2865")</f>
        <v>034-2865</v>
      </c>
      <c r="B2236" s="6" t="str">
        <f>IFERROR(__xludf.DUMMYFUNCTION("""COMPUTED_VALUE"""),"34")</f>
        <v>34</v>
      </c>
      <c r="C2236" s="6" t="str">
        <f>IFERROR(__xludf.DUMMYFUNCTION("""COMPUTED_VALUE"""),"2865")</f>
        <v>2865</v>
      </c>
      <c r="D2236" s="6" t="str">
        <f>IFERROR(__xludf.DUMMYFUNCTION("""COMPUTED_VALUE"""),"Kaylie")</f>
        <v>Kaylie</v>
      </c>
      <c r="E2236" s="6" t="str">
        <f>IFERROR(__xludf.DUMMYFUNCTION("""COMPUTED_VALUE"""),"")</f>
        <v/>
      </c>
      <c r="F2236" s="6" t="str">
        <f>IFERROR(__xludf.DUMMYFUNCTION("""COMPUTED_VALUE"""),"Thompson")</f>
        <v>Thompson</v>
      </c>
      <c r="G2236" s="6" t="str">
        <f>IFERROR(__xludf.DUMMYFUNCTION("""COMPUTED_VALUE"""),"11/02/2012")</f>
        <v>11/02/2012</v>
      </c>
      <c r="H2236" s="6" t="str">
        <f>IFERROR(__xludf.DUMMYFUNCTION("""COMPUTED_VALUE"""),"Female")</f>
        <v>Female</v>
      </c>
      <c r="I2236" s="6" t="str">
        <f>IFERROR(__xludf.DUMMYFUNCTION("""COMPUTED_VALUE"""),"Middle School")</f>
        <v>Middle School</v>
      </c>
      <c r="J2236" s="6" t="str">
        <f>IFERROR(__xludf.DUMMYFUNCTION("""COMPUTED_VALUE"""),"6")</f>
        <v>6</v>
      </c>
      <c r="K2236" s="6" t="str">
        <f>IFERROR(__xludf.DUMMYFUNCTION("""COMPUTED_VALUE"""),"kaylie.thompson@2hourlearning.com")</f>
        <v>kaylie.thompson@2hourlearning.com</v>
      </c>
      <c r="L2236" s="6" t="str">
        <f>IFERROR(__xludf.DUMMYFUNCTION("""COMPUTED_VALUE"""),"Colearn Academy")</f>
        <v>Colearn Academy</v>
      </c>
      <c r="M2236" s="6" t="str">
        <f>IFERROR(__xludf.DUMMYFUNCTION("""COMPUTED_VALUE"""),"")</f>
        <v/>
      </c>
      <c r="N2236" s="6" t="str">
        <f>IFERROR(__xludf.DUMMYFUNCTION("""COMPUTED_VALUE"""),"")</f>
        <v/>
      </c>
      <c r="O2236" s="87" t="str">
        <f>IFERROR(__xludf.DUMMYFUNCTION("""COMPUTED_VALUE"""),"https://drive.google.com/drive/folders/10T2cTQHqEJZqE-st6uFKPoI?usp=share_link")</f>
        <v>https://drive.google.com/drive/folders/10T2cTQHqEJZqE-st6uFKPoI?usp=share_link</v>
      </c>
      <c r="P2236" s="6" t="str">
        <f>IFERROR(__xludf.DUMMYFUNCTION("""COMPUTED_VALUE"""),"Kaylie Thompson")</f>
        <v>Kaylie Thompson</v>
      </c>
      <c r="Q2236" s="6" t="str">
        <f>IFERROR(__xludf.DUMMYFUNCTION("""COMPUTED_VALUE"""),"MS")</f>
        <v>MS</v>
      </c>
      <c r="R2236" s="6">
        <f>IFERROR(__xludf.DUMMYFUNCTION("""COMPUTED_VALUE"""),0.0)</f>
        <v>0</v>
      </c>
      <c r="S2236" s="6" t="str">
        <f>IFERROR(__xludf.DUMMYFUNCTION("""COMPUTED_VALUE"""),"A. Robinson")</f>
        <v>A. Robinson</v>
      </c>
      <c r="T2236" s="6" t="str">
        <f>IFERROR(__xludf.DUMMYFUNCTION("""COMPUTED_VALUE"""),"arobinson@colearn.com")</f>
        <v>arobinson@colearn.com</v>
      </c>
      <c r="U2236" s="6" t="str">
        <f>IFERROR(__xludf.DUMMYFUNCTION("""COMPUTED_VALUE"""),"6")</f>
        <v>6</v>
      </c>
      <c r="V2236" s="6" t="str">
        <f>IFERROR(__xludf.DUMMYFUNCTION("""COMPUTED_VALUE"""),"English")</f>
        <v>English</v>
      </c>
      <c r="W2236" s="6" t="str">
        <f>IFERROR(__xludf.DUMMYFUNCTION("""COMPUTED_VALUE"""),"[]")</f>
        <v>[]</v>
      </c>
      <c r="X2236" s="6" t="str">
        <f>IFERROR(__xludf.DUMMYFUNCTION("""COMPUTED_VALUE"""),"Enrolled")</f>
        <v>Enrolled</v>
      </c>
    </row>
    <row r="2237">
      <c r="A2237" s="6" t="str">
        <f>IFERROR(__xludf.DUMMYFUNCTION("""COMPUTED_VALUE"""),"034-2866")</f>
        <v>034-2866</v>
      </c>
      <c r="B2237" s="6" t="str">
        <f>IFERROR(__xludf.DUMMYFUNCTION("""COMPUTED_VALUE"""),"34")</f>
        <v>34</v>
      </c>
      <c r="C2237" s="6" t="str">
        <f>IFERROR(__xludf.DUMMYFUNCTION("""COMPUTED_VALUE"""),"2866")</f>
        <v>2866</v>
      </c>
      <c r="D2237" s="6" t="str">
        <f>IFERROR(__xludf.DUMMYFUNCTION("""COMPUTED_VALUE"""),"Rowan")</f>
        <v>Rowan</v>
      </c>
      <c r="E2237" s="6" t="str">
        <f>IFERROR(__xludf.DUMMYFUNCTION("""COMPUTED_VALUE"""),"")</f>
        <v/>
      </c>
      <c r="F2237" s="6" t="str">
        <f>IFERROR(__xludf.DUMMYFUNCTION("""COMPUTED_VALUE"""),"Thompson")</f>
        <v>Thompson</v>
      </c>
      <c r="G2237" s="6" t="str">
        <f>IFERROR(__xludf.DUMMYFUNCTION("""COMPUTED_VALUE"""),"04/30/2018")</f>
        <v>04/30/2018</v>
      </c>
      <c r="H2237" s="6" t="str">
        <f>IFERROR(__xludf.DUMMYFUNCTION("""COMPUTED_VALUE"""),"Male")</f>
        <v>Male</v>
      </c>
      <c r="I2237" s="6" t="str">
        <f>IFERROR(__xludf.DUMMYFUNCTION("""COMPUTED_VALUE"""),"Learning Lab")</f>
        <v>Learning Lab</v>
      </c>
      <c r="J2237" s="6" t="str">
        <f>IFERROR(__xludf.DUMMYFUNCTION("""COMPUTED_VALUE"""),"1")</f>
        <v>1</v>
      </c>
      <c r="K2237" s="6" t="str">
        <f>IFERROR(__xludf.DUMMYFUNCTION("""COMPUTED_VALUE"""),"rowan.thompson@2hourlearning.com")</f>
        <v>rowan.thompson@2hourlearning.com</v>
      </c>
      <c r="L2237" s="6" t="str">
        <f>IFERROR(__xludf.DUMMYFUNCTION("""COMPUTED_VALUE"""),"Colearn Academy")</f>
        <v>Colearn Academy</v>
      </c>
      <c r="M2237" s="6" t="str">
        <f>IFERROR(__xludf.DUMMYFUNCTION("""COMPUTED_VALUE"""),"")</f>
        <v/>
      </c>
      <c r="N2237" s="6" t="str">
        <f>IFERROR(__xludf.DUMMYFUNCTION("""COMPUTED_VALUE"""),"")</f>
        <v/>
      </c>
      <c r="O2237" s="87" t="str">
        <f>IFERROR(__xludf.DUMMYFUNCTION("""COMPUTED_VALUE"""),"https://drive.google.com/drive/folders/10T2cTQHqEJZqE-st6uFKPoI?usp=share_link")</f>
        <v>https://drive.google.com/drive/folders/10T2cTQHqEJZqE-st6uFKPoI?usp=share_link</v>
      </c>
      <c r="P2237" s="6" t="str">
        <f>IFERROR(__xludf.DUMMYFUNCTION("""COMPUTED_VALUE"""),"Rowan Thompson")</f>
        <v>Rowan Thompson</v>
      </c>
      <c r="Q2237" s="6" t="str">
        <f>IFERROR(__xludf.DUMMYFUNCTION("""COMPUTED_VALUE"""),"LL")</f>
        <v>LL</v>
      </c>
      <c r="R2237" s="6">
        <f>IFERROR(__xludf.DUMMYFUNCTION("""COMPUTED_VALUE"""),0.0)</f>
        <v>0</v>
      </c>
      <c r="S2237" s="6" t="str">
        <f>IFERROR(__xludf.DUMMYFUNCTION("""COMPUTED_VALUE"""),"A. Robinson")</f>
        <v>A. Robinson</v>
      </c>
      <c r="T2237" s="6" t="str">
        <f>IFERROR(__xludf.DUMMYFUNCTION("""COMPUTED_VALUE"""),"arobinson@colearn.com")</f>
        <v>arobinson@colearn.com</v>
      </c>
      <c r="U2237" s="6" t="str">
        <f>IFERROR(__xludf.DUMMYFUNCTION("""COMPUTED_VALUE"""),"1")</f>
        <v>1</v>
      </c>
      <c r="V2237" s="6" t="str">
        <f>IFERROR(__xludf.DUMMYFUNCTION("""COMPUTED_VALUE"""),"English")</f>
        <v>English</v>
      </c>
      <c r="W2237" s="6" t="str">
        <f>IFERROR(__xludf.DUMMYFUNCTION("""COMPUTED_VALUE"""),"[]")</f>
        <v>[]</v>
      </c>
      <c r="X2237" s="6" t="str">
        <f>IFERROR(__xludf.DUMMYFUNCTION("""COMPUTED_VALUE"""),"Enrolled")</f>
        <v>Enrolled</v>
      </c>
    </row>
    <row r="2238">
      <c r="A2238" s="6" t="str">
        <f>IFERROR(__xludf.DUMMYFUNCTION("""COMPUTED_VALUE"""),"034-2867")</f>
        <v>034-2867</v>
      </c>
      <c r="B2238" s="6" t="str">
        <f>IFERROR(__xludf.DUMMYFUNCTION("""COMPUTED_VALUE"""),"34")</f>
        <v>34</v>
      </c>
      <c r="C2238" s="6" t="str">
        <f>IFERROR(__xludf.DUMMYFUNCTION("""COMPUTED_VALUE"""),"2867")</f>
        <v>2867</v>
      </c>
      <c r="D2238" s="6" t="str">
        <f>IFERROR(__xludf.DUMMYFUNCTION("""COMPUTED_VALUE"""),"David")</f>
        <v>David</v>
      </c>
      <c r="E2238" s="6" t="str">
        <f>IFERROR(__xludf.DUMMYFUNCTION("""COMPUTED_VALUE"""),"")</f>
        <v/>
      </c>
      <c r="F2238" s="6" t="str">
        <f>IFERROR(__xludf.DUMMYFUNCTION("""COMPUTED_VALUE"""),"Thompson")</f>
        <v>Thompson</v>
      </c>
      <c r="G2238" s="6" t="str">
        <f>IFERROR(__xludf.DUMMYFUNCTION("""COMPUTED_VALUE"""),"04/28/2015")</f>
        <v>04/28/2015</v>
      </c>
      <c r="H2238" s="6" t="str">
        <f>IFERROR(__xludf.DUMMYFUNCTION("""COMPUTED_VALUE"""),"Male")</f>
        <v>Male</v>
      </c>
      <c r="I2238" s="6" t="str">
        <f>IFERROR(__xludf.DUMMYFUNCTION("""COMPUTED_VALUE"""),"Level 2")</f>
        <v>Level 2</v>
      </c>
      <c r="J2238" s="6" t="str">
        <f>IFERROR(__xludf.DUMMYFUNCTION("""COMPUTED_VALUE"""),"4")</f>
        <v>4</v>
      </c>
      <c r="K2238" s="6" t="str">
        <f>IFERROR(__xludf.DUMMYFUNCTION("""COMPUTED_VALUE"""),"david.thompson@2hourlearning.com")</f>
        <v>david.thompson@2hourlearning.com</v>
      </c>
      <c r="L2238" s="6" t="str">
        <f>IFERROR(__xludf.DUMMYFUNCTION("""COMPUTED_VALUE"""),"Colearn Academy")</f>
        <v>Colearn Academy</v>
      </c>
      <c r="M2238" s="6" t="str">
        <f>IFERROR(__xludf.DUMMYFUNCTION("""COMPUTED_VALUE"""),"")</f>
        <v/>
      </c>
      <c r="N2238" s="6" t="str">
        <f>IFERROR(__xludf.DUMMYFUNCTION("""COMPUTED_VALUE"""),"")</f>
        <v/>
      </c>
      <c r="O2238" s="87" t="str">
        <f>IFERROR(__xludf.DUMMYFUNCTION("""COMPUTED_VALUE"""),"https://drive.google.com/drive/folders/10T2cTQHqEJZqE-st6uFKPoI?usp=share_link")</f>
        <v>https://drive.google.com/drive/folders/10T2cTQHqEJZqE-st6uFKPoI?usp=share_link</v>
      </c>
      <c r="P2238" s="6" t="str">
        <f>IFERROR(__xludf.DUMMYFUNCTION("""COMPUTED_VALUE"""),"David Thompson")</f>
        <v>David Thompson</v>
      </c>
      <c r="Q2238" s="6" t="str">
        <f>IFERROR(__xludf.DUMMYFUNCTION("""COMPUTED_VALUE"""),"L2")</f>
        <v>L2</v>
      </c>
      <c r="R2238" s="6">
        <f>IFERROR(__xludf.DUMMYFUNCTION("""COMPUTED_VALUE"""),2.0)</f>
        <v>2</v>
      </c>
      <c r="S2238" s="6" t="str">
        <f>IFERROR(__xludf.DUMMYFUNCTION("""COMPUTED_VALUE"""),"A. Robinson")</f>
        <v>A. Robinson</v>
      </c>
      <c r="T2238" s="6" t="str">
        <f>IFERROR(__xludf.DUMMYFUNCTION("""COMPUTED_VALUE"""),"arobinson@colearn.com")</f>
        <v>arobinson@colearn.com</v>
      </c>
      <c r="U2238" s="6" t="str">
        <f>IFERROR(__xludf.DUMMYFUNCTION("""COMPUTED_VALUE"""),"4")</f>
        <v>4</v>
      </c>
      <c r="V2238" s="6" t="str">
        <f>IFERROR(__xludf.DUMMYFUNCTION("""COMPUTED_VALUE"""),"English")</f>
        <v>English</v>
      </c>
      <c r="W2238" s="6" t="str">
        <f>IFERROR(__xludf.DUMMYFUNCTION("""COMPUTED_VALUE"""),"[]")</f>
        <v>[]</v>
      </c>
      <c r="X2238" s="6" t="str">
        <f>IFERROR(__xludf.DUMMYFUNCTION("""COMPUTED_VALUE"""),"Enrolled")</f>
        <v>Enrolled</v>
      </c>
    </row>
    <row r="2239">
      <c r="A2239" s="6" t="str">
        <f>IFERROR(__xludf.DUMMYFUNCTION("""COMPUTED_VALUE"""),"034-2868")</f>
        <v>034-2868</v>
      </c>
      <c r="B2239" s="6" t="str">
        <f>IFERROR(__xludf.DUMMYFUNCTION("""COMPUTED_VALUE"""),"34")</f>
        <v>34</v>
      </c>
      <c r="C2239" s="6" t="str">
        <f>IFERROR(__xludf.DUMMYFUNCTION("""COMPUTED_VALUE"""),"2868")</f>
        <v>2868</v>
      </c>
      <c r="D2239" s="6" t="str">
        <f>IFERROR(__xludf.DUMMYFUNCTION("""COMPUTED_VALUE"""),"Anora")</f>
        <v>Anora</v>
      </c>
      <c r="E2239" s="6" t="str">
        <f>IFERROR(__xludf.DUMMYFUNCTION("""COMPUTED_VALUE"""),"")</f>
        <v/>
      </c>
      <c r="F2239" s="6" t="str">
        <f>IFERROR(__xludf.DUMMYFUNCTION("""COMPUTED_VALUE"""),"Thompson")</f>
        <v>Thompson</v>
      </c>
      <c r="G2239" s="6" t="str">
        <f>IFERROR(__xludf.DUMMYFUNCTION("""COMPUTED_VALUE"""),"01/09/2011")</f>
        <v>01/09/2011</v>
      </c>
      <c r="H2239" s="6" t="str">
        <f>IFERROR(__xludf.DUMMYFUNCTION("""COMPUTED_VALUE"""),"Female")</f>
        <v>Female</v>
      </c>
      <c r="I2239" s="6" t="str">
        <f>IFERROR(__xludf.DUMMYFUNCTION("""COMPUTED_VALUE"""),"Middle School")</f>
        <v>Middle School</v>
      </c>
      <c r="J2239" s="6" t="str">
        <f>IFERROR(__xludf.DUMMYFUNCTION("""COMPUTED_VALUE"""),"8")</f>
        <v>8</v>
      </c>
      <c r="K2239" s="6" t="str">
        <f>IFERROR(__xludf.DUMMYFUNCTION("""COMPUTED_VALUE"""),"anora.thompson@2hourlearning.com")</f>
        <v>anora.thompson@2hourlearning.com</v>
      </c>
      <c r="L2239" s="6" t="str">
        <f>IFERROR(__xludf.DUMMYFUNCTION("""COMPUTED_VALUE"""),"Colearn Academy")</f>
        <v>Colearn Academy</v>
      </c>
      <c r="M2239" s="6" t="str">
        <f>IFERROR(__xludf.DUMMYFUNCTION("""COMPUTED_VALUE"""),"")</f>
        <v/>
      </c>
      <c r="N2239" s="6" t="str">
        <f>IFERROR(__xludf.DUMMYFUNCTION("""COMPUTED_VALUE"""),"")</f>
        <v/>
      </c>
      <c r="O2239" s="87" t="str">
        <f>IFERROR(__xludf.DUMMYFUNCTION("""COMPUTED_VALUE"""),"https://drive.google.com/drive/folders/10T2cTQHqEJZqE-st6uFKPoI?usp=share_link")</f>
        <v>https://drive.google.com/drive/folders/10T2cTQHqEJZqE-st6uFKPoI?usp=share_link</v>
      </c>
      <c r="P2239" s="6" t="str">
        <f>IFERROR(__xludf.DUMMYFUNCTION("""COMPUTED_VALUE"""),"Anora Thompson")</f>
        <v>Anora Thompson</v>
      </c>
      <c r="Q2239" s="6" t="str">
        <f>IFERROR(__xludf.DUMMYFUNCTION("""COMPUTED_VALUE"""),"MS")</f>
        <v>MS</v>
      </c>
      <c r="R2239" s="6">
        <f>IFERROR(__xludf.DUMMYFUNCTION("""COMPUTED_VALUE"""),0.0)</f>
        <v>0</v>
      </c>
      <c r="S2239" s="6" t="str">
        <f>IFERROR(__xludf.DUMMYFUNCTION("""COMPUTED_VALUE"""),"A. Robinson")</f>
        <v>A. Robinson</v>
      </c>
      <c r="T2239" s="6" t="str">
        <f>IFERROR(__xludf.DUMMYFUNCTION("""COMPUTED_VALUE"""),"arobinson@colearn.com")</f>
        <v>arobinson@colearn.com</v>
      </c>
      <c r="U2239" s="6" t="str">
        <f>IFERROR(__xludf.DUMMYFUNCTION("""COMPUTED_VALUE"""),"8")</f>
        <v>8</v>
      </c>
      <c r="V2239" s="6" t="str">
        <f>IFERROR(__xludf.DUMMYFUNCTION("""COMPUTED_VALUE"""),"English")</f>
        <v>English</v>
      </c>
      <c r="W2239" s="6" t="str">
        <f>IFERROR(__xludf.DUMMYFUNCTION("""COMPUTED_VALUE"""),"[]")</f>
        <v>[]</v>
      </c>
      <c r="X2239" s="6" t="str">
        <f>IFERROR(__xludf.DUMMYFUNCTION("""COMPUTED_VALUE"""),"Enrolled")</f>
        <v>Enrolled</v>
      </c>
    </row>
    <row r="2240">
      <c r="A2240" s="6" t="str">
        <f>IFERROR(__xludf.DUMMYFUNCTION("""COMPUTED_VALUE"""),"034-2869")</f>
        <v>034-2869</v>
      </c>
      <c r="B2240" s="6" t="str">
        <f>IFERROR(__xludf.DUMMYFUNCTION("""COMPUTED_VALUE"""),"34")</f>
        <v>34</v>
      </c>
      <c r="C2240" s="6" t="str">
        <f>IFERROR(__xludf.DUMMYFUNCTION("""COMPUTED_VALUE"""),"2869")</f>
        <v>2869</v>
      </c>
      <c r="D2240" s="6" t="str">
        <f>IFERROR(__xludf.DUMMYFUNCTION("""COMPUTED_VALUE"""),"Payson")</f>
        <v>Payson</v>
      </c>
      <c r="E2240" s="6" t="str">
        <f>IFERROR(__xludf.DUMMYFUNCTION("""COMPUTED_VALUE"""),"")</f>
        <v/>
      </c>
      <c r="F2240" s="6" t="str">
        <f>IFERROR(__xludf.DUMMYFUNCTION("""COMPUTED_VALUE"""),"Robinson")</f>
        <v>Robinson</v>
      </c>
      <c r="G2240" s="6" t="str">
        <f>IFERROR(__xludf.DUMMYFUNCTION("""COMPUTED_VALUE"""),"12/18/2014")</f>
        <v>12/18/2014</v>
      </c>
      <c r="H2240" s="6" t="str">
        <f>IFERROR(__xludf.DUMMYFUNCTION("""COMPUTED_VALUE"""),"Female")</f>
        <v>Female</v>
      </c>
      <c r="I2240" s="6" t="str">
        <f>IFERROR(__xludf.DUMMYFUNCTION("""COMPUTED_VALUE"""),"Level 2")</f>
        <v>Level 2</v>
      </c>
      <c r="J2240" s="6" t="str">
        <f>IFERROR(__xludf.DUMMYFUNCTION("""COMPUTED_VALUE"""),"5")</f>
        <v>5</v>
      </c>
      <c r="K2240" s="6" t="str">
        <f>IFERROR(__xludf.DUMMYFUNCTION("""COMPUTED_VALUE"""),"payson.robinson@2hourlearning.com")</f>
        <v>payson.robinson@2hourlearning.com</v>
      </c>
      <c r="L2240" s="6" t="str">
        <f>IFERROR(__xludf.DUMMYFUNCTION("""COMPUTED_VALUE"""),"Colearn Academy")</f>
        <v>Colearn Academy</v>
      </c>
      <c r="M2240" s="6" t="str">
        <f>IFERROR(__xludf.DUMMYFUNCTION("""COMPUTED_VALUE"""),"")</f>
        <v/>
      </c>
      <c r="N2240" s="6" t="str">
        <f>IFERROR(__xludf.DUMMYFUNCTION("""COMPUTED_VALUE"""),"")</f>
        <v/>
      </c>
      <c r="O2240" s="87" t="str">
        <f>IFERROR(__xludf.DUMMYFUNCTION("""COMPUTED_VALUE"""),"https://drive.google.com/drive/folders/10T2cTQHqEJZqE-st6uFKPoI?usp=share_link")</f>
        <v>https://drive.google.com/drive/folders/10T2cTQHqEJZqE-st6uFKPoI?usp=share_link</v>
      </c>
      <c r="P2240" s="6" t="str">
        <f>IFERROR(__xludf.DUMMYFUNCTION("""COMPUTED_VALUE"""),"Payson Robinson")</f>
        <v>Payson Robinson</v>
      </c>
      <c r="Q2240" s="6" t="str">
        <f>IFERROR(__xludf.DUMMYFUNCTION("""COMPUTED_VALUE"""),"L2")</f>
        <v>L2</v>
      </c>
      <c r="R2240" s="6">
        <f>IFERROR(__xludf.DUMMYFUNCTION("""COMPUTED_VALUE"""),2.0)</f>
        <v>2</v>
      </c>
      <c r="S2240" s="6" t="str">
        <f>IFERROR(__xludf.DUMMYFUNCTION("""COMPUTED_VALUE"""),"A. Robinson")</f>
        <v>A. Robinson</v>
      </c>
      <c r="T2240" s="6" t="str">
        <f>IFERROR(__xludf.DUMMYFUNCTION("""COMPUTED_VALUE"""),"arobinson@colearn.com")</f>
        <v>arobinson@colearn.com</v>
      </c>
      <c r="U2240" s="6" t="str">
        <f>IFERROR(__xludf.DUMMYFUNCTION("""COMPUTED_VALUE"""),"5")</f>
        <v>5</v>
      </c>
      <c r="V2240" s="6" t="str">
        <f>IFERROR(__xludf.DUMMYFUNCTION("""COMPUTED_VALUE"""),"English")</f>
        <v>English</v>
      </c>
      <c r="W2240" s="6" t="str">
        <f>IFERROR(__xludf.DUMMYFUNCTION("""COMPUTED_VALUE"""),"[]")</f>
        <v>[]</v>
      </c>
      <c r="X2240" s="6" t="str">
        <f>IFERROR(__xludf.DUMMYFUNCTION("""COMPUTED_VALUE"""),"Enrolled")</f>
        <v>Enrolled</v>
      </c>
    </row>
    <row r="2241">
      <c r="A2241" s="6" t="str">
        <f>IFERROR(__xludf.DUMMYFUNCTION("""COMPUTED_VALUE"""),"034-2870")</f>
        <v>034-2870</v>
      </c>
      <c r="B2241" s="6" t="str">
        <f>IFERROR(__xludf.DUMMYFUNCTION("""COMPUTED_VALUE"""),"34")</f>
        <v>34</v>
      </c>
      <c r="C2241" s="6" t="str">
        <f>IFERROR(__xludf.DUMMYFUNCTION("""COMPUTED_VALUE"""),"2870")</f>
        <v>2870</v>
      </c>
      <c r="D2241" s="6" t="str">
        <f>IFERROR(__xludf.DUMMYFUNCTION("""COMPUTED_VALUE"""),"Faezon")</f>
        <v>Faezon</v>
      </c>
      <c r="E2241" s="6" t="str">
        <f>IFERROR(__xludf.DUMMYFUNCTION("""COMPUTED_VALUE"""),"")</f>
        <v/>
      </c>
      <c r="F2241" s="6" t="str">
        <f>IFERROR(__xludf.DUMMYFUNCTION("""COMPUTED_VALUE"""),"Philips")</f>
        <v>Philips</v>
      </c>
      <c r="G2241" s="6" t="str">
        <f>IFERROR(__xludf.DUMMYFUNCTION("""COMPUTED_VALUE"""),"02/18/2016")</f>
        <v>02/18/2016</v>
      </c>
      <c r="H2241" s="6" t="str">
        <f>IFERROR(__xludf.DUMMYFUNCTION("""COMPUTED_VALUE"""),"Male")</f>
        <v>Male</v>
      </c>
      <c r="I2241" s="6" t="str">
        <f>IFERROR(__xludf.DUMMYFUNCTION("""COMPUTED_VALUE"""),"Level 1")</f>
        <v>Level 1</v>
      </c>
      <c r="J2241" s="6" t="str">
        <f>IFERROR(__xludf.DUMMYFUNCTION("""COMPUTED_VALUE"""),"3")</f>
        <v>3</v>
      </c>
      <c r="K2241" s="6" t="str">
        <f>IFERROR(__xludf.DUMMYFUNCTION("""COMPUTED_VALUE"""),"faezon.philips@2hourlearning.com")</f>
        <v>faezon.philips@2hourlearning.com</v>
      </c>
      <c r="L2241" s="6" t="str">
        <f>IFERROR(__xludf.DUMMYFUNCTION("""COMPUTED_VALUE"""),"Colearn Academy")</f>
        <v>Colearn Academy</v>
      </c>
      <c r="M2241" s="6" t="str">
        <f>IFERROR(__xludf.DUMMYFUNCTION("""COMPUTED_VALUE"""),"")</f>
        <v/>
      </c>
      <c r="N2241" s="6" t="str">
        <f>IFERROR(__xludf.DUMMYFUNCTION("""COMPUTED_VALUE"""),"")</f>
        <v/>
      </c>
      <c r="O2241" s="87" t="str">
        <f>IFERROR(__xludf.DUMMYFUNCTION("""COMPUTED_VALUE"""),"https://drive.google.com/drive/folders/10T2cTQHqEJZqE-st6uFKPoI?usp=share_link")</f>
        <v>https://drive.google.com/drive/folders/10T2cTQHqEJZqE-st6uFKPoI?usp=share_link</v>
      </c>
      <c r="P2241" s="6" t="str">
        <f>IFERROR(__xludf.DUMMYFUNCTION("""COMPUTED_VALUE"""),"Faezon Philips")</f>
        <v>Faezon Philips</v>
      </c>
      <c r="Q2241" s="6" t="str">
        <f>IFERROR(__xludf.DUMMYFUNCTION("""COMPUTED_VALUE"""),"L1")</f>
        <v>L1</v>
      </c>
      <c r="R2241" s="6">
        <f>IFERROR(__xludf.DUMMYFUNCTION("""COMPUTED_VALUE"""),1.0)</f>
        <v>1</v>
      </c>
      <c r="S2241" s="6" t="str">
        <f>IFERROR(__xludf.DUMMYFUNCTION("""COMPUTED_VALUE"""),"A. Robinson")</f>
        <v>A. Robinson</v>
      </c>
      <c r="T2241" s="6" t="str">
        <f>IFERROR(__xludf.DUMMYFUNCTION("""COMPUTED_VALUE"""),"arobinson@colearn.com")</f>
        <v>arobinson@colearn.com</v>
      </c>
      <c r="U2241" s="6" t="str">
        <f>IFERROR(__xludf.DUMMYFUNCTION("""COMPUTED_VALUE"""),"3")</f>
        <v>3</v>
      </c>
      <c r="V2241" s="6" t="str">
        <f>IFERROR(__xludf.DUMMYFUNCTION("""COMPUTED_VALUE"""),"English")</f>
        <v>English</v>
      </c>
      <c r="W2241" s="6" t="str">
        <f>IFERROR(__xludf.DUMMYFUNCTION("""COMPUTED_VALUE"""),"[]")</f>
        <v>[]</v>
      </c>
      <c r="X2241" s="6" t="str">
        <f>IFERROR(__xludf.DUMMYFUNCTION("""COMPUTED_VALUE"""),"Enrolled")</f>
        <v>Enrolled</v>
      </c>
    </row>
    <row r="2242">
      <c r="A2242" s="6" t="str">
        <f>IFERROR(__xludf.DUMMYFUNCTION("""COMPUTED_VALUE"""),"034-2871")</f>
        <v>034-2871</v>
      </c>
      <c r="B2242" s="6" t="str">
        <f>IFERROR(__xludf.DUMMYFUNCTION("""COMPUTED_VALUE"""),"34")</f>
        <v>34</v>
      </c>
      <c r="C2242" s="6" t="str">
        <f>IFERROR(__xludf.DUMMYFUNCTION("""COMPUTED_VALUE"""),"2871")</f>
        <v>2871</v>
      </c>
      <c r="D2242" s="6" t="str">
        <f>IFERROR(__xludf.DUMMYFUNCTION("""COMPUTED_VALUE"""),"Samuel")</f>
        <v>Samuel</v>
      </c>
      <c r="E2242" s="6" t="str">
        <f>IFERROR(__xludf.DUMMYFUNCTION("""COMPUTED_VALUE"""),"")</f>
        <v/>
      </c>
      <c r="F2242" s="6" t="str">
        <f>IFERROR(__xludf.DUMMYFUNCTION("""COMPUTED_VALUE"""),"Langford-Sanchez")</f>
        <v>Langford-Sanchez</v>
      </c>
      <c r="G2242" s="6" t="str">
        <f>IFERROR(__xludf.DUMMYFUNCTION("""COMPUTED_VALUE"""),"12/06/2010")</f>
        <v>12/06/2010</v>
      </c>
      <c r="H2242" s="6" t="str">
        <f>IFERROR(__xludf.DUMMYFUNCTION("""COMPUTED_VALUE"""),"Male")</f>
        <v>Male</v>
      </c>
      <c r="I2242" s="6" t="str">
        <f>IFERROR(__xludf.DUMMYFUNCTION("""COMPUTED_VALUE"""),"Middle School")</f>
        <v>Middle School</v>
      </c>
      <c r="J2242" s="6" t="str">
        <f>IFERROR(__xludf.DUMMYFUNCTION("""COMPUTED_VALUE"""),"8")</f>
        <v>8</v>
      </c>
      <c r="K2242" s="6" t="str">
        <f>IFERROR(__xludf.DUMMYFUNCTION("""COMPUTED_VALUE"""),"samuel.langford-sanchez@2hourlearning.com")</f>
        <v>samuel.langford-sanchez@2hourlearning.com</v>
      </c>
      <c r="L2242" s="6" t="str">
        <f>IFERROR(__xludf.DUMMYFUNCTION("""COMPUTED_VALUE"""),"Colearn Academy")</f>
        <v>Colearn Academy</v>
      </c>
      <c r="M2242" s="6" t="str">
        <f>IFERROR(__xludf.DUMMYFUNCTION("""COMPUTED_VALUE"""),"")</f>
        <v/>
      </c>
      <c r="N2242" s="6" t="str">
        <f>IFERROR(__xludf.DUMMYFUNCTION("""COMPUTED_VALUE"""),"")</f>
        <v/>
      </c>
      <c r="O2242" s="87" t="str">
        <f>IFERROR(__xludf.DUMMYFUNCTION("""COMPUTED_VALUE"""),"https://drive.google.com/drive/folders/10T2cTQHqEJZqE-st6uFKPoI?usp=share_link")</f>
        <v>https://drive.google.com/drive/folders/10T2cTQHqEJZqE-st6uFKPoI?usp=share_link</v>
      </c>
      <c r="P2242" s="6" t="str">
        <f>IFERROR(__xludf.DUMMYFUNCTION("""COMPUTED_VALUE"""),"Samuel Langford-Sanchez")</f>
        <v>Samuel Langford-Sanchez</v>
      </c>
      <c r="Q2242" s="6" t="str">
        <f>IFERROR(__xludf.DUMMYFUNCTION("""COMPUTED_VALUE"""),"MS")</f>
        <v>MS</v>
      </c>
      <c r="R2242" s="6">
        <f>IFERROR(__xludf.DUMMYFUNCTION("""COMPUTED_VALUE"""),0.0)</f>
        <v>0</v>
      </c>
      <c r="S2242" s="6" t="str">
        <f>IFERROR(__xludf.DUMMYFUNCTION("""COMPUTED_VALUE"""),"A. Robinson")</f>
        <v>A. Robinson</v>
      </c>
      <c r="T2242" s="6" t="str">
        <f>IFERROR(__xludf.DUMMYFUNCTION("""COMPUTED_VALUE"""),"arobinson@colearn.com")</f>
        <v>arobinson@colearn.com</v>
      </c>
      <c r="U2242" s="6" t="str">
        <f>IFERROR(__xludf.DUMMYFUNCTION("""COMPUTED_VALUE"""),"8")</f>
        <v>8</v>
      </c>
      <c r="V2242" s="6" t="str">
        <f>IFERROR(__xludf.DUMMYFUNCTION("""COMPUTED_VALUE"""),"English")</f>
        <v>English</v>
      </c>
      <c r="W2242" s="6" t="str">
        <f>IFERROR(__xludf.DUMMYFUNCTION("""COMPUTED_VALUE"""),"[]")</f>
        <v>[]</v>
      </c>
      <c r="X2242" s="6" t="str">
        <f>IFERROR(__xludf.DUMMYFUNCTION("""COMPUTED_VALUE"""),"Enrolled")</f>
        <v>Enrolled</v>
      </c>
    </row>
    <row r="2243">
      <c r="A2243" s="6" t="str">
        <f>IFERROR(__xludf.DUMMYFUNCTION("""COMPUTED_VALUE"""),"034-3318")</f>
        <v>034-3318</v>
      </c>
      <c r="B2243" s="6" t="str">
        <f>IFERROR(__xludf.DUMMYFUNCTION("""COMPUTED_VALUE"""),"34")</f>
        <v>34</v>
      </c>
      <c r="C2243" s="6" t="str">
        <f>IFERROR(__xludf.DUMMYFUNCTION("""COMPUTED_VALUE"""),"3318")</f>
        <v>3318</v>
      </c>
      <c r="D2243" s="6" t="str">
        <f>IFERROR(__xludf.DUMMYFUNCTION("""COMPUTED_VALUE"""),"Asher")</f>
        <v>Asher</v>
      </c>
      <c r="E2243" s="6" t="str">
        <f>IFERROR(__xludf.DUMMYFUNCTION("""COMPUTED_VALUE"""),"")</f>
        <v/>
      </c>
      <c r="F2243" s="6" t="str">
        <f>IFERROR(__xludf.DUMMYFUNCTION("""COMPUTED_VALUE"""),"Buckner")</f>
        <v>Buckner</v>
      </c>
      <c r="G2243" s="6" t="str">
        <f>IFERROR(__xludf.DUMMYFUNCTION("""COMPUTED_VALUE"""),"01/01/2014")</f>
        <v>01/01/2014</v>
      </c>
      <c r="H2243" s="6" t="str">
        <f>IFERROR(__xludf.DUMMYFUNCTION("""COMPUTED_VALUE"""),"male")</f>
        <v>male</v>
      </c>
      <c r="I2243" s="6" t="str">
        <f>IFERROR(__xludf.DUMMYFUNCTION("""COMPUTED_VALUE"""),"Middle School")</f>
        <v>Middle School</v>
      </c>
      <c r="J2243" s="6" t="str">
        <f>IFERROR(__xludf.DUMMYFUNCTION("""COMPUTED_VALUE"""),"6")</f>
        <v>6</v>
      </c>
      <c r="K2243" s="6" t="str">
        <f>IFERROR(__xludf.DUMMYFUNCTION("""COMPUTED_VALUE"""),"asher.buckner@2hourlearning.com")</f>
        <v>asher.buckner@2hourlearning.com</v>
      </c>
      <c r="L2243" s="6" t="str">
        <f>IFERROR(__xludf.DUMMYFUNCTION("""COMPUTED_VALUE"""),"Colearn Academy")</f>
        <v>Colearn Academy</v>
      </c>
      <c r="M2243" s="6" t="str">
        <f>IFERROR(__xludf.DUMMYFUNCTION("""COMPUTED_VALUE"""),"")</f>
        <v/>
      </c>
      <c r="N2243" s="6" t="str">
        <f>IFERROR(__xludf.DUMMYFUNCTION("""COMPUTED_VALUE"""),"")</f>
        <v/>
      </c>
      <c r="O2243" s="87" t="str">
        <f>IFERROR(__xludf.DUMMYFUNCTION("""COMPUTED_VALUE"""),"https://drive.google.com/drive/folders/10T2cTQHqEJZqE-st6uFKPoI?usp=share_link")</f>
        <v>https://drive.google.com/drive/folders/10T2cTQHqEJZqE-st6uFKPoI?usp=share_link</v>
      </c>
      <c r="P2243" s="6" t="str">
        <f>IFERROR(__xludf.DUMMYFUNCTION("""COMPUTED_VALUE"""),"Asher Buckner")</f>
        <v>Asher Buckner</v>
      </c>
      <c r="Q2243" s="6" t="str">
        <f>IFERROR(__xludf.DUMMYFUNCTION("""COMPUTED_VALUE"""),"MS")</f>
        <v>MS</v>
      </c>
      <c r="R2243" s="6">
        <f>IFERROR(__xludf.DUMMYFUNCTION("""COMPUTED_VALUE"""),0.0)</f>
        <v>0</v>
      </c>
      <c r="S2243" s="6" t="str">
        <f>IFERROR(__xludf.DUMMYFUNCTION("""COMPUTED_VALUE"""),"A. Robinson")</f>
        <v>A. Robinson</v>
      </c>
      <c r="T2243" s="6" t="str">
        <f>IFERROR(__xludf.DUMMYFUNCTION("""COMPUTED_VALUE"""),"arobinson@colearn.com")</f>
        <v>arobinson@colearn.com</v>
      </c>
      <c r="U2243" s="6" t="str">
        <f>IFERROR(__xludf.DUMMYFUNCTION("""COMPUTED_VALUE"""),"6")</f>
        <v>6</v>
      </c>
      <c r="V2243" s="6" t="str">
        <f>IFERROR(__xludf.DUMMYFUNCTION("""COMPUTED_VALUE"""),"")</f>
        <v/>
      </c>
      <c r="W2243" s="6" t="str">
        <f>IFERROR(__xludf.DUMMYFUNCTION("""COMPUTED_VALUE"""),"[]")</f>
        <v>[]</v>
      </c>
      <c r="X2243" s="6" t="str">
        <f>IFERROR(__xludf.DUMMYFUNCTION("""COMPUTED_VALUE"""),"Enrolled")</f>
        <v>Enrolled</v>
      </c>
    </row>
    <row r="2244">
      <c r="A2244" s="6" t="str">
        <f>IFERROR(__xludf.DUMMYFUNCTION("""COMPUTED_VALUE"""),"035-2787")</f>
        <v>035-2787</v>
      </c>
      <c r="B2244" s="6" t="str">
        <f>IFERROR(__xludf.DUMMYFUNCTION("""COMPUTED_VALUE"""),"35")</f>
        <v>35</v>
      </c>
      <c r="C2244" s="6" t="str">
        <f>IFERROR(__xludf.DUMMYFUNCTION("""COMPUTED_VALUE"""),"2787")</f>
        <v>2787</v>
      </c>
      <c r="D2244" s="6" t="str">
        <f>IFERROR(__xludf.DUMMYFUNCTION("""COMPUTED_VALUE"""),"Stella")</f>
        <v>Stella</v>
      </c>
      <c r="E2244" s="6" t="str">
        <f>IFERROR(__xludf.DUMMYFUNCTION("""COMPUTED_VALUE"""),"Stella  Anaipakos")</f>
        <v>Stella  Anaipakos</v>
      </c>
      <c r="F2244" s="6" t="str">
        <f>IFERROR(__xludf.DUMMYFUNCTION("""COMPUTED_VALUE"""),"Anaipakos")</f>
        <v>Anaipakos</v>
      </c>
      <c r="G2244" s="6" t="str">
        <f>IFERROR(__xludf.DUMMYFUNCTION("""COMPUTED_VALUE"""),"06/07/2011")</f>
        <v>06/07/2011</v>
      </c>
      <c r="H2244" s="6" t="str">
        <f>IFERROR(__xludf.DUMMYFUNCTION("""COMPUTED_VALUE"""),"female")</f>
        <v>female</v>
      </c>
      <c r="I2244" s="6" t="str">
        <f>IFERROR(__xludf.DUMMYFUNCTION("""COMPUTED_VALUE"""),"Middle School")</f>
        <v>Middle School</v>
      </c>
      <c r="J2244" s="6" t="str">
        <f>IFERROR(__xludf.DUMMYFUNCTION("""COMPUTED_VALUE"""),"7")</f>
        <v>7</v>
      </c>
      <c r="K2244" s="6" t="str">
        <f>IFERROR(__xludf.DUMMYFUNCTION("""COMPUTED_VALUE"""),"stella.anaipakos@2hourlearning.com")</f>
        <v>stella.anaipakos@2hourlearning.com</v>
      </c>
      <c r="L2244" s="6" t="str">
        <f>IFERROR(__xludf.DUMMYFUNCTION("""COMPUTED_VALUE"""),"ISEE Prep")</f>
        <v>ISEE Prep</v>
      </c>
      <c r="M2244" s="6" t="str">
        <f>IFERROR(__xludf.DUMMYFUNCTION("""COMPUTED_VALUE"""),"")</f>
        <v/>
      </c>
      <c r="N2244" s="6" t="str">
        <f>IFERROR(__xludf.DUMMYFUNCTION("""COMPUTED_VALUE"""),"")</f>
        <v/>
      </c>
      <c r="O2244" s="87" t="str">
        <f>IFERROR(__xludf.DUMMYFUNCTION("""COMPUTED_VALUE"""),"https://drive.google.com/drive/folders/10T2cTQHqEJZqE-st6uFKPoI?usp=share_link")</f>
        <v>https://drive.google.com/drive/folders/10T2cTQHqEJZqE-st6uFKPoI?usp=share_link</v>
      </c>
      <c r="P2244" s="6" t="str">
        <f>IFERROR(__xludf.DUMMYFUNCTION("""COMPUTED_VALUE"""),"Stella Anaipakos")</f>
        <v>Stella Anaipakos</v>
      </c>
      <c r="Q2244" s="6" t="str">
        <f>IFERROR(__xludf.DUMMYFUNCTION("""COMPUTED_VALUE"""),"MS")</f>
        <v>MS</v>
      </c>
      <c r="R2244" s="6">
        <f>IFERROR(__xludf.DUMMYFUNCTION("""COMPUTED_VALUE"""),0.0)</f>
        <v>0</v>
      </c>
      <c r="S2244" s="6" t="str">
        <f>IFERROR(__xludf.DUMMYFUNCTION("""COMPUTED_VALUE""")," ")</f>
        <v> </v>
      </c>
      <c r="T2244" s="6" t="str">
        <f>IFERROR(__xludf.DUMMYFUNCTION("""COMPUTED_VALUE"""),"")</f>
        <v/>
      </c>
      <c r="U2244" s="6" t="str">
        <f>IFERROR(__xludf.DUMMYFUNCTION("""COMPUTED_VALUE"""),"7")</f>
        <v>7</v>
      </c>
      <c r="V2244" s="6" t="str">
        <f>IFERROR(__xludf.DUMMYFUNCTION("""COMPUTED_VALUE"""),"")</f>
        <v/>
      </c>
      <c r="W2244" s="6" t="str">
        <f>IFERROR(__xludf.DUMMYFUNCTION("""COMPUTED_VALUE"""),"[]")</f>
        <v>[]</v>
      </c>
      <c r="X2244" s="6" t="str">
        <f>IFERROR(__xludf.DUMMYFUNCTION("""COMPUTED_VALUE"""),"Enrolled")</f>
        <v>Enrolled</v>
      </c>
    </row>
    <row r="2245">
      <c r="A2245" s="6" t="str">
        <f>IFERROR(__xludf.DUMMYFUNCTION("""COMPUTED_VALUE"""),"036-10945")</f>
        <v>036-10945</v>
      </c>
      <c r="B2245" s="6" t="str">
        <f>IFERROR(__xludf.DUMMYFUNCTION("""COMPUTED_VALUE"""),"36")</f>
        <v>36</v>
      </c>
      <c r="C2245" s="6" t="str">
        <f>IFERROR(__xludf.DUMMYFUNCTION("""COMPUTED_VALUE"""),"10945")</f>
        <v>10945</v>
      </c>
      <c r="D2245" s="6" t="str">
        <f>IFERROR(__xludf.DUMMYFUNCTION("""COMPUTED_VALUE"""),"Paul")</f>
        <v>Paul</v>
      </c>
      <c r="E2245" s="6" t="str">
        <f>IFERROR(__xludf.DUMMYFUNCTION("""COMPUTED_VALUE"""),"")</f>
        <v/>
      </c>
      <c r="F2245" s="6" t="str">
        <f>IFERROR(__xludf.DUMMYFUNCTION("""COMPUTED_VALUE"""),"Kennedy")</f>
        <v>Kennedy</v>
      </c>
      <c r="G2245" s="6" t="str">
        <f>IFERROR(__xludf.DUMMYFUNCTION("""COMPUTED_VALUE"""),"05/06/2015")</f>
        <v>05/06/2015</v>
      </c>
      <c r="H2245" s="6" t="str">
        <f>IFERROR(__xludf.DUMMYFUNCTION("""COMPUTED_VALUE"""),"Self Identify")</f>
        <v>Self Identify</v>
      </c>
      <c r="I2245" s="6" t="str">
        <f>IFERROR(__xludf.DUMMYFUNCTION("""COMPUTED_VALUE"""),"Level 2")</f>
        <v>Level 2</v>
      </c>
      <c r="J2245" s="6" t="str">
        <f>IFERROR(__xludf.DUMMYFUNCTION("""COMPUTED_VALUE"""),"4")</f>
        <v>4</v>
      </c>
      <c r="K2245" s="6" t="str">
        <f>IFERROR(__xludf.DUMMYFUNCTION("""COMPUTED_VALUE"""),"paul.kennedy@2hourlearning.com")</f>
        <v>paul.kennedy@2hourlearning.com</v>
      </c>
      <c r="L2245" s="6" t="str">
        <f>IFERROR(__xludf.DUMMYFUNCTION("""COMPUTED_VALUE"""),"Living Water Elementary")</f>
        <v>Living Water Elementary</v>
      </c>
      <c r="M2245" s="6" t="str">
        <f>IFERROR(__xludf.DUMMYFUNCTION("""COMPUTED_VALUE"""),"")</f>
        <v/>
      </c>
      <c r="N2245" s="6" t="str">
        <f>IFERROR(__xludf.DUMMYFUNCTION("""COMPUTED_VALUE"""),"")</f>
        <v/>
      </c>
      <c r="O2245" s="87" t="str">
        <f>IFERROR(__xludf.DUMMYFUNCTION("""COMPUTED_VALUE"""),"https://drive.google.com/drive/folders/10T2cTQHqEJZqE-st6uFKPoI?usp=share_link")</f>
        <v>https://drive.google.com/drive/folders/10T2cTQHqEJZqE-st6uFKPoI?usp=share_link</v>
      </c>
      <c r="P2245" s="6" t="str">
        <f>IFERROR(__xludf.DUMMYFUNCTION("""COMPUTED_VALUE"""),"Paul Kennedy")</f>
        <v>Paul Kennedy</v>
      </c>
      <c r="Q2245" s="6" t="str">
        <f>IFERROR(__xludf.DUMMYFUNCTION("""COMPUTED_VALUE"""),"L2")</f>
        <v>L2</v>
      </c>
      <c r="R2245" s="6">
        <f>IFERROR(__xludf.DUMMYFUNCTION("""COMPUTED_VALUE"""),2.0)</f>
        <v>2</v>
      </c>
      <c r="S2245" s="6" t="str">
        <f>IFERROR(__xludf.DUMMYFUNCTION("""COMPUTED_VALUE""")," ")</f>
        <v> </v>
      </c>
      <c r="T2245" s="6" t="str">
        <f>IFERROR(__xludf.DUMMYFUNCTION("""COMPUTED_VALUE"""),"")</f>
        <v/>
      </c>
      <c r="U2245" s="6" t="str">
        <f>IFERROR(__xludf.DUMMYFUNCTION("""COMPUTED_VALUE"""),"4")</f>
        <v>4</v>
      </c>
      <c r="V2245" s="6" t="str">
        <f>IFERROR(__xludf.DUMMYFUNCTION("""COMPUTED_VALUE"""),"")</f>
        <v/>
      </c>
      <c r="W2245" s="6" t="str">
        <f>IFERROR(__xludf.DUMMYFUNCTION("""COMPUTED_VALUE"""),"[]")</f>
        <v>[]</v>
      </c>
      <c r="X2245" s="6" t="str">
        <f>IFERROR(__xludf.DUMMYFUNCTION("""COMPUTED_VALUE"""),"Enrolled")</f>
        <v>Enrolled</v>
      </c>
    </row>
    <row r="2246">
      <c r="A2246" s="6" t="str">
        <f>IFERROR(__xludf.DUMMYFUNCTION("""COMPUTED_VALUE"""),"036-3579")</f>
        <v>036-3579</v>
      </c>
      <c r="B2246" s="6" t="str">
        <f>IFERROR(__xludf.DUMMYFUNCTION("""COMPUTED_VALUE"""),"36")</f>
        <v>36</v>
      </c>
      <c r="C2246" s="6" t="str">
        <f>IFERROR(__xludf.DUMMYFUNCTION("""COMPUTED_VALUE"""),"3579")</f>
        <v>3579</v>
      </c>
      <c r="D2246" s="6" t="str">
        <f>IFERROR(__xludf.DUMMYFUNCTION("""COMPUTED_VALUE"""),"Guide")</f>
        <v>Guide</v>
      </c>
      <c r="E2246" s="6" t="str">
        <f>IFERROR(__xludf.DUMMYFUNCTION("""COMPUTED_VALUE"""),"")</f>
        <v/>
      </c>
      <c r="F2246" s="6" t="str">
        <f>IFERROR(__xludf.DUMMYFUNCTION("""COMPUTED_VALUE"""),"Sixth Grade8")</f>
        <v>Sixth Grade8</v>
      </c>
      <c r="G2246" s="6" t="str">
        <f>IFERROR(__xludf.DUMMYFUNCTION("""COMPUTED_VALUE"""),"01/01/2014")</f>
        <v>01/01/2014</v>
      </c>
      <c r="H2246" s="6" t="str">
        <f>IFERROR(__xludf.DUMMYFUNCTION("""COMPUTED_VALUE"""),"female")</f>
        <v>female</v>
      </c>
      <c r="I2246" s="6" t="str">
        <f>IFERROR(__xludf.DUMMYFUNCTION("""COMPUTED_VALUE"""),"Middle School")</f>
        <v>Middle School</v>
      </c>
      <c r="J2246" s="6" t="str">
        <f>IFERROR(__xludf.DUMMYFUNCTION("""COMPUTED_VALUE"""),"6")</f>
        <v>6</v>
      </c>
      <c r="K2246" s="6" t="str">
        <f>IFERROR(__xludf.DUMMYFUNCTION("""COMPUTED_VALUE"""),"guide.sixth8@2hourlearning.com")</f>
        <v>guide.sixth8@2hourlearning.com</v>
      </c>
      <c r="L2246" s="6" t="str">
        <f>IFERROR(__xludf.DUMMYFUNCTION("""COMPUTED_VALUE"""),"Living Water Elementary")</f>
        <v>Living Water Elementary</v>
      </c>
      <c r="M2246" s="6" t="str">
        <f>IFERROR(__xludf.DUMMYFUNCTION("""COMPUTED_VALUE"""),"Guide")</f>
        <v>Guide</v>
      </c>
      <c r="N2246" s="6" t="str">
        <f>IFERROR(__xludf.DUMMYFUNCTION("""COMPUTED_VALUE"""),"")</f>
        <v/>
      </c>
      <c r="O2246" s="87" t="str">
        <f>IFERROR(__xludf.DUMMYFUNCTION("""COMPUTED_VALUE"""),"https://drive.google.com/drive/folders/10T2cTQHqEJZqE-st6uFKPoI?usp=share_link")</f>
        <v>https://drive.google.com/drive/folders/10T2cTQHqEJZqE-st6uFKPoI?usp=share_link</v>
      </c>
      <c r="P2246" s="6" t="str">
        <f>IFERROR(__xludf.DUMMYFUNCTION("""COMPUTED_VALUE"""),"Guide Sixth Grade8")</f>
        <v>Guide Sixth Grade8</v>
      </c>
      <c r="Q2246" s="6" t="str">
        <f>IFERROR(__xludf.DUMMYFUNCTION("""COMPUTED_VALUE"""),"MS")</f>
        <v>MS</v>
      </c>
      <c r="R2246" s="6">
        <f>IFERROR(__xludf.DUMMYFUNCTION("""COMPUTED_VALUE"""),0.0)</f>
        <v>0</v>
      </c>
      <c r="S2246" s="6" t="str">
        <f>IFERROR(__xludf.DUMMYFUNCTION("""COMPUTED_VALUE""")," ")</f>
        <v> </v>
      </c>
      <c r="T2246" s="6" t="str">
        <f>IFERROR(__xludf.DUMMYFUNCTION("""COMPUTED_VALUE"""),"")</f>
        <v/>
      </c>
      <c r="U2246" s="6" t="str">
        <f>IFERROR(__xludf.DUMMYFUNCTION("""COMPUTED_VALUE"""),"6")</f>
        <v>6</v>
      </c>
      <c r="V2246" s="6" t="str">
        <f>IFERROR(__xludf.DUMMYFUNCTION("""COMPUTED_VALUE"""),"")</f>
        <v/>
      </c>
      <c r="W2246" s="6" t="str">
        <f>IFERROR(__xludf.DUMMYFUNCTION("""COMPUTED_VALUE"""),"[]")</f>
        <v>[]</v>
      </c>
      <c r="X2246" s="6" t="str">
        <f>IFERROR(__xludf.DUMMYFUNCTION("""COMPUTED_VALUE"""),"Enrolled")</f>
        <v>Enrolled</v>
      </c>
    </row>
    <row r="2247">
      <c r="A2247" s="6" t="str">
        <f>IFERROR(__xludf.DUMMYFUNCTION("""COMPUTED_VALUE"""),"036-4480")</f>
        <v>036-4480</v>
      </c>
      <c r="B2247" s="6" t="str">
        <f>IFERROR(__xludf.DUMMYFUNCTION("""COMPUTED_VALUE"""),"36")</f>
        <v>36</v>
      </c>
      <c r="C2247" s="6" t="str">
        <f>IFERROR(__xludf.DUMMYFUNCTION("""COMPUTED_VALUE"""),"4480")</f>
        <v>4480</v>
      </c>
      <c r="D2247" s="6" t="str">
        <f>IFERROR(__xludf.DUMMYFUNCTION("""COMPUTED_VALUE"""),"Catherine")</f>
        <v>Catherine</v>
      </c>
      <c r="E2247" s="6" t="str">
        <f>IFERROR(__xludf.DUMMYFUNCTION("""COMPUTED_VALUE"""),"")</f>
        <v/>
      </c>
      <c r="F2247" s="6" t="str">
        <f>IFERROR(__xludf.DUMMYFUNCTION("""COMPUTED_VALUE"""),"DeYmaz")</f>
        <v>DeYmaz</v>
      </c>
      <c r="G2247" s="6" t="str">
        <f>IFERROR(__xludf.DUMMYFUNCTION("""COMPUTED_VALUE"""),"01/04/2015")</f>
        <v>01/04/2015</v>
      </c>
      <c r="H2247" s="6" t="str">
        <f>IFERROR(__xludf.DUMMYFUNCTION("""COMPUTED_VALUE"""),"female")</f>
        <v>female</v>
      </c>
      <c r="I2247" s="6" t="str">
        <f>IFERROR(__xludf.DUMMYFUNCTION("""COMPUTED_VALUE"""),"Level 2")</f>
        <v>Level 2</v>
      </c>
      <c r="J2247" s="6" t="str">
        <f>IFERROR(__xludf.DUMMYFUNCTION("""COMPUTED_VALUE"""),"5")</f>
        <v>5</v>
      </c>
      <c r="K2247" s="6" t="str">
        <f>IFERROR(__xludf.DUMMYFUNCTION("""COMPUTED_VALUE"""),"catherine.deymaz@2hourlearning.com")</f>
        <v>catherine.deymaz@2hourlearning.com</v>
      </c>
      <c r="L2247" s="6" t="str">
        <f>IFERROR(__xludf.DUMMYFUNCTION("""COMPUTED_VALUE"""),"Living Water Elementary")</f>
        <v>Living Water Elementary</v>
      </c>
      <c r="M2247" s="6" t="str">
        <f>IFERROR(__xludf.DUMMYFUNCTION("""COMPUTED_VALUE"""),"")</f>
        <v/>
      </c>
      <c r="N2247" s="6" t="str">
        <f>IFERROR(__xludf.DUMMYFUNCTION("""COMPUTED_VALUE"""),"")</f>
        <v/>
      </c>
      <c r="O2247" s="87" t="str">
        <f>IFERROR(__xludf.DUMMYFUNCTION("""COMPUTED_VALUE"""),"https://drive.google.com/drive/folders/10T2cTQHqEJZqE-st6uFKPoI?usp=share_link")</f>
        <v>https://drive.google.com/drive/folders/10T2cTQHqEJZqE-st6uFKPoI?usp=share_link</v>
      </c>
      <c r="P2247" s="6" t="str">
        <f>IFERROR(__xludf.DUMMYFUNCTION("""COMPUTED_VALUE"""),"Catherine DeYmaz")</f>
        <v>Catherine DeYmaz</v>
      </c>
      <c r="Q2247" s="6" t="str">
        <f>IFERROR(__xludf.DUMMYFUNCTION("""COMPUTED_VALUE"""),"L2")</f>
        <v>L2</v>
      </c>
      <c r="R2247" s="6">
        <f>IFERROR(__xludf.DUMMYFUNCTION("""COMPUTED_VALUE"""),2.0)</f>
        <v>2</v>
      </c>
      <c r="S2247" s="6" t="str">
        <f>IFERROR(__xludf.DUMMYFUNCTION("""COMPUTED_VALUE""")," ")</f>
        <v> </v>
      </c>
      <c r="T2247" s="6" t="str">
        <f>IFERROR(__xludf.DUMMYFUNCTION("""COMPUTED_VALUE"""),"")</f>
        <v/>
      </c>
      <c r="U2247" s="6" t="str">
        <f>IFERROR(__xludf.DUMMYFUNCTION("""COMPUTED_VALUE"""),"5")</f>
        <v>5</v>
      </c>
      <c r="V2247" s="6" t="str">
        <f>IFERROR(__xludf.DUMMYFUNCTION("""COMPUTED_VALUE"""),"English")</f>
        <v>English</v>
      </c>
      <c r="W2247" s="6" t="str">
        <f>IFERROR(__xludf.DUMMYFUNCTION("""COMPUTED_VALUE"""),"[]")</f>
        <v>[]</v>
      </c>
      <c r="X2247" s="6" t="str">
        <f>IFERROR(__xludf.DUMMYFUNCTION("""COMPUTED_VALUE"""),"Enrolled")</f>
        <v>Enrolled</v>
      </c>
    </row>
    <row r="2248">
      <c r="A2248" s="6" t="str">
        <f>IFERROR(__xludf.DUMMYFUNCTION("""COMPUTED_VALUE"""),"036-4481")</f>
        <v>036-4481</v>
      </c>
      <c r="B2248" s="6" t="str">
        <f>IFERROR(__xludf.DUMMYFUNCTION("""COMPUTED_VALUE"""),"36")</f>
        <v>36</v>
      </c>
      <c r="C2248" s="6" t="str">
        <f>IFERROR(__xludf.DUMMYFUNCTION("""COMPUTED_VALUE"""),"4481")</f>
        <v>4481</v>
      </c>
      <c r="D2248" s="6" t="str">
        <f>IFERROR(__xludf.DUMMYFUNCTION("""COMPUTED_VALUE"""),"Noah")</f>
        <v>Noah</v>
      </c>
      <c r="E2248" s="6" t="str">
        <f>IFERROR(__xludf.DUMMYFUNCTION("""COMPUTED_VALUE"""),"")</f>
        <v/>
      </c>
      <c r="F2248" s="6" t="str">
        <f>IFERROR(__xludf.DUMMYFUNCTION("""COMPUTED_VALUE"""),"Dunn")</f>
        <v>Dunn</v>
      </c>
      <c r="G2248" s="6" t="str">
        <f>IFERROR(__xludf.DUMMYFUNCTION("""COMPUTED_VALUE"""),"01/05/2015")</f>
        <v>01/05/2015</v>
      </c>
      <c r="H2248" s="6" t="str">
        <f>IFERROR(__xludf.DUMMYFUNCTION("""COMPUTED_VALUE"""),"male")</f>
        <v>male</v>
      </c>
      <c r="I2248" s="6" t="str">
        <f>IFERROR(__xludf.DUMMYFUNCTION("""COMPUTED_VALUE"""),"Level 2")</f>
        <v>Level 2</v>
      </c>
      <c r="J2248" s="6" t="str">
        <f>IFERROR(__xludf.DUMMYFUNCTION("""COMPUTED_VALUE"""),"5")</f>
        <v>5</v>
      </c>
      <c r="K2248" s="6" t="str">
        <f>IFERROR(__xludf.DUMMYFUNCTION("""COMPUTED_VALUE"""),"noah.dunn@2hourlearning.com")</f>
        <v>noah.dunn@2hourlearning.com</v>
      </c>
      <c r="L2248" s="6" t="str">
        <f>IFERROR(__xludf.DUMMYFUNCTION("""COMPUTED_VALUE"""),"Living Water Elementary")</f>
        <v>Living Water Elementary</v>
      </c>
      <c r="M2248" s="6" t="str">
        <f>IFERROR(__xludf.DUMMYFUNCTION("""COMPUTED_VALUE"""),"")</f>
        <v/>
      </c>
      <c r="N2248" s="6" t="str">
        <f>IFERROR(__xludf.DUMMYFUNCTION("""COMPUTED_VALUE"""),"")</f>
        <v/>
      </c>
      <c r="O2248" s="87" t="str">
        <f>IFERROR(__xludf.DUMMYFUNCTION("""COMPUTED_VALUE"""),"https://drive.google.com/drive/folders/10T2cTQHqEJZqE-st6uFKPoI?usp=share_link")</f>
        <v>https://drive.google.com/drive/folders/10T2cTQHqEJZqE-st6uFKPoI?usp=share_link</v>
      </c>
      <c r="P2248" s="6" t="str">
        <f>IFERROR(__xludf.DUMMYFUNCTION("""COMPUTED_VALUE"""),"Noah Dunn")</f>
        <v>Noah Dunn</v>
      </c>
      <c r="Q2248" s="6" t="str">
        <f>IFERROR(__xludf.DUMMYFUNCTION("""COMPUTED_VALUE"""),"L2")</f>
        <v>L2</v>
      </c>
      <c r="R2248" s="6">
        <f>IFERROR(__xludf.DUMMYFUNCTION("""COMPUTED_VALUE"""),2.0)</f>
        <v>2</v>
      </c>
      <c r="S2248" s="6" t="str">
        <f>IFERROR(__xludf.DUMMYFUNCTION("""COMPUTED_VALUE""")," ")</f>
        <v> </v>
      </c>
      <c r="T2248" s="6" t="str">
        <f>IFERROR(__xludf.DUMMYFUNCTION("""COMPUTED_VALUE"""),"")</f>
        <v/>
      </c>
      <c r="U2248" s="6" t="str">
        <f>IFERROR(__xludf.DUMMYFUNCTION("""COMPUTED_VALUE"""),"5")</f>
        <v>5</v>
      </c>
      <c r="V2248" s="6" t="str">
        <f>IFERROR(__xludf.DUMMYFUNCTION("""COMPUTED_VALUE"""),"English")</f>
        <v>English</v>
      </c>
      <c r="W2248" s="6" t="str">
        <f>IFERROR(__xludf.DUMMYFUNCTION("""COMPUTED_VALUE"""),"[]")</f>
        <v>[]</v>
      </c>
      <c r="X2248" s="6" t="str">
        <f>IFERROR(__xludf.DUMMYFUNCTION("""COMPUTED_VALUE"""),"Enrolled")</f>
        <v>Enrolled</v>
      </c>
    </row>
    <row r="2249">
      <c r="A2249" s="6" t="str">
        <f>IFERROR(__xludf.DUMMYFUNCTION("""COMPUTED_VALUE"""),"036-4482")</f>
        <v>036-4482</v>
      </c>
      <c r="B2249" s="6" t="str">
        <f>IFERROR(__xludf.DUMMYFUNCTION("""COMPUTED_VALUE"""),"36")</f>
        <v>36</v>
      </c>
      <c r="C2249" s="6" t="str">
        <f>IFERROR(__xludf.DUMMYFUNCTION("""COMPUTED_VALUE"""),"4482")</f>
        <v>4482</v>
      </c>
      <c r="D2249" s="6" t="str">
        <f>IFERROR(__xludf.DUMMYFUNCTION("""COMPUTED_VALUE"""),"Nora")</f>
        <v>Nora</v>
      </c>
      <c r="E2249" s="6" t="str">
        <f>IFERROR(__xludf.DUMMYFUNCTION("""COMPUTED_VALUE"""),"")</f>
        <v/>
      </c>
      <c r="F2249" s="6" t="str">
        <f>IFERROR(__xludf.DUMMYFUNCTION("""COMPUTED_VALUE"""),"Haynes")</f>
        <v>Haynes</v>
      </c>
      <c r="G2249" s="6" t="str">
        <f>IFERROR(__xludf.DUMMYFUNCTION("""COMPUTED_VALUE"""),"08/11/2014")</f>
        <v>08/11/2014</v>
      </c>
      <c r="H2249" s="6" t="str">
        <f>IFERROR(__xludf.DUMMYFUNCTION("""COMPUTED_VALUE"""),"female")</f>
        <v>female</v>
      </c>
      <c r="I2249" s="6" t="str">
        <f>IFERROR(__xludf.DUMMYFUNCTION("""COMPUTED_VALUE"""),"Level 2")</f>
        <v>Level 2</v>
      </c>
      <c r="J2249" s="6" t="str">
        <f>IFERROR(__xludf.DUMMYFUNCTION("""COMPUTED_VALUE"""),"5")</f>
        <v>5</v>
      </c>
      <c r="K2249" s="6" t="str">
        <f>IFERROR(__xludf.DUMMYFUNCTION("""COMPUTED_VALUE"""),"nora.haynes@2hourlearning.com")</f>
        <v>nora.haynes@2hourlearning.com</v>
      </c>
      <c r="L2249" s="6" t="str">
        <f>IFERROR(__xludf.DUMMYFUNCTION("""COMPUTED_VALUE"""),"Living Water Elementary")</f>
        <v>Living Water Elementary</v>
      </c>
      <c r="M2249" s="6" t="str">
        <f>IFERROR(__xludf.DUMMYFUNCTION("""COMPUTED_VALUE"""),"")</f>
        <v/>
      </c>
      <c r="N2249" s="6" t="str">
        <f>IFERROR(__xludf.DUMMYFUNCTION("""COMPUTED_VALUE"""),"")</f>
        <v/>
      </c>
      <c r="O2249" s="87" t="str">
        <f>IFERROR(__xludf.DUMMYFUNCTION("""COMPUTED_VALUE"""),"https://drive.google.com/drive/folders/10T2cTQHqEJZqE-st6uFKPoI?usp=share_link")</f>
        <v>https://drive.google.com/drive/folders/10T2cTQHqEJZqE-st6uFKPoI?usp=share_link</v>
      </c>
      <c r="P2249" s="6" t="str">
        <f>IFERROR(__xludf.DUMMYFUNCTION("""COMPUTED_VALUE"""),"Nora Haynes")</f>
        <v>Nora Haynes</v>
      </c>
      <c r="Q2249" s="6" t="str">
        <f>IFERROR(__xludf.DUMMYFUNCTION("""COMPUTED_VALUE"""),"L2")</f>
        <v>L2</v>
      </c>
      <c r="R2249" s="6">
        <f>IFERROR(__xludf.DUMMYFUNCTION("""COMPUTED_VALUE"""),2.0)</f>
        <v>2</v>
      </c>
      <c r="S2249" s="6" t="str">
        <f>IFERROR(__xludf.DUMMYFUNCTION("""COMPUTED_VALUE""")," ")</f>
        <v> </v>
      </c>
      <c r="T2249" s="6" t="str">
        <f>IFERROR(__xludf.DUMMYFUNCTION("""COMPUTED_VALUE"""),"")</f>
        <v/>
      </c>
      <c r="U2249" s="6" t="str">
        <f>IFERROR(__xludf.DUMMYFUNCTION("""COMPUTED_VALUE"""),"5")</f>
        <v>5</v>
      </c>
      <c r="V2249" s="6" t="str">
        <f>IFERROR(__xludf.DUMMYFUNCTION("""COMPUTED_VALUE"""),"English")</f>
        <v>English</v>
      </c>
      <c r="W2249" s="6" t="str">
        <f>IFERROR(__xludf.DUMMYFUNCTION("""COMPUTED_VALUE"""),"[]")</f>
        <v>[]</v>
      </c>
      <c r="X2249" s="6" t="str">
        <f>IFERROR(__xludf.DUMMYFUNCTION("""COMPUTED_VALUE"""),"Enrolled")</f>
        <v>Enrolled</v>
      </c>
    </row>
    <row r="2250">
      <c r="A2250" s="6" t="str">
        <f>IFERROR(__xludf.DUMMYFUNCTION("""COMPUTED_VALUE"""),"036-4483")</f>
        <v>036-4483</v>
      </c>
      <c r="B2250" s="6" t="str">
        <f>IFERROR(__xludf.DUMMYFUNCTION("""COMPUTED_VALUE"""),"36")</f>
        <v>36</v>
      </c>
      <c r="C2250" s="6" t="str">
        <f>IFERROR(__xludf.DUMMYFUNCTION("""COMPUTED_VALUE"""),"4483")</f>
        <v>4483</v>
      </c>
      <c r="D2250" s="6" t="str">
        <f>IFERROR(__xludf.DUMMYFUNCTION("""COMPUTED_VALUE"""),"Revel")</f>
        <v>Revel</v>
      </c>
      <c r="E2250" s="6" t="str">
        <f>IFERROR(__xludf.DUMMYFUNCTION("""COMPUTED_VALUE"""),"")</f>
        <v/>
      </c>
      <c r="F2250" s="6" t="str">
        <f>IFERROR(__xludf.DUMMYFUNCTION("""COMPUTED_VALUE"""),"Hurley")</f>
        <v>Hurley</v>
      </c>
      <c r="G2250" s="6" t="str">
        <f>IFERROR(__xludf.DUMMYFUNCTION("""COMPUTED_VALUE"""),"09/09/2014")</f>
        <v>09/09/2014</v>
      </c>
      <c r="H2250" s="6" t="str">
        <f>IFERROR(__xludf.DUMMYFUNCTION("""COMPUTED_VALUE"""),"female")</f>
        <v>female</v>
      </c>
      <c r="I2250" s="6" t="str">
        <f>IFERROR(__xludf.DUMMYFUNCTION("""COMPUTED_VALUE"""),"Level 2")</f>
        <v>Level 2</v>
      </c>
      <c r="J2250" s="6" t="str">
        <f>IFERROR(__xludf.DUMMYFUNCTION("""COMPUTED_VALUE"""),"5")</f>
        <v>5</v>
      </c>
      <c r="K2250" s="6" t="str">
        <f>IFERROR(__xludf.DUMMYFUNCTION("""COMPUTED_VALUE"""),"revel.hurley@2hourlearning.com")</f>
        <v>revel.hurley@2hourlearning.com</v>
      </c>
      <c r="L2250" s="6" t="str">
        <f>IFERROR(__xludf.DUMMYFUNCTION("""COMPUTED_VALUE"""),"Living Water Elementary")</f>
        <v>Living Water Elementary</v>
      </c>
      <c r="M2250" s="6" t="str">
        <f>IFERROR(__xludf.DUMMYFUNCTION("""COMPUTED_VALUE"""),"")</f>
        <v/>
      </c>
      <c r="N2250" s="6" t="str">
        <f>IFERROR(__xludf.DUMMYFUNCTION("""COMPUTED_VALUE"""),"")</f>
        <v/>
      </c>
      <c r="O2250" s="87" t="str">
        <f>IFERROR(__xludf.DUMMYFUNCTION("""COMPUTED_VALUE"""),"https://drive.google.com/drive/folders/10T2cTQHqEJZqE-st6uFKPoI?usp=share_link")</f>
        <v>https://drive.google.com/drive/folders/10T2cTQHqEJZqE-st6uFKPoI?usp=share_link</v>
      </c>
      <c r="P2250" s="6" t="str">
        <f>IFERROR(__xludf.DUMMYFUNCTION("""COMPUTED_VALUE"""),"Revel Hurley")</f>
        <v>Revel Hurley</v>
      </c>
      <c r="Q2250" s="6" t="str">
        <f>IFERROR(__xludf.DUMMYFUNCTION("""COMPUTED_VALUE"""),"L2")</f>
        <v>L2</v>
      </c>
      <c r="R2250" s="6">
        <f>IFERROR(__xludf.DUMMYFUNCTION("""COMPUTED_VALUE"""),2.0)</f>
        <v>2</v>
      </c>
      <c r="S2250" s="6" t="str">
        <f>IFERROR(__xludf.DUMMYFUNCTION("""COMPUTED_VALUE""")," ")</f>
        <v> </v>
      </c>
      <c r="T2250" s="6" t="str">
        <f>IFERROR(__xludf.DUMMYFUNCTION("""COMPUTED_VALUE"""),"")</f>
        <v/>
      </c>
      <c r="U2250" s="6" t="str">
        <f>IFERROR(__xludf.DUMMYFUNCTION("""COMPUTED_VALUE"""),"5")</f>
        <v>5</v>
      </c>
      <c r="V2250" s="6" t="str">
        <f>IFERROR(__xludf.DUMMYFUNCTION("""COMPUTED_VALUE"""),"English")</f>
        <v>English</v>
      </c>
      <c r="W2250" s="6" t="str">
        <f>IFERROR(__xludf.DUMMYFUNCTION("""COMPUTED_VALUE"""),"[]")</f>
        <v>[]</v>
      </c>
      <c r="X2250" s="6" t="str">
        <f>IFERROR(__xludf.DUMMYFUNCTION("""COMPUTED_VALUE"""),"Enrolled")</f>
        <v>Enrolled</v>
      </c>
    </row>
    <row r="2251">
      <c r="A2251" s="6" t="str">
        <f>IFERROR(__xludf.DUMMYFUNCTION("""COMPUTED_VALUE"""),"036-4484")</f>
        <v>036-4484</v>
      </c>
      <c r="B2251" s="6" t="str">
        <f>IFERROR(__xludf.DUMMYFUNCTION("""COMPUTED_VALUE"""),"36")</f>
        <v>36</v>
      </c>
      <c r="C2251" s="6" t="str">
        <f>IFERROR(__xludf.DUMMYFUNCTION("""COMPUTED_VALUE"""),"4484")</f>
        <v>4484</v>
      </c>
      <c r="D2251" s="6" t="str">
        <f>IFERROR(__xludf.DUMMYFUNCTION("""COMPUTED_VALUE"""),"Evelyn")</f>
        <v>Evelyn</v>
      </c>
      <c r="E2251" s="6" t="str">
        <f>IFERROR(__xludf.DUMMYFUNCTION("""COMPUTED_VALUE"""),"")</f>
        <v/>
      </c>
      <c r="F2251" s="6" t="str">
        <f>IFERROR(__xludf.DUMMYFUNCTION("""COMPUTED_VALUE"""),"Meyer")</f>
        <v>Meyer</v>
      </c>
      <c r="G2251" s="6" t="str">
        <f>IFERROR(__xludf.DUMMYFUNCTION("""COMPUTED_VALUE"""),"06/23/2015")</f>
        <v>06/23/2015</v>
      </c>
      <c r="H2251" s="6" t="str">
        <f>IFERROR(__xludf.DUMMYFUNCTION("""COMPUTED_VALUE"""),"female")</f>
        <v>female</v>
      </c>
      <c r="I2251" s="6" t="str">
        <f>IFERROR(__xludf.DUMMYFUNCTION("""COMPUTED_VALUE"""),"Level 2")</f>
        <v>Level 2</v>
      </c>
      <c r="J2251" s="6" t="str">
        <f>IFERROR(__xludf.DUMMYFUNCTION("""COMPUTED_VALUE"""),"5")</f>
        <v>5</v>
      </c>
      <c r="K2251" s="6" t="str">
        <f>IFERROR(__xludf.DUMMYFUNCTION("""COMPUTED_VALUE"""),"evelyn.meyer@2hourlearning.com")</f>
        <v>evelyn.meyer@2hourlearning.com</v>
      </c>
      <c r="L2251" s="6" t="str">
        <f>IFERROR(__xludf.DUMMYFUNCTION("""COMPUTED_VALUE"""),"Living Water Elementary")</f>
        <v>Living Water Elementary</v>
      </c>
      <c r="M2251" s="6" t="str">
        <f>IFERROR(__xludf.DUMMYFUNCTION("""COMPUTED_VALUE"""),"")</f>
        <v/>
      </c>
      <c r="N2251" s="6" t="str">
        <f>IFERROR(__xludf.DUMMYFUNCTION("""COMPUTED_VALUE"""),"")</f>
        <v/>
      </c>
      <c r="O2251" s="87" t="str">
        <f>IFERROR(__xludf.DUMMYFUNCTION("""COMPUTED_VALUE"""),"https://drive.google.com/drive/folders/10T2cTQHqEJZqE-st6uFKPoI?usp=share_link")</f>
        <v>https://drive.google.com/drive/folders/10T2cTQHqEJZqE-st6uFKPoI?usp=share_link</v>
      </c>
      <c r="P2251" s="6" t="str">
        <f>IFERROR(__xludf.DUMMYFUNCTION("""COMPUTED_VALUE"""),"Evelyn Meyer")</f>
        <v>Evelyn Meyer</v>
      </c>
      <c r="Q2251" s="6" t="str">
        <f>IFERROR(__xludf.DUMMYFUNCTION("""COMPUTED_VALUE"""),"L2")</f>
        <v>L2</v>
      </c>
      <c r="R2251" s="6">
        <f>IFERROR(__xludf.DUMMYFUNCTION("""COMPUTED_VALUE"""),2.0)</f>
        <v>2</v>
      </c>
      <c r="S2251" s="6" t="str">
        <f>IFERROR(__xludf.DUMMYFUNCTION("""COMPUTED_VALUE""")," ")</f>
        <v> </v>
      </c>
      <c r="T2251" s="6" t="str">
        <f>IFERROR(__xludf.DUMMYFUNCTION("""COMPUTED_VALUE"""),"")</f>
        <v/>
      </c>
      <c r="U2251" s="6" t="str">
        <f>IFERROR(__xludf.DUMMYFUNCTION("""COMPUTED_VALUE"""),"5")</f>
        <v>5</v>
      </c>
      <c r="V2251" s="6" t="str">
        <f>IFERROR(__xludf.DUMMYFUNCTION("""COMPUTED_VALUE"""),"English")</f>
        <v>English</v>
      </c>
      <c r="W2251" s="6" t="str">
        <f>IFERROR(__xludf.DUMMYFUNCTION("""COMPUTED_VALUE"""),"[]")</f>
        <v>[]</v>
      </c>
      <c r="X2251" s="6" t="str">
        <f>IFERROR(__xludf.DUMMYFUNCTION("""COMPUTED_VALUE"""),"Enrolled")</f>
        <v>Enrolled</v>
      </c>
    </row>
    <row r="2252">
      <c r="A2252" s="6" t="str">
        <f>IFERROR(__xludf.DUMMYFUNCTION("""COMPUTED_VALUE"""),"036-4485")</f>
        <v>036-4485</v>
      </c>
      <c r="B2252" s="6" t="str">
        <f>IFERROR(__xludf.DUMMYFUNCTION("""COMPUTED_VALUE"""),"36")</f>
        <v>36</v>
      </c>
      <c r="C2252" s="6" t="str">
        <f>IFERROR(__xludf.DUMMYFUNCTION("""COMPUTED_VALUE"""),"4485")</f>
        <v>4485</v>
      </c>
      <c r="D2252" s="6" t="str">
        <f>IFERROR(__xludf.DUMMYFUNCTION("""COMPUTED_VALUE"""),"Mary Lane")</f>
        <v>Mary Lane</v>
      </c>
      <c r="E2252" s="6" t="str">
        <f>IFERROR(__xludf.DUMMYFUNCTION("""COMPUTED_VALUE"""),"")</f>
        <v/>
      </c>
      <c r="F2252" s="6" t="str">
        <f>IFERROR(__xludf.DUMMYFUNCTION("""COMPUTED_VALUE"""),"Page")</f>
        <v>Page</v>
      </c>
      <c r="G2252" s="6" t="str">
        <f>IFERROR(__xludf.DUMMYFUNCTION("""COMPUTED_VALUE"""),"07/20/2013")</f>
        <v>07/20/2013</v>
      </c>
      <c r="H2252" s="6" t="str">
        <f>IFERROR(__xludf.DUMMYFUNCTION("""COMPUTED_VALUE"""),"female")</f>
        <v>female</v>
      </c>
      <c r="I2252" s="6" t="str">
        <f>IFERROR(__xludf.DUMMYFUNCTION("""COMPUTED_VALUE"""),"Level 2")</f>
        <v>Level 2</v>
      </c>
      <c r="J2252" s="6" t="str">
        <f>IFERROR(__xludf.DUMMYFUNCTION("""COMPUTED_VALUE"""),"5")</f>
        <v>5</v>
      </c>
      <c r="K2252" s="6" t="str">
        <f>IFERROR(__xludf.DUMMYFUNCTION("""COMPUTED_VALUE"""),"mary.lane.page@2hourlearning.com")</f>
        <v>mary.lane.page@2hourlearning.com</v>
      </c>
      <c r="L2252" s="6" t="str">
        <f>IFERROR(__xludf.DUMMYFUNCTION("""COMPUTED_VALUE"""),"Living Water Elementary")</f>
        <v>Living Water Elementary</v>
      </c>
      <c r="M2252" s="6" t="str">
        <f>IFERROR(__xludf.DUMMYFUNCTION("""COMPUTED_VALUE"""),"")</f>
        <v/>
      </c>
      <c r="N2252" s="6" t="str">
        <f>IFERROR(__xludf.DUMMYFUNCTION("""COMPUTED_VALUE"""),"")</f>
        <v/>
      </c>
      <c r="O2252" s="87" t="str">
        <f>IFERROR(__xludf.DUMMYFUNCTION("""COMPUTED_VALUE"""),"https://drive.google.com/drive/folders/10T2cTQHqEJZqE-st6uFKPoI?usp=share_link")</f>
        <v>https://drive.google.com/drive/folders/10T2cTQHqEJZqE-st6uFKPoI?usp=share_link</v>
      </c>
      <c r="P2252" s="6" t="str">
        <f>IFERROR(__xludf.DUMMYFUNCTION("""COMPUTED_VALUE"""),"Mary Lane Page")</f>
        <v>Mary Lane Page</v>
      </c>
      <c r="Q2252" s="6" t="str">
        <f>IFERROR(__xludf.DUMMYFUNCTION("""COMPUTED_VALUE"""),"L2")</f>
        <v>L2</v>
      </c>
      <c r="R2252" s="6">
        <f>IFERROR(__xludf.DUMMYFUNCTION("""COMPUTED_VALUE"""),2.0)</f>
        <v>2</v>
      </c>
      <c r="S2252" s="6" t="str">
        <f>IFERROR(__xludf.DUMMYFUNCTION("""COMPUTED_VALUE""")," ")</f>
        <v> </v>
      </c>
      <c r="T2252" s="6" t="str">
        <f>IFERROR(__xludf.DUMMYFUNCTION("""COMPUTED_VALUE"""),"")</f>
        <v/>
      </c>
      <c r="U2252" s="6" t="str">
        <f>IFERROR(__xludf.DUMMYFUNCTION("""COMPUTED_VALUE"""),"5")</f>
        <v>5</v>
      </c>
      <c r="V2252" s="6" t="str">
        <f>IFERROR(__xludf.DUMMYFUNCTION("""COMPUTED_VALUE"""),"English")</f>
        <v>English</v>
      </c>
      <c r="W2252" s="6" t="str">
        <f>IFERROR(__xludf.DUMMYFUNCTION("""COMPUTED_VALUE"""),"[]")</f>
        <v>[]</v>
      </c>
      <c r="X2252" s="6" t="str">
        <f>IFERROR(__xludf.DUMMYFUNCTION("""COMPUTED_VALUE"""),"Enrolled")</f>
        <v>Enrolled</v>
      </c>
    </row>
    <row r="2253">
      <c r="A2253" s="6" t="str">
        <f>IFERROR(__xludf.DUMMYFUNCTION("""COMPUTED_VALUE"""),"036-4486")</f>
        <v>036-4486</v>
      </c>
      <c r="B2253" s="6" t="str">
        <f>IFERROR(__xludf.DUMMYFUNCTION("""COMPUTED_VALUE"""),"36")</f>
        <v>36</v>
      </c>
      <c r="C2253" s="6" t="str">
        <f>IFERROR(__xludf.DUMMYFUNCTION("""COMPUTED_VALUE"""),"4486")</f>
        <v>4486</v>
      </c>
      <c r="D2253" s="6" t="str">
        <f>IFERROR(__xludf.DUMMYFUNCTION("""COMPUTED_VALUE"""),"Stellar")</f>
        <v>Stellar</v>
      </c>
      <c r="E2253" s="6" t="str">
        <f>IFERROR(__xludf.DUMMYFUNCTION("""COMPUTED_VALUE"""),"")</f>
        <v/>
      </c>
      <c r="F2253" s="6" t="str">
        <f>IFERROR(__xludf.DUMMYFUNCTION("""COMPUTED_VALUE"""),"Rackley")</f>
        <v>Rackley</v>
      </c>
      <c r="G2253" s="6" t="str">
        <f>IFERROR(__xludf.DUMMYFUNCTION("""COMPUTED_VALUE"""),"04/25/2014")</f>
        <v>04/25/2014</v>
      </c>
      <c r="H2253" s="6" t="str">
        <f>IFERROR(__xludf.DUMMYFUNCTION("""COMPUTED_VALUE"""),"female")</f>
        <v>female</v>
      </c>
      <c r="I2253" s="6" t="str">
        <f>IFERROR(__xludf.DUMMYFUNCTION("""COMPUTED_VALUE"""),"Level 2")</f>
        <v>Level 2</v>
      </c>
      <c r="J2253" s="6" t="str">
        <f>IFERROR(__xludf.DUMMYFUNCTION("""COMPUTED_VALUE"""),"5")</f>
        <v>5</v>
      </c>
      <c r="K2253" s="6" t="str">
        <f>IFERROR(__xludf.DUMMYFUNCTION("""COMPUTED_VALUE"""),"stellar.rackley@2hourlearning.com")</f>
        <v>stellar.rackley@2hourlearning.com</v>
      </c>
      <c r="L2253" s="6" t="str">
        <f>IFERROR(__xludf.DUMMYFUNCTION("""COMPUTED_VALUE"""),"Living Water Elementary")</f>
        <v>Living Water Elementary</v>
      </c>
      <c r="M2253" s="6" t="str">
        <f>IFERROR(__xludf.DUMMYFUNCTION("""COMPUTED_VALUE"""),"")</f>
        <v/>
      </c>
      <c r="N2253" s="6" t="str">
        <f>IFERROR(__xludf.DUMMYFUNCTION("""COMPUTED_VALUE"""),"")</f>
        <v/>
      </c>
      <c r="O2253" s="87" t="str">
        <f>IFERROR(__xludf.DUMMYFUNCTION("""COMPUTED_VALUE"""),"https://drive.google.com/drive/folders/10T2cTQHqEJZqE-st6uFKPoI?usp=share_link")</f>
        <v>https://drive.google.com/drive/folders/10T2cTQHqEJZqE-st6uFKPoI?usp=share_link</v>
      </c>
      <c r="P2253" s="6" t="str">
        <f>IFERROR(__xludf.DUMMYFUNCTION("""COMPUTED_VALUE"""),"Stellar Rackley")</f>
        <v>Stellar Rackley</v>
      </c>
      <c r="Q2253" s="6" t="str">
        <f>IFERROR(__xludf.DUMMYFUNCTION("""COMPUTED_VALUE"""),"L2")</f>
        <v>L2</v>
      </c>
      <c r="R2253" s="6">
        <f>IFERROR(__xludf.DUMMYFUNCTION("""COMPUTED_VALUE"""),2.0)</f>
        <v>2</v>
      </c>
      <c r="S2253" s="6" t="str">
        <f>IFERROR(__xludf.DUMMYFUNCTION("""COMPUTED_VALUE""")," ")</f>
        <v> </v>
      </c>
      <c r="T2253" s="6" t="str">
        <f>IFERROR(__xludf.DUMMYFUNCTION("""COMPUTED_VALUE"""),"")</f>
        <v/>
      </c>
      <c r="U2253" s="6" t="str">
        <f>IFERROR(__xludf.DUMMYFUNCTION("""COMPUTED_VALUE"""),"5")</f>
        <v>5</v>
      </c>
      <c r="V2253" s="6" t="str">
        <f>IFERROR(__xludf.DUMMYFUNCTION("""COMPUTED_VALUE"""),"English")</f>
        <v>English</v>
      </c>
      <c r="W2253" s="6" t="str">
        <f>IFERROR(__xludf.DUMMYFUNCTION("""COMPUTED_VALUE"""),"[]")</f>
        <v>[]</v>
      </c>
      <c r="X2253" s="6" t="str">
        <f>IFERROR(__xludf.DUMMYFUNCTION("""COMPUTED_VALUE"""),"Enrolled")</f>
        <v>Enrolled</v>
      </c>
    </row>
    <row r="2254">
      <c r="A2254" s="6" t="str">
        <f>IFERROR(__xludf.DUMMYFUNCTION("""COMPUTED_VALUE"""),"036-4487")</f>
        <v>036-4487</v>
      </c>
      <c r="B2254" s="6" t="str">
        <f>IFERROR(__xludf.DUMMYFUNCTION("""COMPUTED_VALUE"""),"36")</f>
        <v>36</v>
      </c>
      <c r="C2254" s="6" t="str">
        <f>IFERROR(__xludf.DUMMYFUNCTION("""COMPUTED_VALUE"""),"4487")</f>
        <v>4487</v>
      </c>
      <c r="D2254" s="6" t="str">
        <f>IFERROR(__xludf.DUMMYFUNCTION("""COMPUTED_VALUE"""),"Agustin")</f>
        <v>Agustin</v>
      </c>
      <c r="E2254" s="6" t="str">
        <f>IFERROR(__xludf.DUMMYFUNCTION("""COMPUTED_VALUE"""),"")</f>
        <v/>
      </c>
      <c r="F2254" s="6" t="str">
        <f>IFERROR(__xludf.DUMMYFUNCTION("""COMPUTED_VALUE"""),"Sanchez")</f>
        <v>Sanchez</v>
      </c>
      <c r="G2254" s="6" t="str">
        <f>IFERROR(__xludf.DUMMYFUNCTION("""COMPUTED_VALUE"""),"11/21/2014")</f>
        <v>11/21/2014</v>
      </c>
      <c r="H2254" s="6" t="str">
        <f>IFERROR(__xludf.DUMMYFUNCTION("""COMPUTED_VALUE"""),"male")</f>
        <v>male</v>
      </c>
      <c r="I2254" s="6" t="str">
        <f>IFERROR(__xludf.DUMMYFUNCTION("""COMPUTED_VALUE"""),"Level 2")</f>
        <v>Level 2</v>
      </c>
      <c r="J2254" s="6" t="str">
        <f>IFERROR(__xludf.DUMMYFUNCTION("""COMPUTED_VALUE"""),"5")</f>
        <v>5</v>
      </c>
      <c r="K2254" s="6" t="str">
        <f>IFERROR(__xludf.DUMMYFUNCTION("""COMPUTED_VALUE"""),"agustin.sanchez@2hourlearning.com")</f>
        <v>agustin.sanchez@2hourlearning.com</v>
      </c>
      <c r="L2254" s="6" t="str">
        <f>IFERROR(__xludf.DUMMYFUNCTION("""COMPUTED_VALUE"""),"Living Water Elementary")</f>
        <v>Living Water Elementary</v>
      </c>
      <c r="M2254" s="6" t="str">
        <f>IFERROR(__xludf.DUMMYFUNCTION("""COMPUTED_VALUE"""),"")</f>
        <v/>
      </c>
      <c r="N2254" s="6" t="str">
        <f>IFERROR(__xludf.DUMMYFUNCTION("""COMPUTED_VALUE"""),"")</f>
        <v/>
      </c>
      <c r="O2254" s="87" t="str">
        <f>IFERROR(__xludf.DUMMYFUNCTION("""COMPUTED_VALUE"""),"https://drive.google.com/drive/folders/10T2cTQHqEJZqE-st6uFKPoI?usp=share_link")</f>
        <v>https://drive.google.com/drive/folders/10T2cTQHqEJZqE-st6uFKPoI?usp=share_link</v>
      </c>
      <c r="P2254" s="6" t="str">
        <f>IFERROR(__xludf.DUMMYFUNCTION("""COMPUTED_VALUE"""),"Agustin Sanchez")</f>
        <v>Agustin Sanchez</v>
      </c>
      <c r="Q2254" s="6" t="str">
        <f>IFERROR(__xludf.DUMMYFUNCTION("""COMPUTED_VALUE"""),"L2")</f>
        <v>L2</v>
      </c>
      <c r="R2254" s="6">
        <f>IFERROR(__xludf.DUMMYFUNCTION("""COMPUTED_VALUE"""),2.0)</f>
        <v>2</v>
      </c>
      <c r="S2254" s="6" t="str">
        <f>IFERROR(__xludf.DUMMYFUNCTION("""COMPUTED_VALUE""")," ")</f>
        <v> </v>
      </c>
      <c r="T2254" s="6" t="str">
        <f>IFERROR(__xludf.DUMMYFUNCTION("""COMPUTED_VALUE"""),"")</f>
        <v/>
      </c>
      <c r="U2254" s="6" t="str">
        <f>IFERROR(__xludf.DUMMYFUNCTION("""COMPUTED_VALUE"""),"5")</f>
        <v>5</v>
      </c>
      <c r="V2254" s="6" t="str">
        <f>IFERROR(__xludf.DUMMYFUNCTION("""COMPUTED_VALUE"""),"English")</f>
        <v>English</v>
      </c>
      <c r="W2254" s="6" t="str">
        <f>IFERROR(__xludf.DUMMYFUNCTION("""COMPUTED_VALUE"""),"[]")</f>
        <v>[]</v>
      </c>
      <c r="X2254" s="6" t="str">
        <f>IFERROR(__xludf.DUMMYFUNCTION("""COMPUTED_VALUE"""),"Enrolled")</f>
        <v>Enrolled</v>
      </c>
    </row>
    <row r="2255">
      <c r="A2255" s="6" t="str">
        <f>IFERROR(__xludf.DUMMYFUNCTION("""COMPUTED_VALUE"""),"036-4488")</f>
        <v>036-4488</v>
      </c>
      <c r="B2255" s="6" t="str">
        <f>IFERROR(__xludf.DUMMYFUNCTION("""COMPUTED_VALUE"""),"36")</f>
        <v>36</v>
      </c>
      <c r="C2255" s="6" t="str">
        <f>IFERROR(__xludf.DUMMYFUNCTION("""COMPUTED_VALUE"""),"4488")</f>
        <v>4488</v>
      </c>
      <c r="D2255" s="6" t="str">
        <f>IFERROR(__xludf.DUMMYFUNCTION("""COMPUTED_VALUE"""),"Basil")</f>
        <v>Basil</v>
      </c>
      <c r="E2255" s="6" t="str">
        <f>IFERROR(__xludf.DUMMYFUNCTION("""COMPUTED_VALUE"""),"")</f>
        <v/>
      </c>
      <c r="F2255" s="6" t="str">
        <f>IFERROR(__xludf.DUMMYFUNCTION("""COMPUTED_VALUE"""),"Green")</f>
        <v>Green</v>
      </c>
      <c r="G2255" s="6" t="str">
        <f>IFERROR(__xludf.DUMMYFUNCTION("""COMPUTED_VALUE"""),"03/19/2016")</f>
        <v>03/19/2016</v>
      </c>
      <c r="H2255" s="6" t="str">
        <f>IFERROR(__xludf.DUMMYFUNCTION("""COMPUTED_VALUE"""),"male")</f>
        <v>male</v>
      </c>
      <c r="I2255" s="6" t="str">
        <f>IFERROR(__xludf.DUMMYFUNCTION("""COMPUTED_VALUE"""),"Level 2")</f>
        <v>Level 2</v>
      </c>
      <c r="J2255" s="6" t="str">
        <f>IFERROR(__xludf.DUMMYFUNCTION("""COMPUTED_VALUE"""),"4")</f>
        <v>4</v>
      </c>
      <c r="K2255" s="6" t="str">
        <f>IFERROR(__xludf.DUMMYFUNCTION("""COMPUTED_VALUE"""),"basil.green@2hourlearning.com")</f>
        <v>basil.green@2hourlearning.com</v>
      </c>
      <c r="L2255" s="6" t="str">
        <f>IFERROR(__xludf.DUMMYFUNCTION("""COMPUTED_VALUE"""),"Living Water Elementary")</f>
        <v>Living Water Elementary</v>
      </c>
      <c r="M2255" s="6" t="str">
        <f>IFERROR(__xludf.DUMMYFUNCTION("""COMPUTED_VALUE"""),"")</f>
        <v/>
      </c>
      <c r="N2255" s="6" t="str">
        <f>IFERROR(__xludf.DUMMYFUNCTION("""COMPUTED_VALUE"""),"")</f>
        <v/>
      </c>
      <c r="O2255" s="87" t="str">
        <f>IFERROR(__xludf.DUMMYFUNCTION("""COMPUTED_VALUE"""),"https://drive.google.com/drive/folders/10T2cTQHqEJZqE-st6uFKPoI?usp=share_link")</f>
        <v>https://drive.google.com/drive/folders/10T2cTQHqEJZqE-st6uFKPoI?usp=share_link</v>
      </c>
      <c r="P2255" s="6" t="str">
        <f>IFERROR(__xludf.DUMMYFUNCTION("""COMPUTED_VALUE"""),"Basil Green")</f>
        <v>Basil Green</v>
      </c>
      <c r="Q2255" s="6" t="str">
        <f>IFERROR(__xludf.DUMMYFUNCTION("""COMPUTED_VALUE"""),"L2")</f>
        <v>L2</v>
      </c>
      <c r="R2255" s="6">
        <f>IFERROR(__xludf.DUMMYFUNCTION("""COMPUTED_VALUE"""),2.0)</f>
        <v>2</v>
      </c>
      <c r="S2255" s="6" t="str">
        <f>IFERROR(__xludf.DUMMYFUNCTION("""COMPUTED_VALUE""")," ")</f>
        <v> </v>
      </c>
      <c r="T2255" s="6" t="str">
        <f>IFERROR(__xludf.DUMMYFUNCTION("""COMPUTED_VALUE"""),"")</f>
        <v/>
      </c>
      <c r="U2255" s="6" t="str">
        <f>IFERROR(__xludf.DUMMYFUNCTION("""COMPUTED_VALUE"""),"4")</f>
        <v>4</v>
      </c>
      <c r="V2255" s="6" t="str">
        <f>IFERROR(__xludf.DUMMYFUNCTION("""COMPUTED_VALUE"""),"English")</f>
        <v>English</v>
      </c>
      <c r="W2255" s="6" t="str">
        <f>IFERROR(__xludf.DUMMYFUNCTION("""COMPUTED_VALUE"""),"[]")</f>
        <v>[]</v>
      </c>
      <c r="X2255" s="6" t="str">
        <f>IFERROR(__xludf.DUMMYFUNCTION("""COMPUTED_VALUE"""),"Enrolled")</f>
        <v>Enrolled</v>
      </c>
    </row>
    <row r="2256">
      <c r="A2256" s="6" t="str">
        <f>IFERROR(__xludf.DUMMYFUNCTION("""COMPUTED_VALUE"""),"036-4489")</f>
        <v>036-4489</v>
      </c>
      <c r="B2256" s="6" t="str">
        <f>IFERROR(__xludf.DUMMYFUNCTION("""COMPUTED_VALUE"""),"36")</f>
        <v>36</v>
      </c>
      <c r="C2256" s="6" t="str">
        <f>IFERROR(__xludf.DUMMYFUNCTION("""COMPUTED_VALUE"""),"4489")</f>
        <v>4489</v>
      </c>
      <c r="D2256" s="6" t="str">
        <f>IFERROR(__xludf.DUMMYFUNCTION("""COMPUTED_VALUE"""),"Canyon")</f>
        <v>Canyon</v>
      </c>
      <c r="E2256" s="6" t="str">
        <f>IFERROR(__xludf.DUMMYFUNCTION("""COMPUTED_VALUE"""),"")</f>
        <v/>
      </c>
      <c r="F2256" s="6" t="str">
        <f>IFERROR(__xludf.DUMMYFUNCTION("""COMPUTED_VALUE"""),"Hardmon")</f>
        <v>Hardmon</v>
      </c>
      <c r="G2256" s="6" t="str">
        <f>IFERROR(__xludf.DUMMYFUNCTION("""COMPUTED_VALUE"""),"06/03/2016")</f>
        <v>06/03/2016</v>
      </c>
      <c r="H2256" s="6" t="str">
        <f>IFERROR(__xludf.DUMMYFUNCTION("""COMPUTED_VALUE"""),"male")</f>
        <v>male</v>
      </c>
      <c r="I2256" s="6" t="str">
        <f>IFERROR(__xludf.DUMMYFUNCTION("""COMPUTED_VALUE"""),"Level 2")</f>
        <v>Level 2</v>
      </c>
      <c r="J2256" s="6" t="str">
        <f>IFERROR(__xludf.DUMMYFUNCTION("""COMPUTED_VALUE"""),"4")</f>
        <v>4</v>
      </c>
      <c r="K2256" s="6" t="str">
        <f>IFERROR(__xludf.DUMMYFUNCTION("""COMPUTED_VALUE"""),"canyon.hardmon@2hourlearning.com")</f>
        <v>canyon.hardmon@2hourlearning.com</v>
      </c>
      <c r="L2256" s="6" t="str">
        <f>IFERROR(__xludf.DUMMYFUNCTION("""COMPUTED_VALUE"""),"Living Water Elementary")</f>
        <v>Living Water Elementary</v>
      </c>
      <c r="M2256" s="6" t="str">
        <f>IFERROR(__xludf.DUMMYFUNCTION("""COMPUTED_VALUE"""),"")</f>
        <v/>
      </c>
      <c r="N2256" s="6" t="str">
        <f>IFERROR(__xludf.DUMMYFUNCTION("""COMPUTED_VALUE"""),"")</f>
        <v/>
      </c>
      <c r="O2256" s="87" t="str">
        <f>IFERROR(__xludf.DUMMYFUNCTION("""COMPUTED_VALUE"""),"https://drive.google.com/drive/folders/10T2cTQHqEJZqE-st6uFKPoI?usp=share_link")</f>
        <v>https://drive.google.com/drive/folders/10T2cTQHqEJZqE-st6uFKPoI?usp=share_link</v>
      </c>
      <c r="P2256" s="6" t="str">
        <f>IFERROR(__xludf.DUMMYFUNCTION("""COMPUTED_VALUE"""),"Canyon Hardmon")</f>
        <v>Canyon Hardmon</v>
      </c>
      <c r="Q2256" s="6" t="str">
        <f>IFERROR(__xludf.DUMMYFUNCTION("""COMPUTED_VALUE"""),"L2")</f>
        <v>L2</v>
      </c>
      <c r="R2256" s="6">
        <f>IFERROR(__xludf.DUMMYFUNCTION("""COMPUTED_VALUE"""),2.0)</f>
        <v>2</v>
      </c>
      <c r="S2256" s="6" t="str">
        <f>IFERROR(__xludf.DUMMYFUNCTION("""COMPUTED_VALUE""")," ")</f>
        <v> </v>
      </c>
      <c r="T2256" s="6" t="str">
        <f>IFERROR(__xludf.DUMMYFUNCTION("""COMPUTED_VALUE"""),"")</f>
        <v/>
      </c>
      <c r="U2256" s="6" t="str">
        <f>IFERROR(__xludf.DUMMYFUNCTION("""COMPUTED_VALUE"""),"4")</f>
        <v>4</v>
      </c>
      <c r="V2256" s="6" t="str">
        <f>IFERROR(__xludf.DUMMYFUNCTION("""COMPUTED_VALUE"""),"English")</f>
        <v>English</v>
      </c>
      <c r="W2256" s="6" t="str">
        <f>IFERROR(__xludf.DUMMYFUNCTION("""COMPUTED_VALUE"""),"[]")</f>
        <v>[]</v>
      </c>
      <c r="X2256" s="6" t="str">
        <f>IFERROR(__xludf.DUMMYFUNCTION("""COMPUTED_VALUE"""),"Enrolled")</f>
        <v>Enrolled</v>
      </c>
    </row>
    <row r="2257">
      <c r="A2257" s="6" t="str">
        <f>IFERROR(__xludf.DUMMYFUNCTION("""COMPUTED_VALUE"""),"036-4490")</f>
        <v>036-4490</v>
      </c>
      <c r="B2257" s="6" t="str">
        <f>IFERROR(__xludf.DUMMYFUNCTION("""COMPUTED_VALUE"""),"36")</f>
        <v>36</v>
      </c>
      <c r="C2257" s="6" t="str">
        <f>IFERROR(__xludf.DUMMYFUNCTION("""COMPUTED_VALUE"""),"4490")</f>
        <v>4490</v>
      </c>
      <c r="D2257" s="6" t="str">
        <f>IFERROR(__xludf.DUMMYFUNCTION("""COMPUTED_VALUE"""),"Blakely")</f>
        <v>Blakely</v>
      </c>
      <c r="E2257" s="6" t="str">
        <f>IFERROR(__xludf.DUMMYFUNCTION("""COMPUTED_VALUE"""),"")</f>
        <v/>
      </c>
      <c r="F2257" s="6" t="str">
        <f>IFERROR(__xludf.DUMMYFUNCTION("""COMPUTED_VALUE"""),"Harper")</f>
        <v>Harper</v>
      </c>
      <c r="G2257" s="6" t="str">
        <f>IFERROR(__xludf.DUMMYFUNCTION("""COMPUTED_VALUE"""),"10/13/2015")</f>
        <v>10/13/2015</v>
      </c>
      <c r="H2257" s="6" t="str">
        <f>IFERROR(__xludf.DUMMYFUNCTION("""COMPUTED_VALUE"""),"female")</f>
        <v>female</v>
      </c>
      <c r="I2257" s="6" t="str">
        <f>IFERROR(__xludf.DUMMYFUNCTION("""COMPUTED_VALUE"""),"Level 2")</f>
        <v>Level 2</v>
      </c>
      <c r="J2257" s="6" t="str">
        <f>IFERROR(__xludf.DUMMYFUNCTION("""COMPUTED_VALUE"""),"4")</f>
        <v>4</v>
      </c>
      <c r="K2257" s="6" t="str">
        <f>IFERROR(__xludf.DUMMYFUNCTION("""COMPUTED_VALUE"""),"blakely.harper@2hourlearning.com")</f>
        <v>blakely.harper@2hourlearning.com</v>
      </c>
      <c r="L2257" s="6" t="str">
        <f>IFERROR(__xludf.DUMMYFUNCTION("""COMPUTED_VALUE"""),"Living Water Elementary")</f>
        <v>Living Water Elementary</v>
      </c>
      <c r="M2257" s="6" t="str">
        <f>IFERROR(__xludf.DUMMYFUNCTION("""COMPUTED_VALUE"""),"")</f>
        <v/>
      </c>
      <c r="N2257" s="6" t="str">
        <f>IFERROR(__xludf.DUMMYFUNCTION("""COMPUTED_VALUE"""),"")</f>
        <v/>
      </c>
      <c r="O2257" s="87" t="str">
        <f>IFERROR(__xludf.DUMMYFUNCTION("""COMPUTED_VALUE"""),"https://drive.google.com/drive/folders/10T2cTQHqEJZqE-st6uFKPoI?usp=share_link")</f>
        <v>https://drive.google.com/drive/folders/10T2cTQHqEJZqE-st6uFKPoI?usp=share_link</v>
      </c>
      <c r="P2257" s="6" t="str">
        <f>IFERROR(__xludf.DUMMYFUNCTION("""COMPUTED_VALUE"""),"Blakely Harper")</f>
        <v>Blakely Harper</v>
      </c>
      <c r="Q2257" s="6" t="str">
        <f>IFERROR(__xludf.DUMMYFUNCTION("""COMPUTED_VALUE"""),"L2")</f>
        <v>L2</v>
      </c>
      <c r="R2257" s="6">
        <f>IFERROR(__xludf.DUMMYFUNCTION("""COMPUTED_VALUE"""),2.0)</f>
        <v>2</v>
      </c>
      <c r="S2257" s="6" t="str">
        <f>IFERROR(__xludf.DUMMYFUNCTION("""COMPUTED_VALUE""")," ")</f>
        <v> </v>
      </c>
      <c r="T2257" s="6" t="str">
        <f>IFERROR(__xludf.DUMMYFUNCTION("""COMPUTED_VALUE"""),"")</f>
        <v/>
      </c>
      <c r="U2257" s="6" t="str">
        <f>IFERROR(__xludf.DUMMYFUNCTION("""COMPUTED_VALUE"""),"4")</f>
        <v>4</v>
      </c>
      <c r="V2257" s="6" t="str">
        <f>IFERROR(__xludf.DUMMYFUNCTION("""COMPUTED_VALUE"""),"English")</f>
        <v>English</v>
      </c>
      <c r="W2257" s="6" t="str">
        <f>IFERROR(__xludf.DUMMYFUNCTION("""COMPUTED_VALUE"""),"[]")</f>
        <v>[]</v>
      </c>
      <c r="X2257" s="6" t="str">
        <f>IFERROR(__xludf.DUMMYFUNCTION("""COMPUTED_VALUE"""),"Enrolled")</f>
        <v>Enrolled</v>
      </c>
    </row>
    <row r="2258">
      <c r="A2258" s="6" t="str">
        <f>IFERROR(__xludf.DUMMYFUNCTION("""COMPUTED_VALUE"""),"036-4491")</f>
        <v>036-4491</v>
      </c>
      <c r="B2258" s="6" t="str">
        <f>IFERROR(__xludf.DUMMYFUNCTION("""COMPUTED_VALUE"""),"36")</f>
        <v>36</v>
      </c>
      <c r="C2258" s="6" t="str">
        <f>IFERROR(__xludf.DUMMYFUNCTION("""COMPUTED_VALUE"""),"4491")</f>
        <v>4491</v>
      </c>
      <c r="D2258" s="6" t="str">
        <f>IFERROR(__xludf.DUMMYFUNCTION("""COMPUTED_VALUE"""),"Saige")</f>
        <v>Saige</v>
      </c>
      <c r="E2258" s="6" t="str">
        <f>IFERROR(__xludf.DUMMYFUNCTION("""COMPUTED_VALUE"""),"")</f>
        <v/>
      </c>
      <c r="F2258" s="6" t="str">
        <f>IFERROR(__xludf.DUMMYFUNCTION("""COMPUTED_VALUE"""),"Rackley")</f>
        <v>Rackley</v>
      </c>
      <c r="G2258" s="6" t="str">
        <f>IFERROR(__xludf.DUMMYFUNCTION("""COMPUTED_VALUE"""),"10/11/2015")</f>
        <v>10/11/2015</v>
      </c>
      <c r="H2258" s="6" t="str">
        <f>IFERROR(__xludf.DUMMYFUNCTION("""COMPUTED_VALUE"""),"female")</f>
        <v>female</v>
      </c>
      <c r="I2258" s="6" t="str">
        <f>IFERROR(__xludf.DUMMYFUNCTION("""COMPUTED_VALUE"""),"Level 2")</f>
        <v>Level 2</v>
      </c>
      <c r="J2258" s="6" t="str">
        <f>IFERROR(__xludf.DUMMYFUNCTION("""COMPUTED_VALUE"""),"4")</f>
        <v>4</v>
      </c>
      <c r="K2258" s="6" t="str">
        <f>IFERROR(__xludf.DUMMYFUNCTION("""COMPUTED_VALUE"""),"saige.rackley@2hourlearning.com")</f>
        <v>saige.rackley@2hourlearning.com</v>
      </c>
      <c r="L2258" s="6" t="str">
        <f>IFERROR(__xludf.DUMMYFUNCTION("""COMPUTED_VALUE"""),"Living Water Elementary")</f>
        <v>Living Water Elementary</v>
      </c>
      <c r="M2258" s="6" t="str">
        <f>IFERROR(__xludf.DUMMYFUNCTION("""COMPUTED_VALUE"""),"")</f>
        <v/>
      </c>
      <c r="N2258" s="6" t="str">
        <f>IFERROR(__xludf.DUMMYFUNCTION("""COMPUTED_VALUE"""),"")</f>
        <v/>
      </c>
      <c r="O2258" s="87" t="str">
        <f>IFERROR(__xludf.DUMMYFUNCTION("""COMPUTED_VALUE"""),"https://drive.google.com/drive/folders/10T2cTQHqEJZqE-st6uFKPoI?usp=share_link")</f>
        <v>https://drive.google.com/drive/folders/10T2cTQHqEJZqE-st6uFKPoI?usp=share_link</v>
      </c>
      <c r="P2258" s="6" t="str">
        <f>IFERROR(__xludf.DUMMYFUNCTION("""COMPUTED_VALUE"""),"Saige Rackley")</f>
        <v>Saige Rackley</v>
      </c>
      <c r="Q2258" s="6" t="str">
        <f>IFERROR(__xludf.DUMMYFUNCTION("""COMPUTED_VALUE"""),"L2")</f>
        <v>L2</v>
      </c>
      <c r="R2258" s="6">
        <f>IFERROR(__xludf.DUMMYFUNCTION("""COMPUTED_VALUE"""),2.0)</f>
        <v>2</v>
      </c>
      <c r="S2258" s="6" t="str">
        <f>IFERROR(__xludf.DUMMYFUNCTION("""COMPUTED_VALUE""")," ")</f>
        <v> </v>
      </c>
      <c r="T2258" s="6" t="str">
        <f>IFERROR(__xludf.DUMMYFUNCTION("""COMPUTED_VALUE"""),"")</f>
        <v/>
      </c>
      <c r="U2258" s="6" t="str">
        <f>IFERROR(__xludf.DUMMYFUNCTION("""COMPUTED_VALUE"""),"4")</f>
        <v>4</v>
      </c>
      <c r="V2258" s="6" t="str">
        <f>IFERROR(__xludf.DUMMYFUNCTION("""COMPUTED_VALUE"""),"English")</f>
        <v>English</v>
      </c>
      <c r="W2258" s="6" t="str">
        <f>IFERROR(__xludf.DUMMYFUNCTION("""COMPUTED_VALUE"""),"[]")</f>
        <v>[]</v>
      </c>
      <c r="X2258" s="6" t="str">
        <f>IFERROR(__xludf.DUMMYFUNCTION("""COMPUTED_VALUE"""),"Enrolled")</f>
        <v>Enrolled</v>
      </c>
    </row>
    <row r="2259">
      <c r="A2259" s="6" t="str">
        <f>IFERROR(__xludf.DUMMYFUNCTION("""COMPUTED_VALUE"""),"036-4492")</f>
        <v>036-4492</v>
      </c>
      <c r="B2259" s="6" t="str">
        <f>IFERROR(__xludf.DUMMYFUNCTION("""COMPUTED_VALUE"""),"36")</f>
        <v>36</v>
      </c>
      <c r="C2259" s="6" t="str">
        <f>IFERROR(__xludf.DUMMYFUNCTION("""COMPUTED_VALUE"""),"4492")</f>
        <v>4492</v>
      </c>
      <c r="D2259" s="6" t="str">
        <f>IFERROR(__xludf.DUMMYFUNCTION("""COMPUTED_VALUE"""),"Quincy")</f>
        <v>Quincy</v>
      </c>
      <c r="E2259" s="6" t="str">
        <f>IFERROR(__xludf.DUMMYFUNCTION("""COMPUTED_VALUE"""),"")</f>
        <v/>
      </c>
      <c r="F2259" s="6" t="str">
        <f>IFERROR(__xludf.DUMMYFUNCTION("""COMPUTED_VALUE"""),"Page")</f>
        <v>Page</v>
      </c>
      <c r="G2259" s="6" t="str">
        <f>IFERROR(__xludf.DUMMYFUNCTION("""COMPUTED_VALUE"""),"05/16/2015")</f>
        <v>05/16/2015</v>
      </c>
      <c r="H2259" s="6" t="str">
        <f>IFERROR(__xludf.DUMMYFUNCTION("""COMPUTED_VALUE"""),"male")</f>
        <v>male</v>
      </c>
      <c r="I2259" s="6" t="str">
        <f>IFERROR(__xludf.DUMMYFUNCTION("""COMPUTED_VALUE"""),"Level 1")</f>
        <v>Level 1</v>
      </c>
      <c r="J2259" s="6" t="str">
        <f>IFERROR(__xludf.DUMMYFUNCTION("""COMPUTED_VALUE"""),"3")</f>
        <v>3</v>
      </c>
      <c r="K2259" s="6" t="str">
        <f>IFERROR(__xludf.DUMMYFUNCTION("""COMPUTED_VALUE"""),"quincy.page@2hourlearning.com")</f>
        <v>quincy.page@2hourlearning.com</v>
      </c>
      <c r="L2259" s="6" t="str">
        <f>IFERROR(__xludf.DUMMYFUNCTION("""COMPUTED_VALUE"""),"Living Water Elementary")</f>
        <v>Living Water Elementary</v>
      </c>
      <c r="M2259" s="6" t="str">
        <f>IFERROR(__xludf.DUMMYFUNCTION("""COMPUTED_VALUE"""),"")</f>
        <v/>
      </c>
      <c r="N2259" s="6" t="str">
        <f>IFERROR(__xludf.DUMMYFUNCTION("""COMPUTED_VALUE"""),"")</f>
        <v/>
      </c>
      <c r="O2259" s="87" t="str">
        <f>IFERROR(__xludf.DUMMYFUNCTION("""COMPUTED_VALUE"""),"https://drive.google.com/drive/folders/10T2cTQHqEJZqE-st6uFKPoI?usp=share_link")</f>
        <v>https://drive.google.com/drive/folders/10T2cTQHqEJZqE-st6uFKPoI?usp=share_link</v>
      </c>
      <c r="P2259" s="6" t="str">
        <f>IFERROR(__xludf.DUMMYFUNCTION("""COMPUTED_VALUE"""),"Quincy Page")</f>
        <v>Quincy Page</v>
      </c>
      <c r="Q2259" s="6" t="str">
        <f>IFERROR(__xludf.DUMMYFUNCTION("""COMPUTED_VALUE"""),"L1")</f>
        <v>L1</v>
      </c>
      <c r="R2259" s="6">
        <f>IFERROR(__xludf.DUMMYFUNCTION("""COMPUTED_VALUE"""),1.0)</f>
        <v>1</v>
      </c>
      <c r="S2259" s="6" t="str">
        <f>IFERROR(__xludf.DUMMYFUNCTION("""COMPUTED_VALUE""")," ")</f>
        <v> </v>
      </c>
      <c r="T2259" s="6" t="str">
        <f>IFERROR(__xludf.DUMMYFUNCTION("""COMPUTED_VALUE"""),"")</f>
        <v/>
      </c>
      <c r="U2259" s="6" t="str">
        <f>IFERROR(__xludf.DUMMYFUNCTION("""COMPUTED_VALUE"""),"3")</f>
        <v>3</v>
      </c>
      <c r="V2259" s="6" t="str">
        <f>IFERROR(__xludf.DUMMYFUNCTION("""COMPUTED_VALUE"""),"English")</f>
        <v>English</v>
      </c>
      <c r="W2259" s="6" t="str">
        <f>IFERROR(__xludf.DUMMYFUNCTION("""COMPUTED_VALUE"""),"[]")</f>
        <v>[]</v>
      </c>
      <c r="X2259" s="6" t="str">
        <f>IFERROR(__xludf.DUMMYFUNCTION("""COMPUTED_VALUE"""),"Enrolled")</f>
        <v>Enrolled</v>
      </c>
    </row>
    <row r="2260">
      <c r="A2260" s="6" t="str">
        <f>IFERROR(__xludf.DUMMYFUNCTION("""COMPUTED_VALUE"""),"037-3448")</f>
        <v>037-3448</v>
      </c>
      <c r="B2260" s="6" t="str">
        <f>IFERROR(__xludf.DUMMYFUNCTION("""COMPUTED_VALUE"""),"37")</f>
        <v>37</v>
      </c>
      <c r="C2260" s="6" t="str">
        <f>IFERROR(__xludf.DUMMYFUNCTION("""COMPUTED_VALUE"""),"3448")</f>
        <v>3448</v>
      </c>
      <c r="D2260" s="6" t="str">
        <f>IFERROR(__xludf.DUMMYFUNCTION("""COMPUTED_VALUE"""),"Test")</f>
        <v>Test</v>
      </c>
      <c r="E2260" s="6" t="str">
        <f>IFERROR(__xludf.DUMMYFUNCTION("""COMPUTED_VALUE"""),"Summery")</f>
        <v>Summery</v>
      </c>
      <c r="F2260" s="6" t="str">
        <f>IFERROR(__xludf.DUMMYFUNCTION("""COMPUTED_VALUE"""),"Summer")</f>
        <v>Summer</v>
      </c>
      <c r="G2260" s="6" t="str">
        <f>IFERROR(__xludf.DUMMYFUNCTION("""COMPUTED_VALUE"""),"06/20/2017")</f>
        <v>06/20/2017</v>
      </c>
      <c r="H2260" s="6" t="str">
        <f>IFERROR(__xludf.DUMMYFUNCTION("""COMPUTED_VALUE"""),"Self Identify")</f>
        <v>Self Identify</v>
      </c>
      <c r="I2260" s="6" t="str">
        <f>IFERROR(__xludf.DUMMYFUNCTION("""COMPUTED_VALUE"""),"Level 1")</f>
        <v>Level 1</v>
      </c>
      <c r="J2260" s="6" t="str">
        <f>IFERROR(__xludf.DUMMYFUNCTION("""COMPUTED_VALUE"""),"2")</f>
        <v>2</v>
      </c>
      <c r="K2260" s="6" t="str">
        <f>IFERROR(__xludf.DUMMYFUNCTION("""COMPUTED_VALUE"""),"test.summer@2hourlearning.com")</f>
        <v>test.summer@2hourlearning.com</v>
      </c>
      <c r="L2260" s="6" t="str">
        <f>IFERROR(__xludf.DUMMYFUNCTION("""COMPUTED_VALUE"""),"Alpha Miami Summer School 2025")</f>
        <v>Alpha Miami Summer School 2025</v>
      </c>
      <c r="M2260" s="6" t="str">
        <f>IFERROR(__xludf.DUMMYFUNCTION("""COMPUTED_VALUE"""),"Mock")</f>
        <v>Mock</v>
      </c>
      <c r="N2260" s="6" t="str">
        <f>IFERROR(__xludf.DUMMYFUNCTION("""COMPUTED_VALUE"""),"")</f>
        <v/>
      </c>
      <c r="O2260" s="87" t="str">
        <f>IFERROR(__xludf.DUMMYFUNCTION("""COMPUTED_VALUE"""),"https://drive.google.com/drive/folders/10T2cTQHqEJZqE-st6uFKPoI?usp=share_link")</f>
        <v>https://drive.google.com/drive/folders/10T2cTQHqEJZqE-st6uFKPoI?usp=share_link</v>
      </c>
      <c r="P2260" s="6" t="str">
        <f>IFERROR(__xludf.DUMMYFUNCTION("""COMPUTED_VALUE"""),"Summery Summer")</f>
        <v>Summery Summer</v>
      </c>
      <c r="Q2260" s="6" t="str">
        <f>IFERROR(__xludf.DUMMYFUNCTION("""COMPUTED_VALUE"""),"L1")</f>
        <v>L1</v>
      </c>
      <c r="R2260" s="6">
        <f>IFERROR(__xludf.DUMMYFUNCTION("""COMPUTED_VALUE"""),1.0)</f>
        <v>1</v>
      </c>
      <c r="S2260" s="6" t="str">
        <f>IFERROR(__xludf.DUMMYFUNCTION("""COMPUTED_VALUE""")," ")</f>
        <v> </v>
      </c>
      <c r="T2260" s="6" t="str">
        <f>IFERROR(__xludf.DUMMYFUNCTION("""COMPUTED_VALUE"""),"")</f>
        <v/>
      </c>
      <c r="U2260" s="6" t="str">
        <f>IFERROR(__xludf.DUMMYFUNCTION("""COMPUTED_VALUE"""),"2")</f>
        <v>2</v>
      </c>
      <c r="V2260" s="6" t="str">
        <f>IFERROR(__xludf.DUMMYFUNCTION("""COMPUTED_VALUE"""),"Swahili")</f>
        <v>Swahili</v>
      </c>
      <c r="W2260" s="6" t="str">
        <f>IFERROR(__xludf.DUMMYFUNCTION("""COMPUTED_VALUE"""),"[]")</f>
        <v>[]</v>
      </c>
      <c r="X2260" s="6" t="str">
        <f>IFERROR(__xludf.DUMMYFUNCTION("""COMPUTED_VALUE"""),"Enrolled")</f>
        <v>Enrolled</v>
      </c>
    </row>
    <row r="2261">
      <c r="A2261" s="6" t="str">
        <f>IFERROR(__xludf.DUMMYFUNCTION("""COMPUTED_VALUE"""),"037-3458")</f>
        <v>037-3458</v>
      </c>
      <c r="B2261" s="6" t="str">
        <f>IFERROR(__xludf.DUMMYFUNCTION("""COMPUTED_VALUE"""),"37")</f>
        <v>37</v>
      </c>
      <c r="C2261" s="6" t="str">
        <f>IFERROR(__xludf.DUMMYFUNCTION("""COMPUTED_VALUE"""),"3458")</f>
        <v>3458</v>
      </c>
      <c r="D2261" s="6" t="str">
        <f>IFERROR(__xludf.DUMMYFUNCTION("""COMPUTED_VALUE"""),"Barton")</f>
        <v>Barton</v>
      </c>
      <c r="E2261" s="6" t="str">
        <f>IFERROR(__xludf.DUMMYFUNCTION("""COMPUTED_VALUE"""),"")</f>
        <v/>
      </c>
      <c r="F2261" s="6" t="str">
        <f>IFERROR(__xludf.DUMMYFUNCTION("""COMPUTED_VALUE"""),"Zhang")</f>
        <v>Zhang</v>
      </c>
      <c r="G2261" s="6" t="str">
        <f>IFERROR(__xludf.DUMMYFUNCTION("""COMPUTED_VALUE"""),"10/11/2011")</f>
        <v>10/11/2011</v>
      </c>
      <c r="H2261" s="6" t="str">
        <f>IFERROR(__xludf.DUMMYFUNCTION("""COMPUTED_VALUE"""),"Male")</f>
        <v>Male</v>
      </c>
      <c r="I2261" s="6" t="str">
        <f>IFERROR(__xludf.DUMMYFUNCTION("""COMPUTED_VALUE"""),"High School")</f>
        <v>High School</v>
      </c>
      <c r="J2261" s="6" t="str">
        <f>IFERROR(__xludf.DUMMYFUNCTION("""COMPUTED_VALUE"""),"9")</f>
        <v>9</v>
      </c>
      <c r="K2261" s="6" t="str">
        <f>IFERROR(__xludf.DUMMYFUNCTION("""COMPUTED_VALUE"""),"barton.zhang@alpha.school")</f>
        <v>barton.zhang@alpha.school</v>
      </c>
      <c r="L2261" s="6" t="str">
        <f>IFERROR(__xludf.DUMMYFUNCTION("""COMPUTED_VALUE"""),"Alpha Miami Summer School 2025")</f>
        <v>Alpha Miami Summer School 2025</v>
      </c>
      <c r="M2261" s="6" t="str">
        <f>IFERROR(__xludf.DUMMYFUNCTION("""COMPUTED_VALUE"""),"")</f>
        <v/>
      </c>
      <c r="N2261" s="6" t="str">
        <f>IFERROR(__xludf.DUMMYFUNCTION("""COMPUTED_VALUE"""),"")</f>
        <v/>
      </c>
      <c r="O2261" s="87" t="str">
        <f>IFERROR(__xludf.DUMMYFUNCTION("""COMPUTED_VALUE"""),"https://drive.google.com/drive/folders/10T2cTQHqEJZqE-st6uFKPoI?usp=share_link")</f>
        <v>https://drive.google.com/drive/folders/10T2cTQHqEJZqE-st6uFKPoI?usp=share_link</v>
      </c>
      <c r="P2261" s="6" t="str">
        <f>IFERROR(__xludf.DUMMYFUNCTION("""COMPUTED_VALUE"""),"Barton Zhang")</f>
        <v>Barton Zhang</v>
      </c>
      <c r="Q2261" s="6" t="str">
        <f>IFERROR(__xludf.DUMMYFUNCTION("""COMPUTED_VALUE"""),"HS")</f>
        <v>HS</v>
      </c>
      <c r="R2261" s="6">
        <f>IFERROR(__xludf.DUMMYFUNCTION("""COMPUTED_VALUE"""),0.0)</f>
        <v>0</v>
      </c>
      <c r="S2261" s="6" t="str">
        <f>IFERROR(__xludf.DUMMYFUNCTION("""COMPUTED_VALUE"""),"Alexandra Kiser")</f>
        <v>Alexandra Kiser</v>
      </c>
      <c r="T2261" s="6" t="str">
        <f>IFERROR(__xludf.DUMMYFUNCTION("""COMPUTED_VALUE"""),"alex.kiser@alpha.school")</f>
        <v>alex.kiser@alpha.school</v>
      </c>
      <c r="U2261" s="6" t="str">
        <f>IFERROR(__xludf.DUMMYFUNCTION("""COMPUTED_VALUE"""),"9")</f>
        <v>9</v>
      </c>
      <c r="V2261" s="6" t="str">
        <f>IFERROR(__xludf.DUMMYFUNCTION("""COMPUTED_VALUE"""),"English")</f>
        <v>English</v>
      </c>
      <c r="W2261" s="6" t="str">
        <f>IFERROR(__xludf.DUMMYFUNCTION("""COMPUTED_VALUE"""),"[]")</f>
        <v>[]</v>
      </c>
      <c r="X2261" s="6" t="str">
        <f>IFERROR(__xludf.DUMMYFUNCTION("""COMPUTED_VALUE"""),"Enrolled")</f>
        <v>Enrolled</v>
      </c>
    </row>
    <row r="2262">
      <c r="A2262" s="6" t="str">
        <f>IFERROR(__xludf.DUMMYFUNCTION("""COMPUTED_VALUE"""),"037-3459")</f>
        <v>037-3459</v>
      </c>
      <c r="B2262" s="6" t="str">
        <f>IFERROR(__xludf.DUMMYFUNCTION("""COMPUTED_VALUE"""),"37")</f>
        <v>37</v>
      </c>
      <c r="C2262" s="6" t="str">
        <f>IFERROR(__xludf.DUMMYFUNCTION("""COMPUTED_VALUE"""),"3459")</f>
        <v>3459</v>
      </c>
      <c r="D2262" s="6" t="str">
        <f>IFERROR(__xludf.DUMMYFUNCTION("""COMPUTED_VALUE"""),"Miles")</f>
        <v>Miles</v>
      </c>
      <c r="E2262" s="6" t="str">
        <f>IFERROR(__xludf.DUMMYFUNCTION("""COMPUTED_VALUE"""),"")</f>
        <v/>
      </c>
      <c r="F2262" s="6" t="str">
        <f>IFERROR(__xludf.DUMMYFUNCTION("""COMPUTED_VALUE"""),"Aguiar")</f>
        <v>Aguiar</v>
      </c>
      <c r="G2262" s="6" t="str">
        <f>IFERROR(__xludf.DUMMYFUNCTION("""COMPUTED_VALUE"""),"03/20/2012")</f>
        <v>03/20/2012</v>
      </c>
      <c r="H2262" s="6" t="str">
        <f>IFERROR(__xludf.DUMMYFUNCTION("""COMPUTED_VALUE"""),"Male")</f>
        <v>Male</v>
      </c>
      <c r="I2262" s="6" t="str">
        <f>IFERROR(__xludf.DUMMYFUNCTION("""COMPUTED_VALUE"""),"Middle School")</f>
        <v>Middle School</v>
      </c>
      <c r="J2262" s="6" t="str">
        <f>IFERROR(__xludf.DUMMYFUNCTION("""COMPUTED_VALUE"""),"7")</f>
        <v>7</v>
      </c>
      <c r="K2262" s="6" t="str">
        <f>IFERROR(__xludf.DUMMYFUNCTION("""COMPUTED_VALUE"""),"miles.aguiar@alpha.school")</f>
        <v>miles.aguiar@alpha.school</v>
      </c>
      <c r="L2262" s="6" t="str">
        <f>IFERROR(__xludf.DUMMYFUNCTION("""COMPUTED_VALUE"""),"Alpha Miami Summer School 2025")</f>
        <v>Alpha Miami Summer School 2025</v>
      </c>
      <c r="M2262" s="6" t="str">
        <f>IFERROR(__xludf.DUMMYFUNCTION("""COMPUTED_VALUE"""),"")</f>
        <v/>
      </c>
      <c r="N2262" s="6" t="str">
        <f>IFERROR(__xludf.DUMMYFUNCTION("""COMPUTED_VALUE"""),"")</f>
        <v/>
      </c>
      <c r="O2262" s="87" t="str">
        <f>IFERROR(__xludf.DUMMYFUNCTION("""COMPUTED_VALUE"""),"https://drive.google.com/drive/folders/10T2cTQHqEJZqE-st6uFKPoI?usp=share_link")</f>
        <v>https://drive.google.com/drive/folders/10T2cTQHqEJZqE-st6uFKPoI?usp=share_link</v>
      </c>
      <c r="P2262" s="6" t="str">
        <f>IFERROR(__xludf.DUMMYFUNCTION("""COMPUTED_VALUE"""),"Miles Aguiar")</f>
        <v>Miles Aguiar</v>
      </c>
      <c r="Q2262" s="6" t="str">
        <f>IFERROR(__xludf.DUMMYFUNCTION("""COMPUTED_VALUE"""),"MS")</f>
        <v>MS</v>
      </c>
      <c r="R2262" s="6">
        <f>IFERROR(__xludf.DUMMYFUNCTION("""COMPUTED_VALUE"""),0.0)</f>
        <v>0</v>
      </c>
      <c r="S2262" s="6" t="str">
        <f>IFERROR(__xludf.DUMMYFUNCTION("""COMPUTED_VALUE"""),"Alexandra Kiser")</f>
        <v>Alexandra Kiser</v>
      </c>
      <c r="T2262" s="6" t="str">
        <f>IFERROR(__xludf.DUMMYFUNCTION("""COMPUTED_VALUE"""),"alex.kiser@alpha.school")</f>
        <v>alex.kiser@alpha.school</v>
      </c>
      <c r="U2262" s="6" t="str">
        <f>IFERROR(__xludf.DUMMYFUNCTION("""COMPUTED_VALUE"""),"7")</f>
        <v>7</v>
      </c>
      <c r="V2262" s="6" t="str">
        <f>IFERROR(__xludf.DUMMYFUNCTION("""COMPUTED_VALUE"""),"English")</f>
        <v>English</v>
      </c>
      <c r="W2262" s="6" t="str">
        <f>IFERROR(__xludf.DUMMYFUNCTION("""COMPUTED_VALUE"""),"[]")</f>
        <v>[]</v>
      </c>
      <c r="X2262" s="6" t="str">
        <f>IFERROR(__xludf.DUMMYFUNCTION("""COMPUTED_VALUE"""),"Enrolled")</f>
        <v>Enrolled</v>
      </c>
    </row>
    <row r="2263">
      <c r="A2263" s="6" t="str">
        <f>IFERROR(__xludf.DUMMYFUNCTION("""COMPUTED_VALUE"""),"037-3460")</f>
        <v>037-3460</v>
      </c>
      <c r="B2263" s="6" t="str">
        <f>IFERROR(__xludf.DUMMYFUNCTION("""COMPUTED_VALUE"""),"37")</f>
        <v>37</v>
      </c>
      <c r="C2263" s="6" t="str">
        <f>IFERROR(__xludf.DUMMYFUNCTION("""COMPUTED_VALUE"""),"3460")</f>
        <v>3460</v>
      </c>
      <c r="D2263" s="6" t="str">
        <f>IFERROR(__xludf.DUMMYFUNCTION("""COMPUTED_VALUE"""),"Nicolas")</f>
        <v>Nicolas</v>
      </c>
      <c r="E2263" s="6" t="str">
        <f>IFERROR(__xludf.DUMMYFUNCTION("""COMPUTED_VALUE"""),"")</f>
        <v/>
      </c>
      <c r="F2263" s="6" t="str">
        <f>IFERROR(__xludf.DUMMYFUNCTION("""COMPUTED_VALUE"""),"Avino")</f>
        <v>Avino</v>
      </c>
      <c r="G2263" s="6" t="str">
        <f>IFERROR(__xludf.DUMMYFUNCTION("""COMPUTED_VALUE"""),"11/20/2009")</f>
        <v>11/20/2009</v>
      </c>
      <c r="H2263" s="6" t="str">
        <f>IFERROR(__xludf.DUMMYFUNCTION("""COMPUTED_VALUE"""),"Male")</f>
        <v>Male</v>
      </c>
      <c r="I2263" s="6" t="str">
        <f>IFERROR(__xludf.DUMMYFUNCTION("""COMPUTED_VALUE"""),"High School")</f>
        <v>High School</v>
      </c>
      <c r="J2263" s="6" t="str">
        <f>IFERROR(__xludf.DUMMYFUNCTION("""COMPUTED_VALUE"""),"10")</f>
        <v>10</v>
      </c>
      <c r="K2263" s="6" t="str">
        <f>IFERROR(__xludf.DUMMYFUNCTION("""COMPUTED_VALUE"""),"nicolas.avino@alpha.school")</f>
        <v>nicolas.avino@alpha.school</v>
      </c>
      <c r="L2263" s="6" t="str">
        <f>IFERROR(__xludf.DUMMYFUNCTION("""COMPUTED_VALUE"""),"Alpha Miami Summer School 2025")</f>
        <v>Alpha Miami Summer School 2025</v>
      </c>
      <c r="M2263" s="6" t="str">
        <f>IFERROR(__xludf.DUMMYFUNCTION("""COMPUTED_VALUE"""),"")</f>
        <v/>
      </c>
      <c r="N2263" s="6" t="str">
        <f>IFERROR(__xludf.DUMMYFUNCTION("""COMPUTED_VALUE"""),"")</f>
        <v/>
      </c>
      <c r="O2263" s="87" t="str">
        <f>IFERROR(__xludf.DUMMYFUNCTION("""COMPUTED_VALUE"""),"https://drive.google.com/drive/folders/10T2cTQHqEJZqE-st6uFKPoI?usp=share_link")</f>
        <v>https://drive.google.com/drive/folders/10T2cTQHqEJZqE-st6uFKPoI?usp=share_link</v>
      </c>
      <c r="P2263" s="6" t="str">
        <f>IFERROR(__xludf.DUMMYFUNCTION("""COMPUTED_VALUE"""),"Nicolas Avino")</f>
        <v>Nicolas Avino</v>
      </c>
      <c r="Q2263" s="6" t="str">
        <f>IFERROR(__xludf.DUMMYFUNCTION("""COMPUTED_VALUE"""),"HS")</f>
        <v>HS</v>
      </c>
      <c r="R2263" s="6">
        <f>IFERROR(__xludf.DUMMYFUNCTION("""COMPUTED_VALUE"""),0.0)</f>
        <v>0</v>
      </c>
      <c r="S2263" s="6" t="str">
        <f>IFERROR(__xludf.DUMMYFUNCTION("""COMPUTED_VALUE"""),"Alexandra Kiser")</f>
        <v>Alexandra Kiser</v>
      </c>
      <c r="T2263" s="6" t="str">
        <f>IFERROR(__xludf.DUMMYFUNCTION("""COMPUTED_VALUE"""),"alex.kiser@alpha.school")</f>
        <v>alex.kiser@alpha.school</v>
      </c>
      <c r="U2263" s="6" t="str">
        <f>IFERROR(__xludf.DUMMYFUNCTION("""COMPUTED_VALUE"""),"10")</f>
        <v>10</v>
      </c>
      <c r="V2263" s="6" t="str">
        <f>IFERROR(__xludf.DUMMYFUNCTION("""COMPUTED_VALUE"""),"English")</f>
        <v>English</v>
      </c>
      <c r="W2263" s="6" t="str">
        <f>IFERROR(__xludf.DUMMYFUNCTION("""COMPUTED_VALUE"""),"[]")</f>
        <v>[]</v>
      </c>
      <c r="X2263" s="6" t="str">
        <f>IFERROR(__xludf.DUMMYFUNCTION("""COMPUTED_VALUE"""),"Enrolled")</f>
        <v>Enrolled</v>
      </c>
    </row>
    <row r="2264">
      <c r="A2264" s="6" t="str">
        <f>IFERROR(__xludf.DUMMYFUNCTION("""COMPUTED_VALUE"""),"037-3461")</f>
        <v>037-3461</v>
      </c>
      <c r="B2264" s="6" t="str">
        <f>IFERROR(__xludf.DUMMYFUNCTION("""COMPUTED_VALUE"""),"37")</f>
        <v>37</v>
      </c>
      <c r="C2264" s="6" t="str">
        <f>IFERROR(__xludf.DUMMYFUNCTION("""COMPUTED_VALUE"""),"3461")</f>
        <v>3461</v>
      </c>
      <c r="D2264" s="6" t="str">
        <f>IFERROR(__xludf.DUMMYFUNCTION("""COMPUTED_VALUE"""),"Matias")</f>
        <v>Matias</v>
      </c>
      <c r="E2264" s="6" t="str">
        <f>IFERROR(__xludf.DUMMYFUNCTION("""COMPUTED_VALUE"""),"")</f>
        <v/>
      </c>
      <c r="F2264" s="6" t="str">
        <f>IFERROR(__xludf.DUMMYFUNCTION("""COMPUTED_VALUE"""),"Ovalles Montiel")</f>
        <v>Ovalles Montiel</v>
      </c>
      <c r="G2264" s="6" t="str">
        <f>IFERROR(__xludf.DUMMYFUNCTION("""COMPUTED_VALUE"""),"01/24/2014")</f>
        <v>01/24/2014</v>
      </c>
      <c r="H2264" s="6" t="str">
        <f>IFERROR(__xludf.DUMMYFUNCTION("""COMPUTED_VALUE"""),"Male")</f>
        <v>Male</v>
      </c>
      <c r="I2264" s="6" t="str">
        <f>IFERROR(__xludf.DUMMYFUNCTION("""COMPUTED_VALUE"""),"Middle School")</f>
        <v>Middle School</v>
      </c>
      <c r="J2264" s="6" t="str">
        <f>IFERROR(__xludf.DUMMYFUNCTION("""COMPUTED_VALUE"""),"6")</f>
        <v>6</v>
      </c>
      <c r="K2264" s="6" t="str">
        <f>IFERROR(__xludf.DUMMYFUNCTION("""COMPUTED_VALUE"""),"matias.ovalles.montiel@alpha.school")</f>
        <v>matias.ovalles.montiel@alpha.school</v>
      </c>
      <c r="L2264" s="6" t="str">
        <f>IFERROR(__xludf.DUMMYFUNCTION("""COMPUTED_VALUE"""),"Alpha Miami Summer School 2025")</f>
        <v>Alpha Miami Summer School 2025</v>
      </c>
      <c r="M2264" s="6" t="str">
        <f>IFERROR(__xludf.DUMMYFUNCTION("""COMPUTED_VALUE"""),"")</f>
        <v/>
      </c>
      <c r="N2264" s="6" t="str">
        <f>IFERROR(__xludf.DUMMYFUNCTION("""COMPUTED_VALUE"""),"")</f>
        <v/>
      </c>
      <c r="O2264" s="87" t="str">
        <f>IFERROR(__xludf.DUMMYFUNCTION("""COMPUTED_VALUE"""),"https://drive.google.com/drive/folders/10T2cTQHqEJZqE-st6uFKPoI?usp=share_link")</f>
        <v>https://drive.google.com/drive/folders/10T2cTQHqEJZqE-st6uFKPoI?usp=share_link</v>
      </c>
      <c r="P2264" s="6" t="str">
        <f>IFERROR(__xludf.DUMMYFUNCTION("""COMPUTED_VALUE"""),"Matias Ovalles Montiel")</f>
        <v>Matias Ovalles Montiel</v>
      </c>
      <c r="Q2264" s="6" t="str">
        <f>IFERROR(__xludf.DUMMYFUNCTION("""COMPUTED_VALUE"""),"MS")</f>
        <v>MS</v>
      </c>
      <c r="R2264" s="6">
        <f>IFERROR(__xludf.DUMMYFUNCTION("""COMPUTED_VALUE"""),0.0)</f>
        <v>0</v>
      </c>
      <c r="S2264" s="6" t="str">
        <f>IFERROR(__xludf.DUMMYFUNCTION("""COMPUTED_VALUE"""),"Alexandra Kiser")</f>
        <v>Alexandra Kiser</v>
      </c>
      <c r="T2264" s="6" t="str">
        <f>IFERROR(__xludf.DUMMYFUNCTION("""COMPUTED_VALUE"""),"alex.kiser@alpha.school")</f>
        <v>alex.kiser@alpha.school</v>
      </c>
      <c r="U2264" s="6" t="str">
        <f>IFERROR(__xludf.DUMMYFUNCTION("""COMPUTED_VALUE"""),"6")</f>
        <v>6</v>
      </c>
      <c r="V2264" s="6" t="str">
        <f>IFERROR(__xludf.DUMMYFUNCTION("""COMPUTED_VALUE"""),"English")</f>
        <v>English</v>
      </c>
      <c r="W2264" s="6" t="str">
        <f>IFERROR(__xludf.DUMMYFUNCTION("""COMPUTED_VALUE"""),"[]")</f>
        <v>[]</v>
      </c>
      <c r="X2264" s="6" t="str">
        <f>IFERROR(__xludf.DUMMYFUNCTION("""COMPUTED_VALUE"""),"Enrolled")</f>
        <v>Enrolled</v>
      </c>
    </row>
    <row r="2265">
      <c r="A2265" s="6" t="str">
        <f>IFERROR(__xludf.DUMMYFUNCTION("""COMPUTED_VALUE"""),"037-3462")</f>
        <v>037-3462</v>
      </c>
      <c r="B2265" s="6" t="str">
        <f>IFERROR(__xludf.DUMMYFUNCTION("""COMPUTED_VALUE"""),"37")</f>
        <v>37</v>
      </c>
      <c r="C2265" s="6" t="str">
        <f>IFERROR(__xludf.DUMMYFUNCTION("""COMPUTED_VALUE"""),"3462")</f>
        <v>3462</v>
      </c>
      <c r="D2265" s="6" t="str">
        <f>IFERROR(__xludf.DUMMYFUNCTION("""COMPUTED_VALUE"""),"Maximiliano")</f>
        <v>Maximiliano</v>
      </c>
      <c r="E2265" s="6" t="str">
        <f>IFERROR(__xludf.DUMMYFUNCTION("""COMPUTED_VALUE"""),"")</f>
        <v/>
      </c>
      <c r="F2265" s="6" t="str">
        <f>IFERROR(__xludf.DUMMYFUNCTION("""COMPUTED_VALUE"""),"Ovalles Montiel")</f>
        <v>Ovalles Montiel</v>
      </c>
      <c r="G2265" s="6" t="str">
        <f>IFERROR(__xludf.DUMMYFUNCTION("""COMPUTED_VALUE"""),"01/24/2014")</f>
        <v>01/24/2014</v>
      </c>
      <c r="H2265" s="6" t="str">
        <f>IFERROR(__xludf.DUMMYFUNCTION("""COMPUTED_VALUE"""),"Male")</f>
        <v>Male</v>
      </c>
      <c r="I2265" s="6" t="str">
        <f>IFERROR(__xludf.DUMMYFUNCTION("""COMPUTED_VALUE"""),"Middle School")</f>
        <v>Middle School</v>
      </c>
      <c r="J2265" s="6" t="str">
        <f>IFERROR(__xludf.DUMMYFUNCTION("""COMPUTED_VALUE"""),"6")</f>
        <v>6</v>
      </c>
      <c r="K2265" s="6" t="str">
        <f>IFERROR(__xludf.DUMMYFUNCTION("""COMPUTED_VALUE"""),"maximiliano.ovalles.montiel@alpha.school")</f>
        <v>maximiliano.ovalles.montiel@alpha.school</v>
      </c>
      <c r="L2265" s="6" t="str">
        <f>IFERROR(__xludf.DUMMYFUNCTION("""COMPUTED_VALUE"""),"Alpha Miami Summer School 2025")</f>
        <v>Alpha Miami Summer School 2025</v>
      </c>
      <c r="M2265" s="6" t="str">
        <f>IFERROR(__xludf.DUMMYFUNCTION("""COMPUTED_VALUE"""),"")</f>
        <v/>
      </c>
      <c r="N2265" s="6" t="str">
        <f>IFERROR(__xludf.DUMMYFUNCTION("""COMPUTED_VALUE"""),"")</f>
        <v/>
      </c>
      <c r="O2265" s="87" t="str">
        <f>IFERROR(__xludf.DUMMYFUNCTION("""COMPUTED_VALUE"""),"https://drive.google.com/drive/folders/10T2cTQHqEJZqE-st6uFKPoI?usp=share_link")</f>
        <v>https://drive.google.com/drive/folders/10T2cTQHqEJZqE-st6uFKPoI?usp=share_link</v>
      </c>
      <c r="P2265" s="6" t="str">
        <f>IFERROR(__xludf.DUMMYFUNCTION("""COMPUTED_VALUE"""),"Maximiliano Ovalles Montiel")</f>
        <v>Maximiliano Ovalles Montiel</v>
      </c>
      <c r="Q2265" s="6" t="str">
        <f>IFERROR(__xludf.DUMMYFUNCTION("""COMPUTED_VALUE"""),"MS")</f>
        <v>MS</v>
      </c>
      <c r="R2265" s="6">
        <f>IFERROR(__xludf.DUMMYFUNCTION("""COMPUTED_VALUE"""),0.0)</f>
        <v>0</v>
      </c>
      <c r="S2265" s="6" t="str">
        <f>IFERROR(__xludf.DUMMYFUNCTION("""COMPUTED_VALUE"""),"Alexandra Kiser")</f>
        <v>Alexandra Kiser</v>
      </c>
      <c r="T2265" s="6" t="str">
        <f>IFERROR(__xludf.DUMMYFUNCTION("""COMPUTED_VALUE"""),"alex.kiser@alpha.school")</f>
        <v>alex.kiser@alpha.school</v>
      </c>
      <c r="U2265" s="6" t="str">
        <f>IFERROR(__xludf.DUMMYFUNCTION("""COMPUTED_VALUE"""),"6")</f>
        <v>6</v>
      </c>
      <c r="V2265" s="6" t="str">
        <f>IFERROR(__xludf.DUMMYFUNCTION("""COMPUTED_VALUE"""),"English")</f>
        <v>English</v>
      </c>
      <c r="W2265" s="6" t="str">
        <f>IFERROR(__xludf.DUMMYFUNCTION("""COMPUTED_VALUE"""),"[]")</f>
        <v>[]</v>
      </c>
      <c r="X2265" s="6" t="str">
        <f>IFERROR(__xludf.DUMMYFUNCTION("""COMPUTED_VALUE"""),"Enrolled")</f>
        <v>Enrolled</v>
      </c>
    </row>
    <row r="2266">
      <c r="A2266" s="6" t="str">
        <f>IFERROR(__xludf.DUMMYFUNCTION("""COMPUTED_VALUE"""),"037-3463")</f>
        <v>037-3463</v>
      </c>
      <c r="B2266" s="6" t="str">
        <f>IFERROR(__xludf.DUMMYFUNCTION("""COMPUTED_VALUE"""),"37")</f>
        <v>37</v>
      </c>
      <c r="C2266" s="6" t="str">
        <f>IFERROR(__xludf.DUMMYFUNCTION("""COMPUTED_VALUE"""),"3463")</f>
        <v>3463</v>
      </c>
      <c r="D2266" s="6" t="str">
        <f>IFERROR(__xludf.DUMMYFUNCTION("""COMPUTED_VALUE"""),"Jaden")</f>
        <v>Jaden</v>
      </c>
      <c r="E2266" s="6" t="str">
        <f>IFERROR(__xludf.DUMMYFUNCTION("""COMPUTED_VALUE"""),"")</f>
        <v/>
      </c>
      <c r="F2266" s="6" t="str">
        <f>IFERROR(__xludf.DUMMYFUNCTION("""COMPUTED_VALUE"""),"Nuno")</f>
        <v>Nuno</v>
      </c>
      <c r="G2266" s="6" t="str">
        <f>IFERROR(__xludf.DUMMYFUNCTION("""COMPUTED_VALUE"""),"03/09/2009")</f>
        <v>03/09/2009</v>
      </c>
      <c r="H2266" s="6" t="str">
        <f>IFERROR(__xludf.DUMMYFUNCTION("""COMPUTED_VALUE"""),"Male")</f>
        <v>Male</v>
      </c>
      <c r="I2266" s="6" t="str">
        <f>IFERROR(__xludf.DUMMYFUNCTION("""COMPUTED_VALUE"""),"High School")</f>
        <v>High School</v>
      </c>
      <c r="J2266" s="6" t="str">
        <f>IFERROR(__xludf.DUMMYFUNCTION("""COMPUTED_VALUE"""),"10")</f>
        <v>10</v>
      </c>
      <c r="K2266" s="6" t="str">
        <f>IFERROR(__xludf.DUMMYFUNCTION("""COMPUTED_VALUE"""),"jaden.nuno@alpha.school")</f>
        <v>jaden.nuno@alpha.school</v>
      </c>
      <c r="L2266" s="6" t="str">
        <f>IFERROR(__xludf.DUMMYFUNCTION("""COMPUTED_VALUE"""),"Alpha Miami Summer School 2025")</f>
        <v>Alpha Miami Summer School 2025</v>
      </c>
      <c r="M2266" s="6" t="str">
        <f>IFERROR(__xludf.DUMMYFUNCTION("""COMPUTED_VALUE"""),"")</f>
        <v/>
      </c>
      <c r="N2266" s="6" t="str">
        <f>IFERROR(__xludf.DUMMYFUNCTION("""COMPUTED_VALUE"""),"")</f>
        <v/>
      </c>
      <c r="O2266" s="87" t="str">
        <f>IFERROR(__xludf.DUMMYFUNCTION("""COMPUTED_VALUE"""),"https://drive.google.com/drive/folders/10T2cTQHqEJZqE-st6uFKPoI?usp=share_link")</f>
        <v>https://drive.google.com/drive/folders/10T2cTQHqEJZqE-st6uFKPoI?usp=share_link</v>
      </c>
      <c r="P2266" s="6" t="str">
        <f>IFERROR(__xludf.DUMMYFUNCTION("""COMPUTED_VALUE"""),"Jaden Nuno")</f>
        <v>Jaden Nuno</v>
      </c>
      <c r="Q2266" s="6" t="str">
        <f>IFERROR(__xludf.DUMMYFUNCTION("""COMPUTED_VALUE"""),"HS")</f>
        <v>HS</v>
      </c>
      <c r="R2266" s="6">
        <f>IFERROR(__xludf.DUMMYFUNCTION("""COMPUTED_VALUE"""),0.0)</f>
        <v>0</v>
      </c>
      <c r="S2266" s="6" t="str">
        <f>IFERROR(__xludf.DUMMYFUNCTION("""COMPUTED_VALUE"""),"Alexandra Kiser")</f>
        <v>Alexandra Kiser</v>
      </c>
      <c r="T2266" s="6" t="str">
        <f>IFERROR(__xludf.DUMMYFUNCTION("""COMPUTED_VALUE"""),"alex.kiser@alpha.school")</f>
        <v>alex.kiser@alpha.school</v>
      </c>
      <c r="U2266" s="6" t="str">
        <f>IFERROR(__xludf.DUMMYFUNCTION("""COMPUTED_VALUE"""),"10")</f>
        <v>10</v>
      </c>
      <c r="V2266" s="6" t="str">
        <f>IFERROR(__xludf.DUMMYFUNCTION("""COMPUTED_VALUE"""),"English")</f>
        <v>English</v>
      </c>
      <c r="W2266" s="6" t="str">
        <f>IFERROR(__xludf.DUMMYFUNCTION("""COMPUTED_VALUE"""),"[]")</f>
        <v>[]</v>
      </c>
      <c r="X2266" s="6" t="str">
        <f>IFERROR(__xludf.DUMMYFUNCTION("""COMPUTED_VALUE"""),"Enrolled")</f>
        <v>Enrolled</v>
      </c>
    </row>
    <row r="2267">
      <c r="A2267" s="6" t="str">
        <f>IFERROR(__xludf.DUMMYFUNCTION("""COMPUTED_VALUE"""),"037-3464")</f>
        <v>037-3464</v>
      </c>
      <c r="B2267" s="6" t="str">
        <f>IFERROR(__xludf.DUMMYFUNCTION("""COMPUTED_VALUE"""),"37")</f>
        <v>37</v>
      </c>
      <c r="C2267" s="6" t="str">
        <f>IFERROR(__xludf.DUMMYFUNCTION("""COMPUTED_VALUE"""),"3464")</f>
        <v>3464</v>
      </c>
      <c r="D2267" s="6" t="str">
        <f>IFERROR(__xludf.DUMMYFUNCTION("""COMPUTED_VALUE"""),"Isadora")</f>
        <v>Isadora</v>
      </c>
      <c r="E2267" s="6" t="str">
        <f>IFERROR(__xludf.DUMMYFUNCTION("""COMPUTED_VALUE"""),"")</f>
        <v/>
      </c>
      <c r="F2267" s="6" t="str">
        <f>IFERROR(__xludf.DUMMYFUNCTION("""COMPUTED_VALUE"""),"Diaz Balonek")</f>
        <v>Diaz Balonek</v>
      </c>
      <c r="G2267" s="6" t="str">
        <f>IFERROR(__xludf.DUMMYFUNCTION("""COMPUTED_VALUE"""),"04/18/2014")</f>
        <v>04/18/2014</v>
      </c>
      <c r="H2267" s="6" t="str">
        <f>IFERROR(__xludf.DUMMYFUNCTION("""COMPUTED_VALUE"""),"Female")</f>
        <v>Female</v>
      </c>
      <c r="I2267" s="6" t="str">
        <f>IFERROR(__xludf.DUMMYFUNCTION("""COMPUTED_VALUE"""),"Middle School")</f>
        <v>Middle School</v>
      </c>
      <c r="J2267" s="6" t="str">
        <f>IFERROR(__xludf.DUMMYFUNCTION("""COMPUTED_VALUE"""),"6")</f>
        <v>6</v>
      </c>
      <c r="K2267" s="6" t="str">
        <f>IFERROR(__xludf.DUMMYFUNCTION("""COMPUTED_VALUE"""),"isadora.diaz.balonek@alpha.school")</f>
        <v>isadora.diaz.balonek@alpha.school</v>
      </c>
      <c r="L2267" s="6" t="str">
        <f>IFERROR(__xludf.DUMMYFUNCTION("""COMPUTED_VALUE"""),"Alpha Miami Summer School 2025")</f>
        <v>Alpha Miami Summer School 2025</v>
      </c>
      <c r="M2267" s="6" t="str">
        <f>IFERROR(__xludf.DUMMYFUNCTION("""COMPUTED_VALUE"""),"")</f>
        <v/>
      </c>
      <c r="N2267" s="6" t="str">
        <f>IFERROR(__xludf.DUMMYFUNCTION("""COMPUTED_VALUE"""),"")</f>
        <v/>
      </c>
      <c r="O2267" s="87" t="str">
        <f>IFERROR(__xludf.DUMMYFUNCTION("""COMPUTED_VALUE"""),"https://drive.google.com/drive/folders/10T2cTQHqEJZqE-st6uFKPoI?usp=share_link")</f>
        <v>https://drive.google.com/drive/folders/10T2cTQHqEJZqE-st6uFKPoI?usp=share_link</v>
      </c>
      <c r="P2267" s="6" t="str">
        <f>IFERROR(__xludf.DUMMYFUNCTION("""COMPUTED_VALUE"""),"Isadora Diaz Balonek")</f>
        <v>Isadora Diaz Balonek</v>
      </c>
      <c r="Q2267" s="6" t="str">
        <f>IFERROR(__xludf.DUMMYFUNCTION("""COMPUTED_VALUE"""),"MS")</f>
        <v>MS</v>
      </c>
      <c r="R2267" s="6">
        <f>IFERROR(__xludf.DUMMYFUNCTION("""COMPUTED_VALUE"""),0.0)</f>
        <v>0</v>
      </c>
      <c r="S2267" s="6" t="str">
        <f>IFERROR(__xludf.DUMMYFUNCTION("""COMPUTED_VALUE"""),"Alexandra Kiser")</f>
        <v>Alexandra Kiser</v>
      </c>
      <c r="T2267" s="6" t="str">
        <f>IFERROR(__xludf.DUMMYFUNCTION("""COMPUTED_VALUE"""),"alex.kiser@alpha.school")</f>
        <v>alex.kiser@alpha.school</v>
      </c>
      <c r="U2267" s="6" t="str">
        <f>IFERROR(__xludf.DUMMYFUNCTION("""COMPUTED_VALUE"""),"6")</f>
        <v>6</v>
      </c>
      <c r="V2267" s="6" t="str">
        <f>IFERROR(__xludf.DUMMYFUNCTION("""COMPUTED_VALUE"""),"English")</f>
        <v>English</v>
      </c>
      <c r="W2267" s="6" t="str">
        <f>IFERROR(__xludf.DUMMYFUNCTION("""COMPUTED_VALUE"""),"[]")</f>
        <v>[]</v>
      </c>
      <c r="X2267" s="6" t="str">
        <f>IFERROR(__xludf.DUMMYFUNCTION("""COMPUTED_VALUE"""),"Enrolled")</f>
        <v>Enrolled</v>
      </c>
    </row>
    <row r="2268">
      <c r="A2268" s="6" t="str">
        <f>IFERROR(__xludf.DUMMYFUNCTION("""COMPUTED_VALUE"""),"037-3465")</f>
        <v>037-3465</v>
      </c>
      <c r="B2268" s="6" t="str">
        <f>IFERROR(__xludf.DUMMYFUNCTION("""COMPUTED_VALUE"""),"37")</f>
        <v>37</v>
      </c>
      <c r="C2268" s="6" t="str">
        <f>IFERROR(__xludf.DUMMYFUNCTION("""COMPUTED_VALUE"""),"3465")</f>
        <v>3465</v>
      </c>
      <c r="D2268" s="6" t="str">
        <f>IFERROR(__xludf.DUMMYFUNCTION("""COMPUTED_VALUE"""),"Camila")</f>
        <v>Camila</v>
      </c>
      <c r="E2268" s="6" t="str">
        <f>IFERROR(__xludf.DUMMYFUNCTION("""COMPUTED_VALUE"""),"")</f>
        <v/>
      </c>
      <c r="F2268" s="6" t="str">
        <f>IFERROR(__xludf.DUMMYFUNCTION("""COMPUTED_VALUE"""),"Diaz Balonek")</f>
        <v>Diaz Balonek</v>
      </c>
      <c r="G2268" s="6" t="str">
        <f>IFERROR(__xludf.DUMMYFUNCTION("""COMPUTED_VALUE"""),"02/15/2013")</f>
        <v>02/15/2013</v>
      </c>
      <c r="H2268" s="6" t="str">
        <f>IFERROR(__xludf.DUMMYFUNCTION("""COMPUTED_VALUE"""),"Female")</f>
        <v>Female</v>
      </c>
      <c r="I2268" s="6" t="str">
        <f>IFERROR(__xludf.DUMMYFUNCTION("""COMPUTED_VALUE"""),"Middle School")</f>
        <v>Middle School</v>
      </c>
      <c r="J2268" s="6" t="str">
        <f>IFERROR(__xludf.DUMMYFUNCTION("""COMPUTED_VALUE"""),"7")</f>
        <v>7</v>
      </c>
      <c r="K2268" s="6" t="str">
        <f>IFERROR(__xludf.DUMMYFUNCTION("""COMPUTED_VALUE"""),"camila.diaz.balonek@alpha.school")</f>
        <v>camila.diaz.balonek@alpha.school</v>
      </c>
      <c r="L2268" s="6" t="str">
        <f>IFERROR(__xludf.DUMMYFUNCTION("""COMPUTED_VALUE"""),"Alpha Miami Summer School 2025")</f>
        <v>Alpha Miami Summer School 2025</v>
      </c>
      <c r="M2268" s="6" t="str">
        <f>IFERROR(__xludf.DUMMYFUNCTION("""COMPUTED_VALUE"""),"")</f>
        <v/>
      </c>
      <c r="N2268" s="6" t="str">
        <f>IFERROR(__xludf.DUMMYFUNCTION("""COMPUTED_VALUE"""),"")</f>
        <v/>
      </c>
      <c r="O2268" s="87" t="str">
        <f>IFERROR(__xludf.DUMMYFUNCTION("""COMPUTED_VALUE"""),"https://drive.google.com/drive/folders/10T2cTQHqEJZqE-st6uFKPoI?usp=share_link")</f>
        <v>https://drive.google.com/drive/folders/10T2cTQHqEJZqE-st6uFKPoI?usp=share_link</v>
      </c>
      <c r="P2268" s="6" t="str">
        <f>IFERROR(__xludf.DUMMYFUNCTION("""COMPUTED_VALUE"""),"Camila Diaz Balonek")</f>
        <v>Camila Diaz Balonek</v>
      </c>
      <c r="Q2268" s="6" t="str">
        <f>IFERROR(__xludf.DUMMYFUNCTION("""COMPUTED_VALUE"""),"MS")</f>
        <v>MS</v>
      </c>
      <c r="R2268" s="6">
        <f>IFERROR(__xludf.DUMMYFUNCTION("""COMPUTED_VALUE"""),0.0)</f>
        <v>0</v>
      </c>
      <c r="S2268" s="6" t="str">
        <f>IFERROR(__xludf.DUMMYFUNCTION("""COMPUTED_VALUE"""),"Alexandra Kiser")</f>
        <v>Alexandra Kiser</v>
      </c>
      <c r="T2268" s="6" t="str">
        <f>IFERROR(__xludf.DUMMYFUNCTION("""COMPUTED_VALUE"""),"alex.kiser@alpha.school")</f>
        <v>alex.kiser@alpha.school</v>
      </c>
      <c r="U2268" s="6" t="str">
        <f>IFERROR(__xludf.DUMMYFUNCTION("""COMPUTED_VALUE"""),"7")</f>
        <v>7</v>
      </c>
      <c r="V2268" s="6" t="str">
        <f>IFERROR(__xludf.DUMMYFUNCTION("""COMPUTED_VALUE"""),"English")</f>
        <v>English</v>
      </c>
      <c r="W2268" s="6" t="str">
        <f>IFERROR(__xludf.DUMMYFUNCTION("""COMPUTED_VALUE"""),"[]")</f>
        <v>[]</v>
      </c>
      <c r="X2268" s="6" t="str">
        <f>IFERROR(__xludf.DUMMYFUNCTION("""COMPUTED_VALUE"""),"Enrolled")</f>
        <v>Enrolled</v>
      </c>
    </row>
    <row r="2269">
      <c r="A2269" s="6" t="str">
        <f>IFERROR(__xludf.DUMMYFUNCTION("""COMPUTED_VALUE"""),"037-3466")</f>
        <v>037-3466</v>
      </c>
      <c r="B2269" s="6" t="str">
        <f>IFERROR(__xludf.DUMMYFUNCTION("""COMPUTED_VALUE"""),"37")</f>
        <v>37</v>
      </c>
      <c r="C2269" s="6" t="str">
        <f>IFERROR(__xludf.DUMMYFUNCTION("""COMPUTED_VALUE"""),"3466")</f>
        <v>3466</v>
      </c>
      <c r="D2269" s="6" t="str">
        <f>IFERROR(__xludf.DUMMYFUNCTION("""COMPUTED_VALUE"""),"Sophia")</f>
        <v>Sophia</v>
      </c>
      <c r="E2269" s="6" t="str">
        <f>IFERROR(__xludf.DUMMYFUNCTION("""COMPUTED_VALUE"""),"")</f>
        <v/>
      </c>
      <c r="F2269" s="6" t="str">
        <f>IFERROR(__xludf.DUMMYFUNCTION("""COMPUTED_VALUE"""),"Picado")</f>
        <v>Picado</v>
      </c>
      <c r="G2269" s="6" t="str">
        <f>IFERROR(__xludf.DUMMYFUNCTION("""COMPUTED_VALUE"""),"10/03/2011")</f>
        <v>10/03/2011</v>
      </c>
      <c r="H2269" s="6" t="str">
        <f>IFERROR(__xludf.DUMMYFUNCTION("""COMPUTED_VALUE"""),"Female")</f>
        <v>Female</v>
      </c>
      <c r="I2269" s="6" t="str">
        <f>IFERROR(__xludf.DUMMYFUNCTION("""COMPUTED_VALUE"""),"Middle School")</f>
        <v>Middle School</v>
      </c>
      <c r="J2269" s="6" t="str">
        <f>IFERROR(__xludf.DUMMYFUNCTION("""COMPUTED_VALUE"""),"8")</f>
        <v>8</v>
      </c>
      <c r="K2269" s="6" t="str">
        <f>IFERROR(__xludf.DUMMYFUNCTION("""COMPUTED_VALUE"""),"sophia.picado@alpha.school")</f>
        <v>sophia.picado@alpha.school</v>
      </c>
      <c r="L2269" s="6" t="str">
        <f>IFERROR(__xludf.DUMMYFUNCTION("""COMPUTED_VALUE"""),"Alpha Miami Summer School 2025")</f>
        <v>Alpha Miami Summer School 2025</v>
      </c>
      <c r="M2269" s="6" t="str">
        <f>IFERROR(__xludf.DUMMYFUNCTION("""COMPUTED_VALUE"""),"")</f>
        <v/>
      </c>
      <c r="N2269" s="6" t="str">
        <f>IFERROR(__xludf.DUMMYFUNCTION("""COMPUTED_VALUE"""),"")</f>
        <v/>
      </c>
      <c r="O2269" s="87" t="str">
        <f>IFERROR(__xludf.DUMMYFUNCTION("""COMPUTED_VALUE"""),"https://drive.google.com/drive/folders/10T2cTQHqEJZqE-st6uFKPoI?usp=share_link")</f>
        <v>https://drive.google.com/drive/folders/10T2cTQHqEJZqE-st6uFKPoI?usp=share_link</v>
      </c>
      <c r="P2269" s="6" t="str">
        <f>IFERROR(__xludf.DUMMYFUNCTION("""COMPUTED_VALUE"""),"Sophia Picado")</f>
        <v>Sophia Picado</v>
      </c>
      <c r="Q2269" s="6" t="str">
        <f>IFERROR(__xludf.DUMMYFUNCTION("""COMPUTED_VALUE"""),"MS")</f>
        <v>MS</v>
      </c>
      <c r="R2269" s="6">
        <f>IFERROR(__xludf.DUMMYFUNCTION("""COMPUTED_VALUE"""),0.0)</f>
        <v>0</v>
      </c>
      <c r="S2269" s="6" t="str">
        <f>IFERROR(__xludf.DUMMYFUNCTION("""COMPUTED_VALUE"""),"Alexandra Kiser")</f>
        <v>Alexandra Kiser</v>
      </c>
      <c r="T2269" s="6" t="str">
        <f>IFERROR(__xludf.DUMMYFUNCTION("""COMPUTED_VALUE"""),"alex.kiser@alpha.school")</f>
        <v>alex.kiser@alpha.school</v>
      </c>
      <c r="U2269" s="6" t="str">
        <f>IFERROR(__xludf.DUMMYFUNCTION("""COMPUTED_VALUE"""),"8")</f>
        <v>8</v>
      </c>
      <c r="V2269" s="6" t="str">
        <f>IFERROR(__xludf.DUMMYFUNCTION("""COMPUTED_VALUE"""),"English")</f>
        <v>English</v>
      </c>
      <c r="W2269" s="6" t="str">
        <f>IFERROR(__xludf.DUMMYFUNCTION("""COMPUTED_VALUE"""),"[]")</f>
        <v>[]</v>
      </c>
      <c r="X2269" s="6" t="str">
        <f>IFERROR(__xludf.DUMMYFUNCTION("""COMPUTED_VALUE"""),"Enrolled")</f>
        <v>Enrolled</v>
      </c>
    </row>
    <row r="2270">
      <c r="A2270" s="6" t="str">
        <f>IFERROR(__xludf.DUMMYFUNCTION("""COMPUTED_VALUE"""),"037-3467")</f>
        <v>037-3467</v>
      </c>
      <c r="B2270" s="6" t="str">
        <f>IFERROR(__xludf.DUMMYFUNCTION("""COMPUTED_VALUE"""),"37")</f>
        <v>37</v>
      </c>
      <c r="C2270" s="6" t="str">
        <f>IFERROR(__xludf.DUMMYFUNCTION("""COMPUTED_VALUE"""),"3467")</f>
        <v>3467</v>
      </c>
      <c r="D2270" s="6" t="str">
        <f>IFERROR(__xludf.DUMMYFUNCTION("""COMPUTED_VALUE"""),"Fatima")</f>
        <v>Fatima</v>
      </c>
      <c r="E2270" s="6" t="str">
        <f>IFERROR(__xludf.DUMMYFUNCTION("""COMPUTED_VALUE"""),"")</f>
        <v/>
      </c>
      <c r="F2270" s="6" t="str">
        <f>IFERROR(__xludf.DUMMYFUNCTION("""COMPUTED_VALUE"""),"Teraif")</f>
        <v>Teraif</v>
      </c>
      <c r="G2270" s="6" t="str">
        <f>IFERROR(__xludf.DUMMYFUNCTION("""COMPUTED_VALUE"""),"09/18/2013")</f>
        <v>09/18/2013</v>
      </c>
      <c r="H2270" s="6" t="str">
        <f>IFERROR(__xludf.DUMMYFUNCTION("""COMPUTED_VALUE"""),"Female")</f>
        <v>Female</v>
      </c>
      <c r="I2270" s="6" t="str">
        <f>IFERROR(__xludf.DUMMYFUNCTION("""COMPUTED_VALUE"""),"Middle School")</f>
        <v>Middle School</v>
      </c>
      <c r="J2270" s="6" t="str">
        <f>IFERROR(__xludf.DUMMYFUNCTION("""COMPUTED_VALUE"""),"7")</f>
        <v>7</v>
      </c>
      <c r="K2270" s="6" t="str">
        <f>IFERROR(__xludf.DUMMYFUNCTION("""COMPUTED_VALUE"""),"fatima.teraif@alpha.school")</f>
        <v>fatima.teraif@alpha.school</v>
      </c>
      <c r="L2270" s="6" t="str">
        <f>IFERROR(__xludf.DUMMYFUNCTION("""COMPUTED_VALUE"""),"Alpha Miami Summer School 2025")</f>
        <v>Alpha Miami Summer School 2025</v>
      </c>
      <c r="M2270" s="6" t="str">
        <f>IFERROR(__xludf.DUMMYFUNCTION("""COMPUTED_VALUE"""),"")</f>
        <v/>
      </c>
      <c r="N2270" s="6" t="str">
        <f>IFERROR(__xludf.DUMMYFUNCTION("""COMPUTED_VALUE"""),"")</f>
        <v/>
      </c>
      <c r="O2270" s="87" t="str">
        <f>IFERROR(__xludf.DUMMYFUNCTION("""COMPUTED_VALUE"""),"https://drive.google.com/drive/folders/10T2cTQHqEJZqE-st6uFKPoI?usp=share_link")</f>
        <v>https://drive.google.com/drive/folders/10T2cTQHqEJZqE-st6uFKPoI?usp=share_link</v>
      </c>
      <c r="P2270" s="6" t="str">
        <f>IFERROR(__xludf.DUMMYFUNCTION("""COMPUTED_VALUE"""),"Fatima Teraif")</f>
        <v>Fatima Teraif</v>
      </c>
      <c r="Q2270" s="6" t="str">
        <f>IFERROR(__xludf.DUMMYFUNCTION("""COMPUTED_VALUE"""),"MS")</f>
        <v>MS</v>
      </c>
      <c r="R2270" s="6">
        <f>IFERROR(__xludf.DUMMYFUNCTION("""COMPUTED_VALUE"""),0.0)</f>
        <v>0</v>
      </c>
      <c r="S2270" s="6" t="str">
        <f>IFERROR(__xludf.DUMMYFUNCTION("""COMPUTED_VALUE"""),"Alexandra Kiser")</f>
        <v>Alexandra Kiser</v>
      </c>
      <c r="T2270" s="6" t="str">
        <f>IFERROR(__xludf.DUMMYFUNCTION("""COMPUTED_VALUE"""),"alex.kiser@alpha.school")</f>
        <v>alex.kiser@alpha.school</v>
      </c>
      <c r="U2270" s="6" t="str">
        <f>IFERROR(__xludf.DUMMYFUNCTION("""COMPUTED_VALUE"""),"7")</f>
        <v>7</v>
      </c>
      <c r="V2270" s="6" t="str">
        <f>IFERROR(__xludf.DUMMYFUNCTION("""COMPUTED_VALUE"""),"English")</f>
        <v>English</v>
      </c>
      <c r="W2270" s="6" t="str">
        <f>IFERROR(__xludf.DUMMYFUNCTION("""COMPUTED_VALUE"""),"[]")</f>
        <v>[]</v>
      </c>
      <c r="X2270" s="6" t="str">
        <f>IFERROR(__xludf.DUMMYFUNCTION("""COMPUTED_VALUE"""),"Enrolled")</f>
        <v>Enrolled</v>
      </c>
    </row>
    <row r="2271">
      <c r="A2271" s="6" t="str">
        <f>IFERROR(__xludf.DUMMYFUNCTION("""COMPUTED_VALUE"""),"037-3468")</f>
        <v>037-3468</v>
      </c>
      <c r="B2271" s="6" t="str">
        <f>IFERROR(__xludf.DUMMYFUNCTION("""COMPUTED_VALUE"""),"37")</f>
        <v>37</v>
      </c>
      <c r="C2271" s="6" t="str">
        <f>IFERROR(__xludf.DUMMYFUNCTION("""COMPUTED_VALUE"""),"3468")</f>
        <v>3468</v>
      </c>
      <c r="D2271" s="6" t="str">
        <f>IFERROR(__xludf.DUMMYFUNCTION("""COMPUTED_VALUE"""),"Amy")</f>
        <v>Amy</v>
      </c>
      <c r="E2271" s="6" t="str">
        <f>IFERROR(__xludf.DUMMYFUNCTION("""COMPUTED_VALUE"""),"")</f>
        <v/>
      </c>
      <c r="F2271" s="6" t="str">
        <f>IFERROR(__xludf.DUMMYFUNCTION("""COMPUTED_VALUE"""),"Li")</f>
        <v>Li</v>
      </c>
      <c r="G2271" s="6" t="str">
        <f>IFERROR(__xludf.DUMMYFUNCTION("""COMPUTED_VALUE"""),"11/14/2012")</f>
        <v>11/14/2012</v>
      </c>
      <c r="H2271" s="6" t="str">
        <f>IFERROR(__xludf.DUMMYFUNCTION("""COMPUTED_VALUE"""),"Female")</f>
        <v>Female</v>
      </c>
      <c r="I2271" s="6" t="str">
        <f>IFERROR(__xludf.DUMMYFUNCTION("""COMPUTED_VALUE"""),"Middle School")</f>
        <v>Middle School</v>
      </c>
      <c r="J2271" s="6" t="str">
        <f>IFERROR(__xludf.DUMMYFUNCTION("""COMPUTED_VALUE"""),"8")</f>
        <v>8</v>
      </c>
      <c r="K2271" s="6" t="str">
        <f>IFERROR(__xludf.DUMMYFUNCTION("""COMPUTED_VALUE"""),"amy.li@alpha.school")</f>
        <v>amy.li@alpha.school</v>
      </c>
      <c r="L2271" s="6" t="str">
        <f>IFERROR(__xludf.DUMMYFUNCTION("""COMPUTED_VALUE"""),"Alpha Miami Summer School 2025")</f>
        <v>Alpha Miami Summer School 2025</v>
      </c>
      <c r="M2271" s="6" t="str">
        <f>IFERROR(__xludf.DUMMYFUNCTION("""COMPUTED_VALUE"""),"")</f>
        <v/>
      </c>
      <c r="N2271" s="6" t="str">
        <f>IFERROR(__xludf.DUMMYFUNCTION("""COMPUTED_VALUE"""),"")</f>
        <v/>
      </c>
      <c r="O2271" s="87" t="str">
        <f>IFERROR(__xludf.DUMMYFUNCTION("""COMPUTED_VALUE"""),"https://drive.google.com/drive/folders/10T2cTQHqEJZqE-st6uFKPoI?usp=share_link")</f>
        <v>https://drive.google.com/drive/folders/10T2cTQHqEJZqE-st6uFKPoI?usp=share_link</v>
      </c>
      <c r="P2271" s="6" t="str">
        <f>IFERROR(__xludf.DUMMYFUNCTION("""COMPUTED_VALUE"""),"Amy Li")</f>
        <v>Amy Li</v>
      </c>
      <c r="Q2271" s="6" t="str">
        <f>IFERROR(__xludf.DUMMYFUNCTION("""COMPUTED_VALUE"""),"MS")</f>
        <v>MS</v>
      </c>
      <c r="R2271" s="6">
        <f>IFERROR(__xludf.DUMMYFUNCTION("""COMPUTED_VALUE"""),0.0)</f>
        <v>0</v>
      </c>
      <c r="S2271" s="6" t="str">
        <f>IFERROR(__xludf.DUMMYFUNCTION("""COMPUTED_VALUE"""),"Alexandra Kiser")</f>
        <v>Alexandra Kiser</v>
      </c>
      <c r="T2271" s="6" t="str">
        <f>IFERROR(__xludf.DUMMYFUNCTION("""COMPUTED_VALUE"""),"alex.kiser@alpha.school")</f>
        <v>alex.kiser@alpha.school</v>
      </c>
      <c r="U2271" s="6" t="str">
        <f>IFERROR(__xludf.DUMMYFUNCTION("""COMPUTED_VALUE"""),"8")</f>
        <v>8</v>
      </c>
      <c r="V2271" s="6" t="str">
        <f>IFERROR(__xludf.DUMMYFUNCTION("""COMPUTED_VALUE"""),"English")</f>
        <v>English</v>
      </c>
      <c r="W2271" s="6" t="str">
        <f>IFERROR(__xludf.DUMMYFUNCTION("""COMPUTED_VALUE"""),"[]")</f>
        <v>[]</v>
      </c>
      <c r="X2271" s="6" t="str">
        <f>IFERROR(__xludf.DUMMYFUNCTION("""COMPUTED_VALUE"""),"Enrolled")</f>
        <v>Enrolled</v>
      </c>
    </row>
    <row r="2272">
      <c r="A2272" s="6" t="str">
        <f>IFERROR(__xludf.DUMMYFUNCTION("""COMPUTED_VALUE"""),"037-3469")</f>
        <v>037-3469</v>
      </c>
      <c r="B2272" s="6" t="str">
        <f>IFERROR(__xludf.DUMMYFUNCTION("""COMPUTED_VALUE"""),"37")</f>
        <v>37</v>
      </c>
      <c r="C2272" s="6" t="str">
        <f>IFERROR(__xludf.DUMMYFUNCTION("""COMPUTED_VALUE"""),"3469")</f>
        <v>3469</v>
      </c>
      <c r="D2272" s="6" t="str">
        <f>IFERROR(__xludf.DUMMYFUNCTION("""COMPUTED_VALUE"""),"Lemon")</f>
        <v>Lemon</v>
      </c>
      <c r="E2272" s="6" t="str">
        <f>IFERROR(__xludf.DUMMYFUNCTION("""COMPUTED_VALUE"""),"")</f>
        <v/>
      </c>
      <c r="F2272" s="6" t="str">
        <f>IFERROR(__xludf.DUMMYFUNCTION("""COMPUTED_VALUE"""),"Li")</f>
        <v>Li</v>
      </c>
      <c r="G2272" s="6" t="str">
        <f>IFERROR(__xludf.DUMMYFUNCTION("""COMPUTED_VALUE"""),"10/03/2011")</f>
        <v>10/03/2011</v>
      </c>
      <c r="H2272" s="6" t="str">
        <f>IFERROR(__xludf.DUMMYFUNCTION("""COMPUTED_VALUE"""),"Female")</f>
        <v>Female</v>
      </c>
      <c r="I2272" s="6" t="str">
        <f>IFERROR(__xludf.DUMMYFUNCTION("""COMPUTED_VALUE"""),"High School")</f>
        <v>High School</v>
      </c>
      <c r="J2272" s="6" t="str">
        <f>IFERROR(__xludf.DUMMYFUNCTION("""COMPUTED_VALUE"""),"9")</f>
        <v>9</v>
      </c>
      <c r="K2272" s="6" t="str">
        <f>IFERROR(__xludf.DUMMYFUNCTION("""COMPUTED_VALUE"""),"lemon.li@alpha.school")</f>
        <v>lemon.li@alpha.school</v>
      </c>
      <c r="L2272" s="6" t="str">
        <f>IFERROR(__xludf.DUMMYFUNCTION("""COMPUTED_VALUE"""),"Alpha Miami Summer School 2025")</f>
        <v>Alpha Miami Summer School 2025</v>
      </c>
      <c r="M2272" s="6" t="str">
        <f>IFERROR(__xludf.DUMMYFUNCTION("""COMPUTED_VALUE"""),"")</f>
        <v/>
      </c>
      <c r="N2272" s="6" t="str">
        <f>IFERROR(__xludf.DUMMYFUNCTION("""COMPUTED_VALUE"""),"")</f>
        <v/>
      </c>
      <c r="O2272" s="87" t="str">
        <f>IFERROR(__xludf.DUMMYFUNCTION("""COMPUTED_VALUE"""),"https://drive.google.com/drive/folders/10T2cTQHqEJZqE-st6uFKPoI?usp=share_link")</f>
        <v>https://drive.google.com/drive/folders/10T2cTQHqEJZqE-st6uFKPoI?usp=share_link</v>
      </c>
      <c r="P2272" s="6" t="str">
        <f>IFERROR(__xludf.DUMMYFUNCTION("""COMPUTED_VALUE"""),"Lemon Li")</f>
        <v>Lemon Li</v>
      </c>
      <c r="Q2272" s="6" t="str">
        <f>IFERROR(__xludf.DUMMYFUNCTION("""COMPUTED_VALUE"""),"HS")</f>
        <v>HS</v>
      </c>
      <c r="R2272" s="6">
        <f>IFERROR(__xludf.DUMMYFUNCTION("""COMPUTED_VALUE"""),0.0)</f>
        <v>0</v>
      </c>
      <c r="S2272" s="6" t="str">
        <f>IFERROR(__xludf.DUMMYFUNCTION("""COMPUTED_VALUE"""),"Alexandra Kiser")</f>
        <v>Alexandra Kiser</v>
      </c>
      <c r="T2272" s="6" t="str">
        <f>IFERROR(__xludf.DUMMYFUNCTION("""COMPUTED_VALUE"""),"alex.kiser@alpha.school")</f>
        <v>alex.kiser@alpha.school</v>
      </c>
      <c r="U2272" s="6" t="str">
        <f>IFERROR(__xludf.DUMMYFUNCTION("""COMPUTED_VALUE"""),"9")</f>
        <v>9</v>
      </c>
      <c r="V2272" s="6" t="str">
        <f>IFERROR(__xludf.DUMMYFUNCTION("""COMPUTED_VALUE"""),"English")</f>
        <v>English</v>
      </c>
      <c r="W2272" s="6" t="str">
        <f>IFERROR(__xludf.DUMMYFUNCTION("""COMPUTED_VALUE"""),"[]")</f>
        <v>[]</v>
      </c>
      <c r="X2272" s="6" t="str">
        <f>IFERROR(__xludf.DUMMYFUNCTION("""COMPUTED_VALUE"""),"Enrolled")</f>
        <v>Enrolled</v>
      </c>
    </row>
    <row r="2273">
      <c r="A2273" s="6" t="str">
        <f>IFERROR(__xludf.DUMMYFUNCTION("""COMPUTED_VALUE"""),"037-3470")</f>
        <v>037-3470</v>
      </c>
      <c r="B2273" s="6" t="str">
        <f>IFERROR(__xludf.DUMMYFUNCTION("""COMPUTED_VALUE"""),"37")</f>
        <v>37</v>
      </c>
      <c r="C2273" s="6" t="str">
        <f>IFERROR(__xludf.DUMMYFUNCTION("""COMPUTED_VALUE"""),"3470")</f>
        <v>3470</v>
      </c>
      <c r="D2273" s="6" t="str">
        <f>IFERROR(__xludf.DUMMYFUNCTION("""COMPUTED_VALUE"""),"Kelly")</f>
        <v>Kelly</v>
      </c>
      <c r="E2273" s="6" t="str">
        <f>IFERROR(__xludf.DUMMYFUNCTION("""COMPUTED_VALUE"""),"")</f>
        <v/>
      </c>
      <c r="F2273" s="6" t="str">
        <f>IFERROR(__xludf.DUMMYFUNCTION("""COMPUTED_VALUE"""),"Li")</f>
        <v>Li</v>
      </c>
      <c r="G2273" s="6" t="str">
        <f>IFERROR(__xludf.DUMMYFUNCTION("""COMPUTED_VALUE"""),"05/06/2010")</f>
        <v>05/06/2010</v>
      </c>
      <c r="H2273" s="6" t="str">
        <f>IFERROR(__xludf.DUMMYFUNCTION("""COMPUTED_VALUE"""),"Female")</f>
        <v>Female</v>
      </c>
      <c r="I2273" s="6" t="str">
        <f>IFERROR(__xludf.DUMMYFUNCTION("""COMPUTED_VALUE"""),"High School")</f>
        <v>High School</v>
      </c>
      <c r="J2273" s="6" t="str">
        <f>IFERROR(__xludf.DUMMYFUNCTION("""COMPUTED_VALUE"""),"10")</f>
        <v>10</v>
      </c>
      <c r="K2273" s="6" t="str">
        <f>IFERROR(__xludf.DUMMYFUNCTION("""COMPUTED_VALUE"""),"kelly.li@alpha.school")</f>
        <v>kelly.li@alpha.school</v>
      </c>
      <c r="L2273" s="6" t="str">
        <f>IFERROR(__xludf.DUMMYFUNCTION("""COMPUTED_VALUE"""),"Alpha Miami Summer School 2025")</f>
        <v>Alpha Miami Summer School 2025</v>
      </c>
      <c r="M2273" s="6" t="str">
        <f>IFERROR(__xludf.DUMMYFUNCTION("""COMPUTED_VALUE"""),"")</f>
        <v/>
      </c>
      <c r="N2273" s="6" t="str">
        <f>IFERROR(__xludf.DUMMYFUNCTION("""COMPUTED_VALUE"""),"")</f>
        <v/>
      </c>
      <c r="O2273" s="87" t="str">
        <f>IFERROR(__xludf.DUMMYFUNCTION("""COMPUTED_VALUE"""),"https://drive.google.com/drive/folders/10T2cTQHqEJZqE-st6uFKPoI?usp=share_link")</f>
        <v>https://drive.google.com/drive/folders/10T2cTQHqEJZqE-st6uFKPoI?usp=share_link</v>
      </c>
      <c r="P2273" s="6" t="str">
        <f>IFERROR(__xludf.DUMMYFUNCTION("""COMPUTED_VALUE"""),"Kelly Li")</f>
        <v>Kelly Li</v>
      </c>
      <c r="Q2273" s="6" t="str">
        <f>IFERROR(__xludf.DUMMYFUNCTION("""COMPUTED_VALUE"""),"HS")</f>
        <v>HS</v>
      </c>
      <c r="R2273" s="6">
        <f>IFERROR(__xludf.DUMMYFUNCTION("""COMPUTED_VALUE"""),0.0)</f>
        <v>0</v>
      </c>
      <c r="S2273" s="6" t="str">
        <f>IFERROR(__xludf.DUMMYFUNCTION("""COMPUTED_VALUE"""),"Alexandra Kiser")</f>
        <v>Alexandra Kiser</v>
      </c>
      <c r="T2273" s="6" t="str">
        <f>IFERROR(__xludf.DUMMYFUNCTION("""COMPUTED_VALUE"""),"alex.kiser@alpha.school")</f>
        <v>alex.kiser@alpha.school</v>
      </c>
      <c r="U2273" s="6" t="str">
        <f>IFERROR(__xludf.DUMMYFUNCTION("""COMPUTED_VALUE"""),"10")</f>
        <v>10</v>
      </c>
      <c r="V2273" s="6" t="str">
        <f>IFERROR(__xludf.DUMMYFUNCTION("""COMPUTED_VALUE"""),"English")</f>
        <v>English</v>
      </c>
      <c r="W2273" s="6" t="str">
        <f>IFERROR(__xludf.DUMMYFUNCTION("""COMPUTED_VALUE"""),"[]")</f>
        <v>[]</v>
      </c>
      <c r="X2273" s="6" t="str">
        <f>IFERROR(__xludf.DUMMYFUNCTION("""COMPUTED_VALUE"""),"Enrolled")</f>
        <v>Enrolled</v>
      </c>
    </row>
    <row r="2274">
      <c r="A2274" s="6" t="str">
        <f>IFERROR(__xludf.DUMMYFUNCTION("""COMPUTED_VALUE"""),"037-3473")</f>
        <v>037-3473</v>
      </c>
      <c r="B2274" s="6" t="str">
        <f>IFERROR(__xludf.DUMMYFUNCTION("""COMPUTED_VALUE"""),"37")</f>
        <v>37</v>
      </c>
      <c r="C2274" s="6" t="str">
        <f>IFERROR(__xludf.DUMMYFUNCTION("""COMPUTED_VALUE"""),"3473")</f>
        <v>3473</v>
      </c>
      <c r="D2274" s="6" t="str">
        <f>IFERROR(__xludf.DUMMYFUNCTION("""COMPUTED_VALUE"""),"Cartier")</f>
        <v>Cartier</v>
      </c>
      <c r="E2274" s="6" t="str">
        <f>IFERROR(__xludf.DUMMYFUNCTION("""COMPUTED_VALUE"""),"")</f>
        <v/>
      </c>
      <c r="F2274" s="6" t="str">
        <f>IFERROR(__xludf.DUMMYFUNCTION("""COMPUTED_VALUE"""),"Lee")</f>
        <v>Lee</v>
      </c>
      <c r="G2274" s="6" t="str">
        <f>IFERROR(__xludf.DUMMYFUNCTION("""COMPUTED_VALUE"""),"02/18/2015")</f>
        <v>02/18/2015</v>
      </c>
      <c r="H2274" s="6" t="str">
        <f>IFERROR(__xludf.DUMMYFUNCTION("""COMPUTED_VALUE"""),"Male")</f>
        <v>Male</v>
      </c>
      <c r="I2274" s="6" t="str">
        <f>IFERROR(__xludf.DUMMYFUNCTION("""COMPUTED_VALUE"""),"Middle School")</f>
        <v>Middle School</v>
      </c>
      <c r="J2274" s="6" t="str">
        <f>IFERROR(__xludf.DUMMYFUNCTION("""COMPUTED_VALUE"""),"6")</f>
        <v>6</v>
      </c>
      <c r="K2274" s="6" t="str">
        <f>IFERROR(__xludf.DUMMYFUNCTION("""COMPUTED_VALUE"""),"cartier.lee@alpha.school")</f>
        <v>cartier.lee@alpha.school</v>
      </c>
      <c r="L2274" s="6" t="str">
        <f>IFERROR(__xludf.DUMMYFUNCTION("""COMPUTED_VALUE"""),"Alpha Miami Summer School 2025")</f>
        <v>Alpha Miami Summer School 2025</v>
      </c>
      <c r="M2274" s="6" t="str">
        <f>IFERROR(__xludf.DUMMYFUNCTION("""COMPUTED_VALUE"""),"")</f>
        <v/>
      </c>
      <c r="N2274" s="6" t="str">
        <f>IFERROR(__xludf.DUMMYFUNCTION("""COMPUTED_VALUE"""),"")</f>
        <v/>
      </c>
      <c r="O2274" s="87" t="str">
        <f>IFERROR(__xludf.DUMMYFUNCTION("""COMPUTED_VALUE"""),"https://drive.google.com/drive/folders/10T2cTQHqEJZqE-st6uFKPoI?usp=share_link")</f>
        <v>https://drive.google.com/drive/folders/10T2cTQHqEJZqE-st6uFKPoI?usp=share_link</v>
      </c>
      <c r="P2274" s="6" t="str">
        <f>IFERROR(__xludf.DUMMYFUNCTION("""COMPUTED_VALUE"""),"Cartier Lee")</f>
        <v>Cartier Lee</v>
      </c>
      <c r="Q2274" s="6" t="str">
        <f>IFERROR(__xludf.DUMMYFUNCTION("""COMPUTED_VALUE"""),"MS")</f>
        <v>MS</v>
      </c>
      <c r="R2274" s="6">
        <f>IFERROR(__xludf.DUMMYFUNCTION("""COMPUTED_VALUE"""),0.0)</f>
        <v>0</v>
      </c>
      <c r="S2274" s="6" t="str">
        <f>IFERROR(__xludf.DUMMYFUNCTION("""COMPUTED_VALUE"""),"Alexandra Kiser")</f>
        <v>Alexandra Kiser</v>
      </c>
      <c r="T2274" s="6" t="str">
        <f>IFERROR(__xludf.DUMMYFUNCTION("""COMPUTED_VALUE"""),"alex.kiser@alpha.school")</f>
        <v>alex.kiser@alpha.school</v>
      </c>
      <c r="U2274" s="6" t="str">
        <f>IFERROR(__xludf.DUMMYFUNCTION("""COMPUTED_VALUE"""),"6")</f>
        <v>6</v>
      </c>
      <c r="V2274" s="6" t="str">
        <f>IFERROR(__xludf.DUMMYFUNCTION("""COMPUTED_VALUE"""),"English")</f>
        <v>English</v>
      </c>
      <c r="W2274" s="6" t="str">
        <f>IFERROR(__xludf.DUMMYFUNCTION("""COMPUTED_VALUE"""),"[]")</f>
        <v>[]</v>
      </c>
      <c r="X2274" s="6" t="str">
        <f>IFERROR(__xludf.DUMMYFUNCTION("""COMPUTED_VALUE"""),"Enrolled")</f>
        <v>Enrolled</v>
      </c>
    </row>
    <row r="2275">
      <c r="A2275" s="6" t="str">
        <f>IFERROR(__xludf.DUMMYFUNCTION("""COMPUTED_VALUE"""),"037-3475")</f>
        <v>037-3475</v>
      </c>
      <c r="B2275" s="6" t="str">
        <f>IFERROR(__xludf.DUMMYFUNCTION("""COMPUTED_VALUE"""),"37")</f>
        <v>37</v>
      </c>
      <c r="C2275" s="6" t="str">
        <f>IFERROR(__xludf.DUMMYFUNCTION("""COMPUTED_VALUE"""),"3475")</f>
        <v>3475</v>
      </c>
      <c r="D2275" s="6" t="str">
        <f>IFERROR(__xludf.DUMMYFUNCTION("""COMPUTED_VALUE"""),"Matias")</f>
        <v>Matias</v>
      </c>
      <c r="E2275" s="6" t="str">
        <f>IFERROR(__xludf.DUMMYFUNCTION("""COMPUTED_VALUE"""),"")</f>
        <v/>
      </c>
      <c r="F2275" s="6" t="str">
        <f>IFERROR(__xludf.DUMMYFUNCTION("""COMPUTED_VALUE"""),"Cabanas")</f>
        <v>Cabanas</v>
      </c>
      <c r="G2275" s="6" t="str">
        <f>IFERROR(__xludf.DUMMYFUNCTION("""COMPUTED_VALUE"""),"06/29/2009")</f>
        <v>06/29/2009</v>
      </c>
      <c r="H2275" s="6" t="str">
        <f>IFERROR(__xludf.DUMMYFUNCTION("""COMPUTED_VALUE"""),"Male")</f>
        <v>Male</v>
      </c>
      <c r="I2275" s="6" t="str">
        <f>IFERROR(__xludf.DUMMYFUNCTION("""COMPUTED_VALUE"""),"High School")</f>
        <v>High School</v>
      </c>
      <c r="J2275" s="6" t="str">
        <f>IFERROR(__xludf.DUMMYFUNCTION("""COMPUTED_VALUE"""),"10")</f>
        <v>10</v>
      </c>
      <c r="K2275" s="6" t="str">
        <f>IFERROR(__xludf.DUMMYFUNCTION("""COMPUTED_VALUE"""),"matias.cabanas@alpha.school")</f>
        <v>matias.cabanas@alpha.school</v>
      </c>
      <c r="L2275" s="6" t="str">
        <f>IFERROR(__xludf.DUMMYFUNCTION("""COMPUTED_VALUE"""),"Alpha Miami Summer School 2025")</f>
        <v>Alpha Miami Summer School 2025</v>
      </c>
      <c r="M2275" s="6" t="str">
        <f>IFERROR(__xludf.DUMMYFUNCTION("""COMPUTED_VALUE"""),"")</f>
        <v/>
      </c>
      <c r="N2275" s="6" t="str">
        <f>IFERROR(__xludf.DUMMYFUNCTION("""COMPUTED_VALUE"""),"")</f>
        <v/>
      </c>
      <c r="O2275" s="87" t="str">
        <f>IFERROR(__xludf.DUMMYFUNCTION("""COMPUTED_VALUE"""),"https://drive.google.com/drive/folders/10T2cTQHqEJZqE-st6uFKPoI?usp=share_link")</f>
        <v>https://drive.google.com/drive/folders/10T2cTQHqEJZqE-st6uFKPoI?usp=share_link</v>
      </c>
      <c r="P2275" s="6" t="str">
        <f>IFERROR(__xludf.DUMMYFUNCTION("""COMPUTED_VALUE"""),"Matias Cabanas")</f>
        <v>Matias Cabanas</v>
      </c>
      <c r="Q2275" s="6" t="str">
        <f>IFERROR(__xludf.DUMMYFUNCTION("""COMPUTED_VALUE"""),"HS")</f>
        <v>HS</v>
      </c>
      <c r="R2275" s="6">
        <f>IFERROR(__xludf.DUMMYFUNCTION("""COMPUTED_VALUE"""),0.0)</f>
        <v>0</v>
      </c>
      <c r="S2275" s="6" t="str">
        <f>IFERROR(__xludf.DUMMYFUNCTION("""COMPUTED_VALUE"""),"Alexandra Kiser")</f>
        <v>Alexandra Kiser</v>
      </c>
      <c r="T2275" s="6" t="str">
        <f>IFERROR(__xludf.DUMMYFUNCTION("""COMPUTED_VALUE"""),"alex.kiser@alpha.school")</f>
        <v>alex.kiser@alpha.school</v>
      </c>
      <c r="U2275" s="6" t="str">
        <f>IFERROR(__xludf.DUMMYFUNCTION("""COMPUTED_VALUE"""),"10")</f>
        <v>10</v>
      </c>
      <c r="V2275" s="6" t="str">
        <f>IFERROR(__xludf.DUMMYFUNCTION("""COMPUTED_VALUE"""),"English")</f>
        <v>English</v>
      </c>
      <c r="W2275" s="6" t="str">
        <f>IFERROR(__xludf.DUMMYFUNCTION("""COMPUTED_VALUE"""),"[]")</f>
        <v>[]</v>
      </c>
      <c r="X2275" s="6" t="str">
        <f>IFERROR(__xludf.DUMMYFUNCTION("""COMPUTED_VALUE"""),"Enrolled")</f>
        <v>Enrolled</v>
      </c>
    </row>
    <row r="2276">
      <c r="A2276" s="6" t="str">
        <f>IFERROR(__xludf.DUMMYFUNCTION("""COMPUTED_VALUE"""),"037-3476")</f>
        <v>037-3476</v>
      </c>
      <c r="B2276" s="6" t="str">
        <f>IFERROR(__xludf.DUMMYFUNCTION("""COMPUTED_VALUE"""),"37")</f>
        <v>37</v>
      </c>
      <c r="C2276" s="6" t="str">
        <f>IFERROR(__xludf.DUMMYFUNCTION("""COMPUTED_VALUE"""),"3476")</f>
        <v>3476</v>
      </c>
      <c r="D2276" s="6" t="str">
        <f>IFERROR(__xludf.DUMMYFUNCTION("""COMPUTED_VALUE"""),"Peter")</f>
        <v>Peter</v>
      </c>
      <c r="E2276" s="6" t="str">
        <f>IFERROR(__xludf.DUMMYFUNCTION("""COMPUTED_VALUE"""),"")</f>
        <v/>
      </c>
      <c r="F2276" s="6" t="str">
        <f>IFERROR(__xludf.DUMMYFUNCTION("""COMPUTED_VALUE"""),"Lee-Schonfeld")</f>
        <v>Lee-Schonfeld</v>
      </c>
      <c r="G2276" s="6" t="str">
        <f>IFERROR(__xludf.DUMMYFUNCTION("""COMPUTED_VALUE"""),"04/27/2015")</f>
        <v>04/27/2015</v>
      </c>
      <c r="H2276" s="6" t="str">
        <f>IFERROR(__xludf.DUMMYFUNCTION("""COMPUTED_VALUE"""),"Male")</f>
        <v>Male</v>
      </c>
      <c r="I2276" s="6" t="str">
        <f>IFERROR(__xludf.DUMMYFUNCTION("""COMPUTED_VALUE"""),"Level 2")</f>
        <v>Level 2</v>
      </c>
      <c r="J2276" s="6" t="str">
        <f>IFERROR(__xludf.DUMMYFUNCTION("""COMPUTED_VALUE"""),"5")</f>
        <v>5</v>
      </c>
      <c r="K2276" s="6" t="str">
        <f>IFERROR(__xludf.DUMMYFUNCTION("""COMPUTED_VALUE"""),"peter.leeschonfeld@alpha.school")</f>
        <v>peter.leeschonfeld@alpha.school</v>
      </c>
      <c r="L2276" s="6" t="str">
        <f>IFERROR(__xludf.DUMMYFUNCTION("""COMPUTED_VALUE"""),"Alpha Miami Summer School 2025")</f>
        <v>Alpha Miami Summer School 2025</v>
      </c>
      <c r="M2276" s="6" t="str">
        <f>IFERROR(__xludf.DUMMYFUNCTION("""COMPUTED_VALUE"""),"")</f>
        <v/>
      </c>
      <c r="N2276" s="6" t="str">
        <f>IFERROR(__xludf.DUMMYFUNCTION("""COMPUTED_VALUE"""),"")</f>
        <v/>
      </c>
      <c r="O2276" s="87" t="str">
        <f>IFERROR(__xludf.DUMMYFUNCTION("""COMPUTED_VALUE"""),"https://drive.google.com/drive/folders/10T2cTQHqEJZqE-st6uFKPoI?usp=share_link")</f>
        <v>https://drive.google.com/drive/folders/10T2cTQHqEJZqE-st6uFKPoI?usp=share_link</v>
      </c>
      <c r="P2276" s="6" t="str">
        <f>IFERROR(__xludf.DUMMYFUNCTION("""COMPUTED_VALUE"""),"Peter Lee-Schonfeld")</f>
        <v>Peter Lee-Schonfeld</v>
      </c>
      <c r="Q2276" s="6" t="str">
        <f>IFERROR(__xludf.DUMMYFUNCTION("""COMPUTED_VALUE"""),"L2")</f>
        <v>L2</v>
      </c>
      <c r="R2276" s="6">
        <f>IFERROR(__xludf.DUMMYFUNCTION("""COMPUTED_VALUE"""),2.0)</f>
        <v>2</v>
      </c>
      <c r="S2276" s="6" t="str">
        <f>IFERROR(__xludf.DUMMYFUNCTION("""COMPUTED_VALUE"""),"Alexandra Kiser")</f>
        <v>Alexandra Kiser</v>
      </c>
      <c r="T2276" s="6" t="str">
        <f>IFERROR(__xludf.DUMMYFUNCTION("""COMPUTED_VALUE"""),"alex.kiser@alpha.school")</f>
        <v>alex.kiser@alpha.school</v>
      </c>
      <c r="U2276" s="6" t="str">
        <f>IFERROR(__xludf.DUMMYFUNCTION("""COMPUTED_VALUE"""),"5")</f>
        <v>5</v>
      </c>
      <c r="V2276" s="6" t="str">
        <f>IFERROR(__xludf.DUMMYFUNCTION("""COMPUTED_VALUE"""),"English")</f>
        <v>English</v>
      </c>
      <c r="W2276" s="6" t="str">
        <f>IFERROR(__xludf.DUMMYFUNCTION("""COMPUTED_VALUE"""),"[]")</f>
        <v>[]</v>
      </c>
      <c r="X2276" s="6" t="str">
        <f>IFERROR(__xludf.DUMMYFUNCTION("""COMPUTED_VALUE"""),"Enrolled")</f>
        <v>Enrolled</v>
      </c>
    </row>
    <row r="2277">
      <c r="A2277" s="6" t="str">
        <f>IFERROR(__xludf.DUMMYFUNCTION("""COMPUTED_VALUE"""),"037-3477")</f>
        <v>037-3477</v>
      </c>
      <c r="B2277" s="6" t="str">
        <f>IFERROR(__xludf.DUMMYFUNCTION("""COMPUTED_VALUE"""),"37")</f>
        <v>37</v>
      </c>
      <c r="C2277" s="6" t="str">
        <f>IFERROR(__xludf.DUMMYFUNCTION("""COMPUTED_VALUE"""),"3477")</f>
        <v>3477</v>
      </c>
      <c r="D2277" s="6" t="str">
        <f>IFERROR(__xludf.DUMMYFUNCTION("""COMPUTED_VALUE"""),"Mariana")</f>
        <v>Mariana</v>
      </c>
      <c r="E2277" s="6" t="str">
        <f>IFERROR(__xludf.DUMMYFUNCTION("""COMPUTED_VALUE"""),"")</f>
        <v/>
      </c>
      <c r="F2277" s="6" t="str">
        <f>IFERROR(__xludf.DUMMYFUNCTION("""COMPUTED_VALUE"""),"Castro Arevalo")</f>
        <v>Castro Arevalo</v>
      </c>
      <c r="G2277" s="6" t="str">
        <f>IFERROR(__xludf.DUMMYFUNCTION("""COMPUTED_VALUE"""),"08/17/2011")</f>
        <v>08/17/2011</v>
      </c>
      <c r="H2277" s="6" t="str">
        <f>IFERROR(__xludf.DUMMYFUNCTION("""COMPUTED_VALUE"""),"Female")</f>
        <v>Female</v>
      </c>
      <c r="I2277" s="6" t="str">
        <f>IFERROR(__xludf.DUMMYFUNCTION("""COMPUTED_VALUE"""),"High School")</f>
        <v>High School</v>
      </c>
      <c r="J2277" s="6" t="str">
        <f>IFERROR(__xludf.DUMMYFUNCTION("""COMPUTED_VALUE"""),"9")</f>
        <v>9</v>
      </c>
      <c r="K2277" s="6" t="str">
        <f>IFERROR(__xludf.DUMMYFUNCTION("""COMPUTED_VALUE"""),"mariana.castro.arevalo@alpha.school")</f>
        <v>mariana.castro.arevalo@alpha.school</v>
      </c>
      <c r="L2277" s="6" t="str">
        <f>IFERROR(__xludf.DUMMYFUNCTION("""COMPUTED_VALUE"""),"Alpha Miami Summer School 2025")</f>
        <v>Alpha Miami Summer School 2025</v>
      </c>
      <c r="M2277" s="6" t="str">
        <f>IFERROR(__xludf.DUMMYFUNCTION("""COMPUTED_VALUE"""),"")</f>
        <v/>
      </c>
      <c r="N2277" s="6" t="str">
        <f>IFERROR(__xludf.DUMMYFUNCTION("""COMPUTED_VALUE"""),"")</f>
        <v/>
      </c>
      <c r="O2277" s="87" t="str">
        <f>IFERROR(__xludf.DUMMYFUNCTION("""COMPUTED_VALUE"""),"https://drive.google.com/drive/folders/10T2cTQHqEJZqE-st6uFKPoI?usp=share_link")</f>
        <v>https://drive.google.com/drive/folders/10T2cTQHqEJZqE-st6uFKPoI?usp=share_link</v>
      </c>
      <c r="P2277" s="6" t="str">
        <f>IFERROR(__xludf.DUMMYFUNCTION("""COMPUTED_VALUE"""),"Mariana Castro Arevalo")</f>
        <v>Mariana Castro Arevalo</v>
      </c>
      <c r="Q2277" s="6" t="str">
        <f>IFERROR(__xludf.DUMMYFUNCTION("""COMPUTED_VALUE"""),"HS")</f>
        <v>HS</v>
      </c>
      <c r="R2277" s="6">
        <f>IFERROR(__xludf.DUMMYFUNCTION("""COMPUTED_VALUE"""),0.0)</f>
        <v>0</v>
      </c>
      <c r="S2277" s="6" t="str">
        <f>IFERROR(__xludf.DUMMYFUNCTION("""COMPUTED_VALUE"""),"Alexandra Kiser")</f>
        <v>Alexandra Kiser</v>
      </c>
      <c r="T2277" s="6" t="str">
        <f>IFERROR(__xludf.DUMMYFUNCTION("""COMPUTED_VALUE"""),"alex.kiser@alpha.school")</f>
        <v>alex.kiser@alpha.school</v>
      </c>
      <c r="U2277" s="6" t="str">
        <f>IFERROR(__xludf.DUMMYFUNCTION("""COMPUTED_VALUE"""),"9")</f>
        <v>9</v>
      </c>
      <c r="V2277" s="6" t="str">
        <f>IFERROR(__xludf.DUMMYFUNCTION("""COMPUTED_VALUE"""),"English")</f>
        <v>English</v>
      </c>
      <c r="W2277" s="6" t="str">
        <f>IFERROR(__xludf.DUMMYFUNCTION("""COMPUTED_VALUE"""),"[]")</f>
        <v>[]</v>
      </c>
      <c r="X2277" s="6" t="str">
        <f>IFERROR(__xludf.DUMMYFUNCTION("""COMPUTED_VALUE"""),"Enrolled")</f>
        <v>Enrolled</v>
      </c>
    </row>
    <row r="2278">
      <c r="A2278" s="6" t="str">
        <f>IFERROR(__xludf.DUMMYFUNCTION("""COMPUTED_VALUE"""),"037-3478")</f>
        <v>037-3478</v>
      </c>
      <c r="B2278" s="6" t="str">
        <f>IFERROR(__xludf.DUMMYFUNCTION("""COMPUTED_VALUE"""),"37")</f>
        <v>37</v>
      </c>
      <c r="C2278" s="6" t="str">
        <f>IFERROR(__xludf.DUMMYFUNCTION("""COMPUTED_VALUE"""),"3478")</f>
        <v>3478</v>
      </c>
      <c r="D2278" s="6" t="str">
        <f>IFERROR(__xludf.DUMMYFUNCTION("""COMPUTED_VALUE"""),"Juan")</f>
        <v>Juan</v>
      </c>
      <c r="E2278" s="6" t="str">
        <f>IFERROR(__xludf.DUMMYFUNCTION("""COMPUTED_VALUE"""),"")</f>
        <v/>
      </c>
      <c r="F2278" s="6" t="str">
        <f>IFERROR(__xludf.DUMMYFUNCTION("""COMPUTED_VALUE"""),"Castro Arevalo")</f>
        <v>Castro Arevalo</v>
      </c>
      <c r="G2278" s="6" t="str">
        <f>IFERROR(__xludf.DUMMYFUNCTION("""COMPUTED_VALUE"""),"06/20/2010")</f>
        <v>06/20/2010</v>
      </c>
      <c r="H2278" s="6" t="str">
        <f>IFERROR(__xludf.DUMMYFUNCTION("""COMPUTED_VALUE"""),"Male")</f>
        <v>Male</v>
      </c>
      <c r="I2278" s="6" t="str">
        <f>IFERROR(__xludf.DUMMYFUNCTION("""COMPUTED_VALUE"""),"High School")</f>
        <v>High School</v>
      </c>
      <c r="J2278" s="6" t="str">
        <f>IFERROR(__xludf.DUMMYFUNCTION("""COMPUTED_VALUE"""),"10")</f>
        <v>10</v>
      </c>
      <c r="K2278" s="6" t="str">
        <f>IFERROR(__xludf.DUMMYFUNCTION("""COMPUTED_VALUE"""),"juan.castro.arevalo@alpha.school")</f>
        <v>juan.castro.arevalo@alpha.school</v>
      </c>
      <c r="L2278" s="6" t="str">
        <f>IFERROR(__xludf.DUMMYFUNCTION("""COMPUTED_VALUE"""),"Alpha Miami Summer School 2025")</f>
        <v>Alpha Miami Summer School 2025</v>
      </c>
      <c r="M2278" s="6" t="str">
        <f>IFERROR(__xludf.DUMMYFUNCTION("""COMPUTED_VALUE"""),"")</f>
        <v/>
      </c>
      <c r="N2278" s="6" t="str">
        <f>IFERROR(__xludf.DUMMYFUNCTION("""COMPUTED_VALUE"""),"")</f>
        <v/>
      </c>
      <c r="O2278" s="87" t="str">
        <f>IFERROR(__xludf.DUMMYFUNCTION("""COMPUTED_VALUE"""),"https://drive.google.com/drive/folders/10T2cTQHqEJZqE-st6uFKPoI?usp=share_link")</f>
        <v>https://drive.google.com/drive/folders/10T2cTQHqEJZqE-st6uFKPoI?usp=share_link</v>
      </c>
      <c r="P2278" s="6" t="str">
        <f>IFERROR(__xludf.DUMMYFUNCTION("""COMPUTED_VALUE"""),"Juan Castro Arevalo")</f>
        <v>Juan Castro Arevalo</v>
      </c>
      <c r="Q2278" s="6" t="str">
        <f>IFERROR(__xludf.DUMMYFUNCTION("""COMPUTED_VALUE"""),"HS")</f>
        <v>HS</v>
      </c>
      <c r="R2278" s="6">
        <f>IFERROR(__xludf.DUMMYFUNCTION("""COMPUTED_VALUE"""),0.0)</f>
        <v>0</v>
      </c>
      <c r="S2278" s="6" t="str">
        <f>IFERROR(__xludf.DUMMYFUNCTION("""COMPUTED_VALUE"""),"Alexandra Kiser")</f>
        <v>Alexandra Kiser</v>
      </c>
      <c r="T2278" s="6" t="str">
        <f>IFERROR(__xludf.DUMMYFUNCTION("""COMPUTED_VALUE"""),"alex.kiser@alpha.school")</f>
        <v>alex.kiser@alpha.school</v>
      </c>
      <c r="U2278" s="6" t="str">
        <f>IFERROR(__xludf.DUMMYFUNCTION("""COMPUTED_VALUE"""),"10")</f>
        <v>10</v>
      </c>
      <c r="V2278" s="6" t="str">
        <f>IFERROR(__xludf.DUMMYFUNCTION("""COMPUTED_VALUE"""),"English")</f>
        <v>English</v>
      </c>
      <c r="W2278" s="6" t="str">
        <f>IFERROR(__xludf.DUMMYFUNCTION("""COMPUTED_VALUE"""),"[]")</f>
        <v>[]</v>
      </c>
      <c r="X2278" s="6" t="str">
        <f>IFERROR(__xludf.DUMMYFUNCTION("""COMPUTED_VALUE"""),"Enrolled")</f>
        <v>Enrolled</v>
      </c>
    </row>
    <row r="2279">
      <c r="A2279" s="6" t="str">
        <f>IFERROR(__xludf.DUMMYFUNCTION("""COMPUTED_VALUE"""),"037-3479")</f>
        <v>037-3479</v>
      </c>
      <c r="B2279" s="6" t="str">
        <f>IFERROR(__xludf.DUMMYFUNCTION("""COMPUTED_VALUE"""),"37")</f>
        <v>37</v>
      </c>
      <c r="C2279" s="6" t="str">
        <f>IFERROR(__xludf.DUMMYFUNCTION("""COMPUTED_VALUE"""),"3479")</f>
        <v>3479</v>
      </c>
      <c r="D2279" s="6" t="str">
        <f>IFERROR(__xludf.DUMMYFUNCTION("""COMPUTED_VALUE"""),"Shu Yang")</f>
        <v>Shu Yang</v>
      </c>
      <c r="E2279" s="6" t="str">
        <f>IFERROR(__xludf.DUMMYFUNCTION("""COMPUTED_VALUE"""),"")</f>
        <v/>
      </c>
      <c r="F2279" s="6" t="str">
        <f>IFERROR(__xludf.DUMMYFUNCTION("""COMPUTED_VALUE"""),"Qin")</f>
        <v>Qin</v>
      </c>
      <c r="G2279" s="6" t="str">
        <f>IFERROR(__xludf.DUMMYFUNCTION("""COMPUTED_VALUE"""),"12/09/2015")</f>
        <v>12/09/2015</v>
      </c>
      <c r="H2279" s="6" t="str">
        <f>IFERROR(__xludf.DUMMYFUNCTION("""COMPUTED_VALUE"""),"male")</f>
        <v>male</v>
      </c>
      <c r="I2279" s="6" t="str">
        <f>IFERROR(__xludf.DUMMYFUNCTION("""COMPUTED_VALUE"""),"Level 2")</f>
        <v>Level 2</v>
      </c>
      <c r="J2279" s="6" t="str">
        <f>IFERROR(__xludf.DUMMYFUNCTION("""COMPUTED_VALUE"""),"4")</f>
        <v>4</v>
      </c>
      <c r="K2279" s="6" t="str">
        <f>IFERROR(__xludf.DUMMYFUNCTION("""COMPUTED_VALUE"""),"shuyang.qin@alpha.school")</f>
        <v>shuyang.qin@alpha.school</v>
      </c>
      <c r="L2279" s="6" t="str">
        <f>IFERROR(__xludf.DUMMYFUNCTION("""COMPUTED_VALUE"""),"Alpha Miami Summer School 2025")</f>
        <v>Alpha Miami Summer School 2025</v>
      </c>
      <c r="M2279" s="6" t="str">
        <f>IFERROR(__xludf.DUMMYFUNCTION("""COMPUTED_VALUE"""),"")</f>
        <v/>
      </c>
      <c r="N2279" s="6" t="str">
        <f>IFERROR(__xludf.DUMMYFUNCTION("""COMPUTED_VALUE"""),"")</f>
        <v/>
      </c>
      <c r="O2279" s="87" t="str">
        <f>IFERROR(__xludf.DUMMYFUNCTION("""COMPUTED_VALUE"""),"https://drive.google.com/drive/folders/10T2cTQHqEJZqE-st6uFKPoI?usp=share_link")</f>
        <v>https://drive.google.com/drive/folders/10T2cTQHqEJZqE-st6uFKPoI?usp=share_link</v>
      </c>
      <c r="P2279" s="6" t="str">
        <f>IFERROR(__xludf.DUMMYFUNCTION("""COMPUTED_VALUE"""),"Shu Yang Qin")</f>
        <v>Shu Yang Qin</v>
      </c>
      <c r="Q2279" s="6" t="str">
        <f>IFERROR(__xludf.DUMMYFUNCTION("""COMPUTED_VALUE"""),"L2")</f>
        <v>L2</v>
      </c>
      <c r="R2279" s="6">
        <f>IFERROR(__xludf.DUMMYFUNCTION("""COMPUTED_VALUE"""),2.0)</f>
        <v>2</v>
      </c>
      <c r="S2279" s="6" t="str">
        <f>IFERROR(__xludf.DUMMYFUNCTION("""COMPUTED_VALUE"""),"Alexandra Kiser")</f>
        <v>Alexandra Kiser</v>
      </c>
      <c r="T2279" s="6" t="str">
        <f>IFERROR(__xludf.DUMMYFUNCTION("""COMPUTED_VALUE"""),"alex.kiser@alpha.school")</f>
        <v>alex.kiser@alpha.school</v>
      </c>
      <c r="U2279" s="6" t="str">
        <f>IFERROR(__xludf.DUMMYFUNCTION("""COMPUTED_VALUE"""),"4")</f>
        <v>4</v>
      </c>
      <c r="V2279" s="6" t="str">
        <f>IFERROR(__xludf.DUMMYFUNCTION("""COMPUTED_VALUE"""),"English")</f>
        <v>English</v>
      </c>
      <c r="W2279" s="6" t="str">
        <f>IFERROR(__xludf.DUMMYFUNCTION("""COMPUTED_VALUE"""),"[]")</f>
        <v>[]</v>
      </c>
      <c r="X2279" s="6" t="str">
        <f>IFERROR(__xludf.DUMMYFUNCTION("""COMPUTED_VALUE"""),"Enrolled")</f>
        <v>Enrolled</v>
      </c>
    </row>
    <row r="2280">
      <c r="A2280" s="6" t="str">
        <f>IFERROR(__xludf.DUMMYFUNCTION("""COMPUTED_VALUE"""),"037-3480")</f>
        <v>037-3480</v>
      </c>
      <c r="B2280" s="6" t="str">
        <f>IFERROR(__xludf.DUMMYFUNCTION("""COMPUTED_VALUE"""),"37")</f>
        <v>37</v>
      </c>
      <c r="C2280" s="6" t="str">
        <f>IFERROR(__xludf.DUMMYFUNCTION("""COMPUTED_VALUE"""),"3480")</f>
        <v>3480</v>
      </c>
      <c r="D2280" s="6" t="str">
        <f>IFERROR(__xludf.DUMMYFUNCTION("""COMPUTED_VALUE"""),"Santiago")</f>
        <v>Santiago</v>
      </c>
      <c r="E2280" s="6" t="str">
        <f>IFERROR(__xludf.DUMMYFUNCTION("""COMPUTED_VALUE"""),"")</f>
        <v/>
      </c>
      <c r="F2280" s="6" t="str">
        <f>IFERROR(__xludf.DUMMYFUNCTION("""COMPUTED_VALUE"""),"Salinas Hernandez")</f>
        <v>Salinas Hernandez</v>
      </c>
      <c r="G2280" s="6" t="str">
        <f>IFERROR(__xludf.DUMMYFUNCTION("""COMPUTED_VALUE"""),"10/31/2014")</f>
        <v>10/31/2014</v>
      </c>
      <c r="H2280" s="6" t="str">
        <f>IFERROR(__xludf.DUMMYFUNCTION("""COMPUTED_VALUE"""),"Male")</f>
        <v>Male</v>
      </c>
      <c r="I2280" s="6" t="str">
        <f>IFERROR(__xludf.DUMMYFUNCTION("""COMPUTED_VALUE"""),"Level 2")</f>
        <v>Level 2</v>
      </c>
      <c r="J2280" s="6" t="str">
        <f>IFERROR(__xludf.DUMMYFUNCTION("""COMPUTED_VALUE"""),"5")</f>
        <v>5</v>
      </c>
      <c r="K2280" s="6" t="str">
        <f>IFERROR(__xludf.DUMMYFUNCTION("""COMPUTED_VALUE"""),"santiago.salinas.hernandez@alpha.school")</f>
        <v>santiago.salinas.hernandez@alpha.school</v>
      </c>
      <c r="L2280" s="6" t="str">
        <f>IFERROR(__xludf.DUMMYFUNCTION("""COMPUTED_VALUE"""),"Alpha Miami Summer School 2025")</f>
        <v>Alpha Miami Summer School 2025</v>
      </c>
      <c r="M2280" s="6" t="str">
        <f>IFERROR(__xludf.DUMMYFUNCTION("""COMPUTED_VALUE"""),"")</f>
        <v/>
      </c>
      <c r="N2280" s="6" t="str">
        <f>IFERROR(__xludf.DUMMYFUNCTION("""COMPUTED_VALUE"""),"")</f>
        <v/>
      </c>
      <c r="O2280" s="87" t="str">
        <f>IFERROR(__xludf.DUMMYFUNCTION("""COMPUTED_VALUE"""),"https://drive.google.com/drive/folders/10T2cTQHqEJZqE-st6uFKPoI?usp=share_link")</f>
        <v>https://drive.google.com/drive/folders/10T2cTQHqEJZqE-st6uFKPoI?usp=share_link</v>
      </c>
      <c r="P2280" s="6" t="str">
        <f>IFERROR(__xludf.DUMMYFUNCTION("""COMPUTED_VALUE"""),"Santiago Salinas Hernandez")</f>
        <v>Santiago Salinas Hernandez</v>
      </c>
      <c r="Q2280" s="6" t="str">
        <f>IFERROR(__xludf.DUMMYFUNCTION("""COMPUTED_VALUE"""),"L2")</f>
        <v>L2</v>
      </c>
      <c r="R2280" s="6">
        <f>IFERROR(__xludf.DUMMYFUNCTION("""COMPUTED_VALUE"""),2.0)</f>
        <v>2</v>
      </c>
      <c r="S2280" s="6" t="str">
        <f>IFERROR(__xludf.DUMMYFUNCTION("""COMPUTED_VALUE"""),"Alexandra Kiser")</f>
        <v>Alexandra Kiser</v>
      </c>
      <c r="T2280" s="6" t="str">
        <f>IFERROR(__xludf.DUMMYFUNCTION("""COMPUTED_VALUE"""),"alex.kiser@alpha.school")</f>
        <v>alex.kiser@alpha.school</v>
      </c>
      <c r="U2280" s="6" t="str">
        <f>IFERROR(__xludf.DUMMYFUNCTION("""COMPUTED_VALUE"""),"5")</f>
        <v>5</v>
      </c>
      <c r="V2280" s="6" t="str">
        <f>IFERROR(__xludf.DUMMYFUNCTION("""COMPUTED_VALUE"""),"English")</f>
        <v>English</v>
      </c>
      <c r="W2280" s="6" t="str">
        <f>IFERROR(__xludf.DUMMYFUNCTION("""COMPUTED_VALUE"""),"[]")</f>
        <v>[]</v>
      </c>
      <c r="X2280" s="6" t="str">
        <f>IFERROR(__xludf.DUMMYFUNCTION("""COMPUTED_VALUE"""),"Enrolled")</f>
        <v>Enrolled</v>
      </c>
    </row>
    <row r="2281">
      <c r="A2281" s="6" t="str">
        <f>IFERROR(__xludf.DUMMYFUNCTION("""COMPUTED_VALUE"""),"037-3481")</f>
        <v>037-3481</v>
      </c>
      <c r="B2281" s="6" t="str">
        <f>IFERROR(__xludf.DUMMYFUNCTION("""COMPUTED_VALUE"""),"37")</f>
        <v>37</v>
      </c>
      <c r="C2281" s="6" t="str">
        <f>IFERROR(__xludf.DUMMYFUNCTION("""COMPUTED_VALUE"""),"3481")</f>
        <v>3481</v>
      </c>
      <c r="D2281" s="6" t="str">
        <f>IFERROR(__xludf.DUMMYFUNCTION("""COMPUTED_VALUE"""),"Daniel")</f>
        <v>Daniel</v>
      </c>
      <c r="E2281" s="6" t="str">
        <f>IFERROR(__xludf.DUMMYFUNCTION("""COMPUTED_VALUE"""),"")</f>
        <v/>
      </c>
      <c r="F2281" s="6" t="str">
        <f>IFERROR(__xludf.DUMMYFUNCTION("""COMPUTED_VALUE"""),"Salinas Hernandez")</f>
        <v>Salinas Hernandez</v>
      </c>
      <c r="G2281" s="6" t="str">
        <f>IFERROR(__xludf.DUMMYFUNCTION("""COMPUTED_VALUE"""),"06/13/2016")</f>
        <v>06/13/2016</v>
      </c>
      <c r="H2281" s="6" t="str">
        <f>IFERROR(__xludf.DUMMYFUNCTION("""COMPUTED_VALUE"""),"Male")</f>
        <v>Male</v>
      </c>
      <c r="I2281" s="6" t="str">
        <f>IFERROR(__xludf.DUMMYFUNCTION("""COMPUTED_VALUE"""),"Level 2")</f>
        <v>Level 2</v>
      </c>
      <c r="J2281" s="6" t="str">
        <f>IFERROR(__xludf.DUMMYFUNCTION("""COMPUTED_VALUE"""),"5")</f>
        <v>5</v>
      </c>
      <c r="K2281" s="6" t="str">
        <f>IFERROR(__xludf.DUMMYFUNCTION("""COMPUTED_VALUE"""),"daniel.salinas.hernandez@alpha.school")</f>
        <v>daniel.salinas.hernandez@alpha.school</v>
      </c>
      <c r="L2281" s="6" t="str">
        <f>IFERROR(__xludf.DUMMYFUNCTION("""COMPUTED_VALUE"""),"Alpha Miami Summer School 2025")</f>
        <v>Alpha Miami Summer School 2025</v>
      </c>
      <c r="M2281" s="6" t="str">
        <f>IFERROR(__xludf.DUMMYFUNCTION("""COMPUTED_VALUE"""),"")</f>
        <v/>
      </c>
      <c r="N2281" s="6" t="str">
        <f>IFERROR(__xludf.DUMMYFUNCTION("""COMPUTED_VALUE"""),"")</f>
        <v/>
      </c>
      <c r="O2281" s="87" t="str">
        <f>IFERROR(__xludf.DUMMYFUNCTION("""COMPUTED_VALUE"""),"https://drive.google.com/drive/folders/10T2cTQHqEJZqE-st6uFKPoI?usp=share_link")</f>
        <v>https://drive.google.com/drive/folders/10T2cTQHqEJZqE-st6uFKPoI?usp=share_link</v>
      </c>
      <c r="P2281" s="6" t="str">
        <f>IFERROR(__xludf.DUMMYFUNCTION("""COMPUTED_VALUE"""),"Daniel Salinas Hernandez")</f>
        <v>Daniel Salinas Hernandez</v>
      </c>
      <c r="Q2281" s="6" t="str">
        <f>IFERROR(__xludf.DUMMYFUNCTION("""COMPUTED_VALUE"""),"L2")</f>
        <v>L2</v>
      </c>
      <c r="R2281" s="6">
        <f>IFERROR(__xludf.DUMMYFUNCTION("""COMPUTED_VALUE"""),2.0)</f>
        <v>2</v>
      </c>
      <c r="S2281" s="6" t="str">
        <f>IFERROR(__xludf.DUMMYFUNCTION("""COMPUTED_VALUE"""),"Alexandra Kiser")</f>
        <v>Alexandra Kiser</v>
      </c>
      <c r="T2281" s="6" t="str">
        <f>IFERROR(__xludf.DUMMYFUNCTION("""COMPUTED_VALUE"""),"alex.kiser@alpha.school")</f>
        <v>alex.kiser@alpha.school</v>
      </c>
      <c r="U2281" s="6" t="str">
        <f>IFERROR(__xludf.DUMMYFUNCTION("""COMPUTED_VALUE"""),"5")</f>
        <v>5</v>
      </c>
      <c r="V2281" s="6" t="str">
        <f>IFERROR(__xludf.DUMMYFUNCTION("""COMPUTED_VALUE"""),"English")</f>
        <v>English</v>
      </c>
      <c r="W2281" s="6" t="str">
        <f>IFERROR(__xludf.DUMMYFUNCTION("""COMPUTED_VALUE"""),"[]")</f>
        <v>[]</v>
      </c>
      <c r="X2281" s="6" t="str">
        <f>IFERROR(__xludf.DUMMYFUNCTION("""COMPUTED_VALUE"""),"Enrolled")</f>
        <v>Enrolled</v>
      </c>
    </row>
    <row r="2282">
      <c r="A2282" s="6" t="str">
        <f>IFERROR(__xludf.DUMMYFUNCTION("""COMPUTED_VALUE"""),"037-3482")</f>
        <v>037-3482</v>
      </c>
      <c r="B2282" s="6" t="str">
        <f>IFERROR(__xludf.DUMMYFUNCTION("""COMPUTED_VALUE"""),"37")</f>
        <v>37</v>
      </c>
      <c r="C2282" s="6" t="str">
        <f>IFERROR(__xludf.DUMMYFUNCTION("""COMPUTED_VALUE"""),"3482")</f>
        <v>3482</v>
      </c>
      <c r="D2282" s="6" t="str">
        <f>IFERROR(__xludf.DUMMYFUNCTION("""COMPUTED_VALUE"""),"Kingston")</f>
        <v>Kingston</v>
      </c>
      <c r="E2282" s="6" t="str">
        <f>IFERROR(__xludf.DUMMYFUNCTION("""COMPUTED_VALUE"""),"")</f>
        <v/>
      </c>
      <c r="F2282" s="6" t="str">
        <f>IFERROR(__xludf.DUMMYFUNCTION("""COMPUTED_VALUE"""),"Breed")</f>
        <v>Breed</v>
      </c>
      <c r="G2282" s="6" t="str">
        <f>IFERROR(__xludf.DUMMYFUNCTION("""COMPUTED_VALUE"""),"10/13/2013")</f>
        <v>10/13/2013</v>
      </c>
      <c r="H2282" s="6" t="str">
        <f>IFERROR(__xludf.DUMMYFUNCTION("""COMPUTED_VALUE"""),"Male")</f>
        <v>Male</v>
      </c>
      <c r="I2282" s="6" t="str">
        <f>IFERROR(__xludf.DUMMYFUNCTION("""COMPUTED_VALUE"""),"Middle School")</f>
        <v>Middle School</v>
      </c>
      <c r="J2282" s="6" t="str">
        <f>IFERROR(__xludf.DUMMYFUNCTION("""COMPUTED_VALUE"""),"6")</f>
        <v>6</v>
      </c>
      <c r="K2282" s="6" t="str">
        <f>IFERROR(__xludf.DUMMYFUNCTION("""COMPUTED_VALUE"""),"kingston.breed@alpha.school")</f>
        <v>kingston.breed@alpha.school</v>
      </c>
      <c r="L2282" s="6" t="str">
        <f>IFERROR(__xludf.DUMMYFUNCTION("""COMPUTED_VALUE"""),"Alpha Miami Summer School 2025")</f>
        <v>Alpha Miami Summer School 2025</v>
      </c>
      <c r="M2282" s="6" t="str">
        <f>IFERROR(__xludf.DUMMYFUNCTION("""COMPUTED_VALUE"""),"")</f>
        <v/>
      </c>
      <c r="N2282" s="6" t="str">
        <f>IFERROR(__xludf.DUMMYFUNCTION("""COMPUTED_VALUE"""),"")</f>
        <v/>
      </c>
      <c r="O2282" s="87" t="str">
        <f>IFERROR(__xludf.DUMMYFUNCTION("""COMPUTED_VALUE"""),"https://drive.google.com/drive/folders/10T2cTQHqEJZqE-st6uFKPoI?usp=share_link")</f>
        <v>https://drive.google.com/drive/folders/10T2cTQHqEJZqE-st6uFKPoI?usp=share_link</v>
      </c>
      <c r="P2282" s="6" t="str">
        <f>IFERROR(__xludf.DUMMYFUNCTION("""COMPUTED_VALUE"""),"Kingston Breed")</f>
        <v>Kingston Breed</v>
      </c>
      <c r="Q2282" s="6" t="str">
        <f>IFERROR(__xludf.DUMMYFUNCTION("""COMPUTED_VALUE"""),"MS")</f>
        <v>MS</v>
      </c>
      <c r="R2282" s="6">
        <f>IFERROR(__xludf.DUMMYFUNCTION("""COMPUTED_VALUE"""),0.0)</f>
        <v>0</v>
      </c>
      <c r="S2282" s="6" t="str">
        <f>IFERROR(__xludf.DUMMYFUNCTION("""COMPUTED_VALUE"""),"Alexandra Kiser")</f>
        <v>Alexandra Kiser</v>
      </c>
      <c r="T2282" s="6" t="str">
        <f>IFERROR(__xludf.DUMMYFUNCTION("""COMPUTED_VALUE"""),"alex.kiser@alpha.school")</f>
        <v>alex.kiser@alpha.school</v>
      </c>
      <c r="U2282" s="6" t="str">
        <f>IFERROR(__xludf.DUMMYFUNCTION("""COMPUTED_VALUE"""),"6")</f>
        <v>6</v>
      </c>
      <c r="V2282" s="6" t="str">
        <f>IFERROR(__xludf.DUMMYFUNCTION("""COMPUTED_VALUE"""),"English")</f>
        <v>English</v>
      </c>
      <c r="W2282" s="6" t="str">
        <f>IFERROR(__xludf.DUMMYFUNCTION("""COMPUTED_VALUE"""),"[]")</f>
        <v>[]</v>
      </c>
      <c r="X2282" s="6" t="str">
        <f>IFERROR(__xludf.DUMMYFUNCTION("""COMPUTED_VALUE"""),"Enrolled")</f>
        <v>Enrolled</v>
      </c>
    </row>
    <row r="2283">
      <c r="A2283" s="6" t="str">
        <f>IFERROR(__xludf.DUMMYFUNCTION("""COMPUTED_VALUE"""),"039-3704")</f>
        <v>039-3704</v>
      </c>
      <c r="B2283" s="6" t="str">
        <f>IFERROR(__xludf.DUMMYFUNCTION("""COMPUTED_VALUE"""),"39")</f>
        <v>39</v>
      </c>
      <c r="C2283" s="6" t="str">
        <f>IFERROR(__xludf.DUMMYFUNCTION("""COMPUTED_VALUE"""),"3704")</f>
        <v>3704</v>
      </c>
      <c r="D2283" s="6" t="str">
        <f>IFERROR(__xludf.DUMMYFUNCTION("""COMPUTED_VALUE"""),"Sawyer")</f>
        <v>Sawyer</v>
      </c>
      <c r="E2283" s="6" t="str">
        <f>IFERROR(__xludf.DUMMYFUNCTION("""COMPUTED_VALUE"""),"")</f>
        <v/>
      </c>
      <c r="F2283" s="6" t="str">
        <f>IFERROR(__xludf.DUMMYFUNCTION("""COMPUTED_VALUE"""),"Pennington")</f>
        <v>Pennington</v>
      </c>
      <c r="G2283" s="6" t="str">
        <f>IFERROR(__xludf.DUMMYFUNCTION("""COMPUTED_VALUE"""),"09/12/2013")</f>
        <v>09/12/2013</v>
      </c>
      <c r="H2283" s="6" t="str">
        <f>IFERROR(__xludf.DUMMYFUNCTION("""COMPUTED_VALUE"""),"Self Identify")</f>
        <v>Self Identify</v>
      </c>
      <c r="I2283" s="6" t="str">
        <f>IFERROR(__xludf.DUMMYFUNCTION("""COMPUTED_VALUE"""),"Middle School")</f>
        <v>Middle School</v>
      </c>
      <c r="J2283" s="6" t="str">
        <f>IFERROR(__xludf.DUMMYFUNCTION("""COMPUTED_VALUE"""),"6")</f>
        <v>6</v>
      </c>
      <c r="K2283" s="6" t="str">
        <f>IFERROR(__xludf.DUMMYFUNCTION("""COMPUTED_VALUE"""),"sawyer.pennington@2hourlearning.com")</f>
        <v>sawyer.pennington@2hourlearning.com</v>
      </c>
      <c r="L2283" s="6" t="str">
        <f>IFERROR(__xludf.DUMMYFUNCTION("""COMPUTED_VALUE"""),"Lipscomb Academy Accelerate")</f>
        <v>Lipscomb Academy Accelerate</v>
      </c>
      <c r="M2283" s="6" t="str">
        <f>IFERROR(__xludf.DUMMYFUNCTION("""COMPUTED_VALUE"""),"")</f>
        <v/>
      </c>
      <c r="N2283" s="6" t="str">
        <f>IFERROR(__xludf.DUMMYFUNCTION("""COMPUTED_VALUE"""),"")</f>
        <v/>
      </c>
      <c r="O2283" s="87" t="str">
        <f>IFERROR(__xludf.DUMMYFUNCTION("""COMPUTED_VALUE"""),"https://drive.google.com/drive/folders/10T2cTQHqEJZqE-st6uFKPoI?usp=share_link")</f>
        <v>https://drive.google.com/drive/folders/10T2cTQHqEJZqE-st6uFKPoI?usp=share_link</v>
      </c>
      <c r="P2283" s="6" t="str">
        <f>IFERROR(__xludf.DUMMYFUNCTION("""COMPUTED_VALUE"""),"Sawyer Pennington")</f>
        <v>Sawyer Pennington</v>
      </c>
      <c r="Q2283" s="6" t="str">
        <f>IFERROR(__xludf.DUMMYFUNCTION("""COMPUTED_VALUE"""),"MS")</f>
        <v>MS</v>
      </c>
      <c r="R2283" s="6">
        <f>IFERROR(__xludf.DUMMYFUNCTION("""COMPUTED_VALUE"""),0.0)</f>
        <v>0</v>
      </c>
      <c r="S2283" s="6" t="str">
        <f>IFERROR(__xludf.DUMMYFUNCTION("""COMPUTED_VALUE"""),"Hardu Virks-lee")</f>
        <v>Hardu Virks-lee</v>
      </c>
      <c r="T2283" s="6" t="str">
        <f>IFERROR(__xludf.DUMMYFUNCTION("""COMPUTED_VALUE"""),"hardu.virkslee@alpha.school")</f>
        <v>hardu.virkslee@alpha.school</v>
      </c>
      <c r="U2283" s="6" t="str">
        <f>IFERROR(__xludf.DUMMYFUNCTION("""COMPUTED_VALUE"""),"6")</f>
        <v>6</v>
      </c>
      <c r="V2283" s="6" t="str">
        <f>IFERROR(__xludf.DUMMYFUNCTION("""COMPUTED_VALUE"""),"English")</f>
        <v>English</v>
      </c>
      <c r="W2283" s="6" t="str">
        <f>IFERROR(__xludf.DUMMYFUNCTION("""COMPUTED_VALUE"""),"[]")</f>
        <v>[]</v>
      </c>
      <c r="X2283" s="6" t="str">
        <f>IFERROR(__xludf.DUMMYFUNCTION("""COMPUTED_VALUE"""),"Enrolled")</f>
        <v>Enrolled</v>
      </c>
    </row>
    <row r="2284">
      <c r="A2284" s="6" t="str">
        <f>IFERROR(__xludf.DUMMYFUNCTION("""COMPUTED_VALUE"""),"039-3705")</f>
        <v>039-3705</v>
      </c>
      <c r="B2284" s="6" t="str">
        <f>IFERROR(__xludf.DUMMYFUNCTION("""COMPUTED_VALUE"""),"39")</f>
        <v>39</v>
      </c>
      <c r="C2284" s="6" t="str">
        <f>IFERROR(__xludf.DUMMYFUNCTION("""COMPUTED_VALUE"""),"3705")</f>
        <v>3705</v>
      </c>
      <c r="D2284" s="6" t="str">
        <f>IFERROR(__xludf.DUMMYFUNCTION("""COMPUTED_VALUE"""),"Audrey")</f>
        <v>Audrey</v>
      </c>
      <c r="E2284" s="6" t="str">
        <f>IFERROR(__xludf.DUMMYFUNCTION("""COMPUTED_VALUE"""),"")</f>
        <v/>
      </c>
      <c r="F2284" s="6" t="str">
        <f>IFERROR(__xludf.DUMMYFUNCTION("""COMPUTED_VALUE"""),"Tanner")</f>
        <v>Tanner</v>
      </c>
      <c r="G2284" s="6" t="str">
        <f>IFERROR(__xludf.DUMMYFUNCTION("""COMPUTED_VALUE"""),"04/04/2014")</f>
        <v>04/04/2014</v>
      </c>
      <c r="H2284" s="6" t="str">
        <f>IFERROR(__xludf.DUMMYFUNCTION("""COMPUTED_VALUE"""),"Self Identify")</f>
        <v>Self Identify</v>
      </c>
      <c r="I2284" s="6" t="str">
        <f>IFERROR(__xludf.DUMMYFUNCTION("""COMPUTED_VALUE"""),"Middle School")</f>
        <v>Middle School</v>
      </c>
      <c r="J2284" s="6" t="str">
        <f>IFERROR(__xludf.DUMMYFUNCTION("""COMPUTED_VALUE"""),"6")</f>
        <v>6</v>
      </c>
      <c r="K2284" s="6" t="str">
        <f>IFERROR(__xludf.DUMMYFUNCTION("""COMPUTED_VALUE"""),"audrey.tanner@2hourlearning.com")</f>
        <v>audrey.tanner@2hourlearning.com</v>
      </c>
      <c r="L2284" s="6" t="str">
        <f>IFERROR(__xludf.DUMMYFUNCTION("""COMPUTED_VALUE"""),"Lipscomb Academy Accelerate")</f>
        <v>Lipscomb Academy Accelerate</v>
      </c>
      <c r="M2284" s="6" t="str">
        <f>IFERROR(__xludf.DUMMYFUNCTION("""COMPUTED_VALUE"""),"")</f>
        <v/>
      </c>
      <c r="N2284" s="6" t="str">
        <f>IFERROR(__xludf.DUMMYFUNCTION("""COMPUTED_VALUE"""),"")</f>
        <v/>
      </c>
      <c r="O2284" s="87" t="str">
        <f>IFERROR(__xludf.DUMMYFUNCTION("""COMPUTED_VALUE"""),"https://drive.google.com/drive/folders/10T2cTQHqEJZqE-st6uFKPoI?usp=share_link")</f>
        <v>https://drive.google.com/drive/folders/10T2cTQHqEJZqE-st6uFKPoI?usp=share_link</v>
      </c>
      <c r="P2284" s="6" t="str">
        <f>IFERROR(__xludf.DUMMYFUNCTION("""COMPUTED_VALUE"""),"Audrey Tanner")</f>
        <v>Audrey Tanner</v>
      </c>
      <c r="Q2284" s="6" t="str">
        <f>IFERROR(__xludf.DUMMYFUNCTION("""COMPUTED_VALUE"""),"MS")</f>
        <v>MS</v>
      </c>
      <c r="R2284" s="6">
        <f>IFERROR(__xludf.DUMMYFUNCTION("""COMPUTED_VALUE"""),0.0)</f>
        <v>0</v>
      </c>
      <c r="S2284" s="6" t="str">
        <f>IFERROR(__xludf.DUMMYFUNCTION("""COMPUTED_VALUE"""),"Hardu Virks-lee")</f>
        <v>Hardu Virks-lee</v>
      </c>
      <c r="T2284" s="6" t="str">
        <f>IFERROR(__xludf.DUMMYFUNCTION("""COMPUTED_VALUE"""),"hardu.virkslee@alpha.school")</f>
        <v>hardu.virkslee@alpha.school</v>
      </c>
      <c r="U2284" s="6" t="str">
        <f>IFERROR(__xludf.DUMMYFUNCTION("""COMPUTED_VALUE"""),"6")</f>
        <v>6</v>
      </c>
      <c r="V2284" s="6" t="str">
        <f>IFERROR(__xludf.DUMMYFUNCTION("""COMPUTED_VALUE"""),"English")</f>
        <v>English</v>
      </c>
      <c r="W2284" s="6" t="str">
        <f>IFERROR(__xludf.DUMMYFUNCTION("""COMPUTED_VALUE"""),"[]")</f>
        <v>[]</v>
      </c>
      <c r="X2284" s="6" t="str">
        <f>IFERROR(__xludf.DUMMYFUNCTION("""COMPUTED_VALUE"""),"Enrolled")</f>
        <v>Enrolled</v>
      </c>
    </row>
    <row r="2285">
      <c r="A2285" s="6" t="str">
        <f>IFERROR(__xludf.DUMMYFUNCTION("""COMPUTED_VALUE"""),"039-3706")</f>
        <v>039-3706</v>
      </c>
      <c r="B2285" s="6" t="str">
        <f>IFERROR(__xludf.DUMMYFUNCTION("""COMPUTED_VALUE"""),"39")</f>
        <v>39</v>
      </c>
      <c r="C2285" s="6" t="str">
        <f>IFERROR(__xludf.DUMMYFUNCTION("""COMPUTED_VALUE"""),"3706")</f>
        <v>3706</v>
      </c>
      <c r="D2285" s="6" t="str">
        <f>IFERROR(__xludf.DUMMYFUNCTION("""COMPUTED_VALUE"""),"King")</f>
        <v>King</v>
      </c>
      <c r="E2285" s="6" t="str">
        <f>IFERROR(__xludf.DUMMYFUNCTION("""COMPUTED_VALUE"""),"")</f>
        <v/>
      </c>
      <c r="F2285" s="6" t="str">
        <f>IFERROR(__xludf.DUMMYFUNCTION("""COMPUTED_VALUE"""),"Morgan")</f>
        <v>Morgan</v>
      </c>
      <c r="G2285" s="6" t="str">
        <f>IFERROR(__xludf.DUMMYFUNCTION("""COMPUTED_VALUE"""),"12/27/2011")</f>
        <v>12/27/2011</v>
      </c>
      <c r="H2285" s="6" t="str">
        <f>IFERROR(__xludf.DUMMYFUNCTION("""COMPUTED_VALUE"""),"Self Identify")</f>
        <v>Self Identify</v>
      </c>
      <c r="I2285" s="6" t="str">
        <f>IFERROR(__xludf.DUMMYFUNCTION("""COMPUTED_VALUE"""),"Middle School")</f>
        <v>Middle School</v>
      </c>
      <c r="J2285" s="6" t="str">
        <f>IFERROR(__xludf.DUMMYFUNCTION("""COMPUTED_VALUE"""),"7")</f>
        <v>7</v>
      </c>
      <c r="K2285" s="6" t="str">
        <f>IFERROR(__xludf.DUMMYFUNCTION("""COMPUTED_VALUE"""),"king.morgan@2hourlearning.com")</f>
        <v>king.morgan@2hourlearning.com</v>
      </c>
      <c r="L2285" s="6" t="str">
        <f>IFERROR(__xludf.DUMMYFUNCTION("""COMPUTED_VALUE"""),"Lipscomb Academy Accelerate")</f>
        <v>Lipscomb Academy Accelerate</v>
      </c>
      <c r="M2285" s="6" t="str">
        <f>IFERROR(__xludf.DUMMYFUNCTION("""COMPUTED_VALUE"""),"")</f>
        <v/>
      </c>
      <c r="N2285" s="6" t="str">
        <f>IFERROR(__xludf.DUMMYFUNCTION("""COMPUTED_VALUE"""),"")</f>
        <v/>
      </c>
      <c r="O2285" s="87" t="str">
        <f>IFERROR(__xludf.DUMMYFUNCTION("""COMPUTED_VALUE"""),"https://drive.google.com/drive/folders/10T2cTQHqEJZqE-st6uFKPoI?usp=share_link")</f>
        <v>https://drive.google.com/drive/folders/10T2cTQHqEJZqE-st6uFKPoI?usp=share_link</v>
      </c>
      <c r="P2285" s="6" t="str">
        <f>IFERROR(__xludf.DUMMYFUNCTION("""COMPUTED_VALUE"""),"King Morgan")</f>
        <v>King Morgan</v>
      </c>
      <c r="Q2285" s="6" t="str">
        <f>IFERROR(__xludf.DUMMYFUNCTION("""COMPUTED_VALUE"""),"MS")</f>
        <v>MS</v>
      </c>
      <c r="R2285" s="6">
        <f>IFERROR(__xludf.DUMMYFUNCTION("""COMPUTED_VALUE"""),0.0)</f>
        <v>0</v>
      </c>
      <c r="S2285" s="6" t="str">
        <f>IFERROR(__xludf.DUMMYFUNCTION("""COMPUTED_VALUE"""),"Hardu Virks-lee")</f>
        <v>Hardu Virks-lee</v>
      </c>
      <c r="T2285" s="6" t="str">
        <f>IFERROR(__xludf.DUMMYFUNCTION("""COMPUTED_VALUE"""),"hardu.virkslee@alpha.school")</f>
        <v>hardu.virkslee@alpha.school</v>
      </c>
      <c r="U2285" s="6" t="str">
        <f>IFERROR(__xludf.DUMMYFUNCTION("""COMPUTED_VALUE"""),"7")</f>
        <v>7</v>
      </c>
      <c r="V2285" s="6" t="str">
        <f>IFERROR(__xludf.DUMMYFUNCTION("""COMPUTED_VALUE"""),"English")</f>
        <v>English</v>
      </c>
      <c r="W2285" s="6" t="str">
        <f>IFERROR(__xludf.DUMMYFUNCTION("""COMPUTED_VALUE"""),"[]")</f>
        <v>[]</v>
      </c>
      <c r="X2285" s="6" t="str">
        <f>IFERROR(__xludf.DUMMYFUNCTION("""COMPUTED_VALUE"""),"Enrolled")</f>
        <v>Enrolled</v>
      </c>
    </row>
    <row r="2286">
      <c r="A2286" s="6" t="str">
        <f>IFERROR(__xludf.DUMMYFUNCTION("""COMPUTED_VALUE"""),"039-3707")</f>
        <v>039-3707</v>
      </c>
      <c r="B2286" s="6" t="str">
        <f>IFERROR(__xludf.DUMMYFUNCTION("""COMPUTED_VALUE"""),"39")</f>
        <v>39</v>
      </c>
      <c r="C2286" s="6" t="str">
        <f>IFERROR(__xludf.DUMMYFUNCTION("""COMPUTED_VALUE"""),"3707")</f>
        <v>3707</v>
      </c>
      <c r="D2286" s="6" t="str">
        <f>IFERROR(__xludf.DUMMYFUNCTION("""COMPUTED_VALUE"""),"Ryker")</f>
        <v>Ryker</v>
      </c>
      <c r="E2286" s="6" t="str">
        <f>IFERROR(__xludf.DUMMYFUNCTION("""COMPUTED_VALUE"""),"")</f>
        <v/>
      </c>
      <c r="F2286" s="6" t="str">
        <f>IFERROR(__xludf.DUMMYFUNCTION("""COMPUTED_VALUE"""),"Sekulow")</f>
        <v>Sekulow</v>
      </c>
      <c r="G2286" s="6" t="str">
        <f>IFERROR(__xludf.DUMMYFUNCTION("""COMPUTED_VALUE"""),"10/30/2012")</f>
        <v>10/30/2012</v>
      </c>
      <c r="H2286" s="6" t="str">
        <f>IFERROR(__xludf.DUMMYFUNCTION("""COMPUTED_VALUE"""),"Self Identify")</f>
        <v>Self Identify</v>
      </c>
      <c r="I2286" s="6" t="str">
        <f>IFERROR(__xludf.DUMMYFUNCTION("""COMPUTED_VALUE"""),"Middle School")</f>
        <v>Middle School</v>
      </c>
      <c r="J2286" s="6" t="str">
        <f>IFERROR(__xludf.DUMMYFUNCTION("""COMPUTED_VALUE"""),"7")</f>
        <v>7</v>
      </c>
      <c r="K2286" s="6" t="str">
        <f>IFERROR(__xludf.DUMMYFUNCTION("""COMPUTED_VALUE"""),"ryker.sekulow@2hourlearning.com")</f>
        <v>ryker.sekulow@2hourlearning.com</v>
      </c>
      <c r="L2286" s="6" t="str">
        <f>IFERROR(__xludf.DUMMYFUNCTION("""COMPUTED_VALUE"""),"Lipscomb Academy Accelerate")</f>
        <v>Lipscomb Academy Accelerate</v>
      </c>
      <c r="M2286" s="6" t="str">
        <f>IFERROR(__xludf.DUMMYFUNCTION("""COMPUTED_VALUE"""),"")</f>
        <v/>
      </c>
      <c r="N2286" s="6" t="str">
        <f>IFERROR(__xludf.DUMMYFUNCTION("""COMPUTED_VALUE"""),"")</f>
        <v/>
      </c>
      <c r="O2286" s="87" t="str">
        <f>IFERROR(__xludf.DUMMYFUNCTION("""COMPUTED_VALUE"""),"https://drive.google.com/drive/folders/10T2cTQHqEJZqE-st6uFKPoI?usp=share_link")</f>
        <v>https://drive.google.com/drive/folders/10T2cTQHqEJZqE-st6uFKPoI?usp=share_link</v>
      </c>
      <c r="P2286" s="6" t="str">
        <f>IFERROR(__xludf.DUMMYFUNCTION("""COMPUTED_VALUE"""),"Ryker Sekulow")</f>
        <v>Ryker Sekulow</v>
      </c>
      <c r="Q2286" s="6" t="str">
        <f>IFERROR(__xludf.DUMMYFUNCTION("""COMPUTED_VALUE"""),"MS")</f>
        <v>MS</v>
      </c>
      <c r="R2286" s="6">
        <f>IFERROR(__xludf.DUMMYFUNCTION("""COMPUTED_VALUE"""),0.0)</f>
        <v>0</v>
      </c>
      <c r="S2286" s="6" t="str">
        <f>IFERROR(__xludf.DUMMYFUNCTION("""COMPUTED_VALUE"""),"Hardu Virks-lee")</f>
        <v>Hardu Virks-lee</v>
      </c>
      <c r="T2286" s="6" t="str">
        <f>IFERROR(__xludf.DUMMYFUNCTION("""COMPUTED_VALUE"""),"hardu.virkslee@alpha.school")</f>
        <v>hardu.virkslee@alpha.school</v>
      </c>
      <c r="U2286" s="6" t="str">
        <f>IFERROR(__xludf.DUMMYFUNCTION("""COMPUTED_VALUE"""),"7")</f>
        <v>7</v>
      </c>
      <c r="V2286" s="6" t="str">
        <f>IFERROR(__xludf.DUMMYFUNCTION("""COMPUTED_VALUE"""),"English")</f>
        <v>English</v>
      </c>
      <c r="W2286" s="6" t="str">
        <f>IFERROR(__xludf.DUMMYFUNCTION("""COMPUTED_VALUE"""),"[]")</f>
        <v>[]</v>
      </c>
      <c r="X2286" s="6" t="str">
        <f>IFERROR(__xludf.DUMMYFUNCTION("""COMPUTED_VALUE"""),"Enrolled")</f>
        <v>Enrolled</v>
      </c>
    </row>
    <row r="2287">
      <c r="A2287" s="6" t="str">
        <f>IFERROR(__xludf.DUMMYFUNCTION("""COMPUTED_VALUE"""),"039-3708")</f>
        <v>039-3708</v>
      </c>
      <c r="B2287" s="6" t="str">
        <f>IFERROR(__xludf.DUMMYFUNCTION("""COMPUTED_VALUE"""),"39")</f>
        <v>39</v>
      </c>
      <c r="C2287" s="6" t="str">
        <f>IFERROR(__xludf.DUMMYFUNCTION("""COMPUTED_VALUE"""),"3708")</f>
        <v>3708</v>
      </c>
      <c r="D2287" s="6" t="str">
        <f>IFERROR(__xludf.DUMMYFUNCTION("""COMPUTED_VALUE"""),"Hudson")</f>
        <v>Hudson</v>
      </c>
      <c r="E2287" s="6" t="str">
        <f>IFERROR(__xludf.DUMMYFUNCTION("""COMPUTED_VALUE"""),"")</f>
        <v/>
      </c>
      <c r="F2287" s="6" t="str">
        <f>IFERROR(__xludf.DUMMYFUNCTION("""COMPUTED_VALUE"""),"Tant")</f>
        <v>Tant</v>
      </c>
      <c r="G2287" s="6" t="str">
        <f>IFERROR(__xludf.DUMMYFUNCTION("""COMPUTED_VALUE"""),"08/08/2012")</f>
        <v>08/08/2012</v>
      </c>
      <c r="H2287" s="6" t="str">
        <f>IFERROR(__xludf.DUMMYFUNCTION("""COMPUTED_VALUE"""),"Self Identify")</f>
        <v>Self Identify</v>
      </c>
      <c r="I2287" s="6" t="str">
        <f>IFERROR(__xludf.DUMMYFUNCTION("""COMPUTED_VALUE"""),"Middle School")</f>
        <v>Middle School</v>
      </c>
      <c r="J2287" s="6" t="str">
        <f>IFERROR(__xludf.DUMMYFUNCTION("""COMPUTED_VALUE"""),"7")</f>
        <v>7</v>
      </c>
      <c r="K2287" s="6" t="str">
        <f>IFERROR(__xludf.DUMMYFUNCTION("""COMPUTED_VALUE"""),"hudson.tant@2hourlearning.com")</f>
        <v>hudson.tant@2hourlearning.com</v>
      </c>
      <c r="L2287" s="6" t="str">
        <f>IFERROR(__xludf.DUMMYFUNCTION("""COMPUTED_VALUE"""),"Lipscomb Academy Accelerate")</f>
        <v>Lipscomb Academy Accelerate</v>
      </c>
      <c r="M2287" s="6" t="str">
        <f>IFERROR(__xludf.DUMMYFUNCTION("""COMPUTED_VALUE"""),"")</f>
        <v/>
      </c>
      <c r="N2287" s="6" t="str">
        <f>IFERROR(__xludf.DUMMYFUNCTION("""COMPUTED_VALUE"""),"")</f>
        <v/>
      </c>
      <c r="O2287" s="87" t="str">
        <f>IFERROR(__xludf.DUMMYFUNCTION("""COMPUTED_VALUE"""),"https://drive.google.com/drive/folders/10T2cTQHqEJZqE-st6uFKPoI?usp=share_link")</f>
        <v>https://drive.google.com/drive/folders/10T2cTQHqEJZqE-st6uFKPoI?usp=share_link</v>
      </c>
      <c r="P2287" s="6" t="str">
        <f>IFERROR(__xludf.DUMMYFUNCTION("""COMPUTED_VALUE"""),"Hudson Tant")</f>
        <v>Hudson Tant</v>
      </c>
      <c r="Q2287" s="6" t="str">
        <f>IFERROR(__xludf.DUMMYFUNCTION("""COMPUTED_VALUE"""),"MS")</f>
        <v>MS</v>
      </c>
      <c r="R2287" s="6">
        <f>IFERROR(__xludf.DUMMYFUNCTION("""COMPUTED_VALUE"""),0.0)</f>
        <v>0</v>
      </c>
      <c r="S2287" s="6" t="str">
        <f>IFERROR(__xludf.DUMMYFUNCTION("""COMPUTED_VALUE"""),"Hardu Virks-lee")</f>
        <v>Hardu Virks-lee</v>
      </c>
      <c r="T2287" s="6" t="str">
        <f>IFERROR(__xludf.DUMMYFUNCTION("""COMPUTED_VALUE"""),"hardu.virkslee@alpha.school")</f>
        <v>hardu.virkslee@alpha.school</v>
      </c>
      <c r="U2287" s="6" t="str">
        <f>IFERROR(__xludf.DUMMYFUNCTION("""COMPUTED_VALUE"""),"7")</f>
        <v>7</v>
      </c>
      <c r="V2287" s="6" t="str">
        <f>IFERROR(__xludf.DUMMYFUNCTION("""COMPUTED_VALUE"""),"English")</f>
        <v>English</v>
      </c>
      <c r="W2287" s="6" t="str">
        <f>IFERROR(__xludf.DUMMYFUNCTION("""COMPUTED_VALUE"""),"[]")</f>
        <v>[]</v>
      </c>
      <c r="X2287" s="6" t="str">
        <f>IFERROR(__xludf.DUMMYFUNCTION("""COMPUTED_VALUE"""),"Enrolled")</f>
        <v>Enrolled</v>
      </c>
    </row>
    <row r="2288">
      <c r="A2288" s="6" t="str">
        <f>IFERROR(__xludf.DUMMYFUNCTION("""COMPUTED_VALUE"""),"039-3709")</f>
        <v>039-3709</v>
      </c>
      <c r="B2288" s="6" t="str">
        <f>IFERROR(__xludf.DUMMYFUNCTION("""COMPUTED_VALUE"""),"39")</f>
        <v>39</v>
      </c>
      <c r="C2288" s="6" t="str">
        <f>IFERROR(__xludf.DUMMYFUNCTION("""COMPUTED_VALUE"""),"3709")</f>
        <v>3709</v>
      </c>
      <c r="D2288" s="6" t="str">
        <f>IFERROR(__xludf.DUMMYFUNCTION("""COMPUTED_VALUE"""),"Kiera")</f>
        <v>Kiera</v>
      </c>
      <c r="E2288" s="6" t="str">
        <f>IFERROR(__xludf.DUMMYFUNCTION("""COMPUTED_VALUE"""),"")</f>
        <v/>
      </c>
      <c r="F2288" s="6" t="str">
        <f>IFERROR(__xludf.DUMMYFUNCTION("""COMPUTED_VALUE"""),"Butler")</f>
        <v>Butler</v>
      </c>
      <c r="G2288" s="6" t="str">
        <f>IFERROR(__xludf.DUMMYFUNCTION("""COMPUTED_VALUE"""),"02/14/2012")</f>
        <v>02/14/2012</v>
      </c>
      <c r="H2288" s="6" t="str">
        <f>IFERROR(__xludf.DUMMYFUNCTION("""COMPUTED_VALUE"""),"Self Identify")</f>
        <v>Self Identify</v>
      </c>
      <c r="I2288" s="6" t="str">
        <f>IFERROR(__xludf.DUMMYFUNCTION("""COMPUTED_VALUE"""),"Middle School")</f>
        <v>Middle School</v>
      </c>
      <c r="J2288" s="6" t="str">
        <f>IFERROR(__xludf.DUMMYFUNCTION("""COMPUTED_VALUE"""),"8")</f>
        <v>8</v>
      </c>
      <c r="K2288" s="6" t="str">
        <f>IFERROR(__xludf.DUMMYFUNCTION("""COMPUTED_VALUE"""),"kiera.butler@2hourlearning.com")</f>
        <v>kiera.butler@2hourlearning.com</v>
      </c>
      <c r="L2288" s="6" t="str">
        <f>IFERROR(__xludf.DUMMYFUNCTION("""COMPUTED_VALUE"""),"Lipscomb Academy Accelerate")</f>
        <v>Lipscomb Academy Accelerate</v>
      </c>
      <c r="M2288" s="6" t="str">
        <f>IFERROR(__xludf.DUMMYFUNCTION("""COMPUTED_VALUE"""),"")</f>
        <v/>
      </c>
      <c r="N2288" s="6" t="str">
        <f>IFERROR(__xludf.DUMMYFUNCTION("""COMPUTED_VALUE"""),"")</f>
        <v/>
      </c>
      <c r="O2288" s="87" t="str">
        <f>IFERROR(__xludf.DUMMYFUNCTION("""COMPUTED_VALUE"""),"https://drive.google.com/drive/folders/10T2cTQHqEJZqE-st6uFKPoI?usp=share_link")</f>
        <v>https://drive.google.com/drive/folders/10T2cTQHqEJZqE-st6uFKPoI?usp=share_link</v>
      </c>
      <c r="P2288" s="6" t="str">
        <f>IFERROR(__xludf.DUMMYFUNCTION("""COMPUTED_VALUE"""),"Kiera Butler")</f>
        <v>Kiera Butler</v>
      </c>
      <c r="Q2288" s="6" t="str">
        <f>IFERROR(__xludf.DUMMYFUNCTION("""COMPUTED_VALUE"""),"MS")</f>
        <v>MS</v>
      </c>
      <c r="R2288" s="6">
        <f>IFERROR(__xludf.DUMMYFUNCTION("""COMPUTED_VALUE"""),0.0)</f>
        <v>0</v>
      </c>
      <c r="S2288" s="6" t="str">
        <f>IFERROR(__xludf.DUMMYFUNCTION("""COMPUTED_VALUE"""),"Hardu Virks-lee")</f>
        <v>Hardu Virks-lee</v>
      </c>
      <c r="T2288" s="6" t="str">
        <f>IFERROR(__xludf.DUMMYFUNCTION("""COMPUTED_VALUE"""),"hardu.virkslee@alpha.school")</f>
        <v>hardu.virkslee@alpha.school</v>
      </c>
      <c r="U2288" s="6" t="str">
        <f>IFERROR(__xludf.DUMMYFUNCTION("""COMPUTED_VALUE"""),"8")</f>
        <v>8</v>
      </c>
      <c r="V2288" s="6" t="str">
        <f>IFERROR(__xludf.DUMMYFUNCTION("""COMPUTED_VALUE"""),"English")</f>
        <v>English</v>
      </c>
      <c r="W2288" s="6" t="str">
        <f>IFERROR(__xludf.DUMMYFUNCTION("""COMPUTED_VALUE"""),"[]")</f>
        <v>[]</v>
      </c>
      <c r="X2288" s="6" t="str">
        <f>IFERROR(__xludf.DUMMYFUNCTION("""COMPUTED_VALUE"""),"Enrolled")</f>
        <v>Enrolled</v>
      </c>
    </row>
    <row r="2289">
      <c r="A2289" s="6" t="str">
        <f>IFERROR(__xludf.DUMMYFUNCTION("""COMPUTED_VALUE"""),"039-3710")</f>
        <v>039-3710</v>
      </c>
      <c r="B2289" s="6" t="str">
        <f>IFERROR(__xludf.DUMMYFUNCTION("""COMPUTED_VALUE"""),"39")</f>
        <v>39</v>
      </c>
      <c r="C2289" s="6" t="str">
        <f>IFERROR(__xludf.DUMMYFUNCTION("""COMPUTED_VALUE"""),"3710")</f>
        <v>3710</v>
      </c>
      <c r="D2289" s="6" t="str">
        <f>IFERROR(__xludf.DUMMYFUNCTION("""COMPUTED_VALUE"""),"Georgia")</f>
        <v>Georgia</v>
      </c>
      <c r="E2289" s="6" t="str">
        <f>IFERROR(__xludf.DUMMYFUNCTION("""COMPUTED_VALUE"""),"")</f>
        <v/>
      </c>
      <c r="F2289" s="6" t="str">
        <f>IFERROR(__xludf.DUMMYFUNCTION("""COMPUTED_VALUE"""),"Pennington")</f>
        <v>Pennington</v>
      </c>
      <c r="G2289" s="6" t="str">
        <f>IFERROR(__xludf.DUMMYFUNCTION("""COMPUTED_VALUE"""),"02/15/2012")</f>
        <v>02/15/2012</v>
      </c>
      <c r="H2289" s="6" t="str">
        <f>IFERROR(__xludf.DUMMYFUNCTION("""COMPUTED_VALUE"""),"Self Identify")</f>
        <v>Self Identify</v>
      </c>
      <c r="I2289" s="6" t="str">
        <f>IFERROR(__xludf.DUMMYFUNCTION("""COMPUTED_VALUE"""),"Middle School")</f>
        <v>Middle School</v>
      </c>
      <c r="J2289" s="6" t="str">
        <f>IFERROR(__xludf.DUMMYFUNCTION("""COMPUTED_VALUE"""),"8")</f>
        <v>8</v>
      </c>
      <c r="K2289" s="6" t="str">
        <f>IFERROR(__xludf.DUMMYFUNCTION("""COMPUTED_VALUE"""),"georgia.pennington@2hourlearning.com")</f>
        <v>georgia.pennington@2hourlearning.com</v>
      </c>
      <c r="L2289" s="6" t="str">
        <f>IFERROR(__xludf.DUMMYFUNCTION("""COMPUTED_VALUE"""),"Lipscomb Academy Accelerate")</f>
        <v>Lipscomb Academy Accelerate</v>
      </c>
      <c r="M2289" s="6" t="str">
        <f>IFERROR(__xludf.DUMMYFUNCTION("""COMPUTED_VALUE"""),"")</f>
        <v/>
      </c>
      <c r="N2289" s="6" t="str">
        <f>IFERROR(__xludf.DUMMYFUNCTION("""COMPUTED_VALUE"""),"")</f>
        <v/>
      </c>
      <c r="O2289" s="87" t="str">
        <f>IFERROR(__xludf.DUMMYFUNCTION("""COMPUTED_VALUE"""),"https://drive.google.com/drive/folders/10T2cTQHqEJZqE-st6uFKPoI?usp=share_link")</f>
        <v>https://drive.google.com/drive/folders/10T2cTQHqEJZqE-st6uFKPoI?usp=share_link</v>
      </c>
      <c r="P2289" s="6" t="str">
        <f>IFERROR(__xludf.DUMMYFUNCTION("""COMPUTED_VALUE"""),"Georgia Pennington")</f>
        <v>Georgia Pennington</v>
      </c>
      <c r="Q2289" s="6" t="str">
        <f>IFERROR(__xludf.DUMMYFUNCTION("""COMPUTED_VALUE"""),"MS")</f>
        <v>MS</v>
      </c>
      <c r="R2289" s="6">
        <f>IFERROR(__xludf.DUMMYFUNCTION("""COMPUTED_VALUE"""),0.0)</f>
        <v>0</v>
      </c>
      <c r="S2289" s="6" t="str">
        <f>IFERROR(__xludf.DUMMYFUNCTION("""COMPUTED_VALUE"""),"Hardu Virks-lee")</f>
        <v>Hardu Virks-lee</v>
      </c>
      <c r="T2289" s="6" t="str">
        <f>IFERROR(__xludf.DUMMYFUNCTION("""COMPUTED_VALUE"""),"hardu.virkslee@alpha.school")</f>
        <v>hardu.virkslee@alpha.school</v>
      </c>
      <c r="U2289" s="6" t="str">
        <f>IFERROR(__xludf.DUMMYFUNCTION("""COMPUTED_VALUE"""),"8")</f>
        <v>8</v>
      </c>
      <c r="V2289" s="6" t="str">
        <f>IFERROR(__xludf.DUMMYFUNCTION("""COMPUTED_VALUE"""),"English")</f>
        <v>English</v>
      </c>
      <c r="W2289" s="6" t="str">
        <f>IFERROR(__xludf.DUMMYFUNCTION("""COMPUTED_VALUE"""),"[]")</f>
        <v>[]</v>
      </c>
      <c r="X2289" s="6" t="str">
        <f>IFERROR(__xludf.DUMMYFUNCTION("""COMPUTED_VALUE"""),"Enrolled")</f>
        <v>Enrolled</v>
      </c>
    </row>
    <row r="2290">
      <c r="A2290" s="6" t="str">
        <f>IFERROR(__xludf.DUMMYFUNCTION("""COMPUTED_VALUE"""),"039-3711")</f>
        <v>039-3711</v>
      </c>
      <c r="B2290" s="6" t="str">
        <f>IFERROR(__xludf.DUMMYFUNCTION("""COMPUTED_VALUE"""),"39")</f>
        <v>39</v>
      </c>
      <c r="C2290" s="6" t="str">
        <f>IFERROR(__xludf.DUMMYFUNCTION("""COMPUTED_VALUE"""),"3711")</f>
        <v>3711</v>
      </c>
      <c r="D2290" s="6" t="str">
        <f>IFERROR(__xludf.DUMMYFUNCTION("""COMPUTED_VALUE"""),"Zoe")</f>
        <v>Zoe</v>
      </c>
      <c r="E2290" s="6" t="str">
        <f>IFERROR(__xludf.DUMMYFUNCTION("""COMPUTED_VALUE"""),"")</f>
        <v/>
      </c>
      <c r="F2290" s="6" t="str">
        <f>IFERROR(__xludf.DUMMYFUNCTION("""COMPUTED_VALUE"""),"Silverberg")</f>
        <v>Silverberg</v>
      </c>
      <c r="G2290" s="6" t="str">
        <f>IFERROR(__xludf.DUMMYFUNCTION("""COMPUTED_VALUE"""),"09/16/2011")</f>
        <v>09/16/2011</v>
      </c>
      <c r="H2290" s="6" t="str">
        <f>IFERROR(__xludf.DUMMYFUNCTION("""COMPUTED_VALUE"""),"Self Identify")</f>
        <v>Self Identify</v>
      </c>
      <c r="I2290" s="6" t="str">
        <f>IFERROR(__xludf.DUMMYFUNCTION("""COMPUTED_VALUE"""),"Middle School")</f>
        <v>Middle School</v>
      </c>
      <c r="J2290" s="6" t="str">
        <f>IFERROR(__xludf.DUMMYFUNCTION("""COMPUTED_VALUE"""),"8")</f>
        <v>8</v>
      </c>
      <c r="K2290" s="6" t="str">
        <f>IFERROR(__xludf.DUMMYFUNCTION("""COMPUTED_VALUE"""),"zoe.silverberg@2hourlearning.com")</f>
        <v>zoe.silverberg@2hourlearning.com</v>
      </c>
      <c r="L2290" s="6" t="str">
        <f>IFERROR(__xludf.DUMMYFUNCTION("""COMPUTED_VALUE"""),"Lipscomb Academy Accelerate")</f>
        <v>Lipscomb Academy Accelerate</v>
      </c>
      <c r="M2290" s="6" t="str">
        <f>IFERROR(__xludf.DUMMYFUNCTION("""COMPUTED_VALUE"""),"")</f>
        <v/>
      </c>
      <c r="N2290" s="6" t="str">
        <f>IFERROR(__xludf.DUMMYFUNCTION("""COMPUTED_VALUE"""),"")</f>
        <v/>
      </c>
      <c r="O2290" s="87" t="str">
        <f>IFERROR(__xludf.DUMMYFUNCTION("""COMPUTED_VALUE"""),"https://drive.google.com/drive/folders/10T2cTQHqEJZqE-st6uFKPoI?usp=share_link")</f>
        <v>https://drive.google.com/drive/folders/10T2cTQHqEJZqE-st6uFKPoI?usp=share_link</v>
      </c>
      <c r="P2290" s="6" t="str">
        <f>IFERROR(__xludf.DUMMYFUNCTION("""COMPUTED_VALUE"""),"Zoe Silverberg")</f>
        <v>Zoe Silverberg</v>
      </c>
      <c r="Q2290" s="6" t="str">
        <f>IFERROR(__xludf.DUMMYFUNCTION("""COMPUTED_VALUE"""),"MS")</f>
        <v>MS</v>
      </c>
      <c r="R2290" s="6">
        <f>IFERROR(__xludf.DUMMYFUNCTION("""COMPUTED_VALUE"""),0.0)</f>
        <v>0</v>
      </c>
      <c r="S2290" s="6" t="str">
        <f>IFERROR(__xludf.DUMMYFUNCTION("""COMPUTED_VALUE"""),"Hardu Virks-lee")</f>
        <v>Hardu Virks-lee</v>
      </c>
      <c r="T2290" s="6" t="str">
        <f>IFERROR(__xludf.DUMMYFUNCTION("""COMPUTED_VALUE"""),"hardu.virkslee@alpha.school")</f>
        <v>hardu.virkslee@alpha.school</v>
      </c>
      <c r="U2290" s="6" t="str">
        <f>IFERROR(__xludf.DUMMYFUNCTION("""COMPUTED_VALUE"""),"8")</f>
        <v>8</v>
      </c>
      <c r="V2290" s="6" t="str">
        <f>IFERROR(__xludf.DUMMYFUNCTION("""COMPUTED_VALUE"""),"English")</f>
        <v>English</v>
      </c>
      <c r="W2290" s="6" t="str">
        <f>IFERROR(__xludf.DUMMYFUNCTION("""COMPUTED_VALUE"""),"[]")</f>
        <v>[]</v>
      </c>
      <c r="X2290" s="6" t="str">
        <f>IFERROR(__xludf.DUMMYFUNCTION("""COMPUTED_VALUE"""),"Enrolled")</f>
        <v>Enrolled</v>
      </c>
    </row>
    <row r="2291">
      <c r="A2291" s="6" t="str">
        <f>IFERROR(__xludf.DUMMYFUNCTION("""COMPUTED_VALUE"""),"039-3932")</f>
        <v>039-3932</v>
      </c>
      <c r="B2291" s="6" t="str">
        <f>IFERROR(__xludf.DUMMYFUNCTION("""COMPUTED_VALUE"""),"39")</f>
        <v>39</v>
      </c>
      <c r="C2291" s="6" t="str">
        <f>IFERROR(__xludf.DUMMYFUNCTION("""COMPUTED_VALUE"""),"3932")</f>
        <v>3932</v>
      </c>
      <c r="D2291" s="6" t="str">
        <f>IFERROR(__xludf.DUMMYFUNCTION("""COMPUTED_VALUE"""),"Olivia")</f>
        <v>Olivia</v>
      </c>
      <c r="E2291" s="6" t="str">
        <f>IFERROR(__xludf.DUMMYFUNCTION("""COMPUTED_VALUE"""),"")</f>
        <v/>
      </c>
      <c r="F2291" s="6" t="str">
        <f>IFERROR(__xludf.DUMMYFUNCTION("""COMPUTED_VALUE"""),"Miller")</f>
        <v>Miller</v>
      </c>
      <c r="G2291" s="6" t="str">
        <f>IFERROR(__xludf.DUMMYFUNCTION("""COMPUTED_VALUE"""),"04/22/2013")</f>
        <v>04/22/2013</v>
      </c>
      <c r="H2291" s="6" t="str">
        <f>IFERROR(__xludf.DUMMYFUNCTION("""COMPUTED_VALUE"""),"Self Identify")</f>
        <v>Self Identify</v>
      </c>
      <c r="I2291" s="6" t="str">
        <f>IFERROR(__xludf.DUMMYFUNCTION("""COMPUTED_VALUE"""),"Middle School")</f>
        <v>Middle School</v>
      </c>
      <c r="J2291" s="6" t="str">
        <f>IFERROR(__xludf.DUMMYFUNCTION("""COMPUTED_VALUE"""),"7")</f>
        <v>7</v>
      </c>
      <c r="K2291" s="6" t="str">
        <f>IFERROR(__xludf.DUMMYFUNCTION("""COMPUTED_VALUE"""),"olivia.miller@2hourlearning.com")</f>
        <v>olivia.miller@2hourlearning.com</v>
      </c>
      <c r="L2291" s="6" t="str">
        <f>IFERROR(__xludf.DUMMYFUNCTION("""COMPUTED_VALUE"""),"Lipscomb Academy Accelerate")</f>
        <v>Lipscomb Academy Accelerate</v>
      </c>
      <c r="M2291" s="6" t="str">
        <f>IFERROR(__xludf.DUMMYFUNCTION("""COMPUTED_VALUE"""),"")</f>
        <v/>
      </c>
      <c r="N2291" s="6" t="str">
        <f>IFERROR(__xludf.DUMMYFUNCTION("""COMPUTED_VALUE"""),"")</f>
        <v/>
      </c>
      <c r="O2291" s="87" t="str">
        <f>IFERROR(__xludf.DUMMYFUNCTION("""COMPUTED_VALUE"""),"https://drive.google.com/drive/folders/10T2cTQHqEJZqE-st6uFKPoI?usp=share_link")</f>
        <v>https://drive.google.com/drive/folders/10T2cTQHqEJZqE-st6uFKPoI?usp=share_link</v>
      </c>
      <c r="P2291" s="6" t="str">
        <f>IFERROR(__xludf.DUMMYFUNCTION("""COMPUTED_VALUE"""),"Olivia Miller")</f>
        <v>Olivia Miller</v>
      </c>
      <c r="Q2291" s="6" t="str">
        <f>IFERROR(__xludf.DUMMYFUNCTION("""COMPUTED_VALUE"""),"MS")</f>
        <v>MS</v>
      </c>
      <c r="R2291" s="6">
        <f>IFERROR(__xludf.DUMMYFUNCTION("""COMPUTED_VALUE"""),0.0)</f>
        <v>0</v>
      </c>
      <c r="S2291" s="6" t="str">
        <f>IFERROR(__xludf.DUMMYFUNCTION("""COMPUTED_VALUE""")," ")</f>
        <v> </v>
      </c>
      <c r="T2291" s="6" t="str">
        <f>IFERROR(__xludf.DUMMYFUNCTION("""COMPUTED_VALUE"""),"")</f>
        <v/>
      </c>
      <c r="U2291" s="6" t="str">
        <f>IFERROR(__xludf.DUMMYFUNCTION("""COMPUTED_VALUE"""),"7")</f>
        <v>7</v>
      </c>
      <c r="V2291" s="6" t="str">
        <f>IFERROR(__xludf.DUMMYFUNCTION("""COMPUTED_VALUE"""),"")</f>
        <v/>
      </c>
      <c r="W2291" s="6" t="str">
        <f>IFERROR(__xludf.DUMMYFUNCTION("""COMPUTED_VALUE"""),"[]")</f>
        <v>[]</v>
      </c>
      <c r="X2291" s="6" t="str">
        <f>IFERROR(__xludf.DUMMYFUNCTION("""COMPUTED_VALUE"""),"Enrolled")</f>
        <v>Enrolled</v>
      </c>
    </row>
    <row r="2292">
      <c r="A2292" s="6" t="str">
        <f>IFERROR(__xludf.DUMMYFUNCTION("""COMPUTED_VALUE"""),"040-10023")</f>
        <v>040-10023</v>
      </c>
      <c r="B2292" s="6" t="str">
        <f>IFERROR(__xludf.DUMMYFUNCTION("""COMPUTED_VALUE"""),"40")</f>
        <v>40</v>
      </c>
      <c r="C2292" s="6" t="str">
        <f>IFERROR(__xludf.DUMMYFUNCTION("""COMPUTED_VALUE"""),"10023")</f>
        <v>10023</v>
      </c>
      <c r="D2292" s="6" t="str">
        <f>IFERROR(__xludf.DUMMYFUNCTION("""COMPUTED_VALUE"""),"Eli")</f>
        <v>Eli</v>
      </c>
      <c r="E2292" s="6" t="str">
        <f>IFERROR(__xludf.DUMMYFUNCTION("""COMPUTED_VALUE"""),"")</f>
        <v/>
      </c>
      <c r="F2292" s="6" t="str">
        <f>IFERROR(__xludf.DUMMYFUNCTION("""COMPUTED_VALUE"""),"Hansen")</f>
        <v>Hansen</v>
      </c>
      <c r="G2292" s="6" t="str">
        <f>IFERROR(__xludf.DUMMYFUNCTION("""COMPUTED_VALUE"""),"02/14/2014")</f>
        <v>02/14/2014</v>
      </c>
      <c r="H2292" s="6" t="str">
        <f>IFERROR(__xludf.DUMMYFUNCTION("""COMPUTED_VALUE"""),"Self Identify")</f>
        <v>Self Identify</v>
      </c>
      <c r="I2292" s="6" t="str">
        <f>IFERROR(__xludf.DUMMYFUNCTION("""COMPUTED_VALUE"""),"Middle School")</f>
        <v>Middle School</v>
      </c>
      <c r="J2292" s="6" t="str">
        <f>IFERROR(__xludf.DUMMYFUNCTION("""COMPUTED_VALUE"""),"6")</f>
        <v>6</v>
      </c>
      <c r="K2292" s="6" t="str">
        <f>IFERROR(__xludf.DUMMYFUNCTION("""COMPUTED_VALUE"""),"eli.hansen@unbound.school")</f>
        <v>eli.hansen@unbound.school</v>
      </c>
      <c r="L2292" s="6" t="str">
        <f>IFERROR(__xludf.DUMMYFUNCTION("""COMPUTED_VALUE"""),"Unbound Academy")</f>
        <v>Unbound Academy</v>
      </c>
      <c r="M2292" s="6" t="str">
        <f>IFERROR(__xludf.DUMMYFUNCTION("""COMPUTED_VALUE"""),"")</f>
        <v/>
      </c>
      <c r="N2292" s="6" t="str">
        <f>IFERROR(__xludf.DUMMYFUNCTION("""COMPUTED_VALUE"""),"")</f>
        <v/>
      </c>
      <c r="O2292" s="87" t="str">
        <f>IFERROR(__xludf.DUMMYFUNCTION("""COMPUTED_VALUE"""),"https://drive.google.com/drive/folders/10T2cTQHqEJZqE-st6uFKPoI?usp=share_link")</f>
        <v>https://drive.google.com/drive/folders/10T2cTQHqEJZqE-st6uFKPoI?usp=share_link</v>
      </c>
      <c r="P2292" s="6" t="str">
        <f>IFERROR(__xludf.DUMMYFUNCTION("""COMPUTED_VALUE"""),"Eli Hansen")</f>
        <v>Eli Hansen</v>
      </c>
      <c r="Q2292" s="6" t="str">
        <f>IFERROR(__xludf.DUMMYFUNCTION("""COMPUTED_VALUE"""),"MS")</f>
        <v>MS</v>
      </c>
      <c r="R2292" s="6">
        <f>IFERROR(__xludf.DUMMYFUNCTION("""COMPUTED_VALUE"""),0.0)</f>
        <v>0</v>
      </c>
      <c r="S2292" s="6" t="str">
        <f>IFERROR(__xludf.DUMMYFUNCTION("""COMPUTED_VALUE""")," ")</f>
        <v> </v>
      </c>
      <c r="T2292" s="6" t="str">
        <f>IFERROR(__xludf.DUMMYFUNCTION("""COMPUTED_VALUE"""),"")</f>
        <v/>
      </c>
      <c r="U2292" s="6" t="str">
        <f>IFERROR(__xludf.DUMMYFUNCTION("""COMPUTED_VALUE"""),"6")</f>
        <v>6</v>
      </c>
      <c r="V2292" s="6" t="str">
        <f>IFERROR(__xludf.DUMMYFUNCTION("""COMPUTED_VALUE"""),"")</f>
        <v/>
      </c>
      <c r="W2292" s="6" t="str">
        <f>IFERROR(__xludf.DUMMYFUNCTION("""COMPUTED_VALUE"""),"[]")</f>
        <v>[]</v>
      </c>
      <c r="X2292" s="6" t="str">
        <f>IFERROR(__xludf.DUMMYFUNCTION("""COMPUTED_VALUE"""),"Enrolled")</f>
        <v>Enrolled</v>
      </c>
    </row>
    <row r="2293">
      <c r="A2293" s="6" t="str">
        <f>IFERROR(__xludf.DUMMYFUNCTION("""COMPUTED_VALUE"""),"040-10026")</f>
        <v>040-10026</v>
      </c>
      <c r="B2293" s="6" t="str">
        <f>IFERROR(__xludf.DUMMYFUNCTION("""COMPUTED_VALUE"""),"40")</f>
        <v>40</v>
      </c>
      <c r="C2293" s="6" t="str">
        <f>IFERROR(__xludf.DUMMYFUNCTION("""COMPUTED_VALUE"""),"10026")</f>
        <v>10026</v>
      </c>
      <c r="D2293" s="6" t="str">
        <f>IFERROR(__xludf.DUMMYFUNCTION("""COMPUTED_VALUE"""),"Evan")</f>
        <v>Evan</v>
      </c>
      <c r="E2293" s="6" t="str">
        <f>IFERROR(__xludf.DUMMYFUNCTION("""COMPUTED_VALUE"""),"")</f>
        <v/>
      </c>
      <c r="F2293" s="6" t="str">
        <f>IFERROR(__xludf.DUMMYFUNCTION("""COMPUTED_VALUE"""),"Banks")</f>
        <v>Banks</v>
      </c>
      <c r="G2293" s="6" t="str">
        <f>IFERROR(__xludf.DUMMYFUNCTION("""COMPUTED_VALUE"""),"05/12/2014")</f>
        <v>05/12/2014</v>
      </c>
      <c r="H2293" s="6" t="str">
        <f>IFERROR(__xludf.DUMMYFUNCTION("""COMPUTED_VALUE"""),"Self Identify")</f>
        <v>Self Identify</v>
      </c>
      <c r="I2293" s="6" t="str">
        <f>IFERROR(__xludf.DUMMYFUNCTION("""COMPUTED_VALUE"""),"Middle School")</f>
        <v>Middle School</v>
      </c>
      <c r="J2293" s="6" t="str">
        <f>IFERROR(__xludf.DUMMYFUNCTION("""COMPUTED_VALUE"""),"6")</f>
        <v>6</v>
      </c>
      <c r="K2293" s="6" t="str">
        <f>IFERROR(__xludf.DUMMYFUNCTION("""COMPUTED_VALUE"""),"evan.banks@unbound.school")</f>
        <v>evan.banks@unbound.school</v>
      </c>
      <c r="L2293" s="6" t="str">
        <f>IFERROR(__xludf.DUMMYFUNCTION("""COMPUTED_VALUE"""),"Unbound Academy")</f>
        <v>Unbound Academy</v>
      </c>
      <c r="M2293" s="6" t="str">
        <f>IFERROR(__xludf.DUMMYFUNCTION("""COMPUTED_VALUE"""),"")</f>
        <v/>
      </c>
      <c r="N2293" s="6" t="str">
        <f>IFERROR(__xludf.DUMMYFUNCTION("""COMPUTED_VALUE"""),"")</f>
        <v/>
      </c>
      <c r="O2293" s="87" t="str">
        <f>IFERROR(__xludf.DUMMYFUNCTION("""COMPUTED_VALUE"""),"https://drive.google.com/drive/folders/10T2cTQHqEJZqE-st6uFKPoI?usp=share_link")</f>
        <v>https://drive.google.com/drive/folders/10T2cTQHqEJZqE-st6uFKPoI?usp=share_link</v>
      </c>
      <c r="P2293" s="6" t="str">
        <f>IFERROR(__xludf.DUMMYFUNCTION("""COMPUTED_VALUE"""),"Evan Banks")</f>
        <v>Evan Banks</v>
      </c>
      <c r="Q2293" s="6" t="str">
        <f>IFERROR(__xludf.DUMMYFUNCTION("""COMPUTED_VALUE"""),"MS")</f>
        <v>MS</v>
      </c>
      <c r="R2293" s="6">
        <f>IFERROR(__xludf.DUMMYFUNCTION("""COMPUTED_VALUE"""),0.0)</f>
        <v>0</v>
      </c>
      <c r="S2293" s="6" t="str">
        <f>IFERROR(__xludf.DUMMYFUNCTION("""COMPUTED_VALUE""")," ")</f>
        <v> </v>
      </c>
      <c r="T2293" s="6" t="str">
        <f>IFERROR(__xludf.DUMMYFUNCTION("""COMPUTED_VALUE"""),"")</f>
        <v/>
      </c>
      <c r="U2293" s="6" t="str">
        <f>IFERROR(__xludf.DUMMYFUNCTION("""COMPUTED_VALUE"""),"6")</f>
        <v>6</v>
      </c>
      <c r="V2293" s="6" t="str">
        <f>IFERROR(__xludf.DUMMYFUNCTION("""COMPUTED_VALUE"""),"")</f>
        <v/>
      </c>
      <c r="W2293" s="6" t="str">
        <f>IFERROR(__xludf.DUMMYFUNCTION("""COMPUTED_VALUE"""),"[]")</f>
        <v>[]</v>
      </c>
      <c r="X2293" s="6" t="str">
        <f>IFERROR(__xludf.DUMMYFUNCTION("""COMPUTED_VALUE"""),"Enrolled")</f>
        <v>Enrolled</v>
      </c>
    </row>
    <row r="2294">
      <c r="A2294" s="6" t="str">
        <f>IFERROR(__xludf.DUMMYFUNCTION("""COMPUTED_VALUE"""),"040-10032")</f>
        <v>040-10032</v>
      </c>
      <c r="B2294" s="6" t="str">
        <f>IFERROR(__xludf.DUMMYFUNCTION("""COMPUTED_VALUE"""),"40")</f>
        <v>40</v>
      </c>
      <c r="C2294" s="6" t="str">
        <f>IFERROR(__xludf.DUMMYFUNCTION("""COMPUTED_VALUE"""),"10032")</f>
        <v>10032</v>
      </c>
      <c r="D2294" s="6" t="str">
        <f>IFERROR(__xludf.DUMMYFUNCTION("""COMPUTED_VALUE"""),"Ceheara")</f>
        <v>Ceheara</v>
      </c>
      <c r="E2294" s="6" t="str">
        <f>IFERROR(__xludf.DUMMYFUNCTION("""COMPUTED_VALUE"""),"")</f>
        <v/>
      </c>
      <c r="F2294" s="6" t="str">
        <f>IFERROR(__xludf.DUMMYFUNCTION("""COMPUTED_VALUE"""),"Moore")</f>
        <v>Moore</v>
      </c>
      <c r="G2294" s="6" t="str">
        <f>IFERROR(__xludf.DUMMYFUNCTION("""COMPUTED_VALUE"""),"02/12/2011")</f>
        <v>02/12/2011</v>
      </c>
      <c r="H2294" s="6" t="str">
        <f>IFERROR(__xludf.DUMMYFUNCTION("""COMPUTED_VALUE"""),"Self Identify")</f>
        <v>Self Identify</v>
      </c>
      <c r="I2294" s="6" t="str">
        <f>IFERROR(__xludf.DUMMYFUNCTION("""COMPUTED_VALUE"""),"Middle School")</f>
        <v>Middle School</v>
      </c>
      <c r="J2294" s="6" t="str">
        <f>IFERROR(__xludf.DUMMYFUNCTION("""COMPUTED_VALUE"""),"8")</f>
        <v>8</v>
      </c>
      <c r="K2294" s="6" t="str">
        <f>IFERROR(__xludf.DUMMYFUNCTION("""COMPUTED_VALUE"""),"ceheara.moore@unbound.school")</f>
        <v>ceheara.moore@unbound.school</v>
      </c>
      <c r="L2294" s="6" t="str">
        <f>IFERROR(__xludf.DUMMYFUNCTION("""COMPUTED_VALUE"""),"Unbound Academy")</f>
        <v>Unbound Academy</v>
      </c>
      <c r="M2294" s="6" t="str">
        <f>IFERROR(__xludf.DUMMYFUNCTION("""COMPUTED_VALUE"""),"")</f>
        <v/>
      </c>
      <c r="N2294" s="6" t="str">
        <f>IFERROR(__xludf.DUMMYFUNCTION("""COMPUTED_VALUE"""),"")</f>
        <v/>
      </c>
      <c r="O2294" s="87" t="str">
        <f>IFERROR(__xludf.DUMMYFUNCTION("""COMPUTED_VALUE"""),"https://drive.google.com/drive/folders/10T2cTQHqEJZqE-st6uFKPoI?usp=share_link")</f>
        <v>https://drive.google.com/drive/folders/10T2cTQHqEJZqE-st6uFKPoI?usp=share_link</v>
      </c>
      <c r="P2294" s="6" t="str">
        <f>IFERROR(__xludf.DUMMYFUNCTION("""COMPUTED_VALUE"""),"Ceheara Moore")</f>
        <v>Ceheara Moore</v>
      </c>
      <c r="Q2294" s="6" t="str">
        <f>IFERROR(__xludf.DUMMYFUNCTION("""COMPUTED_VALUE"""),"MS")</f>
        <v>MS</v>
      </c>
      <c r="R2294" s="6">
        <f>IFERROR(__xludf.DUMMYFUNCTION("""COMPUTED_VALUE"""),0.0)</f>
        <v>0</v>
      </c>
      <c r="S2294" s="6" t="str">
        <f>IFERROR(__xludf.DUMMYFUNCTION("""COMPUTED_VALUE""")," ")</f>
        <v> </v>
      </c>
      <c r="T2294" s="6" t="str">
        <f>IFERROR(__xludf.DUMMYFUNCTION("""COMPUTED_VALUE"""),"")</f>
        <v/>
      </c>
      <c r="U2294" s="6" t="str">
        <f>IFERROR(__xludf.DUMMYFUNCTION("""COMPUTED_VALUE"""),"8")</f>
        <v>8</v>
      </c>
      <c r="V2294" s="6" t="str">
        <f>IFERROR(__xludf.DUMMYFUNCTION("""COMPUTED_VALUE"""),"")</f>
        <v/>
      </c>
      <c r="W2294" s="6" t="str">
        <f>IFERROR(__xludf.DUMMYFUNCTION("""COMPUTED_VALUE"""),"[]")</f>
        <v>[]</v>
      </c>
      <c r="X2294" s="6" t="str">
        <f>IFERROR(__xludf.DUMMYFUNCTION("""COMPUTED_VALUE"""),"Enrolled")</f>
        <v>Enrolled</v>
      </c>
    </row>
    <row r="2295">
      <c r="A2295" s="6" t="str">
        <f>IFERROR(__xludf.DUMMYFUNCTION("""COMPUTED_VALUE"""),"040-10033")</f>
        <v>040-10033</v>
      </c>
      <c r="B2295" s="6" t="str">
        <f>IFERROR(__xludf.DUMMYFUNCTION("""COMPUTED_VALUE"""),"40")</f>
        <v>40</v>
      </c>
      <c r="C2295" s="6" t="str">
        <f>IFERROR(__xludf.DUMMYFUNCTION("""COMPUTED_VALUE"""),"10033")</f>
        <v>10033</v>
      </c>
      <c r="D2295" s="6" t="str">
        <f>IFERROR(__xludf.DUMMYFUNCTION("""COMPUTED_VALUE"""),"Kharizma")</f>
        <v>Kharizma</v>
      </c>
      <c r="E2295" s="6" t="str">
        <f>IFERROR(__xludf.DUMMYFUNCTION("""COMPUTED_VALUE"""),"")</f>
        <v/>
      </c>
      <c r="F2295" s="6" t="str">
        <f>IFERROR(__xludf.DUMMYFUNCTION("""COMPUTED_VALUE"""),"Moore")</f>
        <v>Moore</v>
      </c>
      <c r="G2295" s="6" t="str">
        <f>IFERROR(__xludf.DUMMYFUNCTION("""COMPUTED_VALUE"""),"10/08/2013")</f>
        <v>10/08/2013</v>
      </c>
      <c r="H2295" s="6" t="str">
        <f>IFERROR(__xludf.DUMMYFUNCTION("""COMPUTED_VALUE"""),"Self Identify")</f>
        <v>Self Identify</v>
      </c>
      <c r="I2295" s="6" t="str">
        <f>IFERROR(__xludf.DUMMYFUNCTION("""COMPUTED_VALUE"""),"Middle School")</f>
        <v>Middle School</v>
      </c>
      <c r="J2295" s="6" t="str">
        <f>IFERROR(__xludf.DUMMYFUNCTION("""COMPUTED_VALUE"""),"6")</f>
        <v>6</v>
      </c>
      <c r="K2295" s="6" t="str">
        <f>IFERROR(__xludf.DUMMYFUNCTION("""COMPUTED_VALUE"""),"kharizma.moore@unbound.school")</f>
        <v>kharizma.moore@unbound.school</v>
      </c>
      <c r="L2295" s="6" t="str">
        <f>IFERROR(__xludf.DUMMYFUNCTION("""COMPUTED_VALUE"""),"Unbound Academy")</f>
        <v>Unbound Academy</v>
      </c>
      <c r="M2295" s="6" t="str">
        <f>IFERROR(__xludf.DUMMYFUNCTION("""COMPUTED_VALUE"""),"")</f>
        <v/>
      </c>
      <c r="N2295" s="6" t="str">
        <f>IFERROR(__xludf.DUMMYFUNCTION("""COMPUTED_VALUE"""),"")</f>
        <v/>
      </c>
      <c r="O2295" s="87" t="str">
        <f>IFERROR(__xludf.DUMMYFUNCTION("""COMPUTED_VALUE"""),"https://drive.google.com/drive/folders/10T2cTQHqEJZqE-st6uFKPoI?usp=share_link")</f>
        <v>https://drive.google.com/drive/folders/10T2cTQHqEJZqE-st6uFKPoI?usp=share_link</v>
      </c>
      <c r="P2295" s="6" t="str">
        <f>IFERROR(__xludf.DUMMYFUNCTION("""COMPUTED_VALUE"""),"Kharizma Moore")</f>
        <v>Kharizma Moore</v>
      </c>
      <c r="Q2295" s="6" t="str">
        <f>IFERROR(__xludf.DUMMYFUNCTION("""COMPUTED_VALUE"""),"MS")</f>
        <v>MS</v>
      </c>
      <c r="R2295" s="6">
        <f>IFERROR(__xludf.DUMMYFUNCTION("""COMPUTED_VALUE"""),0.0)</f>
        <v>0</v>
      </c>
      <c r="S2295" s="6" t="str">
        <f>IFERROR(__xludf.DUMMYFUNCTION("""COMPUTED_VALUE""")," ")</f>
        <v> </v>
      </c>
      <c r="T2295" s="6" t="str">
        <f>IFERROR(__xludf.DUMMYFUNCTION("""COMPUTED_VALUE"""),"")</f>
        <v/>
      </c>
      <c r="U2295" s="6" t="str">
        <f>IFERROR(__xludf.DUMMYFUNCTION("""COMPUTED_VALUE"""),"6")</f>
        <v>6</v>
      </c>
      <c r="V2295" s="6" t="str">
        <f>IFERROR(__xludf.DUMMYFUNCTION("""COMPUTED_VALUE"""),"")</f>
        <v/>
      </c>
      <c r="W2295" s="6" t="str">
        <f>IFERROR(__xludf.DUMMYFUNCTION("""COMPUTED_VALUE"""),"[]")</f>
        <v>[]</v>
      </c>
      <c r="X2295" s="6" t="str">
        <f>IFERROR(__xludf.DUMMYFUNCTION("""COMPUTED_VALUE"""),"Enrolled")</f>
        <v>Enrolled</v>
      </c>
    </row>
    <row r="2296">
      <c r="A2296" s="6" t="str">
        <f>IFERROR(__xludf.DUMMYFUNCTION("""COMPUTED_VALUE"""),"040-10046")</f>
        <v>040-10046</v>
      </c>
      <c r="B2296" s="6" t="str">
        <f>IFERROR(__xludf.DUMMYFUNCTION("""COMPUTED_VALUE"""),"40")</f>
        <v>40</v>
      </c>
      <c r="C2296" s="6" t="str">
        <f>IFERROR(__xludf.DUMMYFUNCTION("""COMPUTED_VALUE"""),"10046")</f>
        <v>10046</v>
      </c>
      <c r="D2296" s="6" t="str">
        <f>IFERROR(__xludf.DUMMYFUNCTION("""COMPUTED_VALUE"""),"Azariah")</f>
        <v>Azariah</v>
      </c>
      <c r="E2296" s="6" t="str">
        <f>IFERROR(__xludf.DUMMYFUNCTION("""COMPUTED_VALUE"""),"")</f>
        <v/>
      </c>
      <c r="F2296" s="6" t="str">
        <f>IFERROR(__xludf.DUMMYFUNCTION("""COMPUTED_VALUE"""),"Villa")</f>
        <v>Villa</v>
      </c>
      <c r="G2296" s="6" t="str">
        <f>IFERROR(__xludf.DUMMYFUNCTION("""COMPUTED_VALUE"""),"02/12/2016")</f>
        <v>02/12/2016</v>
      </c>
      <c r="H2296" s="6" t="str">
        <f>IFERROR(__xludf.DUMMYFUNCTION("""COMPUTED_VALUE"""),"Self Identify")</f>
        <v>Self Identify</v>
      </c>
      <c r="I2296" s="6" t="str">
        <f>IFERROR(__xludf.DUMMYFUNCTION("""COMPUTED_VALUE"""),"Level 2")</f>
        <v>Level 2</v>
      </c>
      <c r="J2296" s="6" t="str">
        <f>IFERROR(__xludf.DUMMYFUNCTION("""COMPUTED_VALUE"""),"4")</f>
        <v>4</v>
      </c>
      <c r="K2296" s="6" t="str">
        <f>IFERROR(__xludf.DUMMYFUNCTION("""COMPUTED_VALUE"""),"azariah.villa@unbound.school")</f>
        <v>azariah.villa@unbound.school</v>
      </c>
      <c r="L2296" s="6" t="str">
        <f>IFERROR(__xludf.DUMMYFUNCTION("""COMPUTED_VALUE"""),"Unbound Academy")</f>
        <v>Unbound Academy</v>
      </c>
      <c r="M2296" s="6" t="str">
        <f>IFERROR(__xludf.DUMMYFUNCTION("""COMPUTED_VALUE"""),"")</f>
        <v/>
      </c>
      <c r="N2296" s="6" t="str">
        <f>IFERROR(__xludf.DUMMYFUNCTION("""COMPUTED_VALUE"""),"")</f>
        <v/>
      </c>
      <c r="O2296" s="87" t="str">
        <f>IFERROR(__xludf.DUMMYFUNCTION("""COMPUTED_VALUE"""),"https://drive.google.com/drive/folders/10T2cTQHqEJZqE-st6uFKPoI?usp=share_link")</f>
        <v>https://drive.google.com/drive/folders/10T2cTQHqEJZqE-st6uFKPoI?usp=share_link</v>
      </c>
      <c r="P2296" s="6" t="str">
        <f>IFERROR(__xludf.DUMMYFUNCTION("""COMPUTED_VALUE"""),"Azariah Villa")</f>
        <v>Azariah Villa</v>
      </c>
      <c r="Q2296" s="6" t="str">
        <f>IFERROR(__xludf.DUMMYFUNCTION("""COMPUTED_VALUE"""),"L2")</f>
        <v>L2</v>
      </c>
      <c r="R2296" s="6">
        <f>IFERROR(__xludf.DUMMYFUNCTION("""COMPUTED_VALUE"""),2.0)</f>
        <v>2</v>
      </c>
      <c r="S2296" s="6" t="str">
        <f>IFERROR(__xludf.DUMMYFUNCTION("""COMPUTED_VALUE""")," ")</f>
        <v> </v>
      </c>
      <c r="T2296" s="6" t="str">
        <f>IFERROR(__xludf.DUMMYFUNCTION("""COMPUTED_VALUE"""),"")</f>
        <v/>
      </c>
      <c r="U2296" s="6" t="str">
        <f>IFERROR(__xludf.DUMMYFUNCTION("""COMPUTED_VALUE"""),"4")</f>
        <v>4</v>
      </c>
      <c r="V2296" s="6" t="str">
        <f>IFERROR(__xludf.DUMMYFUNCTION("""COMPUTED_VALUE"""),"")</f>
        <v/>
      </c>
      <c r="W2296" s="6" t="str">
        <f>IFERROR(__xludf.DUMMYFUNCTION("""COMPUTED_VALUE"""),"[]")</f>
        <v>[]</v>
      </c>
      <c r="X2296" s="6" t="str">
        <f>IFERROR(__xludf.DUMMYFUNCTION("""COMPUTED_VALUE"""),"Enrolled")</f>
        <v>Enrolled</v>
      </c>
    </row>
    <row r="2297">
      <c r="A2297" s="6" t="str">
        <f>IFERROR(__xludf.DUMMYFUNCTION("""COMPUTED_VALUE"""),"040-10047")</f>
        <v>040-10047</v>
      </c>
      <c r="B2297" s="6" t="str">
        <f>IFERROR(__xludf.DUMMYFUNCTION("""COMPUTED_VALUE"""),"40")</f>
        <v>40</v>
      </c>
      <c r="C2297" s="6" t="str">
        <f>IFERROR(__xludf.DUMMYFUNCTION("""COMPUTED_VALUE"""),"10047")</f>
        <v>10047</v>
      </c>
      <c r="D2297" s="6" t="str">
        <f>IFERROR(__xludf.DUMMYFUNCTION("""COMPUTED_VALUE"""),"Lazarus")</f>
        <v>Lazarus</v>
      </c>
      <c r="E2297" s="6" t="str">
        <f>IFERROR(__xludf.DUMMYFUNCTION("""COMPUTED_VALUE"""),"")</f>
        <v/>
      </c>
      <c r="F2297" s="6" t="str">
        <f>IFERROR(__xludf.DUMMYFUNCTION("""COMPUTED_VALUE"""),"Villa")</f>
        <v>Villa</v>
      </c>
      <c r="G2297" s="6" t="str">
        <f>IFERROR(__xludf.DUMMYFUNCTION("""COMPUTED_VALUE"""),"01/24/2014")</f>
        <v>01/24/2014</v>
      </c>
      <c r="H2297" s="6" t="str">
        <f>IFERROR(__xludf.DUMMYFUNCTION("""COMPUTED_VALUE"""),"Self Identify")</f>
        <v>Self Identify</v>
      </c>
      <c r="I2297" s="6" t="str">
        <f>IFERROR(__xludf.DUMMYFUNCTION("""COMPUTED_VALUE"""),"Middle School")</f>
        <v>Middle School</v>
      </c>
      <c r="J2297" s="6" t="str">
        <f>IFERROR(__xludf.DUMMYFUNCTION("""COMPUTED_VALUE"""),"6")</f>
        <v>6</v>
      </c>
      <c r="K2297" s="6" t="str">
        <f>IFERROR(__xludf.DUMMYFUNCTION("""COMPUTED_VALUE"""),"lazarus.villa@unbound.school")</f>
        <v>lazarus.villa@unbound.school</v>
      </c>
      <c r="L2297" s="6" t="str">
        <f>IFERROR(__xludf.DUMMYFUNCTION("""COMPUTED_VALUE"""),"Unbound Academy")</f>
        <v>Unbound Academy</v>
      </c>
      <c r="M2297" s="6" t="str">
        <f>IFERROR(__xludf.DUMMYFUNCTION("""COMPUTED_VALUE"""),"")</f>
        <v/>
      </c>
      <c r="N2297" s="6" t="str">
        <f>IFERROR(__xludf.DUMMYFUNCTION("""COMPUTED_VALUE"""),"")</f>
        <v/>
      </c>
      <c r="O2297" s="87" t="str">
        <f>IFERROR(__xludf.DUMMYFUNCTION("""COMPUTED_VALUE"""),"https://drive.google.com/drive/folders/10T2cTQHqEJZqE-st6uFKPoI?usp=share_link")</f>
        <v>https://drive.google.com/drive/folders/10T2cTQHqEJZqE-st6uFKPoI?usp=share_link</v>
      </c>
      <c r="P2297" s="6" t="str">
        <f>IFERROR(__xludf.DUMMYFUNCTION("""COMPUTED_VALUE"""),"Lazarus Villa")</f>
        <v>Lazarus Villa</v>
      </c>
      <c r="Q2297" s="6" t="str">
        <f>IFERROR(__xludf.DUMMYFUNCTION("""COMPUTED_VALUE"""),"MS")</f>
        <v>MS</v>
      </c>
      <c r="R2297" s="6">
        <f>IFERROR(__xludf.DUMMYFUNCTION("""COMPUTED_VALUE"""),0.0)</f>
        <v>0</v>
      </c>
      <c r="S2297" s="6" t="str">
        <f>IFERROR(__xludf.DUMMYFUNCTION("""COMPUTED_VALUE""")," ")</f>
        <v> </v>
      </c>
      <c r="T2297" s="6" t="str">
        <f>IFERROR(__xludf.DUMMYFUNCTION("""COMPUTED_VALUE"""),"")</f>
        <v/>
      </c>
      <c r="U2297" s="6" t="str">
        <f>IFERROR(__xludf.DUMMYFUNCTION("""COMPUTED_VALUE"""),"6")</f>
        <v>6</v>
      </c>
      <c r="V2297" s="6" t="str">
        <f>IFERROR(__xludf.DUMMYFUNCTION("""COMPUTED_VALUE"""),"")</f>
        <v/>
      </c>
      <c r="W2297" s="6" t="str">
        <f>IFERROR(__xludf.DUMMYFUNCTION("""COMPUTED_VALUE"""),"[]")</f>
        <v>[]</v>
      </c>
      <c r="X2297" s="6" t="str">
        <f>IFERROR(__xludf.DUMMYFUNCTION("""COMPUTED_VALUE"""),"Enrolled")</f>
        <v>Enrolled</v>
      </c>
    </row>
    <row r="2298">
      <c r="A2298" s="6" t="str">
        <f>IFERROR(__xludf.DUMMYFUNCTION("""COMPUTED_VALUE"""),"040-10236")</f>
        <v>040-10236</v>
      </c>
      <c r="B2298" s="6" t="str">
        <f>IFERROR(__xludf.DUMMYFUNCTION("""COMPUTED_VALUE"""),"40")</f>
        <v>40</v>
      </c>
      <c r="C2298" s="6" t="str">
        <f>IFERROR(__xludf.DUMMYFUNCTION("""COMPUTED_VALUE"""),"10236")</f>
        <v>10236</v>
      </c>
      <c r="D2298" s="6" t="str">
        <f>IFERROR(__xludf.DUMMYFUNCTION("""COMPUTED_VALUE"""),"Esme")</f>
        <v>Esme</v>
      </c>
      <c r="E2298" s="6" t="str">
        <f>IFERROR(__xludf.DUMMYFUNCTION("""COMPUTED_VALUE"""),"")</f>
        <v/>
      </c>
      <c r="F2298" s="6" t="str">
        <f>IFERROR(__xludf.DUMMYFUNCTION("""COMPUTED_VALUE"""),"Valdez")</f>
        <v>Valdez</v>
      </c>
      <c r="G2298" s="6" t="str">
        <f>IFERROR(__xludf.DUMMYFUNCTION("""COMPUTED_VALUE"""),"08/31/2014")</f>
        <v>08/31/2014</v>
      </c>
      <c r="H2298" s="6" t="str">
        <f>IFERROR(__xludf.DUMMYFUNCTION("""COMPUTED_VALUE"""),"Self Identify")</f>
        <v>Self Identify</v>
      </c>
      <c r="I2298" s="6" t="str">
        <f>IFERROR(__xludf.DUMMYFUNCTION("""COMPUTED_VALUE"""),"Level 2")</f>
        <v>Level 2</v>
      </c>
      <c r="J2298" s="6" t="str">
        <f>IFERROR(__xludf.DUMMYFUNCTION("""COMPUTED_VALUE"""),"5")</f>
        <v>5</v>
      </c>
      <c r="K2298" s="6" t="str">
        <f>IFERROR(__xludf.DUMMYFUNCTION("""COMPUTED_VALUE"""),"esme.valdes@unbound.school")</f>
        <v>esme.valdes@unbound.school</v>
      </c>
      <c r="L2298" s="6" t="str">
        <f>IFERROR(__xludf.DUMMYFUNCTION("""COMPUTED_VALUE"""),"Unbound Academy")</f>
        <v>Unbound Academy</v>
      </c>
      <c r="M2298" s="6" t="str">
        <f>IFERROR(__xludf.DUMMYFUNCTION("""COMPUTED_VALUE"""),"")</f>
        <v/>
      </c>
      <c r="N2298" s="6" t="str">
        <f>IFERROR(__xludf.DUMMYFUNCTION("""COMPUTED_VALUE"""),"")</f>
        <v/>
      </c>
      <c r="O2298" s="87" t="str">
        <f>IFERROR(__xludf.DUMMYFUNCTION("""COMPUTED_VALUE"""),"https://drive.google.com/drive/folders/10T2cTQHqEJZqE-st6uFKPoI?usp=share_link")</f>
        <v>https://drive.google.com/drive/folders/10T2cTQHqEJZqE-st6uFKPoI?usp=share_link</v>
      </c>
      <c r="P2298" s="6" t="str">
        <f>IFERROR(__xludf.DUMMYFUNCTION("""COMPUTED_VALUE"""),"Esme Valdez")</f>
        <v>Esme Valdez</v>
      </c>
      <c r="Q2298" s="6" t="str">
        <f>IFERROR(__xludf.DUMMYFUNCTION("""COMPUTED_VALUE"""),"L2")</f>
        <v>L2</v>
      </c>
      <c r="R2298" s="6">
        <f>IFERROR(__xludf.DUMMYFUNCTION("""COMPUTED_VALUE"""),2.0)</f>
        <v>2</v>
      </c>
      <c r="S2298" s="6" t="str">
        <f>IFERROR(__xludf.DUMMYFUNCTION("""COMPUTED_VALUE""")," ")</f>
        <v> </v>
      </c>
      <c r="T2298" s="6" t="str">
        <f>IFERROR(__xludf.DUMMYFUNCTION("""COMPUTED_VALUE"""),"")</f>
        <v/>
      </c>
      <c r="U2298" s="6" t="str">
        <f>IFERROR(__xludf.DUMMYFUNCTION("""COMPUTED_VALUE"""),"5")</f>
        <v>5</v>
      </c>
      <c r="V2298" s="6" t="str">
        <f>IFERROR(__xludf.DUMMYFUNCTION("""COMPUTED_VALUE"""),"")</f>
        <v/>
      </c>
      <c r="W2298" s="6" t="str">
        <f>IFERROR(__xludf.DUMMYFUNCTION("""COMPUTED_VALUE"""),"[]")</f>
        <v>[]</v>
      </c>
      <c r="X2298" s="6" t="str">
        <f>IFERROR(__xludf.DUMMYFUNCTION("""COMPUTED_VALUE"""),"Enrolled")</f>
        <v>Enrolled</v>
      </c>
    </row>
    <row r="2299">
      <c r="A2299" s="6" t="str">
        <f>IFERROR(__xludf.DUMMYFUNCTION("""COMPUTED_VALUE"""),"040-10237")</f>
        <v>040-10237</v>
      </c>
      <c r="B2299" s="6" t="str">
        <f>IFERROR(__xludf.DUMMYFUNCTION("""COMPUTED_VALUE"""),"40")</f>
        <v>40</v>
      </c>
      <c r="C2299" s="6" t="str">
        <f>IFERROR(__xludf.DUMMYFUNCTION("""COMPUTED_VALUE"""),"10237")</f>
        <v>10237</v>
      </c>
      <c r="D2299" s="6" t="str">
        <f>IFERROR(__xludf.DUMMYFUNCTION("""COMPUTED_VALUE"""),"Emmett")</f>
        <v>Emmett</v>
      </c>
      <c r="E2299" s="6" t="str">
        <f>IFERROR(__xludf.DUMMYFUNCTION("""COMPUTED_VALUE"""),"")</f>
        <v/>
      </c>
      <c r="F2299" s="6" t="str">
        <f>IFERROR(__xludf.DUMMYFUNCTION("""COMPUTED_VALUE"""),"Valdez")</f>
        <v>Valdez</v>
      </c>
      <c r="G2299" s="6" t="str">
        <f>IFERROR(__xludf.DUMMYFUNCTION("""COMPUTED_VALUE"""),"06/08/2016")</f>
        <v>06/08/2016</v>
      </c>
      <c r="H2299" s="6" t="str">
        <f>IFERROR(__xludf.DUMMYFUNCTION("""COMPUTED_VALUE"""),"Self Identify")</f>
        <v>Self Identify</v>
      </c>
      <c r="I2299" s="6" t="str">
        <f>IFERROR(__xludf.DUMMYFUNCTION("""COMPUTED_VALUE"""),"Level 2")</f>
        <v>Level 2</v>
      </c>
      <c r="J2299" s="6" t="str">
        <f>IFERROR(__xludf.DUMMYFUNCTION("""COMPUTED_VALUE"""),"4")</f>
        <v>4</v>
      </c>
      <c r="K2299" s="6" t="str">
        <f>IFERROR(__xludf.DUMMYFUNCTION("""COMPUTED_VALUE"""),"emmett.valdez@unbound.school")</f>
        <v>emmett.valdez@unbound.school</v>
      </c>
      <c r="L2299" s="6" t="str">
        <f>IFERROR(__xludf.DUMMYFUNCTION("""COMPUTED_VALUE"""),"Unbound Academy")</f>
        <v>Unbound Academy</v>
      </c>
      <c r="M2299" s="6" t="str">
        <f>IFERROR(__xludf.DUMMYFUNCTION("""COMPUTED_VALUE"""),"")</f>
        <v/>
      </c>
      <c r="N2299" s="6" t="str">
        <f>IFERROR(__xludf.DUMMYFUNCTION("""COMPUTED_VALUE"""),"")</f>
        <v/>
      </c>
      <c r="O2299" s="87" t="str">
        <f>IFERROR(__xludf.DUMMYFUNCTION("""COMPUTED_VALUE"""),"https://drive.google.com/drive/folders/10T2cTQHqEJZqE-st6uFKPoI?usp=share_link")</f>
        <v>https://drive.google.com/drive/folders/10T2cTQHqEJZqE-st6uFKPoI?usp=share_link</v>
      </c>
      <c r="P2299" s="6" t="str">
        <f>IFERROR(__xludf.DUMMYFUNCTION("""COMPUTED_VALUE"""),"Emmett Valdez")</f>
        <v>Emmett Valdez</v>
      </c>
      <c r="Q2299" s="6" t="str">
        <f>IFERROR(__xludf.DUMMYFUNCTION("""COMPUTED_VALUE"""),"L2")</f>
        <v>L2</v>
      </c>
      <c r="R2299" s="6">
        <f>IFERROR(__xludf.DUMMYFUNCTION("""COMPUTED_VALUE"""),2.0)</f>
        <v>2</v>
      </c>
      <c r="S2299" s="6" t="str">
        <f>IFERROR(__xludf.DUMMYFUNCTION("""COMPUTED_VALUE""")," ")</f>
        <v> </v>
      </c>
      <c r="T2299" s="6" t="str">
        <f>IFERROR(__xludf.DUMMYFUNCTION("""COMPUTED_VALUE"""),"")</f>
        <v/>
      </c>
      <c r="U2299" s="6" t="str">
        <f>IFERROR(__xludf.DUMMYFUNCTION("""COMPUTED_VALUE"""),"4")</f>
        <v>4</v>
      </c>
      <c r="V2299" s="6" t="str">
        <f>IFERROR(__xludf.DUMMYFUNCTION("""COMPUTED_VALUE"""),"")</f>
        <v/>
      </c>
      <c r="W2299" s="6" t="str">
        <f>IFERROR(__xludf.DUMMYFUNCTION("""COMPUTED_VALUE"""),"[]")</f>
        <v>[]</v>
      </c>
      <c r="X2299" s="6" t="str">
        <f>IFERROR(__xludf.DUMMYFUNCTION("""COMPUTED_VALUE"""),"Enrolled")</f>
        <v>Enrolled</v>
      </c>
    </row>
    <row r="2300">
      <c r="A2300" s="6" t="str">
        <f>IFERROR(__xludf.DUMMYFUNCTION("""COMPUTED_VALUE"""),"040-10238")</f>
        <v>040-10238</v>
      </c>
      <c r="B2300" s="6" t="str">
        <f>IFERROR(__xludf.DUMMYFUNCTION("""COMPUTED_VALUE"""),"40")</f>
        <v>40</v>
      </c>
      <c r="C2300" s="6" t="str">
        <f>IFERROR(__xludf.DUMMYFUNCTION("""COMPUTED_VALUE"""),"10238")</f>
        <v>10238</v>
      </c>
      <c r="D2300" s="6" t="str">
        <f>IFERROR(__xludf.DUMMYFUNCTION("""COMPUTED_VALUE"""),"Jacob")</f>
        <v>Jacob</v>
      </c>
      <c r="E2300" s="6" t="str">
        <f>IFERROR(__xludf.DUMMYFUNCTION("""COMPUTED_VALUE"""),"")</f>
        <v/>
      </c>
      <c r="F2300" s="6" t="str">
        <f>IFERROR(__xludf.DUMMYFUNCTION("""COMPUTED_VALUE"""),"Valdez")</f>
        <v>Valdez</v>
      </c>
      <c r="G2300" s="6" t="str">
        <f>IFERROR(__xludf.DUMMYFUNCTION("""COMPUTED_VALUE"""),"11/30/2012")</f>
        <v>11/30/2012</v>
      </c>
      <c r="H2300" s="6" t="str">
        <f>IFERROR(__xludf.DUMMYFUNCTION("""COMPUTED_VALUE"""),"Self Identify")</f>
        <v>Self Identify</v>
      </c>
      <c r="I2300" s="6" t="str">
        <f>IFERROR(__xludf.DUMMYFUNCTION("""COMPUTED_VALUE"""),"Middle School")</f>
        <v>Middle School</v>
      </c>
      <c r="J2300" s="6" t="str">
        <f>IFERROR(__xludf.DUMMYFUNCTION("""COMPUTED_VALUE"""),"7")</f>
        <v>7</v>
      </c>
      <c r="K2300" s="6" t="str">
        <f>IFERROR(__xludf.DUMMYFUNCTION("""COMPUTED_VALUE"""),"jacob.valdez@unbound.school")</f>
        <v>jacob.valdez@unbound.school</v>
      </c>
      <c r="L2300" s="6" t="str">
        <f>IFERROR(__xludf.DUMMYFUNCTION("""COMPUTED_VALUE"""),"Unbound Academy")</f>
        <v>Unbound Academy</v>
      </c>
      <c r="M2300" s="6" t="str">
        <f>IFERROR(__xludf.DUMMYFUNCTION("""COMPUTED_VALUE"""),"")</f>
        <v/>
      </c>
      <c r="N2300" s="6" t="str">
        <f>IFERROR(__xludf.DUMMYFUNCTION("""COMPUTED_VALUE"""),"")</f>
        <v/>
      </c>
      <c r="O2300" s="87" t="str">
        <f>IFERROR(__xludf.DUMMYFUNCTION("""COMPUTED_VALUE"""),"https://drive.google.com/drive/folders/10T2cTQHqEJZqE-st6uFKPoI?usp=share_link")</f>
        <v>https://drive.google.com/drive/folders/10T2cTQHqEJZqE-st6uFKPoI?usp=share_link</v>
      </c>
      <c r="P2300" s="6" t="str">
        <f>IFERROR(__xludf.DUMMYFUNCTION("""COMPUTED_VALUE"""),"Jacob Valdez")</f>
        <v>Jacob Valdez</v>
      </c>
      <c r="Q2300" s="6" t="str">
        <f>IFERROR(__xludf.DUMMYFUNCTION("""COMPUTED_VALUE"""),"MS")</f>
        <v>MS</v>
      </c>
      <c r="R2300" s="6">
        <f>IFERROR(__xludf.DUMMYFUNCTION("""COMPUTED_VALUE"""),0.0)</f>
        <v>0</v>
      </c>
      <c r="S2300" s="6" t="str">
        <f>IFERROR(__xludf.DUMMYFUNCTION("""COMPUTED_VALUE""")," ")</f>
        <v> </v>
      </c>
      <c r="T2300" s="6" t="str">
        <f>IFERROR(__xludf.DUMMYFUNCTION("""COMPUTED_VALUE"""),"")</f>
        <v/>
      </c>
      <c r="U2300" s="6" t="str">
        <f>IFERROR(__xludf.DUMMYFUNCTION("""COMPUTED_VALUE"""),"7")</f>
        <v>7</v>
      </c>
      <c r="V2300" s="6" t="str">
        <f>IFERROR(__xludf.DUMMYFUNCTION("""COMPUTED_VALUE"""),"")</f>
        <v/>
      </c>
      <c r="W2300" s="6" t="str">
        <f>IFERROR(__xludf.DUMMYFUNCTION("""COMPUTED_VALUE"""),"[]")</f>
        <v>[]</v>
      </c>
      <c r="X2300" s="6" t="str">
        <f>IFERROR(__xludf.DUMMYFUNCTION("""COMPUTED_VALUE"""),"Enrolled")</f>
        <v>Enrolled</v>
      </c>
    </row>
    <row r="2301">
      <c r="A2301" s="6" t="str">
        <f>IFERROR(__xludf.DUMMYFUNCTION("""COMPUTED_VALUE"""),"040-10239")</f>
        <v>040-10239</v>
      </c>
      <c r="B2301" s="6" t="str">
        <f>IFERROR(__xludf.DUMMYFUNCTION("""COMPUTED_VALUE"""),"40")</f>
        <v>40</v>
      </c>
      <c r="C2301" s="6" t="str">
        <f>IFERROR(__xludf.DUMMYFUNCTION("""COMPUTED_VALUE"""),"10239")</f>
        <v>10239</v>
      </c>
      <c r="D2301" s="6" t="str">
        <f>IFERROR(__xludf.DUMMYFUNCTION("""COMPUTED_VALUE"""),"Liberty")</f>
        <v>Liberty</v>
      </c>
      <c r="E2301" s="6" t="str">
        <f>IFERROR(__xludf.DUMMYFUNCTION("""COMPUTED_VALUE"""),"")</f>
        <v/>
      </c>
      <c r="F2301" s="6" t="str">
        <f>IFERROR(__xludf.DUMMYFUNCTION("""COMPUTED_VALUE"""),"Garvin")</f>
        <v>Garvin</v>
      </c>
      <c r="G2301" s="6" t="str">
        <f>IFERROR(__xludf.DUMMYFUNCTION("""COMPUTED_VALUE"""),"03/13/2013")</f>
        <v>03/13/2013</v>
      </c>
      <c r="H2301" s="6" t="str">
        <f>IFERROR(__xludf.DUMMYFUNCTION("""COMPUTED_VALUE"""),"self_identify")</f>
        <v>self_identify</v>
      </c>
      <c r="I2301" s="6" t="str">
        <f>IFERROR(__xludf.DUMMYFUNCTION("""COMPUTED_VALUE"""),"Middle School")</f>
        <v>Middle School</v>
      </c>
      <c r="J2301" s="6" t="str">
        <f>IFERROR(__xludf.DUMMYFUNCTION("""COMPUTED_VALUE"""),"7")</f>
        <v>7</v>
      </c>
      <c r="K2301" s="6" t="str">
        <f>IFERROR(__xludf.DUMMYFUNCTION("""COMPUTED_VALUE"""),"liberty.garvin@unbound.school")</f>
        <v>liberty.garvin@unbound.school</v>
      </c>
      <c r="L2301" s="6" t="str">
        <f>IFERROR(__xludf.DUMMYFUNCTION("""COMPUTED_VALUE"""),"Unbound Academy")</f>
        <v>Unbound Academy</v>
      </c>
      <c r="M2301" s="6" t="str">
        <f>IFERROR(__xludf.DUMMYFUNCTION("""COMPUTED_VALUE"""),"")</f>
        <v/>
      </c>
      <c r="N2301" s="6" t="str">
        <f>IFERROR(__xludf.DUMMYFUNCTION("""COMPUTED_VALUE"""),"")</f>
        <v/>
      </c>
      <c r="O2301" s="87" t="str">
        <f>IFERROR(__xludf.DUMMYFUNCTION("""COMPUTED_VALUE"""),"https://drive.google.com/drive/folders/10T2cTQHqEJZqE-st6uFKPoI?usp=share_link")</f>
        <v>https://drive.google.com/drive/folders/10T2cTQHqEJZqE-st6uFKPoI?usp=share_link</v>
      </c>
      <c r="P2301" s="6" t="str">
        <f>IFERROR(__xludf.DUMMYFUNCTION("""COMPUTED_VALUE"""),"Liberty Garvin")</f>
        <v>Liberty Garvin</v>
      </c>
      <c r="Q2301" s="6" t="str">
        <f>IFERROR(__xludf.DUMMYFUNCTION("""COMPUTED_VALUE"""),"MS")</f>
        <v>MS</v>
      </c>
      <c r="R2301" s="6">
        <f>IFERROR(__xludf.DUMMYFUNCTION("""COMPUTED_VALUE"""),0.0)</f>
        <v>0</v>
      </c>
      <c r="S2301" s="6" t="str">
        <f>IFERROR(__xludf.DUMMYFUNCTION("""COMPUTED_VALUE""")," ")</f>
        <v> </v>
      </c>
      <c r="T2301" s="6" t="str">
        <f>IFERROR(__xludf.DUMMYFUNCTION("""COMPUTED_VALUE"""),"")</f>
        <v/>
      </c>
      <c r="U2301" s="6" t="str">
        <f>IFERROR(__xludf.DUMMYFUNCTION("""COMPUTED_VALUE"""),"7")</f>
        <v>7</v>
      </c>
      <c r="V2301" s="6" t="str">
        <f>IFERROR(__xludf.DUMMYFUNCTION("""COMPUTED_VALUE"""),"")</f>
        <v/>
      </c>
      <c r="W2301" s="6" t="str">
        <f>IFERROR(__xludf.DUMMYFUNCTION("""COMPUTED_VALUE"""),"[]")</f>
        <v>[]</v>
      </c>
      <c r="X2301" s="6" t="str">
        <f>IFERROR(__xludf.DUMMYFUNCTION("""COMPUTED_VALUE"""),"Enrolled")</f>
        <v>Enrolled</v>
      </c>
    </row>
    <row r="2302">
      <c r="A2302" s="6" t="str">
        <f>IFERROR(__xludf.DUMMYFUNCTION("""COMPUTED_VALUE"""),"040-10278")</f>
        <v>040-10278</v>
      </c>
      <c r="B2302" s="6" t="str">
        <f>IFERROR(__xludf.DUMMYFUNCTION("""COMPUTED_VALUE"""),"40")</f>
        <v>40</v>
      </c>
      <c r="C2302" s="6" t="str">
        <f>IFERROR(__xludf.DUMMYFUNCTION("""COMPUTED_VALUE"""),"10278")</f>
        <v>10278</v>
      </c>
      <c r="D2302" s="6" t="str">
        <f>IFERROR(__xludf.DUMMYFUNCTION("""COMPUTED_VALUE"""),"Elijah")</f>
        <v>Elijah</v>
      </c>
      <c r="E2302" s="6" t="str">
        <f>IFERROR(__xludf.DUMMYFUNCTION("""COMPUTED_VALUE"""),"")</f>
        <v/>
      </c>
      <c r="F2302" s="6" t="str">
        <f>IFERROR(__xludf.DUMMYFUNCTION("""COMPUTED_VALUE"""),"Love")</f>
        <v>Love</v>
      </c>
      <c r="G2302" s="6" t="str">
        <f>IFERROR(__xludf.DUMMYFUNCTION("""COMPUTED_VALUE"""),"08/30/2013")</f>
        <v>08/30/2013</v>
      </c>
      <c r="H2302" s="6" t="str">
        <f>IFERROR(__xludf.DUMMYFUNCTION("""COMPUTED_VALUE"""),"Self Identify")</f>
        <v>Self Identify</v>
      </c>
      <c r="I2302" s="6" t="str">
        <f>IFERROR(__xludf.DUMMYFUNCTION("""COMPUTED_VALUE"""),"Middle School")</f>
        <v>Middle School</v>
      </c>
      <c r="J2302" s="6" t="str">
        <f>IFERROR(__xludf.DUMMYFUNCTION("""COMPUTED_VALUE"""),"7")</f>
        <v>7</v>
      </c>
      <c r="K2302" s="6" t="str">
        <f>IFERROR(__xludf.DUMMYFUNCTION("""COMPUTED_VALUE"""),"elijah.love@unbound.school")</f>
        <v>elijah.love@unbound.school</v>
      </c>
      <c r="L2302" s="6" t="str">
        <f>IFERROR(__xludf.DUMMYFUNCTION("""COMPUTED_VALUE"""),"Unbound Academy")</f>
        <v>Unbound Academy</v>
      </c>
      <c r="M2302" s="6" t="str">
        <f>IFERROR(__xludf.DUMMYFUNCTION("""COMPUTED_VALUE"""),"")</f>
        <v/>
      </c>
      <c r="N2302" s="6" t="str">
        <f>IFERROR(__xludf.DUMMYFUNCTION("""COMPUTED_VALUE"""),"")</f>
        <v/>
      </c>
      <c r="O2302" s="87" t="str">
        <f>IFERROR(__xludf.DUMMYFUNCTION("""COMPUTED_VALUE"""),"https://drive.google.com/drive/folders/10T2cTQHqEJZqE-st6uFKPoI?usp=share_link")</f>
        <v>https://drive.google.com/drive/folders/10T2cTQHqEJZqE-st6uFKPoI?usp=share_link</v>
      </c>
      <c r="P2302" s="6" t="str">
        <f>IFERROR(__xludf.DUMMYFUNCTION("""COMPUTED_VALUE"""),"Elijah Love")</f>
        <v>Elijah Love</v>
      </c>
      <c r="Q2302" s="6" t="str">
        <f>IFERROR(__xludf.DUMMYFUNCTION("""COMPUTED_VALUE"""),"MS")</f>
        <v>MS</v>
      </c>
      <c r="R2302" s="6">
        <f>IFERROR(__xludf.DUMMYFUNCTION("""COMPUTED_VALUE"""),0.0)</f>
        <v>0</v>
      </c>
      <c r="S2302" s="6" t="str">
        <f>IFERROR(__xludf.DUMMYFUNCTION("""COMPUTED_VALUE""")," ")</f>
        <v> </v>
      </c>
      <c r="T2302" s="6" t="str">
        <f>IFERROR(__xludf.DUMMYFUNCTION("""COMPUTED_VALUE"""),"")</f>
        <v/>
      </c>
      <c r="U2302" s="6" t="str">
        <f>IFERROR(__xludf.DUMMYFUNCTION("""COMPUTED_VALUE"""),"7")</f>
        <v>7</v>
      </c>
      <c r="V2302" s="6" t="str">
        <f>IFERROR(__xludf.DUMMYFUNCTION("""COMPUTED_VALUE"""),"")</f>
        <v/>
      </c>
      <c r="W2302" s="6" t="str">
        <f>IFERROR(__xludf.DUMMYFUNCTION("""COMPUTED_VALUE"""),"[]")</f>
        <v>[]</v>
      </c>
      <c r="X2302" s="6" t="str">
        <f>IFERROR(__xludf.DUMMYFUNCTION("""COMPUTED_VALUE"""),"Enrolled")</f>
        <v>Enrolled</v>
      </c>
    </row>
    <row r="2303">
      <c r="A2303" s="6" t="str">
        <f>IFERROR(__xludf.DUMMYFUNCTION("""COMPUTED_VALUE"""),"040-10279")</f>
        <v>040-10279</v>
      </c>
      <c r="B2303" s="6" t="str">
        <f>IFERROR(__xludf.DUMMYFUNCTION("""COMPUTED_VALUE"""),"40")</f>
        <v>40</v>
      </c>
      <c r="C2303" s="6" t="str">
        <f>IFERROR(__xludf.DUMMYFUNCTION("""COMPUTED_VALUE"""),"10279")</f>
        <v>10279</v>
      </c>
      <c r="D2303" s="6" t="str">
        <f>IFERROR(__xludf.DUMMYFUNCTION("""COMPUTED_VALUE"""),"Kailer")</f>
        <v>Kailer</v>
      </c>
      <c r="E2303" s="6" t="str">
        <f>IFERROR(__xludf.DUMMYFUNCTION("""COMPUTED_VALUE"""),"")</f>
        <v/>
      </c>
      <c r="F2303" s="6" t="str">
        <f>IFERROR(__xludf.DUMMYFUNCTION("""COMPUTED_VALUE"""),"Olmstead")</f>
        <v>Olmstead</v>
      </c>
      <c r="G2303" s="6" t="str">
        <f>IFERROR(__xludf.DUMMYFUNCTION("""COMPUTED_VALUE"""),"02/17/2015")</f>
        <v>02/17/2015</v>
      </c>
      <c r="H2303" s="6" t="str">
        <f>IFERROR(__xludf.DUMMYFUNCTION("""COMPUTED_VALUE"""),"Self Identify")</f>
        <v>Self Identify</v>
      </c>
      <c r="I2303" s="6" t="str">
        <f>IFERROR(__xludf.DUMMYFUNCTION("""COMPUTED_VALUE"""),"Level 2")</f>
        <v>Level 2</v>
      </c>
      <c r="J2303" s="6" t="str">
        <f>IFERROR(__xludf.DUMMYFUNCTION("""COMPUTED_VALUE"""),"5")</f>
        <v>5</v>
      </c>
      <c r="K2303" s="6" t="str">
        <f>IFERROR(__xludf.DUMMYFUNCTION("""COMPUTED_VALUE"""),"kailer.olmstead@unbound.school")</f>
        <v>kailer.olmstead@unbound.school</v>
      </c>
      <c r="L2303" s="6" t="str">
        <f>IFERROR(__xludf.DUMMYFUNCTION("""COMPUTED_VALUE"""),"Unbound Academy")</f>
        <v>Unbound Academy</v>
      </c>
      <c r="M2303" s="6" t="str">
        <f>IFERROR(__xludf.DUMMYFUNCTION("""COMPUTED_VALUE"""),"")</f>
        <v/>
      </c>
      <c r="N2303" s="6" t="str">
        <f>IFERROR(__xludf.DUMMYFUNCTION("""COMPUTED_VALUE"""),"")</f>
        <v/>
      </c>
      <c r="O2303" s="87" t="str">
        <f>IFERROR(__xludf.DUMMYFUNCTION("""COMPUTED_VALUE"""),"https://drive.google.com/drive/folders/10T2cTQHqEJZqE-st6uFKPoI?usp=share_link")</f>
        <v>https://drive.google.com/drive/folders/10T2cTQHqEJZqE-st6uFKPoI?usp=share_link</v>
      </c>
      <c r="P2303" s="6" t="str">
        <f>IFERROR(__xludf.DUMMYFUNCTION("""COMPUTED_VALUE"""),"Kailer Olmstead")</f>
        <v>Kailer Olmstead</v>
      </c>
      <c r="Q2303" s="6" t="str">
        <f>IFERROR(__xludf.DUMMYFUNCTION("""COMPUTED_VALUE"""),"L2")</f>
        <v>L2</v>
      </c>
      <c r="R2303" s="6">
        <f>IFERROR(__xludf.DUMMYFUNCTION("""COMPUTED_VALUE"""),2.0)</f>
        <v>2</v>
      </c>
      <c r="S2303" s="6" t="str">
        <f>IFERROR(__xludf.DUMMYFUNCTION("""COMPUTED_VALUE""")," ")</f>
        <v> </v>
      </c>
      <c r="T2303" s="6" t="str">
        <f>IFERROR(__xludf.DUMMYFUNCTION("""COMPUTED_VALUE"""),"")</f>
        <v/>
      </c>
      <c r="U2303" s="6" t="str">
        <f>IFERROR(__xludf.DUMMYFUNCTION("""COMPUTED_VALUE"""),"5")</f>
        <v>5</v>
      </c>
      <c r="V2303" s="6" t="str">
        <f>IFERROR(__xludf.DUMMYFUNCTION("""COMPUTED_VALUE"""),"")</f>
        <v/>
      </c>
      <c r="W2303" s="6" t="str">
        <f>IFERROR(__xludf.DUMMYFUNCTION("""COMPUTED_VALUE"""),"[]")</f>
        <v>[]</v>
      </c>
      <c r="X2303" s="6" t="str">
        <f>IFERROR(__xludf.DUMMYFUNCTION("""COMPUTED_VALUE"""),"Enrolled")</f>
        <v>Enrolled</v>
      </c>
    </row>
    <row r="2304">
      <c r="A2304" s="6" t="str">
        <f>IFERROR(__xludf.DUMMYFUNCTION("""COMPUTED_VALUE"""),"040-10282")</f>
        <v>040-10282</v>
      </c>
      <c r="B2304" s="6" t="str">
        <f>IFERROR(__xludf.DUMMYFUNCTION("""COMPUTED_VALUE"""),"40")</f>
        <v>40</v>
      </c>
      <c r="C2304" s="6" t="str">
        <f>IFERROR(__xludf.DUMMYFUNCTION("""COMPUTED_VALUE"""),"10282")</f>
        <v>10282</v>
      </c>
      <c r="D2304" s="6" t="str">
        <f>IFERROR(__xludf.DUMMYFUNCTION("""COMPUTED_VALUE"""),"Micah")</f>
        <v>Micah</v>
      </c>
      <c r="E2304" s="6" t="str">
        <f>IFERROR(__xludf.DUMMYFUNCTION("""COMPUTED_VALUE"""),"")</f>
        <v/>
      </c>
      <c r="F2304" s="6" t="str">
        <f>IFERROR(__xludf.DUMMYFUNCTION("""COMPUTED_VALUE"""),"Valentine")</f>
        <v>Valentine</v>
      </c>
      <c r="G2304" s="6" t="str">
        <f>IFERROR(__xludf.DUMMYFUNCTION("""COMPUTED_VALUE"""),"12/12/2014")</f>
        <v>12/12/2014</v>
      </c>
      <c r="H2304" s="6" t="str">
        <f>IFERROR(__xludf.DUMMYFUNCTION("""COMPUTED_VALUE"""),"Self Identify")</f>
        <v>Self Identify</v>
      </c>
      <c r="I2304" s="6" t="str">
        <f>IFERROR(__xludf.DUMMYFUNCTION("""COMPUTED_VALUE"""),"Level 2")</f>
        <v>Level 2</v>
      </c>
      <c r="J2304" s="6" t="str">
        <f>IFERROR(__xludf.DUMMYFUNCTION("""COMPUTED_VALUE"""),"5")</f>
        <v>5</v>
      </c>
      <c r="K2304" s="6" t="str">
        <f>IFERROR(__xludf.DUMMYFUNCTION("""COMPUTED_VALUE"""),"micah.valentine@unbound.school")</f>
        <v>micah.valentine@unbound.school</v>
      </c>
      <c r="L2304" s="6" t="str">
        <f>IFERROR(__xludf.DUMMYFUNCTION("""COMPUTED_VALUE"""),"Unbound Academy")</f>
        <v>Unbound Academy</v>
      </c>
      <c r="M2304" s="6" t="str">
        <f>IFERROR(__xludf.DUMMYFUNCTION("""COMPUTED_VALUE"""),"")</f>
        <v/>
      </c>
      <c r="N2304" s="6" t="str">
        <f>IFERROR(__xludf.DUMMYFUNCTION("""COMPUTED_VALUE"""),"")</f>
        <v/>
      </c>
      <c r="O2304" s="87" t="str">
        <f>IFERROR(__xludf.DUMMYFUNCTION("""COMPUTED_VALUE"""),"https://drive.google.com/drive/folders/10T2cTQHqEJZqE-st6uFKPoI?usp=share_link")</f>
        <v>https://drive.google.com/drive/folders/10T2cTQHqEJZqE-st6uFKPoI?usp=share_link</v>
      </c>
      <c r="P2304" s="6" t="str">
        <f>IFERROR(__xludf.DUMMYFUNCTION("""COMPUTED_VALUE"""),"Micah Valentine")</f>
        <v>Micah Valentine</v>
      </c>
      <c r="Q2304" s="6" t="str">
        <f>IFERROR(__xludf.DUMMYFUNCTION("""COMPUTED_VALUE"""),"L2")</f>
        <v>L2</v>
      </c>
      <c r="R2304" s="6">
        <f>IFERROR(__xludf.DUMMYFUNCTION("""COMPUTED_VALUE"""),2.0)</f>
        <v>2</v>
      </c>
      <c r="S2304" s="6" t="str">
        <f>IFERROR(__xludf.DUMMYFUNCTION("""COMPUTED_VALUE""")," ")</f>
        <v> </v>
      </c>
      <c r="T2304" s="6" t="str">
        <f>IFERROR(__xludf.DUMMYFUNCTION("""COMPUTED_VALUE"""),"")</f>
        <v/>
      </c>
      <c r="U2304" s="6" t="str">
        <f>IFERROR(__xludf.DUMMYFUNCTION("""COMPUTED_VALUE"""),"5")</f>
        <v>5</v>
      </c>
      <c r="V2304" s="6" t="str">
        <f>IFERROR(__xludf.DUMMYFUNCTION("""COMPUTED_VALUE"""),"")</f>
        <v/>
      </c>
      <c r="W2304" s="6" t="str">
        <f>IFERROR(__xludf.DUMMYFUNCTION("""COMPUTED_VALUE"""),"[]")</f>
        <v>[]</v>
      </c>
      <c r="X2304" s="6" t="str">
        <f>IFERROR(__xludf.DUMMYFUNCTION("""COMPUTED_VALUE"""),"Enrolled")</f>
        <v>Enrolled</v>
      </c>
    </row>
    <row r="2305">
      <c r="A2305" s="6" t="str">
        <f>IFERROR(__xludf.DUMMYFUNCTION("""COMPUTED_VALUE"""),"040-10288")</f>
        <v>040-10288</v>
      </c>
      <c r="B2305" s="6" t="str">
        <f>IFERROR(__xludf.DUMMYFUNCTION("""COMPUTED_VALUE"""),"40")</f>
        <v>40</v>
      </c>
      <c r="C2305" s="6" t="str">
        <f>IFERROR(__xludf.DUMMYFUNCTION("""COMPUTED_VALUE"""),"10288")</f>
        <v>10288</v>
      </c>
      <c r="D2305" s="6" t="str">
        <f>IFERROR(__xludf.DUMMYFUNCTION("""COMPUTED_VALUE"""),"Genevieve")</f>
        <v>Genevieve</v>
      </c>
      <c r="E2305" s="6" t="str">
        <f>IFERROR(__xludf.DUMMYFUNCTION("""COMPUTED_VALUE"""),"")</f>
        <v/>
      </c>
      <c r="F2305" s="6" t="str">
        <f>IFERROR(__xludf.DUMMYFUNCTION("""COMPUTED_VALUE"""),"Taylor")</f>
        <v>Taylor</v>
      </c>
      <c r="G2305" s="6" t="str">
        <f>IFERROR(__xludf.DUMMYFUNCTION("""COMPUTED_VALUE"""),"10/07/2013")</f>
        <v>10/07/2013</v>
      </c>
      <c r="H2305" s="6" t="str">
        <f>IFERROR(__xludf.DUMMYFUNCTION("""COMPUTED_VALUE"""),"Self Identify")</f>
        <v>Self Identify</v>
      </c>
      <c r="I2305" s="6" t="str">
        <f>IFERROR(__xludf.DUMMYFUNCTION("""COMPUTED_VALUE"""),"Middle School")</f>
        <v>Middle School</v>
      </c>
      <c r="J2305" s="6" t="str">
        <f>IFERROR(__xludf.DUMMYFUNCTION("""COMPUTED_VALUE"""),"6")</f>
        <v>6</v>
      </c>
      <c r="K2305" s="6" t="str">
        <f>IFERROR(__xludf.DUMMYFUNCTION("""COMPUTED_VALUE"""),"genevieve.taylor@unbound.school")</f>
        <v>genevieve.taylor@unbound.school</v>
      </c>
      <c r="L2305" s="6" t="str">
        <f>IFERROR(__xludf.DUMMYFUNCTION("""COMPUTED_VALUE"""),"Unbound Academy")</f>
        <v>Unbound Academy</v>
      </c>
      <c r="M2305" s="6" t="str">
        <f>IFERROR(__xludf.DUMMYFUNCTION("""COMPUTED_VALUE"""),"")</f>
        <v/>
      </c>
      <c r="N2305" s="6" t="str">
        <f>IFERROR(__xludf.DUMMYFUNCTION("""COMPUTED_VALUE"""),"")</f>
        <v/>
      </c>
      <c r="O2305" s="87" t="str">
        <f>IFERROR(__xludf.DUMMYFUNCTION("""COMPUTED_VALUE"""),"https://drive.google.com/drive/folders/10T2cTQHqEJZqE-st6uFKPoI?usp=share_link")</f>
        <v>https://drive.google.com/drive/folders/10T2cTQHqEJZqE-st6uFKPoI?usp=share_link</v>
      </c>
      <c r="P2305" s="6" t="str">
        <f>IFERROR(__xludf.DUMMYFUNCTION("""COMPUTED_VALUE"""),"Genevieve Taylor")</f>
        <v>Genevieve Taylor</v>
      </c>
      <c r="Q2305" s="6" t="str">
        <f>IFERROR(__xludf.DUMMYFUNCTION("""COMPUTED_VALUE"""),"MS")</f>
        <v>MS</v>
      </c>
      <c r="R2305" s="6">
        <f>IFERROR(__xludf.DUMMYFUNCTION("""COMPUTED_VALUE"""),0.0)</f>
        <v>0</v>
      </c>
      <c r="S2305" s="6" t="str">
        <f>IFERROR(__xludf.DUMMYFUNCTION("""COMPUTED_VALUE""")," ")</f>
        <v> </v>
      </c>
      <c r="T2305" s="6" t="str">
        <f>IFERROR(__xludf.DUMMYFUNCTION("""COMPUTED_VALUE"""),"")</f>
        <v/>
      </c>
      <c r="U2305" s="6" t="str">
        <f>IFERROR(__xludf.DUMMYFUNCTION("""COMPUTED_VALUE"""),"6")</f>
        <v>6</v>
      </c>
      <c r="V2305" s="6" t="str">
        <f>IFERROR(__xludf.DUMMYFUNCTION("""COMPUTED_VALUE"""),"")</f>
        <v/>
      </c>
      <c r="W2305" s="6" t="str">
        <f>IFERROR(__xludf.DUMMYFUNCTION("""COMPUTED_VALUE"""),"[]")</f>
        <v>[]</v>
      </c>
      <c r="X2305" s="6" t="str">
        <f>IFERROR(__xludf.DUMMYFUNCTION("""COMPUTED_VALUE"""),"Enrolled")</f>
        <v>Enrolled</v>
      </c>
    </row>
    <row r="2306">
      <c r="A2306" s="6" t="str">
        <f>IFERROR(__xludf.DUMMYFUNCTION("""COMPUTED_VALUE"""),"040-10319")</f>
        <v>040-10319</v>
      </c>
      <c r="B2306" s="6" t="str">
        <f>IFERROR(__xludf.DUMMYFUNCTION("""COMPUTED_VALUE"""),"40")</f>
        <v>40</v>
      </c>
      <c r="C2306" s="6" t="str">
        <f>IFERROR(__xludf.DUMMYFUNCTION("""COMPUTED_VALUE"""),"10319")</f>
        <v>10319</v>
      </c>
      <c r="D2306" s="6" t="str">
        <f>IFERROR(__xludf.DUMMYFUNCTION("""COMPUTED_VALUE"""),"Mateo")</f>
        <v>Mateo</v>
      </c>
      <c r="E2306" s="6" t="str">
        <f>IFERROR(__xludf.DUMMYFUNCTION("""COMPUTED_VALUE"""),"")</f>
        <v/>
      </c>
      <c r="F2306" s="6" t="str">
        <f>IFERROR(__xludf.DUMMYFUNCTION("""COMPUTED_VALUE"""),"Carrillo")</f>
        <v>Carrillo</v>
      </c>
      <c r="G2306" s="6" t="str">
        <f>IFERROR(__xludf.DUMMYFUNCTION("""COMPUTED_VALUE"""),"09/10/2012")</f>
        <v>09/10/2012</v>
      </c>
      <c r="H2306" s="6" t="str">
        <f>IFERROR(__xludf.DUMMYFUNCTION("""COMPUTED_VALUE"""),"Self Identify")</f>
        <v>Self Identify</v>
      </c>
      <c r="I2306" s="6" t="str">
        <f>IFERROR(__xludf.DUMMYFUNCTION("""COMPUTED_VALUE"""),"Middle School")</f>
        <v>Middle School</v>
      </c>
      <c r="J2306" s="6" t="str">
        <f>IFERROR(__xludf.DUMMYFUNCTION("""COMPUTED_VALUE"""),"7")</f>
        <v>7</v>
      </c>
      <c r="K2306" s="6" t="str">
        <f>IFERROR(__xludf.DUMMYFUNCTION("""COMPUTED_VALUE"""),"mateo.carrillo@unbound.school")</f>
        <v>mateo.carrillo@unbound.school</v>
      </c>
      <c r="L2306" s="6" t="str">
        <f>IFERROR(__xludf.DUMMYFUNCTION("""COMPUTED_VALUE"""),"Unbound Academy")</f>
        <v>Unbound Academy</v>
      </c>
      <c r="M2306" s="6" t="str">
        <f>IFERROR(__xludf.DUMMYFUNCTION("""COMPUTED_VALUE"""),"")</f>
        <v/>
      </c>
      <c r="N2306" s="6" t="str">
        <f>IFERROR(__xludf.DUMMYFUNCTION("""COMPUTED_VALUE"""),"")</f>
        <v/>
      </c>
      <c r="O2306" s="87" t="str">
        <f>IFERROR(__xludf.DUMMYFUNCTION("""COMPUTED_VALUE"""),"https://drive.google.com/drive/folders/10T2cTQHqEJZqE-st6uFKPoI?usp=share_link")</f>
        <v>https://drive.google.com/drive/folders/10T2cTQHqEJZqE-st6uFKPoI?usp=share_link</v>
      </c>
      <c r="P2306" s="6" t="str">
        <f>IFERROR(__xludf.DUMMYFUNCTION("""COMPUTED_VALUE"""),"Mateo Carrillo")</f>
        <v>Mateo Carrillo</v>
      </c>
      <c r="Q2306" s="6" t="str">
        <f>IFERROR(__xludf.DUMMYFUNCTION("""COMPUTED_VALUE"""),"MS")</f>
        <v>MS</v>
      </c>
      <c r="R2306" s="6">
        <f>IFERROR(__xludf.DUMMYFUNCTION("""COMPUTED_VALUE"""),0.0)</f>
        <v>0</v>
      </c>
      <c r="S2306" s="6" t="str">
        <f>IFERROR(__xludf.DUMMYFUNCTION("""COMPUTED_VALUE""")," ")</f>
        <v> </v>
      </c>
      <c r="T2306" s="6" t="str">
        <f>IFERROR(__xludf.DUMMYFUNCTION("""COMPUTED_VALUE"""),"")</f>
        <v/>
      </c>
      <c r="U2306" s="6" t="str">
        <f>IFERROR(__xludf.DUMMYFUNCTION("""COMPUTED_VALUE"""),"7")</f>
        <v>7</v>
      </c>
      <c r="V2306" s="6" t="str">
        <f>IFERROR(__xludf.DUMMYFUNCTION("""COMPUTED_VALUE"""),"")</f>
        <v/>
      </c>
      <c r="W2306" s="6" t="str">
        <f>IFERROR(__xludf.DUMMYFUNCTION("""COMPUTED_VALUE"""),"[]")</f>
        <v>[]</v>
      </c>
      <c r="X2306" s="6" t="str">
        <f>IFERROR(__xludf.DUMMYFUNCTION("""COMPUTED_VALUE"""),"Enrolled")</f>
        <v>Enrolled</v>
      </c>
    </row>
    <row r="2307">
      <c r="A2307" s="6" t="str">
        <f>IFERROR(__xludf.DUMMYFUNCTION("""COMPUTED_VALUE"""),"040-10370")</f>
        <v>040-10370</v>
      </c>
      <c r="B2307" s="6" t="str">
        <f>IFERROR(__xludf.DUMMYFUNCTION("""COMPUTED_VALUE"""),"40")</f>
        <v>40</v>
      </c>
      <c r="C2307" s="6" t="str">
        <f>IFERROR(__xludf.DUMMYFUNCTION("""COMPUTED_VALUE"""),"10370")</f>
        <v>10370</v>
      </c>
      <c r="D2307" s="6" t="str">
        <f>IFERROR(__xludf.DUMMYFUNCTION("""COMPUTED_VALUE"""),"Alejandro")</f>
        <v>Alejandro</v>
      </c>
      <c r="E2307" s="6" t="str">
        <f>IFERROR(__xludf.DUMMYFUNCTION("""COMPUTED_VALUE"""),"")</f>
        <v/>
      </c>
      <c r="F2307" s="6" t="str">
        <f>IFERROR(__xludf.DUMMYFUNCTION("""COMPUTED_VALUE"""),"Garcia")</f>
        <v>Garcia</v>
      </c>
      <c r="G2307" s="6" t="str">
        <f>IFERROR(__xludf.DUMMYFUNCTION("""COMPUTED_VALUE"""),"11/04/2015")</f>
        <v>11/04/2015</v>
      </c>
      <c r="H2307" s="6" t="str">
        <f>IFERROR(__xludf.DUMMYFUNCTION("""COMPUTED_VALUE"""),"Self Identify")</f>
        <v>Self Identify</v>
      </c>
      <c r="I2307" s="6" t="str">
        <f>IFERROR(__xludf.DUMMYFUNCTION("""COMPUTED_VALUE"""),"Level 2")</f>
        <v>Level 2</v>
      </c>
      <c r="J2307" s="6" t="str">
        <f>IFERROR(__xludf.DUMMYFUNCTION("""COMPUTED_VALUE"""),"4")</f>
        <v>4</v>
      </c>
      <c r="K2307" s="6" t="str">
        <f>IFERROR(__xludf.DUMMYFUNCTION("""COMPUTED_VALUE"""),"alejandro.garcia@unbound.school")</f>
        <v>alejandro.garcia@unbound.school</v>
      </c>
      <c r="L2307" s="6" t="str">
        <f>IFERROR(__xludf.DUMMYFUNCTION("""COMPUTED_VALUE"""),"Unbound Academy")</f>
        <v>Unbound Academy</v>
      </c>
      <c r="M2307" s="6" t="str">
        <f>IFERROR(__xludf.DUMMYFUNCTION("""COMPUTED_VALUE"""),"")</f>
        <v/>
      </c>
      <c r="N2307" s="6" t="str">
        <f>IFERROR(__xludf.DUMMYFUNCTION("""COMPUTED_VALUE"""),"")</f>
        <v/>
      </c>
      <c r="O2307" s="87" t="str">
        <f>IFERROR(__xludf.DUMMYFUNCTION("""COMPUTED_VALUE"""),"https://drive.google.com/drive/folders/10T2cTQHqEJZqE-st6uFKPoI?usp=share_link")</f>
        <v>https://drive.google.com/drive/folders/10T2cTQHqEJZqE-st6uFKPoI?usp=share_link</v>
      </c>
      <c r="P2307" s="6" t="str">
        <f>IFERROR(__xludf.DUMMYFUNCTION("""COMPUTED_VALUE"""),"Alejandro Garcia")</f>
        <v>Alejandro Garcia</v>
      </c>
      <c r="Q2307" s="6" t="str">
        <f>IFERROR(__xludf.DUMMYFUNCTION("""COMPUTED_VALUE"""),"L2")</f>
        <v>L2</v>
      </c>
      <c r="R2307" s="6">
        <f>IFERROR(__xludf.DUMMYFUNCTION("""COMPUTED_VALUE"""),2.0)</f>
        <v>2</v>
      </c>
      <c r="S2307" s="6" t="str">
        <f>IFERROR(__xludf.DUMMYFUNCTION("""COMPUTED_VALUE""")," ")</f>
        <v> </v>
      </c>
      <c r="T2307" s="6" t="str">
        <f>IFERROR(__xludf.DUMMYFUNCTION("""COMPUTED_VALUE"""),"")</f>
        <v/>
      </c>
      <c r="U2307" s="6" t="str">
        <f>IFERROR(__xludf.DUMMYFUNCTION("""COMPUTED_VALUE"""),"4")</f>
        <v>4</v>
      </c>
      <c r="V2307" s="6" t="str">
        <f>IFERROR(__xludf.DUMMYFUNCTION("""COMPUTED_VALUE"""),"")</f>
        <v/>
      </c>
      <c r="W2307" s="6" t="str">
        <f>IFERROR(__xludf.DUMMYFUNCTION("""COMPUTED_VALUE"""),"[]")</f>
        <v>[]</v>
      </c>
      <c r="X2307" s="6" t="str">
        <f>IFERROR(__xludf.DUMMYFUNCTION("""COMPUTED_VALUE"""),"Enrolled")</f>
        <v>Enrolled</v>
      </c>
    </row>
    <row r="2308">
      <c r="A2308" s="6" t="str">
        <f>IFERROR(__xludf.DUMMYFUNCTION("""COMPUTED_VALUE"""),"040-10390")</f>
        <v>040-10390</v>
      </c>
      <c r="B2308" s="6" t="str">
        <f>IFERROR(__xludf.DUMMYFUNCTION("""COMPUTED_VALUE"""),"40")</f>
        <v>40</v>
      </c>
      <c r="C2308" s="6" t="str">
        <f>IFERROR(__xludf.DUMMYFUNCTION("""COMPUTED_VALUE"""),"10390")</f>
        <v>10390</v>
      </c>
      <c r="D2308" s="6" t="str">
        <f>IFERROR(__xludf.DUMMYFUNCTION("""COMPUTED_VALUE"""),"John")</f>
        <v>John</v>
      </c>
      <c r="E2308" s="6" t="str">
        <f>IFERROR(__xludf.DUMMYFUNCTION("""COMPUTED_VALUE"""),"")</f>
        <v/>
      </c>
      <c r="F2308" s="6" t="str">
        <f>IFERROR(__xludf.DUMMYFUNCTION("""COMPUTED_VALUE"""),"Mead")</f>
        <v>Mead</v>
      </c>
      <c r="G2308" s="6" t="str">
        <f>IFERROR(__xludf.DUMMYFUNCTION("""COMPUTED_VALUE"""),"12/06/2024")</f>
        <v>12/06/2024</v>
      </c>
      <c r="H2308" s="6" t="str">
        <f>IFERROR(__xludf.DUMMYFUNCTION("""COMPUTED_VALUE"""),"Self Identify")</f>
        <v>Self Identify</v>
      </c>
      <c r="I2308" s="6" t="str">
        <f>IFERROR(__xludf.DUMMYFUNCTION("""COMPUTED_VALUE"""),"Level 2")</f>
        <v>Level 2</v>
      </c>
      <c r="J2308" s="6" t="str">
        <f>IFERROR(__xludf.DUMMYFUNCTION("""COMPUTED_VALUE"""),"5")</f>
        <v>5</v>
      </c>
      <c r="K2308" s="6" t="str">
        <f>IFERROR(__xludf.DUMMYFUNCTION("""COMPUTED_VALUE"""),"john.mead@unbound.school")</f>
        <v>john.mead@unbound.school</v>
      </c>
      <c r="L2308" s="6" t="str">
        <f>IFERROR(__xludf.DUMMYFUNCTION("""COMPUTED_VALUE"""),"Unbound Academy")</f>
        <v>Unbound Academy</v>
      </c>
      <c r="M2308" s="6" t="str">
        <f>IFERROR(__xludf.DUMMYFUNCTION("""COMPUTED_VALUE"""),"")</f>
        <v/>
      </c>
      <c r="N2308" s="6" t="str">
        <f>IFERROR(__xludf.DUMMYFUNCTION("""COMPUTED_VALUE"""),"")</f>
        <v/>
      </c>
      <c r="O2308" s="87" t="str">
        <f>IFERROR(__xludf.DUMMYFUNCTION("""COMPUTED_VALUE"""),"https://drive.google.com/drive/folders/10T2cTQHqEJZqE-st6uFKPoI?usp=share_link")</f>
        <v>https://drive.google.com/drive/folders/10T2cTQHqEJZqE-st6uFKPoI?usp=share_link</v>
      </c>
      <c r="P2308" s="6" t="str">
        <f>IFERROR(__xludf.DUMMYFUNCTION("""COMPUTED_VALUE"""),"John Mead")</f>
        <v>John Mead</v>
      </c>
      <c r="Q2308" s="6" t="str">
        <f>IFERROR(__xludf.DUMMYFUNCTION("""COMPUTED_VALUE"""),"L2")</f>
        <v>L2</v>
      </c>
      <c r="R2308" s="6">
        <f>IFERROR(__xludf.DUMMYFUNCTION("""COMPUTED_VALUE"""),2.0)</f>
        <v>2</v>
      </c>
      <c r="S2308" s="6" t="str">
        <f>IFERROR(__xludf.DUMMYFUNCTION("""COMPUTED_VALUE""")," ")</f>
        <v> </v>
      </c>
      <c r="T2308" s="6" t="str">
        <f>IFERROR(__xludf.DUMMYFUNCTION("""COMPUTED_VALUE"""),"")</f>
        <v/>
      </c>
      <c r="U2308" s="6" t="str">
        <f>IFERROR(__xludf.DUMMYFUNCTION("""COMPUTED_VALUE"""),"5")</f>
        <v>5</v>
      </c>
      <c r="V2308" s="6" t="str">
        <f>IFERROR(__xludf.DUMMYFUNCTION("""COMPUTED_VALUE"""),"")</f>
        <v/>
      </c>
      <c r="W2308" s="6" t="str">
        <f>IFERROR(__xludf.DUMMYFUNCTION("""COMPUTED_VALUE"""),"[]")</f>
        <v>[]</v>
      </c>
      <c r="X2308" s="6" t="str">
        <f>IFERROR(__xludf.DUMMYFUNCTION("""COMPUTED_VALUE"""),"Enrolled")</f>
        <v>Enrolled</v>
      </c>
    </row>
    <row r="2309">
      <c r="A2309" s="6" t="str">
        <f>IFERROR(__xludf.DUMMYFUNCTION("""COMPUTED_VALUE"""),"040-10405")</f>
        <v>040-10405</v>
      </c>
      <c r="B2309" s="6" t="str">
        <f>IFERROR(__xludf.DUMMYFUNCTION("""COMPUTED_VALUE"""),"40")</f>
        <v>40</v>
      </c>
      <c r="C2309" s="6" t="str">
        <f>IFERROR(__xludf.DUMMYFUNCTION("""COMPUTED_VALUE"""),"10405")</f>
        <v>10405</v>
      </c>
      <c r="D2309" s="6" t="str">
        <f>IFERROR(__xludf.DUMMYFUNCTION("""COMPUTED_VALUE"""),"Calogero")</f>
        <v>Calogero</v>
      </c>
      <c r="E2309" s="6" t="str">
        <f>IFERROR(__xludf.DUMMYFUNCTION("""COMPUTED_VALUE"""),"")</f>
        <v/>
      </c>
      <c r="F2309" s="6" t="str">
        <f>IFERROR(__xludf.DUMMYFUNCTION("""COMPUTED_VALUE"""),"DeAlejandro")</f>
        <v>DeAlejandro</v>
      </c>
      <c r="G2309" s="6" t="str">
        <f>IFERROR(__xludf.DUMMYFUNCTION("""COMPUTED_VALUE"""),"07/14/2015")</f>
        <v>07/14/2015</v>
      </c>
      <c r="H2309" s="6" t="str">
        <f>IFERROR(__xludf.DUMMYFUNCTION("""COMPUTED_VALUE"""),"Self Identify")</f>
        <v>Self Identify</v>
      </c>
      <c r="I2309" s="6" t="str">
        <f>IFERROR(__xludf.DUMMYFUNCTION("""COMPUTED_VALUE"""),"Level 2")</f>
        <v>Level 2</v>
      </c>
      <c r="J2309" s="6" t="str">
        <f>IFERROR(__xludf.DUMMYFUNCTION("""COMPUTED_VALUE"""),"5")</f>
        <v>5</v>
      </c>
      <c r="K2309" s="6" t="str">
        <f>IFERROR(__xludf.DUMMYFUNCTION("""COMPUTED_VALUE"""),"calogero.dealejandro@unbound.school")</f>
        <v>calogero.dealejandro@unbound.school</v>
      </c>
      <c r="L2309" s="6" t="str">
        <f>IFERROR(__xludf.DUMMYFUNCTION("""COMPUTED_VALUE"""),"Unbound Academy")</f>
        <v>Unbound Academy</v>
      </c>
      <c r="M2309" s="6" t="str">
        <f>IFERROR(__xludf.DUMMYFUNCTION("""COMPUTED_VALUE"""),"")</f>
        <v/>
      </c>
      <c r="N2309" s="6" t="str">
        <f>IFERROR(__xludf.DUMMYFUNCTION("""COMPUTED_VALUE"""),"")</f>
        <v/>
      </c>
      <c r="O2309" s="87" t="str">
        <f>IFERROR(__xludf.DUMMYFUNCTION("""COMPUTED_VALUE"""),"https://drive.google.com/drive/folders/10T2cTQHqEJZqE-st6uFKPoI?usp=share_link")</f>
        <v>https://drive.google.com/drive/folders/10T2cTQHqEJZqE-st6uFKPoI?usp=share_link</v>
      </c>
      <c r="P2309" s="6" t="str">
        <f>IFERROR(__xludf.DUMMYFUNCTION("""COMPUTED_VALUE"""),"Calogero DeAlejandro")</f>
        <v>Calogero DeAlejandro</v>
      </c>
      <c r="Q2309" s="6" t="str">
        <f>IFERROR(__xludf.DUMMYFUNCTION("""COMPUTED_VALUE"""),"L2")</f>
        <v>L2</v>
      </c>
      <c r="R2309" s="6">
        <f>IFERROR(__xludf.DUMMYFUNCTION("""COMPUTED_VALUE"""),2.0)</f>
        <v>2</v>
      </c>
      <c r="S2309" s="6" t="str">
        <f>IFERROR(__xludf.DUMMYFUNCTION("""COMPUTED_VALUE""")," ")</f>
        <v> </v>
      </c>
      <c r="T2309" s="6" t="str">
        <f>IFERROR(__xludf.DUMMYFUNCTION("""COMPUTED_VALUE"""),"")</f>
        <v/>
      </c>
      <c r="U2309" s="6" t="str">
        <f>IFERROR(__xludf.DUMMYFUNCTION("""COMPUTED_VALUE"""),"5")</f>
        <v>5</v>
      </c>
      <c r="V2309" s="6" t="str">
        <f>IFERROR(__xludf.DUMMYFUNCTION("""COMPUTED_VALUE"""),"")</f>
        <v/>
      </c>
      <c r="W2309" s="6" t="str">
        <f>IFERROR(__xludf.DUMMYFUNCTION("""COMPUTED_VALUE"""),"[]")</f>
        <v>[]</v>
      </c>
      <c r="X2309" s="6" t="str">
        <f>IFERROR(__xludf.DUMMYFUNCTION("""COMPUTED_VALUE"""),"Enrolled")</f>
        <v>Enrolled</v>
      </c>
    </row>
    <row r="2310">
      <c r="A2310" s="6" t="str">
        <f>IFERROR(__xludf.DUMMYFUNCTION("""COMPUTED_VALUE"""),"040-10437")</f>
        <v>040-10437</v>
      </c>
      <c r="B2310" s="6" t="str">
        <f>IFERROR(__xludf.DUMMYFUNCTION("""COMPUTED_VALUE"""),"40")</f>
        <v>40</v>
      </c>
      <c r="C2310" s="6" t="str">
        <f>IFERROR(__xludf.DUMMYFUNCTION("""COMPUTED_VALUE"""),"10437")</f>
        <v>10437</v>
      </c>
      <c r="D2310" s="6" t="str">
        <f>IFERROR(__xludf.DUMMYFUNCTION("""COMPUTED_VALUE"""),"Angel")</f>
        <v>Angel</v>
      </c>
      <c r="E2310" s="6" t="str">
        <f>IFERROR(__xludf.DUMMYFUNCTION("""COMPUTED_VALUE"""),"")</f>
        <v/>
      </c>
      <c r="F2310" s="6" t="str">
        <f>IFERROR(__xludf.DUMMYFUNCTION("""COMPUTED_VALUE"""),"Mendivil")</f>
        <v>Mendivil</v>
      </c>
      <c r="G2310" s="6" t="str">
        <f>IFERROR(__xludf.DUMMYFUNCTION("""COMPUTED_VALUE"""),"08/27/2014")</f>
        <v>08/27/2014</v>
      </c>
      <c r="H2310" s="6" t="str">
        <f>IFERROR(__xludf.DUMMYFUNCTION("""COMPUTED_VALUE"""),"Self Identify")</f>
        <v>Self Identify</v>
      </c>
      <c r="I2310" s="6" t="str">
        <f>IFERROR(__xludf.DUMMYFUNCTION("""COMPUTED_VALUE"""),"Level 2")</f>
        <v>Level 2</v>
      </c>
      <c r="J2310" s="6" t="str">
        <f>IFERROR(__xludf.DUMMYFUNCTION("""COMPUTED_VALUE"""),"5")</f>
        <v>5</v>
      </c>
      <c r="K2310" s="6" t="str">
        <f>IFERROR(__xludf.DUMMYFUNCTION("""COMPUTED_VALUE"""),"angel.mendivil@unbound.school")</f>
        <v>angel.mendivil@unbound.school</v>
      </c>
      <c r="L2310" s="6" t="str">
        <f>IFERROR(__xludf.DUMMYFUNCTION("""COMPUTED_VALUE"""),"Unbound Academy")</f>
        <v>Unbound Academy</v>
      </c>
      <c r="M2310" s="6" t="str">
        <f>IFERROR(__xludf.DUMMYFUNCTION("""COMPUTED_VALUE"""),"")</f>
        <v/>
      </c>
      <c r="N2310" s="6" t="str">
        <f>IFERROR(__xludf.DUMMYFUNCTION("""COMPUTED_VALUE"""),"")</f>
        <v/>
      </c>
      <c r="O2310" s="87" t="str">
        <f>IFERROR(__xludf.DUMMYFUNCTION("""COMPUTED_VALUE"""),"https://drive.google.com/drive/folders/10T2cTQHqEJZqE-st6uFKPoI?usp=share_link")</f>
        <v>https://drive.google.com/drive/folders/10T2cTQHqEJZqE-st6uFKPoI?usp=share_link</v>
      </c>
      <c r="P2310" s="6" t="str">
        <f>IFERROR(__xludf.DUMMYFUNCTION("""COMPUTED_VALUE"""),"Angel Mendivil")</f>
        <v>Angel Mendivil</v>
      </c>
      <c r="Q2310" s="6" t="str">
        <f>IFERROR(__xludf.DUMMYFUNCTION("""COMPUTED_VALUE"""),"L2")</f>
        <v>L2</v>
      </c>
      <c r="R2310" s="6">
        <f>IFERROR(__xludf.DUMMYFUNCTION("""COMPUTED_VALUE"""),2.0)</f>
        <v>2</v>
      </c>
      <c r="S2310" s="6" t="str">
        <f>IFERROR(__xludf.DUMMYFUNCTION("""COMPUTED_VALUE""")," ")</f>
        <v> </v>
      </c>
      <c r="T2310" s="6" t="str">
        <f>IFERROR(__xludf.DUMMYFUNCTION("""COMPUTED_VALUE"""),"")</f>
        <v/>
      </c>
      <c r="U2310" s="6" t="str">
        <f>IFERROR(__xludf.DUMMYFUNCTION("""COMPUTED_VALUE"""),"5")</f>
        <v>5</v>
      </c>
      <c r="V2310" s="6" t="str">
        <f>IFERROR(__xludf.DUMMYFUNCTION("""COMPUTED_VALUE"""),"")</f>
        <v/>
      </c>
      <c r="W2310" s="6" t="str">
        <f>IFERROR(__xludf.DUMMYFUNCTION("""COMPUTED_VALUE"""),"[]")</f>
        <v>[]</v>
      </c>
      <c r="X2310" s="6" t="str">
        <f>IFERROR(__xludf.DUMMYFUNCTION("""COMPUTED_VALUE"""),"Enrolled")</f>
        <v>Enrolled</v>
      </c>
    </row>
    <row r="2311">
      <c r="A2311" s="6" t="str">
        <f>IFERROR(__xludf.DUMMYFUNCTION("""COMPUTED_VALUE"""),"040-10438")</f>
        <v>040-10438</v>
      </c>
      <c r="B2311" s="6" t="str">
        <f>IFERROR(__xludf.DUMMYFUNCTION("""COMPUTED_VALUE"""),"40")</f>
        <v>40</v>
      </c>
      <c r="C2311" s="6" t="str">
        <f>IFERROR(__xludf.DUMMYFUNCTION("""COMPUTED_VALUE"""),"10438")</f>
        <v>10438</v>
      </c>
      <c r="D2311" s="6" t="str">
        <f>IFERROR(__xludf.DUMMYFUNCTION("""COMPUTED_VALUE"""),"Le'Hawnie")</f>
        <v>Le'Hawnie</v>
      </c>
      <c r="E2311" s="6" t="str">
        <f>IFERROR(__xludf.DUMMYFUNCTION("""COMPUTED_VALUE"""),"")</f>
        <v/>
      </c>
      <c r="F2311" s="6" t="str">
        <f>IFERROR(__xludf.DUMMYFUNCTION("""COMPUTED_VALUE"""),"Walker")</f>
        <v>Walker</v>
      </c>
      <c r="G2311" s="6" t="str">
        <f>IFERROR(__xludf.DUMMYFUNCTION("""COMPUTED_VALUE"""),"06/08/2013")</f>
        <v>06/08/2013</v>
      </c>
      <c r="H2311" s="6" t="str">
        <f>IFERROR(__xludf.DUMMYFUNCTION("""COMPUTED_VALUE"""),"Self Identify")</f>
        <v>Self Identify</v>
      </c>
      <c r="I2311" s="6" t="str">
        <f>IFERROR(__xludf.DUMMYFUNCTION("""COMPUTED_VALUE"""),"Middle School")</f>
        <v>Middle School</v>
      </c>
      <c r="J2311" s="6" t="str">
        <f>IFERROR(__xludf.DUMMYFUNCTION("""COMPUTED_VALUE"""),"7")</f>
        <v>7</v>
      </c>
      <c r="K2311" s="6" t="str">
        <f>IFERROR(__xludf.DUMMYFUNCTION("""COMPUTED_VALUE"""),"lehawnie.walker@unbound.school")</f>
        <v>lehawnie.walker@unbound.school</v>
      </c>
      <c r="L2311" s="6" t="str">
        <f>IFERROR(__xludf.DUMMYFUNCTION("""COMPUTED_VALUE"""),"Unbound Academy")</f>
        <v>Unbound Academy</v>
      </c>
      <c r="M2311" s="6" t="str">
        <f>IFERROR(__xludf.DUMMYFUNCTION("""COMPUTED_VALUE"""),"")</f>
        <v/>
      </c>
      <c r="N2311" s="6" t="str">
        <f>IFERROR(__xludf.DUMMYFUNCTION("""COMPUTED_VALUE"""),"")</f>
        <v/>
      </c>
      <c r="O2311" s="87" t="str">
        <f>IFERROR(__xludf.DUMMYFUNCTION("""COMPUTED_VALUE"""),"https://drive.google.com/drive/folders/10T2cTQHqEJZqE-st6uFKPoI?usp=share_link")</f>
        <v>https://drive.google.com/drive/folders/10T2cTQHqEJZqE-st6uFKPoI?usp=share_link</v>
      </c>
      <c r="P2311" s="6" t="str">
        <f>IFERROR(__xludf.DUMMYFUNCTION("""COMPUTED_VALUE"""),"Le'Hawnie Walker")</f>
        <v>Le'Hawnie Walker</v>
      </c>
      <c r="Q2311" s="6" t="str">
        <f>IFERROR(__xludf.DUMMYFUNCTION("""COMPUTED_VALUE"""),"MS")</f>
        <v>MS</v>
      </c>
      <c r="R2311" s="6">
        <f>IFERROR(__xludf.DUMMYFUNCTION("""COMPUTED_VALUE"""),0.0)</f>
        <v>0</v>
      </c>
      <c r="S2311" s="6" t="str">
        <f>IFERROR(__xludf.DUMMYFUNCTION("""COMPUTED_VALUE""")," ")</f>
        <v> </v>
      </c>
      <c r="T2311" s="6" t="str">
        <f>IFERROR(__xludf.DUMMYFUNCTION("""COMPUTED_VALUE"""),"")</f>
        <v/>
      </c>
      <c r="U2311" s="6" t="str">
        <f>IFERROR(__xludf.DUMMYFUNCTION("""COMPUTED_VALUE"""),"7")</f>
        <v>7</v>
      </c>
      <c r="V2311" s="6" t="str">
        <f>IFERROR(__xludf.DUMMYFUNCTION("""COMPUTED_VALUE"""),"")</f>
        <v/>
      </c>
      <c r="W2311" s="6" t="str">
        <f>IFERROR(__xludf.DUMMYFUNCTION("""COMPUTED_VALUE"""),"[]")</f>
        <v>[]</v>
      </c>
      <c r="X2311" s="6" t="str">
        <f>IFERROR(__xludf.DUMMYFUNCTION("""COMPUTED_VALUE"""),"Enrolled")</f>
        <v>Enrolled</v>
      </c>
    </row>
    <row r="2312">
      <c r="A2312" s="6" t="str">
        <f>IFERROR(__xludf.DUMMYFUNCTION("""COMPUTED_VALUE"""),"040-10451")</f>
        <v>040-10451</v>
      </c>
      <c r="B2312" s="6" t="str">
        <f>IFERROR(__xludf.DUMMYFUNCTION("""COMPUTED_VALUE"""),"40")</f>
        <v>40</v>
      </c>
      <c r="C2312" s="6" t="str">
        <f>IFERROR(__xludf.DUMMYFUNCTION("""COMPUTED_VALUE"""),"10451")</f>
        <v>10451</v>
      </c>
      <c r="D2312" s="6" t="str">
        <f>IFERROR(__xludf.DUMMYFUNCTION("""COMPUTED_VALUE"""),"Isaiah")</f>
        <v>Isaiah</v>
      </c>
      <c r="E2312" s="6" t="str">
        <f>IFERROR(__xludf.DUMMYFUNCTION("""COMPUTED_VALUE"""),"")</f>
        <v/>
      </c>
      <c r="F2312" s="6" t="str">
        <f>IFERROR(__xludf.DUMMYFUNCTION("""COMPUTED_VALUE"""),"Ortiz Mendivil")</f>
        <v>Ortiz Mendivil</v>
      </c>
      <c r="G2312" s="6" t="str">
        <f>IFERROR(__xludf.DUMMYFUNCTION("""COMPUTED_VALUE"""),"09/28/2012")</f>
        <v>09/28/2012</v>
      </c>
      <c r="H2312" s="6" t="str">
        <f>IFERROR(__xludf.DUMMYFUNCTION("""COMPUTED_VALUE"""),"Self Identify")</f>
        <v>Self Identify</v>
      </c>
      <c r="I2312" s="6" t="str">
        <f>IFERROR(__xludf.DUMMYFUNCTION("""COMPUTED_VALUE"""),"Middle School")</f>
        <v>Middle School</v>
      </c>
      <c r="J2312" s="6" t="str">
        <f>IFERROR(__xludf.DUMMYFUNCTION("""COMPUTED_VALUE"""),"8")</f>
        <v>8</v>
      </c>
      <c r="K2312" s="6" t="str">
        <f>IFERROR(__xludf.DUMMYFUNCTION("""COMPUTED_VALUE"""),"isaiah.mendivil@unbound.school")</f>
        <v>isaiah.mendivil@unbound.school</v>
      </c>
      <c r="L2312" s="6" t="str">
        <f>IFERROR(__xludf.DUMMYFUNCTION("""COMPUTED_VALUE"""),"Unbound Academy")</f>
        <v>Unbound Academy</v>
      </c>
      <c r="M2312" s="6" t="str">
        <f>IFERROR(__xludf.DUMMYFUNCTION("""COMPUTED_VALUE"""),"")</f>
        <v/>
      </c>
      <c r="N2312" s="6" t="str">
        <f>IFERROR(__xludf.DUMMYFUNCTION("""COMPUTED_VALUE"""),"")</f>
        <v/>
      </c>
      <c r="O2312" s="87" t="str">
        <f>IFERROR(__xludf.DUMMYFUNCTION("""COMPUTED_VALUE"""),"https://drive.google.com/drive/folders/10T2cTQHqEJZqE-st6uFKPoI?usp=share_link")</f>
        <v>https://drive.google.com/drive/folders/10T2cTQHqEJZqE-st6uFKPoI?usp=share_link</v>
      </c>
      <c r="P2312" s="6" t="str">
        <f>IFERROR(__xludf.DUMMYFUNCTION("""COMPUTED_VALUE"""),"Isaiah Ortiz Mendivil")</f>
        <v>Isaiah Ortiz Mendivil</v>
      </c>
      <c r="Q2312" s="6" t="str">
        <f>IFERROR(__xludf.DUMMYFUNCTION("""COMPUTED_VALUE"""),"MS")</f>
        <v>MS</v>
      </c>
      <c r="R2312" s="6">
        <f>IFERROR(__xludf.DUMMYFUNCTION("""COMPUTED_VALUE"""),0.0)</f>
        <v>0</v>
      </c>
      <c r="S2312" s="6" t="str">
        <f>IFERROR(__xludf.DUMMYFUNCTION("""COMPUTED_VALUE""")," ")</f>
        <v> </v>
      </c>
      <c r="T2312" s="6" t="str">
        <f>IFERROR(__xludf.DUMMYFUNCTION("""COMPUTED_VALUE"""),"")</f>
        <v/>
      </c>
      <c r="U2312" s="6" t="str">
        <f>IFERROR(__xludf.DUMMYFUNCTION("""COMPUTED_VALUE"""),"8")</f>
        <v>8</v>
      </c>
      <c r="V2312" s="6" t="str">
        <f>IFERROR(__xludf.DUMMYFUNCTION("""COMPUTED_VALUE"""),"")</f>
        <v/>
      </c>
      <c r="W2312" s="6" t="str">
        <f>IFERROR(__xludf.DUMMYFUNCTION("""COMPUTED_VALUE"""),"[]")</f>
        <v>[]</v>
      </c>
      <c r="X2312" s="6" t="str">
        <f>IFERROR(__xludf.DUMMYFUNCTION("""COMPUTED_VALUE"""),"Enrolled")</f>
        <v>Enrolled</v>
      </c>
    </row>
    <row r="2313">
      <c r="A2313" s="6" t="str">
        <f>IFERROR(__xludf.DUMMYFUNCTION("""COMPUTED_VALUE"""),"040-10584")</f>
        <v>040-10584</v>
      </c>
      <c r="B2313" s="6" t="str">
        <f>IFERROR(__xludf.DUMMYFUNCTION("""COMPUTED_VALUE"""),"40")</f>
        <v>40</v>
      </c>
      <c r="C2313" s="6" t="str">
        <f>IFERROR(__xludf.DUMMYFUNCTION("""COMPUTED_VALUE"""),"10584")</f>
        <v>10584</v>
      </c>
      <c r="D2313" s="6" t="str">
        <f>IFERROR(__xludf.DUMMYFUNCTION("""COMPUTED_VALUE"""),"Asher")</f>
        <v>Asher</v>
      </c>
      <c r="E2313" s="6" t="str">
        <f>IFERROR(__xludf.DUMMYFUNCTION("""COMPUTED_VALUE"""),"")</f>
        <v/>
      </c>
      <c r="F2313" s="6" t="str">
        <f>IFERROR(__xludf.DUMMYFUNCTION("""COMPUTED_VALUE"""),"Consales")</f>
        <v>Consales</v>
      </c>
      <c r="G2313" s="6" t="str">
        <f>IFERROR(__xludf.DUMMYFUNCTION("""COMPUTED_VALUE"""),"05/23/2014")</f>
        <v>05/23/2014</v>
      </c>
      <c r="H2313" s="6" t="str">
        <f>IFERROR(__xludf.DUMMYFUNCTION("""COMPUTED_VALUE"""),"Self Identify")</f>
        <v>Self Identify</v>
      </c>
      <c r="I2313" s="6" t="str">
        <f>IFERROR(__xludf.DUMMYFUNCTION("""COMPUTED_VALUE"""),"Middle School")</f>
        <v>Middle School</v>
      </c>
      <c r="J2313" s="6" t="str">
        <f>IFERROR(__xludf.DUMMYFUNCTION("""COMPUTED_VALUE"""),"6")</f>
        <v>6</v>
      </c>
      <c r="K2313" s="6" t="str">
        <f>IFERROR(__xludf.DUMMYFUNCTION("""COMPUTED_VALUE"""),"asher.consales@unbound.school")</f>
        <v>asher.consales@unbound.school</v>
      </c>
      <c r="L2313" s="6" t="str">
        <f>IFERROR(__xludf.DUMMYFUNCTION("""COMPUTED_VALUE"""),"Unbound Academy")</f>
        <v>Unbound Academy</v>
      </c>
      <c r="M2313" s="6" t="str">
        <f>IFERROR(__xludf.DUMMYFUNCTION("""COMPUTED_VALUE"""),"")</f>
        <v/>
      </c>
      <c r="N2313" s="6" t="str">
        <f>IFERROR(__xludf.DUMMYFUNCTION("""COMPUTED_VALUE"""),"")</f>
        <v/>
      </c>
      <c r="O2313" s="87" t="str">
        <f>IFERROR(__xludf.DUMMYFUNCTION("""COMPUTED_VALUE"""),"https://drive.google.com/drive/folders/10T2cTQHqEJZqE-st6uFKPoI?usp=share_link")</f>
        <v>https://drive.google.com/drive/folders/10T2cTQHqEJZqE-st6uFKPoI?usp=share_link</v>
      </c>
      <c r="P2313" s="6" t="str">
        <f>IFERROR(__xludf.DUMMYFUNCTION("""COMPUTED_VALUE"""),"Asher Consales")</f>
        <v>Asher Consales</v>
      </c>
      <c r="Q2313" s="6" t="str">
        <f>IFERROR(__xludf.DUMMYFUNCTION("""COMPUTED_VALUE"""),"MS")</f>
        <v>MS</v>
      </c>
      <c r="R2313" s="6">
        <f>IFERROR(__xludf.DUMMYFUNCTION("""COMPUTED_VALUE"""),0.0)</f>
        <v>0</v>
      </c>
      <c r="S2313" s="6" t="str">
        <f>IFERROR(__xludf.DUMMYFUNCTION("""COMPUTED_VALUE""")," ")</f>
        <v> </v>
      </c>
      <c r="T2313" s="6" t="str">
        <f>IFERROR(__xludf.DUMMYFUNCTION("""COMPUTED_VALUE"""),"")</f>
        <v/>
      </c>
      <c r="U2313" s="6" t="str">
        <f>IFERROR(__xludf.DUMMYFUNCTION("""COMPUTED_VALUE"""),"6")</f>
        <v>6</v>
      </c>
      <c r="V2313" s="6" t="str">
        <f>IFERROR(__xludf.DUMMYFUNCTION("""COMPUTED_VALUE"""),"")</f>
        <v/>
      </c>
      <c r="W2313" s="6" t="str">
        <f>IFERROR(__xludf.DUMMYFUNCTION("""COMPUTED_VALUE"""),"[]")</f>
        <v>[]</v>
      </c>
      <c r="X2313" s="6" t="str">
        <f>IFERROR(__xludf.DUMMYFUNCTION("""COMPUTED_VALUE"""),"Enrolled")</f>
        <v>Enrolled</v>
      </c>
    </row>
    <row r="2314">
      <c r="A2314" s="6" t="str">
        <f>IFERROR(__xludf.DUMMYFUNCTION("""COMPUTED_VALUE"""),"040-10590")</f>
        <v>040-10590</v>
      </c>
      <c r="B2314" s="6" t="str">
        <f>IFERROR(__xludf.DUMMYFUNCTION("""COMPUTED_VALUE"""),"40")</f>
        <v>40</v>
      </c>
      <c r="C2314" s="6" t="str">
        <f>IFERROR(__xludf.DUMMYFUNCTION("""COMPUTED_VALUE"""),"10590")</f>
        <v>10590</v>
      </c>
      <c r="D2314" s="6" t="str">
        <f>IFERROR(__xludf.DUMMYFUNCTION("""COMPUTED_VALUE"""),"Aurora")</f>
        <v>Aurora</v>
      </c>
      <c r="E2314" s="6" t="str">
        <f>IFERROR(__xludf.DUMMYFUNCTION("""COMPUTED_VALUE"""),"")</f>
        <v/>
      </c>
      <c r="F2314" s="6" t="str">
        <f>IFERROR(__xludf.DUMMYFUNCTION("""COMPUTED_VALUE"""),"Pope")</f>
        <v>Pope</v>
      </c>
      <c r="G2314" s="6" t="str">
        <f>IFERROR(__xludf.DUMMYFUNCTION("""COMPUTED_VALUE"""),"01/18/2014")</f>
        <v>01/18/2014</v>
      </c>
      <c r="H2314" s="6" t="str">
        <f>IFERROR(__xludf.DUMMYFUNCTION("""COMPUTED_VALUE"""),"Self Identify")</f>
        <v>Self Identify</v>
      </c>
      <c r="I2314" s="6" t="str">
        <f>IFERROR(__xludf.DUMMYFUNCTION("""COMPUTED_VALUE"""),"Middle School")</f>
        <v>Middle School</v>
      </c>
      <c r="J2314" s="6" t="str">
        <f>IFERROR(__xludf.DUMMYFUNCTION("""COMPUTED_VALUE"""),"6")</f>
        <v>6</v>
      </c>
      <c r="K2314" s="6" t="str">
        <f>IFERROR(__xludf.DUMMYFUNCTION("""COMPUTED_VALUE"""),"aurora.pope@unbound.school")</f>
        <v>aurora.pope@unbound.school</v>
      </c>
      <c r="L2314" s="6" t="str">
        <f>IFERROR(__xludf.DUMMYFUNCTION("""COMPUTED_VALUE"""),"Unbound Academy")</f>
        <v>Unbound Academy</v>
      </c>
      <c r="M2314" s="6" t="str">
        <f>IFERROR(__xludf.DUMMYFUNCTION("""COMPUTED_VALUE"""),"")</f>
        <v/>
      </c>
      <c r="N2314" s="6" t="str">
        <f>IFERROR(__xludf.DUMMYFUNCTION("""COMPUTED_VALUE"""),"")</f>
        <v/>
      </c>
      <c r="O2314" s="87" t="str">
        <f>IFERROR(__xludf.DUMMYFUNCTION("""COMPUTED_VALUE"""),"https://drive.google.com/drive/folders/10T2cTQHqEJZqE-st6uFKPoI?usp=share_link")</f>
        <v>https://drive.google.com/drive/folders/10T2cTQHqEJZqE-st6uFKPoI?usp=share_link</v>
      </c>
      <c r="P2314" s="6" t="str">
        <f>IFERROR(__xludf.DUMMYFUNCTION("""COMPUTED_VALUE"""),"Aurora Pope")</f>
        <v>Aurora Pope</v>
      </c>
      <c r="Q2314" s="6" t="str">
        <f>IFERROR(__xludf.DUMMYFUNCTION("""COMPUTED_VALUE"""),"MS")</f>
        <v>MS</v>
      </c>
      <c r="R2314" s="6">
        <f>IFERROR(__xludf.DUMMYFUNCTION("""COMPUTED_VALUE"""),0.0)</f>
        <v>0</v>
      </c>
      <c r="S2314" s="6" t="str">
        <f>IFERROR(__xludf.DUMMYFUNCTION("""COMPUTED_VALUE""")," ")</f>
        <v> </v>
      </c>
      <c r="T2314" s="6" t="str">
        <f>IFERROR(__xludf.DUMMYFUNCTION("""COMPUTED_VALUE"""),"")</f>
        <v/>
      </c>
      <c r="U2314" s="6" t="str">
        <f>IFERROR(__xludf.DUMMYFUNCTION("""COMPUTED_VALUE"""),"6")</f>
        <v>6</v>
      </c>
      <c r="V2314" s="6" t="str">
        <f>IFERROR(__xludf.DUMMYFUNCTION("""COMPUTED_VALUE"""),"")</f>
        <v/>
      </c>
      <c r="W2314" s="6" t="str">
        <f>IFERROR(__xludf.DUMMYFUNCTION("""COMPUTED_VALUE"""),"[]")</f>
        <v>[]</v>
      </c>
      <c r="X2314" s="6" t="str">
        <f>IFERROR(__xludf.DUMMYFUNCTION("""COMPUTED_VALUE"""),"Enrolled")</f>
        <v>Enrolled</v>
      </c>
    </row>
    <row r="2315">
      <c r="A2315" s="6" t="str">
        <f>IFERROR(__xludf.DUMMYFUNCTION("""COMPUTED_VALUE"""),"040-10603")</f>
        <v>040-10603</v>
      </c>
      <c r="B2315" s="6" t="str">
        <f>IFERROR(__xludf.DUMMYFUNCTION("""COMPUTED_VALUE"""),"40")</f>
        <v>40</v>
      </c>
      <c r="C2315" s="6" t="str">
        <f>IFERROR(__xludf.DUMMYFUNCTION("""COMPUTED_VALUE"""),"10603")</f>
        <v>10603</v>
      </c>
      <c r="D2315" s="6" t="str">
        <f>IFERROR(__xludf.DUMMYFUNCTION("""COMPUTED_VALUE"""),"Mikai")</f>
        <v>Mikai</v>
      </c>
      <c r="E2315" s="6" t="str">
        <f>IFERROR(__xludf.DUMMYFUNCTION("""COMPUTED_VALUE"""),"")</f>
        <v/>
      </c>
      <c r="F2315" s="6" t="str">
        <f>IFERROR(__xludf.DUMMYFUNCTION("""COMPUTED_VALUE"""),"Anyair")</f>
        <v>Anyair</v>
      </c>
      <c r="G2315" s="6" t="str">
        <f>IFERROR(__xludf.DUMMYFUNCTION("""COMPUTED_VALUE"""),"10/21/2014")</f>
        <v>10/21/2014</v>
      </c>
      <c r="H2315" s="6" t="str">
        <f>IFERROR(__xludf.DUMMYFUNCTION("""COMPUTED_VALUE"""),"Self Identify")</f>
        <v>Self Identify</v>
      </c>
      <c r="I2315" s="6" t="str">
        <f>IFERROR(__xludf.DUMMYFUNCTION("""COMPUTED_VALUE"""),"Level 2")</f>
        <v>Level 2</v>
      </c>
      <c r="J2315" s="6" t="str">
        <f>IFERROR(__xludf.DUMMYFUNCTION("""COMPUTED_VALUE"""),"5")</f>
        <v>5</v>
      </c>
      <c r="K2315" s="6" t="str">
        <f>IFERROR(__xludf.DUMMYFUNCTION("""COMPUTED_VALUE"""),"mikai.anyair@unbound.school")</f>
        <v>mikai.anyair@unbound.school</v>
      </c>
      <c r="L2315" s="6" t="str">
        <f>IFERROR(__xludf.DUMMYFUNCTION("""COMPUTED_VALUE"""),"Unbound Academy")</f>
        <v>Unbound Academy</v>
      </c>
      <c r="M2315" s="6" t="str">
        <f>IFERROR(__xludf.DUMMYFUNCTION("""COMPUTED_VALUE"""),"")</f>
        <v/>
      </c>
      <c r="N2315" s="6" t="str">
        <f>IFERROR(__xludf.DUMMYFUNCTION("""COMPUTED_VALUE"""),"")</f>
        <v/>
      </c>
      <c r="O2315" s="87" t="str">
        <f>IFERROR(__xludf.DUMMYFUNCTION("""COMPUTED_VALUE"""),"https://drive.google.com/drive/folders/10T2cTQHqEJZqE-st6uFKPoI?usp=share_link")</f>
        <v>https://drive.google.com/drive/folders/10T2cTQHqEJZqE-st6uFKPoI?usp=share_link</v>
      </c>
      <c r="P2315" s="6" t="str">
        <f>IFERROR(__xludf.DUMMYFUNCTION("""COMPUTED_VALUE"""),"Mikai Anyair")</f>
        <v>Mikai Anyair</v>
      </c>
      <c r="Q2315" s="6" t="str">
        <f>IFERROR(__xludf.DUMMYFUNCTION("""COMPUTED_VALUE"""),"L2")</f>
        <v>L2</v>
      </c>
      <c r="R2315" s="6">
        <f>IFERROR(__xludf.DUMMYFUNCTION("""COMPUTED_VALUE"""),2.0)</f>
        <v>2</v>
      </c>
      <c r="S2315" s="6" t="str">
        <f>IFERROR(__xludf.DUMMYFUNCTION("""COMPUTED_VALUE""")," ")</f>
        <v> </v>
      </c>
      <c r="T2315" s="6" t="str">
        <f>IFERROR(__xludf.DUMMYFUNCTION("""COMPUTED_VALUE"""),"")</f>
        <v/>
      </c>
      <c r="U2315" s="6" t="str">
        <f>IFERROR(__xludf.DUMMYFUNCTION("""COMPUTED_VALUE"""),"5")</f>
        <v>5</v>
      </c>
      <c r="V2315" s="6" t="str">
        <f>IFERROR(__xludf.DUMMYFUNCTION("""COMPUTED_VALUE"""),"")</f>
        <v/>
      </c>
      <c r="W2315" s="6" t="str">
        <f>IFERROR(__xludf.DUMMYFUNCTION("""COMPUTED_VALUE"""),"[]")</f>
        <v>[]</v>
      </c>
      <c r="X2315" s="6" t="str">
        <f>IFERROR(__xludf.DUMMYFUNCTION("""COMPUTED_VALUE"""),"Enrolled")</f>
        <v>Enrolled</v>
      </c>
    </row>
    <row r="2316">
      <c r="A2316" s="6" t="str">
        <f>IFERROR(__xludf.DUMMYFUNCTION("""COMPUTED_VALUE"""),"040-10883")</f>
        <v>040-10883</v>
      </c>
      <c r="B2316" s="6" t="str">
        <f>IFERROR(__xludf.DUMMYFUNCTION("""COMPUTED_VALUE"""),"40")</f>
        <v>40</v>
      </c>
      <c r="C2316" s="6" t="str">
        <f>IFERROR(__xludf.DUMMYFUNCTION("""COMPUTED_VALUE"""),"10883")</f>
        <v>10883</v>
      </c>
      <c r="D2316" s="6" t="str">
        <f>IFERROR(__xludf.DUMMYFUNCTION("""COMPUTED_VALUE"""),"Daniel")</f>
        <v>Daniel</v>
      </c>
      <c r="E2316" s="6" t="str">
        <f>IFERROR(__xludf.DUMMYFUNCTION("""COMPUTED_VALUE"""),"")</f>
        <v/>
      </c>
      <c r="F2316" s="6" t="str">
        <f>IFERROR(__xludf.DUMMYFUNCTION("""COMPUTED_VALUE"""),"Lopez III")</f>
        <v>Lopez III</v>
      </c>
      <c r="G2316" s="6" t="str">
        <f>IFERROR(__xludf.DUMMYFUNCTION("""COMPUTED_VALUE"""),"03/03/2013")</f>
        <v>03/03/2013</v>
      </c>
      <c r="H2316" s="6" t="str">
        <f>IFERROR(__xludf.DUMMYFUNCTION("""COMPUTED_VALUE"""),"Self Identify")</f>
        <v>Self Identify</v>
      </c>
      <c r="I2316" s="6" t="str">
        <f>IFERROR(__xludf.DUMMYFUNCTION("""COMPUTED_VALUE"""),"Middle School")</f>
        <v>Middle School</v>
      </c>
      <c r="J2316" s="6" t="str">
        <f>IFERROR(__xludf.DUMMYFUNCTION("""COMPUTED_VALUE"""),"7")</f>
        <v>7</v>
      </c>
      <c r="K2316" s="6" t="str">
        <f>IFERROR(__xludf.DUMMYFUNCTION("""COMPUTED_VALUE"""),"daniel.lopeziii@unbound.school")</f>
        <v>daniel.lopeziii@unbound.school</v>
      </c>
      <c r="L2316" s="6" t="str">
        <f>IFERROR(__xludf.DUMMYFUNCTION("""COMPUTED_VALUE"""),"Unbound Academy")</f>
        <v>Unbound Academy</v>
      </c>
      <c r="M2316" s="6" t="str">
        <f>IFERROR(__xludf.DUMMYFUNCTION("""COMPUTED_VALUE"""),"")</f>
        <v/>
      </c>
      <c r="N2316" s="6" t="str">
        <f>IFERROR(__xludf.DUMMYFUNCTION("""COMPUTED_VALUE"""),"")</f>
        <v/>
      </c>
      <c r="O2316" s="87" t="str">
        <f>IFERROR(__xludf.DUMMYFUNCTION("""COMPUTED_VALUE"""),"https://drive.google.com/drive/folders/10T2cTQHqEJZqE-st6uFKPoI?usp=share_link")</f>
        <v>https://drive.google.com/drive/folders/10T2cTQHqEJZqE-st6uFKPoI?usp=share_link</v>
      </c>
      <c r="P2316" s="6" t="str">
        <f>IFERROR(__xludf.DUMMYFUNCTION("""COMPUTED_VALUE"""),"Daniel Lopez III")</f>
        <v>Daniel Lopez III</v>
      </c>
      <c r="Q2316" s="6" t="str">
        <f>IFERROR(__xludf.DUMMYFUNCTION("""COMPUTED_VALUE"""),"MS")</f>
        <v>MS</v>
      </c>
      <c r="R2316" s="6">
        <f>IFERROR(__xludf.DUMMYFUNCTION("""COMPUTED_VALUE"""),0.0)</f>
        <v>0</v>
      </c>
      <c r="S2316" s="6" t="str">
        <f>IFERROR(__xludf.DUMMYFUNCTION("""COMPUTED_VALUE""")," ")</f>
        <v> </v>
      </c>
      <c r="T2316" s="6" t="str">
        <f>IFERROR(__xludf.DUMMYFUNCTION("""COMPUTED_VALUE"""),"")</f>
        <v/>
      </c>
      <c r="U2316" s="6" t="str">
        <f>IFERROR(__xludf.DUMMYFUNCTION("""COMPUTED_VALUE"""),"7")</f>
        <v>7</v>
      </c>
      <c r="V2316" s="6" t="str">
        <f>IFERROR(__xludf.DUMMYFUNCTION("""COMPUTED_VALUE"""),"")</f>
        <v/>
      </c>
      <c r="W2316" s="6" t="str">
        <f>IFERROR(__xludf.DUMMYFUNCTION("""COMPUTED_VALUE"""),"[]")</f>
        <v>[]</v>
      </c>
      <c r="X2316" s="6" t="str">
        <f>IFERROR(__xludf.DUMMYFUNCTION("""COMPUTED_VALUE"""),"Enrolled")</f>
        <v>Enrolled</v>
      </c>
    </row>
    <row r="2317">
      <c r="A2317" s="6" t="str">
        <f>IFERROR(__xludf.DUMMYFUNCTION("""COMPUTED_VALUE"""),"040-10926")</f>
        <v>040-10926</v>
      </c>
      <c r="B2317" s="6" t="str">
        <f>IFERROR(__xludf.DUMMYFUNCTION("""COMPUTED_VALUE"""),"40")</f>
        <v>40</v>
      </c>
      <c r="C2317" s="6" t="str">
        <f>IFERROR(__xludf.DUMMYFUNCTION("""COMPUTED_VALUE"""),"10926")</f>
        <v>10926</v>
      </c>
      <c r="D2317" s="6" t="str">
        <f>IFERROR(__xludf.DUMMYFUNCTION("""COMPUTED_VALUE"""),"Emberlyn")</f>
        <v>Emberlyn</v>
      </c>
      <c r="E2317" s="6" t="str">
        <f>IFERROR(__xludf.DUMMYFUNCTION("""COMPUTED_VALUE"""),"")</f>
        <v/>
      </c>
      <c r="F2317" s="6" t="str">
        <f>IFERROR(__xludf.DUMMYFUNCTION("""COMPUTED_VALUE"""),"Hummel")</f>
        <v>Hummel</v>
      </c>
      <c r="G2317" s="6" t="str">
        <f>IFERROR(__xludf.DUMMYFUNCTION("""COMPUTED_VALUE"""),"03/16/2016")</f>
        <v>03/16/2016</v>
      </c>
      <c r="H2317" s="6" t="str">
        <f>IFERROR(__xludf.DUMMYFUNCTION("""COMPUTED_VALUE"""),"Self Identify")</f>
        <v>Self Identify</v>
      </c>
      <c r="I2317" s="6" t="str">
        <f>IFERROR(__xludf.DUMMYFUNCTION("""COMPUTED_VALUE"""),"Level 2")</f>
        <v>Level 2</v>
      </c>
      <c r="J2317" s="6" t="str">
        <f>IFERROR(__xludf.DUMMYFUNCTION("""COMPUTED_VALUE"""),"4")</f>
        <v>4</v>
      </c>
      <c r="K2317" s="6" t="str">
        <f>IFERROR(__xludf.DUMMYFUNCTION("""COMPUTED_VALUE"""),"emberlyn.hummel@unbound.school")</f>
        <v>emberlyn.hummel@unbound.school</v>
      </c>
      <c r="L2317" s="6" t="str">
        <f>IFERROR(__xludf.DUMMYFUNCTION("""COMPUTED_VALUE"""),"Unbound Academy")</f>
        <v>Unbound Academy</v>
      </c>
      <c r="M2317" s="6" t="str">
        <f>IFERROR(__xludf.DUMMYFUNCTION("""COMPUTED_VALUE"""),"")</f>
        <v/>
      </c>
      <c r="N2317" s="6" t="str">
        <f>IFERROR(__xludf.DUMMYFUNCTION("""COMPUTED_VALUE"""),"")</f>
        <v/>
      </c>
      <c r="O2317" s="87" t="str">
        <f>IFERROR(__xludf.DUMMYFUNCTION("""COMPUTED_VALUE"""),"https://drive.google.com/drive/folders/10T2cTQHqEJZqE-st6uFKPoI?usp=share_link")</f>
        <v>https://drive.google.com/drive/folders/10T2cTQHqEJZqE-st6uFKPoI?usp=share_link</v>
      </c>
      <c r="P2317" s="6" t="str">
        <f>IFERROR(__xludf.DUMMYFUNCTION("""COMPUTED_VALUE"""),"Emberlyn Hummel")</f>
        <v>Emberlyn Hummel</v>
      </c>
      <c r="Q2317" s="6" t="str">
        <f>IFERROR(__xludf.DUMMYFUNCTION("""COMPUTED_VALUE"""),"L2")</f>
        <v>L2</v>
      </c>
      <c r="R2317" s="6">
        <f>IFERROR(__xludf.DUMMYFUNCTION("""COMPUTED_VALUE"""),2.0)</f>
        <v>2</v>
      </c>
      <c r="S2317" s="6" t="str">
        <f>IFERROR(__xludf.DUMMYFUNCTION("""COMPUTED_VALUE""")," ")</f>
        <v> </v>
      </c>
      <c r="T2317" s="6" t="str">
        <f>IFERROR(__xludf.DUMMYFUNCTION("""COMPUTED_VALUE"""),"")</f>
        <v/>
      </c>
      <c r="U2317" s="6" t="str">
        <f>IFERROR(__xludf.DUMMYFUNCTION("""COMPUTED_VALUE"""),"4")</f>
        <v>4</v>
      </c>
      <c r="V2317" s="6" t="str">
        <f>IFERROR(__xludf.DUMMYFUNCTION("""COMPUTED_VALUE"""),"")</f>
        <v/>
      </c>
      <c r="W2317" s="6" t="str">
        <f>IFERROR(__xludf.DUMMYFUNCTION("""COMPUTED_VALUE"""),"[]")</f>
        <v>[]</v>
      </c>
      <c r="X2317" s="6" t="str">
        <f>IFERROR(__xludf.DUMMYFUNCTION("""COMPUTED_VALUE"""),"Enrolled")</f>
        <v>Enrolled</v>
      </c>
    </row>
    <row r="2318">
      <c r="A2318" s="6" t="str">
        <f>IFERROR(__xludf.DUMMYFUNCTION("""COMPUTED_VALUE"""),"040-10969")</f>
        <v>040-10969</v>
      </c>
      <c r="B2318" s="6" t="str">
        <f>IFERROR(__xludf.DUMMYFUNCTION("""COMPUTED_VALUE"""),"40")</f>
        <v>40</v>
      </c>
      <c r="C2318" s="6" t="str">
        <f>IFERROR(__xludf.DUMMYFUNCTION("""COMPUTED_VALUE"""),"10969")</f>
        <v>10969</v>
      </c>
      <c r="D2318" s="6" t="str">
        <f>IFERROR(__xludf.DUMMYFUNCTION("""COMPUTED_VALUE"""),"Malakai")</f>
        <v>Malakai</v>
      </c>
      <c r="E2318" s="6" t="str">
        <f>IFERROR(__xludf.DUMMYFUNCTION("""COMPUTED_VALUE"""),"")</f>
        <v/>
      </c>
      <c r="F2318" s="6" t="str">
        <f>IFERROR(__xludf.DUMMYFUNCTION("""COMPUTED_VALUE"""),"Schultz")</f>
        <v>Schultz</v>
      </c>
      <c r="G2318" s="6" t="str">
        <f>IFERROR(__xludf.DUMMYFUNCTION("""COMPUTED_VALUE"""),"03/16/2016")</f>
        <v>03/16/2016</v>
      </c>
      <c r="H2318" s="6" t="str">
        <f>IFERROR(__xludf.DUMMYFUNCTION("""COMPUTED_VALUE"""),"self_identify")</f>
        <v>self_identify</v>
      </c>
      <c r="I2318" s="6" t="str">
        <f>IFERROR(__xludf.DUMMYFUNCTION("""COMPUTED_VALUE"""),"Level 2")</f>
        <v>Level 2</v>
      </c>
      <c r="J2318" s="6" t="str">
        <f>IFERROR(__xludf.DUMMYFUNCTION("""COMPUTED_VALUE"""),"4")</f>
        <v>4</v>
      </c>
      <c r="K2318" s="6" t="str">
        <f>IFERROR(__xludf.DUMMYFUNCTION("""COMPUTED_VALUE"""),"malakai.schultz@unbound.school")</f>
        <v>malakai.schultz@unbound.school</v>
      </c>
      <c r="L2318" s="6" t="str">
        <f>IFERROR(__xludf.DUMMYFUNCTION("""COMPUTED_VALUE"""),"Unbound Academy")</f>
        <v>Unbound Academy</v>
      </c>
      <c r="M2318" s="6" t="str">
        <f>IFERROR(__xludf.DUMMYFUNCTION("""COMPUTED_VALUE"""),"")</f>
        <v/>
      </c>
      <c r="N2318" s="6" t="str">
        <f>IFERROR(__xludf.DUMMYFUNCTION("""COMPUTED_VALUE"""),"")</f>
        <v/>
      </c>
      <c r="O2318" s="87" t="str">
        <f>IFERROR(__xludf.DUMMYFUNCTION("""COMPUTED_VALUE"""),"https://drive.google.com/drive/folders/10T2cTQHqEJZqE-st6uFKPoI?usp=share_link")</f>
        <v>https://drive.google.com/drive/folders/10T2cTQHqEJZqE-st6uFKPoI?usp=share_link</v>
      </c>
      <c r="P2318" s="6" t="str">
        <f>IFERROR(__xludf.DUMMYFUNCTION("""COMPUTED_VALUE"""),"Malakai Schultz")</f>
        <v>Malakai Schultz</v>
      </c>
      <c r="Q2318" s="6" t="str">
        <f>IFERROR(__xludf.DUMMYFUNCTION("""COMPUTED_VALUE"""),"L2")</f>
        <v>L2</v>
      </c>
      <c r="R2318" s="6">
        <f>IFERROR(__xludf.DUMMYFUNCTION("""COMPUTED_VALUE"""),2.0)</f>
        <v>2</v>
      </c>
      <c r="S2318" s="6" t="str">
        <f>IFERROR(__xludf.DUMMYFUNCTION("""COMPUTED_VALUE""")," ")</f>
        <v> </v>
      </c>
      <c r="T2318" s="6" t="str">
        <f>IFERROR(__xludf.DUMMYFUNCTION("""COMPUTED_VALUE"""),"")</f>
        <v/>
      </c>
      <c r="U2318" s="6" t="str">
        <f>IFERROR(__xludf.DUMMYFUNCTION("""COMPUTED_VALUE"""),"4")</f>
        <v>4</v>
      </c>
      <c r="V2318" s="6" t="str">
        <f>IFERROR(__xludf.DUMMYFUNCTION("""COMPUTED_VALUE"""),"")</f>
        <v/>
      </c>
      <c r="W2318" s="6" t="str">
        <f>IFERROR(__xludf.DUMMYFUNCTION("""COMPUTED_VALUE"""),"[]")</f>
        <v>[]</v>
      </c>
      <c r="X2318" s="6" t="str">
        <f>IFERROR(__xludf.DUMMYFUNCTION("""COMPUTED_VALUE"""),"Enrolled")</f>
        <v>Enrolled</v>
      </c>
    </row>
    <row r="2319">
      <c r="A2319" s="6" t="str">
        <f>IFERROR(__xludf.DUMMYFUNCTION("""COMPUTED_VALUE"""),"040-11015")</f>
        <v>040-11015</v>
      </c>
      <c r="B2319" s="6" t="str">
        <f>IFERROR(__xludf.DUMMYFUNCTION("""COMPUTED_VALUE"""),"40")</f>
        <v>40</v>
      </c>
      <c r="C2319" s="6" t="str">
        <f>IFERROR(__xludf.DUMMYFUNCTION("""COMPUTED_VALUE"""),"11015")</f>
        <v>11015</v>
      </c>
      <c r="D2319" s="6" t="str">
        <f>IFERROR(__xludf.DUMMYFUNCTION("""COMPUTED_VALUE"""),"Italia Amour")</f>
        <v>Italia Amour</v>
      </c>
      <c r="E2319" s="6" t="str">
        <f>IFERROR(__xludf.DUMMYFUNCTION("""COMPUTED_VALUE"""),"")</f>
        <v/>
      </c>
      <c r="F2319" s="6" t="str">
        <f>IFERROR(__xludf.DUMMYFUNCTION("""COMPUTED_VALUE"""),"Cropper")</f>
        <v>Cropper</v>
      </c>
      <c r="G2319" s="6" t="str">
        <f>IFERROR(__xludf.DUMMYFUNCTION("""COMPUTED_VALUE"""),"07/05/2014")</f>
        <v>07/05/2014</v>
      </c>
      <c r="H2319" s="6" t="str">
        <f>IFERROR(__xludf.DUMMYFUNCTION("""COMPUTED_VALUE"""),"Self Identify")</f>
        <v>Self Identify</v>
      </c>
      <c r="I2319" s="6" t="str">
        <f>IFERROR(__xludf.DUMMYFUNCTION("""COMPUTED_VALUE"""),"Middle School")</f>
        <v>Middle School</v>
      </c>
      <c r="J2319" s="6" t="str">
        <f>IFERROR(__xludf.DUMMYFUNCTION("""COMPUTED_VALUE"""),"6")</f>
        <v>6</v>
      </c>
      <c r="K2319" s="6" t="str">
        <f>IFERROR(__xludf.DUMMYFUNCTION("""COMPUTED_VALUE"""),"italiaamour.cropper@unbound.school")</f>
        <v>italiaamour.cropper@unbound.school</v>
      </c>
      <c r="L2319" s="6" t="str">
        <f>IFERROR(__xludf.DUMMYFUNCTION("""COMPUTED_VALUE"""),"Unbound Academy")</f>
        <v>Unbound Academy</v>
      </c>
      <c r="M2319" s="6" t="str">
        <f>IFERROR(__xludf.DUMMYFUNCTION("""COMPUTED_VALUE"""),"")</f>
        <v/>
      </c>
      <c r="N2319" s="6" t="str">
        <f>IFERROR(__xludf.DUMMYFUNCTION("""COMPUTED_VALUE"""),"")</f>
        <v/>
      </c>
      <c r="O2319" s="87" t="str">
        <f>IFERROR(__xludf.DUMMYFUNCTION("""COMPUTED_VALUE"""),"https://drive.google.com/drive/folders/10T2cTQHqEJZqE-st6uFKPoI?usp=share_link")</f>
        <v>https://drive.google.com/drive/folders/10T2cTQHqEJZqE-st6uFKPoI?usp=share_link</v>
      </c>
      <c r="P2319" s="6" t="str">
        <f>IFERROR(__xludf.DUMMYFUNCTION("""COMPUTED_VALUE"""),"Italia Amour Cropper")</f>
        <v>Italia Amour Cropper</v>
      </c>
      <c r="Q2319" s="6" t="str">
        <f>IFERROR(__xludf.DUMMYFUNCTION("""COMPUTED_VALUE"""),"MS")</f>
        <v>MS</v>
      </c>
      <c r="R2319" s="6">
        <f>IFERROR(__xludf.DUMMYFUNCTION("""COMPUTED_VALUE"""),0.0)</f>
        <v>0</v>
      </c>
      <c r="S2319" s="6" t="str">
        <f>IFERROR(__xludf.DUMMYFUNCTION("""COMPUTED_VALUE""")," ")</f>
        <v> </v>
      </c>
      <c r="T2319" s="6" t="str">
        <f>IFERROR(__xludf.DUMMYFUNCTION("""COMPUTED_VALUE"""),"")</f>
        <v/>
      </c>
      <c r="U2319" s="6" t="str">
        <f>IFERROR(__xludf.DUMMYFUNCTION("""COMPUTED_VALUE"""),"6")</f>
        <v>6</v>
      </c>
      <c r="V2319" s="6" t="str">
        <f>IFERROR(__xludf.DUMMYFUNCTION("""COMPUTED_VALUE"""),"")</f>
        <v/>
      </c>
      <c r="W2319" s="6" t="str">
        <f>IFERROR(__xludf.DUMMYFUNCTION("""COMPUTED_VALUE"""),"[]")</f>
        <v>[]</v>
      </c>
      <c r="X2319" s="6" t="str">
        <f>IFERROR(__xludf.DUMMYFUNCTION("""COMPUTED_VALUE"""),"Enrolled")</f>
        <v>Enrolled</v>
      </c>
    </row>
    <row r="2320">
      <c r="A2320" s="6" t="str">
        <f>IFERROR(__xludf.DUMMYFUNCTION("""COMPUTED_VALUE"""),"040-11071")</f>
        <v>040-11071</v>
      </c>
      <c r="B2320" s="6" t="str">
        <f>IFERROR(__xludf.DUMMYFUNCTION("""COMPUTED_VALUE"""),"40")</f>
        <v>40</v>
      </c>
      <c r="C2320" s="6" t="str">
        <f>IFERROR(__xludf.DUMMYFUNCTION("""COMPUTED_VALUE"""),"11071")</f>
        <v>11071</v>
      </c>
      <c r="D2320" s="6" t="str">
        <f>IFERROR(__xludf.DUMMYFUNCTION("""COMPUTED_VALUE"""),"MaKennea")</f>
        <v>MaKennea</v>
      </c>
      <c r="E2320" s="6" t="str">
        <f>IFERROR(__xludf.DUMMYFUNCTION("""COMPUTED_VALUE"""),"")</f>
        <v/>
      </c>
      <c r="F2320" s="6" t="str">
        <f>IFERROR(__xludf.DUMMYFUNCTION("""COMPUTED_VALUE"""),"Mina")</f>
        <v>Mina</v>
      </c>
      <c r="G2320" s="6" t="str">
        <f>IFERROR(__xludf.DUMMYFUNCTION("""COMPUTED_VALUE"""),"04/27/2016")</f>
        <v>04/27/2016</v>
      </c>
      <c r="H2320" s="6" t="str">
        <f>IFERROR(__xludf.DUMMYFUNCTION("""COMPUTED_VALUE"""),"Self Identify")</f>
        <v>Self Identify</v>
      </c>
      <c r="I2320" s="6" t="str">
        <f>IFERROR(__xludf.DUMMYFUNCTION("""COMPUTED_VALUE"""),"Middle School")</f>
        <v>Middle School</v>
      </c>
      <c r="J2320" s="6" t="str">
        <f>IFERROR(__xludf.DUMMYFUNCTION("""COMPUTED_VALUE"""),"6")</f>
        <v>6</v>
      </c>
      <c r="K2320" s="6" t="str">
        <f>IFERROR(__xludf.DUMMYFUNCTION("""COMPUTED_VALUE"""),"makennea.mina@unbound.school")</f>
        <v>makennea.mina@unbound.school</v>
      </c>
      <c r="L2320" s="6" t="str">
        <f>IFERROR(__xludf.DUMMYFUNCTION("""COMPUTED_VALUE"""),"Unbound Academy")</f>
        <v>Unbound Academy</v>
      </c>
      <c r="M2320" s="6" t="str">
        <f>IFERROR(__xludf.DUMMYFUNCTION("""COMPUTED_VALUE"""),"")</f>
        <v/>
      </c>
      <c r="N2320" s="6" t="str">
        <f>IFERROR(__xludf.DUMMYFUNCTION("""COMPUTED_VALUE"""),"")</f>
        <v/>
      </c>
      <c r="O2320" s="87" t="str">
        <f>IFERROR(__xludf.DUMMYFUNCTION("""COMPUTED_VALUE"""),"https://drive.google.com/drive/folders/10T2cTQHqEJZqE-st6uFKPoI?usp=share_link")</f>
        <v>https://drive.google.com/drive/folders/10T2cTQHqEJZqE-st6uFKPoI?usp=share_link</v>
      </c>
      <c r="P2320" s="6" t="str">
        <f>IFERROR(__xludf.DUMMYFUNCTION("""COMPUTED_VALUE"""),"MaKennea Mina")</f>
        <v>MaKennea Mina</v>
      </c>
      <c r="Q2320" s="6" t="str">
        <f>IFERROR(__xludf.DUMMYFUNCTION("""COMPUTED_VALUE"""),"MS")</f>
        <v>MS</v>
      </c>
      <c r="R2320" s="6">
        <f>IFERROR(__xludf.DUMMYFUNCTION("""COMPUTED_VALUE"""),0.0)</f>
        <v>0</v>
      </c>
      <c r="S2320" s="6" t="str">
        <f>IFERROR(__xludf.DUMMYFUNCTION("""COMPUTED_VALUE""")," ")</f>
        <v> </v>
      </c>
      <c r="T2320" s="6" t="str">
        <f>IFERROR(__xludf.DUMMYFUNCTION("""COMPUTED_VALUE"""),"")</f>
        <v/>
      </c>
      <c r="U2320" s="6" t="str">
        <f>IFERROR(__xludf.DUMMYFUNCTION("""COMPUTED_VALUE"""),"6")</f>
        <v>6</v>
      </c>
      <c r="V2320" s="6" t="str">
        <f>IFERROR(__xludf.DUMMYFUNCTION("""COMPUTED_VALUE"""),"")</f>
        <v/>
      </c>
      <c r="W2320" s="6" t="str">
        <f>IFERROR(__xludf.DUMMYFUNCTION("""COMPUTED_VALUE"""),"[]")</f>
        <v>[]</v>
      </c>
      <c r="X2320" s="6" t="str">
        <f>IFERROR(__xludf.DUMMYFUNCTION("""COMPUTED_VALUE"""),"Enrolled")</f>
        <v>Enrolled</v>
      </c>
    </row>
    <row r="2321">
      <c r="A2321" s="6" t="str">
        <f>IFERROR(__xludf.DUMMYFUNCTION("""COMPUTED_VALUE"""),"040-11088")</f>
        <v>040-11088</v>
      </c>
      <c r="B2321" s="6" t="str">
        <f>IFERROR(__xludf.DUMMYFUNCTION("""COMPUTED_VALUE"""),"40")</f>
        <v>40</v>
      </c>
      <c r="C2321" s="6" t="str">
        <f>IFERROR(__xludf.DUMMYFUNCTION("""COMPUTED_VALUE"""),"11088")</f>
        <v>11088</v>
      </c>
      <c r="D2321" s="6" t="str">
        <f>IFERROR(__xludf.DUMMYFUNCTION("""COMPUTED_VALUE"""),"Kadence")</f>
        <v>Kadence</v>
      </c>
      <c r="E2321" s="6" t="str">
        <f>IFERROR(__xludf.DUMMYFUNCTION("""COMPUTED_VALUE"""),"")</f>
        <v/>
      </c>
      <c r="F2321" s="6" t="str">
        <f>IFERROR(__xludf.DUMMYFUNCTION("""COMPUTED_VALUE"""),"Caparas")</f>
        <v>Caparas</v>
      </c>
      <c r="G2321" s="6" t="str">
        <f>IFERROR(__xludf.DUMMYFUNCTION("""COMPUTED_VALUE"""),"08/25/2014")</f>
        <v>08/25/2014</v>
      </c>
      <c r="H2321" s="6" t="str">
        <f>IFERROR(__xludf.DUMMYFUNCTION("""COMPUTED_VALUE"""),"Self Identify")</f>
        <v>Self Identify</v>
      </c>
      <c r="I2321" s="6" t="str">
        <f>IFERROR(__xludf.DUMMYFUNCTION("""COMPUTED_VALUE"""),"Middle School")</f>
        <v>Middle School</v>
      </c>
      <c r="J2321" s="6" t="str">
        <f>IFERROR(__xludf.DUMMYFUNCTION("""COMPUTED_VALUE"""),"6")</f>
        <v>6</v>
      </c>
      <c r="K2321" s="6" t="str">
        <f>IFERROR(__xludf.DUMMYFUNCTION("""COMPUTED_VALUE"""),"kadence.caparas@unbound.school")</f>
        <v>kadence.caparas@unbound.school</v>
      </c>
      <c r="L2321" s="6" t="str">
        <f>IFERROR(__xludf.DUMMYFUNCTION("""COMPUTED_VALUE"""),"Unbound Academy")</f>
        <v>Unbound Academy</v>
      </c>
      <c r="M2321" s="6" t="str">
        <f>IFERROR(__xludf.DUMMYFUNCTION("""COMPUTED_VALUE"""),"")</f>
        <v/>
      </c>
      <c r="N2321" s="6" t="str">
        <f>IFERROR(__xludf.DUMMYFUNCTION("""COMPUTED_VALUE"""),"")</f>
        <v/>
      </c>
      <c r="O2321" s="87" t="str">
        <f>IFERROR(__xludf.DUMMYFUNCTION("""COMPUTED_VALUE"""),"https://drive.google.com/drive/folders/10T2cTQHqEJZqE-st6uFKPoI?usp=share_link")</f>
        <v>https://drive.google.com/drive/folders/10T2cTQHqEJZqE-st6uFKPoI?usp=share_link</v>
      </c>
      <c r="P2321" s="6" t="str">
        <f>IFERROR(__xludf.DUMMYFUNCTION("""COMPUTED_VALUE"""),"Kadence Caparas")</f>
        <v>Kadence Caparas</v>
      </c>
      <c r="Q2321" s="6" t="str">
        <f>IFERROR(__xludf.DUMMYFUNCTION("""COMPUTED_VALUE"""),"MS")</f>
        <v>MS</v>
      </c>
      <c r="R2321" s="6">
        <f>IFERROR(__xludf.DUMMYFUNCTION("""COMPUTED_VALUE"""),0.0)</f>
        <v>0</v>
      </c>
      <c r="S2321" s="6" t="str">
        <f>IFERROR(__xludf.DUMMYFUNCTION("""COMPUTED_VALUE""")," ")</f>
        <v> </v>
      </c>
      <c r="T2321" s="6" t="str">
        <f>IFERROR(__xludf.DUMMYFUNCTION("""COMPUTED_VALUE"""),"")</f>
        <v/>
      </c>
      <c r="U2321" s="6" t="str">
        <f>IFERROR(__xludf.DUMMYFUNCTION("""COMPUTED_VALUE"""),"6")</f>
        <v>6</v>
      </c>
      <c r="V2321" s="6" t="str">
        <f>IFERROR(__xludf.DUMMYFUNCTION("""COMPUTED_VALUE"""),"")</f>
        <v/>
      </c>
      <c r="W2321" s="6" t="str">
        <f>IFERROR(__xludf.DUMMYFUNCTION("""COMPUTED_VALUE"""),"[]")</f>
        <v>[]</v>
      </c>
      <c r="X2321" s="6" t="str">
        <f>IFERROR(__xludf.DUMMYFUNCTION("""COMPUTED_VALUE"""),"Enrolled")</f>
        <v>Enrolled</v>
      </c>
    </row>
    <row r="2322">
      <c r="A2322" s="6" t="str">
        <f>IFERROR(__xludf.DUMMYFUNCTION("""COMPUTED_VALUE"""),"040-11109")</f>
        <v>040-11109</v>
      </c>
      <c r="B2322" s="6" t="str">
        <f>IFERROR(__xludf.DUMMYFUNCTION("""COMPUTED_VALUE"""),"40")</f>
        <v>40</v>
      </c>
      <c r="C2322" s="6" t="str">
        <f>IFERROR(__xludf.DUMMYFUNCTION("""COMPUTED_VALUE"""),"11109")</f>
        <v>11109</v>
      </c>
      <c r="D2322" s="6" t="str">
        <f>IFERROR(__xludf.DUMMYFUNCTION("""COMPUTED_VALUE"""),"Soriyia")</f>
        <v>Soriyia</v>
      </c>
      <c r="E2322" s="6" t="str">
        <f>IFERROR(__xludf.DUMMYFUNCTION("""COMPUTED_VALUE"""),"")</f>
        <v/>
      </c>
      <c r="F2322" s="6" t="str">
        <f>IFERROR(__xludf.DUMMYFUNCTION("""COMPUTED_VALUE"""),"Dougchan")</f>
        <v>Dougchan</v>
      </c>
      <c r="G2322" s="6" t="str">
        <f>IFERROR(__xludf.DUMMYFUNCTION("""COMPUTED_VALUE"""),"07/23/2012")</f>
        <v>07/23/2012</v>
      </c>
      <c r="H2322" s="6" t="str">
        <f>IFERROR(__xludf.DUMMYFUNCTION("""COMPUTED_VALUE"""),"Self Identify")</f>
        <v>Self Identify</v>
      </c>
      <c r="I2322" s="6" t="str">
        <f>IFERROR(__xludf.DUMMYFUNCTION("""COMPUTED_VALUE"""),"Middle School")</f>
        <v>Middle School</v>
      </c>
      <c r="J2322" s="6" t="str">
        <f>IFERROR(__xludf.DUMMYFUNCTION("""COMPUTED_VALUE"""),"8")</f>
        <v>8</v>
      </c>
      <c r="K2322" s="6" t="str">
        <f>IFERROR(__xludf.DUMMYFUNCTION("""COMPUTED_VALUE"""),"soriyia.dougchan@unbound.school")</f>
        <v>soriyia.dougchan@unbound.school</v>
      </c>
      <c r="L2322" s="6" t="str">
        <f>IFERROR(__xludf.DUMMYFUNCTION("""COMPUTED_VALUE"""),"Unbound Academy")</f>
        <v>Unbound Academy</v>
      </c>
      <c r="M2322" s="6" t="str">
        <f>IFERROR(__xludf.DUMMYFUNCTION("""COMPUTED_VALUE"""),"")</f>
        <v/>
      </c>
      <c r="N2322" s="6" t="str">
        <f>IFERROR(__xludf.DUMMYFUNCTION("""COMPUTED_VALUE"""),"")</f>
        <v/>
      </c>
      <c r="O2322" s="87" t="str">
        <f>IFERROR(__xludf.DUMMYFUNCTION("""COMPUTED_VALUE"""),"https://drive.google.com/drive/folders/10T2cTQHqEJZqE-st6uFKPoI?usp=share_link")</f>
        <v>https://drive.google.com/drive/folders/10T2cTQHqEJZqE-st6uFKPoI?usp=share_link</v>
      </c>
      <c r="P2322" s="6" t="str">
        <f>IFERROR(__xludf.DUMMYFUNCTION("""COMPUTED_VALUE"""),"Soriyia Dougchan")</f>
        <v>Soriyia Dougchan</v>
      </c>
      <c r="Q2322" s="6" t="str">
        <f>IFERROR(__xludf.DUMMYFUNCTION("""COMPUTED_VALUE"""),"MS")</f>
        <v>MS</v>
      </c>
      <c r="R2322" s="6">
        <f>IFERROR(__xludf.DUMMYFUNCTION("""COMPUTED_VALUE"""),0.0)</f>
        <v>0</v>
      </c>
      <c r="S2322" s="6" t="str">
        <f>IFERROR(__xludf.DUMMYFUNCTION("""COMPUTED_VALUE""")," ")</f>
        <v> </v>
      </c>
      <c r="T2322" s="6" t="str">
        <f>IFERROR(__xludf.DUMMYFUNCTION("""COMPUTED_VALUE"""),"")</f>
        <v/>
      </c>
      <c r="U2322" s="6" t="str">
        <f>IFERROR(__xludf.DUMMYFUNCTION("""COMPUTED_VALUE"""),"8")</f>
        <v>8</v>
      </c>
      <c r="V2322" s="6" t="str">
        <f>IFERROR(__xludf.DUMMYFUNCTION("""COMPUTED_VALUE"""),"")</f>
        <v/>
      </c>
      <c r="W2322" s="6" t="str">
        <f>IFERROR(__xludf.DUMMYFUNCTION("""COMPUTED_VALUE"""),"[]")</f>
        <v>[]</v>
      </c>
      <c r="X2322" s="6" t="str">
        <f>IFERROR(__xludf.DUMMYFUNCTION("""COMPUTED_VALUE"""),"Enrolled")</f>
        <v>Enrolled</v>
      </c>
    </row>
    <row r="2323">
      <c r="A2323" s="6" t="str">
        <f>IFERROR(__xludf.DUMMYFUNCTION("""COMPUTED_VALUE"""),"040-11122")</f>
        <v>040-11122</v>
      </c>
      <c r="B2323" s="6" t="str">
        <f>IFERROR(__xludf.DUMMYFUNCTION("""COMPUTED_VALUE"""),"40")</f>
        <v>40</v>
      </c>
      <c r="C2323" s="6" t="str">
        <f>IFERROR(__xludf.DUMMYFUNCTION("""COMPUTED_VALUE"""),"11122")</f>
        <v>11122</v>
      </c>
      <c r="D2323" s="6" t="str">
        <f>IFERROR(__xludf.DUMMYFUNCTION("""COMPUTED_VALUE"""),"Cheyenne")</f>
        <v>Cheyenne</v>
      </c>
      <c r="E2323" s="6" t="str">
        <f>IFERROR(__xludf.DUMMYFUNCTION("""COMPUTED_VALUE"""),"")</f>
        <v/>
      </c>
      <c r="F2323" s="6" t="str">
        <f>IFERROR(__xludf.DUMMYFUNCTION("""COMPUTED_VALUE"""),"Stuart")</f>
        <v>Stuart</v>
      </c>
      <c r="G2323" s="6" t="str">
        <f>IFERROR(__xludf.DUMMYFUNCTION("""COMPUTED_VALUE"""),"09/21/2013")</f>
        <v>09/21/2013</v>
      </c>
      <c r="H2323" s="6" t="str">
        <f>IFERROR(__xludf.DUMMYFUNCTION("""COMPUTED_VALUE"""),"Self Identify")</f>
        <v>Self Identify</v>
      </c>
      <c r="I2323" s="6" t="str">
        <f>IFERROR(__xludf.DUMMYFUNCTION("""COMPUTED_VALUE"""),"Middle School")</f>
        <v>Middle School</v>
      </c>
      <c r="J2323" s="6" t="str">
        <f>IFERROR(__xludf.DUMMYFUNCTION("""COMPUTED_VALUE"""),"6")</f>
        <v>6</v>
      </c>
      <c r="K2323" s="6" t="str">
        <f>IFERROR(__xludf.DUMMYFUNCTION("""COMPUTED_VALUE"""),"cheyenne.stuart@unbound.school")</f>
        <v>cheyenne.stuart@unbound.school</v>
      </c>
      <c r="L2323" s="6" t="str">
        <f>IFERROR(__xludf.DUMMYFUNCTION("""COMPUTED_VALUE"""),"Unbound Academy")</f>
        <v>Unbound Academy</v>
      </c>
      <c r="M2323" s="6" t="str">
        <f>IFERROR(__xludf.DUMMYFUNCTION("""COMPUTED_VALUE"""),"")</f>
        <v/>
      </c>
      <c r="N2323" s="6" t="str">
        <f>IFERROR(__xludf.DUMMYFUNCTION("""COMPUTED_VALUE"""),"")</f>
        <v/>
      </c>
      <c r="O2323" s="87" t="str">
        <f>IFERROR(__xludf.DUMMYFUNCTION("""COMPUTED_VALUE"""),"https://drive.google.com/drive/folders/10T2cTQHqEJZqE-st6uFKPoI?usp=share_link")</f>
        <v>https://drive.google.com/drive/folders/10T2cTQHqEJZqE-st6uFKPoI?usp=share_link</v>
      </c>
      <c r="P2323" s="6" t="str">
        <f>IFERROR(__xludf.DUMMYFUNCTION("""COMPUTED_VALUE"""),"Cheyenne Stuart")</f>
        <v>Cheyenne Stuart</v>
      </c>
      <c r="Q2323" s="6" t="str">
        <f>IFERROR(__xludf.DUMMYFUNCTION("""COMPUTED_VALUE"""),"MS")</f>
        <v>MS</v>
      </c>
      <c r="R2323" s="6">
        <f>IFERROR(__xludf.DUMMYFUNCTION("""COMPUTED_VALUE"""),0.0)</f>
        <v>0</v>
      </c>
      <c r="S2323" s="6" t="str">
        <f>IFERROR(__xludf.DUMMYFUNCTION("""COMPUTED_VALUE""")," ")</f>
        <v> </v>
      </c>
      <c r="T2323" s="6" t="str">
        <f>IFERROR(__xludf.DUMMYFUNCTION("""COMPUTED_VALUE"""),"")</f>
        <v/>
      </c>
      <c r="U2323" s="6" t="str">
        <f>IFERROR(__xludf.DUMMYFUNCTION("""COMPUTED_VALUE"""),"6")</f>
        <v>6</v>
      </c>
      <c r="V2323" s="6" t="str">
        <f>IFERROR(__xludf.DUMMYFUNCTION("""COMPUTED_VALUE"""),"")</f>
        <v/>
      </c>
      <c r="W2323" s="6" t="str">
        <f>IFERROR(__xludf.DUMMYFUNCTION("""COMPUTED_VALUE"""),"[]")</f>
        <v>[]</v>
      </c>
      <c r="X2323" s="6" t="str">
        <f>IFERROR(__xludf.DUMMYFUNCTION("""COMPUTED_VALUE"""),"Enrolled")</f>
        <v>Enrolled</v>
      </c>
    </row>
    <row r="2324">
      <c r="A2324" s="6" t="str">
        <f>IFERROR(__xludf.DUMMYFUNCTION("""COMPUTED_VALUE"""),"040-11182")</f>
        <v>040-11182</v>
      </c>
      <c r="B2324" s="6" t="str">
        <f>IFERROR(__xludf.DUMMYFUNCTION("""COMPUTED_VALUE"""),"40")</f>
        <v>40</v>
      </c>
      <c r="C2324" s="6" t="str">
        <f>IFERROR(__xludf.DUMMYFUNCTION("""COMPUTED_VALUE"""),"11182")</f>
        <v>11182</v>
      </c>
      <c r="D2324" s="6" t="str">
        <f>IFERROR(__xludf.DUMMYFUNCTION("""COMPUTED_VALUE"""),"Gizelle")</f>
        <v>Gizelle</v>
      </c>
      <c r="E2324" s="6" t="str">
        <f>IFERROR(__xludf.DUMMYFUNCTION("""COMPUTED_VALUE"""),"")</f>
        <v/>
      </c>
      <c r="F2324" s="6" t="str">
        <f>IFERROR(__xludf.DUMMYFUNCTION("""COMPUTED_VALUE"""),"Gleave")</f>
        <v>Gleave</v>
      </c>
      <c r="G2324" s="6" t="str">
        <f>IFERROR(__xludf.DUMMYFUNCTION("""COMPUTED_VALUE"""),"05/26/2012")</f>
        <v>05/26/2012</v>
      </c>
      <c r="H2324" s="6" t="str">
        <f>IFERROR(__xludf.DUMMYFUNCTION("""COMPUTED_VALUE"""),"Self Identify")</f>
        <v>Self Identify</v>
      </c>
      <c r="I2324" s="6" t="str">
        <f>IFERROR(__xludf.DUMMYFUNCTION("""COMPUTED_VALUE"""),"Middle School")</f>
        <v>Middle School</v>
      </c>
      <c r="J2324" s="6" t="str">
        <f>IFERROR(__xludf.DUMMYFUNCTION("""COMPUTED_VALUE"""),"8")</f>
        <v>8</v>
      </c>
      <c r="K2324" s="6" t="str">
        <f>IFERROR(__xludf.DUMMYFUNCTION("""COMPUTED_VALUE"""),"gizelle.gleave@unbound.school")</f>
        <v>gizelle.gleave@unbound.school</v>
      </c>
      <c r="L2324" s="6" t="str">
        <f>IFERROR(__xludf.DUMMYFUNCTION("""COMPUTED_VALUE"""),"Unbound Academy")</f>
        <v>Unbound Academy</v>
      </c>
      <c r="M2324" s="6" t="str">
        <f>IFERROR(__xludf.DUMMYFUNCTION("""COMPUTED_VALUE"""),"")</f>
        <v/>
      </c>
      <c r="N2324" s="6" t="str">
        <f>IFERROR(__xludf.DUMMYFUNCTION("""COMPUTED_VALUE"""),"")</f>
        <v/>
      </c>
      <c r="O2324" s="87" t="str">
        <f>IFERROR(__xludf.DUMMYFUNCTION("""COMPUTED_VALUE"""),"https://drive.google.com/drive/folders/10T2cTQHqEJZqE-st6uFKPoI?usp=share_link")</f>
        <v>https://drive.google.com/drive/folders/10T2cTQHqEJZqE-st6uFKPoI?usp=share_link</v>
      </c>
      <c r="P2324" s="6" t="str">
        <f>IFERROR(__xludf.DUMMYFUNCTION("""COMPUTED_VALUE"""),"Gizelle Gleave")</f>
        <v>Gizelle Gleave</v>
      </c>
      <c r="Q2324" s="6" t="str">
        <f>IFERROR(__xludf.DUMMYFUNCTION("""COMPUTED_VALUE"""),"MS")</f>
        <v>MS</v>
      </c>
      <c r="R2324" s="6">
        <f>IFERROR(__xludf.DUMMYFUNCTION("""COMPUTED_VALUE"""),0.0)</f>
        <v>0</v>
      </c>
      <c r="S2324" s="6" t="str">
        <f>IFERROR(__xludf.DUMMYFUNCTION("""COMPUTED_VALUE""")," ")</f>
        <v> </v>
      </c>
      <c r="T2324" s="6" t="str">
        <f>IFERROR(__xludf.DUMMYFUNCTION("""COMPUTED_VALUE"""),"")</f>
        <v/>
      </c>
      <c r="U2324" s="6" t="str">
        <f>IFERROR(__xludf.DUMMYFUNCTION("""COMPUTED_VALUE"""),"8")</f>
        <v>8</v>
      </c>
      <c r="V2324" s="6" t="str">
        <f>IFERROR(__xludf.DUMMYFUNCTION("""COMPUTED_VALUE"""),"")</f>
        <v/>
      </c>
      <c r="W2324" s="6" t="str">
        <f>IFERROR(__xludf.DUMMYFUNCTION("""COMPUTED_VALUE"""),"[]")</f>
        <v>[]</v>
      </c>
      <c r="X2324" s="6" t="str">
        <f>IFERROR(__xludf.DUMMYFUNCTION("""COMPUTED_VALUE"""),"Enrolled")</f>
        <v>Enrolled</v>
      </c>
    </row>
    <row r="2325">
      <c r="A2325" s="6" t="str">
        <f>IFERROR(__xludf.DUMMYFUNCTION("""COMPUTED_VALUE"""),"040-11198")</f>
        <v>040-11198</v>
      </c>
      <c r="B2325" s="6" t="str">
        <f>IFERROR(__xludf.DUMMYFUNCTION("""COMPUTED_VALUE"""),"40")</f>
        <v>40</v>
      </c>
      <c r="C2325" s="6" t="str">
        <f>IFERROR(__xludf.DUMMYFUNCTION("""COMPUTED_VALUE"""),"11198")</f>
        <v>11198</v>
      </c>
      <c r="D2325" s="6" t="str">
        <f>IFERROR(__xludf.DUMMYFUNCTION("""COMPUTED_VALUE"""),"Selah")</f>
        <v>Selah</v>
      </c>
      <c r="E2325" s="6" t="str">
        <f>IFERROR(__xludf.DUMMYFUNCTION("""COMPUTED_VALUE"""),"")</f>
        <v/>
      </c>
      <c r="F2325" s="6" t="str">
        <f>IFERROR(__xludf.DUMMYFUNCTION("""COMPUTED_VALUE"""),"Santiago")</f>
        <v>Santiago</v>
      </c>
      <c r="G2325" s="6" t="str">
        <f>IFERROR(__xludf.DUMMYFUNCTION("""COMPUTED_VALUE"""),"04/11/2013")</f>
        <v>04/11/2013</v>
      </c>
      <c r="H2325" s="6" t="str">
        <f>IFERROR(__xludf.DUMMYFUNCTION("""COMPUTED_VALUE"""),"Self Identify")</f>
        <v>Self Identify</v>
      </c>
      <c r="I2325" s="6" t="str">
        <f>IFERROR(__xludf.DUMMYFUNCTION("""COMPUTED_VALUE"""),"Middle School")</f>
        <v>Middle School</v>
      </c>
      <c r="J2325" s="6" t="str">
        <f>IFERROR(__xludf.DUMMYFUNCTION("""COMPUTED_VALUE"""),"7")</f>
        <v>7</v>
      </c>
      <c r="K2325" s="6" t="str">
        <f>IFERROR(__xludf.DUMMYFUNCTION("""COMPUTED_VALUE"""),"selah.santiago@unbound.school")</f>
        <v>selah.santiago@unbound.school</v>
      </c>
      <c r="L2325" s="6" t="str">
        <f>IFERROR(__xludf.DUMMYFUNCTION("""COMPUTED_VALUE"""),"Unbound Academy")</f>
        <v>Unbound Academy</v>
      </c>
      <c r="M2325" s="6" t="str">
        <f>IFERROR(__xludf.DUMMYFUNCTION("""COMPUTED_VALUE"""),"")</f>
        <v/>
      </c>
      <c r="N2325" s="6" t="str">
        <f>IFERROR(__xludf.DUMMYFUNCTION("""COMPUTED_VALUE"""),"")</f>
        <v/>
      </c>
      <c r="O2325" s="87" t="str">
        <f>IFERROR(__xludf.DUMMYFUNCTION("""COMPUTED_VALUE"""),"https://drive.google.com/drive/folders/10T2cTQHqEJZqE-st6uFKPoI?usp=share_link")</f>
        <v>https://drive.google.com/drive/folders/10T2cTQHqEJZqE-st6uFKPoI?usp=share_link</v>
      </c>
      <c r="P2325" s="6" t="str">
        <f>IFERROR(__xludf.DUMMYFUNCTION("""COMPUTED_VALUE"""),"Selah Santiago")</f>
        <v>Selah Santiago</v>
      </c>
      <c r="Q2325" s="6" t="str">
        <f>IFERROR(__xludf.DUMMYFUNCTION("""COMPUTED_VALUE"""),"MS")</f>
        <v>MS</v>
      </c>
      <c r="R2325" s="6">
        <f>IFERROR(__xludf.DUMMYFUNCTION("""COMPUTED_VALUE"""),0.0)</f>
        <v>0</v>
      </c>
      <c r="S2325" s="6" t="str">
        <f>IFERROR(__xludf.DUMMYFUNCTION("""COMPUTED_VALUE""")," ")</f>
        <v> </v>
      </c>
      <c r="T2325" s="6" t="str">
        <f>IFERROR(__xludf.DUMMYFUNCTION("""COMPUTED_VALUE"""),"")</f>
        <v/>
      </c>
      <c r="U2325" s="6" t="str">
        <f>IFERROR(__xludf.DUMMYFUNCTION("""COMPUTED_VALUE"""),"7")</f>
        <v>7</v>
      </c>
      <c r="V2325" s="6" t="str">
        <f>IFERROR(__xludf.DUMMYFUNCTION("""COMPUTED_VALUE"""),"")</f>
        <v/>
      </c>
      <c r="W2325" s="6" t="str">
        <f>IFERROR(__xludf.DUMMYFUNCTION("""COMPUTED_VALUE"""),"[]")</f>
        <v>[]</v>
      </c>
      <c r="X2325" s="6" t="str">
        <f>IFERROR(__xludf.DUMMYFUNCTION("""COMPUTED_VALUE"""),"Enrolled")</f>
        <v>Enrolled</v>
      </c>
    </row>
    <row r="2326">
      <c r="A2326" s="6" t="str">
        <f>IFERROR(__xludf.DUMMYFUNCTION("""COMPUTED_VALUE"""),"040-11201")</f>
        <v>040-11201</v>
      </c>
      <c r="B2326" s="6" t="str">
        <f>IFERROR(__xludf.DUMMYFUNCTION("""COMPUTED_VALUE"""),"40")</f>
        <v>40</v>
      </c>
      <c r="C2326" s="6" t="str">
        <f>IFERROR(__xludf.DUMMYFUNCTION("""COMPUTED_VALUE"""),"11201")</f>
        <v>11201</v>
      </c>
      <c r="D2326" s="6" t="str">
        <f>IFERROR(__xludf.DUMMYFUNCTION("""COMPUTED_VALUE"""),"Evan")</f>
        <v>Evan</v>
      </c>
      <c r="E2326" s="6" t="str">
        <f>IFERROR(__xludf.DUMMYFUNCTION("""COMPUTED_VALUE"""),"")</f>
        <v/>
      </c>
      <c r="F2326" s="6" t="str">
        <f>IFERROR(__xludf.DUMMYFUNCTION("""COMPUTED_VALUE"""),"Duncan")</f>
        <v>Duncan</v>
      </c>
      <c r="G2326" s="6" t="str">
        <f>IFERROR(__xludf.DUMMYFUNCTION("""COMPUTED_VALUE"""),"07/13/2013")</f>
        <v>07/13/2013</v>
      </c>
      <c r="H2326" s="6" t="str">
        <f>IFERROR(__xludf.DUMMYFUNCTION("""COMPUTED_VALUE"""),"Self Identify")</f>
        <v>Self Identify</v>
      </c>
      <c r="I2326" s="6" t="str">
        <f>IFERROR(__xludf.DUMMYFUNCTION("""COMPUTED_VALUE"""),"Middle School")</f>
        <v>Middle School</v>
      </c>
      <c r="J2326" s="6" t="str">
        <f>IFERROR(__xludf.DUMMYFUNCTION("""COMPUTED_VALUE"""),"7")</f>
        <v>7</v>
      </c>
      <c r="K2326" s="6" t="str">
        <f>IFERROR(__xludf.DUMMYFUNCTION("""COMPUTED_VALUE"""),"evan.duncan@unbound.school")</f>
        <v>evan.duncan@unbound.school</v>
      </c>
      <c r="L2326" s="6" t="str">
        <f>IFERROR(__xludf.DUMMYFUNCTION("""COMPUTED_VALUE"""),"Unbound Academy")</f>
        <v>Unbound Academy</v>
      </c>
      <c r="M2326" s="6" t="str">
        <f>IFERROR(__xludf.DUMMYFUNCTION("""COMPUTED_VALUE"""),"")</f>
        <v/>
      </c>
      <c r="N2326" s="6" t="str">
        <f>IFERROR(__xludf.DUMMYFUNCTION("""COMPUTED_VALUE"""),"")</f>
        <v/>
      </c>
      <c r="O2326" s="87" t="str">
        <f>IFERROR(__xludf.DUMMYFUNCTION("""COMPUTED_VALUE"""),"https://drive.google.com/drive/folders/10T2cTQHqEJZqE-st6uFKPoI?usp=share_link")</f>
        <v>https://drive.google.com/drive/folders/10T2cTQHqEJZqE-st6uFKPoI?usp=share_link</v>
      </c>
      <c r="P2326" s="6" t="str">
        <f>IFERROR(__xludf.DUMMYFUNCTION("""COMPUTED_VALUE"""),"Evan Duncan")</f>
        <v>Evan Duncan</v>
      </c>
      <c r="Q2326" s="6" t="str">
        <f>IFERROR(__xludf.DUMMYFUNCTION("""COMPUTED_VALUE"""),"MS")</f>
        <v>MS</v>
      </c>
      <c r="R2326" s="6">
        <f>IFERROR(__xludf.DUMMYFUNCTION("""COMPUTED_VALUE"""),0.0)</f>
        <v>0</v>
      </c>
      <c r="S2326" s="6" t="str">
        <f>IFERROR(__xludf.DUMMYFUNCTION("""COMPUTED_VALUE""")," ")</f>
        <v> </v>
      </c>
      <c r="T2326" s="6" t="str">
        <f>IFERROR(__xludf.DUMMYFUNCTION("""COMPUTED_VALUE"""),"")</f>
        <v/>
      </c>
      <c r="U2326" s="6" t="str">
        <f>IFERROR(__xludf.DUMMYFUNCTION("""COMPUTED_VALUE"""),"7")</f>
        <v>7</v>
      </c>
      <c r="V2326" s="6" t="str">
        <f>IFERROR(__xludf.DUMMYFUNCTION("""COMPUTED_VALUE"""),"")</f>
        <v/>
      </c>
      <c r="W2326" s="6" t="str">
        <f>IFERROR(__xludf.DUMMYFUNCTION("""COMPUTED_VALUE"""),"[]")</f>
        <v>[]</v>
      </c>
      <c r="X2326" s="6" t="str">
        <f>IFERROR(__xludf.DUMMYFUNCTION("""COMPUTED_VALUE"""),"Enrolled")</f>
        <v>Enrolled</v>
      </c>
    </row>
    <row r="2327">
      <c r="A2327" s="6" t="str">
        <f>IFERROR(__xludf.DUMMYFUNCTION("""COMPUTED_VALUE"""),"040-11217")</f>
        <v>040-11217</v>
      </c>
      <c r="B2327" s="6" t="str">
        <f>IFERROR(__xludf.DUMMYFUNCTION("""COMPUTED_VALUE"""),"40")</f>
        <v>40</v>
      </c>
      <c r="C2327" s="6" t="str">
        <f>IFERROR(__xludf.DUMMYFUNCTION("""COMPUTED_VALUE"""),"11217")</f>
        <v>11217</v>
      </c>
      <c r="D2327" s="6" t="str">
        <f>IFERROR(__xludf.DUMMYFUNCTION("""COMPUTED_VALUE"""),"Mia")</f>
        <v>Mia</v>
      </c>
      <c r="E2327" s="6" t="str">
        <f>IFERROR(__xludf.DUMMYFUNCTION("""COMPUTED_VALUE"""),"")</f>
        <v/>
      </c>
      <c r="F2327" s="6" t="str">
        <f>IFERROR(__xludf.DUMMYFUNCTION("""COMPUTED_VALUE"""),"Duncan")</f>
        <v>Duncan</v>
      </c>
      <c r="G2327" s="6" t="str">
        <f>IFERROR(__xludf.DUMMYFUNCTION("""COMPUTED_VALUE"""),"06/21/2012")</f>
        <v>06/21/2012</v>
      </c>
      <c r="H2327" s="6" t="str">
        <f>IFERROR(__xludf.DUMMYFUNCTION("""COMPUTED_VALUE"""),"Self Identify")</f>
        <v>Self Identify</v>
      </c>
      <c r="I2327" s="6" t="str">
        <f>IFERROR(__xludf.DUMMYFUNCTION("""COMPUTED_VALUE"""),"Middle School")</f>
        <v>Middle School</v>
      </c>
      <c r="J2327" s="6" t="str">
        <f>IFERROR(__xludf.DUMMYFUNCTION("""COMPUTED_VALUE"""),"8")</f>
        <v>8</v>
      </c>
      <c r="K2327" s="6" t="str">
        <f>IFERROR(__xludf.DUMMYFUNCTION("""COMPUTED_VALUE"""),"mia.duncan@unbound.school")</f>
        <v>mia.duncan@unbound.school</v>
      </c>
      <c r="L2327" s="6" t="str">
        <f>IFERROR(__xludf.DUMMYFUNCTION("""COMPUTED_VALUE"""),"Unbound Academy")</f>
        <v>Unbound Academy</v>
      </c>
      <c r="M2327" s="6" t="str">
        <f>IFERROR(__xludf.DUMMYFUNCTION("""COMPUTED_VALUE"""),"")</f>
        <v/>
      </c>
      <c r="N2327" s="6" t="str">
        <f>IFERROR(__xludf.DUMMYFUNCTION("""COMPUTED_VALUE"""),"")</f>
        <v/>
      </c>
      <c r="O2327" s="87" t="str">
        <f>IFERROR(__xludf.DUMMYFUNCTION("""COMPUTED_VALUE"""),"https://drive.google.com/drive/folders/10T2cTQHqEJZqE-st6uFKPoI?usp=share_link")</f>
        <v>https://drive.google.com/drive/folders/10T2cTQHqEJZqE-st6uFKPoI?usp=share_link</v>
      </c>
      <c r="P2327" s="6" t="str">
        <f>IFERROR(__xludf.DUMMYFUNCTION("""COMPUTED_VALUE"""),"Mia Duncan")</f>
        <v>Mia Duncan</v>
      </c>
      <c r="Q2327" s="6" t="str">
        <f>IFERROR(__xludf.DUMMYFUNCTION("""COMPUTED_VALUE"""),"MS")</f>
        <v>MS</v>
      </c>
      <c r="R2327" s="6">
        <f>IFERROR(__xludf.DUMMYFUNCTION("""COMPUTED_VALUE"""),0.0)</f>
        <v>0</v>
      </c>
      <c r="S2327" s="6" t="str">
        <f>IFERROR(__xludf.DUMMYFUNCTION("""COMPUTED_VALUE""")," ")</f>
        <v> </v>
      </c>
      <c r="T2327" s="6" t="str">
        <f>IFERROR(__xludf.DUMMYFUNCTION("""COMPUTED_VALUE"""),"")</f>
        <v/>
      </c>
      <c r="U2327" s="6" t="str">
        <f>IFERROR(__xludf.DUMMYFUNCTION("""COMPUTED_VALUE"""),"8")</f>
        <v>8</v>
      </c>
      <c r="V2327" s="6" t="str">
        <f>IFERROR(__xludf.DUMMYFUNCTION("""COMPUTED_VALUE"""),"")</f>
        <v/>
      </c>
      <c r="W2327" s="6" t="str">
        <f>IFERROR(__xludf.DUMMYFUNCTION("""COMPUTED_VALUE"""),"[]")</f>
        <v>[]</v>
      </c>
      <c r="X2327" s="6" t="str">
        <f>IFERROR(__xludf.DUMMYFUNCTION("""COMPUTED_VALUE"""),"Enrolled")</f>
        <v>Enrolled</v>
      </c>
    </row>
    <row r="2328">
      <c r="A2328" s="6" t="str">
        <f>IFERROR(__xludf.DUMMYFUNCTION("""COMPUTED_VALUE"""),"040-11302")</f>
        <v>040-11302</v>
      </c>
      <c r="B2328" s="6" t="str">
        <f>IFERROR(__xludf.DUMMYFUNCTION("""COMPUTED_VALUE"""),"40")</f>
        <v>40</v>
      </c>
      <c r="C2328" s="6" t="str">
        <f>IFERROR(__xludf.DUMMYFUNCTION("""COMPUTED_VALUE"""),"11302")</f>
        <v>11302</v>
      </c>
      <c r="D2328" s="6" t="str">
        <f>IFERROR(__xludf.DUMMYFUNCTION("""COMPUTED_VALUE"""),"Arturo")</f>
        <v>Arturo</v>
      </c>
      <c r="E2328" s="6" t="str">
        <f>IFERROR(__xludf.DUMMYFUNCTION("""COMPUTED_VALUE"""),"")</f>
        <v/>
      </c>
      <c r="F2328" s="6" t="str">
        <f>IFERROR(__xludf.DUMMYFUNCTION("""COMPUTED_VALUE"""),"Martinez Lopez")</f>
        <v>Martinez Lopez</v>
      </c>
      <c r="G2328" s="6" t="str">
        <f>IFERROR(__xludf.DUMMYFUNCTION("""COMPUTED_VALUE"""),"06/29/2015")</f>
        <v>06/29/2015</v>
      </c>
      <c r="H2328" s="6" t="str">
        <f>IFERROR(__xludf.DUMMYFUNCTION("""COMPUTED_VALUE"""),"Self Identify")</f>
        <v>Self Identify</v>
      </c>
      <c r="I2328" s="6" t="str">
        <f>IFERROR(__xludf.DUMMYFUNCTION("""COMPUTED_VALUE"""),"Level 2")</f>
        <v>Level 2</v>
      </c>
      <c r="J2328" s="6" t="str">
        <f>IFERROR(__xludf.DUMMYFUNCTION("""COMPUTED_VALUE"""),"5")</f>
        <v>5</v>
      </c>
      <c r="K2328" s="6" t="str">
        <f>IFERROR(__xludf.DUMMYFUNCTION("""COMPUTED_VALUE"""),"arturo.martinez.lopez@unbound.school")</f>
        <v>arturo.martinez.lopez@unbound.school</v>
      </c>
      <c r="L2328" s="6" t="str">
        <f>IFERROR(__xludf.DUMMYFUNCTION("""COMPUTED_VALUE"""),"Unbound Academy")</f>
        <v>Unbound Academy</v>
      </c>
      <c r="M2328" s="6" t="str">
        <f>IFERROR(__xludf.DUMMYFUNCTION("""COMPUTED_VALUE"""),"")</f>
        <v/>
      </c>
      <c r="N2328" s="6" t="str">
        <f>IFERROR(__xludf.DUMMYFUNCTION("""COMPUTED_VALUE"""),"")</f>
        <v/>
      </c>
      <c r="O2328" s="87" t="str">
        <f>IFERROR(__xludf.DUMMYFUNCTION("""COMPUTED_VALUE"""),"https://drive.google.com/drive/folders/10T2cTQHqEJZqE-st6uFKPoI?usp=share_link")</f>
        <v>https://drive.google.com/drive/folders/10T2cTQHqEJZqE-st6uFKPoI?usp=share_link</v>
      </c>
      <c r="P2328" s="6" t="str">
        <f>IFERROR(__xludf.DUMMYFUNCTION("""COMPUTED_VALUE"""),"Arturo Martinez Lopez")</f>
        <v>Arturo Martinez Lopez</v>
      </c>
      <c r="Q2328" s="6" t="str">
        <f>IFERROR(__xludf.DUMMYFUNCTION("""COMPUTED_VALUE"""),"L2")</f>
        <v>L2</v>
      </c>
      <c r="R2328" s="6">
        <f>IFERROR(__xludf.DUMMYFUNCTION("""COMPUTED_VALUE"""),2.0)</f>
        <v>2</v>
      </c>
      <c r="S2328" s="6" t="str">
        <f>IFERROR(__xludf.DUMMYFUNCTION("""COMPUTED_VALUE""")," ")</f>
        <v> </v>
      </c>
      <c r="T2328" s="6" t="str">
        <f>IFERROR(__xludf.DUMMYFUNCTION("""COMPUTED_VALUE"""),"")</f>
        <v/>
      </c>
      <c r="U2328" s="6" t="str">
        <f>IFERROR(__xludf.DUMMYFUNCTION("""COMPUTED_VALUE"""),"5")</f>
        <v>5</v>
      </c>
      <c r="V2328" s="6" t="str">
        <f>IFERROR(__xludf.DUMMYFUNCTION("""COMPUTED_VALUE"""),"")</f>
        <v/>
      </c>
      <c r="W2328" s="6" t="str">
        <f>IFERROR(__xludf.DUMMYFUNCTION("""COMPUTED_VALUE"""),"[]")</f>
        <v>[]</v>
      </c>
      <c r="X2328" s="6" t="str">
        <f>IFERROR(__xludf.DUMMYFUNCTION("""COMPUTED_VALUE"""),"Enrolled")</f>
        <v>Enrolled</v>
      </c>
    </row>
    <row r="2329">
      <c r="A2329" s="6" t="str">
        <f>IFERROR(__xludf.DUMMYFUNCTION("""COMPUTED_VALUE"""),"040-11318")</f>
        <v>040-11318</v>
      </c>
      <c r="B2329" s="6" t="str">
        <f>IFERROR(__xludf.DUMMYFUNCTION("""COMPUTED_VALUE"""),"40")</f>
        <v>40</v>
      </c>
      <c r="C2329" s="6" t="str">
        <f>IFERROR(__xludf.DUMMYFUNCTION("""COMPUTED_VALUE"""),"11318")</f>
        <v>11318</v>
      </c>
      <c r="D2329" s="6" t="str">
        <f>IFERROR(__xludf.DUMMYFUNCTION("""COMPUTED_VALUE"""),"Ka Layah")</f>
        <v>Ka Layah</v>
      </c>
      <c r="E2329" s="6" t="str">
        <f>IFERROR(__xludf.DUMMYFUNCTION("""COMPUTED_VALUE"""),"")</f>
        <v/>
      </c>
      <c r="F2329" s="6" t="str">
        <f>IFERROR(__xludf.DUMMYFUNCTION("""COMPUTED_VALUE"""),"Jordan")</f>
        <v>Jordan</v>
      </c>
      <c r="G2329" s="6" t="str">
        <f>IFERROR(__xludf.DUMMYFUNCTION("""COMPUTED_VALUE"""),"05/09/2014")</f>
        <v>05/09/2014</v>
      </c>
      <c r="H2329" s="6" t="str">
        <f>IFERROR(__xludf.DUMMYFUNCTION("""COMPUTED_VALUE"""),"Self Identify")</f>
        <v>Self Identify</v>
      </c>
      <c r="I2329" s="6" t="str">
        <f>IFERROR(__xludf.DUMMYFUNCTION("""COMPUTED_VALUE"""),"Middle School")</f>
        <v>Middle School</v>
      </c>
      <c r="J2329" s="6" t="str">
        <f>IFERROR(__xludf.DUMMYFUNCTION("""COMPUTED_VALUE"""),"6")</f>
        <v>6</v>
      </c>
      <c r="K2329" s="6" t="str">
        <f>IFERROR(__xludf.DUMMYFUNCTION("""COMPUTED_VALUE"""),"kalayah.jordan@unbound.school")</f>
        <v>kalayah.jordan@unbound.school</v>
      </c>
      <c r="L2329" s="6" t="str">
        <f>IFERROR(__xludf.DUMMYFUNCTION("""COMPUTED_VALUE"""),"Unbound Academy")</f>
        <v>Unbound Academy</v>
      </c>
      <c r="M2329" s="6" t="str">
        <f>IFERROR(__xludf.DUMMYFUNCTION("""COMPUTED_VALUE"""),"")</f>
        <v/>
      </c>
      <c r="N2329" s="6" t="str">
        <f>IFERROR(__xludf.DUMMYFUNCTION("""COMPUTED_VALUE"""),"")</f>
        <v/>
      </c>
      <c r="O2329" s="87" t="str">
        <f>IFERROR(__xludf.DUMMYFUNCTION("""COMPUTED_VALUE"""),"https://drive.google.com/drive/folders/10T2cTQHqEJZqE-st6uFKPoI?usp=share_link")</f>
        <v>https://drive.google.com/drive/folders/10T2cTQHqEJZqE-st6uFKPoI?usp=share_link</v>
      </c>
      <c r="P2329" s="6" t="str">
        <f>IFERROR(__xludf.DUMMYFUNCTION("""COMPUTED_VALUE"""),"Ka Layah Jordan")</f>
        <v>Ka Layah Jordan</v>
      </c>
      <c r="Q2329" s="6" t="str">
        <f>IFERROR(__xludf.DUMMYFUNCTION("""COMPUTED_VALUE"""),"MS")</f>
        <v>MS</v>
      </c>
      <c r="R2329" s="6">
        <f>IFERROR(__xludf.DUMMYFUNCTION("""COMPUTED_VALUE"""),0.0)</f>
        <v>0</v>
      </c>
      <c r="S2329" s="6" t="str">
        <f>IFERROR(__xludf.DUMMYFUNCTION("""COMPUTED_VALUE""")," ")</f>
        <v> </v>
      </c>
      <c r="T2329" s="6" t="str">
        <f>IFERROR(__xludf.DUMMYFUNCTION("""COMPUTED_VALUE"""),"")</f>
        <v/>
      </c>
      <c r="U2329" s="6" t="str">
        <f>IFERROR(__xludf.DUMMYFUNCTION("""COMPUTED_VALUE"""),"6")</f>
        <v>6</v>
      </c>
      <c r="V2329" s="6" t="str">
        <f>IFERROR(__xludf.DUMMYFUNCTION("""COMPUTED_VALUE"""),"")</f>
        <v/>
      </c>
      <c r="W2329" s="6" t="str">
        <f>IFERROR(__xludf.DUMMYFUNCTION("""COMPUTED_VALUE"""),"[]")</f>
        <v>[]</v>
      </c>
      <c r="X2329" s="6" t="str">
        <f>IFERROR(__xludf.DUMMYFUNCTION("""COMPUTED_VALUE"""),"Enrolled")</f>
        <v>Enrolled</v>
      </c>
    </row>
    <row r="2330">
      <c r="A2330" s="6" t="str">
        <f>IFERROR(__xludf.DUMMYFUNCTION("""COMPUTED_VALUE"""),"040-11341")</f>
        <v>040-11341</v>
      </c>
      <c r="B2330" s="6" t="str">
        <f>IFERROR(__xludf.DUMMYFUNCTION("""COMPUTED_VALUE"""),"40")</f>
        <v>40</v>
      </c>
      <c r="C2330" s="6" t="str">
        <f>IFERROR(__xludf.DUMMYFUNCTION("""COMPUTED_VALUE"""),"11341")</f>
        <v>11341</v>
      </c>
      <c r="D2330" s="6" t="str">
        <f>IFERROR(__xludf.DUMMYFUNCTION("""COMPUTED_VALUE"""),"Liam")</f>
        <v>Liam</v>
      </c>
      <c r="E2330" s="6" t="str">
        <f>IFERROR(__xludf.DUMMYFUNCTION("""COMPUTED_VALUE"""),"")</f>
        <v/>
      </c>
      <c r="F2330" s="6" t="str">
        <f>IFERROR(__xludf.DUMMYFUNCTION("""COMPUTED_VALUE"""),"Anderson")</f>
        <v>Anderson</v>
      </c>
      <c r="G2330" s="6" t="str">
        <f>IFERROR(__xludf.DUMMYFUNCTION("""COMPUTED_VALUE"""),"10/31/2012")</f>
        <v>10/31/2012</v>
      </c>
      <c r="H2330" s="6" t="str">
        <f>IFERROR(__xludf.DUMMYFUNCTION("""COMPUTED_VALUE"""),"Self Identify")</f>
        <v>Self Identify</v>
      </c>
      <c r="I2330" s="6" t="str">
        <f>IFERROR(__xludf.DUMMYFUNCTION("""COMPUTED_VALUE"""),"Middle School")</f>
        <v>Middle School</v>
      </c>
      <c r="J2330" s="6" t="str">
        <f>IFERROR(__xludf.DUMMYFUNCTION("""COMPUTED_VALUE"""),"6")</f>
        <v>6</v>
      </c>
      <c r="K2330" s="6" t="str">
        <f>IFERROR(__xludf.DUMMYFUNCTION("""COMPUTED_VALUE"""),"liam.anderson@unbound.school")</f>
        <v>liam.anderson@unbound.school</v>
      </c>
      <c r="L2330" s="6" t="str">
        <f>IFERROR(__xludf.DUMMYFUNCTION("""COMPUTED_VALUE"""),"Unbound Academy")</f>
        <v>Unbound Academy</v>
      </c>
      <c r="M2330" s="6" t="str">
        <f>IFERROR(__xludf.DUMMYFUNCTION("""COMPUTED_VALUE"""),"")</f>
        <v/>
      </c>
      <c r="N2330" s="6" t="str">
        <f>IFERROR(__xludf.DUMMYFUNCTION("""COMPUTED_VALUE"""),"")</f>
        <v/>
      </c>
      <c r="O2330" s="87" t="str">
        <f>IFERROR(__xludf.DUMMYFUNCTION("""COMPUTED_VALUE"""),"https://drive.google.com/drive/folders/10T2cTQHqEJZqE-st6uFKPoI?usp=share_link")</f>
        <v>https://drive.google.com/drive/folders/10T2cTQHqEJZqE-st6uFKPoI?usp=share_link</v>
      </c>
      <c r="P2330" s="6" t="str">
        <f>IFERROR(__xludf.DUMMYFUNCTION("""COMPUTED_VALUE"""),"Liam Anderson")</f>
        <v>Liam Anderson</v>
      </c>
      <c r="Q2330" s="6" t="str">
        <f>IFERROR(__xludf.DUMMYFUNCTION("""COMPUTED_VALUE"""),"MS")</f>
        <v>MS</v>
      </c>
      <c r="R2330" s="6">
        <f>IFERROR(__xludf.DUMMYFUNCTION("""COMPUTED_VALUE"""),0.0)</f>
        <v>0</v>
      </c>
      <c r="S2330" s="6" t="str">
        <f>IFERROR(__xludf.DUMMYFUNCTION("""COMPUTED_VALUE""")," ")</f>
        <v> </v>
      </c>
      <c r="T2330" s="6" t="str">
        <f>IFERROR(__xludf.DUMMYFUNCTION("""COMPUTED_VALUE"""),"")</f>
        <v/>
      </c>
      <c r="U2330" s="6" t="str">
        <f>IFERROR(__xludf.DUMMYFUNCTION("""COMPUTED_VALUE"""),"6")</f>
        <v>6</v>
      </c>
      <c r="V2330" s="6" t="str">
        <f>IFERROR(__xludf.DUMMYFUNCTION("""COMPUTED_VALUE"""),"")</f>
        <v/>
      </c>
      <c r="W2330" s="6" t="str">
        <f>IFERROR(__xludf.DUMMYFUNCTION("""COMPUTED_VALUE"""),"[]")</f>
        <v>[]</v>
      </c>
      <c r="X2330" s="6" t="str">
        <f>IFERROR(__xludf.DUMMYFUNCTION("""COMPUTED_VALUE"""),"Enrolled")</f>
        <v>Enrolled</v>
      </c>
    </row>
    <row r="2331">
      <c r="A2331" s="6" t="str">
        <f>IFERROR(__xludf.DUMMYFUNCTION("""COMPUTED_VALUE"""),"040-11342")</f>
        <v>040-11342</v>
      </c>
      <c r="B2331" s="6" t="str">
        <f>IFERROR(__xludf.DUMMYFUNCTION("""COMPUTED_VALUE"""),"40")</f>
        <v>40</v>
      </c>
      <c r="C2331" s="6" t="str">
        <f>IFERROR(__xludf.DUMMYFUNCTION("""COMPUTED_VALUE"""),"11342")</f>
        <v>11342</v>
      </c>
      <c r="D2331" s="6" t="str">
        <f>IFERROR(__xludf.DUMMYFUNCTION("""COMPUTED_VALUE"""),"Jordyn-Louise")</f>
        <v>Jordyn-Louise</v>
      </c>
      <c r="E2331" s="6" t="str">
        <f>IFERROR(__xludf.DUMMYFUNCTION("""COMPUTED_VALUE"""),"")</f>
        <v/>
      </c>
      <c r="F2331" s="6" t="str">
        <f>IFERROR(__xludf.DUMMYFUNCTION("""COMPUTED_VALUE"""),"Harwood")</f>
        <v>Harwood</v>
      </c>
      <c r="G2331" s="6" t="str">
        <f>IFERROR(__xludf.DUMMYFUNCTION("""COMPUTED_VALUE"""),"02/18/2014")</f>
        <v>02/18/2014</v>
      </c>
      <c r="H2331" s="6" t="str">
        <f>IFERROR(__xludf.DUMMYFUNCTION("""COMPUTED_VALUE"""),"Self Identify")</f>
        <v>Self Identify</v>
      </c>
      <c r="I2331" s="6" t="str">
        <f>IFERROR(__xludf.DUMMYFUNCTION("""COMPUTED_VALUE"""),"Middle School")</f>
        <v>Middle School</v>
      </c>
      <c r="J2331" s="6" t="str">
        <f>IFERROR(__xludf.DUMMYFUNCTION("""COMPUTED_VALUE"""),"6")</f>
        <v>6</v>
      </c>
      <c r="K2331" s="6" t="str">
        <f>IFERROR(__xludf.DUMMYFUNCTION("""COMPUTED_VALUE"""),"jordyn-louise.harwood@unbound.school")</f>
        <v>jordyn-louise.harwood@unbound.school</v>
      </c>
      <c r="L2331" s="6" t="str">
        <f>IFERROR(__xludf.DUMMYFUNCTION("""COMPUTED_VALUE"""),"Unbound Academy")</f>
        <v>Unbound Academy</v>
      </c>
      <c r="M2331" s="6" t="str">
        <f>IFERROR(__xludf.DUMMYFUNCTION("""COMPUTED_VALUE"""),"")</f>
        <v/>
      </c>
      <c r="N2331" s="6" t="str">
        <f>IFERROR(__xludf.DUMMYFUNCTION("""COMPUTED_VALUE"""),"")</f>
        <v/>
      </c>
      <c r="O2331" s="87" t="str">
        <f>IFERROR(__xludf.DUMMYFUNCTION("""COMPUTED_VALUE"""),"https://drive.google.com/drive/folders/10T2cTQHqEJZqE-st6uFKPoI?usp=share_link")</f>
        <v>https://drive.google.com/drive/folders/10T2cTQHqEJZqE-st6uFKPoI?usp=share_link</v>
      </c>
      <c r="P2331" s="6" t="str">
        <f>IFERROR(__xludf.DUMMYFUNCTION("""COMPUTED_VALUE"""),"Jordyn-Louise Harwood")</f>
        <v>Jordyn-Louise Harwood</v>
      </c>
      <c r="Q2331" s="6" t="str">
        <f>IFERROR(__xludf.DUMMYFUNCTION("""COMPUTED_VALUE"""),"MS")</f>
        <v>MS</v>
      </c>
      <c r="R2331" s="6">
        <f>IFERROR(__xludf.DUMMYFUNCTION("""COMPUTED_VALUE"""),0.0)</f>
        <v>0</v>
      </c>
      <c r="S2331" s="6" t="str">
        <f>IFERROR(__xludf.DUMMYFUNCTION("""COMPUTED_VALUE""")," ")</f>
        <v> </v>
      </c>
      <c r="T2331" s="6" t="str">
        <f>IFERROR(__xludf.DUMMYFUNCTION("""COMPUTED_VALUE"""),"")</f>
        <v/>
      </c>
      <c r="U2331" s="6" t="str">
        <f>IFERROR(__xludf.DUMMYFUNCTION("""COMPUTED_VALUE"""),"6")</f>
        <v>6</v>
      </c>
      <c r="V2331" s="6" t="str">
        <f>IFERROR(__xludf.DUMMYFUNCTION("""COMPUTED_VALUE"""),"")</f>
        <v/>
      </c>
      <c r="W2331" s="6" t="str">
        <f>IFERROR(__xludf.DUMMYFUNCTION("""COMPUTED_VALUE"""),"[]")</f>
        <v>[]</v>
      </c>
      <c r="X2331" s="6" t="str">
        <f>IFERROR(__xludf.DUMMYFUNCTION("""COMPUTED_VALUE"""),"Enrolled")</f>
        <v>Enrolled</v>
      </c>
    </row>
    <row r="2332">
      <c r="A2332" s="6" t="str">
        <f>IFERROR(__xludf.DUMMYFUNCTION("""COMPUTED_VALUE"""),"040-11403")</f>
        <v>040-11403</v>
      </c>
      <c r="B2332" s="6" t="str">
        <f>IFERROR(__xludf.DUMMYFUNCTION("""COMPUTED_VALUE"""),"40")</f>
        <v>40</v>
      </c>
      <c r="C2332" s="6" t="str">
        <f>IFERROR(__xludf.DUMMYFUNCTION("""COMPUTED_VALUE"""),"11403")</f>
        <v>11403</v>
      </c>
      <c r="D2332" s="6" t="str">
        <f>IFERROR(__xludf.DUMMYFUNCTION("""COMPUTED_VALUE"""),"Naziah")</f>
        <v>Naziah</v>
      </c>
      <c r="E2332" s="6" t="str">
        <f>IFERROR(__xludf.DUMMYFUNCTION("""COMPUTED_VALUE"""),"")</f>
        <v/>
      </c>
      <c r="F2332" s="6" t="str">
        <f>IFERROR(__xludf.DUMMYFUNCTION("""COMPUTED_VALUE"""),"Colbert Bryant")</f>
        <v>Colbert Bryant</v>
      </c>
      <c r="G2332" s="6" t="str">
        <f>IFERROR(__xludf.DUMMYFUNCTION("""COMPUTED_VALUE"""),"11/27/2015")</f>
        <v>11/27/2015</v>
      </c>
      <c r="H2332" s="6" t="str">
        <f>IFERROR(__xludf.DUMMYFUNCTION("""COMPUTED_VALUE"""),"Self Identify")</f>
        <v>Self Identify</v>
      </c>
      <c r="I2332" s="6" t="str">
        <f>IFERROR(__xludf.DUMMYFUNCTION("""COMPUTED_VALUE"""),"Level 2")</f>
        <v>Level 2</v>
      </c>
      <c r="J2332" s="6" t="str">
        <f>IFERROR(__xludf.DUMMYFUNCTION("""COMPUTED_VALUE"""),"4")</f>
        <v>4</v>
      </c>
      <c r="K2332" s="6" t="str">
        <f>IFERROR(__xludf.DUMMYFUNCTION("""COMPUTED_VALUE"""),"naziah.colbertbryant@unbound.school")</f>
        <v>naziah.colbertbryant@unbound.school</v>
      </c>
      <c r="L2332" s="6" t="str">
        <f>IFERROR(__xludf.DUMMYFUNCTION("""COMPUTED_VALUE"""),"Unbound Academy")</f>
        <v>Unbound Academy</v>
      </c>
      <c r="M2332" s="6" t="str">
        <f>IFERROR(__xludf.DUMMYFUNCTION("""COMPUTED_VALUE"""),"")</f>
        <v/>
      </c>
      <c r="N2332" s="6" t="str">
        <f>IFERROR(__xludf.DUMMYFUNCTION("""COMPUTED_VALUE"""),"")</f>
        <v/>
      </c>
      <c r="O2332" s="87" t="str">
        <f>IFERROR(__xludf.DUMMYFUNCTION("""COMPUTED_VALUE"""),"https://drive.google.com/drive/folders/10T2cTQHqEJZqE-st6uFKPoI?usp=share_link")</f>
        <v>https://drive.google.com/drive/folders/10T2cTQHqEJZqE-st6uFKPoI?usp=share_link</v>
      </c>
      <c r="P2332" s="6" t="str">
        <f>IFERROR(__xludf.DUMMYFUNCTION("""COMPUTED_VALUE"""),"Naziah Colbert Bryant")</f>
        <v>Naziah Colbert Bryant</v>
      </c>
      <c r="Q2332" s="6" t="str">
        <f>IFERROR(__xludf.DUMMYFUNCTION("""COMPUTED_VALUE"""),"L2")</f>
        <v>L2</v>
      </c>
      <c r="R2332" s="6">
        <f>IFERROR(__xludf.DUMMYFUNCTION("""COMPUTED_VALUE"""),2.0)</f>
        <v>2</v>
      </c>
      <c r="S2332" s="6" t="str">
        <f>IFERROR(__xludf.DUMMYFUNCTION("""COMPUTED_VALUE""")," ")</f>
        <v> </v>
      </c>
      <c r="T2332" s="6" t="str">
        <f>IFERROR(__xludf.DUMMYFUNCTION("""COMPUTED_VALUE"""),"")</f>
        <v/>
      </c>
      <c r="U2332" s="6" t="str">
        <f>IFERROR(__xludf.DUMMYFUNCTION("""COMPUTED_VALUE"""),"4")</f>
        <v>4</v>
      </c>
      <c r="V2332" s="6" t="str">
        <f>IFERROR(__xludf.DUMMYFUNCTION("""COMPUTED_VALUE"""),"")</f>
        <v/>
      </c>
      <c r="W2332" s="6" t="str">
        <f>IFERROR(__xludf.DUMMYFUNCTION("""COMPUTED_VALUE"""),"[]")</f>
        <v>[]</v>
      </c>
      <c r="X2332" s="6" t="str">
        <f>IFERROR(__xludf.DUMMYFUNCTION("""COMPUTED_VALUE"""),"Enrolled")</f>
        <v>Enrolled</v>
      </c>
    </row>
    <row r="2333">
      <c r="A2333" s="6" t="str">
        <f>IFERROR(__xludf.DUMMYFUNCTION("""COMPUTED_VALUE"""),"040-11849")</f>
        <v>040-11849</v>
      </c>
      <c r="B2333" s="6" t="str">
        <f>IFERROR(__xludf.DUMMYFUNCTION("""COMPUTED_VALUE"""),"40")</f>
        <v>40</v>
      </c>
      <c r="C2333" s="6" t="str">
        <f>IFERROR(__xludf.DUMMYFUNCTION("""COMPUTED_VALUE"""),"11849")</f>
        <v>11849</v>
      </c>
      <c r="D2333" s="6" t="str">
        <f>IFERROR(__xludf.DUMMYFUNCTION("""COMPUTED_VALUE"""),"Beckham Kekoa")</f>
        <v>Beckham Kekoa</v>
      </c>
      <c r="E2333" s="6" t="str">
        <f>IFERROR(__xludf.DUMMYFUNCTION("""COMPUTED_VALUE"""),"")</f>
        <v/>
      </c>
      <c r="F2333" s="6" t="str">
        <f>IFERROR(__xludf.DUMMYFUNCTION("""COMPUTED_VALUE"""),"Lang")</f>
        <v>Lang</v>
      </c>
      <c r="G2333" s="6" t="str">
        <f>IFERROR(__xludf.DUMMYFUNCTION("""COMPUTED_VALUE"""),"01/01/2014")</f>
        <v>01/01/2014</v>
      </c>
      <c r="H2333" s="6" t="str">
        <f>IFERROR(__xludf.DUMMYFUNCTION("""COMPUTED_VALUE"""),"Self Identify")</f>
        <v>Self Identify</v>
      </c>
      <c r="I2333" s="6" t="str">
        <f>IFERROR(__xludf.DUMMYFUNCTION("""COMPUTED_VALUE"""),"Middle School")</f>
        <v>Middle School</v>
      </c>
      <c r="J2333" s="6" t="str">
        <f>IFERROR(__xludf.DUMMYFUNCTION("""COMPUTED_VALUE"""),"7")</f>
        <v>7</v>
      </c>
      <c r="K2333" s="6" t="str">
        <f>IFERROR(__xludf.DUMMYFUNCTION("""COMPUTED_VALUE"""),"beckham_kekoa.lang@unbound.school")</f>
        <v>beckham_kekoa.lang@unbound.school</v>
      </c>
      <c r="L2333" s="6" t="str">
        <f>IFERROR(__xludf.DUMMYFUNCTION("""COMPUTED_VALUE"""),"Unbound Academy")</f>
        <v>Unbound Academy</v>
      </c>
      <c r="M2333" s="6" t="str">
        <f>IFERROR(__xludf.DUMMYFUNCTION("""COMPUTED_VALUE"""),"")</f>
        <v/>
      </c>
      <c r="N2333" s="6" t="str">
        <f>IFERROR(__xludf.DUMMYFUNCTION("""COMPUTED_VALUE"""),"")</f>
        <v/>
      </c>
      <c r="O2333" s="87" t="str">
        <f>IFERROR(__xludf.DUMMYFUNCTION("""COMPUTED_VALUE"""),"https://drive.google.com/drive/folders/10T2cTQHqEJZqE-st6uFKPoI?usp=share_link")</f>
        <v>https://drive.google.com/drive/folders/10T2cTQHqEJZqE-st6uFKPoI?usp=share_link</v>
      </c>
      <c r="P2333" s="6" t="str">
        <f>IFERROR(__xludf.DUMMYFUNCTION("""COMPUTED_VALUE"""),"Beckham Kekoa Lang")</f>
        <v>Beckham Kekoa Lang</v>
      </c>
      <c r="Q2333" s="6" t="str">
        <f>IFERROR(__xludf.DUMMYFUNCTION("""COMPUTED_VALUE"""),"MS")</f>
        <v>MS</v>
      </c>
      <c r="R2333" s="6">
        <f>IFERROR(__xludf.DUMMYFUNCTION("""COMPUTED_VALUE"""),0.0)</f>
        <v>0</v>
      </c>
      <c r="S2333" s="6" t="str">
        <f>IFERROR(__xludf.DUMMYFUNCTION("""COMPUTED_VALUE""")," ")</f>
        <v> </v>
      </c>
      <c r="T2333" s="6" t="str">
        <f>IFERROR(__xludf.DUMMYFUNCTION("""COMPUTED_VALUE"""),"")</f>
        <v/>
      </c>
      <c r="U2333" s="6" t="str">
        <f>IFERROR(__xludf.DUMMYFUNCTION("""COMPUTED_VALUE"""),"7")</f>
        <v>7</v>
      </c>
      <c r="V2333" s="6" t="str">
        <f>IFERROR(__xludf.DUMMYFUNCTION("""COMPUTED_VALUE"""),"")</f>
        <v/>
      </c>
      <c r="W2333" s="6" t="str">
        <f>IFERROR(__xludf.DUMMYFUNCTION("""COMPUTED_VALUE"""),"[]")</f>
        <v>[]</v>
      </c>
      <c r="X2333" s="6" t="str">
        <f>IFERROR(__xludf.DUMMYFUNCTION("""COMPUTED_VALUE"""),"Enrolled")</f>
        <v>Enrolled</v>
      </c>
    </row>
    <row r="2334">
      <c r="A2334" s="6" t="str">
        <f>IFERROR(__xludf.DUMMYFUNCTION("""COMPUTED_VALUE"""),"040-13275")</f>
        <v>040-13275</v>
      </c>
      <c r="B2334" s="6" t="str">
        <f>IFERROR(__xludf.DUMMYFUNCTION("""COMPUTED_VALUE"""),"40")</f>
        <v>40</v>
      </c>
      <c r="C2334" s="6" t="str">
        <f>IFERROR(__xludf.DUMMYFUNCTION("""COMPUTED_VALUE"""),"13275")</f>
        <v>13275</v>
      </c>
      <c r="D2334" s="6" t="str">
        <f>IFERROR(__xludf.DUMMYFUNCTION("""COMPUTED_VALUE"""),"Aaliyah")</f>
        <v>Aaliyah</v>
      </c>
      <c r="E2334" s="6" t="str">
        <f>IFERROR(__xludf.DUMMYFUNCTION("""COMPUTED_VALUE"""),"")</f>
        <v/>
      </c>
      <c r="F2334" s="6" t="str">
        <f>IFERROR(__xludf.DUMMYFUNCTION("""COMPUTED_VALUE"""),"Patha")</f>
        <v>Patha</v>
      </c>
      <c r="G2334" s="6" t="str">
        <f>IFERROR(__xludf.DUMMYFUNCTION("""COMPUTED_VALUE"""),"01/13/2013")</f>
        <v>01/13/2013</v>
      </c>
      <c r="H2334" s="6" t="str">
        <f>IFERROR(__xludf.DUMMYFUNCTION("""COMPUTED_VALUE"""),"Self Identify")</f>
        <v>Self Identify</v>
      </c>
      <c r="I2334" s="6" t="str">
        <f>IFERROR(__xludf.DUMMYFUNCTION("""COMPUTED_VALUE"""),"Middle School")</f>
        <v>Middle School</v>
      </c>
      <c r="J2334" s="6" t="str">
        <f>IFERROR(__xludf.DUMMYFUNCTION("""COMPUTED_VALUE"""),"7")</f>
        <v>7</v>
      </c>
      <c r="K2334" s="6" t="str">
        <f>IFERROR(__xludf.DUMMYFUNCTION("""COMPUTED_VALUE"""),"aaliyah.patha@unbound.school")</f>
        <v>aaliyah.patha@unbound.school</v>
      </c>
      <c r="L2334" s="6" t="str">
        <f>IFERROR(__xludf.DUMMYFUNCTION("""COMPUTED_VALUE"""),"Unbound Academy")</f>
        <v>Unbound Academy</v>
      </c>
      <c r="M2334" s="6" t="str">
        <f>IFERROR(__xludf.DUMMYFUNCTION("""COMPUTED_VALUE"""),"")</f>
        <v/>
      </c>
      <c r="N2334" s="6" t="str">
        <f>IFERROR(__xludf.DUMMYFUNCTION("""COMPUTED_VALUE"""),"")</f>
        <v/>
      </c>
      <c r="O2334" s="87" t="str">
        <f>IFERROR(__xludf.DUMMYFUNCTION("""COMPUTED_VALUE"""),"https://drive.google.com/drive/folders/10T2cTQHqEJZqE-st6uFKPoI?usp=share_link")</f>
        <v>https://drive.google.com/drive/folders/10T2cTQHqEJZqE-st6uFKPoI?usp=share_link</v>
      </c>
      <c r="P2334" s="6" t="str">
        <f>IFERROR(__xludf.DUMMYFUNCTION("""COMPUTED_VALUE"""),"Aaliyah Patha")</f>
        <v>Aaliyah Patha</v>
      </c>
      <c r="Q2334" s="6" t="str">
        <f>IFERROR(__xludf.DUMMYFUNCTION("""COMPUTED_VALUE"""),"MS")</f>
        <v>MS</v>
      </c>
      <c r="R2334" s="6">
        <f>IFERROR(__xludf.DUMMYFUNCTION("""COMPUTED_VALUE"""),0.0)</f>
        <v>0</v>
      </c>
      <c r="S2334" s="6" t="str">
        <f>IFERROR(__xludf.DUMMYFUNCTION("""COMPUTED_VALUE""")," ")</f>
        <v> </v>
      </c>
      <c r="T2334" s="6" t="str">
        <f>IFERROR(__xludf.DUMMYFUNCTION("""COMPUTED_VALUE"""),"")</f>
        <v/>
      </c>
      <c r="U2334" s="6" t="str">
        <f>IFERROR(__xludf.DUMMYFUNCTION("""COMPUTED_VALUE"""),"7")</f>
        <v>7</v>
      </c>
      <c r="V2334" s="6" t="str">
        <f>IFERROR(__xludf.DUMMYFUNCTION("""COMPUTED_VALUE"""),"")</f>
        <v/>
      </c>
      <c r="W2334" s="6" t="str">
        <f>IFERROR(__xludf.DUMMYFUNCTION("""COMPUTED_VALUE"""),"[]")</f>
        <v>[]</v>
      </c>
      <c r="X2334" s="6" t="str">
        <f>IFERROR(__xludf.DUMMYFUNCTION("""COMPUTED_VALUE"""),"Enrolled")</f>
        <v>Enrolled</v>
      </c>
    </row>
    <row r="2335">
      <c r="A2335" s="6" t="str">
        <f>IFERROR(__xludf.DUMMYFUNCTION("""COMPUTED_VALUE"""),"040-13444")</f>
        <v>040-13444</v>
      </c>
      <c r="B2335" s="6" t="str">
        <f>IFERROR(__xludf.DUMMYFUNCTION("""COMPUTED_VALUE"""),"40")</f>
        <v>40</v>
      </c>
      <c r="C2335" s="6" t="str">
        <f>IFERROR(__xludf.DUMMYFUNCTION("""COMPUTED_VALUE"""),"13444")</f>
        <v>13444</v>
      </c>
      <c r="D2335" s="6" t="str">
        <f>IFERROR(__xludf.DUMMYFUNCTION("""COMPUTED_VALUE"""),"Jordan")</f>
        <v>Jordan</v>
      </c>
      <c r="E2335" s="6" t="str">
        <f>IFERROR(__xludf.DUMMYFUNCTION("""COMPUTED_VALUE"""),"")</f>
        <v/>
      </c>
      <c r="F2335" s="6" t="str">
        <f>IFERROR(__xludf.DUMMYFUNCTION("""COMPUTED_VALUE"""),"Townsend")</f>
        <v>Townsend</v>
      </c>
      <c r="G2335" s="6" t="str">
        <f>IFERROR(__xludf.DUMMYFUNCTION("""COMPUTED_VALUE"""),"04/28/2014")</f>
        <v>04/28/2014</v>
      </c>
      <c r="H2335" s="6" t="str">
        <f>IFERROR(__xludf.DUMMYFUNCTION("""COMPUTED_VALUE"""),"Self Identify")</f>
        <v>Self Identify</v>
      </c>
      <c r="I2335" s="6" t="str">
        <f>IFERROR(__xludf.DUMMYFUNCTION("""COMPUTED_VALUE"""),"Middle School")</f>
        <v>Middle School</v>
      </c>
      <c r="J2335" s="6" t="str">
        <f>IFERROR(__xludf.DUMMYFUNCTION("""COMPUTED_VALUE"""),"6")</f>
        <v>6</v>
      </c>
      <c r="K2335" s="6" t="str">
        <f>IFERROR(__xludf.DUMMYFUNCTION("""COMPUTED_VALUE"""),"jordan.townsend@unbound.school")</f>
        <v>jordan.townsend@unbound.school</v>
      </c>
      <c r="L2335" s="6" t="str">
        <f>IFERROR(__xludf.DUMMYFUNCTION("""COMPUTED_VALUE"""),"Unbound Academy")</f>
        <v>Unbound Academy</v>
      </c>
      <c r="M2335" s="6" t="str">
        <f>IFERROR(__xludf.DUMMYFUNCTION("""COMPUTED_VALUE"""),"")</f>
        <v/>
      </c>
      <c r="N2335" s="6" t="str">
        <f>IFERROR(__xludf.DUMMYFUNCTION("""COMPUTED_VALUE"""),"")</f>
        <v/>
      </c>
      <c r="O2335" s="87" t="str">
        <f>IFERROR(__xludf.DUMMYFUNCTION("""COMPUTED_VALUE"""),"https://drive.google.com/drive/folders/10T2cTQHqEJZqE-st6uFKPoI?usp=share_link")</f>
        <v>https://drive.google.com/drive/folders/10T2cTQHqEJZqE-st6uFKPoI?usp=share_link</v>
      </c>
      <c r="P2335" s="6" t="str">
        <f>IFERROR(__xludf.DUMMYFUNCTION("""COMPUTED_VALUE"""),"Jordan Townsend")</f>
        <v>Jordan Townsend</v>
      </c>
      <c r="Q2335" s="6" t="str">
        <f>IFERROR(__xludf.DUMMYFUNCTION("""COMPUTED_VALUE"""),"MS")</f>
        <v>MS</v>
      </c>
      <c r="R2335" s="6">
        <f>IFERROR(__xludf.DUMMYFUNCTION("""COMPUTED_VALUE"""),0.0)</f>
        <v>0</v>
      </c>
      <c r="S2335" s="6" t="str">
        <f>IFERROR(__xludf.DUMMYFUNCTION("""COMPUTED_VALUE""")," ")</f>
        <v> </v>
      </c>
      <c r="T2335" s="6" t="str">
        <f>IFERROR(__xludf.DUMMYFUNCTION("""COMPUTED_VALUE"""),"")</f>
        <v/>
      </c>
      <c r="U2335" s="6" t="str">
        <f>IFERROR(__xludf.DUMMYFUNCTION("""COMPUTED_VALUE"""),"6")</f>
        <v>6</v>
      </c>
      <c r="V2335" s="6" t="str">
        <f>IFERROR(__xludf.DUMMYFUNCTION("""COMPUTED_VALUE"""),"")</f>
        <v/>
      </c>
      <c r="W2335" s="6" t="str">
        <f>IFERROR(__xludf.DUMMYFUNCTION("""COMPUTED_VALUE"""),"[]")</f>
        <v>[]</v>
      </c>
      <c r="X2335" s="6" t="str">
        <f>IFERROR(__xludf.DUMMYFUNCTION("""COMPUTED_VALUE"""),"Enrolled")</f>
        <v>Enrolled</v>
      </c>
    </row>
    <row r="2336">
      <c r="A2336" s="6" t="str">
        <f>IFERROR(__xludf.DUMMYFUNCTION("""COMPUTED_VALUE"""),"040-13445")</f>
        <v>040-13445</v>
      </c>
      <c r="B2336" s="6" t="str">
        <f>IFERROR(__xludf.DUMMYFUNCTION("""COMPUTED_VALUE"""),"40")</f>
        <v>40</v>
      </c>
      <c r="C2336" s="6" t="str">
        <f>IFERROR(__xludf.DUMMYFUNCTION("""COMPUTED_VALUE"""),"13445")</f>
        <v>13445</v>
      </c>
      <c r="D2336" s="6" t="str">
        <f>IFERROR(__xludf.DUMMYFUNCTION("""COMPUTED_VALUE"""),"Scarlette")</f>
        <v>Scarlette</v>
      </c>
      <c r="E2336" s="6" t="str">
        <f>IFERROR(__xludf.DUMMYFUNCTION("""COMPUTED_VALUE"""),"")</f>
        <v/>
      </c>
      <c r="F2336" s="6" t="str">
        <f>IFERROR(__xludf.DUMMYFUNCTION("""COMPUTED_VALUE"""),"Borden")</f>
        <v>Borden</v>
      </c>
      <c r="G2336" s="6" t="str">
        <f>IFERROR(__xludf.DUMMYFUNCTION("""COMPUTED_VALUE"""),"07/19/2013")</f>
        <v>07/19/2013</v>
      </c>
      <c r="H2336" s="6" t="str">
        <f>IFERROR(__xludf.DUMMYFUNCTION("""COMPUTED_VALUE"""),"Self Identify")</f>
        <v>Self Identify</v>
      </c>
      <c r="I2336" s="6" t="str">
        <f>IFERROR(__xludf.DUMMYFUNCTION("""COMPUTED_VALUE"""),"Middle School")</f>
        <v>Middle School</v>
      </c>
      <c r="J2336" s="6" t="str">
        <f>IFERROR(__xludf.DUMMYFUNCTION("""COMPUTED_VALUE"""),"7")</f>
        <v>7</v>
      </c>
      <c r="K2336" s="6" t="str">
        <f>IFERROR(__xludf.DUMMYFUNCTION("""COMPUTED_VALUE"""),"scarlette.borden@unbound.school")</f>
        <v>scarlette.borden@unbound.school</v>
      </c>
      <c r="L2336" s="6" t="str">
        <f>IFERROR(__xludf.DUMMYFUNCTION("""COMPUTED_VALUE"""),"Unbound Academy")</f>
        <v>Unbound Academy</v>
      </c>
      <c r="M2336" s="6" t="str">
        <f>IFERROR(__xludf.DUMMYFUNCTION("""COMPUTED_VALUE"""),"")</f>
        <v/>
      </c>
      <c r="N2336" s="6" t="str">
        <f>IFERROR(__xludf.DUMMYFUNCTION("""COMPUTED_VALUE"""),"")</f>
        <v/>
      </c>
      <c r="O2336" s="87" t="str">
        <f>IFERROR(__xludf.DUMMYFUNCTION("""COMPUTED_VALUE"""),"https://drive.google.com/drive/folders/10T2cTQHqEJZqE-st6uFKPoI?usp=share_link")</f>
        <v>https://drive.google.com/drive/folders/10T2cTQHqEJZqE-st6uFKPoI?usp=share_link</v>
      </c>
      <c r="P2336" s="6" t="str">
        <f>IFERROR(__xludf.DUMMYFUNCTION("""COMPUTED_VALUE"""),"Scarlette Borden")</f>
        <v>Scarlette Borden</v>
      </c>
      <c r="Q2336" s="6" t="str">
        <f>IFERROR(__xludf.DUMMYFUNCTION("""COMPUTED_VALUE"""),"MS")</f>
        <v>MS</v>
      </c>
      <c r="R2336" s="6">
        <f>IFERROR(__xludf.DUMMYFUNCTION("""COMPUTED_VALUE"""),0.0)</f>
        <v>0</v>
      </c>
      <c r="S2336" s="6" t="str">
        <f>IFERROR(__xludf.DUMMYFUNCTION("""COMPUTED_VALUE""")," ")</f>
        <v> </v>
      </c>
      <c r="T2336" s="6" t="str">
        <f>IFERROR(__xludf.DUMMYFUNCTION("""COMPUTED_VALUE"""),"")</f>
        <v/>
      </c>
      <c r="U2336" s="6" t="str">
        <f>IFERROR(__xludf.DUMMYFUNCTION("""COMPUTED_VALUE"""),"7")</f>
        <v>7</v>
      </c>
      <c r="V2336" s="6" t="str">
        <f>IFERROR(__xludf.DUMMYFUNCTION("""COMPUTED_VALUE"""),"")</f>
        <v/>
      </c>
      <c r="W2336" s="6" t="str">
        <f>IFERROR(__xludf.DUMMYFUNCTION("""COMPUTED_VALUE"""),"[]")</f>
        <v>[]</v>
      </c>
      <c r="X2336" s="6" t="str">
        <f>IFERROR(__xludf.DUMMYFUNCTION("""COMPUTED_VALUE"""),"Enrolled")</f>
        <v>Enrolled</v>
      </c>
    </row>
    <row r="2337">
      <c r="A2337" s="6" t="str">
        <f>IFERROR(__xludf.DUMMYFUNCTION("""COMPUTED_VALUE"""),"040-13453")</f>
        <v>040-13453</v>
      </c>
      <c r="B2337" s="6" t="str">
        <f>IFERROR(__xludf.DUMMYFUNCTION("""COMPUTED_VALUE"""),"40")</f>
        <v>40</v>
      </c>
      <c r="C2337" s="6" t="str">
        <f>IFERROR(__xludf.DUMMYFUNCTION("""COMPUTED_VALUE"""),"13453")</f>
        <v>13453</v>
      </c>
      <c r="D2337" s="6" t="str">
        <f>IFERROR(__xludf.DUMMYFUNCTION("""COMPUTED_VALUE"""),"Juliana")</f>
        <v>Juliana</v>
      </c>
      <c r="E2337" s="6" t="str">
        <f>IFERROR(__xludf.DUMMYFUNCTION("""COMPUTED_VALUE"""),"")</f>
        <v/>
      </c>
      <c r="F2337" s="6" t="str">
        <f>IFERROR(__xludf.DUMMYFUNCTION("""COMPUTED_VALUE"""),"Sanchez Cruz")</f>
        <v>Sanchez Cruz</v>
      </c>
      <c r="G2337" s="6" t="str">
        <f>IFERROR(__xludf.DUMMYFUNCTION("""COMPUTED_VALUE"""),"09/12/2012")</f>
        <v>09/12/2012</v>
      </c>
      <c r="H2337" s="6" t="str">
        <f>IFERROR(__xludf.DUMMYFUNCTION("""COMPUTED_VALUE"""),"Self Identify")</f>
        <v>Self Identify</v>
      </c>
      <c r="I2337" s="6" t="str">
        <f>IFERROR(__xludf.DUMMYFUNCTION("""COMPUTED_VALUE"""),"Middle School")</f>
        <v>Middle School</v>
      </c>
      <c r="J2337" s="6" t="str">
        <f>IFERROR(__xludf.DUMMYFUNCTION("""COMPUTED_VALUE"""),"8")</f>
        <v>8</v>
      </c>
      <c r="K2337" s="6" t="str">
        <f>IFERROR(__xludf.DUMMYFUNCTION("""COMPUTED_VALUE"""),"juliana.sanchezcruz@unbound.school")</f>
        <v>juliana.sanchezcruz@unbound.school</v>
      </c>
      <c r="L2337" s="6" t="str">
        <f>IFERROR(__xludf.DUMMYFUNCTION("""COMPUTED_VALUE"""),"Unbound Academy")</f>
        <v>Unbound Academy</v>
      </c>
      <c r="M2337" s="6" t="str">
        <f>IFERROR(__xludf.DUMMYFUNCTION("""COMPUTED_VALUE"""),"")</f>
        <v/>
      </c>
      <c r="N2337" s="6" t="str">
        <f>IFERROR(__xludf.DUMMYFUNCTION("""COMPUTED_VALUE"""),"")</f>
        <v/>
      </c>
      <c r="O2337" s="87" t="str">
        <f>IFERROR(__xludf.DUMMYFUNCTION("""COMPUTED_VALUE"""),"https://drive.google.com/drive/folders/10T2cTQHqEJZqE-st6uFKPoI?usp=share_link")</f>
        <v>https://drive.google.com/drive/folders/10T2cTQHqEJZqE-st6uFKPoI?usp=share_link</v>
      </c>
      <c r="P2337" s="6" t="str">
        <f>IFERROR(__xludf.DUMMYFUNCTION("""COMPUTED_VALUE"""),"Juliana Sanchez Cruz")</f>
        <v>Juliana Sanchez Cruz</v>
      </c>
      <c r="Q2337" s="6" t="str">
        <f>IFERROR(__xludf.DUMMYFUNCTION("""COMPUTED_VALUE"""),"MS")</f>
        <v>MS</v>
      </c>
      <c r="R2337" s="6">
        <f>IFERROR(__xludf.DUMMYFUNCTION("""COMPUTED_VALUE"""),0.0)</f>
        <v>0</v>
      </c>
      <c r="S2337" s="6" t="str">
        <f>IFERROR(__xludf.DUMMYFUNCTION("""COMPUTED_VALUE""")," ")</f>
        <v> </v>
      </c>
      <c r="T2337" s="6" t="str">
        <f>IFERROR(__xludf.DUMMYFUNCTION("""COMPUTED_VALUE"""),"")</f>
        <v/>
      </c>
      <c r="U2337" s="6" t="str">
        <f>IFERROR(__xludf.DUMMYFUNCTION("""COMPUTED_VALUE"""),"8")</f>
        <v>8</v>
      </c>
      <c r="V2337" s="6" t="str">
        <f>IFERROR(__xludf.DUMMYFUNCTION("""COMPUTED_VALUE"""),"")</f>
        <v/>
      </c>
      <c r="W2337" s="6" t="str">
        <f>IFERROR(__xludf.DUMMYFUNCTION("""COMPUTED_VALUE"""),"[]")</f>
        <v>[]</v>
      </c>
      <c r="X2337" s="6" t="str">
        <f>IFERROR(__xludf.DUMMYFUNCTION("""COMPUTED_VALUE"""),"Enrolled")</f>
        <v>Enrolled</v>
      </c>
    </row>
    <row r="2338">
      <c r="A2338" s="6" t="str">
        <f>IFERROR(__xludf.DUMMYFUNCTION("""COMPUTED_VALUE"""),"040-13455")</f>
        <v>040-13455</v>
      </c>
      <c r="B2338" s="6" t="str">
        <f>IFERROR(__xludf.DUMMYFUNCTION("""COMPUTED_VALUE"""),"40")</f>
        <v>40</v>
      </c>
      <c r="C2338" s="6" t="str">
        <f>IFERROR(__xludf.DUMMYFUNCTION("""COMPUTED_VALUE"""),"13455")</f>
        <v>13455</v>
      </c>
      <c r="D2338" s="6" t="str">
        <f>IFERROR(__xludf.DUMMYFUNCTION("""COMPUTED_VALUE"""),"Josiah")</f>
        <v>Josiah</v>
      </c>
      <c r="E2338" s="6" t="str">
        <f>IFERROR(__xludf.DUMMYFUNCTION("""COMPUTED_VALUE"""),"")</f>
        <v/>
      </c>
      <c r="F2338" s="6" t="str">
        <f>IFERROR(__xludf.DUMMYFUNCTION("""COMPUTED_VALUE"""),"Toothman Zurita")</f>
        <v>Toothman Zurita</v>
      </c>
      <c r="G2338" s="6" t="str">
        <f>IFERROR(__xludf.DUMMYFUNCTION("""COMPUTED_VALUE"""),"10/13/2013")</f>
        <v>10/13/2013</v>
      </c>
      <c r="H2338" s="6" t="str">
        <f>IFERROR(__xludf.DUMMYFUNCTION("""COMPUTED_VALUE"""),"Self Identify")</f>
        <v>Self Identify</v>
      </c>
      <c r="I2338" s="6" t="str">
        <f>IFERROR(__xludf.DUMMYFUNCTION("""COMPUTED_VALUE"""),"Middle School")</f>
        <v>Middle School</v>
      </c>
      <c r="J2338" s="6" t="str">
        <f>IFERROR(__xludf.DUMMYFUNCTION("""COMPUTED_VALUE"""),"6")</f>
        <v>6</v>
      </c>
      <c r="K2338" s="6" t="str">
        <f>IFERROR(__xludf.DUMMYFUNCTION("""COMPUTED_VALUE"""),"josiah.toothman.zurita@unbound.school")</f>
        <v>josiah.toothman.zurita@unbound.school</v>
      </c>
      <c r="L2338" s="6" t="str">
        <f>IFERROR(__xludf.DUMMYFUNCTION("""COMPUTED_VALUE"""),"Unbound Academy")</f>
        <v>Unbound Academy</v>
      </c>
      <c r="M2338" s="6" t="str">
        <f>IFERROR(__xludf.DUMMYFUNCTION("""COMPUTED_VALUE"""),"")</f>
        <v/>
      </c>
      <c r="N2338" s="6" t="str">
        <f>IFERROR(__xludf.DUMMYFUNCTION("""COMPUTED_VALUE"""),"")</f>
        <v/>
      </c>
      <c r="O2338" s="87" t="str">
        <f>IFERROR(__xludf.DUMMYFUNCTION("""COMPUTED_VALUE"""),"https://drive.google.com/drive/folders/10T2cTQHqEJZqE-st6uFKPoI?usp=share_link")</f>
        <v>https://drive.google.com/drive/folders/10T2cTQHqEJZqE-st6uFKPoI?usp=share_link</v>
      </c>
      <c r="P2338" s="6" t="str">
        <f>IFERROR(__xludf.DUMMYFUNCTION("""COMPUTED_VALUE"""),"Josiah Toothman Zurita")</f>
        <v>Josiah Toothman Zurita</v>
      </c>
      <c r="Q2338" s="6" t="str">
        <f>IFERROR(__xludf.DUMMYFUNCTION("""COMPUTED_VALUE"""),"MS")</f>
        <v>MS</v>
      </c>
      <c r="R2338" s="6">
        <f>IFERROR(__xludf.DUMMYFUNCTION("""COMPUTED_VALUE"""),0.0)</f>
        <v>0</v>
      </c>
      <c r="S2338" s="6" t="str">
        <f>IFERROR(__xludf.DUMMYFUNCTION("""COMPUTED_VALUE""")," ")</f>
        <v> </v>
      </c>
      <c r="T2338" s="6" t="str">
        <f>IFERROR(__xludf.DUMMYFUNCTION("""COMPUTED_VALUE"""),"")</f>
        <v/>
      </c>
      <c r="U2338" s="6" t="str">
        <f>IFERROR(__xludf.DUMMYFUNCTION("""COMPUTED_VALUE"""),"6")</f>
        <v>6</v>
      </c>
      <c r="V2338" s="6" t="str">
        <f>IFERROR(__xludf.DUMMYFUNCTION("""COMPUTED_VALUE"""),"")</f>
        <v/>
      </c>
      <c r="W2338" s="6" t="str">
        <f>IFERROR(__xludf.DUMMYFUNCTION("""COMPUTED_VALUE"""),"[]")</f>
        <v>[]</v>
      </c>
      <c r="X2338" s="6" t="str">
        <f>IFERROR(__xludf.DUMMYFUNCTION("""COMPUTED_VALUE"""),"Enrolled")</f>
        <v>Enrolled</v>
      </c>
    </row>
    <row r="2339">
      <c r="A2339" s="6" t="str">
        <f>IFERROR(__xludf.DUMMYFUNCTION("""COMPUTED_VALUE"""),"040-13456")</f>
        <v>040-13456</v>
      </c>
      <c r="B2339" s="6" t="str">
        <f>IFERROR(__xludf.DUMMYFUNCTION("""COMPUTED_VALUE"""),"40")</f>
        <v>40</v>
      </c>
      <c r="C2339" s="6" t="str">
        <f>IFERROR(__xludf.DUMMYFUNCTION("""COMPUTED_VALUE"""),"13456")</f>
        <v>13456</v>
      </c>
      <c r="D2339" s="6" t="str">
        <f>IFERROR(__xludf.DUMMYFUNCTION("""COMPUTED_VALUE"""),"Mayah")</f>
        <v>Mayah</v>
      </c>
      <c r="E2339" s="6" t="str">
        <f>IFERROR(__xludf.DUMMYFUNCTION("""COMPUTED_VALUE"""),"")</f>
        <v/>
      </c>
      <c r="F2339" s="6" t="str">
        <f>IFERROR(__xludf.DUMMYFUNCTION("""COMPUTED_VALUE"""),"Nixon")</f>
        <v>Nixon</v>
      </c>
      <c r="G2339" s="6" t="str">
        <f>IFERROR(__xludf.DUMMYFUNCTION("""COMPUTED_VALUE"""),"01/16/2012")</f>
        <v>01/16/2012</v>
      </c>
      <c r="H2339" s="6" t="str">
        <f>IFERROR(__xludf.DUMMYFUNCTION("""COMPUTED_VALUE"""),"Self Identify")</f>
        <v>Self Identify</v>
      </c>
      <c r="I2339" s="6" t="str">
        <f>IFERROR(__xludf.DUMMYFUNCTION("""COMPUTED_VALUE"""),"Middle School")</f>
        <v>Middle School</v>
      </c>
      <c r="J2339" s="6" t="str">
        <f>IFERROR(__xludf.DUMMYFUNCTION("""COMPUTED_VALUE"""),"8")</f>
        <v>8</v>
      </c>
      <c r="K2339" s="6" t="str">
        <f>IFERROR(__xludf.DUMMYFUNCTION("""COMPUTED_VALUE"""),"mayah.nixon@unbound.school")</f>
        <v>mayah.nixon@unbound.school</v>
      </c>
      <c r="L2339" s="6" t="str">
        <f>IFERROR(__xludf.DUMMYFUNCTION("""COMPUTED_VALUE"""),"Unbound Academy")</f>
        <v>Unbound Academy</v>
      </c>
      <c r="M2339" s="6" t="str">
        <f>IFERROR(__xludf.DUMMYFUNCTION("""COMPUTED_VALUE"""),"")</f>
        <v/>
      </c>
      <c r="N2339" s="6" t="str">
        <f>IFERROR(__xludf.DUMMYFUNCTION("""COMPUTED_VALUE"""),"")</f>
        <v/>
      </c>
      <c r="O2339" s="87" t="str">
        <f>IFERROR(__xludf.DUMMYFUNCTION("""COMPUTED_VALUE"""),"https://drive.google.com/drive/folders/10T2cTQHqEJZqE-st6uFKPoI?usp=share_link")</f>
        <v>https://drive.google.com/drive/folders/10T2cTQHqEJZqE-st6uFKPoI?usp=share_link</v>
      </c>
      <c r="P2339" s="6" t="str">
        <f>IFERROR(__xludf.DUMMYFUNCTION("""COMPUTED_VALUE"""),"Mayah Nixon")</f>
        <v>Mayah Nixon</v>
      </c>
      <c r="Q2339" s="6" t="str">
        <f>IFERROR(__xludf.DUMMYFUNCTION("""COMPUTED_VALUE"""),"MS")</f>
        <v>MS</v>
      </c>
      <c r="R2339" s="6">
        <f>IFERROR(__xludf.DUMMYFUNCTION("""COMPUTED_VALUE"""),0.0)</f>
        <v>0</v>
      </c>
      <c r="S2339" s="6" t="str">
        <f>IFERROR(__xludf.DUMMYFUNCTION("""COMPUTED_VALUE""")," ")</f>
        <v> </v>
      </c>
      <c r="T2339" s="6" t="str">
        <f>IFERROR(__xludf.DUMMYFUNCTION("""COMPUTED_VALUE"""),"")</f>
        <v/>
      </c>
      <c r="U2339" s="6" t="str">
        <f>IFERROR(__xludf.DUMMYFUNCTION("""COMPUTED_VALUE"""),"8")</f>
        <v>8</v>
      </c>
      <c r="V2339" s="6" t="str">
        <f>IFERROR(__xludf.DUMMYFUNCTION("""COMPUTED_VALUE"""),"")</f>
        <v/>
      </c>
      <c r="W2339" s="6" t="str">
        <f>IFERROR(__xludf.DUMMYFUNCTION("""COMPUTED_VALUE"""),"[]")</f>
        <v>[]</v>
      </c>
      <c r="X2339" s="6" t="str">
        <f>IFERROR(__xludf.DUMMYFUNCTION("""COMPUTED_VALUE"""),"Enrolled")</f>
        <v>Enrolled</v>
      </c>
    </row>
    <row r="2340">
      <c r="A2340" s="6" t="str">
        <f>IFERROR(__xludf.DUMMYFUNCTION("""COMPUTED_VALUE"""),"040-13457")</f>
        <v>040-13457</v>
      </c>
      <c r="B2340" s="6" t="str">
        <f>IFERROR(__xludf.DUMMYFUNCTION("""COMPUTED_VALUE"""),"40")</f>
        <v>40</v>
      </c>
      <c r="C2340" s="6" t="str">
        <f>IFERROR(__xludf.DUMMYFUNCTION("""COMPUTED_VALUE"""),"13457")</f>
        <v>13457</v>
      </c>
      <c r="D2340" s="6" t="str">
        <f>IFERROR(__xludf.DUMMYFUNCTION("""COMPUTED_VALUE"""),"Nico")</f>
        <v>Nico</v>
      </c>
      <c r="E2340" s="6" t="str">
        <f>IFERROR(__xludf.DUMMYFUNCTION("""COMPUTED_VALUE"""),"")</f>
        <v/>
      </c>
      <c r="F2340" s="6" t="str">
        <f>IFERROR(__xludf.DUMMYFUNCTION("""COMPUTED_VALUE"""),"Sands")</f>
        <v>Sands</v>
      </c>
      <c r="G2340" s="6" t="str">
        <f>IFERROR(__xludf.DUMMYFUNCTION("""COMPUTED_VALUE"""),"03/10/2014")</f>
        <v>03/10/2014</v>
      </c>
      <c r="H2340" s="6" t="str">
        <f>IFERROR(__xludf.DUMMYFUNCTION("""COMPUTED_VALUE"""),"Self Identify")</f>
        <v>Self Identify</v>
      </c>
      <c r="I2340" s="6" t="str">
        <f>IFERROR(__xludf.DUMMYFUNCTION("""COMPUTED_VALUE"""),"Middle School")</f>
        <v>Middle School</v>
      </c>
      <c r="J2340" s="6" t="str">
        <f>IFERROR(__xludf.DUMMYFUNCTION("""COMPUTED_VALUE"""),"6")</f>
        <v>6</v>
      </c>
      <c r="K2340" s="6" t="str">
        <f>IFERROR(__xludf.DUMMYFUNCTION("""COMPUTED_VALUE"""),"nico.sands@unbound.school")</f>
        <v>nico.sands@unbound.school</v>
      </c>
      <c r="L2340" s="6" t="str">
        <f>IFERROR(__xludf.DUMMYFUNCTION("""COMPUTED_VALUE"""),"Unbound Academy")</f>
        <v>Unbound Academy</v>
      </c>
      <c r="M2340" s="6" t="str">
        <f>IFERROR(__xludf.DUMMYFUNCTION("""COMPUTED_VALUE"""),"")</f>
        <v/>
      </c>
      <c r="N2340" s="6" t="str">
        <f>IFERROR(__xludf.DUMMYFUNCTION("""COMPUTED_VALUE"""),"")</f>
        <v/>
      </c>
      <c r="O2340" s="87" t="str">
        <f>IFERROR(__xludf.DUMMYFUNCTION("""COMPUTED_VALUE"""),"https://drive.google.com/drive/folders/10T2cTQHqEJZqE-st6uFKPoI?usp=share_link")</f>
        <v>https://drive.google.com/drive/folders/10T2cTQHqEJZqE-st6uFKPoI?usp=share_link</v>
      </c>
      <c r="P2340" s="6" t="str">
        <f>IFERROR(__xludf.DUMMYFUNCTION("""COMPUTED_VALUE"""),"Nico Sands")</f>
        <v>Nico Sands</v>
      </c>
      <c r="Q2340" s="6" t="str">
        <f>IFERROR(__xludf.DUMMYFUNCTION("""COMPUTED_VALUE"""),"MS")</f>
        <v>MS</v>
      </c>
      <c r="R2340" s="6">
        <f>IFERROR(__xludf.DUMMYFUNCTION("""COMPUTED_VALUE"""),0.0)</f>
        <v>0</v>
      </c>
      <c r="S2340" s="6" t="str">
        <f>IFERROR(__xludf.DUMMYFUNCTION("""COMPUTED_VALUE""")," ")</f>
        <v> </v>
      </c>
      <c r="T2340" s="6" t="str">
        <f>IFERROR(__xludf.DUMMYFUNCTION("""COMPUTED_VALUE"""),"")</f>
        <v/>
      </c>
      <c r="U2340" s="6" t="str">
        <f>IFERROR(__xludf.DUMMYFUNCTION("""COMPUTED_VALUE"""),"6")</f>
        <v>6</v>
      </c>
      <c r="V2340" s="6" t="str">
        <f>IFERROR(__xludf.DUMMYFUNCTION("""COMPUTED_VALUE"""),"")</f>
        <v/>
      </c>
      <c r="W2340" s="6" t="str">
        <f>IFERROR(__xludf.DUMMYFUNCTION("""COMPUTED_VALUE"""),"[]")</f>
        <v>[]</v>
      </c>
      <c r="X2340" s="6" t="str">
        <f>IFERROR(__xludf.DUMMYFUNCTION("""COMPUTED_VALUE"""),"Enrolled")</f>
        <v>Enrolled</v>
      </c>
    </row>
    <row r="2341">
      <c r="A2341" s="6" t="str">
        <f>IFERROR(__xludf.DUMMYFUNCTION("""COMPUTED_VALUE"""),"040-4100")</f>
        <v>040-4100</v>
      </c>
      <c r="B2341" s="6" t="str">
        <f>IFERROR(__xludf.DUMMYFUNCTION("""COMPUTED_VALUE"""),"40")</f>
        <v>40</v>
      </c>
      <c r="C2341" s="6" t="str">
        <f>IFERROR(__xludf.DUMMYFUNCTION("""COMPUTED_VALUE"""),"4100")</f>
        <v>4100</v>
      </c>
      <c r="D2341" s="6" t="str">
        <f>IFERROR(__xludf.DUMMYFUNCTION("""COMPUTED_VALUE"""),"Zaiden")</f>
        <v>Zaiden</v>
      </c>
      <c r="E2341" s="6" t="str">
        <f>IFERROR(__xludf.DUMMYFUNCTION("""COMPUTED_VALUE"""),"")</f>
        <v/>
      </c>
      <c r="F2341" s="6" t="str">
        <f>IFERROR(__xludf.DUMMYFUNCTION("""COMPUTED_VALUE"""),"Hardin")</f>
        <v>Hardin</v>
      </c>
      <c r="G2341" s="6" t="str">
        <f>IFERROR(__xludf.DUMMYFUNCTION("""COMPUTED_VALUE"""),"11/11/2015")</f>
        <v>11/11/2015</v>
      </c>
      <c r="H2341" s="6" t="str">
        <f>IFERROR(__xludf.DUMMYFUNCTION("""COMPUTED_VALUE"""),"Self Identify")</f>
        <v>Self Identify</v>
      </c>
      <c r="I2341" s="6" t="str">
        <f>IFERROR(__xludf.DUMMYFUNCTION("""COMPUTED_VALUE"""),"Level 2")</f>
        <v>Level 2</v>
      </c>
      <c r="J2341" s="6" t="str">
        <f>IFERROR(__xludf.DUMMYFUNCTION("""COMPUTED_VALUE"""),"4")</f>
        <v>4</v>
      </c>
      <c r="K2341" s="6" t="str">
        <f>IFERROR(__xludf.DUMMYFUNCTION("""COMPUTED_VALUE"""),"zaiden.hardin@unbound.school")</f>
        <v>zaiden.hardin@unbound.school</v>
      </c>
      <c r="L2341" s="6" t="str">
        <f>IFERROR(__xludf.DUMMYFUNCTION("""COMPUTED_VALUE"""),"Unbound Academy")</f>
        <v>Unbound Academy</v>
      </c>
      <c r="M2341" s="6" t="str">
        <f>IFERROR(__xludf.DUMMYFUNCTION("""COMPUTED_VALUE"""),"")</f>
        <v/>
      </c>
      <c r="N2341" s="6" t="str">
        <f>IFERROR(__xludf.DUMMYFUNCTION("""COMPUTED_VALUE"""),"")</f>
        <v/>
      </c>
      <c r="O2341" s="87" t="str">
        <f>IFERROR(__xludf.DUMMYFUNCTION("""COMPUTED_VALUE"""),"https://drive.google.com/drive/folders/10T2cTQHqEJZqE-st6uFKPoI?usp=share_link")</f>
        <v>https://drive.google.com/drive/folders/10T2cTQHqEJZqE-st6uFKPoI?usp=share_link</v>
      </c>
      <c r="P2341" s="6" t="str">
        <f>IFERROR(__xludf.DUMMYFUNCTION("""COMPUTED_VALUE"""),"Zaiden Hardin")</f>
        <v>Zaiden Hardin</v>
      </c>
      <c r="Q2341" s="6" t="str">
        <f>IFERROR(__xludf.DUMMYFUNCTION("""COMPUTED_VALUE"""),"L2")</f>
        <v>L2</v>
      </c>
      <c r="R2341" s="6">
        <f>IFERROR(__xludf.DUMMYFUNCTION("""COMPUTED_VALUE"""),2.0)</f>
        <v>2</v>
      </c>
      <c r="S2341" s="6" t="str">
        <f>IFERROR(__xludf.DUMMYFUNCTION("""COMPUTED_VALUE""")," ")</f>
        <v> </v>
      </c>
      <c r="T2341" s="6" t="str">
        <f>IFERROR(__xludf.DUMMYFUNCTION("""COMPUTED_VALUE"""),"")</f>
        <v/>
      </c>
      <c r="U2341" s="6" t="str">
        <f>IFERROR(__xludf.DUMMYFUNCTION("""COMPUTED_VALUE"""),"4")</f>
        <v>4</v>
      </c>
      <c r="V2341" s="6" t="str">
        <f>IFERROR(__xludf.DUMMYFUNCTION("""COMPUTED_VALUE"""),"")</f>
        <v/>
      </c>
      <c r="W2341" s="6" t="str">
        <f>IFERROR(__xludf.DUMMYFUNCTION("""COMPUTED_VALUE"""),"[]")</f>
        <v>[]</v>
      </c>
      <c r="X2341" s="6" t="str">
        <f>IFERROR(__xludf.DUMMYFUNCTION("""COMPUTED_VALUE"""),"Enrolled")</f>
        <v>Enrolled</v>
      </c>
    </row>
    <row r="2342">
      <c r="A2342" s="6" t="str">
        <f>IFERROR(__xludf.DUMMYFUNCTION("""COMPUTED_VALUE"""),"040-4101")</f>
        <v>040-4101</v>
      </c>
      <c r="B2342" s="6" t="str">
        <f>IFERROR(__xludf.DUMMYFUNCTION("""COMPUTED_VALUE"""),"40")</f>
        <v>40</v>
      </c>
      <c r="C2342" s="6" t="str">
        <f>IFERROR(__xludf.DUMMYFUNCTION("""COMPUTED_VALUE"""),"4101")</f>
        <v>4101</v>
      </c>
      <c r="D2342" s="6" t="str">
        <f>IFERROR(__xludf.DUMMYFUNCTION("""COMPUTED_VALUE"""),"Ridge")</f>
        <v>Ridge</v>
      </c>
      <c r="E2342" s="6" t="str">
        <f>IFERROR(__xludf.DUMMYFUNCTION("""COMPUTED_VALUE"""),"")</f>
        <v/>
      </c>
      <c r="F2342" s="6" t="str">
        <f>IFERROR(__xludf.DUMMYFUNCTION("""COMPUTED_VALUE"""),"Todd")</f>
        <v>Todd</v>
      </c>
      <c r="G2342" s="6" t="str">
        <f>IFERROR(__xludf.DUMMYFUNCTION("""COMPUTED_VALUE"""),"11/17/2015")</f>
        <v>11/17/2015</v>
      </c>
      <c r="H2342" s="6" t="str">
        <f>IFERROR(__xludf.DUMMYFUNCTION("""COMPUTED_VALUE"""),"Self Identify")</f>
        <v>Self Identify</v>
      </c>
      <c r="I2342" s="6" t="str">
        <f>IFERROR(__xludf.DUMMYFUNCTION("""COMPUTED_VALUE"""),"Level 2")</f>
        <v>Level 2</v>
      </c>
      <c r="J2342" s="6" t="str">
        <f>IFERROR(__xludf.DUMMYFUNCTION("""COMPUTED_VALUE"""),"4")</f>
        <v>4</v>
      </c>
      <c r="K2342" s="6" t="str">
        <f>IFERROR(__xludf.DUMMYFUNCTION("""COMPUTED_VALUE"""),"ridge.todd@unbound.school")</f>
        <v>ridge.todd@unbound.school</v>
      </c>
      <c r="L2342" s="6" t="str">
        <f>IFERROR(__xludf.DUMMYFUNCTION("""COMPUTED_VALUE"""),"Unbound Academy")</f>
        <v>Unbound Academy</v>
      </c>
      <c r="M2342" s="6" t="str">
        <f>IFERROR(__xludf.DUMMYFUNCTION("""COMPUTED_VALUE"""),"")</f>
        <v/>
      </c>
      <c r="N2342" s="6" t="str">
        <f>IFERROR(__xludf.DUMMYFUNCTION("""COMPUTED_VALUE"""),"")</f>
        <v/>
      </c>
      <c r="O2342" s="87" t="str">
        <f>IFERROR(__xludf.DUMMYFUNCTION("""COMPUTED_VALUE"""),"https://drive.google.com/drive/folders/10T2cTQHqEJZqE-st6uFKPoI?usp=share_link")</f>
        <v>https://drive.google.com/drive/folders/10T2cTQHqEJZqE-st6uFKPoI?usp=share_link</v>
      </c>
      <c r="P2342" s="6" t="str">
        <f>IFERROR(__xludf.DUMMYFUNCTION("""COMPUTED_VALUE"""),"Ridge Todd")</f>
        <v>Ridge Todd</v>
      </c>
      <c r="Q2342" s="6" t="str">
        <f>IFERROR(__xludf.DUMMYFUNCTION("""COMPUTED_VALUE"""),"L2")</f>
        <v>L2</v>
      </c>
      <c r="R2342" s="6">
        <f>IFERROR(__xludf.DUMMYFUNCTION("""COMPUTED_VALUE"""),2.0)</f>
        <v>2</v>
      </c>
      <c r="S2342" s="6" t="str">
        <f>IFERROR(__xludf.DUMMYFUNCTION("""COMPUTED_VALUE""")," ")</f>
        <v> </v>
      </c>
      <c r="T2342" s="6" t="str">
        <f>IFERROR(__xludf.DUMMYFUNCTION("""COMPUTED_VALUE"""),"")</f>
        <v/>
      </c>
      <c r="U2342" s="6" t="str">
        <f>IFERROR(__xludf.DUMMYFUNCTION("""COMPUTED_VALUE"""),"4")</f>
        <v>4</v>
      </c>
      <c r="V2342" s="6" t="str">
        <f>IFERROR(__xludf.DUMMYFUNCTION("""COMPUTED_VALUE"""),"")</f>
        <v/>
      </c>
      <c r="W2342" s="6" t="str">
        <f>IFERROR(__xludf.DUMMYFUNCTION("""COMPUTED_VALUE"""),"[]")</f>
        <v>[]</v>
      </c>
      <c r="X2342" s="6" t="str">
        <f>IFERROR(__xludf.DUMMYFUNCTION("""COMPUTED_VALUE"""),"Enrolled")</f>
        <v>Enrolled</v>
      </c>
    </row>
    <row r="2343">
      <c r="A2343" s="6" t="str">
        <f>IFERROR(__xludf.DUMMYFUNCTION("""COMPUTED_VALUE"""),"040-4102")</f>
        <v>040-4102</v>
      </c>
      <c r="B2343" s="6" t="str">
        <f>IFERROR(__xludf.DUMMYFUNCTION("""COMPUTED_VALUE"""),"40")</f>
        <v>40</v>
      </c>
      <c r="C2343" s="6" t="str">
        <f>IFERROR(__xludf.DUMMYFUNCTION("""COMPUTED_VALUE"""),"4102")</f>
        <v>4102</v>
      </c>
      <c r="D2343" s="6" t="str">
        <f>IFERROR(__xludf.DUMMYFUNCTION("""COMPUTED_VALUE"""),"Tyesha")</f>
        <v>Tyesha</v>
      </c>
      <c r="E2343" s="6" t="str">
        <f>IFERROR(__xludf.DUMMYFUNCTION("""COMPUTED_VALUE"""),"")</f>
        <v/>
      </c>
      <c r="F2343" s="6" t="str">
        <f>IFERROR(__xludf.DUMMYFUNCTION("""COMPUTED_VALUE"""),"Thomas")</f>
        <v>Thomas</v>
      </c>
      <c r="G2343" s="6" t="str">
        <f>IFERROR(__xludf.DUMMYFUNCTION("""COMPUTED_VALUE"""),"08/20/2012")</f>
        <v>08/20/2012</v>
      </c>
      <c r="H2343" s="6" t="str">
        <f>IFERROR(__xludf.DUMMYFUNCTION("""COMPUTED_VALUE"""),"Self Identify")</f>
        <v>Self Identify</v>
      </c>
      <c r="I2343" s="6" t="str">
        <f>IFERROR(__xludf.DUMMYFUNCTION("""COMPUTED_VALUE"""),"Middle School")</f>
        <v>Middle School</v>
      </c>
      <c r="J2343" s="6" t="str">
        <f>IFERROR(__xludf.DUMMYFUNCTION("""COMPUTED_VALUE"""),"8")</f>
        <v>8</v>
      </c>
      <c r="K2343" s="6" t="str">
        <f>IFERROR(__xludf.DUMMYFUNCTION("""COMPUTED_VALUE"""),"tyesha.thomas@unbound.school")</f>
        <v>tyesha.thomas@unbound.school</v>
      </c>
      <c r="L2343" s="6" t="str">
        <f>IFERROR(__xludf.DUMMYFUNCTION("""COMPUTED_VALUE"""),"Unbound Academy")</f>
        <v>Unbound Academy</v>
      </c>
      <c r="M2343" s="6" t="str">
        <f>IFERROR(__xludf.DUMMYFUNCTION("""COMPUTED_VALUE"""),"")</f>
        <v/>
      </c>
      <c r="N2343" s="6" t="str">
        <f>IFERROR(__xludf.DUMMYFUNCTION("""COMPUTED_VALUE"""),"")</f>
        <v/>
      </c>
      <c r="O2343" s="87" t="str">
        <f>IFERROR(__xludf.DUMMYFUNCTION("""COMPUTED_VALUE"""),"https://drive.google.com/drive/folders/10T2cTQHqEJZqE-st6uFKPoI?usp=share_link")</f>
        <v>https://drive.google.com/drive/folders/10T2cTQHqEJZqE-st6uFKPoI?usp=share_link</v>
      </c>
      <c r="P2343" s="6" t="str">
        <f>IFERROR(__xludf.DUMMYFUNCTION("""COMPUTED_VALUE"""),"Tyesha Thomas")</f>
        <v>Tyesha Thomas</v>
      </c>
      <c r="Q2343" s="6" t="str">
        <f>IFERROR(__xludf.DUMMYFUNCTION("""COMPUTED_VALUE"""),"MS")</f>
        <v>MS</v>
      </c>
      <c r="R2343" s="6">
        <f>IFERROR(__xludf.DUMMYFUNCTION("""COMPUTED_VALUE"""),0.0)</f>
        <v>0</v>
      </c>
      <c r="S2343" s="6" t="str">
        <f>IFERROR(__xludf.DUMMYFUNCTION("""COMPUTED_VALUE""")," ")</f>
        <v> </v>
      </c>
      <c r="T2343" s="6" t="str">
        <f>IFERROR(__xludf.DUMMYFUNCTION("""COMPUTED_VALUE"""),"")</f>
        <v/>
      </c>
      <c r="U2343" s="6" t="str">
        <f>IFERROR(__xludf.DUMMYFUNCTION("""COMPUTED_VALUE"""),"8")</f>
        <v>8</v>
      </c>
      <c r="V2343" s="6" t="str">
        <f>IFERROR(__xludf.DUMMYFUNCTION("""COMPUTED_VALUE"""),"")</f>
        <v/>
      </c>
      <c r="W2343" s="6" t="str">
        <f>IFERROR(__xludf.DUMMYFUNCTION("""COMPUTED_VALUE"""),"[]")</f>
        <v>[]</v>
      </c>
      <c r="X2343" s="6" t="str">
        <f>IFERROR(__xludf.DUMMYFUNCTION("""COMPUTED_VALUE"""),"Enrolled")</f>
        <v>Enrolled</v>
      </c>
    </row>
    <row r="2344">
      <c r="A2344" s="6" t="str">
        <f>IFERROR(__xludf.DUMMYFUNCTION("""COMPUTED_VALUE"""),"040-4107")</f>
        <v>040-4107</v>
      </c>
      <c r="B2344" s="6" t="str">
        <f>IFERROR(__xludf.DUMMYFUNCTION("""COMPUTED_VALUE"""),"40")</f>
        <v>40</v>
      </c>
      <c r="C2344" s="6" t="str">
        <f>IFERROR(__xludf.DUMMYFUNCTION("""COMPUTED_VALUE"""),"4107")</f>
        <v>4107</v>
      </c>
      <c r="D2344" s="6" t="str">
        <f>IFERROR(__xludf.DUMMYFUNCTION("""COMPUTED_VALUE"""),"Aurora")</f>
        <v>Aurora</v>
      </c>
      <c r="E2344" s="6" t="str">
        <f>IFERROR(__xludf.DUMMYFUNCTION("""COMPUTED_VALUE"""),"")</f>
        <v/>
      </c>
      <c r="F2344" s="6" t="str">
        <f>IFERROR(__xludf.DUMMYFUNCTION("""COMPUTED_VALUE"""),"Cisneros")</f>
        <v>Cisneros</v>
      </c>
      <c r="G2344" s="6" t="str">
        <f>IFERROR(__xludf.DUMMYFUNCTION("""COMPUTED_VALUE"""),"10/19/2016")</f>
        <v>10/19/2016</v>
      </c>
      <c r="H2344" s="6" t="str">
        <f>IFERROR(__xludf.DUMMYFUNCTION("""COMPUTED_VALUE"""),"Self Identify")</f>
        <v>Self Identify</v>
      </c>
      <c r="I2344" s="6" t="str">
        <f>IFERROR(__xludf.DUMMYFUNCTION("""COMPUTED_VALUE"""),"Level 2")</f>
        <v>Level 2</v>
      </c>
      <c r="J2344" s="6" t="str">
        <f>IFERROR(__xludf.DUMMYFUNCTION("""COMPUTED_VALUE"""),"4")</f>
        <v>4</v>
      </c>
      <c r="K2344" s="6" t="str">
        <f>IFERROR(__xludf.DUMMYFUNCTION("""COMPUTED_VALUE"""),"aurora.cisneros@unbound.school")</f>
        <v>aurora.cisneros@unbound.school</v>
      </c>
      <c r="L2344" s="6" t="str">
        <f>IFERROR(__xludf.DUMMYFUNCTION("""COMPUTED_VALUE"""),"Unbound Academy")</f>
        <v>Unbound Academy</v>
      </c>
      <c r="M2344" s="6" t="str">
        <f>IFERROR(__xludf.DUMMYFUNCTION("""COMPUTED_VALUE"""),"")</f>
        <v/>
      </c>
      <c r="N2344" s="6" t="str">
        <f>IFERROR(__xludf.DUMMYFUNCTION("""COMPUTED_VALUE"""),"")</f>
        <v/>
      </c>
      <c r="O2344" s="87" t="str">
        <f>IFERROR(__xludf.DUMMYFUNCTION("""COMPUTED_VALUE"""),"https://drive.google.com/drive/folders/10T2cTQHqEJZqE-st6uFKPoI?usp=share_link")</f>
        <v>https://drive.google.com/drive/folders/10T2cTQHqEJZqE-st6uFKPoI?usp=share_link</v>
      </c>
      <c r="P2344" s="6" t="str">
        <f>IFERROR(__xludf.DUMMYFUNCTION("""COMPUTED_VALUE"""),"Aurora Cisneros")</f>
        <v>Aurora Cisneros</v>
      </c>
      <c r="Q2344" s="6" t="str">
        <f>IFERROR(__xludf.DUMMYFUNCTION("""COMPUTED_VALUE"""),"L2")</f>
        <v>L2</v>
      </c>
      <c r="R2344" s="6">
        <f>IFERROR(__xludf.DUMMYFUNCTION("""COMPUTED_VALUE"""),2.0)</f>
        <v>2</v>
      </c>
      <c r="S2344" s="6" t="str">
        <f>IFERROR(__xludf.DUMMYFUNCTION("""COMPUTED_VALUE""")," ")</f>
        <v> </v>
      </c>
      <c r="T2344" s="6" t="str">
        <f>IFERROR(__xludf.DUMMYFUNCTION("""COMPUTED_VALUE"""),"")</f>
        <v/>
      </c>
      <c r="U2344" s="6" t="str">
        <f>IFERROR(__xludf.DUMMYFUNCTION("""COMPUTED_VALUE"""),"4")</f>
        <v>4</v>
      </c>
      <c r="V2344" s="6" t="str">
        <f>IFERROR(__xludf.DUMMYFUNCTION("""COMPUTED_VALUE"""),"")</f>
        <v/>
      </c>
      <c r="W2344" s="6" t="str">
        <f>IFERROR(__xludf.DUMMYFUNCTION("""COMPUTED_VALUE"""),"[]")</f>
        <v>[]</v>
      </c>
      <c r="X2344" s="6" t="str">
        <f>IFERROR(__xludf.DUMMYFUNCTION("""COMPUTED_VALUE"""),"Enrolled")</f>
        <v>Enrolled</v>
      </c>
    </row>
    <row r="2345">
      <c r="A2345" s="6" t="str">
        <f>IFERROR(__xludf.DUMMYFUNCTION("""COMPUTED_VALUE"""),"040-4110")</f>
        <v>040-4110</v>
      </c>
      <c r="B2345" s="6" t="str">
        <f>IFERROR(__xludf.DUMMYFUNCTION("""COMPUTED_VALUE"""),"40")</f>
        <v>40</v>
      </c>
      <c r="C2345" s="6" t="str">
        <f>IFERROR(__xludf.DUMMYFUNCTION("""COMPUTED_VALUE"""),"4110")</f>
        <v>4110</v>
      </c>
      <c r="D2345" s="6" t="str">
        <f>IFERROR(__xludf.DUMMYFUNCTION("""COMPUTED_VALUE"""),"Ellie")</f>
        <v>Ellie</v>
      </c>
      <c r="E2345" s="6" t="str">
        <f>IFERROR(__xludf.DUMMYFUNCTION("""COMPUTED_VALUE"""),"")</f>
        <v/>
      </c>
      <c r="F2345" s="6" t="str">
        <f>IFERROR(__xludf.DUMMYFUNCTION("""COMPUTED_VALUE"""),"Larish")</f>
        <v>Larish</v>
      </c>
      <c r="G2345" s="6" t="str">
        <f>IFERROR(__xludf.DUMMYFUNCTION("""COMPUTED_VALUE"""),"03/24/2016")</f>
        <v>03/24/2016</v>
      </c>
      <c r="H2345" s="6" t="str">
        <f>IFERROR(__xludf.DUMMYFUNCTION("""COMPUTED_VALUE"""),"Self Identify")</f>
        <v>Self Identify</v>
      </c>
      <c r="I2345" s="6" t="str">
        <f>IFERROR(__xludf.DUMMYFUNCTION("""COMPUTED_VALUE"""),"Level 2")</f>
        <v>Level 2</v>
      </c>
      <c r="J2345" s="6" t="str">
        <f>IFERROR(__xludf.DUMMYFUNCTION("""COMPUTED_VALUE"""),"4")</f>
        <v>4</v>
      </c>
      <c r="K2345" s="6" t="str">
        <f>IFERROR(__xludf.DUMMYFUNCTION("""COMPUTED_VALUE"""),"ellie.larish@unbound.school")</f>
        <v>ellie.larish@unbound.school</v>
      </c>
      <c r="L2345" s="6" t="str">
        <f>IFERROR(__xludf.DUMMYFUNCTION("""COMPUTED_VALUE"""),"Unbound Academy")</f>
        <v>Unbound Academy</v>
      </c>
      <c r="M2345" s="6" t="str">
        <f>IFERROR(__xludf.DUMMYFUNCTION("""COMPUTED_VALUE"""),"")</f>
        <v/>
      </c>
      <c r="N2345" s="6" t="str">
        <f>IFERROR(__xludf.DUMMYFUNCTION("""COMPUTED_VALUE"""),"")</f>
        <v/>
      </c>
      <c r="O2345" s="87" t="str">
        <f>IFERROR(__xludf.DUMMYFUNCTION("""COMPUTED_VALUE"""),"https://drive.google.com/drive/folders/10T2cTQHqEJZqE-st6uFKPoI?usp=share_link")</f>
        <v>https://drive.google.com/drive/folders/10T2cTQHqEJZqE-st6uFKPoI?usp=share_link</v>
      </c>
      <c r="P2345" s="6" t="str">
        <f>IFERROR(__xludf.DUMMYFUNCTION("""COMPUTED_VALUE"""),"Ellie Larish")</f>
        <v>Ellie Larish</v>
      </c>
      <c r="Q2345" s="6" t="str">
        <f>IFERROR(__xludf.DUMMYFUNCTION("""COMPUTED_VALUE"""),"L2")</f>
        <v>L2</v>
      </c>
      <c r="R2345" s="6">
        <f>IFERROR(__xludf.DUMMYFUNCTION("""COMPUTED_VALUE"""),2.0)</f>
        <v>2</v>
      </c>
      <c r="S2345" s="6" t="str">
        <f>IFERROR(__xludf.DUMMYFUNCTION("""COMPUTED_VALUE""")," ")</f>
        <v> </v>
      </c>
      <c r="T2345" s="6" t="str">
        <f>IFERROR(__xludf.DUMMYFUNCTION("""COMPUTED_VALUE"""),"")</f>
        <v/>
      </c>
      <c r="U2345" s="6" t="str">
        <f>IFERROR(__xludf.DUMMYFUNCTION("""COMPUTED_VALUE"""),"4")</f>
        <v>4</v>
      </c>
      <c r="V2345" s="6" t="str">
        <f>IFERROR(__xludf.DUMMYFUNCTION("""COMPUTED_VALUE"""),"")</f>
        <v/>
      </c>
      <c r="W2345" s="6" t="str">
        <f>IFERROR(__xludf.DUMMYFUNCTION("""COMPUTED_VALUE"""),"[]")</f>
        <v>[]</v>
      </c>
      <c r="X2345" s="6" t="str">
        <f>IFERROR(__xludf.DUMMYFUNCTION("""COMPUTED_VALUE"""),"Enrolled")</f>
        <v>Enrolled</v>
      </c>
    </row>
    <row r="2346">
      <c r="A2346" s="6" t="str">
        <f>IFERROR(__xludf.DUMMYFUNCTION("""COMPUTED_VALUE"""),"040-4111")</f>
        <v>040-4111</v>
      </c>
      <c r="B2346" s="6" t="str">
        <f>IFERROR(__xludf.DUMMYFUNCTION("""COMPUTED_VALUE"""),"40")</f>
        <v>40</v>
      </c>
      <c r="C2346" s="6" t="str">
        <f>IFERROR(__xludf.DUMMYFUNCTION("""COMPUTED_VALUE"""),"4111")</f>
        <v>4111</v>
      </c>
      <c r="D2346" s="6" t="str">
        <f>IFERROR(__xludf.DUMMYFUNCTION("""COMPUTED_VALUE"""),"Kullen")</f>
        <v>Kullen</v>
      </c>
      <c r="E2346" s="6" t="str">
        <f>IFERROR(__xludf.DUMMYFUNCTION("""COMPUTED_VALUE"""),"")</f>
        <v/>
      </c>
      <c r="F2346" s="6" t="str">
        <f>IFERROR(__xludf.DUMMYFUNCTION("""COMPUTED_VALUE"""),"Larish")</f>
        <v>Larish</v>
      </c>
      <c r="G2346" s="6" t="str">
        <f>IFERROR(__xludf.DUMMYFUNCTION("""COMPUTED_VALUE"""),"11/08/2012")</f>
        <v>11/08/2012</v>
      </c>
      <c r="H2346" s="6" t="str">
        <f>IFERROR(__xludf.DUMMYFUNCTION("""COMPUTED_VALUE"""),"Self Identify")</f>
        <v>Self Identify</v>
      </c>
      <c r="I2346" s="6" t="str">
        <f>IFERROR(__xludf.DUMMYFUNCTION("""COMPUTED_VALUE"""),"Middle School")</f>
        <v>Middle School</v>
      </c>
      <c r="J2346" s="6" t="str">
        <f>IFERROR(__xludf.DUMMYFUNCTION("""COMPUTED_VALUE"""),"7")</f>
        <v>7</v>
      </c>
      <c r="K2346" s="6" t="str">
        <f>IFERROR(__xludf.DUMMYFUNCTION("""COMPUTED_VALUE"""),"kullen.larish@unbound.school")</f>
        <v>kullen.larish@unbound.school</v>
      </c>
      <c r="L2346" s="6" t="str">
        <f>IFERROR(__xludf.DUMMYFUNCTION("""COMPUTED_VALUE"""),"Unbound Academy")</f>
        <v>Unbound Academy</v>
      </c>
      <c r="M2346" s="6" t="str">
        <f>IFERROR(__xludf.DUMMYFUNCTION("""COMPUTED_VALUE"""),"")</f>
        <v/>
      </c>
      <c r="N2346" s="6" t="str">
        <f>IFERROR(__xludf.DUMMYFUNCTION("""COMPUTED_VALUE"""),"")</f>
        <v/>
      </c>
      <c r="O2346" s="87" t="str">
        <f>IFERROR(__xludf.DUMMYFUNCTION("""COMPUTED_VALUE"""),"https://drive.google.com/drive/folders/10T2cTQHqEJZqE-st6uFKPoI?usp=share_link")</f>
        <v>https://drive.google.com/drive/folders/10T2cTQHqEJZqE-st6uFKPoI?usp=share_link</v>
      </c>
      <c r="P2346" s="6" t="str">
        <f>IFERROR(__xludf.DUMMYFUNCTION("""COMPUTED_VALUE"""),"Kullen Larish")</f>
        <v>Kullen Larish</v>
      </c>
      <c r="Q2346" s="6" t="str">
        <f>IFERROR(__xludf.DUMMYFUNCTION("""COMPUTED_VALUE"""),"MS")</f>
        <v>MS</v>
      </c>
      <c r="R2346" s="6">
        <f>IFERROR(__xludf.DUMMYFUNCTION("""COMPUTED_VALUE"""),0.0)</f>
        <v>0</v>
      </c>
      <c r="S2346" s="6" t="str">
        <f>IFERROR(__xludf.DUMMYFUNCTION("""COMPUTED_VALUE""")," ")</f>
        <v> </v>
      </c>
      <c r="T2346" s="6" t="str">
        <f>IFERROR(__xludf.DUMMYFUNCTION("""COMPUTED_VALUE"""),"")</f>
        <v/>
      </c>
      <c r="U2346" s="6" t="str">
        <f>IFERROR(__xludf.DUMMYFUNCTION("""COMPUTED_VALUE"""),"7")</f>
        <v>7</v>
      </c>
      <c r="V2346" s="6" t="str">
        <f>IFERROR(__xludf.DUMMYFUNCTION("""COMPUTED_VALUE"""),"")</f>
        <v/>
      </c>
      <c r="W2346" s="6" t="str">
        <f>IFERROR(__xludf.DUMMYFUNCTION("""COMPUTED_VALUE"""),"[]")</f>
        <v>[]</v>
      </c>
      <c r="X2346" s="6" t="str">
        <f>IFERROR(__xludf.DUMMYFUNCTION("""COMPUTED_VALUE"""),"Enrolled")</f>
        <v>Enrolled</v>
      </c>
    </row>
    <row r="2347">
      <c r="A2347" s="6" t="str">
        <f>IFERROR(__xludf.DUMMYFUNCTION("""COMPUTED_VALUE"""),"040-4113")</f>
        <v>040-4113</v>
      </c>
      <c r="B2347" s="6" t="str">
        <f>IFERROR(__xludf.DUMMYFUNCTION("""COMPUTED_VALUE"""),"40")</f>
        <v>40</v>
      </c>
      <c r="C2347" s="6" t="str">
        <f>IFERROR(__xludf.DUMMYFUNCTION("""COMPUTED_VALUE"""),"4113")</f>
        <v>4113</v>
      </c>
      <c r="D2347" s="6" t="str">
        <f>IFERROR(__xludf.DUMMYFUNCTION("""COMPUTED_VALUE"""),"Robert")</f>
        <v>Robert</v>
      </c>
      <c r="E2347" s="6" t="str">
        <f>IFERROR(__xludf.DUMMYFUNCTION("""COMPUTED_VALUE"""),"")</f>
        <v/>
      </c>
      <c r="F2347" s="6" t="str">
        <f>IFERROR(__xludf.DUMMYFUNCTION("""COMPUTED_VALUE"""),"Crown")</f>
        <v>Crown</v>
      </c>
      <c r="G2347" s="6" t="str">
        <f>IFERROR(__xludf.DUMMYFUNCTION("""COMPUTED_VALUE"""),"04/20/2015")</f>
        <v>04/20/2015</v>
      </c>
      <c r="H2347" s="6" t="str">
        <f>IFERROR(__xludf.DUMMYFUNCTION("""COMPUTED_VALUE"""),"Self Identify")</f>
        <v>Self Identify</v>
      </c>
      <c r="I2347" s="6" t="str">
        <f>IFERROR(__xludf.DUMMYFUNCTION("""COMPUTED_VALUE"""),"Level 2")</f>
        <v>Level 2</v>
      </c>
      <c r="J2347" s="6" t="str">
        <f>IFERROR(__xludf.DUMMYFUNCTION("""COMPUTED_VALUE"""),"5")</f>
        <v>5</v>
      </c>
      <c r="K2347" s="6" t="str">
        <f>IFERROR(__xludf.DUMMYFUNCTION("""COMPUTED_VALUE"""),"robert.crown@unbound.school")</f>
        <v>robert.crown@unbound.school</v>
      </c>
      <c r="L2347" s="6" t="str">
        <f>IFERROR(__xludf.DUMMYFUNCTION("""COMPUTED_VALUE"""),"Unbound Academy")</f>
        <v>Unbound Academy</v>
      </c>
      <c r="M2347" s="6" t="str">
        <f>IFERROR(__xludf.DUMMYFUNCTION("""COMPUTED_VALUE"""),"")</f>
        <v/>
      </c>
      <c r="N2347" s="6" t="str">
        <f>IFERROR(__xludf.DUMMYFUNCTION("""COMPUTED_VALUE"""),"")</f>
        <v/>
      </c>
      <c r="O2347" s="87" t="str">
        <f>IFERROR(__xludf.DUMMYFUNCTION("""COMPUTED_VALUE"""),"https://drive.google.com/drive/folders/10T2cTQHqEJZqE-st6uFKPoI?usp=share_link")</f>
        <v>https://drive.google.com/drive/folders/10T2cTQHqEJZqE-st6uFKPoI?usp=share_link</v>
      </c>
      <c r="P2347" s="6" t="str">
        <f>IFERROR(__xludf.DUMMYFUNCTION("""COMPUTED_VALUE"""),"Robert Crown")</f>
        <v>Robert Crown</v>
      </c>
      <c r="Q2347" s="6" t="str">
        <f>IFERROR(__xludf.DUMMYFUNCTION("""COMPUTED_VALUE"""),"L2")</f>
        <v>L2</v>
      </c>
      <c r="R2347" s="6">
        <f>IFERROR(__xludf.DUMMYFUNCTION("""COMPUTED_VALUE"""),2.0)</f>
        <v>2</v>
      </c>
      <c r="S2347" s="6" t="str">
        <f>IFERROR(__xludf.DUMMYFUNCTION("""COMPUTED_VALUE""")," ")</f>
        <v> </v>
      </c>
      <c r="T2347" s="6" t="str">
        <f>IFERROR(__xludf.DUMMYFUNCTION("""COMPUTED_VALUE"""),"")</f>
        <v/>
      </c>
      <c r="U2347" s="6" t="str">
        <f>IFERROR(__xludf.DUMMYFUNCTION("""COMPUTED_VALUE"""),"5")</f>
        <v>5</v>
      </c>
      <c r="V2347" s="6" t="str">
        <f>IFERROR(__xludf.DUMMYFUNCTION("""COMPUTED_VALUE"""),"")</f>
        <v/>
      </c>
      <c r="W2347" s="6" t="str">
        <f>IFERROR(__xludf.DUMMYFUNCTION("""COMPUTED_VALUE"""),"[]")</f>
        <v>[]</v>
      </c>
      <c r="X2347" s="6" t="str">
        <f>IFERROR(__xludf.DUMMYFUNCTION("""COMPUTED_VALUE"""),"Enrolled")</f>
        <v>Enrolled</v>
      </c>
    </row>
    <row r="2348">
      <c r="A2348" s="6" t="str">
        <f>IFERROR(__xludf.DUMMYFUNCTION("""COMPUTED_VALUE"""),"040-4114")</f>
        <v>040-4114</v>
      </c>
      <c r="B2348" s="6" t="str">
        <f>IFERROR(__xludf.DUMMYFUNCTION("""COMPUTED_VALUE"""),"40")</f>
        <v>40</v>
      </c>
      <c r="C2348" s="6" t="str">
        <f>IFERROR(__xludf.DUMMYFUNCTION("""COMPUTED_VALUE"""),"4114")</f>
        <v>4114</v>
      </c>
      <c r="D2348" s="6" t="str">
        <f>IFERROR(__xludf.DUMMYFUNCTION("""COMPUTED_VALUE"""),"Arya")</f>
        <v>Arya</v>
      </c>
      <c r="E2348" s="6" t="str">
        <f>IFERROR(__xludf.DUMMYFUNCTION("""COMPUTED_VALUE"""),"")</f>
        <v/>
      </c>
      <c r="F2348" s="6" t="str">
        <f>IFERROR(__xludf.DUMMYFUNCTION("""COMPUTED_VALUE"""),"Wiryawan")</f>
        <v>Wiryawan</v>
      </c>
      <c r="G2348" s="6" t="str">
        <f>IFERROR(__xludf.DUMMYFUNCTION("""COMPUTED_VALUE"""),"11/11/2011")</f>
        <v>11/11/2011</v>
      </c>
      <c r="H2348" s="6" t="str">
        <f>IFERROR(__xludf.DUMMYFUNCTION("""COMPUTED_VALUE"""),"Self Identify")</f>
        <v>Self Identify</v>
      </c>
      <c r="I2348" s="6" t="str">
        <f>IFERROR(__xludf.DUMMYFUNCTION("""COMPUTED_VALUE"""),"Middle School")</f>
        <v>Middle School</v>
      </c>
      <c r="J2348" s="6" t="str">
        <f>IFERROR(__xludf.DUMMYFUNCTION("""COMPUTED_VALUE"""),"8")</f>
        <v>8</v>
      </c>
      <c r="K2348" s="6" t="str">
        <f>IFERROR(__xludf.DUMMYFUNCTION("""COMPUTED_VALUE"""),"arya.wiryawan@unbound.school")</f>
        <v>arya.wiryawan@unbound.school</v>
      </c>
      <c r="L2348" s="6" t="str">
        <f>IFERROR(__xludf.DUMMYFUNCTION("""COMPUTED_VALUE"""),"Unbound Academy")</f>
        <v>Unbound Academy</v>
      </c>
      <c r="M2348" s="6" t="str">
        <f>IFERROR(__xludf.DUMMYFUNCTION("""COMPUTED_VALUE"""),"")</f>
        <v/>
      </c>
      <c r="N2348" s="6" t="str">
        <f>IFERROR(__xludf.DUMMYFUNCTION("""COMPUTED_VALUE"""),"")</f>
        <v/>
      </c>
      <c r="O2348" s="87" t="str">
        <f>IFERROR(__xludf.DUMMYFUNCTION("""COMPUTED_VALUE"""),"https://drive.google.com/drive/folders/10T2cTQHqEJZqE-st6uFKPoI?usp=share_link")</f>
        <v>https://drive.google.com/drive/folders/10T2cTQHqEJZqE-st6uFKPoI?usp=share_link</v>
      </c>
      <c r="P2348" s="6" t="str">
        <f>IFERROR(__xludf.DUMMYFUNCTION("""COMPUTED_VALUE"""),"Arya Wiryawan")</f>
        <v>Arya Wiryawan</v>
      </c>
      <c r="Q2348" s="6" t="str">
        <f>IFERROR(__xludf.DUMMYFUNCTION("""COMPUTED_VALUE"""),"MS")</f>
        <v>MS</v>
      </c>
      <c r="R2348" s="6">
        <f>IFERROR(__xludf.DUMMYFUNCTION("""COMPUTED_VALUE"""),0.0)</f>
        <v>0</v>
      </c>
      <c r="S2348" s="6" t="str">
        <f>IFERROR(__xludf.DUMMYFUNCTION("""COMPUTED_VALUE""")," ")</f>
        <v> </v>
      </c>
      <c r="T2348" s="6" t="str">
        <f>IFERROR(__xludf.DUMMYFUNCTION("""COMPUTED_VALUE"""),"")</f>
        <v/>
      </c>
      <c r="U2348" s="6" t="str">
        <f>IFERROR(__xludf.DUMMYFUNCTION("""COMPUTED_VALUE"""),"8")</f>
        <v>8</v>
      </c>
      <c r="V2348" s="6" t="str">
        <f>IFERROR(__xludf.DUMMYFUNCTION("""COMPUTED_VALUE"""),"")</f>
        <v/>
      </c>
      <c r="W2348" s="6" t="str">
        <f>IFERROR(__xludf.DUMMYFUNCTION("""COMPUTED_VALUE"""),"[]")</f>
        <v>[]</v>
      </c>
      <c r="X2348" s="6" t="str">
        <f>IFERROR(__xludf.DUMMYFUNCTION("""COMPUTED_VALUE"""),"Enrolled")</f>
        <v>Enrolled</v>
      </c>
    </row>
    <row r="2349">
      <c r="A2349" s="6" t="str">
        <f>IFERROR(__xludf.DUMMYFUNCTION("""COMPUTED_VALUE"""),"040-4115")</f>
        <v>040-4115</v>
      </c>
      <c r="B2349" s="6" t="str">
        <f>IFERROR(__xludf.DUMMYFUNCTION("""COMPUTED_VALUE"""),"40")</f>
        <v>40</v>
      </c>
      <c r="C2349" s="6" t="str">
        <f>IFERROR(__xludf.DUMMYFUNCTION("""COMPUTED_VALUE"""),"4115")</f>
        <v>4115</v>
      </c>
      <c r="D2349" s="6" t="str">
        <f>IFERROR(__xludf.DUMMYFUNCTION("""COMPUTED_VALUE"""),"Eva")</f>
        <v>Eva</v>
      </c>
      <c r="E2349" s="6" t="str">
        <f>IFERROR(__xludf.DUMMYFUNCTION("""COMPUTED_VALUE"""),"")</f>
        <v/>
      </c>
      <c r="F2349" s="6" t="str">
        <f>IFERROR(__xludf.DUMMYFUNCTION("""COMPUTED_VALUE"""),"Larish")</f>
        <v>Larish</v>
      </c>
      <c r="G2349" s="6" t="str">
        <f>IFERROR(__xludf.DUMMYFUNCTION("""COMPUTED_VALUE"""),"08/01/2014")</f>
        <v>08/01/2014</v>
      </c>
      <c r="H2349" s="6" t="str">
        <f>IFERROR(__xludf.DUMMYFUNCTION("""COMPUTED_VALUE"""),"Self Identify")</f>
        <v>Self Identify</v>
      </c>
      <c r="I2349" s="6" t="str">
        <f>IFERROR(__xludf.DUMMYFUNCTION("""COMPUTED_VALUE"""),"Level 2")</f>
        <v>Level 2</v>
      </c>
      <c r="J2349" s="6" t="str">
        <f>IFERROR(__xludf.DUMMYFUNCTION("""COMPUTED_VALUE"""),"5")</f>
        <v>5</v>
      </c>
      <c r="K2349" s="6" t="str">
        <f>IFERROR(__xludf.DUMMYFUNCTION("""COMPUTED_VALUE"""),"eva.larish@unbound.school")</f>
        <v>eva.larish@unbound.school</v>
      </c>
      <c r="L2349" s="6" t="str">
        <f>IFERROR(__xludf.DUMMYFUNCTION("""COMPUTED_VALUE"""),"Unbound Academy")</f>
        <v>Unbound Academy</v>
      </c>
      <c r="M2349" s="6" t="str">
        <f>IFERROR(__xludf.DUMMYFUNCTION("""COMPUTED_VALUE"""),"")</f>
        <v/>
      </c>
      <c r="N2349" s="6" t="str">
        <f>IFERROR(__xludf.DUMMYFUNCTION("""COMPUTED_VALUE"""),"")</f>
        <v/>
      </c>
      <c r="O2349" s="87" t="str">
        <f>IFERROR(__xludf.DUMMYFUNCTION("""COMPUTED_VALUE"""),"https://drive.google.com/drive/folders/10T2cTQHqEJZqE-st6uFKPoI?usp=share_link")</f>
        <v>https://drive.google.com/drive/folders/10T2cTQHqEJZqE-st6uFKPoI?usp=share_link</v>
      </c>
      <c r="P2349" s="6" t="str">
        <f>IFERROR(__xludf.DUMMYFUNCTION("""COMPUTED_VALUE"""),"Eva Larish")</f>
        <v>Eva Larish</v>
      </c>
      <c r="Q2349" s="6" t="str">
        <f>IFERROR(__xludf.DUMMYFUNCTION("""COMPUTED_VALUE"""),"L2")</f>
        <v>L2</v>
      </c>
      <c r="R2349" s="6">
        <f>IFERROR(__xludf.DUMMYFUNCTION("""COMPUTED_VALUE"""),2.0)</f>
        <v>2</v>
      </c>
      <c r="S2349" s="6" t="str">
        <f>IFERROR(__xludf.DUMMYFUNCTION("""COMPUTED_VALUE""")," ")</f>
        <v> </v>
      </c>
      <c r="T2349" s="6" t="str">
        <f>IFERROR(__xludf.DUMMYFUNCTION("""COMPUTED_VALUE"""),"")</f>
        <v/>
      </c>
      <c r="U2349" s="6" t="str">
        <f>IFERROR(__xludf.DUMMYFUNCTION("""COMPUTED_VALUE"""),"5")</f>
        <v>5</v>
      </c>
      <c r="V2349" s="6" t="str">
        <f>IFERROR(__xludf.DUMMYFUNCTION("""COMPUTED_VALUE"""),"")</f>
        <v/>
      </c>
      <c r="W2349" s="6" t="str">
        <f>IFERROR(__xludf.DUMMYFUNCTION("""COMPUTED_VALUE"""),"[]")</f>
        <v>[]</v>
      </c>
      <c r="X2349" s="6" t="str">
        <f>IFERROR(__xludf.DUMMYFUNCTION("""COMPUTED_VALUE"""),"Enrolled")</f>
        <v>Enrolled</v>
      </c>
    </row>
    <row r="2350">
      <c r="A2350" s="6" t="str">
        <f>IFERROR(__xludf.DUMMYFUNCTION("""COMPUTED_VALUE"""),"040-4116")</f>
        <v>040-4116</v>
      </c>
      <c r="B2350" s="6" t="str">
        <f>IFERROR(__xludf.DUMMYFUNCTION("""COMPUTED_VALUE"""),"40")</f>
        <v>40</v>
      </c>
      <c r="C2350" s="6" t="str">
        <f>IFERROR(__xludf.DUMMYFUNCTION("""COMPUTED_VALUE"""),"4116")</f>
        <v>4116</v>
      </c>
      <c r="D2350" s="6" t="str">
        <f>IFERROR(__xludf.DUMMYFUNCTION("""COMPUTED_VALUE"""),"Samuel")</f>
        <v>Samuel</v>
      </c>
      <c r="E2350" s="6" t="str">
        <f>IFERROR(__xludf.DUMMYFUNCTION("""COMPUTED_VALUE"""),"")</f>
        <v/>
      </c>
      <c r="F2350" s="6" t="str">
        <f>IFERROR(__xludf.DUMMYFUNCTION("""COMPUTED_VALUE"""),"Bernal")</f>
        <v>Bernal</v>
      </c>
      <c r="G2350" s="6" t="str">
        <f>IFERROR(__xludf.DUMMYFUNCTION("""COMPUTED_VALUE"""),"06/13/2014")</f>
        <v>06/13/2014</v>
      </c>
      <c r="H2350" s="6" t="str">
        <f>IFERROR(__xludf.DUMMYFUNCTION("""COMPUTED_VALUE"""),"Self Identify")</f>
        <v>Self Identify</v>
      </c>
      <c r="I2350" s="6" t="str">
        <f>IFERROR(__xludf.DUMMYFUNCTION("""COMPUTED_VALUE"""),"Middle School")</f>
        <v>Middle School</v>
      </c>
      <c r="J2350" s="6" t="str">
        <f>IFERROR(__xludf.DUMMYFUNCTION("""COMPUTED_VALUE"""),"6")</f>
        <v>6</v>
      </c>
      <c r="K2350" s="6" t="str">
        <f>IFERROR(__xludf.DUMMYFUNCTION("""COMPUTED_VALUE"""),"samuel.bernal@unbound.school")</f>
        <v>samuel.bernal@unbound.school</v>
      </c>
      <c r="L2350" s="6" t="str">
        <f>IFERROR(__xludf.DUMMYFUNCTION("""COMPUTED_VALUE"""),"Unbound Academy")</f>
        <v>Unbound Academy</v>
      </c>
      <c r="M2350" s="6" t="str">
        <f>IFERROR(__xludf.DUMMYFUNCTION("""COMPUTED_VALUE"""),"")</f>
        <v/>
      </c>
      <c r="N2350" s="6" t="str">
        <f>IFERROR(__xludf.DUMMYFUNCTION("""COMPUTED_VALUE"""),"")</f>
        <v/>
      </c>
      <c r="O2350" s="87" t="str">
        <f>IFERROR(__xludf.DUMMYFUNCTION("""COMPUTED_VALUE"""),"https://drive.google.com/drive/folders/10T2cTQHqEJZqE-st6uFKPoI?usp=share_link")</f>
        <v>https://drive.google.com/drive/folders/10T2cTQHqEJZqE-st6uFKPoI?usp=share_link</v>
      </c>
      <c r="P2350" s="6" t="str">
        <f>IFERROR(__xludf.DUMMYFUNCTION("""COMPUTED_VALUE"""),"Samuel Bernal")</f>
        <v>Samuel Bernal</v>
      </c>
      <c r="Q2350" s="6" t="str">
        <f>IFERROR(__xludf.DUMMYFUNCTION("""COMPUTED_VALUE"""),"MS")</f>
        <v>MS</v>
      </c>
      <c r="R2350" s="6">
        <f>IFERROR(__xludf.DUMMYFUNCTION("""COMPUTED_VALUE"""),0.0)</f>
        <v>0</v>
      </c>
      <c r="S2350" s="6" t="str">
        <f>IFERROR(__xludf.DUMMYFUNCTION("""COMPUTED_VALUE""")," ")</f>
        <v> </v>
      </c>
      <c r="T2350" s="6" t="str">
        <f>IFERROR(__xludf.DUMMYFUNCTION("""COMPUTED_VALUE"""),"")</f>
        <v/>
      </c>
      <c r="U2350" s="6" t="str">
        <f>IFERROR(__xludf.DUMMYFUNCTION("""COMPUTED_VALUE"""),"6")</f>
        <v>6</v>
      </c>
      <c r="V2350" s="6" t="str">
        <f>IFERROR(__xludf.DUMMYFUNCTION("""COMPUTED_VALUE"""),"")</f>
        <v/>
      </c>
      <c r="W2350" s="6" t="str">
        <f>IFERROR(__xludf.DUMMYFUNCTION("""COMPUTED_VALUE"""),"[]")</f>
        <v>[]</v>
      </c>
      <c r="X2350" s="6" t="str">
        <f>IFERROR(__xludf.DUMMYFUNCTION("""COMPUTED_VALUE"""),"Enrolled")</f>
        <v>Enrolled</v>
      </c>
    </row>
    <row r="2351">
      <c r="A2351" s="6" t="str">
        <f>IFERROR(__xludf.DUMMYFUNCTION("""COMPUTED_VALUE"""),"040-4117")</f>
        <v>040-4117</v>
      </c>
      <c r="B2351" s="6" t="str">
        <f>IFERROR(__xludf.DUMMYFUNCTION("""COMPUTED_VALUE"""),"40")</f>
        <v>40</v>
      </c>
      <c r="C2351" s="6" t="str">
        <f>IFERROR(__xludf.DUMMYFUNCTION("""COMPUTED_VALUE"""),"4117")</f>
        <v>4117</v>
      </c>
      <c r="D2351" s="6" t="str">
        <f>IFERROR(__xludf.DUMMYFUNCTION("""COMPUTED_VALUE"""),"Beck")</f>
        <v>Beck</v>
      </c>
      <c r="E2351" s="6" t="str">
        <f>IFERROR(__xludf.DUMMYFUNCTION("""COMPUTED_VALUE"""),"")</f>
        <v/>
      </c>
      <c r="F2351" s="6" t="str">
        <f>IFERROR(__xludf.DUMMYFUNCTION("""COMPUTED_VALUE"""),"Corder")</f>
        <v>Corder</v>
      </c>
      <c r="G2351" s="6" t="str">
        <f>IFERROR(__xludf.DUMMYFUNCTION("""COMPUTED_VALUE"""),"06/18/2014")</f>
        <v>06/18/2014</v>
      </c>
      <c r="H2351" s="6" t="str">
        <f>IFERROR(__xludf.DUMMYFUNCTION("""COMPUTED_VALUE"""),"Self Identify")</f>
        <v>Self Identify</v>
      </c>
      <c r="I2351" s="6" t="str">
        <f>IFERROR(__xludf.DUMMYFUNCTION("""COMPUTED_VALUE"""),"Middle School")</f>
        <v>Middle School</v>
      </c>
      <c r="J2351" s="6" t="str">
        <f>IFERROR(__xludf.DUMMYFUNCTION("""COMPUTED_VALUE"""),"6")</f>
        <v>6</v>
      </c>
      <c r="K2351" s="6" t="str">
        <f>IFERROR(__xludf.DUMMYFUNCTION("""COMPUTED_VALUE"""),"beck.corder@unbound.school")</f>
        <v>beck.corder@unbound.school</v>
      </c>
      <c r="L2351" s="6" t="str">
        <f>IFERROR(__xludf.DUMMYFUNCTION("""COMPUTED_VALUE"""),"Unbound Academy")</f>
        <v>Unbound Academy</v>
      </c>
      <c r="M2351" s="6" t="str">
        <f>IFERROR(__xludf.DUMMYFUNCTION("""COMPUTED_VALUE"""),"")</f>
        <v/>
      </c>
      <c r="N2351" s="6" t="str">
        <f>IFERROR(__xludf.DUMMYFUNCTION("""COMPUTED_VALUE"""),"")</f>
        <v/>
      </c>
      <c r="O2351" s="87" t="str">
        <f>IFERROR(__xludf.DUMMYFUNCTION("""COMPUTED_VALUE"""),"https://drive.google.com/drive/folders/10T2cTQHqEJZqE-st6uFKPoI?usp=share_link")</f>
        <v>https://drive.google.com/drive/folders/10T2cTQHqEJZqE-st6uFKPoI?usp=share_link</v>
      </c>
      <c r="P2351" s="6" t="str">
        <f>IFERROR(__xludf.DUMMYFUNCTION("""COMPUTED_VALUE"""),"Beck Corder")</f>
        <v>Beck Corder</v>
      </c>
      <c r="Q2351" s="6" t="str">
        <f>IFERROR(__xludf.DUMMYFUNCTION("""COMPUTED_VALUE"""),"MS")</f>
        <v>MS</v>
      </c>
      <c r="R2351" s="6">
        <f>IFERROR(__xludf.DUMMYFUNCTION("""COMPUTED_VALUE"""),0.0)</f>
        <v>0</v>
      </c>
      <c r="S2351" s="6" t="str">
        <f>IFERROR(__xludf.DUMMYFUNCTION("""COMPUTED_VALUE""")," ")</f>
        <v> </v>
      </c>
      <c r="T2351" s="6" t="str">
        <f>IFERROR(__xludf.DUMMYFUNCTION("""COMPUTED_VALUE"""),"")</f>
        <v/>
      </c>
      <c r="U2351" s="6" t="str">
        <f>IFERROR(__xludf.DUMMYFUNCTION("""COMPUTED_VALUE"""),"6")</f>
        <v>6</v>
      </c>
      <c r="V2351" s="6" t="str">
        <f>IFERROR(__xludf.DUMMYFUNCTION("""COMPUTED_VALUE"""),"")</f>
        <v/>
      </c>
      <c r="W2351" s="6" t="str">
        <f>IFERROR(__xludf.DUMMYFUNCTION("""COMPUTED_VALUE"""),"[]")</f>
        <v>[]</v>
      </c>
      <c r="X2351" s="6" t="str">
        <f>IFERROR(__xludf.DUMMYFUNCTION("""COMPUTED_VALUE"""),"Enrolled")</f>
        <v>Enrolled</v>
      </c>
    </row>
    <row r="2352">
      <c r="A2352" s="6" t="str">
        <f>IFERROR(__xludf.DUMMYFUNCTION("""COMPUTED_VALUE"""),"040-4125")</f>
        <v>040-4125</v>
      </c>
      <c r="B2352" s="6" t="str">
        <f>IFERROR(__xludf.DUMMYFUNCTION("""COMPUTED_VALUE"""),"40")</f>
        <v>40</v>
      </c>
      <c r="C2352" s="6" t="str">
        <f>IFERROR(__xludf.DUMMYFUNCTION("""COMPUTED_VALUE"""),"4125")</f>
        <v>4125</v>
      </c>
      <c r="D2352" s="6" t="str">
        <f>IFERROR(__xludf.DUMMYFUNCTION("""COMPUTED_VALUE"""),"Kahleesi")</f>
        <v>Kahleesi</v>
      </c>
      <c r="E2352" s="6" t="str">
        <f>IFERROR(__xludf.DUMMYFUNCTION("""COMPUTED_VALUE"""),"")</f>
        <v/>
      </c>
      <c r="F2352" s="6" t="str">
        <f>IFERROR(__xludf.DUMMYFUNCTION("""COMPUTED_VALUE"""),"Holm")</f>
        <v>Holm</v>
      </c>
      <c r="G2352" s="6" t="str">
        <f>IFERROR(__xludf.DUMMYFUNCTION("""COMPUTED_VALUE"""),"02/08/2014")</f>
        <v>02/08/2014</v>
      </c>
      <c r="H2352" s="6" t="str">
        <f>IFERROR(__xludf.DUMMYFUNCTION("""COMPUTED_VALUE"""),"Self Identify")</f>
        <v>Self Identify</v>
      </c>
      <c r="I2352" s="6" t="str">
        <f>IFERROR(__xludf.DUMMYFUNCTION("""COMPUTED_VALUE"""),"Middle School")</f>
        <v>Middle School</v>
      </c>
      <c r="J2352" s="6" t="str">
        <f>IFERROR(__xludf.DUMMYFUNCTION("""COMPUTED_VALUE"""),"6")</f>
        <v>6</v>
      </c>
      <c r="K2352" s="6" t="str">
        <f>IFERROR(__xludf.DUMMYFUNCTION("""COMPUTED_VALUE"""),"kahleesi.holm@unbound.school")</f>
        <v>kahleesi.holm@unbound.school</v>
      </c>
      <c r="L2352" s="6" t="str">
        <f>IFERROR(__xludf.DUMMYFUNCTION("""COMPUTED_VALUE"""),"Unbound Academy")</f>
        <v>Unbound Academy</v>
      </c>
      <c r="M2352" s="6" t="str">
        <f>IFERROR(__xludf.DUMMYFUNCTION("""COMPUTED_VALUE"""),"")</f>
        <v/>
      </c>
      <c r="N2352" s="6" t="str">
        <f>IFERROR(__xludf.DUMMYFUNCTION("""COMPUTED_VALUE"""),"")</f>
        <v/>
      </c>
      <c r="O2352" s="87" t="str">
        <f>IFERROR(__xludf.DUMMYFUNCTION("""COMPUTED_VALUE"""),"https://drive.google.com/drive/folders/10T2cTQHqEJZqE-st6uFKPoI?usp=share_link")</f>
        <v>https://drive.google.com/drive/folders/10T2cTQHqEJZqE-st6uFKPoI?usp=share_link</v>
      </c>
      <c r="P2352" s="6" t="str">
        <f>IFERROR(__xludf.DUMMYFUNCTION("""COMPUTED_VALUE"""),"Kahleesi Holm")</f>
        <v>Kahleesi Holm</v>
      </c>
      <c r="Q2352" s="6" t="str">
        <f>IFERROR(__xludf.DUMMYFUNCTION("""COMPUTED_VALUE"""),"MS")</f>
        <v>MS</v>
      </c>
      <c r="R2352" s="6">
        <f>IFERROR(__xludf.DUMMYFUNCTION("""COMPUTED_VALUE"""),0.0)</f>
        <v>0</v>
      </c>
      <c r="S2352" s="6" t="str">
        <f>IFERROR(__xludf.DUMMYFUNCTION("""COMPUTED_VALUE""")," ")</f>
        <v> </v>
      </c>
      <c r="T2352" s="6" t="str">
        <f>IFERROR(__xludf.DUMMYFUNCTION("""COMPUTED_VALUE"""),"")</f>
        <v/>
      </c>
      <c r="U2352" s="6" t="str">
        <f>IFERROR(__xludf.DUMMYFUNCTION("""COMPUTED_VALUE"""),"6")</f>
        <v>6</v>
      </c>
      <c r="V2352" s="6" t="str">
        <f>IFERROR(__xludf.DUMMYFUNCTION("""COMPUTED_VALUE"""),"")</f>
        <v/>
      </c>
      <c r="W2352" s="6" t="str">
        <f>IFERROR(__xludf.DUMMYFUNCTION("""COMPUTED_VALUE"""),"[]")</f>
        <v>[]</v>
      </c>
      <c r="X2352" s="6" t="str">
        <f>IFERROR(__xludf.DUMMYFUNCTION("""COMPUTED_VALUE"""),"Enrolled")</f>
        <v>Enrolled</v>
      </c>
    </row>
    <row r="2353">
      <c r="A2353" s="6" t="str">
        <f>IFERROR(__xludf.DUMMYFUNCTION("""COMPUTED_VALUE"""),"040-4126")</f>
        <v>040-4126</v>
      </c>
      <c r="B2353" s="6" t="str">
        <f>IFERROR(__xludf.DUMMYFUNCTION("""COMPUTED_VALUE"""),"40")</f>
        <v>40</v>
      </c>
      <c r="C2353" s="6" t="str">
        <f>IFERROR(__xludf.DUMMYFUNCTION("""COMPUTED_VALUE"""),"4126")</f>
        <v>4126</v>
      </c>
      <c r="D2353" s="6" t="str">
        <f>IFERROR(__xludf.DUMMYFUNCTION("""COMPUTED_VALUE"""),"Briehl")</f>
        <v>Briehl</v>
      </c>
      <c r="E2353" s="6" t="str">
        <f>IFERROR(__xludf.DUMMYFUNCTION("""COMPUTED_VALUE"""),"")</f>
        <v/>
      </c>
      <c r="F2353" s="6" t="str">
        <f>IFERROR(__xludf.DUMMYFUNCTION("""COMPUTED_VALUE"""),"Holm")</f>
        <v>Holm</v>
      </c>
      <c r="G2353" s="6" t="str">
        <f>IFERROR(__xludf.DUMMYFUNCTION("""COMPUTED_VALUE"""),"11/05/2015")</f>
        <v>11/05/2015</v>
      </c>
      <c r="H2353" s="6" t="str">
        <f>IFERROR(__xludf.DUMMYFUNCTION("""COMPUTED_VALUE"""),"Self Identify")</f>
        <v>Self Identify</v>
      </c>
      <c r="I2353" s="6" t="str">
        <f>IFERROR(__xludf.DUMMYFUNCTION("""COMPUTED_VALUE"""),"Level 2")</f>
        <v>Level 2</v>
      </c>
      <c r="J2353" s="6" t="str">
        <f>IFERROR(__xludf.DUMMYFUNCTION("""COMPUTED_VALUE"""),"4")</f>
        <v>4</v>
      </c>
      <c r="K2353" s="6" t="str">
        <f>IFERROR(__xludf.DUMMYFUNCTION("""COMPUTED_VALUE"""),"briehl.holm@unbound.school")</f>
        <v>briehl.holm@unbound.school</v>
      </c>
      <c r="L2353" s="6" t="str">
        <f>IFERROR(__xludf.DUMMYFUNCTION("""COMPUTED_VALUE"""),"Unbound Academy")</f>
        <v>Unbound Academy</v>
      </c>
      <c r="M2353" s="6" t="str">
        <f>IFERROR(__xludf.DUMMYFUNCTION("""COMPUTED_VALUE"""),"")</f>
        <v/>
      </c>
      <c r="N2353" s="6" t="str">
        <f>IFERROR(__xludf.DUMMYFUNCTION("""COMPUTED_VALUE"""),"")</f>
        <v/>
      </c>
      <c r="O2353" s="87" t="str">
        <f>IFERROR(__xludf.DUMMYFUNCTION("""COMPUTED_VALUE"""),"https://drive.google.com/drive/folders/10T2cTQHqEJZqE-st6uFKPoI?usp=share_link")</f>
        <v>https://drive.google.com/drive/folders/10T2cTQHqEJZqE-st6uFKPoI?usp=share_link</v>
      </c>
      <c r="P2353" s="6" t="str">
        <f>IFERROR(__xludf.DUMMYFUNCTION("""COMPUTED_VALUE"""),"Briehl Holm")</f>
        <v>Briehl Holm</v>
      </c>
      <c r="Q2353" s="6" t="str">
        <f>IFERROR(__xludf.DUMMYFUNCTION("""COMPUTED_VALUE"""),"L2")</f>
        <v>L2</v>
      </c>
      <c r="R2353" s="6">
        <f>IFERROR(__xludf.DUMMYFUNCTION("""COMPUTED_VALUE"""),2.0)</f>
        <v>2</v>
      </c>
      <c r="S2353" s="6" t="str">
        <f>IFERROR(__xludf.DUMMYFUNCTION("""COMPUTED_VALUE""")," ")</f>
        <v> </v>
      </c>
      <c r="T2353" s="6" t="str">
        <f>IFERROR(__xludf.DUMMYFUNCTION("""COMPUTED_VALUE"""),"")</f>
        <v/>
      </c>
      <c r="U2353" s="6" t="str">
        <f>IFERROR(__xludf.DUMMYFUNCTION("""COMPUTED_VALUE"""),"4")</f>
        <v>4</v>
      </c>
      <c r="V2353" s="6" t="str">
        <f>IFERROR(__xludf.DUMMYFUNCTION("""COMPUTED_VALUE"""),"")</f>
        <v/>
      </c>
      <c r="W2353" s="6" t="str">
        <f>IFERROR(__xludf.DUMMYFUNCTION("""COMPUTED_VALUE"""),"[]")</f>
        <v>[]</v>
      </c>
      <c r="X2353" s="6" t="str">
        <f>IFERROR(__xludf.DUMMYFUNCTION("""COMPUTED_VALUE"""),"Enrolled")</f>
        <v>Enrolled</v>
      </c>
    </row>
    <row r="2354">
      <c r="A2354" s="6" t="str">
        <f>IFERROR(__xludf.DUMMYFUNCTION("""COMPUTED_VALUE"""),"040-4128")</f>
        <v>040-4128</v>
      </c>
      <c r="B2354" s="6" t="str">
        <f>IFERROR(__xludf.DUMMYFUNCTION("""COMPUTED_VALUE"""),"40")</f>
        <v>40</v>
      </c>
      <c r="C2354" s="6" t="str">
        <f>IFERROR(__xludf.DUMMYFUNCTION("""COMPUTED_VALUE"""),"4128")</f>
        <v>4128</v>
      </c>
      <c r="D2354" s="6" t="str">
        <f>IFERROR(__xludf.DUMMYFUNCTION("""COMPUTED_VALUE"""),"Jackson")</f>
        <v>Jackson</v>
      </c>
      <c r="E2354" s="6" t="str">
        <f>IFERROR(__xludf.DUMMYFUNCTION("""COMPUTED_VALUE"""),"")</f>
        <v/>
      </c>
      <c r="F2354" s="6" t="str">
        <f>IFERROR(__xludf.DUMMYFUNCTION("""COMPUTED_VALUE"""),"Stuart")</f>
        <v>Stuart</v>
      </c>
      <c r="G2354" s="6" t="str">
        <f>IFERROR(__xludf.DUMMYFUNCTION("""COMPUTED_VALUE"""),"05/07/2015")</f>
        <v>05/07/2015</v>
      </c>
      <c r="H2354" s="6" t="str">
        <f>IFERROR(__xludf.DUMMYFUNCTION("""COMPUTED_VALUE"""),"Self Identify")</f>
        <v>Self Identify</v>
      </c>
      <c r="I2354" s="6" t="str">
        <f>IFERROR(__xludf.DUMMYFUNCTION("""COMPUTED_VALUE"""),"Level 2")</f>
        <v>Level 2</v>
      </c>
      <c r="J2354" s="6" t="str">
        <f>IFERROR(__xludf.DUMMYFUNCTION("""COMPUTED_VALUE"""),"5")</f>
        <v>5</v>
      </c>
      <c r="K2354" s="6" t="str">
        <f>IFERROR(__xludf.DUMMYFUNCTION("""COMPUTED_VALUE"""),"jackson.stuart@unbound.school")</f>
        <v>jackson.stuart@unbound.school</v>
      </c>
      <c r="L2354" s="6" t="str">
        <f>IFERROR(__xludf.DUMMYFUNCTION("""COMPUTED_VALUE"""),"Unbound Academy")</f>
        <v>Unbound Academy</v>
      </c>
      <c r="M2354" s="6" t="str">
        <f>IFERROR(__xludf.DUMMYFUNCTION("""COMPUTED_VALUE"""),"")</f>
        <v/>
      </c>
      <c r="N2354" s="6" t="str">
        <f>IFERROR(__xludf.DUMMYFUNCTION("""COMPUTED_VALUE"""),"")</f>
        <v/>
      </c>
      <c r="O2354" s="87" t="str">
        <f>IFERROR(__xludf.DUMMYFUNCTION("""COMPUTED_VALUE"""),"https://drive.google.com/drive/folders/10T2cTQHqEJZqE-st6uFKPoI?usp=share_link")</f>
        <v>https://drive.google.com/drive/folders/10T2cTQHqEJZqE-st6uFKPoI?usp=share_link</v>
      </c>
      <c r="P2354" s="6" t="str">
        <f>IFERROR(__xludf.DUMMYFUNCTION("""COMPUTED_VALUE"""),"Jackson Stuart")</f>
        <v>Jackson Stuart</v>
      </c>
      <c r="Q2354" s="6" t="str">
        <f>IFERROR(__xludf.DUMMYFUNCTION("""COMPUTED_VALUE"""),"L2")</f>
        <v>L2</v>
      </c>
      <c r="R2354" s="6">
        <f>IFERROR(__xludf.DUMMYFUNCTION("""COMPUTED_VALUE"""),2.0)</f>
        <v>2</v>
      </c>
      <c r="S2354" s="6" t="str">
        <f>IFERROR(__xludf.DUMMYFUNCTION("""COMPUTED_VALUE""")," ")</f>
        <v> </v>
      </c>
      <c r="T2354" s="6" t="str">
        <f>IFERROR(__xludf.DUMMYFUNCTION("""COMPUTED_VALUE"""),"")</f>
        <v/>
      </c>
      <c r="U2354" s="6" t="str">
        <f>IFERROR(__xludf.DUMMYFUNCTION("""COMPUTED_VALUE"""),"5")</f>
        <v>5</v>
      </c>
      <c r="V2354" s="6" t="str">
        <f>IFERROR(__xludf.DUMMYFUNCTION("""COMPUTED_VALUE"""),"")</f>
        <v/>
      </c>
      <c r="W2354" s="6" t="str">
        <f>IFERROR(__xludf.DUMMYFUNCTION("""COMPUTED_VALUE"""),"[]")</f>
        <v>[]</v>
      </c>
      <c r="X2354" s="6" t="str">
        <f>IFERROR(__xludf.DUMMYFUNCTION("""COMPUTED_VALUE"""),"Enrolled")</f>
        <v>Enrolled</v>
      </c>
    </row>
    <row r="2355">
      <c r="A2355" s="6" t="str">
        <f>IFERROR(__xludf.DUMMYFUNCTION("""COMPUTED_VALUE"""),"040-4129")</f>
        <v>040-4129</v>
      </c>
      <c r="B2355" s="6" t="str">
        <f>IFERROR(__xludf.DUMMYFUNCTION("""COMPUTED_VALUE"""),"40")</f>
        <v>40</v>
      </c>
      <c r="C2355" s="6" t="str">
        <f>IFERROR(__xludf.DUMMYFUNCTION("""COMPUTED_VALUE"""),"4129")</f>
        <v>4129</v>
      </c>
      <c r="D2355" s="6" t="str">
        <f>IFERROR(__xludf.DUMMYFUNCTION("""COMPUTED_VALUE"""),"Kylan")</f>
        <v>Kylan</v>
      </c>
      <c r="E2355" s="6" t="str">
        <f>IFERROR(__xludf.DUMMYFUNCTION("""COMPUTED_VALUE"""),"")</f>
        <v/>
      </c>
      <c r="F2355" s="6" t="str">
        <f>IFERROR(__xludf.DUMMYFUNCTION("""COMPUTED_VALUE"""),"Brock")</f>
        <v>Brock</v>
      </c>
      <c r="G2355" s="6" t="str">
        <f>IFERROR(__xludf.DUMMYFUNCTION("""COMPUTED_VALUE"""),"12/03/2011")</f>
        <v>12/03/2011</v>
      </c>
      <c r="H2355" s="6" t="str">
        <f>IFERROR(__xludf.DUMMYFUNCTION("""COMPUTED_VALUE"""),"Self Identify")</f>
        <v>Self Identify</v>
      </c>
      <c r="I2355" s="6" t="str">
        <f>IFERROR(__xludf.DUMMYFUNCTION("""COMPUTED_VALUE"""),"Middle School")</f>
        <v>Middle School</v>
      </c>
      <c r="J2355" s="6" t="str">
        <f>IFERROR(__xludf.DUMMYFUNCTION("""COMPUTED_VALUE"""),"8")</f>
        <v>8</v>
      </c>
      <c r="K2355" s="6" t="str">
        <f>IFERROR(__xludf.DUMMYFUNCTION("""COMPUTED_VALUE"""),"kylan.brock@unbound.school")</f>
        <v>kylan.brock@unbound.school</v>
      </c>
      <c r="L2355" s="6" t="str">
        <f>IFERROR(__xludf.DUMMYFUNCTION("""COMPUTED_VALUE"""),"Unbound Academy")</f>
        <v>Unbound Academy</v>
      </c>
      <c r="M2355" s="6" t="str">
        <f>IFERROR(__xludf.DUMMYFUNCTION("""COMPUTED_VALUE"""),"")</f>
        <v/>
      </c>
      <c r="N2355" s="6" t="str">
        <f>IFERROR(__xludf.DUMMYFUNCTION("""COMPUTED_VALUE"""),"")</f>
        <v/>
      </c>
      <c r="O2355" s="87" t="str">
        <f>IFERROR(__xludf.DUMMYFUNCTION("""COMPUTED_VALUE"""),"https://drive.google.com/drive/folders/10T2cTQHqEJZqE-st6uFKPoI?usp=share_link")</f>
        <v>https://drive.google.com/drive/folders/10T2cTQHqEJZqE-st6uFKPoI?usp=share_link</v>
      </c>
      <c r="P2355" s="6" t="str">
        <f>IFERROR(__xludf.DUMMYFUNCTION("""COMPUTED_VALUE"""),"Kylan Brock")</f>
        <v>Kylan Brock</v>
      </c>
      <c r="Q2355" s="6" t="str">
        <f>IFERROR(__xludf.DUMMYFUNCTION("""COMPUTED_VALUE"""),"MS")</f>
        <v>MS</v>
      </c>
      <c r="R2355" s="6">
        <f>IFERROR(__xludf.DUMMYFUNCTION("""COMPUTED_VALUE"""),0.0)</f>
        <v>0</v>
      </c>
      <c r="S2355" s="6" t="str">
        <f>IFERROR(__xludf.DUMMYFUNCTION("""COMPUTED_VALUE""")," ")</f>
        <v> </v>
      </c>
      <c r="T2355" s="6" t="str">
        <f>IFERROR(__xludf.DUMMYFUNCTION("""COMPUTED_VALUE"""),"")</f>
        <v/>
      </c>
      <c r="U2355" s="6" t="str">
        <f>IFERROR(__xludf.DUMMYFUNCTION("""COMPUTED_VALUE"""),"8")</f>
        <v>8</v>
      </c>
      <c r="V2355" s="6" t="str">
        <f>IFERROR(__xludf.DUMMYFUNCTION("""COMPUTED_VALUE"""),"")</f>
        <v/>
      </c>
      <c r="W2355" s="6" t="str">
        <f>IFERROR(__xludf.DUMMYFUNCTION("""COMPUTED_VALUE"""),"[]")</f>
        <v>[]</v>
      </c>
      <c r="X2355" s="6" t="str">
        <f>IFERROR(__xludf.DUMMYFUNCTION("""COMPUTED_VALUE"""),"Enrolled")</f>
        <v>Enrolled</v>
      </c>
    </row>
    <row r="2356">
      <c r="A2356" s="6" t="str">
        <f>IFERROR(__xludf.DUMMYFUNCTION("""COMPUTED_VALUE"""),"040-4131")</f>
        <v>040-4131</v>
      </c>
      <c r="B2356" s="6" t="str">
        <f>IFERROR(__xludf.DUMMYFUNCTION("""COMPUTED_VALUE"""),"40")</f>
        <v>40</v>
      </c>
      <c r="C2356" s="6" t="str">
        <f>IFERROR(__xludf.DUMMYFUNCTION("""COMPUTED_VALUE"""),"4131")</f>
        <v>4131</v>
      </c>
      <c r="D2356" s="6" t="str">
        <f>IFERROR(__xludf.DUMMYFUNCTION("""COMPUTED_VALUE"""),"Alejandro")</f>
        <v>Alejandro</v>
      </c>
      <c r="E2356" s="6" t="str">
        <f>IFERROR(__xludf.DUMMYFUNCTION("""COMPUTED_VALUE"""),"")</f>
        <v/>
      </c>
      <c r="F2356" s="6" t="str">
        <f>IFERROR(__xludf.DUMMYFUNCTION("""COMPUTED_VALUE"""),"Lopez")</f>
        <v>Lopez</v>
      </c>
      <c r="G2356" s="6" t="str">
        <f>IFERROR(__xludf.DUMMYFUNCTION("""COMPUTED_VALUE"""),"07/18/2014")</f>
        <v>07/18/2014</v>
      </c>
      <c r="H2356" s="6" t="str">
        <f>IFERROR(__xludf.DUMMYFUNCTION("""COMPUTED_VALUE"""),"Self Identify")</f>
        <v>Self Identify</v>
      </c>
      <c r="I2356" s="6" t="str">
        <f>IFERROR(__xludf.DUMMYFUNCTION("""COMPUTED_VALUE"""),"Middle School")</f>
        <v>Middle School</v>
      </c>
      <c r="J2356" s="6" t="str">
        <f>IFERROR(__xludf.DUMMYFUNCTION("""COMPUTED_VALUE"""),"6")</f>
        <v>6</v>
      </c>
      <c r="K2356" s="6" t="str">
        <f>IFERROR(__xludf.DUMMYFUNCTION("""COMPUTED_VALUE"""),"alejandro.lopez@unbound.school")</f>
        <v>alejandro.lopez@unbound.school</v>
      </c>
      <c r="L2356" s="6" t="str">
        <f>IFERROR(__xludf.DUMMYFUNCTION("""COMPUTED_VALUE"""),"Unbound Academy")</f>
        <v>Unbound Academy</v>
      </c>
      <c r="M2356" s="6" t="str">
        <f>IFERROR(__xludf.DUMMYFUNCTION("""COMPUTED_VALUE"""),"")</f>
        <v/>
      </c>
      <c r="N2356" s="6" t="str">
        <f>IFERROR(__xludf.DUMMYFUNCTION("""COMPUTED_VALUE"""),"")</f>
        <v/>
      </c>
      <c r="O2356" s="87" t="str">
        <f>IFERROR(__xludf.DUMMYFUNCTION("""COMPUTED_VALUE"""),"https://drive.google.com/drive/folders/10T2cTQHqEJZqE-st6uFKPoI?usp=share_link")</f>
        <v>https://drive.google.com/drive/folders/10T2cTQHqEJZqE-st6uFKPoI?usp=share_link</v>
      </c>
      <c r="P2356" s="6" t="str">
        <f>IFERROR(__xludf.DUMMYFUNCTION("""COMPUTED_VALUE"""),"Alejandro Lopez")</f>
        <v>Alejandro Lopez</v>
      </c>
      <c r="Q2356" s="6" t="str">
        <f>IFERROR(__xludf.DUMMYFUNCTION("""COMPUTED_VALUE"""),"MS")</f>
        <v>MS</v>
      </c>
      <c r="R2356" s="6">
        <f>IFERROR(__xludf.DUMMYFUNCTION("""COMPUTED_VALUE"""),0.0)</f>
        <v>0</v>
      </c>
      <c r="S2356" s="6" t="str">
        <f>IFERROR(__xludf.DUMMYFUNCTION("""COMPUTED_VALUE""")," ")</f>
        <v> </v>
      </c>
      <c r="T2356" s="6" t="str">
        <f>IFERROR(__xludf.DUMMYFUNCTION("""COMPUTED_VALUE"""),"")</f>
        <v/>
      </c>
      <c r="U2356" s="6" t="str">
        <f>IFERROR(__xludf.DUMMYFUNCTION("""COMPUTED_VALUE"""),"6")</f>
        <v>6</v>
      </c>
      <c r="V2356" s="6" t="str">
        <f>IFERROR(__xludf.DUMMYFUNCTION("""COMPUTED_VALUE"""),"")</f>
        <v/>
      </c>
      <c r="W2356" s="6" t="str">
        <f>IFERROR(__xludf.DUMMYFUNCTION("""COMPUTED_VALUE"""),"[]")</f>
        <v>[]</v>
      </c>
      <c r="X2356" s="6" t="str">
        <f>IFERROR(__xludf.DUMMYFUNCTION("""COMPUTED_VALUE"""),"Enrolled")</f>
        <v>Enrolled</v>
      </c>
    </row>
    <row r="2357">
      <c r="A2357" s="6" t="str">
        <f>IFERROR(__xludf.DUMMYFUNCTION("""COMPUTED_VALUE"""),"040-4133")</f>
        <v>040-4133</v>
      </c>
      <c r="B2357" s="6" t="str">
        <f>IFERROR(__xludf.DUMMYFUNCTION("""COMPUTED_VALUE"""),"40")</f>
        <v>40</v>
      </c>
      <c r="C2357" s="6" t="str">
        <f>IFERROR(__xludf.DUMMYFUNCTION("""COMPUTED_VALUE"""),"4133")</f>
        <v>4133</v>
      </c>
      <c r="D2357" s="6" t="str">
        <f>IFERROR(__xludf.DUMMYFUNCTION("""COMPUTED_VALUE"""),"Aleah")</f>
        <v>Aleah</v>
      </c>
      <c r="E2357" s="6" t="str">
        <f>IFERROR(__xludf.DUMMYFUNCTION("""COMPUTED_VALUE"""),"")</f>
        <v/>
      </c>
      <c r="F2357" s="6" t="str">
        <f>IFERROR(__xludf.DUMMYFUNCTION("""COMPUTED_VALUE"""),"Hartwig")</f>
        <v>Hartwig</v>
      </c>
      <c r="G2357" s="6" t="str">
        <f>IFERROR(__xludf.DUMMYFUNCTION("""COMPUTED_VALUE"""),"12/04/2013")</f>
        <v>12/04/2013</v>
      </c>
      <c r="H2357" s="6" t="str">
        <f>IFERROR(__xludf.DUMMYFUNCTION("""COMPUTED_VALUE"""),"Self Identify")</f>
        <v>Self Identify</v>
      </c>
      <c r="I2357" s="6" t="str">
        <f>IFERROR(__xludf.DUMMYFUNCTION("""COMPUTED_VALUE"""),"Middle School")</f>
        <v>Middle School</v>
      </c>
      <c r="J2357" s="6" t="str">
        <f>IFERROR(__xludf.DUMMYFUNCTION("""COMPUTED_VALUE"""),"6")</f>
        <v>6</v>
      </c>
      <c r="K2357" s="6" t="str">
        <f>IFERROR(__xludf.DUMMYFUNCTION("""COMPUTED_VALUE"""),"aleah.hartwig@unbound.school")</f>
        <v>aleah.hartwig@unbound.school</v>
      </c>
      <c r="L2357" s="6" t="str">
        <f>IFERROR(__xludf.DUMMYFUNCTION("""COMPUTED_VALUE"""),"Unbound Academy")</f>
        <v>Unbound Academy</v>
      </c>
      <c r="M2357" s="6" t="str">
        <f>IFERROR(__xludf.DUMMYFUNCTION("""COMPUTED_VALUE"""),"")</f>
        <v/>
      </c>
      <c r="N2357" s="6" t="str">
        <f>IFERROR(__xludf.DUMMYFUNCTION("""COMPUTED_VALUE"""),"")</f>
        <v/>
      </c>
      <c r="O2357" s="87" t="str">
        <f>IFERROR(__xludf.DUMMYFUNCTION("""COMPUTED_VALUE"""),"https://drive.google.com/drive/folders/10T2cTQHqEJZqE-st6uFKPoI?usp=share_link")</f>
        <v>https://drive.google.com/drive/folders/10T2cTQHqEJZqE-st6uFKPoI?usp=share_link</v>
      </c>
      <c r="P2357" s="6" t="str">
        <f>IFERROR(__xludf.DUMMYFUNCTION("""COMPUTED_VALUE"""),"Aleah Hartwig")</f>
        <v>Aleah Hartwig</v>
      </c>
      <c r="Q2357" s="6" t="str">
        <f>IFERROR(__xludf.DUMMYFUNCTION("""COMPUTED_VALUE"""),"MS")</f>
        <v>MS</v>
      </c>
      <c r="R2357" s="6">
        <f>IFERROR(__xludf.DUMMYFUNCTION("""COMPUTED_VALUE"""),0.0)</f>
        <v>0</v>
      </c>
      <c r="S2357" s="6" t="str">
        <f>IFERROR(__xludf.DUMMYFUNCTION("""COMPUTED_VALUE""")," ")</f>
        <v> </v>
      </c>
      <c r="T2357" s="6" t="str">
        <f>IFERROR(__xludf.DUMMYFUNCTION("""COMPUTED_VALUE"""),"")</f>
        <v/>
      </c>
      <c r="U2357" s="6" t="str">
        <f>IFERROR(__xludf.DUMMYFUNCTION("""COMPUTED_VALUE"""),"6")</f>
        <v>6</v>
      </c>
      <c r="V2357" s="6" t="str">
        <f>IFERROR(__xludf.DUMMYFUNCTION("""COMPUTED_VALUE"""),"")</f>
        <v/>
      </c>
      <c r="W2357" s="6" t="str">
        <f>IFERROR(__xludf.DUMMYFUNCTION("""COMPUTED_VALUE"""),"[]")</f>
        <v>[]</v>
      </c>
      <c r="X2357" s="6" t="str">
        <f>IFERROR(__xludf.DUMMYFUNCTION("""COMPUTED_VALUE"""),"Enrolled")</f>
        <v>Enrolled</v>
      </c>
    </row>
    <row r="2358">
      <c r="A2358" s="6" t="str">
        <f>IFERROR(__xludf.DUMMYFUNCTION("""COMPUTED_VALUE"""),"040-4134")</f>
        <v>040-4134</v>
      </c>
      <c r="B2358" s="6" t="str">
        <f>IFERROR(__xludf.DUMMYFUNCTION("""COMPUTED_VALUE"""),"40")</f>
        <v>40</v>
      </c>
      <c r="C2358" s="6" t="str">
        <f>IFERROR(__xludf.DUMMYFUNCTION("""COMPUTED_VALUE"""),"4134")</f>
        <v>4134</v>
      </c>
      <c r="D2358" s="6" t="str">
        <f>IFERROR(__xludf.DUMMYFUNCTION("""COMPUTED_VALUE"""),"Khiaro")</f>
        <v>Khiaro</v>
      </c>
      <c r="E2358" s="6" t="str">
        <f>IFERROR(__xludf.DUMMYFUNCTION("""COMPUTED_VALUE"""),"")</f>
        <v/>
      </c>
      <c r="F2358" s="6" t="str">
        <f>IFERROR(__xludf.DUMMYFUNCTION("""COMPUTED_VALUE"""),"Lamb")</f>
        <v>Lamb</v>
      </c>
      <c r="G2358" s="6" t="str">
        <f>IFERROR(__xludf.DUMMYFUNCTION("""COMPUTED_VALUE"""),"10/16/2014")</f>
        <v>10/16/2014</v>
      </c>
      <c r="H2358" s="6" t="str">
        <f>IFERROR(__xludf.DUMMYFUNCTION("""COMPUTED_VALUE"""),"Self Identify")</f>
        <v>Self Identify</v>
      </c>
      <c r="I2358" s="6" t="str">
        <f>IFERROR(__xludf.DUMMYFUNCTION("""COMPUTED_VALUE"""),"Level 2")</f>
        <v>Level 2</v>
      </c>
      <c r="J2358" s="6" t="str">
        <f>IFERROR(__xludf.DUMMYFUNCTION("""COMPUTED_VALUE"""),"4")</f>
        <v>4</v>
      </c>
      <c r="K2358" s="6" t="str">
        <f>IFERROR(__xludf.DUMMYFUNCTION("""COMPUTED_VALUE"""),"khiaro.lamb@unbound.school")</f>
        <v>khiaro.lamb@unbound.school</v>
      </c>
      <c r="L2358" s="6" t="str">
        <f>IFERROR(__xludf.DUMMYFUNCTION("""COMPUTED_VALUE"""),"Unbound Academy")</f>
        <v>Unbound Academy</v>
      </c>
      <c r="M2358" s="6" t="str">
        <f>IFERROR(__xludf.DUMMYFUNCTION("""COMPUTED_VALUE"""),"")</f>
        <v/>
      </c>
      <c r="N2358" s="6" t="str">
        <f>IFERROR(__xludf.DUMMYFUNCTION("""COMPUTED_VALUE"""),"")</f>
        <v/>
      </c>
      <c r="O2358" s="87" t="str">
        <f>IFERROR(__xludf.DUMMYFUNCTION("""COMPUTED_VALUE"""),"https://drive.google.com/drive/folders/10T2cTQHqEJZqE-st6uFKPoI?usp=share_link")</f>
        <v>https://drive.google.com/drive/folders/10T2cTQHqEJZqE-st6uFKPoI?usp=share_link</v>
      </c>
      <c r="P2358" s="6" t="str">
        <f>IFERROR(__xludf.DUMMYFUNCTION("""COMPUTED_VALUE"""),"Khiaro Lamb")</f>
        <v>Khiaro Lamb</v>
      </c>
      <c r="Q2358" s="6" t="str">
        <f>IFERROR(__xludf.DUMMYFUNCTION("""COMPUTED_VALUE"""),"L2")</f>
        <v>L2</v>
      </c>
      <c r="R2358" s="6">
        <f>IFERROR(__xludf.DUMMYFUNCTION("""COMPUTED_VALUE"""),2.0)</f>
        <v>2</v>
      </c>
      <c r="S2358" s="6" t="str">
        <f>IFERROR(__xludf.DUMMYFUNCTION("""COMPUTED_VALUE""")," ")</f>
        <v> </v>
      </c>
      <c r="T2358" s="6" t="str">
        <f>IFERROR(__xludf.DUMMYFUNCTION("""COMPUTED_VALUE"""),"")</f>
        <v/>
      </c>
      <c r="U2358" s="6" t="str">
        <f>IFERROR(__xludf.DUMMYFUNCTION("""COMPUTED_VALUE"""),"4")</f>
        <v>4</v>
      </c>
      <c r="V2358" s="6" t="str">
        <f>IFERROR(__xludf.DUMMYFUNCTION("""COMPUTED_VALUE"""),"")</f>
        <v/>
      </c>
      <c r="W2358" s="6" t="str">
        <f>IFERROR(__xludf.DUMMYFUNCTION("""COMPUTED_VALUE"""),"[]")</f>
        <v>[]</v>
      </c>
      <c r="X2358" s="6" t="str">
        <f>IFERROR(__xludf.DUMMYFUNCTION("""COMPUTED_VALUE"""),"Enrolled")</f>
        <v>Enrolled</v>
      </c>
    </row>
    <row r="2359">
      <c r="A2359" s="6" t="str">
        <f>IFERROR(__xludf.DUMMYFUNCTION("""COMPUTED_VALUE"""),"040-4135")</f>
        <v>040-4135</v>
      </c>
      <c r="B2359" s="6" t="str">
        <f>IFERROR(__xludf.DUMMYFUNCTION("""COMPUTED_VALUE"""),"40")</f>
        <v>40</v>
      </c>
      <c r="C2359" s="6" t="str">
        <f>IFERROR(__xludf.DUMMYFUNCTION("""COMPUTED_VALUE"""),"4135")</f>
        <v>4135</v>
      </c>
      <c r="D2359" s="6" t="str">
        <f>IFERROR(__xludf.DUMMYFUNCTION("""COMPUTED_VALUE"""),"Christian")</f>
        <v>Christian</v>
      </c>
      <c r="E2359" s="6" t="str">
        <f>IFERROR(__xludf.DUMMYFUNCTION("""COMPUTED_VALUE"""),"")</f>
        <v/>
      </c>
      <c r="F2359" s="6" t="str">
        <f>IFERROR(__xludf.DUMMYFUNCTION("""COMPUTED_VALUE"""),"Nutt")</f>
        <v>Nutt</v>
      </c>
      <c r="G2359" s="6" t="str">
        <f>IFERROR(__xludf.DUMMYFUNCTION("""COMPUTED_VALUE"""),"12/10/2011")</f>
        <v>12/10/2011</v>
      </c>
      <c r="H2359" s="6" t="str">
        <f>IFERROR(__xludf.DUMMYFUNCTION("""COMPUTED_VALUE"""),"Self Identify")</f>
        <v>Self Identify</v>
      </c>
      <c r="I2359" s="6" t="str">
        <f>IFERROR(__xludf.DUMMYFUNCTION("""COMPUTED_VALUE"""),"Middle School")</f>
        <v>Middle School</v>
      </c>
      <c r="J2359" s="6" t="str">
        <f>IFERROR(__xludf.DUMMYFUNCTION("""COMPUTED_VALUE"""),"8")</f>
        <v>8</v>
      </c>
      <c r="K2359" s="6" t="str">
        <f>IFERROR(__xludf.DUMMYFUNCTION("""COMPUTED_VALUE"""),"christian.nutt@unbound.school")</f>
        <v>christian.nutt@unbound.school</v>
      </c>
      <c r="L2359" s="6" t="str">
        <f>IFERROR(__xludf.DUMMYFUNCTION("""COMPUTED_VALUE"""),"Unbound Academy")</f>
        <v>Unbound Academy</v>
      </c>
      <c r="M2359" s="6" t="str">
        <f>IFERROR(__xludf.DUMMYFUNCTION("""COMPUTED_VALUE"""),"")</f>
        <v/>
      </c>
      <c r="N2359" s="6" t="str">
        <f>IFERROR(__xludf.DUMMYFUNCTION("""COMPUTED_VALUE"""),"")</f>
        <v/>
      </c>
      <c r="O2359" s="87" t="str">
        <f>IFERROR(__xludf.DUMMYFUNCTION("""COMPUTED_VALUE"""),"https://drive.google.com/drive/folders/10T2cTQHqEJZqE-st6uFKPoI?usp=share_link")</f>
        <v>https://drive.google.com/drive/folders/10T2cTQHqEJZqE-st6uFKPoI?usp=share_link</v>
      </c>
      <c r="P2359" s="6" t="str">
        <f>IFERROR(__xludf.DUMMYFUNCTION("""COMPUTED_VALUE"""),"Christian Nutt")</f>
        <v>Christian Nutt</v>
      </c>
      <c r="Q2359" s="6" t="str">
        <f>IFERROR(__xludf.DUMMYFUNCTION("""COMPUTED_VALUE"""),"MS")</f>
        <v>MS</v>
      </c>
      <c r="R2359" s="6">
        <f>IFERROR(__xludf.DUMMYFUNCTION("""COMPUTED_VALUE"""),0.0)</f>
        <v>0</v>
      </c>
      <c r="S2359" s="6" t="str">
        <f>IFERROR(__xludf.DUMMYFUNCTION("""COMPUTED_VALUE""")," ")</f>
        <v> </v>
      </c>
      <c r="T2359" s="6" t="str">
        <f>IFERROR(__xludf.DUMMYFUNCTION("""COMPUTED_VALUE"""),"")</f>
        <v/>
      </c>
      <c r="U2359" s="6" t="str">
        <f>IFERROR(__xludf.DUMMYFUNCTION("""COMPUTED_VALUE"""),"8")</f>
        <v>8</v>
      </c>
      <c r="V2359" s="6" t="str">
        <f>IFERROR(__xludf.DUMMYFUNCTION("""COMPUTED_VALUE"""),"")</f>
        <v/>
      </c>
      <c r="W2359" s="6" t="str">
        <f>IFERROR(__xludf.DUMMYFUNCTION("""COMPUTED_VALUE"""),"[]")</f>
        <v>[]</v>
      </c>
      <c r="X2359" s="6" t="str">
        <f>IFERROR(__xludf.DUMMYFUNCTION("""COMPUTED_VALUE"""),"Enrolled")</f>
        <v>Enrolled</v>
      </c>
    </row>
    <row r="2360">
      <c r="A2360" s="6" t="str">
        <f>IFERROR(__xludf.DUMMYFUNCTION("""COMPUTED_VALUE"""),"040-4137")</f>
        <v>040-4137</v>
      </c>
      <c r="B2360" s="6" t="str">
        <f>IFERROR(__xludf.DUMMYFUNCTION("""COMPUTED_VALUE"""),"40")</f>
        <v>40</v>
      </c>
      <c r="C2360" s="6" t="str">
        <f>IFERROR(__xludf.DUMMYFUNCTION("""COMPUTED_VALUE"""),"4137")</f>
        <v>4137</v>
      </c>
      <c r="D2360" s="6" t="str">
        <f>IFERROR(__xludf.DUMMYFUNCTION("""COMPUTED_VALUE"""),"Carter")</f>
        <v>Carter</v>
      </c>
      <c r="E2360" s="6" t="str">
        <f>IFERROR(__xludf.DUMMYFUNCTION("""COMPUTED_VALUE"""),"")</f>
        <v/>
      </c>
      <c r="F2360" s="6" t="str">
        <f>IFERROR(__xludf.DUMMYFUNCTION("""COMPUTED_VALUE"""),"Daniels")</f>
        <v>Daniels</v>
      </c>
      <c r="G2360" s="6" t="str">
        <f>IFERROR(__xludf.DUMMYFUNCTION("""COMPUTED_VALUE"""),"10/18/2014")</f>
        <v>10/18/2014</v>
      </c>
      <c r="H2360" s="6" t="str">
        <f>IFERROR(__xludf.DUMMYFUNCTION("""COMPUTED_VALUE"""),"Self Identify")</f>
        <v>Self Identify</v>
      </c>
      <c r="I2360" s="6" t="str">
        <f>IFERROR(__xludf.DUMMYFUNCTION("""COMPUTED_VALUE"""),"Level 2")</f>
        <v>Level 2</v>
      </c>
      <c r="J2360" s="6" t="str">
        <f>IFERROR(__xludf.DUMMYFUNCTION("""COMPUTED_VALUE"""),"5")</f>
        <v>5</v>
      </c>
      <c r="K2360" s="6" t="str">
        <f>IFERROR(__xludf.DUMMYFUNCTION("""COMPUTED_VALUE"""),"carter.daniels@unbound.school")</f>
        <v>carter.daniels@unbound.school</v>
      </c>
      <c r="L2360" s="6" t="str">
        <f>IFERROR(__xludf.DUMMYFUNCTION("""COMPUTED_VALUE"""),"Unbound Academy")</f>
        <v>Unbound Academy</v>
      </c>
      <c r="M2360" s="6" t="str">
        <f>IFERROR(__xludf.DUMMYFUNCTION("""COMPUTED_VALUE"""),"")</f>
        <v/>
      </c>
      <c r="N2360" s="6" t="str">
        <f>IFERROR(__xludf.DUMMYFUNCTION("""COMPUTED_VALUE"""),"")</f>
        <v/>
      </c>
      <c r="O2360" s="87" t="str">
        <f>IFERROR(__xludf.DUMMYFUNCTION("""COMPUTED_VALUE"""),"https://drive.google.com/drive/folders/10T2cTQHqEJZqE-st6uFKPoI?usp=share_link")</f>
        <v>https://drive.google.com/drive/folders/10T2cTQHqEJZqE-st6uFKPoI?usp=share_link</v>
      </c>
      <c r="P2360" s="6" t="str">
        <f>IFERROR(__xludf.DUMMYFUNCTION("""COMPUTED_VALUE"""),"Carter Daniels")</f>
        <v>Carter Daniels</v>
      </c>
      <c r="Q2360" s="6" t="str">
        <f>IFERROR(__xludf.DUMMYFUNCTION("""COMPUTED_VALUE"""),"L2")</f>
        <v>L2</v>
      </c>
      <c r="R2360" s="6">
        <f>IFERROR(__xludf.DUMMYFUNCTION("""COMPUTED_VALUE"""),2.0)</f>
        <v>2</v>
      </c>
      <c r="S2360" s="6" t="str">
        <f>IFERROR(__xludf.DUMMYFUNCTION("""COMPUTED_VALUE""")," ")</f>
        <v> </v>
      </c>
      <c r="T2360" s="6" t="str">
        <f>IFERROR(__xludf.DUMMYFUNCTION("""COMPUTED_VALUE"""),"")</f>
        <v/>
      </c>
      <c r="U2360" s="6" t="str">
        <f>IFERROR(__xludf.DUMMYFUNCTION("""COMPUTED_VALUE"""),"5")</f>
        <v>5</v>
      </c>
      <c r="V2360" s="6" t="str">
        <f>IFERROR(__xludf.DUMMYFUNCTION("""COMPUTED_VALUE"""),"")</f>
        <v/>
      </c>
      <c r="W2360" s="6" t="str">
        <f>IFERROR(__xludf.DUMMYFUNCTION("""COMPUTED_VALUE"""),"[]")</f>
        <v>[]</v>
      </c>
      <c r="X2360" s="6" t="str">
        <f>IFERROR(__xludf.DUMMYFUNCTION("""COMPUTED_VALUE"""),"Enrolled")</f>
        <v>Enrolled</v>
      </c>
    </row>
    <row r="2361">
      <c r="A2361" s="6" t="str">
        <f>IFERROR(__xludf.DUMMYFUNCTION("""COMPUTED_VALUE"""),"040-4139")</f>
        <v>040-4139</v>
      </c>
      <c r="B2361" s="6" t="str">
        <f>IFERROR(__xludf.DUMMYFUNCTION("""COMPUTED_VALUE"""),"40")</f>
        <v>40</v>
      </c>
      <c r="C2361" s="6" t="str">
        <f>IFERROR(__xludf.DUMMYFUNCTION("""COMPUTED_VALUE"""),"4139")</f>
        <v>4139</v>
      </c>
      <c r="D2361" s="6" t="str">
        <f>IFERROR(__xludf.DUMMYFUNCTION("""COMPUTED_VALUE"""),"Triston")</f>
        <v>Triston</v>
      </c>
      <c r="E2361" s="6" t="str">
        <f>IFERROR(__xludf.DUMMYFUNCTION("""COMPUTED_VALUE"""),"")</f>
        <v/>
      </c>
      <c r="F2361" s="6" t="str">
        <f>IFERROR(__xludf.DUMMYFUNCTION("""COMPUTED_VALUE"""),"House")</f>
        <v>House</v>
      </c>
      <c r="G2361" s="6" t="str">
        <f>IFERROR(__xludf.DUMMYFUNCTION("""COMPUTED_VALUE"""),"09/12/2011")</f>
        <v>09/12/2011</v>
      </c>
      <c r="H2361" s="6" t="str">
        <f>IFERROR(__xludf.DUMMYFUNCTION("""COMPUTED_VALUE"""),"Self Identify")</f>
        <v>Self Identify</v>
      </c>
      <c r="I2361" s="6" t="str">
        <f>IFERROR(__xludf.DUMMYFUNCTION("""COMPUTED_VALUE"""),"Middle School")</f>
        <v>Middle School</v>
      </c>
      <c r="J2361" s="6" t="str">
        <f>IFERROR(__xludf.DUMMYFUNCTION("""COMPUTED_VALUE"""),"8")</f>
        <v>8</v>
      </c>
      <c r="K2361" s="6" t="str">
        <f>IFERROR(__xludf.DUMMYFUNCTION("""COMPUTED_VALUE"""),"triston.house@unbound.school")</f>
        <v>triston.house@unbound.school</v>
      </c>
      <c r="L2361" s="6" t="str">
        <f>IFERROR(__xludf.DUMMYFUNCTION("""COMPUTED_VALUE"""),"Unbound Academy")</f>
        <v>Unbound Academy</v>
      </c>
      <c r="M2361" s="6" t="str">
        <f>IFERROR(__xludf.DUMMYFUNCTION("""COMPUTED_VALUE"""),"")</f>
        <v/>
      </c>
      <c r="N2361" s="6" t="str">
        <f>IFERROR(__xludf.DUMMYFUNCTION("""COMPUTED_VALUE"""),"")</f>
        <v/>
      </c>
      <c r="O2361" s="87" t="str">
        <f>IFERROR(__xludf.DUMMYFUNCTION("""COMPUTED_VALUE"""),"https://drive.google.com/drive/folders/10T2cTQHqEJZqE-st6uFKPoI?usp=share_link")</f>
        <v>https://drive.google.com/drive/folders/10T2cTQHqEJZqE-st6uFKPoI?usp=share_link</v>
      </c>
      <c r="P2361" s="6" t="str">
        <f>IFERROR(__xludf.DUMMYFUNCTION("""COMPUTED_VALUE"""),"Triston House")</f>
        <v>Triston House</v>
      </c>
      <c r="Q2361" s="6" t="str">
        <f>IFERROR(__xludf.DUMMYFUNCTION("""COMPUTED_VALUE"""),"MS")</f>
        <v>MS</v>
      </c>
      <c r="R2361" s="6">
        <f>IFERROR(__xludf.DUMMYFUNCTION("""COMPUTED_VALUE"""),0.0)</f>
        <v>0</v>
      </c>
      <c r="S2361" s="6" t="str">
        <f>IFERROR(__xludf.DUMMYFUNCTION("""COMPUTED_VALUE""")," ")</f>
        <v> </v>
      </c>
      <c r="T2361" s="6" t="str">
        <f>IFERROR(__xludf.DUMMYFUNCTION("""COMPUTED_VALUE"""),"")</f>
        <v/>
      </c>
      <c r="U2361" s="6" t="str">
        <f>IFERROR(__xludf.DUMMYFUNCTION("""COMPUTED_VALUE"""),"8")</f>
        <v>8</v>
      </c>
      <c r="V2361" s="6" t="str">
        <f>IFERROR(__xludf.DUMMYFUNCTION("""COMPUTED_VALUE"""),"")</f>
        <v/>
      </c>
      <c r="W2361" s="6" t="str">
        <f>IFERROR(__xludf.DUMMYFUNCTION("""COMPUTED_VALUE"""),"[]")</f>
        <v>[]</v>
      </c>
      <c r="X2361" s="6" t="str">
        <f>IFERROR(__xludf.DUMMYFUNCTION("""COMPUTED_VALUE"""),"Enrolled")</f>
        <v>Enrolled</v>
      </c>
    </row>
    <row r="2362">
      <c r="A2362" s="6" t="str">
        <f>IFERROR(__xludf.DUMMYFUNCTION("""COMPUTED_VALUE"""),"040-4140")</f>
        <v>040-4140</v>
      </c>
      <c r="B2362" s="6" t="str">
        <f>IFERROR(__xludf.DUMMYFUNCTION("""COMPUTED_VALUE"""),"40")</f>
        <v>40</v>
      </c>
      <c r="C2362" s="6" t="str">
        <f>IFERROR(__xludf.DUMMYFUNCTION("""COMPUTED_VALUE"""),"4140")</f>
        <v>4140</v>
      </c>
      <c r="D2362" s="6" t="str">
        <f>IFERROR(__xludf.DUMMYFUNCTION("""COMPUTED_VALUE"""),"Lynzy")</f>
        <v>Lynzy</v>
      </c>
      <c r="E2362" s="6" t="str">
        <f>IFERROR(__xludf.DUMMYFUNCTION("""COMPUTED_VALUE"""),"")</f>
        <v/>
      </c>
      <c r="F2362" s="6" t="str">
        <f>IFERROR(__xludf.DUMMYFUNCTION("""COMPUTED_VALUE"""),"Risingsun II")</f>
        <v>Risingsun II</v>
      </c>
      <c r="G2362" s="6" t="str">
        <f>IFERROR(__xludf.DUMMYFUNCTION("""COMPUTED_VALUE"""),"06/15/2016")</f>
        <v>06/15/2016</v>
      </c>
      <c r="H2362" s="6" t="str">
        <f>IFERROR(__xludf.DUMMYFUNCTION("""COMPUTED_VALUE"""),"Self Identify")</f>
        <v>Self Identify</v>
      </c>
      <c r="I2362" s="6" t="str">
        <f>IFERROR(__xludf.DUMMYFUNCTION("""COMPUTED_VALUE"""),"Level 2")</f>
        <v>Level 2</v>
      </c>
      <c r="J2362" s="6" t="str">
        <f>IFERROR(__xludf.DUMMYFUNCTION("""COMPUTED_VALUE"""),"4")</f>
        <v>4</v>
      </c>
      <c r="K2362" s="6" t="str">
        <f>IFERROR(__xludf.DUMMYFUNCTION("""COMPUTED_VALUE"""),"lynzy.risingsunii@unbound.school")</f>
        <v>lynzy.risingsunii@unbound.school</v>
      </c>
      <c r="L2362" s="6" t="str">
        <f>IFERROR(__xludf.DUMMYFUNCTION("""COMPUTED_VALUE"""),"Unbound Academy")</f>
        <v>Unbound Academy</v>
      </c>
      <c r="M2362" s="6" t="str">
        <f>IFERROR(__xludf.DUMMYFUNCTION("""COMPUTED_VALUE"""),"")</f>
        <v/>
      </c>
      <c r="N2362" s="6" t="str">
        <f>IFERROR(__xludf.DUMMYFUNCTION("""COMPUTED_VALUE"""),"")</f>
        <v/>
      </c>
      <c r="O2362" s="87" t="str">
        <f>IFERROR(__xludf.DUMMYFUNCTION("""COMPUTED_VALUE"""),"https://drive.google.com/drive/folders/10T2cTQHqEJZqE-st6uFKPoI?usp=share_link")</f>
        <v>https://drive.google.com/drive/folders/10T2cTQHqEJZqE-st6uFKPoI?usp=share_link</v>
      </c>
      <c r="P2362" s="6" t="str">
        <f>IFERROR(__xludf.DUMMYFUNCTION("""COMPUTED_VALUE"""),"Lynzy Risingsun II")</f>
        <v>Lynzy Risingsun II</v>
      </c>
      <c r="Q2362" s="6" t="str">
        <f>IFERROR(__xludf.DUMMYFUNCTION("""COMPUTED_VALUE"""),"L2")</f>
        <v>L2</v>
      </c>
      <c r="R2362" s="6">
        <f>IFERROR(__xludf.DUMMYFUNCTION("""COMPUTED_VALUE"""),2.0)</f>
        <v>2</v>
      </c>
      <c r="S2362" s="6" t="str">
        <f>IFERROR(__xludf.DUMMYFUNCTION("""COMPUTED_VALUE""")," ")</f>
        <v> </v>
      </c>
      <c r="T2362" s="6" t="str">
        <f>IFERROR(__xludf.DUMMYFUNCTION("""COMPUTED_VALUE"""),"")</f>
        <v/>
      </c>
      <c r="U2362" s="6" t="str">
        <f>IFERROR(__xludf.DUMMYFUNCTION("""COMPUTED_VALUE"""),"4")</f>
        <v>4</v>
      </c>
      <c r="V2362" s="6" t="str">
        <f>IFERROR(__xludf.DUMMYFUNCTION("""COMPUTED_VALUE"""),"")</f>
        <v/>
      </c>
      <c r="W2362" s="6" t="str">
        <f>IFERROR(__xludf.DUMMYFUNCTION("""COMPUTED_VALUE"""),"[]")</f>
        <v>[]</v>
      </c>
      <c r="X2362" s="6" t="str">
        <f>IFERROR(__xludf.DUMMYFUNCTION("""COMPUTED_VALUE"""),"Enrolled")</f>
        <v>Enrolled</v>
      </c>
    </row>
    <row r="2363">
      <c r="A2363" s="6" t="str">
        <f>IFERROR(__xludf.DUMMYFUNCTION("""COMPUTED_VALUE"""),"040-4141")</f>
        <v>040-4141</v>
      </c>
      <c r="B2363" s="6" t="str">
        <f>IFERROR(__xludf.DUMMYFUNCTION("""COMPUTED_VALUE"""),"40")</f>
        <v>40</v>
      </c>
      <c r="C2363" s="6" t="str">
        <f>IFERROR(__xludf.DUMMYFUNCTION("""COMPUTED_VALUE"""),"4141")</f>
        <v>4141</v>
      </c>
      <c r="D2363" s="6" t="str">
        <f>IFERROR(__xludf.DUMMYFUNCTION("""COMPUTED_VALUE"""),"Finn")</f>
        <v>Finn</v>
      </c>
      <c r="E2363" s="6" t="str">
        <f>IFERROR(__xludf.DUMMYFUNCTION("""COMPUTED_VALUE"""),"")</f>
        <v/>
      </c>
      <c r="F2363" s="6" t="str">
        <f>IFERROR(__xludf.DUMMYFUNCTION("""COMPUTED_VALUE"""),"Newman")</f>
        <v>Newman</v>
      </c>
      <c r="G2363" s="6" t="str">
        <f>IFERROR(__xludf.DUMMYFUNCTION("""COMPUTED_VALUE"""),"06/08/2015")</f>
        <v>06/08/2015</v>
      </c>
      <c r="H2363" s="6" t="str">
        <f>IFERROR(__xludf.DUMMYFUNCTION("""COMPUTED_VALUE"""),"Self Identify")</f>
        <v>Self Identify</v>
      </c>
      <c r="I2363" s="6" t="str">
        <f>IFERROR(__xludf.DUMMYFUNCTION("""COMPUTED_VALUE"""),"Level 2")</f>
        <v>Level 2</v>
      </c>
      <c r="J2363" s="6" t="str">
        <f>IFERROR(__xludf.DUMMYFUNCTION("""COMPUTED_VALUE"""),"5")</f>
        <v>5</v>
      </c>
      <c r="K2363" s="6" t="str">
        <f>IFERROR(__xludf.DUMMYFUNCTION("""COMPUTED_VALUE"""),"finn.newman@unbound.school")</f>
        <v>finn.newman@unbound.school</v>
      </c>
      <c r="L2363" s="6" t="str">
        <f>IFERROR(__xludf.DUMMYFUNCTION("""COMPUTED_VALUE"""),"Unbound Academy")</f>
        <v>Unbound Academy</v>
      </c>
      <c r="M2363" s="6" t="str">
        <f>IFERROR(__xludf.DUMMYFUNCTION("""COMPUTED_VALUE"""),"")</f>
        <v/>
      </c>
      <c r="N2363" s="6" t="str">
        <f>IFERROR(__xludf.DUMMYFUNCTION("""COMPUTED_VALUE"""),"")</f>
        <v/>
      </c>
      <c r="O2363" s="87" t="str">
        <f>IFERROR(__xludf.DUMMYFUNCTION("""COMPUTED_VALUE"""),"https://drive.google.com/drive/folders/10T2cTQHqEJZqE-st6uFKPoI?usp=share_link")</f>
        <v>https://drive.google.com/drive/folders/10T2cTQHqEJZqE-st6uFKPoI?usp=share_link</v>
      </c>
      <c r="P2363" s="6" t="str">
        <f>IFERROR(__xludf.DUMMYFUNCTION("""COMPUTED_VALUE"""),"Finn Newman")</f>
        <v>Finn Newman</v>
      </c>
      <c r="Q2363" s="6" t="str">
        <f>IFERROR(__xludf.DUMMYFUNCTION("""COMPUTED_VALUE"""),"L2")</f>
        <v>L2</v>
      </c>
      <c r="R2363" s="6">
        <f>IFERROR(__xludf.DUMMYFUNCTION("""COMPUTED_VALUE"""),2.0)</f>
        <v>2</v>
      </c>
      <c r="S2363" s="6" t="str">
        <f>IFERROR(__xludf.DUMMYFUNCTION("""COMPUTED_VALUE""")," ")</f>
        <v> </v>
      </c>
      <c r="T2363" s="6" t="str">
        <f>IFERROR(__xludf.DUMMYFUNCTION("""COMPUTED_VALUE"""),"")</f>
        <v/>
      </c>
      <c r="U2363" s="6" t="str">
        <f>IFERROR(__xludf.DUMMYFUNCTION("""COMPUTED_VALUE"""),"5")</f>
        <v>5</v>
      </c>
      <c r="V2363" s="6" t="str">
        <f>IFERROR(__xludf.DUMMYFUNCTION("""COMPUTED_VALUE"""),"")</f>
        <v/>
      </c>
      <c r="W2363" s="6" t="str">
        <f>IFERROR(__xludf.DUMMYFUNCTION("""COMPUTED_VALUE"""),"[]")</f>
        <v>[]</v>
      </c>
      <c r="X2363" s="6" t="str">
        <f>IFERROR(__xludf.DUMMYFUNCTION("""COMPUTED_VALUE"""),"Enrolled")</f>
        <v>Enrolled</v>
      </c>
    </row>
    <row r="2364">
      <c r="A2364" s="6" t="str">
        <f>IFERROR(__xludf.DUMMYFUNCTION("""COMPUTED_VALUE"""),"040-4143")</f>
        <v>040-4143</v>
      </c>
      <c r="B2364" s="6" t="str">
        <f>IFERROR(__xludf.DUMMYFUNCTION("""COMPUTED_VALUE"""),"40")</f>
        <v>40</v>
      </c>
      <c r="C2364" s="6" t="str">
        <f>IFERROR(__xludf.DUMMYFUNCTION("""COMPUTED_VALUE"""),"4143")</f>
        <v>4143</v>
      </c>
      <c r="D2364" s="6" t="str">
        <f>IFERROR(__xludf.DUMMYFUNCTION("""COMPUTED_VALUE"""),"Caiden")</f>
        <v>Caiden</v>
      </c>
      <c r="E2364" s="6" t="str">
        <f>IFERROR(__xludf.DUMMYFUNCTION("""COMPUTED_VALUE"""),"")</f>
        <v/>
      </c>
      <c r="F2364" s="6" t="str">
        <f>IFERROR(__xludf.DUMMYFUNCTION("""COMPUTED_VALUE"""),"Wood")</f>
        <v>Wood</v>
      </c>
      <c r="G2364" s="6" t="str">
        <f>IFERROR(__xludf.DUMMYFUNCTION("""COMPUTED_VALUE"""),"09/22/2013")</f>
        <v>09/22/2013</v>
      </c>
      <c r="H2364" s="6" t="str">
        <f>IFERROR(__xludf.DUMMYFUNCTION("""COMPUTED_VALUE"""),"Self Identify")</f>
        <v>Self Identify</v>
      </c>
      <c r="I2364" s="6" t="str">
        <f>IFERROR(__xludf.DUMMYFUNCTION("""COMPUTED_VALUE"""),"Middle School")</f>
        <v>Middle School</v>
      </c>
      <c r="J2364" s="6" t="str">
        <f>IFERROR(__xludf.DUMMYFUNCTION("""COMPUTED_VALUE"""),"6")</f>
        <v>6</v>
      </c>
      <c r="K2364" s="6" t="str">
        <f>IFERROR(__xludf.DUMMYFUNCTION("""COMPUTED_VALUE"""),"caiden.wood@unbound.school")</f>
        <v>caiden.wood@unbound.school</v>
      </c>
      <c r="L2364" s="6" t="str">
        <f>IFERROR(__xludf.DUMMYFUNCTION("""COMPUTED_VALUE"""),"Unbound Academy")</f>
        <v>Unbound Academy</v>
      </c>
      <c r="M2364" s="6" t="str">
        <f>IFERROR(__xludf.DUMMYFUNCTION("""COMPUTED_VALUE"""),"")</f>
        <v/>
      </c>
      <c r="N2364" s="6" t="str">
        <f>IFERROR(__xludf.DUMMYFUNCTION("""COMPUTED_VALUE"""),"")</f>
        <v/>
      </c>
      <c r="O2364" s="87" t="str">
        <f>IFERROR(__xludf.DUMMYFUNCTION("""COMPUTED_VALUE"""),"https://drive.google.com/drive/folders/10T2cTQHqEJZqE-st6uFKPoI?usp=share_link")</f>
        <v>https://drive.google.com/drive/folders/10T2cTQHqEJZqE-st6uFKPoI?usp=share_link</v>
      </c>
      <c r="P2364" s="6" t="str">
        <f>IFERROR(__xludf.DUMMYFUNCTION("""COMPUTED_VALUE"""),"Caiden Wood")</f>
        <v>Caiden Wood</v>
      </c>
      <c r="Q2364" s="6" t="str">
        <f>IFERROR(__xludf.DUMMYFUNCTION("""COMPUTED_VALUE"""),"MS")</f>
        <v>MS</v>
      </c>
      <c r="R2364" s="6">
        <f>IFERROR(__xludf.DUMMYFUNCTION("""COMPUTED_VALUE"""),0.0)</f>
        <v>0</v>
      </c>
      <c r="S2364" s="6" t="str">
        <f>IFERROR(__xludf.DUMMYFUNCTION("""COMPUTED_VALUE""")," ")</f>
        <v> </v>
      </c>
      <c r="T2364" s="6" t="str">
        <f>IFERROR(__xludf.DUMMYFUNCTION("""COMPUTED_VALUE"""),"")</f>
        <v/>
      </c>
      <c r="U2364" s="6" t="str">
        <f>IFERROR(__xludf.DUMMYFUNCTION("""COMPUTED_VALUE"""),"6")</f>
        <v>6</v>
      </c>
      <c r="V2364" s="6" t="str">
        <f>IFERROR(__xludf.DUMMYFUNCTION("""COMPUTED_VALUE"""),"")</f>
        <v/>
      </c>
      <c r="W2364" s="6" t="str">
        <f>IFERROR(__xludf.DUMMYFUNCTION("""COMPUTED_VALUE"""),"[]")</f>
        <v>[]</v>
      </c>
      <c r="X2364" s="6" t="str">
        <f>IFERROR(__xludf.DUMMYFUNCTION("""COMPUTED_VALUE"""),"Enrolled")</f>
        <v>Enrolled</v>
      </c>
    </row>
    <row r="2365">
      <c r="A2365" s="6" t="str">
        <f>IFERROR(__xludf.DUMMYFUNCTION("""COMPUTED_VALUE"""),"040-4144")</f>
        <v>040-4144</v>
      </c>
      <c r="B2365" s="6" t="str">
        <f>IFERROR(__xludf.DUMMYFUNCTION("""COMPUTED_VALUE"""),"40")</f>
        <v>40</v>
      </c>
      <c r="C2365" s="6" t="str">
        <f>IFERROR(__xludf.DUMMYFUNCTION("""COMPUTED_VALUE"""),"4144")</f>
        <v>4144</v>
      </c>
      <c r="D2365" s="6" t="str">
        <f>IFERROR(__xludf.DUMMYFUNCTION("""COMPUTED_VALUE"""),"Kyle")</f>
        <v>Kyle</v>
      </c>
      <c r="E2365" s="6" t="str">
        <f>IFERROR(__xludf.DUMMYFUNCTION("""COMPUTED_VALUE"""),"")</f>
        <v/>
      </c>
      <c r="F2365" s="6" t="str">
        <f>IFERROR(__xludf.DUMMYFUNCTION("""COMPUTED_VALUE"""),"Bowders")</f>
        <v>Bowders</v>
      </c>
      <c r="G2365" s="6" t="str">
        <f>IFERROR(__xludf.DUMMYFUNCTION("""COMPUTED_VALUE"""),"11/19/2013")</f>
        <v>11/19/2013</v>
      </c>
      <c r="H2365" s="6" t="str">
        <f>IFERROR(__xludf.DUMMYFUNCTION("""COMPUTED_VALUE"""),"Self Identify")</f>
        <v>Self Identify</v>
      </c>
      <c r="I2365" s="6" t="str">
        <f>IFERROR(__xludf.DUMMYFUNCTION("""COMPUTED_VALUE"""),"Middle School")</f>
        <v>Middle School</v>
      </c>
      <c r="J2365" s="6" t="str">
        <f>IFERROR(__xludf.DUMMYFUNCTION("""COMPUTED_VALUE"""),"7")</f>
        <v>7</v>
      </c>
      <c r="K2365" s="6" t="str">
        <f>IFERROR(__xludf.DUMMYFUNCTION("""COMPUTED_VALUE"""),"kyle.bowders@unbound.school")</f>
        <v>kyle.bowders@unbound.school</v>
      </c>
      <c r="L2365" s="6" t="str">
        <f>IFERROR(__xludf.DUMMYFUNCTION("""COMPUTED_VALUE"""),"Unbound Academy")</f>
        <v>Unbound Academy</v>
      </c>
      <c r="M2365" s="6" t="str">
        <f>IFERROR(__xludf.DUMMYFUNCTION("""COMPUTED_VALUE"""),"")</f>
        <v/>
      </c>
      <c r="N2365" s="6" t="str">
        <f>IFERROR(__xludf.DUMMYFUNCTION("""COMPUTED_VALUE"""),"")</f>
        <v/>
      </c>
      <c r="O2365" s="87" t="str">
        <f>IFERROR(__xludf.DUMMYFUNCTION("""COMPUTED_VALUE"""),"https://drive.google.com/drive/folders/10T2cTQHqEJZqE-st6uFKPoI?usp=share_link")</f>
        <v>https://drive.google.com/drive/folders/10T2cTQHqEJZqE-st6uFKPoI?usp=share_link</v>
      </c>
      <c r="P2365" s="6" t="str">
        <f>IFERROR(__xludf.DUMMYFUNCTION("""COMPUTED_VALUE"""),"Kyle Bowders")</f>
        <v>Kyle Bowders</v>
      </c>
      <c r="Q2365" s="6" t="str">
        <f>IFERROR(__xludf.DUMMYFUNCTION("""COMPUTED_VALUE"""),"MS")</f>
        <v>MS</v>
      </c>
      <c r="R2365" s="6">
        <f>IFERROR(__xludf.DUMMYFUNCTION("""COMPUTED_VALUE"""),0.0)</f>
        <v>0</v>
      </c>
      <c r="S2365" s="6" t="str">
        <f>IFERROR(__xludf.DUMMYFUNCTION("""COMPUTED_VALUE""")," ")</f>
        <v> </v>
      </c>
      <c r="T2365" s="6" t="str">
        <f>IFERROR(__xludf.DUMMYFUNCTION("""COMPUTED_VALUE"""),"")</f>
        <v/>
      </c>
      <c r="U2365" s="6" t="str">
        <f>IFERROR(__xludf.DUMMYFUNCTION("""COMPUTED_VALUE"""),"7")</f>
        <v>7</v>
      </c>
      <c r="V2365" s="6" t="str">
        <f>IFERROR(__xludf.DUMMYFUNCTION("""COMPUTED_VALUE"""),"")</f>
        <v/>
      </c>
      <c r="W2365" s="6" t="str">
        <f>IFERROR(__xludf.DUMMYFUNCTION("""COMPUTED_VALUE"""),"[]")</f>
        <v>[]</v>
      </c>
      <c r="X2365" s="6" t="str">
        <f>IFERROR(__xludf.DUMMYFUNCTION("""COMPUTED_VALUE"""),"Enrolled")</f>
        <v>Enrolled</v>
      </c>
    </row>
    <row r="2366">
      <c r="A2366" s="6" t="str">
        <f>IFERROR(__xludf.DUMMYFUNCTION("""COMPUTED_VALUE"""),"040-4145")</f>
        <v>040-4145</v>
      </c>
      <c r="B2366" s="6" t="str">
        <f>IFERROR(__xludf.DUMMYFUNCTION("""COMPUTED_VALUE"""),"40")</f>
        <v>40</v>
      </c>
      <c r="C2366" s="6" t="str">
        <f>IFERROR(__xludf.DUMMYFUNCTION("""COMPUTED_VALUE"""),"4145")</f>
        <v>4145</v>
      </c>
      <c r="D2366" s="6" t="str">
        <f>IFERROR(__xludf.DUMMYFUNCTION("""COMPUTED_VALUE"""),"Aiden")</f>
        <v>Aiden</v>
      </c>
      <c r="E2366" s="6" t="str">
        <f>IFERROR(__xludf.DUMMYFUNCTION("""COMPUTED_VALUE"""),"")</f>
        <v/>
      </c>
      <c r="F2366" s="6" t="str">
        <f>IFERROR(__xludf.DUMMYFUNCTION("""COMPUTED_VALUE"""),"Lee")</f>
        <v>Lee</v>
      </c>
      <c r="G2366" s="6" t="str">
        <f>IFERROR(__xludf.DUMMYFUNCTION("""COMPUTED_VALUE"""),"10/13/2014")</f>
        <v>10/13/2014</v>
      </c>
      <c r="H2366" s="6" t="str">
        <f>IFERROR(__xludf.DUMMYFUNCTION("""COMPUTED_VALUE"""),"Self Identify")</f>
        <v>Self Identify</v>
      </c>
      <c r="I2366" s="6" t="str">
        <f>IFERROR(__xludf.DUMMYFUNCTION("""COMPUTED_VALUE"""),"Level 2")</f>
        <v>Level 2</v>
      </c>
      <c r="J2366" s="6" t="str">
        <f>IFERROR(__xludf.DUMMYFUNCTION("""COMPUTED_VALUE"""),"5")</f>
        <v>5</v>
      </c>
      <c r="K2366" s="6" t="str">
        <f>IFERROR(__xludf.DUMMYFUNCTION("""COMPUTED_VALUE"""),"aiden.lee@unbound.school")</f>
        <v>aiden.lee@unbound.school</v>
      </c>
      <c r="L2366" s="6" t="str">
        <f>IFERROR(__xludf.DUMMYFUNCTION("""COMPUTED_VALUE"""),"Unbound Academy")</f>
        <v>Unbound Academy</v>
      </c>
      <c r="M2366" s="6" t="str">
        <f>IFERROR(__xludf.DUMMYFUNCTION("""COMPUTED_VALUE"""),"")</f>
        <v/>
      </c>
      <c r="N2366" s="6" t="str">
        <f>IFERROR(__xludf.DUMMYFUNCTION("""COMPUTED_VALUE"""),"")</f>
        <v/>
      </c>
      <c r="O2366" s="87" t="str">
        <f>IFERROR(__xludf.DUMMYFUNCTION("""COMPUTED_VALUE"""),"https://drive.google.com/drive/folders/10T2cTQHqEJZqE-st6uFKPoI?usp=share_link")</f>
        <v>https://drive.google.com/drive/folders/10T2cTQHqEJZqE-st6uFKPoI?usp=share_link</v>
      </c>
      <c r="P2366" s="6" t="str">
        <f>IFERROR(__xludf.DUMMYFUNCTION("""COMPUTED_VALUE"""),"Aiden Lee")</f>
        <v>Aiden Lee</v>
      </c>
      <c r="Q2366" s="6" t="str">
        <f>IFERROR(__xludf.DUMMYFUNCTION("""COMPUTED_VALUE"""),"L2")</f>
        <v>L2</v>
      </c>
      <c r="R2366" s="6">
        <f>IFERROR(__xludf.DUMMYFUNCTION("""COMPUTED_VALUE"""),2.0)</f>
        <v>2</v>
      </c>
      <c r="S2366" s="6" t="str">
        <f>IFERROR(__xludf.DUMMYFUNCTION("""COMPUTED_VALUE""")," ")</f>
        <v> </v>
      </c>
      <c r="T2366" s="6" t="str">
        <f>IFERROR(__xludf.DUMMYFUNCTION("""COMPUTED_VALUE"""),"")</f>
        <v/>
      </c>
      <c r="U2366" s="6" t="str">
        <f>IFERROR(__xludf.DUMMYFUNCTION("""COMPUTED_VALUE"""),"5")</f>
        <v>5</v>
      </c>
      <c r="V2366" s="6" t="str">
        <f>IFERROR(__xludf.DUMMYFUNCTION("""COMPUTED_VALUE"""),"")</f>
        <v/>
      </c>
      <c r="W2366" s="6" t="str">
        <f>IFERROR(__xludf.DUMMYFUNCTION("""COMPUTED_VALUE"""),"[]")</f>
        <v>[]</v>
      </c>
      <c r="X2366" s="6" t="str">
        <f>IFERROR(__xludf.DUMMYFUNCTION("""COMPUTED_VALUE"""),"Enrolled")</f>
        <v>Enrolled</v>
      </c>
    </row>
    <row r="2367">
      <c r="A2367" s="6" t="str">
        <f>IFERROR(__xludf.DUMMYFUNCTION("""COMPUTED_VALUE"""),"040-4146")</f>
        <v>040-4146</v>
      </c>
      <c r="B2367" s="6" t="str">
        <f>IFERROR(__xludf.DUMMYFUNCTION("""COMPUTED_VALUE"""),"40")</f>
        <v>40</v>
      </c>
      <c r="C2367" s="6" t="str">
        <f>IFERROR(__xludf.DUMMYFUNCTION("""COMPUTED_VALUE"""),"4146")</f>
        <v>4146</v>
      </c>
      <c r="D2367" s="6" t="str">
        <f>IFERROR(__xludf.DUMMYFUNCTION("""COMPUTED_VALUE"""),"Sarae")</f>
        <v>Sarae</v>
      </c>
      <c r="E2367" s="6" t="str">
        <f>IFERROR(__xludf.DUMMYFUNCTION("""COMPUTED_VALUE"""),"")</f>
        <v/>
      </c>
      <c r="F2367" s="6" t="str">
        <f>IFERROR(__xludf.DUMMYFUNCTION("""COMPUTED_VALUE"""),"Lynch")</f>
        <v>Lynch</v>
      </c>
      <c r="G2367" s="6" t="str">
        <f>IFERROR(__xludf.DUMMYFUNCTION("""COMPUTED_VALUE"""),"02/05/2013")</f>
        <v>02/05/2013</v>
      </c>
      <c r="H2367" s="6" t="str">
        <f>IFERROR(__xludf.DUMMYFUNCTION("""COMPUTED_VALUE"""),"Self Identify")</f>
        <v>Self Identify</v>
      </c>
      <c r="I2367" s="6" t="str">
        <f>IFERROR(__xludf.DUMMYFUNCTION("""COMPUTED_VALUE"""),"Middle School")</f>
        <v>Middle School</v>
      </c>
      <c r="J2367" s="6" t="str">
        <f>IFERROR(__xludf.DUMMYFUNCTION("""COMPUTED_VALUE"""),"7")</f>
        <v>7</v>
      </c>
      <c r="K2367" s="6" t="str">
        <f>IFERROR(__xludf.DUMMYFUNCTION("""COMPUTED_VALUE"""),"sarae.lynch@unbound.school")</f>
        <v>sarae.lynch@unbound.school</v>
      </c>
      <c r="L2367" s="6" t="str">
        <f>IFERROR(__xludf.DUMMYFUNCTION("""COMPUTED_VALUE"""),"Unbound Academy")</f>
        <v>Unbound Academy</v>
      </c>
      <c r="M2367" s="6" t="str">
        <f>IFERROR(__xludf.DUMMYFUNCTION("""COMPUTED_VALUE"""),"")</f>
        <v/>
      </c>
      <c r="N2367" s="6" t="str">
        <f>IFERROR(__xludf.DUMMYFUNCTION("""COMPUTED_VALUE"""),"")</f>
        <v/>
      </c>
      <c r="O2367" s="87" t="str">
        <f>IFERROR(__xludf.DUMMYFUNCTION("""COMPUTED_VALUE"""),"https://drive.google.com/drive/folders/10T2cTQHqEJZqE-st6uFKPoI?usp=share_link")</f>
        <v>https://drive.google.com/drive/folders/10T2cTQHqEJZqE-st6uFKPoI?usp=share_link</v>
      </c>
      <c r="P2367" s="6" t="str">
        <f>IFERROR(__xludf.DUMMYFUNCTION("""COMPUTED_VALUE"""),"Sarae Lynch")</f>
        <v>Sarae Lynch</v>
      </c>
      <c r="Q2367" s="6" t="str">
        <f>IFERROR(__xludf.DUMMYFUNCTION("""COMPUTED_VALUE"""),"MS")</f>
        <v>MS</v>
      </c>
      <c r="R2367" s="6">
        <f>IFERROR(__xludf.DUMMYFUNCTION("""COMPUTED_VALUE"""),0.0)</f>
        <v>0</v>
      </c>
      <c r="S2367" s="6" t="str">
        <f>IFERROR(__xludf.DUMMYFUNCTION("""COMPUTED_VALUE""")," ")</f>
        <v> </v>
      </c>
      <c r="T2367" s="6" t="str">
        <f>IFERROR(__xludf.DUMMYFUNCTION("""COMPUTED_VALUE"""),"")</f>
        <v/>
      </c>
      <c r="U2367" s="6" t="str">
        <f>IFERROR(__xludf.DUMMYFUNCTION("""COMPUTED_VALUE"""),"7")</f>
        <v>7</v>
      </c>
      <c r="V2367" s="6" t="str">
        <f>IFERROR(__xludf.DUMMYFUNCTION("""COMPUTED_VALUE"""),"")</f>
        <v/>
      </c>
      <c r="W2367" s="6" t="str">
        <f>IFERROR(__xludf.DUMMYFUNCTION("""COMPUTED_VALUE"""),"[]")</f>
        <v>[]</v>
      </c>
      <c r="X2367" s="6" t="str">
        <f>IFERROR(__xludf.DUMMYFUNCTION("""COMPUTED_VALUE"""),"Enrolled")</f>
        <v>Enrolled</v>
      </c>
    </row>
    <row r="2368">
      <c r="A2368" s="6" t="str">
        <f>IFERROR(__xludf.DUMMYFUNCTION("""COMPUTED_VALUE"""),"040-4151")</f>
        <v>040-4151</v>
      </c>
      <c r="B2368" s="6" t="str">
        <f>IFERROR(__xludf.DUMMYFUNCTION("""COMPUTED_VALUE"""),"40")</f>
        <v>40</v>
      </c>
      <c r="C2368" s="6" t="str">
        <f>IFERROR(__xludf.DUMMYFUNCTION("""COMPUTED_VALUE"""),"4151")</f>
        <v>4151</v>
      </c>
      <c r="D2368" s="6" t="str">
        <f>IFERROR(__xludf.DUMMYFUNCTION("""COMPUTED_VALUE"""),"Elijah")</f>
        <v>Elijah</v>
      </c>
      <c r="E2368" s="6" t="str">
        <f>IFERROR(__xludf.DUMMYFUNCTION("""COMPUTED_VALUE"""),"")</f>
        <v/>
      </c>
      <c r="F2368" s="6" t="str">
        <f>IFERROR(__xludf.DUMMYFUNCTION("""COMPUTED_VALUE"""),"Romeo")</f>
        <v>Romeo</v>
      </c>
      <c r="G2368" s="6" t="str">
        <f>IFERROR(__xludf.DUMMYFUNCTION("""COMPUTED_VALUE"""),"10/04/2010")</f>
        <v>10/04/2010</v>
      </c>
      <c r="H2368" s="6" t="str">
        <f>IFERROR(__xludf.DUMMYFUNCTION("""COMPUTED_VALUE"""),"Self Identify")</f>
        <v>Self Identify</v>
      </c>
      <c r="I2368" s="6" t="str">
        <f>IFERROR(__xludf.DUMMYFUNCTION("""COMPUTED_VALUE"""),"Middle School")</f>
        <v>Middle School</v>
      </c>
      <c r="J2368" s="6" t="str">
        <f>IFERROR(__xludf.DUMMYFUNCTION("""COMPUTED_VALUE"""),"8")</f>
        <v>8</v>
      </c>
      <c r="K2368" s="6" t="str">
        <f>IFERROR(__xludf.DUMMYFUNCTION("""COMPUTED_VALUE"""),"elijah.romeo@unbound.school")</f>
        <v>elijah.romeo@unbound.school</v>
      </c>
      <c r="L2368" s="6" t="str">
        <f>IFERROR(__xludf.DUMMYFUNCTION("""COMPUTED_VALUE"""),"Unbound Academy")</f>
        <v>Unbound Academy</v>
      </c>
      <c r="M2368" s="6" t="str">
        <f>IFERROR(__xludf.DUMMYFUNCTION("""COMPUTED_VALUE"""),"")</f>
        <v/>
      </c>
      <c r="N2368" s="6" t="str">
        <f>IFERROR(__xludf.DUMMYFUNCTION("""COMPUTED_VALUE"""),"")</f>
        <v/>
      </c>
      <c r="O2368" s="87" t="str">
        <f>IFERROR(__xludf.DUMMYFUNCTION("""COMPUTED_VALUE"""),"https://drive.google.com/drive/folders/10T2cTQHqEJZqE-st6uFKPoI?usp=share_link")</f>
        <v>https://drive.google.com/drive/folders/10T2cTQHqEJZqE-st6uFKPoI?usp=share_link</v>
      </c>
      <c r="P2368" s="6" t="str">
        <f>IFERROR(__xludf.DUMMYFUNCTION("""COMPUTED_VALUE"""),"Elijah Romeo")</f>
        <v>Elijah Romeo</v>
      </c>
      <c r="Q2368" s="6" t="str">
        <f>IFERROR(__xludf.DUMMYFUNCTION("""COMPUTED_VALUE"""),"MS")</f>
        <v>MS</v>
      </c>
      <c r="R2368" s="6">
        <f>IFERROR(__xludf.DUMMYFUNCTION("""COMPUTED_VALUE"""),0.0)</f>
        <v>0</v>
      </c>
      <c r="S2368" s="6" t="str">
        <f>IFERROR(__xludf.DUMMYFUNCTION("""COMPUTED_VALUE""")," ")</f>
        <v> </v>
      </c>
      <c r="T2368" s="6" t="str">
        <f>IFERROR(__xludf.DUMMYFUNCTION("""COMPUTED_VALUE"""),"")</f>
        <v/>
      </c>
      <c r="U2368" s="6" t="str">
        <f>IFERROR(__xludf.DUMMYFUNCTION("""COMPUTED_VALUE"""),"8")</f>
        <v>8</v>
      </c>
      <c r="V2368" s="6" t="str">
        <f>IFERROR(__xludf.DUMMYFUNCTION("""COMPUTED_VALUE"""),"")</f>
        <v/>
      </c>
      <c r="W2368" s="6" t="str">
        <f>IFERROR(__xludf.DUMMYFUNCTION("""COMPUTED_VALUE"""),"[]")</f>
        <v>[]</v>
      </c>
      <c r="X2368" s="6" t="str">
        <f>IFERROR(__xludf.DUMMYFUNCTION("""COMPUTED_VALUE"""),"Enrolled")</f>
        <v>Enrolled</v>
      </c>
    </row>
    <row r="2369">
      <c r="A2369" s="6" t="str">
        <f>IFERROR(__xludf.DUMMYFUNCTION("""COMPUTED_VALUE"""),"040-4153")</f>
        <v>040-4153</v>
      </c>
      <c r="B2369" s="6" t="str">
        <f>IFERROR(__xludf.DUMMYFUNCTION("""COMPUTED_VALUE"""),"40")</f>
        <v>40</v>
      </c>
      <c r="C2369" s="6" t="str">
        <f>IFERROR(__xludf.DUMMYFUNCTION("""COMPUTED_VALUE"""),"4153")</f>
        <v>4153</v>
      </c>
      <c r="D2369" s="6" t="str">
        <f>IFERROR(__xludf.DUMMYFUNCTION("""COMPUTED_VALUE"""),"Gauge")</f>
        <v>Gauge</v>
      </c>
      <c r="E2369" s="6" t="str">
        <f>IFERROR(__xludf.DUMMYFUNCTION("""COMPUTED_VALUE"""),"")</f>
        <v/>
      </c>
      <c r="F2369" s="6" t="str">
        <f>IFERROR(__xludf.DUMMYFUNCTION("""COMPUTED_VALUE"""),"Orozco")</f>
        <v>Orozco</v>
      </c>
      <c r="G2369" s="6" t="str">
        <f>IFERROR(__xludf.DUMMYFUNCTION("""COMPUTED_VALUE"""),"07/05/2013")</f>
        <v>07/05/2013</v>
      </c>
      <c r="H2369" s="6" t="str">
        <f>IFERROR(__xludf.DUMMYFUNCTION("""COMPUTED_VALUE"""),"Self Identify")</f>
        <v>Self Identify</v>
      </c>
      <c r="I2369" s="6" t="str">
        <f>IFERROR(__xludf.DUMMYFUNCTION("""COMPUTED_VALUE"""),"Middle School")</f>
        <v>Middle School</v>
      </c>
      <c r="J2369" s="6" t="str">
        <f>IFERROR(__xludf.DUMMYFUNCTION("""COMPUTED_VALUE"""),"7")</f>
        <v>7</v>
      </c>
      <c r="K2369" s="6" t="str">
        <f>IFERROR(__xludf.DUMMYFUNCTION("""COMPUTED_VALUE"""),"gauge.orozco@unbound.school")</f>
        <v>gauge.orozco@unbound.school</v>
      </c>
      <c r="L2369" s="6" t="str">
        <f>IFERROR(__xludf.DUMMYFUNCTION("""COMPUTED_VALUE"""),"Unbound Academy")</f>
        <v>Unbound Academy</v>
      </c>
      <c r="M2369" s="6" t="str">
        <f>IFERROR(__xludf.DUMMYFUNCTION("""COMPUTED_VALUE"""),"")</f>
        <v/>
      </c>
      <c r="N2369" s="6" t="str">
        <f>IFERROR(__xludf.DUMMYFUNCTION("""COMPUTED_VALUE"""),"")</f>
        <v/>
      </c>
      <c r="O2369" s="87" t="str">
        <f>IFERROR(__xludf.DUMMYFUNCTION("""COMPUTED_VALUE"""),"https://drive.google.com/drive/folders/10T2cTQHqEJZqE-st6uFKPoI?usp=share_link")</f>
        <v>https://drive.google.com/drive/folders/10T2cTQHqEJZqE-st6uFKPoI?usp=share_link</v>
      </c>
      <c r="P2369" s="6" t="str">
        <f>IFERROR(__xludf.DUMMYFUNCTION("""COMPUTED_VALUE"""),"Gauge Orozco")</f>
        <v>Gauge Orozco</v>
      </c>
      <c r="Q2369" s="6" t="str">
        <f>IFERROR(__xludf.DUMMYFUNCTION("""COMPUTED_VALUE"""),"MS")</f>
        <v>MS</v>
      </c>
      <c r="R2369" s="6">
        <f>IFERROR(__xludf.DUMMYFUNCTION("""COMPUTED_VALUE"""),0.0)</f>
        <v>0</v>
      </c>
      <c r="S2369" s="6" t="str">
        <f>IFERROR(__xludf.DUMMYFUNCTION("""COMPUTED_VALUE""")," ")</f>
        <v> </v>
      </c>
      <c r="T2369" s="6" t="str">
        <f>IFERROR(__xludf.DUMMYFUNCTION("""COMPUTED_VALUE"""),"")</f>
        <v/>
      </c>
      <c r="U2369" s="6" t="str">
        <f>IFERROR(__xludf.DUMMYFUNCTION("""COMPUTED_VALUE"""),"7")</f>
        <v>7</v>
      </c>
      <c r="V2369" s="6" t="str">
        <f>IFERROR(__xludf.DUMMYFUNCTION("""COMPUTED_VALUE"""),"")</f>
        <v/>
      </c>
      <c r="W2369" s="6" t="str">
        <f>IFERROR(__xludf.DUMMYFUNCTION("""COMPUTED_VALUE"""),"[]")</f>
        <v>[]</v>
      </c>
      <c r="X2369" s="6" t="str">
        <f>IFERROR(__xludf.DUMMYFUNCTION("""COMPUTED_VALUE"""),"Enrolled")</f>
        <v>Enrolled</v>
      </c>
    </row>
    <row r="2370">
      <c r="A2370" s="6" t="str">
        <f>IFERROR(__xludf.DUMMYFUNCTION("""COMPUTED_VALUE"""),"040-4156")</f>
        <v>040-4156</v>
      </c>
      <c r="B2370" s="6" t="str">
        <f>IFERROR(__xludf.DUMMYFUNCTION("""COMPUTED_VALUE"""),"40")</f>
        <v>40</v>
      </c>
      <c r="C2370" s="6" t="str">
        <f>IFERROR(__xludf.DUMMYFUNCTION("""COMPUTED_VALUE"""),"4156")</f>
        <v>4156</v>
      </c>
      <c r="D2370" s="6" t="str">
        <f>IFERROR(__xludf.DUMMYFUNCTION("""COMPUTED_VALUE"""),"Sarah")</f>
        <v>Sarah</v>
      </c>
      <c r="E2370" s="6" t="str">
        <f>IFERROR(__xludf.DUMMYFUNCTION("""COMPUTED_VALUE"""),"")</f>
        <v/>
      </c>
      <c r="F2370" s="6" t="str">
        <f>IFERROR(__xludf.DUMMYFUNCTION("""COMPUTED_VALUE"""),"Sema")</f>
        <v>Sema</v>
      </c>
      <c r="G2370" s="6" t="str">
        <f>IFERROR(__xludf.DUMMYFUNCTION("""COMPUTED_VALUE"""),"09/08/2012")</f>
        <v>09/08/2012</v>
      </c>
      <c r="H2370" s="6" t="str">
        <f>IFERROR(__xludf.DUMMYFUNCTION("""COMPUTED_VALUE"""),"Self Identify")</f>
        <v>Self Identify</v>
      </c>
      <c r="I2370" s="6" t="str">
        <f>IFERROR(__xludf.DUMMYFUNCTION("""COMPUTED_VALUE"""),"Middle School")</f>
        <v>Middle School</v>
      </c>
      <c r="J2370" s="6" t="str">
        <f>IFERROR(__xludf.DUMMYFUNCTION("""COMPUTED_VALUE"""),"7")</f>
        <v>7</v>
      </c>
      <c r="K2370" s="6" t="str">
        <f>IFERROR(__xludf.DUMMYFUNCTION("""COMPUTED_VALUE"""),"sarah.sema@unbound.school")</f>
        <v>sarah.sema@unbound.school</v>
      </c>
      <c r="L2370" s="6" t="str">
        <f>IFERROR(__xludf.DUMMYFUNCTION("""COMPUTED_VALUE"""),"Unbound Academy")</f>
        <v>Unbound Academy</v>
      </c>
      <c r="M2370" s="6" t="str">
        <f>IFERROR(__xludf.DUMMYFUNCTION("""COMPUTED_VALUE"""),"")</f>
        <v/>
      </c>
      <c r="N2370" s="6" t="str">
        <f>IFERROR(__xludf.DUMMYFUNCTION("""COMPUTED_VALUE"""),"")</f>
        <v/>
      </c>
      <c r="O2370" s="87" t="str">
        <f>IFERROR(__xludf.DUMMYFUNCTION("""COMPUTED_VALUE"""),"https://drive.google.com/drive/folders/10T2cTQHqEJZqE-st6uFKPoI?usp=share_link")</f>
        <v>https://drive.google.com/drive/folders/10T2cTQHqEJZqE-st6uFKPoI?usp=share_link</v>
      </c>
      <c r="P2370" s="6" t="str">
        <f>IFERROR(__xludf.DUMMYFUNCTION("""COMPUTED_VALUE"""),"Sarah Sema")</f>
        <v>Sarah Sema</v>
      </c>
      <c r="Q2370" s="6" t="str">
        <f>IFERROR(__xludf.DUMMYFUNCTION("""COMPUTED_VALUE"""),"MS")</f>
        <v>MS</v>
      </c>
      <c r="R2370" s="6">
        <f>IFERROR(__xludf.DUMMYFUNCTION("""COMPUTED_VALUE"""),0.0)</f>
        <v>0</v>
      </c>
      <c r="S2370" s="6" t="str">
        <f>IFERROR(__xludf.DUMMYFUNCTION("""COMPUTED_VALUE""")," ")</f>
        <v> </v>
      </c>
      <c r="T2370" s="6" t="str">
        <f>IFERROR(__xludf.DUMMYFUNCTION("""COMPUTED_VALUE"""),"")</f>
        <v/>
      </c>
      <c r="U2370" s="6" t="str">
        <f>IFERROR(__xludf.DUMMYFUNCTION("""COMPUTED_VALUE"""),"7")</f>
        <v>7</v>
      </c>
      <c r="V2370" s="6" t="str">
        <f>IFERROR(__xludf.DUMMYFUNCTION("""COMPUTED_VALUE"""),"")</f>
        <v/>
      </c>
      <c r="W2370" s="6" t="str">
        <f>IFERROR(__xludf.DUMMYFUNCTION("""COMPUTED_VALUE"""),"[]")</f>
        <v>[]</v>
      </c>
      <c r="X2370" s="6" t="str">
        <f>IFERROR(__xludf.DUMMYFUNCTION("""COMPUTED_VALUE"""),"Enrolled")</f>
        <v>Enrolled</v>
      </c>
    </row>
    <row r="2371">
      <c r="A2371" s="6" t="str">
        <f>IFERROR(__xludf.DUMMYFUNCTION("""COMPUTED_VALUE"""),"040-4158")</f>
        <v>040-4158</v>
      </c>
      <c r="B2371" s="6" t="str">
        <f>IFERROR(__xludf.DUMMYFUNCTION("""COMPUTED_VALUE"""),"40")</f>
        <v>40</v>
      </c>
      <c r="C2371" s="6" t="str">
        <f>IFERROR(__xludf.DUMMYFUNCTION("""COMPUTED_VALUE"""),"4158")</f>
        <v>4158</v>
      </c>
      <c r="D2371" s="6" t="str">
        <f>IFERROR(__xludf.DUMMYFUNCTION("""COMPUTED_VALUE"""),"Chevy")</f>
        <v>Chevy</v>
      </c>
      <c r="E2371" s="6" t="str">
        <f>IFERROR(__xludf.DUMMYFUNCTION("""COMPUTED_VALUE"""),"")</f>
        <v/>
      </c>
      <c r="F2371" s="6" t="str">
        <f>IFERROR(__xludf.DUMMYFUNCTION("""COMPUTED_VALUE"""),"Ashcraft")</f>
        <v>Ashcraft</v>
      </c>
      <c r="G2371" s="6" t="str">
        <f>IFERROR(__xludf.DUMMYFUNCTION("""COMPUTED_VALUE"""),"08/18/2016")</f>
        <v>08/18/2016</v>
      </c>
      <c r="H2371" s="6" t="str">
        <f>IFERROR(__xludf.DUMMYFUNCTION("""COMPUTED_VALUE"""),"Self Identify")</f>
        <v>Self Identify</v>
      </c>
      <c r="I2371" s="6" t="str">
        <f>IFERROR(__xludf.DUMMYFUNCTION("""COMPUTED_VALUE"""),"Level 2")</f>
        <v>Level 2</v>
      </c>
      <c r="J2371" s="6" t="str">
        <f>IFERROR(__xludf.DUMMYFUNCTION("""COMPUTED_VALUE"""),"4")</f>
        <v>4</v>
      </c>
      <c r="K2371" s="6" t="str">
        <f>IFERROR(__xludf.DUMMYFUNCTION("""COMPUTED_VALUE"""),"chevy.ashcraft@unbound.school")</f>
        <v>chevy.ashcraft@unbound.school</v>
      </c>
      <c r="L2371" s="6" t="str">
        <f>IFERROR(__xludf.DUMMYFUNCTION("""COMPUTED_VALUE"""),"Unbound Academy")</f>
        <v>Unbound Academy</v>
      </c>
      <c r="M2371" s="6" t="str">
        <f>IFERROR(__xludf.DUMMYFUNCTION("""COMPUTED_VALUE"""),"")</f>
        <v/>
      </c>
      <c r="N2371" s="6" t="str">
        <f>IFERROR(__xludf.DUMMYFUNCTION("""COMPUTED_VALUE"""),"")</f>
        <v/>
      </c>
      <c r="O2371" s="87" t="str">
        <f>IFERROR(__xludf.DUMMYFUNCTION("""COMPUTED_VALUE"""),"https://drive.google.com/drive/folders/10T2cTQHqEJZqE-st6uFKPoI?usp=share_link")</f>
        <v>https://drive.google.com/drive/folders/10T2cTQHqEJZqE-st6uFKPoI?usp=share_link</v>
      </c>
      <c r="P2371" s="6" t="str">
        <f>IFERROR(__xludf.DUMMYFUNCTION("""COMPUTED_VALUE"""),"Chevy Ashcraft")</f>
        <v>Chevy Ashcraft</v>
      </c>
      <c r="Q2371" s="6" t="str">
        <f>IFERROR(__xludf.DUMMYFUNCTION("""COMPUTED_VALUE"""),"L2")</f>
        <v>L2</v>
      </c>
      <c r="R2371" s="6">
        <f>IFERROR(__xludf.DUMMYFUNCTION("""COMPUTED_VALUE"""),2.0)</f>
        <v>2</v>
      </c>
      <c r="S2371" s="6" t="str">
        <f>IFERROR(__xludf.DUMMYFUNCTION("""COMPUTED_VALUE""")," ")</f>
        <v> </v>
      </c>
      <c r="T2371" s="6" t="str">
        <f>IFERROR(__xludf.DUMMYFUNCTION("""COMPUTED_VALUE"""),"")</f>
        <v/>
      </c>
      <c r="U2371" s="6" t="str">
        <f>IFERROR(__xludf.DUMMYFUNCTION("""COMPUTED_VALUE"""),"4")</f>
        <v>4</v>
      </c>
      <c r="V2371" s="6" t="str">
        <f>IFERROR(__xludf.DUMMYFUNCTION("""COMPUTED_VALUE"""),"")</f>
        <v/>
      </c>
      <c r="W2371" s="6" t="str">
        <f>IFERROR(__xludf.DUMMYFUNCTION("""COMPUTED_VALUE"""),"[]")</f>
        <v>[]</v>
      </c>
      <c r="X2371" s="6" t="str">
        <f>IFERROR(__xludf.DUMMYFUNCTION("""COMPUTED_VALUE"""),"Enrolled")</f>
        <v>Enrolled</v>
      </c>
    </row>
    <row r="2372">
      <c r="A2372" s="6" t="str">
        <f>IFERROR(__xludf.DUMMYFUNCTION("""COMPUTED_VALUE"""),"040-4159")</f>
        <v>040-4159</v>
      </c>
      <c r="B2372" s="6" t="str">
        <f>IFERROR(__xludf.DUMMYFUNCTION("""COMPUTED_VALUE"""),"40")</f>
        <v>40</v>
      </c>
      <c r="C2372" s="6" t="str">
        <f>IFERROR(__xludf.DUMMYFUNCTION("""COMPUTED_VALUE"""),"4159")</f>
        <v>4159</v>
      </c>
      <c r="D2372" s="6" t="str">
        <f>IFERROR(__xludf.DUMMYFUNCTION("""COMPUTED_VALUE"""),"Christian")</f>
        <v>Christian</v>
      </c>
      <c r="E2372" s="6" t="str">
        <f>IFERROR(__xludf.DUMMYFUNCTION("""COMPUTED_VALUE"""),"")</f>
        <v/>
      </c>
      <c r="F2372" s="6" t="str">
        <f>IFERROR(__xludf.DUMMYFUNCTION("""COMPUTED_VALUE"""),"Forte")</f>
        <v>Forte</v>
      </c>
      <c r="G2372" s="6" t="str">
        <f>IFERROR(__xludf.DUMMYFUNCTION("""COMPUTED_VALUE"""),"09/03/2014")</f>
        <v>09/03/2014</v>
      </c>
      <c r="H2372" s="6" t="str">
        <f>IFERROR(__xludf.DUMMYFUNCTION("""COMPUTED_VALUE"""),"Self Identify")</f>
        <v>Self Identify</v>
      </c>
      <c r="I2372" s="6" t="str">
        <f>IFERROR(__xludf.DUMMYFUNCTION("""COMPUTED_VALUE"""),"Level 2")</f>
        <v>Level 2</v>
      </c>
      <c r="J2372" s="6" t="str">
        <f>IFERROR(__xludf.DUMMYFUNCTION("""COMPUTED_VALUE"""),"5")</f>
        <v>5</v>
      </c>
      <c r="K2372" s="6" t="str">
        <f>IFERROR(__xludf.DUMMYFUNCTION("""COMPUTED_VALUE"""),"christian.forte@unbound.school")</f>
        <v>christian.forte@unbound.school</v>
      </c>
      <c r="L2372" s="6" t="str">
        <f>IFERROR(__xludf.DUMMYFUNCTION("""COMPUTED_VALUE"""),"Unbound Academy")</f>
        <v>Unbound Academy</v>
      </c>
      <c r="M2372" s="6" t="str">
        <f>IFERROR(__xludf.DUMMYFUNCTION("""COMPUTED_VALUE"""),"")</f>
        <v/>
      </c>
      <c r="N2372" s="6" t="str">
        <f>IFERROR(__xludf.DUMMYFUNCTION("""COMPUTED_VALUE"""),"")</f>
        <v/>
      </c>
      <c r="O2372" s="87" t="str">
        <f>IFERROR(__xludf.DUMMYFUNCTION("""COMPUTED_VALUE"""),"https://drive.google.com/drive/folders/10T2cTQHqEJZqE-st6uFKPoI?usp=share_link")</f>
        <v>https://drive.google.com/drive/folders/10T2cTQHqEJZqE-st6uFKPoI?usp=share_link</v>
      </c>
      <c r="P2372" s="6" t="str">
        <f>IFERROR(__xludf.DUMMYFUNCTION("""COMPUTED_VALUE"""),"Christian Forte")</f>
        <v>Christian Forte</v>
      </c>
      <c r="Q2372" s="6" t="str">
        <f>IFERROR(__xludf.DUMMYFUNCTION("""COMPUTED_VALUE"""),"L2")</f>
        <v>L2</v>
      </c>
      <c r="R2372" s="6">
        <f>IFERROR(__xludf.DUMMYFUNCTION("""COMPUTED_VALUE"""),2.0)</f>
        <v>2</v>
      </c>
      <c r="S2372" s="6" t="str">
        <f>IFERROR(__xludf.DUMMYFUNCTION("""COMPUTED_VALUE""")," ")</f>
        <v> </v>
      </c>
      <c r="T2372" s="6" t="str">
        <f>IFERROR(__xludf.DUMMYFUNCTION("""COMPUTED_VALUE"""),"")</f>
        <v/>
      </c>
      <c r="U2372" s="6" t="str">
        <f>IFERROR(__xludf.DUMMYFUNCTION("""COMPUTED_VALUE"""),"5")</f>
        <v>5</v>
      </c>
      <c r="V2372" s="6" t="str">
        <f>IFERROR(__xludf.DUMMYFUNCTION("""COMPUTED_VALUE"""),"")</f>
        <v/>
      </c>
      <c r="W2372" s="6" t="str">
        <f>IFERROR(__xludf.DUMMYFUNCTION("""COMPUTED_VALUE"""),"[]")</f>
        <v>[]</v>
      </c>
      <c r="X2372" s="6" t="str">
        <f>IFERROR(__xludf.DUMMYFUNCTION("""COMPUTED_VALUE"""),"Enrolled")</f>
        <v>Enrolled</v>
      </c>
    </row>
    <row r="2373">
      <c r="A2373" s="6" t="str">
        <f>IFERROR(__xludf.DUMMYFUNCTION("""COMPUTED_VALUE"""),"040-4160")</f>
        <v>040-4160</v>
      </c>
      <c r="B2373" s="6" t="str">
        <f>IFERROR(__xludf.DUMMYFUNCTION("""COMPUTED_VALUE"""),"40")</f>
        <v>40</v>
      </c>
      <c r="C2373" s="6" t="str">
        <f>IFERROR(__xludf.DUMMYFUNCTION("""COMPUTED_VALUE"""),"4160")</f>
        <v>4160</v>
      </c>
      <c r="D2373" s="6" t="str">
        <f>IFERROR(__xludf.DUMMYFUNCTION("""COMPUTED_VALUE"""),"Carter")</f>
        <v>Carter</v>
      </c>
      <c r="E2373" s="6" t="str">
        <f>IFERROR(__xludf.DUMMYFUNCTION("""COMPUTED_VALUE"""),"")</f>
        <v/>
      </c>
      <c r="F2373" s="6" t="str">
        <f>IFERROR(__xludf.DUMMYFUNCTION("""COMPUTED_VALUE"""),"Mahoney")</f>
        <v>Mahoney</v>
      </c>
      <c r="G2373" s="6" t="str">
        <f>IFERROR(__xludf.DUMMYFUNCTION("""COMPUTED_VALUE"""),"10/04/2011")</f>
        <v>10/04/2011</v>
      </c>
      <c r="H2373" s="6" t="str">
        <f>IFERROR(__xludf.DUMMYFUNCTION("""COMPUTED_VALUE"""),"Self Identify")</f>
        <v>Self Identify</v>
      </c>
      <c r="I2373" s="6" t="str">
        <f>IFERROR(__xludf.DUMMYFUNCTION("""COMPUTED_VALUE"""),"Middle School")</f>
        <v>Middle School</v>
      </c>
      <c r="J2373" s="6" t="str">
        <f>IFERROR(__xludf.DUMMYFUNCTION("""COMPUTED_VALUE"""),"8")</f>
        <v>8</v>
      </c>
      <c r="K2373" s="6" t="str">
        <f>IFERROR(__xludf.DUMMYFUNCTION("""COMPUTED_VALUE"""),"carter.mahoney@unbound.school")</f>
        <v>carter.mahoney@unbound.school</v>
      </c>
      <c r="L2373" s="6" t="str">
        <f>IFERROR(__xludf.DUMMYFUNCTION("""COMPUTED_VALUE"""),"Unbound Academy")</f>
        <v>Unbound Academy</v>
      </c>
      <c r="M2373" s="6" t="str">
        <f>IFERROR(__xludf.DUMMYFUNCTION("""COMPUTED_VALUE"""),"")</f>
        <v/>
      </c>
      <c r="N2373" s="6" t="str">
        <f>IFERROR(__xludf.DUMMYFUNCTION("""COMPUTED_VALUE"""),"")</f>
        <v/>
      </c>
      <c r="O2373" s="87" t="str">
        <f>IFERROR(__xludf.DUMMYFUNCTION("""COMPUTED_VALUE"""),"https://drive.google.com/drive/folders/10T2cTQHqEJZqE-st6uFKPoI?usp=share_link")</f>
        <v>https://drive.google.com/drive/folders/10T2cTQHqEJZqE-st6uFKPoI?usp=share_link</v>
      </c>
      <c r="P2373" s="6" t="str">
        <f>IFERROR(__xludf.DUMMYFUNCTION("""COMPUTED_VALUE"""),"Carter Mahoney")</f>
        <v>Carter Mahoney</v>
      </c>
      <c r="Q2373" s="6" t="str">
        <f>IFERROR(__xludf.DUMMYFUNCTION("""COMPUTED_VALUE"""),"MS")</f>
        <v>MS</v>
      </c>
      <c r="R2373" s="6">
        <f>IFERROR(__xludf.DUMMYFUNCTION("""COMPUTED_VALUE"""),0.0)</f>
        <v>0</v>
      </c>
      <c r="S2373" s="6" t="str">
        <f>IFERROR(__xludf.DUMMYFUNCTION("""COMPUTED_VALUE""")," ")</f>
        <v> </v>
      </c>
      <c r="T2373" s="6" t="str">
        <f>IFERROR(__xludf.DUMMYFUNCTION("""COMPUTED_VALUE"""),"")</f>
        <v/>
      </c>
      <c r="U2373" s="6" t="str">
        <f>IFERROR(__xludf.DUMMYFUNCTION("""COMPUTED_VALUE"""),"8")</f>
        <v>8</v>
      </c>
      <c r="V2373" s="6" t="str">
        <f>IFERROR(__xludf.DUMMYFUNCTION("""COMPUTED_VALUE"""),"")</f>
        <v/>
      </c>
      <c r="W2373" s="6" t="str">
        <f>IFERROR(__xludf.DUMMYFUNCTION("""COMPUTED_VALUE"""),"[]")</f>
        <v>[]</v>
      </c>
      <c r="X2373" s="6" t="str">
        <f>IFERROR(__xludf.DUMMYFUNCTION("""COMPUTED_VALUE"""),"Enrolled")</f>
        <v>Enrolled</v>
      </c>
    </row>
    <row r="2374">
      <c r="A2374" s="6" t="str">
        <f>IFERROR(__xludf.DUMMYFUNCTION("""COMPUTED_VALUE"""),"040-4161")</f>
        <v>040-4161</v>
      </c>
      <c r="B2374" s="6" t="str">
        <f>IFERROR(__xludf.DUMMYFUNCTION("""COMPUTED_VALUE"""),"40")</f>
        <v>40</v>
      </c>
      <c r="C2374" s="6" t="str">
        <f>IFERROR(__xludf.DUMMYFUNCTION("""COMPUTED_VALUE"""),"4161")</f>
        <v>4161</v>
      </c>
      <c r="D2374" s="6" t="str">
        <f>IFERROR(__xludf.DUMMYFUNCTION("""COMPUTED_VALUE"""),"Kade")</f>
        <v>Kade</v>
      </c>
      <c r="E2374" s="6" t="str">
        <f>IFERROR(__xludf.DUMMYFUNCTION("""COMPUTED_VALUE"""),"")</f>
        <v/>
      </c>
      <c r="F2374" s="6" t="str">
        <f>IFERROR(__xludf.DUMMYFUNCTION("""COMPUTED_VALUE"""),"Brown")</f>
        <v>Brown</v>
      </c>
      <c r="G2374" s="6" t="str">
        <f>IFERROR(__xludf.DUMMYFUNCTION("""COMPUTED_VALUE"""),"02/20/2012")</f>
        <v>02/20/2012</v>
      </c>
      <c r="H2374" s="6" t="str">
        <f>IFERROR(__xludf.DUMMYFUNCTION("""COMPUTED_VALUE"""),"Self Identify")</f>
        <v>Self Identify</v>
      </c>
      <c r="I2374" s="6" t="str">
        <f>IFERROR(__xludf.DUMMYFUNCTION("""COMPUTED_VALUE"""),"Middle School")</f>
        <v>Middle School</v>
      </c>
      <c r="J2374" s="6" t="str">
        <f>IFERROR(__xludf.DUMMYFUNCTION("""COMPUTED_VALUE"""),"8")</f>
        <v>8</v>
      </c>
      <c r="K2374" s="6" t="str">
        <f>IFERROR(__xludf.DUMMYFUNCTION("""COMPUTED_VALUE"""),"kade.brown@unbound.school")</f>
        <v>kade.brown@unbound.school</v>
      </c>
      <c r="L2374" s="6" t="str">
        <f>IFERROR(__xludf.DUMMYFUNCTION("""COMPUTED_VALUE"""),"Unbound Academy")</f>
        <v>Unbound Academy</v>
      </c>
      <c r="M2374" s="6" t="str">
        <f>IFERROR(__xludf.DUMMYFUNCTION("""COMPUTED_VALUE"""),"")</f>
        <v/>
      </c>
      <c r="N2374" s="6" t="str">
        <f>IFERROR(__xludf.DUMMYFUNCTION("""COMPUTED_VALUE"""),"")</f>
        <v/>
      </c>
      <c r="O2374" s="87" t="str">
        <f>IFERROR(__xludf.DUMMYFUNCTION("""COMPUTED_VALUE"""),"https://drive.google.com/drive/folders/10T2cTQHqEJZqE-st6uFKPoI?usp=share_link")</f>
        <v>https://drive.google.com/drive/folders/10T2cTQHqEJZqE-st6uFKPoI?usp=share_link</v>
      </c>
      <c r="P2374" s="6" t="str">
        <f>IFERROR(__xludf.DUMMYFUNCTION("""COMPUTED_VALUE"""),"Kade Brown")</f>
        <v>Kade Brown</v>
      </c>
      <c r="Q2374" s="6" t="str">
        <f>IFERROR(__xludf.DUMMYFUNCTION("""COMPUTED_VALUE"""),"MS")</f>
        <v>MS</v>
      </c>
      <c r="R2374" s="6">
        <f>IFERROR(__xludf.DUMMYFUNCTION("""COMPUTED_VALUE"""),0.0)</f>
        <v>0</v>
      </c>
      <c r="S2374" s="6" t="str">
        <f>IFERROR(__xludf.DUMMYFUNCTION("""COMPUTED_VALUE""")," ")</f>
        <v> </v>
      </c>
      <c r="T2374" s="6" t="str">
        <f>IFERROR(__xludf.DUMMYFUNCTION("""COMPUTED_VALUE"""),"")</f>
        <v/>
      </c>
      <c r="U2374" s="6" t="str">
        <f>IFERROR(__xludf.DUMMYFUNCTION("""COMPUTED_VALUE"""),"8")</f>
        <v>8</v>
      </c>
      <c r="V2374" s="6" t="str">
        <f>IFERROR(__xludf.DUMMYFUNCTION("""COMPUTED_VALUE"""),"")</f>
        <v/>
      </c>
      <c r="W2374" s="6" t="str">
        <f>IFERROR(__xludf.DUMMYFUNCTION("""COMPUTED_VALUE"""),"[]")</f>
        <v>[]</v>
      </c>
      <c r="X2374" s="6" t="str">
        <f>IFERROR(__xludf.DUMMYFUNCTION("""COMPUTED_VALUE"""),"Enrolled")</f>
        <v>Enrolled</v>
      </c>
    </row>
    <row r="2375">
      <c r="A2375" s="6" t="str">
        <f>IFERROR(__xludf.DUMMYFUNCTION("""COMPUTED_VALUE"""),"040-4164")</f>
        <v>040-4164</v>
      </c>
      <c r="B2375" s="6" t="str">
        <f>IFERROR(__xludf.DUMMYFUNCTION("""COMPUTED_VALUE"""),"40")</f>
        <v>40</v>
      </c>
      <c r="C2375" s="6" t="str">
        <f>IFERROR(__xludf.DUMMYFUNCTION("""COMPUTED_VALUE"""),"4164")</f>
        <v>4164</v>
      </c>
      <c r="D2375" s="6" t="str">
        <f>IFERROR(__xludf.DUMMYFUNCTION("""COMPUTED_VALUE"""),"Nicholas")</f>
        <v>Nicholas</v>
      </c>
      <c r="E2375" s="6" t="str">
        <f>IFERROR(__xludf.DUMMYFUNCTION("""COMPUTED_VALUE"""),"")</f>
        <v/>
      </c>
      <c r="F2375" s="6" t="str">
        <f>IFERROR(__xludf.DUMMYFUNCTION("""COMPUTED_VALUE"""),"Grange")</f>
        <v>Grange</v>
      </c>
      <c r="G2375" s="6" t="str">
        <f>IFERROR(__xludf.DUMMYFUNCTION("""COMPUTED_VALUE"""),"05/01/2013")</f>
        <v>05/01/2013</v>
      </c>
      <c r="H2375" s="6" t="str">
        <f>IFERROR(__xludf.DUMMYFUNCTION("""COMPUTED_VALUE"""),"Self Identify")</f>
        <v>Self Identify</v>
      </c>
      <c r="I2375" s="6" t="str">
        <f>IFERROR(__xludf.DUMMYFUNCTION("""COMPUTED_VALUE"""),"Middle School")</f>
        <v>Middle School</v>
      </c>
      <c r="J2375" s="6" t="str">
        <f>IFERROR(__xludf.DUMMYFUNCTION("""COMPUTED_VALUE"""),"7")</f>
        <v>7</v>
      </c>
      <c r="K2375" s="6" t="str">
        <f>IFERROR(__xludf.DUMMYFUNCTION("""COMPUTED_VALUE"""),"nicholas.grange@unbound.school")</f>
        <v>nicholas.grange@unbound.school</v>
      </c>
      <c r="L2375" s="6" t="str">
        <f>IFERROR(__xludf.DUMMYFUNCTION("""COMPUTED_VALUE"""),"Unbound Academy")</f>
        <v>Unbound Academy</v>
      </c>
      <c r="M2375" s="6" t="str">
        <f>IFERROR(__xludf.DUMMYFUNCTION("""COMPUTED_VALUE"""),"")</f>
        <v/>
      </c>
      <c r="N2375" s="6" t="str">
        <f>IFERROR(__xludf.DUMMYFUNCTION("""COMPUTED_VALUE"""),"")</f>
        <v/>
      </c>
      <c r="O2375" s="87" t="str">
        <f>IFERROR(__xludf.DUMMYFUNCTION("""COMPUTED_VALUE"""),"https://drive.google.com/drive/folders/10T2cTQHqEJZqE-st6uFKPoI?usp=share_link")</f>
        <v>https://drive.google.com/drive/folders/10T2cTQHqEJZqE-st6uFKPoI?usp=share_link</v>
      </c>
      <c r="P2375" s="6" t="str">
        <f>IFERROR(__xludf.DUMMYFUNCTION("""COMPUTED_VALUE"""),"Nicholas Grange")</f>
        <v>Nicholas Grange</v>
      </c>
      <c r="Q2375" s="6" t="str">
        <f>IFERROR(__xludf.DUMMYFUNCTION("""COMPUTED_VALUE"""),"MS")</f>
        <v>MS</v>
      </c>
      <c r="R2375" s="6">
        <f>IFERROR(__xludf.DUMMYFUNCTION("""COMPUTED_VALUE"""),0.0)</f>
        <v>0</v>
      </c>
      <c r="S2375" s="6" t="str">
        <f>IFERROR(__xludf.DUMMYFUNCTION("""COMPUTED_VALUE""")," ")</f>
        <v> </v>
      </c>
      <c r="T2375" s="6" t="str">
        <f>IFERROR(__xludf.DUMMYFUNCTION("""COMPUTED_VALUE"""),"")</f>
        <v/>
      </c>
      <c r="U2375" s="6" t="str">
        <f>IFERROR(__xludf.DUMMYFUNCTION("""COMPUTED_VALUE"""),"7")</f>
        <v>7</v>
      </c>
      <c r="V2375" s="6" t="str">
        <f>IFERROR(__xludf.DUMMYFUNCTION("""COMPUTED_VALUE"""),"")</f>
        <v/>
      </c>
      <c r="W2375" s="6" t="str">
        <f>IFERROR(__xludf.DUMMYFUNCTION("""COMPUTED_VALUE"""),"[]")</f>
        <v>[]</v>
      </c>
      <c r="X2375" s="6" t="str">
        <f>IFERROR(__xludf.DUMMYFUNCTION("""COMPUTED_VALUE"""),"Enrolled")</f>
        <v>Enrolled</v>
      </c>
    </row>
    <row r="2376">
      <c r="A2376" s="6" t="str">
        <f>IFERROR(__xludf.DUMMYFUNCTION("""COMPUTED_VALUE"""),"040-4165")</f>
        <v>040-4165</v>
      </c>
      <c r="B2376" s="6" t="str">
        <f>IFERROR(__xludf.DUMMYFUNCTION("""COMPUTED_VALUE"""),"40")</f>
        <v>40</v>
      </c>
      <c r="C2376" s="6" t="str">
        <f>IFERROR(__xludf.DUMMYFUNCTION("""COMPUTED_VALUE"""),"4165")</f>
        <v>4165</v>
      </c>
      <c r="D2376" s="6" t="str">
        <f>IFERROR(__xludf.DUMMYFUNCTION("""COMPUTED_VALUE"""),"Bianca")</f>
        <v>Bianca</v>
      </c>
      <c r="E2376" s="6" t="str">
        <f>IFERROR(__xludf.DUMMYFUNCTION("""COMPUTED_VALUE"""),"")</f>
        <v/>
      </c>
      <c r="F2376" s="6" t="str">
        <f>IFERROR(__xludf.DUMMYFUNCTION("""COMPUTED_VALUE"""),"Sandoval-Saba")</f>
        <v>Sandoval-Saba</v>
      </c>
      <c r="G2376" s="6" t="str">
        <f>IFERROR(__xludf.DUMMYFUNCTION("""COMPUTED_VALUE"""),"07/05/2013")</f>
        <v>07/05/2013</v>
      </c>
      <c r="H2376" s="6" t="str">
        <f>IFERROR(__xludf.DUMMYFUNCTION("""COMPUTED_VALUE"""),"Self Identify")</f>
        <v>Self Identify</v>
      </c>
      <c r="I2376" s="6" t="str">
        <f>IFERROR(__xludf.DUMMYFUNCTION("""COMPUTED_VALUE"""),"Middle School")</f>
        <v>Middle School</v>
      </c>
      <c r="J2376" s="6" t="str">
        <f>IFERROR(__xludf.DUMMYFUNCTION("""COMPUTED_VALUE"""),"7")</f>
        <v>7</v>
      </c>
      <c r="K2376" s="6" t="str">
        <f>IFERROR(__xludf.DUMMYFUNCTION("""COMPUTED_VALUE"""),"bianca.sandoval-saba@unbound.school")</f>
        <v>bianca.sandoval-saba@unbound.school</v>
      </c>
      <c r="L2376" s="6" t="str">
        <f>IFERROR(__xludf.DUMMYFUNCTION("""COMPUTED_VALUE"""),"Unbound Academy")</f>
        <v>Unbound Academy</v>
      </c>
      <c r="M2376" s="6" t="str">
        <f>IFERROR(__xludf.DUMMYFUNCTION("""COMPUTED_VALUE"""),"")</f>
        <v/>
      </c>
      <c r="N2376" s="6" t="str">
        <f>IFERROR(__xludf.DUMMYFUNCTION("""COMPUTED_VALUE"""),"")</f>
        <v/>
      </c>
      <c r="O2376" s="87" t="str">
        <f>IFERROR(__xludf.DUMMYFUNCTION("""COMPUTED_VALUE"""),"https://drive.google.com/drive/folders/10T2cTQHqEJZqE-st6uFKPoI?usp=share_link")</f>
        <v>https://drive.google.com/drive/folders/10T2cTQHqEJZqE-st6uFKPoI?usp=share_link</v>
      </c>
      <c r="P2376" s="6" t="str">
        <f>IFERROR(__xludf.DUMMYFUNCTION("""COMPUTED_VALUE"""),"Bianca Sandoval-Saba")</f>
        <v>Bianca Sandoval-Saba</v>
      </c>
      <c r="Q2376" s="6" t="str">
        <f>IFERROR(__xludf.DUMMYFUNCTION("""COMPUTED_VALUE"""),"MS")</f>
        <v>MS</v>
      </c>
      <c r="R2376" s="6">
        <f>IFERROR(__xludf.DUMMYFUNCTION("""COMPUTED_VALUE"""),0.0)</f>
        <v>0</v>
      </c>
      <c r="S2376" s="6" t="str">
        <f>IFERROR(__xludf.DUMMYFUNCTION("""COMPUTED_VALUE""")," ")</f>
        <v> </v>
      </c>
      <c r="T2376" s="6" t="str">
        <f>IFERROR(__xludf.DUMMYFUNCTION("""COMPUTED_VALUE"""),"")</f>
        <v/>
      </c>
      <c r="U2376" s="6" t="str">
        <f>IFERROR(__xludf.DUMMYFUNCTION("""COMPUTED_VALUE"""),"7")</f>
        <v>7</v>
      </c>
      <c r="V2376" s="6" t="str">
        <f>IFERROR(__xludf.DUMMYFUNCTION("""COMPUTED_VALUE"""),"")</f>
        <v/>
      </c>
      <c r="W2376" s="6" t="str">
        <f>IFERROR(__xludf.DUMMYFUNCTION("""COMPUTED_VALUE"""),"[]")</f>
        <v>[]</v>
      </c>
      <c r="X2376" s="6" t="str">
        <f>IFERROR(__xludf.DUMMYFUNCTION("""COMPUTED_VALUE"""),"Enrolled")</f>
        <v>Enrolled</v>
      </c>
    </row>
    <row r="2377">
      <c r="A2377" s="6" t="str">
        <f>IFERROR(__xludf.DUMMYFUNCTION("""COMPUTED_VALUE"""),"040-4166")</f>
        <v>040-4166</v>
      </c>
      <c r="B2377" s="6" t="str">
        <f>IFERROR(__xludf.DUMMYFUNCTION("""COMPUTED_VALUE"""),"40")</f>
        <v>40</v>
      </c>
      <c r="C2377" s="6" t="str">
        <f>IFERROR(__xludf.DUMMYFUNCTION("""COMPUTED_VALUE"""),"4166")</f>
        <v>4166</v>
      </c>
      <c r="D2377" s="6" t="str">
        <f>IFERROR(__xludf.DUMMYFUNCTION("""COMPUTED_VALUE"""),"Cristian")</f>
        <v>Cristian</v>
      </c>
      <c r="E2377" s="6" t="str">
        <f>IFERROR(__xludf.DUMMYFUNCTION("""COMPUTED_VALUE"""),"")</f>
        <v/>
      </c>
      <c r="F2377" s="6" t="str">
        <f>IFERROR(__xludf.DUMMYFUNCTION("""COMPUTED_VALUE"""),"Corniciuc")</f>
        <v>Corniciuc</v>
      </c>
      <c r="G2377" s="6" t="str">
        <f>IFERROR(__xludf.DUMMYFUNCTION("""COMPUTED_VALUE"""),"06/22/2014")</f>
        <v>06/22/2014</v>
      </c>
      <c r="H2377" s="6" t="str">
        <f>IFERROR(__xludf.DUMMYFUNCTION("""COMPUTED_VALUE"""),"Self Identify")</f>
        <v>Self Identify</v>
      </c>
      <c r="I2377" s="6" t="str">
        <f>IFERROR(__xludf.DUMMYFUNCTION("""COMPUTED_VALUE"""),"Middle School")</f>
        <v>Middle School</v>
      </c>
      <c r="J2377" s="6" t="str">
        <f>IFERROR(__xludf.DUMMYFUNCTION("""COMPUTED_VALUE"""),"6")</f>
        <v>6</v>
      </c>
      <c r="K2377" s="6" t="str">
        <f>IFERROR(__xludf.DUMMYFUNCTION("""COMPUTED_VALUE"""),"cristian.corniciuc@unbound.school")</f>
        <v>cristian.corniciuc@unbound.school</v>
      </c>
      <c r="L2377" s="6" t="str">
        <f>IFERROR(__xludf.DUMMYFUNCTION("""COMPUTED_VALUE"""),"Unbound Academy")</f>
        <v>Unbound Academy</v>
      </c>
      <c r="M2377" s="6" t="str">
        <f>IFERROR(__xludf.DUMMYFUNCTION("""COMPUTED_VALUE"""),"")</f>
        <v/>
      </c>
      <c r="N2377" s="6" t="str">
        <f>IFERROR(__xludf.DUMMYFUNCTION("""COMPUTED_VALUE"""),"")</f>
        <v/>
      </c>
      <c r="O2377" s="87" t="str">
        <f>IFERROR(__xludf.DUMMYFUNCTION("""COMPUTED_VALUE"""),"https://drive.google.com/drive/folders/10T2cTQHqEJZqE-st6uFKPoI?usp=share_link")</f>
        <v>https://drive.google.com/drive/folders/10T2cTQHqEJZqE-st6uFKPoI?usp=share_link</v>
      </c>
      <c r="P2377" s="6" t="str">
        <f>IFERROR(__xludf.DUMMYFUNCTION("""COMPUTED_VALUE"""),"Cristian Corniciuc")</f>
        <v>Cristian Corniciuc</v>
      </c>
      <c r="Q2377" s="6" t="str">
        <f>IFERROR(__xludf.DUMMYFUNCTION("""COMPUTED_VALUE"""),"MS")</f>
        <v>MS</v>
      </c>
      <c r="R2377" s="6">
        <f>IFERROR(__xludf.DUMMYFUNCTION("""COMPUTED_VALUE"""),0.0)</f>
        <v>0</v>
      </c>
      <c r="S2377" s="6" t="str">
        <f>IFERROR(__xludf.DUMMYFUNCTION("""COMPUTED_VALUE""")," ")</f>
        <v> </v>
      </c>
      <c r="T2377" s="6" t="str">
        <f>IFERROR(__xludf.DUMMYFUNCTION("""COMPUTED_VALUE"""),"")</f>
        <v/>
      </c>
      <c r="U2377" s="6" t="str">
        <f>IFERROR(__xludf.DUMMYFUNCTION("""COMPUTED_VALUE"""),"6")</f>
        <v>6</v>
      </c>
      <c r="V2377" s="6" t="str">
        <f>IFERROR(__xludf.DUMMYFUNCTION("""COMPUTED_VALUE"""),"")</f>
        <v/>
      </c>
      <c r="W2377" s="6" t="str">
        <f>IFERROR(__xludf.DUMMYFUNCTION("""COMPUTED_VALUE"""),"[]")</f>
        <v>[]</v>
      </c>
      <c r="X2377" s="6" t="str">
        <f>IFERROR(__xludf.DUMMYFUNCTION("""COMPUTED_VALUE"""),"Enrolled")</f>
        <v>Enrolled</v>
      </c>
    </row>
    <row r="2378">
      <c r="A2378" s="6" t="str">
        <f>IFERROR(__xludf.DUMMYFUNCTION("""COMPUTED_VALUE"""),"040-4167")</f>
        <v>040-4167</v>
      </c>
      <c r="B2378" s="6" t="str">
        <f>IFERROR(__xludf.DUMMYFUNCTION("""COMPUTED_VALUE"""),"40")</f>
        <v>40</v>
      </c>
      <c r="C2378" s="6" t="str">
        <f>IFERROR(__xludf.DUMMYFUNCTION("""COMPUTED_VALUE"""),"4167")</f>
        <v>4167</v>
      </c>
      <c r="D2378" s="6" t="str">
        <f>IFERROR(__xludf.DUMMYFUNCTION("""COMPUTED_VALUE"""),"Isabella")</f>
        <v>Isabella</v>
      </c>
      <c r="E2378" s="6" t="str">
        <f>IFERROR(__xludf.DUMMYFUNCTION("""COMPUTED_VALUE"""),"")</f>
        <v/>
      </c>
      <c r="F2378" s="6" t="str">
        <f>IFERROR(__xludf.DUMMYFUNCTION("""COMPUTED_VALUE"""),"Radford")</f>
        <v>Radford</v>
      </c>
      <c r="G2378" s="6" t="str">
        <f>IFERROR(__xludf.DUMMYFUNCTION("""COMPUTED_VALUE"""),"10/11/2012")</f>
        <v>10/11/2012</v>
      </c>
      <c r="H2378" s="6" t="str">
        <f>IFERROR(__xludf.DUMMYFUNCTION("""COMPUTED_VALUE"""),"Self Identify")</f>
        <v>Self Identify</v>
      </c>
      <c r="I2378" s="6" t="str">
        <f>IFERROR(__xludf.DUMMYFUNCTION("""COMPUTED_VALUE"""),"Middle School")</f>
        <v>Middle School</v>
      </c>
      <c r="J2378" s="6" t="str">
        <f>IFERROR(__xludf.DUMMYFUNCTION("""COMPUTED_VALUE"""),"7")</f>
        <v>7</v>
      </c>
      <c r="K2378" s="6" t="str">
        <f>IFERROR(__xludf.DUMMYFUNCTION("""COMPUTED_VALUE"""),"isabella.radford@unbound.school")</f>
        <v>isabella.radford@unbound.school</v>
      </c>
      <c r="L2378" s="6" t="str">
        <f>IFERROR(__xludf.DUMMYFUNCTION("""COMPUTED_VALUE"""),"Unbound Academy")</f>
        <v>Unbound Academy</v>
      </c>
      <c r="M2378" s="6" t="str">
        <f>IFERROR(__xludf.DUMMYFUNCTION("""COMPUTED_VALUE"""),"")</f>
        <v/>
      </c>
      <c r="N2378" s="6" t="str">
        <f>IFERROR(__xludf.DUMMYFUNCTION("""COMPUTED_VALUE"""),"")</f>
        <v/>
      </c>
      <c r="O2378" s="87" t="str">
        <f>IFERROR(__xludf.DUMMYFUNCTION("""COMPUTED_VALUE"""),"https://drive.google.com/drive/folders/10T2cTQHqEJZqE-st6uFKPoI?usp=share_link")</f>
        <v>https://drive.google.com/drive/folders/10T2cTQHqEJZqE-st6uFKPoI?usp=share_link</v>
      </c>
      <c r="P2378" s="6" t="str">
        <f>IFERROR(__xludf.DUMMYFUNCTION("""COMPUTED_VALUE"""),"Isabella Radford")</f>
        <v>Isabella Radford</v>
      </c>
      <c r="Q2378" s="6" t="str">
        <f>IFERROR(__xludf.DUMMYFUNCTION("""COMPUTED_VALUE"""),"MS")</f>
        <v>MS</v>
      </c>
      <c r="R2378" s="6">
        <f>IFERROR(__xludf.DUMMYFUNCTION("""COMPUTED_VALUE"""),0.0)</f>
        <v>0</v>
      </c>
      <c r="S2378" s="6" t="str">
        <f>IFERROR(__xludf.DUMMYFUNCTION("""COMPUTED_VALUE""")," ")</f>
        <v> </v>
      </c>
      <c r="T2378" s="6" t="str">
        <f>IFERROR(__xludf.DUMMYFUNCTION("""COMPUTED_VALUE"""),"")</f>
        <v/>
      </c>
      <c r="U2378" s="6" t="str">
        <f>IFERROR(__xludf.DUMMYFUNCTION("""COMPUTED_VALUE"""),"7")</f>
        <v>7</v>
      </c>
      <c r="V2378" s="6" t="str">
        <f>IFERROR(__xludf.DUMMYFUNCTION("""COMPUTED_VALUE"""),"")</f>
        <v/>
      </c>
      <c r="W2378" s="6" t="str">
        <f>IFERROR(__xludf.DUMMYFUNCTION("""COMPUTED_VALUE"""),"[]")</f>
        <v>[]</v>
      </c>
      <c r="X2378" s="6" t="str">
        <f>IFERROR(__xludf.DUMMYFUNCTION("""COMPUTED_VALUE"""),"Enrolled")</f>
        <v>Enrolled</v>
      </c>
    </row>
    <row r="2379">
      <c r="A2379" s="6" t="str">
        <f>IFERROR(__xludf.DUMMYFUNCTION("""COMPUTED_VALUE"""),"040-4168")</f>
        <v>040-4168</v>
      </c>
      <c r="B2379" s="6" t="str">
        <f>IFERROR(__xludf.DUMMYFUNCTION("""COMPUTED_VALUE"""),"40")</f>
        <v>40</v>
      </c>
      <c r="C2379" s="6" t="str">
        <f>IFERROR(__xludf.DUMMYFUNCTION("""COMPUTED_VALUE"""),"4168")</f>
        <v>4168</v>
      </c>
      <c r="D2379" s="6" t="str">
        <f>IFERROR(__xludf.DUMMYFUNCTION("""COMPUTED_VALUE"""),"Amelia")</f>
        <v>Amelia</v>
      </c>
      <c r="E2379" s="6" t="str">
        <f>IFERROR(__xludf.DUMMYFUNCTION("""COMPUTED_VALUE"""),"")</f>
        <v/>
      </c>
      <c r="F2379" s="6" t="str">
        <f>IFERROR(__xludf.DUMMYFUNCTION("""COMPUTED_VALUE"""),"Adame")</f>
        <v>Adame</v>
      </c>
      <c r="G2379" s="6" t="str">
        <f>IFERROR(__xludf.DUMMYFUNCTION("""COMPUTED_VALUE"""),"05/01/2014")</f>
        <v>05/01/2014</v>
      </c>
      <c r="H2379" s="6" t="str">
        <f>IFERROR(__xludf.DUMMYFUNCTION("""COMPUTED_VALUE"""),"Self Identify")</f>
        <v>Self Identify</v>
      </c>
      <c r="I2379" s="6" t="str">
        <f>IFERROR(__xludf.DUMMYFUNCTION("""COMPUTED_VALUE"""),"Middle School")</f>
        <v>Middle School</v>
      </c>
      <c r="J2379" s="6" t="str">
        <f>IFERROR(__xludf.DUMMYFUNCTION("""COMPUTED_VALUE"""),"6")</f>
        <v>6</v>
      </c>
      <c r="K2379" s="6" t="str">
        <f>IFERROR(__xludf.DUMMYFUNCTION("""COMPUTED_VALUE"""),"amelia.adame@unbound.school")</f>
        <v>amelia.adame@unbound.school</v>
      </c>
      <c r="L2379" s="6" t="str">
        <f>IFERROR(__xludf.DUMMYFUNCTION("""COMPUTED_VALUE"""),"Unbound Academy")</f>
        <v>Unbound Academy</v>
      </c>
      <c r="M2379" s="6" t="str">
        <f>IFERROR(__xludf.DUMMYFUNCTION("""COMPUTED_VALUE"""),"")</f>
        <v/>
      </c>
      <c r="N2379" s="6" t="str">
        <f>IFERROR(__xludf.DUMMYFUNCTION("""COMPUTED_VALUE"""),"")</f>
        <v/>
      </c>
      <c r="O2379" s="87" t="str">
        <f>IFERROR(__xludf.DUMMYFUNCTION("""COMPUTED_VALUE"""),"https://drive.google.com/drive/folders/10T2cTQHqEJZqE-st6uFKPoI?usp=share_link")</f>
        <v>https://drive.google.com/drive/folders/10T2cTQHqEJZqE-st6uFKPoI?usp=share_link</v>
      </c>
      <c r="P2379" s="6" t="str">
        <f>IFERROR(__xludf.DUMMYFUNCTION("""COMPUTED_VALUE"""),"Amelia Adame")</f>
        <v>Amelia Adame</v>
      </c>
      <c r="Q2379" s="6" t="str">
        <f>IFERROR(__xludf.DUMMYFUNCTION("""COMPUTED_VALUE"""),"MS")</f>
        <v>MS</v>
      </c>
      <c r="R2379" s="6">
        <f>IFERROR(__xludf.DUMMYFUNCTION("""COMPUTED_VALUE"""),0.0)</f>
        <v>0</v>
      </c>
      <c r="S2379" s="6" t="str">
        <f>IFERROR(__xludf.DUMMYFUNCTION("""COMPUTED_VALUE""")," ")</f>
        <v> </v>
      </c>
      <c r="T2379" s="6" t="str">
        <f>IFERROR(__xludf.DUMMYFUNCTION("""COMPUTED_VALUE"""),"")</f>
        <v/>
      </c>
      <c r="U2379" s="6" t="str">
        <f>IFERROR(__xludf.DUMMYFUNCTION("""COMPUTED_VALUE"""),"6")</f>
        <v>6</v>
      </c>
      <c r="V2379" s="6" t="str">
        <f>IFERROR(__xludf.DUMMYFUNCTION("""COMPUTED_VALUE"""),"")</f>
        <v/>
      </c>
      <c r="W2379" s="6" t="str">
        <f>IFERROR(__xludf.DUMMYFUNCTION("""COMPUTED_VALUE"""),"[]")</f>
        <v>[]</v>
      </c>
      <c r="X2379" s="6" t="str">
        <f>IFERROR(__xludf.DUMMYFUNCTION("""COMPUTED_VALUE"""),"Enrolled")</f>
        <v>Enrolled</v>
      </c>
    </row>
    <row r="2380">
      <c r="A2380" s="6" t="str">
        <f>IFERROR(__xludf.DUMMYFUNCTION("""COMPUTED_VALUE"""),"040-4169")</f>
        <v>040-4169</v>
      </c>
      <c r="B2380" s="6" t="str">
        <f>IFERROR(__xludf.DUMMYFUNCTION("""COMPUTED_VALUE"""),"40")</f>
        <v>40</v>
      </c>
      <c r="C2380" s="6" t="str">
        <f>IFERROR(__xludf.DUMMYFUNCTION("""COMPUTED_VALUE"""),"4169")</f>
        <v>4169</v>
      </c>
      <c r="D2380" s="6" t="str">
        <f>IFERROR(__xludf.DUMMYFUNCTION("""COMPUTED_VALUE"""),"Angel")</f>
        <v>Angel</v>
      </c>
      <c r="E2380" s="6" t="str">
        <f>IFERROR(__xludf.DUMMYFUNCTION("""COMPUTED_VALUE"""),"")</f>
        <v/>
      </c>
      <c r="F2380" s="6" t="str">
        <f>IFERROR(__xludf.DUMMYFUNCTION("""COMPUTED_VALUE"""),"Adame")</f>
        <v>Adame</v>
      </c>
      <c r="G2380" s="6" t="str">
        <f>IFERROR(__xludf.DUMMYFUNCTION("""COMPUTED_VALUE"""),"01/29/2012")</f>
        <v>01/29/2012</v>
      </c>
      <c r="H2380" s="6" t="str">
        <f>IFERROR(__xludf.DUMMYFUNCTION("""COMPUTED_VALUE"""),"Self Identify")</f>
        <v>Self Identify</v>
      </c>
      <c r="I2380" s="6" t="str">
        <f>IFERROR(__xludf.DUMMYFUNCTION("""COMPUTED_VALUE"""),"Middle School")</f>
        <v>Middle School</v>
      </c>
      <c r="J2380" s="6" t="str">
        <f>IFERROR(__xludf.DUMMYFUNCTION("""COMPUTED_VALUE"""),"8")</f>
        <v>8</v>
      </c>
      <c r="K2380" s="6" t="str">
        <f>IFERROR(__xludf.DUMMYFUNCTION("""COMPUTED_VALUE"""),"angel.adame@unbound.school")</f>
        <v>angel.adame@unbound.school</v>
      </c>
      <c r="L2380" s="6" t="str">
        <f>IFERROR(__xludf.DUMMYFUNCTION("""COMPUTED_VALUE"""),"Unbound Academy")</f>
        <v>Unbound Academy</v>
      </c>
      <c r="M2380" s="6" t="str">
        <f>IFERROR(__xludf.DUMMYFUNCTION("""COMPUTED_VALUE"""),"")</f>
        <v/>
      </c>
      <c r="N2380" s="6" t="str">
        <f>IFERROR(__xludf.DUMMYFUNCTION("""COMPUTED_VALUE"""),"")</f>
        <v/>
      </c>
      <c r="O2380" s="87" t="str">
        <f>IFERROR(__xludf.DUMMYFUNCTION("""COMPUTED_VALUE"""),"https://drive.google.com/drive/folders/10T2cTQHqEJZqE-st6uFKPoI?usp=share_link")</f>
        <v>https://drive.google.com/drive/folders/10T2cTQHqEJZqE-st6uFKPoI?usp=share_link</v>
      </c>
      <c r="P2380" s="6" t="str">
        <f>IFERROR(__xludf.DUMMYFUNCTION("""COMPUTED_VALUE"""),"Angel Adame")</f>
        <v>Angel Adame</v>
      </c>
      <c r="Q2380" s="6" t="str">
        <f>IFERROR(__xludf.DUMMYFUNCTION("""COMPUTED_VALUE"""),"MS")</f>
        <v>MS</v>
      </c>
      <c r="R2380" s="6">
        <f>IFERROR(__xludf.DUMMYFUNCTION("""COMPUTED_VALUE"""),0.0)</f>
        <v>0</v>
      </c>
      <c r="S2380" s="6" t="str">
        <f>IFERROR(__xludf.DUMMYFUNCTION("""COMPUTED_VALUE""")," ")</f>
        <v> </v>
      </c>
      <c r="T2380" s="6" t="str">
        <f>IFERROR(__xludf.DUMMYFUNCTION("""COMPUTED_VALUE"""),"")</f>
        <v/>
      </c>
      <c r="U2380" s="6" t="str">
        <f>IFERROR(__xludf.DUMMYFUNCTION("""COMPUTED_VALUE"""),"8")</f>
        <v>8</v>
      </c>
      <c r="V2380" s="6" t="str">
        <f>IFERROR(__xludf.DUMMYFUNCTION("""COMPUTED_VALUE"""),"")</f>
        <v/>
      </c>
      <c r="W2380" s="6" t="str">
        <f>IFERROR(__xludf.DUMMYFUNCTION("""COMPUTED_VALUE"""),"[]")</f>
        <v>[]</v>
      </c>
      <c r="X2380" s="6" t="str">
        <f>IFERROR(__xludf.DUMMYFUNCTION("""COMPUTED_VALUE"""),"Enrolled")</f>
        <v>Enrolled</v>
      </c>
    </row>
    <row r="2381">
      <c r="A2381" s="6" t="str">
        <f>IFERROR(__xludf.DUMMYFUNCTION("""COMPUTED_VALUE"""),"040-4170")</f>
        <v>040-4170</v>
      </c>
      <c r="B2381" s="6" t="str">
        <f>IFERROR(__xludf.DUMMYFUNCTION("""COMPUTED_VALUE"""),"40")</f>
        <v>40</v>
      </c>
      <c r="C2381" s="6" t="str">
        <f>IFERROR(__xludf.DUMMYFUNCTION("""COMPUTED_VALUE"""),"4170")</f>
        <v>4170</v>
      </c>
      <c r="D2381" s="6" t="str">
        <f>IFERROR(__xludf.DUMMYFUNCTION("""COMPUTED_VALUE"""),"Jenesis")</f>
        <v>Jenesis</v>
      </c>
      <c r="E2381" s="6" t="str">
        <f>IFERROR(__xludf.DUMMYFUNCTION("""COMPUTED_VALUE"""),"")</f>
        <v/>
      </c>
      <c r="F2381" s="6" t="str">
        <f>IFERROR(__xludf.DUMMYFUNCTION("""COMPUTED_VALUE"""),"Freitag")</f>
        <v>Freitag</v>
      </c>
      <c r="G2381" s="6" t="str">
        <f>IFERROR(__xludf.DUMMYFUNCTION("""COMPUTED_VALUE"""),"09/26/2012")</f>
        <v>09/26/2012</v>
      </c>
      <c r="H2381" s="6" t="str">
        <f>IFERROR(__xludf.DUMMYFUNCTION("""COMPUTED_VALUE"""),"Self Identify")</f>
        <v>Self Identify</v>
      </c>
      <c r="I2381" s="6" t="str">
        <f>IFERROR(__xludf.DUMMYFUNCTION("""COMPUTED_VALUE"""),"Middle School")</f>
        <v>Middle School</v>
      </c>
      <c r="J2381" s="6" t="str">
        <f>IFERROR(__xludf.DUMMYFUNCTION("""COMPUTED_VALUE"""),"7")</f>
        <v>7</v>
      </c>
      <c r="K2381" s="6" t="str">
        <f>IFERROR(__xludf.DUMMYFUNCTION("""COMPUTED_VALUE"""),"jenesis.freitag@unbound.school")</f>
        <v>jenesis.freitag@unbound.school</v>
      </c>
      <c r="L2381" s="6" t="str">
        <f>IFERROR(__xludf.DUMMYFUNCTION("""COMPUTED_VALUE"""),"Unbound Academy")</f>
        <v>Unbound Academy</v>
      </c>
      <c r="M2381" s="6" t="str">
        <f>IFERROR(__xludf.DUMMYFUNCTION("""COMPUTED_VALUE"""),"")</f>
        <v/>
      </c>
      <c r="N2381" s="6" t="str">
        <f>IFERROR(__xludf.DUMMYFUNCTION("""COMPUTED_VALUE"""),"")</f>
        <v/>
      </c>
      <c r="O2381" s="87" t="str">
        <f>IFERROR(__xludf.DUMMYFUNCTION("""COMPUTED_VALUE"""),"https://drive.google.com/drive/folders/10T2cTQHqEJZqE-st6uFKPoI?usp=share_link")</f>
        <v>https://drive.google.com/drive/folders/10T2cTQHqEJZqE-st6uFKPoI?usp=share_link</v>
      </c>
      <c r="P2381" s="6" t="str">
        <f>IFERROR(__xludf.DUMMYFUNCTION("""COMPUTED_VALUE"""),"Jenesis Freitag")</f>
        <v>Jenesis Freitag</v>
      </c>
      <c r="Q2381" s="6" t="str">
        <f>IFERROR(__xludf.DUMMYFUNCTION("""COMPUTED_VALUE"""),"MS")</f>
        <v>MS</v>
      </c>
      <c r="R2381" s="6">
        <f>IFERROR(__xludf.DUMMYFUNCTION("""COMPUTED_VALUE"""),0.0)</f>
        <v>0</v>
      </c>
      <c r="S2381" s="6" t="str">
        <f>IFERROR(__xludf.DUMMYFUNCTION("""COMPUTED_VALUE""")," ")</f>
        <v> </v>
      </c>
      <c r="T2381" s="6" t="str">
        <f>IFERROR(__xludf.DUMMYFUNCTION("""COMPUTED_VALUE"""),"")</f>
        <v/>
      </c>
      <c r="U2381" s="6" t="str">
        <f>IFERROR(__xludf.DUMMYFUNCTION("""COMPUTED_VALUE"""),"7")</f>
        <v>7</v>
      </c>
      <c r="V2381" s="6" t="str">
        <f>IFERROR(__xludf.DUMMYFUNCTION("""COMPUTED_VALUE"""),"")</f>
        <v/>
      </c>
      <c r="W2381" s="6" t="str">
        <f>IFERROR(__xludf.DUMMYFUNCTION("""COMPUTED_VALUE"""),"[]")</f>
        <v>[]</v>
      </c>
      <c r="X2381" s="6" t="str">
        <f>IFERROR(__xludf.DUMMYFUNCTION("""COMPUTED_VALUE"""),"Enrolled")</f>
        <v>Enrolled</v>
      </c>
    </row>
    <row r="2382">
      <c r="A2382" s="6" t="str">
        <f>IFERROR(__xludf.DUMMYFUNCTION("""COMPUTED_VALUE"""),"040-4171")</f>
        <v>040-4171</v>
      </c>
      <c r="B2382" s="6" t="str">
        <f>IFERROR(__xludf.DUMMYFUNCTION("""COMPUTED_VALUE"""),"40")</f>
        <v>40</v>
      </c>
      <c r="C2382" s="6" t="str">
        <f>IFERROR(__xludf.DUMMYFUNCTION("""COMPUTED_VALUE"""),"4171")</f>
        <v>4171</v>
      </c>
      <c r="D2382" s="6" t="str">
        <f>IFERROR(__xludf.DUMMYFUNCTION("""COMPUTED_VALUE"""),"Kassandra")</f>
        <v>Kassandra</v>
      </c>
      <c r="E2382" s="6" t="str">
        <f>IFERROR(__xludf.DUMMYFUNCTION("""COMPUTED_VALUE"""),"")</f>
        <v/>
      </c>
      <c r="F2382" s="6" t="str">
        <f>IFERROR(__xludf.DUMMYFUNCTION("""COMPUTED_VALUE"""),"Freitag")</f>
        <v>Freitag</v>
      </c>
      <c r="G2382" s="6" t="str">
        <f>IFERROR(__xludf.DUMMYFUNCTION("""COMPUTED_VALUE"""),"02/12/2015")</f>
        <v>02/12/2015</v>
      </c>
      <c r="H2382" s="6" t="str">
        <f>IFERROR(__xludf.DUMMYFUNCTION("""COMPUTED_VALUE"""),"Self Identify")</f>
        <v>Self Identify</v>
      </c>
      <c r="I2382" s="6" t="str">
        <f>IFERROR(__xludf.DUMMYFUNCTION("""COMPUTED_VALUE"""),"Level 2")</f>
        <v>Level 2</v>
      </c>
      <c r="J2382" s="6" t="str">
        <f>IFERROR(__xludf.DUMMYFUNCTION("""COMPUTED_VALUE"""),"5")</f>
        <v>5</v>
      </c>
      <c r="K2382" s="6" t="str">
        <f>IFERROR(__xludf.DUMMYFUNCTION("""COMPUTED_VALUE"""),"kassandra.freitag@unbound.school")</f>
        <v>kassandra.freitag@unbound.school</v>
      </c>
      <c r="L2382" s="6" t="str">
        <f>IFERROR(__xludf.DUMMYFUNCTION("""COMPUTED_VALUE"""),"Unbound Academy")</f>
        <v>Unbound Academy</v>
      </c>
      <c r="M2382" s="6" t="str">
        <f>IFERROR(__xludf.DUMMYFUNCTION("""COMPUTED_VALUE"""),"")</f>
        <v/>
      </c>
      <c r="N2382" s="6" t="str">
        <f>IFERROR(__xludf.DUMMYFUNCTION("""COMPUTED_VALUE"""),"")</f>
        <v/>
      </c>
      <c r="O2382" s="87" t="str">
        <f>IFERROR(__xludf.DUMMYFUNCTION("""COMPUTED_VALUE"""),"https://drive.google.com/drive/folders/10T2cTQHqEJZqE-st6uFKPoI?usp=share_link")</f>
        <v>https://drive.google.com/drive/folders/10T2cTQHqEJZqE-st6uFKPoI?usp=share_link</v>
      </c>
      <c r="P2382" s="6" t="str">
        <f>IFERROR(__xludf.DUMMYFUNCTION("""COMPUTED_VALUE"""),"Kassandra Freitag")</f>
        <v>Kassandra Freitag</v>
      </c>
      <c r="Q2382" s="6" t="str">
        <f>IFERROR(__xludf.DUMMYFUNCTION("""COMPUTED_VALUE"""),"L2")</f>
        <v>L2</v>
      </c>
      <c r="R2382" s="6">
        <f>IFERROR(__xludf.DUMMYFUNCTION("""COMPUTED_VALUE"""),2.0)</f>
        <v>2</v>
      </c>
      <c r="S2382" s="6" t="str">
        <f>IFERROR(__xludf.DUMMYFUNCTION("""COMPUTED_VALUE""")," ")</f>
        <v> </v>
      </c>
      <c r="T2382" s="6" t="str">
        <f>IFERROR(__xludf.DUMMYFUNCTION("""COMPUTED_VALUE"""),"")</f>
        <v/>
      </c>
      <c r="U2382" s="6" t="str">
        <f>IFERROR(__xludf.DUMMYFUNCTION("""COMPUTED_VALUE"""),"5")</f>
        <v>5</v>
      </c>
      <c r="V2382" s="6" t="str">
        <f>IFERROR(__xludf.DUMMYFUNCTION("""COMPUTED_VALUE"""),"")</f>
        <v/>
      </c>
      <c r="W2382" s="6" t="str">
        <f>IFERROR(__xludf.DUMMYFUNCTION("""COMPUTED_VALUE"""),"[]")</f>
        <v>[]</v>
      </c>
      <c r="X2382" s="6" t="str">
        <f>IFERROR(__xludf.DUMMYFUNCTION("""COMPUTED_VALUE"""),"Enrolled")</f>
        <v>Enrolled</v>
      </c>
    </row>
    <row r="2383">
      <c r="A2383" s="6" t="str">
        <f>IFERROR(__xludf.DUMMYFUNCTION("""COMPUTED_VALUE"""),"040-4173")</f>
        <v>040-4173</v>
      </c>
      <c r="B2383" s="6" t="str">
        <f>IFERROR(__xludf.DUMMYFUNCTION("""COMPUTED_VALUE"""),"40")</f>
        <v>40</v>
      </c>
      <c r="C2383" s="6" t="str">
        <f>IFERROR(__xludf.DUMMYFUNCTION("""COMPUTED_VALUE"""),"4173")</f>
        <v>4173</v>
      </c>
      <c r="D2383" s="6" t="str">
        <f>IFERROR(__xludf.DUMMYFUNCTION("""COMPUTED_VALUE"""),"Emmit")</f>
        <v>Emmit</v>
      </c>
      <c r="E2383" s="6" t="str">
        <f>IFERROR(__xludf.DUMMYFUNCTION("""COMPUTED_VALUE"""),"")</f>
        <v/>
      </c>
      <c r="F2383" s="6" t="str">
        <f>IFERROR(__xludf.DUMMYFUNCTION("""COMPUTED_VALUE"""),"Beascochea")</f>
        <v>Beascochea</v>
      </c>
      <c r="G2383" s="6" t="str">
        <f>IFERROR(__xludf.DUMMYFUNCTION("""COMPUTED_VALUE"""),"11/15/2012")</f>
        <v>11/15/2012</v>
      </c>
      <c r="H2383" s="6" t="str">
        <f>IFERROR(__xludf.DUMMYFUNCTION("""COMPUTED_VALUE"""),"Self Identify")</f>
        <v>Self Identify</v>
      </c>
      <c r="I2383" s="6" t="str">
        <f>IFERROR(__xludf.DUMMYFUNCTION("""COMPUTED_VALUE"""),"Middle School")</f>
        <v>Middle School</v>
      </c>
      <c r="J2383" s="6" t="str">
        <f>IFERROR(__xludf.DUMMYFUNCTION("""COMPUTED_VALUE"""),"7")</f>
        <v>7</v>
      </c>
      <c r="K2383" s="6" t="str">
        <f>IFERROR(__xludf.DUMMYFUNCTION("""COMPUTED_VALUE"""),"emmit.beascochea@unbound.school")</f>
        <v>emmit.beascochea@unbound.school</v>
      </c>
      <c r="L2383" s="6" t="str">
        <f>IFERROR(__xludf.DUMMYFUNCTION("""COMPUTED_VALUE"""),"Unbound Academy")</f>
        <v>Unbound Academy</v>
      </c>
      <c r="M2383" s="6" t="str">
        <f>IFERROR(__xludf.DUMMYFUNCTION("""COMPUTED_VALUE"""),"")</f>
        <v/>
      </c>
      <c r="N2383" s="6" t="str">
        <f>IFERROR(__xludf.DUMMYFUNCTION("""COMPUTED_VALUE"""),"")</f>
        <v/>
      </c>
      <c r="O2383" s="87" t="str">
        <f>IFERROR(__xludf.DUMMYFUNCTION("""COMPUTED_VALUE"""),"https://drive.google.com/drive/folders/10T2cTQHqEJZqE-st6uFKPoI?usp=share_link")</f>
        <v>https://drive.google.com/drive/folders/10T2cTQHqEJZqE-st6uFKPoI?usp=share_link</v>
      </c>
      <c r="P2383" s="6" t="str">
        <f>IFERROR(__xludf.DUMMYFUNCTION("""COMPUTED_VALUE"""),"Emmit Beascochea")</f>
        <v>Emmit Beascochea</v>
      </c>
      <c r="Q2383" s="6" t="str">
        <f>IFERROR(__xludf.DUMMYFUNCTION("""COMPUTED_VALUE"""),"MS")</f>
        <v>MS</v>
      </c>
      <c r="R2383" s="6">
        <f>IFERROR(__xludf.DUMMYFUNCTION("""COMPUTED_VALUE"""),0.0)</f>
        <v>0</v>
      </c>
      <c r="S2383" s="6" t="str">
        <f>IFERROR(__xludf.DUMMYFUNCTION("""COMPUTED_VALUE""")," ")</f>
        <v> </v>
      </c>
      <c r="T2383" s="6" t="str">
        <f>IFERROR(__xludf.DUMMYFUNCTION("""COMPUTED_VALUE"""),"")</f>
        <v/>
      </c>
      <c r="U2383" s="6" t="str">
        <f>IFERROR(__xludf.DUMMYFUNCTION("""COMPUTED_VALUE"""),"7")</f>
        <v>7</v>
      </c>
      <c r="V2383" s="6" t="str">
        <f>IFERROR(__xludf.DUMMYFUNCTION("""COMPUTED_VALUE"""),"")</f>
        <v/>
      </c>
      <c r="W2383" s="6" t="str">
        <f>IFERROR(__xludf.DUMMYFUNCTION("""COMPUTED_VALUE"""),"[]")</f>
        <v>[]</v>
      </c>
      <c r="X2383" s="6" t="str">
        <f>IFERROR(__xludf.DUMMYFUNCTION("""COMPUTED_VALUE"""),"Enrolled")</f>
        <v>Enrolled</v>
      </c>
    </row>
    <row r="2384">
      <c r="A2384" s="6" t="str">
        <f>IFERROR(__xludf.DUMMYFUNCTION("""COMPUTED_VALUE"""),"040-4175")</f>
        <v>040-4175</v>
      </c>
      <c r="B2384" s="6" t="str">
        <f>IFERROR(__xludf.DUMMYFUNCTION("""COMPUTED_VALUE"""),"40")</f>
        <v>40</v>
      </c>
      <c r="C2384" s="6" t="str">
        <f>IFERROR(__xludf.DUMMYFUNCTION("""COMPUTED_VALUE"""),"4175")</f>
        <v>4175</v>
      </c>
      <c r="D2384" s="6" t="str">
        <f>IFERROR(__xludf.DUMMYFUNCTION("""COMPUTED_VALUE"""),"Yaretzi")</f>
        <v>Yaretzi</v>
      </c>
      <c r="E2384" s="6" t="str">
        <f>IFERROR(__xludf.DUMMYFUNCTION("""COMPUTED_VALUE"""),"")</f>
        <v/>
      </c>
      <c r="F2384" s="6" t="str">
        <f>IFERROR(__xludf.DUMMYFUNCTION("""COMPUTED_VALUE"""),"Gima")</f>
        <v>Gima</v>
      </c>
      <c r="G2384" s="6" t="str">
        <f>IFERROR(__xludf.DUMMYFUNCTION("""COMPUTED_VALUE"""),"03/16/2015")</f>
        <v>03/16/2015</v>
      </c>
      <c r="H2384" s="6" t="str">
        <f>IFERROR(__xludf.DUMMYFUNCTION("""COMPUTED_VALUE"""),"Self Identify")</f>
        <v>Self Identify</v>
      </c>
      <c r="I2384" s="6" t="str">
        <f>IFERROR(__xludf.DUMMYFUNCTION("""COMPUTED_VALUE"""),"Level 2")</f>
        <v>Level 2</v>
      </c>
      <c r="J2384" s="6" t="str">
        <f>IFERROR(__xludf.DUMMYFUNCTION("""COMPUTED_VALUE"""),"5")</f>
        <v>5</v>
      </c>
      <c r="K2384" s="6" t="str">
        <f>IFERROR(__xludf.DUMMYFUNCTION("""COMPUTED_VALUE"""),"yaretzi.gima@unbound.school")</f>
        <v>yaretzi.gima@unbound.school</v>
      </c>
      <c r="L2384" s="6" t="str">
        <f>IFERROR(__xludf.DUMMYFUNCTION("""COMPUTED_VALUE"""),"Unbound Academy")</f>
        <v>Unbound Academy</v>
      </c>
      <c r="M2384" s="6" t="str">
        <f>IFERROR(__xludf.DUMMYFUNCTION("""COMPUTED_VALUE"""),"")</f>
        <v/>
      </c>
      <c r="N2384" s="6" t="str">
        <f>IFERROR(__xludf.DUMMYFUNCTION("""COMPUTED_VALUE"""),"")</f>
        <v/>
      </c>
      <c r="O2384" s="87" t="str">
        <f>IFERROR(__xludf.DUMMYFUNCTION("""COMPUTED_VALUE"""),"https://drive.google.com/drive/folders/10T2cTQHqEJZqE-st6uFKPoI?usp=share_link")</f>
        <v>https://drive.google.com/drive/folders/10T2cTQHqEJZqE-st6uFKPoI?usp=share_link</v>
      </c>
      <c r="P2384" s="6" t="str">
        <f>IFERROR(__xludf.DUMMYFUNCTION("""COMPUTED_VALUE"""),"Yaretzi Gima")</f>
        <v>Yaretzi Gima</v>
      </c>
      <c r="Q2384" s="6" t="str">
        <f>IFERROR(__xludf.DUMMYFUNCTION("""COMPUTED_VALUE"""),"L2")</f>
        <v>L2</v>
      </c>
      <c r="R2384" s="6">
        <f>IFERROR(__xludf.DUMMYFUNCTION("""COMPUTED_VALUE"""),2.0)</f>
        <v>2</v>
      </c>
      <c r="S2384" s="6" t="str">
        <f>IFERROR(__xludf.DUMMYFUNCTION("""COMPUTED_VALUE""")," ")</f>
        <v> </v>
      </c>
      <c r="T2384" s="6" t="str">
        <f>IFERROR(__xludf.DUMMYFUNCTION("""COMPUTED_VALUE"""),"")</f>
        <v/>
      </c>
      <c r="U2384" s="6" t="str">
        <f>IFERROR(__xludf.DUMMYFUNCTION("""COMPUTED_VALUE"""),"5")</f>
        <v>5</v>
      </c>
      <c r="V2384" s="6" t="str">
        <f>IFERROR(__xludf.DUMMYFUNCTION("""COMPUTED_VALUE"""),"")</f>
        <v/>
      </c>
      <c r="W2384" s="6" t="str">
        <f>IFERROR(__xludf.DUMMYFUNCTION("""COMPUTED_VALUE"""),"[]")</f>
        <v>[]</v>
      </c>
      <c r="X2384" s="6" t="str">
        <f>IFERROR(__xludf.DUMMYFUNCTION("""COMPUTED_VALUE"""),"Enrolled")</f>
        <v>Enrolled</v>
      </c>
    </row>
    <row r="2385">
      <c r="A2385" s="6" t="str">
        <f>IFERROR(__xludf.DUMMYFUNCTION("""COMPUTED_VALUE"""),"040-4177")</f>
        <v>040-4177</v>
      </c>
      <c r="B2385" s="6" t="str">
        <f>IFERROR(__xludf.DUMMYFUNCTION("""COMPUTED_VALUE"""),"40")</f>
        <v>40</v>
      </c>
      <c r="C2385" s="6" t="str">
        <f>IFERROR(__xludf.DUMMYFUNCTION("""COMPUTED_VALUE"""),"4177")</f>
        <v>4177</v>
      </c>
      <c r="D2385" s="6" t="str">
        <f>IFERROR(__xludf.DUMMYFUNCTION("""COMPUTED_VALUE"""),"Addison")</f>
        <v>Addison</v>
      </c>
      <c r="E2385" s="6" t="str">
        <f>IFERROR(__xludf.DUMMYFUNCTION("""COMPUTED_VALUE"""),"")</f>
        <v/>
      </c>
      <c r="F2385" s="6" t="str">
        <f>IFERROR(__xludf.DUMMYFUNCTION("""COMPUTED_VALUE"""),"Brzoska")</f>
        <v>Brzoska</v>
      </c>
      <c r="G2385" s="6" t="str">
        <f>IFERROR(__xludf.DUMMYFUNCTION("""COMPUTED_VALUE"""),"02/02/2012")</f>
        <v>02/02/2012</v>
      </c>
      <c r="H2385" s="6" t="str">
        <f>IFERROR(__xludf.DUMMYFUNCTION("""COMPUTED_VALUE"""),"Self Identify")</f>
        <v>Self Identify</v>
      </c>
      <c r="I2385" s="6" t="str">
        <f>IFERROR(__xludf.DUMMYFUNCTION("""COMPUTED_VALUE"""),"Middle School")</f>
        <v>Middle School</v>
      </c>
      <c r="J2385" s="6" t="str">
        <f>IFERROR(__xludf.DUMMYFUNCTION("""COMPUTED_VALUE"""),"7")</f>
        <v>7</v>
      </c>
      <c r="K2385" s="6" t="str">
        <f>IFERROR(__xludf.DUMMYFUNCTION("""COMPUTED_VALUE"""),"addison.brzoska@unbound.school")</f>
        <v>addison.brzoska@unbound.school</v>
      </c>
      <c r="L2385" s="6" t="str">
        <f>IFERROR(__xludf.DUMMYFUNCTION("""COMPUTED_VALUE"""),"Unbound Academy")</f>
        <v>Unbound Academy</v>
      </c>
      <c r="M2385" s="6" t="str">
        <f>IFERROR(__xludf.DUMMYFUNCTION("""COMPUTED_VALUE"""),"")</f>
        <v/>
      </c>
      <c r="N2385" s="6" t="str">
        <f>IFERROR(__xludf.DUMMYFUNCTION("""COMPUTED_VALUE"""),"")</f>
        <v/>
      </c>
      <c r="O2385" s="87" t="str">
        <f>IFERROR(__xludf.DUMMYFUNCTION("""COMPUTED_VALUE"""),"https://drive.google.com/drive/folders/10T2cTQHqEJZqE-st6uFKPoI?usp=share_link")</f>
        <v>https://drive.google.com/drive/folders/10T2cTQHqEJZqE-st6uFKPoI?usp=share_link</v>
      </c>
      <c r="P2385" s="6" t="str">
        <f>IFERROR(__xludf.DUMMYFUNCTION("""COMPUTED_VALUE"""),"Addison Brzoska")</f>
        <v>Addison Brzoska</v>
      </c>
      <c r="Q2385" s="6" t="str">
        <f>IFERROR(__xludf.DUMMYFUNCTION("""COMPUTED_VALUE"""),"MS")</f>
        <v>MS</v>
      </c>
      <c r="R2385" s="6">
        <f>IFERROR(__xludf.DUMMYFUNCTION("""COMPUTED_VALUE"""),0.0)</f>
        <v>0</v>
      </c>
      <c r="S2385" s="6" t="str">
        <f>IFERROR(__xludf.DUMMYFUNCTION("""COMPUTED_VALUE""")," ")</f>
        <v> </v>
      </c>
      <c r="T2385" s="6" t="str">
        <f>IFERROR(__xludf.DUMMYFUNCTION("""COMPUTED_VALUE"""),"")</f>
        <v/>
      </c>
      <c r="U2385" s="6" t="str">
        <f>IFERROR(__xludf.DUMMYFUNCTION("""COMPUTED_VALUE"""),"7")</f>
        <v>7</v>
      </c>
      <c r="V2385" s="6" t="str">
        <f>IFERROR(__xludf.DUMMYFUNCTION("""COMPUTED_VALUE"""),"")</f>
        <v/>
      </c>
      <c r="W2385" s="6" t="str">
        <f>IFERROR(__xludf.DUMMYFUNCTION("""COMPUTED_VALUE"""),"[]")</f>
        <v>[]</v>
      </c>
      <c r="X2385" s="6" t="str">
        <f>IFERROR(__xludf.DUMMYFUNCTION("""COMPUTED_VALUE"""),"Enrolled")</f>
        <v>Enrolled</v>
      </c>
    </row>
    <row r="2386">
      <c r="A2386" s="6" t="str">
        <f>IFERROR(__xludf.DUMMYFUNCTION("""COMPUTED_VALUE"""),"040-4178")</f>
        <v>040-4178</v>
      </c>
      <c r="B2386" s="6" t="str">
        <f>IFERROR(__xludf.DUMMYFUNCTION("""COMPUTED_VALUE"""),"40")</f>
        <v>40</v>
      </c>
      <c r="C2386" s="6" t="str">
        <f>IFERROR(__xludf.DUMMYFUNCTION("""COMPUTED_VALUE"""),"4178")</f>
        <v>4178</v>
      </c>
      <c r="D2386" s="6" t="str">
        <f>IFERROR(__xludf.DUMMYFUNCTION("""COMPUTED_VALUE"""),"Lucas")</f>
        <v>Lucas</v>
      </c>
      <c r="E2386" s="6" t="str">
        <f>IFERROR(__xludf.DUMMYFUNCTION("""COMPUTED_VALUE"""),"")</f>
        <v/>
      </c>
      <c r="F2386" s="6" t="str">
        <f>IFERROR(__xludf.DUMMYFUNCTION("""COMPUTED_VALUE"""),"Petersen")</f>
        <v>Petersen</v>
      </c>
      <c r="G2386" s="6" t="str">
        <f>IFERROR(__xludf.DUMMYFUNCTION("""COMPUTED_VALUE"""),"01/08/2013")</f>
        <v>01/08/2013</v>
      </c>
      <c r="H2386" s="6" t="str">
        <f>IFERROR(__xludf.DUMMYFUNCTION("""COMPUTED_VALUE"""),"Self Identify")</f>
        <v>Self Identify</v>
      </c>
      <c r="I2386" s="6" t="str">
        <f>IFERROR(__xludf.DUMMYFUNCTION("""COMPUTED_VALUE"""),"Middle School")</f>
        <v>Middle School</v>
      </c>
      <c r="J2386" s="6" t="str">
        <f>IFERROR(__xludf.DUMMYFUNCTION("""COMPUTED_VALUE"""),"7")</f>
        <v>7</v>
      </c>
      <c r="K2386" s="6" t="str">
        <f>IFERROR(__xludf.DUMMYFUNCTION("""COMPUTED_VALUE"""),"lucas.petersen@unbound.school")</f>
        <v>lucas.petersen@unbound.school</v>
      </c>
      <c r="L2386" s="6" t="str">
        <f>IFERROR(__xludf.DUMMYFUNCTION("""COMPUTED_VALUE"""),"Unbound Academy")</f>
        <v>Unbound Academy</v>
      </c>
      <c r="M2386" s="6" t="str">
        <f>IFERROR(__xludf.DUMMYFUNCTION("""COMPUTED_VALUE"""),"")</f>
        <v/>
      </c>
      <c r="N2386" s="6" t="str">
        <f>IFERROR(__xludf.DUMMYFUNCTION("""COMPUTED_VALUE"""),"")</f>
        <v/>
      </c>
      <c r="O2386" s="87" t="str">
        <f>IFERROR(__xludf.DUMMYFUNCTION("""COMPUTED_VALUE"""),"https://drive.google.com/drive/folders/10T2cTQHqEJZqE-st6uFKPoI?usp=share_link")</f>
        <v>https://drive.google.com/drive/folders/10T2cTQHqEJZqE-st6uFKPoI?usp=share_link</v>
      </c>
      <c r="P2386" s="6" t="str">
        <f>IFERROR(__xludf.DUMMYFUNCTION("""COMPUTED_VALUE"""),"Lucas Petersen")</f>
        <v>Lucas Petersen</v>
      </c>
      <c r="Q2386" s="6" t="str">
        <f>IFERROR(__xludf.DUMMYFUNCTION("""COMPUTED_VALUE"""),"MS")</f>
        <v>MS</v>
      </c>
      <c r="R2386" s="6">
        <f>IFERROR(__xludf.DUMMYFUNCTION("""COMPUTED_VALUE"""),0.0)</f>
        <v>0</v>
      </c>
      <c r="S2386" s="6" t="str">
        <f>IFERROR(__xludf.DUMMYFUNCTION("""COMPUTED_VALUE""")," ")</f>
        <v> </v>
      </c>
      <c r="T2386" s="6" t="str">
        <f>IFERROR(__xludf.DUMMYFUNCTION("""COMPUTED_VALUE"""),"")</f>
        <v/>
      </c>
      <c r="U2386" s="6" t="str">
        <f>IFERROR(__xludf.DUMMYFUNCTION("""COMPUTED_VALUE"""),"7")</f>
        <v>7</v>
      </c>
      <c r="V2386" s="6" t="str">
        <f>IFERROR(__xludf.DUMMYFUNCTION("""COMPUTED_VALUE"""),"")</f>
        <v/>
      </c>
      <c r="W2386" s="6" t="str">
        <f>IFERROR(__xludf.DUMMYFUNCTION("""COMPUTED_VALUE"""),"[]")</f>
        <v>[]</v>
      </c>
      <c r="X2386" s="6" t="str">
        <f>IFERROR(__xludf.DUMMYFUNCTION("""COMPUTED_VALUE"""),"Enrolled")</f>
        <v>Enrolled</v>
      </c>
    </row>
    <row r="2387">
      <c r="A2387" s="6" t="str">
        <f>IFERROR(__xludf.DUMMYFUNCTION("""COMPUTED_VALUE"""),"040-4179")</f>
        <v>040-4179</v>
      </c>
      <c r="B2387" s="6" t="str">
        <f>IFERROR(__xludf.DUMMYFUNCTION("""COMPUTED_VALUE"""),"40")</f>
        <v>40</v>
      </c>
      <c r="C2387" s="6" t="str">
        <f>IFERROR(__xludf.DUMMYFUNCTION("""COMPUTED_VALUE"""),"4179")</f>
        <v>4179</v>
      </c>
      <c r="D2387" s="6" t="str">
        <f>IFERROR(__xludf.DUMMYFUNCTION("""COMPUTED_VALUE"""),"Daniel")</f>
        <v>Daniel</v>
      </c>
      <c r="E2387" s="6" t="str">
        <f>IFERROR(__xludf.DUMMYFUNCTION("""COMPUTED_VALUE"""),"")</f>
        <v/>
      </c>
      <c r="F2387" s="6" t="str">
        <f>IFERROR(__xludf.DUMMYFUNCTION("""COMPUTED_VALUE"""),"Gralla")</f>
        <v>Gralla</v>
      </c>
      <c r="G2387" s="6" t="str">
        <f>IFERROR(__xludf.DUMMYFUNCTION("""COMPUTED_VALUE"""),"07/15/2014")</f>
        <v>07/15/2014</v>
      </c>
      <c r="H2387" s="6" t="str">
        <f>IFERROR(__xludf.DUMMYFUNCTION("""COMPUTED_VALUE"""),"Self Identify")</f>
        <v>Self Identify</v>
      </c>
      <c r="I2387" s="6" t="str">
        <f>IFERROR(__xludf.DUMMYFUNCTION("""COMPUTED_VALUE"""),"Middle School")</f>
        <v>Middle School</v>
      </c>
      <c r="J2387" s="6" t="str">
        <f>IFERROR(__xludf.DUMMYFUNCTION("""COMPUTED_VALUE"""),"6")</f>
        <v>6</v>
      </c>
      <c r="K2387" s="6" t="str">
        <f>IFERROR(__xludf.DUMMYFUNCTION("""COMPUTED_VALUE"""),"daniel.gralla@unbound.school")</f>
        <v>daniel.gralla@unbound.school</v>
      </c>
      <c r="L2387" s="6" t="str">
        <f>IFERROR(__xludf.DUMMYFUNCTION("""COMPUTED_VALUE"""),"Unbound Academy")</f>
        <v>Unbound Academy</v>
      </c>
      <c r="M2387" s="6" t="str">
        <f>IFERROR(__xludf.DUMMYFUNCTION("""COMPUTED_VALUE"""),"")</f>
        <v/>
      </c>
      <c r="N2387" s="6" t="str">
        <f>IFERROR(__xludf.DUMMYFUNCTION("""COMPUTED_VALUE"""),"")</f>
        <v/>
      </c>
      <c r="O2387" s="87" t="str">
        <f>IFERROR(__xludf.DUMMYFUNCTION("""COMPUTED_VALUE"""),"https://drive.google.com/drive/folders/10T2cTQHqEJZqE-st6uFKPoI?usp=share_link")</f>
        <v>https://drive.google.com/drive/folders/10T2cTQHqEJZqE-st6uFKPoI?usp=share_link</v>
      </c>
      <c r="P2387" s="6" t="str">
        <f>IFERROR(__xludf.DUMMYFUNCTION("""COMPUTED_VALUE"""),"Daniel Gralla")</f>
        <v>Daniel Gralla</v>
      </c>
      <c r="Q2387" s="6" t="str">
        <f>IFERROR(__xludf.DUMMYFUNCTION("""COMPUTED_VALUE"""),"MS")</f>
        <v>MS</v>
      </c>
      <c r="R2387" s="6">
        <f>IFERROR(__xludf.DUMMYFUNCTION("""COMPUTED_VALUE"""),0.0)</f>
        <v>0</v>
      </c>
      <c r="S2387" s="6" t="str">
        <f>IFERROR(__xludf.DUMMYFUNCTION("""COMPUTED_VALUE""")," ")</f>
        <v> </v>
      </c>
      <c r="T2387" s="6" t="str">
        <f>IFERROR(__xludf.DUMMYFUNCTION("""COMPUTED_VALUE"""),"")</f>
        <v/>
      </c>
      <c r="U2387" s="6" t="str">
        <f>IFERROR(__xludf.DUMMYFUNCTION("""COMPUTED_VALUE"""),"6")</f>
        <v>6</v>
      </c>
      <c r="V2387" s="6" t="str">
        <f>IFERROR(__xludf.DUMMYFUNCTION("""COMPUTED_VALUE"""),"")</f>
        <v/>
      </c>
      <c r="W2387" s="6" t="str">
        <f>IFERROR(__xludf.DUMMYFUNCTION("""COMPUTED_VALUE"""),"[]")</f>
        <v>[]</v>
      </c>
      <c r="X2387" s="6" t="str">
        <f>IFERROR(__xludf.DUMMYFUNCTION("""COMPUTED_VALUE"""),"Enrolled")</f>
        <v>Enrolled</v>
      </c>
    </row>
    <row r="2388">
      <c r="A2388" s="6" t="str">
        <f>IFERROR(__xludf.DUMMYFUNCTION("""COMPUTED_VALUE"""),"040-4180")</f>
        <v>040-4180</v>
      </c>
      <c r="B2388" s="6" t="str">
        <f>IFERROR(__xludf.DUMMYFUNCTION("""COMPUTED_VALUE"""),"40")</f>
        <v>40</v>
      </c>
      <c r="C2388" s="6" t="str">
        <f>IFERROR(__xludf.DUMMYFUNCTION("""COMPUTED_VALUE"""),"4180")</f>
        <v>4180</v>
      </c>
      <c r="D2388" s="6" t="str">
        <f>IFERROR(__xludf.DUMMYFUNCTION("""COMPUTED_VALUE"""),"Francisco")</f>
        <v>Francisco</v>
      </c>
      <c r="E2388" s="6" t="str">
        <f>IFERROR(__xludf.DUMMYFUNCTION("""COMPUTED_VALUE"""),"Xavier")</f>
        <v>Xavier</v>
      </c>
      <c r="F2388" s="6" t="str">
        <f>IFERROR(__xludf.DUMMYFUNCTION("""COMPUTED_VALUE"""),"Medina")</f>
        <v>Medina</v>
      </c>
      <c r="G2388" s="6" t="str">
        <f>IFERROR(__xludf.DUMMYFUNCTION("""COMPUTED_VALUE"""),"12/11/2011")</f>
        <v>12/11/2011</v>
      </c>
      <c r="H2388" s="6" t="str">
        <f>IFERROR(__xludf.DUMMYFUNCTION("""COMPUTED_VALUE"""),"Self Identify")</f>
        <v>Self Identify</v>
      </c>
      <c r="I2388" s="6" t="str">
        <f>IFERROR(__xludf.DUMMYFUNCTION("""COMPUTED_VALUE"""),"Middle School")</f>
        <v>Middle School</v>
      </c>
      <c r="J2388" s="6" t="str">
        <f>IFERROR(__xludf.DUMMYFUNCTION("""COMPUTED_VALUE"""),"7")</f>
        <v>7</v>
      </c>
      <c r="K2388" s="6" t="str">
        <f>IFERROR(__xludf.DUMMYFUNCTION("""COMPUTED_VALUE"""),"francisco.medina@unbound.school")</f>
        <v>francisco.medina@unbound.school</v>
      </c>
      <c r="L2388" s="6" t="str">
        <f>IFERROR(__xludf.DUMMYFUNCTION("""COMPUTED_VALUE"""),"Unbound Academy")</f>
        <v>Unbound Academy</v>
      </c>
      <c r="M2388" s="6" t="str">
        <f>IFERROR(__xludf.DUMMYFUNCTION("""COMPUTED_VALUE"""),"")</f>
        <v/>
      </c>
      <c r="N2388" s="6" t="str">
        <f>IFERROR(__xludf.DUMMYFUNCTION("""COMPUTED_VALUE"""),"")</f>
        <v/>
      </c>
      <c r="O2388" s="87" t="str">
        <f>IFERROR(__xludf.DUMMYFUNCTION("""COMPUTED_VALUE"""),"https://drive.google.com/drive/folders/10T2cTQHqEJZqE-st6uFKPoI?usp=share_link")</f>
        <v>https://drive.google.com/drive/folders/10T2cTQHqEJZqE-st6uFKPoI?usp=share_link</v>
      </c>
      <c r="P2388" s="6" t="str">
        <f>IFERROR(__xludf.DUMMYFUNCTION("""COMPUTED_VALUE"""),"Xavier Medina")</f>
        <v>Xavier Medina</v>
      </c>
      <c r="Q2388" s="6" t="str">
        <f>IFERROR(__xludf.DUMMYFUNCTION("""COMPUTED_VALUE"""),"MS")</f>
        <v>MS</v>
      </c>
      <c r="R2388" s="6">
        <f>IFERROR(__xludf.DUMMYFUNCTION("""COMPUTED_VALUE"""),0.0)</f>
        <v>0</v>
      </c>
      <c r="S2388" s="6" t="str">
        <f>IFERROR(__xludf.DUMMYFUNCTION("""COMPUTED_VALUE""")," ")</f>
        <v> </v>
      </c>
      <c r="T2388" s="6" t="str">
        <f>IFERROR(__xludf.DUMMYFUNCTION("""COMPUTED_VALUE"""),"")</f>
        <v/>
      </c>
      <c r="U2388" s="6" t="str">
        <f>IFERROR(__xludf.DUMMYFUNCTION("""COMPUTED_VALUE"""),"7")</f>
        <v>7</v>
      </c>
      <c r="V2388" s="6" t="str">
        <f>IFERROR(__xludf.DUMMYFUNCTION("""COMPUTED_VALUE"""),"")</f>
        <v/>
      </c>
      <c r="W2388" s="6" t="str">
        <f>IFERROR(__xludf.DUMMYFUNCTION("""COMPUTED_VALUE"""),"[]")</f>
        <v>[]</v>
      </c>
      <c r="X2388" s="6" t="str">
        <f>IFERROR(__xludf.DUMMYFUNCTION("""COMPUTED_VALUE"""),"Enrolled")</f>
        <v>Enrolled</v>
      </c>
    </row>
    <row r="2389">
      <c r="A2389" s="6" t="str">
        <f>IFERROR(__xludf.DUMMYFUNCTION("""COMPUTED_VALUE"""),"040-4181")</f>
        <v>040-4181</v>
      </c>
      <c r="B2389" s="6" t="str">
        <f>IFERROR(__xludf.DUMMYFUNCTION("""COMPUTED_VALUE"""),"40")</f>
        <v>40</v>
      </c>
      <c r="C2389" s="6" t="str">
        <f>IFERROR(__xludf.DUMMYFUNCTION("""COMPUTED_VALUE"""),"4181")</f>
        <v>4181</v>
      </c>
      <c r="D2389" s="6" t="str">
        <f>IFERROR(__xludf.DUMMYFUNCTION("""COMPUTED_VALUE"""),"Aaron")</f>
        <v>Aaron</v>
      </c>
      <c r="E2389" s="6" t="str">
        <f>IFERROR(__xludf.DUMMYFUNCTION("""COMPUTED_VALUE"""),"")</f>
        <v/>
      </c>
      <c r="F2389" s="6" t="str">
        <f>IFERROR(__xludf.DUMMYFUNCTION("""COMPUTED_VALUE"""),"Torres Burciaga")</f>
        <v>Torres Burciaga</v>
      </c>
      <c r="G2389" s="6" t="str">
        <f>IFERROR(__xludf.DUMMYFUNCTION("""COMPUTED_VALUE"""),"09/25/2015")</f>
        <v>09/25/2015</v>
      </c>
      <c r="H2389" s="6" t="str">
        <f>IFERROR(__xludf.DUMMYFUNCTION("""COMPUTED_VALUE"""),"Self Identify")</f>
        <v>Self Identify</v>
      </c>
      <c r="I2389" s="6" t="str">
        <f>IFERROR(__xludf.DUMMYFUNCTION("""COMPUTED_VALUE"""),"Level 2")</f>
        <v>Level 2</v>
      </c>
      <c r="J2389" s="6" t="str">
        <f>IFERROR(__xludf.DUMMYFUNCTION("""COMPUTED_VALUE"""),"4")</f>
        <v>4</v>
      </c>
      <c r="K2389" s="6" t="str">
        <f>IFERROR(__xludf.DUMMYFUNCTION("""COMPUTED_VALUE"""),"aaron.torresburciaga@unbound.school")</f>
        <v>aaron.torresburciaga@unbound.school</v>
      </c>
      <c r="L2389" s="6" t="str">
        <f>IFERROR(__xludf.DUMMYFUNCTION("""COMPUTED_VALUE"""),"Unbound Academy")</f>
        <v>Unbound Academy</v>
      </c>
      <c r="M2389" s="6" t="str">
        <f>IFERROR(__xludf.DUMMYFUNCTION("""COMPUTED_VALUE"""),"")</f>
        <v/>
      </c>
      <c r="N2389" s="6" t="str">
        <f>IFERROR(__xludf.DUMMYFUNCTION("""COMPUTED_VALUE"""),"")</f>
        <v/>
      </c>
      <c r="O2389" s="87" t="str">
        <f>IFERROR(__xludf.DUMMYFUNCTION("""COMPUTED_VALUE"""),"https://drive.google.com/drive/folders/10T2cTQHqEJZqE-st6uFKPoI?usp=share_link")</f>
        <v>https://drive.google.com/drive/folders/10T2cTQHqEJZqE-st6uFKPoI?usp=share_link</v>
      </c>
      <c r="P2389" s="6" t="str">
        <f>IFERROR(__xludf.DUMMYFUNCTION("""COMPUTED_VALUE"""),"Aaron Torres Burciaga")</f>
        <v>Aaron Torres Burciaga</v>
      </c>
      <c r="Q2389" s="6" t="str">
        <f>IFERROR(__xludf.DUMMYFUNCTION("""COMPUTED_VALUE"""),"L2")</f>
        <v>L2</v>
      </c>
      <c r="R2389" s="6">
        <f>IFERROR(__xludf.DUMMYFUNCTION("""COMPUTED_VALUE"""),2.0)</f>
        <v>2</v>
      </c>
      <c r="S2389" s="6" t="str">
        <f>IFERROR(__xludf.DUMMYFUNCTION("""COMPUTED_VALUE""")," ")</f>
        <v> </v>
      </c>
      <c r="T2389" s="6" t="str">
        <f>IFERROR(__xludf.DUMMYFUNCTION("""COMPUTED_VALUE"""),"")</f>
        <v/>
      </c>
      <c r="U2389" s="6" t="str">
        <f>IFERROR(__xludf.DUMMYFUNCTION("""COMPUTED_VALUE"""),"4")</f>
        <v>4</v>
      </c>
      <c r="V2389" s="6" t="str">
        <f>IFERROR(__xludf.DUMMYFUNCTION("""COMPUTED_VALUE"""),"")</f>
        <v/>
      </c>
      <c r="W2389" s="6" t="str">
        <f>IFERROR(__xludf.DUMMYFUNCTION("""COMPUTED_VALUE"""),"[]")</f>
        <v>[]</v>
      </c>
      <c r="X2389" s="6" t="str">
        <f>IFERROR(__xludf.DUMMYFUNCTION("""COMPUTED_VALUE"""),"Enrolled")</f>
        <v>Enrolled</v>
      </c>
    </row>
    <row r="2390">
      <c r="A2390" s="6" t="str">
        <f>IFERROR(__xludf.DUMMYFUNCTION("""COMPUTED_VALUE"""),"040-4182")</f>
        <v>040-4182</v>
      </c>
      <c r="B2390" s="6" t="str">
        <f>IFERROR(__xludf.DUMMYFUNCTION("""COMPUTED_VALUE"""),"40")</f>
        <v>40</v>
      </c>
      <c r="C2390" s="6" t="str">
        <f>IFERROR(__xludf.DUMMYFUNCTION("""COMPUTED_VALUE"""),"4182")</f>
        <v>4182</v>
      </c>
      <c r="D2390" s="6" t="str">
        <f>IFERROR(__xludf.DUMMYFUNCTION("""COMPUTED_VALUE"""),"Mason")</f>
        <v>Mason</v>
      </c>
      <c r="E2390" s="6" t="str">
        <f>IFERROR(__xludf.DUMMYFUNCTION("""COMPUTED_VALUE"""),"")</f>
        <v/>
      </c>
      <c r="F2390" s="6" t="str">
        <f>IFERROR(__xludf.DUMMYFUNCTION("""COMPUTED_VALUE"""),"Brown")</f>
        <v>Brown</v>
      </c>
      <c r="G2390" s="6" t="str">
        <f>IFERROR(__xludf.DUMMYFUNCTION("""COMPUTED_VALUE"""),"10/13/2012")</f>
        <v>10/13/2012</v>
      </c>
      <c r="H2390" s="6" t="str">
        <f>IFERROR(__xludf.DUMMYFUNCTION("""COMPUTED_VALUE"""),"Self Identify")</f>
        <v>Self Identify</v>
      </c>
      <c r="I2390" s="6" t="str">
        <f>IFERROR(__xludf.DUMMYFUNCTION("""COMPUTED_VALUE"""),"Middle School")</f>
        <v>Middle School</v>
      </c>
      <c r="J2390" s="6" t="str">
        <f>IFERROR(__xludf.DUMMYFUNCTION("""COMPUTED_VALUE"""),"8")</f>
        <v>8</v>
      </c>
      <c r="K2390" s="6" t="str">
        <f>IFERROR(__xludf.DUMMYFUNCTION("""COMPUTED_VALUE"""),"mason.brown@unbound.school")</f>
        <v>mason.brown@unbound.school</v>
      </c>
      <c r="L2390" s="6" t="str">
        <f>IFERROR(__xludf.DUMMYFUNCTION("""COMPUTED_VALUE"""),"Unbound Academy")</f>
        <v>Unbound Academy</v>
      </c>
      <c r="M2390" s="6" t="str">
        <f>IFERROR(__xludf.DUMMYFUNCTION("""COMPUTED_VALUE"""),"")</f>
        <v/>
      </c>
      <c r="N2390" s="6" t="str">
        <f>IFERROR(__xludf.DUMMYFUNCTION("""COMPUTED_VALUE"""),"")</f>
        <v/>
      </c>
      <c r="O2390" s="87" t="str">
        <f>IFERROR(__xludf.DUMMYFUNCTION("""COMPUTED_VALUE"""),"https://drive.google.com/drive/folders/10T2cTQHqEJZqE-st6uFKPoI?usp=share_link")</f>
        <v>https://drive.google.com/drive/folders/10T2cTQHqEJZqE-st6uFKPoI?usp=share_link</v>
      </c>
      <c r="P2390" s="6" t="str">
        <f>IFERROR(__xludf.DUMMYFUNCTION("""COMPUTED_VALUE"""),"Mason Brown")</f>
        <v>Mason Brown</v>
      </c>
      <c r="Q2390" s="6" t="str">
        <f>IFERROR(__xludf.DUMMYFUNCTION("""COMPUTED_VALUE"""),"MS")</f>
        <v>MS</v>
      </c>
      <c r="R2390" s="6">
        <f>IFERROR(__xludf.DUMMYFUNCTION("""COMPUTED_VALUE"""),0.0)</f>
        <v>0</v>
      </c>
      <c r="S2390" s="6" t="str">
        <f>IFERROR(__xludf.DUMMYFUNCTION("""COMPUTED_VALUE""")," ")</f>
        <v> </v>
      </c>
      <c r="T2390" s="6" t="str">
        <f>IFERROR(__xludf.DUMMYFUNCTION("""COMPUTED_VALUE"""),"")</f>
        <v/>
      </c>
      <c r="U2390" s="6" t="str">
        <f>IFERROR(__xludf.DUMMYFUNCTION("""COMPUTED_VALUE"""),"8")</f>
        <v>8</v>
      </c>
      <c r="V2390" s="6" t="str">
        <f>IFERROR(__xludf.DUMMYFUNCTION("""COMPUTED_VALUE"""),"")</f>
        <v/>
      </c>
      <c r="W2390" s="6" t="str">
        <f>IFERROR(__xludf.DUMMYFUNCTION("""COMPUTED_VALUE"""),"[]")</f>
        <v>[]</v>
      </c>
      <c r="X2390" s="6" t="str">
        <f>IFERROR(__xludf.DUMMYFUNCTION("""COMPUTED_VALUE"""),"Enrolled")</f>
        <v>Enrolled</v>
      </c>
    </row>
    <row r="2391">
      <c r="A2391" s="6" t="str">
        <f>IFERROR(__xludf.DUMMYFUNCTION("""COMPUTED_VALUE"""),"040-4183")</f>
        <v>040-4183</v>
      </c>
      <c r="B2391" s="6" t="str">
        <f>IFERROR(__xludf.DUMMYFUNCTION("""COMPUTED_VALUE"""),"40")</f>
        <v>40</v>
      </c>
      <c r="C2391" s="6" t="str">
        <f>IFERROR(__xludf.DUMMYFUNCTION("""COMPUTED_VALUE"""),"4183")</f>
        <v>4183</v>
      </c>
      <c r="D2391" s="6" t="str">
        <f>IFERROR(__xludf.DUMMYFUNCTION("""COMPUTED_VALUE"""),"Cruz")</f>
        <v>Cruz</v>
      </c>
      <c r="E2391" s="6" t="str">
        <f>IFERROR(__xludf.DUMMYFUNCTION("""COMPUTED_VALUE"""),"")</f>
        <v/>
      </c>
      <c r="F2391" s="6" t="str">
        <f>IFERROR(__xludf.DUMMYFUNCTION("""COMPUTED_VALUE"""),"Guzman-Barron")</f>
        <v>Guzman-Barron</v>
      </c>
      <c r="G2391" s="6" t="str">
        <f>IFERROR(__xludf.DUMMYFUNCTION("""COMPUTED_VALUE"""),"10/22/2012")</f>
        <v>10/22/2012</v>
      </c>
      <c r="H2391" s="6" t="str">
        <f>IFERROR(__xludf.DUMMYFUNCTION("""COMPUTED_VALUE"""),"male")</f>
        <v>male</v>
      </c>
      <c r="I2391" s="6" t="str">
        <f>IFERROR(__xludf.DUMMYFUNCTION("""COMPUTED_VALUE"""),"Middle School")</f>
        <v>Middle School</v>
      </c>
      <c r="J2391" s="6" t="str">
        <f>IFERROR(__xludf.DUMMYFUNCTION("""COMPUTED_VALUE"""),"7")</f>
        <v>7</v>
      </c>
      <c r="K2391" s="6" t="str">
        <f>IFERROR(__xludf.DUMMYFUNCTION("""COMPUTED_VALUE"""),"cruz.guzman-barron@unbound.school")</f>
        <v>cruz.guzman-barron@unbound.school</v>
      </c>
      <c r="L2391" s="6" t="str">
        <f>IFERROR(__xludf.DUMMYFUNCTION("""COMPUTED_VALUE"""),"Unbound Academy")</f>
        <v>Unbound Academy</v>
      </c>
      <c r="M2391" s="6" t="str">
        <f>IFERROR(__xludf.DUMMYFUNCTION("""COMPUTED_VALUE"""),"")</f>
        <v/>
      </c>
      <c r="N2391" s="6" t="str">
        <f>IFERROR(__xludf.DUMMYFUNCTION("""COMPUTED_VALUE"""),"")</f>
        <v/>
      </c>
      <c r="O2391" s="87" t="str">
        <f>IFERROR(__xludf.DUMMYFUNCTION("""COMPUTED_VALUE"""),"https://drive.google.com/drive/folders/10T2cTQHqEJZqE-st6uFKPoI?usp=share_link")</f>
        <v>https://drive.google.com/drive/folders/10T2cTQHqEJZqE-st6uFKPoI?usp=share_link</v>
      </c>
      <c r="P2391" s="6" t="str">
        <f>IFERROR(__xludf.DUMMYFUNCTION("""COMPUTED_VALUE"""),"Cruz Guzman-Barron")</f>
        <v>Cruz Guzman-Barron</v>
      </c>
      <c r="Q2391" s="6" t="str">
        <f>IFERROR(__xludf.DUMMYFUNCTION("""COMPUTED_VALUE"""),"MS")</f>
        <v>MS</v>
      </c>
      <c r="R2391" s="6">
        <f>IFERROR(__xludf.DUMMYFUNCTION("""COMPUTED_VALUE"""),0.0)</f>
        <v>0</v>
      </c>
      <c r="S2391" s="6" t="str">
        <f>IFERROR(__xludf.DUMMYFUNCTION("""COMPUTED_VALUE""")," ")</f>
        <v> </v>
      </c>
      <c r="T2391" s="6" t="str">
        <f>IFERROR(__xludf.DUMMYFUNCTION("""COMPUTED_VALUE"""),"")</f>
        <v/>
      </c>
      <c r="U2391" s="6" t="str">
        <f>IFERROR(__xludf.DUMMYFUNCTION("""COMPUTED_VALUE"""),"7")</f>
        <v>7</v>
      </c>
      <c r="V2391" s="6" t="str">
        <f>IFERROR(__xludf.DUMMYFUNCTION("""COMPUTED_VALUE"""),"")</f>
        <v/>
      </c>
      <c r="W2391" s="6" t="str">
        <f>IFERROR(__xludf.DUMMYFUNCTION("""COMPUTED_VALUE"""),"[]")</f>
        <v>[]</v>
      </c>
      <c r="X2391" s="6" t="str">
        <f>IFERROR(__xludf.DUMMYFUNCTION("""COMPUTED_VALUE"""),"Enrolled")</f>
        <v>Enrolled</v>
      </c>
    </row>
    <row r="2392">
      <c r="A2392" s="6" t="str">
        <f>IFERROR(__xludf.DUMMYFUNCTION("""COMPUTED_VALUE"""),"040-4184")</f>
        <v>040-4184</v>
      </c>
      <c r="B2392" s="6" t="str">
        <f>IFERROR(__xludf.DUMMYFUNCTION("""COMPUTED_VALUE"""),"40")</f>
        <v>40</v>
      </c>
      <c r="C2392" s="6" t="str">
        <f>IFERROR(__xludf.DUMMYFUNCTION("""COMPUTED_VALUE"""),"4184")</f>
        <v>4184</v>
      </c>
      <c r="D2392" s="6" t="str">
        <f>IFERROR(__xludf.DUMMYFUNCTION("""COMPUTED_VALUE"""),"Sophia")</f>
        <v>Sophia</v>
      </c>
      <c r="E2392" s="6" t="str">
        <f>IFERROR(__xludf.DUMMYFUNCTION("""COMPUTED_VALUE"""),"")</f>
        <v/>
      </c>
      <c r="F2392" s="6" t="str">
        <f>IFERROR(__xludf.DUMMYFUNCTION("""COMPUTED_VALUE"""),"Endler")</f>
        <v>Endler</v>
      </c>
      <c r="G2392" s="6" t="str">
        <f>IFERROR(__xludf.DUMMYFUNCTION("""COMPUTED_VALUE"""),"09/02/2011")</f>
        <v>09/02/2011</v>
      </c>
      <c r="H2392" s="6" t="str">
        <f>IFERROR(__xludf.DUMMYFUNCTION("""COMPUTED_VALUE"""),"Self Identify")</f>
        <v>Self Identify</v>
      </c>
      <c r="I2392" s="6" t="str">
        <f>IFERROR(__xludf.DUMMYFUNCTION("""COMPUTED_VALUE"""),"Middle School")</f>
        <v>Middle School</v>
      </c>
      <c r="J2392" s="6" t="str">
        <f>IFERROR(__xludf.DUMMYFUNCTION("""COMPUTED_VALUE"""),"8")</f>
        <v>8</v>
      </c>
      <c r="K2392" s="6" t="str">
        <f>IFERROR(__xludf.DUMMYFUNCTION("""COMPUTED_VALUE"""),"sophia.endler@unbound.school")</f>
        <v>sophia.endler@unbound.school</v>
      </c>
      <c r="L2392" s="6" t="str">
        <f>IFERROR(__xludf.DUMMYFUNCTION("""COMPUTED_VALUE"""),"Unbound Academy")</f>
        <v>Unbound Academy</v>
      </c>
      <c r="M2392" s="6" t="str">
        <f>IFERROR(__xludf.DUMMYFUNCTION("""COMPUTED_VALUE"""),"")</f>
        <v/>
      </c>
      <c r="N2392" s="6" t="str">
        <f>IFERROR(__xludf.DUMMYFUNCTION("""COMPUTED_VALUE"""),"")</f>
        <v/>
      </c>
      <c r="O2392" s="87" t="str">
        <f>IFERROR(__xludf.DUMMYFUNCTION("""COMPUTED_VALUE"""),"https://drive.google.com/drive/folders/10T2cTQHqEJZqE-st6uFKPoI?usp=share_link")</f>
        <v>https://drive.google.com/drive/folders/10T2cTQHqEJZqE-st6uFKPoI?usp=share_link</v>
      </c>
      <c r="P2392" s="6" t="str">
        <f>IFERROR(__xludf.DUMMYFUNCTION("""COMPUTED_VALUE"""),"Sophia Endler")</f>
        <v>Sophia Endler</v>
      </c>
      <c r="Q2392" s="6" t="str">
        <f>IFERROR(__xludf.DUMMYFUNCTION("""COMPUTED_VALUE"""),"MS")</f>
        <v>MS</v>
      </c>
      <c r="R2392" s="6">
        <f>IFERROR(__xludf.DUMMYFUNCTION("""COMPUTED_VALUE"""),0.0)</f>
        <v>0</v>
      </c>
      <c r="S2392" s="6" t="str">
        <f>IFERROR(__xludf.DUMMYFUNCTION("""COMPUTED_VALUE""")," ")</f>
        <v> </v>
      </c>
      <c r="T2392" s="6" t="str">
        <f>IFERROR(__xludf.DUMMYFUNCTION("""COMPUTED_VALUE"""),"")</f>
        <v/>
      </c>
      <c r="U2392" s="6" t="str">
        <f>IFERROR(__xludf.DUMMYFUNCTION("""COMPUTED_VALUE"""),"8")</f>
        <v>8</v>
      </c>
      <c r="V2392" s="6" t="str">
        <f>IFERROR(__xludf.DUMMYFUNCTION("""COMPUTED_VALUE"""),"")</f>
        <v/>
      </c>
      <c r="W2392" s="6" t="str">
        <f>IFERROR(__xludf.DUMMYFUNCTION("""COMPUTED_VALUE"""),"[]")</f>
        <v>[]</v>
      </c>
      <c r="X2392" s="6" t="str">
        <f>IFERROR(__xludf.DUMMYFUNCTION("""COMPUTED_VALUE"""),"Enrolled")</f>
        <v>Enrolled</v>
      </c>
    </row>
    <row r="2393">
      <c r="A2393" s="6" t="str">
        <f>IFERROR(__xludf.DUMMYFUNCTION("""COMPUTED_VALUE"""),"040-4187")</f>
        <v>040-4187</v>
      </c>
      <c r="B2393" s="6" t="str">
        <f>IFERROR(__xludf.DUMMYFUNCTION("""COMPUTED_VALUE"""),"40")</f>
        <v>40</v>
      </c>
      <c r="C2393" s="6" t="str">
        <f>IFERROR(__xludf.DUMMYFUNCTION("""COMPUTED_VALUE"""),"4187")</f>
        <v>4187</v>
      </c>
      <c r="D2393" s="6" t="str">
        <f>IFERROR(__xludf.DUMMYFUNCTION("""COMPUTED_VALUE"""),"Dylan")</f>
        <v>Dylan</v>
      </c>
      <c r="E2393" s="6" t="str">
        <f>IFERROR(__xludf.DUMMYFUNCTION("""COMPUTED_VALUE"""),"")</f>
        <v/>
      </c>
      <c r="F2393" s="6" t="str">
        <f>IFERROR(__xludf.DUMMYFUNCTION("""COMPUTED_VALUE"""),"Grange")</f>
        <v>Grange</v>
      </c>
      <c r="G2393" s="6" t="str">
        <f>IFERROR(__xludf.DUMMYFUNCTION("""COMPUTED_VALUE"""),"02/23/2011")</f>
        <v>02/23/2011</v>
      </c>
      <c r="H2393" s="6" t="str">
        <f>IFERROR(__xludf.DUMMYFUNCTION("""COMPUTED_VALUE"""),"Self Identify")</f>
        <v>Self Identify</v>
      </c>
      <c r="I2393" s="6" t="str">
        <f>IFERROR(__xludf.DUMMYFUNCTION("""COMPUTED_VALUE"""),"Middle School")</f>
        <v>Middle School</v>
      </c>
      <c r="J2393" s="6" t="str">
        <f>IFERROR(__xludf.DUMMYFUNCTION("""COMPUTED_VALUE"""),"8")</f>
        <v>8</v>
      </c>
      <c r="K2393" s="6" t="str">
        <f>IFERROR(__xludf.DUMMYFUNCTION("""COMPUTED_VALUE"""),"dylan.grange@unbound.school")</f>
        <v>dylan.grange@unbound.school</v>
      </c>
      <c r="L2393" s="6" t="str">
        <f>IFERROR(__xludf.DUMMYFUNCTION("""COMPUTED_VALUE"""),"Unbound Academy")</f>
        <v>Unbound Academy</v>
      </c>
      <c r="M2393" s="6" t="str">
        <f>IFERROR(__xludf.DUMMYFUNCTION("""COMPUTED_VALUE"""),"")</f>
        <v/>
      </c>
      <c r="N2393" s="6" t="str">
        <f>IFERROR(__xludf.DUMMYFUNCTION("""COMPUTED_VALUE"""),"")</f>
        <v/>
      </c>
      <c r="O2393" s="87" t="str">
        <f>IFERROR(__xludf.DUMMYFUNCTION("""COMPUTED_VALUE"""),"https://drive.google.com/drive/folders/10T2cTQHqEJZqE-st6uFKPoI?usp=share_link")</f>
        <v>https://drive.google.com/drive/folders/10T2cTQHqEJZqE-st6uFKPoI?usp=share_link</v>
      </c>
      <c r="P2393" s="6" t="str">
        <f>IFERROR(__xludf.DUMMYFUNCTION("""COMPUTED_VALUE"""),"Dylan Grange")</f>
        <v>Dylan Grange</v>
      </c>
      <c r="Q2393" s="6" t="str">
        <f>IFERROR(__xludf.DUMMYFUNCTION("""COMPUTED_VALUE"""),"MS")</f>
        <v>MS</v>
      </c>
      <c r="R2393" s="6">
        <f>IFERROR(__xludf.DUMMYFUNCTION("""COMPUTED_VALUE"""),0.0)</f>
        <v>0</v>
      </c>
      <c r="S2393" s="6" t="str">
        <f>IFERROR(__xludf.DUMMYFUNCTION("""COMPUTED_VALUE""")," ")</f>
        <v> </v>
      </c>
      <c r="T2393" s="6" t="str">
        <f>IFERROR(__xludf.DUMMYFUNCTION("""COMPUTED_VALUE"""),"")</f>
        <v/>
      </c>
      <c r="U2393" s="6" t="str">
        <f>IFERROR(__xludf.DUMMYFUNCTION("""COMPUTED_VALUE"""),"8")</f>
        <v>8</v>
      </c>
      <c r="V2393" s="6" t="str">
        <f>IFERROR(__xludf.DUMMYFUNCTION("""COMPUTED_VALUE"""),"")</f>
        <v/>
      </c>
      <c r="W2393" s="6" t="str">
        <f>IFERROR(__xludf.DUMMYFUNCTION("""COMPUTED_VALUE"""),"[]")</f>
        <v>[]</v>
      </c>
      <c r="X2393" s="6" t="str">
        <f>IFERROR(__xludf.DUMMYFUNCTION("""COMPUTED_VALUE"""),"Enrolled")</f>
        <v>Enrolled</v>
      </c>
    </row>
    <row r="2394">
      <c r="A2394" s="6" t="str">
        <f>IFERROR(__xludf.DUMMYFUNCTION("""COMPUTED_VALUE"""),"040-4190")</f>
        <v>040-4190</v>
      </c>
      <c r="B2394" s="6" t="str">
        <f>IFERROR(__xludf.DUMMYFUNCTION("""COMPUTED_VALUE"""),"40")</f>
        <v>40</v>
      </c>
      <c r="C2394" s="6" t="str">
        <f>IFERROR(__xludf.DUMMYFUNCTION("""COMPUTED_VALUE"""),"4190")</f>
        <v>4190</v>
      </c>
      <c r="D2394" s="6" t="str">
        <f>IFERROR(__xludf.DUMMYFUNCTION("""COMPUTED_VALUE"""),"Theodore")</f>
        <v>Theodore</v>
      </c>
      <c r="E2394" s="6" t="str">
        <f>IFERROR(__xludf.DUMMYFUNCTION("""COMPUTED_VALUE"""),"")</f>
        <v/>
      </c>
      <c r="F2394" s="6" t="str">
        <f>IFERROR(__xludf.DUMMYFUNCTION("""COMPUTED_VALUE"""),"Riley")</f>
        <v>Riley</v>
      </c>
      <c r="G2394" s="6" t="str">
        <f>IFERROR(__xludf.DUMMYFUNCTION("""COMPUTED_VALUE"""),"02/18/2014")</f>
        <v>02/18/2014</v>
      </c>
      <c r="H2394" s="6" t="str">
        <f>IFERROR(__xludf.DUMMYFUNCTION("""COMPUTED_VALUE"""),"Self Identify")</f>
        <v>Self Identify</v>
      </c>
      <c r="I2394" s="6" t="str">
        <f>IFERROR(__xludf.DUMMYFUNCTION("""COMPUTED_VALUE"""),"Middle School")</f>
        <v>Middle School</v>
      </c>
      <c r="J2394" s="6" t="str">
        <f>IFERROR(__xludf.DUMMYFUNCTION("""COMPUTED_VALUE"""),"6")</f>
        <v>6</v>
      </c>
      <c r="K2394" s="6" t="str">
        <f>IFERROR(__xludf.DUMMYFUNCTION("""COMPUTED_VALUE"""),"theodore.riley@unbound.school")</f>
        <v>theodore.riley@unbound.school</v>
      </c>
      <c r="L2394" s="6" t="str">
        <f>IFERROR(__xludf.DUMMYFUNCTION("""COMPUTED_VALUE"""),"Unbound Academy")</f>
        <v>Unbound Academy</v>
      </c>
      <c r="M2394" s="6" t="str">
        <f>IFERROR(__xludf.DUMMYFUNCTION("""COMPUTED_VALUE"""),"")</f>
        <v/>
      </c>
      <c r="N2394" s="6" t="str">
        <f>IFERROR(__xludf.DUMMYFUNCTION("""COMPUTED_VALUE"""),"")</f>
        <v/>
      </c>
      <c r="O2394" s="87" t="str">
        <f>IFERROR(__xludf.DUMMYFUNCTION("""COMPUTED_VALUE"""),"https://drive.google.com/drive/folders/10T2cTQHqEJZqE-st6uFKPoI?usp=share_link")</f>
        <v>https://drive.google.com/drive/folders/10T2cTQHqEJZqE-st6uFKPoI?usp=share_link</v>
      </c>
      <c r="P2394" s="6" t="str">
        <f>IFERROR(__xludf.DUMMYFUNCTION("""COMPUTED_VALUE"""),"Theodore Riley")</f>
        <v>Theodore Riley</v>
      </c>
      <c r="Q2394" s="6" t="str">
        <f>IFERROR(__xludf.DUMMYFUNCTION("""COMPUTED_VALUE"""),"MS")</f>
        <v>MS</v>
      </c>
      <c r="R2394" s="6">
        <f>IFERROR(__xludf.DUMMYFUNCTION("""COMPUTED_VALUE"""),0.0)</f>
        <v>0</v>
      </c>
      <c r="S2394" s="6" t="str">
        <f>IFERROR(__xludf.DUMMYFUNCTION("""COMPUTED_VALUE""")," ")</f>
        <v> </v>
      </c>
      <c r="T2394" s="6" t="str">
        <f>IFERROR(__xludf.DUMMYFUNCTION("""COMPUTED_VALUE"""),"")</f>
        <v/>
      </c>
      <c r="U2394" s="6" t="str">
        <f>IFERROR(__xludf.DUMMYFUNCTION("""COMPUTED_VALUE"""),"6")</f>
        <v>6</v>
      </c>
      <c r="V2394" s="6" t="str">
        <f>IFERROR(__xludf.DUMMYFUNCTION("""COMPUTED_VALUE"""),"")</f>
        <v/>
      </c>
      <c r="W2394" s="6" t="str">
        <f>IFERROR(__xludf.DUMMYFUNCTION("""COMPUTED_VALUE"""),"[]")</f>
        <v>[]</v>
      </c>
      <c r="X2394" s="6" t="str">
        <f>IFERROR(__xludf.DUMMYFUNCTION("""COMPUTED_VALUE"""),"Enrolled")</f>
        <v>Enrolled</v>
      </c>
    </row>
    <row r="2395">
      <c r="A2395" s="6" t="str">
        <f>IFERROR(__xludf.DUMMYFUNCTION("""COMPUTED_VALUE"""),"040-4191")</f>
        <v>040-4191</v>
      </c>
      <c r="B2395" s="6" t="str">
        <f>IFERROR(__xludf.DUMMYFUNCTION("""COMPUTED_VALUE"""),"40")</f>
        <v>40</v>
      </c>
      <c r="C2395" s="6" t="str">
        <f>IFERROR(__xludf.DUMMYFUNCTION("""COMPUTED_VALUE"""),"4191")</f>
        <v>4191</v>
      </c>
      <c r="D2395" s="6" t="str">
        <f>IFERROR(__xludf.DUMMYFUNCTION("""COMPUTED_VALUE"""),"Raphael")</f>
        <v>Raphael</v>
      </c>
      <c r="E2395" s="6" t="str">
        <f>IFERROR(__xludf.DUMMYFUNCTION("""COMPUTED_VALUE"""),"")</f>
        <v/>
      </c>
      <c r="F2395" s="6" t="str">
        <f>IFERROR(__xludf.DUMMYFUNCTION("""COMPUTED_VALUE"""),"Dear")</f>
        <v>Dear</v>
      </c>
      <c r="G2395" s="6" t="str">
        <f>IFERROR(__xludf.DUMMYFUNCTION("""COMPUTED_VALUE"""),"06/01/2012")</f>
        <v>06/01/2012</v>
      </c>
      <c r="H2395" s="6" t="str">
        <f>IFERROR(__xludf.DUMMYFUNCTION("""COMPUTED_VALUE"""),"Self Identify")</f>
        <v>Self Identify</v>
      </c>
      <c r="I2395" s="6" t="str">
        <f>IFERROR(__xludf.DUMMYFUNCTION("""COMPUTED_VALUE"""),"Middle School")</f>
        <v>Middle School</v>
      </c>
      <c r="J2395" s="6" t="str">
        <f>IFERROR(__xludf.DUMMYFUNCTION("""COMPUTED_VALUE"""),"7")</f>
        <v>7</v>
      </c>
      <c r="K2395" s="6" t="str">
        <f>IFERROR(__xludf.DUMMYFUNCTION("""COMPUTED_VALUE"""),"raphael.dear@unbound.school")</f>
        <v>raphael.dear@unbound.school</v>
      </c>
      <c r="L2395" s="6" t="str">
        <f>IFERROR(__xludf.DUMMYFUNCTION("""COMPUTED_VALUE"""),"Unbound Academy")</f>
        <v>Unbound Academy</v>
      </c>
      <c r="M2395" s="6" t="str">
        <f>IFERROR(__xludf.DUMMYFUNCTION("""COMPUTED_VALUE"""),"")</f>
        <v/>
      </c>
      <c r="N2395" s="6" t="str">
        <f>IFERROR(__xludf.DUMMYFUNCTION("""COMPUTED_VALUE"""),"")</f>
        <v/>
      </c>
      <c r="O2395" s="87" t="str">
        <f>IFERROR(__xludf.DUMMYFUNCTION("""COMPUTED_VALUE"""),"https://drive.google.com/drive/folders/10T2cTQHqEJZqE-st6uFKPoI?usp=share_link")</f>
        <v>https://drive.google.com/drive/folders/10T2cTQHqEJZqE-st6uFKPoI?usp=share_link</v>
      </c>
      <c r="P2395" s="6" t="str">
        <f>IFERROR(__xludf.DUMMYFUNCTION("""COMPUTED_VALUE"""),"Raphael Dear")</f>
        <v>Raphael Dear</v>
      </c>
      <c r="Q2395" s="6" t="str">
        <f>IFERROR(__xludf.DUMMYFUNCTION("""COMPUTED_VALUE"""),"MS")</f>
        <v>MS</v>
      </c>
      <c r="R2395" s="6">
        <f>IFERROR(__xludf.DUMMYFUNCTION("""COMPUTED_VALUE"""),0.0)</f>
        <v>0</v>
      </c>
      <c r="S2395" s="6" t="str">
        <f>IFERROR(__xludf.DUMMYFUNCTION("""COMPUTED_VALUE""")," ")</f>
        <v> </v>
      </c>
      <c r="T2395" s="6" t="str">
        <f>IFERROR(__xludf.DUMMYFUNCTION("""COMPUTED_VALUE"""),"")</f>
        <v/>
      </c>
      <c r="U2395" s="6" t="str">
        <f>IFERROR(__xludf.DUMMYFUNCTION("""COMPUTED_VALUE"""),"7")</f>
        <v>7</v>
      </c>
      <c r="V2395" s="6" t="str">
        <f>IFERROR(__xludf.DUMMYFUNCTION("""COMPUTED_VALUE"""),"")</f>
        <v/>
      </c>
      <c r="W2395" s="6" t="str">
        <f>IFERROR(__xludf.DUMMYFUNCTION("""COMPUTED_VALUE"""),"[]")</f>
        <v>[]</v>
      </c>
      <c r="X2395" s="6" t="str">
        <f>IFERROR(__xludf.DUMMYFUNCTION("""COMPUTED_VALUE"""),"Enrolled")</f>
        <v>Enrolled</v>
      </c>
    </row>
    <row r="2396">
      <c r="A2396" s="6" t="str">
        <f>IFERROR(__xludf.DUMMYFUNCTION("""COMPUTED_VALUE"""),"040-4193")</f>
        <v>040-4193</v>
      </c>
      <c r="B2396" s="6" t="str">
        <f>IFERROR(__xludf.DUMMYFUNCTION("""COMPUTED_VALUE"""),"40")</f>
        <v>40</v>
      </c>
      <c r="C2396" s="6" t="str">
        <f>IFERROR(__xludf.DUMMYFUNCTION("""COMPUTED_VALUE"""),"4193")</f>
        <v>4193</v>
      </c>
      <c r="D2396" s="6" t="str">
        <f>IFERROR(__xludf.DUMMYFUNCTION("""COMPUTED_VALUE"""),"D'Shane")</f>
        <v>D'Shane</v>
      </c>
      <c r="E2396" s="6" t="str">
        <f>IFERROR(__xludf.DUMMYFUNCTION("""COMPUTED_VALUE"""),"")</f>
        <v/>
      </c>
      <c r="F2396" s="6" t="str">
        <f>IFERROR(__xludf.DUMMYFUNCTION("""COMPUTED_VALUE"""),"Juan")</f>
        <v>Juan</v>
      </c>
      <c r="G2396" s="6" t="str">
        <f>IFERROR(__xludf.DUMMYFUNCTION("""COMPUTED_VALUE"""),"01/19/2010")</f>
        <v>01/19/2010</v>
      </c>
      <c r="H2396" s="6" t="str">
        <f>IFERROR(__xludf.DUMMYFUNCTION("""COMPUTED_VALUE"""),"Self Identify")</f>
        <v>Self Identify</v>
      </c>
      <c r="I2396" s="6" t="str">
        <f>IFERROR(__xludf.DUMMYFUNCTION("""COMPUTED_VALUE"""),"Middle School")</f>
        <v>Middle School</v>
      </c>
      <c r="J2396" s="6" t="str">
        <f>IFERROR(__xludf.DUMMYFUNCTION("""COMPUTED_VALUE"""),"8")</f>
        <v>8</v>
      </c>
      <c r="K2396" s="6" t="str">
        <f>IFERROR(__xludf.DUMMYFUNCTION("""COMPUTED_VALUE"""),"dshane.juan@unbound.school")</f>
        <v>dshane.juan@unbound.school</v>
      </c>
      <c r="L2396" s="6" t="str">
        <f>IFERROR(__xludf.DUMMYFUNCTION("""COMPUTED_VALUE"""),"Unbound Academy")</f>
        <v>Unbound Academy</v>
      </c>
      <c r="M2396" s="6" t="str">
        <f>IFERROR(__xludf.DUMMYFUNCTION("""COMPUTED_VALUE"""),"")</f>
        <v/>
      </c>
      <c r="N2396" s="6" t="str">
        <f>IFERROR(__xludf.DUMMYFUNCTION("""COMPUTED_VALUE"""),"")</f>
        <v/>
      </c>
      <c r="O2396" s="87" t="str">
        <f>IFERROR(__xludf.DUMMYFUNCTION("""COMPUTED_VALUE"""),"https://drive.google.com/drive/folders/10T2cTQHqEJZqE-st6uFKPoI?usp=share_link")</f>
        <v>https://drive.google.com/drive/folders/10T2cTQHqEJZqE-st6uFKPoI?usp=share_link</v>
      </c>
      <c r="P2396" s="6" t="str">
        <f>IFERROR(__xludf.DUMMYFUNCTION("""COMPUTED_VALUE"""),"D'Shane Juan")</f>
        <v>D'Shane Juan</v>
      </c>
      <c r="Q2396" s="6" t="str">
        <f>IFERROR(__xludf.DUMMYFUNCTION("""COMPUTED_VALUE"""),"MS")</f>
        <v>MS</v>
      </c>
      <c r="R2396" s="6">
        <f>IFERROR(__xludf.DUMMYFUNCTION("""COMPUTED_VALUE"""),0.0)</f>
        <v>0</v>
      </c>
      <c r="S2396" s="6" t="str">
        <f>IFERROR(__xludf.DUMMYFUNCTION("""COMPUTED_VALUE""")," ")</f>
        <v> </v>
      </c>
      <c r="T2396" s="6" t="str">
        <f>IFERROR(__xludf.DUMMYFUNCTION("""COMPUTED_VALUE"""),"")</f>
        <v/>
      </c>
      <c r="U2396" s="6" t="str">
        <f>IFERROR(__xludf.DUMMYFUNCTION("""COMPUTED_VALUE"""),"8")</f>
        <v>8</v>
      </c>
      <c r="V2396" s="6" t="str">
        <f>IFERROR(__xludf.DUMMYFUNCTION("""COMPUTED_VALUE"""),"")</f>
        <v/>
      </c>
      <c r="W2396" s="6" t="str">
        <f>IFERROR(__xludf.DUMMYFUNCTION("""COMPUTED_VALUE"""),"[]")</f>
        <v>[]</v>
      </c>
      <c r="X2396" s="6" t="str">
        <f>IFERROR(__xludf.DUMMYFUNCTION("""COMPUTED_VALUE"""),"Enrolled")</f>
        <v>Enrolled</v>
      </c>
    </row>
    <row r="2397">
      <c r="A2397" s="6" t="str">
        <f>IFERROR(__xludf.DUMMYFUNCTION("""COMPUTED_VALUE"""),"040-4229")</f>
        <v>040-4229</v>
      </c>
      <c r="B2397" s="6" t="str">
        <f>IFERROR(__xludf.DUMMYFUNCTION("""COMPUTED_VALUE"""),"40")</f>
        <v>40</v>
      </c>
      <c r="C2397" s="6" t="str">
        <f>IFERROR(__xludf.DUMMYFUNCTION("""COMPUTED_VALUE"""),"4229")</f>
        <v>4229</v>
      </c>
      <c r="D2397" s="6" t="str">
        <f>IFERROR(__xludf.DUMMYFUNCTION("""COMPUTED_VALUE"""),"Tenor")</f>
        <v>Tenor</v>
      </c>
      <c r="E2397" s="6" t="str">
        <f>IFERROR(__xludf.DUMMYFUNCTION("""COMPUTED_VALUE"""),"")</f>
        <v/>
      </c>
      <c r="F2397" s="6" t="str">
        <f>IFERROR(__xludf.DUMMYFUNCTION("""COMPUTED_VALUE"""),"Smith")</f>
        <v>Smith</v>
      </c>
      <c r="G2397" s="6" t="str">
        <f>IFERROR(__xludf.DUMMYFUNCTION("""COMPUTED_VALUE"""),"09/07/2014")</f>
        <v>09/07/2014</v>
      </c>
      <c r="H2397" s="6" t="str">
        <f>IFERROR(__xludf.DUMMYFUNCTION("""COMPUTED_VALUE"""),"Self Identify")</f>
        <v>Self Identify</v>
      </c>
      <c r="I2397" s="6" t="str">
        <f>IFERROR(__xludf.DUMMYFUNCTION("""COMPUTED_VALUE"""),"Level 2")</f>
        <v>Level 2</v>
      </c>
      <c r="J2397" s="6" t="str">
        <f>IFERROR(__xludf.DUMMYFUNCTION("""COMPUTED_VALUE"""),"5")</f>
        <v>5</v>
      </c>
      <c r="K2397" s="6" t="str">
        <f>IFERROR(__xludf.DUMMYFUNCTION("""COMPUTED_VALUE"""),"tenor.smith@unbound.school")</f>
        <v>tenor.smith@unbound.school</v>
      </c>
      <c r="L2397" s="6" t="str">
        <f>IFERROR(__xludf.DUMMYFUNCTION("""COMPUTED_VALUE"""),"Unbound Academy")</f>
        <v>Unbound Academy</v>
      </c>
      <c r="M2397" s="6" t="str">
        <f>IFERROR(__xludf.DUMMYFUNCTION("""COMPUTED_VALUE"""),"")</f>
        <v/>
      </c>
      <c r="N2397" s="6" t="str">
        <f>IFERROR(__xludf.DUMMYFUNCTION("""COMPUTED_VALUE"""),"")</f>
        <v/>
      </c>
      <c r="O2397" s="87" t="str">
        <f>IFERROR(__xludf.DUMMYFUNCTION("""COMPUTED_VALUE"""),"https://drive.google.com/drive/folders/10T2cTQHqEJZqE-st6uFKPoI?usp=share_link")</f>
        <v>https://drive.google.com/drive/folders/10T2cTQHqEJZqE-st6uFKPoI?usp=share_link</v>
      </c>
      <c r="P2397" s="6" t="str">
        <f>IFERROR(__xludf.DUMMYFUNCTION("""COMPUTED_VALUE"""),"Tenor Smith")</f>
        <v>Tenor Smith</v>
      </c>
      <c r="Q2397" s="6" t="str">
        <f>IFERROR(__xludf.DUMMYFUNCTION("""COMPUTED_VALUE"""),"L2")</f>
        <v>L2</v>
      </c>
      <c r="R2397" s="6">
        <f>IFERROR(__xludf.DUMMYFUNCTION("""COMPUTED_VALUE"""),2.0)</f>
        <v>2</v>
      </c>
      <c r="S2397" s="6" t="str">
        <f>IFERROR(__xludf.DUMMYFUNCTION("""COMPUTED_VALUE""")," ")</f>
        <v> </v>
      </c>
      <c r="T2397" s="6" t="str">
        <f>IFERROR(__xludf.DUMMYFUNCTION("""COMPUTED_VALUE"""),"")</f>
        <v/>
      </c>
      <c r="U2397" s="6" t="str">
        <f>IFERROR(__xludf.DUMMYFUNCTION("""COMPUTED_VALUE"""),"5")</f>
        <v>5</v>
      </c>
      <c r="V2397" s="6" t="str">
        <f>IFERROR(__xludf.DUMMYFUNCTION("""COMPUTED_VALUE"""),"")</f>
        <v/>
      </c>
      <c r="W2397" s="6" t="str">
        <f>IFERROR(__xludf.DUMMYFUNCTION("""COMPUTED_VALUE"""),"[]")</f>
        <v>[]</v>
      </c>
      <c r="X2397" s="6" t="str">
        <f>IFERROR(__xludf.DUMMYFUNCTION("""COMPUTED_VALUE"""),"Enrolled")</f>
        <v>Enrolled</v>
      </c>
    </row>
    <row r="2398">
      <c r="A2398" s="6" t="str">
        <f>IFERROR(__xludf.DUMMYFUNCTION("""COMPUTED_VALUE"""),"040-4230")</f>
        <v>040-4230</v>
      </c>
      <c r="B2398" s="6" t="str">
        <f>IFERROR(__xludf.DUMMYFUNCTION("""COMPUTED_VALUE"""),"40")</f>
        <v>40</v>
      </c>
      <c r="C2398" s="6" t="str">
        <f>IFERROR(__xludf.DUMMYFUNCTION("""COMPUTED_VALUE"""),"4230")</f>
        <v>4230</v>
      </c>
      <c r="D2398" s="6" t="str">
        <f>IFERROR(__xludf.DUMMYFUNCTION("""COMPUTED_VALUE"""),"Mondre")</f>
        <v>Mondre</v>
      </c>
      <c r="E2398" s="6" t="str">
        <f>IFERROR(__xludf.DUMMYFUNCTION("""COMPUTED_VALUE"""),"")</f>
        <v/>
      </c>
      <c r="F2398" s="6" t="str">
        <f>IFERROR(__xludf.DUMMYFUNCTION("""COMPUTED_VALUE"""),"Wright")</f>
        <v>Wright</v>
      </c>
      <c r="G2398" s="6" t="str">
        <f>IFERROR(__xludf.DUMMYFUNCTION("""COMPUTED_VALUE"""),"01/30/2014")</f>
        <v>01/30/2014</v>
      </c>
      <c r="H2398" s="6" t="str">
        <f>IFERROR(__xludf.DUMMYFUNCTION("""COMPUTED_VALUE"""),"Self Identify")</f>
        <v>Self Identify</v>
      </c>
      <c r="I2398" s="6" t="str">
        <f>IFERROR(__xludf.DUMMYFUNCTION("""COMPUTED_VALUE"""),"Middle School")</f>
        <v>Middle School</v>
      </c>
      <c r="J2398" s="6" t="str">
        <f>IFERROR(__xludf.DUMMYFUNCTION("""COMPUTED_VALUE"""),"6")</f>
        <v>6</v>
      </c>
      <c r="K2398" s="6" t="str">
        <f>IFERROR(__xludf.DUMMYFUNCTION("""COMPUTED_VALUE"""),"mondre.wright@unbound.school")</f>
        <v>mondre.wright@unbound.school</v>
      </c>
      <c r="L2398" s="6" t="str">
        <f>IFERROR(__xludf.DUMMYFUNCTION("""COMPUTED_VALUE"""),"Unbound Academy")</f>
        <v>Unbound Academy</v>
      </c>
      <c r="M2398" s="6" t="str">
        <f>IFERROR(__xludf.DUMMYFUNCTION("""COMPUTED_VALUE"""),"")</f>
        <v/>
      </c>
      <c r="N2398" s="6" t="str">
        <f>IFERROR(__xludf.DUMMYFUNCTION("""COMPUTED_VALUE"""),"")</f>
        <v/>
      </c>
      <c r="O2398" s="87" t="str">
        <f>IFERROR(__xludf.DUMMYFUNCTION("""COMPUTED_VALUE"""),"https://drive.google.com/drive/folders/10T2cTQHqEJZqE-st6uFKPoI?usp=share_link")</f>
        <v>https://drive.google.com/drive/folders/10T2cTQHqEJZqE-st6uFKPoI?usp=share_link</v>
      </c>
      <c r="P2398" s="6" t="str">
        <f>IFERROR(__xludf.DUMMYFUNCTION("""COMPUTED_VALUE"""),"Mondre Wright")</f>
        <v>Mondre Wright</v>
      </c>
      <c r="Q2398" s="6" t="str">
        <f>IFERROR(__xludf.DUMMYFUNCTION("""COMPUTED_VALUE"""),"MS")</f>
        <v>MS</v>
      </c>
      <c r="R2398" s="6">
        <f>IFERROR(__xludf.DUMMYFUNCTION("""COMPUTED_VALUE"""),0.0)</f>
        <v>0</v>
      </c>
      <c r="S2398" s="6" t="str">
        <f>IFERROR(__xludf.DUMMYFUNCTION("""COMPUTED_VALUE""")," ")</f>
        <v> </v>
      </c>
      <c r="T2398" s="6" t="str">
        <f>IFERROR(__xludf.DUMMYFUNCTION("""COMPUTED_VALUE"""),"")</f>
        <v/>
      </c>
      <c r="U2398" s="6" t="str">
        <f>IFERROR(__xludf.DUMMYFUNCTION("""COMPUTED_VALUE"""),"6")</f>
        <v>6</v>
      </c>
      <c r="V2398" s="6" t="str">
        <f>IFERROR(__xludf.DUMMYFUNCTION("""COMPUTED_VALUE"""),"")</f>
        <v/>
      </c>
      <c r="W2398" s="6" t="str">
        <f>IFERROR(__xludf.DUMMYFUNCTION("""COMPUTED_VALUE"""),"[]")</f>
        <v>[]</v>
      </c>
      <c r="X2398" s="6" t="str">
        <f>IFERROR(__xludf.DUMMYFUNCTION("""COMPUTED_VALUE"""),"Enrolled")</f>
        <v>Enrolled</v>
      </c>
    </row>
    <row r="2399">
      <c r="A2399" s="6" t="str">
        <f>IFERROR(__xludf.DUMMYFUNCTION("""COMPUTED_VALUE"""),"040-4232")</f>
        <v>040-4232</v>
      </c>
      <c r="B2399" s="6" t="str">
        <f>IFERROR(__xludf.DUMMYFUNCTION("""COMPUTED_VALUE"""),"40")</f>
        <v>40</v>
      </c>
      <c r="C2399" s="6" t="str">
        <f>IFERROR(__xludf.DUMMYFUNCTION("""COMPUTED_VALUE"""),"4232")</f>
        <v>4232</v>
      </c>
      <c r="D2399" s="6" t="str">
        <f>IFERROR(__xludf.DUMMYFUNCTION("""COMPUTED_VALUE"""),"Dectrick")</f>
        <v>Dectrick</v>
      </c>
      <c r="E2399" s="6" t="str">
        <f>IFERROR(__xludf.DUMMYFUNCTION("""COMPUTED_VALUE"""),"")</f>
        <v/>
      </c>
      <c r="F2399" s="6" t="str">
        <f>IFERROR(__xludf.DUMMYFUNCTION("""COMPUTED_VALUE"""),"Page Jr")</f>
        <v>Page Jr</v>
      </c>
      <c r="G2399" s="6" t="str">
        <f>IFERROR(__xludf.DUMMYFUNCTION("""COMPUTED_VALUE"""),"05/02/2014")</f>
        <v>05/02/2014</v>
      </c>
      <c r="H2399" s="6" t="str">
        <f>IFERROR(__xludf.DUMMYFUNCTION("""COMPUTED_VALUE"""),"Self Identify")</f>
        <v>Self Identify</v>
      </c>
      <c r="I2399" s="6" t="str">
        <f>IFERROR(__xludf.DUMMYFUNCTION("""COMPUTED_VALUE"""),"Level 2")</f>
        <v>Level 2</v>
      </c>
      <c r="J2399" s="6" t="str">
        <f>IFERROR(__xludf.DUMMYFUNCTION("""COMPUTED_VALUE"""),"5")</f>
        <v>5</v>
      </c>
      <c r="K2399" s="6" t="str">
        <f>IFERROR(__xludf.DUMMYFUNCTION("""COMPUTED_VALUE"""),"dectrick.page.jr@unbound.school")</f>
        <v>dectrick.page.jr@unbound.school</v>
      </c>
      <c r="L2399" s="6" t="str">
        <f>IFERROR(__xludf.DUMMYFUNCTION("""COMPUTED_VALUE"""),"Unbound Academy")</f>
        <v>Unbound Academy</v>
      </c>
      <c r="M2399" s="6" t="str">
        <f>IFERROR(__xludf.DUMMYFUNCTION("""COMPUTED_VALUE"""),"")</f>
        <v/>
      </c>
      <c r="N2399" s="6" t="str">
        <f>IFERROR(__xludf.DUMMYFUNCTION("""COMPUTED_VALUE"""),"")</f>
        <v/>
      </c>
      <c r="O2399" s="87" t="str">
        <f>IFERROR(__xludf.DUMMYFUNCTION("""COMPUTED_VALUE"""),"https://drive.google.com/drive/folders/10T2cTQHqEJZqE-st6uFKPoI?usp=share_link")</f>
        <v>https://drive.google.com/drive/folders/10T2cTQHqEJZqE-st6uFKPoI?usp=share_link</v>
      </c>
      <c r="P2399" s="6" t="str">
        <f>IFERROR(__xludf.DUMMYFUNCTION("""COMPUTED_VALUE"""),"Dectrick Page Jr")</f>
        <v>Dectrick Page Jr</v>
      </c>
      <c r="Q2399" s="6" t="str">
        <f>IFERROR(__xludf.DUMMYFUNCTION("""COMPUTED_VALUE"""),"L2")</f>
        <v>L2</v>
      </c>
      <c r="R2399" s="6">
        <f>IFERROR(__xludf.DUMMYFUNCTION("""COMPUTED_VALUE"""),2.0)</f>
        <v>2</v>
      </c>
      <c r="S2399" s="6" t="str">
        <f>IFERROR(__xludf.DUMMYFUNCTION("""COMPUTED_VALUE""")," ")</f>
        <v> </v>
      </c>
      <c r="T2399" s="6" t="str">
        <f>IFERROR(__xludf.DUMMYFUNCTION("""COMPUTED_VALUE"""),"")</f>
        <v/>
      </c>
      <c r="U2399" s="6" t="str">
        <f>IFERROR(__xludf.DUMMYFUNCTION("""COMPUTED_VALUE"""),"5")</f>
        <v>5</v>
      </c>
      <c r="V2399" s="6" t="str">
        <f>IFERROR(__xludf.DUMMYFUNCTION("""COMPUTED_VALUE"""),"")</f>
        <v/>
      </c>
      <c r="W2399" s="6" t="str">
        <f>IFERROR(__xludf.DUMMYFUNCTION("""COMPUTED_VALUE"""),"[]")</f>
        <v>[]</v>
      </c>
      <c r="X2399" s="6" t="str">
        <f>IFERROR(__xludf.DUMMYFUNCTION("""COMPUTED_VALUE"""),"Enrolled")</f>
        <v>Enrolled</v>
      </c>
    </row>
    <row r="2400">
      <c r="A2400" s="6" t="str">
        <f>IFERROR(__xludf.DUMMYFUNCTION("""COMPUTED_VALUE"""),"040-4233")</f>
        <v>040-4233</v>
      </c>
      <c r="B2400" s="6" t="str">
        <f>IFERROR(__xludf.DUMMYFUNCTION("""COMPUTED_VALUE"""),"40")</f>
        <v>40</v>
      </c>
      <c r="C2400" s="6" t="str">
        <f>IFERROR(__xludf.DUMMYFUNCTION("""COMPUTED_VALUE"""),"4233")</f>
        <v>4233</v>
      </c>
      <c r="D2400" s="6" t="str">
        <f>IFERROR(__xludf.DUMMYFUNCTION("""COMPUTED_VALUE"""),"Luis")</f>
        <v>Luis</v>
      </c>
      <c r="E2400" s="6" t="str">
        <f>IFERROR(__xludf.DUMMYFUNCTION("""COMPUTED_VALUE"""),"")</f>
        <v/>
      </c>
      <c r="F2400" s="6" t="str">
        <f>IFERROR(__xludf.DUMMYFUNCTION("""COMPUTED_VALUE"""),"Santoyo")</f>
        <v>Santoyo</v>
      </c>
      <c r="G2400" s="6" t="str">
        <f>IFERROR(__xludf.DUMMYFUNCTION("""COMPUTED_VALUE"""),"11/25/2012")</f>
        <v>11/25/2012</v>
      </c>
      <c r="H2400" s="6" t="str">
        <f>IFERROR(__xludf.DUMMYFUNCTION("""COMPUTED_VALUE"""),"Self Identify")</f>
        <v>Self Identify</v>
      </c>
      <c r="I2400" s="6" t="str">
        <f>IFERROR(__xludf.DUMMYFUNCTION("""COMPUTED_VALUE"""),"Middle School")</f>
        <v>Middle School</v>
      </c>
      <c r="J2400" s="6" t="str">
        <f>IFERROR(__xludf.DUMMYFUNCTION("""COMPUTED_VALUE"""),"7")</f>
        <v>7</v>
      </c>
      <c r="K2400" s="6" t="str">
        <f>IFERROR(__xludf.DUMMYFUNCTION("""COMPUTED_VALUE"""),"luis.santoyo@unbound.school")</f>
        <v>luis.santoyo@unbound.school</v>
      </c>
      <c r="L2400" s="6" t="str">
        <f>IFERROR(__xludf.DUMMYFUNCTION("""COMPUTED_VALUE"""),"Unbound Academy")</f>
        <v>Unbound Academy</v>
      </c>
      <c r="M2400" s="6" t="str">
        <f>IFERROR(__xludf.DUMMYFUNCTION("""COMPUTED_VALUE"""),"")</f>
        <v/>
      </c>
      <c r="N2400" s="6" t="str">
        <f>IFERROR(__xludf.DUMMYFUNCTION("""COMPUTED_VALUE"""),"")</f>
        <v/>
      </c>
      <c r="O2400" s="87" t="str">
        <f>IFERROR(__xludf.DUMMYFUNCTION("""COMPUTED_VALUE"""),"https://drive.google.com/drive/folders/10T2cTQHqEJZqE-st6uFKPoI?usp=share_link")</f>
        <v>https://drive.google.com/drive/folders/10T2cTQHqEJZqE-st6uFKPoI?usp=share_link</v>
      </c>
      <c r="P2400" s="6" t="str">
        <f>IFERROR(__xludf.DUMMYFUNCTION("""COMPUTED_VALUE"""),"Luis Santoyo")</f>
        <v>Luis Santoyo</v>
      </c>
      <c r="Q2400" s="6" t="str">
        <f>IFERROR(__xludf.DUMMYFUNCTION("""COMPUTED_VALUE"""),"MS")</f>
        <v>MS</v>
      </c>
      <c r="R2400" s="6">
        <f>IFERROR(__xludf.DUMMYFUNCTION("""COMPUTED_VALUE"""),0.0)</f>
        <v>0</v>
      </c>
      <c r="S2400" s="6" t="str">
        <f>IFERROR(__xludf.DUMMYFUNCTION("""COMPUTED_VALUE""")," ")</f>
        <v> </v>
      </c>
      <c r="T2400" s="6" t="str">
        <f>IFERROR(__xludf.DUMMYFUNCTION("""COMPUTED_VALUE"""),"")</f>
        <v/>
      </c>
      <c r="U2400" s="6" t="str">
        <f>IFERROR(__xludf.DUMMYFUNCTION("""COMPUTED_VALUE"""),"7")</f>
        <v>7</v>
      </c>
      <c r="V2400" s="6" t="str">
        <f>IFERROR(__xludf.DUMMYFUNCTION("""COMPUTED_VALUE"""),"")</f>
        <v/>
      </c>
      <c r="W2400" s="6" t="str">
        <f>IFERROR(__xludf.DUMMYFUNCTION("""COMPUTED_VALUE"""),"[]")</f>
        <v>[]</v>
      </c>
      <c r="X2400" s="6" t="str">
        <f>IFERROR(__xludf.DUMMYFUNCTION("""COMPUTED_VALUE"""),"Enrolled")</f>
        <v>Enrolled</v>
      </c>
    </row>
    <row r="2401">
      <c r="A2401" s="6" t="str">
        <f>IFERROR(__xludf.DUMMYFUNCTION("""COMPUTED_VALUE"""),"040-4234")</f>
        <v>040-4234</v>
      </c>
      <c r="B2401" s="6" t="str">
        <f>IFERROR(__xludf.DUMMYFUNCTION("""COMPUTED_VALUE"""),"40")</f>
        <v>40</v>
      </c>
      <c r="C2401" s="6" t="str">
        <f>IFERROR(__xludf.DUMMYFUNCTION("""COMPUTED_VALUE"""),"4234")</f>
        <v>4234</v>
      </c>
      <c r="D2401" s="6" t="str">
        <f>IFERROR(__xludf.DUMMYFUNCTION("""COMPUTED_VALUE"""),"Russell")</f>
        <v>Russell</v>
      </c>
      <c r="E2401" s="6" t="str">
        <f>IFERROR(__xludf.DUMMYFUNCTION("""COMPUTED_VALUE"""),"")</f>
        <v/>
      </c>
      <c r="F2401" s="6" t="str">
        <f>IFERROR(__xludf.DUMMYFUNCTION("""COMPUTED_VALUE"""),"McCarty")</f>
        <v>McCarty</v>
      </c>
      <c r="G2401" s="6" t="str">
        <f>IFERROR(__xludf.DUMMYFUNCTION("""COMPUTED_VALUE"""),"12/23/2011")</f>
        <v>12/23/2011</v>
      </c>
      <c r="H2401" s="6" t="str">
        <f>IFERROR(__xludf.DUMMYFUNCTION("""COMPUTED_VALUE"""),"Self Identify")</f>
        <v>Self Identify</v>
      </c>
      <c r="I2401" s="6" t="str">
        <f>IFERROR(__xludf.DUMMYFUNCTION("""COMPUTED_VALUE"""),"Middle School")</f>
        <v>Middle School</v>
      </c>
      <c r="J2401" s="6" t="str">
        <f>IFERROR(__xludf.DUMMYFUNCTION("""COMPUTED_VALUE"""),"8")</f>
        <v>8</v>
      </c>
      <c r="K2401" s="6" t="str">
        <f>IFERROR(__xludf.DUMMYFUNCTION("""COMPUTED_VALUE"""),"russell.mccarty@unbound.school")</f>
        <v>russell.mccarty@unbound.school</v>
      </c>
      <c r="L2401" s="6" t="str">
        <f>IFERROR(__xludf.DUMMYFUNCTION("""COMPUTED_VALUE"""),"Unbound Academy")</f>
        <v>Unbound Academy</v>
      </c>
      <c r="M2401" s="6" t="str">
        <f>IFERROR(__xludf.DUMMYFUNCTION("""COMPUTED_VALUE"""),"")</f>
        <v/>
      </c>
      <c r="N2401" s="6" t="str">
        <f>IFERROR(__xludf.DUMMYFUNCTION("""COMPUTED_VALUE"""),"")</f>
        <v/>
      </c>
      <c r="O2401" s="87" t="str">
        <f>IFERROR(__xludf.DUMMYFUNCTION("""COMPUTED_VALUE"""),"https://drive.google.com/drive/folders/10T2cTQHqEJZqE-st6uFKPoI?usp=share_link")</f>
        <v>https://drive.google.com/drive/folders/10T2cTQHqEJZqE-st6uFKPoI?usp=share_link</v>
      </c>
      <c r="P2401" s="6" t="str">
        <f>IFERROR(__xludf.DUMMYFUNCTION("""COMPUTED_VALUE"""),"Russell McCarty")</f>
        <v>Russell McCarty</v>
      </c>
      <c r="Q2401" s="6" t="str">
        <f>IFERROR(__xludf.DUMMYFUNCTION("""COMPUTED_VALUE"""),"MS")</f>
        <v>MS</v>
      </c>
      <c r="R2401" s="6">
        <f>IFERROR(__xludf.DUMMYFUNCTION("""COMPUTED_VALUE"""),0.0)</f>
        <v>0</v>
      </c>
      <c r="S2401" s="6" t="str">
        <f>IFERROR(__xludf.DUMMYFUNCTION("""COMPUTED_VALUE""")," ")</f>
        <v> </v>
      </c>
      <c r="T2401" s="6" t="str">
        <f>IFERROR(__xludf.DUMMYFUNCTION("""COMPUTED_VALUE"""),"")</f>
        <v/>
      </c>
      <c r="U2401" s="6" t="str">
        <f>IFERROR(__xludf.DUMMYFUNCTION("""COMPUTED_VALUE"""),"8")</f>
        <v>8</v>
      </c>
      <c r="V2401" s="6" t="str">
        <f>IFERROR(__xludf.DUMMYFUNCTION("""COMPUTED_VALUE"""),"")</f>
        <v/>
      </c>
      <c r="W2401" s="6" t="str">
        <f>IFERROR(__xludf.DUMMYFUNCTION("""COMPUTED_VALUE"""),"[]")</f>
        <v>[]</v>
      </c>
      <c r="X2401" s="6" t="str">
        <f>IFERROR(__xludf.DUMMYFUNCTION("""COMPUTED_VALUE"""),"Enrolled")</f>
        <v>Enrolled</v>
      </c>
    </row>
    <row r="2402">
      <c r="A2402" s="6" t="str">
        <f>IFERROR(__xludf.DUMMYFUNCTION("""COMPUTED_VALUE"""),"040-4235")</f>
        <v>040-4235</v>
      </c>
      <c r="B2402" s="6" t="str">
        <f>IFERROR(__xludf.DUMMYFUNCTION("""COMPUTED_VALUE"""),"40")</f>
        <v>40</v>
      </c>
      <c r="C2402" s="6" t="str">
        <f>IFERROR(__xludf.DUMMYFUNCTION("""COMPUTED_VALUE"""),"4235")</f>
        <v>4235</v>
      </c>
      <c r="D2402" s="6" t="str">
        <f>IFERROR(__xludf.DUMMYFUNCTION("""COMPUTED_VALUE"""),"Angel")</f>
        <v>Angel</v>
      </c>
      <c r="E2402" s="6" t="str">
        <f>IFERROR(__xludf.DUMMYFUNCTION("""COMPUTED_VALUE"""),"")</f>
        <v/>
      </c>
      <c r="F2402" s="6" t="str">
        <f>IFERROR(__xludf.DUMMYFUNCTION("""COMPUTED_VALUE"""),"Trejo")</f>
        <v>Trejo</v>
      </c>
      <c r="G2402" s="6" t="str">
        <f>IFERROR(__xludf.DUMMYFUNCTION("""COMPUTED_VALUE"""),"12/01/2013")</f>
        <v>12/01/2013</v>
      </c>
      <c r="H2402" s="6" t="str">
        <f>IFERROR(__xludf.DUMMYFUNCTION("""COMPUTED_VALUE"""),"Self Identify")</f>
        <v>Self Identify</v>
      </c>
      <c r="I2402" s="6" t="str">
        <f>IFERROR(__xludf.DUMMYFUNCTION("""COMPUTED_VALUE"""),"Middle School")</f>
        <v>Middle School</v>
      </c>
      <c r="J2402" s="6" t="str">
        <f>IFERROR(__xludf.DUMMYFUNCTION("""COMPUTED_VALUE"""),"6")</f>
        <v>6</v>
      </c>
      <c r="K2402" s="6" t="str">
        <f>IFERROR(__xludf.DUMMYFUNCTION("""COMPUTED_VALUE"""),"angel.trejo@unbound.school")</f>
        <v>angel.trejo@unbound.school</v>
      </c>
      <c r="L2402" s="6" t="str">
        <f>IFERROR(__xludf.DUMMYFUNCTION("""COMPUTED_VALUE"""),"Unbound Academy")</f>
        <v>Unbound Academy</v>
      </c>
      <c r="M2402" s="6" t="str">
        <f>IFERROR(__xludf.DUMMYFUNCTION("""COMPUTED_VALUE"""),"")</f>
        <v/>
      </c>
      <c r="N2402" s="6" t="str">
        <f>IFERROR(__xludf.DUMMYFUNCTION("""COMPUTED_VALUE"""),"")</f>
        <v/>
      </c>
      <c r="O2402" s="87" t="str">
        <f>IFERROR(__xludf.DUMMYFUNCTION("""COMPUTED_VALUE"""),"https://drive.google.com/drive/folders/10T2cTQHqEJZqE-st6uFKPoI?usp=share_link")</f>
        <v>https://drive.google.com/drive/folders/10T2cTQHqEJZqE-st6uFKPoI?usp=share_link</v>
      </c>
      <c r="P2402" s="6" t="str">
        <f>IFERROR(__xludf.DUMMYFUNCTION("""COMPUTED_VALUE"""),"Angel Trejo")</f>
        <v>Angel Trejo</v>
      </c>
      <c r="Q2402" s="6" t="str">
        <f>IFERROR(__xludf.DUMMYFUNCTION("""COMPUTED_VALUE"""),"MS")</f>
        <v>MS</v>
      </c>
      <c r="R2402" s="6">
        <f>IFERROR(__xludf.DUMMYFUNCTION("""COMPUTED_VALUE"""),0.0)</f>
        <v>0</v>
      </c>
      <c r="S2402" s="6" t="str">
        <f>IFERROR(__xludf.DUMMYFUNCTION("""COMPUTED_VALUE""")," ")</f>
        <v> </v>
      </c>
      <c r="T2402" s="6" t="str">
        <f>IFERROR(__xludf.DUMMYFUNCTION("""COMPUTED_VALUE"""),"")</f>
        <v/>
      </c>
      <c r="U2402" s="6" t="str">
        <f>IFERROR(__xludf.DUMMYFUNCTION("""COMPUTED_VALUE"""),"6")</f>
        <v>6</v>
      </c>
      <c r="V2402" s="6" t="str">
        <f>IFERROR(__xludf.DUMMYFUNCTION("""COMPUTED_VALUE"""),"")</f>
        <v/>
      </c>
      <c r="W2402" s="6" t="str">
        <f>IFERROR(__xludf.DUMMYFUNCTION("""COMPUTED_VALUE"""),"[]")</f>
        <v>[]</v>
      </c>
      <c r="X2402" s="6" t="str">
        <f>IFERROR(__xludf.DUMMYFUNCTION("""COMPUTED_VALUE"""),"Enrolled")</f>
        <v>Enrolled</v>
      </c>
    </row>
    <row r="2403">
      <c r="A2403" s="6" t="str">
        <f>IFERROR(__xludf.DUMMYFUNCTION("""COMPUTED_VALUE"""),"040-4237")</f>
        <v>040-4237</v>
      </c>
      <c r="B2403" s="6" t="str">
        <f>IFERROR(__xludf.DUMMYFUNCTION("""COMPUTED_VALUE"""),"40")</f>
        <v>40</v>
      </c>
      <c r="C2403" s="6" t="str">
        <f>IFERROR(__xludf.DUMMYFUNCTION("""COMPUTED_VALUE"""),"4237")</f>
        <v>4237</v>
      </c>
      <c r="D2403" s="6" t="str">
        <f>IFERROR(__xludf.DUMMYFUNCTION("""COMPUTED_VALUE"""),"Jullian")</f>
        <v>Jullian</v>
      </c>
      <c r="E2403" s="6" t="str">
        <f>IFERROR(__xludf.DUMMYFUNCTION("""COMPUTED_VALUE"""),"")</f>
        <v/>
      </c>
      <c r="F2403" s="6" t="str">
        <f>IFERROR(__xludf.DUMMYFUNCTION("""COMPUTED_VALUE"""),"Allison")</f>
        <v>Allison</v>
      </c>
      <c r="G2403" s="6" t="str">
        <f>IFERROR(__xludf.DUMMYFUNCTION("""COMPUTED_VALUE"""),"12/03/2014")</f>
        <v>12/03/2014</v>
      </c>
      <c r="H2403" s="6" t="str">
        <f>IFERROR(__xludf.DUMMYFUNCTION("""COMPUTED_VALUE"""),"Self Identify")</f>
        <v>Self Identify</v>
      </c>
      <c r="I2403" s="6" t="str">
        <f>IFERROR(__xludf.DUMMYFUNCTION("""COMPUTED_VALUE"""),"Level 2")</f>
        <v>Level 2</v>
      </c>
      <c r="J2403" s="6" t="str">
        <f>IFERROR(__xludf.DUMMYFUNCTION("""COMPUTED_VALUE"""),"5")</f>
        <v>5</v>
      </c>
      <c r="K2403" s="6" t="str">
        <f>IFERROR(__xludf.DUMMYFUNCTION("""COMPUTED_VALUE"""),"jullian.allison@unbound.school")</f>
        <v>jullian.allison@unbound.school</v>
      </c>
      <c r="L2403" s="6" t="str">
        <f>IFERROR(__xludf.DUMMYFUNCTION("""COMPUTED_VALUE"""),"Unbound Academy")</f>
        <v>Unbound Academy</v>
      </c>
      <c r="M2403" s="6" t="str">
        <f>IFERROR(__xludf.DUMMYFUNCTION("""COMPUTED_VALUE"""),"")</f>
        <v/>
      </c>
      <c r="N2403" s="6" t="str">
        <f>IFERROR(__xludf.DUMMYFUNCTION("""COMPUTED_VALUE"""),"")</f>
        <v/>
      </c>
      <c r="O2403" s="87" t="str">
        <f>IFERROR(__xludf.DUMMYFUNCTION("""COMPUTED_VALUE"""),"https://drive.google.com/drive/folders/10T2cTQHqEJZqE-st6uFKPoI?usp=share_link")</f>
        <v>https://drive.google.com/drive/folders/10T2cTQHqEJZqE-st6uFKPoI?usp=share_link</v>
      </c>
      <c r="P2403" s="6" t="str">
        <f>IFERROR(__xludf.DUMMYFUNCTION("""COMPUTED_VALUE"""),"Jullian Allison")</f>
        <v>Jullian Allison</v>
      </c>
      <c r="Q2403" s="6" t="str">
        <f>IFERROR(__xludf.DUMMYFUNCTION("""COMPUTED_VALUE"""),"L2")</f>
        <v>L2</v>
      </c>
      <c r="R2403" s="6">
        <f>IFERROR(__xludf.DUMMYFUNCTION("""COMPUTED_VALUE"""),2.0)</f>
        <v>2</v>
      </c>
      <c r="S2403" s="6" t="str">
        <f>IFERROR(__xludf.DUMMYFUNCTION("""COMPUTED_VALUE""")," ")</f>
        <v> </v>
      </c>
      <c r="T2403" s="6" t="str">
        <f>IFERROR(__xludf.DUMMYFUNCTION("""COMPUTED_VALUE"""),"")</f>
        <v/>
      </c>
      <c r="U2403" s="6" t="str">
        <f>IFERROR(__xludf.DUMMYFUNCTION("""COMPUTED_VALUE"""),"5")</f>
        <v>5</v>
      </c>
      <c r="V2403" s="6" t="str">
        <f>IFERROR(__xludf.DUMMYFUNCTION("""COMPUTED_VALUE"""),"")</f>
        <v/>
      </c>
      <c r="W2403" s="6" t="str">
        <f>IFERROR(__xludf.DUMMYFUNCTION("""COMPUTED_VALUE"""),"[]")</f>
        <v>[]</v>
      </c>
      <c r="X2403" s="6" t="str">
        <f>IFERROR(__xludf.DUMMYFUNCTION("""COMPUTED_VALUE"""),"Enrolled")</f>
        <v>Enrolled</v>
      </c>
    </row>
    <row r="2404">
      <c r="A2404" s="6" t="str">
        <f>IFERROR(__xludf.DUMMYFUNCTION("""COMPUTED_VALUE"""),"040-4333")</f>
        <v>040-4333</v>
      </c>
      <c r="B2404" s="6" t="str">
        <f>IFERROR(__xludf.DUMMYFUNCTION("""COMPUTED_VALUE"""),"40")</f>
        <v>40</v>
      </c>
      <c r="C2404" s="6" t="str">
        <f>IFERROR(__xludf.DUMMYFUNCTION("""COMPUTED_VALUE"""),"4333")</f>
        <v>4333</v>
      </c>
      <c r="D2404" s="6" t="str">
        <f>IFERROR(__xludf.DUMMYFUNCTION("""COMPUTED_VALUE"""),"Eduardo")</f>
        <v>Eduardo</v>
      </c>
      <c r="E2404" s="6" t="str">
        <f>IFERROR(__xludf.DUMMYFUNCTION("""COMPUTED_VALUE"""),"Eddie")</f>
        <v>Eddie</v>
      </c>
      <c r="F2404" s="6" t="str">
        <f>IFERROR(__xludf.DUMMYFUNCTION("""COMPUTED_VALUE"""),"Franco")</f>
        <v>Franco</v>
      </c>
      <c r="G2404" s="6" t="str">
        <f>IFERROR(__xludf.DUMMYFUNCTION("""COMPUTED_VALUE"""),"06/17/2013")</f>
        <v>06/17/2013</v>
      </c>
      <c r="H2404" s="6" t="str">
        <f>IFERROR(__xludf.DUMMYFUNCTION("""COMPUTED_VALUE"""),"Self Identify")</f>
        <v>Self Identify</v>
      </c>
      <c r="I2404" s="6" t="str">
        <f>IFERROR(__xludf.DUMMYFUNCTION("""COMPUTED_VALUE"""),"Middle School")</f>
        <v>Middle School</v>
      </c>
      <c r="J2404" s="6" t="str">
        <f>IFERROR(__xludf.DUMMYFUNCTION("""COMPUTED_VALUE"""),"7")</f>
        <v>7</v>
      </c>
      <c r="K2404" s="6" t="str">
        <f>IFERROR(__xludf.DUMMYFUNCTION("""COMPUTED_VALUE"""),"eduardo.franco@unbound.school")</f>
        <v>eduardo.franco@unbound.school</v>
      </c>
      <c r="L2404" s="6" t="str">
        <f>IFERROR(__xludf.DUMMYFUNCTION("""COMPUTED_VALUE"""),"Unbound Academy")</f>
        <v>Unbound Academy</v>
      </c>
      <c r="M2404" s="6" t="str">
        <f>IFERROR(__xludf.DUMMYFUNCTION("""COMPUTED_VALUE"""),"")</f>
        <v/>
      </c>
      <c r="N2404" s="6" t="str">
        <f>IFERROR(__xludf.DUMMYFUNCTION("""COMPUTED_VALUE"""),"")</f>
        <v/>
      </c>
      <c r="O2404" s="87" t="str">
        <f>IFERROR(__xludf.DUMMYFUNCTION("""COMPUTED_VALUE"""),"https://drive.google.com/drive/folders/10T2cTQHqEJZqE-st6uFKPoI?usp=share_link")</f>
        <v>https://drive.google.com/drive/folders/10T2cTQHqEJZqE-st6uFKPoI?usp=share_link</v>
      </c>
      <c r="P2404" s="6" t="str">
        <f>IFERROR(__xludf.DUMMYFUNCTION("""COMPUTED_VALUE"""),"Eddie Franco")</f>
        <v>Eddie Franco</v>
      </c>
      <c r="Q2404" s="6" t="str">
        <f>IFERROR(__xludf.DUMMYFUNCTION("""COMPUTED_VALUE"""),"MS")</f>
        <v>MS</v>
      </c>
      <c r="R2404" s="6">
        <f>IFERROR(__xludf.DUMMYFUNCTION("""COMPUTED_VALUE"""),0.0)</f>
        <v>0</v>
      </c>
      <c r="S2404" s="6" t="str">
        <f>IFERROR(__xludf.DUMMYFUNCTION("""COMPUTED_VALUE""")," ")</f>
        <v> </v>
      </c>
      <c r="T2404" s="6" t="str">
        <f>IFERROR(__xludf.DUMMYFUNCTION("""COMPUTED_VALUE"""),"")</f>
        <v/>
      </c>
      <c r="U2404" s="6" t="str">
        <f>IFERROR(__xludf.DUMMYFUNCTION("""COMPUTED_VALUE"""),"7")</f>
        <v>7</v>
      </c>
      <c r="V2404" s="6" t="str">
        <f>IFERROR(__xludf.DUMMYFUNCTION("""COMPUTED_VALUE"""),"")</f>
        <v/>
      </c>
      <c r="W2404" s="6" t="str">
        <f>IFERROR(__xludf.DUMMYFUNCTION("""COMPUTED_VALUE"""),"[]")</f>
        <v>[]</v>
      </c>
      <c r="X2404" s="6" t="str">
        <f>IFERROR(__xludf.DUMMYFUNCTION("""COMPUTED_VALUE"""),"Enrolled")</f>
        <v>Enrolled</v>
      </c>
    </row>
    <row r="2405">
      <c r="A2405" s="6" t="str">
        <f>IFERROR(__xludf.DUMMYFUNCTION("""COMPUTED_VALUE"""),"040-4335")</f>
        <v>040-4335</v>
      </c>
      <c r="B2405" s="6" t="str">
        <f>IFERROR(__xludf.DUMMYFUNCTION("""COMPUTED_VALUE"""),"40")</f>
        <v>40</v>
      </c>
      <c r="C2405" s="6" t="str">
        <f>IFERROR(__xludf.DUMMYFUNCTION("""COMPUTED_VALUE"""),"4335")</f>
        <v>4335</v>
      </c>
      <c r="D2405" s="6" t="str">
        <f>IFERROR(__xludf.DUMMYFUNCTION("""COMPUTED_VALUE"""),"Daniel")</f>
        <v>Daniel</v>
      </c>
      <c r="E2405" s="6" t="str">
        <f>IFERROR(__xludf.DUMMYFUNCTION("""COMPUTED_VALUE"""),"Oscar")</f>
        <v>Oscar</v>
      </c>
      <c r="F2405" s="6" t="str">
        <f>IFERROR(__xludf.DUMMYFUNCTION("""COMPUTED_VALUE"""),"Franco-Tolano")</f>
        <v>Franco-Tolano</v>
      </c>
      <c r="G2405" s="6" t="str">
        <f>IFERROR(__xludf.DUMMYFUNCTION("""COMPUTED_VALUE"""),"05/26/2012")</f>
        <v>05/26/2012</v>
      </c>
      <c r="H2405" s="6" t="str">
        <f>IFERROR(__xludf.DUMMYFUNCTION("""COMPUTED_VALUE"""),"Self Identify")</f>
        <v>Self Identify</v>
      </c>
      <c r="I2405" s="6" t="str">
        <f>IFERROR(__xludf.DUMMYFUNCTION("""COMPUTED_VALUE"""),"Middle School")</f>
        <v>Middle School</v>
      </c>
      <c r="J2405" s="6" t="str">
        <f>IFERROR(__xludf.DUMMYFUNCTION("""COMPUTED_VALUE"""),"8")</f>
        <v>8</v>
      </c>
      <c r="K2405" s="6" t="str">
        <f>IFERROR(__xludf.DUMMYFUNCTION("""COMPUTED_VALUE"""),"daniel.francotolano@unbound.school")</f>
        <v>daniel.francotolano@unbound.school</v>
      </c>
      <c r="L2405" s="6" t="str">
        <f>IFERROR(__xludf.DUMMYFUNCTION("""COMPUTED_VALUE"""),"Unbound Academy")</f>
        <v>Unbound Academy</v>
      </c>
      <c r="M2405" s="6" t="str">
        <f>IFERROR(__xludf.DUMMYFUNCTION("""COMPUTED_VALUE"""),"")</f>
        <v/>
      </c>
      <c r="N2405" s="6" t="str">
        <f>IFERROR(__xludf.DUMMYFUNCTION("""COMPUTED_VALUE"""),"")</f>
        <v/>
      </c>
      <c r="O2405" s="87" t="str">
        <f>IFERROR(__xludf.DUMMYFUNCTION("""COMPUTED_VALUE"""),"https://drive.google.com/drive/folders/10T2cTQHqEJZqE-st6uFKPoI?usp=share_link")</f>
        <v>https://drive.google.com/drive/folders/10T2cTQHqEJZqE-st6uFKPoI?usp=share_link</v>
      </c>
      <c r="P2405" s="6" t="str">
        <f>IFERROR(__xludf.DUMMYFUNCTION("""COMPUTED_VALUE"""),"Oscar Franco-Tolano")</f>
        <v>Oscar Franco-Tolano</v>
      </c>
      <c r="Q2405" s="6" t="str">
        <f>IFERROR(__xludf.DUMMYFUNCTION("""COMPUTED_VALUE"""),"MS")</f>
        <v>MS</v>
      </c>
      <c r="R2405" s="6">
        <f>IFERROR(__xludf.DUMMYFUNCTION("""COMPUTED_VALUE"""),0.0)</f>
        <v>0</v>
      </c>
      <c r="S2405" s="6" t="str">
        <f>IFERROR(__xludf.DUMMYFUNCTION("""COMPUTED_VALUE""")," ")</f>
        <v> </v>
      </c>
      <c r="T2405" s="6" t="str">
        <f>IFERROR(__xludf.DUMMYFUNCTION("""COMPUTED_VALUE"""),"")</f>
        <v/>
      </c>
      <c r="U2405" s="6" t="str">
        <f>IFERROR(__xludf.DUMMYFUNCTION("""COMPUTED_VALUE"""),"8")</f>
        <v>8</v>
      </c>
      <c r="V2405" s="6" t="str">
        <f>IFERROR(__xludf.DUMMYFUNCTION("""COMPUTED_VALUE"""),"")</f>
        <v/>
      </c>
      <c r="W2405" s="6" t="str">
        <f>IFERROR(__xludf.DUMMYFUNCTION("""COMPUTED_VALUE"""),"[]")</f>
        <v>[]</v>
      </c>
      <c r="X2405" s="6" t="str">
        <f>IFERROR(__xludf.DUMMYFUNCTION("""COMPUTED_VALUE"""),"Enrolled")</f>
        <v>Enrolled</v>
      </c>
    </row>
    <row r="2406">
      <c r="A2406" s="6" t="str">
        <f>IFERROR(__xludf.DUMMYFUNCTION("""COMPUTED_VALUE"""),"040-4413")</f>
        <v>040-4413</v>
      </c>
      <c r="B2406" s="6" t="str">
        <f>IFERROR(__xludf.DUMMYFUNCTION("""COMPUTED_VALUE"""),"40")</f>
        <v>40</v>
      </c>
      <c r="C2406" s="6" t="str">
        <f>IFERROR(__xludf.DUMMYFUNCTION("""COMPUTED_VALUE"""),"4413")</f>
        <v>4413</v>
      </c>
      <c r="D2406" s="6" t="str">
        <f>IFERROR(__xludf.DUMMYFUNCTION("""COMPUTED_VALUE"""),"Lonndyn")</f>
        <v>Lonndyn</v>
      </c>
      <c r="E2406" s="6" t="str">
        <f>IFERROR(__xludf.DUMMYFUNCTION("""COMPUTED_VALUE"""),"Londyn")</f>
        <v>Londyn</v>
      </c>
      <c r="F2406" s="6" t="str">
        <f>IFERROR(__xludf.DUMMYFUNCTION("""COMPUTED_VALUE"""),"Darough")</f>
        <v>Darough</v>
      </c>
      <c r="G2406" s="6" t="str">
        <f>IFERROR(__xludf.DUMMYFUNCTION("""COMPUTED_VALUE"""),"05/13/2012")</f>
        <v>05/13/2012</v>
      </c>
      <c r="H2406" s="6" t="str">
        <f>IFERROR(__xludf.DUMMYFUNCTION("""COMPUTED_VALUE"""),"Self Identify")</f>
        <v>Self Identify</v>
      </c>
      <c r="I2406" s="6" t="str">
        <f>IFERROR(__xludf.DUMMYFUNCTION("""COMPUTED_VALUE"""),"Middle School")</f>
        <v>Middle School</v>
      </c>
      <c r="J2406" s="6" t="str">
        <f>IFERROR(__xludf.DUMMYFUNCTION("""COMPUTED_VALUE"""),"7")</f>
        <v>7</v>
      </c>
      <c r="K2406" s="6" t="str">
        <f>IFERROR(__xludf.DUMMYFUNCTION("""COMPUTED_VALUE"""),"lonndyn.darough@unbound.school")</f>
        <v>lonndyn.darough@unbound.school</v>
      </c>
      <c r="L2406" s="6" t="str">
        <f>IFERROR(__xludf.DUMMYFUNCTION("""COMPUTED_VALUE"""),"Unbound Academy")</f>
        <v>Unbound Academy</v>
      </c>
      <c r="M2406" s="6" t="str">
        <f>IFERROR(__xludf.DUMMYFUNCTION("""COMPUTED_VALUE"""),"")</f>
        <v/>
      </c>
      <c r="N2406" s="6" t="str">
        <f>IFERROR(__xludf.DUMMYFUNCTION("""COMPUTED_VALUE"""),"")</f>
        <v/>
      </c>
      <c r="O2406" s="87" t="str">
        <f>IFERROR(__xludf.DUMMYFUNCTION("""COMPUTED_VALUE"""),"https://drive.google.com/drive/folders/10T2cTQHqEJZqE-st6uFKPoI?usp=share_link")</f>
        <v>https://drive.google.com/drive/folders/10T2cTQHqEJZqE-st6uFKPoI?usp=share_link</v>
      </c>
      <c r="P2406" s="6" t="str">
        <f>IFERROR(__xludf.DUMMYFUNCTION("""COMPUTED_VALUE"""),"Londyn Darough")</f>
        <v>Londyn Darough</v>
      </c>
      <c r="Q2406" s="6" t="str">
        <f>IFERROR(__xludf.DUMMYFUNCTION("""COMPUTED_VALUE"""),"MS")</f>
        <v>MS</v>
      </c>
      <c r="R2406" s="6">
        <f>IFERROR(__xludf.DUMMYFUNCTION("""COMPUTED_VALUE"""),0.0)</f>
        <v>0</v>
      </c>
      <c r="S2406" s="6" t="str">
        <f>IFERROR(__xludf.DUMMYFUNCTION("""COMPUTED_VALUE""")," ")</f>
        <v> </v>
      </c>
      <c r="T2406" s="6" t="str">
        <f>IFERROR(__xludf.DUMMYFUNCTION("""COMPUTED_VALUE"""),"")</f>
        <v/>
      </c>
      <c r="U2406" s="6" t="str">
        <f>IFERROR(__xludf.DUMMYFUNCTION("""COMPUTED_VALUE"""),"7")</f>
        <v>7</v>
      </c>
      <c r="V2406" s="6" t="str">
        <f>IFERROR(__xludf.DUMMYFUNCTION("""COMPUTED_VALUE"""),"")</f>
        <v/>
      </c>
      <c r="W2406" s="6" t="str">
        <f>IFERROR(__xludf.DUMMYFUNCTION("""COMPUTED_VALUE"""),"[]")</f>
        <v>[]</v>
      </c>
      <c r="X2406" s="6" t="str">
        <f>IFERROR(__xludf.DUMMYFUNCTION("""COMPUTED_VALUE"""),"Enrolled")</f>
        <v>Enrolled</v>
      </c>
    </row>
    <row r="2407">
      <c r="A2407" s="6" t="str">
        <f>IFERROR(__xludf.DUMMYFUNCTION("""COMPUTED_VALUE"""),"040-4414")</f>
        <v>040-4414</v>
      </c>
      <c r="B2407" s="6" t="str">
        <f>IFERROR(__xludf.DUMMYFUNCTION("""COMPUTED_VALUE"""),"40")</f>
        <v>40</v>
      </c>
      <c r="C2407" s="6" t="str">
        <f>IFERROR(__xludf.DUMMYFUNCTION("""COMPUTED_VALUE"""),"4414")</f>
        <v>4414</v>
      </c>
      <c r="D2407" s="6" t="str">
        <f>IFERROR(__xludf.DUMMYFUNCTION("""COMPUTED_VALUE"""),"Skylar")</f>
        <v>Skylar</v>
      </c>
      <c r="E2407" s="6" t="str">
        <f>IFERROR(__xludf.DUMMYFUNCTION("""COMPUTED_VALUE"""),"Skylar")</f>
        <v>Skylar</v>
      </c>
      <c r="F2407" s="6" t="str">
        <f>IFERROR(__xludf.DUMMYFUNCTION("""COMPUTED_VALUE"""),"Darough")</f>
        <v>Darough</v>
      </c>
      <c r="G2407" s="6" t="str">
        <f>IFERROR(__xludf.DUMMYFUNCTION("""COMPUTED_VALUE"""),"07/17/2015")</f>
        <v>07/17/2015</v>
      </c>
      <c r="H2407" s="6" t="str">
        <f>IFERROR(__xludf.DUMMYFUNCTION("""COMPUTED_VALUE"""),"Self Identify")</f>
        <v>Self Identify</v>
      </c>
      <c r="I2407" s="6" t="str">
        <f>IFERROR(__xludf.DUMMYFUNCTION("""COMPUTED_VALUE"""),"Level 2")</f>
        <v>Level 2</v>
      </c>
      <c r="J2407" s="6" t="str">
        <f>IFERROR(__xludf.DUMMYFUNCTION("""COMPUTED_VALUE"""),"4")</f>
        <v>4</v>
      </c>
      <c r="K2407" s="6" t="str">
        <f>IFERROR(__xludf.DUMMYFUNCTION("""COMPUTED_VALUE"""),"skylar.darough@unbound.school")</f>
        <v>skylar.darough@unbound.school</v>
      </c>
      <c r="L2407" s="6" t="str">
        <f>IFERROR(__xludf.DUMMYFUNCTION("""COMPUTED_VALUE"""),"Unbound Academy")</f>
        <v>Unbound Academy</v>
      </c>
      <c r="M2407" s="6" t="str">
        <f>IFERROR(__xludf.DUMMYFUNCTION("""COMPUTED_VALUE"""),"")</f>
        <v/>
      </c>
      <c r="N2407" s="6" t="str">
        <f>IFERROR(__xludf.DUMMYFUNCTION("""COMPUTED_VALUE"""),"")</f>
        <v/>
      </c>
      <c r="O2407" s="87" t="str">
        <f>IFERROR(__xludf.DUMMYFUNCTION("""COMPUTED_VALUE"""),"https://drive.google.com/drive/folders/10T2cTQHqEJZqE-st6uFKPoI?usp=share_link")</f>
        <v>https://drive.google.com/drive/folders/10T2cTQHqEJZqE-st6uFKPoI?usp=share_link</v>
      </c>
      <c r="P2407" s="6" t="str">
        <f>IFERROR(__xludf.DUMMYFUNCTION("""COMPUTED_VALUE"""),"Skylar Darough")</f>
        <v>Skylar Darough</v>
      </c>
      <c r="Q2407" s="6" t="str">
        <f>IFERROR(__xludf.DUMMYFUNCTION("""COMPUTED_VALUE"""),"L2")</f>
        <v>L2</v>
      </c>
      <c r="R2407" s="6">
        <f>IFERROR(__xludf.DUMMYFUNCTION("""COMPUTED_VALUE"""),2.0)</f>
        <v>2</v>
      </c>
      <c r="S2407" s="6" t="str">
        <f>IFERROR(__xludf.DUMMYFUNCTION("""COMPUTED_VALUE""")," ")</f>
        <v> </v>
      </c>
      <c r="T2407" s="6" t="str">
        <f>IFERROR(__xludf.DUMMYFUNCTION("""COMPUTED_VALUE"""),"")</f>
        <v/>
      </c>
      <c r="U2407" s="6" t="str">
        <f>IFERROR(__xludf.DUMMYFUNCTION("""COMPUTED_VALUE"""),"4")</f>
        <v>4</v>
      </c>
      <c r="V2407" s="6" t="str">
        <f>IFERROR(__xludf.DUMMYFUNCTION("""COMPUTED_VALUE"""),"")</f>
        <v/>
      </c>
      <c r="W2407" s="6" t="str">
        <f>IFERROR(__xludf.DUMMYFUNCTION("""COMPUTED_VALUE"""),"[]")</f>
        <v>[]</v>
      </c>
      <c r="X2407" s="6" t="str">
        <f>IFERROR(__xludf.DUMMYFUNCTION("""COMPUTED_VALUE"""),"Enrolled")</f>
        <v>Enrolled</v>
      </c>
    </row>
    <row r="2408">
      <c r="A2408" s="6" t="str">
        <f>IFERROR(__xludf.DUMMYFUNCTION("""COMPUTED_VALUE"""),"040-4415")</f>
        <v>040-4415</v>
      </c>
      <c r="B2408" s="6" t="str">
        <f>IFERROR(__xludf.DUMMYFUNCTION("""COMPUTED_VALUE"""),"40")</f>
        <v>40</v>
      </c>
      <c r="C2408" s="6" t="str">
        <f>IFERROR(__xludf.DUMMYFUNCTION("""COMPUTED_VALUE"""),"4415")</f>
        <v>4415</v>
      </c>
      <c r="D2408" s="6" t="str">
        <f>IFERROR(__xludf.DUMMYFUNCTION("""COMPUTED_VALUE"""),"Devin")</f>
        <v>Devin</v>
      </c>
      <c r="E2408" s="6" t="str">
        <f>IFERROR(__xludf.DUMMYFUNCTION("""COMPUTED_VALUE"""),"Devin")</f>
        <v>Devin</v>
      </c>
      <c r="F2408" s="6" t="str">
        <f>IFERROR(__xludf.DUMMYFUNCTION("""COMPUTED_VALUE"""),"Glover")</f>
        <v>Glover</v>
      </c>
      <c r="G2408" s="6" t="str">
        <f>IFERROR(__xludf.DUMMYFUNCTION("""COMPUTED_VALUE"""),"09/13/2016")</f>
        <v>09/13/2016</v>
      </c>
      <c r="H2408" s="6" t="str">
        <f>IFERROR(__xludf.DUMMYFUNCTION("""COMPUTED_VALUE"""),"Self Identify")</f>
        <v>Self Identify</v>
      </c>
      <c r="I2408" s="6" t="str">
        <f>IFERROR(__xludf.DUMMYFUNCTION("""COMPUTED_VALUE"""),"Level 2")</f>
        <v>Level 2</v>
      </c>
      <c r="J2408" s="6" t="str">
        <f>IFERROR(__xludf.DUMMYFUNCTION("""COMPUTED_VALUE"""),"4")</f>
        <v>4</v>
      </c>
      <c r="K2408" s="6" t="str">
        <f>IFERROR(__xludf.DUMMYFUNCTION("""COMPUTED_VALUE"""),"devin.glover@unbound.school")</f>
        <v>devin.glover@unbound.school</v>
      </c>
      <c r="L2408" s="6" t="str">
        <f>IFERROR(__xludf.DUMMYFUNCTION("""COMPUTED_VALUE"""),"Unbound Academy")</f>
        <v>Unbound Academy</v>
      </c>
      <c r="M2408" s="6" t="str">
        <f>IFERROR(__xludf.DUMMYFUNCTION("""COMPUTED_VALUE"""),"")</f>
        <v/>
      </c>
      <c r="N2408" s="6" t="str">
        <f>IFERROR(__xludf.DUMMYFUNCTION("""COMPUTED_VALUE"""),"")</f>
        <v/>
      </c>
      <c r="O2408" s="87" t="str">
        <f>IFERROR(__xludf.DUMMYFUNCTION("""COMPUTED_VALUE"""),"https://drive.google.com/drive/folders/10T2cTQHqEJZqE-st6uFKPoI?usp=share_link")</f>
        <v>https://drive.google.com/drive/folders/10T2cTQHqEJZqE-st6uFKPoI?usp=share_link</v>
      </c>
      <c r="P2408" s="6" t="str">
        <f>IFERROR(__xludf.DUMMYFUNCTION("""COMPUTED_VALUE"""),"Devin Glover")</f>
        <v>Devin Glover</v>
      </c>
      <c r="Q2408" s="6" t="str">
        <f>IFERROR(__xludf.DUMMYFUNCTION("""COMPUTED_VALUE"""),"L2")</f>
        <v>L2</v>
      </c>
      <c r="R2408" s="6">
        <f>IFERROR(__xludf.DUMMYFUNCTION("""COMPUTED_VALUE"""),2.0)</f>
        <v>2</v>
      </c>
      <c r="S2408" s="6" t="str">
        <f>IFERROR(__xludf.DUMMYFUNCTION("""COMPUTED_VALUE""")," ")</f>
        <v> </v>
      </c>
      <c r="T2408" s="6" t="str">
        <f>IFERROR(__xludf.DUMMYFUNCTION("""COMPUTED_VALUE"""),"")</f>
        <v/>
      </c>
      <c r="U2408" s="6" t="str">
        <f>IFERROR(__xludf.DUMMYFUNCTION("""COMPUTED_VALUE"""),"4")</f>
        <v>4</v>
      </c>
      <c r="V2408" s="6" t="str">
        <f>IFERROR(__xludf.DUMMYFUNCTION("""COMPUTED_VALUE"""),"")</f>
        <v/>
      </c>
      <c r="W2408" s="6" t="str">
        <f>IFERROR(__xludf.DUMMYFUNCTION("""COMPUTED_VALUE"""),"[]")</f>
        <v>[]</v>
      </c>
      <c r="X2408" s="6" t="str">
        <f>IFERROR(__xludf.DUMMYFUNCTION("""COMPUTED_VALUE"""),"Enrolled")</f>
        <v>Enrolled</v>
      </c>
    </row>
    <row r="2409">
      <c r="A2409" s="6" t="str">
        <f>IFERROR(__xludf.DUMMYFUNCTION("""COMPUTED_VALUE"""),"040-4417")</f>
        <v>040-4417</v>
      </c>
      <c r="B2409" s="6" t="str">
        <f>IFERROR(__xludf.DUMMYFUNCTION("""COMPUTED_VALUE"""),"40")</f>
        <v>40</v>
      </c>
      <c r="C2409" s="6" t="str">
        <f>IFERROR(__xludf.DUMMYFUNCTION("""COMPUTED_VALUE"""),"4417")</f>
        <v>4417</v>
      </c>
      <c r="D2409" s="6" t="str">
        <f>IFERROR(__xludf.DUMMYFUNCTION("""COMPUTED_VALUE"""),"Bentlye-Ann")</f>
        <v>Bentlye-Ann</v>
      </c>
      <c r="E2409" s="6" t="str">
        <f>IFERROR(__xludf.DUMMYFUNCTION("""COMPUTED_VALUE"""),"Bentlye")</f>
        <v>Bentlye</v>
      </c>
      <c r="F2409" s="6" t="str">
        <f>IFERROR(__xludf.DUMMYFUNCTION("""COMPUTED_VALUE"""),"Brunelle")</f>
        <v>Brunelle</v>
      </c>
      <c r="G2409" s="6" t="str">
        <f>IFERROR(__xludf.DUMMYFUNCTION("""COMPUTED_VALUE"""),"08/01/2013")</f>
        <v>08/01/2013</v>
      </c>
      <c r="H2409" s="6" t="str">
        <f>IFERROR(__xludf.DUMMYFUNCTION("""COMPUTED_VALUE"""),"Self Identify")</f>
        <v>Self Identify</v>
      </c>
      <c r="I2409" s="6" t="str">
        <f>IFERROR(__xludf.DUMMYFUNCTION("""COMPUTED_VALUE"""),"Middle School")</f>
        <v>Middle School</v>
      </c>
      <c r="J2409" s="6" t="str">
        <f>IFERROR(__xludf.DUMMYFUNCTION("""COMPUTED_VALUE"""),"7")</f>
        <v>7</v>
      </c>
      <c r="K2409" s="6" t="str">
        <f>IFERROR(__xludf.DUMMYFUNCTION("""COMPUTED_VALUE"""),"bentlyeann.brunelle@unbound.school")</f>
        <v>bentlyeann.brunelle@unbound.school</v>
      </c>
      <c r="L2409" s="6" t="str">
        <f>IFERROR(__xludf.DUMMYFUNCTION("""COMPUTED_VALUE"""),"Unbound Academy")</f>
        <v>Unbound Academy</v>
      </c>
      <c r="M2409" s="6" t="str">
        <f>IFERROR(__xludf.DUMMYFUNCTION("""COMPUTED_VALUE"""),"")</f>
        <v/>
      </c>
      <c r="N2409" s="6" t="str">
        <f>IFERROR(__xludf.DUMMYFUNCTION("""COMPUTED_VALUE"""),"")</f>
        <v/>
      </c>
      <c r="O2409" s="87" t="str">
        <f>IFERROR(__xludf.DUMMYFUNCTION("""COMPUTED_VALUE"""),"https://drive.google.com/drive/folders/10T2cTQHqEJZqE-st6uFKPoI?usp=share_link")</f>
        <v>https://drive.google.com/drive/folders/10T2cTQHqEJZqE-st6uFKPoI?usp=share_link</v>
      </c>
      <c r="P2409" s="6" t="str">
        <f>IFERROR(__xludf.DUMMYFUNCTION("""COMPUTED_VALUE"""),"Bentlye Brunelle")</f>
        <v>Bentlye Brunelle</v>
      </c>
      <c r="Q2409" s="6" t="str">
        <f>IFERROR(__xludf.DUMMYFUNCTION("""COMPUTED_VALUE"""),"MS")</f>
        <v>MS</v>
      </c>
      <c r="R2409" s="6">
        <f>IFERROR(__xludf.DUMMYFUNCTION("""COMPUTED_VALUE"""),0.0)</f>
        <v>0</v>
      </c>
      <c r="S2409" s="6" t="str">
        <f>IFERROR(__xludf.DUMMYFUNCTION("""COMPUTED_VALUE""")," ")</f>
        <v> </v>
      </c>
      <c r="T2409" s="6" t="str">
        <f>IFERROR(__xludf.DUMMYFUNCTION("""COMPUTED_VALUE"""),"")</f>
        <v/>
      </c>
      <c r="U2409" s="6" t="str">
        <f>IFERROR(__xludf.DUMMYFUNCTION("""COMPUTED_VALUE"""),"7")</f>
        <v>7</v>
      </c>
      <c r="V2409" s="6" t="str">
        <f>IFERROR(__xludf.DUMMYFUNCTION("""COMPUTED_VALUE"""),"")</f>
        <v/>
      </c>
      <c r="W2409" s="6" t="str">
        <f>IFERROR(__xludf.DUMMYFUNCTION("""COMPUTED_VALUE"""),"[]")</f>
        <v>[]</v>
      </c>
      <c r="X2409" s="6" t="str">
        <f>IFERROR(__xludf.DUMMYFUNCTION("""COMPUTED_VALUE"""),"Enrolled")</f>
        <v>Enrolled</v>
      </c>
    </row>
    <row r="2410">
      <c r="A2410" s="6" t="str">
        <f>IFERROR(__xludf.DUMMYFUNCTION("""COMPUTED_VALUE"""),"040-4418")</f>
        <v>040-4418</v>
      </c>
      <c r="B2410" s="6" t="str">
        <f>IFERROR(__xludf.DUMMYFUNCTION("""COMPUTED_VALUE"""),"40")</f>
        <v>40</v>
      </c>
      <c r="C2410" s="6" t="str">
        <f>IFERROR(__xludf.DUMMYFUNCTION("""COMPUTED_VALUE"""),"4418")</f>
        <v>4418</v>
      </c>
      <c r="D2410" s="6" t="str">
        <f>IFERROR(__xludf.DUMMYFUNCTION("""COMPUTED_VALUE"""),"Coledon")</f>
        <v>Coledon</v>
      </c>
      <c r="E2410" s="6" t="str">
        <f>IFERROR(__xludf.DUMMYFUNCTION("""COMPUTED_VALUE"""),"Cole")</f>
        <v>Cole</v>
      </c>
      <c r="F2410" s="6" t="str">
        <f>IFERROR(__xludf.DUMMYFUNCTION("""COMPUTED_VALUE"""),"Porteous-Babel")</f>
        <v>Porteous-Babel</v>
      </c>
      <c r="G2410" s="6" t="str">
        <f>IFERROR(__xludf.DUMMYFUNCTION("""COMPUTED_VALUE"""),"09/09/2011")</f>
        <v>09/09/2011</v>
      </c>
      <c r="H2410" s="6" t="str">
        <f>IFERROR(__xludf.DUMMYFUNCTION("""COMPUTED_VALUE"""),"Self Identify")</f>
        <v>Self Identify</v>
      </c>
      <c r="I2410" s="6" t="str">
        <f>IFERROR(__xludf.DUMMYFUNCTION("""COMPUTED_VALUE"""),"Middle School")</f>
        <v>Middle School</v>
      </c>
      <c r="J2410" s="6" t="str">
        <f>IFERROR(__xludf.DUMMYFUNCTION("""COMPUTED_VALUE"""),"8")</f>
        <v>8</v>
      </c>
      <c r="K2410" s="6" t="str">
        <f>IFERROR(__xludf.DUMMYFUNCTION("""COMPUTED_VALUE"""),"coledon.porteousbabel@unbound.school")</f>
        <v>coledon.porteousbabel@unbound.school</v>
      </c>
      <c r="L2410" s="6" t="str">
        <f>IFERROR(__xludf.DUMMYFUNCTION("""COMPUTED_VALUE"""),"Unbound Academy")</f>
        <v>Unbound Academy</v>
      </c>
      <c r="M2410" s="6" t="str">
        <f>IFERROR(__xludf.DUMMYFUNCTION("""COMPUTED_VALUE"""),"")</f>
        <v/>
      </c>
      <c r="N2410" s="6" t="str">
        <f>IFERROR(__xludf.DUMMYFUNCTION("""COMPUTED_VALUE"""),"")</f>
        <v/>
      </c>
      <c r="O2410" s="87" t="str">
        <f>IFERROR(__xludf.DUMMYFUNCTION("""COMPUTED_VALUE"""),"https://drive.google.com/drive/folders/10T2cTQHqEJZqE-st6uFKPoI?usp=share_link")</f>
        <v>https://drive.google.com/drive/folders/10T2cTQHqEJZqE-st6uFKPoI?usp=share_link</v>
      </c>
      <c r="P2410" s="6" t="str">
        <f>IFERROR(__xludf.DUMMYFUNCTION("""COMPUTED_VALUE"""),"Cole Porteous-Babel")</f>
        <v>Cole Porteous-Babel</v>
      </c>
      <c r="Q2410" s="6" t="str">
        <f>IFERROR(__xludf.DUMMYFUNCTION("""COMPUTED_VALUE"""),"MS")</f>
        <v>MS</v>
      </c>
      <c r="R2410" s="6">
        <f>IFERROR(__xludf.DUMMYFUNCTION("""COMPUTED_VALUE"""),0.0)</f>
        <v>0</v>
      </c>
      <c r="S2410" s="6" t="str">
        <f>IFERROR(__xludf.DUMMYFUNCTION("""COMPUTED_VALUE""")," ")</f>
        <v> </v>
      </c>
      <c r="T2410" s="6" t="str">
        <f>IFERROR(__xludf.DUMMYFUNCTION("""COMPUTED_VALUE"""),"")</f>
        <v/>
      </c>
      <c r="U2410" s="6" t="str">
        <f>IFERROR(__xludf.DUMMYFUNCTION("""COMPUTED_VALUE"""),"8")</f>
        <v>8</v>
      </c>
      <c r="V2410" s="6" t="str">
        <f>IFERROR(__xludf.DUMMYFUNCTION("""COMPUTED_VALUE"""),"")</f>
        <v/>
      </c>
      <c r="W2410" s="6" t="str">
        <f>IFERROR(__xludf.DUMMYFUNCTION("""COMPUTED_VALUE"""),"[]")</f>
        <v>[]</v>
      </c>
      <c r="X2410" s="6" t="str">
        <f>IFERROR(__xludf.DUMMYFUNCTION("""COMPUTED_VALUE"""),"Enrolled")</f>
        <v>Enrolled</v>
      </c>
    </row>
    <row r="2411">
      <c r="A2411" s="6" t="str">
        <f>IFERROR(__xludf.DUMMYFUNCTION("""COMPUTED_VALUE"""),"040-4419")</f>
        <v>040-4419</v>
      </c>
      <c r="B2411" s="6" t="str">
        <f>IFERROR(__xludf.DUMMYFUNCTION("""COMPUTED_VALUE"""),"40")</f>
        <v>40</v>
      </c>
      <c r="C2411" s="6" t="str">
        <f>IFERROR(__xludf.DUMMYFUNCTION("""COMPUTED_VALUE"""),"4419")</f>
        <v>4419</v>
      </c>
      <c r="D2411" s="6" t="str">
        <f>IFERROR(__xludf.DUMMYFUNCTION("""COMPUTED_VALUE"""),"Ethan")</f>
        <v>Ethan</v>
      </c>
      <c r="E2411" s="6" t="str">
        <f>IFERROR(__xludf.DUMMYFUNCTION("""COMPUTED_VALUE"""),"")</f>
        <v/>
      </c>
      <c r="F2411" s="6" t="str">
        <f>IFERROR(__xludf.DUMMYFUNCTION("""COMPUTED_VALUE"""),"Crisostomo Techur")</f>
        <v>Crisostomo Techur</v>
      </c>
      <c r="G2411" s="6" t="str">
        <f>IFERROR(__xludf.DUMMYFUNCTION("""COMPUTED_VALUE"""),"12/30/2013")</f>
        <v>12/30/2013</v>
      </c>
      <c r="H2411" s="6" t="str">
        <f>IFERROR(__xludf.DUMMYFUNCTION("""COMPUTED_VALUE"""),"Self Identify")</f>
        <v>Self Identify</v>
      </c>
      <c r="I2411" s="6" t="str">
        <f>IFERROR(__xludf.DUMMYFUNCTION("""COMPUTED_VALUE"""),"Middle School")</f>
        <v>Middle School</v>
      </c>
      <c r="J2411" s="6" t="str">
        <f>IFERROR(__xludf.DUMMYFUNCTION("""COMPUTED_VALUE"""),"6")</f>
        <v>6</v>
      </c>
      <c r="K2411" s="6" t="str">
        <f>IFERROR(__xludf.DUMMYFUNCTION("""COMPUTED_VALUE"""),"ethan.crisostomo.techur@unbound.school")</f>
        <v>ethan.crisostomo.techur@unbound.school</v>
      </c>
      <c r="L2411" s="6" t="str">
        <f>IFERROR(__xludf.DUMMYFUNCTION("""COMPUTED_VALUE"""),"Unbound Academy")</f>
        <v>Unbound Academy</v>
      </c>
      <c r="M2411" s="6" t="str">
        <f>IFERROR(__xludf.DUMMYFUNCTION("""COMPUTED_VALUE"""),"")</f>
        <v/>
      </c>
      <c r="N2411" s="6" t="str">
        <f>IFERROR(__xludf.DUMMYFUNCTION("""COMPUTED_VALUE"""),"")</f>
        <v/>
      </c>
      <c r="O2411" s="87" t="str">
        <f>IFERROR(__xludf.DUMMYFUNCTION("""COMPUTED_VALUE"""),"https://drive.google.com/drive/folders/10T2cTQHqEJZqE-st6uFKPoI?usp=share_link")</f>
        <v>https://drive.google.com/drive/folders/10T2cTQHqEJZqE-st6uFKPoI?usp=share_link</v>
      </c>
      <c r="P2411" s="6" t="str">
        <f>IFERROR(__xludf.DUMMYFUNCTION("""COMPUTED_VALUE"""),"Ethan Crisostomo Techur")</f>
        <v>Ethan Crisostomo Techur</v>
      </c>
      <c r="Q2411" s="6" t="str">
        <f>IFERROR(__xludf.DUMMYFUNCTION("""COMPUTED_VALUE"""),"MS")</f>
        <v>MS</v>
      </c>
      <c r="R2411" s="6">
        <f>IFERROR(__xludf.DUMMYFUNCTION("""COMPUTED_VALUE"""),0.0)</f>
        <v>0</v>
      </c>
      <c r="S2411" s="6" t="str">
        <f>IFERROR(__xludf.DUMMYFUNCTION("""COMPUTED_VALUE""")," ")</f>
        <v> </v>
      </c>
      <c r="T2411" s="6" t="str">
        <f>IFERROR(__xludf.DUMMYFUNCTION("""COMPUTED_VALUE"""),"")</f>
        <v/>
      </c>
      <c r="U2411" s="6" t="str">
        <f>IFERROR(__xludf.DUMMYFUNCTION("""COMPUTED_VALUE"""),"6")</f>
        <v>6</v>
      </c>
      <c r="V2411" s="6" t="str">
        <f>IFERROR(__xludf.DUMMYFUNCTION("""COMPUTED_VALUE"""),"")</f>
        <v/>
      </c>
      <c r="W2411" s="6" t="str">
        <f>IFERROR(__xludf.DUMMYFUNCTION("""COMPUTED_VALUE"""),"[]")</f>
        <v>[]</v>
      </c>
      <c r="X2411" s="6" t="str">
        <f>IFERROR(__xludf.DUMMYFUNCTION("""COMPUTED_VALUE"""),"Enrolled")</f>
        <v>Enrolled</v>
      </c>
    </row>
    <row r="2412">
      <c r="A2412" s="6" t="str">
        <f>IFERROR(__xludf.DUMMYFUNCTION("""COMPUTED_VALUE"""),"040-4420")</f>
        <v>040-4420</v>
      </c>
      <c r="B2412" s="6" t="str">
        <f>IFERROR(__xludf.DUMMYFUNCTION("""COMPUTED_VALUE"""),"40")</f>
        <v>40</v>
      </c>
      <c r="C2412" s="6" t="str">
        <f>IFERROR(__xludf.DUMMYFUNCTION("""COMPUTED_VALUE"""),"4420")</f>
        <v>4420</v>
      </c>
      <c r="D2412" s="6" t="str">
        <f>IFERROR(__xludf.DUMMYFUNCTION("""COMPUTED_VALUE"""),"Ellie")</f>
        <v>Ellie</v>
      </c>
      <c r="E2412" s="6" t="str">
        <f>IFERROR(__xludf.DUMMYFUNCTION("""COMPUTED_VALUE"""),"")</f>
        <v/>
      </c>
      <c r="F2412" s="6" t="str">
        <f>IFERROR(__xludf.DUMMYFUNCTION("""COMPUTED_VALUE"""),"Emery")</f>
        <v>Emery</v>
      </c>
      <c r="G2412" s="6" t="str">
        <f>IFERROR(__xludf.DUMMYFUNCTION("""COMPUTED_VALUE"""),"11/09/2011")</f>
        <v>11/09/2011</v>
      </c>
      <c r="H2412" s="6" t="str">
        <f>IFERROR(__xludf.DUMMYFUNCTION("""COMPUTED_VALUE"""),"Self Identify")</f>
        <v>Self Identify</v>
      </c>
      <c r="I2412" s="6" t="str">
        <f>IFERROR(__xludf.DUMMYFUNCTION("""COMPUTED_VALUE"""),"Middle School")</f>
        <v>Middle School</v>
      </c>
      <c r="J2412" s="6" t="str">
        <f>IFERROR(__xludf.DUMMYFUNCTION("""COMPUTED_VALUE"""),"8")</f>
        <v>8</v>
      </c>
      <c r="K2412" s="6" t="str">
        <f>IFERROR(__xludf.DUMMYFUNCTION("""COMPUTED_VALUE"""),"ellie.emery@unbound.school")</f>
        <v>ellie.emery@unbound.school</v>
      </c>
      <c r="L2412" s="6" t="str">
        <f>IFERROR(__xludf.DUMMYFUNCTION("""COMPUTED_VALUE"""),"Unbound Academy")</f>
        <v>Unbound Academy</v>
      </c>
      <c r="M2412" s="6" t="str">
        <f>IFERROR(__xludf.DUMMYFUNCTION("""COMPUTED_VALUE"""),"")</f>
        <v/>
      </c>
      <c r="N2412" s="6" t="str">
        <f>IFERROR(__xludf.DUMMYFUNCTION("""COMPUTED_VALUE"""),"")</f>
        <v/>
      </c>
      <c r="O2412" s="87" t="str">
        <f>IFERROR(__xludf.DUMMYFUNCTION("""COMPUTED_VALUE"""),"https://drive.google.com/drive/folders/10T2cTQHqEJZqE-st6uFKPoI?usp=share_link")</f>
        <v>https://drive.google.com/drive/folders/10T2cTQHqEJZqE-st6uFKPoI?usp=share_link</v>
      </c>
      <c r="P2412" s="6" t="str">
        <f>IFERROR(__xludf.DUMMYFUNCTION("""COMPUTED_VALUE"""),"Ellie Emery")</f>
        <v>Ellie Emery</v>
      </c>
      <c r="Q2412" s="6" t="str">
        <f>IFERROR(__xludf.DUMMYFUNCTION("""COMPUTED_VALUE"""),"MS")</f>
        <v>MS</v>
      </c>
      <c r="R2412" s="6">
        <f>IFERROR(__xludf.DUMMYFUNCTION("""COMPUTED_VALUE"""),0.0)</f>
        <v>0</v>
      </c>
      <c r="S2412" s="6" t="str">
        <f>IFERROR(__xludf.DUMMYFUNCTION("""COMPUTED_VALUE""")," ")</f>
        <v> </v>
      </c>
      <c r="T2412" s="6" t="str">
        <f>IFERROR(__xludf.DUMMYFUNCTION("""COMPUTED_VALUE"""),"")</f>
        <v/>
      </c>
      <c r="U2412" s="6" t="str">
        <f>IFERROR(__xludf.DUMMYFUNCTION("""COMPUTED_VALUE"""),"8")</f>
        <v>8</v>
      </c>
      <c r="V2412" s="6" t="str">
        <f>IFERROR(__xludf.DUMMYFUNCTION("""COMPUTED_VALUE"""),"")</f>
        <v/>
      </c>
      <c r="W2412" s="6" t="str">
        <f>IFERROR(__xludf.DUMMYFUNCTION("""COMPUTED_VALUE"""),"[]")</f>
        <v>[]</v>
      </c>
      <c r="X2412" s="6" t="str">
        <f>IFERROR(__xludf.DUMMYFUNCTION("""COMPUTED_VALUE"""),"Enrolled")</f>
        <v>Enrolled</v>
      </c>
    </row>
    <row r="2413">
      <c r="A2413" s="6" t="str">
        <f>IFERROR(__xludf.DUMMYFUNCTION("""COMPUTED_VALUE"""),"040-4554")</f>
        <v>040-4554</v>
      </c>
      <c r="B2413" s="6" t="str">
        <f>IFERROR(__xludf.DUMMYFUNCTION("""COMPUTED_VALUE"""),"40")</f>
        <v>40</v>
      </c>
      <c r="C2413" s="6" t="str">
        <f>IFERROR(__xludf.DUMMYFUNCTION("""COMPUTED_VALUE"""),"4554")</f>
        <v>4554</v>
      </c>
      <c r="D2413" s="6" t="str">
        <f>IFERROR(__xludf.DUMMYFUNCTION("""COMPUTED_VALUE"""),"Ailanne")</f>
        <v>Ailanne</v>
      </c>
      <c r="E2413" s="6" t="str">
        <f>IFERROR(__xludf.DUMMYFUNCTION("""COMPUTED_VALUE"""),"")</f>
        <v/>
      </c>
      <c r="F2413" s="6" t="str">
        <f>IFERROR(__xludf.DUMMYFUNCTION("""COMPUTED_VALUE"""),"Pineda Villa")</f>
        <v>Pineda Villa</v>
      </c>
      <c r="G2413" s="6" t="str">
        <f>IFERROR(__xludf.DUMMYFUNCTION("""COMPUTED_VALUE"""),"06/14/2014")</f>
        <v>06/14/2014</v>
      </c>
      <c r="H2413" s="6" t="str">
        <f>IFERROR(__xludf.DUMMYFUNCTION("""COMPUTED_VALUE"""),"Self Identify")</f>
        <v>Self Identify</v>
      </c>
      <c r="I2413" s="6" t="str">
        <f>IFERROR(__xludf.DUMMYFUNCTION("""COMPUTED_VALUE"""),"Middle School")</f>
        <v>Middle School</v>
      </c>
      <c r="J2413" s="6" t="str">
        <f>IFERROR(__xludf.DUMMYFUNCTION("""COMPUTED_VALUE"""),"6")</f>
        <v>6</v>
      </c>
      <c r="K2413" s="6" t="str">
        <f>IFERROR(__xludf.DUMMYFUNCTION("""COMPUTED_VALUE"""),"ailanne.pineda.villa@unbound.school")</f>
        <v>ailanne.pineda.villa@unbound.school</v>
      </c>
      <c r="L2413" s="6" t="str">
        <f>IFERROR(__xludf.DUMMYFUNCTION("""COMPUTED_VALUE"""),"Unbound Academy")</f>
        <v>Unbound Academy</v>
      </c>
      <c r="M2413" s="6" t="str">
        <f>IFERROR(__xludf.DUMMYFUNCTION("""COMPUTED_VALUE"""),"")</f>
        <v/>
      </c>
      <c r="N2413" s="6" t="str">
        <f>IFERROR(__xludf.DUMMYFUNCTION("""COMPUTED_VALUE"""),"")</f>
        <v/>
      </c>
      <c r="O2413" s="87" t="str">
        <f>IFERROR(__xludf.DUMMYFUNCTION("""COMPUTED_VALUE"""),"https://drive.google.com/drive/folders/10T2cTQHqEJZqE-st6uFKPoI?usp=share_link")</f>
        <v>https://drive.google.com/drive/folders/10T2cTQHqEJZqE-st6uFKPoI?usp=share_link</v>
      </c>
      <c r="P2413" s="6" t="str">
        <f>IFERROR(__xludf.DUMMYFUNCTION("""COMPUTED_VALUE"""),"Ailanne Pineda Villa")</f>
        <v>Ailanne Pineda Villa</v>
      </c>
      <c r="Q2413" s="6" t="str">
        <f>IFERROR(__xludf.DUMMYFUNCTION("""COMPUTED_VALUE"""),"MS")</f>
        <v>MS</v>
      </c>
      <c r="R2413" s="6">
        <f>IFERROR(__xludf.DUMMYFUNCTION("""COMPUTED_VALUE"""),0.0)</f>
        <v>0</v>
      </c>
      <c r="S2413" s="6" t="str">
        <f>IFERROR(__xludf.DUMMYFUNCTION("""COMPUTED_VALUE""")," ")</f>
        <v> </v>
      </c>
      <c r="T2413" s="6" t="str">
        <f>IFERROR(__xludf.DUMMYFUNCTION("""COMPUTED_VALUE"""),"")</f>
        <v/>
      </c>
      <c r="U2413" s="6" t="str">
        <f>IFERROR(__xludf.DUMMYFUNCTION("""COMPUTED_VALUE"""),"6")</f>
        <v>6</v>
      </c>
      <c r="V2413" s="6" t="str">
        <f>IFERROR(__xludf.DUMMYFUNCTION("""COMPUTED_VALUE"""),"")</f>
        <v/>
      </c>
      <c r="W2413" s="6" t="str">
        <f>IFERROR(__xludf.DUMMYFUNCTION("""COMPUTED_VALUE"""),"[]")</f>
        <v>[]</v>
      </c>
      <c r="X2413" s="6" t="str">
        <f>IFERROR(__xludf.DUMMYFUNCTION("""COMPUTED_VALUE"""),"Enrolled")</f>
        <v>Enrolled</v>
      </c>
    </row>
    <row r="2414">
      <c r="A2414" s="6" t="str">
        <f>IFERROR(__xludf.DUMMYFUNCTION("""COMPUTED_VALUE"""),"040-4555")</f>
        <v>040-4555</v>
      </c>
      <c r="B2414" s="6" t="str">
        <f>IFERROR(__xludf.DUMMYFUNCTION("""COMPUTED_VALUE"""),"40")</f>
        <v>40</v>
      </c>
      <c r="C2414" s="6" t="str">
        <f>IFERROR(__xludf.DUMMYFUNCTION("""COMPUTED_VALUE"""),"4555")</f>
        <v>4555</v>
      </c>
      <c r="D2414" s="6" t="str">
        <f>IFERROR(__xludf.DUMMYFUNCTION("""COMPUTED_VALUE"""),"Jaden")</f>
        <v>Jaden</v>
      </c>
      <c r="E2414" s="6" t="str">
        <f>IFERROR(__xludf.DUMMYFUNCTION("""COMPUTED_VALUE"""),"")</f>
        <v/>
      </c>
      <c r="F2414" s="6" t="str">
        <f>IFERROR(__xludf.DUMMYFUNCTION("""COMPUTED_VALUE"""),"Pineda Villa")</f>
        <v>Pineda Villa</v>
      </c>
      <c r="G2414" s="6" t="str">
        <f>IFERROR(__xludf.DUMMYFUNCTION("""COMPUTED_VALUE"""),"03/11/2013")</f>
        <v>03/11/2013</v>
      </c>
      <c r="H2414" s="6" t="str">
        <f>IFERROR(__xludf.DUMMYFUNCTION("""COMPUTED_VALUE"""),"Self Identify")</f>
        <v>Self Identify</v>
      </c>
      <c r="I2414" s="6" t="str">
        <f>IFERROR(__xludf.DUMMYFUNCTION("""COMPUTED_VALUE"""),"Middle School")</f>
        <v>Middle School</v>
      </c>
      <c r="J2414" s="6" t="str">
        <f>IFERROR(__xludf.DUMMYFUNCTION("""COMPUTED_VALUE"""),"7")</f>
        <v>7</v>
      </c>
      <c r="K2414" s="6" t="str">
        <f>IFERROR(__xludf.DUMMYFUNCTION("""COMPUTED_VALUE"""),"jaden.pineda.villa@unbound.school")</f>
        <v>jaden.pineda.villa@unbound.school</v>
      </c>
      <c r="L2414" s="6" t="str">
        <f>IFERROR(__xludf.DUMMYFUNCTION("""COMPUTED_VALUE"""),"Unbound Academy")</f>
        <v>Unbound Academy</v>
      </c>
      <c r="M2414" s="6" t="str">
        <f>IFERROR(__xludf.DUMMYFUNCTION("""COMPUTED_VALUE"""),"")</f>
        <v/>
      </c>
      <c r="N2414" s="6" t="str">
        <f>IFERROR(__xludf.DUMMYFUNCTION("""COMPUTED_VALUE"""),"")</f>
        <v/>
      </c>
      <c r="O2414" s="87" t="str">
        <f>IFERROR(__xludf.DUMMYFUNCTION("""COMPUTED_VALUE"""),"https://drive.google.com/drive/folders/10T2cTQHqEJZqE-st6uFKPoI?usp=share_link")</f>
        <v>https://drive.google.com/drive/folders/10T2cTQHqEJZqE-st6uFKPoI?usp=share_link</v>
      </c>
      <c r="P2414" s="6" t="str">
        <f>IFERROR(__xludf.DUMMYFUNCTION("""COMPUTED_VALUE"""),"Jaden Pineda Villa")</f>
        <v>Jaden Pineda Villa</v>
      </c>
      <c r="Q2414" s="6" t="str">
        <f>IFERROR(__xludf.DUMMYFUNCTION("""COMPUTED_VALUE"""),"MS")</f>
        <v>MS</v>
      </c>
      <c r="R2414" s="6">
        <f>IFERROR(__xludf.DUMMYFUNCTION("""COMPUTED_VALUE"""),0.0)</f>
        <v>0</v>
      </c>
      <c r="S2414" s="6" t="str">
        <f>IFERROR(__xludf.DUMMYFUNCTION("""COMPUTED_VALUE""")," ")</f>
        <v> </v>
      </c>
      <c r="T2414" s="6" t="str">
        <f>IFERROR(__xludf.DUMMYFUNCTION("""COMPUTED_VALUE"""),"")</f>
        <v/>
      </c>
      <c r="U2414" s="6" t="str">
        <f>IFERROR(__xludf.DUMMYFUNCTION("""COMPUTED_VALUE"""),"7")</f>
        <v>7</v>
      </c>
      <c r="V2414" s="6" t="str">
        <f>IFERROR(__xludf.DUMMYFUNCTION("""COMPUTED_VALUE"""),"")</f>
        <v/>
      </c>
      <c r="W2414" s="6" t="str">
        <f>IFERROR(__xludf.DUMMYFUNCTION("""COMPUTED_VALUE"""),"[]")</f>
        <v>[]</v>
      </c>
      <c r="X2414" s="6" t="str">
        <f>IFERROR(__xludf.DUMMYFUNCTION("""COMPUTED_VALUE"""),"Enrolled")</f>
        <v>Enrolled</v>
      </c>
    </row>
    <row r="2415">
      <c r="A2415" s="6" t="str">
        <f>IFERROR(__xludf.DUMMYFUNCTION("""COMPUTED_VALUE"""),"040-4556")</f>
        <v>040-4556</v>
      </c>
      <c r="B2415" s="6" t="str">
        <f>IFERROR(__xludf.DUMMYFUNCTION("""COMPUTED_VALUE"""),"40")</f>
        <v>40</v>
      </c>
      <c r="C2415" s="6" t="str">
        <f>IFERROR(__xludf.DUMMYFUNCTION("""COMPUTED_VALUE"""),"4556")</f>
        <v>4556</v>
      </c>
      <c r="D2415" s="6" t="str">
        <f>IFERROR(__xludf.DUMMYFUNCTION("""COMPUTED_VALUE"""),"Lily")</f>
        <v>Lily</v>
      </c>
      <c r="E2415" s="6" t="str">
        <f>IFERROR(__xludf.DUMMYFUNCTION("""COMPUTED_VALUE"""),"")</f>
        <v/>
      </c>
      <c r="F2415" s="6" t="str">
        <f>IFERROR(__xludf.DUMMYFUNCTION("""COMPUTED_VALUE"""),"Spears")</f>
        <v>Spears</v>
      </c>
      <c r="G2415" s="6" t="str">
        <f>IFERROR(__xludf.DUMMYFUNCTION("""COMPUTED_VALUE"""),"07/30/2012")</f>
        <v>07/30/2012</v>
      </c>
      <c r="H2415" s="6" t="str">
        <f>IFERROR(__xludf.DUMMYFUNCTION("""COMPUTED_VALUE"""),"Self Identify")</f>
        <v>Self Identify</v>
      </c>
      <c r="I2415" s="6" t="str">
        <f>IFERROR(__xludf.DUMMYFUNCTION("""COMPUTED_VALUE"""),"Middle School")</f>
        <v>Middle School</v>
      </c>
      <c r="J2415" s="6" t="str">
        <f>IFERROR(__xludf.DUMMYFUNCTION("""COMPUTED_VALUE"""),"8")</f>
        <v>8</v>
      </c>
      <c r="K2415" s="6" t="str">
        <f>IFERROR(__xludf.DUMMYFUNCTION("""COMPUTED_VALUE"""),"lily.spears@unbound.school")</f>
        <v>lily.spears@unbound.school</v>
      </c>
      <c r="L2415" s="6" t="str">
        <f>IFERROR(__xludf.DUMMYFUNCTION("""COMPUTED_VALUE"""),"Unbound Academy")</f>
        <v>Unbound Academy</v>
      </c>
      <c r="M2415" s="6" t="str">
        <f>IFERROR(__xludf.DUMMYFUNCTION("""COMPUTED_VALUE"""),"")</f>
        <v/>
      </c>
      <c r="N2415" s="6" t="str">
        <f>IFERROR(__xludf.DUMMYFUNCTION("""COMPUTED_VALUE"""),"")</f>
        <v/>
      </c>
      <c r="O2415" s="87" t="str">
        <f>IFERROR(__xludf.DUMMYFUNCTION("""COMPUTED_VALUE"""),"https://drive.google.com/drive/folders/10T2cTQHqEJZqE-st6uFKPoI?usp=share_link")</f>
        <v>https://drive.google.com/drive/folders/10T2cTQHqEJZqE-st6uFKPoI?usp=share_link</v>
      </c>
      <c r="P2415" s="6" t="str">
        <f>IFERROR(__xludf.DUMMYFUNCTION("""COMPUTED_VALUE"""),"Lily Spears")</f>
        <v>Lily Spears</v>
      </c>
      <c r="Q2415" s="6" t="str">
        <f>IFERROR(__xludf.DUMMYFUNCTION("""COMPUTED_VALUE"""),"MS")</f>
        <v>MS</v>
      </c>
      <c r="R2415" s="6">
        <f>IFERROR(__xludf.DUMMYFUNCTION("""COMPUTED_VALUE"""),0.0)</f>
        <v>0</v>
      </c>
      <c r="S2415" s="6" t="str">
        <f>IFERROR(__xludf.DUMMYFUNCTION("""COMPUTED_VALUE""")," ")</f>
        <v> </v>
      </c>
      <c r="T2415" s="6" t="str">
        <f>IFERROR(__xludf.DUMMYFUNCTION("""COMPUTED_VALUE"""),"")</f>
        <v/>
      </c>
      <c r="U2415" s="6" t="str">
        <f>IFERROR(__xludf.DUMMYFUNCTION("""COMPUTED_VALUE"""),"8")</f>
        <v>8</v>
      </c>
      <c r="V2415" s="6" t="str">
        <f>IFERROR(__xludf.DUMMYFUNCTION("""COMPUTED_VALUE"""),"")</f>
        <v/>
      </c>
      <c r="W2415" s="6" t="str">
        <f>IFERROR(__xludf.DUMMYFUNCTION("""COMPUTED_VALUE"""),"[]")</f>
        <v>[]</v>
      </c>
      <c r="X2415" s="6" t="str">
        <f>IFERROR(__xludf.DUMMYFUNCTION("""COMPUTED_VALUE"""),"Enrolled")</f>
        <v>Enrolled</v>
      </c>
    </row>
    <row r="2416">
      <c r="A2416" s="6" t="str">
        <f>IFERROR(__xludf.DUMMYFUNCTION("""COMPUTED_VALUE"""),"040-4557")</f>
        <v>040-4557</v>
      </c>
      <c r="B2416" s="6" t="str">
        <f>IFERROR(__xludf.DUMMYFUNCTION("""COMPUTED_VALUE"""),"40")</f>
        <v>40</v>
      </c>
      <c r="C2416" s="6" t="str">
        <f>IFERROR(__xludf.DUMMYFUNCTION("""COMPUTED_VALUE"""),"4557")</f>
        <v>4557</v>
      </c>
      <c r="D2416" s="6" t="str">
        <f>IFERROR(__xludf.DUMMYFUNCTION("""COMPUTED_VALUE"""),"Cesar")</f>
        <v>Cesar</v>
      </c>
      <c r="E2416" s="6" t="str">
        <f>IFERROR(__xludf.DUMMYFUNCTION("""COMPUTED_VALUE"""),"")</f>
        <v/>
      </c>
      <c r="F2416" s="6" t="str">
        <f>IFERROR(__xludf.DUMMYFUNCTION("""COMPUTED_VALUE"""),"Jimenez Urias")</f>
        <v>Jimenez Urias</v>
      </c>
      <c r="G2416" s="6" t="str">
        <f>IFERROR(__xludf.DUMMYFUNCTION("""COMPUTED_VALUE"""),"03/16/2010")</f>
        <v>03/16/2010</v>
      </c>
      <c r="H2416" s="6" t="str">
        <f>IFERROR(__xludf.DUMMYFUNCTION("""COMPUTED_VALUE"""),"Self Identify")</f>
        <v>Self Identify</v>
      </c>
      <c r="I2416" s="6" t="str">
        <f>IFERROR(__xludf.DUMMYFUNCTION("""COMPUTED_VALUE"""),"Middle School")</f>
        <v>Middle School</v>
      </c>
      <c r="J2416" s="6" t="str">
        <f>IFERROR(__xludf.DUMMYFUNCTION("""COMPUTED_VALUE"""),"8")</f>
        <v>8</v>
      </c>
      <c r="K2416" s="6" t="str">
        <f>IFERROR(__xludf.DUMMYFUNCTION("""COMPUTED_VALUE"""),"cesar.jimenez.urias@unbound.school")</f>
        <v>cesar.jimenez.urias@unbound.school</v>
      </c>
      <c r="L2416" s="6" t="str">
        <f>IFERROR(__xludf.DUMMYFUNCTION("""COMPUTED_VALUE"""),"Unbound Academy")</f>
        <v>Unbound Academy</v>
      </c>
      <c r="M2416" s="6" t="str">
        <f>IFERROR(__xludf.DUMMYFUNCTION("""COMPUTED_VALUE"""),"")</f>
        <v/>
      </c>
      <c r="N2416" s="6" t="str">
        <f>IFERROR(__xludf.DUMMYFUNCTION("""COMPUTED_VALUE"""),"")</f>
        <v/>
      </c>
      <c r="O2416" s="87" t="str">
        <f>IFERROR(__xludf.DUMMYFUNCTION("""COMPUTED_VALUE"""),"https://drive.google.com/drive/folders/10T2cTQHqEJZqE-st6uFKPoI?usp=share_link")</f>
        <v>https://drive.google.com/drive/folders/10T2cTQHqEJZqE-st6uFKPoI?usp=share_link</v>
      </c>
      <c r="P2416" s="6" t="str">
        <f>IFERROR(__xludf.DUMMYFUNCTION("""COMPUTED_VALUE"""),"Cesar Jimenez Urias")</f>
        <v>Cesar Jimenez Urias</v>
      </c>
      <c r="Q2416" s="6" t="str">
        <f>IFERROR(__xludf.DUMMYFUNCTION("""COMPUTED_VALUE"""),"MS")</f>
        <v>MS</v>
      </c>
      <c r="R2416" s="6">
        <f>IFERROR(__xludf.DUMMYFUNCTION("""COMPUTED_VALUE"""),0.0)</f>
        <v>0</v>
      </c>
      <c r="S2416" s="6" t="str">
        <f>IFERROR(__xludf.DUMMYFUNCTION("""COMPUTED_VALUE""")," ")</f>
        <v> </v>
      </c>
      <c r="T2416" s="6" t="str">
        <f>IFERROR(__xludf.DUMMYFUNCTION("""COMPUTED_VALUE"""),"")</f>
        <v/>
      </c>
      <c r="U2416" s="6" t="str">
        <f>IFERROR(__xludf.DUMMYFUNCTION("""COMPUTED_VALUE"""),"8")</f>
        <v>8</v>
      </c>
      <c r="V2416" s="6" t="str">
        <f>IFERROR(__xludf.DUMMYFUNCTION("""COMPUTED_VALUE"""),"")</f>
        <v/>
      </c>
      <c r="W2416" s="6" t="str">
        <f>IFERROR(__xludf.DUMMYFUNCTION("""COMPUTED_VALUE"""),"[]")</f>
        <v>[]</v>
      </c>
      <c r="X2416" s="6" t="str">
        <f>IFERROR(__xludf.DUMMYFUNCTION("""COMPUTED_VALUE"""),"Enrolled")</f>
        <v>Enrolled</v>
      </c>
    </row>
    <row r="2417">
      <c r="A2417" s="6" t="str">
        <f>IFERROR(__xludf.DUMMYFUNCTION("""COMPUTED_VALUE"""),"040-4558")</f>
        <v>040-4558</v>
      </c>
      <c r="B2417" s="6" t="str">
        <f>IFERROR(__xludf.DUMMYFUNCTION("""COMPUTED_VALUE"""),"40")</f>
        <v>40</v>
      </c>
      <c r="C2417" s="6" t="str">
        <f>IFERROR(__xludf.DUMMYFUNCTION("""COMPUTED_VALUE"""),"4558")</f>
        <v>4558</v>
      </c>
      <c r="D2417" s="6" t="str">
        <f>IFERROR(__xludf.DUMMYFUNCTION("""COMPUTED_VALUE"""),"Paesyn")</f>
        <v>Paesyn</v>
      </c>
      <c r="E2417" s="6" t="str">
        <f>IFERROR(__xludf.DUMMYFUNCTION("""COMPUTED_VALUE"""),"")</f>
        <v/>
      </c>
      <c r="F2417" s="6" t="str">
        <f>IFERROR(__xludf.DUMMYFUNCTION("""COMPUTED_VALUE"""),"Baldassarre")</f>
        <v>Baldassarre</v>
      </c>
      <c r="G2417" s="6" t="str">
        <f>IFERROR(__xludf.DUMMYFUNCTION("""COMPUTED_VALUE"""),"04/26/2012")</f>
        <v>04/26/2012</v>
      </c>
      <c r="H2417" s="6" t="str">
        <f>IFERROR(__xludf.DUMMYFUNCTION("""COMPUTED_VALUE"""),"Self Identify")</f>
        <v>Self Identify</v>
      </c>
      <c r="I2417" s="6" t="str">
        <f>IFERROR(__xludf.DUMMYFUNCTION("""COMPUTED_VALUE"""),"Middle School")</f>
        <v>Middle School</v>
      </c>
      <c r="J2417" s="6" t="str">
        <f>IFERROR(__xludf.DUMMYFUNCTION("""COMPUTED_VALUE"""),"7")</f>
        <v>7</v>
      </c>
      <c r="K2417" s="6" t="str">
        <f>IFERROR(__xludf.DUMMYFUNCTION("""COMPUTED_VALUE"""),"paesyn.baldassarre@unbound.school")</f>
        <v>paesyn.baldassarre@unbound.school</v>
      </c>
      <c r="L2417" s="6" t="str">
        <f>IFERROR(__xludf.DUMMYFUNCTION("""COMPUTED_VALUE"""),"Unbound Academy")</f>
        <v>Unbound Academy</v>
      </c>
      <c r="M2417" s="6" t="str">
        <f>IFERROR(__xludf.DUMMYFUNCTION("""COMPUTED_VALUE"""),"")</f>
        <v/>
      </c>
      <c r="N2417" s="6" t="str">
        <f>IFERROR(__xludf.DUMMYFUNCTION("""COMPUTED_VALUE"""),"")</f>
        <v/>
      </c>
      <c r="O2417" s="87" t="str">
        <f>IFERROR(__xludf.DUMMYFUNCTION("""COMPUTED_VALUE"""),"https://drive.google.com/drive/folders/10T2cTQHqEJZqE-st6uFKPoI?usp=share_link")</f>
        <v>https://drive.google.com/drive/folders/10T2cTQHqEJZqE-st6uFKPoI?usp=share_link</v>
      </c>
      <c r="P2417" s="6" t="str">
        <f>IFERROR(__xludf.DUMMYFUNCTION("""COMPUTED_VALUE"""),"Paesyn Baldassarre")</f>
        <v>Paesyn Baldassarre</v>
      </c>
      <c r="Q2417" s="6" t="str">
        <f>IFERROR(__xludf.DUMMYFUNCTION("""COMPUTED_VALUE"""),"MS")</f>
        <v>MS</v>
      </c>
      <c r="R2417" s="6">
        <f>IFERROR(__xludf.DUMMYFUNCTION("""COMPUTED_VALUE"""),0.0)</f>
        <v>0</v>
      </c>
      <c r="S2417" s="6" t="str">
        <f>IFERROR(__xludf.DUMMYFUNCTION("""COMPUTED_VALUE""")," ")</f>
        <v> </v>
      </c>
      <c r="T2417" s="6" t="str">
        <f>IFERROR(__xludf.DUMMYFUNCTION("""COMPUTED_VALUE"""),"")</f>
        <v/>
      </c>
      <c r="U2417" s="6" t="str">
        <f>IFERROR(__xludf.DUMMYFUNCTION("""COMPUTED_VALUE"""),"7")</f>
        <v>7</v>
      </c>
      <c r="V2417" s="6" t="str">
        <f>IFERROR(__xludf.DUMMYFUNCTION("""COMPUTED_VALUE"""),"")</f>
        <v/>
      </c>
      <c r="W2417" s="6" t="str">
        <f>IFERROR(__xludf.DUMMYFUNCTION("""COMPUTED_VALUE"""),"[]")</f>
        <v>[]</v>
      </c>
      <c r="X2417" s="6" t="str">
        <f>IFERROR(__xludf.DUMMYFUNCTION("""COMPUTED_VALUE"""),"Enrolled")</f>
        <v>Enrolled</v>
      </c>
    </row>
    <row r="2418">
      <c r="A2418" s="6" t="str">
        <f>IFERROR(__xludf.DUMMYFUNCTION("""COMPUTED_VALUE"""),"040-4559")</f>
        <v>040-4559</v>
      </c>
      <c r="B2418" s="6" t="str">
        <f>IFERROR(__xludf.DUMMYFUNCTION("""COMPUTED_VALUE"""),"40")</f>
        <v>40</v>
      </c>
      <c r="C2418" s="6" t="str">
        <f>IFERROR(__xludf.DUMMYFUNCTION("""COMPUTED_VALUE"""),"4559")</f>
        <v>4559</v>
      </c>
      <c r="D2418" s="6" t="str">
        <f>IFERROR(__xludf.DUMMYFUNCTION("""COMPUTED_VALUE"""),"Vincent")</f>
        <v>Vincent</v>
      </c>
      <c r="E2418" s="6" t="str">
        <f>IFERROR(__xludf.DUMMYFUNCTION("""COMPUTED_VALUE"""),"")</f>
        <v/>
      </c>
      <c r="F2418" s="6" t="str">
        <f>IFERROR(__xludf.DUMMYFUNCTION("""COMPUTED_VALUE"""),"Baldassarre")</f>
        <v>Baldassarre</v>
      </c>
      <c r="G2418" s="6" t="str">
        <f>IFERROR(__xludf.DUMMYFUNCTION("""COMPUTED_VALUE"""),"10/07/2013")</f>
        <v>10/07/2013</v>
      </c>
      <c r="H2418" s="6" t="str">
        <f>IFERROR(__xludf.DUMMYFUNCTION("""COMPUTED_VALUE"""),"Self Identify")</f>
        <v>Self Identify</v>
      </c>
      <c r="I2418" s="6" t="str">
        <f>IFERROR(__xludf.DUMMYFUNCTION("""COMPUTED_VALUE"""),"Middle School")</f>
        <v>Middle School</v>
      </c>
      <c r="J2418" s="6" t="str">
        <f>IFERROR(__xludf.DUMMYFUNCTION("""COMPUTED_VALUE"""),"6")</f>
        <v>6</v>
      </c>
      <c r="K2418" s="6" t="str">
        <f>IFERROR(__xludf.DUMMYFUNCTION("""COMPUTED_VALUE"""),"vincent.baldassarre@unbound.school")</f>
        <v>vincent.baldassarre@unbound.school</v>
      </c>
      <c r="L2418" s="6" t="str">
        <f>IFERROR(__xludf.DUMMYFUNCTION("""COMPUTED_VALUE"""),"Unbound Academy")</f>
        <v>Unbound Academy</v>
      </c>
      <c r="M2418" s="6" t="str">
        <f>IFERROR(__xludf.DUMMYFUNCTION("""COMPUTED_VALUE"""),"")</f>
        <v/>
      </c>
      <c r="N2418" s="6" t="str">
        <f>IFERROR(__xludf.DUMMYFUNCTION("""COMPUTED_VALUE"""),"")</f>
        <v/>
      </c>
      <c r="O2418" s="87" t="str">
        <f>IFERROR(__xludf.DUMMYFUNCTION("""COMPUTED_VALUE"""),"https://drive.google.com/drive/folders/10T2cTQHqEJZqE-st6uFKPoI?usp=share_link")</f>
        <v>https://drive.google.com/drive/folders/10T2cTQHqEJZqE-st6uFKPoI?usp=share_link</v>
      </c>
      <c r="P2418" s="6" t="str">
        <f>IFERROR(__xludf.DUMMYFUNCTION("""COMPUTED_VALUE"""),"Vincent Baldassarre")</f>
        <v>Vincent Baldassarre</v>
      </c>
      <c r="Q2418" s="6" t="str">
        <f>IFERROR(__xludf.DUMMYFUNCTION("""COMPUTED_VALUE"""),"MS")</f>
        <v>MS</v>
      </c>
      <c r="R2418" s="6">
        <f>IFERROR(__xludf.DUMMYFUNCTION("""COMPUTED_VALUE"""),0.0)</f>
        <v>0</v>
      </c>
      <c r="S2418" s="6" t="str">
        <f>IFERROR(__xludf.DUMMYFUNCTION("""COMPUTED_VALUE""")," ")</f>
        <v> </v>
      </c>
      <c r="T2418" s="6" t="str">
        <f>IFERROR(__xludf.DUMMYFUNCTION("""COMPUTED_VALUE"""),"")</f>
        <v/>
      </c>
      <c r="U2418" s="6" t="str">
        <f>IFERROR(__xludf.DUMMYFUNCTION("""COMPUTED_VALUE"""),"6")</f>
        <v>6</v>
      </c>
      <c r="V2418" s="6" t="str">
        <f>IFERROR(__xludf.DUMMYFUNCTION("""COMPUTED_VALUE"""),"")</f>
        <v/>
      </c>
      <c r="W2418" s="6" t="str">
        <f>IFERROR(__xludf.DUMMYFUNCTION("""COMPUTED_VALUE"""),"[]")</f>
        <v>[]</v>
      </c>
      <c r="X2418" s="6" t="str">
        <f>IFERROR(__xludf.DUMMYFUNCTION("""COMPUTED_VALUE"""),"Enrolled")</f>
        <v>Enrolled</v>
      </c>
    </row>
    <row r="2419">
      <c r="A2419" s="6" t="str">
        <f>IFERROR(__xludf.DUMMYFUNCTION("""COMPUTED_VALUE"""),"040-4560")</f>
        <v>040-4560</v>
      </c>
      <c r="B2419" s="6" t="str">
        <f>IFERROR(__xludf.DUMMYFUNCTION("""COMPUTED_VALUE"""),"40")</f>
        <v>40</v>
      </c>
      <c r="C2419" s="6" t="str">
        <f>IFERROR(__xludf.DUMMYFUNCTION("""COMPUTED_VALUE"""),"4560")</f>
        <v>4560</v>
      </c>
      <c r="D2419" s="6" t="str">
        <f>IFERROR(__xludf.DUMMYFUNCTION("""COMPUTED_VALUE"""),"Armani")</f>
        <v>Armani</v>
      </c>
      <c r="E2419" s="6" t="str">
        <f>IFERROR(__xludf.DUMMYFUNCTION("""COMPUTED_VALUE"""),"")</f>
        <v/>
      </c>
      <c r="F2419" s="6" t="str">
        <f>IFERROR(__xludf.DUMMYFUNCTION("""COMPUTED_VALUE"""),"Barker")</f>
        <v>Barker</v>
      </c>
      <c r="G2419" s="6" t="str">
        <f>IFERROR(__xludf.DUMMYFUNCTION("""COMPUTED_VALUE"""),"05/20/2015")</f>
        <v>05/20/2015</v>
      </c>
      <c r="H2419" s="6" t="str">
        <f>IFERROR(__xludf.DUMMYFUNCTION("""COMPUTED_VALUE"""),"Self Identify")</f>
        <v>Self Identify</v>
      </c>
      <c r="I2419" s="6" t="str">
        <f>IFERROR(__xludf.DUMMYFUNCTION("""COMPUTED_VALUE"""),"Level 2")</f>
        <v>Level 2</v>
      </c>
      <c r="J2419" s="6" t="str">
        <f>IFERROR(__xludf.DUMMYFUNCTION("""COMPUTED_VALUE"""),"5")</f>
        <v>5</v>
      </c>
      <c r="K2419" s="6" t="str">
        <f>IFERROR(__xludf.DUMMYFUNCTION("""COMPUTED_VALUE"""),"armani.barker@unbound.school")</f>
        <v>armani.barker@unbound.school</v>
      </c>
      <c r="L2419" s="6" t="str">
        <f>IFERROR(__xludf.DUMMYFUNCTION("""COMPUTED_VALUE"""),"Unbound Academy")</f>
        <v>Unbound Academy</v>
      </c>
      <c r="M2419" s="6" t="str">
        <f>IFERROR(__xludf.DUMMYFUNCTION("""COMPUTED_VALUE"""),"")</f>
        <v/>
      </c>
      <c r="N2419" s="6" t="str">
        <f>IFERROR(__xludf.DUMMYFUNCTION("""COMPUTED_VALUE"""),"")</f>
        <v/>
      </c>
      <c r="O2419" s="87" t="str">
        <f>IFERROR(__xludf.DUMMYFUNCTION("""COMPUTED_VALUE"""),"https://drive.google.com/drive/folders/10T2cTQHqEJZqE-st6uFKPoI?usp=share_link")</f>
        <v>https://drive.google.com/drive/folders/10T2cTQHqEJZqE-st6uFKPoI?usp=share_link</v>
      </c>
      <c r="P2419" s="6" t="str">
        <f>IFERROR(__xludf.DUMMYFUNCTION("""COMPUTED_VALUE"""),"Armani Barker")</f>
        <v>Armani Barker</v>
      </c>
      <c r="Q2419" s="6" t="str">
        <f>IFERROR(__xludf.DUMMYFUNCTION("""COMPUTED_VALUE"""),"L2")</f>
        <v>L2</v>
      </c>
      <c r="R2419" s="6">
        <f>IFERROR(__xludf.DUMMYFUNCTION("""COMPUTED_VALUE"""),2.0)</f>
        <v>2</v>
      </c>
      <c r="S2419" s="6" t="str">
        <f>IFERROR(__xludf.DUMMYFUNCTION("""COMPUTED_VALUE""")," ")</f>
        <v> </v>
      </c>
      <c r="T2419" s="6" t="str">
        <f>IFERROR(__xludf.DUMMYFUNCTION("""COMPUTED_VALUE"""),"")</f>
        <v/>
      </c>
      <c r="U2419" s="6" t="str">
        <f>IFERROR(__xludf.DUMMYFUNCTION("""COMPUTED_VALUE"""),"5")</f>
        <v>5</v>
      </c>
      <c r="V2419" s="6" t="str">
        <f>IFERROR(__xludf.DUMMYFUNCTION("""COMPUTED_VALUE"""),"")</f>
        <v/>
      </c>
      <c r="W2419" s="6" t="str">
        <f>IFERROR(__xludf.DUMMYFUNCTION("""COMPUTED_VALUE"""),"[]")</f>
        <v>[]</v>
      </c>
      <c r="X2419" s="6" t="str">
        <f>IFERROR(__xludf.DUMMYFUNCTION("""COMPUTED_VALUE"""),"Enrolled")</f>
        <v>Enrolled</v>
      </c>
    </row>
    <row r="2420">
      <c r="A2420" s="6" t="str">
        <f>IFERROR(__xludf.DUMMYFUNCTION("""COMPUTED_VALUE"""),"040-4561")</f>
        <v>040-4561</v>
      </c>
      <c r="B2420" s="6" t="str">
        <f>IFERROR(__xludf.DUMMYFUNCTION("""COMPUTED_VALUE"""),"40")</f>
        <v>40</v>
      </c>
      <c r="C2420" s="6" t="str">
        <f>IFERROR(__xludf.DUMMYFUNCTION("""COMPUTED_VALUE"""),"4561")</f>
        <v>4561</v>
      </c>
      <c r="D2420" s="6" t="str">
        <f>IFERROR(__xludf.DUMMYFUNCTION("""COMPUTED_VALUE"""),"Avery")</f>
        <v>Avery</v>
      </c>
      <c r="E2420" s="6" t="str">
        <f>IFERROR(__xludf.DUMMYFUNCTION("""COMPUTED_VALUE"""),"")</f>
        <v/>
      </c>
      <c r="F2420" s="6" t="str">
        <f>IFERROR(__xludf.DUMMYFUNCTION("""COMPUTED_VALUE"""),"Porter")</f>
        <v>Porter</v>
      </c>
      <c r="G2420" s="6" t="str">
        <f>IFERROR(__xludf.DUMMYFUNCTION("""COMPUTED_VALUE"""),"04/11/2014")</f>
        <v>04/11/2014</v>
      </c>
      <c r="H2420" s="6" t="str">
        <f>IFERROR(__xludf.DUMMYFUNCTION("""COMPUTED_VALUE"""),"Self Identify")</f>
        <v>Self Identify</v>
      </c>
      <c r="I2420" s="6" t="str">
        <f>IFERROR(__xludf.DUMMYFUNCTION("""COMPUTED_VALUE"""),"Level 2")</f>
        <v>Level 2</v>
      </c>
      <c r="J2420" s="6" t="str">
        <f>IFERROR(__xludf.DUMMYFUNCTION("""COMPUTED_VALUE"""),"5")</f>
        <v>5</v>
      </c>
      <c r="K2420" s="6" t="str">
        <f>IFERROR(__xludf.DUMMYFUNCTION("""COMPUTED_VALUE"""),"avery.porter@unbound.school")</f>
        <v>avery.porter@unbound.school</v>
      </c>
      <c r="L2420" s="6" t="str">
        <f>IFERROR(__xludf.DUMMYFUNCTION("""COMPUTED_VALUE"""),"Unbound Academy")</f>
        <v>Unbound Academy</v>
      </c>
      <c r="M2420" s="6" t="str">
        <f>IFERROR(__xludf.DUMMYFUNCTION("""COMPUTED_VALUE"""),"")</f>
        <v/>
      </c>
      <c r="N2420" s="6" t="str">
        <f>IFERROR(__xludf.DUMMYFUNCTION("""COMPUTED_VALUE"""),"")</f>
        <v/>
      </c>
      <c r="O2420" s="87" t="str">
        <f>IFERROR(__xludf.DUMMYFUNCTION("""COMPUTED_VALUE"""),"https://drive.google.com/drive/folders/10T2cTQHqEJZqE-st6uFKPoI?usp=share_link")</f>
        <v>https://drive.google.com/drive/folders/10T2cTQHqEJZqE-st6uFKPoI?usp=share_link</v>
      </c>
      <c r="P2420" s="6" t="str">
        <f>IFERROR(__xludf.DUMMYFUNCTION("""COMPUTED_VALUE"""),"Avery Porter")</f>
        <v>Avery Porter</v>
      </c>
      <c r="Q2420" s="6" t="str">
        <f>IFERROR(__xludf.DUMMYFUNCTION("""COMPUTED_VALUE"""),"L2")</f>
        <v>L2</v>
      </c>
      <c r="R2420" s="6">
        <f>IFERROR(__xludf.DUMMYFUNCTION("""COMPUTED_VALUE"""),2.0)</f>
        <v>2</v>
      </c>
      <c r="S2420" s="6" t="str">
        <f>IFERROR(__xludf.DUMMYFUNCTION("""COMPUTED_VALUE""")," ")</f>
        <v> </v>
      </c>
      <c r="T2420" s="6" t="str">
        <f>IFERROR(__xludf.DUMMYFUNCTION("""COMPUTED_VALUE"""),"")</f>
        <v/>
      </c>
      <c r="U2420" s="6" t="str">
        <f>IFERROR(__xludf.DUMMYFUNCTION("""COMPUTED_VALUE"""),"5")</f>
        <v>5</v>
      </c>
      <c r="V2420" s="6" t="str">
        <f>IFERROR(__xludf.DUMMYFUNCTION("""COMPUTED_VALUE"""),"")</f>
        <v/>
      </c>
      <c r="W2420" s="6" t="str">
        <f>IFERROR(__xludf.DUMMYFUNCTION("""COMPUTED_VALUE"""),"[]")</f>
        <v>[]</v>
      </c>
      <c r="X2420" s="6" t="str">
        <f>IFERROR(__xludf.DUMMYFUNCTION("""COMPUTED_VALUE"""),"Enrolled")</f>
        <v>Enrolled</v>
      </c>
    </row>
    <row r="2421">
      <c r="A2421" s="6" t="str">
        <f>IFERROR(__xludf.DUMMYFUNCTION("""COMPUTED_VALUE"""),"040-4562")</f>
        <v>040-4562</v>
      </c>
      <c r="B2421" s="6" t="str">
        <f>IFERROR(__xludf.DUMMYFUNCTION("""COMPUTED_VALUE"""),"40")</f>
        <v>40</v>
      </c>
      <c r="C2421" s="6" t="str">
        <f>IFERROR(__xludf.DUMMYFUNCTION("""COMPUTED_VALUE"""),"4562")</f>
        <v>4562</v>
      </c>
      <c r="D2421" s="6" t="str">
        <f>IFERROR(__xludf.DUMMYFUNCTION("""COMPUTED_VALUE"""),"Madeline")</f>
        <v>Madeline</v>
      </c>
      <c r="E2421" s="6" t="str">
        <f>IFERROR(__xludf.DUMMYFUNCTION("""COMPUTED_VALUE"""),"")</f>
        <v/>
      </c>
      <c r="F2421" s="6" t="str">
        <f>IFERROR(__xludf.DUMMYFUNCTION("""COMPUTED_VALUE"""),"Porter")</f>
        <v>Porter</v>
      </c>
      <c r="G2421" s="6" t="str">
        <f>IFERROR(__xludf.DUMMYFUNCTION("""COMPUTED_VALUE"""),"06/22/2011")</f>
        <v>06/22/2011</v>
      </c>
      <c r="H2421" s="6" t="str">
        <f>IFERROR(__xludf.DUMMYFUNCTION("""COMPUTED_VALUE"""),"Self Identify")</f>
        <v>Self Identify</v>
      </c>
      <c r="I2421" s="6" t="str">
        <f>IFERROR(__xludf.DUMMYFUNCTION("""COMPUTED_VALUE"""),"Middle School")</f>
        <v>Middle School</v>
      </c>
      <c r="J2421" s="6" t="str">
        <f>IFERROR(__xludf.DUMMYFUNCTION("""COMPUTED_VALUE"""),"8")</f>
        <v>8</v>
      </c>
      <c r="K2421" s="6" t="str">
        <f>IFERROR(__xludf.DUMMYFUNCTION("""COMPUTED_VALUE"""),"madeline.porter@unbound.school")</f>
        <v>madeline.porter@unbound.school</v>
      </c>
      <c r="L2421" s="6" t="str">
        <f>IFERROR(__xludf.DUMMYFUNCTION("""COMPUTED_VALUE"""),"Unbound Academy")</f>
        <v>Unbound Academy</v>
      </c>
      <c r="M2421" s="6" t="str">
        <f>IFERROR(__xludf.DUMMYFUNCTION("""COMPUTED_VALUE"""),"")</f>
        <v/>
      </c>
      <c r="N2421" s="6" t="str">
        <f>IFERROR(__xludf.DUMMYFUNCTION("""COMPUTED_VALUE"""),"")</f>
        <v/>
      </c>
      <c r="O2421" s="87" t="str">
        <f>IFERROR(__xludf.DUMMYFUNCTION("""COMPUTED_VALUE"""),"https://drive.google.com/drive/folders/10T2cTQHqEJZqE-st6uFKPoI?usp=share_link")</f>
        <v>https://drive.google.com/drive/folders/10T2cTQHqEJZqE-st6uFKPoI?usp=share_link</v>
      </c>
      <c r="P2421" s="6" t="str">
        <f>IFERROR(__xludf.DUMMYFUNCTION("""COMPUTED_VALUE"""),"Madeline Porter")</f>
        <v>Madeline Porter</v>
      </c>
      <c r="Q2421" s="6" t="str">
        <f>IFERROR(__xludf.DUMMYFUNCTION("""COMPUTED_VALUE"""),"MS")</f>
        <v>MS</v>
      </c>
      <c r="R2421" s="6">
        <f>IFERROR(__xludf.DUMMYFUNCTION("""COMPUTED_VALUE"""),0.0)</f>
        <v>0</v>
      </c>
      <c r="S2421" s="6" t="str">
        <f>IFERROR(__xludf.DUMMYFUNCTION("""COMPUTED_VALUE""")," ")</f>
        <v> </v>
      </c>
      <c r="T2421" s="6" t="str">
        <f>IFERROR(__xludf.DUMMYFUNCTION("""COMPUTED_VALUE"""),"")</f>
        <v/>
      </c>
      <c r="U2421" s="6" t="str">
        <f>IFERROR(__xludf.DUMMYFUNCTION("""COMPUTED_VALUE"""),"8")</f>
        <v>8</v>
      </c>
      <c r="V2421" s="6" t="str">
        <f>IFERROR(__xludf.DUMMYFUNCTION("""COMPUTED_VALUE"""),"")</f>
        <v/>
      </c>
      <c r="W2421" s="6" t="str">
        <f>IFERROR(__xludf.DUMMYFUNCTION("""COMPUTED_VALUE"""),"[]")</f>
        <v>[]</v>
      </c>
      <c r="X2421" s="6" t="str">
        <f>IFERROR(__xludf.DUMMYFUNCTION("""COMPUTED_VALUE"""),"Enrolled")</f>
        <v>Enrolled</v>
      </c>
    </row>
    <row r="2422">
      <c r="A2422" s="6" t="str">
        <f>IFERROR(__xludf.DUMMYFUNCTION("""COMPUTED_VALUE"""),"040-4563")</f>
        <v>040-4563</v>
      </c>
      <c r="B2422" s="6" t="str">
        <f>IFERROR(__xludf.DUMMYFUNCTION("""COMPUTED_VALUE"""),"40")</f>
        <v>40</v>
      </c>
      <c r="C2422" s="6" t="str">
        <f>IFERROR(__xludf.DUMMYFUNCTION("""COMPUTED_VALUE"""),"4563")</f>
        <v>4563</v>
      </c>
      <c r="D2422" s="6" t="str">
        <f>IFERROR(__xludf.DUMMYFUNCTION("""COMPUTED_VALUE"""),"Morgan")</f>
        <v>Morgan</v>
      </c>
      <c r="E2422" s="6" t="str">
        <f>IFERROR(__xludf.DUMMYFUNCTION("""COMPUTED_VALUE"""),"")</f>
        <v/>
      </c>
      <c r="F2422" s="6" t="str">
        <f>IFERROR(__xludf.DUMMYFUNCTION("""COMPUTED_VALUE"""),"Hart")</f>
        <v>Hart</v>
      </c>
      <c r="G2422" s="6" t="str">
        <f>IFERROR(__xludf.DUMMYFUNCTION("""COMPUTED_VALUE"""),"01/04/2014")</f>
        <v>01/04/2014</v>
      </c>
      <c r="H2422" s="6" t="str">
        <f>IFERROR(__xludf.DUMMYFUNCTION("""COMPUTED_VALUE"""),"Self Identify")</f>
        <v>Self Identify</v>
      </c>
      <c r="I2422" s="6" t="str">
        <f>IFERROR(__xludf.DUMMYFUNCTION("""COMPUTED_VALUE"""),"Level 2")</f>
        <v>Level 2</v>
      </c>
      <c r="J2422" s="6" t="str">
        <f>IFERROR(__xludf.DUMMYFUNCTION("""COMPUTED_VALUE"""),"5")</f>
        <v>5</v>
      </c>
      <c r="K2422" s="6" t="str">
        <f>IFERROR(__xludf.DUMMYFUNCTION("""COMPUTED_VALUE"""),"morgan.hart@unbound.school")</f>
        <v>morgan.hart@unbound.school</v>
      </c>
      <c r="L2422" s="6" t="str">
        <f>IFERROR(__xludf.DUMMYFUNCTION("""COMPUTED_VALUE"""),"Unbound Academy")</f>
        <v>Unbound Academy</v>
      </c>
      <c r="M2422" s="6" t="str">
        <f>IFERROR(__xludf.DUMMYFUNCTION("""COMPUTED_VALUE"""),"")</f>
        <v/>
      </c>
      <c r="N2422" s="6" t="str">
        <f>IFERROR(__xludf.DUMMYFUNCTION("""COMPUTED_VALUE"""),"")</f>
        <v/>
      </c>
      <c r="O2422" s="87" t="str">
        <f>IFERROR(__xludf.DUMMYFUNCTION("""COMPUTED_VALUE"""),"https://drive.google.com/drive/folders/10T2cTQHqEJZqE-st6uFKPoI?usp=share_link")</f>
        <v>https://drive.google.com/drive/folders/10T2cTQHqEJZqE-st6uFKPoI?usp=share_link</v>
      </c>
      <c r="P2422" s="6" t="str">
        <f>IFERROR(__xludf.DUMMYFUNCTION("""COMPUTED_VALUE"""),"Morgan Hart")</f>
        <v>Morgan Hart</v>
      </c>
      <c r="Q2422" s="6" t="str">
        <f>IFERROR(__xludf.DUMMYFUNCTION("""COMPUTED_VALUE"""),"L2")</f>
        <v>L2</v>
      </c>
      <c r="R2422" s="6">
        <f>IFERROR(__xludf.DUMMYFUNCTION("""COMPUTED_VALUE"""),2.0)</f>
        <v>2</v>
      </c>
      <c r="S2422" s="6" t="str">
        <f>IFERROR(__xludf.DUMMYFUNCTION("""COMPUTED_VALUE""")," ")</f>
        <v> </v>
      </c>
      <c r="T2422" s="6" t="str">
        <f>IFERROR(__xludf.DUMMYFUNCTION("""COMPUTED_VALUE"""),"")</f>
        <v/>
      </c>
      <c r="U2422" s="6" t="str">
        <f>IFERROR(__xludf.DUMMYFUNCTION("""COMPUTED_VALUE"""),"5")</f>
        <v>5</v>
      </c>
      <c r="V2422" s="6" t="str">
        <f>IFERROR(__xludf.DUMMYFUNCTION("""COMPUTED_VALUE"""),"")</f>
        <v/>
      </c>
      <c r="W2422" s="6" t="str">
        <f>IFERROR(__xludf.DUMMYFUNCTION("""COMPUTED_VALUE"""),"[]")</f>
        <v>[]</v>
      </c>
      <c r="X2422" s="6" t="str">
        <f>IFERROR(__xludf.DUMMYFUNCTION("""COMPUTED_VALUE"""),"Enrolled")</f>
        <v>Enrolled</v>
      </c>
    </row>
    <row r="2423">
      <c r="A2423" s="6" t="str">
        <f>IFERROR(__xludf.DUMMYFUNCTION("""COMPUTED_VALUE"""),"040-4564")</f>
        <v>040-4564</v>
      </c>
      <c r="B2423" s="6" t="str">
        <f>IFERROR(__xludf.DUMMYFUNCTION("""COMPUTED_VALUE"""),"40")</f>
        <v>40</v>
      </c>
      <c r="C2423" s="6" t="str">
        <f>IFERROR(__xludf.DUMMYFUNCTION("""COMPUTED_VALUE"""),"4564")</f>
        <v>4564</v>
      </c>
      <c r="D2423" s="6" t="str">
        <f>IFERROR(__xludf.DUMMYFUNCTION("""COMPUTED_VALUE"""),"Eli")</f>
        <v>Eli</v>
      </c>
      <c r="E2423" s="6" t="str">
        <f>IFERROR(__xludf.DUMMYFUNCTION("""COMPUTED_VALUE"""),"")</f>
        <v/>
      </c>
      <c r="F2423" s="6" t="str">
        <f>IFERROR(__xludf.DUMMYFUNCTION("""COMPUTED_VALUE"""),"Tortorici")</f>
        <v>Tortorici</v>
      </c>
      <c r="G2423" s="6" t="str">
        <f>IFERROR(__xludf.DUMMYFUNCTION("""COMPUTED_VALUE"""),"04/17/2012")</f>
        <v>04/17/2012</v>
      </c>
      <c r="H2423" s="6" t="str">
        <f>IFERROR(__xludf.DUMMYFUNCTION("""COMPUTED_VALUE"""),"Self Identify")</f>
        <v>Self Identify</v>
      </c>
      <c r="I2423" s="6" t="str">
        <f>IFERROR(__xludf.DUMMYFUNCTION("""COMPUTED_VALUE"""),"Middle School")</f>
        <v>Middle School</v>
      </c>
      <c r="J2423" s="6" t="str">
        <f>IFERROR(__xludf.DUMMYFUNCTION("""COMPUTED_VALUE"""),"8")</f>
        <v>8</v>
      </c>
      <c r="K2423" s="6" t="str">
        <f>IFERROR(__xludf.DUMMYFUNCTION("""COMPUTED_VALUE"""),"eli.tortorici@unbound.school")</f>
        <v>eli.tortorici@unbound.school</v>
      </c>
      <c r="L2423" s="6" t="str">
        <f>IFERROR(__xludf.DUMMYFUNCTION("""COMPUTED_VALUE"""),"Unbound Academy")</f>
        <v>Unbound Academy</v>
      </c>
      <c r="M2423" s="6" t="str">
        <f>IFERROR(__xludf.DUMMYFUNCTION("""COMPUTED_VALUE"""),"")</f>
        <v/>
      </c>
      <c r="N2423" s="6" t="str">
        <f>IFERROR(__xludf.DUMMYFUNCTION("""COMPUTED_VALUE"""),"")</f>
        <v/>
      </c>
      <c r="O2423" s="87" t="str">
        <f>IFERROR(__xludf.DUMMYFUNCTION("""COMPUTED_VALUE"""),"https://drive.google.com/drive/folders/10T2cTQHqEJZqE-st6uFKPoI?usp=share_link")</f>
        <v>https://drive.google.com/drive/folders/10T2cTQHqEJZqE-st6uFKPoI?usp=share_link</v>
      </c>
      <c r="P2423" s="6" t="str">
        <f>IFERROR(__xludf.DUMMYFUNCTION("""COMPUTED_VALUE"""),"Eli Tortorici")</f>
        <v>Eli Tortorici</v>
      </c>
      <c r="Q2423" s="6" t="str">
        <f>IFERROR(__xludf.DUMMYFUNCTION("""COMPUTED_VALUE"""),"MS")</f>
        <v>MS</v>
      </c>
      <c r="R2423" s="6">
        <f>IFERROR(__xludf.DUMMYFUNCTION("""COMPUTED_VALUE"""),0.0)</f>
        <v>0</v>
      </c>
      <c r="S2423" s="6" t="str">
        <f>IFERROR(__xludf.DUMMYFUNCTION("""COMPUTED_VALUE""")," ")</f>
        <v> </v>
      </c>
      <c r="T2423" s="6" t="str">
        <f>IFERROR(__xludf.DUMMYFUNCTION("""COMPUTED_VALUE"""),"")</f>
        <v/>
      </c>
      <c r="U2423" s="6" t="str">
        <f>IFERROR(__xludf.DUMMYFUNCTION("""COMPUTED_VALUE"""),"8")</f>
        <v>8</v>
      </c>
      <c r="V2423" s="6" t="str">
        <f>IFERROR(__xludf.DUMMYFUNCTION("""COMPUTED_VALUE"""),"")</f>
        <v/>
      </c>
      <c r="W2423" s="6" t="str">
        <f>IFERROR(__xludf.DUMMYFUNCTION("""COMPUTED_VALUE"""),"[]")</f>
        <v>[]</v>
      </c>
      <c r="X2423" s="6" t="str">
        <f>IFERROR(__xludf.DUMMYFUNCTION("""COMPUTED_VALUE"""),"Enrolled")</f>
        <v>Enrolled</v>
      </c>
    </row>
    <row r="2424">
      <c r="A2424" s="6" t="str">
        <f>IFERROR(__xludf.DUMMYFUNCTION("""COMPUTED_VALUE"""),"040-4626")</f>
        <v>040-4626</v>
      </c>
      <c r="B2424" s="6" t="str">
        <f>IFERROR(__xludf.DUMMYFUNCTION("""COMPUTED_VALUE"""),"40")</f>
        <v>40</v>
      </c>
      <c r="C2424" s="6" t="str">
        <f>IFERROR(__xludf.DUMMYFUNCTION("""COMPUTED_VALUE"""),"4626")</f>
        <v>4626</v>
      </c>
      <c r="D2424" s="6" t="str">
        <f>IFERROR(__xludf.DUMMYFUNCTION("""COMPUTED_VALUE"""),"Evelyn")</f>
        <v>Evelyn</v>
      </c>
      <c r="E2424" s="6" t="str">
        <f>IFERROR(__xludf.DUMMYFUNCTION("""COMPUTED_VALUE"""),"")</f>
        <v/>
      </c>
      <c r="F2424" s="6" t="str">
        <f>IFERROR(__xludf.DUMMYFUNCTION("""COMPUTED_VALUE"""),"Simmons")</f>
        <v>Simmons</v>
      </c>
      <c r="G2424" s="6" t="str">
        <f>IFERROR(__xludf.DUMMYFUNCTION("""COMPUTED_VALUE"""),"10/28/2014")</f>
        <v>10/28/2014</v>
      </c>
      <c r="H2424" s="6" t="str">
        <f>IFERROR(__xludf.DUMMYFUNCTION("""COMPUTED_VALUE"""),"Self Identify")</f>
        <v>Self Identify</v>
      </c>
      <c r="I2424" s="6" t="str">
        <f>IFERROR(__xludf.DUMMYFUNCTION("""COMPUTED_VALUE"""),"Middle School")</f>
        <v>Middle School</v>
      </c>
      <c r="J2424" s="6" t="str">
        <f>IFERROR(__xludf.DUMMYFUNCTION("""COMPUTED_VALUE"""),"6")</f>
        <v>6</v>
      </c>
      <c r="K2424" s="6" t="str">
        <f>IFERROR(__xludf.DUMMYFUNCTION("""COMPUTED_VALUE"""),"evelyn.simmons@unbound.school")</f>
        <v>evelyn.simmons@unbound.school</v>
      </c>
      <c r="L2424" s="6" t="str">
        <f>IFERROR(__xludf.DUMMYFUNCTION("""COMPUTED_VALUE"""),"Unbound Academy")</f>
        <v>Unbound Academy</v>
      </c>
      <c r="M2424" s="6" t="str">
        <f>IFERROR(__xludf.DUMMYFUNCTION("""COMPUTED_VALUE"""),"")</f>
        <v/>
      </c>
      <c r="N2424" s="6" t="str">
        <f>IFERROR(__xludf.DUMMYFUNCTION("""COMPUTED_VALUE"""),"")</f>
        <v/>
      </c>
      <c r="O2424" s="87" t="str">
        <f>IFERROR(__xludf.DUMMYFUNCTION("""COMPUTED_VALUE"""),"https://drive.google.com/drive/folders/10T2cTQHqEJZqE-st6uFKPoI?usp=share_link")</f>
        <v>https://drive.google.com/drive/folders/10T2cTQHqEJZqE-st6uFKPoI?usp=share_link</v>
      </c>
      <c r="P2424" s="6" t="str">
        <f>IFERROR(__xludf.DUMMYFUNCTION("""COMPUTED_VALUE"""),"Evelyn Simmons")</f>
        <v>Evelyn Simmons</v>
      </c>
      <c r="Q2424" s="6" t="str">
        <f>IFERROR(__xludf.DUMMYFUNCTION("""COMPUTED_VALUE"""),"MS")</f>
        <v>MS</v>
      </c>
      <c r="R2424" s="6">
        <f>IFERROR(__xludf.DUMMYFUNCTION("""COMPUTED_VALUE"""),0.0)</f>
        <v>0</v>
      </c>
      <c r="S2424" s="6" t="str">
        <f>IFERROR(__xludf.DUMMYFUNCTION("""COMPUTED_VALUE""")," ")</f>
        <v> </v>
      </c>
      <c r="T2424" s="6" t="str">
        <f>IFERROR(__xludf.DUMMYFUNCTION("""COMPUTED_VALUE"""),"")</f>
        <v/>
      </c>
      <c r="U2424" s="6" t="str">
        <f>IFERROR(__xludf.DUMMYFUNCTION("""COMPUTED_VALUE"""),"6")</f>
        <v>6</v>
      </c>
      <c r="V2424" s="6" t="str">
        <f>IFERROR(__xludf.DUMMYFUNCTION("""COMPUTED_VALUE"""),"")</f>
        <v/>
      </c>
      <c r="W2424" s="6" t="str">
        <f>IFERROR(__xludf.DUMMYFUNCTION("""COMPUTED_VALUE"""),"[]")</f>
        <v>[]</v>
      </c>
      <c r="X2424" s="6" t="str">
        <f>IFERROR(__xludf.DUMMYFUNCTION("""COMPUTED_VALUE"""),"Enrolled")</f>
        <v>Enrolled</v>
      </c>
    </row>
    <row r="2425">
      <c r="A2425" s="6" t="str">
        <f>IFERROR(__xludf.DUMMYFUNCTION("""COMPUTED_VALUE"""),"040-4627")</f>
        <v>040-4627</v>
      </c>
      <c r="B2425" s="6" t="str">
        <f>IFERROR(__xludf.DUMMYFUNCTION("""COMPUTED_VALUE"""),"40")</f>
        <v>40</v>
      </c>
      <c r="C2425" s="6" t="str">
        <f>IFERROR(__xludf.DUMMYFUNCTION("""COMPUTED_VALUE"""),"4627")</f>
        <v>4627</v>
      </c>
      <c r="D2425" s="6" t="str">
        <f>IFERROR(__xludf.DUMMYFUNCTION("""COMPUTED_VALUE"""),"Aurora")</f>
        <v>Aurora</v>
      </c>
      <c r="E2425" s="6" t="str">
        <f>IFERROR(__xludf.DUMMYFUNCTION("""COMPUTED_VALUE"""),"")</f>
        <v/>
      </c>
      <c r="F2425" s="6" t="str">
        <f>IFERROR(__xludf.DUMMYFUNCTION("""COMPUTED_VALUE"""),"Martins")</f>
        <v>Martins</v>
      </c>
      <c r="G2425" s="6" t="str">
        <f>IFERROR(__xludf.DUMMYFUNCTION("""COMPUTED_VALUE"""),"09/16/2015")</f>
        <v>09/16/2015</v>
      </c>
      <c r="H2425" s="6" t="str">
        <f>IFERROR(__xludf.DUMMYFUNCTION("""COMPUTED_VALUE"""),"Self Identify")</f>
        <v>Self Identify</v>
      </c>
      <c r="I2425" s="6" t="str">
        <f>IFERROR(__xludf.DUMMYFUNCTION("""COMPUTED_VALUE"""),"Level 2")</f>
        <v>Level 2</v>
      </c>
      <c r="J2425" s="6" t="str">
        <f>IFERROR(__xludf.DUMMYFUNCTION("""COMPUTED_VALUE"""),"4")</f>
        <v>4</v>
      </c>
      <c r="K2425" s="6" t="str">
        <f>IFERROR(__xludf.DUMMYFUNCTION("""COMPUTED_VALUE"""),"aurora.martins@unbound.school")</f>
        <v>aurora.martins@unbound.school</v>
      </c>
      <c r="L2425" s="6" t="str">
        <f>IFERROR(__xludf.DUMMYFUNCTION("""COMPUTED_VALUE"""),"Unbound Academy")</f>
        <v>Unbound Academy</v>
      </c>
      <c r="M2425" s="6" t="str">
        <f>IFERROR(__xludf.DUMMYFUNCTION("""COMPUTED_VALUE"""),"")</f>
        <v/>
      </c>
      <c r="N2425" s="6" t="str">
        <f>IFERROR(__xludf.DUMMYFUNCTION("""COMPUTED_VALUE"""),"")</f>
        <v/>
      </c>
      <c r="O2425" s="87" t="str">
        <f>IFERROR(__xludf.DUMMYFUNCTION("""COMPUTED_VALUE"""),"https://drive.google.com/drive/folders/10T2cTQHqEJZqE-st6uFKPoI?usp=share_link")</f>
        <v>https://drive.google.com/drive/folders/10T2cTQHqEJZqE-st6uFKPoI?usp=share_link</v>
      </c>
      <c r="P2425" s="6" t="str">
        <f>IFERROR(__xludf.DUMMYFUNCTION("""COMPUTED_VALUE"""),"Aurora Martins")</f>
        <v>Aurora Martins</v>
      </c>
      <c r="Q2425" s="6" t="str">
        <f>IFERROR(__xludf.DUMMYFUNCTION("""COMPUTED_VALUE"""),"L2")</f>
        <v>L2</v>
      </c>
      <c r="R2425" s="6">
        <f>IFERROR(__xludf.DUMMYFUNCTION("""COMPUTED_VALUE"""),2.0)</f>
        <v>2</v>
      </c>
      <c r="S2425" s="6" t="str">
        <f>IFERROR(__xludf.DUMMYFUNCTION("""COMPUTED_VALUE""")," ")</f>
        <v> </v>
      </c>
      <c r="T2425" s="6" t="str">
        <f>IFERROR(__xludf.DUMMYFUNCTION("""COMPUTED_VALUE"""),"")</f>
        <v/>
      </c>
      <c r="U2425" s="6" t="str">
        <f>IFERROR(__xludf.DUMMYFUNCTION("""COMPUTED_VALUE"""),"4")</f>
        <v>4</v>
      </c>
      <c r="V2425" s="6" t="str">
        <f>IFERROR(__xludf.DUMMYFUNCTION("""COMPUTED_VALUE"""),"")</f>
        <v/>
      </c>
      <c r="W2425" s="6" t="str">
        <f>IFERROR(__xludf.DUMMYFUNCTION("""COMPUTED_VALUE"""),"[]")</f>
        <v>[]</v>
      </c>
      <c r="X2425" s="6" t="str">
        <f>IFERROR(__xludf.DUMMYFUNCTION("""COMPUTED_VALUE"""),"Enrolled")</f>
        <v>Enrolled</v>
      </c>
    </row>
    <row r="2426">
      <c r="A2426" s="6" t="str">
        <f>IFERROR(__xludf.DUMMYFUNCTION("""COMPUTED_VALUE"""),"040-4662")</f>
        <v>040-4662</v>
      </c>
      <c r="B2426" s="6" t="str">
        <f>IFERROR(__xludf.DUMMYFUNCTION("""COMPUTED_VALUE"""),"40")</f>
        <v>40</v>
      </c>
      <c r="C2426" s="6" t="str">
        <f>IFERROR(__xludf.DUMMYFUNCTION("""COMPUTED_VALUE"""),"4662")</f>
        <v>4662</v>
      </c>
      <c r="D2426" s="6" t="str">
        <f>IFERROR(__xludf.DUMMYFUNCTION("""COMPUTED_VALUE"""),"Rylan")</f>
        <v>Rylan</v>
      </c>
      <c r="E2426" s="6" t="str">
        <f>IFERROR(__xludf.DUMMYFUNCTION("""COMPUTED_VALUE"""),"")</f>
        <v/>
      </c>
      <c r="F2426" s="6" t="str">
        <f>IFERROR(__xludf.DUMMYFUNCTION("""COMPUTED_VALUE"""),"McInerney-Cannon")</f>
        <v>McInerney-Cannon</v>
      </c>
      <c r="G2426" s="6" t="str">
        <f>IFERROR(__xludf.DUMMYFUNCTION("""COMPUTED_VALUE"""),"04/08/2014")</f>
        <v>04/08/2014</v>
      </c>
      <c r="H2426" s="6" t="str">
        <f>IFERROR(__xludf.DUMMYFUNCTION("""COMPUTED_VALUE"""),"Self Identify")</f>
        <v>Self Identify</v>
      </c>
      <c r="I2426" s="6" t="str">
        <f>IFERROR(__xludf.DUMMYFUNCTION("""COMPUTED_VALUE"""),"Middle School")</f>
        <v>Middle School</v>
      </c>
      <c r="J2426" s="6" t="str">
        <f>IFERROR(__xludf.DUMMYFUNCTION("""COMPUTED_VALUE"""),"6")</f>
        <v>6</v>
      </c>
      <c r="K2426" s="6" t="str">
        <f>IFERROR(__xludf.DUMMYFUNCTION("""COMPUTED_VALUE"""),"rylan.mcinerney-cannon@unbound.school")</f>
        <v>rylan.mcinerney-cannon@unbound.school</v>
      </c>
      <c r="L2426" s="6" t="str">
        <f>IFERROR(__xludf.DUMMYFUNCTION("""COMPUTED_VALUE"""),"Unbound Academy")</f>
        <v>Unbound Academy</v>
      </c>
      <c r="M2426" s="6" t="str">
        <f>IFERROR(__xludf.DUMMYFUNCTION("""COMPUTED_VALUE"""),"")</f>
        <v/>
      </c>
      <c r="N2426" s="6" t="str">
        <f>IFERROR(__xludf.DUMMYFUNCTION("""COMPUTED_VALUE"""),"")</f>
        <v/>
      </c>
      <c r="O2426" s="87" t="str">
        <f>IFERROR(__xludf.DUMMYFUNCTION("""COMPUTED_VALUE"""),"https://drive.google.com/drive/folders/10T2cTQHqEJZqE-st6uFKPoI?usp=share_link")</f>
        <v>https://drive.google.com/drive/folders/10T2cTQHqEJZqE-st6uFKPoI?usp=share_link</v>
      </c>
      <c r="P2426" s="6" t="str">
        <f>IFERROR(__xludf.DUMMYFUNCTION("""COMPUTED_VALUE"""),"Rylan McInerney-Cannon")</f>
        <v>Rylan McInerney-Cannon</v>
      </c>
      <c r="Q2426" s="6" t="str">
        <f>IFERROR(__xludf.DUMMYFUNCTION("""COMPUTED_VALUE"""),"MS")</f>
        <v>MS</v>
      </c>
      <c r="R2426" s="6">
        <f>IFERROR(__xludf.DUMMYFUNCTION("""COMPUTED_VALUE"""),0.0)</f>
        <v>0</v>
      </c>
      <c r="S2426" s="6" t="str">
        <f>IFERROR(__xludf.DUMMYFUNCTION("""COMPUTED_VALUE""")," ")</f>
        <v> </v>
      </c>
      <c r="T2426" s="6" t="str">
        <f>IFERROR(__xludf.DUMMYFUNCTION("""COMPUTED_VALUE"""),"")</f>
        <v/>
      </c>
      <c r="U2426" s="6" t="str">
        <f>IFERROR(__xludf.DUMMYFUNCTION("""COMPUTED_VALUE"""),"6")</f>
        <v>6</v>
      </c>
      <c r="V2426" s="6" t="str">
        <f>IFERROR(__xludf.DUMMYFUNCTION("""COMPUTED_VALUE"""),"")</f>
        <v/>
      </c>
      <c r="W2426" s="6" t="str">
        <f>IFERROR(__xludf.DUMMYFUNCTION("""COMPUTED_VALUE"""),"[]")</f>
        <v>[]</v>
      </c>
      <c r="X2426" s="6" t="str">
        <f>IFERROR(__xludf.DUMMYFUNCTION("""COMPUTED_VALUE"""),"Enrolled")</f>
        <v>Enrolled</v>
      </c>
    </row>
    <row r="2427">
      <c r="A2427" s="6" t="str">
        <f>IFERROR(__xludf.DUMMYFUNCTION("""COMPUTED_VALUE"""),"040-4663")</f>
        <v>040-4663</v>
      </c>
      <c r="B2427" s="6" t="str">
        <f>IFERROR(__xludf.DUMMYFUNCTION("""COMPUTED_VALUE"""),"40")</f>
        <v>40</v>
      </c>
      <c r="C2427" s="6" t="str">
        <f>IFERROR(__xludf.DUMMYFUNCTION("""COMPUTED_VALUE"""),"4663")</f>
        <v>4663</v>
      </c>
      <c r="D2427" s="6" t="str">
        <f>IFERROR(__xludf.DUMMYFUNCTION("""COMPUTED_VALUE"""),"RubyAnn")</f>
        <v>RubyAnn</v>
      </c>
      <c r="E2427" s="6" t="str">
        <f>IFERROR(__xludf.DUMMYFUNCTION("""COMPUTED_VALUE"""),"")</f>
        <v/>
      </c>
      <c r="F2427" s="6" t="str">
        <f>IFERROR(__xludf.DUMMYFUNCTION("""COMPUTED_VALUE"""),"Barnhart")</f>
        <v>Barnhart</v>
      </c>
      <c r="G2427" s="6" t="str">
        <f>IFERROR(__xludf.DUMMYFUNCTION("""COMPUTED_VALUE"""),"03/20/2015")</f>
        <v>03/20/2015</v>
      </c>
      <c r="H2427" s="6" t="str">
        <f>IFERROR(__xludf.DUMMYFUNCTION("""COMPUTED_VALUE"""),"Self Identify")</f>
        <v>Self Identify</v>
      </c>
      <c r="I2427" s="6" t="str">
        <f>IFERROR(__xludf.DUMMYFUNCTION("""COMPUTED_VALUE"""),"Level 2")</f>
        <v>Level 2</v>
      </c>
      <c r="J2427" s="6" t="str">
        <f>IFERROR(__xludf.DUMMYFUNCTION("""COMPUTED_VALUE"""),"5")</f>
        <v>5</v>
      </c>
      <c r="K2427" s="6" t="str">
        <f>IFERROR(__xludf.DUMMYFUNCTION("""COMPUTED_VALUE"""),"rubyann.barnhart@unbound.school")</f>
        <v>rubyann.barnhart@unbound.school</v>
      </c>
      <c r="L2427" s="6" t="str">
        <f>IFERROR(__xludf.DUMMYFUNCTION("""COMPUTED_VALUE"""),"Unbound Academy")</f>
        <v>Unbound Academy</v>
      </c>
      <c r="M2427" s="6" t="str">
        <f>IFERROR(__xludf.DUMMYFUNCTION("""COMPUTED_VALUE"""),"")</f>
        <v/>
      </c>
      <c r="N2427" s="6" t="str">
        <f>IFERROR(__xludf.DUMMYFUNCTION("""COMPUTED_VALUE"""),"")</f>
        <v/>
      </c>
      <c r="O2427" s="87" t="str">
        <f>IFERROR(__xludf.DUMMYFUNCTION("""COMPUTED_VALUE"""),"https://drive.google.com/drive/folders/10T2cTQHqEJZqE-st6uFKPoI?usp=share_link")</f>
        <v>https://drive.google.com/drive/folders/10T2cTQHqEJZqE-st6uFKPoI?usp=share_link</v>
      </c>
      <c r="P2427" s="6" t="str">
        <f>IFERROR(__xludf.DUMMYFUNCTION("""COMPUTED_VALUE"""),"RubyAnn Barnhart")</f>
        <v>RubyAnn Barnhart</v>
      </c>
      <c r="Q2427" s="6" t="str">
        <f>IFERROR(__xludf.DUMMYFUNCTION("""COMPUTED_VALUE"""),"L2")</f>
        <v>L2</v>
      </c>
      <c r="R2427" s="6">
        <f>IFERROR(__xludf.DUMMYFUNCTION("""COMPUTED_VALUE"""),2.0)</f>
        <v>2</v>
      </c>
      <c r="S2427" s="6" t="str">
        <f>IFERROR(__xludf.DUMMYFUNCTION("""COMPUTED_VALUE""")," ")</f>
        <v> </v>
      </c>
      <c r="T2427" s="6" t="str">
        <f>IFERROR(__xludf.DUMMYFUNCTION("""COMPUTED_VALUE"""),"")</f>
        <v/>
      </c>
      <c r="U2427" s="6" t="str">
        <f>IFERROR(__xludf.DUMMYFUNCTION("""COMPUTED_VALUE"""),"5")</f>
        <v>5</v>
      </c>
      <c r="V2427" s="6" t="str">
        <f>IFERROR(__xludf.DUMMYFUNCTION("""COMPUTED_VALUE"""),"")</f>
        <v/>
      </c>
      <c r="W2427" s="6" t="str">
        <f>IFERROR(__xludf.DUMMYFUNCTION("""COMPUTED_VALUE"""),"[]")</f>
        <v>[]</v>
      </c>
      <c r="X2427" s="6" t="str">
        <f>IFERROR(__xludf.DUMMYFUNCTION("""COMPUTED_VALUE"""),"Enrolled")</f>
        <v>Enrolled</v>
      </c>
    </row>
    <row r="2428">
      <c r="A2428" s="6" t="str">
        <f>IFERROR(__xludf.DUMMYFUNCTION("""COMPUTED_VALUE"""),"040-4691")</f>
        <v>040-4691</v>
      </c>
      <c r="B2428" s="6" t="str">
        <f>IFERROR(__xludf.DUMMYFUNCTION("""COMPUTED_VALUE"""),"40")</f>
        <v>40</v>
      </c>
      <c r="C2428" s="6" t="str">
        <f>IFERROR(__xludf.DUMMYFUNCTION("""COMPUTED_VALUE"""),"4691")</f>
        <v>4691</v>
      </c>
      <c r="D2428" s="6" t="str">
        <f>IFERROR(__xludf.DUMMYFUNCTION("""COMPUTED_VALUE"""),"Maya")</f>
        <v>Maya</v>
      </c>
      <c r="E2428" s="6" t="str">
        <f>IFERROR(__xludf.DUMMYFUNCTION("""COMPUTED_VALUE"""),"")</f>
        <v/>
      </c>
      <c r="F2428" s="6" t="str">
        <f>IFERROR(__xludf.DUMMYFUNCTION("""COMPUTED_VALUE"""),"Barroteran")</f>
        <v>Barroteran</v>
      </c>
      <c r="G2428" s="6" t="str">
        <f>IFERROR(__xludf.DUMMYFUNCTION("""COMPUTED_VALUE"""),"05/01/2013")</f>
        <v>05/01/2013</v>
      </c>
      <c r="H2428" s="6" t="str">
        <f>IFERROR(__xludf.DUMMYFUNCTION("""COMPUTED_VALUE"""),"Self Identify")</f>
        <v>Self Identify</v>
      </c>
      <c r="I2428" s="6" t="str">
        <f>IFERROR(__xludf.DUMMYFUNCTION("""COMPUTED_VALUE"""),"Middle School")</f>
        <v>Middle School</v>
      </c>
      <c r="J2428" s="6" t="str">
        <f>IFERROR(__xludf.DUMMYFUNCTION("""COMPUTED_VALUE"""),"6")</f>
        <v>6</v>
      </c>
      <c r="K2428" s="6" t="str">
        <f>IFERROR(__xludf.DUMMYFUNCTION("""COMPUTED_VALUE"""),"maya.barroteran@unbound.school")</f>
        <v>maya.barroteran@unbound.school</v>
      </c>
      <c r="L2428" s="6" t="str">
        <f>IFERROR(__xludf.DUMMYFUNCTION("""COMPUTED_VALUE"""),"Unbound Academy")</f>
        <v>Unbound Academy</v>
      </c>
      <c r="M2428" s="6" t="str">
        <f>IFERROR(__xludf.DUMMYFUNCTION("""COMPUTED_VALUE"""),"")</f>
        <v/>
      </c>
      <c r="N2428" s="6" t="str">
        <f>IFERROR(__xludf.DUMMYFUNCTION("""COMPUTED_VALUE"""),"")</f>
        <v/>
      </c>
      <c r="O2428" s="87" t="str">
        <f>IFERROR(__xludf.DUMMYFUNCTION("""COMPUTED_VALUE"""),"https://drive.google.com/drive/folders/10T2cTQHqEJZqE-st6uFKPoI?usp=share_link")</f>
        <v>https://drive.google.com/drive/folders/10T2cTQHqEJZqE-st6uFKPoI?usp=share_link</v>
      </c>
      <c r="P2428" s="6" t="str">
        <f>IFERROR(__xludf.DUMMYFUNCTION("""COMPUTED_VALUE"""),"Maya Barroteran")</f>
        <v>Maya Barroteran</v>
      </c>
      <c r="Q2428" s="6" t="str">
        <f>IFERROR(__xludf.DUMMYFUNCTION("""COMPUTED_VALUE"""),"MS")</f>
        <v>MS</v>
      </c>
      <c r="R2428" s="6">
        <f>IFERROR(__xludf.DUMMYFUNCTION("""COMPUTED_VALUE"""),0.0)</f>
        <v>0</v>
      </c>
      <c r="S2428" s="6" t="str">
        <f>IFERROR(__xludf.DUMMYFUNCTION("""COMPUTED_VALUE""")," ")</f>
        <v> </v>
      </c>
      <c r="T2428" s="6" t="str">
        <f>IFERROR(__xludf.DUMMYFUNCTION("""COMPUTED_VALUE"""),"")</f>
        <v/>
      </c>
      <c r="U2428" s="6" t="str">
        <f>IFERROR(__xludf.DUMMYFUNCTION("""COMPUTED_VALUE"""),"6")</f>
        <v>6</v>
      </c>
      <c r="V2428" s="6" t="str">
        <f>IFERROR(__xludf.DUMMYFUNCTION("""COMPUTED_VALUE"""),"")</f>
        <v/>
      </c>
      <c r="W2428" s="6" t="str">
        <f>IFERROR(__xludf.DUMMYFUNCTION("""COMPUTED_VALUE"""),"[]")</f>
        <v>[]</v>
      </c>
      <c r="X2428" s="6" t="str">
        <f>IFERROR(__xludf.DUMMYFUNCTION("""COMPUTED_VALUE"""),"Enrolled")</f>
        <v>Enrolled</v>
      </c>
    </row>
    <row r="2429">
      <c r="A2429" s="6" t="str">
        <f>IFERROR(__xludf.DUMMYFUNCTION("""COMPUTED_VALUE"""),"040-4753")</f>
        <v>040-4753</v>
      </c>
      <c r="B2429" s="6" t="str">
        <f>IFERROR(__xludf.DUMMYFUNCTION("""COMPUTED_VALUE"""),"40")</f>
        <v>40</v>
      </c>
      <c r="C2429" s="6" t="str">
        <f>IFERROR(__xludf.DUMMYFUNCTION("""COMPUTED_VALUE"""),"4753")</f>
        <v>4753</v>
      </c>
      <c r="D2429" s="6" t="str">
        <f>IFERROR(__xludf.DUMMYFUNCTION("""COMPUTED_VALUE"""),"Evan")</f>
        <v>Evan</v>
      </c>
      <c r="E2429" s="6" t="str">
        <f>IFERROR(__xludf.DUMMYFUNCTION("""COMPUTED_VALUE"""),"")</f>
        <v/>
      </c>
      <c r="F2429" s="6" t="str">
        <f>IFERROR(__xludf.DUMMYFUNCTION("""COMPUTED_VALUE"""),"McClain")</f>
        <v>McClain</v>
      </c>
      <c r="G2429" s="6" t="str">
        <f>IFERROR(__xludf.DUMMYFUNCTION("""COMPUTED_VALUE"""),"07/07/2015")</f>
        <v>07/07/2015</v>
      </c>
      <c r="H2429" s="6" t="str">
        <f>IFERROR(__xludf.DUMMYFUNCTION("""COMPUTED_VALUE"""),"Self Identify")</f>
        <v>Self Identify</v>
      </c>
      <c r="I2429" s="6" t="str">
        <f>IFERROR(__xludf.DUMMYFUNCTION("""COMPUTED_VALUE"""),"Level 2")</f>
        <v>Level 2</v>
      </c>
      <c r="J2429" s="6" t="str">
        <f>IFERROR(__xludf.DUMMYFUNCTION("""COMPUTED_VALUE"""),"5")</f>
        <v>5</v>
      </c>
      <c r="K2429" s="6" t="str">
        <f>IFERROR(__xludf.DUMMYFUNCTION("""COMPUTED_VALUE"""),"evan.mcclain@unbound.school")</f>
        <v>evan.mcclain@unbound.school</v>
      </c>
      <c r="L2429" s="6" t="str">
        <f>IFERROR(__xludf.DUMMYFUNCTION("""COMPUTED_VALUE"""),"Unbound Academy")</f>
        <v>Unbound Academy</v>
      </c>
      <c r="M2429" s="6" t="str">
        <f>IFERROR(__xludf.DUMMYFUNCTION("""COMPUTED_VALUE"""),"")</f>
        <v/>
      </c>
      <c r="N2429" s="6" t="str">
        <f>IFERROR(__xludf.DUMMYFUNCTION("""COMPUTED_VALUE"""),"")</f>
        <v/>
      </c>
      <c r="O2429" s="87" t="str">
        <f>IFERROR(__xludf.DUMMYFUNCTION("""COMPUTED_VALUE"""),"https://drive.google.com/drive/folders/10T2cTQHqEJZqE-st6uFKPoI?usp=share_link")</f>
        <v>https://drive.google.com/drive/folders/10T2cTQHqEJZqE-st6uFKPoI?usp=share_link</v>
      </c>
      <c r="P2429" s="6" t="str">
        <f>IFERROR(__xludf.DUMMYFUNCTION("""COMPUTED_VALUE"""),"Evan McClain")</f>
        <v>Evan McClain</v>
      </c>
      <c r="Q2429" s="6" t="str">
        <f>IFERROR(__xludf.DUMMYFUNCTION("""COMPUTED_VALUE"""),"L2")</f>
        <v>L2</v>
      </c>
      <c r="R2429" s="6">
        <f>IFERROR(__xludf.DUMMYFUNCTION("""COMPUTED_VALUE"""),2.0)</f>
        <v>2</v>
      </c>
      <c r="S2429" s="6" t="str">
        <f>IFERROR(__xludf.DUMMYFUNCTION("""COMPUTED_VALUE""")," ")</f>
        <v> </v>
      </c>
      <c r="T2429" s="6" t="str">
        <f>IFERROR(__xludf.DUMMYFUNCTION("""COMPUTED_VALUE"""),"")</f>
        <v/>
      </c>
      <c r="U2429" s="6" t="str">
        <f>IFERROR(__xludf.DUMMYFUNCTION("""COMPUTED_VALUE"""),"5")</f>
        <v>5</v>
      </c>
      <c r="V2429" s="6" t="str">
        <f>IFERROR(__xludf.DUMMYFUNCTION("""COMPUTED_VALUE"""),"")</f>
        <v/>
      </c>
      <c r="W2429" s="6" t="str">
        <f>IFERROR(__xludf.DUMMYFUNCTION("""COMPUTED_VALUE"""),"[]")</f>
        <v>[]</v>
      </c>
      <c r="X2429" s="6" t="str">
        <f>IFERROR(__xludf.DUMMYFUNCTION("""COMPUTED_VALUE"""),"Enrolled")</f>
        <v>Enrolled</v>
      </c>
    </row>
    <row r="2430">
      <c r="A2430" s="6" t="str">
        <f>IFERROR(__xludf.DUMMYFUNCTION("""COMPUTED_VALUE"""),"040-4941")</f>
        <v>040-4941</v>
      </c>
      <c r="B2430" s="6" t="str">
        <f>IFERROR(__xludf.DUMMYFUNCTION("""COMPUTED_VALUE"""),"40")</f>
        <v>40</v>
      </c>
      <c r="C2430" s="6" t="str">
        <f>IFERROR(__xludf.DUMMYFUNCTION("""COMPUTED_VALUE"""),"4941")</f>
        <v>4941</v>
      </c>
      <c r="D2430" s="6" t="str">
        <f>IFERROR(__xludf.DUMMYFUNCTION("""COMPUTED_VALUE"""),"Mase")</f>
        <v>Mase</v>
      </c>
      <c r="E2430" s="6" t="str">
        <f>IFERROR(__xludf.DUMMYFUNCTION("""COMPUTED_VALUE"""),"")</f>
        <v/>
      </c>
      <c r="F2430" s="6" t="str">
        <f>IFERROR(__xludf.DUMMYFUNCTION("""COMPUTED_VALUE"""),"Hellerud")</f>
        <v>Hellerud</v>
      </c>
      <c r="G2430" s="6" t="str">
        <f>IFERROR(__xludf.DUMMYFUNCTION("""COMPUTED_VALUE"""),"01/12/2014")</f>
        <v>01/12/2014</v>
      </c>
      <c r="H2430" s="6" t="str">
        <f>IFERROR(__xludf.DUMMYFUNCTION("""COMPUTED_VALUE"""),"Self Identify")</f>
        <v>Self Identify</v>
      </c>
      <c r="I2430" s="6" t="str">
        <f>IFERROR(__xludf.DUMMYFUNCTION("""COMPUTED_VALUE"""),"Middle School")</f>
        <v>Middle School</v>
      </c>
      <c r="J2430" s="6" t="str">
        <f>IFERROR(__xludf.DUMMYFUNCTION("""COMPUTED_VALUE"""),"6")</f>
        <v>6</v>
      </c>
      <c r="K2430" s="6" t="str">
        <f>IFERROR(__xludf.DUMMYFUNCTION("""COMPUTED_VALUE"""),"mase.hellerud@unbound.school")</f>
        <v>mase.hellerud@unbound.school</v>
      </c>
      <c r="L2430" s="6" t="str">
        <f>IFERROR(__xludf.DUMMYFUNCTION("""COMPUTED_VALUE"""),"Unbound Academy")</f>
        <v>Unbound Academy</v>
      </c>
      <c r="M2430" s="6" t="str">
        <f>IFERROR(__xludf.DUMMYFUNCTION("""COMPUTED_VALUE"""),"")</f>
        <v/>
      </c>
      <c r="N2430" s="6" t="str">
        <f>IFERROR(__xludf.DUMMYFUNCTION("""COMPUTED_VALUE"""),"")</f>
        <v/>
      </c>
      <c r="O2430" s="87" t="str">
        <f>IFERROR(__xludf.DUMMYFUNCTION("""COMPUTED_VALUE"""),"https://drive.google.com/drive/folders/10T2cTQHqEJZqE-st6uFKPoI?usp=share_link")</f>
        <v>https://drive.google.com/drive/folders/10T2cTQHqEJZqE-st6uFKPoI?usp=share_link</v>
      </c>
      <c r="P2430" s="6" t="str">
        <f>IFERROR(__xludf.DUMMYFUNCTION("""COMPUTED_VALUE"""),"Mase Hellerud")</f>
        <v>Mase Hellerud</v>
      </c>
      <c r="Q2430" s="6" t="str">
        <f>IFERROR(__xludf.DUMMYFUNCTION("""COMPUTED_VALUE"""),"MS")</f>
        <v>MS</v>
      </c>
      <c r="R2430" s="6">
        <f>IFERROR(__xludf.DUMMYFUNCTION("""COMPUTED_VALUE"""),0.0)</f>
        <v>0</v>
      </c>
      <c r="S2430" s="6" t="str">
        <f>IFERROR(__xludf.DUMMYFUNCTION("""COMPUTED_VALUE""")," ")</f>
        <v> </v>
      </c>
      <c r="T2430" s="6" t="str">
        <f>IFERROR(__xludf.DUMMYFUNCTION("""COMPUTED_VALUE"""),"")</f>
        <v/>
      </c>
      <c r="U2430" s="6" t="str">
        <f>IFERROR(__xludf.DUMMYFUNCTION("""COMPUTED_VALUE"""),"6")</f>
        <v>6</v>
      </c>
      <c r="V2430" s="6" t="str">
        <f>IFERROR(__xludf.DUMMYFUNCTION("""COMPUTED_VALUE"""),"")</f>
        <v/>
      </c>
      <c r="W2430" s="6" t="str">
        <f>IFERROR(__xludf.DUMMYFUNCTION("""COMPUTED_VALUE"""),"[]")</f>
        <v>[]</v>
      </c>
      <c r="X2430" s="6" t="str">
        <f>IFERROR(__xludf.DUMMYFUNCTION("""COMPUTED_VALUE"""),"Enrolled")</f>
        <v>Enrolled</v>
      </c>
    </row>
    <row r="2431">
      <c r="A2431" s="6" t="str">
        <f>IFERROR(__xludf.DUMMYFUNCTION("""COMPUTED_VALUE"""),"040-4942")</f>
        <v>040-4942</v>
      </c>
      <c r="B2431" s="6" t="str">
        <f>IFERROR(__xludf.DUMMYFUNCTION("""COMPUTED_VALUE"""),"40")</f>
        <v>40</v>
      </c>
      <c r="C2431" s="6" t="str">
        <f>IFERROR(__xludf.DUMMYFUNCTION("""COMPUTED_VALUE"""),"4942")</f>
        <v>4942</v>
      </c>
      <c r="D2431" s="6" t="str">
        <f>IFERROR(__xludf.DUMMYFUNCTION("""COMPUTED_VALUE"""),"Gavin")</f>
        <v>Gavin</v>
      </c>
      <c r="E2431" s="6" t="str">
        <f>IFERROR(__xludf.DUMMYFUNCTION("""COMPUTED_VALUE"""),"")</f>
        <v/>
      </c>
      <c r="F2431" s="6" t="str">
        <f>IFERROR(__xludf.DUMMYFUNCTION("""COMPUTED_VALUE"""),"Oliver")</f>
        <v>Oliver</v>
      </c>
      <c r="G2431" s="6" t="str">
        <f>IFERROR(__xludf.DUMMYFUNCTION("""COMPUTED_VALUE"""),"12/08/2015")</f>
        <v>12/08/2015</v>
      </c>
      <c r="H2431" s="6" t="str">
        <f>IFERROR(__xludf.DUMMYFUNCTION("""COMPUTED_VALUE"""),"Self Identify")</f>
        <v>Self Identify</v>
      </c>
      <c r="I2431" s="6" t="str">
        <f>IFERROR(__xludf.DUMMYFUNCTION("""COMPUTED_VALUE"""),"Level 2")</f>
        <v>Level 2</v>
      </c>
      <c r="J2431" s="6" t="str">
        <f>IFERROR(__xludf.DUMMYFUNCTION("""COMPUTED_VALUE"""),"4")</f>
        <v>4</v>
      </c>
      <c r="K2431" s="6" t="str">
        <f>IFERROR(__xludf.DUMMYFUNCTION("""COMPUTED_VALUE"""),"gavin.oliver@unbound.school")</f>
        <v>gavin.oliver@unbound.school</v>
      </c>
      <c r="L2431" s="6" t="str">
        <f>IFERROR(__xludf.DUMMYFUNCTION("""COMPUTED_VALUE"""),"Unbound Academy")</f>
        <v>Unbound Academy</v>
      </c>
      <c r="M2431" s="6" t="str">
        <f>IFERROR(__xludf.DUMMYFUNCTION("""COMPUTED_VALUE"""),"")</f>
        <v/>
      </c>
      <c r="N2431" s="6" t="str">
        <f>IFERROR(__xludf.DUMMYFUNCTION("""COMPUTED_VALUE"""),"")</f>
        <v/>
      </c>
      <c r="O2431" s="87" t="str">
        <f>IFERROR(__xludf.DUMMYFUNCTION("""COMPUTED_VALUE"""),"https://drive.google.com/drive/folders/10T2cTQHqEJZqE-st6uFKPoI?usp=share_link")</f>
        <v>https://drive.google.com/drive/folders/10T2cTQHqEJZqE-st6uFKPoI?usp=share_link</v>
      </c>
      <c r="P2431" s="6" t="str">
        <f>IFERROR(__xludf.DUMMYFUNCTION("""COMPUTED_VALUE"""),"Gavin Oliver")</f>
        <v>Gavin Oliver</v>
      </c>
      <c r="Q2431" s="6" t="str">
        <f>IFERROR(__xludf.DUMMYFUNCTION("""COMPUTED_VALUE"""),"L2")</f>
        <v>L2</v>
      </c>
      <c r="R2431" s="6">
        <f>IFERROR(__xludf.DUMMYFUNCTION("""COMPUTED_VALUE"""),2.0)</f>
        <v>2</v>
      </c>
      <c r="S2431" s="6" t="str">
        <f>IFERROR(__xludf.DUMMYFUNCTION("""COMPUTED_VALUE""")," ")</f>
        <v> </v>
      </c>
      <c r="T2431" s="6" t="str">
        <f>IFERROR(__xludf.DUMMYFUNCTION("""COMPUTED_VALUE"""),"")</f>
        <v/>
      </c>
      <c r="U2431" s="6" t="str">
        <f>IFERROR(__xludf.DUMMYFUNCTION("""COMPUTED_VALUE"""),"4")</f>
        <v>4</v>
      </c>
      <c r="V2431" s="6" t="str">
        <f>IFERROR(__xludf.DUMMYFUNCTION("""COMPUTED_VALUE"""),"")</f>
        <v/>
      </c>
      <c r="W2431" s="6" t="str">
        <f>IFERROR(__xludf.DUMMYFUNCTION("""COMPUTED_VALUE"""),"[]")</f>
        <v>[]</v>
      </c>
      <c r="X2431" s="6" t="str">
        <f>IFERROR(__xludf.DUMMYFUNCTION("""COMPUTED_VALUE"""),"Enrolled")</f>
        <v>Enrolled</v>
      </c>
    </row>
    <row r="2432">
      <c r="A2432" s="6" t="str">
        <f>IFERROR(__xludf.DUMMYFUNCTION("""COMPUTED_VALUE"""),"040-4978")</f>
        <v>040-4978</v>
      </c>
      <c r="B2432" s="6" t="str">
        <f>IFERROR(__xludf.DUMMYFUNCTION("""COMPUTED_VALUE"""),"40")</f>
        <v>40</v>
      </c>
      <c r="C2432" s="6" t="str">
        <f>IFERROR(__xludf.DUMMYFUNCTION("""COMPUTED_VALUE"""),"4978")</f>
        <v>4978</v>
      </c>
      <c r="D2432" s="6" t="str">
        <f>IFERROR(__xludf.DUMMYFUNCTION("""COMPUTED_VALUE"""),"Gannon")</f>
        <v>Gannon</v>
      </c>
      <c r="E2432" s="6" t="str">
        <f>IFERROR(__xludf.DUMMYFUNCTION("""COMPUTED_VALUE"""),"")</f>
        <v/>
      </c>
      <c r="F2432" s="6" t="str">
        <f>IFERROR(__xludf.DUMMYFUNCTION("""COMPUTED_VALUE"""),"Tafoya")</f>
        <v>Tafoya</v>
      </c>
      <c r="G2432" s="6" t="str">
        <f>IFERROR(__xludf.DUMMYFUNCTION("""COMPUTED_VALUE"""),"07/22/2014")</f>
        <v>07/22/2014</v>
      </c>
      <c r="H2432" s="6" t="str">
        <f>IFERROR(__xludf.DUMMYFUNCTION("""COMPUTED_VALUE"""),"Self Identify")</f>
        <v>Self Identify</v>
      </c>
      <c r="I2432" s="6" t="str">
        <f>IFERROR(__xludf.DUMMYFUNCTION("""COMPUTED_VALUE"""),"Level 2")</f>
        <v>Level 2</v>
      </c>
      <c r="J2432" s="6" t="str">
        <f>IFERROR(__xludf.DUMMYFUNCTION("""COMPUTED_VALUE"""),"5")</f>
        <v>5</v>
      </c>
      <c r="K2432" s="6" t="str">
        <f>IFERROR(__xludf.DUMMYFUNCTION("""COMPUTED_VALUE"""),"gannon.tafoya@unbound.school")</f>
        <v>gannon.tafoya@unbound.school</v>
      </c>
      <c r="L2432" s="6" t="str">
        <f>IFERROR(__xludf.DUMMYFUNCTION("""COMPUTED_VALUE"""),"Unbound Academy")</f>
        <v>Unbound Academy</v>
      </c>
      <c r="M2432" s="6" t="str">
        <f>IFERROR(__xludf.DUMMYFUNCTION("""COMPUTED_VALUE"""),"")</f>
        <v/>
      </c>
      <c r="N2432" s="6" t="str">
        <f>IFERROR(__xludf.DUMMYFUNCTION("""COMPUTED_VALUE"""),"")</f>
        <v/>
      </c>
      <c r="O2432" s="87" t="str">
        <f>IFERROR(__xludf.DUMMYFUNCTION("""COMPUTED_VALUE"""),"https://drive.google.com/drive/folders/10T2cTQHqEJZqE-st6uFKPoI?usp=share_link")</f>
        <v>https://drive.google.com/drive/folders/10T2cTQHqEJZqE-st6uFKPoI?usp=share_link</v>
      </c>
      <c r="P2432" s="6" t="str">
        <f>IFERROR(__xludf.DUMMYFUNCTION("""COMPUTED_VALUE"""),"Gannon Tafoya")</f>
        <v>Gannon Tafoya</v>
      </c>
      <c r="Q2432" s="6" t="str">
        <f>IFERROR(__xludf.DUMMYFUNCTION("""COMPUTED_VALUE"""),"L2")</f>
        <v>L2</v>
      </c>
      <c r="R2432" s="6">
        <f>IFERROR(__xludf.DUMMYFUNCTION("""COMPUTED_VALUE"""),2.0)</f>
        <v>2</v>
      </c>
      <c r="S2432" s="6" t="str">
        <f>IFERROR(__xludf.DUMMYFUNCTION("""COMPUTED_VALUE""")," ")</f>
        <v> </v>
      </c>
      <c r="T2432" s="6" t="str">
        <f>IFERROR(__xludf.DUMMYFUNCTION("""COMPUTED_VALUE"""),"")</f>
        <v/>
      </c>
      <c r="U2432" s="6" t="str">
        <f>IFERROR(__xludf.DUMMYFUNCTION("""COMPUTED_VALUE"""),"5")</f>
        <v>5</v>
      </c>
      <c r="V2432" s="6" t="str">
        <f>IFERROR(__xludf.DUMMYFUNCTION("""COMPUTED_VALUE"""),"")</f>
        <v/>
      </c>
      <c r="W2432" s="6" t="str">
        <f>IFERROR(__xludf.DUMMYFUNCTION("""COMPUTED_VALUE"""),"[]")</f>
        <v>[]</v>
      </c>
      <c r="X2432" s="6" t="str">
        <f>IFERROR(__xludf.DUMMYFUNCTION("""COMPUTED_VALUE"""),"Enrolled")</f>
        <v>Enrolled</v>
      </c>
    </row>
    <row r="2433">
      <c r="A2433" s="6" t="str">
        <f>IFERROR(__xludf.DUMMYFUNCTION("""COMPUTED_VALUE"""),"040-5238")</f>
        <v>040-5238</v>
      </c>
      <c r="B2433" s="6" t="str">
        <f>IFERROR(__xludf.DUMMYFUNCTION("""COMPUTED_VALUE"""),"40")</f>
        <v>40</v>
      </c>
      <c r="C2433" s="6" t="str">
        <f>IFERROR(__xludf.DUMMYFUNCTION("""COMPUTED_VALUE"""),"5238")</f>
        <v>5238</v>
      </c>
      <c r="D2433" s="6" t="str">
        <f>IFERROR(__xludf.DUMMYFUNCTION("""COMPUTED_VALUE"""),"Azariah")</f>
        <v>Azariah</v>
      </c>
      <c r="E2433" s="6" t="str">
        <f>IFERROR(__xludf.DUMMYFUNCTION("""COMPUTED_VALUE"""),"")</f>
        <v/>
      </c>
      <c r="F2433" s="6" t="str">
        <f>IFERROR(__xludf.DUMMYFUNCTION("""COMPUTED_VALUE"""),"Williams")</f>
        <v>Williams</v>
      </c>
      <c r="G2433" s="6" t="str">
        <f>IFERROR(__xludf.DUMMYFUNCTION("""COMPUTED_VALUE"""),"05/10/2014")</f>
        <v>05/10/2014</v>
      </c>
      <c r="H2433" s="6" t="str">
        <f>IFERROR(__xludf.DUMMYFUNCTION("""COMPUTED_VALUE"""),"Self Identify")</f>
        <v>Self Identify</v>
      </c>
      <c r="I2433" s="6" t="str">
        <f>IFERROR(__xludf.DUMMYFUNCTION("""COMPUTED_VALUE"""),"Middle School")</f>
        <v>Middle School</v>
      </c>
      <c r="J2433" s="6" t="str">
        <f>IFERROR(__xludf.DUMMYFUNCTION("""COMPUTED_VALUE"""),"6")</f>
        <v>6</v>
      </c>
      <c r="K2433" s="6" t="str">
        <f>IFERROR(__xludf.DUMMYFUNCTION("""COMPUTED_VALUE"""),"azariah.williams@unbound.school")</f>
        <v>azariah.williams@unbound.school</v>
      </c>
      <c r="L2433" s="6" t="str">
        <f>IFERROR(__xludf.DUMMYFUNCTION("""COMPUTED_VALUE"""),"Unbound Academy")</f>
        <v>Unbound Academy</v>
      </c>
      <c r="M2433" s="6" t="str">
        <f>IFERROR(__xludf.DUMMYFUNCTION("""COMPUTED_VALUE"""),"")</f>
        <v/>
      </c>
      <c r="N2433" s="6" t="str">
        <f>IFERROR(__xludf.DUMMYFUNCTION("""COMPUTED_VALUE"""),"")</f>
        <v/>
      </c>
      <c r="O2433" s="87" t="str">
        <f>IFERROR(__xludf.DUMMYFUNCTION("""COMPUTED_VALUE"""),"https://drive.google.com/drive/folders/10T2cTQHqEJZqE-st6uFKPoI?usp=share_link")</f>
        <v>https://drive.google.com/drive/folders/10T2cTQHqEJZqE-st6uFKPoI?usp=share_link</v>
      </c>
      <c r="P2433" s="6" t="str">
        <f>IFERROR(__xludf.DUMMYFUNCTION("""COMPUTED_VALUE"""),"Azariah Williams")</f>
        <v>Azariah Williams</v>
      </c>
      <c r="Q2433" s="6" t="str">
        <f>IFERROR(__xludf.DUMMYFUNCTION("""COMPUTED_VALUE"""),"MS")</f>
        <v>MS</v>
      </c>
      <c r="R2433" s="6">
        <f>IFERROR(__xludf.DUMMYFUNCTION("""COMPUTED_VALUE"""),0.0)</f>
        <v>0</v>
      </c>
      <c r="S2433" s="6" t="str">
        <f>IFERROR(__xludf.DUMMYFUNCTION("""COMPUTED_VALUE""")," ")</f>
        <v> </v>
      </c>
      <c r="T2433" s="6" t="str">
        <f>IFERROR(__xludf.DUMMYFUNCTION("""COMPUTED_VALUE"""),"")</f>
        <v/>
      </c>
      <c r="U2433" s="6" t="str">
        <f>IFERROR(__xludf.DUMMYFUNCTION("""COMPUTED_VALUE"""),"6")</f>
        <v>6</v>
      </c>
      <c r="V2433" s="6" t="str">
        <f>IFERROR(__xludf.DUMMYFUNCTION("""COMPUTED_VALUE"""),"")</f>
        <v/>
      </c>
      <c r="W2433" s="6" t="str">
        <f>IFERROR(__xludf.DUMMYFUNCTION("""COMPUTED_VALUE"""),"[]")</f>
        <v>[]</v>
      </c>
      <c r="X2433" s="6" t="str">
        <f>IFERROR(__xludf.DUMMYFUNCTION("""COMPUTED_VALUE"""),"Enrolled")</f>
        <v>Enrolled</v>
      </c>
    </row>
    <row r="2434">
      <c r="A2434" s="6" t="str">
        <f>IFERROR(__xludf.DUMMYFUNCTION("""COMPUTED_VALUE"""),"040-5239")</f>
        <v>040-5239</v>
      </c>
      <c r="B2434" s="6" t="str">
        <f>IFERROR(__xludf.DUMMYFUNCTION("""COMPUTED_VALUE"""),"40")</f>
        <v>40</v>
      </c>
      <c r="C2434" s="6" t="str">
        <f>IFERROR(__xludf.DUMMYFUNCTION("""COMPUTED_VALUE"""),"5239")</f>
        <v>5239</v>
      </c>
      <c r="D2434" s="6" t="str">
        <f>IFERROR(__xludf.DUMMYFUNCTION("""COMPUTED_VALUE"""),"Payton")</f>
        <v>Payton</v>
      </c>
      <c r="E2434" s="6" t="str">
        <f>IFERROR(__xludf.DUMMYFUNCTION("""COMPUTED_VALUE"""),"")</f>
        <v/>
      </c>
      <c r="F2434" s="6" t="str">
        <f>IFERROR(__xludf.DUMMYFUNCTION("""COMPUTED_VALUE"""),"Nagle")</f>
        <v>Nagle</v>
      </c>
      <c r="G2434" s="6" t="str">
        <f>IFERROR(__xludf.DUMMYFUNCTION("""COMPUTED_VALUE"""),"12/30/2014")</f>
        <v>12/30/2014</v>
      </c>
      <c r="H2434" s="6" t="str">
        <f>IFERROR(__xludf.DUMMYFUNCTION("""COMPUTED_VALUE"""),"Self Identify")</f>
        <v>Self Identify</v>
      </c>
      <c r="I2434" s="6" t="str">
        <f>IFERROR(__xludf.DUMMYFUNCTION("""COMPUTED_VALUE"""),"Level 2")</f>
        <v>Level 2</v>
      </c>
      <c r="J2434" s="6" t="str">
        <f>IFERROR(__xludf.DUMMYFUNCTION("""COMPUTED_VALUE"""),"5")</f>
        <v>5</v>
      </c>
      <c r="K2434" s="6" t="str">
        <f>IFERROR(__xludf.DUMMYFUNCTION("""COMPUTED_VALUE"""),"payton.nagle@unbound.school")</f>
        <v>payton.nagle@unbound.school</v>
      </c>
      <c r="L2434" s="6" t="str">
        <f>IFERROR(__xludf.DUMMYFUNCTION("""COMPUTED_VALUE"""),"Unbound Academy")</f>
        <v>Unbound Academy</v>
      </c>
      <c r="M2434" s="6" t="str">
        <f>IFERROR(__xludf.DUMMYFUNCTION("""COMPUTED_VALUE"""),"")</f>
        <v/>
      </c>
      <c r="N2434" s="6" t="str">
        <f>IFERROR(__xludf.DUMMYFUNCTION("""COMPUTED_VALUE"""),"")</f>
        <v/>
      </c>
      <c r="O2434" s="87" t="str">
        <f>IFERROR(__xludf.DUMMYFUNCTION("""COMPUTED_VALUE"""),"https://drive.google.com/drive/folders/10T2cTQHqEJZqE-st6uFKPoI?usp=share_link")</f>
        <v>https://drive.google.com/drive/folders/10T2cTQHqEJZqE-st6uFKPoI?usp=share_link</v>
      </c>
      <c r="P2434" s="6" t="str">
        <f>IFERROR(__xludf.DUMMYFUNCTION("""COMPUTED_VALUE"""),"Payton Nagle")</f>
        <v>Payton Nagle</v>
      </c>
      <c r="Q2434" s="6" t="str">
        <f>IFERROR(__xludf.DUMMYFUNCTION("""COMPUTED_VALUE"""),"L2")</f>
        <v>L2</v>
      </c>
      <c r="R2434" s="6">
        <f>IFERROR(__xludf.DUMMYFUNCTION("""COMPUTED_VALUE"""),2.0)</f>
        <v>2</v>
      </c>
      <c r="S2434" s="6" t="str">
        <f>IFERROR(__xludf.DUMMYFUNCTION("""COMPUTED_VALUE""")," ")</f>
        <v> </v>
      </c>
      <c r="T2434" s="6" t="str">
        <f>IFERROR(__xludf.DUMMYFUNCTION("""COMPUTED_VALUE"""),"")</f>
        <v/>
      </c>
      <c r="U2434" s="6" t="str">
        <f>IFERROR(__xludf.DUMMYFUNCTION("""COMPUTED_VALUE"""),"5")</f>
        <v>5</v>
      </c>
      <c r="V2434" s="6" t="str">
        <f>IFERROR(__xludf.DUMMYFUNCTION("""COMPUTED_VALUE"""),"")</f>
        <v/>
      </c>
      <c r="W2434" s="6" t="str">
        <f>IFERROR(__xludf.DUMMYFUNCTION("""COMPUTED_VALUE"""),"[]")</f>
        <v>[]</v>
      </c>
      <c r="X2434" s="6" t="str">
        <f>IFERROR(__xludf.DUMMYFUNCTION("""COMPUTED_VALUE"""),"Enrolled")</f>
        <v>Enrolled</v>
      </c>
    </row>
    <row r="2435">
      <c r="A2435" s="6" t="str">
        <f>IFERROR(__xludf.DUMMYFUNCTION("""COMPUTED_VALUE"""),"040-5301")</f>
        <v>040-5301</v>
      </c>
      <c r="B2435" s="6" t="str">
        <f>IFERROR(__xludf.DUMMYFUNCTION("""COMPUTED_VALUE"""),"40")</f>
        <v>40</v>
      </c>
      <c r="C2435" s="6" t="str">
        <f>IFERROR(__xludf.DUMMYFUNCTION("""COMPUTED_VALUE"""),"5301")</f>
        <v>5301</v>
      </c>
      <c r="D2435" s="6" t="str">
        <f>IFERROR(__xludf.DUMMYFUNCTION("""COMPUTED_VALUE"""),"Andre")</f>
        <v>Andre</v>
      </c>
      <c r="E2435" s="6" t="str">
        <f>IFERROR(__xludf.DUMMYFUNCTION("""COMPUTED_VALUE"""),"")</f>
        <v/>
      </c>
      <c r="F2435" s="6" t="str">
        <f>IFERROR(__xludf.DUMMYFUNCTION("""COMPUTED_VALUE"""),"Martinez")</f>
        <v>Martinez</v>
      </c>
      <c r="G2435" s="6" t="str">
        <f>IFERROR(__xludf.DUMMYFUNCTION("""COMPUTED_VALUE"""),"05/26/2015")</f>
        <v>05/26/2015</v>
      </c>
      <c r="H2435" s="6" t="str">
        <f>IFERROR(__xludf.DUMMYFUNCTION("""COMPUTED_VALUE"""),"Self Identify")</f>
        <v>Self Identify</v>
      </c>
      <c r="I2435" s="6" t="str">
        <f>IFERROR(__xludf.DUMMYFUNCTION("""COMPUTED_VALUE"""),"Level 2")</f>
        <v>Level 2</v>
      </c>
      <c r="J2435" s="6" t="str">
        <f>IFERROR(__xludf.DUMMYFUNCTION("""COMPUTED_VALUE"""),"5")</f>
        <v>5</v>
      </c>
      <c r="K2435" s="6" t="str">
        <f>IFERROR(__xludf.DUMMYFUNCTION("""COMPUTED_VALUE"""),"andre.martinez@unbound.school")</f>
        <v>andre.martinez@unbound.school</v>
      </c>
      <c r="L2435" s="6" t="str">
        <f>IFERROR(__xludf.DUMMYFUNCTION("""COMPUTED_VALUE"""),"Unbound Academy")</f>
        <v>Unbound Academy</v>
      </c>
      <c r="M2435" s="6" t="str">
        <f>IFERROR(__xludf.DUMMYFUNCTION("""COMPUTED_VALUE"""),"")</f>
        <v/>
      </c>
      <c r="N2435" s="6" t="str">
        <f>IFERROR(__xludf.DUMMYFUNCTION("""COMPUTED_VALUE"""),"")</f>
        <v/>
      </c>
      <c r="O2435" s="87" t="str">
        <f>IFERROR(__xludf.DUMMYFUNCTION("""COMPUTED_VALUE"""),"https://drive.google.com/drive/folders/10T2cTQHqEJZqE-st6uFKPoI?usp=share_link")</f>
        <v>https://drive.google.com/drive/folders/10T2cTQHqEJZqE-st6uFKPoI?usp=share_link</v>
      </c>
      <c r="P2435" s="6" t="str">
        <f>IFERROR(__xludf.DUMMYFUNCTION("""COMPUTED_VALUE"""),"Andre Martinez")</f>
        <v>Andre Martinez</v>
      </c>
      <c r="Q2435" s="6" t="str">
        <f>IFERROR(__xludf.DUMMYFUNCTION("""COMPUTED_VALUE"""),"L2")</f>
        <v>L2</v>
      </c>
      <c r="R2435" s="6">
        <f>IFERROR(__xludf.DUMMYFUNCTION("""COMPUTED_VALUE"""),2.0)</f>
        <v>2</v>
      </c>
      <c r="S2435" s="6" t="str">
        <f>IFERROR(__xludf.DUMMYFUNCTION("""COMPUTED_VALUE""")," ")</f>
        <v> </v>
      </c>
      <c r="T2435" s="6" t="str">
        <f>IFERROR(__xludf.DUMMYFUNCTION("""COMPUTED_VALUE"""),"")</f>
        <v/>
      </c>
      <c r="U2435" s="6" t="str">
        <f>IFERROR(__xludf.DUMMYFUNCTION("""COMPUTED_VALUE"""),"5")</f>
        <v>5</v>
      </c>
      <c r="V2435" s="6" t="str">
        <f>IFERROR(__xludf.DUMMYFUNCTION("""COMPUTED_VALUE"""),"")</f>
        <v/>
      </c>
      <c r="W2435" s="6" t="str">
        <f>IFERROR(__xludf.DUMMYFUNCTION("""COMPUTED_VALUE"""),"[]")</f>
        <v>[]</v>
      </c>
      <c r="X2435" s="6" t="str">
        <f>IFERROR(__xludf.DUMMYFUNCTION("""COMPUTED_VALUE"""),"Enrolled")</f>
        <v>Enrolled</v>
      </c>
    </row>
    <row r="2436">
      <c r="A2436" s="6" t="str">
        <f>IFERROR(__xludf.DUMMYFUNCTION("""COMPUTED_VALUE"""),"040-5540")</f>
        <v>040-5540</v>
      </c>
      <c r="B2436" s="6" t="str">
        <f>IFERROR(__xludf.DUMMYFUNCTION("""COMPUTED_VALUE"""),"40")</f>
        <v>40</v>
      </c>
      <c r="C2436" s="6" t="str">
        <f>IFERROR(__xludf.DUMMYFUNCTION("""COMPUTED_VALUE"""),"5540")</f>
        <v>5540</v>
      </c>
      <c r="D2436" s="6" t="str">
        <f>IFERROR(__xludf.DUMMYFUNCTION("""COMPUTED_VALUE"""),"Dominique")</f>
        <v>Dominique</v>
      </c>
      <c r="E2436" s="6" t="str">
        <f>IFERROR(__xludf.DUMMYFUNCTION("""COMPUTED_VALUE"""),"")</f>
        <v/>
      </c>
      <c r="F2436" s="6" t="str">
        <f>IFERROR(__xludf.DUMMYFUNCTION("""COMPUTED_VALUE"""),"Batt")</f>
        <v>Batt</v>
      </c>
      <c r="G2436" s="6" t="str">
        <f>IFERROR(__xludf.DUMMYFUNCTION("""COMPUTED_VALUE"""),"12/13/2012")</f>
        <v>12/13/2012</v>
      </c>
      <c r="H2436" s="6" t="str">
        <f>IFERROR(__xludf.DUMMYFUNCTION("""COMPUTED_VALUE"""),"Self Identify")</f>
        <v>Self Identify</v>
      </c>
      <c r="I2436" s="6" t="str">
        <f>IFERROR(__xludf.DUMMYFUNCTION("""COMPUTED_VALUE"""),"Middle School")</f>
        <v>Middle School</v>
      </c>
      <c r="J2436" s="6" t="str">
        <f>IFERROR(__xludf.DUMMYFUNCTION("""COMPUTED_VALUE"""),"7")</f>
        <v>7</v>
      </c>
      <c r="K2436" s="6" t="str">
        <f>IFERROR(__xludf.DUMMYFUNCTION("""COMPUTED_VALUE"""),"dominique.batt@unbound.school")</f>
        <v>dominique.batt@unbound.school</v>
      </c>
      <c r="L2436" s="6" t="str">
        <f>IFERROR(__xludf.DUMMYFUNCTION("""COMPUTED_VALUE"""),"Unbound Academy")</f>
        <v>Unbound Academy</v>
      </c>
      <c r="M2436" s="6" t="str">
        <f>IFERROR(__xludf.DUMMYFUNCTION("""COMPUTED_VALUE"""),"")</f>
        <v/>
      </c>
      <c r="N2436" s="6" t="str">
        <f>IFERROR(__xludf.DUMMYFUNCTION("""COMPUTED_VALUE"""),"")</f>
        <v/>
      </c>
      <c r="O2436" s="87" t="str">
        <f>IFERROR(__xludf.DUMMYFUNCTION("""COMPUTED_VALUE"""),"https://drive.google.com/drive/folders/10T2cTQHqEJZqE-st6uFKPoI?usp=share_link")</f>
        <v>https://drive.google.com/drive/folders/10T2cTQHqEJZqE-st6uFKPoI?usp=share_link</v>
      </c>
      <c r="P2436" s="6" t="str">
        <f>IFERROR(__xludf.DUMMYFUNCTION("""COMPUTED_VALUE"""),"Dominique Batt")</f>
        <v>Dominique Batt</v>
      </c>
      <c r="Q2436" s="6" t="str">
        <f>IFERROR(__xludf.DUMMYFUNCTION("""COMPUTED_VALUE"""),"MS")</f>
        <v>MS</v>
      </c>
      <c r="R2436" s="6">
        <f>IFERROR(__xludf.DUMMYFUNCTION("""COMPUTED_VALUE"""),0.0)</f>
        <v>0</v>
      </c>
      <c r="S2436" s="6" t="str">
        <f>IFERROR(__xludf.DUMMYFUNCTION("""COMPUTED_VALUE""")," ")</f>
        <v> </v>
      </c>
      <c r="T2436" s="6" t="str">
        <f>IFERROR(__xludf.DUMMYFUNCTION("""COMPUTED_VALUE"""),"")</f>
        <v/>
      </c>
      <c r="U2436" s="6" t="str">
        <f>IFERROR(__xludf.DUMMYFUNCTION("""COMPUTED_VALUE"""),"7")</f>
        <v>7</v>
      </c>
      <c r="V2436" s="6" t="str">
        <f>IFERROR(__xludf.DUMMYFUNCTION("""COMPUTED_VALUE"""),"")</f>
        <v/>
      </c>
      <c r="W2436" s="6" t="str">
        <f>IFERROR(__xludf.DUMMYFUNCTION("""COMPUTED_VALUE"""),"[]")</f>
        <v>[]</v>
      </c>
      <c r="X2436" s="6" t="str">
        <f>IFERROR(__xludf.DUMMYFUNCTION("""COMPUTED_VALUE"""),"Enrolled")</f>
        <v>Enrolled</v>
      </c>
    </row>
    <row r="2437">
      <c r="A2437" s="6" t="str">
        <f>IFERROR(__xludf.DUMMYFUNCTION("""COMPUTED_VALUE"""),"040-5622")</f>
        <v>040-5622</v>
      </c>
      <c r="B2437" s="6" t="str">
        <f>IFERROR(__xludf.DUMMYFUNCTION("""COMPUTED_VALUE"""),"40")</f>
        <v>40</v>
      </c>
      <c r="C2437" s="6" t="str">
        <f>IFERROR(__xludf.DUMMYFUNCTION("""COMPUTED_VALUE"""),"5622")</f>
        <v>5622</v>
      </c>
      <c r="D2437" s="6" t="str">
        <f>IFERROR(__xludf.DUMMYFUNCTION("""COMPUTED_VALUE"""),"Phenex")</f>
        <v>Phenex</v>
      </c>
      <c r="E2437" s="6" t="str">
        <f>IFERROR(__xludf.DUMMYFUNCTION("""COMPUTED_VALUE"""),"")</f>
        <v/>
      </c>
      <c r="F2437" s="6" t="str">
        <f>IFERROR(__xludf.DUMMYFUNCTION("""COMPUTED_VALUE"""),"Galvan")</f>
        <v>Galvan</v>
      </c>
      <c r="G2437" s="6" t="str">
        <f>IFERROR(__xludf.DUMMYFUNCTION("""COMPUTED_VALUE"""),"08/30/2012")</f>
        <v>08/30/2012</v>
      </c>
      <c r="H2437" s="6" t="str">
        <f>IFERROR(__xludf.DUMMYFUNCTION("""COMPUTED_VALUE"""),"Self Identify")</f>
        <v>Self Identify</v>
      </c>
      <c r="I2437" s="6" t="str">
        <f>IFERROR(__xludf.DUMMYFUNCTION("""COMPUTED_VALUE"""),"Middle School")</f>
        <v>Middle School</v>
      </c>
      <c r="J2437" s="6" t="str">
        <f>IFERROR(__xludf.DUMMYFUNCTION("""COMPUTED_VALUE"""),"8")</f>
        <v>8</v>
      </c>
      <c r="K2437" s="6" t="str">
        <f>IFERROR(__xludf.DUMMYFUNCTION("""COMPUTED_VALUE"""),"phenex.galvan@unbound.school")</f>
        <v>phenex.galvan@unbound.school</v>
      </c>
      <c r="L2437" s="6" t="str">
        <f>IFERROR(__xludf.DUMMYFUNCTION("""COMPUTED_VALUE"""),"Unbound Academy")</f>
        <v>Unbound Academy</v>
      </c>
      <c r="M2437" s="6" t="str">
        <f>IFERROR(__xludf.DUMMYFUNCTION("""COMPUTED_VALUE"""),"")</f>
        <v/>
      </c>
      <c r="N2437" s="6" t="str">
        <f>IFERROR(__xludf.DUMMYFUNCTION("""COMPUTED_VALUE"""),"")</f>
        <v/>
      </c>
      <c r="O2437" s="87" t="str">
        <f>IFERROR(__xludf.DUMMYFUNCTION("""COMPUTED_VALUE"""),"https://drive.google.com/drive/folders/10T2cTQHqEJZqE-st6uFKPoI?usp=share_link")</f>
        <v>https://drive.google.com/drive/folders/10T2cTQHqEJZqE-st6uFKPoI?usp=share_link</v>
      </c>
      <c r="P2437" s="6" t="str">
        <f>IFERROR(__xludf.DUMMYFUNCTION("""COMPUTED_VALUE"""),"Phenex Galvan")</f>
        <v>Phenex Galvan</v>
      </c>
      <c r="Q2437" s="6" t="str">
        <f>IFERROR(__xludf.DUMMYFUNCTION("""COMPUTED_VALUE"""),"MS")</f>
        <v>MS</v>
      </c>
      <c r="R2437" s="6">
        <f>IFERROR(__xludf.DUMMYFUNCTION("""COMPUTED_VALUE"""),0.0)</f>
        <v>0</v>
      </c>
      <c r="S2437" s="6" t="str">
        <f>IFERROR(__xludf.DUMMYFUNCTION("""COMPUTED_VALUE""")," ")</f>
        <v> </v>
      </c>
      <c r="T2437" s="6" t="str">
        <f>IFERROR(__xludf.DUMMYFUNCTION("""COMPUTED_VALUE"""),"")</f>
        <v/>
      </c>
      <c r="U2437" s="6" t="str">
        <f>IFERROR(__xludf.DUMMYFUNCTION("""COMPUTED_VALUE"""),"8")</f>
        <v>8</v>
      </c>
      <c r="V2437" s="6" t="str">
        <f>IFERROR(__xludf.DUMMYFUNCTION("""COMPUTED_VALUE"""),"")</f>
        <v/>
      </c>
      <c r="W2437" s="6" t="str">
        <f>IFERROR(__xludf.DUMMYFUNCTION("""COMPUTED_VALUE"""),"[]")</f>
        <v>[]</v>
      </c>
      <c r="X2437" s="6" t="str">
        <f>IFERROR(__xludf.DUMMYFUNCTION("""COMPUTED_VALUE"""),"Enrolled")</f>
        <v>Enrolled</v>
      </c>
    </row>
    <row r="2438">
      <c r="A2438" s="6" t="str">
        <f>IFERROR(__xludf.DUMMYFUNCTION("""COMPUTED_VALUE"""),"040-6794")</f>
        <v>040-6794</v>
      </c>
      <c r="B2438" s="6" t="str">
        <f>IFERROR(__xludf.DUMMYFUNCTION("""COMPUTED_VALUE"""),"40")</f>
        <v>40</v>
      </c>
      <c r="C2438" s="6" t="str">
        <f>IFERROR(__xludf.DUMMYFUNCTION("""COMPUTED_VALUE"""),"6794")</f>
        <v>6794</v>
      </c>
      <c r="D2438" s="6" t="str">
        <f>IFERROR(__xludf.DUMMYFUNCTION("""COMPUTED_VALUE"""),"Taylor")</f>
        <v>Taylor</v>
      </c>
      <c r="E2438" s="6" t="str">
        <f>IFERROR(__xludf.DUMMYFUNCTION("""COMPUTED_VALUE"""),"")</f>
        <v/>
      </c>
      <c r="F2438" s="6" t="str">
        <f>IFERROR(__xludf.DUMMYFUNCTION("""COMPUTED_VALUE"""),"Mead")</f>
        <v>Mead</v>
      </c>
      <c r="G2438" s="6" t="str">
        <f>IFERROR(__xludf.DUMMYFUNCTION("""COMPUTED_VALUE"""),"03/17/2014")</f>
        <v>03/17/2014</v>
      </c>
      <c r="H2438" s="6" t="str">
        <f>IFERROR(__xludf.DUMMYFUNCTION("""COMPUTED_VALUE"""),"Self Identify")</f>
        <v>Self Identify</v>
      </c>
      <c r="I2438" s="6" t="str">
        <f>IFERROR(__xludf.DUMMYFUNCTION("""COMPUTED_VALUE"""),"Middle School")</f>
        <v>Middle School</v>
      </c>
      <c r="J2438" s="6" t="str">
        <f>IFERROR(__xludf.DUMMYFUNCTION("""COMPUTED_VALUE"""),"6")</f>
        <v>6</v>
      </c>
      <c r="K2438" s="6" t="str">
        <f>IFERROR(__xludf.DUMMYFUNCTION("""COMPUTED_VALUE"""),"taylor.mead@unbound.school")</f>
        <v>taylor.mead@unbound.school</v>
      </c>
      <c r="L2438" s="6" t="str">
        <f>IFERROR(__xludf.DUMMYFUNCTION("""COMPUTED_VALUE"""),"Unbound Academy")</f>
        <v>Unbound Academy</v>
      </c>
      <c r="M2438" s="6" t="str">
        <f>IFERROR(__xludf.DUMMYFUNCTION("""COMPUTED_VALUE"""),"")</f>
        <v/>
      </c>
      <c r="N2438" s="6" t="str">
        <f>IFERROR(__xludf.DUMMYFUNCTION("""COMPUTED_VALUE"""),"")</f>
        <v/>
      </c>
      <c r="O2438" s="87" t="str">
        <f>IFERROR(__xludf.DUMMYFUNCTION("""COMPUTED_VALUE"""),"https://drive.google.com/drive/folders/10T2cTQHqEJZqE-st6uFKPoI?usp=share_link")</f>
        <v>https://drive.google.com/drive/folders/10T2cTQHqEJZqE-st6uFKPoI?usp=share_link</v>
      </c>
      <c r="P2438" s="6" t="str">
        <f>IFERROR(__xludf.DUMMYFUNCTION("""COMPUTED_VALUE"""),"Taylor Mead")</f>
        <v>Taylor Mead</v>
      </c>
      <c r="Q2438" s="6" t="str">
        <f>IFERROR(__xludf.DUMMYFUNCTION("""COMPUTED_VALUE"""),"MS")</f>
        <v>MS</v>
      </c>
      <c r="R2438" s="6">
        <f>IFERROR(__xludf.DUMMYFUNCTION("""COMPUTED_VALUE"""),0.0)</f>
        <v>0</v>
      </c>
      <c r="S2438" s="6" t="str">
        <f>IFERROR(__xludf.DUMMYFUNCTION("""COMPUTED_VALUE""")," ")</f>
        <v> </v>
      </c>
      <c r="T2438" s="6" t="str">
        <f>IFERROR(__xludf.DUMMYFUNCTION("""COMPUTED_VALUE"""),"")</f>
        <v/>
      </c>
      <c r="U2438" s="6" t="str">
        <f>IFERROR(__xludf.DUMMYFUNCTION("""COMPUTED_VALUE"""),"6")</f>
        <v>6</v>
      </c>
      <c r="V2438" s="6" t="str">
        <f>IFERROR(__xludf.DUMMYFUNCTION("""COMPUTED_VALUE"""),"")</f>
        <v/>
      </c>
      <c r="W2438" s="6" t="str">
        <f>IFERROR(__xludf.DUMMYFUNCTION("""COMPUTED_VALUE"""),"[]")</f>
        <v>[]</v>
      </c>
      <c r="X2438" s="6" t="str">
        <f>IFERROR(__xludf.DUMMYFUNCTION("""COMPUTED_VALUE"""),"Enrolled")</f>
        <v>Enrolled</v>
      </c>
    </row>
    <row r="2439">
      <c r="A2439" s="6" t="str">
        <f>IFERROR(__xludf.DUMMYFUNCTION("""COMPUTED_VALUE"""),"040-6816")</f>
        <v>040-6816</v>
      </c>
      <c r="B2439" s="6" t="str">
        <f>IFERROR(__xludf.DUMMYFUNCTION("""COMPUTED_VALUE"""),"40")</f>
        <v>40</v>
      </c>
      <c r="C2439" s="6" t="str">
        <f>IFERROR(__xludf.DUMMYFUNCTION("""COMPUTED_VALUE"""),"6816")</f>
        <v>6816</v>
      </c>
      <c r="D2439" s="6" t="str">
        <f>IFERROR(__xludf.DUMMYFUNCTION("""COMPUTED_VALUE"""),"Arizza")</f>
        <v>Arizza</v>
      </c>
      <c r="E2439" s="6" t="str">
        <f>IFERROR(__xludf.DUMMYFUNCTION("""COMPUTED_VALUE"""),"")</f>
        <v/>
      </c>
      <c r="F2439" s="6" t="str">
        <f>IFERROR(__xludf.DUMMYFUNCTION("""COMPUTED_VALUE"""),"Perez")</f>
        <v>Perez</v>
      </c>
      <c r="G2439" s="6" t="str">
        <f>IFERROR(__xludf.DUMMYFUNCTION("""COMPUTED_VALUE"""),"12/04/2015")</f>
        <v>12/04/2015</v>
      </c>
      <c r="H2439" s="6" t="str">
        <f>IFERROR(__xludf.DUMMYFUNCTION("""COMPUTED_VALUE"""),"Self Identify")</f>
        <v>Self Identify</v>
      </c>
      <c r="I2439" s="6" t="str">
        <f>IFERROR(__xludf.DUMMYFUNCTION("""COMPUTED_VALUE"""),"Level 2")</f>
        <v>Level 2</v>
      </c>
      <c r="J2439" s="6" t="str">
        <f>IFERROR(__xludf.DUMMYFUNCTION("""COMPUTED_VALUE"""),"4")</f>
        <v>4</v>
      </c>
      <c r="K2439" s="6" t="str">
        <f>IFERROR(__xludf.DUMMYFUNCTION("""COMPUTED_VALUE"""),"arizza.perez@unbound.school")</f>
        <v>arizza.perez@unbound.school</v>
      </c>
      <c r="L2439" s="6" t="str">
        <f>IFERROR(__xludf.DUMMYFUNCTION("""COMPUTED_VALUE"""),"Unbound Academy")</f>
        <v>Unbound Academy</v>
      </c>
      <c r="M2439" s="6" t="str">
        <f>IFERROR(__xludf.DUMMYFUNCTION("""COMPUTED_VALUE"""),"")</f>
        <v/>
      </c>
      <c r="N2439" s="6" t="str">
        <f>IFERROR(__xludf.DUMMYFUNCTION("""COMPUTED_VALUE"""),"")</f>
        <v/>
      </c>
      <c r="O2439" s="87" t="str">
        <f>IFERROR(__xludf.DUMMYFUNCTION("""COMPUTED_VALUE"""),"https://drive.google.com/drive/folders/10T2cTQHqEJZqE-st6uFKPoI?usp=share_link")</f>
        <v>https://drive.google.com/drive/folders/10T2cTQHqEJZqE-st6uFKPoI?usp=share_link</v>
      </c>
      <c r="P2439" s="6" t="str">
        <f>IFERROR(__xludf.DUMMYFUNCTION("""COMPUTED_VALUE"""),"Arizza Perez")</f>
        <v>Arizza Perez</v>
      </c>
      <c r="Q2439" s="6" t="str">
        <f>IFERROR(__xludf.DUMMYFUNCTION("""COMPUTED_VALUE"""),"L2")</f>
        <v>L2</v>
      </c>
      <c r="R2439" s="6">
        <f>IFERROR(__xludf.DUMMYFUNCTION("""COMPUTED_VALUE"""),2.0)</f>
        <v>2</v>
      </c>
      <c r="S2439" s="6" t="str">
        <f>IFERROR(__xludf.DUMMYFUNCTION("""COMPUTED_VALUE""")," ")</f>
        <v> </v>
      </c>
      <c r="T2439" s="6" t="str">
        <f>IFERROR(__xludf.DUMMYFUNCTION("""COMPUTED_VALUE"""),"")</f>
        <v/>
      </c>
      <c r="U2439" s="6" t="str">
        <f>IFERROR(__xludf.DUMMYFUNCTION("""COMPUTED_VALUE"""),"4")</f>
        <v>4</v>
      </c>
      <c r="V2439" s="6" t="str">
        <f>IFERROR(__xludf.DUMMYFUNCTION("""COMPUTED_VALUE"""),"")</f>
        <v/>
      </c>
      <c r="W2439" s="6" t="str">
        <f>IFERROR(__xludf.DUMMYFUNCTION("""COMPUTED_VALUE"""),"[]")</f>
        <v>[]</v>
      </c>
      <c r="X2439" s="6" t="str">
        <f>IFERROR(__xludf.DUMMYFUNCTION("""COMPUTED_VALUE"""),"Enrolled")</f>
        <v>Enrolled</v>
      </c>
    </row>
    <row r="2440">
      <c r="A2440" s="6" t="str">
        <f>IFERROR(__xludf.DUMMYFUNCTION("""COMPUTED_VALUE"""),"040-6828")</f>
        <v>040-6828</v>
      </c>
      <c r="B2440" s="6" t="str">
        <f>IFERROR(__xludf.DUMMYFUNCTION("""COMPUTED_VALUE"""),"40")</f>
        <v>40</v>
      </c>
      <c r="C2440" s="6" t="str">
        <f>IFERROR(__xludf.DUMMYFUNCTION("""COMPUTED_VALUE"""),"6828")</f>
        <v>6828</v>
      </c>
      <c r="D2440" s="6" t="str">
        <f>IFERROR(__xludf.DUMMYFUNCTION("""COMPUTED_VALUE"""),"Peyton")</f>
        <v>Peyton</v>
      </c>
      <c r="E2440" s="6" t="str">
        <f>IFERROR(__xludf.DUMMYFUNCTION("""COMPUTED_VALUE"""),"")</f>
        <v/>
      </c>
      <c r="F2440" s="6" t="str">
        <f>IFERROR(__xludf.DUMMYFUNCTION("""COMPUTED_VALUE"""),"Mead")</f>
        <v>Mead</v>
      </c>
      <c r="G2440" s="6" t="str">
        <f>IFERROR(__xludf.DUMMYFUNCTION("""COMPUTED_VALUE"""),"09/04/2012")</f>
        <v>09/04/2012</v>
      </c>
      <c r="H2440" s="6" t="str">
        <f>IFERROR(__xludf.DUMMYFUNCTION("""COMPUTED_VALUE"""),"Self Identify")</f>
        <v>Self Identify</v>
      </c>
      <c r="I2440" s="6" t="str">
        <f>IFERROR(__xludf.DUMMYFUNCTION("""COMPUTED_VALUE"""),"Middle School")</f>
        <v>Middle School</v>
      </c>
      <c r="J2440" s="6" t="str">
        <f>IFERROR(__xludf.DUMMYFUNCTION("""COMPUTED_VALUE"""),"6")</f>
        <v>6</v>
      </c>
      <c r="K2440" s="6" t="str">
        <f>IFERROR(__xludf.DUMMYFUNCTION("""COMPUTED_VALUE"""),"peyton.mead@unbound.school")</f>
        <v>peyton.mead@unbound.school</v>
      </c>
      <c r="L2440" s="6" t="str">
        <f>IFERROR(__xludf.DUMMYFUNCTION("""COMPUTED_VALUE"""),"Unbound Academy")</f>
        <v>Unbound Academy</v>
      </c>
      <c r="M2440" s="6" t="str">
        <f>IFERROR(__xludf.DUMMYFUNCTION("""COMPUTED_VALUE"""),"")</f>
        <v/>
      </c>
      <c r="N2440" s="6" t="str">
        <f>IFERROR(__xludf.DUMMYFUNCTION("""COMPUTED_VALUE"""),"")</f>
        <v/>
      </c>
      <c r="O2440" s="87" t="str">
        <f>IFERROR(__xludf.DUMMYFUNCTION("""COMPUTED_VALUE"""),"https://drive.google.com/drive/folders/10T2cTQHqEJZqE-st6uFKPoI?usp=share_link")</f>
        <v>https://drive.google.com/drive/folders/10T2cTQHqEJZqE-st6uFKPoI?usp=share_link</v>
      </c>
      <c r="P2440" s="6" t="str">
        <f>IFERROR(__xludf.DUMMYFUNCTION("""COMPUTED_VALUE"""),"Peyton Mead")</f>
        <v>Peyton Mead</v>
      </c>
      <c r="Q2440" s="6" t="str">
        <f>IFERROR(__xludf.DUMMYFUNCTION("""COMPUTED_VALUE"""),"MS")</f>
        <v>MS</v>
      </c>
      <c r="R2440" s="6">
        <f>IFERROR(__xludf.DUMMYFUNCTION("""COMPUTED_VALUE"""),0.0)</f>
        <v>0</v>
      </c>
      <c r="S2440" s="6" t="str">
        <f>IFERROR(__xludf.DUMMYFUNCTION("""COMPUTED_VALUE""")," ")</f>
        <v> </v>
      </c>
      <c r="T2440" s="6" t="str">
        <f>IFERROR(__xludf.DUMMYFUNCTION("""COMPUTED_VALUE"""),"")</f>
        <v/>
      </c>
      <c r="U2440" s="6" t="str">
        <f>IFERROR(__xludf.DUMMYFUNCTION("""COMPUTED_VALUE"""),"6")</f>
        <v>6</v>
      </c>
      <c r="V2440" s="6" t="str">
        <f>IFERROR(__xludf.DUMMYFUNCTION("""COMPUTED_VALUE"""),"")</f>
        <v/>
      </c>
      <c r="W2440" s="6" t="str">
        <f>IFERROR(__xludf.DUMMYFUNCTION("""COMPUTED_VALUE"""),"[]")</f>
        <v>[]</v>
      </c>
      <c r="X2440" s="6" t="str">
        <f>IFERROR(__xludf.DUMMYFUNCTION("""COMPUTED_VALUE"""),"Enrolled")</f>
        <v>Enrolled</v>
      </c>
    </row>
    <row r="2441">
      <c r="A2441" s="6" t="str">
        <f>IFERROR(__xludf.DUMMYFUNCTION("""COMPUTED_VALUE"""),"040-6959")</f>
        <v>040-6959</v>
      </c>
      <c r="B2441" s="6" t="str">
        <f>IFERROR(__xludf.DUMMYFUNCTION("""COMPUTED_VALUE"""),"40")</f>
        <v>40</v>
      </c>
      <c r="C2441" s="6" t="str">
        <f>IFERROR(__xludf.DUMMYFUNCTION("""COMPUTED_VALUE"""),"6959")</f>
        <v>6959</v>
      </c>
      <c r="D2441" s="6" t="str">
        <f>IFERROR(__xludf.DUMMYFUNCTION("""COMPUTED_VALUE"""),"Lydia")</f>
        <v>Lydia</v>
      </c>
      <c r="E2441" s="6" t="str">
        <f>IFERROR(__xludf.DUMMYFUNCTION("""COMPUTED_VALUE"""),"")</f>
        <v/>
      </c>
      <c r="F2441" s="6" t="str">
        <f>IFERROR(__xludf.DUMMYFUNCTION("""COMPUTED_VALUE"""),"Nishijima-Cox")</f>
        <v>Nishijima-Cox</v>
      </c>
      <c r="G2441" s="6" t="str">
        <f>IFERROR(__xludf.DUMMYFUNCTION("""COMPUTED_VALUE"""),"03/07/2016")</f>
        <v>03/07/2016</v>
      </c>
      <c r="H2441" s="6" t="str">
        <f>IFERROR(__xludf.DUMMYFUNCTION("""COMPUTED_VALUE"""),"Self Identify")</f>
        <v>Self Identify</v>
      </c>
      <c r="I2441" s="6" t="str">
        <f>IFERROR(__xludf.DUMMYFUNCTION("""COMPUTED_VALUE"""),"Level 2")</f>
        <v>Level 2</v>
      </c>
      <c r="J2441" s="6" t="str">
        <f>IFERROR(__xludf.DUMMYFUNCTION("""COMPUTED_VALUE"""),"4")</f>
        <v>4</v>
      </c>
      <c r="K2441" s="6" t="str">
        <f>IFERROR(__xludf.DUMMYFUNCTION("""COMPUTED_VALUE"""),"lydia.nishijima-cox@unbound.school")</f>
        <v>lydia.nishijima-cox@unbound.school</v>
      </c>
      <c r="L2441" s="6" t="str">
        <f>IFERROR(__xludf.DUMMYFUNCTION("""COMPUTED_VALUE"""),"Unbound Academy")</f>
        <v>Unbound Academy</v>
      </c>
      <c r="M2441" s="6" t="str">
        <f>IFERROR(__xludf.DUMMYFUNCTION("""COMPUTED_VALUE"""),"")</f>
        <v/>
      </c>
      <c r="N2441" s="6" t="str">
        <f>IFERROR(__xludf.DUMMYFUNCTION("""COMPUTED_VALUE"""),"")</f>
        <v/>
      </c>
      <c r="O2441" s="87" t="str">
        <f>IFERROR(__xludf.DUMMYFUNCTION("""COMPUTED_VALUE"""),"https://drive.google.com/drive/folders/10T2cTQHqEJZqE-st6uFKPoI?usp=share_link")</f>
        <v>https://drive.google.com/drive/folders/10T2cTQHqEJZqE-st6uFKPoI?usp=share_link</v>
      </c>
      <c r="P2441" s="6" t="str">
        <f>IFERROR(__xludf.DUMMYFUNCTION("""COMPUTED_VALUE"""),"Lydia Nishijima-Cox")</f>
        <v>Lydia Nishijima-Cox</v>
      </c>
      <c r="Q2441" s="6" t="str">
        <f>IFERROR(__xludf.DUMMYFUNCTION("""COMPUTED_VALUE"""),"L2")</f>
        <v>L2</v>
      </c>
      <c r="R2441" s="6">
        <f>IFERROR(__xludf.DUMMYFUNCTION("""COMPUTED_VALUE"""),2.0)</f>
        <v>2</v>
      </c>
      <c r="S2441" s="6" t="str">
        <f>IFERROR(__xludf.DUMMYFUNCTION("""COMPUTED_VALUE""")," ")</f>
        <v> </v>
      </c>
      <c r="T2441" s="6" t="str">
        <f>IFERROR(__xludf.DUMMYFUNCTION("""COMPUTED_VALUE"""),"")</f>
        <v/>
      </c>
      <c r="U2441" s="6" t="str">
        <f>IFERROR(__xludf.DUMMYFUNCTION("""COMPUTED_VALUE"""),"4")</f>
        <v>4</v>
      </c>
      <c r="V2441" s="6" t="str">
        <f>IFERROR(__xludf.DUMMYFUNCTION("""COMPUTED_VALUE"""),"")</f>
        <v/>
      </c>
      <c r="W2441" s="6" t="str">
        <f>IFERROR(__xludf.DUMMYFUNCTION("""COMPUTED_VALUE"""),"[]")</f>
        <v>[]</v>
      </c>
      <c r="X2441" s="6" t="str">
        <f>IFERROR(__xludf.DUMMYFUNCTION("""COMPUTED_VALUE"""),"Enrolled")</f>
        <v>Enrolled</v>
      </c>
    </row>
    <row r="2442">
      <c r="A2442" s="6" t="str">
        <f>IFERROR(__xludf.DUMMYFUNCTION("""COMPUTED_VALUE"""),"040-7132")</f>
        <v>040-7132</v>
      </c>
      <c r="B2442" s="6" t="str">
        <f>IFERROR(__xludf.DUMMYFUNCTION("""COMPUTED_VALUE"""),"40")</f>
        <v>40</v>
      </c>
      <c r="C2442" s="6" t="str">
        <f>IFERROR(__xludf.DUMMYFUNCTION("""COMPUTED_VALUE"""),"7132")</f>
        <v>7132</v>
      </c>
      <c r="D2442" s="6" t="str">
        <f>IFERROR(__xludf.DUMMYFUNCTION("""COMPUTED_VALUE"""),"Blueskye")</f>
        <v>Blueskye</v>
      </c>
      <c r="E2442" s="6" t="str">
        <f>IFERROR(__xludf.DUMMYFUNCTION("""COMPUTED_VALUE"""),"")</f>
        <v/>
      </c>
      <c r="F2442" s="6" t="str">
        <f>IFERROR(__xludf.DUMMYFUNCTION("""COMPUTED_VALUE"""),"Price")</f>
        <v>Price</v>
      </c>
      <c r="G2442" s="6" t="str">
        <f>IFERROR(__xludf.DUMMYFUNCTION("""COMPUTED_VALUE"""),"04/12/2014")</f>
        <v>04/12/2014</v>
      </c>
      <c r="H2442" s="6" t="str">
        <f>IFERROR(__xludf.DUMMYFUNCTION("""COMPUTED_VALUE"""),"Self Identify")</f>
        <v>Self Identify</v>
      </c>
      <c r="I2442" s="6" t="str">
        <f>IFERROR(__xludf.DUMMYFUNCTION("""COMPUTED_VALUE"""),"Level 2")</f>
        <v>Level 2</v>
      </c>
      <c r="J2442" s="6" t="str">
        <f>IFERROR(__xludf.DUMMYFUNCTION("""COMPUTED_VALUE"""),"4")</f>
        <v>4</v>
      </c>
      <c r="K2442" s="6" t="str">
        <f>IFERROR(__xludf.DUMMYFUNCTION("""COMPUTED_VALUE"""),"blueskye.price@unbound.school")</f>
        <v>blueskye.price@unbound.school</v>
      </c>
      <c r="L2442" s="6" t="str">
        <f>IFERROR(__xludf.DUMMYFUNCTION("""COMPUTED_VALUE"""),"Unbound Academy")</f>
        <v>Unbound Academy</v>
      </c>
      <c r="M2442" s="6" t="str">
        <f>IFERROR(__xludf.DUMMYFUNCTION("""COMPUTED_VALUE"""),"")</f>
        <v/>
      </c>
      <c r="N2442" s="6" t="str">
        <f>IFERROR(__xludf.DUMMYFUNCTION("""COMPUTED_VALUE"""),"")</f>
        <v/>
      </c>
      <c r="O2442" s="87" t="str">
        <f>IFERROR(__xludf.DUMMYFUNCTION("""COMPUTED_VALUE"""),"https://drive.google.com/drive/folders/10T2cTQHqEJZqE-st6uFKPoI?usp=share_link")</f>
        <v>https://drive.google.com/drive/folders/10T2cTQHqEJZqE-st6uFKPoI?usp=share_link</v>
      </c>
      <c r="P2442" s="6" t="str">
        <f>IFERROR(__xludf.DUMMYFUNCTION("""COMPUTED_VALUE"""),"Blueskye Price")</f>
        <v>Blueskye Price</v>
      </c>
      <c r="Q2442" s="6" t="str">
        <f>IFERROR(__xludf.DUMMYFUNCTION("""COMPUTED_VALUE"""),"L2")</f>
        <v>L2</v>
      </c>
      <c r="R2442" s="6">
        <f>IFERROR(__xludf.DUMMYFUNCTION("""COMPUTED_VALUE"""),2.0)</f>
        <v>2</v>
      </c>
      <c r="S2442" s="6" t="str">
        <f>IFERROR(__xludf.DUMMYFUNCTION("""COMPUTED_VALUE""")," ")</f>
        <v> </v>
      </c>
      <c r="T2442" s="6" t="str">
        <f>IFERROR(__xludf.DUMMYFUNCTION("""COMPUTED_VALUE"""),"")</f>
        <v/>
      </c>
      <c r="U2442" s="6" t="str">
        <f>IFERROR(__xludf.DUMMYFUNCTION("""COMPUTED_VALUE"""),"4")</f>
        <v>4</v>
      </c>
      <c r="V2442" s="6" t="str">
        <f>IFERROR(__xludf.DUMMYFUNCTION("""COMPUTED_VALUE"""),"")</f>
        <v/>
      </c>
      <c r="W2442" s="6" t="str">
        <f>IFERROR(__xludf.DUMMYFUNCTION("""COMPUTED_VALUE"""),"[]")</f>
        <v>[]</v>
      </c>
      <c r="X2442" s="6" t="str">
        <f>IFERROR(__xludf.DUMMYFUNCTION("""COMPUTED_VALUE"""),"Enrolled")</f>
        <v>Enrolled</v>
      </c>
    </row>
    <row r="2443">
      <c r="A2443" s="6" t="str">
        <f>IFERROR(__xludf.DUMMYFUNCTION("""COMPUTED_VALUE"""),"040-7148")</f>
        <v>040-7148</v>
      </c>
      <c r="B2443" s="6" t="str">
        <f>IFERROR(__xludf.DUMMYFUNCTION("""COMPUTED_VALUE"""),"40")</f>
        <v>40</v>
      </c>
      <c r="C2443" s="6" t="str">
        <f>IFERROR(__xludf.DUMMYFUNCTION("""COMPUTED_VALUE"""),"7148")</f>
        <v>7148</v>
      </c>
      <c r="D2443" s="6" t="str">
        <f>IFERROR(__xludf.DUMMYFUNCTION("""COMPUTED_VALUE"""),"Elijah")</f>
        <v>Elijah</v>
      </c>
      <c r="E2443" s="6" t="str">
        <f>IFERROR(__xludf.DUMMYFUNCTION("""COMPUTED_VALUE"""),"")</f>
        <v/>
      </c>
      <c r="F2443" s="6" t="str">
        <f>IFERROR(__xludf.DUMMYFUNCTION("""COMPUTED_VALUE"""),"Paige")</f>
        <v>Paige</v>
      </c>
      <c r="G2443" s="6" t="str">
        <f>IFERROR(__xludf.DUMMYFUNCTION("""COMPUTED_VALUE"""),"06/20/2013")</f>
        <v>06/20/2013</v>
      </c>
      <c r="H2443" s="6" t="str">
        <f>IFERROR(__xludf.DUMMYFUNCTION("""COMPUTED_VALUE"""),"Self Identify")</f>
        <v>Self Identify</v>
      </c>
      <c r="I2443" s="6" t="str">
        <f>IFERROR(__xludf.DUMMYFUNCTION("""COMPUTED_VALUE"""),"Middle School")</f>
        <v>Middle School</v>
      </c>
      <c r="J2443" s="6" t="str">
        <f>IFERROR(__xludf.DUMMYFUNCTION("""COMPUTED_VALUE"""),"7")</f>
        <v>7</v>
      </c>
      <c r="K2443" s="6" t="str">
        <f>IFERROR(__xludf.DUMMYFUNCTION("""COMPUTED_VALUE"""),"elijah.paige@unbound.school")</f>
        <v>elijah.paige@unbound.school</v>
      </c>
      <c r="L2443" s="6" t="str">
        <f>IFERROR(__xludf.DUMMYFUNCTION("""COMPUTED_VALUE"""),"Unbound Academy")</f>
        <v>Unbound Academy</v>
      </c>
      <c r="M2443" s="6" t="str">
        <f>IFERROR(__xludf.DUMMYFUNCTION("""COMPUTED_VALUE"""),"")</f>
        <v/>
      </c>
      <c r="N2443" s="6" t="str">
        <f>IFERROR(__xludf.DUMMYFUNCTION("""COMPUTED_VALUE"""),"")</f>
        <v/>
      </c>
      <c r="O2443" s="87" t="str">
        <f>IFERROR(__xludf.DUMMYFUNCTION("""COMPUTED_VALUE"""),"https://drive.google.com/drive/folders/10T2cTQHqEJZqE-st6uFKPoI?usp=share_link")</f>
        <v>https://drive.google.com/drive/folders/10T2cTQHqEJZqE-st6uFKPoI?usp=share_link</v>
      </c>
      <c r="P2443" s="6" t="str">
        <f>IFERROR(__xludf.DUMMYFUNCTION("""COMPUTED_VALUE"""),"Elijah Paige")</f>
        <v>Elijah Paige</v>
      </c>
      <c r="Q2443" s="6" t="str">
        <f>IFERROR(__xludf.DUMMYFUNCTION("""COMPUTED_VALUE"""),"MS")</f>
        <v>MS</v>
      </c>
      <c r="R2443" s="6">
        <f>IFERROR(__xludf.DUMMYFUNCTION("""COMPUTED_VALUE"""),0.0)</f>
        <v>0</v>
      </c>
      <c r="S2443" s="6" t="str">
        <f>IFERROR(__xludf.DUMMYFUNCTION("""COMPUTED_VALUE""")," ")</f>
        <v> </v>
      </c>
      <c r="T2443" s="6" t="str">
        <f>IFERROR(__xludf.DUMMYFUNCTION("""COMPUTED_VALUE"""),"")</f>
        <v/>
      </c>
      <c r="U2443" s="6" t="str">
        <f>IFERROR(__xludf.DUMMYFUNCTION("""COMPUTED_VALUE"""),"7")</f>
        <v>7</v>
      </c>
      <c r="V2443" s="6" t="str">
        <f>IFERROR(__xludf.DUMMYFUNCTION("""COMPUTED_VALUE"""),"")</f>
        <v/>
      </c>
      <c r="W2443" s="6" t="str">
        <f>IFERROR(__xludf.DUMMYFUNCTION("""COMPUTED_VALUE"""),"[]")</f>
        <v>[]</v>
      </c>
      <c r="X2443" s="6" t="str">
        <f>IFERROR(__xludf.DUMMYFUNCTION("""COMPUTED_VALUE"""),"Enrolled")</f>
        <v>Enrolled</v>
      </c>
    </row>
    <row r="2444">
      <c r="A2444" s="6" t="str">
        <f>IFERROR(__xludf.DUMMYFUNCTION("""COMPUTED_VALUE"""),"040-7386")</f>
        <v>040-7386</v>
      </c>
      <c r="B2444" s="6" t="str">
        <f>IFERROR(__xludf.DUMMYFUNCTION("""COMPUTED_VALUE"""),"40")</f>
        <v>40</v>
      </c>
      <c r="C2444" s="6" t="str">
        <f>IFERROR(__xludf.DUMMYFUNCTION("""COMPUTED_VALUE"""),"7386")</f>
        <v>7386</v>
      </c>
      <c r="D2444" s="6" t="str">
        <f>IFERROR(__xludf.DUMMYFUNCTION("""COMPUTED_VALUE"""),"Ciera")</f>
        <v>Ciera</v>
      </c>
      <c r="E2444" s="6" t="str">
        <f>IFERROR(__xludf.DUMMYFUNCTION("""COMPUTED_VALUE"""),"")</f>
        <v/>
      </c>
      <c r="F2444" s="6" t="str">
        <f>IFERROR(__xludf.DUMMYFUNCTION("""COMPUTED_VALUE"""),"Norona")</f>
        <v>Norona</v>
      </c>
      <c r="G2444" s="6" t="str">
        <f>IFERROR(__xludf.DUMMYFUNCTION("""COMPUTED_VALUE"""),"11/07/2012")</f>
        <v>11/07/2012</v>
      </c>
      <c r="H2444" s="6" t="str">
        <f>IFERROR(__xludf.DUMMYFUNCTION("""COMPUTED_VALUE"""),"Self Identify")</f>
        <v>Self Identify</v>
      </c>
      <c r="I2444" s="6" t="str">
        <f>IFERROR(__xludf.DUMMYFUNCTION("""COMPUTED_VALUE"""),"Middle School")</f>
        <v>Middle School</v>
      </c>
      <c r="J2444" s="6" t="str">
        <f>IFERROR(__xludf.DUMMYFUNCTION("""COMPUTED_VALUE"""),"6")</f>
        <v>6</v>
      </c>
      <c r="K2444" s="6" t="str">
        <f>IFERROR(__xludf.DUMMYFUNCTION("""COMPUTED_VALUE"""),"ciera.norona@unbound.school")</f>
        <v>ciera.norona@unbound.school</v>
      </c>
      <c r="L2444" s="6" t="str">
        <f>IFERROR(__xludf.DUMMYFUNCTION("""COMPUTED_VALUE"""),"Unbound Academy")</f>
        <v>Unbound Academy</v>
      </c>
      <c r="M2444" s="6" t="str">
        <f>IFERROR(__xludf.DUMMYFUNCTION("""COMPUTED_VALUE"""),"")</f>
        <v/>
      </c>
      <c r="N2444" s="6" t="str">
        <f>IFERROR(__xludf.DUMMYFUNCTION("""COMPUTED_VALUE"""),"")</f>
        <v/>
      </c>
      <c r="O2444" s="87" t="str">
        <f>IFERROR(__xludf.DUMMYFUNCTION("""COMPUTED_VALUE"""),"https://drive.google.com/drive/folders/10T2cTQHqEJZqE-st6uFKPoI?usp=share_link")</f>
        <v>https://drive.google.com/drive/folders/10T2cTQHqEJZqE-st6uFKPoI?usp=share_link</v>
      </c>
      <c r="P2444" s="6" t="str">
        <f>IFERROR(__xludf.DUMMYFUNCTION("""COMPUTED_VALUE"""),"Ciera Norona")</f>
        <v>Ciera Norona</v>
      </c>
      <c r="Q2444" s="6" t="str">
        <f>IFERROR(__xludf.DUMMYFUNCTION("""COMPUTED_VALUE"""),"MS")</f>
        <v>MS</v>
      </c>
      <c r="R2444" s="6">
        <f>IFERROR(__xludf.DUMMYFUNCTION("""COMPUTED_VALUE"""),0.0)</f>
        <v>0</v>
      </c>
      <c r="S2444" s="6" t="str">
        <f>IFERROR(__xludf.DUMMYFUNCTION("""COMPUTED_VALUE""")," ")</f>
        <v> </v>
      </c>
      <c r="T2444" s="6" t="str">
        <f>IFERROR(__xludf.DUMMYFUNCTION("""COMPUTED_VALUE"""),"")</f>
        <v/>
      </c>
      <c r="U2444" s="6" t="str">
        <f>IFERROR(__xludf.DUMMYFUNCTION("""COMPUTED_VALUE"""),"6")</f>
        <v>6</v>
      </c>
      <c r="V2444" s="6" t="str">
        <f>IFERROR(__xludf.DUMMYFUNCTION("""COMPUTED_VALUE"""),"")</f>
        <v/>
      </c>
      <c r="W2444" s="6" t="str">
        <f>IFERROR(__xludf.DUMMYFUNCTION("""COMPUTED_VALUE"""),"[]")</f>
        <v>[]</v>
      </c>
      <c r="X2444" s="6" t="str">
        <f>IFERROR(__xludf.DUMMYFUNCTION("""COMPUTED_VALUE"""),"Enrolled")</f>
        <v>Enrolled</v>
      </c>
    </row>
    <row r="2445">
      <c r="A2445" s="6" t="str">
        <f>IFERROR(__xludf.DUMMYFUNCTION("""COMPUTED_VALUE"""),"040-7600")</f>
        <v>040-7600</v>
      </c>
      <c r="B2445" s="6" t="str">
        <f>IFERROR(__xludf.DUMMYFUNCTION("""COMPUTED_VALUE"""),"40")</f>
        <v>40</v>
      </c>
      <c r="C2445" s="6" t="str">
        <f>IFERROR(__xludf.DUMMYFUNCTION("""COMPUTED_VALUE"""),"7600")</f>
        <v>7600</v>
      </c>
      <c r="D2445" s="6" t="str">
        <f>IFERROR(__xludf.DUMMYFUNCTION("""COMPUTED_VALUE"""),"Kye")</f>
        <v>Kye</v>
      </c>
      <c r="E2445" s="6" t="str">
        <f>IFERROR(__xludf.DUMMYFUNCTION("""COMPUTED_VALUE"""),"")</f>
        <v/>
      </c>
      <c r="F2445" s="6" t="str">
        <f>IFERROR(__xludf.DUMMYFUNCTION("""COMPUTED_VALUE"""),"Merrill")</f>
        <v>Merrill</v>
      </c>
      <c r="G2445" s="6" t="str">
        <f>IFERROR(__xludf.DUMMYFUNCTION("""COMPUTED_VALUE"""),"10/20/2012")</f>
        <v>10/20/2012</v>
      </c>
      <c r="H2445" s="6" t="str">
        <f>IFERROR(__xludf.DUMMYFUNCTION("""COMPUTED_VALUE"""),"Self Identify")</f>
        <v>Self Identify</v>
      </c>
      <c r="I2445" s="6" t="str">
        <f>IFERROR(__xludf.DUMMYFUNCTION("""COMPUTED_VALUE"""),"Middle School")</f>
        <v>Middle School</v>
      </c>
      <c r="J2445" s="6" t="str">
        <f>IFERROR(__xludf.DUMMYFUNCTION("""COMPUTED_VALUE"""),"6")</f>
        <v>6</v>
      </c>
      <c r="K2445" s="6" t="str">
        <f>IFERROR(__xludf.DUMMYFUNCTION("""COMPUTED_VALUE"""),"kye.merrill@unbound.school")</f>
        <v>kye.merrill@unbound.school</v>
      </c>
      <c r="L2445" s="6" t="str">
        <f>IFERROR(__xludf.DUMMYFUNCTION("""COMPUTED_VALUE"""),"Unbound Academy")</f>
        <v>Unbound Academy</v>
      </c>
      <c r="M2445" s="6" t="str">
        <f>IFERROR(__xludf.DUMMYFUNCTION("""COMPUTED_VALUE"""),"")</f>
        <v/>
      </c>
      <c r="N2445" s="6" t="str">
        <f>IFERROR(__xludf.DUMMYFUNCTION("""COMPUTED_VALUE"""),"")</f>
        <v/>
      </c>
      <c r="O2445" s="87" t="str">
        <f>IFERROR(__xludf.DUMMYFUNCTION("""COMPUTED_VALUE"""),"https://drive.google.com/drive/folders/10T2cTQHqEJZqE-st6uFKPoI?usp=share_link")</f>
        <v>https://drive.google.com/drive/folders/10T2cTQHqEJZqE-st6uFKPoI?usp=share_link</v>
      </c>
      <c r="P2445" s="6" t="str">
        <f>IFERROR(__xludf.DUMMYFUNCTION("""COMPUTED_VALUE"""),"Kye Merrill")</f>
        <v>Kye Merrill</v>
      </c>
      <c r="Q2445" s="6" t="str">
        <f>IFERROR(__xludf.DUMMYFUNCTION("""COMPUTED_VALUE"""),"MS")</f>
        <v>MS</v>
      </c>
      <c r="R2445" s="6">
        <f>IFERROR(__xludf.DUMMYFUNCTION("""COMPUTED_VALUE"""),0.0)</f>
        <v>0</v>
      </c>
      <c r="S2445" s="6" t="str">
        <f>IFERROR(__xludf.DUMMYFUNCTION("""COMPUTED_VALUE""")," ")</f>
        <v> </v>
      </c>
      <c r="T2445" s="6" t="str">
        <f>IFERROR(__xludf.DUMMYFUNCTION("""COMPUTED_VALUE"""),"")</f>
        <v/>
      </c>
      <c r="U2445" s="6" t="str">
        <f>IFERROR(__xludf.DUMMYFUNCTION("""COMPUTED_VALUE"""),"6")</f>
        <v>6</v>
      </c>
      <c r="V2445" s="6" t="str">
        <f>IFERROR(__xludf.DUMMYFUNCTION("""COMPUTED_VALUE"""),"")</f>
        <v/>
      </c>
      <c r="W2445" s="6" t="str">
        <f>IFERROR(__xludf.DUMMYFUNCTION("""COMPUTED_VALUE"""),"[]")</f>
        <v>[]</v>
      </c>
      <c r="X2445" s="6" t="str">
        <f>IFERROR(__xludf.DUMMYFUNCTION("""COMPUTED_VALUE"""),"Enrolled")</f>
        <v>Enrolled</v>
      </c>
    </row>
    <row r="2446">
      <c r="A2446" s="6" t="str">
        <f>IFERROR(__xludf.DUMMYFUNCTION("""COMPUTED_VALUE"""),"040-7801")</f>
        <v>040-7801</v>
      </c>
      <c r="B2446" s="6" t="str">
        <f>IFERROR(__xludf.DUMMYFUNCTION("""COMPUTED_VALUE"""),"40")</f>
        <v>40</v>
      </c>
      <c r="C2446" s="6" t="str">
        <f>IFERROR(__xludf.DUMMYFUNCTION("""COMPUTED_VALUE"""),"7801")</f>
        <v>7801</v>
      </c>
      <c r="D2446" s="6" t="str">
        <f>IFERROR(__xludf.DUMMYFUNCTION("""COMPUTED_VALUE"""),"Sebastian")</f>
        <v>Sebastian</v>
      </c>
      <c r="E2446" s="6" t="str">
        <f>IFERROR(__xludf.DUMMYFUNCTION("""COMPUTED_VALUE"""),"")</f>
        <v/>
      </c>
      <c r="F2446" s="6" t="str">
        <f>IFERROR(__xludf.DUMMYFUNCTION("""COMPUTED_VALUE"""),"Canez")</f>
        <v>Canez</v>
      </c>
      <c r="G2446" s="6" t="str">
        <f>IFERROR(__xludf.DUMMYFUNCTION("""COMPUTED_VALUE"""),"09/13/2016")</f>
        <v>09/13/2016</v>
      </c>
      <c r="H2446" s="6" t="str">
        <f>IFERROR(__xludf.DUMMYFUNCTION("""COMPUTED_VALUE"""),"Self Identify")</f>
        <v>Self Identify</v>
      </c>
      <c r="I2446" s="6" t="str">
        <f>IFERROR(__xludf.DUMMYFUNCTION("""COMPUTED_VALUE"""),"Level 2")</f>
        <v>Level 2</v>
      </c>
      <c r="J2446" s="6" t="str">
        <f>IFERROR(__xludf.DUMMYFUNCTION("""COMPUTED_VALUE"""),"4")</f>
        <v>4</v>
      </c>
      <c r="K2446" s="6" t="str">
        <f>IFERROR(__xludf.DUMMYFUNCTION("""COMPUTED_VALUE"""),"sebastian.canez@unbound.school")</f>
        <v>sebastian.canez@unbound.school</v>
      </c>
      <c r="L2446" s="6" t="str">
        <f>IFERROR(__xludf.DUMMYFUNCTION("""COMPUTED_VALUE"""),"Unbound Academy")</f>
        <v>Unbound Academy</v>
      </c>
      <c r="M2446" s="6" t="str">
        <f>IFERROR(__xludf.DUMMYFUNCTION("""COMPUTED_VALUE"""),"")</f>
        <v/>
      </c>
      <c r="N2446" s="6" t="str">
        <f>IFERROR(__xludf.DUMMYFUNCTION("""COMPUTED_VALUE"""),"")</f>
        <v/>
      </c>
      <c r="O2446" s="87" t="str">
        <f>IFERROR(__xludf.DUMMYFUNCTION("""COMPUTED_VALUE"""),"https://drive.google.com/drive/folders/10T2cTQHqEJZqE-st6uFKPoI?usp=share_link")</f>
        <v>https://drive.google.com/drive/folders/10T2cTQHqEJZqE-st6uFKPoI?usp=share_link</v>
      </c>
      <c r="P2446" s="6" t="str">
        <f>IFERROR(__xludf.DUMMYFUNCTION("""COMPUTED_VALUE"""),"Sebastian Canez")</f>
        <v>Sebastian Canez</v>
      </c>
      <c r="Q2446" s="6" t="str">
        <f>IFERROR(__xludf.DUMMYFUNCTION("""COMPUTED_VALUE"""),"L2")</f>
        <v>L2</v>
      </c>
      <c r="R2446" s="6">
        <f>IFERROR(__xludf.DUMMYFUNCTION("""COMPUTED_VALUE"""),2.0)</f>
        <v>2</v>
      </c>
      <c r="S2446" s="6" t="str">
        <f>IFERROR(__xludf.DUMMYFUNCTION("""COMPUTED_VALUE""")," ")</f>
        <v> </v>
      </c>
      <c r="T2446" s="6" t="str">
        <f>IFERROR(__xludf.DUMMYFUNCTION("""COMPUTED_VALUE"""),"")</f>
        <v/>
      </c>
      <c r="U2446" s="6" t="str">
        <f>IFERROR(__xludf.DUMMYFUNCTION("""COMPUTED_VALUE"""),"4")</f>
        <v>4</v>
      </c>
      <c r="V2446" s="6" t="str">
        <f>IFERROR(__xludf.DUMMYFUNCTION("""COMPUTED_VALUE"""),"")</f>
        <v/>
      </c>
      <c r="W2446" s="6" t="str">
        <f>IFERROR(__xludf.DUMMYFUNCTION("""COMPUTED_VALUE"""),"[]")</f>
        <v>[]</v>
      </c>
      <c r="X2446" s="6" t="str">
        <f>IFERROR(__xludf.DUMMYFUNCTION("""COMPUTED_VALUE"""),"Enrolled")</f>
        <v>Enrolled</v>
      </c>
    </row>
    <row r="2447">
      <c r="A2447" s="6" t="str">
        <f>IFERROR(__xludf.DUMMYFUNCTION("""COMPUTED_VALUE"""),"040-7874")</f>
        <v>040-7874</v>
      </c>
      <c r="B2447" s="6" t="str">
        <f>IFERROR(__xludf.DUMMYFUNCTION("""COMPUTED_VALUE"""),"40")</f>
        <v>40</v>
      </c>
      <c r="C2447" s="6" t="str">
        <f>IFERROR(__xludf.DUMMYFUNCTION("""COMPUTED_VALUE"""),"7874")</f>
        <v>7874</v>
      </c>
      <c r="D2447" s="6" t="str">
        <f>IFERROR(__xludf.DUMMYFUNCTION("""COMPUTED_VALUE"""),"Rhea")</f>
        <v>Rhea</v>
      </c>
      <c r="E2447" s="6" t="str">
        <f>IFERROR(__xludf.DUMMYFUNCTION("""COMPUTED_VALUE"""),"")</f>
        <v/>
      </c>
      <c r="F2447" s="6" t="str">
        <f>IFERROR(__xludf.DUMMYFUNCTION("""COMPUTED_VALUE"""),"Rivera")</f>
        <v>Rivera</v>
      </c>
      <c r="G2447" s="6" t="str">
        <f>IFERROR(__xludf.DUMMYFUNCTION("""COMPUTED_VALUE"""),"12/16/2014")</f>
        <v>12/16/2014</v>
      </c>
      <c r="H2447" s="6" t="str">
        <f>IFERROR(__xludf.DUMMYFUNCTION("""COMPUTED_VALUE"""),"Self Identify")</f>
        <v>Self Identify</v>
      </c>
      <c r="I2447" s="6" t="str">
        <f>IFERROR(__xludf.DUMMYFUNCTION("""COMPUTED_VALUE"""),"Level 2")</f>
        <v>Level 2</v>
      </c>
      <c r="J2447" s="6" t="str">
        <f>IFERROR(__xludf.DUMMYFUNCTION("""COMPUTED_VALUE"""),"5")</f>
        <v>5</v>
      </c>
      <c r="K2447" s="6" t="str">
        <f>IFERROR(__xludf.DUMMYFUNCTION("""COMPUTED_VALUE"""),"rhea.rivera@unbound.school")</f>
        <v>rhea.rivera@unbound.school</v>
      </c>
      <c r="L2447" s="6" t="str">
        <f>IFERROR(__xludf.DUMMYFUNCTION("""COMPUTED_VALUE"""),"Unbound Academy")</f>
        <v>Unbound Academy</v>
      </c>
      <c r="M2447" s="6" t="str">
        <f>IFERROR(__xludf.DUMMYFUNCTION("""COMPUTED_VALUE"""),"")</f>
        <v/>
      </c>
      <c r="N2447" s="6" t="str">
        <f>IFERROR(__xludf.DUMMYFUNCTION("""COMPUTED_VALUE"""),"")</f>
        <v/>
      </c>
      <c r="O2447" s="87" t="str">
        <f>IFERROR(__xludf.DUMMYFUNCTION("""COMPUTED_VALUE"""),"https://drive.google.com/drive/folders/10T2cTQHqEJZqE-st6uFKPoI?usp=share_link")</f>
        <v>https://drive.google.com/drive/folders/10T2cTQHqEJZqE-st6uFKPoI?usp=share_link</v>
      </c>
      <c r="P2447" s="6" t="str">
        <f>IFERROR(__xludf.DUMMYFUNCTION("""COMPUTED_VALUE"""),"Rhea Rivera")</f>
        <v>Rhea Rivera</v>
      </c>
      <c r="Q2447" s="6" t="str">
        <f>IFERROR(__xludf.DUMMYFUNCTION("""COMPUTED_VALUE"""),"L2")</f>
        <v>L2</v>
      </c>
      <c r="R2447" s="6">
        <f>IFERROR(__xludf.DUMMYFUNCTION("""COMPUTED_VALUE"""),2.0)</f>
        <v>2</v>
      </c>
      <c r="S2447" s="6" t="str">
        <f>IFERROR(__xludf.DUMMYFUNCTION("""COMPUTED_VALUE""")," ")</f>
        <v> </v>
      </c>
      <c r="T2447" s="6" t="str">
        <f>IFERROR(__xludf.DUMMYFUNCTION("""COMPUTED_VALUE"""),"")</f>
        <v/>
      </c>
      <c r="U2447" s="6" t="str">
        <f>IFERROR(__xludf.DUMMYFUNCTION("""COMPUTED_VALUE"""),"5")</f>
        <v>5</v>
      </c>
      <c r="V2447" s="6" t="str">
        <f>IFERROR(__xludf.DUMMYFUNCTION("""COMPUTED_VALUE"""),"")</f>
        <v/>
      </c>
      <c r="W2447" s="6" t="str">
        <f>IFERROR(__xludf.DUMMYFUNCTION("""COMPUTED_VALUE"""),"[]")</f>
        <v>[]</v>
      </c>
      <c r="X2447" s="6" t="str">
        <f>IFERROR(__xludf.DUMMYFUNCTION("""COMPUTED_VALUE"""),"Enrolled")</f>
        <v>Enrolled</v>
      </c>
    </row>
    <row r="2448">
      <c r="A2448" s="6" t="str">
        <f>IFERROR(__xludf.DUMMYFUNCTION("""COMPUTED_VALUE"""),"040-7875")</f>
        <v>040-7875</v>
      </c>
      <c r="B2448" s="6" t="str">
        <f>IFERROR(__xludf.DUMMYFUNCTION("""COMPUTED_VALUE"""),"40")</f>
        <v>40</v>
      </c>
      <c r="C2448" s="6" t="str">
        <f>IFERROR(__xludf.DUMMYFUNCTION("""COMPUTED_VALUE"""),"7875")</f>
        <v>7875</v>
      </c>
      <c r="D2448" s="6" t="str">
        <f>IFERROR(__xludf.DUMMYFUNCTION("""COMPUTED_VALUE"""),"London")</f>
        <v>London</v>
      </c>
      <c r="E2448" s="6" t="str">
        <f>IFERROR(__xludf.DUMMYFUNCTION("""COMPUTED_VALUE"""),"")</f>
        <v/>
      </c>
      <c r="F2448" s="6" t="str">
        <f>IFERROR(__xludf.DUMMYFUNCTION("""COMPUTED_VALUE"""),"Rivera")</f>
        <v>Rivera</v>
      </c>
      <c r="G2448" s="6" t="str">
        <f>IFERROR(__xludf.DUMMYFUNCTION("""COMPUTED_VALUE"""),"03/03/2012")</f>
        <v>03/03/2012</v>
      </c>
      <c r="H2448" s="6" t="str">
        <f>IFERROR(__xludf.DUMMYFUNCTION("""COMPUTED_VALUE"""),"Self Identify")</f>
        <v>Self Identify</v>
      </c>
      <c r="I2448" s="6" t="str">
        <f>IFERROR(__xludf.DUMMYFUNCTION("""COMPUTED_VALUE"""),"Middle School")</f>
        <v>Middle School</v>
      </c>
      <c r="J2448" s="6" t="str">
        <f>IFERROR(__xludf.DUMMYFUNCTION("""COMPUTED_VALUE"""),"8")</f>
        <v>8</v>
      </c>
      <c r="K2448" s="6" t="str">
        <f>IFERROR(__xludf.DUMMYFUNCTION("""COMPUTED_VALUE"""),"london.rivera@unbound.school")</f>
        <v>london.rivera@unbound.school</v>
      </c>
      <c r="L2448" s="6" t="str">
        <f>IFERROR(__xludf.DUMMYFUNCTION("""COMPUTED_VALUE"""),"Unbound Academy")</f>
        <v>Unbound Academy</v>
      </c>
      <c r="M2448" s="6" t="str">
        <f>IFERROR(__xludf.DUMMYFUNCTION("""COMPUTED_VALUE"""),"")</f>
        <v/>
      </c>
      <c r="N2448" s="6" t="str">
        <f>IFERROR(__xludf.DUMMYFUNCTION("""COMPUTED_VALUE"""),"")</f>
        <v/>
      </c>
      <c r="O2448" s="87" t="str">
        <f>IFERROR(__xludf.DUMMYFUNCTION("""COMPUTED_VALUE"""),"https://drive.google.com/drive/folders/10T2cTQHqEJZqE-st6uFKPoI?usp=share_link")</f>
        <v>https://drive.google.com/drive/folders/10T2cTQHqEJZqE-st6uFKPoI?usp=share_link</v>
      </c>
      <c r="P2448" s="6" t="str">
        <f>IFERROR(__xludf.DUMMYFUNCTION("""COMPUTED_VALUE"""),"London Rivera")</f>
        <v>London Rivera</v>
      </c>
      <c r="Q2448" s="6" t="str">
        <f>IFERROR(__xludf.DUMMYFUNCTION("""COMPUTED_VALUE"""),"MS")</f>
        <v>MS</v>
      </c>
      <c r="R2448" s="6">
        <f>IFERROR(__xludf.DUMMYFUNCTION("""COMPUTED_VALUE"""),0.0)</f>
        <v>0</v>
      </c>
      <c r="S2448" s="6" t="str">
        <f>IFERROR(__xludf.DUMMYFUNCTION("""COMPUTED_VALUE""")," ")</f>
        <v> </v>
      </c>
      <c r="T2448" s="6" t="str">
        <f>IFERROR(__xludf.DUMMYFUNCTION("""COMPUTED_VALUE"""),"")</f>
        <v/>
      </c>
      <c r="U2448" s="6" t="str">
        <f>IFERROR(__xludf.DUMMYFUNCTION("""COMPUTED_VALUE"""),"8")</f>
        <v>8</v>
      </c>
      <c r="V2448" s="6" t="str">
        <f>IFERROR(__xludf.DUMMYFUNCTION("""COMPUTED_VALUE"""),"")</f>
        <v/>
      </c>
      <c r="W2448" s="6" t="str">
        <f>IFERROR(__xludf.DUMMYFUNCTION("""COMPUTED_VALUE"""),"[]")</f>
        <v>[]</v>
      </c>
      <c r="X2448" s="6" t="str">
        <f>IFERROR(__xludf.DUMMYFUNCTION("""COMPUTED_VALUE"""),"Enrolled")</f>
        <v>Enrolled</v>
      </c>
    </row>
    <row r="2449">
      <c r="A2449" s="6" t="str">
        <f>IFERROR(__xludf.DUMMYFUNCTION("""COMPUTED_VALUE"""),"040-7892")</f>
        <v>040-7892</v>
      </c>
      <c r="B2449" s="6" t="str">
        <f>IFERROR(__xludf.DUMMYFUNCTION("""COMPUTED_VALUE"""),"40")</f>
        <v>40</v>
      </c>
      <c r="C2449" s="6" t="str">
        <f>IFERROR(__xludf.DUMMYFUNCTION("""COMPUTED_VALUE"""),"7892")</f>
        <v>7892</v>
      </c>
      <c r="D2449" s="6" t="str">
        <f>IFERROR(__xludf.DUMMYFUNCTION("""COMPUTED_VALUE"""),"Terrence")</f>
        <v>Terrence</v>
      </c>
      <c r="E2449" s="6" t="str">
        <f>IFERROR(__xludf.DUMMYFUNCTION("""COMPUTED_VALUE"""),"")</f>
        <v/>
      </c>
      <c r="F2449" s="6" t="str">
        <f>IFERROR(__xludf.DUMMYFUNCTION("""COMPUTED_VALUE"""),"Dunn")</f>
        <v>Dunn</v>
      </c>
      <c r="G2449" s="6" t="str">
        <f>IFERROR(__xludf.DUMMYFUNCTION("""COMPUTED_VALUE"""),"03/05/2015")</f>
        <v>03/05/2015</v>
      </c>
      <c r="H2449" s="6" t="str">
        <f>IFERROR(__xludf.DUMMYFUNCTION("""COMPUTED_VALUE"""),"Self Identify")</f>
        <v>Self Identify</v>
      </c>
      <c r="I2449" s="6" t="str">
        <f>IFERROR(__xludf.DUMMYFUNCTION("""COMPUTED_VALUE"""),"Level 2")</f>
        <v>Level 2</v>
      </c>
      <c r="J2449" s="6" t="str">
        <f>IFERROR(__xludf.DUMMYFUNCTION("""COMPUTED_VALUE"""),"5")</f>
        <v>5</v>
      </c>
      <c r="K2449" s="6" t="str">
        <f>IFERROR(__xludf.DUMMYFUNCTION("""COMPUTED_VALUE"""),"terrence.dunn@unbound.school")</f>
        <v>terrence.dunn@unbound.school</v>
      </c>
      <c r="L2449" s="6" t="str">
        <f>IFERROR(__xludf.DUMMYFUNCTION("""COMPUTED_VALUE"""),"Unbound Academy")</f>
        <v>Unbound Academy</v>
      </c>
      <c r="M2449" s="6" t="str">
        <f>IFERROR(__xludf.DUMMYFUNCTION("""COMPUTED_VALUE"""),"")</f>
        <v/>
      </c>
      <c r="N2449" s="6" t="str">
        <f>IFERROR(__xludf.DUMMYFUNCTION("""COMPUTED_VALUE"""),"")</f>
        <v/>
      </c>
      <c r="O2449" s="87" t="str">
        <f>IFERROR(__xludf.DUMMYFUNCTION("""COMPUTED_VALUE"""),"https://drive.google.com/drive/folders/10T2cTQHqEJZqE-st6uFKPoI?usp=share_link")</f>
        <v>https://drive.google.com/drive/folders/10T2cTQHqEJZqE-st6uFKPoI?usp=share_link</v>
      </c>
      <c r="P2449" s="6" t="str">
        <f>IFERROR(__xludf.DUMMYFUNCTION("""COMPUTED_VALUE"""),"Terrence Dunn")</f>
        <v>Terrence Dunn</v>
      </c>
      <c r="Q2449" s="6" t="str">
        <f>IFERROR(__xludf.DUMMYFUNCTION("""COMPUTED_VALUE"""),"L2")</f>
        <v>L2</v>
      </c>
      <c r="R2449" s="6">
        <f>IFERROR(__xludf.DUMMYFUNCTION("""COMPUTED_VALUE"""),2.0)</f>
        <v>2</v>
      </c>
      <c r="S2449" s="6" t="str">
        <f>IFERROR(__xludf.DUMMYFUNCTION("""COMPUTED_VALUE""")," ")</f>
        <v> </v>
      </c>
      <c r="T2449" s="6" t="str">
        <f>IFERROR(__xludf.DUMMYFUNCTION("""COMPUTED_VALUE"""),"")</f>
        <v/>
      </c>
      <c r="U2449" s="6" t="str">
        <f>IFERROR(__xludf.DUMMYFUNCTION("""COMPUTED_VALUE"""),"5")</f>
        <v>5</v>
      </c>
      <c r="V2449" s="6" t="str">
        <f>IFERROR(__xludf.DUMMYFUNCTION("""COMPUTED_VALUE"""),"")</f>
        <v/>
      </c>
      <c r="W2449" s="6" t="str">
        <f>IFERROR(__xludf.DUMMYFUNCTION("""COMPUTED_VALUE"""),"[]")</f>
        <v>[]</v>
      </c>
      <c r="X2449" s="6" t="str">
        <f>IFERROR(__xludf.DUMMYFUNCTION("""COMPUTED_VALUE"""),"Enrolled")</f>
        <v>Enrolled</v>
      </c>
    </row>
    <row r="2450">
      <c r="A2450" s="6" t="str">
        <f>IFERROR(__xludf.DUMMYFUNCTION("""COMPUTED_VALUE"""),"040-7893")</f>
        <v>040-7893</v>
      </c>
      <c r="B2450" s="6" t="str">
        <f>IFERROR(__xludf.DUMMYFUNCTION("""COMPUTED_VALUE"""),"40")</f>
        <v>40</v>
      </c>
      <c r="C2450" s="6" t="str">
        <f>IFERROR(__xludf.DUMMYFUNCTION("""COMPUTED_VALUE"""),"7893")</f>
        <v>7893</v>
      </c>
      <c r="D2450" s="6" t="str">
        <f>IFERROR(__xludf.DUMMYFUNCTION("""COMPUTED_VALUE"""),"Arabella")</f>
        <v>Arabella</v>
      </c>
      <c r="E2450" s="6" t="str">
        <f>IFERROR(__xludf.DUMMYFUNCTION("""COMPUTED_VALUE"""),"")</f>
        <v/>
      </c>
      <c r="F2450" s="6" t="str">
        <f>IFERROR(__xludf.DUMMYFUNCTION("""COMPUTED_VALUE"""),"Hovater")</f>
        <v>Hovater</v>
      </c>
      <c r="G2450" s="6" t="str">
        <f>IFERROR(__xludf.DUMMYFUNCTION("""COMPUTED_VALUE"""),"08/07/2015")</f>
        <v>08/07/2015</v>
      </c>
      <c r="H2450" s="6" t="str">
        <f>IFERROR(__xludf.DUMMYFUNCTION("""COMPUTED_VALUE"""),"Self Identify")</f>
        <v>Self Identify</v>
      </c>
      <c r="I2450" s="6" t="str">
        <f>IFERROR(__xludf.DUMMYFUNCTION("""COMPUTED_VALUE"""),"Level 2")</f>
        <v>Level 2</v>
      </c>
      <c r="J2450" s="6" t="str">
        <f>IFERROR(__xludf.DUMMYFUNCTION("""COMPUTED_VALUE"""),"5")</f>
        <v>5</v>
      </c>
      <c r="K2450" s="6" t="str">
        <f>IFERROR(__xludf.DUMMYFUNCTION("""COMPUTED_VALUE"""),"arabella.hovater@unbound.school")</f>
        <v>arabella.hovater@unbound.school</v>
      </c>
      <c r="L2450" s="6" t="str">
        <f>IFERROR(__xludf.DUMMYFUNCTION("""COMPUTED_VALUE"""),"Unbound Academy")</f>
        <v>Unbound Academy</v>
      </c>
      <c r="M2450" s="6" t="str">
        <f>IFERROR(__xludf.DUMMYFUNCTION("""COMPUTED_VALUE"""),"")</f>
        <v/>
      </c>
      <c r="N2450" s="6" t="str">
        <f>IFERROR(__xludf.DUMMYFUNCTION("""COMPUTED_VALUE"""),"")</f>
        <v/>
      </c>
      <c r="O2450" s="87" t="str">
        <f>IFERROR(__xludf.DUMMYFUNCTION("""COMPUTED_VALUE"""),"https://drive.google.com/drive/folders/10T2cTQHqEJZqE-st6uFKPoI?usp=share_link")</f>
        <v>https://drive.google.com/drive/folders/10T2cTQHqEJZqE-st6uFKPoI?usp=share_link</v>
      </c>
      <c r="P2450" s="6" t="str">
        <f>IFERROR(__xludf.DUMMYFUNCTION("""COMPUTED_VALUE"""),"Arabella Hovater")</f>
        <v>Arabella Hovater</v>
      </c>
      <c r="Q2450" s="6" t="str">
        <f>IFERROR(__xludf.DUMMYFUNCTION("""COMPUTED_VALUE"""),"L2")</f>
        <v>L2</v>
      </c>
      <c r="R2450" s="6">
        <f>IFERROR(__xludf.DUMMYFUNCTION("""COMPUTED_VALUE"""),2.0)</f>
        <v>2</v>
      </c>
      <c r="S2450" s="6" t="str">
        <f>IFERROR(__xludf.DUMMYFUNCTION("""COMPUTED_VALUE""")," ")</f>
        <v> </v>
      </c>
      <c r="T2450" s="6" t="str">
        <f>IFERROR(__xludf.DUMMYFUNCTION("""COMPUTED_VALUE"""),"")</f>
        <v/>
      </c>
      <c r="U2450" s="6" t="str">
        <f>IFERROR(__xludf.DUMMYFUNCTION("""COMPUTED_VALUE"""),"5")</f>
        <v>5</v>
      </c>
      <c r="V2450" s="6" t="str">
        <f>IFERROR(__xludf.DUMMYFUNCTION("""COMPUTED_VALUE"""),"")</f>
        <v/>
      </c>
      <c r="W2450" s="6" t="str">
        <f>IFERROR(__xludf.DUMMYFUNCTION("""COMPUTED_VALUE"""),"[]")</f>
        <v>[]</v>
      </c>
      <c r="X2450" s="6" t="str">
        <f>IFERROR(__xludf.DUMMYFUNCTION("""COMPUTED_VALUE"""),"Enrolled")</f>
        <v>Enrolled</v>
      </c>
    </row>
    <row r="2451">
      <c r="A2451" s="6" t="str">
        <f>IFERROR(__xludf.DUMMYFUNCTION("""COMPUTED_VALUE"""),"040-7895")</f>
        <v>040-7895</v>
      </c>
      <c r="B2451" s="6" t="str">
        <f>IFERROR(__xludf.DUMMYFUNCTION("""COMPUTED_VALUE"""),"40")</f>
        <v>40</v>
      </c>
      <c r="C2451" s="6" t="str">
        <f>IFERROR(__xludf.DUMMYFUNCTION("""COMPUTED_VALUE"""),"7895")</f>
        <v>7895</v>
      </c>
      <c r="D2451" s="6" t="str">
        <f>IFERROR(__xludf.DUMMYFUNCTION("""COMPUTED_VALUE"""),"Abel")</f>
        <v>Abel</v>
      </c>
      <c r="E2451" s="6" t="str">
        <f>IFERROR(__xludf.DUMMYFUNCTION("""COMPUTED_VALUE"""),"")</f>
        <v/>
      </c>
      <c r="F2451" s="6" t="str">
        <f>IFERROR(__xludf.DUMMYFUNCTION("""COMPUTED_VALUE"""),"Hovater")</f>
        <v>Hovater</v>
      </c>
      <c r="G2451" s="6" t="str">
        <f>IFERROR(__xludf.DUMMYFUNCTION("""COMPUTED_VALUE"""),"06/01/2014")</f>
        <v>06/01/2014</v>
      </c>
      <c r="H2451" s="6" t="str">
        <f>IFERROR(__xludf.DUMMYFUNCTION("""COMPUTED_VALUE"""),"Self Identify")</f>
        <v>Self Identify</v>
      </c>
      <c r="I2451" s="6" t="str">
        <f>IFERROR(__xludf.DUMMYFUNCTION("""COMPUTED_VALUE"""),"Middle School")</f>
        <v>Middle School</v>
      </c>
      <c r="J2451" s="6" t="str">
        <f>IFERROR(__xludf.DUMMYFUNCTION("""COMPUTED_VALUE"""),"6")</f>
        <v>6</v>
      </c>
      <c r="K2451" s="6" t="str">
        <f>IFERROR(__xludf.DUMMYFUNCTION("""COMPUTED_VALUE"""),"abel.hovater@unbound.school")</f>
        <v>abel.hovater@unbound.school</v>
      </c>
      <c r="L2451" s="6" t="str">
        <f>IFERROR(__xludf.DUMMYFUNCTION("""COMPUTED_VALUE"""),"Unbound Academy")</f>
        <v>Unbound Academy</v>
      </c>
      <c r="M2451" s="6" t="str">
        <f>IFERROR(__xludf.DUMMYFUNCTION("""COMPUTED_VALUE"""),"")</f>
        <v/>
      </c>
      <c r="N2451" s="6" t="str">
        <f>IFERROR(__xludf.DUMMYFUNCTION("""COMPUTED_VALUE"""),"")</f>
        <v/>
      </c>
      <c r="O2451" s="87" t="str">
        <f>IFERROR(__xludf.DUMMYFUNCTION("""COMPUTED_VALUE"""),"https://drive.google.com/drive/folders/10T2cTQHqEJZqE-st6uFKPoI?usp=share_link")</f>
        <v>https://drive.google.com/drive/folders/10T2cTQHqEJZqE-st6uFKPoI?usp=share_link</v>
      </c>
      <c r="P2451" s="6" t="str">
        <f>IFERROR(__xludf.DUMMYFUNCTION("""COMPUTED_VALUE"""),"Abel Hovater")</f>
        <v>Abel Hovater</v>
      </c>
      <c r="Q2451" s="6" t="str">
        <f>IFERROR(__xludf.DUMMYFUNCTION("""COMPUTED_VALUE"""),"MS")</f>
        <v>MS</v>
      </c>
      <c r="R2451" s="6">
        <f>IFERROR(__xludf.DUMMYFUNCTION("""COMPUTED_VALUE"""),0.0)</f>
        <v>0</v>
      </c>
      <c r="S2451" s="6" t="str">
        <f>IFERROR(__xludf.DUMMYFUNCTION("""COMPUTED_VALUE""")," ")</f>
        <v> </v>
      </c>
      <c r="T2451" s="6" t="str">
        <f>IFERROR(__xludf.DUMMYFUNCTION("""COMPUTED_VALUE"""),"")</f>
        <v/>
      </c>
      <c r="U2451" s="6" t="str">
        <f>IFERROR(__xludf.DUMMYFUNCTION("""COMPUTED_VALUE"""),"6")</f>
        <v>6</v>
      </c>
      <c r="V2451" s="6" t="str">
        <f>IFERROR(__xludf.DUMMYFUNCTION("""COMPUTED_VALUE"""),"")</f>
        <v/>
      </c>
      <c r="W2451" s="6" t="str">
        <f>IFERROR(__xludf.DUMMYFUNCTION("""COMPUTED_VALUE"""),"[]")</f>
        <v>[]</v>
      </c>
      <c r="X2451" s="6" t="str">
        <f>IFERROR(__xludf.DUMMYFUNCTION("""COMPUTED_VALUE"""),"Enrolled")</f>
        <v>Enrolled</v>
      </c>
    </row>
    <row r="2452">
      <c r="A2452" s="6" t="str">
        <f>IFERROR(__xludf.DUMMYFUNCTION("""COMPUTED_VALUE"""),"040-7942")</f>
        <v>040-7942</v>
      </c>
      <c r="B2452" s="6" t="str">
        <f>IFERROR(__xludf.DUMMYFUNCTION("""COMPUTED_VALUE"""),"40")</f>
        <v>40</v>
      </c>
      <c r="C2452" s="6" t="str">
        <f>IFERROR(__xludf.DUMMYFUNCTION("""COMPUTED_VALUE"""),"7942")</f>
        <v>7942</v>
      </c>
      <c r="D2452" s="6" t="str">
        <f>IFERROR(__xludf.DUMMYFUNCTION("""COMPUTED_VALUE"""),"Journie")</f>
        <v>Journie</v>
      </c>
      <c r="E2452" s="6" t="str">
        <f>IFERROR(__xludf.DUMMYFUNCTION("""COMPUTED_VALUE"""),"")</f>
        <v/>
      </c>
      <c r="F2452" s="6" t="str">
        <f>IFERROR(__xludf.DUMMYFUNCTION("""COMPUTED_VALUE"""),"Stewart")</f>
        <v>Stewart</v>
      </c>
      <c r="G2452" s="6" t="str">
        <f>IFERROR(__xludf.DUMMYFUNCTION("""COMPUTED_VALUE"""),"10/31/2013")</f>
        <v>10/31/2013</v>
      </c>
      <c r="H2452" s="6" t="str">
        <f>IFERROR(__xludf.DUMMYFUNCTION("""COMPUTED_VALUE"""),"Self Identify")</f>
        <v>Self Identify</v>
      </c>
      <c r="I2452" s="6" t="str">
        <f>IFERROR(__xludf.DUMMYFUNCTION("""COMPUTED_VALUE"""),"Middle School")</f>
        <v>Middle School</v>
      </c>
      <c r="J2452" s="6" t="str">
        <f>IFERROR(__xludf.DUMMYFUNCTION("""COMPUTED_VALUE"""),"6")</f>
        <v>6</v>
      </c>
      <c r="K2452" s="6" t="str">
        <f>IFERROR(__xludf.DUMMYFUNCTION("""COMPUTED_VALUE"""),"journie.stewart@unbound.school")</f>
        <v>journie.stewart@unbound.school</v>
      </c>
      <c r="L2452" s="6" t="str">
        <f>IFERROR(__xludf.DUMMYFUNCTION("""COMPUTED_VALUE"""),"Unbound Academy")</f>
        <v>Unbound Academy</v>
      </c>
      <c r="M2452" s="6" t="str">
        <f>IFERROR(__xludf.DUMMYFUNCTION("""COMPUTED_VALUE"""),"")</f>
        <v/>
      </c>
      <c r="N2452" s="6" t="str">
        <f>IFERROR(__xludf.DUMMYFUNCTION("""COMPUTED_VALUE"""),"")</f>
        <v/>
      </c>
      <c r="O2452" s="87" t="str">
        <f>IFERROR(__xludf.DUMMYFUNCTION("""COMPUTED_VALUE"""),"https://drive.google.com/drive/folders/10T2cTQHqEJZqE-st6uFKPoI?usp=share_link")</f>
        <v>https://drive.google.com/drive/folders/10T2cTQHqEJZqE-st6uFKPoI?usp=share_link</v>
      </c>
      <c r="P2452" s="6" t="str">
        <f>IFERROR(__xludf.DUMMYFUNCTION("""COMPUTED_VALUE"""),"Journie Stewart")</f>
        <v>Journie Stewart</v>
      </c>
      <c r="Q2452" s="6" t="str">
        <f>IFERROR(__xludf.DUMMYFUNCTION("""COMPUTED_VALUE"""),"MS")</f>
        <v>MS</v>
      </c>
      <c r="R2452" s="6">
        <f>IFERROR(__xludf.DUMMYFUNCTION("""COMPUTED_VALUE"""),0.0)</f>
        <v>0</v>
      </c>
      <c r="S2452" s="6" t="str">
        <f>IFERROR(__xludf.DUMMYFUNCTION("""COMPUTED_VALUE""")," ")</f>
        <v> </v>
      </c>
      <c r="T2452" s="6" t="str">
        <f>IFERROR(__xludf.DUMMYFUNCTION("""COMPUTED_VALUE"""),"")</f>
        <v/>
      </c>
      <c r="U2452" s="6" t="str">
        <f>IFERROR(__xludf.DUMMYFUNCTION("""COMPUTED_VALUE"""),"6")</f>
        <v>6</v>
      </c>
      <c r="V2452" s="6" t="str">
        <f>IFERROR(__xludf.DUMMYFUNCTION("""COMPUTED_VALUE"""),"")</f>
        <v/>
      </c>
      <c r="W2452" s="6" t="str">
        <f>IFERROR(__xludf.DUMMYFUNCTION("""COMPUTED_VALUE"""),"[]")</f>
        <v>[]</v>
      </c>
      <c r="X2452" s="6" t="str">
        <f>IFERROR(__xludf.DUMMYFUNCTION("""COMPUTED_VALUE"""),"Enrolled")</f>
        <v>Enrolled</v>
      </c>
    </row>
    <row r="2453">
      <c r="A2453" s="6" t="str">
        <f>IFERROR(__xludf.DUMMYFUNCTION("""COMPUTED_VALUE"""),"040-8017")</f>
        <v>040-8017</v>
      </c>
      <c r="B2453" s="6" t="str">
        <f>IFERROR(__xludf.DUMMYFUNCTION("""COMPUTED_VALUE"""),"40")</f>
        <v>40</v>
      </c>
      <c r="C2453" s="6" t="str">
        <f>IFERROR(__xludf.DUMMYFUNCTION("""COMPUTED_VALUE"""),"8017")</f>
        <v>8017</v>
      </c>
      <c r="D2453" s="6" t="str">
        <f>IFERROR(__xludf.DUMMYFUNCTION("""COMPUTED_VALUE"""),"Kanaan")</f>
        <v>Kanaan</v>
      </c>
      <c r="E2453" s="6" t="str">
        <f>IFERROR(__xludf.DUMMYFUNCTION("""COMPUTED_VALUE"""),"")</f>
        <v/>
      </c>
      <c r="F2453" s="6" t="str">
        <f>IFERROR(__xludf.DUMMYFUNCTION("""COMPUTED_VALUE"""),"Lerma-Martinez")</f>
        <v>Lerma-Martinez</v>
      </c>
      <c r="G2453" s="6" t="str">
        <f>IFERROR(__xludf.DUMMYFUNCTION("""COMPUTED_VALUE"""),"08/15/2016")</f>
        <v>08/15/2016</v>
      </c>
      <c r="H2453" s="6" t="str">
        <f>IFERROR(__xludf.DUMMYFUNCTION("""COMPUTED_VALUE"""),"Self Identify")</f>
        <v>Self Identify</v>
      </c>
      <c r="I2453" s="6" t="str">
        <f>IFERROR(__xludf.DUMMYFUNCTION("""COMPUTED_VALUE"""),"Level 2")</f>
        <v>Level 2</v>
      </c>
      <c r="J2453" s="6" t="str">
        <f>IFERROR(__xludf.DUMMYFUNCTION("""COMPUTED_VALUE"""),"4")</f>
        <v>4</v>
      </c>
      <c r="K2453" s="6" t="str">
        <f>IFERROR(__xludf.DUMMYFUNCTION("""COMPUTED_VALUE"""),"kanaan.lerma-martinez@unbound.school")</f>
        <v>kanaan.lerma-martinez@unbound.school</v>
      </c>
      <c r="L2453" s="6" t="str">
        <f>IFERROR(__xludf.DUMMYFUNCTION("""COMPUTED_VALUE"""),"Unbound Academy")</f>
        <v>Unbound Academy</v>
      </c>
      <c r="M2453" s="6" t="str">
        <f>IFERROR(__xludf.DUMMYFUNCTION("""COMPUTED_VALUE"""),"")</f>
        <v/>
      </c>
      <c r="N2453" s="6" t="str">
        <f>IFERROR(__xludf.DUMMYFUNCTION("""COMPUTED_VALUE"""),"")</f>
        <v/>
      </c>
      <c r="O2453" s="87" t="str">
        <f>IFERROR(__xludf.DUMMYFUNCTION("""COMPUTED_VALUE"""),"https://drive.google.com/drive/folders/10T2cTQHqEJZqE-st6uFKPoI?usp=share_link")</f>
        <v>https://drive.google.com/drive/folders/10T2cTQHqEJZqE-st6uFKPoI?usp=share_link</v>
      </c>
      <c r="P2453" s="6" t="str">
        <f>IFERROR(__xludf.DUMMYFUNCTION("""COMPUTED_VALUE"""),"Kanaan Lerma-Martinez")</f>
        <v>Kanaan Lerma-Martinez</v>
      </c>
      <c r="Q2453" s="6" t="str">
        <f>IFERROR(__xludf.DUMMYFUNCTION("""COMPUTED_VALUE"""),"L2")</f>
        <v>L2</v>
      </c>
      <c r="R2453" s="6">
        <f>IFERROR(__xludf.DUMMYFUNCTION("""COMPUTED_VALUE"""),2.0)</f>
        <v>2</v>
      </c>
      <c r="S2453" s="6" t="str">
        <f>IFERROR(__xludf.DUMMYFUNCTION("""COMPUTED_VALUE""")," ")</f>
        <v> </v>
      </c>
      <c r="T2453" s="6" t="str">
        <f>IFERROR(__xludf.DUMMYFUNCTION("""COMPUTED_VALUE"""),"")</f>
        <v/>
      </c>
      <c r="U2453" s="6" t="str">
        <f>IFERROR(__xludf.DUMMYFUNCTION("""COMPUTED_VALUE"""),"4")</f>
        <v>4</v>
      </c>
      <c r="V2453" s="6" t="str">
        <f>IFERROR(__xludf.DUMMYFUNCTION("""COMPUTED_VALUE"""),"")</f>
        <v/>
      </c>
      <c r="W2453" s="6" t="str">
        <f>IFERROR(__xludf.DUMMYFUNCTION("""COMPUTED_VALUE"""),"[]")</f>
        <v>[]</v>
      </c>
      <c r="X2453" s="6" t="str">
        <f>IFERROR(__xludf.DUMMYFUNCTION("""COMPUTED_VALUE"""),"Enrolled")</f>
        <v>Enrolled</v>
      </c>
    </row>
    <row r="2454">
      <c r="A2454" s="6" t="str">
        <f>IFERROR(__xludf.DUMMYFUNCTION("""COMPUTED_VALUE"""),"040-8052")</f>
        <v>040-8052</v>
      </c>
      <c r="B2454" s="6" t="str">
        <f>IFERROR(__xludf.DUMMYFUNCTION("""COMPUTED_VALUE"""),"40")</f>
        <v>40</v>
      </c>
      <c r="C2454" s="6" t="str">
        <f>IFERROR(__xludf.DUMMYFUNCTION("""COMPUTED_VALUE"""),"8052")</f>
        <v>8052</v>
      </c>
      <c r="D2454" s="6" t="str">
        <f>IFERROR(__xludf.DUMMYFUNCTION("""COMPUTED_VALUE"""),"James")</f>
        <v>James</v>
      </c>
      <c r="E2454" s="6" t="str">
        <f>IFERROR(__xludf.DUMMYFUNCTION("""COMPUTED_VALUE"""),"")</f>
        <v/>
      </c>
      <c r="F2454" s="6" t="str">
        <f>IFERROR(__xludf.DUMMYFUNCTION("""COMPUTED_VALUE"""),"Edwards")</f>
        <v>Edwards</v>
      </c>
      <c r="G2454" s="6" t="str">
        <f>IFERROR(__xludf.DUMMYFUNCTION("""COMPUTED_VALUE"""),"09/07/2011")</f>
        <v>09/07/2011</v>
      </c>
      <c r="H2454" s="6" t="str">
        <f>IFERROR(__xludf.DUMMYFUNCTION("""COMPUTED_VALUE"""),"Self Identify")</f>
        <v>Self Identify</v>
      </c>
      <c r="I2454" s="6" t="str">
        <f>IFERROR(__xludf.DUMMYFUNCTION("""COMPUTED_VALUE"""),"Middle School")</f>
        <v>Middle School</v>
      </c>
      <c r="J2454" s="6" t="str">
        <f>IFERROR(__xludf.DUMMYFUNCTION("""COMPUTED_VALUE"""),"8")</f>
        <v>8</v>
      </c>
      <c r="K2454" s="6" t="str">
        <f>IFERROR(__xludf.DUMMYFUNCTION("""COMPUTED_VALUE"""),"james.edwards@unbound.school")</f>
        <v>james.edwards@unbound.school</v>
      </c>
      <c r="L2454" s="6" t="str">
        <f>IFERROR(__xludf.DUMMYFUNCTION("""COMPUTED_VALUE"""),"Unbound Academy")</f>
        <v>Unbound Academy</v>
      </c>
      <c r="M2454" s="6" t="str">
        <f>IFERROR(__xludf.DUMMYFUNCTION("""COMPUTED_VALUE"""),"")</f>
        <v/>
      </c>
      <c r="N2454" s="6" t="str">
        <f>IFERROR(__xludf.DUMMYFUNCTION("""COMPUTED_VALUE"""),"")</f>
        <v/>
      </c>
      <c r="O2454" s="87" t="str">
        <f>IFERROR(__xludf.DUMMYFUNCTION("""COMPUTED_VALUE"""),"https://drive.google.com/drive/folders/10T2cTQHqEJZqE-st6uFKPoI?usp=share_link")</f>
        <v>https://drive.google.com/drive/folders/10T2cTQHqEJZqE-st6uFKPoI?usp=share_link</v>
      </c>
      <c r="P2454" s="6" t="str">
        <f>IFERROR(__xludf.DUMMYFUNCTION("""COMPUTED_VALUE"""),"James Edwards")</f>
        <v>James Edwards</v>
      </c>
      <c r="Q2454" s="6" t="str">
        <f>IFERROR(__xludf.DUMMYFUNCTION("""COMPUTED_VALUE"""),"MS")</f>
        <v>MS</v>
      </c>
      <c r="R2454" s="6">
        <f>IFERROR(__xludf.DUMMYFUNCTION("""COMPUTED_VALUE"""),0.0)</f>
        <v>0</v>
      </c>
      <c r="S2454" s="6" t="str">
        <f>IFERROR(__xludf.DUMMYFUNCTION("""COMPUTED_VALUE""")," ")</f>
        <v> </v>
      </c>
      <c r="T2454" s="6" t="str">
        <f>IFERROR(__xludf.DUMMYFUNCTION("""COMPUTED_VALUE"""),"")</f>
        <v/>
      </c>
      <c r="U2454" s="6" t="str">
        <f>IFERROR(__xludf.DUMMYFUNCTION("""COMPUTED_VALUE"""),"8")</f>
        <v>8</v>
      </c>
      <c r="V2454" s="6" t="str">
        <f>IFERROR(__xludf.DUMMYFUNCTION("""COMPUTED_VALUE"""),"")</f>
        <v/>
      </c>
      <c r="W2454" s="6" t="str">
        <f>IFERROR(__xludf.DUMMYFUNCTION("""COMPUTED_VALUE"""),"[]")</f>
        <v>[]</v>
      </c>
      <c r="X2454" s="6" t="str">
        <f>IFERROR(__xludf.DUMMYFUNCTION("""COMPUTED_VALUE"""),"Enrolled")</f>
        <v>Enrolled</v>
      </c>
    </row>
    <row r="2455">
      <c r="A2455" s="6" t="str">
        <f>IFERROR(__xludf.DUMMYFUNCTION("""COMPUTED_VALUE"""),"040-8081")</f>
        <v>040-8081</v>
      </c>
      <c r="B2455" s="6" t="str">
        <f>IFERROR(__xludf.DUMMYFUNCTION("""COMPUTED_VALUE"""),"40")</f>
        <v>40</v>
      </c>
      <c r="C2455" s="6" t="str">
        <f>IFERROR(__xludf.DUMMYFUNCTION("""COMPUTED_VALUE"""),"8081")</f>
        <v>8081</v>
      </c>
      <c r="D2455" s="6" t="str">
        <f>IFERROR(__xludf.DUMMYFUNCTION("""COMPUTED_VALUE"""),"Fifth")</f>
        <v>Fifth</v>
      </c>
      <c r="E2455" s="6" t="str">
        <f>IFERROR(__xludf.DUMMYFUNCTION("""COMPUTED_VALUE"""),"")</f>
        <v/>
      </c>
      <c r="F2455" s="6" t="str">
        <f>IFERROR(__xludf.DUMMYFUNCTION("""COMPUTED_VALUE"""),"Grader")</f>
        <v>Grader</v>
      </c>
      <c r="G2455" s="6" t="str">
        <f>IFERROR(__xludf.DUMMYFUNCTION("""COMPUTED_VALUE"""),"01/01/2015")</f>
        <v>01/01/2015</v>
      </c>
      <c r="H2455" s="6" t="str">
        <f>IFERROR(__xludf.DUMMYFUNCTION("""COMPUTED_VALUE"""),"Self Identify")</f>
        <v>Self Identify</v>
      </c>
      <c r="I2455" s="6" t="str">
        <f>IFERROR(__xludf.DUMMYFUNCTION("""COMPUTED_VALUE"""),"Level 2")</f>
        <v>Level 2</v>
      </c>
      <c r="J2455" s="6" t="str">
        <f>IFERROR(__xludf.DUMMYFUNCTION("""COMPUTED_VALUE"""),"5")</f>
        <v>5</v>
      </c>
      <c r="K2455" s="6" t="str">
        <f>IFERROR(__xludf.DUMMYFUNCTION("""COMPUTED_VALUE"""),"fifth.grader@unbound.school")</f>
        <v>fifth.grader@unbound.school</v>
      </c>
      <c r="L2455" s="6" t="str">
        <f>IFERROR(__xludf.DUMMYFUNCTION("""COMPUTED_VALUE"""),"Unbound Academy")</f>
        <v>Unbound Academy</v>
      </c>
      <c r="M2455" s="6" t="str">
        <f>IFERROR(__xludf.DUMMYFUNCTION("""COMPUTED_VALUE"""),"Mock")</f>
        <v>Mock</v>
      </c>
      <c r="N2455" s="6" t="str">
        <f>IFERROR(__xludf.DUMMYFUNCTION("""COMPUTED_VALUE"""),"")</f>
        <v/>
      </c>
      <c r="O2455" s="87" t="str">
        <f>IFERROR(__xludf.DUMMYFUNCTION("""COMPUTED_VALUE"""),"https://drive.google.com/drive/folders/10T2cTQHqEJZqE-st6uFKPoI?usp=share_link")</f>
        <v>https://drive.google.com/drive/folders/10T2cTQHqEJZqE-st6uFKPoI?usp=share_link</v>
      </c>
      <c r="P2455" s="6" t="str">
        <f>IFERROR(__xludf.DUMMYFUNCTION("""COMPUTED_VALUE"""),"Fifth Grader")</f>
        <v>Fifth Grader</v>
      </c>
      <c r="Q2455" s="6" t="str">
        <f>IFERROR(__xludf.DUMMYFUNCTION("""COMPUTED_VALUE"""),"L2")</f>
        <v>L2</v>
      </c>
      <c r="R2455" s="6">
        <f>IFERROR(__xludf.DUMMYFUNCTION("""COMPUTED_VALUE"""),2.0)</f>
        <v>2</v>
      </c>
      <c r="S2455" s="6" t="str">
        <f>IFERROR(__xludf.DUMMYFUNCTION("""COMPUTED_VALUE""")," ")</f>
        <v> </v>
      </c>
      <c r="T2455" s="6" t="str">
        <f>IFERROR(__xludf.DUMMYFUNCTION("""COMPUTED_VALUE"""),"")</f>
        <v/>
      </c>
      <c r="U2455" s="6" t="str">
        <f>IFERROR(__xludf.DUMMYFUNCTION("""COMPUTED_VALUE"""),"5")</f>
        <v>5</v>
      </c>
      <c r="V2455" s="6" t="str">
        <f>IFERROR(__xludf.DUMMYFUNCTION("""COMPUTED_VALUE"""),"")</f>
        <v/>
      </c>
      <c r="W2455" s="6" t="str">
        <f>IFERROR(__xludf.DUMMYFUNCTION("""COMPUTED_VALUE"""),"[]")</f>
        <v>[]</v>
      </c>
      <c r="X2455" s="6" t="str">
        <f>IFERROR(__xludf.DUMMYFUNCTION("""COMPUTED_VALUE"""),"Enrolled")</f>
        <v>Enrolled</v>
      </c>
    </row>
    <row r="2456">
      <c r="A2456" s="6" t="str">
        <f>IFERROR(__xludf.DUMMYFUNCTION("""COMPUTED_VALUE"""),"040-8085")</f>
        <v>040-8085</v>
      </c>
      <c r="B2456" s="6" t="str">
        <f>IFERROR(__xludf.DUMMYFUNCTION("""COMPUTED_VALUE"""),"40")</f>
        <v>40</v>
      </c>
      <c r="C2456" s="6" t="str">
        <f>IFERROR(__xludf.DUMMYFUNCTION("""COMPUTED_VALUE"""),"8085")</f>
        <v>8085</v>
      </c>
      <c r="D2456" s="6" t="str">
        <f>IFERROR(__xludf.DUMMYFUNCTION("""COMPUTED_VALUE"""),"Kinder")</f>
        <v>Kinder</v>
      </c>
      <c r="E2456" s="6" t="str">
        <f>IFERROR(__xludf.DUMMYFUNCTION("""COMPUTED_VALUE"""),"")</f>
        <v/>
      </c>
      <c r="F2456" s="6" t="str">
        <f>IFERROR(__xludf.DUMMYFUNCTION("""COMPUTED_VALUE"""),"Gartner")</f>
        <v>Gartner</v>
      </c>
      <c r="G2456" s="6" t="str">
        <f>IFERROR(__xludf.DUMMYFUNCTION("""COMPUTED_VALUE"""),"01/01/2015")</f>
        <v>01/01/2015</v>
      </c>
      <c r="H2456" s="6" t="str">
        <f>IFERROR(__xludf.DUMMYFUNCTION("""COMPUTED_VALUE"""),"Self Identify")</f>
        <v>Self Identify</v>
      </c>
      <c r="I2456" s="6" t="str">
        <f>IFERROR(__xludf.DUMMYFUNCTION("""COMPUTED_VALUE"""),"Learning Lab")</f>
        <v>Learning Lab</v>
      </c>
      <c r="J2456" s="6" t="str">
        <f>IFERROR(__xludf.DUMMYFUNCTION("""COMPUTED_VALUE"""),"K")</f>
        <v>K</v>
      </c>
      <c r="K2456" s="6" t="str">
        <f>IFERROR(__xludf.DUMMYFUNCTION("""COMPUTED_VALUE"""),"kindergartner@unbound.school")</f>
        <v>kindergartner@unbound.school</v>
      </c>
      <c r="L2456" s="6" t="str">
        <f>IFERROR(__xludf.DUMMYFUNCTION("""COMPUTED_VALUE"""),"Unbound Academy")</f>
        <v>Unbound Academy</v>
      </c>
      <c r="M2456" s="6" t="str">
        <f>IFERROR(__xludf.DUMMYFUNCTION("""COMPUTED_VALUE"""),"")</f>
        <v/>
      </c>
      <c r="N2456" s="6" t="str">
        <f>IFERROR(__xludf.DUMMYFUNCTION("""COMPUTED_VALUE"""),"")</f>
        <v/>
      </c>
      <c r="O2456" s="87" t="str">
        <f>IFERROR(__xludf.DUMMYFUNCTION("""COMPUTED_VALUE"""),"https://drive.google.com/drive/folders/10T2cTQHqEJZqE-st6uFKPoI?usp=share_link")</f>
        <v>https://drive.google.com/drive/folders/10T2cTQHqEJZqE-st6uFKPoI?usp=share_link</v>
      </c>
      <c r="P2456" s="6" t="str">
        <f>IFERROR(__xludf.DUMMYFUNCTION("""COMPUTED_VALUE"""),"Kinder Gartner")</f>
        <v>Kinder Gartner</v>
      </c>
      <c r="Q2456" s="6" t="str">
        <f>IFERROR(__xludf.DUMMYFUNCTION("""COMPUTED_VALUE"""),"LL")</f>
        <v>LL</v>
      </c>
      <c r="R2456" s="6">
        <f>IFERROR(__xludf.DUMMYFUNCTION("""COMPUTED_VALUE"""),0.0)</f>
        <v>0</v>
      </c>
      <c r="S2456" s="6" t="str">
        <f>IFERROR(__xludf.DUMMYFUNCTION("""COMPUTED_VALUE""")," ")</f>
        <v> </v>
      </c>
      <c r="T2456" s="6" t="str">
        <f>IFERROR(__xludf.DUMMYFUNCTION("""COMPUTED_VALUE"""),"")</f>
        <v/>
      </c>
      <c r="U2456" s="6" t="str">
        <f>IFERROR(__xludf.DUMMYFUNCTION("""COMPUTED_VALUE"""),"K")</f>
        <v>K</v>
      </c>
      <c r="V2456" s="6" t="str">
        <f>IFERROR(__xludf.DUMMYFUNCTION("""COMPUTED_VALUE"""),"English")</f>
        <v>English</v>
      </c>
      <c r="W2456" s="6" t="str">
        <f>IFERROR(__xludf.DUMMYFUNCTION("""COMPUTED_VALUE"""),"[]")</f>
        <v>[]</v>
      </c>
      <c r="X2456" s="6" t="str">
        <f>IFERROR(__xludf.DUMMYFUNCTION("""COMPUTED_VALUE"""),"Enrolled")</f>
        <v>Enrolled</v>
      </c>
    </row>
    <row r="2457">
      <c r="A2457" s="6" t="str">
        <f>IFERROR(__xludf.DUMMYFUNCTION("""COMPUTED_VALUE"""),"040-8086")</f>
        <v>040-8086</v>
      </c>
      <c r="B2457" s="6" t="str">
        <f>IFERROR(__xludf.DUMMYFUNCTION("""COMPUTED_VALUE"""),"40")</f>
        <v>40</v>
      </c>
      <c r="C2457" s="6" t="str">
        <f>IFERROR(__xludf.DUMMYFUNCTION("""COMPUTED_VALUE"""),"8086")</f>
        <v>8086</v>
      </c>
      <c r="D2457" s="6" t="str">
        <f>IFERROR(__xludf.DUMMYFUNCTION("""COMPUTED_VALUE"""),"First")</f>
        <v>First</v>
      </c>
      <c r="E2457" s="6" t="str">
        <f>IFERROR(__xludf.DUMMYFUNCTION("""COMPUTED_VALUE"""),"")</f>
        <v/>
      </c>
      <c r="F2457" s="6" t="str">
        <f>IFERROR(__xludf.DUMMYFUNCTION("""COMPUTED_VALUE"""),"Grader")</f>
        <v>Grader</v>
      </c>
      <c r="G2457" s="6" t="str">
        <f>IFERROR(__xludf.DUMMYFUNCTION("""COMPUTED_VALUE"""),"01/01/2015")</f>
        <v>01/01/2015</v>
      </c>
      <c r="H2457" s="6" t="str">
        <f>IFERROR(__xludf.DUMMYFUNCTION("""COMPUTED_VALUE"""),"Self Identify")</f>
        <v>Self Identify</v>
      </c>
      <c r="I2457" s="6" t="str">
        <f>IFERROR(__xludf.DUMMYFUNCTION("""COMPUTED_VALUE"""),"Learning Lab")</f>
        <v>Learning Lab</v>
      </c>
      <c r="J2457" s="6" t="str">
        <f>IFERROR(__xludf.DUMMYFUNCTION("""COMPUTED_VALUE"""),"1")</f>
        <v>1</v>
      </c>
      <c r="K2457" s="6" t="str">
        <f>IFERROR(__xludf.DUMMYFUNCTION("""COMPUTED_VALUE"""),"first.grader@unbound.school")</f>
        <v>first.grader@unbound.school</v>
      </c>
      <c r="L2457" s="6" t="str">
        <f>IFERROR(__xludf.DUMMYFUNCTION("""COMPUTED_VALUE"""),"Unbound Academy")</f>
        <v>Unbound Academy</v>
      </c>
      <c r="M2457" s="6" t="str">
        <f>IFERROR(__xludf.DUMMYFUNCTION("""COMPUTED_VALUE"""),"")</f>
        <v/>
      </c>
      <c r="N2457" s="6" t="str">
        <f>IFERROR(__xludf.DUMMYFUNCTION("""COMPUTED_VALUE"""),"")</f>
        <v/>
      </c>
      <c r="O2457" s="87" t="str">
        <f>IFERROR(__xludf.DUMMYFUNCTION("""COMPUTED_VALUE"""),"https://drive.google.com/drive/folders/10T2cTQHqEJZqE-st6uFKPoI?usp=share_link")</f>
        <v>https://drive.google.com/drive/folders/10T2cTQHqEJZqE-st6uFKPoI?usp=share_link</v>
      </c>
      <c r="P2457" s="6" t="str">
        <f>IFERROR(__xludf.DUMMYFUNCTION("""COMPUTED_VALUE"""),"First Grader")</f>
        <v>First Grader</v>
      </c>
      <c r="Q2457" s="6" t="str">
        <f>IFERROR(__xludf.DUMMYFUNCTION("""COMPUTED_VALUE"""),"LL")</f>
        <v>LL</v>
      </c>
      <c r="R2457" s="6">
        <f>IFERROR(__xludf.DUMMYFUNCTION("""COMPUTED_VALUE"""),0.0)</f>
        <v>0</v>
      </c>
      <c r="S2457" s="6" t="str">
        <f>IFERROR(__xludf.DUMMYFUNCTION("""COMPUTED_VALUE""")," ")</f>
        <v> </v>
      </c>
      <c r="T2457" s="6" t="str">
        <f>IFERROR(__xludf.DUMMYFUNCTION("""COMPUTED_VALUE"""),"")</f>
        <v/>
      </c>
      <c r="U2457" s="6" t="str">
        <f>IFERROR(__xludf.DUMMYFUNCTION("""COMPUTED_VALUE"""),"1")</f>
        <v>1</v>
      </c>
      <c r="V2457" s="6" t="str">
        <f>IFERROR(__xludf.DUMMYFUNCTION("""COMPUTED_VALUE"""),"English")</f>
        <v>English</v>
      </c>
      <c r="W2457" s="6" t="str">
        <f>IFERROR(__xludf.DUMMYFUNCTION("""COMPUTED_VALUE"""),"[]")</f>
        <v>[]</v>
      </c>
      <c r="X2457" s="6" t="str">
        <f>IFERROR(__xludf.DUMMYFUNCTION("""COMPUTED_VALUE"""),"Enrolled")</f>
        <v>Enrolled</v>
      </c>
    </row>
    <row r="2458">
      <c r="A2458" s="6" t="str">
        <f>IFERROR(__xludf.DUMMYFUNCTION("""COMPUTED_VALUE"""),"040-8087")</f>
        <v>040-8087</v>
      </c>
      <c r="B2458" s="6" t="str">
        <f>IFERROR(__xludf.DUMMYFUNCTION("""COMPUTED_VALUE"""),"40")</f>
        <v>40</v>
      </c>
      <c r="C2458" s="6" t="str">
        <f>IFERROR(__xludf.DUMMYFUNCTION("""COMPUTED_VALUE"""),"8087")</f>
        <v>8087</v>
      </c>
      <c r="D2458" s="6" t="str">
        <f>IFERROR(__xludf.DUMMYFUNCTION("""COMPUTED_VALUE"""),"Second")</f>
        <v>Second</v>
      </c>
      <c r="E2458" s="6" t="str">
        <f>IFERROR(__xludf.DUMMYFUNCTION("""COMPUTED_VALUE"""),"")</f>
        <v/>
      </c>
      <c r="F2458" s="6" t="str">
        <f>IFERROR(__xludf.DUMMYFUNCTION("""COMPUTED_VALUE"""),"Grader")</f>
        <v>Grader</v>
      </c>
      <c r="G2458" s="6" t="str">
        <f>IFERROR(__xludf.DUMMYFUNCTION("""COMPUTED_VALUE"""),"01/01/2015")</f>
        <v>01/01/2015</v>
      </c>
      <c r="H2458" s="6" t="str">
        <f>IFERROR(__xludf.DUMMYFUNCTION("""COMPUTED_VALUE"""),"Self Identify")</f>
        <v>Self Identify</v>
      </c>
      <c r="I2458" s="6" t="str">
        <f>IFERROR(__xludf.DUMMYFUNCTION("""COMPUTED_VALUE"""),"Level 1")</f>
        <v>Level 1</v>
      </c>
      <c r="J2458" s="6" t="str">
        <f>IFERROR(__xludf.DUMMYFUNCTION("""COMPUTED_VALUE"""),"2")</f>
        <v>2</v>
      </c>
      <c r="K2458" s="6" t="str">
        <f>IFERROR(__xludf.DUMMYFUNCTION("""COMPUTED_VALUE"""),"second.grader@unbound.school")</f>
        <v>second.grader@unbound.school</v>
      </c>
      <c r="L2458" s="6" t="str">
        <f>IFERROR(__xludf.DUMMYFUNCTION("""COMPUTED_VALUE"""),"Unbound Academy")</f>
        <v>Unbound Academy</v>
      </c>
      <c r="M2458" s="6" t="str">
        <f>IFERROR(__xludf.DUMMYFUNCTION("""COMPUTED_VALUE"""),"")</f>
        <v/>
      </c>
      <c r="N2458" s="6" t="str">
        <f>IFERROR(__xludf.DUMMYFUNCTION("""COMPUTED_VALUE"""),"")</f>
        <v/>
      </c>
      <c r="O2458" s="87" t="str">
        <f>IFERROR(__xludf.DUMMYFUNCTION("""COMPUTED_VALUE"""),"https://drive.google.com/drive/folders/10T2cTQHqEJZqE-st6uFKPoI?usp=share_link")</f>
        <v>https://drive.google.com/drive/folders/10T2cTQHqEJZqE-st6uFKPoI?usp=share_link</v>
      </c>
      <c r="P2458" s="6" t="str">
        <f>IFERROR(__xludf.DUMMYFUNCTION("""COMPUTED_VALUE"""),"Second Grader")</f>
        <v>Second Grader</v>
      </c>
      <c r="Q2458" s="6" t="str">
        <f>IFERROR(__xludf.DUMMYFUNCTION("""COMPUTED_VALUE"""),"L1")</f>
        <v>L1</v>
      </c>
      <c r="R2458" s="6">
        <f>IFERROR(__xludf.DUMMYFUNCTION("""COMPUTED_VALUE"""),1.0)</f>
        <v>1</v>
      </c>
      <c r="S2458" s="6" t="str">
        <f>IFERROR(__xludf.DUMMYFUNCTION("""COMPUTED_VALUE""")," ")</f>
        <v> </v>
      </c>
      <c r="T2458" s="6" t="str">
        <f>IFERROR(__xludf.DUMMYFUNCTION("""COMPUTED_VALUE"""),"")</f>
        <v/>
      </c>
      <c r="U2458" s="6" t="str">
        <f>IFERROR(__xludf.DUMMYFUNCTION("""COMPUTED_VALUE"""),"2")</f>
        <v>2</v>
      </c>
      <c r="V2458" s="6" t="str">
        <f>IFERROR(__xludf.DUMMYFUNCTION("""COMPUTED_VALUE"""),"English")</f>
        <v>English</v>
      </c>
      <c r="W2458" s="6" t="str">
        <f>IFERROR(__xludf.DUMMYFUNCTION("""COMPUTED_VALUE"""),"[]")</f>
        <v>[]</v>
      </c>
      <c r="X2458" s="6" t="str">
        <f>IFERROR(__xludf.DUMMYFUNCTION("""COMPUTED_VALUE"""),"Enrolled")</f>
        <v>Enrolled</v>
      </c>
    </row>
    <row r="2459">
      <c r="A2459" s="6" t="str">
        <f>IFERROR(__xludf.DUMMYFUNCTION("""COMPUTED_VALUE"""),"040-8088")</f>
        <v>040-8088</v>
      </c>
      <c r="B2459" s="6" t="str">
        <f>IFERROR(__xludf.DUMMYFUNCTION("""COMPUTED_VALUE"""),"40")</f>
        <v>40</v>
      </c>
      <c r="C2459" s="6" t="str">
        <f>IFERROR(__xludf.DUMMYFUNCTION("""COMPUTED_VALUE"""),"8088")</f>
        <v>8088</v>
      </c>
      <c r="D2459" s="6" t="str">
        <f>IFERROR(__xludf.DUMMYFUNCTION("""COMPUTED_VALUE"""),"Third")</f>
        <v>Third</v>
      </c>
      <c r="E2459" s="6" t="str">
        <f>IFERROR(__xludf.DUMMYFUNCTION("""COMPUTED_VALUE"""),"")</f>
        <v/>
      </c>
      <c r="F2459" s="6" t="str">
        <f>IFERROR(__xludf.DUMMYFUNCTION("""COMPUTED_VALUE"""),"Grader")</f>
        <v>Grader</v>
      </c>
      <c r="G2459" s="6" t="str">
        <f>IFERROR(__xludf.DUMMYFUNCTION("""COMPUTED_VALUE"""),"01/01/2015")</f>
        <v>01/01/2015</v>
      </c>
      <c r="H2459" s="6" t="str">
        <f>IFERROR(__xludf.DUMMYFUNCTION("""COMPUTED_VALUE"""),"Self Identify")</f>
        <v>Self Identify</v>
      </c>
      <c r="I2459" s="6" t="str">
        <f>IFERROR(__xludf.DUMMYFUNCTION("""COMPUTED_VALUE"""),"Level 1")</f>
        <v>Level 1</v>
      </c>
      <c r="J2459" s="6" t="str">
        <f>IFERROR(__xludf.DUMMYFUNCTION("""COMPUTED_VALUE"""),"3")</f>
        <v>3</v>
      </c>
      <c r="K2459" s="6" t="str">
        <f>IFERROR(__xludf.DUMMYFUNCTION("""COMPUTED_VALUE"""),"third.grader@unbound.school")</f>
        <v>third.grader@unbound.school</v>
      </c>
      <c r="L2459" s="6" t="str">
        <f>IFERROR(__xludf.DUMMYFUNCTION("""COMPUTED_VALUE"""),"Unbound Academy")</f>
        <v>Unbound Academy</v>
      </c>
      <c r="M2459" s="6" t="str">
        <f>IFERROR(__xludf.DUMMYFUNCTION("""COMPUTED_VALUE"""),"")</f>
        <v/>
      </c>
      <c r="N2459" s="6" t="str">
        <f>IFERROR(__xludf.DUMMYFUNCTION("""COMPUTED_VALUE"""),"")</f>
        <v/>
      </c>
      <c r="O2459" s="87" t="str">
        <f>IFERROR(__xludf.DUMMYFUNCTION("""COMPUTED_VALUE"""),"https://drive.google.com/drive/folders/10T2cTQHqEJZqE-st6uFKPoI?usp=share_link")</f>
        <v>https://drive.google.com/drive/folders/10T2cTQHqEJZqE-st6uFKPoI?usp=share_link</v>
      </c>
      <c r="P2459" s="6" t="str">
        <f>IFERROR(__xludf.DUMMYFUNCTION("""COMPUTED_VALUE"""),"Third Grader")</f>
        <v>Third Grader</v>
      </c>
      <c r="Q2459" s="6" t="str">
        <f>IFERROR(__xludf.DUMMYFUNCTION("""COMPUTED_VALUE"""),"L1")</f>
        <v>L1</v>
      </c>
      <c r="R2459" s="6">
        <f>IFERROR(__xludf.DUMMYFUNCTION("""COMPUTED_VALUE"""),1.0)</f>
        <v>1</v>
      </c>
      <c r="S2459" s="6" t="str">
        <f>IFERROR(__xludf.DUMMYFUNCTION("""COMPUTED_VALUE""")," ")</f>
        <v> </v>
      </c>
      <c r="T2459" s="6" t="str">
        <f>IFERROR(__xludf.DUMMYFUNCTION("""COMPUTED_VALUE"""),"")</f>
        <v/>
      </c>
      <c r="U2459" s="6" t="str">
        <f>IFERROR(__xludf.DUMMYFUNCTION("""COMPUTED_VALUE"""),"3")</f>
        <v>3</v>
      </c>
      <c r="V2459" s="6" t="str">
        <f>IFERROR(__xludf.DUMMYFUNCTION("""COMPUTED_VALUE"""),"English")</f>
        <v>English</v>
      </c>
      <c r="W2459" s="6" t="str">
        <f>IFERROR(__xludf.DUMMYFUNCTION("""COMPUTED_VALUE"""),"[]")</f>
        <v>[]</v>
      </c>
      <c r="X2459" s="6" t="str">
        <f>IFERROR(__xludf.DUMMYFUNCTION("""COMPUTED_VALUE"""),"Enrolled")</f>
        <v>Enrolled</v>
      </c>
    </row>
    <row r="2460">
      <c r="A2460" s="6" t="str">
        <f>IFERROR(__xludf.DUMMYFUNCTION("""COMPUTED_VALUE"""),"040-8089")</f>
        <v>040-8089</v>
      </c>
      <c r="B2460" s="6" t="str">
        <f>IFERROR(__xludf.DUMMYFUNCTION("""COMPUTED_VALUE"""),"40")</f>
        <v>40</v>
      </c>
      <c r="C2460" s="6" t="str">
        <f>IFERROR(__xludf.DUMMYFUNCTION("""COMPUTED_VALUE"""),"8089")</f>
        <v>8089</v>
      </c>
      <c r="D2460" s="6" t="str">
        <f>IFERROR(__xludf.DUMMYFUNCTION("""COMPUTED_VALUE"""),"Fourth")</f>
        <v>Fourth</v>
      </c>
      <c r="E2460" s="6" t="str">
        <f>IFERROR(__xludf.DUMMYFUNCTION("""COMPUTED_VALUE"""),"")</f>
        <v/>
      </c>
      <c r="F2460" s="6" t="str">
        <f>IFERROR(__xludf.DUMMYFUNCTION("""COMPUTED_VALUE"""),"Grader")</f>
        <v>Grader</v>
      </c>
      <c r="G2460" s="6" t="str">
        <f>IFERROR(__xludf.DUMMYFUNCTION("""COMPUTED_VALUE"""),"01/01/2015")</f>
        <v>01/01/2015</v>
      </c>
      <c r="H2460" s="6" t="str">
        <f>IFERROR(__xludf.DUMMYFUNCTION("""COMPUTED_VALUE"""),"Self Identify")</f>
        <v>Self Identify</v>
      </c>
      <c r="I2460" s="6" t="str">
        <f>IFERROR(__xludf.DUMMYFUNCTION("""COMPUTED_VALUE"""),"Level 2")</f>
        <v>Level 2</v>
      </c>
      <c r="J2460" s="6" t="str">
        <f>IFERROR(__xludf.DUMMYFUNCTION("""COMPUTED_VALUE"""),"4")</f>
        <v>4</v>
      </c>
      <c r="K2460" s="6" t="str">
        <f>IFERROR(__xludf.DUMMYFUNCTION("""COMPUTED_VALUE"""),"fourth.grader@unbound.school")</f>
        <v>fourth.grader@unbound.school</v>
      </c>
      <c r="L2460" s="6" t="str">
        <f>IFERROR(__xludf.DUMMYFUNCTION("""COMPUTED_VALUE"""),"Unbound Academy")</f>
        <v>Unbound Academy</v>
      </c>
      <c r="M2460" s="6" t="str">
        <f>IFERROR(__xludf.DUMMYFUNCTION("""COMPUTED_VALUE"""),"")</f>
        <v/>
      </c>
      <c r="N2460" s="6" t="str">
        <f>IFERROR(__xludf.DUMMYFUNCTION("""COMPUTED_VALUE"""),"")</f>
        <v/>
      </c>
      <c r="O2460" s="87" t="str">
        <f>IFERROR(__xludf.DUMMYFUNCTION("""COMPUTED_VALUE"""),"https://drive.google.com/drive/folders/10T2cTQHqEJZqE-st6uFKPoI?usp=share_link")</f>
        <v>https://drive.google.com/drive/folders/10T2cTQHqEJZqE-st6uFKPoI?usp=share_link</v>
      </c>
      <c r="P2460" s="6" t="str">
        <f>IFERROR(__xludf.DUMMYFUNCTION("""COMPUTED_VALUE"""),"Fourth Grader")</f>
        <v>Fourth Grader</v>
      </c>
      <c r="Q2460" s="6" t="str">
        <f>IFERROR(__xludf.DUMMYFUNCTION("""COMPUTED_VALUE"""),"L2")</f>
        <v>L2</v>
      </c>
      <c r="R2460" s="6">
        <f>IFERROR(__xludf.DUMMYFUNCTION("""COMPUTED_VALUE"""),2.0)</f>
        <v>2</v>
      </c>
      <c r="S2460" s="6" t="str">
        <f>IFERROR(__xludf.DUMMYFUNCTION("""COMPUTED_VALUE""")," ")</f>
        <v> </v>
      </c>
      <c r="T2460" s="6" t="str">
        <f>IFERROR(__xludf.DUMMYFUNCTION("""COMPUTED_VALUE"""),"")</f>
        <v/>
      </c>
      <c r="U2460" s="6" t="str">
        <f>IFERROR(__xludf.DUMMYFUNCTION("""COMPUTED_VALUE"""),"4")</f>
        <v>4</v>
      </c>
      <c r="V2460" s="6" t="str">
        <f>IFERROR(__xludf.DUMMYFUNCTION("""COMPUTED_VALUE"""),"English")</f>
        <v>English</v>
      </c>
      <c r="W2460" s="6" t="str">
        <f>IFERROR(__xludf.DUMMYFUNCTION("""COMPUTED_VALUE"""),"[]")</f>
        <v>[]</v>
      </c>
      <c r="X2460" s="6" t="str">
        <f>IFERROR(__xludf.DUMMYFUNCTION("""COMPUTED_VALUE"""),"Enrolled")</f>
        <v>Enrolled</v>
      </c>
    </row>
    <row r="2461">
      <c r="A2461" s="6" t="str">
        <f>IFERROR(__xludf.DUMMYFUNCTION("""COMPUTED_VALUE"""),"040-8180")</f>
        <v>040-8180</v>
      </c>
      <c r="B2461" s="6" t="str">
        <f>IFERROR(__xludf.DUMMYFUNCTION("""COMPUTED_VALUE"""),"40")</f>
        <v>40</v>
      </c>
      <c r="C2461" s="6" t="str">
        <f>IFERROR(__xludf.DUMMYFUNCTION("""COMPUTED_VALUE"""),"8180")</f>
        <v>8180</v>
      </c>
      <c r="D2461" s="6" t="str">
        <f>IFERROR(__xludf.DUMMYFUNCTION("""COMPUTED_VALUE"""),"Mollee")</f>
        <v>Mollee</v>
      </c>
      <c r="E2461" s="6" t="str">
        <f>IFERROR(__xludf.DUMMYFUNCTION("""COMPUTED_VALUE"""),"")</f>
        <v/>
      </c>
      <c r="F2461" s="6" t="str">
        <f>IFERROR(__xludf.DUMMYFUNCTION("""COMPUTED_VALUE"""),"Brown")</f>
        <v>Brown</v>
      </c>
      <c r="G2461" s="6" t="str">
        <f>IFERROR(__xludf.DUMMYFUNCTION("""COMPUTED_VALUE"""),"09/13/2013")</f>
        <v>09/13/2013</v>
      </c>
      <c r="H2461" s="6" t="str">
        <f>IFERROR(__xludf.DUMMYFUNCTION("""COMPUTED_VALUE"""),"Self Identify")</f>
        <v>Self Identify</v>
      </c>
      <c r="I2461" s="6" t="str">
        <f>IFERROR(__xludf.DUMMYFUNCTION("""COMPUTED_VALUE"""),"Middle School")</f>
        <v>Middle School</v>
      </c>
      <c r="J2461" s="6" t="str">
        <f>IFERROR(__xludf.DUMMYFUNCTION("""COMPUTED_VALUE"""),"6")</f>
        <v>6</v>
      </c>
      <c r="K2461" s="6" t="str">
        <f>IFERROR(__xludf.DUMMYFUNCTION("""COMPUTED_VALUE"""),"mollee.brown@unbound.school")</f>
        <v>mollee.brown@unbound.school</v>
      </c>
      <c r="L2461" s="6" t="str">
        <f>IFERROR(__xludf.DUMMYFUNCTION("""COMPUTED_VALUE"""),"Unbound Academy")</f>
        <v>Unbound Academy</v>
      </c>
      <c r="M2461" s="6" t="str">
        <f>IFERROR(__xludf.DUMMYFUNCTION("""COMPUTED_VALUE"""),"")</f>
        <v/>
      </c>
      <c r="N2461" s="6" t="str">
        <f>IFERROR(__xludf.DUMMYFUNCTION("""COMPUTED_VALUE"""),"")</f>
        <v/>
      </c>
      <c r="O2461" s="87" t="str">
        <f>IFERROR(__xludf.DUMMYFUNCTION("""COMPUTED_VALUE"""),"https://drive.google.com/drive/folders/10T2cTQHqEJZqE-st6uFKPoI?usp=share_link")</f>
        <v>https://drive.google.com/drive/folders/10T2cTQHqEJZqE-st6uFKPoI?usp=share_link</v>
      </c>
      <c r="P2461" s="6" t="str">
        <f>IFERROR(__xludf.DUMMYFUNCTION("""COMPUTED_VALUE"""),"Mollee Brown")</f>
        <v>Mollee Brown</v>
      </c>
      <c r="Q2461" s="6" t="str">
        <f>IFERROR(__xludf.DUMMYFUNCTION("""COMPUTED_VALUE"""),"MS")</f>
        <v>MS</v>
      </c>
      <c r="R2461" s="6">
        <f>IFERROR(__xludf.DUMMYFUNCTION("""COMPUTED_VALUE"""),0.0)</f>
        <v>0</v>
      </c>
      <c r="S2461" s="6" t="str">
        <f>IFERROR(__xludf.DUMMYFUNCTION("""COMPUTED_VALUE""")," ")</f>
        <v> </v>
      </c>
      <c r="T2461" s="6" t="str">
        <f>IFERROR(__xludf.DUMMYFUNCTION("""COMPUTED_VALUE"""),"")</f>
        <v/>
      </c>
      <c r="U2461" s="6" t="str">
        <f>IFERROR(__xludf.DUMMYFUNCTION("""COMPUTED_VALUE"""),"6")</f>
        <v>6</v>
      </c>
      <c r="V2461" s="6" t="str">
        <f>IFERROR(__xludf.DUMMYFUNCTION("""COMPUTED_VALUE"""),"")</f>
        <v/>
      </c>
      <c r="W2461" s="6" t="str">
        <f>IFERROR(__xludf.DUMMYFUNCTION("""COMPUTED_VALUE"""),"[]")</f>
        <v>[]</v>
      </c>
      <c r="X2461" s="6" t="str">
        <f>IFERROR(__xludf.DUMMYFUNCTION("""COMPUTED_VALUE"""),"Enrolled")</f>
        <v>Enrolled</v>
      </c>
    </row>
    <row r="2462">
      <c r="A2462" s="6" t="str">
        <f>IFERROR(__xludf.DUMMYFUNCTION("""COMPUTED_VALUE"""),"040-8183")</f>
        <v>040-8183</v>
      </c>
      <c r="B2462" s="6" t="str">
        <f>IFERROR(__xludf.DUMMYFUNCTION("""COMPUTED_VALUE"""),"40")</f>
        <v>40</v>
      </c>
      <c r="C2462" s="6" t="str">
        <f>IFERROR(__xludf.DUMMYFUNCTION("""COMPUTED_VALUE"""),"8183")</f>
        <v>8183</v>
      </c>
      <c r="D2462" s="6" t="str">
        <f>IFERROR(__xludf.DUMMYFUNCTION("""COMPUTED_VALUE"""),"Noah")</f>
        <v>Noah</v>
      </c>
      <c r="E2462" s="6" t="str">
        <f>IFERROR(__xludf.DUMMYFUNCTION("""COMPUTED_VALUE"""),"")</f>
        <v/>
      </c>
      <c r="F2462" s="6" t="str">
        <f>IFERROR(__xludf.DUMMYFUNCTION("""COMPUTED_VALUE"""),"Pope")</f>
        <v>Pope</v>
      </c>
      <c r="G2462" s="6" t="str">
        <f>IFERROR(__xludf.DUMMYFUNCTION("""COMPUTED_VALUE"""),"09/23/2015")</f>
        <v>09/23/2015</v>
      </c>
      <c r="H2462" s="6" t="str">
        <f>IFERROR(__xludf.DUMMYFUNCTION("""COMPUTED_VALUE"""),"Self Identify")</f>
        <v>Self Identify</v>
      </c>
      <c r="I2462" s="6" t="str">
        <f>IFERROR(__xludf.DUMMYFUNCTION("""COMPUTED_VALUE"""),"Level 2")</f>
        <v>Level 2</v>
      </c>
      <c r="J2462" s="6" t="str">
        <f>IFERROR(__xludf.DUMMYFUNCTION("""COMPUTED_VALUE"""),"4")</f>
        <v>4</v>
      </c>
      <c r="K2462" s="6" t="str">
        <f>IFERROR(__xludf.DUMMYFUNCTION("""COMPUTED_VALUE"""),"noah.pope@unbound.school")</f>
        <v>noah.pope@unbound.school</v>
      </c>
      <c r="L2462" s="6" t="str">
        <f>IFERROR(__xludf.DUMMYFUNCTION("""COMPUTED_VALUE"""),"Unbound Academy")</f>
        <v>Unbound Academy</v>
      </c>
      <c r="M2462" s="6" t="str">
        <f>IFERROR(__xludf.DUMMYFUNCTION("""COMPUTED_VALUE"""),"")</f>
        <v/>
      </c>
      <c r="N2462" s="6" t="str">
        <f>IFERROR(__xludf.DUMMYFUNCTION("""COMPUTED_VALUE"""),"")</f>
        <v/>
      </c>
      <c r="O2462" s="87" t="str">
        <f>IFERROR(__xludf.DUMMYFUNCTION("""COMPUTED_VALUE"""),"https://drive.google.com/drive/folders/10T2cTQHqEJZqE-st6uFKPoI?usp=share_link")</f>
        <v>https://drive.google.com/drive/folders/10T2cTQHqEJZqE-st6uFKPoI?usp=share_link</v>
      </c>
      <c r="P2462" s="6" t="str">
        <f>IFERROR(__xludf.DUMMYFUNCTION("""COMPUTED_VALUE"""),"Noah Pope")</f>
        <v>Noah Pope</v>
      </c>
      <c r="Q2462" s="6" t="str">
        <f>IFERROR(__xludf.DUMMYFUNCTION("""COMPUTED_VALUE"""),"L2")</f>
        <v>L2</v>
      </c>
      <c r="R2462" s="6">
        <f>IFERROR(__xludf.DUMMYFUNCTION("""COMPUTED_VALUE"""),2.0)</f>
        <v>2</v>
      </c>
      <c r="S2462" s="6" t="str">
        <f>IFERROR(__xludf.DUMMYFUNCTION("""COMPUTED_VALUE""")," ")</f>
        <v> </v>
      </c>
      <c r="T2462" s="6" t="str">
        <f>IFERROR(__xludf.DUMMYFUNCTION("""COMPUTED_VALUE"""),"")</f>
        <v/>
      </c>
      <c r="U2462" s="6" t="str">
        <f>IFERROR(__xludf.DUMMYFUNCTION("""COMPUTED_VALUE"""),"4")</f>
        <v>4</v>
      </c>
      <c r="V2462" s="6" t="str">
        <f>IFERROR(__xludf.DUMMYFUNCTION("""COMPUTED_VALUE"""),"")</f>
        <v/>
      </c>
      <c r="W2462" s="6" t="str">
        <f>IFERROR(__xludf.DUMMYFUNCTION("""COMPUTED_VALUE"""),"[]")</f>
        <v>[]</v>
      </c>
      <c r="X2462" s="6" t="str">
        <f>IFERROR(__xludf.DUMMYFUNCTION("""COMPUTED_VALUE"""),"Enrolled")</f>
        <v>Enrolled</v>
      </c>
    </row>
    <row r="2463">
      <c r="A2463" s="6" t="str">
        <f>IFERROR(__xludf.DUMMYFUNCTION("""COMPUTED_VALUE"""),"040-8184")</f>
        <v>040-8184</v>
      </c>
      <c r="B2463" s="6" t="str">
        <f>IFERROR(__xludf.DUMMYFUNCTION("""COMPUTED_VALUE"""),"40")</f>
        <v>40</v>
      </c>
      <c r="C2463" s="6" t="str">
        <f>IFERROR(__xludf.DUMMYFUNCTION("""COMPUTED_VALUE"""),"8184")</f>
        <v>8184</v>
      </c>
      <c r="D2463" s="6" t="str">
        <f>IFERROR(__xludf.DUMMYFUNCTION("""COMPUTED_VALUE"""),"Meadow")</f>
        <v>Meadow</v>
      </c>
      <c r="E2463" s="6" t="str">
        <f>IFERROR(__xludf.DUMMYFUNCTION("""COMPUTED_VALUE"""),"")</f>
        <v/>
      </c>
      <c r="F2463" s="6" t="str">
        <f>IFERROR(__xludf.DUMMYFUNCTION("""COMPUTED_VALUE"""),"Koll")</f>
        <v>Koll</v>
      </c>
      <c r="G2463" s="6" t="str">
        <f>IFERROR(__xludf.DUMMYFUNCTION("""COMPUTED_VALUE"""),"01/01/2013")</f>
        <v>01/01/2013</v>
      </c>
      <c r="H2463" s="6" t="str">
        <f>IFERROR(__xludf.DUMMYFUNCTION("""COMPUTED_VALUE"""),"Self Identify")</f>
        <v>Self Identify</v>
      </c>
      <c r="I2463" s="6" t="str">
        <f>IFERROR(__xludf.DUMMYFUNCTION("""COMPUTED_VALUE"""),"Middle School")</f>
        <v>Middle School</v>
      </c>
      <c r="J2463" s="6" t="str">
        <f>IFERROR(__xludf.DUMMYFUNCTION("""COMPUTED_VALUE"""),"7")</f>
        <v>7</v>
      </c>
      <c r="K2463" s="6" t="str">
        <f>IFERROR(__xludf.DUMMYFUNCTION("""COMPUTED_VALUE"""),"meadow.koll@unbound.school")</f>
        <v>meadow.koll@unbound.school</v>
      </c>
      <c r="L2463" s="6" t="str">
        <f>IFERROR(__xludf.DUMMYFUNCTION("""COMPUTED_VALUE"""),"Unbound Academy")</f>
        <v>Unbound Academy</v>
      </c>
      <c r="M2463" s="6" t="str">
        <f>IFERROR(__xludf.DUMMYFUNCTION("""COMPUTED_VALUE"""),"")</f>
        <v/>
      </c>
      <c r="N2463" s="6" t="str">
        <f>IFERROR(__xludf.DUMMYFUNCTION("""COMPUTED_VALUE"""),"")</f>
        <v/>
      </c>
      <c r="O2463" s="87" t="str">
        <f>IFERROR(__xludf.DUMMYFUNCTION("""COMPUTED_VALUE"""),"https://drive.google.com/drive/folders/10T2cTQHqEJZqE-st6uFKPoI?usp=share_link")</f>
        <v>https://drive.google.com/drive/folders/10T2cTQHqEJZqE-st6uFKPoI?usp=share_link</v>
      </c>
      <c r="P2463" s="6" t="str">
        <f>IFERROR(__xludf.DUMMYFUNCTION("""COMPUTED_VALUE"""),"Meadow Koll")</f>
        <v>Meadow Koll</v>
      </c>
      <c r="Q2463" s="6" t="str">
        <f>IFERROR(__xludf.DUMMYFUNCTION("""COMPUTED_VALUE"""),"MS")</f>
        <v>MS</v>
      </c>
      <c r="R2463" s="6">
        <f>IFERROR(__xludf.DUMMYFUNCTION("""COMPUTED_VALUE"""),0.0)</f>
        <v>0</v>
      </c>
      <c r="S2463" s="6" t="str">
        <f>IFERROR(__xludf.DUMMYFUNCTION("""COMPUTED_VALUE""")," ")</f>
        <v> </v>
      </c>
      <c r="T2463" s="6" t="str">
        <f>IFERROR(__xludf.DUMMYFUNCTION("""COMPUTED_VALUE"""),"")</f>
        <v/>
      </c>
      <c r="U2463" s="6" t="str">
        <f>IFERROR(__xludf.DUMMYFUNCTION("""COMPUTED_VALUE"""),"7")</f>
        <v>7</v>
      </c>
      <c r="V2463" s="6" t="str">
        <f>IFERROR(__xludf.DUMMYFUNCTION("""COMPUTED_VALUE"""),"")</f>
        <v/>
      </c>
      <c r="W2463" s="6" t="str">
        <f>IFERROR(__xludf.DUMMYFUNCTION("""COMPUTED_VALUE"""),"[]")</f>
        <v>[]</v>
      </c>
      <c r="X2463" s="6" t="str">
        <f>IFERROR(__xludf.DUMMYFUNCTION("""COMPUTED_VALUE"""),"Enrolled")</f>
        <v>Enrolled</v>
      </c>
    </row>
    <row r="2464">
      <c r="A2464" s="6" t="str">
        <f>IFERROR(__xludf.DUMMYFUNCTION("""COMPUTED_VALUE"""),"040-8340")</f>
        <v>040-8340</v>
      </c>
      <c r="B2464" s="6" t="str">
        <f>IFERROR(__xludf.DUMMYFUNCTION("""COMPUTED_VALUE"""),"40")</f>
        <v>40</v>
      </c>
      <c r="C2464" s="6" t="str">
        <f>IFERROR(__xludf.DUMMYFUNCTION("""COMPUTED_VALUE"""),"8340")</f>
        <v>8340</v>
      </c>
      <c r="D2464" s="6" t="str">
        <f>IFERROR(__xludf.DUMMYFUNCTION("""COMPUTED_VALUE"""),"Labrysha")</f>
        <v>Labrysha</v>
      </c>
      <c r="E2464" s="6" t="str">
        <f>IFERROR(__xludf.DUMMYFUNCTION("""COMPUTED_VALUE"""),"")</f>
        <v/>
      </c>
      <c r="F2464" s="6" t="str">
        <f>IFERROR(__xludf.DUMMYFUNCTION("""COMPUTED_VALUE"""),"Colbert")</f>
        <v>Colbert</v>
      </c>
      <c r="G2464" s="6" t="str">
        <f>IFERROR(__xludf.DUMMYFUNCTION("""COMPUTED_VALUE"""),"12/09/2012")</f>
        <v>12/09/2012</v>
      </c>
      <c r="H2464" s="6" t="str">
        <f>IFERROR(__xludf.DUMMYFUNCTION("""COMPUTED_VALUE"""),"Self Identify")</f>
        <v>Self Identify</v>
      </c>
      <c r="I2464" s="6" t="str">
        <f>IFERROR(__xludf.DUMMYFUNCTION("""COMPUTED_VALUE"""),"Middle School")</f>
        <v>Middle School</v>
      </c>
      <c r="J2464" s="6" t="str">
        <f>IFERROR(__xludf.DUMMYFUNCTION("""COMPUTED_VALUE"""),"7")</f>
        <v>7</v>
      </c>
      <c r="K2464" s="6" t="str">
        <f>IFERROR(__xludf.DUMMYFUNCTION("""COMPUTED_VALUE"""),"labrysha.colbert@unbound.school")</f>
        <v>labrysha.colbert@unbound.school</v>
      </c>
      <c r="L2464" s="6" t="str">
        <f>IFERROR(__xludf.DUMMYFUNCTION("""COMPUTED_VALUE"""),"Unbound Academy")</f>
        <v>Unbound Academy</v>
      </c>
      <c r="M2464" s="6" t="str">
        <f>IFERROR(__xludf.DUMMYFUNCTION("""COMPUTED_VALUE"""),"")</f>
        <v/>
      </c>
      <c r="N2464" s="6" t="str">
        <f>IFERROR(__xludf.DUMMYFUNCTION("""COMPUTED_VALUE"""),"")</f>
        <v/>
      </c>
      <c r="O2464" s="87" t="str">
        <f>IFERROR(__xludf.DUMMYFUNCTION("""COMPUTED_VALUE"""),"https://drive.google.com/drive/folders/10T2cTQHqEJZqE-st6uFKPoI?usp=share_link")</f>
        <v>https://drive.google.com/drive/folders/10T2cTQHqEJZqE-st6uFKPoI?usp=share_link</v>
      </c>
      <c r="P2464" s="6" t="str">
        <f>IFERROR(__xludf.DUMMYFUNCTION("""COMPUTED_VALUE"""),"Labrysha Colbert")</f>
        <v>Labrysha Colbert</v>
      </c>
      <c r="Q2464" s="6" t="str">
        <f>IFERROR(__xludf.DUMMYFUNCTION("""COMPUTED_VALUE"""),"MS")</f>
        <v>MS</v>
      </c>
      <c r="R2464" s="6">
        <f>IFERROR(__xludf.DUMMYFUNCTION("""COMPUTED_VALUE"""),0.0)</f>
        <v>0</v>
      </c>
      <c r="S2464" s="6" t="str">
        <f>IFERROR(__xludf.DUMMYFUNCTION("""COMPUTED_VALUE""")," ")</f>
        <v> </v>
      </c>
      <c r="T2464" s="6" t="str">
        <f>IFERROR(__xludf.DUMMYFUNCTION("""COMPUTED_VALUE"""),"")</f>
        <v/>
      </c>
      <c r="U2464" s="6" t="str">
        <f>IFERROR(__xludf.DUMMYFUNCTION("""COMPUTED_VALUE"""),"7")</f>
        <v>7</v>
      </c>
      <c r="V2464" s="6" t="str">
        <f>IFERROR(__xludf.DUMMYFUNCTION("""COMPUTED_VALUE"""),"")</f>
        <v/>
      </c>
      <c r="W2464" s="6" t="str">
        <f>IFERROR(__xludf.DUMMYFUNCTION("""COMPUTED_VALUE"""),"[]")</f>
        <v>[]</v>
      </c>
      <c r="X2464" s="6" t="str">
        <f>IFERROR(__xludf.DUMMYFUNCTION("""COMPUTED_VALUE"""),"Enrolled")</f>
        <v>Enrolled</v>
      </c>
    </row>
    <row r="2465">
      <c r="A2465" s="6" t="str">
        <f>IFERROR(__xludf.DUMMYFUNCTION("""COMPUTED_VALUE"""),"040-8357")</f>
        <v>040-8357</v>
      </c>
      <c r="B2465" s="6" t="str">
        <f>IFERROR(__xludf.DUMMYFUNCTION("""COMPUTED_VALUE"""),"40")</f>
        <v>40</v>
      </c>
      <c r="C2465" s="6" t="str">
        <f>IFERROR(__xludf.DUMMYFUNCTION("""COMPUTED_VALUE"""),"8357")</f>
        <v>8357</v>
      </c>
      <c r="D2465" s="6" t="str">
        <f>IFERROR(__xludf.DUMMYFUNCTION("""COMPUTED_VALUE"""),"Anna")</f>
        <v>Anna</v>
      </c>
      <c r="E2465" s="6" t="str">
        <f>IFERROR(__xludf.DUMMYFUNCTION("""COMPUTED_VALUE"""),"")</f>
        <v/>
      </c>
      <c r="F2465" s="6" t="str">
        <f>IFERROR(__xludf.DUMMYFUNCTION("""COMPUTED_VALUE"""),"Michalski")</f>
        <v>Michalski</v>
      </c>
      <c r="G2465" s="6" t="str">
        <f>IFERROR(__xludf.DUMMYFUNCTION("""COMPUTED_VALUE"""),"10/11/2015")</f>
        <v>10/11/2015</v>
      </c>
      <c r="H2465" s="6" t="str">
        <f>IFERROR(__xludf.DUMMYFUNCTION("""COMPUTED_VALUE"""),"Self Identify")</f>
        <v>Self Identify</v>
      </c>
      <c r="I2465" s="6" t="str">
        <f>IFERROR(__xludf.DUMMYFUNCTION("""COMPUTED_VALUE"""),"Level 2")</f>
        <v>Level 2</v>
      </c>
      <c r="J2465" s="6" t="str">
        <f>IFERROR(__xludf.DUMMYFUNCTION("""COMPUTED_VALUE"""),"5")</f>
        <v>5</v>
      </c>
      <c r="K2465" s="6" t="str">
        <f>IFERROR(__xludf.DUMMYFUNCTION("""COMPUTED_VALUE"""),"anna.michalski@unbound.school")</f>
        <v>anna.michalski@unbound.school</v>
      </c>
      <c r="L2465" s="6" t="str">
        <f>IFERROR(__xludf.DUMMYFUNCTION("""COMPUTED_VALUE"""),"Unbound Academy")</f>
        <v>Unbound Academy</v>
      </c>
      <c r="M2465" s="6" t="str">
        <f>IFERROR(__xludf.DUMMYFUNCTION("""COMPUTED_VALUE"""),"")</f>
        <v/>
      </c>
      <c r="N2465" s="6" t="str">
        <f>IFERROR(__xludf.DUMMYFUNCTION("""COMPUTED_VALUE"""),"")</f>
        <v/>
      </c>
      <c r="O2465" s="87" t="str">
        <f>IFERROR(__xludf.DUMMYFUNCTION("""COMPUTED_VALUE"""),"https://drive.google.com/drive/folders/10T2cTQHqEJZqE-st6uFKPoI?usp=share_link")</f>
        <v>https://drive.google.com/drive/folders/10T2cTQHqEJZqE-st6uFKPoI?usp=share_link</v>
      </c>
      <c r="P2465" s="6" t="str">
        <f>IFERROR(__xludf.DUMMYFUNCTION("""COMPUTED_VALUE"""),"Anna Michalski")</f>
        <v>Anna Michalski</v>
      </c>
      <c r="Q2465" s="6" t="str">
        <f>IFERROR(__xludf.DUMMYFUNCTION("""COMPUTED_VALUE"""),"L2")</f>
        <v>L2</v>
      </c>
      <c r="R2465" s="6">
        <f>IFERROR(__xludf.DUMMYFUNCTION("""COMPUTED_VALUE"""),2.0)</f>
        <v>2</v>
      </c>
      <c r="S2465" s="6" t="str">
        <f>IFERROR(__xludf.DUMMYFUNCTION("""COMPUTED_VALUE""")," ")</f>
        <v> </v>
      </c>
      <c r="T2465" s="6" t="str">
        <f>IFERROR(__xludf.DUMMYFUNCTION("""COMPUTED_VALUE"""),"")</f>
        <v/>
      </c>
      <c r="U2465" s="6" t="str">
        <f>IFERROR(__xludf.DUMMYFUNCTION("""COMPUTED_VALUE"""),"5")</f>
        <v>5</v>
      </c>
      <c r="V2465" s="6" t="str">
        <f>IFERROR(__xludf.DUMMYFUNCTION("""COMPUTED_VALUE"""),"")</f>
        <v/>
      </c>
      <c r="W2465" s="6" t="str">
        <f>IFERROR(__xludf.DUMMYFUNCTION("""COMPUTED_VALUE"""),"[]")</f>
        <v>[]</v>
      </c>
      <c r="X2465" s="6" t="str">
        <f>IFERROR(__xludf.DUMMYFUNCTION("""COMPUTED_VALUE"""),"Pending Review")</f>
        <v>Pending Review</v>
      </c>
    </row>
    <row r="2466">
      <c r="A2466" s="6" t="str">
        <f>IFERROR(__xludf.DUMMYFUNCTION("""COMPUTED_VALUE"""),"040-8385")</f>
        <v>040-8385</v>
      </c>
      <c r="B2466" s="6" t="str">
        <f>IFERROR(__xludf.DUMMYFUNCTION("""COMPUTED_VALUE"""),"40")</f>
        <v>40</v>
      </c>
      <c r="C2466" s="6" t="str">
        <f>IFERROR(__xludf.DUMMYFUNCTION("""COMPUTED_VALUE"""),"8385")</f>
        <v>8385</v>
      </c>
      <c r="D2466" s="6" t="str">
        <f>IFERROR(__xludf.DUMMYFUNCTION("""COMPUTED_VALUE"""),"Mia")</f>
        <v>Mia</v>
      </c>
      <c r="E2466" s="6" t="str">
        <f>IFERROR(__xludf.DUMMYFUNCTION("""COMPUTED_VALUE"""),"")</f>
        <v/>
      </c>
      <c r="F2466" s="6" t="str">
        <f>IFERROR(__xludf.DUMMYFUNCTION("""COMPUTED_VALUE"""),"Valencia")</f>
        <v>Valencia</v>
      </c>
      <c r="G2466" s="6" t="str">
        <f>IFERROR(__xludf.DUMMYFUNCTION("""COMPUTED_VALUE"""),"09/18/2015")</f>
        <v>09/18/2015</v>
      </c>
      <c r="H2466" s="6" t="str">
        <f>IFERROR(__xludf.DUMMYFUNCTION("""COMPUTED_VALUE"""),"Self Identify")</f>
        <v>Self Identify</v>
      </c>
      <c r="I2466" s="6" t="str">
        <f>IFERROR(__xludf.DUMMYFUNCTION("""COMPUTED_VALUE"""),"Level 2")</f>
        <v>Level 2</v>
      </c>
      <c r="J2466" s="6" t="str">
        <f>IFERROR(__xludf.DUMMYFUNCTION("""COMPUTED_VALUE"""),"5")</f>
        <v>5</v>
      </c>
      <c r="K2466" s="6" t="str">
        <f>IFERROR(__xludf.DUMMYFUNCTION("""COMPUTED_VALUE"""),"mia.valencia@unbound.school")</f>
        <v>mia.valencia@unbound.school</v>
      </c>
      <c r="L2466" s="6" t="str">
        <f>IFERROR(__xludf.DUMMYFUNCTION("""COMPUTED_VALUE"""),"Unbound Academy")</f>
        <v>Unbound Academy</v>
      </c>
      <c r="M2466" s="6" t="str">
        <f>IFERROR(__xludf.DUMMYFUNCTION("""COMPUTED_VALUE"""),"")</f>
        <v/>
      </c>
      <c r="N2466" s="6" t="str">
        <f>IFERROR(__xludf.DUMMYFUNCTION("""COMPUTED_VALUE"""),"")</f>
        <v/>
      </c>
      <c r="O2466" s="87" t="str">
        <f>IFERROR(__xludf.DUMMYFUNCTION("""COMPUTED_VALUE"""),"https://drive.google.com/drive/folders/10T2cTQHqEJZqE-st6uFKPoI?usp=share_link")</f>
        <v>https://drive.google.com/drive/folders/10T2cTQHqEJZqE-st6uFKPoI?usp=share_link</v>
      </c>
      <c r="P2466" s="6" t="str">
        <f>IFERROR(__xludf.DUMMYFUNCTION("""COMPUTED_VALUE"""),"Mia Valencia")</f>
        <v>Mia Valencia</v>
      </c>
      <c r="Q2466" s="6" t="str">
        <f>IFERROR(__xludf.DUMMYFUNCTION("""COMPUTED_VALUE"""),"L2")</f>
        <v>L2</v>
      </c>
      <c r="R2466" s="6">
        <f>IFERROR(__xludf.DUMMYFUNCTION("""COMPUTED_VALUE"""),2.0)</f>
        <v>2</v>
      </c>
      <c r="S2466" s="6" t="str">
        <f>IFERROR(__xludf.DUMMYFUNCTION("""COMPUTED_VALUE""")," ")</f>
        <v> </v>
      </c>
      <c r="T2466" s="6" t="str">
        <f>IFERROR(__xludf.DUMMYFUNCTION("""COMPUTED_VALUE"""),"")</f>
        <v/>
      </c>
      <c r="U2466" s="6" t="str">
        <f>IFERROR(__xludf.DUMMYFUNCTION("""COMPUTED_VALUE"""),"5")</f>
        <v>5</v>
      </c>
      <c r="V2466" s="6" t="str">
        <f>IFERROR(__xludf.DUMMYFUNCTION("""COMPUTED_VALUE"""),"")</f>
        <v/>
      </c>
      <c r="W2466" s="6" t="str">
        <f>IFERROR(__xludf.DUMMYFUNCTION("""COMPUTED_VALUE"""),"[]")</f>
        <v>[]</v>
      </c>
      <c r="X2466" s="6" t="str">
        <f>IFERROR(__xludf.DUMMYFUNCTION("""COMPUTED_VALUE"""),"Enrolled")</f>
        <v>Enrolled</v>
      </c>
    </row>
    <row r="2467">
      <c r="A2467" s="6" t="str">
        <f>IFERROR(__xludf.DUMMYFUNCTION("""COMPUTED_VALUE"""),"040-8412")</f>
        <v>040-8412</v>
      </c>
      <c r="B2467" s="6" t="str">
        <f>IFERROR(__xludf.DUMMYFUNCTION("""COMPUTED_VALUE"""),"40")</f>
        <v>40</v>
      </c>
      <c r="C2467" s="6" t="str">
        <f>IFERROR(__xludf.DUMMYFUNCTION("""COMPUTED_VALUE"""),"8412")</f>
        <v>8412</v>
      </c>
      <c r="D2467" s="6" t="str">
        <f>IFERROR(__xludf.DUMMYFUNCTION("""COMPUTED_VALUE"""),"Harmony")</f>
        <v>Harmony</v>
      </c>
      <c r="E2467" s="6" t="str">
        <f>IFERROR(__xludf.DUMMYFUNCTION("""COMPUTED_VALUE"""),"")</f>
        <v/>
      </c>
      <c r="F2467" s="6" t="str">
        <f>IFERROR(__xludf.DUMMYFUNCTION("""COMPUTED_VALUE"""),"Franklin")</f>
        <v>Franklin</v>
      </c>
      <c r="G2467" s="6" t="str">
        <f>IFERROR(__xludf.DUMMYFUNCTION("""COMPUTED_VALUE"""),"07/04/2013")</f>
        <v>07/04/2013</v>
      </c>
      <c r="H2467" s="6" t="str">
        <f>IFERROR(__xludf.DUMMYFUNCTION("""COMPUTED_VALUE"""),"Self Identify")</f>
        <v>Self Identify</v>
      </c>
      <c r="I2467" s="6" t="str">
        <f>IFERROR(__xludf.DUMMYFUNCTION("""COMPUTED_VALUE"""),"Middle School")</f>
        <v>Middle School</v>
      </c>
      <c r="J2467" s="6" t="str">
        <f>IFERROR(__xludf.DUMMYFUNCTION("""COMPUTED_VALUE"""),"6")</f>
        <v>6</v>
      </c>
      <c r="K2467" s="6" t="str">
        <f>IFERROR(__xludf.DUMMYFUNCTION("""COMPUTED_VALUE"""),"harmony.franklin@unbound.school")</f>
        <v>harmony.franklin@unbound.school</v>
      </c>
      <c r="L2467" s="6" t="str">
        <f>IFERROR(__xludf.DUMMYFUNCTION("""COMPUTED_VALUE"""),"Unbound Academy")</f>
        <v>Unbound Academy</v>
      </c>
      <c r="M2467" s="6" t="str">
        <f>IFERROR(__xludf.DUMMYFUNCTION("""COMPUTED_VALUE"""),"")</f>
        <v/>
      </c>
      <c r="N2467" s="6" t="str">
        <f>IFERROR(__xludf.DUMMYFUNCTION("""COMPUTED_VALUE"""),"")</f>
        <v/>
      </c>
      <c r="O2467" s="87" t="str">
        <f>IFERROR(__xludf.DUMMYFUNCTION("""COMPUTED_VALUE"""),"https://drive.google.com/drive/folders/10T2cTQHqEJZqE-st6uFKPoI?usp=share_link")</f>
        <v>https://drive.google.com/drive/folders/10T2cTQHqEJZqE-st6uFKPoI?usp=share_link</v>
      </c>
      <c r="P2467" s="6" t="str">
        <f>IFERROR(__xludf.DUMMYFUNCTION("""COMPUTED_VALUE"""),"Harmony Franklin")</f>
        <v>Harmony Franklin</v>
      </c>
      <c r="Q2467" s="6" t="str">
        <f>IFERROR(__xludf.DUMMYFUNCTION("""COMPUTED_VALUE"""),"MS")</f>
        <v>MS</v>
      </c>
      <c r="R2467" s="6">
        <f>IFERROR(__xludf.DUMMYFUNCTION("""COMPUTED_VALUE"""),0.0)</f>
        <v>0</v>
      </c>
      <c r="S2467" s="6" t="str">
        <f>IFERROR(__xludf.DUMMYFUNCTION("""COMPUTED_VALUE""")," ")</f>
        <v> </v>
      </c>
      <c r="T2467" s="6" t="str">
        <f>IFERROR(__xludf.DUMMYFUNCTION("""COMPUTED_VALUE"""),"")</f>
        <v/>
      </c>
      <c r="U2467" s="6" t="str">
        <f>IFERROR(__xludf.DUMMYFUNCTION("""COMPUTED_VALUE"""),"6")</f>
        <v>6</v>
      </c>
      <c r="V2467" s="6" t="str">
        <f>IFERROR(__xludf.DUMMYFUNCTION("""COMPUTED_VALUE"""),"")</f>
        <v/>
      </c>
      <c r="W2467" s="6" t="str">
        <f>IFERROR(__xludf.DUMMYFUNCTION("""COMPUTED_VALUE"""),"[]")</f>
        <v>[]</v>
      </c>
      <c r="X2467" s="6" t="str">
        <f>IFERROR(__xludf.DUMMYFUNCTION("""COMPUTED_VALUE"""),"Enrolled")</f>
        <v>Enrolled</v>
      </c>
    </row>
    <row r="2468">
      <c r="A2468" s="6" t="str">
        <f>IFERROR(__xludf.DUMMYFUNCTION("""COMPUTED_VALUE"""),"040-8496")</f>
        <v>040-8496</v>
      </c>
      <c r="B2468" s="6" t="str">
        <f>IFERROR(__xludf.DUMMYFUNCTION("""COMPUTED_VALUE"""),"40")</f>
        <v>40</v>
      </c>
      <c r="C2468" s="6" t="str">
        <f>IFERROR(__xludf.DUMMYFUNCTION("""COMPUTED_VALUE"""),"8496")</f>
        <v>8496</v>
      </c>
      <c r="D2468" s="6" t="str">
        <f>IFERROR(__xludf.DUMMYFUNCTION("""COMPUTED_VALUE"""),"Gilbert")</f>
        <v>Gilbert</v>
      </c>
      <c r="E2468" s="6" t="str">
        <f>IFERROR(__xludf.DUMMYFUNCTION("""COMPUTED_VALUE"""),"")</f>
        <v/>
      </c>
      <c r="F2468" s="6" t="str">
        <f>IFERROR(__xludf.DUMMYFUNCTION("""COMPUTED_VALUE"""),"Flores")</f>
        <v>Flores</v>
      </c>
      <c r="G2468" s="6" t="str">
        <f>IFERROR(__xludf.DUMMYFUNCTION("""COMPUTED_VALUE"""),"01/22/2015")</f>
        <v>01/22/2015</v>
      </c>
      <c r="H2468" s="6" t="str">
        <f>IFERROR(__xludf.DUMMYFUNCTION("""COMPUTED_VALUE"""),"Self Identify")</f>
        <v>Self Identify</v>
      </c>
      <c r="I2468" s="6" t="str">
        <f>IFERROR(__xludf.DUMMYFUNCTION("""COMPUTED_VALUE"""),"Level 2")</f>
        <v>Level 2</v>
      </c>
      <c r="J2468" s="6" t="str">
        <f>IFERROR(__xludf.DUMMYFUNCTION("""COMPUTED_VALUE"""),"5")</f>
        <v>5</v>
      </c>
      <c r="K2468" s="6" t="str">
        <f>IFERROR(__xludf.DUMMYFUNCTION("""COMPUTED_VALUE"""),"gilbert.flores@unbound.school")</f>
        <v>gilbert.flores@unbound.school</v>
      </c>
      <c r="L2468" s="6" t="str">
        <f>IFERROR(__xludf.DUMMYFUNCTION("""COMPUTED_VALUE"""),"Unbound Academy")</f>
        <v>Unbound Academy</v>
      </c>
      <c r="M2468" s="6" t="str">
        <f>IFERROR(__xludf.DUMMYFUNCTION("""COMPUTED_VALUE"""),"")</f>
        <v/>
      </c>
      <c r="N2468" s="6" t="str">
        <f>IFERROR(__xludf.DUMMYFUNCTION("""COMPUTED_VALUE"""),"")</f>
        <v/>
      </c>
      <c r="O2468" s="87" t="str">
        <f>IFERROR(__xludf.DUMMYFUNCTION("""COMPUTED_VALUE"""),"https://drive.google.com/drive/folders/10T2cTQHqEJZqE-st6uFKPoI?usp=share_link")</f>
        <v>https://drive.google.com/drive/folders/10T2cTQHqEJZqE-st6uFKPoI?usp=share_link</v>
      </c>
      <c r="P2468" s="6" t="str">
        <f>IFERROR(__xludf.DUMMYFUNCTION("""COMPUTED_VALUE"""),"Gilbert Flores")</f>
        <v>Gilbert Flores</v>
      </c>
      <c r="Q2468" s="6" t="str">
        <f>IFERROR(__xludf.DUMMYFUNCTION("""COMPUTED_VALUE"""),"L2")</f>
        <v>L2</v>
      </c>
      <c r="R2468" s="6">
        <f>IFERROR(__xludf.DUMMYFUNCTION("""COMPUTED_VALUE"""),2.0)</f>
        <v>2</v>
      </c>
      <c r="S2468" s="6" t="str">
        <f>IFERROR(__xludf.DUMMYFUNCTION("""COMPUTED_VALUE""")," ")</f>
        <v> </v>
      </c>
      <c r="T2468" s="6" t="str">
        <f>IFERROR(__xludf.DUMMYFUNCTION("""COMPUTED_VALUE"""),"")</f>
        <v/>
      </c>
      <c r="U2468" s="6" t="str">
        <f>IFERROR(__xludf.DUMMYFUNCTION("""COMPUTED_VALUE"""),"5")</f>
        <v>5</v>
      </c>
      <c r="V2468" s="6" t="str">
        <f>IFERROR(__xludf.DUMMYFUNCTION("""COMPUTED_VALUE"""),"")</f>
        <v/>
      </c>
      <c r="W2468" s="6" t="str">
        <f>IFERROR(__xludf.DUMMYFUNCTION("""COMPUTED_VALUE"""),"[]")</f>
        <v>[]</v>
      </c>
      <c r="X2468" s="6" t="str">
        <f>IFERROR(__xludf.DUMMYFUNCTION("""COMPUTED_VALUE"""),"Enrolled")</f>
        <v>Enrolled</v>
      </c>
    </row>
    <row r="2469">
      <c r="A2469" s="6" t="str">
        <f>IFERROR(__xludf.DUMMYFUNCTION("""COMPUTED_VALUE"""),"040-8513")</f>
        <v>040-8513</v>
      </c>
      <c r="B2469" s="6" t="str">
        <f>IFERROR(__xludf.DUMMYFUNCTION("""COMPUTED_VALUE"""),"40")</f>
        <v>40</v>
      </c>
      <c r="C2469" s="6" t="str">
        <f>IFERROR(__xludf.DUMMYFUNCTION("""COMPUTED_VALUE"""),"8513")</f>
        <v>8513</v>
      </c>
      <c r="D2469" s="6" t="str">
        <f>IFERROR(__xludf.DUMMYFUNCTION("""COMPUTED_VALUE"""),"Sofia")</f>
        <v>Sofia</v>
      </c>
      <c r="E2469" s="6" t="str">
        <f>IFERROR(__xludf.DUMMYFUNCTION("""COMPUTED_VALUE"""),"")</f>
        <v/>
      </c>
      <c r="F2469" s="6" t="str">
        <f>IFERROR(__xludf.DUMMYFUNCTION("""COMPUTED_VALUE"""),"Barroteran")</f>
        <v>Barroteran</v>
      </c>
      <c r="G2469" s="6" t="str">
        <f>IFERROR(__xludf.DUMMYFUNCTION("""COMPUTED_VALUE"""),"03/26/2015")</f>
        <v>03/26/2015</v>
      </c>
      <c r="H2469" s="6" t="str">
        <f>IFERROR(__xludf.DUMMYFUNCTION("""COMPUTED_VALUE"""),"Self Identify")</f>
        <v>Self Identify</v>
      </c>
      <c r="I2469" s="6" t="str">
        <f>IFERROR(__xludf.DUMMYFUNCTION("""COMPUTED_VALUE"""),"Level 2")</f>
        <v>Level 2</v>
      </c>
      <c r="J2469" s="6" t="str">
        <f>IFERROR(__xludf.DUMMYFUNCTION("""COMPUTED_VALUE"""),"4")</f>
        <v>4</v>
      </c>
      <c r="K2469" s="6" t="str">
        <f>IFERROR(__xludf.DUMMYFUNCTION("""COMPUTED_VALUE"""),"sofia.barroteran@unbound.school")</f>
        <v>sofia.barroteran@unbound.school</v>
      </c>
      <c r="L2469" s="6" t="str">
        <f>IFERROR(__xludf.DUMMYFUNCTION("""COMPUTED_VALUE"""),"Unbound Academy")</f>
        <v>Unbound Academy</v>
      </c>
      <c r="M2469" s="6" t="str">
        <f>IFERROR(__xludf.DUMMYFUNCTION("""COMPUTED_VALUE"""),"")</f>
        <v/>
      </c>
      <c r="N2469" s="6" t="str">
        <f>IFERROR(__xludf.DUMMYFUNCTION("""COMPUTED_VALUE"""),"")</f>
        <v/>
      </c>
      <c r="O2469" s="87" t="str">
        <f>IFERROR(__xludf.DUMMYFUNCTION("""COMPUTED_VALUE"""),"https://drive.google.com/drive/folders/10T2cTQHqEJZqE-st6uFKPoI?usp=share_link")</f>
        <v>https://drive.google.com/drive/folders/10T2cTQHqEJZqE-st6uFKPoI?usp=share_link</v>
      </c>
      <c r="P2469" s="6" t="str">
        <f>IFERROR(__xludf.DUMMYFUNCTION("""COMPUTED_VALUE"""),"Sofia Barroteran")</f>
        <v>Sofia Barroteran</v>
      </c>
      <c r="Q2469" s="6" t="str">
        <f>IFERROR(__xludf.DUMMYFUNCTION("""COMPUTED_VALUE"""),"L2")</f>
        <v>L2</v>
      </c>
      <c r="R2469" s="6">
        <f>IFERROR(__xludf.DUMMYFUNCTION("""COMPUTED_VALUE"""),2.0)</f>
        <v>2</v>
      </c>
      <c r="S2469" s="6" t="str">
        <f>IFERROR(__xludf.DUMMYFUNCTION("""COMPUTED_VALUE""")," ")</f>
        <v> </v>
      </c>
      <c r="T2469" s="6" t="str">
        <f>IFERROR(__xludf.DUMMYFUNCTION("""COMPUTED_VALUE"""),"")</f>
        <v/>
      </c>
      <c r="U2469" s="6" t="str">
        <f>IFERROR(__xludf.DUMMYFUNCTION("""COMPUTED_VALUE"""),"4")</f>
        <v>4</v>
      </c>
      <c r="V2469" s="6" t="str">
        <f>IFERROR(__xludf.DUMMYFUNCTION("""COMPUTED_VALUE"""),"")</f>
        <v/>
      </c>
      <c r="W2469" s="6" t="str">
        <f>IFERROR(__xludf.DUMMYFUNCTION("""COMPUTED_VALUE"""),"[]")</f>
        <v>[]</v>
      </c>
      <c r="X2469" s="6" t="str">
        <f>IFERROR(__xludf.DUMMYFUNCTION("""COMPUTED_VALUE"""),"Enrolled")</f>
        <v>Enrolled</v>
      </c>
    </row>
    <row r="2470">
      <c r="A2470" s="6" t="str">
        <f>IFERROR(__xludf.DUMMYFUNCTION("""COMPUTED_VALUE"""),"040-8599")</f>
        <v>040-8599</v>
      </c>
      <c r="B2470" s="6" t="str">
        <f>IFERROR(__xludf.DUMMYFUNCTION("""COMPUTED_VALUE"""),"40")</f>
        <v>40</v>
      </c>
      <c r="C2470" s="6" t="str">
        <f>IFERROR(__xludf.DUMMYFUNCTION("""COMPUTED_VALUE"""),"8599")</f>
        <v>8599</v>
      </c>
      <c r="D2470" s="6" t="str">
        <f>IFERROR(__xludf.DUMMYFUNCTION("""COMPUTED_VALUE"""),"Cruzito")</f>
        <v>Cruzito</v>
      </c>
      <c r="E2470" s="6" t="str">
        <f>IFERROR(__xludf.DUMMYFUNCTION("""COMPUTED_VALUE"""),"")</f>
        <v/>
      </c>
      <c r="F2470" s="6" t="str">
        <f>IFERROR(__xludf.DUMMYFUNCTION("""COMPUTED_VALUE"""),"Medina")</f>
        <v>Medina</v>
      </c>
      <c r="G2470" s="6" t="str">
        <f>IFERROR(__xludf.DUMMYFUNCTION("""COMPUTED_VALUE"""),"12/28/2014")</f>
        <v>12/28/2014</v>
      </c>
      <c r="H2470" s="6" t="str">
        <f>IFERROR(__xludf.DUMMYFUNCTION("""COMPUTED_VALUE"""),"Self Identify")</f>
        <v>Self Identify</v>
      </c>
      <c r="I2470" s="6" t="str">
        <f>IFERROR(__xludf.DUMMYFUNCTION("""COMPUTED_VALUE"""),"Level 2")</f>
        <v>Level 2</v>
      </c>
      <c r="J2470" s="6" t="str">
        <f>IFERROR(__xludf.DUMMYFUNCTION("""COMPUTED_VALUE"""),"5")</f>
        <v>5</v>
      </c>
      <c r="K2470" s="6" t="str">
        <f>IFERROR(__xludf.DUMMYFUNCTION("""COMPUTED_VALUE"""),"cruzito.medina@unbound.school")</f>
        <v>cruzito.medina@unbound.school</v>
      </c>
      <c r="L2470" s="6" t="str">
        <f>IFERROR(__xludf.DUMMYFUNCTION("""COMPUTED_VALUE"""),"Unbound Academy")</f>
        <v>Unbound Academy</v>
      </c>
      <c r="M2470" s="6" t="str">
        <f>IFERROR(__xludf.DUMMYFUNCTION("""COMPUTED_VALUE"""),"")</f>
        <v/>
      </c>
      <c r="N2470" s="6" t="str">
        <f>IFERROR(__xludf.DUMMYFUNCTION("""COMPUTED_VALUE"""),"")</f>
        <v/>
      </c>
      <c r="O2470" s="87" t="str">
        <f>IFERROR(__xludf.DUMMYFUNCTION("""COMPUTED_VALUE"""),"https://drive.google.com/drive/folders/10T2cTQHqEJZqE-st6uFKPoI?usp=share_link")</f>
        <v>https://drive.google.com/drive/folders/10T2cTQHqEJZqE-st6uFKPoI?usp=share_link</v>
      </c>
      <c r="P2470" s="6" t="str">
        <f>IFERROR(__xludf.DUMMYFUNCTION("""COMPUTED_VALUE"""),"Cruzito Medina")</f>
        <v>Cruzito Medina</v>
      </c>
      <c r="Q2470" s="6" t="str">
        <f>IFERROR(__xludf.DUMMYFUNCTION("""COMPUTED_VALUE"""),"L2")</f>
        <v>L2</v>
      </c>
      <c r="R2470" s="6">
        <f>IFERROR(__xludf.DUMMYFUNCTION("""COMPUTED_VALUE"""),2.0)</f>
        <v>2</v>
      </c>
      <c r="S2470" s="6" t="str">
        <f>IFERROR(__xludf.DUMMYFUNCTION("""COMPUTED_VALUE""")," ")</f>
        <v> </v>
      </c>
      <c r="T2470" s="6" t="str">
        <f>IFERROR(__xludf.DUMMYFUNCTION("""COMPUTED_VALUE"""),"")</f>
        <v/>
      </c>
      <c r="U2470" s="6" t="str">
        <f>IFERROR(__xludf.DUMMYFUNCTION("""COMPUTED_VALUE"""),"5")</f>
        <v>5</v>
      </c>
      <c r="V2470" s="6" t="str">
        <f>IFERROR(__xludf.DUMMYFUNCTION("""COMPUTED_VALUE"""),"")</f>
        <v/>
      </c>
      <c r="W2470" s="6" t="str">
        <f>IFERROR(__xludf.DUMMYFUNCTION("""COMPUTED_VALUE"""),"[]")</f>
        <v>[]</v>
      </c>
      <c r="X2470" s="6" t="str">
        <f>IFERROR(__xludf.DUMMYFUNCTION("""COMPUTED_VALUE"""),"Enrolled")</f>
        <v>Enrolled</v>
      </c>
    </row>
    <row r="2471">
      <c r="A2471" s="6" t="str">
        <f>IFERROR(__xludf.DUMMYFUNCTION("""COMPUTED_VALUE"""),"040-8602")</f>
        <v>040-8602</v>
      </c>
      <c r="B2471" s="6" t="str">
        <f>IFERROR(__xludf.DUMMYFUNCTION("""COMPUTED_VALUE"""),"40")</f>
        <v>40</v>
      </c>
      <c r="C2471" s="6" t="str">
        <f>IFERROR(__xludf.DUMMYFUNCTION("""COMPUTED_VALUE"""),"8602")</f>
        <v>8602</v>
      </c>
      <c r="D2471" s="6" t="str">
        <f>IFERROR(__xludf.DUMMYFUNCTION("""COMPUTED_VALUE"""),"Gunnar")</f>
        <v>Gunnar</v>
      </c>
      <c r="E2471" s="6" t="str">
        <f>IFERROR(__xludf.DUMMYFUNCTION("""COMPUTED_VALUE"""),"")</f>
        <v/>
      </c>
      <c r="F2471" s="6" t="str">
        <f>IFERROR(__xludf.DUMMYFUNCTION("""COMPUTED_VALUE"""),"Bustamante")</f>
        <v>Bustamante</v>
      </c>
      <c r="G2471" s="6" t="str">
        <f>IFERROR(__xludf.DUMMYFUNCTION("""COMPUTED_VALUE"""),"04/06/2011")</f>
        <v>04/06/2011</v>
      </c>
      <c r="H2471" s="6" t="str">
        <f>IFERROR(__xludf.DUMMYFUNCTION("""COMPUTED_VALUE"""),"Self Identify")</f>
        <v>Self Identify</v>
      </c>
      <c r="I2471" s="6" t="str">
        <f>IFERROR(__xludf.DUMMYFUNCTION("""COMPUTED_VALUE"""),"Middle School")</f>
        <v>Middle School</v>
      </c>
      <c r="J2471" s="6" t="str">
        <f>IFERROR(__xludf.DUMMYFUNCTION("""COMPUTED_VALUE"""),"8")</f>
        <v>8</v>
      </c>
      <c r="K2471" s="6" t="str">
        <f>IFERROR(__xludf.DUMMYFUNCTION("""COMPUTED_VALUE"""),"gunnar.bustamante@unbound.school")</f>
        <v>gunnar.bustamante@unbound.school</v>
      </c>
      <c r="L2471" s="6" t="str">
        <f>IFERROR(__xludf.DUMMYFUNCTION("""COMPUTED_VALUE"""),"Unbound Academy")</f>
        <v>Unbound Academy</v>
      </c>
      <c r="M2471" s="6" t="str">
        <f>IFERROR(__xludf.DUMMYFUNCTION("""COMPUTED_VALUE"""),"")</f>
        <v/>
      </c>
      <c r="N2471" s="6" t="str">
        <f>IFERROR(__xludf.DUMMYFUNCTION("""COMPUTED_VALUE"""),"")</f>
        <v/>
      </c>
      <c r="O2471" s="87" t="str">
        <f>IFERROR(__xludf.DUMMYFUNCTION("""COMPUTED_VALUE"""),"https://drive.google.com/drive/folders/10T2cTQHqEJZqE-st6uFKPoI?usp=share_link")</f>
        <v>https://drive.google.com/drive/folders/10T2cTQHqEJZqE-st6uFKPoI?usp=share_link</v>
      </c>
      <c r="P2471" s="6" t="str">
        <f>IFERROR(__xludf.DUMMYFUNCTION("""COMPUTED_VALUE"""),"Gunnar Bustamante")</f>
        <v>Gunnar Bustamante</v>
      </c>
      <c r="Q2471" s="6" t="str">
        <f>IFERROR(__xludf.DUMMYFUNCTION("""COMPUTED_VALUE"""),"MS")</f>
        <v>MS</v>
      </c>
      <c r="R2471" s="6">
        <f>IFERROR(__xludf.DUMMYFUNCTION("""COMPUTED_VALUE"""),0.0)</f>
        <v>0</v>
      </c>
      <c r="S2471" s="6" t="str">
        <f>IFERROR(__xludf.DUMMYFUNCTION("""COMPUTED_VALUE""")," ")</f>
        <v> </v>
      </c>
      <c r="T2471" s="6" t="str">
        <f>IFERROR(__xludf.DUMMYFUNCTION("""COMPUTED_VALUE"""),"")</f>
        <v/>
      </c>
      <c r="U2471" s="6" t="str">
        <f>IFERROR(__xludf.DUMMYFUNCTION("""COMPUTED_VALUE"""),"8")</f>
        <v>8</v>
      </c>
      <c r="V2471" s="6" t="str">
        <f>IFERROR(__xludf.DUMMYFUNCTION("""COMPUTED_VALUE"""),"English")</f>
        <v>English</v>
      </c>
      <c r="W2471" s="6" t="str">
        <f>IFERROR(__xludf.DUMMYFUNCTION("""COMPUTED_VALUE"""),"[]")</f>
        <v>[]</v>
      </c>
      <c r="X2471" s="6" t="str">
        <f>IFERROR(__xludf.DUMMYFUNCTION("""COMPUTED_VALUE"""),"Enrolled")</f>
        <v>Enrolled</v>
      </c>
    </row>
    <row r="2472">
      <c r="A2472" s="6" t="str">
        <f>IFERROR(__xludf.DUMMYFUNCTION("""COMPUTED_VALUE"""),"040-8603")</f>
        <v>040-8603</v>
      </c>
      <c r="B2472" s="6" t="str">
        <f>IFERROR(__xludf.DUMMYFUNCTION("""COMPUTED_VALUE"""),"40")</f>
        <v>40</v>
      </c>
      <c r="C2472" s="6" t="str">
        <f>IFERROR(__xludf.DUMMYFUNCTION("""COMPUTED_VALUE"""),"8603")</f>
        <v>8603</v>
      </c>
      <c r="D2472" s="6" t="str">
        <f>IFERROR(__xludf.DUMMYFUNCTION("""COMPUTED_VALUE"""),"Angelo")</f>
        <v>Angelo</v>
      </c>
      <c r="E2472" s="6" t="str">
        <f>IFERROR(__xludf.DUMMYFUNCTION("""COMPUTED_VALUE"""),"")</f>
        <v/>
      </c>
      <c r="F2472" s="6" t="str">
        <f>IFERROR(__xludf.DUMMYFUNCTION("""COMPUTED_VALUE"""),"Vargas")</f>
        <v>Vargas</v>
      </c>
      <c r="G2472" s="6" t="str">
        <f>IFERROR(__xludf.DUMMYFUNCTION("""COMPUTED_VALUE"""),"10/27/2015")</f>
        <v>10/27/2015</v>
      </c>
      <c r="H2472" s="6" t="str">
        <f>IFERROR(__xludf.DUMMYFUNCTION("""COMPUTED_VALUE"""),"Self Identify")</f>
        <v>Self Identify</v>
      </c>
      <c r="I2472" s="6" t="str">
        <f>IFERROR(__xludf.DUMMYFUNCTION("""COMPUTED_VALUE"""),"Level 2")</f>
        <v>Level 2</v>
      </c>
      <c r="J2472" s="6" t="str">
        <f>IFERROR(__xludf.DUMMYFUNCTION("""COMPUTED_VALUE"""),"5")</f>
        <v>5</v>
      </c>
      <c r="K2472" s="6" t="str">
        <f>IFERROR(__xludf.DUMMYFUNCTION("""COMPUTED_VALUE"""),"angelo.vargas@unbound.school")</f>
        <v>angelo.vargas@unbound.school</v>
      </c>
      <c r="L2472" s="6" t="str">
        <f>IFERROR(__xludf.DUMMYFUNCTION("""COMPUTED_VALUE"""),"Unbound Academy")</f>
        <v>Unbound Academy</v>
      </c>
      <c r="M2472" s="6" t="str">
        <f>IFERROR(__xludf.DUMMYFUNCTION("""COMPUTED_VALUE"""),"")</f>
        <v/>
      </c>
      <c r="N2472" s="6" t="str">
        <f>IFERROR(__xludf.DUMMYFUNCTION("""COMPUTED_VALUE"""),"")</f>
        <v/>
      </c>
      <c r="O2472" s="87" t="str">
        <f>IFERROR(__xludf.DUMMYFUNCTION("""COMPUTED_VALUE"""),"https://drive.google.com/drive/folders/10T2cTQHqEJZqE-st6uFKPoI?usp=share_link")</f>
        <v>https://drive.google.com/drive/folders/10T2cTQHqEJZqE-st6uFKPoI?usp=share_link</v>
      </c>
      <c r="P2472" s="6" t="str">
        <f>IFERROR(__xludf.DUMMYFUNCTION("""COMPUTED_VALUE"""),"Angelo Vargas")</f>
        <v>Angelo Vargas</v>
      </c>
      <c r="Q2472" s="6" t="str">
        <f>IFERROR(__xludf.DUMMYFUNCTION("""COMPUTED_VALUE"""),"L2")</f>
        <v>L2</v>
      </c>
      <c r="R2472" s="6">
        <f>IFERROR(__xludf.DUMMYFUNCTION("""COMPUTED_VALUE"""),2.0)</f>
        <v>2</v>
      </c>
      <c r="S2472" s="6" t="str">
        <f>IFERROR(__xludf.DUMMYFUNCTION("""COMPUTED_VALUE""")," ")</f>
        <v> </v>
      </c>
      <c r="T2472" s="6" t="str">
        <f>IFERROR(__xludf.DUMMYFUNCTION("""COMPUTED_VALUE"""),"")</f>
        <v/>
      </c>
      <c r="U2472" s="6" t="str">
        <f>IFERROR(__xludf.DUMMYFUNCTION("""COMPUTED_VALUE"""),"5")</f>
        <v>5</v>
      </c>
      <c r="V2472" s="6" t="str">
        <f>IFERROR(__xludf.DUMMYFUNCTION("""COMPUTED_VALUE"""),"")</f>
        <v/>
      </c>
      <c r="W2472" s="6" t="str">
        <f>IFERROR(__xludf.DUMMYFUNCTION("""COMPUTED_VALUE"""),"[]")</f>
        <v>[]</v>
      </c>
      <c r="X2472" s="6" t="str">
        <f>IFERROR(__xludf.DUMMYFUNCTION("""COMPUTED_VALUE"""),"Enrolled")</f>
        <v>Enrolled</v>
      </c>
    </row>
    <row r="2473">
      <c r="A2473" s="6" t="str">
        <f>IFERROR(__xludf.DUMMYFUNCTION("""COMPUTED_VALUE"""),"040-8610")</f>
        <v>040-8610</v>
      </c>
      <c r="B2473" s="6" t="str">
        <f>IFERROR(__xludf.DUMMYFUNCTION("""COMPUTED_VALUE"""),"40")</f>
        <v>40</v>
      </c>
      <c r="C2473" s="6" t="str">
        <f>IFERROR(__xludf.DUMMYFUNCTION("""COMPUTED_VALUE"""),"8610")</f>
        <v>8610</v>
      </c>
      <c r="D2473" s="6" t="str">
        <f>IFERROR(__xludf.DUMMYFUNCTION("""COMPUTED_VALUE"""),"Julianna")</f>
        <v>Julianna</v>
      </c>
      <c r="E2473" s="6" t="str">
        <f>IFERROR(__xludf.DUMMYFUNCTION("""COMPUTED_VALUE"""),"")</f>
        <v/>
      </c>
      <c r="F2473" s="6" t="str">
        <f>IFERROR(__xludf.DUMMYFUNCTION("""COMPUTED_VALUE"""),"Gonzalez")</f>
        <v>Gonzalez</v>
      </c>
      <c r="G2473" s="6" t="str">
        <f>IFERROR(__xludf.DUMMYFUNCTION("""COMPUTED_VALUE"""),"09/25/2015")</f>
        <v>09/25/2015</v>
      </c>
      <c r="H2473" s="6" t="str">
        <f>IFERROR(__xludf.DUMMYFUNCTION("""COMPUTED_VALUE"""),"Self Identify")</f>
        <v>Self Identify</v>
      </c>
      <c r="I2473" s="6" t="str">
        <f>IFERROR(__xludf.DUMMYFUNCTION("""COMPUTED_VALUE"""),"Level 2")</f>
        <v>Level 2</v>
      </c>
      <c r="J2473" s="6" t="str">
        <f>IFERROR(__xludf.DUMMYFUNCTION("""COMPUTED_VALUE"""),"4")</f>
        <v>4</v>
      </c>
      <c r="K2473" s="6" t="str">
        <f>IFERROR(__xludf.DUMMYFUNCTION("""COMPUTED_VALUE"""),"julianna.gonzalez@unbound.school")</f>
        <v>julianna.gonzalez@unbound.school</v>
      </c>
      <c r="L2473" s="6" t="str">
        <f>IFERROR(__xludf.DUMMYFUNCTION("""COMPUTED_VALUE"""),"Unbound Academy")</f>
        <v>Unbound Academy</v>
      </c>
      <c r="M2473" s="6" t="str">
        <f>IFERROR(__xludf.DUMMYFUNCTION("""COMPUTED_VALUE"""),"")</f>
        <v/>
      </c>
      <c r="N2473" s="6" t="str">
        <f>IFERROR(__xludf.DUMMYFUNCTION("""COMPUTED_VALUE"""),"")</f>
        <v/>
      </c>
      <c r="O2473" s="87" t="str">
        <f>IFERROR(__xludf.DUMMYFUNCTION("""COMPUTED_VALUE"""),"https://drive.google.com/drive/folders/10T2cTQHqEJZqE-st6uFKPoI?usp=share_link")</f>
        <v>https://drive.google.com/drive/folders/10T2cTQHqEJZqE-st6uFKPoI?usp=share_link</v>
      </c>
      <c r="P2473" s="6" t="str">
        <f>IFERROR(__xludf.DUMMYFUNCTION("""COMPUTED_VALUE"""),"Julianna Gonzalez")</f>
        <v>Julianna Gonzalez</v>
      </c>
      <c r="Q2473" s="6" t="str">
        <f>IFERROR(__xludf.DUMMYFUNCTION("""COMPUTED_VALUE"""),"L2")</f>
        <v>L2</v>
      </c>
      <c r="R2473" s="6">
        <f>IFERROR(__xludf.DUMMYFUNCTION("""COMPUTED_VALUE"""),2.0)</f>
        <v>2</v>
      </c>
      <c r="S2473" s="6" t="str">
        <f>IFERROR(__xludf.DUMMYFUNCTION("""COMPUTED_VALUE""")," ")</f>
        <v> </v>
      </c>
      <c r="T2473" s="6" t="str">
        <f>IFERROR(__xludf.DUMMYFUNCTION("""COMPUTED_VALUE"""),"")</f>
        <v/>
      </c>
      <c r="U2473" s="6" t="str">
        <f>IFERROR(__xludf.DUMMYFUNCTION("""COMPUTED_VALUE"""),"4")</f>
        <v>4</v>
      </c>
      <c r="V2473" s="6" t="str">
        <f>IFERROR(__xludf.DUMMYFUNCTION("""COMPUTED_VALUE"""),"")</f>
        <v/>
      </c>
      <c r="W2473" s="6" t="str">
        <f>IFERROR(__xludf.DUMMYFUNCTION("""COMPUTED_VALUE"""),"[]")</f>
        <v>[]</v>
      </c>
      <c r="X2473" s="6" t="str">
        <f>IFERROR(__xludf.DUMMYFUNCTION("""COMPUTED_VALUE"""),"Enrolled")</f>
        <v>Enrolled</v>
      </c>
    </row>
    <row r="2474">
      <c r="A2474" s="6" t="str">
        <f>IFERROR(__xludf.DUMMYFUNCTION("""COMPUTED_VALUE"""),"040-8675")</f>
        <v>040-8675</v>
      </c>
      <c r="B2474" s="6" t="str">
        <f>IFERROR(__xludf.DUMMYFUNCTION("""COMPUTED_VALUE"""),"40")</f>
        <v>40</v>
      </c>
      <c r="C2474" s="6" t="str">
        <f>IFERROR(__xludf.DUMMYFUNCTION("""COMPUTED_VALUE"""),"8675")</f>
        <v>8675</v>
      </c>
      <c r="D2474" s="6" t="str">
        <f>IFERROR(__xludf.DUMMYFUNCTION("""COMPUTED_VALUE"""),"Gabriel")</f>
        <v>Gabriel</v>
      </c>
      <c r="E2474" s="6" t="str">
        <f>IFERROR(__xludf.DUMMYFUNCTION("""COMPUTED_VALUE"""),"")</f>
        <v/>
      </c>
      <c r="F2474" s="6" t="str">
        <f>IFERROR(__xludf.DUMMYFUNCTION("""COMPUTED_VALUE"""),"Gaviria")</f>
        <v>Gaviria</v>
      </c>
      <c r="G2474" s="6" t="str">
        <f>IFERROR(__xludf.DUMMYFUNCTION("""COMPUTED_VALUE"""),"09/11/2011")</f>
        <v>09/11/2011</v>
      </c>
      <c r="H2474" s="6" t="str">
        <f>IFERROR(__xludf.DUMMYFUNCTION("""COMPUTED_VALUE"""),"Self Identify")</f>
        <v>Self Identify</v>
      </c>
      <c r="I2474" s="6" t="str">
        <f>IFERROR(__xludf.DUMMYFUNCTION("""COMPUTED_VALUE"""),"Level 2")</f>
        <v>Level 2</v>
      </c>
      <c r="J2474" s="6" t="str">
        <f>IFERROR(__xludf.DUMMYFUNCTION("""COMPUTED_VALUE"""),"8")</f>
        <v>8</v>
      </c>
      <c r="K2474" s="6" t="str">
        <f>IFERROR(__xludf.DUMMYFUNCTION("""COMPUTED_VALUE"""),"gabriel.gaviria@unbound.school")</f>
        <v>gabriel.gaviria@unbound.school</v>
      </c>
      <c r="L2474" s="6" t="str">
        <f>IFERROR(__xludf.DUMMYFUNCTION("""COMPUTED_VALUE"""),"Unbound Academy")</f>
        <v>Unbound Academy</v>
      </c>
      <c r="M2474" s="6" t="str">
        <f>IFERROR(__xludf.DUMMYFUNCTION("""COMPUTED_VALUE"""),"")</f>
        <v/>
      </c>
      <c r="N2474" s="6" t="str">
        <f>IFERROR(__xludf.DUMMYFUNCTION("""COMPUTED_VALUE"""),"")</f>
        <v/>
      </c>
      <c r="O2474" s="87" t="str">
        <f>IFERROR(__xludf.DUMMYFUNCTION("""COMPUTED_VALUE"""),"https://drive.google.com/drive/folders/10T2cTQHqEJZqE-st6uFKPoI?usp=share_link")</f>
        <v>https://drive.google.com/drive/folders/10T2cTQHqEJZqE-st6uFKPoI?usp=share_link</v>
      </c>
      <c r="P2474" s="6" t="str">
        <f>IFERROR(__xludf.DUMMYFUNCTION("""COMPUTED_VALUE"""),"Gabriel Gaviria")</f>
        <v>Gabriel Gaviria</v>
      </c>
      <c r="Q2474" s="6" t="str">
        <f>IFERROR(__xludf.DUMMYFUNCTION("""COMPUTED_VALUE"""),"L2")</f>
        <v>L2</v>
      </c>
      <c r="R2474" s="6">
        <f>IFERROR(__xludf.DUMMYFUNCTION("""COMPUTED_VALUE"""),2.0)</f>
        <v>2</v>
      </c>
      <c r="S2474" s="6" t="str">
        <f>IFERROR(__xludf.DUMMYFUNCTION("""COMPUTED_VALUE""")," ")</f>
        <v> </v>
      </c>
      <c r="T2474" s="6" t="str">
        <f>IFERROR(__xludf.DUMMYFUNCTION("""COMPUTED_VALUE"""),"")</f>
        <v/>
      </c>
      <c r="U2474" s="6" t="str">
        <f>IFERROR(__xludf.DUMMYFUNCTION("""COMPUTED_VALUE"""),"8")</f>
        <v>8</v>
      </c>
      <c r="V2474" s="6" t="str">
        <f>IFERROR(__xludf.DUMMYFUNCTION("""COMPUTED_VALUE"""),"")</f>
        <v/>
      </c>
      <c r="W2474" s="6" t="str">
        <f>IFERROR(__xludf.DUMMYFUNCTION("""COMPUTED_VALUE"""),"[]")</f>
        <v>[]</v>
      </c>
      <c r="X2474" s="6" t="str">
        <f>IFERROR(__xludf.DUMMYFUNCTION("""COMPUTED_VALUE"""),"Enrolled")</f>
        <v>Enrolled</v>
      </c>
    </row>
    <row r="2475">
      <c r="A2475" s="6" t="str">
        <f>IFERROR(__xludf.DUMMYFUNCTION("""COMPUTED_VALUE"""),"040-8723")</f>
        <v>040-8723</v>
      </c>
      <c r="B2475" s="6" t="str">
        <f>IFERROR(__xludf.DUMMYFUNCTION("""COMPUTED_VALUE"""),"40")</f>
        <v>40</v>
      </c>
      <c r="C2475" s="6" t="str">
        <f>IFERROR(__xludf.DUMMYFUNCTION("""COMPUTED_VALUE"""),"8723")</f>
        <v>8723</v>
      </c>
      <c r="D2475" s="6" t="str">
        <f>IFERROR(__xludf.DUMMYFUNCTION("""COMPUTED_VALUE"""),"Lexi")</f>
        <v>Lexi</v>
      </c>
      <c r="E2475" s="6" t="str">
        <f>IFERROR(__xludf.DUMMYFUNCTION("""COMPUTED_VALUE"""),"")</f>
        <v/>
      </c>
      <c r="F2475" s="6" t="str">
        <f>IFERROR(__xludf.DUMMYFUNCTION("""COMPUTED_VALUE"""),"Greene")</f>
        <v>Greene</v>
      </c>
      <c r="G2475" s="6" t="str">
        <f>IFERROR(__xludf.DUMMYFUNCTION("""COMPUTED_VALUE"""),"11/14/2011")</f>
        <v>11/14/2011</v>
      </c>
      <c r="H2475" s="6" t="str">
        <f>IFERROR(__xludf.DUMMYFUNCTION("""COMPUTED_VALUE"""),"Self Identify")</f>
        <v>Self Identify</v>
      </c>
      <c r="I2475" s="6" t="str">
        <f>IFERROR(__xludf.DUMMYFUNCTION("""COMPUTED_VALUE"""),"Middle School")</f>
        <v>Middle School</v>
      </c>
      <c r="J2475" s="6" t="str">
        <f>IFERROR(__xludf.DUMMYFUNCTION("""COMPUTED_VALUE"""),"8")</f>
        <v>8</v>
      </c>
      <c r="K2475" s="6" t="str">
        <f>IFERROR(__xludf.DUMMYFUNCTION("""COMPUTED_VALUE"""),"lexi.greene@unbound.school")</f>
        <v>lexi.greene@unbound.school</v>
      </c>
      <c r="L2475" s="6" t="str">
        <f>IFERROR(__xludf.DUMMYFUNCTION("""COMPUTED_VALUE"""),"Unbound Academy")</f>
        <v>Unbound Academy</v>
      </c>
      <c r="M2475" s="6" t="str">
        <f>IFERROR(__xludf.DUMMYFUNCTION("""COMPUTED_VALUE"""),"")</f>
        <v/>
      </c>
      <c r="N2475" s="6" t="str">
        <f>IFERROR(__xludf.DUMMYFUNCTION("""COMPUTED_VALUE"""),"")</f>
        <v/>
      </c>
      <c r="O2475" s="87" t="str">
        <f>IFERROR(__xludf.DUMMYFUNCTION("""COMPUTED_VALUE"""),"https://drive.google.com/drive/folders/10T2cTQHqEJZqE-st6uFKPoI?usp=share_link")</f>
        <v>https://drive.google.com/drive/folders/10T2cTQHqEJZqE-st6uFKPoI?usp=share_link</v>
      </c>
      <c r="P2475" s="6" t="str">
        <f>IFERROR(__xludf.DUMMYFUNCTION("""COMPUTED_VALUE"""),"Lexi Greene")</f>
        <v>Lexi Greene</v>
      </c>
      <c r="Q2475" s="6" t="str">
        <f>IFERROR(__xludf.DUMMYFUNCTION("""COMPUTED_VALUE"""),"MS")</f>
        <v>MS</v>
      </c>
      <c r="R2475" s="6">
        <f>IFERROR(__xludf.DUMMYFUNCTION("""COMPUTED_VALUE"""),0.0)</f>
        <v>0</v>
      </c>
      <c r="S2475" s="6" t="str">
        <f>IFERROR(__xludf.DUMMYFUNCTION("""COMPUTED_VALUE""")," ")</f>
        <v> </v>
      </c>
      <c r="T2475" s="6" t="str">
        <f>IFERROR(__xludf.DUMMYFUNCTION("""COMPUTED_VALUE"""),"")</f>
        <v/>
      </c>
      <c r="U2475" s="6" t="str">
        <f>IFERROR(__xludf.DUMMYFUNCTION("""COMPUTED_VALUE"""),"8")</f>
        <v>8</v>
      </c>
      <c r="V2475" s="6" t="str">
        <f>IFERROR(__xludf.DUMMYFUNCTION("""COMPUTED_VALUE"""),"")</f>
        <v/>
      </c>
      <c r="W2475" s="6" t="str">
        <f>IFERROR(__xludf.DUMMYFUNCTION("""COMPUTED_VALUE"""),"[]")</f>
        <v>[]</v>
      </c>
      <c r="X2475" s="6" t="str">
        <f>IFERROR(__xludf.DUMMYFUNCTION("""COMPUTED_VALUE"""),"Enrolled")</f>
        <v>Enrolled</v>
      </c>
    </row>
    <row r="2476">
      <c r="A2476" s="6" t="str">
        <f>IFERROR(__xludf.DUMMYFUNCTION("""COMPUTED_VALUE"""),"040-8779")</f>
        <v>040-8779</v>
      </c>
      <c r="B2476" s="6" t="str">
        <f>IFERROR(__xludf.DUMMYFUNCTION("""COMPUTED_VALUE"""),"40")</f>
        <v>40</v>
      </c>
      <c r="C2476" s="6" t="str">
        <f>IFERROR(__xludf.DUMMYFUNCTION("""COMPUTED_VALUE"""),"8779")</f>
        <v>8779</v>
      </c>
      <c r="D2476" s="6" t="str">
        <f>IFERROR(__xludf.DUMMYFUNCTION("""COMPUTED_VALUE"""),"Amiya")</f>
        <v>Amiya</v>
      </c>
      <c r="E2476" s="6" t="str">
        <f>IFERROR(__xludf.DUMMYFUNCTION("""COMPUTED_VALUE"""),"")</f>
        <v/>
      </c>
      <c r="F2476" s="6" t="str">
        <f>IFERROR(__xludf.DUMMYFUNCTION("""COMPUTED_VALUE"""),"Works")</f>
        <v>Works</v>
      </c>
      <c r="G2476" s="6" t="str">
        <f>IFERROR(__xludf.DUMMYFUNCTION("""COMPUTED_VALUE"""),"08/11/2011")</f>
        <v>08/11/2011</v>
      </c>
      <c r="H2476" s="6" t="str">
        <f>IFERROR(__xludf.DUMMYFUNCTION("""COMPUTED_VALUE"""),"self_identify")</f>
        <v>self_identify</v>
      </c>
      <c r="I2476" s="6" t="str">
        <f>IFERROR(__xludf.DUMMYFUNCTION("""COMPUTED_VALUE"""),"Middle School")</f>
        <v>Middle School</v>
      </c>
      <c r="J2476" s="6" t="str">
        <f>IFERROR(__xludf.DUMMYFUNCTION("""COMPUTED_VALUE"""),"8")</f>
        <v>8</v>
      </c>
      <c r="K2476" s="6" t="str">
        <f>IFERROR(__xludf.DUMMYFUNCTION("""COMPUTED_VALUE"""),"amiya.works@unbound.school")</f>
        <v>amiya.works@unbound.school</v>
      </c>
      <c r="L2476" s="6" t="str">
        <f>IFERROR(__xludf.DUMMYFUNCTION("""COMPUTED_VALUE"""),"Unbound Academy")</f>
        <v>Unbound Academy</v>
      </c>
      <c r="M2476" s="6" t="str">
        <f>IFERROR(__xludf.DUMMYFUNCTION("""COMPUTED_VALUE"""),"")</f>
        <v/>
      </c>
      <c r="N2476" s="6" t="str">
        <f>IFERROR(__xludf.DUMMYFUNCTION("""COMPUTED_VALUE"""),"")</f>
        <v/>
      </c>
      <c r="O2476" s="87" t="str">
        <f>IFERROR(__xludf.DUMMYFUNCTION("""COMPUTED_VALUE"""),"https://drive.google.com/drive/folders/10T2cTQHqEJZqE-st6uFKPoI?usp=share_link")</f>
        <v>https://drive.google.com/drive/folders/10T2cTQHqEJZqE-st6uFKPoI?usp=share_link</v>
      </c>
      <c r="P2476" s="6" t="str">
        <f>IFERROR(__xludf.DUMMYFUNCTION("""COMPUTED_VALUE"""),"Amiya Works")</f>
        <v>Amiya Works</v>
      </c>
      <c r="Q2476" s="6" t="str">
        <f>IFERROR(__xludf.DUMMYFUNCTION("""COMPUTED_VALUE"""),"MS")</f>
        <v>MS</v>
      </c>
      <c r="R2476" s="6">
        <f>IFERROR(__xludf.DUMMYFUNCTION("""COMPUTED_VALUE"""),0.0)</f>
        <v>0</v>
      </c>
      <c r="S2476" s="6" t="str">
        <f>IFERROR(__xludf.DUMMYFUNCTION("""COMPUTED_VALUE""")," ")</f>
        <v> </v>
      </c>
      <c r="T2476" s="6" t="str">
        <f>IFERROR(__xludf.DUMMYFUNCTION("""COMPUTED_VALUE"""),"")</f>
        <v/>
      </c>
      <c r="U2476" s="6" t="str">
        <f>IFERROR(__xludf.DUMMYFUNCTION("""COMPUTED_VALUE"""),"8")</f>
        <v>8</v>
      </c>
      <c r="V2476" s="6" t="str">
        <f>IFERROR(__xludf.DUMMYFUNCTION("""COMPUTED_VALUE"""),"")</f>
        <v/>
      </c>
      <c r="W2476" s="6" t="str">
        <f>IFERROR(__xludf.DUMMYFUNCTION("""COMPUTED_VALUE"""),"[]")</f>
        <v>[]</v>
      </c>
      <c r="X2476" s="6" t="str">
        <f>IFERROR(__xludf.DUMMYFUNCTION("""COMPUTED_VALUE"""),"Enrolled")</f>
        <v>Enrolled</v>
      </c>
    </row>
    <row r="2477">
      <c r="A2477" s="6" t="str">
        <f>IFERROR(__xludf.DUMMYFUNCTION("""COMPUTED_VALUE"""),"040-8832")</f>
        <v>040-8832</v>
      </c>
      <c r="B2477" s="6" t="str">
        <f>IFERROR(__xludf.DUMMYFUNCTION("""COMPUTED_VALUE"""),"40")</f>
        <v>40</v>
      </c>
      <c r="C2477" s="6" t="str">
        <f>IFERROR(__xludf.DUMMYFUNCTION("""COMPUTED_VALUE"""),"8832")</f>
        <v>8832</v>
      </c>
      <c r="D2477" s="6" t="str">
        <f>IFERROR(__xludf.DUMMYFUNCTION("""COMPUTED_VALUE"""),"Gauge")</f>
        <v>Gauge</v>
      </c>
      <c r="E2477" s="6" t="str">
        <f>IFERROR(__xludf.DUMMYFUNCTION("""COMPUTED_VALUE"""),"")</f>
        <v/>
      </c>
      <c r="F2477" s="6" t="str">
        <f>IFERROR(__xludf.DUMMYFUNCTION("""COMPUTED_VALUE"""),"McCahon")</f>
        <v>McCahon</v>
      </c>
      <c r="G2477" s="6" t="str">
        <f>IFERROR(__xludf.DUMMYFUNCTION("""COMPUTED_VALUE"""),"12/26/2013")</f>
        <v>12/26/2013</v>
      </c>
      <c r="H2477" s="6" t="str">
        <f>IFERROR(__xludf.DUMMYFUNCTION("""COMPUTED_VALUE"""),"Self Identify")</f>
        <v>Self Identify</v>
      </c>
      <c r="I2477" s="6" t="str">
        <f>IFERROR(__xludf.DUMMYFUNCTION("""COMPUTED_VALUE"""),"Middle School")</f>
        <v>Middle School</v>
      </c>
      <c r="J2477" s="6" t="str">
        <f>IFERROR(__xludf.DUMMYFUNCTION("""COMPUTED_VALUE"""),"6")</f>
        <v>6</v>
      </c>
      <c r="K2477" s="6" t="str">
        <f>IFERROR(__xludf.DUMMYFUNCTION("""COMPUTED_VALUE"""),"gauge.mccahon@unbound.school")</f>
        <v>gauge.mccahon@unbound.school</v>
      </c>
      <c r="L2477" s="6" t="str">
        <f>IFERROR(__xludf.DUMMYFUNCTION("""COMPUTED_VALUE"""),"Unbound Academy")</f>
        <v>Unbound Academy</v>
      </c>
      <c r="M2477" s="6" t="str">
        <f>IFERROR(__xludf.DUMMYFUNCTION("""COMPUTED_VALUE"""),"")</f>
        <v/>
      </c>
      <c r="N2477" s="6" t="str">
        <f>IFERROR(__xludf.DUMMYFUNCTION("""COMPUTED_VALUE"""),"")</f>
        <v/>
      </c>
      <c r="O2477" s="87" t="str">
        <f>IFERROR(__xludf.DUMMYFUNCTION("""COMPUTED_VALUE"""),"https://drive.google.com/drive/folders/10T2cTQHqEJZqE-st6uFKPoI?usp=share_link")</f>
        <v>https://drive.google.com/drive/folders/10T2cTQHqEJZqE-st6uFKPoI?usp=share_link</v>
      </c>
      <c r="P2477" s="6" t="str">
        <f>IFERROR(__xludf.DUMMYFUNCTION("""COMPUTED_VALUE"""),"Gauge McCahon")</f>
        <v>Gauge McCahon</v>
      </c>
      <c r="Q2477" s="6" t="str">
        <f>IFERROR(__xludf.DUMMYFUNCTION("""COMPUTED_VALUE"""),"MS")</f>
        <v>MS</v>
      </c>
      <c r="R2477" s="6">
        <f>IFERROR(__xludf.DUMMYFUNCTION("""COMPUTED_VALUE"""),0.0)</f>
        <v>0</v>
      </c>
      <c r="S2477" s="6" t="str">
        <f>IFERROR(__xludf.DUMMYFUNCTION("""COMPUTED_VALUE""")," ")</f>
        <v> </v>
      </c>
      <c r="T2477" s="6" t="str">
        <f>IFERROR(__xludf.DUMMYFUNCTION("""COMPUTED_VALUE"""),"")</f>
        <v/>
      </c>
      <c r="U2477" s="6" t="str">
        <f>IFERROR(__xludf.DUMMYFUNCTION("""COMPUTED_VALUE"""),"6")</f>
        <v>6</v>
      </c>
      <c r="V2477" s="6" t="str">
        <f>IFERROR(__xludf.DUMMYFUNCTION("""COMPUTED_VALUE"""),"")</f>
        <v/>
      </c>
      <c r="W2477" s="6" t="str">
        <f>IFERROR(__xludf.DUMMYFUNCTION("""COMPUTED_VALUE"""),"[]")</f>
        <v>[]</v>
      </c>
      <c r="X2477" s="6" t="str">
        <f>IFERROR(__xludf.DUMMYFUNCTION("""COMPUTED_VALUE"""),"Enrolled")</f>
        <v>Enrolled</v>
      </c>
    </row>
    <row r="2478">
      <c r="A2478" s="6" t="str">
        <f>IFERROR(__xludf.DUMMYFUNCTION("""COMPUTED_VALUE"""),"040-8842")</f>
        <v>040-8842</v>
      </c>
      <c r="B2478" s="6" t="str">
        <f>IFERROR(__xludf.DUMMYFUNCTION("""COMPUTED_VALUE"""),"40")</f>
        <v>40</v>
      </c>
      <c r="C2478" s="6" t="str">
        <f>IFERROR(__xludf.DUMMYFUNCTION("""COMPUTED_VALUE"""),"8842")</f>
        <v>8842</v>
      </c>
      <c r="D2478" s="6" t="str">
        <f>IFERROR(__xludf.DUMMYFUNCTION("""COMPUTED_VALUE"""),"Kaine")</f>
        <v>Kaine</v>
      </c>
      <c r="E2478" s="6" t="str">
        <f>IFERROR(__xludf.DUMMYFUNCTION("""COMPUTED_VALUE"""),"")</f>
        <v/>
      </c>
      <c r="F2478" s="6" t="str">
        <f>IFERROR(__xludf.DUMMYFUNCTION("""COMPUTED_VALUE"""),"McCahon")</f>
        <v>McCahon</v>
      </c>
      <c r="G2478" s="6" t="str">
        <f>IFERROR(__xludf.DUMMYFUNCTION("""COMPUTED_VALUE"""),"12/26/2013")</f>
        <v>12/26/2013</v>
      </c>
      <c r="H2478" s="6" t="str">
        <f>IFERROR(__xludf.DUMMYFUNCTION("""COMPUTED_VALUE"""),"Self Identify")</f>
        <v>Self Identify</v>
      </c>
      <c r="I2478" s="6" t="str">
        <f>IFERROR(__xludf.DUMMYFUNCTION("""COMPUTED_VALUE"""),"Middle School")</f>
        <v>Middle School</v>
      </c>
      <c r="J2478" s="6" t="str">
        <f>IFERROR(__xludf.DUMMYFUNCTION("""COMPUTED_VALUE"""),"7")</f>
        <v>7</v>
      </c>
      <c r="K2478" s="6" t="str">
        <f>IFERROR(__xludf.DUMMYFUNCTION("""COMPUTED_VALUE"""),"kaine.mccahon@unbound.school")</f>
        <v>kaine.mccahon@unbound.school</v>
      </c>
      <c r="L2478" s="6" t="str">
        <f>IFERROR(__xludf.DUMMYFUNCTION("""COMPUTED_VALUE"""),"Unbound Academy")</f>
        <v>Unbound Academy</v>
      </c>
      <c r="M2478" s="6" t="str">
        <f>IFERROR(__xludf.DUMMYFUNCTION("""COMPUTED_VALUE"""),"")</f>
        <v/>
      </c>
      <c r="N2478" s="6" t="str">
        <f>IFERROR(__xludf.DUMMYFUNCTION("""COMPUTED_VALUE"""),"")</f>
        <v/>
      </c>
      <c r="O2478" s="87" t="str">
        <f>IFERROR(__xludf.DUMMYFUNCTION("""COMPUTED_VALUE"""),"https://drive.google.com/drive/folders/10T2cTQHqEJZqE-st6uFKPoI?usp=share_link")</f>
        <v>https://drive.google.com/drive/folders/10T2cTQHqEJZqE-st6uFKPoI?usp=share_link</v>
      </c>
      <c r="P2478" s="6" t="str">
        <f>IFERROR(__xludf.DUMMYFUNCTION("""COMPUTED_VALUE"""),"Kaine McCahon")</f>
        <v>Kaine McCahon</v>
      </c>
      <c r="Q2478" s="6" t="str">
        <f>IFERROR(__xludf.DUMMYFUNCTION("""COMPUTED_VALUE"""),"MS")</f>
        <v>MS</v>
      </c>
      <c r="R2478" s="6">
        <f>IFERROR(__xludf.DUMMYFUNCTION("""COMPUTED_VALUE"""),0.0)</f>
        <v>0</v>
      </c>
      <c r="S2478" s="6" t="str">
        <f>IFERROR(__xludf.DUMMYFUNCTION("""COMPUTED_VALUE""")," ")</f>
        <v> </v>
      </c>
      <c r="T2478" s="6" t="str">
        <f>IFERROR(__xludf.DUMMYFUNCTION("""COMPUTED_VALUE"""),"")</f>
        <v/>
      </c>
      <c r="U2478" s="6" t="str">
        <f>IFERROR(__xludf.DUMMYFUNCTION("""COMPUTED_VALUE"""),"7")</f>
        <v>7</v>
      </c>
      <c r="V2478" s="6" t="str">
        <f>IFERROR(__xludf.DUMMYFUNCTION("""COMPUTED_VALUE"""),"")</f>
        <v/>
      </c>
      <c r="W2478" s="6" t="str">
        <f>IFERROR(__xludf.DUMMYFUNCTION("""COMPUTED_VALUE"""),"[]")</f>
        <v>[]</v>
      </c>
      <c r="X2478" s="6" t="str">
        <f>IFERROR(__xludf.DUMMYFUNCTION("""COMPUTED_VALUE"""),"Enrolled")</f>
        <v>Enrolled</v>
      </c>
    </row>
    <row r="2479">
      <c r="A2479" s="6" t="str">
        <f>IFERROR(__xludf.DUMMYFUNCTION("""COMPUTED_VALUE"""),"040-8843")</f>
        <v>040-8843</v>
      </c>
      <c r="B2479" s="6" t="str">
        <f>IFERROR(__xludf.DUMMYFUNCTION("""COMPUTED_VALUE"""),"40")</f>
        <v>40</v>
      </c>
      <c r="C2479" s="6" t="str">
        <f>IFERROR(__xludf.DUMMYFUNCTION("""COMPUTED_VALUE"""),"8843")</f>
        <v>8843</v>
      </c>
      <c r="D2479" s="6" t="str">
        <f>IFERROR(__xludf.DUMMYFUNCTION("""COMPUTED_VALUE"""),"Gyzelle")</f>
        <v>Gyzelle</v>
      </c>
      <c r="E2479" s="6" t="str">
        <f>IFERROR(__xludf.DUMMYFUNCTION("""COMPUTED_VALUE"""),"")</f>
        <v/>
      </c>
      <c r="F2479" s="6" t="str">
        <f>IFERROR(__xludf.DUMMYFUNCTION("""COMPUTED_VALUE"""),"Kemp")</f>
        <v>Kemp</v>
      </c>
      <c r="G2479" s="6" t="str">
        <f>IFERROR(__xludf.DUMMYFUNCTION("""COMPUTED_VALUE"""),"08/22/2015")</f>
        <v>08/22/2015</v>
      </c>
      <c r="H2479" s="6" t="str">
        <f>IFERROR(__xludf.DUMMYFUNCTION("""COMPUTED_VALUE"""),"Self Identify")</f>
        <v>Self Identify</v>
      </c>
      <c r="I2479" s="6" t="str">
        <f>IFERROR(__xludf.DUMMYFUNCTION("""COMPUTED_VALUE"""),"Level 2")</f>
        <v>Level 2</v>
      </c>
      <c r="J2479" s="6" t="str">
        <f>IFERROR(__xludf.DUMMYFUNCTION("""COMPUTED_VALUE"""),"5")</f>
        <v>5</v>
      </c>
      <c r="K2479" s="6" t="str">
        <f>IFERROR(__xludf.DUMMYFUNCTION("""COMPUTED_VALUE"""),"gyzelle.kemp@unbound.school")</f>
        <v>gyzelle.kemp@unbound.school</v>
      </c>
      <c r="L2479" s="6" t="str">
        <f>IFERROR(__xludf.DUMMYFUNCTION("""COMPUTED_VALUE"""),"Unbound Academy")</f>
        <v>Unbound Academy</v>
      </c>
      <c r="M2479" s="6" t="str">
        <f>IFERROR(__xludf.DUMMYFUNCTION("""COMPUTED_VALUE"""),"")</f>
        <v/>
      </c>
      <c r="N2479" s="6" t="str">
        <f>IFERROR(__xludf.DUMMYFUNCTION("""COMPUTED_VALUE"""),"")</f>
        <v/>
      </c>
      <c r="O2479" s="87" t="str">
        <f>IFERROR(__xludf.DUMMYFUNCTION("""COMPUTED_VALUE"""),"https://drive.google.com/drive/folders/10T2cTQHqEJZqE-st6uFKPoI?usp=share_link")</f>
        <v>https://drive.google.com/drive/folders/10T2cTQHqEJZqE-st6uFKPoI?usp=share_link</v>
      </c>
      <c r="P2479" s="6" t="str">
        <f>IFERROR(__xludf.DUMMYFUNCTION("""COMPUTED_VALUE"""),"Gyzelle Kemp")</f>
        <v>Gyzelle Kemp</v>
      </c>
      <c r="Q2479" s="6" t="str">
        <f>IFERROR(__xludf.DUMMYFUNCTION("""COMPUTED_VALUE"""),"L2")</f>
        <v>L2</v>
      </c>
      <c r="R2479" s="6">
        <f>IFERROR(__xludf.DUMMYFUNCTION("""COMPUTED_VALUE"""),2.0)</f>
        <v>2</v>
      </c>
      <c r="S2479" s="6" t="str">
        <f>IFERROR(__xludf.DUMMYFUNCTION("""COMPUTED_VALUE""")," ")</f>
        <v> </v>
      </c>
      <c r="T2479" s="6" t="str">
        <f>IFERROR(__xludf.DUMMYFUNCTION("""COMPUTED_VALUE"""),"")</f>
        <v/>
      </c>
      <c r="U2479" s="6" t="str">
        <f>IFERROR(__xludf.DUMMYFUNCTION("""COMPUTED_VALUE"""),"5")</f>
        <v>5</v>
      </c>
      <c r="V2479" s="6" t="str">
        <f>IFERROR(__xludf.DUMMYFUNCTION("""COMPUTED_VALUE"""),"")</f>
        <v/>
      </c>
      <c r="W2479" s="6" t="str">
        <f>IFERROR(__xludf.DUMMYFUNCTION("""COMPUTED_VALUE"""),"[]")</f>
        <v>[]</v>
      </c>
      <c r="X2479" s="6" t="str">
        <f>IFERROR(__xludf.DUMMYFUNCTION("""COMPUTED_VALUE"""),"Enrolled")</f>
        <v>Enrolled</v>
      </c>
    </row>
    <row r="2480">
      <c r="A2480" s="6" t="str">
        <f>IFERROR(__xludf.DUMMYFUNCTION("""COMPUTED_VALUE"""),"040-8845")</f>
        <v>040-8845</v>
      </c>
      <c r="B2480" s="6" t="str">
        <f>IFERROR(__xludf.DUMMYFUNCTION("""COMPUTED_VALUE"""),"40")</f>
        <v>40</v>
      </c>
      <c r="C2480" s="6" t="str">
        <f>IFERROR(__xludf.DUMMYFUNCTION("""COMPUTED_VALUE"""),"8845")</f>
        <v>8845</v>
      </c>
      <c r="D2480" s="6" t="str">
        <f>IFERROR(__xludf.DUMMYFUNCTION("""COMPUTED_VALUE"""),"Alexander")</f>
        <v>Alexander</v>
      </c>
      <c r="E2480" s="6" t="str">
        <f>IFERROR(__xludf.DUMMYFUNCTION("""COMPUTED_VALUE"""),"")</f>
        <v/>
      </c>
      <c r="F2480" s="6" t="str">
        <f>IFERROR(__xludf.DUMMYFUNCTION("""COMPUTED_VALUE"""),"Seitz")</f>
        <v>Seitz</v>
      </c>
      <c r="G2480" s="6" t="str">
        <f>IFERROR(__xludf.DUMMYFUNCTION("""COMPUTED_VALUE"""),"01/01/2015")</f>
        <v>01/01/2015</v>
      </c>
      <c r="H2480" s="6" t="str">
        <f>IFERROR(__xludf.DUMMYFUNCTION("""COMPUTED_VALUE"""),"Self Identify")</f>
        <v>Self Identify</v>
      </c>
      <c r="I2480" s="6" t="str">
        <f>IFERROR(__xludf.DUMMYFUNCTION("""COMPUTED_VALUE"""),"Middle School")</f>
        <v>Middle School</v>
      </c>
      <c r="J2480" s="6" t="str">
        <f>IFERROR(__xludf.DUMMYFUNCTION("""COMPUTED_VALUE"""),"7")</f>
        <v>7</v>
      </c>
      <c r="K2480" s="6" t="str">
        <f>IFERROR(__xludf.DUMMYFUNCTION("""COMPUTED_VALUE"""),"alexander.seitz@unbound.school")</f>
        <v>alexander.seitz@unbound.school</v>
      </c>
      <c r="L2480" s="6" t="str">
        <f>IFERROR(__xludf.DUMMYFUNCTION("""COMPUTED_VALUE"""),"Unbound Academy")</f>
        <v>Unbound Academy</v>
      </c>
      <c r="M2480" s="6" t="str">
        <f>IFERROR(__xludf.DUMMYFUNCTION("""COMPUTED_VALUE"""),"")</f>
        <v/>
      </c>
      <c r="N2480" s="6" t="str">
        <f>IFERROR(__xludf.DUMMYFUNCTION("""COMPUTED_VALUE"""),"")</f>
        <v/>
      </c>
      <c r="O2480" s="87" t="str">
        <f>IFERROR(__xludf.DUMMYFUNCTION("""COMPUTED_VALUE"""),"https://drive.google.com/drive/folders/10T2cTQHqEJZqE-st6uFKPoI?usp=share_link")</f>
        <v>https://drive.google.com/drive/folders/10T2cTQHqEJZqE-st6uFKPoI?usp=share_link</v>
      </c>
      <c r="P2480" s="6" t="str">
        <f>IFERROR(__xludf.DUMMYFUNCTION("""COMPUTED_VALUE"""),"Alexander Seitz")</f>
        <v>Alexander Seitz</v>
      </c>
      <c r="Q2480" s="6" t="str">
        <f>IFERROR(__xludf.DUMMYFUNCTION("""COMPUTED_VALUE"""),"MS")</f>
        <v>MS</v>
      </c>
      <c r="R2480" s="6">
        <f>IFERROR(__xludf.DUMMYFUNCTION("""COMPUTED_VALUE"""),0.0)</f>
        <v>0</v>
      </c>
      <c r="S2480" s="6" t="str">
        <f>IFERROR(__xludf.DUMMYFUNCTION("""COMPUTED_VALUE""")," ")</f>
        <v> </v>
      </c>
      <c r="T2480" s="6" t="str">
        <f>IFERROR(__xludf.DUMMYFUNCTION("""COMPUTED_VALUE"""),"")</f>
        <v/>
      </c>
      <c r="U2480" s="6" t="str">
        <f>IFERROR(__xludf.DUMMYFUNCTION("""COMPUTED_VALUE"""),"7")</f>
        <v>7</v>
      </c>
      <c r="V2480" s="6" t="str">
        <f>IFERROR(__xludf.DUMMYFUNCTION("""COMPUTED_VALUE"""),"")</f>
        <v/>
      </c>
      <c r="W2480" s="6" t="str">
        <f>IFERROR(__xludf.DUMMYFUNCTION("""COMPUTED_VALUE"""),"[]")</f>
        <v>[]</v>
      </c>
      <c r="X2480" s="6" t="str">
        <f>IFERROR(__xludf.DUMMYFUNCTION("""COMPUTED_VALUE"""),"Enrolled")</f>
        <v>Enrolled</v>
      </c>
    </row>
    <row r="2481">
      <c r="A2481" s="6" t="str">
        <f>IFERROR(__xludf.DUMMYFUNCTION("""COMPUTED_VALUE"""),"040-8853")</f>
        <v>040-8853</v>
      </c>
      <c r="B2481" s="6" t="str">
        <f>IFERROR(__xludf.DUMMYFUNCTION("""COMPUTED_VALUE"""),"40")</f>
        <v>40</v>
      </c>
      <c r="C2481" s="6" t="str">
        <f>IFERROR(__xludf.DUMMYFUNCTION("""COMPUTED_VALUE"""),"8853")</f>
        <v>8853</v>
      </c>
      <c r="D2481" s="6" t="str">
        <f>IFERROR(__xludf.DUMMYFUNCTION("""COMPUTED_VALUE"""),"Ian")</f>
        <v>Ian</v>
      </c>
      <c r="E2481" s="6" t="str">
        <f>IFERROR(__xludf.DUMMYFUNCTION("""COMPUTED_VALUE"""),"")</f>
        <v/>
      </c>
      <c r="F2481" s="6" t="str">
        <f>IFERROR(__xludf.DUMMYFUNCTION("""COMPUTED_VALUE"""),"Valenzuela")</f>
        <v>Valenzuela</v>
      </c>
      <c r="G2481" s="6" t="str">
        <f>IFERROR(__xludf.DUMMYFUNCTION("""COMPUTED_VALUE"""),"10/10/2013")</f>
        <v>10/10/2013</v>
      </c>
      <c r="H2481" s="6" t="str">
        <f>IFERROR(__xludf.DUMMYFUNCTION("""COMPUTED_VALUE"""),"Self Identify")</f>
        <v>Self Identify</v>
      </c>
      <c r="I2481" s="6" t="str">
        <f>IFERROR(__xludf.DUMMYFUNCTION("""COMPUTED_VALUE"""),"Middle School")</f>
        <v>Middle School</v>
      </c>
      <c r="J2481" s="6" t="str">
        <f>IFERROR(__xludf.DUMMYFUNCTION("""COMPUTED_VALUE"""),"6")</f>
        <v>6</v>
      </c>
      <c r="K2481" s="6" t="str">
        <f>IFERROR(__xludf.DUMMYFUNCTION("""COMPUTED_VALUE"""),"ian.valenzuela@unbound.school")</f>
        <v>ian.valenzuela@unbound.school</v>
      </c>
      <c r="L2481" s="6" t="str">
        <f>IFERROR(__xludf.DUMMYFUNCTION("""COMPUTED_VALUE"""),"Unbound Academy")</f>
        <v>Unbound Academy</v>
      </c>
      <c r="M2481" s="6" t="str">
        <f>IFERROR(__xludf.DUMMYFUNCTION("""COMPUTED_VALUE"""),"")</f>
        <v/>
      </c>
      <c r="N2481" s="6" t="str">
        <f>IFERROR(__xludf.DUMMYFUNCTION("""COMPUTED_VALUE"""),"")</f>
        <v/>
      </c>
      <c r="O2481" s="87" t="str">
        <f>IFERROR(__xludf.DUMMYFUNCTION("""COMPUTED_VALUE"""),"https://drive.google.com/drive/folders/10T2cTQHqEJZqE-st6uFKPoI?usp=share_link")</f>
        <v>https://drive.google.com/drive/folders/10T2cTQHqEJZqE-st6uFKPoI?usp=share_link</v>
      </c>
      <c r="P2481" s="6" t="str">
        <f>IFERROR(__xludf.DUMMYFUNCTION("""COMPUTED_VALUE"""),"Ian Valenzuela")</f>
        <v>Ian Valenzuela</v>
      </c>
      <c r="Q2481" s="6" t="str">
        <f>IFERROR(__xludf.DUMMYFUNCTION("""COMPUTED_VALUE"""),"MS")</f>
        <v>MS</v>
      </c>
      <c r="R2481" s="6">
        <f>IFERROR(__xludf.DUMMYFUNCTION("""COMPUTED_VALUE"""),0.0)</f>
        <v>0</v>
      </c>
      <c r="S2481" s="6" t="str">
        <f>IFERROR(__xludf.DUMMYFUNCTION("""COMPUTED_VALUE""")," ")</f>
        <v> </v>
      </c>
      <c r="T2481" s="6" t="str">
        <f>IFERROR(__xludf.DUMMYFUNCTION("""COMPUTED_VALUE"""),"")</f>
        <v/>
      </c>
      <c r="U2481" s="6" t="str">
        <f>IFERROR(__xludf.DUMMYFUNCTION("""COMPUTED_VALUE"""),"6")</f>
        <v>6</v>
      </c>
      <c r="V2481" s="6" t="str">
        <f>IFERROR(__xludf.DUMMYFUNCTION("""COMPUTED_VALUE"""),"")</f>
        <v/>
      </c>
      <c r="W2481" s="6" t="str">
        <f>IFERROR(__xludf.DUMMYFUNCTION("""COMPUTED_VALUE"""),"[]")</f>
        <v>[]</v>
      </c>
      <c r="X2481" s="6" t="str">
        <f>IFERROR(__xludf.DUMMYFUNCTION("""COMPUTED_VALUE"""),"Enrolled")</f>
        <v>Enrolled</v>
      </c>
    </row>
    <row r="2482">
      <c r="A2482" s="6" t="str">
        <f>IFERROR(__xludf.DUMMYFUNCTION("""COMPUTED_VALUE"""),"040-8860")</f>
        <v>040-8860</v>
      </c>
      <c r="B2482" s="6" t="str">
        <f>IFERROR(__xludf.DUMMYFUNCTION("""COMPUTED_VALUE"""),"40")</f>
        <v>40</v>
      </c>
      <c r="C2482" s="6" t="str">
        <f>IFERROR(__xludf.DUMMYFUNCTION("""COMPUTED_VALUE"""),"8860")</f>
        <v>8860</v>
      </c>
      <c r="D2482" s="6" t="str">
        <f>IFERROR(__xludf.DUMMYFUNCTION("""COMPUTED_VALUE"""),"Tremaine")</f>
        <v>Tremaine</v>
      </c>
      <c r="E2482" s="6" t="str">
        <f>IFERROR(__xludf.DUMMYFUNCTION("""COMPUTED_VALUE"""),"")</f>
        <v/>
      </c>
      <c r="F2482" s="6" t="str">
        <f>IFERROR(__xludf.DUMMYFUNCTION("""COMPUTED_VALUE"""),"Coy")</f>
        <v>Coy</v>
      </c>
      <c r="G2482" s="6" t="str">
        <f>IFERROR(__xludf.DUMMYFUNCTION("""COMPUTED_VALUE"""),"03/08/2012")</f>
        <v>03/08/2012</v>
      </c>
      <c r="H2482" s="6" t="str">
        <f>IFERROR(__xludf.DUMMYFUNCTION("""COMPUTED_VALUE"""),"Self Identify")</f>
        <v>Self Identify</v>
      </c>
      <c r="I2482" s="6" t="str">
        <f>IFERROR(__xludf.DUMMYFUNCTION("""COMPUTED_VALUE"""),"Middle School")</f>
        <v>Middle School</v>
      </c>
      <c r="J2482" s="6" t="str">
        <f>IFERROR(__xludf.DUMMYFUNCTION("""COMPUTED_VALUE"""),"8")</f>
        <v>8</v>
      </c>
      <c r="K2482" s="6" t="str">
        <f>IFERROR(__xludf.DUMMYFUNCTION("""COMPUTED_VALUE"""),"tremaine.coy@unbound.school")</f>
        <v>tremaine.coy@unbound.school</v>
      </c>
      <c r="L2482" s="6" t="str">
        <f>IFERROR(__xludf.DUMMYFUNCTION("""COMPUTED_VALUE"""),"Unbound Academy")</f>
        <v>Unbound Academy</v>
      </c>
      <c r="M2482" s="6" t="str">
        <f>IFERROR(__xludf.DUMMYFUNCTION("""COMPUTED_VALUE"""),"")</f>
        <v/>
      </c>
      <c r="N2482" s="6" t="str">
        <f>IFERROR(__xludf.DUMMYFUNCTION("""COMPUTED_VALUE"""),"")</f>
        <v/>
      </c>
      <c r="O2482" s="87" t="str">
        <f>IFERROR(__xludf.DUMMYFUNCTION("""COMPUTED_VALUE"""),"https://drive.google.com/drive/folders/10T2cTQHqEJZqE-st6uFKPoI?usp=share_link")</f>
        <v>https://drive.google.com/drive/folders/10T2cTQHqEJZqE-st6uFKPoI?usp=share_link</v>
      </c>
      <c r="P2482" s="6" t="str">
        <f>IFERROR(__xludf.DUMMYFUNCTION("""COMPUTED_VALUE"""),"Tremaine Coy")</f>
        <v>Tremaine Coy</v>
      </c>
      <c r="Q2482" s="6" t="str">
        <f>IFERROR(__xludf.DUMMYFUNCTION("""COMPUTED_VALUE"""),"MS")</f>
        <v>MS</v>
      </c>
      <c r="R2482" s="6">
        <f>IFERROR(__xludf.DUMMYFUNCTION("""COMPUTED_VALUE"""),0.0)</f>
        <v>0</v>
      </c>
      <c r="S2482" s="6" t="str">
        <f>IFERROR(__xludf.DUMMYFUNCTION("""COMPUTED_VALUE""")," ")</f>
        <v> </v>
      </c>
      <c r="T2482" s="6" t="str">
        <f>IFERROR(__xludf.DUMMYFUNCTION("""COMPUTED_VALUE"""),"")</f>
        <v/>
      </c>
      <c r="U2482" s="6" t="str">
        <f>IFERROR(__xludf.DUMMYFUNCTION("""COMPUTED_VALUE"""),"8")</f>
        <v>8</v>
      </c>
      <c r="V2482" s="6" t="str">
        <f>IFERROR(__xludf.DUMMYFUNCTION("""COMPUTED_VALUE"""),"")</f>
        <v/>
      </c>
      <c r="W2482" s="6" t="str">
        <f>IFERROR(__xludf.DUMMYFUNCTION("""COMPUTED_VALUE"""),"[]")</f>
        <v>[]</v>
      </c>
      <c r="X2482" s="6" t="str">
        <f>IFERROR(__xludf.DUMMYFUNCTION("""COMPUTED_VALUE"""),"Enrolled")</f>
        <v>Enrolled</v>
      </c>
    </row>
    <row r="2483">
      <c r="A2483" s="6" t="str">
        <f>IFERROR(__xludf.DUMMYFUNCTION("""COMPUTED_VALUE"""),"040-8964")</f>
        <v>040-8964</v>
      </c>
      <c r="B2483" s="6" t="str">
        <f>IFERROR(__xludf.DUMMYFUNCTION("""COMPUTED_VALUE"""),"40")</f>
        <v>40</v>
      </c>
      <c r="C2483" s="6" t="str">
        <f>IFERROR(__xludf.DUMMYFUNCTION("""COMPUTED_VALUE"""),"8964")</f>
        <v>8964</v>
      </c>
      <c r="D2483" s="6" t="str">
        <f>IFERROR(__xludf.DUMMYFUNCTION("""COMPUTED_VALUE"""),"Benjamin")</f>
        <v>Benjamin</v>
      </c>
      <c r="E2483" s="6" t="str">
        <f>IFERROR(__xludf.DUMMYFUNCTION("""COMPUTED_VALUE"""),"")</f>
        <v/>
      </c>
      <c r="F2483" s="6" t="str">
        <f>IFERROR(__xludf.DUMMYFUNCTION("""COMPUTED_VALUE"""),"Vega")</f>
        <v>Vega</v>
      </c>
      <c r="G2483" s="6" t="str">
        <f>IFERROR(__xludf.DUMMYFUNCTION("""COMPUTED_VALUE"""),"09/19/2013")</f>
        <v>09/19/2013</v>
      </c>
      <c r="H2483" s="6" t="str">
        <f>IFERROR(__xludf.DUMMYFUNCTION("""COMPUTED_VALUE"""),"Self Identify")</f>
        <v>Self Identify</v>
      </c>
      <c r="I2483" s="6" t="str">
        <f>IFERROR(__xludf.DUMMYFUNCTION("""COMPUTED_VALUE"""),"Middle School")</f>
        <v>Middle School</v>
      </c>
      <c r="J2483" s="6" t="str">
        <f>IFERROR(__xludf.DUMMYFUNCTION("""COMPUTED_VALUE"""),"7")</f>
        <v>7</v>
      </c>
      <c r="K2483" s="6" t="str">
        <f>IFERROR(__xludf.DUMMYFUNCTION("""COMPUTED_VALUE"""),"benjamin.vega@unbound.school")</f>
        <v>benjamin.vega@unbound.school</v>
      </c>
      <c r="L2483" s="6" t="str">
        <f>IFERROR(__xludf.DUMMYFUNCTION("""COMPUTED_VALUE"""),"Unbound Academy")</f>
        <v>Unbound Academy</v>
      </c>
      <c r="M2483" s="6" t="str">
        <f>IFERROR(__xludf.DUMMYFUNCTION("""COMPUTED_VALUE"""),"")</f>
        <v/>
      </c>
      <c r="N2483" s="6" t="str">
        <f>IFERROR(__xludf.DUMMYFUNCTION("""COMPUTED_VALUE"""),"")</f>
        <v/>
      </c>
      <c r="O2483" s="87" t="str">
        <f>IFERROR(__xludf.DUMMYFUNCTION("""COMPUTED_VALUE"""),"https://drive.google.com/drive/folders/10T2cTQHqEJZqE-st6uFKPoI?usp=share_link")</f>
        <v>https://drive.google.com/drive/folders/10T2cTQHqEJZqE-st6uFKPoI?usp=share_link</v>
      </c>
      <c r="P2483" s="6" t="str">
        <f>IFERROR(__xludf.DUMMYFUNCTION("""COMPUTED_VALUE"""),"Benjamin Vega")</f>
        <v>Benjamin Vega</v>
      </c>
      <c r="Q2483" s="6" t="str">
        <f>IFERROR(__xludf.DUMMYFUNCTION("""COMPUTED_VALUE"""),"MS")</f>
        <v>MS</v>
      </c>
      <c r="R2483" s="6">
        <f>IFERROR(__xludf.DUMMYFUNCTION("""COMPUTED_VALUE"""),0.0)</f>
        <v>0</v>
      </c>
      <c r="S2483" s="6" t="str">
        <f>IFERROR(__xludf.DUMMYFUNCTION("""COMPUTED_VALUE""")," ")</f>
        <v> </v>
      </c>
      <c r="T2483" s="6" t="str">
        <f>IFERROR(__xludf.DUMMYFUNCTION("""COMPUTED_VALUE"""),"")</f>
        <v/>
      </c>
      <c r="U2483" s="6" t="str">
        <f>IFERROR(__xludf.DUMMYFUNCTION("""COMPUTED_VALUE"""),"7")</f>
        <v>7</v>
      </c>
      <c r="V2483" s="6" t="str">
        <f>IFERROR(__xludf.DUMMYFUNCTION("""COMPUTED_VALUE"""),"")</f>
        <v/>
      </c>
      <c r="W2483" s="6" t="str">
        <f>IFERROR(__xludf.DUMMYFUNCTION("""COMPUTED_VALUE"""),"[]")</f>
        <v>[]</v>
      </c>
      <c r="X2483" s="6" t="str">
        <f>IFERROR(__xludf.DUMMYFUNCTION("""COMPUTED_VALUE"""),"Enrolled")</f>
        <v>Enrolled</v>
      </c>
    </row>
    <row r="2484">
      <c r="A2484" s="6" t="str">
        <f>IFERROR(__xludf.DUMMYFUNCTION("""COMPUTED_VALUE"""),"040-8965")</f>
        <v>040-8965</v>
      </c>
      <c r="B2484" s="6" t="str">
        <f>IFERROR(__xludf.DUMMYFUNCTION("""COMPUTED_VALUE"""),"40")</f>
        <v>40</v>
      </c>
      <c r="C2484" s="6" t="str">
        <f>IFERROR(__xludf.DUMMYFUNCTION("""COMPUTED_VALUE"""),"8965")</f>
        <v>8965</v>
      </c>
      <c r="D2484" s="6" t="str">
        <f>IFERROR(__xludf.DUMMYFUNCTION("""COMPUTED_VALUE"""),"Daniel")</f>
        <v>Daniel</v>
      </c>
      <c r="E2484" s="6" t="str">
        <f>IFERROR(__xludf.DUMMYFUNCTION("""COMPUTED_VALUE"""),"")</f>
        <v/>
      </c>
      <c r="F2484" s="6" t="str">
        <f>IFERROR(__xludf.DUMMYFUNCTION("""COMPUTED_VALUE"""),"Vega")</f>
        <v>Vega</v>
      </c>
      <c r="G2484" s="6" t="str">
        <f>IFERROR(__xludf.DUMMYFUNCTION("""COMPUTED_VALUE"""),"01/17/2012")</f>
        <v>01/17/2012</v>
      </c>
      <c r="H2484" s="6" t="str">
        <f>IFERROR(__xludf.DUMMYFUNCTION("""COMPUTED_VALUE"""),"Self Identify")</f>
        <v>Self Identify</v>
      </c>
      <c r="I2484" s="6" t="str">
        <f>IFERROR(__xludf.DUMMYFUNCTION("""COMPUTED_VALUE"""),"Middle School")</f>
        <v>Middle School</v>
      </c>
      <c r="J2484" s="6" t="str">
        <f>IFERROR(__xludf.DUMMYFUNCTION("""COMPUTED_VALUE"""),"7")</f>
        <v>7</v>
      </c>
      <c r="K2484" s="6" t="str">
        <f>IFERROR(__xludf.DUMMYFUNCTION("""COMPUTED_VALUE"""),"daniel.vega@unbound.school")</f>
        <v>daniel.vega@unbound.school</v>
      </c>
      <c r="L2484" s="6" t="str">
        <f>IFERROR(__xludf.DUMMYFUNCTION("""COMPUTED_VALUE"""),"Unbound Academy")</f>
        <v>Unbound Academy</v>
      </c>
      <c r="M2484" s="6" t="str">
        <f>IFERROR(__xludf.DUMMYFUNCTION("""COMPUTED_VALUE"""),"")</f>
        <v/>
      </c>
      <c r="N2484" s="6" t="str">
        <f>IFERROR(__xludf.DUMMYFUNCTION("""COMPUTED_VALUE"""),"")</f>
        <v/>
      </c>
      <c r="O2484" s="87" t="str">
        <f>IFERROR(__xludf.DUMMYFUNCTION("""COMPUTED_VALUE"""),"https://drive.google.com/drive/folders/10T2cTQHqEJZqE-st6uFKPoI?usp=share_link")</f>
        <v>https://drive.google.com/drive/folders/10T2cTQHqEJZqE-st6uFKPoI?usp=share_link</v>
      </c>
      <c r="P2484" s="6" t="str">
        <f>IFERROR(__xludf.DUMMYFUNCTION("""COMPUTED_VALUE"""),"Daniel Vega")</f>
        <v>Daniel Vega</v>
      </c>
      <c r="Q2484" s="6" t="str">
        <f>IFERROR(__xludf.DUMMYFUNCTION("""COMPUTED_VALUE"""),"MS")</f>
        <v>MS</v>
      </c>
      <c r="R2484" s="6">
        <f>IFERROR(__xludf.DUMMYFUNCTION("""COMPUTED_VALUE"""),0.0)</f>
        <v>0</v>
      </c>
      <c r="S2484" s="6" t="str">
        <f>IFERROR(__xludf.DUMMYFUNCTION("""COMPUTED_VALUE""")," ")</f>
        <v> </v>
      </c>
      <c r="T2484" s="6" t="str">
        <f>IFERROR(__xludf.DUMMYFUNCTION("""COMPUTED_VALUE"""),"")</f>
        <v/>
      </c>
      <c r="U2484" s="6" t="str">
        <f>IFERROR(__xludf.DUMMYFUNCTION("""COMPUTED_VALUE"""),"7")</f>
        <v>7</v>
      </c>
      <c r="V2484" s="6" t="str">
        <f>IFERROR(__xludf.DUMMYFUNCTION("""COMPUTED_VALUE"""),"")</f>
        <v/>
      </c>
      <c r="W2484" s="6" t="str">
        <f>IFERROR(__xludf.DUMMYFUNCTION("""COMPUTED_VALUE"""),"[]")</f>
        <v>[]</v>
      </c>
      <c r="X2484" s="6" t="str">
        <f>IFERROR(__xludf.DUMMYFUNCTION("""COMPUTED_VALUE"""),"Enrolled")</f>
        <v>Enrolled</v>
      </c>
    </row>
    <row r="2485">
      <c r="A2485" s="6" t="str">
        <f>IFERROR(__xludf.DUMMYFUNCTION("""COMPUTED_VALUE"""),"040-8986")</f>
        <v>040-8986</v>
      </c>
      <c r="B2485" s="6" t="str">
        <f>IFERROR(__xludf.DUMMYFUNCTION("""COMPUTED_VALUE"""),"40")</f>
        <v>40</v>
      </c>
      <c r="C2485" s="6" t="str">
        <f>IFERROR(__xludf.DUMMYFUNCTION("""COMPUTED_VALUE"""),"8986")</f>
        <v>8986</v>
      </c>
      <c r="D2485" s="6" t="str">
        <f>IFERROR(__xludf.DUMMYFUNCTION("""COMPUTED_VALUE"""),"Elisea")</f>
        <v>Elisea</v>
      </c>
      <c r="E2485" s="6" t="str">
        <f>IFERROR(__xludf.DUMMYFUNCTION("""COMPUTED_VALUE"""),"")</f>
        <v/>
      </c>
      <c r="F2485" s="6" t="str">
        <f>IFERROR(__xludf.DUMMYFUNCTION("""COMPUTED_VALUE"""),"Benion")</f>
        <v>Benion</v>
      </c>
      <c r="G2485" s="6" t="str">
        <f>IFERROR(__xludf.DUMMYFUNCTION("""COMPUTED_VALUE"""),"06/25/2014")</f>
        <v>06/25/2014</v>
      </c>
      <c r="H2485" s="6" t="str">
        <f>IFERROR(__xludf.DUMMYFUNCTION("""COMPUTED_VALUE"""),"Self Identify")</f>
        <v>Self Identify</v>
      </c>
      <c r="I2485" s="6" t="str">
        <f>IFERROR(__xludf.DUMMYFUNCTION("""COMPUTED_VALUE"""),"Middle School")</f>
        <v>Middle School</v>
      </c>
      <c r="J2485" s="6" t="str">
        <f>IFERROR(__xludf.DUMMYFUNCTION("""COMPUTED_VALUE"""),"6")</f>
        <v>6</v>
      </c>
      <c r="K2485" s="6" t="str">
        <f>IFERROR(__xludf.DUMMYFUNCTION("""COMPUTED_VALUE"""),"elisea.benion@unbound.school")</f>
        <v>elisea.benion@unbound.school</v>
      </c>
      <c r="L2485" s="6" t="str">
        <f>IFERROR(__xludf.DUMMYFUNCTION("""COMPUTED_VALUE"""),"Unbound Academy")</f>
        <v>Unbound Academy</v>
      </c>
      <c r="M2485" s="6" t="str">
        <f>IFERROR(__xludf.DUMMYFUNCTION("""COMPUTED_VALUE"""),"")</f>
        <v/>
      </c>
      <c r="N2485" s="6" t="str">
        <f>IFERROR(__xludf.DUMMYFUNCTION("""COMPUTED_VALUE"""),"")</f>
        <v/>
      </c>
      <c r="O2485" s="87" t="str">
        <f>IFERROR(__xludf.DUMMYFUNCTION("""COMPUTED_VALUE"""),"https://drive.google.com/drive/folders/10T2cTQHqEJZqE-st6uFKPoI?usp=share_link")</f>
        <v>https://drive.google.com/drive/folders/10T2cTQHqEJZqE-st6uFKPoI?usp=share_link</v>
      </c>
      <c r="P2485" s="6" t="str">
        <f>IFERROR(__xludf.DUMMYFUNCTION("""COMPUTED_VALUE"""),"Elisea Benion")</f>
        <v>Elisea Benion</v>
      </c>
      <c r="Q2485" s="6" t="str">
        <f>IFERROR(__xludf.DUMMYFUNCTION("""COMPUTED_VALUE"""),"MS")</f>
        <v>MS</v>
      </c>
      <c r="R2485" s="6">
        <f>IFERROR(__xludf.DUMMYFUNCTION("""COMPUTED_VALUE"""),0.0)</f>
        <v>0</v>
      </c>
      <c r="S2485" s="6" t="str">
        <f>IFERROR(__xludf.DUMMYFUNCTION("""COMPUTED_VALUE""")," ")</f>
        <v> </v>
      </c>
      <c r="T2485" s="6" t="str">
        <f>IFERROR(__xludf.DUMMYFUNCTION("""COMPUTED_VALUE"""),"")</f>
        <v/>
      </c>
      <c r="U2485" s="6" t="str">
        <f>IFERROR(__xludf.DUMMYFUNCTION("""COMPUTED_VALUE"""),"6")</f>
        <v>6</v>
      </c>
      <c r="V2485" s="6" t="str">
        <f>IFERROR(__xludf.DUMMYFUNCTION("""COMPUTED_VALUE"""),"English")</f>
        <v>English</v>
      </c>
      <c r="W2485" s="6" t="str">
        <f>IFERROR(__xludf.DUMMYFUNCTION("""COMPUTED_VALUE"""),"[]")</f>
        <v>[]</v>
      </c>
      <c r="X2485" s="6" t="str">
        <f>IFERROR(__xludf.DUMMYFUNCTION("""COMPUTED_VALUE"""),"Enrolled")</f>
        <v>Enrolled</v>
      </c>
    </row>
    <row r="2486">
      <c r="A2486" s="6" t="str">
        <f>IFERROR(__xludf.DUMMYFUNCTION("""COMPUTED_VALUE"""),"040-8993")</f>
        <v>040-8993</v>
      </c>
      <c r="B2486" s="6" t="str">
        <f>IFERROR(__xludf.DUMMYFUNCTION("""COMPUTED_VALUE"""),"40")</f>
        <v>40</v>
      </c>
      <c r="C2486" s="6" t="str">
        <f>IFERROR(__xludf.DUMMYFUNCTION("""COMPUTED_VALUE"""),"8993")</f>
        <v>8993</v>
      </c>
      <c r="D2486" s="6" t="str">
        <f>IFERROR(__xludf.DUMMYFUNCTION("""COMPUTED_VALUE"""),"Emiya")</f>
        <v>Emiya</v>
      </c>
      <c r="E2486" s="6" t="str">
        <f>IFERROR(__xludf.DUMMYFUNCTION("""COMPUTED_VALUE"""),"")</f>
        <v/>
      </c>
      <c r="F2486" s="6" t="str">
        <f>IFERROR(__xludf.DUMMYFUNCTION("""COMPUTED_VALUE"""),"Benion")</f>
        <v>Benion</v>
      </c>
      <c r="G2486" s="6" t="str">
        <f>IFERROR(__xludf.DUMMYFUNCTION("""COMPUTED_VALUE"""),"06/27/2016")</f>
        <v>06/27/2016</v>
      </c>
      <c r="H2486" s="6" t="str">
        <f>IFERROR(__xludf.DUMMYFUNCTION("""COMPUTED_VALUE"""),"Self Identify")</f>
        <v>Self Identify</v>
      </c>
      <c r="I2486" s="6" t="str">
        <f>IFERROR(__xludf.DUMMYFUNCTION("""COMPUTED_VALUE"""),"Level 2")</f>
        <v>Level 2</v>
      </c>
      <c r="J2486" s="6" t="str">
        <f>IFERROR(__xludf.DUMMYFUNCTION("""COMPUTED_VALUE"""),"4")</f>
        <v>4</v>
      </c>
      <c r="K2486" s="6" t="str">
        <f>IFERROR(__xludf.DUMMYFUNCTION("""COMPUTED_VALUE"""),"emiya.benion@unbound.school")</f>
        <v>emiya.benion@unbound.school</v>
      </c>
      <c r="L2486" s="6" t="str">
        <f>IFERROR(__xludf.DUMMYFUNCTION("""COMPUTED_VALUE"""),"Unbound Academy")</f>
        <v>Unbound Academy</v>
      </c>
      <c r="M2486" s="6" t="str">
        <f>IFERROR(__xludf.DUMMYFUNCTION("""COMPUTED_VALUE"""),"")</f>
        <v/>
      </c>
      <c r="N2486" s="6" t="str">
        <f>IFERROR(__xludf.DUMMYFUNCTION("""COMPUTED_VALUE"""),"")</f>
        <v/>
      </c>
      <c r="O2486" s="87" t="str">
        <f>IFERROR(__xludf.DUMMYFUNCTION("""COMPUTED_VALUE"""),"https://drive.google.com/drive/folders/10T2cTQHqEJZqE-st6uFKPoI?usp=share_link")</f>
        <v>https://drive.google.com/drive/folders/10T2cTQHqEJZqE-st6uFKPoI?usp=share_link</v>
      </c>
      <c r="P2486" s="6" t="str">
        <f>IFERROR(__xludf.DUMMYFUNCTION("""COMPUTED_VALUE"""),"Emiya Benion")</f>
        <v>Emiya Benion</v>
      </c>
      <c r="Q2486" s="6" t="str">
        <f>IFERROR(__xludf.DUMMYFUNCTION("""COMPUTED_VALUE"""),"L2")</f>
        <v>L2</v>
      </c>
      <c r="R2486" s="6">
        <f>IFERROR(__xludf.DUMMYFUNCTION("""COMPUTED_VALUE"""),2.0)</f>
        <v>2</v>
      </c>
      <c r="S2486" s="6" t="str">
        <f>IFERROR(__xludf.DUMMYFUNCTION("""COMPUTED_VALUE""")," ")</f>
        <v> </v>
      </c>
      <c r="T2486" s="6" t="str">
        <f>IFERROR(__xludf.DUMMYFUNCTION("""COMPUTED_VALUE"""),"")</f>
        <v/>
      </c>
      <c r="U2486" s="6" t="str">
        <f>IFERROR(__xludf.DUMMYFUNCTION("""COMPUTED_VALUE"""),"4")</f>
        <v>4</v>
      </c>
      <c r="V2486" s="6" t="str">
        <f>IFERROR(__xludf.DUMMYFUNCTION("""COMPUTED_VALUE"""),"")</f>
        <v/>
      </c>
      <c r="W2486" s="6" t="str">
        <f>IFERROR(__xludf.DUMMYFUNCTION("""COMPUTED_VALUE"""),"[]")</f>
        <v>[]</v>
      </c>
      <c r="X2486" s="6" t="str">
        <f>IFERROR(__xludf.DUMMYFUNCTION("""COMPUTED_VALUE"""),"Enrolled")</f>
        <v>Enrolled</v>
      </c>
    </row>
    <row r="2487">
      <c r="A2487" s="6" t="str">
        <f>IFERROR(__xludf.DUMMYFUNCTION("""COMPUTED_VALUE"""),"040-9130")</f>
        <v>040-9130</v>
      </c>
      <c r="B2487" s="6" t="str">
        <f>IFERROR(__xludf.DUMMYFUNCTION("""COMPUTED_VALUE"""),"40")</f>
        <v>40</v>
      </c>
      <c r="C2487" s="6" t="str">
        <f>IFERROR(__xludf.DUMMYFUNCTION("""COMPUTED_VALUE"""),"9130")</f>
        <v>9130</v>
      </c>
      <c r="D2487" s="6" t="str">
        <f>IFERROR(__xludf.DUMMYFUNCTION("""COMPUTED_VALUE"""),"Camryn")</f>
        <v>Camryn</v>
      </c>
      <c r="E2487" s="6" t="str">
        <f>IFERROR(__xludf.DUMMYFUNCTION("""COMPUTED_VALUE"""),"")</f>
        <v/>
      </c>
      <c r="F2487" s="6" t="str">
        <f>IFERROR(__xludf.DUMMYFUNCTION("""COMPUTED_VALUE"""),"Brenner")</f>
        <v>Brenner</v>
      </c>
      <c r="G2487" s="6" t="str">
        <f>IFERROR(__xludf.DUMMYFUNCTION("""COMPUTED_VALUE"""),"03/21/2014")</f>
        <v>03/21/2014</v>
      </c>
      <c r="H2487" s="6" t="str">
        <f>IFERROR(__xludf.DUMMYFUNCTION("""COMPUTED_VALUE"""),"Self Identify")</f>
        <v>Self Identify</v>
      </c>
      <c r="I2487" s="6" t="str">
        <f>IFERROR(__xludf.DUMMYFUNCTION("""COMPUTED_VALUE"""),"Middle School")</f>
        <v>Middle School</v>
      </c>
      <c r="J2487" s="6" t="str">
        <f>IFERROR(__xludf.DUMMYFUNCTION("""COMPUTED_VALUE"""),"6")</f>
        <v>6</v>
      </c>
      <c r="K2487" s="6" t="str">
        <f>IFERROR(__xludf.DUMMYFUNCTION("""COMPUTED_VALUE"""),"camryn.brenner@unbound.school")</f>
        <v>camryn.brenner@unbound.school</v>
      </c>
      <c r="L2487" s="6" t="str">
        <f>IFERROR(__xludf.DUMMYFUNCTION("""COMPUTED_VALUE"""),"Unbound Academy")</f>
        <v>Unbound Academy</v>
      </c>
      <c r="M2487" s="6" t="str">
        <f>IFERROR(__xludf.DUMMYFUNCTION("""COMPUTED_VALUE"""),"")</f>
        <v/>
      </c>
      <c r="N2487" s="6" t="str">
        <f>IFERROR(__xludf.DUMMYFUNCTION("""COMPUTED_VALUE"""),"")</f>
        <v/>
      </c>
      <c r="O2487" s="87" t="str">
        <f>IFERROR(__xludf.DUMMYFUNCTION("""COMPUTED_VALUE"""),"https://drive.google.com/drive/folders/10T2cTQHqEJZqE-st6uFKPoI?usp=share_link")</f>
        <v>https://drive.google.com/drive/folders/10T2cTQHqEJZqE-st6uFKPoI?usp=share_link</v>
      </c>
      <c r="P2487" s="6" t="str">
        <f>IFERROR(__xludf.DUMMYFUNCTION("""COMPUTED_VALUE"""),"Camryn Brenner")</f>
        <v>Camryn Brenner</v>
      </c>
      <c r="Q2487" s="6" t="str">
        <f>IFERROR(__xludf.DUMMYFUNCTION("""COMPUTED_VALUE"""),"MS")</f>
        <v>MS</v>
      </c>
      <c r="R2487" s="6">
        <f>IFERROR(__xludf.DUMMYFUNCTION("""COMPUTED_VALUE"""),0.0)</f>
        <v>0</v>
      </c>
      <c r="S2487" s="6" t="str">
        <f>IFERROR(__xludf.DUMMYFUNCTION("""COMPUTED_VALUE""")," ")</f>
        <v> </v>
      </c>
      <c r="T2487" s="6" t="str">
        <f>IFERROR(__xludf.DUMMYFUNCTION("""COMPUTED_VALUE"""),"")</f>
        <v/>
      </c>
      <c r="U2487" s="6" t="str">
        <f>IFERROR(__xludf.DUMMYFUNCTION("""COMPUTED_VALUE"""),"6")</f>
        <v>6</v>
      </c>
      <c r="V2487" s="6" t="str">
        <f>IFERROR(__xludf.DUMMYFUNCTION("""COMPUTED_VALUE"""),"")</f>
        <v/>
      </c>
      <c r="W2487" s="6" t="str">
        <f>IFERROR(__xludf.DUMMYFUNCTION("""COMPUTED_VALUE"""),"[]")</f>
        <v>[]</v>
      </c>
      <c r="X2487" s="6" t="str">
        <f>IFERROR(__xludf.DUMMYFUNCTION("""COMPUTED_VALUE"""),"Enrolled")</f>
        <v>Enrolled</v>
      </c>
    </row>
    <row r="2488">
      <c r="A2488" s="6" t="str">
        <f>IFERROR(__xludf.DUMMYFUNCTION("""COMPUTED_VALUE"""),"040-9131")</f>
        <v>040-9131</v>
      </c>
      <c r="B2488" s="6" t="str">
        <f>IFERROR(__xludf.DUMMYFUNCTION("""COMPUTED_VALUE"""),"40")</f>
        <v>40</v>
      </c>
      <c r="C2488" s="6" t="str">
        <f>IFERROR(__xludf.DUMMYFUNCTION("""COMPUTED_VALUE"""),"9131")</f>
        <v>9131</v>
      </c>
      <c r="D2488" s="6" t="str">
        <f>IFERROR(__xludf.DUMMYFUNCTION("""COMPUTED_VALUE"""),"Trev")</f>
        <v>Trev</v>
      </c>
      <c r="E2488" s="6" t="str">
        <f>IFERROR(__xludf.DUMMYFUNCTION("""COMPUTED_VALUE"""),"")</f>
        <v/>
      </c>
      <c r="F2488" s="6" t="str">
        <f>IFERROR(__xludf.DUMMYFUNCTION("""COMPUTED_VALUE"""),"Brenner")</f>
        <v>Brenner</v>
      </c>
      <c r="G2488" s="6" t="str">
        <f>IFERROR(__xludf.DUMMYFUNCTION("""COMPUTED_VALUE"""),"12/31/2015")</f>
        <v>12/31/2015</v>
      </c>
      <c r="H2488" s="6" t="str">
        <f>IFERROR(__xludf.DUMMYFUNCTION("""COMPUTED_VALUE"""),"Self Identify")</f>
        <v>Self Identify</v>
      </c>
      <c r="I2488" s="6" t="str">
        <f>IFERROR(__xludf.DUMMYFUNCTION("""COMPUTED_VALUE"""),"Level 2")</f>
        <v>Level 2</v>
      </c>
      <c r="J2488" s="6" t="str">
        <f>IFERROR(__xludf.DUMMYFUNCTION("""COMPUTED_VALUE"""),"4")</f>
        <v>4</v>
      </c>
      <c r="K2488" s="6" t="str">
        <f>IFERROR(__xludf.DUMMYFUNCTION("""COMPUTED_VALUE"""),"trev.brenner@unbound.school")</f>
        <v>trev.brenner@unbound.school</v>
      </c>
      <c r="L2488" s="6" t="str">
        <f>IFERROR(__xludf.DUMMYFUNCTION("""COMPUTED_VALUE"""),"Unbound Academy")</f>
        <v>Unbound Academy</v>
      </c>
      <c r="M2488" s="6" t="str">
        <f>IFERROR(__xludf.DUMMYFUNCTION("""COMPUTED_VALUE"""),"")</f>
        <v/>
      </c>
      <c r="N2488" s="6" t="str">
        <f>IFERROR(__xludf.DUMMYFUNCTION("""COMPUTED_VALUE"""),"")</f>
        <v/>
      </c>
      <c r="O2488" s="87" t="str">
        <f>IFERROR(__xludf.DUMMYFUNCTION("""COMPUTED_VALUE"""),"https://drive.google.com/drive/folders/10T2cTQHqEJZqE-st6uFKPoI?usp=share_link")</f>
        <v>https://drive.google.com/drive/folders/10T2cTQHqEJZqE-st6uFKPoI?usp=share_link</v>
      </c>
      <c r="P2488" s="6" t="str">
        <f>IFERROR(__xludf.DUMMYFUNCTION("""COMPUTED_VALUE"""),"Trev Brenner")</f>
        <v>Trev Brenner</v>
      </c>
      <c r="Q2488" s="6" t="str">
        <f>IFERROR(__xludf.DUMMYFUNCTION("""COMPUTED_VALUE"""),"L2")</f>
        <v>L2</v>
      </c>
      <c r="R2488" s="6">
        <f>IFERROR(__xludf.DUMMYFUNCTION("""COMPUTED_VALUE"""),2.0)</f>
        <v>2</v>
      </c>
      <c r="S2488" s="6" t="str">
        <f>IFERROR(__xludf.DUMMYFUNCTION("""COMPUTED_VALUE""")," ")</f>
        <v> </v>
      </c>
      <c r="T2488" s="6" t="str">
        <f>IFERROR(__xludf.DUMMYFUNCTION("""COMPUTED_VALUE"""),"")</f>
        <v/>
      </c>
      <c r="U2488" s="6" t="str">
        <f>IFERROR(__xludf.DUMMYFUNCTION("""COMPUTED_VALUE"""),"4")</f>
        <v>4</v>
      </c>
      <c r="V2488" s="6" t="str">
        <f>IFERROR(__xludf.DUMMYFUNCTION("""COMPUTED_VALUE"""),"")</f>
        <v/>
      </c>
      <c r="W2488" s="6" t="str">
        <f>IFERROR(__xludf.DUMMYFUNCTION("""COMPUTED_VALUE"""),"[]")</f>
        <v>[]</v>
      </c>
      <c r="X2488" s="6" t="str">
        <f>IFERROR(__xludf.DUMMYFUNCTION("""COMPUTED_VALUE"""),"Enrolled")</f>
        <v>Enrolled</v>
      </c>
    </row>
    <row r="2489">
      <c r="A2489" s="6" t="str">
        <f>IFERROR(__xludf.DUMMYFUNCTION("""COMPUTED_VALUE"""),"041-3576")</f>
        <v>041-3576</v>
      </c>
      <c r="B2489" s="6" t="str">
        <f>IFERROR(__xludf.DUMMYFUNCTION("""COMPUTED_VALUE"""),"41")</f>
        <v>41</v>
      </c>
      <c r="C2489" s="6" t="str">
        <f>IFERROR(__xludf.DUMMYFUNCTION("""COMPUTED_VALUE"""),"3576")</f>
        <v>3576</v>
      </c>
      <c r="D2489" s="6" t="str">
        <f>IFERROR(__xludf.DUMMYFUNCTION("""COMPUTED_VALUE"""),"Gautam Child 2")</f>
        <v>Gautam Child 2</v>
      </c>
      <c r="E2489" s="6" t="str">
        <f>IFERROR(__xludf.DUMMYFUNCTION("""COMPUTED_VALUE"""),"Gautam Child 2")</f>
        <v>Gautam Child 2</v>
      </c>
      <c r="F2489" s="6" t="str">
        <f>IFERROR(__xludf.DUMMYFUNCTION("""COMPUTED_VALUE"""),"_test_")</f>
        <v>_test_</v>
      </c>
      <c r="G2489" s="6" t="str">
        <f>IFERROR(__xludf.DUMMYFUNCTION("""COMPUTED_VALUE"""),"01/21/2020")</f>
        <v>01/21/2020</v>
      </c>
      <c r="H2489" s="6" t="str">
        <f>IFERROR(__xludf.DUMMYFUNCTION("""COMPUTED_VALUE"""),"Self Identify")</f>
        <v>Self Identify</v>
      </c>
      <c r="I2489" s="6" t="str">
        <f>IFERROR(__xludf.DUMMYFUNCTION("""COMPUTED_VALUE"""),"Level 1")</f>
        <v>Level 1</v>
      </c>
      <c r="J2489" s="6" t="str">
        <f>IFERROR(__xludf.DUMMYFUNCTION("""COMPUTED_VALUE"""),"2")</f>
        <v>2</v>
      </c>
      <c r="K2489" s="6" t="str">
        <f>IFERROR(__xludf.DUMMYFUNCTION("""COMPUTED_VALUE"""),"gautam.child.2._test_@alpha.school")</f>
        <v>gautam.child.2._test_@alpha.school</v>
      </c>
      <c r="L2489" s="6" t="str">
        <f>IFERROR(__xludf.DUMMYFUNCTION("""COMPUTED_VALUE"""),"Development Sandbox _test_")</f>
        <v>Development Sandbox _test_</v>
      </c>
      <c r="M2489" s="6" t="str">
        <f>IFERROR(__xludf.DUMMYFUNCTION("""COMPUTED_VALUE"""),"Test")</f>
        <v>Test</v>
      </c>
      <c r="N2489" s="6" t="str">
        <f>IFERROR(__xludf.DUMMYFUNCTION("""COMPUTED_VALUE"""),"")</f>
        <v/>
      </c>
      <c r="O2489" s="87" t="str">
        <f>IFERROR(__xludf.DUMMYFUNCTION("""COMPUTED_VALUE"""),"https://drive.google.com/drive/folders/10T2cTQHqEJZqE-st6uFKPoI?usp=share_link")</f>
        <v>https://drive.google.com/drive/folders/10T2cTQHqEJZqE-st6uFKPoI?usp=share_link</v>
      </c>
      <c r="P2489" s="6" t="str">
        <f>IFERROR(__xludf.DUMMYFUNCTION("""COMPUTED_VALUE"""),"Gautam Child 2 _test_")</f>
        <v>Gautam Child 2 _test_</v>
      </c>
      <c r="Q2489" s="6" t="str">
        <f>IFERROR(__xludf.DUMMYFUNCTION("""COMPUTED_VALUE"""),"L1")</f>
        <v>L1</v>
      </c>
      <c r="R2489" s="6">
        <f>IFERROR(__xludf.DUMMYFUNCTION("""COMPUTED_VALUE"""),1.0)</f>
        <v>1</v>
      </c>
      <c r="S2489" s="6" t="str">
        <f>IFERROR(__xludf.DUMMYFUNCTION("""COMPUTED_VALUE""")," ")</f>
        <v> </v>
      </c>
      <c r="T2489" s="6" t="str">
        <f>IFERROR(__xludf.DUMMYFUNCTION("""COMPUTED_VALUE"""),"")</f>
        <v/>
      </c>
      <c r="U2489" s="6" t="str">
        <f>IFERROR(__xludf.DUMMYFUNCTION("""COMPUTED_VALUE"""),"2")</f>
        <v>2</v>
      </c>
      <c r="V2489" s="6" t="str">
        <f>IFERROR(__xludf.DUMMYFUNCTION("""COMPUTED_VALUE"""),"")</f>
        <v/>
      </c>
      <c r="W2489" s="6" t="str">
        <f>IFERROR(__xludf.DUMMYFUNCTION("""COMPUTED_VALUE"""),"[]")</f>
        <v>[]</v>
      </c>
      <c r="X2489" s="6" t="str">
        <f>IFERROR(__xludf.DUMMYFUNCTION("""COMPUTED_VALUE"""),"Pending Review")</f>
        <v>Pending Review</v>
      </c>
    </row>
    <row r="2490">
      <c r="A2490" s="6" t="str">
        <f>IFERROR(__xludf.DUMMYFUNCTION("""COMPUTED_VALUE"""),"041-3580")</f>
        <v>041-3580</v>
      </c>
      <c r="B2490" s="6" t="str">
        <f>IFERROR(__xludf.DUMMYFUNCTION("""COMPUTED_VALUE"""),"41")</f>
        <v>41</v>
      </c>
      <c r="C2490" s="6" t="str">
        <f>IFERROR(__xludf.DUMMYFUNCTION("""COMPUTED_VALUE"""),"3580")</f>
        <v>3580</v>
      </c>
      <c r="D2490" s="6" t="str">
        <f>IFERROR(__xludf.DUMMYFUNCTION("""COMPUTED_VALUE"""),"Gautam Child 3")</f>
        <v>Gautam Child 3</v>
      </c>
      <c r="E2490" s="6" t="str">
        <f>IFERROR(__xludf.DUMMYFUNCTION("""COMPUTED_VALUE"""),"")</f>
        <v/>
      </c>
      <c r="F2490" s="6" t="str">
        <f>IFERROR(__xludf.DUMMYFUNCTION("""COMPUTED_VALUE"""),"_test_")</f>
        <v>_test_</v>
      </c>
      <c r="G2490" s="6" t="str">
        <f>IFERROR(__xludf.DUMMYFUNCTION("""COMPUTED_VALUE"""),"01/22/2020")</f>
        <v>01/22/2020</v>
      </c>
      <c r="H2490" s="6" t="str">
        <f>IFERROR(__xludf.DUMMYFUNCTION("""COMPUTED_VALUE"""),"M")</f>
        <v>M</v>
      </c>
      <c r="I2490" s="6" t="str">
        <f>IFERROR(__xludf.DUMMYFUNCTION("""COMPUTED_VALUE"""),"Middle School")</f>
        <v>Middle School</v>
      </c>
      <c r="J2490" s="6" t="str">
        <f>IFERROR(__xludf.DUMMYFUNCTION("""COMPUTED_VALUE"""),"6")</f>
        <v>6</v>
      </c>
      <c r="K2490" s="6" t="str">
        <f>IFERROR(__xludf.DUMMYFUNCTION("""COMPUTED_VALUE"""),"gautam.child.32._test_@alpha.school")</f>
        <v>gautam.child.32._test_@alpha.school</v>
      </c>
      <c r="L2490" s="6" t="str">
        <f>IFERROR(__xludf.DUMMYFUNCTION("""COMPUTED_VALUE"""),"Development Sandbox _test_")</f>
        <v>Development Sandbox _test_</v>
      </c>
      <c r="M2490" s="6" t="str">
        <f>IFERROR(__xludf.DUMMYFUNCTION("""COMPUTED_VALUE"""),"Test")</f>
        <v>Test</v>
      </c>
      <c r="N2490" s="6" t="str">
        <f>IFERROR(__xludf.DUMMYFUNCTION("""COMPUTED_VALUE"""),"")</f>
        <v/>
      </c>
      <c r="O2490" s="87" t="str">
        <f>IFERROR(__xludf.DUMMYFUNCTION("""COMPUTED_VALUE"""),"https://drive.google.com/drive/folders/10T2cTQHqEJZqE-st6uFKPoI?usp=share_link")</f>
        <v>https://drive.google.com/drive/folders/10T2cTQHqEJZqE-st6uFKPoI?usp=share_link</v>
      </c>
      <c r="P2490" s="6" t="str">
        <f>IFERROR(__xludf.DUMMYFUNCTION("""COMPUTED_VALUE"""),"Gautam Child 3 _test_")</f>
        <v>Gautam Child 3 _test_</v>
      </c>
      <c r="Q2490" s="6" t="str">
        <f>IFERROR(__xludf.DUMMYFUNCTION("""COMPUTED_VALUE"""),"MS")</f>
        <v>MS</v>
      </c>
      <c r="R2490" s="6">
        <f>IFERROR(__xludf.DUMMYFUNCTION("""COMPUTED_VALUE"""),0.0)</f>
        <v>0</v>
      </c>
      <c r="S2490" s="6" t="str">
        <f>IFERROR(__xludf.DUMMYFUNCTION("""COMPUTED_VALUE"""),"Migo _test_")</f>
        <v>Migo _test_</v>
      </c>
      <c r="T2490" s="6" t="str">
        <f>IFERROR(__xludf.DUMMYFUNCTION("""COMPUTED_VALUE"""),"migo.test+1@gmail.com")</f>
        <v>migo.test+1@gmail.com</v>
      </c>
      <c r="U2490" s="6" t="str">
        <f>IFERROR(__xludf.DUMMYFUNCTION("""COMPUTED_VALUE"""),"6")</f>
        <v>6</v>
      </c>
      <c r="V2490" s="6" t="str">
        <f>IFERROR(__xludf.DUMMYFUNCTION("""COMPUTED_VALUE"""),"English")</f>
        <v>English</v>
      </c>
      <c r="W2490" s="6" t="str">
        <f>IFERROR(__xludf.DUMMYFUNCTION("""COMPUTED_VALUE"""),"[]")</f>
        <v>[]</v>
      </c>
      <c r="X2490" s="6" t="str">
        <f>IFERROR(__xludf.DUMMYFUNCTION("""COMPUTED_VALUE"""),"Enrolled")</f>
        <v>Enrolled</v>
      </c>
    </row>
    <row r="2491">
      <c r="A2491" s="6" t="str">
        <f>IFERROR(__xludf.DUMMYFUNCTION("""COMPUTED_VALUE"""),"041-6726")</f>
        <v>041-6726</v>
      </c>
      <c r="B2491" s="6" t="str">
        <f>IFERROR(__xludf.DUMMYFUNCTION("""COMPUTED_VALUE"""),"41")</f>
        <v>41</v>
      </c>
      <c r="C2491" s="6" t="str">
        <f>IFERROR(__xludf.DUMMYFUNCTION("""COMPUTED_VALUE"""),"6726")</f>
        <v>6726</v>
      </c>
      <c r="D2491" s="6" t="str">
        <f>IFERROR(__xludf.DUMMYFUNCTION("""COMPUTED_VALUE"""),"Gautam Child 15")</f>
        <v>Gautam Child 15</v>
      </c>
      <c r="E2491" s="6" t="str">
        <f>IFERROR(__xludf.DUMMYFUNCTION("""COMPUTED_VALUE"""),"")</f>
        <v/>
      </c>
      <c r="F2491" s="6" t="str">
        <f>IFERROR(__xludf.DUMMYFUNCTION("""COMPUTED_VALUE"""),"_test_")</f>
        <v>_test_</v>
      </c>
      <c r="G2491" s="6" t="str">
        <f>IFERROR(__xludf.DUMMYFUNCTION("""COMPUTED_VALUE"""),"01/09/2020")</f>
        <v>01/09/2020</v>
      </c>
      <c r="H2491" s="6" t="str">
        <f>IFERROR(__xludf.DUMMYFUNCTION("""COMPUTED_VALUE"""),"Self Identify")</f>
        <v>Self Identify</v>
      </c>
      <c r="I2491" s="6" t="str">
        <f>IFERROR(__xludf.DUMMYFUNCTION("""COMPUTED_VALUE"""),"Middle School")</f>
        <v>Middle School</v>
      </c>
      <c r="J2491" s="6" t="str">
        <f>IFERROR(__xludf.DUMMYFUNCTION("""COMPUTED_VALUE"""),"8")</f>
        <v>8</v>
      </c>
      <c r="K2491" s="6" t="str">
        <f>IFERROR(__xludf.DUMMYFUNCTION("""COMPUTED_VALUE"""),"gautamchild15.test@alpha.school")</f>
        <v>gautamchild15.test@alpha.school</v>
      </c>
      <c r="L2491" s="6" t="str">
        <f>IFERROR(__xludf.DUMMYFUNCTION("""COMPUTED_VALUE"""),"Development Sandbox _test_")</f>
        <v>Development Sandbox _test_</v>
      </c>
      <c r="M2491" s="6" t="str">
        <f>IFERROR(__xludf.DUMMYFUNCTION("""COMPUTED_VALUE"""),"Test")</f>
        <v>Test</v>
      </c>
      <c r="N2491" s="6" t="str">
        <f>IFERROR(__xludf.DUMMYFUNCTION("""COMPUTED_VALUE"""),"")</f>
        <v/>
      </c>
      <c r="O2491" s="87" t="str">
        <f>IFERROR(__xludf.DUMMYFUNCTION("""COMPUTED_VALUE"""),"https://drive.google.com/drive/folders/10T2cTQHqEJZqE-st6uFKPoI?usp=share_link")</f>
        <v>https://drive.google.com/drive/folders/10T2cTQHqEJZqE-st6uFKPoI?usp=share_link</v>
      </c>
      <c r="P2491" s="6" t="str">
        <f>IFERROR(__xludf.DUMMYFUNCTION("""COMPUTED_VALUE"""),"Gautam Child 15 _test_")</f>
        <v>Gautam Child 15 _test_</v>
      </c>
      <c r="Q2491" s="6" t="str">
        <f>IFERROR(__xludf.DUMMYFUNCTION("""COMPUTED_VALUE"""),"MS")</f>
        <v>MS</v>
      </c>
      <c r="R2491" s="6">
        <f>IFERROR(__xludf.DUMMYFUNCTION("""COMPUTED_VALUE"""),0.0)</f>
        <v>0</v>
      </c>
      <c r="S2491" s="6" t="str">
        <f>IFERROR(__xludf.DUMMYFUNCTION("""COMPUTED_VALUE""")," ")</f>
        <v> </v>
      </c>
      <c r="T2491" s="6" t="str">
        <f>IFERROR(__xludf.DUMMYFUNCTION("""COMPUTED_VALUE"""),"")</f>
        <v/>
      </c>
      <c r="U2491" s="6" t="str">
        <f>IFERROR(__xludf.DUMMYFUNCTION("""COMPUTED_VALUE"""),"8")</f>
        <v>8</v>
      </c>
      <c r="V2491" s="6" t="str">
        <f>IFERROR(__xludf.DUMMYFUNCTION("""COMPUTED_VALUE"""),"")</f>
        <v/>
      </c>
      <c r="W2491" s="6" t="str">
        <f>IFERROR(__xludf.DUMMYFUNCTION("""COMPUTED_VALUE"""),"[]")</f>
        <v>[]</v>
      </c>
      <c r="X2491" s="6" t="str">
        <f>IFERROR(__xludf.DUMMYFUNCTION("""COMPUTED_VALUE"""),"Enrolled")</f>
        <v>Enrolled</v>
      </c>
    </row>
    <row r="2492">
      <c r="A2492" s="6" t="str">
        <f>IFERROR(__xludf.DUMMYFUNCTION("""COMPUTED_VALUE"""),"041-8815")</f>
        <v>041-8815</v>
      </c>
      <c r="B2492" s="6" t="str">
        <f>IFERROR(__xludf.DUMMYFUNCTION("""COMPUTED_VALUE"""),"41")</f>
        <v>41</v>
      </c>
      <c r="C2492" s="6" t="str">
        <f>IFERROR(__xludf.DUMMYFUNCTION("""COMPUTED_VALUE"""),"8815")</f>
        <v>8815</v>
      </c>
      <c r="D2492" s="6" t="str">
        <f>IFERROR(__xludf.DUMMYFUNCTION("""COMPUTED_VALUE"""),"DealStudent")</f>
        <v>DealStudent</v>
      </c>
      <c r="E2492" s="6" t="str">
        <f>IFERROR(__xludf.DUMMYFUNCTION("""COMPUTED_VALUE"""),"")</f>
        <v/>
      </c>
      <c r="F2492" s="6" t="str">
        <f>IFERROR(__xludf.DUMMYFUNCTION("""COMPUTED_VALUE"""),"_test_")</f>
        <v>_test_</v>
      </c>
      <c r="G2492" s="6" t="str">
        <f>IFERROR(__xludf.DUMMYFUNCTION("""COMPUTED_VALUE"""),"12/01/2009")</f>
        <v>12/01/2009</v>
      </c>
      <c r="H2492" s="6" t="str">
        <f>IFERROR(__xludf.DUMMYFUNCTION("""COMPUTED_VALUE"""),"Self Identify")</f>
        <v>Self Identify</v>
      </c>
      <c r="I2492" s="6" t="str">
        <f>IFERROR(__xludf.DUMMYFUNCTION("""COMPUTED_VALUE"""),"High School")</f>
        <v>High School</v>
      </c>
      <c r="J2492" s="6" t="str">
        <f>IFERROR(__xludf.DUMMYFUNCTION("""COMPUTED_VALUE"""),"10")</f>
        <v>10</v>
      </c>
      <c r="K2492" s="6" t="str">
        <f>IFERROR(__xludf.DUMMYFUNCTION("""COMPUTED_VALUE"""),"dealstudent.test@alpha.school")</f>
        <v>dealstudent.test@alpha.school</v>
      </c>
      <c r="L2492" s="6" t="str">
        <f>IFERROR(__xludf.DUMMYFUNCTION("""COMPUTED_VALUE"""),"Development Sandbox _test_")</f>
        <v>Development Sandbox _test_</v>
      </c>
      <c r="M2492" s="6" t="str">
        <f>IFERROR(__xludf.DUMMYFUNCTION("""COMPUTED_VALUE"""),"Test")</f>
        <v>Test</v>
      </c>
      <c r="N2492" s="6" t="str">
        <f>IFERROR(__xludf.DUMMYFUNCTION("""COMPUTED_VALUE"""),"")</f>
        <v/>
      </c>
      <c r="O2492" s="87" t="str">
        <f>IFERROR(__xludf.DUMMYFUNCTION("""COMPUTED_VALUE"""),"https://drive.google.com/drive/folders/10T2cTQHqEJZqE-st6uFKPoI?usp=share_link")</f>
        <v>https://drive.google.com/drive/folders/10T2cTQHqEJZqE-st6uFKPoI?usp=share_link</v>
      </c>
      <c r="P2492" s="6" t="str">
        <f>IFERROR(__xludf.DUMMYFUNCTION("""COMPUTED_VALUE"""),"DealStudent _test_")</f>
        <v>DealStudent _test_</v>
      </c>
      <c r="Q2492" s="6" t="str">
        <f>IFERROR(__xludf.DUMMYFUNCTION("""COMPUTED_VALUE"""),"HS")</f>
        <v>HS</v>
      </c>
      <c r="R2492" s="6">
        <f>IFERROR(__xludf.DUMMYFUNCTION("""COMPUTED_VALUE"""),0.0)</f>
        <v>0</v>
      </c>
      <c r="S2492" s="6" t="str">
        <f>IFERROR(__xludf.DUMMYFUNCTION("""COMPUTED_VALUE""")," ")</f>
        <v> </v>
      </c>
      <c r="T2492" s="6" t="str">
        <f>IFERROR(__xludf.DUMMYFUNCTION("""COMPUTED_VALUE"""),"")</f>
        <v/>
      </c>
      <c r="U2492" s="6" t="str">
        <f>IFERROR(__xludf.DUMMYFUNCTION("""COMPUTED_VALUE"""),"10")</f>
        <v>10</v>
      </c>
      <c r="V2492" s="6" t="str">
        <f>IFERROR(__xludf.DUMMYFUNCTION("""COMPUTED_VALUE"""),"")</f>
        <v/>
      </c>
      <c r="W2492" s="6" t="str">
        <f>IFERROR(__xludf.DUMMYFUNCTION("""COMPUTED_VALUE"""),"[]")</f>
        <v>[]</v>
      </c>
      <c r="X2492" s="6" t="str">
        <f>IFERROR(__xludf.DUMMYFUNCTION("""COMPUTED_VALUE"""),"Enrolled")</f>
        <v>Enrolled</v>
      </c>
    </row>
    <row r="2493">
      <c r="A2493" s="6" t="str">
        <f>IFERROR(__xludf.DUMMYFUNCTION("""COMPUTED_VALUE"""),"042-4214")</f>
        <v>042-4214</v>
      </c>
      <c r="B2493" s="6" t="str">
        <f>IFERROR(__xludf.DUMMYFUNCTION("""COMPUTED_VALUE"""),"42")</f>
        <v>42</v>
      </c>
      <c r="C2493" s="6" t="str">
        <f>IFERROR(__xludf.DUMMYFUNCTION("""COMPUTED_VALUE"""),"4214")</f>
        <v>4214</v>
      </c>
      <c r="D2493" s="6" t="str">
        <f>IFERROR(__xludf.DUMMYFUNCTION("""COMPUTED_VALUE"""),"Liam")</f>
        <v>Liam</v>
      </c>
      <c r="E2493" s="6" t="str">
        <f>IFERROR(__xludf.DUMMYFUNCTION("""COMPUTED_VALUE"""),"Liam")</f>
        <v>Liam</v>
      </c>
      <c r="F2493" s="6" t="str">
        <f>IFERROR(__xludf.DUMMYFUNCTION("""COMPUTED_VALUE"""),"Bryan")</f>
        <v>Bryan</v>
      </c>
      <c r="G2493" s="6" t="str">
        <f>IFERROR(__xludf.DUMMYFUNCTION("""COMPUTED_VALUE"""),"11/01/2020")</f>
        <v>11/01/2020</v>
      </c>
      <c r="H2493" s="6" t="str">
        <f>IFERROR(__xludf.DUMMYFUNCTION("""COMPUTED_VALUE"""),"male")</f>
        <v>male</v>
      </c>
      <c r="I2493" s="6" t="str">
        <f>IFERROR(__xludf.DUMMYFUNCTION("""COMPUTED_VALUE"""),"Wonder Lab")</f>
        <v>Wonder Lab</v>
      </c>
      <c r="J2493" s="6" t="str">
        <f>IFERROR(__xludf.DUMMYFUNCTION("""COMPUTED_VALUE"""),"PK")</f>
        <v>PK</v>
      </c>
      <c r="K2493" s="6" t="str">
        <f>IFERROR(__xludf.DUMMYFUNCTION("""COMPUTED_VALUE"""),"liam.bryan@alpha.school")</f>
        <v>liam.bryan@alpha.school</v>
      </c>
      <c r="L2493" s="6" t="str">
        <f>IFERROR(__xludf.DUMMYFUNCTION("""COMPUTED_VALUE"""),"Alpha School Plano")</f>
        <v>Alpha School Plano</v>
      </c>
      <c r="M2493" s="6" t="str">
        <f>IFERROR(__xludf.DUMMYFUNCTION("""COMPUTED_VALUE"""),"")</f>
        <v/>
      </c>
      <c r="N2493" s="6" t="str">
        <f>IFERROR(__xludf.DUMMYFUNCTION("""COMPUTED_VALUE"""),"")</f>
        <v/>
      </c>
      <c r="O2493" s="87" t="str">
        <f>IFERROR(__xludf.DUMMYFUNCTION("""COMPUTED_VALUE"""),"https://drive.google.com/drive/folders/10T2cTQHqEJZqE-st6uFKPoI?usp=share_link")</f>
        <v>https://drive.google.com/drive/folders/10T2cTQHqEJZqE-st6uFKPoI?usp=share_link</v>
      </c>
      <c r="P2493" s="6" t="str">
        <f>IFERROR(__xludf.DUMMYFUNCTION("""COMPUTED_VALUE"""),"Liam Bryan")</f>
        <v>Liam Bryan</v>
      </c>
      <c r="Q2493" s="6" t="str">
        <f>IFERROR(__xludf.DUMMYFUNCTION("""COMPUTED_VALUE"""),"WL")</f>
        <v>WL</v>
      </c>
      <c r="R2493" s="6">
        <f>IFERROR(__xludf.DUMMYFUNCTION("""COMPUTED_VALUE"""),-1.0)</f>
        <v>-1</v>
      </c>
      <c r="S2493" s="6" t="str">
        <f>IFERROR(__xludf.DUMMYFUNCTION("""COMPUTED_VALUE"""),"Jennifer Maddox")</f>
        <v>Jennifer Maddox</v>
      </c>
      <c r="T2493" s="6" t="str">
        <f>IFERROR(__xludf.DUMMYFUNCTION("""COMPUTED_VALUE"""),"jennifer.maddox@alpha.school")</f>
        <v>jennifer.maddox@alpha.school</v>
      </c>
      <c r="U2493" s="6" t="str">
        <f>IFERROR(__xludf.DUMMYFUNCTION("""COMPUTED_VALUE"""),"PK")</f>
        <v>PK</v>
      </c>
      <c r="V2493" s="6" t="str">
        <f>IFERROR(__xludf.DUMMYFUNCTION("""COMPUTED_VALUE"""),"")</f>
        <v/>
      </c>
      <c r="W2493" s="6" t="str">
        <f>IFERROR(__xludf.DUMMYFUNCTION("""COMPUTED_VALUE"""),"[]")</f>
        <v>[]</v>
      </c>
      <c r="X2493" s="6" t="str">
        <f>IFERROR(__xludf.DUMMYFUNCTION("""COMPUTED_VALUE"""),"Enrolled")</f>
        <v>Enrolled</v>
      </c>
    </row>
    <row r="2494">
      <c r="A2494" s="6" t="str">
        <f>IFERROR(__xludf.DUMMYFUNCTION("""COMPUTED_VALUE"""),"042-4215")</f>
        <v>042-4215</v>
      </c>
      <c r="B2494" s="6" t="str">
        <f>IFERROR(__xludf.DUMMYFUNCTION("""COMPUTED_VALUE"""),"42")</f>
        <v>42</v>
      </c>
      <c r="C2494" s="6" t="str">
        <f>IFERROR(__xludf.DUMMYFUNCTION("""COMPUTED_VALUE"""),"4215")</f>
        <v>4215</v>
      </c>
      <c r="D2494" s="6" t="str">
        <f>IFERROR(__xludf.DUMMYFUNCTION("""COMPUTED_VALUE"""),"Sofia")</f>
        <v>Sofia</v>
      </c>
      <c r="E2494" s="6" t="str">
        <f>IFERROR(__xludf.DUMMYFUNCTION("""COMPUTED_VALUE"""),"")</f>
        <v/>
      </c>
      <c r="F2494" s="6" t="str">
        <f>IFERROR(__xludf.DUMMYFUNCTION("""COMPUTED_VALUE"""),"Stone")</f>
        <v>Stone</v>
      </c>
      <c r="G2494" s="6" t="str">
        <f>IFERROR(__xludf.DUMMYFUNCTION("""COMPUTED_VALUE"""),"07/31/2016")</f>
        <v>07/31/2016</v>
      </c>
      <c r="H2494" s="6" t="str">
        <f>IFERROR(__xludf.DUMMYFUNCTION("""COMPUTED_VALUE"""),"Self Identify")</f>
        <v>Self Identify</v>
      </c>
      <c r="I2494" s="6" t="str">
        <f>IFERROR(__xludf.DUMMYFUNCTION("""COMPUTED_VALUE"""),"Level 1")</f>
        <v>Level 1</v>
      </c>
      <c r="J2494" s="6" t="str">
        <f>IFERROR(__xludf.DUMMYFUNCTION("""COMPUTED_VALUE"""),"3")</f>
        <v>3</v>
      </c>
      <c r="K2494" s="6" t="str">
        <f>IFERROR(__xludf.DUMMYFUNCTION("""COMPUTED_VALUE"""),"sofia.stone@alpha.school")</f>
        <v>sofia.stone@alpha.school</v>
      </c>
      <c r="L2494" s="6" t="str">
        <f>IFERROR(__xludf.DUMMYFUNCTION("""COMPUTED_VALUE"""),"Alpha School Plano")</f>
        <v>Alpha School Plano</v>
      </c>
      <c r="M2494" s="6" t="str">
        <f>IFERROR(__xludf.DUMMYFUNCTION("""COMPUTED_VALUE"""),"")</f>
        <v/>
      </c>
      <c r="N2494" s="6" t="str">
        <f>IFERROR(__xludf.DUMMYFUNCTION("""COMPUTED_VALUE"""),"")</f>
        <v/>
      </c>
      <c r="O2494" s="87" t="str">
        <f>IFERROR(__xludf.DUMMYFUNCTION("""COMPUTED_VALUE"""),"https://drive.google.com/drive/folders/10T2cTQHqEJZqE-st6uFKPoI?usp=share_link")</f>
        <v>https://drive.google.com/drive/folders/10T2cTQHqEJZqE-st6uFKPoI?usp=share_link</v>
      </c>
      <c r="P2494" s="6" t="str">
        <f>IFERROR(__xludf.DUMMYFUNCTION("""COMPUTED_VALUE"""),"Sofia Stone")</f>
        <v>Sofia Stone</v>
      </c>
      <c r="Q2494" s="6" t="str">
        <f>IFERROR(__xludf.DUMMYFUNCTION("""COMPUTED_VALUE"""),"L1")</f>
        <v>L1</v>
      </c>
      <c r="R2494" s="6">
        <f>IFERROR(__xludf.DUMMYFUNCTION("""COMPUTED_VALUE"""),1.0)</f>
        <v>1</v>
      </c>
      <c r="S2494" s="6" t="str">
        <f>IFERROR(__xludf.DUMMYFUNCTION("""COMPUTED_VALUE"""),"Whitney Bunn")</f>
        <v>Whitney Bunn</v>
      </c>
      <c r="T2494" s="6" t="str">
        <f>IFERROR(__xludf.DUMMYFUNCTION("""COMPUTED_VALUE"""),"whitney.bunn@alpha.school")</f>
        <v>whitney.bunn@alpha.school</v>
      </c>
      <c r="U2494" s="6" t="str">
        <f>IFERROR(__xludf.DUMMYFUNCTION("""COMPUTED_VALUE"""),"3")</f>
        <v>3</v>
      </c>
      <c r="V2494" s="6" t="str">
        <f>IFERROR(__xludf.DUMMYFUNCTION("""COMPUTED_VALUE"""),"")</f>
        <v/>
      </c>
      <c r="W2494" s="6" t="str">
        <f>IFERROR(__xludf.DUMMYFUNCTION("""COMPUTED_VALUE"""),"[]")</f>
        <v>[]</v>
      </c>
      <c r="X2494" s="6" t="str">
        <f>IFERROR(__xludf.DUMMYFUNCTION("""COMPUTED_VALUE"""),"Enrolled")</f>
        <v>Enrolled</v>
      </c>
    </row>
    <row r="2495">
      <c r="A2495" s="6" t="str">
        <f>IFERROR(__xludf.DUMMYFUNCTION("""COMPUTED_VALUE"""),"042-4216")</f>
        <v>042-4216</v>
      </c>
      <c r="B2495" s="6" t="str">
        <f>IFERROR(__xludf.DUMMYFUNCTION("""COMPUTED_VALUE"""),"42")</f>
        <v>42</v>
      </c>
      <c r="C2495" s="6" t="str">
        <f>IFERROR(__xludf.DUMMYFUNCTION("""COMPUTED_VALUE"""),"4216")</f>
        <v>4216</v>
      </c>
      <c r="D2495" s="6" t="str">
        <f>IFERROR(__xludf.DUMMYFUNCTION("""COMPUTED_VALUE"""),"Max")</f>
        <v>Max</v>
      </c>
      <c r="E2495" s="6" t="str">
        <f>IFERROR(__xludf.DUMMYFUNCTION("""COMPUTED_VALUE"""),"Max")</f>
        <v>Max</v>
      </c>
      <c r="F2495" s="6" t="str">
        <f>IFERROR(__xludf.DUMMYFUNCTION("""COMPUTED_VALUE"""),"Stone")</f>
        <v>Stone</v>
      </c>
      <c r="G2495" s="6" t="str">
        <f>IFERROR(__xludf.DUMMYFUNCTION("""COMPUTED_VALUE"""),"02/14/2019")</f>
        <v>02/14/2019</v>
      </c>
      <c r="H2495" s="6" t="str">
        <f>IFERROR(__xludf.DUMMYFUNCTION("""COMPUTED_VALUE"""),"male")</f>
        <v>male</v>
      </c>
      <c r="I2495" s="6" t="str">
        <f>IFERROR(__xludf.DUMMYFUNCTION("""COMPUTED_VALUE"""),"Learning Lab")</f>
        <v>Learning Lab</v>
      </c>
      <c r="J2495" s="6" t="str">
        <f>IFERROR(__xludf.DUMMYFUNCTION("""COMPUTED_VALUE"""),"1")</f>
        <v>1</v>
      </c>
      <c r="K2495" s="6" t="str">
        <f>IFERROR(__xludf.DUMMYFUNCTION("""COMPUTED_VALUE"""),"max.stone@alpha.school")</f>
        <v>max.stone@alpha.school</v>
      </c>
      <c r="L2495" s="6" t="str">
        <f>IFERROR(__xludf.DUMMYFUNCTION("""COMPUTED_VALUE"""),"Alpha School Plano")</f>
        <v>Alpha School Plano</v>
      </c>
      <c r="M2495" s="6" t="str">
        <f>IFERROR(__xludf.DUMMYFUNCTION("""COMPUTED_VALUE"""),"")</f>
        <v/>
      </c>
      <c r="N2495" s="6" t="str">
        <f>IFERROR(__xludf.DUMMYFUNCTION("""COMPUTED_VALUE"""),"")</f>
        <v/>
      </c>
      <c r="O2495" s="87" t="str">
        <f>IFERROR(__xludf.DUMMYFUNCTION("""COMPUTED_VALUE"""),"https://drive.google.com/drive/folders/10T2cTQHqEJZqE-st6uFKPoI?usp=share_link")</f>
        <v>https://drive.google.com/drive/folders/10T2cTQHqEJZqE-st6uFKPoI?usp=share_link</v>
      </c>
      <c r="P2495" s="6" t="str">
        <f>IFERROR(__xludf.DUMMYFUNCTION("""COMPUTED_VALUE"""),"Max Stone")</f>
        <v>Max Stone</v>
      </c>
      <c r="Q2495" s="6" t="str">
        <f>IFERROR(__xludf.DUMMYFUNCTION("""COMPUTED_VALUE"""),"LL")</f>
        <v>LL</v>
      </c>
      <c r="R2495" s="6">
        <f>IFERROR(__xludf.DUMMYFUNCTION("""COMPUTED_VALUE"""),0.0)</f>
        <v>0</v>
      </c>
      <c r="S2495" s="6" t="str">
        <f>IFERROR(__xludf.DUMMYFUNCTION("""COMPUTED_VALUE"""),"Whitney Bunn")</f>
        <v>Whitney Bunn</v>
      </c>
      <c r="T2495" s="6" t="str">
        <f>IFERROR(__xludf.DUMMYFUNCTION("""COMPUTED_VALUE"""),"whitney.bunn@alpha.school")</f>
        <v>whitney.bunn@alpha.school</v>
      </c>
      <c r="U2495" s="6" t="str">
        <f>IFERROR(__xludf.DUMMYFUNCTION("""COMPUTED_VALUE"""),"1")</f>
        <v>1</v>
      </c>
      <c r="V2495" s="6" t="str">
        <f>IFERROR(__xludf.DUMMYFUNCTION("""COMPUTED_VALUE"""),"")</f>
        <v/>
      </c>
      <c r="W2495" s="6" t="str">
        <f>IFERROR(__xludf.DUMMYFUNCTION("""COMPUTED_VALUE"""),"[]")</f>
        <v>[]</v>
      </c>
      <c r="X2495" s="6" t="str">
        <f>IFERROR(__xludf.DUMMYFUNCTION("""COMPUTED_VALUE"""),"Enrolled")</f>
        <v>Enrolled</v>
      </c>
    </row>
    <row r="2496">
      <c r="A2496" s="6" t="str">
        <f>IFERROR(__xludf.DUMMYFUNCTION("""COMPUTED_VALUE"""),"042-7697")</f>
        <v>042-7697</v>
      </c>
      <c r="B2496" s="6" t="str">
        <f>IFERROR(__xludf.DUMMYFUNCTION("""COMPUTED_VALUE"""),"42")</f>
        <v>42</v>
      </c>
      <c r="C2496" s="6" t="str">
        <f>IFERROR(__xludf.DUMMYFUNCTION("""COMPUTED_VALUE"""),"7697")</f>
        <v>7697</v>
      </c>
      <c r="D2496" s="6" t="str">
        <f>IFERROR(__xludf.DUMMYFUNCTION("""COMPUTED_VALUE"""),"Hayden")</f>
        <v>Hayden</v>
      </c>
      <c r="E2496" s="6" t="str">
        <f>IFERROR(__xludf.DUMMYFUNCTION("""COMPUTED_VALUE"""),"Hayden")</f>
        <v>Hayden</v>
      </c>
      <c r="F2496" s="6" t="str">
        <f>IFERROR(__xludf.DUMMYFUNCTION("""COMPUTED_VALUE"""),"Pogue")</f>
        <v>Pogue</v>
      </c>
      <c r="G2496" s="6" t="str">
        <f>IFERROR(__xludf.DUMMYFUNCTION("""COMPUTED_VALUE"""),"08/14/2016")</f>
        <v>08/14/2016</v>
      </c>
      <c r="H2496" s="6" t="str">
        <f>IFERROR(__xludf.DUMMYFUNCTION("""COMPUTED_VALUE"""),"male")</f>
        <v>male</v>
      </c>
      <c r="I2496" s="6" t="str">
        <f>IFERROR(__xludf.DUMMYFUNCTION("""COMPUTED_VALUE"""),"Level 1")</f>
        <v>Level 1</v>
      </c>
      <c r="J2496" s="6" t="str">
        <f>IFERROR(__xludf.DUMMYFUNCTION("""COMPUTED_VALUE"""),"3")</f>
        <v>3</v>
      </c>
      <c r="K2496" s="6" t="str">
        <f>IFERROR(__xludf.DUMMYFUNCTION("""COMPUTED_VALUE"""),"hayden.pogue@alpha.school")</f>
        <v>hayden.pogue@alpha.school</v>
      </c>
      <c r="L2496" s="6" t="str">
        <f>IFERROR(__xludf.DUMMYFUNCTION("""COMPUTED_VALUE"""),"Alpha School Plano")</f>
        <v>Alpha School Plano</v>
      </c>
      <c r="M2496" s="6" t="str">
        <f>IFERROR(__xludf.DUMMYFUNCTION("""COMPUTED_VALUE"""),"")</f>
        <v/>
      </c>
      <c r="N2496" s="6" t="str">
        <f>IFERROR(__xludf.DUMMYFUNCTION("""COMPUTED_VALUE"""),"")</f>
        <v/>
      </c>
      <c r="O2496" s="87" t="str">
        <f>IFERROR(__xludf.DUMMYFUNCTION("""COMPUTED_VALUE"""),"https://drive.google.com/drive/folders/10T2cTQHqEJZqE-st6uFKPoI?usp=share_link")</f>
        <v>https://drive.google.com/drive/folders/10T2cTQHqEJZqE-st6uFKPoI?usp=share_link</v>
      </c>
      <c r="P2496" s="6" t="str">
        <f>IFERROR(__xludf.DUMMYFUNCTION("""COMPUTED_VALUE"""),"Hayden Pogue")</f>
        <v>Hayden Pogue</v>
      </c>
      <c r="Q2496" s="6" t="str">
        <f>IFERROR(__xludf.DUMMYFUNCTION("""COMPUTED_VALUE"""),"L1")</f>
        <v>L1</v>
      </c>
      <c r="R2496" s="6">
        <f>IFERROR(__xludf.DUMMYFUNCTION("""COMPUTED_VALUE"""),1.0)</f>
        <v>1</v>
      </c>
      <c r="S2496" s="6" t="str">
        <f>IFERROR(__xludf.DUMMYFUNCTION("""COMPUTED_VALUE"""),"Sanura N'Jaka")</f>
        <v>Sanura N'Jaka</v>
      </c>
      <c r="T2496" s="6" t="str">
        <f>IFERROR(__xludf.DUMMYFUNCTION("""COMPUTED_VALUE"""),"sanura.njaka@alpha.school")</f>
        <v>sanura.njaka@alpha.school</v>
      </c>
      <c r="U2496" s="6" t="str">
        <f>IFERROR(__xludf.DUMMYFUNCTION("""COMPUTED_VALUE"""),"3")</f>
        <v>3</v>
      </c>
      <c r="V2496" s="6" t="str">
        <f>IFERROR(__xludf.DUMMYFUNCTION("""COMPUTED_VALUE"""),"")</f>
        <v/>
      </c>
      <c r="W2496" s="6" t="str">
        <f>IFERROR(__xludf.DUMMYFUNCTION("""COMPUTED_VALUE"""),"[]")</f>
        <v>[]</v>
      </c>
      <c r="X2496" s="6" t="str">
        <f>IFERROR(__xludf.DUMMYFUNCTION("""COMPUTED_VALUE"""),"Enrolled")</f>
        <v>Enrolled</v>
      </c>
    </row>
    <row r="2497">
      <c r="A2497" s="6" t="str">
        <f>IFERROR(__xludf.DUMMYFUNCTION("""COMPUTED_VALUE"""),"042-7698")</f>
        <v>042-7698</v>
      </c>
      <c r="B2497" s="6" t="str">
        <f>IFERROR(__xludf.DUMMYFUNCTION("""COMPUTED_VALUE"""),"42")</f>
        <v>42</v>
      </c>
      <c r="C2497" s="6" t="str">
        <f>IFERROR(__xludf.DUMMYFUNCTION("""COMPUTED_VALUE"""),"7698")</f>
        <v>7698</v>
      </c>
      <c r="D2497" s="6" t="str">
        <f>IFERROR(__xludf.DUMMYFUNCTION("""COMPUTED_VALUE"""),"Charlotte")</f>
        <v>Charlotte</v>
      </c>
      <c r="E2497" s="6" t="str">
        <f>IFERROR(__xludf.DUMMYFUNCTION("""COMPUTED_VALUE"""),"Charlotte")</f>
        <v>Charlotte</v>
      </c>
      <c r="F2497" s="6" t="str">
        <f>IFERROR(__xludf.DUMMYFUNCTION("""COMPUTED_VALUE"""),"Pogue")</f>
        <v>Pogue</v>
      </c>
      <c r="G2497" s="6" t="str">
        <f>IFERROR(__xludf.DUMMYFUNCTION("""COMPUTED_VALUE"""),"07/12/2018")</f>
        <v>07/12/2018</v>
      </c>
      <c r="H2497" s="6" t="str">
        <f>IFERROR(__xludf.DUMMYFUNCTION("""COMPUTED_VALUE"""),"female")</f>
        <v>female</v>
      </c>
      <c r="I2497" s="6" t="str">
        <f>IFERROR(__xludf.DUMMYFUNCTION("""COMPUTED_VALUE"""),"Learning Lab")</f>
        <v>Learning Lab</v>
      </c>
      <c r="J2497" s="6" t="str">
        <f>IFERROR(__xludf.DUMMYFUNCTION("""COMPUTED_VALUE"""),"1")</f>
        <v>1</v>
      </c>
      <c r="K2497" s="6" t="str">
        <f>IFERROR(__xludf.DUMMYFUNCTION("""COMPUTED_VALUE"""),"charlotte.pogue@alpha.school")</f>
        <v>charlotte.pogue@alpha.school</v>
      </c>
      <c r="L2497" s="6" t="str">
        <f>IFERROR(__xludf.DUMMYFUNCTION("""COMPUTED_VALUE"""),"Alpha School Plano")</f>
        <v>Alpha School Plano</v>
      </c>
      <c r="M2497" s="6" t="str">
        <f>IFERROR(__xludf.DUMMYFUNCTION("""COMPUTED_VALUE"""),"")</f>
        <v/>
      </c>
      <c r="N2497" s="6" t="str">
        <f>IFERROR(__xludf.DUMMYFUNCTION("""COMPUTED_VALUE"""),"")</f>
        <v/>
      </c>
      <c r="O2497" s="87" t="str">
        <f>IFERROR(__xludf.DUMMYFUNCTION("""COMPUTED_VALUE"""),"https://drive.google.com/drive/folders/10T2cTQHqEJZqE-st6uFKPoI?usp=share_link")</f>
        <v>https://drive.google.com/drive/folders/10T2cTQHqEJZqE-st6uFKPoI?usp=share_link</v>
      </c>
      <c r="P2497" s="6" t="str">
        <f>IFERROR(__xludf.DUMMYFUNCTION("""COMPUTED_VALUE"""),"Charlotte Pogue")</f>
        <v>Charlotte Pogue</v>
      </c>
      <c r="Q2497" s="6" t="str">
        <f>IFERROR(__xludf.DUMMYFUNCTION("""COMPUTED_VALUE"""),"LL")</f>
        <v>LL</v>
      </c>
      <c r="R2497" s="6">
        <f>IFERROR(__xludf.DUMMYFUNCTION("""COMPUTED_VALUE"""),0.0)</f>
        <v>0</v>
      </c>
      <c r="S2497" s="6" t="str">
        <f>IFERROR(__xludf.DUMMYFUNCTION("""COMPUTED_VALUE"""),"Whitney Bunn")</f>
        <v>Whitney Bunn</v>
      </c>
      <c r="T2497" s="6" t="str">
        <f>IFERROR(__xludf.DUMMYFUNCTION("""COMPUTED_VALUE"""),"whitney.bunn@alpha.school")</f>
        <v>whitney.bunn@alpha.school</v>
      </c>
      <c r="U2497" s="6" t="str">
        <f>IFERROR(__xludf.DUMMYFUNCTION("""COMPUTED_VALUE"""),"1")</f>
        <v>1</v>
      </c>
      <c r="V2497" s="6" t="str">
        <f>IFERROR(__xludf.DUMMYFUNCTION("""COMPUTED_VALUE"""),"")</f>
        <v/>
      </c>
      <c r="W2497" s="6" t="str">
        <f>IFERROR(__xludf.DUMMYFUNCTION("""COMPUTED_VALUE"""),"[]")</f>
        <v>[]</v>
      </c>
      <c r="X2497" s="6" t="str">
        <f>IFERROR(__xludf.DUMMYFUNCTION("""COMPUTED_VALUE"""),"Enrolled")</f>
        <v>Enrolled</v>
      </c>
    </row>
    <row r="2498">
      <c r="A2498" s="6" t="str">
        <f>IFERROR(__xludf.DUMMYFUNCTION("""COMPUTED_VALUE"""),"042-7850")</f>
        <v>042-7850</v>
      </c>
      <c r="B2498" s="6" t="str">
        <f>IFERROR(__xludf.DUMMYFUNCTION("""COMPUTED_VALUE"""),"42")</f>
        <v>42</v>
      </c>
      <c r="C2498" s="6" t="str">
        <f>IFERROR(__xludf.DUMMYFUNCTION("""COMPUTED_VALUE"""),"7850")</f>
        <v>7850</v>
      </c>
      <c r="D2498" s="6" t="str">
        <f>IFERROR(__xludf.DUMMYFUNCTION("""COMPUTED_VALUE"""),"Gautam child 22")</f>
        <v>Gautam child 22</v>
      </c>
      <c r="E2498" s="6" t="str">
        <f>IFERROR(__xludf.DUMMYFUNCTION("""COMPUTED_VALUE"""),"")</f>
        <v/>
      </c>
      <c r="F2498" s="6" t="str">
        <f>IFERROR(__xludf.DUMMYFUNCTION("""COMPUTED_VALUE"""),"_test")</f>
        <v>_test</v>
      </c>
      <c r="G2498" s="6" t="str">
        <f>IFERROR(__xludf.DUMMYFUNCTION("""COMPUTED_VALUE"""),"05/05/2020")</f>
        <v>05/05/2020</v>
      </c>
      <c r="H2498" s="6" t="str">
        <f>IFERROR(__xludf.DUMMYFUNCTION("""COMPUTED_VALUE"""),"Self Identify")</f>
        <v>Self Identify</v>
      </c>
      <c r="I2498" s="6" t="str">
        <f>IFERROR(__xludf.DUMMYFUNCTION("""COMPUTED_VALUE"""),"Learning Lab")</f>
        <v>Learning Lab</v>
      </c>
      <c r="J2498" s="6" t="str">
        <f>IFERROR(__xludf.DUMMYFUNCTION("""COMPUTED_VALUE"""),"1")</f>
        <v>1</v>
      </c>
      <c r="K2498" s="6" t="str">
        <f>IFERROR(__xludf.DUMMYFUNCTION("""COMPUTED_VALUE"""),"gautamchild22.test@alpha.school")</f>
        <v>gautamchild22.test@alpha.school</v>
      </c>
      <c r="L2498" s="6" t="str">
        <f>IFERROR(__xludf.DUMMYFUNCTION("""COMPUTED_VALUE"""),"Alpha School Plano")</f>
        <v>Alpha School Plano</v>
      </c>
      <c r="M2498" s="6" t="str">
        <f>IFERROR(__xludf.DUMMYFUNCTION("""COMPUTED_VALUE"""),"Test")</f>
        <v>Test</v>
      </c>
      <c r="N2498" s="6" t="str">
        <f>IFERROR(__xludf.DUMMYFUNCTION("""COMPUTED_VALUE"""),"")</f>
        <v/>
      </c>
      <c r="O2498" s="87" t="str">
        <f>IFERROR(__xludf.DUMMYFUNCTION("""COMPUTED_VALUE"""),"https://drive.google.com/drive/folders/10T2cTQHqEJZqE-st6uFKPoI?usp=share_link")</f>
        <v>https://drive.google.com/drive/folders/10T2cTQHqEJZqE-st6uFKPoI?usp=share_link</v>
      </c>
      <c r="P2498" s="6" t="str">
        <f>IFERROR(__xludf.DUMMYFUNCTION("""COMPUTED_VALUE"""),"Gautam child 22 _test")</f>
        <v>Gautam child 22 _test</v>
      </c>
      <c r="Q2498" s="6" t="str">
        <f>IFERROR(__xludf.DUMMYFUNCTION("""COMPUTED_VALUE"""),"LL")</f>
        <v>LL</v>
      </c>
      <c r="R2498" s="6">
        <f>IFERROR(__xludf.DUMMYFUNCTION("""COMPUTED_VALUE"""),0.0)</f>
        <v>0</v>
      </c>
      <c r="S2498" s="6" t="str">
        <f>IFERROR(__xludf.DUMMYFUNCTION("""COMPUTED_VALUE""")," ")</f>
        <v> </v>
      </c>
      <c r="T2498" s="6" t="str">
        <f>IFERROR(__xludf.DUMMYFUNCTION("""COMPUTED_VALUE"""),"")</f>
        <v/>
      </c>
      <c r="U2498" s="6" t="str">
        <f>IFERROR(__xludf.DUMMYFUNCTION("""COMPUTED_VALUE"""),"1")</f>
        <v>1</v>
      </c>
      <c r="V2498" s="6" t="str">
        <f>IFERROR(__xludf.DUMMYFUNCTION("""COMPUTED_VALUE"""),"")</f>
        <v/>
      </c>
      <c r="W2498" s="6" t="str">
        <f>IFERROR(__xludf.DUMMYFUNCTION("""COMPUTED_VALUE"""),"[]")</f>
        <v>[]</v>
      </c>
      <c r="X2498" s="6" t="str">
        <f>IFERROR(__xludf.DUMMYFUNCTION("""COMPUTED_VALUE"""),"Pending Review")</f>
        <v>Pending Review</v>
      </c>
    </row>
    <row r="2499">
      <c r="A2499" s="6" t="str">
        <f>IFERROR(__xludf.DUMMYFUNCTION("""COMPUTED_VALUE"""),"042-8002")</f>
        <v>042-8002</v>
      </c>
      <c r="B2499" s="6" t="str">
        <f>IFERROR(__xludf.DUMMYFUNCTION("""COMPUTED_VALUE"""),"42")</f>
        <v>42</v>
      </c>
      <c r="C2499" s="6" t="str">
        <f>IFERROR(__xludf.DUMMYFUNCTION("""COMPUTED_VALUE"""),"8002")</f>
        <v>8002</v>
      </c>
      <c r="D2499" s="6" t="str">
        <f>IFERROR(__xludf.DUMMYFUNCTION("""COMPUTED_VALUE"""),"Ariella")</f>
        <v>Ariella</v>
      </c>
      <c r="E2499" s="6" t="str">
        <f>IFERROR(__xludf.DUMMYFUNCTION("""COMPUTED_VALUE"""),"Ariella")</f>
        <v>Ariella</v>
      </c>
      <c r="F2499" s="6" t="str">
        <f>IFERROR(__xludf.DUMMYFUNCTION("""COMPUTED_VALUE"""),"Sadowsky")</f>
        <v>Sadowsky</v>
      </c>
      <c r="G2499" s="6" t="str">
        <f>IFERROR(__xludf.DUMMYFUNCTION("""COMPUTED_VALUE"""),"05/19/2016")</f>
        <v>05/19/2016</v>
      </c>
      <c r="H2499" s="6" t="str">
        <f>IFERROR(__xludf.DUMMYFUNCTION("""COMPUTED_VALUE"""),"female")</f>
        <v>female</v>
      </c>
      <c r="I2499" s="6" t="str">
        <f>IFERROR(__xludf.DUMMYFUNCTION("""COMPUTED_VALUE"""),"Level 2")</f>
        <v>Level 2</v>
      </c>
      <c r="J2499" s="6" t="str">
        <f>IFERROR(__xludf.DUMMYFUNCTION("""COMPUTED_VALUE"""),"4")</f>
        <v>4</v>
      </c>
      <c r="K2499" s="6" t="str">
        <f>IFERROR(__xludf.DUMMYFUNCTION("""COMPUTED_VALUE"""),"ariella.sadowsky@alpha.school")</f>
        <v>ariella.sadowsky@alpha.school</v>
      </c>
      <c r="L2499" s="6" t="str">
        <f>IFERROR(__xludf.DUMMYFUNCTION("""COMPUTED_VALUE"""),"Alpha School Plano")</f>
        <v>Alpha School Plano</v>
      </c>
      <c r="M2499" s="6" t="str">
        <f>IFERROR(__xludf.DUMMYFUNCTION("""COMPUTED_VALUE"""),"")</f>
        <v/>
      </c>
      <c r="N2499" s="6" t="str">
        <f>IFERROR(__xludf.DUMMYFUNCTION("""COMPUTED_VALUE"""),"")</f>
        <v/>
      </c>
      <c r="O2499" s="87" t="str">
        <f>IFERROR(__xludf.DUMMYFUNCTION("""COMPUTED_VALUE"""),"https://drive.google.com/drive/folders/10T2cTQHqEJZqE-st6uFKPoI?usp=share_link")</f>
        <v>https://drive.google.com/drive/folders/10T2cTQHqEJZqE-st6uFKPoI?usp=share_link</v>
      </c>
      <c r="P2499" s="6" t="str">
        <f>IFERROR(__xludf.DUMMYFUNCTION("""COMPUTED_VALUE"""),"Ariella Sadowsky")</f>
        <v>Ariella Sadowsky</v>
      </c>
      <c r="Q2499" s="6" t="str">
        <f>IFERROR(__xludf.DUMMYFUNCTION("""COMPUTED_VALUE"""),"L2")</f>
        <v>L2</v>
      </c>
      <c r="R2499" s="6">
        <f>IFERROR(__xludf.DUMMYFUNCTION("""COMPUTED_VALUE"""),2.0)</f>
        <v>2</v>
      </c>
      <c r="S2499" s="6" t="str">
        <f>IFERROR(__xludf.DUMMYFUNCTION("""COMPUTED_VALUE"""),"Sanura N'Jaka")</f>
        <v>Sanura N'Jaka</v>
      </c>
      <c r="T2499" s="6" t="str">
        <f>IFERROR(__xludf.DUMMYFUNCTION("""COMPUTED_VALUE"""),"sanura.njaka@alpha.school")</f>
        <v>sanura.njaka@alpha.school</v>
      </c>
      <c r="U2499" s="6" t="str">
        <f>IFERROR(__xludf.DUMMYFUNCTION("""COMPUTED_VALUE"""),"4")</f>
        <v>4</v>
      </c>
      <c r="V2499" s="6" t="str">
        <f>IFERROR(__xludf.DUMMYFUNCTION("""COMPUTED_VALUE"""),"")</f>
        <v/>
      </c>
      <c r="W2499" s="6" t="str">
        <f>IFERROR(__xludf.DUMMYFUNCTION("""COMPUTED_VALUE"""),"[]")</f>
        <v>[]</v>
      </c>
      <c r="X2499" s="6" t="str">
        <f>IFERROR(__xludf.DUMMYFUNCTION("""COMPUTED_VALUE"""),"Enrolled")</f>
        <v>Enrolled</v>
      </c>
    </row>
    <row r="2500">
      <c r="A2500" s="6" t="str">
        <f>IFERROR(__xludf.DUMMYFUNCTION("""COMPUTED_VALUE"""),"042-8167")</f>
        <v>042-8167</v>
      </c>
      <c r="B2500" s="6" t="str">
        <f>IFERROR(__xludf.DUMMYFUNCTION("""COMPUTED_VALUE"""),"42")</f>
        <v>42</v>
      </c>
      <c r="C2500" s="6" t="str">
        <f>IFERROR(__xludf.DUMMYFUNCTION("""COMPUTED_VALUE"""),"8167")</f>
        <v>8167</v>
      </c>
      <c r="D2500" s="6" t="str">
        <f>IFERROR(__xludf.DUMMYFUNCTION("""COMPUTED_VALUE"""),"Ronin")</f>
        <v>Ronin</v>
      </c>
      <c r="E2500" s="6" t="str">
        <f>IFERROR(__xludf.DUMMYFUNCTION("""COMPUTED_VALUE"""),"")</f>
        <v/>
      </c>
      <c r="F2500" s="6" t="str">
        <f>IFERROR(__xludf.DUMMYFUNCTION("""COMPUTED_VALUE"""),"Stanton")</f>
        <v>Stanton</v>
      </c>
      <c r="G2500" s="6" t="str">
        <f>IFERROR(__xludf.DUMMYFUNCTION("""COMPUTED_VALUE"""),"04/09/2020")</f>
        <v>04/09/2020</v>
      </c>
      <c r="H2500" s="6" t="str">
        <f>IFERROR(__xludf.DUMMYFUNCTION("""COMPUTED_VALUE"""),"male")</f>
        <v>male</v>
      </c>
      <c r="I2500" s="6" t="str">
        <f>IFERROR(__xludf.DUMMYFUNCTION("""COMPUTED_VALUE"""),"Learning Lab")</f>
        <v>Learning Lab</v>
      </c>
      <c r="J2500" s="6" t="str">
        <f>IFERROR(__xludf.DUMMYFUNCTION("""COMPUTED_VALUE"""),"K")</f>
        <v>K</v>
      </c>
      <c r="K2500" s="6" t="str">
        <f>IFERROR(__xludf.DUMMYFUNCTION("""COMPUTED_VALUE"""),"ronin.stanton@alpha.school")</f>
        <v>ronin.stanton@alpha.school</v>
      </c>
      <c r="L2500" s="6" t="str">
        <f>IFERROR(__xludf.DUMMYFUNCTION("""COMPUTED_VALUE"""),"Alpha School Plano")</f>
        <v>Alpha School Plano</v>
      </c>
      <c r="M2500" s="6" t="str">
        <f>IFERROR(__xludf.DUMMYFUNCTION("""COMPUTED_VALUE"""),"")</f>
        <v/>
      </c>
      <c r="N2500" s="6" t="str">
        <f>IFERROR(__xludf.DUMMYFUNCTION("""COMPUTED_VALUE"""),"")</f>
        <v/>
      </c>
      <c r="O2500" s="87" t="str">
        <f>IFERROR(__xludf.DUMMYFUNCTION("""COMPUTED_VALUE"""),"https://drive.google.com/drive/folders/10T2cTQHqEJZqE-st6uFKPoI?usp=share_link")</f>
        <v>https://drive.google.com/drive/folders/10T2cTQHqEJZqE-st6uFKPoI?usp=share_link</v>
      </c>
      <c r="P2500" s="6" t="str">
        <f>IFERROR(__xludf.DUMMYFUNCTION("""COMPUTED_VALUE"""),"Ronin Stanton")</f>
        <v>Ronin Stanton</v>
      </c>
      <c r="Q2500" s="6" t="str">
        <f>IFERROR(__xludf.DUMMYFUNCTION("""COMPUTED_VALUE"""),"LL")</f>
        <v>LL</v>
      </c>
      <c r="R2500" s="6">
        <f>IFERROR(__xludf.DUMMYFUNCTION("""COMPUTED_VALUE"""),0.0)</f>
        <v>0</v>
      </c>
      <c r="S2500" s="6" t="str">
        <f>IFERROR(__xludf.DUMMYFUNCTION("""COMPUTED_VALUE"""),"Jennifer Maddox")</f>
        <v>Jennifer Maddox</v>
      </c>
      <c r="T2500" s="6" t="str">
        <f>IFERROR(__xludf.DUMMYFUNCTION("""COMPUTED_VALUE"""),"jennifer.maddox@alpha.school")</f>
        <v>jennifer.maddox@alpha.school</v>
      </c>
      <c r="U2500" s="6" t="str">
        <f>IFERROR(__xludf.DUMMYFUNCTION("""COMPUTED_VALUE"""),"K")</f>
        <v>K</v>
      </c>
      <c r="V2500" s="6" t="str">
        <f>IFERROR(__xludf.DUMMYFUNCTION("""COMPUTED_VALUE"""),"")</f>
        <v/>
      </c>
      <c r="W2500" s="6" t="str">
        <f>IFERROR(__xludf.DUMMYFUNCTION("""COMPUTED_VALUE"""),"[]")</f>
        <v>[]</v>
      </c>
      <c r="X2500" s="6" t="str">
        <f>IFERROR(__xludf.DUMMYFUNCTION("""COMPUTED_VALUE"""),"Enrolled")</f>
        <v>Enrolled</v>
      </c>
    </row>
    <row r="2501">
      <c r="A2501" s="6" t="str">
        <f>IFERROR(__xludf.DUMMYFUNCTION("""COMPUTED_VALUE"""),"042-8670")</f>
        <v>042-8670</v>
      </c>
      <c r="B2501" s="6" t="str">
        <f>IFERROR(__xludf.DUMMYFUNCTION("""COMPUTED_VALUE"""),"42")</f>
        <v>42</v>
      </c>
      <c r="C2501" s="6" t="str">
        <f>IFERROR(__xludf.DUMMYFUNCTION("""COMPUTED_VALUE"""),"8670")</f>
        <v>8670</v>
      </c>
      <c r="D2501" s="6" t="str">
        <f>IFERROR(__xludf.DUMMYFUNCTION("""COMPUTED_VALUE"""),"Vladimir")</f>
        <v>Vladimir</v>
      </c>
      <c r="E2501" s="6" t="str">
        <f>IFERROR(__xludf.DUMMYFUNCTION("""COMPUTED_VALUE"""),"")</f>
        <v/>
      </c>
      <c r="F2501" s="6" t="str">
        <f>IFERROR(__xludf.DUMMYFUNCTION("""COMPUTED_VALUE"""),"_test_BakaevPlano_enrolled")</f>
        <v>_test_BakaevPlano_enrolled</v>
      </c>
      <c r="G2501" s="6" t="str">
        <f>IFERROR(__xludf.DUMMYFUNCTION("""COMPUTED_VALUE"""),"01/01/2025")</f>
        <v>01/01/2025</v>
      </c>
      <c r="H2501" s="6" t="str">
        <f>IFERROR(__xludf.DUMMYFUNCTION("""COMPUTED_VALUE"""),"Self Identify")</f>
        <v>Self Identify</v>
      </c>
      <c r="I2501" s="6" t="str">
        <f>IFERROR(__xludf.DUMMYFUNCTION("""COMPUTED_VALUE"""),"Level 2")</f>
        <v>Level 2</v>
      </c>
      <c r="J2501" s="6" t="str">
        <f>IFERROR(__xludf.DUMMYFUNCTION("""COMPUTED_VALUE"""),"5")</f>
        <v>5</v>
      </c>
      <c r="K2501" s="6" t="str">
        <f>IFERROR(__xludf.DUMMYFUNCTION("""COMPUTED_VALUE"""),"vladimir.test_bakaevplano_enrolled@alpha.school")</f>
        <v>vladimir.test_bakaevplano_enrolled@alpha.school</v>
      </c>
      <c r="L2501" s="6" t="str">
        <f>IFERROR(__xludf.DUMMYFUNCTION("""COMPUTED_VALUE"""),"Alpha School Plano")</f>
        <v>Alpha School Plano</v>
      </c>
      <c r="M2501" s="6" t="str">
        <f>IFERROR(__xludf.DUMMYFUNCTION("""COMPUTED_VALUE"""),"Test")</f>
        <v>Test</v>
      </c>
      <c r="N2501" s="6" t="str">
        <f>IFERROR(__xludf.DUMMYFUNCTION("""COMPUTED_VALUE"""),"")</f>
        <v/>
      </c>
      <c r="O2501" s="87" t="str">
        <f>IFERROR(__xludf.DUMMYFUNCTION("""COMPUTED_VALUE"""),"https://drive.google.com/drive/folders/10T2cTQHqEJZqE-st6uFKPoI?usp=share_link")</f>
        <v>https://drive.google.com/drive/folders/10T2cTQHqEJZqE-st6uFKPoI?usp=share_link</v>
      </c>
      <c r="P2501" s="6" t="str">
        <f>IFERROR(__xludf.DUMMYFUNCTION("""COMPUTED_VALUE"""),"Vladimir _test_BakaevPlano_enrolled")</f>
        <v>Vladimir _test_BakaevPlano_enrolled</v>
      </c>
      <c r="Q2501" s="6" t="str">
        <f>IFERROR(__xludf.DUMMYFUNCTION("""COMPUTED_VALUE"""),"L2")</f>
        <v>L2</v>
      </c>
      <c r="R2501" s="6">
        <f>IFERROR(__xludf.DUMMYFUNCTION("""COMPUTED_VALUE"""),2.0)</f>
        <v>2</v>
      </c>
      <c r="S2501" s="6" t="str">
        <f>IFERROR(__xludf.DUMMYFUNCTION("""COMPUTED_VALUE""")," ")</f>
        <v> </v>
      </c>
      <c r="T2501" s="6" t="str">
        <f>IFERROR(__xludf.DUMMYFUNCTION("""COMPUTED_VALUE"""),"")</f>
        <v/>
      </c>
      <c r="U2501" s="6" t="str">
        <f>IFERROR(__xludf.DUMMYFUNCTION("""COMPUTED_VALUE"""),"5")</f>
        <v>5</v>
      </c>
      <c r="V2501" s="6" t="str">
        <f>IFERROR(__xludf.DUMMYFUNCTION("""COMPUTED_VALUE"""),"")</f>
        <v/>
      </c>
      <c r="W2501" s="6" t="str">
        <f>IFERROR(__xludf.DUMMYFUNCTION("""COMPUTED_VALUE"""),"[]")</f>
        <v>[]</v>
      </c>
      <c r="X2501" s="6" t="str">
        <f>IFERROR(__xludf.DUMMYFUNCTION("""COMPUTED_VALUE"""),"Enrolled")</f>
        <v>Enrolled</v>
      </c>
    </row>
    <row r="2502">
      <c r="A2502" s="6" t="str">
        <f>IFERROR(__xludf.DUMMYFUNCTION("""COMPUTED_VALUE"""),"042-9094")</f>
        <v>042-9094</v>
      </c>
      <c r="B2502" s="6" t="str">
        <f>IFERROR(__xludf.DUMMYFUNCTION("""COMPUTED_VALUE"""),"42")</f>
        <v>42</v>
      </c>
      <c r="C2502" s="6" t="str">
        <f>IFERROR(__xludf.DUMMYFUNCTION("""COMPUTED_VALUE"""),"9094")</f>
        <v>9094</v>
      </c>
      <c r="D2502" s="6" t="str">
        <f>IFERROR(__xludf.DUMMYFUNCTION("""COMPUTED_VALUE"""),"Founding Student")</f>
        <v>Founding Student</v>
      </c>
      <c r="E2502" s="6" t="str">
        <f>IFERROR(__xludf.DUMMYFUNCTION("""COMPUTED_VALUE"""),"")</f>
        <v/>
      </c>
      <c r="F2502" s="6" t="str">
        <f>IFERROR(__xludf.DUMMYFUNCTION("""COMPUTED_VALUE"""),"_test_")</f>
        <v>_test_</v>
      </c>
      <c r="G2502" s="6" t="str">
        <f>IFERROR(__xludf.DUMMYFUNCTION("""COMPUTED_VALUE"""),"04/01/2015")</f>
        <v>04/01/2015</v>
      </c>
      <c r="H2502" s="6" t="str">
        <f>IFERROR(__xludf.DUMMYFUNCTION("""COMPUTED_VALUE"""),"Self Identify")</f>
        <v>Self Identify</v>
      </c>
      <c r="I2502" s="6" t="str">
        <f>IFERROR(__xludf.DUMMYFUNCTION("""COMPUTED_VALUE"""),"Level 2")</f>
        <v>Level 2</v>
      </c>
      <c r="J2502" s="6" t="str">
        <f>IFERROR(__xludf.DUMMYFUNCTION("""COMPUTED_VALUE"""),"5")</f>
        <v>5</v>
      </c>
      <c r="K2502" s="6" t="str">
        <f>IFERROR(__xludf.DUMMYFUNCTION("""COMPUTED_VALUE"""),"foundingstudent.test@alpha.school")</f>
        <v>foundingstudent.test@alpha.school</v>
      </c>
      <c r="L2502" s="6" t="str">
        <f>IFERROR(__xludf.DUMMYFUNCTION("""COMPUTED_VALUE"""),"Alpha School Plano")</f>
        <v>Alpha School Plano</v>
      </c>
      <c r="M2502" s="6" t="str">
        <f>IFERROR(__xludf.DUMMYFUNCTION("""COMPUTED_VALUE"""),"Test")</f>
        <v>Test</v>
      </c>
      <c r="N2502" s="6" t="str">
        <f>IFERROR(__xludf.DUMMYFUNCTION("""COMPUTED_VALUE"""),"")</f>
        <v/>
      </c>
      <c r="O2502" s="87" t="str">
        <f>IFERROR(__xludf.DUMMYFUNCTION("""COMPUTED_VALUE"""),"https://drive.google.com/drive/folders/10T2cTQHqEJZqE-st6uFKPoI?usp=share_link")</f>
        <v>https://drive.google.com/drive/folders/10T2cTQHqEJZqE-st6uFKPoI?usp=share_link</v>
      </c>
      <c r="P2502" s="6" t="str">
        <f>IFERROR(__xludf.DUMMYFUNCTION("""COMPUTED_VALUE"""),"Founding Student _test_")</f>
        <v>Founding Student _test_</v>
      </c>
      <c r="Q2502" s="6" t="str">
        <f>IFERROR(__xludf.DUMMYFUNCTION("""COMPUTED_VALUE"""),"L2")</f>
        <v>L2</v>
      </c>
      <c r="R2502" s="6">
        <f>IFERROR(__xludf.DUMMYFUNCTION("""COMPUTED_VALUE"""),2.0)</f>
        <v>2</v>
      </c>
      <c r="S2502" s="6" t="str">
        <f>IFERROR(__xludf.DUMMYFUNCTION("""COMPUTED_VALUE""")," ")</f>
        <v> </v>
      </c>
      <c r="T2502" s="6" t="str">
        <f>IFERROR(__xludf.DUMMYFUNCTION("""COMPUTED_VALUE"""),"")</f>
        <v/>
      </c>
      <c r="U2502" s="6" t="str">
        <f>IFERROR(__xludf.DUMMYFUNCTION("""COMPUTED_VALUE"""),"5")</f>
        <v>5</v>
      </c>
      <c r="V2502" s="6" t="str">
        <f>IFERROR(__xludf.DUMMYFUNCTION("""COMPUTED_VALUE"""),"")</f>
        <v/>
      </c>
      <c r="W2502" s="6" t="str">
        <f>IFERROR(__xludf.DUMMYFUNCTION("""COMPUTED_VALUE"""),"[]")</f>
        <v>[]</v>
      </c>
      <c r="X2502" s="6" t="str">
        <f>IFERROR(__xludf.DUMMYFUNCTION("""COMPUTED_VALUE"""),"Enrolled")</f>
        <v>Enrolled</v>
      </c>
    </row>
    <row r="2503">
      <c r="A2503" s="6" t="str">
        <f>IFERROR(__xludf.DUMMYFUNCTION("""COMPUTED_VALUE"""),"044-10321")</f>
        <v>044-10321</v>
      </c>
      <c r="B2503" s="6" t="str">
        <f>IFERROR(__xludf.DUMMYFUNCTION("""COMPUTED_VALUE"""),"44")</f>
        <v>44</v>
      </c>
      <c r="C2503" s="6" t="str">
        <f>IFERROR(__xludf.DUMMYFUNCTION("""COMPUTED_VALUE"""),"10321")</f>
        <v>10321</v>
      </c>
      <c r="D2503" s="6" t="str">
        <f>IFERROR(__xludf.DUMMYFUNCTION("""COMPUTED_VALUE"""),"Nayel")</f>
        <v>Nayel</v>
      </c>
      <c r="E2503" s="6" t="str">
        <f>IFERROR(__xludf.DUMMYFUNCTION("""COMPUTED_VALUE"""),"")</f>
        <v/>
      </c>
      <c r="F2503" s="6" t="str">
        <f>IFERROR(__xludf.DUMMYFUNCTION("""COMPUTED_VALUE"""),"Bajwa")</f>
        <v>Bajwa</v>
      </c>
      <c r="G2503" s="6" t="str">
        <f>IFERROR(__xludf.DUMMYFUNCTION("""COMPUTED_VALUE"""),"12/08/2018")</f>
        <v>12/08/2018</v>
      </c>
      <c r="H2503" s="6" t="str">
        <f>IFERROR(__xludf.DUMMYFUNCTION("""COMPUTED_VALUE"""),"male")</f>
        <v>male</v>
      </c>
      <c r="I2503" s="6" t="str">
        <f>IFERROR(__xludf.DUMMYFUNCTION("""COMPUTED_VALUE"""),"Learning Lab")</f>
        <v>Learning Lab</v>
      </c>
      <c r="J2503" s="6" t="str">
        <f>IFERROR(__xludf.DUMMYFUNCTION("""COMPUTED_VALUE"""),"1")</f>
        <v>1</v>
      </c>
      <c r="K2503" s="6" t="str">
        <f>IFERROR(__xludf.DUMMYFUNCTION("""COMPUTED_VALUE"""),"nayel.bajwa@alpha.school")</f>
        <v>nayel.bajwa@alpha.school</v>
      </c>
      <c r="L2503" s="6" t="str">
        <f>IFERROR(__xludf.DUMMYFUNCTION("""COMPUTED_VALUE"""),"Alpha School Lake Forest")</f>
        <v>Alpha School Lake Forest</v>
      </c>
      <c r="M2503" s="6" t="str">
        <f>IFERROR(__xludf.DUMMYFUNCTION("""COMPUTED_VALUE"""),"")</f>
        <v/>
      </c>
      <c r="N2503" s="6" t="str">
        <f>IFERROR(__xludf.DUMMYFUNCTION("""COMPUTED_VALUE"""),"")</f>
        <v/>
      </c>
      <c r="O2503" s="87" t="str">
        <f>IFERROR(__xludf.DUMMYFUNCTION("""COMPUTED_VALUE"""),"https://drive.google.com/drive/folders/10T2cTQHqEJZqE-st6uFKPoI?usp=share_link")</f>
        <v>https://drive.google.com/drive/folders/10T2cTQHqEJZqE-st6uFKPoI?usp=share_link</v>
      </c>
      <c r="P2503" s="6" t="str">
        <f>IFERROR(__xludf.DUMMYFUNCTION("""COMPUTED_VALUE"""),"Nayel Bajwa")</f>
        <v>Nayel Bajwa</v>
      </c>
      <c r="Q2503" s="6" t="str">
        <f>IFERROR(__xludf.DUMMYFUNCTION("""COMPUTED_VALUE"""),"LL")</f>
        <v>LL</v>
      </c>
      <c r="R2503" s="6">
        <f>IFERROR(__xludf.DUMMYFUNCTION("""COMPUTED_VALUE"""),0.0)</f>
        <v>0</v>
      </c>
      <c r="S2503" s="6" t="str">
        <f>IFERROR(__xludf.DUMMYFUNCTION("""COMPUTED_VALUE"""),"Lorine Barnabe Dapic")</f>
        <v>Lorine Barnabe Dapic</v>
      </c>
      <c r="T2503" s="6" t="str">
        <f>IFERROR(__xludf.DUMMYFUNCTION("""COMPUTED_VALUE"""),"lorine.barnabe@alpha.school")</f>
        <v>lorine.barnabe@alpha.school</v>
      </c>
      <c r="U2503" s="6" t="str">
        <f>IFERROR(__xludf.DUMMYFUNCTION("""COMPUTED_VALUE"""),"1")</f>
        <v>1</v>
      </c>
      <c r="V2503" s="6" t="str">
        <f>IFERROR(__xludf.DUMMYFUNCTION("""COMPUTED_VALUE"""),"")</f>
        <v/>
      </c>
      <c r="W2503" s="6" t="str">
        <f>IFERROR(__xludf.DUMMYFUNCTION("""COMPUTED_VALUE"""),"[]")</f>
        <v>[]</v>
      </c>
      <c r="X2503" s="6" t="str">
        <f>IFERROR(__xludf.DUMMYFUNCTION("""COMPUTED_VALUE"""),"Enrolled")</f>
        <v>Enrolled</v>
      </c>
    </row>
    <row r="2504">
      <c r="A2504" s="6" t="str">
        <f>IFERROR(__xludf.DUMMYFUNCTION("""COMPUTED_VALUE"""),"044-10895")</f>
        <v>044-10895</v>
      </c>
      <c r="B2504" s="6" t="str">
        <f>IFERROR(__xludf.DUMMYFUNCTION("""COMPUTED_VALUE"""),"44")</f>
        <v>44</v>
      </c>
      <c r="C2504" s="6" t="str">
        <f>IFERROR(__xludf.DUMMYFUNCTION("""COMPUTED_VALUE"""),"10895")</f>
        <v>10895</v>
      </c>
      <c r="D2504" s="6" t="str">
        <f>IFERROR(__xludf.DUMMYFUNCTION("""COMPUTED_VALUE"""),"Lucia")</f>
        <v>Lucia</v>
      </c>
      <c r="E2504" s="6" t="str">
        <f>IFERROR(__xludf.DUMMYFUNCTION("""COMPUTED_VALUE"""),"Lucia")</f>
        <v>Lucia</v>
      </c>
      <c r="F2504" s="6" t="str">
        <f>IFERROR(__xludf.DUMMYFUNCTION("""COMPUTED_VALUE"""),"Quimby")</f>
        <v>Quimby</v>
      </c>
      <c r="G2504" s="6" t="str">
        <f>IFERROR(__xludf.DUMMYFUNCTION("""COMPUTED_VALUE"""),"09/20/2018")</f>
        <v>09/20/2018</v>
      </c>
      <c r="H2504" s="6" t="str">
        <f>IFERROR(__xludf.DUMMYFUNCTION("""COMPUTED_VALUE"""),"female")</f>
        <v>female</v>
      </c>
      <c r="I2504" s="6" t="str">
        <f>IFERROR(__xludf.DUMMYFUNCTION("""COMPUTED_VALUE"""),"Learning Lab")</f>
        <v>Learning Lab</v>
      </c>
      <c r="J2504" s="6" t="str">
        <f>IFERROR(__xludf.DUMMYFUNCTION("""COMPUTED_VALUE"""),"1")</f>
        <v>1</v>
      </c>
      <c r="K2504" s="6" t="str">
        <f>IFERROR(__xludf.DUMMYFUNCTION("""COMPUTED_VALUE"""),"lucia.quimby@alpha.school")</f>
        <v>lucia.quimby@alpha.school</v>
      </c>
      <c r="L2504" s="6" t="str">
        <f>IFERROR(__xludf.DUMMYFUNCTION("""COMPUTED_VALUE"""),"Alpha School Lake Forest")</f>
        <v>Alpha School Lake Forest</v>
      </c>
      <c r="M2504" s="6" t="str">
        <f>IFERROR(__xludf.DUMMYFUNCTION("""COMPUTED_VALUE"""),"")</f>
        <v/>
      </c>
      <c r="N2504" s="6" t="str">
        <f>IFERROR(__xludf.DUMMYFUNCTION("""COMPUTED_VALUE"""),"")</f>
        <v/>
      </c>
      <c r="O2504" s="87" t="str">
        <f>IFERROR(__xludf.DUMMYFUNCTION("""COMPUTED_VALUE"""),"https://drive.google.com/drive/folders/10T2cTQHqEJZqE-st6uFKPoI?usp=share_link")</f>
        <v>https://drive.google.com/drive/folders/10T2cTQHqEJZqE-st6uFKPoI?usp=share_link</v>
      </c>
      <c r="P2504" s="6" t="str">
        <f>IFERROR(__xludf.DUMMYFUNCTION("""COMPUTED_VALUE"""),"Lucia Quimby")</f>
        <v>Lucia Quimby</v>
      </c>
      <c r="Q2504" s="6" t="str">
        <f>IFERROR(__xludf.DUMMYFUNCTION("""COMPUTED_VALUE"""),"LL")</f>
        <v>LL</v>
      </c>
      <c r="R2504" s="6">
        <f>IFERROR(__xludf.DUMMYFUNCTION("""COMPUTED_VALUE"""),0.0)</f>
        <v>0</v>
      </c>
      <c r="S2504" s="6" t="str">
        <f>IFERROR(__xludf.DUMMYFUNCTION("""COMPUTED_VALUE""")," ")</f>
        <v> </v>
      </c>
      <c r="T2504" s="6" t="str">
        <f>IFERROR(__xludf.DUMMYFUNCTION("""COMPUTED_VALUE"""),"")</f>
        <v/>
      </c>
      <c r="U2504" s="6" t="str">
        <f>IFERROR(__xludf.DUMMYFUNCTION("""COMPUTED_VALUE"""),"1")</f>
        <v>1</v>
      </c>
      <c r="V2504" s="6" t="str">
        <f>IFERROR(__xludf.DUMMYFUNCTION("""COMPUTED_VALUE"""),"")</f>
        <v/>
      </c>
      <c r="W2504" s="6" t="str">
        <f>IFERROR(__xludf.DUMMYFUNCTION("""COMPUTED_VALUE"""),"[]")</f>
        <v>[]</v>
      </c>
      <c r="X2504" s="6" t="str">
        <f>IFERROR(__xludf.DUMMYFUNCTION("""COMPUTED_VALUE"""),"Pending Review")</f>
        <v>Pending Review</v>
      </c>
    </row>
    <row r="2505">
      <c r="A2505" s="6" t="str">
        <f>IFERROR(__xludf.DUMMYFUNCTION("""COMPUTED_VALUE"""),"044-11233")</f>
        <v>044-11233</v>
      </c>
      <c r="B2505" s="6" t="str">
        <f>IFERROR(__xludf.DUMMYFUNCTION("""COMPUTED_VALUE"""),"44")</f>
        <v>44</v>
      </c>
      <c r="C2505" s="6" t="str">
        <f>IFERROR(__xludf.DUMMYFUNCTION("""COMPUTED_VALUE"""),"11233")</f>
        <v>11233</v>
      </c>
      <c r="D2505" s="6" t="str">
        <f>IFERROR(__xludf.DUMMYFUNCTION("""COMPUTED_VALUE"""),"Arthur")</f>
        <v>Arthur</v>
      </c>
      <c r="E2505" s="6" t="str">
        <f>IFERROR(__xludf.DUMMYFUNCTION("""COMPUTED_VALUE"""),"Arthur")</f>
        <v>Arthur</v>
      </c>
      <c r="F2505" s="6" t="str">
        <f>IFERROR(__xludf.DUMMYFUNCTION("""COMPUTED_VALUE"""),"Przybyl")</f>
        <v>Przybyl</v>
      </c>
      <c r="G2505" s="6" t="str">
        <f>IFERROR(__xludf.DUMMYFUNCTION("""COMPUTED_VALUE"""),"09/18/2017")</f>
        <v>09/18/2017</v>
      </c>
      <c r="H2505" s="6" t="str">
        <f>IFERROR(__xludf.DUMMYFUNCTION("""COMPUTED_VALUE"""),"Self Identify")</f>
        <v>Self Identify</v>
      </c>
      <c r="I2505" s="6" t="str">
        <f>IFERROR(__xludf.DUMMYFUNCTION("""COMPUTED_VALUE"""),"Level 1")</f>
        <v>Level 1</v>
      </c>
      <c r="J2505" s="6" t="str">
        <f>IFERROR(__xludf.DUMMYFUNCTION("""COMPUTED_VALUE"""),"2")</f>
        <v>2</v>
      </c>
      <c r="K2505" s="6" t="str">
        <f>IFERROR(__xludf.DUMMYFUNCTION("""COMPUTED_VALUE"""),"arthur.przybyl@alpha.school")</f>
        <v>arthur.przybyl@alpha.school</v>
      </c>
      <c r="L2505" s="6" t="str">
        <f>IFERROR(__xludf.DUMMYFUNCTION("""COMPUTED_VALUE"""),"Alpha School Lake Forest")</f>
        <v>Alpha School Lake Forest</v>
      </c>
      <c r="M2505" s="6" t="str">
        <f>IFERROR(__xludf.DUMMYFUNCTION("""COMPUTED_VALUE"""),"")</f>
        <v/>
      </c>
      <c r="N2505" s="6" t="str">
        <f>IFERROR(__xludf.DUMMYFUNCTION("""COMPUTED_VALUE"""),"")</f>
        <v/>
      </c>
      <c r="O2505" s="87" t="str">
        <f>IFERROR(__xludf.DUMMYFUNCTION("""COMPUTED_VALUE"""),"https://drive.google.com/drive/folders/10T2cTQHqEJZqE-st6uFKPoI?usp=share_link")</f>
        <v>https://drive.google.com/drive/folders/10T2cTQHqEJZqE-st6uFKPoI?usp=share_link</v>
      </c>
      <c r="P2505" s="6" t="str">
        <f>IFERROR(__xludf.DUMMYFUNCTION("""COMPUTED_VALUE"""),"Arthur Przybyl")</f>
        <v>Arthur Przybyl</v>
      </c>
      <c r="Q2505" s="6" t="str">
        <f>IFERROR(__xludf.DUMMYFUNCTION("""COMPUTED_VALUE"""),"L1")</f>
        <v>L1</v>
      </c>
      <c r="R2505" s="6">
        <f>IFERROR(__xludf.DUMMYFUNCTION("""COMPUTED_VALUE"""),1.0)</f>
        <v>1</v>
      </c>
      <c r="S2505" s="6" t="str">
        <f>IFERROR(__xludf.DUMMYFUNCTION("""COMPUTED_VALUE""")," ")</f>
        <v> </v>
      </c>
      <c r="T2505" s="6" t="str">
        <f>IFERROR(__xludf.DUMMYFUNCTION("""COMPUTED_VALUE"""),"")</f>
        <v/>
      </c>
      <c r="U2505" s="6" t="str">
        <f>IFERROR(__xludf.DUMMYFUNCTION("""COMPUTED_VALUE"""),"2")</f>
        <v>2</v>
      </c>
      <c r="V2505" s="6" t="str">
        <f>IFERROR(__xludf.DUMMYFUNCTION("""COMPUTED_VALUE"""),"")</f>
        <v/>
      </c>
      <c r="W2505" s="6" t="str">
        <f>IFERROR(__xludf.DUMMYFUNCTION("""COMPUTED_VALUE"""),"[]")</f>
        <v>[]</v>
      </c>
      <c r="X2505" s="6" t="str">
        <f>IFERROR(__xludf.DUMMYFUNCTION("""COMPUTED_VALUE"""),"Pending Review")</f>
        <v>Pending Review</v>
      </c>
    </row>
    <row r="2506">
      <c r="A2506" s="6" t="str">
        <f>IFERROR(__xludf.DUMMYFUNCTION("""COMPUTED_VALUE"""),"044-3657")</f>
        <v>044-3657</v>
      </c>
      <c r="B2506" s="6" t="str">
        <f>IFERROR(__xludf.DUMMYFUNCTION("""COMPUTED_VALUE"""),"44")</f>
        <v>44</v>
      </c>
      <c r="C2506" s="6" t="str">
        <f>IFERROR(__xludf.DUMMYFUNCTION("""COMPUTED_VALUE"""),"3657")</f>
        <v>3657</v>
      </c>
      <c r="D2506" s="6" t="str">
        <f>IFERROR(__xludf.DUMMYFUNCTION("""COMPUTED_VALUE"""),"Olivia")</f>
        <v>Olivia</v>
      </c>
      <c r="E2506" s="6" t="str">
        <f>IFERROR(__xludf.DUMMYFUNCTION("""COMPUTED_VALUE"""),"")</f>
        <v/>
      </c>
      <c r="F2506" s="6" t="str">
        <f>IFERROR(__xludf.DUMMYFUNCTION("""COMPUTED_VALUE"""),"Wojtowicz")</f>
        <v>Wojtowicz</v>
      </c>
      <c r="G2506" s="6" t="str">
        <f>IFERROR(__xludf.DUMMYFUNCTION("""COMPUTED_VALUE"""),"02/04/2018")</f>
        <v>02/04/2018</v>
      </c>
      <c r="H2506" s="6" t="str">
        <f>IFERROR(__xludf.DUMMYFUNCTION("""COMPUTED_VALUE"""),"female")</f>
        <v>female</v>
      </c>
      <c r="I2506" s="6" t="str">
        <f>IFERROR(__xludf.DUMMYFUNCTION("""COMPUTED_VALUE"""),"Level 1")</f>
        <v>Level 1</v>
      </c>
      <c r="J2506" s="6" t="str">
        <f>IFERROR(__xludf.DUMMYFUNCTION("""COMPUTED_VALUE"""),"2")</f>
        <v>2</v>
      </c>
      <c r="K2506" s="6" t="str">
        <f>IFERROR(__xludf.DUMMYFUNCTION("""COMPUTED_VALUE"""),"olivia.wojtowicz@alpha.school")</f>
        <v>olivia.wojtowicz@alpha.school</v>
      </c>
      <c r="L2506" s="6" t="str">
        <f>IFERROR(__xludf.DUMMYFUNCTION("""COMPUTED_VALUE"""),"Alpha School Lake Forest")</f>
        <v>Alpha School Lake Forest</v>
      </c>
      <c r="M2506" s="6" t="str">
        <f>IFERROR(__xludf.DUMMYFUNCTION("""COMPUTED_VALUE"""),"")</f>
        <v/>
      </c>
      <c r="N2506" s="6" t="str">
        <f>IFERROR(__xludf.DUMMYFUNCTION("""COMPUTED_VALUE"""),"")</f>
        <v/>
      </c>
      <c r="O2506" s="87" t="str">
        <f>IFERROR(__xludf.DUMMYFUNCTION("""COMPUTED_VALUE"""),"https://drive.google.com/drive/folders/10T2cTQHqEJZqE-st6uFKPoI?usp=share_link")</f>
        <v>https://drive.google.com/drive/folders/10T2cTQHqEJZqE-st6uFKPoI?usp=share_link</v>
      </c>
      <c r="P2506" s="6" t="str">
        <f>IFERROR(__xludf.DUMMYFUNCTION("""COMPUTED_VALUE"""),"Olivia Wojtowicz")</f>
        <v>Olivia Wojtowicz</v>
      </c>
      <c r="Q2506" s="6" t="str">
        <f>IFERROR(__xludf.DUMMYFUNCTION("""COMPUTED_VALUE"""),"L1")</f>
        <v>L1</v>
      </c>
      <c r="R2506" s="6">
        <f>IFERROR(__xludf.DUMMYFUNCTION("""COMPUTED_VALUE"""),1.0)</f>
        <v>1</v>
      </c>
      <c r="S2506" s="6" t="str">
        <f>IFERROR(__xludf.DUMMYFUNCTION("""COMPUTED_VALUE"""),"Alexis Wilson")</f>
        <v>Alexis Wilson</v>
      </c>
      <c r="T2506" s="6" t="str">
        <f>IFERROR(__xludf.DUMMYFUNCTION("""COMPUTED_VALUE"""),"alexis.wilson@alpha.school")</f>
        <v>alexis.wilson@alpha.school</v>
      </c>
      <c r="U2506" s="6" t="str">
        <f>IFERROR(__xludf.DUMMYFUNCTION("""COMPUTED_VALUE"""),"2")</f>
        <v>2</v>
      </c>
      <c r="V2506" s="6" t="str">
        <f>IFERROR(__xludf.DUMMYFUNCTION("""COMPUTED_VALUE"""),"")</f>
        <v/>
      </c>
      <c r="W2506" s="6" t="str">
        <f>IFERROR(__xludf.DUMMYFUNCTION("""COMPUTED_VALUE"""),"[]")</f>
        <v>[]</v>
      </c>
      <c r="X2506" s="6" t="str">
        <f>IFERROR(__xludf.DUMMYFUNCTION("""COMPUTED_VALUE"""),"Enrolled")</f>
        <v>Enrolled</v>
      </c>
    </row>
    <row r="2507">
      <c r="A2507" s="6" t="str">
        <f>IFERROR(__xludf.DUMMYFUNCTION("""COMPUTED_VALUE"""),"044-4369")</f>
        <v>044-4369</v>
      </c>
      <c r="B2507" s="6" t="str">
        <f>IFERROR(__xludf.DUMMYFUNCTION("""COMPUTED_VALUE"""),"44")</f>
        <v>44</v>
      </c>
      <c r="C2507" s="6" t="str">
        <f>IFERROR(__xludf.DUMMYFUNCTION("""COMPUTED_VALUE"""),"4369")</f>
        <v>4369</v>
      </c>
      <c r="D2507" s="6" t="str">
        <f>IFERROR(__xludf.DUMMYFUNCTION("""COMPUTED_VALUE"""),"Cameron")</f>
        <v>Cameron</v>
      </c>
      <c r="E2507" s="6" t="str">
        <f>IFERROR(__xludf.DUMMYFUNCTION("""COMPUTED_VALUE"""),"Cam")</f>
        <v>Cam</v>
      </c>
      <c r="F2507" s="6" t="str">
        <f>IFERROR(__xludf.DUMMYFUNCTION("""COMPUTED_VALUE"""),"Creelman")</f>
        <v>Creelman</v>
      </c>
      <c r="G2507" s="6" t="str">
        <f>IFERROR(__xludf.DUMMYFUNCTION("""COMPUTED_VALUE"""),"01/07/2016")</f>
        <v>01/07/2016</v>
      </c>
      <c r="H2507" s="6" t="str">
        <f>IFERROR(__xludf.DUMMYFUNCTION("""COMPUTED_VALUE"""),"male")</f>
        <v>male</v>
      </c>
      <c r="I2507" s="6" t="str">
        <f>IFERROR(__xludf.DUMMYFUNCTION("""COMPUTED_VALUE"""),"Level 1")</f>
        <v>Level 1</v>
      </c>
      <c r="J2507" s="6" t="str">
        <f>IFERROR(__xludf.DUMMYFUNCTION("""COMPUTED_VALUE"""),"3")</f>
        <v>3</v>
      </c>
      <c r="K2507" s="6" t="str">
        <f>IFERROR(__xludf.DUMMYFUNCTION("""COMPUTED_VALUE"""),"cameron.creelman@alpha.school")</f>
        <v>cameron.creelman@alpha.school</v>
      </c>
      <c r="L2507" s="6" t="str">
        <f>IFERROR(__xludf.DUMMYFUNCTION("""COMPUTED_VALUE"""),"Alpha School Lake Forest")</f>
        <v>Alpha School Lake Forest</v>
      </c>
      <c r="M2507" s="6" t="str">
        <f>IFERROR(__xludf.DUMMYFUNCTION("""COMPUTED_VALUE"""),"")</f>
        <v/>
      </c>
      <c r="N2507" s="6" t="str">
        <f>IFERROR(__xludf.DUMMYFUNCTION("""COMPUTED_VALUE"""),"")</f>
        <v/>
      </c>
      <c r="O2507" s="87" t="str">
        <f>IFERROR(__xludf.DUMMYFUNCTION("""COMPUTED_VALUE"""),"https://drive.google.com/drive/folders/10T2cTQHqEJZqE-st6uFKPoI?usp=share_link")</f>
        <v>https://drive.google.com/drive/folders/10T2cTQHqEJZqE-st6uFKPoI?usp=share_link</v>
      </c>
      <c r="P2507" s="6" t="str">
        <f>IFERROR(__xludf.DUMMYFUNCTION("""COMPUTED_VALUE"""),"Cam Creelman")</f>
        <v>Cam Creelman</v>
      </c>
      <c r="Q2507" s="6" t="str">
        <f>IFERROR(__xludf.DUMMYFUNCTION("""COMPUTED_VALUE"""),"L1")</f>
        <v>L1</v>
      </c>
      <c r="R2507" s="6">
        <f>IFERROR(__xludf.DUMMYFUNCTION("""COMPUTED_VALUE"""),1.0)</f>
        <v>1</v>
      </c>
      <c r="S2507" s="6" t="str">
        <f>IFERROR(__xludf.DUMMYFUNCTION("""COMPUTED_VALUE""")," ")</f>
        <v> </v>
      </c>
      <c r="T2507" s="6" t="str">
        <f>IFERROR(__xludf.DUMMYFUNCTION("""COMPUTED_VALUE"""),"")</f>
        <v/>
      </c>
      <c r="U2507" s="6" t="str">
        <f>IFERROR(__xludf.DUMMYFUNCTION("""COMPUTED_VALUE"""),"3")</f>
        <v>3</v>
      </c>
      <c r="V2507" s="6" t="str">
        <f>IFERROR(__xludf.DUMMYFUNCTION("""COMPUTED_VALUE"""),"")</f>
        <v/>
      </c>
      <c r="W2507" s="6" t="str">
        <f>IFERROR(__xludf.DUMMYFUNCTION("""COMPUTED_VALUE"""),"[]")</f>
        <v>[]</v>
      </c>
      <c r="X2507" s="6" t="str">
        <f>IFERROR(__xludf.DUMMYFUNCTION("""COMPUTED_VALUE"""),"Pending Review")</f>
        <v>Pending Review</v>
      </c>
    </row>
    <row r="2508">
      <c r="A2508" s="6" t="str">
        <f>IFERROR(__xludf.DUMMYFUNCTION("""COMPUTED_VALUE"""),"044-4376")</f>
        <v>044-4376</v>
      </c>
      <c r="B2508" s="6" t="str">
        <f>IFERROR(__xludf.DUMMYFUNCTION("""COMPUTED_VALUE"""),"44")</f>
        <v>44</v>
      </c>
      <c r="C2508" s="6" t="str">
        <f>IFERROR(__xludf.DUMMYFUNCTION("""COMPUTED_VALUE"""),"4376")</f>
        <v>4376</v>
      </c>
      <c r="D2508" s="6" t="str">
        <f>IFERROR(__xludf.DUMMYFUNCTION("""COMPUTED_VALUE"""),"Nathaniel")</f>
        <v>Nathaniel</v>
      </c>
      <c r="E2508" s="6" t="str">
        <f>IFERROR(__xludf.DUMMYFUNCTION("""COMPUTED_VALUE"""),"Nate")</f>
        <v>Nate</v>
      </c>
      <c r="F2508" s="6" t="str">
        <f>IFERROR(__xludf.DUMMYFUNCTION("""COMPUTED_VALUE"""),"Kelly")</f>
        <v>Kelly</v>
      </c>
      <c r="G2508" s="6" t="str">
        <f>IFERROR(__xludf.DUMMYFUNCTION("""COMPUTED_VALUE"""),"02/11/2015")</f>
        <v>02/11/2015</v>
      </c>
      <c r="H2508" s="6" t="str">
        <f>IFERROR(__xludf.DUMMYFUNCTION("""COMPUTED_VALUE"""),"male")</f>
        <v>male</v>
      </c>
      <c r="I2508" s="6" t="str">
        <f>IFERROR(__xludf.DUMMYFUNCTION("""COMPUTED_VALUE"""),"Level 2")</f>
        <v>Level 2</v>
      </c>
      <c r="J2508" s="6" t="str">
        <f>IFERROR(__xludf.DUMMYFUNCTION("""COMPUTED_VALUE"""),"5")</f>
        <v>5</v>
      </c>
      <c r="K2508" s="6" t="str">
        <f>IFERROR(__xludf.DUMMYFUNCTION("""COMPUTED_VALUE"""),"nathaniel.kelly@alpha.school")</f>
        <v>nathaniel.kelly@alpha.school</v>
      </c>
      <c r="L2508" s="6" t="str">
        <f>IFERROR(__xludf.DUMMYFUNCTION("""COMPUTED_VALUE"""),"Alpha School Lake Forest")</f>
        <v>Alpha School Lake Forest</v>
      </c>
      <c r="M2508" s="6" t="str">
        <f>IFERROR(__xludf.DUMMYFUNCTION("""COMPUTED_VALUE"""),"")</f>
        <v/>
      </c>
      <c r="N2508" s="6" t="str">
        <f>IFERROR(__xludf.DUMMYFUNCTION("""COMPUTED_VALUE"""),"")</f>
        <v/>
      </c>
      <c r="O2508" s="87" t="str">
        <f>IFERROR(__xludf.DUMMYFUNCTION("""COMPUTED_VALUE"""),"https://drive.google.com/drive/folders/10T2cTQHqEJZqE-st6uFKPoI?usp=share_link")</f>
        <v>https://drive.google.com/drive/folders/10T2cTQHqEJZqE-st6uFKPoI?usp=share_link</v>
      </c>
      <c r="P2508" s="6" t="str">
        <f>IFERROR(__xludf.DUMMYFUNCTION("""COMPUTED_VALUE"""),"Nate Kelly")</f>
        <v>Nate Kelly</v>
      </c>
      <c r="Q2508" s="6" t="str">
        <f>IFERROR(__xludf.DUMMYFUNCTION("""COMPUTED_VALUE"""),"L2")</f>
        <v>L2</v>
      </c>
      <c r="R2508" s="6">
        <f>IFERROR(__xludf.DUMMYFUNCTION("""COMPUTED_VALUE"""),2.0)</f>
        <v>2</v>
      </c>
      <c r="S2508" s="6" t="str">
        <f>IFERROR(__xludf.DUMMYFUNCTION("""COMPUTED_VALUE"""),"Alexis Wilson")</f>
        <v>Alexis Wilson</v>
      </c>
      <c r="T2508" s="6" t="str">
        <f>IFERROR(__xludf.DUMMYFUNCTION("""COMPUTED_VALUE"""),"alexis.wilson@alpha.school")</f>
        <v>alexis.wilson@alpha.school</v>
      </c>
      <c r="U2508" s="6" t="str">
        <f>IFERROR(__xludf.DUMMYFUNCTION("""COMPUTED_VALUE"""),"5")</f>
        <v>5</v>
      </c>
      <c r="V2508" s="6" t="str">
        <f>IFERROR(__xludf.DUMMYFUNCTION("""COMPUTED_VALUE"""),"")</f>
        <v/>
      </c>
      <c r="W2508" s="6" t="str">
        <f>IFERROR(__xludf.DUMMYFUNCTION("""COMPUTED_VALUE"""),"[]")</f>
        <v>[]</v>
      </c>
      <c r="X2508" s="6" t="str">
        <f>IFERROR(__xludf.DUMMYFUNCTION("""COMPUTED_VALUE"""),"Enrolled")</f>
        <v>Enrolled</v>
      </c>
    </row>
    <row r="2509">
      <c r="A2509" s="6" t="str">
        <f>IFERROR(__xludf.DUMMYFUNCTION("""COMPUTED_VALUE"""),"044-5532")</f>
        <v>044-5532</v>
      </c>
      <c r="B2509" s="6" t="str">
        <f>IFERROR(__xludf.DUMMYFUNCTION("""COMPUTED_VALUE"""),"44")</f>
        <v>44</v>
      </c>
      <c r="C2509" s="6" t="str">
        <f>IFERROR(__xludf.DUMMYFUNCTION("""COMPUTED_VALUE"""),"5532")</f>
        <v>5532</v>
      </c>
      <c r="D2509" s="6" t="str">
        <f>IFERROR(__xludf.DUMMYFUNCTION("""COMPUTED_VALUE"""),"Cora")</f>
        <v>Cora</v>
      </c>
      <c r="E2509" s="6" t="str">
        <f>IFERROR(__xludf.DUMMYFUNCTION("""COMPUTED_VALUE"""),"Cora")</f>
        <v>Cora</v>
      </c>
      <c r="F2509" s="6" t="str">
        <f>IFERROR(__xludf.DUMMYFUNCTION("""COMPUTED_VALUE"""),"Ishaq")</f>
        <v>Ishaq</v>
      </c>
      <c r="G2509" s="6" t="str">
        <f>IFERROR(__xludf.DUMMYFUNCTION("""COMPUTED_VALUE"""),"05/04/2018")</f>
        <v>05/04/2018</v>
      </c>
      <c r="H2509" s="6" t="str">
        <f>IFERROR(__xludf.DUMMYFUNCTION("""COMPUTED_VALUE"""),"female")</f>
        <v>female</v>
      </c>
      <c r="I2509" s="6" t="str">
        <f>IFERROR(__xludf.DUMMYFUNCTION("""COMPUTED_VALUE"""),"Level 1")</f>
        <v>Level 1</v>
      </c>
      <c r="J2509" s="6" t="str">
        <f>IFERROR(__xludf.DUMMYFUNCTION("""COMPUTED_VALUE"""),"2")</f>
        <v>2</v>
      </c>
      <c r="K2509" s="6" t="str">
        <f>IFERROR(__xludf.DUMMYFUNCTION("""COMPUTED_VALUE"""),"cora.ishaq@alpha.school")</f>
        <v>cora.ishaq@alpha.school</v>
      </c>
      <c r="L2509" s="6" t="str">
        <f>IFERROR(__xludf.DUMMYFUNCTION("""COMPUTED_VALUE"""),"Alpha School Lake Forest")</f>
        <v>Alpha School Lake Forest</v>
      </c>
      <c r="M2509" s="6" t="str">
        <f>IFERROR(__xludf.DUMMYFUNCTION("""COMPUTED_VALUE"""),"")</f>
        <v/>
      </c>
      <c r="N2509" s="6" t="str">
        <f>IFERROR(__xludf.DUMMYFUNCTION("""COMPUTED_VALUE"""),"")</f>
        <v/>
      </c>
      <c r="O2509" s="87" t="str">
        <f>IFERROR(__xludf.DUMMYFUNCTION("""COMPUTED_VALUE"""),"https://drive.google.com/drive/folders/10T2cTQHqEJZqE-st6uFKPoI?usp=share_link")</f>
        <v>https://drive.google.com/drive/folders/10T2cTQHqEJZqE-st6uFKPoI?usp=share_link</v>
      </c>
      <c r="P2509" s="6" t="str">
        <f>IFERROR(__xludf.DUMMYFUNCTION("""COMPUTED_VALUE"""),"Cora Ishaq")</f>
        <v>Cora Ishaq</v>
      </c>
      <c r="Q2509" s="6" t="str">
        <f>IFERROR(__xludf.DUMMYFUNCTION("""COMPUTED_VALUE"""),"L1")</f>
        <v>L1</v>
      </c>
      <c r="R2509" s="6">
        <f>IFERROR(__xludf.DUMMYFUNCTION("""COMPUTED_VALUE"""),1.0)</f>
        <v>1</v>
      </c>
      <c r="S2509" s="6" t="str">
        <f>IFERROR(__xludf.DUMMYFUNCTION("""COMPUTED_VALUE"""),"Prathima Venkatesan")</f>
        <v>Prathima Venkatesan</v>
      </c>
      <c r="T2509" s="6" t="str">
        <f>IFERROR(__xludf.DUMMYFUNCTION("""COMPUTED_VALUE"""),"prathima.venkatesan@alpha.school")</f>
        <v>prathima.venkatesan@alpha.school</v>
      </c>
      <c r="U2509" s="6" t="str">
        <f>IFERROR(__xludf.DUMMYFUNCTION("""COMPUTED_VALUE"""),"2")</f>
        <v>2</v>
      </c>
      <c r="V2509" s="6" t="str">
        <f>IFERROR(__xludf.DUMMYFUNCTION("""COMPUTED_VALUE"""),"")</f>
        <v/>
      </c>
      <c r="W2509" s="6" t="str">
        <f>IFERROR(__xludf.DUMMYFUNCTION("""COMPUTED_VALUE"""),"[]")</f>
        <v>[]</v>
      </c>
      <c r="X2509" s="6" t="str">
        <f>IFERROR(__xludf.DUMMYFUNCTION("""COMPUTED_VALUE"""),"Enrolled")</f>
        <v>Enrolled</v>
      </c>
    </row>
    <row r="2510">
      <c r="A2510" s="6" t="str">
        <f>IFERROR(__xludf.DUMMYFUNCTION("""COMPUTED_VALUE"""),"044-6830")</f>
        <v>044-6830</v>
      </c>
      <c r="B2510" s="6" t="str">
        <f>IFERROR(__xludf.DUMMYFUNCTION("""COMPUTED_VALUE"""),"44")</f>
        <v>44</v>
      </c>
      <c r="C2510" s="6" t="str">
        <f>IFERROR(__xludf.DUMMYFUNCTION("""COMPUTED_VALUE"""),"6830")</f>
        <v>6830</v>
      </c>
      <c r="D2510" s="6" t="str">
        <f>IFERROR(__xludf.DUMMYFUNCTION("""COMPUTED_VALUE"""),"Emma")</f>
        <v>Emma</v>
      </c>
      <c r="E2510" s="6" t="str">
        <f>IFERROR(__xludf.DUMMYFUNCTION("""COMPUTED_VALUE"""),"")</f>
        <v/>
      </c>
      <c r="F2510" s="6" t="str">
        <f>IFERROR(__xludf.DUMMYFUNCTION("""COMPUTED_VALUE"""),"Baklanova")</f>
        <v>Baklanova</v>
      </c>
      <c r="G2510" s="6" t="str">
        <f>IFERROR(__xludf.DUMMYFUNCTION("""COMPUTED_VALUE"""),"07/16/2016")</f>
        <v>07/16/2016</v>
      </c>
      <c r="H2510" s="6" t="str">
        <f>IFERROR(__xludf.DUMMYFUNCTION("""COMPUTED_VALUE"""),"female")</f>
        <v>female</v>
      </c>
      <c r="I2510" s="6" t="str">
        <f>IFERROR(__xludf.DUMMYFUNCTION("""COMPUTED_VALUE"""),"Level 2")</f>
        <v>Level 2</v>
      </c>
      <c r="J2510" s="6" t="str">
        <f>IFERROR(__xludf.DUMMYFUNCTION("""COMPUTED_VALUE"""),"4")</f>
        <v>4</v>
      </c>
      <c r="K2510" s="6" t="str">
        <f>IFERROR(__xludf.DUMMYFUNCTION("""COMPUTED_VALUE"""),"emma.baklanova@alpha.school")</f>
        <v>emma.baklanova@alpha.school</v>
      </c>
      <c r="L2510" s="6" t="str">
        <f>IFERROR(__xludf.DUMMYFUNCTION("""COMPUTED_VALUE"""),"Alpha School Lake Forest")</f>
        <v>Alpha School Lake Forest</v>
      </c>
      <c r="M2510" s="6" t="str">
        <f>IFERROR(__xludf.DUMMYFUNCTION("""COMPUTED_VALUE"""),"")</f>
        <v/>
      </c>
      <c r="N2510" s="6" t="str">
        <f>IFERROR(__xludf.DUMMYFUNCTION("""COMPUTED_VALUE"""),"")</f>
        <v/>
      </c>
      <c r="O2510" s="87" t="str">
        <f>IFERROR(__xludf.DUMMYFUNCTION("""COMPUTED_VALUE"""),"https://drive.google.com/drive/folders/10T2cTQHqEJZqE-st6uFKPoI?usp=share_link")</f>
        <v>https://drive.google.com/drive/folders/10T2cTQHqEJZqE-st6uFKPoI?usp=share_link</v>
      </c>
      <c r="P2510" s="6" t="str">
        <f>IFERROR(__xludf.DUMMYFUNCTION("""COMPUTED_VALUE"""),"Emma Baklanova")</f>
        <v>Emma Baklanova</v>
      </c>
      <c r="Q2510" s="6" t="str">
        <f>IFERROR(__xludf.DUMMYFUNCTION("""COMPUTED_VALUE"""),"L2")</f>
        <v>L2</v>
      </c>
      <c r="R2510" s="6">
        <f>IFERROR(__xludf.DUMMYFUNCTION("""COMPUTED_VALUE"""),2.0)</f>
        <v>2</v>
      </c>
      <c r="S2510" s="6" t="str">
        <f>IFERROR(__xludf.DUMMYFUNCTION("""COMPUTED_VALUE"""),"Alexis Wilson")</f>
        <v>Alexis Wilson</v>
      </c>
      <c r="T2510" s="6" t="str">
        <f>IFERROR(__xludf.DUMMYFUNCTION("""COMPUTED_VALUE"""),"alexis.wilson@alpha.school")</f>
        <v>alexis.wilson@alpha.school</v>
      </c>
      <c r="U2510" s="6" t="str">
        <f>IFERROR(__xludf.DUMMYFUNCTION("""COMPUTED_VALUE"""),"4")</f>
        <v>4</v>
      </c>
      <c r="V2510" s="6" t="str">
        <f>IFERROR(__xludf.DUMMYFUNCTION("""COMPUTED_VALUE"""),"")</f>
        <v/>
      </c>
      <c r="W2510" s="6" t="str">
        <f>IFERROR(__xludf.DUMMYFUNCTION("""COMPUTED_VALUE"""),"[]")</f>
        <v>[]</v>
      </c>
      <c r="X2510" s="6" t="str">
        <f>IFERROR(__xludf.DUMMYFUNCTION("""COMPUTED_VALUE"""),"Enrolled")</f>
        <v>Enrolled</v>
      </c>
    </row>
    <row r="2511">
      <c r="A2511" s="6" t="str">
        <f>IFERROR(__xludf.DUMMYFUNCTION("""COMPUTED_VALUE"""),"044-8187")</f>
        <v>044-8187</v>
      </c>
      <c r="B2511" s="6" t="str">
        <f>IFERROR(__xludf.DUMMYFUNCTION("""COMPUTED_VALUE"""),"44")</f>
        <v>44</v>
      </c>
      <c r="C2511" s="6" t="str">
        <f>IFERROR(__xludf.DUMMYFUNCTION("""COMPUTED_VALUE"""),"8187")</f>
        <v>8187</v>
      </c>
      <c r="D2511" s="6" t="str">
        <f>IFERROR(__xludf.DUMMYFUNCTION("""COMPUTED_VALUE"""),"Ari")</f>
        <v>Ari</v>
      </c>
      <c r="E2511" s="6" t="str">
        <f>IFERROR(__xludf.DUMMYFUNCTION("""COMPUTED_VALUE"""),"")</f>
        <v/>
      </c>
      <c r="F2511" s="6" t="str">
        <f>IFERROR(__xludf.DUMMYFUNCTION("""COMPUTED_VALUE"""),"Faheem")</f>
        <v>Faheem</v>
      </c>
      <c r="G2511" s="6" t="str">
        <f>IFERROR(__xludf.DUMMYFUNCTION("""COMPUTED_VALUE"""),"09/01/2015")</f>
        <v>09/01/2015</v>
      </c>
      <c r="H2511" s="6" t="str">
        <f>IFERROR(__xludf.DUMMYFUNCTION("""COMPUTED_VALUE"""),"male")</f>
        <v>male</v>
      </c>
      <c r="I2511" s="6" t="str">
        <f>IFERROR(__xludf.DUMMYFUNCTION("""COMPUTED_VALUE"""),"Level 2")</f>
        <v>Level 2</v>
      </c>
      <c r="J2511" s="6" t="str">
        <f>IFERROR(__xludf.DUMMYFUNCTION("""COMPUTED_VALUE"""),"4")</f>
        <v>4</v>
      </c>
      <c r="K2511" s="6" t="str">
        <f>IFERROR(__xludf.DUMMYFUNCTION("""COMPUTED_VALUE"""),"ari.faheem@alpha.school")</f>
        <v>ari.faheem@alpha.school</v>
      </c>
      <c r="L2511" s="6" t="str">
        <f>IFERROR(__xludf.DUMMYFUNCTION("""COMPUTED_VALUE"""),"Alpha School Lake Forest")</f>
        <v>Alpha School Lake Forest</v>
      </c>
      <c r="M2511" s="6" t="str">
        <f>IFERROR(__xludf.DUMMYFUNCTION("""COMPUTED_VALUE"""),"")</f>
        <v/>
      </c>
      <c r="N2511" s="6" t="str">
        <f>IFERROR(__xludf.DUMMYFUNCTION("""COMPUTED_VALUE"""),"")</f>
        <v/>
      </c>
      <c r="O2511" s="87" t="str">
        <f>IFERROR(__xludf.DUMMYFUNCTION("""COMPUTED_VALUE"""),"https://drive.google.com/drive/folders/10T2cTQHqEJZqE-st6uFKPoI?usp=share_link")</f>
        <v>https://drive.google.com/drive/folders/10T2cTQHqEJZqE-st6uFKPoI?usp=share_link</v>
      </c>
      <c r="P2511" s="6" t="str">
        <f>IFERROR(__xludf.DUMMYFUNCTION("""COMPUTED_VALUE"""),"Ari Faheem")</f>
        <v>Ari Faheem</v>
      </c>
      <c r="Q2511" s="6" t="str">
        <f>IFERROR(__xludf.DUMMYFUNCTION("""COMPUTED_VALUE"""),"L2")</f>
        <v>L2</v>
      </c>
      <c r="R2511" s="6">
        <f>IFERROR(__xludf.DUMMYFUNCTION("""COMPUTED_VALUE"""),2.0)</f>
        <v>2</v>
      </c>
      <c r="S2511" s="6" t="str">
        <f>IFERROR(__xludf.DUMMYFUNCTION("""COMPUTED_VALUE"""),"Alexis Wilson")</f>
        <v>Alexis Wilson</v>
      </c>
      <c r="T2511" s="6" t="str">
        <f>IFERROR(__xludf.DUMMYFUNCTION("""COMPUTED_VALUE"""),"alexis.wilson@alpha.school")</f>
        <v>alexis.wilson@alpha.school</v>
      </c>
      <c r="U2511" s="6" t="str">
        <f>IFERROR(__xludf.DUMMYFUNCTION("""COMPUTED_VALUE"""),"4")</f>
        <v>4</v>
      </c>
      <c r="V2511" s="6" t="str">
        <f>IFERROR(__xludf.DUMMYFUNCTION("""COMPUTED_VALUE"""),"")</f>
        <v/>
      </c>
      <c r="W2511" s="6" t="str">
        <f>IFERROR(__xludf.DUMMYFUNCTION("""COMPUTED_VALUE"""),"[]")</f>
        <v>[]</v>
      </c>
      <c r="X2511" s="6" t="str">
        <f>IFERROR(__xludf.DUMMYFUNCTION("""COMPUTED_VALUE"""),"Enrolled")</f>
        <v>Enrolled</v>
      </c>
    </row>
    <row r="2512">
      <c r="A2512" s="6" t="str">
        <f>IFERROR(__xludf.DUMMYFUNCTION("""COMPUTED_VALUE"""),"044-8193")</f>
        <v>044-8193</v>
      </c>
      <c r="B2512" s="6" t="str">
        <f>IFERROR(__xludf.DUMMYFUNCTION("""COMPUTED_VALUE"""),"44")</f>
        <v>44</v>
      </c>
      <c r="C2512" s="6" t="str">
        <f>IFERROR(__xludf.DUMMYFUNCTION("""COMPUTED_VALUE"""),"8193")</f>
        <v>8193</v>
      </c>
      <c r="D2512" s="6" t="str">
        <f>IFERROR(__xludf.DUMMYFUNCTION("""COMPUTED_VALUE"""),"Annalise")</f>
        <v>Annalise</v>
      </c>
      <c r="E2512" s="6" t="str">
        <f>IFERROR(__xludf.DUMMYFUNCTION("""COMPUTED_VALUE"""),"")</f>
        <v/>
      </c>
      <c r="F2512" s="6" t="str">
        <f>IFERROR(__xludf.DUMMYFUNCTION("""COMPUTED_VALUE"""),"Faheem")</f>
        <v>Faheem</v>
      </c>
      <c r="G2512" s="6" t="str">
        <f>IFERROR(__xludf.DUMMYFUNCTION("""COMPUTED_VALUE"""),"03/29/2018")</f>
        <v>03/29/2018</v>
      </c>
      <c r="H2512" s="6" t="str">
        <f>IFERROR(__xludf.DUMMYFUNCTION("""COMPUTED_VALUE"""),"female")</f>
        <v>female</v>
      </c>
      <c r="I2512" s="6" t="str">
        <f>IFERROR(__xludf.DUMMYFUNCTION("""COMPUTED_VALUE"""),"Level 1")</f>
        <v>Level 1</v>
      </c>
      <c r="J2512" s="6" t="str">
        <f>IFERROR(__xludf.DUMMYFUNCTION("""COMPUTED_VALUE"""),"2")</f>
        <v>2</v>
      </c>
      <c r="K2512" s="6" t="str">
        <f>IFERROR(__xludf.DUMMYFUNCTION("""COMPUTED_VALUE"""),"annalise.faheem@alpha.school")</f>
        <v>annalise.faheem@alpha.school</v>
      </c>
      <c r="L2512" s="6" t="str">
        <f>IFERROR(__xludf.DUMMYFUNCTION("""COMPUTED_VALUE"""),"Alpha School Lake Forest")</f>
        <v>Alpha School Lake Forest</v>
      </c>
      <c r="M2512" s="6" t="str">
        <f>IFERROR(__xludf.DUMMYFUNCTION("""COMPUTED_VALUE"""),"")</f>
        <v/>
      </c>
      <c r="N2512" s="6" t="str">
        <f>IFERROR(__xludf.DUMMYFUNCTION("""COMPUTED_VALUE"""),"")</f>
        <v/>
      </c>
      <c r="O2512" s="87" t="str">
        <f>IFERROR(__xludf.DUMMYFUNCTION("""COMPUTED_VALUE"""),"https://drive.google.com/drive/folders/10T2cTQHqEJZqE-st6uFKPoI?usp=share_link")</f>
        <v>https://drive.google.com/drive/folders/10T2cTQHqEJZqE-st6uFKPoI?usp=share_link</v>
      </c>
      <c r="P2512" s="6" t="str">
        <f>IFERROR(__xludf.DUMMYFUNCTION("""COMPUTED_VALUE"""),"Annalise Faheem")</f>
        <v>Annalise Faheem</v>
      </c>
      <c r="Q2512" s="6" t="str">
        <f>IFERROR(__xludf.DUMMYFUNCTION("""COMPUTED_VALUE"""),"L1")</f>
        <v>L1</v>
      </c>
      <c r="R2512" s="6">
        <f>IFERROR(__xludf.DUMMYFUNCTION("""COMPUTED_VALUE"""),1.0)</f>
        <v>1</v>
      </c>
      <c r="S2512" s="6" t="str">
        <f>IFERROR(__xludf.DUMMYFUNCTION("""COMPUTED_VALUE"""),"Prathima Venkatesan")</f>
        <v>Prathima Venkatesan</v>
      </c>
      <c r="T2512" s="6" t="str">
        <f>IFERROR(__xludf.DUMMYFUNCTION("""COMPUTED_VALUE"""),"prathima.venkatesan@alpha.school")</f>
        <v>prathima.venkatesan@alpha.school</v>
      </c>
      <c r="U2512" s="6" t="str">
        <f>IFERROR(__xludf.DUMMYFUNCTION("""COMPUTED_VALUE"""),"2")</f>
        <v>2</v>
      </c>
      <c r="V2512" s="6" t="str">
        <f>IFERROR(__xludf.DUMMYFUNCTION("""COMPUTED_VALUE"""),"")</f>
        <v/>
      </c>
      <c r="W2512" s="6" t="str">
        <f>IFERROR(__xludf.DUMMYFUNCTION("""COMPUTED_VALUE"""),"[]")</f>
        <v>[]</v>
      </c>
      <c r="X2512" s="6" t="str">
        <f>IFERROR(__xludf.DUMMYFUNCTION("""COMPUTED_VALUE"""),"Enrolled")</f>
        <v>Enrolled</v>
      </c>
    </row>
    <row r="2513">
      <c r="A2513" s="6" t="str">
        <f>IFERROR(__xludf.DUMMYFUNCTION("""COMPUTED_VALUE"""),"044-8512")</f>
        <v>044-8512</v>
      </c>
      <c r="B2513" s="6" t="str">
        <f>IFERROR(__xludf.DUMMYFUNCTION("""COMPUTED_VALUE"""),"44")</f>
        <v>44</v>
      </c>
      <c r="C2513" s="6" t="str">
        <f>IFERROR(__xludf.DUMMYFUNCTION("""COMPUTED_VALUE"""),"8512")</f>
        <v>8512</v>
      </c>
      <c r="D2513" s="6" t="str">
        <f>IFERROR(__xludf.DUMMYFUNCTION("""COMPUTED_VALUE"""),"Reverie")</f>
        <v>Reverie</v>
      </c>
      <c r="E2513" s="6" t="str">
        <f>IFERROR(__xludf.DUMMYFUNCTION("""COMPUTED_VALUE"""),"Rêve")</f>
        <v>Rêve</v>
      </c>
      <c r="F2513" s="6" t="str">
        <f>IFERROR(__xludf.DUMMYFUNCTION("""COMPUTED_VALUE"""),"Stinson")</f>
        <v>Stinson</v>
      </c>
      <c r="G2513" s="6" t="str">
        <f>IFERROR(__xludf.DUMMYFUNCTION("""COMPUTED_VALUE"""),"07/05/2017")</f>
        <v>07/05/2017</v>
      </c>
      <c r="H2513" s="6" t="str">
        <f>IFERROR(__xludf.DUMMYFUNCTION("""COMPUTED_VALUE"""),"male")</f>
        <v>male</v>
      </c>
      <c r="I2513" s="6" t="str">
        <f>IFERROR(__xludf.DUMMYFUNCTION("""COMPUTED_VALUE"""),"Level 1")</f>
        <v>Level 1</v>
      </c>
      <c r="J2513" s="6" t="str">
        <f>IFERROR(__xludf.DUMMYFUNCTION("""COMPUTED_VALUE"""),"3")</f>
        <v>3</v>
      </c>
      <c r="K2513" s="6" t="str">
        <f>IFERROR(__xludf.DUMMYFUNCTION("""COMPUTED_VALUE"""),"reverie.stinson@alpha.school")</f>
        <v>reverie.stinson@alpha.school</v>
      </c>
      <c r="L2513" s="6" t="str">
        <f>IFERROR(__xludf.DUMMYFUNCTION("""COMPUTED_VALUE"""),"Alpha School Lake Forest")</f>
        <v>Alpha School Lake Forest</v>
      </c>
      <c r="M2513" s="6" t="str">
        <f>IFERROR(__xludf.DUMMYFUNCTION("""COMPUTED_VALUE"""),"")</f>
        <v/>
      </c>
      <c r="N2513" s="6" t="str">
        <f>IFERROR(__xludf.DUMMYFUNCTION("""COMPUTED_VALUE"""),"")</f>
        <v/>
      </c>
      <c r="O2513" s="87" t="str">
        <f>IFERROR(__xludf.DUMMYFUNCTION("""COMPUTED_VALUE"""),"https://drive.google.com/drive/folders/10T2cTQHqEJZqE-st6uFKPoI?usp=share_link")</f>
        <v>https://drive.google.com/drive/folders/10T2cTQHqEJZqE-st6uFKPoI?usp=share_link</v>
      </c>
      <c r="P2513" s="6" t="str">
        <f>IFERROR(__xludf.DUMMYFUNCTION("""COMPUTED_VALUE"""),"Rêve Stinson")</f>
        <v>Rêve Stinson</v>
      </c>
      <c r="Q2513" s="6" t="str">
        <f>IFERROR(__xludf.DUMMYFUNCTION("""COMPUTED_VALUE"""),"L1")</f>
        <v>L1</v>
      </c>
      <c r="R2513" s="6">
        <f>IFERROR(__xludf.DUMMYFUNCTION("""COMPUTED_VALUE"""),1.0)</f>
        <v>1</v>
      </c>
      <c r="S2513" s="6" t="str">
        <f>IFERROR(__xludf.DUMMYFUNCTION("""COMPUTED_VALUE"""),"Prathima Venkatesan")</f>
        <v>Prathima Venkatesan</v>
      </c>
      <c r="T2513" s="6" t="str">
        <f>IFERROR(__xludf.DUMMYFUNCTION("""COMPUTED_VALUE"""),"prathima.venkatesan@alpha.school")</f>
        <v>prathima.venkatesan@alpha.school</v>
      </c>
      <c r="U2513" s="6" t="str">
        <f>IFERROR(__xludf.DUMMYFUNCTION("""COMPUTED_VALUE"""),"3")</f>
        <v>3</v>
      </c>
      <c r="V2513" s="6" t="str">
        <f>IFERROR(__xludf.DUMMYFUNCTION("""COMPUTED_VALUE"""),"")</f>
        <v/>
      </c>
      <c r="W2513" s="6" t="str">
        <f>IFERROR(__xludf.DUMMYFUNCTION("""COMPUTED_VALUE"""),"[]")</f>
        <v>[]</v>
      </c>
      <c r="X2513" s="6" t="str">
        <f>IFERROR(__xludf.DUMMYFUNCTION("""COMPUTED_VALUE"""),"Enrolled")</f>
        <v>Enrolled</v>
      </c>
    </row>
    <row r="2514">
      <c r="A2514" s="6" t="str">
        <f>IFERROR(__xludf.DUMMYFUNCTION("""COMPUTED_VALUE"""),"044-8514")</f>
        <v>044-8514</v>
      </c>
      <c r="B2514" s="6" t="str">
        <f>IFERROR(__xludf.DUMMYFUNCTION("""COMPUTED_VALUE"""),"44")</f>
        <v>44</v>
      </c>
      <c r="C2514" s="6" t="str">
        <f>IFERROR(__xludf.DUMMYFUNCTION("""COMPUTED_VALUE"""),"8514")</f>
        <v>8514</v>
      </c>
      <c r="D2514" s="6" t="str">
        <f>IFERROR(__xludf.DUMMYFUNCTION("""COMPUTED_VALUE"""),"Sojourn")</f>
        <v>Sojourn</v>
      </c>
      <c r="E2514" s="6" t="str">
        <f>IFERROR(__xludf.DUMMYFUNCTION("""COMPUTED_VALUE"""),"Jojo")</f>
        <v>Jojo</v>
      </c>
      <c r="F2514" s="6" t="str">
        <f>IFERROR(__xludf.DUMMYFUNCTION("""COMPUTED_VALUE"""),"Stinson")</f>
        <v>Stinson</v>
      </c>
      <c r="G2514" s="6" t="str">
        <f>IFERROR(__xludf.DUMMYFUNCTION("""COMPUTED_VALUE"""),"08/10/2019")</f>
        <v>08/10/2019</v>
      </c>
      <c r="H2514" s="6" t="str">
        <f>IFERROR(__xludf.DUMMYFUNCTION("""COMPUTED_VALUE"""),"male")</f>
        <v>male</v>
      </c>
      <c r="I2514" s="6" t="str">
        <f>IFERROR(__xludf.DUMMYFUNCTION("""COMPUTED_VALUE"""),"Learning Lab")</f>
        <v>Learning Lab</v>
      </c>
      <c r="J2514" s="6" t="str">
        <f>IFERROR(__xludf.DUMMYFUNCTION("""COMPUTED_VALUE"""),"1")</f>
        <v>1</v>
      </c>
      <c r="K2514" s="6" t="str">
        <f>IFERROR(__xludf.DUMMYFUNCTION("""COMPUTED_VALUE"""),"sojourn.stinson@alpha.school")</f>
        <v>sojourn.stinson@alpha.school</v>
      </c>
      <c r="L2514" s="6" t="str">
        <f>IFERROR(__xludf.DUMMYFUNCTION("""COMPUTED_VALUE"""),"Alpha School Lake Forest")</f>
        <v>Alpha School Lake Forest</v>
      </c>
      <c r="M2514" s="6" t="str">
        <f>IFERROR(__xludf.DUMMYFUNCTION("""COMPUTED_VALUE"""),"")</f>
        <v/>
      </c>
      <c r="N2514" s="6" t="str">
        <f>IFERROR(__xludf.DUMMYFUNCTION("""COMPUTED_VALUE"""),"")</f>
        <v/>
      </c>
      <c r="O2514" s="87" t="str">
        <f>IFERROR(__xludf.DUMMYFUNCTION("""COMPUTED_VALUE"""),"https://drive.google.com/drive/folders/10T2cTQHqEJZqE-st6uFKPoI?usp=share_link")</f>
        <v>https://drive.google.com/drive/folders/10T2cTQHqEJZqE-st6uFKPoI?usp=share_link</v>
      </c>
      <c r="P2514" s="6" t="str">
        <f>IFERROR(__xludf.DUMMYFUNCTION("""COMPUTED_VALUE"""),"Jojo Stinson")</f>
        <v>Jojo Stinson</v>
      </c>
      <c r="Q2514" s="6" t="str">
        <f>IFERROR(__xludf.DUMMYFUNCTION("""COMPUTED_VALUE"""),"LL")</f>
        <v>LL</v>
      </c>
      <c r="R2514" s="6">
        <f>IFERROR(__xludf.DUMMYFUNCTION("""COMPUTED_VALUE"""),0.0)</f>
        <v>0</v>
      </c>
      <c r="S2514" s="6" t="str">
        <f>IFERROR(__xludf.DUMMYFUNCTION("""COMPUTED_VALUE"""),"Lorine Barnabe Dapic")</f>
        <v>Lorine Barnabe Dapic</v>
      </c>
      <c r="T2514" s="6" t="str">
        <f>IFERROR(__xludf.DUMMYFUNCTION("""COMPUTED_VALUE"""),"lorine.barnabe@alpha.school")</f>
        <v>lorine.barnabe@alpha.school</v>
      </c>
      <c r="U2514" s="6" t="str">
        <f>IFERROR(__xludf.DUMMYFUNCTION("""COMPUTED_VALUE"""),"1")</f>
        <v>1</v>
      </c>
      <c r="V2514" s="6" t="str">
        <f>IFERROR(__xludf.DUMMYFUNCTION("""COMPUTED_VALUE"""),"")</f>
        <v/>
      </c>
      <c r="W2514" s="6" t="str">
        <f>IFERROR(__xludf.DUMMYFUNCTION("""COMPUTED_VALUE"""),"[]")</f>
        <v>[]</v>
      </c>
      <c r="X2514" s="6" t="str">
        <f>IFERROR(__xludf.DUMMYFUNCTION("""COMPUTED_VALUE"""),"Enrolled")</f>
        <v>Enrolled</v>
      </c>
    </row>
    <row r="2515">
      <c r="A2515" s="6" t="str">
        <f>IFERROR(__xludf.DUMMYFUNCTION("""COMPUTED_VALUE"""),"044-8655")</f>
        <v>044-8655</v>
      </c>
      <c r="B2515" s="6" t="str">
        <f>IFERROR(__xludf.DUMMYFUNCTION("""COMPUTED_VALUE"""),"44")</f>
        <v>44</v>
      </c>
      <c r="C2515" s="6" t="str">
        <f>IFERROR(__xludf.DUMMYFUNCTION("""COMPUTED_VALUE"""),"8655")</f>
        <v>8655</v>
      </c>
      <c r="D2515" s="6" t="str">
        <f>IFERROR(__xludf.DUMMYFUNCTION("""COMPUTED_VALUE"""),"Hana")</f>
        <v>Hana</v>
      </c>
      <c r="E2515" s="6" t="str">
        <f>IFERROR(__xludf.DUMMYFUNCTION("""COMPUTED_VALUE"""),"Hana")</f>
        <v>Hana</v>
      </c>
      <c r="F2515" s="6" t="str">
        <f>IFERROR(__xludf.DUMMYFUNCTION("""COMPUTED_VALUE"""),"Wong")</f>
        <v>Wong</v>
      </c>
      <c r="G2515" s="6" t="str">
        <f>IFERROR(__xludf.DUMMYFUNCTION("""COMPUTED_VALUE"""),"03/31/2017")</f>
        <v>03/31/2017</v>
      </c>
      <c r="H2515" s="6" t="str">
        <f>IFERROR(__xludf.DUMMYFUNCTION("""COMPUTED_VALUE"""),"female")</f>
        <v>female</v>
      </c>
      <c r="I2515" s="6" t="str">
        <f>IFERROR(__xludf.DUMMYFUNCTION("""COMPUTED_VALUE"""),"Level 1")</f>
        <v>Level 1</v>
      </c>
      <c r="J2515" s="6" t="str">
        <f>IFERROR(__xludf.DUMMYFUNCTION("""COMPUTED_VALUE"""),"3")</f>
        <v>3</v>
      </c>
      <c r="K2515" s="6" t="str">
        <f>IFERROR(__xludf.DUMMYFUNCTION("""COMPUTED_VALUE"""),"hana.wong@alpha.school")</f>
        <v>hana.wong@alpha.school</v>
      </c>
      <c r="L2515" s="6" t="str">
        <f>IFERROR(__xludf.DUMMYFUNCTION("""COMPUTED_VALUE"""),"Alpha School Lake Forest")</f>
        <v>Alpha School Lake Forest</v>
      </c>
      <c r="M2515" s="6" t="str">
        <f>IFERROR(__xludf.DUMMYFUNCTION("""COMPUTED_VALUE"""),"")</f>
        <v/>
      </c>
      <c r="N2515" s="6" t="str">
        <f>IFERROR(__xludf.DUMMYFUNCTION("""COMPUTED_VALUE"""),"")</f>
        <v/>
      </c>
      <c r="O2515" s="87" t="str">
        <f>IFERROR(__xludf.DUMMYFUNCTION("""COMPUTED_VALUE"""),"https://drive.google.com/drive/folders/10T2cTQHqEJZqE-st6uFKPoI?usp=share_link")</f>
        <v>https://drive.google.com/drive/folders/10T2cTQHqEJZqE-st6uFKPoI?usp=share_link</v>
      </c>
      <c r="P2515" s="6" t="str">
        <f>IFERROR(__xludf.DUMMYFUNCTION("""COMPUTED_VALUE"""),"Hana Wong")</f>
        <v>Hana Wong</v>
      </c>
      <c r="Q2515" s="6" t="str">
        <f>IFERROR(__xludf.DUMMYFUNCTION("""COMPUTED_VALUE"""),"L1")</f>
        <v>L1</v>
      </c>
      <c r="R2515" s="6">
        <f>IFERROR(__xludf.DUMMYFUNCTION("""COMPUTED_VALUE"""),1.0)</f>
        <v>1</v>
      </c>
      <c r="S2515" s="6" t="str">
        <f>IFERROR(__xludf.DUMMYFUNCTION("""COMPUTED_VALUE"""),"Lorine Barnabe Dapic")</f>
        <v>Lorine Barnabe Dapic</v>
      </c>
      <c r="T2515" s="6" t="str">
        <f>IFERROR(__xludf.DUMMYFUNCTION("""COMPUTED_VALUE"""),"lorine.barnabe@alpha.school")</f>
        <v>lorine.barnabe@alpha.school</v>
      </c>
      <c r="U2515" s="6" t="str">
        <f>IFERROR(__xludf.DUMMYFUNCTION("""COMPUTED_VALUE"""),"3")</f>
        <v>3</v>
      </c>
      <c r="V2515" s="6" t="str">
        <f>IFERROR(__xludf.DUMMYFUNCTION("""COMPUTED_VALUE"""),"")</f>
        <v/>
      </c>
      <c r="W2515" s="6" t="str">
        <f>IFERROR(__xludf.DUMMYFUNCTION("""COMPUTED_VALUE"""),"[]")</f>
        <v>[]</v>
      </c>
      <c r="X2515" s="6" t="str">
        <f>IFERROR(__xludf.DUMMYFUNCTION("""COMPUTED_VALUE"""),"Enrolled")</f>
        <v>Enrolled</v>
      </c>
    </row>
    <row r="2516">
      <c r="A2516" s="6" t="str">
        <f>IFERROR(__xludf.DUMMYFUNCTION("""COMPUTED_VALUE"""),"044-8912")</f>
        <v>044-8912</v>
      </c>
      <c r="B2516" s="6" t="str">
        <f>IFERROR(__xludf.DUMMYFUNCTION("""COMPUTED_VALUE"""),"44")</f>
        <v>44</v>
      </c>
      <c r="C2516" s="6" t="str">
        <f>IFERROR(__xludf.DUMMYFUNCTION("""COMPUTED_VALUE"""),"8912")</f>
        <v>8912</v>
      </c>
      <c r="D2516" s="6" t="str">
        <f>IFERROR(__xludf.DUMMYFUNCTION("""COMPUTED_VALUE"""),"Caleb")</f>
        <v>Caleb</v>
      </c>
      <c r="E2516" s="6" t="str">
        <f>IFERROR(__xludf.DUMMYFUNCTION("""COMPUTED_VALUE"""),"")</f>
        <v/>
      </c>
      <c r="F2516" s="6" t="str">
        <f>IFERROR(__xludf.DUMMYFUNCTION("""COMPUTED_VALUE"""),"Chang")</f>
        <v>Chang</v>
      </c>
      <c r="G2516" s="6" t="str">
        <f>IFERROR(__xludf.DUMMYFUNCTION("""COMPUTED_VALUE"""),"09/19/2019")</f>
        <v>09/19/2019</v>
      </c>
      <c r="H2516" s="6" t="str">
        <f>IFERROR(__xludf.DUMMYFUNCTION("""COMPUTED_VALUE"""),"male")</f>
        <v>male</v>
      </c>
      <c r="I2516" s="6" t="str">
        <f>IFERROR(__xludf.DUMMYFUNCTION("""COMPUTED_VALUE"""),"Learning Lab")</f>
        <v>Learning Lab</v>
      </c>
      <c r="J2516" s="6" t="str">
        <f>IFERROR(__xludf.DUMMYFUNCTION("""COMPUTED_VALUE"""),"K")</f>
        <v>K</v>
      </c>
      <c r="K2516" s="6" t="str">
        <f>IFERROR(__xludf.DUMMYFUNCTION("""COMPUTED_VALUE"""),"caleb.chang@alpha.school")</f>
        <v>caleb.chang@alpha.school</v>
      </c>
      <c r="L2516" s="6" t="str">
        <f>IFERROR(__xludf.DUMMYFUNCTION("""COMPUTED_VALUE"""),"Alpha School Lake Forest")</f>
        <v>Alpha School Lake Forest</v>
      </c>
      <c r="M2516" s="6" t="str">
        <f>IFERROR(__xludf.DUMMYFUNCTION("""COMPUTED_VALUE"""),"")</f>
        <v/>
      </c>
      <c r="N2516" s="6" t="str">
        <f>IFERROR(__xludf.DUMMYFUNCTION("""COMPUTED_VALUE"""),"")</f>
        <v/>
      </c>
      <c r="O2516" s="87" t="str">
        <f>IFERROR(__xludf.DUMMYFUNCTION("""COMPUTED_VALUE"""),"https://drive.google.com/drive/folders/10T2cTQHqEJZqE-st6uFKPoI?usp=share_link")</f>
        <v>https://drive.google.com/drive/folders/10T2cTQHqEJZqE-st6uFKPoI?usp=share_link</v>
      </c>
      <c r="P2516" s="6" t="str">
        <f>IFERROR(__xludf.DUMMYFUNCTION("""COMPUTED_VALUE"""),"Caleb Chang")</f>
        <v>Caleb Chang</v>
      </c>
      <c r="Q2516" s="6" t="str">
        <f>IFERROR(__xludf.DUMMYFUNCTION("""COMPUTED_VALUE"""),"LL")</f>
        <v>LL</v>
      </c>
      <c r="R2516" s="6">
        <f>IFERROR(__xludf.DUMMYFUNCTION("""COMPUTED_VALUE"""),0.0)</f>
        <v>0</v>
      </c>
      <c r="S2516" s="6" t="str">
        <f>IFERROR(__xludf.DUMMYFUNCTION("""COMPUTED_VALUE"""),"Lorine Barnabe Dapic")</f>
        <v>Lorine Barnabe Dapic</v>
      </c>
      <c r="T2516" s="6" t="str">
        <f>IFERROR(__xludf.DUMMYFUNCTION("""COMPUTED_VALUE"""),"lorine.barnabe@alpha.school")</f>
        <v>lorine.barnabe@alpha.school</v>
      </c>
      <c r="U2516" s="6" t="str">
        <f>IFERROR(__xludf.DUMMYFUNCTION("""COMPUTED_VALUE"""),"K")</f>
        <v>K</v>
      </c>
      <c r="V2516" s="6" t="str">
        <f>IFERROR(__xludf.DUMMYFUNCTION("""COMPUTED_VALUE"""),"")</f>
        <v/>
      </c>
      <c r="W2516" s="6" t="str">
        <f>IFERROR(__xludf.DUMMYFUNCTION("""COMPUTED_VALUE"""),"[]")</f>
        <v>[]</v>
      </c>
      <c r="X2516" s="6" t="str">
        <f>IFERROR(__xludf.DUMMYFUNCTION("""COMPUTED_VALUE"""),"Enrolled")</f>
        <v>Enrolled</v>
      </c>
    </row>
    <row r="2517">
      <c r="A2517" s="6" t="str">
        <f>IFERROR(__xludf.DUMMYFUNCTION("""COMPUTED_VALUE"""),"044-8914")</f>
        <v>044-8914</v>
      </c>
      <c r="B2517" s="6" t="str">
        <f>IFERROR(__xludf.DUMMYFUNCTION("""COMPUTED_VALUE"""),"44")</f>
        <v>44</v>
      </c>
      <c r="C2517" s="6" t="str">
        <f>IFERROR(__xludf.DUMMYFUNCTION("""COMPUTED_VALUE"""),"8914")</f>
        <v>8914</v>
      </c>
      <c r="D2517" s="6" t="str">
        <f>IFERROR(__xludf.DUMMYFUNCTION("""COMPUTED_VALUE"""),"Graham")</f>
        <v>Graham</v>
      </c>
      <c r="E2517" s="6" t="str">
        <f>IFERROR(__xludf.DUMMYFUNCTION("""COMPUTED_VALUE"""),"")</f>
        <v/>
      </c>
      <c r="F2517" s="6" t="str">
        <f>IFERROR(__xludf.DUMMYFUNCTION("""COMPUTED_VALUE"""),"Gattegno")</f>
        <v>Gattegno</v>
      </c>
      <c r="G2517" s="6" t="str">
        <f>IFERROR(__xludf.DUMMYFUNCTION("""COMPUTED_VALUE"""),"09/22/2017")</f>
        <v>09/22/2017</v>
      </c>
      <c r="H2517" s="6" t="str">
        <f>IFERROR(__xludf.DUMMYFUNCTION("""COMPUTED_VALUE"""),"Self Identify")</f>
        <v>Self Identify</v>
      </c>
      <c r="I2517" s="6" t="str">
        <f>IFERROR(__xludf.DUMMYFUNCTION("""COMPUTED_VALUE"""),"Level 1")</f>
        <v>Level 1</v>
      </c>
      <c r="J2517" s="6" t="str">
        <f>IFERROR(__xludf.DUMMYFUNCTION("""COMPUTED_VALUE"""),"2")</f>
        <v>2</v>
      </c>
      <c r="K2517" s="6" t="str">
        <f>IFERROR(__xludf.DUMMYFUNCTION("""COMPUTED_VALUE"""),"graham.gattegno@alpha.school")</f>
        <v>graham.gattegno@alpha.school</v>
      </c>
      <c r="L2517" s="6" t="str">
        <f>IFERROR(__xludf.DUMMYFUNCTION("""COMPUTED_VALUE"""),"Alpha School Lake Forest")</f>
        <v>Alpha School Lake Forest</v>
      </c>
      <c r="M2517" s="6" t="str">
        <f>IFERROR(__xludf.DUMMYFUNCTION("""COMPUTED_VALUE"""),"")</f>
        <v/>
      </c>
      <c r="N2517" s="6" t="str">
        <f>IFERROR(__xludf.DUMMYFUNCTION("""COMPUTED_VALUE"""),"")</f>
        <v/>
      </c>
      <c r="O2517" s="87" t="str">
        <f>IFERROR(__xludf.DUMMYFUNCTION("""COMPUTED_VALUE"""),"https://drive.google.com/drive/folders/10T2cTQHqEJZqE-st6uFKPoI?usp=share_link")</f>
        <v>https://drive.google.com/drive/folders/10T2cTQHqEJZqE-st6uFKPoI?usp=share_link</v>
      </c>
      <c r="P2517" s="6" t="str">
        <f>IFERROR(__xludf.DUMMYFUNCTION("""COMPUTED_VALUE"""),"Graham Gattegno")</f>
        <v>Graham Gattegno</v>
      </c>
      <c r="Q2517" s="6" t="str">
        <f>IFERROR(__xludf.DUMMYFUNCTION("""COMPUTED_VALUE"""),"L1")</f>
        <v>L1</v>
      </c>
      <c r="R2517" s="6">
        <f>IFERROR(__xludf.DUMMYFUNCTION("""COMPUTED_VALUE"""),1.0)</f>
        <v>1</v>
      </c>
      <c r="S2517" s="6" t="str">
        <f>IFERROR(__xludf.DUMMYFUNCTION("""COMPUTED_VALUE"""),"Prathima Venkatesan")</f>
        <v>Prathima Venkatesan</v>
      </c>
      <c r="T2517" s="6" t="str">
        <f>IFERROR(__xludf.DUMMYFUNCTION("""COMPUTED_VALUE"""),"prathima.venkatesan@alpha.school")</f>
        <v>prathima.venkatesan@alpha.school</v>
      </c>
      <c r="U2517" s="6" t="str">
        <f>IFERROR(__xludf.DUMMYFUNCTION("""COMPUTED_VALUE"""),"2")</f>
        <v>2</v>
      </c>
      <c r="V2517" s="6" t="str">
        <f>IFERROR(__xludf.DUMMYFUNCTION("""COMPUTED_VALUE"""),"")</f>
        <v/>
      </c>
      <c r="W2517" s="6" t="str">
        <f>IFERROR(__xludf.DUMMYFUNCTION("""COMPUTED_VALUE"""),"[]")</f>
        <v>[]</v>
      </c>
      <c r="X2517" s="6" t="str">
        <f>IFERROR(__xludf.DUMMYFUNCTION("""COMPUTED_VALUE"""),"Enrolled")</f>
        <v>Enrolled</v>
      </c>
    </row>
    <row r="2518">
      <c r="A2518" s="6" t="str">
        <f>IFERROR(__xludf.DUMMYFUNCTION("""COMPUTED_VALUE"""),"045-13454")</f>
        <v>045-13454</v>
      </c>
      <c r="B2518" s="6" t="str">
        <f>IFERROR(__xludf.DUMMYFUNCTION("""COMPUTED_VALUE"""),"45")</f>
        <v>45</v>
      </c>
      <c r="C2518" s="6" t="str">
        <f>IFERROR(__xludf.DUMMYFUNCTION("""COMPUTED_VALUE"""),"13454")</f>
        <v>13454</v>
      </c>
      <c r="D2518" s="6" t="str">
        <f>IFERROR(__xludf.DUMMYFUNCTION("""COMPUTED_VALUE"""),"Test")</f>
        <v>Test</v>
      </c>
      <c r="E2518" s="6" t="str">
        <f>IFERROR(__xludf.DUMMYFUNCTION("""COMPUTED_VALUE"""),"")</f>
        <v/>
      </c>
      <c r="F2518" s="6" t="str">
        <f>IFERROR(__xludf.DUMMYFUNCTION("""COMPUTED_VALUE"""),"Student Karina")</f>
        <v>Student Karina</v>
      </c>
      <c r="G2518" s="6" t="str">
        <f>IFERROR(__xludf.DUMMYFUNCTION("""COMPUTED_VALUE"""),"03/14/2012")</f>
        <v>03/14/2012</v>
      </c>
      <c r="H2518" s="6" t="str">
        <f>IFERROR(__xludf.DUMMYFUNCTION("""COMPUTED_VALUE"""),"other")</f>
        <v>other</v>
      </c>
      <c r="I2518" s="6" t="str">
        <f>IFERROR(__xludf.DUMMYFUNCTION("""COMPUTED_VALUE"""),"Middle School")</f>
        <v>Middle School</v>
      </c>
      <c r="J2518" s="6" t="str">
        <f>IFERROR(__xludf.DUMMYFUNCTION("""COMPUTED_VALUE"""),"8")</f>
        <v>8</v>
      </c>
      <c r="K2518" s="6" t="str">
        <f>IFERROR(__xludf.DUMMYFUNCTION("""COMPUTED_VALUE"""),"karina.marin+sisstudenttest001@alpha.school")</f>
        <v>karina.marin+sisstudenttest001@alpha.school</v>
      </c>
      <c r="L2518" s="6" t="str">
        <f>IFERROR(__xludf.DUMMYFUNCTION("""COMPUTED_VALUE"""),"Alpha School Chantilly")</f>
        <v>Alpha School Chantilly</v>
      </c>
      <c r="M2518" s="6" t="str">
        <f>IFERROR(__xludf.DUMMYFUNCTION("""COMPUTED_VALUE"""),"")</f>
        <v/>
      </c>
      <c r="N2518" s="6" t="str">
        <f>IFERROR(__xludf.DUMMYFUNCTION("""COMPUTED_VALUE"""),"")</f>
        <v/>
      </c>
      <c r="O2518" s="87" t="str">
        <f>IFERROR(__xludf.DUMMYFUNCTION("""COMPUTED_VALUE"""),"https://drive.google.com/drive/folders/10T2cTQHqEJZqE-st6uFKPoI?usp=share_link")</f>
        <v>https://drive.google.com/drive/folders/10T2cTQHqEJZqE-st6uFKPoI?usp=share_link</v>
      </c>
      <c r="P2518" s="6" t="str">
        <f>IFERROR(__xludf.DUMMYFUNCTION("""COMPUTED_VALUE"""),"Test Student Karina")</f>
        <v>Test Student Karina</v>
      </c>
      <c r="Q2518" s="6" t="str">
        <f>IFERROR(__xludf.DUMMYFUNCTION("""COMPUTED_VALUE"""),"MS")</f>
        <v>MS</v>
      </c>
      <c r="R2518" s="6">
        <f>IFERROR(__xludf.DUMMYFUNCTION("""COMPUTED_VALUE"""),0.0)</f>
        <v>0</v>
      </c>
      <c r="S2518" s="6" t="str">
        <f>IFERROR(__xludf.DUMMYFUNCTION("""COMPUTED_VALUE""")," ")</f>
        <v> </v>
      </c>
      <c r="T2518" s="6" t="str">
        <f>IFERROR(__xludf.DUMMYFUNCTION("""COMPUTED_VALUE"""),"")</f>
        <v/>
      </c>
      <c r="U2518" s="6" t="str">
        <f>IFERROR(__xludf.DUMMYFUNCTION("""COMPUTED_VALUE"""),"8")</f>
        <v>8</v>
      </c>
      <c r="V2518" s="6" t="str">
        <f>IFERROR(__xludf.DUMMYFUNCTION("""COMPUTED_VALUE"""),"")</f>
        <v/>
      </c>
      <c r="W2518" s="6" t="str">
        <f>IFERROR(__xludf.DUMMYFUNCTION("""COMPUTED_VALUE"""),"[]")</f>
        <v>[]</v>
      </c>
      <c r="X2518" s="6" t="str">
        <f>IFERROR(__xludf.DUMMYFUNCTION("""COMPUTED_VALUE"""),"Enrolled")</f>
        <v>Enrolled</v>
      </c>
    </row>
    <row r="2519">
      <c r="A2519" s="6" t="str">
        <f>IFERROR(__xludf.DUMMYFUNCTION("""COMPUTED_VALUE"""),"045-3903")</f>
        <v>045-3903</v>
      </c>
      <c r="B2519" s="6" t="str">
        <f>IFERROR(__xludf.DUMMYFUNCTION("""COMPUTED_VALUE"""),"45")</f>
        <v>45</v>
      </c>
      <c r="C2519" s="6" t="str">
        <f>IFERROR(__xludf.DUMMYFUNCTION("""COMPUTED_VALUE"""),"3903")</f>
        <v>3903</v>
      </c>
      <c r="D2519" s="6" t="str">
        <f>IFERROR(__xludf.DUMMYFUNCTION("""COMPUTED_VALUE"""),"Pedro")</f>
        <v>Pedro</v>
      </c>
      <c r="E2519" s="6" t="str">
        <f>IFERROR(__xludf.DUMMYFUNCTION("""COMPUTED_VALUE"""),"")</f>
        <v/>
      </c>
      <c r="F2519" s="6" t="str">
        <f>IFERROR(__xludf.DUMMYFUNCTION("""COMPUTED_VALUE"""),"Rossello")</f>
        <v>Rossello</v>
      </c>
      <c r="G2519" s="6" t="str">
        <f>IFERROR(__xludf.DUMMYFUNCTION("""COMPUTED_VALUE"""),"11/25/2017")</f>
        <v>11/25/2017</v>
      </c>
      <c r="H2519" s="6" t="str">
        <f>IFERROR(__xludf.DUMMYFUNCTION("""COMPUTED_VALUE"""),"Self Identify")</f>
        <v>Self Identify</v>
      </c>
      <c r="I2519" s="6" t="str">
        <f>IFERROR(__xludf.DUMMYFUNCTION("""COMPUTED_VALUE"""),"Level 1")</f>
        <v>Level 1</v>
      </c>
      <c r="J2519" s="6" t="str">
        <f>IFERROR(__xludf.DUMMYFUNCTION("""COMPUTED_VALUE"""),"2")</f>
        <v>2</v>
      </c>
      <c r="K2519" s="6" t="str">
        <f>IFERROR(__xludf.DUMMYFUNCTION("""COMPUTED_VALUE"""),"pedro.rossello@alpha.school")</f>
        <v>pedro.rossello@alpha.school</v>
      </c>
      <c r="L2519" s="6" t="str">
        <f>IFERROR(__xludf.DUMMYFUNCTION("""COMPUTED_VALUE"""),"Alpha School Chantilly")</f>
        <v>Alpha School Chantilly</v>
      </c>
      <c r="M2519" s="6" t="str">
        <f>IFERROR(__xludf.DUMMYFUNCTION("""COMPUTED_VALUE"""),"")</f>
        <v/>
      </c>
      <c r="N2519" s="6" t="str">
        <f>IFERROR(__xludf.DUMMYFUNCTION("""COMPUTED_VALUE"""),"")</f>
        <v/>
      </c>
      <c r="O2519" s="87" t="str">
        <f>IFERROR(__xludf.DUMMYFUNCTION("""COMPUTED_VALUE"""),"https://drive.google.com/drive/folders/10T2cTQHqEJZqE-st6uFKPoI?usp=share_link")</f>
        <v>https://drive.google.com/drive/folders/10T2cTQHqEJZqE-st6uFKPoI?usp=share_link</v>
      </c>
      <c r="P2519" s="6" t="str">
        <f>IFERROR(__xludf.DUMMYFUNCTION("""COMPUTED_VALUE"""),"Pedro Rossello")</f>
        <v>Pedro Rossello</v>
      </c>
      <c r="Q2519" s="6" t="str">
        <f>IFERROR(__xludf.DUMMYFUNCTION("""COMPUTED_VALUE"""),"L1")</f>
        <v>L1</v>
      </c>
      <c r="R2519" s="6">
        <f>IFERROR(__xludf.DUMMYFUNCTION("""COMPUTED_VALUE"""),1.0)</f>
        <v>1</v>
      </c>
      <c r="S2519" s="6" t="str">
        <f>IFERROR(__xludf.DUMMYFUNCTION("""COMPUTED_VALUE"""),"Victoria Schoch")</f>
        <v>Victoria Schoch</v>
      </c>
      <c r="T2519" s="6" t="str">
        <f>IFERROR(__xludf.DUMMYFUNCTION("""COMPUTED_VALUE"""),"victoria.schoch@alpha.school")</f>
        <v>victoria.schoch@alpha.school</v>
      </c>
      <c r="U2519" s="6" t="str">
        <f>IFERROR(__xludf.DUMMYFUNCTION("""COMPUTED_VALUE"""),"2")</f>
        <v>2</v>
      </c>
      <c r="V2519" s="6" t="str">
        <f>IFERROR(__xludf.DUMMYFUNCTION("""COMPUTED_VALUE"""),"")</f>
        <v/>
      </c>
      <c r="W2519" s="6" t="str">
        <f>IFERROR(__xludf.DUMMYFUNCTION("""COMPUTED_VALUE"""),"[]")</f>
        <v>[]</v>
      </c>
      <c r="X2519" s="6" t="str">
        <f>IFERROR(__xludf.DUMMYFUNCTION("""COMPUTED_VALUE"""),"Enrolled")</f>
        <v>Enrolled</v>
      </c>
    </row>
    <row r="2520">
      <c r="A2520" s="6" t="str">
        <f>IFERROR(__xludf.DUMMYFUNCTION("""COMPUTED_VALUE"""),"045-5677")</f>
        <v>045-5677</v>
      </c>
      <c r="B2520" s="6" t="str">
        <f>IFERROR(__xludf.DUMMYFUNCTION("""COMPUTED_VALUE"""),"45")</f>
        <v>45</v>
      </c>
      <c r="C2520" s="6" t="str">
        <f>IFERROR(__xludf.DUMMYFUNCTION("""COMPUTED_VALUE"""),"5677")</f>
        <v>5677</v>
      </c>
      <c r="D2520" s="6" t="str">
        <f>IFERROR(__xludf.DUMMYFUNCTION("""COMPUTED_VALUE"""),"Claudia")</f>
        <v>Claudia</v>
      </c>
      <c r="E2520" s="6" t="str">
        <f>IFERROR(__xludf.DUMMYFUNCTION("""COMPUTED_VALUE"""),"Claudia")</f>
        <v>Claudia</v>
      </c>
      <c r="F2520" s="6" t="str">
        <f>IFERROR(__xludf.DUMMYFUNCTION("""COMPUTED_VALUE"""),"Rossello")</f>
        <v>Rossello</v>
      </c>
      <c r="G2520" s="6" t="str">
        <f>IFERROR(__xludf.DUMMYFUNCTION("""COMPUTED_VALUE"""),"08/21/2014")</f>
        <v>08/21/2014</v>
      </c>
      <c r="H2520" s="6" t="str">
        <f>IFERROR(__xludf.DUMMYFUNCTION("""COMPUTED_VALUE"""),"female")</f>
        <v>female</v>
      </c>
      <c r="I2520" s="6" t="str">
        <f>IFERROR(__xludf.DUMMYFUNCTION("""COMPUTED_VALUE"""),"Middle School")</f>
        <v>Middle School</v>
      </c>
      <c r="J2520" s="6" t="str">
        <f>IFERROR(__xludf.DUMMYFUNCTION("""COMPUTED_VALUE"""),"6")</f>
        <v>6</v>
      </c>
      <c r="K2520" s="6" t="str">
        <f>IFERROR(__xludf.DUMMYFUNCTION("""COMPUTED_VALUE"""),"claudia.rossello@alpha.school")</f>
        <v>claudia.rossello@alpha.school</v>
      </c>
      <c r="L2520" s="6" t="str">
        <f>IFERROR(__xludf.DUMMYFUNCTION("""COMPUTED_VALUE"""),"Alpha School Chantilly")</f>
        <v>Alpha School Chantilly</v>
      </c>
      <c r="M2520" s="6" t="str">
        <f>IFERROR(__xludf.DUMMYFUNCTION("""COMPUTED_VALUE"""),"")</f>
        <v/>
      </c>
      <c r="N2520" s="6" t="str">
        <f>IFERROR(__xludf.DUMMYFUNCTION("""COMPUTED_VALUE"""),"")</f>
        <v/>
      </c>
      <c r="O2520" s="87" t="str">
        <f>IFERROR(__xludf.DUMMYFUNCTION("""COMPUTED_VALUE"""),"https://drive.google.com/drive/folders/10T2cTQHqEJZqE-st6uFKPoI?usp=share_link")</f>
        <v>https://drive.google.com/drive/folders/10T2cTQHqEJZqE-st6uFKPoI?usp=share_link</v>
      </c>
      <c r="P2520" s="6" t="str">
        <f>IFERROR(__xludf.DUMMYFUNCTION("""COMPUTED_VALUE"""),"Claudia Rossello")</f>
        <v>Claudia Rossello</v>
      </c>
      <c r="Q2520" s="6" t="str">
        <f>IFERROR(__xludf.DUMMYFUNCTION("""COMPUTED_VALUE"""),"MS")</f>
        <v>MS</v>
      </c>
      <c r="R2520" s="6">
        <f>IFERROR(__xludf.DUMMYFUNCTION("""COMPUTED_VALUE"""),0.0)</f>
        <v>0</v>
      </c>
      <c r="S2520" s="6" t="str">
        <f>IFERROR(__xludf.DUMMYFUNCTION("""COMPUTED_VALUE"""),"Fau Liggans-Hubbard")</f>
        <v>Fau Liggans-Hubbard</v>
      </c>
      <c r="T2520" s="6" t="str">
        <f>IFERROR(__xludf.DUMMYFUNCTION("""COMPUTED_VALUE"""),"fauve.liggans@alpha.school")</f>
        <v>fauve.liggans@alpha.school</v>
      </c>
      <c r="U2520" s="6" t="str">
        <f>IFERROR(__xludf.DUMMYFUNCTION("""COMPUTED_VALUE"""),"6")</f>
        <v>6</v>
      </c>
      <c r="V2520" s="6" t="str">
        <f>IFERROR(__xludf.DUMMYFUNCTION("""COMPUTED_VALUE"""),"")</f>
        <v/>
      </c>
      <c r="W2520" s="6" t="str">
        <f>IFERROR(__xludf.DUMMYFUNCTION("""COMPUTED_VALUE"""),"[]")</f>
        <v>[]</v>
      </c>
      <c r="X2520" s="6" t="str">
        <f>IFERROR(__xludf.DUMMYFUNCTION("""COMPUTED_VALUE"""),"Enrolled")</f>
        <v>Enrolled</v>
      </c>
    </row>
    <row r="2521">
      <c r="A2521" s="6" t="str">
        <f>IFERROR(__xludf.DUMMYFUNCTION("""COMPUTED_VALUE"""),"045-6922")</f>
        <v>045-6922</v>
      </c>
      <c r="B2521" s="6" t="str">
        <f>IFERROR(__xludf.DUMMYFUNCTION("""COMPUTED_VALUE"""),"45")</f>
        <v>45</v>
      </c>
      <c r="C2521" s="6" t="str">
        <f>IFERROR(__xludf.DUMMYFUNCTION("""COMPUTED_VALUE"""),"6922")</f>
        <v>6922</v>
      </c>
      <c r="D2521" s="6" t="str">
        <f>IFERROR(__xludf.DUMMYFUNCTION("""COMPUTED_VALUE"""),"Griffin")</f>
        <v>Griffin</v>
      </c>
      <c r="E2521" s="6" t="str">
        <f>IFERROR(__xludf.DUMMYFUNCTION("""COMPUTED_VALUE"""),"")</f>
        <v/>
      </c>
      <c r="F2521" s="6" t="str">
        <f>IFERROR(__xludf.DUMMYFUNCTION("""COMPUTED_VALUE"""),"Wittenborn")</f>
        <v>Wittenborn</v>
      </c>
      <c r="G2521" s="6" t="str">
        <f>IFERROR(__xludf.DUMMYFUNCTION("""COMPUTED_VALUE"""),"11/27/2017")</f>
        <v>11/27/2017</v>
      </c>
      <c r="H2521" s="6" t="str">
        <f>IFERROR(__xludf.DUMMYFUNCTION("""COMPUTED_VALUE"""),"male")</f>
        <v>male</v>
      </c>
      <c r="I2521" s="6" t="str">
        <f>IFERROR(__xludf.DUMMYFUNCTION("""COMPUTED_VALUE"""),"Level 1")</f>
        <v>Level 1</v>
      </c>
      <c r="J2521" s="6" t="str">
        <f>IFERROR(__xludf.DUMMYFUNCTION("""COMPUTED_VALUE"""),"2")</f>
        <v>2</v>
      </c>
      <c r="K2521" s="6" t="str">
        <f>IFERROR(__xludf.DUMMYFUNCTION("""COMPUTED_VALUE"""),"griffin.wittenborn@alpha.school")</f>
        <v>griffin.wittenborn@alpha.school</v>
      </c>
      <c r="L2521" s="6" t="str">
        <f>IFERROR(__xludf.DUMMYFUNCTION("""COMPUTED_VALUE"""),"Alpha School Chantilly")</f>
        <v>Alpha School Chantilly</v>
      </c>
      <c r="M2521" s="6" t="str">
        <f>IFERROR(__xludf.DUMMYFUNCTION("""COMPUTED_VALUE"""),"")</f>
        <v/>
      </c>
      <c r="N2521" s="6" t="str">
        <f>IFERROR(__xludf.DUMMYFUNCTION("""COMPUTED_VALUE"""),"")</f>
        <v/>
      </c>
      <c r="O2521" s="87" t="str">
        <f>IFERROR(__xludf.DUMMYFUNCTION("""COMPUTED_VALUE"""),"https://drive.google.com/drive/folders/10T2cTQHqEJZqE-st6uFKPoI?usp=share_link")</f>
        <v>https://drive.google.com/drive/folders/10T2cTQHqEJZqE-st6uFKPoI?usp=share_link</v>
      </c>
      <c r="P2521" s="6" t="str">
        <f>IFERROR(__xludf.DUMMYFUNCTION("""COMPUTED_VALUE"""),"Griffin Wittenborn")</f>
        <v>Griffin Wittenborn</v>
      </c>
      <c r="Q2521" s="6" t="str">
        <f>IFERROR(__xludf.DUMMYFUNCTION("""COMPUTED_VALUE"""),"L1")</f>
        <v>L1</v>
      </c>
      <c r="R2521" s="6">
        <f>IFERROR(__xludf.DUMMYFUNCTION("""COMPUTED_VALUE"""),1.0)</f>
        <v>1</v>
      </c>
      <c r="S2521" s="6" t="str">
        <f>IFERROR(__xludf.DUMMYFUNCTION("""COMPUTED_VALUE"""),"Victoria Schoch")</f>
        <v>Victoria Schoch</v>
      </c>
      <c r="T2521" s="6" t="str">
        <f>IFERROR(__xludf.DUMMYFUNCTION("""COMPUTED_VALUE"""),"victoria.schoch@alpha.school")</f>
        <v>victoria.schoch@alpha.school</v>
      </c>
      <c r="U2521" s="6" t="str">
        <f>IFERROR(__xludf.DUMMYFUNCTION("""COMPUTED_VALUE"""),"2")</f>
        <v>2</v>
      </c>
      <c r="V2521" s="6" t="str">
        <f>IFERROR(__xludf.DUMMYFUNCTION("""COMPUTED_VALUE"""),"")</f>
        <v/>
      </c>
      <c r="W2521" s="6" t="str">
        <f>IFERROR(__xludf.DUMMYFUNCTION("""COMPUTED_VALUE"""),"[]")</f>
        <v>[]</v>
      </c>
      <c r="X2521" s="6" t="str">
        <f>IFERROR(__xludf.DUMMYFUNCTION("""COMPUTED_VALUE"""),"Enrolled")</f>
        <v>Enrolled</v>
      </c>
    </row>
    <row r="2522">
      <c r="A2522" s="6" t="str">
        <f>IFERROR(__xludf.DUMMYFUNCTION("""COMPUTED_VALUE"""),"045-7693")</f>
        <v>045-7693</v>
      </c>
      <c r="B2522" s="6" t="str">
        <f>IFERROR(__xludf.DUMMYFUNCTION("""COMPUTED_VALUE"""),"45")</f>
        <v>45</v>
      </c>
      <c r="C2522" s="6" t="str">
        <f>IFERROR(__xludf.DUMMYFUNCTION("""COMPUTED_VALUE"""),"7693")</f>
        <v>7693</v>
      </c>
      <c r="D2522" s="6" t="str">
        <f>IFERROR(__xludf.DUMMYFUNCTION("""COMPUTED_VALUE"""),"Grayson")</f>
        <v>Grayson</v>
      </c>
      <c r="E2522" s="6" t="str">
        <f>IFERROR(__xludf.DUMMYFUNCTION("""COMPUTED_VALUE"""),"")</f>
        <v/>
      </c>
      <c r="F2522" s="6" t="str">
        <f>IFERROR(__xludf.DUMMYFUNCTION("""COMPUTED_VALUE"""),"Hoffman")</f>
        <v>Hoffman</v>
      </c>
      <c r="G2522" s="6" t="str">
        <f>IFERROR(__xludf.DUMMYFUNCTION("""COMPUTED_VALUE"""),"09/03/2016")</f>
        <v>09/03/2016</v>
      </c>
      <c r="H2522" s="6" t="str">
        <f>IFERROR(__xludf.DUMMYFUNCTION("""COMPUTED_VALUE"""),"male")</f>
        <v>male</v>
      </c>
      <c r="I2522" s="6" t="str">
        <f>IFERROR(__xludf.DUMMYFUNCTION("""COMPUTED_VALUE"""),"Level 1")</f>
        <v>Level 1</v>
      </c>
      <c r="J2522" s="6" t="str">
        <f>IFERROR(__xludf.DUMMYFUNCTION("""COMPUTED_VALUE"""),"3")</f>
        <v>3</v>
      </c>
      <c r="K2522" s="6" t="str">
        <f>IFERROR(__xludf.DUMMYFUNCTION("""COMPUTED_VALUE"""),"grayson.hoffman@alpha.school")</f>
        <v>grayson.hoffman@alpha.school</v>
      </c>
      <c r="L2522" s="6" t="str">
        <f>IFERROR(__xludf.DUMMYFUNCTION("""COMPUTED_VALUE"""),"Alpha School Chantilly")</f>
        <v>Alpha School Chantilly</v>
      </c>
      <c r="M2522" s="6" t="str">
        <f>IFERROR(__xludf.DUMMYFUNCTION("""COMPUTED_VALUE"""),"")</f>
        <v/>
      </c>
      <c r="N2522" s="6" t="str">
        <f>IFERROR(__xludf.DUMMYFUNCTION("""COMPUTED_VALUE"""),"")</f>
        <v/>
      </c>
      <c r="O2522" s="87" t="str">
        <f>IFERROR(__xludf.DUMMYFUNCTION("""COMPUTED_VALUE"""),"https://drive.google.com/drive/folders/10T2cTQHqEJZqE-st6uFKPoI?usp=share_link")</f>
        <v>https://drive.google.com/drive/folders/10T2cTQHqEJZqE-st6uFKPoI?usp=share_link</v>
      </c>
      <c r="P2522" s="6" t="str">
        <f>IFERROR(__xludf.DUMMYFUNCTION("""COMPUTED_VALUE"""),"Grayson Hoffman")</f>
        <v>Grayson Hoffman</v>
      </c>
      <c r="Q2522" s="6" t="str">
        <f>IFERROR(__xludf.DUMMYFUNCTION("""COMPUTED_VALUE"""),"L1")</f>
        <v>L1</v>
      </c>
      <c r="R2522" s="6">
        <f>IFERROR(__xludf.DUMMYFUNCTION("""COMPUTED_VALUE"""),1.0)</f>
        <v>1</v>
      </c>
      <c r="S2522" s="6" t="str">
        <f>IFERROR(__xludf.DUMMYFUNCTION("""COMPUTED_VALUE"""),"Fau Liggans-Hubbard")</f>
        <v>Fau Liggans-Hubbard</v>
      </c>
      <c r="T2522" s="6" t="str">
        <f>IFERROR(__xludf.DUMMYFUNCTION("""COMPUTED_VALUE"""),"fauve.liggans@alpha.school")</f>
        <v>fauve.liggans@alpha.school</v>
      </c>
      <c r="U2522" s="6" t="str">
        <f>IFERROR(__xludf.DUMMYFUNCTION("""COMPUTED_VALUE"""),"3")</f>
        <v>3</v>
      </c>
      <c r="V2522" s="6" t="str">
        <f>IFERROR(__xludf.DUMMYFUNCTION("""COMPUTED_VALUE"""),"")</f>
        <v/>
      </c>
      <c r="W2522" s="6" t="str">
        <f>IFERROR(__xludf.DUMMYFUNCTION("""COMPUTED_VALUE"""),"[]")</f>
        <v>[]</v>
      </c>
      <c r="X2522" s="6" t="str">
        <f>IFERROR(__xludf.DUMMYFUNCTION("""COMPUTED_VALUE"""),"Enrolled")</f>
        <v>Enrolled</v>
      </c>
    </row>
    <row r="2523">
      <c r="A2523" s="6" t="str">
        <f>IFERROR(__xludf.DUMMYFUNCTION("""COMPUTED_VALUE"""),"049-3960")</f>
        <v>049-3960</v>
      </c>
      <c r="B2523" s="6" t="str">
        <f>IFERROR(__xludf.DUMMYFUNCTION("""COMPUTED_VALUE"""),"49")</f>
        <v>49</v>
      </c>
      <c r="C2523" s="6" t="str">
        <f>IFERROR(__xludf.DUMMYFUNCTION("""COMPUTED_VALUE"""),"3960")</f>
        <v>3960</v>
      </c>
      <c r="D2523" s="6" t="str">
        <f>IFERROR(__xludf.DUMMYFUNCTION("""COMPUTED_VALUE"""),"Guide")</f>
        <v>Guide</v>
      </c>
      <c r="E2523" s="6" t="str">
        <f>IFERROR(__xludf.DUMMYFUNCTION("""COMPUTED_VALUE"""),"")</f>
        <v/>
      </c>
      <c r="F2523" s="6" t="str">
        <f>IFERROR(__xludf.DUMMYFUNCTION("""COMPUTED_VALUE"""),"Sixth Grade27")</f>
        <v>Sixth Grade27</v>
      </c>
      <c r="G2523" s="6" t="str">
        <f>IFERROR(__xludf.DUMMYFUNCTION("""COMPUTED_VALUE"""),"01/01/2013")</f>
        <v>01/01/2013</v>
      </c>
      <c r="H2523" s="6" t="str">
        <f>IFERROR(__xludf.DUMMYFUNCTION("""COMPUTED_VALUE"""),"Self Identify")</f>
        <v>Self Identify</v>
      </c>
      <c r="I2523" s="6" t="str">
        <f>IFERROR(__xludf.DUMMYFUNCTION("""COMPUTED_VALUE"""),"Middle School")</f>
        <v>Middle School</v>
      </c>
      <c r="J2523" s="6" t="str">
        <f>IFERROR(__xludf.DUMMYFUNCTION("""COMPUTED_VALUE"""),"6")</f>
        <v>6</v>
      </c>
      <c r="K2523" s="6" t="str">
        <f>IFERROR(__xludf.DUMMYFUNCTION("""COMPUTED_VALUE"""),"guide.sixth27@2hourlearning.com")</f>
        <v>guide.sixth27@2hourlearning.com</v>
      </c>
      <c r="L2523" s="6" t="str">
        <f>IFERROR(__xludf.DUMMYFUNCTION("""COMPUTED_VALUE"""),"Guide School")</f>
        <v>Guide School</v>
      </c>
      <c r="M2523" s="6" t="str">
        <f>IFERROR(__xludf.DUMMYFUNCTION("""COMPUTED_VALUE"""),"Guide")</f>
        <v>Guide</v>
      </c>
      <c r="N2523" s="6" t="str">
        <f>IFERROR(__xludf.DUMMYFUNCTION("""COMPUTED_VALUE"""),"")</f>
        <v/>
      </c>
      <c r="O2523" s="87" t="str">
        <f>IFERROR(__xludf.DUMMYFUNCTION("""COMPUTED_VALUE"""),"https://drive.google.com/drive/folders/10T2cTQHqEJZqE-st6uFKPoI?usp=share_link")</f>
        <v>https://drive.google.com/drive/folders/10T2cTQHqEJZqE-st6uFKPoI?usp=share_link</v>
      </c>
      <c r="P2523" s="6" t="str">
        <f>IFERROR(__xludf.DUMMYFUNCTION("""COMPUTED_VALUE"""),"Guide Sixth Grade27")</f>
        <v>Guide Sixth Grade27</v>
      </c>
      <c r="Q2523" s="6" t="str">
        <f>IFERROR(__xludf.DUMMYFUNCTION("""COMPUTED_VALUE"""),"MS")</f>
        <v>MS</v>
      </c>
      <c r="R2523" s="6">
        <f>IFERROR(__xludf.DUMMYFUNCTION("""COMPUTED_VALUE"""),0.0)</f>
        <v>0</v>
      </c>
      <c r="S2523" s="6" t="str">
        <f>IFERROR(__xludf.DUMMYFUNCTION("""COMPUTED_VALUE""")," ")</f>
        <v> </v>
      </c>
      <c r="T2523" s="6" t="str">
        <f>IFERROR(__xludf.DUMMYFUNCTION("""COMPUTED_VALUE"""),"")</f>
        <v/>
      </c>
      <c r="U2523" s="6" t="str">
        <f>IFERROR(__xludf.DUMMYFUNCTION("""COMPUTED_VALUE"""),"6")</f>
        <v>6</v>
      </c>
      <c r="V2523" s="6" t="str">
        <f>IFERROR(__xludf.DUMMYFUNCTION("""COMPUTED_VALUE"""),"")</f>
        <v/>
      </c>
      <c r="W2523" s="6" t="str">
        <f>IFERROR(__xludf.DUMMYFUNCTION("""COMPUTED_VALUE"""),"[]")</f>
        <v>[]</v>
      </c>
      <c r="X2523" s="6" t="str">
        <f>IFERROR(__xludf.DUMMYFUNCTION("""COMPUTED_VALUE"""),"Enrolled")</f>
        <v>Enrolled</v>
      </c>
    </row>
    <row r="2524">
      <c r="A2524" s="6" t="str">
        <f>IFERROR(__xludf.DUMMYFUNCTION("""COMPUTED_VALUE"""),"049-6823")</f>
        <v>049-6823</v>
      </c>
      <c r="B2524" s="6" t="str">
        <f>IFERROR(__xludf.DUMMYFUNCTION("""COMPUTED_VALUE"""),"49")</f>
        <v>49</v>
      </c>
      <c r="C2524" s="6" t="str">
        <f>IFERROR(__xludf.DUMMYFUNCTION("""COMPUTED_VALUE"""),"6823")</f>
        <v>6823</v>
      </c>
      <c r="D2524" s="6" t="str">
        <f>IFERROR(__xludf.DUMMYFUNCTION("""COMPUTED_VALUE"""),"Guide")</f>
        <v>Guide</v>
      </c>
      <c r="E2524" s="6" t="str">
        <f>IFERROR(__xludf.DUMMYFUNCTION("""COMPUTED_VALUE"""),"")</f>
        <v/>
      </c>
      <c r="F2524" s="6" t="str">
        <f>IFERROR(__xludf.DUMMYFUNCTION("""COMPUTED_VALUE"""),"Sixth Grade29")</f>
        <v>Sixth Grade29</v>
      </c>
      <c r="G2524" s="6" t="str">
        <f>IFERROR(__xludf.DUMMYFUNCTION("""COMPUTED_VALUE"""),"01/01/2013")</f>
        <v>01/01/2013</v>
      </c>
      <c r="H2524" s="6" t="str">
        <f>IFERROR(__xludf.DUMMYFUNCTION("""COMPUTED_VALUE"""),"self_identify")</f>
        <v>self_identify</v>
      </c>
      <c r="I2524" s="6" t="str">
        <f>IFERROR(__xludf.DUMMYFUNCTION("""COMPUTED_VALUE"""),"Middle School")</f>
        <v>Middle School</v>
      </c>
      <c r="J2524" s="6" t="str">
        <f>IFERROR(__xludf.DUMMYFUNCTION("""COMPUTED_VALUE"""),"6")</f>
        <v>6</v>
      </c>
      <c r="K2524" s="6" t="str">
        <f>IFERROR(__xludf.DUMMYFUNCTION("""COMPUTED_VALUE"""),"guide.sixth29@2hourlearning.com")</f>
        <v>guide.sixth29@2hourlearning.com</v>
      </c>
      <c r="L2524" s="6" t="str">
        <f>IFERROR(__xludf.DUMMYFUNCTION("""COMPUTED_VALUE"""),"Guide School")</f>
        <v>Guide School</v>
      </c>
      <c r="M2524" s="6" t="str">
        <f>IFERROR(__xludf.DUMMYFUNCTION("""COMPUTED_VALUE"""),"Guide")</f>
        <v>Guide</v>
      </c>
      <c r="N2524" s="6" t="str">
        <f>IFERROR(__xludf.DUMMYFUNCTION("""COMPUTED_VALUE"""),"")</f>
        <v/>
      </c>
      <c r="O2524" s="87" t="str">
        <f>IFERROR(__xludf.DUMMYFUNCTION("""COMPUTED_VALUE"""),"https://drive.google.com/drive/folders/10T2cTQHqEJZqE-st6uFKPoI?usp=share_link")</f>
        <v>https://drive.google.com/drive/folders/10T2cTQHqEJZqE-st6uFKPoI?usp=share_link</v>
      </c>
      <c r="P2524" s="6" t="str">
        <f>IFERROR(__xludf.DUMMYFUNCTION("""COMPUTED_VALUE"""),"Guide Sixth Grade29")</f>
        <v>Guide Sixth Grade29</v>
      </c>
      <c r="Q2524" s="6" t="str">
        <f>IFERROR(__xludf.DUMMYFUNCTION("""COMPUTED_VALUE"""),"MS")</f>
        <v>MS</v>
      </c>
      <c r="R2524" s="6">
        <f>IFERROR(__xludf.DUMMYFUNCTION("""COMPUTED_VALUE"""),0.0)</f>
        <v>0</v>
      </c>
      <c r="S2524" s="6" t="str">
        <f>IFERROR(__xludf.DUMMYFUNCTION("""COMPUTED_VALUE""")," ")</f>
        <v> </v>
      </c>
      <c r="T2524" s="6" t="str">
        <f>IFERROR(__xludf.DUMMYFUNCTION("""COMPUTED_VALUE"""),"")</f>
        <v/>
      </c>
      <c r="U2524" s="6" t="str">
        <f>IFERROR(__xludf.DUMMYFUNCTION("""COMPUTED_VALUE"""),"6")</f>
        <v>6</v>
      </c>
      <c r="V2524" s="6" t="str">
        <f>IFERROR(__xludf.DUMMYFUNCTION("""COMPUTED_VALUE"""),"")</f>
        <v/>
      </c>
      <c r="W2524" s="6" t="str">
        <f>IFERROR(__xludf.DUMMYFUNCTION("""COMPUTED_VALUE"""),"[]")</f>
        <v>[]</v>
      </c>
      <c r="X2524" s="6" t="str">
        <f>IFERROR(__xludf.DUMMYFUNCTION("""COMPUTED_VALUE"""),"Enrolled")</f>
        <v>Enrolled</v>
      </c>
    </row>
    <row r="2525">
      <c r="A2525" s="6" t="str">
        <f>IFERROR(__xludf.DUMMYFUNCTION("""COMPUTED_VALUE"""),"049-6824")</f>
        <v>049-6824</v>
      </c>
      <c r="B2525" s="6" t="str">
        <f>IFERROR(__xludf.DUMMYFUNCTION("""COMPUTED_VALUE"""),"49")</f>
        <v>49</v>
      </c>
      <c r="C2525" s="6" t="str">
        <f>IFERROR(__xludf.DUMMYFUNCTION("""COMPUTED_VALUE"""),"6824")</f>
        <v>6824</v>
      </c>
      <c r="D2525" s="6" t="str">
        <f>IFERROR(__xludf.DUMMYFUNCTION("""COMPUTED_VALUE"""),"Guide")</f>
        <v>Guide</v>
      </c>
      <c r="E2525" s="6" t="str">
        <f>IFERROR(__xludf.DUMMYFUNCTION("""COMPUTED_VALUE"""),"")</f>
        <v/>
      </c>
      <c r="F2525" s="6" t="str">
        <f>IFERROR(__xludf.DUMMYFUNCTION("""COMPUTED_VALUE"""),"Sixth Grade30")</f>
        <v>Sixth Grade30</v>
      </c>
      <c r="G2525" s="6" t="str">
        <f>IFERROR(__xludf.DUMMYFUNCTION("""COMPUTED_VALUE"""),"01/01/2013")</f>
        <v>01/01/2013</v>
      </c>
      <c r="H2525" s="6" t="str">
        <f>IFERROR(__xludf.DUMMYFUNCTION("""COMPUTED_VALUE"""),"self_identify")</f>
        <v>self_identify</v>
      </c>
      <c r="I2525" s="6" t="str">
        <f>IFERROR(__xludf.DUMMYFUNCTION("""COMPUTED_VALUE"""),"Middle School")</f>
        <v>Middle School</v>
      </c>
      <c r="J2525" s="6" t="str">
        <f>IFERROR(__xludf.DUMMYFUNCTION("""COMPUTED_VALUE"""),"6")</f>
        <v>6</v>
      </c>
      <c r="K2525" s="6" t="str">
        <f>IFERROR(__xludf.DUMMYFUNCTION("""COMPUTED_VALUE"""),"guide.sixth30@2hourlearning.com")</f>
        <v>guide.sixth30@2hourlearning.com</v>
      </c>
      <c r="L2525" s="6" t="str">
        <f>IFERROR(__xludf.DUMMYFUNCTION("""COMPUTED_VALUE"""),"Guide School")</f>
        <v>Guide School</v>
      </c>
      <c r="M2525" s="6" t="str">
        <f>IFERROR(__xludf.DUMMYFUNCTION("""COMPUTED_VALUE"""),"Guide")</f>
        <v>Guide</v>
      </c>
      <c r="N2525" s="6" t="str">
        <f>IFERROR(__xludf.DUMMYFUNCTION("""COMPUTED_VALUE"""),"")</f>
        <v/>
      </c>
      <c r="O2525" s="87" t="str">
        <f>IFERROR(__xludf.DUMMYFUNCTION("""COMPUTED_VALUE"""),"https://drive.google.com/drive/folders/10T2cTQHqEJZqE-st6uFKPoI?usp=share_link")</f>
        <v>https://drive.google.com/drive/folders/10T2cTQHqEJZqE-st6uFKPoI?usp=share_link</v>
      </c>
      <c r="P2525" s="6" t="str">
        <f>IFERROR(__xludf.DUMMYFUNCTION("""COMPUTED_VALUE"""),"Guide Sixth Grade30")</f>
        <v>Guide Sixth Grade30</v>
      </c>
      <c r="Q2525" s="6" t="str">
        <f>IFERROR(__xludf.DUMMYFUNCTION("""COMPUTED_VALUE"""),"MS")</f>
        <v>MS</v>
      </c>
      <c r="R2525" s="6">
        <f>IFERROR(__xludf.DUMMYFUNCTION("""COMPUTED_VALUE"""),0.0)</f>
        <v>0</v>
      </c>
      <c r="S2525" s="6" t="str">
        <f>IFERROR(__xludf.DUMMYFUNCTION("""COMPUTED_VALUE""")," ")</f>
        <v> </v>
      </c>
      <c r="T2525" s="6" t="str">
        <f>IFERROR(__xludf.DUMMYFUNCTION("""COMPUTED_VALUE"""),"")</f>
        <v/>
      </c>
      <c r="U2525" s="6" t="str">
        <f>IFERROR(__xludf.DUMMYFUNCTION("""COMPUTED_VALUE"""),"6")</f>
        <v>6</v>
      </c>
      <c r="V2525" s="6" t="str">
        <f>IFERROR(__xludf.DUMMYFUNCTION("""COMPUTED_VALUE"""),"")</f>
        <v/>
      </c>
      <c r="W2525" s="6" t="str">
        <f>IFERROR(__xludf.DUMMYFUNCTION("""COMPUTED_VALUE"""),"[]")</f>
        <v>[]</v>
      </c>
      <c r="X2525" s="6" t="str">
        <f>IFERROR(__xludf.DUMMYFUNCTION("""COMPUTED_VALUE"""),"Enrolled")</f>
        <v>Enrolled</v>
      </c>
    </row>
    <row r="2526">
      <c r="A2526" s="6" t="str">
        <f>IFERROR(__xludf.DUMMYFUNCTION("""COMPUTED_VALUE"""),"050-0953")</f>
        <v>050-0953</v>
      </c>
      <c r="B2526" s="6" t="str">
        <f>IFERROR(__xludf.DUMMYFUNCTION("""COMPUTED_VALUE"""),"50")</f>
        <v>50</v>
      </c>
      <c r="C2526" s="6" t="str">
        <f>IFERROR(__xludf.DUMMYFUNCTION("""COMPUTED_VALUE"""),"0953")</f>
        <v>0953</v>
      </c>
      <c r="D2526" s="6" t="str">
        <f>IFERROR(__xludf.DUMMYFUNCTION("""COMPUTED_VALUE"""),"Ethan")</f>
        <v>Ethan</v>
      </c>
      <c r="E2526" s="6" t="str">
        <f>IFERROR(__xludf.DUMMYFUNCTION("""COMPUTED_VALUE"""),"Ethan")</f>
        <v>Ethan</v>
      </c>
      <c r="F2526" s="6" t="str">
        <f>IFERROR(__xludf.DUMMYFUNCTION("""COMPUTED_VALUE"""),"Wong")</f>
        <v>Wong</v>
      </c>
      <c r="G2526" s="6" t="str">
        <f>IFERROR(__xludf.DUMMYFUNCTION("""COMPUTED_VALUE"""),"09/19/2011")</f>
        <v>09/19/2011</v>
      </c>
      <c r="H2526" s="6" t="str">
        <f>IFERROR(__xludf.DUMMYFUNCTION("""COMPUTED_VALUE"""),"male")</f>
        <v>male</v>
      </c>
      <c r="I2526" s="6" t="str">
        <f>IFERROR(__xludf.DUMMYFUNCTION("""COMPUTED_VALUE"""),"Middle School")</f>
        <v>Middle School</v>
      </c>
      <c r="J2526" s="6" t="str">
        <f>IFERROR(__xludf.DUMMYFUNCTION("""COMPUTED_VALUE"""),"8")</f>
        <v>8</v>
      </c>
      <c r="K2526" s="6" t="str">
        <f>IFERROR(__xludf.DUMMYFUNCTION("""COMPUTED_VALUE"""),"ethan.wong@alpha.school")</f>
        <v>ethan.wong@alpha.school</v>
      </c>
      <c r="L2526" s="6" t="str">
        <f>IFERROR(__xludf.DUMMYFUNCTION("""COMPUTED_VALUE"""),"Alpha School San Francisco")</f>
        <v>Alpha School San Francisco</v>
      </c>
      <c r="M2526" s="6" t="str">
        <f>IFERROR(__xludf.DUMMYFUNCTION("""COMPUTED_VALUE"""),"")</f>
        <v/>
      </c>
      <c r="N2526" s="6" t="str">
        <f>IFERROR(__xludf.DUMMYFUNCTION("""COMPUTED_VALUE"""),"")</f>
        <v/>
      </c>
      <c r="O2526" s="87" t="str">
        <f>IFERROR(__xludf.DUMMYFUNCTION("""COMPUTED_VALUE"""),"https://drive.google.com/drive/folders/10T2cTQHqEJZqE-st6uFKPoI?usp=share_link")</f>
        <v>https://drive.google.com/drive/folders/10T2cTQHqEJZqE-st6uFKPoI?usp=share_link</v>
      </c>
      <c r="P2526" s="6" t="str">
        <f>IFERROR(__xludf.DUMMYFUNCTION("""COMPUTED_VALUE"""),"Ethan Wong")</f>
        <v>Ethan Wong</v>
      </c>
      <c r="Q2526" s="6" t="str">
        <f>IFERROR(__xludf.DUMMYFUNCTION("""COMPUTED_VALUE"""),"MS")</f>
        <v>MS</v>
      </c>
      <c r="R2526" s="6">
        <f>IFERROR(__xludf.DUMMYFUNCTION("""COMPUTED_VALUE"""),0.0)</f>
        <v>0</v>
      </c>
      <c r="S2526" s="6" t="str">
        <f>IFERROR(__xludf.DUMMYFUNCTION("""COMPUTED_VALUE"""),"Derek Kim")</f>
        <v>Derek Kim</v>
      </c>
      <c r="T2526" s="6" t="str">
        <f>IFERROR(__xludf.DUMMYFUNCTION("""COMPUTED_VALUE"""),"derek.kim@alpha.school")</f>
        <v>derek.kim@alpha.school</v>
      </c>
      <c r="U2526" s="6" t="str">
        <f>IFERROR(__xludf.DUMMYFUNCTION("""COMPUTED_VALUE"""),"8")</f>
        <v>8</v>
      </c>
      <c r="V2526" s="6" t="str">
        <f>IFERROR(__xludf.DUMMYFUNCTION("""COMPUTED_VALUE"""),"")</f>
        <v/>
      </c>
      <c r="W2526" s="6" t="str">
        <f>IFERROR(__xludf.DUMMYFUNCTION("""COMPUTED_VALUE"""),"[]")</f>
        <v>[]</v>
      </c>
      <c r="X2526" s="6" t="str">
        <f>IFERROR(__xludf.DUMMYFUNCTION("""COMPUTED_VALUE"""),"Enrolled")</f>
        <v>Enrolled</v>
      </c>
    </row>
    <row r="2527">
      <c r="A2527" s="6" t="str">
        <f>IFERROR(__xludf.DUMMYFUNCTION("""COMPUTED_VALUE"""),"050-0954")</f>
        <v>050-0954</v>
      </c>
      <c r="B2527" s="6" t="str">
        <f>IFERROR(__xludf.DUMMYFUNCTION("""COMPUTED_VALUE"""),"50")</f>
        <v>50</v>
      </c>
      <c r="C2527" s="6" t="str">
        <f>IFERROR(__xludf.DUMMYFUNCTION("""COMPUTED_VALUE"""),"0954")</f>
        <v>0954</v>
      </c>
      <c r="D2527" s="6" t="str">
        <f>IFERROR(__xludf.DUMMYFUNCTION("""COMPUTED_VALUE"""),"Austin")</f>
        <v>Austin</v>
      </c>
      <c r="E2527" s="6" t="str">
        <f>IFERROR(__xludf.DUMMYFUNCTION("""COMPUTED_VALUE"""),"Austin")</f>
        <v>Austin</v>
      </c>
      <c r="F2527" s="6" t="str">
        <f>IFERROR(__xludf.DUMMYFUNCTION("""COMPUTED_VALUE"""),"Wong")</f>
        <v>Wong</v>
      </c>
      <c r="G2527" s="6" t="str">
        <f>IFERROR(__xludf.DUMMYFUNCTION("""COMPUTED_VALUE"""),"01/05/2017")</f>
        <v>01/05/2017</v>
      </c>
      <c r="H2527" s="6" t="str">
        <f>IFERROR(__xludf.DUMMYFUNCTION("""COMPUTED_VALUE"""),"male")</f>
        <v>male</v>
      </c>
      <c r="I2527" s="6" t="str">
        <f>IFERROR(__xludf.DUMMYFUNCTION("""COMPUTED_VALUE"""),"Level 1")</f>
        <v>Level 1</v>
      </c>
      <c r="J2527" s="6" t="str">
        <f>IFERROR(__xludf.DUMMYFUNCTION("""COMPUTED_VALUE"""),"3")</f>
        <v>3</v>
      </c>
      <c r="K2527" s="6" t="str">
        <f>IFERROR(__xludf.DUMMYFUNCTION("""COMPUTED_VALUE"""),"austin.wong@alpha.school")</f>
        <v>austin.wong@alpha.school</v>
      </c>
      <c r="L2527" s="6" t="str">
        <f>IFERROR(__xludf.DUMMYFUNCTION("""COMPUTED_VALUE"""),"Alpha School San Francisco")</f>
        <v>Alpha School San Francisco</v>
      </c>
      <c r="M2527" s="6" t="str">
        <f>IFERROR(__xludf.DUMMYFUNCTION("""COMPUTED_VALUE"""),"")</f>
        <v/>
      </c>
      <c r="N2527" s="6" t="str">
        <f>IFERROR(__xludf.DUMMYFUNCTION("""COMPUTED_VALUE"""),"")</f>
        <v/>
      </c>
      <c r="O2527" s="87" t="str">
        <f>IFERROR(__xludf.DUMMYFUNCTION("""COMPUTED_VALUE"""),"https://drive.google.com/drive/folders/10T2cTQHqEJZqE-st6uFKPoI?usp=share_link")</f>
        <v>https://drive.google.com/drive/folders/10T2cTQHqEJZqE-st6uFKPoI?usp=share_link</v>
      </c>
      <c r="P2527" s="6" t="str">
        <f>IFERROR(__xludf.DUMMYFUNCTION("""COMPUTED_VALUE"""),"Austin Wong")</f>
        <v>Austin Wong</v>
      </c>
      <c r="Q2527" s="6" t="str">
        <f>IFERROR(__xludf.DUMMYFUNCTION("""COMPUTED_VALUE"""),"L1")</f>
        <v>L1</v>
      </c>
      <c r="R2527" s="6">
        <f>IFERROR(__xludf.DUMMYFUNCTION("""COMPUTED_VALUE"""),1.0)</f>
        <v>1</v>
      </c>
      <c r="S2527" s="6" t="str">
        <f>IFERROR(__xludf.DUMMYFUNCTION("""COMPUTED_VALUE"""),"Jason Tan")</f>
        <v>Jason Tan</v>
      </c>
      <c r="T2527" s="6" t="str">
        <f>IFERROR(__xludf.DUMMYFUNCTION("""COMPUTED_VALUE"""),"jason.tan@alpha.school")</f>
        <v>jason.tan@alpha.school</v>
      </c>
      <c r="U2527" s="6" t="str">
        <f>IFERROR(__xludf.DUMMYFUNCTION("""COMPUTED_VALUE"""),"3")</f>
        <v>3</v>
      </c>
      <c r="V2527" s="6" t="str">
        <f>IFERROR(__xludf.DUMMYFUNCTION("""COMPUTED_VALUE"""),"")</f>
        <v/>
      </c>
      <c r="W2527" s="6" t="str">
        <f>IFERROR(__xludf.DUMMYFUNCTION("""COMPUTED_VALUE"""),"[]")</f>
        <v>[]</v>
      </c>
      <c r="X2527" s="6" t="str">
        <f>IFERROR(__xludf.DUMMYFUNCTION("""COMPUTED_VALUE"""),"Enrolled")</f>
        <v>Enrolled</v>
      </c>
    </row>
    <row r="2528">
      <c r="A2528" s="6" t="str">
        <f>IFERROR(__xludf.DUMMYFUNCTION("""COMPUTED_VALUE"""),"050-2655")</f>
        <v>050-2655</v>
      </c>
      <c r="B2528" s="6" t="str">
        <f>IFERROR(__xludf.DUMMYFUNCTION("""COMPUTED_VALUE"""),"50")</f>
        <v>50</v>
      </c>
      <c r="C2528" s="6" t="str">
        <f>IFERROR(__xludf.DUMMYFUNCTION("""COMPUTED_VALUE"""),"2655")</f>
        <v>2655</v>
      </c>
      <c r="D2528" s="6" t="str">
        <f>IFERROR(__xludf.DUMMYFUNCTION("""COMPUTED_VALUE"""),"Jesse")</f>
        <v>Jesse</v>
      </c>
      <c r="E2528" s="6" t="str">
        <f>IFERROR(__xludf.DUMMYFUNCTION("""COMPUTED_VALUE"""),"Jesse")</f>
        <v>Jesse</v>
      </c>
      <c r="F2528" s="6" t="str">
        <f>IFERROR(__xludf.DUMMYFUNCTION("""COMPUTED_VALUE"""),"Crain, Jr")</f>
        <v>Crain, Jr</v>
      </c>
      <c r="G2528" s="6" t="str">
        <f>IFERROR(__xludf.DUMMYFUNCTION("""COMPUTED_VALUE"""),"12/30/2018")</f>
        <v>12/30/2018</v>
      </c>
      <c r="H2528" s="6" t="str">
        <f>IFERROR(__xludf.DUMMYFUNCTION("""COMPUTED_VALUE"""),"male")</f>
        <v>male</v>
      </c>
      <c r="I2528" s="6" t="str">
        <f>IFERROR(__xludf.DUMMYFUNCTION("""COMPUTED_VALUE"""),"Learning Lab")</f>
        <v>Learning Lab</v>
      </c>
      <c r="J2528" s="6" t="str">
        <f>IFERROR(__xludf.DUMMYFUNCTION("""COMPUTED_VALUE"""),"1")</f>
        <v>1</v>
      </c>
      <c r="K2528" s="6" t="str">
        <f>IFERROR(__xludf.DUMMYFUNCTION("""COMPUTED_VALUE"""),"jesse.crain.jr@alpha.school")</f>
        <v>jesse.crain.jr@alpha.school</v>
      </c>
      <c r="L2528" s="6" t="str">
        <f>IFERROR(__xludf.DUMMYFUNCTION("""COMPUTED_VALUE"""),"Alpha School San Francisco")</f>
        <v>Alpha School San Francisco</v>
      </c>
      <c r="M2528" s="6" t="str">
        <f>IFERROR(__xludf.DUMMYFUNCTION("""COMPUTED_VALUE"""),"")</f>
        <v/>
      </c>
      <c r="N2528" s="6" t="str">
        <f>IFERROR(__xludf.DUMMYFUNCTION("""COMPUTED_VALUE"""),"")</f>
        <v/>
      </c>
      <c r="O2528" s="87" t="str">
        <f>IFERROR(__xludf.DUMMYFUNCTION("""COMPUTED_VALUE"""),"https://drive.google.com/drive/folders/10T2cTQHqEJZqE-st6uFKPoI?usp=share_link")</f>
        <v>https://drive.google.com/drive/folders/10T2cTQHqEJZqE-st6uFKPoI?usp=share_link</v>
      </c>
      <c r="P2528" s="6" t="str">
        <f>IFERROR(__xludf.DUMMYFUNCTION("""COMPUTED_VALUE"""),"Jesse Crain, Jr")</f>
        <v>Jesse Crain, Jr</v>
      </c>
      <c r="Q2528" s="6" t="str">
        <f>IFERROR(__xludf.DUMMYFUNCTION("""COMPUTED_VALUE"""),"LL")</f>
        <v>LL</v>
      </c>
      <c r="R2528" s="6">
        <f>IFERROR(__xludf.DUMMYFUNCTION("""COMPUTED_VALUE"""),0.0)</f>
        <v>0</v>
      </c>
      <c r="S2528" s="6" t="str">
        <f>IFERROR(__xludf.DUMMYFUNCTION("""COMPUTED_VALUE"""),"Ree Yeakley")</f>
        <v>Ree Yeakley</v>
      </c>
      <c r="T2528" s="6" t="str">
        <f>IFERROR(__xludf.DUMMYFUNCTION("""COMPUTED_VALUE"""),"capri.yeakley@alpha.school")</f>
        <v>capri.yeakley@alpha.school</v>
      </c>
      <c r="U2528" s="6" t="str">
        <f>IFERROR(__xludf.DUMMYFUNCTION("""COMPUTED_VALUE"""),"1")</f>
        <v>1</v>
      </c>
      <c r="V2528" s="6" t="str">
        <f>IFERROR(__xludf.DUMMYFUNCTION("""COMPUTED_VALUE"""),"")</f>
        <v/>
      </c>
      <c r="W2528" s="6" t="str">
        <f>IFERROR(__xludf.DUMMYFUNCTION("""COMPUTED_VALUE"""),"[]")</f>
        <v>[]</v>
      </c>
      <c r="X2528" s="6" t="str">
        <f>IFERROR(__xludf.DUMMYFUNCTION("""COMPUTED_VALUE"""),"Enrolled")</f>
        <v>Enrolled</v>
      </c>
    </row>
    <row r="2529">
      <c r="A2529" s="6" t="str">
        <f>IFERROR(__xludf.DUMMYFUNCTION("""COMPUTED_VALUE"""),"050-3695")</f>
        <v>050-3695</v>
      </c>
      <c r="B2529" s="6" t="str">
        <f>IFERROR(__xludf.DUMMYFUNCTION("""COMPUTED_VALUE"""),"50")</f>
        <v>50</v>
      </c>
      <c r="C2529" s="6" t="str">
        <f>IFERROR(__xludf.DUMMYFUNCTION("""COMPUTED_VALUE"""),"3695")</f>
        <v>3695</v>
      </c>
      <c r="D2529" s="6" t="str">
        <f>IFERROR(__xludf.DUMMYFUNCTION("""COMPUTED_VALUE"""),"Cameron")</f>
        <v>Cameron</v>
      </c>
      <c r="E2529" s="6" t="str">
        <f>IFERROR(__xludf.DUMMYFUNCTION("""COMPUTED_VALUE"""),"Cameron")</f>
        <v>Cameron</v>
      </c>
      <c r="F2529" s="6" t="str">
        <f>IFERROR(__xludf.DUMMYFUNCTION("""COMPUTED_VALUE"""),"Caldbeck")</f>
        <v>Caldbeck</v>
      </c>
      <c r="G2529" s="6" t="str">
        <f>IFERROR(__xludf.DUMMYFUNCTION("""COMPUTED_VALUE"""),"12/11/2018")</f>
        <v>12/11/2018</v>
      </c>
      <c r="H2529" s="6" t="str">
        <f>IFERROR(__xludf.DUMMYFUNCTION("""COMPUTED_VALUE"""),"Self Identify")</f>
        <v>Self Identify</v>
      </c>
      <c r="I2529" s="6" t="str">
        <f>IFERROR(__xludf.DUMMYFUNCTION("""COMPUTED_VALUE"""),"Learning Lab")</f>
        <v>Learning Lab</v>
      </c>
      <c r="J2529" s="6" t="str">
        <f>IFERROR(__xludf.DUMMYFUNCTION("""COMPUTED_VALUE"""),"1")</f>
        <v>1</v>
      </c>
      <c r="K2529" s="6" t="str">
        <f>IFERROR(__xludf.DUMMYFUNCTION("""COMPUTED_VALUE"""),"cameron.caldbeck@alpha.school")</f>
        <v>cameron.caldbeck@alpha.school</v>
      </c>
      <c r="L2529" s="6" t="str">
        <f>IFERROR(__xludf.DUMMYFUNCTION("""COMPUTED_VALUE"""),"Alpha School San Francisco")</f>
        <v>Alpha School San Francisco</v>
      </c>
      <c r="M2529" s="6" t="str">
        <f>IFERROR(__xludf.DUMMYFUNCTION("""COMPUTED_VALUE"""),"")</f>
        <v/>
      </c>
      <c r="N2529" s="6" t="str">
        <f>IFERROR(__xludf.DUMMYFUNCTION("""COMPUTED_VALUE"""),"")</f>
        <v/>
      </c>
      <c r="O2529" s="87" t="str">
        <f>IFERROR(__xludf.DUMMYFUNCTION("""COMPUTED_VALUE"""),"https://drive.google.com/drive/folders/10T2cTQHqEJZqE-st6uFKPoI?usp=share_link")</f>
        <v>https://drive.google.com/drive/folders/10T2cTQHqEJZqE-st6uFKPoI?usp=share_link</v>
      </c>
      <c r="P2529" s="6" t="str">
        <f>IFERROR(__xludf.DUMMYFUNCTION("""COMPUTED_VALUE"""),"Cameron Caldbeck")</f>
        <v>Cameron Caldbeck</v>
      </c>
      <c r="Q2529" s="6" t="str">
        <f>IFERROR(__xludf.DUMMYFUNCTION("""COMPUTED_VALUE"""),"LL")</f>
        <v>LL</v>
      </c>
      <c r="R2529" s="6">
        <f>IFERROR(__xludf.DUMMYFUNCTION("""COMPUTED_VALUE"""),0.0)</f>
        <v>0</v>
      </c>
      <c r="S2529" s="6" t="str">
        <f>IFERROR(__xludf.DUMMYFUNCTION("""COMPUTED_VALUE"""),"Ree Yeakley")</f>
        <v>Ree Yeakley</v>
      </c>
      <c r="T2529" s="6" t="str">
        <f>IFERROR(__xludf.DUMMYFUNCTION("""COMPUTED_VALUE"""),"capri.yeakley@alpha.school")</f>
        <v>capri.yeakley@alpha.school</v>
      </c>
      <c r="U2529" s="6" t="str">
        <f>IFERROR(__xludf.DUMMYFUNCTION("""COMPUTED_VALUE"""),"1")</f>
        <v>1</v>
      </c>
      <c r="V2529" s="6" t="str">
        <f>IFERROR(__xludf.DUMMYFUNCTION("""COMPUTED_VALUE"""),"")</f>
        <v/>
      </c>
      <c r="W2529" s="6" t="str">
        <f>IFERROR(__xludf.DUMMYFUNCTION("""COMPUTED_VALUE"""),"[]")</f>
        <v>[]</v>
      </c>
      <c r="X2529" s="6" t="str">
        <f>IFERROR(__xludf.DUMMYFUNCTION("""COMPUTED_VALUE"""),"Enrolled")</f>
        <v>Enrolled</v>
      </c>
    </row>
    <row r="2530">
      <c r="A2530" s="6" t="str">
        <f>IFERROR(__xludf.DUMMYFUNCTION("""COMPUTED_VALUE"""),"050-3696")</f>
        <v>050-3696</v>
      </c>
      <c r="B2530" s="6" t="str">
        <f>IFERROR(__xludf.DUMMYFUNCTION("""COMPUTED_VALUE"""),"50")</f>
        <v>50</v>
      </c>
      <c r="C2530" s="6" t="str">
        <f>IFERROR(__xludf.DUMMYFUNCTION("""COMPUTED_VALUE"""),"3696")</f>
        <v>3696</v>
      </c>
      <c r="D2530" s="6" t="str">
        <f>IFERROR(__xludf.DUMMYFUNCTION("""COMPUTED_VALUE"""),"Austin")</f>
        <v>Austin</v>
      </c>
      <c r="E2530" s="6" t="str">
        <f>IFERROR(__xludf.DUMMYFUNCTION("""COMPUTED_VALUE"""),"Austin")</f>
        <v>Austin</v>
      </c>
      <c r="F2530" s="6" t="str">
        <f>IFERROR(__xludf.DUMMYFUNCTION("""COMPUTED_VALUE"""),"Caldbeck")</f>
        <v>Caldbeck</v>
      </c>
      <c r="G2530" s="6" t="str">
        <f>IFERROR(__xludf.DUMMYFUNCTION("""COMPUTED_VALUE"""),"08/31/2016")</f>
        <v>08/31/2016</v>
      </c>
      <c r="H2530" s="6" t="str">
        <f>IFERROR(__xludf.DUMMYFUNCTION("""COMPUTED_VALUE"""),"male")</f>
        <v>male</v>
      </c>
      <c r="I2530" s="6" t="str">
        <f>IFERROR(__xludf.DUMMYFUNCTION("""COMPUTED_VALUE"""),"Level 1")</f>
        <v>Level 1</v>
      </c>
      <c r="J2530" s="6" t="str">
        <f>IFERROR(__xludf.DUMMYFUNCTION("""COMPUTED_VALUE"""),"3")</f>
        <v>3</v>
      </c>
      <c r="K2530" s="6" t="str">
        <f>IFERROR(__xludf.DUMMYFUNCTION("""COMPUTED_VALUE"""),"austin.caldbeck@alpha.school")</f>
        <v>austin.caldbeck@alpha.school</v>
      </c>
      <c r="L2530" s="6" t="str">
        <f>IFERROR(__xludf.DUMMYFUNCTION("""COMPUTED_VALUE"""),"Alpha School San Francisco")</f>
        <v>Alpha School San Francisco</v>
      </c>
      <c r="M2530" s="6" t="str">
        <f>IFERROR(__xludf.DUMMYFUNCTION("""COMPUTED_VALUE"""),"")</f>
        <v/>
      </c>
      <c r="N2530" s="6" t="str">
        <f>IFERROR(__xludf.DUMMYFUNCTION("""COMPUTED_VALUE"""),"")</f>
        <v/>
      </c>
      <c r="O2530" s="87" t="str">
        <f>IFERROR(__xludf.DUMMYFUNCTION("""COMPUTED_VALUE"""),"https://drive.google.com/drive/folders/10T2cTQHqEJZqE-st6uFKPoI?usp=share_link")</f>
        <v>https://drive.google.com/drive/folders/10T2cTQHqEJZqE-st6uFKPoI?usp=share_link</v>
      </c>
      <c r="P2530" s="6" t="str">
        <f>IFERROR(__xludf.DUMMYFUNCTION("""COMPUTED_VALUE"""),"Austin Caldbeck")</f>
        <v>Austin Caldbeck</v>
      </c>
      <c r="Q2530" s="6" t="str">
        <f>IFERROR(__xludf.DUMMYFUNCTION("""COMPUTED_VALUE"""),"L1")</f>
        <v>L1</v>
      </c>
      <c r="R2530" s="6">
        <f>IFERROR(__xludf.DUMMYFUNCTION("""COMPUTED_VALUE"""),1.0)</f>
        <v>1</v>
      </c>
      <c r="S2530" s="6" t="str">
        <f>IFERROR(__xludf.DUMMYFUNCTION("""COMPUTED_VALUE"""),"Jason Tan")</f>
        <v>Jason Tan</v>
      </c>
      <c r="T2530" s="6" t="str">
        <f>IFERROR(__xludf.DUMMYFUNCTION("""COMPUTED_VALUE"""),"jason.tan@alpha.school")</f>
        <v>jason.tan@alpha.school</v>
      </c>
      <c r="U2530" s="6" t="str">
        <f>IFERROR(__xludf.DUMMYFUNCTION("""COMPUTED_VALUE"""),"3")</f>
        <v>3</v>
      </c>
      <c r="V2530" s="6" t="str">
        <f>IFERROR(__xludf.DUMMYFUNCTION("""COMPUTED_VALUE"""),"")</f>
        <v/>
      </c>
      <c r="W2530" s="6" t="str">
        <f>IFERROR(__xludf.DUMMYFUNCTION("""COMPUTED_VALUE"""),"[]")</f>
        <v>[]</v>
      </c>
      <c r="X2530" s="6" t="str">
        <f>IFERROR(__xludf.DUMMYFUNCTION("""COMPUTED_VALUE"""),"Enrolled")</f>
        <v>Enrolled</v>
      </c>
    </row>
    <row r="2531">
      <c r="A2531" s="6" t="str">
        <f>IFERROR(__xludf.DUMMYFUNCTION("""COMPUTED_VALUE"""),"050-4034")</f>
        <v>050-4034</v>
      </c>
      <c r="B2531" s="6" t="str">
        <f>IFERROR(__xludf.DUMMYFUNCTION("""COMPUTED_VALUE"""),"50")</f>
        <v>50</v>
      </c>
      <c r="C2531" s="6" t="str">
        <f>IFERROR(__xludf.DUMMYFUNCTION("""COMPUTED_VALUE"""),"4034")</f>
        <v>4034</v>
      </c>
      <c r="D2531" s="6" t="str">
        <f>IFERROR(__xludf.DUMMYFUNCTION("""COMPUTED_VALUE"""),"Maya")</f>
        <v>Maya</v>
      </c>
      <c r="E2531" s="6" t="str">
        <f>IFERROR(__xludf.DUMMYFUNCTION("""COMPUTED_VALUE"""),"")</f>
        <v/>
      </c>
      <c r="F2531" s="6" t="str">
        <f>IFERROR(__xludf.DUMMYFUNCTION("""COMPUTED_VALUE"""),"Gries-Yano")</f>
        <v>Gries-Yano</v>
      </c>
      <c r="G2531" s="6" t="str">
        <f>IFERROR(__xludf.DUMMYFUNCTION("""COMPUTED_VALUE"""),"09/18/2017")</f>
        <v>09/18/2017</v>
      </c>
      <c r="H2531" s="6" t="str">
        <f>IFERROR(__xludf.DUMMYFUNCTION("""COMPUTED_VALUE"""),"female")</f>
        <v>female</v>
      </c>
      <c r="I2531" s="6" t="str">
        <f>IFERROR(__xludf.DUMMYFUNCTION("""COMPUTED_VALUE"""),"Level 1")</f>
        <v>Level 1</v>
      </c>
      <c r="J2531" s="6" t="str">
        <f>IFERROR(__xludf.DUMMYFUNCTION("""COMPUTED_VALUE"""),"3")</f>
        <v>3</v>
      </c>
      <c r="K2531" s="6" t="str">
        <f>IFERROR(__xludf.DUMMYFUNCTION("""COMPUTED_VALUE"""),"maya.griesyano@alpha.school")</f>
        <v>maya.griesyano@alpha.school</v>
      </c>
      <c r="L2531" s="6" t="str">
        <f>IFERROR(__xludf.DUMMYFUNCTION("""COMPUTED_VALUE"""),"Alpha School San Francisco")</f>
        <v>Alpha School San Francisco</v>
      </c>
      <c r="M2531" s="6" t="str">
        <f>IFERROR(__xludf.DUMMYFUNCTION("""COMPUTED_VALUE"""),"")</f>
        <v/>
      </c>
      <c r="N2531" s="6" t="str">
        <f>IFERROR(__xludf.DUMMYFUNCTION("""COMPUTED_VALUE"""),"")</f>
        <v/>
      </c>
      <c r="O2531" s="87" t="str">
        <f>IFERROR(__xludf.DUMMYFUNCTION("""COMPUTED_VALUE"""),"https://drive.google.com/drive/folders/10T2cTQHqEJZqE-st6uFKPoI?usp=share_link")</f>
        <v>https://drive.google.com/drive/folders/10T2cTQHqEJZqE-st6uFKPoI?usp=share_link</v>
      </c>
      <c r="P2531" s="6" t="str">
        <f>IFERROR(__xludf.DUMMYFUNCTION("""COMPUTED_VALUE"""),"Maya Gries-Yano")</f>
        <v>Maya Gries-Yano</v>
      </c>
      <c r="Q2531" s="6" t="str">
        <f>IFERROR(__xludf.DUMMYFUNCTION("""COMPUTED_VALUE"""),"L1")</f>
        <v>L1</v>
      </c>
      <c r="R2531" s="6">
        <f>IFERROR(__xludf.DUMMYFUNCTION("""COMPUTED_VALUE"""),1.0)</f>
        <v>1</v>
      </c>
      <c r="S2531" s="6" t="str">
        <f>IFERROR(__xludf.DUMMYFUNCTION("""COMPUTED_VALUE"""),"Jason Tan")</f>
        <v>Jason Tan</v>
      </c>
      <c r="T2531" s="6" t="str">
        <f>IFERROR(__xludf.DUMMYFUNCTION("""COMPUTED_VALUE"""),"jason.tan@alpha.school")</f>
        <v>jason.tan@alpha.school</v>
      </c>
      <c r="U2531" s="6" t="str">
        <f>IFERROR(__xludf.DUMMYFUNCTION("""COMPUTED_VALUE"""),"3")</f>
        <v>3</v>
      </c>
      <c r="V2531" s="6" t="str">
        <f>IFERROR(__xludf.DUMMYFUNCTION("""COMPUTED_VALUE"""),"")</f>
        <v/>
      </c>
      <c r="W2531" s="6" t="str">
        <f>IFERROR(__xludf.DUMMYFUNCTION("""COMPUTED_VALUE"""),"[]")</f>
        <v>[]</v>
      </c>
      <c r="X2531" s="6" t="str">
        <f>IFERROR(__xludf.DUMMYFUNCTION("""COMPUTED_VALUE"""),"Enrolled")</f>
        <v>Enrolled</v>
      </c>
    </row>
    <row r="2532">
      <c r="A2532" s="6" t="str">
        <f>IFERROR(__xludf.DUMMYFUNCTION("""COMPUTED_VALUE"""),"050-4038")</f>
        <v>050-4038</v>
      </c>
      <c r="B2532" s="6" t="str">
        <f>IFERROR(__xludf.DUMMYFUNCTION("""COMPUTED_VALUE"""),"50")</f>
        <v>50</v>
      </c>
      <c r="C2532" s="6" t="str">
        <f>IFERROR(__xludf.DUMMYFUNCTION("""COMPUTED_VALUE"""),"4038")</f>
        <v>4038</v>
      </c>
      <c r="D2532" s="6" t="str">
        <f>IFERROR(__xludf.DUMMYFUNCTION("""COMPUTED_VALUE"""),"McKayla")</f>
        <v>McKayla</v>
      </c>
      <c r="E2532" s="6" t="str">
        <f>IFERROR(__xludf.DUMMYFUNCTION("""COMPUTED_VALUE"""),"McKayla")</f>
        <v>McKayla</v>
      </c>
      <c r="F2532" s="6" t="str">
        <f>IFERROR(__xludf.DUMMYFUNCTION("""COMPUTED_VALUE"""),"Caldbeck")</f>
        <v>Caldbeck</v>
      </c>
      <c r="G2532" s="6" t="str">
        <f>IFERROR(__xludf.DUMMYFUNCTION("""COMPUTED_VALUE"""),"04/27/2015")</f>
        <v>04/27/2015</v>
      </c>
      <c r="H2532" s="6" t="str">
        <f>IFERROR(__xludf.DUMMYFUNCTION("""COMPUTED_VALUE"""),"female")</f>
        <v>female</v>
      </c>
      <c r="I2532" s="6" t="str">
        <f>IFERROR(__xludf.DUMMYFUNCTION("""COMPUTED_VALUE"""),"Level 2")</f>
        <v>Level 2</v>
      </c>
      <c r="J2532" s="6" t="str">
        <f>IFERROR(__xludf.DUMMYFUNCTION("""COMPUTED_VALUE"""),"4")</f>
        <v>4</v>
      </c>
      <c r="K2532" s="6" t="str">
        <f>IFERROR(__xludf.DUMMYFUNCTION("""COMPUTED_VALUE"""),"mckayla.caldbeck@alpha.school")</f>
        <v>mckayla.caldbeck@alpha.school</v>
      </c>
      <c r="L2532" s="6" t="str">
        <f>IFERROR(__xludf.DUMMYFUNCTION("""COMPUTED_VALUE"""),"Alpha School San Francisco")</f>
        <v>Alpha School San Francisco</v>
      </c>
      <c r="M2532" s="6" t="str">
        <f>IFERROR(__xludf.DUMMYFUNCTION("""COMPUTED_VALUE"""),"")</f>
        <v/>
      </c>
      <c r="N2532" s="6" t="str">
        <f>IFERROR(__xludf.DUMMYFUNCTION("""COMPUTED_VALUE"""),"")</f>
        <v/>
      </c>
      <c r="O2532" s="87" t="str">
        <f>IFERROR(__xludf.DUMMYFUNCTION("""COMPUTED_VALUE"""),"https://drive.google.com/drive/folders/10T2cTQHqEJZqE-st6uFKPoI?usp=share_link")</f>
        <v>https://drive.google.com/drive/folders/10T2cTQHqEJZqE-st6uFKPoI?usp=share_link</v>
      </c>
      <c r="P2532" s="6" t="str">
        <f>IFERROR(__xludf.DUMMYFUNCTION("""COMPUTED_VALUE"""),"McKayla Caldbeck")</f>
        <v>McKayla Caldbeck</v>
      </c>
      <c r="Q2532" s="6" t="str">
        <f>IFERROR(__xludf.DUMMYFUNCTION("""COMPUTED_VALUE"""),"L2")</f>
        <v>L2</v>
      </c>
      <c r="R2532" s="6">
        <f>IFERROR(__xludf.DUMMYFUNCTION("""COMPUTED_VALUE"""),2.0)</f>
        <v>2</v>
      </c>
      <c r="S2532" s="6" t="str">
        <f>IFERROR(__xludf.DUMMYFUNCTION("""COMPUTED_VALUE"""),"Jason Tan")</f>
        <v>Jason Tan</v>
      </c>
      <c r="T2532" s="6" t="str">
        <f>IFERROR(__xludf.DUMMYFUNCTION("""COMPUTED_VALUE"""),"jason.tan@alpha.school")</f>
        <v>jason.tan@alpha.school</v>
      </c>
      <c r="U2532" s="6" t="str">
        <f>IFERROR(__xludf.DUMMYFUNCTION("""COMPUTED_VALUE"""),"4")</f>
        <v>4</v>
      </c>
      <c r="V2532" s="6" t="str">
        <f>IFERROR(__xludf.DUMMYFUNCTION("""COMPUTED_VALUE"""),"")</f>
        <v/>
      </c>
      <c r="W2532" s="6" t="str">
        <f>IFERROR(__xludf.DUMMYFUNCTION("""COMPUTED_VALUE"""),"[]")</f>
        <v>[]</v>
      </c>
      <c r="X2532" s="6" t="str">
        <f>IFERROR(__xludf.DUMMYFUNCTION("""COMPUTED_VALUE"""),"Enrolled")</f>
        <v>Enrolled</v>
      </c>
    </row>
    <row r="2533">
      <c r="A2533" s="6" t="str">
        <f>IFERROR(__xludf.DUMMYFUNCTION("""COMPUTED_VALUE"""),"050-4223")</f>
        <v>050-4223</v>
      </c>
      <c r="B2533" s="6" t="str">
        <f>IFERROR(__xludf.DUMMYFUNCTION("""COMPUTED_VALUE"""),"50")</f>
        <v>50</v>
      </c>
      <c r="C2533" s="6" t="str">
        <f>IFERROR(__xludf.DUMMYFUNCTION("""COMPUTED_VALUE"""),"4223")</f>
        <v>4223</v>
      </c>
      <c r="D2533" s="6" t="str">
        <f>IFERROR(__xludf.DUMMYFUNCTION("""COMPUTED_VALUE"""),"Ace")</f>
        <v>Ace</v>
      </c>
      <c r="E2533" s="6" t="str">
        <f>IFERROR(__xludf.DUMMYFUNCTION("""COMPUTED_VALUE"""),"")</f>
        <v/>
      </c>
      <c r="F2533" s="6" t="str">
        <f>IFERROR(__xludf.DUMMYFUNCTION("""COMPUTED_VALUE"""),"Weir")</f>
        <v>Weir</v>
      </c>
      <c r="G2533" s="6" t="str">
        <f>IFERROR(__xludf.DUMMYFUNCTION("""COMPUTED_VALUE"""),"01/25/2020")</f>
        <v>01/25/2020</v>
      </c>
      <c r="H2533" s="6" t="str">
        <f>IFERROR(__xludf.DUMMYFUNCTION("""COMPUTED_VALUE"""),"male")</f>
        <v>male</v>
      </c>
      <c r="I2533" s="6" t="str">
        <f>IFERROR(__xludf.DUMMYFUNCTION("""COMPUTED_VALUE"""),"Learning Lab")</f>
        <v>Learning Lab</v>
      </c>
      <c r="J2533" s="6" t="str">
        <f>IFERROR(__xludf.DUMMYFUNCTION("""COMPUTED_VALUE"""),"K")</f>
        <v>K</v>
      </c>
      <c r="K2533" s="6" t="str">
        <f>IFERROR(__xludf.DUMMYFUNCTION("""COMPUTED_VALUE"""),"ace.weir@alpha.school")</f>
        <v>ace.weir@alpha.school</v>
      </c>
      <c r="L2533" s="6" t="str">
        <f>IFERROR(__xludf.DUMMYFUNCTION("""COMPUTED_VALUE"""),"Alpha School San Francisco")</f>
        <v>Alpha School San Francisco</v>
      </c>
      <c r="M2533" s="6" t="str">
        <f>IFERROR(__xludf.DUMMYFUNCTION("""COMPUTED_VALUE"""),"")</f>
        <v/>
      </c>
      <c r="N2533" s="6" t="str">
        <f>IFERROR(__xludf.DUMMYFUNCTION("""COMPUTED_VALUE"""),"")</f>
        <v/>
      </c>
      <c r="O2533" s="87" t="str">
        <f>IFERROR(__xludf.DUMMYFUNCTION("""COMPUTED_VALUE"""),"https://drive.google.com/drive/folders/10T2cTQHqEJZqE-st6uFKPoI?usp=share_link")</f>
        <v>https://drive.google.com/drive/folders/10T2cTQHqEJZqE-st6uFKPoI?usp=share_link</v>
      </c>
      <c r="P2533" s="6" t="str">
        <f>IFERROR(__xludf.DUMMYFUNCTION("""COMPUTED_VALUE"""),"Ace Weir")</f>
        <v>Ace Weir</v>
      </c>
      <c r="Q2533" s="6" t="str">
        <f>IFERROR(__xludf.DUMMYFUNCTION("""COMPUTED_VALUE"""),"LL")</f>
        <v>LL</v>
      </c>
      <c r="R2533" s="6">
        <f>IFERROR(__xludf.DUMMYFUNCTION("""COMPUTED_VALUE"""),0.0)</f>
        <v>0</v>
      </c>
      <c r="S2533" s="6" t="str">
        <f>IFERROR(__xludf.DUMMYFUNCTION("""COMPUTED_VALUE"""),"Ree Yeakley")</f>
        <v>Ree Yeakley</v>
      </c>
      <c r="T2533" s="6" t="str">
        <f>IFERROR(__xludf.DUMMYFUNCTION("""COMPUTED_VALUE"""),"capri.yeakley@alpha.school")</f>
        <v>capri.yeakley@alpha.school</v>
      </c>
      <c r="U2533" s="6" t="str">
        <f>IFERROR(__xludf.DUMMYFUNCTION("""COMPUTED_VALUE"""),"K")</f>
        <v>K</v>
      </c>
      <c r="V2533" s="6" t="str">
        <f>IFERROR(__xludf.DUMMYFUNCTION("""COMPUTED_VALUE"""),"")</f>
        <v/>
      </c>
      <c r="W2533" s="6" t="str">
        <f>IFERROR(__xludf.DUMMYFUNCTION("""COMPUTED_VALUE"""),"[]")</f>
        <v>[]</v>
      </c>
      <c r="X2533" s="6" t="str">
        <f>IFERROR(__xludf.DUMMYFUNCTION("""COMPUTED_VALUE"""),"Enrolled")</f>
        <v>Enrolled</v>
      </c>
    </row>
    <row r="2534">
      <c r="A2534" s="6" t="str">
        <f>IFERROR(__xludf.DUMMYFUNCTION("""COMPUTED_VALUE"""),"050-4629")</f>
        <v>050-4629</v>
      </c>
      <c r="B2534" s="6" t="str">
        <f>IFERROR(__xludf.DUMMYFUNCTION("""COMPUTED_VALUE"""),"50")</f>
        <v>50</v>
      </c>
      <c r="C2534" s="6" t="str">
        <f>IFERROR(__xludf.DUMMYFUNCTION("""COMPUTED_VALUE"""),"4629")</f>
        <v>4629</v>
      </c>
      <c r="D2534" s="6" t="str">
        <f>IFERROR(__xludf.DUMMYFUNCTION("""COMPUTED_VALUE"""),"Aila")</f>
        <v>Aila</v>
      </c>
      <c r="E2534" s="6" t="str">
        <f>IFERROR(__xludf.DUMMYFUNCTION("""COMPUTED_VALUE"""),"")</f>
        <v/>
      </c>
      <c r="F2534" s="6" t="str">
        <f>IFERROR(__xludf.DUMMYFUNCTION("""COMPUTED_VALUE"""),"Wong")</f>
        <v>Wong</v>
      </c>
      <c r="G2534" s="6" t="str">
        <f>IFERROR(__xludf.DUMMYFUNCTION("""COMPUTED_VALUE"""),"11/21/2012")</f>
        <v>11/21/2012</v>
      </c>
      <c r="H2534" s="6" t="str">
        <f>IFERROR(__xludf.DUMMYFUNCTION("""COMPUTED_VALUE"""),"female")</f>
        <v>female</v>
      </c>
      <c r="I2534" s="6" t="str">
        <f>IFERROR(__xludf.DUMMYFUNCTION("""COMPUTED_VALUE"""),"Middle School")</f>
        <v>Middle School</v>
      </c>
      <c r="J2534" s="6" t="str">
        <f>IFERROR(__xludf.DUMMYFUNCTION("""COMPUTED_VALUE"""),"7")</f>
        <v>7</v>
      </c>
      <c r="K2534" s="6" t="str">
        <f>IFERROR(__xludf.DUMMYFUNCTION("""COMPUTED_VALUE"""),"aila.wong@alpha.school")</f>
        <v>aila.wong@alpha.school</v>
      </c>
      <c r="L2534" s="6" t="str">
        <f>IFERROR(__xludf.DUMMYFUNCTION("""COMPUTED_VALUE"""),"Alpha School San Francisco")</f>
        <v>Alpha School San Francisco</v>
      </c>
      <c r="M2534" s="6" t="str">
        <f>IFERROR(__xludf.DUMMYFUNCTION("""COMPUTED_VALUE"""),"")</f>
        <v/>
      </c>
      <c r="N2534" s="6" t="str">
        <f>IFERROR(__xludf.DUMMYFUNCTION("""COMPUTED_VALUE"""),"")</f>
        <v/>
      </c>
      <c r="O2534" s="87" t="str">
        <f>IFERROR(__xludf.DUMMYFUNCTION("""COMPUTED_VALUE"""),"https://drive.google.com/drive/folders/10T2cTQHqEJZqE-st6uFKPoI?usp=share_link")</f>
        <v>https://drive.google.com/drive/folders/10T2cTQHqEJZqE-st6uFKPoI?usp=share_link</v>
      </c>
      <c r="P2534" s="6" t="str">
        <f>IFERROR(__xludf.DUMMYFUNCTION("""COMPUTED_VALUE"""),"Aila Wong")</f>
        <v>Aila Wong</v>
      </c>
      <c r="Q2534" s="6" t="str">
        <f>IFERROR(__xludf.DUMMYFUNCTION("""COMPUTED_VALUE"""),"MS")</f>
        <v>MS</v>
      </c>
      <c r="R2534" s="6">
        <f>IFERROR(__xludf.DUMMYFUNCTION("""COMPUTED_VALUE"""),0.0)</f>
        <v>0</v>
      </c>
      <c r="S2534" s="6" t="str">
        <f>IFERROR(__xludf.DUMMYFUNCTION("""COMPUTED_VALUE"""),"Jackson Newton")</f>
        <v>Jackson Newton</v>
      </c>
      <c r="T2534" s="6" t="str">
        <f>IFERROR(__xludf.DUMMYFUNCTION("""COMPUTED_VALUE"""),"jackson.newton@alpha.school")</f>
        <v>jackson.newton@alpha.school</v>
      </c>
      <c r="U2534" s="6" t="str">
        <f>IFERROR(__xludf.DUMMYFUNCTION("""COMPUTED_VALUE"""),"7")</f>
        <v>7</v>
      </c>
      <c r="V2534" s="6" t="str">
        <f>IFERROR(__xludf.DUMMYFUNCTION("""COMPUTED_VALUE"""),"")</f>
        <v/>
      </c>
      <c r="W2534" s="6" t="str">
        <f>IFERROR(__xludf.DUMMYFUNCTION("""COMPUTED_VALUE"""),"[]")</f>
        <v>[]</v>
      </c>
      <c r="X2534" s="6" t="str">
        <f>IFERROR(__xludf.DUMMYFUNCTION("""COMPUTED_VALUE"""),"Enrolled")</f>
        <v>Enrolled</v>
      </c>
    </row>
    <row r="2535">
      <c r="A2535" s="6" t="str">
        <f>IFERROR(__xludf.DUMMYFUNCTION("""COMPUTED_VALUE"""),"050-4719")</f>
        <v>050-4719</v>
      </c>
      <c r="B2535" s="6" t="str">
        <f>IFERROR(__xludf.DUMMYFUNCTION("""COMPUTED_VALUE"""),"50")</f>
        <v>50</v>
      </c>
      <c r="C2535" s="6" t="str">
        <f>IFERROR(__xludf.DUMMYFUNCTION("""COMPUTED_VALUE"""),"4719")</f>
        <v>4719</v>
      </c>
      <c r="D2535" s="6" t="str">
        <f>IFERROR(__xludf.DUMMYFUNCTION("""COMPUTED_VALUE"""),"Aidan")</f>
        <v>Aidan</v>
      </c>
      <c r="E2535" s="6" t="str">
        <f>IFERROR(__xludf.DUMMYFUNCTION("""COMPUTED_VALUE"""),"Aidan")</f>
        <v>Aidan</v>
      </c>
      <c r="F2535" s="6" t="str">
        <f>IFERROR(__xludf.DUMMYFUNCTION("""COMPUTED_VALUE"""),"Wong")</f>
        <v>Wong</v>
      </c>
      <c r="G2535" s="6" t="str">
        <f>IFERROR(__xludf.DUMMYFUNCTION("""COMPUTED_VALUE"""),"06/05/2008")</f>
        <v>06/05/2008</v>
      </c>
      <c r="H2535" s="6" t="str">
        <f>IFERROR(__xludf.DUMMYFUNCTION("""COMPUTED_VALUE"""),"male")</f>
        <v>male</v>
      </c>
      <c r="I2535" s="6" t="str">
        <f>IFERROR(__xludf.DUMMYFUNCTION("""COMPUTED_VALUE"""),"High School")</f>
        <v>High School</v>
      </c>
      <c r="J2535" s="6" t="str">
        <f>IFERROR(__xludf.DUMMYFUNCTION("""COMPUTED_VALUE"""),"11")</f>
        <v>11</v>
      </c>
      <c r="K2535" s="6" t="str">
        <f>IFERROR(__xludf.DUMMYFUNCTION("""COMPUTED_VALUE"""),"aidan.wong@alpha.school")</f>
        <v>aidan.wong@alpha.school</v>
      </c>
      <c r="L2535" s="6" t="str">
        <f>IFERROR(__xludf.DUMMYFUNCTION("""COMPUTED_VALUE"""),"Alpha School San Francisco")</f>
        <v>Alpha School San Francisco</v>
      </c>
      <c r="M2535" s="6" t="str">
        <f>IFERROR(__xludf.DUMMYFUNCTION("""COMPUTED_VALUE"""),"")</f>
        <v/>
      </c>
      <c r="N2535" s="6" t="str">
        <f>IFERROR(__xludf.DUMMYFUNCTION("""COMPUTED_VALUE"""),"")</f>
        <v/>
      </c>
      <c r="O2535" s="87" t="str">
        <f>IFERROR(__xludf.DUMMYFUNCTION("""COMPUTED_VALUE"""),"https://drive.google.com/drive/folders/10T2cTQHqEJZqE-st6uFKPoI?usp=share_link")</f>
        <v>https://drive.google.com/drive/folders/10T2cTQHqEJZqE-st6uFKPoI?usp=share_link</v>
      </c>
      <c r="P2535" s="6" t="str">
        <f>IFERROR(__xludf.DUMMYFUNCTION("""COMPUTED_VALUE"""),"Aidan Wong")</f>
        <v>Aidan Wong</v>
      </c>
      <c r="Q2535" s="6" t="str">
        <f>IFERROR(__xludf.DUMMYFUNCTION("""COMPUTED_VALUE"""),"HS")</f>
        <v>HS</v>
      </c>
      <c r="R2535" s="6">
        <f>IFERROR(__xludf.DUMMYFUNCTION("""COMPUTED_VALUE"""),0.0)</f>
        <v>0</v>
      </c>
      <c r="S2535" s="6" t="str">
        <f>IFERROR(__xludf.DUMMYFUNCTION("""COMPUTED_VALUE"""),"Jackson Newton")</f>
        <v>Jackson Newton</v>
      </c>
      <c r="T2535" s="6" t="str">
        <f>IFERROR(__xludf.DUMMYFUNCTION("""COMPUTED_VALUE"""),"jackson.newton@alpha.school")</f>
        <v>jackson.newton@alpha.school</v>
      </c>
      <c r="U2535" s="6" t="str">
        <f>IFERROR(__xludf.DUMMYFUNCTION("""COMPUTED_VALUE"""),"11")</f>
        <v>11</v>
      </c>
      <c r="V2535" s="6" t="str">
        <f>IFERROR(__xludf.DUMMYFUNCTION("""COMPUTED_VALUE"""),"")</f>
        <v/>
      </c>
      <c r="W2535" s="6" t="str">
        <f>IFERROR(__xludf.DUMMYFUNCTION("""COMPUTED_VALUE"""),"[]")</f>
        <v>[]</v>
      </c>
      <c r="X2535" s="6" t="str">
        <f>IFERROR(__xludf.DUMMYFUNCTION("""COMPUTED_VALUE"""),"Enrolled")</f>
        <v>Enrolled</v>
      </c>
    </row>
    <row r="2536">
      <c r="A2536" s="6" t="str">
        <f>IFERROR(__xludf.DUMMYFUNCTION("""COMPUTED_VALUE"""),"050-4750")</f>
        <v>050-4750</v>
      </c>
      <c r="B2536" s="6" t="str">
        <f>IFERROR(__xludf.DUMMYFUNCTION("""COMPUTED_VALUE"""),"50")</f>
        <v>50</v>
      </c>
      <c r="C2536" s="6" t="str">
        <f>IFERROR(__xludf.DUMMYFUNCTION("""COMPUTED_VALUE"""),"4750")</f>
        <v>4750</v>
      </c>
      <c r="D2536" s="6" t="str">
        <f>IFERROR(__xludf.DUMMYFUNCTION("""COMPUTED_VALUE"""),"Leo")</f>
        <v>Leo</v>
      </c>
      <c r="E2536" s="6" t="str">
        <f>IFERROR(__xludf.DUMMYFUNCTION("""COMPUTED_VALUE"""),"Leo")</f>
        <v>Leo</v>
      </c>
      <c r="F2536" s="6" t="str">
        <f>IFERROR(__xludf.DUMMYFUNCTION("""COMPUTED_VALUE"""),"Clark")</f>
        <v>Clark</v>
      </c>
      <c r="G2536" s="6" t="str">
        <f>IFERROR(__xludf.DUMMYFUNCTION("""COMPUTED_VALUE"""),"02/04/2019")</f>
        <v>02/04/2019</v>
      </c>
      <c r="H2536" s="6" t="str">
        <f>IFERROR(__xludf.DUMMYFUNCTION("""COMPUTED_VALUE"""),"male")</f>
        <v>male</v>
      </c>
      <c r="I2536" s="6" t="str">
        <f>IFERROR(__xludf.DUMMYFUNCTION("""COMPUTED_VALUE"""),"Learning Lab")</f>
        <v>Learning Lab</v>
      </c>
      <c r="J2536" s="6" t="str">
        <f>IFERROR(__xludf.DUMMYFUNCTION("""COMPUTED_VALUE"""),"1")</f>
        <v>1</v>
      </c>
      <c r="K2536" s="6" t="str">
        <f>IFERROR(__xludf.DUMMYFUNCTION("""COMPUTED_VALUE"""),"leo.clark@alpha.school")</f>
        <v>leo.clark@alpha.school</v>
      </c>
      <c r="L2536" s="6" t="str">
        <f>IFERROR(__xludf.DUMMYFUNCTION("""COMPUTED_VALUE"""),"Alpha School San Francisco")</f>
        <v>Alpha School San Francisco</v>
      </c>
      <c r="M2536" s="6" t="str">
        <f>IFERROR(__xludf.DUMMYFUNCTION("""COMPUTED_VALUE"""),"")</f>
        <v/>
      </c>
      <c r="N2536" s="6" t="str">
        <f>IFERROR(__xludf.DUMMYFUNCTION("""COMPUTED_VALUE"""),"")</f>
        <v/>
      </c>
      <c r="O2536" s="87" t="str">
        <f>IFERROR(__xludf.DUMMYFUNCTION("""COMPUTED_VALUE"""),"https://drive.google.com/drive/folders/10T2cTQHqEJZqE-st6uFKPoI?usp=share_link")</f>
        <v>https://drive.google.com/drive/folders/10T2cTQHqEJZqE-st6uFKPoI?usp=share_link</v>
      </c>
      <c r="P2536" s="6" t="str">
        <f>IFERROR(__xludf.DUMMYFUNCTION("""COMPUTED_VALUE"""),"Leo Clark")</f>
        <v>Leo Clark</v>
      </c>
      <c r="Q2536" s="6" t="str">
        <f>IFERROR(__xludf.DUMMYFUNCTION("""COMPUTED_VALUE"""),"LL")</f>
        <v>LL</v>
      </c>
      <c r="R2536" s="6">
        <f>IFERROR(__xludf.DUMMYFUNCTION("""COMPUTED_VALUE"""),0.0)</f>
        <v>0</v>
      </c>
      <c r="S2536" s="6" t="str">
        <f>IFERROR(__xludf.DUMMYFUNCTION("""COMPUTED_VALUE"""),"Ree Yeakley")</f>
        <v>Ree Yeakley</v>
      </c>
      <c r="T2536" s="6" t="str">
        <f>IFERROR(__xludf.DUMMYFUNCTION("""COMPUTED_VALUE"""),"capri.yeakley@alpha.school")</f>
        <v>capri.yeakley@alpha.school</v>
      </c>
      <c r="U2536" s="6" t="str">
        <f>IFERROR(__xludf.DUMMYFUNCTION("""COMPUTED_VALUE"""),"1")</f>
        <v>1</v>
      </c>
      <c r="V2536" s="6" t="str">
        <f>IFERROR(__xludf.DUMMYFUNCTION("""COMPUTED_VALUE"""),"")</f>
        <v/>
      </c>
      <c r="W2536" s="6" t="str">
        <f>IFERROR(__xludf.DUMMYFUNCTION("""COMPUTED_VALUE"""),"[]")</f>
        <v>[]</v>
      </c>
      <c r="X2536" s="6" t="str">
        <f>IFERROR(__xludf.DUMMYFUNCTION("""COMPUTED_VALUE"""),"Enrolled")</f>
        <v>Enrolled</v>
      </c>
    </row>
    <row r="2537">
      <c r="A2537" s="6" t="str">
        <f>IFERROR(__xludf.DUMMYFUNCTION("""COMPUTED_VALUE"""),"050-4920")</f>
        <v>050-4920</v>
      </c>
      <c r="B2537" s="6" t="str">
        <f>IFERROR(__xludf.DUMMYFUNCTION("""COMPUTED_VALUE"""),"50")</f>
        <v>50</v>
      </c>
      <c r="C2537" s="6" t="str">
        <f>IFERROR(__xludf.DUMMYFUNCTION("""COMPUTED_VALUE"""),"4920")</f>
        <v>4920</v>
      </c>
      <c r="D2537" s="6" t="str">
        <f>IFERROR(__xludf.DUMMYFUNCTION("""COMPUTED_VALUE"""),"Emil")</f>
        <v>Emil</v>
      </c>
      <c r="E2537" s="6" t="str">
        <f>IFERROR(__xludf.DUMMYFUNCTION("""COMPUTED_VALUE"""),"Emil")</f>
        <v>Emil</v>
      </c>
      <c r="F2537" s="6" t="str">
        <f>IFERROR(__xludf.DUMMYFUNCTION("""COMPUTED_VALUE"""),"Welinder")</f>
        <v>Welinder</v>
      </c>
      <c r="G2537" s="6" t="str">
        <f>IFERROR(__xludf.DUMMYFUNCTION("""COMPUTED_VALUE"""),"10/14/2016")</f>
        <v>10/14/2016</v>
      </c>
      <c r="H2537" s="6" t="str">
        <f>IFERROR(__xludf.DUMMYFUNCTION("""COMPUTED_VALUE"""),"male")</f>
        <v>male</v>
      </c>
      <c r="I2537" s="6" t="str">
        <f>IFERROR(__xludf.DUMMYFUNCTION("""COMPUTED_VALUE"""),"Level 1")</f>
        <v>Level 1</v>
      </c>
      <c r="J2537" s="6" t="str">
        <f>IFERROR(__xludf.DUMMYFUNCTION("""COMPUTED_VALUE"""),"3")</f>
        <v>3</v>
      </c>
      <c r="K2537" s="6" t="str">
        <f>IFERROR(__xludf.DUMMYFUNCTION("""COMPUTED_VALUE"""),"emil.welinder@alpha.school")</f>
        <v>emil.welinder@alpha.school</v>
      </c>
      <c r="L2537" s="6" t="str">
        <f>IFERROR(__xludf.DUMMYFUNCTION("""COMPUTED_VALUE"""),"Alpha School San Francisco")</f>
        <v>Alpha School San Francisco</v>
      </c>
      <c r="M2537" s="6" t="str">
        <f>IFERROR(__xludf.DUMMYFUNCTION("""COMPUTED_VALUE"""),"")</f>
        <v/>
      </c>
      <c r="N2537" s="6" t="str">
        <f>IFERROR(__xludf.DUMMYFUNCTION("""COMPUTED_VALUE"""),"")</f>
        <v/>
      </c>
      <c r="O2537" s="87" t="str">
        <f>IFERROR(__xludf.DUMMYFUNCTION("""COMPUTED_VALUE"""),"https://drive.google.com/drive/folders/10T2cTQHqEJZqE-st6uFKPoI?usp=share_link")</f>
        <v>https://drive.google.com/drive/folders/10T2cTQHqEJZqE-st6uFKPoI?usp=share_link</v>
      </c>
      <c r="P2537" s="6" t="str">
        <f>IFERROR(__xludf.DUMMYFUNCTION("""COMPUTED_VALUE"""),"Emil Welinder")</f>
        <v>Emil Welinder</v>
      </c>
      <c r="Q2537" s="6" t="str">
        <f>IFERROR(__xludf.DUMMYFUNCTION("""COMPUTED_VALUE"""),"L1")</f>
        <v>L1</v>
      </c>
      <c r="R2537" s="6">
        <f>IFERROR(__xludf.DUMMYFUNCTION("""COMPUTED_VALUE"""),1.0)</f>
        <v>1</v>
      </c>
      <c r="S2537" s="6" t="str">
        <f>IFERROR(__xludf.DUMMYFUNCTION("""COMPUTED_VALUE"""),"Jason Tan")</f>
        <v>Jason Tan</v>
      </c>
      <c r="T2537" s="6" t="str">
        <f>IFERROR(__xludf.DUMMYFUNCTION("""COMPUTED_VALUE"""),"jason.tan@alpha.school")</f>
        <v>jason.tan@alpha.school</v>
      </c>
      <c r="U2537" s="6" t="str">
        <f>IFERROR(__xludf.DUMMYFUNCTION("""COMPUTED_VALUE"""),"3")</f>
        <v>3</v>
      </c>
      <c r="V2537" s="6" t="str">
        <f>IFERROR(__xludf.DUMMYFUNCTION("""COMPUTED_VALUE"""),"")</f>
        <v/>
      </c>
      <c r="W2537" s="6" t="str">
        <f>IFERROR(__xludf.DUMMYFUNCTION("""COMPUTED_VALUE"""),"[]")</f>
        <v>[]</v>
      </c>
      <c r="X2537" s="6" t="str">
        <f>IFERROR(__xludf.DUMMYFUNCTION("""COMPUTED_VALUE"""),"Enrolled")</f>
        <v>Enrolled</v>
      </c>
    </row>
    <row r="2538">
      <c r="A2538" s="6" t="str">
        <f>IFERROR(__xludf.DUMMYFUNCTION("""COMPUTED_VALUE"""),"050-5247")</f>
        <v>050-5247</v>
      </c>
      <c r="B2538" s="6" t="str">
        <f>IFERROR(__xludf.DUMMYFUNCTION("""COMPUTED_VALUE"""),"50")</f>
        <v>50</v>
      </c>
      <c r="C2538" s="6" t="str">
        <f>IFERROR(__xludf.DUMMYFUNCTION("""COMPUTED_VALUE"""),"5247")</f>
        <v>5247</v>
      </c>
      <c r="D2538" s="6" t="str">
        <f>IFERROR(__xludf.DUMMYFUNCTION("""COMPUTED_VALUE"""),"June")</f>
        <v>June</v>
      </c>
      <c r="E2538" s="6" t="str">
        <f>IFERROR(__xludf.DUMMYFUNCTION("""COMPUTED_VALUE"""),"June")</f>
        <v>June</v>
      </c>
      <c r="F2538" s="6" t="str">
        <f>IFERROR(__xludf.DUMMYFUNCTION("""COMPUTED_VALUE"""),"Rockefeller")</f>
        <v>Rockefeller</v>
      </c>
      <c r="G2538" s="6" t="str">
        <f>IFERROR(__xludf.DUMMYFUNCTION("""COMPUTED_VALUE"""),"11/25/2011")</f>
        <v>11/25/2011</v>
      </c>
      <c r="H2538" s="6" t="str">
        <f>IFERROR(__xludf.DUMMYFUNCTION("""COMPUTED_VALUE"""),"female")</f>
        <v>female</v>
      </c>
      <c r="I2538" s="6" t="str">
        <f>IFERROR(__xludf.DUMMYFUNCTION("""COMPUTED_VALUE"""),"Middle School")</f>
        <v>Middle School</v>
      </c>
      <c r="J2538" s="6" t="str">
        <f>IFERROR(__xludf.DUMMYFUNCTION("""COMPUTED_VALUE"""),"8")</f>
        <v>8</v>
      </c>
      <c r="K2538" s="6" t="str">
        <f>IFERROR(__xludf.DUMMYFUNCTION("""COMPUTED_VALUE"""),"june.rockefeller@alpha.school")</f>
        <v>june.rockefeller@alpha.school</v>
      </c>
      <c r="L2538" s="6" t="str">
        <f>IFERROR(__xludf.DUMMYFUNCTION("""COMPUTED_VALUE"""),"Alpha School San Francisco")</f>
        <v>Alpha School San Francisco</v>
      </c>
      <c r="M2538" s="6" t="str">
        <f>IFERROR(__xludf.DUMMYFUNCTION("""COMPUTED_VALUE"""),"")</f>
        <v/>
      </c>
      <c r="N2538" s="6" t="str">
        <f>IFERROR(__xludf.DUMMYFUNCTION("""COMPUTED_VALUE"""),"")</f>
        <v/>
      </c>
      <c r="O2538" s="87" t="str">
        <f>IFERROR(__xludf.DUMMYFUNCTION("""COMPUTED_VALUE"""),"https://drive.google.com/drive/folders/10T2cTQHqEJZqE-st6uFKPoI?usp=share_link")</f>
        <v>https://drive.google.com/drive/folders/10T2cTQHqEJZqE-st6uFKPoI?usp=share_link</v>
      </c>
      <c r="P2538" s="6" t="str">
        <f>IFERROR(__xludf.DUMMYFUNCTION("""COMPUTED_VALUE"""),"June Rockefeller")</f>
        <v>June Rockefeller</v>
      </c>
      <c r="Q2538" s="6" t="str">
        <f>IFERROR(__xludf.DUMMYFUNCTION("""COMPUTED_VALUE"""),"MS")</f>
        <v>MS</v>
      </c>
      <c r="R2538" s="6">
        <f>IFERROR(__xludf.DUMMYFUNCTION("""COMPUTED_VALUE"""),0.0)</f>
        <v>0</v>
      </c>
      <c r="S2538" s="6" t="str">
        <f>IFERROR(__xludf.DUMMYFUNCTION("""COMPUTED_VALUE"""),"Jackson Newton")</f>
        <v>Jackson Newton</v>
      </c>
      <c r="T2538" s="6" t="str">
        <f>IFERROR(__xludf.DUMMYFUNCTION("""COMPUTED_VALUE"""),"jackson.newton@alpha.school")</f>
        <v>jackson.newton@alpha.school</v>
      </c>
      <c r="U2538" s="6" t="str">
        <f>IFERROR(__xludf.DUMMYFUNCTION("""COMPUTED_VALUE"""),"8")</f>
        <v>8</v>
      </c>
      <c r="V2538" s="6" t="str">
        <f>IFERROR(__xludf.DUMMYFUNCTION("""COMPUTED_VALUE"""),"")</f>
        <v/>
      </c>
      <c r="W2538" s="6" t="str">
        <f>IFERROR(__xludf.DUMMYFUNCTION("""COMPUTED_VALUE"""),"[]")</f>
        <v>[]</v>
      </c>
      <c r="X2538" s="6" t="str">
        <f>IFERROR(__xludf.DUMMYFUNCTION("""COMPUTED_VALUE"""),"Enrolled")</f>
        <v>Enrolled</v>
      </c>
    </row>
    <row r="2539">
      <c r="A2539" s="6" t="str">
        <f>IFERROR(__xludf.DUMMYFUNCTION("""COMPUTED_VALUE"""),"050-6923")</f>
        <v>050-6923</v>
      </c>
      <c r="B2539" s="6" t="str">
        <f>IFERROR(__xludf.DUMMYFUNCTION("""COMPUTED_VALUE"""),"50")</f>
        <v>50</v>
      </c>
      <c r="C2539" s="6" t="str">
        <f>IFERROR(__xludf.DUMMYFUNCTION("""COMPUTED_VALUE"""),"6923")</f>
        <v>6923</v>
      </c>
      <c r="D2539" s="6" t="str">
        <f>IFERROR(__xludf.DUMMYFUNCTION("""COMPUTED_VALUE"""),"Ben")</f>
        <v>Ben</v>
      </c>
      <c r="E2539" s="6" t="str">
        <f>IFERROR(__xludf.DUMMYFUNCTION("""COMPUTED_VALUE"""),"")</f>
        <v/>
      </c>
      <c r="F2539" s="6" t="str">
        <f>IFERROR(__xludf.DUMMYFUNCTION("""COMPUTED_VALUE"""),"Tierney")</f>
        <v>Tierney</v>
      </c>
      <c r="G2539" s="6" t="str">
        <f>IFERROR(__xludf.DUMMYFUNCTION("""COMPUTED_VALUE"""),"02/26/2012")</f>
        <v>02/26/2012</v>
      </c>
      <c r="H2539" s="6" t="str">
        <f>IFERROR(__xludf.DUMMYFUNCTION("""COMPUTED_VALUE"""),"male")</f>
        <v>male</v>
      </c>
      <c r="I2539" s="6" t="str">
        <f>IFERROR(__xludf.DUMMYFUNCTION("""COMPUTED_VALUE"""),"Middle School")</f>
        <v>Middle School</v>
      </c>
      <c r="J2539" s="6" t="str">
        <f>IFERROR(__xludf.DUMMYFUNCTION("""COMPUTED_VALUE"""),"8")</f>
        <v>8</v>
      </c>
      <c r="K2539" s="6" t="str">
        <f>IFERROR(__xludf.DUMMYFUNCTION("""COMPUTED_VALUE"""),"ben.tierney@alpha.school")</f>
        <v>ben.tierney@alpha.school</v>
      </c>
      <c r="L2539" s="6" t="str">
        <f>IFERROR(__xludf.DUMMYFUNCTION("""COMPUTED_VALUE"""),"Alpha School San Francisco")</f>
        <v>Alpha School San Francisco</v>
      </c>
      <c r="M2539" s="6" t="str">
        <f>IFERROR(__xludf.DUMMYFUNCTION("""COMPUTED_VALUE"""),"")</f>
        <v/>
      </c>
      <c r="N2539" s="6" t="str">
        <f>IFERROR(__xludf.DUMMYFUNCTION("""COMPUTED_VALUE"""),"")</f>
        <v/>
      </c>
      <c r="O2539" s="87" t="str">
        <f>IFERROR(__xludf.DUMMYFUNCTION("""COMPUTED_VALUE"""),"https://drive.google.com/drive/folders/10T2cTQHqEJZqE-st6uFKPoI?usp=share_link")</f>
        <v>https://drive.google.com/drive/folders/10T2cTQHqEJZqE-st6uFKPoI?usp=share_link</v>
      </c>
      <c r="P2539" s="6" t="str">
        <f>IFERROR(__xludf.DUMMYFUNCTION("""COMPUTED_VALUE"""),"Ben Tierney")</f>
        <v>Ben Tierney</v>
      </c>
      <c r="Q2539" s="6" t="str">
        <f>IFERROR(__xludf.DUMMYFUNCTION("""COMPUTED_VALUE"""),"MS")</f>
        <v>MS</v>
      </c>
      <c r="R2539" s="6">
        <f>IFERROR(__xludf.DUMMYFUNCTION("""COMPUTED_VALUE"""),0.0)</f>
        <v>0</v>
      </c>
      <c r="S2539" s="6" t="str">
        <f>IFERROR(__xludf.DUMMYFUNCTION("""COMPUTED_VALUE"""),"Derek Kim")</f>
        <v>Derek Kim</v>
      </c>
      <c r="T2539" s="6" t="str">
        <f>IFERROR(__xludf.DUMMYFUNCTION("""COMPUTED_VALUE"""),"derek.kim@alpha.school")</f>
        <v>derek.kim@alpha.school</v>
      </c>
      <c r="U2539" s="6" t="str">
        <f>IFERROR(__xludf.DUMMYFUNCTION("""COMPUTED_VALUE"""),"8")</f>
        <v>8</v>
      </c>
      <c r="V2539" s="6" t="str">
        <f>IFERROR(__xludf.DUMMYFUNCTION("""COMPUTED_VALUE"""),"")</f>
        <v/>
      </c>
      <c r="W2539" s="6" t="str">
        <f>IFERROR(__xludf.DUMMYFUNCTION("""COMPUTED_VALUE"""),"[]")</f>
        <v>[]</v>
      </c>
      <c r="X2539" s="6" t="str">
        <f>IFERROR(__xludf.DUMMYFUNCTION("""COMPUTED_VALUE"""),"Enrolled")</f>
        <v>Enrolled</v>
      </c>
    </row>
    <row r="2540">
      <c r="A2540" s="6" t="str">
        <f>IFERROR(__xludf.DUMMYFUNCTION("""COMPUTED_VALUE"""),"050-6924")</f>
        <v>050-6924</v>
      </c>
      <c r="B2540" s="6" t="str">
        <f>IFERROR(__xludf.DUMMYFUNCTION("""COMPUTED_VALUE"""),"50")</f>
        <v>50</v>
      </c>
      <c r="C2540" s="6" t="str">
        <f>IFERROR(__xludf.DUMMYFUNCTION("""COMPUTED_VALUE"""),"6924")</f>
        <v>6924</v>
      </c>
      <c r="D2540" s="6" t="str">
        <f>IFERROR(__xludf.DUMMYFUNCTION("""COMPUTED_VALUE"""),"Jack")</f>
        <v>Jack</v>
      </c>
      <c r="E2540" s="6" t="str">
        <f>IFERROR(__xludf.DUMMYFUNCTION("""COMPUTED_VALUE"""),"")</f>
        <v/>
      </c>
      <c r="F2540" s="6" t="str">
        <f>IFERROR(__xludf.DUMMYFUNCTION("""COMPUTED_VALUE"""),"Tierney")</f>
        <v>Tierney</v>
      </c>
      <c r="G2540" s="6" t="str">
        <f>IFERROR(__xludf.DUMMYFUNCTION("""COMPUTED_VALUE"""),"09/21/2013")</f>
        <v>09/21/2013</v>
      </c>
      <c r="H2540" s="6" t="str">
        <f>IFERROR(__xludf.DUMMYFUNCTION("""COMPUTED_VALUE"""),"male")</f>
        <v>male</v>
      </c>
      <c r="I2540" s="6" t="str">
        <f>IFERROR(__xludf.DUMMYFUNCTION("""COMPUTED_VALUE"""),"Middle School")</f>
        <v>Middle School</v>
      </c>
      <c r="J2540" s="6" t="str">
        <f>IFERROR(__xludf.DUMMYFUNCTION("""COMPUTED_VALUE"""),"6")</f>
        <v>6</v>
      </c>
      <c r="K2540" s="6" t="str">
        <f>IFERROR(__xludf.DUMMYFUNCTION("""COMPUTED_VALUE"""),"jack.tierney@alpha.school")</f>
        <v>jack.tierney@alpha.school</v>
      </c>
      <c r="L2540" s="6" t="str">
        <f>IFERROR(__xludf.DUMMYFUNCTION("""COMPUTED_VALUE"""),"Alpha School San Francisco")</f>
        <v>Alpha School San Francisco</v>
      </c>
      <c r="M2540" s="6" t="str">
        <f>IFERROR(__xludf.DUMMYFUNCTION("""COMPUTED_VALUE"""),"")</f>
        <v/>
      </c>
      <c r="N2540" s="6" t="str">
        <f>IFERROR(__xludf.DUMMYFUNCTION("""COMPUTED_VALUE"""),"")</f>
        <v/>
      </c>
      <c r="O2540" s="87" t="str">
        <f>IFERROR(__xludf.DUMMYFUNCTION("""COMPUTED_VALUE"""),"https://drive.google.com/drive/folders/10T2cTQHqEJZqE-st6uFKPoI?usp=share_link")</f>
        <v>https://drive.google.com/drive/folders/10T2cTQHqEJZqE-st6uFKPoI?usp=share_link</v>
      </c>
      <c r="P2540" s="6" t="str">
        <f>IFERROR(__xludf.DUMMYFUNCTION("""COMPUTED_VALUE"""),"Jack Tierney")</f>
        <v>Jack Tierney</v>
      </c>
      <c r="Q2540" s="6" t="str">
        <f>IFERROR(__xludf.DUMMYFUNCTION("""COMPUTED_VALUE"""),"MS")</f>
        <v>MS</v>
      </c>
      <c r="R2540" s="6">
        <f>IFERROR(__xludf.DUMMYFUNCTION("""COMPUTED_VALUE"""),0.0)</f>
        <v>0</v>
      </c>
      <c r="S2540" s="6" t="str">
        <f>IFERROR(__xludf.DUMMYFUNCTION("""COMPUTED_VALUE"""),"Derek Kim")</f>
        <v>Derek Kim</v>
      </c>
      <c r="T2540" s="6" t="str">
        <f>IFERROR(__xludf.DUMMYFUNCTION("""COMPUTED_VALUE"""),"derek.kim@alpha.school")</f>
        <v>derek.kim@alpha.school</v>
      </c>
      <c r="U2540" s="6" t="str">
        <f>IFERROR(__xludf.DUMMYFUNCTION("""COMPUTED_VALUE"""),"6")</f>
        <v>6</v>
      </c>
      <c r="V2540" s="6" t="str">
        <f>IFERROR(__xludf.DUMMYFUNCTION("""COMPUTED_VALUE"""),"")</f>
        <v/>
      </c>
      <c r="W2540" s="6" t="str">
        <f>IFERROR(__xludf.DUMMYFUNCTION("""COMPUTED_VALUE"""),"[]")</f>
        <v>[]</v>
      </c>
      <c r="X2540" s="6" t="str">
        <f>IFERROR(__xludf.DUMMYFUNCTION("""COMPUTED_VALUE"""),"Enrolled")</f>
        <v>Enrolled</v>
      </c>
    </row>
    <row r="2541">
      <c r="A2541" s="6" t="str">
        <f>IFERROR(__xludf.DUMMYFUNCTION("""COMPUTED_VALUE"""),"050-7493")</f>
        <v>050-7493</v>
      </c>
      <c r="B2541" s="6" t="str">
        <f>IFERROR(__xludf.DUMMYFUNCTION("""COMPUTED_VALUE"""),"50")</f>
        <v>50</v>
      </c>
      <c r="C2541" s="6" t="str">
        <f>IFERROR(__xludf.DUMMYFUNCTION("""COMPUTED_VALUE"""),"7493")</f>
        <v>7493</v>
      </c>
      <c r="D2541" s="6" t="str">
        <f>IFERROR(__xludf.DUMMYFUNCTION("""COMPUTED_VALUE"""),"Arden")</f>
        <v>Arden</v>
      </c>
      <c r="E2541" s="6" t="str">
        <f>IFERROR(__xludf.DUMMYFUNCTION("""COMPUTED_VALUE"""),"Arden")</f>
        <v>Arden</v>
      </c>
      <c r="F2541" s="6" t="str">
        <f>IFERROR(__xludf.DUMMYFUNCTION("""COMPUTED_VALUE"""),"Kaplan")</f>
        <v>Kaplan</v>
      </c>
      <c r="G2541" s="6" t="str">
        <f>IFERROR(__xludf.DUMMYFUNCTION("""COMPUTED_VALUE"""),"05/21/2019")</f>
        <v>05/21/2019</v>
      </c>
      <c r="H2541" s="6" t="str">
        <f>IFERROR(__xludf.DUMMYFUNCTION("""COMPUTED_VALUE"""),"male")</f>
        <v>male</v>
      </c>
      <c r="I2541" s="6" t="str">
        <f>IFERROR(__xludf.DUMMYFUNCTION("""COMPUTED_VALUE"""),"Learning Lab")</f>
        <v>Learning Lab</v>
      </c>
      <c r="J2541" s="6" t="str">
        <f>IFERROR(__xludf.DUMMYFUNCTION("""COMPUTED_VALUE"""),"1")</f>
        <v>1</v>
      </c>
      <c r="K2541" s="6" t="str">
        <f>IFERROR(__xludf.DUMMYFUNCTION("""COMPUTED_VALUE"""),"arden.kaplan@alpha.school")</f>
        <v>arden.kaplan@alpha.school</v>
      </c>
      <c r="L2541" s="6" t="str">
        <f>IFERROR(__xludf.DUMMYFUNCTION("""COMPUTED_VALUE"""),"Alpha School San Francisco")</f>
        <v>Alpha School San Francisco</v>
      </c>
      <c r="M2541" s="6" t="str">
        <f>IFERROR(__xludf.DUMMYFUNCTION("""COMPUTED_VALUE"""),"")</f>
        <v/>
      </c>
      <c r="N2541" s="6" t="str">
        <f>IFERROR(__xludf.DUMMYFUNCTION("""COMPUTED_VALUE"""),"")</f>
        <v/>
      </c>
      <c r="O2541" s="87" t="str">
        <f>IFERROR(__xludf.DUMMYFUNCTION("""COMPUTED_VALUE"""),"https://drive.google.com/drive/folders/10T2cTQHqEJZqE-st6uFKPoI?usp=share_link")</f>
        <v>https://drive.google.com/drive/folders/10T2cTQHqEJZqE-st6uFKPoI?usp=share_link</v>
      </c>
      <c r="P2541" s="6" t="str">
        <f>IFERROR(__xludf.DUMMYFUNCTION("""COMPUTED_VALUE"""),"Arden Kaplan")</f>
        <v>Arden Kaplan</v>
      </c>
      <c r="Q2541" s="6" t="str">
        <f>IFERROR(__xludf.DUMMYFUNCTION("""COMPUTED_VALUE"""),"LL")</f>
        <v>LL</v>
      </c>
      <c r="R2541" s="6">
        <f>IFERROR(__xludf.DUMMYFUNCTION("""COMPUTED_VALUE"""),0.0)</f>
        <v>0</v>
      </c>
      <c r="S2541" s="6" t="str">
        <f>IFERROR(__xludf.DUMMYFUNCTION("""COMPUTED_VALUE"""),"Ree Yeakley")</f>
        <v>Ree Yeakley</v>
      </c>
      <c r="T2541" s="6" t="str">
        <f>IFERROR(__xludf.DUMMYFUNCTION("""COMPUTED_VALUE"""),"capri.yeakley@alpha.school")</f>
        <v>capri.yeakley@alpha.school</v>
      </c>
      <c r="U2541" s="6" t="str">
        <f>IFERROR(__xludf.DUMMYFUNCTION("""COMPUTED_VALUE"""),"1")</f>
        <v>1</v>
      </c>
      <c r="V2541" s="6" t="str">
        <f>IFERROR(__xludf.DUMMYFUNCTION("""COMPUTED_VALUE"""),"")</f>
        <v/>
      </c>
      <c r="W2541" s="6" t="str">
        <f>IFERROR(__xludf.DUMMYFUNCTION("""COMPUTED_VALUE"""),"[]")</f>
        <v>[]</v>
      </c>
      <c r="X2541" s="6" t="str">
        <f>IFERROR(__xludf.DUMMYFUNCTION("""COMPUTED_VALUE"""),"Enrolled")</f>
        <v>Enrolled</v>
      </c>
    </row>
    <row r="2542">
      <c r="A2542" s="6" t="str">
        <f>IFERROR(__xludf.DUMMYFUNCTION("""COMPUTED_VALUE"""),"050-7786")</f>
        <v>050-7786</v>
      </c>
      <c r="B2542" s="6" t="str">
        <f>IFERROR(__xludf.DUMMYFUNCTION("""COMPUTED_VALUE"""),"50")</f>
        <v>50</v>
      </c>
      <c r="C2542" s="6" t="str">
        <f>IFERROR(__xludf.DUMMYFUNCTION("""COMPUTED_VALUE"""),"7786")</f>
        <v>7786</v>
      </c>
      <c r="D2542" s="6" t="str">
        <f>IFERROR(__xludf.DUMMYFUNCTION("""COMPUTED_VALUE"""),"Finley")</f>
        <v>Finley</v>
      </c>
      <c r="E2542" s="6" t="str">
        <f>IFERROR(__xludf.DUMMYFUNCTION("""COMPUTED_VALUE"""),"Finley")</f>
        <v>Finley</v>
      </c>
      <c r="F2542" s="6" t="str">
        <f>IFERROR(__xludf.DUMMYFUNCTION("""COMPUTED_VALUE"""),"Smith")</f>
        <v>Smith</v>
      </c>
      <c r="G2542" s="6" t="str">
        <f>IFERROR(__xludf.DUMMYFUNCTION("""COMPUTED_VALUE"""),"03/22/2014")</f>
        <v>03/22/2014</v>
      </c>
      <c r="H2542" s="6" t="str">
        <f>IFERROR(__xludf.DUMMYFUNCTION("""COMPUTED_VALUE"""),"male")</f>
        <v>male</v>
      </c>
      <c r="I2542" s="6" t="str">
        <f>IFERROR(__xludf.DUMMYFUNCTION("""COMPUTED_VALUE"""),"Middle School")</f>
        <v>Middle School</v>
      </c>
      <c r="J2542" s="6" t="str">
        <f>IFERROR(__xludf.DUMMYFUNCTION("""COMPUTED_VALUE"""),"6")</f>
        <v>6</v>
      </c>
      <c r="K2542" s="6" t="str">
        <f>IFERROR(__xludf.DUMMYFUNCTION("""COMPUTED_VALUE"""),"finley.smith.1@alpha.school")</f>
        <v>finley.smith.1@alpha.school</v>
      </c>
      <c r="L2542" s="6" t="str">
        <f>IFERROR(__xludf.DUMMYFUNCTION("""COMPUTED_VALUE"""),"Alpha School San Francisco")</f>
        <v>Alpha School San Francisco</v>
      </c>
      <c r="M2542" s="6" t="str">
        <f>IFERROR(__xludf.DUMMYFUNCTION("""COMPUTED_VALUE"""),"")</f>
        <v/>
      </c>
      <c r="N2542" s="6" t="str">
        <f>IFERROR(__xludf.DUMMYFUNCTION("""COMPUTED_VALUE"""),"")</f>
        <v/>
      </c>
      <c r="O2542" s="87" t="str">
        <f>IFERROR(__xludf.DUMMYFUNCTION("""COMPUTED_VALUE"""),"https://drive.google.com/drive/folders/10T2cTQHqEJZqE-st6uFKPoI?usp=share_link")</f>
        <v>https://drive.google.com/drive/folders/10T2cTQHqEJZqE-st6uFKPoI?usp=share_link</v>
      </c>
      <c r="P2542" s="6" t="str">
        <f>IFERROR(__xludf.DUMMYFUNCTION("""COMPUTED_VALUE"""),"Finley Smith")</f>
        <v>Finley Smith</v>
      </c>
      <c r="Q2542" s="6" t="str">
        <f>IFERROR(__xludf.DUMMYFUNCTION("""COMPUTED_VALUE"""),"MS")</f>
        <v>MS</v>
      </c>
      <c r="R2542" s="6">
        <f>IFERROR(__xludf.DUMMYFUNCTION("""COMPUTED_VALUE"""),0.0)</f>
        <v>0</v>
      </c>
      <c r="S2542" s="6" t="str">
        <f>IFERROR(__xludf.DUMMYFUNCTION("""COMPUTED_VALUE"""),"Derek Kim")</f>
        <v>Derek Kim</v>
      </c>
      <c r="T2542" s="6" t="str">
        <f>IFERROR(__xludf.DUMMYFUNCTION("""COMPUTED_VALUE"""),"derek.kim@alpha.school")</f>
        <v>derek.kim@alpha.school</v>
      </c>
      <c r="U2542" s="6" t="str">
        <f>IFERROR(__xludf.DUMMYFUNCTION("""COMPUTED_VALUE"""),"6")</f>
        <v>6</v>
      </c>
      <c r="V2542" s="6" t="str">
        <f>IFERROR(__xludf.DUMMYFUNCTION("""COMPUTED_VALUE"""),"")</f>
        <v/>
      </c>
      <c r="W2542" s="6" t="str">
        <f>IFERROR(__xludf.DUMMYFUNCTION("""COMPUTED_VALUE"""),"[]")</f>
        <v>[]</v>
      </c>
      <c r="X2542" s="6" t="str">
        <f>IFERROR(__xludf.DUMMYFUNCTION("""COMPUTED_VALUE"""),"Enrolled")</f>
        <v>Enrolled</v>
      </c>
    </row>
    <row r="2543">
      <c r="A2543" s="6" t="str">
        <f>IFERROR(__xludf.DUMMYFUNCTION("""COMPUTED_VALUE"""),"050-8446")</f>
        <v>050-8446</v>
      </c>
      <c r="B2543" s="6" t="str">
        <f>IFERROR(__xludf.DUMMYFUNCTION("""COMPUTED_VALUE"""),"50")</f>
        <v>50</v>
      </c>
      <c r="C2543" s="6" t="str">
        <f>IFERROR(__xludf.DUMMYFUNCTION("""COMPUTED_VALUE"""),"8446")</f>
        <v>8446</v>
      </c>
      <c r="D2543" s="6" t="str">
        <f>IFERROR(__xludf.DUMMYFUNCTION("""COMPUTED_VALUE"""),"Aniya")</f>
        <v>Aniya</v>
      </c>
      <c r="E2543" s="6" t="str">
        <f>IFERROR(__xludf.DUMMYFUNCTION("""COMPUTED_VALUE"""),"Aniya")</f>
        <v>Aniya</v>
      </c>
      <c r="F2543" s="6" t="str">
        <f>IFERROR(__xludf.DUMMYFUNCTION("""COMPUTED_VALUE"""),"Akhund")</f>
        <v>Akhund</v>
      </c>
      <c r="G2543" s="6" t="str">
        <f>IFERROR(__xludf.DUMMYFUNCTION("""COMPUTED_VALUE"""),"10/09/2011")</f>
        <v>10/09/2011</v>
      </c>
      <c r="H2543" s="6" t="str">
        <f>IFERROR(__xludf.DUMMYFUNCTION("""COMPUTED_VALUE"""),"female")</f>
        <v>female</v>
      </c>
      <c r="I2543" s="6" t="str">
        <f>IFERROR(__xludf.DUMMYFUNCTION("""COMPUTED_VALUE"""),"Middle School")</f>
        <v>Middle School</v>
      </c>
      <c r="J2543" s="6" t="str">
        <f>IFERROR(__xludf.DUMMYFUNCTION("""COMPUTED_VALUE"""),"8")</f>
        <v>8</v>
      </c>
      <c r="K2543" s="6" t="str">
        <f>IFERROR(__xludf.DUMMYFUNCTION("""COMPUTED_VALUE"""),"aniya.akhund@alpha.school")</f>
        <v>aniya.akhund@alpha.school</v>
      </c>
      <c r="L2543" s="6" t="str">
        <f>IFERROR(__xludf.DUMMYFUNCTION("""COMPUTED_VALUE"""),"Alpha School San Francisco")</f>
        <v>Alpha School San Francisco</v>
      </c>
      <c r="M2543" s="6" t="str">
        <f>IFERROR(__xludf.DUMMYFUNCTION("""COMPUTED_VALUE"""),"")</f>
        <v/>
      </c>
      <c r="N2543" s="6" t="str">
        <f>IFERROR(__xludf.DUMMYFUNCTION("""COMPUTED_VALUE"""),"")</f>
        <v/>
      </c>
      <c r="O2543" s="87" t="str">
        <f>IFERROR(__xludf.DUMMYFUNCTION("""COMPUTED_VALUE"""),"https://drive.google.com/drive/folders/10T2cTQHqEJZqE-st6uFKPoI?usp=share_link")</f>
        <v>https://drive.google.com/drive/folders/10T2cTQHqEJZqE-st6uFKPoI?usp=share_link</v>
      </c>
      <c r="P2543" s="6" t="str">
        <f>IFERROR(__xludf.DUMMYFUNCTION("""COMPUTED_VALUE"""),"Aniya Akhund")</f>
        <v>Aniya Akhund</v>
      </c>
      <c r="Q2543" s="6" t="str">
        <f>IFERROR(__xludf.DUMMYFUNCTION("""COMPUTED_VALUE"""),"MS")</f>
        <v>MS</v>
      </c>
      <c r="R2543" s="6">
        <f>IFERROR(__xludf.DUMMYFUNCTION("""COMPUTED_VALUE"""),0.0)</f>
        <v>0</v>
      </c>
      <c r="S2543" s="6" t="str">
        <f>IFERROR(__xludf.DUMMYFUNCTION("""COMPUTED_VALUE"""),"Derek Kim")</f>
        <v>Derek Kim</v>
      </c>
      <c r="T2543" s="6" t="str">
        <f>IFERROR(__xludf.DUMMYFUNCTION("""COMPUTED_VALUE"""),"derek.kim@alpha.school")</f>
        <v>derek.kim@alpha.school</v>
      </c>
      <c r="U2543" s="6" t="str">
        <f>IFERROR(__xludf.DUMMYFUNCTION("""COMPUTED_VALUE"""),"8")</f>
        <v>8</v>
      </c>
      <c r="V2543" s="6" t="str">
        <f>IFERROR(__xludf.DUMMYFUNCTION("""COMPUTED_VALUE"""),"")</f>
        <v/>
      </c>
      <c r="W2543" s="6" t="str">
        <f>IFERROR(__xludf.DUMMYFUNCTION("""COMPUTED_VALUE"""),"[]")</f>
        <v>[]</v>
      </c>
      <c r="X2543" s="6" t="str">
        <f>IFERROR(__xludf.DUMMYFUNCTION("""COMPUTED_VALUE"""),"Enrolled")</f>
        <v>Enrolled</v>
      </c>
    </row>
    <row r="2544">
      <c r="A2544" s="6" t="str">
        <f>IFERROR(__xludf.DUMMYFUNCTION("""COMPUTED_VALUE"""),"050-9146")</f>
        <v>050-9146</v>
      </c>
      <c r="B2544" s="6" t="str">
        <f>IFERROR(__xludf.DUMMYFUNCTION("""COMPUTED_VALUE"""),"50")</f>
        <v>50</v>
      </c>
      <c r="C2544" s="6" t="str">
        <f>IFERROR(__xludf.DUMMYFUNCTION("""COMPUTED_VALUE"""),"9146")</f>
        <v>9146</v>
      </c>
      <c r="D2544" s="6" t="str">
        <f>IFERROR(__xludf.DUMMYFUNCTION("""COMPUTED_VALUE"""),"Charles")</f>
        <v>Charles</v>
      </c>
      <c r="E2544" s="6" t="str">
        <f>IFERROR(__xludf.DUMMYFUNCTION("""COMPUTED_VALUE"""),"Charlie")</f>
        <v>Charlie</v>
      </c>
      <c r="F2544" s="6" t="str">
        <f>IFERROR(__xludf.DUMMYFUNCTION("""COMPUTED_VALUE"""),"Booth")</f>
        <v>Booth</v>
      </c>
      <c r="G2544" s="6" t="str">
        <f>IFERROR(__xludf.DUMMYFUNCTION("""COMPUTED_VALUE"""),"06/28/2018")</f>
        <v>06/28/2018</v>
      </c>
      <c r="H2544" s="6" t="str">
        <f>IFERROR(__xludf.DUMMYFUNCTION("""COMPUTED_VALUE"""),"male")</f>
        <v>male</v>
      </c>
      <c r="I2544" s="6" t="str">
        <f>IFERROR(__xludf.DUMMYFUNCTION("""COMPUTED_VALUE"""),"Level 1")</f>
        <v>Level 1</v>
      </c>
      <c r="J2544" s="6" t="str">
        <f>IFERROR(__xludf.DUMMYFUNCTION("""COMPUTED_VALUE"""),"2")</f>
        <v>2</v>
      </c>
      <c r="K2544" s="6" t="str">
        <f>IFERROR(__xludf.DUMMYFUNCTION("""COMPUTED_VALUE"""),"charles.booth@alpha.school")</f>
        <v>charles.booth@alpha.school</v>
      </c>
      <c r="L2544" s="6" t="str">
        <f>IFERROR(__xludf.DUMMYFUNCTION("""COMPUTED_VALUE"""),"Alpha School San Francisco")</f>
        <v>Alpha School San Francisco</v>
      </c>
      <c r="M2544" s="6" t="str">
        <f>IFERROR(__xludf.DUMMYFUNCTION("""COMPUTED_VALUE"""),"")</f>
        <v/>
      </c>
      <c r="N2544" s="6" t="str">
        <f>IFERROR(__xludf.DUMMYFUNCTION("""COMPUTED_VALUE"""),"")</f>
        <v/>
      </c>
      <c r="O2544" s="87" t="str">
        <f>IFERROR(__xludf.DUMMYFUNCTION("""COMPUTED_VALUE"""),"https://drive.google.com/drive/folders/10T2cTQHqEJZqE-st6uFKPoI?usp=share_link")</f>
        <v>https://drive.google.com/drive/folders/10T2cTQHqEJZqE-st6uFKPoI?usp=share_link</v>
      </c>
      <c r="P2544" s="6" t="str">
        <f>IFERROR(__xludf.DUMMYFUNCTION("""COMPUTED_VALUE"""),"Charlie Booth")</f>
        <v>Charlie Booth</v>
      </c>
      <c r="Q2544" s="6" t="str">
        <f>IFERROR(__xludf.DUMMYFUNCTION("""COMPUTED_VALUE"""),"L1")</f>
        <v>L1</v>
      </c>
      <c r="R2544" s="6">
        <f>IFERROR(__xludf.DUMMYFUNCTION("""COMPUTED_VALUE"""),1.0)</f>
        <v>1</v>
      </c>
      <c r="S2544" s="6" t="str">
        <f>IFERROR(__xludf.DUMMYFUNCTION("""COMPUTED_VALUE""")," ")</f>
        <v> </v>
      </c>
      <c r="T2544" s="6" t="str">
        <f>IFERROR(__xludf.DUMMYFUNCTION("""COMPUTED_VALUE"""),"")</f>
        <v/>
      </c>
      <c r="U2544" s="6" t="str">
        <f>IFERROR(__xludf.DUMMYFUNCTION("""COMPUTED_VALUE"""),"2")</f>
        <v>2</v>
      </c>
      <c r="V2544" s="6" t="str">
        <f>IFERROR(__xludf.DUMMYFUNCTION("""COMPUTED_VALUE"""),"")</f>
        <v/>
      </c>
      <c r="W2544" s="6" t="str">
        <f>IFERROR(__xludf.DUMMYFUNCTION("""COMPUTED_VALUE"""),"[]")</f>
        <v>[]</v>
      </c>
      <c r="X2544" s="6" t="str">
        <f>IFERROR(__xludf.DUMMYFUNCTION("""COMPUTED_VALUE"""),"Enrolled")</f>
        <v>Enrolled</v>
      </c>
    </row>
    <row r="2545">
      <c r="A2545" s="6" t="str">
        <f>IFERROR(__xludf.DUMMYFUNCTION("""COMPUTED_VALUE"""),"051-0609")</f>
        <v>051-0609</v>
      </c>
      <c r="B2545" s="6" t="str">
        <f>IFERROR(__xludf.DUMMYFUNCTION("""COMPUTED_VALUE"""),"51")</f>
        <v>51</v>
      </c>
      <c r="C2545" s="6" t="str">
        <f>IFERROR(__xludf.DUMMYFUNCTION("""COMPUTED_VALUE"""),"0609")</f>
        <v>0609</v>
      </c>
      <c r="D2545" s="6" t="str">
        <f>IFERROR(__xludf.DUMMYFUNCTION("""COMPUTED_VALUE"""),"Milam")</f>
        <v>Milam</v>
      </c>
      <c r="E2545" s="6" t="str">
        <f>IFERROR(__xludf.DUMMYFUNCTION("""COMPUTED_VALUE"""),"")</f>
        <v/>
      </c>
      <c r="F2545" s="6" t="str">
        <f>IFERROR(__xludf.DUMMYFUNCTION("""COMPUTED_VALUE"""),"Morgan")</f>
        <v>Morgan</v>
      </c>
      <c r="G2545" s="6" t="str">
        <f>IFERROR(__xludf.DUMMYFUNCTION("""COMPUTED_VALUE"""),"06/13/2018")</f>
        <v>06/13/2018</v>
      </c>
      <c r="H2545" s="6" t="str">
        <f>IFERROR(__xludf.DUMMYFUNCTION("""COMPUTED_VALUE"""),"male")</f>
        <v>male</v>
      </c>
      <c r="I2545" s="6" t="str">
        <f>IFERROR(__xludf.DUMMYFUNCTION("""COMPUTED_VALUE"""),"Level 1")</f>
        <v>Level 1</v>
      </c>
      <c r="J2545" s="6" t="str">
        <f>IFERROR(__xludf.DUMMYFUNCTION("""COMPUTED_VALUE"""),"2")</f>
        <v>2</v>
      </c>
      <c r="K2545" s="6" t="str">
        <f>IFERROR(__xludf.DUMMYFUNCTION("""COMPUTED_VALUE"""),"milam.morgan@alpha.school")</f>
        <v>milam.morgan@alpha.school</v>
      </c>
      <c r="L2545" s="6" t="str">
        <f>IFERROR(__xludf.DUMMYFUNCTION("""COMPUTED_VALUE"""),"Waypoint Academy")</f>
        <v>Waypoint Academy</v>
      </c>
      <c r="M2545" s="6" t="str">
        <f>IFERROR(__xludf.DUMMYFUNCTION("""COMPUTED_VALUE"""),"")</f>
        <v/>
      </c>
      <c r="N2545" s="6" t="str">
        <f>IFERROR(__xludf.DUMMYFUNCTION("""COMPUTED_VALUE"""),"")</f>
        <v/>
      </c>
      <c r="O2545" s="87" t="str">
        <f>IFERROR(__xludf.DUMMYFUNCTION("""COMPUTED_VALUE"""),"https://drive.google.com/drive/folders/10T2cTQHqEJZqE-st6uFKPoI?usp=share_link")</f>
        <v>https://drive.google.com/drive/folders/10T2cTQHqEJZqE-st6uFKPoI?usp=share_link</v>
      </c>
      <c r="P2545" s="6" t="str">
        <f>IFERROR(__xludf.DUMMYFUNCTION("""COMPUTED_VALUE"""),"Milam Morgan")</f>
        <v>Milam Morgan</v>
      </c>
      <c r="Q2545" s="6" t="str">
        <f>IFERROR(__xludf.DUMMYFUNCTION("""COMPUTED_VALUE"""),"L1")</f>
        <v>L1</v>
      </c>
      <c r="R2545" s="6">
        <f>IFERROR(__xludf.DUMMYFUNCTION("""COMPUTED_VALUE"""),1.0)</f>
        <v>1</v>
      </c>
      <c r="S2545" s="6" t="str">
        <f>IFERROR(__xludf.DUMMYFUNCTION("""COMPUTED_VALUE"""),"Faith Crenshaw")</f>
        <v>Faith Crenshaw</v>
      </c>
      <c r="T2545" s="6" t="str">
        <f>IFERROR(__xludf.DUMMYFUNCTION("""COMPUTED_VALUE"""),"faith.crenshaw@alpha.school")</f>
        <v>faith.crenshaw@alpha.school</v>
      </c>
      <c r="U2545" s="6" t="str">
        <f>IFERROR(__xludf.DUMMYFUNCTION("""COMPUTED_VALUE"""),"2")</f>
        <v>2</v>
      </c>
      <c r="V2545" s="6" t="str">
        <f>IFERROR(__xludf.DUMMYFUNCTION("""COMPUTED_VALUE"""),"")</f>
        <v/>
      </c>
      <c r="W2545" s="6" t="str">
        <f>IFERROR(__xludf.DUMMYFUNCTION("""COMPUTED_VALUE"""),"[]")</f>
        <v>[]</v>
      </c>
      <c r="X2545" s="6" t="str">
        <f>IFERROR(__xludf.DUMMYFUNCTION("""COMPUTED_VALUE"""),"Enrolled")</f>
        <v>Enrolled</v>
      </c>
    </row>
    <row r="2546">
      <c r="A2546" s="6" t="str">
        <f>IFERROR(__xludf.DUMMYFUNCTION("""COMPUTED_VALUE"""),"053-10031")</f>
        <v>053-10031</v>
      </c>
      <c r="B2546" s="6" t="str">
        <f>IFERROR(__xludf.DUMMYFUNCTION("""COMPUTED_VALUE"""),"53")</f>
        <v>53</v>
      </c>
      <c r="C2546" s="6" t="str">
        <f>IFERROR(__xludf.DUMMYFUNCTION("""COMPUTED_VALUE"""),"10031")</f>
        <v>10031</v>
      </c>
      <c r="D2546" s="6" t="str">
        <f>IFERROR(__xludf.DUMMYFUNCTION("""COMPUTED_VALUE"""),"Athena")</f>
        <v>Athena</v>
      </c>
      <c r="E2546" s="6" t="str">
        <f>IFERROR(__xludf.DUMMYFUNCTION("""COMPUTED_VALUE"""),"")</f>
        <v/>
      </c>
      <c r="F2546" s="6" t="str">
        <f>IFERROR(__xludf.DUMMYFUNCTION("""COMPUTED_VALUE"""),"Soni")</f>
        <v>Soni</v>
      </c>
      <c r="G2546" s="6" t="str">
        <f>IFERROR(__xludf.DUMMYFUNCTION("""COMPUTED_VALUE"""),"11/06/2020")</f>
        <v>11/06/2020</v>
      </c>
      <c r="H2546" s="6" t="str">
        <f>IFERROR(__xludf.DUMMYFUNCTION("""COMPUTED_VALUE"""),"female")</f>
        <v>female</v>
      </c>
      <c r="I2546" s="6" t="str">
        <f>IFERROR(__xludf.DUMMYFUNCTION("""COMPUTED_VALUE"""),"Learning Lab")</f>
        <v>Learning Lab</v>
      </c>
      <c r="J2546" s="6" t="str">
        <f>IFERROR(__xludf.DUMMYFUNCTION("""COMPUTED_VALUE"""),"K")</f>
        <v>K</v>
      </c>
      <c r="K2546" s="6" t="str">
        <f>IFERROR(__xludf.DUMMYFUNCTION("""COMPUTED_VALUE"""),"athena.soni@montessorium.school")</f>
        <v>athena.soni@montessorium.school</v>
      </c>
      <c r="L2546" s="6" t="str">
        <f>IFERROR(__xludf.DUMMYFUNCTION("""COMPUTED_VALUE"""),"Montessorium Cedar Park")</f>
        <v>Montessorium Cedar Park</v>
      </c>
      <c r="M2546" s="6" t="str">
        <f>IFERROR(__xludf.DUMMYFUNCTION("""COMPUTED_VALUE"""),"")</f>
        <v/>
      </c>
      <c r="N2546" s="6" t="str">
        <f>IFERROR(__xludf.DUMMYFUNCTION("""COMPUTED_VALUE"""),"")</f>
        <v/>
      </c>
      <c r="O2546" s="87" t="str">
        <f>IFERROR(__xludf.DUMMYFUNCTION("""COMPUTED_VALUE"""),"https://drive.google.com/drive/folders/10T2cTQHqEJZqE-st6uFKPoI?usp=share_link")</f>
        <v>https://drive.google.com/drive/folders/10T2cTQHqEJZqE-st6uFKPoI?usp=share_link</v>
      </c>
      <c r="P2546" s="6" t="str">
        <f>IFERROR(__xludf.DUMMYFUNCTION("""COMPUTED_VALUE"""),"Athena Soni")</f>
        <v>Athena Soni</v>
      </c>
      <c r="Q2546" s="6" t="str">
        <f>IFERROR(__xludf.DUMMYFUNCTION("""COMPUTED_VALUE"""),"LL")</f>
        <v>LL</v>
      </c>
      <c r="R2546" s="6">
        <f>IFERROR(__xludf.DUMMYFUNCTION("""COMPUTED_VALUE"""),0.0)</f>
        <v>0</v>
      </c>
      <c r="S2546" s="6" t="str">
        <f>IFERROR(__xludf.DUMMYFUNCTION("""COMPUTED_VALUE"""),"Anna Smiley")</f>
        <v>Anna Smiley</v>
      </c>
      <c r="T2546" s="6" t="str">
        <f>IFERROR(__xludf.DUMMYFUNCTION("""COMPUTED_VALUE"""),"anna.smiley@montessorium.school")</f>
        <v>anna.smiley@montessorium.school</v>
      </c>
      <c r="U2546" s="6" t="str">
        <f>IFERROR(__xludf.DUMMYFUNCTION("""COMPUTED_VALUE"""),"K")</f>
        <v>K</v>
      </c>
      <c r="V2546" s="6" t="str">
        <f>IFERROR(__xludf.DUMMYFUNCTION("""COMPUTED_VALUE"""),"")</f>
        <v/>
      </c>
      <c r="W2546" s="6" t="str">
        <f>IFERROR(__xludf.DUMMYFUNCTION("""COMPUTED_VALUE"""),"[]")</f>
        <v>[]</v>
      </c>
      <c r="X2546" s="6" t="str">
        <f>IFERROR(__xludf.DUMMYFUNCTION("""COMPUTED_VALUE"""),"Enrolled")</f>
        <v>Enrolled</v>
      </c>
    </row>
    <row r="2547">
      <c r="A2547" s="6" t="str">
        <f>IFERROR(__xludf.DUMMYFUNCTION("""COMPUTED_VALUE"""),"053-2804")</f>
        <v>053-2804</v>
      </c>
      <c r="B2547" s="6" t="str">
        <f>IFERROR(__xludf.DUMMYFUNCTION("""COMPUTED_VALUE"""),"53")</f>
        <v>53</v>
      </c>
      <c r="C2547" s="6" t="str">
        <f>IFERROR(__xludf.DUMMYFUNCTION("""COMPUTED_VALUE"""),"2804")</f>
        <v>2804</v>
      </c>
      <c r="D2547" s="6" t="str">
        <f>IFERROR(__xludf.DUMMYFUNCTION("""COMPUTED_VALUE"""),"Alice")</f>
        <v>Alice</v>
      </c>
      <c r="E2547" s="6" t="str">
        <f>IFERROR(__xludf.DUMMYFUNCTION("""COMPUTED_VALUE"""),"")</f>
        <v/>
      </c>
      <c r="F2547" s="6" t="str">
        <f>IFERROR(__xludf.DUMMYFUNCTION("""COMPUTED_VALUE"""),"Bateman")</f>
        <v>Bateman</v>
      </c>
      <c r="G2547" s="6" t="str">
        <f>IFERROR(__xludf.DUMMYFUNCTION("""COMPUTED_VALUE"""),"02/19/2020")</f>
        <v>02/19/2020</v>
      </c>
      <c r="H2547" s="6" t="str">
        <f>IFERROR(__xludf.DUMMYFUNCTION("""COMPUTED_VALUE"""),"female")</f>
        <v>female</v>
      </c>
      <c r="I2547" s="6" t="str">
        <f>IFERROR(__xludf.DUMMYFUNCTION("""COMPUTED_VALUE"""),"Learning Lab")</f>
        <v>Learning Lab</v>
      </c>
      <c r="J2547" s="6" t="str">
        <f>IFERROR(__xludf.DUMMYFUNCTION("""COMPUTED_VALUE"""),"1")</f>
        <v>1</v>
      </c>
      <c r="K2547" s="6" t="str">
        <f>IFERROR(__xludf.DUMMYFUNCTION("""COMPUTED_VALUE"""),"alice.bateman@montessorium.school")</f>
        <v>alice.bateman@montessorium.school</v>
      </c>
      <c r="L2547" s="6" t="str">
        <f>IFERROR(__xludf.DUMMYFUNCTION("""COMPUTED_VALUE"""),"Montessorium Cedar Park")</f>
        <v>Montessorium Cedar Park</v>
      </c>
      <c r="M2547" s="6" t="str">
        <f>IFERROR(__xludf.DUMMYFUNCTION("""COMPUTED_VALUE"""),"")</f>
        <v/>
      </c>
      <c r="N2547" s="6" t="str">
        <f>IFERROR(__xludf.DUMMYFUNCTION("""COMPUTED_VALUE"""),"")</f>
        <v/>
      </c>
      <c r="O2547" s="87" t="str">
        <f>IFERROR(__xludf.DUMMYFUNCTION("""COMPUTED_VALUE"""),"https://drive.google.com/drive/folders/10T2cTQHqEJZqE-st6uFKPoI?usp=share_link")</f>
        <v>https://drive.google.com/drive/folders/10T2cTQHqEJZqE-st6uFKPoI?usp=share_link</v>
      </c>
      <c r="P2547" s="6" t="str">
        <f>IFERROR(__xludf.DUMMYFUNCTION("""COMPUTED_VALUE"""),"Alice Bateman")</f>
        <v>Alice Bateman</v>
      </c>
      <c r="Q2547" s="6" t="str">
        <f>IFERROR(__xludf.DUMMYFUNCTION("""COMPUTED_VALUE"""),"LL")</f>
        <v>LL</v>
      </c>
      <c r="R2547" s="6">
        <f>IFERROR(__xludf.DUMMYFUNCTION("""COMPUTED_VALUE"""),0.0)</f>
        <v>0</v>
      </c>
      <c r="S2547" s="6" t="str">
        <f>IFERROR(__xludf.DUMMYFUNCTION("""COMPUTED_VALUE"""),"Anna Smiley")</f>
        <v>Anna Smiley</v>
      </c>
      <c r="T2547" s="6" t="str">
        <f>IFERROR(__xludf.DUMMYFUNCTION("""COMPUTED_VALUE"""),"anna.smiley@montessorium.school")</f>
        <v>anna.smiley@montessorium.school</v>
      </c>
      <c r="U2547" s="6" t="str">
        <f>IFERROR(__xludf.DUMMYFUNCTION("""COMPUTED_VALUE"""),"1")</f>
        <v>1</v>
      </c>
      <c r="V2547" s="6" t="str">
        <f>IFERROR(__xludf.DUMMYFUNCTION("""COMPUTED_VALUE"""),"")</f>
        <v/>
      </c>
      <c r="W2547" s="6" t="str">
        <f>IFERROR(__xludf.DUMMYFUNCTION("""COMPUTED_VALUE"""),"[]")</f>
        <v>[]</v>
      </c>
      <c r="X2547" s="6" t="str">
        <f>IFERROR(__xludf.DUMMYFUNCTION("""COMPUTED_VALUE"""),"Enrolled")</f>
        <v>Enrolled</v>
      </c>
    </row>
    <row r="2548">
      <c r="A2548" s="6" t="str">
        <f>IFERROR(__xludf.DUMMYFUNCTION("""COMPUTED_VALUE"""),"053-3900")</f>
        <v>053-3900</v>
      </c>
      <c r="B2548" s="6" t="str">
        <f>IFERROR(__xludf.DUMMYFUNCTION("""COMPUTED_VALUE"""),"53")</f>
        <v>53</v>
      </c>
      <c r="C2548" s="6" t="str">
        <f>IFERROR(__xludf.DUMMYFUNCTION("""COMPUTED_VALUE"""),"3900")</f>
        <v>3900</v>
      </c>
      <c r="D2548" s="6" t="str">
        <f>IFERROR(__xludf.DUMMYFUNCTION("""COMPUTED_VALUE"""),"Arjun")</f>
        <v>Arjun</v>
      </c>
      <c r="E2548" s="6" t="str">
        <f>IFERROR(__xludf.DUMMYFUNCTION("""COMPUTED_VALUE"""),"Arjun")</f>
        <v>Arjun</v>
      </c>
      <c r="F2548" s="6" t="str">
        <f>IFERROR(__xludf.DUMMYFUNCTION("""COMPUTED_VALUE"""),"Rana")</f>
        <v>Rana</v>
      </c>
      <c r="G2548" s="6" t="str">
        <f>IFERROR(__xludf.DUMMYFUNCTION("""COMPUTED_VALUE"""),"09/14/2014")</f>
        <v>09/14/2014</v>
      </c>
      <c r="H2548" s="6" t="str">
        <f>IFERROR(__xludf.DUMMYFUNCTION("""COMPUTED_VALUE"""),"male")</f>
        <v>male</v>
      </c>
      <c r="I2548" s="6" t="str">
        <f>IFERROR(__xludf.DUMMYFUNCTION("""COMPUTED_VALUE"""),"Middle School")</f>
        <v>Middle School</v>
      </c>
      <c r="J2548" s="6" t="str">
        <f>IFERROR(__xludf.DUMMYFUNCTION("""COMPUTED_VALUE"""),"6")</f>
        <v>6</v>
      </c>
      <c r="K2548" s="6" t="str">
        <f>IFERROR(__xludf.DUMMYFUNCTION("""COMPUTED_VALUE"""),"arjun.rana@montessorium.school")</f>
        <v>arjun.rana@montessorium.school</v>
      </c>
      <c r="L2548" s="6" t="str">
        <f>IFERROR(__xludf.DUMMYFUNCTION("""COMPUTED_VALUE"""),"Montessorium Cedar Park")</f>
        <v>Montessorium Cedar Park</v>
      </c>
      <c r="M2548" s="6" t="str">
        <f>IFERROR(__xludf.DUMMYFUNCTION("""COMPUTED_VALUE"""),"")</f>
        <v/>
      </c>
      <c r="N2548" s="6" t="str">
        <f>IFERROR(__xludf.DUMMYFUNCTION("""COMPUTED_VALUE"""),"")</f>
        <v/>
      </c>
      <c r="O2548" s="87" t="str">
        <f>IFERROR(__xludf.DUMMYFUNCTION("""COMPUTED_VALUE"""),"https://drive.google.com/drive/folders/10T2cTQHqEJZqE-st6uFKPoI?usp=share_link")</f>
        <v>https://drive.google.com/drive/folders/10T2cTQHqEJZqE-st6uFKPoI?usp=share_link</v>
      </c>
      <c r="P2548" s="6" t="str">
        <f>IFERROR(__xludf.DUMMYFUNCTION("""COMPUTED_VALUE"""),"Arjun Rana")</f>
        <v>Arjun Rana</v>
      </c>
      <c r="Q2548" s="6" t="str">
        <f>IFERROR(__xludf.DUMMYFUNCTION("""COMPUTED_VALUE"""),"MS")</f>
        <v>MS</v>
      </c>
      <c r="R2548" s="6">
        <f>IFERROR(__xludf.DUMMYFUNCTION("""COMPUTED_VALUE"""),0.0)</f>
        <v>0</v>
      </c>
      <c r="S2548" s="6" t="str">
        <f>IFERROR(__xludf.DUMMYFUNCTION("""COMPUTED_VALUE"""),"Anna Smiley")</f>
        <v>Anna Smiley</v>
      </c>
      <c r="T2548" s="6" t="str">
        <f>IFERROR(__xludf.DUMMYFUNCTION("""COMPUTED_VALUE"""),"anna.smiley@montessorium.school")</f>
        <v>anna.smiley@montessorium.school</v>
      </c>
      <c r="U2548" s="6" t="str">
        <f>IFERROR(__xludf.DUMMYFUNCTION("""COMPUTED_VALUE"""),"6")</f>
        <v>6</v>
      </c>
      <c r="V2548" s="6" t="str">
        <f>IFERROR(__xludf.DUMMYFUNCTION("""COMPUTED_VALUE"""),"")</f>
        <v/>
      </c>
      <c r="W2548" s="6" t="str">
        <f>IFERROR(__xludf.DUMMYFUNCTION("""COMPUTED_VALUE"""),"[]")</f>
        <v>[]</v>
      </c>
      <c r="X2548" s="6" t="str">
        <f>IFERROR(__xludf.DUMMYFUNCTION("""COMPUTED_VALUE"""),"Enrolled")</f>
        <v>Enrolled</v>
      </c>
    </row>
    <row r="2549">
      <c r="A2549" s="6" t="str">
        <f>IFERROR(__xludf.DUMMYFUNCTION("""COMPUTED_VALUE"""),"053-3933")</f>
        <v>053-3933</v>
      </c>
      <c r="B2549" s="6" t="str">
        <f>IFERROR(__xludf.DUMMYFUNCTION("""COMPUTED_VALUE"""),"53")</f>
        <v>53</v>
      </c>
      <c r="C2549" s="6" t="str">
        <f>IFERROR(__xludf.DUMMYFUNCTION("""COMPUTED_VALUE"""),"3933")</f>
        <v>3933</v>
      </c>
      <c r="D2549" s="6" t="str">
        <f>IFERROR(__xludf.DUMMYFUNCTION("""COMPUTED_VALUE"""),"Clara")</f>
        <v>Clara</v>
      </c>
      <c r="E2549" s="6" t="str">
        <f>IFERROR(__xludf.DUMMYFUNCTION("""COMPUTED_VALUE"""),"")</f>
        <v/>
      </c>
      <c r="F2549" s="6" t="str">
        <f>IFERROR(__xludf.DUMMYFUNCTION("""COMPUTED_VALUE"""),"Modlin")</f>
        <v>Modlin</v>
      </c>
      <c r="G2549" s="6" t="str">
        <f>IFERROR(__xludf.DUMMYFUNCTION("""COMPUTED_VALUE"""),"05/18/2017")</f>
        <v>05/18/2017</v>
      </c>
      <c r="H2549" s="6" t="str">
        <f>IFERROR(__xludf.DUMMYFUNCTION("""COMPUTED_VALUE"""),"Self Identify")</f>
        <v>Self Identify</v>
      </c>
      <c r="I2549" s="6" t="str">
        <f>IFERROR(__xludf.DUMMYFUNCTION("""COMPUTED_VALUE"""),"Level 1")</f>
        <v>Level 1</v>
      </c>
      <c r="J2549" s="6" t="str">
        <f>IFERROR(__xludf.DUMMYFUNCTION("""COMPUTED_VALUE"""),"3")</f>
        <v>3</v>
      </c>
      <c r="K2549" s="6" t="str">
        <f>IFERROR(__xludf.DUMMYFUNCTION("""COMPUTED_VALUE"""),"clara.modlin@montessorium.school")</f>
        <v>clara.modlin@montessorium.school</v>
      </c>
      <c r="L2549" s="6" t="str">
        <f>IFERROR(__xludf.DUMMYFUNCTION("""COMPUTED_VALUE"""),"Montessorium Cedar Park")</f>
        <v>Montessorium Cedar Park</v>
      </c>
      <c r="M2549" s="6" t="str">
        <f>IFERROR(__xludf.DUMMYFUNCTION("""COMPUTED_VALUE"""),"")</f>
        <v/>
      </c>
      <c r="N2549" s="6" t="str">
        <f>IFERROR(__xludf.DUMMYFUNCTION("""COMPUTED_VALUE"""),"")</f>
        <v/>
      </c>
      <c r="O2549" s="87" t="str">
        <f>IFERROR(__xludf.DUMMYFUNCTION("""COMPUTED_VALUE"""),"https://drive.google.com/drive/folders/10T2cTQHqEJZqE-st6uFKPoI?usp=share_link")</f>
        <v>https://drive.google.com/drive/folders/10T2cTQHqEJZqE-st6uFKPoI?usp=share_link</v>
      </c>
      <c r="P2549" s="6" t="str">
        <f>IFERROR(__xludf.DUMMYFUNCTION("""COMPUTED_VALUE"""),"Clara Modlin")</f>
        <v>Clara Modlin</v>
      </c>
      <c r="Q2549" s="6" t="str">
        <f>IFERROR(__xludf.DUMMYFUNCTION("""COMPUTED_VALUE"""),"L1")</f>
        <v>L1</v>
      </c>
      <c r="R2549" s="6">
        <f>IFERROR(__xludf.DUMMYFUNCTION("""COMPUTED_VALUE"""),1.0)</f>
        <v>1</v>
      </c>
      <c r="S2549" s="6" t="str">
        <f>IFERROR(__xludf.DUMMYFUNCTION("""COMPUTED_VALUE"""),"Anna Smiley")</f>
        <v>Anna Smiley</v>
      </c>
      <c r="T2549" s="6" t="str">
        <f>IFERROR(__xludf.DUMMYFUNCTION("""COMPUTED_VALUE"""),"anna.smiley@montessorium.school")</f>
        <v>anna.smiley@montessorium.school</v>
      </c>
      <c r="U2549" s="6" t="str">
        <f>IFERROR(__xludf.DUMMYFUNCTION("""COMPUTED_VALUE"""),"3")</f>
        <v>3</v>
      </c>
      <c r="V2549" s="6" t="str">
        <f>IFERROR(__xludf.DUMMYFUNCTION("""COMPUTED_VALUE"""),"")</f>
        <v/>
      </c>
      <c r="W2549" s="6" t="str">
        <f>IFERROR(__xludf.DUMMYFUNCTION("""COMPUTED_VALUE"""),"[]")</f>
        <v>[]</v>
      </c>
      <c r="X2549" s="6" t="str">
        <f>IFERROR(__xludf.DUMMYFUNCTION("""COMPUTED_VALUE"""),"Enrolled")</f>
        <v>Enrolled</v>
      </c>
    </row>
    <row r="2550">
      <c r="A2550" s="6" t="str">
        <f>IFERROR(__xludf.DUMMYFUNCTION("""COMPUTED_VALUE"""),"053-3934")</f>
        <v>053-3934</v>
      </c>
      <c r="B2550" s="6" t="str">
        <f>IFERROR(__xludf.DUMMYFUNCTION("""COMPUTED_VALUE"""),"53")</f>
        <v>53</v>
      </c>
      <c r="C2550" s="6" t="str">
        <f>IFERROR(__xludf.DUMMYFUNCTION("""COMPUTED_VALUE"""),"3934")</f>
        <v>3934</v>
      </c>
      <c r="D2550" s="6" t="str">
        <f>IFERROR(__xludf.DUMMYFUNCTION("""COMPUTED_VALUE"""),"Riva")</f>
        <v>Riva</v>
      </c>
      <c r="E2550" s="6" t="str">
        <f>IFERROR(__xludf.DUMMYFUNCTION("""COMPUTED_VALUE"""),"")</f>
        <v/>
      </c>
      <c r="F2550" s="6" t="str">
        <f>IFERROR(__xludf.DUMMYFUNCTION("""COMPUTED_VALUE"""),"Stucchio")</f>
        <v>Stucchio</v>
      </c>
      <c r="G2550" s="6" t="str">
        <f>IFERROR(__xludf.DUMMYFUNCTION("""COMPUTED_VALUE"""),"05/28/2020")</f>
        <v>05/28/2020</v>
      </c>
      <c r="H2550" s="6" t="str">
        <f>IFERROR(__xludf.DUMMYFUNCTION("""COMPUTED_VALUE"""),"female")</f>
        <v>female</v>
      </c>
      <c r="I2550" s="6" t="str">
        <f>IFERROR(__xludf.DUMMYFUNCTION("""COMPUTED_VALUE"""),"Learning Lab")</f>
        <v>Learning Lab</v>
      </c>
      <c r="J2550" s="6" t="str">
        <f>IFERROR(__xludf.DUMMYFUNCTION("""COMPUTED_VALUE"""),"K")</f>
        <v>K</v>
      </c>
      <c r="K2550" s="6" t="str">
        <f>IFERROR(__xludf.DUMMYFUNCTION("""COMPUTED_VALUE"""),"riva.stucchio@montessorium.school")</f>
        <v>riva.stucchio@montessorium.school</v>
      </c>
      <c r="L2550" s="6" t="str">
        <f>IFERROR(__xludf.DUMMYFUNCTION("""COMPUTED_VALUE"""),"Montessorium Cedar Park")</f>
        <v>Montessorium Cedar Park</v>
      </c>
      <c r="M2550" s="6" t="str">
        <f>IFERROR(__xludf.DUMMYFUNCTION("""COMPUTED_VALUE"""),"")</f>
        <v/>
      </c>
      <c r="N2550" s="6" t="str">
        <f>IFERROR(__xludf.DUMMYFUNCTION("""COMPUTED_VALUE"""),"")</f>
        <v/>
      </c>
      <c r="O2550" s="87" t="str">
        <f>IFERROR(__xludf.DUMMYFUNCTION("""COMPUTED_VALUE"""),"https://drive.google.com/drive/folders/10T2cTQHqEJZqE-st6uFKPoI?usp=share_link")</f>
        <v>https://drive.google.com/drive/folders/10T2cTQHqEJZqE-st6uFKPoI?usp=share_link</v>
      </c>
      <c r="P2550" s="6" t="str">
        <f>IFERROR(__xludf.DUMMYFUNCTION("""COMPUTED_VALUE"""),"Riva Stucchio")</f>
        <v>Riva Stucchio</v>
      </c>
      <c r="Q2550" s="6" t="str">
        <f>IFERROR(__xludf.DUMMYFUNCTION("""COMPUTED_VALUE"""),"LL")</f>
        <v>LL</v>
      </c>
      <c r="R2550" s="6">
        <f>IFERROR(__xludf.DUMMYFUNCTION("""COMPUTED_VALUE"""),0.0)</f>
        <v>0</v>
      </c>
      <c r="S2550" s="6" t="str">
        <f>IFERROR(__xludf.DUMMYFUNCTION("""COMPUTED_VALUE"""),"Anna Smiley")</f>
        <v>Anna Smiley</v>
      </c>
      <c r="T2550" s="6" t="str">
        <f>IFERROR(__xludf.DUMMYFUNCTION("""COMPUTED_VALUE"""),"anna.smiley@montessorium.school")</f>
        <v>anna.smiley@montessorium.school</v>
      </c>
      <c r="U2550" s="6" t="str">
        <f>IFERROR(__xludf.DUMMYFUNCTION("""COMPUTED_VALUE"""),"K")</f>
        <v>K</v>
      </c>
      <c r="V2550" s="6" t="str">
        <f>IFERROR(__xludf.DUMMYFUNCTION("""COMPUTED_VALUE"""),"")</f>
        <v/>
      </c>
      <c r="W2550" s="6" t="str">
        <f>IFERROR(__xludf.DUMMYFUNCTION("""COMPUTED_VALUE"""),"[]")</f>
        <v>[]</v>
      </c>
      <c r="X2550" s="6" t="str">
        <f>IFERROR(__xludf.DUMMYFUNCTION("""COMPUTED_VALUE"""),"Enrolled")</f>
        <v>Enrolled</v>
      </c>
    </row>
    <row r="2551">
      <c r="A2551" s="6" t="str">
        <f>IFERROR(__xludf.DUMMYFUNCTION("""COMPUTED_VALUE"""),"053-4032")</f>
        <v>053-4032</v>
      </c>
      <c r="B2551" s="6" t="str">
        <f>IFERROR(__xludf.DUMMYFUNCTION("""COMPUTED_VALUE"""),"53")</f>
        <v>53</v>
      </c>
      <c r="C2551" s="6" t="str">
        <f>IFERROR(__xludf.DUMMYFUNCTION("""COMPUTED_VALUE"""),"4032")</f>
        <v>4032</v>
      </c>
      <c r="D2551" s="6" t="str">
        <f>IFERROR(__xludf.DUMMYFUNCTION("""COMPUTED_VALUE"""),"Vikram")</f>
        <v>Vikram</v>
      </c>
      <c r="E2551" s="6" t="str">
        <f>IFERROR(__xludf.DUMMYFUNCTION("""COMPUTED_VALUE"""),"")</f>
        <v/>
      </c>
      <c r="F2551" s="6" t="str">
        <f>IFERROR(__xludf.DUMMYFUNCTION("""COMPUTED_VALUE"""),"Singh")</f>
        <v>Singh</v>
      </c>
      <c r="G2551" s="6" t="str">
        <f>IFERROR(__xludf.DUMMYFUNCTION("""COMPUTED_VALUE"""),"02/16/2019")</f>
        <v>02/16/2019</v>
      </c>
      <c r="H2551" s="6" t="str">
        <f>IFERROR(__xludf.DUMMYFUNCTION("""COMPUTED_VALUE"""),"Self Identify")</f>
        <v>Self Identify</v>
      </c>
      <c r="I2551" s="6" t="str">
        <f>IFERROR(__xludf.DUMMYFUNCTION("""COMPUTED_VALUE"""),"Learning Lab")</f>
        <v>Learning Lab</v>
      </c>
      <c r="J2551" s="6" t="str">
        <f>IFERROR(__xludf.DUMMYFUNCTION("""COMPUTED_VALUE"""),"1")</f>
        <v>1</v>
      </c>
      <c r="K2551" s="6" t="str">
        <f>IFERROR(__xludf.DUMMYFUNCTION("""COMPUTED_VALUE"""),"vikram.singh@montessorium.school")</f>
        <v>vikram.singh@montessorium.school</v>
      </c>
      <c r="L2551" s="6" t="str">
        <f>IFERROR(__xludf.DUMMYFUNCTION("""COMPUTED_VALUE"""),"Montessorium Cedar Park")</f>
        <v>Montessorium Cedar Park</v>
      </c>
      <c r="M2551" s="6" t="str">
        <f>IFERROR(__xludf.DUMMYFUNCTION("""COMPUTED_VALUE"""),"")</f>
        <v/>
      </c>
      <c r="N2551" s="6" t="str">
        <f>IFERROR(__xludf.DUMMYFUNCTION("""COMPUTED_VALUE"""),"")</f>
        <v/>
      </c>
      <c r="O2551" s="87" t="str">
        <f>IFERROR(__xludf.DUMMYFUNCTION("""COMPUTED_VALUE"""),"https://drive.google.com/drive/folders/10T2cTQHqEJZqE-st6uFKPoI?usp=share_link")</f>
        <v>https://drive.google.com/drive/folders/10T2cTQHqEJZqE-st6uFKPoI?usp=share_link</v>
      </c>
      <c r="P2551" s="6" t="str">
        <f>IFERROR(__xludf.DUMMYFUNCTION("""COMPUTED_VALUE"""),"Vikram Singh")</f>
        <v>Vikram Singh</v>
      </c>
      <c r="Q2551" s="6" t="str">
        <f>IFERROR(__xludf.DUMMYFUNCTION("""COMPUTED_VALUE"""),"LL")</f>
        <v>LL</v>
      </c>
      <c r="R2551" s="6">
        <f>IFERROR(__xludf.DUMMYFUNCTION("""COMPUTED_VALUE"""),0.0)</f>
        <v>0</v>
      </c>
      <c r="S2551" s="6" t="str">
        <f>IFERROR(__xludf.DUMMYFUNCTION("""COMPUTED_VALUE"""),"Anna Smiley")</f>
        <v>Anna Smiley</v>
      </c>
      <c r="T2551" s="6" t="str">
        <f>IFERROR(__xludf.DUMMYFUNCTION("""COMPUTED_VALUE"""),"anna.smiley@montessorium.school")</f>
        <v>anna.smiley@montessorium.school</v>
      </c>
      <c r="U2551" s="6" t="str">
        <f>IFERROR(__xludf.DUMMYFUNCTION("""COMPUTED_VALUE"""),"1")</f>
        <v>1</v>
      </c>
      <c r="V2551" s="6" t="str">
        <f>IFERROR(__xludf.DUMMYFUNCTION("""COMPUTED_VALUE"""),"")</f>
        <v/>
      </c>
      <c r="W2551" s="6" t="str">
        <f>IFERROR(__xludf.DUMMYFUNCTION("""COMPUTED_VALUE"""),"[]")</f>
        <v>[]</v>
      </c>
      <c r="X2551" s="6" t="str">
        <f>IFERROR(__xludf.DUMMYFUNCTION("""COMPUTED_VALUE"""),"Enrolled")</f>
        <v>Enrolled</v>
      </c>
    </row>
    <row r="2552">
      <c r="A2552" s="6" t="str">
        <f>IFERROR(__xludf.DUMMYFUNCTION("""COMPUTED_VALUE"""),"053-4048")</f>
        <v>053-4048</v>
      </c>
      <c r="B2552" s="6" t="str">
        <f>IFERROR(__xludf.DUMMYFUNCTION("""COMPUTED_VALUE"""),"53")</f>
        <v>53</v>
      </c>
      <c r="C2552" s="6" t="str">
        <f>IFERROR(__xludf.DUMMYFUNCTION("""COMPUTED_VALUE"""),"4048")</f>
        <v>4048</v>
      </c>
      <c r="D2552" s="6" t="str">
        <f>IFERROR(__xludf.DUMMYFUNCTION("""COMPUTED_VALUE"""),"Karthik")</f>
        <v>Karthik</v>
      </c>
      <c r="E2552" s="6" t="str">
        <f>IFERROR(__xludf.DUMMYFUNCTION("""COMPUTED_VALUE"""),"")</f>
        <v/>
      </c>
      <c r="F2552" s="6" t="str">
        <f>IFERROR(__xludf.DUMMYFUNCTION("""COMPUTED_VALUE"""),"Bala")</f>
        <v>Bala</v>
      </c>
      <c r="G2552" s="6" t="str">
        <f>IFERROR(__xludf.DUMMYFUNCTION("""COMPUTED_VALUE"""),"10/27/2019")</f>
        <v>10/27/2019</v>
      </c>
      <c r="H2552" s="6" t="str">
        <f>IFERROR(__xludf.DUMMYFUNCTION("""COMPUTED_VALUE"""),"male")</f>
        <v>male</v>
      </c>
      <c r="I2552" s="6" t="str">
        <f>IFERROR(__xludf.DUMMYFUNCTION("""COMPUTED_VALUE"""),"Learning Lab")</f>
        <v>Learning Lab</v>
      </c>
      <c r="J2552" s="6" t="str">
        <f>IFERROR(__xludf.DUMMYFUNCTION("""COMPUTED_VALUE"""),"1")</f>
        <v>1</v>
      </c>
      <c r="K2552" s="6" t="str">
        <f>IFERROR(__xludf.DUMMYFUNCTION("""COMPUTED_VALUE"""),"karthik.bala@montessorium.school")</f>
        <v>karthik.bala@montessorium.school</v>
      </c>
      <c r="L2552" s="6" t="str">
        <f>IFERROR(__xludf.DUMMYFUNCTION("""COMPUTED_VALUE"""),"Montessorium Cedar Park")</f>
        <v>Montessorium Cedar Park</v>
      </c>
      <c r="M2552" s="6" t="str">
        <f>IFERROR(__xludf.DUMMYFUNCTION("""COMPUTED_VALUE"""),"")</f>
        <v/>
      </c>
      <c r="N2552" s="6" t="str">
        <f>IFERROR(__xludf.DUMMYFUNCTION("""COMPUTED_VALUE"""),"")</f>
        <v/>
      </c>
      <c r="O2552" s="87" t="str">
        <f>IFERROR(__xludf.DUMMYFUNCTION("""COMPUTED_VALUE"""),"https://drive.google.com/drive/folders/10T2cTQHqEJZqE-st6uFKPoI?usp=share_link")</f>
        <v>https://drive.google.com/drive/folders/10T2cTQHqEJZqE-st6uFKPoI?usp=share_link</v>
      </c>
      <c r="P2552" s="6" t="str">
        <f>IFERROR(__xludf.DUMMYFUNCTION("""COMPUTED_VALUE"""),"Karthik Bala")</f>
        <v>Karthik Bala</v>
      </c>
      <c r="Q2552" s="6" t="str">
        <f>IFERROR(__xludf.DUMMYFUNCTION("""COMPUTED_VALUE"""),"LL")</f>
        <v>LL</v>
      </c>
      <c r="R2552" s="6">
        <f>IFERROR(__xludf.DUMMYFUNCTION("""COMPUTED_VALUE"""),0.0)</f>
        <v>0</v>
      </c>
      <c r="S2552" s="6" t="str">
        <f>IFERROR(__xludf.DUMMYFUNCTION("""COMPUTED_VALUE"""),"Anna Smiley")</f>
        <v>Anna Smiley</v>
      </c>
      <c r="T2552" s="6" t="str">
        <f>IFERROR(__xludf.DUMMYFUNCTION("""COMPUTED_VALUE"""),"anna.smiley@montessorium.school")</f>
        <v>anna.smiley@montessorium.school</v>
      </c>
      <c r="U2552" s="6" t="str">
        <f>IFERROR(__xludf.DUMMYFUNCTION("""COMPUTED_VALUE"""),"1")</f>
        <v>1</v>
      </c>
      <c r="V2552" s="6" t="str">
        <f>IFERROR(__xludf.DUMMYFUNCTION("""COMPUTED_VALUE"""),"")</f>
        <v/>
      </c>
      <c r="W2552" s="6" t="str">
        <f>IFERROR(__xludf.DUMMYFUNCTION("""COMPUTED_VALUE"""),"[]")</f>
        <v>[]</v>
      </c>
      <c r="X2552" s="6" t="str">
        <f>IFERROR(__xludf.DUMMYFUNCTION("""COMPUTED_VALUE"""),"Enrolled")</f>
        <v>Enrolled</v>
      </c>
    </row>
    <row r="2553">
      <c r="A2553" s="6" t="str">
        <f>IFERROR(__xludf.DUMMYFUNCTION("""COMPUTED_VALUE"""),"053-4203")</f>
        <v>053-4203</v>
      </c>
      <c r="B2553" s="6" t="str">
        <f>IFERROR(__xludf.DUMMYFUNCTION("""COMPUTED_VALUE"""),"53")</f>
        <v>53</v>
      </c>
      <c r="C2553" s="6" t="str">
        <f>IFERROR(__xludf.DUMMYFUNCTION("""COMPUTED_VALUE"""),"4203")</f>
        <v>4203</v>
      </c>
      <c r="D2553" s="6" t="str">
        <f>IFERROR(__xludf.DUMMYFUNCTION("""COMPUTED_VALUE"""),"Griffin")</f>
        <v>Griffin</v>
      </c>
      <c r="E2553" s="6" t="str">
        <f>IFERROR(__xludf.DUMMYFUNCTION("""COMPUTED_VALUE"""),"")</f>
        <v/>
      </c>
      <c r="F2553" s="6" t="str">
        <f>IFERROR(__xludf.DUMMYFUNCTION("""COMPUTED_VALUE"""),"Mendes")</f>
        <v>Mendes</v>
      </c>
      <c r="G2553" s="6" t="str">
        <f>IFERROR(__xludf.DUMMYFUNCTION("""COMPUTED_VALUE"""),"08/30/2016")</f>
        <v>08/30/2016</v>
      </c>
      <c r="H2553" s="6" t="str">
        <f>IFERROR(__xludf.DUMMYFUNCTION("""COMPUTED_VALUE"""),"male")</f>
        <v>male</v>
      </c>
      <c r="I2553" s="6" t="str">
        <f>IFERROR(__xludf.DUMMYFUNCTION("""COMPUTED_VALUE"""),"Level 2")</f>
        <v>Level 2</v>
      </c>
      <c r="J2553" s="6" t="str">
        <f>IFERROR(__xludf.DUMMYFUNCTION("""COMPUTED_VALUE"""),"4")</f>
        <v>4</v>
      </c>
      <c r="K2553" s="6" t="str">
        <f>IFERROR(__xludf.DUMMYFUNCTION("""COMPUTED_VALUE"""),"griffin.mendes@montessorium.school")</f>
        <v>griffin.mendes@montessorium.school</v>
      </c>
      <c r="L2553" s="6" t="str">
        <f>IFERROR(__xludf.DUMMYFUNCTION("""COMPUTED_VALUE"""),"Montessorium Cedar Park")</f>
        <v>Montessorium Cedar Park</v>
      </c>
      <c r="M2553" s="6" t="str">
        <f>IFERROR(__xludf.DUMMYFUNCTION("""COMPUTED_VALUE"""),"")</f>
        <v/>
      </c>
      <c r="N2553" s="6" t="str">
        <f>IFERROR(__xludf.DUMMYFUNCTION("""COMPUTED_VALUE"""),"")</f>
        <v/>
      </c>
      <c r="O2553" s="87" t="str">
        <f>IFERROR(__xludf.DUMMYFUNCTION("""COMPUTED_VALUE"""),"https://drive.google.com/drive/folders/10T2cTQHqEJZqE-st6uFKPoI?usp=share_link")</f>
        <v>https://drive.google.com/drive/folders/10T2cTQHqEJZqE-st6uFKPoI?usp=share_link</v>
      </c>
      <c r="P2553" s="6" t="str">
        <f>IFERROR(__xludf.DUMMYFUNCTION("""COMPUTED_VALUE"""),"Griffin Mendes")</f>
        <v>Griffin Mendes</v>
      </c>
      <c r="Q2553" s="6" t="str">
        <f>IFERROR(__xludf.DUMMYFUNCTION("""COMPUTED_VALUE"""),"L2")</f>
        <v>L2</v>
      </c>
      <c r="R2553" s="6">
        <f>IFERROR(__xludf.DUMMYFUNCTION("""COMPUTED_VALUE"""),2.0)</f>
        <v>2</v>
      </c>
      <c r="S2553" s="6" t="str">
        <f>IFERROR(__xludf.DUMMYFUNCTION("""COMPUTED_VALUE"""),"Anna Smiley")</f>
        <v>Anna Smiley</v>
      </c>
      <c r="T2553" s="6" t="str">
        <f>IFERROR(__xludf.DUMMYFUNCTION("""COMPUTED_VALUE"""),"anna.smiley@montessorium.school")</f>
        <v>anna.smiley@montessorium.school</v>
      </c>
      <c r="U2553" s="6" t="str">
        <f>IFERROR(__xludf.DUMMYFUNCTION("""COMPUTED_VALUE"""),"4")</f>
        <v>4</v>
      </c>
      <c r="V2553" s="6" t="str">
        <f>IFERROR(__xludf.DUMMYFUNCTION("""COMPUTED_VALUE"""),"")</f>
        <v/>
      </c>
      <c r="W2553" s="6" t="str">
        <f>IFERROR(__xludf.DUMMYFUNCTION("""COMPUTED_VALUE"""),"[]")</f>
        <v>[]</v>
      </c>
      <c r="X2553" s="6" t="str">
        <f>IFERROR(__xludf.DUMMYFUNCTION("""COMPUTED_VALUE"""),"Enrolled")</f>
        <v>Enrolled</v>
      </c>
    </row>
    <row r="2554">
      <c r="A2554" s="6" t="str">
        <f>IFERROR(__xludf.DUMMYFUNCTION("""COMPUTED_VALUE"""),"053-4242")</f>
        <v>053-4242</v>
      </c>
      <c r="B2554" s="6" t="str">
        <f>IFERROR(__xludf.DUMMYFUNCTION("""COMPUTED_VALUE"""),"53")</f>
        <v>53</v>
      </c>
      <c r="C2554" s="6" t="str">
        <f>IFERROR(__xludf.DUMMYFUNCTION("""COMPUTED_VALUE"""),"4242")</f>
        <v>4242</v>
      </c>
      <c r="D2554" s="6" t="str">
        <f>IFERROR(__xludf.DUMMYFUNCTION("""COMPUTED_VALUE"""),"Mebin")</f>
        <v>Mebin</v>
      </c>
      <c r="E2554" s="6" t="str">
        <f>IFERROR(__xludf.DUMMYFUNCTION("""COMPUTED_VALUE"""),"")</f>
        <v/>
      </c>
      <c r="F2554" s="6" t="str">
        <f>IFERROR(__xludf.DUMMYFUNCTION("""COMPUTED_VALUE"""),"Timilsina")</f>
        <v>Timilsina</v>
      </c>
      <c r="G2554" s="6" t="str">
        <f>IFERROR(__xludf.DUMMYFUNCTION("""COMPUTED_VALUE"""),"05/30/2018")</f>
        <v>05/30/2018</v>
      </c>
      <c r="H2554" s="6" t="str">
        <f>IFERROR(__xludf.DUMMYFUNCTION("""COMPUTED_VALUE"""),"male")</f>
        <v>male</v>
      </c>
      <c r="I2554" s="6" t="str">
        <f>IFERROR(__xludf.DUMMYFUNCTION("""COMPUTED_VALUE"""),"Level 1")</f>
        <v>Level 1</v>
      </c>
      <c r="J2554" s="6" t="str">
        <f>IFERROR(__xludf.DUMMYFUNCTION("""COMPUTED_VALUE"""),"2")</f>
        <v>2</v>
      </c>
      <c r="K2554" s="6" t="str">
        <f>IFERROR(__xludf.DUMMYFUNCTION("""COMPUTED_VALUE"""),"mebin.timilsina@montessorium.school")</f>
        <v>mebin.timilsina@montessorium.school</v>
      </c>
      <c r="L2554" s="6" t="str">
        <f>IFERROR(__xludf.DUMMYFUNCTION("""COMPUTED_VALUE"""),"Montessorium Cedar Park")</f>
        <v>Montessorium Cedar Park</v>
      </c>
      <c r="M2554" s="6" t="str">
        <f>IFERROR(__xludf.DUMMYFUNCTION("""COMPUTED_VALUE"""),"")</f>
        <v/>
      </c>
      <c r="N2554" s="6" t="str">
        <f>IFERROR(__xludf.DUMMYFUNCTION("""COMPUTED_VALUE"""),"")</f>
        <v/>
      </c>
      <c r="O2554" s="87" t="str">
        <f>IFERROR(__xludf.DUMMYFUNCTION("""COMPUTED_VALUE"""),"https://drive.google.com/drive/folders/10T2cTQHqEJZqE-st6uFKPoI?usp=share_link")</f>
        <v>https://drive.google.com/drive/folders/10T2cTQHqEJZqE-st6uFKPoI?usp=share_link</v>
      </c>
      <c r="P2554" s="6" t="str">
        <f>IFERROR(__xludf.DUMMYFUNCTION("""COMPUTED_VALUE"""),"Mebin Timilsina")</f>
        <v>Mebin Timilsina</v>
      </c>
      <c r="Q2554" s="6" t="str">
        <f>IFERROR(__xludf.DUMMYFUNCTION("""COMPUTED_VALUE"""),"L1")</f>
        <v>L1</v>
      </c>
      <c r="R2554" s="6">
        <f>IFERROR(__xludf.DUMMYFUNCTION("""COMPUTED_VALUE"""),1.0)</f>
        <v>1</v>
      </c>
      <c r="S2554" s="6" t="str">
        <f>IFERROR(__xludf.DUMMYFUNCTION("""COMPUTED_VALUE"""),"Anna Smiley")</f>
        <v>Anna Smiley</v>
      </c>
      <c r="T2554" s="6" t="str">
        <f>IFERROR(__xludf.DUMMYFUNCTION("""COMPUTED_VALUE"""),"anna.smiley@montessorium.school")</f>
        <v>anna.smiley@montessorium.school</v>
      </c>
      <c r="U2554" s="6" t="str">
        <f>IFERROR(__xludf.DUMMYFUNCTION("""COMPUTED_VALUE"""),"2")</f>
        <v>2</v>
      </c>
      <c r="V2554" s="6" t="str">
        <f>IFERROR(__xludf.DUMMYFUNCTION("""COMPUTED_VALUE"""),"")</f>
        <v/>
      </c>
      <c r="W2554" s="6" t="str">
        <f>IFERROR(__xludf.DUMMYFUNCTION("""COMPUTED_VALUE"""),"[]")</f>
        <v>[]</v>
      </c>
      <c r="X2554" s="6" t="str">
        <f>IFERROR(__xludf.DUMMYFUNCTION("""COMPUTED_VALUE"""),"Enrolled")</f>
        <v>Enrolled</v>
      </c>
    </row>
    <row r="2555">
      <c r="A2555" s="6" t="str">
        <f>IFERROR(__xludf.DUMMYFUNCTION("""COMPUTED_VALUE"""),"053-4331")</f>
        <v>053-4331</v>
      </c>
      <c r="B2555" s="6" t="str">
        <f>IFERROR(__xludf.DUMMYFUNCTION("""COMPUTED_VALUE"""),"53")</f>
        <v>53</v>
      </c>
      <c r="C2555" s="6" t="str">
        <f>IFERROR(__xludf.DUMMYFUNCTION("""COMPUTED_VALUE"""),"4331")</f>
        <v>4331</v>
      </c>
      <c r="D2555" s="6" t="str">
        <f>IFERROR(__xludf.DUMMYFUNCTION("""COMPUTED_VALUE"""),"Jake")</f>
        <v>Jake</v>
      </c>
      <c r="E2555" s="6" t="str">
        <f>IFERROR(__xludf.DUMMYFUNCTION("""COMPUTED_VALUE"""),"")</f>
        <v/>
      </c>
      <c r="F2555" s="6" t="str">
        <f>IFERROR(__xludf.DUMMYFUNCTION("""COMPUTED_VALUE"""),"Grimes")</f>
        <v>Grimes</v>
      </c>
      <c r="G2555" s="6" t="str">
        <f>IFERROR(__xludf.DUMMYFUNCTION("""COMPUTED_VALUE"""),"12/12/2019")</f>
        <v>12/12/2019</v>
      </c>
      <c r="H2555" s="6" t="str">
        <f>IFERROR(__xludf.DUMMYFUNCTION("""COMPUTED_VALUE"""),"Self Identify")</f>
        <v>Self Identify</v>
      </c>
      <c r="I2555" s="6" t="str">
        <f>IFERROR(__xludf.DUMMYFUNCTION("""COMPUTED_VALUE"""),"Learning Lab")</f>
        <v>Learning Lab</v>
      </c>
      <c r="J2555" s="6" t="str">
        <f>IFERROR(__xludf.DUMMYFUNCTION("""COMPUTED_VALUE"""),"1")</f>
        <v>1</v>
      </c>
      <c r="K2555" s="6" t="str">
        <f>IFERROR(__xludf.DUMMYFUNCTION("""COMPUTED_VALUE"""),"jake.grimes@montessorium.school")</f>
        <v>jake.grimes@montessorium.school</v>
      </c>
      <c r="L2555" s="6" t="str">
        <f>IFERROR(__xludf.DUMMYFUNCTION("""COMPUTED_VALUE"""),"Montessorium Cedar Park")</f>
        <v>Montessorium Cedar Park</v>
      </c>
      <c r="M2555" s="6" t="str">
        <f>IFERROR(__xludf.DUMMYFUNCTION("""COMPUTED_VALUE"""),"")</f>
        <v/>
      </c>
      <c r="N2555" s="6" t="str">
        <f>IFERROR(__xludf.DUMMYFUNCTION("""COMPUTED_VALUE"""),"")</f>
        <v/>
      </c>
      <c r="O2555" s="87" t="str">
        <f>IFERROR(__xludf.DUMMYFUNCTION("""COMPUTED_VALUE"""),"https://drive.google.com/drive/folders/10T2cTQHqEJZqE-st6uFKPoI?usp=share_link")</f>
        <v>https://drive.google.com/drive/folders/10T2cTQHqEJZqE-st6uFKPoI?usp=share_link</v>
      </c>
      <c r="P2555" s="6" t="str">
        <f>IFERROR(__xludf.DUMMYFUNCTION("""COMPUTED_VALUE"""),"Jake Grimes")</f>
        <v>Jake Grimes</v>
      </c>
      <c r="Q2555" s="6" t="str">
        <f>IFERROR(__xludf.DUMMYFUNCTION("""COMPUTED_VALUE"""),"LL")</f>
        <v>LL</v>
      </c>
      <c r="R2555" s="6">
        <f>IFERROR(__xludf.DUMMYFUNCTION("""COMPUTED_VALUE"""),0.0)</f>
        <v>0</v>
      </c>
      <c r="S2555" s="6" t="str">
        <f>IFERROR(__xludf.DUMMYFUNCTION("""COMPUTED_VALUE"""),"Anna Smiley")</f>
        <v>Anna Smiley</v>
      </c>
      <c r="T2555" s="6" t="str">
        <f>IFERROR(__xludf.DUMMYFUNCTION("""COMPUTED_VALUE"""),"anna.smiley@montessorium.school")</f>
        <v>anna.smiley@montessorium.school</v>
      </c>
      <c r="U2555" s="6" t="str">
        <f>IFERROR(__xludf.DUMMYFUNCTION("""COMPUTED_VALUE"""),"1")</f>
        <v>1</v>
      </c>
      <c r="V2555" s="6" t="str">
        <f>IFERROR(__xludf.DUMMYFUNCTION("""COMPUTED_VALUE"""),"")</f>
        <v/>
      </c>
      <c r="W2555" s="6" t="str">
        <f>IFERROR(__xludf.DUMMYFUNCTION("""COMPUTED_VALUE"""),"[]")</f>
        <v>[]</v>
      </c>
      <c r="X2555" s="6" t="str">
        <f>IFERROR(__xludf.DUMMYFUNCTION("""COMPUTED_VALUE"""),"Enrolled")</f>
        <v>Enrolled</v>
      </c>
    </row>
    <row r="2556">
      <c r="A2556" s="6" t="str">
        <f>IFERROR(__xludf.DUMMYFUNCTION("""COMPUTED_VALUE"""),"053-4354")</f>
        <v>053-4354</v>
      </c>
      <c r="B2556" s="6" t="str">
        <f>IFERROR(__xludf.DUMMYFUNCTION("""COMPUTED_VALUE"""),"53")</f>
        <v>53</v>
      </c>
      <c r="C2556" s="6" t="str">
        <f>IFERROR(__xludf.DUMMYFUNCTION("""COMPUTED_VALUE"""),"4354")</f>
        <v>4354</v>
      </c>
      <c r="D2556" s="6" t="str">
        <f>IFERROR(__xludf.DUMMYFUNCTION("""COMPUTED_VALUE"""),"Zara")</f>
        <v>Zara</v>
      </c>
      <c r="E2556" s="6" t="str">
        <f>IFERROR(__xludf.DUMMYFUNCTION("""COMPUTED_VALUE"""),"Zara")</f>
        <v>Zara</v>
      </c>
      <c r="F2556" s="6" t="str">
        <f>IFERROR(__xludf.DUMMYFUNCTION("""COMPUTED_VALUE"""),"Enayati")</f>
        <v>Enayati</v>
      </c>
      <c r="G2556" s="6" t="str">
        <f>IFERROR(__xludf.DUMMYFUNCTION("""COMPUTED_VALUE"""),"03/28/2018")</f>
        <v>03/28/2018</v>
      </c>
      <c r="H2556" s="6" t="str">
        <f>IFERROR(__xludf.DUMMYFUNCTION("""COMPUTED_VALUE"""),"female")</f>
        <v>female</v>
      </c>
      <c r="I2556" s="6" t="str">
        <f>IFERROR(__xludf.DUMMYFUNCTION("""COMPUTED_VALUE"""),"Level 1")</f>
        <v>Level 1</v>
      </c>
      <c r="J2556" s="6" t="str">
        <f>IFERROR(__xludf.DUMMYFUNCTION("""COMPUTED_VALUE"""),"2")</f>
        <v>2</v>
      </c>
      <c r="K2556" s="6" t="str">
        <f>IFERROR(__xludf.DUMMYFUNCTION("""COMPUTED_VALUE"""),"zara.enayati@montessorium.school")</f>
        <v>zara.enayati@montessorium.school</v>
      </c>
      <c r="L2556" s="6" t="str">
        <f>IFERROR(__xludf.DUMMYFUNCTION("""COMPUTED_VALUE"""),"Montessorium Cedar Park")</f>
        <v>Montessorium Cedar Park</v>
      </c>
      <c r="M2556" s="6" t="str">
        <f>IFERROR(__xludf.DUMMYFUNCTION("""COMPUTED_VALUE"""),"")</f>
        <v/>
      </c>
      <c r="N2556" s="6" t="str">
        <f>IFERROR(__xludf.DUMMYFUNCTION("""COMPUTED_VALUE"""),"")</f>
        <v/>
      </c>
      <c r="O2556" s="87" t="str">
        <f>IFERROR(__xludf.DUMMYFUNCTION("""COMPUTED_VALUE"""),"https://drive.google.com/drive/folders/10T2cTQHqEJZqE-st6uFKPoI?usp=share_link")</f>
        <v>https://drive.google.com/drive/folders/10T2cTQHqEJZqE-st6uFKPoI?usp=share_link</v>
      </c>
      <c r="P2556" s="6" t="str">
        <f>IFERROR(__xludf.DUMMYFUNCTION("""COMPUTED_VALUE"""),"Zara Enayati")</f>
        <v>Zara Enayati</v>
      </c>
      <c r="Q2556" s="6" t="str">
        <f>IFERROR(__xludf.DUMMYFUNCTION("""COMPUTED_VALUE"""),"L1")</f>
        <v>L1</v>
      </c>
      <c r="R2556" s="6">
        <f>IFERROR(__xludf.DUMMYFUNCTION("""COMPUTED_VALUE"""),1.0)</f>
        <v>1</v>
      </c>
      <c r="S2556" s="6" t="str">
        <f>IFERROR(__xludf.DUMMYFUNCTION("""COMPUTED_VALUE"""),"Anna Smiley")</f>
        <v>Anna Smiley</v>
      </c>
      <c r="T2556" s="6" t="str">
        <f>IFERROR(__xludf.DUMMYFUNCTION("""COMPUTED_VALUE"""),"anna.smiley@montessorium.school")</f>
        <v>anna.smiley@montessorium.school</v>
      </c>
      <c r="U2556" s="6" t="str">
        <f>IFERROR(__xludf.DUMMYFUNCTION("""COMPUTED_VALUE"""),"2")</f>
        <v>2</v>
      </c>
      <c r="V2556" s="6" t="str">
        <f>IFERROR(__xludf.DUMMYFUNCTION("""COMPUTED_VALUE"""),"")</f>
        <v/>
      </c>
      <c r="W2556" s="6" t="str">
        <f>IFERROR(__xludf.DUMMYFUNCTION("""COMPUTED_VALUE"""),"[]")</f>
        <v>[]</v>
      </c>
      <c r="X2556" s="6" t="str">
        <f>IFERROR(__xludf.DUMMYFUNCTION("""COMPUTED_VALUE"""),"Enrolled")</f>
        <v>Enrolled</v>
      </c>
    </row>
    <row r="2557">
      <c r="A2557" s="6" t="str">
        <f>IFERROR(__xludf.DUMMYFUNCTION("""COMPUTED_VALUE"""),"053-4373")</f>
        <v>053-4373</v>
      </c>
      <c r="B2557" s="6" t="str">
        <f>IFERROR(__xludf.DUMMYFUNCTION("""COMPUTED_VALUE"""),"53")</f>
        <v>53</v>
      </c>
      <c r="C2557" s="6" t="str">
        <f>IFERROR(__xludf.DUMMYFUNCTION("""COMPUTED_VALUE"""),"4373")</f>
        <v>4373</v>
      </c>
      <c r="D2557" s="6" t="str">
        <f>IFERROR(__xludf.DUMMYFUNCTION("""COMPUTED_VALUE"""),"Zander")</f>
        <v>Zander</v>
      </c>
      <c r="E2557" s="6" t="str">
        <f>IFERROR(__xludf.DUMMYFUNCTION("""COMPUTED_VALUE"""),"Zander")</f>
        <v>Zander</v>
      </c>
      <c r="F2557" s="6" t="str">
        <f>IFERROR(__xludf.DUMMYFUNCTION("""COMPUTED_VALUE"""),"Halili")</f>
        <v>Halili</v>
      </c>
      <c r="G2557" s="6" t="str">
        <f>IFERROR(__xludf.DUMMYFUNCTION("""COMPUTED_VALUE"""),"01/28/2017")</f>
        <v>01/28/2017</v>
      </c>
      <c r="H2557" s="6" t="str">
        <f>IFERROR(__xludf.DUMMYFUNCTION("""COMPUTED_VALUE"""),"male")</f>
        <v>male</v>
      </c>
      <c r="I2557" s="6" t="str">
        <f>IFERROR(__xludf.DUMMYFUNCTION("""COMPUTED_VALUE"""),"Level 1")</f>
        <v>Level 1</v>
      </c>
      <c r="J2557" s="6" t="str">
        <f>IFERROR(__xludf.DUMMYFUNCTION("""COMPUTED_VALUE"""),"3")</f>
        <v>3</v>
      </c>
      <c r="K2557" s="6" t="str">
        <f>IFERROR(__xludf.DUMMYFUNCTION("""COMPUTED_VALUE"""),"zander.halili@montessorium.school")</f>
        <v>zander.halili@montessorium.school</v>
      </c>
      <c r="L2557" s="6" t="str">
        <f>IFERROR(__xludf.DUMMYFUNCTION("""COMPUTED_VALUE"""),"Montessorium Cedar Park")</f>
        <v>Montessorium Cedar Park</v>
      </c>
      <c r="M2557" s="6" t="str">
        <f>IFERROR(__xludf.DUMMYFUNCTION("""COMPUTED_VALUE"""),"")</f>
        <v/>
      </c>
      <c r="N2557" s="6" t="str">
        <f>IFERROR(__xludf.DUMMYFUNCTION("""COMPUTED_VALUE"""),"")</f>
        <v/>
      </c>
      <c r="O2557" s="87" t="str">
        <f>IFERROR(__xludf.DUMMYFUNCTION("""COMPUTED_VALUE"""),"https://drive.google.com/drive/folders/10T2cTQHqEJZqE-st6uFKPoI?usp=share_link")</f>
        <v>https://drive.google.com/drive/folders/10T2cTQHqEJZqE-st6uFKPoI?usp=share_link</v>
      </c>
      <c r="P2557" s="6" t="str">
        <f>IFERROR(__xludf.DUMMYFUNCTION("""COMPUTED_VALUE"""),"Zander Halili")</f>
        <v>Zander Halili</v>
      </c>
      <c r="Q2557" s="6" t="str">
        <f>IFERROR(__xludf.DUMMYFUNCTION("""COMPUTED_VALUE"""),"L1")</f>
        <v>L1</v>
      </c>
      <c r="R2557" s="6">
        <f>IFERROR(__xludf.DUMMYFUNCTION("""COMPUTED_VALUE"""),1.0)</f>
        <v>1</v>
      </c>
      <c r="S2557" s="6" t="str">
        <f>IFERROR(__xludf.DUMMYFUNCTION("""COMPUTED_VALUE"""),"Anna Smiley")</f>
        <v>Anna Smiley</v>
      </c>
      <c r="T2557" s="6" t="str">
        <f>IFERROR(__xludf.DUMMYFUNCTION("""COMPUTED_VALUE"""),"anna.smiley@montessorium.school")</f>
        <v>anna.smiley@montessorium.school</v>
      </c>
      <c r="U2557" s="6" t="str">
        <f>IFERROR(__xludf.DUMMYFUNCTION("""COMPUTED_VALUE"""),"3")</f>
        <v>3</v>
      </c>
      <c r="V2557" s="6" t="str">
        <f>IFERROR(__xludf.DUMMYFUNCTION("""COMPUTED_VALUE"""),"")</f>
        <v/>
      </c>
      <c r="W2557" s="6" t="str">
        <f>IFERROR(__xludf.DUMMYFUNCTION("""COMPUTED_VALUE"""),"[]")</f>
        <v>[]</v>
      </c>
      <c r="X2557" s="6" t="str">
        <f>IFERROR(__xludf.DUMMYFUNCTION("""COMPUTED_VALUE"""),"Enrolled")</f>
        <v>Enrolled</v>
      </c>
    </row>
    <row r="2558">
      <c r="A2558" s="6" t="str">
        <f>IFERROR(__xludf.DUMMYFUNCTION("""COMPUTED_VALUE"""),"053-4377")</f>
        <v>053-4377</v>
      </c>
      <c r="B2558" s="6" t="str">
        <f>IFERROR(__xludf.DUMMYFUNCTION("""COMPUTED_VALUE"""),"53")</f>
        <v>53</v>
      </c>
      <c r="C2558" s="6" t="str">
        <f>IFERROR(__xludf.DUMMYFUNCTION("""COMPUTED_VALUE"""),"4377")</f>
        <v>4377</v>
      </c>
      <c r="D2558" s="6" t="str">
        <f>IFERROR(__xludf.DUMMYFUNCTION("""COMPUTED_VALUE"""),"Kriya")</f>
        <v>Kriya</v>
      </c>
      <c r="E2558" s="6" t="str">
        <f>IFERROR(__xludf.DUMMYFUNCTION("""COMPUTED_VALUE"""),"Kriya")</f>
        <v>Kriya</v>
      </c>
      <c r="F2558" s="6" t="str">
        <f>IFERROR(__xludf.DUMMYFUNCTION("""COMPUTED_VALUE"""),"Santhoshkumar")</f>
        <v>Santhoshkumar</v>
      </c>
      <c r="G2558" s="6" t="str">
        <f>IFERROR(__xludf.DUMMYFUNCTION("""COMPUTED_VALUE"""),"12/25/2018")</f>
        <v>12/25/2018</v>
      </c>
      <c r="H2558" s="6" t="str">
        <f>IFERROR(__xludf.DUMMYFUNCTION("""COMPUTED_VALUE"""),"female")</f>
        <v>female</v>
      </c>
      <c r="I2558" s="6" t="str">
        <f>IFERROR(__xludf.DUMMYFUNCTION("""COMPUTED_VALUE"""),"Level 1")</f>
        <v>Level 1</v>
      </c>
      <c r="J2558" s="6" t="str">
        <f>IFERROR(__xludf.DUMMYFUNCTION("""COMPUTED_VALUE"""),"2")</f>
        <v>2</v>
      </c>
      <c r="K2558" s="6" t="str">
        <f>IFERROR(__xludf.DUMMYFUNCTION("""COMPUTED_VALUE"""),"kriya.santhoshkumar@montessorium.school")</f>
        <v>kriya.santhoshkumar@montessorium.school</v>
      </c>
      <c r="L2558" s="6" t="str">
        <f>IFERROR(__xludf.DUMMYFUNCTION("""COMPUTED_VALUE"""),"Montessorium Cedar Park")</f>
        <v>Montessorium Cedar Park</v>
      </c>
      <c r="M2558" s="6" t="str">
        <f>IFERROR(__xludf.DUMMYFUNCTION("""COMPUTED_VALUE"""),"")</f>
        <v/>
      </c>
      <c r="N2558" s="6" t="str">
        <f>IFERROR(__xludf.DUMMYFUNCTION("""COMPUTED_VALUE"""),"")</f>
        <v/>
      </c>
      <c r="O2558" s="87" t="str">
        <f>IFERROR(__xludf.DUMMYFUNCTION("""COMPUTED_VALUE"""),"https://drive.google.com/drive/folders/10T2cTQHqEJZqE-st6uFKPoI?usp=share_link")</f>
        <v>https://drive.google.com/drive/folders/10T2cTQHqEJZqE-st6uFKPoI?usp=share_link</v>
      </c>
      <c r="P2558" s="6" t="str">
        <f>IFERROR(__xludf.DUMMYFUNCTION("""COMPUTED_VALUE"""),"Kriya Santhoshkumar")</f>
        <v>Kriya Santhoshkumar</v>
      </c>
      <c r="Q2558" s="6" t="str">
        <f>IFERROR(__xludf.DUMMYFUNCTION("""COMPUTED_VALUE"""),"L1")</f>
        <v>L1</v>
      </c>
      <c r="R2558" s="6">
        <f>IFERROR(__xludf.DUMMYFUNCTION("""COMPUTED_VALUE"""),1.0)</f>
        <v>1</v>
      </c>
      <c r="S2558" s="6" t="str">
        <f>IFERROR(__xludf.DUMMYFUNCTION("""COMPUTED_VALUE"""),"Anna Smiley")</f>
        <v>Anna Smiley</v>
      </c>
      <c r="T2558" s="6" t="str">
        <f>IFERROR(__xludf.DUMMYFUNCTION("""COMPUTED_VALUE"""),"anna.smiley@montessorium.school")</f>
        <v>anna.smiley@montessorium.school</v>
      </c>
      <c r="U2558" s="6" t="str">
        <f>IFERROR(__xludf.DUMMYFUNCTION("""COMPUTED_VALUE"""),"2")</f>
        <v>2</v>
      </c>
      <c r="V2558" s="6" t="str">
        <f>IFERROR(__xludf.DUMMYFUNCTION("""COMPUTED_VALUE"""),"")</f>
        <v/>
      </c>
      <c r="W2558" s="6" t="str">
        <f>IFERROR(__xludf.DUMMYFUNCTION("""COMPUTED_VALUE"""),"[]")</f>
        <v>[]</v>
      </c>
      <c r="X2558" s="6" t="str">
        <f>IFERROR(__xludf.DUMMYFUNCTION("""COMPUTED_VALUE"""),"Enrolled")</f>
        <v>Enrolled</v>
      </c>
    </row>
    <row r="2559">
      <c r="A2559" s="6" t="str">
        <f>IFERROR(__xludf.DUMMYFUNCTION("""COMPUTED_VALUE"""),"053-6962")</f>
        <v>053-6962</v>
      </c>
      <c r="B2559" s="6" t="str">
        <f>IFERROR(__xludf.DUMMYFUNCTION("""COMPUTED_VALUE"""),"53")</f>
        <v>53</v>
      </c>
      <c r="C2559" s="6" t="str">
        <f>IFERROR(__xludf.DUMMYFUNCTION("""COMPUTED_VALUE"""),"6962")</f>
        <v>6962</v>
      </c>
      <c r="D2559" s="6" t="str">
        <f>IFERROR(__xludf.DUMMYFUNCTION("""COMPUTED_VALUE"""),"Maya")</f>
        <v>Maya</v>
      </c>
      <c r="E2559" s="6" t="str">
        <f>IFERROR(__xludf.DUMMYFUNCTION("""COMPUTED_VALUE"""),"")</f>
        <v/>
      </c>
      <c r="F2559" s="6" t="str">
        <f>IFERROR(__xludf.DUMMYFUNCTION("""COMPUTED_VALUE"""),"Prokupets")</f>
        <v>Prokupets</v>
      </c>
      <c r="G2559" s="6" t="str">
        <f>IFERROR(__xludf.DUMMYFUNCTION("""COMPUTED_VALUE"""),"10/20/2020")</f>
        <v>10/20/2020</v>
      </c>
      <c r="H2559" s="6" t="str">
        <f>IFERROR(__xludf.DUMMYFUNCTION("""COMPUTED_VALUE"""),"female")</f>
        <v>female</v>
      </c>
      <c r="I2559" s="6" t="str">
        <f>IFERROR(__xludf.DUMMYFUNCTION("""COMPUTED_VALUE"""),"Learning Lab")</f>
        <v>Learning Lab</v>
      </c>
      <c r="J2559" s="6" t="str">
        <f>IFERROR(__xludf.DUMMYFUNCTION("""COMPUTED_VALUE"""),"K")</f>
        <v>K</v>
      </c>
      <c r="K2559" s="6" t="str">
        <f>IFERROR(__xludf.DUMMYFUNCTION("""COMPUTED_VALUE"""),"maya.prokupets@montessorium.school")</f>
        <v>maya.prokupets@montessorium.school</v>
      </c>
      <c r="L2559" s="6" t="str">
        <f>IFERROR(__xludf.DUMMYFUNCTION("""COMPUTED_VALUE"""),"Montessorium Cedar Park")</f>
        <v>Montessorium Cedar Park</v>
      </c>
      <c r="M2559" s="6" t="str">
        <f>IFERROR(__xludf.DUMMYFUNCTION("""COMPUTED_VALUE"""),"")</f>
        <v/>
      </c>
      <c r="N2559" s="6" t="str">
        <f>IFERROR(__xludf.DUMMYFUNCTION("""COMPUTED_VALUE"""),"")</f>
        <v/>
      </c>
      <c r="O2559" s="87" t="str">
        <f>IFERROR(__xludf.DUMMYFUNCTION("""COMPUTED_VALUE"""),"https://drive.google.com/drive/folders/10T2cTQHqEJZqE-st6uFKPoI?usp=share_link")</f>
        <v>https://drive.google.com/drive/folders/10T2cTQHqEJZqE-st6uFKPoI?usp=share_link</v>
      </c>
      <c r="P2559" s="6" t="str">
        <f>IFERROR(__xludf.DUMMYFUNCTION("""COMPUTED_VALUE"""),"Maya Prokupets")</f>
        <v>Maya Prokupets</v>
      </c>
      <c r="Q2559" s="6" t="str">
        <f>IFERROR(__xludf.DUMMYFUNCTION("""COMPUTED_VALUE"""),"LL")</f>
        <v>LL</v>
      </c>
      <c r="R2559" s="6">
        <f>IFERROR(__xludf.DUMMYFUNCTION("""COMPUTED_VALUE"""),0.0)</f>
        <v>0</v>
      </c>
      <c r="S2559" s="6" t="str">
        <f>IFERROR(__xludf.DUMMYFUNCTION("""COMPUTED_VALUE"""),"Anna Smiley")</f>
        <v>Anna Smiley</v>
      </c>
      <c r="T2559" s="6" t="str">
        <f>IFERROR(__xludf.DUMMYFUNCTION("""COMPUTED_VALUE"""),"anna.smiley@montessorium.school")</f>
        <v>anna.smiley@montessorium.school</v>
      </c>
      <c r="U2559" s="6" t="str">
        <f>IFERROR(__xludf.DUMMYFUNCTION("""COMPUTED_VALUE"""),"K")</f>
        <v>K</v>
      </c>
      <c r="V2559" s="6" t="str">
        <f>IFERROR(__xludf.DUMMYFUNCTION("""COMPUTED_VALUE"""),"")</f>
        <v/>
      </c>
      <c r="W2559" s="6" t="str">
        <f>IFERROR(__xludf.DUMMYFUNCTION("""COMPUTED_VALUE"""),"[]")</f>
        <v>[]</v>
      </c>
      <c r="X2559" s="6" t="str">
        <f>IFERROR(__xludf.DUMMYFUNCTION("""COMPUTED_VALUE"""),"Enrolled")</f>
        <v>Enrolled</v>
      </c>
    </row>
    <row r="2560">
      <c r="A2560" s="6" t="str">
        <f>IFERROR(__xludf.DUMMYFUNCTION("""COMPUTED_VALUE"""),"053-7038")</f>
        <v>053-7038</v>
      </c>
      <c r="B2560" s="6" t="str">
        <f>IFERROR(__xludf.DUMMYFUNCTION("""COMPUTED_VALUE"""),"53")</f>
        <v>53</v>
      </c>
      <c r="C2560" s="6" t="str">
        <f>IFERROR(__xludf.DUMMYFUNCTION("""COMPUTED_VALUE"""),"7038")</f>
        <v>7038</v>
      </c>
      <c r="D2560" s="6" t="str">
        <f>IFERROR(__xludf.DUMMYFUNCTION("""COMPUTED_VALUE"""),"Liam")</f>
        <v>Liam</v>
      </c>
      <c r="E2560" s="6" t="str">
        <f>IFERROR(__xludf.DUMMYFUNCTION("""COMPUTED_VALUE"""),"Liam")</f>
        <v>Liam</v>
      </c>
      <c r="F2560" s="6" t="str">
        <f>IFERROR(__xludf.DUMMYFUNCTION("""COMPUTED_VALUE"""),"Rahim")</f>
        <v>Rahim</v>
      </c>
      <c r="G2560" s="6" t="str">
        <f>IFERROR(__xludf.DUMMYFUNCTION("""COMPUTED_VALUE"""),"03/05/2020")</f>
        <v>03/05/2020</v>
      </c>
      <c r="H2560" s="6" t="str">
        <f>IFERROR(__xludf.DUMMYFUNCTION("""COMPUTED_VALUE"""),"male")</f>
        <v>male</v>
      </c>
      <c r="I2560" s="6" t="str">
        <f>IFERROR(__xludf.DUMMYFUNCTION("""COMPUTED_VALUE"""),"Learning Lab")</f>
        <v>Learning Lab</v>
      </c>
      <c r="J2560" s="6" t="str">
        <f>IFERROR(__xludf.DUMMYFUNCTION("""COMPUTED_VALUE"""),"1")</f>
        <v>1</v>
      </c>
      <c r="K2560" s="6" t="str">
        <f>IFERROR(__xludf.DUMMYFUNCTION("""COMPUTED_VALUE"""),"liam.rahim@montessorium.school")</f>
        <v>liam.rahim@montessorium.school</v>
      </c>
      <c r="L2560" s="6" t="str">
        <f>IFERROR(__xludf.DUMMYFUNCTION("""COMPUTED_VALUE"""),"Montessorium Cedar Park")</f>
        <v>Montessorium Cedar Park</v>
      </c>
      <c r="M2560" s="6" t="str">
        <f>IFERROR(__xludf.DUMMYFUNCTION("""COMPUTED_VALUE"""),"")</f>
        <v/>
      </c>
      <c r="N2560" s="6" t="str">
        <f>IFERROR(__xludf.DUMMYFUNCTION("""COMPUTED_VALUE"""),"")</f>
        <v/>
      </c>
      <c r="O2560" s="87" t="str">
        <f>IFERROR(__xludf.DUMMYFUNCTION("""COMPUTED_VALUE"""),"https://drive.google.com/drive/folders/10T2cTQHqEJZqE-st6uFKPoI?usp=share_link")</f>
        <v>https://drive.google.com/drive/folders/10T2cTQHqEJZqE-st6uFKPoI?usp=share_link</v>
      </c>
      <c r="P2560" s="6" t="str">
        <f>IFERROR(__xludf.DUMMYFUNCTION("""COMPUTED_VALUE"""),"Liam Rahim")</f>
        <v>Liam Rahim</v>
      </c>
      <c r="Q2560" s="6" t="str">
        <f>IFERROR(__xludf.DUMMYFUNCTION("""COMPUTED_VALUE"""),"LL")</f>
        <v>LL</v>
      </c>
      <c r="R2560" s="6">
        <f>IFERROR(__xludf.DUMMYFUNCTION("""COMPUTED_VALUE"""),0.0)</f>
        <v>0</v>
      </c>
      <c r="S2560" s="6" t="str">
        <f>IFERROR(__xludf.DUMMYFUNCTION("""COMPUTED_VALUE"""),"Anna Smiley")</f>
        <v>Anna Smiley</v>
      </c>
      <c r="T2560" s="6" t="str">
        <f>IFERROR(__xludf.DUMMYFUNCTION("""COMPUTED_VALUE"""),"anna.smiley@montessorium.school")</f>
        <v>anna.smiley@montessorium.school</v>
      </c>
      <c r="U2560" s="6" t="str">
        <f>IFERROR(__xludf.DUMMYFUNCTION("""COMPUTED_VALUE"""),"1")</f>
        <v>1</v>
      </c>
      <c r="V2560" s="6" t="str">
        <f>IFERROR(__xludf.DUMMYFUNCTION("""COMPUTED_VALUE"""),"")</f>
        <v/>
      </c>
      <c r="W2560" s="6" t="str">
        <f>IFERROR(__xludf.DUMMYFUNCTION("""COMPUTED_VALUE"""),"[]")</f>
        <v>[]</v>
      </c>
      <c r="X2560" s="6" t="str">
        <f>IFERROR(__xludf.DUMMYFUNCTION("""COMPUTED_VALUE"""),"Enrolled")</f>
        <v>Enrolled</v>
      </c>
    </row>
    <row r="2561">
      <c r="A2561" s="6" t="str">
        <f>IFERROR(__xludf.DUMMYFUNCTION("""COMPUTED_VALUE"""),"053-8170")</f>
        <v>053-8170</v>
      </c>
      <c r="B2561" s="6" t="str">
        <f>IFERROR(__xludf.DUMMYFUNCTION("""COMPUTED_VALUE"""),"53")</f>
        <v>53</v>
      </c>
      <c r="C2561" s="6" t="str">
        <f>IFERROR(__xludf.DUMMYFUNCTION("""COMPUTED_VALUE"""),"8170")</f>
        <v>8170</v>
      </c>
      <c r="D2561" s="6" t="str">
        <f>IFERROR(__xludf.DUMMYFUNCTION("""COMPUTED_VALUE"""),"Jiwoo")</f>
        <v>Jiwoo</v>
      </c>
      <c r="E2561" s="6" t="str">
        <f>IFERROR(__xludf.DUMMYFUNCTION("""COMPUTED_VALUE"""),"")</f>
        <v/>
      </c>
      <c r="F2561" s="6" t="str">
        <f>IFERROR(__xludf.DUMMYFUNCTION("""COMPUTED_VALUE"""),"Choi")</f>
        <v>Choi</v>
      </c>
      <c r="G2561" s="6" t="str">
        <f>IFERROR(__xludf.DUMMYFUNCTION("""COMPUTED_VALUE"""),"06/11/2020")</f>
        <v>06/11/2020</v>
      </c>
      <c r="H2561" s="6" t="str">
        <f>IFERROR(__xludf.DUMMYFUNCTION("""COMPUTED_VALUE"""),"female")</f>
        <v>female</v>
      </c>
      <c r="I2561" s="6" t="str">
        <f>IFERROR(__xludf.DUMMYFUNCTION("""COMPUTED_VALUE"""),"Learning Lab")</f>
        <v>Learning Lab</v>
      </c>
      <c r="J2561" s="6" t="str">
        <f>IFERROR(__xludf.DUMMYFUNCTION("""COMPUTED_VALUE"""),"1")</f>
        <v>1</v>
      </c>
      <c r="K2561" s="6" t="str">
        <f>IFERROR(__xludf.DUMMYFUNCTION("""COMPUTED_VALUE"""),"jiwoo.choi@montessorium.school")</f>
        <v>jiwoo.choi@montessorium.school</v>
      </c>
      <c r="L2561" s="6" t="str">
        <f>IFERROR(__xludf.DUMMYFUNCTION("""COMPUTED_VALUE"""),"Montessorium Cedar Park")</f>
        <v>Montessorium Cedar Park</v>
      </c>
      <c r="M2561" s="6" t="str">
        <f>IFERROR(__xludf.DUMMYFUNCTION("""COMPUTED_VALUE"""),"")</f>
        <v/>
      </c>
      <c r="N2561" s="6" t="str">
        <f>IFERROR(__xludf.DUMMYFUNCTION("""COMPUTED_VALUE"""),"")</f>
        <v/>
      </c>
      <c r="O2561" s="87" t="str">
        <f>IFERROR(__xludf.DUMMYFUNCTION("""COMPUTED_VALUE"""),"https://drive.google.com/drive/folders/10T2cTQHqEJZqE-st6uFKPoI?usp=share_link")</f>
        <v>https://drive.google.com/drive/folders/10T2cTQHqEJZqE-st6uFKPoI?usp=share_link</v>
      </c>
      <c r="P2561" s="6" t="str">
        <f>IFERROR(__xludf.DUMMYFUNCTION("""COMPUTED_VALUE"""),"Jiwoo Choi")</f>
        <v>Jiwoo Choi</v>
      </c>
      <c r="Q2561" s="6" t="str">
        <f>IFERROR(__xludf.DUMMYFUNCTION("""COMPUTED_VALUE"""),"LL")</f>
        <v>LL</v>
      </c>
      <c r="R2561" s="6">
        <f>IFERROR(__xludf.DUMMYFUNCTION("""COMPUTED_VALUE"""),0.0)</f>
        <v>0</v>
      </c>
      <c r="S2561" s="6" t="str">
        <f>IFERROR(__xludf.DUMMYFUNCTION("""COMPUTED_VALUE"""),"Anna Smiley")</f>
        <v>Anna Smiley</v>
      </c>
      <c r="T2561" s="6" t="str">
        <f>IFERROR(__xludf.DUMMYFUNCTION("""COMPUTED_VALUE"""),"anna.smiley@montessorium.school")</f>
        <v>anna.smiley@montessorium.school</v>
      </c>
      <c r="U2561" s="6" t="str">
        <f>IFERROR(__xludf.DUMMYFUNCTION("""COMPUTED_VALUE"""),"1")</f>
        <v>1</v>
      </c>
      <c r="V2561" s="6" t="str">
        <f>IFERROR(__xludf.DUMMYFUNCTION("""COMPUTED_VALUE"""),"")</f>
        <v/>
      </c>
      <c r="W2561" s="6" t="str">
        <f>IFERROR(__xludf.DUMMYFUNCTION("""COMPUTED_VALUE"""),"[]")</f>
        <v>[]</v>
      </c>
      <c r="X2561" s="6" t="str">
        <f>IFERROR(__xludf.DUMMYFUNCTION("""COMPUTED_VALUE"""),"Enrolled")</f>
        <v>Enrolled</v>
      </c>
    </row>
    <row r="2562">
      <c r="A2562" s="6" t="str">
        <f>IFERROR(__xludf.DUMMYFUNCTION("""COMPUTED_VALUE"""),"053-9179")</f>
        <v>053-9179</v>
      </c>
      <c r="B2562" s="6" t="str">
        <f>IFERROR(__xludf.DUMMYFUNCTION("""COMPUTED_VALUE"""),"53")</f>
        <v>53</v>
      </c>
      <c r="C2562" s="6" t="str">
        <f>IFERROR(__xludf.DUMMYFUNCTION("""COMPUTED_VALUE"""),"9179")</f>
        <v>9179</v>
      </c>
      <c r="D2562" s="6" t="str">
        <f>IFERROR(__xludf.DUMMYFUNCTION("""COMPUTED_VALUE"""),"Lucas")</f>
        <v>Lucas</v>
      </c>
      <c r="E2562" s="6" t="str">
        <f>IFERROR(__xludf.DUMMYFUNCTION("""COMPUTED_VALUE"""),"Lucas")</f>
        <v>Lucas</v>
      </c>
      <c r="F2562" s="6" t="str">
        <f>IFERROR(__xludf.DUMMYFUNCTION("""COMPUTED_VALUE"""),"Skinner")</f>
        <v>Skinner</v>
      </c>
      <c r="G2562" s="6" t="str">
        <f>IFERROR(__xludf.DUMMYFUNCTION("""COMPUTED_VALUE"""),"06/09/2016")</f>
        <v>06/09/2016</v>
      </c>
      <c r="H2562" s="6" t="str">
        <f>IFERROR(__xludf.DUMMYFUNCTION("""COMPUTED_VALUE"""),"male")</f>
        <v>male</v>
      </c>
      <c r="I2562" s="6" t="str">
        <f>IFERROR(__xludf.DUMMYFUNCTION("""COMPUTED_VALUE"""),"Level 1")</f>
        <v>Level 1</v>
      </c>
      <c r="J2562" s="6" t="str">
        <f>IFERROR(__xludf.DUMMYFUNCTION("""COMPUTED_VALUE"""),"3")</f>
        <v>3</v>
      </c>
      <c r="K2562" s="6" t="str">
        <f>IFERROR(__xludf.DUMMYFUNCTION("""COMPUTED_VALUE"""),"lucas.skinner@montessorium.school")</f>
        <v>lucas.skinner@montessorium.school</v>
      </c>
      <c r="L2562" s="6" t="str">
        <f>IFERROR(__xludf.DUMMYFUNCTION("""COMPUTED_VALUE"""),"Montessorium Cedar Park")</f>
        <v>Montessorium Cedar Park</v>
      </c>
      <c r="M2562" s="6" t="str">
        <f>IFERROR(__xludf.DUMMYFUNCTION("""COMPUTED_VALUE"""),"")</f>
        <v/>
      </c>
      <c r="N2562" s="6" t="str">
        <f>IFERROR(__xludf.DUMMYFUNCTION("""COMPUTED_VALUE"""),"")</f>
        <v/>
      </c>
      <c r="O2562" s="87" t="str">
        <f>IFERROR(__xludf.DUMMYFUNCTION("""COMPUTED_VALUE"""),"https://drive.google.com/drive/folders/10T2cTQHqEJZqE-st6uFKPoI?usp=share_link")</f>
        <v>https://drive.google.com/drive/folders/10T2cTQHqEJZqE-st6uFKPoI?usp=share_link</v>
      </c>
      <c r="P2562" s="6" t="str">
        <f>IFERROR(__xludf.DUMMYFUNCTION("""COMPUTED_VALUE"""),"Lucas Skinner")</f>
        <v>Lucas Skinner</v>
      </c>
      <c r="Q2562" s="6" t="str">
        <f>IFERROR(__xludf.DUMMYFUNCTION("""COMPUTED_VALUE"""),"L1")</f>
        <v>L1</v>
      </c>
      <c r="R2562" s="6">
        <f>IFERROR(__xludf.DUMMYFUNCTION("""COMPUTED_VALUE"""),1.0)</f>
        <v>1</v>
      </c>
      <c r="S2562" s="6" t="str">
        <f>IFERROR(__xludf.DUMMYFUNCTION("""COMPUTED_VALUE"""),"Anna Smiley")</f>
        <v>Anna Smiley</v>
      </c>
      <c r="T2562" s="6" t="str">
        <f>IFERROR(__xludf.DUMMYFUNCTION("""COMPUTED_VALUE"""),"anna.smiley@montessorium.school")</f>
        <v>anna.smiley@montessorium.school</v>
      </c>
      <c r="U2562" s="6" t="str">
        <f>IFERROR(__xludf.DUMMYFUNCTION("""COMPUTED_VALUE"""),"3")</f>
        <v>3</v>
      </c>
      <c r="V2562" s="6" t="str">
        <f>IFERROR(__xludf.DUMMYFUNCTION("""COMPUTED_VALUE"""),"")</f>
        <v/>
      </c>
      <c r="W2562" s="6" t="str">
        <f>IFERROR(__xludf.DUMMYFUNCTION("""COMPUTED_VALUE"""),"[]")</f>
        <v>[]</v>
      </c>
      <c r="X2562" s="6" t="str">
        <f>IFERROR(__xludf.DUMMYFUNCTION("""COMPUTED_VALUE"""),"Enrolled")</f>
        <v>Enrolled</v>
      </c>
    </row>
    <row r="2563">
      <c r="A2563" s="6" t="str">
        <f>IFERROR(__xludf.DUMMYFUNCTION("""COMPUTED_VALUE"""),"053-9180")</f>
        <v>053-9180</v>
      </c>
      <c r="B2563" s="6" t="str">
        <f>IFERROR(__xludf.DUMMYFUNCTION("""COMPUTED_VALUE"""),"53")</f>
        <v>53</v>
      </c>
      <c r="C2563" s="6" t="str">
        <f>IFERROR(__xludf.DUMMYFUNCTION("""COMPUTED_VALUE"""),"9180")</f>
        <v>9180</v>
      </c>
      <c r="D2563" s="6" t="str">
        <f>IFERROR(__xludf.DUMMYFUNCTION("""COMPUTED_VALUE"""),"Eva")</f>
        <v>Eva</v>
      </c>
      <c r="E2563" s="6" t="str">
        <f>IFERROR(__xludf.DUMMYFUNCTION("""COMPUTED_VALUE"""),"Eva")</f>
        <v>Eva</v>
      </c>
      <c r="F2563" s="6" t="str">
        <f>IFERROR(__xludf.DUMMYFUNCTION("""COMPUTED_VALUE"""),"Skinner")</f>
        <v>Skinner</v>
      </c>
      <c r="G2563" s="6" t="str">
        <f>IFERROR(__xludf.DUMMYFUNCTION("""COMPUTED_VALUE"""),"11/25/2019")</f>
        <v>11/25/2019</v>
      </c>
      <c r="H2563" s="6" t="str">
        <f>IFERROR(__xludf.DUMMYFUNCTION("""COMPUTED_VALUE"""),"female")</f>
        <v>female</v>
      </c>
      <c r="I2563" s="6" t="str">
        <f>IFERROR(__xludf.DUMMYFUNCTION("""COMPUTED_VALUE"""),"Learning Lab")</f>
        <v>Learning Lab</v>
      </c>
      <c r="J2563" s="6" t="str">
        <f>IFERROR(__xludf.DUMMYFUNCTION("""COMPUTED_VALUE"""),"K")</f>
        <v>K</v>
      </c>
      <c r="K2563" s="6" t="str">
        <f>IFERROR(__xludf.DUMMYFUNCTION("""COMPUTED_VALUE"""),"eva.skinner@montessorium.school")</f>
        <v>eva.skinner@montessorium.school</v>
      </c>
      <c r="L2563" s="6" t="str">
        <f>IFERROR(__xludf.DUMMYFUNCTION("""COMPUTED_VALUE"""),"Montessorium Cedar Park")</f>
        <v>Montessorium Cedar Park</v>
      </c>
      <c r="M2563" s="6" t="str">
        <f>IFERROR(__xludf.DUMMYFUNCTION("""COMPUTED_VALUE"""),"")</f>
        <v/>
      </c>
      <c r="N2563" s="6" t="str">
        <f>IFERROR(__xludf.DUMMYFUNCTION("""COMPUTED_VALUE"""),"")</f>
        <v/>
      </c>
      <c r="O2563" s="87" t="str">
        <f>IFERROR(__xludf.DUMMYFUNCTION("""COMPUTED_VALUE"""),"https://drive.google.com/drive/folders/10T2cTQHqEJZqE-st6uFKPoI?usp=share_link")</f>
        <v>https://drive.google.com/drive/folders/10T2cTQHqEJZqE-st6uFKPoI?usp=share_link</v>
      </c>
      <c r="P2563" s="6" t="str">
        <f>IFERROR(__xludf.DUMMYFUNCTION("""COMPUTED_VALUE"""),"Eva Skinner")</f>
        <v>Eva Skinner</v>
      </c>
      <c r="Q2563" s="6" t="str">
        <f>IFERROR(__xludf.DUMMYFUNCTION("""COMPUTED_VALUE"""),"LL")</f>
        <v>LL</v>
      </c>
      <c r="R2563" s="6">
        <f>IFERROR(__xludf.DUMMYFUNCTION("""COMPUTED_VALUE"""),0.0)</f>
        <v>0</v>
      </c>
      <c r="S2563" s="6" t="str">
        <f>IFERROR(__xludf.DUMMYFUNCTION("""COMPUTED_VALUE"""),"Anna Smiley")</f>
        <v>Anna Smiley</v>
      </c>
      <c r="T2563" s="6" t="str">
        <f>IFERROR(__xludf.DUMMYFUNCTION("""COMPUTED_VALUE"""),"anna.smiley@montessorium.school")</f>
        <v>anna.smiley@montessorium.school</v>
      </c>
      <c r="U2563" s="6" t="str">
        <f>IFERROR(__xludf.DUMMYFUNCTION("""COMPUTED_VALUE"""),"K")</f>
        <v>K</v>
      </c>
      <c r="V2563" s="6" t="str">
        <f>IFERROR(__xludf.DUMMYFUNCTION("""COMPUTED_VALUE"""),"")</f>
        <v/>
      </c>
      <c r="W2563" s="6" t="str">
        <f>IFERROR(__xludf.DUMMYFUNCTION("""COMPUTED_VALUE"""),"[]")</f>
        <v>[]</v>
      </c>
      <c r="X2563" s="6" t="str">
        <f>IFERROR(__xludf.DUMMYFUNCTION("""COMPUTED_VALUE"""),"Enrolled")</f>
        <v>Enrolled</v>
      </c>
    </row>
    <row r="2564">
      <c r="A2564" s="6" t="str">
        <f>IFERROR(__xludf.DUMMYFUNCTION("""COMPUTED_VALUE"""),"056-5330")</f>
        <v>056-5330</v>
      </c>
      <c r="B2564" s="6" t="str">
        <f>IFERROR(__xludf.DUMMYFUNCTION("""COMPUTED_VALUE"""),"56")</f>
        <v>56</v>
      </c>
      <c r="C2564" s="6" t="str">
        <f>IFERROR(__xludf.DUMMYFUNCTION("""COMPUTED_VALUE"""),"5330")</f>
        <v>5330</v>
      </c>
      <c r="D2564" s="6" t="str">
        <f>IFERROR(__xludf.DUMMYFUNCTION("""COMPUTED_VALUE"""),"ReadingF")</f>
        <v>ReadingF</v>
      </c>
      <c r="E2564" s="6" t="str">
        <f>IFERROR(__xludf.DUMMYFUNCTION("""COMPUTED_VALUE"""),"")</f>
        <v/>
      </c>
      <c r="F2564" s="6" t="str">
        <f>IFERROR(__xludf.DUMMYFUNCTION("""COMPUTED_VALUE"""),"ReadingL")</f>
        <v>ReadingL</v>
      </c>
      <c r="G2564" s="6" t="str">
        <f>IFERROR(__xludf.DUMMYFUNCTION("""COMPUTED_VALUE"""),"01/01/2014")</f>
        <v>01/01/2014</v>
      </c>
      <c r="H2564" s="6" t="str">
        <f>IFERROR(__xludf.DUMMYFUNCTION("""COMPUTED_VALUE"""),"male")</f>
        <v>male</v>
      </c>
      <c r="I2564" s="6" t="str">
        <f>IFERROR(__xludf.DUMMYFUNCTION("""COMPUTED_VALUE"""),"Middle School")</f>
        <v>Middle School</v>
      </c>
      <c r="J2564" s="6" t="str">
        <f>IFERROR(__xludf.DUMMYFUNCTION("""COMPUTED_VALUE"""),"7")</f>
        <v>7</v>
      </c>
      <c r="K2564" s="6" t="str">
        <f>IFERROR(__xludf.DUMMYFUNCTION("""COMPUTED_VALUE"""),"readingf.readingl@2hourlearning.com")</f>
        <v>readingf.readingl@2hourlearning.com</v>
      </c>
      <c r="L2564" s="6" t="str">
        <f>IFERROR(__xludf.DUMMYFUNCTION("""COMPUTED_VALUE"""),"Reading Community City School District")</f>
        <v>Reading Community City School District</v>
      </c>
      <c r="M2564" s="6" t="str">
        <f>IFERROR(__xludf.DUMMYFUNCTION("""COMPUTED_VALUE"""),"")</f>
        <v/>
      </c>
      <c r="N2564" s="6" t="str">
        <f>IFERROR(__xludf.DUMMYFUNCTION("""COMPUTED_VALUE"""),"")</f>
        <v/>
      </c>
      <c r="O2564" s="87" t="str">
        <f>IFERROR(__xludf.DUMMYFUNCTION("""COMPUTED_VALUE"""),"https://drive.google.com/drive/folders/10T2cTQHqEJZqE-st6uFKPoI?usp=share_link")</f>
        <v>https://drive.google.com/drive/folders/10T2cTQHqEJZqE-st6uFKPoI?usp=share_link</v>
      </c>
      <c r="P2564" s="6" t="str">
        <f>IFERROR(__xludf.DUMMYFUNCTION("""COMPUTED_VALUE"""),"ReadingF ReadingL")</f>
        <v>ReadingF ReadingL</v>
      </c>
      <c r="Q2564" s="6" t="str">
        <f>IFERROR(__xludf.DUMMYFUNCTION("""COMPUTED_VALUE"""),"MS")</f>
        <v>MS</v>
      </c>
      <c r="R2564" s="6">
        <f>IFERROR(__xludf.DUMMYFUNCTION("""COMPUTED_VALUE"""),0.0)</f>
        <v>0</v>
      </c>
      <c r="S2564" s="6" t="str">
        <f>IFERROR(__xludf.DUMMYFUNCTION("""COMPUTED_VALUE""")," ")</f>
        <v> </v>
      </c>
      <c r="T2564" s="6" t="str">
        <f>IFERROR(__xludf.DUMMYFUNCTION("""COMPUTED_VALUE"""),"")</f>
        <v/>
      </c>
      <c r="U2564" s="6" t="str">
        <f>IFERROR(__xludf.DUMMYFUNCTION("""COMPUTED_VALUE"""),"7")</f>
        <v>7</v>
      </c>
      <c r="V2564" s="6" t="str">
        <f>IFERROR(__xludf.DUMMYFUNCTION("""COMPUTED_VALUE"""),"English")</f>
        <v>English</v>
      </c>
      <c r="W2564" s="6" t="str">
        <f>IFERROR(__xludf.DUMMYFUNCTION("""COMPUTED_VALUE"""),"[]")</f>
        <v>[]</v>
      </c>
      <c r="X2564" s="6" t="str">
        <f>IFERROR(__xludf.DUMMYFUNCTION("""COMPUTED_VALUE"""),"Enrolled")</f>
        <v>Enrolled</v>
      </c>
    </row>
    <row r="2565">
      <c r="A2565" s="6" t="str">
        <f>IFERROR(__xludf.DUMMYFUNCTION("""COMPUTED_VALUE"""),"056-5335")</f>
        <v>056-5335</v>
      </c>
      <c r="B2565" s="6" t="str">
        <f>IFERROR(__xludf.DUMMYFUNCTION("""COMPUTED_VALUE"""),"56")</f>
        <v>56</v>
      </c>
      <c r="C2565" s="6" t="str">
        <f>IFERROR(__xludf.DUMMYFUNCTION("""COMPUTED_VALUE"""),"5335")</f>
        <v>5335</v>
      </c>
      <c r="D2565" s="6" t="str">
        <f>IFERROR(__xludf.DUMMYFUNCTION("""COMPUTED_VALUE"""),"Aaleah")</f>
        <v>Aaleah</v>
      </c>
      <c r="E2565" s="6" t="str">
        <f>IFERROR(__xludf.DUMMYFUNCTION("""COMPUTED_VALUE"""),"")</f>
        <v/>
      </c>
      <c r="F2565" s="6" t="str">
        <f>IFERROR(__xludf.DUMMYFUNCTION("""COMPUTED_VALUE"""),"Berry")</f>
        <v>Berry</v>
      </c>
      <c r="G2565" s="6" t="str">
        <f>IFERROR(__xludf.DUMMYFUNCTION("""COMPUTED_VALUE"""),"10/27/2015")</f>
        <v>10/27/2015</v>
      </c>
      <c r="H2565" s="6" t="str">
        <f>IFERROR(__xludf.DUMMYFUNCTION("""COMPUTED_VALUE"""),"Self Identify")</f>
        <v>Self Identify</v>
      </c>
      <c r="I2565" s="6" t="str">
        <f>IFERROR(__xludf.DUMMYFUNCTION("""COMPUTED_VALUE"""),"Level 2")</f>
        <v>Level 2</v>
      </c>
      <c r="J2565" s="6" t="str">
        <f>IFERROR(__xludf.DUMMYFUNCTION("""COMPUTED_VALUE"""),"4")</f>
        <v>4</v>
      </c>
      <c r="K2565" s="6" t="str">
        <f>IFERROR(__xludf.DUMMYFUNCTION("""COMPUTED_VALUE"""),"aaleah.berry@2hourlearning.com")</f>
        <v>aaleah.berry@2hourlearning.com</v>
      </c>
      <c r="L2565" s="6" t="str">
        <f>IFERROR(__xludf.DUMMYFUNCTION("""COMPUTED_VALUE"""),"Reading Community City School District")</f>
        <v>Reading Community City School District</v>
      </c>
      <c r="M2565" s="6" t="str">
        <f>IFERROR(__xludf.DUMMYFUNCTION("""COMPUTED_VALUE"""),"Elementary")</f>
        <v>Elementary</v>
      </c>
      <c r="N2565" s="6" t="str">
        <f>IFERROR(__xludf.DUMMYFUNCTION("""COMPUTED_VALUE"""),"")</f>
        <v/>
      </c>
      <c r="O2565" s="87" t="str">
        <f>IFERROR(__xludf.DUMMYFUNCTION("""COMPUTED_VALUE"""),"https://drive.google.com/drive/folders/10T2cTQHqEJZqE-st6uFKPoI?usp=share_link")</f>
        <v>https://drive.google.com/drive/folders/10T2cTQHqEJZqE-st6uFKPoI?usp=share_link</v>
      </c>
      <c r="P2565" s="6" t="str">
        <f>IFERROR(__xludf.DUMMYFUNCTION("""COMPUTED_VALUE"""),"Aaleah Berry")</f>
        <v>Aaleah Berry</v>
      </c>
      <c r="Q2565" s="6" t="str">
        <f>IFERROR(__xludf.DUMMYFUNCTION("""COMPUTED_VALUE"""),"L2")</f>
        <v>L2</v>
      </c>
      <c r="R2565" s="6">
        <f>IFERROR(__xludf.DUMMYFUNCTION("""COMPUTED_VALUE"""),2.0)</f>
        <v>2</v>
      </c>
      <c r="S2565" s="6" t="str">
        <f>IFERROR(__xludf.DUMMYFUNCTION("""COMPUTED_VALUE"""),"Danielle Roberts")</f>
        <v>Danielle Roberts</v>
      </c>
      <c r="T2565" s="6" t="str">
        <f>IFERROR(__xludf.DUMMYFUNCTION("""COMPUTED_VALUE"""),"droberts@readingschools.org")</f>
        <v>droberts@readingschools.org</v>
      </c>
      <c r="U2565" s="6" t="str">
        <f>IFERROR(__xludf.DUMMYFUNCTION("""COMPUTED_VALUE"""),"4")</f>
        <v>4</v>
      </c>
      <c r="V2565" s="6" t="str">
        <f>IFERROR(__xludf.DUMMYFUNCTION("""COMPUTED_VALUE"""),"English")</f>
        <v>English</v>
      </c>
      <c r="W2565" s="6" t="str">
        <f>IFERROR(__xludf.DUMMYFUNCTION("""COMPUTED_VALUE"""),"[]")</f>
        <v>[]</v>
      </c>
      <c r="X2565" s="6" t="str">
        <f>IFERROR(__xludf.DUMMYFUNCTION("""COMPUTED_VALUE"""),"Enrolled")</f>
        <v>Enrolled</v>
      </c>
    </row>
    <row r="2566">
      <c r="A2566" s="6" t="str">
        <f>IFERROR(__xludf.DUMMYFUNCTION("""COMPUTED_VALUE"""),"056-5336")</f>
        <v>056-5336</v>
      </c>
      <c r="B2566" s="6" t="str">
        <f>IFERROR(__xludf.DUMMYFUNCTION("""COMPUTED_VALUE"""),"56")</f>
        <v>56</v>
      </c>
      <c r="C2566" s="6" t="str">
        <f>IFERROR(__xludf.DUMMYFUNCTION("""COMPUTED_VALUE"""),"5336")</f>
        <v>5336</v>
      </c>
      <c r="D2566" s="6" t="str">
        <f>IFERROR(__xludf.DUMMYFUNCTION("""COMPUTED_VALUE"""),"Adam")</f>
        <v>Adam</v>
      </c>
      <c r="E2566" s="6" t="str">
        <f>IFERROR(__xludf.DUMMYFUNCTION("""COMPUTED_VALUE"""),"")</f>
        <v/>
      </c>
      <c r="F2566" s="6" t="str">
        <f>IFERROR(__xludf.DUMMYFUNCTION("""COMPUTED_VALUE"""),"Hyden")</f>
        <v>Hyden</v>
      </c>
      <c r="G2566" s="6" t="str">
        <f>IFERROR(__xludf.DUMMYFUNCTION("""COMPUTED_VALUE"""),"05/31/2016")</f>
        <v>05/31/2016</v>
      </c>
      <c r="H2566" s="6" t="str">
        <f>IFERROR(__xludf.DUMMYFUNCTION("""COMPUTED_VALUE"""),"Self Identify")</f>
        <v>Self Identify</v>
      </c>
      <c r="I2566" s="6" t="str">
        <f>IFERROR(__xludf.DUMMYFUNCTION("""COMPUTED_VALUE"""),"Level 2")</f>
        <v>Level 2</v>
      </c>
      <c r="J2566" s="6" t="str">
        <f>IFERROR(__xludf.DUMMYFUNCTION("""COMPUTED_VALUE"""),"4")</f>
        <v>4</v>
      </c>
      <c r="K2566" s="6" t="str">
        <f>IFERROR(__xludf.DUMMYFUNCTION("""COMPUTED_VALUE"""),"adam.hyden@2hourlearning.com")</f>
        <v>adam.hyden@2hourlearning.com</v>
      </c>
      <c r="L2566" s="6" t="str">
        <f>IFERROR(__xludf.DUMMYFUNCTION("""COMPUTED_VALUE"""),"Reading Community City School District")</f>
        <v>Reading Community City School District</v>
      </c>
      <c r="M2566" s="6" t="str">
        <f>IFERROR(__xludf.DUMMYFUNCTION("""COMPUTED_VALUE"""),"Elementary")</f>
        <v>Elementary</v>
      </c>
      <c r="N2566" s="6" t="str">
        <f>IFERROR(__xludf.DUMMYFUNCTION("""COMPUTED_VALUE"""),"")</f>
        <v/>
      </c>
      <c r="O2566" s="87" t="str">
        <f>IFERROR(__xludf.DUMMYFUNCTION("""COMPUTED_VALUE"""),"https://drive.google.com/drive/folders/10T2cTQHqEJZqE-st6uFKPoI?usp=share_link")</f>
        <v>https://drive.google.com/drive/folders/10T2cTQHqEJZqE-st6uFKPoI?usp=share_link</v>
      </c>
      <c r="P2566" s="6" t="str">
        <f>IFERROR(__xludf.DUMMYFUNCTION("""COMPUTED_VALUE"""),"Adam Hyden")</f>
        <v>Adam Hyden</v>
      </c>
      <c r="Q2566" s="6" t="str">
        <f>IFERROR(__xludf.DUMMYFUNCTION("""COMPUTED_VALUE"""),"L2")</f>
        <v>L2</v>
      </c>
      <c r="R2566" s="6">
        <f>IFERROR(__xludf.DUMMYFUNCTION("""COMPUTED_VALUE"""),2.0)</f>
        <v>2</v>
      </c>
      <c r="S2566" s="6" t="str">
        <f>IFERROR(__xludf.DUMMYFUNCTION("""COMPUTED_VALUE"""),"Danielle Roberts")</f>
        <v>Danielle Roberts</v>
      </c>
      <c r="T2566" s="6" t="str">
        <f>IFERROR(__xludf.DUMMYFUNCTION("""COMPUTED_VALUE"""),"droberts@readingschools.org")</f>
        <v>droberts@readingschools.org</v>
      </c>
      <c r="U2566" s="6" t="str">
        <f>IFERROR(__xludf.DUMMYFUNCTION("""COMPUTED_VALUE"""),"4")</f>
        <v>4</v>
      </c>
      <c r="V2566" s="6" t="str">
        <f>IFERROR(__xludf.DUMMYFUNCTION("""COMPUTED_VALUE"""),"English")</f>
        <v>English</v>
      </c>
      <c r="W2566" s="6" t="str">
        <f>IFERROR(__xludf.DUMMYFUNCTION("""COMPUTED_VALUE"""),"[]")</f>
        <v>[]</v>
      </c>
      <c r="X2566" s="6" t="str">
        <f>IFERROR(__xludf.DUMMYFUNCTION("""COMPUTED_VALUE"""),"Enrolled")</f>
        <v>Enrolled</v>
      </c>
    </row>
    <row r="2567">
      <c r="A2567" s="6" t="str">
        <f>IFERROR(__xludf.DUMMYFUNCTION("""COMPUTED_VALUE"""),"056-5337")</f>
        <v>056-5337</v>
      </c>
      <c r="B2567" s="6" t="str">
        <f>IFERROR(__xludf.DUMMYFUNCTION("""COMPUTED_VALUE"""),"56")</f>
        <v>56</v>
      </c>
      <c r="C2567" s="6" t="str">
        <f>IFERROR(__xludf.DUMMYFUNCTION("""COMPUTED_VALUE"""),"5337")</f>
        <v>5337</v>
      </c>
      <c r="D2567" s="6" t="str">
        <f>IFERROR(__xludf.DUMMYFUNCTION("""COMPUTED_VALUE"""),"Addisyn")</f>
        <v>Addisyn</v>
      </c>
      <c r="E2567" s="6" t="str">
        <f>IFERROR(__xludf.DUMMYFUNCTION("""COMPUTED_VALUE"""),"")</f>
        <v/>
      </c>
      <c r="F2567" s="6" t="str">
        <f>IFERROR(__xludf.DUMMYFUNCTION("""COMPUTED_VALUE"""),"Davis")</f>
        <v>Davis</v>
      </c>
      <c r="G2567" s="6" t="str">
        <f>IFERROR(__xludf.DUMMYFUNCTION("""COMPUTED_VALUE"""),"11/13/2015")</f>
        <v>11/13/2015</v>
      </c>
      <c r="H2567" s="6" t="str">
        <f>IFERROR(__xludf.DUMMYFUNCTION("""COMPUTED_VALUE"""),"Self Identify")</f>
        <v>Self Identify</v>
      </c>
      <c r="I2567" s="6" t="str">
        <f>IFERROR(__xludf.DUMMYFUNCTION("""COMPUTED_VALUE"""),"Level 2")</f>
        <v>Level 2</v>
      </c>
      <c r="J2567" s="6" t="str">
        <f>IFERROR(__xludf.DUMMYFUNCTION("""COMPUTED_VALUE"""),"4")</f>
        <v>4</v>
      </c>
      <c r="K2567" s="6" t="str">
        <f>IFERROR(__xludf.DUMMYFUNCTION("""COMPUTED_VALUE"""),"addisyn.davis@2hourlearning.com")</f>
        <v>addisyn.davis@2hourlearning.com</v>
      </c>
      <c r="L2567" s="6" t="str">
        <f>IFERROR(__xludf.DUMMYFUNCTION("""COMPUTED_VALUE"""),"Reading Community City School District")</f>
        <v>Reading Community City School District</v>
      </c>
      <c r="M2567" s="6" t="str">
        <f>IFERROR(__xludf.DUMMYFUNCTION("""COMPUTED_VALUE"""),"Elementary")</f>
        <v>Elementary</v>
      </c>
      <c r="N2567" s="6" t="str">
        <f>IFERROR(__xludf.DUMMYFUNCTION("""COMPUTED_VALUE"""),"")</f>
        <v/>
      </c>
      <c r="O2567" s="87" t="str">
        <f>IFERROR(__xludf.DUMMYFUNCTION("""COMPUTED_VALUE"""),"https://drive.google.com/drive/folders/10T2cTQHqEJZqE-st6uFKPoI?usp=share_link")</f>
        <v>https://drive.google.com/drive/folders/10T2cTQHqEJZqE-st6uFKPoI?usp=share_link</v>
      </c>
      <c r="P2567" s="6" t="str">
        <f>IFERROR(__xludf.DUMMYFUNCTION("""COMPUTED_VALUE"""),"Addisyn Davis")</f>
        <v>Addisyn Davis</v>
      </c>
      <c r="Q2567" s="6" t="str">
        <f>IFERROR(__xludf.DUMMYFUNCTION("""COMPUTED_VALUE"""),"L2")</f>
        <v>L2</v>
      </c>
      <c r="R2567" s="6">
        <f>IFERROR(__xludf.DUMMYFUNCTION("""COMPUTED_VALUE"""),2.0)</f>
        <v>2</v>
      </c>
      <c r="S2567" s="6" t="str">
        <f>IFERROR(__xludf.DUMMYFUNCTION("""COMPUTED_VALUE"""),"Danielle Roberts")</f>
        <v>Danielle Roberts</v>
      </c>
      <c r="T2567" s="6" t="str">
        <f>IFERROR(__xludf.DUMMYFUNCTION("""COMPUTED_VALUE"""),"droberts@readingschools.org")</f>
        <v>droberts@readingschools.org</v>
      </c>
      <c r="U2567" s="6" t="str">
        <f>IFERROR(__xludf.DUMMYFUNCTION("""COMPUTED_VALUE"""),"4")</f>
        <v>4</v>
      </c>
      <c r="V2567" s="6" t="str">
        <f>IFERROR(__xludf.DUMMYFUNCTION("""COMPUTED_VALUE"""),"English")</f>
        <v>English</v>
      </c>
      <c r="W2567" s="6" t="str">
        <f>IFERROR(__xludf.DUMMYFUNCTION("""COMPUTED_VALUE"""),"[]")</f>
        <v>[]</v>
      </c>
      <c r="X2567" s="6" t="str">
        <f>IFERROR(__xludf.DUMMYFUNCTION("""COMPUTED_VALUE"""),"Enrolled")</f>
        <v>Enrolled</v>
      </c>
    </row>
    <row r="2568">
      <c r="A2568" s="6" t="str">
        <f>IFERROR(__xludf.DUMMYFUNCTION("""COMPUTED_VALUE"""),"056-5338")</f>
        <v>056-5338</v>
      </c>
      <c r="B2568" s="6" t="str">
        <f>IFERROR(__xludf.DUMMYFUNCTION("""COMPUTED_VALUE"""),"56")</f>
        <v>56</v>
      </c>
      <c r="C2568" s="6" t="str">
        <f>IFERROR(__xludf.DUMMYFUNCTION("""COMPUTED_VALUE"""),"5338")</f>
        <v>5338</v>
      </c>
      <c r="D2568" s="6" t="str">
        <f>IFERROR(__xludf.DUMMYFUNCTION("""COMPUTED_VALUE"""),"Amiliana")</f>
        <v>Amiliana</v>
      </c>
      <c r="E2568" s="6" t="str">
        <f>IFERROR(__xludf.DUMMYFUNCTION("""COMPUTED_VALUE"""),"")</f>
        <v/>
      </c>
      <c r="F2568" s="6" t="str">
        <f>IFERROR(__xludf.DUMMYFUNCTION("""COMPUTED_VALUE"""),"Cunningham")</f>
        <v>Cunningham</v>
      </c>
      <c r="G2568" s="6" t="str">
        <f>IFERROR(__xludf.DUMMYFUNCTION("""COMPUTED_VALUE"""),"06/30/2016")</f>
        <v>06/30/2016</v>
      </c>
      <c r="H2568" s="6" t="str">
        <f>IFERROR(__xludf.DUMMYFUNCTION("""COMPUTED_VALUE"""),"Self Identify")</f>
        <v>Self Identify</v>
      </c>
      <c r="I2568" s="6" t="str">
        <f>IFERROR(__xludf.DUMMYFUNCTION("""COMPUTED_VALUE"""),"Level 2")</f>
        <v>Level 2</v>
      </c>
      <c r="J2568" s="6" t="str">
        <f>IFERROR(__xludf.DUMMYFUNCTION("""COMPUTED_VALUE"""),"4")</f>
        <v>4</v>
      </c>
      <c r="K2568" s="6" t="str">
        <f>IFERROR(__xludf.DUMMYFUNCTION("""COMPUTED_VALUE"""),"amiliana.cunningham@2hourlearning.com")</f>
        <v>amiliana.cunningham@2hourlearning.com</v>
      </c>
      <c r="L2568" s="6" t="str">
        <f>IFERROR(__xludf.DUMMYFUNCTION("""COMPUTED_VALUE"""),"Reading Community City School District")</f>
        <v>Reading Community City School District</v>
      </c>
      <c r="M2568" s="6" t="str">
        <f>IFERROR(__xludf.DUMMYFUNCTION("""COMPUTED_VALUE"""),"Elementary")</f>
        <v>Elementary</v>
      </c>
      <c r="N2568" s="6" t="str">
        <f>IFERROR(__xludf.DUMMYFUNCTION("""COMPUTED_VALUE"""),"")</f>
        <v/>
      </c>
      <c r="O2568" s="87" t="str">
        <f>IFERROR(__xludf.DUMMYFUNCTION("""COMPUTED_VALUE"""),"https://drive.google.com/drive/folders/10T2cTQHqEJZqE-st6uFKPoI?usp=share_link")</f>
        <v>https://drive.google.com/drive/folders/10T2cTQHqEJZqE-st6uFKPoI?usp=share_link</v>
      </c>
      <c r="P2568" s="6" t="str">
        <f>IFERROR(__xludf.DUMMYFUNCTION("""COMPUTED_VALUE"""),"Amiliana Cunningham")</f>
        <v>Amiliana Cunningham</v>
      </c>
      <c r="Q2568" s="6" t="str">
        <f>IFERROR(__xludf.DUMMYFUNCTION("""COMPUTED_VALUE"""),"L2")</f>
        <v>L2</v>
      </c>
      <c r="R2568" s="6">
        <f>IFERROR(__xludf.DUMMYFUNCTION("""COMPUTED_VALUE"""),2.0)</f>
        <v>2</v>
      </c>
      <c r="S2568" s="6" t="str">
        <f>IFERROR(__xludf.DUMMYFUNCTION("""COMPUTED_VALUE"""),"Danielle Roberts")</f>
        <v>Danielle Roberts</v>
      </c>
      <c r="T2568" s="6" t="str">
        <f>IFERROR(__xludf.DUMMYFUNCTION("""COMPUTED_VALUE"""),"droberts@readingschools.org")</f>
        <v>droberts@readingschools.org</v>
      </c>
      <c r="U2568" s="6" t="str">
        <f>IFERROR(__xludf.DUMMYFUNCTION("""COMPUTED_VALUE"""),"4")</f>
        <v>4</v>
      </c>
      <c r="V2568" s="6" t="str">
        <f>IFERROR(__xludf.DUMMYFUNCTION("""COMPUTED_VALUE"""),"English")</f>
        <v>English</v>
      </c>
      <c r="W2568" s="6" t="str">
        <f>IFERROR(__xludf.DUMMYFUNCTION("""COMPUTED_VALUE"""),"[]")</f>
        <v>[]</v>
      </c>
      <c r="X2568" s="6" t="str">
        <f>IFERROR(__xludf.DUMMYFUNCTION("""COMPUTED_VALUE"""),"Enrolled")</f>
        <v>Enrolled</v>
      </c>
    </row>
    <row r="2569">
      <c r="A2569" s="6" t="str">
        <f>IFERROR(__xludf.DUMMYFUNCTION("""COMPUTED_VALUE"""),"056-5339")</f>
        <v>056-5339</v>
      </c>
      <c r="B2569" s="6" t="str">
        <f>IFERROR(__xludf.DUMMYFUNCTION("""COMPUTED_VALUE"""),"56")</f>
        <v>56</v>
      </c>
      <c r="C2569" s="6" t="str">
        <f>IFERROR(__xludf.DUMMYFUNCTION("""COMPUTED_VALUE"""),"5339")</f>
        <v>5339</v>
      </c>
      <c r="D2569" s="6" t="str">
        <f>IFERROR(__xludf.DUMMYFUNCTION("""COMPUTED_VALUE"""),"Annsleigh")</f>
        <v>Annsleigh</v>
      </c>
      <c r="E2569" s="6" t="str">
        <f>IFERROR(__xludf.DUMMYFUNCTION("""COMPUTED_VALUE"""),"")</f>
        <v/>
      </c>
      <c r="F2569" s="6" t="str">
        <f>IFERROR(__xludf.DUMMYFUNCTION("""COMPUTED_VALUE"""),"Damron")</f>
        <v>Damron</v>
      </c>
      <c r="G2569" s="6" t="str">
        <f>IFERROR(__xludf.DUMMYFUNCTION("""COMPUTED_VALUE"""),"02/02/2016")</f>
        <v>02/02/2016</v>
      </c>
      <c r="H2569" s="6" t="str">
        <f>IFERROR(__xludf.DUMMYFUNCTION("""COMPUTED_VALUE"""),"Self Identify")</f>
        <v>Self Identify</v>
      </c>
      <c r="I2569" s="6" t="str">
        <f>IFERROR(__xludf.DUMMYFUNCTION("""COMPUTED_VALUE"""),"Level 2")</f>
        <v>Level 2</v>
      </c>
      <c r="J2569" s="6" t="str">
        <f>IFERROR(__xludf.DUMMYFUNCTION("""COMPUTED_VALUE"""),"4")</f>
        <v>4</v>
      </c>
      <c r="K2569" s="6" t="str">
        <f>IFERROR(__xludf.DUMMYFUNCTION("""COMPUTED_VALUE"""),"annsleigh.damron@2hourlearning.com")</f>
        <v>annsleigh.damron@2hourlearning.com</v>
      </c>
      <c r="L2569" s="6" t="str">
        <f>IFERROR(__xludf.DUMMYFUNCTION("""COMPUTED_VALUE"""),"Reading Community City School District")</f>
        <v>Reading Community City School District</v>
      </c>
      <c r="M2569" s="6" t="str">
        <f>IFERROR(__xludf.DUMMYFUNCTION("""COMPUTED_VALUE"""),"Elementary")</f>
        <v>Elementary</v>
      </c>
      <c r="N2569" s="6" t="str">
        <f>IFERROR(__xludf.DUMMYFUNCTION("""COMPUTED_VALUE"""),"")</f>
        <v/>
      </c>
      <c r="O2569" s="87" t="str">
        <f>IFERROR(__xludf.DUMMYFUNCTION("""COMPUTED_VALUE"""),"https://drive.google.com/drive/folders/10T2cTQHqEJZqE-st6uFKPoI?usp=share_link")</f>
        <v>https://drive.google.com/drive/folders/10T2cTQHqEJZqE-st6uFKPoI?usp=share_link</v>
      </c>
      <c r="P2569" s="6" t="str">
        <f>IFERROR(__xludf.DUMMYFUNCTION("""COMPUTED_VALUE"""),"Annsleigh Damron")</f>
        <v>Annsleigh Damron</v>
      </c>
      <c r="Q2569" s="6" t="str">
        <f>IFERROR(__xludf.DUMMYFUNCTION("""COMPUTED_VALUE"""),"L2")</f>
        <v>L2</v>
      </c>
      <c r="R2569" s="6">
        <f>IFERROR(__xludf.DUMMYFUNCTION("""COMPUTED_VALUE"""),2.0)</f>
        <v>2</v>
      </c>
      <c r="S2569" s="6" t="str">
        <f>IFERROR(__xludf.DUMMYFUNCTION("""COMPUTED_VALUE"""),"Danielle Roberts")</f>
        <v>Danielle Roberts</v>
      </c>
      <c r="T2569" s="6" t="str">
        <f>IFERROR(__xludf.DUMMYFUNCTION("""COMPUTED_VALUE"""),"droberts@readingschools.org")</f>
        <v>droberts@readingschools.org</v>
      </c>
      <c r="U2569" s="6" t="str">
        <f>IFERROR(__xludf.DUMMYFUNCTION("""COMPUTED_VALUE"""),"4")</f>
        <v>4</v>
      </c>
      <c r="V2569" s="6" t="str">
        <f>IFERROR(__xludf.DUMMYFUNCTION("""COMPUTED_VALUE"""),"English")</f>
        <v>English</v>
      </c>
      <c r="W2569" s="6" t="str">
        <f>IFERROR(__xludf.DUMMYFUNCTION("""COMPUTED_VALUE"""),"[]")</f>
        <v>[]</v>
      </c>
      <c r="X2569" s="6" t="str">
        <f>IFERROR(__xludf.DUMMYFUNCTION("""COMPUTED_VALUE"""),"Enrolled")</f>
        <v>Enrolled</v>
      </c>
    </row>
    <row r="2570">
      <c r="A2570" s="6" t="str">
        <f>IFERROR(__xludf.DUMMYFUNCTION("""COMPUTED_VALUE"""),"056-5340")</f>
        <v>056-5340</v>
      </c>
      <c r="B2570" s="6" t="str">
        <f>IFERROR(__xludf.DUMMYFUNCTION("""COMPUTED_VALUE"""),"56")</f>
        <v>56</v>
      </c>
      <c r="C2570" s="6" t="str">
        <f>IFERROR(__xludf.DUMMYFUNCTION("""COMPUTED_VALUE"""),"5340")</f>
        <v>5340</v>
      </c>
      <c r="D2570" s="6" t="str">
        <f>IFERROR(__xludf.DUMMYFUNCTION("""COMPUTED_VALUE"""),"Arabella")</f>
        <v>Arabella</v>
      </c>
      <c r="E2570" s="6" t="str">
        <f>IFERROR(__xludf.DUMMYFUNCTION("""COMPUTED_VALUE"""),"")</f>
        <v/>
      </c>
      <c r="F2570" s="6" t="str">
        <f>IFERROR(__xludf.DUMMYFUNCTION("""COMPUTED_VALUE"""),"Thompson")</f>
        <v>Thompson</v>
      </c>
      <c r="G2570" s="6" t="str">
        <f>IFERROR(__xludf.DUMMYFUNCTION("""COMPUTED_VALUE"""),"12/23/2014")</f>
        <v>12/23/2014</v>
      </c>
      <c r="H2570" s="6" t="str">
        <f>IFERROR(__xludf.DUMMYFUNCTION("""COMPUTED_VALUE"""),"Self Identify")</f>
        <v>Self Identify</v>
      </c>
      <c r="I2570" s="6" t="str">
        <f>IFERROR(__xludf.DUMMYFUNCTION("""COMPUTED_VALUE"""),"Level 2")</f>
        <v>Level 2</v>
      </c>
      <c r="J2570" s="6" t="str">
        <f>IFERROR(__xludf.DUMMYFUNCTION("""COMPUTED_VALUE"""),"4")</f>
        <v>4</v>
      </c>
      <c r="K2570" s="6" t="str">
        <f>IFERROR(__xludf.DUMMYFUNCTION("""COMPUTED_VALUE"""),"arabella.thompson@2hourlearning.com")</f>
        <v>arabella.thompson@2hourlearning.com</v>
      </c>
      <c r="L2570" s="6" t="str">
        <f>IFERROR(__xludf.DUMMYFUNCTION("""COMPUTED_VALUE"""),"Reading Community City School District")</f>
        <v>Reading Community City School District</v>
      </c>
      <c r="M2570" s="6" t="str">
        <f>IFERROR(__xludf.DUMMYFUNCTION("""COMPUTED_VALUE"""),"Elementary")</f>
        <v>Elementary</v>
      </c>
      <c r="N2570" s="6" t="str">
        <f>IFERROR(__xludf.DUMMYFUNCTION("""COMPUTED_VALUE"""),"")</f>
        <v/>
      </c>
      <c r="O2570" s="87" t="str">
        <f>IFERROR(__xludf.DUMMYFUNCTION("""COMPUTED_VALUE"""),"https://drive.google.com/drive/folders/10T2cTQHqEJZqE-st6uFKPoI?usp=share_link")</f>
        <v>https://drive.google.com/drive/folders/10T2cTQHqEJZqE-st6uFKPoI?usp=share_link</v>
      </c>
      <c r="P2570" s="6" t="str">
        <f>IFERROR(__xludf.DUMMYFUNCTION("""COMPUTED_VALUE"""),"Arabella Thompson")</f>
        <v>Arabella Thompson</v>
      </c>
      <c r="Q2570" s="6" t="str">
        <f>IFERROR(__xludf.DUMMYFUNCTION("""COMPUTED_VALUE"""),"L2")</f>
        <v>L2</v>
      </c>
      <c r="R2570" s="6">
        <f>IFERROR(__xludf.DUMMYFUNCTION("""COMPUTED_VALUE"""),2.0)</f>
        <v>2</v>
      </c>
      <c r="S2570" s="6" t="str">
        <f>IFERROR(__xludf.DUMMYFUNCTION("""COMPUTED_VALUE"""),"Danielle Roberts")</f>
        <v>Danielle Roberts</v>
      </c>
      <c r="T2570" s="6" t="str">
        <f>IFERROR(__xludf.DUMMYFUNCTION("""COMPUTED_VALUE"""),"droberts@readingschools.org")</f>
        <v>droberts@readingschools.org</v>
      </c>
      <c r="U2570" s="6" t="str">
        <f>IFERROR(__xludf.DUMMYFUNCTION("""COMPUTED_VALUE"""),"4")</f>
        <v>4</v>
      </c>
      <c r="V2570" s="6" t="str">
        <f>IFERROR(__xludf.DUMMYFUNCTION("""COMPUTED_VALUE"""),"English")</f>
        <v>English</v>
      </c>
      <c r="W2570" s="6" t="str">
        <f>IFERROR(__xludf.DUMMYFUNCTION("""COMPUTED_VALUE"""),"[]")</f>
        <v>[]</v>
      </c>
      <c r="X2570" s="6" t="str">
        <f>IFERROR(__xludf.DUMMYFUNCTION("""COMPUTED_VALUE"""),"Enrolled")</f>
        <v>Enrolled</v>
      </c>
    </row>
    <row r="2571">
      <c r="A2571" s="6" t="str">
        <f>IFERROR(__xludf.DUMMYFUNCTION("""COMPUTED_VALUE"""),"056-5341")</f>
        <v>056-5341</v>
      </c>
      <c r="B2571" s="6" t="str">
        <f>IFERROR(__xludf.DUMMYFUNCTION("""COMPUTED_VALUE"""),"56")</f>
        <v>56</v>
      </c>
      <c r="C2571" s="6" t="str">
        <f>IFERROR(__xludf.DUMMYFUNCTION("""COMPUTED_VALUE"""),"5341")</f>
        <v>5341</v>
      </c>
      <c r="D2571" s="6" t="str">
        <f>IFERROR(__xludf.DUMMYFUNCTION("""COMPUTED_VALUE"""),"George")</f>
        <v>George</v>
      </c>
      <c r="E2571" s="6" t="str">
        <f>IFERROR(__xludf.DUMMYFUNCTION("""COMPUTED_VALUE"""),"")</f>
        <v/>
      </c>
      <c r="F2571" s="6" t="str">
        <f>IFERROR(__xludf.DUMMYFUNCTION("""COMPUTED_VALUE"""),"Zagar")</f>
        <v>Zagar</v>
      </c>
      <c r="G2571" s="6" t="str">
        <f>IFERROR(__xludf.DUMMYFUNCTION("""COMPUTED_VALUE"""),"10/27/2015")</f>
        <v>10/27/2015</v>
      </c>
      <c r="H2571" s="6" t="str">
        <f>IFERROR(__xludf.DUMMYFUNCTION("""COMPUTED_VALUE"""),"Self Identify")</f>
        <v>Self Identify</v>
      </c>
      <c r="I2571" s="6" t="str">
        <f>IFERROR(__xludf.DUMMYFUNCTION("""COMPUTED_VALUE"""),"Level 2")</f>
        <v>Level 2</v>
      </c>
      <c r="J2571" s="6" t="str">
        <f>IFERROR(__xludf.DUMMYFUNCTION("""COMPUTED_VALUE"""),"4")</f>
        <v>4</v>
      </c>
      <c r="K2571" s="6" t="str">
        <f>IFERROR(__xludf.DUMMYFUNCTION("""COMPUTED_VALUE"""),"george.zagar@2hourlearning.com")</f>
        <v>george.zagar@2hourlearning.com</v>
      </c>
      <c r="L2571" s="6" t="str">
        <f>IFERROR(__xludf.DUMMYFUNCTION("""COMPUTED_VALUE"""),"Reading Community City School District")</f>
        <v>Reading Community City School District</v>
      </c>
      <c r="M2571" s="6" t="str">
        <f>IFERROR(__xludf.DUMMYFUNCTION("""COMPUTED_VALUE"""),"Elementary")</f>
        <v>Elementary</v>
      </c>
      <c r="N2571" s="6" t="str">
        <f>IFERROR(__xludf.DUMMYFUNCTION("""COMPUTED_VALUE"""),"")</f>
        <v/>
      </c>
      <c r="O2571" s="87" t="str">
        <f>IFERROR(__xludf.DUMMYFUNCTION("""COMPUTED_VALUE"""),"https://drive.google.com/drive/folders/10T2cTQHqEJZqE-st6uFKPoI?usp=share_link")</f>
        <v>https://drive.google.com/drive/folders/10T2cTQHqEJZqE-st6uFKPoI?usp=share_link</v>
      </c>
      <c r="P2571" s="6" t="str">
        <f>IFERROR(__xludf.DUMMYFUNCTION("""COMPUTED_VALUE"""),"George Zagar")</f>
        <v>George Zagar</v>
      </c>
      <c r="Q2571" s="6" t="str">
        <f>IFERROR(__xludf.DUMMYFUNCTION("""COMPUTED_VALUE"""),"L2")</f>
        <v>L2</v>
      </c>
      <c r="R2571" s="6">
        <f>IFERROR(__xludf.DUMMYFUNCTION("""COMPUTED_VALUE"""),2.0)</f>
        <v>2</v>
      </c>
      <c r="S2571" s="6" t="str">
        <f>IFERROR(__xludf.DUMMYFUNCTION("""COMPUTED_VALUE"""),"Lisa Kloesz")</f>
        <v>Lisa Kloesz</v>
      </c>
      <c r="T2571" s="6" t="str">
        <f>IFERROR(__xludf.DUMMYFUNCTION("""COMPUTED_VALUE"""),"lkloesz@readingschools.org")</f>
        <v>lkloesz@readingschools.org</v>
      </c>
      <c r="U2571" s="6" t="str">
        <f>IFERROR(__xludf.DUMMYFUNCTION("""COMPUTED_VALUE"""),"4")</f>
        <v>4</v>
      </c>
      <c r="V2571" s="6" t="str">
        <f>IFERROR(__xludf.DUMMYFUNCTION("""COMPUTED_VALUE"""),"English")</f>
        <v>English</v>
      </c>
      <c r="W2571" s="6" t="str">
        <f>IFERROR(__xludf.DUMMYFUNCTION("""COMPUTED_VALUE"""),"[]")</f>
        <v>[]</v>
      </c>
      <c r="X2571" s="6" t="str">
        <f>IFERROR(__xludf.DUMMYFUNCTION("""COMPUTED_VALUE"""),"Enrolled")</f>
        <v>Enrolled</v>
      </c>
    </row>
    <row r="2572">
      <c r="A2572" s="6" t="str">
        <f>IFERROR(__xludf.DUMMYFUNCTION("""COMPUTED_VALUE"""),"056-5342")</f>
        <v>056-5342</v>
      </c>
      <c r="B2572" s="6" t="str">
        <f>IFERROR(__xludf.DUMMYFUNCTION("""COMPUTED_VALUE"""),"56")</f>
        <v>56</v>
      </c>
      <c r="C2572" s="6" t="str">
        <f>IFERROR(__xludf.DUMMYFUNCTION("""COMPUTED_VALUE"""),"5342")</f>
        <v>5342</v>
      </c>
      <c r="D2572" s="6" t="str">
        <f>IFERROR(__xludf.DUMMYFUNCTION("""COMPUTED_VALUE"""),"Kason")</f>
        <v>Kason</v>
      </c>
      <c r="E2572" s="6" t="str">
        <f>IFERROR(__xludf.DUMMYFUNCTION("""COMPUTED_VALUE"""),"")</f>
        <v/>
      </c>
      <c r="F2572" s="6" t="str">
        <f>IFERROR(__xludf.DUMMYFUNCTION("""COMPUTED_VALUE"""),"Jordan")</f>
        <v>Jordan</v>
      </c>
      <c r="G2572" s="6" t="str">
        <f>IFERROR(__xludf.DUMMYFUNCTION("""COMPUTED_VALUE"""),"02/01/2016")</f>
        <v>02/01/2016</v>
      </c>
      <c r="H2572" s="6" t="str">
        <f>IFERROR(__xludf.DUMMYFUNCTION("""COMPUTED_VALUE"""),"Self Identify")</f>
        <v>Self Identify</v>
      </c>
      <c r="I2572" s="6" t="str">
        <f>IFERROR(__xludf.DUMMYFUNCTION("""COMPUTED_VALUE"""),"Level 2")</f>
        <v>Level 2</v>
      </c>
      <c r="J2572" s="6" t="str">
        <f>IFERROR(__xludf.DUMMYFUNCTION("""COMPUTED_VALUE"""),"4")</f>
        <v>4</v>
      </c>
      <c r="K2572" s="6" t="str">
        <f>IFERROR(__xludf.DUMMYFUNCTION("""COMPUTED_VALUE"""),"kason.jordan@2hourlearning.com")</f>
        <v>kason.jordan@2hourlearning.com</v>
      </c>
      <c r="L2572" s="6" t="str">
        <f>IFERROR(__xludf.DUMMYFUNCTION("""COMPUTED_VALUE"""),"Reading Community City School District")</f>
        <v>Reading Community City School District</v>
      </c>
      <c r="M2572" s="6" t="str">
        <f>IFERROR(__xludf.DUMMYFUNCTION("""COMPUTED_VALUE"""),"Elementary")</f>
        <v>Elementary</v>
      </c>
      <c r="N2572" s="6" t="str">
        <f>IFERROR(__xludf.DUMMYFUNCTION("""COMPUTED_VALUE"""),"")</f>
        <v/>
      </c>
      <c r="O2572" s="87" t="str">
        <f>IFERROR(__xludf.DUMMYFUNCTION("""COMPUTED_VALUE"""),"https://drive.google.com/drive/folders/10T2cTQHqEJZqE-st6uFKPoI?usp=share_link")</f>
        <v>https://drive.google.com/drive/folders/10T2cTQHqEJZqE-st6uFKPoI?usp=share_link</v>
      </c>
      <c r="P2572" s="6" t="str">
        <f>IFERROR(__xludf.DUMMYFUNCTION("""COMPUTED_VALUE"""),"Kason Jordan")</f>
        <v>Kason Jordan</v>
      </c>
      <c r="Q2572" s="6" t="str">
        <f>IFERROR(__xludf.DUMMYFUNCTION("""COMPUTED_VALUE"""),"L2")</f>
        <v>L2</v>
      </c>
      <c r="R2572" s="6">
        <f>IFERROR(__xludf.DUMMYFUNCTION("""COMPUTED_VALUE"""),2.0)</f>
        <v>2</v>
      </c>
      <c r="S2572" s="6" t="str">
        <f>IFERROR(__xludf.DUMMYFUNCTION("""COMPUTED_VALUE"""),"Danielle Roberts")</f>
        <v>Danielle Roberts</v>
      </c>
      <c r="T2572" s="6" t="str">
        <f>IFERROR(__xludf.DUMMYFUNCTION("""COMPUTED_VALUE"""),"droberts@readingschools.org")</f>
        <v>droberts@readingschools.org</v>
      </c>
      <c r="U2572" s="6" t="str">
        <f>IFERROR(__xludf.DUMMYFUNCTION("""COMPUTED_VALUE"""),"4")</f>
        <v>4</v>
      </c>
      <c r="V2572" s="6" t="str">
        <f>IFERROR(__xludf.DUMMYFUNCTION("""COMPUTED_VALUE"""),"English")</f>
        <v>English</v>
      </c>
      <c r="W2572" s="6" t="str">
        <f>IFERROR(__xludf.DUMMYFUNCTION("""COMPUTED_VALUE"""),"[]")</f>
        <v>[]</v>
      </c>
      <c r="X2572" s="6" t="str">
        <f>IFERROR(__xludf.DUMMYFUNCTION("""COMPUTED_VALUE"""),"Enrolled")</f>
        <v>Enrolled</v>
      </c>
    </row>
    <row r="2573">
      <c r="A2573" s="6" t="str">
        <f>IFERROR(__xludf.DUMMYFUNCTION("""COMPUTED_VALUE"""),"056-5343")</f>
        <v>056-5343</v>
      </c>
      <c r="B2573" s="6" t="str">
        <f>IFERROR(__xludf.DUMMYFUNCTION("""COMPUTED_VALUE"""),"56")</f>
        <v>56</v>
      </c>
      <c r="C2573" s="6" t="str">
        <f>IFERROR(__xludf.DUMMYFUNCTION("""COMPUTED_VALUE"""),"5343")</f>
        <v>5343</v>
      </c>
      <c r="D2573" s="6" t="str">
        <f>IFERROR(__xludf.DUMMYFUNCTION("""COMPUTED_VALUE"""),"Levii")</f>
        <v>Levii</v>
      </c>
      <c r="E2573" s="6" t="str">
        <f>IFERROR(__xludf.DUMMYFUNCTION("""COMPUTED_VALUE"""),"")</f>
        <v/>
      </c>
      <c r="F2573" s="6" t="str">
        <f>IFERROR(__xludf.DUMMYFUNCTION("""COMPUTED_VALUE"""),"Wilson")</f>
        <v>Wilson</v>
      </c>
      <c r="G2573" s="6" t="str">
        <f>IFERROR(__xludf.DUMMYFUNCTION("""COMPUTED_VALUE"""),"03/29/2016")</f>
        <v>03/29/2016</v>
      </c>
      <c r="H2573" s="6" t="str">
        <f>IFERROR(__xludf.DUMMYFUNCTION("""COMPUTED_VALUE"""),"Self Identify")</f>
        <v>Self Identify</v>
      </c>
      <c r="I2573" s="6" t="str">
        <f>IFERROR(__xludf.DUMMYFUNCTION("""COMPUTED_VALUE"""),"Level 2")</f>
        <v>Level 2</v>
      </c>
      <c r="J2573" s="6" t="str">
        <f>IFERROR(__xludf.DUMMYFUNCTION("""COMPUTED_VALUE"""),"4")</f>
        <v>4</v>
      </c>
      <c r="K2573" s="6" t="str">
        <f>IFERROR(__xludf.DUMMYFUNCTION("""COMPUTED_VALUE"""),"levii.wilson@2hourlearning.com")</f>
        <v>levii.wilson@2hourlearning.com</v>
      </c>
      <c r="L2573" s="6" t="str">
        <f>IFERROR(__xludf.DUMMYFUNCTION("""COMPUTED_VALUE"""),"Reading Community City School District")</f>
        <v>Reading Community City School District</v>
      </c>
      <c r="M2573" s="6" t="str">
        <f>IFERROR(__xludf.DUMMYFUNCTION("""COMPUTED_VALUE"""),"Elementary")</f>
        <v>Elementary</v>
      </c>
      <c r="N2573" s="6" t="str">
        <f>IFERROR(__xludf.DUMMYFUNCTION("""COMPUTED_VALUE"""),"")</f>
        <v/>
      </c>
      <c r="O2573" s="87" t="str">
        <f>IFERROR(__xludf.DUMMYFUNCTION("""COMPUTED_VALUE"""),"https://drive.google.com/drive/folders/10T2cTQHqEJZqE-st6uFKPoI?usp=share_link")</f>
        <v>https://drive.google.com/drive/folders/10T2cTQHqEJZqE-st6uFKPoI?usp=share_link</v>
      </c>
      <c r="P2573" s="6" t="str">
        <f>IFERROR(__xludf.DUMMYFUNCTION("""COMPUTED_VALUE"""),"Levii Wilson")</f>
        <v>Levii Wilson</v>
      </c>
      <c r="Q2573" s="6" t="str">
        <f>IFERROR(__xludf.DUMMYFUNCTION("""COMPUTED_VALUE"""),"L2")</f>
        <v>L2</v>
      </c>
      <c r="R2573" s="6">
        <f>IFERROR(__xludf.DUMMYFUNCTION("""COMPUTED_VALUE"""),2.0)</f>
        <v>2</v>
      </c>
      <c r="S2573" s="6" t="str">
        <f>IFERROR(__xludf.DUMMYFUNCTION("""COMPUTED_VALUE"""),"Danielle Roberts")</f>
        <v>Danielle Roberts</v>
      </c>
      <c r="T2573" s="6" t="str">
        <f>IFERROR(__xludf.DUMMYFUNCTION("""COMPUTED_VALUE"""),"droberts@readingschools.org")</f>
        <v>droberts@readingschools.org</v>
      </c>
      <c r="U2573" s="6" t="str">
        <f>IFERROR(__xludf.DUMMYFUNCTION("""COMPUTED_VALUE"""),"4")</f>
        <v>4</v>
      </c>
      <c r="V2573" s="6" t="str">
        <f>IFERROR(__xludf.DUMMYFUNCTION("""COMPUTED_VALUE"""),"English")</f>
        <v>English</v>
      </c>
      <c r="W2573" s="6" t="str">
        <f>IFERROR(__xludf.DUMMYFUNCTION("""COMPUTED_VALUE"""),"[]")</f>
        <v>[]</v>
      </c>
      <c r="X2573" s="6" t="str">
        <f>IFERROR(__xludf.DUMMYFUNCTION("""COMPUTED_VALUE"""),"Enrolled")</f>
        <v>Enrolled</v>
      </c>
    </row>
    <row r="2574">
      <c r="A2574" s="6" t="str">
        <f>IFERROR(__xludf.DUMMYFUNCTION("""COMPUTED_VALUE"""),"056-5344")</f>
        <v>056-5344</v>
      </c>
      <c r="B2574" s="6" t="str">
        <f>IFERROR(__xludf.DUMMYFUNCTION("""COMPUTED_VALUE"""),"56")</f>
        <v>56</v>
      </c>
      <c r="C2574" s="6" t="str">
        <f>IFERROR(__xludf.DUMMYFUNCTION("""COMPUTED_VALUE"""),"5344")</f>
        <v>5344</v>
      </c>
      <c r="D2574" s="6" t="str">
        <f>IFERROR(__xludf.DUMMYFUNCTION("""COMPUTED_VALUE"""),"Liam")</f>
        <v>Liam</v>
      </c>
      <c r="E2574" s="6" t="str">
        <f>IFERROR(__xludf.DUMMYFUNCTION("""COMPUTED_VALUE"""),"")</f>
        <v/>
      </c>
      <c r="F2574" s="6" t="str">
        <f>IFERROR(__xludf.DUMMYFUNCTION("""COMPUTED_VALUE"""),"Gentile")</f>
        <v>Gentile</v>
      </c>
      <c r="G2574" s="6" t="str">
        <f>IFERROR(__xludf.DUMMYFUNCTION("""COMPUTED_VALUE"""),"04/09/2015")</f>
        <v>04/09/2015</v>
      </c>
      <c r="H2574" s="6" t="str">
        <f>IFERROR(__xludf.DUMMYFUNCTION("""COMPUTED_VALUE"""),"Self Identify")</f>
        <v>Self Identify</v>
      </c>
      <c r="I2574" s="6" t="str">
        <f>IFERROR(__xludf.DUMMYFUNCTION("""COMPUTED_VALUE"""),"Level 2")</f>
        <v>Level 2</v>
      </c>
      <c r="J2574" s="6" t="str">
        <f>IFERROR(__xludf.DUMMYFUNCTION("""COMPUTED_VALUE"""),"4")</f>
        <v>4</v>
      </c>
      <c r="K2574" s="6" t="str">
        <f>IFERROR(__xludf.DUMMYFUNCTION("""COMPUTED_VALUE"""),"liam.gentile@2hourlearning.com")</f>
        <v>liam.gentile@2hourlearning.com</v>
      </c>
      <c r="L2574" s="6" t="str">
        <f>IFERROR(__xludf.DUMMYFUNCTION("""COMPUTED_VALUE"""),"Reading Community City School District")</f>
        <v>Reading Community City School District</v>
      </c>
      <c r="M2574" s="6" t="str">
        <f>IFERROR(__xludf.DUMMYFUNCTION("""COMPUTED_VALUE"""),"Elementary")</f>
        <v>Elementary</v>
      </c>
      <c r="N2574" s="6" t="str">
        <f>IFERROR(__xludf.DUMMYFUNCTION("""COMPUTED_VALUE"""),"")</f>
        <v/>
      </c>
      <c r="O2574" s="87" t="str">
        <f>IFERROR(__xludf.DUMMYFUNCTION("""COMPUTED_VALUE"""),"https://drive.google.com/drive/folders/10T2cTQHqEJZqE-st6uFKPoI?usp=share_link")</f>
        <v>https://drive.google.com/drive/folders/10T2cTQHqEJZqE-st6uFKPoI?usp=share_link</v>
      </c>
      <c r="P2574" s="6" t="str">
        <f>IFERROR(__xludf.DUMMYFUNCTION("""COMPUTED_VALUE"""),"Liam Gentile")</f>
        <v>Liam Gentile</v>
      </c>
      <c r="Q2574" s="6" t="str">
        <f>IFERROR(__xludf.DUMMYFUNCTION("""COMPUTED_VALUE"""),"L2")</f>
        <v>L2</v>
      </c>
      <c r="R2574" s="6">
        <f>IFERROR(__xludf.DUMMYFUNCTION("""COMPUTED_VALUE"""),2.0)</f>
        <v>2</v>
      </c>
      <c r="S2574" s="6" t="str">
        <f>IFERROR(__xludf.DUMMYFUNCTION("""COMPUTED_VALUE"""),"Danielle Roberts")</f>
        <v>Danielle Roberts</v>
      </c>
      <c r="T2574" s="6" t="str">
        <f>IFERROR(__xludf.DUMMYFUNCTION("""COMPUTED_VALUE"""),"droberts@readingschools.org")</f>
        <v>droberts@readingschools.org</v>
      </c>
      <c r="U2574" s="6" t="str">
        <f>IFERROR(__xludf.DUMMYFUNCTION("""COMPUTED_VALUE"""),"4")</f>
        <v>4</v>
      </c>
      <c r="V2574" s="6" t="str">
        <f>IFERROR(__xludf.DUMMYFUNCTION("""COMPUTED_VALUE"""),"English")</f>
        <v>English</v>
      </c>
      <c r="W2574" s="6" t="str">
        <f>IFERROR(__xludf.DUMMYFUNCTION("""COMPUTED_VALUE"""),"[]")</f>
        <v>[]</v>
      </c>
      <c r="X2574" s="6" t="str">
        <f>IFERROR(__xludf.DUMMYFUNCTION("""COMPUTED_VALUE"""),"Enrolled")</f>
        <v>Enrolled</v>
      </c>
    </row>
    <row r="2575">
      <c r="A2575" s="6" t="str">
        <f>IFERROR(__xludf.DUMMYFUNCTION("""COMPUTED_VALUE"""),"056-5345")</f>
        <v>056-5345</v>
      </c>
      <c r="B2575" s="6" t="str">
        <f>IFERROR(__xludf.DUMMYFUNCTION("""COMPUTED_VALUE"""),"56")</f>
        <v>56</v>
      </c>
      <c r="C2575" s="6" t="str">
        <f>IFERROR(__xludf.DUMMYFUNCTION("""COMPUTED_VALUE"""),"5345")</f>
        <v>5345</v>
      </c>
      <c r="D2575" s="6" t="str">
        <f>IFERROR(__xludf.DUMMYFUNCTION("""COMPUTED_VALUE"""),"London")</f>
        <v>London</v>
      </c>
      <c r="E2575" s="6" t="str">
        <f>IFERROR(__xludf.DUMMYFUNCTION("""COMPUTED_VALUE"""),"")</f>
        <v/>
      </c>
      <c r="F2575" s="6" t="str">
        <f>IFERROR(__xludf.DUMMYFUNCTION("""COMPUTED_VALUE"""),"Jones")</f>
        <v>Jones</v>
      </c>
      <c r="G2575" s="6" t="str">
        <f>IFERROR(__xludf.DUMMYFUNCTION("""COMPUTED_VALUE"""),"05/20/2016")</f>
        <v>05/20/2016</v>
      </c>
      <c r="H2575" s="6" t="str">
        <f>IFERROR(__xludf.DUMMYFUNCTION("""COMPUTED_VALUE"""),"Self Identify")</f>
        <v>Self Identify</v>
      </c>
      <c r="I2575" s="6" t="str">
        <f>IFERROR(__xludf.DUMMYFUNCTION("""COMPUTED_VALUE"""),"Level 2")</f>
        <v>Level 2</v>
      </c>
      <c r="J2575" s="6" t="str">
        <f>IFERROR(__xludf.DUMMYFUNCTION("""COMPUTED_VALUE"""),"4")</f>
        <v>4</v>
      </c>
      <c r="K2575" s="6" t="str">
        <f>IFERROR(__xludf.DUMMYFUNCTION("""COMPUTED_VALUE"""),"london.jones@2hourlearning.com")</f>
        <v>london.jones@2hourlearning.com</v>
      </c>
      <c r="L2575" s="6" t="str">
        <f>IFERROR(__xludf.DUMMYFUNCTION("""COMPUTED_VALUE"""),"Reading Community City School District")</f>
        <v>Reading Community City School District</v>
      </c>
      <c r="M2575" s="6" t="str">
        <f>IFERROR(__xludf.DUMMYFUNCTION("""COMPUTED_VALUE"""),"Elementary")</f>
        <v>Elementary</v>
      </c>
      <c r="N2575" s="6" t="str">
        <f>IFERROR(__xludf.DUMMYFUNCTION("""COMPUTED_VALUE"""),"")</f>
        <v/>
      </c>
      <c r="O2575" s="87" t="str">
        <f>IFERROR(__xludf.DUMMYFUNCTION("""COMPUTED_VALUE"""),"https://drive.google.com/drive/folders/10T2cTQHqEJZqE-st6uFKPoI?usp=share_link")</f>
        <v>https://drive.google.com/drive/folders/10T2cTQHqEJZqE-st6uFKPoI?usp=share_link</v>
      </c>
      <c r="P2575" s="6" t="str">
        <f>IFERROR(__xludf.DUMMYFUNCTION("""COMPUTED_VALUE"""),"London Jones")</f>
        <v>London Jones</v>
      </c>
      <c r="Q2575" s="6" t="str">
        <f>IFERROR(__xludf.DUMMYFUNCTION("""COMPUTED_VALUE"""),"L2")</f>
        <v>L2</v>
      </c>
      <c r="R2575" s="6">
        <f>IFERROR(__xludf.DUMMYFUNCTION("""COMPUTED_VALUE"""),2.0)</f>
        <v>2</v>
      </c>
      <c r="S2575" s="6" t="str">
        <f>IFERROR(__xludf.DUMMYFUNCTION("""COMPUTED_VALUE"""),"Lisa Kloesz")</f>
        <v>Lisa Kloesz</v>
      </c>
      <c r="T2575" s="6" t="str">
        <f>IFERROR(__xludf.DUMMYFUNCTION("""COMPUTED_VALUE"""),"lkloesz@readingschools.org")</f>
        <v>lkloesz@readingschools.org</v>
      </c>
      <c r="U2575" s="6" t="str">
        <f>IFERROR(__xludf.DUMMYFUNCTION("""COMPUTED_VALUE"""),"4")</f>
        <v>4</v>
      </c>
      <c r="V2575" s="6" t="str">
        <f>IFERROR(__xludf.DUMMYFUNCTION("""COMPUTED_VALUE"""),"English")</f>
        <v>English</v>
      </c>
      <c r="W2575" s="6" t="str">
        <f>IFERROR(__xludf.DUMMYFUNCTION("""COMPUTED_VALUE"""),"[]")</f>
        <v>[]</v>
      </c>
      <c r="X2575" s="6" t="str">
        <f>IFERROR(__xludf.DUMMYFUNCTION("""COMPUTED_VALUE"""),"Enrolled")</f>
        <v>Enrolled</v>
      </c>
    </row>
    <row r="2576">
      <c r="A2576" s="6" t="str">
        <f>IFERROR(__xludf.DUMMYFUNCTION("""COMPUTED_VALUE"""),"056-5346")</f>
        <v>056-5346</v>
      </c>
      <c r="B2576" s="6" t="str">
        <f>IFERROR(__xludf.DUMMYFUNCTION("""COMPUTED_VALUE"""),"56")</f>
        <v>56</v>
      </c>
      <c r="C2576" s="6" t="str">
        <f>IFERROR(__xludf.DUMMYFUNCTION("""COMPUTED_VALUE"""),"5346")</f>
        <v>5346</v>
      </c>
      <c r="D2576" s="6" t="str">
        <f>IFERROR(__xludf.DUMMYFUNCTION("""COMPUTED_VALUE"""),"Luke")</f>
        <v>Luke</v>
      </c>
      <c r="E2576" s="6" t="str">
        <f>IFERROR(__xludf.DUMMYFUNCTION("""COMPUTED_VALUE"""),"")</f>
        <v/>
      </c>
      <c r="F2576" s="6" t="str">
        <f>IFERROR(__xludf.DUMMYFUNCTION("""COMPUTED_VALUE"""),"Keller")</f>
        <v>Keller</v>
      </c>
      <c r="G2576" s="6" t="str">
        <f>IFERROR(__xludf.DUMMYFUNCTION("""COMPUTED_VALUE"""),"09/26/2015")</f>
        <v>09/26/2015</v>
      </c>
      <c r="H2576" s="6" t="str">
        <f>IFERROR(__xludf.DUMMYFUNCTION("""COMPUTED_VALUE"""),"Self Identify")</f>
        <v>Self Identify</v>
      </c>
      <c r="I2576" s="6" t="str">
        <f>IFERROR(__xludf.DUMMYFUNCTION("""COMPUTED_VALUE"""),"Level 2")</f>
        <v>Level 2</v>
      </c>
      <c r="J2576" s="6" t="str">
        <f>IFERROR(__xludf.DUMMYFUNCTION("""COMPUTED_VALUE"""),"4")</f>
        <v>4</v>
      </c>
      <c r="K2576" s="6" t="str">
        <f>IFERROR(__xludf.DUMMYFUNCTION("""COMPUTED_VALUE"""),"luke.keller@2hourlearning.com")</f>
        <v>luke.keller@2hourlearning.com</v>
      </c>
      <c r="L2576" s="6" t="str">
        <f>IFERROR(__xludf.DUMMYFUNCTION("""COMPUTED_VALUE"""),"Reading Community City School District")</f>
        <v>Reading Community City School District</v>
      </c>
      <c r="M2576" s="6" t="str">
        <f>IFERROR(__xludf.DUMMYFUNCTION("""COMPUTED_VALUE"""),"Elementary")</f>
        <v>Elementary</v>
      </c>
      <c r="N2576" s="6" t="str">
        <f>IFERROR(__xludf.DUMMYFUNCTION("""COMPUTED_VALUE"""),"")</f>
        <v/>
      </c>
      <c r="O2576" s="87" t="str">
        <f>IFERROR(__xludf.DUMMYFUNCTION("""COMPUTED_VALUE"""),"https://drive.google.com/drive/folders/10T2cTQHqEJZqE-st6uFKPoI?usp=share_link")</f>
        <v>https://drive.google.com/drive/folders/10T2cTQHqEJZqE-st6uFKPoI?usp=share_link</v>
      </c>
      <c r="P2576" s="6" t="str">
        <f>IFERROR(__xludf.DUMMYFUNCTION("""COMPUTED_VALUE"""),"Luke Keller")</f>
        <v>Luke Keller</v>
      </c>
      <c r="Q2576" s="6" t="str">
        <f>IFERROR(__xludf.DUMMYFUNCTION("""COMPUTED_VALUE"""),"L2")</f>
        <v>L2</v>
      </c>
      <c r="R2576" s="6">
        <f>IFERROR(__xludf.DUMMYFUNCTION("""COMPUTED_VALUE"""),2.0)</f>
        <v>2</v>
      </c>
      <c r="S2576" s="6" t="str">
        <f>IFERROR(__xludf.DUMMYFUNCTION("""COMPUTED_VALUE"""),"Danielle Roberts")</f>
        <v>Danielle Roberts</v>
      </c>
      <c r="T2576" s="6" t="str">
        <f>IFERROR(__xludf.DUMMYFUNCTION("""COMPUTED_VALUE"""),"droberts@readingschools.org")</f>
        <v>droberts@readingschools.org</v>
      </c>
      <c r="U2576" s="6" t="str">
        <f>IFERROR(__xludf.DUMMYFUNCTION("""COMPUTED_VALUE"""),"4")</f>
        <v>4</v>
      </c>
      <c r="V2576" s="6" t="str">
        <f>IFERROR(__xludf.DUMMYFUNCTION("""COMPUTED_VALUE"""),"English")</f>
        <v>English</v>
      </c>
      <c r="W2576" s="6" t="str">
        <f>IFERROR(__xludf.DUMMYFUNCTION("""COMPUTED_VALUE"""),"[]")</f>
        <v>[]</v>
      </c>
      <c r="X2576" s="6" t="str">
        <f>IFERROR(__xludf.DUMMYFUNCTION("""COMPUTED_VALUE"""),"Enrolled")</f>
        <v>Enrolled</v>
      </c>
    </row>
    <row r="2577">
      <c r="A2577" s="6" t="str">
        <f>IFERROR(__xludf.DUMMYFUNCTION("""COMPUTED_VALUE"""),"056-5347")</f>
        <v>056-5347</v>
      </c>
      <c r="B2577" s="6" t="str">
        <f>IFERROR(__xludf.DUMMYFUNCTION("""COMPUTED_VALUE"""),"56")</f>
        <v>56</v>
      </c>
      <c r="C2577" s="6" t="str">
        <f>IFERROR(__xludf.DUMMYFUNCTION("""COMPUTED_VALUE"""),"5347")</f>
        <v>5347</v>
      </c>
      <c r="D2577" s="6" t="str">
        <f>IFERROR(__xludf.DUMMYFUNCTION("""COMPUTED_VALUE"""),"Karson")</f>
        <v>Karson</v>
      </c>
      <c r="E2577" s="6" t="str">
        <f>IFERROR(__xludf.DUMMYFUNCTION("""COMPUTED_VALUE"""),"")</f>
        <v/>
      </c>
      <c r="F2577" s="6" t="str">
        <f>IFERROR(__xludf.DUMMYFUNCTION("""COMPUTED_VALUE"""),"Vick")</f>
        <v>Vick</v>
      </c>
      <c r="G2577" s="6" t="str">
        <f>IFERROR(__xludf.DUMMYFUNCTION("""COMPUTED_VALUE"""),"07/11/2016")</f>
        <v>07/11/2016</v>
      </c>
      <c r="H2577" s="6" t="str">
        <f>IFERROR(__xludf.DUMMYFUNCTION("""COMPUTED_VALUE"""),"Self Identify")</f>
        <v>Self Identify</v>
      </c>
      <c r="I2577" s="6" t="str">
        <f>IFERROR(__xludf.DUMMYFUNCTION("""COMPUTED_VALUE"""),"Level 2")</f>
        <v>Level 2</v>
      </c>
      <c r="J2577" s="6" t="str">
        <f>IFERROR(__xludf.DUMMYFUNCTION("""COMPUTED_VALUE"""),"4")</f>
        <v>4</v>
      </c>
      <c r="K2577" s="6" t="str">
        <f>IFERROR(__xludf.DUMMYFUNCTION("""COMPUTED_VALUE"""),"karson.vick@2hourlearning.com")</f>
        <v>karson.vick@2hourlearning.com</v>
      </c>
      <c r="L2577" s="6" t="str">
        <f>IFERROR(__xludf.DUMMYFUNCTION("""COMPUTED_VALUE"""),"Reading Community City School District")</f>
        <v>Reading Community City School District</v>
      </c>
      <c r="M2577" s="6" t="str">
        <f>IFERROR(__xludf.DUMMYFUNCTION("""COMPUTED_VALUE"""),"Elementary")</f>
        <v>Elementary</v>
      </c>
      <c r="N2577" s="6" t="str">
        <f>IFERROR(__xludf.DUMMYFUNCTION("""COMPUTED_VALUE"""),"")</f>
        <v/>
      </c>
      <c r="O2577" s="87" t="str">
        <f>IFERROR(__xludf.DUMMYFUNCTION("""COMPUTED_VALUE"""),"https://drive.google.com/drive/folders/10T2cTQHqEJZqE-st6uFKPoI?usp=share_link")</f>
        <v>https://drive.google.com/drive/folders/10T2cTQHqEJZqE-st6uFKPoI?usp=share_link</v>
      </c>
      <c r="P2577" s="6" t="str">
        <f>IFERROR(__xludf.DUMMYFUNCTION("""COMPUTED_VALUE"""),"Karson Vick")</f>
        <v>Karson Vick</v>
      </c>
      <c r="Q2577" s="6" t="str">
        <f>IFERROR(__xludf.DUMMYFUNCTION("""COMPUTED_VALUE"""),"L2")</f>
        <v>L2</v>
      </c>
      <c r="R2577" s="6">
        <f>IFERROR(__xludf.DUMMYFUNCTION("""COMPUTED_VALUE"""),2.0)</f>
        <v>2</v>
      </c>
      <c r="S2577" s="6" t="str">
        <f>IFERROR(__xludf.DUMMYFUNCTION("""COMPUTED_VALUE"""),"Danielle Roberts")</f>
        <v>Danielle Roberts</v>
      </c>
      <c r="T2577" s="6" t="str">
        <f>IFERROR(__xludf.DUMMYFUNCTION("""COMPUTED_VALUE"""),"droberts@readingschools.org")</f>
        <v>droberts@readingschools.org</v>
      </c>
      <c r="U2577" s="6" t="str">
        <f>IFERROR(__xludf.DUMMYFUNCTION("""COMPUTED_VALUE"""),"4")</f>
        <v>4</v>
      </c>
      <c r="V2577" s="6" t="str">
        <f>IFERROR(__xludf.DUMMYFUNCTION("""COMPUTED_VALUE"""),"English")</f>
        <v>English</v>
      </c>
      <c r="W2577" s="6" t="str">
        <f>IFERROR(__xludf.DUMMYFUNCTION("""COMPUTED_VALUE"""),"[]")</f>
        <v>[]</v>
      </c>
      <c r="X2577" s="6" t="str">
        <f>IFERROR(__xludf.DUMMYFUNCTION("""COMPUTED_VALUE"""),"Enrolled")</f>
        <v>Enrolled</v>
      </c>
    </row>
    <row r="2578">
      <c r="A2578" s="6" t="str">
        <f>IFERROR(__xludf.DUMMYFUNCTION("""COMPUTED_VALUE"""),"056-5348")</f>
        <v>056-5348</v>
      </c>
      <c r="B2578" s="6" t="str">
        <f>IFERROR(__xludf.DUMMYFUNCTION("""COMPUTED_VALUE"""),"56")</f>
        <v>56</v>
      </c>
      <c r="C2578" s="6" t="str">
        <f>IFERROR(__xludf.DUMMYFUNCTION("""COMPUTED_VALUE"""),"5348")</f>
        <v>5348</v>
      </c>
      <c r="D2578" s="6" t="str">
        <f>IFERROR(__xludf.DUMMYFUNCTION("""COMPUTED_VALUE"""),"McKenna")</f>
        <v>McKenna</v>
      </c>
      <c r="E2578" s="6" t="str">
        <f>IFERROR(__xludf.DUMMYFUNCTION("""COMPUTED_VALUE"""),"")</f>
        <v/>
      </c>
      <c r="F2578" s="6" t="str">
        <f>IFERROR(__xludf.DUMMYFUNCTION("""COMPUTED_VALUE"""),"Kroeger")</f>
        <v>Kroeger</v>
      </c>
      <c r="G2578" s="6" t="str">
        <f>IFERROR(__xludf.DUMMYFUNCTION("""COMPUTED_VALUE"""),"01/01/2016")</f>
        <v>01/01/2016</v>
      </c>
      <c r="H2578" s="6" t="str">
        <f>IFERROR(__xludf.DUMMYFUNCTION("""COMPUTED_VALUE"""),"Self Identify")</f>
        <v>Self Identify</v>
      </c>
      <c r="I2578" s="6" t="str">
        <f>IFERROR(__xludf.DUMMYFUNCTION("""COMPUTED_VALUE"""),"Level 2")</f>
        <v>Level 2</v>
      </c>
      <c r="J2578" s="6" t="str">
        <f>IFERROR(__xludf.DUMMYFUNCTION("""COMPUTED_VALUE"""),"4")</f>
        <v>4</v>
      </c>
      <c r="K2578" s="6" t="str">
        <f>IFERROR(__xludf.DUMMYFUNCTION("""COMPUTED_VALUE"""),"mckenna.kroeger@2hourlearning.com")</f>
        <v>mckenna.kroeger@2hourlearning.com</v>
      </c>
      <c r="L2578" s="6" t="str">
        <f>IFERROR(__xludf.DUMMYFUNCTION("""COMPUTED_VALUE"""),"Reading Community City School District")</f>
        <v>Reading Community City School District</v>
      </c>
      <c r="M2578" s="6" t="str">
        <f>IFERROR(__xludf.DUMMYFUNCTION("""COMPUTED_VALUE"""),"Elementary")</f>
        <v>Elementary</v>
      </c>
      <c r="N2578" s="6" t="str">
        <f>IFERROR(__xludf.DUMMYFUNCTION("""COMPUTED_VALUE"""),"")</f>
        <v/>
      </c>
      <c r="O2578" s="87" t="str">
        <f>IFERROR(__xludf.DUMMYFUNCTION("""COMPUTED_VALUE"""),"https://drive.google.com/drive/folders/10T2cTQHqEJZqE-st6uFKPoI?usp=share_link")</f>
        <v>https://drive.google.com/drive/folders/10T2cTQHqEJZqE-st6uFKPoI?usp=share_link</v>
      </c>
      <c r="P2578" s="6" t="str">
        <f>IFERROR(__xludf.DUMMYFUNCTION("""COMPUTED_VALUE"""),"McKenna Kroeger")</f>
        <v>McKenna Kroeger</v>
      </c>
      <c r="Q2578" s="6" t="str">
        <f>IFERROR(__xludf.DUMMYFUNCTION("""COMPUTED_VALUE"""),"L2")</f>
        <v>L2</v>
      </c>
      <c r="R2578" s="6">
        <f>IFERROR(__xludf.DUMMYFUNCTION("""COMPUTED_VALUE"""),2.0)</f>
        <v>2</v>
      </c>
      <c r="S2578" s="6" t="str">
        <f>IFERROR(__xludf.DUMMYFUNCTION("""COMPUTED_VALUE"""),"Danielle Roberts")</f>
        <v>Danielle Roberts</v>
      </c>
      <c r="T2578" s="6" t="str">
        <f>IFERROR(__xludf.DUMMYFUNCTION("""COMPUTED_VALUE"""),"droberts@readingschools.org")</f>
        <v>droberts@readingschools.org</v>
      </c>
      <c r="U2578" s="6" t="str">
        <f>IFERROR(__xludf.DUMMYFUNCTION("""COMPUTED_VALUE"""),"4")</f>
        <v>4</v>
      </c>
      <c r="V2578" s="6" t="str">
        <f>IFERROR(__xludf.DUMMYFUNCTION("""COMPUTED_VALUE"""),"English")</f>
        <v>English</v>
      </c>
      <c r="W2578" s="6" t="str">
        <f>IFERROR(__xludf.DUMMYFUNCTION("""COMPUTED_VALUE"""),"[]")</f>
        <v>[]</v>
      </c>
      <c r="X2578" s="6" t="str">
        <f>IFERROR(__xludf.DUMMYFUNCTION("""COMPUTED_VALUE"""),"Enrolled")</f>
        <v>Enrolled</v>
      </c>
    </row>
    <row r="2579">
      <c r="A2579" s="6" t="str">
        <f>IFERROR(__xludf.DUMMYFUNCTION("""COMPUTED_VALUE"""),"056-5349")</f>
        <v>056-5349</v>
      </c>
      <c r="B2579" s="6" t="str">
        <f>IFERROR(__xludf.DUMMYFUNCTION("""COMPUTED_VALUE"""),"56")</f>
        <v>56</v>
      </c>
      <c r="C2579" s="6" t="str">
        <f>IFERROR(__xludf.DUMMYFUNCTION("""COMPUTED_VALUE"""),"5349")</f>
        <v>5349</v>
      </c>
      <c r="D2579" s="6" t="str">
        <f>IFERROR(__xludf.DUMMYFUNCTION("""COMPUTED_VALUE"""),"Stella")</f>
        <v>Stella</v>
      </c>
      <c r="E2579" s="6" t="str">
        <f>IFERROR(__xludf.DUMMYFUNCTION("""COMPUTED_VALUE"""),"")</f>
        <v/>
      </c>
      <c r="F2579" s="6" t="str">
        <f>IFERROR(__xludf.DUMMYFUNCTION("""COMPUTED_VALUE"""),"Gretchen")</f>
        <v>Gretchen</v>
      </c>
      <c r="G2579" s="6" t="str">
        <f>IFERROR(__xludf.DUMMYFUNCTION("""COMPUTED_VALUE"""),"08/03/2016")</f>
        <v>08/03/2016</v>
      </c>
      <c r="H2579" s="6" t="str">
        <f>IFERROR(__xludf.DUMMYFUNCTION("""COMPUTED_VALUE"""),"Self Identify")</f>
        <v>Self Identify</v>
      </c>
      <c r="I2579" s="6" t="str">
        <f>IFERROR(__xludf.DUMMYFUNCTION("""COMPUTED_VALUE"""),"Level 2")</f>
        <v>Level 2</v>
      </c>
      <c r="J2579" s="6" t="str">
        <f>IFERROR(__xludf.DUMMYFUNCTION("""COMPUTED_VALUE"""),"4")</f>
        <v>4</v>
      </c>
      <c r="K2579" s="6" t="str">
        <f>IFERROR(__xludf.DUMMYFUNCTION("""COMPUTED_VALUE"""),"stella.gretchen@2hourlearning.com")</f>
        <v>stella.gretchen@2hourlearning.com</v>
      </c>
      <c r="L2579" s="6" t="str">
        <f>IFERROR(__xludf.DUMMYFUNCTION("""COMPUTED_VALUE"""),"Reading Community City School District")</f>
        <v>Reading Community City School District</v>
      </c>
      <c r="M2579" s="6" t="str">
        <f>IFERROR(__xludf.DUMMYFUNCTION("""COMPUTED_VALUE"""),"Elementary")</f>
        <v>Elementary</v>
      </c>
      <c r="N2579" s="6" t="str">
        <f>IFERROR(__xludf.DUMMYFUNCTION("""COMPUTED_VALUE"""),"")</f>
        <v/>
      </c>
      <c r="O2579" s="87" t="str">
        <f>IFERROR(__xludf.DUMMYFUNCTION("""COMPUTED_VALUE"""),"https://drive.google.com/drive/folders/10T2cTQHqEJZqE-st6uFKPoI?usp=share_link")</f>
        <v>https://drive.google.com/drive/folders/10T2cTQHqEJZqE-st6uFKPoI?usp=share_link</v>
      </c>
      <c r="P2579" s="6" t="str">
        <f>IFERROR(__xludf.DUMMYFUNCTION("""COMPUTED_VALUE"""),"Stella Gretchen")</f>
        <v>Stella Gretchen</v>
      </c>
      <c r="Q2579" s="6" t="str">
        <f>IFERROR(__xludf.DUMMYFUNCTION("""COMPUTED_VALUE"""),"L2")</f>
        <v>L2</v>
      </c>
      <c r="R2579" s="6">
        <f>IFERROR(__xludf.DUMMYFUNCTION("""COMPUTED_VALUE"""),2.0)</f>
        <v>2</v>
      </c>
      <c r="S2579" s="6" t="str">
        <f>IFERROR(__xludf.DUMMYFUNCTION("""COMPUTED_VALUE"""),"Danielle Roberts")</f>
        <v>Danielle Roberts</v>
      </c>
      <c r="T2579" s="6" t="str">
        <f>IFERROR(__xludf.DUMMYFUNCTION("""COMPUTED_VALUE"""),"droberts@readingschools.org")</f>
        <v>droberts@readingschools.org</v>
      </c>
      <c r="U2579" s="6" t="str">
        <f>IFERROR(__xludf.DUMMYFUNCTION("""COMPUTED_VALUE"""),"4")</f>
        <v>4</v>
      </c>
      <c r="V2579" s="6" t="str">
        <f>IFERROR(__xludf.DUMMYFUNCTION("""COMPUTED_VALUE"""),"English")</f>
        <v>English</v>
      </c>
      <c r="W2579" s="6" t="str">
        <f>IFERROR(__xludf.DUMMYFUNCTION("""COMPUTED_VALUE"""),"[]")</f>
        <v>[]</v>
      </c>
      <c r="X2579" s="6" t="str">
        <f>IFERROR(__xludf.DUMMYFUNCTION("""COMPUTED_VALUE"""),"Enrolled")</f>
        <v>Enrolled</v>
      </c>
    </row>
    <row r="2580">
      <c r="A2580" s="6" t="str">
        <f>IFERROR(__xludf.DUMMYFUNCTION("""COMPUTED_VALUE"""),"056-5350")</f>
        <v>056-5350</v>
      </c>
      <c r="B2580" s="6" t="str">
        <f>IFERROR(__xludf.DUMMYFUNCTION("""COMPUTED_VALUE"""),"56")</f>
        <v>56</v>
      </c>
      <c r="C2580" s="6" t="str">
        <f>IFERROR(__xludf.DUMMYFUNCTION("""COMPUTED_VALUE"""),"5350")</f>
        <v>5350</v>
      </c>
      <c r="D2580" s="6" t="str">
        <f>IFERROR(__xludf.DUMMYFUNCTION("""COMPUTED_VALUE"""),"Zophia")</f>
        <v>Zophia</v>
      </c>
      <c r="E2580" s="6" t="str">
        <f>IFERROR(__xludf.DUMMYFUNCTION("""COMPUTED_VALUE"""),"")</f>
        <v/>
      </c>
      <c r="F2580" s="6" t="str">
        <f>IFERROR(__xludf.DUMMYFUNCTION("""COMPUTED_VALUE"""),"Raewyn")</f>
        <v>Raewyn</v>
      </c>
      <c r="G2580" s="6" t="str">
        <f>IFERROR(__xludf.DUMMYFUNCTION("""COMPUTED_VALUE"""),"05/05/2016")</f>
        <v>05/05/2016</v>
      </c>
      <c r="H2580" s="6" t="str">
        <f>IFERROR(__xludf.DUMMYFUNCTION("""COMPUTED_VALUE"""),"Self Identify")</f>
        <v>Self Identify</v>
      </c>
      <c r="I2580" s="6" t="str">
        <f>IFERROR(__xludf.DUMMYFUNCTION("""COMPUTED_VALUE"""),"Level 2")</f>
        <v>Level 2</v>
      </c>
      <c r="J2580" s="6" t="str">
        <f>IFERROR(__xludf.DUMMYFUNCTION("""COMPUTED_VALUE"""),"4")</f>
        <v>4</v>
      </c>
      <c r="K2580" s="6" t="str">
        <f>IFERROR(__xludf.DUMMYFUNCTION("""COMPUTED_VALUE"""),"zophia.raewyn@2hourlearning.com")</f>
        <v>zophia.raewyn@2hourlearning.com</v>
      </c>
      <c r="L2580" s="6" t="str">
        <f>IFERROR(__xludf.DUMMYFUNCTION("""COMPUTED_VALUE"""),"Reading Community City School District")</f>
        <v>Reading Community City School District</v>
      </c>
      <c r="M2580" s="6" t="str">
        <f>IFERROR(__xludf.DUMMYFUNCTION("""COMPUTED_VALUE"""),"Elementary")</f>
        <v>Elementary</v>
      </c>
      <c r="N2580" s="6" t="str">
        <f>IFERROR(__xludf.DUMMYFUNCTION("""COMPUTED_VALUE"""),"")</f>
        <v/>
      </c>
      <c r="O2580" s="87" t="str">
        <f>IFERROR(__xludf.DUMMYFUNCTION("""COMPUTED_VALUE"""),"https://drive.google.com/drive/folders/10T2cTQHqEJZqE-st6uFKPoI?usp=share_link")</f>
        <v>https://drive.google.com/drive/folders/10T2cTQHqEJZqE-st6uFKPoI?usp=share_link</v>
      </c>
      <c r="P2580" s="6" t="str">
        <f>IFERROR(__xludf.DUMMYFUNCTION("""COMPUTED_VALUE"""),"Zophia Raewyn")</f>
        <v>Zophia Raewyn</v>
      </c>
      <c r="Q2580" s="6" t="str">
        <f>IFERROR(__xludf.DUMMYFUNCTION("""COMPUTED_VALUE"""),"L2")</f>
        <v>L2</v>
      </c>
      <c r="R2580" s="6">
        <f>IFERROR(__xludf.DUMMYFUNCTION("""COMPUTED_VALUE"""),2.0)</f>
        <v>2</v>
      </c>
      <c r="S2580" s="6" t="str">
        <f>IFERROR(__xludf.DUMMYFUNCTION("""COMPUTED_VALUE"""),"Danielle Roberts")</f>
        <v>Danielle Roberts</v>
      </c>
      <c r="T2580" s="6" t="str">
        <f>IFERROR(__xludf.DUMMYFUNCTION("""COMPUTED_VALUE"""),"droberts@readingschools.org")</f>
        <v>droberts@readingschools.org</v>
      </c>
      <c r="U2580" s="6" t="str">
        <f>IFERROR(__xludf.DUMMYFUNCTION("""COMPUTED_VALUE"""),"4")</f>
        <v>4</v>
      </c>
      <c r="V2580" s="6" t="str">
        <f>IFERROR(__xludf.DUMMYFUNCTION("""COMPUTED_VALUE"""),"English")</f>
        <v>English</v>
      </c>
      <c r="W2580" s="6" t="str">
        <f>IFERROR(__xludf.DUMMYFUNCTION("""COMPUTED_VALUE"""),"[]")</f>
        <v>[]</v>
      </c>
      <c r="X2580" s="6" t="str">
        <f>IFERROR(__xludf.DUMMYFUNCTION("""COMPUTED_VALUE"""),"Enrolled")</f>
        <v>Enrolled</v>
      </c>
    </row>
    <row r="2581">
      <c r="A2581" s="6" t="str">
        <f>IFERROR(__xludf.DUMMYFUNCTION("""COMPUTED_VALUE"""),"056-5351")</f>
        <v>056-5351</v>
      </c>
      <c r="B2581" s="6" t="str">
        <f>IFERROR(__xludf.DUMMYFUNCTION("""COMPUTED_VALUE"""),"56")</f>
        <v>56</v>
      </c>
      <c r="C2581" s="6" t="str">
        <f>IFERROR(__xludf.DUMMYFUNCTION("""COMPUTED_VALUE"""),"5351")</f>
        <v>5351</v>
      </c>
      <c r="D2581" s="6" t="str">
        <f>IFERROR(__xludf.DUMMYFUNCTION("""COMPUTED_VALUE"""),"Nora")</f>
        <v>Nora</v>
      </c>
      <c r="E2581" s="6" t="str">
        <f>IFERROR(__xludf.DUMMYFUNCTION("""COMPUTED_VALUE"""),"")</f>
        <v/>
      </c>
      <c r="F2581" s="6" t="str">
        <f>IFERROR(__xludf.DUMMYFUNCTION("""COMPUTED_VALUE"""),"Alghazawe")</f>
        <v>Alghazawe</v>
      </c>
      <c r="G2581" s="6" t="str">
        <f>IFERROR(__xludf.DUMMYFUNCTION("""COMPUTED_VALUE"""),"08/12/2015")</f>
        <v>08/12/2015</v>
      </c>
      <c r="H2581" s="6" t="str">
        <f>IFERROR(__xludf.DUMMYFUNCTION("""COMPUTED_VALUE"""),"Self Identify")</f>
        <v>Self Identify</v>
      </c>
      <c r="I2581" s="6" t="str">
        <f>IFERROR(__xludf.DUMMYFUNCTION("""COMPUTED_VALUE"""),"Level 2")</f>
        <v>Level 2</v>
      </c>
      <c r="J2581" s="6" t="str">
        <f>IFERROR(__xludf.DUMMYFUNCTION("""COMPUTED_VALUE"""),"4")</f>
        <v>4</v>
      </c>
      <c r="K2581" s="6" t="str">
        <f>IFERROR(__xludf.DUMMYFUNCTION("""COMPUTED_VALUE"""),"nora.alghazawe@2hourlearning.com")</f>
        <v>nora.alghazawe@2hourlearning.com</v>
      </c>
      <c r="L2581" s="6" t="str">
        <f>IFERROR(__xludf.DUMMYFUNCTION("""COMPUTED_VALUE"""),"Reading Community City School District")</f>
        <v>Reading Community City School District</v>
      </c>
      <c r="M2581" s="6" t="str">
        <f>IFERROR(__xludf.DUMMYFUNCTION("""COMPUTED_VALUE"""),"Elementary")</f>
        <v>Elementary</v>
      </c>
      <c r="N2581" s="6" t="str">
        <f>IFERROR(__xludf.DUMMYFUNCTION("""COMPUTED_VALUE"""),"")</f>
        <v/>
      </c>
      <c r="O2581" s="87" t="str">
        <f>IFERROR(__xludf.DUMMYFUNCTION("""COMPUTED_VALUE"""),"https://drive.google.com/drive/folders/10T2cTQHqEJZqE-st6uFKPoI?usp=share_link")</f>
        <v>https://drive.google.com/drive/folders/10T2cTQHqEJZqE-st6uFKPoI?usp=share_link</v>
      </c>
      <c r="P2581" s="6" t="str">
        <f>IFERROR(__xludf.DUMMYFUNCTION("""COMPUTED_VALUE"""),"Nora Alghazawe")</f>
        <v>Nora Alghazawe</v>
      </c>
      <c r="Q2581" s="6" t="str">
        <f>IFERROR(__xludf.DUMMYFUNCTION("""COMPUTED_VALUE"""),"L2")</f>
        <v>L2</v>
      </c>
      <c r="R2581" s="6">
        <f>IFERROR(__xludf.DUMMYFUNCTION("""COMPUTED_VALUE"""),2.0)</f>
        <v>2</v>
      </c>
      <c r="S2581" s="6" t="str">
        <f>IFERROR(__xludf.DUMMYFUNCTION("""COMPUTED_VALUE"""),"Danielle Roberts")</f>
        <v>Danielle Roberts</v>
      </c>
      <c r="T2581" s="6" t="str">
        <f>IFERROR(__xludf.DUMMYFUNCTION("""COMPUTED_VALUE"""),"droberts@readingschools.org")</f>
        <v>droberts@readingschools.org</v>
      </c>
      <c r="U2581" s="6" t="str">
        <f>IFERROR(__xludf.DUMMYFUNCTION("""COMPUTED_VALUE"""),"4")</f>
        <v>4</v>
      </c>
      <c r="V2581" s="6" t="str">
        <f>IFERROR(__xludf.DUMMYFUNCTION("""COMPUTED_VALUE"""),"English")</f>
        <v>English</v>
      </c>
      <c r="W2581" s="6" t="str">
        <f>IFERROR(__xludf.DUMMYFUNCTION("""COMPUTED_VALUE"""),"[]")</f>
        <v>[]</v>
      </c>
      <c r="X2581" s="6" t="str">
        <f>IFERROR(__xludf.DUMMYFUNCTION("""COMPUTED_VALUE"""),"Enrolled")</f>
        <v>Enrolled</v>
      </c>
    </row>
    <row r="2582">
      <c r="A2582" s="6" t="str">
        <f>IFERROR(__xludf.DUMMYFUNCTION("""COMPUTED_VALUE"""),"056-5352")</f>
        <v>056-5352</v>
      </c>
      <c r="B2582" s="6" t="str">
        <f>IFERROR(__xludf.DUMMYFUNCTION("""COMPUTED_VALUE"""),"56")</f>
        <v>56</v>
      </c>
      <c r="C2582" s="6" t="str">
        <f>IFERROR(__xludf.DUMMYFUNCTION("""COMPUTED_VALUE"""),"5352")</f>
        <v>5352</v>
      </c>
      <c r="D2582" s="6" t="str">
        <f>IFERROR(__xludf.DUMMYFUNCTION("""COMPUTED_VALUE"""),"Parish")</f>
        <v>Parish</v>
      </c>
      <c r="E2582" s="6" t="str">
        <f>IFERROR(__xludf.DUMMYFUNCTION("""COMPUTED_VALUE"""),"")</f>
        <v/>
      </c>
      <c r="F2582" s="6" t="str">
        <f>IFERROR(__xludf.DUMMYFUNCTION("""COMPUTED_VALUE"""),"Felder")</f>
        <v>Felder</v>
      </c>
      <c r="G2582" s="6" t="str">
        <f>IFERROR(__xludf.DUMMYFUNCTION("""COMPUTED_VALUE"""),"07/20/2016")</f>
        <v>07/20/2016</v>
      </c>
      <c r="H2582" s="6" t="str">
        <f>IFERROR(__xludf.DUMMYFUNCTION("""COMPUTED_VALUE"""),"Self Identify")</f>
        <v>Self Identify</v>
      </c>
      <c r="I2582" s="6" t="str">
        <f>IFERROR(__xludf.DUMMYFUNCTION("""COMPUTED_VALUE"""),"Level 2")</f>
        <v>Level 2</v>
      </c>
      <c r="J2582" s="6" t="str">
        <f>IFERROR(__xludf.DUMMYFUNCTION("""COMPUTED_VALUE"""),"4")</f>
        <v>4</v>
      </c>
      <c r="K2582" s="6" t="str">
        <f>IFERROR(__xludf.DUMMYFUNCTION("""COMPUTED_VALUE"""),"parish.felder@2hourlearning.com")</f>
        <v>parish.felder@2hourlearning.com</v>
      </c>
      <c r="L2582" s="6" t="str">
        <f>IFERROR(__xludf.DUMMYFUNCTION("""COMPUTED_VALUE"""),"Reading Community City School District")</f>
        <v>Reading Community City School District</v>
      </c>
      <c r="M2582" s="6" t="str">
        <f>IFERROR(__xludf.DUMMYFUNCTION("""COMPUTED_VALUE"""),"Elementary")</f>
        <v>Elementary</v>
      </c>
      <c r="N2582" s="6" t="str">
        <f>IFERROR(__xludf.DUMMYFUNCTION("""COMPUTED_VALUE"""),"")</f>
        <v/>
      </c>
      <c r="O2582" s="87" t="str">
        <f>IFERROR(__xludf.DUMMYFUNCTION("""COMPUTED_VALUE"""),"https://drive.google.com/drive/folders/10T2cTQHqEJZqE-st6uFKPoI?usp=share_link")</f>
        <v>https://drive.google.com/drive/folders/10T2cTQHqEJZqE-st6uFKPoI?usp=share_link</v>
      </c>
      <c r="P2582" s="6" t="str">
        <f>IFERROR(__xludf.DUMMYFUNCTION("""COMPUTED_VALUE"""),"Parish Felder")</f>
        <v>Parish Felder</v>
      </c>
      <c r="Q2582" s="6" t="str">
        <f>IFERROR(__xludf.DUMMYFUNCTION("""COMPUTED_VALUE"""),"L2")</f>
        <v>L2</v>
      </c>
      <c r="R2582" s="6">
        <f>IFERROR(__xludf.DUMMYFUNCTION("""COMPUTED_VALUE"""),2.0)</f>
        <v>2</v>
      </c>
      <c r="S2582" s="6" t="str">
        <f>IFERROR(__xludf.DUMMYFUNCTION("""COMPUTED_VALUE"""),"Lisa Kloesz")</f>
        <v>Lisa Kloesz</v>
      </c>
      <c r="T2582" s="6" t="str">
        <f>IFERROR(__xludf.DUMMYFUNCTION("""COMPUTED_VALUE"""),"lkloesz@readingschools.org")</f>
        <v>lkloesz@readingschools.org</v>
      </c>
      <c r="U2582" s="6" t="str">
        <f>IFERROR(__xludf.DUMMYFUNCTION("""COMPUTED_VALUE"""),"4")</f>
        <v>4</v>
      </c>
      <c r="V2582" s="6" t="str">
        <f>IFERROR(__xludf.DUMMYFUNCTION("""COMPUTED_VALUE"""),"English")</f>
        <v>English</v>
      </c>
      <c r="W2582" s="6" t="str">
        <f>IFERROR(__xludf.DUMMYFUNCTION("""COMPUTED_VALUE"""),"[]")</f>
        <v>[]</v>
      </c>
      <c r="X2582" s="6" t="str">
        <f>IFERROR(__xludf.DUMMYFUNCTION("""COMPUTED_VALUE"""),"Enrolled")</f>
        <v>Enrolled</v>
      </c>
    </row>
    <row r="2583">
      <c r="A2583" s="6" t="str">
        <f>IFERROR(__xludf.DUMMYFUNCTION("""COMPUTED_VALUE"""),"056-5353")</f>
        <v>056-5353</v>
      </c>
      <c r="B2583" s="6" t="str">
        <f>IFERROR(__xludf.DUMMYFUNCTION("""COMPUTED_VALUE"""),"56")</f>
        <v>56</v>
      </c>
      <c r="C2583" s="6" t="str">
        <f>IFERROR(__xludf.DUMMYFUNCTION("""COMPUTED_VALUE"""),"5353")</f>
        <v>5353</v>
      </c>
      <c r="D2583" s="6" t="str">
        <f>IFERROR(__xludf.DUMMYFUNCTION("""COMPUTED_VALUE"""),"Reyansh")</f>
        <v>Reyansh</v>
      </c>
      <c r="E2583" s="6" t="str">
        <f>IFERROR(__xludf.DUMMYFUNCTION("""COMPUTED_VALUE"""),"")</f>
        <v/>
      </c>
      <c r="F2583" s="6" t="str">
        <f>IFERROR(__xludf.DUMMYFUNCTION("""COMPUTED_VALUE"""),"Dhamija")</f>
        <v>Dhamija</v>
      </c>
      <c r="G2583" s="6" t="str">
        <f>IFERROR(__xludf.DUMMYFUNCTION("""COMPUTED_VALUE"""),"05/22/2016")</f>
        <v>05/22/2016</v>
      </c>
      <c r="H2583" s="6" t="str">
        <f>IFERROR(__xludf.DUMMYFUNCTION("""COMPUTED_VALUE"""),"Self Identify")</f>
        <v>Self Identify</v>
      </c>
      <c r="I2583" s="6" t="str">
        <f>IFERROR(__xludf.DUMMYFUNCTION("""COMPUTED_VALUE"""),"Level 2")</f>
        <v>Level 2</v>
      </c>
      <c r="J2583" s="6" t="str">
        <f>IFERROR(__xludf.DUMMYFUNCTION("""COMPUTED_VALUE"""),"4")</f>
        <v>4</v>
      </c>
      <c r="K2583" s="6" t="str">
        <f>IFERROR(__xludf.DUMMYFUNCTION("""COMPUTED_VALUE"""),"reyansh.dhamija@2hourlearning.com")</f>
        <v>reyansh.dhamija@2hourlearning.com</v>
      </c>
      <c r="L2583" s="6" t="str">
        <f>IFERROR(__xludf.DUMMYFUNCTION("""COMPUTED_VALUE"""),"Reading Community City School District")</f>
        <v>Reading Community City School District</v>
      </c>
      <c r="M2583" s="6" t="str">
        <f>IFERROR(__xludf.DUMMYFUNCTION("""COMPUTED_VALUE"""),"Elementary")</f>
        <v>Elementary</v>
      </c>
      <c r="N2583" s="6" t="str">
        <f>IFERROR(__xludf.DUMMYFUNCTION("""COMPUTED_VALUE"""),"")</f>
        <v/>
      </c>
      <c r="O2583" s="87" t="str">
        <f>IFERROR(__xludf.DUMMYFUNCTION("""COMPUTED_VALUE"""),"https://drive.google.com/drive/folders/10T2cTQHqEJZqE-st6uFKPoI?usp=share_link")</f>
        <v>https://drive.google.com/drive/folders/10T2cTQHqEJZqE-st6uFKPoI?usp=share_link</v>
      </c>
      <c r="P2583" s="6" t="str">
        <f>IFERROR(__xludf.DUMMYFUNCTION("""COMPUTED_VALUE"""),"Reyansh Dhamija")</f>
        <v>Reyansh Dhamija</v>
      </c>
      <c r="Q2583" s="6" t="str">
        <f>IFERROR(__xludf.DUMMYFUNCTION("""COMPUTED_VALUE"""),"L2")</f>
        <v>L2</v>
      </c>
      <c r="R2583" s="6">
        <f>IFERROR(__xludf.DUMMYFUNCTION("""COMPUTED_VALUE"""),2.0)</f>
        <v>2</v>
      </c>
      <c r="S2583" s="6" t="str">
        <f>IFERROR(__xludf.DUMMYFUNCTION("""COMPUTED_VALUE"""),"Danielle Roberts")</f>
        <v>Danielle Roberts</v>
      </c>
      <c r="T2583" s="6" t="str">
        <f>IFERROR(__xludf.DUMMYFUNCTION("""COMPUTED_VALUE"""),"droberts@readingschools.org")</f>
        <v>droberts@readingschools.org</v>
      </c>
      <c r="U2583" s="6" t="str">
        <f>IFERROR(__xludf.DUMMYFUNCTION("""COMPUTED_VALUE"""),"4")</f>
        <v>4</v>
      </c>
      <c r="V2583" s="6" t="str">
        <f>IFERROR(__xludf.DUMMYFUNCTION("""COMPUTED_VALUE"""),"English")</f>
        <v>English</v>
      </c>
      <c r="W2583" s="6" t="str">
        <f>IFERROR(__xludf.DUMMYFUNCTION("""COMPUTED_VALUE"""),"[]")</f>
        <v>[]</v>
      </c>
      <c r="X2583" s="6" t="str">
        <f>IFERROR(__xludf.DUMMYFUNCTION("""COMPUTED_VALUE"""),"Enrolled")</f>
        <v>Enrolled</v>
      </c>
    </row>
    <row r="2584">
      <c r="A2584" s="6" t="str">
        <f>IFERROR(__xludf.DUMMYFUNCTION("""COMPUTED_VALUE"""),"056-5354")</f>
        <v>056-5354</v>
      </c>
      <c r="B2584" s="6" t="str">
        <f>IFERROR(__xludf.DUMMYFUNCTION("""COMPUTED_VALUE"""),"56")</f>
        <v>56</v>
      </c>
      <c r="C2584" s="6" t="str">
        <f>IFERROR(__xludf.DUMMYFUNCTION("""COMPUTED_VALUE"""),"5354")</f>
        <v>5354</v>
      </c>
      <c r="D2584" s="6" t="str">
        <f>IFERROR(__xludf.DUMMYFUNCTION("""COMPUTED_VALUE"""),"Skylar")</f>
        <v>Skylar</v>
      </c>
      <c r="E2584" s="6" t="str">
        <f>IFERROR(__xludf.DUMMYFUNCTION("""COMPUTED_VALUE"""),"")</f>
        <v/>
      </c>
      <c r="F2584" s="6" t="str">
        <f>IFERROR(__xludf.DUMMYFUNCTION("""COMPUTED_VALUE"""),"Listermann")</f>
        <v>Listermann</v>
      </c>
      <c r="G2584" s="6" t="str">
        <f>IFERROR(__xludf.DUMMYFUNCTION("""COMPUTED_VALUE"""),"11/03/2015")</f>
        <v>11/03/2015</v>
      </c>
      <c r="H2584" s="6" t="str">
        <f>IFERROR(__xludf.DUMMYFUNCTION("""COMPUTED_VALUE"""),"Self Identify")</f>
        <v>Self Identify</v>
      </c>
      <c r="I2584" s="6" t="str">
        <f>IFERROR(__xludf.DUMMYFUNCTION("""COMPUTED_VALUE"""),"Level 2")</f>
        <v>Level 2</v>
      </c>
      <c r="J2584" s="6" t="str">
        <f>IFERROR(__xludf.DUMMYFUNCTION("""COMPUTED_VALUE"""),"4")</f>
        <v>4</v>
      </c>
      <c r="K2584" s="6" t="str">
        <f>IFERROR(__xludf.DUMMYFUNCTION("""COMPUTED_VALUE"""),"skylar.listermann@2hourlearning.com")</f>
        <v>skylar.listermann@2hourlearning.com</v>
      </c>
      <c r="L2584" s="6" t="str">
        <f>IFERROR(__xludf.DUMMYFUNCTION("""COMPUTED_VALUE"""),"Reading Community City School District")</f>
        <v>Reading Community City School District</v>
      </c>
      <c r="M2584" s="6" t="str">
        <f>IFERROR(__xludf.DUMMYFUNCTION("""COMPUTED_VALUE"""),"Elementary")</f>
        <v>Elementary</v>
      </c>
      <c r="N2584" s="6" t="str">
        <f>IFERROR(__xludf.DUMMYFUNCTION("""COMPUTED_VALUE"""),"")</f>
        <v/>
      </c>
      <c r="O2584" s="87" t="str">
        <f>IFERROR(__xludf.DUMMYFUNCTION("""COMPUTED_VALUE"""),"https://drive.google.com/drive/folders/10T2cTQHqEJZqE-st6uFKPoI?usp=share_link")</f>
        <v>https://drive.google.com/drive/folders/10T2cTQHqEJZqE-st6uFKPoI?usp=share_link</v>
      </c>
      <c r="P2584" s="6" t="str">
        <f>IFERROR(__xludf.DUMMYFUNCTION("""COMPUTED_VALUE"""),"Skylar Listermann")</f>
        <v>Skylar Listermann</v>
      </c>
      <c r="Q2584" s="6" t="str">
        <f>IFERROR(__xludf.DUMMYFUNCTION("""COMPUTED_VALUE"""),"L2")</f>
        <v>L2</v>
      </c>
      <c r="R2584" s="6">
        <f>IFERROR(__xludf.DUMMYFUNCTION("""COMPUTED_VALUE"""),2.0)</f>
        <v>2</v>
      </c>
      <c r="S2584" s="6" t="str">
        <f>IFERROR(__xludf.DUMMYFUNCTION("""COMPUTED_VALUE"""),"Danielle Roberts")</f>
        <v>Danielle Roberts</v>
      </c>
      <c r="T2584" s="6" t="str">
        <f>IFERROR(__xludf.DUMMYFUNCTION("""COMPUTED_VALUE"""),"droberts@readingschools.org")</f>
        <v>droberts@readingschools.org</v>
      </c>
      <c r="U2584" s="6" t="str">
        <f>IFERROR(__xludf.DUMMYFUNCTION("""COMPUTED_VALUE"""),"4")</f>
        <v>4</v>
      </c>
      <c r="V2584" s="6" t="str">
        <f>IFERROR(__xludf.DUMMYFUNCTION("""COMPUTED_VALUE"""),"English")</f>
        <v>English</v>
      </c>
      <c r="W2584" s="6" t="str">
        <f>IFERROR(__xludf.DUMMYFUNCTION("""COMPUTED_VALUE"""),"[]")</f>
        <v>[]</v>
      </c>
      <c r="X2584" s="6" t="str">
        <f>IFERROR(__xludf.DUMMYFUNCTION("""COMPUTED_VALUE"""),"Enrolled")</f>
        <v>Enrolled</v>
      </c>
    </row>
    <row r="2585">
      <c r="A2585" s="6" t="str">
        <f>IFERROR(__xludf.DUMMYFUNCTION("""COMPUTED_VALUE"""),"056-5355")</f>
        <v>056-5355</v>
      </c>
      <c r="B2585" s="6" t="str">
        <f>IFERROR(__xludf.DUMMYFUNCTION("""COMPUTED_VALUE"""),"56")</f>
        <v>56</v>
      </c>
      <c r="C2585" s="6" t="str">
        <f>IFERROR(__xludf.DUMMYFUNCTION("""COMPUTED_VALUE"""),"5355")</f>
        <v>5355</v>
      </c>
      <c r="D2585" s="6" t="str">
        <f>IFERROR(__xludf.DUMMYFUNCTION("""COMPUTED_VALUE"""),"Ta'Naja")</f>
        <v>Ta'Naja</v>
      </c>
      <c r="E2585" s="6" t="str">
        <f>IFERROR(__xludf.DUMMYFUNCTION("""COMPUTED_VALUE"""),"")</f>
        <v/>
      </c>
      <c r="F2585" s="6" t="str">
        <f>IFERROR(__xludf.DUMMYFUNCTION("""COMPUTED_VALUE"""),"North")</f>
        <v>North</v>
      </c>
      <c r="G2585" s="6" t="str">
        <f>IFERROR(__xludf.DUMMYFUNCTION("""COMPUTED_VALUE"""),"06/07/2016")</f>
        <v>06/07/2016</v>
      </c>
      <c r="H2585" s="6" t="str">
        <f>IFERROR(__xludf.DUMMYFUNCTION("""COMPUTED_VALUE"""),"Self Identify")</f>
        <v>Self Identify</v>
      </c>
      <c r="I2585" s="6" t="str">
        <f>IFERROR(__xludf.DUMMYFUNCTION("""COMPUTED_VALUE"""),"Level 2")</f>
        <v>Level 2</v>
      </c>
      <c r="J2585" s="6" t="str">
        <f>IFERROR(__xludf.DUMMYFUNCTION("""COMPUTED_VALUE"""),"4")</f>
        <v>4</v>
      </c>
      <c r="K2585" s="6" t="str">
        <f>IFERROR(__xludf.DUMMYFUNCTION("""COMPUTED_VALUE"""),"tanaja.north@2hourlearning.com")</f>
        <v>tanaja.north@2hourlearning.com</v>
      </c>
      <c r="L2585" s="6" t="str">
        <f>IFERROR(__xludf.DUMMYFUNCTION("""COMPUTED_VALUE"""),"Reading Community City School District")</f>
        <v>Reading Community City School District</v>
      </c>
      <c r="M2585" s="6" t="str">
        <f>IFERROR(__xludf.DUMMYFUNCTION("""COMPUTED_VALUE"""),"Elementary")</f>
        <v>Elementary</v>
      </c>
      <c r="N2585" s="6" t="str">
        <f>IFERROR(__xludf.DUMMYFUNCTION("""COMPUTED_VALUE"""),"")</f>
        <v/>
      </c>
      <c r="O2585" s="87" t="str">
        <f>IFERROR(__xludf.DUMMYFUNCTION("""COMPUTED_VALUE"""),"https://drive.google.com/drive/folders/10T2cTQHqEJZqE-st6uFKPoI?usp=share_link")</f>
        <v>https://drive.google.com/drive/folders/10T2cTQHqEJZqE-st6uFKPoI?usp=share_link</v>
      </c>
      <c r="P2585" s="6" t="str">
        <f>IFERROR(__xludf.DUMMYFUNCTION("""COMPUTED_VALUE"""),"Ta'Naja North")</f>
        <v>Ta'Naja North</v>
      </c>
      <c r="Q2585" s="6" t="str">
        <f>IFERROR(__xludf.DUMMYFUNCTION("""COMPUTED_VALUE"""),"L2")</f>
        <v>L2</v>
      </c>
      <c r="R2585" s="6">
        <f>IFERROR(__xludf.DUMMYFUNCTION("""COMPUTED_VALUE"""),2.0)</f>
        <v>2</v>
      </c>
      <c r="S2585" s="6" t="str">
        <f>IFERROR(__xludf.DUMMYFUNCTION("""COMPUTED_VALUE"""),"Lisa Kloetz")</f>
        <v>Lisa Kloetz</v>
      </c>
      <c r="T2585" s="6" t="str">
        <f>IFERROR(__xludf.DUMMYFUNCTION("""COMPUTED_VALUE"""),"lkloetz@readingschools.org")</f>
        <v>lkloetz@readingschools.org</v>
      </c>
      <c r="U2585" s="6" t="str">
        <f>IFERROR(__xludf.DUMMYFUNCTION("""COMPUTED_VALUE"""),"4")</f>
        <v>4</v>
      </c>
      <c r="V2585" s="6" t="str">
        <f>IFERROR(__xludf.DUMMYFUNCTION("""COMPUTED_VALUE"""),"English")</f>
        <v>English</v>
      </c>
      <c r="W2585" s="6" t="str">
        <f>IFERROR(__xludf.DUMMYFUNCTION("""COMPUTED_VALUE"""),"[]")</f>
        <v>[]</v>
      </c>
      <c r="X2585" s="6" t="str">
        <f>IFERROR(__xludf.DUMMYFUNCTION("""COMPUTED_VALUE"""),"Enrolled")</f>
        <v>Enrolled</v>
      </c>
    </row>
    <row r="2586">
      <c r="A2586" s="6" t="str">
        <f>IFERROR(__xludf.DUMMYFUNCTION("""COMPUTED_VALUE"""),"056-5356")</f>
        <v>056-5356</v>
      </c>
      <c r="B2586" s="6" t="str">
        <f>IFERROR(__xludf.DUMMYFUNCTION("""COMPUTED_VALUE"""),"56")</f>
        <v>56</v>
      </c>
      <c r="C2586" s="6" t="str">
        <f>IFERROR(__xludf.DUMMYFUNCTION("""COMPUTED_VALUE"""),"5356")</f>
        <v>5356</v>
      </c>
      <c r="D2586" s="6" t="str">
        <f>IFERROR(__xludf.DUMMYFUNCTION("""COMPUTED_VALUE"""),"Wryan")</f>
        <v>Wryan</v>
      </c>
      <c r="E2586" s="6" t="str">
        <f>IFERROR(__xludf.DUMMYFUNCTION("""COMPUTED_VALUE"""),"")</f>
        <v/>
      </c>
      <c r="F2586" s="6" t="str">
        <f>IFERROR(__xludf.DUMMYFUNCTION("""COMPUTED_VALUE"""),"Gravesande")</f>
        <v>Gravesande</v>
      </c>
      <c r="G2586" s="6" t="str">
        <f>IFERROR(__xludf.DUMMYFUNCTION("""COMPUTED_VALUE"""),"12/24/2015")</f>
        <v>12/24/2015</v>
      </c>
      <c r="H2586" s="6" t="str">
        <f>IFERROR(__xludf.DUMMYFUNCTION("""COMPUTED_VALUE"""),"Self Identify")</f>
        <v>Self Identify</v>
      </c>
      <c r="I2586" s="6" t="str">
        <f>IFERROR(__xludf.DUMMYFUNCTION("""COMPUTED_VALUE"""),"Level 2")</f>
        <v>Level 2</v>
      </c>
      <c r="J2586" s="6" t="str">
        <f>IFERROR(__xludf.DUMMYFUNCTION("""COMPUTED_VALUE"""),"4")</f>
        <v>4</v>
      </c>
      <c r="K2586" s="6" t="str">
        <f>IFERROR(__xludf.DUMMYFUNCTION("""COMPUTED_VALUE"""),"wryan.gravesande@2hourlearning.com")</f>
        <v>wryan.gravesande@2hourlearning.com</v>
      </c>
      <c r="L2586" s="6" t="str">
        <f>IFERROR(__xludf.DUMMYFUNCTION("""COMPUTED_VALUE"""),"Reading Community City School District")</f>
        <v>Reading Community City School District</v>
      </c>
      <c r="M2586" s="6" t="str">
        <f>IFERROR(__xludf.DUMMYFUNCTION("""COMPUTED_VALUE"""),"Elementary")</f>
        <v>Elementary</v>
      </c>
      <c r="N2586" s="6" t="str">
        <f>IFERROR(__xludf.DUMMYFUNCTION("""COMPUTED_VALUE"""),"")</f>
        <v/>
      </c>
      <c r="O2586" s="87" t="str">
        <f>IFERROR(__xludf.DUMMYFUNCTION("""COMPUTED_VALUE"""),"https://drive.google.com/drive/folders/10T2cTQHqEJZqE-st6uFKPoI?usp=share_link")</f>
        <v>https://drive.google.com/drive/folders/10T2cTQHqEJZqE-st6uFKPoI?usp=share_link</v>
      </c>
      <c r="P2586" s="6" t="str">
        <f>IFERROR(__xludf.DUMMYFUNCTION("""COMPUTED_VALUE"""),"Wryan Gravesande")</f>
        <v>Wryan Gravesande</v>
      </c>
      <c r="Q2586" s="6" t="str">
        <f>IFERROR(__xludf.DUMMYFUNCTION("""COMPUTED_VALUE"""),"L2")</f>
        <v>L2</v>
      </c>
      <c r="R2586" s="6">
        <f>IFERROR(__xludf.DUMMYFUNCTION("""COMPUTED_VALUE"""),2.0)</f>
        <v>2</v>
      </c>
      <c r="S2586" s="6" t="str">
        <f>IFERROR(__xludf.DUMMYFUNCTION("""COMPUTED_VALUE"""),"Danielle Roberts")</f>
        <v>Danielle Roberts</v>
      </c>
      <c r="T2586" s="6" t="str">
        <f>IFERROR(__xludf.DUMMYFUNCTION("""COMPUTED_VALUE"""),"droberts@readingschools.org")</f>
        <v>droberts@readingschools.org</v>
      </c>
      <c r="U2586" s="6" t="str">
        <f>IFERROR(__xludf.DUMMYFUNCTION("""COMPUTED_VALUE"""),"4")</f>
        <v>4</v>
      </c>
      <c r="V2586" s="6" t="str">
        <f>IFERROR(__xludf.DUMMYFUNCTION("""COMPUTED_VALUE"""),"English")</f>
        <v>English</v>
      </c>
      <c r="W2586" s="6" t="str">
        <f>IFERROR(__xludf.DUMMYFUNCTION("""COMPUTED_VALUE"""),"[]")</f>
        <v>[]</v>
      </c>
      <c r="X2586" s="6" t="str">
        <f>IFERROR(__xludf.DUMMYFUNCTION("""COMPUTED_VALUE"""),"Enrolled")</f>
        <v>Enrolled</v>
      </c>
    </row>
    <row r="2587">
      <c r="A2587" s="6" t="str">
        <f>IFERROR(__xludf.DUMMYFUNCTION("""COMPUTED_VALUE"""),"056-5357")</f>
        <v>056-5357</v>
      </c>
      <c r="B2587" s="6" t="str">
        <f>IFERROR(__xludf.DUMMYFUNCTION("""COMPUTED_VALUE"""),"56")</f>
        <v>56</v>
      </c>
      <c r="C2587" s="6" t="str">
        <f>IFERROR(__xludf.DUMMYFUNCTION("""COMPUTED_VALUE"""),"5357")</f>
        <v>5357</v>
      </c>
      <c r="D2587" s="6" t="str">
        <f>IFERROR(__xludf.DUMMYFUNCTION("""COMPUTED_VALUE"""),"Zachary")</f>
        <v>Zachary</v>
      </c>
      <c r="E2587" s="6" t="str">
        <f>IFERROR(__xludf.DUMMYFUNCTION("""COMPUTED_VALUE"""),"")</f>
        <v/>
      </c>
      <c r="F2587" s="6" t="str">
        <f>IFERROR(__xludf.DUMMYFUNCTION("""COMPUTED_VALUE"""),"Mappes")</f>
        <v>Mappes</v>
      </c>
      <c r="G2587" s="6" t="str">
        <f>IFERROR(__xludf.DUMMYFUNCTION("""COMPUTED_VALUE"""),"07/24/2015")</f>
        <v>07/24/2015</v>
      </c>
      <c r="H2587" s="6" t="str">
        <f>IFERROR(__xludf.DUMMYFUNCTION("""COMPUTED_VALUE"""),"Self Identify")</f>
        <v>Self Identify</v>
      </c>
      <c r="I2587" s="6" t="str">
        <f>IFERROR(__xludf.DUMMYFUNCTION("""COMPUTED_VALUE"""),"Level 2")</f>
        <v>Level 2</v>
      </c>
      <c r="J2587" s="6" t="str">
        <f>IFERROR(__xludf.DUMMYFUNCTION("""COMPUTED_VALUE"""),"4")</f>
        <v>4</v>
      </c>
      <c r="K2587" s="6" t="str">
        <f>IFERROR(__xludf.DUMMYFUNCTION("""COMPUTED_VALUE"""),"zachary.mappes@2hourlearning.com")</f>
        <v>zachary.mappes@2hourlearning.com</v>
      </c>
      <c r="L2587" s="6" t="str">
        <f>IFERROR(__xludf.DUMMYFUNCTION("""COMPUTED_VALUE"""),"Reading Community City School District")</f>
        <v>Reading Community City School District</v>
      </c>
      <c r="M2587" s="6" t="str">
        <f>IFERROR(__xludf.DUMMYFUNCTION("""COMPUTED_VALUE"""),"Elementary")</f>
        <v>Elementary</v>
      </c>
      <c r="N2587" s="6" t="str">
        <f>IFERROR(__xludf.DUMMYFUNCTION("""COMPUTED_VALUE"""),"")</f>
        <v/>
      </c>
      <c r="O2587" s="87" t="str">
        <f>IFERROR(__xludf.DUMMYFUNCTION("""COMPUTED_VALUE"""),"https://drive.google.com/drive/folders/10T2cTQHqEJZqE-st6uFKPoI?usp=share_link")</f>
        <v>https://drive.google.com/drive/folders/10T2cTQHqEJZqE-st6uFKPoI?usp=share_link</v>
      </c>
      <c r="P2587" s="6" t="str">
        <f>IFERROR(__xludf.DUMMYFUNCTION("""COMPUTED_VALUE"""),"Zachary Mappes")</f>
        <v>Zachary Mappes</v>
      </c>
      <c r="Q2587" s="6" t="str">
        <f>IFERROR(__xludf.DUMMYFUNCTION("""COMPUTED_VALUE"""),"L2")</f>
        <v>L2</v>
      </c>
      <c r="R2587" s="6">
        <f>IFERROR(__xludf.DUMMYFUNCTION("""COMPUTED_VALUE"""),2.0)</f>
        <v>2</v>
      </c>
      <c r="S2587" s="6" t="str">
        <f>IFERROR(__xludf.DUMMYFUNCTION("""COMPUTED_VALUE"""),"Danielle Roberts")</f>
        <v>Danielle Roberts</v>
      </c>
      <c r="T2587" s="6" t="str">
        <f>IFERROR(__xludf.DUMMYFUNCTION("""COMPUTED_VALUE"""),"droberts@readingschools.org")</f>
        <v>droberts@readingschools.org</v>
      </c>
      <c r="U2587" s="6" t="str">
        <f>IFERROR(__xludf.DUMMYFUNCTION("""COMPUTED_VALUE"""),"4")</f>
        <v>4</v>
      </c>
      <c r="V2587" s="6" t="str">
        <f>IFERROR(__xludf.DUMMYFUNCTION("""COMPUTED_VALUE"""),"English")</f>
        <v>English</v>
      </c>
      <c r="W2587" s="6" t="str">
        <f>IFERROR(__xludf.DUMMYFUNCTION("""COMPUTED_VALUE"""),"[]")</f>
        <v>[]</v>
      </c>
      <c r="X2587" s="6" t="str">
        <f>IFERROR(__xludf.DUMMYFUNCTION("""COMPUTED_VALUE"""),"Enrolled")</f>
        <v>Enrolled</v>
      </c>
    </row>
    <row r="2588">
      <c r="A2588" s="6" t="str">
        <f>IFERROR(__xludf.DUMMYFUNCTION("""COMPUTED_VALUE"""),"056-5358")</f>
        <v>056-5358</v>
      </c>
      <c r="B2588" s="6" t="str">
        <f>IFERROR(__xludf.DUMMYFUNCTION("""COMPUTED_VALUE"""),"56")</f>
        <v>56</v>
      </c>
      <c r="C2588" s="6" t="str">
        <f>IFERROR(__xludf.DUMMYFUNCTION("""COMPUTED_VALUE"""),"5358")</f>
        <v>5358</v>
      </c>
      <c r="D2588" s="6" t="str">
        <f>IFERROR(__xludf.DUMMYFUNCTION("""COMPUTED_VALUE"""),"Zavier")</f>
        <v>Zavier</v>
      </c>
      <c r="E2588" s="6" t="str">
        <f>IFERROR(__xludf.DUMMYFUNCTION("""COMPUTED_VALUE"""),"")</f>
        <v/>
      </c>
      <c r="F2588" s="6" t="str">
        <f>IFERROR(__xludf.DUMMYFUNCTION("""COMPUTED_VALUE"""),"Madden")</f>
        <v>Madden</v>
      </c>
      <c r="G2588" s="6" t="str">
        <f>IFERROR(__xludf.DUMMYFUNCTION("""COMPUTED_VALUE"""),"09/30/2016")</f>
        <v>09/30/2016</v>
      </c>
      <c r="H2588" s="6" t="str">
        <f>IFERROR(__xludf.DUMMYFUNCTION("""COMPUTED_VALUE"""),"Self Identify")</f>
        <v>Self Identify</v>
      </c>
      <c r="I2588" s="6" t="str">
        <f>IFERROR(__xludf.DUMMYFUNCTION("""COMPUTED_VALUE"""),"Level 2")</f>
        <v>Level 2</v>
      </c>
      <c r="J2588" s="6" t="str">
        <f>IFERROR(__xludf.DUMMYFUNCTION("""COMPUTED_VALUE"""),"4")</f>
        <v>4</v>
      </c>
      <c r="K2588" s="6" t="str">
        <f>IFERROR(__xludf.DUMMYFUNCTION("""COMPUTED_VALUE"""),"zavier.madden@2hourlearning.com")</f>
        <v>zavier.madden@2hourlearning.com</v>
      </c>
      <c r="L2588" s="6" t="str">
        <f>IFERROR(__xludf.DUMMYFUNCTION("""COMPUTED_VALUE"""),"Reading Community City School District")</f>
        <v>Reading Community City School District</v>
      </c>
      <c r="M2588" s="6" t="str">
        <f>IFERROR(__xludf.DUMMYFUNCTION("""COMPUTED_VALUE"""),"Elementary")</f>
        <v>Elementary</v>
      </c>
      <c r="N2588" s="6" t="str">
        <f>IFERROR(__xludf.DUMMYFUNCTION("""COMPUTED_VALUE"""),"")</f>
        <v/>
      </c>
      <c r="O2588" s="87" t="str">
        <f>IFERROR(__xludf.DUMMYFUNCTION("""COMPUTED_VALUE"""),"https://drive.google.com/drive/folders/10T2cTQHqEJZqE-st6uFKPoI?usp=share_link")</f>
        <v>https://drive.google.com/drive/folders/10T2cTQHqEJZqE-st6uFKPoI?usp=share_link</v>
      </c>
      <c r="P2588" s="6" t="str">
        <f>IFERROR(__xludf.DUMMYFUNCTION("""COMPUTED_VALUE"""),"Zavier Madden")</f>
        <v>Zavier Madden</v>
      </c>
      <c r="Q2588" s="6" t="str">
        <f>IFERROR(__xludf.DUMMYFUNCTION("""COMPUTED_VALUE"""),"L2")</f>
        <v>L2</v>
      </c>
      <c r="R2588" s="6">
        <f>IFERROR(__xludf.DUMMYFUNCTION("""COMPUTED_VALUE"""),2.0)</f>
        <v>2</v>
      </c>
      <c r="S2588" s="6" t="str">
        <f>IFERROR(__xludf.DUMMYFUNCTION("""COMPUTED_VALUE"""),"Lisa Kloetz")</f>
        <v>Lisa Kloetz</v>
      </c>
      <c r="T2588" s="6" t="str">
        <f>IFERROR(__xludf.DUMMYFUNCTION("""COMPUTED_VALUE"""),"lkloetz@readingschools.org")</f>
        <v>lkloetz@readingschools.org</v>
      </c>
      <c r="U2588" s="6" t="str">
        <f>IFERROR(__xludf.DUMMYFUNCTION("""COMPUTED_VALUE"""),"4")</f>
        <v>4</v>
      </c>
      <c r="V2588" s="6" t="str">
        <f>IFERROR(__xludf.DUMMYFUNCTION("""COMPUTED_VALUE"""),"English")</f>
        <v>English</v>
      </c>
      <c r="W2588" s="6" t="str">
        <f>IFERROR(__xludf.DUMMYFUNCTION("""COMPUTED_VALUE"""),"[]")</f>
        <v>[]</v>
      </c>
      <c r="X2588" s="6" t="str">
        <f>IFERROR(__xludf.DUMMYFUNCTION("""COMPUTED_VALUE"""),"Enrolled")</f>
        <v>Enrolled</v>
      </c>
    </row>
    <row r="2589">
      <c r="A2589" s="6" t="str">
        <f>IFERROR(__xludf.DUMMYFUNCTION("""COMPUTED_VALUE"""),"056-5359")</f>
        <v>056-5359</v>
      </c>
      <c r="B2589" s="6" t="str">
        <f>IFERROR(__xludf.DUMMYFUNCTION("""COMPUTED_VALUE"""),"56")</f>
        <v>56</v>
      </c>
      <c r="C2589" s="6" t="str">
        <f>IFERROR(__xludf.DUMMYFUNCTION("""COMPUTED_VALUE"""),"5359")</f>
        <v>5359</v>
      </c>
      <c r="D2589" s="6" t="str">
        <f>IFERROR(__xludf.DUMMYFUNCTION("""COMPUTED_VALUE"""),"Zeth")</f>
        <v>Zeth</v>
      </c>
      <c r="E2589" s="6" t="str">
        <f>IFERROR(__xludf.DUMMYFUNCTION("""COMPUTED_VALUE"""),"")</f>
        <v/>
      </c>
      <c r="F2589" s="6" t="str">
        <f>IFERROR(__xludf.DUMMYFUNCTION("""COMPUTED_VALUE"""),"Raewyn")</f>
        <v>Raewyn</v>
      </c>
      <c r="G2589" s="6" t="str">
        <f>IFERROR(__xludf.DUMMYFUNCTION("""COMPUTED_VALUE"""),"04/30/2015")</f>
        <v>04/30/2015</v>
      </c>
      <c r="H2589" s="6" t="str">
        <f>IFERROR(__xludf.DUMMYFUNCTION("""COMPUTED_VALUE"""),"Self Identify")</f>
        <v>Self Identify</v>
      </c>
      <c r="I2589" s="6" t="str">
        <f>IFERROR(__xludf.DUMMYFUNCTION("""COMPUTED_VALUE"""),"Level 2")</f>
        <v>Level 2</v>
      </c>
      <c r="J2589" s="6" t="str">
        <f>IFERROR(__xludf.DUMMYFUNCTION("""COMPUTED_VALUE"""),"4")</f>
        <v>4</v>
      </c>
      <c r="K2589" s="6" t="str">
        <f>IFERROR(__xludf.DUMMYFUNCTION("""COMPUTED_VALUE"""),"zeth.raewyn@2hourlearning.com")</f>
        <v>zeth.raewyn@2hourlearning.com</v>
      </c>
      <c r="L2589" s="6" t="str">
        <f>IFERROR(__xludf.DUMMYFUNCTION("""COMPUTED_VALUE"""),"Reading Community City School District")</f>
        <v>Reading Community City School District</v>
      </c>
      <c r="M2589" s="6" t="str">
        <f>IFERROR(__xludf.DUMMYFUNCTION("""COMPUTED_VALUE"""),"Elementary")</f>
        <v>Elementary</v>
      </c>
      <c r="N2589" s="6" t="str">
        <f>IFERROR(__xludf.DUMMYFUNCTION("""COMPUTED_VALUE"""),"")</f>
        <v/>
      </c>
      <c r="O2589" s="87" t="str">
        <f>IFERROR(__xludf.DUMMYFUNCTION("""COMPUTED_VALUE"""),"https://drive.google.com/drive/folders/10T2cTQHqEJZqE-st6uFKPoI?usp=share_link")</f>
        <v>https://drive.google.com/drive/folders/10T2cTQHqEJZqE-st6uFKPoI?usp=share_link</v>
      </c>
      <c r="P2589" s="6" t="str">
        <f>IFERROR(__xludf.DUMMYFUNCTION("""COMPUTED_VALUE"""),"Zeth Raewyn")</f>
        <v>Zeth Raewyn</v>
      </c>
      <c r="Q2589" s="6" t="str">
        <f>IFERROR(__xludf.DUMMYFUNCTION("""COMPUTED_VALUE"""),"L2")</f>
        <v>L2</v>
      </c>
      <c r="R2589" s="6">
        <f>IFERROR(__xludf.DUMMYFUNCTION("""COMPUTED_VALUE"""),2.0)</f>
        <v>2</v>
      </c>
      <c r="S2589" s="6" t="str">
        <f>IFERROR(__xludf.DUMMYFUNCTION("""COMPUTED_VALUE"""),"Danielle Roberts")</f>
        <v>Danielle Roberts</v>
      </c>
      <c r="T2589" s="6" t="str">
        <f>IFERROR(__xludf.DUMMYFUNCTION("""COMPUTED_VALUE"""),"droberts@readingschools.org")</f>
        <v>droberts@readingschools.org</v>
      </c>
      <c r="U2589" s="6" t="str">
        <f>IFERROR(__xludf.DUMMYFUNCTION("""COMPUTED_VALUE"""),"4")</f>
        <v>4</v>
      </c>
      <c r="V2589" s="6" t="str">
        <f>IFERROR(__xludf.DUMMYFUNCTION("""COMPUTED_VALUE"""),"English")</f>
        <v>English</v>
      </c>
      <c r="W2589" s="6" t="str">
        <f>IFERROR(__xludf.DUMMYFUNCTION("""COMPUTED_VALUE"""),"[]")</f>
        <v>[]</v>
      </c>
      <c r="X2589" s="6" t="str">
        <f>IFERROR(__xludf.DUMMYFUNCTION("""COMPUTED_VALUE"""),"Enrolled")</f>
        <v>Enrolled</v>
      </c>
    </row>
    <row r="2590">
      <c r="A2590" s="6" t="str">
        <f>IFERROR(__xludf.DUMMYFUNCTION("""COMPUTED_VALUE"""),"056-5360")</f>
        <v>056-5360</v>
      </c>
      <c r="B2590" s="6" t="str">
        <f>IFERROR(__xludf.DUMMYFUNCTION("""COMPUTED_VALUE"""),"56")</f>
        <v>56</v>
      </c>
      <c r="C2590" s="6" t="str">
        <f>IFERROR(__xludf.DUMMYFUNCTION("""COMPUTED_VALUE"""),"5360")</f>
        <v>5360</v>
      </c>
      <c r="D2590" s="6" t="str">
        <f>IFERROR(__xludf.DUMMYFUNCTION("""COMPUTED_VALUE"""),"Zowie")</f>
        <v>Zowie</v>
      </c>
      <c r="E2590" s="6" t="str">
        <f>IFERROR(__xludf.DUMMYFUNCTION("""COMPUTED_VALUE"""),"")</f>
        <v/>
      </c>
      <c r="F2590" s="6" t="str">
        <f>IFERROR(__xludf.DUMMYFUNCTION("""COMPUTED_VALUE"""),"Smith")</f>
        <v>Smith</v>
      </c>
      <c r="G2590" s="6" t="str">
        <f>IFERROR(__xludf.DUMMYFUNCTION("""COMPUTED_VALUE"""),"03/18/2016")</f>
        <v>03/18/2016</v>
      </c>
      <c r="H2590" s="6" t="str">
        <f>IFERROR(__xludf.DUMMYFUNCTION("""COMPUTED_VALUE"""),"Self Identify")</f>
        <v>Self Identify</v>
      </c>
      <c r="I2590" s="6" t="str">
        <f>IFERROR(__xludf.DUMMYFUNCTION("""COMPUTED_VALUE"""),"Level 2")</f>
        <v>Level 2</v>
      </c>
      <c r="J2590" s="6" t="str">
        <f>IFERROR(__xludf.DUMMYFUNCTION("""COMPUTED_VALUE"""),"4")</f>
        <v>4</v>
      </c>
      <c r="K2590" s="6" t="str">
        <f>IFERROR(__xludf.DUMMYFUNCTION("""COMPUTED_VALUE"""),"zowie.smith@2hourlearning.com")</f>
        <v>zowie.smith@2hourlearning.com</v>
      </c>
      <c r="L2590" s="6" t="str">
        <f>IFERROR(__xludf.DUMMYFUNCTION("""COMPUTED_VALUE"""),"Reading Community City School District")</f>
        <v>Reading Community City School District</v>
      </c>
      <c r="M2590" s="6" t="str">
        <f>IFERROR(__xludf.DUMMYFUNCTION("""COMPUTED_VALUE"""),"Elementary")</f>
        <v>Elementary</v>
      </c>
      <c r="N2590" s="6" t="str">
        <f>IFERROR(__xludf.DUMMYFUNCTION("""COMPUTED_VALUE"""),"")</f>
        <v/>
      </c>
      <c r="O2590" s="87" t="str">
        <f>IFERROR(__xludf.DUMMYFUNCTION("""COMPUTED_VALUE"""),"https://drive.google.com/drive/folders/10T2cTQHqEJZqE-st6uFKPoI?usp=share_link")</f>
        <v>https://drive.google.com/drive/folders/10T2cTQHqEJZqE-st6uFKPoI?usp=share_link</v>
      </c>
      <c r="P2590" s="6" t="str">
        <f>IFERROR(__xludf.DUMMYFUNCTION("""COMPUTED_VALUE"""),"Zowie Smith")</f>
        <v>Zowie Smith</v>
      </c>
      <c r="Q2590" s="6" t="str">
        <f>IFERROR(__xludf.DUMMYFUNCTION("""COMPUTED_VALUE"""),"L2")</f>
        <v>L2</v>
      </c>
      <c r="R2590" s="6">
        <f>IFERROR(__xludf.DUMMYFUNCTION("""COMPUTED_VALUE"""),2.0)</f>
        <v>2</v>
      </c>
      <c r="S2590" s="6" t="str">
        <f>IFERROR(__xludf.DUMMYFUNCTION("""COMPUTED_VALUE"""),"Danielle Roberts")</f>
        <v>Danielle Roberts</v>
      </c>
      <c r="T2590" s="6" t="str">
        <f>IFERROR(__xludf.DUMMYFUNCTION("""COMPUTED_VALUE"""),"droberts@readingschools.org")</f>
        <v>droberts@readingschools.org</v>
      </c>
      <c r="U2590" s="6" t="str">
        <f>IFERROR(__xludf.DUMMYFUNCTION("""COMPUTED_VALUE"""),"4")</f>
        <v>4</v>
      </c>
      <c r="V2590" s="6" t="str">
        <f>IFERROR(__xludf.DUMMYFUNCTION("""COMPUTED_VALUE"""),"English")</f>
        <v>English</v>
      </c>
      <c r="W2590" s="6" t="str">
        <f>IFERROR(__xludf.DUMMYFUNCTION("""COMPUTED_VALUE"""),"[]")</f>
        <v>[]</v>
      </c>
      <c r="X2590" s="6" t="str">
        <f>IFERROR(__xludf.DUMMYFUNCTION("""COMPUTED_VALUE"""),"Enrolled")</f>
        <v>Enrolled</v>
      </c>
    </row>
    <row r="2591">
      <c r="A2591" s="6" t="str">
        <f>IFERROR(__xludf.DUMMYFUNCTION("""COMPUTED_VALUE"""),"056-5361")</f>
        <v>056-5361</v>
      </c>
      <c r="B2591" s="6" t="str">
        <f>IFERROR(__xludf.DUMMYFUNCTION("""COMPUTED_VALUE"""),"56")</f>
        <v>56</v>
      </c>
      <c r="C2591" s="6" t="str">
        <f>IFERROR(__xludf.DUMMYFUNCTION("""COMPUTED_VALUE"""),"5361")</f>
        <v>5361</v>
      </c>
      <c r="D2591" s="6" t="str">
        <f>IFERROR(__xludf.DUMMYFUNCTION("""COMPUTED_VALUE"""),"Adilynn")</f>
        <v>Adilynn</v>
      </c>
      <c r="E2591" s="6" t="str">
        <f>IFERROR(__xludf.DUMMYFUNCTION("""COMPUTED_VALUE"""),"")</f>
        <v/>
      </c>
      <c r="F2591" s="6" t="str">
        <f>IFERROR(__xludf.DUMMYFUNCTION("""COMPUTED_VALUE"""),"Adkins")</f>
        <v>Adkins</v>
      </c>
      <c r="G2591" s="6" t="str">
        <f>IFERROR(__xludf.DUMMYFUNCTION("""COMPUTED_VALUE"""),"04/14/2014")</f>
        <v>04/14/2014</v>
      </c>
      <c r="H2591" s="6" t="str">
        <f>IFERROR(__xludf.DUMMYFUNCTION("""COMPUTED_VALUE"""),"Self Identify")</f>
        <v>Self Identify</v>
      </c>
      <c r="I2591" s="6" t="str">
        <f>IFERROR(__xludf.DUMMYFUNCTION("""COMPUTED_VALUE"""),"Level 2")</f>
        <v>Level 2</v>
      </c>
      <c r="J2591" s="6" t="str">
        <f>IFERROR(__xludf.DUMMYFUNCTION("""COMPUTED_VALUE"""),"5")</f>
        <v>5</v>
      </c>
      <c r="K2591" s="6" t="str">
        <f>IFERROR(__xludf.DUMMYFUNCTION("""COMPUTED_VALUE"""),"adilynn.adkins@2hourlearning.com")</f>
        <v>adilynn.adkins@2hourlearning.com</v>
      </c>
      <c r="L2591" s="6" t="str">
        <f>IFERROR(__xludf.DUMMYFUNCTION("""COMPUTED_VALUE"""),"Reading Community City School District")</f>
        <v>Reading Community City School District</v>
      </c>
      <c r="M2591" s="6" t="str">
        <f>IFERROR(__xludf.DUMMYFUNCTION("""COMPUTED_VALUE"""),"Elementary")</f>
        <v>Elementary</v>
      </c>
      <c r="N2591" s="6" t="str">
        <f>IFERROR(__xludf.DUMMYFUNCTION("""COMPUTED_VALUE"""),"")</f>
        <v/>
      </c>
      <c r="O2591" s="87" t="str">
        <f>IFERROR(__xludf.DUMMYFUNCTION("""COMPUTED_VALUE"""),"https://drive.google.com/drive/folders/10T2cTQHqEJZqE-st6uFKPoI?usp=share_link")</f>
        <v>https://drive.google.com/drive/folders/10T2cTQHqEJZqE-st6uFKPoI?usp=share_link</v>
      </c>
      <c r="P2591" s="6" t="str">
        <f>IFERROR(__xludf.DUMMYFUNCTION("""COMPUTED_VALUE"""),"Adilynn Adkins")</f>
        <v>Adilynn Adkins</v>
      </c>
      <c r="Q2591" s="6" t="str">
        <f>IFERROR(__xludf.DUMMYFUNCTION("""COMPUTED_VALUE"""),"L2")</f>
        <v>L2</v>
      </c>
      <c r="R2591" s="6">
        <f>IFERROR(__xludf.DUMMYFUNCTION("""COMPUTED_VALUE"""),2.0)</f>
        <v>2</v>
      </c>
      <c r="S2591" s="6" t="str">
        <f>IFERROR(__xludf.DUMMYFUNCTION("""COMPUTED_VALUE"""),"Danielle Roberts")</f>
        <v>Danielle Roberts</v>
      </c>
      <c r="T2591" s="6" t="str">
        <f>IFERROR(__xludf.DUMMYFUNCTION("""COMPUTED_VALUE"""),"droberts@readingschools.org")</f>
        <v>droberts@readingschools.org</v>
      </c>
      <c r="U2591" s="6" t="str">
        <f>IFERROR(__xludf.DUMMYFUNCTION("""COMPUTED_VALUE"""),"5")</f>
        <v>5</v>
      </c>
      <c r="V2591" s="6" t="str">
        <f>IFERROR(__xludf.DUMMYFUNCTION("""COMPUTED_VALUE"""),"English")</f>
        <v>English</v>
      </c>
      <c r="W2591" s="6" t="str">
        <f>IFERROR(__xludf.DUMMYFUNCTION("""COMPUTED_VALUE"""),"[]")</f>
        <v>[]</v>
      </c>
      <c r="X2591" s="6" t="str">
        <f>IFERROR(__xludf.DUMMYFUNCTION("""COMPUTED_VALUE"""),"Enrolled")</f>
        <v>Enrolled</v>
      </c>
    </row>
    <row r="2592">
      <c r="A2592" s="6" t="str">
        <f>IFERROR(__xludf.DUMMYFUNCTION("""COMPUTED_VALUE"""),"056-5362")</f>
        <v>056-5362</v>
      </c>
      <c r="B2592" s="6" t="str">
        <f>IFERROR(__xludf.DUMMYFUNCTION("""COMPUTED_VALUE"""),"56")</f>
        <v>56</v>
      </c>
      <c r="C2592" s="6" t="str">
        <f>IFERROR(__xludf.DUMMYFUNCTION("""COMPUTED_VALUE"""),"5362")</f>
        <v>5362</v>
      </c>
      <c r="D2592" s="6" t="str">
        <f>IFERROR(__xludf.DUMMYFUNCTION("""COMPUTED_VALUE"""),"Amari")</f>
        <v>Amari</v>
      </c>
      <c r="E2592" s="6" t="str">
        <f>IFERROR(__xludf.DUMMYFUNCTION("""COMPUTED_VALUE"""),"")</f>
        <v/>
      </c>
      <c r="F2592" s="6" t="str">
        <f>IFERROR(__xludf.DUMMYFUNCTION("""COMPUTED_VALUE"""),"Lewis")</f>
        <v>Lewis</v>
      </c>
      <c r="G2592" s="6" t="str">
        <f>IFERROR(__xludf.DUMMYFUNCTION("""COMPUTED_VALUE"""),"07/25/2015")</f>
        <v>07/25/2015</v>
      </c>
      <c r="H2592" s="6" t="str">
        <f>IFERROR(__xludf.DUMMYFUNCTION("""COMPUTED_VALUE"""),"Self Identify")</f>
        <v>Self Identify</v>
      </c>
      <c r="I2592" s="6" t="str">
        <f>IFERROR(__xludf.DUMMYFUNCTION("""COMPUTED_VALUE"""),"Level 2")</f>
        <v>Level 2</v>
      </c>
      <c r="J2592" s="6" t="str">
        <f>IFERROR(__xludf.DUMMYFUNCTION("""COMPUTED_VALUE"""),"5")</f>
        <v>5</v>
      </c>
      <c r="K2592" s="6" t="str">
        <f>IFERROR(__xludf.DUMMYFUNCTION("""COMPUTED_VALUE"""),"amari.lewis@2hourlearning.com")</f>
        <v>amari.lewis@2hourlearning.com</v>
      </c>
      <c r="L2592" s="6" t="str">
        <f>IFERROR(__xludf.DUMMYFUNCTION("""COMPUTED_VALUE"""),"Reading Community City School District")</f>
        <v>Reading Community City School District</v>
      </c>
      <c r="M2592" s="6" t="str">
        <f>IFERROR(__xludf.DUMMYFUNCTION("""COMPUTED_VALUE"""),"Elementary")</f>
        <v>Elementary</v>
      </c>
      <c r="N2592" s="6" t="str">
        <f>IFERROR(__xludf.DUMMYFUNCTION("""COMPUTED_VALUE"""),"")</f>
        <v/>
      </c>
      <c r="O2592" s="87" t="str">
        <f>IFERROR(__xludf.DUMMYFUNCTION("""COMPUTED_VALUE"""),"https://drive.google.com/drive/folders/10T2cTQHqEJZqE-st6uFKPoI?usp=share_link")</f>
        <v>https://drive.google.com/drive/folders/10T2cTQHqEJZqE-st6uFKPoI?usp=share_link</v>
      </c>
      <c r="P2592" s="6" t="str">
        <f>IFERROR(__xludf.DUMMYFUNCTION("""COMPUTED_VALUE"""),"Amari Lewis")</f>
        <v>Amari Lewis</v>
      </c>
      <c r="Q2592" s="6" t="str">
        <f>IFERROR(__xludf.DUMMYFUNCTION("""COMPUTED_VALUE"""),"L2")</f>
        <v>L2</v>
      </c>
      <c r="R2592" s="6">
        <f>IFERROR(__xludf.DUMMYFUNCTION("""COMPUTED_VALUE"""),2.0)</f>
        <v>2</v>
      </c>
      <c r="S2592" s="6" t="str">
        <f>IFERROR(__xludf.DUMMYFUNCTION("""COMPUTED_VALUE"""),"Danielle Roberts")</f>
        <v>Danielle Roberts</v>
      </c>
      <c r="T2592" s="6" t="str">
        <f>IFERROR(__xludf.DUMMYFUNCTION("""COMPUTED_VALUE"""),"droberts@readingschools.org")</f>
        <v>droberts@readingschools.org</v>
      </c>
      <c r="U2592" s="6" t="str">
        <f>IFERROR(__xludf.DUMMYFUNCTION("""COMPUTED_VALUE"""),"5")</f>
        <v>5</v>
      </c>
      <c r="V2592" s="6" t="str">
        <f>IFERROR(__xludf.DUMMYFUNCTION("""COMPUTED_VALUE"""),"English")</f>
        <v>English</v>
      </c>
      <c r="W2592" s="6" t="str">
        <f>IFERROR(__xludf.DUMMYFUNCTION("""COMPUTED_VALUE"""),"[]")</f>
        <v>[]</v>
      </c>
      <c r="X2592" s="6" t="str">
        <f>IFERROR(__xludf.DUMMYFUNCTION("""COMPUTED_VALUE"""),"Enrolled")</f>
        <v>Enrolled</v>
      </c>
    </row>
    <row r="2593">
      <c r="A2593" s="6" t="str">
        <f>IFERROR(__xludf.DUMMYFUNCTION("""COMPUTED_VALUE"""),"056-5363")</f>
        <v>056-5363</v>
      </c>
      <c r="B2593" s="6" t="str">
        <f>IFERROR(__xludf.DUMMYFUNCTION("""COMPUTED_VALUE"""),"56")</f>
        <v>56</v>
      </c>
      <c r="C2593" s="6" t="str">
        <f>IFERROR(__xludf.DUMMYFUNCTION("""COMPUTED_VALUE"""),"5363")</f>
        <v>5363</v>
      </c>
      <c r="D2593" s="6" t="str">
        <f>IFERROR(__xludf.DUMMYFUNCTION("""COMPUTED_VALUE"""),"Ashari")</f>
        <v>Ashari</v>
      </c>
      <c r="E2593" s="6" t="str">
        <f>IFERROR(__xludf.DUMMYFUNCTION("""COMPUTED_VALUE"""),"")</f>
        <v/>
      </c>
      <c r="F2593" s="6" t="str">
        <f>IFERROR(__xludf.DUMMYFUNCTION("""COMPUTED_VALUE"""),"Smith")</f>
        <v>Smith</v>
      </c>
      <c r="G2593" s="6" t="str">
        <f>IFERROR(__xludf.DUMMYFUNCTION("""COMPUTED_VALUE"""),"06/02/2014")</f>
        <v>06/02/2014</v>
      </c>
      <c r="H2593" s="6" t="str">
        <f>IFERROR(__xludf.DUMMYFUNCTION("""COMPUTED_VALUE"""),"Self Identify")</f>
        <v>Self Identify</v>
      </c>
      <c r="I2593" s="6" t="str">
        <f>IFERROR(__xludf.DUMMYFUNCTION("""COMPUTED_VALUE"""),"Level 2")</f>
        <v>Level 2</v>
      </c>
      <c r="J2593" s="6" t="str">
        <f>IFERROR(__xludf.DUMMYFUNCTION("""COMPUTED_VALUE"""),"5")</f>
        <v>5</v>
      </c>
      <c r="K2593" s="6" t="str">
        <f>IFERROR(__xludf.DUMMYFUNCTION("""COMPUTED_VALUE"""),"ashari.smith@2hourlearning.com")</f>
        <v>ashari.smith@2hourlearning.com</v>
      </c>
      <c r="L2593" s="6" t="str">
        <f>IFERROR(__xludf.DUMMYFUNCTION("""COMPUTED_VALUE"""),"Reading Community City School District")</f>
        <v>Reading Community City School District</v>
      </c>
      <c r="M2593" s="6" t="str">
        <f>IFERROR(__xludf.DUMMYFUNCTION("""COMPUTED_VALUE"""),"Elementary")</f>
        <v>Elementary</v>
      </c>
      <c r="N2593" s="6" t="str">
        <f>IFERROR(__xludf.DUMMYFUNCTION("""COMPUTED_VALUE"""),"")</f>
        <v/>
      </c>
      <c r="O2593" s="87" t="str">
        <f>IFERROR(__xludf.DUMMYFUNCTION("""COMPUTED_VALUE"""),"https://drive.google.com/drive/folders/10T2cTQHqEJZqE-st6uFKPoI?usp=share_link")</f>
        <v>https://drive.google.com/drive/folders/10T2cTQHqEJZqE-st6uFKPoI?usp=share_link</v>
      </c>
      <c r="P2593" s="6" t="str">
        <f>IFERROR(__xludf.DUMMYFUNCTION("""COMPUTED_VALUE"""),"Ashari Smith")</f>
        <v>Ashari Smith</v>
      </c>
      <c r="Q2593" s="6" t="str">
        <f>IFERROR(__xludf.DUMMYFUNCTION("""COMPUTED_VALUE"""),"L2")</f>
        <v>L2</v>
      </c>
      <c r="R2593" s="6">
        <f>IFERROR(__xludf.DUMMYFUNCTION("""COMPUTED_VALUE"""),2.0)</f>
        <v>2</v>
      </c>
      <c r="S2593" s="6" t="str">
        <f>IFERROR(__xludf.DUMMYFUNCTION("""COMPUTED_VALUE"""),"Danielle Roberts")</f>
        <v>Danielle Roberts</v>
      </c>
      <c r="T2593" s="6" t="str">
        <f>IFERROR(__xludf.DUMMYFUNCTION("""COMPUTED_VALUE"""),"droberts@readingschools.org")</f>
        <v>droberts@readingschools.org</v>
      </c>
      <c r="U2593" s="6" t="str">
        <f>IFERROR(__xludf.DUMMYFUNCTION("""COMPUTED_VALUE"""),"5")</f>
        <v>5</v>
      </c>
      <c r="V2593" s="6" t="str">
        <f>IFERROR(__xludf.DUMMYFUNCTION("""COMPUTED_VALUE"""),"English")</f>
        <v>English</v>
      </c>
      <c r="W2593" s="6" t="str">
        <f>IFERROR(__xludf.DUMMYFUNCTION("""COMPUTED_VALUE"""),"[]")</f>
        <v>[]</v>
      </c>
      <c r="X2593" s="6" t="str">
        <f>IFERROR(__xludf.DUMMYFUNCTION("""COMPUTED_VALUE"""),"Enrolled")</f>
        <v>Enrolled</v>
      </c>
    </row>
    <row r="2594">
      <c r="A2594" s="6" t="str">
        <f>IFERROR(__xludf.DUMMYFUNCTION("""COMPUTED_VALUE"""),"056-5364")</f>
        <v>056-5364</v>
      </c>
      <c r="B2594" s="6" t="str">
        <f>IFERROR(__xludf.DUMMYFUNCTION("""COMPUTED_VALUE"""),"56")</f>
        <v>56</v>
      </c>
      <c r="C2594" s="6" t="str">
        <f>IFERROR(__xludf.DUMMYFUNCTION("""COMPUTED_VALUE"""),"5364")</f>
        <v>5364</v>
      </c>
      <c r="D2594" s="6" t="str">
        <f>IFERROR(__xludf.DUMMYFUNCTION("""COMPUTED_VALUE"""),"Asher")</f>
        <v>Asher</v>
      </c>
      <c r="E2594" s="6" t="str">
        <f>IFERROR(__xludf.DUMMYFUNCTION("""COMPUTED_VALUE"""),"")</f>
        <v/>
      </c>
      <c r="F2594" s="6" t="str">
        <f>IFERROR(__xludf.DUMMYFUNCTION("""COMPUTED_VALUE"""),"Ellis")</f>
        <v>Ellis</v>
      </c>
      <c r="G2594" s="6" t="str">
        <f>IFERROR(__xludf.DUMMYFUNCTION("""COMPUTED_VALUE"""),"07/01/2015")</f>
        <v>07/01/2015</v>
      </c>
      <c r="H2594" s="6" t="str">
        <f>IFERROR(__xludf.DUMMYFUNCTION("""COMPUTED_VALUE"""),"Self Identify")</f>
        <v>Self Identify</v>
      </c>
      <c r="I2594" s="6" t="str">
        <f>IFERROR(__xludf.DUMMYFUNCTION("""COMPUTED_VALUE"""),"Level 2")</f>
        <v>Level 2</v>
      </c>
      <c r="J2594" s="6" t="str">
        <f>IFERROR(__xludf.DUMMYFUNCTION("""COMPUTED_VALUE"""),"5")</f>
        <v>5</v>
      </c>
      <c r="K2594" s="6" t="str">
        <f>IFERROR(__xludf.DUMMYFUNCTION("""COMPUTED_VALUE"""),"asher.ellis@2hourlearning.com")</f>
        <v>asher.ellis@2hourlearning.com</v>
      </c>
      <c r="L2594" s="6" t="str">
        <f>IFERROR(__xludf.DUMMYFUNCTION("""COMPUTED_VALUE"""),"Reading Community City School District")</f>
        <v>Reading Community City School District</v>
      </c>
      <c r="M2594" s="6" t="str">
        <f>IFERROR(__xludf.DUMMYFUNCTION("""COMPUTED_VALUE"""),"Elementary")</f>
        <v>Elementary</v>
      </c>
      <c r="N2594" s="6" t="str">
        <f>IFERROR(__xludf.DUMMYFUNCTION("""COMPUTED_VALUE"""),"")</f>
        <v/>
      </c>
      <c r="O2594" s="87" t="str">
        <f>IFERROR(__xludf.DUMMYFUNCTION("""COMPUTED_VALUE"""),"https://drive.google.com/drive/folders/10T2cTQHqEJZqE-st6uFKPoI?usp=share_link")</f>
        <v>https://drive.google.com/drive/folders/10T2cTQHqEJZqE-st6uFKPoI?usp=share_link</v>
      </c>
      <c r="P2594" s="6" t="str">
        <f>IFERROR(__xludf.DUMMYFUNCTION("""COMPUTED_VALUE"""),"Asher Ellis")</f>
        <v>Asher Ellis</v>
      </c>
      <c r="Q2594" s="6" t="str">
        <f>IFERROR(__xludf.DUMMYFUNCTION("""COMPUTED_VALUE"""),"L2")</f>
        <v>L2</v>
      </c>
      <c r="R2594" s="6">
        <f>IFERROR(__xludf.DUMMYFUNCTION("""COMPUTED_VALUE"""),2.0)</f>
        <v>2</v>
      </c>
      <c r="S2594" s="6" t="str">
        <f>IFERROR(__xludf.DUMMYFUNCTION("""COMPUTED_VALUE"""),"Danielle Roberts")</f>
        <v>Danielle Roberts</v>
      </c>
      <c r="T2594" s="6" t="str">
        <f>IFERROR(__xludf.DUMMYFUNCTION("""COMPUTED_VALUE"""),"droberts@readingschools.org")</f>
        <v>droberts@readingschools.org</v>
      </c>
      <c r="U2594" s="6" t="str">
        <f>IFERROR(__xludf.DUMMYFUNCTION("""COMPUTED_VALUE"""),"5")</f>
        <v>5</v>
      </c>
      <c r="V2594" s="6" t="str">
        <f>IFERROR(__xludf.DUMMYFUNCTION("""COMPUTED_VALUE"""),"English")</f>
        <v>English</v>
      </c>
      <c r="W2594" s="6" t="str">
        <f>IFERROR(__xludf.DUMMYFUNCTION("""COMPUTED_VALUE"""),"[]")</f>
        <v>[]</v>
      </c>
      <c r="X2594" s="6" t="str">
        <f>IFERROR(__xludf.DUMMYFUNCTION("""COMPUTED_VALUE"""),"Enrolled")</f>
        <v>Enrolled</v>
      </c>
    </row>
    <row r="2595">
      <c r="A2595" s="6" t="str">
        <f>IFERROR(__xludf.DUMMYFUNCTION("""COMPUTED_VALUE"""),"056-5365")</f>
        <v>056-5365</v>
      </c>
      <c r="B2595" s="6" t="str">
        <f>IFERROR(__xludf.DUMMYFUNCTION("""COMPUTED_VALUE"""),"56")</f>
        <v>56</v>
      </c>
      <c r="C2595" s="6" t="str">
        <f>IFERROR(__xludf.DUMMYFUNCTION("""COMPUTED_VALUE"""),"5365")</f>
        <v>5365</v>
      </c>
      <c r="D2595" s="6" t="str">
        <f>IFERROR(__xludf.DUMMYFUNCTION("""COMPUTED_VALUE"""),"Bryce")</f>
        <v>Bryce</v>
      </c>
      <c r="E2595" s="6" t="str">
        <f>IFERROR(__xludf.DUMMYFUNCTION("""COMPUTED_VALUE"""),"")</f>
        <v/>
      </c>
      <c r="F2595" s="6" t="str">
        <f>IFERROR(__xludf.DUMMYFUNCTION("""COMPUTED_VALUE"""),"Chisenhall")</f>
        <v>Chisenhall</v>
      </c>
      <c r="G2595" s="6" t="str">
        <f>IFERROR(__xludf.DUMMYFUNCTION("""COMPUTED_VALUE"""),"10/15/2014")</f>
        <v>10/15/2014</v>
      </c>
      <c r="H2595" s="6" t="str">
        <f>IFERROR(__xludf.DUMMYFUNCTION("""COMPUTED_VALUE"""),"Self Identify")</f>
        <v>Self Identify</v>
      </c>
      <c r="I2595" s="6" t="str">
        <f>IFERROR(__xludf.DUMMYFUNCTION("""COMPUTED_VALUE"""),"Level 2")</f>
        <v>Level 2</v>
      </c>
      <c r="J2595" s="6" t="str">
        <f>IFERROR(__xludf.DUMMYFUNCTION("""COMPUTED_VALUE"""),"5")</f>
        <v>5</v>
      </c>
      <c r="K2595" s="6" t="str">
        <f>IFERROR(__xludf.DUMMYFUNCTION("""COMPUTED_VALUE"""),"bryce.chisenhall@2hourlearning.com")</f>
        <v>bryce.chisenhall@2hourlearning.com</v>
      </c>
      <c r="L2595" s="6" t="str">
        <f>IFERROR(__xludf.DUMMYFUNCTION("""COMPUTED_VALUE"""),"Reading Community City School District")</f>
        <v>Reading Community City School District</v>
      </c>
      <c r="M2595" s="6" t="str">
        <f>IFERROR(__xludf.DUMMYFUNCTION("""COMPUTED_VALUE"""),"Elementary")</f>
        <v>Elementary</v>
      </c>
      <c r="N2595" s="6" t="str">
        <f>IFERROR(__xludf.DUMMYFUNCTION("""COMPUTED_VALUE"""),"")</f>
        <v/>
      </c>
      <c r="O2595" s="87" t="str">
        <f>IFERROR(__xludf.DUMMYFUNCTION("""COMPUTED_VALUE"""),"https://drive.google.com/drive/folders/10T2cTQHqEJZqE-st6uFKPoI?usp=share_link")</f>
        <v>https://drive.google.com/drive/folders/10T2cTQHqEJZqE-st6uFKPoI?usp=share_link</v>
      </c>
      <c r="P2595" s="6" t="str">
        <f>IFERROR(__xludf.DUMMYFUNCTION("""COMPUTED_VALUE"""),"Bryce Chisenhall")</f>
        <v>Bryce Chisenhall</v>
      </c>
      <c r="Q2595" s="6" t="str">
        <f>IFERROR(__xludf.DUMMYFUNCTION("""COMPUTED_VALUE"""),"L2")</f>
        <v>L2</v>
      </c>
      <c r="R2595" s="6">
        <f>IFERROR(__xludf.DUMMYFUNCTION("""COMPUTED_VALUE"""),2.0)</f>
        <v>2</v>
      </c>
      <c r="S2595" s="6" t="str">
        <f>IFERROR(__xludf.DUMMYFUNCTION("""COMPUTED_VALUE"""),"Danielle Roberts")</f>
        <v>Danielle Roberts</v>
      </c>
      <c r="T2595" s="6" t="str">
        <f>IFERROR(__xludf.DUMMYFUNCTION("""COMPUTED_VALUE"""),"droberts@readingschools.org")</f>
        <v>droberts@readingschools.org</v>
      </c>
      <c r="U2595" s="6" t="str">
        <f>IFERROR(__xludf.DUMMYFUNCTION("""COMPUTED_VALUE"""),"5")</f>
        <v>5</v>
      </c>
      <c r="V2595" s="6" t="str">
        <f>IFERROR(__xludf.DUMMYFUNCTION("""COMPUTED_VALUE"""),"English")</f>
        <v>English</v>
      </c>
      <c r="W2595" s="6" t="str">
        <f>IFERROR(__xludf.DUMMYFUNCTION("""COMPUTED_VALUE"""),"[]")</f>
        <v>[]</v>
      </c>
      <c r="X2595" s="6" t="str">
        <f>IFERROR(__xludf.DUMMYFUNCTION("""COMPUTED_VALUE"""),"Enrolled")</f>
        <v>Enrolled</v>
      </c>
    </row>
    <row r="2596">
      <c r="A2596" s="6" t="str">
        <f>IFERROR(__xludf.DUMMYFUNCTION("""COMPUTED_VALUE"""),"056-5367")</f>
        <v>056-5367</v>
      </c>
      <c r="B2596" s="6" t="str">
        <f>IFERROR(__xludf.DUMMYFUNCTION("""COMPUTED_VALUE"""),"56")</f>
        <v>56</v>
      </c>
      <c r="C2596" s="6" t="str">
        <f>IFERROR(__xludf.DUMMYFUNCTION("""COMPUTED_VALUE"""),"5367")</f>
        <v>5367</v>
      </c>
      <c r="D2596" s="6" t="str">
        <f>IFERROR(__xludf.DUMMYFUNCTION("""COMPUTED_VALUE"""),"Cheikh")</f>
        <v>Cheikh</v>
      </c>
      <c r="E2596" s="6" t="str">
        <f>IFERROR(__xludf.DUMMYFUNCTION("""COMPUTED_VALUE"""),"")</f>
        <v/>
      </c>
      <c r="F2596" s="6" t="str">
        <f>IFERROR(__xludf.DUMMYFUNCTION("""COMPUTED_VALUE"""),"Mbaye")</f>
        <v>Mbaye</v>
      </c>
      <c r="G2596" s="6" t="str">
        <f>IFERROR(__xludf.DUMMYFUNCTION("""COMPUTED_VALUE"""),"06/01/2015")</f>
        <v>06/01/2015</v>
      </c>
      <c r="H2596" s="6" t="str">
        <f>IFERROR(__xludf.DUMMYFUNCTION("""COMPUTED_VALUE"""),"Self Identify")</f>
        <v>Self Identify</v>
      </c>
      <c r="I2596" s="6" t="str">
        <f>IFERROR(__xludf.DUMMYFUNCTION("""COMPUTED_VALUE"""),"Level 2")</f>
        <v>Level 2</v>
      </c>
      <c r="J2596" s="6" t="str">
        <f>IFERROR(__xludf.DUMMYFUNCTION("""COMPUTED_VALUE"""),"5")</f>
        <v>5</v>
      </c>
      <c r="K2596" s="6" t="str">
        <f>IFERROR(__xludf.DUMMYFUNCTION("""COMPUTED_VALUE"""),"cheikh.mbaye@2hourlearning.com")</f>
        <v>cheikh.mbaye@2hourlearning.com</v>
      </c>
      <c r="L2596" s="6" t="str">
        <f>IFERROR(__xludf.DUMMYFUNCTION("""COMPUTED_VALUE"""),"Reading Community City School District")</f>
        <v>Reading Community City School District</v>
      </c>
      <c r="M2596" s="6" t="str">
        <f>IFERROR(__xludf.DUMMYFUNCTION("""COMPUTED_VALUE"""),"Elementary")</f>
        <v>Elementary</v>
      </c>
      <c r="N2596" s="6" t="str">
        <f>IFERROR(__xludf.DUMMYFUNCTION("""COMPUTED_VALUE"""),"")</f>
        <v/>
      </c>
      <c r="O2596" s="87" t="str">
        <f>IFERROR(__xludf.DUMMYFUNCTION("""COMPUTED_VALUE"""),"https://drive.google.com/drive/folders/10T2cTQHqEJZqE-st6uFKPoI?usp=share_link")</f>
        <v>https://drive.google.com/drive/folders/10T2cTQHqEJZqE-st6uFKPoI?usp=share_link</v>
      </c>
      <c r="P2596" s="6" t="str">
        <f>IFERROR(__xludf.DUMMYFUNCTION("""COMPUTED_VALUE"""),"Cheikh Mbaye")</f>
        <v>Cheikh Mbaye</v>
      </c>
      <c r="Q2596" s="6" t="str">
        <f>IFERROR(__xludf.DUMMYFUNCTION("""COMPUTED_VALUE"""),"L2")</f>
        <v>L2</v>
      </c>
      <c r="R2596" s="6">
        <f>IFERROR(__xludf.DUMMYFUNCTION("""COMPUTED_VALUE"""),2.0)</f>
        <v>2</v>
      </c>
      <c r="S2596" s="6" t="str">
        <f>IFERROR(__xludf.DUMMYFUNCTION("""COMPUTED_VALUE"""),"Danielle Roberts")</f>
        <v>Danielle Roberts</v>
      </c>
      <c r="T2596" s="6" t="str">
        <f>IFERROR(__xludf.DUMMYFUNCTION("""COMPUTED_VALUE"""),"droberts@readingschools.org")</f>
        <v>droberts@readingschools.org</v>
      </c>
      <c r="U2596" s="6" t="str">
        <f>IFERROR(__xludf.DUMMYFUNCTION("""COMPUTED_VALUE"""),"5")</f>
        <v>5</v>
      </c>
      <c r="V2596" s="6" t="str">
        <f>IFERROR(__xludf.DUMMYFUNCTION("""COMPUTED_VALUE"""),"English")</f>
        <v>English</v>
      </c>
      <c r="W2596" s="6" t="str">
        <f>IFERROR(__xludf.DUMMYFUNCTION("""COMPUTED_VALUE"""),"[]")</f>
        <v>[]</v>
      </c>
      <c r="X2596" s="6" t="str">
        <f>IFERROR(__xludf.DUMMYFUNCTION("""COMPUTED_VALUE"""),"Enrolled")</f>
        <v>Enrolled</v>
      </c>
    </row>
    <row r="2597">
      <c r="A2597" s="6" t="str">
        <f>IFERROR(__xludf.DUMMYFUNCTION("""COMPUTED_VALUE"""),"056-5368")</f>
        <v>056-5368</v>
      </c>
      <c r="B2597" s="6" t="str">
        <f>IFERROR(__xludf.DUMMYFUNCTION("""COMPUTED_VALUE"""),"56")</f>
        <v>56</v>
      </c>
      <c r="C2597" s="6" t="str">
        <f>IFERROR(__xludf.DUMMYFUNCTION("""COMPUTED_VALUE"""),"5368")</f>
        <v>5368</v>
      </c>
      <c r="D2597" s="6" t="str">
        <f>IFERROR(__xludf.DUMMYFUNCTION("""COMPUTED_VALUE"""),"Dominique")</f>
        <v>Dominique</v>
      </c>
      <c r="E2597" s="6" t="str">
        <f>IFERROR(__xludf.DUMMYFUNCTION("""COMPUTED_VALUE"""),"")</f>
        <v/>
      </c>
      <c r="F2597" s="6" t="str">
        <f>IFERROR(__xludf.DUMMYFUNCTION("""COMPUTED_VALUE"""),"Wright")</f>
        <v>Wright</v>
      </c>
      <c r="G2597" s="6" t="str">
        <f>IFERROR(__xludf.DUMMYFUNCTION("""COMPUTED_VALUE"""),"04/06/2015")</f>
        <v>04/06/2015</v>
      </c>
      <c r="H2597" s="6" t="str">
        <f>IFERROR(__xludf.DUMMYFUNCTION("""COMPUTED_VALUE"""),"Self Identify")</f>
        <v>Self Identify</v>
      </c>
      <c r="I2597" s="6" t="str">
        <f>IFERROR(__xludf.DUMMYFUNCTION("""COMPUTED_VALUE"""),"Level 2")</f>
        <v>Level 2</v>
      </c>
      <c r="J2597" s="6" t="str">
        <f>IFERROR(__xludf.DUMMYFUNCTION("""COMPUTED_VALUE"""),"5")</f>
        <v>5</v>
      </c>
      <c r="K2597" s="6" t="str">
        <f>IFERROR(__xludf.DUMMYFUNCTION("""COMPUTED_VALUE"""),"dominique.wright@2hourlearning.com")</f>
        <v>dominique.wright@2hourlearning.com</v>
      </c>
      <c r="L2597" s="6" t="str">
        <f>IFERROR(__xludf.DUMMYFUNCTION("""COMPUTED_VALUE"""),"Reading Community City School District")</f>
        <v>Reading Community City School District</v>
      </c>
      <c r="M2597" s="6" t="str">
        <f>IFERROR(__xludf.DUMMYFUNCTION("""COMPUTED_VALUE"""),"Elementary")</f>
        <v>Elementary</v>
      </c>
      <c r="N2597" s="6" t="str">
        <f>IFERROR(__xludf.DUMMYFUNCTION("""COMPUTED_VALUE"""),"")</f>
        <v/>
      </c>
      <c r="O2597" s="87" t="str">
        <f>IFERROR(__xludf.DUMMYFUNCTION("""COMPUTED_VALUE"""),"https://drive.google.com/drive/folders/10T2cTQHqEJZqE-st6uFKPoI?usp=share_link")</f>
        <v>https://drive.google.com/drive/folders/10T2cTQHqEJZqE-st6uFKPoI?usp=share_link</v>
      </c>
      <c r="P2597" s="6" t="str">
        <f>IFERROR(__xludf.DUMMYFUNCTION("""COMPUTED_VALUE"""),"Dominique Wright")</f>
        <v>Dominique Wright</v>
      </c>
      <c r="Q2597" s="6" t="str">
        <f>IFERROR(__xludf.DUMMYFUNCTION("""COMPUTED_VALUE"""),"L2")</f>
        <v>L2</v>
      </c>
      <c r="R2597" s="6">
        <f>IFERROR(__xludf.DUMMYFUNCTION("""COMPUTED_VALUE"""),2.0)</f>
        <v>2</v>
      </c>
      <c r="S2597" s="6" t="str">
        <f>IFERROR(__xludf.DUMMYFUNCTION("""COMPUTED_VALUE"""),"Danielle Roberts")</f>
        <v>Danielle Roberts</v>
      </c>
      <c r="T2597" s="6" t="str">
        <f>IFERROR(__xludf.DUMMYFUNCTION("""COMPUTED_VALUE"""),"droberts@readingschools.org")</f>
        <v>droberts@readingschools.org</v>
      </c>
      <c r="U2597" s="6" t="str">
        <f>IFERROR(__xludf.DUMMYFUNCTION("""COMPUTED_VALUE"""),"5")</f>
        <v>5</v>
      </c>
      <c r="V2597" s="6" t="str">
        <f>IFERROR(__xludf.DUMMYFUNCTION("""COMPUTED_VALUE"""),"English")</f>
        <v>English</v>
      </c>
      <c r="W2597" s="6" t="str">
        <f>IFERROR(__xludf.DUMMYFUNCTION("""COMPUTED_VALUE"""),"[]")</f>
        <v>[]</v>
      </c>
      <c r="X2597" s="6" t="str">
        <f>IFERROR(__xludf.DUMMYFUNCTION("""COMPUTED_VALUE"""),"Enrolled")</f>
        <v>Enrolled</v>
      </c>
    </row>
    <row r="2598">
      <c r="A2598" s="6" t="str">
        <f>IFERROR(__xludf.DUMMYFUNCTION("""COMPUTED_VALUE"""),"056-5369")</f>
        <v>056-5369</v>
      </c>
      <c r="B2598" s="6" t="str">
        <f>IFERROR(__xludf.DUMMYFUNCTION("""COMPUTED_VALUE"""),"56")</f>
        <v>56</v>
      </c>
      <c r="C2598" s="6" t="str">
        <f>IFERROR(__xludf.DUMMYFUNCTION("""COMPUTED_VALUE"""),"5369")</f>
        <v>5369</v>
      </c>
      <c r="D2598" s="6" t="str">
        <f>IFERROR(__xludf.DUMMYFUNCTION("""COMPUTED_VALUE"""),"Elaine")</f>
        <v>Elaine</v>
      </c>
      <c r="E2598" s="6" t="str">
        <f>IFERROR(__xludf.DUMMYFUNCTION("""COMPUTED_VALUE"""),"")</f>
        <v/>
      </c>
      <c r="F2598" s="6" t="str">
        <f>IFERROR(__xludf.DUMMYFUNCTION("""COMPUTED_VALUE"""),"Maertz")</f>
        <v>Maertz</v>
      </c>
      <c r="G2598" s="6" t="str">
        <f>IFERROR(__xludf.DUMMYFUNCTION("""COMPUTED_VALUE"""),"07/14/2015")</f>
        <v>07/14/2015</v>
      </c>
      <c r="H2598" s="6" t="str">
        <f>IFERROR(__xludf.DUMMYFUNCTION("""COMPUTED_VALUE"""),"Self Identify")</f>
        <v>Self Identify</v>
      </c>
      <c r="I2598" s="6" t="str">
        <f>IFERROR(__xludf.DUMMYFUNCTION("""COMPUTED_VALUE"""),"Level 2")</f>
        <v>Level 2</v>
      </c>
      <c r="J2598" s="6" t="str">
        <f>IFERROR(__xludf.DUMMYFUNCTION("""COMPUTED_VALUE"""),"5")</f>
        <v>5</v>
      </c>
      <c r="K2598" s="6" t="str">
        <f>IFERROR(__xludf.DUMMYFUNCTION("""COMPUTED_VALUE"""),"elaine.maertz@2hourlearning.com")</f>
        <v>elaine.maertz@2hourlearning.com</v>
      </c>
      <c r="L2598" s="6" t="str">
        <f>IFERROR(__xludf.DUMMYFUNCTION("""COMPUTED_VALUE"""),"Reading Community City School District")</f>
        <v>Reading Community City School District</v>
      </c>
      <c r="M2598" s="6" t="str">
        <f>IFERROR(__xludf.DUMMYFUNCTION("""COMPUTED_VALUE"""),"Elementary")</f>
        <v>Elementary</v>
      </c>
      <c r="N2598" s="6" t="str">
        <f>IFERROR(__xludf.DUMMYFUNCTION("""COMPUTED_VALUE"""),"")</f>
        <v/>
      </c>
      <c r="O2598" s="87" t="str">
        <f>IFERROR(__xludf.DUMMYFUNCTION("""COMPUTED_VALUE"""),"https://drive.google.com/drive/folders/10T2cTQHqEJZqE-st6uFKPoI?usp=share_link")</f>
        <v>https://drive.google.com/drive/folders/10T2cTQHqEJZqE-st6uFKPoI?usp=share_link</v>
      </c>
      <c r="P2598" s="6" t="str">
        <f>IFERROR(__xludf.DUMMYFUNCTION("""COMPUTED_VALUE"""),"Elaine Maertz")</f>
        <v>Elaine Maertz</v>
      </c>
      <c r="Q2598" s="6" t="str">
        <f>IFERROR(__xludf.DUMMYFUNCTION("""COMPUTED_VALUE"""),"L2")</f>
        <v>L2</v>
      </c>
      <c r="R2598" s="6">
        <f>IFERROR(__xludf.DUMMYFUNCTION("""COMPUTED_VALUE"""),2.0)</f>
        <v>2</v>
      </c>
      <c r="S2598" s="6" t="str">
        <f>IFERROR(__xludf.DUMMYFUNCTION("""COMPUTED_VALUE"""),"Danielle Roberts")</f>
        <v>Danielle Roberts</v>
      </c>
      <c r="T2598" s="6" t="str">
        <f>IFERROR(__xludf.DUMMYFUNCTION("""COMPUTED_VALUE"""),"droberts@readingschools.org")</f>
        <v>droberts@readingschools.org</v>
      </c>
      <c r="U2598" s="6" t="str">
        <f>IFERROR(__xludf.DUMMYFUNCTION("""COMPUTED_VALUE"""),"5")</f>
        <v>5</v>
      </c>
      <c r="V2598" s="6" t="str">
        <f>IFERROR(__xludf.DUMMYFUNCTION("""COMPUTED_VALUE"""),"English")</f>
        <v>English</v>
      </c>
      <c r="W2598" s="6" t="str">
        <f>IFERROR(__xludf.DUMMYFUNCTION("""COMPUTED_VALUE"""),"[]")</f>
        <v>[]</v>
      </c>
      <c r="X2598" s="6" t="str">
        <f>IFERROR(__xludf.DUMMYFUNCTION("""COMPUTED_VALUE"""),"Enrolled")</f>
        <v>Enrolled</v>
      </c>
    </row>
    <row r="2599">
      <c r="A2599" s="6" t="str">
        <f>IFERROR(__xludf.DUMMYFUNCTION("""COMPUTED_VALUE"""),"056-5370")</f>
        <v>056-5370</v>
      </c>
      <c r="B2599" s="6" t="str">
        <f>IFERROR(__xludf.DUMMYFUNCTION("""COMPUTED_VALUE"""),"56")</f>
        <v>56</v>
      </c>
      <c r="C2599" s="6" t="str">
        <f>IFERROR(__xludf.DUMMYFUNCTION("""COMPUTED_VALUE"""),"5370")</f>
        <v>5370</v>
      </c>
      <c r="D2599" s="6" t="str">
        <f>IFERROR(__xludf.DUMMYFUNCTION("""COMPUTED_VALUE"""),"Jayson")</f>
        <v>Jayson</v>
      </c>
      <c r="E2599" s="6" t="str">
        <f>IFERROR(__xludf.DUMMYFUNCTION("""COMPUTED_VALUE"""),"")</f>
        <v/>
      </c>
      <c r="F2599" s="6" t="str">
        <f>IFERROR(__xludf.DUMMYFUNCTION("""COMPUTED_VALUE"""),"Rouse")</f>
        <v>Rouse</v>
      </c>
      <c r="G2599" s="6" t="str">
        <f>IFERROR(__xludf.DUMMYFUNCTION("""COMPUTED_VALUE"""),"10/04/2014")</f>
        <v>10/04/2014</v>
      </c>
      <c r="H2599" s="6" t="str">
        <f>IFERROR(__xludf.DUMMYFUNCTION("""COMPUTED_VALUE"""),"Self Identify")</f>
        <v>Self Identify</v>
      </c>
      <c r="I2599" s="6" t="str">
        <f>IFERROR(__xludf.DUMMYFUNCTION("""COMPUTED_VALUE"""),"Level 2")</f>
        <v>Level 2</v>
      </c>
      <c r="J2599" s="6" t="str">
        <f>IFERROR(__xludf.DUMMYFUNCTION("""COMPUTED_VALUE"""),"5")</f>
        <v>5</v>
      </c>
      <c r="K2599" s="6" t="str">
        <f>IFERROR(__xludf.DUMMYFUNCTION("""COMPUTED_VALUE"""),"jayson.rouse@2hourlearning.com")</f>
        <v>jayson.rouse@2hourlearning.com</v>
      </c>
      <c r="L2599" s="6" t="str">
        <f>IFERROR(__xludf.DUMMYFUNCTION("""COMPUTED_VALUE"""),"Reading Community City School District")</f>
        <v>Reading Community City School District</v>
      </c>
      <c r="M2599" s="6" t="str">
        <f>IFERROR(__xludf.DUMMYFUNCTION("""COMPUTED_VALUE"""),"Elementary")</f>
        <v>Elementary</v>
      </c>
      <c r="N2599" s="6" t="str">
        <f>IFERROR(__xludf.DUMMYFUNCTION("""COMPUTED_VALUE"""),"")</f>
        <v/>
      </c>
      <c r="O2599" s="87" t="str">
        <f>IFERROR(__xludf.DUMMYFUNCTION("""COMPUTED_VALUE"""),"https://drive.google.com/drive/folders/10T2cTQHqEJZqE-st6uFKPoI?usp=share_link")</f>
        <v>https://drive.google.com/drive/folders/10T2cTQHqEJZqE-st6uFKPoI?usp=share_link</v>
      </c>
      <c r="P2599" s="6" t="str">
        <f>IFERROR(__xludf.DUMMYFUNCTION("""COMPUTED_VALUE"""),"Jayson Rouse")</f>
        <v>Jayson Rouse</v>
      </c>
      <c r="Q2599" s="6" t="str">
        <f>IFERROR(__xludf.DUMMYFUNCTION("""COMPUTED_VALUE"""),"L2")</f>
        <v>L2</v>
      </c>
      <c r="R2599" s="6">
        <f>IFERROR(__xludf.DUMMYFUNCTION("""COMPUTED_VALUE"""),2.0)</f>
        <v>2</v>
      </c>
      <c r="S2599" s="6" t="str">
        <f>IFERROR(__xludf.DUMMYFUNCTION("""COMPUTED_VALUE"""),"Danielle Roberts")</f>
        <v>Danielle Roberts</v>
      </c>
      <c r="T2599" s="6" t="str">
        <f>IFERROR(__xludf.DUMMYFUNCTION("""COMPUTED_VALUE"""),"droberts@readingschools.org")</f>
        <v>droberts@readingschools.org</v>
      </c>
      <c r="U2599" s="6" t="str">
        <f>IFERROR(__xludf.DUMMYFUNCTION("""COMPUTED_VALUE"""),"5")</f>
        <v>5</v>
      </c>
      <c r="V2599" s="6" t="str">
        <f>IFERROR(__xludf.DUMMYFUNCTION("""COMPUTED_VALUE"""),"English")</f>
        <v>English</v>
      </c>
      <c r="W2599" s="6" t="str">
        <f>IFERROR(__xludf.DUMMYFUNCTION("""COMPUTED_VALUE"""),"[]")</f>
        <v>[]</v>
      </c>
      <c r="X2599" s="6" t="str">
        <f>IFERROR(__xludf.DUMMYFUNCTION("""COMPUTED_VALUE"""),"Enrolled")</f>
        <v>Enrolled</v>
      </c>
    </row>
    <row r="2600">
      <c r="A2600" s="6" t="str">
        <f>IFERROR(__xludf.DUMMYFUNCTION("""COMPUTED_VALUE"""),"056-5371")</f>
        <v>056-5371</v>
      </c>
      <c r="B2600" s="6" t="str">
        <f>IFERROR(__xludf.DUMMYFUNCTION("""COMPUTED_VALUE"""),"56")</f>
        <v>56</v>
      </c>
      <c r="C2600" s="6" t="str">
        <f>IFERROR(__xludf.DUMMYFUNCTION("""COMPUTED_VALUE"""),"5371")</f>
        <v>5371</v>
      </c>
      <c r="D2600" s="6" t="str">
        <f>IFERROR(__xludf.DUMMYFUNCTION("""COMPUTED_VALUE"""),"Jayvien")</f>
        <v>Jayvien</v>
      </c>
      <c r="E2600" s="6" t="str">
        <f>IFERROR(__xludf.DUMMYFUNCTION("""COMPUTED_VALUE"""),"")</f>
        <v/>
      </c>
      <c r="F2600" s="6" t="str">
        <f>IFERROR(__xludf.DUMMYFUNCTION("""COMPUTED_VALUE"""),"Hahn")</f>
        <v>Hahn</v>
      </c>
      <c r="G2600" s="6" t="str">
        <f>IFERROR(__xludf.DUMMYFUNCTION("""COMPUTED_VALUE"""),"11/13/2014")</f>
        <v>11/13/2014</v>
      </c>
      <c r="H2600" s="6" t="str">
        <f>IFERROR(__xludf.DUMMYFUNCTION("""COMPUTED_VALUE"""),"Self Identify")</f>
        <v>Self Identify</v>
      </c>
      <c r="I2600" s="6" t="str">
        <f>IFERROR(__xludf.DUMMYFUNCTION("""COMPUTED_VALUE"""),"Level 2")</f>
        <v>Level 2</v>
      </c>
      <c r="J2600" s="6" t="str">
        <f>IFERROR(__xludf.DUMMYFUNCTION("""COMPUTED_VALUE"""),"5")</f>
        <v>5</v>
      </c>
      <c r="K2600" s="6" t="str">
        <f>IFERROR(__xludf.DUMMYFUNCTION("""COMPUTED_VALUE"""),"jayvien.hahn@2hourlearning.com")</f>
        <v>jayvien.hahn@2hourlearning.com</v>
      </c>
      <c r="L2600" s="6" t="str">
        <f>IFERROR(__xludf.DUMMYFUNCTION("""COMPUTED_VALUE"""),"Reading Community City School District")</f>
        <v>Reading Community City School District</v>
      </c>
      <c r="M2600" s="6" t="str">
        <f>IFERROR(__xludf.DUMMYFUNCTION("""COMPUTED_VALUE"""),"Elementary")</f>
        <v>Elementary</v>
      </c>
      <c r="N2600" s="6" t="str">
        <f>IFERROR(__xludf.DUMMYFUNCTION("""COMPUTED_VALUE"""),"")</f>
        <v/>
      </c>
      <c r="O2600" s="87" t="str">
        <f>IFERROR(__xludf.DUMMYFUNCTION("""COMPUTED_VALUE"""),"https://drive.google.com/drive/folders/10T2cTQHqEJZqE-st6uFKPoI?usp=share_link")</f>
        <v>https://drive.google.com/drive/folders/10T2cTQHqEJZqE-st6uFKPoI?usp=share_link</v>
      </c>
      <c r="P2600" s="6" t="str">
        <f>IFERROR(__xludf.DUMMYFUNCTION("""COMPUTED_VALUE"""),"Jayvien Hahn")</f>
        <v>Jayvien Hahn</v>
      </c>
      <c r="Q2600" s="6" t="str">
        <f>IFERROR(__xludf.DUMMYFUNCTION("""COMPUTED_VALUE"""),"L2")</f>
        <v>L2</v>
      </c>
      <c r="R2600" s="6">
        <f>IFERROR(__xludf.DUMMYFUNCTION("""COMPUTED_VALUE"""),2.0)</f>
        <v>2</v>
      </c>
      <c r="S2600" s="6" t="str">
        <f>IFERROR(__xludf.DUMMYFUNCTION("""COMPUTED_VALUE"""),"Danielle Roberts")</f>
        <v>Danielle Roberts</v>
      </c>
      <c r="T2600" s="6" t="str">
        <f>IFERROR(__xludf.DUMMYFUNCTION("""COMPUTED_VALUE"""),"droberts@readingschools.org")</f>
        <v>droberts@readingschools.org</v>
      </c>
      <c r="U2600" s="6" t="str">
        <f>IFERROR(__xludf.DUMMYFUNCTION("""COMPUTED_VALUE"""),"5")</f>
        <v>5</v>
      </c>
      <c r="V2600" s="6" t="str">
        <f>IFERROR(__xludf.DUMMYFUNCTION("""COMPUTED_VALUE"""),"English")</f>
        <v>English</v>
      </c>
      <c r="W2600" s="6" t="str">
        <f>IFERROR(__xludf.DUMMYFUNCTION("""COMPUTED_VALUE"""),"[]")</f>
        <v>[]</v>
      </c>
      <c r="X2600" s="6" t="str">
        <f>IFERROR(__xludf.DUMMYFUNCTION("""COMPUTED_VALUE"""),"Enrolled")</f>
        <v>Enrolled</v>
      </c>
    </row>
    <row r="2601">
      <c r="A2601" s="6" t="str">
        <f>IFERROR(__xludf.DUMMYFUNCTION("""COMPUTED_VALUE"""),"056-5372")</f>
        <v>056-5372</v>
      </c>
      <c r="B2601" s="6" t="str">
        <f>IFERROR(__xludf.DUMMYFUNCTION("""COMPUTED_VALUE"""),"56")</f>
        <v>56</v>
      </c>
      <c r="C2601" s="6" t="str">
        <f>IFERROR(__xludf.DUMMYFUNCTION("""COMPUTED_VALUE"""),"5372")</f>
        <v>5372</v>
      </c>
      <c r="D2601" s="6" t="str">
        <f>IFERROR(__xludf.DUMMYFUNCTION("""COMPUTED_VALUE"""),"Joseph")</f>
        <v>Joseph</v>
      </c>
      <c r="E2601" s="6" t="str">
        <f>IFERROR(__xludf.DUMMYFUNCTION("""COMPUTED_VALUE"""),"")</f>
        <v/>
      </c>
      <c r="F2601" s="6" t="str">
        <f>IFERROR(__xludf.DUMMYFUNCTION("""COMPUTED_VALUE"""),"Reynolds")</f>
        <v>Reynolds</v>
      </c>
      <c r="G2601" s="6" t="str">
        <f>IFERROR(__xludf.DUMMYFUNCTION("""COMPUTED_VALUE"""),"11/07/2014")</f>
        <v>11/07/2014</v>
      </c>
      <c r="H2601" s="6" t="str">
        <f>IFERROR(__xludf.DUMMYFUNCTION("""COMPUTED_VALUE"""),"Self Identify")</f>
        <v>Self Identify</v>
      </c>
      <c r="I2601" s="6" t="str">
        <f>IFERROR(__xludf.DUMMYFUNCTION("""COMPUTED_VALUE"""),"Level 2")</f>
        <v>Level 2</v>
      </c>
      <c r="J2601" s="6" t="str">
        <f>IFERROR(__xludf.DUMMYFUNCTION("""COMPUTED_VALUE"""),"5")</f>
        <v>5</v>
      </c>
      <c r="K2601" s="6" t="str">
        <f>IFERROR(__xludf.DUMMYFUNCTION("""COMPUTED_VALUE"""),"joseph.reynolds@2hourlearning.com")</f>
        <v>joseph.reynolds@2hourlearning.com</v>
      </c>
      <c r="L2601" s="6" t="str">
        <f>IFERROR(__xludf.DUMMYFUNCTION("""COMPUTED_VALUE"""),"Reading Community City School District")</f>
        <v>Reading Community City School District</v>
      </c>
      <c r="M2601" s="6" t="str">
        <f>IFERROR(__xludf.DUMMYFUNCTION("""COMPUTED_VALUE"""),"Elementary")</f>
        <v>Elementary</v>
      </c>
      <c r="N2601" s="6" t="str">
        <f>IFERROR(__xludf.DUMMYFUNCTION("""COMPUTED_VALUE"""),"")</f>
        <v/>
      </c>
      <c r="O2601" s="87" t="str">
        <f>IFERROR(__xludf.DUMMYFUNCTION("""COMPUTED_VALUE"""),"https://drive.google.com/drive/folders/10T2cTQHqEJZqE-st6uFKPoI?usp=share_link")</f>
        <v>https://drive.google.com/drive/folders/10T2cTQHqEJZqE-st6uFKPoI?usp=share_link</v>
      </c>
      <c r="P2601" s="6" t="str">
        <f>IFERROR(__xludf.DUMMYFUNCTION("""COMPUTED_VALUE"""),"Joseph Reynolds")</f>
        <v>Joseph Reynolds</v>
      </c>
      <c r="Q2601" s="6" t="str">
        <f>IFERROR(__xludf.DUMMYFUNCTION("""COMPUTED_VALUE"""),"L2")</f>
        <v>L2</v>
      </c>
      <c r="R2601" s="6">
        <f>IFERROR(__xludf.DUMMYFUNCTION("""COMPUTED_VALUE"""),2.0)</f>
        <v>2</v>
      </c>
      <c r="S2601" s="6" t="str">
        <f>IFERROR(__xludf.DUMMYFUNCTION("""COMPUTED_VALUE"""),"Danielle Roberts")</f>
        <v>Danielle Roberts</v>
      </c>
      <c r="T2601" s="6" t="str">
        <f>IFERROR(__xludf.DUMMYFUNCTION("""COMPUTED_VALUE"""),"droberts@readingschools.org")</f>
        <v>droberts@readingschools.org</v>
      </c>
      <c r="U2601" s="6" t="str">
        <f>IFERROR(__xludf.DUMMYFUNCTION("""COMPUTED_VALUE"""),"5")</f>
        <v>5</v>
      </c>
      <c r="V2601" s="6" t="str">
        <f>IFERROR(__xludf.DUMMYFUNCTION("""COMPUTED_VALUE"""),"English")</f>
        <v>English</v>
      </c>
      <c r="W2601" s="6" t="str">
        <f>IFERROR(__xludf.DUMMYFUNCTION("""COMPUTED_VALUE"""),"[]")</f>
        <v>[]</v>
      </c>
      <c r="X2601" s="6" t="str">
        <f>IFERROR(__xludf.DUMMYFUNCTION("""COMPUTED_VALUE"""),"Enrolled")</f>
        <v>Enrolled</v>
      </c>
    </row>
    <row r="2602">
      <c r="A2602" s="6" t="str">
        <f>IFERROR(__xludf.DUMMYFUNCTION("""COMPUTED_VALUE"""),"056-5373")</f>
        <v>056-5373</v>
      </c>
      <c r="B2602" s="6" t="str">
        <f>IFERROR(__xludf.DUMMYFUNCTION("""COMPUTED_VALUE"""),"56")</f>
        <v>56</v>
      </c>
      <c r="C2602" s="6" t="str">
        <f>IFERROR(__xludf.DUMMYFUNCTION("""COMPUTED_VALUE"""),"5373")</f>
        <v>5373</v>
      </c>
      <c r="D2602" s="6" t="str">
        <f>IFERROR(__xludf.DUMMYFUNCTION("""COMPUTED_VALUE"""),"Kayden")</f>
        <v>Kayden</v>
      </c>
      <c r="E2602" s="6" t="str">
        <f>IFERROR(__xludf.DUMMYFUNCTION("""COMPUTED_VALUE"""),"")</f>
        <v/>
      </c>
      <c r="F2602" s="6" t="str">
        <f>IFERROR(__xludf.DUMMYFUNCTION("""COMPUTED_VALUE"""),"Nickoson")</f>
        <v>Nickoson</v>
      </c>
      <c r="G2602" s="6" t="str">
        <f>IFERROR(__xludf.DUMMYFUNCTION("""COMPUTED_VALUE"""),"06/27/2015")</f>
        <v>06/27/2015</v>
      </c>
      <c r="H2602" s="6" t="str">
        <f>IFERROR(__xludf.DUMMYFUNCTION("""COMPUTED_VALUE"""),"Self Identify")</f>
        <v>Self Identify</v>
      </c>
      <c r="I2602" s="6" t="str">
        <f>IFERROR(__xludf.DUMMYFUNCTION("""COMPUTED_VALUE"""),"Level 2")</f>
        <v>Level 2</v>
      </c>
      <c r="J2602" s="6" t="str">
        <f>IFERROR(__xludf.DUMMYFUNCTION("""COMPUTED_VALUE"""),"5")</f>
        <v>5</v>
      </c>
      <c r="K2602" s="6" t="str">
        <f>IFERROR(__xludf.DUMMYFUNCTION("""COMPUTED_VALUE"""),"kayden.nickoson@2hourlearning.com")</f>
        <v>kayden.nickoson@2hourlearning.com</v>
      </c>
      <c r="L2602" s="6" t="str">
        <f>IFERROR(__xludf.DUMMYFUNCTION("""COMPUTED_VALUE"""),"Reading Community City School District")</f>
        <v>Reading Community City School District</v>
      </c>
      <c r="M2602" s="6" t="str">
        <f>IFERROR(__xludf.DUMMYFUNCTION("""COMPUTED_VALUE"""),"Elementary")</f>
        <v>Elementary</v>
      </c>
      <c r="N2602" s="6" t="str">
        <f>IFERROR(__xludf.DUMMYFUNCTION("""COMPUTED_VALUE"""),"")</f>
        <v/>
      </c>
      <c r="O2602" s="87" t="str">
        <f>IFERROR(__xludf.DUMMYFUNCTION("""COMPUTED_VALUE"""),"https://drive.google.com/drive/folders/10T2cTQHqEJZqE-st6uFKPoI?usp=share_link")</f>
        <v>https://drive.google.com/drive/folders/10T2cTQHqEJZqE-st6uFKPoI?usp=share_link</v>
      </c>
      <c r="P2602" s="6" t="str">
        <f>IFERROR(__xludf.DUMMYFUNCTION("""COMPUTED_VALUE"""),"Kayden Nickoson")</f>
        <v>Kayden Nickoson</v>
      </c>
      <c r="Q2602" s="6" t="str">
        <f>IFERROR(__xludf.DUMMYFUNCTION("""COMPUTED_VALUE"""),"L2")</f>
        <v>L2</v>
      </c>
      <c r="R2602" s="6">
        <f>IFERROR(__xludf.DUMMYFUNCTION("""COMPUTED_VALUE"""),2.0)</f>
        <v>2</v>
      </c>
      <c r="S2602" s="6" t="str">
        <f>IFERROR(__xludf.DUMMYFUNCTION("""COMPUTED_VALUE"""),"Danielle Roberts")</f>
        <v>Danielle Roberts</v>
      </c>
      <c r="T2602" s="6" t="str">
        <f>IFERROR(__xludf.DUMMYFUNCTION("""COMPUTED_VALUE"""),"droberts@readingschools.org")</f>
        <v>droberts@readingschools.org</v>
      </c>
      <c r="U2602" s="6" t="str">
        <f>IFERROR(__xludf.DUMMYFUNCTION("""COMPUTED_VALUE"""),"5")</f>
        <v>5</v>
      </c>
      <c r="V2602" s="6" t="str">
        <f>IFERROR(__xludf.DUMMYFUNCTION("""COMPUTED_VALUE"""),"English")</f>
        <v>English</v>
      </c>
      <c r="W2602" s="6" t="str">
        <f>IFERROR(__xludf.DUMMYFUNCTION("""COMPUTED_VALUE"""),"[]")</f>
        <v>[]</v>
      </c>
      <c r="X2602" s="6" t="str">
        <f>IFERROR(__xludf.DUMMYFUNCTION("""COMPUTED_VALUE"""),"Enrolled")</f>
        <v>Enrolled</v>
      </c>
    </row>
    <row r="2603">
      <c r="A2603" s="6" t="str">
        <f>IFERROR(__xludf.DUMMYFUNCTION("""COMPUTED_VALUE"""),"056-5374")</f>
        <v>056-5374</v>
      </c>
      <c r="B2603" s="6" t="str">
        <f>IFERROR(__xludf.DUMMYFUNCTION("""COMPUTED_VALUE"""),"56")</f>
        <v>56</v>
      </c>
      <c r="C2603" s="6" t="str">
        <f>IFERROR(__xludf.DUMMYFUNCTION("""COMPUTED_VALUE"""),"5374")</f>
        <v>5374</v>
      </c>
      <c r="D2603" s="6" t="str">
        <f>IFERROR(__xludf.DUMMYFUNCTION("""COMPUTED_VALUE"""),"Kylinn")</f>
        <v>Kylinn</v>
      </c>
      <c r="E2603" s="6" t="str">
        <f>IFERROR(__xludf.DUMMYFUNCTION("""COMPUTED_VALUE"""),"")</f>
        <v/>
      </c>
      <c r="F2603" s="6" t="str">
        <f>IFERROR(__xludf.DUMMYFUNCTION("""COMPUTED_VALUE"""),"Harvey")</f>
        <v>Harvey</v>
      </c>
      <c r="G2603" s="6" t="str">
        <f>IFERROR(__xludf.DUMMYFUNCTION("""COMPUTED_VALUE"""),"04/30/2015")</f>
        <v>04/30/2015</v>
      </c>
      <c r="H2603" s="6" t="str">
        <f>IFERROR(__xludf.DUMMYFUNCTION("""COMPUTED_VALUE"""),"Self Identify")</f>
        <v>Self Identify</v>
      </c>
      <c r="I2603" s="6" t="str">
        <f>IFERROR(__xludf.DUMMYFUNCTION("""COMPUTED_VALUE"""),"Level 2")</f>
        <v>Level 2</v>
      </c>
      <c r="J2603" s="6" t="str">
        <f>IFERROR(__xludf.DUMMYFUNCTION("""COMPUTED_VALUE"""),"5")</f>
        <v>5</v>
      </c>
      <c r="K2603" s="6" t="str">
        <f>IFERROR(__xludf.DUMMYFUNCTION("""COMPUTED_VALUE"""),"kylinn.harvey@2hourlearning.com")</f>
        <v>kylinn.harvey@2hourlearning.com</v>
      </c>
      <c r="L2603" s="6" t="str">
        <f>IFERROR(__xludf.DUMMYFUNCTION("""COMPUTED_VALUE"""),"Reading Community City School District")</f>
        <v>Reading Community City School District</v>
      </c>
      <c r="M2603" s="6" t="str">
        <f>IFERROR(__xludf.DUMMYFUNCTION("""COMPUTED_VALUE"""),"Elementary")</f>
        <v>Elementary</v>
      </c>
      <c r="N2603" s="6" t="str">
        <f>IFERROR(__xludf.DUMMYFUNCTION("""COMPUTED_VALUE"""),"")</f>
        <v/>
      </c>
      <c r="O2603" s="87" t="str">
        <f>IFERROR(__xludf.DUMMYFUNCTION("""COMPUTED_VALUE"""),"https://drive.google.com/drive/folders/10T2cTQHqEJZqE-st6uFKPoI?usp=share_link")</f>
        <v>https://drive.google.com/drive/folders/10T2cTQHqEJZqE-st6uFKPoI?usp=share_link</v>
      </c>
      <c r="P2603" s="6" t="str">
        <f>IFERROR(__xludf.DUMMYFUNCTION("""COMPUTED_VALUE"""),"Kylinn Harvey")</f>
        <v>Kylinn Harvey</v>
      </c>
      <c r="Q2603" s="6" t="str">
        <f>IFERROR(__xludf.DUMMYFUNCTION("""COMPUTED_VALUE"""),"L2")</f>
        <v>L2</v>
      </c>
      <c r="R2603" s="6">
        <f>IFERROR(__xludf.DUMMYFUNCTION("""COMPUTED_VALUE"""),2.0)</f>
        <v>2</v>
      </c>
      <c r="S2603" s="6" t="str">
        <f>IFERROR(__xludf.DUMMYFUNCTION("""COMPUTED_VALUE"""),"Danielle Roberts")</f>
        <v>Danielle Roberts</v>
      </c>
      <c r="T2603" s="6" t="str">
        <f>IFERROR(__xludf.DUMMYFUNCTION("""COMPUTED_VALUE"""),"droberts@readingschools.org")</f>
        <v>droberts@readingschools.org</v>
      </c>
      <c r="U2603" s="6" t="str">
        <f>IFERROR(__xludf.DUMMYFUNCTION("""COMPUTED_VALUE"""),"5")</f>
        <v>5</v>
      </c>
      <c r="V2603" s="6" t="str">
        <f>IFERROR(__xludf.DUMMYFUNCTION("""COMPUTED_VALUE"""),"English")</f>
        <v>English</v>
      </c>
      <c r="W2603" s="6" t="str">
        <f>IFERROR(__xludf.DUMMYFUNCTION("""COMPUTED_VALUE"""),"[]")</f>
        <v>[]</v>
      </c>
      <c r="X2603" s="6" t="str">
        <f>IFERROR(__xludf.DUMMYFUNCTION("""COMPUTED_VALUE"""),"Enrolled")</f>
        <v>Enrolled</v>
      </c>
    </row>
    <row r="2604">
      <c r="A2604" s="6" t="str">
        <f>IFERROR(__xludf.DUMMYFUNCTION("""COMPUTED_VALUE"""),"056-5375")</f>
        <v>056-5375</v>
      </c>
      <c r="B2604" s="6" t="str">
        <f>IFERROR(__xludf.DUMMYFUNCTION("""COMPUTED_VALUE"""),"56")</f>
        <v>56</v>
      </c>
      <c r="C2604" s="6" t="str">
        <f>IFERROR(__xludf.DUMMYFUNCTION("""COMPUTED_VALUE"""),"5375")</f>
        <v>5375</v>
      </c>
      <c r="D2604" s="6" t="str">
        <f>IFERROR(__xludf.DUMMYFUNCTION("""COMPUTED_VALUE"""),"Liam")</f>
        <v>Liam</v>
      </c>
      <c r="E2604" s="6" t="str">
        <f>IFERROR(__xludf.DUMMYFUNCTION("""COMPUTED_VALUE"""),"")</f>
        <v/>
      </c>
      <c r="F2604" s="6" t="str">
        <f>IFERROR(__xludf.DUMMYFUNCTION("""COMPUTED_VALUE"""),"Turner")</f>
        <v>Turner</v>
      </c>
      <c r="G2604" s="6" t="str">
        <f>IFERROR(__xludf.DUMMYFUNCTION("""COMPUTED_VALUE"""),"04/05/2015")</f>
        <v>04/05/2015</v>
      </c>
      <c r="H2604" s="6" t="str">
        <f>IFERROR(__xludf.DUMMYFUNCTION("""COMPUTED_VALUE"""),"Self Identify")</f>
        <v>Self Identify</v>
      </c>
      <c r="I2604" s="6" t="str">
        <f>IFERROR(__xludf.DUMMYFUNCTION("""COMPUTED_VALUE"""),"Level 2")</f>
        <v>Level 2</v>
      </c>
      <c r="J2604" s="6" t="str">
        <f>IFERROR(__xludf.DUMMYFUNCTION("""COMPUTED_VALUE"""),"5")</f>
        <v>5</v>
      </c>
      <c r="K2604" s="6" t="str">
        <f>IFERROR(__xludf.DUMMYFUNCTION("""COMPUTED_VALUE"""),"liam.turner@2hourlearning.com")</f>
        <v>liam.turner@2hourlearning.com</v>
      </c>
      <c r="L2604" s="6" t="str">
        <f>IFERROR(__xludf.DUMMYFUNCTION("""COMPUTED_VALUE"""),"Reading Community City School District")</f>
        <v>Reading Community City School District</v>
      </c>
      <c r="M2604" s="6" t="str">
        <f>IFERROR(__xludf.DUMMYFUNCTION("""COMPUTED_VALUE"""),"Elementary")</f>
        <v>Elementary</v>
      </c>
      <c r="N2604" s="6" t="str">
        <f>IFERROR(__xludf.DUMMYFUNCTION("""COMPUTED_VALUE"""),"")</f>
        <v/>
      </c>
      <c r="O2604" s="87" t="str">
        <f>IFERROR(__xludf.DUMMYFUNCTION("""COMPUTED_VALUE"""),"https://drive.google.com/drive/folders/10T2cTQHqEJZqE-st6uFKPoI?usp=share_link")</f>
        <v>https://drive.google.com/drive/folders/10T2cTQHqEJZqE-st6uFKPoI?usp=share_link</v>
      </c>
      <c r="P2604" s="6" t="str">
        <f>IFERROR(__xludf.DUMMYFUNCTION("""COMPUTED_VALUE"""),"Liam Turner")</f>
        <v>Liam Turner</v>
      </c>
      <c r="Q2604" s="6" t="str">
        <f>IFERROR(__xludf.DUMMYFUNCTION("""COMPUTED_VALUE"""),"L2")</f>
        <v>L2</v>
      </c>
      <c r="R2604" s="6">
        <f>IFERROR(__xludf.DUMMYFUNCTION("""COMPUTED_VALUE"""),2.0)</f>
        <v>2</v>
      </c>
      <c r="S2604" s="6" t="str">
        <f>IFERROR(__xludf.DUMMYFUNCTION("""COMPUTED_VALUE"""),"Danielle Roberts")</f>
        <v>Danielle Roberts</v>
      </c>
      <c r="T2604" s="6" t="str">
        <f>IFERROR(__xludf.DUMMYFUNCTION("""COMPUTED_VALUE"""),"droberts@readingschools.org")</f>
        <v>droberts@readingschools.org</v>
      </c>
      <c r="U2604" s="6" t="str">
        <f>IFERROR(__xludf.DUMMYFUNCTION("""COMPUTED_VALUE"""),"5")</f>
        <v>5</v>
      </c>
      <c r="V2604" s="6" t="str">
        <f>IFERROR(__xludf.DUMMYFUNCTION("""COMPUTED_VALUE"""),"English")</f>
        <v>English</v>
      </c>
      <c r="W2604" s="6" t="str">
        <f>IFERROR(__xludf.DUMMYFUNCTION("""COMPUTED_VALUE"""),"[]")</f>
        <v>[]</v>
      </c>
      <c r="X2604" s="6" t="str">
        <f>IFERROR(__xludf.DUMMYFUNCTION("""COMPUTED_VALUE"""),"Enrolled")</f>
        <v>Enrolled</v>
      </c>
    </row>
    <row r="2605">
      <c r="A2605" s="6" t="str">
        <f>IFERROR(__xludf.DUMMYFUNCTION("""COMPUTED_VALUE"""),"056-5376")</f>
        <v>056-5376</v>
      </c>
      <c r="B2605" s="6" t="str">
        <f>IFERROR(__xludf.DUMMYFUNCTION("""COMPUTED_VALUE"""),"56")</f>
        <v>56</v>
      </c>
      <c r="C2605" s="6" t="str">
        <f>IFERROR(__xludf.DUMMYFUNCTION("""COMPUTED_VALUE"""),"5376")</f>
        <v>5376</v>
      </c>
      <c r="D2605" s="6" t="str">
        <f>IFERROR(__xludf.DUMMYFUNCTION("""COMPUTED_VALUE"""),"Lillian")</f>
        <v>Lillian</v>
      </c>
      <c r="E2605" s="6" t="str">
        <f>IFERROR(__xludf.DUMMYFUNCTION("""COMPUTED_VALUE"""),"")</f>
        <v/>
      </c>
      <c r="F2605" s="6" t="str">
        <f>IFERROR(__xludf.DUMMYFUNCTION("""COMPUTED_VALUE"""),"Reyes")</f>
        <v>Reyes</v>
      </c>
      <c r="G2605" s="6" t="str">
        <f>IFERROR(__xludf.DUMMYFUNCTION("""COMPUTED_VALUE"""),"05/24/2015")</f>
        <v>05/24/2015</v>
      </c>
      <c r="H2605" s="6" t="str">
        <f>IFERROR(__xludf.DUMMYFUNCTION("""COMPUTED_VALUE"""),"Self Identify")</f>
        <v>Self Identify</v>
      </c>
      <c r="I2605" s="6" t="str">
        <f>IFERROR(__xludf.DUMMYFUNCTION("""COMPUTED_VALUE"""),"Level 2")</f>
        <v>Level 2</v>
      </c>
      <c r="J2605" s="6" t="str">
        <f>IFERROR(__xludf.DUMMYFUNCTION("""COMPUTED_VALUE"""),"5")</f>
        <v>5</v>
      </c>
      <c r="K2605" s="6" t="str">
        <f>IFERROR(__xludf.DUMMYFUNCTION("""COMPUTED_VALUE"""),"lillian.reyes@2hourlearning.com")</f>
        <v>lillian.reyes@2hourlearning.com</v>
      </c>
      <c r="L2605" s="6" t="str">
        <f>IFERROR(__xludf.DUMMYFUNCTION("""COMPUTED_VALUE"""),"Reading Community City School District")</f>
        <v>Reading Community City School District</v>
      </c>
      <c r="M2605" s="6" t="str">
        <f>IFERROR(__xludf.DUMMYFUNCTION("""COMPUTED_VALUE"""),"Elementary")</f>
        <v>Elementary</v>
      </c>
      <c r="N2605" s="6" t="str">
        <f>IFERROR(__xludf.DUMMYFUNCTION("""COMPUTED_VALUE"""),"")</f>
        <v/>
      </c>
      <c r="O2605" s="87" t="str">
        <f>IFERROR(__xludf.DUMMYFUNCTION("""COMPUTED_VALUE"""),"https://drive.google.com/drive/folders/10T2cTQHqEJZqE-st6uFKPoI?usp=share_link")</f>
        <v>https://drive.google.com/drive/folders/10T2cTQHqEJZqE-st6uFKPoI?usp=share_link</v>
      </c>
      <c r="P2605" s="6" t="str">
        <f>IFERROR(__xludf.DUMMYFUNCTION("""COMPUTED_VALUE"""),"Lillian Reyes")</f>
        <v>Lillian Reyes</v>
      </c>
      <c r="Q2605" s="6" t="str">
        <f>IFERROR(__xludf.DUMMYFUNCTION("""COMPUTED_VALUE"""),"L2")</f>
        <v>L2</v>
      </c>
      <c r="R2605" s="6">
        <f>IFERROR(__xludf.DUMMYFUNCTION("""COMPUTED_VALUE"""),2.0)</f>
        <v>2</v>
      </c>
      <c r="S2605" s="6" t="str">
        <f>IFERROR(__xludf.DUMMYFUNCTION("""COMPUTED_VALUE"""),"Danielle Roberts")</f>
        <v>Danielle Roberts</v>
      </c>
      <c r="T2605" s="6" t="str">
        <f>IFERROR(__xludf.DUMMYFUNCTION("""COMPUTED_VALUE"""),"droberts@readingschools.org")</f>
        <v>droberts@readingschools.org</v>
      </c>
      <c r="U2605" s="6" t="str">
        <f>IFERROR(__xludf.DUMMYFUNCTION("""COMPUTED_VALUE"""),"5")</f>
        <v>5</v>
      </c>
      <c r="V2605" s="6" t="str">
        <f>IFERROR(__xludf.DUMMYFUNCTION("""COMPUTED_VALUE"""),"English")</f>
        <v>English</v>
      </c>
      <c r="W2605" s="6" t="str">
        <f>IFERROR(__xludf.DUMMYFUNCTION("""COMPUTED_VALUE"""),"[]")</f>
        <v>[]</v>
      </c>
      <c r="X2605" s="6" t="str">
        <f>IFERROR(__xludf.DUMMYFUNCTION("""COMPUTED_VALUE"""),"Enrolled")</f>
        <v>Enrolled</v>
      </c>
    </row>
    <row r="2606">
      <c r="A2606" s="6" t="str">
        <f>IFERROR(__xludf.DUMMYFUNCTION("""COMPUTED_VALUE"""),"056-5378")</f>
        <v>056-5378</v>
      </c>
      <c r="B2606" s="6" t="str">
        <f>IFERROR(__xludf.DUMMYFUNCTION("""COMPUTED_VALUE"""),"56")</f>
        <v>56</v>
      </c>
      <c r="C2606" s="6" t="str">
        <f>IFERROR(__xludf.DUMMYFUNCTION("""COMPUTED_VALUE"""),"5378")</f>
        <v>5378</v>
      </c>
      <c r="D2606" s="6" t="str">
        <f>IFERROR(__xludf.DUMMYFUNCTION("""COMPUTED_VALUE"""),"Lucy")</f>
        <v>Lucy</v>
      </c>
      <c r="E2606" s="6" t="str">
        <f>IFERROR(__xludf.DUMMYFUNCTION("""COMPUTED_VALUE"""),"")</f>
        <v/>
      </c>
      <c r="F2606" s="6" t="str">
        <f>IFERROR(__xludf.DUMMYFUNCTION("""COMPUTED_VALUE"""),"Davis")</f>
        <v>Davis</v>
      </c>
      <c r="G2606" s="6" t="str">
        <f>IFERROR(__xludf.DUMMYFUNCTION("""COMPUTED_VALUE"""),"07/15/2015")</f>
        <v>07/15/2015</v>
      </c>
      <c r="H2606" s="6" t="str">
        <f>IFERROR(__xludf.DUMMYFUNCTION("""COMPUTED_VALUE"""),"Self Identify")</f>
        <v>Self Identify</v>
      </c>
      <c r="I2606" s="6" t="str">
        <f>IFERROR(__xludf.DUMMYFUNCTION("""COMPUTED_VALUE"""),"Level 2")</f>
        <v>Level 2</v>
      </c>
      <c r="J2606" s="6" t="str">
        <f>IFERROR(__xludf.DUMMYFUNCTION("""COMPUTED_VALUE"""),"5")</f>
        <v>5</v>
      </c>
      <c r="K2606" s="6" t="str">
        <f>IFERROR(__xludf.DUMMYFUNCTION("""COMPUTED_VALUE"""),"lucy.davis@2hourlearning.com")</f>
        <v>lucy.davis@2hourlearning.com</v>
      </c>
      <c r="L2606" s="6" t="str">
        <f>IFERROR(__xludf.DUMMYFUNCTION("""COMPUTED_VALUE"""),"Reading Community City School District")</f>
        <v>Reading Community City School District</v>
      </c>
      <c r="M2606" s="6" t="str">
        <f>IFERROR(__xludf.DUMMYFUNCTION("""COMPUTED_VALUE"""),"Elementary")</f>
        <v>Elementary</v>
      </c>
      <c r="N2606" s="6" t="str">
        <f>IFERROR(__xludf.DUMMYFUNCTION("""COMPUTED_VALUE"""),"")</f>
        <v/>
      </c>
      <c r="O2606" s="87" t="str">
        <f>IFERROR(__xludf.DUMMYFUNCTION("""COMPUTED_VALUE"""),"https://drive.google.com/drive/folders/10T2cTQHqEJZqE-st6uFKPoI?usp=share_link")</f>
        <v>https://drive.google.com/drive/folders/10T2cTQHqEJZqE-st6uFKPoI?usp=share_link</v>
      </c>
      <c r="P2606" s="6" t="str">
        <f>IFERROR(__xludf.DUMMYFUNCTION("""COMPUTED_VALUE"""),"Lucy Davis")</f>
        <v>Lucy Davis</v>
      </c>
      <c r="Q2606" s="6" t="str">
        <f>IFERROR(__xludf.DUMMYFUNCTION("""COMPUTED_VALUE"""),"L2")</f>
        <v>L2</v>
      </c>
      <c r="R2606" s="6">
        <f>IFERROR(__xludf.DUMMYFUNCTION("""COMPUTED_VALUE"""),2.0)</f>
        <v>2</v>
      </c>
      <c r="S2606" s="6" t="str">
        <f>IFERROR(__xludf.DUMMYFUNCTION("""COMPUTED_VALUE"""),"Danielle Roberts")</f>
        <v>Danielle Roberts</v>
      </c>
      <c r="T2606" s="6" t="str">
        <f>IFERROR(__xludf.DUMMYFUNCTION("""COMPUTED_VALUE"""),"droberts@readingschools.org")</f>
        <v>droberts@readingschools.org</v>
      </c>
      <c r="U2606" s="6" t="str">
        <f>IFERROR(__xludf.DUMMYFUNCTION("""COMPUTED_VALUE"""),"5")</f>
        <v>5</v>
      </c>
      <c r="V2606" s="6" t="str">
        <f>IFERROR(__xludf.DUMMYFUNCTION("""COMPUTED_VALUE"""),"English")</f>
        <v>English</v>
      </c>
      <c r="W2606" s="6" t="str">
        <f>IFERROR(__xludf.DUMMYFUNCTION("""COMPUTED_VALUE"""),"[]")</f>
        <v>[]</v>
      </c>
      <c r="X2606" s="6" t="str">
        <f>IFERROR(__xludf.DUMMYFUNCTION("""COMPUTED_VALUE"""),"Enrolled")</f>
        <v>Enrolled</v>
      </c>
    </row>
    <row r="2607">
      <c r="A2607" s="6" t="str">
        <f>IFERROR(__xludf.DUMMYFUNCTION("""COMPUTED_VALUE"""),"056-5379")</f>
        <v>056-5379</v>
      </c>
      <c r="B2607" s="6" t="str">
        <f>IFERROR(__xludf.DUMMYFUNCTION("""COMPUTED_VALUE"""),"56")</f>
        <v>56</v>
      </c>
      <c r="C2607" s="6" t="str">
        <f>IFERROR(__xludf.DUMMYFUNCTION("""COMPUTED_VALUE"""),"5379")</f>
        <v>5379</v>
      </c>
      <c r="D2607" s="6" t="str">
        <f>IFERROR(__xludf.DUMMYFUNCTION("""COMPUTED_VALUE"""),"Oliver")</f>
        <v>Oliver</v>
      </c>
      <c r="E2607" s="6" t="str">
        <f>IFERROR(__xludf.DUMMYFUNCTION("""COMPUTED_VALUE"""),"")</f>
        <v/>
      </c>
      <c r="F2607" s="6" t="str">
        <f>IFERROR(__xludf.DUMMYFUNCTION("""COMPUTED_VALUE"""),"Rugama")</f>
        <v>Rugama</v>
      </c>
      <c r="G2607" s="6" t="str">
        <f>IFERROR(__xludf.DUMMYFUNCTION("""COMPUTED_VALUE"""),"07/29/2015")</f>
        <v>07/29/2015</v>
      </c>
      <c r="H2607" s="6" t="str">
        <f>IFERROR(__xludf.DUMMYFUNCTION("""COMPUTED_VALUE"""),"Self Identify")</f>
        <v>Self Identify</v>
      </c>
      <c r="I2607" s="6" t="str">
        <f>IFERROR(__xludf.DUMMYFUNCTION("""COMPUTED_VALUE"""),"Level 2")</f>
        <v>Level 2</v>
      </c>
      <c r="J2607" s="6" t="str">
        <f>IFERROR(__xludf.DUMMYFUNCTION("""COMPUTED_VALUE"""),"5")</f>
        <v>5</v>
      </c>
      <c r="K2607" s="6" t="str">
        <f>IFERROR(__xludf.DUMMYFUNCTION("""COMPUTED_VALUE"""),"oliver.rugama@2hourlearning.com")</f>
        <v>oliver.rugama@2hourlearning.com</v>
      </c>
      <c r="L2607" s="6" t="str">
        <f>IFERROR(__xludf.DUMMYFUNCTION("""COMPUTED_VALUE"""),"Reading Community City School District")</f>
        <v>Reading Community City School District</v>
      </c>
      <c r="M2607" s="6" t="str">
        <f>IFERROR(__xludf.DUMMYFUNCTION("""COMPUTED_VALUE"""),"Elementary")</f>
        <v>Elementary</v>
      </c>
      <c r="N2607" s="6" t="str">
        <f>IFERROR(__xludf.DUMMYFUNCTION("""COMPUTED_VALUE"""),"")</f>
        <v/>
      </c>
      <c r="O2607" s="87" t="str">
        <f>IFERROR(__xludf.DUMMYFUNCTION("""COMPUTED_VALUE"""),"https://drive.google.com/drive/folders/10T2cTQHqEJZqE-st6uFKPoI?usp=share_link")</f>
        <v>https://drive.google.com/drive/folders/10T2cTQHqEJZqE-st6uFKPoI?usp=share_link</v>
      </c>
      <c r="P2607" s="6" t="str">
        <f>IFERROR(__xludf.DUMMYFUNCTION("""COMPUTED_VALUE"""),"Oliver Rugama")</f>
        <v>Oliver Rugama</v>
      </c>
      <c r="Q2607" s="6" t="str">
        <f>IFERROR(__xludf.DUMMYFUNCTION("""COMPUTED_VALUE"""),"L2")</f>
        <v>L2</v>
      </c>
      <c r="R2607" s="6">
        <f>IFERROR(__xludf.DUMMYFUNCTION("""COMPUTED_VALUE"""),2.0)</f>
        <v>2</v>
      </c>
      <c r="S2607" s="6" t="str">
        <f>IFERROR(__xludf.DUMMYFUNCTION("""COMPUTED_VALUE"""),"Danielle Roberts")</f>
        <v>Danielle Roberts</v>
      </c>
      <c r="T2607" s="6" t="str">
        <f>IFERROR(__xludf.DUMMYFUNCTION("""COMPUTED_VALUE"""),"droberts@readingschools.org")</f>
        <v>droberts@readingschools.org</v>
      </c>
      <c r="U2607" s="6" t="str">
        <f>IFERROR(__xludf.DUMMYFUNCTION("""COMPUTED_VALUE"""),"5")</f>
        <v>5</v>
      </c>
      <c r="V2607" s="6" t="str">
        <f>IFERROR(__xludf.DUMMYFUNCTION("""COMPUTED_VALUE"""),"English")</f>
        <v>English</v>
      </c>
      <c r="W2607" s="6" t="str">
        <f>IFERROR(__xludf.DUMMYFUNCTION("""COMPUTED_VALUE"""),"[]")</f>
        <v>[]</v>
      </c>
      <c r="X2607" s="6" t="str">
        <f>IFERROR(__xludf.DUMMYFUNCTION("""COMPUTED_VALUE"""),"Enrolled")</f>
        <v>Enrolled</v>
      </c>
    </row>
    <row r="2608">
      <c r="A2608" s="6" t="str">
        <f>IFERROR(__xludf.DUMMYFUNCTION("""COMPUTED_VALUE"""),"056-5380")</f>
        <v>056-5380</v>
      </c>
      <c r="B2608" s="6" t="str">
        <f>IFERROR(__xludf.DUMMYFUNCTION("""COMPUTED_VALUE"""),"56")</f>
        <v>56</v>
      </c>
      <c r="C2608" s="6" t="str">
        <f>IFERROR(__xludf.DUMMYFUNCTION("""COMPUTED_VALUE"""),"5380")</f>
        <v>5380</v>
      </c>
      <c r="D2608" s="6" t="str">
        <f>IFERROR(__xludf.DUMMYFUNCTION("""COMPUTED_VALUE"""),"Paisley")</f>
        <v>Paisley</v>
      </c>
      <c r="E2608" s="6" t="str">
        <f>IFERROR(__xludf.DUMMYFUNCTION("""COMPUTED_VALUE"""),"")</f>
        <v/>
      </c>
      <c r="F2608" s="6" t="str">
        <f>IFERROR(__xludf.DUMMYFUNCTION("""COMPUTED_VALUE"""),"Bowman")</f>
        <v>Bowman</v>
      </c>
      <c r="G2608" s="6" t="str">
        <f>IFERROR(__xludf.DUMMYFUNCTION("""COMPUTED_VALUE"""),"06/14/2015")</f>
        <v>06/14/2015</v>
      </c>
      <c r="H2608" s="6" t="str">
        <f>IFERROR(__xludf.DUMMYFUNCTION("""COMPUTED_VALUE"""),"Self Identify")</f>
        <v>Self Identify</v>
      </c>
      <c r="I2608" s="6" t="str">
        <f>IFERROR(__xludf.DUMMYFUNCTION("""COMPUTED_VALUE"""),"Level 2")</f>
        <v>Level 2</v>
      </c>
      <c r="J2608" s="6" t="str">
        <f>IFERROR(__xludf.DUMMYFUNCTION("""COMPUTED_VALUE"""),"5")</f>
        <v>5</v>
      </c>
      <c r="K2608" s="6" t="str">
        <f>IFERROR(__xludf.DUMMYFUNCTION("""COMPUTED_VALUE"""),"paisley.bowman@2hourlearning.com")</f>
        <v>paisley.bowman@2hourlearning.com</v>
      </c>
      <c r="L2608" s="6" t="str">
        <f>IFERROR(__xludf.DUMMYFUNCTION("""COMPUTED_VALUE"""),"Reading Community City School District")</f>
        <v>Reading Community City School District</v>
      </c>
      <c r="M2608" s="6" t="str">
        <f>IFERROR(__xludf.DUMMYFUNCTION("""COMPUTED_VALUE"""),"Elementary")</f>
        <v>Elementary</v>
      </c>
      <c r="N2608" s="6" t="str">
        <f>IFERROR(__xludf.DUMMYFUNCTION("""COMPUTED_VALUE"""),"")</f>
        <v/>
      </c>
      <c r="O2608" s="87" t="str">
        <f>IFERROR(__xludf.DUMMYFUNCTION("""COMPUTED_VALUE"""),"https://drive.google.com/drive/folders/10T2cTQHqEJZqE-st6uFKPoI?usp=share_link")</f>
        <v>https://drive.google.com/drive/folders/10T2cTQHqEJZqE-st6uFKPoI?usp=share_link</v>
      </c>
      <c r="P2608" s="6" t="str">
        <f>IFERROR(__xludf.DUMMYFUNCTION("""COMPUTED_VALUE"""),"Paisley Bowman")</f>
        <v>Paisley Bowman</v>
      </c>
      <c r="Q2608" s="6" t="str">
        <f>IFERROR(__xludf.DUMMYFUNCTION("""COMPUTED_VALUE"""),"L2")</f>
        <v>L2</v>
      </c>
      <c r="R2608" s="6">
        <f>IFERROR(__xludf.DUMMYFUNCTION("""COMPUTED_VALUE"""),2.0)</f>
        <v>2</v>
      </c>
      <c r="S2608" s="6" t="str">
        <f>IFERROR(__xludf.DUMMYFUNCTION("""COMPUTED_VALUE"""),"Danielle Roberts")</f>
        <v>Danielle Roberts</v>
      </c>
      <c r="T2608" s="6" t="str">
        <f>IFERROR(__xludf.DUMMYFUNCTION("""COMPUTED_VALUE"""),"droberts@readingschools.org")</f>
        <v>droberts@readingschools.org</v>
      </c>
      <c r="U2608" s="6" t="str">
        <f>IFERROR(__xludf.DUMMYFUNCTION("""COMPUTED_VALUE"""),"5")</f>
        <v>5</v>
      </c>
      <c r="V2608" s="6" t="str">
        <f>IFERROR(__xludf.DUMMYFUNCTION("""COMPUTED_VALUE"""),"English")</f>
        <v>English</v>
      </c>
      <c r="W2608" s="6" t="str">
        <f>IFERROR(__xludf.DUMMYFUNCTION("""COMPUTED_VALUE"""),"[]")</f>
        <v>[]</v>
      </c>
      <c r="X2608" s="6" t="str">
        <f>IFERROR(__xludf.DUMMYFUNCTION("""COMPUTED_VALUE"""),"Enrolled")</f>
        <v>Enrolled</v>
      </c>
    </row>
    <row r="2609">
      <c r="A2609" s="6" t="str">
        <f>IFERROR(__xludf.DUMMYFUNCTION("""COMPUTED_VALUE"""),"056-5381")</f>
        <v>056-5381</v>
      </c>
      <c r="B2609" s="6" t="str">
        <f>IFERROR(__xludf.DUMMYFUNCTION("""COMPUTED_VALUE"""),"56")</f>
        <v>56</v>
      </c>
      <c r="C2609" s="6" t="str">
        <f>IFERROR(__xludf.DUMMYFUNCTION("""COMPUTED_VALUE"""),"5381")</f>
        <v>5381</v>
      </c>
      <c r="D2609" s="6" t="str">
        <f>IFERROR(__xludf.DUMMYFUNCTION("""COMPUTED_VALUE"""),"Ruben")</f>
        <v>Ruben</v>
      </c>
      <c r="E2609" s="6" t="str">
        <f>IFERROR(__xludf.DUMMYFUNCTION("""COMPUTED_VALUE"""),"")</f>
        <v/>
      </c>
      <c r="F2609" s="6" t="str">
        <f>IFERROR(__xludf.DUMMYFUNCTION("""COMPUTED_VALUE"""),"Bannie")</f>
        <v>Bannie</v>
      </c>
      <c r="G2609" s="6" t="str">
        <f>IFERROR(__xludf.DUMMYFUNCTION("""COMPUTED_VALUE"""),"10/05/2014")</f>
        <v>10/05/2014</v>
      </c>
      <c r="H2609" s="6" t="str">
        <f>IFERROR(__xludf.DUMMYFUNCTION("""COMPUTED_VALUE"""),"Self Identify")</f>
        <v>Self Identify</v>
      </c>
      <c r="I2609" s="6" t="str">
        <f>IFERROR(__xludf.DUMMYFUNCTION("""COMPUTED_VALUE"""),"Level 2")</f>
        <v>Level 2</v>
      </c>
      <c r="J2609" s="6" t="str">
        <f>IFERROR(__xludf.DUMMYFUNCTION("""COMPUTED_VALUE"""),"5")</f>
        <v>5</v>
      </c>
      <c r="K2609" s="6" t="str">
        <f>IFERROR(__xludf.DUMMYFUNCTION("""COMPUTED_VALUE"""),"ruben.bannie@2hourlearning.com")</f>
        <v>ruben.bannie@2hourlearning.com</v>
      </c>
      <c r="L2609" s="6" t="str">
        <f>IFERROR(__xludf.DUMMYFUNCTION("""COMPUTED_VALUE"""),"Reading Community City School District")</f>
        <v>Reading Community City School District</v>
      </c>
      <c r="M2609" s="6" t="str">
        <f>IFERROR(__xludf.DUMMYFUNCTION("""COMPUTED_VALUE"""),"Elementary")</f>
        <v>Elementary</v>
      </c>
      <c r="N2609" s="6" t="str">
        <f>IFERROR(__xludf.DUMMYFUNCTION("""COMPUTED_VALUE"""),"")</f>
        <v/>
      </c>
      <c r="O2609" s="87" t="str">
        <f>IFERROR(__xludf.DUMMYFUNCTION("""COMPUTED_VALUE"""),"https://drive.google.com/drive/folders/10T2cTQHqEJZqE-st6uFKPoI?usp=share_link")</f>
        <v>https://drive.google.com/drive/folders/10T2cTQHqEJZqE-st6uFKPoI?usp=share_link</v>
      </c>
      <c r="P2609" s="6" t="str">
        <f>IFERROR(__xludf.DUMMYFUNCTION("""COMPUTED_VALUE"""),"Ruben Bannie")</f>
        <v>Ruben Bannie</v>
      </c>
      <c r="Q2609" s="6" t="str">
        <f>IFERROR(__xludf.DUMMYFUNCTION("""COMPUTED_VALUE"""),"L2")</f>
        <v>L2</v>
      </c>
      <c r="R2609" s="6">
        <f>IFERROR(__xludf.DUMMYFUNCTION("""COMPUTED_VALUE"""),2.0)</f>
        <v>2</v>
      </c>
      <c r="S2609" s="6" t="str">
        <f>IFERROR(__xludf.DUMMYFUNCTION("""COMPUTED_VALUE"""),"Danielle Roberts")</f>
        <v>Danielle Roberts</v>
      </c>
      <c r="T2609" s="6" t="str">
        <f>IFERROR(__xludf.DUMMYFUNCTION("""COMPUTED_VALUE"""),"droberts@readingschools.org")</f>
        <v>droberts@readingschools.org</v>
      </c>
      <c r="U2609" s="6" t="str">
        <f>IFERROR(__xludf.DUMMYFUNCTION("""COMPUTED_VALUE"""),"5")</f>
        <v>5</v>
      </c>
      <c r="V2609" s="6" t="str">
        <f>IFERROR(__xludf.DUMMYFUNCTION("""COMPUTED_VALUE"""),"English")</f>
        <v>English</v>
      </c>
      <c r="W2609" s="6" t="str">
        <f>IFERROR(__xludf.DUMMYFUNCTION("""COMPUTED_VALUE"""),"[]")</f>
        <v>[]</v>
      </c>
      <c r="X2609" s="6" t="str">
        <f>IFERROR(__xludf.DUMMYFUNCTION("""COMPUTED_VALUE"""),"Enrolled")</f>
        <v>Enrolled</v>
      </c>
    </row>
    <row r="2610">
      <c r="A2610" s="6" t="str">
        <f>IFERROR(__xludf.DUMMYFUNCTION("""COMPUTED_VALUE"""),"056-5382")</f>
        <v>056-5382</v>
      </c>
      <c r="B2610" s="6" t="str">
        <f>IFERROR(__xludf.DUMMYFUNCTION("""COMPUTED_VALUE"""),"56")</f>
        <v>56</v>
      </c>
      <c r="C2610" s="6" t="str">
        <f>IFERROR(__xludf.DUMMYFUNCTION("""COMPUTED_VALUE"""),"5382")</f>
        <v>5382</v>
      </c>
      <c r="D2610" s="6" t="str">
        <f>IFERROR(__xludf.DUMMYFUNCTION("""COMPUTED_VALUE"""),"Ryann")</f>
        <v>Ryann</v>
      </c>
      <c r="E2610" s="6" t="str">
        <f>IFERROR(__xludf.DUMMYFUNCTION("""COMPUTED_VALUE"""),"")</f>
        <v/>
      </c>
      <c r="F2610" s="6" t="str">
        <f>IFERROR(__xludf.DUMMYFUNCTION("""COMPUTED_VALUE"""),"McCormick")</f>
        <v>McCormick</v>
      </c>
      <c r="G2610" s="6" t="str">
        <f>IFERROR(__xludf.DUMMYFUNCTION("""COMPUTED_VALUE"""),"09/14/2015")</f>
        <v>09/14/2015</v>
      </c>
      <c r="H2610" s="6" t="str">
        <f>IFERROR(__xludf.DUMMYFUNCTION("""COMPUTED_VALUE"""),"Self Identify")</f>
        <v>Self Identify</v>
      </c>
      <c r="I2610" s="6" t="str">
        <f>IFERROR(__xludf.DUMMYFUNCTION("""COMPUTED_VALUE"""),"Level 2")</f>
        <v>Level 2</v>
      </c>
      <c r="J2610" s="6" t="str">
        <f>IFERROR(__xludf.DUMMYFUNCTION("""COMPUTED_VALUE"""),"5")</f>
        <v>5</v>
      </c>
      <c r="K2610" s="6" t="str">
        <f>IFERROR(__xludf.DUMMYFUNCTION("""COMPUTED_VALUE"""),"ryann.mccormick@2hourlearning.com")</f>
        <v>ryann.mccormick@2hourlearning.com</v>
      </c>
      <c r="L2610" s="6" t="str">
        <f>IFERROR(__xludf.DUMMYFUNCTION("""COMPUTED_VALUE"""),"Reading Community City School District")</f>
        <v>Reading Community City School District</v>
      </c>
      <c r="M2610" s="6" t="str">
        <f>IFERROR(__xludf.DUMMYFUNCTION("""COMPUTED_VALUE"""),"Elementary")</f>
        <v>Elementary</v>
      </c>
      <c r="N2610" s="6" t="str">
        <f>IFERROR(__xludf.DUMMYFUNCTION("""COMPUTED_VALUE"""),"")</f>
        <v/>
      </c>
      <c r="O2610" s="87" t="str">
        <f>IFERROR(__xludf.DUMMYFUNCTION("""COMPUTED_VALUE"""),"https://drive.google.com/drive/folders/10T2cTQHqEJZqE-st6uFKPoI?usp=share_link")</f>
        <v>https://drive.google.com/drive/folders/10T2cTQHqEJZqE-st6uFKPoI?usp=share_link</v>
      </c>
      <c r="P2610" s="6" t="str">
        <f>IFERROR(__xludf.DUMMYFUNCTION("""COMPUTED_VALUE"""),"Ryann McCormick")</f>
        <v>Ryann McCormick</v>
      </c>
      <c r="Q2610" s="6" t="str">
        <f>IFERROR(__xludf.DUMMYFUNCTION("""COMPUTED_VALUE"""),"L2")</f>
        <v>L2</v>
      </c>
      <c r="R2610" s="6">
        <f>IFERROR(__xludf.DUMMYFUNCTION("""COMPUTED_VALUE"""),2.0)</f>
        <v>2</v>
      </c>
      <c r="S2610" s="6" t="str">
        <f>IFERROR(__xludf.DUMMYFUNCTION("""COMPUTED_VALUE"""),"Danielle Roberts")</f>
        <v>Danielle Roberts</v>
      </c>
      <c r="T2610" s="6" t="str">
        <f>IFERROR(__xludf.DUMMYFUNCTION("""COMPUTED_VALUE"""),"droberts@readingschools.org")</f>
        <v>droberts@readingschools.org</v>
      </c>
      <c r="U2610" s="6" t="str">
        <f>IFERROR(__xludf.DUMMYFUNCTION("""COMPUTED_VALUE"""),"5")</f>
        <v>5</v>
      </c>
      <c r="V2610" s="6" t="str">
        <f>IFERROR(__xludf.DUMMYFUNCTION("""COMPUTED_VALUE"""),"English")</f>
        <v>English</v>
      </c>
      <c r="W2610" s="6" t="str">
        <f>IFERROR(__xludf.DUMMYFUNCTION("""COMPUTED_VALUE"""),"[]")</f>
        <v>[]</v>
      </c>
      <c r="X2610" s="6" t="str">
        <f>IFERROR(__xludf.DUMMYFUNCTION("""COMPUTED_VALUE"""),"Enrolled")</f>
        <v>Enrolled</v>
      </c>
    </row>
    <row r="2611">
      <c r="A2611" s="6" t="str">
        <f>IFERROR(__xludf.DUMMYFUNCTION("""COMPUTED_VALUE"""),"056-5383")</f>
        <v>056-5383</v>
      </c>
      <c r="B2611" s="6" t="str">
        <f>IFERROR(__xludf.DUMMYFUNCTION("""COMPUTED_VALUE"""),"56")</f>
        <v>56</v>
      </c>
      <c r="C2611" s="6" t="str">
        <f>IFERROR(__xludf.DUMMYFUNCTION("""COMPUTED_VALUE"""),"5383")</f>
        <v>5383</v>
      </c>
      <c r="D2611" s="6" t="str">
        <f>IFERROR(__xludf.DUMMYFUNCTION("""COMPUTED_VALUE"""),"Adam")</f>
        <v>Adam</v>
      </c>
      <c r="E2611" s="6" t="str">
        <f>IFERROR(__xludf.DUMMYFUNCTION("""COMPUTED_VALUE"""),"")</f>
        <v/>
      </c>
      <c r="F2611" s="6" t="str">
        <f>IFERROR(__xludf.DUMMYFUNCTION("""COMPUTED_VALUE"""),"Langenbrunner")</f>
        <v>Langenbrunner</v>
      </c>
      <c r="G2611" s="6" t="str">
        <f>IFERROR(__xludf.DUMMYFUNCTION("""COMPUTED_VALUE"""),"03/14/2014")</f>
        <v>03/14/2014</v>
      </c>
      <c r="H2611" s="6" t="str">
        <f>IFERROR(__xludf.DUMMYFUNCTION("""COMPUTED_VALUE"""),"Self Identify")</f>
        <v>Self Identify</v>
      </c>
      <c r="I2611" s="6" t="str">
        <f>IFERROR(__xludf.DUMMYFUNCTION("""COMPUTED_VALUE"""),"Middle School")</f>
        <v>Middle School</v>
      </c>
      <c r="J2611" s="6" t="str">
        <f>IFERROR(__xludf.DUMMYFUNCTION("""COMPUTED_VALUE"""),"6")</f>
        <v>6</v>
      </c>
      <c r="K2611" s="6" t="str">
        <f>IFERROR(__xludf.DUMMYFUNCTION("""COMPUTED_VALUE"""),"adam.langenbrunner@2hourlearning.com")</f>
        <v>adam.langenbrunner@2hourlearning.com</v>
      </c>
      <c r="L2611" s="6" t="str">
        <f>IFERROR(__xludf.DUMMYFUNCTION("""COMPUTED_VALUE"""),"Reading Community City School District")</f>
        <v>Reading Community City School District</v>
      </c>
      <c r="M2611" s="6" t="str">
        <f>IFERROR(__xludf.DUMMYFUNCTION("""COMPUTED_VALUE"""),"Elementary")</f>
        <v>Elementary</v>
      </c>
      <c r="N2611" s="6" t="str">
        <f>IFERROR(__xludf.DUMMYFUNCTION("""COMPUTED_VALUE"""),"")</f>
        <v/>
      </c>
      <c r="O2611" s="87" t="str">
        <f>IFERROR(__xludf.DUMMYFUNCTION("""COMPUTED_VALUE"""),"https://drive.google.com/drive/folders/10T2cTQHqEJZqE-st6uFKPoI?usp=share_link")</f>
        <v>https://drive.google.com/drive/folders/10T2cTQHqEJZqE-st6uFKPoI?usp=share_link</v>
      </c>
      <c r="P2611" s="6" t="str">
        <f>IFERROR(__xludf.DUMMYFUNCTION("""COMPUTED_VALUE"""),"Adam Langenbrunner")</f>
        <v>Adam Langenbrunner</v>
      </c>
      <c r="Q2611" s="6" t="str">
        <f>IFERROR(__xludf.DUMMYFUNCTION("""COMPUTED_VALUE"""),"MS")</f>
        <v>MS</v>
      </c>
      <c r="R2611" s="6">
        <f>IFERROR(__xludf.DUMMYFUNCTION("""COMPUTED_VALUE"""),0.0)</f>
        <v>0</v>
      </c>
      <c r="S2611" s="6" t="str">
        <f>IFERROR(__xludf.DUMMYFUNCTION("""COMPUTED_VALUE"""),"Toni Tumbusch")</f>
        <v>Toni Tumbusch</v>
      </c>
      <c r="T2611" s="6" t="str">
        <f>IFERROR(__xludf.DUMMYFUNCTION("""COMPUTED_VALUE"""),"ttumbusch@readingschools.org")</f>
        <v>ttumbusch@readingschools.org</v>
      </c>
      <c r="U2611" s="6" t="str">
        <f>IFERROR(__xludf.DUMMYFUNCTION("""COMPUTED_VALUE"""),"6")</f>
        <v>6</v>
      </c>
      <c r="V2611" s="6" t="str">
        <f>IFERROR(__xludf.DUMMYFUNCTION("""COMPUTED_VALUE"""),"English")</f>
        <v>English</v>
      </c>
      <c r="W2611" s="6" t="str">
        <f>IFERROR(__xludf.DUMMYFUNCTION("""COMPUTED_VALUE"""),"[]")</f>
        <v>[]</v>
      </c>
      <c r="X2611" s="6" t="str">
        <f>IFERROR(__xludf.DUMMYFUNCTION("""COMPUTED_VALUE"""),"Enrolled")</f>
        <v>Enrolled</v>
      </c>
    </row>
    <row r="2612">
      <c r="A2612" s="6" t="str">
        <f>IFERROR(__xludf.DUMMYFUNCTION("""COMPUTED_VALUE"""),"056-5384")</f>
        <v>056-5384</v>
      </c>
      <c r="B2612" s="6" t="str">
        <f>IFERROR(__xludf.DUMMYFUNCTION("""COMPUTED_VALUE"""),"56")</f>
        <v>56</v>
      </c>
      <c r="C2612" s="6" t="str">
        <f>IFERROR(__xludf.DUMMYFUNCTION("""COMPUTED_VALUE"""),"5384")</f>
        <v>5384</v>
      </c>
      <c r="D2612" s="6" t="str">
        <f>IFERROR(__xludf.DUMMYFUNCTION("""COMPUTED_VALUE"""),"Alexandra")</f>
        <v>Alexandra</v>
      </c>
      <c r="E2612" s="6" t="str">
        <f>IFERROR(__xludf.DUMMYFUNCTION("""COMPUTED_VALUE"""),"")</f>
        <v/>
      </c>
      <c r="F2612" s="6" t="str">
        <f>IFERROR(__xludf.DUMMYFUNCTION("""COMPUTED_VALUE"""),"Lewis")</f>
        <v>Lewis</v>
      </c>
      <c r="G2612" s="6" t="str">
        <f>IFERROR(__xludf.DUMMYFUNCTION("""COMPUTED_VALUE"""),"10/22/2013")</f>
        <v>10/22/2013</v>
      </c>
      <c r="H2612" s="6" t="str">
        <f>IFERROR(__xludf.DUMMYFUNCTION("""COMPUTED_VALUE"""),"Self Identify")</f>
        <v>Self Identify</v>
      </c>
      <c r="I2612" s="6" t="str">
        <f>IFERROR(__xludf.DUMMYFUNCTION("""COMPUTED_VALUE"""),"Middle School")</f>
        <v>Middle School</v>
      </c>
      <c r="J2612" s="6" t="str">
        <f>IFERROR(__xludf.DUMMYFUNCTION("""COMPUTED_VALUE"""),"6")</f>
        <v>6</v>
      </c>
      <c r="K2612" s="6" t="str">
        <f>IFERROR(__xludf.DUMMYFUNCTION("""COMPUTED_VALUE"""),"alexandra.lewis@2hourlearning.com")</f>
        <v>alexandra.lewis@2hourlearning.com</v>
      </c>
      <c r="L2612" s="6" t="str">
        <f>IFERROR(__xludf.DUMMYFUNCTION("""COMPUTED_VALUE"""),"Reading Community City School District")</f>
        <v>Reading Community City School District</v>
      </c>
      <c r="M2612" s="6" t="str">
        <f>IFERROR(__xludf.DUMMYFUNCTION("""COMPUTED_VALUE"""),"Elementary")</f>
        <v>Elementary</v>
      </c>
      <c r="N2612" s="6" t="str">
        <f>IFERROR(__xludf.DUMMYFUNCTION("""COMPUTED_VALUE"""),"")</f>
        <v/>
      </c>
      <c r="O2612" s="87" t="str">
        <f>IFERROR(__xludf.DUMMYFUNCTION("""COMPUTED_VALUE"""),"https://drive.google.com/drive/folders/10T2cTQHqEJZqE-st6uFKPoI?usp=share_link")</f>
        <v>https://drive.google.com/drive/folders/10T2cTQHqEJZqE-st6uFKPoI?usp=share_link</v>
      </c>
      <c r="P2612" s="6" t="str">
        <f>IFERROR(__xludf.DUMMYFUNCTION("""COMPUTED_VALUE"""),"Alexandra Lewis")</f>
        <v>Alexandra Lewis</v>
      </c>
      <c r="Q2612" s="6" t="str">
        <f>IFERROR(__xludf.DUMMYFUNCTION("""COMPUTED_VALUE"""),"MS")</f>
        <v>MS</v>
      </c>
      <c r="R2612" s="6">
        <f>IFERROR(__xludf.DUMMYFUNCTION("""COMPUTED_VALUE"""),0.0)</f>
        <v>0</v>
      </c>
      <c r="S2612" s="6" t="str">
        <f>IFERROR(__xludf.DUMMYFUNCTION("""COMPUTED_VALUE"""),"Toni Tumbusch")</f>
        <v>Toni Tumbusch</v>
      </c>
      <c r="T2612" s="6" t="str">
        <f>IFERROR(__xludf.DUMMYFUNCTION("""COMPUTED_VALUE"""),"ttumbusch@readingschools.org")</f>
        <v>ttumbusch@readingschools.org</v>
      </c>
      <c r="U2612" s="6" t="str">
        <f>IFERROR(__xludf.DUMMYFUNCTION("""COMPUTED_VALUE"""),"6")</f>
        <v>6</v>
      </c>
      <c r="V2612" s="6" t="str">
        <f>IFERROR(__xludf.DUMMYFUNCTION("""COMPUTED_VALUE"""),"English")</f>
        <v>English</v>
      </c>
      <c r="W2612" s="6" t="str">
        <f>IFERROR(__xludf.DUMMYFUNCTION("""COMPUTED_VALUE"""),"[]")</f>
        <v>[]</v>
      </c>
      <c r="X2612" s="6" t="str">
        <f>IFERROR(__xludf.DUMMYFUNCTION("""COMPUTED_VALUE"""),"Enrolled")</f>
        <v>Enrolled</v>
      </c>
    </row>
    <row r="2613">
      <c r="A2613" s="6" t="str">
        <f>IFERROR(__xludf.DUMMYFUNCTION("""COMPUTED_VALUE"""),"056-5385")</f>
        <v>056-5385</v>
      </c>
      <c r="B2613" s="6" t="str">
        <f>IFERROR(__xludf.DUMMYFUNCTION("""COMPUTED_VALUE"""),"56")</f>
        <v>56</v>
      </c>
      <c r="C2613" s="6" t="str">
        <f>IFERROR(__xludf.DUMMYFUNCTION("""COMPUTED_VALUE"""),"5385")</f>
        <v>5385</v>
      </c>
      <c r="D2613" s="6" t="str">
        <f>IFERROR(__xludf.DUMMYFUNCTION("""COMPUTED_VALUE"""),"Avery")</f>
        <v>Avery</v>
      </c>
      <c r="E2613" s="6" t="str">
        <f>IFERROR(__xludf.DUMMYFUNCTION("""COMPUTED_VALUE"""),"")</f>
        <v/>
      </c>
      <c r="F2613" s="6" t="str">
        <f>IFERROR(__xludf.DUMMYFUNCTION("""COMPUTED_VALUE"""),"Fletcher")</f>
        <v>Fletcher</v>
      </c>
      <c r="G2613" s="6" t="str">
        <f>IFERROR(__xludf.DUMMYFUNCTION("""COMPUTED_VALUE"""),"05/16/2014")</f>
        <v>05/16/2014</v>
      </c>
      <c r="H2613" s="6" t="str">
        <f>IFERROR(__xludf.DUMMYFUNCTION("""COMPUTED_VALUE"""),"Self Identify")</f>
        <v>Self Identify</v>
      </c>
      <c r="I2613" s="6" t="str">
        <f>IFERROR(__xludf.DUMMYFUNCTION("""COMPUTED_VALUE"""),"Middle School")</f>
        <v>Middle School</v>
      </c>
      <c r="J2613" s="6" t="str">
        <f>IFERROR(__xludf.DUMMYFUNCTION("""COMPUTED_VALUE"""),"6")</f>
        <v>6</v>
      </c>
      <c r="K2613" s="6" t="str">
        <f>IFERROR(__xludf.DUMMYFUNCTION("""COMPUTED_VALUE"""),"avery.fletcher@2hourlearning.com")</f>
        <v>avery.fletcher@2hourlearning.com</v>
      </c>
      <c r="L2613" s="6" t="str">
        <f>IFERROR(__xludf.DUMMYFUNCTION("""COMPUTED_VALUE"""),"Reading Community City School District")</f>
        <v>Reading Community City School District</v>
      </c>
      <c r="M2613" s="6" t="str">
        <f>IFERROR(__xludf.DUMMYFUNCTION("""COMPUTED_VALUE"""),"Elementary")</f>
        <v>Elementary</v>
      </c>
      <c r="N2613" s="6" t="str">
        <f>IFERROR(__xludf.DUMMYFUNCTION("""COMPUTED_VALUE"""),"")</f>
        <v/>
      </c>
      <c r="O2613" s="87" t="str">
        <f>IFERROR(__xludf.DUMMYFUNCTION("""COMPUTED_VALUE"""),"https://drive.google.com/drive/folders/10T2cTQHqEJZqE-st6uFKPoI?usp=share_link")</f>
        <v>https://drive.google.com/drive/folders/10T2cTQHqEJZqE-st6uFKPoI?usp=share_link</v>
      </c>
      <c r="P2613" s="6" t="str">
        <f>IFERROR(__xludf.DUMMYFUNCTION("""COMPUTED_VALUE"""),"Avery Fletcher")</f>
        <v>Avery Fletcher</v>
      </c>
      <c r="Q2613" s="6" t="str">
        <f>IFERROR(__xludf.DUMMYFUNCTION("""COMPUTED_VALUE"""),"MS")</f>
        <v>MS</v>
      </c>
      <c r="R2613" s="6">
        <f>IFERROR(__xludf.DUMMYFUNCTION("""COMPUTED_VALUE"""),0.0)</f>
        <v>0</v>
      </c>
      <c r="S2613" s="6" t="str">
        <f>IFERROR(__xludf.DUMMYFUNCTION("""COMPUTED_VALUE"""),"Toni Tumbusch")</f>
        <v>Toni Tumbusch</v>
      </c>
      <c r="T2613" s="6" t="str">
        <f>IFERROR(__xludf.DUMMYFUNCTION("""COMPUTED_VALUE"""),"ttumbusch@readingschools.org")</f>
        <v>ttumbusch@readingschools.org</v>
      </c>
      <c r="U2613" s="6" t="str">
        <f>IFERROR(__xludf.DUMMYFUNCTION("""COMPUTED_VALUE"""),"6")</f>
        <v>6</v>
      </c>
      <c r="V2613" s="6" t="str">
        <f>IFERROR(__xludf.DUMMYFUNCTION("""COMPUTED_VALUE"""),"English")</f>
        <v>English</v>
      </c>
      <c r="W2613" s="6" t="str">
        <f>IFERROR(__xludf.DUMMYFUNCTION("""COMPUTED_VALUE"""),"[]")</f>
        <v>[]</v>
      </c>
      <c r="X2613" s="6" t="str">
        <f>IFERROR(__xludf.DUMMYFUNCTION("""COMPUTED_VALUE"""),"Enrolled")</f>
        <v>Enrolled</v>
      </c>
    </row>
    <row r="2614">
      <c r="A2614" s="6" t="str">
        <f>IFERROR(__xludf.DUMMYFUNCTION("""COMPUTED_VALUE"""),"056-5386")</f>
        <v>056-5386</v>
      </c>
      <c r="B2614" s="6" t="str">
        <f>IFERROR(__xludf.DUMMYFUNCTION("""COMPUTED_VALUE"""),"56")</f>
        <v>56</v>
      </c>
      <c r="C2614" s="6" t="str">
        <f>IFERROR(__xludf.DUMMYFUNCTION("""COMPUTED_VALUE"""),"5386")</f>
        <v>5386</v>
      </c>
      <c r="D2614" s="6" t="str">
        <f>IFERROR(__xludf.DUMMYFUNCTION("""COMPUTED_VALUE"""),"Caroline")</f>
        <v>Caroline</v>
      </c>
      <c r="E2614" s="6" t="str">
        <f>IFERROR(__xludf.DUMMYFUNCTION("""COMPUTED_VALUE"""),"")</f>
        <v/>
      </c>
      <c r="F2614" s="6" t="str">
        <f>IFERROR(__xludf.DUMMYFUNCTION("""COMPUTED_VALUE"""),"Hall")</f>
        <v>Hall</v>
      </c>
      <c r="G2614" s="6" t="str">
        <f>IFERROR(__xludf.DUMMYFUNCTION("""COMPUTED_VALUE"""),"11/23/2013")</f>
        <v>11/23/2013</v>
      </c>
      <c r="H2614" s="6" t="str">
        <f>IFERROR(__xludf.DUMMYFUNCTION("""COMPUTED_VALUE"""),"Self Identify")</f>
        <v>Self Identify</v>
      </c>
      <c r="I2614" s="6" t="str">
        <f>IFERROR(__xludf.DUMMYFUNCTION("""COMPUTED_VALUE"""),"Middle School")</f>
        <v>Middle School</v>
      </c>
      <c r="J2614" s="6" t="str">
        <f>IFERROR(__xludf.DUMMYFUNCTION("""COMPUTED_VALUE"""),"6")</f>
        <v>6</v>
      </c>
      <c r="K2614" s="6" t="str">
        <f>IFERROR(__xludf.DUMMYFUNCTION("""COMPUTED_VALUE"""),"caroline.hall@2hourlearning.com")</f>
        <v>caroline.hall@2hourlearning.com</v>
      </c>
      <c r="L2614" s="6" t="str">
        <f>IFERROR(__xludf.DUMMYFUNCTION("""COMPUTED_VALUE"""),"Reading Community City School District")</f>
        <v>Reading Community City School District</v>
      </c>
      <c r="M2614" s="6" t="str">
        <f>IFERROR(__xludf.DUMMYFUNCTION("""COMPUTED_VALUE"""),"Elementary")</f>
        <v>Elementary</v>
      </c>
      <c r="N2614" s="6" t="str">
        <f>IFERROR(__xludf.DUMMYFUNCTION("""COMPUTED_VALUE"""),"")</f>
        <v/>
      </c>
      <c r="O2614" s="87" t="str">
        <f>IFERROR(__xludf.DUMMYFUNCTION("""COMPUTED_VALUE"""),"https://drive.google.com/drive/folders/10T2cTQHqEJZqE-st6uFKPoI?usp=share_link")</f>
        <v>https://drive.google.com/drive/folders/10T2cTQHqEJZqE-st6uFKPoI?usp=share_link</v>
      </c>
      <c r="P2614" s="6" t="str">
        <f>IFERROR(__xludf.DUMMYFUNCTION("""COMPUTED_VALUE"""),"Caroline Hall")</f>
        <v>Caroline Hall</v>
      </c>
      <c r="Q2614" s="6" t="str">
        <f>IFERROR(__xludf.DUMMYFUNCTION("""COMPUTED_VALUE"""),"MS")</f>
        <v>MS</v>
      </c>
      <c r="R2614" s="6">
        <f>IFERROR(__xludf.DUMMYFUNCTION("""COMPUTED_VALUE"""),0.0)</f>
        <v>0</v>
      </c>
      <c r="S2614" s="6" t="str">
        <f>IFERROR(__xludf.DUMMYFUNCTION("""COMPUTED_VALUE"""),"Toni Tumbusch")</f>
        <v>Toni Tumbusch</v>
      </c>
      <c r="T2614" s="6" t="str">
        <f>IFERROR(__xludf.DUMMYFUNCTION("""COMPUTED_VALUE"""),"ttumbusch@readingschools.org")</f>
        <v>ttumbusch@readingschools.org</v>
      </c>
      <c r="U2614" s="6" t="str">
        <f>IFERROR(__xludf.DUMMYFUNCTION("""COMPUTED_VALUE"""),"6")</f>
        <v>6</v>
      </c>
      <c r="V2614" s="6" t="str">
        <f>IFERROR(__xludf.DUMMYFUNCTION("""COMPUTED_VALUE"""),"English")</f>
        <v>English</v>
      </c>
      <c r="W2614" s="6" t="str">
        <f>IFERROR(__xludf.DUMMYFUNCTION("""COMPUTED_VALUE"""),"[]")</f>
        <v>[]</v>
      </c>
      <c r="X2614" s="6" t="str">
        <f>IFERROR(__xludf.DUMMYFUNCTION("""COMPUTED_VALUE"""),"Enrolled")</f>
        <v>Enrolled</v>
      </c>
    </row>
    <row r="2615">
      <c r="A2615" s="6" t="str">
        <f>IFERROR(__xludf.DUMMYFUNCTION("""COMPUTED_VALUE"""),"056-5387")</f>
        <v>056-5387</v>
      </c>
      <c r="B2615" s="6" t="str">
        <f>IFERROR(__xludf.DUMMYFUNCTION("""COMPUTED_VALUE"""),"56")</f>
        <v>56</v>
      </c>
      <c r="C2615" s="6" t="str">
        <f>IFERROR(__xludf.DUMMYFUNCTION("""COMPUTED_VALUE"""),"5387")</f>
        <v>5387</v>
      </c>
      <c r="D2615" s="6" t="str">
        <f>IFERROR(__xludf.DUMMYFUNCTION("""COMPUTED_VALUE"""),"Dalton")</f>
        <v>Dalton</v>
      </c>
      <c r="E2615" s="6" t="str">
        <f>IFERROR(__xludf.DUMMYFUNCTION("""COMPUTED_VALUE"""),"")</f>
        <v/>
      </c>
      <c r="F2615" s="6" t="str">
        <f>IFERROR(__xludf.DUMMYFUNCTION("""COMPUTED_VALUE"""),"Sickinger")</f>
        <v>Sickinger</v>
      </c>
      <c r="G2615" s="6" t="str">
        <f>IFERROR(__xludf.DUMMYFUNCTION("""COMPUTED_VALUE"""),"07/31/2014")</f>
        <v>07/31/2014</v>
      </c>
      <c r="H2615" s="6" t="str">
        <f>IFERROR(__xludf.DUMMYFUNCTION("""COMPUTED_VALUE"""),"Self Identify")</f>
        <v>Self Identify</v>
      </c>
      <c r="I2615" s="6" t="str">
        <f>IFERROR(__xludf.DUMMYFUNCTION("""COMPUTED_VALUE"""),"Middle School")</f>
        <v>Middle School</v>
      </c>
      <c r="J2615" s="6" t="str">
        <f>IFERROR(__xludf.DUMMYFUNCTION("""COMPUTED_VALUE"""),"6")</f>
        <v>6</v>
      </c>
      <c r="K2615" s="6" t="str">
        <f>IFERROR(__xludf.DUMMYFUNCTION("""COMPUTED_VALUE"""),"dalton.sickinger@2hourlearning.com")</f>
        <v>dalton.sickinger@2hourlearning.com</v>
      </c>
      <c r="L2615" s="6" t="str">
        <f>IFERROR(__xludf.DUMMYFUNCTION("""COMPUTED_VALUE"""),"Reading Community City School District")</f>
        <v>Reading Community City School District</v>
      </c>
      <c r="M2615" s="6" t="str">
        <f>IFERROR(__xludf.DUMMYFUNCTION("""COMPUTED_VALUE"""),"Elementary")</f>
        <v>Elementary</v>
      </c>
      <c r="N2615" s="6" t="str">
        <f>IFERROR(__xludf.DUMMYFUNCTION("""COMPUTED_VALUE"""),"")</f>
        <v/>
      </c>
      <c r="O2615" s="87" t="str">
        <f>IFERROR(__xludf.DUMMYFUNCTION("""COMPUTED_VALUE"""),"https://drive.google.com/drive/folders/10T2cTQHqEJZqE-st6uFKPoI?usp=share_link")</f>
        <v>https://drive.google.com/drive/folders/10T2cTQHqEJZqE-st6uFKPoI?usp=share_link</v>
      </c>
      <c r="P2615" s="6" t="str">
        <f>IFERROR(__xludf.DUMMYFUNCTION("""COMPUTED_VALUE"""),"Dalton Sickinger")</f>
        <v>Dalton Sickinger</v>
      </c>
      <c r="Q2615" s="6" t="str">
        <f>IFERROR(__xludf.DUMMYFUNCTION("""COMPUTED_VALUE"""),"MS")</f>
        <v>MS</v>
      </c>
      <c r="R2615" s="6">
        <f>IFERROR(__xludf.DUMMYFUNCTION("""COMPUTED_VALUE"""),0.0)</f>
        <v>0</v>
      </c>
      <c r="S2615" s="6" t="str">
        <f>IFERROR(__xludf.DUMMYFUNCTION("""COMPUTED_VALUE"""),"Toni Tumbusch")</f>
        <v>Toni Tumbusch</v>
      </c>
      <c r="T2615" s="6" t="str">
        <f>IFERROR(__xludf.DUMMYFUNCTION("""COMPUTED_VALUE"""),"ttumbusch@readingschools.org")</f>
        <v>ttumbusch@readingschools.org</v>
      </c>
      <c r="U2615" s="6" t="str">
        <f>IFERROR(__xludf.DUMMYFUNCTION("""COMPUTED_VALUE"""),"6")</f>
        <v>6</v>
      </c>
      <c r="V2615" s="6" t="str">
        <f>IFERROR(__xludf.DUMMYFUNCTION("""COMPUTED_VALUE"""),"English")</f>
        <v>English</v>
      </c>
      <c r="W2615" s="6" t="str">
        <f>IFERROR(__xludf.DUMMYFUNCTION("""COMPUTED_VALUE"""),"[]")</f>
        <v>[]</v>
      </c>
      <c r="X2615" s="6" t="str">
        <f>IFERROR(__xludf.DUMMYFUNCTION("""COMPUTED_VALUE"""),"Enrolled")</f>
        <v>Enrolled</v>
      </c>
    </row>
    <row r="2616">
      <c r="A2616" s="6" t="str">
        <f>IFERROR(__xludf.DUMMYFUNCTION("""COMPUTED_VALUE"""),"056-5388")</f>
        <v>056-5388</v>
      </c>
      <c r="B2616" s="6" t="str">
        <f>IFERROR(__xludf.DUMMYFUNCTION("""COMPUTED_VALUE"""),"56")</f>
        <v>56</v>
      </c>
      <c r="C2616" s="6" t="str">
        <f>IFERROR(__xludf.DUMMYFUNCTION("""COMPUTED_VALUE"""),"5388")</f>
        <v>5388</v>
      </c>
      <c r="D2616" s="6" t="str">
        <f>IFERROR(__xludf.DUMMYFUNCTION("""COMPUTED_VALUE"""),"Darien")</f>
        <v>Darien</v>
      </c>
      <c r="E2616" s="6" t="str">
        <f>IFERROR(__xludf.DUMMYFUNCTION("""COMPUTED_VALUE"""),"")</f>
        <v/>
      </c>
      <c r="F2616" s="6" t="str">
        <f>IFERROR(__xludf.DUMMYFUNCTION("""COMPUTED_VALUE"""),"French")</f>
        <v>French</v>
      </c>
      <c r="G2616" s="6" t="str">
        <f>IFERROR(__xludf.DUMMYFUNCTION("""COMPUTED_VALUE"""),"02/27/2013")</f>
        <v>02/27/2013</v>
      </c>
      <c r="H2616" s="6" t="str">
        <f>IFERROR(__xludf.DUMMYFUNCTION("""COMPUTED_VALUE"""),"Self Identify")</f>
        <v>Self Identify</v>
      </c>
      <c r="I2616" s="6" t="str">
        <f>IFERROR(__xludf.DUMMYFUNCTION("""COMPUTED_VALUE"""),"Middle School")</f>
        <v>Middle School</v>
      </c>
      <c r="J2616" s="6" t="str">
        <f>IFERROR(__xludf.DUMMYFUNCTION("""COMPUTED_VALUE"""),"6")</f>
        <v>6</v>
      </c>
      <c r="K2616" s="6" t="str">
        <f>IFERROR(__xludf.DUMMYFUNCTION("""COMPUTED_VALUE"""),"darien.french@2hourlearning.com")</f>
        <v>darien.french@2hourlearning.com</v>
      </c>
      <c r="L2616" s="6" t="str">
        <f>IFERROR(__xludf.DUMMYFUNCTION("""COMPUTED_VALUE"""),"Reading Community City School District")</f>
        <v>Reading Community City School District</v>
      </c>
      <c r="M2616" s="6" t="str">
        <f>IFERROR(__xludf.DUMMYFUNCTION("""COMPUTED_VALUE"""),"Elementary")</f>
        <v>Elementary</v>
      </c>
      <c r="N2616" s="6" t="str">
        <f>IFERROR(__xludf.DUMMYFUNCTION("""COMPUTED_VALUE"""),"")</f>
        <v/>
      </c>
      <c r="O2616" s="87" t="str">
        <f>IFERROR(__xludf.DUMMYFUNCTION("""COMPUTED_VALUE"""),"https://drive.google.com/drive/folders/10T2cTQHqEJZqE-st6uFKPoI?usp=share_link")</f>
        <v>https://drive.google.com/drive/folders/10T2cTQHqEJZqE-st6uFKPoI?usp=share_link</v>
      </c>
      <c r="P2616" s="6" t="str">
        <f>IFERROR(__xludf.DUMMYFUNCTION("""COMPUTED_VALUE"""),"Darien French")</f>
        <v>Darien French</v>
      </c>
      <c r="Q2616" s="6" t="str">
        <f>IFERROR(__xludf.DUMMYFUNCTION("""COMPUTED_VALUE"""),"MS")</f>
        <v>MS</v>
      </c>
      <c r="R2616" s="6">
        <f>IFERROR(__xludf.DUMMYFUNCTION("""COMPUTED_VALUE"""),0.0)</f>
        <v>0</v>
      </c>
      <c r="S2616" s="6" t="str">
        <f>IFERROR(__xludf.DUMMYFUNCTION("""COMPUTED_VALUE"""),"Toni Tumbusch")</f>
        <v>Toni Tumbusch</v>
      </c>
      <c r="T2616" s="6" t="str">
        <f>IFERROR(__xludf.DUMMYFUNCTION("""COMPUTED_VALUE"""),"ttumbusch@readingschools.org")</f>
        <v>ttumbusch@readingschools.org</v>
      </c>
      <c r="U2616" s="6" t="str">
        <f>IFERROR(__xludf.DUMMYFUNCTION("""COMPUTED_VALUE"""),"6")</f>
        <v>6</v>
      </c>
      <c r="V2616" s="6" t="str">
        <f>IFERROR(__xludf.DUMMYFUNCTION("""COMPUTED_VALUE"""),"English")</f>
        <v>English</v>
      </c>
      <c r="W2616" s="6" t="str">
        <f>IFERROR(__xludf.DUMMYFUNCTION("""COMPUTED_VALUE"""),"[]")</f>
        <v>[]</v>
      </c>
      <c r="X2616" s="6" t="str">
        <f>IFERROR(__xludf.DUMMYFUNCTION("""COMPUTED_VALUE"""),"Enrolled")</f>
        <v>Enrolled</v>
      </c>
    </row>
    <row r="2617">
      <c r="A2617" s="6" t="str">
        <f>IFERROR(__xludf.DUMMYFUNCTION("""COMPUTED_VALUE"""),"056-5389")</f>
        <v>056-5389</v>
      </c>
      <c r="B2617" s="6" t="str">
        <f>IFERROR(__xludf.DUMMYFUNCTION("""COMPUTED_VALUE"""),"56")</f>
        <v>56</v>
      </c>
      <c r="C2617" s="6" t="str">
        <f>IFERROR(__xludf.DUMMYFUNCTION("""COMPUTED_VALUE"""),"5389")</f>
        <v>5389</v>
      </c>
      <c r="D2617" s="6" t="str">
        <f>IFERROR(__xludf.DUMMYFUNCTION("""COMPUTED_VALUE"""),"Declan")</f>
        <v>Declan</v>
      </c>
      <c r="E2617" s="6" t="str">
        <f>IFERROR(__xludf.DUMMYFUNCTION("""COMPUTED_VALUE"""),"")</f>
        <v/>
      </c>
      <c r="F2617" s="6" t="str">
        <f>IFERROR(__xludf.DUMMYFUNCTION("""COMPUTED_VALUE"""),"Graham")</f>
        <v>Graham</v>
      </c>
      <c r="G2617" s="6" t="str">
        <f>IFERROR(__xludf.DUMMYFUNCTION("""COMPUTED_VALUE"""),"03/24/2014")</f>
        <v>03/24/2014</v>
      </c>
      <c r="H2617" s="6" t="str">
        <f>IFERROR(__xludf.DUMMYFUNCTION("""COMPUTED_VALUE"""),"Self Identify")</f>
        <v>Self Identify</v>
      </c>
      <c r="I2617" s="6" t="str">
        <f>IFERROR(__xludf.DUMMYFUNCTION("""COMPUTED_VALUE"""),"Middle School")</f>
        <v>Middle School</v>
      </c>
      <c r="J2617" s="6" t="str">
        <f>IFERROR(__xludf.DUMMYFUNCTION("""COMPUTED_VALUE"""),"6")</f>
        <v>6</v>
      </c>
      <c r="K2617" s="6" t="str">
        <f>IFERROR(__xludf.DUMMYFUNCTION("""COMPUTED_VALUE"""),"declan.graham@2hourlearning.com")</f>
        <v>declan.graham@2hourlearning.com</v>
      </c>
      <c r="L2617" s="6" t="str">
        <f>IFERROR(__xludf.DUMMYFUNCTION("""COMPUTED_VALUE"""),"Reading Community City School District")</f>
        <v>Reading Community City School District</v>
      </c>
      <c r="M2617" s="6" t="str">
        <f>IFERROR(__xludf.DUMMYFUNCTION("""COMPUTED_VALUE"""),"Elementary")</f>
        <v>Elementary</v>
      </c>
      <c r="N2617" s="6" t="str">
        <f>IFERROR(__xludf.DUMMYFUNCTION("""COMPUTED_VALUE"""),"")</f>
        <v/>
      </c>
      <c r="O2617" s="87" t="str">
        <f>IFERROR(__xludf.DUMMYFUNCTION("""COMPUTED_VALUE"""),"https://drive.google.com/drive/folders/10T2cTQHqEJZqE-st6uFKPoI?usp=share_link")</f>
        <v>https://drive.google.com/drive/folders/10T2cTQHqEJZqE-st6uFKPoI?usp=share_link</v>
      </c>
      <c r="P2617" s="6" t="str">
        <f>IFERROR(__xludf.DUMMYFUNCTION("""COMPUTED_VALUE"""),"Declan Graham")</f>
        <v>Declan Graham</v>
      </c>
      <c r="Q2617" s="6" t="str">
        <f>IFERROR(__xludf.DUMMYFUNCTION("""COMPUTED_VALUE"""),"MS")</f>
        <v>MS</v>
      </c>
      <c r="R2617" s="6">
        <f>IFERROR(__xludf.DUMMYFUNCTION("""COMPUTED_VALUE"""),0.0)</f>
        <v>0</v>
      </c>
      <c r="S2617" s="6" t="str">
        <f>IFERROR(__xludf.DUMMYFUNCTION("""COMPUTED_VALUE"""),"Toni Tumbusch")</f>
        <v>Toni Tumbusch</v>
      </c>
      <c r="T2617" s="6" t="str">
        <f>IFERROR(__xludf.DUMMYFUNCTION("""COMPUTED_VALUE"""),"ttumbusch@readingschools.org")</f>
        <v>ttumbusch@readingschools.org</v>
      </c>
      <c r="U2617" s="6" t="str">
        <f>IFERROR(__xludf.DUMMYFUNCTION("""COMPUTED_VALUE"""),"6")</f>
        <v>6</v>
      </c>
      <c r="V2617" s="6" t="str">
        <f>IFERROR(__xludf.DUMMYFUNCTION("""COMPUTED_VALUE"""),"English")</f>
        <v>English</v>
      </c>
      <c r="W2617" s="6" t="str">
        <f>IFERROR(__xludf.DUMMYFUNCTION("""COMPUTED_VALUE"""),"[]")</f>
        <v>[]</v>
      </c>
      <c r="X2617" s="6" t="str">
        <f>IFERROR(__xludf.DUMMYFUNCTION("""COMPUTED_VALUE"""),"Enrolled")</f>
        <v>Enrolled</v>
      </c>
    </row>
    <row r="2618">
      <c r="A2618" s="6" t="str">
        <f>IFERROR(__xludf.DUMMYFUNCTION("""COMPUTED_VALUE"""),"056-5391")</f>
        <v>056-5391</v>
      </c>
      <c r="B2618" s="6" t="str">
        <f>IFERROR(__xludf.DUMMYFUNCTION("""COMPUTED_VALUE"""),"56")</f>
        <v>56</v>
      </c>
      <c r="C2618" s="6" t="str">
        <f>IFERROR(__xludf.DUMMYFUNCTION("""COMPUTED_VALUE"""),"5391")</f>
        <v>5391</v>
      </c>
      <c r="D2618" s="6" t="str">
        <f>IFERROR(__xludf.DUMMYFUNCTION("""COMPUTED_VALUE"""),"Jaycee")</f>
        <v>Jaycee</v>
      </c>
      <c r="E2618" s="6" t="str">
        <f>IFERROR(__xludf.DUMMYFUNCTION("""COMPUTED_VALUE"""),"")</f>
        <v/>
      </c>
      <c r="F2618" s="6" t="str">
        <f>IFERROR(__xludf.DUMMYFUNCTION("""COMPUTED_VALUE"""),"Gilbert")</f>
        <v>Gilbert</v>
      </c>
      <c r="G2618" s="6" t="str">
        <f>IFERROR(__xludf.DUMMYFUNCTION("""COMPUTED_VALUE"""),"02/28/2014")</f>
        <v>02/28/2014</v>
      </c>
      <c r="H2618" s="6" t="str">
        <f>IFERROR(__xludf.DUMMYFUNCTION("""COMPUTED_VALUE"""),"Self Identify")</f>
        <v>Self Identify</v>
      </c>
      <c r="I2618" s="6" t="str">
        <f>IFERROR(__xludf.DUMMYFUNCTION("""COMPUTED_VALUE"""),"Middle School")</f>
        <v>Middle School</v>
      </c>
      <c r="J2618" s="6" t="str">
        <f>IFERROR(__xludf.DUMMYFUNCTION("""COMPUTED_VALUE"""),"6")</f>
        <v>6</v>
      </c>
      <c r="K2618" s="6" t="str">
        <f>IFERROR(__xludf.DUMMYFUNCTION("""COMPUTED_VALUE"""),"jaycee.gilbert@2hourlearning.com")</f>
        <v>jaycee.gilbert@2hourlearning.com</v>
      </c>
      <c r="L2618" s="6" t="str">
        <f>IFERROR(__xludf.DUMMYFUNCTION("""COMPUTED_VALUE"""),"Reading Community City School District")</f>
        <v>Reading Community City School District</v>
      </c>
      <c r="M2618" s="6" t="str">
        <f>IFERROR(__xludf.DUMMYFUNCTION("""COMPUTED_VALUE"""),"Elementary")</f>
        <v>Elementary</v>
      </c>
      <c r="N2618" s="6" t="str">
        <f>IFERROR(__xludf.DUMMYFUNCTION("""COMPUTED_VALUE"""),"")</f>
        <v/>
      </c>
      <c r="O2618" s="87" t="str">
        <f>IFERROR(__xludf.DUMMYFUNCTION("""COMPUTED_VALUE"""),"https://drive.google.com/drive/folders/10T2cTQHqEJZqE-st6uFKPoI?usp=share_link")</f>
        <v>https://drive.google.com/drive/folders/10T2cTQHqEJZqE-st6uFKPoI?usp=share_link</v>
      </c>
      <c r="P2618" s="6" t="str">
        <f>IFERROR(__xludf.DUMMYFUNCTION("""COMPUTED_VALUE"""),"Jaycee Gilbert")</f>
        <v>Jaycee Gilbert</v>
      </c>
      <c r="Q2618" s="6" t="str">
        <f>IFERROR(__xludf.DUMMYFUNCTION("""COMPUTED_VALUE"""),"MS")</f>
        <v>MS</v>
      </c>
      <c r="R2618" s="6">
        <f>IFERROR(__xludf.DUMMYFUNCTION("""COMPUTED_VALUE"""),0.0)</f>
        <v>0</v>
      </c>
      <c r="S2618" s="6" t="str">
        <f>IFERROR(__xludf.DUMMYFUNCTION("""COMPUTED_VALUE"""),"Toni Tumbusch")</f>
        <v>Toni Tumbusch</v>
      </c>
      <c r="T2618" s="6" t="str">
        <f>IFERROR(__xludf.DUMMYFUNCTION("""COMPUTED_VALUE"""),"ttumbusch@readingschools.org")</f>
        <v>ttumbusch@readingschools.org</v>
      </c>
      <c r="U2618" s="6" t="str">
        <f>IFERROR(__xludf.DUMMYFUNCTION("""COMPUTED_VALUE"""),"6")</f>
        <v>6</v>
      </c>
      <c r="V2618" s="6" t="str">
        <f>IFERROR(__xludf.DUMMYFUNCTION("""COMPUTED_VALUE"""),"English")</f>
        <v>English</v>
      </c>
      <c r="W2618" s="6" t="str">
        <f>IFERROR(__xludf.DUMMYFUNCTION("""COMPUTED_VALUE"""),"[]")</f>
        <v>[]</v>
      </c>
      <c r="X2618" s="6" t="str">
        <f>IFERROR(__xludf.DUMMYFUNCTION("""COMPUTED_VALUE"""),"Enrolled")</f>
        <v>Enrolled</v>
      </c>
    </row>
    <row r="2619">
      <c r="A2619" s="6" t="str">
        <f>IFERROR(__xludf.DUMMYFUNCTION("""COMPUTED_VALUE"""),"056-5392")</f>
        <v>056-5392</v>
      </c>
      <c r="B2619" s="6" t="str">
        <f>IFERROR(__xludf.DUMMYFUNCTION("""COMPUTED_VALUE"""),"56")</f>
        <v>56</v>
      </c>
      <c r="C2619" s="6" t="str">
        <f>IFERROR(__xludf.DUMMYFUNCTION("""COMPUTED_VALUE"""),"5392")</f>
        <v>5392</v>
      </c>
      <c r="D2619" s="6" t="str">
        <f>IFERROR(__xludf.DUMMYFUNCTION("""COMPUTED_VALUE"""),"Kali")</f>
        <v>Kali</v>
      </c>
      <c r="E2619" s="6" t="str">
        <f>IFERROR(__xludf.DUMMYFUNCTION("""COMPUTED_VALUE"""),"")</f>
        <v/>
      </c>
      <c r="F2619" s="6" t="str">
        <f>IFERROR(__xludf.DUMMYFUNCTION("""COMPUTED_VALUE"""),"Line")</f>
        <v>Line</v>
      </c>
      <c r="G2619" s="6" t="str">
        <f>IFERROR(__xludf.DUMMYFUNCTION("""COMPUTED_VALUE"""),"07/23/2013")</f>
        <v>07/23/2013</v>
      </c>
      <c r="H2619" s="6" t="str">
        <f>IFERROR(__xludf.DUMMYFUNCTION("""COMPUTED_VALUE"""),"Self Identify")</f>
        <v>Self Identify</v>
      </c>
      <c r="I2619" s="6" t="str">
        <f>IFERROR(__xludf.DUMMYFUNCTION("""COMPUTED_VALUE"""),"Middle School")</f>
        <v>Middle School</v>
      </c>
      <c r="J2619" s="6" t="str">
        <f>IFERROR(__xludf.DUMMYFUNCTION("""COMPUTED_VALUE"""),"6")</f>
        <v>6</v>
      </c>
      <c r="K2619" s="6" t="str">
        <f>IFERROR(__xludf.DUMMYFUNCTION("""COMPUTED_VALUE"""),"kali.line@2hourlearning.com")</f>
        <v>kali.line@2hourlearning.com</v>
      </c>
      <c r="L2619" s="6" t="str">
        <f>IFERROR(__xludf.DUMMYFUNCTION("""COMPUTED_VALUE"""),"Reading Community City School District")</f>
        <v>Reading Community City School District</v>
      </c>
      <c r="M2619" s="6" t="str">
        <f>IFERROR(__xludf.DUMMYFUNCTION("""COMPUTED_VALUE"""),"Elementary")</f>
        <v>Elementary</v>
      </c>
      <c r="N2619" s="6" t="str">
        <f>IFERROR(__xludf.DUMMYFUNCTION("""COMPUTED_VALUE"""),"")</f>
        <v/>
      </c>
      <c r="O2619" s="87" t="str">
        <f>IFERROR(__xludf.DUMMYFUNCTION("""COMPUTED_VALUE"""),"https://drive.google.com/drive/folders/10T2cTQHqEJZqE-st6uFKPoI?usp=share_link")</f>
        <v>https://drive.google.com/drive/folders/10T2cTQHqEJZqE-st6uFKPoI?usp=share_link</v>
      </c>
      <c r="P2619" s="6" t="str">
        <f>IFERROR(__xludf.DUMMYFUNCTION("""COMPUTED_VALUE"""),"Kali Line")</f>
        <v>Kali Line</v>
      </c>
      <c r="Q2619" s="6" t="str">
        <f>IFERROR(__xludf.DUMMYFUNCTION("""COMPUTED_VALUE"""),"MS")</f>
        <v>MS</v>
      </c>
      <c r="R2619" s="6">
        <f>IFERROR(__xludf.DUMMYFUNCTION("""COMPUTED_VALUE"""),0.0)</f>
        <v>0</v>
      </c>
      <c r="S2619" s="6" t="str">
        <f>IFERROR(__xludf.DUMMYFUNCTION("""COMPUTED_VALUE"""),"Toni Tumbusch")</f>
        <v>Toni Tumbusch</v>
      </c>
      <c r="T2619" s="6" t="str">
        <f>IFERROR(__xludf.DUMMYFUNCTION("""COMPUTED_VALUE"""),"ttumbusch@readingschools.org")</f>
        <v>ttumbusch@readingschools.org</v>
      </c>
      <c r="U2619" s="6" t="str">
        <f>IFERROR(__xludf.DUMMYFUNCTION("""COMPUTED_VALUE"""),"6")</f>
        <v>6</v>
      </c>
      <c r="V2619" s="6" t="str">
        <f>IFERROR(__xludf.DUMMYFUNCTION("""COMPUTED_VALUE"""),"English")</f>
        <v>English</v>
      </c>
      <c r="W2619" s="6" t="str">
        <f>IFERROR(__xludf.DUMMYFUNCTION("""COMPUTED_VALUE"""),"[]")</f>
        <v>[]</v>
      </c>
      <c r="X2619" s="6" t="str">
        <f>IFERROR(__xludf.DUMMYFUNCTION("""COMPUTED_VALUE"""),"Enrolled")</f>
        <v>Enrolled</v>
      </c>
    </row>
    <row r="2620">
      <c r="A2620" s="6" t="str">
        <f>IFERROR(__xludf.DUMMYFUNCTION("""COMPUTED_VALUE"""),"056-5393")</f>
        <v>056-5393</v>
      </c>
      <c r="B2620" s="6" t="str">
        <f>IFERROR(__xludf.DUMMYFUNCTION("""COMPUTED_VALUE"""),"56")</f>
        <v>56</v>
      </c>
      <c r="C2620" s="6" t="str">
        <f>IFERROR(__xludf.DUMMYFUNCTION("""COMPUTED_VALUE"""),"5393")</f>
        <v>5393</v>
      </c>
      <c r="D2620" s="6" t="str">
        <f>IFERROR(__xludf.DUMMYFUNCTION("""COMPUTED_VALUE"""),"Kinley")</f>
        <v>Kinley</v>
      </c>
      <c r="E2620" s="6" t="str">
        <f>IFERROR(__xludf.DUMMYFUNCTION("""COMPUTED_VALUE"""),"")</f>
        <v/>
      </c>
      <c r="F2620" s="6" t="str">
        <f>IFERROR(__xludf.DUMMYFUNCTION("""COMPUTED_VALUE"""),"Horsley")</f>
        <v>Horsley</v>
      </c>
      <c r="G2620" s="6" t="str">
        <f>IFERROR(__xludf.DUMMYFUNCTION("""COMPUTED_VALUE"""),"07/10/2014")</f>
        <v>07/10/2014</v>
      </c>
      <c r="H2620" s="6" t="str">
        <f>IFERROR(__xludf.DUMMYFUNCTION("""COMPUTED_VALUE"""),"Self Identify")</f>
        <v>Self Identify</v>
      </c>
      <c r="I2620" s="6" t="str">
        <f>IFERROR(__xludf.DUMMYFUNCTION("""COMPUTED_VALUE"""),"Middle School")</f>
        <v>Middle School</v>
      </c>
      <c r="J2620" s="6" t="str">
        <f>IFERROR(__xludf.DUMMYFUNCTION("""COMPUTED_VALUE"""),"6")</f>
        <v>6</v>
      </c>
      <c r="K2620" s="6" t="str">
        <f>IFERROR(__xludf.DUMMYFUNCTION("""COMPUTED_VALUE"""),"kinley.horsley@2hourlearning.com")</f>
        <v>kinley.horsley@2hourlearning.com</v>
      </c>
      <c r="L2620" s="6" t="str">
        <f>IFERROR(__xludf.DUMMYFUNCTION("""COMPUTED_VALUE"""),"Reading Community City School District")</f>
        <v>Reading Community City School District</v>
      </c>
      <c r="M2620" s="6" t="str">
        <f>IFERROR(__xludf.DUMMYFUNCTION("""COMPUTED_VALUE"""),"Elementary")</f>
        <v>Elementary</v>
      </c>
      <c r="N2620" s="6" t="str">
        <f>IFERROR(__xludf.DUMMYFUNCTION("""COMPUTED_VALUE"""),"")</f>
        <v/>
      </c>
      <c r="O2620" s="87" t="str">
        <f>IFERROR(__xludf.DUMMYFUNCTION("""COMPUTED_VALUE"""),"https://drive.google.com/drive/folders/10T2cTQHqEJZqE-st6uFKPoI?usp=share_link")</f>
        <v>https://drive.google.com/drive/folders/10T2cTQHqEJZqE-st6uFKPoI?usp=share_link</v>
      </c>
      <c r="P2620" s="6" t="str">
        <f>IFERROR(__xludf.DUMMYFUNCTION("""COMPUTED_VALUE"""),"Kinley Horsley")</f>
        <v>Kinley Horsley</v>
      </c>
      <c r="Q2620" s="6" t="str">
        <f>IFERROR(__xludf.DUMMYFUNCTION("""COMPUTED_VALUE"""),"MS")</f>
        <v>MS</v>
      </c>
      <c r="R2620" s="6">
        <f>IFERROR(__xludf.DUMMYFUNCTION("""COMPUTED_VALUE"""),0.0)</f>
        <v>0</v>
      </c>
      <c r="S2620" s="6" t="str">
        <f>IFERROR(__xludf.DUMMYFUNCTION("""COMPUTED_VALUE"""),"Toni Tumbusch")</f>
        <v>Toni Tumbusch</v>
      </c>
      <c r="T2620" s="6" t="str">
        <f>IFERROR(__xludf.DUMMYFUNCTION("""COMPUTED_VALUE"""),"ttumbusch@readingschools.org")</f>
        <v>ttumbusch@readingschools.org</v>
      </c>
      <c r="U2620" s="6" t="str">
        <f>IFERROR(__xludf.DUMMYFUNCTION("""COMPUTED_VALUE"""),"6")</f>
        <v>6</v>
      </c>
      <c r="V2620" s="6" t="str">
        <f>IFERROR(__xludf.DUMMYFUNCTION("""COMPUTED_VALUE"""),"English")</f>
        <v>English</v>
      </c>
      <c r="W2620" s="6" t="str">
        <f>IFERROR(__xludf.DUMMYFUNCTION("""COMPUTED_VALUE"""),"[]")</f>
        <v>[]</v>
      </c>
      <c r="X2620" s="6" t="str">
        <f>IFERROR(__xludf.DUMMYFUNCTION("""COMPUTED_VALUE"""),"Enrolled")</f>
        <v>Enrolled</v>
      </c>
    </row>
    <row r="2621">
      <c r="A2621" s="6" t="str">
        <f>IFERROR(__xludf.DUMMYFUNCTION("""COMPUTED_VALUE"""),"056-5394")</f>
        <v>056-5394</v>
      </c>
      <c r="B2621" s="6" t="str">
        <f>IFERROR(__xludf.DUMMYFUNCTION("""COMPUTED_VALUE"""),"56")</f>
        <v>56</v>
      </c>
      <c r="C2621" s="6" t="str">
        <f>IFERROR(__xludf.DUMMYFUNCTION("""COMPUTED_VALUE"""),"5394")</f>
        <v>5394</v>
      </c>
      <c r="D2621" s="6" t="str">
        <f>IFERROR(__xludf.DUMMYFUNCTION("""COMPUTED_VALUE"""),"Lanyiah")</f>
        <v>Lanyiah</v>
      </c>
      <c r="E2621" s="6" t="str">
        <f>IFERROR(__xludf.DUMMYFUNCTION("""COMPUTED_VALUE"""),"")</f>
        <v/>
      </c>
      <c r="F2621" s="6" t="str">
        <f>IFERROR(__xludf.DUMMYFUNCTION("""COMPUTED_VALUE"""),"Steele")</f>
        <v>Steele</v>
      </c>
      <c r="G2621" s="6" t="str">
        <f>IFERROR(__xludf.DUMMYFUNCTION("""COMPUTED_VALUE"""),"03/09/2014")</f>
        <v>03/09/2014</v>
      </c>
      <c r="H2621" s="6" t="str">
        <f>IFERROR(__xludf.DUMMYFUNCTION("""COMPUTED_VALUE"""),"Self Identify")</f>
        <v>Self Identify</v>
      </c>
      <c r="I2621" s="6" t="str">
        <f>IFERROR(__xludf.DUMMYFUNCTION("""COMPUTED_VALUE"""),"Middle School")</f>
        <v>Middle School</v>
      </c>
      <c r="J2621" s="6" t="str">
        <f>IFERROR(__xludf.DUMMYFUNCTION("""COMPUTED_VALUE"""),"6")</f>
        <v>6</v>
      </c>
      <c r="K2621" s="6" t="str">
        <f>IFERROR(__xludf.DUMMYFUNCTION("""COMPUTED_VALUE"""),"lanyiah.steele@2hourlearning.com")</f>
        <v>lanyiah.steele@2hourlearning.com</v>
      </c>
      <c r="L2621" s="6" t="str">
        <f>IFERROR(__xludf.DUMMYFUNCTION("""COMPUTED_VALUE"""),"Reading Community City School District")</f>
        <v>Reading Community City School District</v>
      </c>
      <c r="M2621" s="6" t="str">
        <f>IFERROR(__xludf.DUMMYFUNCTION("""COMPUTED_VALUE"""),"Elementary")</f>
        <v>Elementary</v>
      </c>
      <c r="N2621" s="6" t="str">
        <f>IFERROR(__xludf.DUMMYFUNCTION("""COMPUTED_VALUE"""),"")</f>
        <v/>
      </c>
      <c r="O2621" s="87" t="str">
        <f>IFERROR(__xludf.DUMMYFUNCTION("""COMPUTED_VALUE"""),"https://drive.google.com/drive/folders/10T2cTQHqEJZqE-st6uFKPoI?usp=share_link")</f>
        <v>https://drive.google.com/drive/folders/10T2cTQHqEJZqE-st6uFKPoI?usp=share_link</v>
      </c>
      <c r="P2621" s="6" t="str">
        <f>IFERROR(__xludf.DUMMYFUNCTION("""COMPUTED_VALUE"""),"Lanyiah Steele")</f>
        <v>Lanyiah Steele</v>
      </c>
      <c r="Q2621" s="6" t="str">
        <f>IFERROR(__xludf.DUMMYFUNCTION("""COMPUTED_VALUE"""),"MS")</f>
        <v>MS</v>
      </c>
      <c r="R2621" s="6">
        <f>IFERROR(__xludf.DUMMYFUNCTION("""COMPUTED_VALUE"""),0.0)</f>
        <v>0</v>
      </c>
      <c r="S2621" s="6" t="str">
        <f>IFERROR(__xludf.DUMMYFUNCTION("""COMPUTED_VALUE"""),"Toni Tumbusch")</f>
        <v>Toni Tumbusch</v>
      </c>
      <c r="T2621" s="6" t="str">
        <f>IFERROR(__xludf.DUMMYFUNCTION("""COMPUTED_VALUE"""),"ttumbusch@readingschools.org")</f>
        <v>ttumbusch@readingschools.org</v>
      </c>
      <c r="U2621" s="6" t="str">
        <f>IFERROR(__xludf.DUMMYFUNCTION("""COMPUTED_VALUE"""),"6")</f>
        <v>6</v>
      </c>
      <c r="V2621" s="6" t="str">
        <f>IFERROR(__xludf.DUMMYFUNCTION("""COMPUTED_VALUE"""),"English")</f>
        <v>English</v>
      </c>
      <c r="W2621" s="6" t="str">
        <f>IFERROR(__xludf.DUMMYFUNCTION("""COMPUTED_VALUE"""),"[]")</f>
        <v>[]</v>
      </c>
      <c r="X2621" s="6" t="str">
        <f>IFERROR(__xludf.DUMMYFUNCTION("""COMPUTED_VALUE"""),"Enrolled")</f>
        <v>Enrolled</v>
      </c>
    </row>
    <row r="2622">
      <c r="A2622" s="6" t="str">
        <f>IFERROR(__xludf.DUMMYFUNCTION("""COMPUTED_VALUE"""),"056-5395")</f>
        <v>056-5395</v>
      </c>
      <c r="B2622" s="6" t="str">
        <f>IFERROR(__xludf.DUMMYFUNCTION("""COMPUTED_VALUE"""),"56")</f>
        <v>56</v>
      </c>
      <c r="C2622" s="6" t="str">
        <f>IFERROR(__xludf.DUMMYFUNCTION("""COMPUTED_VALUE"""),"5395")</f>
        <v>5395</v>
      </c>
      <c r="D2622" s="6" t="str">
        <f>IFERROR(__xludf.DUMMYFUNCTION("""COMPUTED_VALUE"""),"Mamadou")</f>
        <v>Mamadou</v>
      </c>
      <c r="E2622" s="6" t="str">
        <f>IFERROR(__xludf.DUMMYFUNCTION("""COMPUTED_VALUE"""),"")</f>
        <v/>
      </c>
      <c r="F2622" s="6" t="str">
        <f>IFERROR(__xludf.DUMMYFUNCTION("""COMPUTED_VALUE"""),"Anne")</f>
        <v>Anne</v>
      </c>
      <c r="G2622" s="6" t="str">
        <f>IFERROR(__xludf.DUMMYFUNCTION("""COMPUTED_VALUE"""),"07/10/2013")</f>
        <v>07/10/2013</v>
      </c>
      <c r="H2622" s="6" t="str">
        <f>IFERROR(__xludf.DUMMYFUNCTION("""COMPUTED_VALUE"""),"Self Identify")</f>
        <v>Self Identify</v>
      </c>
      <c r="I2622" s="6" t="str">
        <f>IFERROR(__xludf.DUMMYFUNCTION("""COMPUTED_VALUE"""),"Middle School")</f>
        <v>Middle School</v>
      </c>
      <c r="J2622" s="6" t="str">
        <f>IFERROR(__xludf.DUMMYFUNCTION("""COMPUTED_VALUE"""),"6")</f>
        <v>6</v>
      </c>
      <c r="K2622" s="6" t="str">
        <f>IFERROR(__xludf.DUMMYFUNCTION("""COMPUTED_VALUE"""),"mamadou.anne@2hourlearning.com")</f>
        <v>mamadou.anne@2hourlearning.com</v>
      </c>
      <c r="L2622" s="6" t="str">
        <f>IFERROR(__xludf.DUMMYFUNCTION("""COMPUTED_VALUE"""),"Reading Community City School District")</f>
        <v>Reading Community City School District</v>
      </c>
      <c r="M2622" s="6" t="str">
        <f>IFERROR(__xludf.DUMMYFUNCTION("""COMPUTED_VALUE"""),"Elementary")</f>
        <v>Elementary</v>
      </c>
      <c r="N2622" s="6" t="str">
        <f>IFERROR(__xludf.DUMMYFUNCTION("""COMPUTED_VALUE"""),"")</f>
        <v/>
      </c>
      <c r="O2622" s="87" t="str">
        <f>IFERROR(__xludf.DUMMYFUNCTION("""COMPUTED_VALUE"""),"https://drive.google.com/drive/folders/10T2cTQHqEJZqE-st6uFKPoI?usp=share_link")</f>
        <v>https://drive.google.com/drive/folders/10T2cTQHqEJZqE-st6uFKPoI?usp=share_link</v>
      </c>
      <c r="P2622" s="6" t="str">
        <f>IFERROR(__xludf.DUMMYFUNCTION("""COMPUTED_VALUE"""),"Mamadou Anne")</f>
        <v>Mamadou Anne</v>
      </c>
      <c r="Q2622" s="6" t="str">
        <f>IFERROR(__xludf.DUMMYFUNCTION("""COMPUTED_VALUE"""),"MS")</f>
        <v>MS</v>
      </c>
      <c r="R2622" s="6">
        <f>IFERROR(__xludf.DUMMYFUNCTION("""COMPUTED_VALUE"""),0.0)</f>
        <v>0</v>
      </c>
      <c r="S2622" s="6" t="str">
        <f>IFERROR(__xludf.DUMMYFUNCTION("""COMPUTED_VALUE"""),"Toni Tumbusch")</f>
        <v>Toni Tumbusch</v>
      </c>
      <c r="T2622" s="6" t="str">
        <f>IFERROR(__xludf.DUMMYFUNCTION("""COMPUTED_VALUE"""),"ttumbusch@readingschools.org")</f>
        <v>ttumbusch@readingschools.org</v>
      </c>
      <c r="U2622" s="6" t="str">
        <f>IFERROR(__xludf.DUMMYFUNCTION("""COMPUTED_VALUE"""),"6")</f>
        <v>6</v>
      </c>
      <c r="V2622" s="6" t="str">
        <f>IFERROR(__xludf.DUMMYFUNCTION("""COMPUTED_VALUE"""),"English")</f>
        <v>English</v>
      </c>
      <c r="W2622" s="6" t="str">
        <f>IFERROR(__xludf.DUMMYFUNCTION("""COMPUTED_VALUE"""),"[]")</f>
        <v>[]</v>
      </c>
      <c r="X2622" s="6" t="str">
        <f>IFERROR(__xludf.DUMMYFUNCTION("""COMPUTED_VALUE"""),"Enrolled")</f>
        <v>Enrolled</v>
      </c>
    </row>
    <row r="2623">
      <c r="A2623" s="6" t="str">
        <f>IFERROR(__xludf.DUMMYFUNCTION("""COMPUTED_VALUE"""),"056-5396")</f>
        <v>056-5396</v>
      </c>
      <c r="B2623" s="6" t="str">
        <f>IFERROR(__xludf.DUMMYFUNCTION("""COMPUTED_VALUE"""),"56")</f>
        <v>56</v>
      </c>
      <c r="C2623" s="6" t="str">
        <f>IFERROR(__xludf.DUMMYFUNCTION("""COMPUTED_VALUE"""),"5396")</f>
        <v>5396</v>
      </c>
      <c r="D2623" s="6" t="str">
        <f>IFERROR(__xludf.DUMMYFUNCTION("""COMPUTED_VALUE"""),"Messiah")</f>
        <v>Messiah</v>
      </c>
      <c r="E2623" s="6" t="str">
        <f>IFERROR(__xludf.DUMMYFUNCTION("""COMPUTED_VALUE"""),"")</f>
        <v/>
      </c>
      <c r="F2623" s="6" t="str">
        <f>IFERROR(__xludf.DUMMYFUNCTION("""COMPUTED_VALUE"""),"Reid")</f>
        <v>Reid</v>
      </c>
      <c r="G2623" s="6" t="str">
        <f>IFERROR(__xludf.DUMMYFUNCTION("""COMPUTED_VALUE"""),"04/22/2014")</f>
        <v>04/22/2014</v>
      </c>
      <c r="H2623" s="6" t="str">
        <f>IFERROR(__xludf.DUMMYFUNCTION("""COMPUTED_VALUE"""),"Self Identify")</f>
        <v>Self Identify</v>
      </c>
      <c r="I2623" s="6" t="str">
        <f>IFERROR(__xludf.DUMMYFUNCTION("""COMPUTED_VALUE"""),"Middle School")</f>
        <v>Middle School</v>
      </c>
      <c r="J2623" s="6" t="str">
        <f>IFERROR(__xludf.DUMMYFUNCTION("""COMPUTED_VALUE"""),"6")</f>
        <v>6</v>
      </c>
      <c r="K2623" s="6" t="str">
        <f>IFERROR(__xludf.DUMMYFUNCTION("""COMPUTED_VALUE"""),"messiah.reid@2hourlearning.com")</f>
        <v>messiah.reid@2hourlearning.com</v>
      </c>
      <c r="L2623" s="6" t="str">
        <f>IFERROR(__xludf.DUMMYFUNCTION("""COMPUTED_VALUE"""),"Reading Community City School District")</f>
        <v>Reading Community City School District</v>
      </c>
      <c r="M2623" s="6" t="str">
        <f>IFERROR(__xludf.DUMMYFUNCTION("""COMPUTED_VALUE"""),"Elementary")</f>
        <v>Elementary</v>
      </c>
      <c r="N2623" s="6" t="str">
        <f>IFERROR(__xludf.DUMMYFUNCTION("""COMPUTED_VALUE"""),"")</f>
        <v/>
      </c>
      <c r="O2623" s="87" t="str">
        <f>IFERROR(__xludf.DUMMYFUNCTION("""COMPUTED_VALUE"""),"https://drive.google.com/drive/folders/10T2cTQHqEJZqE-st6uFKPoI?usp=share_link")</f>
        <v>https://drive.google.com/drive/folders/10T2cTQHqEJZqE-st6uFKPoI?usp=share_link</v>
      </c>
      <c r="P2623" s="6" t="str">
        <f>IFERROR(__xludf.DUMMYFUNCTION("""COMPUTED_VALUE"""),"Messiah Reid")</f>
        <v>Messiah Reid</v>
      </c>
      <c r="Q2623" s="6" t="str">
        <f>IFERROR(__xludf.DUMMYFUNCTION("""COMPUTED_VALUE"""),"MS")</f>
        <v>MS</v>
      </c>
      <c r="R2623" s="6">
        <f>IFERROR(__xludf.DUMMYFUNCTION("""COMPUTED_VALUE"""),0.0)</f>
        <v>0</v>
      </c>
      <c r="S2623" s="6" t="str">
        <f>IFERROR(__xludf.DUMMYFUNCTION("""COMPUTED_VALUE"""),"Toni Tumbusch")</f>
        <v>Toni Tumbusch</v>
      </c>
      <c r="T2623" s="6" t="str">
        <f>IFERROR(__xludf.DUMMYFUNCTION("""COMPUTED_VALUE"""),"ttumbusch@readingschools.org")</f>
        <v>ttumbusch@readingschools.org</v>
      </c>
      <c r="U2623" s="6" t="str">
        <f>IFERROR(__xludf.DUMMYFUNCTION("""COMPUTED_VALUE"""),"6")</f>
        <v>6</v>
      </c>
      <c r="V2623" s="6" t="str">
        <f>IFERROR(__xludf.DUMMYFUNCTION("""COMPUTED_VALUE"""),"English")</f>
        <v>English</v>
      </c>
      <c r="W2623" s="6" t="str">
        <f>IFERROR(__xludf.DUMMYFUNCTION("""COMPUTED_VALUE"""),"[]")</f>
        <v>[]</v>
      </c>
      <c r="X2623" s="6" t="str">
        <f>IFERROR(__xludf.DUMMYFUNCTION("""COMPUTED_VALUE"""),"Enrolled")</f>
        <v>Enrolled</v>
      </c>
    </row>
    <row r="2624">
      <c r="A2624" s="6" t="str">
        <f>IFERROR(__xludf.DUMMYFUNCTION("""COMPUTED_VALUE"""),"056-5397")</f>
        <v>056-5397</v>
      </c>
      <c r="B2624" s="6" t="str">
        <f>IFERROR(__xludf.DUMMYFUNCTION("""COMPUTED_VALUE"""),"56")</f>
        <v>56</v>
      </c>
      <c r="C2624" s="6" t="str">
        <f>IFERROR(__xludf.DUMMYFUNCTION("""COMPUTED_VALUE"""),"5397")</f>
        <v>5397</v>
      </c>
      <c r="D2624" s="6" t="str">
        <f>IFERROR(__xludf.DUMMYFUNCTION("""COMPUTED_VALUE"""),"Molly")</f>
        <v>Molly</v>
      </c>
      <c r="E2624" s="6" t="str">
        <f>IFERROR(__xludf.DUMMYFUNCTION("""COMPUTED_VALUE"""),"")</f>
        <v/>
      </c>
      <c r="F2624" s="6" t="str">
        <f>IFERROR(__xludf.DUMMYFUNCTION("""COMPUTED_VALUE"""),"Ernst")</f>
        <v>Ernst</v>
      </c>
      <c r="G2624" s="6" t="str">
        <f>IFERROR(__xludf.DUMMYFUNCTION("""COMPUTED_VALUE"""),"10/25/2013")</f>
        <v>10/25/2013</v>
      </c>
      <c r="H2624" s="6" t="str">
        <f>IFERROR(__xludf.DUMMYFUNCTION("""COMPUTED_VALUE"""),"Self Identify")</f>
        <v>Self Identify</v>
      </c>
      <c r="I2624" s="6" t="str">
        <f>IFERROR(__xludf.DUMMYFUNCTION("""COMPUTED_VALUE"""),"Middle School")</f>
        <v>Middle School</v>
      </c>
      <c r="J2624" s="6" t="str">
        <f>IFERROR(__xludf.DUMMYFUNCTION("""COMPUTED_VALUE"""),"6")</f>
        <v>6</v>
      </c>
      <c r="K2624" s="6" t="str">
        <f>IFERROR(__xludf.DUMMYFUNCTION("""COMPUTED_VALUE"""),"molly.ernst@2hourlearning.com")</f>
        <v>molly.ernst@2hourlearning.com</v>
      </c>
      <c r="L2624" s="6" t="str">
        <f>IFERROR(__xludf.DUMMYFUNCTION("""COMPUTED_VALUE"""),"Reading Community City School District")</f>
        <v>Reading Community City School District</v>
      </c>
      <c r="M2624" s="6" t="str">
        <f>IFERROR(__xludf.DUMMYFUNCTION("""COMPUTED_VALUE"""),"Elementary")</f>
        <v>Elementary</v>
      </c>
      <c r="N2624" s="6" t="str">
        <f>IFERROR(__xludf.DUMMYFUNCTION("""COMPUTED_VALUE"""),"")</f>
        <v/>
      </c>
      <c r="O2624" s="87" t="str">
        <f>IFERROR(__xludf.DUMMYFUNCTION("""COMPUTED_VALUE"""),"https://drive.google.com/drive/folders/10T2cTQHqEJZqE-st6uFKPoI?usp=share_link")</f>
        <v>https://drive.google.com/drive/folders/10T2cTQHqEJZqE-st6uFKPoI?usp=share_link</v>
      </c>
      <c r="P2624" s="6" t="str">
        <f>IFERROR(__xludf.DUMMYFUNCTION("""COMPUTED_VALUE"""),"Molly Ernst")</f>
        <v>Molly Ernst</v>
      </c>
      <c r="Q2624" s="6" t="str">
        <f>IFERROR(__xludf.DUMMYFUNCTION("""COMPUTED_VALUE"""),"MS")</f>
        <v>MS</v>
      </c>
      <c r="R2624" s="6">
        <f>IFERROR(__xludf.DUMMYFUNCTION("""COMPUTED_VALUE"""),0.0)</f>
        <v>0</v>
      </c>
      <c r="S2624" s="6" t="str">
        <f>IFERROR(__xludf.DUMMYFUNCTION("""COMPUTED_VALUE"""),"Toni Tumbusch")</f>
        <v>Toni Tumbusch</v>
      </c>
      <c r="T2624" s="6" t="str">
        <f>IFERROR(__xludf.DUMMYFUNCTION("""COMPUTED_VALUE"""),"ttumbusch@readingschools.org")</f>
        <v>ttumbusch@readingschools.org</v>
      </c>
      <c r="U2624" s="6" t="str">
        <f>IFERROR(__xludf.DUMMYFUNCTION("""COMPUTED_VALUE"""),"6")</f>
        <v>6</v>
      </c>
      <c r="V2624" s="6" t="str">
        <f>IFERROR(__xludf.DUMMYFUNCTION("""COMPUTED_VALUE"""),"English")</f>
        <v>English</v>
      </c>
      <c r="W2624" s="6" t="str">
        <f>IFERROR(__xludf.DUMMYFUNCTION("""COMPUTED_VALUE"""),"[]")</f>
        <v>[]</v>
      </c>
      <c r="X2624" s="6" t="str">
        <f>IFERROR(__xludf.DUMMYFUNCTION("""COMPUTED_VALUE"""),"Enrolled")</f>
        <v>Enrolled</v>
      </c>
    </row>
    <row r="2625">
      <c r="A2625" s="6" t="str">
        <f>IFERROR(__xludf.DUMMYFUNCTION("""COMPUTED_VALUE"""),"056-5398")</f>
        <v>056-5398</v>
      </c>
      <c r="B2625" s="6" t="str">
        <f>IFERROR(__xludf.DUMMYFUNCTION("""COMPUTED_VALUE"""),"56")</f>
        <v>56</v>
      </c>
      <c r="C2625" s="6" t="str">
        <f>IFERROR(__xludf.DUMMYFUNCTION("""COMPUTED_VALUE"""),"5398")</f>
        <v>5398</v>
      </c>
      <c r="D2625" s="6" t="str">
        <f>IFERROR(__xludf.DUMMYFUNCTION("""COMPUTED_VALUE"""),"Naoma")</f>
        <v>Naoma</v>
      </c>
      <c r="E2625" s="6" t="str">
        <f>IFERROR(__xludf.DUMMYFUNCTION("""COMPUTED_VALUE"""),"")</f>
        <v/>
      </c>
      <c r="F2625" s="6" t="str">
        <f>IFERROR(__xludf.DUMMYFUNCTION("""COMPUTED_VALUE"""),"Orosco")</f>
        <v>Orosco</v>
      </c>
      <c r="G2625" s="6" t="str">
        <f>IFERROR(__xludf.DUMMYFUNCTION("""COMPUTED_VALUE"""),"09/11/2013")</f>
        <v>09/11/2013</v>
      </c>
      <c r="H2625" s="6" t="str">
        <f>IFERROR(__xludf.DUMMYFUNCTION("""COMPUTED_VALUE"""),"Self Identify")</f>
        <v>Self Identify</v>
      </c>
      <c r="I2625" s="6" t="str">
        <f>IFERROR(__xludf.DUMMYFUNCTION("""COMPUTED_VALUE"""),"Middle School")</f>
        <v>Middle School</v>
      </c>
      <c r="J2625" s="6" t="str">
        <f>IFERROR(__xludf.DUMMYFUNCTION("""COMPUTED_VALUE"""),"6")</f>
        <v>6</v>
      </c>
      <c r="K2625" s="6" t="str">
        <f>IFERROR(__xludf.DUMMYFUNCTION("""COMPUTED_VALUE"""),"naoma.orosco@2hourlearning.com")</f>
        <v>naoma.orosco@2hourlearning.com</v>
      </c>
      <c r="L2625" s="6" t="str">
        <f>IFERROR(__xludf.DUMMYFUNCTION("""COMPUTED_VALUE"""),"Reading Community City School District")</f>
        <v>Reading Community City School District</v>
      </c>
      <c r="M2625" s="6" t="str">
        <f>IFERROR(__xludf.DUMMYFUNCTION("""COMPUTED_VALUE"""),"Elementary")</f>
        <v>Elementary</v>
      </c>
      <c r="N2625" s="6" t="str">
        <f>IFERROR(__xludf.DUMMYFUNCTION("""COMPUTED_VALUE"""),"")</f>
        <v/>
      </c>
      <c r="O2625" s="87" t="str">
        <f>IFERROR(__xludf.DUMMYFUNCTION("""COMPUTED_VALUE"""),"https://drive.google.com/drive/folders/10T2cTQHqEJZqE-st6uFKPoI?usp=share_link")</f>
        <v>https://drive.google.com/drive/folders/10T2cTQHqEJZqE-st6uFKPoI?usp=share_link</v>
      </c>
      <c r="P2625" s="6" t="str">
        <f>IFERROR(__xludf.DUMMYFUNCTION("""COMPUTED_VALUE"""),"Naoma Orosco")</f>
        <v>Naoma Orosco</v>
      </c>
      <c r="Q2625" s="6" t="str">
        <f>IFERROR(__xludf.DUMMYFUNCTION("""COMPUTED_VALUE"""),"MS")</f>
        <v>MS</v>
      </c>
      <c r="R2625" s="6">
        <f>IFERROR(__xludf.DUMMYFUNCTION("""COMPUTED_VALUE"""),0.0)</f>
        <v>0</v>
      </c>
      <c r="S2625" s="6" t="str">
        <f>IFERROR(__xludf.DUMMYFUNCTION("""COMPUTED_VALUE"""),"Toni Tumbusch")</f>
        <v>Toni Tumbusch</v>
      </c>
      <c r="T2625" s="6" t="str">
        <f>IFERROR(__xludf.DUMMYFUNCTION("""COMPUTED_VALUE"""),"ttumbusch@readingschools.org")</f>
        <v>ttumbusch@readingschools.org</v>
      </c>
      <c r="U2625" s="6" t="str">
        <f>IFERROR(__xludf.DUMMYFUNCTION("""COMPUTED_VALUE"""),"6")</f>
        <v>6</v>
      </c>
      <c r="V2625" s="6" t="str">
        <f>IFERROR(__xludf.DUMMYFUNCTION("""COMPUTED_VALUE"""),"English")</f>
        <v>English</v>
      </c>
      <c r="W2625" s="6" t="str">
        <f>IFERROR(__xludf.DUMMYFUNCTION("""COMPUTED_VALUE"""),"[]")</f>
        <v>[]</v>
      </c>
      <c r="X2625" s="6" t="str">
        <f>IFERROR(__xludf.DUMMYFUNCTION("""COMPUTED_VALUE"""),"Enrolled")</f>
        <v>Enrolled</v>
      </c>
    </row>
    <row r="2626">
      <c r="A2626" s="6" t="str">
        <f>IFERROR(__xludf.DUMMYFUNCTION("""COMPUTED_VALUE"""),"056-5399")</f>
        <v>056-5399</v>
      </c>
      <c r="B2626" s="6" t="str">
        <f>IFERROR(__xludf.DUMMYFUNCTION("""COMPUTED_VALUE"""),"56")</f>
        <v>56</v>
      </c>
      <c r="C2626" s="6" t="str">
        <f>IFERROR(__xludf.DUMMYFUNCTION("""COMPUTED_VALUE"""),"5399")</f>
        <v>5399</v>
      </c>
      <c r="D2626" s="6" t="str">
        <f>IFERROR(__xludf.DUMMYFUNCTION("""COMPUTED_VALUE"""),"Natali")</f>
        <v>Natali</v>
      </c>
      <c r="E2626" s="6" t="str">
        <f>IFERROR(__xludf.DUMMYFUNCTION("""COMPUTED_VALUE"""),"")</f>
        <v/>
      </c>
      <c r="F2626" s="6" t="str">
        <f>IFERROR(__xludf.DUMMYFUNCTION("""COMPUTED_VALUE"""),"Andino")</f>
        <v>Andino</v>
      </c>
      <c r="G2626" s="6" t="str">
        <f>IFERROR(__xludf.DUMMYFUNCTION("""COMPUTED_VALUE"""),"04/07/2014")</f>
        <v>04/07/2014</v>
      </c>
      <c r="H2626" s="6" t="str">
        <f>IFERROR(__xludf.DUMMYFUNCTION("""COMPUTED_VALUE"""),"Self Identify")</f>
        <v>Self Identify</v>
      </c>
      <c r="I2626" s="6" t="str">
        <f>IFERROR(__xludf.DUMMYFUNCTION("""COMPUTED_VALUE"""),"Middle School")</f>
        <v>Middle School</v>
      </c>
      <c r="J2626" s="6" t="str">
        <f>IFERROR(__xludf.DUMMYFUNCTION("""COMPUTED_VALUE"""),"6")</f>
        <v>6</v>
      </c>
      <c r="K2626" s="6" t="str">
        <f>IFERROR(__xludf.DUMMYFUNCTION("""COMPUTED_VALUE"""),"natali.andino@2hourlearning.com")</f>
        <v>natali.andino@2hourlearning.com</v>
      </c>
      <c r="L2626" s="6" t="str">
        <f>IFERROR(__xludf.DUMMYFUNCTION("""COMPUTED_VALUE"""),"Reading Community City School District")</f>
        <v>Reading Community City School District</v>
      </c>
      <c r="M2626" s="6" t="str">
        <f>IFERROR(__xludf.DUMMYFUNCTION("""COMPUTED_VALUE"""),"Elementary")</f>
        <v>Elementary</v>
      </c>
      <c r="N2626" s="6" t="str">
        <f>IFERROR(__xludf.DUMMYFUNCTION("""COMPUTED_VALUE"""),"")</f>
        <v/>
      </c>
      <c r="O2626" s="87" t="str">
        <f>IFERROR(__xludf.DUMMYFUNCTION("""COMPUTED_VALUE"""),"https://drive.google.com/drive/folders/10T2cTQHqEJZqE-st6uFKPoI?usp=share_link")</f>
        <v>https://drive.google.com/drive/folders/10T2cTQHqEJZqE-st6uFKPoI?usp=share_link</v>
      </c>
      <c r="P2626" s="6" t="str">
        <f>IFERROR(__xludf.DUMMYFUNCTION("""COMPUTED_VALUE"""),"Natali Andino")</f>
        <v>Natali Andino</v>
      </c>
      <c r="Q2626" s="6" t="str">
        <f>IFERROR(__xludf.DUMMYFUNCTION("""COMPUTED_VALUE"""),"MS")</f>
        <v>MS</v>
      </c>
      <c r="R2626" s="6">
        <f>IFERROR(__xludf.DUMMYFUNCTION("""COMPUTED_VALUE"""),0.0)</f>
        <v>0</v>
      </c>
      <c r="S2626" s="6" t="str">
        <f>IFERROR(__xludf.DUMMYFUNCTION("""COMPUTED_VALUE"""),"Toni Tumbusch")</f>
        <v>Toni Tumbusch</v>
      </c>
      <c r="T2626" s="6" t="str">
        <f>IFERROR(__xludf.DUMMYFUNCTION("""COMPUTED_VALUE"""),"ttumbusch@readingschools.org")</f>
        <v>ttumbusch@readingschools.org</v>
      </c>
      <c r="U2626" s="6" t="str">
        <f>IFERROR(__xludf.DUMMYFUNCTION("""COMPUTED_VALUE"""),"6")</f>
        <v>6</v>
      </c>
      <c r="V2626" s="6" t="str">
        <f>IFERROR(__xludf.DUMMYFUNCTION("""COMPUTED_VALUE"""),"English")</f>
        <v>English</v>
      </c>
      <c r="W2626" s="6" t="str">
        <f>IFERROR(__xludf.DUMMYFUNCTION("""COMPUTED_VALUE"""),"[]")</f>
        <v>[]</v>
      </c>
      <c r="X2626" s="6" t="str">
        <f>IFERROR(__xludf.DUMMYFUNCTION("""COMPUTED_VALUE"""),"Enrolled")</f>
        <v>Enrolled</v>
      </c>
    </row>
    <row r="2627">
      <c r="A2627" s="6" t="str">
        <f>IFERROR(__xludf.DUMMYFUNCTION("""COMPUTED_VALUE"""),"056-5400")</f>
        <v>056-5400</v>
      </c>
      <c r="B2627" s="6" t="str">
        <f>IFERROR(__xludf.DUMMYFUNCTION("""COMPUTED_VALUE"""),"56")</f>
        <v>56</v>
      </c>
      <c r="C2627" s="6" t="str">
        <f>IFERROR(__xludf.DUMMYFUNCTION("""COMPUTED_VALUE"""),"5400")</f>
        <v>5400</v>
      </c>
      <c r="D2627" s="6" t="str">
        <f>IFERROR(__xludf.DUMMYFUNCTION("""COMPUTED_VALUE"""),"Prince")</f>
        <v>Prince</v>
      </c>
      <c r="E2627" s="6" t="str">
        <f>IFERROR(__xludf.DUMMYFUNCTION("""COMPUTED_VALUE"""),"")</f>
        <v/>
      </c>
      <c r="F2627" s="6" t="str">
        <f>IFERROR(__xludf.DUMMYFUNCTION("""COMPUTED_VALUE"""),"Wright")</f>
        <v>Wright</v>
      </c>
      <c r="G2627" s="6" t="str">
        <f>IFERROR(__xludf.DUMMYFUNCTION("""COMPUTED_VALUE"""),"06/01/2014")</f>
        <v>06/01/2014</v>
      </c>
      <c r="H2627" s="6" t="str">
        <f>IFERROR(__xludf.DUMMYFUNCTION("""COMPUTED_VALUE"""),"Self Identify")</f>
        <v>Self Identify</v>
      </c>
      <c r="I2627" s="6" t="str">
        <f>IFERROR(__xludf.DUMMYFUNCTION("""COMPUTED_VALUE"""),"Middle School")</f>
        <v>Middle School</v>
      </c>
      <c r="J2627" s="6" t="str">
        <f>IFERROR(__xludf.DUMMYFUNCTION("""COMPUTED_VALUE"""),"6")</f>
        <v>6</v>
      </c>
      <c r="K2627" s="6" t="str">
        <f>IFERROR(__xludf.DUMMYFUNCTION("""COMPUTED_VALUE"""),"prince.wright@2hourlearning.com")</f>
        <v>prince.wright@2hourlearning.com</v>
      </c>
      <c r="L2627" s="6" t="str">
        <f>IFERROR(__xludf.DUMMYFUNCTION("""COMPUTED_VALUE"""),"Reading Community City School District")</f>
        <v>Reading Community City School District</v>
      </c>
      <c r="M2627" s="6" t="str">
        <f>IFERROR(__xludf.DUMMYFUNCTION("""COMPUTED_VALUE"""),"Elementary")</f>
        <v>Elementary</v>
      </c>
      <c r="N2627" s="6" t="str">
        <f>IFERROR(__xludf.DUMMYFUNCTION("""COMPUTED_VALUE"""),"")</f>
        <v/>
      </c>
      <c r="O2627" s="87" t="str">
        <f>IFERROR(__xludf.DUMMYFUNCTION("""COMPUTED_VALUE"""),"https://drive.google.com/drive/folders/10T2cTQHqEJZqE-st6uFKPoI?usp=share_link")</f>
        <v>https://drive.google.com/drive/folders/10T2cTQHqEJZqE-st6uFKPoI?usp=share_link</v>
      </c>
      <c r="P2627" s="6" t="str">
        <f>IFERROR(__xludf.DUMMYFUNCTION("""COMPUTED_VALUE"""),"Prince Wright")</f>
        <v>Prince Wright</v>
      </c>
      <c r="Q2627" s="6" t="str">
        <f>IFERROR(__xludf.DUMMYFUNCTION("""COMPUTED_VALUE"""),"MS")</f>
        <v>MS</v>
      </c>
      <c r="R2627" s="6">
        <f>IFERROR(__xludf.DUMMYFUNCTION("""COMPUTED_VALUE"""),0.0)</f>
        <v>0</v>
      </c>
      <c r="S2627" s="6" t="str">
        <f>IFERROR(__xludf.DUMMYFUNCTION("""COMPUTED_VALUE"""),"Toni Tumbusch")</f>
        <v>Toni Tumbusch</v>
      </c>
      <c r="T2627" s="6" t="str">
        <f>IFERROR(__xludf.DUMMYFUNCTION("""COMPUTED_VALUE"""),"ttumbusch@readingschools.org")</f>
        <v>ttumbusch@readingschools.org</v>
      </c>
      <c r="U2627" s="6" t="str">
        <f>IFERROR(__xludf.DUMMYFUNCTION("""COMPUTED_VALUE"""),"6")</f>
        <v>6</v>
      </c>
      <c r="V2627" s="6" t="str">
        <f>IFERROR(__xludf.DUMMYFUNCTION("""COMPUTED_VALUE"""),"English")</f>
        <v>English</v>
      </c>
      <c r="W2627" s="6" t="str">
        <f>IFERROR(__xludf.DUMMYFUNCTION("""COMPUTED_VALUE"""),"[]")</f>
        <v>[]</v>
      </c>
      <c r="X2627" s="6" t="str">
        <f>IFERROR(__xludf.DUMMYFUNCTION("""COMPUTED_VALUE"""),"Enrolled")</f>
        <v>Enrolled</v>
      </c>
    </row>
    <row r="2628">
      <c r="A2628" s="6" t="str">
        <f>IFERROR(__xludf.DUMMYFUNCTION("""COMPUTED_VALUE"""),"056-5401")</f>
        <v>056-5401</v>
      </c>
      <c r="B2628" s="6" t="str">
        <f>IFERROR(__xludf.DUMMYFUNCTION("""COMPUTED_VALUE"""),"56")</f>
        <v>56</v>
      </c>
      <c r="C2628" s="6" t="str">
        <f>IFERROR(__xludf.DUMMYFUNCTION("""COMPUTED_VALUE"""),"5401")</f>
        <v>5401</v>
      </c>
      <c r="D2628" s="6" t="str">
        <f>IFERROR(__xludf.DUMMYFUNCTION("""COMPUTED_VALUE"""),"Rhylee")</f>
        <v>Rhylee</v>
      </c>
      <c r="E2628" s="6" t="str">
        <f>IFERROR(__xludf.DUMMYFUNCTION("""COMPUTED_VALUE"""),"")</f>
        <v/>
      </c>
      <c r="F2628" s="6" t="str">
        <f>IFERROR(__xludf.DUMMYFUNCTION("""COMPUTED_VALUE"""),"Theis")</f>
        <v>Theis</v>
      </c>
      <c r="G2628" s="6" t="str">
        <f>IFERROR(__xludf.DUMMYFUNCTION("""COMPUTED_VALUE"""),"11/08/2013")</f>
        <v>11/08/2013</v>
      </c>
      <c r="H2628" s="6" t="str">
        <f>IFERROR(__xludf.DUMMYFUNCTION("""COMPUTED_VALUE"""),"Self Identify")</f>
        <v>Self Identify</v>
      </c>
      <c r="I2628" s="6" t="str">
        <f>IFERROR(__xludf.DUMMYFUNCTION("""COMPUTED_VALUE"""),"Middle School")</f>
        <v>Middle School</v>
      </c>
      <c r="J2628" s="6" t="str">
        <f>IFERROR(__xludf.DUMMYFUNCTION("""COMPUTED_VALUE"""),"6")</f>
        <v>6</v>
      </c>
      <c r="K2628" s="6" t="str">
        <f>IFERROR(__xludf.DUMMYFUNCTION("""COMPUTED_VALUE"""),"rhylee.theis@2hourlearning.com")</f>
        <v>rhylee.theis@2hourlearning.com</v>
      </c>
      <c r="L2628" s="6" t="str">
        <f>IFERROR(__xludf.DUMMYFUNCTION("""COMPUTED_VALUE"""),"Reading Community City School District")</f>
        <v>Reading Community City School District</v>
      </c>
      <c r="M2628" s="6" t="str">
        <f>IFERROR(__xludf.DUMMYFUNCTION("""COMPUTED_VALUE"""),"Elementary")</f>
        <v>Elementary</v>
      </c>
      <c r="N2628" s="6" t="str">
        <f>IFERROR(__xludf.DUMMYFUNCTION("""COMPUTED_VALUE"""),"")</f>
        <v/>
      </c>
      <c r="O2628" s="87" t="str">
        <f>IFERROR(__xludf.DUMMYFUNCTION("""COMPUTED_VALUE"""),"https://drive.google.com/drive/folders/10T2cTQHqEJZqE-st6uFKPoI?usp=share_link")</f>
        <v>https://drive.google.com/drive/folders/10T2cTQHqEJZqE-st6uFKPoI?usp=share_link</v>
      </c>
      <c r="P2628" s="6" t="str">
        <f>IFERROR(__xludf.DUMMYFUNCTION("""COMPUTED_VALUE"""),"Rhylee Theis")</f>
        <v>Rhylee Theis</v>
      </c>
      <c r="Q2628" s="6" t="str">
        <f>IFERROR(__xludf.DUMMYFUNCTION("""COMPUTED_VALUE"""),"MS")</f>
        <v>MS</v>
      </c>
      <c r="R2628" s="6">
        <f>IFERROR(__xludf.DUMMYFUNCTION("""COMPUTED_VALUE"""),0.0)</f>
        <v>0</v>
      </c>
      <c r="S2628" s="6" t="str">
        <f>IFERROR(__xludf.DUMMYFUNCTION("""COMPUTED_VALUE"""),"Toni Tumbusch")</f>
        <v>Toni Tumbusch</v>
      </c>
      <c r="T2628" s="6" t="str">
        <f>IFERROR(__xludf.DUMMYFUNCTION("""COMPUTED_VALUE"""),"ttumbusch@readingschools.org")</f>
        <v>ttumbusch@readingschools.org</v>
      </c>
      <c r="U2628" s="6" t="str">
        <f>IFERROR(__xludf.DUMMYFUNCTION("""COMPUTED_VALUE"""),"6")</f>
        <v>6</v>
      </c>
      <c r="V2628" s="6" t="str">
        <f>IFERROR(__xludf.DUMMYFUNCTION("""COMPUTED_VALUE"""),"English")</f>
        <v>English</v>
      </c>
      <c r="W2628" s="6" t="str">
        <f>IFERROR(__xludf.DUMMYFUNCTION("""COMPUTED_VALUE"""),"[]")</f>
        <v>[]</v>
      </c>
      <c r="X2628" s="6" t="str">
        <f>IFERROR(__xludf.DUMMYFUNCTION("""COMPUTED_VALUE"""),"Enrolled")</f>
        <v>Enrolled</v>
      </c>
    </row>
    <row r="2629">
      <c r="A2629" s="6" t="str">
        <f>IFERROR(__xludf.DUMMYFUNCTION("""COMPUTED_VALUE"""),"056-5402")</f>
        <v>056-5402</v>
      </c>
      <c r="B2629" s="6" t="str">
        <f>IFERROR(__xludf.DUMMYFUNCTION("""COMPUTED_VALUE"""),"56")</f>
        <v>56</v>
      </c>
      <c r="C2629" s="6" t="str">
        <f>IFERROR(__xludf.DUMMYFUNCTION("""COMPUTED_VALUE"""),"5402")</f>
        <v>5402</v>
      </c>
      <c r="D2629" s="6" t="str">
        <f>IFERROR(__xludf.DUMMYFUNCTION("""COMPUTED_VALUE"""),"Rumer")</f>
        <v>Rumer</v>
      </c>
      <c r="E2629" s="6" t="str">
        <f>IFERROR(__xludf.DUMMYFUNCTION("""COMPUTED_VALUE"""),"")</f>
        <v/>
      </c>
      <c r="F2629" s="6" t="str">
        <f>IFERROR(__xludf.DUMMYFUNCTION("""COMPUTED_VALUE"""),"Rose")</f>
        <v>Rose</v>
      </c>
      <c r="G2629" s="6" t="str">
        <f>IFERROR(__xludf.DUMMYFUNCTION("""COMPUTED_VALUE"""),"08/24/2014")</f>
        <v>08/24/2014</v>
      </c>
      <c r="H2629" s="6" t="str">
        <f>IFERROR(__xludf.DUMMYFUNCTION("""COMPUTED_VALUE"""),"Self Identify")</f>
        <v>Self Identify</v>
      </c>
      <c r="I2629" s="6" t="str">
        <f>IFERROR(__xludf.DUMMYFUNCTION("""COMPUTED_VALUE"""),"Middle School")</f>
        <v>Middle School</v>
      </c>
      <c r="J2629" s="6" t="str">
        <f>IFERROR(__xludf.DUMMYFUNCTION("""COMPUTED_VALUE"""),"6")</f>
        <v>6</v>
      </c>
      <c r="K2629" s="6" t="str">
        <f>IFERROR(__xludf.DUMMYFUNCTION("""COMPUTED_VALUE"""),"rumer.rose@2hourlearning.com")</f>
        <v>rumer.rose@2hourlearning.com</v>
      </c>
      <c r="L2629" s="6" t="str">
        <f>IFERROR(__xludf.DUMMYFUNCTION("""COMPUTED_VALUE"""),"Reading Community City School District")</f>
        <v>Reading Community City School District</v>
      </c>
      <c r="M2629" s="6" t="str">
        <f>IFERROR(__xludf.DUMMYFUNCTION("""COMPUTED_VALUE"""),"Elementary")</f>
        <v>Elementary</v>
      </c>
      <c r="N2629" s="6" t="str">
        <f>IFERROR(__xludf.DUMMYFUNCTION("""COMPUTED_VALUE"""),"")</f>
        <v/>
      </c>
      <c r="O2629" s="87" t="str">
        <f>IFERROR(__xludf.DUMMYFUNCTION("""COMPUTED_VALUE"""),"https://drive.google.com/drive/folders/10T2cTQHqEJZqE-st6uFKPoI?usp=share_link")</f>
        <v>https://drive.google.com/drive/folders/10T2cTQHqEJZqE-st6uFKPoI?usp=share_link</v>
      </c>
      <c r="P2629" s="6" t="str">
        <f>IFERROR(__xludf.DUMMYFUNCTION("""COMPUTED_VALUE"""),"Rumer Rose")</f>
        <v>Rumer Rose</v>
      </c>
      <c r="Q2629" s="6" t="str">
        <f>IFERROR(__xludf.DUMMYFUNCTION("""COMPUTED_VALUE"""),"MS")</f>
        <v>MS</v>
      </c>
      <c r="R2629" s="6">
        <f>IFERROR(__xludf.DUMMYFUNCTION("""COMPUTED_VALUE"""),0.0)</f>
        <v>0</v>
      </c>
      <c r="S2629" s="6" t="str">
        <f>IFERROR(__xludf.DUMMYFUNCTION("""COMPUTED_VALUE"""),"Toni Tumbusch")</f>
        <v>Toni Tumbusch</v>
      </c>
      <c r="T2629" s="6" t="str">
        <f>IFERROR(__xludf.DUMMYFUNCTION("""COMPUTED_VALUE"""),"ttumbusch@readingschools.org")</f>
        <v>ttumbusch@readingschools.org</v>
      </c>
      <c r="U2629" s="6" t="str">
        <f>IFERROR(__xludf.DUMMYFUNCTION("""COMPUTED_VALUE"""),"6")</f>
        <v>6</v>
      </c>
      <c r="V2629" s="6" t="str">
        <f>IFERROR(__xludf.DUMMYFUNCTION("""COMPUTED_VALUE"""),"English")</f>
        <v>English</v>
      </c>
      <c r="W2629" s="6" t="str">
        <f>IFERROR(__xludf.DUMMYFUNCTION("""COMPUTED_VALUE"""),"[]")</f>
        <v>[]</v>
      </c>
      <c r="X2629" s="6" t="str">
        <f>IFERROR(__xludf.DUMMYFUNCTION("""COMPUTED_VALUE"""),"Enrolled")</f>
        <v>Enrolled</v>
      </c>
    </row>
    <row r="2630">
      <c r="A2630" s="6" t="str">
        <f>IFERROR(__xludf.DUMMYFUNCTION("""COMPUTED_VALUE"""),"056-5403")</f>
        <v>056-5403</v>
      </c>
      <c r="B2630" s="6" t="str">
        <f>IFERROR(__xludf.DUMMYFUNCTION("""COMPUTED_VALUE"""),"56")</f>
        <v>56</v>
      </c>
      <c r="C2630" s="6" t="str">
        <f>IFERROR(__xludf.DUMMYFUNCTION("""COMPUTED_VALUE"""),"5403")</f>
        <v>5403</v>
      </c>
      <c r="D2630" s="6" t="str">
        <f>IFERROR(__xludf.DUMMYFUNCTION("""COMPUTED_VALUE"""),"Savannah")</f>
        <v>Savannah</v>
      </c>
      <c r="E2630" s="6" t="str">
        <f>IFERROR(__xludf.DUMMYFUNCTION("""COMPUTED_VALUE"""),"")</f>
        <v/>
      </c>
      <c r="F2630" s="6" t="str">
        <f>IFERROR(__xludf.DUMMYFUNCTION("""COMPUTED_VALUE"""),"Walker")</f>
        <v>Walker</v>
      </c>
      <c r="G2630" s="6" t="str">
        <f>IFERROR(__xludf.DUMMYFUNCTION("""COMPUTED_VALUE"""),"06/09/2014")</f>
        <v>06/09/2014</v>
      </c>
      <c r="H2630" s="6" t="str">
        <f>IFERROR(__xludf.DUMMYFUNCTION("""COMPUTED_VALUE"""),"Self Identify")</f>
        <v>Self Identify</v>
      </c>
      <c r="I2630" s="6" t="str">
        <f>IFERROR(__xludf.DUMMYFUNCTION("""COMPUTED_VALUE"""),"Middle School")</f>
        <v>Middle School</v>
      </c>
      <c r="J2630" s="6" t="str">
        <f>IFERROR(__xludf.DUMMYFUNCTION("""COMPUTED_VALUE"""),"6")</f>
        <v>6</v>
      </c>
      <c r="K2630" s="6" t="str">
        <f>IFERROR(__xludf.DUMMYFUNCTION("""COMPUTED_VALUE"""),"savannah.walker@2hourlearning.com")</f>
        <v>savannah.walker@2hourlearning.com</v>
      </c>
      <c r="L2630" s="6" t="str">
        <f>IFERROR(__xludf.DUMMYFUNCTION("""COMPUTED_VALUE"""),"Reading Community City School District")</f>
        <v>Reading Community City School District</v>
      </c>
      <c r="M2630" s="6" t="str">
        <f>IFERROR(__xludf.DUMMYFUNCTION("""COMPUTED_VALUE"""),"Elementary")</f>
        <v>Elementary</v>
      </c>
      <c r="N2630" s="6" t="str">
        <f>IFERROR(__xludf.DUMMYFUNCTION("""COMPUTED_VALUE"""),"")</f>
        <v/>
      </c>
      <c r="O2630" s="87" t="str">
        <f>IFERROR(__xludf.DUMMYFUNCTION("""COMPUTED_VALUE"""),"https://drive.google.com/drive/folders/10T2cTQHqEJZqE-st6uFKPoI?usp=share_link")</f>
        <v>https://drive.google.com/drive/folders/10T2cTQHqEJZqE-st6uFKPoI?usp=share_link</v>
      </c>
      <c r="P2630" s="6" t="str">
        <f>IFERROR(__xludf.DUMMYFUNCTION("""COMPUTED_VALUE"""),"Savannah Walker")</f>
        <v>Savannah Walker</v>
      </c>
      <c r="Q2630" s="6" t="str">
        <f>IFERROR(__xludf.DUMMYFUNCTION("""COMPUTED_VALUE"""),"MS")</f>
        <v>MS</v>
      </c>
      <c r="R2630" s="6">
        <f>IFERROR(__xludf.DUMMYFUNCTION("""COMPUTED_VALUE"""),0.0)</f>
        <v>0</v>
      </c>
      <c r="S2630" s="6" t="str">
        <f>IFERROR(__xludf.DUMMYFUNCTION("""COMPUTED_VALUE"""),"Toni Tumbusch")</f>
        <v>Toni Tumbusch</v>
      </c>
      <c r="T2630" s="6" t="str">
        <f>IFERROR(__xludf.DUMMYFUNCTION("""COMPUTED_VALUE"""),"ttumbusch@readingschools.org")</f>
        <v>ttumbusch@readingschools.org</v>
      </c>
      <c r="U2630" s="6" t="str">
        <f>IFERROR(__xludf.DUMMYFUNCTION("""COMPUTED_VALUE"""),"6")</f>
        <v>6</v>
      </c>
      <c r="V2630" s="6" t="str">
        <f>IFERROR(__xludf.DUMMYFUNCTION("""COMPUTED_VALUE"""),"English")</f>
        <v>English</v>
      </c>
      <c r="W2630" s="6" t="str">
        <f>IFERROR(__xludf.DUMMYFUNCTION("""COMPUTED_VALUE"""),"[]")</f>
        <v>[]</v>
      </c>
      <c r="X2630" s="6" t="str">
        <f>IFERROR(__xludf.DUMMYFUNCTION("""COMPUTED_VALUE"""),"Enrolled")</f>
        <v>Enrolled</v>
      </c>
    </row>
    <row r="2631">
      <c r="A2631" s="6" t="str">
        <f>IFERROR(__xludf.DUMMYFUNCTION("""COMPUTED_VALUE"""),"056-5404")</f>
        <v>056-5404</v>
      </c>
      <c r="B2631" s="6" t="str">
        <f>IFERROR(__xludf.DUMMYFUNCTION("""COMPUTED_VALUE"""),"56")</f>
        <v>56</v>
      </c>
      <c r="C2631" s="6" t="str">
        <f>IFERROR(__xludf.DUMMYFUNCTION("""COMPUTED_VALUE"""),"5404")</f>
        <v>5404</v>
      </c>
      <c r="D2631" s="6" t="str">
        <f>IFERROR(__xludf.DUMMYFUNCTION("""COMPUTED_VALUE"""),"Ty'Reek")</f>
        <v>Ty'Reek</v>
      </c>
      <c r="E2631" s="6" t="str">
        <f>IFERROR(__xludf.DUMMYFUNCTION("""COMPUTED_VALUE"""),"")</f>
        <v/>
      </c>
      <c r="F2631" s="6" t="str">
        <f>IFERROR(__xludf.DUMMYFUNCTION("""COMPUTED_VALUE"""),"Harris")</f>
        <v>Harris</v>
      </c>
      <c r="G2631" s="6" t="str">
        <f>IFERROR(__xludf.DUMMYFUNCTION("""COMPUTED_VALUE"""),"02/04/2014")</f>
        <v>02/04/2014</v>
      </c>
      <c r="H2631" s="6" t="str">
        <f>IFERROR(__xludf.DUMMYFUNCTION("""COMPUTED_VALUE"""),"Self Identify")</f>
        <v>Self Identify</v>
      </c>
      <c r="I2631" s="6" t="str">
        <f>IFERROR(__xludf.DUMMYFUNCTION("""COMPUTED_VALUE"""),"Middle School")</f>
        <v>Middle School</v>
      </c>
      <c r="J2631" s="6" t="str">
        <f>IFERROR(__xludf.DUMMYFUNCTION("""COMPUTED_VALUE"""),"6")</f>
        <v>6</v>
      </c>
      <c r="K2631" s="6" t="str">
        <f>IFERROR(__xludf.DUMMYFUNCTION("""COMPUTED_VALUE"""),"tyreek.harris@2hourlearning.com")</f>
        <v>tyreek.harris@2hourlearning.com</v>
      </c>
      <c r="L2631" s="6" t="str">
        <f>IFERROR(__xludf.DUMMYFUNCTION("""COMPUTED_VALUE"""),"Reading Community City School District")</f>
        <v>Reading Community City School District</v>
      </c>
      <c r="M2631" s="6" t="str">
        <f>IFERROR(__xludf.DUMMYFUNCTION("""COMPUTED_VALUE"""),"Elementary")</f>
        <v>Elementary</v>
      </c>
      <c r="N2631" s="6" t="str">
        <f>IFERROR(__xludf.DUMMYFUNCTION("""COMPUTED_VALUE"""),"")</f>
        <v/>
      </c>
      <c r="O2631" s="87" t="str">
        <f>IFERROR(__xludf.DUMMYFUNCTION("""COMPUTED_VALUE"""),"https://drive.google.com/drive/folders/10T2cTQHqEJZqE-st6uFKPoI?usp=share_link")</f>
        <v>https://drive.google.com/drive/folders/10T2cTQHqEJZqE-st6uFKPoI?usp=share_link</v>
      </c>
      <c r="P2631" s="6" t="str">
        <f>IFERROR(__xludf.DUMMYFUNCTION("""COMPUTED_VALUE"""),"Ty'Reek Harris")</f>
        <v>Ty'Reek Harris</v>
      </c>
      <c r="Q2631" s="6" t="str">
        <f>IFERROR(__xludf.DUMMYFUNCTION("""COMPUTED_VALUE"""),"MS")</f>
        <v>MS</v>
      </c>
      <c r="R2631" s="6">
        <f>IFERROR(__xludf.DUMMYFUNCTION("""COMPUTED_VALUE"""),0.0)</f>
        <v>0</v>
      </c>
      <c r="S2631" s="6" t="str">
        <f>IFERROR(__xludf.DUMMYFUNCTION("""COMPUTED_VALUE"""),"Toni Tumbusch")</f>
        <v>Toni Tumbusch</v>
      </c>
      <c r="T2631" s="6" t="str">
        <f>IFERROR(__xludf.DUMMYFUNCTION("""COMPUTED_VALUE"""),"ttumbusch@readingschools.org")</f>
        <v>ttumbusch@readingschools.org</v>
      </c>
      <c r="U2631" s="6" t="str">
        <f>IFERROR(__xludf.DUMMYFUNCTION("""COMPUTED_VALUE"""),"6")</f>
        <v>6</v>
      </c>
      <c r="V2631" s="6" t="str">
        <f>IFERROR(__xludf.DUMMYFUNCTION("""COMPUTED_VALUE"""),"English")</f>
        <v>English</v>
      </c>
      <c r="W2631" s="6" t="str">
        <f>IFERROR(__xludf.DUMMYFUNCTION("""COMPUTED_VALUE"""),"[]")</f>
        <v>[]</v>
      </c>
      <c r="X2631" s="6" t="str">
        <f>IFERROR(__xludf.DUMMYFUNCTION("""COMPUTED_VALUE"""),"Enrolled")</f>
        <v>Enrolled</v>
      </c>
    </row>
    <row r="2632">
      <c r="A2632" s="6" t="str">
        <f>IFERROR(__xludf.DUMMYFUNCTION("""COMPUTED_VALUE"""),"056-5406")</f>
        <v>056-5406</v>
      </c>
      <c r="B2632" s="6" t="str">
        <f>IFERROR(__xludf.DUMMYFUNCTION("""COMPUTED_VALUE"""),"56")</f>
        <v>56</v>
      </c>
      <c r="C2632" s="6" t="str">
        <f>IFERROR(__xludf.DUMMYFUNCTION("""COMPUTED_VALUE"""),"5406")</f>
        <v>5406</v>
      </c>
      <c r="D2632" s="6" t="str">
        <f>IFERROR(__xludf.DUMMYFUNCTION("""COMPUTED_VALUE"""),"Aleaha")</f>
        <v>Aleaha</v>
      </c>
      <c r="E2632" s="6" t="str">
        <f>IFERROR(__xludf.DUMMYFUNCTION("""COMPUTED_VALUE"""),"")</f>
        <v/>
      </c>
      <c r="F2632" s="6" t="str">
        <f>IFERROR(__xludf.DUMMYFUNCTION("""COMPUTED_VALUE"""),"Bedford")</f>
        <v>Bedford</v>
      </c>
      <c r="G2632" s="6" t="str">
        <f>IFERROR(__xludf.DUMMYFUNCTION("""COMPUTED_VALUE"""),"06/20/2013")</f>
        <v>06/20/2013</v>
      </c>
      <c r="H2632" s="6" t="str">
        <f>IFERROR(__xludf.DUMMYFUNCTION("""COMPUTED_VALUE"""),"Self Identify")</f>
        <v>Self Identify</v>
      </c>
      <c r="I2632" s="6" t="str">
        <f>IFERROR(__xludf.DUMMYFUNCTION("""COMPUTED_VALUE"""),"Middle School")</f>
        <v>Middle School</v>
      </c>
      <c r="J2632" s="6" t="str">
        <f>IFERROR(__xludf.DUMMYFUNCTION("""COMPUTED_VALUE"""),"7")</f>
        <v>7</v>
      </c>
      <c r="K2632" s="6" t="str">
        <f>IFERROR(__xludf.DUMMYFUNCTION("""COMPUTED_VALUE"""),"aleaha.bedford@2hourlearning.com")</f>
        <v>aleaha.bedford@2hourlearning.com</v>
      </c>
      <c r="L2632" s="6" t="str">
        <f>IFERROR(__xludf.DUMMYFUNCTION("""COMPUTED_VALUE"""),"Reading Community City School District")</f>
        <v>Reading Community City School District</v>
      </c>
      <c r="M2632" s="6" t="str">
        <f>IFERROR(__xludf.DUMMYFUNCTION("""COMPUTED_VALUE"""),"Middle")</f>
        <v>Middle</v>
      </c>
      <c r="N2632" s="6" t="str">
        <f>IFERROR(__xludf.DUMMYFUNCTION("""COMPUTED_VALUE"""),"")</f>
        <v/>
      </c>
      <c r="O2632" s="87" t="str">
        <f>IFERROR(__xludf.DUMMYFUNCTION("""COMPUTED_VALUE"""),"https://drive.google.com/drive/folders/10T2cTQHqEJZqE-st6uFKPoI?usp=share_link")</f>
        <v>https://drive.google.com/drive/folders/10T2cTQHqEJZqE-st6uFKPoI?usp=share_link</v>
      </c>
      <c r="P2632" s="6" t="str">
        <f>IFERROR(__xludf.DUMMYFUNCTION("""COMPUTED_VALUE"""),"Aleaha Bedford")</f>
        <v>Aleaha Bedford</v>
      </c>
      <c r="Q2632" s="6" t="str">
        <f>IFERROR(__xludf.DUMMYFUNCTION("""COMPUTED_VALUE"""),"MS")</f>
        <v>MS</v>
      </c>
      <c r="R2632" s="6">
        <f>IFERROR(__xludf.DUMMYFUNCTION("""COMPUTED_VALUE"""),0.0)</f>
        <v>0</v>
      </c>
      <c r="S2632" s="6" t="str">
        <f>IFERROR(__xludf.DUMMYFUNCTION("""COMPUTED_VALUE"""),"Lexi Breuesewitz")</f>
        <v>Lexi Breuesewitz</v>
      </c>
      <c r="T2632" s="6" t="str">
        <f>IFERROR(__xludf.DUMMYFUNCTION("""COMPUTED_VALUE"""),"abruesewitz@readingschools.org")</f>
        <v>abruesewitz@readingschools.org</v>
      </c>
      <c r="U2632" s="6" t="str">
        <f>IFERROR(__xludf.DUMMYFUNCTION("""COMPUTED_VALUE"""),"7")</f>
        <v>7</v>
      </c>
      <c r="V2632" s="6" t="str">
        <f>IFERROR(__xludf.DUMMYFUNCTION("""COMPUTED_VALUE"""),"English")</f>
        <v>English</v>
      </c>
      <c r="W2632" s="6" t="str">
        <f>IFERROR(__xludf.DUMMYFUNCTION("""COMPUTED_VALUE"""),"[]")</f>
        <v>[]</v>
      </c>
      <c r="X2632" s="6" t="str">
        <f>IFERROR(__xludf.DUMMYFUNCTION("""COMPUTED_VALUE"""),"Enrolled")</f>
        <v>Enrolled</v>
      </c>
    </row>
    <row r="2633">
      <c r="A2633" s="6" t="str">
        <f>IFERROR(__xludf.DUMMYFUNCTION("""COMPUTED_VALUE"""),"056-5408")</f>
        <v>056-5408</v>
      </c>
      <c r="B2633" s="6" t="str">
        <f>IFERROR(__xludf.DUMMYFUNCTION("""COMPUTED_VALUE"""),"56")</f>
        <v>56</v>
      </c>
      <c r="C2633" s="6" t="str">
        <f>IFERROR(__xludf.DUMMYFUNCTION("""COMPUTED_VALUE"""),"5408")</f>
        <v>5408</v>
      </c>
      <c r="D2633" s="6" t="str">
        <f>IFERROR(__xludf.DUMMYFUNCTION("""COMPUTED_VALUE"""),"Anniya")</f>
        <v>Anniya</v>
      </c>
      <c r="E2633" s="6" t="str">
        <f>IFERROR(__xludf.DUMMYFUNCTION("""COMPUTED_VALUE"""),"")</f>
        <v/>
      </c>
      <c r="F2633" s="6" t="str">
        <f>IFERROR(__xludf.DUMMYFUNCTION("""COMPUTED_VALUE"""),"Baynes")</f>
        <v>Baynes</v>
      </c>
      <c r="G2633" s="6" t="str">
        <f>IFERROR(__xludf.DUMMYFUNCTION("""COMPUTED_VALUE"""),"07/11/2013")</f>
        <v>07/11/2013</v>
      </c>
      <c r="H2633" s="6" t="str">
        <f>IFERROR(__xludf.DUMMYFUNCTION("""COMPUTED_VALUE"""),"Self Identify")</f>
        <v>Self Identify</v>
      </c>
      <c r="I2633" s="6" t="str">
        <f>IFERROR(__xludf.DUMMYFUNCTION("""COMPUTED_VALUE"""),"Middle School")</f>
        <v>Middle School</v>
      </c>
      <c r="J2633" s="6" t="str">
        <f>IFERROR(__xludf.DUMMYFUNCTION("""COMPUTED_VALUE"""),"7")</f>
        <v>7</v>
      </c>
      <c r="K2633" s="6" t="str">
        <f>IFERROR(__xludf.DUMMYFUNCTION("""COMPUTED_VALUE"""),"anniya.baynes@2hourlearning.com")</f>
        <v>anniya.baynes@2hourlearning.com</v>
      </c>
      <c r="L2633" s="6" t="str">
        <f>IFERROR(__xludf.DUMMYFUNCTION("""COMPUTED_VALUE"""),"Reading Community City School District")</f>
        <v>Reading Community City School District</v>
      </c>
      <c r="M2633" s="6" t="str">
        <f>IFERROR(__xludf.DUMMYFUNCTION("""COMPUTED_VALUE"""),"Middle")</f>
        <v>Middle</v>
      </c>
      <c r="N2633" s="6" t="str">
        <f>IFERROR(__xludf.DUMMYFUNCTION("""COMPUTED_VALUE"""),"")</f>
        <v/>
      </c>
      <c r="O2633" s="87" t="str">
        <f>IFERROR(__xludf.DUMMYFUNCTION("""COMPUTED_VALUE"""),"https://drive.google.com/drive/folders/10T2cTQHqEJZqE-st6uFKPoI?usp=share_link")</f>
        <v>https://drive.google.com/drive/folders/10T2cTQHqEJZqE-st6uFKPoI?usp=share_link</v>
      </c>
      <c r="P2633" s="6" t="str">
        <f>IFERROR(__xludf.DUMMYFUNCTION("""COMPUTED_VALUE"""),"Anniya Baynes")</f>
        <v>Anniya Baynes</v>
      </c>
      <c r="Q2633" s="6" t="str">
        <f>IFERROR(__xludf.DUMMYFUNCTION("""COMPUTED_VALUE"""),"MS")</f>
        <v>MS</v>
      </c>
      <c r="R2633" s="6">
        <f>IFERROR(__xludf.DUMMYFUNCTION("""COMPUTED_VALUE"""),0.0)</f>
        <v>0</v>
      </c>
      <c r="S2633" s="6" t="str">
        <f>IFERROR(__xludf.DUMMYFUNCTION("""COMPUTED_VALUE"""),"Lexi Breuesewitz")</f>
        <v>Lexi Breuesewitz</v>
      </c>
      <c r="T2633" s="6" t="str">
        <f>IFERROR(__xludf.DUMMYFUNCTION("""COMPUTED_VALUE"""),"abruesewitz@readingschools.org")</f>
        <v>abruesewitz@readingschools.org</v>
      </c>
      <c r="U2633" s="6" t="str">
        <f>IFERROR(__xludf.DUMMYFUNCTION("""COMPUTED_VALUE"""),"7")</f>
        <v>7</v>
      </c>
      <c r="V2633" s="6" t="str">
        <f>IFERROR(__xludf.DUMMYFUNCTION("""COMPUTED_VALUE"""),"English")</f>
        <v>English</v>
      </c>
      <c r="W2633" s="6" t="str">
        <f>IFERROR(__xludf.DUMMYFUNCTION("""COMPUTED_VALUE"""),"[]")</f>
        <v>[]</v>
      </c>
      <c r="X2633" s="6" t="str">
        <f>IFERROR(__xludf.DUMMYFUNCTION("""COMPUTED_VALUE"""),"Enrolled")</f>
        <v>Enrolled</v>
      </c>
    </row>
    <row r="2634">
      <c r="A2634" s="6" t="str">
        <f>IFERROR(__xludf.DUMMYFUNCTION("""COMPUTED_VALUE"""),"056-5409")</f>
        <v>056-5409</v>
      </c>
      <c r="B2634" s="6" t="str">
        <f>IFERROR(__xludf.DUMMYFUNCTION("""COMPUTED_VALUE"""),"56")</f>
        <v>56</v>
      </c>
      <c r="C2634" s="6" t="str">
        <f>IFERROR(__xludf.DUMMYFUNCTION("""COMPUTED_VALUE"""),"5409")</f>
        <v>5409</v>
      </c>
      <c r="D2634" s="6" t="str">
        <f>IFERROR(__xludf.DUMMYFUNCTION("""COMPUTED_VALUE"""),"Austin")</f>
        <v>Austin</v>
      </c>
      <c r="E2634" s="6" t="str">
        <f>IFERROR(__xludf.DUMMYFUNCTION("""COMPUTED_VALUE"""),"")</f>
        <v/>
      </c>
      <c r="F2634" s="6" t="str">
        <f>IFERROR(__xludf.DUMMYFUNCTION("""COMPUTED_VALUE"""),"Thomas")</f>
        <v>Thomas</v>
      </c>
      <c r="G2634" s="6" t="str">
        <f>IFERROR(__xludf.DUMMYFUNCTION("""COMPUTED_VALUE"""),"01/02/2013")</f>
        <v>01/02/2013</v>
      </c>
      <c r="H2634" s="6" t="str">
        <f>IFERROR(__xludf.DUMMYFUNCTION("""COMPUTED_VALUE"""),"Self Identify")</f>
        <v>Self Identify</v>
      </c>
      <c r="I2634" s="6" t="str">
        <f>IFERROR(__xludf.DUMMYFUNCTION("""COMPUTED_VALUE"""),"Middle School")</f>
        <v>Middle School</v>
      </c>
      <c r="J2634" s="6" t="str">
        <f>IFERROR(__xludf.DUMMYFUNCTION("""COMPUTED_VALUE"""),"7")</f>
        <v>7</v>
      </c>
      <c r="K2634" s="6" t="str">
        <f>IFERROR(__xludf.DUMMYFUNCTION("""COMPUTED_VALUE"""),"austin.thomas@2hourlearning.com")</f>
        <v>austin.thomas@2hourlearning.com</v>
      </c>
      <c r="L2634" s="6" t="str">
        <f>IFERROR(__xludf.DUMMYFUNCTION("""COMPUTED_VALUE"""),"Reading Community City School District")</f>
        <v>Reading Community City School District</v>
      </c>
      <c r="M2634" s="6" t="str">
        <f>IFERROR(__xludf.DUMMYFUNCTION("""COMPUTED_VALUE"""),"Middle")</f>
        <v>Middle</v>
      </c>
      <c r="N2634" s="6" t="str">
        <f>IFERROR(__xludf.DUMMYFUNCTION("""COMPUTED_VALUE"""),"")</f>
        <v/>
      </c>
      <c r="O2634" s="87" t="str">
        <f>IFERROR(__xludf.DUMMYFUNCTION("""COMPUTED_VALUE"""),"https://drive.google.com/drive/folders/10T2cTQHqEJZqE-st6uFKPoI?usp=share_link")</f>
        <v>https://drive.google.com/drive/folders/10T2cTQHqEJZqE-st6uFKPoI?usp=share_link</v>
      </c>
      <c r="P2634" s="6" t="str">
        <f>IFERROR(__xludf.DUMMYFUNCTION("""COMPUTED_VALUE"""),"Austin Thomas")</f>
        <v>Austin Thomas</v>
      </c>
      <c r="Q2634" s="6" t="str">
        <f>IFERROR(__xludf.DUMMYFUNCTION("""COMPUTED_VALUE"""),"MS")</f>
        <v>MS</v>
      </c>
      <c r="R2634" s="6">
        <f>IFERROR(__xludf.DUMMYFUNCTION("""COMPUTED_VALUE"""),0.0)</f>
        <v>0</v>
      </c>
      <c r="S2634" s="6" t="str">
        <f>IFERROR(__xludf.DUMMYFUNCTION("""COMPUTED_VALUE"""),"Lexi Breuesewitz")</f>
        <v>Lexi Breuesewitz</v>
      </c>
      <c r="T2634" s="6" t="str">
        <f>IFERROR(__xludf.DUMMYFUNCTION("""COMPUTED_VALUE"""),"abruesewitz@readingschools.org")</f>
        <v>abruesewitz@readingschools.org</v>
      </c>
      <c r="U2634" s="6" t="str">
        <f>IFERROR(__xludf.DUMMYFUNCTION("""COMPUTED_VALUE"""),"7")</f>
        <v>7</v>
      </c>
      <c r="V2634" s="6" t="str">
        <f>IFERROR(__xludf.DUMMYFUNCTION("""COMPUTED_VALUE"""),"English")</f>
        <v>English</v>
      </c>
      <c r="W2634" s="6" t="str">
        <f>IFERROR(__xludf.DUMMYFUNCTION("""COMPUTED_VALUE"""),"[]")</f>
        <v>[]</v>
      </c>
      <c r="X2634" s="6" t="str">
        <f>IFERROR(__xludf.DUMMYFUNCTION("""COMPUTED_VALUE"""),"Enrolled")</f>
        <v>Enrolled</v>
      </c>
    </row>
    <row r="2635">
      <c r="A2635" s="6" t="str">
        <f>IFERROR(__xludf.DUMMYFUNCTION("""COMPUTED_VALUE"""),"056-5414")</f>
        <v>056-5414</v>
      </c>
      <c r="B2635" s="6" t="str">
        <f>IFERROR(__xludf.DUMMYFUNCTION("""COMPUTED_VALUE"""),"56")</f>
        <v>56</v>
      </c>
      <c r="C2635" s="6" t="str">
        <f>IFERROR(__xludf.DUMMYFUNCTION("""COMPUTED_VALUE"""),"5414")</f>
        <v>5414</v>
      </c>
      <c r="D2635" s="6" t="str">
        <f>IFERROR(__xludf.DUMMYFUNCTION("""COMPUTED_VALUE"""),"Callie")</f>
        <v>Callie</v>
      </c>
      <c r="E2635" s="6" t="str">
        <f>IFERROR(__xludf.DUMMYFUNCTION("""COMPUTED_VALUE"""),"")</f>
        <v/>
      </c>
      <c r="F2635" s="6" t="str">
        <f>IFERROR(__xludf.DUMMYFUNCTION("""COMPUTED_VALUE"""),"Keller")</f>
        <v>Keller</v>
      </c>
      <c r="G2635" s="6" t="str">
        <f>IFERROR(__xludf.DUMMYFUNCTION("""COMPUTED_VALUE"""),"11/04/2012")</f>
        <v>11/04/2012</v>
      </c>
      <c r="H2635" s="6" t="str">
        <f>IFERROR(__xludf.DUMMYFUNCTION("""COMPUTED_VALUE"""),"Self Identify")</f>
        <v>Self Identify</v>
      </c>
      <c r="I2635" s="6" t="str">
        <f>IFERROR(__xludf.DUMMYFUNCTION("""COMPUTED_VALUE"""),"Middle School")</f>
        <v>Middle School</v>
      </c>
      <c r="J2635" s="6" t="str">
        <f>IFERROR(__xludf.DUMMYFUNCTION("""COMPUTED_VALUE"""),"7")</f>
        <v>7</v>
      </c>
      <c r="K2635" s="6" t="str">
        <f>IFERROR(__xludf.DUMMYFUNCTION("""COMPUTED_VALUE"""),"callie.keller@2hourlearning.com")</f>
        <v>callie.keller@2hourlearning.com</v>
      </c>
      <c r="L2635" s="6" t="str">
        <f>IFERROR(__xludf.DUMMYFUNCTION("""COMPUTED_VALUE"""),"Reading Community City School District")</f>
        <v>Reading Community City School District</v>
      </c>
      <c r="M2635" s="6" t="str">
        <f>IFERROR(__xludf.DUMMYFUNCTION("""COMPUTED_VALUE"""),"Middle")</f>
        <v>Middle</v>
      </c>
      <c r="N2635" s="6" t="str">
        <f>IFERROR(__xludf.DUMMYFUNCTION("""COMPUTED_VALUE"""),"")</f>
        <v/>
      </c>
      <c r="O2635" s="87" t="str">
        <f>IFERROR(__xludf.DUMMYFUNCTION("""COMPUTED_VALUE"""),"https://drive.google.com/drive/folders/10T2cTQHqEJZqE-st6uFKPoI?usp=share_link")</f>
        <v>https://drive.google.com/drive/folders/10T2cTQHqEJZqE-st6uFKPoI?usp=share_link</v>
      </c>
      <c r="P2635" s="6" t="str">
        <f>IFERROR(__xludf.DUMMYFUNCTION("""COMPUTED_VALUE"""),"Callie Keller")</f>
        <v>Callie Keller</v>
      </c>
      <c r="Q2635" s="6" t="str">
        <f>IFERROR(__xludf.DUMMYFUNCTION("""COMPUTED_VALUE"""),"MS")</f>
        <v>MS</v>
      </c>
      <c r="R2635" s="6">
        <f>IFERROR(__xludf.DUMMYFUNCTION("""COMPUTED_VALUE"""),0.0)</f>
        <v>0</v>
      </c>
      <c r="S2635" s="6" t="str">
        <f>IFERROR(__xludf.DUMMYFUNCTION("""COMPUTED_VALUE"""),"Lexi Breuesewitz")</f>
        <v>Lexi Breuesewitz</v>
      </c>
      <c r="T2635" s="6" t="str">
        <f>IFERROR(__xludf.DUMMYFUNCTION("""COMPUTED_VALUE"""),"abruesewitz@readingschools.org")</f>
        <v>abruesewitz@readingschools.org</v>
      </c>
      <c r="U2635" s="6" t="str">
        <f>IFERROR(__xludf.DUMMYFUNCTION("""COMPUTED_VALUE"""),"7")</f>
        <v>7</v>
      </c>
      <c r="V2635" s="6" t="str">
        <f>IFERROR(__xludf.DUMMYFUNCTION("""COMPUTED_VALUE"""),"English")</f>
        <v>English</v>
      </c>
      <c r="W2635" s="6" t="str">
        <f>IFERROR(__xludf.DUMMYFUNCTION("""COMPUTED_VALUE"""),"[]")</f>
        <v>[]</v>
      </c>
      <c r="X2635" s="6" t="str">
        <f>IFERROR(__xludf.DUMMYFUNCTION("""COMPUTED_VALUE"""),"Enrolled")</f>
        <v>Enrolled</v>
      </c>
    </row>
    <row r="2636">
      <c r="A2636" s="6" t="str">
        <f>IFERROR(__xludf.DUMMYFUNCTION("""COMPUTED_VALUE"""),"056-5419")</f>
        <v>056-5419</v>
      </c>
      <c r="B2636" s="6" t="str">
        <f>IFERROR(__xludf.DUMMYFUNCTION("""COMPUTED_VALUE"""),"56")</f>
        <v>56</v>
      </c>
      <c r="C2636" s="6" t="str">
        <f>IFERROR(__xludf.DUMMYFUNCTION("""COMPUTED_VALUE"""),"5419")</f>
        <v>5419</v>
      </c>
      <c r="D2636" s="6" t="str">
        <f>IFERROR(__xludf.DUMMYFUNCTION("""COMPUTED_VALUE"""),"Emily")</f>
        <v>Emily</v>
      </c>
      <c r="E2636" s="6" t="str">
        <f>IFERROR(__xludf.DUMMYFUNCTION("""COMPUTED_VALUE"""),"")</f>
        <v/>
      </c>
      <c r="F2636" s="6" t="str">
        <f>IFERROR(__xludf.DUMMYFUNCTION("""COMPUTED_VALUE"""),"Prince")</f>
        <v>Prince</v>
      </c>
      <c r="G2636" s="6" t="str">
        <f>IFERROR(__xludf.DUMMYFUNCTION("""COMPUTED_VALUE"""),"04/08/2013")</f>
        <v>04/08/2013</v>
      </c>
      <c r="H2636" s="6" t="str">
        <f>IFERROR(__xludf.DUMMYFUNCTION("""COMPUTED_VALUE"""),"Self Identify")</f>
        <v>Self Identify</v>
      </c>
      <c r="I2636" s="6" t="str">
        <f>IFERROR(__xludf.DUMMYFUNCTION("""COMPUTED_VALUE"""),"Middle School")</f>
        <v>Middle School</v>
      </c>
      <c r="J2636" s="6" t="str">
        <f>IFERROR(__xludf.DUMMYFUNCTION("""COMPUTED_VALUE"""),"7")</f>
        <v>7</v>
      </c>
      <c r="K2636" s="6" t="str">
        <f>IFERROR(__xludf.DUMMYFUNCTION("""COMPUTED_VALUE"""),"emily.prince@2hourlearning.com")</f>
        <v>emily.prince@2hourlearning.com</v>
      </c>
      <c r="L2636" s="6" t="str">
        <f>IFERROR(__xludf.DUMMYFUNCTION("""COMPUTED_VALUE"""),"Reading Community City School District")</f>
        <v>Reading Community City School District</v>
      </c>
      <c r="M2636" s="6" t="str">
        <f>IFERROR(__xludf.DUMMYFUNCTION("""COMPUTED_VALUE"""),"Middle")</f>
        <v>Middle</v>
      </c>
      <c r="N2636" s="6" t="str">
        <f>IFERROR(__xludf.DUMMYFUNCTION("""COMPUTED_VALUE"""),"")</f>
        <v/>
      </c>
      <c r="O2636" s="87" t="str">
        <f>IFERROR(__xludf.DUMMYFUNCTION("""COMPUTED_VALUE"""),"https://drive.google.com/drive/folders/10T2cTQHqEJZqE-st6uFKPoI?usp=share_link")</f>
        <v>https://drive.google.com/drive/folders/10T2cTQHqEJZqE-st6uFKPoI?usp=share_link</v>
      </c>
      <c r="P2636" s="6" t="str">
        <f>IFERROR(__xludf.DUMMYFUNCTION("""COMPUTED_VALUE"""),"Emily Prince")</f>
        <v>Emily Prince</v>
      </c>
      <c r="Q2636" s="6" t="str">
        <f>IFERROR(__xludf.DUMMYFUNCTION("""COMPUTED_VALUE"""),"MS")</f>
        <v>MS</v>
      </c>
      <c r="R2636" s="6">
        <f>IFERROR(__xludf.DUMMYFUNCTION("""COMPUTED_VALUE"""),0.0)</f>
        <v>0</v>
      </c>
      <c r="S2636" s="6" t="str">
        <f>IFERROR(__xludf.DUMMYFUNCTION("""COMPUTED_VALUE"""),"Lexi Breuesewitz")</f>
        <v>Lexi Breuesewitz</v>
      </c>
      <c r="T2636" s="6" t="str">
        <f>IFERROR(__xludf.DUMMYFUNCTION("""COMPUTED_VALUE"""),"abruesewitz@readingschools.org")</f>
        <v>abruesewitz@readingschools.org</v>
      </c>
      <c r="U2636" s="6" t="str">
        <f>IFERROR(__xludf.DUMMYFUNCTION("""COMPUTED_VALUE"""),"7")</f>
        <v>7</v>
      </c>
      <c r="V2636" s="6" t="str">
        <f>IFERROR(__xludf.DUMMYFUNCTION("""COMPUTED_VALUE"""),"English")</f>
        <v>English</v>
      </c>
      <c r="W2636" s="6" t="str">
        <f>IFERROR(__xludf.DUMMYFUNCTION("""COMPUTED_VALUE"""),"[]")</f>
        <v>[]</v>
      </c>
      <c r="X2636" s="6" t="str">
        <f>IFERROR(__xludf.DUMMYFUNCTION("""COMPUTED_VALUE"""),"Enrolled")</f>
        <v>Enrolled</v>
      </c>
    </row>
    <row r="2637">
      <c r="A2637" s="6" t="str">
        <f>IFERROR(__xludf.DUMMYFUNCTION("""COMPUTED_VALUE"""),"056-5424")</f>
        <v>056-5424</v>
      </c>
      <c r="B2637" s="6" t="str">
        <f>IFERROR(__xludf.DUMMYFUNCTION("""COMPUTED_VALUE"""),"56")</f>
        <v>56</v>
      </c>
      <c r="C2637" s="6" t="str">
        <f>IFERROR(__xludf.DUMMYFUNCTION("""COMPUTED_VALUE"""),"5424")</f>
        <v>5424</v>
      </c>
      <c r="D2637" s="6" t="str">
        <f>IFERROR(__xludf.DUMMYFUNCTION("""COMPUTED_VALUE"""),"Jayceon")</f>
        <v>Jayceon</v>
      </c>
      <c r="E2637" s="6" t="str">
        <f>IFERROR(__xludf.DUMMYFUNCTION("""COMPUTED_VALUE"""),"")</f>
        <v/>
      </c>
      <c r="F2637" s="6" t="str">
        <f>IFERROR(__xludf.DUMMYFUNCTION("""COMPUTED_VALUE"""),"Thomas")</f>
        <v>Thomas</v>
      </c>
      <c r="G2637" s="6" t="str">
        <f>IFERROR(__xludf.DUMMYFUNCTION("""COMPUTED_VALUE"""),"10/01/2012")</f>
        <v>10/01/2012</v>
      </c>
      <c r="H2637" s="6" t="str">
        <f>IFERROR(__xludf.DUMMYFUNCTION("""COMPUTED_VALUE"""),"Self Identify")</f>
        <v>Self Identify</v>
      </c>
      <c r="I2637" s="6" t="str">
        <f>IFERROR(__xludf.DUMMYFUNCTION("""COMPUTED_VALUE"""),"Middle School")</f>
        <v>Middle School</v>
      </c>
      <c r="J2637" s="6" t="str">
        <f>IFERROR(__xludf.DUMMYFUNCTION("""COMPUTED_VALUE"""),"7")</f>
        <v>7</v>
      </c>
      <c r="K2637" s="6" t="str">
        <f>IFERROR(__xludf.DUMMYFUNCTION("""COMPUTED_VALUE"""),"jayceon.thomas@2hourlearning.com")</f>
        <v>jayceon.thomas@2hourlearning.com</v>
      </c>
      <c r="L2637" s="6" t="str">
        <f>IFERROR(__xludf.DUMMYFUNCTION("""COMPUTED_VALUE"""),"Reading Community City School District")</f>
        <v>Reading Community City School District</v>
      </c>
      <c r="M2637" s="6" t="str">
        <f>IFERROR(__xludf.DUMMYFUNCTION("""COMPUTED_VALUE"""),"Middle")</f>
        <v>Middle</v>
      </c>
      <c r="N2637" s="6" t="str">
        <f>IFERROR(__xludf.DUMMYFUNCTION("""COMPUTED_VALUE"""),"")</f>
        <v/>
      </c>
      <c r="O2637" s="87" t="str">
        <f>IFERROR(__xludf.DUMMYFUNCTION("""COMPUTED_VALUE"""),"https://drive.google.com/drive/folders/10T2cTQHqEJZqE-st6uFKPoI?usp=share_link")</f>
        <v>https://drive.google.com/drive/folders/10T2cTQHqEJZqE-st6uFKPoI?usp=share_link</v>
      </c>
      <c r="P2637" s="6" t="str">
        <f>IFERROR(__xludf.DUMMYFUNCTION("""COMPUTED_VALUE"""),"Jayceon Thomas")</f>
        <v>Jayceon Thomas</v>
      </c>
      <c r="Q2637" s="6" t="str">
        <f>IFERROR(__xludf.DUMMYFUNCTION("""COMPUTED_VALUE"""),"MS")</f>
        <v>MS</v>
      </c>
      <c r="R2637" s="6">
        <f>IFERROR(__xludf.DUMMYFUNCTION("""COMPUTED_VALUE"""),0.0)</f>
        <v>0</v>
      </c>
      <c r="S2637" s="6" t="str">
        <f>IFERROR(__xludf.DUMMYFUNCTION("""COMPUTED_VALUE"""),"Lexi Breuesewitz")</f>
        <v>Lexi Breuesewitz</v>
      </c>
      <c r="T2637" s="6" t="str">
        <f>IFERROR(__xludf.DUMMYFUNCTION("""COMPUTED_VALUE"""),"abruesewitz@readingschools.org")</f>
        <v>abruesewitz@readingschools.org</v>
      </c>
      <c r="U2637" s="6" t="str">
        <f>IFERROR(__xludf.DUMMYFUNCTION("""COMPUTED_VALUE"""),"7")</f>
        <v>7</v>
      </c>
      <c r="V2637" s="6" t="str">
        <f>IFERROR(__xludf.DUMMYFUNCTION("""COMPUTED_VALUE"""),"English")</f>
        <v>English</v>
      </c>
      <c r="W2637" s="6" t="str">
        <f>IFERROR(__xludf.DUMMYFUNCTION("""COMPUTED_VALUE"""),"[]")</f>
        <v>[]</v>
      </c>
      <c r="X2637" s="6" t="str">
        <f>IFERROR(__xludf.DUMMYFUNCTION("""COMPUTED_VALUE"""),"Enrolled")</f>
        <v>Enrolled</v>
      </c>
    </row>
    <row r="2638">
      <c r="A2638" s="6" t="str">
        <f>IFERROR(__xludf.DUMMYFUNCTION("""COMPUTED_VALUE"""),"056-5425")</f>
        <v>056-5425</v>
      </c>
      <c r="B2638" s="6" t="str">
        <f>IFERROR(__xludf.DUMMYFUNCTION("""COMPUTED_VALUE"""),"56")</f>
        <v>56</v>
      </c>
      <c r="C2638" s="6" t="str">
        <f>IFERROR(__xludf.DUMMYFUNCTION("""COMPUTED_VALUE"""),"5425")</f>
        <v>5425</v>
      </c>
      <c r="D2638" s="6" t="str">
        <f>IFERROR(__xludf.DUMMYFUNCTION("""COMPUTED_VALUE"""),"Jeffrey")</f>
        <v>Jeffrey</v>
      </c>
      <c r="E2638" s="6" t="str">
        <f>IFERROR(__xludf.DUMMYFUNCTION("""COMPUTED_VALUE"""),"")</f>
        <v/>
      </c>
      <c r="F2638" s="6" t="str">
        <f>IFERROR(__xludf.DUMMYFUNCTION("""COMPUTED_VALUE"""),"Webb")</f>
        <v>Webb</v>
      </c>
      <c r="G2638" s="6" t="str">
        <f>IFERROR(__xludf.DUMMYFUNCTION("""COMPUTED_VALUE"""),"12/17/2012")</f>
        <v>12/17/2012</v>
      </c>
      <c r="H2638" s="6" t="str">
        <f>IFERROR(__xludf.DUMMYFUNCTION("""COMPUTED_VALUE"""),"Self Identify")</f>
        <v>Self Identify</v>
      </c>
      <c r="I2638" s="6" t="str">
        <f>IFERROR(__xludf.DUMMYFUNCTION("""COMPUTED_VALUE"""),"Middle School")</f>
        <v>Middle School</v>
      </c>
      <c r="J2638" s="6" t="str">
        <f>IFERROR(__xludf.DUMMYFUNCTION("""COMPUTED_VALUE"""),"7")</f>
        <v>7</v>
      </c>
      <c r="K2638" s="6" t="str">
        <f>IFERROR(__xludf.DUMMYFUNCTION("""COMPUTED_VALUE"""),"jeffrey.webb@2hourlearning.com")</f>
        <v>jeffrey.webb@2hourlearning.com</v>
      </c>
      <c r="L2638" s="6" t="str">
        <f>IFERROR(__xludf.DUMMYFUNCTION("""COMPUTED_VALUE"""),"Reading Community City School District")</f>
        <v>Reading Community City School District</v>
      </c>
      <c r="M2638" s="6" t="str">
        <f>IFERROR(__xludf.DUMMYFUNCTION("""COMPUTED_VALUE"""),"Middle")</f>
        <v>Middle</v>
      </c>
      <c r="N2638" s="6" t="str">
        <f>IFERROR(__xludf.DUMMYFUNCTION("""COMPUTED_VALUE"""),"")</f>
        <v/>
      </c>
      <c r="O2638" s="87" t="str">
        <f>IFERROR(__xludf.DUMMYFUNCTION("""COMPUTED_VALUE"""),"https://drive.google.com/drive/folders/10T2cTQHqEJZqE-st6uFKPoI?usp=share_link")</f>
        <v>https://drive.google.com/drive/folders/10T2cTQHqEJZqE-st6uFKPoI?usp=share_link</v>
      </c>
      <c r="P2638" s="6" t="str">
        <f>IFERROR(__xludf.DUMMYFUNCTION("""COMPUTED_VALUE"""),"Jeffrey Webb")</f>
        <v>Jeffrey Webb</v>
      </c>
      <c r="Q2638" s="6" t="str">
        <f>IFERROR(__xludf.DUMMYFUNCTION("""COMPUTED_VALUE"""),"MS")</f>
        <v>MS</v>
      </c>
      <c r="R2638" s="6">
        <f>IFERROR(__xludf.DUMMYFUNCTION("""COMPUTED_VALUE"""),0.0)</f>
        <v>0</v>
      </c>
      <c r="S2638" s="6" t="str">
        <f>IFERROR(__xludf.DUMMYFUNCTION("""COMPUTED_VALUE"""),"Lexi Breuesewitz")</f>
        <v>Lexi Breuesewitz</v>
      </c>
      <c r="T2638" s="6" t="str">
        <f>IFERROR(__xludf.DUMMYFUNCTION("""COMPUTED_VALUE"""),"abruesewitz@readingschools.org")</f>
        <v>abruesewitz@readingschools.org</v>
      </c>
      <c r="U2638" s="6" t="str">
        <f>IFERROR(__xludf.DUMMYFUNCTION("""COMPUTED_VALUE"""),"7")</f>
        <v>7</v>
      </c>
      <c r="V2638" s="6" t="str">
        <f>IFERROR(__xludf.DUMMYFUNCTION("""COMPUTED_VALUE"""),"English")</f>
        <v>English</v>
      </c>
      <c r="W2638" s="6" t="str">
        <f>IFERROR(__xludf.DUMMYFUNCTION("""COMPUTED_VALUE"""),"[]")</f>
        <v>[]</v>
      </c>
      <c r="X2638" s="6" t="str">
        <f>IFERROR(__xludf.DUMMYFUNCTION("""COMPUTED_VALUE"""),"Enrolled")</f>
        <v>Enrolled</v>
      </c>
    </row>
    <row r="2639">
      <c r="A2639" s="6" t="str">
        <f>IFERROR(__xludf.DUMMYFUNCTION("""COMPUTED_VALUE"""),"056-5428")</f>
        <v>056-5428</v>
      </c>
      <c r="B2639" s="6" t="str">
        <f>IFERROR(__xludf.DUMMYFUNCTION("""COMPUTED_VALUE"""),"56")</f>
        <v>56</v>
      </c>
      <c r="C2639" s="6" t="str">
        <f>IFERROR(__xludf.DUMMYFUNCTION("""COMPUTED_VALUE"""),"5428")</f>
        <v>5428</v>
      </c>
      <c r="D2639" s="6" t="str">
        <f>IFERROR(__xludf.DUMMYFUNCTION("""COMPUTED_VALUE"""),"Kipton")</f>
        <v>Kipton</v>
      </c>
      <c r="E2639" s="6" t="str">
        <f>IFERROR(__xludf.DUMMYFUNCTION("""COMPUTED_VALUE"""),"")</f>
        <v/>
      </c>
      <c r="F2639" s="6" t="str">
        <f>IFERROR(__xludf.DUMMYFUNCTION("""COMPUTED_VALUE"""),"Fletcher")</f>
        <v>Fletcher</v>
      </c>
      <c r="G2639" s="6" t="str">
        <f>IFERROR(__xludf.DUMMYFUNCTION("""COMPUTED_VALUE"""),"12/21/2012")</f>
        <v>12/21/2012</v>
      </c>
      <c r="H2639" s="6" t="str">
        <f>IFERROR(__xludf.DUMMYFUNCTION("""COMPUTED_VALUE"""),"Self Identify")</f>
        <v>Self Identify</v>
      </c>
      <c r="I2639" s="6" t="str">
        <f>IFERROR(__xludf.DUMMYFUNCTION("""COMPUTED_VALUE"""),"Middle School")</f>
        <v>Middle School</v>
      </c>
      <c r="J2639" s="6" t="str">
        <f>IFERROR(__xludf.DUMMYFUNCTION("""COMPUTED_VALUE"""),"7")</f>
        <v>7</v>
      </c>
      <c r="K2639" s="6" t="str">
        <f>IFERROR(__xludf.DUMMYFUNCTION("""COMPUTED_VALUE"""),"kipton.fletcher@2hourlearning.com")</f>
        <v>kipton.fletcher@2hourlearning.com</v>
      </c>
      <c r="L2639" s="6" t="str">
        <f>IFERROR(__xludf.DUMMYFUNCTION("""COMPUTED_VALUE"""),"Reading Community City School District")</f>
        <v>Reading Community City School District</v>
      </c>
      <c r="M2639" s="6" t="str">
        <f>IFERROR(__xludf.DUMMYFUNCTION("""COMPUTED_VALUE"""),"Middle")</f>
        <v>Middle</v>
      </c>
      <c r="N2639" s="6" t="str">
        <f>IFERROR(__xludf.DUMMYFUNCTION("""COMPUTED_VALUE"""),"")</f>
        <v/>
      </c>
      <c r="O2639" s="87" t="str">
        <f>IFERROR(__xludf.DUMMYFUNCTION("""COMPUTED_VALUE"""),"https://drive.google.com/drive/folders/10T2cTQHqEJZqE-st6uFKPoI?usp=share_link")</f>
        <v>https://drive.google.com/drive/folders/10T2cTQHqEJZqE-st6uFKPoI?usp=share_link</v>
      </c>
      <c r="P2639" s="6" t="str">
        <f>IFERROR(__xludf.DUMMYFUNCTION("""COMPUTED_VALUE"""),"Kipton Fletcher")</f>
        <v>Kipton Fletcher</v>
      </c>
      <c r="Q2639" s="6" t="str">
        <f>IFERROR(__xludf.DUMMYFUNCTION("""COMPUTED_VALUE"""),"MS")</f>
        <v>MS</v>
      </c>
      <c r="R2639" s="6">
        <f>IFERROR(__xludf.DUMMYFUNCTION("""COMPUTED_VALUE"""),0.0)</f>
        <v>0</v>
      </c>
      <c r="S2639" s="6" t="str">
        <f>IFERROR(__xludf.DUMMYFUNCTION("""COMPUTED_VALUE"""),"Lexi Breuesewitz")</f>
        <v>Lexi Breuesewitz</v>
      </c>
      <c r="T2639" s="6" t="str">
        <f>IFERROR(__xludf.DUMMYFUNCTION("""COMPUTED_VALUE"""),"abruesewitz@readingschools.org")</f>
        <v>abruesewitz@readingschools.org</v>
      </c>
      <c r="U2639" s="6" t="str">
        <f>IFERROR(__xludf.DUMMYFUNCTION("""COMPUTED_VALUE"""),"7")</f>
        <v>7</v>
      </c>
      <c r="V2639" s="6" t="str">
        <f>IFERROR(__xludf.DUMMYFUNCTION("""COMPUTED_VALUE"""),"English")</f>
        <v>English</v>
      </c>
      <c r="W2639" s="6" t="str">
        <f>IFERROR(__xludf.DUMMYFUNCTION("""COMPUTED_VALUE"""),"[]")</f>
        <v>[]</v>
      </c>
      <c r="X2639" s="6" t="str">
        <f>IFERROR(__xludf.DUMMYFUNCTION("""COMPUTED_VALUE"""),"Enrolled")</f>
        <v>Enrolled</v>
      </c>
    </row>
    <row r="2640">
      <c r="A2640" s="6" t="str">
        <f>IFERROR(__xludf.DUMMYFUNCTION("""COMPUTED_VALUE"""),"056-5431")</f>
        <v>056-5431</v>
      </c>
      <c r="B2640" s="6" t="str">
        <f>IFERROR(__xludf.DUMMYFUNCTION("""COMPUTED_VALUE"""),"56")</f>
        <v>56</v>
      </c>
      <c r="C2640" s="6" t="str">
        <f>IFERROR(__xludf.DUMMYFUNCTION("""COMPUTED_VALUE"""),"5431")</f>
        <v>5431</v>
      </c>
      <c r="D2640" s="6" t="str">
        <f>IFERROR(__xludf.DUMMYFUNCTION("""COMPUTED_VALUE"""),"Liam")</f>
        <v>Liam</v>
      </c>
      <c r="E2640" s="6" t="str">
        <f>IFERROR(__xludf.DUMMYFUNCTION("""COMPUTED_VALUE"""),"")</f>
        <v/>
      </c>
      <c r="F2640" s="6" t="str">
        <f>IFERROR(__xludf.DUMMYFUNCTION("""COMPUTED_VALUE"""),"Terry")</f>
        <v>Terry</v>
      </c>
      <c r="G2640" s="6" t="str">
        <f>IFERROR(__xludf.DUMMYFUNCTION("""COMPUTED_VALUE"""),"09/15/2012")</f>
        <v>09/15/2012</v>
      </c>
      <c r="H2640" s="6" t="str">
        <f>IFERROR(__xludf.DUMMYFUNCTION("""COMPUTED_VALUE"""),"Self Identify")</f>
        <v>Self Identify</v>
      </c>
      <c r="I2640" s="6" t="str">
        <f>IFERROR(__xludf.DUMMYFUNCTION("""COMPUTED_VALUE"""),"Middle School")</f>
        <v>Middle School</v>
      </c>
      <c r="J2640" s="6" t="str">
        <f>IFERROR(__xludf.DUMMYFUNCTION("""COMPUTED_VALUE"""),"7")</f>
        <v>7</v>
      </c>
      <c r="K2640" s="6" t="str">
        <f>IFERROR(__xludf.DUMMYFUNCTION("""COMPUTED_VALUE"""),"liam.terry@2hourlearning.com")</f>
        <v>liam.terry@2hourlearning.com</v>
      </c>
      <c r="L2640" s="6" t="str">
        <f>IFERROR(__xludf.DUMMYFUNCTION("""COMPUTED_VALUE"""),"Reading Community City School District")</f>
        <v>Reading Community City School District</v>
      </c>
      <c r="M2640" s="6" t="str">
        <f>IFERROR(__xludf.DUMMYFUNCTION("""COMPUTED_VALUE"""),"Middle")</f>
        <v>Middle</v>
      </c>
      <c r="N2640" s="6" t="str">
        <f>IFERROR(__xludf.DUMMYFUNCTION("""COMPUTED_VALUE"""),"")</f>
        <v/>
      </c>
      <c r="O2640" s="87" t="str">
        <f>IFERROR(__xludf.DUMMYFUNCTION("""COMPUTED_VALUE"""),"https://drive.google.com/drive/folders/10T2cTQHqEJZqE-st6uFKPoI?usp=share_link")</f>
        <v>https://drive.google.com/drive/folders/10T2cTQHqEJZqE-st6uFKPoI?usp=share_link</v>
      </c>
      <c r="P2640" s="6" t="str">
        <f>IFERROR(__xludf.DUMMYFUNCTION("""COMPUTED_VALUE"""),"Liam Terry")</f>
        <v>Liam Terry</v>
      </c>
      <c r="Q2640" s="6" t="str">
        <f>IFERROR(__xludf.DUMMYFUNCTION("""COMPUTED_VALUE"""),"MS")</f>
        <v>MS</v>
      </c>
      <c r="R2640" s="6">
        <f>IFERROR(__xludf.DUMMYFUNCTION("""COMPUTED_VALUE"""),0.0)</f>
        <v>0</v>
      </c>
      <c r="S2640" s="6" t="str">
        <f>IFERROR(__xludf.DUMMYFUNCTION("""COMPUTED_VALUE"""),"Lexi Breuesewitz")</f>
        <v>Lexi Breuesewitz</v>
      </c>
      <c r="T2640" s="6" t="str">
        <f>IFERROR(__xludf.DUMMYFUNCTION("""COMPUTED_VALUE"""),"abruesewitz@readingschools.org")</f>
        <v>abruesewitz@readingschools.org</v>
      </c>
      <c r="U2640" s="6" t="str">
        <f>IFERROR(__xludf.DUMMYFUNCTION("""COMPUTED_VALUE"""),"7")</f>
        <v>7</v>
      </c>
      <c r="V2640" s="6" t="str">
        <f>IFERROR(__xludf.DUMMYFUNCTION("""COMPUTED_VALUE"""),"English")</f>
        <v>English</v>
      </c>
      <c r="W2640" s="6" t="str">
        <f>IFERROR(__xludf.DUMMYFUNCTION("""COMPUTED_VALUE"""),"[]")</f>
        <v>[]</v>
      </c>
      <c r="X2640" s="6" t="str">
        <f>IFERROR(__xludf.DUMMYFUNCTION("""COMPUTED_VALUE"""),"Enrolled")</f>
        <v>Enrolled</v>
      </c>
    </row>
    <row r="2641">
      <c r="A2641" s="6" t="str">
        <f>IFERROR(__xludf.DUMMYFUNCTION("""COMPUTED_VALUE"""),"056-5434")</f>
        <v>056-5434</v>
      </c>
      <c r="B2641" s="6" t="str">
        <f>IFERROR(__xludf.DUMMYFUNCTION("""COMPUTED_VALUE"""),"56")</f>
        <v>56</v>
      </c>
      <c r="C2641" s="6" t="str">
        <f>IFERROR(__xludf.DUMMYFUNCTION("""COMPUTED_VALUE"""),"5434")</f>
        <v>5434</v>
      </c>
      <c r="D2641" s="6" t="str">
        <f>IFERROR(__xludf.DUMMYFUNCTION("""COMPUTED_VALUE"""),"Melody")</f>
        <v>Melody</v>
      </c>
      <c r="E2641" s="6" t="str">
        <f>IFERROR(__xludf.DUMMYFUNCTION("""COMPUTED_VALUE"""),"")</f>
        <v/>
      </c>
      <c r="F2641" s="6" t="str">
        <f>IFERROR(__xludf.DUMMYFUNCTION("""COMPUTED_VALUE"""),"Najeeullah")</f>
        <v>Najeeullah</v>
      </c>
      <c r="G2641" s="6" t="str">
        <f>IFERROR(__xludf.DUMMYFUNCTION("""COMPUTED_VALUE"""),"05/02/2012")</f>
        <v>05/02/2012</v>
      </c>
      <c r="H2641" s="6" t="str">
        <f>IFERROR(__xludf.DUMMYFUNCTION("""COMPUTED_VALUE"""),"Self Identify")</f>
        <v>Self Identify</v>
      </c>
      <c r="I2641" s="6" t="str">
        <f>IFERROR(__xludf.DUMMYFUNCTION("""COMPUTED_VALUE"""),"Middle School")</f>
        <v>Middle School</v>
      </c>
      <c r="J2641" s="6" t="str">
        <f>IFERROR(__xludf.DUMMYFUNCTION("""COMPUTED_VALUE"""),"7")</f>
        <v>7</v>
      </c>
      <c r="K2641" s="6" t="str">
        <f>IFERROR(__xludf.DUMMYFUNCTION("""COMPUTED_VALUE"""),"melody.najeeullah@2hourlearning.com")</f>
        <v>melody.najeeullah@2hourlearning.com</v>
      </c>
      <c r="L2641" s="6" t="str">
        <f>IFERROR(__xludf.DUMMYFUNCTION("""COMPUTED_VALUE"""),"Reading Community City School District")</f>
        <v>Reading Community City School District</v>
      </c>
      <c r="M2641" s="6" t="str">
        <f>IFERROR(__xludf.DUMMYFUNCTION("""COMPUTED_VALUE"""),"Middle")</f>
        <v>Middle</v>
      </c>
      <c r="N2641" s="6" t="str">
        <f>IFERROR(__xludf.DUMMYFUNCTION("""COMPUTED_VALUE"""),"")</f>
        <v/>
      </c>
      <c r="O2641" s="87" t="str">
        <f>IFERROR(__xludf.DUMMYFUNCTION("""COMPUTED_VALUE"""),"https://drive.google.com/drive/folders/10T2cTQHqEJZqE-st6uFKPoI?usp=share_link")</f>
        <v>https://drive.google.com/drive/folders/10T2cTQHqEJZqE-st6uFKPoI?usp=share_link</v>
      </c>
      <c r="P2641" s="6" t="str">
        <f>IFERROR(__xludf.DUMMYFUNCTION("""COMPUTED_VALUE"""),"Melody Najeeullah")</f>
        <v>Melody Najeeullah</v>
      </c>
      <c r="Q2641" s="6" t="str">
        <f>IFERROR(__xludf.DUMMYFUNCTION("""COMPUTED_VALUE"""),"MS")</f>
        <v>MS</v>
      </c>
      <c r="R2641" s="6">
        <f>IFERROR(__xludf.DUMMYFUNCTION("""COMPUTED_VALUE"""),0.0)</f>
        <v>0</v>
      </c>
      <c r="S2641" s="6" t="str">
        <f>IFERROR(__xludf.DUMMYFUNCTION("""COMPUTED_VALUE"""),"Lexi Breuesewitz")</f>
        <v>Lexi Breuesewitz</v>
      </c>
      <c r="T2641" s="6" t="str">
        <f>IFERROR(__xludf.DUMMYFUNCTION("""COMPUTED_VALUE"""),"abruesewitz@readingschools.org")</f>
        <v>abruesewitz@readingschools.org</v>
      </c>
      <c r="U2641" s="6" t="str">
        <f>IFERROR(__xludf.DUMMYFUNCTION("""COMPUTED_VALUE"""),"7")</f>
        <v>7</v>
      </c>
      <c r="V2641" s="6" t="str">
        <f>IFERROR(__xludf.DUMMYFUNCTION("""COMPUTED_VALUE"""),"English")</f>
        <v>English</v>
      </c>
      <c r="W2641" s="6" t="str">
        <f>IFERROR(__xludf.DUMMYFUNCTION("""COMPUTED_VALUE"""),"[]")</f>
        <v>[]</v>
      </c>
      <c r="X2641" s="6" t="str">
        <f>IFERROR(__xludf.DUMMYFUNCTION("""COMPUTED_VALUE"""),"Enrolled")</f>
        <v>Enrolled</v>
      </c>
    </row>
    <row r="2642">
      <c r="A2642" s="6" t="str">
        <f>IFERROR(__xludf.DUMMYFUNCTION("""COMPUTED_VALUE"""),"056-5435")</f>
        <v>056-5435</v>
      </c>
      <c r="B2642" s="6" t="str">
        <f>IFERROR(__xludf.DUMMYFUNCTION("""COMPUTED_VALUE"""),"56")</f>
        <v>56</v>
      </c>
      <c r="C2642" s="6" t="str">
        <f>IFERROR(__xludf.DUMMYFUNCTION("""COMPUTED_VALUE"""),"5435")</f>
        <v>5435</v>
      </c>
      <c r="D2642" s="6" t="str">
        <f>IFERROR(__xludf.DUMMYFUNCTION("""COMPUTED_VALUE"""),"Muzamil")</f>
        <v>Muzamil</v>
      </c>
      <c r="E2642" s="6" t="str">
        <f>IFERROR(__xludf.DUMMYFUNCTION("""COMPUTED_VALUE"""),"")</f>
        <v/>
      </c>
      <c r="F2642" s="6" t="str">
        <f>IFERROR(__xludf.DUMMYFUNCTION("""COMPUTED_VALUE"""),"Faizi")</f>
        <v>Faizi</v>
      </c>
      <c r="G2642" s="6" t="str">
        <f>IFERROR(__xludf.DUMMYFUNCTION("""COMPUTED_VALUE"""),"05/09/2012")</f>
        <v>05/09/2012</v>
      </c>
      <c r="H2642" s="6" t="str">
        <f>IFERROR(__xludf.DUMMYFUNCTION("""COMPUTED_VALUE"""),"Self Identify")</f>
        <v>Self Identify</v>
      </c>
      <c r="I2642" s="6" t="str">
        <f>IFERROR(__xludf.DUMMYFUNCTION("""COMPUTED_VALUE"""),"Middle School")</f>
        <v>Middle School</v>
      </c>
      <c r="J2642" s="6" t="str">
        <f>IFERROR(__xludf.DUMMYFUNCTION("""COMPUTED_VALUE"""),"7")</f>
        <v>7</v>
      </c>
      <c r="K2642" s="6" t="str">
        <f>IFERROR(__xludf.DUMMYFUNCTION("""COMPUTED_VALUE"""),"muzamil.faizi@2hourlearning.com")</f>
        <v>muzamil.faizi@2hourlearning.com</v>
      </c>
      <c r="L2642" s="6" t="str">
        <f>IFERROR(__xludf.DUMMYFUNCTION("""COMPUTED_VALUE"""),"Reading Community City School District")</f>
        <v>Reading Community City School District</v>
      </c>
      <c r="M2642" s="6" t="str">
        <f>IFERROR(__xludf.DUMMYFUNCTION("""COMPUTED_VALUE"""),"Middle")</f>
        <v>Middle</v>
      </c>
      <c r="N2642" s="6" t="str">
        <f>IFERROR(__xludf.DUMMYFUNCTION("""COMPUTED_VALUE"""),"")</f>
        <v/>
      </c>
      <c r="O2642" s="87" t="str">
        <f>IFERROR(__xludf.DUMMYFUNCTION("""COMPUTED_VALUE"""),"https://drive.google.com/drive/folders/10T2cTQHqEJZqE-st6uFKPoI?usp=share_link")</f>
        <v>https://drive.google.com/drive/folders/10T2cTQHqEJZqE-st6uFKPoI?usp=share_link</v>
      </c>
      <c r="P2642" s="6" t="str">
        <f>IFERROR(__xludf.DUMMYFUNCTION("""COMPUTED_VALUE"""),"Muzamil Faizi")</f>
        <v>Muzamil Faizi</v>
      </c>
      <c r="Q2642" s="6" t="str">
        <f>IFERROR(__xludf.DUMMYFUNCTION("""COMPUTED_VALUE"""),"MS")</f>
        <v>MS</v>
      </c>
      <c r="R2642" s="6">
        <f>IFERROR(__xludf.DUMMYFUNCTION("""COMPUTED_VALUE"""),0.0)</f>
        <v>0</v>
      </c>
      <c r="S2642" s="6" t="str">
        <f>IFERROR(__xludf.DUMMYFUNCTION("""COMPUTED_VALUE"""),"Lexi Breuesewitz")</f>
        <v>Lexi Breuesewitz</v>
      </c>
      <c r="T2642" s="6" t="str">
        <f>IFERROR(__xludf.DUMMYFUNCTION("""COMPUTED_VALUE"""),"abruesewitz@readingschools.org")</f>
        <v>abruesewitz@readingschools.org</v>
      </c>
      <c r="U2642" s="6" t="str">
        <f>IFERROR(__xludf.DUMMYFUNCTION("""COMPUTED_VALUE"""),"7")</f>
        <v>7</v>
      </c>
      <c r="V2642" s="6" t="str">
        <f>IFERROR(__xludf.DUMMYFUNCTION("""COMPUTED_VALUE"""),"English")</f>
        <v>English</v>
      </c>
      <c r="W2642" s="6" t="str">
        <f>IFERROR(__xludf.DUMMYFUNCTION("""COMPUTED_VALUE"""),"[]")</f>
        <v>[]</v>
      </c>
      <c r="X2642" s="6" t="str">
        <f>IFERROR(__xludf.DUMMYFUNCTION("""COMPUTED_VALUE"""),"Enrolled")</f>
        <v>Enrolled</v>
      </c>
    </row>
    <row r="2643">
      <c r="A2643" s="6" t="str">
        <f>IFERROR(__xludf.DUMMYFUNCTION("""COMPUTED_VALUE"""),"056-5438")</f>
        <v>056-5438</v>
      </c>
      <c r="B2643" s="6" t="str">
        <f>IFERROR(__xludf.DUMMYFUNCTION("""COMPUTED_VALUE"""),"56")</f>
        <v>56</v>
      </c>
      <c r="C2643" s="6" t="str">
        <f>IFERROR(__xludf.DUMMYFUNCTION("""COMPUTED_VALUE"""),"5438")</f>
        <v>5438</v>
      </c>
      <c r="D2643" s="6" t="str">
        <f>IFERROR(__xludf.DUMMYFUNCTION("""COMPUTED_VALUE"""),"Stephen")</f>
        <v>Stephen</v>
      </c>
      <c r="E2643" s="6" t="str">
        <f>IFERROR(__xludf.DUMMYFUNCTION("""COMPUTED_VALUE"""),"")</f>
        <v/>
      </c>
      <c r="F2643" s="6" t="str">
        <f>IFERROR(__xludf.DUMMYFUNCTION("""COMPUTED_VALUE"""),"Turner")</f>
        <v>Turner</v>
      </c>
      <c r="G2643" s="6" t="str">
        <f>IFERROR(__xludf.DUMMYFUNCTION("""COMPUTED_VALUE"""),"02/04/2013")</f>
        <v>02/04/2013</v>
      </c>
      <c r="H2643" s="6" t="str">
        <f>IFERROR(__xludf.DUMMYFUNCTION("""COMPUTED_VALUE"""),"Self Identify")</f>
        <v>Self Identify</v>
      </c>
      <c r="I2643" s="6" t="str">
        <f>IFERROR(__xludf.DUMMYFUNCTION("""COMPUTED_VALUE"""),"Middle School")</f>
        <v>Middle School</v>
      </c>
      <c r="J2643" s="6" t="str">
        <f>IFERROR(__xludf.DUMMYFUNCTION("""COMPUTED_VALUE"""),"7")</f>
        <v>7</v>
      </c>
      <c r="K2643" s="6" t="str">
        <f>IFERROR(__xludf.DUMMYFUNCTION("""COMPUTED_VALUE"""),"stephen.turner@2hourlearning.com")</f>
        <v>stephen.turner@2hourlearning.com</v>
      </c>
      <c r="L2643" s="6" t="str">
        <f>IFERROR(__xludf.DUMMYFUNCTION("""COMPUTED_VALUE"""),"Reading Community City School District")</f>
        <v>Reading Community City School District</v>
      </c>
      <c r="M2643" s="6" t="str">
        <f>IFERROR(__xludf.DUMMYFUNCTION("""COMPUTED_VALUE"""),"Middle")</f>
        <v>Middle</v>
      </c>
      <c r="N2643" s="6" t="str">
        <f>IFERROR(__xludf.DUMMYFUNCTION("""COMPUTED_VALUE"""),"")</f>
        <v/>
      </c>
      <c r="O2643" s="87" t="str">
        <f>IFERROR(__xludf.DUMMYFUNCTION("""COMPUTED_VALUE"""),"https://drive.google.com/drive/folders/10T2cTQHqEJZqE-st6uFKPoI?usp=share_link")</f>
        <v>https://drive.google.com/drive/folders/10T2cTQHqEJZqE-st6uFKPoI?usp=share_link</v>
      </c>
      <c r="P2643" s="6" t="str">
        <f>IFERROR(__xludf.DUMMYFUNCTION("""COMPUTED_VALUE"""),"Stephen Turner")</f>
        <v>Stephen Turner</v>
      </c>
      <c r="Q2643" s="6" t="str">
        <f>IFERROR(__xludf.DUMMYFUNCTION("""COMPUTED_VALUE"""),"MS")</f>
        <v>MS</v>
      </c>
      <c r="R2643" s="6">
        <f>IFERROR(__xludf.DUMMYFUNCTION("""COMPUTED_VALUE"""),0.0)</f>
        <v>0</v>
      </c>
      <c r="S2643" s="6" t="str">
        <f>IFERROR(__xludf.DUMMYFUNCTION("""COMPUTED_VALUE"""),"Lexi Breuesewitz")</f>
        <v>Lexi Breuesewitz</v>
      </c>
      <c r="T2643" s="6" t="str">
        <f>IFERROR(__xludf.DUMMYFUNCTION("""COMPUTED_VALUE"""),"abruesewitz@readingschools.org")</f>
        <v>abruesewitz@readingschools.org</v>
      </c>
      <c r="U2643" s="6" t="str">
        <f>IFERROR(__xludf.DUMMYFUNCTION("""COMPUTED_VALUE"""),"7")</f>
        <v>7</v>
      </c>
      <c r="V2643" s="6" t="str">
        <f>IFERROR(__xludf.DUMMYFUNCTION("""COMPUTED_VALUE"""),"English")</f>
        <v>English</v>
      </c>
      <c r="W2643" s="6" t="str">
        <f>IFERROR(__xludf.DUMMYFUNCTION("""COMPUTED_VALUE"""),"[]")</f>
        <v>[]</v>
      </c>
      <c r="X2643" s="6" t="str">
        <f>IFERROR(__xludf.DUMMYFUNCTION("""COMPUTED_VALUE"""),"Enrolled")</f>
        <v>Enrolled</v>
      </c>
    </row>
    <row r="2644">
      <c r="A2644" s="6" t="str">
        <f>IFERROR(__xludf.DUMMYFUNCTION("""COMPUTED_VALUE"""),"056-5440")</f>
        <v>056-5440</v>
      </c>
      <c r="B2644" s="6" t="str">
        <f>IFERROR(__xludf.DUMMYFUNCTION("""COMPUTED_VALUE"""),"56")</f>
        <v>56</v>
      </c>
      <c r="C2644" s="6" t="str">
        <f>IFERROR(__xludf.DUMMYFUNCTION("""COMPUTED_VALUE"""),"5440")</f>
        <v>5440</v>
      </c>
      <c r="D2644" s="6" t="str">
        <f>IFERROR(__xludf.DUMMYFUNCTION("""COMPUTED_VALUE"""),"Zion")</f>
        <v>Zion</v>
      </c>
      <c r="E2644" s="6" t="str">
        <f>IFERROR(__xludf.DUMMYFUNCTION("""COMPUTED_VALUE"""),"")</f>
        <v/>
      </c>
      <c r="F2644" s="6" t="str">
        <f>IFERROR(__xludf.DUMMYFUNCTION("""COMPUTED_VALUE"""),"Garnett")</f>
        <v>Garnett</v>
      </c>
      <c r="G2644" s="6" t="str">
        <f>IFERROR(__xludf.DUMMYFUNCTION("""COMPUTED_VALUE"""),"10/21/2012")</f>
        <v>10/21/2012</v>
      </c>
      <c r="H2644" s="6" t="str">
        <f>IFERROR(__xludf.DUMMYFUNCTION("""COMPUTED_VALUE"""),"Self Identify")</f>
        <v>Self Identify</v>
      </c>
      <c r="I2644" s="6" t="str">
        <f>IFERROR(__xludf.DUMMYFUNCTION("""COMPUTED_VALUE"""),"Middle School")</f>
        <v>Middle School</v>
      </c>
      <c r="J2644" s="6" t="str">
        <f>IFERROR(__xludf.DUMMYFUNCTION("""COMPUTED_VALUE"""),"7")</f>
        <v>7</v>
      </c>
      <c r="K2644" s="6" t="str">
        <f>IFERROR(__xludf.DUMMYFUNCTION("""COMPUTED_VALUE"""),"zion.garnett@2hourlearning.com")</f>
        <v>zion.garnett@2hourlearning.com</v>
      </c>
      <c r="L2644" s="6" t="str">
        <f>IFERROR(__xludf.DUMMYFUNCTION("""COMPUTED_VALUE"""),"Reading Community City School District")</f>
        <v>Reading Community City School District</v>
      </c>
      <c r="M2644" s="6" t="str">
        <f>IFERROR(__xludf.DUMMYFUNCTION("""COMPUTED_VALUE"""),"Middle")</f>
        <v>Middle</v>
      </c>
      <c r="N2644" s="6" t="str">
        <f>IFERROR(__xludf.DUMMYFUNCTION("""COMPUTED_VALUE"""),"")</f>
        <v/>
      </c>
      <c r="O2644" s="87" t="str">
        <f>IFERROR(__xludf.DUMMYFUNCTION("""COMPUTED_VALUE"""),"https://drive.google.com/drive/folders/10T2cTQHqEJZqE-st6uFKPoI?usp=share_link")</f>
        <v>https://drive.google.com/drive/folders/10T2cTQHqEJZqE-st6uFKPoI?usp=share_link</v>
      </c>
      <c r="P2644" s="6" t="str">
        <f>IFERROR(__xludf.DUMMYFUNCTION("""COMPUTED_VALUE"""),"Zion Garnett")</f>
        <v>Zion Garnett</v>
      </c>
      <c r="Q2644" s="6" t="str">
        <f>IFERROR(__xludf.DUMMYFUNCTION("""COMPUTED_VALUE"""),"MS")</f>
        <v>MS</v>
      </c>
      <c r="R2644" s="6">
        <f>IFERROR(__xludf.DUMMYFUNCTION("""COMPUTED_VALUE"""),0.0)</f>
        <v>0</v>
      </c>
      <c r="S2644" s="6" t="str">
        <f>IFERROR(__xludf.DUMMYFUNCTION("""COMPUTED_VALUE"""),"Lexi Breuesewitz")</f>
        <v>Lexi Breuesewitz</v>
      </c>
      <c r="T2644" s="6" t="str">
        <f>IFERROR(__xludf.DUMMYFUNCTION("""COMPUTED_VALUE"""),"abruesewitz@readingschools.org")</f>
        <v>abruesewitz@readingschools.org</v>
      </c>
      <c r="U2644" s="6" t="str">
        <f>IFERROR(__xludf.DUMMYFUNCTION("""COMPUTED_VALUE"""),"7")</f>
        <v>7</v>
      </c>
      <c r="V2644" s="6" t="str">
        <f>IFERROR(__xludf.DUMMYFUNCTION("""COMPUTED_VALUE"""),"English")</f>
        <v>English</v>
      </c>
      <c r="W2644" s="6" t="str">
        <f>IFERROR(__xludf.DUMMYFUNCTION("""COMPUTED_VALUE"""),"[]")</f>
        <v>[]</v>
      </c>
      <c r="X2644" s="6" t="str">
        <f>IFERROR(__xludf.DUMMYFUNCTION("""COMPUTED_VALUE"""),"Enrolled")</f>
        <v>Enrolled</v>
      </c>
    </row>
    <row r="2645">
      <c r="A2645" s="6" t="str">
        <f>IFERROR(__xludf.DUMMYFUNCTION("""COMPUTED_VALUE"""),"056-5441")</f>
        <v>056-5441</v>
      </c>
      <c r="B2645" s="6" t="str">
        <f>IFERROR(__xludf.DUMMYFUNCTION("""COMPUTED_VALUE"""),"56")</f>
        <v>56</v>
      </c>
      <c r="C2645" s="6" t="str">
        <f>IFERROR(__xludf.DUMMYFUNCTION("""COMPUTED_VALUE"""),"5441")</f>
        <v>5441</v>
      </c>
      <c r="D2645" s="6" t="str">
        <f>IFERROR(__xludf.DUMMYFUNCTION("""COMPUTED_VALUE"""),"Andrea")</f>
        <v>Andrea</v>
      </c>
      <c r="E2645" s="6" t="str">
        <f>IFERROR(__xludf.DUMMYFUNCTION("""COMPUTED_VALUE"""),"")</f>
        <v/>
      </c>
      <c r="F2645" s="6" t="str">
        <f>IFERROR(__xludf.DUMMYFUNCTION("""COMPUTED_VALUE"""),"Olive")</f>
        <v>Olive</v>
      </c>
      <c r="G2645" s="6" t="str">
        <f>IFERROR(__xludf.DUMMYFUNCTION("""COMPUTED_VALUE"""),"05/02/2011")</f>
        <v>05/02/2011</v>
      </c>
      <c r="H2645" s="6" t="str">
        <f>IFERROR(__xludf.DUMMYFUNCTION("""COMPUTED_VALUE"""),"Self Identify")</f>
        <v>Self Identify</v>
      </c>
      <c r="I2645" s="6" t="str">
        <f>IFERROR(__xludf.DUMMYFUNCTION("""COMPUTED_VALUE"""),"Middle School")</f>
        <v>Middle School</v>
      </c>
      <c r="J2645" s="6" t="str">
        <f>IFERROR(__xludf.DUMMYFUNCTION("""COMPUTED_VALUE"""),"8")</f>
        <v>8</v>
      </c>
      <c r="K2645" s="6" t="str">
        <f>IFERROR(__xludf.DUMMYFUNCTION("""COMPUTED_VALUE"""),"andrea.olive@2hourlearning.com")</f>
        <v>andrea.olive@2hourlearning.com</v>
      </c>
      <c r="L2645" s="6" t="str">
        <f>IFERROR(__xludf.DUMMYFUNCTION("""COMPUTED_VALUE"""),"Reading Community City School District")</f>
        <v>Reading Community City School District</v>
      </c>
      <c r="M2645" s="6" t="str">
        <f>IFERROR(__xludf.DUMMYFUNCTION("""COMPUTED_VALUE"""),"Middle")</f>
        <v>Middle</v>
      </c>
      <c r="N2645" s="6" t="str">
        <f>IFERROR(__xludf.DUMMYFUNCTION("""COMPUTED_VALUE"""),"")</f>
        <v/>
      </c>
      <c r="O2645" s="87" t="str">
        <f>IFERROR(__xludf.DUMMYFUNCTION("""COMPUTED_VALUE"""),"https://drive.google.com/drive/folders/10T2cTQHqEJZqE-st6uFKPoI?usp=share_link")</f>
        <v>https://drive.google.com/drive/folders/10T2cTQHqEJZqE-st6uFKPoI?usp=share_link</v>
      </c>
      <c r="P2645" s="6" t="str">
        <f>IFERROR(__xludf.DUMMYFUNCTION("""COMPUTED_VALUE"""),"Andrea Olive")</f>
        <v>Andrea Olive</v>
      </c>
      <c r="Q2645" s="6" t="str">
        <f>IFERROR(__xludf.DUMMYFUNCTION("""COMPUTED_VALUE"""),"MS")</f>
        <v>MS</v>
      </c>
      <c r="R2645" s="6">
        <f>IFERROR(__xludf.DUMMYFUNCTION("""COMPUTED_VALUE"""),0.0)</f>
        <v>0</v>
      </c>
      <c r="S2645" s="6" t="str">
        <f>IFERROR(__xludf.DUMMYFUNCTION("""COMPUTED_VALUE"""),"Rebecca Reynolds")</f>
        <v>Rebecca Reynolds</v>
      </c>
      <c r="T2645" s="6" t="str">
        <f>IFERROR(__xludf.DUMMYFUNCTION("""COMPUTED_VALUE"""),"rreynolds@readingschools.org")</f>
        <v>rreynolds@readingschools.org</v>
      </c>
      <c r="U2645" s="6" t="str">
        <f>IFERROR(__xludf.DUMMYFUNCTION("""COMPUTED_VALUE"""),"8")</f>
        <v>8</v>
      </c>
      <c r="V2645" s="6" t="str">
        <f>IFERROR(__xludf.DUMMYFUNCTION("""COMPUTED_VALUE"""),"English")</f>
        <v>English</v>
      </c>
      <c r="W2645" s="6" t="str">
        <f>IFERROR(__xludf.DUMMYFUNCTION("""COMPUTED_VALUE"""),"[]")</f>
        <v>[]</v>
      </c>
      <c r="X2645" s="6" t="str">
        <f>IFERROR(__xludf.DUMMYFUNCTION("""COMPUTED_VALUE"""),"Enrolled")</f>
        <v>Enrolled</v>
      </c>
    </row>
    <row r="2646">
      <c r="A2646" s="6" t="str">
        <f>IFERROR(__xludf.DUMMYFUNCTION("""COMPUTED_VALUE"""),"056-5447")</f>
        <v>056-5447</v>
      </c>
      <c r="B2646" s="6" t="str">
        <f>IFERROR(__xludf.DUMMYFUNCTION("""COMPUTED_VALUE"""),"56")</f>
        <v>56</v>
      </c>
      <c r="C2646" s="6" t="str">
        <f>IFERROR(__xludf.DUMMYFUNCTION("""COMPUTED_VALUE"""),"5447")</f>
        <v>5447</v>
      </c>
      <c r="D2646" s="6" t="str">
        <f>IFERROR(__xludf.DUMMYFUNCTION("""COMPUTED_VALUE"""),"Daniel")</f>
        <v>Daniel</v>
      </c>
      <c r="E2646" s="6" t="str">
        <f>IFERROR(__xludf.DUMMYFUNCTION("""COMPUTED_VALUE"""),"")</f>
        <v/>
      </c>
      <c r="F2646" s="6" t="str">
        <f>IFERROR(__xludf.DUMMYFUNCTION("""COMPUTED_VALUE"""),"Smith")</f>
        <v>Smith</v>
      </c>
      <c r="G2646" s="6" t="str">
        <f>IFERROR(__xludf.DUMMYFUNCTION("""COMPUTED_VALUE"""),"02/08/2011")</f>
        <v>02/08/2011</v>
      </c>
      <c r="H2646" s="6" t="str">
        <f>IFERROR(__xludf.DUMMYFUNCTION("""COMPUTED_VALUE"""),"Self Identify")</f>
        <v>Self Identify</v>
      </c>
      <c r="I2646" s="6" t="str">
        <f>IFERROR(__xludf.DUMMYFUNCTION("""COMPUTED_VALUE"""),"Middle School")</f>
        <v>Middle School</v>
      </c>
      <c r="J2646" s="6" t="str">
        <f>IFERROR(__xludf.DUMMYFUNCTION("""COMPUTED_VALUE"""),"8")</f>
        <v>8</v>
      </c>
      <c r="K2646" s="6" t="str">
        <f>IFERROR(__xludf.DUMMYFUNCTION("""COMPUTED_VALUE"""),"daniel.smith@2hourlearning.com")</f>
        <v>daniel.smith@2hourlearning.com</v>
      </c>
      <c r="L2646" s="6" t="str">
        <f>IFERROR(__xludf.DUMMYFUNCTION("""COMPUTED_VALUE"""),"Reading Community City School District")</f>
        <v>Reading Community City School District</v>
      </c>
      <c r="M2646" s="6" t="str">
        <f>IFERROR(__xludf.DUMMYFUNCTION("""COMPUTED_VALUE"""),"Middle")</f>
        <v>Middle</v>
      </c>
      <c r="N2646" s="6" t="str">
        <f>IFERROR(__xludf.DUMMYFUNCTION("""COMPUTED_VALUE"""),"")</f>
        <v/>
      </c>
      <c r="O2646" s="87" t="str">
        <f>IFERROR(__xludf.DUMMYFUNCTION("""COMPUTED_VALUE"""),"https://drive.google.com/drive/folders/10T2cTQHqEJZqE-st6uFKPoI?usp=share_link")</f>
        <v>https://drive.google.com/drive/folders/10T2cTQHqEJZqE-st6uFKPoI?usp=share_link</v>
      </c>
      <c r="P2646" s="6" t="str">
        <f>IFERROR(__xludf.DUMMYFUNCTION("""COMPUTED_VALUE"""),"Daniel Smith")</f>
        <v>Daniel Smith</v>
      </c>
      <c r="Q2646" s="6" t="str">
        <f>IFERROR(__xludf.DUMMYFUNCTION("""COMPUTED_VALUE"""),"MS")</f>
        <v>MS</v>
      </c>
      <c r="R2646" s="6">
        <f>IFERROR(__xludf.DUMMYFUNCTION("""COMPUTED_VALUE"""),0.0)</f>
        <v>0</v>
      </c>
      <c r="S2646" s="6" t="str">
        <f>IFERROR(__xludf.DUMMYFUNCTION("""COMPUTED_VALUE"""),"Rebecca Reynolds")</f>
        <v>Rebecca Reynolds</v>
      </c>
      <c r="T2646" s="6" t="str">
        <f>IFERROR(__xludf.DUMMYFUNCTION("""COMPUTED_VALUE"""),"rreynolds@readingschools.org")</f>
        <v>rreynolds@readingschools.org</v>
      </c>
      <c r="U2646" s="6" t="str">
        <f>IFERROR(__xludf.DUMMYFUNCTION("""COMPUTED_VALUE"""),"8")</f>
        <v>8</v>
      </c>
      <c r="V2646" s="6" t="str">
        <f>IFERROR(__xludf.DUMMYFUNCTION("""COMPUTED_VALUE"""),"English")</f>
        <v>English</v>
      </c>
      <c r="W2646" s="6" t="str">
        <f>IFERROR(__xludf.DUMMYFUNCTION("""COMPUTED_VALUE"""),"[]")</f>
        <v>[]</v>
      </c>
      <c r="X2646" s="6" t="str">
        <f>IFERROR(__xludf.DUMMYFUNCTION("""COMPUTED_VALUE"""),"Enrolled")</f>
        <v>Enrolled</v>
      </c>
    </row>
    <row r="2647">
      <c r="A2647" s="6" t="str">
        <f>IFERROR(__xludf.DUMMYFUNCTION("""COMPUTED_VALUE"""),"056-5451")</f>
        <v>056-5451</v>
      </c>
      <c r="B2647" s="6" t="str">
        <f>IFERROR(__xludf.DUMMYFUNCTION("""COMPUTED_VALUE"""),"56")</f>
        <v>56</v>
      </c>
      <c r="C2647" s="6" t="str">
        <f>IFERROR(__xludf.DUMMYFUNCTION("""COMPUTED_VALUE"""),"5451")</f>
        <v>5451</v>
      </c>
      <c r="D2647" s="6" t="str">
        <f>IFERROR(__xludf.DUMMYFUNCTION("""COMPUTED_VALUE"""),"Isaiah")</f>
        <v>Isaiah</v>
      </c>
      <c r="E2647" s="6" t="str">
        <f>IFERROR(__xludf.DUMMYFUNCTION("""COMPUTED_VALUE"""),"")</f>
        <v/>
      </c>
      <c r="F2647" s="6" t="str">
        <f>IFERROR(__xludf.DUMMYFUNCTION("""COMPUTED_VALUE"""),"Nicely")</f>
        <v>Nicely</v>
      </c>
      <c r="G2647" s="6" t="str">
        <f>IFERROR(__xludf.DUMMYFUNCTION("""COMPUTED_VALUE"""),"01/28/2011")</f>
        <v>01/28/2011</v>
      </c>
      <c r="H2647" s="6" t="str">
        <f>IFERROR(__xludf.DUMMYFUNCTION("""COMPUTED_VALUE"""),"Self Identify")</f>
        <v>Self Identify</v>
      </c>
      <c r="I2647" s="6" t="str">
        <f>IFERROR(__xludf.DUMMYFUNCTION("""COMPUTED_VALUE"""),"Middle School")</f>
        <v>Middle School</v>
      </c>
      <c r="J2647" s="6" t="str">
        <f>IFERROR(__xludf.DUMMYFUNCTION("""COMPUTED_VALUE"""),"8")</f>
        <v>8</v>
      </c>
      <c r="K2647" s="6" t="str">
        <f>IFERROR(__xludf.DUMMYFUNCTION("""COMPUTED_VALUE"""),"isaiah.nicely@2hourlearning.com")</f>
        <v>isaiah.nicely@2hourlearning.com</v>
      </c>
      <c r="L2647" s="6" t="str">
        <f>IFERROR(__xludf.DUMMYFUNCTION("""COMPUTED_VALUE"""),"Reading Community City School District")</f>
        <v>Reading Community City School District</v>
      </c>
      <c r="M2647" s="6" t="str">
        <f>IFERROR(__xludf.DUMMYFUNCTION("""COMPUTED_VALUE"""),"Middle")</f>
        <v>Middle</v>
      </c>
      <c r="N2647" s="6" t="str">
        <f>IFERROR(__xludf.DUMMYFUNCTION("""COMPUTED_VALUE"""),"")</f>
        <v/>
      </c>
      <c r="O2647" s="87" t="str">
        <f>IFERROR(__xludf.DUMMYFUNCTION("""COMPUTED_VALUE"""),"https://drive.google.com/drive/folders/10T2cTQHqEJZqE-st6uFKPoI?usp=share_link")</f>
        <v>https://drive.google.com/drive/folders/10T2cTQHqEJZqE-st6uFKPoI?usp=share_link</v>
      </c>
      <c r="P2647" s="6" t="str">
        <f>IFERROR(__xludf.DUMMYFUNCTION("""COMPUTED_VALUE"""),"Isaiah Nicely")</f>
        <v>Isaiah Nicely</v>
      </c>
      <c r="Q2647" s="6" t="str">
        <f>IFERROR(__xludf.DUMMYFUNCTION("""COMPUTED_VALUE"""),"MS")</f>
        <v>MS</v>
      </c>
      <c r="R2647" s="6">
        <f>IFERROR(__xludf.DUMMYFUNCTION("""COMPUTED_VALUE"""),0.0)</f>
        <v>0</v>
      </c>
      <c r="S2647" s="6" t="str">
        <f>IFERROR(__xludf.DUMMYFUNCTION("""COMPUTED_VALUE"""),"Rebecca Reynolds")</f>
        <v>Rebecca Reynolds</v>
      </c>
      <c r="T2647" s="6" t="str">
        <f>IFERROR(__xludf.DUMMYFUNCTION("""COMPUTED_VALUE"""),"rreynolds@readingschools.org")</f>
        <v>rreynolds@readingschools.org</v>
      </c>
      <c r="U2647" s="6" t="str">
        <f>IFERROR(__xludf.DUMMYFUNCTION("""COMPUTED_VALUE"""),"8")</f>
        <v>8</v>
      </c>
      <c r="V2647" s="6" t="str">
        <f>IFERROR(__xludf.DUMMYFUNCTION("""COMPUTED_VALUE"""),"English")</f>
        <v>English</v>
      </c>
      <c r="W2647" s="6" t="str">
        <f>IFERROR(__xludf.DUMMYFUNCTION("""COMPUTED_VALUE"""),"[]")</f>
        <v>[]</v>
      </c>
      <c r="X2647" s="6" t="str">
        <f>IFERROR(__xludf.DUMMYFUNCTION("""COMPUTED_VALUE"""),"Enrolled")</f>
        <v>Enrolled</v>
      </c>
    </row>
    <row r="2648">
      <c r="A2648" s="6" t="str">
        <f>IFERROR(__xludf.DUMMYFUNCTION("""COMPUTED_VALUE"""),"056-5452")</f>
        <v>056-5452</v>
      </c>
      <c r="B2648" s="6" t="str">
        <f>IFERROR(__xludf.DUMMYFUNCTION("""COMPUTED_VALUE"""),"56")</f>
        <v>56</v>
      </c>
      <c r="C2648" s="6" t="str">
        <f>IFERROR(__xludf.DUMMYFUNCTION("""COMPUTED_VALUE"""),"5452")</f>
        <v>5452</v>
      </c>
      <c r="D2648" s="6" t="str">
        <f>IFERROR(__xludf.DUMMYFUNCTION("""COMPUTED_VALUE"""),"Izzie")</f>
        <v>Izzie</v>
      </c>
      <c r="E2648" s="6" t="str">
        <f>IFERROR(__xludf.DUMMYFUNCTION("""COMPUTED_VALUE"""),"")</f>
        <v/>
      </c>
      <c r="F2648" s="6" t="str">
        <f>IFERROR(__xludf.DUMMYFUNCTION("""COMPUTED_VALUE"""),"Armacost")</f>
        <v>Armacost</v>
      </c>
      <c r="G2648" s="6" t="str">
        <f>IFERROR(__xludf.DUMMYFUNCTION("""COMPUTED_VALUE"""),"03/10/2012")</f>
        <v>03/10/2012</v>
      </c>
      <c r="H2648" s="6" t="str">
        <f>IFERROR(__xludf.DUMMYFUNCTION("""COMPUTED_VALUE"""),"Self Identify")</f>
        <v>Self Identify</v>
      </c>
      <c r="I2648" s="6" t="str">
        <f>IFERROR(__xludf.DUMMYFUNCTION("""COMPUTED_VALUE"""),"Middle School")</f>
        <v>Middle School</v>
      </c>
      <c r="J2648" s="6" t="str">
        <f>IFERROR(__xludf.DUMMYFUNCTION("""COMPUTED_VALUE"""),"8")</f>
        <v>8</v>
      </c>
      <c r="K2648" s="6" t="str">
        <f>IFERROR(__xludf.DUMMYFUNCTION("""COMPUTED_VALUE"""),"izzie.armacost@2hourlearning.com")</f>
        <v>izzie.armacost@2hourlearning.com</v>
      </c>
      <c r="L2648" s="6" t="str">
        <f>IFERROR(__xludf.DUMMYFUNCTION("""COMPUTED_VALUE"""),"Reading Community City School District")</f>
        <v>Reading Community City School District</v>
      </c>
      <c r="M2648" s="6" t="str">
        <f>IFERROR(__xludf.DUMMYFUNCTION("""COMPUTED_VALUE"""),"Middle")</f>
        <v>Middle</v>
      </c>
      <c r="N2648" s="6" t="str">
        <f>IFERROR(__xludf.DUMMYFUNCTION("""COMPUTED_VALUE"""),"")</f>
        <v/>
      </c>
      <c r="O2648" s="87" t="str">
        <f>IFERROR(__xludf.DUMMYFUNCTION("""COMPUTED_VALUE"""),"https://drive.google.com/drive/folders/10T2cTQHqEJZqE-st6uFKPoI?usp=share_link")</f>
        <v>https://drive.google.com/drive/folders/10T2cTQHqEJZqE-st6uFKPoI?usp=share_link</v>
      </c>
      <c r="P2648" s="6" t="str">
        <f>IFERROR(__xludf.DUMMYFUNCTION("""COMPUTED_VALUE"""),"Izzie Armacost")</f>
        <v>Izzie Armacost</v>
      </c>
      <c r="Q2648" s="6" t="str">
        <f>IFERROR(__xludf.DUMMYFUNCTION("""COMPUTED_VALUE"""),"MS")</f>
        <v>MS</v>
      </c>
      <c r="R2648" s="6">
        <f>IFERROR(__xludf.DUMMYFUNCTION("""COMPUTED_VALUE"""),0.0)</f>
        <v>0</v>
      </c>
      <c r="S2648" s="6" t="str">
        <f>IFERROR(__xludf.DUMMYFUNCTION("""COMPUTED_VALUE"""),"Rebecca Reynolds")</f>
        <v>Rebecca Reynolds</v>
      </c>
      <c r="T2648" s="6" t="str">
        <f>IFERROR(__xludf.DUMMYFUNCTION("""COMPUTED_VALUE"""),"rreynolds@readingschools.org")</f>
        <v>rreynolds@readingschools.org</v>
      </c>
      <c r="U2648" s="6" t="str">
        <f>IFERROR(__xludf.DUMMYFUNCTION("""COMPUTED_VALUE"""),"8")</f>
        <v>8</v>
      </c>
      <c r="V2648" s="6" t="str">
        <f>IFERROR(__xludf.DUMMYFUNCTION("""COMPUTED_VALUE"""),"English")</f>
        <v>English</v>
      </c>
      <c r="W2648" s="6" t="str">
        <f>IFERROR(__xludf.DUMMYFUNCTION("""COMPUTED_VALUE"""),"[]")</f>
        <v>[]</v>
      </c>
      <c r="X2648" s="6" t="str">
        <f>IFERROR(__xludf.DUMMYFUNCTION("""COMPUTED_VALUE"""),"Enrolled")</f>
        <v>Enrolled</v>
      </c>
    </row>
    <row r="2649">
      <c r="A2649" s="6" t="str">
        <f>IFERROR(__xludf.DUMMYFUNCTION("""COMPUTED_VALUE"""),"056-5454")</f>
        <v>056-5454</v>
      </c>
      <c r="B2649" s="6" t="str">
        <f>IFERROR(__xludf.DUMMYFUNCTION("""COMPUTED_VALUE"""),"56")</f>
        <v>56</v>
      </c>
      <c r="C2649" s="6" t="str">
        <f>IFERROR(__xludf.DUMMYFUNCTION("""COMPUTED_VALUE"""),"5454")</f>
        <v>5454</v>
      </c>
      <c r="D2649" s="6" t="str">
        <f>IFERROR(__xludf.DUMMYFUNCTION("""COMPUTED_VALUE"""),"Jake")</f>
        <v>Jake</v>
      </c>
      <c r="E2649" s="6" t="str">
        <f>IFERROR(__xludf.DUMMYFUNCTION("""COMPUTED_VALUE"""),"")</f>
        <v/>
      </c>
      <c r="F2649" s="6" t="str">
        <f>IFERROR(__xludf.DUMMYFUNCTION("""COMPUTED_VALUE"""),"Aildasani")</f>
        <v>Aildasani</v>
      </c>
      <c r="G2649" s="6" t="str">
        <f>IFERROR(__xludf.DUMMYFUNCTION("""COMPUTED_VALUE"""),"07/20/2012")</f>
        <v>07/20/2012</v>
      </c>
      <c r="H2649" s="6" t="str">
        <f>IFERROR(__xludf.DUMMYFUNCTION("""COMPUTED_VALUE"""),"Self Identify")</f>
        <v>Self Identify</v>
      </c>
      <c r="I2649" s="6" t="str">
        <f>IFERROR(__xludf.DUMMYFUNCTION("""COMPUTED_VALUE"""),"Middle School")</f>
        <v>Middle School</v>
      </c>
      <c r="J2649" s="6" t="str">
        <f>IFERROR(__xludf.DUMMYFUNCTION("""COMPUTED_VALUE"""),"8")</f>
        <v>8</v>
      </c>
      <c r="K2649" s="6" t="str">
        <f>IFERROR(__xludf.DUMMYFUNCTION("""COMPUTED_VALUE"""),"jake.aildasani@2hourlearning.com")</f>
        <v>jake.aildasani@2hourlearning.com</v>
      </c>
      <c r="L2649" s="6" t="str">
        <f>IFERROR(__xludf.DUMMYFUNCTION("""COMPUTED_VALUE"""),"Reading Community City School District")</f>
        <v>Reading Community City School District</v>
      </c>
      <c r="M2649" s="6" t="str">
        <f>IFERROR(__xludf.DUMMYFUNCTION("""COMPUTED_VALUE"""),"Middle")</f>
        <v>Middle</v>
      </c>
      <c r="N2649" s="6" t="str">
        <f>IFERROR(__xludf.DUMMYFUNCTION("""COMPUTED_VALUE"""),"")</f>
        <v/>
      </c>
      <c r="O2649" s="87" t="str">
        <f>IFERROR(__xludf.DUMMYFUNCTION("""COMPUTED_VALUE"""),"https://drive.google.com/drive/folders/10T2cTQHqEJZqE-st6uFKPoI?usp=share_link")</f>
        <v>https://drive.google.com/drive/folders/10T2cTQHqEJZqE-st6uFKPoI?usp=share_link</v>
      </c>
      <c r="P2649" s="6" t="str">
        <f>IFERROR(__xludf.DUMMYFUNCTION("""COMPUTED_VALUE"""),"Jake Aildasani")</f>
        <v>Jake Aildasani</v>
      </c>
      <c r="Q2649" s="6" t="str">
        <f>IFERROR(__xludf.DUMMYFUNCTION("""COMPUTED_VALUE"""),"MS")</f>
        <v>MS</v>
      </c>
      <c r="R2649" s="6">
        <f>IFERROR(__xludf.DUMMYFUNCTION("""COMPUTED_VALUE"""),0.0)</f>
        <v>0</v>
      </c>
      <c r="S2649" s="6" t="str">
        <f>IFERROR(__xludf.DUMMYFUNCTION("""COMPUTED_VALUE"""),"Rebecca Reynolds")</f>
        <v>Rebecca Reynolds</v>
      </c>
      <c r="T2649" s="6" t="str">
        <f>IFERROR(__xludf.DUMMYFUNCTION("""COMPUTED_VALUE"""),"rreynolds@readingschools.org")</f>
        <v>rreynolds@readingschools.org</v>
      </c>
      <c r="U2649" s="6" t="str">
        <f>IFERROR(__xludf.DUMMYFUNCTION("""COMPUTED_VALUE"""),"8")</f>
        <v>8</v>
      </c>
      <c r="V2649" s="6" t="str">
        <f>IFERROR(__xludf.DUMMYFUNCTION("""COMPUTED_VALUE"""),"English")</f>
        <v>English</v>
      </c>
      <c r="W2649" s="6" t="str">
        <f>IFERROR(__xludf.DUMMYFUNCTION("""COMPUTED_VALUE"""),"[]")</f>
        <v>[]</v>
      </c>
      <c r="X2649" s="6" t="str">
        <f>IFERROR(__xludf.DUMMYFUNCTION("""COMPUTED_VALUE"""),"Enrolled")</f>
        <v>Enrolled</v>
      </c>
    </row>
    <row r="2650">
      <c r="A2650" s="6" t="str">
        <f>IFERROR(__xludf.DUMMYFUNCTION("""COMPUTED_VALUE"""),"056-5455")</f>
        <v>056-5455</v>
      </c>
      <c r="B2650" s="6" t="str">
        <f>IFERROR(__xludf.DUMMYFUNCTION("""COMPUTED_VALUE"""),"56")</f>
        <v>56</v>
      </c>
      <c r="C2650" s="6" t="str">
        <f>IFERROR(__xludf.DUMMYFUNCTION("""COMPUTED_VALUE"""),"5455")</f>
        <v>5455</v>
      </c>
      <c r="D2650" s="6" t="str">
        <f>IFERROR(__xludf.DUMMYFUNCTION("""COMPUTED_VALUE"""),"Jay'Marion")</f>
        <v>Jay'Marion</v>
      </c>
      <c r="E2650" s="6" t="str">
        <f>IFERROR(__xludf.DUMMYFUNCTION("""COMPUTED_VALUE"""),"")</f>
        <v/>
      </c>
      <c r="F2650" s="6" t="str">
        <f>IFERROR(__xludf.DUMMYFUNCTION("""COMPUTED_VALUE"""),"Taylor-Goosby")</f>
        <v>Taylor-Goosby</v>
      </c>
      <c r="G2650" s="6" t="str">
        <f>IFERROR(__xludf.DUMMYFUNCTION("""COMPUTED_VALUE"""),"08/22/2012")</f>
        <v>08/22/2012</v>
      </c>
      <c r="H2650" s="6" t="str">
        <f>IFERROR(__xludf.DUMMYFUNCTION("""COMPUTED_VALUE"""),"Self Identify")</f>
        <v>Self Identify</v>
      </c>
      <c r="I2650" s="6" t="str">
        <f>IFERROR(__xludf.DUMMYFUNCTION("""COMPUTED_VALUE"""),"Middle School")</f>
        <v>Middle School</v>
      </c>
      <c r="J2650" s="6" t="str">
        <f>IFERROR(__xludf.DUMMYFUNCTION("""COMPUTED_VALUE"""),"8")</f>
        <v>8</v>
      </c>
      <c r="K2650" s="6" t="str">
        <f>IFERROR(__xludf.DUMMYFUNCTION("""COMPUTED_VALUE"""),"jaymarion.taylor-goosby@2hourlearning.com")</f>
        <v>jaymarion.taylor-goosby@2hourlearning.com</v>
      </c>
      <c r="L2650" s="6" t="str">
        <f>IFERROR(__xludf.DUMMYFUNCTION("""COMPUTED_VALUE"""),"Reading Community City School District")</f>
        <v>Reading Community City School District</v>
      </c>
      <c r="M2650" s="6" t="str">
        <f>IFERROR(__xludf.DUMMYFUNCTION("""COMPUTED_VALUE"""),"Middle")</f>
        <v>Middle</v>
      </c>
      <c r="N2650" s="6" t="str">
        <f>IFERROR(__xludf.DUMMYFUNCTION("""COMPUTED_VALUE"""),"")</f>
        <v/>
      </c>
      <c r="O2650" s="87" t="str">
        <f>IFERROR(__xludf.DUMMYFUNCTION("""COMPUTED_VALUE"""),"https://drive.google.com/drive/folders/10T2cTQHqEJZqE-st6uFKPoI?usp=share_link")</f>
        <v>https://drive.google.com/drive/folders/10T2cTQHqEJZqE-st6uFKPoI?usp=share_link</v>
      </c>
      <c r="P2650" s="6" t="str">
        <f>IFERROR(__xludf.DUMMYFUNCTION("""COMPUTED_VALUE"""),"Jay'Marion Taylor-Goosby")</f>
        <v>Jay'Marion Taylor-Goosby</v>
      </c>
      <c r="Q2650" s="6" t="str">
        <f>IFERROR(__xludf.DUMMYFUNCTION("""COMPUTED_VALUE"""),"MS")</f>
        <v>MS</v>
      </c>
      <c r="R2650" s="6">
        <f>IFERROR(__xludf.DUMMYFUNCTION("""COMPUTED_VALUE"""),0.0)</f>
        <v>0</v>
      </c>
      <c r="S2650" s="6" t="str">
        <f>IFERROR(__xludf.DUMMYFUNCTION("""COMPUTED_VALUE"""),"Rebecca Reynolds")</f>
        <v>Rebecca Reynolds</v>
      </c>
      <c r="T2650" s="6" t="str">
        <f>IFERROR(__xludf.DUMMYFUNCTION("""COMPUTED_VALUE"""),"rreynolds@readingschools.org")</f>
        <v>rreynolds@readingschools.org</v>
      </c>
      <c r="U2650" s="6" t="str">
        <f>IFERROR(__xludf.DUMMYFUNCTION("""COMPUTED_VALUE"""),"8")</f>
        <v>8</v>
      </c>
      <c r="V2650" s="6" t="str">
        <f>IFERROR(__xludf.DUMMYFUNCTION("""COMPUTED_VALUE"""),"English")</f>
        <v>English</v>
      </c>
      <c r="W2650" s="6" t="str">
        <f>IFERROR(__xludf.DUMMYFUNCTION("""COMPUTED_VALUE"""),"[]")</f>
        <v>[]</v>
      </c>
      <c r="X2650" s="6" t="str">
        <f>IFERROR(__xludf.DUMMYFUNCTION("""COMPUTED_VALUE"""),"Enrolled")</f>
        <v>Enrolled</v>
      </c>
    </row>
    <row r="2651">
      <c r="A2651" s="6" t="str">
        <f>IFERROR(__xludf.DUMMYFUNCTION("""COMPUTED_VALUE"""),"056-5456")</f>
        <v>056-5456</v>
      </c>
      <c r="B2651" s="6" t="str">
        <f>IFERROR(__xludf.DUMMYFUNCTION("""COMPUTED_VALUE"""),"56")</f>
        <v>56</v>
      </c>
      <c r="C2651" s="6" t="str">
        <f>IFERROR(__xludf.DUMMYFUNCTION("""COMPUTED_VALUE"""),"5456")</f>
        <v>5456</v>
      </c>
      <c r="D2651" s="6" t="str">
        <f>IFERROR(__xludf.DUMMYFUNCTION("""COMPUTED_VALUE"""),"Jeffrey")</f>
        <v>Jeffrey</v>
      </c>
      <c r="E2651" s="6" t="str">
        <f>IFERROR(__xludf.DUMMYFUNCTION("""COMPUTED_VALUE"""),"")</f>
        <v/>
      </c>
      <c r="F2651" s="6" t="str">
        <f>IFERROR(__xludf.DUMMYFUNCTION("""COMPUTED_VALUE"""),"Hughes")</f>
        <v>Hughes</v>
      </c>
      <c r="G2651" s="6" t="str">
        <f>IFERROR(__xludf.DUMMYFUNCTION("""COMPUTED_VALUE"""),"12/29/2011")</f>
        <v>12/29/2011</v>
      </c>
      <c r="H2651" s="6" t="str">
        <f>IFERROR(__xludf.DUMMYFUNCTION("""COMPUTED_VALUE"""),"Self Identify")</f>
        <v>Self Identify</v>
      </c>
      <c r="I2651" s="6" t="str">
        <f>IFERROR(__xludf.DUMMYFUNCTION("""COMPUTED_VALUE"""),"Middle School")</f>
        <v>Middle School</v>
      </c>
      <c r="J2651" s="6" t="str">
        <f>IFERROR(__xludf.DUMMYFUNCTION("""COMPUTED_VALUE"""),"8")</f>
        <v>8</v>
      </c>
      <c r="K2651" s="6" t="str">
        <f>IFERROR(__xludf.DUMMYFUNCTION("""COMPUTED_VALUE"""),"jeffrey.hughes@2hourlearning.com")</f>
        <v>jeffrey.hughes@2hourlearning.com</v>
      </c>
      <c r="L2651" s="6" t="str">
        <f>IFERROR(__xludf.DUMMYFUNCTION("""COMPUTED_VALUE"""),"Reading Community City School District")</f>
        <v>Reading Community City School District</v>
      </c>
      <c r="M2651" s="6" t="str">
        <f>IFERROR(__xludf.DUMMYFUNCTION("""COMPUTED_VALUE"""),"Middle")</f>
        <v>Middle</v>
      </c>
      <c r="N2651" s="6" t="str">
        <f>IFERROR(__xludf.DUMMYFUNCTION("""COMPUTED_VALUE"""),"")</f>
        <v/>
      </c>
      <c r="O2651" s="87" t="str">
        <f>IFERROR(__xludf.DUMMYFUNCTION("""COMPUTED_VALUE"""),"https://drive.google.com/drive/folders/10T2cTQHqEJZqE-st6uFKPoI?usp=share_link")</f>
        <v>https://drive.google.com/drive/folders/10T2cTQHqEJZqE-st6uFKPoI?usp=share_link</v>
      </c>
      <c r="P2651" s="6" t="str">
        <f>IFERROR(__xludf.DUMMYFUNCTION("""COMPUTED_VALUE"""),"Jeffrey Hughes")</f>
        <v>Jeffrey Hughes</v>
      </c>
      <c r="Q2651" s="6" t="str">
        <f>IFERROR(__xludf.DUMMYFUNCTION("""COMPUTED_VALUE"""),"MS")</f>
        <v>MS</v>
      </c>
      <c r="R2651" s="6">
        <f>IFERROR(__xludf.DUMMYFUNCTION("""COMPUTED_VALUE"""),0.0)</f>
        <v>0</v>
      </c>
      <c r="S2651" s="6" t="str">
        <f>IFERROR(__xludf.DUMMYFUNCTION("""COMPUTED_VALUE"""),"Rebecca Reynolds")</f>
        <v>Rebecca Reynolds</v>
      </c>
      <c r="T2651" s="6" t="str">
        <f>IFERROR(__xludf.DUMMYFUNCTION("""COMPUTED_VALUE"""),"rreynolds@readingschools.org")</f>
        <v>rreynolds@readingschools.org</v>
      </c>
      <c r="U2651" s="6" t="str">
        <f>IFERROR(__xludf.DUMMYFUNCTION("""COMPUTED_VALUE"""),"8")</f>
        <v>8</v>
      </c>
      <c r="V2651" s="6" t="str">
        <f>IFERROR(__xludf.DUMMYFUNCTION("""COMPUTED_VALUE"""),"English")</f>
        <v>English</v>
      </c>
      <c r="W2651" s="6" t="str">
        <f>IFERROR(__xludf.DUMMYFUNCTION("""COMPUTED_VALUE"""),"[]")</f>
        <v>[]</v>
      </c>
      <c r="X2651" s="6" t="str">
        <f>IFERROR(__xludf.DUMMYFUNCTION("""COMPUTED_VALUE"""),"Enrolled")</f>
        <v>Enrolled</v>
      </c>
    </row>
    <row r="2652">
      <c r="A2652" s="6" t="str">
        <f>IFERROR(__xludf.DUMMYFUNCTION("""COMPUTED_VALUE"""),"056-5458")</f>
        <v>056-5458</v>
      </c>
      <c r="B2652" s="6" t="str">
        <f>IFERROR(__xludf.DUMMYFUNCTION("""COMPUTED_VALUE"""),"56")</f>
        <v>56</v>
      </c>
      <c r="C2652" s="6" t="str">
        <f>IFERROR(__xludf.DUMMYFUNCTION("""COMPUTED_VALUE"""),"5458")</f>
        <v>5458</v>
      </c>
      <c r="D2652" s="6" t="str">
        <f>IFERROR(__xludf.DUMMYFUNCTION("""COMPUTED_VALUE"""),"Koda")</f>
        <v>Koda</v>
      </c>
      <c r="E2652" s="6" t="str">
        <f>IFERROR(__xludf.DUMMYFUNCTION("""COMPUTED_VALUE"""),"")</f>
        <v/>
      </c>
      <c r="F2652" s="6" t="str">
        <f>IFERROR(__xludf.DUMMYFUNCTION("""COMPUTED_VALUE"""),"Mirick")</f>
        <v>Mirick</v>
      </c>
      <c r="G2652" s="6" t="str">
        <f>IFERROR(__xludf.DUMMYFUNCTION("""COMPUTED_VALUE"""),"04/22/2012")</f>
        <v>04/22/2012</v>
      </c>
      <c r="H2652" s="6" t="str">
        <f>IFERROR(__xludf.DUMMYFUNCTION("""COMPUTED_VALUE"""),"Self Identify")</f>
        <v>Self Identify</v>
      </c>
      <c r="I2652" s="6" t="str">
        <f>IFERROR(__xludf.DUMMYFUNCTION("""COMPUTED_VALUE"""),"Middle School")</f>
        <v>Middle School</v>
      </c>
      <c r="J2652" s="6" t="str">
        <f>IFERROR(__xludf.DUMMYFUNCTION("""COMPUTED_VALUE"""),"8")</f>
        <v>8</v>
      </c>
      <c r="K2652" s="6" t="str">
        <f>IFERROR(__xludf.DUMMYFUNCTION("""COMPUTED_VALUE"""),"koda.mirick@2hourlearning.com")</f>
        <v>koda.mirick@2hourlearning.com</v>
      </c>
      <c r="L2652" s="6" t="str">
        <f>IFERROR(__xludf.DUMMYFUNCTION("""COMPUTED_VALUE"""),"Reading Community City School District")</f>
        <v>Reading Community City School District</v>
      </c>
      <c r="M2652" s="6" t="str">
        <f>IFERROR(__xludf.DUMMYFUNCTION("""COMPUTED_VALUE"""),"Middle")</f>
        <v>Middle</v>
      </c>
      <c r="N2652" s="6" t="str">
        <f>IFERROR(__xludf.DUMMYFUNCTION("""COMPUTED_VALUE"""),"")</f>
        <v/>
      </c>
      <c r="O2652" s="87" t="str">
        <f>IFERROR(__xludf.DUMMYFUNCTION("""COMPUTED_VALUE"""),"https://drive.google.com/drive/folders/10T2cTQHqEJZqE-st6uFKPoI?usp=share_link")</f>
        <v>https://drive.google.com/drive/folders/10T2cTQHqEJZqE-st6uFKPoI?usp=share_link</v>
      </c>
      <c r="P2652" s="6" t="str">
        <f>IFERROR(__xludf.DUMMYFUNCTION("""COMPUTED_VALUE"""),"Koda Mirick")</f>
        <v>Koda Mirick</v>
      </c>
      <c r="Q2652" s="6" t="str">
        <f>IFERROR(__xludf.DUMMYFUNCTION("""COMPUTED_VALUE"""),"MS")</f>
        <v>MS</v>
      </c>
      <c r="R2652" s="6">
        <f>IFERROR(__xludf.DUMMYFUNCTION("""COMPUTED_VALUE"""),0.0)</f>
        <v>0</v>
      </c>
      <c r="S2652" s="6" t="str">
        <f>IFERROR(__xludf.DUMMYFUNCTION("""COMPUTED_VALUE"""),"Rebecca Reynolds")</f>
        <v>Rebecca Reynolds</v>
      </c>
      <c r="T2652" s="6" t="str">
        <f>IFERROR(__xludf.DUMMYFUNCTION("""COMPUTED_VALUE"""),"rreynolds@readingschools.org")</f>
        <v>rreynolds@readingschools.org</v>
      </c>
      <c r="U2652" s="6" t="str">
        <f>IFERROR(__xludf.DUMMYFUNCTION("""COMPUTED_VALUE"""),"8")</f>
        <v>8</v>
      </c>
      <c r="V2652" s="6" t="str">
        <f>IFERROR(__xludf.DUMMYFUNCTION("""COMPUTED_VALUE"""),"English")</f>
        <v>English</v>
      </c>
      <c r="W2652" s="6" t="str">
        <f>IFERROR(__xludf.DUMMYFUNCTION("""COMPUTED_VALUE"""),"[]")</f>
        <v>[]</v>
      </c>
      <c r="X2652" s="6" t="str">
        <f>IFERROR(__xludf.DUMMYFUNCTION("""COMPUTED_VALUE"""),"Enrolled")</f>
        <v>Enrolled</v>
      </c>
    </row>
    <row r="2653">
      <c r="A2653" s="6" t="str">
        <f>IFERROR(__xludf.DUMMYFUNCTION("""COMPUTED_VALUE"""),"056-5459")</f>
        <v>056-5459</v>
      </c>
      <c r="B2653" s="6" t="str">
        <f>IFERROR(__xludf.DUMMYFUNCTION("""COMPUTED_VALUE"""),"56")</f>
        <v>56</v>
      </c>
      <c r="C2653" s="6" t="str">
        <f>IFERROR(__xludf.DUMMYFUNCTION("""COMPUTED_VALUE"""),"5459")</f>
        <v>5459</v>
      </c>
      <c r="D2653" s="6" t="str">
        <f>IFERROR(__xludf.DUMMYFUNCTION("""COMPUTED_VALUE"""),"Marshall")</f>
        <v>Marshall</v>
      </c>
      <c r="E2653" s="6" t="str">
        <f>IFERROR(__xludf.DUMMYFUNCTION("""COMPUTED_VALUE"""),"")</f>
        <v/>
      </c>
      <c r="F2653" s="6" t="str">
        <f>IFERROR(__xludf.DUMMYFUNCTION("""COMPUTED_VALUE"""),"Baker")</f>
        <v>Baker</v>
      </c>
      <c r="G2653" s="6" t="str">
        <f>IFERROR(__xludf.DUMMYFUNCTION("""COMPUTED_VALUE"""),"08/14/2011")</f>
        <v>08/14/2011</v>
      </c>
      <c r="H2653" s="6" t="str">
        <f>IFERROR(__xludf.DUMMYFUNCTION("""COMPUTED_VALUE"""),"Self Identify")</f>
        <v>Self Identify</v>
      </c>
      <c r="I2653" s="6" t="str">
        <f>IFERROR(__xludf.DUMMYFUNCTION("""COMPUTED_VALUE"""),"Middle School")</f>
        <v>Middle School</v>
      </c>
      <c r="J2653" s="6" t="str">
        <f>IFERROR(__xludf.DUMMYFUNCTION("""COMPUTED_VALUE"""),"8")</f>
        <v>8</v>
      </c>
      <c r="K2653" s="6" t="str">
        <f>IFERROR(__xludf.DUMMYFUNCTION("""COMPUTED_VALUE"""),"marshall.baker@2hourlearning.com")</f>
        <v>marshall.baker@2hourlearning.com</v>
      </c>
      <c r="L2653" s="6" t="str">
        <f>IFERROR(__xludf.DUMMYFUNCTION("""COMPUTED_VALUE"""),"Reading Community City School District")</f>
        <v>Reading Community City School District</v>
      </c>
      <c r="M2653" s="6" t="str">
        <f>IFERROR(__xludf.DUMMYFUNCTION("""COMPUTED_VALUE"""),"Middle")</f>
        <v>Middle</v>
      </c>
      <c r="N2653" s="6" t="str">
        <f>IFERROR(__xludf.DUMMYFUNCTION("""COMPUTED_VALUE"""),"")</f>
        <v/>
      </c>
      <c r="O2653" s="87" t="str">
        <f>IFERROR(__xludf.DUMMYFUNCTION("""COMPUTED_VALUE"""),"https://drive.google.com/drive/folders/10T2cTQHqEJZqE-st6uFKPoI?usp=share_link")</f>
        <v>https://drive.google.com/drive/folders/10T2cTQHqEJZqE-st6uFKPoI?usp=share_link</v>
      </c>
      <c r="P2653" s="6" t="str">
        <f>IFERROR(__xludf.DUMMYFUNCTION("""COMPUTED_VALUE"""),"Marshall Baker")</f>
        <v>Marshall Baker</v>
      </c>
      <c r="Q2653" s="6" t="str">
        <f>IFERROR(__xludf.DUMMYFUNCTION("""COMPUTED_VALUE"""),"MS")</f>
        <v>MS</v>
      </c>
      <c r="R2653" s="6">
        <f>IFERROR(__xludf.DUMMYFUNCTION("""COMPUTED_VALUE"""),0.0)</f>
        <v>0</v>
      </c>
      <c r="S2653" s="6" t="str">
        <f>IFERROR(__xludf.DUMMYFUNCTION("""COMPUTED_VALUE"""),"Rebecca Reynolds")</f>
        <v>Rebecca Reynolds</v>
      </c>
      <c r="T2653" s="6" t="str">
        <f>IFERROR(__xludf.DUMMYFUNCTION("""COMPUTED_VALUE"""),"rreynolds@readingschools.org")</f>
        <v>rreynolds@readingschools.org</v>
      </c>
      <c r="U2653" s="6" t="str">
        <f>IFERROR(__xludf.DUMMYFUNCTION("""COMPUTED_VALUE"""),"8")</f>
        <v>8</v>
      </c>
      <c r="V2653" s="6" t="str">
        <f>IFERROR(__xludf.DUMMYFUNCTION("""COMPUTED_VALUE"""),"English")</f>
        <v>English</v>
      </c>
      <c r="W2653" s="6" t="str">
        <f>IFERROR(__xludf.DUMMYFUNCTION("""COMPUTED_VALUE"""),"[]")</f>
        <v>[]</v>
      </c>
      <c r="X2653" s="6" t="str">
        <f>IFERROR(__xludf.DUMMYFUNCTION("""COMPUTED_VALUE"""),"Enrolled")</f>
        <v>Enrolled</v>
      </c>
    </row>
    <row r="2654">
      <c r="A2654" s="6" t="str">
        <f>IFERROR(__xludf.DUMMYFUNCTION("""COMPUTED_VALUE"""),"056-5460")</f>
        <v>056-5460</v>
      </c>
      <c r="B2654" s="6" t="str">
        <f>IFERROR(__xludf.DUMMYFUNCTION("""COMPUTED_VALUE"""),"56")</f>
        <v>56</v>
      </c>
      <c r="C2654" s="6" t="str">
        <f>IFERROR(__xludf.DUMMYFUNCTION("""COMPUTED_VALUE"""),"5460")</f>
        <v>5460</v>
      </c>
      <c r="D2654" s="6" t="str">
        <f>IFERROR(__xludf.DUMMYFUNCTION("""COMPUTED_VALUE"""),"Melody")</f>
        <v>Melody</v>
      </c>
      <c r="E2654" s="6" t="str">
        <f>IFERROR(__xludf.DUMMYFUNCTION("""COMPUTED_VALUE"""),"")</f>
        <v/>
      </c>
      <c r="F2654" s="6" t="str">
        <f>IFERROR(__xludf.DUMMYFUNCTION("""COMPUTED_VALUE"""),"Bronner")</f>
        <v>Bronner</v>
      </c>
      <c r="G2654" s="6" t="str">
        <f>IFERROR(__xludf.DUMMYFUNCTION("""COMPUTED_VALUE"""),"04/30/2012")</f>
        <v>04/30/2012</v>
      </c>
      <c r="H2654" s="6" t="str">
        <f>IFERROR(__xludf.DUMMYFUNCTION("""COMPUTED_VALUE"""),"Self Identify")</f>
        <v>Self Identify</v>
      </c>
      <c r="I2654" s="6" t="str">
        <f>IFERROR(__xludf.DUMMYFUNCTION("""COMPUTED_VALUE"""),"Middle School")</f>
        <v>Middle School</v>
      </c>
      <c r="J2654" s="6" t="str">
        <f>IFERROR(__xludf.DUMMYFUNCTION("""COMPUTED_VALUE"""),"8")</f>
        <v>8</v>
      </c>
      <c r="K2654" s="6" t="str">
        <f>IFERROR(__xludf.DUMMYFUNCTION("""COMPUTED_VALUE"""),"melody.bronner@2hourlearning.com")</f>
        <v>melody.bronner@2hourlearning.com</v>
      </c>
      <c r="L2654" s="6" t="str">
        <f>IFERROR(__xludf.DUMMYFUNCTION("""COMPUTED_VALUE"""),"Reading Community City School District")</f>
        <v>Reading Community City School District</v>
      </c>
      <c r="M2654" s="6" t="str">
        <f>IFERROR(__xludf.DUMMYFUNCTION("""COMPUTED_VALUE"""),"Middle")</f>
        <v>Middle</v>
      </c>
      <c r="N2654" s="6" t="str">
        <f>IFERROR(__xludf.DUMMYFUNCTION("""COMPUTED_VALUE"""),"")</f>
        <v/>
      </c>
      <c r="O2654" s="87" t="str">
        <f>IFERROR(__xludf.DUMMYFUNCTION("""COMPUTED_VALUE"""),"https://drive.google.com/drive/folders/10T2cTQHqEJZqE-st6uFKPoI?usp=share_link")</f>
        <v>https://drive.google.com/drive/folders/10T2cTQHqEJZqE-st6uFKPoI?usp=share_link</v>
      </c>
      <c r="P2654" s="6" t="str">
        <f>IFERROR(__xludf.DUMMYFUNCTION("""COMPUTED_VALUE"""),"Melody Bronner")</f>
        <v>Melody Bronner</v>
      </c>
      <c r="Q2654" s="6" t="str">
        <f>IFERROR(__xludf.DUMMYFUNCTION("""COMPUTED_VALUE"""),"MS")</f>
        <v>MS</v>
      </c>
      <c r="R2654" s="6">
        <f>IFERROR(__xludf.DUMMYFUNCTION("""COMPUTED_VALUE"""),0.0)</f>
        <v>0</v>
      </c>
      <c r="S2654" s="6" t="str">
        <f>IFERROR(__xludf.DUMMYFUNCTION("""COMPUTED_VALUE"""),"Rebecca Reynolds")</f>
        <v>Rebecca Reynolds</v>
      </c>
      <c r="T2654" s="6" t="str">
        <f>IFERROR(__xludf.DUMMYFUNCTION("""COMPUTED_VALUE"""),"rreynolds@readingschools.org")</f>
        <v>rreynolds@readingschools.org</v>
      </c>
      <c r="U2654" s="6" t="str">
        <f>IFERROR(__xludf.DUMMYFUNCTION("""COMPUTED_VALUE"""),"8")</f>
        <v>8</v>
      </c>
      <c r="V2654" s="6" t="str">
        <f>IFERROR(__xludf.DUMMYFUNCTION("""COMPUTED_VALUE"""),"English")</f>
        <v>English</v>
      </c>
      <c r="W2654" s="6" t="str">
        <f>IFERROR(__xludf.DUMMYFUNCTION("""COMPUTED_VALUE"""),"[]")</f>
        <v>[]</v>
      </c>
      <c r="X2654" s="6" t="str">
        <f>IFERROR(__xludf.DUMMYFUNCTION("""COMPUTED_VALUE"""),"Enrolled")</f>
        <v>Enrolled</v>
      </c>
    </row>
    <row r="2655">
      <c r="A2655" s="6" t="str">
        <f>IFERROR(__xludf.DUMMYFUNCTION("""COMPUTED_VALUE"""),"056-5463")</f>
        <v>056-5463</v>
      </c>
      <c r="B2655" s="6" t="str">
        <f>IFERROR(__xludf.DUMMYFUNCTION("""COMPUTED_VALUE"""),"56")</f>
        <v>56</v>
      </c>
      <c r="C2655" s="6" t="str">
        <f>IFERROR(__xludf.DUMMYFUNCTION("""COMPUTED_VALUE"""),"5463")</f>
        <v>5463</v>
      </c>
      <c r="D2655" s="6" t="str">
        <f>IFERROR(__xludf.DUMMYFUNCTION("""COMPUTED_VALUE"""),"Nevaeh")</f>
        <v>Nevaeh</v>
      </c>
      <c r="E2655" s="6" t="str">
        <f>IFERROR(__xludf.DUMMYFUNCTION("""COMPUTED_VALUE"""),"")</f>
        <v/>
      </c>
      <c r="F2655" s="6" t="str">
        <f>IFERROR(__xludf.DUMMYFUNCTION("""COMPUTED_VALUE"""),"Morgan")</f>
        <v>Morgan</v>
      </c>
      <c r="G2655" s="6" t="str">
        <f>IFERROR(__xludf.DUMMYFUNCTION("""COMPUTED_VALUE"""),"11/30/2011")</f>
        <v>11/30/2011</v>
      </c>
      <c r="H2655" s="6" t="str">
        <f>IFERROR(__xludf.DUMMYFUNCTION("""COMPUTED_VALUE"""),"Self Identify")</f>
        <v>Self Identify</v>
      </c>
      <c r="I2655" s="6" t="str">
        <f>IFERROR(__xludf.DUMMYFUNCTION("""COMPUTED_VALUE"""),"Middle School")</f>
        <v>Middle School</v>
      </c>
      <c r="J2655" s="6" t="str">
        <f>IFERROR(__xludf.DUMMYFUNCTION("""COMPUTED_VALUE"""),"8")</f>
        <v>8</v>
      </c>
      <c r="K2655" s="6" t="str">
        <f>IFERROR(__xludf.DUMMYFUNCTION("""COMPUTED_VALUE"""),"nevaeh.morgan@2hourlearning.com")</f>
        <v>nevaeh.morgan@2hourlearning.com</v>
      </c>
      <c r="L2655" s="6" t="str">
        <f>IFERROR(__xludf.DUMMYFUNCTION("""COMPUTED_VALUE"""),"Reading Community City School District")</f>
        <v>Reading Community City School District</v>
      </c>
      <c r="M2655" s="6" t="str">
        <f>IFERROR(__xludf.DUMMYFUNCTION("""COMPUTED_VALUE"""),"Middle")</f>
        <v>Middle</v>
      </c>
      <c r="N2655" s="6" t="str">
        <f>IFERROR(__xludf.DUMMYFUNCTION("""COMPUTED_VALUE"""),"")</f>
        <v/>
      </c>
      <c r="O2655" s="87" t="str">
        <f>IFERROR(__xludf.DUMMYFUNCTION("""COMPUTED_VALUE"""),"https://drive.google.com/drive/folders/10T2cTQHqEJZqE-st6uFKPoI?usp=share_link")</f>
        <v>https://drive.google.com/drive/folders/10T2cTQHqEJZqE-st6uFKPoI?usp=share_link</v>
      </c>
      <c r="P2655" s="6" t="str">
        <f>IFERROR(__xludf.DUMMYFUNCTION("""COMPUTED_VALUE"""),"Nevaeh Morgan")</f>
        <v>Nevaeh Morgan</v>
      </c>
      <c r="Q2655" s="6" t="str">
        <f>IFERROR(__xludf.DUMMYFUNCTION("""COMPUTED_VALUE"""),"MS")</f>
        <v>MS</v>
      </c>
      <c r="R2655" s="6">
        <f>IFERROR(__xludf.DUMMYFUNCTION("""COMPUTED_VALUE"""),0.0)</f>
        <v>0</v>
      </c>
      <c r="S2655" s="6" t="str">
        <f>IFERROR(__xludf.DUMMYFUNCTION("""COMPUTED_VALUE"""),"Rebecca Reynolds")</f>
        <v>Rebecca Reynolds</v>
      </c>
      <c r="T2655" s="6" t="str">
        <f>IFERROR(__xludf.DUMMYFUNCTION("""COMPUTED_VALUE"""),"rreynolds@readingschools.org")</f>
        <v>rreynolds@readingschools.org</v>
      </c>
      <c r="U2655" s="6" t="str">
        <f>IFERROR(__xludf.DUMMYFUNCTION("""COMPUTED_VALUE"""),"8")</f>
        <v>8</v>
      </c>
      <c r="V2655" s="6" t="str">
        <f>IFERROR(__xludf.DUMMYFUNCTION("""COMPUTED_VALUE"""),"English")</f>
        <v>English</v>
      </c>
      <c r="W2655" s="6" t="str">
        <f>IFERROR(__xludf.DUMMYFUNCTION("""COMPUTED_VALUE"""),"[]")</f>
        <v>[]</v>
      </c>
      <c r="X2655" s="6" t="str">
        <f>IFERROR(__xludf.DUMMYFUNCTION("""COMPUTED_VALUE"""),"Enrolled")</f>
        <v>Enrolled</v>
      </c>
    </row>
    <row r="2656">
      <c r="A2656" s="6" t="str">
        <f>IFERROR(__xludf.DUMMYFUNCTION("""COMPUTED_VALUE"""),"056-5464")</f>
        <v>056-5464</v>
      </c>
      <c r="B2656" s="6" t="str">
        <f>IFERROR(__xludf.DUMMYFUNCTION("""COMPUTED_VALUE"""),"56")</f>
        <v>56</v>
      </c>
      <c r="C2656" s="6" t="str">
        <f>IFERROR(__xludf.DUMMYFUNCTION("""COMPUTED_VALUE"""),"5464")</f>
        <v>5464</v>
      </c>
      <c r="D2656" s="6" t="str">
        <f>IFERROR(__xludf.DUMMYFUNCTION("""COMPUTED_VALUE"""),"Samuel")</f>
        <v>Samuel</v>
      </c>
      <c r="E2656" s="6" t="str">
        <f>IFERROR(__xludf.DUMMYFUNCTION("""COMPUTED_VALUE"""),"")</f>
        <v/>
      </c>
      <c r="F2656" s="6" t="str">
        <f>IFERROR(__xludf.DUMMYFUNCTION("""COMPUTED_VALUE"""),"Bemmes")</f>
        <v>Bemmes</v>
      </c>
      <c r="G2656" s="6" t="str">
        <f>IFERROR(__xludf.DUMMYFUNCTION("""COMPUTED_VALUE"""),"11/18/2011")</f>
        <v>11/18/2011</v>
      </c>
      <c r="H2656" s="6" t="str">
        <f>IFERROR(__xludf.DUMMYFUNCTION("""COMPUTED_VALUE"""),"Self Identify")</f>
        <v>Self Identify</v>
      </c>
      <c r="I2656" s="6" t="str">
        <f>IFERROR(__xludf.DUMMYFUNCTION("""COMPUTED_VALUE"""),"Middle School")</f>
        <v>Middle School</v>
      </c>
      <c r="J2656" s="6" t="str">
        <f>IFERROR(__xludf.DUMMYFUNCTION("""COMPUTED_VALUE"""),"8")</f>
        <v>8</v>
      </c>
      <c r="K2656" s="6" t="str">
        <f>IFERROR(__xludf.DUMMYFUNCTION("""COMPUTED_VALUE"""),"samuel.bemmes@2hourlearning.com")</f>
        <v>samuel.bemmes@2hourlearning.com</v>
      </c>
      <c r="L2656" s="6" t="str">
        <f>IFERROR(__xludf.DUMMYFUNCTION("""COMPUTED_VALUE"""),"Reading Community City School District")</f>
        <v>Reading Community City School District</v>
      </c>
      <c r="M2656" s="6" t="str">
        <f>IFERROR(__xludf.DUMMYFUNCTION("""COMPUTED_VALUE"""),"Middle")</f>
        <v>Middle</v>
      </c>
      <c r="N2656" s="6" t="str">
        <f>IFERROR(__xludf.DUMMYFUNCTION("""COMPUTED_VALUE"""),"")</f>
        <v/>
      </c>
      <c r="O2656" s="87" t="str">
        <f>IFERROR(__xludf.DUMMYFUNCTION("""COMPUTED_VALUE"""),"https://drive.google.com/drive/folders/10T2cTQHqEJZqE-st6uFKPoI?usp=share_link")</f>
        <v>https://drive.google.com/drive/folders/10T2cTQHqEJZqE-st6uFKPoI?usp=share_link</v>
      </c>
      <c r="P2656" s="6" t="str">
        <f>IFERROR(__xludf.DUMMYFUNCTION("""COMPUTED_VALUE"""),"Samuel Bemmes")</f>
        <v>Samuel Bemmes</v>
      </c>
      <c r="Q2656" s="6" t="str">
        <f>IFERROR(__xludf.DUMMYFUNCTION("""COMPUTED_VALUE"""),"MS")</f>
        <v>MS</v>
      </c>
      <c r="R2656" s="6">
        <f>IFERROR(__xludf.DUMMYFUNCTION("""COMPUTED_VALUE"""),0.0)</f>
        <v>0</v>
      </c>
      <c r="S2656" s="6" t="str">
        <f>IFERROR(__xludf.DUMMYFUNCTION("""COMPUTED_VALUE"""),"Rebecca Reynolds")</f>
        <v>Rebecca Reynolds</v>
      </c>
      <c r="T2656" s="6" t="str">
        <f>IFERROR(__xludf.DUMMYFUNCTION("""COMPUTED_VALUE"""),"rreynolds@readingschools.org")</f>
        <v>rreynolds@readingschools.org</v>
      </c>
      <c r="U2656" s="6" t="str">
        <f>IFERROR(__xludf.DUMMYFUNCTION("""COMPUTED_VALUE"""),"8")</f>
        <v>8</v>
      </c>
      <c r="V2656" s="6" t="str">
        <f>IFERROR(__xludf.DUMMYFUNCTION("""COMPUTED_VALUE"""),"English")</f>
        <v>English</v>
      </c>
      <c r="W2656" s="6" t="str">
        <f>IFERROR(__xludf.DUMMYFUNCTION("""COMPUTED_VALUE"""),"[]")</f>
        <v>[]</v>
      </c>
      <c r="X2656" s="6" t="str">
        <f>IFERROR(__xludf.DUMMYFUNCTION("""COMPUTED_VALUE"""),"Enrolled")</f>
        <v>Enrolled</v>
      </c>
    </row>
    <row r="2657">
      <c r="A2657" s="6" t="str">
        <f>IFERROR(__xludf.DUMMYFUNCTION("""COMPUTED_VALUE"""),"056-5468")</f>
        <v>056-5468</v>
      </c>
      <c r="B2657" s="6" t="str">
        <f>IFERROR(__xludf.DUMMYFUNCTION("""COMPUTED_VALUE"""),"56")</f>
        <v>56</v>
      </c>
      <c r="C2657" s="6" t="str">
        <f>IFERROR(__xludf.DUMMYFUNCTION("""COMPUTED_VALUE"""),"5468")</f>
        <v>5468</v>
      </c>
      <c r="D2657" s="6" t="str">
        <f>IFERROR(__xludf.DUMMYFUNCTION("""COMPUTED_VALUE"""),"Tianna")</f>
        <v>Tianna</v>
      </c>
      <c r="E2657" s="6" t="str">
        <f>IFERROR(__xludf.DUMMYFUNCTION("""COMPUTED_VALUE"""),"")</f>
        <v/>
      </c>
      <c r="F2657" s="6" t="str">
        <f>IFERROR(__xludf.DUMMYFUNCTION("""COMPUTED_VALUE"""),"Wooten")</f>
        <v>Wooten</v>
      </c>
      <c r="G2657" s="6" t="str">
        <f>IFERROR(__xludf.DUMMYFUNCTION("""COMPUTED_VALUE"""),"07/06/2011")</f>
        <v>07/06/2011</v>
      </c>
      <c r="H2657" s="6" t="str">
        <f>IFERROR(__xludf.DUMMYFUNCTION("""COMPUTED_VALUE"""),"Self Identify")</f>
        <v>Self Identify</v>
      </c>
      <c r="I2657" s="6" t="str">
        <f>IFERROR(__xludf.DUMMYFUNCTION("""COMPUTED_VALUE"""),"Middle School")</f>
        <v>Middle School</v>
      </c>
      <c r="J2657" s="6" t="str">
        <f>IFERROR(__xludf.DUMMYFUNCTION("""COMPUTED_VALUE"""),"8")</f>
        <v>8</v>
      </c>
      <c r="K2657" s="6" t="str">
        <f>IFERROR(__xludf.DUMMYFUNCTION("""COMPUTED_VALUE"""),"tianna.wooten@2hourlearning.com")</f>
        <v>tianna.wooten@2hourlearning.com</v>
      </c>
      <c r="L2657" s="6" t="str">
        <f>IFERROR(__xludf.DUMMYFUNCTION("""COMPUTED_VALUE"""),"Reading Community City School District")</f>
        <v>Reading Community City School District</v>
      </c>
      <c r="M2657" s="6" t="str">
        <f>IFERROR(__xludf.DUMMYFUNCTION("""COMPUTED_VALUE"""),"Middle")</f>
        <v>Middle</v>
      </c>
      <c r="N2657" s="6" t="str">
        <f>IFERROR(__xludf.DUMMYFUNCTION("""COMPUTED_VALUE"""),"")</f>
        <v/>
      </c>
      <c r="O2657" s="87" t="str">
        <f>IFERROR(__xludf.DUMMYFUNCTION("""COMPUTED_VALUE"""),"https://drive.google.com/drive/folders/10T2cTQHqEJZqE-st6uFKPoI?usp=share_link")</f>
        <v>https://drive.google.com/drive/folders/10T2cTQHqEJZqE-st6uFKPoI?usp=share_link</v>
      </c>
      <c r="P2657" s="6" t="str">
        <f>IFERROR(__xludf.DUMMYFUNCTION("""COMPUTED_VALUE"""),"Tianna Wooten")</f>
        <v>Tianna Wooten</v>
      </c>
      <c r="Q2657" s="6" t="str">
        <f>IFERROR(__xludf.DUMMYFUNCTION("""COMPUTED_VALUE"""),"MS")</f>
        <v>MS</v>
      </c>
      <c r="R2657" s="6">
        <f>IFERROR(__xludf.DUMMYFUNCTION("""COMPUTED_VALUE"""),0.0)</f>
        <v>0</v>
      </c>
      <c r="S2657" s="6" t="str">
        <f>IFERROR(__xludf.DUMMYFUNCTION("""COMPUTED_VALUE"""),"Rebecca Reynolds")</f>
        <v>Rebecca Reynolds</v>
      </c>
      <c r="T2657" s="6" t="str">
        <f>IFERROR(__xludf.DUMMYFUNCTION("""COMPUTED_VALUE"""),"rreynolds@readingschools.org")</f>
        <v>rreynolds@readingschools.org</v>
      </c>
      <c r="U2657" s="6" t="str">
        <f>IFERROR(__xludf.DUMMYFUNCTION("""COMPUTED_VALUE"""),"8")</f>
        <v>8</v>
      </c>
      <c r="V2657" s="6" t="str">
        <f>IFERROR(__xludf.DUMMYFUNCTION("""COMPUTED_VALUE"""),"English")</f>
        <v>English</v>
      </c>
      <c r="W2657" s="6" t="str">
        <f>IFERROR(__xludf.DUMMYFUNCTION("""COMPUTED_VALUE"""),"[]")</f>
        <v>[]</v>
      </c>
      <c r="X2657" s="6" t="str">
        <f>IFERROR(__xludf.DUMMYFUNCTION("""COMPUTED_VALUE"""),"Enrolled")</f>
        <v>Enrolled</v>
      </c>
    </row>
    <row r="2658">
      <c r="A2658" s="6" t="str">
        <f>IFERROR(__xludf.DUMMYFUNCTION("""COMPUTED_VALUE"""),"056-5470")</f>
        <v>056-5470</v>
      </c>
      <c r="B2658" s="6" t="str">
        <f>IFERROR(__xludf.DUMMYFUNCTION("""COMPUTED_VALUE"""),"56")</f>
        <v>56</v>
      </c>
      <c r="C2658" s="6" t="str">
        <f>IFERROR(__xludf.DUMMYFUNCTION("""COMPUTED_VALUE"""),"5470")</f>
        <v>5470</v>
      </c>
      <c r="D2658" s="6" t="str">
        <f>IFERROR(__xludf.DUMMYFUNCTION("""COMPUTED_VALUE"""),"Adrian")</f>
        <v>Adrian</v>
      </c>
      <c r="E2658" s="6" t="str">
        <f>IFERROR(__xludf.DUMMYFUNCTION("""COMPUTED_VALUE"""),"")</f>
        <v/>
      </c>
      <c r="F2658" s="6" t="str">
        <f>IFERROR(__xludf.DUMMYFUNCTION("""COMPUTED_VALUE"""),"Torres")</f>
        <v>Torres</v>
      </c>
      <c r="G2658" s="6" t="str">
        <f>IFERROR(__xludf.DUMMYFUNCTION("""COMPUTED_VALUE"""),"08/13/2010")</f>
        <v>08/13/2010</v>
      </c>
      <c r="H2658" s="6" t="str">
        <f>IFERROR(__xludf.DUMMYFUNCTION("""COMPUTED_VALUE"""),"Self Identify")</f>
        <v>Self Identify</v>
      </c>
      <c r="I2658" s="6" t="str">
        <f>IFERROR(__xludf.DUMMYFUNCTION("""COMPUTED_VALUE"""),"High School")</f>
        <v>High School</v>
      </c>
      <c r="J2658" s="6" t="str">
        <f>IFERROR(__xludf.DUMMYFUNCTION("""COMPUTED_VALUE"""),"9")</f>
        <v>9</v>
      </c>
      <c r="K2658" s="6" t="str">
        <f>IFERROR(__xludf.DUMMYFUNCTION("""COMPUTED_VALUE"""),"adrian.torres@2hourlearning.com")</f>
        <v>adrian.torres@2hourlearning.com</v>
      </c>
      <c r="L2658" s="6" t="str">
        <f>IFERROR(__xludf.DUMMYFUNCTION("""COMPUTED_VALUE"""),"Reading Community City School District")</f>
        <v>Reading Community City School District</v>
      </c>
      <c r="M2658" s="6" t="str">
        <f>IFERROR(__xludf.DUMMYFUNCTION("""COMPUTED_VALUE"""),"High school")</f>
        <v>High school</v>
      </c>
      <c r="N2658" s="6" t="str">
        <f>IFERROR(__xludf.DUMMYFUNCTION("""COMPUTED_VALUE"""),"")</f>
        <v/>
      </c>
      <c r="O2658" s="87" t="str">
        <f>IFERROR(__xludf.DUMMYFUNCTION("""COMPUTED_VALUE"""),"https://drive.google.com/drive/folders/10T2cTQHqEJZqE-st6uFKPoI?usp=share_link")</f>
        <v>https://drive.google.com/drive/folders/10T2cTQHqEJZqE-st6uFKPoI?usp=share_link</v>
      </c>
      <c r="P2658" s="6" t="str">
        <f>IFERROR(__xludf.DUMMYFUNCTION("""COMPUTED_VALUE"""),"Adrian Torres")</f>
        <v>Adrian Torres</v>
      </c>
      <c r="Q2658" s="6" t="str">
        <f>IFERROR(__xludf.DUMMYFUNCTION("""COMPUTED_VALUE"""),"HS")</f>
        <v>HS</v>
      </c>
      <c r="R2658" s="6">
        <f>IFERROR(__xludf.DUMMYFUNCTION("""COMPUTED_VALUE"""),0.0)</f>
        <v>0</v>
      </c>
      <c r="S2658" s="6" t="str">
        <f>IFERROR(__xludf.DUMMYFUNCTION("""COMPUTED_VALUE"""),"Morgan Kron")</f>
        <v>Morgan Kron</v>
      </c>
      <c r="T2658" s="6" t="str">
        <f>IFERROR(__xludf.DUMMYFUNCTION("""COMPUTED_VALUE"""),"mkron@readingschools.org")</f>
        <v>mkron@readingschools.org</v>
      </c>
      <c r="U2658" s="6" t="str">
        <f>IFERROR(__xludf.DUMMYFUNCTION("""COMPUTED_VALUE"""),"9")</f>
        <v>9</v>
      </c>
      <c r="V2658" s="6" t="str">
        <f>IFERROR(__xludf.DUMMYFUNCTION("""COMPUTED_VALUE"""),"English")</f>
        <v>English</v>
      </c>
      <c r="W2658" s="6" t="str">
        <f>IFERROR(__xludf.DUMMYFUNCTION("""COMPUTED_VALUE"""),"[]")</f>
        <v>[]</v>
      </c>
      <c r="X2658" s="6" t="str">
        <f>IFERROR(__xludf.DUMMYFUNCTION("""COMPUTED_VALUE"""),"Enrolled")</f>
        <v>Enrolled</v>
      </c>
    </row>
    <row r="2659">
      <c r="A2659" s="6" t="str">
        <f>IFERROR(__xludf.DUMMYFUNCTION("""COMPUTED_VALUE"""),"056-5471")</f>
        <v>056-5471</v>
      </c>
      <c r="B2659" s="6" t="str">
        <f>IFERROR(__xludf.DUMMYFUNCTION("""COMPUTED_VALUE"""),"56")</f>
        <v>56</v>
      </c>
      <c r="C2659" s="6" t="str">
        <f>IFERROR(__xludf.DUMMYFUNCTION("""COMPUTED_VALUE"""),"5471")</f>
        <v>5471</v>
      </c>
      <c r="D2659" s="6" t="str">
        <f>IFERROR(__xludf.DUMMYFUNCTION("""COMPUTED_VALUE"""),"Alyssa")</f>
        <v>Alyssa</v>
      </c>
      <c r="E2659" s="6" t="str">
        <f>IFERROR(__xludf.DUMMYFUNCTION("""COMPUTED_VALUE"""),"")</f>
        <v/>
      </c>
      <c r="F2659" s="6" t="str">
        <f>IFERROR(__xludf.DUMMYFUNCTION("""COMPUTED_VALUE"""),"Guy")</f>
        <v>Guy</v>
      </c>
      <c r="G2659" s="6" t="str">
        <f>IFERROR(__xludf.DUMMYFUNCTION("""COMPUTED_VALUE"""),"10/12/2010")</f>
        <v>10/12/2010</v>
      </c>
      <c r="H2659" s="6" t="str">
        <f>IFERROR(__xludf.DUMMYFUNCTION("""COMPUTED_VALUE"""),"Self Identify")</f>
        <v>Self Identify</v>
      </c>
      <c r="I2659" s="6" t="str">
        <f>IFERROR(__xludf.DUMMYFUNCTION("""COMPUTED_VALUE"""),"High School")</f>
        <v>High School</v>
      </c>
      <c r="J2659" s="6" t="str">
        <f>IFERROR(__xludf.DUMMYFUNCTION("""COMPUTED_VALUE"""),"9")</f>
        <v>9</v>
      </c>
      <c r="K2659" s="6" t="str">
        <f>IFERROR(__xludf.DUMMYFUNCTION("""COMPUTED_VALUE"""),"alyssa.guy@2hourlearning.com")</f>
        <v>alyssa.guy@2hourlearning.com</v>
      </c>
      <c r="L2659" s="6" t="str">
        <f>IFERROR(__xludf.DUMMYFUNCTION("""COMPUTED_VALUE"""),"Reading Community City School District")</f>
        <v>Reading Community City School District</v>
      </c>
      <c r="M2659" s="6" t="str">
        <f>IFERROR(__xludf.DUMMYFUNCTION("""COMPUTED_VALUE"""),"High school")</f>
        <v>High school</v>
      </c>
      <c r="N2659" s="6" t="str">
        <f>IFERROR(__xludf.DUMMYFUNCTION("""COMPUTED_VALUE"""),"")</f>
        <v/>
      </c>
      <c r="O2659" s="87" t="str">
        <f>IFERROR(__xludf.DUMMYFUNCTION("""COMPUTED_VALUE"""),"https://drive.google.com/drive/folders/10T2cTQHqEJZqE-st6uFKPoI?usp=share_link")</f>
        <v>https://drive.google.com/drive/folders/10T2cTQHqEJZqE-st6uFKPoI?usp=share_link</v>
      </c>
      <c r="P2659" s="6" t="str">
        <f>IFERROR(__xludf.DUMMYFUNCTION("""COMPUTED_VALUE"""),"Alyssa Guy")</f>
        <v>Alyssa Guy</v>
      </c>
      <c r="Q2659" s="6" t="str">
        <f>IFERROR(__xludf.DUMMYFUNCTION("""COMPUTED_VALUE"""),"HS")</f>
        <v>HS</v>
      </c>
      <c r="R2659" s="6">
        <f>IFERROR(__xludf.DUMMYFUNCTION("""COMPUTED_VALUE"""),0.0)</f>
        <v>0</v>
      </c>
      <c r="S2659" s="6" t="str">
        <f>IFERROR(__xludf.DUMMYFUNCTION("""COMPUTED_VALUE"""),"Morgan Kron")</f>
        <v>Morgan Kron</v>
      </c>
      <c r="T2659" s="6" t="str">
        <f>IFERROR(__xludf.DUMMYFUNCTION("""COMPUTED_VALUE"""),"mkron@readingschools.org")</f>
        <v>mkron@readingschools.org</v>
      </c>
      <c r="U2659" s="6" t="str">
        <f>IFERROR(__xludf.DUMMYFUNCTION("""COMPUTED_VALUE"""),"9")</f>
        <v>9</v>
      </c>
      <c r="V2659" s="6" t="str">
        <f>IFERROR(__xludf.DUMMYFUNCTION("""COMPUTED_VALUE"""),"English")</f>
        <v>English</v>
      </c>
      <c r="W2659" s="6" t="str">
        <f>IFERROR(__xludf.DUMMYFUNCTION("""COMPUTED_VALUE"""),"[]")</f>
        <v>[]</v>
      </c>
      <c r="X2659" s="6" t="str">
        <f>IFERROR(__xludf.DUMMYFUNCTION("""COMPUTED_VALUE"""),"Enrolled")</f>
        <v>Enrolled</v>
      </c>
    </row>
    <row r="2660">
      <c r="A2660" s="6" t="str">
        <f>IFERROR(__xludf.DUMMYFUNCTION("""COMPUTED_VALUE"""),"056-5472")</f>
        <v>056-5472</v>
      </c>
      <c r="B2660" s="6" t="str">
        <f>IFERROR(__xludf.DUMMYFUNCTION("""COMPUTED_VALUE"""),"56")</f>
        <v>56</v>
      </c>
      <c r="C2660" s="6" t="str">
        <f>IFERROR(__xludf.DUMMYFUNCTION("""COMPUTED_VALUE"""),"5472")</f>
        <v>5472</v>
      </c>
      <c r="D2660" s="6" t="str">
        <f>IFERROR(__xludf.DUMMYFUNCTION("""COMPUTED_VALUE"""),"Artevias")</f>
        <v>Artevias</v>
      </c>
      <c r="E2660" s="6" t="str">
        <f>IFERROR(__xludf.DUMMYFUNCTION("""COMPUTED_VALUE"""),"")</f>
        <v/>
      </c>
      <c r="F2660" s="6" t="str">
        <f>IFERROR(__xludf.DUMMYFUNCTION("""COMPUTED_VALUE"""),"Patterson")</f>
        <v>Patterson</v>
      </c>
      <c r="G2660" s="6" t="str">
        <f>IFERROR(__xludf.DUMMYFUNCTION("""COMPUTED_VALUE"""),"01/11/2011")</f>
        <v>01/11/2011</v>
      </c>
      <c r="H2660" s="6" t="str">
        <f>IFERROR(__xludf.DUMMYFUNCTION("""COMPUTED_VALUE"""),"Self Identify")</f>
        <v>Self Identify</v>
      </c>
      <c r="I2660" s="6" t="str">
        <f>IFERROR(__xludf.DUMMYFUNCTION("""COMPUTED_VALUE"""),"High School")</f>
        <v>High School</v>
      </c>
      <c r="J2660" s="6" t="str">
        <f>IFERROR(__xludf.DUMMYFUNCTION("""COMPUTED_VALUE"""),"9")</f>
        <v>9</v>
      </c>
      <c r="K2660" s="6" t="str">
        <f>IFERROR(__xludf.DUMMYFUNCTION("""COMPUTED_VALUE"""),"artevias.patterson@2hourlearning.com")</f>
        <v>artevias.patterson@2hourlearning.com</v>
      </c>
      <c r="L2660" s="6" t="str">
        <f>IFERROR(__xludf.DUMMYFUNCTION("""COMPUTED_VALUE"""),"Reading Community City School District")</f>
        <v>Reading Community City School District</v>
      </c>
      <c r="M2660" s="6" t="str">
        <f>IFERROR(__xludf.DUMMYFUNCTION("""COMPUTED_VALUE"""),"High school")</f>
        <v>High school</v>
      </c>
      <c r="N2660" s="6" t="str">
        <f>IFERROR(__xludf.DUMMYFUNCTION("""COMPUTED_VALUE"""),"")</f>
        <v/>
      </c>
      <c r="O2660" s="87" t="str">
        <f>IFERROR(__xludf.DUMMYFUNCTION("""COMPUTED_VALUE"""),"https://drive.google.com/drive/folders/10T2cTQHqEJZqE-st6uFKPoI?usp=share_link")</f>
        <v>https://drive.google.com/drive/folders/10T2cTQHqEJZqE-st6uFKPoI?usp=share_link</v>
      </c>
      <c r="P2660" s="6" t="str">
        <f>IFERROR(__xludf.DUMMYFUNCTION("""COMPUTED_VALUE"""),"Artevias Patterson")</f>
        <v>Artevias Patterson</v>
      </c>
      <c r="Q2660" s="6" t="str">
        <f>IFERROR(__xludf.DUMMYFUNCTION("""COMPUTED_VALUE"""),"HS")</f>
        <v>HS</v>
      </c>
      <c r="R2660" s="6">
        <f>IFERROR(__xludf.DUMMYFUNCTION("""COMPUTED_VALUE"""),0.0)</f>
        <v>0</v>
      </c>
      <c r="S2660" s="6" t="str">
        <f>IFERROR(__xludf.DUMMYFUNCTION("""COMPUTED_VALUE"""),"Morgan Kron")</f>
        <v>Morgan Kron</v>
      </c>
      <c r="T2660" s="6" t="str">
        <f>IFERROR(__xludf.DUMMYFUNCTION("""COMPUTED_VALUE"""),"mkron@readingschools.org")</f>
        <v>mkron@readingschools.org</v>
      </c>
      <c r="U2660" s="6" t="str">
        <f>IFERROR(__xludf.DUMMYFUNCTION("""COMPUTED_VALUE"""),"9")</f>
        <v>9</v>
      </c>
      <c r="V2660" s="6" t="str">
        <f>IFERROR(__xludf.DUMMYFUNCTION("""COMPUTED_VALUE"""),"English")</f>
        <v>English</v>
      </c>
      <c r="W2660" s="6" t="str">
        <f>IFERROR(__xludf.DUMMYFUNCTION("""COMPUTED_VALUE"""),"[]")</f>
        <v>[]</v>
      </c>
      <c r="X2660" s="6" t="str">
        <f>IFERROR(__xludf.DUMMYFUNCTION("""COMPUTED_VALUE"""),"Enrolled")</f>
        <v>Enrolled</v>
      </c>
    </row>
    <row r="2661">
      <c r="A2661" s="6" t="str">
        <f>IFERROR(__xludf.DUMMYFUNCTION("""COMPUTED_VALUE"""),"056-5473")</f>
        <v>056-5473</v>
      </c>
      <c r="B2661" s="6" t="str">
        <f>IFERROR(__xludf.DUMMYFUNCTION("""COMPUTED_VALUE"""),"56")</f>
        <v>56</v>
      </c>
      <c r="C2661" s="6" t="str">
        <f>IFERROR(__xludf.DUMMYFUNCTION("""COMPUTED_VALUE"""),"5473")</f>
        <v>5473</v>
      </c>
      <c r="D2661" s="6" t="str">
        <f>IFERROR(__xludf.DUMMYFUNCTION("""COMPUTED_VALUE"""),"Chaen")</f>
        <v>Chaen</v>
      </c>
      <c r="E2661" s="6" t="str">
        <f>IFERROR(__xludf.DUMMYFUNCTION("""COMPUTED_VALUE"""),"")</f>
        <v/>
      </c>
      <c r="F2661" s="6" t="str">
        <f>IFERROR(__xludf.DUMMYFUNCTION("""COMPUTED_VALUE"""),"White")</f>
        <v>White</v>
      </c>
      <c r="G2661" s="6" t="str">
        <f>IFERROR(__xludf.DUMMYFUNCTION("""COMPUTED_VALUE"""),"04/23/2011")</f>
        <v>04/23/2011</v>
      </c>
      <c r="H2661" s="6" t="str">
        <f>IFERROR(__xludf.DUMMYFUNCTION("""COMPUTED_VALUE"""),"Self Identify")</f>
        <v>Self Identify</v>
      </c>
      <c r="I2661" s="6" t="str">
        <f>IFERROR(__xludf.DUMMYFUNCTION("""COMPUTED_VALUE"""),"High School")</f>
        <v>High School</v>
      </c>
      <c r="J2661" s="6" t="str">
        <f>IFERROR(__xludf.DUMMYFUNCTION("""COMPUTED_VALUE"""),"9")</f>
        <v>9</v>
      </c>
      <c r="K2661" s="6" t="str">
        <f>IFERROR(__xludf.DUMMYFUNCTION("""COMPUTED_VALUE"""),"chaen.white@2hourlearning.com")</f>
        <v>chaen.white@2hourlearning.com</v>
      </c>
      <c r="L2661" s="6" t="str">
        <f>IFERROR(__xludf.DUMMYFUNCTION("""COMPUTED_VALUE"""),"Reading Community City School District")</f>
        <v>Reading Community City School District</v>
      </c>
      <c r="M2661" s="6" t="str">
        <f>IFERROR(__xludf.DUMMYFUNCTION("""COMPUTED_VALUE"""),"High school")</f>
        <v>High school</v>
      </c>
      <c r="N2661" s="6" t="str">
        <f>IFERROR(__xludf.DUMMYFUNCTION("""COMPUTED_VALUE"""),"")</f>
        <v/>
      </c>
      <c r="O2661" s="87" t="str">
        <f>IFERROR(__xludf.DUMMYFUNCTION("""COMPUTED_VALUE"""),"https://drive.google.com/drive/folders/10T2cTQHqEJZqE-st6uFKPoI?usp=share_link")</f>
        <v>https://drive.google.com/drive/folders/10T2cTQHqEJZqE-st6uFKPoI?usp=share_link</v>
      </c>
      <c r="P2661" s="6" t="str">
        <f>IFERROR(__xludf.DUMMYFUNCTION("""COMPUTED_VALUE"""),"Chaen White")</f>
        <v>Chaen White</v>
      </c>
      <c r="Q2661" s="6" t="str">
        <f>IFERROR(__xludf.DUMMYFUNCTION("""COMPUTED_VALUE"""),"HS")</f>
        <v>HS</v>
      </c>
      <c r="R2661" s="6">
        <f>IFERROR(__xludf.DUMMYFUNCTION("""COMPUTED_VALUE"""),0.0)</f>
        <v>0</v>
      </c>
      <c r="S2661" s="6" t="str">
        <f>IFERROR(__xludf.DUMMYFUNCTION("""COMPUTED_VALUE"""),"Morgan Kron")</f>
        <v>Morgan Kron</v>
      </c>
      <c r="T2661" s="6" t="str">
        <f>IFERROR(__xludf.DUMMYFUNCTION("""COMPUTED_VALUE"""),"mkron@readingschools.org")</f>
        <v>mkron@readingschools.org</v>
      </c>
      <c r="U2661" s="6" t="str">
        <f>IFERROR(__xludf.DUMMYFUNCTION("""COMPUTED_VALUE"""),"9")</f>
        <v>9</v>
      </c>
      <c r="V2661" s="6" t="str">
        <f>IFERROR(__xludf.DUMMYFUNCTION("""COMPUTED_VALUE"""),"English")</f>
        <v>English</v>
      </c>
      <c r="W2661" s="6" t="str">
        <f>IFERROR(__xludf.DUMMYFUNCTION("""COMPUTED_VALUE"""),"[]")</f>
        <v>[]</v>
      </c>
      <c r="X2661" s="6" t="str">
        <f>IFERROR(__xludf.DUMMYFUNCTION("""COMPUTED_VALUE"""),"Enrolled")</f>
        <v>Enrolled</v>
      </c>
    </row>
    <row r="2662">
      <c r="A2662" s="6" t="str">
        <f>IFERROR(__xludf.DUMMYFUNCTION("""COMPUTED_VALUE"""),"056-5474")</f>
        <v>056-5474</v>
      </c>
      <c r="B2662" s="6" t="str">
        <f>IFERROR(__xludf.DUMMYFUNCTION("""COMPUTED_VALUE"""),"56")</f>
        <v>56</v>
      </c>
      <c r="C2662" s="6" t="str">
        <f>IFERROR(__xludf.DUMMYFUNCTION("""COMPUTED_VALUE"""),"5474")</f>
        <v>5474</v>
      </c>
      <c r="D2662" s="6" t="str">
        <f>IFERROR(__xludf.DUMMYFUNCTION("""COMPUTED_VALUE"""),"Danisa")</f>
        <v>Danisa</v>
      </c>
      <c r="E2662" s="6" t="str">
        <f>IFERROR(__xludf.DUMMYFUNCTION("""COMPUTED_VALUE"""),"")</f>
        <v/>
      </c>
      <c r="F2662" s="6" t="str">
        <f>IFERROR(__xludf.DUMMYFUNCTION("""COMPUTED_VALUE"""),"Compres")</f>
        <v>Compres</v>
      </c>
      <c r="G2662" s="6" t="str">
        <f>IFERROR(__xludf.DUMMYFUNCTION("""COMPUTED_VALUE"""),"08/26/2010")</f>
        <v>08/26/2010</v>
      </c>
      <c r="H2662" s="6" t="str">
        <f>IFERROR(__xludf.DUMMYFUNCTION("""COMPUTED_VALUE"""),"Self Identify")</f>
        <v>Self Identify</v>
      </c>
      <c r="I2662" s="6" t="str">
        <f>IFERROR(__xludf.DUMMYFUNCTION("""COMPUTED_VALUE"""),"High School")</f>
        <v>High School</v>
      </c>
      <c r="J2662" s="6" t="str">
        <f>IFERROR(__xludf.DUMMYFUNCTION("""COMPUTED_VALUE"""),"9")</f>
        <v>9</v>
      </c>
      <c r="K2662" s="6" t="str">
        <f>IFERROR(__xludf.DUMMYFUNCTION("""COMPUTED_VALUE"""),"danisa.compres@2hourlearning.com")</f>
        <v>danisa.compres@2hourlearning.com</v>
      </c>
      <c r="L2662" s="6" t="str">
        <f>IFERROR(__xludf.DUMMYFUNCTION("""COMPUTED_VALUE"""),"Reading Community City School District")</f>
        <v>Reading Community City School District</v>
      </c>
      <c r="M2662" s="6" t="str">
        <f>IFERROR(__xludf.DUMMYFUNCTION("""COMPUTED_VALUE"""),"High school")</f>
        <v>High school</v>
      </c>
      <c r="N2662" s="6" t="str">
        <f>IFERROR(__xludf.DUMMYFUNCTION("""COMPUTED_VALUE"""),"")</f>
        <v/>
      </c>
      <c r="O2662" s="87" t="str">
        <f>IFERROR(__xludf.DUMMYFUNCTION("""COMPUTED_VALUE"""),"https://drive.google.com/drive/folders/10T2cTQHqEJZqE-st6uFKPoI?usp=share_link")</f>
        <v>https://drive.google.com/drive/folders/10T2cTQHqEJZqE-st6uFKPoI?usp=share_link</v>
      </c>
      <c r="P2662" s="6" t="str">
        <f>IFERROR(__xludf.DUMMYFUNCTION("""COMPUTED_VALUE"""),"Danisa Compres")</f>
        <v>Danisa Compres</v>
      </c>
      <c r="Q2662" s="6" t="str">
        <f>IFERROR(__xludf.DUMMYFUNCTION("""COMPUTED_VALUE"""),"HS")</f>
        <v>HS</v>
      </c>
      <c r="R2662" s="6">
        <f>IFERROR(__xludf.DUMMYFUNCTION("""COMPUTED_VALUE"""),0.0)</f>
        <v>0</v>
      </c>
      <c r="S2662" s="6" t="str">
        <f>IFERROR(__xludf.DUMMYFUNCTION("""COMPUTED_VALUE"""),"Morgan Kron")</f>
        <v>Morgan Kron</v>
      </c>
      <c r="T2662" s="6" t="str">
        <f>IFERROR(__xludf.DUMMYFUNCTION("""COMPUTED_VALUE"""),"mkron@readingschools.org")</f>
        <v>mkron@readingschools.org</v>
      </c>
      <c r="U2662" s="6" t="str">
        <f>IFERROR(__xludf.DUMMYFUNCTION("""COMPUTED_VALUE"""),"9")</f>
        <v>9</v>
      </c>
      <c r="V2662" s="6" t="str">
        <f>IFERROR(__xludf.DUMMYFUNCTION("""COMPUTED_VALUE"""),"English")</f>
        <v>English</v>
      </c>
      <c r="W2662" s="6" t="str">
        <f>IFERROR(__xludf.DUMMYFUNCTION("""COMPUTED_VALUE"""),"[]")</f>
        <v>[]</v>
      </c>
      <c r="X2662" s="6" t="str">
        <f>IFERROR(__xludf.DUMMYFUNCTION("""COMPUTED_VALUE"""),"Enrolled")</f>
        <v>Enrolled</v>
      </c>
    </row>
    <row r="2663">
      <c r="A2663" s="6" t="str">
        <f>IFERROR(__xludf.DUMMYFUNCTION("""COMPUTED_VALUE"""),"056-5475")</f>
        <v>056-5475</v>
      </c>
      <c r="B2663" s="6" t="str">
        <f>IFERROR(__xludf.DUMMYFUNCTION("""COMPUTED_VALUE"""),"56")</f>
        <v>56</v>
      </c>
      <c r="C2663" s="6" t="str">
        <f>IFERROR(__xludf.DUMMYFUNCTION("""COMPUTED_VALUE"""),"5475")</f>
        <v>5475</v>
      </c>
      <c r="D2663" s="6" t="str">
        <f>IFERROR(__xludf.DUMMYFUNCTION("""COMPUTED_VALUE"""),"Elana")</f>
        <v>Elana</v>
      </c>
      <c r="E2663" s="6" t="str">
        <f>IFERROR(__xludf.DUMMYFUNCTION("""COMPUTED_VALUE"""),"")</f>
        <v/>
      </c>
      <c r="F2663" s="6" t="str">
        <f>IFERROR(__xludf.DUMMYFUNCTION("""COMPUTED_VALUE"""),"Garrett")</f>
        <v>Garrett</v>
      </c>
      <c r="G2663" s="6" t="str">
        <f>IFERROR(__xludf.DUMMYFUNCTION("""COMPUTED_VALUE"""),"12/21/2010")</f>
        <v>12/21/2010</v>
      </c>
      <c r="H2663" s="6" t="str">
        <f>IFERROR(__xludf.DUMMYFUNCTION("""COMPUTED_VALUE"""),"Self Identify")</f>
        <v>Self Identify</v>
      </c>
      <c r="I2663" s="6" t="str">
        <f>IFERROR(__xludf.DUMMYFUNCTION("""COMPUTED_VALUE"""),"High School")</f>
        <v>High School</v>
      </c>
      <c r="J2663" s="6" t="str">
        <f>IFERROR(__xludf.DUMMYFUNCTION("""COMPUTED_VALUE"""),"9")</f>
        <v>9</v>
      </c>
      <c r="K2663" s="6" t="str">
        <f>IFERROR(__xludf.DUMMYFUNCTION("""COMPUTED_VALUE"""),"elana.garrett@2hourlearning.com")</f>
        <v>elana.garrett@2hourlearning.com</v>
      </c>
      <c r="L2663" s="6" t="str">
        <f>IFERROR(__xludf.DUMMYFUNCTION("""COMPUTED_VALUE"""),"Reading Community City School District")</f>
        <v>Reading Community City School District</v>
      </c>
      <c r="M2663" s="6" t="str">
        <f>IFERROR(__xludf.DUMMYFUNCTION("""COMPUTED_VALUE"""),"High school")</f>
        <v>High school</v>
      </c>
      <c r="N2663" s="6" t="str">
        <f>IFERROR(__xludf.DUMMYFUNCTION("""COMPUTED_VALUE"""),"")</f>
        <v/>
      </c>
      <c r="O2663" s="87" t="str">
        <f>IFERROR(__xludf.DUMMYFUNCTION("""COMPUTED_VALUE"""),"https://drive.google.com/drive/folders/10T2cTQHqEJZqE-st6uFKPoI?usp=share_link")</f>
        <v>https://drive.google.com/drive/folders/10T2cTQHqEJZqE-st6uFKPoI?usp=share_link</v>
      </c>
      <c r="P2663" s="6" t="str">
        <f>IFERROR(__xludf.DUMMYFUNCTION("""COMPUTED_VALUE"""),"Elana Garrett")</f>
        <v>Elana Garrett</v>
      </c>
      <c r="Q2663" s="6" t="str">
        <f>IFERROR(__xludf.DUMMYFUNCTION("""COMPUTED_VALUE"""),"HS")</f>
        <v>HS</v>
      </c>
      <c r="R2663" s="6">
        <f>IFERROR(__xludf.DUMMYFUNCTION("""COMPUTED_VALUE"""),0.0)</f>
        <v>0</v>
      </c>
      <c r="S2663" s="6" t="str">
        <f>IFERROR(__xludf.DUMMYFUNCTION("""COMPUTED_VALUE"""),"Morgan Kron")</f>
        <v>Morgan Kron</v>
      </c>
      <c r="T2663" s="6" t="str">
        <f>IFERROR(__xludf.DUMMYFUNCTION("""COMPUTED_VALUE"""),"mkron@readingschools.org")</f>
        <v>mkron@readingschools.org</v>
      </c>
      <c r="U2663" s="6" t="str">
        <f>IFERROR(__xludf.DUMMYFUNCTION("""COMPUTED_VALUE"""),"9")</f>
        <v>9</v>
      </c>
      <c r="V2663" s="6" t="str">
        <f>IFERROR(__xludf.DUMMYFUNCTION("""COMPUTED_VALUE"""),"English")</f>
        <v>English</v>
      </c>
      <c r="W2663" s="6" t="str">
        <f>IFERROR(__xludf.DUMMYFUNCTION("""COMPUTED_VALUE"""),"[]")</f>
        <v>[]</v>
      </c>
      <c r="X2663" s="6" t="str">
        <f>IFERROR(__xludf.DUMMYFUNCTION("""COMPUTED_VALUE"""),"Enrolled")</f>
        <v>Enrolled</v>
      </c>
    </row>
    <row r="2664">
      <c r="A2664" s="6" t="str">
        <f>IFERROR(__xludf.DUMMYFUNCTION("""COMPUTED_VALUE"""),"056-5476")</f>
        <v>056-5476</v>
      </c>
      <c r="B2664" s="6" t="str">
        <f>IFERROR(__xludf.DUMMYFUNCTION("""COMPUTED_VALUE"""),"56")</f>
        <v>56</v>
      </c>
      <c r="C2664" s="6" t="str">
        <f>IFERROR(__xludf.DUMMYFUNCTION("""COMPUTED_VALUE"""),"5476")</f>
        <v>5476</v>
      </c>
      <c r="D2664" s="6" t="str">
        <f>IFERROR(__xludf.DUMMYFUNCTION("""COMPUTED_VALUE"""),"Eleisya")</f>
        <v>Eleisya</v>
      </c>
      <c r="E2664" s="6" t="str">
        <f>IFERROR(__xludf.DUMMYFUNCTION("""COMPUTED_VALUE"""),"")</f>
        <v/>
      </c>
      <c r="F2664" s="6" t="str">
        <f>IFERROR(__xludf.DUMMYFUNCTION("""COMPUTED_VALUE"""),"Jackson")</f>
        <v>Jackson</v>
      </c>
      <c r="G2664" s="6" t="str">
        <f>IFERROR(__xludf.DUMMYFUNCTION("""COMPUTED_VALUE"""),"04/26/2011")</f>
        <v>04/26/2011</v>
      </c>
      <c r="H2664" s="6" t="str">
        <f>IFERROR(__xludf.DUMMYFUNCTION("""COMPUTED_VALUE"""),"Self Identify")</f>
        <v>Self Identify</v>
      </c>
      <c r="I2664" s="6" t="str">
        <f>IFERROR(__xludf.DUMMYFUNCTION("""COMPUTED_VALUE"""),"High School")</f>
        <v>High School</v>
      </c>
      <c r="J2664" s="6" t="str">
        <f>IFERROR(__xludf.DUMMYFUNCTION("""COMPUTED_VALUE"""),"9")</f>
        <v>9</v>
      </c>
      <c r="K2664" s="6" t="str">
        <f>IFERROR(__xludf.DUMMYFUNCTION("""COMPUTED_VALUE"""),"eleisya.jackson@2hourlearning.com")</f>
        <v>eleisya.jackson@2hourlearning.com</v>
      </c>
      <c r="L2664" s="6" t="str">
        <f>IFERROR(__xludf.DUMMYFUNCTION("""COMPUTED_VALUE"""),"Reading Community City School District")</f>
        <v>Reading Community City School District</v>
      </c>
      <c r="M2664" s="6" t="str">
        <f>IFERROR(__xludf.DUMMYFUNCTION("""COMPUTED_VALUE"""),"High school")</f>
        <v>High school</v>
      </c>
      <c r="N2664" s="6" t="str">
        <f>IFERROR(__xludf.DUMMYFUNCTION("""COMPUTED_VALUE"""),"")</f>
        <v/>
      </c>
      <c r="O2664" s="87" t="str">
        <f>IFERROR(__xludf.DUMMYFUNCTION("""COMPUTED_VALUE"""),"https://drive.google.com/drive/folders/10T2cTQHqEJZqE-st6uFKPoI?usp=share_link")</f>
        <v>https://drive.google.com/drive/folders/10T2cTQHqEJZqE-st6uFKPoI?usp=share_link</v>
      </c>
      <c r="P2664" s="6" t="str">
        <f>IFERROR(__xludf.DUMMYFUNCTION("""COMPUTED_VALUE"""),"Eleisya Jackson")</f>
        <v>Eleisya Jackson</v>
      </c>
      <c r="Q2664" s="6" t="str">
        <f>IFERROR(__xludf.DUMMYFUNCTION("""COMPUTED_VALUE"""),"HS")</f>
        <v>HS</v>
      </c>
      <c r="R2664" s="6">
        <f>IFERROR(__xludf.DUMMYFUNCTION("""COMPUTED_VALUE"""),0.0)</f>
        <v>0</v>
      </c>
      <c r="S2664" s="6" t="str">
        <f>IFERROR(__xludf.DUMMYFUNCTION("""COMPUTED_VALUE"""),"Morgan Kron")</f>
        <v>Morgan Kron</v>
      </c>
      <c r="T2664" s="6" t="str">
        <f>IFERROR(__xludf.DUMMYFUNCTION("""COMPUTED_VALUE"""),"mkron@readingschools.org")</f>
        <v>mkron@readingschools.org</v>
      </c>
      <c r="U2664" s="6" t="str">
        <f>IFERROR(__xludf.DUMMYFUNCTION("""COMPUTED_VALUE"""),"9")</f>
        <v>9</v>
      </c>
      <c r="V2664" s="6" t="str">
        <f>IFERROR(__xludf.DUMMYFUNCTION("""COMPUTED_VALUE"""),"English")</f>
        <v>English</v>
      </c>
      <c r="W2664" s="6" t="str">
        <f>IFERROR(__xludf.DUMMYFUNCTION("""COMPUTED_VALUE"""),"[]")</f>
        <v>[]</v>
      </c>
      <c r="X2664" s="6" t="str">
        <f>IFERROR(__xludf.DUMMYFUNCTION("""COMPUTED_VALUE"""),"Enrolled")</f>
        <v>Enrolled</v>
      </c>
    </row>
    <row r="2665">
      <c r="A2665" s="6" t="str">
        <f>IFERROR(__xludf.DUMMYFUNCTION("""COMPUTED_VALUE"""),"056-5477")</f>
        <v>056-5477</v>
      </c>
      <c r="B2665" s="6" t="str">
        <f>IFERROR(__xludf.DUMMYFUNCTION("""COMPUTED_VALUE"""),"56")</f>
        <v>56</v>
      </c>
      <c r="C2665" s="6" t="str">
        <f>IFERROR(__xludf.DUMMYFUNCTION("""COMPUTED_VALUE"""),"5477")</f>
        <v>5477</v>
      </c>
      <c r="D2665" s="6" t="str">
        <f>IFERROR(__xludf.DUMMYFUNCTION("""COMPUTED_VALUE"""),"Elijah")</f>
        <v>Elijah</v>
      </c>
      <c r="E2665" s="6" t="str">
        <f>IFERROR(__xludf.DUMMYFUNCTION("""COMPUTED_VALUE"""),"")</f>
        <v/>
      </c>
      <c r="F2665" s="6" t="str">
        <f>IFERROR(__xludf.DUMMYFUNCTION("""COMPUTED_VALUE"""),"Chalk")</f>
        <v>Chalk</v>
      </c>
      <c r="G2665" s="6" t="str">
        <f>IFERROR(__xludf.DUMMYFUNCTION("""COMPUTED_VALUE"""),"11/02/2010")</f>
        <v>11/02/2010</v>
      </c>
      <c r="H2665" s="6" t="str">
        <f>IFERROR(__xludf.DUMMYFUNCTION("""COMPUTED_VALUE"""),"Self Identify")</f>
        <v>Self Identify</v>
      </c>
      <c r="I2665" s="6" t="str">
        <f>IFERROR(__xludf.DUMMYFUNCTION("""COMPUTED_VALUE"""),"High School")</f>
        <v>High School</v>
      </c>
      <c r="J2665" s="6" t="str">
        <f>IFERROR(__xludf.DUMMYFUNCTION("""COMPUTED_VALUE"""),"9")</f>
        <v>9</v>
      </c>
      <c r="K2665" s="6" t="str">
        <f>IFERROR(__xludf.DUMMYFUNCTION("""COMPUTED_VALUE"""),"elijah.chalk@2hourlearning.com")</f>
        <v>elijah.chalk@2hourlearning.com</v>
      </c>
      <c r="L2665" s="6" t="str">
        <f>IFERROR(__xludf.DUMMYFUNCTION("""COMPUTED_VALUE"""),"Reading Community City School District")</f>
        <v>Reading Community City School District</v>
      </c>
      <c r="M2665" s="6" t="str">
        <f>IFERROR(__xludf.DUMMYFUNCTION("""COMPUTED_VALUE"""),"High school")</f>
        <v>High school</v>
      </c>
      <c r="N2665" s="6" t="str">
        <f>IFERROR(__xludf.DUMMYFUNCTION("""COMPUTED_VALUE"""),"")</f>
        <v/>
      </c>
      <c r="O2665" s="87" t="str">
        <f>IFERROR(__xludf.DUMMYFUNCTION("""COMPUTED_VALUE"""),"https://drive.google.com/drive/folders/10T2cTQHqEJZqE-st6uFKPoI?usp=share_link")</f>
        <v>https://drive.google.com/drive/folders/10T2cTQHqEJZqE-st6uFKPoI?usp=share_link</v>
      </c>
      <c r="P2665" s="6" t="str">
        <f>IFERROR(__xludf.DUMMYFUNCTION("""COMPUTED_VALUE"""),"Elijah Chalk")</f>
        <v>Elijah Chalk</v>
      </c>
      <c r="Q2665" s="6" t="str">
        <f>IFERROR(__xludf.DUMMYFUNCTION("""COMPUTED_VALUE"""),"HS")</f>
        <v>HS</v>
      </c>
      <c r="R2665" s="6">
        <f>IFERROR(__xludf.DUMMYFUNCTION("""COMPUTED_VALUE"""),0.0)</f>
        <v>0</v>
      </c>
      <c r="S2665" s="6" t="str">
        <f>IFERROR(__xludf.DUMMYFUNCTION("""COMPUTED_VALUE"""),"Morgan Kron")</f>
        <v>Morgan Kron</v>
      </c>
      <c r="T2665" s="6" t="str">
        <f>IFERROR(__xludf.DUMMYFUNCTION("""COMPUTED_VALUE"""),"mkron@readingschools.org")</f>
        <v>mkron@readingschools.org</v>
      </c>
      <c r="U2665" s="6" t="str">
        <f>IFERROR(__xludf.DUMMYFUNCTION("""COMPUTED_VALUE"""),"9")</f>
        <v>9</v>
      </c>
      <c r="V2665" s="6" t="str">
        <f>IFERROR(__xludf.DUMMYFUNCTION("""COMPUTED_VALUE"""),"English")</f>
        <v>English</v>
      </c>
      <c r="W2665" s="6" t="str">
        <f>IFERROR(__xludf.DUMMYFUNCTION("""COMPUTED_VALUE"""),"[]")</f>
        <v>[]</v>
      </c>
      <c r="X2665" s="6" t="str">
        <f>IFERROR(__xludf.DUMMYFUNCTION("""COMPUTED_VALUE"""),"Enrolled")</f>
        <v>Enrolled</v>
      </c>
    </row>
    <row r="2666">
      <c r="A2666" s="6" t="str">
        <f>IFERROR(__xludf.DUMMYFUNCTION("""COMPUTED_VALUE"""),"056-5478")</f>
        <v>056-5478</v>
      </c>
      <c r="B2666" s="6" t="str">
        <f>IFERROR(__xludf.DUMMYFUNCTION("""COMPUTED_VALUE"""),"56")</f>
        <v>56</v>
      </c>
      <c r="C2666" s="6" t="str">
        <f>IFERROR(__xludf.DUMMYFUNCTION("""COMPUTED_VALUE"""),"5478")</f>
        <v>5478</v>
      </c>
      <c r="D2666" s="6" t="str">
        <f>IFERROR(__xludf.DUMMYFUNCTION("""COMPUTED_VALUE"""),"Ethan")</f>
        <v>Ethan</v>
      </c>
      <c r="E2666" s="6" t="str">
        <f>IFERROR(__xludf.DUMMYFUNCTION("""COMPUTED_VALUE"""),"")</f>
        <v/>
      </c>
      <c r="F2666" s="6" t="str">
        <f>IFERROR(__xludf.DUMMYFUNCTION("""COMPUTED_VALUE"""),"Davies")</f>
        <v>Davies</v>
      </c>
      <c r="G2666" s="6" t="str">
        <f>IFERROR(__xludf.DUMMYFUNCTION("""COMPUTED_VALUE"""),"01/25/2011")</f>
        <v>01/25/2011</v>
      </c>
      <c r="H2666" s="6" t="str">
        <f>IFERROR(__xludf.DUMMYFUNCTION("""COMPUTED_VALUE"""),"Self Identify")</f>
        <v>Self Identify</v>
      </c>
      <c r="I2666" s="6" t="str">
        <f>IFERROR(__xludf.DUMMYFUNCTION("""COMPUTED_VALUE"""),"High School")</f>
        <v>High School</v>
      </c>
      <c r="J2666" s="6" t="str">
        <f>IFERROR(__xludf.DUMMYFUNCTION("""COMPUTED_VALUE"""),"9")</f>
        <v>9</v>
      </c>
      <c r="K2666" s="6" t="str">
        <f>IFERROR(__xludf.DUMMYFUNCTION("""COMPUTED_VALUE"""),"ethan.davies@2hourlearning.com")</f>
        <v>ethan.davies@2hourlearning.com</v>
      </c>
      <c r="L2666" s="6" t="str">
        <f>IFERROR(__xludf.DUMMYFUNCTION("""COMPUTED_VALUE"""),"Reading Community City School District")</f>
        <v>Reading Community City School District</v>
      </c>
      <c r="M2666" s="6" t="str">
        <f>IFERROR(__xludf.DUMMYFUNCTION("""COMPUTED_VALUE"""),"High school")</f>
        <v>High school</v>
      </c>
      <c r="N2666" s="6" t="str">
        <f>IFERROR(__xludf.DUMMYFUNCTION("""COMPUTED_VALUE"""),"")</f>
        <v/>
      </c>
      <c r="O2666" s="87" t="str">
        <f>IFERROR(__xludf.DUMMYFUNCTION("""COMPUTED_VALUE"""),"https://drive.google.com/drive/folders/10T2cTQHqEJZqE-st6uFKPoI?usp=share_link")</f>
        <v>https://drive.google.com/drive/folders/10T2cTQHqEJZqE-st6uFKPoI?usp=share_link</v>
      </c>
      <c r="P2666" s="6" t="str">
        <f>IFERROR(__xludf.DUMMYFUNCTION("""COMPUTED_VALUE"""),"Ethan Davies")</f>
        <v>Ethan Davies</v>
      </c>
      <c r="Q2666" s="6" t="str">
        <f>IFERROR(__xludf.DUMMYFUNCTION("""COMPUTED_VALUE"""),"HS")</f>
        <v>HS</v>
      </c>
      <c r="R2666" s="6">
        <f>IFERROR(__xludf.DUMMYFUNCTION("""COMPUTED_VALUE"""),0.0)</f>
        <v>0</v>
      </c>
      <c r="S2666" s="6" t="str">
        <f>IFERROR(__xludf.DUMMYFUNCTION("""COMPUTED_VALUE"""),"Morgan Kron")</f>
        <v>Morgan Kron</v>
      </c>
      <c r="T2666" s="6" t="str">
        <f>IFERROR(__xludf.DUMMYFUNCTION("""COMPUTED_VALUE"""),"mkron@readingschools.org")</f>
        <v>mkron@readingschools.org</v>
      </c>
      <c r="U2666" s="6" t="str">
        <f>IFERROR(__xludf.DUMMYFUNCTION("""COMPUTED_VALUE"""),"9")</f>
        <v>9</v>
      </c>
      <c r="V2666" s="6" t="str">
        <f>IFERROR(__xludf.DUMMYFUNCTION("""COMPUTED_VALUE"""),"English")</f>
        <v>English</v>
      </c>
      <c r="W2666" s="6" t="str">
        <f>IFERROR(__xludf.DUMMYFUNCTION("""COMPUTED_VALUE"""),"[]")</f>
        <v>[]</v>
      </c>
      <c r="X2666" s="6" t="str">
        <f>IFERROR(__xludf.DUMMYFUNCTION("""COMPUTED_VALUE"""),"Enrolled")</f>
        <v>Enrolled</v>
      </c>
    </row>
    <row r="2667">
      <c r="A2667" s="6" t="str">
        <f>IFERROR(__xludf.DUMMYFUNCTION("""COMPUTED_VALUE"""),"056-5479")</f>
        <v>056-5479</v>
      </c>
      <c r="B2667" s="6" t="str">
        <f>IFERROR(__xludf.DUMMYFUNCTION("""COMPUTED_VALUE"""),"56")</f>
        <v>56</v>
      </c>
      <c r="C2667" s="6" t="str">
        <f>IFERROR(__xludf.DUMMYFUNCTION("""COMPUTED_VALUE"""),"5479")</f>
        <v>5479</v>
      </c>
      <c r="D2667" s="6" t="str">
        <f>IFERROR(__xludf.DUMMYFUNCTION("""COMPUTED_VALUE"""),"Grayson")</f>
        <v>Grayson</v>
      </c>
      <c r="E2667" s="6" t="str">
        <f>IFERROR(__xludf.DUMMYFUNCTION("""COMPUTED_VALUE"""),"")</f>
        <v/>
      </c>
      <c r="F2667" s="6" t="str">
        <f>IFERROR(__xludf.DUMMYFUNCTION("""COMPUTED_VALUE"""),"Searcy")</f>
        <v>Searcy</v>
      </c>
      <c r="G2667" s="6" t="str">
        <f>IFERROR(__xludf.DUMMYFUNCTION("""COMPUTED_VALUE"""),"09/23/2011")</f>
        <v>09/23/2011</v>
      </c>
      <c r="H2667" s="6" t="str">
        <f>IFERROR(__xludf.DUMMYFUNCTION("""COMPUTED_VALUE"""),"Self Identify")</f>
        <v>Self Identify</v>
      </c>
      <c r="I2667" s="6" t="str">
        <f>IFERROR(__xludf.DUMMYFUNCTION("""COMPUTED_VALUE"""),"High School")</f>
        <v>High School</v>
      </c>
      <c r="J2667" s="6" t="str">
        <f>IFERROR(__xludf.DUMMYFUNCTION("""COMPUTED_VALUE"""),"9")</f>
        <v>9</v>
      </c>
      <c r="K2667" s="6" t="str">
        <f>IFERROR(__xludf.DUMMYFUNCTION("""COMPUTED_VALUE"""),"grayson.searcy@2hourlearning.com")</f>
        <v>grayson.searcy@2hourlearning.com</v>
      </c>
      <c r="L2667" s="6" t="str">
        <f>IFERROR(__xludf.DUMMYFUNCTION("""COMPUTED_VALUE"""),"Reading Community City School District")</f>
        <v>Reading Community City School District</v>
      </c>
      <c r="M2667" s="6" t="str">
        <f>IFERROR(__xludf.DUMMYFUNCTION("""COMPUTED_VALUE"""),"High school")</f>
        <v>High school</v>
      </c>
      <c r="N2667" s="6" t="str">
        <f>IFERROR(__xludf.DUMMYFUNCTION("""COMPUTED_VALUE"""),"")</f>
        <v/>
      </c>
      <c r="O2667" s="87" t="str">
        <f>IFERROR(__xludf.DUMMYFUNCTION("""COMPUTED_VALUE"""),"https://drive.google.com/drive/folders/10T2cTQHqEJZqE-st6uFKPoI?usp=share_link")</f>
        <v>https://drive.google.com/drive/folders/10T2cTQHqEJZqE-st6uFKPoI?usp=share_link</v>
      </c>
      <c r="P2667" s="6" t="str">
        <f>IFERROR(__xludf.DUMMYFUNCTION("""COMPUTED_VALUE"""),"Grayson Searcy")</f>
        <v>Grayson Searcy</v>
      </c>
      <c r="Q2667" s="6" t="str">
        <f>IFERROR(__xludf.DUMMYFUNCTION("""COMPUTED_VALUE"""),"HS")</f>
        <v>HS</v>
      </c>
      <c r="R2667" s="6">
        <f>IFERROR(__xludf.DUMMYFUNCTION("""COMPUTED_VALUE"""),0.0)</f>
        <v>0</v>
      </c>
      <c r="S2667" s="6" t="str">
        <f>IFERROR(__xludf.DUMMYFUNCTION("""COMPUTED_VALUE"""),"Morgan Kron")</f>
        <v>Morgan Kron</v>
      </c>
      <c r="T2667" s="6" t="str">
        <f>IFERROR(__xludf.DUMMYFUNCTION("""COMPUTED_VALUE"""),"mkron@readingschools.org")</f>
        <v>mkron@readingschools.org</v>
      </c>
      <c r="U2667" s="6" t="str">
        <f>IFERROR(__xludf.DUMMYFUNCTION("""COMPUTED_VALUE"""),"9")</f>
        <v>9</v>
      </c>
      <c r="V2667" s="6" t="str">
        <f>IFERROR(__xludf.DUMMYFUNCTION("""COMPUTED_VALUE"""),"English")</f>
        <v>English</v>
      </c>
      <c r="W2667" s="6" t="str">
        <f>IFERROR(__xludf.DUMMYFUNCTION("""COMPUTED_VALUE"""),"[]")</f>
        <v>[]</v>
      </c>
      <c r="X2667" s="6" t="str">
        <f>IFERROR(__xludf.DUMMYFUNCTION("""COMPUTED_VALUE"""),"Enrolled")</f>
        <v>Enrolled</v>
      </c>
    </row>
    <row r="2668">
      <c r="A2668" s="6" t="str">
        <f>IFERROR(__xludf.DUMMYFUNCTION("""COMPUTED_VALUE"""),"056-5480")</f>
        <v>056-5480</v>
      </c>
      <c r="B2668" s="6" t="str">
        <f>IFERROR(__xludf.DUMMYFUNCTION("""COMPUTED_VALUE"""),"56")</f>
        <v>56</v>
      </c>
      <c r="C2668" s="6" t="str">
        <f>IFERROR(__xludf.DUMMYFUNCTION("""COMPUTED_VALUE"""),"5480")</f>
        <v>5480</v>
      </c>
      <c r="D2668" s="6" t="str">
        <f>IFERROR(__xludf.DUMMYFUNCTION("""COMPUTED_VALUE"""),"Ian")</f>
        <v>Ian</v>
      </c>
      <c r="E2668" s="6" t="str">
        <f>IFERROR(__xludf.DUMMYFUNCTION("""COMPUTED_VALUE"""),"")</f>
        <v/>
      </c>
      <c r="F2668" s="6" t="str">
        <f>IFERROR(__xludf.DUMMYFUNCTION("""COMPUTED_VALUE"""),"Wright")</f>
        <v>Wright</v>
      </c>
      <c r="G2668" s="6" t="str">
        <f>IFERROR(__xludf.DUMMYFUNCTION("""COMPUTED_VALUE"""),"11/09/2010")</f>
        <v>11/09/2010</v>
      </c>
      <c r="H2668" s="6" t="str">
        <f>IFERROR(__xludf.DUMMYFUNCTION("""COMPUTED_VALUE"""),"Self Identify")</f>
        <v>Self Identify</v>
      </c>
      <c r="I2668" s="6" t="str">
        <f>IFERROR(__xludf.DUMMYFUNCTION("""COMPUTED_VALUE"""),"High School")</f>
        <v>High School</v>
      </c>
      <c r="J2668" s="6" t="str">
        <f>IFERROR(__xludf.DUMMYFUNCTION("""COMPUTED_VALUE"""),"9")</f>
        <v>9</v>
      </c>
      <c r="K2668" s="6" t="str">
        <f>IFERROR(__xludf.DUMMYFUNCTION("""COMPUTED_VALUE"""),"ian.wright@2hourlearning.com")</f>
        <v>ian.wright@2hourlearning.com</v>
      </c>
      <c r="L2668" s="6" t="str">
        <f>IFERROR(__xludf.DUMMYFUNCTION("""COMPUTED_VALUE"""),"Reading Community City School District")</f>
        <v>Reading Community City School District</v>
      </c>
      <c r="M2668" s="6" t="str">
        <f>IFERROR(__xludf.DUMMYFUNCTION("""COMPUTED_VALUE"""),"High school")</f>
        <v>High school</v>
      </c>
      <c r="N2668" s="6" t="str">
        <f>IFERROR(__xludf.DUMMYFUNCTION("""COMPUTED_VALUE"""),"")</f>
        <v/>
      </c>
      <c r="O2668" s="87" t="str">
        <f>IFERROR(__xludf.DUMMYFUNCTION("""COMPUTED_VALUE"""),"https://drive.google.com/drive/folders/10T2cTQHqEJZqE-st6uFKPoI?usp=share_link")</f>
        <v>https://drive.google.com/drive/folders/10T2cTQHqEJZqE-st6uFKPoI?usp=share_link</v>
      </c>
      <c r="P2668" s="6" t="str">
        <f>IFERROR(__xludf.DUMMYFUNCTION("""COMPUTED_VALUE"""),"Ian Wright")</f>
        <v>Ian Wright</v>
      </c>
      <c r="Q2668" s="6" t="str">
        <f>IFERROR(__xludf.DUMMYFUNCTION("""COMPUTED_VALUE"""),"HS")</f>
        <v>HS</v>
      </c>
      <c r="R2668" s="6">
        <f>IFERROR(__xludf.DUMMYFUNCTION("""COMPUTED_VALUE"""),0.0)</f>
        <v>0</v>
      </c>
      <c r="S2668" s="6" t="str">
        <f>IFERROR(__xludf.DUMMYFUNCTION("""COMPUTED_VALUE"""),"Morgan Kron")</f>
        <v>Morgan Kron</v>
      </c>
      <c r="T2668" s="6" t="str">
        <f>IFERROR(__xludf.DUMMYFUNCTION("""COMPUTED_VALUE"""),"mkron@readingschools.org")</f>
        <v>mkron@readingschools.org</v>
      </c>
      <c r="U2668" s="6" t="str">
        <f>IFERROR(__xludf.DUMMYFUNCTION("""COMPUTED_VALUE"""),"9")</f>
        <v>9</v>
      </c>
      <c r="V2668" s="6" t="str">
        <f>IFERROR(__xludf.DUMMYFUNCTION("""COMPUTED_VALUE"""),"English")</f>
        <v>English</v>
      </c>
      <c r="W2668" s="6" t="str">
        <f>IFERROR(__xludf.DUMMYFUNCTION("""COMPUTED_VALUE"""),"[]")</f>
        <v>[]</v>
      </c>
      <c r="X2668" s="6" t="str">
        <f>IFERROR(__xludf.DUMMYFUNCTION("""COMPUTED_VALUE"""),"Enrolled")</f>
        <v>Enrolled</v>
      </c>
    </row>
    <row r="2669">
      <c r="A2669" s="6" t="str">
        <f>IFERROR(__xludf.DUMMYFUNCTION("""COMPUTED_VALUE"""),"056-5481")</f>
        <v>056-5481</v>
      </c>
      <c r="B2669" s="6" t="str">
        <f>IFERROR(__xludf.DUMMYFUNCTION("""COMPUTED_VALUE"""),"56")</f>
        <v>56</v>
      </c>
      <c r="C2669" s="6" t="str">
        <f>IFERROR(__xludf.DUMMYFUNCTION("""COMPUTED_VALUE"""),"5481")</f>
        <v>5481</v>
      </c>
      <c r="D2669" s="6" t="str">
        <f>IFERROR(__xludf.DUMMYFUNCTION("""COMPUTED_VALUE"""),"Ireland")</f>
        <v>Ireland</v>
      </c>
      <c r="E2669" s="6" t="str">
        <f>IFERROR(__xludf.DUMMYFUNCTION("""COMPUTED_VALUE"""),"")</f>
        <v/>
      </c>
      <c r="F2669" s="6" t="str">
        <f>IFERROR(__xludf.DUMMYFUNCTION("""COMPUTED_VALUE"""),"Vaughn")</f>
        <v>Vaughn</v>
      </c>
      <c r="G2669" s="6" t="str">
        <f>IFERROR(__xludf.DUMMYFUNCTION("""COMPUTED_VALUE"""),"02/14/2011")</f>
        <v>02/14/2011</v>
      </c>
      <c r="H2669" s="6" t="str">
        <f>IFERROR(__xludf.DUMMYFUNCTION("""COMPUTED_VALUE"""),"Self Identify")</f>
        <v>Self Identify</v>
      </c>
      <c r="I2669" s="6" t="str">
        <f>IFERROR(__xludf.DUMMYFUNCTION("""COMPUTED_VALUE"""),"High School")</f>
        <v>High School</v>
      </c>
      <c r="J2669" s="6" t="str">
        <f>IFERROR(__xludf.DUMMYFUNCTION("""COMPUTED_VALUE"""),"9")</f>
        <v>9</v>
      </c>
      <c r="K2669" s="6" t="str">
        <f>IFERROR(__xludf.DUMMYFUNCTION("""COMPUTED_VALUE"""),"ireland.vaughn@2hourlearning.com")</f>
        <v>ireland.vaughn@2hourlearning.com</v>
      </c>
      <c r="L2669" s="6" t="str">
        <f>IFERROR(__xludf.DUMMYFUNCTION("""COMPUTED_VALUE"""),"Reading Community City School District")</f>
        <v>Reading Community City School District</v>
      </c>
      <c r="M2669" s="6" t="str">
        <f>IFERROR(__xludf.DUMMYFUNCTION("""COMPUTED_VALUE"""),"High school")</f>
        <v>High school</v>
      </c>
      <c r="N2669" s="6" t="str">
        <f>IFERROR(__xludf.DUMMYFUNCTION("""COMPUTED_VALUE"""),"")</f>
        <v/>
      </c>
      <c r="O2669" s="87" t="str">
        <f>IFERROR(__xludf.DUMMYFUNCTION("""COMPUTED_VALUE"""),"https://drive.google.com/drive/folders/10T2cTQHqEJZqE-st6uFKPoI?usp=share_link")</f>
        <v>https://drive.google.com/drive/folders/10T2cTQHqEJZqE-st6uFKPoI?usp=share_link</v>
      </c>
      <c r="P2669" s="6" t="str">
        <f>IFERROR(__xludf.DUMMYFUNCTION("""COMPUTED_VALUE"""),"Ireland Vaughn")</f>
        <v>Ireland Vaughn</v>
      </c>
      <c r="Q2669" s="6" t="str">
        <f>IFERROR(__xludf.DUMMYFUNCTION("""COMPUTED_VALUE"""),"HS")</f>
        <v>HS</v>
      </c>
      <c r="R2669" s="6">
        <f>IFERROR(__xludf.DUMMYFUNCTION("""COMPUTED_VALUE"""),0.0)</f>
        <v>0</v>
      </c>
      <c r="S2669" s="6" t="str">
        <f>IFERROR(__xludf.DUMMYFUNCTION("""COMPUTED_VALUE"""),"Morgan Kron")</f>
        <v>Morgan Kron</v>
      </c>
      <c r="T2669" s="6" t="str">
        <f>IFERROR(__xludf.DUMMYFUNCTION("""COMPUTED_VALUE"""),"mkron@readingschools.org")</f>
        <v>mkron@readingschools.org</v>
      </c>
      <c r="U2669" s="6" t="str">
        <f>IFERROR(__xludf.DUMMYFUNCTION("""COMPUTED_VALUE"""),"9")</f>
        <v>9</v>
      </c>
      <c r="V2669" s="6" t="str">
        <f>IFERROR(__xludf.DUMMYFUNCTION("""COMPUTED_VALUE"""),"English")</f>
        <v>English</v>
      </c>
      <c r="W2669" s="6" t="str">
        <f>IFERROR(__xludf.DUMMYFUNCTION("""COMPUTED_VALUE"""),"[]")</f>
        <v>[]</v>
      </c>
      <c r="X2669" s="6" t="str">
        <f>IFERROR(__xludf.DUMMYFUNCTION("""COMPUTED_VALUE"""),"Enrolled")</f>
        <v>Enrolled</v>
      </c>
    </row>
    <row r="2670">
      <c r="A2670" s="6" t="str">
        <f>IFERROR(__xludf.DUMMYFUNCTION("""COMPUTED_VALUE"""),"056-5482")</f>
        <v>056-5482</v>
      </c>
      <c r="B2670" s="6" t="str">
        <f>IFERROR(__xludf.DUMMYFUNCTION("""COMPUTED_VALUE"""),"56")</f>
        <v>56</v>
      </c>
      <c r="C2670" s="6" t="str">
        <f>IFERROR(__xludf.DUMMYFUNCTION("""COMPUTED_VALUE"""),"5482")</f>
        <v>5482</v>
      </c>
      <c r="D2670" s="6" t="str">
        <f>IFERROR(__xludf.DUMMYFUNCTION("""COMPUTED_VALUE"""),"Jaime")</f>
        <v>Jaime</v>
      </c>
      <c r="E2670" s="6" t="str">
        <f>IFERROR(__xludf.DUMMYFUNCTION("""COMPUTED_VALUE"""),"")</f>
        <v/>
      </c>
      <c r="F2670" s="6" t="str">
        <f>IFERROR(__xludf.DUMMYFUNCTION("""COMPUTED_VALUE"""),"Orizaba")</f>
        <v>Orizaba</v>
      </c>
      <c r="G2670" s="6" t="str">
        <f>IFERROR(__xludf.DUMMYFUNCTION("""COMPUTED_VALUE"""),"10/22/2010")</f>
        <v>10/22/2010</v>
      </c>
      <c r="H2670" s="6" t="str">
        <f>IFERROR(__xludf.DUMMYFUNCTION("""COMPUTED_VALUE"""),"Self Identify")</f>
        <v>Self Identify</v>
      </c>
      <c r="I2670" s="6" t="str">
        <f>IFERROR(__xludf.DUMMYFUNCTION("""COMPUTED_VALUE"""),"High School")</f>
        <v>High School</v>
      </c>
      <c r="J2670" s="6" t="str">
        <f>IFERROR(__xludf.DUMMYFUNCTION("""COMPUTED_VALUE"""),"9")</f>
        <v>9</v>
      </c>
      <c r="K2670" s="6" t="str">
        <f>IFERROR(__xludf.DUMMYFUNCTION("""COMPUTED_VALUE"""),"jaime.orizaba@2hourlearning.com")</f>
        <v>jaime.orizaba@2hourlearning.com</v>
      </c>
      <c r="L2670" s="6" t="str">
        <f>IFERROR(__xludf.DUMMYFUNCTION("""COMPUTED_VALUE"""),"Reading Community City School District")</f>
        <v>Reading Community City School District</v>
      </c>
      <c r="M2670" s="6" t="str">
        <f>IFERROR(__xludf.DUMMYFUNCTION("""COMPUTED_VALUE"""),"High school")</f>
        <v>High school</v>
      </c>
      <c r="N2670" s="6" t="str">
        <f>IFERROR(__xludf.DUMMYFUNCTION("""COMPUTED_VALUE"""),"")</f>
        <v/>
      </c>
      <c r="O2670" s="87" t="str">
        <f>IFERROR(__xludf.DUMMYFUNCTION("""COMPUTED_VALUE"""),"https://drive.google.com/drive/folders/10T2cTQHqEJZqE-st6uFKPoI?usp=share_link")</f>
        <v>https://drive.google.com/drive/folders/10T2cTQHqEJZqE-st6uFKPoI?usp=share_link</v>
      </c>
      <c r="P2670" s="6" t="str">
        <f>IFERROR(__xludf.DUMMYFUNCTION("""COMPUTED_VALUE"""),"Jaime Orizaba")</f>
        <v>Jaime Orizaba</v>
      </c>
      <c r="Q2670" s="6" t="str">
        <f>IFERROR(__xludf.DUMMYFUNCTION("""COMPUTED_VALUE"""),"HS")</f>
        <v>HS</v>
      </c>
      <c r="R2670" s="6">
        <f>IFERROR(__xludf.DUMMYFUNCTION("""COMPUTED_VALUE"""),0.0)</f>
        <v>0</v>
      </c>
      <c r="S2670" s="6" t="str">
        <f>IFERROR(__xludf.DUMMYFUNCTION("""COMPUTED_VALUE"""),"Morgan Kron")</f>
        <v>Morgan Kron</v>
      </c>
      <c r="T2670" s="6" t="str">
        <f>IFERROR(__xludf.DUMMYFUNCTION("""COMPUTED_VALUE"""),"mkron@readingschools.org")</f>
        <v>mkron@readingschools.org</v>
      </c>
      <c r="U2670" s="6" t="str">
        <f>IFERROR(__xludf.DUMMYFUNCTION("""COMPUTED_VALUE"""),"9")</f>
        <v>9</v>
      </c>
      <c r="V2670" s="6" t="str">
        <f>IFERROR(__xludf.DUMMYFUNCTION("""COMPUTED_VALUE"""),"English")</f>
        <v>English</v>
      </c>
      <c r="W2670" s="6" t="str">
        <f>IFERROR(__xludf.DUMMYFUNCTION("""COMPUTED_VALUE"""),"[]")</f>
        <v>[]</v>
      </c>
      <c r="X2670" s="6" t="str">
        <f>IFERROR(__xludf.DUMMYFUNCTION("""COMPUTED_VALUE"""),"Enrolled")</f>
        <v>Enrolled</v>
      </c>
    </row>
    <row r="2671">
      <c r="A2671" s="6" t="str">
        <f>IFERROR(__xludf.DUMMYFUNCTION("""COMPUTED_VALUE"""),"056-5483")</f>
        <v>056-5483</v>
      </c>
      <c r="B2671" s="6" t="str">
        <f>IFERROR(__xludf.DUMMYFUNCTION("""COMPUTED_VALUE"""),"56")</f>
        <v>56</v>
      </c>
      <c r="C2671" s="6" t="str">
        <f>IFERROR(__xludf.DUMMYFUNCTION("""COMPUTED_VALUE"""),"5483")</f>
        <v>5483</v>
      </c>
      <c r="D2671" s="6" t="str">
        <f>IFERROR(__xludf.DUMMYFUNCTION("""COMPUTED_VALUE"""),"Josiah")</f>
        <v>Josiah</v>
      </c>
      <c r="E2671" s="6" t="str">
        <f>IFERROR(__xludf.DUMMYFUNCTION("""COMPUTED_VALUE"""),"")</f>
        <v/>
      </c>
      <c r="F2671" s="6" t="str">
        <f>IFERROR(__xludf.DUMMYFUNCTION("""COMPUTED_VALUE"""),"Garland")</f>
        <v>Garland</v>
      </c>
      <c r="G2671" s="6" t="str">
        <f>IFERROR(__xludf.DUMMYFUNCTION("""COMPUTED_VALUE"""),"03/18/2011")</f>
        <v>03/18/2011</v>
      </c>
      <c r="H2671" s="6" t="str">
        <f>IFERROR(__xludf.DUMMYFUNCTION("""COMPUTED_VALUE"""),"Self Identify")</f>
        <v>Self Identify</v>
      </c>
      <c r="I2671" s="6" t="str">
        <f>IFERROR(__xludf.DUMMYFUNCTION("""COMPUTED_VALUE"""),"High School")</f>
        <v>High School</v>
      </c>
      <c r="J2671" s="6" t="str">
        <f>IFERROR(__xludf.DUMMYFUNCTION("""COMPUTED_VALUE"""),"9")</f>
        <v>9</v>
      </c>
      <c r="K2671" s="6" t="str">
        <f>IFERROR(__xludf.DUMMYFUNCTION("""COMPUTED_VALUE"""),"josiah.garland@2hourlearning.com")</f>
        <v>josiah.garland@2hourlearning.com</v>
      </c>
      <c r="L2671" s="6" t="str">
        <f>IFERROR(__xludf.DUMMYFUNCTION("""COMPUTED_VALUE"""),"Reading Community City School District")</f>
        <v>Reading Community City School District</v>
      </c>
      <c r="M2671" s="6" t="str">
        <f>IFERROR(__xludf.DUMMYFUNCTION("""COMPUTED_VALUE"""),"High school")</f>
        <v>High school</v>
      </c>
      <c r="N2671" s="6" t="str">
        <f>IFERROR(__xludf.DUMMYFUNCTION("""COMPUTED_VALUE"""),"")</f>
        <v/>
      </c>
      <c r="O2671" s="87" t="str">
        <f>IFERROR(__xludf.DUMMYFUNCTION("""COMPUTED_VALUE"""),"https://drive.google.com/drive/folders/10T2cTQHqEJZqE-st6uFKPoI?usp=share_link")</f>
        <v>https://drive.google.com/drive/folders/10T2cTQHqEJZqE-st6uFKPoI?usp=share_link</v>
      </c>
      <c r="P2671" s="6" t="str">
        <f>IFERROR(__xludf.DUMMYFUNCTION("""COMPUTED_VALUE"""),"Josiah Garland")</f>
        <v>Josiah Garland</v>
      </c>
      <c r="Q2671" s="6" t="str">
        <f>IFERROR(__xludf.DUMMYFUNCTION("""COMPUTED_VALUE"""),"HS")</f>
        <v>HS</v>
      </c>
      <c r="R2671" s="6">
        <f>IFERROR(__xludf.DUMMYFUNCTION("""COMPUTED_VALUE"""),0.0)</f>
        <v>0</v>
      </c>
      <c r="S2671" s="6" t="str">
        <f>IFERROR(__xludf.DUMMYFUNCTION("""COMPUTED_VALUE"""),"Morgan Kron")</f>
        <v>Morgan Kron</v>
      </c>
      <c r="T2671" s="6" t="str">
        <f>IFERROR(__xludf.DUMMYFUNCTION("""COMPUTED_VALUE"""),"mkron@readingschools.org")</f>
        <v>mkron@readingschools.org</v>
      </c>
      <c r="U2671" s="6" t="str">
        <f>IFERROR(__xludf.DUMMYFUNCTION("""COMPUTED_VALUE"""),"9")</f>
        <v>9</v>
      </c>
      <c r="V2671" s="6" t="str">
        <f>IFERROR(__xludf.DUMMYFUNCTION("""COMPUTED_VALUE"""),"English")</f>
        <v>English</v>
      </c>
      <c r="W2671" s="6" t="str">
        <f>IFERROR(__xludf.DUMMYFUNCTION("""COMPUTED_VALUE"""),"[]")</f>
        <v>[]</v>
      </c>
      <c r="X2671" s="6" t="str">
        <f>IFERROR(__xludf.DUMMYFUNCTION("""COMPUTED_VALUE"""),"Enrolled")</f>
        <v>Enrolled</v>
      </c>
    </row>
    <row r="2672">
      <c r="A2672" s="6" t="str">
        <f>IFERROR(__xludf.DUMMYFUNCTION("""COMPUTED_VALUE"""),"056-5484")</f>
        <v>056-5484</v>
      </c>
      <c r="B2672" s="6" t="str">
        <f>IFERROR(__xludf.DUMMYFUNCTION("""COMPUTED_VALUE"""),"56")</f>
        <v>56</v>
      </c>
      <c r="C2672" s="6" t="str">
        <f>IFERROR(__xludf.DUMMYFUNCTION("""COMPUTED_VALUE"""),"5484")</f>
        <v>5484</v>
      </c>
      <c r="D2672" s="6" t="str">
        <f>IFERROR(__xludf.DUMMYFUNCTION("""COMPUTED_VALUE"""),"Katonna")</f>
        <v>Katonna</v>
      </c>
      <c r="E2672" s="6" t="str">
        <f>IFERROR(__xludf.DUMMYFUNCTION("""COMPUTED_VALUE"""),"")</f>
        <v/>
      </c>
      <c r="F2672" s="6" t="str">
        <f>IFERROR(__xludf.DUMMYFUNCTION("""COMPUTED_VALUE"""),"Pitts")</f>
        <v>Pitts</v>
      </c>
      <c r="G2672" s="6" t="str">
        <f>IFERROR(__xludf.DUMMYFUNCTION("""COMPUTED_VALUE"""),"10/15/2010")</f>
        <v>10/15/2010</v>
      </c>
      <c r="H2672" s="6" t="str">
        <f>IFERROR(__xludf.DUMMYFUNCTION("""COMPUTED_VALUE"""),"Self Identify")</f>
        <v>Self Identify</v>
      </c>
      <c r="I2672" s="6" t="str">
        <f>IFERROR(__xludf.DUMMYFUNCTION("""COMPUTED_VALUE"""),"High School")</f>
        <v>High School</v>
      </c>
      <c r="J2672" s="6" t="str">
        <f>IFERROR(__xludf.DUMMYFUNCTION("""COMPUTED_VALUE"""),"9")</f>
        <v>9</v>
      </c>
      <c r="K2672" s="6" t="str">
        <f>IFERROR(__xludf.DUMMYFUNCTION("""COMPUTED_VALUE"""),"katonna.pitts@2hourlearning.com")</f>
        <v>katonna.pitts@2hourlearning.com</v>
      </c>
      <c r="L2672" s="6" t="str">
        <f>IFERROR(__xludf.DUMMYFUNCTION("""COMPUTED_VALUE"""),"Reading Community City School District")</f>
        <v>Reading Community City School District</v>
      </c>
      <c r="M2672" s="6" t="str">
        <f>IFERROR(__xludf.DUMMYFUNCTION("""COMPUTED_VALUE"""),"High school")</f>
        <v>High school</v>
      </c>
      <c r="N2672" s="6" t="str">
        <f>IFERROR(__xludf.DUMMYFUNCTION("""COMPUTED_VALUE"""),"")</f>
        <v/>
      </c>
      <c r="O2672" s="87" t="str">
        <f>IFERROR(__xludf.DUMMYFUNCTION("""COMPUTED_VALUE"""),"https://drive.google.com/drive/folders/10T2cTQHqEJZqE-st6uFKPoI?usp=share_link")</f>
        <v>https://drive.google.com/drive/folders/10T2cTQHqEJZqE-st6uFKPoI?usp=share_link</v>
      </c>
      <c r="P2672" s="6" t="str">
        <f>IFERROR(__xludf.DUMMYFUNCTION("""COMPUTED_VALUE"""),"Katonna Pitts")</f>
        <v>Katonna Pitts</v>
      </c>
      <c r="Q2672" s="6" t="str">
        <f>IFERROR(__xludf.DUMMYFUNCTION("""COMPUTED_VALUE"""),"HS")</f>
        <v>HS</v>
      </c>
      <c r="R2672" s="6">
        <f>IFERROR(__xludf.DUMMYFUNCTION("""COMPUTED_VALUE"""),0.0)</f>
        <v>0</v>
      </c>
      <c r="S2672" s="6" t="str">
        <f>IFERROR(__xludf.DUMMYFUNCTION("""COMPUTED_VALUE"""),"Morgan Kron")</f>
        <v>Morgan Kron</v>
      </c>
      <c r="T2672" s="6" t="str">
        <f>IFERROR(__xludf.DUMMYFUNCTION("""COMPUTED_VALUE"""),"mkron@readingschools.org")</f>
        <v>mkron@readingschools.org</v>
      </c>
      <c r="U2672" s="6" t="str">
        <f>IFERROR(__xludf.DUMMYFUNCTION("""COMPUTED_VALUE"""),"9")</f>
        <v>9</v>
      </c>
      <c r="V2672" s="6" t="str">
        <f>IFERROR(__xludf.DUMMYFUNCTION("""COMPUTED_VALUE"""),"English")</f>
        <v>English</v>
      </c>
      <c r="W2672" s="6" t="str">
        <f>IFERROR(__xludf.DUMMYFUNCTION("""COMPUTED_VALUE"""),"[]")</f>
        <v>[]</v>
      </c>
      <c r="X2672" s="6" t="str">
        <f>IFERROR(__xludf.DUMMYFUNCTION("""COMPUTED_VALUE"""),"Enrolled")</f>
        <v>Enrolled</v>
      </c>
    </row>
    <row r="2673">
      <c r="A2673" s="6" t="str">
        <f>IFERROR(__xludf.DUMMYFUNCTION("""COMPUTED_VALUE"""),"056-5485")</f>
        <v>056-5485</v>
      </c>
      <c r="B2673" s="6" t="str">
        <f>IFERROR(__xludf.DUMMYFUNCTION("""COMPUTED_VALUE"""),"56")</f>
        <v>56</v>
      </c>
      <c r="C2673" s="6" t="str">
        <f>IFERROR(__xludf.DUMMYFUNCTION("""COMPUTED_VALUE"""),"5485")</f>
        <v>5485</v>
      </c>
      <c r="D2673" s="6" t="str">
        <f>IFERROR(__xludf.DUMMYFUNCTION("""COMPUTED_VALUE"""),"Kenlie")</f>
        <v>Kenlie</v>
      </c>
      <c r="E2673" s="6" t="str">
        <f>IFERROR(__xludf.DUMMYFUNCTION("""COMPUTED_VALUE"""),"")</f>
        <v/>
      </c>
      <c r="F2673" s="6" t="str">
        <f>IFERROR(__xludf.DUMMYFUNCTION("""COMPUTED_VALUE"""),"Adams")</f>
        <v>Adams</v>
      </c>
      <c r="G2673" s="6" t="str">
        <f>IFERROR(__xludf.DUMMYFUNCTION("""COMPUTED_VALUE"""),"03/08/2011")</f>
        <v>03/08/2011</v>
      </c>
      <c r="H2673" s="6" t="str">
        <f>IFERROR(__xludf.DUMMYFUNCTION("""COMPUTED_VALUE"""),"Self Identify")</f>
        <v>Self Identify</v>
      </c>
      <c r="I2673" s="6" t="str">
        <f>IFERROR(__xludf.DUMMYFUNCTION("""COMPUTED_VALUE"""),"High School")</f>
        <v>High School</v>
      </c>
      <c r="J2673" s="6" t="str">
        <f>IFERROR(__xludf.DUMMYFUNCTION("""COMPUTED_VALUE"""),"9")</f>
        <v>9</v>
      </c>
      <c r="K2673" s="6" t="str">
        <f>IFERROR(__xludf.DUMMYFUNCTION("""COMPUTED_VALUE"""),"kenlie.adams@2hourlearning.com")</f>
        <v>kenlie.adams@2hourlearning.com</v>
      </c>
      <c r="L2673" s="6" t="str">
        <f>IFERROR(__xludf.DUMMYFUNCTION("""COMPUTED_VALUE"""),"Reading Community City School District")</f>
        <v>Reading Community City School District</v>
      </c>
      <c r="M2673" s="6" t="str">
        <f>IFERROR(__xludf.DUMMYFUNCTION("""COMPUTED_VALUE"""),"High school")</f>
        <v>High school</v>
      </c>
      <c r="N2673" s="6" t="str">
        <f>IFERROR(__xludf.DUMMYFUNCTION("""COMPUTED_VALUE"""),"")</f>
        <v/>
      </c>
      <c r="O2673" s="87" t="str">
        <f>IFERROR(__xludf.DUMMYFUNCTION("""COMPUTED_VALUE"""),"https://drive.google.com/drive/folders/10T2cTQHqEJZqE-st6uFKPoI?usp=share_link")</f>
        <v>https://drive.google.com/drive/folders/10T2cTQHqEJZqE-st6uFKPoI?usp=share_link</v>
      </c>
      <c r="P2673" s="6" t="str">
        <f>IFERROR(__xludf.DUMMYFUNCTION("""COMPUTED_VALUE"""),"Kenlie Adams")</f>
        <v>Kenlie Adams</v>
      </c>
      <c r="Q2673" s="6" t="str">
        <f>IFERROR(__xludf.DUMMYFUNCTION("""COMPUTED_VALUE"""),"HS")</f>
        <v>HS</v>
      </c>
      <c r="R2673" s="6">
        <f>IFERROR(__xludf.DUMMYFUNCTION("""COMPUTED_VALUE"""),0.0)</f>
        <v>0</v>
      </c>
      <c r="S2673" s="6" t="str">
        <f>IFERROR(__xludf.DUMMYFUNCTION("""COMPUTED_VALUE"""),"Morgan Kron")</f>
        <v>Morgan Kron</v>
      </c>
      <c r="T2673" s="6" t="str">
        <f>IFERROR(__xludf.DUMMYFUNCTION("""COMPUTED_VALUE"""),"mkron@readingschools.org")</f>
        <v>mkron@readingschools.org</v>
      </c>
      <c r="U2673" s="6" t="str">
        <f>IFERROR(__xludf.DUMMYFUNCTION("""COMPUTED_VALUE"""),"9")</f>
        <v>9</v>
      </c>
      <c r="V2673" s="6" t="str">
        <f>IFERROR(__xludf.DUMMYFUNCTION("""COMPUTED_VALUE"""),"English")</f>
        <v>English</v>
      </c>
      <c r="W2673" s="6" t="str">
        <f>IFERROR(__xludf.DUMMYFUNCTION("""COMPUTED_VALUE"""),"[]")</f>
        <v>[]</v>
      </c>
      <c r="X2673" s="6" t="str">
        <f>IFERROR(__xludf.DUMMYFUNCTION("""COMPUTED_VALUE"""),"Enrolled")</f>
        <v>Enrolled</v>
      </c>
    </row>
    <row r="2674">
      <c r="A2674" s="6" t="str">
        <f>IFERROR(__xludf.DUMMYFUNCTION("""COMPUTED_VALUE"""),"056-5486")</f>
        <v>056-5486</v>
      </c>
      <c r="B2674" s="6" t="str">
        <f>IFERROR(__xludf.DUMMYFUNCTION("""COMPUTED_VALUE"""),"56")</f>
        <v>56</v>
      </c>
      <c r="C2674" s="6" t="str">
        <f>IFERROR(__xludf.DUMMYFUNCTION("""COMPUTED_VALUE"""),"5486")</f>
        <v>5486</v>
      </c>
      <c r="D2674" s="6" t="str">
        <f>IFERROR(__xludf.DUMMYFUNCTION("""COMPUTED_VALUE"""),"Kyren")</f>
        <v>Kyren</v>
      </c>
      <c r="E2674" s="6" t="str">
        <f>IFERROR(__xludf.DUMMYFUNCTION("""COMPUTED_VALUE"""),"")</f>
        <v/>
      </c>
      <c r="F2674" s="6" t="str">
        <f>IFERROR(__xludf.DUMMYFUNCTION("""COMPUTED_VALUE"""),"Harvey")</f>
        <v>Harvey</v>
      </c>
      <c r="G2674" s="6" t="str">
        <f>IFERROR(__xludf.DUMMYFUNCTION("""COMPUTED_VALUE"""),"08/04/2011")</f>
        <v>08/04/2011</v>
      </c>
      <c r="H2674" s="6" t="str">
        <f>IFERROR(__xludf.DUMMYFUNCTION("""COMPUTED_VALUE"""),"Self Identify")</f>
        <v>Self Identify</v>
      </c>
      <c r="I2674" s="6" t="str">
        <f>IFERROR(__xludf.DUMMYFUNCTION("""COMPUTED_VALUE"""),"High School")</f>
        <v>High School</v>
      </c>
      <c r="J2674" s="6" t="str">
        <f>IFERROR(__xludf.DUMMYFUNCTION("""COMPUTED_VALUE"""),"9")</f>
        <v>9</v>
      </c>
      <c r="K2674" s="6" t="str">
        <f>IFERROR(__xludf.DUMMYFUNCTION("""COMPUTED_VALUE"""),"kyren.harvey@2hourlearning.com")</f>
        <v>kyren.harvey@2hourlearning.com</v>
      </c>
      <c r="L2674" s="6" t="str">
        <f>IFERROR(__xludf.DUMMYFUNCTION("""COMPUTED_VALUE"""),"Reading Community City School District")</f>
        <v>Reading Community City School District</v>
      </c>
      <c r="M2674" s="6" t="str">
        <f>IFERROR(__xludf.DUMMYFUNCTION("""COMPUTED_VALUE"""),"High school")</f>
        <v>High school</v>
      </c>
      <c r="N2674" s="6" t="str">
        <f>IFERROR(__xludf.DUMMYFUNCTION("""COMPUTED_VALUE"""),"")</f>
        <v/>
      </c>
      <c r="O2674" s="87" t="str">
        <f>IFERROR(__xludf.DUMMYFUNCTION("""COMPUTED_VALUE"""),"https://drive.google.com/drive/folders/10T2cTQHqEJZqE-st6uFKPoI?usp=share_link")</f>
        <v>https://drive.google.com/drive/folders/10T2cTQHqEJZqE-st6uFKPoI?usp=share_link</v>
      </c>
      <c r="P2674" s="6" t="str">
        <f>IFERROR(__xludf.DUMMYFUNCTION("""COMPUTED_VALUE"""),"Kyren Harvey")</f>
        <v>Kyren Harvey</v>
      </c>
      <c r="Q2674" s="6" t="str">
        <f>IFERROR(__xludf.DUMMYFUNCTION("""COMPUTED_VALUE"""),"HS")</f>
        <v>HS</v>
      </c>
      <c r="R2674" s="6">
        <f>IFERROR(__xludf.DUMMYFUNCTION("""COMPUTED_VALUE"""),0.0)</f>
        <v>0</v>
      </c>
      <c r="S2674" s="6" t="str">
        <f>IFERROR(__xludf.DUMMYFUNCTION("""COMPUTED_VALUE"""),"Morgan Kron")</f>
        <v>Morgan Kron</v>
      </c>
      <c r="T2674" s="6" t="str">
        <f>IFERROR(__xludf.DUMMYFUNCTION("""COMPUTED_VALUE"""),"mkron@readingschools.org")</f>
        <v>mkron@readingschools.org</v>
      </c>
      <c r="U2674" s="6" t="str">
        <f>IFERROR(__xludf.DUMMYFUNCTION("""COMPUTED_VALUE"""),"9")</f>
        <v>9</v>
      </c>
      <c r="V2674" s="6" t="str">
        <f>IFERROR(__xludf.DUMMYFUNCTION("""COMPUTED_VALUE"""),"English")</f>
        <v>English</v>
      </c>
      <c r="W2674" s="6" t="str">
        <f>IFERROR(__xludf.DUMMYFUNCTION("""COMPUTED_VALUE"""),"[]")</f>
        <v>[]</v>
      </c>
      <c r="X2674" s="6" t="str">
        <f>IFERROR(__xludf.DUMMYFUNCTION("""COMPUTED_VALUE"""),"Enrolled")</f>
        <v>Enrolled</v>
      </c>
    </row>
    <row r="2675">
      <c r="A2675" s="6" t="str">
        <f>IFERROR(__xludf.DUMMYFUNCTION("""COMPUTED_VALUE"""),"056-5487")</f>
        <v>056-5487</v>
      </c>
      <c r="B2675" s="6" t="str">
        <f>IFERROR(__xludf.DUMMYFUNCTION("""COMPUTED_VALUE"""),"56")</f>
        <v>56</v>
      </c>
      <c r="C2675" s="6" t="str">
        <f>IFERROR(__xludf.DUMMYFUNCTION("""COMPUTED_VALUE"""),"5487")</f>
        <v>5487</v>
      </c>
      <c r="D2675" s="6" t="str">
        <f>IFERROR(__xludf.DUMMYFUNCTION("""COMPUTED_VALUE"""),"Lauren")</f>
        <v>Lauren</v>
      </c>
      <c r="E2675" s="6" t="str">
        <f>IFERROR(__xludf.DUMMYFUNCTION("""COMPUTED_VALUE"""),"")</f>
        <v/>
      </c>
      <c r="F2675" s="6" t="str">
        <f>IFERROR(__xludf.DUMMYFUNCTION("""COMPUTED_VALUE"""),"Rogers")</f>
        <v>Rogers</v>
      </c>
      <c r="G2675" s="6" t="str">
        <f>IFERROR(__xludf.DUMMYFUNCTION("""COMPUTED_VALUE"""),"09/27/2010")</f>
        <v>09/27/2010</v>
      </c>
      <c r="H2675" s="6" t="str">
        <f>IFERROR(__xludf.DUMMYFUNCTION("""COMPUTED_VALUE"""),"Self Identify")</f>
        <v>Self Identify</v>
      </c>
      <c r="I2675" s="6" t="str">
        <f>IFERROR(__xludf.DUMMYFUNCTION("""COMPUTED_VALUE"""),"High School")</f>
        <v>High School</v>
      </c>
      <c r="J2675" s="6" t="str">
        <f>IFERROR(__xludf.DUMMYFUNCTION("""COMPUTED_VALUE"""),"9")</f>
        <v>9</v>
      </c>
      <c r="K2675" s="6" t="str">
        <f>IFERROR(__xludf.DUMMYFUNCTION("""COMPUTED_VALUE"""),"lauren.rogers@2hourlearning.com")</f>
        <v>lauren.rogers@2hourlearning.com</v>
      </c>
      <c r="L2675" s="6" t="str">
        <f>IFERROR(__xludf.DUMMYFUNCTION("""COMPUTED_VALUE"""),"Reading Community City School District")</f>
        <v>Reading Community City School District</v>
      </c>
      <c r="M2675" s="6" t="str">
        <f>IFERROR(__xludf.DUMMYFUNCTION("""COMPUTED_VALUE"""),"High school")</f>
        <v>High school</v>
      </c>
      <c r="N2675" s="6" t="str">
        <f>IFERROR(__xludf.DUMMYFUNCTION("""COMPUTED_VALUE"""),"")</f>
        <v/>
      </c>
      <c r="O2675" s="87" t="str">
        <f>IFERROR(__xludf.DUMMYFUNCTION("""COMPUTED_VALUE"""),"https://drive.google.com/drive/folders/10T2cTQHqEJZqE-st6uFKPoI?usp=share_link")</f>
        <v>https://drive.google.com/drive/folders/10T2cTQHqEJZqE-st6uFKPoI?usp=share_link</v>
      </c>
      <c r="P2675" s="6" t="str">
        <f>IFERROR(__xludf.DUMMYFUNCTION("""COMPUTED_VALUE"""),"Lauren Rogers")</f>
        <v>Lauren Rogers</v>
      </c>
      <c r="Q2675" s="6" t="str">
        <f>IFERROR(__xludf.DUMMYFUNCTION("""COMPUTED_VALUE"""),"HS")</f>
        <v>HS</v>
      </c>
      <c r="R2675" s="6">
        <f>IFERROR(__xludf.DUMMYFUNCTION("""COMPUTED_VALUE"""),0.0)</f>
        <v>0</v>
      </c>
      <c r="S2675" s="6" t="str">
        <f>IFERROR(__xludf.DUMMYFUNCTION("""COMPUTED_VALUE"""),"Morgan Kron")</f>
        <v>Morgan Kron</v>
      </c>
      <c r="T2675" s="6" t="str">
        <f>IFERROR(__xludf.DUMMYFUNCTION("""COMPUTED_VALUE"""),"mkron@readingschools.org")</f>
        <v>mkron@readingschools.org</v>
      </c>
      <c r="U2675" s="6" t="str">
        <f>IFERROR(__xludf.DUMMYFUNCTION("""COMPUTED_VALUE"""),"9")</f>
        <v>9</v>
      </c>
      <c r="V2675" s="6" t="str">
        <f>IFERROR(__xludf.DUMMYFUNCTION("""COMPUTED_VALUE"""),"English")</f>
        <v>English</v>
      </c>
      <c r="W2675" s="6" t="str">
        <f>IFERROR(__xludf.DUMMYFUNCTION("""COMPUTED_VALUE"""),"[]")</f>
        <v>[]</v>
      </c>
      <c r="X2675" s="6" t="str">
        <f>IFERROR(__xludf.DUMMYFUNCTION("""COMPUTED_VALUE"""),"Enrolled")</f>
        <v>Enrolled</v>
      </c>
    </row>
    <row r="2676">
      <c r="A2676" s="6" t="str">
        <f>IFERROR(__xludf.DUMMYFUNCTION("""COMPUTED_VALUE"""),"056-5488")</f>
        <v>056-5488</v>
      </c>
      <c r="B2676" s="6" t="str">
        <f>IFERROR(__xludf.DUMMYFUNCTION("""COMPUTED_VALUE"""),"56")</f>
        <v>56</v>
      </c>
      <c r="C2676" s="6" t="str">
        <f>IFERROR(__xludf.DUMMYFUNCTION("""COMPUTED_VALUE"""),"5488")</f>
        <v>5488</v>
      </c>
      <c r="D2676" s="6" t="str">
        <f>IFERROR(__xludf.DUMMYFUNCTION("""COMPUTED_VALUE"""),"Logan")</f>
        <v>Logan</v>
      </c>
      <c r="E2676" s="6" t="str">
        <f>IFERROR(__xludf.DUMMYFUNCTION("""COMPUTED_VALUE"""),"")</f>
        <v/>
      </c>
      <c r="F2676" s="6" t="str">
        <f>IFERROR(__xludf.DUMMYFUNCTION("""COMPUTED_VALUE"""),"Thompson")</f>
        <v>Thompson</v>
      </c>
      <c r="G2676" s="6" t="str">
        <f>IFERROR(__xludf.DUMMYFUNCTION("""COMPUTED_VALUE"""),"02/17/2010")</f>
        <v>02/17/2010</v>
      </c>
      <c r="H2676" s="6" t="str">
        <f>IFERROR(__xludf.DUMMYFUNCTION("""COMPUTED_VALUE"""),"Self Identify")</f>
        <v>Self Identify</v>
      </c>
      <c r="I2676" s="6" t="str">
        <f>IFERROR(__xludf.DUMMYFUNCTION("""COMPUTED_VALUE"""),"High School")</f>
        <v>High School</v>
      </c>
      <c r="J2676" s="6" t="str">
        <f>IFERROR(__xludf.DUMMYFUNCTION("""COMPUTED_VALUE"""),"9")</f>
        <v>9</v>
      </c>
      <c r="K2676" s="6" t="str">
        <f>IFERROR(__xludf.DUMMYFUNCTION("""COMPUTED_VALUE"""),"logan.thompson@2hourlearning.com")</f>
        <v>logan.thompson@2hourlearning.com</v>
      </c>
      <c r="L2676" s="6" t="str">
        <f>IFERROR(__xludf.DUMMYFUNCTION("""COMPUTED_VALUE"""),"Reading Community City School District")</f>
        <v>Reading Community City School District</v>
      </c>
      <c r="M2676" s="6" t="str">
        <f>IFERROR(__xludf.DUMMYFUNCTION("""COMPUTED_VALUE"""),"High school")</f>
        <v>High school</v>
      </c>
      <c r="N2676" s="6" t="str">
        <f>IFERROR(__xludf.DUMMYFUNCTION("""COMPUTED_VALUE"""),"")</f>
        <v/>
      </c>
      <c r="O2676" s="87" t="str">
        <f>IFERROR(__xludf.DUMMYFUNCTION("""COMPUTED_VALUE"""),"https://drive.google.com/drive/folders/10T2cTQHqEJZqE-st6uFKPoI?usp=share_link")</f>
        <v>https://drive.google.com/drive/folders/10T2cTQHqEJZqE-st6uFKPoI?usp=share_link</v>
      </c>
      <c r="P2676" s="6" t="str">
        <f>IFERROR(__xludf.DUMMYFUNCTION("""COMPUTED_VALUE"""),"Logan Thompson")</f>
        <v>Logan Thompson</v>
      </c>
      <c r="Q2676" s="6" t="str">
        <f>IFERROR(__xludf.DUMMYFUNCTION("""COMPUTED_VALUE"""),"HS")</f>
        <v>HS</v>
      </c>
      <c r="R2676" s="6">
        <f>IFERROR(__xludf.DUMMYFUNCTION("""COMPUTED_VALUE"""),0.0)</f>
        <v>0</v>
      </c>
      <c r="S2676" s="6" t="str">
        <f>IFERROR(__xludf.DUMMYFUNCTION("""COMPUTED_VALUE"""),"Morgan Kron")</f>
        <v>Morgan Kron</v>
      </c>
      <c r="T2676" s="6" t="str">
        <f>IFERROR(__xludf.DUMMYFUNCTION("""COMPUTED_VALUE"""),"mkron@readingschools.org")</f>
        <v>mkron@readingschools.org</v>
      </c>
      <c r="U2676" s="6" t="str">
        <f>IFERROR(__xludf.DUMMYFUNCTION("""COMPUTED_VALUE"""),"9")</f>
        <v>9</v>
      </c>
      <c r="V2676" s="6" t="str">
        <f>IFERROR(__xludf.DUMMYFUNCTION("""COMPUTED_VALUE"""),"English")</f>
        <v>English</v>
      </c>
      <c r="W2676" s="6" t="str">
        <f>IFERROR(__xludf.DUMMYFUNCTION("""COMPUTED_VALUE"""),"[]")</f>
        <v>[]</v>
      </c>
      <c r="X2676" s="6" t="str">
        <f>IFERROR(__xludf.DUMMYFUNCTION("""COMPUTED_VALUE"""),"Enrolled")</f>
        <v>Enrolled</v>
      </c>
    </row>
    <row r="2677">
      <c r="A2677" s="6" t="str">
        <f>IFERROR(__xludf.DUMMYFUNCTION("""COMPUTED_VALUE"""),"056-5489")</f>
        <v>056-5489</v>
      </c>
      <c r="B2677" s="6" t="str">
        <f>IFERROR(__xludf.DUMMYFUNCTION("""COMPUTED_VALUE"""),"56")</f>
        <v>56</v>
      </c>
      <c r="C2677" s="6" t="str">
        <f>IFERROR(__xludf.DUMMYFUNCTION("""COMPUTED_VALUE"""),"5489")</f>
        <v>5489</v>
      </c>
      <c r="D2677" s="6" t="str">
        <f>IFERROR(__xludf.DUMMYFUNCTION("""COMPUTED_VALUE"""),"Mahmod")</f>
        <v>Mahmod</v>
      </c>
      <c r="E2677" s="6" t="str">
        <f>IFERROR(__xludf.DUMMYFUNCTION("""COMPUTED_VALUE"""),"")</f>
        <v/>
      </c>
      <c r="F2677" s="6" t="str">
        <f>IFERROR(__xludf.DUMMYFUNCTION("""COMPUTED_VALUE"""),"Almahros")</f>
        <v>Almahros</v>
      </c>
      <c r="G2677" s="6" t="str">
        <f>IFERROR(__xludf.DUMMYFUNCTION("""COMPUTED_VALUE"""),"01/01/2011")</f>
        <v>01/01/2011</v>
      </c>
      <c r="H2677" s="6" t="str">
        <f>IFERROR(__xludf.DUMMYFUNCTION("""COMPUTED_VALUE"""),"Self Identify")</f>
        <v>Self Identify</v>
      </c>
      <c r="I2677" s="6" t="str">
        <f>IFERROR(__xludf.DUMMYFUNCTION("""COMPUTED_VALUE"""),"High School")</f>
        <v>High School</v>
      </c>
      <c r="J2677" s="6" t="str">
        <f>IFERROR(__xludf.DUMMYFUNCTION("""COMPUTED_VALUE"""),"9")</f>
        <v>9</v>
      </c>
      <c r="K2677" s="6" t="str">
        <f>IFERROR(__xludf.DUMMYFUNCTION("""COMPUTED_VALUE"""),"mahmod.almahros@2hourlearning.com")</f>
        <v>mahmod.almahros@2hourlearning.com</v>
      </c>
      <c r="L2677" s="6" t="str">
        <f>IFERROR(__xludf.DUMMYFUNCTION("""COMPUTED_VALUE"""),"Reading Community City School District")</f>
        <v>Reading Community City School District</v>
      </c>
      <c r="M2677" s="6" t="str">
        <f>IFERROR(__xludf.DUMMYFUNCTION("""COMPUTED_VALUE"""),"High school")</f>
        <v>High school</v>
      </c>
      <c r="N2677" s="6" t="str">
        <f>IFERROR(__xludf.DUMMYFUNCTION("""COMPUTED_VALUE"""),"")</f>
        <v/>
      </c>
      <c r="O2677" s="87" t="str">
        <f>IFERROR(__xludf.DUMMYFUNCTION("""COMPUTED_VALUE"""),"https://drive.google.com/drive/folders/10T2cTQHqEJZqE-st6uFKPoI?usp=share_link")</f>
        <v>https://drive.google.com/drive/folders/10T2cTQHqEJZqE-st6uFKPoI?usp=share_link</v>
      </c>
      <c r="P2677" s="6" t="str">
        <f>IFERROR(__xludf.DUMMYFUNCTION("""COMPUTED_VALUE"""),"Mahmod Almahros")</f>
        <v>Mahmod Almahros</v>
      </c>
      <c r="Q2677" s="6" t="str">
        <f>IFERROR(__xludf.DUMMYFUNCTION("""COMPUTED_VALUE"""),"HS")</f>
        <v>HS</v>
      </c>
      <c r="R2677" s="6">
        <f>IFERROR(__xludf.DUMMYFUNCTION("""COMPUTED_VALUE"""),0.0)</f>
        <v>0</v>
      </c>
      <c r="S2677" s="6" t="str">
        <f>IFERROR(__xludf.DUMMYFUNCTION("""COMPUTED_VALUE"""),"Morgan Kron")</f>
        <v>Morgan Kron</v>
      </c>
      <c r="T2677" s="6" t="str">
        <f>IFERROR(__xludf.DUMMYFUNCTION("""COMPUTED_VALUE"""),"mkron@readingschools.org")</f>
        <v>mkron@readingschools.org</v>
      </c>
      <c r="U2677" s="6" t="str">
        <f>IFERROR(__xludf.DUMMYFUNCTION("""COMPUTED_VALUE"""),"9")</f>
        <v>9</v>
      </c>
      <c r="V2677" s="6" t="str">
        <f>IFERROR(__xludf.DUMMYFUNCTION("""COMPUTED_VALUE"""),"English")</f>
        <v>English</v>
      </c>
      <c r="W2677" s="6" t="str">
        <f>IFERROR(__xludf.DUMMYFUNCTION("""COMPUTED_VALUE"""),"[]")</f>
        <v>[]</v>
      </c>
      <c r="X2677" s="6" t="str">
        <f>IFERROR(__xludf.DUMMYFUNCTION("""COMPUTED_VALUE"""),"Enrolled")</f>
        <v>Enrolled</v>
      </c>
    </row>
    <row r="2678">
      <c r="A2678" s="6" t="str">
        <f>IFERROR(__xludf.DUMMYFUNCTION("""COMPUTED_VALUE"""),"056-5490")</f>
        <v>056-5490</v>
      </c>
      <c r="B2678" s="6" t="str">
        <f>IFERROR(__xludf.DUMMYFUNCTION("""COMPUTED_VALUE"""),"56")</f>
        <v>56</v>
      </c>
      <c r="C2678" s="6" t="str">
        <f>IFERROR(__xludf.DUMMYFUNCTION("""COMPUTED_VALUE"""),"5490")</f>
        <v>5490</v>
      </c>
      <c r="D2678" s="6" t="str">
        <f>IFERROR(__xludf.DUMMYFUNCTION("""COMPUTED_VALUE"""),"Makayla")</f>
        <v>Makayla</v>
      </c>
      <c r="E2678" s="6" t="str">
        <f>IFERROR(__xludf.DUMMYFUNCTION("""COMPUTED_VALUE"""),"")</f>
        <v/>
      </c>
      <c r="F2678" s="6" t="str">
        <f>IFERROR(__xludf.DUMMYFUNCTION("""COMPUTED_VALUE"""),"Hans")</f>
        <v>Hans</v>
      </c>
      <c r="G2678" s="6" t="str">
        <f>IFERROR(__xludf.DUMMYFUNCTION("""COMPUTED_VALUE"""),"07/22/2010")</f>
        <v>07/22/2010</v>
      </c>
      <c r="H2678" s="6" t="str">
        <f>IFERROR(__xludf.DUMMYFUNCTION("""COMPUTED_VALUE"""),"Self Identify")</f>
        <v>Self Identify</v>
      </c>
      <c r="I2678" s="6" t="str">
        <f>IFERROR(__xludf.DUMMYFUNCTION("""COMPUTED_VALUE"""),"High School")</f>
        <v>High School</v>
      </c>
      <c r="J2678" s="6" t="str">
        <f>IFERROR(__xludf.DUMMYFUNCTION("""COMPUTED_VALUE"""),"9")</f>
        <v>9</v>
      </c>
      <c r="K2678" s="6" t="str">
        <f>IFERROR(__xludf.DUMMYFUNCTION("""COMPUTED_VALUE"""),"makayla.hans@2hourlearning.com")</f>
        <v>makayla.hans@2hourlearning.com</v>
      </c>
      <c r="L2678" s="6" t="str">
        <f>IFERROR(__xludf.DUMMYFUNCTION("""COMPUTED_VALUE"""),"Reading Community City School District")</f>
        <v>Reading Community City School District</v>
      </c>
      <c r="M2678" s="6" t="str">
        <f>IFERROR(__xludf.DUMMYFUNCTION("""COMPUTED_VALUE"""),"High school")</f>
        <v>High school</v>
      </c>
      <c r="N2678" s="6" t="str">
        <f>IFERROR(__xludf.DUMMYFUNCTION("""COMPUTED_VALUE"""),"")</f>
        <v/>
      </c>
      <c r="O2678" s="87" t="str">
        <f>IFERROR(__xludf.DUMMYFUNCTION("""COMPUTED_VALUE"""),"https://drive.google.com/drive/folders/10T2cTQHqEJZqE-st6uFKPoI?usp=share_link")</f>
        <v>https://drive.google.com/drive/folders/10T2cTQHqEJZqE-st6uFKPoI?usp=share_link</v>
      </c>
      <c r="P2678" s="6" t="str">
        <f>IFERROR(__xludf.DUMMYFUNCTION("""COMPUTED_VALUE"""),"Makayla Hans")</f>
        <v>Makayla Hans</v>
      </c>
      <c r="Q2678" s="6" t="str">
        <f>IFERROR(__xludf.DUMMYFUNCTION("""COMPUTED_VALUE"""),"HS")</f>
        <v>HS</v>
      </c>
      <c r="R2678" s="6">
        <f>IFERROR(__xludf.DUMMYFUNCTION("""COMPUTED_VALUE"""),0.0)</f>
        <v>0</v>
      </c>
      <c r="S2678" s="6" t="str">
        <f>IFERROR(__xludf.DUMMYFUNCTION("""COMPUTED_VALUE"""),"Morgan Kron")</f>
        <v>Morgan Kron</v>
      </c>
      <c r="T2678" s="6" t="str">
        <f>IFERROR(__xludf.DUMMYFUNCTION("""COMPUTED_VALUE"""),"mkron@readingschools.org")</f>
        <v>mkron@readingschools.org</v>
      </c>
      <c r="U2678" s="6" t="str">
        <f>IFERROR(__xludf.DUMMYFUNCTION("""COMPUTED_VALUE"""),"9")</f>
        <v>9</v>
      </c>
      <c r="V2678" s="6" t="str">
        <f>IFERROR(__xludf.DUMMYFUNCTION("""COMPUTED_VALUE"""),"English")</f>
        <v>English</v>
      </c>
      <c r="W2678" s="6" t="str">
        <f>IFERROR(__xludf.DUMMYFUNCTION("""COMPUTED_VALUE"""),"[]")</f>
        <v>[]</v>
      </c>
      <c r="X2678" s="6" t="str">
        <f>IFERROR(__xludf.DUMMYFUNCTION("""COMPUTED_VALUE"""),"Enrolled")</f>
        <v>Enrolled</v>
      </c>
    </row>
    <row r="2679">
      <c r="A2679" s="6" t="str">
        <f>IFERROR(__xludf.DUMMYFUNCTION("""COMPUTED_VALUE"""),"056-5491")</f>
        <v>056-5491</v>
      </c>
      <c r="B2679" s="6" t="str">
        <f>IFERROR(__xludf.DUMMYFUNCTION("""COMPUTED_VALUE"""),"56")</f>
        <v>56</v>
      </c>
      <c r="C2679" s="6" t="str">
        <f>IFERROR(__xludf.DUMMYFUNCTION("""COMPUTED_VALUE"""),"5491")</f>
        <v>5491</v>
      </c>
      <c r="D2679" s="6" t="str">
        <f>IFERROR(__xludf.DUMMYFUNCTION("""COMPUTED_VALUE"""),"Mallory")</f>
        <v>Mallory</v>
      </c>
      <c r="E2679" s="6" t="str">
        <f>IFERROR(__xludf.DUMMYFUNCTION("""COMPUTED_VALUE"""),"")</f>
        <v/>
      </c>
      <c r="F2679" s="6" t="str">
        <f>IFERROR(__xludf.DUMMYFUNCTION("""COMPUTED_VALUE"""),"Duchaine")</f>
        <v>Duchaine</v>
      </c>
      <c r="G2679" s="6" t="str">
        <f>IFERROR(__xludf.DUMMYFUNCTION("""COMPUTED_VALUE"""),"02/23/2011")</f>
        <v>02/23/2011</v>
      </c>
      <c r="H2679" s="6" t="str">
        <f>IFERROR(__xludf.DUMMYFUNCTION("""COMPUTED_VALUE"""),"Self Identify")</f>
        <v>Self Identify</v>
      </c>
      <c r="I2679" s="6" t="str">
        <f>IFERROR(__xludf.DUMMYFUNCTION("""COMPUTED_VALUE"""),"High School")</f>
        <v>High School</v>
      </c>
      <c r="J2679" s="6" t="str">
        <f>IFERROR(__xludf.DUMMYFUNCTION("""COMPUTED_VALUE"""),"9")</f>
        <v>9</v>
      </c>
      <c r="K2679" s="6" t="str">
        <f>IFERROR(__xludf.DUMMYFUNCTION("""COMPUTED_VALUE"""),"mallory.duchaine@2hourlearning.com")</f>
        <v>mallory.duchaine@2hourlearning.com</v>
      </c>
      <c r="L2679" s="6" t="str">
        <f>IFERROR(__xludf.DUMMYFUNCTION("""COMPUTED_VALUE"""),"Reading Community City School District")</f>
        <v>Reading Community City School District</v>
      </c>
      <c r="M2679" s="6" t="str">
        <f>IFERROR(__xludf.DUMMYFUNCTION("""COMPUTED_VALUE"""),"High school")</f>
        <v>High school</v>
      </c>
      <c r="N2679" s="6" t="str">
        <f>IFERROR(__xludf.DUMMYFUNCTION("""COMPUTED_VALUE"""),"")</f>
        <v/>
      </c>
      <c r="O2679" s="87" t="str">
        <f>IFERROR(__xludf.DUMMYFUNCTION("""COMPUTED_VALUE"""),"https://drive.google.com/drive/folders/10T2cTQHqEJZqE-st6uFKPoI?usp=share_link")</f>
        <v>https://drive.google.com/drive/folders/10T2cTQHqEJZqE-st6uFKPoI?usp=share_link</v>
      </c>
      <c r="P2679" s="6" t="str">
        <f>IFERROR(__xludf.DUMMYFUNCTION("""COMPUTED_VALUE"""),"Mallory Duchaine")</f>
        <v>Mallory Duchaine</v>
      </c>
      <c r="Q2679" s="6" t="str">
        <f>IFERROR(__xludf.DUMMYFUNCTION("""COMPUTED_VALUE"""),"HS")</f>
        <v>HS</v>
      </c>
      <c r="R2679" s="6">
        <f>IFERROR(__xludf.DUMMYFUNCTION("""COMPUTED_VALUE"""),0.0)</f>
        <v>0</v>
      </c>
      <c r="S2679" s="6" t="str">
        <f>IFERROR(__xludf.DUMMYFUNCTION("""COMPUTED_VALUE"""),"Morgan Kron")</f>
        <v>Morgan Kron</v>
      </c>
      <c r="T2679" s="6" t="str">
        <f>IFERROR(__xludf.DUMMYFUNCTION("""COMPUTED_VALUE"""),"mkron@readingschools.org")</f>
        <v>mkron@readingschools.org</v>
      </c>
      <c r="U2679" s="6" t="str">
        <f>IFERROR(__xludf.DUMMYFUNCTION("""COMPUTED_VALUE"""),"9")</f>
        <v>9</v>
      </c>
      <c r="V2679" s="6" t="str">
        <f>IFERROR(__xludf.DUMMYFUNCTION("""COMPUTED_VALUE"""),"English")</f>
        <v>English</v>
      </c>
      <c r="W2679" s="6" t="str">
        <f>IFERROR(__xludf.DUMMYFUNCTION("""COMPUTED_VALUE"""),"[]")</f>
        <v>[]</v>
      </c>
      <c r="X2679" s="6" t="str">
        <f>IFERROR(__xludf.DUMMYFUNCTION("""COMPUTED_VALUE"""),"Enrolled")</f>
        <v>Enrolled</v>
      </c>
    </row>
    <row r="2680">
      <c r="A2680" s="6" t="str">
        <f>IFERROR(__xludf.DUMMYFUNCTION("""COMPUTED_VALUE"""),"056-5492")</f>
        <v>056-5492</v>
      </c>
      <c r="B2680" s="6" t="str">
        <f>IFERROR(__xludf.DUMMYFUNCTION("""COMPUTED_VALUE"""),"56")</f>
        <v>56</v>
      </c>
      <c r="C2680" s="6" t="str">
        <f>IFERROR(__xludf.DUMMYFUNCTION("""COMPUTED_VALUE"""),"5492")</f>
        <v>5492</v>
      </c>
      <c r="D2680" s="6" t="str">
        <f>IFERROR(__xludf.DUMMYFUNCTION("""COMPUTED_VALUE"""),"Marqee")</f>
        <v>Marqee</v>
      </c>
      <c r="E2680" s="6" t="str">
        <f>IFERROR(__xludf.DUMMYFUNCTION("""COMPUTED_VALUE"""),"")</f>
        <v/>
      </c>
      <c r="F2680" s="6" t="str">
        <f>IFERROR(__xludf.DUMMYFUNCTION("""COMPUTED_VALUE"""),"Smith")</f>
        <v>Smith</v>
      </c>
      <c r="G2680" s="6" t="str">
        <f>IFERROR(__xludf.DUMMYFUNCTION("""COMPUTED_VALUE"""),"10/15/2010")</f>
        <v>10/15/2010</v>
      </c>
      <c r="H2680" s="6" t="str">
        <f>IFERROR(__xludf.DUMMYFUNCTION("""COMPUTED_VALUE"""),"Self Identify")</f>
        <v>Self Identify</v>
      </c>
      <c r="I2680" s="6" t="str">
        <f>IFERROR(__xludf.DUMMYFUNCTION("""COMPUTED_VALUE"""),"High School")</f>
        <v>High School</v>
      </c>
      <c r="J2680" s="6" t="str">
        <f>IFERROR(__xludf.DUMMYFUNCTION("""COMPUTED_VALUE"""),"9")</f>
        <v>9</v>
      </c>
      <c r="K2680" s="6" t="str">
        <f>IFERROR(__xludf.DUMMYFUNCTION("""COMPUTED_VALUE"""),"marqee.smith@2hourlearning.com")</f>
        <v>marqee.smith@2hourlearning.com</v>
      </c>
      <c r="L2680" s="6" t="str">
        <f>IFERROR(__xludf.DUMMYFUNCTION("""COMPUTED_VALUE"""),"Reading Community City School District")</f>
        <v>Reading Community City School District</v>
      </c>
      <c r="M2680" s="6" t="str">
        <f>IFERROR(__xludf.DUMMYFUNCTION("""COMPUTED_VALUE"""),"High school")</f>
        <v>High school</v>
      </c>
      <c r="N2680" s="6" t="str">
        <f>IFERROR(__xludf.DUMMYFUNCTION("""COMPUTED_VALUE"""),"")</f>
        <v/>
      </c>
      <c r="O2680" s="87" t="str">
        <f>IFERROR(__xludf.DUMMYFUNCTION("""COMPUTED_VALUE"""),"https://drive.google.com/drive/folders/10T2cTQHqEJZqE-st6uFKPoI?usp=share_link")</f>
        <v>https://drive.google.com/drive/folders/10T2cTQHqEJZqE-st6uFKPoI?usp=share_link</v>
      </c>
      <c r="P2680" s="6" t="str">
        <f>IFERROR(__xludf.DUMMYFUNCTION("""COMPUTED_VALUE"""),"Marqee Smith")</f>
        <v>Marqee Smith</v>
      </c>
      <c r="Q2680" s="6" t="str">
        <f>IFERROR(__xludf.DUMMYFUNCTION("""COMPUTED_VALUE"""),"HS")</f>
        <v>HS</v>
      </c>
      <c r="R2680" s="6">
        <f>IFERROR(__xludf.DUMMYFUNCTION("""COMPUTED_VALUE"""),0.0)</f>
        <v>0</v>
      </c>
      <c r="S2680" s="6" t="str">
        <f>IFERROR(__xludf.DUMMYFUNCTION("""COMPUTED_VALUE"""),"Morgan Kron")</f>
        <v>Morgan Kron</v>
      </c>
      <c r="T2680" s="6" t="str">
        <f>IFERROR(__xludf.DUMMYFUNCTION("""COMPUTED_VALUE"""),"mkron@readingschools.org")</f>
        <v>mkron@readingschools.org</v>
      </c>
      <c r="U2680" s="6" t="str">
        <f>IFERROR(__xludf.DUMMYFUNCTION("""COMPUTED_VALUE"""),"9")</f>
        <v>9</v>
      </c>
      <c r="V2680" s="6" t="str">
        <f>IFERROR(__xludf.DUMMYFUNCTION("""COMPUTED_VALUE"""),"English")</f>
        <v>English</v>
      </c>
      <c r="W2680" s="6" t="str">
        <f>IFERROR(__xludf.DUMMYFUNCTION("""COMPUTED_VALUE"""),"[]")</f>
        <v>[]</v>
      </c>
      <c r="X2680" s="6" t="str">
        <f>IFERROR(__xludf.DUMMYFUNCTION("""COMPUTED_VALUE"""),"Enrolled")</f>
        <v>Enrolled</v>
      </c>
    </row>
    <row r="2681">
      <c r="A2681" s="6" t="str">
        <f>IFERROR(__xludf.DUMMYFUNCTION("""COMPUTED_VALUE"""),"056-5493")</f>
        <v>056-5493</v>
      </c>
      <c r="B2681" s="6" t="str">
        <f>IFERROR(__xludf.DUMMYFUNCTION("""COMPUTED_VALUE"""),"56")</f>
        <v>56</v>
      </c>
      <c r="C2681" s="6" t="str">
        <f>IFERROR(__xludf.DUMMYFUNCTION("""COMPUTED_VALUE"""),"5493")</f>
        <v>5493</v>
      </c>
      <c r="D2681" s="6" t="str">
        <f>IFERROR(__xludf.DUMMYFUNCTION("""COMPUTED_VALUE"""),"Mya")</f>
        <v>Mya</v>
      </c>
      <c r="E2681" s="6" t="str">
        <f>IFERROR(__xludf.DUMMYFUNCTION("""COMPUTED_VALUE"""),"")</f>
        <v/>
      </c>
      <c r="F2681" s="6" t="str">
        <f>IFERROR(__xludf.DUMMYFUNCTION("""COMPUTED_VALUE"""),"Montgomery")</f>
        <v>Montgomery</v>
      </c>
      <c r="G2681" s="6" t="str">
        <f>IFERROR(__xludf.DUMMYFUNCTION("""COMPUTED_VALUE"""),"12/04/2010")</f>
        <v>12/04/2010</v>
      </c>
      <c r="H2681" s="6" t="str">
        <f>IFERROR(__xludf.DUMMYFUNCTION("""COMPUTED_VALUE"""),"Self Identify")</f>
        <v>Self Identify</v>
      </c>
      <c r="I2681" s="6" t="str">
        <f>IFERROR(__xludf.DUMMYFUNCTION("""COMPUTED_VALUE"""),"High School")</f>
        <v>High School</v>
      </c>
      <c r="J2681" s="6" t="str">
        <f>IFERROR(__xludf.DUMMYFUNCTION("""COMPUTED_VALUE"""),"9")</f>
        <v>9</v>
      </c>
      <c r="K2681" s="6" t="str">
        <f>IFERROR(__xludf.DUMMYFUNCTION("""COMPUTED_VALUE"""),"mya.montgomery@2hourlearning.com")</f>
        <v>mya.montgomery@2hourlearning.com</v>
      </c>
      <c r="L2681" s="6" t="str">
        <f>IFERROR(__xludf.DUMMYFUNCTION("""COMPUTED_VALUE"""),"Reading Community City School District")</f>
        <v>Reading Community City School District</v>
      </c>
      <c r="M2681" s="6" t="str">
        <f>IFERROR(__xludf.DUMMYFUNCTION("""COMPUTED_VALUE"""),"High school")</f>
        <v>High school</v>
      </c>
      <c r="N2681" s="6" t="str">
        <f>IFERROR(__xludf.DUMMYFUNCTION("""COMPUTED_VALUE"""),"")</f>
        <v/>
      </c>
      <c r="O2681" s="87" t="str">
        <f>IFERROR(__xludf.DUMMYFUNCTION("""COMPUTED_VALUE"""),"https://drive.google.com/drive/folders/10T2cTQHqEJZqE-st6uFKPoI?usp=share_link")</f>
        <v>https://drive.google.com/drive/folders/10T2cTQHqEJZqE-st6uFKPoI?usp=share_link</v>
      </c>
      <c r="P2681" s="6" t="str">
        <f>IFERROR(__xludf.DUMMYFUNCTION("""COMPUTED_VALUE"""),"Mya Montgomery")</f>
        <v>Mya Montgomery</v>
      </c>
      <c r="Q2681" s="6" t="str">
        <f>IFERROR(__xludf.DUMMYFUNCTION("""COMPUTED_VALUE"""),"HS")</f>
        <v>HS</v>
      </c>
      <c r="R2681" s="6">
        <f>IFERROR(__xludf.DUMMYFUNCTION("""COMPUTED_VALUE"""),0.0)</f>
        <v>0</v>
      </c>
      <c r="S2681" s="6" t="str">
        <f>IFERROR(__xludf.DUMMYFUNCTION("""COMPUTED_VALUE"""),"Morgan Kron")</f>
        <v>Morgan Kron</v>
      </c>
      <c r="T2681" s="6" t="str">
        <f>IFERROR(__xludf.DUMMYFUNCTION("""COMPUTED_VALUE"""),"mkron@readingschools.org")</f>
        <v>mkron@readingschools.org</v>
      </c>
      <c r="U2681" s="6" t="str">
        <f>IFERROR(__xludf.DUMMYFUNCTION("""COMPUTED_VALUE"""),"9")</f>
        <v>9</v>
      </c>
      <c r="V2681" s="6" t="str">
        <f>IFERROR(__xludf.DUMMYFUNCTION("""COMPUTED_VALUE"""),"English")</f>
        <v>English</v>
      </c>
      <c r="W2681" s="6" t="str">
        <f>IFERROR(__xludf.DUMMYFUNCTION("""COMPUTED_VALUE"""),"[]")</f>
        <v>[]</v>
      </c>
      <c r="X2681" s="6" t="str">
        <f>IFERROR(__xludf.DUMMYFUNCTION("""COMPUTED_VALUE"""),"Enrolled")</f>
        <v>Enrolled</v>
      </c>
    </row>
    <row r="2682">
      <c r="A2682" s="6" t="str">
        <f>IFERROR(__xludf.DUMMYFUNCTION("""COMPUTED_VALUE"""),"056-5494")</f>
        <v>056-5494</v>
      </c>
      <c r="B2682" s="6" t="str">
        <f>IFERROR(__xludf.DUMMYFUNCTION("""COMPUTED_VALUE"""),"56")</f>
        <v>56</v>
      </c>
      <c r="C2682" s="6" t="str">
        <f>IFERROR(__xludf.DUMMYFUNCTION("""COMPUTED_VALUE"""),"5494")</f>
        <v>5494</v>
      </c>
      <c r="D2682" s="6" t="str">
        <f>IFERROR(__xludf.DUMMYFUNCTION("""COMPUTED_VALUE"""),"Nevaeh")</f>
        <v>Nevaeh</v>
      </c>
      <c r="E2682" s="6" t="str">
        <f>IFERROR(__xludf.DUMMYFUNCTION("""COMPUTED_VALUE"""),"")</f>
        <v/>
      </c>
      <c r="F2682" s="6" t="str">
        <f>IFERROR(__xludf.DUMMYFUNCTION("""COMPUTED_VALUE"""),"Reid")</f>
        <v>Reid</v>
      </c>
      <c r="G2682" s="6" t="str">
        <f>IFERROR(__xludf.DUMMYFUNCTION("""COMPUTED_VALUE"""),"05/25/2011")</f>
        <v>05/25/2011</v>
      </c>
      <c r="H2682" s="6" t="str">
        <f>IFERROR(__xludf.DUMMYFUNCTION("""COMPUTED_VALUE"""),"Self Identify")</f>
        <v>Self Identify</v>
      </c>
      <c r="I2682" s="6" t="str">
        <f>IFERROR(__xludf.DUMMYFUNCTION("""COMPUTED_VALUE"""),"High School")</f>
        <v>High School</v>
      </c>
      <c r="J2682" s="6" t="str">
        <f>IFERROR(__xludf.DUMMYFUNCTION("""COMPUTED_VALUE"""),"9")</f>
        <v>9</v>
      </c>
      <c r="K2682" s="6" t="str">
        <f>IFERROR(__xludf.DUMMYFUNCTION("""COMPUTED_VALUE"""),"nevaeh.reid@2hourlearning.com")</f>
        <v>nevaeh.reid@2hourlearning.com</v>
      </c>
      <c r="L2682" s="6" t="str">
        <f>IFERROR(__xludf.DUMMYFUNCTION("""COMPUTED_VALUE"""),"Reading Community City School District")</f>
        <v>Reading Community City School District</v>
      </c>
      <c r="M2682" s="6" t="str">
        <f>IFERROR(__xludf.DUMMYFUNCTION("""COMPUTED_VALUE"""),"High school")</f>
        <v>High school</v>
      </c>
      <c r="N2682" s="6" t="str">
        <f>IFERROR(__xludf.DUMMYFUNCTION("""COMPUTED_VALUE"""),"")</f>
        <v/>
      </c>
      <c r="O2682" s="87" t="str">
        <f>IFERROR(__xludf.DUMMYFUNCTION("""COMPUTED_VALUE"""),"https://drive.google.com/drive/folders/10T2cTQHqEJZqE-st6uFKPoI?usp=share_link")</f>
        <v>https://drive.google.com/drive/folders/10T2cTQHqEJZqE-st6uFKPoI?usp=share_link</v>
      </c>
      <c r="P2682" s="6" t="str">
        <f>IFERROR(__xludf.DUMMYFUNCTION("""COMPUTED_VALUE"""),"Nevaeh Reid")</f>
        <v>Nevaeh Reid</v>
      </c>
      <c r="Q2682" s="6" t="str">
        <f>IFERROR(__xludf.DUMMYFUNCTION("""COMPUTED_VALUE"""),"HS")</f>
        <v>HS</v>
      </c>
      <c r="R2682" s="6">
        <f>IFERROR(__xludf.DUMMYFUNCTION("""COMPUTED_VALUE"""),0.0)</f>
        <v>0</v>
      </c>
      <c r="S2682" s="6" t="str">
        <f>IFERROR(__xludf.DUMMYFUNCTION("""COMPUTED_VALUE"""),"Morgan Kron")</f>
        <v>Morgan Kron</v>
      </c>
      <c r="T2682" s="6" t="str">
        <f>IFERROR(__xludf.DUMMYFUNCTION("""COMPUTED_VALUE"""),"mkron@readingschools.org")</f>
        <v>mkron@readingschools.org</v>
      </c>
      <c r="U2682" s="6" t="str">
        <f>IFERROR(__xludf.DUMMYFUNCTION("""COMPUTED_VALUE"""),"9")</f>
        <v>9</v>
      </c>
      <c r="V2682" s="6" t="str">
        <f>IFERROR(__xludf.DUMMYFUNCTION("""COMPUTED_VALUE"""),"English")</f>
        <v>English</v>
      </c>
      <c r="W2682" s="6" t="str">
        <f>IFERROR(__xludf.DUMMYFUNCTION("""COMPUTED_VALUE"""),"[]")</f>
        <v>[]</v>
      </c>
      <c r="X2682" s="6" t="str">
        <f>IFERROR(__xludf.DUMMYFUNCTION("""COMPUTED_VALUE"""),"Enrolled")</f>
        <v>Enrolled</v>
      </c>
    </row>
    <row r="2683">
      <c r="A2683" s="6" t="str">
        <f>IFERROR(__xludf.DUMMYFUNCTION("""COMPUTED_VALUE"""),"056-5495")</f>
        <v>056-5495</v>
      </c>
      <c r="B2683" s="6" t="str">
        <f>IFERROR(__xludf.DUMMYFUNCTION("""COMPUTED_VALUE"""),"56")</f>
        <v>56</v>
      </c>
      <c r="C2683" s="6" t="str">
        <f>IFERROR(__xludf.DUMMYFUNCTION("""COMPUTED_VALUE"""),"5495")</f>
        <v>5495</v>
      </c>
      <c r="D2683" s="6" t="str">
        <f>IFERROR(__xludf.DUMMYFUNCTION("""COMPUTED_VALUE"""),"Nick")</f>
        <v>Nick</v>
      </c>
      <c r="E2683" s="6" t="str">
        <f>IFERROR(__xludf.DUMMYFUNCTION("""COMPUTED_VALUE"""),"")</f>
        <v/>
      </c>
      <c r="F2683" s="6" t="str">
        <f>IFERROR(__xludf.DUMMYFUNCTION("""COMPUTED_VALUE"""),"Harris")</f>
        <v>Harris</v>
      </c>
      <c r="G2683" s="6" t="str">
        <f>IFERROR(__xludf.DUMMYFUNCTION("""COMPUTED_VALUE"""),"11/15/2010")</f>
        <v>11/15/2010</v>
      </c>
      <c r="H2683" s="6" t="str">
        <f>IFERROR(__xludf.DUMMYFUNCTION("""COMPUTED_VALUE"""),"Self Identify")</f>
        <v>Self Identify</v>
      </c>
      <c r="I2683" s="6" t="str">
        <f>IFERROR(__xludf.DUMMYFUNCTION("""COMPUTED_VALUE"""),"High School")</f>
        <v>High School</v>
      </c>
      <c r="J2683" s="6" t="str">
        <f>IFERROR(__xludf.DUMMYFUNCTION("""COMPUTED_VALUE"""),"9")</f>
        <v>9</v>
      </c>
      <c r="K2683" s="6" t="str">
        <f>IFERROR(__xludf.DUMMYFUNCTION("""COMPUTED_VALUE"""),"nick.harris@2hourlearning.com")</f>
        <v>nick.harris@2hourlearning.com</v>
      </c>
      <c r="L2683" s="6" t="str">
        <f>IFERROR(__xludf.DUMMYFUNCTION("""COMPUTED_VALUE"""),"Reading Community City School District")</f>
        <v>Reading Community City School District</v>
      </c>
      <c r="M2683" s="6" t="str">
        <f>IFERROR(__xludf.DUMMYFUNCTION("""COMPUTED_VALUE"""),"High school")</f>
        <v>High school</v>
      </c>
      <c r="N2683" s="6" t="str">
        <f>IFERROR(__xludf.DUMMYFUNCTION("""COMPUTED_VALUE"""),"")</f>
        <v/>
      </c>
      <c r="O2683" s="87" t="str">
        <f>IFERROR(__xludf.DUMMYFUNCTION("""COMPUTED_VALUE"""),"https://drive.google.com/drive/folders/10T2cTQHqEJZqE-st6uFKPoI?usp=share_link")</f>
        <v>https://drive.google.com/drive/folders/10T2cTQHqEJZqE-st6uFKPoI?usp=share_link</v>
      </c>
      <c r="P2683" s="6" t="str">
        <f>IFERROR(__xludf.DUMMYFUNCTION("""COMPUTED_VALUE"""),"Nick Harris")</f>
        <v>Nick Harris</v>
      </c>
      <c r="Q2683" s="6" t="str">
        <f>IFERROR(__xludf.DUMMYFUNCTION("""COMPUTED_VALUE"""),"HS")</f>
        <v>HS</v>
      </c>
      <c r="R2683" s="6">
        <f>IFERROR(__xludf.DUMMYFUNCTION("""COMPUTED_VALUE"""),0.0)</f>
        <v>0</v>
      </c>
      <c r="S2683" s="6" t="str">
        <f>IFERROR(__xludf.DUMMYFUNCTION("""COMPUTED_VALUE"""),"Morgan Kron")</f>
        <v>Morgan Kron</v>
      </c>
      <c r="T2683" s="6" t="str">
        <f>IFERROR(__xludf.DUMMYFUNCTION("""COMPUTED_VALUE"""),"mkron@readingschools.org")</f>
        <v>mkron@readingschools.org</v>
      </c>
      <c r="U2683" s="6" t="str">
        <f>IFERROR(__xludf.DUMMYFUNCTION("""COMPUTED_VALUE"""),"9")</f>
        <v>9</v>
      </c>
      <c r="V2683" s="6" t="str">
        <f>IFERROR(__xludf.DUMMYFUNCTION("""COMPUTED_VALUE"""),"English")</f>
        <v>English</v>
      </c>
      <c r="W2683" s="6" t="str">
        <f>IFERROR(__xludf.DUMMYFUNCTION("""COMPUTED_VALUE"""),"[]")</f>
        <v>[]</v>
      </c>
      <c r="X2683" s="6" t="str">
        <f>IFERROR(__xludf.DUMMYFUNCTION("""COMPUTED_VALUE"""),"Enrolled")</f>
        <v>Enrolled</v>
      </c>
    </row>
    <row r="2684">
      <c r="A2684" s="6" t="str">
        <f>IFERROR(__xludf.DUMMYFUNCTION("""COMPUTED_VALUE"""),"056-5496")</f>
        <v>056-5496</v>
      </c>
      <c r="B2684" s="6" t="str">
        <f>IFERROR(__xludf.DUMMYFUNCTION("""COMPUTED_VALUE"""),"56")</f>
        <v>56</v>
      </c>
      <c r="C2684" s="6" t="str">
        <f>IFERROR(__xludf.DUMMYFUNCTION("""COMPUTED_VALUE"""),"5496")</f>
        <v>5496</v>
      </c>
      <c r="D2684" s="6" t="str">
        <f>IFERROR(__xludf.DUMMYFUNCTION("""COMPUTED_VALUE"""),"Trenton")</f>
        <v>Trenton</v>
      </c>
      <c r="E2684" s="6" t="str">
        <f>IFERROR(__xludf.DUMMYFUNCTION("""COMPUTED_VALUE"""),"")</f>
        <v/>
      </c>
      <c r="F2684" s="6" t="str">
        <f>IFERROR(__xludf.DUMMYFUNCTION("""COMPUTED_VALUE"""),"Covert")</f>
        <v>Covert</v>
      </c>
      <c r="G2684" s="6" t="str">
        <f>IFERROR(__xludf.DUMMYFUNCTION("""COMPUTED_VALUE"""),"03/30/2011")</f>
        <v>03/30/2011</v>
      </c>
      <c r="H2684" s="6" t="str">
        <f>IFERROR(__xludf.DUMMYFUNCTION("""COMPUTED_VALUE"""),"Self Identify")</f>
        <v>Self Identify</v>
      </c>
      <c r="I2684" s="6" t="str">
        <f>IFERROR(__xludf.DUMMYFUNCTION("""COMPUTED_VALUE"""),"High School")</f>
        <v>High School</v>
      </c>
      <c r="J2684" s="6" t="str">
        <f>IFERROR(__xludf.DUMMYFUNCTION("""COMPUTED_VALUE"""),"9")</f>
        <v>9</v>
      </c>
      <c r="K2684" s="6" t="str">
        <f>IFERROR(__xludf.DUMMYFUNCTION("""COMPUTED_VALUE"""),"trenton.covert@2hourlearning.com")</f>
        <v>trenton.covert@2hourlearning.com</v>
      </c>
      <c r="L2684" s="6" t="str">
        <f>IFERROR(__xludf.DUMMYFUNCTION("""COMPUTED_VALUE"""),"Reading Community City School District")</f>
        <v>Reading Community City School District</v>
      </c>
      <c r="M2684" s="6" t="str">
        <f>IFERROR(__xludf.DUMMYFUNCTION("""COMPUTED_VALUE"""),"High school")</f>
        <v>High school</v>
      </c>
      <c r="N2684" s="6" t="str">
        <f>IFERROR(__xludf.DUMMYFUNCTION("""COMPUTED_VALUE"""),"")</f>
        <v/>
      </c>
      <c r="O2684" s="87" t="str">
        <f>IFERROR(__xludf.DUMMYFUNCTION("""COMPUTED_VALUE"""),"https://drive.google.com/drive/folders/10T2cTQHqEJZqE-st6uFKPoI?usp=share_link")</f>
        <v>https://drive.google.com/drive/folders/10T2cTQHqEJZqE-st6uFKPoI?usp=share_link</v>
      </c>
      <c r="P2684" s="6" t="str">
        <f>IFERROR(__xludf.DUMMYFUNCTION("""COMPUTED_VALUE"""),"Trenton Covert")</f>
        <v>Trenton Covert</v>
      </c>
      <c r="Q2684" s="6" t="str">
        <f>IFERROR(__xludf.DUMMYFUNCTION("""COMPUTED_VALUE"""),"HS")</f>
        <v>HS</v>
      </c>
      <c r="R2684" s="6">
        <f>IFERROR(__xludf.DUMMYFUNCTION("""COMPUTED_VALUE"""),0.0)</f>
        <v>0</v>
      </c>
      <c r="S2684" s="6" t="str">
        <f>IFERROR(__xludf.DUMMYFUNCTION("""COMPUTED_VALUE"""),"Morgan Kron")</f>
        <v>Morgan Kron</v>
      </c>
      <c r="T2684" s="6" t="str">
        <f>IFERROR(__xludf.DUMMYFUNCTION("""COMPUTED_VALUE"""),"mkron@readingschools.org")</f>
        <v>mkron@readingschools.org</v>
      </c>
      <c r="U2684" s="6" t="str">
        <f>IFERROR(__xludf.DUMMYFUNCTION("""COMPUTED_VALUE"""),"9")</f>
        <v>9</v>
      </c>
      <c r="V2684" s="6" t="str">
        <f>IFERROR(__xludf.DUMMYFUNCTION("""COMPUTED_VALUE"""),"English")</f>
        <v>English</v>
      </c>
      <c r="W2684" s="6" t="str">
        <f>IFERROR(__xludf.DUMMYFUNCTION("""COMPUTED_VALUE"""),"[]")</f>
        <v>[]</v>
      </c>
      <c r="X2684" s="6" t="str">
        <f>IFERROR(__xludf.DUMMYFUNCTION("""COMPUTED_VALUE"""),"Enrolled")</f>
        <v>Enrolled</v>
      </c>
    </row>
    <row r="2685">
      <c r="A2685" s="6" t="str">
        <f>IFERROR(__xludf.DUMMYFUNCTION("""COMPUTED_VALUE"""),"056-5497")</f>
        <v>056-5497</v>
      </c>
      <c r="B2685" s="6" t="str">
        <f>IFERROR(__xludf.DUMMYFUNCTION("""COMPUTED_VALUE"""),"56")</f>
        <v>56</v>
      </c>
      <c r="C2685" s="6" t="str">
        <f>IFERROR(__xludf.DUMMYFUNCTION("""COMPUTED_VALUE"""),"5497")</f>
        <v>5497</v>
      </c>
      <c r="D2685" s="6" t="str">
        <f>IFERROR(__xludf.DUMMYFUNCTION("""COMPUTED_VALUE"""),"Yosibel Jose Fabian")</f>
        <v>Yosibel Jose Fabian</v>
      </c>
      <c r="E2685" s="6" t="str">
        <f>IFERROR(__xludf.DUMMYFUNCTION("""COMPUTED_VALUE"""),"")</f>
        <v/>
      </c>
      <c r="F2685" s="6" t="str">
        <f>IFERROR(__xludf.DUMMYFUNCTION("""COMPUTED_VALUE"""),"Canay Caba")</f>
        <v>Canay Caba</v>
      </c>
      <c r="G2685" s="6" t="str">
        <f>IFERROR(__xludf.DUMMYFUNCTION("""COMPUTED_VALUE"""),"04/06/2010")</f>
        <v>04/06/2010</v>
      </c>
      <c r="H2685" s="6" t="str">
        <f>IFERROR(__xludf.DUMMYFUNCTION("""COMPUTED_VALUE"""),"Self Identify")</f>
        <v>Self Identify</v>
      </c>
      <c r="I2685" s="6" t="str">
        <f>IFERROR(__xludf.DUMMYFUNCTION("""COMPUTED_VALUE"""),"High School")</f>
        <v>High School</v>
      </c>
      <c r="J2685" s="6" t="str">
        <f>IFERROR(__xludf.DUMMYFUNCTION("""COMPUTED_VALUE"""),"9")</f>
        <v>9</v>
      </c>
      <c r="K2685" s="6" t="str">
        <f>IFERROR(__xludf.DUMMYFUNCTION("""COMPUTED_VALUE"""),"fabian.canaycaba@2hourlearning.com")</f>
        <v>fabian.canaycaba@2hourlearning.com</v>
      </c>
      <c r="L2685" s="6" t="str">
        <f>IFERROR(__xludf.DUMMYFUNCTION("""COMPUTED_VALUE"""),"Reading Community City School District")</f>
        <v>Reading Community City School District</v>
      </c>
      <c r="M2685" s="6" t="str">
        <f>IFERROR(__xludf.DUMMYFUNCTION("""COMPUTED_VALUE"""),"High school")</f>
        <v>High school</v>
      </c>
      <c r="N2685" s="6" t="str">
        <f>IFERROR(__xludf.DUMMYFUNCTION("""COMPUTED_VALUE"""),"")</f>
        <v/>
      </c>
      <c r="O2685" s="87" t="str">
        <f>IFERROR(__xludf.DUMMYFUNCTION("""COMPUTED_VALUE"""),"https://drive.google.com/drive/folders/10T2cTQHqEJZqE-st6uFKPoI?usp=share_link")</f>
        <v>https://drive.google.com/drive/folders/10T2cTQHqEJZqE-st6uFKPoI?usp=share_link</v>
      </c>
      <c r="P2685" s="6" t="str">
        <f>IFERROR(__xludf.DUMMYFUNCTION("""COMPUTED_VALUE"""),"Yosibel Jose Fabian Canay Caba")</f>
        <v>Yosibel Jose Fabian Canay Caba</v>
      </c>
      <c r="Q2685" s="6" t="str">
        <f>IFERROR(__xludf.DUMMYFUNCTION("""COMPUTED_VALUE"""),"HS")</f>
        <v>HS</v>
      </c>
      <c r="R2685" s="6">
        <f>IFERROR(__xludf.DUMMYFUNCTION("""COMPUTED_VALUE"""),0.0)</f>
        <v>0</v>
      </c>
      <c r="S2685" s="6" t="str">
        <f>IFERROR(__xludf.DUMMYFUNCTION("""COMPUTED_VALUE"""),"Morgan Kron")</f>
        <v>Morgan Kron</v>
      </c>
      <c r="T2685" s="6" t="str">
        <f>IFERROR(__xludf.DUMMYFUNCTION("""COMPUTED_VALUE"""),"mkron@readingschools.org")</f>
        <v>mkron@readingschools.org</v>
      </c>
      <c r="U2685" s="6" t="str">
        <f>IFERROR(__xludf.DUMMYFUNCTION("""COMPUTED_VALUE"""),"9")</f>
        <v>9</v>
      </c>
      <c r="V2685" s="6" t="str">
        <f>IFERROR(__xludf.DUMMYFUNCTION("""COMPUTED_VALUE"""),"English")</f>
        <v>English</v>
      </c>
      <c r="W2685" s="6" t="str">
        <f>IFERROR(__xludf.DUMMYFUNCTION("""COMPUTED_VALUE"""),"[]")</f>
        <v>[]</v>
      </c>
      <c r="X2685" s="6" t="str">
        <f>IFERROR(__xludf.DUMMYFUNCTION("""COMPUTED_VALUE"""),"Enrolled")</f>
        <v>Enrolled</v>
      </c>
    </row>
    <row r="2686">
      <c r="A2686" s="6" t="str">
        <f>IFERROR(__xludf.DUMMYFUNCTION("""COMPUTED_VALUE"""),"056-5498")</f>
        <v>056-5498</v>
      </c>
      <c r="B2686" s="6" t="str">
        <f>IFERROR(__xludf.DUMMYFUNCTION("""COMPUTED_VALUE"""),"56")</f>
        <v>56</v>
      </c>
      <c r="C2686" s="6" t="str">
        <f>IFERROR(__xludf.DUMMYFUNCTION("""COMPUTED_VALUE"""),"5498")</f>
        <v>5498</v>
      </c>
      <c r="D2686" s="6" t="str">
        <f>IFERROR(__xludf.DUMMYFUNCTION("""COMPUTED_VALUE"""),"Zachariah")</f>
        <v>Zachariah</v>
      </c>
      <c r="E2686" s="6" t="str">
        <f>IFERROR(__xludf.DUMMYFUNCTION("""COMPUTED_VALUE"""),"")</f>
        <v/>
      </c>
      <c r="F2686" s="6" t="str">
        <f>IFERROR(__xludf.DUMMYFUNCTION("""COMPUTED_VALUE"""),"Steele")</f>
        <v>Steele</v>
      </c>
      <c r="G2686" s="6" t="str">
        <f>IFERROR(__xludf.DUMMYFUNCTION("""COMPUTED_VALUE"""),"04/02/2011")</f>
        <v>04/02/2011</v>
      </c>
      <c r="H2686" s="6" t="str">
        <f>IFERROR(__xludf.DUMMYFUNCTION("""COMPUTED_VALUE"""),"Self Identify")</f>
        <v>Self Identify</v>
      </c>
      <c r="I2686" s="6" t="str">
        <f>IFERROR(__xludf.DUMMYFUNCTION("""COMPUTED_VALUE"""),"High School")</f>
        <v>High School</v>
      </c>
      <c r="J2686" s="6" t="str">
        <f>IFERROR(__xludf.DUMMYFUNCTION("""COMPUTED_VALUE"""),"9")</f>
        <v>9</v>
      </c>
      <c r="K2686" s="6" t="str">
        <f>IFERROR(__xludf.DUMMYFUNCTION("""COMPUTED_VALUE"""),"zachariah.steele@2hourlearning.com")</f>
        <v>zachariah.steele@2hourlearning.com</v>
      </c>
      <c r="L2686" s="6" t="str">
        <f>IFERROR(__xludf.DUMMYFUNCTION("""COMPUTED_VALUE"""),"Reading Community City School District")</f>
        <v>Reading Community City School District</v>
      </c>
      <c r="M2686" s="6" t="str">
        <f>IFERROR(__xludf.DUMMYFUNCTION("""COMPUTED_VALUE"""),"High school")</f>
        <v>High school</v>
      </c>
      <c r="N2686" s="6" t="str">
        <f>IFERROR(__xludf.DUMMYFUNCTION("""COMPUTED_VALUE"""),"")</f>
        <v/>
      </c>
      <c r="O2686" s="87" t="str">
        <f>IFERROR(__xludf.DUMMYFUNCTION("""COMPUTED_VALUE"""),"https://drive.google.com/drive/folders/10T2cTQHqEJZqE-st6uFKPoI?usp=share_link")</f>
        <v>https://drive.google.com/drive/folders/10T2cTQHqEJZqE-st6uFKPoI?usp=share_link</v>
      </c>
      <c r="P2686" s="6" t="str">
        <f>IFERROR(__xludf.DUMMYFUNCTION("""COMPUTED_VALUE"""),"Zachariah Steele")</f>
        <v>Zachariah Steele</v>
      </c>
      <c r="Q2686" s="6" t="str">
        <f>IFERROR(__xludf.DUMMYFUNCTION("""COMPUTED_VALUE"""),"HS")</f>
        <v>HS</v>
      </c>
      <c r="R2686" s="6">
        <f>IFERROR(__xludf.DUMMYFUNCTION("""COMPUTED_VALUE"""),0.0)</f>
        <v>0</v>
      </c>
      <c r="S2686" s="6" t="str">
        <f>IFERROR(__xludf.DUMMYFUNCTION("""COMPUTED_VALUE"""),"Morgan Kron")</f>
        <v>Morgan Kron</v>
      </c>
      <c r="T2686" s="6" t="str">
        <f>IFERROR(__xludf.DUMMYFUNCTION("""COMPUTED_VALUE"""),"mkron@readingschools.org")</f>
        <v>mkron@readingschools.org</v>
      </c>
      <c r="U2686" s="6" t="str">
        <f>IFERROR(__xludf.DUMMYFUNCTION("""COMPUTED_VALUE"""),"9")</f>
        <v>9</v>
      </c>
      <c r="V2686" s="6" t="str">
        <f>IFERROR(__xludf.DUMMYFUNCTION("""COMPUTED_VALUE"""),"English")</f>
        <v>English</v>
      </c>
      <c r="W2686" s="6" t="str">
        <f>IFERROR(__xludf.DUMMYFUNCTION("""COMPUTED_VALUE"""),"[]")</f>
        <v>[]</v>
      </c>
      <c r="X2686" s="6" t="str">
        <f>IFERROR(__xludf.DUMMYFUNCTION("""COMPUTED_VALUE"""),"Enrolled")</f>
        <v>Enrolled</v>
      </c>
    </row>
    <row r="2687">
      <c r="A2687" s="6" t="str">
        <f>IFERROR(__xludf.DUMMYFUNCTION("""COMPUTED_VALUE"""),"056-5499")</f>
        <v>056-5499</v>
      </c>
      <c r="B2687" s="6" t="str">
        <f>IFERROR(__xludf.DUMMYFUNCTION("""COMPUTED_VALUE"""),"56")</f>
        <v>56</v>
      </c>
      <c r="C2687" s="6" t="str">
        <f>IFERROR(__xludf.DUMMYFUNCTION("""COMPUTED_VALUE"""),"5499")</f>
        <v>5499</v>
      </c>
      <c r="D2687" s="6" t="str">
        <f>IFERROR(__xludf.DUMMYFUNCTION("""COMPUTED_VALUE"""),"Andrew")</f>
        <v>Andrew</v>
      </c>
      <c r="E2687" s="6" t="str">
        <f>IFERROR(__xludf.DUMMYFUNCTION("""COMPUTED_VALUE"""),"")</f>
        <v/>
      </c>
      <c r="F2687" s="6" t="str">
        <f>IFERROR(__xludf.DUMMYFUNCTION("""COMPUTED_VALUE"""),"Lambert")</f>
        <v>Lambert</v>
      </c>
      <c r="G2687" s="6" t="str">
        <f>IFERROR(__xludf.DUMMYFUNCTION("""COMPUTED_VALUE"""),"03/25/2009")</f>
        <v>03/25/2009</v>
      </c>
      <c r="H2687" s="6" t="str">
        <f>IFERROR(__xludf.DUMMYFUNCTION("""COMPUTED_VALUE"""),"Self Identify")</f>
        <v>Self Identify</v>
      </c>
      <c r="I2687" s="6" t="str">
        <f>IFERROR(__xludf.DUMMYFUNCTION("""COMPUTED_VALUE"""),"High School")</f>
        <v>High School</v>
      </c>
      <c r="J2687" s="6" t="str">
        <f>IFERROR(__xludf.DUMMYFUNCTION("""COMPUTED_VALUE"""),"10")</f>
        <v>10</v>
      </c>
      <c r="K2687" s="6" t="str">
        <f>IFERROR(__xludf.DUMMYFUNCTION("""COMPUTED_VALUE"""),"andrew.lambert@2hourlearning.com")</f>
        <v>andrew.lambert@2hourlearning.com</v>
      </c>
      <c r="L2687" s="6" t="str">
        <f>IFERROR(__xludf.DUMMYFUNCTION("""COMPUTED_VALUE"""),"Reading Community City School District")</f>
        <v>Reading Community City School District</v>
      </c>
      <c r="M2687" s="6" t="str">
        <f>IFERROR(__xludf.DUMMYFUNCTION("""COMPUTED_VALUE"""),"High school")</f>
        <v>High school</v>
      </c>
      <c r="N2687" s="6" t="str">
        <f>IFERROR(__xludf.DUMMYFUNCTION("""COMPUTED_VALUE"""),"")</f>
        <v/>
      </c>
      <c r="O2687" s="87" t="str">
        <f>IFERROR(__xludf.DUMMYFUNCTION("""COMPUTED_VALUE"""),"https://drive.google.com/drive/folders/10T2cTQHqEJZqE-st6uFKPoI?usp=share_link")</f>
        <v>https://drive.google.com/drive/folders/10T2cTQHqEJZqE-st6uFKPoI?usp=share_link</v>
      </c>
      <c r="P2687" s="6" t="str">
        <f>IFERROR(__xludf.DUMMYFUNCTION("""COMPUTED_VALUE"""),"Andrew Lambert")</f>
        <v>Andrew Lambert</v>
      </c>
      <c r="Q2687" s="6" t="str">
        <f>IFERROR(__xludf.DUMMYFUNCTION("""COMPUTED_VALUE"""),"HS")</f>
        <v>HS</v>
      </c>
      <c r="R2687" s="6">
        <f>IFERROR(__xludf.DUMMYFUNCTION("""COMPUTED_VALUE"""),0.0)</f>
        <v>0</v>
      </c>
      <c r="S2687" s="6" t="str">
        <f>IFERROR(__xludf.DUMMYFUNCTION("""COMPUTED_VALUE"""),"Misty Cook")</f>
        <v>Misty Cook</v>
      </c>
      <c r="T2687" s="6" t="str">
        <f>IFERROR(__xludf.DUMMYFUNCTION("""COMPUTED_VALUE"""),"mcook@reaadingschools.org")</f>
        <v>mcook@reaadingschools.org</v>
      </c>
      <c r="U2687" s="6" t="str">
        <f>IFERROR(__xludf.DUMMYFUNCTION("""COMPUTED_VALUE"""),"10")</f>
        <v>10</v>
      </c>
      <c r="V2687" s="6" t="str">
        <f>IFERROR(__xludf.DUMMYFUNCTION("""COMPUTED_VALUE"""),"English")</f>
        <v>English</v>
      </c>
      <c r="W2687" s="6" t="str">
        <f>IFERROR(__xludf.DUMMYFUNCTION("""COMPUTED_VALUE"""),"[]")</f>
        <v>[]</v>
      </c>
      <c r="X2687" s="6" t="str">
        <f>IFERROR(__xludf.DUMMYFUNCTION("""COMPUTED_VALUE"""),"Enrolled")</f>
        <v>Enrolled</v>
      </c>
    </row>
    <row r="2688">
      <c r="A2688" s="6" t="str">
        <f>IFERROR(__xludf.DUMMYFUNCTION("""COMPUTED_VALUE"""),"056-5500")</f>
        <v>056-5500</v>
      </c>
      <c r="B2688" s="6" t="str">
        <f>IFERROR(__xludf.DUMMYFUNCTION("""COMPUTED_VALUE"""),"56")</f>
        <v>56</v>
      </c>
      <c r="C2688" s="6" t="str">
        <f>IFERROR(__xludf.DUMMYFUNCTION("""COMPUTED_VALUE"""),"5500")</f>
        <v>5500</v>
      </c>
      <c r="D2688" s="6" t="str">
        <f>IFERROR(__xludf.DUMMYFUNCTION("""COMPUTED_VALUE"""),"Aniya")</f>
        <v>Aniya</v>
      </c>
      <c r="E2688" s="6" t="str">
        <f>IFERROR(__xludf.DUMMYFUNCTION("""COMPUTED_VALUE"""),"")</f>
        <v/>
      </c>
      <c r="F2688" s="6" t="str">
        <f>IFERROR(__xludf.DUMMYFUNCTION("""COMPUTED_VALUE"""),"Avery")</f>
        <v>Avery</v>
      </c>
      <c r="G2688" s="6" t="str">
        <f>IFERROR(__xludf.DUMMYFUNCTION("""COMPUTED_VALUE"""),"01/14/2010")</f>
        <v>01/14/2010</v>
      </c>
      <c r="H2688" s="6" t="str">
        <f>IFERROR(__xludf.DUMMYFUNCTION("""COMPUTED_VALUE"""),"Self Identify")</f>
        <v>Self Identify</v>
      </c>
      <c r="I2688" s="6" t="str">
        <f>IFERROR(__xludf.DUMMYFUNCTION("""COMPUTED_VALUE"""),"High School")</f>
        <v>High School</v>
      </c>
      <c r="J2688" s="6" t="str">
        <f>IFERROR(__xludf.DUMMYFUNCTION("""COMPUTED_VALUE"""),"10")</f>
        <v>10</v>
      </c>
      <c r="K2688" s="6" t="str">
        <f>IFERROR(__xludf.DUMMYFUNCTION("""COMPUTED_VALUE"""),"aniya.avery@2hourlearning.com")</f>
        <v>aniya.avery@2hourlearning.com</v>
      </c>
      <c r="L2688" s="6" t="str">
        <f>IFERROR(__xludf.DUMMYFUNCTION("""COMPUTED_VALUE"""),"Reading Community City School District")</f>
        <v>Reading Community City School District</v>
      </c>
      <c r="M2688" s="6" t="str">
        <f>IFERROR(__xludf.DUMMYFUNCTION("""COMPUTED_VALUE"""),"High school")</f>
        <v>High school</v>
      </c>
      <c r="N2688" s="6" t="str">
        <f>IFERROR(__xludf.DUMMYFUNCTION("""COMPUTED_VALUE"""),"")</f>
        <v/>
      </c>
      <c r="O2688" s="87" t="str">
        <f>IFERROR(__xludf.DUMMYFUNCTION("""COMPUTED_VALUE"""),"https://drive.google.com/drive/folders/10T2cTQHqEJZqE-st6uFKPoI?usp=share_link")</f>
        <v>https://drive.google.com/drive/folders/10T2cTQHqEJZqE-st6uFKPoI?usp=share_link</v>
      </c>
      <c r="P2688" s="6" t="str">
        <f>IFERROR(__xludf.DUMMYFUNCTION("""COMPUTED_VALUE"""),"Aniya Avery")</f>
        <v>Aniya Avery</v>
      </c>
      <c r="Q2688" s="6" t="str">
        <f>IFERROR(__xludf.DUMMYFUNCTION("""COMPUTED_VALUE"""),"HS")</f>
        <v>HS</v>
      </c>
      <c r="R2688" s="6">
        <f>IFERROR(__xludf.DUMMYFUNCTION("""COMPUTED_VALUE"""),0.0)</f>
        <v>0</v>
      </c>
      <c r="S2688" s="6" t="str">
        <f>IFERROR(__xludf.DUMMYFUNCTION("""COMPUTED_VALUE"""),"Misty Cook")</f>
        <v>Misty Cook</v>
      </c>
      <c r="T2688" s="6" t="str">
        <f>IFERROR(__xludf.DUMMYFUNCTION("""COMPUTED_VALUE"""),"mcook@reaadingschools.org")</f>
        <v>mcook@reaadingschools.org</v>
      </c>
      <c r="U2688" s="6" t="str">
        <f>IFERROR(__xludf.DUMMYFUNCTION("""COMPUTED_VALUE"""),"10")</f>
        <v>10</v>
      </c>
      <c r="V2688" s="6" t="str">
        <f>IFERROR(__xludf.DUMMYFUNCTION("""COMPUTED_VALUE"""),"English")</f>
        <v>English</v>
      </c>
      <c r="W2688" s="6" t="str">
        <f>IFERROR(__xludf.DUMMYFUNCTION("""COMPUTED_VALUE"""),"[]")</f>
        <v>[]</v>
      </c>
      <c r="X2688" s="6" t="str">
        <f>IFERROR(__xludf.DUMMYFUNCTION("""COMPUTED_VALUE"""),"Enrolled")</f>
        <v>Enrolled</v>
      </c>
    </row>
    <row r="2689">
      <c r="A2689" s="6" t="str">
        <f>IFERROR(__xludf.DUMMYFUNCTION("""COMPUTED_VALUE"""),"056-5501")</f>
        <v>056-5501</v>
      </c>
      <c r="B2689" s="6" t="str">
        <f>IFERROR(__xludf.DUMMYFUNCTION("""COMPUTED_VALUE"""),"56")</f>
        <v>56</v>
      </c>
      <c r="C2689" s="6" t="str">
        <f>IFERROR(__xludf.DUMMYFUNCTION("""COMPUTED_VALUE"""),"5501")</f>
        <v>5501</v>
      </c>
      <c r="D2689" s="6" t="str">
        <f>IFERROR(__xludf.DUMMYFUNCTION("""COMPUTED_VALUE"""),"Brayden")</f>
        <v>Brayden</v>
      </c>
      <c r="E2689" s="6" t="str">
        <f>IFERROR(__xludf.DUMMYFUNCTION("""COMPUTED_VALUE"""),"")</f>
        <v/>
      </c>
      <c r="F2689" s="6" t="str">
        <f>IFERROR(__xludf.DUMMYFUNCTION("""COMPUTED_VALUE"""),"Carroll-Leder")</f>
        <v>Carroll-Leder</v>
      </c>
      <c r="G2689" s="6" t="str">
        <f>IFERROR(__xludf.DUMMYFUNCTION("""COMPUTED_VALUE"""),"12/11/2009")</f>
        <v>12/11/2009</v>
      </c>
      <c r="H2689" s="6" t="str">
        <f>IFERROR(__xludf.DUMMYFUNCTION("""COMPUTED_VALUE"""),"Self Identify")</f>
        <v>Self Identify</v>
      </c>
      <c r="I2689" s="6" t="str">
        <f>IFERROR(__xludf.DUMMYFUNCTION("""COMPUTED_VALUE"""),"High School")</f>
        <v>High School</v>
      </c>
      <c r="J2689" s="6" t="str">
        <f>IFERROR(__xludf.DUMMYFUNCTION("""COMPUTED_VALUE"""),"10")</f>
        <v>10</v>
      </c>
      <c r="K2689" s="6" t="str">
        <f>IFERROR(__xludf.DUMMYFUNCTION("""COMPUTED_VALUE"""),"brayden.carroll-leder@2hourlearning.com")</f>
        <v>brayden.carroll-leder@2hourlearning.com</v>
      </c>
      <c r="L2689" s="6" t="str">
        <f>IFERROR(__xludf.DUMMYFUNCTION("""COMPUTED_VALUE"""),"Reading Community City School District")</f>
        <v>Reading Community City School District</v>
      </c>
      <c r="M2689" s="6" t="str">
        <f>IFERROR(__xludf.DUMMYFUNCTION("""COMPUTED_VALUE"""),"High school")</f>
        <v>High school</v>
      </c>
      <c r="N2689" s="6" t="str">
        <f>IFERROR(__xludf.DUMMYFUNCTION("""COMPUTED_VALUE"""),"")</f>
        <v/>
      </c>
      <c r="O2689" s="87" t="str">
        <f>IFERROR(__xludf.DUMMYFUNCTION("""COMPUTED_VALUE"""),"https://drive.google.com/drive/folders/10T2cTQHqEJZqE-st6uFKPoI?usp=share_link")</f>
        <v>https://drive.google.com/drive/folders/10T2cTQHqEJZqE-st6uFKPoI?usp=share_link</v>
      </c>
      <c r="P2689" s="6" t="str">
        <f>IFERROR(__xludf.DUMMYFUNCTION("""COMPUTED_VALUE"""),"Brayden Carroll-Leder")</f>
        <v>Brayden Carroll-Leder</v>
      </c>
      <c r="Q2689" s="6" t="str">
        <f>IFERROR(__xludf.DUMMYFUNCTION("""COMPUTED_VALUE"""),"HS")</f>
        <v>HS</v>
      </c>
      <c r="R2689" s="6">
        <f>IFERROR(__xludf.DUMMYFUNCTION("""COMPUTED_VALUE"""),0.0)</f>
        <v>0</v>
      </c>
      <c r="S2689" s="6" t="str">
        <f>IFERROR(__xludf.DUMMYFUNCTION("""COMPUTED_VALUE"""),"Misty Cook")</f>
        <v>Misty Cook</v>
      </c>
      <c r="T2689" s="6" t="str">
        <f>IFERROR(__xludf.DUMMYFUNCTION("""COMPUTED_VALUE"""),"mcook@reaadingschools.org")</f>
        <v>mcook@reaadingschools.org</v>
      </c>
      <c r="U2689" s="6" t="str">
        <f>IFERROR(__xludf.DUMMYFUNCTION("""COMPUTED_VALUE"""),"10")</f>
        <v>10</v>
      </c>
      <c r="V2689" s="6" t="str">
        <f>IFERROR(__xludf.DUMMYFUNCTION("""COMPUTED_VALUE"""),"English")</f>
        <v>English</v>
      </c>
      <c r="W2689" s="6" t="str">
        <f>IFERROR(__xludf.DUMMYFUNCTION("""COMPUTED_VALUE"""),"[]")</f>
        <v>[]</v>
      </c>
      <c r="X2689" s="6" t="str">
        <f>IFERROR(__xludf.DUMMYFUNCTION("""COMPUTED_VALUE"""),"Enrolled")</f>
        <v>Enrolled</v>
      </c>
    </row>
    <row r="2690">
      <c r="A2690" s="6" t="str">
        <f>IFERROR(__xludf.DUMMYFUNCTION("""COMPUTED_VALUE"""),"056-5502")</f>
        <v>056-5502</v>
      </c>
      <c r="B2690" s="6" t="str">
        <f>IFERROR(__xludf.DUMMYFUNCTION("""COMPUTED_VALUE"""),"56")</f>
        <v>56</v>
      </c>
      <c r="C2690" s="6" t="str">
        <f>IFERROR(__xludf.DUMMYFUNCTION("""COMPUTED_VALUE"""),"5502")</f>
        <v>5502</v>
      </c>
      <c r="D2690" s="6" t="str">
        <f>IFERROR(__xludf.DUMMYFUNCTION("""COMPUTED_VALUE"""),"Dareion")</f>
        <v>Dareion</v>
      </c>
      <c r="E2690" s="6" t="str">
        <f>IFERROR(__xludf.DUMMYFUNCTION("""COMPUTED_VALUE"""),"")</f>
        <v/>
      </c>
      <c r="F2690" s="6" t="str">
        <f>IFERROR(__xludf.DUMMYFUNCTION("""COMPUTED_VALUE"""),"Sumler")</f>
        <v>Sumler</v>
      </c>
      <c r="G2690" s="6" t="str">
        <f>IFERROR(__xludf.DUMMYFUNCTION("""COMPUTED_VALUE"""),"06/15/2010")</f>
        <v>06/15/2010</v>
      </c>
      <c r="H2690" s="6" t="str">
        <f>IFERROR(__xludf.DUMMYFUNCTION("""COMPUTED_VALUE"""),"Self Identify")</f>
        <v>Self Identify</v>
      </c>
      <c r="I2690" s="6" t="str">
        <f>IFERROR(__xludf.DUMMYFUNCTION("""COMPUTED_VALUE"""),"High School")</f>
        <v>High School</v>
      </c>
      <c r="J2690" s="6" t="str">
        <f>IFERROR(__xludf.DUMMYFUNCTION("""COMPUTED_VALUE"""),"10")</f>
        <v>10</v>
      </c>
      <c r="K2690" s="6" t="str">
        <f>IFERROR(__xludf.DUMMYFUNCTION("""COMPUTED_VALUE"""),"dareion.sumler@2hourlearning.com")</f>
        <v>dareion.sumler@2hourlearning.com</v>
      </c>
      <c r="L2690" s="6" t="str">
        <f>IFERROR(__xludf.DUMMYFUNCTION("""COMPUTED_VALUE"""),"Reading Community City School District")</f>
        <v>Reading Community City School District</v>
      </c>
      <c r="M2690" s="6" t="str">
        <f>IFERROR(__xludf.DUMMYFUNCTION("""COMPUTED_VALUE"""),"High school")</f>
        <v>High school</v>
      </c>
      <c r="N2690" s="6" t="str">
        <f>IFERROR(__xludf.DUMMYFUNCTION("""COMPUTED_VALUE"""),"")</f>
        <v/>
      </c>
      <c r="O2690" s="87" t="str">
        <f>IFERROR(__xludf.DUMMYFUNCTION("""COMPUTED_VALUE"""),"https://drive.google.com/drive/folders/10T2cTQHqEJZqE-st6uFKPoI?usp=share_link")</f>
        <v>https://drive.google.com/drive/folders/10T2cTQHqEJZqE-st6uFKPoI?usp=share_link</v>
      </c>
      <c r="P2690" s="6" t="str">
        <f>IFERROR(__xludf.DUMMYFUNCTION("""COMPUTED_VALUE"""),"Dareion Sumler")</f>
        <v>Dareion Sumler</v>
      </c>
      <c r="Q2690" s="6" t="str">
        <f>IFERROR(__xludf.DUMMYFUNCTION("""COMPUTED_VALUE"""),"HS")</f>
        <v>HS</v>
      </c>
      <c r="R2690" s="6">
        <f>IFERROR(__xludf.DUMMYFUNCTION("""COMPUTED_VALUE"""),0.0)</f>
        <v>0</v>
      </c>
      <c r="S2690" s="6" t="str">
        <f>IFERROR(__xludf.DUMMYFUNCTION("""COMPUTED_VALUE"""),"Misty Cook")</f>
        <v>Misty Cook</v>
      </c>
      <c r="T2690" s="6" t="str">
        <f>IFERROR(__xludf.DUMMYFUNCTION("""COMPUTED_VALUE"""),"mcook@reaadingschools.org")</f>
        <v>mcook@reaadingschools.org</v>
      </c>
      <c r="U2690" s="6" t="str">
        <f>IFERROR(__xludf.DUMMYFUNCTION("""COMPUTED_VALUE"""),"10")</f>
        <v>10</v>
      </c>
      <c r="V2690" s="6" t="str">
        <f>IFERROR(__xludf.DUMMYFUNCTION("""COMPUTED_VALUE"""),"English")</f>
        <v>English</v>
      </c>
      <c r="W2690" s="6" t="str">
        <f>IFERROR(__xludf.DUMMYFUNCTION("""COMPUTED_VALUE"""),"[]")</f>
        <v>[]</v>
      </c>
      <c r="X2690" s="6" t="str">
        <f>IFERROR(__xludf.DUMMYFUNCTION("""COMPUTED_VALUE"""),"Enrolled")</f>
        <v>Enrolled</v>
      </c>
    </row>
    <row r="2691">
      <c r="A2691" s="6" t="str">
        <f>IFERROR(__xludf.DUMMYFUNCTION("""COMPUTED_VALUE"""),"056-5503")</f>
        <v>056-5503</v>
      </c>
      <c r="B2691" s="6" t="str">
        <f>IFERROR(__xludf.DUMMYFUNCTION("""COMPUTED_VALUE"""),"56")</f>
        <v>56</v>
      </c>
      <c r="C2691" s="6" t="str">
        <f>IFERROR(__xludf.DUMMYFUNCTION("""COMPUTED_VALUE"""),"5503")</f>
        <v>5503</v>
      </c>
      <c r="D2691" s="6" t="str">
        <f>IFERROR(__xludf.DUMMYFUNCTION("""COMPUTED_VALUE"""),"Demarco")</f>
        <v>Demarco</v>
      </c>
      <c r="E2691" s="6" t="str">
        <f>IFERROR(__xludf.DUMMYFUNCTION("""COMPUTED_VALUE"""),"")</f>
        <v/>
      </c>
      <c r="F2691" s="6" t="str">
        <f>IFERROR(__xludf.DUMMYFUNCTION("""COMPUTED_VALUE"""),"Smith")</f>
        <v>Smith</v>
      </c>
      <c r="G2691" s="6" t="str">
        <f>IFERROR(__xludf.DUMMYFUNCTION("""COMPUTED_VALUE"""),"10/02/2009")</f>
        <v>10/02/2009</v>
      </c>
      <c r="H2691" s="6" t="str">
        <f>IFERROR(__xludf.DUMMYFUNCTION("""COMPUTED_VALUE"""),"Self Identify")</f>
        <v>Self Identify</v>
      </c>
      <c r="I2691" s="6" t="str">
        <f>IFERROR(__xludf.DUMMYFUNCTION("""COMPUTED_VALUE"""),"High School")</f>
        <v>High School</v>
      </c>
      <c r="J2691" s="6" t="str">
        <f>IFERROR(__xludf.DUMMYFUNCTION("""COMPUTED_VALUE"""),"10")</f>
        <v>10</v>
      </c>
      <c r="K2691" s="6" t="str">
        <f>IFERROR(__xludf.DUMMYFUNCTION("""COMPUTED_VALUE"""),"demarco.smith@2hourlearning.com")</f>
        <v>demarco.smith@2hourlearning.com</v>
      </c>
      <c r="L2691" s="6" t="str">
        <f>IFERROR(__xludf.DUMMYFUNCTION("""COMPUTED_VALUE"""),"Reading Community City School District")</f>
        <v>Reading Community City School District</v>
      </c>
      <c r="M2691" s="6" t="str">
        <f>IFERROR(__xludf.DUMMYFUNCTION("""COMPUTED_VALUE"""),"High school")</f>
        <v>High school</v>
      </c>
      <c r="N2691" s="6" t="str">
        <f>IFERROR(__xludf.DUMMYFUNCTION("""COMPUTED_VALUE"""),"")</f>
        <v/>
      </c>
      <c r="O2691" s="87" t="str">
        <f>IFERROR(__xludf.DUMMYFUNCTION("""COMPUTED_VALUE"""),"https://drive.google.com/drive/folders/10T2cTQHqEJZqE-st6uFKPoI?usp=share_link")</f>
        <v>https://drive.google.com/drive/folders/10T2cTQHqEJZqE-st6uFKPoI?usp=share_link</v>
      </c>
      <c r="P2691" s="6" t="str">
        <f>IFERROR(__xludf.DUMMYFUNCTION("""COMPUTED_VALUE"""),"Demarco Smith")</f>
        <v>Demarco Smith</v>
      </c>
      <c r="Q2691" s="6" t="str">
        <f>IFERROR(__xludf.DUMMYFUNCTION("""COMPUTED_VALUE"""),"HS")</f>
        <v>HS</v>
      </c>
      <c r="R2691" s="6">
        <f>IFERROR(__xludf.DUMMYFUNCTION("""COMPUTED_VALUE"""),0.0)</f>
        <v>0</v>
      </c>
      <c r="S2691" s="6" t="str">
        <f>IFERROR(__xludf.DUMMYFUNCTION("""COMPUTED_VALUE"""),"Misty Cook")</f>
        <v>Misty Cook</v>
      </c>
      <c r="T2691" s="6" t="str">
        <f>IFERROR(__xludf.DUMMYFUNCTION("""COMPUTED_VALUE"""),"mcook@reaadingschools.org")</f>
        <v>mcook@reaadingschools.org</v>
      </c>
      <c r="U2691" s="6" t="str">
        <f>IFERROR(__xludf.DUMMYFUNCTION("""COMPUTED_VALUE"""),"10")</f>
        <v>10</v>
      </c>
      <c r="V2691" s="6" t="str">
        <f>IFERROR(__xludf.DUMMYFUNCTION("""COMPUTED_VALUE"""),"English")</f>
        <v>English</v>
      </c>
      <c r="W2691" s="6" t="str">
        <f>IFERROR(__xludf.DUMMYFUNCTION("""COMPUTED_VALUE"""),"[]")</f>
        <v>[]</v>
      </c>
      <c r="X2691" s="6" t="str">
        <f>IFERROR(__xludf.DUMMYFUNCTION("""COMPUTED_VALUE"""),"Enrolled")</f>
        <v>Enrolled</v>
      </c>
    </row>
    <row r="2692">
      <c r="A2692" s="6" t="str">
        <f>IFERROR(__xludf.DUMMYFUNCTION("""COMPUTED_VALUE"""),"056-5504")</f>
        <v>056-5504</v>
      </c>
      <c r="B2692" s="6" t="str">
        <f>IFERROR(__xludf.DUMMYFUNCTION("""COMPUTED_VALUE"""),"56")</f>
        <v>56</v>
      </c>
      <c r="C2692" s="6" t="str">
        <f>IFERROR(__xludf.DUMMYFUNCTION("""COMPUTED_VALUE"""),"5504")</f>
        <v>5504</v>
      </c>
      <c r="D2692" s="6" t="str">
        <f>IFERROR(__xludf.DUMMYFUNCTION("""COMPUTED_VALUE"""),"Gabrielle")</f>
        <v>Gabrielle</v>
      </c>
      <c r="E2692" s="6" t="str">
        <f>IFERROR(__xludf.DUMMYFUNCTION("""COMPUTED_VALUE"""),"")</f>
        <v/>
      </c>
      <c r="F2692" s="6" t="str">
        <f>IFERROR(__xludf.DUMMYFUNCTION("""COMPUTED_VALUE"""),"Minnick")</f>
        <v>Minnick</v>
      </c>
      <c r="G2692" s="6" t="str">
        <f>IFERROR(__xludf.DUMMYFUNCTION("""COMPUTED_VALUE"""),"08/07/2009")</f>
        <v>08/07/2009</v>
      </c>
      <c r="H2692" s="6" t="str">
        <f>IFERROR(__xludf.DUMMYFUNCTION("""COMPUTED_VALUE"""),"Self Identify")</f>
        <v>Self Identify</v>
      </c>
      <c r="I2692" s="6" t="str">
        <f>IFERROR(__xludf.DUMMYFUNCTION("""COMPUTED_VALUE"""),"High School")</f>
        <v>High School</v>
      </c>
      <c r="J2692" s="6" t="str">
        <f>IFERROR(__xludf.DUMMYFUNCTION("""COMPUTED_VALUE"""),"10")</f>
        <v>10</v>
      </c>
      <c r="K2692" s="6" t="str">
        <f>IFERROR(__xludf.DUMMYFUNCTION("""COMPUTED_VALUE"""),"gabrielle.minnick@2hourlearning.com")</f>
        <v>gabrielle.minnick@2hourlearning.com</v>
      </c>
      <c r="L2692" s="6" t="str">
        <f>IFERROR(__xludf.DUMMYFUNCTION("""COMPUTED_VALUE"""),"Reading Community City School District")</f>
        <v>Reading Community City School District</v>
      </c>
      <c r="M2692" s="6" t="str">
        <f>IFERROR(__xludf.DUMMYFUNCTION("""COMPUTED_VALUE"""),"High school")</f>
        <v>High school</v>
      </c>
      <c r="N2692" s="6" t="str">
        <f>IFERROR(__xludf.DUMMYFUNCTION("""COMPUTED_VALUE"""),"")</f>
        <v/>
      </c>
      <c r="O2692" s="87" t="str">
        <f>IFERROR(__xludf.DUMMYFUNCTION("""COMPUTED_VALUE"""),"https://drive.google.com/drive/folders/10T2cTQHqEJZqE-st6uFKPoI?usp=share_link")</f>
        <v>https://drive.google.com/drive/folders/10T2cTQHqEJZqE-st6uFKPoI?usp=share_link</v>
      </c>
      <c r="P2692" s="6" t="str">
        <f>IFERROR(__xludf.DUMMYFUNCTION("""COMPUTED_VALUE"""),"Gabrielle Minnick")</f>
        <v>Gabrielle Minnick</v>
      </c>
      <c r="Q2692" s="6" t="str">
        <f>IFERROR(__xludf.DUMMYFUNCTION("""COMPUTED_VALUE"""),"HS")</f>
        <v>HS</v>
      </c>
      <c r="R2692" s="6">
        <f>IFERROR(__xludf.DUMMYFUNCTION("""COMPUTED_VALUE"""),0.0)</f>
        <v>0</v>
      </c>
      <c r="S2692" s="6" t="str">
        <f>IFERROR(__xludf.DUMMYFUNCTION("""COMPUTED_VALUE"""),"Misty Cook")</f>
        <v>Misty Cook</v>
      </c>
      <c r="T2692" s="6" t="str">
        <f>IFERROR(__xludf.DUMMYFUNCTION("""COMPUTED_VALUE"""),"mcook@reaadingschools.org")</f>
        <v>mcook@reaadingschools.org</v>
      </c>
      <c r="U2692" s="6" t="str">
        <f>IFERROR(__xludf.DUMMYFUNCTION("""COMPUTED_VALUE"""),"10")</f>
        <v>10</v>
      </c>
      <c r="V2692" s="6" t="str">
        <f>IFERROR(__xludf.DUMMYFUNCTION("""COMPUTED_VALUE"""),"English")</f>
        <v>English</v>
      </c>
      <c r="W2692" s="6" t="str">
        <f>IFERROR(__xludf.DUMMYFUNCTION("""COMPUTED_VALUE"""),"[]")</f>
        <v>[]</v>
      </c>
      <c r="X2692" s="6" t="str">
        <f>IFERROR(__xludf.DUMMYFUNCTION("""COMPUTED_VALUE"""),"Enrolled")</f>
        <v>Enrolled</v>
      </c>
    </row>
    <row r="2693">
      <c r="A2693" s="6" t="str">
        <f>IFERROR(__xludf.DUMMYFUNCTION("""COMPUTED_VALUE"""),"056-5505")</f>
        <v>056-5505</v>
      </c>
      <c r="B2693" s="6" t="str">
        <f>IFERROR(__xludf.DUMMYFUNCTION("""COMPUTED_VALUE"""),"56")</f>
        <v>56</v>
      </c>
      <c r="C2693" s="6" t="str">
        <f>IFERROR(__xludf.DUMMYFUNCTION("""COMPUTED_VALUE"""),"5505")</f>
        <v>5505</v>
      </c>
      <c r="D2693" s="6" t="str">
        <f>IFERROR(__xludf.DUMMYFUNCTION("""COMPUTED_VALUE"""),"Ishaya")</f>
        <v>Ishaya</v>
      </c>
      <c r="E2693" s="6" t="str">
        <f>IFERROR(__xludf.DUMMYFUNCTION("""COMPUTED_VALUE"""),"")</f>
        <v/>
      </c>
      <c r="F2693" s="6" t="str">
        <f>IFERROR(__xludf.DUMMYFUNCTION("""COMPUTED_VALUE"""),"Whitaker")</f>
        <v>Whitaker</v>
      </c>
      <c r="G2693" s="6" t="str">
        <f>IFERROR(__xludf.DUMMYFUNCTION("""COMPUTED_VALUE"""),"09/28/2010")</f>
        <v>09/28/2010</v>
      </c>
      <c r="H2693" s="6" t="str">
        <f>IFERROR(__xludf.DUMMYFUNCTION("""COMPUTED_VALUE"""),"Self Identify")</f>
        <v>Self Identify</v>
      </c>
      <c r="I2693" s="6" t="str">
        <f>IFERROR(__xludf.DUMMYFUNCTION("""COMPUTED_VALUE"""),"High School")</f>
        <v>High School</v>
      </c>
      <c r="J2693" s="6" t="str">
        <f>IFERROR(__xludf.DUMMYFUNCTION("""COMPUTED_VALUE"""),"10")</f>
        <v>10</v>
      </c>
      <c r="K2693" s="6" t="str">
        <f>IFERROR(__xludf.DUMMYFUNCTION("""COMPUTED_VALUE"""),"ishaya.whitaker@2hourlearning.com")</f>
        <v>ishaya.whitaker@2hourlearning.com</v>
      </c>
      <c r="L2693" s="6" t="str">
        <f>IFERROR(__xludf.DUMMYFUNCTION("""COMPUTED_VALUE"""),"Reading Community City School District")</f>
        <v>Reading Community City School District</v>
      </c>
      <c r="M2693" s="6" t="str">
        <f>IFERROR(__xludf.DUMMYFUNCTION("""COMPUTED_VALUE"""),"High school")</f>
        <v>High school</v>
      </c>
      <c r="N2693" s="6" t="str">
        <f>IFERROR(__xludf.DUMMYFUNCTION("""COMPUTED_VALUE"""),"")</f>
        <v/>
      </c>
      <c r="O2693" s="87" t="str">
        <f>IFERROR(__xludf.DUMMYFUNCTION("""COMPUTED_VALUE"""),"https://drive.google.com/drive/folders/10T2cTQHqEJZqE-st6uFKPoI?usp=share_link")</f>
        <v>https://drive.google.com/drive/folders/10T2cTQHqEJZqE-st6uFKPoI?usp=share_link</v>
      </c>
      <c r="P2693" s="6" t="str">
        <f>IFERROR(__xludf.DUMMYFUNCTION("""COMPUTED_VALUE"""),"Ishaya Whitaker")</f>
        <v>Ishaya Whitaker</v>
      </c>
      <c r="Q2693" s="6" t="str">
        <f>IFERROR(__xludf.DUMMYFUNCTION("""COMPUTED_VALUE"""),"HS")</f>
        <v>HS</v>
      </c>
      <c r="R2693" s="6">
        <f>IFERROR(__xludf.DUMMYFUNCTION("""COMPUTED_VALUE"""),0.0)</f>
        <v>0</v>
      </c>
      <c r="S2693" s="6" t="str">
        <f>IFERROR(__xludf.DUMMYFUNCTION("""COMPUTED_VALUE"""),"Misty Cook")</f>
        <v>Misty Cook</v>
      </c>
      <c r="T2693" s="6" t="str">
        <f>IFERROR(__xludf.DUMMYFUNCTION("""COMPUTED_VALUE"""),"mcook@reaadingschools.org")</f>
        <v>mcook@reaadingschools.org</v>
      </c>
      <c r="U2693" s="6" t="str">
        <f>IFERROR(__xludf.DUMMYFUNCTION("""COMPUTED_VALUE"""),"10")</f>
        <v>10</v>
      </c>
      <c r="V2693" s="6" t="str">
        <f>IFERROR(__xludf.DUMMYFUNCTION("""COMPUTED_VALUE"""),"English")</f>
        <v>English</v>
      </c>
      <c r="W2693" s="6" t="str">
        <f>IFERROR(__xludf.DUMMYFUNCTION("""COMPUTED_VALUE"""),"[]")</f>
        <v>[]</v>
      </c>
      <c r="X2693" s="6" t="str">
        <f>IFERROR(__xludf.DUMMYFUNCTION("""COMPUTED_VALUE"""),"Enrolled")</f>
        <v>Enrolled</v>
      </c>
    </row>
    <row r="2694">
      <c r="A2694" s="6" t="str">
        <f>IFERROR(__xludf.DUMMYFUNCTION("""COMPUTED_VALUE"""),"056-5506")</f>
        <v>056-5506</v>
      </c>
      <c r="B2694" s="6" t="str">
        <f>IFERROR(__xludf.DUMMYFUNCTION("""COMPUTED_VALUE"""),"56")</f>
        <v>56</v>
      </c>
      <c r="C2694" s="6" t="str">
        <f>IFERROR(__xludf.DUMMYFUNCTION("""COMPUTED_VALUE"""),"5506")</f>
        <v>5506</v>
      </c>
      <c r="D2694" s="6" t="str">
        <f>IFERROR(__xludf.DUMMYFUNCTION("""COMPUTED_VALUE"""),"Jaelyn")</f>
        <v>Jaelyn</v>
      </c>
      <c r="E2694" s="6" t="str">
        <f>IFERROR(__xludf.DUMMYFUNCTION("""COMPUTED_VALUE"""),"")</f>
        <v/>
      </c>
      <c r="F2694" s="6" t="str">
        <f>IFERROR(__xludf.DUMMYFUNCTION("""COMPUTED_VALUE"""),"Nelson")</f>
        <v>Nelson</v>
      </c>
      <c r="G2694" s="6" t="str">
        <f>IFERROR(__xludf.DUMMYFUNCTION("""COMPUTED_VALUE"""),"01/30/2010")</f>
        <v>01/30/2010</v>
      </c>
      <c r="H2694" s="6" t="str">
        <f>IFERROR(__xludf.DUMMYFUNCTION("""COMPUTED_VALUE"""),"Self Identify")</f>
        <v>Self Identify</v>
      </c>
      <c r="I2694" s="6" t="str">
        <f>IFERROR(__xludf.DUMMYFUNCTION("""COMPUTED_VALUE"""),"High School")</f>
        <v>High School</v>
      </c>
      <c r="J2694" s="6" t="str">
        <f>IFERROR(__xludf.DUMMYFUNCTION("""COMPUTED_VALUE"""),"10")</f>
        <v>10</v>
      </c>
      <c r="K2694" s="6" t="str">
        <f>IFERROR(__xludf.DUMMYFUNCTION("""COMPUTED_VALUE"""),"jaelyn.nelson@2hourlearning.com")</f>
        <v>jaelyn.nelson@2hourlearning.com</v>
      </c>
      <c r="L2694" s="6" t="str">
        <f>IFERROR(__xludf.DUMMYFUNCTION("""COMPUTED_VALUE"""),"Reading Community City School District")</f>
        <v>Reading Community City School District</v>
      </c>
      <c r="M2694" s="6" t="str">
        <f>IFERROR(__xludf.DUMMYFUNCTION("""COMPUTED_VALUE"""),"High school")</f>
        <v>High school</v>
      </c>
      <c r="N2694" s="6" t="str">
        <f>IFERROR(__xludf.DUMMYFUNCTION("""COMPUTED_VALUE"""),"")</f>
        <v/>
      </c>
      <c r="O2694" s="87" t="str">
        <f>IFERROR(__xludf.DUMMYFUNCTION("""COMPUTED_VALUE"""),"https://drive.google.com/drive/folders/10T2cTQHqEJZqE-st6uFKPoI?usp=share_link")</f>
        <v>https://drive.google.com/drive/folders/10T2cTQHqEJZqE-st6uFKPoI?usp=share_link</v>
      </c>
      <c r="P2694" s="6" t="str">
        <f>IFERROR(__xludf.DUMMYFUNCTION("""COMPUTED_VALUE"""),"Jaelyn Nelson")</f>
        <v>Jaelyn Nelson</v>
      </c>
      <c r="Q2694" s="6" t="str">
        <f>IFERROR(__xludf.DUMMYFUNCTION("""COMPUTED_VALUE"""),"HS")</f>
        <v>HS</v>
      </c>
      <c r="R2694" s="6">
        <f>IFERROR(__xludf.DUMMYFUNCTION("""COMPUTED_VALUE"""),0.0)</f>
        <v>0</v>
      </c>
      <c r="S2694" s="6" t="str">
        <f>IFERROR(__xludf.DUMMYFUNCTION("""COMPUTED_VALUE"""),"Misty Cook")</f>
        <v>Misty Cook</v>
      </c>
      <c r="T2694" s="6" t="str">
        <f>IFERROR(__xludf.DUMMYFUNCTION("""COMPUTED_VALUE"""),"mcook@reaadingschools.org")</f>
        <v>mcook@reaadingschools.org</v>
      </c>
      <c r="U2694" s="6" t="str">
        <f>IFERROR(__xludf.DUMMYFUNCTION("""COMPUTED_VALUE"""),"10")</f>
        <v>10</v>
      </c>
      <c r="V2694" s="6" t="str">
        <f>IFERROR(__xludf.DUMMYFUNCTION("""COMPUTED_VALUE"""),"English")</f>
        <v>English</v>
      </c>
      <c r="W2694" s="6" t="str">
        <f>IFERROR(__xludf.DUMMYFUNCTION("""COMPUTED_VALUE"""),"[]")</f>
        <v>[]</v>
      </c>
      <c r="X2694" s="6" t="str">
        <f>IFERROR(__xludf.DUMMYFUNCTION("""COMPUTED_VALUE"""),"Enrolled")</f>
        <v>Enrolled</v>
      </c>
    </row>
    <row r="2695">
      <c r="A2695" s="6" t="str">
        <f>IFERROR(__xludf.DUMMYFUNCTION("""COMPUTED_VALUE"""),"056-5507")</f>
        <v>056-5507</v>
      </c>
      <c r="B2695" s="6" t="str">
        <f>IFERROR(__xludf.DUMMYFUNCTION("""COMPUTED_VALUE"""),"56")</f>
        <v>56</v>
      </c>
      <c r="C2695" s="6" t="str">
        <f>IFERROR(__xludf.DUMMYFUNCTION("""COMPUTED_VALUE"""),"5507")</f>
        <v>5507</v>
      </c>
      <c r="D2695" s="6" t="str">
        <f>IFERROR(__xludf.DUMMYFUNCTION("""COMPUTED_VALUE"""),"Kaden")</f>
        <v>Kaden</v>
      </c>
      <c r="E2695" s="6" t="str">
        <f>IFERROR(__xludf.DUMMYFUNCTION("""COMPUTED_VALUE"""),"")</f>
        <v/>
      </c>
      <c r="F2695" s="6" t="str">
        <f>IFERROR(__xludf.DUMMYFUNCTION("""COMPUTED_VALUE"""),"Robinson")</f>
        <v>Robinson</v>
      </c>
      <c r="G2695" s="6" t="str">
        <f>IFERROR(__xludf.DUMMYFUNCTION("""COMPUTED_VALUE"""),"03/08/2010")</f>
        <v>03/08/2010</v>
      </c>
      <c r="H2695" s="6" t="str">
        <f>IFERROR(__xludf.DUMMYFUNCTION("""COMPUTED_VALUE"""),"Self Identify")</f>
        <v>Self Identify</v>
      </c>
      <c r="I2695" s="6" t="str">
        <f>IFERROR(__xludf.DUMMYFUNCTION("""COMPUTED_VALUE"""),"High School")</f>
        <v>High School</v>
      </c>
      <c r="J2695" s="6" t="str">
        <f>IFERROR(__xludf.DUMMYFUNCTION("""COMPUTED_VALUE"""),"10")</f>
        <v>10</v>
      </c>
      <c r="K2695" s="6" t="str">
        <f>IFERROR(__xludf.DUMMYFUNCTION("""COMPUTED_VALUE"""),"kaden.robinson@2hourlearning.com")</f>
        <v>kaden.robinson@2hourlearning.com</v>
      </c>
      <c r="L2695" s="6" t="str">
        <f>IFERROR(__xludf.DUMMYFUNCTION("""COMPUTED_VALUE"""),"Reading Community City School District")</f>
        <v>Reading Community City School District</v>
      </c>
      <c r="M2695" s="6" t="str">
        <f>IFERROR(__xludf.DUMMYFUNCTION("""COMPUTED_VALUE"""),"High school")</f>
        <v>High school</v>
      </c>
      <c r="N2695" s="6" t="str">
        <f>IFERROR(__xludf.DUMMYFUNCTION("""COMPUTED_VALUE"""),"")</f>
        <v/>
      </c>
      <c r="O2695" s="87" t="str">
        <f>IFERROR(__xludf.DUMMYFUNCTION("""COMPUTED_VALUE"""),"https://drive.google.com/drive/folders/10T2cTQHqEJZqE-st6uFKPoI?usp=share_link")</f>
        <v>https://drive.google.com/drive/folders/10T2cTQHqEJZqE-st6uFKPoI?usp=share_link</v>
      </c>
      <c r="P2695" s="6" t="str">
        <f>IFERROR(__xludf.DUMMYFUNCTION("""COMPUTED_VALUE"""),"Kaden Robinson")</f>
        <v>Kaden Robinson</v>
      </c>
      <c r="Q2695" s="6" t="str">
        <f>IFERROR(__xludf.DUMMYFUNCTION("""COMPUTED_VALUE"""),"HS")</f>
        <v>HS</v>
      </c>
      <c r="R2695" s="6">
        <f>IFERROR(__xludf.DUMMYFUNCTION("""COMPUTED_VALUE"""),0.0)</f>
        <v>0</v>
      </c>
      <c r="S2695" s="6" t="str">
        <f>IFERROR(__xludf.DUMMYFUNCTION("""COMPUTED_VALUE"""),"Misty Cook")</f>
        <v>Misty Cook</v>
      </c>
      <c r="T2695" s="6" t="str">
        <f>IFERROR(__xludf.DUMMYFUNCTION("""COMPUTED_VALUE"""),"mcook@reaadingschools.org")</f>
        <v>mcook@reaadingschools.org</v>
      </c>
      <c r="U2695" s="6" t="str">
        <f>IFERROR(__xludf.DUMMYFUNCTION("""COMPUTED_VALUE"""),"10")</f>
        <v>10</v>
      </c>
      <c r="V2695" s="6" t="str">
        <f>IFERROR(__xludf.DUMMYFUNCTION("""COMPUTED_VALUE"""),"English")</f>
        <v>English</v>
      </c>
      <c r="W2695" s="6" t="str">
        <f>IFERROR(__xludf.DUMMYFUNCTION("""COMPUTED_VALUE"""),"[]")</f>
        <v>[]</v>
      </c>
      <c r="X2695" s="6" t="str">
        <f>IFERROR(__xludf.DUMMYFUNCTION("""COMPUTED_VALUE"""),"Enrolled")</f>
        <v>Enrolled</v>
      </c>
    </row>
    <row r="2696">
      <c r="A2696" s="6" t="str">
        <f>IFERROR(__xludf.DUMMYFUNCTION("""COMPUTED_VALUE"""),"056-5508")</f>
        <v>056-5508</v>
      </c>
      <c r="B2696" s="6" t="str">
        <f>IFERROR(__xludf.DUMMYFUNCTION("""COMPUTED_VALUE"""),"56")</f>
        <v>56</v>
      </c>
      <c r="C2696" s="6" t="str">
        <f>IFERROR(__xludf.DUMMYFUNCTION("""COMPUTED_VALUE"""),"5508")</f>
        <v>5508</v>
      </c>
      <c r="D2696" s="6" t="str">
        <f>IFERROR(__xludf.DUMMYFUNCTION("""COMPUTED_VALUE"""),"Khris-lashay")</f>
        <v>Khris-lashay</v>
      </c>
      <c r="E2696" s="6" t="str">
        <f>IFERROR(__xludf.DUMMYFUNCTION("""COMPUTED_VALUE"""),"")</f>
        <v/>
      </c>
      <c r="F2696" s="6" t="str">
        <f>IFERROR(__xludf.DUMMYFUNCTION("""COMPUTED_VALUE"""),"Atkins")</f>
        <v>Atkins</v>
      </c>
      <c r="G2696" s="6" t="str">
        <f>IFERROR(__xludf.DUMMYFUNCTION("""COMPUTED_VALUE"""),"03/16/2010")</f>
        <v>03/16/2010</v>
      </c>
      <c r="H2696" s="6" t="str">
        <f>IFERROR(__xludf.DUMMYFUNCTION("""COMPUTED_VALUE"""),"Self Identify")</f>
        <v>Self Identify</v>
      </c>
      <c r="I2696" s="6" t="str">
        <f>IFERROR(__xludf.DUMMYFUNCTION("""COMPUTED_VALUE"""),"High School")</f>
        <v>High School</v>
      </c>
      <c r="J2696" s="6" t="str">
        <f>IFERROR(__xludf.DUMMYFUNCTION("""COMPUTED_VALUE"""),"10")</f>
        <v>10</v>
      </c>
      <c r="K2696" s="6" t="str">
        <f>IFERROR(__xludf.DUMMYFUNCTION("""COMPUTED_VALUE"""),"khris-lashay.atkins@2hourlearning.com")</f>
        <v>khris-lashay.atkins@2hourlearning.com</v>
      </c>
      <c r="L2696" s="6" t="str">
        <f>IFERROR(__xludf.DUMMYFUNCTION("""COMPUTED_VALUE"""),"Reading Community City School District")</f>
        <v>Reading Community City School District</v>
      </c>
      <c r="M2696" s="6" t="str">
        <f>IFERROR(__xludf.DUMMYFUNCTION("""COMPUTED_VALUE"""),"High school")</f>
        <v>High school</v>
      </c>
      <c r="N2696" s="6" t="str">
        <f>IFERROR(__xludf.DUMMYFUNCTION("""COMPUTED_VALUE"""),"")</f>
        <v/>
      </c>
      <c r="O2696" s="87" t="str">
        <f>IFERROR(__xludf.DUMMYFUNCTION("""COMPUTED_VALUE"""),"https://drive.google.com/drive/folders/10T2cTQHqEJZqE-st6uFKPoI?usp=share_link")</f>
        <v>https://drive.google.com/drive/folders/10T2cTQHqEJZqE-st6uFKPoI?usp=share_link</v>
      </c>
      <c r="P2696" s="6" t="str">
        <f>IFERROR(__xludf.DUMMYFUNCTION("""COMPUTED_VALUE"""),"Khris-lashay Atkins")</f>
        <v>Khris-lashay Atkins</v>
      </c>
      <c r="Q2696" s="6" t="str">
        <f>IFERROR(__xludf.DUMMYFUNCTION("""COMPUTED_VALUE"""),"HS")</f>
        <v>HS</v>
      </c>
      <c r="R2696" s="6">
        <f>IFERROR(__xludf.DUMMYFUNCTION("""COMPUTED_VALUE"""),0.0)</f>
        <v>0</v>
      </c>
      <c r="S2696" s="6" t="str">
        <f>IFERROR(__xludf.DUMMYFUNCTION("""COMPUTED_VALUE"""),"Misty Cook")</f>
        <v>Misty Cook</v>
      </c>
      <c r="T2696" s="6" t="str">
        <f>IFERROR(__xludf.DUMMYFUNCTION("""COMPUTED_VALUE"""),"mcook@reaadingschools.org")</f>
        <v>mcook@reaadingschools.org</v>
      </c>
      <c r="U2696" s="6" t="str">
        <f>IFERROR(__xludf.DUMMYFUNCTION("""COMPUTED_VALUE"""),"10")</f>
        <v>10</v>
      </c>
      <c r="V2696" s="6" t="str">
        <f>IFERROR(__xludf.DUMMYFUNCTION("""COMPUTED_VALUE"""),"English")</f>
        <v>English</v>
      </c>
      <c r="W2696" s="6" t="str">
        <f>IFERROR(__xludf.DUMMYFUNCTION("""COMPUTED_VALUE"""),"[]")</f>
        <v>[]</v>
      </c>
      <c r="X2696" s="6" t="str">
        <f>IFERROR(__xludf.DUMMYFUNCTION("""COMPUTED_VALUE"""),"Enrolled")</f>
        <v>Enrolled</v>
      </c>
    </row>
    <row r="2697">
      <c r="A2697" s="6" t="str">
        <f>IFERROR(__xludf.DUMMYFUNCTION("""COMPUTED_VALUE"""),"056-5509")</f>
        <v>056-5509</v>
      </c>
      <c r="B2697" s="6" t="str">
        <f>IFERROR(__xludf.DUMMYFUNCTION("""COMPUTED_VALUE"""),"56")</f>
        <v>56</v>
      </c>
      <c r="C2697" s="6" t="str">
        <f>IFERROR(__xludf.DUMMYFUNCTION("""COMPUTED_VALUE"""),"5509")</f>
        <v>5509</v>
      </c>
      <c r="D2697" s="6" t="str">
        <f>IFERROR(__xludf.DUMMYFUNCTION("""COMPUTED_VALUE"""),"Landyn")</f>
        <v>Landyn</v>
      </c>
      <c r="E2697" s="6" t="str">
        <f>IFERROR(__xludf.DUMMYFUNCTION("""COMPUTED_VALUE"""),"")</f>
        <v/>
      </c>
      <c r="F2697" s="6" t="str">
        <f>IFERROR(__xludf.DUMMYFUNCTION("""COMPUTED_VALUE"""),"Gillum")</f>
        <v>Gillum</v>
      </c>
      <c r="G2697" s="6" t="str">
        <f>IFERROR(__xludf.DUMMYFUNCTION("""COMPUTED_VALUE"""),"08/28/2009")</f>
        <v>08/28/2009</v>
      </c>
      <c r="H2697" s="6" t="str">
        <f>IFERROR(__xludf.DUMMYFUNCTION("""COMPUTED_VALUE"""),"Self Identify")</f>
        <v>Self Identify</v>
      </c>
      <c r="I2697" s="6" t="str">
        <f>IFERROR(__xludf.DUMMYFUNCTION("""COMPUTED_VALUE"""),"High School")</f>
        <v>High School</v>
      </c>
      <c r="J2697" s="6" t="str">
        <f>IFERROR(__xludf.DUMMYFUNCTION("""COMPUTED_VALUE"""),"10")</f>
        <v>10</v>
      </c>
      <c r="K2697" s="6" t="str">
        <f>IFERROR(__xludf.DUMMYFUNCTION("""COMPUTED_VALUE"""),"landyn.gillum@2hourlearning.com")</f>
        <v>landyn.gillum@2hourlearning.com</v>
      </c>
      <c r="L2697" s="6" t="str">
        <f>IFERROR(__xludf.DUMMYFUNCTION("""COMPUTED_VALUE"""),"Reading Community City School District")</f>
        <v>Reading Community City School District</v>
      </c>
      <c r="M2697" s="6" t="str">
        <f>IFERROR(__xludf.DUMMYFUNCTION("""COMPUTED_VALUE"""),"High school")</f>
        <v>High school</v>
      </c>
      <c r="N2697" s="6" t="str">
        <f>IFERROR(__xludf.DUMMYFUNCTION("""COMPUTED_VALUE"""),"")</f>
        <v/>
      </c>
      <c r="O2697" s="87" t="str">
        <f>IFERROR(__xludf.DUMMYFUNCTION("""COMPUTED_VALUE"""),"https://drive.google.com/drive/folders/10T2cTQHqEJZqE-st6uFKPoI?usp=share_link")</f>
        <v>https://drive.google.com/drive/folders/10T2cTQHqEJZqE-st6uFKPoI?usp=share_link</v>
      </c>
      <c r="P2697" s="6" t="str">
        <f>IFERROR(__xludf.DUMMYFUNCTION("""COMPUTED_VALUE"""),"Landyn Gillum")</f>
        <v>Landyn Gillum</v>
      </c>
      <c r="Q2697" s="6" t="str">
        <f>IFERROR(__xludf.DUMMYFUNCTION("""COMPUTED_VALUE"""),"HS")</f>
        <v>HS</v>
      </c>
      <c r="R2697" s="6">
        <f>IFERROR(__xludf.DUMMYFUNCTION("""COMPUTED_VALUE"""),0.0)</f>
        <v>0</v>
      </c>
      <c r="S2697" s="6" t="str">
        <f>IFERROR(__xludf.DUMMYFUNCTION("""COMPUTED_VALUE"""),"Misty Cook")</f>
        <v>Misty Cook</v>
      </c>
      <c r="T2697" s="6" t="str">
        <f>IFERROR(__xludf.DUMMYFUNCTION("""COMPUTED_VALUE"""),"mcook@reaadingschools.org")</f>
        <v>mcook@reaadingschools.org</v>
      </c>
      <c r="U2697" s="6" t="str">
        <f>IFERROR(__xludf.DUMMYFUNCTION("""COMPUTED_VALUE"""),"10")</f>
        <v>10</v>
      </c>
      <c r="V2697" s="6" t="str">
        <f>IFERROR(__xludf.DUMMYFUNCTION("""COMPUTED_VALUE"""),"English")</f>
        <v>English</v>
      </c>
      <c r="W2697" s="6" t="str">
        <f>IFERROR(__xludf.DUMMYFUNCTION("""COMPUTED_VALUE"""),"[]")</f>
        <v>[]</v>
      </c>
      <c r="X2697" s="6" t="str">
        <f>IFERROR(__xludf.DUMMYFUNCTION("""COMPUTED_VALUE"""),"Enrolled")</f>
        <v>Enrolled</v>
      </c>
    </row>
    <row r="2698">
      <c r="A2698" s="6" t="str">
        <f>IFERROR(__xludf.DUMMYFUNCTION("""COMPUTED_VALUE"""),"056-5510")</f>
        <v>056-5510</v>
      </c>
      <c r="B2698" s="6" t="str">
        <f>IFERROR(__xludf.DUMMYFUNCTION("""COMPUTED_VALUE"""),"56")</f>
        <v>56</v>
      </c>
      <c r="C2698" s="6" t="str">
        <f>IFERROR(__xludf.DUMMYFUNCTION("""COMPUTED_VALUE"""),"5510")</f>
        <v>5510</v>
      </c>
      <c r="D2698" s="6" t="str">
        <f>IFERROR(__xludf.DUMMYFUNCTION("""COMPUTED_VALUE"""),"Luis")</f>
        <v>Luis</v>
      </c>
      <c r="E2698" s="6" t="str">
        <f>IFERROR(__xludf.DUMMYFUNCTION("""COMPUTED_VALUE"""),"")</f>
        <v/>
      </c>
      <c r="F2698" s="6" t="str">
        <f>IFERROR(__xludf.DUMMYFUNCTION("""COMPUTED_VALUE"""),"Toledo-Sanchez")</f>
        <v>Toledo-Sanchez</v>
      </c>
      <c r="G2698" s="6" t="str">
        <f>IFERROR(__xludf.DUMMYFUNCTION("""COMPUTED_VALUE"""),"01/11/2009")</f>
        <v>01/11/2009</v>
      </c>
      <c r="H2698" s="6" t="str">
        <f>IFERROR(__xludf.DUMMYFUNCTION("""COMPUTED_VALUE"""),"Self Identify")</f>
        <v>Self Identify</v>
      </c>
      <c r="I2698" s="6" t="str">
        <f>IFERROR(__xludf.DUMMYFUNCTION("""COMPUTED_VALUE"""),"High School")</f>
        <v>High School</v>
      </c>
      <c r="J2698" s="6" t="str">
        <f>IFERROR(__xludf.DUMMYFUNCTION("""COMPUTED_VALUE"""),"10")</f>
        <v>10</v>
      </c>
      <c r="K2698" s="6" t="str">
        <f>IFERROR(__xludf.DUMMYFUNCTION("""COMPUTED_VALUE"""),"luis.toledo-sanchez@2hourlearning.com")</f>
        <v>luis.toledo-sanchez@2hourlearning.com</v>
      </c>
      <c r="L2698" s="6" t="str">
        <f>IFERROR(__xludf.DUMMYFUNCTION("""COMPUTED_VALUE"""),"Reading Community City School District")</f>
        <v>Reading Community City School District</v>
      </c>
      <c r="M2698" s="6" t="str">
        <f>IFERROR(__xludf.DUMMYFUNCTION("""COMPUTED_VALUE"""),"High school")</f>
        <v>High school</v>
      </c>
      <c r="N2698" s="6" t="str">
        <f>IFERROR(__xludf.DUMMYFUNCTION("""COMPUTED_VALUE"""),"")</f>
        <v/>
      </c>
      <c r="O2698" s="87" t="str">
        <f>IFERROR(__xludf.DUMMYFUNCTION("""COMPUTED_VALUE"""),"https://drive.google.com/drive/folders/10T2cTQHqEJZqE-st6uFKPoI?usp=share_link")</f>
        <v>https://drive.google.com/drive/folders/10T2cTQHqEJZqE-st6uFKPoI?usp=share_link</v>
      </c>
      <c r="P2698" s="6" t="str">
        <f>IFERROR(__xludf.DUMMYFUNCTION("""COMPUTED_VALUE"""),"Luis Toledo-Sanchez")</f>
        <v>Luis Toledo-Sanchez</v>
      </c>
      <c r="Q2698" s="6" t="str">
        <f>IFERROR(__xludf.DUMMYFUNCTION("""COMPUTED_VALUE"""),"HS")</f>
        <v>HS</v>
      </c>
      <c r="R2698" s="6">
        <f>IFERROR(__xludf.DUMMYFUNCTION("""COMPUTED_VALUE"""),0.0)</f>
        <v>0</v>
      </c>
      <c r="S2698" s="6" t="str">
        <f>IFERROR(__xludf.DUMMYFUNCTION("""COMPUTED_VALUE"""),"Misty Cook")</f>
        <v>Misty Cook</v>
      </c>
      <c r="T2698" s="6" t="str">
        <f>IFERROR(__xludf.DUMMYFUNCTION("""COMPUTED_VALUE"""),"mcook@reaadingschools.org")</f>
        <v>mcook@reaadingschools.org</v>
      </c>
      <c r="U2698" s="6" t="str">
        <f>IFERROR(__xludf.DUMMYFUNCTION("""COMPUTED_VALUE"""),"10")</f>
        <v>10</v>
      </c>
      <c r="V2698" s="6" t="str">
        <f>IFERROR(__xludf.DUMMYFUNCTION("""COMPUTED_VALUE"""),"English")</f>
        <v>English</v>
      </c>
      <c r="W2698" s="6" t="str">
        <f>IFERROR(__xludf.DUMMYFUNCTION("""COMPUTED_VALUE"""),"[]")</f>
        <v>[]</v>
      </c>
      <c r="X2698" s="6" t="str">
        <f>IFERROR(__xludf.DUMMYFUNCTION("""COMPUTED_VALUE"""),"Enrolled")</f>
        <v>Enrolled</v>
      </c>
    </row>
    <row r="2699">
      <c r="A2699" s="6" t="str">
        <f>IFERROR(__xludf.DUMMYFUNCTION("""COMPUTED_VALUE"""),"056-5511")</f>
        <v>056-5511</v>
      </c>
      <c r="B2699" s="6" t="str">
        <f>IFERROR(__xludf.DUMMYFUNCTION("""COMPUTED_VALUE"""),"56")</f>
        <v>56</v>
      </c>
      <c r="C2699" s="6" t="str">
        <f>IFERROR(__xludf.DUMMYFUNCTION("""COMPUTED_VALUE"""),"5511")</f>
        <v>5511</v>
      </c>
      <c r="D2699" s="6" t="str">
        <f>IFERROR(__xludf.DUMMYFUNCTION("""COMPUTED_VALUE"""),"Maci")</f>
        <v>Maci</v>
      </c>
      <c r="E2699" s="6" t="str">
        <f>IFERROR(__xludf.DUMMYFUNCTION("""COMPUTED_VALUE"""),"")</f>
        <v/>
      </c>
      <c r="F2699" s="6" t="str">
        <f>IFERROR(__xludf.DUMMYFUNCTION("""COMPUTED_VALUE"""),"Lawson")</f>
        <v>Lawson</v>
      </c>
      <c r="G2699" s="6" t="str">
        <f>IFERROR(__xludf.DUMMYFUNCTION("""COMPUTED_VALUE"""),"08/16/2010")</f>
        <v>08/16/2010</v>
      </c>
      <c r="H2699" s="6" t="str">
        <f>IFERROR(__xludf.DUMMYFUNCTION("""COMPUTED_VALUE"""),"Self Identify")</f>
        <v>Self Identify</v>
      </c>
      <c r="I2699" s="6" t="str">
        <f>IFERROR(__xludf.DUMMYFUNCTION("""COMPUTED_VALUE"""),"High School")</f>
        <v>High School</v>
      </c>
      <c r="J2699" s="6" t="str">
        <f>IFERROR(__xludf.DUMMYFUNCTION("""COMPUTED_VALUE"""),"10")</f>
        <v>10</v>
      </c>
      <c r="K2699" s="6" t="str">
        <f>IFERROR(__xludf.DUMMYFUNCTION("""COMPUTED_VALUE"""),"maci.lawson@2hourlearning.com")</f>
        <v>maci.lawson@2hourlearning.com</v>
      </c>
      <c r="L2699" s="6" t="str">
        <f>IFERROR(__xludf.DUMMYFUNCTION("""COMPUTED_VALUE"""),"Reading Community City School District")</f>
        <v>Reading Community City School District</v>
      </c>
      <c r="M2699" s="6" t="str">
        <f>IFERROR(__xludf.DUMMYFUNCTION("""COMPUTED_VALUE"""),"High school")</f>
        <v>High school</v>
      </c>
      <c r="N2699" s="6" t="str">
        <f>IFERROR(__xludf.DUMMYFUNCTION("""COMPUTED_VALUE"""),"")</f>
        <v/>
      </c>
      <c r="O2699" s="87" t="str">
        <f>IFERROR(__xludf.DUMMYFUNCTION("""COMPUTED_VALUE"""),"https://drive.google.com/drive/folders/10T2cTQHqEJZqE-st6uFKPoI?usp=share_link")</f>
        <v>https://drive.google.com/drive/folders/10T2cTQHqEJZqE-st6uFKPoI?usp=share_link</v>
      </c>
      <c r="P2699" s="6" t="str">
        <f>IFERROR(__xludf.DUMMYFUNCTION("""COMPUTED_VALUE"""),"Maci Lawson")</f>
        <v>Maci Lawson</v>
      </c>
      <c r="Q2699" s="6" t="str">
        <f>IFERROR(__xludf.DUMMYFUNCTION("""COMPUTED_VALUE"""),"HS")</f>
        <v>HS</v>
      </c>
      <c r="R2699" s="6">
        <f>IFERROR(__xludf.DUMMYFUNCTION("""COMPUTED_VALUE"""),0.0)</f>
        <v>0</v>
      </c>
      <c r="S2699" s="6" t="str">
        <f>IFERROR(__xludf.DUMMYFUNCTION("""COMPUTED_VALUE"""),"Misty Cook")</f>
        <v>Misty Cook</v>
      </c>
      <c r="T2699" s="6" t="str">
        <f>IFERROR(__xludf.DUMMYFUNCTION("""COMPUTED_VALUE"""),"mcook@reaadingschools.org")</f>
        <v>mcook@reaadingschools.org</v>
      </c>
      <c r="U2699" s="6" t="str">
        <f>IFERROR(__xludf.DUMMYFUNCTION("""COMPUTED_VALUE"""),"10")</f>
        <v>10</v>
      </c>
      <c r="V2699" s="6" t="str">
        <f>IFERROR(__xludf.DUMMYFUNCTION("""COMPUTED_VALUE"""),"English")</f>
        <v>English</v>
      </c>
      <c r="W2699" s="6" t="str">
        <f>IFERROR(__xludf.DUMMYFUNCTION("""COMPUTED_VALUE"""),"[]")</f>
        <v>[]</v>
      </c>
      <c r="X2699" s="6" t="str">
        <f>IFERROR(__xludf.DUMMYFUNCTION("""COMPUTED_VALUE"""),"Enrolled")</f>
        <v>Enrolled</v>
      </c>
    </row>
    <row r="2700">
      <c r="A2700" s="6" t="str">
        <f>IFERROR(__xludf.DUMMYFUNCTION("""COMPUTED_VALUE"""),"056-5512")</f>
        <v>056-5512</v>
      </c>
      <c r="B2700" s="6" t="str">
        <f>IFERROR(__xludf.DUMMYFUNCTION("""COMPUTED_VALUE"""),"56")</f>
        <v>56</v>
      </c>
      <c r="C2700" s="6" t="str">
        <f>IFERROR(__xludf.DUMMYFUNCTION("""COMPUTED_VALUE"""),"5512")</f>
        <v>5512</v>
      </c>
      <c r="D2700" s="6" t="str">
        <f>IFERROR(__xludf.DUMMYFUNCTION("""COMPUTED_VALUE"""),"Naseer")</f>
        <v>Naseer</v>
      </c>
      <c r="E2700" s="6" t="str">
        <f>IFERROR(__xludf.DUMMYFUNCTION("""COMPUTED_VALUE"""),"")</f>
        <v/>
      </c>
      <c r="F2700" s="6" t="str">
        <f>IFERROR(__xludf.DUMMYFUNCTION("""COMPUTED_VALUE"""),"Faizi")</f>
        <v>Faizi</v>
      </c>
      <c r="G2700" s="6" t="str">
        <f>IFERROR(__xludf.DUMMYFUNCTION("""COMPUTED_VALUE"""),"05/09/2008")</f>
        <v>05/09/2008</v>
      </c>
      <c r="H2700" s="6" t="str">
        <f>IFERROR(__xludf.DUMMYFUNCTION("""COMPUTED_VALUE"""),"Self Identify")</f>
        <v>Self Identify</v>
      </c>
      <c r="I2700" s="6" t="str">
        <f>IFERROR(__xludf.DUMMYFUNCTION("""COMPUTED_VALUE"""),"High School")</f>
        <v>High School</v>
      </c>
      <c r="J2700" s="6" t="str">
        <f>IFERROR(__xludf.DUMMYFUNCTION("""COMPUTED_VALUE"""),"10")</f>
        <v>10</v>
      </c>
      <c r="K2700" s="6" t="str">
        <f>IFERROR(__xludf.DUMMYFUNCTION("""COMPUTED_VALUE"""),"naseer.faizi@2hourlearning.com")</f>
        <v>naseer.faizi@2hourlearning.com</v>
      </c>
      <c r="L2700" s="6" t="str">
        <f>IFERROR(__xludf.DUMMYFUNCTION("""COMPUTED_VALUE"""),"Reading Community City School District")</f>
        <v>Reading Community City School District</v>
      </c>
      <c r="M2700" s="6" t="str">
        <f>IFERROR(__xludf.DUMMYFUNCTION("""COMPUTED_VALUE"""),"High school")</f>
        <v>High school</v>
      </c>
      <c r="N2700" s="6" t="str">
        <f>IFERROR(__xludf.DUMMYFUNCTION("""COMPUTED_VALUE"""),"")</f>
        <v/>
      </c>
      <c r="O2700" s="87" t="str">
        <f>IFERROR(__xludf.DUMMYFUNCTION("""COMPUTED_VALUE"""),"https://drive.google.com/drive/folders/10T2cTQHqEJZqE-st6uFKPoI?usp=share_link")</f>
        <v>https://drive.google.com/drive/folders/10T2cTQHqEJZqE-st6uFKPoI?usp=share_link</v>
      </c>
      <c r="P2700" s="6" t="str">
        <f>IFERROR(__xludf.DUMMYFUNCTION("""COMPUTED_VALUE"""),"Naseer Faizi")</f>
        <v>Naseer Faizi</v>
      </c>
      <c r="Q2700" s="6" t="str">
        <f>IFERROR(__xludf.DUMMYFUNCTION("""COMPUTED_VALUE"""),"HS")</f>
        <v>HS</v>
      </c>
      <c r="R2700" s="6">
        <f>IFERROR(__xludf.DUMMYFUNCTION("""COMPUTED_VALUE"""),0.0)</f>
        <v>0</v>
      </c>
      <c r="S2700" s="6" t="str">
        <f>IFERROR(__xludf.DUMMYFUNCTION("""COMPUTED_VALUE"""),"Misty Cook")</f>
        <v>Misty Cook</v>
      </c>
      <c r="T2700" s="6" t="str">
        <f>IFERROR(__xludf.DUMMYFUNCTION("""COMPUTED_VALUE"""),"mcook@reaadingschools.org")</f>
        <v>mcook@reaadingschools.org</v>
      </c>
      <c r="U2700" s="6" t="str">
        <f>IFERROR(__xludf.DUMMYFUNCTION("""COMPUTED_VALUE"""),"10")</f>
        <v>10</v>
      </c>
      <c r="V2700" s="6" t="str">
        <f>IFERROR(__xludf.DUMMYFUNCTION("""COMPUTED_VALUE"""),"English")</f>
        <v>English</v>
      </c>
      <c r="W2700" s="6" t="str">
        <f>IFERROR(__xludf.DUMMYFUNCTION("""COMPUTED_VALUE"""),"[]")</f>
        <v>[]</v>
      </c>
      <c r="X2700" s="6" t="str">
        <f>IFERROR(__xludf.DUMMYFUNCTION("""COMPUTED_VALUE"""),"Enrolled")</f>
        <v>Enrolled</v>
      </c>
    </row>
    <row r="2701">
      <c r="A2701" s="6" t="str">
        <f>IFERROR(__xludf.DUMMYFUNCTION("""COMPUTED_VALUE"""),"056-5514")</f>
        <v>056-5514</v>
      </c>
      <c r="B2701" s="6" t="str">
        <f>IFERROR(__xludf.DUMMYFUNCTION("""COMPUTED_VALUE"""),"56")</f>
        <v>56</v>
      </c>
      <c r="C2701" s="6" t="str">
        <f>IFERROR(__xludf.DUMMYFUNCTION("""COMPUTED_VALUE"""),"5514")</f>
        <v>5514</v>
      </c>
      <c r="D2701" s="6" t="str">
        <f>IFERROR(__xludf.DUMMYFUNCTION("""COMPUTED_VALUE"""),"Peyton")</f>
        <v>Peyton</v>
      </c>
      <c r="E2701" s="6" t="str">
        <f>IFERROR(__xludf.DUMMYFUNCTION("""COMPUTED_VALUE"""),"")</f>
        <v/>
      </c>
      <c r="F2701" s="6" t="str">
        <f>IFERROR(__xludf.DUMMYFUNCTION("""COMPUTED_VALUE"""),"Watkins")</f>
        <v>Watkins</v>
      </c>
      <c r="G2701" s="6" t="str">
        <f>IFERROR(__xludf.DUMMYFUNCTION("""COMPUTED_VALUE"""),"05/28/2009")</f>
        <v>05/28/2009</v>
      </c>
      <c r="H2701" s="6" t="str">
        <f>IFERROR(__xludf.DUMMYFUNCTION("""COMPUTED_VALUE"""),"Self Identify")</f>
        <v>Self Identify</v>
      </c>
      <c r="I2701" s="6" t="str">
        <f>IFERROR(__xludf.DUMMYFUNCTION("""COMPUTED_VALUE"""),"High School")</f>
        <v>High School</v>
      </c>
      <c r="J2701" s="6" t="str">
        <f>IFERROR(__xludf.DUMMYFUNCTION("""COMPUTED_VALUE"""),"10")</f>
        <v>10</v>
      </c>
      <c r="K2701" s="6" t="str">
        <f>IFERROR(__xludf.DUMMYFUNCTION("""COMPUTED_VALUE"""),"peyton.watkins@2hourlearning.com")</f>
        <v>peyton.watkins@2hourlearning.com</v>
      </c>
      <c r="L2701" s="6" t="str">
        <f>IFERROR(__xludf.DUMMYFUNCTION("""COMPUTED_VALUE"""),"Reading Community City School District")</f>
        <v>Reading Community City School District</v>
      </c>
      <c r="M2701" s="6" t="str">
        <f>IFERROR(__xludf.DUMMYFUNCTION("""COMPUTED_VALUE"""),"High school")</f>
        <v>High school</v>
      </c>
      <c r="N2701" s="6" t="str">
        <f>IFERROR(__xludf.DUMMYFUNCTION("""COMPUTED_VALUE"""),"")</f>
        <v/>
      </c>
      <c r="O2701" s="87" t="str">
        <f>IFERROR(__xludf.DUMMYFUNCTION("""COMPUTED_VALUE"""),"https://drive.google.com/drive/folders/10T2cTQHqEJZqE-st6uFKPoI?usp=share_link")</f>
        <v>https://drive.google.com/drive/folders/10T2cTQHqEJZqE-st6uFKPoI?usp=share_link</v>
      </c>
      <c r="P2701" s="6" t="str">
        <f>IFERROR(__xludf.DUMMYFUNCTION("""COMPUTED_VALUE"""),"Peyton Watkins")</f>
        <v>Peyton Watkins</v>
      </c>
      <c r="Q2701" s="6" t="str">
        <f>IFERROR(__xludf.DUMMYFUNCTION("""COMPUTED_VALUE"""),"HS")</f>
        <v>HS</v>
      </c>
      <c r="R2701" s="6">
        <f>IFERROR(__xludf.DUMMYFUNCTION("""COMPUTED_VALUE"""),0.0)</f>
        <v>0</v>
      </c>
      <c r="S2701" s="6" t="str">
        <f>IFERROR(__xludf.DUMMYFUNCTION("""COMPUTED_VALUE"""),"Misty Cook")</f>
        <v>Misty Cook</v>
      </c>
      <c r="T2701" s="6" t="str">
        <f>IFERROR(__xludf.DUMMYFUNCTION("""COMPUTED_VALUE"""),"mcook@reaadingschools.org")</f>
        <v>mcook@reaadingschools.org</v>
      </c>
      <c r="U2701" s="6" t="str">
        <f>IFERROR(__xludf.DUMMYFUNCTION("""COMPUTED_VALUE"""),"10")</f>
        <v>10</v>
      </c>
      <c r="V2701" s="6" t="str">
        <f>IFERROR(__xludf.DUMMYFUNCTION("""COMPUTED_VALUE"""),"English")</f>
        <v>English</v>
      </c>
      <c r="W2701" s="6" t="str">
        <f>IFERROR(__xludf.DUMMYFUNCTION("""COMPUTED_VALUE"""),"[]")</f>
        <v>[]</v>
      </c>
      <c r="X2701" s="6" t="str">
        <f>IFERROR(__xludf.DUMMYFUNCTION("""COMPUTED_VALUE"""),"Enrolled")</f>
        <v>Enrolled</v>
      </c>
    </row>
    <row r="2702">
      <c r="A2702" s="6" t="str">
        <f>IFERROR(__xludf.DUMMYFUNCTION("""COMPUTED_VALUE"""),"056-5515")</f>
        <v>056-5515</v>
      </c>
      <c r="B2702" s="6" t="str">
        <f>IFERROR(__xludf.DUMMYFUNCTION("""COMPUTED_VALUE"""),"56")</f>
        <v>56</v>
      </c>
      <c r="C2702" s="6" t="str">
        <f>IFERROR(__xludf.DUMMYFUNCTION("""COMPUTED_VALUE"""),"5515")</f>
        <v>5515</v>
      </c>
      <c r="D2702" s="6" t="str">
        <f>IFERROR(__xludf.DUMMYFUNCTION("""COMPUTED_VALUE"""),"Victoria")</f>
        <v>Victoria</v>
      </c>
      <c r="E2702" s="6" t="str">
        <f>IFERROR(__xludf.DUMMYFUNCTION("""COMPUTED_VALUE"""),"")</f>
        <v/>
      </c>
      <c r="F2702" s="6" t="str">
        <f>IFERROR(__xludf.DUMMYFUNCTION("""COMPUTED_VALUE"""),"Bemmes")</f>
        <v>Bemmes</v>
      </c>
      <c r="G2702" s="6" t="str">
        <f>IFERROR(__xludf.DUMMYFUNCTION("""COMPUTED_VALUE"""),"12/18/2009")</f>
        <v>12/18/2009</v>
      </c>
      <c r="H2702" s="6" t="str">
        <f>IFERROR(__xludf.DUMMYFUNCTION("""COMPUTED_VALUE"""),"Self Identify")</f>
        <v>Self Identify</v>
      </c>
      <c r="I2702" s="6" t="str">
        <f>IFERROR(__xludf.DUMMYFUNCTION("""COMPUTED_VALUE"""),"High School")</f>
        <v>High School</v>
      </c>
      <c r="J2702" s="6" t="str">
        <f>IFERROR(__xludf.DUMMYFUNCTION("""COMPUTED_VALUE"""),"10")</f>
        <v>10</v>
      </c>
      <c r="K2702" s="6" t="str">
        <f>IFERROR(__xludf.DUMMYFUNCTION("""COMPUTED_VALUE"""),"victoria.bemmes@2hourlearning.com")</f>
        <v>victoria.bemmes@2hourlearning.com</v>
      </c>
      <c r="L2702" s="6" t="str">
        <f>IFERROR(__xludf.DUMMYFUNCTION("""COMPUTED_VALUE"""),"Reading Community City School District")</f>
        <v>Reading Community City School District</v>
      </c>
      <c r="M2702" s="6" t="str">
        <f>IFERROR(__xludf.DUMMYFUNCTION("""COMPUTED_VALUE"""),"High school")</f>
        <v>High school</v>
      </c>
      <c r="N2702" s="6" t="str">
        <f>IFERROR(__xludf.DUMMYFUNCTION("""COMPUTED_VALUE"""),"")</f>
        <v/>
      </c>
      <c r="O2702" s="87" t="str">
        <f>IFERROR(__xludf.DUMMYFUNCTION("""COMPUTED_VALUE"""),"https://drive.google.com/drive/folders/10T2cTQHqEJZqE-st6uFKPoI?usp=share_link")</f>
        <v>https://drive.google.com/drive/folders/10T2cTQHqEJZqE-st6uFKPoI?usp=share_link</v>
      </c>
      <c r="P2702" s="6" t="str">
        <f>IFERROR(__xludf.DUMMYFUNCTION("""COMPUTED_VALUE"""),"Victoria Bemmes")</f>
        <v>Victoria Bemmes</v>
      </c>
      <c r="Q2702" s="6" t="str">
        <f>IFERROR(__xludf.DUMMYFUNCTION("""COMPUTED_VALUE"""),"HS")</f>
        <v>HS</v>
      </c>
      <c r="R2702" s="6">
        <f>IFERROR(__xludf.DUMMYFUNCTION("""COMPUTED_VALUE"""),0.0)</f>
        <v>0</v>
      </c>
      <c r="S2702" s="6" t="str">
        <f>IFERROR(__xludf.DUMMYFUNCTION("""COMPUTED_VALUE"""),"Misty Cook")</f>
        <v>Misty Cook</v>
      </c>
      <c r="T2702" s="6" t="str">
        <f>IFERROR(__xludf.DUMMYFUNCTION("""COMPUTED_VALUE"""),"mcook@reaadingschools.org")</f>
        <v>mcook@reaadingschools.org</v>
      </c>
      <c r="U2702" s="6" t="str">
        <f>IFERROR(__xludf.DUMMYFUNCTION("""COMPUTED_VALUE"""),"10")</f>
        <v>10</v>
      </c>
      <c r="V2702" s="6" t="str">
        <f>IFERROR(__xludf.DUMMYFUNCTION("""COMPUTED_VALUE"""),"English")</f>
        <v>English</v>
      </c>
      <c r="W2702" s="6" t="str">
        <f>IFERROR(__xludf.DUMMYFUNCTION("""COMPUTED_VALUE"""),"[]")</f>
        <v>[]</v>
      </c>
      <c r="X2702" s="6" t="str">
        <f>IFERROR(__xludf.DUMMYFUNCTION("""COMPUTED_VALUE"""),"Enrolled")</f>
        <v>Enrolled</v>
      </c>
    </row>
    <row r="2703">
      <c r="A2703" s="6" t="str">
        <f>IFERROR(__xludf.DUMMYFUNCTION("""COMPUTED_VALUE"""),"056-5516")</f>
        <v>056-5516</v>
      </c>
      <c r="B2703" s="6" t="str">
        <f>IFERROR(__xludf.DUMMYFUNCTION("""COMPUTED_VALUE"""),"56")</f>
        <v>56</v>
      </c>
      <c r="C2703" s="6" t="str">
        <f>IFERROR(__xludf.DUMMYFUNCTION("""COMPUTED_VALUE"""),"5516")</f>
        <v>5516</v>
      </c>
      <c r="D2703" s="6" t="str">
        <f>IFERROR(__xludf.DUMMYFUNCTION("""COMPUTED_VALUE"""),"Zakeea")</f>
        <v>Zakeea</v>
      </c>
      <c r="E2703" s="6" t="str">
        <f>IFERROR(__xludf.DUMMYFUNCTION("""COMPUTED_VALUE"""),"")</f>
        <v/>
      </c>
      <c r="F2703" s="6" t="str">
        <f>IFERROR(__xludf.DUMMYFUNCTION("""COMPUTED_VALUE"""),"Faizi")</f>
        <v>Faizi</v>
      </c>
      <c r="G2703" s="6" t="str">
        <f>IFERROR(__xludf.DUMMYFUNCTION("""COMPUTED_VALUE"""),"05/11/2009")</f>
        <v>05/11/2009</v>
      </c>
      <c r="H2703" s="6" t="str">
        <f>IFERROR(__xludf.DUMMYFUNCTION("""COMPUTED_VALUE"""),"Self Identify")</f>
        <v>Self Identify</v>
      </c>
      <c r="I2703" s="6" t="str">
        <f>IFERROR(__xludf.DUMMYFUNCTION("""COMPUTED_VALUE"""),"High School")</f>
        <v>High School</v>
      </c>
      <c r="J2703" s="6" t="str">
        <f>IFERROR(__xludf.DUMMYFUNCTION("""COMPUTED_VALUE"""),"10")</f>
        <v>10</v>
      </c>
      <c r="K2703" s="6" t="str">
        <f>IFERROR(__xludf.DUMMYFUNCTION("""COMPUTED_VALUE"""),"zakeea.faizi@2hourlearning.com")</f>
        <v>zakeea.faizi@2hourlearning.com</v>
      </c>
      <c r="L2703" s="6" t="str">
        <f>IFERROR(__xludf.DUMMYFUNCTION("""COMPUTED_VALUE"""),"Reading Community City School District")</f>
        <v>Reading Community City School District</v>
      </c>
      <c r="M2703" s="6" t="str">
        <f>IFERROR(__xludf.DUMMYFUNCTION("""COMPUTED_VALUE"""),"High school")</f>
        <v>High school</v>
      </c>
      <c r="N2703" s="6" t="str">
        <f>IFERROR(__xludf.DUMMYFUNCTION("""COMPUTED_VALUE"""),"")</f>
        <v/>
      </c>
      <c r="O2703" s="87" t="str">
        <f>IFERROR(__xludf.DUMMYFUNCTION("""COMPUTED_VALUE"""),"https://drive.google.com/drive/folders/10T2cTQHqEJZqE-st6uFKPoI?usp=share_link")</f>
        <v>https://drive.google.com/drive/folders/10T2cTQHqEJZqE-st6uFKPoI?usp=share_link</v>
      </c>
      <c r="P2703" s="6" t="str">
        <f>IFERROR(__xludf.DUMMYFUNCTION("""COMPUTED_VALUE"""),"Zakeea Faizi")</f>
        <v>Zakeea Faizi</v>
      </c>
      <c r="Q2703" s="6" t="str">
        <f>IFERROR(__xludf.DUMMYFUNCTION("""COMPUTED_VALUE"""),"HS")</f>
        <v>HS</v>
      </c>
      <c r="R2703" s="6">
        <f>IFERROR(__xludf.DUMMYFUNCTION("""COMPUTED_VALUE"""),0.0)</f>
        <v>0</v>
      </c>
      <c r="S2703" s="6" t="str">
        <f>IFERROR(__xludf.DUMMYFUNCTION("""COMPUTED_VALUE"""),"Misty Cook")</f>
        <v>Misty Cook</v>
      </c>
      <c r="T2703" s="6" t="str">
        <f>IFERROR(__xludf.DUMMYFUNCTION("""COMPUTED_VALUE"""),"mcook@reaadingschools.org")</f>
        <v>mcook@reaadingschools.org</v>
      </c>
      <c r="U2703" s="6" t="str">
        <f>IFERROR(__xludf.DUMMYFUNCTION("""COMPUTED_VALUE"""),"10")</f>
        <v>10</v>
      </c>
      <c r="V2703" s="6" t="str">
        <f>IFERROR(__xludf.DUMMYFUNCTION("""COMPUTED_VALUE"""),"English")</f>
        <v>English</v>
      </c>
      <c r="W2703" s="6" t="str">
        <f>IFERROR(__xludf.DUMMYFUNCTION("""COMPUTED_VALUE"""),"[]")</f>
        <v>[]</v>
      </c>
      <c r="X2703" s="6" t="str">
        <f>IFERROR(__xludf.DUMMYFUNCTION("""COMPUTED_VALUE"""),"Enrolled")</f>
        <v>Enrolled</v>
      </c>
    </row>
    <row r="2704">
      <c r="A2704" s="6" t="str">
        <f>IFERROR(__xludf.DUMMYFUNCTION("""COMPUTED_VALUE"""),"056-5517")</f>
        <v>056-5517</v>
      </c>
      <c r="B2704" s="6" t="str">
        <f>IFERROR(__xludf.DUMMYFUNCTION("""COMPUTED_VALUE"""),"56")</f>
        <v>56</v>
      </c>
      <c r="C2704" s="6" t="str">
        <f>IFERROR(__xludf.DUMMYFUNCTION("""COMPUTED_VALUE"""),"5517")</f>
        <v>5517</v>
      </c>
      <c r="D2704" s="6" t="str">
        <f>IFERROR(__xludf.DUMMYFUNCTION("""COMPUTED_VALUE"""),"Austin")</f>
        <v>Austin</v>
      </c>
      <c r="E2704" s="6" t="str">
        <f>IFERROR(__xludf.DUMMYFUNCTION("""COMPUTED_VALUE"""),"")</f>
        <v/>
      </c>
      <c r="F2704" s="6" t="str">
        <f>IFERROR(__xludf.DUMMYFUNCTION("""COMPUTED_VALUE"""),"Singleton")</f>
        <v>Singleton</v>
      </c>
      <c r="G2704" s="6" t="str">
        <f>IFERROR(__xludf.DUMMYFUNCTION("""COMPUTED_VALUE"""),"04/15/2008")</f>
        <v>04/15/2008</v>
      </c>
      <c r="H2704" s="6" t="str">
        <f>IFERROR(__xludf.DUMMYFUNCTION("""COMPUTED_VALUE"""),"Self Identify")</f>
        <v>Self Identify</v>
      </c>
      <c r="I2704" s="6" t="str">
        <f>IFERROR(__xludf.DUMMYFUNCTION("""COMPUTED_VALUE"""),"High School")</f>
        <v>High School</v>
      </c>
      <c r="J2704" s="6" t="str">
        <f>IFERROR(__xludf.DUMMYFUNCTION("""COMPUTED_VALUE"""),"11")</f>
        <v>11</v>
      </c>
      <c r="K2704" s="6" t="str">
        <f>IFERROR(__xludf.DUMMYFUNCTION("""COMPUTED_VALUE"""),"austin.singleton@2hourlearning.com")</f>
        <v>austin.singleton@2hourlearning.com</v>
      </c>
      <c r="L2704" s="6" t="str">
        <f>IFERROR(__xludf.DUMMYFUNCTION("""COMPUTED_VALUE"""),"Reading Community City School District")</f>
        <v>Reading Community City School District</v>
      </c>
      <c r="M2704" s="6" t="str">
        <f>IFERROR(__xludf.DUMMYFUNCTION("""COMPUTED_VALUE"""),"High school")</f>
        <v>High school</v>
      </c>
      <c r="N2704" s="6" t="str">
        <f>IFERROR(__xludf.DUMMYFUNCTION("""COMPUTED_VALUE"""),"")</f>
        <v/>
      </c>
      <c r="O2704" s="87" t="str">
        <f>IFERROR(__xludf.DUMMYFUNCTION("""COMPUTED_VALUE"""),"https://drive.google.com/drive/folders/10T2cTQHqEJZqE-st6uFKPoI?usp=share_link")</f>
        <v>https://drive.google.com/drive/folders/10T2cTQHqEJZqE-st6uFKPoI?usp=share_link</v>
      </c>
      <c r="P2704" s="6" t="str">
        <f>IFERROR(__xludf.DUMMYFUNCTION("""COMPUTED_VALUE"""),"Austin Singleton")</f>
        <v>Austin Singleton</v>
      </c>
      <c r="Q2704" s="6" t="str">
        <f>IFERROR(__xludf.DUMMYFUNCTION("""COMPUTED_VALUE"""),"HS")</f>
        <v>HS</v>
      </c>
      <c r="R2704" s="6">
        <f>IFERROR(__xludf.DUMMYFUNCTION("""COMPUTED_VALUE"""),0.0)</f>
        <v>0</v>
      </c>
      <c r="S2704" s="6" t="str">
        <f>IFERROR(__xludf.DUMMYFUNCTION("""COMPUTED_VALUE"""),"Misty Cook")</f>
        <v>Misty Cook</v>
      </c>
      <c r="T2704" s="6" t="str">
        <f>IFERROR(__xludf.DUMMYFUNCTION("""COMPUTED_VALUE"""),"mcook@reaadingschools.org")</f>
        <v>mcook@reaadingschools.org</v>
      </c>
      <c r="U2704" s="6" t="str">
        <f>IFERROR(__xludf.DUMMYFUNCTION("""COMPUTED_VALUE"""),"11")</f>
        <v>11</v>
      </c>
      <c r="V2704" s="6" t="str">
        <f>IFERROR(__xludf.DUMMYFUNCTION("""COMPUTED_VALUE"""),"English")</f>
        <v>English</v>
      </c>
      <c r="W2704" s="6" t="str">
        <f>IFERROR(__xludf.DUMMYFUNCTION("""COMPUTED_VALUE"""),"[]")</f>
        <v>[]</v>
      </c>
      <c r="X2704" s="6" t="str">
        <f>IFERROR(__xludf.DUMMYFUNCTION("""COMPUTED_VALUE"""),"Enrolled")</f>
        <v>Enrolled</v>
      </c>
    </row>
    <row r="2705">
      <c r="A2705" s="6" t="str">
        <f>IFERROR(__xludf.DUMMYFUNCTION("""COMPUTED_VALUE"""),"056-5518")</f>
        <v>056-5518</v>
      </c>
      <c r="B2705" s="6" t="str">
        <f>IFERROR(__xludf.DUMMYFUNCTION("""COMPUTED_VALUE"""),"56")</f>
        <v>56</v>
      </c>
      <c r="C2705" s="6" t="str">
        <f>IFERROR(__xludf.DUMMYFUNCTION("""COMPUTED_VALUE"""),"5518")</f>
        <v>5518</v>
      </c>
      <c r="D2705" s="6" t="str">
        <f>IFERROR(__xludf.DUMMYFUNCTION("""COMPUTED_VALUE"""),"Dakota")</f>
        <v>Dakota</v>
      </c>
      <c r="E2705" s="6" t="str">
        <f>IFERROR(__xludf.DUMMYFUNCTION("""COMPUTED_VALUE"""),"")</f>
        <v/>
      </c>
      <c r="F2705" s="6" t="str">
        <f>IFERROR(__xludf.DUMMYFUNCTION("""COMPUTED_VALUE"""),"Gamble")</f>
        <v>Gamble</v>
      </c>
      <c r="G2705" s="6" t="str">
        <f>IFERROR(__xludf.DUMMYFUNCTION("""COMPUTED_VALUE"""),"05/28/2008")</f>
        <v>05/28/2008</v>
      </c>
      <c r="H2705" s="6" t="str">
        <f>IFERROR(__xludf.DUMMYFUNCTION("""COMPUTED_VALUE"""),"Self Identify")</f>
        <v>Self Identify</v>
      </c>
      <c r="I2705" s="6" t="str">
        <f>IFERROR(__xludf.DUMMYFUNCTION("""COMPUTED_VALUE"""),"High School")</f>
        <v>High School</v>
      </c>
      <c r="J2705" s="6" t="str">
        <f>IFERROR(__xludf.DUMMYFUNCTION("""COMPUTED_VALUE"""),"11")</f>
        <v>11</v>
      </c>
      <c r="K2705" s="6" t="str">
        <f>IFERROR(__xludf.DUMMYFUNCTION("""COMPUTED_VALUE"""),"dakota.gamble@2hourlearning.com")</f>
        <v>dakota.gamble@2hourlearning.com</v>
      </c>
      <c r="L2705" s="6" t="str">
        <f>IFERROR(__xludf.DUMMYFUNCTION("""COMPUTED_VALUE"""),"Reading Community City School District")</f>
        <v>Reading Community City School District</v>
      </c>
      <c r="M2705" s="6" t="str">
        <f>IFERROR(__xludf.DUMMYFUNCTION("""COMPUTED_VALUE"""),"High school")</f>
        <v>High school</v>
      </c>
      <c r="N2705" s="6" t="str">
        <f>IFERROR(__xludf.DUMMYFUNCTION("""COMPUTED_VALUE"""),"")</f>
        <v/>
      </c>
      <c r="O2705" s="87" t="str">
        <f>IFERROR(__xludf.DUMMYFUNCTION("""COMPUTED_VALUE"""),"https://drive.google.com/drive/folders/10T2cTQHqEJZqE-st6uFKPoI?usp=share_link")</f>
        <v>https://drive.google.com/drive/folders/10T2cTQHqEJZqE-st6uFKPoI?usp=share_link</v>
      </c>
      <c r="P2705" s="6" t="str">
        <f>IFERROR(__xludf.DUMMYFUNCTION("""COMPUTED_VALUE"""),"Dakota Gamble")</f>
        <v>Dakota Gamble</v>
      </c>
      <c r="Q2705" s="6" t="str">
        <f>IFERROR(__xludf.DUMMYFUNCTION("""COMPUTED_VALUE"""),"HS")</f>
        <v>HS</v>
      </c>
      <c r="R2705" s="6">
        <f>IFERROR(__xludf.DUMMYFUNCTION("""COMPUTED_VALUE"""),0.0)</f>
        <v>0</v>
      </c>
      <c r="S2705" s="6" t="str">
        <f>IFERROR(__xludf.DUMMYFUNCTION("""COMPUTED_VALUE"""),"Misty Cook")</f>
        <v>Misty Cook</v>
      </c>
      <c r="T2705" s="6" t="str">
        <f>IFERROR(__xludf.DUMMYFUNCTION("""COMPUTED_VALUE"""),"mcook@reaadingschools.org")</f>
        <v>mcook@reaadingschools.org</v>
      </c>
      <c r="U2705" s="6" t="str">
        <f>IFERROR(__xludf.DUMMYFUNCTION("""COMPUTED_VALUE"""),"11")</f>
        <v>11</v>
      </c>
      <c r="V2705" s="6" t="str">
        <f>IFERROR(__xludf.DUMMYFUNCTION("""COMPUTED_VALUE"""),"English")</f>
        <v>English</v>
      </c>
      <c r="W2705" s="6" t="str">
        <f>IFERROR(__xludf.DUMMYFUNCTION("""COMPUTED_VALUE"""),"[]")</f>
        <v>[]</v>
      </c>
      <c r="X2705" s="6" t="str">
        <f>IFERROR(__xludf.DUMMYFUNCTION("""COMPUTED_VALUE"""),"Enrolled")</f>
        <v>Enrolled</v>
      </c>
    </row>
    <row r="2706">
      <c r="A2706" s="6" t="str">
        <f>IFERROR(__xludf.DUMMYFUNCTION("""COMPUTED_VALUE"""),"056-5519")</f>
        <v>056-5519</v>
      </c>
      <c r="B2706" s="6" t="str">
        <f>IFERROR(__xludf.DUMMYFUNCTION("""COMPUTED_VALUE"""),"56")</f>
        <v>56</v>
      </c>
      <c r="C2706" s="6" t="str">
        <f>IFERROR(__xludf.DUMMYFUNCTION("""COMPUTED_VALUE"""),"5519")</f>
        <v>5519</v>
      </c>
      <c r="D2706" s="6" t="str">
        <f>IFERROR(__xludf.DUMMYFUNCTION("""COMPUTED_VALUE"""),"Nicholas")</f>
        <v>Nicholas</v>
      </c>
      <c r="E2706" s="6" t="str">
        <f>IFERROR(__xludf.DUMMYFUNCTION("""COMPUTED_VALUE"""),"")</f>
        <v/>
      </c>
      <c r="F2706" s="6" t="str">
        <f>IFERROR(__xludf.DUMMYFUNCTION("""COMPUTED_VALUE"""),"Simpson")</f>
        <v>Simpson</v>
      </c>
      <c r="G2706" s="6" t="str">
        <f>IFERROR(__xludf.DUMMYFUNCTION("""COMPUTED_VALUE"""),"09/18/2008")</f>
        <v>09/18/2008</v>
      </c>
      <c r="H2706" s="6" t="str">
        <f>IFERROR(__xludf.DUMMYFUNCTION("""COMPUTED_VALUE"""),"Self Identify")</f>
        <v>Self Identify</v>
      </c>
      <c r="I2706" s="6" t="str">
        <f>IFERROR(__xludf.DUMMYFUNCTION("""COMPUTED_VALUE"""),"High School")</f>
        <v>High School</v>
      </c>
      <c r="J2706" s="6" t="str">
        <f>IFERROR(__xludf.DUMMYFUNCTION("""COMPUTED_VALUE"""),"11")</f>
        <v>11</v>
      </c>
      <c r="K2706" s="6" t="str">
        <f>IFERROR(__xludf.DUMMYFUNCTION("""COMPUTED_VALUE"""),"nicholas.simpson@2hourlearning.com")</f>
        <v>nicholas.simpson@2hourlearning.com</v>
      </c>
      <c r="L2706" s="6" t="str">
        <f>IFERROR(__xludf.DUMMYFUNCTION("""COMPUTED_VALUE"""),"Reading Community City School District")</f>
        <v>Reading Community City School District</v>
      </c>
      <c r="M2706" s="6" t="str">
        <f>IFERROR(__xludf.DUMMYFUNCTION("""COMPUTED_VALUE"""),"High school")</f>
        <v>High school</v>
      </c>
      <c r="N2706" s="6" t="str">
        <f>IFERROR(__xludf.DUMMYFUNCTION("""COMPUTED_VALUE"""),"")</f>
        <v/>
      </c>
      <c r="O2706" s="87" t="str">
        <f>IFERROR(__xludf.DUMMYFUNCTION("""COMPUTED_VALUE"""),"https://drive.google.com/drive/folders/10T2cTQHqEJZqE-st6uFKPoI?usp=share_link")</f>
        <v>https://drive.google.com/drive/folders/10T2cTQHqEJZqE-st6uFKPoI?usp=share_link</v>
      </c>
      <c r="P2706" s="6" t="str">
        <f>IFERROR(__xludf.DUMMYFUNCTION("""COMPUTED_VALUE"""),"Nicholas Simpson")</f>
        <v>Nicholas Simpson</v>
      </c>
      <c r="Q2706" s="6" t="str">
        <f>IFERROR(__xludf.DUMMYFUNCTION("""COMPUTED_VALUE"""),"HS")</f>
        <v>HS</v>
      </c>
      <c r="R2706" s="6">
        <f>IFERROR(__xludf.DUMMYFUNCTION("""COMPUTED_VALUE"""),0.0)</f>
        <v>0</v>
      </c>
      <c r="S2706" s="6" t="str">
        <f>IFERROR(__xludf.DUMMYFUNCTION("""COMPUTED_VALUE"""),"Misty Cook")</f>
        <v>Misty Cook</v>
      </c>
      <c r="T2706" s="6" t="str">
        <f>IFERROR(__xludf.DUMMYFUNCTION("""COMPUTED_VALUE"""),"mcook@reaadingschools.org")</f>
        <v>mcook@reaadingschools.org</v>
      </c>
      <c r="U2706" s="6" t="str">
        <f>IFERROR(__xludf.DUMMYFUNCTION("""COMPUTED_VALUE"""),"11")</f>
        <v>11</v>
      </c>
      <c r="V2706" s="6" t="str">
        <f>IFERROR(__xludf.DUMMYFUNCTION("""COMPUTED_VALUE"""),"English")</f>
        <v>English</v>
      </c>
      <c r="W2706" s="6" t="str">
        <f>IFERROR(__xludf.DUMMYFUNCTION("""COMPUTED_VALUE"""),"[]")</f>
        <v>[]</v>
      </c>
      <c r="X2706" s="6" t="str">
        <f>IFERROR(__xludf.DUMMYFUNCTION("""COMPUTED_VALUE"""),"Enrolled")</f>
        <v>Enrolled</v>
      </c>
    </row>
    <row r="2707">
      <c r="A2707" s="6" t="str">
        <f>IFERROR(__xludf.DUMMYFUNCTION("""COMPUTED_VALUE"""),"056-5520")</f>
        <v>056-5520</v>
      </c>
      <c r="B2707" s="6" t="str">
        <f>IFERROR(__xludf.DUMMYFUNCTION("""COMPUTED_VALUE"""),"56")</f>
        <v>56</v>
      </c>
      <c r="C2707" s="6" t="str">
        <f>IFERROR(__xludf.DUMMYFUNCTION("""COMPUTED_VALUE"""),"5520")</f>
        <v>5520</v>
      </c>
      <c r="D2707" s="6" t="str">
        <f>IFERROR(__xludf.DUMMYFUNCTION("""COMPUTED_VALUE"""),"Love-vee")</f>
        <v>Love-vee</v>
      </c>
      <c r="E2707" s="6" t="str">
        <f>IFERROR(__xludf.DUMMYFUNCTION("""COMPUTED_VALUE"""),"")</f>
        <v/>
      </c>
      <c r="F2707" s="6" t="str">
        <f>IFERROR(__xludf.DUMMYFUNCTION("""COMPUTED_VALUE"""),"Haysbert")</f>
        <v>Haysbert</v>
      </c>
      <c r="G2707" s="6" t="str">
        <f>IFERROR(__xludf.DUMMYFUNCTION("""COMPUTED_VALUE"""),"01/23/2008")</f>
        <v>01/23/2008</v>
      </c>
      <c r="H2707" s="6" t="str">
        <f>IFERROR(__xludf.DUMMYFUNCTION("""COMPUTED_VALUE"""),"Self Identify")</f>
        <v>Self Identify</v>
      </c>
      <c r="I2707" s="6" t="str">
        <f>IFERROR(__xludf.DUMMYFUNCTION("""COMPUTED_VALUE"""),"High School")</f>
        <v>High School</v>
      </c>
      <c r="J2707" s="6" t="str">
        <f>IFERROR(__xludf.DUMMYFUNCTION("""COMPUTED_VALUE"""),"12")</f>
        <v>12</v>
      </c>
      <c r="K2707" s="6" t="str">
        <f>IFERROR(__xludf.DUMMYFUNCTION("""COMPUTED_VALUE"""),"love-vee.haysbert@2hourlearning.com")</f>
        <v>love-vee.haysbert@2hourlearning.com</v>
      </c>
      <c r="L2707" s="6" t="str">
        <f>IFERROR(__xludf.DUMMYFUNCTION("""COMPUTED_VALUE"""),"Reading Community City School District")</f>
        <v>Reading Community City School District</v>
      </c>
      <c r="M2707" s="6" t="str">
        <f>IFERROR(__xludf.DUMMYFUNCTION("""COMPUTED_VALUE"""),"High school")</f>
        <v>High school</v>
      </c>
      <c r="N2707" s="6" t="str">
        <f>IFERROR(__xludf.DUMMYFUNCTION("""COMPUTED_VALUE"""),"")</f>
        <v/>
      </c>
      <c r="O2707" s="87" t="str">
        <f>IFERROR(__xludf.DUMMYFUNCTION("""COMPUTED_VALUE"""),"https://drive.google.com/drive/folders/10T2cTQHqEJZqE-st6uFKPoI?usp=share_link")</f>
        <v>https://drive.google.com/drive/folders/10T2cTQHqEJZqE-st6uFKPoI?usp=share_link</v>
      </c>
      <c r="P2707" s="6" t="str">
        <f>IFERROR(__xludf.DUMMYFUNCTION("""COMPUTED_VALUE"""),"Love-vee Haysbert")</f>
        <v>Love-vee Haysbert</v>
      </c>
      <c r="Q2707" s="6" t="str">
        <f>IFERROR(__xludf.DUMMYFUNCTION("""COMPUTED_VALUE"""),"HS")</f>
        <v>HS</v>
      </c>
      <c r="R2707" s="6">
        <f>IFERROR(__xludf.DUMMYFUNCTION("""COMPUTED_VALUE"""),0.0)</f>
        <v>0</v>
      </c>
      <c r="S2707" s="6" t="str">
        <f>IFERROR(__xludf.DUMMYFUNCTION("""COMPUTED_VALUE"""),"Misty Cook")</f>
        <v>Misty Cook</v>
      </c>
      <c r="T2707" s="6" t="str">
        <f>IFERROR(__xludf.DUMMYFUNCTION("""COMPUTED_VALUE"""),"mcook@reaadingschools.org")</f>
        <v>mcook@reaadingschools.org</v>
      </c>
      <c r="U2707" s="6" t="str">
        <f>IFERROR(__xludf.DUMMYFUNCTION("""COMPUTED_VALUE"""),"12")</f>
        <v>12</v>
      </c>
      <c r="V2707" s="6" t="str">
        <f>IFERROR(__xludf.DUMMYFUNCTION("""COMPUTED_VALUE"""),"English")</f>
        <v>English</v>
      </c>
      <c r="W2707" s="6" t="str">
        <f>IFERROR(__xludf.DUMMYFUNCTION("""COMPUTED_VALUE"""),"[]")</f>
        <v>[]</v>
      </c>
      <c r="X2707" s="6" t="str">
        <f>IFERROR(__xludf.DUMMYFUNCTION("""COMPUTED_VALUE"""),"Enrolled")</f>
        <v>Enrolled</v>
      </c>
    </row>
    <row r="2708">
      <c r="A2708" s="6" t="str">
        <f>IFERROR(__xludf.DUMMYFUNCTION("""COMPUTED_VALUE"""),"056-5521")</f>
        <v>056-5521</v>
      </c>
      <c r="B2708" s="6" t="str">
        <f>IFERROR(__xludf.DUMMYFUNCTION("""COMPUTED_VALUE"""),"56")</f>
        <v>56</v>
      </c>
      <c r="C2708" s="6" t="str">
        <f>IFERROR(__xludf.DUMMYFUNCTION("""COMPUTED_VALUE"""),"5521")</f>
        <v>5521</v>
      </c>
      <c r="D2708" s="6" t="str">
        <f>IFERROR(__xludf.DUMMYFUNCTION("""COMPUTED_VALUE"""),"Lyla")</f>
        <v>Lyla</v>
      </c>
      <c r="E2708" s="6" t="str">
        <f>IFERROR(__xludf.DUMMYFUNCTION("""COMPUTED_VALUE"""),"")</f>
        <v/>
      </c>
      <c r="F2708" s="6" t="str">
        <f>IFERROR(__xludf.DUMMYFUNCTION("""COMPUTED_VALUE"""),"Howard")</f>
        <v>Howard</v>
      </c>
      <c r="G2708" s="6" t="str">
        <f>IFERROR(__xludf.DUMMYFUNCTION("""COMPUTED_VALUE"""),"02/03/2011")</f>
        <v>02/03/2011</v>
      </c>
      <c r="H2708" s="6" t="str">
        <f>IFERROR(__xludf.DUMMYFUNCTION("""COMPUTED_VALUE"""),"Self Identify")</f>
        <v>Self Identify</v>
      </c>
      <c r="I2708" s="6" t="str">
        <f>IFERROR(__xludf.DUMMYFUNCTION("""COMPUTED_VALUE"""),"High School")</f>
        <v>High School</v>
      </c>
      <c r="J2708" s="6" t="str">
        <f>IFERROR(__xludf.DUMMYFUNCTION("""COMPUTED_VALUE"""),"9")</f>
        <v>9</v>
      </c>
      <c r="K2708" s="6" t="str">
        <f>IFERROR(__xludf.DUMMYFUNCTION("""COMPUTED_VALUE"""),"lyla.howard@2hourlearning.com")</f>
        <v>lyla.howard@2hourlearning.com</v>
      </c>
      <c r="L2708" s="6" t="str">
        <f>IFERROR(__xludf.DUMMYFUNCTION("""COMPUTED_VALUE"""),"Reading Community City School District")</f>
        <v>Reading Community City School District</v>
      </c>
      <c r="M2708" s="6" t="str">
        <f>IFERROR(__xludf.DUMMYFUNCTION("""COMPUTED_VALUE"""),"High school")</f>
        <v>High school</v>
      </c>
      <c r="N2708" s="6" t="str">
        <f>IFERROR(__xludf.DUMMYFUNCTION("""COMPUTED_VALUE"""),"")</f>
        <v/>
      </c>
      <c r="O2708" s="87" t="str">
        <f>IFERROR(__xludf.DUMMYFUNCTION("""COMPUTED_VALUE"""),"https://drive.google.com/drive/folders/10T2cTQHqEJZqE-st6uFKPoI?usp=share_link")</f>
        <v>https://drive.google.com/drive/folders/10T2cTQHqEJZqE-st6uFKPoI?usp=share_link</v>
      </c>
      <c r="P2708" s="6" t="str">
        <f>IFERROR(__xludf.DUMMYFUNCTION("""COMPUTED_VALUE"""),"Lyla Howard")</f>
        <v>Lyla Howard</v>
      </c>
      <c r="Q2708" s="6" t="str">
        <f>IFERROR(__xludf.DUMMYFUNCTION("""COMPUTED_VALUE"""),"HS")</f>
        <v>HS</v>
      </c>
      <c r="R2708" s="6">
        <f>IFERROR(__xludf.DUMMYFUNCTION("""COMPUTED_VALUE"""),0.0)</f>
        <v>0</v>
      </c>
      <c r="S2708" s="6" t="str">
        <f>IFERROR(__xludf.DUMMYFUNCTION("""COMPUTED_VALUE"""),"Morgan Kron")</f>
        <v>Morgan Kron</v>
      </c>
      <c r="T2708" s="6" t="str">
        <f>IFERROR(__xludf.DUMMYFUNCTION("""COMPUTED_VALUE"""),"mkron@readingschools.org")</f>
        <v>mkron@readingschools.org</v>
      </c>
      <c r="U2708" s="6" t="str">
        <f>IFERROR(__xludf.DUMMYFUNCTION("""COMPUTED_VALUE"""),"9")</f>
        <v>9</v>
      </c>
      <c r="V2708" s="6" t="str">
        <f>IFERROR(__xludf.DUMMYFUNCTION("""COMPUTED_VALUE"""),"English")</f>
        <v>English</v>
      </c>
      <c r="W2708" s="6" t="str">
        <f>IFERROR(__xludf.DUMMYFUNCTION("""COMPUTED_VALUE"""),"[]")</f>
        <v>[]</v>
      </c>
      <c r="X2708" s="6" t="str">
        <f>IFERROR(__xludf.DUMMYFUNCTION("""COMPUTED_VALUE"""),"Enrolled")</f>
        <v>Enrolled</v>
      </c>
    </row>
    <row r="2709">
      <c r="A2709" s="6" t="str">
        <f>IFERROR(__xludf.DUMMYFUNCTION("""COMPUTED_VALUE"""),"056-5522")</f>
        <v>056-5522</v>
      </c>
      <c r="B2709" s="6" t="str">
        <f>IFERROR(__xludf.DUMMYFUNCTION("""COMPUTED_VALUE"""),"56")</f>
        <v>56</v>
      </c>
      <c r="C2709" s="6" t="str">
        <f>IFERROR(__xludf.DUMMYFUNCTION("""COMPUTED_VALUE"""),"5522")</f>
        <v>5522</v>
      </c>
      <c r="D2709" s="6" t="str">
        <f>IFERROR(__xludf.DUMMYFUNCTION("""COMPUTED_VALUE"""),"Jennifer")</f>
        <v>Jennifer</v>
      </c>
      <c r="E2709" s="6" t="str">
        <f>IFERROR(__xludf.DUMMYFUNCTION("""COMPUTED_VALUE"""),"")</f>
        <v/>
      </c>
      <c r="F2709" s="6" t="str">
        <f>IFERROR(__xludf.DUMMYFUNCTION("""COMPUTED_VALUE"""),"Lopez-Romero")</f>
        <v>Lopez-Romero</v>
      </c>
      <c r="G2709" s="6" t="str">
        <f>IFERROR(__xludf.DUMMYFUNCTION("""COMPUTED_VALUE"""),"08/17/2010")</f>
        <v>08/17/2010</v>
      </c>
      <c r="H2709" s="6" t="str">
        <f>IFERROR(__xludf.DUMMYFUNCTION("""COMPUTED_VALUE"""),"Self Identify")</f>
        <v>Self Identify</v>
      </c>
      <c r="I2709" s="6" t="str">
        <f>IFERROR(__xludf.DUMMYFUNCTION("""COMPUTED_VALUE"""),"High School")</f>
        <v>High School</v>
      </c>
      <c r="J2709" s="6" t="str">
        <f>IFERROR(__xludf.DUMMYFUNCTION("""COMPUTED_VALUE"""),"9")</f>
        <v>9</v>
      </c>
      <c r="K2709" s="6" t="str">
        <f>IFERROR(__xludf.DUMMYFUNCTION("""COMPUTED_VALUE"""),"jennifer.lopez-romero@2hourlearning.com")</f>
        <v>jennifer.lopez-romero@2hourlearning.com</v>
      </c>
      <c r="L2709" s="6" t="str">
        <f>IFERROR(__xludf.DUMMYFUNCTION("""COMPUTED_VALUE"""),"Reading Community City School District")</f>
        <v>Reading Community City School District</v>
      </c>
      <c r="M2709" s="6" t="str">
        <f>IFERROR(__xludf.DUMMYFUNCTION("""COMPUTED_VALUE"""),"High school")</f>
        <v>High school</v>
      </c>
      <c r="N2709" s="6" t="str">
        <f>IFERROR(__xludf.DUMMYFUNCTION("""COMPUTED_VALUE"""),"")</f>
        <v/>
      </c>
      <c r="O2709" s="87" t="str">
        <f>IFERROR(__xludf.DUMMYFUNCTION("""COMPUTED_VALUE"""),"https://drive.google.com/drive/folders/10T2cTQHqEJZqE-st6uFKPoI?usp=share_link")</f>
        <v>https://drive.google.com/drive/folders/10T2cTQHqEJZqE-st6uFKPoI?usp=share_link</v>
      </c>
      <c r="P2709" s="6" t="str">
        <f>IFERROR(__xludf.DUMMYFUNCTION("""COMPUTED_VALUE"""),"Jennifer Lopez-Romero")</f>
        <v>Jennifer Lopez-Romero</v>
      </c>
      <c r="Q2709" s="6" t="str">
        <f>IFERROR(__xludf.DUMMYFUNCTION("""COMPUTED_VALUE"""),"HS")</f>
        <v>HS</v>
      </c>
      <c r="R2709" s="6">
        <f>IFERROR(__xludf.DUMMYFUNCTION("""COMPUTED_VALUE"""),0.0)</f>
        <v>0</v>
      </c>
      <c r="S2709" s="6" t="str">
        <f>IFERROR(__xludf.DUMMYFUNCTION("""COMPUTED_VALUE"""),"Misty Cook")</f>
        <v>Misty Cook</v>
      </c>
      <c r="T2709" s="6" t="str">
        <f>IFERROR(__xludf.DUMMYFUNCTION("""COMPUTED_VALUE"""),"mcook@reaadingschools.org")</f>
        <v>mcook@reaadingschools.org</v>
      </c>
      <c r="U2709" s="6" t="str">
        <f>IFERROR(__xludf.DUMMYFUNCTION("""COMPUTED_VALUE"""),"9")</f>
        <v>9</v>
      </c>
      <c r="V2709" s="6" t="str">
        <f>IFERROR(__xludf.DUMMYFUNCTION("""COMPUTED_VALUE"""),"English")</f>
        <v>English</v>
      </c>
      <c r="W2709" s="6" t="str">
        <f>IFERROR(__xludf.DUMMYFUNCTION("""COMPUTED_VALUE"""),"[]")</f>
        <v>[]</v>
      </c>
      <c r="X2709" s="6" t="str">
        <f>IFERROR(__xludf.DUMMYFUNCTION("""COMPUTED_VALUE"""),"Enrolled")</f>
        <v>Enrolled</v>
      </c>
    </row>
    <row r="2710">
      <c r="A2710" s="6" t="str">
        <f>IFERROR(__xludf.DUMMYFUNCTION("""COMPUTED_VALUE"""),"056-5523")</f>
        <v>056-5523</v>
      </c>
      <c r="B2710" s="6" t="str">
        <f>IFERROR(__xludf.DUMMYFUNCTION("""COMPUTED_VALUE"""),"56")</f>
        <v>56</v>
      </c>
      <c r="C2710" s="6" t="str">
        <f>IFERROR(__xludf.DUMMYFUNCTION("""COMPUTED_VALUE"""),"5523")</f>
        <v>5523</v>
      </c>
      <c r="D2710" s="6" t="str">
        <f>IFERROR(__xludf.DUMMYFUNCTION("""COMPUTED_VALUE"""),"Emma")</f>
        <v>Emma</v>
      </c>
      <c r="E2710" s="6" t="str">
        <f>IFERROR(__xludf.DUMMYFUNCTION("""COMPUTED_VALUE"""),"")</f>
        <v/>
      </c>
      <c r="F2710" s="6" t="str">
        <f>IFERROR(__xludf.DUMMYFUNCTION("""COMPUTED_VALUE"""),"Rush-Smith")</f>
        <v>Rush-Smith</v>
      </c>
      <c r="G2710" s="6" t="str">
        <f>IFERROR(__xludf.DUMMYFUNCTION("""COMPUTED_VALUE"""),"06/21/2010")</f>
        <v>06/21/2010</v>
      </c>
      <c r="H2710" s="6" t="str">
        <f>IFERROR(__xludf.DUMMYFUNCTION("""COMPUTED_VALUE"""),"Self Identify")</f>
        <v>Self Identify</v>
      </c>
      <c r="I2710" s="6" t="str">
        <f>IFERROR(__xludf.DUMMYFUNCTION("""COMPUTED_VALUE"""),"High School")</f>
        <v>High School</v>
      </c>
      <c r="J2710" s="6" t="str">
        <f>IFERROR(__xludf.DUMMYFUNCTION("""COMPUTED_VALUE"""),"9")</f>
        <v>9</v>
      </c>
      <c r="K2710" s="6" t="str">
        <f>IFERROR(__xludf.DUMMYFUNCTION("""COMPUTED_VALUE"""),"emma.rush-smith@2hourlearning.com")</f>
        <v>emma.rush-smith@2hourlearning.com</v>
      </c>
      <c r="L2710" s="6" t="str">
        <f>IFERROR(__xludf.DUMMYFUNCTION("""COMPUTED_VALUE"""),"Reading Community City School District")</f>
        <v>Reading Community City School District</v>
      </c>
      <c r="M2710" s="6" t="str">
        <f>IFERROR(__xludf.DUMMYFUNCTION("""COMPUTED_VALUE"""),"High school")</f>
        <v>High school</v>
      </c>
      <c r="N2710" s="6" t="str">
        <f>IFERROR(__xludf.DUMMYFUNCTION("""COMPUTED_VALUE"""),"")</f>
        <v/>
      </c>
      <c r="O2710" s="87" t="str">
        <f>IFERROR(__xludf.DUMMYFUNCTION("""COMPUTED_VALUE"""),"https://drive.google.com/drive/folders/10T2cTQHqEJZqE-st6uFKPoI?usp=share_link")</f>
        <v>https://drive.google.com/drive/folders/10T2cTQHqEJZqE-st6uFKPoI?usp=share_link</v>
      </c>
      <c r="P2710" s="6" t="str">
        <f>IFERROR(__xludf.DUMMYFUNCTION("""COMPUTED_VALUE"""),"Emma Rush-Smith")</f>
        <v>Emma Rush-Smith</v>
      </c>
      <c r="Q2710" s="6" t="str">
        <f>IFERROR(__xludf.DUMMYFUNCTION("""COMPUTED_VALUE"""),"HS")</f>
        <v>HS</v>
      </c>
      <c r="R2710" s="6">
        <f>IFERROR(__xludf.DUMMYFUNCTION("""COMPUTED_VALUE"""),0.0)</f>
        <v>0</v>
      </c>
      <c r="S2710" s="6" t="str">
        <f>IFERROR(__xludf.DUMMYFUNCTION("""COMPUTED_VALUE"""),"Morgan Kron")</f>
        <v>Morgan Kron</v>
      </c>
      <c r="T2710" s="6" t="str">
        <f>IFERROR(__xludf.DUMMYFUNCTION("""COMPUTED_VALUE"""),"mkron@readingschools.org")</f>
        <v>mkron@readingschools.org</v>
      </c>
      <c r="U2710" s="6" t="str">
        <f>IFERROR(__xludf.DUMMYFUNCTION("""COMPUTED_VALUE"""),"9")</f>
        <v>9</v>
      </c>
      <c r="V2710" s="6" t="str">
        <f>IFERROR(__xludf.DUMMYFUNCTION("""COMPUTED_VALUE"""),"English")</f>
        <v>English</v>
      </c>
      <c r="W2710" s="6" t="str">
        <f>IFERROR(__xludf.DUMMYFUNCTION("""COMPUTED_VALUE"""),"[]")</f>
        <v>[]</v>
      </c>
      <c r="X2710" s="6" t="str">
        <f>IFERROR(__xludf.DUMMYFUNCTION("""COMPUTED_VALUE"""),"Enrolled")</f>
        <v>Enrolled</v>
      </c>
    </row>
    <row r="2711">
      <c r="A2711" s="6" t="str">
        <f>IFERROR(__xludf.DUMMYFUNCTION("""COMPUTED_VALUE"""),"056-5524")</f>
        <v>056-5524</v>
      </c>
      <c r="B2711" s="6" t="str">
        <f>IFERROR(__xludf.DUMMYFUNCTION("""COMPUTED_VALUE"""),"56")</f>
        <v>56</v>
      </c>
      <c r="C2711" s="6" t="str">
        <f>IFERROR(__xludf.DUMMYFUNCTION("""COMPUTED_VALUE"""),"5524")</f>
        <v>5524</v>
      </c>
      <c r="D2711" s="6" t="str">
        <f>IFERROR(__xludf.DUMMYFUNCTION("""COMPUTED_VALUE"""),"Mikhial")</f>
        <v>Mikhial</v>
      </c>
      <c r="E2711" s="6" t="str">
        <f>IFERROR(__xludf.DUMMYFUNCTION("""COMPUTED_VALUE"""),"")</f>
        <v/>
      </c>
      <c r="F2711" s="6" t="str">
        <f>IFERROR(__xludf.DUMMYFUNCTION("""COMPUTED_VALUE"""),"Stewart")</f>
        <v>Stewart</v>
      </c>
      <c r="G2711" s="6" t="str">
        <f>IFERROR(__xludf.DUMMYFUNCTION("""COMPUTED_VALUE"""),"02/04/2011")</f>
        <v>02/04/2011</v>
      </c>
      <c r="H2711" s="6" t="str">
        <f>IFERROR(__xludf.DUMMYFUNCTION("""COMPUTED_VALUE"""),"Self Identify")</f>
        <v>Self Identify</v>
      </c>
      <c r="I2711" s="6" t="str">
        <f>IFERROR(__xludf.DUMMYFUNCTION("""COMPUTED_VALUE"""),"High School")</f>
        <v>High School</v>
      </c>
      <c r="J2711" s="6" t="str">
        <f>IFERROR(__xludf.DUMMYFUNCTION("""COMPUTED_VALUE"""),"9")</f>
        <v>9</v>
      </c>
      <c r="K2711" s="6" t="str">
        <f>IFERROR(__xludf.DUMMYFUNCTION("""COMPUTED_VALUE"""),"mikhial.stewart@2hourlearning.com")</f>
        <v>mikhial.stewart@2hourlearning.com</v>
      </c>
      <c r="L2711" s="6" t="str">
        <f>IFERROR(__xludf.DUMMYFUNCTION("""COMPUTED_VALUE"""),"Reading Community City School District")</f>
        <v>Reading Community City School District</v>
      </c>
      <c r="M2711" s="6" t="str">
        <f>IFERROR(__xludf.DUMMYFUNCTION("""COMPUTED_VALUE"""),"High school")</f>
        <v>High school</v>
      </c>
      <c r="N2711" s="6" t="str">
        <f>IFERROR(__xludf.DUMMYFUNCTION("""COMPUTED_VALUE"""),"")</f>
        <v/>
      </c>
      <c r="O2711" s="87" t="str">
        <f>IFERROR(__xludf.DUMMYFUNCTION("""COMPUTED_VALUE"""),"https://drive.google.com/drive/folders/10T2cTQHqEJZqE-st6uFKPoI?usp=share_link")</f>
        <v>https://drive.google.com/drive/folders/10T2cTQHqEJZqE-st6uFKPoI?usp=share_link</v>
      </c>
      <c r="P2711" s="6" t="str">
        <f>IFERROR(__xludf.DUMMYFUNCTION("""COMPUTED_VALUE"""),"Mikhial Stewart")</f>
        <v>Mikhial Stewart</v>
      </c>
      <c r="Q2711" s="6" t="str">
        <f>IFERROR(__xludf.DUMMYFUNCTION("""COMPUTED_VALUE"""),"HS")</f>
        <v>HS</v>
      </c>
      <c r="R2711" s="6">
        <f>IFERROR(__xludf.DUMMYFUNCTION("""COMPUTED_VALUE"""),0.0)</f>
        <v>0</v>
      </c>
      <c r="S2711" s="6" t="str">
        <f>IFERROR(__xludf.DUMMYFUNCTION("""COMPUTED_VALUE"""),"Morgan Kron")</f>
        <v>Morgan Kron</v>
      </c>
      <c r="T2711" s="6" t="str">
        <f>IFERROR(__xludf.DUMMYFUNCTION("""COMPUTED_VALUE"""),"mkron@readingschools.org")</f>
        <v>mkron@readingschools.org</v>
      </c>
      <c r="U2711" s="6" t="str">
        <f>IFERROR(__xludf.DUMMYFUNCTION("""COMPUTED_VALUE"""),"9")</f>
        <v>9</v>
      </c>
      <c r="V2711" s="6" t="str">
        <f>IFERROR(__xludf.DUMMYFUNCTION("""COMPUTED_VALUE"""),"English")</f>
        <v>English</v>
      </c>
      <c r="W2711" s="6" t="str">
        <f>IFERROR(__xludf.DUMMYFUNCTION("""COMPUTED_VALUE"""),"[]")</f>
        <v>[]</v>
      </c>
      <c r="X2711" s="6" t="str">
        <f>IFERROR(__xludf.DUMMYFUNCTION("""COMPUTED_VALUE"""),"Enrolled")</f>
        <v>Enrolled</v>
      </c>
    </row>
    <row r="2712">
      <c r="A2712" s="6" t="str">
        <f>IFERROR(__xludf.DUMMYFUNCTION("""COMPUTED_VALUE"""),"056-5657")</f>
        <v>056-5657</v>
      </c>
      <c r="B2712" s="6" t="str">
        <f>IFERROR(__xludf.DUMMYFUNCTION("""COMPUTED_VALUE"""),"56")</f>
        <v>56</v>
      </c>
      <c r="C2712" s="6" t="str">
        <f>IFERROR(__xludf.DUMMYFUNCTION("""COMPUTED_VALUE"""),"5657")</f>
        <v>5657</v>
      </c>
      <c r="D2712" s="6" t="str">
        <f>IFERROR(__xludf.DUMMYFUNCTION("""COMPUTED_VALUE"""),"Ousmane")</f>
        <v>Ousmane</v>
      </c>
      <c r="E2712" s="6" t="str">
        <f>IFERROR(__xludf.DUMMYFUNCTION("""COMPUTED_VALUE"""),"")</f>
        <v/>
      </c>
      <c r="F2712" s="6" t="str">
        <f>IFERROR(__xludf.DUMMYFUNCTION("""COMPUTED_VALUE"""),"Traore")</f>
        <v>Traore</v>
      </c>
      <c r="G2712" s="6" t="str">
        <f>IFERROR(__xludf.DUMMYFUNCTION("""COMPUTED_VALUE"""),"09/18/2008")</f>
        <v>09/18/2008</v>
      </c>
      <c r="H2712" s="6" t="str">
        <f>IFERROR(__xludf.DUMMYFUNCTION("""COMPUTED_VALUE"""),"Self Identify")</f>
        <v>Self Identify</v>
      </c>
      <c r="I2712" s="6" t="str">
        <f>IFERROR(__xludf.DUMMYFUNCTION("""COMPUTED_VALUE"""),"High School")</f>
        <v>High School</v>
      </c>
      <c r="J2712" s="6" t="str">
        <f>IFERROR(__xludf.DUMMYFUNCTION("""COMPUTED_VALUE"""),"11")</f>
        <v>11</v>
      </c>
      <c r="K2712" s="6" t="str">
        <f>IFERROR(__xludf.DUMMYFUNCTION("""COMPUTED_VALUE"""),"ousmane.traore@2hourlearning.com")</f>
        <v>ousmane.traore@2hourlearning.com</v>
      </c>
      <c r="L2712" s="6" t="str">
        <f>IFERROR(__xludf.DUMMYFUNCTION("""COMPUTED_VALUE"""),"Reading Community City School District")</f>
        <v>Reading Community City School District</v>
      </c>
      <c r="M2712" s="6" t="str">
        <f>IFERROR(__xludf.DUMMYFUNCTION("""COMPUTED_VALUE"""),"High school")</f>
        <v>High school</v>
      </c>
      <c r="N2712" s="6" t="str">
        <f>IFERROR(__xludf.DUMMYFUNCTION("""COMPUTED_VALUE"""),"")</f>
        <v/>
      </c>
      <c r="O2712" s="87" t="str">
        <f>IFERROR(__xludf.DUMMYFUNCTION("""COMPUTED_VALUE"""),"https://drive.google.com/drive/folders/10T2cTQHqEJZqE-st6uFKPoI?usp=share_link")</f>
        <v>https://drive.google.com/drive/folders/10T2cTQHqEJZqE-st6uFKPoI?usp=share_link</v>
      </c>
      <c r="P2712" s="6" t="str">
        <f>IFERROR(__xludf.DUMMYFUNCTION("""COMPUTED_VALUE"""),"Ousmane Traore")</f>
        <v>Ousmane Traore</v>
      </c>
      <c r="Q2712" s="6" t="str">
        <f>IFERROR(__xludf.DUMMYFUNCTION("""COMPUTED_VALUE"""),"HS")</f>
        <v>HS</v>
      </c>
      <c r="R2712" s="6">
        <f>IFERROR(__xludf.DUMMYFUNCTION("""COMPUTED_VALUE"""),0.0)</f>
        <v>0</v>
      </c>
      <c r="S2712" s="6" t="str">
        <f>IFERROR(__xludf.DUMMYFUNCTION("""COMPUTED_VALUE"""),"Misty Cook")</f>
        <v>Misty Cook</v>
      </c>
      <c r="T2712" s="6" t="str">
        <f>IFERROR(__xludf.DUMMYFUNCTION("""COMPUTED_VALUE"""),"mcook@reaadingschools.org")</f>
        <v>mcook@reaadingschools.org</v>
      </c>
      <c r="U2712" s="6" t="str">
        <f>IFERROR(__xludf.DUMMYFUNCTION("""COMPUTED_VALUE"""),"11")</f>
        <v>11</v>
      </c>
      <c r="V2712" s="6" t="str">
        <f>IFERROR(__xludf.DUMMYFUNCTION("""COMPUTED_VALUE"""),"fr")</f>
        <v>fr</v>
      </c>
      <c r="W2712" s="6" t="str">
        <f>IFERROR(__xludf.DUMMYFUNCTION("""COMPUTED_VALUE"""),"[]")</f>
        <v>[]</v>
      </c>
      <c r="X2712" s="6" t="str">
        <f>IFERROR(__xludf.DUMMYFUNCTION("""COMPUTED_VALUE"""),"Enrolled")</f>
        <v>Enrolled</v>
      </c>
    </row>
    <row r="2713">
      <c r="A2713" s="6" t="str">
        <f>IFERROR(__xludf.DUMMYFUNCTION("""COMPUTED_VALUE"""),"056-5658")</f>
        <v>056-5658</v>
      </c>
      <c r="B2713" s="6" t="str">
        <f>IFERROR(__xludf.DUMMYFUNCTION("""COMPUTED_VALUE"""),"56")</f>
        <v>56</v>
      </c>
      <c r="C2713" s="6" t="str">
        <f>IFERROR(__xludf.DUMMYFUNCTION("""COMPUTED_VALUE"""),"5658")</f>
        <v>5658</v>
      </c>
      <c r="D2713" s="6" t="str">
        <f>IFERROR(__xludf.DUMMYFUNCTION("""COMPUTED_VALUE"""),"Miracle")</f>
        <v>Miracle</v>
      </c>
      <c r="E2713" s="6" t="str">
        <f>IFERROR(__xludf.DUMMYFUNCTION("""COMPUTED_VALUE"""),"")</f>
        <v/>
      </c>
      <c r="F2713" s="6" t="str">
        <f>IFERROR(__xludf.DUMMYFUNCTION("""COMPUTED_VALUE"""),"Foggie")</f>
        <v>Foggie</v>
      </c>
      <c r="G2713" s="6" t="str">
        <f>IFERROR(__xludf.DUMMYFUNCTION("""COMPUTED_VALUE"""),"04/29/2009")</f>
        <v>04/29/2009</v>
      </c>
      <c r="H2713" s="6" t="str">
        <f>IFERROR(__xludf.DUMMYFUNCTION("""COMPUTED_VALUE"""),"Self Identify")</f>
        <v>Self Identify</v>
      </c>
      <c r="I2713" s="6" t="str">
        <f>IFERROR(__xludf.DUMMYFUNCTION("""COMPUTED_VALUE"""),"High School")</f>
        <v>High School</v>
      </c>
      <c r="J2713" s="6" t="str">
        <f>IFERROR(__xludf.DUMMYFUNCTION("""COMPUTED_VALUE"""),"10")</f>
        <v>10</v>
      </c>
      <c r="K2713" s="6" t="str">
        <f>IFERROR(__xludf.DUMMYFUNCTION("""COMPUTED_VALUE"""),"miracle.foggie@2hourlearning.com")</f>
        <v>miracle.foggie@2hourlearning.com</v>
      </c>
      <c r="L2713" s="6" t="str">
        <f>IFERROR(__xludf.DUMMYFUNCTION("""COMPUTED_VALUE"""),"Reading Community City School District")</f>
        <v>Reading Community City School District</v>
      </c>
      <c r="M2713" s="6" t="str">
        <f>IFERROR(__xludf.DUMMYFUNCTION("""COMPUTED_VALUE"""),"High school")</f>
        <v>High school</v>
      </c>
      <c r="N2713" s="6" t="str">
        <f>IFERROR(__xludf.DUMMYFUNCTION("""COMPUTED_VALUE"""),"")</f>
        <v/>
      </c>
      <c r="O2713" s="87" t="str">
        <f>IFERROR(__xludf.DUMMYFUNCTION("""COMPUTED_VALUE"""),"https://drive.google.com/drive/folders/10T2cTQHqEJZqE-st6uFKPoI?usp=share_link")</f>
        <v>https://drive.google.com/drive/folders/10T2cTQHqEJZqE-st6uFKPoI?usp=share_link</v>
      </c>
      <c r="P2713" s="6" t="str">
        <f>IFERROR(__xludf.DUMMYFUNCTION("""COMPUTED_VALUE"""),"Miracle Foggie")</f>
        <v>Miracle Foggie</v>
      </c>
      <c r="Q2713" s="6" t="str">
        <f>IFERROR(__xludf.DUMMYFUNCTION("""COMPUTED_VALUE"""),"HS")</f>
        <v>HS</v>
      </c>
      <c r="R2713" s="6">
        <f>IFERROR(__xludf.DUMMYFUNCTION("""COMPUTED_VALUE"""),0.0)</f>
        <v>0</v>
      </c>
      <c r="S2713" s="6" t="str">
        <f>IFERROR(__xludf.DUMMYFUNCTION("""COMPUTED_VALUE"""),"Misty Cook")</f>
        <v>Misty Cook</v>
      </c>
      <c r="T2713" s="6" t="str">
        <f>IFERROR(__xludf.DUMMYFUNCTION("""COMPUTED_VALUE"""),"mcook@reaadingschools.org")</f>
        <v>mcook@reaadingschools.org</v>
      </c>
      <c r="U2713" s="6" t="str">
        <f>IFERROR(__xludf.DUMMYFUNCTION("""COMPUTED_VALUE"""),"10")</f>
        <v>10</v>
      </c>
      <c r="V2713" s="6" t="str">
        <f>IFERROR(__xludf.DUMMYFUNCTION("""COMPUTED_VALUE"""),"en_US")</f>
        <v>en_US</v>
      </c>
      <c r="W2713" s="6" t="str">
        <f>IFERROR(__xludf.DUMMYFUNCTION("""COMPUTED_VALUE"""),"[]")</f>
        <v>[]</v>
      </c>
      <c r="X2713" s="6" t="str">
        <f>IFERROR(__xludf.DUMMYFUNCTION("""COMPUTED_VALUE"""),"Enrolled")</f>
        <v>Enrolled</v>
      </c>
    </row>
    <row r="2714">
      <c r="A2714" s="6" t="str">
        <f>IFERROR(__xludf.DUMMYFUNCTION("""COMPUTED_VALUE"""),"056-5659")</f>
        <v>056-5659</v>
      </c>
      <c r="B2714" s="6" t="str">
        <f>IFERROR(__xludf.DUMMYFUNCTION("""COMPUTED_VALUE"""),"56")</f>
        <v>56</v>
      </c>
      <c r="C2714" s="6" t="str">
        <f>IFERROR(__xludf.DUMMYFUNCTION("""COMPUTED_VALUE"""),"5659")</f>
        <v>5659</v>
      </c>
      <c r="D2714" s="6" t="str">
        <f>IFERROR(__xludf.DUMMYFUNCTION("""COMPUTED_VALUE"""),"David")</f>
        <v>David</v>
      </c>
      <c r="E2714" s="6" t="str">
        <f>IFERROR(__xludf.DUMMYFUNCTION("""COMPUTED_VALUE"""),"")</f>
        <v/>
      </c>
      <c r="F2714" s="6" t="str">
        <f>IFERROR(__xludf.DUMMYFUNCTION("""COMPUTED_VALUE"""),"Parsons")</f>
        <v>Parsons</v>
      </c>
      <c r="G2714" s="6" t="str">
        <f>IFERROR(__xludf.DUMMYFUNCTION("""COMPUTED_VALUE"""),"08/23/2009")</f>
        <v>08/23/2009</v>
      </c>
      <c r="H2714" s="6" t="str">
        <f>IFERROR(__xludf.DUMMYFUNCTION("""COMPUTED_VALUE"""),"male")</f>
        <v>male</v>
      </c>
      <c r="I2714" s="6" t="str">
        <f>IFERROR(__xludf.DUMMYFUNCTION("""COMPUTED_VALUE"""),"High School")</f>
        <v>High School</v>
      </c>
      <c r="J2714" s="6" t="str">
        <f>IFERROR(__xludf.DUMMYFUNCTION("""COMPUTED_VALUE"""),"10")</f>
        <v>10</v>
      </c>
      <c r="K2714" s="6" t="str">
        <f>IFERROR(__xludf.DUMMYFUNCTION("""COMPUTED_VALUE"""),"david.parsons@2hourlearning.com")</f>
        <v>david.parsons@2hourlearning.com</v>
      </c>
      <c r="L2714" s="6" t="str">
        <f>IFERROR(__xludf.DUMMYFUNCTION("""COMPUTED_VALUE"""),"Reading Community City School District")</f>
        <v>Reading Community City School District</v>
      </c>
      <c r="M2714" s="6" t="str">
        <f>IFERROR(__xludf.DUMMYFUNCTION("""COMPUTED_VALUE"""),"")</f>
        <v/>
      </c>
      <c r="N2714" s="6" t="str">
        <f>IFERROR(__xludf.DUMMYFUNCTION("""COMPUTED_VALUE"""),"")</f>
        <v/>
      </c>
      <c r="O2714" s="87" t="str">
        <f>IFERROR(__xludf.DUMMYFUNCTION("""COMPUTED_VALUE"""),"https://drive.google.com/drive/folders/10T2cTQHqEJZqE-st6uFKPoI?usp=share_link")</f>
        <v>https://drive.google.com/drive/folders/10T2cTQHqEJZqE-st6uFKPoI?usp=share_link</v>
      </c>
      <c r="P2714" s="6" t="str">
        <f>IFERROR(__xludf.DUMMYFUNCTION("""COMPUTED_VALUE"""),"David Parsons")</f>
        <v>David Parsons</v>
      </c>
      <c r="Q2714" s="6" t="str">
        <f>IFERROR(__xludf.DUMMYFUNCTION("""COMPUTED_VALUE"""),"HS")</f>
        <v>HS</v>
      </c>
      <c r="R2714" s="6">
        <f>IFERROR(__xludf.DUMMYFUNCTION("""COMPUTED_VALUE"""),0.0)</f>
        <v>0</v>
      </c>
      <c r="S2714" s="6" t="str">
        <f>IFERROR(__xludf.DUMMYFUNCTION("""COMPUTED_VALUE"""),"Alicia Westcot")</f>
        <v>Alicia Westcot</v>
      </c>
      <c r="T2714" s="6" t="str">
        <f>IFERROR(__xludf.DUMMYFUNCTION("""COMPUTED_VALUE"""),"alicia.westcot@studient.com")</f>
        <v>alicia.westcot@studient.com</v>
      </c>
      <c r="U2714" s="6" t="str">
        <f>IFERROR(__xludf.DUMMYFUNCTION("""COMPUTED_VALUE"""),"10")</f>
        <v>10</v>
      </c>
      <c r="V2714" s="6" t="str">
        <f>IFERROR(__xludf.DUMMYFUNCTION("""COMPUTED_VALUE"""),"en_US")</f>
        <v>en_US</v>
      </c>
      <c r="W2714" s="6" t="str">
        <f>IFERROR(__xludf.DUMMYFUNCTION("""COMPUTED_VALUE"""),"[]")</f>
        <v>[]</v>
      </c>
      <c r="X2714" s="6" t="str">
        <f>IFERROR(__xludf.DUMMYFUNCTION("""COMPUTED_VALUE"""),"Enrolled")</f>
        <v>Enrolled</v>
      </c>
    </row>
    <row r="2715">
      <c r="A2715" s="6" t="str">
        <f>IFERROR(__xludf.DUMMYFUNCTION("""COMPUTED_VALUE"""),"056-5660")</f>
        <v>056-5660</v>
      </c>
      <c r="B2715" s="6" t="str">
        <f>IFERROR(__xludf.DUMMYFUNCTION("""COMPUTED_VALUE"""),"56")</f>
        <v>56</v>
      </c>
      <c r="C2715" s="6" t="str">
        <f>IFERROR(__xludf.DUMMYFUNCTION("""COMPUTED_VALUE"""),"5660")</f>
        <v>5660</v>
      </c>
      <c r="D2715" s="6" t="str">
        <f>IFERROR(__xludf.DUMMYFUNCTION("""COMPUTED_VALUE"""),"Joseph")</f>
        <v>Joseph</v>
      </c>
      <c r="E2715" s="6" t="str">
        <f>IFERROR(__xludf.DUMMYFUNCTION("""COMPUTED_VALUE"""),"")</f>
        <v/>
      </c>
      <c r="F2715" s="6" t="str">
        <f>IFERROR(__xludf.DUMMYFUNCTION("""COMPUTED_VALUE"""),"Narvaez")</f>
        <v>Narvaez</v>
      </c>
      <c r="G2715" s="6" t="str">
        <f>IFERROR(__xludf.DUMMYFUNCTION("""COMPUTED_VALUE"""),"08/18/2010")</f>
        <v>08/18/2010</v>
      </c>
      <c r="H2715" s="6" t="str">
        <f>IFERROR(__xludf.DUMMYFUNCTION("""COMPUTED_VALUE"""),"Self Identify")</f>
        <v>Self Identify</v>
      </c>
      <c r="I2715" s="6" t="str">
        <f>IFERROR(__xludf.DUMMYFUNCTION("""COMPUTED_VALUE"""),"High School")</f>
        <v>High School</v>
      </c>
      <c r="J2715" s="6" t="str">
        <f>IFERROR(__xludf.DUMMYFUNCTION("""COMPUTED_VALUE"""),"10")</f>
        <v>10</v>
      </c>
      <c r="K2715" s="6" t="str">
        <f>IFERROR(__xludf.DUMMYFUNCTION("""COMPUTED_VALUE"""),"joseph.narvaez@2hourlearning.com")</f>
        <v>joseph.narvaez@2hourlearning.com</v>
      </c>
      <c r="L2715" s="6" t="str">
        <f>IFERROR(__xludf.DUMMYFUNCTION("""COMPUTED_VALUE"""),"Reading Community City School District")</f>
        <v>Reading Community City School District</v>
      </c>
      <c r="M2715" s="6" t="str">
        <f>IFERROR(__xludf.DUMMYFUNCTION("""COMPUTED_VALUE"""),"High school")</f>
        <v>High school</v>
      </c>
      <c r="N2715" s="6" t="str">
        <f>IFERROR(__xludf.DUMMYFUNCTION("""COMPUTED_VALUE"""),"")</f>
        <v/>
      </c>
      <c r="O2715" s="87" t="str">
        <f>IFERROR(__xludf.DUMMYFUNCTION("""COMPUTED_VALUE"""),"https://drive.google.com/drive/folders/10T2cTQHqEJZqE-st6uFKPoI?usp=share_link")</f>
        <v>https://drive.google.com/drive/folders/10T2cTQHqEJZqE-st6uFKPoI?usp=share_link</v>
      </c>
      <c r="P2715" s="6" t="str">
        <f>IFERROR(__xludf.DUMMYFUNCTION("""COMPUTED_VALUE"""),"Joseph Narvaez")</f>
        <v>Joseph Narvaez</v>
      </c>
      <c r="Q2715" s="6" t="str">
        <f>IFERROR(__xludf.DUMMYFUNCTION("""COMPUTED_VALUE"""),"HS")</f>
        <v>HS</v>
      </c>
      <c r="R2715" s="6">
        <f>IFERROR(__xludf.DUMMYFUNCTION("""COMPUTED_VALUE"""),0.0)</f>
        <v>0</v>
      </c>
      <c r="S2715" s="6" t="str">
        <f>IFERROR(__xludf.DUMMYFUNCTION("""COMPUTED_VALUE"""),"Misty Cook")</f>
        <v>Misty Cook</v>
      </c>
      <c r="T2715" s="6" t="str">
        <f>IFERROR(__xludf.DUMMYFUNCTION("""COMPUTED_VALUE"""),"mcook@reaadingschools.org")</f>
        <v>mcook@reaadingschools.org</v>
      </c>
      <c r="U2715" s="6" t="str">
        <f>IFERROR(__xludf.DUMMYFUNCTION("""COMPUTED_VALUE"""),"10")</f>
        <v>10</v>
      </c>
      <c r="V2715" s="6" t="str">
        <f>IFERROR(__xludf.DUMMYFUNCTION("""COMPUTED_VALUE"""),"es")</f>
        <v>es</v>
      </c>
      <c r="W2715" s="6" t="str">
        <f>IFERROR(__xludf.DUMMYFUNCTION("""COMPUTED_VALUE"""),"[]")</f>
        <v>[]</v>
      </c>
      <c r="X2715" s="6" t="str">
        <f>IFERROR(__xludf.DUMMYFUNCTION("""COMPUTED_VALUE"""),"Enrolled")</f>
        <v>Enrolled</v>
      </c>
    </row>
    <row r="2716">
      <c r="A2716" s="6" t="str">
        <f>IFERROR(__xludf.DUMMYFUNCTION("""COMPUTED_VALUE"""),"056-5662")</f>
        <v>056-5662</v>
      </c>
      <c r="B2716" s="6" t="str">
        <f>IFERROR(__xludf.DUMMYFUNCTION("""COMPUTED_VALUE"""),"56")</f>
        <v>56</v>
      </c>
      <c r="C2716" s="6" t="str">
        <f>IFERROR(__xludf.DUMMYFUNCTION("""COMPUTED_VALUE"""),"5662")</f>
        <v>5662</v>
      </c>
      <c r="D2716" s="6" t="str">
        <f>IFERROR(__xludf.DUMMYFUNCTION("""COMPUTED_VALUE"""),"Rosmailin")</f>
        <v>Rosmailin</v>
      </c>
      <c r="E2716" s="6" t="str">
        <f>IFERROR(__xludf.DUMMYFUNCTION("""COMPUTED_VALUE"""),"")</f>
        <v/>
      </c>
      <c r="F2716" s="6" t="str">
        <f>IFERROR(__xludf.DUMMYFUNCTION("""COMPUTED_VALUE"""),"Guzman")</f>
        <v>Guzman</v>
      </c>
      <c r="G2716" s="6" t="str">
        <f>IFERROR(__xludf.DUMMYFUNCTION("""COMPUTED_VALUE"""),"02/06/2010")</f>
        <v>02/06/2010</v>
      </c>
      <c r="H2716" s="6" t="str">
        <f>IFERROR(__xludf.DUMMYFUNCTION("""COMPUTED_VALUE"""),"Self Identify")</f>
        <v>Self Identify</v>
      </c>
      <c r="I2716" s="6" t="str">
        <f>IFERROR(__xludf.DUMMYFUNCTION("""COMPUTED_VALUE"""),"High School")</f>
        <v>High School</v>
      </c>
      <c r="J2716" s="6" t="str">
        <f>IFERROR(__xludf.DUMMYFUNCTION("""COMPUTED_VALUE"""),"10")</f>
        <v>10</v>
      </c>
      <c r="K2716" s="6" t="str">
        <f>IFERROR(__xludf.DUMMYFUNCTION("""COMPUTED_VALUE"""),"rosmailin.guzman@2hourlearning.com")</f>
        <v>rosmailin.guzman@2hourlearning.com</v>
      </c>
      <c r="L2716" s="6" t="str">
        <f>IFERROR(__xludf.DUMMYFUNCTION("""COMPUTED_VALUE"""),"Reading Community City School District")</f>
        <v>Reading Community City School District</v>
      </c>
      <c r="M2716" s="6" t="str">
        <f>IFERROR(__xludf.DUMMYFUNCTION("""COMPUTED_VALUE"""),"High school")</f>
        <v>High school</v>
      </c>
      <c r="N2716" s="6" t="str">
        <f>IFERROR(__xludf.DUMMYFUNCTION("""COMPUTED_VALUE"""),"")</f>
        <v/>
      </c>
      <c r="O2716" s="87" t="str">
        <f>IFERROR(__xludf.DUMMYFUNCTION("""COMPUTED_VALUE"""),"https://drive.google.com/drive/folders/10T2cTQHqEJZqE-st6uFKPoI?usp=share_link")</f>
        <v>https://drive.google.com/drive/folders/10T2cTQHqEJZqE-st6uFKPoI?usp=share_link</v>
      </c>
      <c r="P2716" s="6" t="str">
        <f>IFERROR(__xludf.DUMMYFUNCTION("""COMPUTED_VALUE"""),"Rosmailin Guzman")</f>
        <v>Rosmailin Guzman</v>
      </c>
      <c r="Q2716" s="6" t="str">
        <f>IFERROR(__xludf.DUMMYFUNCTION("""COMPUTED_VALUE"""),"HS")</f>
        <v>HS</v>
      </c>
      <c r="R2716" s="6">
        <f>IFERROR(__xludf.DUMMYFUNCTION("""COMPUTED_VALUE"""),0.0)</f>
        <v>0</v>
      </c>
      <c r="S2716" s="6" t="str">
        <f>IFERROR(__xludf.DUMMYFUNCTION("""COMPUTED_VALUE"""),"Misty Cook")</f>
        <v>Misty Cook</v>
      </c>
      <c r="T2716" s="6" t="str">
        <f>IFERROR(__xludf.DUMMYFUNCTION("""COMPUTED_VALUE"""),"mcook@reaadingschools.org")</f>
        <v>mcook@reaadingschools.org</v>
      </c>
      <c r="U2716" s="6" t="str">
        <f>IFERROR(__xludf.DUMMYFUNCTION("""COMPUTED_VALUE"""),"10")</f>
        <v>10</v>
      </c>
      <c r="V2716" s="6" t="str">
        <f>IFERROR(__xludf.DUMMYFUNCTION("""COMPUTED_VALUE"""),"es")</f>
        <v>es</v>
      </c>
      <c r="W2716" s="6" t="str">
        <f>IFERROR(__xludf.DUMMYFUNCTION("""COMPUTED_VALUE"""),"[]")</f>
        <v>[]</v>
      </c>
      <c r="X2716" s="6" t="str">
        <f>IFERROR(__xludf.DUMMYFUNCTION("""COMPUTED_VALUE"""),"Enrolled")</f>
        <v>Enrolled</v>
      </c>
    </row>
    <row r="2717">
      <c r="A2717" s="6" t="str">
        <f>IFERROR(__xludf.DUMMYFUNCTION("""COMPUTED_VALUE"""),"056-6847")</f>
        <v>056-6847</v>
      </c>
      <c r="B2717" s="6" t="str">
        <f>IFERROR(__xludf.DUMMYFUNCTION("""COMPUTED_VALUE"""),"56")</f>
        <v>56</v>
      </c>
      <c r="C2717" s="6" t="str">
        <f>IFERROR(__xludf.DUMMYFUNCTION("""COMPUTED_VALUE"""),"6847")</f>
        <v>6847</v>
      </c>
      <c r="D2717" s="6" t="str">
        <f>IFERROR(__xludf.DUMMYFUNCTION("""COMPUTED_VALUE"""),"Reynash")</f>
        <v>Reynash</v>
      </c>
      <c r="E2717" s="6" t="str">
        <f>IFERROR(__xludf.DUMMYFUNCTION("""COMPUTED_VALUE"""),"")</f>
        <v/>
      </c>
      <c r="F2717" s="6" t="str">
        <f>IFERROR(__xludf.DUMMYFUNCTION("""COMPUTED_VALUE"""),"Dhamija")</f>
        <v>Dhamija</v>
      </c>
      <c r="G2717" s="6" t="str">
        <f>IFERROR(__xludf.DUMMYFUNCTION("""COMPUTED_VALUE"""),"05/22/2016")</f>
        <v>05/22/2016</v>
      </c>
      <c r="H2717" s="6" t="str">
        <f>IFERROR(__xludf.DUMMYFUNCTION("""COMPUTED_VALUE"""),"Self Identify")</f>
        <v>Self Identify</v>
      </c>
      <c r="I2717" s="6" t="str">
        <f>IFERROR(__xludf.DUMMYFUNCTION("""COMPUTED_VALUE"""),"Level 2")</f>
        <v>Level 2</v>
      </c>
      <c r="J2717" s="6" t="str">
        <f>IFERROR(__xludf.DUMMYFUNCTION("""COMPUTED_VALUE"""),"4")</f>
        <v>4</v>
      </c>
      <c r="K2717" s="6" t="str">
        <f>IFERROR(__xludf.DUMMYFUNCTION("""COMPUTED_VALUE"""),"reynash.dhamija@2hourlearning.com")</f>
        <v>reynash.dhamija@2hourlearning.com</v>
      </c>
      <c r="L2717" s="6" t="str">
        <f>IFERROR(__xludf.DUMMYFUNCTION("""COMPUTED_VALUE"""),"Reading Community City School District")</f>
        <v>Reading Community City School District</v>
      </c>
      <c r="M2717" s="6" t="str">
        <f>IFERROR(__xludf.DUMMYFUNCTION("""COMPUTED_VALUE"""),"Elementary")</f>
        <v>Elementary</v>
      </c>
      <c r="N2717" s="6" t="str">
        <f>IFERROR(__xludf.DUMMYFUNCTION("""COMPUTED_VALUE"""),"")</f>
        <v/>
      </c>
      <c r="O2717" s="87" t="str">
        <f>IFERROR(__xludf.DUMMYFUNCTION("""COMPUTED_VALUE"""),"https://drive.google.com/drive/folders/10T2cTQHqEJZqE-st6uFKPoI?usp=share_link")</f>
        <v>https://drive.google.com/drive/folders/10T2cTQHqEJZqE-st6uFKPoI?usp=share_link</v>
      </c>
      <c r="P2717" s="6" t="str">
        <f>IFERROR(__xludf.DUMMYFUNCTION("""COMPUTED_VALUE"""),"Reynash Dhamija")</f>
        <v>Reynash Dhamija</v>
      </c>
      <c r="Q2717" s="6" t="str">
        <f>IFERROR(__xludf.DUMMYFUNCTION("""COMPUTED_VALUE"""),"L2")</f>
        <v>L2</v>
      </c>
      <c r="R2717" s="6">
        <f>IFERROR(__xludf.DUMMYFUNCTION("""COMPUTED_VALUE"""),2.0)</f>
        <v>2</v>
      </c>
      <c r="S2717" s="6" t="str">
        <f>IFERROR(__xludf.DUMMYFUNCTION("""COMPUTED_VALUE"""),"Danielle Roberts")</f>
        <v>Danielle Roberts</v>
      </c>
      <c r="T2717" s="6" t="str">
        <f>IFERROR(__xludf.DUMMYFUNCTION("""COMPUTED_VALUE"""),"droberts@readingschools.org")</f>
        <v>droberts@readingschools.org</v>
      </c>
      <c r="U2717" s="6" t="str">
        <f>IFERROR(__xludf.DUMMYFUNCTION("""COMPUTED_VALUE"""),"4")</f>
        <v>4</v>
      </c>
      <c r="V2717" s="6" t="str">
        <f>IFERROR(__xludf.DUMMYFUNCTION("""COMPUTED_VALUE"""),"English")</f>
        <v>English</v>
      </c>
      <c r="W2717" s="6" t="str">
        <f>IFERROR(__xludf.DUMMYFUNCTION("""COMPUTED_VALUE"""),"[]")</f>
        <v>[]</v>
      </c>
      <c r="X2717" s="6" t="str">
        <f>IFERROR(__xludf.DUMMYFUNCTION("""COMPUTED_VALUE"""),"Enrolled")</f>
        <v>Enrolled</v>
      </c>
    </row>
    <row r="2718">
      <c r="A2718" s="6" t="str">
        <f>IFERROR(__xludf.DUMMYFUNCTION("""COMPUTED_VALUE"""),"056-6848")</f>
        <v>056-6848</v>
      </c>
      <c r="B2718" s="6" t="str">
        <f>IFERROR(__xludf.DUMMYFUNCTION("""COMPUTED_VALUE"""),"56")</f>
        <v>56</v>
      </c>
      <c r="C2718" s="6" t="str">
        <f>IFERROR(__xludf.DUMMYFUNCTION("""COMPUTED_VALUE"""),"6848")</f>
        <v>6848</v>
      </c>
      <c r="D2718" s="6" t="str">
        <f>IFERROR(__xludf.DUMMYFUNCTION("""COMPUTED_VALUE"""),"Zachary")</f>
        <v>Zachary</v>
      </c>
      <c r="E2718" s="6" t="str">
        <f>IFERROR(__xludf.DUMMYFUNCTION("""COMPUTED_VALUE"""),"")</f>
        <v/>
      </c>
      <c r="F2718" s="6" t="str">
        <f>IFERROR(__xludf.DUMMYFUNCTION("""COMPUTED_VALUE"""),"Mappers")</f>
        <v>Mappers</v>
      </c>
      <c r="G2718" s="6" t="str">
        <f>IFERROR(__xludf.DUMMYFUNCTION("""COMPUTED_VALUE"""),"05/22/2016")</f>
        <v>05/22/2016</v>
      </c>
      <c r="H2718" s="6" t="str">
        <f>IFERROR(__xludf.DUMMYFUNCTION("""COMPUTED_VALUE"""),"Self Identify")</f>
        <v>Self Identify</v>
      </c>
      <c r="I2718" s="6" t="str">
        <f>IFERROR(__xludf.DUMMYFUNCTION("""COMPUTED_VALUE"""),"Level 2")</f>
        <v>Level 2</v>
      </c>
      <c r="J2718" s="6" t="str">
        <f>IFERROR(__xludf.DUMMYFUNCTION("""COMPUTED_VALUE"""),"4")</f>
        <v>4</v>
      </c>
      <c r="K2718" s="6" t="str">
        <f>IFERROR(__xludf.DUMMYFUNCTION("""COMPUTED_VALUE"""),"zachary.mappers@2hourlearning.com")</f>
        <v>zachary.mappers@2hourlearning.com</v>
      </c>
      <c r="L2718" s="6" t="str">
        <f>IFERROR(__xludf.DUMMYFUNCTION("""COMPUTED_VALUE"""),"Reading Community City School District")</f>
        <v>Reading Community City School District</v>
      </c>
      <c r="M2718" s="6" t="str">
        <f>IFERROR(__xludf.DUMMYFUNCTION("""COMPUTED_VALUE"""),"Elementary")</f>
        <v>Elementary</v>
      </c>
      <c r="N2718" s="6" t="str">
        <f>IFERROR(__xludf.DUMMYFUNCTION("""COMPUTED_VALUE"""),"")</f>
        <v/>
      </c>
      <c r="O2718" s="87" t="str">
        <f>IFERROR(__xludf.DUMMYFUNCTION("""COMPUTED_VALUE"""),"https://drive.google.com/drive/folders/10T2cTQHqEJZqE-st6uFKPoI?usp=share_link")</f>
        <v>https://drive.google.com/drive/folders/10T2cTQHqEJZqE-st6uFKPoI?usp=share_link</v>
      </c>
      <c r="P2718" s="6" t="str">
        <f>IFERROR(__xludf.DUMMYFUNCTION("""COMPUTED_VALUE"""),"Zachary Mappers")</f>
        <v>Zachary Mappers</v>
      </c>
      <c r="Q2718" s="6" t="str">
        <f>IFERROR(__xludf.DUMMYFUNCTION("""COMPUTED_VALUE"""),"L2")</f>
        <v>L2</v>
      </c>
      <c r="R2718" s="6">
        <f>IFERROR(__xludf.DUMMYFUNCTION("""COMPUTED_VALUE"""),2.0)</f>
        <v>2</v>
      </c>
      <c r="S2718" s="6" t="str">
        <f>IFERROR(__xludf.DUMMYFUNCTION("""COMPUTED_VALUE"""),"Danielle Roberts")</f>
        <v>Danielle Roberts</v>
      </c>
      <c r="T2718" s="6" t="str">
        <f>IFERROR(__xludf.DUMMYFUNCTION("""COMPUTED_VALUE"""),"droberts@readingschools.org")</f>
        <v>droberts@readingschools.org</v>
      </c>
      <c r="U2718" s="6" t="str">
        <f>IFERROR(__xludf.DUMMYFUNCTION("""COMPUTED_VALUE"""),"4")</f>
        <v>4</v>
      </c>
      <c r="V2718" s="6" t="str">
        <f>IFERROR(__xludf.DUMMYFUNCTION("""COMPUTED_VALUE"""),"English")</f>
        <v>English</v>
      </c>
      <c r="W2718" s="6" t="str">
        <f>IFERROR(__xludf.DUMMYFUNCTION("""COMPUTED_VALUE"""),"[]")</f>
        <v>[]</v>
      </c>
      <c r="X2718" s="6" t="str">
        <f>IFERROR(__xludf.DUMMYFUNCTION("""COMPUTED_VALUE"""),"Enrolled")</f>
        <v>Enrolled</v>
      </c>
    </row>
    <row r="2719">
      <c r="A2719" s="6" t="str">
        <f>IFERROR(__xludf.DUMMYFUNCTION("""COMPUTED_VALUE"""),"056-6849")</f>
        <v>056-6849</v>
      </c>
      <c r="B2719" s="6" t="str">
        <f>IFERROR(__xludf.DUMMYFUNCTION("""COMPUTED_VALUE"""),"56")</f>
        <v>56</v>
      </c>
      <c r="C2719" s="6" t="str">
        <f>IFERROR(__xludf.DUMMYFUNCTION("""COMPUTED_VALUE"""),"6849")</f>
        <v>6849</v>
      </c>
      <c r="D2719" s="6" t="str">
        <f>IFERROR(__xludf.DUMMYFUNCTION("""COMPUTED_VALUE"""),"Yolber")</f>
        <v>Yolber</v>
      </c>
      <c r="E2719" s="6" t="str">
        <f>IFERROR(__xludf.DUMMYFUNCTION("""COMPUTED_VALUE"""),"")</f>
        <v/>
      </c>
      <c r="F2719" s="6" t="str">
        <f>IFERROR(__xludf.DUMMYFUNCTION("""COMPUTED_VALUE"""),"Omana")</f>
        <v>Omana</v>
      </c>
      <c r="G2719" s="6" t="str">
        <f>IFERROR(__xludf.DUMMYFUNCTION("""COMPUTED_VALUE"""),"08/10/2010")</f>
        <v>08/10/2010</v>
      </c>
      <c r="H2719" s="6" t="str">
        <f>IFERROR(__xludf.DUMMYFUNCTION("""COMPUTED_VALUE"""),"Self Identify")</f>
        <v>Self Identify</v>
      </c>
      <c r="I2719" s="6" t="str">
        <f>IFERROR(__xludf.DUMMYFUNCTION("""COMPUTED_VALUE"""),"High School")</f>
        <v>High School</v>
      </c>
      <c r="J2719" s="6" t="str">
        <f>IFERROR(__xludf.DUMMYFUNCTION("""COMPUTED_VALUE"""),"9")</f>
        <v>9</v>
      </c>
      <c r="K2719" s="6" t="str">
        <f>IFERROR(__xludf.DUMMYFUNCTION("""COMPUTED_VALUE"""),"yolber.omana@2hourlearning.com")</f>
        <v>yolber.omana@2hourlearning.com</v>
      </c>
      <c r="L2719" s="6" t="str">
        <f>IFERROR(__xludf.DUMMYFUNCTION("""COMPUTED_VALUE"""),"Reading Community City School District")</f>
        <v>Reading Community City School District</v>
      </c>
      <c r="M2719" s="6" t="str">
        <f>IFERROR(__xludf.DUMMYFUNCTION("""COMPUTED_VALUE"""),"High school")</f>
        <v>High school</v>
      </c>
      <c r="N2719" s="6" t="str">
        <f>IFERROR(__xludf.DUMMYFUNCTION("""COMPUTED_VALUE"""),"")</f>
        <v/>
      </c>
      <c r="O2719" s="87" t="str">
        <f>IFERROR(__xludf.DUMMYFUNCTION("""COMPUTED_VALUE"""),"https://drive.google.com/drive/folders/10T2cTQHqEJZqE-st6uFKPoI?usp=share_link")</f>
        <v>https://drive.google.com/drive/folders/10T2cTQHqEJZqE-st6uFKPoI?usp=share_link</v>
      </c>
      <c r="P2719" s="6" t="str">
        <f>IFERROR(__xludf.DUMMYFUNCTION("""COMPUTED_VALUE"""),"Yolber Omana")</f>
        <v>Yolber Omana</v>
      </c>
      <c r="Q2719" s="6" t="str">
        <f>IFERROR(__xludf.DUMMYFUNCTION("""COMPUTED_VALUE"""),"HS")</f>
        <v>HS</v>
      </c>
      <c r="R2719" s="6">
        <f>IFERROR(__xludf.DUMMYFUNCTION("""COMPUTED_VALUE"""),0.0)</f>
        <v>0</v>
      </c>
      <c r="S2719" s="6" t="str">
        <f>IFERROR(__xludf.DUMMYFUNCTION("""COMPUTED_VALUE"""),"Misty Cook")</f>
        <v>Misty Cook</v>
      </c>
      <c r="T2719" s="6" t="str">
        <f>IFERROR(__xludf.DUMMYFUNCTION("""COMPUTED_VALUE"""),"mcook@reaadingschools.org")</f>
        <v>mcook@reaadingschools.org</v>
      </c>
      <c r="U2719" s="6" t="str">
        <f>IFERROR(__xludf.DUMMYFUNCTION("""COMPUTED_VALUE"""),"9")</f>
        <v>9</v>
      </c>
      <c r="V2719" s="6" t="str">
        <f>IFERROR(__xludf.DUMMYFUNCTION("""COMPUTED_VALUE"""),"Spanish")</f>
        <v>Spanish</v>
      </c>
      <c r="W2719" s="6" t="str">
        <f>IFERROR(__xludf.DUMMYFUNCTION("""COMPUTED_VALUE"""),"[]")</f>
        <v>[]</v>
      </c>
      <c r="X2719" s="6" t="str">
        <f>IFERROR(__xludf.DUMMYFUNCTION("""COMPUTED_VALUE"""),"Enrolled")</f>
        <v>Enrolled</v>
      </c>
    </row>
    <row r="2720">
      <c r="A2720" s="6" t="str">
        <f>IFERROR(__xludf.DUMMYFUNCTION("""COMPUTED_VALUE"""),"056-7304")</f>
        <v>056-7304</v>
      </c>
      <c r="B2720" s="6" t="str">
        <f>IFERROR(__xludf.DUMMYFUNCTION("""COMPUTED_VALUE"""),"56")</f>
        <v>56</v>
      </c>
      <c r="C2720" s="6" t="str">
        <f>IFERROR(__xludf.DUMMYFUNCTION("""COMPUTED_VALUE"""),"7304")</f>
        <v>7304</v>
      </c>
      <c r="D2720" s="6" t="str">
        <f>IFERROR(__xludf.DUMMYFUNCTION("""COMPUTED_VALUE"""),"Jennifer")</f>
        <v>Jennifer</v>
      </c>
      <c r="E2720" s="6" t="str">
        <f>IFERROR(__xludf.DUMMYFUNCTION("""COMPUTED_VALUE"""),"")</f>
        <v/>
      </c>
      <c r="F2720" s="6" t="str">
        <f>IFERROR(__xludf.DUMMYFUNCTION("""COMPUTED_VALUE"""),"Lopez")</f>
        <v>Lopez</v>
      </c>
      <c r="G2720" s="6" t="str">
        <f>IFERROR(__xludf.DUMMYFUNCTION("""COMPUTED_VALUE"""),"02/10/2009")</f>
        <v>02/10/2009</v>
      </c>
      <c r="H2720" s="6" t="str">
        <f>IFERROR(__xludf.DUMMYFUNCTION("""COMPUTED_VALUE"""),"Self Identify")</f>
        <v>Self Identify</v>
      </c>
      <c r="I2720" s="6" t="str">
        <f>IFERROR(__xludf.DUMMYFUNCTION("""COMPUTED_VALUE"""),"High School")</f>
        <v>High School</v>
      </c>
      <c r="J2720" s="6" t="str">
        <f>IFERROR(__xludf.DUMMYFUNCTION("""COMPUTED_VALUE"""),"10")</f>
        <v>10</v>
      </c>
      <c r="K2720" s="6" t="str">
        <f>IFERROR(__xludf.DUMMYFUNCTION("""COMPUTED_VALUE"""),"jennifer.lopez@2hourlearning.com")</f>
        <v>jennifer.lopez@2hourlearning.com</v>
      </c>
      <c r="L2720" s="6" t="str">
        <f>IFERROR(__xludf.DUMMYFUNCTION("""COMPUTED_VALUE"""),"Reading Community City School District")</f>
        <v>Reading Community City School District</v>
      </c>
      <c r="M2720" s="6" t="str">
        <f>IFERROR(__xludf.DUMMYFUNCTION("""COMPUTED_VALUE"""),"High school")</f>
        <v>High school</v>
      </c>
      <c r="N2720" s="6" t="str">
        <f>IFERROR(__xludf.DUMMYFUNCTION("""COMPUTED_VALUE"""),"")</f>
        <v/>
      </c>
      <c r="O2720" s="87" t="str">
        <f>IFERROR(__xludf.DUMMYFUNCTION("""COMPUTED_VALUE"""),"https://drive.google.com/drive/folders/10T2cTQHqEJZqE-st6uFKPoI?usp=share_link")</f>
        <v>https://drive.google.com/drive/folders/10T2cTQHqEJZqE-st6uFKPoI?usp=share_link</v>
      </c>
      <c r="P2720" s="6" t="str">
        <f>IFERROR(__xludf.DUMMYFUNCTION("""COMPUTED_VALUE"""),"Jennifer Lopez")</f>
        <v>Jennifer Lopez</v>
      </c>
      <c r="Q2720" s="6" t="str">
        <f>IFERROR(__xludf.DUMMYFUNCTION("""COMPUTED_VALUE"""),"HS")</f>
        <v>HS</v>
      </c>
      <c r="R2720" s="6">
        <f>IFERROR(__xludf.DUMMYFUNCTION("""COMPUTED_VALUE"""),0.0)</f>
        <v>0</v>
      </c>
      <c r="S2720" s="6" t="str">
        <f>IFERROR(__xludf.DUMMYFUNCTION("""COMPUTED_VALUE"""),"Misty Cook")</f>
        <v>Misty Cook</v>
      </c>
      <c r="T2720" s="6" t="str">
        <f>IFERROR(__xludf.DUMMYFUNCTION("""COMPUTED_VALUE"""),"mcook@reaadingschools.org")</f>
        <v>mcook@reaadingschools.org</v>
      </c>
      <c r="U2720" s="6" t="str">
        <f>IFERROR(__xludf.DUMMYFUNCTION("""COMPUTED_VALUE"""),"10")</f>
        <v>10</v>
      </c>
      <c r="V2720" s="6" t="str">
        <f>IFERROR(__xludf.DUMMYFUNCTION("""COMPUTED_VALUE"""),"Spanish")</f>
        <v>Spanish</v>
      </c>
      <c r="W2720" s="6" t="str">
        <f>IFERROR(__xludf.DUMMYFUNCTION("""COMPUTED_VALUE"""),"[]")</f>
        <v>[]</v>
      </c>
      <c r="X2720" s="6" t="str">
        <f>IFERROR(__xludf.DUMMYFUNCTION("""COMPUTED_VALUE"""),"Enrolled")</f>
        <v>Enrolled</v>
      </c>
    </row>
    <row r="2721">
      <c r="A2721" s="6" t="str">
        <f>IFERROR(__xludf.DUMMYFUNCTION("""COMPUTED_VALUE"""),"056-7305")</f>
        <v>056-7305</v>
      </c>
      <c r="B2721" s="6" t="str">
        <f>IFERROR(__xludf.DUMMYFUNCTION("""COMPUTED_VALUE"""),"56")</f>
        <v>56</v>
      </c>
      <c r="C2721" s="6" t="str">
        <f>IFERROR(__xludf.DUMMYFUNCTION("""COMPUTED_VALUE"""),"7305")</f>
        <v>7305</v>
      </c>
      <c r="D2721" s="6" t="str">
        <f>IFERROR(__xludf.DUMMYFUNCTION("""COMPUTED_VALUE"""),"David")</f>
        <v>David</v>
      </c>
      <c r="E2721" s="6" t="str">
        <f>IFERROR(__xludf.DUMMYFUNCTION("""COMPUTED_VALUE"""),"")</f>
        <v/>
      </c>
      <c r="F2721" s="6" t="str">
        <f>IFERROR(__xludf.DUMMYFUNCTION("""COMPUTED_VALUE"""),"Omana-Zambrano")</f>
        <v>Omana-Zambrano</v>
      </c>
      <c r="G2721" s="6" t="str">
        <f>IFERROR(__xludf.DUMMYFUNCTION("""COMPUTED_VALUE"""),"01/13/2009")</f>
        <v>01/13/2009</v>
      </c>
      <c r="H2721" s="6" t="str">
        <f>IFERROR(__xludf.DUMMYFUNCTION("""COMPUTED_VALUE"""),"Self Identify")</f>
        <v>Self Identify</v>
      </c>
      <c r="I2721" s="6" t="str">
        <f>IFERROR(__xludf.DUMMYFUNCTION("""COMPUTED_VALUE"""),"High School")</f>
        <v>High School</v>
      </c>
      <c r="J2721" s="6" t="str">
        <f>IFERROR(__xludf.DUMMYFUNCTION("""COMPUTED_VALUE"""),"10")</f>
        <v>10</v>
      </c>
      <c r="K2721" s="6" t="str">
        <f>IFERROR(__xludf.DUMMYFUNCTION("""COMPUTED_VALUE"""),"david.omana-zambrano@2hourlearning.com")</f>
        <v>david.omana-zambrano@2hourlearning.com</v>
      </c>
      <c r="L2721" s="6" t="str">
        <f>IFERROR(__xludf.DUMMYFUNCTION("""COMPUTED_VALUE"""),"Reading Community City School District")</f>
        <v>Reading Community City School District</v>
      </c>
      <c r="M2721" s="6" t="str">
        <f>IFERROR(__xludf.DUMMYFUNCTION("""COMPUTED_VALUE"""),"High school")</f>
        <v>High school</v>
      </c>
      <c r="N2721" s="6" t="str">
        <f>IFERROR(__xludf.DUMMYFUNCTION("""COMPUTED_VALUE"""),"")</f>
        <v/>
      </c>
      <c r="O2721" s="87" t="str">
        <f>IFERROR(__xludf.DUMMYFUNCTION("""COMPUTED_VALUE"""),"https://drive.google.com/drive/folders/10T2cTQHqEJZqE-st6uFKPoI?usp=share_link")</f>
        <v>https://drive.google.com/drive/folders/10T2cTQHqEJZqE-st6uFKPoI?usp=share_link</v>
      </c>
      <c r="P2721" s="6" t="str">
        <f>IFERROR(__xludf.DUMMYFUNCTION("""COMPUTED_VALUE"""),"David Omana-Zambrano")</f>
        <v>David Omana-Zambrano</v>
      </c>
      <c r="Q2721" s="6" t="str">
        <f>IFERROR(__xludf.DUMMYFUNCTION("""COMPUTED_VALUE"""),"HS")</f>
        <v>HS</v>
      </c>
      <c r="R2721" s="6">
        <f>IFERROR(__xludf.DUMMYFUNCTION("""COMPUTED_VALUE"""),0.0)</f>
        <v>0</v>
      </c>
      <c r="S2721" s="6" t="str">
        <f>IFERROR(__xludf.DUMMYFUNCTION("""COMPUTED_VALUE"""),"Misty Cook")</f>
        <v>Misty Cook</v>
      </c>
      <c r="T2721" s="6" t="str">
        <f>IFERROR(__xludf.DUMMYFUNCTION("""COMPUTED_VALUE"""),"mcook@reaadingschools.org")</f>
        <v>mcook@reaadingschools.org</v>
      </c>
      <c r="U2721" s="6" t="str">
        <f>IFERROR(__xludf.DUMMYFUNCTION("""COMPUTED_VALUE"""),"10")</f>
        <v>10</v>
      </c>
      <c r="V2721" s="6" t="str">
        <f>IFERROR(__xludf.DUMMYFUNCTION("""COMPUTED_VALUE"""),"Spanish")</f>
        <v>Spanish</v>
      </c>
      <c r="W2721" s="6" t="str">
        <f>IFERROR(__xludf.DUMMYFUNCTION("""COMPUTED_VALUE"""),"[]")</f>
        <v>[]</v>
      </c>
      <c r="X2721" s="6" t="str">
        <f>IFERROR(__xludf.DUMMYFUNCTION("""COMPUTED_VALUE"""),"Enrolled")</f>
        <v>Enrolled</v>
      </c>
    </row>
    <row r="2722">
      <c r="A2722" s="6" t="str">
        <f>IFERROR(__xludf.DUMMYFUNCTION("""COMPUTED_VALUE"""),"056-8113")</f>
        <v>056-8113</v>
      </c>
      <c r="B2722" s="6" t="str">
        <f>IFERROR(__xludf.DUMMYFUNCTION("""COMPUTED_VALUE"""),"56")</f>
        <v>56</v>
      </c>
      <c r="C2722" s="6" t="str">
        <f>IFERROR(__xludf.DUMMYFUNCTION("""COMPUTED_VALUE"""),"8113")</f>
        <v>8113</v>
      </c>
      <c r="D2722" s="6" t="str">
        <f>IFERROR(__xludf.DUMMYFUNCTION("""COMPUTED_VALUE"""),"Landen")</f>
        <v>Landen</v>
      </c>
      <c r="E2722" s="6" t="str">
        <f>IFERROR(__xludf.DUMMYFUNCTION("""COMPUTED_VALUE"""),"")</f>
        <v/>
      </c>
      <c r="F2722" s="6" t="str">
        <f>IFERROR(__xludf.DUMMYFUNCTION("""COMPUTED_VALUE"""),"Rivers")</f>
        <v>Rivers</v>
      </c>
      <c r="G2722" s="6" t="str">
        <f>IFERROR(__xludf.DUMMYFUNCTION("""COMPUTED_VALUE"""),"03/03/2014")</f>
        <v>03/03/2014</v>
      </c>
      <c r="H2722" s="6" t="str">
        <f>IFERROR(__xludf.DUMMYFUNCTION("""COMPUTED_VALUE"""),"Self Identify")</f>
        <v>Self Identify</v>
      </c>
      <c r="I2722" s="6" t="str">
        <f>IFERROR(__xludf.DUMMYFUNCTION("""COMPUTED_VALUE"""),"Middle School")</f>
        <v>Middle School</v>
      </c>
      <c r="J2722" s="6" t="str">
        <f>IFERROR(__xludf.DUMMYFUNCTION("""COMPUTED_VALUE"""),"6")</f>
        <v>6</v>
      </c>
      <c r="K2722" s="6" t="str">
        <f>IFERROR(__xludf.DUMMYFUNCTION("""COMPUTED_VALUE"""),"landen.rivers@2hourlearning.com")</f>
        <v>landen.rivers@2hourlearning.com</v>
      </c>
      <c r="L2722" s="6" t="str">
        <f>IFERROR(__xludf.DUMMYFUNCTION("""COMPUTED_VALUE"""),"Reading Community City School District")</f>
        <v>Reading Community City School District</v>
      </c>
      <c r="M2722" s="6" t="str">
        <f>IFERROR(__xludf.DUMMYFUNCTION("""COMPUTED_VALUE"""),"Elementary")</f>
        <v>Elementary</v>
      </c>
      <c r="N2722" s="6" t="str">
        <f>IFERROR(__xludf.DUMMYFUNCTION("""COMPUTED_VALUE"""),"")</f>
        <v/>
      </c>
      <c r="O2722" s="87" t="str">
        <f>IFERROR(__xludf.DUMMYFUNCTION("""COMPUTED_VALUE"""),"https://drive.google.com/drive/folders/10T2cTQHqEJZqE-st6uFKPoI?usp=share_link")</f>
        <v>https://drive.google.com/drive/folders/10T2cTQHqEJZqE-st6uFKPoI?usp=share_link</v>
      </c>
      <c r="P2722" s="6" t="str">
        <f>IFERROR(__xludf.DUMMYFUNCTION("""COMPUTED_VALUE"""),"Landen Rivers")</f>
        <v>Landen Rivers</v>
      </c>
      <c r="Q2722" s="6" t="str">
        <f>IFERROR(__xludf.DUMMYFUNCTION("""COMPUTED_VALUE"""),"MS")</f>
        <v>MS</v>
      </c>
      <c r="R2722" s="6">
        <f>IFERROR(__xludf.DUMMYFUNCTION("""COMPUTED_VALUE"""),0.0)</f>
        <v>0</v>
      </c>
      <c r="S2722" s="6" t="str">
        <f>IFERROR(__xludf.DUMMYFUNCTION("""COMPUTED_VALUE"""),"Toni Tumbusch")</f>
        <v>Toni Tumbusch</v>
      </c>
      <c r="T2722" s="6" t="str">
        <f>IFERROR(__xludf.DUMMYFUNCTION("""COMPUTED_VALUE"""),"ttumbusch@readingschools.org")</f>
        <v>ttumbusch@readingschools.org</v>
      </c>
      <c r="U2722" s="6" t="str">
        <f>IFERROR(__xludf.DUMMYFUNCTION("""COMPUTED_VALUE"""),"6")</f>
        <v>6</v>
      </c>
      <c r="V2722" s="6" t="str">
        <f>IFERROR(__xludf.DUMMYFUNCTION("""COMPUTED_VALUE"""),"English")</f>
        <v>English</v>
      </c>
      <c r="W2722" s="6" t="str">
        <f>IFERROR(__xludf.DUMMYFUNCTION("""COMPUTED_VALUE"""),"[]")</f>
        <v>[]</v>
      </c>
      <c r="X2722" s="6" t="str">
        <f>IFERROR(__xludf.DUMMYFUNCTION("""COMPUTED_VALUE"""),"Enrolled")</f>
        <v>Enrolled</v>
      </c>
    </row>
    <row r="2723">
      <c r="A2723" s="6" t="str">
        <f>IFERROR(__xludf.DUMMYFUNCTION("""COMPUTED_VALUE"""),"056-8182")</f>
        <v>056-8182</v>
      </c>
      <c r="B2723" s="6" t="str">
        <f>IFERROR(__xludf.DUMMYFUNCTION("""COMPUTED_VALUE"""),"56")</f>
        <v>56</v>
      </c>
      <c r="C2723" s="6" t="str">
        <f>IFERROR(__xludf.DUMMYFUNCTION("""COMPUTED_VALUE"""),"8182")</f>
        <v>8182</v>
      </c>
      <c r="D2723" s="6" t="str">
        <f>IFERROR(__xludf.DUMMYFUNCTION("""COMPUTED_VALUE"""),"Carter")</f>
        <v>Carter</v>
      </c>
      <c r="E2723" s="6" t="str">
        <f>IFERROR(__xludf.DUMMYFUNCTION("""COMPUTED_VALUE"""),"")</f>
        <v/>
      </c>
      <c r="F2723" s="6" t="str">
        <f>IFERROR(__xludf.DUMMYFUNCTION("""COMPUTED_VALUE"""),"Bell")</f>
        <v>Bell</v>
      </c>
      <c r="G2723" s="6" t="str">
        <f>IFERROR(__xludf.DUMMYFUNCTION("""COMPUTED_VALUE"""),"12/08/2013")</f>
        <v>12/08/2013</v>
      </c>
      <c r="H2723" s="6" t="str">
        <f>IFERROR(__xludf.DUMMYFUNCTION("""COMPUTED_VALUE"""),"Self Identify")</f>
        <v>Self Identify</v>
      </c>
      <c r="I2723" s="6" t="str">
        <f>IFERROR(__xludf.DUMMYFUNCTION("""COMPUTED_VALUE"""),"Middle School")</f>
        <v>Middle School</v>
      </c>
      <c r="J2723" s="6" t="str">
        <f>IFERROR(__xludf.DUMMYFUNCTION("""COMPUTED_VALUE"""),"6")</f>
        <v>6</v>
      </c>
      <c r="K2723" s="6" t="str">
        <f>IFERROR(__xludf.DUMMYFUNCTION("""COMPUTED_VALUE"""),"carter.bell@2hourlearning.com")</f>
        <v>carter.bell@2hourlearning.com</v>
      </c>
      <c r="L2723" s="6" t="str">
        <f>IFERROR(__xludf.DUMMYFUNCTION("""COMPUTED_VALUE"""),"Reading Community City School District")</f>
        <v>Reading Community City School District</v>
      </c>
      <c r="M2723" s="6" t="str">
        <f>IFERROR(__xludf.DUMMYFUNCTION("""COMPUTED_VALUE"""),"Elementary")</f>
        <v>Elementary</v>
      </c>
      <c r="N2723" s="6" t="str">
        <f>IFERROR(__xludf.DUMMYFUNCTION("""COMPUTED_VALUE"""),"")</f>
        <v/>
      </c>
      <c r="O2723" s="87" t="str">
        <f>IFERROR(__xludf.DUMMYFUNCTION("""COMPUTED_VALUE"""),"https://drive.google.com/drive/folders/10T2cTQHqEJZqE-st6uFKPoI?usp=share_link")</f>
        <v>https://drive.google.com/drive/folders/10T2cTQHqEJZqE-st6uFKPoI?usp=share_link</v>
      </c>
      <c r="P2723" s="6" t="str">
        <f>IFERROR(__xludf.DUMMYFUNCTION("""COMPUTED_VALUE"""),"Carter Bell")</f>
        <v>Carter Bell</v>
      </c>
      <c r="Q2723" s="6" t="str">
        <f>IFERROR(__xludf.DUMMYFUNCTION("""COMPUTED_VALUE"""),"MS")</f>
        <v>MS</v>
      </c>
      <c r="R2723" s="6">
        <f>IFERROR(__xludf.DUMMYFUNCTION("""COMPUTED_VALUE"""),0.0)</f>
        <v>0</v>
      </c>
      <c r="S2723" s="6" t="str">
        <f>IFERROR(__xludf.DUMMYFUNCTION("""COMPUTED_VALUE"""),"Toni Tumbusch")</f>
        <v>Toni Tumbusch</v>
      </c>
      <c r="T2723" s="6" t="str">
        <f>IFERROR(__xludf.DUMMYFUNCTION("""COMPUTED_VALUE"""),"ttumbusch@readingschools.org")</f>
        <v>ttumbusch@readingschools.org</v>
      </c>
      <c r="U2723" s="6" t="str">
        <f>IFERROR(__xludf.DUMMYFUNCTION("""COMPUTED_VALUE"""),"6")</f>
        <v>6</v>
      </c>
      <c r="V2723" s="6" t="str">
        <f>IFERROR(__xludf.DUMMYFUNCTION("""COMPUTED_VALUE"""),"en_US")</f>
        <v>en_US</v>
      </c>
      <c r="W2723" s="6" t="str">
        <f>IFERROR(__xludf.DUMMYFUNCTION("""COMPUTED_VALUE"""),"[]")</f>
        <v>[]</v>
      </c>
      <c r="X2723" s="6" t="str">
        <f>IFERROR(__xludf.DUMMYFUNCTION("""COMPUTED_VALUE"""),"Enrolled")</f>
        <v>Enrolled</v>
      </c>
    </row>
    <row r="2724">
      <c r="A2724" s="6" t="str">
        <f>IFERROR(__xludf.DUMMYFUNCTION("""COMPUTED_VALUE"""),"056-8685")</f>
        <v>056-8685</v>
      </c>
      <c r="B2724" s="6" t="str">
        <f>IFERROR(__xludf.DUMMYFUNCTION("""COMPUTED_VALUE"""),"56")</f>
        <v>56</v>
      </c>
      <c r="C2724" s="6" t="str">
        <f>IFERROR(__xludf.DUMMYFUNCTION("""COMPUTED_VALUE"""),"8685")</f>
        <v>8685</v>
      </c>
      <c r="D2724" s="6" t="str">
        <f>IFERROR(__xludf.DUMMYFUNCTION("""COMPUTED_VALUE"""),"Test")</f>
        <v>Test</v>
      </c>
      <c r="E2724" s="6" t="str">
        <f>IFERROR(__xludf.DUMMYFUNCTION("""COMPUTED_VALUE"""),"")</f>
        <v/>
      </c>
      <c r="F2724" s="6" t="str">
        <f>IFERROR(__xludf.DUMMYFUNCTION("""COMPUTED_VALUE"""),"PBSA")</f>
        <v>PBSA</v>
      </c>
      <c r="G2724" s="6" t="str">
        <f>IFERROR(__xludf.DUMMYFUNCTION("""COMPUTED_VALUE"""),"01/15/2013")</f>
        <v>01/15/2013</v>
      </c>
      <c r="H2724" s="6" t="str">
        <f>IFERROR(__xludf.DUMMYFUNCTION("""COMPUTED_VALUE"""),"male")</f>
        <v>male</v>
      </c>
      <c r="I2724" s="6" t="str">
        <f>IFERROR(__xludf.DUMMYFUNCTION("""COMPUTED_VALUE"""),"Level 2")</f>
        <v>Level 2</v>
      </c>
      <c r="J2724" s="6" t="str">
        <f>IFERROR(__xludf.DUMMYFUNCTION("""COMPUTED_VALUE"""),"5")</f>
        <v>5</v>
      </c>
      <c r="K2724" s="6" t="str">
        <f>IFERROR(__xludf.DUMMYFUNCTION("""COMPUTED_VALUE"""),"test.pbsa@2hourlearning.com")</f>
        <v>test.pbsa@2hourlearning.com</v>
      </c>
      <c r="L2724" s="6" t="str">
        <f>IFERROR(__xludf.DUMMYFUNCTION("""COMPUTED_VALUE"""),"Reading Community City School District")</f>
        <v>Reading Community City School District</v>
      </c>
      <c r="M2724" s="6" t="str">
        <f>IFERROR(__xludf.DUMMYFUNCTION("""COMPUTED_VALUE"""),"Test")</f>
        <v>Test</v>
      </c>
      <c r="N2724" s="6" t="str">
        <f>IFERROR(__xludf.DUMMYFUNCTION("""COMPUTED_VALUE"""),"")</f>
        <v/>
      </c>
      <c r="O2724" s="87" t="str">
        <f>IFERROR(__xludf.DUMMYFUNCTION("""COMPUTED_VALUE"""),"https://drive.google.com/drive/folders/10T2cTQHqEJZqE-st6uFKPoI?usp=share_link")</f>
        <v>https://drive.google.com/drive/folders/10T2cTQHqEJZqE-st6uFKPoI?usp=share_link</v>
      </c>
      <c r="P2724" s="6" t="str">
        <f>IFERROR(__xludf.DUMMYFUNCTION("""COMPUTED_VALUE"""),"Test PBSA")</f>
        <v>Test PBSA</v>
      </c>
      <c r="Q2724" s="6" t="str">
        <f>IFERROR(__xludf.DUMMYFUNCTION("""COMPUTED_VALUE"""),"L2")</f>
        <v>L2</v>
      </c>
      <c r="R2724" s="6">
        <f>IFERROR(__xludf.DUMMYFUNCTION("""COMPUTED_VALUE"""),2.0)</f>
        <v>2</v>
      </c>
      <c r="S2724" s="6" t="str">
        <f>IFERROR(__xludf.DUMMYFUNCTION("""COMPUTED_VALUE""")," ")</f>
        <v> </v>
      </c>
      <c r="T2724" s="6" t="str">
        <f>IFERROR(__xludf.DUMMYFUNCTION("""COMPUTED_VALUE"""),"")</f>
        <v/>
      </c>
      <c r="U2724" s="6" t="str">
        <f>IFERROR(__xludf.DUMMYFUNCTION("""COMPUTED_VALUE"""),"5")</f>
        <v>5</v>
      </c>
      <c r="V2724" s="6" t="str">
        <f>IFERROR(__xludf.DUMMYFUNCTION("""COMPUTED_VALUE"""),"English")</f>
        <v>English</v>
      </c>
      <c r="W2724" s="6" t="str">
        <f>IFERROR(__xludf.DUMMYFUNCTION("""COMPUTED_VALUE"""),"[]")</f>
        <v>[]</v>
      </c>
      <c r="X2724" s="6" t="str">
        <f>IFERROR(__xludf.DUMMYFUNCTION("""COMPUTED_VALUE"""),"Enrolled")</f>
        <v>Enrolled</v>
      </c>
    </row>
    <row r="2725">
      <c r="A2725" s="6" t="str">
        <f>IFERROR(__xludf.DUMMYFUNCTION("""COMPUTED_VALUE"""),"056-8817")</f>
        <v>056-8817</v>
      </c>
      <c r="B2725" s="6" t="str">
        <f>IFERROR(__xludf.DUMMYFUNCTION("""COMPUTED_VALUE"""),"56")</f>
        <v>56</v>
      </c>
      <c r="C2725" s="6" t="str">
        <f>IFERROR(__xludf.DUMMYFUNCTION("""COMPUTED_VALUE"""),"8817")</f>
        <v>8817</v>
      </c>
      <c r="D2725" s="6" t="str">
        <f>IFERROR(__xludf.DUMMYFUNCTION("""COMPUTED_VALUE"""),"Test")</f>
        <v>Test</v>
      </c>
      <c r="E2725" s="6" t="str">
        <f>IFERROR(__xludf.DUMMYFUNCTION("""COMPUTED_VALUE"""),"")</f>
        <v/>
      </c>
      <c r="F2725" s="6" t="str">
        <f>IFERROR(__xludf.DUMMYFUNCTION("""COMPUTED_VALUE"""),"Posnack")</f>
        <v>Posnack</v>
      </c>
      <c r="G2725" s="6" t="str">
        <f>IFERROR(__xludf.DUMMYFUNCTION("""COMPUTED_VALUE"""),"01/15/2013")</f>
        <v>01/15/2013</v>
      </c>
      <c r="H2725" s="6" t="str">
        <f>IFERROR(__xludf.DUMMYFUNCTION("""COMPUTED_VALUE"""),"male")</f>
        <v>male</v>
      </c>
      <c r="I2725" s="6" t="str">
        <f>IFERROR(__xludf.DUMMYFUNCTION("""COMPUTED_VALUE"""),"Level 2")</f>
        <v>Level 2</v>
      </c>
      <c r="J2725" s="6" t="str">
        <f>IFERROR(__xludf.DUMMYFUNCTION("""COMPUTED_VALUE"""),"5")</f>
        <v>5</v>
      </c>
      <c r="K2725" s="6" t="str">
        <f>IFERROR(__xludf.DUMMYFUNCTION("""COMPUTED_VALUE"""),"test.posnack@2hourlearning.com")</f>
        <v>test.posnack@2hourlearning.com</v>
      </c>
      <c r="L2725" s="6" t="str">
        <f>IFERROR(__xludf.DUMMYFUNCTION("""COMPUTED_VALUE"""),"Reading Community City School District")</f>
        <v>Reading Community City School District</v>
      </c>
      <c r="M2725" s="6" t="str">
        <f>IFERROR(__xludf.DUMMYFUNCTION("""COMPUTED_VALUE"""),"Test")</f>
        <v>Test</v>
      </c>
      <c r="N2725" s="6" t="str">
        <f>IFERROR(__xludf.DUMMYFUNCTION("""COMPUTED_VALUE"""),"")</f>
        <v/>
      </c>
      <c r="O2725" s="87" t="str">
        <f>IFERROR(__xludf.DUMMYFUNCTION("""COMPUTED_VALUE"""),"https://drive.google.com/drive/folders/10T2cTQHqEJZqE-st6uFKPoI?usp=share_link")</f>
        <v>https://drive.google.com/drive/folders/10T2cTQHqEJZqE-st6uFKPoI?usp=share_link</v>
      </c>
      <c r="P2725" s="6" t="str">
        <f>IFERROR(__xludf.DUMMYFUNCTION("""COMPUTED_VALUE"""),"Test Posnack")</f>
        <v>Test Posnack</v>
      </c>
      <c r="Q2725" s="6" t="str">
        <f>IFERROR(__xludf.DUMMYFUNCTION("""COMPUTED_VALUE"""),"L2")</f>
        <v>L2</v>
      </c>
      <c r="R2725" s="6">
        <f>IFERROR(__xludf.DUMMYFUNCTION("""COMPUTED_VALUE"""),2.0)</f>
        <v>2</v>
      </c>
      <c r="S2725" s="6" t="str">
        <f>IFERROR(__xludf.DUMMYFUNCTION("""COMPUTED_VALUE""")," ")</f>
        <v> </v>
      </c>
      <c r="T2725" s="6" t="str">
        <f>IFERROR(__xludf.DUMMYFUNCTION("""COMPUTED_VALUE"""),"")</f>
        <v/>
      </c>
      <c r="U2725" s="6" t="str">
        <f>IFERROR(__xludf.DUMMYFUNCTION("""COMPUTED_VALUE"""),"5")</f>
        <v>5</v>
      </c>
      <c r="V2725" s="6" t="str">
        <f>IFERROR(__xludf.DUMMYFUNCTION("""COMPUTED_VALUE"""),"English")</f>
        <v>English</v>
      </c>
      <c r="W2725" s="6" t="str">
        <f>IFERROR(__xludf.DUMMYFUNCTION("""COMPUTED_VALUE"""),"[]")</f>
        <v>[]</v>
      </c>
      <c r="X2725" s="6" t="str">
        <f>IFERROR(__xludf.DUMMYFUNCTION("""COMPUTED_VALUE"""),"Enrolled")</f>
        <v>Enrolled</v>
      </c>
    </row>
    <row r="2726">
      <c r="A2726" s="6" t="str">
        <f>IFERROR(__xludf.DUMMYFUNCTION("""COMPUTED_VALUE"""),"056-8880")</f>
        <v>056-8880</v>
      </c>
      <c r="B2726" s="6" t="str">
        <f>IFERROR(__xludf.DUMMYFUNCTION("""COMPUTED_VALUE"""),"56")</f>
        <v>56</v>
      </c>
      <c r="C2726" s="6" t="str">
        <f>IFERROR(__xludf.DUMMYFUNCTION("""COMPUTED_VALUE"""),"8880")</f>
        <v>8880</v>
      </c>
      <c r="D2726" s="6" t="str">
        <f>IFERROR(__xludf.DUMMYFUNCTION("""COMPUTED_VALUE"""),"Test")</f>
        <v>Test</v>
      </c>
      <c r="E2726" s="6" t="str">
        <f>IFERROR(__xludf.DUMMYFUNCTION("""COMPUTED_VALUE"""),"")</f>
        <v/>
      </c>
      <c r="F2726" s="6" t="str">
        <f>IFERROR(__xludf.DUMMYFUNCTION("""COMPUTED_VALUE"""),"JCSD")</f>
        <v>JCSD</v>
      </c>
      <c r="G2726" s="6" t="str">
        <f>IFERROR(__xludf.DUMMYFUNCTION("""COMPUTED_VALUE"""),"01/15/2013")</f>
        <v>01/15/2013</v>
      </c>
      <c r="H2726" s="6" t="str">
        <f>IFERROR(__xludf.DUMMYFUNCTION("""COMPUTED_VALUE"""),"male")</f>
        <v>male</v>
      </c>
      <c r="I2726" s="6" t="str">
        <f>IFERROR(__xludf.DUMMYFUNCTION("""COMPUTED_VALUE"""),"Level 2")</f>
        <v>Level 2</v>
      </c>
      <c r="J2726" s="6" t="str">
        <f>IFERROR(__xludf.DUMMYFUNCTION("""COMPUTED_VALUE"""),"5")</f>
        <v>5</v>
      </c>
      <c r="K2726" s="6" t="str">
        <f>IFERROR(__xludf.DUMMYFUNCTION("""COMPUTED_VALUE"""),"test.jcsd@2hourlearning.com")</f>
        <v>test.jcsd@2hourlearning.com</v>
      </c>
      <c r="L2726" s="6" t="str">
        <f>IFERROR(__xludf.DUMMYFUNCTION("""COMPUTED_VALUE"""),"Reading Community City School District")</f>
        <v>Reading Community City School District</v>
      </c>
      <c r="M2726" s="6" t="str">
        <f>IFERROR(__xludf.DUMMYFUNCTION("""COMPUTED_VALUE"""),"Test")</f>
        <v>Test</v>
      </c>
      <c r="N2726" s="6" t="str">
        <f>IFERROR(__xludf.DUMMYFUNCTION("""COMPUTED_VALUE"""),"")</f>
        <v/>
      </c>
      <c r="O2726" s="87" t="str">
        <f>IFERROR(__xludf.DUMMYFUNCTION("""COMPUTED_VALUE"""),"https://drive.google.com/drive/folders/10T2cTQHqEJZqE-st6uFKPoI?usp=share_link")</f>
        <v>https://drive.google.com/drive/folders/10T2cTQHqEJZqE-st6uFKPoI?usp=share_link</v>
      </c>
      <c r="P2726" s="6" t="str">
        <f>IFERROR(__xludf.DUMMYFUNCTION("""COMPUTED_VALUE"""),"Test JCSD")</f>
        <v>Test JCSD</v>
      </c>
      <c r="Q2726" s="6" t="str">
        <f>IFERROR(__xludf.DUMMYFUNCTION("""COMPUTED_VALUE"""),"L2")</f>
        <v>L2</v>
      </c>
      <c r="R2726" s="6">
        <f>IFERROR(__xludf.DUMMYFUNCTION("""COMPUTED_VALUE"""),2.0)</f>
        <v>2</v>
      </c>
      <c r="S2726" s="6" t="str">
        <f>IFERROR(__xludf.DUMMYFUNCTION("""COMPUTED_VALUE""")," ")</f>
        <v> </v>
      </c>
      <c r="T2726" s="6" t="str">
        <f>IFERROR(__xludf.DUMMYFUNCTION("""COMPUTED_VALUE"""),"")</f>
        <v/>
      </c>
      <c r="U2726" s="6" t="str">
        <f>IFERROR(__xludf.DUMMYFUNCTION("""COMPUTED_VALUE"""),"5")</f>
        <v>5</v>
      </c>
      <c r="V2726" s="6" t="str">
        <f>IFERROR(__xludf.DUMMYFUNCTION("""COMPUTED_VALUE"""),"English")</f>
        <v>English</v>
      </c>
      <c r="W2726" s="6" t="str">
        <f>IFERROR(__xludf.DUMMYFUNCTION("""COMPUTED_VALUE"""),"[]")</f>
        <v>[]</v>
      </c>
      <c r="X2726" s="6" t="str">
        <f>IFERROR(__xludf.DUMMYFUNCTION("""COMPUTED_VALUE"""),"Enrolled")</f>
        <v>Enrolled</v>
      </c>
    </row>
    <row r="2727">
      <c r="A2727" s="6" t="str">
        <f>IFERROR(__xludf.DUMMYFUNCTION("""COMPUTED_VALUE"""),"056-8881")</f>
        <v>056-8881</v>
      </c>
      <c r="B2727" s="6" t="str">
        <f>IFERROR(__xludf.DUMMYFUNCTION("""COMPUTED_VALUE"""),"56")</f>
        <v>56</v>
      </c>
      <c r="C2727" s="6" t="str">
        <f>IFERROR(__xludf.DUMMYFUNCTION("""COMPUTED_VALUE"""),"8881")</f>
        <v>8881</v>
      </c>
      <c r="D2727" s="6" t="str">
        <f>IFERROR(__xludf.DUMMYFUNCTION("""COMPUTED_VALUE"""),"Test")</f>
        <v>Test</v>
      </c>
      <c r="E2727" s="6" t="str">
        <f>IFERROR(__xludf.DUMMYFUNCTION("""COMPUTED_VALUE"""),"")</f>
        <v/>
      </c>
      <c r="F2727" s="6" t="str">
        <f>IFERROR(__xludf.DUMMYFUNCTION("""COMPUTED_VALUE"""),"ACS")</f>
        <v>ACS</v>
      </c>
      <c r="G2727" s="6" t="str">
        <f>IFERROR(__xludf.DUMMYFUNCTION("""COMPUTED_VALUE"""),"01/15/2013")</f>
        <v>01/15/2013</v>
      </c>
      <c r="H2727" s="6" t="str">
        <f>IFERROR(__xludf.DUMMYFUNCTION("""COMPUTED_VALUE"""),"male")</f>
        <v>male</v>
      </c>
      <c r="I2727" s="6" t="str">
        <f>IFERROR(__xludf.DUMMYFUNCTION("""COMPUTED_VALUE"""),"Level 2")</f>
        <v>Level 2</v>
      </c>
      <c r="J2727" s="6" t="str">
        <f>IFERROR(__xludf.DUMMYFUNCTION("""COMPUTED_VALUE"""),"5")</f>
        <v>5</v>
      </c>
      <c r="K2727" s="6" t="str">
        <f>IFERROR(__xludf.DUMMYFUNCTION("""COMPUTED_VALUE"""),"test.acs@2hourlearning.com")</f>
        <v>test.acs@2hourlearning.com</v>
      </c>
      <c r="L2727" s="6" t="str">
        <f>IFERROR(__xludf.DUMMYFUNCTION("""COMPUTED_VALUE"""),"Reading Community City School District")</f>
        <v>Reading Community City School District</v>
      </c>
      <c r="M2727" s="6" t="str">
        <f>IFERROR(__xludf.DUMMYFUNCTION("""COMPUTED_VALUE"""),"Test")</f>
        <v>Test</v>
      </c>
      <c r="N2727" s="6" t="str">
        <f>IFERROR(__xludf.DUMMYFUNCTION("""COMPUTED_VALUE"""),"")</f>
        <v/>
      </c>
      <c r="O2727" s="87" t="str">
        <f>IFERROR(__xludf.DUMMYFUNCTION("""COMPUTED_VALUE"""),"https://drive.google.com/drive/folders/10T2cTQHqEJZqE-st6uFKPoI?usp=share_link")</f>
        <v>https://drive.google.com/drive/folders/10T2cTQHqEJZqE-st6uFKPoI?usp=share_link</v>
      </c>
      <c r="P2727" s="6" t="str">
        <f>IFERROR(__xludf.DUMMYFUNCTION("""COMPUTED_VALUE"""),"Test ACS")</f>
        <v>Test ACS</v>
      </c>
      <c r="Q2727" s="6" t="str">
        <f>IFERROR(__xludf.DUMMYFUNCTION("""COMPUTED_VALUE"""),"L2")</f>
        <v>L2</v>
      </c>
      <c r="R2727" s="6">
        <f>IFERROR(__xludf.DUMMYFUNCTION("""COMPUTED_VALUE"""),2.0)</f>
        <v>2</v>
      </c>
      <c r="S2727" s="6" t="str">
        <f>IFERROR(__xludf.DUMMYFUNCTION("""COMPUTED_VALUE""")," ")</f>
        <v> </v>
      </c>
      <c r="T2727" s="6" t="str">
        <f>IFERROR(__xludf.DUMMYFUNCTION("""COMPUTED_VALUE"""),"")</f>
        <v/>
      </c>
      <c r="U2727" s="6" t="str">
        <f>IFERROR(__xludf.DUMMYFUNCTION("""COMPUTED_VALUE"""),"5")</f>
        <v>5</v>
      </c>
      <c r="V2727" s="6" t="str">
        <f>IFERROR(__xludf.DUMMYFUNCTION("""COMPUTED_VALUE"""),"English")</f>
        <v>English</v>
      </c>
      <c r="W2727" s="6" t="str">
        <f>IFERROR(__xludf.DUMMYFUNCTION("""COMPUTED_VALUE"""),"[]")</f>
        <v>[]</v>
      </c>
      <c r="X2727" s="6" t="str">
        <f>IFERROR(__xludf.DUMMYFUNCTION("""COMPUTED_VALUE"""),"Enrolled")</f>
        <v>Enrolled</v>
      </c>
    </row>
    <row r="2728">
      <c r="A2728" s="6" t="str">
        <f>IFERROR(__xludf.DUMMYFUNCTION("""COMPUTED_VALUE"""),"056-9172")</f>
        <v>056-9172</v>
      </c>
      <c r="B2728" s="6" t="str">
        <f>IFERROR(__xludf.DUMMYFUNCTION("""COMPUTED_VALUE"""),"56")</f>
        <v>56</v>
      </c>
      <c r="C2728" s="6" t="str">
        <f>IFERROR(__xludf.DUMMYFUNCTION("""COMPUTED_VALUE"""),"9172")</f>
        <v>9172</v>
      </c>
      <c r="D2728" s="6" t="str">
        <f>IFERROR(__xludf.DUMMYFUNCTION("""COMPUTED_VALUE"""),"Test")</f>
        <v>Test</v>
      </c>
      <c r="E2728" s="6" t="str">
        <f>IFERROR(__xludf.DUMMYFUNCTION("""COMPUTED_VALUE"""),"")</f>
        <v/>
      </c>
      <c r="F2728" s="6" t="str">
        <f>IFERROR(__xludf.DUMMYFUNCTION("""COMPUTED_VALUE"""),"AISD")</f>
        <v>AISD</v>
      </c>
      <c r="G2728" s="6" t="str">
        <f>IFERROR(__xludf.DUMMYFUNCTION("""COMPUTED_VALUE"""),"01/15/2013")</f>
        <v>01/15/2013</v>
      </c>
      <c r="H2728" s="6" t="str">
        <f>IFERROR(__xludf.DUMMYFUNCTION("""COMPUTED_VALUE"""),"male")</f>
        <v>male</v>
      </c>
      <c r="I2728" s="6" t="str">
        <f>IFERROR(__xludf.DUMMYFUNCTION("""COMPUTED_VALUE"""),"Level 2")</f>
        <v>Level 2</v>
      </c>
      <c r="J2728" s="6" t="str">
        <f>IFERROR(__xludf.DUMMYFUNCTION("""COMPUTED_VALUE"""),"5")</f>
        <v>5</v>
      </c>
      <c r="K2728" s="6" t="str">
        <f>IFERROR(__xludf.DUMMYFUNCTION("""COMPUTED_VALUE"""),"test.aisd@2hourlearning.com")</f>
        <v>test.aisd@2hourlearning.com</v>
      </c>
      <c r="L2728" s="6" t="str">
        <f>IFERROR(__xludf.DUMMYFUNCTION("""COMPUTED_VALUE"""),"Reading Community City School District")</f>
        <v>Reading Community City School District</v>
      </c>
      <c r="M2728" s="6" t="str">
        <f>IFERROR(__xludf.DUMMYFUNCTION("""COMPUTED_VALUE"""),"Test")</f>
        <v>Test</v>
      </c>
      <c r="N2728" s="6" t="str">
        <f>IFERROR(__xludf.DUMMYFUNCTION("""COMPUTED_VALUE"""),"")</f>
        <v/>
      </c>
      <c r="O2728" s="87" t="str">
        <f>IFERROR(__xludf.DUMMYFUNCTION("""COMPUTED_VALUE"""),"https://drive.google.com/drive/folders/10T2cTQHqEJZqE-st6uFKPoI?usp=share_link")</f>
        <v>https://drive.google.com/drive/folders/10T2cTQHqEJZqE-st6uFKPoI?usp=share_link</v>
      </c>
      <c r="P2728" s="6" t="str">
        <f>IFERROR(__xludf.DUMMYFUNCTION("""COMPUTED_VALUE"""),"Test AISD")</f>
        <v>Test AISD</v>
      </c>
      <c r="Q2728" s="6" t="str">
        <f>IFERROR(__xludf.DUMMYFUNCTION("""COMPUTED_VALUE"""),"L2")</f>
        <v>L2</v>
      </c>
      <c r="R2728" s="6">
        <f>IFERROR(__xludf.DUMMYFUNCTION("""COMPUTED_VALUE"""),2.0)</f>
        <v>2</v>
      </c>
      <c r="S2728" s="6" t="str">
        <f>IFERROR(__xludf.DUMMYFUNCTION("""COMPUTED_VALUE""")," ")</f>
        <v> </v>
      </c>
      <c r="T2728" s="6" t="str">
        <f>IFERROR(__xludf.DUMMYFUNCTION("""COMPUTED_VALUE"""),"")</f>
        <v/>
      </c>
      <c r="U2728" s="6" t="str">
        <f>IFERROR(__xludf.DUMMYFUNCTION("""COMPUTED_VALUE"""),"5")</f>
        <v>5</v>
      </c>
      <c r="V2728" s="6" t="str">
        <f>IFERROR(__xludf.DUMMYFUNCTION("""COMPUTED_VALUE"""),"English")</f>
        <v>English</v>
      </c>
      <c r="W2728" s="6" t="str">
        <f>IFERROR(__xludf.DUMMYFUNCTION("""COMPUTED_VALUE"""),"[]")</f>
        <v>[]</v>
      </c>
      <c r="X2728" s="6" t="str">
        <f>IFERROR(__xludf.DUMMYFUNCTION("""COMPUTED_VALUE"""),"Enrolled")</f>
        <v>Enrolled</v>
      </c>
    </row>
    <row r="2729">
      <c r="A2729" s="6" t="str">
        <f>IFERROR(__xludf.DUMMYFUNCTION("""COMPUTED_VALUE"""),"057-4593")</f>
        <v>057-4593</v>
      </c>
      <c r="B2729" s="6" t="str">
        <f>IFERROR(__xludf.DUMMYFUNCTION("""COMPUTED_VALUE"""),"57")</f>
        <v>57</v>
      </c>
      <c r="C2729" s="6" t="str">
        <f>IFERROR(__xludf.DUMMYFUNCTION("""COMPUTED_VALUE"""),"4593")</f>
        <v>4593</v>
      </c>
      <c r="D2729" s="6" t="str">
        <f>IFERROR(__xludf.DUMMYFUNCTION("""COMPUTED_VALUE"""),"Ryan")</f>
        <v>Ryan</v>
      </c>
      <c r="E2729" s="6" t="str">
        <f>IFERROR(__xludf.DUMMYFUNCTION("""COMPUTED_VALUE"""),"")</f>
        <v/>
      </c>
      <c r="F2729" s="6" t="str">
        <f>IFERROR(__xludf.DUMMYFUNCTION("""COMPUTED_VALUE"""),"Peters")</f>
        <v>Peters</v>
      </c>
      <c r="G2729" s="6" t="str">
        <f>IFERROR(__xludf.DUMMYFUNCTION("""COMPUTED_VALUE"""),"09/19/2019")</f>
        <v>09/19/2019</v>
      </c>
      <c r="H2729" s="6" t="str">
        <f>IFERROR(__xludf.DUMMYFUNCTION("""COMPUTED_VALUE"""),"male")</f>
        <v>male</v>
      </c>
      <c r="I2729" s="6" t="str">
        <f>IFERROR(__xludf.DUMMYFUNCTION("""COMPUTED_VALUE"""),"Learning Lab")</f>
        <v>Learning Lab</v>
      </c>
      <c r="J2729" s="6" t="str">
        <f>IFERROR(__xludf.DUMMYFUNCTION("""COMPUTED_VALUE"""),"K")</f>
        <v>K</v>
      </c>
      <c r="K2729" s="6" t="str">
        <f>IFERROR(__xludf.DUMMYFUNCTION("""COMPUTED_VALUE"""),"ryan.peters@2hourlearning.com")</f>
        <v>ryan.peters@2hourlearning.com</v>
      </c>
      <c r="L2729" s="6" t="str">
        <f>IFERROR(__xludf.DUMMYFUNCTION("""COMPUTED_VALUE"""),"One Hope Academy")</f>
        <v>One Hope Academy</v>
      </c>
      <c r="M2729" s="6" t="str">
        <f>IFERROR(__xludf.DUMMYFUNCTION("""COMPUTED_VALUE"""),"")</f>
        <v/>
      </c>
      <c r="N2729" s="6" t="str">
        <f>IFERROR(__xludf.DUMMYFUNCTION("""COMPUTED_VALUE"""),"")</f>
        <v/>
      </c>
      <c r="O2729" s="87" t="str">
        <f>IFERROR(__xludf.DUMMYFUNCTION("""COMPUTED_VALUE"""),"https://drive.google.com/drive/folders/10T2cTQHqEJZqE-st6uFKPoI?usp=share_link")</f>
        <v>https://drive.google.com/drive/folders/10T2cTQHqEJZqE-st6uFKPoI?usp=share_link</v>
      </c>
      <c r="P2729" s="6" t="str">
        <f>IFERROR(__xludf.DUMMYFUNCTION("""COMPUTED_VALUE"""),"Ryan Peters")</f>
        <v>Ryan Peters</v>
      </c>
      <c r="Q2729" s="6" t="str">
        <f>IFERROR(__xludf.DUMMYFUNCTION("""COMPUTED_VALUE"""),"LL")</f>
        <v>LL</v>
      </c>
      <c r="R2729" s="6">
        <f>IFERROR(__xludf.DUMMYFUNCTION("""COMPUTED_VALUE"""),0.0)</f>
        <v>0</v>
      </c>
      <c r="S2729" s="6" t="str">
        <f>IFERROR(__xludf.DUMMYFUNCTION("""COMPUTED_VALUE"""),"Phoebe Weaver")</f>
        <v>Phoebe Weaver</v>
      </c>
      <c r="T2729" s="6" t="str">
        <f>IFERROR(__xludf.DUMMYFUNCTION("""COMPUTED_VALUE"""),"phoebe.gerbrecht@alpha.school")</f>
        <v>phoebe.gerbrecht@alpha.school</v>
      </c>
      <c r="U2729" s="6" t="str">
        <f>IFERROR(__xludf.DUMMYFUNCTION("""COMPUTED_VALUE"""),"K")</f>
        <v>K</v>
      </c>
      <c r="V2729" s="6" t="str">
        <f>IFERROR(__xludf.DUMMYFUNCTION("""COMPUTED_VALUE"""),"English")</f>
        <v>English</v>
      </c>
      <c r="W2729" s="6" t="str">
        <f>IFERROR(__xludf.DUMMYFUNCTION("""COMPUTED_VALUE"""),"[]")</f>
        <v>[]</v>
      </c>
      <c r="X2729" s="6" t="str">
        <f>IFERROR(__xludf.DUMMYFUNCTION("""COMPUTED_VALUE"""),"Enrolled")</f>
        <v>Enrolled</v>
      </c>
    </row>
    <row r="2730">
      <c r="A2730" s="6" t="str">
        <f>IFERROR(__xludf.DUMMYFUNCTION("""COMPUTED_VALUE"""),"057-4594")</f>
        <v>057-4594</v>
      </c>
      <c r="B2730" s="6" t="str">
        <f>IFERROR(__xludf.DUMMYFUNCTION("""COMPUTED_VALUE"""),"57")</f>
        <v>57</v>
      </c>
      <c r="C2730" s="6" t="str">
        <f>IFERROR(__xludf.DUMMYFUNCTION("""COMPUTED_VALUE"""),"4594")</f>
        <v>4594</v>
      </c>
      <c r="D2730" s="6" t="str">
        <f>IFERROR(__xludf.DUMMYFUNCTION("""COMPUTED_VALUE"""),"Sophie")</f>
        <v>Sophie</v>
      </c>
      <c r="E2730" s="6" t="str">
        <f>IFERROR(__xludf.DUMMYFUNCTION("""COMPUTED_VALUE"""),"")</f>
        <v/>
      </c>
      <c r="F2730" s="6" t="str">
        <f>IFERROR(__xludf.DUMMYFUNCTION("""COMPUTED_VALUE"""),"Love")</f>
        <v>Love</v>
      </c>
      <c r="G2730" s="6" t="str">
        <f>IFERROR(__xludf.DUMMYFUNCTION("""COMPUTED_VALUE"""),"01/03/2020")</f>
        <v>01/03/2020</v>
      </c>
      <c r="H2730" s="6" t="str">
        <f>IFERROR(__xludf.DUMMYFUNCTION("""COMPUTED_VALUE"""),"female")</f>
        <v>female</v>
      </c>
      <c r="I2730" s="6" t="str">
        <f>IFERROR(__xludf.DUMMYFUNCTION("""COMPUTED_VALUE"""),"Learning Lab")</f>
        <v>Learning Lab</v>
      </c>
      <c r="J2730" s="6" t="str">
        <f>IFERROR(__xludf.DUMMYFUNCTION("""COMPUTED_VALUE"""),"K")</f>
        <v>K</v>
      </c>
      <c r="K2730" s="6" t="str">
        <f>IFERROR(__xludf.DUMMYFUNCTION("""COMPUTED_VALUE"""),"sophie.love@2hourlearning.com")</f>
        <v>sophie.love@2hourlearning.com</v>
      </c>
      <c r="L2730" s="6" t="str">
        <f>IFERROR(__xludf.DUMMYFUNCTION("""COMPUTED_VALUE"""),"One Hope Academy")</f>
        <v>One Hope Academy</v>
      </c>
      <c r="M2730" s="6" t="str">
        <f>IFERROR(__xludf.DUMMYFUNCTION("""COMPUTED_VALUE"""),"")</f>
        <v/>
      </c>
      <c r="N2730" s="6" t="str">
        <f>IFERROR(__xludf.DUMMYFUNCTION("""COMPUTED_VALUE"""),"")</f>
        <v/>
      </c>
      <c r="O2730" s="87" t="str">
        <f>IFERROR(__xludf.DUMMYFUNCTION("""COMPUTED_VALUE"""),"https://drive.google.com/drive/folders/10T2cTQHqEJZqE-st6uFKPoI?usp=share_link")</f>
        <v>https://drive.google.com/drive/folders/10T2cTQHqEJZqE-st6uFKPoI?usp=share_link</v>
      </c>
      <c r="P2730" s="6" t="str">
        <f>IFERROR(__xludf.DUMMYFUNCTION("""COMPUTED_VALUE"""),"Sophie Love")</f>
        <v>Sophie Love</v>
      </c>
      <c r="Q2730" s="6" t="str">
        <f>IFERROR(__xludf.DUMMYFUNCTION("""COMPUTED_VALUE"""),"LL")</f>
        <v>LL</v>
      </c>
      <c r="R2730" s="6">
        <f>IFERROR(__xludf.DUMMYFUNCTION("""COMPUTED_VALUE"""),0.0)</f>
        <v>0</v>
      </c>
      <c r="S2730" s="6" t="str">
        <f>IFERROR(__xludf.DUMMYFUNCTION("""COMPUTED_VALUE"""),"Phoebe Weaver")</f>
        <v>Phoebe Weaver</v>
      </c>
      <c r="T2730" s="6" t="str">
        <f>IFERROR(__xludf.DUMMYFUNCTION("""COMPUTED_VALUE"""),"phoebe.gerbrecht@alpha.school")</f>
        <v>phoebe.gerbrecht@alpha.school</v>
      </c>
      <c r="U2730" s="6" t="str">
        <f>IFERROR(__xludf.DUMMYFUNCTION("""COMPUTED_VALUE"""),"K")</f>
        <v>K</v>
      </c>
      <c r="V2730" s="6" t="str">
        <f>IFERROR(__xludf.DUMMYFUNCTION("""COMPUTED_VALUE"""),"English")</f>
        <v>English</v>
      </c>
      <c r="W2730" s="6" t="str">
        <f>IFERROR(__xludf.DUMMYFUNCTION("""COMPUTED_VALUE"""),"[]")</f>
        <v>[]</v>
      </c>
      <c r="X2730" s="6" t="str">
        <f>IFERROR(__xludf.DUMMYFUNCTION("""COMPUTED_VALUE"""),"Enrolled")</f>
        <v>Enrolled</v>
      </c>
    </row>
    <row r="2731">
      <c r="A2731" s="6" t="str">
        <f>IFERROR(__xludf.DUMMYFUNCTION("""COMPUTED_VALUE"""),"057-4595")</f>
        <v>057-4595</v>
      </c>
      <c r="B2731" s="6" t="str">
        <f>IFERROR(__xludf.DUMMYFUNCTION("""COMPUTED_VALUE"""),"57")</f>
        <v>57</v>
      </c>
      <c r="C2731" s="6" t="str">
        <f>IFERROR(__xludf.DUMMYFUNCTION("""COMPUTED_VALUE"""),"4595")</f>
        <v>4595</v>
      </c>
      <c r="D2731" s="6" t="str">
        <f>IFERROR(__xludf.DUMMYFUNCTION("""COMPUTED_VALUE"""),"Rebecca")</f>
        <v>Rebecca</v>
      </c>
      <c r="E2731" s="6" t="str">
        <f>IFERROR(__xludf.DUMMYFUNCTION("""COMPUTED_VALUE"""),"")</f>
        <v/>
      </c>
      <c r="F2731" s="6" t="str">
        <f>IFERROR(__xludf.DUMMYFUNCTION("""COMPUTED_VALUE"""),"Scowcroft")</f>
        <v>Scowcroft</v>
      </c>
      <c r="G2731" s="6" t="str">
        <f>IFERROR(__xludf.DUMMYFUNCTION("""COMPUTED_VALUE"""),"05/06/2020")</f>
        <v>05/06/2020</v>
      </c>
      <c r="H2731" s="6" t="str">
        <f>IFERROR(__xludf.DUMMYFUNCTION("""COMPUTED_VALUE"""),"female")</f>
        <v>female</v>
      </c>
      <c r="I2731" s="6" t="str">
        <f>IFERROR(__xludf.DUMMYFUNCTION("""COMPUTED_VALUE"""),"Learning Lab")</f>
        <v>Learning Lab</v>
      </c>
      <c r="J2731" s="6" t="str">
        <f>IFERROR(__xludf.DUMMYFUNCTION("""COMPUTED_VALUE"""),"K")</f>
        <v>K</v>
      </c>
      <c r="K2731" s="6" t="str">
        <f>IFERROR(__xludf.DUMMYFUNCTION("""COMPUTED_VALUE"""),"rebecca.scowcroft@2hourlearning.com")</f>
        <v>rebecca.scowcroft@2hourlearning.com</v>
      </c>
      <c r="L2731" s="6" t="str">
        <f>IFERROR(__xludf.DUMMYFUNCTION("""COMPUTED_VALUE"""),"One Hope Academy")</f>
        <v>One Hope Academy</v>
      </c>
      <c r="M2731" s="6" t="str">
        <f>IFERROR(__xludf.DUMMYFUNCTION("""COMPUTED_VALUE"""),"")</f>
        <v/>
      </c>
      <c r="N2731" s="6" t="str">
        <f>IFERROR(__xludf.DUMMYFUNCTION("""COMPUTED_VALUE"""),"")</f>
        <v/>
      </c>
      <c r="O2731" s="87" t="str">
        <f>IFERROR(__xludf.DUMMYFUNCTION("""COMPUTED_VALUE"""),"https://drive.google.com/drive/folders/10T2cTQHqEJZqE-st6uFKPoI?usp=share_link")</f>
        <v>https://drive.google.com/drive/folders/10T2cTQHqEJZqE-st6uFKPoI?usp=share_link</v>
      </c>
      <c r="P2731" s="6" t="str">
        <f>IFERROR(__xludf.DUMMYFUNCTION("""COMPUTED_VALUE"""),"Rebecca Scowcroft")</f>
        <v>Rebecca Scowcroft</v>
      </c>
      <c r="Q2731" s="6" t="str">
        <f>IFERROR(__xludf.DUMMYFUNCTION("""COMPUTED_VALUE"""),"LL")</f>
        <v>LL</v>
      </c>
      <c r="R2731" s="6">
        <f>IFERROR(__xludf.DUMMYFUNCTION("""COMPUTED_VALUE"""),0.0)</f>
        <v>0</v>
      </c>
      <c r="S2731" s="6" t="str">
        <f>IFERROR(__xludf.DUMMYFUNCTION("""COMPUTED_VALUE"""),"Phoebe Weaver")</f>
        <v>Phoebe Weaver</v>
      </c>
      <c r="T2731" s="6" t="str">
        <f>IFERROR(__xludf.DUMMYFUNCTION("""COMPUTED_VALUE"""),"phoebe.gerbrecht@alpha.school")</f>
        <v>phoebe.gerbrecht@alpha.school</v>
      </c>
      <c r="U2731" s="6" t="str">
        <f>IFERROR(__xludf.DUMMYFUNCTION("""COMPUTED_VALUE"""),"K")</f>
        <v>K</v>
      </c>
      <c r="V2731" s="6" t="str">
        <f>IFERROR(__xludf.DUMMYFUNCTION("""COMPUTED_VALUE"""),"English")</f>
        <v>English</v>
      </c>
      <c r="W2731" s="6" t="str">
        <f>IFERROR(__xludf.DUMMYFUNCTION("""COMPUTED_VALUE"""),"[]")</f>
        <v>[]</v>
      </c>
      <c r="X2731" s="6" t="str">
        <f>IFERROR(__xludf.DUMMYFUNCTION("""COMPUTED_VALUE"""),"Enrolled")</f>
        <v>Enrolled</v>
      </c>
    </row>
    <row r="2732">
      <c r="A2732" s="6" t="str">
        <f>IFERROR(__xludf.DUMMYFUNCTION("""COMPUTED_VALUE"""),"057-7157")</f>
        <v>057-7157</v>
      </c>
      <c r="B2732" s="6" t="str">
        <f>IFERROR(__xludf.DUMMYFUNCTION("""COMPUTED_VALUE"""),"57")</f>
        <v>57</v>
      </c>
      <c r="C2732" s="6" t="str">
        <f>IFERROR(__xludf.DUMMYFUNCTION("""COMPUTED_VALUE"""),"7157")</f>
        <v>7157</v>
      </c>
      <c r="D2732" s="6" t="str">
        <f>IFERROR(__xludf.DUMMYFUNCTION("""COMPUTED_VALUE"""),"Paola")</f>
        <v>Paola</v>
      </c>
      <c r="E2732" s="6" t="str">
        <f>IFERROR(__xludf.DUMMYFUNCTION("""COMPUTED_VALUE"""),"")</f>
        <v/>
      </c>
      <c r="F2732" s="6" t="str">
        <f>IFERROR(__xludf.DUMMYFUNCTION("""COMPUTED_VALUE"""),"McClung")</f>
        <v>McClung</v>
      </c>
      <c r="G2732" s="6" t="str">
        <f>IFERROR(__xludf.DUMMYFUNCTION("""COMPUTED_VALUE"""),"09/02/2020")</f>
        <v>09/02/2020</v>
      </c>
      <c r="H2732" s="6" t="str">
        <f>IFERROR(__xludf.DUMMYFUNCTION("""COMPUTED_VALUE"""),"female")</f>
        <v>female</v>
      </c>
      <c r="I2732" s="6" t="str">
        <f>IFERROR(__xludf.DUMMYFUNCTION("""COMPUTED_VALUE"""),"Learning Lab")</f>
        <v>Learning Lab</v>
      </c>
      <c r="J2732" s="6" t="str">
        <f>IFERROR(__xludf.DUMMYFUNCTION("""COMPUTED_VALUE"""),"K")</f>
        <v>K</v>
      </c>
      <c r="K2732" s="6" t="str">
        <f>IFERROR(__xludf.DUMMYFUNCTION("""COMPUTED_VALUE"""),"paola.mcclung@2hourlearning.com")</f>
        <v>paola.mcclung@2hourlearning.com</v>
      </c>
      <c r="L2732" s="6" t="str">
        <f>IFERROR(__xludf.DUMMYFUNCTION("""COMPUTED_VALUE"""),"One Hope Academy")</f>
        <v>One Hope Academy</v>
      </c>
      <c r="M2732" s="6" t="str">
        <f>IFERROR(__xludf.DUMMYFUNCTION("""COMPUTED_VALUE"""),"")</f>
        <v/>
      </c>
      <c r="N2732" s="6" t="str">
        <f>IFERROR(__xludf.DUMMYFUNCTION("""COMPUTED_VALUE"""),"")</f>
        <v/>
      </c>
      <c r="O2732" s="87" t="str">
        <f>IFERROR(__xludf.DUMMYFUNCTION("""COMPUTED_VALUE"""),"https://drive.google.com/drive/folders/10T2cTQHqEJZqE-st6uFKPoI?usp=share_link")</f>
        <v>https://drive.google.com/drive/folders/10T2cTQHqEJZqE-st6uFKPoI?usp=share_link</v>
      </c>
      <c r="P2732" s="6" t="str">
        <f>IFERROR(__xludf.DUMMYFUNCTION("""COMPUTED_VALUE"""),"Paola McClung")</f>
        <v>Paola McClung</v>
      </c>
      <c r="Q2732" s="6" t="str">
        <f>IFERROR(__xludf.DUMMYFUNCTION("""COMPUTED_VALUE"""),"LL")</f>
        <v>LL</v>
      </c>
      <c r="R2732" s="6">
        <f>IFERROR(__xludf.DUMMYFUNCTION("""COMPUTED_VALUE"""),0.0)</f>
        <v>0</v>
      </c>
      <c r="S2732" s="6" t="str">
        <f>IFERROR(__xludf.DUMMYFUNCTION("""COMPUTED_VALUE""")," ")</f>
        <v> </v>
      </c>
      <c r="T2732" s="6" t="str">
        <f>IFERROR(__xludf.DUMMYFUNCTION("""COMPUTED_VALUE"""),"")</f>
        <v/>
      </c>
      <c r="U2732" s="6" t="str">
        <f>IFERROR(__xludf.DUMMYFUNCTION("""COMPUTED_VALUE"""),"K")</f>
        <v>K</v>
      </c>
      <c r="V2732" s="6" t="str">
        <f>IFERROR(__xludf.DUMMYFUNCTION("""COMPUTED_VALUE"""),"English")</f>
        <v>English</v>
      </c>
      <c r="W2732" s="6" t="str">
        <f>IFERROR(__xludf.DUMMYFUNCTION("""COMPUTED_VALUE"""),"[]")</f>
        <v>[]</v>
      </c>
      <c r="X2732" s="6" t="str">
        <f>IFERROR(__xludf.DUMMYFUNCTION("""COMPUTED_VALUE"""),"Enrolled")</f>
        <v>Enrolled</v>
      </c>
    </row>
    <row r="2733">
      <c r="A2733" s="6" t="str">
        <f>IFERROR(__xludf.DUMMYFUNCTION("""COMPUTED_VALUE"""),"058-4742")</f>
        <v>058-4742</v>
      </c>
      <c r="B2733" s="6" t="str">
        <f>IFERROR(__xludf.DUMMYFUNCTION("""COMPUTED_VALUE"""),"58")</f>
        <v>58</v>
      </c>
      <c r="C2733" s="6" t="str">
        <f>IFERROR(__xludf.DUMMYFUNCTION("""COMPUTED_VALUE"""),"4742")</f>
        <v>4742</v>
      </c>
      <c r="D2733" s="6" t="str">
        <f>IFERROR(__xludf.DUMMYFUNCTION("""COMPUTED_VALUE"""),"Jakobe")</f>
        <v>Jakobe</v>
      </c>
      <c r="E2733" s="6" t="str">
        <f>IFERROR(__xludf.DUMMYFUNCTION("""COMPUTED_VALUE"""),"")</f>
        <v/>
      </c>
      <c r="F2733" s="6" t="str">
        <f>IFERROR(__xludf.DUMMYFUNCTION("""COMPUTED_VALUE"""),"Shepeard")</f>
        <v>Shepeard</v>
      </c>
      <c r="G2733" s="6" t="str">
        <f>IFERROR(__xludf.DUMMYFUNCTION("""COMPUTED_VALUE"""),"07/23/2007")</f>
        <v>07/23/2007</v>
      </c>
      <c r="H2733" s="6" t="str">
        <f>IFERROR(__xludf.DUMMYFUNCTION("""COMPUTED_VALUE"""),"male")</f>
        <v>male</v>
      </c>
      <c r="I2733" s="6" t="str">
        <f>IFERROR(__xludf.DUMMYFUNCTION("""COMPUTED_VALUE"""),"High School")</f>
        <v>High School</v>
      </c>
      <c r="J2733" s="6" t="str">
        <f>IFERROR(__xludf.DUMMYFUNCTION("""COMPUTED_VALUE"""),"12")</f>
        <v>12</v>
      </c>
      <c r="K2733" s="6" t="str">
        <f>IFERROR(__xludf.DUMMYFUNCTION("""COMPUTED_VALUE"""),"jakobe.shepeard@2hourlearning.com")</f>
        <v>jakobe.shepeard@2hourlearning.com</v>
      </c>
      <c r="L2733" s="6" t="str">
        <f>IFERROR(__xludf.DUMMYFUNCTION("""COMPUTED_VALUE"""),"The St. James Performance Academy")</f>
        <v>The St. James Performance Academy</v>
      </c>
      <c r="M2733" s="6" t="str">
        <f>IFERROR(__xludf.DUMMYFUNCTION("""COMPUTED_VALUE"""),"")</f>
        <v/>
      </c>
      <c r="N2733" s="6" t="str">
        <f>IFERROR(__xludf.DUMMYFUNCTION("""COMPUTED_VALUE"""),"")</f>
        <v/>
      </c>
      <c r="O2733" s="87" t="str">
        <f>IFERROR(__xludf.DUMMYFUNCTION("""COMPUTED_VALUE"""),"https://drive.google.com/drive/folders/10T2cTQHqEJZqE-st6uFKPoI?usp=share_link")</f>
        <v>https://drive.google.com/drive/folders/10T2cTQHqEJZqE-st6uFKPoI?usp=share_link</v>
      </c>
      <c r="P2733" s="6" t="str">
        <f>IFERROR(__xludf.DUMMYFUNCTION("""COMPUTED_VALUE"""),"Jakobe Shepeard")</f>
        <v>Jakobe Shepeard</v>
      </c>
      <c r="Q2733" s="6" t="str">
        <f>IFERROR(__xludf.DUMMYFUNCTION("""COMPUTED_VALUE"""),"HS")</f>
        <v>HS</v>
      </c>
      <c r="R2733" s="6">
        <f>IFERROR(__xludf.DUMMYFUNCTION("""COMPUTED_VALUE"""),0.0)</f>
        <v>0</v>
      </c>
      <c r="S2733" s="6" t="str">
        <f>IFERROR(__xludf.DUMMYFUNCTION("""COMPUTED_VALUE""")," ")</f>
        <v> </v>
      </c>
      <c r="T2733" s="6" t="str">
        <f>IFERROR(__xludf.DUMMYFUNCTION("""COMPUTED_VALUE"""),"")</f>
        <v/>
      </c>
      <c r="U2733" s="6" t="str">
        <f>IFERROR(__xludf.DUMMYFUNCTION("""COMPUTED_VALUE"""),"12")</f>
        <v>12</v>
      </c>
      <c r="V2733" s="6" t="str">
        <f>IFERROR(__xludf.DUMMYFUNCTION("""COMPUTED_VALUE"""),"")</f>
        <v/>
      </c>
      <c r="W2733" s="6" t="str">
        <f>IFERROR(__xludf.DUMMYFUNCTION("""COMPUTED_VALUE"""),"[]")</f>
        <v>[]</v>
      </c>
      <c r="X2733" s="6" t="str">
        <f>IFERROR(__xludf.DUMMYFUNCTION("""COMPUTED_VALUE"""),"Enrolled")</f>
        <v>Enrolled</v>
      </c>
    </row>
    <row r="2734">
      <c r="A2734" s="6" t="str">
        <f>IFERROR(__xludf.DUMMYFUNCTION("""COMPUTED_VALUE"""),"059-10048")</f>
        <v>059-10048</v>
      </c>
      <c r="B2734" s="6" t="str">
        <f>IFERROR(__xludf.DUMMYFUNCTION("""COMPUTED_VALUE"""),"59")</f>
        <v>59</v>
      </c>
      <c r="C2734" s="6" t="str">
        <f>IFERROR(__xludf.DUMMYFUNCTION("""COMPUTED_VALUE"""),"10048")</f>
        <v>10048</v>
      </c>
      <c r="D2734" s="6" t="str">
        <f>IFERROR(__xludf.DUMMYFUNCTION("""COMPUTED_VALUE"""),"Landon")</f>
        <v>Landon</v>
      </c>
      <c r="E2734" s="6" t="str">
        <f>IFERROR(__xludf.DUMMYFUNCTION("""COMPUTED_VALUE"""),"")</f>
        <v/>
      </c>
      <c r="F2734" s="6" t="str">
        <f>IFERROR(__xludf.DUMMYFUNCTION("""COMPUTED_VALUE"""),"Keller")</f>
        <v>Keller</v>
      </c>
      <c r="G2734" s="6" t="str">
        <f>IFERROR(__xludf.DUMMYFUNCTION("""COMPUTED_VALUE"""),"01/01/2012")</f>
        <v>01/01/2012</v>
      </c>
      <c r="H2734" s="6" t="str">
        <f>IFERROR(__xludf.DUMMYFUNCTION("""COMPUTED_VALUE"""),"Self Identify")</f>
        <v>Self Identify</v>
      </c>
      <c r="I2734" s="6" t="str">
        <f>IFERROR(__xludf.DUMMYFUNCTION("""COMPUTED_VALUE"""),"Middle School")</f>
        <v>Middle School</v>
      </c>
      <c r="J2734" s="6" t="str">
        <f>IFERROR(__xludf.DUMMYFUNCTION("""COMPUTED_VALUE"""),"8")</f>
        <v>8</v>
      </c>
      <c r="K2734" s="6" t="str">
        <f>IFERROR(__xludf.DUMMYFUNCTION("""COMPUTED_VALUE"""),"landon.keller@2hourlearning.com")</f>
        <v>landon.keller@2hourlearning.com</v>
      </c>
      <c r="L2734" s="6" t="str">
        <f>IFERROR(__xludf.DUMMYFUNCTION("""COMPUTED_VALUE"""),"Strata")</f>
        <v>Strata</v>
      </c>
      <c r="M2734" s="6" t="str">
        <f>IFERROR(__xludf.DUMMYFUNCTION("""COMPUTED_VALUE"""),"")</f>
        <v/>
      </c>
      <c r="N2734" s="6" t="str">
        <f>IFERROR(__xludf.DUMMYFUNCTION("""COMPUTED_VALUE"""),"")</f>
        <v/>
      </c>
      <c r="O2734" s="87" t="str">
        <f>IFERROR(__xludf.DUMMYFUNCTION("""COMPUTED_VALUE"""),"https://drive.google.com/drive/folders/10T2cTQHqEJZqE-st6uFKPoI?usp=share_link")</f>
        <v>https://drive.google.com/drive/folders/10T2cTQHqEJZqE-st6uFKPoI?usp=share_link</v>
      </c>
      <c r="P2734" s="6" t="str">
        <f>IFERROR(__xludf.DUMMYFUNCTION("""COMPUTED_VALUE"""),"Landon Keller")</f>
        <v>Landon Keller</v>
      </c>
      <c r="Q2734" s="6" t="str">
        <f>IFERROR(__xludf.DUMMYFUNCTION("""COMPUTED_VALUE"""),"MS")</f>
        <v>MS</v>
      </c>
      <c r="R2734" s="6">
        <f>IFERROR(__xludf.DUMMYFUNCTION("""COMPUTED_VALUE"""),0.0)</f>
        <v>0</v>
      </c>
      <c r="S2734" s="6" t="str">
        <f>IFERROR(__xludf.DUMMYFUNCTION("""COMPUTED_VALUE""")," ")</f>
        <v> </v>
      </c>
      <c r="T2734" s="6" t="str">
        <f>IFERROR(__xludf.DUMMYFUNCTION("""COMPUTED_VALUE"""),"")</f>
        <v/>
      </c>
      <c r="U2734" s="6" t="str">
        <f>IFERROR(__xludf.DUMMYFUNCTION("""COMPUTED_VALUE"""),"8")</f>
        <v>8</v>
      </c>
      <c r="V2734" s="6" t="str">
        <f>IFERROR(__xludf.DUMMYFUNCTION("""COMPUTED_VALUE"""),"")</f>
        <v/>
      </c>
      <c r="W2734" s="6" t="str">
        <f>IFERROR(__xludf.DUMMYFUNCTION("""COMPUTED_VALUE"""),"[]")</f>
        <v>[]</v>
      </c>
      <c r="X2734" s="6" t="str">
        <f>IFERROR(__xludf.DUMMYFUNCTION("""COMPUTED_VALUE"""),"Enrolled")</f>
        <v>Enrolled</v>
      </c>
    </row>
    <row r="2735">
      <c r="A2735" s="6" t="str">
        <f>IFERROR(__xludf.DUMMYFUNCTION("""COMPUTED_VALUE"""),"059-10049")</f>
        <v>059-10049</v>
      </c>
      <c r="B2735" s="6" t="str">
        <f>IFERROR(__xludf.DUMMYFUNCTION("""COMPUTED_VALUE"""),"59")</f>
        <v>59</v>
      </c>
      <c r="C2735" s="6" t="str">
        <f>IFERROR(__xludf.DUMMYFUNCTION("""COMPUTED_VALUE"""),"10049")</f>
        <v>10049</v>
      </c>
      <c r="D2735" s="6" t="str">
        <f>IFERROR(__xludf.DUMMYFUNCTION("""COMPUTED_VALUE"""),"Carson")</f>
        <v>Carson</v>
      </c>
      <c r="E2735" s="6" t="str">
        <f>IFERROR(__xludf.DUMMYFUNCTION("""COMPUTED_VALUE"""),"")</f>
        <v/>
      </c>
      <c r="F2735" s="6" t="str">
        <f>IFERROR(__xludf.DUMMYFUNCTION("""COMPUTED_VALUE"""),"Ford")</f>
        <v>Ford</v>
      </c>
      <c r="G2735" s="6" t="str">
        <f>IFERROR(__xludf.DUMMYFUNCTION("""COMPUTED_VALUE"""),"01/01/2013")</f>
        <v>01/01/2013</v>
      </c>
      <c r="H2735" s="6" t="str">
        <f>IFERROR(__xludf.DUMMYFUNCTION("""COMPUTED_VALUE"""),"Self Identify")</f>
        <v>Self Identify</v>
      </c>
      <c r="I2735" s="6" t="str">
        <f>IFERROR(__xludf.DUMMYFUNCTION("""COMPUTED_VALUE"""),"Middle School")</f>
        <v>Middle School</v>
      </c>
      <c r="J2735" s="6" t="str">
        <f>IFERROR(__xludf.DUMMYFUNCTION("""COMPUTED_VALUE"""),"7")</f>
        <v>7</v>
      </c>
      <c r="K2735" s="6" t="str">
        <f>IFERROR(__xludf.DUMMYFUNCTION("""COMPUTED_VALUE"""),"carson.ford@2hourlearning.com")</f>
        <v>carson.ford@2hourlearning.com</v>
      </c>
      <c r="L2735" s="6" t="str">
        <f>IFERROR(__xludf.DUMMYFUNCTION("""COMPUTED_VALUE"""),"Strata")</f>
        <v>Strata</v>
      </c>
      <c r="M2735" s="6" t="str">
        <f>IFERROR(__xludf.DUMMYFUNCTION("""COMPUTED_VALUE"""),"")</f>
        <v/>
      </c>
      <c r="N2735" s="6" t="str">
        <f>IFERROR(__xludf.DUMMYFUNCTION("""COMPUTED_VALUE"""),"")</f>
        <v/>
      </c>
      <c r="O2735" s="87" t="str">
        <f>IFERROR(__xludf.DUMMYFUNCTION("""COMPUTED_VALUE"""),"https://drive.google.com/drive/folders/10T2cTQHqEJZqE-st6uFKPoI?usp=share_link")</f>
        <v>https://drive.google.com/drive/folders/10T2cTQHqEJZqE-st6uFKPoI?usp=share_link</v>
      </c>
      <c r="P2735" s="6" t="str">
        <f>IFERROR(__xludf.DUMMYFUNCTION("""COMPUTED_VALUE"""),"Carson Ford")</f>
        <v>Carson Ford</v>
      </c>
      <c r="Q2735" s="6" t="str">
        <f>IFERROR(__xludf.DUMMYFUNCTION("""COMPUTED_VALUE"""),"MS")</f>
        <v>MS</v>
      </c>
      <c r="R2735" s="6">
        <f>IFERROR(__xludf.DUMMYFUNCTION("""COMPUTED_VALUE"""),0.0)</f>
        <v>0</v>
      </c>
      <c r="S2735" s="6" t="str">
        <f>IFERROR(__xludf.DUMMYFUNCTION("""COMPUTED_VALUE""")," ")</f>
        <v> </v>
      </c>
      <c r="T2735" s="6" t="str">
        <f>IFERROR(__xludf.DUMMYFUNCTION("""COMPUTED_VALUE"""),"")</f>
        <v/>
      </c>
      <c r="U2735" s="6" t="str">
        <f>IFERROR(__xludf.DUMMYFUNCTION("""COMPUTED_VALUE"""),"7")</f>
        <v>7</v>
      </c>
      <c r="V2735" s="6" t="str">
        <f>IFERROR(__xludf.DUMMYFUNCTION("""COMPUTED_VALUE"""),"")</f>
        <v/>
      </c>
      <c r="W2735" s="6" t="str">
        <f>IFERROR(__xludf.DUMMYFUNCTION("""COMPUTED_VALUE"""),"[]")</f>
        <v>[]</v>
      </c>
      <c r="X2735" s="6" t="str">
        <f>IFERROR(__xludf.DUMMYFUNCTION("""COMPUTED_VALUE"""),"Enrolled")</f>
        <v>Enrolled</v>
      </c>
    </row>
    <row r="2736">
      <c r="A2736" s="6" t="str">
        <f>IFERROR(__xludf.DUMMYFUNCTION("""COMPUTED_VALUE"""),"059-10050")</f>
        <v>059-10050</v>
      </c>
      <c r="B2736" s="6" t="str">
        <f>IFERROR(__xludf.DUMMYFUNCTION("""COMPUTED_VALUE"""),"59")</f>
        <v>59</v>
      </c>
      <c r="C2736" s="6" t="str">
        <f>IFERROR(__xludf.DUMMYFUNCTION("""COMPUTED_VALUE"""),"10050")</f>
        <v>10050</v>
      </c>
      <c r="D2736" s="6" t="str">
        <f>IFERROR(__xludf.DUMMYFUNCTION("""COMPUTED_VALUE"""),"Dei'Undre")</f>
        <v>Dei'Undre</v>
      </c>
      <c r="E2736" s="6" t="str">
        <f>IFERROR(__xludf.DUMMYFUNCTION("""COMPUTED_VALUE"""),"")</f>
        <v/>
      </c>
      <c r="F2736" s="6" t="str">
        <f>IFERROR(__xludf.DUMMYFUNCTION("""COMPUTED_VALUE"""),"Peacock")</f>
        <v>Peacock</v>
      </c>
      <c r="G2736" s="6" t="str">
        <f>IFERROR(__xludf.DUMMYFUNCTION("""COMPUTED_VALUE"""),"01/01/2013")</f>
        <v>01/01/2013</v>
      </c>
      <c r="H2736" s="6" t="str">
        <f>IFERROR(__xludf.DUMMYFUNCTION("""COMPUTED_VALUE"""),"Self Identify")</f>
        <v>Self Identify</v>
      </c>
      <c r="I2736" s="6" t="str">
        <f>IFERROR(__xludf.DUMMYFUNCTION("""COMPUTED_VALUE"""),"Middle School")</f>
        <v>Middle School</v>
      </c>
      <c r="J2736" s="6" t="str">
        <f>IFERROR(__xludf.DUMMYFUNCTION("""COMPUTED_VALUE"""),"7")</f>
        <v>7</v>
      </c>
      <c r="K2736" s="6" t="str">
        <f>IFERROR(__xludf.DUMMYFUNCTION("""COMPUTED_VALUE"""),"deiundre.peacock@2hourlearning.com")</f>
        <v>deiundre.peacock@2hourlearning.com</v>
      </c>
      <c r="L2736" s="6" t="str">
        <f>IFERROR(__xludf.DUMMYFUNCTION("""COMPUTED_VALUE"""),"Strata")</f>
        <v>Strata</v>
      </c>
      <c r="M2736" s="6" t="str">
        <f>IFERROR(__xludf.DUMMYFUNCTION("""COMPUTED_VALUE"""),"")</f>
        <v/>
      </c>
      <c r="N2736" s="6" t="str">
        <f>IFERROR(__xludf.DUMMYFUNCTION("""COMPUTED_VALUE"""),"")</f>
        <v/>
      </c>
      <c r="O2736" s="87" t="str">
        <f>IFERROR(__xludf.DUMMYFUNCTION("""COMPUTED_VALUE"""),"https://drive.google.com/drive/folders/10T2cTQHqEJZqE-st6uFKPoI?usp=share_link")</f>
        <v>https://drive.google.com/drive/folders/10T2cTQHqEJZqE-st6uFKPoI?usp=share_link</v>
      </c>
      <c r="P2736" s="6" t="str">
        <f>IFERROR(__xludf.DUMMYFUNCTION("""COMPUTED_VALUE"""),"Dei'Undre Peacock")</f>
        <v>Dei'Undre Peacock</v>
      </c>
      <c r="Q2736" s="6" t="str">
        <f>IFERROR(__xludf.DUMMYFUNCTION("""COMPUTED_VALUE"""),"MS")</f>
        <v>MS</v>
      </c>
      <c r="R2736" s="6">
        <f>IFERROR(__xludf.DUMMYFUNCTION("""COMPUTED_VALUE"""),0.0)</f>
        <v>0</v>
      </c>
      <c r="S2736" s="6" t="str">
        <f>IFERROR(__xludf.DUMMYFUNCTION("""COMPUTED_VALUE""")," ")</f>
        <v> </v>
      </c>
      <c r="T2736" s="6" t="str">
        <f>IFERROR(__xludf.DUMMYFUNCTION("""COMPUTED_VALUE"""),"")</f>
        <v/>
      </c>
      <c r="U2736" s="6" t="str">
        <f>IFERROR(__xludf.DUMMYFUNCTION("""COMPUTED_VALUE"""),"7")</f>
        <v>7</v>
      </c>
      <c r="V2736" s="6" t="str">
        <f>IFERROR(__xludf.DUMMYFUNCTION("""COMPUTED_VALUE"""),"")</f>
        <v/>
      </c>
      <c r="W2736" s="6" t="str">
        <f>IFERROR(__xludf.DUMMYFUNCTION("""COMPUTED_VALUE"""),"[]")</f>
        <v>[]</v>
      </c>
      <c r="X2736" s="6" t="str">
        <f>IFERROR(__xludf.DUMMYFUNCTION("""COMPUTED_VALUE"""),"Enrolled")</f>
        <v>Enrolled</v>
      </c>
    </row>
    <row r="2737">
      <c r="A2737" s="6" t="str">
        <f>IFERROR(__xludf.DUMMYFUNCTION("""COMPUTED_VALUE"""),"059-10051")</f>
        <v>059-10051</v>
      </c>
      <c r="B2737" s="6" t="str">
        <f>IFERROR(__xludf.DUMMYFUNCTION("""COMPUTED_VALUE"""),"59")</f>
        <v>59</v>
      </c>
      <c r="C2737" s="6" t="str">
        <f>IFERROR(__xludf.DUMMYFUNCTION("""COMPUTED_VALUE"""),"10051")</f>
        <v>10051</v>
      </c>
      <c r="D2737" s="6" t="str">
        <f>IFERROR(__xludf.DUMMYFUNCTION("""COMPUTED_VALUE"""),"Brenna")</f>
        <v>Brenna</v>
      </c>
      <c r="E2737" s="6" t="str">
        <f>IFERROR(__xludf.DUMMYFUNCTION("""COMPUTED_VALUE"""),"")</f>
        <v/>
      </c>
      <c r="F2737" s="6" t="str">
        <f>IFERROR(__xludf.DUMMYFUNCTION("""COMPUTED_VALUE"""),"Valdez")</f>
        <v>Valdez</v>
      </c>
      <c r="G2737" s="6" t="str">
        <f>IFERROR(__xludf.DUMMYFUNCTION("""COMPUTED_VALUE"""),"01/01/2014")</f>
        <v>01/01/2014</v>
      </c>
      <c r="H2737" s="6" t="str">
        <f>IFERROR(__xludf.DUMMYFUNCTION("""COMPUTED_VALUE"""),"Self Identify")</f>
        <v>Self Identify</v>
      </c>
      <c r="I2737" s="6" t="str">
        <f>IFERROR(__xludf.DUMMYFUNCTION("""COMPUTED_VALUE"""),"Middle School")</f>
        <v>Middle School</v>
      </c>
      <c r="J2737" s="6" t="str">
        <f>IFERROR(__xludf.DUMMYFUNCTION("""COMPUTED_VALUE"""),"5")</f>
        <v>5</v>
      </c>
      <c r="K2737" s="6" t="str">
        <f>IFERROR(__xludf.DUMMYFUNCTION("""COMPUTED_VALUE"""),"brenna.valdez@2hourlearning.com")</f>
        <v>brenna.valdez@2hourlearning.com</v>
      </c>
      <c r="L2737" s="6" t="str">
        <f>IFERROR(__xludf.DUMMYFUNCTION("""COMPUTED_VALUE"""),"Strata")</f>
        <v>Strata</v>
      </c>
      <c r="M2737" s="6" t="str">
        <f>IFERROR(__xludf.DUMMYFUNCTION("""COMPUTED_VALUE"""),"")</f>
        <v/>
      </c>
      <c r="N2737" s="6" t="str">
        <f>IFERROR(__xludf.DUMMYFUNCTION("""COMPUTED_VALUE"""),"")</f>
        <v/>
      </c>
      <c r="O2737" s="87" t="str">
        <f>IFERROR(__xludf.DUMMYFUNCTION("""COMPUTED_VALUE"""),"https://drive.google.com/drive/folders/10T2cTQHqEJZqE-st6uFKPoI?usp=share_link")</f>
        <v>https://drive.google.com/drive/folders/10T2cTQHqEJZqE-st6uFKPoI?usp=share_link</v>
      </c>
      <c r="P2737" s="6" t="str">
        <f>IFERROR(__xludf.DUMMYFUNCTION("""COMPUTED_VALUE"""),"Brenna Valdez")</f>
        <v>Brenna Valdez</v>
      </c>
      <c r="Q2737" s="6" t="str">
        <f>IFERROR(__xludf.DUMMYFUNCTION("""COMPUTED_VALUE"""),"MS")</f>
        <v>MS</v>
      </c>
      <c r="R2737" s="6">
        <f>IFERROR(__xludf.DUMMYFUNCTION("""COMPUTED_VALUE"""),0.0)</f>
        <v>0</v>
      </c>
      <c r="S2737" s="6" t="str">
        <f>IFERROR(__xludf.DUMMYFUNCTION("""COMPUTED_VALUE""")," ")</f>
        <v> </v>
      </c>
      <c r="T2737" s="6" t="str">
        <f>IFERROR(__xludf.DUMMYFUNCTION("""COMPUTED_VALUE"""),"")</f>
        <v/>
      </c>
      <c r="U2737" s="6" t="str">
        <f>IFERROR(__xludf.DUMMYFUNCTION("""COMPUTED_VALUE"""),"5")</f>
        <v>5</v>
      </c>
      <c r="V2737" s="6" t="str">
        <f>IFERROR(__xludf.DUMMYFUNCTION("""COMPUTED_VALUE"""),"")</f>
        <v/>
      </c>
      <c r="W2737" s="6" t="str">
        <f>IFERROR(__xludf.DUMMYFUNCTION("""COMPUTED_VALUE"""),"[]")</f>
        <v>[]</v>
      </c>
      <c r="X2737" s="6" t="str">
        <f>IFERROR(__xludf.DUMMYFUNCTION("""COMPUTED_VALUE"""),"Enrolled")</f>
        <v>Enrolled</v>
      </c>
    </row>
    <row r="2738">
      <c r="A2738" s="6" t="str">
        <f>IFERROR(__xludf.DUMMYFUNCTION("""COMPUTED_VALUE"""),"059-10052")</f>
        <v>059-10052</v>
      </c>
      <c r="B2738" s="6" t="str">
        <f>IFERROR(__xludf.DUMMYFUNCTION("""COMPUTED_VALUE"""),"59")</f>
        <v>59</v>
      </c>
      <c r="C2738" s="6" t="str">
        <f>IFERROR(__xludf.DUMMYFUNCTION("""COMPUTED_VALUE"""),"10052")</f>
        <v>10052</v>
      </c>
      <c r="D2738" s="6" t="str">
        <f>IFERROR(__xludf.DUMMYFUNCTION("""COMPUTED_VALUE"""),"Charlotte")</f>
        <v>Charlotte</v>
      </c>
      <c r="E2738" s="6" t="str">
        <f>IFERROR(__xludf.DUMMYFUNCTION("""COMPUTED_VALUE"""),"")</f>
        <v/>
      </c>
      <c r="F2738" s="6" t="str">
        <f>IFERROR(__xludf.DUMMYFUNCTION("""COMPUTED_VALUE"""),"Buquoi")</f>
        <v>Buquoi</v>
      </c>
      <c r="G2738" s="6" t="str">
        <f>IFERROR(__xludf.DUMMYFUNCTION("""COMPUTED_VALUE"""),"01/01/2015")</f>
        <v>01/01/2015</v>
      </c>
      <c r="H2738" s="6" t="str">
        <f>IFERROR(__xludf.DUMMYFUNCTION("""COMPUTED_VALUE"""),"Self Identify")</f>
        <v>Self Identify</v>
      </c>
      <c r="I2738" s="6" t="str">
        <f>IFERROR(__xludf.DUMMYFUNCTION("""COMPUTED_VALUE"""),"Level 2")</f>
        <v>Level 2</v>
      </c>
      <c r="J2738" s="6" t="str">
        <f>IFERROR(__xludf.DUMMYFUNCTION("""COMPUTED_VALUE"""),"5")</f>
        <v>5</v>
      </c>
      <c r="K2738" s="6" t="str">
        <f>IFERROR(__xludf.DUMMYFUNCTION("""COMPUTED_VALUE"""),"charlotte.buquoi@2hourlearning.com")</f>
        <v>charlotte.buquoi@2hourlearning.com</v>
      </c>
      <c r="L2738" s="6" t="str">
        <f>IFERROR(__xludf.DUMMYFUNCTION("""COMPUTED_VALUE"""),"Strata")</f>
        <v>Strata</v>
      </c>
      <c r="M2738" s="6" t="str">
        <f>IFERROR(__xludf.DUMMYFUNCTION("""COMPUTED_VALUE"""),"")</f>
        <v/>
      </c>
      <c r="N2738" s="6" t="str">
        <f>IFERROR(__xludf.DUMMYFUNCTION("""COMPUTED_VALUE"""),"")</f>
        <v/>
      </c>
      <c r="O2738" s="87" t="str">
        <f>IFERROR(__xludf.DUMMYFUNCTION("""COMPUTED_VALUE"""),"https://drive.google.com/drive/folders/10T2cTQHqEJZqE-st6uFKPoI?usp=share_link")</f>
        <v>https://drive.google.com/drive/folders/10T2cTQHqEJZqE-st6uFKPoI?usp=share_link</v>
      </c>
      <c r="P2738" s="6" t="str">
        <f>IFERROR(__xludf.DUMMYFUNCTION("""COMPUTED_VALUE"""),"Charlotte Buquoi")</f>
        <v>Charlotte Buquoi</v>
      </c>
      <c r="Q2738" s="6" t="str">
        <f>IFERROR(__xludf.DUMMYFUNCTION("""COMPUTED_VALUE"""),"L2")</f>
        <v>L2</v>
      </c>
      <c r="R2738" s="6">
        <f>IFERROR(__xludf.DUMMYFUNCTION("""COMPUTED_VALUE"""),2.0)</f>
        <v>2</v>
      </c>
      <c r="S2738" s="6" t="str">
        <f>IFERROR(__xludf.DUMMYFUNCTION("""COMPUTED_VALUE""")," ")</f>
        <v> </v>
      </c>
      <c r="T2738" s="6" t="str">
        <f>IFERROR(__xludf.DUMMYFUNCTION("""COMPUTED_VALUE"""),"")</f>
        <v/>
      </c>
      <c r="U2738" s="6" t="str">
        <f>IFERROR(__xludf.DUMMYFUNCTION("""COMPUTED_VALUE"""),"5")</f>
        <v>5</v>
      </c>
      <c r="V2738" s="6" t="str">
        <f>IFERROR(__xludf.DUMMYFUNCTION("""COMPUTED_VALUE"""),"")</f>
        <v/>
      </c>
      <c r="W2738" s="6" t="str">
        <f>IFERROR(__xludf.DUMMYFUNCTION("""COMPUTED_VALUE"""),"[]")</f>
        <v>[]</v>
      </c>
      <c r="X2738" s="6" t="str">
        <f>IFERROR(__xludf.DUMMYFUNCTION("""COMPUTED_VALUE"""),"Enrolled")</f>
        <v>Enrolled</v>
      </c>
    </row>
    <row r="2739">
      <c r="A2739" s="6" t="str">
        <f>IFERROR(__xludf.DUMMYFUNCTION("""COMPUTED_VALUE"""),"059-10053")</f>
        <v>059-10053</v>
      </c>
      <c r="B2739" s="6" t="str">
        <f>IFERROR(__xludf.DUMMYFUNCTION("""COMPUTED_VALUE"""),"59")</f>
        <v>59</v>
      </c>
      <c r="C2739" s="6" t="str">
        <f>IFERROR(__xludf.DUMMYFUNCTION("""COMPUTED_VALUE"""),"10053")</f>
        <v>10053</v>
      </c>
      <c r="D2739" s="6" t="str">
        <f>IFERROR(__xludf.DUMMYFUNCTION("""COMPUTED_VALUE"""),"Margaret")</f>
        <v>Margaret</v>
      </c>
      <c r="E2739" s="6" t="str">
        <f>IFERROR(__xludf.DUMMYFUNCTION("""COMPUTED_VALUE"""),"")</f>
        <v/>
      </c>
      <c r="F2739" s="6" t="str">
        <f>IFERROR(__xludf.DUMMYFUNCTION("""COMPUTED_VALUE"""),"Furman")</f>
        <v>Furman</v>
      </c>
      <c r="G2739" s="6" t="str">
        <f>IFERROR(__xludf.DUMMYFUNCTION("""COMPUTED_VALUE"""),"01/01/2015")</f>
        <v>01/01/2015</v>
      </c>
      <c r="H2739" s="6" t="str">
        <f>IFERROR(__xludf.DUMMYFUNCTION("""COMPUTED_VALUE"""),"Self Identify")</f>
        <v>Self Identify</v>
      </c>
      <c r="I2739" s="6" t="str">
        <f>IFERROR(__xludf.DUMMYFUNCTION("""COMPUTED_VALUE"""),"Level 2")</f>
        <v>Level 2</v>
      </c>
      <c r="J2739" s="6" t="str">
        <f>IFERROR(__xludf.DUMMYFUNCTION("""COMPUTED_VALUE"""),"5")</f>
        <v>5</v>
      </c>
      <c r="K2739" s="6" t="str">
        <f>IFERROR(__xludf.DUMMYFUNCTION("""COMPUTED_VALUE"""),"margaret.furman@2hourlearning.com")</f>
        <v>margaret.furman@2hourlearning.com</v>
      </c>
      <c r="L2739" s="6" t="str">
        <f>IFERROR(__xludf.DUMMYFUNCTION("""COMPUTED_VALUE"""),"Strata")</f>
        <v>Strata</v>
      </c>
      <c r="M2739" s="6" t="str">
        <f>IFERROR(__xludf.DUMMYFUNCTION("""COMPUTED_VALUE"""),"")</f>
        <v/>
      </c>
      <c r="N2739" s="6" t="str">
        <f>IFERROR(__xludf.DUMMYFUNCTION("""COMPUTED_VALUE"""),"")</f>
        <v/>
      </c>
      <c r="O2739" s="87" t="str">
        <f>IFERROR(__xludf.DUMMYFUNCTION("""COMPUTED_VALUE"""),"https://drive.google.com/drive/folders/10T2cTQHqEJZqE-st6uFKPoI?usp=share_link")</f>
        <v>https://drive.google.com/drive/folders/10T2cTQHqEJZqE-st6uFKPoI?usp=share_link</v>
      </c>
      <c r="P2739" s="6" t="str">
        <f>IFERROR(__xludf.DUMMYFUNCTION("""COMPUTED_VALUE"""),"Margaret Furman")</f>
        <v>Margaret Furman</v>
      </c>
      <c r="Q2739" s="6" t="str">
        <f>IFERROR(__xludf.DUMMYFUNCTION("""COMPUTED_VALUE"""),"L2")</f>
        <v>L2</v>
      </c>
      <c r="R2739" s="6">
        <f>IFERROR(__xludf.DUMMYFUNCTION("""COMPUTED_VALUE"""),2.0)</f>
        <v>2</v>
      </c>
      <c r="S2739" s="6" t="str">
        <f>IFERROR(__xludf.DUMMYFUNCTION("""COMPUTED_VALUE""")," ")</f>
        <v> </v>
      </c>
      <c r="T2739" s="6" t="str">
        <f>IFERROR(__xludf.DUMMYFUNCTION("""COMPUTED_VALUE"""),"")</f>
        <v/>
      </c>
      <c r="U2739" s="6" t="str">
        <f>IFERROR(__xludf.DUMMYFUNCTION("""COMPUTED_VALUE"""),"5")</f>
        <v>5</v>
      </c>
      <c r="V2739" s="6" t="str">
        <f>IFERROR(__xludf.DUMMYFUNCTION("""COMPUTED_VALUE"""),"")</f>
        <v/>
      </c>
      <c r="W2739" s="6" t="str">
        <f>IFERROR(__xludf.DUMMYFUNCTION("""COMPUTED_VALUE"""),"[]")</f>
        <v>[]</v>
      </c>
      <c r="X2739" s="6" t="str">
        <f>IFERROR(__xludf.DUMMYFUNCTION("""COMPUTED_VALUE"""),"Enrolled")</f>
        <v>Enrolled</v>
      </c>
    </row>
    <row r="2740">
      <c r="A2740" s="6" t="str">
        <f>IFERROR(__xludf.DUMMYFUNCTION("""COMPUTED_VALUE"""),"059-10252")</f>
        <v>059-10252</v>
      </c>
      <c r="B2740" s="6" t="str">
        <f>IFERROR(__xludf.DUMMYFUNCTION("""COMPUTED_VALUE"""),"59")</f>
        <v>59</v>
      </c>
      <c r="C2740" s="6" t="str">
        <f>IFERROR(__xludf.DUMMYFUNCTION("""COMPUTED_VALUE"""),"10252")</f>
        <v>10252</v>
      </c>
      <c r="D2740" s="6" t="str">
        <f>IFERROR(__xludf.DUMMYFUNCTION("""COMPUTED_VALUE"""),"Kayson")</f>
        <v>Kayson</v>
      </c>
      <c r="E2740" s="6" t="str">
        <f>IFERROR(__xludf.DUMMYFUNCTION("""COMPUTED_VALUE"""),"")</f>
        <v/>
      </c>
      <c r="F2740" s="6" t="str">
        <f>IFERROR(__xludf.DUMMYFUNCTION("""COMPUTED_VALUE"""),"Foor")</f>
        <v>Foor</v>
      </c>
      <c r="G2740" s="6" t="str">
        <f>IFERROR(__xludf.DUMMYFUNCTION("""COMPUTED_VALUE"""),"04/09/2010")</f>
        <v>04/09/2010</v>
      </c>
      <c r="H2740" s="6" t="str">
        <f>IFERROR(__xludf.DUMMYFUNCTION("""COMPUTED_VALUE"""),"Self Identify")</f>
        <v>Self Identify</v>
      </c>
      <c r="I2740" s="6" t="str">
        <f>IFERROR(__xludf.DUMMYFUNCTION("""COMPUTED_VALUE"""),"High School")</f>
        <v>High School</v>
      </c>
      <c r="J2740" s="6" t="str">
        <f>IFERROR(__xludf.DUMMYFUNCTION("""COMPUTED_VALUE"""),"9")</f>
        <v>9</v>
      </c>
      <c r="K2740" s="6" t="str">
        <f>IFERROR(__xludf.DUMMYFUNCTION("""COMPUTED_VALUE"""),"kayson.foor@2hourlearning.com")</f>
        <v>kayson.foor@2hourlearning.com</v>
      </c>
      <c r="L2740" s="6" t="str">
        <f>IFERROR(__xludf.DUMMYFUNCTION("""COMPUTED_VALUE"""),"Strata")</f>
        <v>Strata</v>
      </c>
      <c r="M2740" s="6" t="str">
        <f>IFERROR(__xludf.DUMMYFUNCTION("""COMPUTED_VALUE"""),"")</f>
        <v/>
      </c>
      <c r="N2740" s="6" t="str">
        <f>IFERROR(__xludf.DUMMYFUNCTION("""COMPUTED_VALUE"""),"")</f>
        <v/>
      </c>
      <c r="O2740" s="87" t="str">
        <f>IFERROR(__xludf.DUMMYFUNCTION("""COMPUTED_VALUE"""),"https://drive.google.com/drive/folders/10T2cTQHqEJZqE-st6uFKPoI?usp=share_link")</f>
        <v>https://drive.google.com/drive/folders/10T2cTQHqEJZqE-st6uFKPoI?usp=share_link</v>
      </c>
      <c r="P2740" s="6" t="str">
        <f>IFERROR(__xludf.DUMMYFUNCTION("""COMPUTED_VALUE"""),"Kayson Foor")</f>
        <v>Kayson Foor</v>
      </c>
      <c r="Q2740" s="6" t="str">
        <f>IFERROR(__xludf.DUMMYFUNCTION("""COMPUTED_VALUE"""),"HS")</f>
        <v>HS</v>
      </c>
      <c r="R2740" s="6">
        <f>IFERROR(__xludf.DUMMYFUNCTION("""COMPUTED_VALUE"""),0.0)</f>
        <v>0</v>
      </c>
      <c r="S2740" s="6" t="str">
        <f>IFERROR(__xludf.DUMMYFUNCTION("""COMPUTED_VALUE""")," ")</f>
        <v> </v>
      </c>
      <c r="T2740" s="6" t="str">
        <f>IFERROR(__xludf.DUMMYFUNCTION("""COMPUTED_VALUE"""),"")</f>
        <v/>
      </c>
      <c r="U2740" s="6" t="str">
        <f>IFERROR(__xludf.DUMMYFUNCTION("""COMPUTED_VALUE"""),"9")</f>
        <v>9</v>
      </c>
      <c r="V2740" s="6" t="str">
        <f>IFERROR(__xludf.DUMMYFUNCTION("""COMPUTED_VALUE"""),"")</f>
        <v/>
      </c>
      <c r="W2740" s="6" t="str">
        <f>IFERROR(__xludf.DUMMYFUNCTION("""COMPUTED_VALUE"""),"[]")</f>
        <v>[]</v>
      </c>
      <c r="X2740" s="6" t="str">
        <f>IFERROR(__xludf.DUMMYFUNCTION("""COMPUTED_VALUE"""),"Enrolled")</f>
        <v>Enrolled</v>
      </c>
    </row>
    <row r="2741">
      <c r="A2741" s="6" t="str">
        <f>IFERROR(__xludf.DUMMYFUNCTION("""COMPUTED_VALUE"""),"059-10253")</f>
        <v>059-10253</v>
      </c>
      <c r="B2741" s="6" t="str">
        <f>IFERROR(__xludf.DUMMYFUNCTION("""COMPUTED_VALUE"""),"59")</f>
        <v>59</v>
      </c>
      <c r="C2741" s="6" t="str">
        <f>IFERROR(__xludf.DUMMYFUNCTION("""COMPUTED_VALUE"""),"10253")</f>
        <v>10253</v>
      </c>
      <c r="D2741" s="6" t="str">
        <f>IFERROR(__xludf.DUMMYFUNCTION("""COMPUTED_VALUE"""),"Parker")</f>
        <v>Parker</v>
      </c>
      <c r="E2741" s="6" t="str">
        <f>IFERROR(__xludf.DUMMYFUNCTION("""COMPUTED_VALUE"""),"")</f>
        <v/>
      </c>
      <c r="F2741" s="6" t="str">
        <f>IFERROR(__xludf.DUMMYFUNCTION("""COMPUTED_VALUE"""),"Hart")</f>
        <v>Hart</v>
      </c>
      <c r="G2741" s="6" t="str">
        <f>IFERROR(__xludf.DUMMYFUNCTION("""COMPUTED_VALUE"""),"05/06/2011")</f>
        <v>05/06/2011</v>
      </c>
      <c r="H2741" s="6" t="str">
        <f>IFERROR(__xludf.DUMMYFUNCTION("""COMPUTED_VALUE"""),"Self Identify")</f>
        <v>Self Identify</v>
      </c>
      <c r="I2741" s="6" t="str">
        <f>IFERROR(__xludf.DUMMYFUNCTION("""COMPUTED_VALUE"""),"Middle School")</f>
        <v>Middle School</v>
      </c>
      <c r="J2741" s="6" t="str">
        <f>IFERROR(__xludf.DUMMYFUNCTION("""COMPUTED_VALUE"""),"8")</f>
        <v>8</v>
      </c>
      <c r="K2741" s="6" t="str">
        <f>IFERROR(__xludf.DUMMYFUNCTION("""COMPUTED_VALUE"""),"parker.hart@2hourlearning.com")</f>
        <v>parker.hart@2hourlearning.com</v>
      </c>
      <c r="L2741" s="6" t="str">
        <f>IFERROR(__xludf.DUMMYFUNCTION("""COMPUTED_VALUE"""),"Strata")</f>
        <v>Strata</v>
      </c>
      <c r="M2741" s="6" t="str">
        <f>IFERROR(__xludf.DUMMYFUNCTION("""COMPUTED_VALUE"""),"")</f>
        <v/>
      </c>
      <c r="N2741" s="6" t="str">
        <f>IFERROR(__xludf.DUMMYFUNCTION("""COMPUTED_VALUE"""),"")</f>
        <v/>
      </c>
      <c r="O2741" s="87" t="str">
        <f>IFERROR(__xludf.DUMMYFUNCTION("""COMPUTED_VALUE"""),"https://drive.google.com/drive/folders/10T2cTQHqEJZqE-st6uFKPoI?usp=share_link")</f>
        <v>https://drive.google.com/drive/folders/10T2cTQHqEJZqE-st6uFKPoI?usp=share_link</v>
      </c>
      <c r="P2741" s="6" t="str">
        <f>IFERROR(__xludf.DUMMYFUNCTION("""COMPUTED_VALUE"""),"Parker Hart")</f>
        <v>Parker Hart</v>
      </c>
      <c r="Q2741" s="6" t="str">
        <f>IFERROR(__xludf.DUMMYFUNCTION("""COMPUTED_VALUE"""),"MS")</f>
        <v>MS</v>
      </c>
      <c r="R2741" s="6">
        <f>IFERROR(__xludf.DUMMYFUNCTION("""COMPUTED_VALUE"""),0.0)</f>
        <v>0</v>
      </c>
      <c r="S2741" s="6" t="str">
        <f>IFERROR(__xludf.DUMMYFUNCTION("""COMPUTED_VALUE""")," ")</f>
        <v> </v>
      </c>
      <c r="T2741" s="6" t="str">
        <f>IFERROR(__xludf.DUMMYFUNCTION("""COMPUTED_VALUE"""),"")</f>
        <v/>
      </c>
      <c r="U2741" s="6" t="str">
        <f>IFERROR(__xludf.DUMMYFUNCTION("""COMPUTED_VALUE"""),"8")</f>
        <v>8</v>
      </c>
      <c r="V2741" s="6" t="str">
        <f>IFERROR(__xludf.DUMMYFUNCTION("""COMPUTED_VALUE"""),"")</f>
        <v/>
      </c>
      <c r="W2741" s="6" t="str">
        <f>IFERROR(__xludf.DUMMYFUNCTION("""COMPUTED_VALUE"""),"[]")</f>
        <v>[]</v>
      </c>
      <c r="X2741" s="6" t="str">
        <f>IFERROR(__xludf.DUMMYFUNCTION("""COMPUTED_VALUE"""),"Enrolled")</f>
        <v>Enrolled</v>
      </c>
    </row>
    <row r="2742">
      <c r="A2742" s="6" t="str">
        <f>IFERROR(__xludf.DUMMYFUNCTION("""COMPUTED_VALUE"""),"059-10254")</f>
        <v>059-10254</v>
      </c>
      <c r="B2742" s="6" t="str">
        <f>IFERROR(__xludf.DUMMYFUNCTION("""COMPUTED_VALUE"""),"59")</f>
        <v>59</v>
      </c>
      <c r="C2742" s="6" t="str">
        <f>IFERROR(__xludf.DUMMYFUNCTION("""COMPUTED_VALUE"""),"10254")</f>
        <v>10254</v>
      </c>
      <c r="D2742" s="6" t="str">
        <f>IFERROR(__xludf.DUMMYFUNCTION("""COMPUTED_VALUE"""),"Julian")</f>
        <v>Julian</v>
      </c>
      <c r="E2742" s="6" t="str">
        <f>IFERROR(__xludf.DUMMYFUNCTION("""COMPUTED_VALUE"""),"")</f>
        <v/>
      </c>
      <c r="F2742" s="6" t="str">
        <f>IFERROR(__xludf.DUMMYFUNCTION("""COMPUTED_VALUE"""),"Cortez")</f>
        <v>Cortez</v>
      </c>
      <c r="G2742" s="6" t="str">
        <f>IFERROR(__xludf.DUMMYFUNCTION("""COMPUTED_VALUE"""),"01/01/2012")</f>
        <v>01/01/2012</v>
      </c>
      <c r="H2742" s="6" t="str">
        <f>IFERROR(__xludf.DUMMYFUNCTION("""COMPUTED_VALUE"""),"Self Identify")</f>
        <v>Self Identify</v>
      </c>
      <c r="I2742" s="6" t="str">
        <f>IFERROR(__xludf.DUMMYFUNCTION("""COMPUTED_VALUE"""),"Middle School")</f>
        <v>Middle School</v>
      </c>
      <c r="J2742" s="6" t="str">
        <f>IFERROR(__xludf.DUMMYFUNCTION("""COMPUTED_VALUE"""),"8")</f>
        <v>8</v>
      </c>
      <c r="K2742" s="6" t="str">
        <f>IFERROR(__xludf.DUMMYFUNCTION("""COMPUTED_VALUE"""),"julian.cortez@2hourlearning.com")</f>
        <v>julian.cortez@2hourlearning.com</v>
      </c>
      <c r="L2742" s="6" t="str">
        <f>IFERROR(__xludf.DUMMYFUNCTION("""COMPUTED_VALUE"""),"Strata")</f>
        <v>Strata</v>
      </c>
      <c r="M2742" s="6" t="str">
        <f>IFERROR(__xludf.DUMMYFUNCTION("""COMPUTED_VALUE"""),"")</f>
        <v/>
      </c>
      <c r="N2742" s="6" t="str">
        <f>IFERROR(__xludf.DUMMYFUNCTION("""COMPUTED_VALUE"""),"")</f>
        <v/>
      </c>
      <c r="O2742" s="87" t="str">
        <f>IFERROR(__xludf.DUMMYFUNCTION("""COMPUTED_VALUE"""),"https://drive.google.com/drive/folders/10T2cTQHqEJZqE-st6uFKPoI?usp=share_link")</f>
        <v>https://drive.google.com/drive/folders/10T2cTQHqEJZqE-st6uFKPoI?usp=share_link</v>
      </c>
      <c r="P2742" s="6" t="str">
        <f>IFERROR(__xludf.DUMMYFUNCTION("""COMPUTED_VALUE"""),"Julian Cortez")</f>
        <v>Julian Cortez</v>
      </c>
      <c r="Q2742" s="6" t="str">
        <f>IFERROR(__xludf.DUMMYFUNCTION("""COMPUTED_VALUE"""),"MS")</f>
        <v>MS</v>
      </c>
      <c r="R2742" s="6">
        <f>IFERROR(__xludf.DUMMYFUNCTION("""COMPUTED_VALUE"""),0.0)</f>
        <v>0</v>
      </c>
      <c r="S2742" s="6" t="str">
        <f>IFERROR(__xludf.DUMMYFUNCTION("""COMPUTED_VALUE""")," ")</f>
        <v> </v>
      </c>
      <c r="T2742" s="6" t="str">
        <f>IFERROR(__xludf.DUMMYFUNCTION("""COMPUTED_VALUE"""),"")</f>
        <v/>
      </c>
      <c r="U2742" s="6" t="str">
        <f>IFERROR(__xludf.DUMMYFUNCTION("""COMPUTED_VALUE"""),"8")</f>
        <v>8</v>
      </c>
      <c r="V2742" s="6" t="str">
        <f>IFERROR(__xludf.DUMMYFUNCTION("""COMPUTED_VALUE"""),"")</f>
        <v/>
      </c>
      <c r="W2742" s="6" t="str">
        <f>IFERROR(__xludf.DUMMYFUNCTION("""COMPUTED_VALUE"""),"[]")</f>
        <v>[]</v>
      </c>
      <c r="X2742" s="6" t="str">
        <f>IFERROR(__xludf.DUMMYFUNCTION("""COMPUTED_VALUE"""),"Enrolled")</f>
        <v>Enrolled</v>
      </c>
    </row>
    <row r="2743">
      <c r="A2743" s="6" t="str">
        <f>IFERROR(__xludf.DUMMYFUNCTION("""COMPUTED_VALUE"""),"059-10257")</f>
        <v>059-10257</v>
      </c>
      <c r="B2743" s="6" t="str">
        <f>IFERROR(__xludf.DUMMYFUNCTION("""COMPUTED_VALUE"""),"59")</f>
        <v>59</v>
      </c>
      <c r="C2743" s="6" t="str">
        <f>IFERROR(__xludf.DUMMYFUNCTION("""COMPUTED_VALUE"""),"10257")</f>
        <v>10257</v>
      </c>
      <c r="D2743" s="6" t="str">
        <f>IFERROR(__xludf.DUMMYFUNCTION("""COMPUTED_VALUE"""),"Leyland")</f>
        <v>Leyland</v>
      </c>
      <c r="E2743" s="6" t="str">
        <f>IFERROR(__xludf.DUMMYFUNCTION("""COMPUTED_VALUE"""),"")</f>
        <v/>
      </c>
      <c r="F2743" s="6" t="str">
        <f>IFERROR(__xludf.DUMMYFUNCTION("""COMPUTED_VALUE"""),"Henry")</f>
        <v>Henry</v>
      </c>
      <c r="G2743" s="6" t="str">
        <f>IFERROR(__xludf.DUMMYFUNCTION("""COMPUTED_VALUE"""),"06/17/2011")</f>
        <v>06/17/2011</v>
      </c>
      <c r="H2743" s="6" t="str">
        <f>IFERROR(__xludf.DUMMYFUNCTION("""COMPUTED_VALUE"""),"Self Identify")</f>
        <v>Self Identify</v>
      </c>
      <c r="I2743" s="6" t="str">
        <f>IFERROR(__xludf.DUMMYFUNCTION("""COMPUTED_VALUE"""),"Middle School")</f>
        <v>Middle School</v>
      </c>
      <c r="J2743" s="6" t="str">
        <f>IFERROR(__xludf.DUMMYFUNCTION("""COMPUTED_VALUE"""),"8")</f>
        <v>8</v>
      </c>
      <c r="K2743" s="6" t="str">
        <f>IFERROR(__xludf.DUMMYFUNCTION("""COMPUTED_VALUE"""),"leyland.henry@2hourlearning.com")</f>
        <v>leyland.henry@2hourlearning.com</v>
      </c>
      <c r="L2743" s="6" t="str">
        <f>IFERROR(__xludf.DUMMYFUNCTION("""COMPUTED_VALUE"""),"Strata")</f>
        <v>Strata</v>
      </c>
      <c r="M2743" s="6" t="str">
        <f>IFERROR(__xludf.DUMMYFUNCTION("""COMPUTED_VALUE"""),"")</f>
        <v/>
      </c>
      <c r="N2743" s="6" t="str">
        <f>IFERROR(__xludf.DUMMYFUNCTION("""COMPUTED_VALUE"""),"")</f>
        <v/>
      </c>
      <c r="O2743" s="87" t="str">
        <f>IFERROR(__xludf.DUMMYFUNCTION("""COMPUTED_VALUE"""),"https://drive.google.com/drive/folders/10T2cTQHqEJZqE-st6uFKPoI?usp=share_link")</f>
        <v>https://drive.google.com/drive/folders/10T2cTQHqEJZqE-st6uFKPoI?usp=share_link</v>
      </c>
      <c r="P2743" s="6" t="str">
        <f>IFERROR(__xludf.DUMMYFUNCTION("""COMPUTED_VALUE"""),"Leyland Henry")</f>
        <v>Leyland Henry</v>
      </c>
      <c r="Q2743" s="6" t="str">
        <f>IFERROR(__xludf.DUMMYFUNCTION("""COMPUTED_VALUE"""),"MS")</f>
        <v>MS</v>
      </c>
      <c r="R2743" s="6">
        <f>IFERROR(__xludf.DUMMYFUNCTION("""COMPUTED_VALUE"""),0.0)</f>
        <v>0</v>
      </c>
      <c r="S2743" s="6" t="str">
        <f>IFERROR(__xludf.DUMMYFUNCTION("""COMPUTED_VALUE""")," ")</f>
        <v> </v>
      </c>
      <c r="T2743" s="6" t="str">
        <f>IFERROR(__xludf.DUMMYFUNCTION("""COMPUTED_VALUE"""),"")</f>
        <v/>
      </c>
      <c r="U2743" s="6" t="str">
        <f>IFERROR(__xludf.DUMMYFUNCTION("""COMPUTED_VALUE"""),"8")</f>
        <v>8</v>
      </c>
      <c r="V2743" s="6" t="str">
        <f>IFERROR(__xludf.DUMMYFUNCTION("""COMPUTED_VALUE"""),"English")</f>
        <v>English</v>
      </c>
      <c r="W2743" s="6" t="str">
        <f>IFERROR(__xludf.DUMMYFUNCTION("""COMPUTED_VALUE"""),"[]")</f>
        <v>[]</v>
      </c>
      <c r="X2743" s="6" t="str">
        <f>IFERROR(__xludf.DUMMYFUNCTION("""COMPUTED_VALUE"""),"Enrolled")</f>
        <v>Enrolled</v>
      </c>
    </row>
    <row r="2744">
      <c r="A2744" s="6" t="str">
        <f>IFERROR(__xludf.DUMMYFUNCTION("""COMPUTED_VALUE"""),"059-10270")</f>
        <v>059-10270</v>
      </c>
      <c r="B2744" s="6" t="str">
        <f>IFERROR(__xludf.DUMMYFUNCTION("""COMPUTED_VALUE"""),"59")</f>
        <v>59</v>
      </c>
      <c r="C2744" s="6" t="str">
        <f>IFERROR(__xludf.DUMMYFUNCTION("""COMPUTED_VALUE"""),"10270")</f>
        <v>10270</v>
      </c>
      <c r="D2744" s="6" t="str">
        <f>IFERROR(__xludf.DUMMYFUNCTION("""COMPUTED_VALUE"""),"Ryan")</f>
        <v>Ryan</v>
      </c>
      <c r="E2744" s="6" t="str">
        <f>IFERROR(__xludf.DUMMYFUNCTION("""COMPUTED_VALUE"""),"")</f>
        <v/>
      </c>
      <c r="F2744" s="6" t="str">
        <f>IFERROR(__xludf.DUMMYFUNCTION("""COMPUTED_VALUE"""),"Brown")</f>
        <v>Brown</v>
      </c>
      <c r="G2744" s="6" t="str">
        <f>IFERROR(__xludf.DUMMYFUNCTION("""COMPUTED_VALUE"""),"01/16/2014")</f>
        <v>01/16/2014</v>
      </c>
      <c r="H2744" s="6" t="str">
        <f>IFERROR(__xludf.DUMMYFUNCTION("""COMPUTED_VALUE"""),"male")</f>
        <v>male</v>
      </c>
      <c r="I2744" s="6" t="str">
        <f>IFERROR(__xludf.DUMMYFUNCTION("""COMPUTED_VALUE"""),"Middle School")</f>
        <v>Middle School</v>
      </c>
      <c r="J2744" s="6" t="str">
        <f>IFERROR(__xludf.DUMMYFUNCTION("""COMPUTED_VALUE"""),"6")</f>
        <v>6</v>
      </c>
      <c r="K2744" s="6" t="str">
        <f>IFERROR(__xludf.DUMMYFUNCTION("""COMPUTED_VALUE"""),"ryan.brown@2hourlearning.com")</f>
        <v>ryan.brown@2hourlearning.com</v>
      </c>
      <c r="L2744" s="6" t="str">
        <f>IFERROR(__xludf.DUMMYFUNCTION("""COMPUTED_VALUE"""),"Strata")</f>
        <v>Strata</v>
      </c>
      <c r="M2744" s="6" t="str">
        <f>IFERROR(__xludf.DUMMYFUNCTION("""COMPUTED_VALUE"""),"")</f>
        <v/>
      </c>
      <c r="N2744" s="6" t="str">
        <f>IFERROR(__xludf.DUMMYFUNCTION("""COMPUTED_VALUE"""),"")</f>
        <v/>
      </c>
      <c r="O2744" s="87" t="str">
        <f>IFERROR(__xludf.DUMMYFUNCTION("""COMPUTED_VALUE"""),"https://drive.google.com/drive/folders/10T2cTQHqEJZqE-st6uFKPoI?usp=share_link")</f>
        <v>https://drive.google.com/drive/folders/10T2cTQHqEJZqE-st6uFKPoI?usp=share_link</v>
      </c>
      <c r="P2744" s="6" t="str">
        <f>IFERROR(__xludf.DUMMYFUNCTION("""COMPUTED_VALUE"""),"Ryan Brown")</f>
        <v>Ryan Brown</v>
      </c>
      <c r="Q2744" s="6" t="str">
        <f>IFERROR(__xludf.DUMMYFUNCTION("""COMPUTED_VALUE"""),"MS")</f>
        <v>MS</v>
      </c>
      <c r="R2744" s="6">
        <f>IFERROR(__xludf.DUMMYFUNCTION("""COMPUTED_VALUE"""),0.0)</f>
        <v>0</v>
      </c>
      <c r="S2744" s="6" t="str">
        <f>IFERROR(__xludf.DUMMYFUNCTION("""COMPUTED_VALUE""")," ")</f>
        <v> </v>
      </c>
      <c r="T2744" s="6" t="str">
        <f>IFERROR(__xludf.DUMMYFUNCTION("""COMPUTED_VALUE"""),"")</f>
        <v/>
      </c>
      <c r="U2744" s="6" t="str">
        <f>IFERROR(__xludf.DUMMYFUNCTION("""COMPUTED_VALUE"""),"6")</f>
        <v>6</v>
      </c>
      <c r="V2744" s="6" t="str">
        <f>IFERROR(__xludf.DUMMYFUNCTION("""COMPUTED_VALUE"""),"")</f>
        <v/>
      </c>
      <c r="W2744" s="6" t="str">
        <f>IFERROR(__xludf.DUMMYFUNCTION("""COMPUTED_VALUE"""),"[]")</f>
        <v>[]</v>
      </c>
      <c r="X2744" s="6" t="str">
        <f>IFERROR(__xludf.DUMMYFUNCTION("""COMPUTED_VALUE"""),"Enrolled")</f>
        <v>Enrolled</v>
      </c>
    </row>
    <row r="2745">
      <c r="A2745" s="6" t="str">
        <f>IFERROR(__xludf.DUMMYFUNCTION("""COMPUTED_VALUE"""),"059-10271")</f>
        <v>059-10271</v>
      </c>
      <c r="B2745" s="6" t="str">
        <f>IFERROR(__xludf.DUMMYFUNCTION("""COMPUTED_VALUE"""),"59")</f>
        <v>59</v>
      </c>
      <c r="C2745" s="6" t="str">
        <f>IFERROR(__xludf.DUMMYFUNCTION("""COMPUTED_VALUE"""),"10271")</f>
        <v>10271</v>
      </c>
      <c r="D2745" s="6" t="str">
        <f>IFERROR(__xludf.DUMMYFUNCTION("""COMPUTED_VALUE"""),"Kingston")</f>
        <v>Kingston</v>
      </c>
      <c r="E2745" s="6" t="str">
        <f>IFERROR(__xludf.DUMMYFUNCTION("""COMPUTED_VALUE"""),"")</f>
        <v/>
      </c>
      <c r="F2745" s="6" t="str">
        <f>IFERROR(__xludf.DUMMYFUNCTION("""COMPUTED_VALUE"""),"Abraham")</f>
        <v>Abraham</v>
      </c>
      <c r="G2745" s="6" t="str">
        <f>IFERROR(__xludf.DUMMYFUNCTION("""COMPUTED_VALUE"""),"01/05/2017")</f>
        <v>01/05/2017</v>
      </c>
      <c r="H2745" s="6" t="str">
        <f>IFERROR(__xludf.DUMMYFUNCTION("""COMPUTED_VALUE"""),"self_identify")</f>
        <v>self_identify</v>
      </c>
      <c r="I2745" s="6" t="str">
        <f>IFERROR(__xludf.DUMMYFUNCTION("""COMPUTED_VALUE"""),"Level 2")</f>
        <v>Level 2</v>
      </c>
      <c r="J2745" s="6" t="str">
        <f>IFERROR(__xludf.DUMMYFUNCTION("""COMPUTED_VALUE"""),"4")</f>
        <v>4</v>
      </c>
      <c r="K2745" s="6" t="str">
        <f>IFERROR(__xludf.DUMMYFUNCTION("""COMPUTED_VALUE"""),"kingston.abraham@2hourlearning.com")</f>
        <v>kingston.abraham@2hourlearning.com</v>
      </c>
      <c r="L2745" s="6" t="str">
        <f>IFERROR(__xludf.DUMMYFUNCTION("""COMPUTED_VALUE"""),"Strata")</f>
        <v>Strata</v>
      </c>
      <c r="M2745" s="6" t="str">
        <f>IFERROR(__xludf.DUMMYFUNCTION("""COMPUTED_VALUE"""),"")</f>
        <v/>
      </c>
      <c r="N2745" s="6" t="str">
        <f>IFERROR(__xludf.DUMMYFUNCTION("""COMPUTED_VALUE"""),"")</f>
        <v/>
      </c>
      <c r="O2745" s="87" t="str">
        <f>IFERROR(__xludf.DUMMYFUNCTION("""COMPUTED_VALUE"""),"https://drive.google.com/drive/folders/10T2cTQHqEJZqE-st6uFKPoI?usp=share_link")</f>
        <v>https://drive.google.com/drive/folders/10T2cTQHqEJZqE-st6uFKPoI?usp=share_link</v>
      </c>
      <c r="P2745" s="6" t="str">
        <f>IFERROR(__xludf.DUMMYFUNCTION("""COMPUTED_VALUE"""),"Kingston Abraham")</f>
        <v>Kingston Abraham</v>
      </c>
      <c r="Q2745" s="6" t="str">
        <f>IFERROR(__xludf.DUMMYFUNCTION("""COMPUTED_VALUE"""),"L2")</f>
        <v>L2</v>
      </c>
      <c r="R2745" s="6">
        <f>IFERROR(__xludf.DUMMYFUNCTION("""COMPUTED_VALUE"""),2.0)</f>
        <v>2</v>
      </c>
      <c r="S2745" s="6" t="str">
        <f>IFERROR(__xludf.DUMMYFUNCTION("""COMPUTED_VALUE""")," ")</f>
        <v> </v>
      </c>
      <c r="T2745" s="6" t="str">
        <f>IFERROR(__xludf.DUMMYFUNCTION("""COMPUTED_VALUE"""),"")</f>
        <v/>
      </c>
      <c r="U2745" s="6" t="str">
        <f>IFERROR(__xludf.DUMMYFUNCTION("""COMPUTED_VALUE"""),"4")</f>
        <v>4</v>
      </c>
      <c r="V2745" s="6" t="str">
        <f>IFERROR(__xludf.DUMMYFUNCTION("""COMPUTED_VALUE"""),"")</f>
        <v/>
      </c>
      <c r="W2745" s="6" t="str">
        <f>IFERROR(__xludf.DUMMYFUNCTION("""COMPUTED_VALUE"""),"[]")</f>
        <v>[]</v>
      </c>
      <c r="X2745" s="6" t="str">
        <f>IFERROR(__xludf.DUMMYFUNCTION("""COMPUTED_VALUE"""),"Enrolled")</f>
        <v>Enrolled</v>
      </c>
    </row>
    <row r="2746">
      <c r="A2746" s="6" t="str">
        <f>IFERROR(__xludf.DUMMYFUNCTION("""COMPUTED_VALUE"""),"059-10292")</f>
        <v>059-10292</v>
      </c>
      <c r="B2746" s="6" t="str">
        <f>IFERROR(__xludf.DUMMYFUNCTION("""COMPUTED_VALUE"""),"59")</f>
        <v>59</v>
      </c>
      <c r="C2746" s="6" t="str">
        <f>IFERROR(__xludf.DUMMYFUNCTION("""COMPUTED_VALUE"""),"10292")</f>
        <v>10292</v>
      </c>
      <c r="D2746" s="6" t="str">
        <f>IFERROR(__xludf.DUMMYFUNCTION("""COMPUTED_VALUE"""),"Tristan")</f>
        <v>Tristan</v>
      </c>
      <c r="E2746" s="6" t="str">
        <f>IFERROR(__xludf.DUMMYFUNCTION("""COMPUTED_VALUE"""),"")</f>
        <v/>
      </c>
      <c r="F2746" s="6" t="str">
        <f>IFERROR(__xludf.DUMMYFUNCTION("""COMPUTED_VALUE"""),"Lawrence")</f>
        <v>Lawrence</v>
      </c>
      <c r="G2746" s="6" t="str">
        <f>IFERROR(__xludf.DUMMYFUNCTION("""COMPUTED_VALUE"""),"01/03/2017")</f>
        <v>01/03/2017</v>
      </c>
      <c r="H2746" s="6" t="str">
        <f>IFERROR(__xludf.DUMMYFUNCTION("""COMPUTED_VALUE"""),"self_identify")</f>
        <v>self_identify</v>
      </c>
      <c r="I2746" s="6" t="str">
        <f>IFERROR(__xludf.DUMMYFUNCTION("""COMPUTED_VALUE"""),"Level 2")</f>
        <v>Level 2</v>
      </c>
      <c r="J2746" s="6" t="str">
        <f>IFERROR(__xludf.DUMMYFUNCTION("""COMPUTED_VALUE"""),"5")</f>
        <v>5</v>
      </c>
      <c r="K2746" s="6" t="str">
        <f>IFERROR(__xludf.DUMMYFUNCTION("""COMPUTED_VALUE"""),"tristan.lawrence@2hourlearning.com")</f>
        <v>tristan.lawrence@2hourlearning.com</v>
      </c>
      <c r="L2746" s="6" t="str">
        <f>IFERROR(__xludf.DUMMYFUNCTION("""COMPUTED_VALUE"""),"Strata")</f>
        <v>Strata</v>
      </c>
      <c r="M2746" s="6" t="str">
        <f>IFERROR(__xludf.DUMMYFUNCTION("""COMPUTED_VALUE"""),"")</f>
        <v/>
      </c>
      <c r="N2746" s="6" t="str">
        <f>IFERROR(__xludf.DUMMYFUNCTION("""COMPUTED_VALUE"""),"")</f>
        <v/>
      </c>
      <c r="O2746" s="87" t="str">
        <f>IFERROR(__xludf.DUMMYFUNCTION("""COMPUTED_VALUE"""),"https://drive.google.com/drive/folders/10T2cTQHqEJZqE-st6uFKPoI?usp=share_link")</f>
        <v>https://drive.google.com/drive/folders/10T2cTQHqEJZqE-st6uFKPoI?usp=share_link</v>
      </c>
      <c r="P2746" s="6" t="str">
        <f>IFERROR(__xludf.DUMMYFUNCTION("""COMPUTED_VALUE"""),"Tristan Lawrence")</f>
        <v>Tristan Lawrence</v>
      </c>
      <c r="Q2746" s="6" t="str">
        <f>IFERROR(__xludf.DUMMYFUNCTION("""COMPUTED_VALUE"""),"L2")</f>
        <v>L2</v>
      </c>
      <c r="R2746" s="6">
        <f>IFERROR(__xludf.DUMMYFUNCTION("""COMPUTED_VALUE"""),2.0)</f>
        <v>2</v>
      </c>
      <c r="S2746" s="6" t="str">
        <f>IFERROR(__xludf.DUMMYFUNCTION("""COMPUTED_VALUE""")," ")</f>
        <v> </v>
      </c>
      <c r="T2746" s="6" t="str">
        <f>IFERROR(__xludf.DUMMYFUNCTION("""COMPUTED_VALUE"""),"")</f>
        <v/>
      </c>
      <c r="U2746" s="6" t="str">
        <f>IFERROR(__xludf.DUMMYFUNCTION("""COMPUTED_VALUE"""),"5")</f>
        <v>5</v>
      </c>
      <c r="V2746" s="6" t="str">
        <f>IFERROR(__xludf.DUMMYFUNCTION("""COMPUTED_VALUE"""),"")</f>
        <v/>
      </c>
      <c r="W2746" s="6" t="str">
        <f>IFERROR(__xludf.DUMMYFUNCTION("""COMPUTED_VALUE"""),"[]")</f>
        <v>[]</v>
      </c>
      <c r="X2746" s="6" t="str">
        <f>IFERROR(__xludf.DUMMYFUNCTION("""COMPUTED_VALUE"""),"Enrolled")</f>
        <v>Enrolled</v>
      </c>
    </row>
    <row r="2747">
      <c r="A2747" s="6" t="str">
        <f>IFERROR(__xludf.DUMMYFUNCTION("""COMPUTED_VALUE"""),"059-10299")</f>
        <v>059-10299</v>
      </c>
      <c r="B2747" s="6" t="str">
        <f>IFERROR(__xludf.DUMMYFUNCTION("""COMPUTED_VALUE"""),"59")</f>
        <v>59</v>
      </c>
      <c r="C2747" s="6" t="str">
        <f>IFERROR(__xludf.DUMMYFUNCTION("""COMPUTED_VALUE"""),"10299")</f>
        <v>10299</v>
      </c>
      <c r="D2747" s="6" t="str">
        <f>IFERROR(__xludf.DUMMYFUNCTION("""COMPUTED_VALUE"""),"Josiah")</f>
        <v>Josiah</v>
      </c>
      <c r="E2747" s="6" t="str">
        <f>IFERROR(__xludf.DUMMYFUNCTION("""COMPUTED_VALUE"""),"")</f>
        <v/>
      </c>
      <c r="F2747" s="6" t="str">
        <f>IFERROR(__xludf.DUMMYFUNCTION("""COMPUTED_VALUE"""),"Brown")</f>
        <v>Brown</v>
      </c>
      <c r="G2747" s="6" t="str">
        <f>IFERROR(__xludf.DUMMYFUNCTION("""COMPUTED_VALUE"""),"06/11/2013")</f>
        <v>06/11/2013</v>
      </c>
      <c r="H2747" s="6" t="str">
        <f>IFERROR(__xludf.DUMMYFUNCTION("""COMPUTED_VALUE"""),"self_identify")</f>
        <v>self_identify</v>
      </c>
      <c r="I2747" s="6" t="str">
        <f>IFERROR(__xludf.DUMMYFUNCTION("""COMPUTED_VALUE"""),"Middle School")</f>
        <v>Middle School</v>
      </c>
      <c r="J2747" s="6" t="str">
        <f>IFERROR(__xludf.DUMMYFUNCTION("""COMPUTED_VALUE"""),"7")</f>
        <v>7</v>
      </c>
      <c r="K2747" s="6" t="str">
        <f>IFERROR(__xludf.DUMMYFUNCTION("""COMPUTED_VALUE"""),"josiah.brown@2hourlearning.com")</f>
        <v>josiah.brown@2hourlearning.com</v>
      </c>
      <c r="L2747" s="6" t="str">
        <f>IFERROR(__xludf.DUMMYFUNCTION("""COMPUTED_VALUE"""),"Strata")</f>
        <v>Strata</v>
      </c>
      <c r="M2747" s="6" t="str">
        <f>IFERROR(__xludf.DUMMYFUNCTION("""COMPUTED_VALUE"""),"")</f>
        <v/>
      </c>
      <c r="N2747" s="6" t="str">
        <f>IFERROR(__xludf.DUMMYFUNCTION("""COMPUTED_VALUE"""),"")</f>
        <v/>
      </c>
      <c r="O2747" s="87" t="str">
        <f>IFERROR(__xludf.DUMMYFUNCTION("""COMPUTED_VALUE"""),"https://drive.google.com/drive/folders/10T2cTQHqEJZqE-st6uFKPoI?usp=share_link")</f>
        <v>https://drive.google.com/drive/folders/10T2cTQHqEJZqE-st6uFKPoI?usp=share_link</v>
      </c>
      <c r="P2747" s="6" t="str">
        <f>IFERROR(__xludf.DUMMYFUNCTION("""COMPUTED_VALUE"""),"Josiah Brown")</f>
        <v>Josiah Brown</v>
      </c>
      <c r="Q2747" s="6" t="str">
        <f>IFERROR(__xludf.DUMMYFUNCTION("""COMPUTED_VALUE"""),"MS")</f>
        <v>MS</v>
      </c>
      <c r="R2747" s="6">
        <f>IFERROR(__xludf.DUMMYFUNCTION("""COMPUTED_VALUE"""),0.0)</f>
        <v>0</v>
      </c>
      <c r="S2747" s="6" t="str">
        <f>IFERROR(__xludf.DUMMYFUNCTION("""COMPUTED_VALUE""")," ")</f>
        <v> </v>
      </c>
      <c r="T2747" s="6" t="str">
        <f>IFERROR(__xludf.DUMMYFUNCTION("""COMPUTED_VALUE"""),"")</f>
        <v/>
      </c>
      <c r="U2747" s="6" t="str">
        <f>IFERROR(__xludf.DUMMYFUNCTION("""COMPUTED_VALUE"""),"7")</f>
        <v>7</v>
      </c>
      <c r="V2747" s="6" t="str">
        <f>IFERROR(__xludf.DUMMYFUNCTION("""COMPUTED_VALUE"""),"")</f>
        <v/>
      </c>
      <c r="W2747" s="6" t="str">
        <f>IFERROR(__xludf.DUMMYFUNCTION("""COMPUTED_VALUE"""),"[]")</f>
        <v>[]</v>
      </c>
      <c r="X2747" s="6" t="str">
        <f>IFERROR(__xludf.DUMMYFUNCTION("""COMPUTED_VALUE"""),"Enrolled")</f>
        <v>Enrolled</v>
      </c>
    </row>
    <row r="2748">
      <c r="A2748" s="6" t="str">
        <f>IFERROR(__xludf.DUMMYFUNCTION("""COMPUTED_VALUE"""),"059-10359")</f>
        <v>059-10359</v>
      </c>
      <c r="B2748" s="6" t="str">
        <f>IFERROR(__xludf.DUMMYFUNCTION("""COMPUTED_VALUE"""),"59")</f>
        <v>59</v>
      </c>
      <c r="C2748" s="6" t="str">
        <f>IFERROR(__xludf.DUMMYFUNCTION("""COMPUTED_VALUE"""),"10359")</f>
        <v>10359</v>
      </c>
      <c r="D2748" s="6" t="str">
        <f>IFERROR(__xludf.DUMMYFUNCTION("""COMPUTED_VALUE"""),"Mikayel")</f>
        <v>Mikayel</v>
      </c>
      <c r="E2748" s="6" t="str">
        <f>IFERROR(__xludf.DUMMYFUNCTION("""COMPUTED_VALUE"""),"")</f>
        <v/>
      </c>
      <c r="F2748" s="6" t="str">
        <f>IFERROR(__xludf.DUMMYFUNCTION("""COMPUTED_VALUE"""),"Khan")</f>
        <v>Khan</v>
      </c>
      <c r="G2748" s="6" t="str">
        <f>IFERROR(__xludf.DUMMYFUNCTION("""COMPUTED_VALUE"""),"07/28/2012")</f>
        <v>07/28/2012</v>
      </c>
      <c r="H2748" s="6" t="str">
        <f>IFERROR(__xludf.DUMMYFUNCTION("""COMPUTED_VALUE"""),"self_identify")</f>
        <v>self_identify</v>
      </c>
      <c r="I2748" s="6" t="str">
        <f>IFERROR(__xludf.DUMMYFUNCTION("""COMPUTED_VALUE"""),"Middle School")</f>
        <v>Middle School</v>
      </c>
      <c r="J2748" s="6" t="str">
        <f>IFERROR(__xludf.DUMMYFUNCTION("""COMPUTED_VALUE"""),"7")</f>
        <v>7</v>
      </c>
      <c r="K2748" s="6" t="str">
        <f>IFERROR(__xludf.DUMMYFUNCTION("""COMPUTED_VALUE"""),"mikayel.khan@2hourlearning.com")</f>
        <v>mikayel.khan@2hourlearning.com</v>
      </c>
      <c r="L2748" s="6" t="str">
        <f>IFERROR(__xludf.DUMMYFUNCTION("""COMPUTED_VALUE"""),"Strata")</f>
        <v>Strata</v>
      </c>
      <c r="M2748" s="6" t="str">
        <f>IFERROR(__xludf.DUMMYFUNCTION("""COMPUTED_VALUE"""),"")</f>
        <v/>
      </c>
      <c r="N2748" s="6" t="str">
        <f>IFERROR(__xludf.DUMMYFUNCTION("""COMPUTED_VALUE"""),"")</f>
        <v/>
      </c>
      <c r="O2748" s="87" t="str">
        <f>IFERROR(__xludf.DUMMYFUNCTION("""COMPUTED_VALUE"""),"https://drive.google.com/drive/folders/10T2cTQHqEJZqE-st6uFKPoI?usp=share_link")</f>
        <v>https://drive.google.com/drive/folders/10T2cTQHqEJZqE-st6uFKPoI?usp=share_link</v>
      </c>
      <c r="P2748" s="6" t="str">
        <f>IFERROR(__xludf.DUMMYFUNCTION("""COMPUTED_VALUE"""),"Mikayel Khan")</f>
        <v>Mikayel Khan</v>
      </c>
      <c r="Q2748" s="6" t="str">
        <f>IFERROR(__xludf.DUMMYFUNCTION("""COMPUTED_VALUE"""),"MS")</f>
        <v>MS</v>
      </c>
      <c r="R2748" s="6">
        <f>IFERROR(__xludf.DUMMYFUNCTION("""COMPUTED_VALUE"""),0.0)</f>
        <v>0</v>
      </c>
      <c r="S2748" s="6" t="str">
        <f>IFERROR(__xludf.DUMMYFUNCTION("""COMPUTED_VALUE""")," ")</f>
        <v> </v>
      </c>
      <c r="T2748" s="6" t="str">
        <f>IFERROR(__xludf.DUMMYFUNCTION("""COMPUTED_VALUE"""),"")</f>
        <v/>
      </c>
      <c r="U2748" s="6" t="str">
        <f>IFERROR(__xludf.DUMMYFUNCTION("""COMPUTED_VALUE"""),"7")</f>
        <v>7</v>
      </c>
      <c r="V2748" s="6" t="str">
        <f>IFERROR(__xludf.DUMMYFUNCTION("""COMPUTED_VALUE"""),"")</f>
        <v/>
      </c>
      <c r="W2748" s="6" t="str">
        <f>IFERROR(__xludf.DUMMYFUNCTION("""COMPUTED_VALUE"""),"[]")</f>
        <v>[]</v>
      </c>
      <c r="X2748" s="6" t="str">
        <f>IFERROR(__xludf.DUMMYFUNCTION("""COMPUTED_VALUE"""),"Enrolled")</f>
        <v>Enrolled</v>
      </c>
    </row>
    <row r="2749">
      <c r="A2749" s="6" t="str">
        <f>IFERROR(__xludf.DUMMYFUNCTION("""COMPUTED_VALUE"""),"059-10361")</f>
        <v>059-10361</v>
      </c>
      <c r="B2749" s="6" t="str">
        <f>IFERROR(__xludf.DUMMYFUNCTION("""COMPUTED_VALUE"""),"59")</f>
        <v>59</v>
      </c>
      <c r="C2749" s="6" t="str">
        <f>IFERROR(__xludf.DUMMYFUNCTION("""COMPUTED_VALUE"""),"10361")</f>
        <v>10361</v>
      </c>
      <c r="D2749" s="6" t="str">
        <f>IFERROR(__xludf.DUMMYFUNCTION("""COMPUTED_VALUE"""),"Kolten")</f>
        <v>Kolten</v>
      </c>
      <c r="E2749" s="6" t="str">
        <f>IFERROR(__xludf.DUMMYFUNCTION("""COMPUTED_VALUE"""),"")</f>
        <v/>
      </c>
      <c r="F2749" s="6" t="str">
        <f>IFERROR(__xludf.DUMMYFUNCTION("""COMPUTED_VALUE"""),"Haby")</f>
        <v>Haby</v>
      </c>
      <c r="G2749" s="6" t="str">
        <f>IFERROR(__xludf.DUMMYFUNCTION("""COMPUTED_VALUE"""),"06/27/2012")</f>
        <v>06/27/2012</v>
      </c>
      <c r="H2749" s="6" t="str">
        <f>IFERROR(__xludf.DUMMYFUNCTION("""COMPUTED_VALUE"""),"Self Identify")</f>
        <v>Self Identify</v>
      </c>
      <c r="I2749" s="6" t="str">
        <f>IFERROR(__xludf.DUMMYFUNCTION("""COMPUTED_VALUE"""),"Middle School")</f>
        <v>Middle School</v>
      </c>
      <c r="J2749" s="6" t="str">
        <f>IFERROR(__xludf.DUMMYFUNCTION("""COMPUTED_VALUE"""),"7")</f>
        <v>7</v>
      </c>
      <c r="K2749" s="6" t="str">
        <f>IFERROR(__xludf.DUMMYFUNCTION("""COMPUTED_VALUE"""),"kolten.haby@2hourlearning.com")</f>
        <v>kolten.haby@2hourlearning.com</v>
      </c>
      <c r="L2749" s="6" t="str">
        <f>IFERROR(__xludf.DUMMYFUNCTION("""COMPUTED_VALUE"""),"Strata")</f>
        <v>Strata</v>
      </c>
      <c r="M2749" s="6" t="str">
        <f>IFERROR(__xludf.DUMMYFUNCTION("""COMPUTED_VALUE"""),"")</f>
        <v/>
      </c>
      <c r="N2749" s="6" t="str">
        <f>IFERROR(__xludf.DUMMYFUNCTION("""COMPUTED_VALUE"""),"")</f>
        <v/>
      </c>
      <c r="O2749" s="87" t="str">
        <f>IFERROR(__xludf.DUMMYFUNCTION("""COMPUTED_VALUE"""),"https://drive.google.com/drive/folders/10T2cTQHqEJZqE-st6uFKPoI?usp=share_link")</f>
        <v>https://drive.google.com/drive/folders/10T2cTQHqEJZqE-st6uFKPoI?usp=share_link</v>
      </c>
      <c r="P2749" s="6" t="str">
        <f>IFERROR(__xludf.DUMMYFUNCTION("""COMPUTED_VALUE"""),"Kolten Haby")</f>
        <v>Kolten Haby</v>
      </c>
      <c r="Q2749" s="6" t="str">
        <f>IFERROR(__xludf.DUMMYFUNCTION("""COMPUTED_VALUE"""),"MS")</f>
        <v>MS</v>
      </c>
      <c r="R2749" s="6">
        <f>IFERROR(__xludf.DUMMYFUNCTION("""COMPUTED_VALUE"""),0.0)</f>
        <v>0</v>
      </c>
      <c r="S2749" s="6" t="str">
        <f>IFERROR(__xludf.DUMMYFUNCTION("""COMPUTED_VALUE""")," ")</f>
        <v> </v>
      </c>
      <c r="T2749" s="6" t="str">
        <f>IFERROR(__xludf.DUMMYFUNCTION("""COMPUTED_VALUE"""),"")</f>
        <v/>
      </c>
      <c r="U2749" s="6" t="str">
        <f>IFERROR(__xludf.DUMMYFUNCTION("""COMPUTED_VALUE"""),"7")</f>
        <v>7</v>
      </c>
      <c r="V2749" s="6" t="str">
        <f>IFERROR(__xludf.DUMMYFUNCTION("""COMPUTED_VALUE"""),"")</f>
        <v/>
      </c>
      <c r="W2749" s="6" t="str">
        <f>IFERROR(__xludf.DUMMYFUNCTION("""COMPUTED_VALUE"""),"[]")</f>
        <v>[]</v>
      </c>
      <c r="X2749" s="6" t="str">
        <f>IFERROR(__xludf.DUMMYFUNCTION("""COMPUTED_VALUE"""),"Enrolled")</f>
        <v>Enrolled</v>
      </c>
    </row>
    <row r="2750">
      <c r="A2750" s="6" t="str">
        <f>IFERROR(__xludf.DUMMYFUNCTION("""COMPUTED_VALUE"""),"059-10408")</f>
        <v>059-10408</v>
      </c>
      <c r="B2750" s="6" t="str">
        <f>IFERROR(__xludf.DUMMYFUNCTION("""COMPUTED_VALUE"""),"59")</f>
        <v>59</v>
      </c>
      <c r="C2750" s="6" t="str">
        <f>IFERROR(__xludf.DUMMYFUNCTION("""COMPUTED_VALUE"""),"10408")</f>
        <v>10408</v>
      </c>
      <c r="D2750" s="6" t="str">
        <f>IFERROR(__xludf.DUMMYFUNCTION("""COMPUTED_VALUE"""),"Nicolas")</f>
        <v>Nicolas</v>
      </c>
      <c r="E2750" s="6" t="str">
        <f>IFERROR(__xludf.DUMMYFUNCTION("""COMPUTED_VALUE"""),"")</f>
        <v/>
      </c>
      <c r="F2750" s="6" t="str">
        <f>IFERROR(__xludf.DUMMYFUNCTION("""COMPUTED_VALUE"""),"Souza")</f>
        <v>Souza</v>
      </c>
      <c r="G2750" s="6" t="str">
        <f>IFERROR(__xludf.DUMMYFUNCTION("""COMPUTED_VALUE"""),"04/09/2013")</f>
        <v>04/09/2013</v>
      </c>
      <c r="H2750" s="6" t="str">
        <f>IFERROR(__xludf.DUMMYFUNCTION("""COMPUTED_VALUE"""),"male")</f>
        <v>male</v>
      </c>
      <c r="I2750" s="6" t="str">
        <f>IFERROR(__xludf.DUMMYFUNCTION("""COMPUTED_VALUE"""),"Middle School")</f>
        <v>Middle School</v>
      </c>
      <c r="J2750" s="6" t="str">
        <f>IFERROR(__xludf.DUMMYFUNCTION("""COMPUTED_VALUE"""),"7")</f>
        <v>7</v>
      </c>
      <c r="K2750" s="6" t="str">
        <f>IFERROR(__xludf.DUMMYFUNCTION("""COMPUTED_VALUE"""),"nicolas.souza@2hourlearning.com")</f>
        <v>nicolas.souza@2hourlearning.com</v>
      </c>
      <c r="L2750" s="6" t="str">
        <f>IFERROR(__xludf.DUMMYFUNCTION("""COMPUTED_VALUE"""),"Strata")</f>
        <v>Strata</v>
      </c>
      <c r="M2750" s="6" t="str">
        <f>IFERROR(__xludf.DUMMYFUNCTION("""COMPUTED_VALUE"""),"")</f>
        <v/>
      </c>
      <c r="N2750" s="6" t="str">
        <f>IFERROR(__xludf.DUMMYFUNCTION("""COMPUTED_VALUE"""),"")</f>
        <v/>
      </c>
      <c r="O2750" s="87" t="str">
        <f>IFERROR(__xludf.DUMMYFUNCTION("""COMPUTED_VALUE"""),"https://drive.google.com/drive/folders/10T2cTQHqEJZqE-st6uFKPoI?usp=share_link")</f>
        <v>https://drive.google.com/drive/folders/10T2cTQHqEJZqE-st6uFKPoI?usp=share_link</v>
      </c>
      <c r="P2750" s="6" t="str">
        <f>IFERROR(__xludf.DUMMYFUNCTION("""COMPUTED_VALUE"""),"Nicolas Souza")</f>
        <v>Nicolas Souza</v>
      </c>
      <c r="Q2750" s="6" t="str">
        <f>IFERROR(__xludf.DUMMYFUNCTION("""COMPUTED_VALUE"""),"MS")</f>
        <v>MS</v>
      </c>
      <c r="R2750" s="6">
        <f>IFERROR(__xludf.DUMMYFUNCTION("""COMPUTED_VALUE"""),0.0)</f>
        <v>0</v>
      </c>
      <c r="S2750" s="6" t="str">
        <f>IFERROR(__xludf.DUMMYFUNCTION("""COMPUTED_VALUE""")," ")</f>
        <v> </v>
      </c>
      <c r="T2750" s="6" t="str">
        <f>IFERROR(__xludf.DUMMYFUNCTION("""COMPUTED_VALUE"""),"")</f>
        <v/>
      </c>
      <c r="U2750" s="6" t="str">
        <f>IFERROR(__xludf.DUMMYFUNCTION("""COMPUTED_VALUE"""),"7")</f>
        <v>7</v>
      </c>
      <c r="V2750" s="6" t="str">
        <f>IFERROR(__xludf.DUMMYFUNCTION("""COMPUTED_VALUE"""),"")</f>
        <v/>
      </c>
      <c r="W2750" s="6" t="str">
        <f>IFERROR(__xludf.DUMMYFUNCTION("""COMPUTED_VALUE"""),"[]")</f>
        <v>[]</v>
      </c>
      <c r="X2750" s="6" t="str">
        <f>IFERROR(__xludf.DUMMYFUNCTION("""COMPUTED_VALUE"""),"Enrolled")</f>
        <v>Enrolled</v>
      </c>
    </row>
    <row r="2751">
      <c r="A2751" s="6" t="str">
        <f>IFERROR(__xludf.DUMMYFUNCTION("""COMPUTED_VALUE"""),"059-10416")</f>
        <v>059-10416</v>
      </c>
      <c r="B2751" s="6" t="str">
        <f>IFERROR(__xludf.DUMMYFUNCTION("""COMPUTED_VALUE"""),"59")</f>
        <v>59</v>
      </c>
      <c r="C2751" s="6" t="str">
        <f>IFERROR(__xludf.DUMMYFUNCTION("""COMPUTED_VALUE"""),"10416")</f>
        <v>10416</v>
      </c>
      <c r="D2751" s="6" t="str">
        <f>IFERROR(__xludf.DUMMYFUNCTION("""COMPUTED_VALUE"""),"Chloe")</f>
        <v>Chloe</v>
      </c>
      <c r="E2751" s="6" t="str">
        <f>IFERROR(__xludf.DUMMYFUNCTION("""COMPUTED_VALUE"""),"")</f>
        <v/>
      </c>
      <c r="F2751" s="6" t="str">
        <f>IFERROR(__xludf.DUMMYFUNCTION("""COMPUTED_VALUE"""),"Cooley")</f>
        <v>Cooley</v>
      </c>
      <c r="G2751" s="6" t="str">
        <f>IFERROR(__xludf.DUMMYFUNCTION("""COMPUTED_VALUE"""),"06/10/2013")</f>
        <v>06/10/2013</v>
      </c>
      <c r="H2751" s="6" t="str">
        <f>IFERROR(__xludf.DUMMYFUNCTION("""COMPUTED_VALUE"""),"male")</f>
        <v>male</v>
      </c>
      <c r="I2751" s="6" t="str">
        <f>IFERROR(__xludf.DUMMYFUNCTION("""COMPUTED_VALUE"""),"Middle School")</f>
        <v>Middle School</v>
      </c>
      <c r="J2751" s="6" t="str">
        <f>IFERROR(__xludf.DUMMYFUNCTION("""COMPUTED_VALUE"""),"7")</f>
        <v>7</v>
      </c>
      <c r="K2751" s="6" t="str">
        <f>IFERROR(__xludf.DUMMYFUNCTION("""COMPUTED_VALUE"""),"chloe.cooley@2hourlearning.com")</f>
        <v>chloe.cooley@2hourlearning.com</v>
      </c>
      <c r="L2751" s="6" t="str">
        <f>IFERROR(__xludf.DUMMYFUNCTION("""COMPUTED_VALUE"""),"Strata")</f>
        <v>Strata</v>
      </c>
      <c r="M2751" s="6" t="str">
        <f>IFERROR(__xludf.DUMMYFUNCTION("""COMPUTED_VALUE"""),"")</f>
        <v/>
      </c>
      <c r="N2751" s="6" t="str">
        <f>IFERROR(__xludf.DUMMYFUNCTION("""COMPUTED_VALUE"""),"")</f>
        <v/>
      </c>
      <c r="O2751" s="87" t="str">
        <f>IFERROR(__xludf.DUMMYFUNCTION("""COMPUTED_VALUE"""),"https://drive.google.com/drive/folders/10T2cTQHqEJZqE-st6uFKPoI?usp=share_link")</f>
        <v>https://drive.google.com/drive/folders/10T2cTQHqEJZqE-st6uFKPoI?usp=share_link</v>
      </c>
      <c r="P2751" s="6" t="str">
        <f>IFERROR(__xludf.DUMMYFUNCTION("""COMPUTED_VALUE"""),"Chloe Cooley")</f>
        <v>Chloe Cooley</v>
      </c>
      <c r="Q2751" s="6" t="str">
        <f>IFERROR(__xludf.DUMMYFUNCTION("""COMPUTED_VALUE"""),"MS")</f>
        <v>MS</v>
      </c>
      <c r="R2751" s="6">
        <f>IFERROR(__xludf.DUMMYFUNCTION("""COMPUTED_VALUE"""),0.0)</f>
        <v>0</v>
      </c>
      <c r="S2751" s="6" t="str">
        <f>IFERROR(__xludf.DUMMYFUNCTION("""COMPUTED_VALUE""")," ")</f>
        <v> </v>
      </c>
      <c r="T2751" s="6" t="str">
        <f>IFERROR(__xludf.DUMMYFUNCTION("""COMPUTED_VALUE"""),"")</f>
        <v/>
      </c>
      <c r="U2751" s="6" t="str">
        <f>IFERROR(__xludf.DUMMYFUNCTION("""COMPUTED_VALUE"""),"7")</f>
        <v>7</v>
      </c>
      <c r="V2751" s="6" t="str">
        <f>IFERROR(__xludf.DUMMYFUNCTION("""COMPUTED_VALUE"""),"")</f>
        <v/>
      </c>
      <c r="W2751" s="6" t="str">
        <f>IFERROR(__xludf.DUMMYFUNCTION("""COMPUTED_VALUE"""),"[]")</f>
        <v>[]</v>
      </c>
      <c r="X2751" s="6" t="str">
        <f>IFERROR(__xludf.DUMMYFUNCTION("""COMPUTED_VALUE"""),"Enrolled")</f>
        <v>Enrolled</v>
      </c>
    </row>
    <row r="2752">
      <c r="A2752" s="6" t="str">
        <f>IFERROR(__xludf.DUMMYFUNCTION("""COMPUTED_VALUE"""),"059-10417")</f>
        <v>059-10417</v>
      </c>
      <c r="B2752" s="6" t="str">
        <f>IFERROR(__xludf.DUMMYFUNCTION("""COMPUTED_VALUE"""),"59")</f>
        <v>59</v>
      </c>
      <c r="C2752" s="6" t="str">
        <f>IFERROR(__xludf.DUMMYFUNCTION("""COMPUTED_VALUE"""),"10417")</f>
        <v>10417</v>
      </c>
      <c r="D2752" s="6" t="str">
        <f>IFERROR(__xludf.DUMMYFUNCTION("""COMPUTED_VALUE"""),"Roderick")</f>
        <v>Roderick</v>
      </c>
      <c r="E2752" s="6" t="str">
        <f>IFERROR(__xludf.DUMMYFUNCTION("""COMPUTED_VALUE"""),"")</f>
        <v/>
      </c>
      <c r="F2752" s="6" t="str">
        <f>IFERROR(__xludf.DUMMYFUNCTION("""COMPUTED_VALUE"""),"Scott")</f>
        <v>Scott</v>
      </c>
      <c r="G2752" s="6" t="str">
        <f>IFERROR(__xludf.DUMMYFUNCTION("""COMPUTED_VALUE"""),"04/26/2012")</f>
        <v>04/26/2012</v>
      </c>
      <c r="H2752" s="6" t="str">
        <f>IFERROR(__xludf.DUMMYFUNCTION("""COMPUTED_VALUE"""),"male")</f>
        <v>male</v>
      </c>
      <c r="I2752" s="6" t="str">
        <f>IFERROR(__xludf.DUMMYFUNCTION("""COMPUTED_VALUE"""),"Middle School")</f>
        <v>Middle School</v>
      </c>
      <c r="J2752" s="6" t="str">
        <f>IFERROR(__xludf.DUMMYFUNCTION("""COMPUTED_VALUE"""),"8")</f>
        <v>8</v>
      </c>
      <c r="K2752" s="6" t="str">
        <f>IFERROR(__xludf.DUMMYFUNCTION("""COMPUTED_VALUE"""),"roderick.scott@2hourlearning.com")</f>
        <v>roderick.scott@2hourlearning.com</v>
      </c>
      <c r="L2752" s="6" t="str">
        <f>IFERROR(__xludf.DUMMYFUNCTION("""COMPUTED_VALUE"""),"Strata")</f>
        <v>Strata</v>
      </c>
      <c r="M2752" s="6" t="str">
        <f>IFERROR(__xludf.DUMMYFUNCTION("""COMPUTED_VALUE"""),"")</f>
        <v/>
      </c>
      <c r="N2752" s="6" t="str">
        <f>IFERROR(__xludf.DUMMYFUNCTION("""COMPUTED_VALUE"""),"")</f>
        <v/>
      </c>
      <c r="O2752" s="87" t="str">
        <f>IFERROR(__xludf.DUMMYFUNCTION("""COMPUTED_VALUE"""),"https://drive.google.com/drive/folders/10T2cTQHqEJZqE-st6uFKPoI?usp=share_link")</f>
        <v>https://drive.google.com/drive/folders/10T2cTQHqEJZqE-st6uFKPoI?usp=share_link</v>
      </c>
      <c r="P2752" s="6" t="str">
        <f>IFERROR(__xludf.DUMMYFUNCTION("""COMPUTED_VALUE"""),"Roderick Scott")</f>
        <v>Roderick Scott</v>
      </c>
      <c r="Q2752" s="6" t="str">
        <f>IFERROR(__xludf.DUMMYFUNCTION("""COMPUTED_VALUE"""),"MS")</f>
        <v>MS</v>
      </c>
      <c r="R2752" s="6">
        <f>IFERROR(__xludf.DUMMYFUNCTION("""COMPUTED_VALUE"""),0.0)</f>
        <v>0</v>
      </c>
      <c r="S2752" s="6" t="str">
        <f>IFERROR(__xludf.DUMMYFUNCTION("""COMPUTED_VALUE""")," ")</f>
        <v> </v>
      </c>
      <c r="T2752" s="6" t="str">
        <f>IFERROR(__xludf.DUMMYFUNCTION("""COMPUTED_VALUE"""),"")</f>
        <v/>
      </c>
      <c r="U2752" s="6" t="str">
        <f>IFERROR(__xludf.DUMMYFUNCTION("""COMPUTED_VALUE"""),"8")</f>
        <v>8</v>
      </c>
      <c r="V2752" s="6" t="str">
        <f>IFERROR(__xludf.DUMMYFUNCTION("""COMPUTED_VALUE"""),"")</f>
        <v/>
      </c>
      <c r="W2752" s="6" t="str">
        <f>IFERROR(__xludf.DUMMYFUNCTION("""COMPUTED_VALUE"""),"[]")</f>
        <v>[]</v>
      </c>
      <c r="X2752" s="6" t="str">
        <f>IFERROR(__xludf.DUMMYFUNCTION("""COMPUTED_VALUE"""),"Enrolled")</f>
        <v>Enrolled</v>
      </c>
    </row>
    <row r="2753">
      <c r="A2753" s="6" t="str">
        <f>IFERROR(__xludf.DUMMYFUNCTION("""COMPUTED_VALUE"""),"059-10418")</f>
        <v>059-10418</v>
      </c>
      <c r="B2753" s="6" t="str">
        <f>IFERROR(__xludf.DUMMYFUNCTION("""COMPUTED_VALUE"""),"59")</f>
        <v>59</v>
      </c>
      <c r="C2753" s="6" t="str">
        <f>IFERROR(__xludf.DUMMYFUNCTION("""COMPUTED_VALUE"""),"10418")</f>
        <v>10418</v>
      </c>
      <c r="D2753" s="6" t="str">
        <f>IFERROR(__xludf.DUMMYFUNCTION("""COMPUTED_VALUE"""),"Ismael")</f>
        <v>Ismael</v>
      </c>
      <c r="E2753" s="6" t="str">
        <f>IFERROR(__xludf.DUMMYFUNCTION("""COMPUTED_VALUE"""),"")</f>
        <v/>
      </c>
      <c r="F2753" s="6" t="str">
        <f>IFERROR(__xludf.DUMMYFUNCTION("""COMPUTED_VALUE"""),"Hani")</f>
        <v>Hani</v>
      </c>
      <c r="G2753" s="6" t="str">
        <f>IFERROR(__xludf.DUMMYFUNCTION("""COMPUTED_VALUE"""),"09/22/2008")</f>
        <v>09/22/2008</v>
      </c>
      <c r="H2753" s="6" t="str">
        <f>IFERROR(__xludf.DUMMYFUNCTION("""COMPUTED_VALUE"""),"male")</f>
        <v>male</v>
      </c>
      <c r="I2753" s="6" t="str">
        <f>IFERROR(__xludf.DUMMYFUNCTION("""COMPUTED_VALUE"""),"High School")</f>
        <v>High School</v>
      </c>
      <c r="J2753" s="6" t="str">
        <f>IFERROR(__xludf.DUMMYFUNCTION("""COMPUTED_VALUE"""),"11")</f>
        <v>11</v>
      </c>
      <c r="K2753" s="6" t="str">
        <f>IFERROR(__xludf.DUMMYFUNCTION("""COMPUTED_VALUE"""),"ismael.hani@2hourlearning.com")</f>
        <v>ismael.hani@2hourlearning.com</v>
      </c>
      <c r="L2753" s="6" t="str">
        <f>IFERROR(__xludf.DUMMYFUNCTION("""COMPUTED_VALUE"""),"Strata")</f>
        <v>Strata</v>
      </c>
      <c r="M2753" s="6" t="str">
        <f>IFERROR(__xludf.DUMMYFUNCTION("""COMPUTED_VALUE"""),"")</f>
        <v/>
      </c>
      <c r="N2753" s="6" t="str">
        <f>IFERROR(__xludf.DUMMYFUNCTION("""COMPUTED_VALUE"""),"")</f>
        <v/>
      </c>
      <c r="O2753" s="87" t="str">
        <f>IFERROR(__xludf.DUMMYFUNCTION("""COMPUTED_VALUE"""),"https://drive.google.com/drive/folders/10T2cTQHqEJZqE-st6uFKPoI?usp=share_link")</f>
        <v>https://drive.google.com/drive/folders/10T2cTQHqEJZqE-st6uFKPoI?usp=share_link</v>
      </c>
      <c r="P2753" s="6" t="str">
        <f>IFERROR(__xludf.DUMMYFUNCTION("""COMPUTED_VALUE"""),"Ismael Hani")</f>
        <v>Ismael Hani</v>
      </c>
      <c r="Q2753" s="6" t="str">
        <f>IFERROR(__xludf.DUMMYFUNCTION("""COMPUTED_VALUE"""),"HS")</f>
        <v>HS</v>
      </c>
      <c r="R2753" s="6">
        <f>IFERROR(__xludf.DUMMYFUNCTION("""COMPUTED_VALUE"""),0.0)</f>
        <v>0</v>
      </c>
      <c r="S2753" s="6" t="str">
        <f>IFERROR(__xludf.DUMMYFUNCTION("""COMPUTED_VALUE""")," ")</f>
        <v> </v>
      </c>
      <c r="T2753" s="6" t="str">
        <f>IFERROR(__xludf.DUMMYFUNCTION("""COMPUTED_VALUE"""),"")</f>
        <v/>
      </c>
      <c r="U2753" s="6" t="str">
        <f>IFERROR(__xludf.DUMMYFUNCTION("""COMPUTED_VALUE"""),"11")</f>
        <v>11</v>
      </c>
      <c r="V2753" s="6" t="str">
        <f>IFERROR(__xludf.DUMMYFUNCTION("""COMPUTED_VALUE"""),"")</f>
        <v/>
      </c>
      <c r="W2753" s="6" t="str">
        <f>IFERROR(__xludf.DUMMYFUNCTION("""COMPUTED_VALUE"""),"[]")</f>
        <v>[]</v>
      </c>
      <c r="X2753" s="6" t="str">
        <f>IFERROR(__xludf.DUMMYFUNCTION("""COMPUTED_VALUE"""),"Enrolled")</f>
        <v>Enrolled</v>
      </c>
    </row>
    <row r="2754">
      <c r="A2754" s="6" t="str">
        <f>IFERROR(__xludf.DUMMYFUNCTION("""COMPUTED_VALUE"""),"059-10419")</f>
        <v>059-10419</v>
      </c>
      <c r="B2754" s="6" t="str">
        <f>IFERROR(__xludf.DUMMYFUNCTION("""COMPUTED_VALUE"""),"59")</f>
        <v>59</v>
      </c>
      <c r="C2754" s="6" t="str">
        <f>IFERROR(__xludf.DUMMYFUNCTION("""COMPUTED_VALUE"""),"10419")</f>
        <v>10419</v>
      </c>
      <c r="D2754" s="6" t="str">
        <f>IFERROR(__xludf.DUMMYFUNCTION("""COMPUTED_VALUE"""),"Karim")</f>
        <v>Karim</v>
      </c>
      <c r="E2754" s="6" t="str">
        <f>IFERROR(__xludf.DUMMYFUNCTION("""COMPUTED_VALUE"""),"")</f>
        <v/>
      </c>
      <c r="F2754" s="6" t="str">
        <f>IFERROR(__xludf.DUMMYFUNCTION("""COMPUTED_VALUE"""),"Hani")</f>
        <v>Hani</v>
      </c>
      <c r="G2754" s="6" t="str">
        <f>IFERROR(__xludf.DUMMYFUNCTION("""COMPUTED_VALUE"""),"09/22/2008")</f>
        <v>09/22/2008</v>
      </c>
      <c r="H2754" s="6" t="str">
        <f>IFERROR(__xludf.DUMMYFUNCTION("""COMPUTED_VALUE"""),"male")</f>
        <v>male</v>
      </c>
      <c r="I2754" s="6" t="str">
        <f>IFERROR(__xludf.DUMMYFUNCTION("""COMPUTED_VALUE"""),"High School")</f>
        <v>High School</v>
      </c>
      <c r="J2754" s="6" t="str">
        <f>IFERROR(__xludf.DUMMYFUNCTION("""COMPUTED_VALUE"""),"11")</f>
        <v>11</v>
      </c>
      <c r="K2754" s="6" t="str">
        <f>IFERROR(__xludf.DUMMYFUNCTION("""COMPUTED_VALUE"""),"karim.hani@2hourlearning.com")</f>
        <v>karim.hani@2hourlearning.com</v>
      </c>
      <c r="L2754" s="6" t="str">
        <f>IFERROR(__xludf.DUMMYFUNCTION("""COMPUTED_VALUE"""),"Strata")</f>
        <v>Strata</v>
      </c>
      <c r="M2754" s="6" t="str">
        <f>IFERROR(__xludf.DUMMYFUNCTION("""COMPUTED_VALUE"""),"")</f>
        <v/>
      </c>
      <c r="N2754" s="6" t="str">
        <f>IFERROR(__xludf.DUMMYFUNCTION("""COMPUTED_VALUE"""),"")</f>
        <v/>
      </c>
      <c r="O2754" s="87" t="str">
        <f>IFERROR(__xludf.DUMMYFUNCTION("""COMPUTED_VALUE"""),"https://drive.google.com/drive/folders/10T2cTQHqEJZqE-st6uFKPoI?usp=share_link")</f>
        <v>https://drive.google.com/drive/folders/10T2cTQHqEJZqE-st6uFKPoI?usp=share_link</v>
      </c>
      <c r="P2754" s="6" t="str">
        <f>IFERROR(__xludf.DUMMYFUNCTION("""COMPUTED_VALUE"""),"Karim Hani")</f>
        <v>Karim Hani</v>
      </c>
      <c r="Q2754" s="6" t="str">
        <f>IFERROR(__xludf.DUMMYFUNCTION("""COMPUTED_VALUE"""),"HS")</f>
        <v>HS</v>
      </c>
      <c r="R2754" s="6">
        <f>IFERROR(__xludf.DUMMYFUNCTION("""COMPUTED_VALUE"""),0.0)</f>
        <v>0</v>
      </c>
      <c r="S2754" s="6" t="str">
        <f>IFERROR(__xludf.DUMMYFUNCTION("""COMPUTED_VALUE""")," ")</f>
        <v> </v>
      </c>
      <c r="T2754" s="6" t="str">
        <f>IFERROR(__xludf.DUMMYFUNCTION("""COMPUTED_VALUE"""),"")</f>
        <v/>
      </c>
      <c r="U2754" s="6" t="str">
        <f>IFERROR(__xludf.DUMMYFUNCTION("""COMPUTED_VALUE"""),"11")</f>
        <v>11</v>
      </c>
      <c r="V2754" s="6" t="str">
        <f>IFERROR(__xludf.DUMMYFUNCTION("""COMPUTED_VALUE"""),"")</f>
        <v/>
      </c>
      <c r="W2754" s="6" t="str">
        <f>IFERROR(__xludf.DUMMYFUNCTION("""COMPUTED_VALUE"""),"[]")</f>
        <v>[]</v>
      </c>
      <c r="X2754" s="6" t="str">
        <f>IFERROR(__xludf.DUMMYFUNCTION("""COMPUTED_VALUE"""),"Enrolled")</f>
        <v>Enrolled</v>
      </c>
    </row>
    <row r="2755">
      <c r="A2755" s="6" t="str">
        <f>IFERROR(__xludf.DUMMYFUNCTION("""COMPUTED_VALUE"""),"059-10420")</f>
        <v>059-10420</v>
      </c>
      <c r="B2755" s="6" t="str">
        <f>IFERROR(__xludf.DUMMYFUNCTION("""COMPUTED_VALUE"""),"59")</f>
        <v>59</v>
      </c>
      <c r="C2755" s="6" t="str">
        <f>IFERROR(__xludf.DUMMYFUNCTION("""COMPUTED_VALUE"""),"10420")</f>
        <v>10420</v>
      </c>
      <c r="D2755" s="6" t="str">
        <f>IFERROR(__xludf.DUMMYFUNCTION("""COMPUTED_VALUE"""),"Cody")</f>
        <v>Cody</v>
      </c>
      <c r="E2755" s="6" t="str">
        <f>IFERROR(__xludf.DUMMYFUNCTION("""COMPUTED_VALUE"""),"")</f>
        <v/>
      </c>
      <c r="F2755" s="6" t="str">
        <f>IFERROR(__xludf.DUMMYFUNCTION("""COMPUTED_VALUE"""),"Cooley")</f>
        <v>Cooley</v>
      </c>
      <c r="G2755" s="6" t="str">
        <f>IFERROR(__xludf.DUMMYFUNCTION("""COMPUTED_VALUE"""),"09/25/2014")</f>
        <v>09/25/2014</v>
      </c>
      <c r="H2755" s="6" t="str">
        <f>IFERROR(__xludf.DUMMYFUNCTION("""COMPUTED_VALUE"""),"male")</f>
        <v>male</v>
      </c>
      <c r="I2755" s="6" t="str">
        <f>IFERROR(__xludf.DUMMYFUNCTION("""COMPUTED_VALUE"""),"Level 2")</f>
        <v>Level 2</v>
      </c>
      <c r="J2755" s="6" t="str">
        <f>IFERROR(__xludf.DUMMYFUNCTION("""COMPUTED_VALUE"""),"5")</f>
        <v>5</v>
      </c>
      <c r="K2755" s="6" t="str">
        <f>IFERROR(__xludf.DUMMYFUNCTION("""COMPUTED_VALUE"""),"cody.cooley@2hourlearning.com")</f>
        <v>cody.cooley@2hourlearning.com</v>
      </c>
      <c r="L2755" s="6" t="str">
        <f>IFERROR(__xludf.DUMMYFUNCTION("""COMPUTED_VALUE"""),"Strata")</f>
        <v>Strata</v>
      </c>
      <c r="M2755" s="6" t="str">
        <f>IFERROR(__xludf.DUMMYFUNCTION("""COMPUTED_VALUE"""),"")</f>
        <v/>
      </c>
      <c r="N2755" s="6" t="str">
        <f>IFERROR(__xludf.DUMMYFUNCTION("""COMPUTED_VALUE"""),"")</f>
        <v/>
      </c>
      <c r="O2755" s="87" t="str">
        <f>IFERROR(__xludf.DUMMYFUNCTION("""COMPUTED_VALUE"""),"https://drive.google.com/drive/folders/10T2cTQHqEJZqE-st6uFKPoI?usp=share_link")</f>
        <v>https://drive.google.com/drive/folders/10T2cTQHqEJZqE-st6uFKPoI?usp=share_link</v>
      </c>
      <c r="P2755" s="6" t="str">
        <f>IFERROR(__xludf.DUMMYFUNCTION("""COMPUTED_VALUE"""),"Cody Cooley")</f>
        <v>Cody Cooley</v>
      </c>
      <c r="Q2755" s="6" t="str">
        <f>IFERROR(__xludf.DUMMYFUNCTION("""COMPUTED_VALUE"""),"L2")</f>
        <v>L2</v>
      </c>
      <c r="R2755" s="6">
        <f>IFERROR(__xludf.DUMMYFUNCTION("""COMPUTED_VALUE"""),2.0)</f>
        <v>2</v>
      </c>
      <c r="S2755" s="6" t="str">
        <f>IFERROR(__xludf.DUMMYFUNCTION("""COMPUTED_VALUE""")," ")</f>
        <v> </v>
      </c>
      <c r="T2755" s="6" t="str">
        <f>IFERROR(__xludf.DUMMYFUNCTION("""COMPUTED_VALUE"""),"")</f>
        <v/>
      </c>
      <c r="U2755" s="6" t="str">
        <f>IFERROR(__xludf.DUMMYFUNCTION("""COMPUTED_VALUE"""),"5")</f>
        <v>5</v>
      </c>
      <c r="V2755" s="6" t="str">
        <f>IFERROR(__xludf.DUMMYFUNCTION("""COMPUTED_VALUE"""),"")</f>
        <v/>
      </c>
      <c r="W2755" s="6" t="str">
        <f>IFERROR(__xludf.DUMMYFUNCTION("""COMPUTED_VALUE"""),"[]")</f>
        <v>[]</v>
      </c>
      <c r="X2755" s="6" t="str">
        <f>IFERROR(__xludf.DUMMYFUNCTION("""COMPUTED_VALUE"""),"Enrolled")</f>
        <v>Enrolled</v>
      </c>
    </row>
    <row r="2756">
      <c r="A2756" s="6" t="str">
        <f>IFERROR(__xludf.DUMMYFUNCTION("""COMPUTED_VALUE"""),"059-10421")</f>
        <v>059-10421</v>
      </c>
      <c r="B2756" s="6" t="str">
        <f>IFERROR(__xludf.DUMMYFUNCTION("""COMPUTED_VALUE"""),"59")</f>
        <v>59</v>
      </c>
      <c r="C2756" s="6" t="str">
        <f>IFERROR(__xludf.DUMMYFUNCTION("""COMPUTED_VALUE"""),"10421")</f>
        <v>10421</v>
      </c>
      <c r="D2756" s="6" t="str">
        <f>IFERROR(__xludf.DUMMYFUNCTION("""COMPUTED_VALUE"""),"Hayler")</f>
        <v>Hayler</v>
      </c>
      <c r="E2756" s="6" t="str">
        <f>IFERROR(__xludf.DUMMYFUNCTION("""COMPUTED_VALUE"""),"")</f>
        <v/>
      </c>
      <c r="F2756" s="6" t="str">
        <f>IFERROR(__xludf.DUMMYFUNCTION("""COMPUTED_VALUE"""),"Schneider")</f>
        <v>Schneider</v>
      </c>
      <c r="G2756" s="6" t="str">
        <f>IFERROR(__xludf.DUMMYFUNCTION("""COMPUTED_VALUE"""),"04/14/2016")</f>
        <v>04/14/2016</v>
      </c>
      <c r="H2756" s="6" t="str">
        <f>IFERROR(__xludf.DUMMYFUNCTION("""COMPUTED_VALUE"""),"male")</f>
        <v>male</v>
      </c>
      <c r="I2756" s="6" t="str">
        <f>IFERROR(__xludf.DUMMYFUNCTION("""COMPUTED_VALUE"""),"Level 2")</f>
        <v>Level 2</v>
      </c>
      <c r="J2756" s="6" t="str">
        <f>IFERROR(__xludf.DUMMYFUNCTION("""COMPUTED_VALUE"""),"4")</f>
        <v>4</v>
      </c>
      <c r="K2756" s="6" t="str">
        <f>IFERROR(__xludf.DUMMYFUNCTION("""COMPUTED_VALUE"""),"hayler.schneider@2hourlearning.com")</f>
        <v>hayler.schneider@2hourlearning.com</v>
      </c>
      <c r="L2756" s="6" t="str">
        <f>IFERROR(__xludf.DUMMYFUNCTION("""COMPUTED_VALUE"""),"Strata")</f>
        <v>Strata</v>
      </c>
      <c r="M2756" s="6" t="str">
        <f>IFERROR(__xludf.DUMMYFUNCTION("""COMPUTED_VALUE"""),"")</f>
        <v/>
      </c>
      <c r="N2756" s="6" t="str">
        <f>IFERROR(__xludf.DUMMYFUNCTION("""COMPUTED_VALUE"""),"")</f>
        <v/>
      </c>
      <c r="O2756" s="87" t="str">
        <f>IFERROR(__xludf.DUMMYFUNCTION("""COMPUTED_VALUE"""),"https://drive.google.com/drive/folders/10T2cTQHqEJZqE-st6uFKPoI?usp=share_link")</f>
        <v>https://drive.google.com/drive/folders/10T2cTQHqEJZqE-st6uFKPoI?usp=share_link</v>
      </c>
      <c r="P2756" s="6" t="str">
        <f>IFERROR(__xludf.DUMMYFUNCTION("""COMPUTED_VALUE"""),"Hayler Schneider")</f>
        <v>Hayler Schneider</v>
      </c>
      <c r="Q2756" s="6" t="str">
        <f>IFERROR(__xludf.DUMMYFUNCTION("""COMPUTED_VALUE"""),"L2")</f>
        <v>L2</v>
      </c>
      <c r="R2756" s="6">
        <f>IFERROR(__xludf.DUMMYFUNCTION("""COMPUTED_VALUE"""),2.0)</f>
        <v>2</v>
      </c>
      <c r="S2756" s="6" t="str">
        <f>IFERROR(__xludf.DUMMYFUNCTION("""COMPUTED_VALUE""")," ")</f>
        <v> </v>
      </c>
      <c r="T2756" s="6" t="str">
        <f>IFERROR(__xludf.DUMMYFUNCTION("""COMPUTED_VALUE"""),"")</f>
        <v/>
      </c>
      <c r="U2756" s="6" t="str">
        <f>IFERROR(__xludf.DUMMYFUNCTION("""COMPUTED_VALUE"""),"4")</f>
        <v>4</v>
      </c>
      <c r="V2756" s="6" t="str">
        <f>IFERROR(__xludf.DUMMYFUNCTION("""COMPUTED_VALUE"""),"")</f>
        <v/>
      </c>
      <c r="W2756" s="6" t="str">
        <f>IFERROR(__xludf.DUMMYFUNCTION("""COMPUTED_VALUE"""),"[]")</f>
        <v>[]</v>
      </c>
      <c r="X2756" s="6" t="str">
        <f>IFERROR(__xludf.DUMMYFUNCTION("""COMPUTED_VALUE"""),"Enrolled")</f>
        <v>Enrolled</v>
      </c>
    </row>
    <row r="2757">
      <c r="A2757" s="6" t="str">
        <f>IFERROR(__xludf.DUMMYFUNCTION("""COMPUTED_VALUE"""),"059-10429")</f>
        <v>059-10429</v>
      </c>
      <c r="B2757" s="6" t="str">
        <f>IFERROR(__xludf.DUMMYFUNCTION("""COMPUTED_VALUE"""),"59")</f>
        <v>59</v>
      </c>
      <c r="C2757" s="6" t="str">
        <f>IFERROR(__xludf.DUMMYFUNCTION("""COMPUTED_VALUE"""),"10429")</f>
        <v>10429</v>
      </c>
      <c r="D2757" s="6" t="str">
        <f>IFERROR(__xludf.DUMMYFUNCTION("""COMPUTED_VALUE"""),"Jackson")</f>
        <v>Jackson</v>
      </c>
      <c r="E2757" s="6" t="str">
        <f>IFERROR(__xludf.DUMMYFUNCTION("""COMPUTED_VALUE"""),"")</f>
        <v/>
      </c>
      <c r="F2757" s="6" t="str">
        <f>IFERROR(__xludf.DUMMYFUNCTION("""COMPUTED_VALUE"""),"Peterson")</f>
        <v>Peterson</v>
      </c>
      <c r="G2757" s="6" t="str">
        <f>IFERROR(__xludf.DUMMYFUNCTION("""COMPUTED_VALUE"""),"07/17/2013")</f>
        <v>07/17/2013</v>
      </c>
      <c r="H2757" s="6" t="str">
        <f>IFERROR(__xludf.DUMMYFUNCTION("""COMPUTED_VALUE"""),"male")</f>
        <v>male</v>
      </c>
      <c r="I2757" s="6" t="str">
        <f>IFERROR(__xludf.DUMMYFUNCTION("""COMPUTED_VALUE"""),"Middle School")</f>
        <v>Middle School</v>
      </c>
      <c r="J2757" s="6" t="str">
        <f>IFERROR(__xludf.DUMMYFUNCTION("""COMPUTED_VALUE"""),"6")</f>
        <v>6</v>
      </c>
      <c r="K2757" s="6" t="str">
        <f>IFERROR(__xludf.DUMMYFUNCTION("""COMPUTED_VALUE"""),"jackson.peterson@2hourlearning.com")</f>
        <v>jackson.peterson@2hourlearning.com</v>
      </c>
      <c r="L2757" s="6" t="str">
        <f>IFERROR(__xludf.DUMMYFUNCTION("""COMPUTED_VALUE"""),"Strata")</f>
        <v>Strata</v>
      </c>
      <c r="M2757" s="6" t="str">
        <f>IFERROR(__xludf.DUMMYFUNCTION("""COMPUTED_VALUE"""),"")</f>
        <v/>
      </c>
      <c r="N2757" s="6" t="str">
        <f>IFERROR(__xludf.DUMMYFUNCTION("""COMPUTED_VALUE"""),"")</f>
        <v/>
      </c>
      <c r="O2757" s="87" t="str">
        <f>IFERROR(__xludf.DUMMYFUNCTION("""COMPUTED_VALUE"""),"https://drive.google.com/drive/folders/10T2cTQHqEJZqE-st6uFKPoI?usp=share_link")</f>
        <v>https://drive.google.com/drive/folders/10T2cTQHqEJZqE-st6uFKPoI?usp=share_link</v>
      </c>
      <c r="P2757" s="6" t="str">
        <f>IFERROR(__xludf.DUMMYFUNCTION("""COMPUTED_VALUE"""),"Jackson Peterson")</f>
        <v>Jackson Peterson</v>
      </c>
      <c r="Q2757" s="6" t="str">
        <f>IFERROR(__xludf.DUMMYFUNCTION("""COMPUTED_VALUE"""),"MS")</f>
        <v>MS</v>
      </c>
      <c r="R2757" s="6">
        <f>IFERROR(__xludf.DUMMYFUNCTION("""COMPUTED_VALUE"""),0.0)</f>
        <v>0</v>
      </c>
      <c r="S2757" s="6" t="str">
        <f>IFERROR(__xludf.DUMMYFUNCTION("""COMPUTED_VALUE""")," ")</f>
        <v> </v>
      </c>
      <c r="T2757" s="6" t="str">
        <f>IFERROR(__xludf.DUMMYFUNCTION("""COMPUTED_VALUE"""),"")</f>
        <v/>
      </c>
      <c r="U2757" s="6" t="str">
        <f>IFERROR(__xludf.DUMMYFUNCTION("""COMPUTED_VALUE"""),"6")</f>
        <v>6</v>
      </c>
      <c r="V2757" s="6" t="str">
        <f>IFERROR(__xludf.DUMMYFUNCTION("""COMPUTED_VALUE"""),"")</f>
        <v/>
      </c>
      <c r="W2757" s="6" t="str">
        <f>IFERROR(__xludf.DUMMYFUNCTION("""COMPUTED_VALUE"""),"[]")</f>
        <v>[]</v>
      </c>
      <c r="X2757" s="6" t="str">
        <f>IFERROR(__xludf.DUMMYFUNCTION("""COMPUTED_VALUE"""),"Enrolled")</f>
        <v>Enrolled</v>
      </c>
    </row>
    <row r="2758">
      <c r="A2758" s="6" t="str">
        <f>IFERROR(__xludf.DUMMYFUNCTION("""COMPUTED_VALUE"""),"059-10431")</f>
        <v>059-10431</v>
      </c>
      <c r="B2758" s="6" t="str">
        <f>IFERROR(__xludf.DUMMYFUNCTION("""COMPUTED_VALUE"""),"59")</f>
        <v>59</v>
      </c>
      <c r="C2758" s="6" t="str">
        <f>IFERROR(__xludf.DUMMYFUNCTION("""COMPUTED_VALUE"""),"10431")</f>
        <v>10431</v>
      </c>
      <c r="D2758" s="6" t="str">
        <f>IFERROR(__xludf.DUMMYFUNCTION("""COMPUTED_VALUE"""),"Ford")</f>
        <v>Ford</v>
      </c>
      <c r="E2758" s="6" t="str">
        <f>IFERROR(__xludf.DUMMYFUNCTION("""COMPUTED_VALUE"""),"")</f>
        <v/>
      </c>
      <c r="F2758" s="6" t="str">
        <f>IFERROR(__xludf.DUMMYFUNCTION("""COMPUTED_VALUE"""),"Radde")</f>
        <v>Radde</v>
      </c>
      <c r="G2758" s="6" t="str">
        <f>IFERROR(__xludf.DUMMYFUNCTION("""COMPUTED_VALUE"""),"01/15/2013")</f>
        <v>01/15/2013</v>
      </c>
      <c r="H2758" s="6" t="str">
        <f>IFERROR(__xludf.DUMMYFUNCTION("""COMPUTED_VALUE"""),"male")</f>
        <v>male</v>
      </c>
      <c r="I2758" s="6" t="str">
        <f>IFERROR(__xludf.DUMMYFUNCTION("""COMPUTED_VALUE"""),"Middle School")</f>
        <v>Middle School</v>
      </c>
      <c r="J2758" s="6" t="str">
        <f>IFERROR(__xludf.DUMMYFUNCTION("""COMPUTED_VALUE"""),"7")</f>
        <v>7</v>
      </c>
      <c r="K2758" s="6" t="str">
        <f>IFERROR(__xludf.DUMMYFUNCTION("""COMPUTED_VALUE"""),"ford.radde@2hourlearning.com")</f>
        <v>ford.radde@2hourlearning.com</v>
      </c>
      <c r="L2758" s="6" t="str">
        <f>IFERROR(__xludf.DUMMYFUNCTION("""COMPUTED_VALUE"""),"Strata")</f>
        <v>Strata</v>
      </c>
      <c r="M2758" s="6" t="str">
        <f>IFERROR(__xludf.DUMMYFUNCTION("""COMPUTED_VALUE"""),"")</f>
        <v/>
      </c>
      <c r="N2758" s="6" t="str">
        <f>IFERROR(__xludf.DUMMYFUNCTION("""COMPUTED_VALUE"""),"")</f>
        <v/>
      </c>
      <c r="O2758" s="87" t="str">
        <f>IFERROR(__xludf.DUMMYFUNCTION("""COMPUTED_VALUE"""),"https://drive.google.com/drive/folders/10T2cTQHqEJZqE-st6uFKPoI?usp=share_link")</f>
        <v>https://drive.google.com/drive/folders/10T2cTQHqEJZqE-st6uFKPoI?usp=share_link</v>
      </c>
      <c r="P2758" s="6" t="str">
        <f>IFERROR(__xludf.DUMMYFUNCTION("""COMPUTED_VALUE"""),"Ford Radde")</f>
        <v>Ford Radde</v>
      </c>
      <c r="Q2758" s="6" t="str">
        <f>IFERROR(__xludf.DUMMYFUNCTION("""COMPUTED_VALUE"""),"MS")</f>
        <v>MS</v>
      </c>
      <c r="R2758" s="6">
        <f>IFERROR(__xludf.DUMMYFUNCTION("""COMPUTED_VALUE"""),0.0)</f>
        <v>0</v>
      </c>
      <c r="S2758" s="6" t="str">
        <f>IFERROR(__xludf.DUMMYFUNCTION("""COMPUTED_VALUE""")," ")</f>
        <v> </v>
      </c>
      <c r="T2758" s="6" t="str">
        <f>IFERROR(__xludf.DUMMYFUNCTION("""COMPUTED_VALUE"""),"")</f>
        <v/>
      </c>
      <c r="U2758" s="6" t="str">
        <f>IFERROR(__xludf.DUMMYFUNCTION("""COMPUTED_VALUE"""),"7")</f>
        <v>7</v>
      </c>
      <c r="V2758" s="6" t="str">
        <f>IFERROR(__xludf.DUMMYFUNCTION("""COMPUTED_VALUE"""),"")</f>
        <v/>
      </c>
      <c r="W2758" s="6" t="str">
        <f>IFERROR(__xludf.DUMMYFUNCTION("""COMPUTED_VALUE"""),"[]")</f>
        <v>[]</v>
      </c>
      <c r="X2758" s="6" t="str">
        <f>IFERROR(__xludf.DUMMYFUNCTION("""COMPUTED_VALUE"""),"Enrolled")</f>
        <v>Enrolled</v>
      </c>
    </row>
    <row r="2759">
      <c r="A2759" s="6" t="str">
        <f>IFERROR(__xludf.DUMMYFUNCTION("""COMPUTED_VALUE"""),"059-10439")</f>
        <v>059-10439</v>
      </c>
      <c r="B2759" s="6" t="str">
        <f>IFERROR(__xludf.DUMMYFUNCTION("""COMPUTED_VALUE"""),"59")</f>
        <v>59</v>
      </c>
      <c r="C2759" s="6" t="str">
        <f>IFERROR(__xludf.DUMMYFUNCTION("""COMPUTED_VALUE"""),"10439")</f>
        <v>10439</v>
      </c>
      <c r="D2759" s="6" t="str">
        <f>IFERROR(__xludf.DUMMYFUNCTION("""COMPUTED_VALUE"""),"Ayden")</f>
        <v>Ayden</v>
      </c>
      <c r="E2759" s="6" t="str">
        <f>IFERROR(__xludf.DUMMYFUNCTION("""COMPUTED_VALUE"""),"")</f>
        <v/>
      </c>
      <c r="F2759" s="6" t="str">
        <f>IFERROR(__xludf.DUMMYFUNCTION("""COMPUTED_VALUE"""),"Matlock")</f>
        <v>Matlock</v>
      </c>
      <c r="G2759" s="6" t="str">
        <f>IFERROR(__xludf.DUMMYFUNCTION("""COMPUTED_VALUE"""),"02/12/2012")</f>
        <v>02/12/2012</v>
      </c>
      <c r="H2759" s="6" t="str">
        <f>IFERROR(__xludf.DUMMYFUNCTION("""COMPUTED_VALUE"""),"male")</f>
        <v>male</v>
      </c>
      <c r="I2759" s="6" t="str">
        <f>IFERROR(__xludf.DUMMYFUNCTION("""COMPUTED_VALUE"""),"Middle School")</f>
        <v>Middle School</v>
      </c>
      <c r="J2759" s="6" t="str">
        <f>IFERROR(__xludf.DUMMYFUNCTION("""COMPUTED_VALUE"""),"7")</f>
        <v>7</v>
      </c>
      <c r="K2759" s="6" t="str">
        <f>IFERROR(__xludf.DUMMYFUNCTION("""COMPUTED_VALUE"""),"ayden.matlock@2hourlearning.com")</f>
        <v>ayden.matlock@2hourlearning.com</v>
      </c>
      <c r="L2759" s="6" t="str">
        <f>IFERROR(__xludf.DUMMYFUNCTION("""COMPUTED_VALUE"""),"Strata")</f>
        <v>Strata</v>
      </c>
      <c r="M2759" s="6" t="str">
        <f>IFERROR(__xludf.DUMMYFUNCTION("""COMPUTED_VALUE"""),"")</f>
        <v/>
      </c>
      <c r="N2759" s="6" t="str">
        <f>IFERROR(__xludf.DUMMYFUNCTION("""COMPUTED_VALUE"""),"")</f>
        <v/>
      </c>
      <c r="O2759" s="87" t="str">
        <f>IFERROR(__xludf.DUMMYFUNCTION("""COMPUTED_VALUE"""),"https://drive.google.com/drive/folders/10T2cTQHqEJZqE-st6uFKPoI?usp=share_link")</f>
        <v>https://drive.google.com/drive/folders/10T2cTQHqEJZqE-st6uFKPoI?usp=share_link</v>
      </c>
      <c r="P2759" s="6" t="str">
        <f>IFERROR(__xludf.DUMMYFUNCTION("""COMPUTED_VALUE"""),"Ayden Matlock")</f>
        <v>Ayden Matlock</v>
      </c>
      <c r="Q2759" s="6" t="str">
        <f>IFERROR(__xludf.DUMMYFUNCTION("""COMPUTED_VALUE"""),"MS")</f>
        <v>MS</v>
      </c>
      <c r="R2759" s="6">
        <f>IFERROR(__xludf.DUMMYFUNCTION("""COMPUTED_VALUE"""),0.0)</f>
        <v>0</v>
      </c>
      <c r="S2759" s="6" t="str">
        <f>IFERROR(__xludf.DUMMYFUNCTION("""COMPUTED_VALUE""")," ")</f>
        <v> </v>
      </c>
      <c r="T2759" s="6" t="str">
        <f>IFERROR(__xludf.DUMMYFUNCTION("""COMPUTED_VALUE"""),"")</f>
        <v/>
      </c>
      <c r="U2759" s="6" t="str">
        <f>IFERROR(__xludf.DUMMYFUNCTION("""COMPUTED_VALUE"""),"7")</f>
        <v>7</v>
      </c>
      <c r="V2759" s="6" t="str">
        <f>IFERROR(__xludf.DUMMYFUNCTION("""COMPUTED_VALUE"""),"")</f>
        <v/>
      </c>
      <c r="W2759" s="6" t="str">
        <f>IFERROR(__xludf.DUMMYFUNCTION("""COMPUTED_VALUE"""),"[]")</f>
        <v>[]</v>
      </c>
      <c r="X2759" s="6" t="str">
        <f>IFERROR(__xludf.DUMMYFUNCTION("""COMPUTED_VALUE"""),"Enrolled")</f>
        <v>Enrolled</v>
      </c>
    </row>
    <row r="2760">
      <c r="A2760" s="6" t="str">
        <f>IFERROR(__xludf.DUMMYFUNCTION("""COMPUTED_VALUE"""),"059-10440")</f>
        <v>059-10440</v>
      </c>
      <c r="B2760" s="6" t="str">
        <f>IFERROR(__xludf.DUMMYFUNCTION("""COMPUTED_VALUE"""),"59")</f>
        <v>59</v>
      </c>
      <c r="C2760" s="6" t="str">
        <f>IFERROR(__xludf.DUMMYFUNCTION("""COMPUTED_VALUE"""),"10440")</f>
        <v>10440</v>
      </c>
      <c r="D2760" s="6" t="str">
        <f>IFERROR(__xludf.DUMMYFUNCTION("""COMPUTED_VALUE"""),"Cooper")</f>
        <v>Cooper</v>
      </c>
      <c r="E2760" s="6" t="str">
        <f>IFERROR(__xludf.DUMMYFUNCTION("""COMPUTED_VALUE"""),"")</f>
        <v/>
      </c>
      <c r="F2760" s="6" t="str">
        <f>IFERROR(__xludf.DUMMYFUNCTION("""COMPUTED_VALUE"""),"Dowdy")</f>
        <v>Dowdy</v>
      </c>
      <c r="G2760" s="6" t="str">
        <f>IFERROR(__xludf.DUMMYFUNCTION("""COMPUTED_VALUE"""),"04/12/2011")</f>
        <v>04/12/2011</v>
      </c>
      <c r="H2760" s="6" t="str">
        <f>IFERROR(__xludf.DUMMYFUNCTION("""COMPUTED_VALUE"""),"male")</f>
        <v>male</v>
      </c>
      <c r="I2760" s="6" t="str">
        <f>IFERROR(__xludf.DUMMYFUNCTION("""COMPUTED_VALUE"""),"Middle School")</f>
        <v>Middle School</v>
      </c>
      <c r="J2760" s="6" t="str">
        <f>IFERROR(__xludf.DUMMYFUNCTION("""COMPUTED_VALUE"""),"8")</f>
        <v>8</v>
      </c>
      <c r="K2760" s="6" t="str">
        <f>IFERROR(__xludf.DUMMYFUNCTION("""COMPUTED_VALUE"""),"cooper.dowdy@2hourlearning.com")</f>
        <v>cooper.dowdy@2hourlearning.com</v>
      </c>
      <c r="L2760" s="6" t="str">
        <f>IFERROR(__xludf.DUMMYFUNCTION("""COMPUTED_VALUE"""),"Strata")</f>
        <v>Strata</v>
      </c>
      <c r="M2760" s="6" t="str">
        <f>IFERROR(__xludf.DUMMYFUNCTION("""COMPUTED_VALUE"""),"")</f>
        <v/>
      </c>
      <c r="N2760" s="6" t="str">
        <f>IFERROR(__xludf.DUMMYFUNCTION("""COMPUTED_VALUE"""),"")</f>
        <v/>
      </c>
      <c r="O2760" s="87" t="str">
        <f>IFERROR(__xludf.DUMMYFUNCTION("""COMPUTED_VALUE"""),"https://drive.google.com/drive/folders/10T2cTQHqEJZqE-st6uFKPoI?usp=share_link")</f>
        <v>https://drive.google.com/drive/folders/10T2cTQHqEJZqE-st6uFKPoI?usp=share_link</v>
      </c>
      <c r="P2760" s="6" t="str">
        <f>IFERROR(__xludf.DUMMYFUNCTION("""COMPUTED_VALUE"""),"Cooper Dowdy")</f>
        <v>Cooper Dowdy</v>
      </c>
      <c r="Q2760" s="6" t="str">
        <f>IFERROR(__xludf.DUMMYFUNCTION("""COMPUTED_VALUE"""),"MS")</f>
        <v>MS</v>
      </c>
      <c r="R2760" s="6">
        <f>IFERROR(__xludf.DUMMYFUNCTION("""COMPUTED_VALUE"""),0.0)</f>
        <v>0</v>
      </c>
      <c r="S2760" s="6" t="str">
        <f>IFERROR(__xludf.DUMMYFUNCTION("""COMPUTED_VALUE""")," ")</f>
        <v> </v>
      </c>
      <c r="T2760" s="6" t="str">
        <f>IFERROR(__xludf.DUMMYFUNCTION("""COMPUTED_VALUE"""),"")</f>
        <v/>
      </c>
      <c r="U2760" s="6" t="str">
        <f>IFERROR(__xludf.DUMMYFUNCTION("""COMPUTED_VALUE"""),"8")</f>
        <v>8</v>
      </c>
      <c r="V2760" s="6" t="str">
        <f>IFERROR(__xludf.DUMMYFUNCTION("""COMPUTED_VALUE"""),"")</f>
        <v/>
      </c>
      <c r="W2760" s="6" t="str">
        <f>IFERROR(__xludf.DUMMYFUNCTION("""COMPUTED_VALUE"""),"[]")</f>
        <v>[]</v>
      </c>
      <c r="X2760" s="6" t="str">
        <f>IFERROR(__xludf.DUMMYFUNCTION("""COMPUTED_VALUE"""),"Enrolled")</f>
        <v>Enrolled</v>
      </c>
    </row>
    <row r="2761">
      <c r="A2761" s="6" t="str">
        <f>IFERROR(__xludf.DUMMYFUNCTION("""COMPUTED_VALUE"""),"059-10441")</f>
        <v>059-10441</v>
      </c>
      <c r="B2761" s="6" t="str">
        <f>IFERROR(__xludf.DUMMYFUNCTION("""COMPUTED_VALUE"""),"59")</f>
        <v>59</v>
      </c>
      <c r="C2761" s="6" t="str">
        <f>IFERROR(__xludf.DUMMYFUNCTION("""COMPUTED_VALUE"""),"10441")</f>
        <v>10441</v>
      </c>
      <c r="D2761" s="6" t="str">
        <f>IFERROR(__xludf.DUMMYFUNCTION("""COMPUTED_VALUE"""),"Noah")</f>
        <v>Noah</v>
      </c>
      <c r="E2761" s="6" t="str">
        <f>IFERROR(__xludf.DUMMYFUNCTION("""COMPUTED_VALUE"""),"")</f>
        <v/>
      </c>
      <c r="F2761" s="6" t="str">
        <f>IFERROR(__xludf.DUMMYFUNCTION("""COMPUTED_VALUE"""),"Williams")</f>
        <v>Williams</v>
      </c>
      <c r="G2761" s="6" t="str">
        <f>IFERROR(__xludf.DUMMYFUNCTION("""COMPUTED_VALUE"""),"04/02/2012")</f>
        <v>04/02/2012</v>
      </c>
      <c r="H2761" s="6" t="str">
        <f>IFERROR(__xludf.DUMMYFUNCTION("""COMPUTED_VALUE"""),"male")</f>
        <v>male</v>
      </c>
      <c r="I2761" s="6" t="str">
        <f>IFERROR(__xludf.DUMMYFUNCTION("""COMPUTED_VALUE"""),"Middle School")</f>
        <v>Middle School</v>
      </c>
      <c r="J2761" s="6" t="str">
        <f>IFERROR(__xludf.DUMMYFUNCTION("""COMPUTED_VALUE"""),"8")</f>
        <v>8</v>
      </c>
      <c r="K2761" s="6" t="str">
        <f>IFERROR(__xludf.DUMMYFUNCTION("""COMPUTED_VALUE"""),"noah.williams@2hourlearning.com")</f>
        <v>noah.williams@2hourlearning.com</v>
      </c>
      <c r="L2761" s="6" t="str">
        <f>IFERROR(__xludf.DUMMYFUNCTION("""COMPUTED_VALUE"""),"Strata")</f>
        <v>Strata</v>
      </c>
      <c r="M2761" s="6" t="str">
        <f>IFERROR(__xludf.DUMMYFUNCTION("""COMPUTED_VALUE"""),"")</f>
        <v/>
      </c>
      <c r="N2761" s="6" t="str">
        <f>IFERROR(__xludf.DUMMYFUNCTION("""COMPUTED_VALUE"""),"")</f>
        <v/>
      </c>
      <c r="O2761" s="87" t="str">
        <f>IFERROR(__xludf.DUMMYFUNCTION("""COMPUTED_VALUE"""),"https://drive.google.com/drive/folders/10T2cTQHqEJZqE-st6uFKPoI?usp=share_link")</f>
        <v>https://drive.google.com/drive/folders/10T2cTQHqEJZqE-st6uFKPoI?usp=share_link</v>
      </c>
      <c r="P2761" s="6" t="str">
        <f>IFERROR(__xludf.DUMMYFUNCTION("""COMPUTED_VALUE"""),"Noah Williams")</f>
        <v>Noah Williams</v>
      </c>
      <c r="Q2761" s="6" t="str">
        <f>IFERROR(__xludf.DUMMYFUNCTION("""COMPUTED_VALUE"""),"MS")</f>
        <v>MS</v>
      </c>
      <c r="R2761" s="6">
        <f>IFERROR(__xludf.DUMMYFUNCTION("""COMPUTED_VALUE"""),0.0)</f>
        <v>0</v>
      </c>
      <c r="S2761" s="6" t="str">
        <f>IFERROR(__xludf.DUMMYFUNCTION("""COMPUTED_VALUE""")," ")</f>
        <v> </v>
      </c>
      <c r="T2761" s="6" t="str">
        <f>IFERROR(__xludf.DUMMYFUNCTION("""COMPUTED_VALUE"""),"")</f>
        <v/>
      </c>
      <c r="U2761" s="6" t="str">
        <f>IFERROR(__xludf.DUMMYFUNCTION("""COMPUTED_VALUE"""),"8")</f>
        <v>8</v>
      </c>
      <c r="V2761" s="6" t="str">
        <f>IFERROR(__xludf.DUMMYFUNCTION("""COMPUTED_VALUE"""),"")</f>
        <v/>
      </c>
      <c r="W2761" s="6" t="str">
        <f>IFERROR(__xludf.DUMMYFUNCTION("""COMPUTED_VALUE"""),"[]")</f>
        <v>[]</v>
      </c>
      <c r="X2761" s="6" t="str">
        <f>IFERROR(__xludf.DUMMYFUNCTION("""COMPUTED_VALUE"""),"Enrolled")</f>
        <v>Enrolled</v>
      </c>
    </row>
    <row r="2762">
      <c r="A2762" s="6" t="str">
        <f>IFERROR(__xludf.DUMMYFUNCTION("""COMPUTED_VALUE"""),"059-10442")</f>
        <v>059-10442</v>
      </c>
      <c r="B2762" s="6" t="str">
        <f>IFERROR(__xludf.DUMMYFUNCTION("""COMPUTED_VALUE"""),"59")</f>
        <v>59</v>
      </c>
      <c r="C2762" s="6" t="str">
        <f>IFERROR(__xludf.DUMMYFUNCTION("""COMPUTED_VALUE"""),"10442")</f>
        <v>10442</v>
      </c>
      <c r="D2762" s="6" t="str">
        <f>IFERROR(__xludf.DUMMYFUNCTION("""COMPUTED_VALUE"""),"Mason")</f>
        <v>Mason</v>
      </c>
      <c r="E2762" s="6" t="str">
        <f>IFERROR(__xludf.DUMMYFUNCTION("""COMPUTED_VALUE"""),"")</f>
        <v/>
      </c>
      <c r="F2762" s="6" t="str">
        <f>IFERROR(__xludf.DUMMYFUNCTION("""COMPUTED_VALUE"""),"McWilliams")</f>
        <v>McWilliams</v>
      </c>
      <c r="G2762" s="6" t="str">
        <f>IFERROR(__xludf.DUMMYFUNCTION("""COMPUTED_VALUE"""),"03/03/2013")</f>
        <v>03/03/2013</v>
      </c>
      <c r="H2762" s="6" t="str">
        <f>IFERROR(__xludf.DUMMYFUNCTION("""COMPUTED_VALUE"""),"male")</f>
        <v>male</v>
      </c>
      <c r="I2762" s="6" t="str">
        <f>IFERROR(__xludf.DUMMYFUNCTION("""COMPUTED_VALUE"""),"Middle School")</f>
        <v>Middle School</v>
      </c>
      <c r="J2762" s="6" t="str">
        <f>IFERROR(__xludf.DUMMYFUNCTION("""COMPUTED_VALUE"""),"7")</f>
        <v>7</v>
      </c>
      <c r="K2762" s="6" t="str">
        <f>IFERROR(__xludf.DUMMYFUNCTION("""COMPUTED_VALUE"""),"mason.mcwilliams@2hourlearning.com")</f>
        <v>mason.mcwilliams@2hourlearning.com</v>
      </c>
      <c r="L2762" s="6" t="str">
        <f>IFERROR(__xludf.DUMMYFUNCTION("""COMPUTED_VALUE"""),"Strata")</f>
        <v>Strata</v>
      </c>
      <c r="M2762" s="6" t="str">
        <f>IFERROR(__xludf.DUMMYFUNCTION("""COMPUTED_VALUE"""),"")</f>
        <v/>
      </c>
      <c r="N2762" s="6" t="str">
        <f>IFERROR(__xludf.DUMMYFUNCTION("""COMPUTED_VALUE"""),"")</f>
        <v/>
      </c>
      <c r="O2762" s="87" t="str">
        <f>IFERROR(__xludf.DUMMYFUNCTION("""COMPUTED_VALUE"""),"https://drive.google.com/drive/folders/10T2cTQHqEJZqE-st6uFKPoI?usp=share_link")</f>
        <v>https://drive.google.com/drive/folders/10T2cTQHqEJZqE-st6uFKPoI?usp=share_link</v>
      </c>
      <c r="P2762" s="6" t="str">
        <f>IFERROR(__xludf.DUMMYFUNCTION("""COMPUTED_VALUE"""),"Mason McWilliams")</f>
        <v>Mason McWilliams</v>
      </c>
      <c r="Q2762" s="6" t="str">
        <f>IFERROR(__xludf.DUMMYFUNCTION("""COMPUTED_VALUE"""),"MS")</f>
        <v>MS</v>
      </c>
      <c r="R2762" s="6">
        <f>IFERROR(__xludf.DUMMYFUNCTION("""COMPUTED_VALUE"""),0.0)</f>
        <v>0</v>
      </c>
      <c r="S2762" s="6" t="str">
        <f>IFERROR(__xludf.DUMMYFUNCTION("""COMPUTED_VALUE""")," ")</f>
        <v> </v>
      </c>
      <c r="T2762" s="6" t="str">
        <f>IFERROR(__xludf.DUMMYFUNCTION("""COMPUTED_VALUE"""),"")</f>
        <v/>
      </c>
      <c r="U2762" s="6" t="str">
        <f>IFERROR(__xludf.DUMMYFUNCTION("""COMPUTED_VALUE"""),"7")</f>
        <v>7</v>
      </c>
      <c r="V2762" s="6" t="str">
        <f>IFERROR(__xludf.DUMMYFUNCTION("""COMPUTED_VALUE"""),"")</f>
        <v/>
      </c>
      <c r="W2762" s="6" t="str">
        <f>IFERROR(__xludf.DUMMYFUNCTION("""COMPUTED_VALUE"""),"[]")</f>
        <v>[]</v>
      </c>
      <c r="X2762" s="6" t="str">
        <f>IFERROR(__xludf.DUMMYFUNCTION("""COMPUTED_VALUE"""),"Enrolled")</f>
        <v>Enrolled</v>
      </c>
    </row>
    <row r="2763">
      <c r="A2763" s="6" t="str">
        <f>IFERROR(__xludf.DUMMYFUNCTION("""COMPUTED_VALUE"""),"059-10443")</f>
        <v>059-10443</v>
      </c>
      <c r="B2763" s="6" t="str">
        <f>IFERROR(__xludf.DUMMYFUNCTION("""COMPUTED_VALUE"""),"59")</f>
        <v>59</v>
      </c>
      <c r="C2763" s="6" t="str">
        <f>IFERROR(__xludf.DUMMYFUNCTION("""COMPUTED_VALUE"""),"10443")</f>
        <v>10443</v>
      </c>
      <c r="D2763" s="6" t="str">
        <f>IFERROR(__xludf.DUMMYFUNCTION("""COMPUTED_VALUE"""),"Robert")</f>
        <v>Robert</v>
      </c>
      <c r="E2763" s="6" t="str">
        <f>IFERROR(__xludf.DUMMYFUNCTION("""COMPUTED_VALUE"""),"")</f>
        <v/>
      </c>
      <c r="F2763" s="6" t="str">
        <f>IFERROR(__xludf.DUMMYFUNCTION("""COMPUTED_VALUE"""),"Montgomery")</f>
        <v>Montgomery</v>
      </c>
      <c r="G2763" s="6" t="str">
        <f>IFERROR(__xludf.DUMMYFUNCTION("""COMPUTED_VALUE"""),"01/21/2014")</f>
        <v>01/21/2014</v>
      </c>
      <c r="H2763" s="6" t="str">
        <f>IFERROR(__xludf.DUMMYFUNCTION("""COMPUTED_VALUE"""),"male")</f>
        <v>male</v>
      </c>
      <c r="I2763" s="6" t="str">
        <f>IFERROR(__xludf.DUMMYFUNCTION("""COMPUTED_VALUE"""),"Middle School")</f>
        <v>Middle School</v>
      </c>
      <c r="J2763" s="6" t="str">
        <f>IFERROR(__xludf.DUMMYFUNCTION("""COMPUTED_VALUE"""),"6")</f>
        <v>6</v>
      </c>
      <c r="K2763" s="6" t="str">
        <f>IFERROR(__xludf.DUMMYFUNCTION("""COMPUTED_VALUE"""),"robert.montgomery@2hourlearning.com")</f>
        <v>robert.montgomery@2hourlearning.com</v>
      </c>
      <c r="L2763" s="6" t="str">
        <f>IFERROR(__xludf.DUMMYFUNCTION("""COMPUTED_VALUE"""),"Strata")</f>
        <v>Strata</v>
      </c>
      <c r="M2763" s="6" t="str">
        <f>IFERROR(__xludf.DUMMYFUNCTION("""COMPUTED_VALUE"""),"")</f>
        <v/>
      </c>
      <c r="N2763" s="6" t="str">
        <f>IFERROR(__xludf.DUMMYFUNCTION("""COMPUTED_VALUE"""),"")</f>
        <v/>
      </c>
      <c r="O2763" s="87" t="str">
        <f>IFERROR(__xludf.DUMMYFUNCTION("""COMPUTED_VALUE"""),"https://drive.google.com/drive/folders/10T2cTQHqEJZqE-st6uFKPoI?usp=share_link")</f>
        <v>https://drive.google.com/drive/folders/10T2cTQHqEJZqE-st6uFKPoI?usp=share_link</v>
      </c>
      <c r="P2763" s="6" t="str">
        <f>IFERROR(__xludf.DUMMYFUNCTION("""COMPUTED_VALUE"""),"Robert Montgomery")</f>
        <v>Robert Montgomery</v>
      </c>
      <c r="Q2763" s="6" t="str">
        <f>IFERROR(__xludf.DUMMYFUNCTION("""COMPUTED_VALUE"""),"MS")</f>
        <v>MS</v>
      </c>
      <c r="R2763" s="6">
        <f>IFERROR(__xludf.DUMMYFUNCTION("""COMPUTED_VALUE"""),0.0)</f>
        <v>0</v>
      </c>
      <c r="S2763" s="6" t="str">
        <f>IFERROR(__xludf.DUMMYFUNCTION("""COMPUTED_VALUE""")," ")</f>
        <v> </v>
      </c>
      <c r="T2763" s="6" t="str">
        <f>IFERROR(__xludf.DUMMYFUNCTION("""COMPUTED_VALUE"""),"")</f>
        <v/>
      </c>
      <c r="U2763" s="6" t="str">
        <f>IFERROR(__xludf.DUMMYFUNCTION("""COMPUTED_VALUE"""),"6")</f>
        <v>6</v>
      </c>
      <c r="V2763" s="6" t="str">
        <f>IFERROR(__xludf.DUMMYFUNCTION("""COMPUTED_VALUE"""),"")</f>
        <v/>
      </c>
      <c r="W2763" s="6" t="str">
        <f>IFERROR(__xludf.DUMMYFUNCTION("""COMPUTED_VALUE"""),"[]")</f>
        <v>[]</v>
      </c>
      <c r="X2763" s="6" t="str">
        <f>IFERROR(__xludf.DUMMYFUNCTION("""COMPUTED_VALUE"""),"Enrolled")</f>
        <v>Enrolled</v>
      </c>
    </row>
    <row r="2764">
      <c r="A2764" s="6" t="str">
        <f>IFERROR(__xludf.DUMMYFUNCTION("""COMPUTED_VALUE"""),"059-10444")</f>
        <v>059-10444</v>
      </c>
      <c r="B2764" s="6" t="str">
        <f>IFERROR(__xludf.DUMMYFUNCTION("""COMPUTED_VALUE"""),"59")</f>
        <v>59</v>
      </c>
      <c r="C2764" s="6" t="str">
        <f>IFERROR(__xludf.DUMMYFUNCTION("""COMPUTED_VALUE"""),"10444")</f>
        <v>10444</v>
      </c>
      <c r="D2764" s="6" t="str">
        <f>IFERROR(__xludf.DUMMYFUNCTION("""COMPUTED_VALUE"""),"Kadin")</f>
        <v>Kadin</v>
      </c>
      <c r="E2764" s="6" t="str">
        <f>IFERROR(__xludf.DUMMYFUNCTION("""COMPUTED_VALUE"""),"")</f>
        <v/>
      </c>
      <c r="F2764" s="6" t="str">
        <f>IFERROR(__xludf.DUMMYFUNCTION("""COMPUTED_VALUE"""),"Morton")</f>
        <v>Morton</v>
      </c>
      <c r="G2764" s="6" t="str">
        <f>IFERROR(__xludf.DUMMYFUNCTION("""COMPUTED_VALUE"""),"07/11/2012")</f>
        <v>07/11/2012</v>
      </c>
      <c r="H2764" s="6" t="str">
        <f>IFERROR(__xludf.DUMMYFUNCTION("""COMPUTED_VALUE"""),"male")</f>
        <v>male</v>
      </c>
      <c r="I2764" s="6" t="str">
        <f>IFERROR(__xludf.DUMMYFUNCTION("""COMPUTED_VALUE"""),"Middle School")</f>
        <v>Middle School</v>
      </c>
      <c r="J2764" s="6" t="str">
        <f>IFERROR(__xludf.DUMMYFUNCTION("""COMPUTED_VALUE"""),"8")</f>
        <v>8</v>
      </c>
      <c r="K2764" s="6" t="str">
        <f>IFERROR(__xludf.DUMMYFUNCTION("""COMPUTED_VALUE"""),"kadin.morton@2hourlearning.com")</f>
        <v>kadin.morton@2hourlearning.com</v>
      </c>
      <c r="L2764" s="6" t="str">
        <f>IFERROR(__xludf.DUMMYFUNCTION("""COMPUTED_VALUE"""),"Strata")</f>
        <v>Strata</v>
      </c>
      <c r="M2764" s="6" t="str">
        <f>IFERROR(__xludf.DUMMYFUNCTION("""COMPUTED_VALUE"""),"")</f>
        <v/>
      </c>
      <c r="N2764" s="6" t="str">
        <f>IFERROR(__xludf.DUMMYFUNCTION("""COMPUTED_VALUE"""),"")</f>
        <v/>
      </c>
      <c r="O2764" s="87" t="str">
        <f>IFERROR(__xludf.DUMMYFUNCTION("""COMPUTED_VALUE"""),"https://drive.google.com/drive/folders/10T2cTQHqEJZqE-st6uFKPoI?usp=share_link")</f>
        <v>https://drive.google.com/drive/folders/10T2cTQHqEJZqE-st6uFKPoI?usp=share_link</v>
      </c>
      <c r="P2764" s="6" t="str">
        <f>IFERROR(__xludf.DUMMYFUNCTION("""COMPUTED_VALUE"""),"Kadin Morton")</f>
        <v>Kadin Morton</v>
      </c>
      <c r="Q2764" s="6" t="str">
        <f>IFERROR(__xludf.DUMMYFUNCTION("""COMPUTED_VALUE"""),"MS")</f>
        <v>MS</v>
      </c>
      <c r="R2764" s="6">
        <f>IFERROR(__xludf.DUMMYFUNCTION("""COMPUTED_VALUE"""),0.0)</f>
        <v>0</v>
      </c>
      <c r="S2764" s="6" t="str">
        <f>IFERROR(__xludf.DUMMYFUNCTION("""COMPUTED_VALUE""")," ")</f>
        <v> </v>
      </c>
      <c r="T2764" s="6" t="str">
        <f>IFERROR(__xludf.DUMMYFUNCTION("""COMPUTED_VALUE"""),"")</f>
        <v/>
      </c>
      <c r="U2764" s="6" t="str">
        <f>IFERROR(__xludf.DUMMYFUNCTION("""COMPUTED_VALUE"""),"8")</f>
        <v>8</v>
      </c>
      <c r="V2764" s="6" t="str">
        <f>IFERROR(__xludf.DUMMYFUNCTION("""COMPUTED_VALUE"""),"")</f>
        <v/>
      </c>
      <c r="W2764" s="6" t="str">
        <f>IFERROR(__xludf.DUMMYFUNCTION("""COMPUTED_VALUE"""),"[]")</f>
        <v>[]</v>
      </c>
      <c r="X2764" s="6" t="str">
        <f>IFERROR(__xludf.DUMMYFUNCTION("""COMPUTED_VALUE"""),"Enrolled")</f>
        <v>Enrolled</v>
      </c>
    </row>
    <row r="2765">
      <c r="A2765" s="6" t="str">
        <f>IFERROR(__xludf.DUMMYFUNCTION("""COMPUTED_VALUE"""),"059-10445")</f>
        <v>059-10445</v>
      </c>
      <c r="B2765" s="6" t="str">
        <f>IFERROR(__xludf.DUMMYFUNCTION("""COMPUTED_VALUE"""),"59")</f>
        <v>59</v>
      </c>
      <c r="C2765" s="6" t="str">
        <f>IFERROR(__xludf.DUMMYFUNCTION("""COMPUTED_VALUE"""),"10445")</f>
        <v>10445</v>
      </c>
      <c r="D2765" s="6" t="str">
        <f>IFERROR(__xludf.DUMMYFUNCTION("""COMPUTED_VALUE"""),"Major")</f>
        <v>Major</v>
      </c>
      <c r="E2765" s="6" t="str">
        <f>IFERROR(__xludf.DUMMYFUNCTION("""COMPUTED_VALUE"""),"")</f>
        <v/>
      </c>
      <c r="F2765" s="6" t="str">
        <f>IFERROR(__xludf.DUMMYFUNCTION("""COMPUTED_VALUE"""),"Parchman")</f>
        <v>Parchman</v>
      </c>
      <c r="G2765" s="6" t="str">
        <f>IFERROR(__xludf.DUMMYFUNCTION("""COMPUTED_VALUE"""),"02/11/2014")</f>
        <v>02/11/2014</v>
      </c>
      <c r="H2765" s="6" t="str">
        <f>IFERROR(__xludf.DUMMYFUNCTION("""COMPUTED_VALUE"""),"male")</f>
        <v>male</v>
      </c>
      <c r="I2765" s="6" t="str">
        <f>IFERROR(__xludf.DUMMYFUNCTION("""COMPUTED_VALUE"""),"Middle School")</f>
        <v>Middle School</v>
      </c>
      <c r="J2765" s="6" t="str">
        <f>IFERROR(__xludf.DUMMYFUNCTION("""COMPUTED_VALUE"""),"6")</f>
        <v>6</v>
      </c>
      <c r="K2765" s="6" t="str">
        <f>IFERROR(__xludf.DUMMYFUNCTION("""COMPUTED_VALUE"""),"major.parchman@2hourlearning.com")</f>
        <v>major.parchman@2hourlearning.com</v>
      </c>
      <c r="L2765" s="6" t="str">
        <f>IFERROR(__xludf.DUMMYFUNCTION("""COMPUTED_VALUE"""),"Strata")</f>
        <v>Strata</v>
      </c>
      <c r="M2765" s="6" t="str">
        <f>IFERROR(__xludf.DUMMYFUNCTION("""COMPUTED_VALUE"""),"")</f>
        <v/>
      </c>
      <c r="N2765" s="6" t="str">
        <f>IFERROR(__xludf.DUMMYFUNCTION("""COMPUTED_VALUE"""),"")</f>
        <v/>
      </c>
      <c r="O2765" s="87" t="str">
        <f>IFERROR(__xludf.DUMMYFUNCTION("""COMPUTED_VALUE"""),"https://drive.google.com/drive/folders/10T2cTQHqEJZqE-st6uFKPoI?usp=share_link")</f>
        <v>https://drive.google.com/drive/folders/10T2cTQHqEJZqE-st6uFKPoI?usp=share_link</v>
      </c>
      <c r="P2765" s="6" t="str">
        <f>IFERROR(__xludf.DUMMYFUNCTION("""COMPUTED_VALUE"""),"Major Parchman")</f>
        <v>Major Parchman</v>
      </c>
      <c r="Q2765" s="6" t="str">
        <f>IFERROR(__xludf.DUMMYFUNCTION("""COMPUTED_VALUE"""),"MS")</f>
        <v>MS</v>
      </c>
      <c r="R2765" s="6">
        <f>IFERROR(__xludf.DUMMYFUNCTION("""COMPUTED_VALUE"""),0.0)</f>
        <v>0</v>
      </c>
      <c r="S2765" s="6" t="str">
        <f>IFERROR(__xludf.DUMMYFUNCTION("""COMPUTED_VALUE""")," ")</f>
        <v> </v>
      </c>
      <c r="T2765" s="6" t="str">
        <f>IFERROR(__xludf.DUMMYFUNCTION("""COMPUTED_VALUE"""),"")</f>
        <v/>
      </c>
      <c r="U2765" s="6" t="str">
        <f>IFERROR(__xludf.DUMMYFUNCTION("""COMPUTED_VALUE"""),"6")</f>
        <v>6</v>
      </c>
      <c r="V2765" s="6" t="str">
        <f>IFERROR(__xludf.DUMMYFUNCTION("""COMPUTED_VALUE"""),"")</f>
        <v/>
      </c>
      <c r="W2765" s="6" t="str">
        <f>IFERROR(__xludf.DUMMYFUNCTION("""COMPUTED_VALUE"""),"[]")</f>
        <v>[]</v>
      </c>
      <c r="X2765" s="6" t="str">
        <f>IFERROR(__xludf.DUMMYFUNCTION("""COMPUTED_VALUE"""),"Enrolled")</f>
        <v>Enrolled</v>
      </c>
    </row>
    <row r="2766">
      <c r="A2766" s="6" t="str">
        <f>IFERROR(__xludf.DUMMYFUNCTION("""COMPUTED_VALUE"""),"059-10447")</f>
        <v>059-10447</v>
      </c>
      <c r="B2766" s="6" t="str">
        <f>IFERROR(__xludf.DUMMYFUNCTION("""COMPUTED_VALUE"""),"59")</f>
        <v>59</v>
      </c>
      <c r="C2766" s="6" t="str">
        <f>IFERROR(__xludf.DUMMYFUNCTION("""COMPUTED_VALUE"""),"10447")</f>
        <v>10447</v>
      </c>
      <c r="D2766" s="6" t="str">
        <f>IFERROR(__xludf.DUMMYFUNCTION("""COMPUTED_VALUE"""),"Levi")</f>
        <v>Levi</v>
      </c>
      <c r="E2766" s="6" t="str">
        <f>IFERROR(__xludf.DUMMYFUNCTION("""COMPUTED_VALUE"""),"")</f>
        <v/>
      </c>
      <c r="F2766" s="6" t="str">
        <f>IFERROR(__xludf.DUMMYFUNCTION("""COMPUTED_VALUE"""),"Taylor")</f>
        <v>Taylor</v>
      </c>
      <c r="G2766" s="6" t="str">
        <f>IFERROR(__xludf.DUMMYFUNCTION("""COMPUTED_VALUE"""),"01/13/2014")</f>
        <v>01/13/2014</v>
      </c>
      <c r="H2766" s="6" t="str">
        <f>IFERROR(__xludf.DUMMYFUNCTION("""COMPUTED_VALUE"""),"male")</f>
        <v>male</v>
      </c>
      <c r="I2766" s="6" t="str">
        <f>IFERROR(__xludf.DUMMYFUNCTION("""COMPUTED_VALUE"""),"Middle School")</f>
        <v>Middle School</v>
      </c>
      <c r="J2766" s="6" t="str">
        <f>IFERROR(__xludf.DUMMYFUNCTION("""COMPUTED_VALUE"""),"6")</f>
        <v>6</v>
      </c>
      <c r="K2766" s="6" t="str">
        <f>IFERROR(__xludf.DUMMYFUNCTION("""COMPUTED_VALUE"""),"levi.taylor@2hourlearning.com")</f>
        <v>levi.taylor@2hourlearning.com</v>
      </c>
      <c r="L2766" s="6" t="str">
        <f>IFERROR(__xludf.DUMMYFUNCTION("""COMPUTED_VALUE"""),"Strata")</f>
        <v>Strata</v>
      </c>
      <c r="M2766" s="6" t="str">
        <f>IFERROR(__xludf.DUMMYFUNCTION("""COMPUTED_VALUE"""),"")</f>
        <v/>
      </c>
      <c r="N2766" s="6" t="str">
        <f>IFERROR(__xludf.DUMMYFUNCTION("""COMPUTED_VALUE"""),"")</f>
        <v/>
      </c>
      <c r="O2766" s="87" t="str">
        <f>IFERROR(__xludf.DUMMYFUNCTION("""COMPUTED_VALUE"""),"https://drive.google.com/drive/folders/10T2cTQHqEJZqE-st6uFKPoI?usp=share_link")</f>
        <v>https://drive.google.com/drive/folders/10T2cTQHqEJZqE-st6uFKPoI?usp=share_link</v>
      </c>
      <c r="P2766" s="6" t="str">
        <f>IFERROR(__xludf.DUMMYFUNCTION("""COMPUTED_VALUE"""),"Levi Taylor")</f>
        <v>Levi Taylor</v>
      </c>
      <c r="Q2766" s="6" t="str">
        <f>IFERROR(__xludf.DUMMYFUNCTION("""COMPUTED_VALUE"""),"MS")</f>
        <v>MS</v>
      </c>
      <c r="R2766" s="6">
        <f>IFERROR(__xludf.DUMMYFUNCTION("""COMPUTED_VALUE"""),0.0)</f>
        <v>0</v>
      </c>
      <c r="S2766" s="6" t="str">
        <f>IFERROR(__xludf.DUMMYFUNCTION("""COMPUTED_VALUE""")," ")</f>
        <v> </v>
      </c>
      <c r="T2766" s="6" t="str">
        <f>IFERROR(__xludf.DUMMYFUNCTION("""COMPUTED_VALUE"""),"")</f>
        <v/>
      </c>
      <c r="U2766" s="6" t="str">
        <f>IFERROR(__xludf.DUMMYFUNCTION("""COMPUTED_VALUE"""),"6")</f>
        <v>6</v>
      </c>
      <c r="V2766" s="6" t="str">
        <f>IFERROR(__xludf.DUMMYFUNCTION("""COMPUTED_VALUE"""),"")</f>
        <v/>
      </c>
      <c r="W2766" s="6" t="str">
        <f>IFERROR(__xludf.DUMMYFUNCTION("""COMPUTED_VALUE"""),"[]")</f>
        <v>[]</v>
      </c>
      <c r="X2766" s="6" t="str">
        <f>IFERROR(__xludf.DUMMYFUNCTION("""COMPUTED_VALUE"""),"Enrolled")</f>
        <v>Enrolled</v>
      </c>
    </row>
    <row r="2767">
      <c r="A2767" s="6" t="str">
        <f>IFERROR(__xludf.DUMMYFUNCTION("""COMPUTED_VALUE"""),"059-10448")</f>
        <v>059-10448</v>
      </c>
      <c r="B2767" s="6" t="str">
        <f>IFERROR(__xludf.DUMMYFUNCTION("""COMPUTED_VALUE"""),"59")</f>
        <v>59</v>
      </c>
      <c r="C2767" s="6" t="str">
        <f>IFERROR(__xludf.DUMMYFUNCTION("""COMPUTED_VALUE"""),"10448")</f>
        <v>10448</v>
      </c>
      <c r="D2767" s="6" t="str">
        <f>IFERROR(__xludf.DUMMYFUNCTION("""COMPUTED_VALUE"""),"Kylen")</f>
        <v>Kylen</v>
      </c>
      <c r="E2767" s="6" t="str">
        <f>IFERROR(__xludf.DUMMYFUNCTION("""COMPUTED_VALUE"""),"")</f>
        <v/>
      </c>
      <c r="F2767" s="6" t="str">
        <f>IFERROR(__xludf.DUMMYFUNCTION("""COMPUTED_VALUE"""),"Toombs")</f>
        <v>Toombs</v>
      </c>
      <c r="G2767" s="6" t="str">
        <f>IFERROR(__xludf.DUMMYFUNCTION("""COMPUTED_VALUE"""),"06/10/2013")</f>
        <v>06/10/2013</v>
      </c>
      <c r="H2767" s="6" t="str">
        <f>IFERROR(__xludf.DUMMYFUNCTION("""COMPUTED_VALUE"""),"male")</f>
        <v>male</v>
      </c>
      <c r="I2767" s="6" t="str">
        <f>IFERROR(__xludf.DUMMYFUNCTION("""COMPUTED_VALUE"""),"Middle School")</f>
        <v>Middle School</v>
      </c>
      <c r="J2767" s="6" t="str">
        <f>IFERROR(__xludf.DUMMYFUNCTION("""COMPUTED_VALUE"""),"7")</f>
        <v>7</v>
      </c>
      <c r="K2767" s="6" t="str">
        <f>IFERROR(__xludf.DUMMYFUNCTION("""COMPUTED_VALUE"""),"kylen.toombs@2hourlearning.com")</f>
        <v>kylen.toombs@2hourlearning.com</v>
      </c>
      <c r="L2767" s="6" t="str">
        <f>IFERROR(__xludf.DUMMYFUNCTION("""COMPUTED_VALUE"""),"Strata")</f>
        <v>Strata</v>
      </c>
      <c r="M2767" s="6" t="str">
        <f>IFERROR(__xludf.DUMMYFUNCTION("""COMPUTED_VALUE"""),"")</f>
        <v/>
      </c>
      <c r="N2767" s="6" t="str">
        <f>IFERROR(__xludf.DUMMYFUNCTION("""COMPUTED_VALUE"""),"")</f>
        <v/>
      </c>
      <c r="O2767" s="87" t="str">
        <f>IFERROR(__xludf.DUMMYFUNCTION("""COMPUTED_VALUE"""),"https://drive.google.com/drive/folders/10T2cTQHqEJZqE-st6uFKPoI?usp=share_link")</f>
        <v>https://drive.google.com/drive/folders/10T2cTQHqEJZqE-st6uFKPoI?usp=share_link</v>
      </c>
      <c r="P2767" s="6" t="str">
        <f>IFERROR(__xludf.DUMMYFUNCTION("""COMPUTED_VALUE"""),"Kylen Toombs")</f>
        <v>Kylen Toombs</v>
      </c>
      <c r="Q2767" s="6" t="str">
        <f>IFERROR(__xludf.DUMMYFUNCTION("""COMPUTED_VALUE"""),"MS")</f>
        <v>MS</v>
      </c>
      <c r="R2767" s="6">
        <f>IFERROR(__xludf.DUMMYFUNCTION("""COMPUTED_VALUE"""),0.0)</f>
        <v>0</v>
      </c>
      <c r="S2767" s="6" t="str">
        <f>IFERROR(__xludf.DUMMYFUNCTION("""COMPUTED_VALUE""")," ")</f>
        <v> </v>
      </c>
      <c r="T2767" s="6" t="str">
        <f>IFERROR(__xludf.DUMMYFUNCTION("""COMPUTED_VALUE"""),"")</f>
        <v/>
      </c>
      <c r="U2767" s="6" t="str">
        <f>IFERROR(__xludf.DUMMYFUNCTION("""COMPUTED_VALUE"""),"7")</f>
        <v>7</v>
      </c>
      <c r="V2767" s="6" t="str">
        <f>IFERROR(__xludf.DUMMYFUNCTION("""COMPUTED_VALUE"""),"")</f>
        <v/>
      </c>
      <c r="W2767" s="6" t="str">
        <f>IFERROR(__xludf.DUMMYFUNCTION("""COMPUTED_VALUE"""),"[]")</f>
        <v>[]</v>
      </c>
      <c r="X2767" s="6" t="str">
        <f>IFERROR(__xludf.DUMMYFUNCTION("""COMPUTED_VALUE"""),"Enrolled")</f>
        <v>Enrolled</v>
      </c>
    </row>
    <row r="2768">
      <c r="A2768" s="6" t="str">
        <f>IFERROR(__xludf.DUMMYFUNCTION("""COMPUTED_VALUE"""),"059-10449")</f>
        <v>059-10449</v>
      </c>
      <c r="B2768" s="6" t="str">
        <f>IFERROR(__xludf.DUMMYFUNCTION("""COMPUTED_VALUE"""),"59")</f>
        <v>59</v>
      </c>
      <c r="C2768" s="6" t="str">
        <f>IFERROR(__xludf.DUMMYFUNCTION("""COMPUTED_VALUE"""),"10449")</f>
        <v>10449</v>
      </c>
      <c r="D2768" s="6" t="str">
        <f>IFERROR(__xludf.DUMMYFUNCTION("""COMPUTED_VALUE"""),"Aaron")</f>
        <v>Aaron</v>
      </c>
      <c r="E2768" s="6" t="str">
        <f>IFERROR(__xludf.DUMMYFUNCTION("""COMPUTED_VALUE"""),"")</f>
        <v/>
      </c>
      <c r="F2768" s="6" t="str">
        <f>IFERROR(__xludf.DUMMYFUNCTION("""COMPUTED_VALUE"""),"Underwood")</f>
        <v>Underwood</v>
      </c>
      <c r="G2768" s="6" t="str">
        <f>IFERROR(__xludf.DUMMYFUNCTION("""COMPUTED_VALUE"""),"11/02/2011")</f>
        <v>11/02/2011</v>
      </c>
      <c r="H2768" s="6" t="str">
        <f>IFERROR(__xludf.DUMMYFUNCTION("""COMPUTED_VALUE"""),"male")</f>
        <v>male</v>
      </c>
      <c r="I2768" s="6" t="str">
        <f>IFERROR(__xludf.DUMMYFUNCTION("""COMPUTED_VALUE"""),"Middle School")</f>
        <v>Middle School</v>
      </c>
      <c r="J2768" s="6" t="str">
        <f>IFERROR(__xludf.DUMMYFUNCTION("""COMPUTED_VALUE"""),"8")</f>
        <v>8</v>
      </c>
      <c r="K2768" s="6" t="str">
        <f>IFERROR(__xludf.DUMMYFUNCTION("""COMPUTED_VALUE"""),"aaron.underwood@2hourlearning.com")</f>
        <v>aaron.underwood@2hourlearning.com</v>
      </c>
      <c r="L2768" s="6" t="str">
        <f>IFERROR(__xludf.DUMMYFUNCTION("""COMPUTED_VALUE"""),"Strata")</f>
        <v>Strata</v>
      </c>
      <c r="M2768" s="6" t="str">
        <f>IFERROR(__xludf.DUMMYFUNCTION("""COMPUTED_VALUE"""),"")</f>
        <v/>
      </c>
      <c r="N2768" s="6" t="str">
        <f>IFERROR(__xludf.DUMMYFUNCTION("""COMPUTED_VALUE"""),"")</f>
        <v/>
      </c>
      <c r="O2768" s="87" t="str">
        <f>IFERROR(__xludf.DUMMYFUNCTION("""COMPUTED_VALUE"""),"https://drive.google.com/drive/folders/10T2cTQHqEJZqE-st6uFKPoI?usp=share_link")</f>
        <v>https://drive.google.com/drive/folders/10T2cTQHqEJZqE-st6uFKPoI?usp=share_link</v>
      </c>
      <c r="P2768" s="6" t="str">
        <f>IFERROR(__xludf.DUMMYFUNCTION("""COMPUTED_VALUE"""),"Aaron Underwood")</f>
        <v>Aaron Underwood</v>
      </c>
      <c r="Q2768" s="6" t="str">
        <f>IFERROR(__xludf.DUMMYFUNCTION("""COMPUTED_VALUE"""),"MS")</f>
        <v>MS</v>
      </c>
      <c r="R2768" s="6">
        <f>IFERROR(__xludf.DUMMYFUNCTION("""COMPUTED_VALUE"""),0.0)</f>
        <v>0</v>
      </c>
      <c r="S2768" s="6" t="str">
        <f>IFERROR(__xludf.DUMMYFUNCTION("""COMPUTED_VALUE""")," ")</f>
        <v> </v>
      </c>
      <c r="T2768" s="6" t="str">
        <f>IFERROR(__xludf.DUMMYFUNCTION("""COMPUTED_VALUE"""),"")</f>
        <v/>
      </c>
      <c r="U2768" s="6" t="str">
        <f>IFERROR(__xludf.DUMMYFUNCTION("""COMPUTED_VALUE"""),"8")</f>
        <v>8</v>
      </c>
      <c r="V2768" s="6" t="str">
        <f>IFERROR(__xludf.DUMMYFUNCTION("""COMPUTED_VALUE"""),"")</f>
        <v/>
      </c>
      <c r="W2768" s="6" t="str">
        <f>IFERROR(__xludf.DUMMYFUNCTION("""COMPUTED_VALUE"""),"[]")</f>
        <v>[]</v>
      </c>
      <c r="X2768" s="6" t="str">
        <f>IFERROR(__xludf.DUMMYFUNCTION("""COMPUTED_VALUE"""),"Enrolled")</f>
        <v>Enrolled</v>
      </c>
    </row>
    <row r="2769">
      <c r="A2769" s="6" t="str">
        <f>IFERROR(__xludf.DUMMYFUNCTION("""COMPUTED_VALUE"""),"059-10452")</f>
        <v>059-10452</v>
      </c>
      <c r="B2769" s="6" t="str">
        <f>IFERROR(__xludf.DUMMYFUNCTION("""COMPUTED_VALUE"""),"59")</f>
        <v>59</v>
      </c>
      <c r="C2769" s="6" t="str">
        <f>IFERROR(__xludf.DUMMYFUNCTION("""COMPUTED_VALUE"""),"10452")</f>
        <v>10452</v>
      </c>
      <c r="D2769" s="6" t="str">
        <f>IFERROR(__xludf.DUMMYFUNCTION("""COMPUTED_VALUE"""),"Michael")</f>
        <v>Michael</v>
      </c>
      <c r="E2769" s="6" t="str">
        <f>IFERROR(__xludf.DUMMYFUNCTION("""COMPUTED_VALUE"""),"")</f>
        <v/>
      </c>
      <c r="F2769" s="6" t="str">
        <f>IFERROR(__xludf.DUMMYFUNCTION("""COMPUTED_VALUE"""),"Balderaz")</f>
        <v>Balderaz</v>
      </c>
      <c r="G2769" s="6" t="str">
        <f>IFERROR(__xludf.DUMMYFUNCTION("""COMPUTED_VALUE"""),"11/13/2011")</f>
        <v>11/13/2011</v>
      </c>
      <c r="H2769" s="6" t="str">
        <f>IFERROR(__xludf.DUMMYFUNCTION("""COMPUTED_VALUE"""),"male")</f>
        <v>male</v>
      </c>
      <c r="I2769" s="6" t="str">
        <f>IFERROR(__xludf.DUMMYFUNCTION("""COMPUTED_VALUE"""),"Middle School")</f>
        <v>Middle School</v>
      </c>
      <c r="J2769" s="6" t="str">
        <f>IFERROR(__xludf.DUMMYFUNCTION("""COMPUTED_VALUE"""),"7")</f>
        <v>7</v>
      </c>
      <c r="K2769" s="6" t="str">
        <f>IFERROR(__xludf.DUMMYFUNCTION("""COMPUTED_VALUE"""),"michael.balderaz@2hourlearning.com")</f>
        <v>michael.balderaz@2hourlearning.com</v>
      </c>
      <c r="L2769" s="6" t="str">
        <f>IFERROR(__xludf.DUMMYFUNCTION("""COMPUTED_VALUE"""),"Strata")</f>
        <v>Strata</v>
      </c>
      <c r="M2769" s="6" t="str">
        <f>IFERROR(__xludf.DUMMYFUNCTION("""COMPUTED_VALUE"""),"")</f>
        <v/>
      </c>
      <c r="N2769" s="6" t="str">
        <f>IFERROR(__xludf.DUMMYFUNCTION("""COMPUTED_VALUE"""),"")</f>
        <v/>
      </c>
      <c r="O2769" s="87" t="str">
        <f>IFERROR(__xludf.DUMMYFUNCTION("""COMPUTED_VALUE"""),"https://drive.google.com/drive/folders/10T2cTQHqEJZqE-st6uFKPoI?usp=share_link")</f>
        <v>https://drive.google.com/drive/folders/10T2cTQHqEJZqE-st6uFKPoI?usp=share_link</v>
      </c>
      <c r="P2769" s="6" t="str">
        <f>IFERROR(__xludf.DUMMYFUNCTION("""COMPUTED_VALUE"""),"Michael Balderaz")</f>
        <v>Michael Balderaz</v>
      </c>
      <c r="Q2769" s="6" t="str">
        <f>IFERROR(__xludf.DUMMYFUNCTION("""COMPUTED_VALUE"""),"MS")</f>
        <v>MS</v>
      </c>
      <c r="R2769" s="6">
        <f>IFERROR(__xludf.DUMMYFUNCTION("""COMPUTED_VALUE"""),0.0)</f>
        <v>0</v>
      </c>
      <c r="S2769" s="6" t="str">
        <f>IFERROR(__xludf.DUMMYFUNCTION("""COMPUTED_VALUE""")," ")</f>
        <v> </v>
      </c>
      <c r="T2769" s="6" t="str">
        <f>IFERROR(__xludf.DUMMYFUNCTION("""COMPUTED_VALUE"""),"")</f>
        <v/>
      </c>
      <c r="U2769" s="6" t="str">
        <f>IFERROR(__xludf.DUMMYFUNCTION("""COMPUTED_VALUE"""),"7")</f>
        <v>7</v>
      </c>
      <c r="V2769" s="6" t="str">
        <f>IFERROR(__xludf.DUMMYFUNCTION("""COMPUTED_VALUE"""),"")</f>
        <v/>
      </c>
      <c r="W2769" s="6" t="str">
        <f>IFERROR(__xludf.DUMMYFUNCTION("""COMPUTED_VALUE"""),"[]")</f>
        <v>[]</v>
      </c>
      <c r="X2769" s="6" t="str">
        <f>IFERROR(__xludf.DUMMYFUNCTION("""COMPUTED_VALUE"""),"Enrolled")</f>
        <v>Enrolled</v>
      </c>
    </row>
    <row r="2770">
      <c r="A2770" s="6" t="str">
        <f>IFERROR(__xludf.DUMMYFUNCTION("""COMPUTED_VALUE"""),"059-10453")</f>
        <v>059-10453</v>
      </c>
      <c r="B2770" s="6" t="str">
        <f>IFERROR(__xludf.DUMMYFUNCTION("""COMPUTED_VALUE"""),"59")</f>
        <v>59</v>
      </c>
      <c r="C2770" s="6" t="str">
        <f>IFERROR(__xludf.DUMMYFUNCTION("""COMPUTED_VALUE"""),"10453")</f>
        <v>10453</v>
      </c>
      <c r="D2770" s="6" t="str">
        <f>IFERROR(__xludf.DUMMYFUNCTION("""COMPUTED_VALUE"""),"Charles Rider")</f>
        <v>Charles Rider</v>
      </c>
      <c r="E2770" s="6" t="str">
        <f>IFERROR(__xludf.DUMMYFUNCTION("""COMPUTED_VALUE"""),"")</f>
        <v/>
      </c>
      <c r="F2770" s="6" t="str">
        <f>IFERROR(__xludf.DUMMYFUNCTION("""COMPUTED_VALUE"""),"Burgin")</f>
        <v>Burgin</v>
      </c>
      <c r="G2770" s="6" t="str">
        <f>IFERROR(__xludf.DUMMYFUNCTION("""COMPUTED_VALUE"""),"05/02/2012")</f>
        <v>05/02/2012</v>
      </c>
      <c r="H2770" s="6" t="str">
        <f>IFERROR(__xludf.DUMMYFUNCTION("""COMPUTED_VALUE"""),"male")</f>
        <v>male</v>
      </c>
      <c r="I2770" s="6" t="str">
        <f>IFERROR(__xludf.DUMMYFUNCTION("""COMPUTED_VALUE"""),"Middle School")</f>
        <v>Middle School</v>
      </c>
      <c r="J2770" s="6" t="str">
        <f>IFERROR(__xludf.DUMMYFUNCTION("""COMPUTED_VALUE"""),"8")</f>
        <v>8</v>
      </c>
      <c r="K2770" s="6" t="str">
        <f>IFERROR(__xludf.DUMMYFUNCTION("""COMPUTED_VALUE"""),"charlesrider.burgin@2hourlearning.com")</f>
        <v>charlesrider.burgin@2hourlearning.com</v>
      </c>
      <c r="L2770" s="6" t="str">
        <f>IFERROR(__xludf.DUMMYFUNCTION("""COMPUTED_VALUE"""),"Strata")</f>
        <v>Strata</v>
      </c>
      <c r="M2770" s="6" t="str">
        <f>IFERROR(__xludf.DUMMYFUNCTION("""COMPUTED_VALUE"""),"")</f>
        <v/>
      </c>
      <c r="N2770" s="6" t="str">
        <f>IFERROR(__xludf.DUMMYFUNCTION("""COMPUTED_VALUE"""),"")</f>
        <v/>
      </c>
      <c r="O2770" s="87" t="str">
        <f>IFERROR(__xludf.DUMMYFUNCTION("""COMPUTED_VALUE"""),"https://drive.google.com/drive/folders/10T2cTQHqEJZqE-st6uFKPoI?usp=share_link")</f>
        <v>https://drive.google.com/drive/folders/10T2cTQHqEJZqE-st6uFKPoI?usp=share_link</v>
      </c>
      <c r="P2770" s="6" t="str">
        <f>IFERROR(__xludf.DUMMYFUNCTION("""COMPUTED_VALUE"""),"Charles Rider Burgin")</f>
        <v>Charles Rider Burgin</v>
      </c>
      <c r="Q2770" s="6" t="str">
        <f>IFERROR(__xludf.DUMMYFUNCTION("""COMPUTED_VALUE"""),"MS")</f>
        <v>MS</v>
      </c>
      <c r="R2770" s="6">
        <f>IFERROR(__xludf.DUMMYFUNCTION("""COMPUTED_VALUE"""),0.0)</f>
        <v>0</v>
      </c>
      <c r="S2770" s="6" t="str">
        <f>IFERROR(__xludf.DUMMYFUNCTION("""COMPUTED_VALUE""")," ")</f>
        <v> </v>
      </c>
      <c r="T2770" s="6" t="str">
        <f>IFERROR(__xludf.DUMMYFUNCTION("""COMPUTED_VALUE"""),"")</f>
        <v/>
      </c>
      <c r="U2770" s="6" t="str">
        <f>IFERROR(__xludf.DUMMYFUNCTION("""COMPUTED_VALUE"""),"8")</f>
        <v>8</v>
      </c>
      <c r="V2770" s="6" t="str">
        <f>IFERROR(__xludf.DUMMYFUNCTION("""COMPUTED_VALUE"""),"")</f>
        <v/>
      </c>
      <c r="W2770" s="6" t="str">
        <f>IFERROR(__xludf.DUMMYFUNCTION("""COMPUTED_VALUE"""),"[]")</f>
        <v>[]</v>
      </c>
      <c r="X2770" s="6" t="str">
        <f>IFERROR(__xludf.DUMMYFUNCTION("""COMPUTED_VALUE"""),"Enrolled")</f>
        <v>Enrolled</v>
      </c>
    </row>
    <row r="2771">
      <c r="A2771" s="6" t="str">
        <f>IFERROR(__xludf.DUMMYFUNCTION("""COMPUTED_VALUE"""),"059-10589")</f>
        <v>059-10589</v>
      </c>
      <c r="B2771" s="6" t="str">
        <f>IFERROR(__xludf.DUMMYFUNCTION("""COMPUTED_VALUE"""),"59")</f>
        <v>59</v>
      </c>
      <c r="C2771" s="6" t="str">
        <f>IFERROR(__xludf.DUMMYFUNCTION("""COMPUTED_VALUE"""),"10589")</f>
        <v>10589</v>
      </c>
      <c r="D2771" s="6" t="str">
        <f>IFERROR(__xludf.DUMMYFUNCTION("""COMPUTED_VALUE"""),"James")</f>
        <v>James</v>
      </c>
      <c r="E2771" s="6" t="str">
        <f>IFERROR(__xludf.DUMMYFUNCTION("""COMPUTED_VALUE"""),"")</f>
        <v/>
      </c>
      <c r="F2771" s="6" t="str">
        <f>IFERROR(__xludf.DUMMYFUNCTION("""COMPUTED_VALUE"""),"Arphul")</f>
        <v>Arphul</v>
      </c>
      <c r="G2771" s="6" t="str">
        <f>IFERROR(__xludf.DUMMYFUNCTION("""COMPUTED_VALUE"""),"07/30/2013")</f>
        <v>07/30/2013</v>
      </c>
      <c r="H2771" s="6" t="str">
        <f>IFERROR(__xludf.DUMMYFUNCTION("""COMPUTED_VALUE"""),"male")</f>
        <v>male</v>
      </c>
      <c r="I2771" s="6" t="str">
        <f>IFERROR(__xludf.DUMMYFUNCTION("""COMPUTED_VALUE"""),"Middle School")</f>
        <v>Middle School</v>
      </c>
      <c r="J2771" s="6" t="str">
        <f>IFERROR(__xludf.DUMMYFUNCTION("""COMPUTED_VALUE"""),"6")</f>
        <v>6</v>
      </c>
      <c r="K2771" s="6" t="str">
        <f>IFERROR(__xludf.DUMMYFUNCTION("""COMPUTED_VALUE"""),"james.arphul@2hourlearning.com")</f>
        <v>james.arphul@2hourlearning.com</v>
      </c>
      <c r="L2771" s="6" t="str">
        <f>IFERROR(__xludf.DUMMYFUNCTION("""COMPUTED_VALUE"""),"Strata")</f>
        <v>Strata</v>
      </c>
      <c r="M2771" s="6" t="str">
        <f>IFERROR(__xludf.DUMMYFUNCTION("""COMPUTED_VALUE"""),"")</f>
        <v/>
      </c>
      <c r="N2771" s="6" t="str">
        <f>IFERROR(__xludf.DUMMYFUNCTION("""COMPUTED_VALUE"""),"")</f>
        <v/>
      </c>
      <c r="O2771" s="87" t="str">
        <f>IFERROR(__xludf.DUMMYFUNCTION("""COMPUTED_VALUE"""),"https://drive.google.com/drive/folders/10T2cTQHqEJZqE-st6uFKPoI?usp=share_link")</f>
        <v>https://drive.google.com/drive/folders/10T2cTQHqEJZqE-st6uFKPoI?usp=share_link</v>
      </c>
      <c r="P2771" s="6" t="str">
        <f>IFERROR(__xludf.DUMMYFUNCTION("""COMPUTED_VALUE"""),"James Arphul")</f>
        <v>James Arphul</v>
      </c>
      <c r="Q2771" s="6" t="str">
        <f>IFERROR(__xludf.DUMMYFUNCTION("""COMPUTED_VALUE"""),"MS")</f>
        <v>MS</v>
      </c>
      <c r="R2771" s="6">
        <f>IFERROR(__xludf.DUMMYFUNCTION("""COMPUTED_VALUE"""),0.0)</f>
        <v>0</v>
      </c>
      <c r="S2771" s="6" t="str">
        <f>IFERROR(__xludf.DUMMYFUNCTION("""COMPUTED_VALUE""")," ")</f>
        <v> </v>
      </c>
      <c r="T2771" s="6" t="str">
        <f>IFERROR(__xludf.DUMMYFUNCTION("""COMPUTED_VALUE"""),"")</f>
        <v/>
      </c>
      <c r="U2771" s="6" t="str">
        <f>IFERROR(__xludf.DUMMYFUNCTION("""COMPUTED_VALUE"""),"6")</f>
        <v>6</v>
      </c>
      <c r="V2771" s="6" t="str">
        <f>IFERROR(__xludf.DUMMYFUNCTION("""COMPUTED_VALUE"""),"")</f>
        <v/>
      </c>
      <c r="W2771" s="6" t="str">
        <f>IFERROR(__xludf.DUMMYFUNCTION("""COMPUTED_VALUE"""),"[]")</f>
        <v>[]</v>
      </c>
      <c r="X2771" s="6" t="str">
        <f>IFERROR(__xludf.DUMMYFUNCTION("""COMPUTED_VALUE"""),"Enrolled")</f>
        <v>Enrolled</v>
      </c>
    </row>
    <row r="2772">
      <c r="A2772" s="6" t="str">
        <f>IFERROR(__xludf.DUMMYFUNCTION("""COMPUTED_VALUE"""),"059-10613")</f>
        <v>059-10613</v>
      </c>
      <c r="B2772" s="6" t="str">
        <f>IFERROR(__xludf.DUMMYFUNCTION("""COMPUTED_VALUE"""),"59")</f>
        <v>59</v>
      </c>
      <c r="C2772" s="6" t="str">
        <f>IFERROR(__xludf.DUMMYFUNCTION("""COMPUTED_VALUE"""),"10613")</f>
        <v>10613</v>
      </c>
      <c r="D2772" s="6" t="str">
        <f>IFERROR(__xludf.DUMMYFUNCTION("""COMPUTED_VALUE"""),"Jaylen")</f>
        <v>Jaylen</v>
      </c>
      <c r="E2772" s="6" t="str">
        <f>IFERROR(__xludf.DUMMYFUNCTION("""COMPUTED_VALUE"""),"")</f>
        <v/>
      </c>
      <c r="F2772" s="6" t="str">
        <f>IFERROR(__xludf.DUMMYFUNCTION("""COMPUTED_VALUE"""),"Shelby")</f>
        <v>Shelby</v>
      </c>
      <c r="G2772" s="6" t="str">
        <f>IFERROR(__xludf.DUMMYFUNCTION("""COMPUTED_VALUE"""),"08/16/2012")</f>
        <v>08/16/2012</v>
      </c>
      <c r="H2772" s="6" t="str">
        <f>IFERROR(__xludf.DUMMYFUNCTION("""COMPUTED_VALUE"""),"male")</f>
        <v>male</v>
      </c>
      <c r="I2772" s="6" t="str">
        <f>IFERROR(__xludf.DUMMYFUNCTION("""COMPUTED_VALUE"""),"Middle School")</f>
        <v>Middle School</v>
      </c>
      <c r="J2772" s="6" t="str">
        <f>IFERROR(__xludf.DUMMYFUNCTION("""COMPUTED_VALUE"""),"8")</f>
        <v>8</v>
      </c>
      <c r="K2772" s="6" t="str">
        <f>IFERROR(__xludf.DUMMYFUNCTION("""COMPUTED_VALUE"""),"jaylen.shelby@2hourlearning.com")</f>
        <v>jaylen.shelby@2hourlearning.com</v>
      </c>
      <c r="L2772" s="6" t="str">
        <f>IFERROR(__xludf.DUMMYFUNCTION("""COMPUTED_VALUE"""),"Strata")</f>
        <v>Strata</v>
      </c>
      <c r="M2772" s="6" t="str">
        <f>IFERROR(__xludf.DUMMYFUNCTION("""COMPUTED_VALUE"""),"")</f>
        <v/>
      </c>
      <c r="N2772" s="6" t="str">
        <f>IFERROR(__xludf.DUMMYFUNCTION("""COMPUTED_VALUE"""),"")</f>
        <v/>
      </c>
      <c r="O2772" s="87" t="str">
        <f>IFERROR(__xludf.DUMMYFUNCTION("""COMPUTED_VALUE"""),"https://drive.google.com/drive/folders/10T2cTQHqEJZqE-st6uFKPoI?usp=share_link")</f>
        <v>https://drive.google.com/drive/folders/10T2cTQHqEJZqE-st6uFKPoI?usp=share_link</v>
      </c>
      <c r="P2772" s="6" t="str">
        <f>IFERROR(__xludf.DUMMYFUNCTION("""COMPUTED_VALUE"""),"Jaylen Shelby")</f>
        <v>Jaylen Shelby</v>
      </c>
      <c r="Q2772" s="6" t="str">
        <f>IFERROR(__xludf.DUMMYFUNCTION("""COMPUTED_VALUE"""),"MS")</f>
        <v>MS</v>
      </c>
      <c r="R2772" s="6">
        <f>IFERROR(__xludf.DUMMYFUNCTION("""COMPUTED_VALUE"""),0.0)</f>
        <v>0</v>
      </c>
      <c r="S2772" s="6" t="str">
        <f>IFERROR(__xludf.DUMMYFUNCTION("""COMPUTED_VALUE""")," ")</f>
        <v> </v>
      </c>
      <c r="T2772" s="6" t="str">
        <f>IFERROR(__xludf.DUMMYFUNCTION("""COMPUTED_VALUE"""),"")</f>
        <v/>
      </c>
      <c r="U2772" s="6" t="str">
        <f>IFERROR(__xludf.DUMMYFUNCTION("""COMPUTED_VALUE"""),"8")</f>
        <v>8</v>
      </c>
      <c r="V2772" s="6" t="str">
        <f>IFERROR(__xludf.DUMMYFUNCTION("""COMPUTED_VALUE"""),"")</f>
        <v/>
      </c>
      <c r="W2772" s="6" t="str">
        <f>IFERROR(__xludf.DUMMYFUNCTION("""COMPUTED_VALUE"""),"[]")</f>
        <v>[]</v>
      </c>
      <c r="X2772" s="6" t="str">
        <f>IFERROR(__xludf.DUMMYFUNCTION("""COMPUTED_VALUE"""),"Enrolled")</f>
        <v>Enrolled</v>
      </c>
    </row>
    <row r="2773">
      <c r="A2773" s="6" t="str">
        <f>IFERROR(__xludf.DUMMYFUNCTION("""COMPUTED_VALUE"""),"059-10614")</f>
        <v>059-10614</v>
      </c>
      <c r="B2773" s="6" t="str">
        <f>IFERROR(__xludf.DUMMYFUNCTION("""COMPUTED_VALUE"""),"59")</f>
        <v>59</v>
      </c>
      <c r="C2773" s="6" t="str">
        <f>IFERROR(__xludf.DUMMYFUNCTION("""COMPUTED_VALUE"""),"10614")</f>
        <v>10614</v>
      </c>
      <c r="D2773" s="6" t="str">
        <f>IFERROR(__xludf.DUMMYFUNCTION("""COMPUTED_VALUE"""),"Kai")</f>
        <v>Kai</v>
      </c>
      <c r="E2773" s="6" t="str">
        <f>IFERROR(__xludf.DUMMYFUNCTION("""COMPUTED_VALUE"""),"")</f>
        <v/>
      </c>
      <c r="F2773" s="6" t="str">
        <f>IFERROR(__xludf.DUMMYFUNCTION("""COMPUTED_VALUE"""),"White")</f>
        <v>White</v>
      </c>
      <c r="G2773" s="6" t="str">
        <f>IFERROR(__xludf.DUMMYFUNCTION("""COMPUTED_VALUE"""),"01/01/2015")</f>
        <v>01/01/2015</v>
      </c>
      <c r="H2773" s="6" t="str">
        <f>IFERROR(__xludf.DUMMYFUNCTION("""COMPUTED_VALUE"""),"male")</f>
        <v>male</v>
      </c>
      <c r="I2773" s="6" t="str">
        <f>IFERROR(__xludf.DUMMYFUNCTION("""COMPUTED_VALUE"""),"Middle School")</f>
        <v>Middle School</v>
      </c>
      <c r="J2773" s="6" t="str">
        <f>IFERROR(__xludf.DUMMYFUNCTION("""COMPUTED_VALUE"""),"6")</f>
        <v>6</v>
      </c>
      <c r="K2773" s="6" t="str">
        <f>IFERROR(__xludf.DUMMYFUNCTION("""COMPUTED_VALUE"""),"kai.white@2hourlearning.com")</f>
        <v>kai.white@2hourlearning.com</v>
      </c>
      <c r="L2773" s="6" t="str">
        <f>IFERROR(__xludf.DUMMYFUNCTION("""COMPUTED_VALUE"""),"Strata")</f>
        <v>Strata</v>
      </c>
      <c r="M2773" s="6" t="str">
        <f>IFERROR(__xludf.DUMMYFUNCTION("""COMPUTED_VALUE"""),"")</f>
        <v/>
      </c>
      <c r="N2773" s="6" t="str">
        <f>IFERROR(__xludf.DUMMYFUNCTION("""COMPUTED_VALUE"""),"")</f>
        <v/>
      </c>
      <c r="O2773" s="87" t="str">
        <f>IFERROR(__xludf.DUMMYFUNCTION("""COMPUTED_VALUE"""),"https://drive.google.com/drive/folders/10T2cTQHqEJZqE-st6uFKPoI?usp=share_link")</f>
        <v>https://drive.google.com/drive/folders/10T2cTQHqEJZqE-st6uFKPoI?usp=share_link</v>
      </c>
      <c r="P2773" s="6" t="str">
        <f>IFERROR(__xludf.DUMMYFUNCTION("""COMPUTED_VALUE"""),"Kai White")</f>
        <v>Kai White</v>
      </c>
      <c r="Q2773" s="6" t="str">
        <f>IFERROR(__xludf.DUMMYFUNCTION("""COMPUTED_VALUE"""),"MS")</f>
        <v>MS</v>
      </c>
      <c r="R2773" s="6">
        <f>IFERROR(__xludf.DUMMYFUNCTION("""COMPUTED_VALUE"""),0.0)</f>
        <v>0</v>
      </c>
      <c r="S2773" s="6" t="str">
        <f>IFERROR(__xludf.DUMMYFUNCTION("""COMPUTED_VALUE""")," ")</f>
        <v> </v>
      </c>
      <c r="T2773" s="6" t="str">
        <f>IFERROR(__xludf.DUMMYFUNCTION("""COMPUTED_VALUE"""),"")</f>
        <v/>
      </c>
      <c r="U2773" s="6" t="str">
        <f>IFERROR(__xludf.DUMMYFUNCTION("""COMPUTED_VALUE"""),"6")</f>
        <v>6</v>
      </c>
      <c r="V2773" s="6" t="str">
        <f>IFERROR(__xludf.DUMMYFUNCTION("""COMPUTED_VALUE"""),"")</f>
        <v/>
      </c>
      <c r="W2773" s="6" t="str">
        <f>IFERROR(__xludf.DUMMYFUNCTION("""COMPUTED_VALUE"""),"[]")</f>
        <v>[]</v>
      </c>
      <c r="X2773" s="6" t="str">
        <f>IFERROR(__xludf.DUMMYFUNCTION("""COMPUTED_VALUE"""),"Enrolled")</f>
        <v>Enrolled</v>
      </c>
    </row>
    <row r="2774">
      <c r="A2774" s="6" t="str">
        <f>IFERROR(__xludf.DUMMYFUNCTION("""COMPUTED_VALUE"""),"059-10615")</f>
        <v>059-10615</v>
      </c>
      <c r="B2774" s="6" t="str">
        <f>IFERROR(__xludf.DUMMYFUNCTION("""COMPUTED_VALUE"""),"59")</f>
        <v>59</v>
      </c>
      <c r="C2774" s="6" t="str">
        <f>IFERROR(__xludf.DUMMYFUNCTION("""COMPUTED_VALUE"""),"10615")</f>
        <v>10615</v>
      </c>
      <c r="D2774" s="6" t="str">
        <f>IFERROR(__xludf.DUMMYFUNCTION("""COMPUTED_VALUE"""),"Dakota")</f>
        <v>Dakota</v>
      </c>
      <c r="E2774" s="6" t="str">
        <f>IFERROR(__xludf.DUMMYFUNCTION("""COMPUTED_VALUE"""),"")</f>
        <v/>
      </c>
      <c r="F2774" s="6" t="str">
        <f>IFERROR(__xludf.DUMMYFUNCTION("""COMPUTED_VALUE"""),"Colbert")</f>
        <v>Colbert</v>
      </c>
      <c r="G2774" s="6" t="str">
        <f>IFERROR(__xludf.DUMMYFUNCTION("""COMPUTED_VALUE"""),"01/01/2015")</f>
        <v>01/01/2015</v>
      </c>
      <c r="H2774" s="6" t="str">
        <f>IFERROR(__xludf.DUMMYFUNCTION("""COMPUTED_VALUE"""),"male")</f>
        <v>male</v>
      </c>
      <c r="I2774" s="6" t="str">
        <f>IFERROR(__xludf.DUMMYFUNCTION("""COMPUTED_VALUE"""),"Middle School")</f>
        <v>Middle School</v>
      </c>
      <c r="J2774" s="6" t="str">
        <f>IFERROR(__xludf.DUMMYFUNCTION("""COMPUTED_VALUE"""),"6")</f>
        <v>6</v>
      </c>
      <c r="K2774" s="6" t="str">
        <f>IFERROR(__xludf.DUMMYFUNCTION("""COMPUTED_VALUE"""),"dakota.colbert@2hourlearning.com")</f>
        <v>dakota.colbert@2hourlearning.com</v>
      </c>
      <c r="L2774" s="6" t="str">
        <f>IFERROR(__xludf.DUMMYFUNCTION("""COMPUTED_VALUE"""),"Strata")</f>
        <v>Strata</v>
      </c>
      <c r="M2774" s="6" t="str">
        <f>IFERROR(__xludf.DUMMYFUNCTION("""COMPUTED_VALUE"""),"")</f>
        <v/>
      </c>
      <c r="N2774" s="6" t="str">
        <f>IFERROR(__xludf.DUMMYFUNCTION("""COMPUTED_VALUE"""),"")</f>
        <v/>
      </c>
      <c r="O2774" s="87" t="str">
        <f>IFERROR(__xludf.DUMMYFUNCTION("""COMPUTED_VALUE"""),"https://drive.google.com/drive/folders/10T2cTQHqEJZqE-st6uFKPoI?usp=share_link")</f>
        <v>https://drive.google.com/drive/folders/10T2cTQHqEJZqE-st6uFKPoI?usp=share_link</v>
      </c>
      <c r="P2774" s="6" t="str">
        <f>IFERROR(__xludf.DUMMYFUNCTION("""COMPUTED_VALUE"""),"Dakota Colbert")</f>
        <v>Dakota Colbert</v>
      </c>
      <c r="Q2774" s="6" t="str">
        <f>IFERROR(__xludf.DUMMYFUNCTION("""COMPUTED_VALUE"""),"MS")</f>
        <v>MS</v>
      </c>
      <c r="R2774" s="6">
        <f>IFERROR(__xludf.DUMMYFUNCTION("""COMPUTED_VALUE"""),0.0)</f>
        <v>0</v>
      </c>
      <c r="S2774" s="6" t="str">
        <f>IFERROR(__xludf.DUMMYFUNCTION("""COMPUTED_VALUE""")," ")</f>
        <v> </v>
      </c>
      <c r="T2774" s="6" t="str">
        <f>IFERROR(__xludf.DUMMYFUNCTION("""COMPUTED_VALUE"""),"")</f>
        <v/>
      </c>
      <c r="U2774" s="6" t="str">
        <f>IFERROR(__xludf.DUMMYFUNCTION("""COMPUTED_VALUE"""),"6")</f>
        <v>6</v>
      </c>
      <c r="V2774" s="6" t="str">
        <f>IFERROR(__xludf.DUMMYFUNCTION("""COMPUTED_VALUE"""),"")</f>
        <v/>
      </c>
      <c r="W2774" s="6" t="str">
        <f>IFERROR(__xludf.DUMMYFUNCTION("""COMPUTED_VALUE"""),"[]")</f>
        <v>[]</v>
      </c>
      <c r="X2774" s="6" t="str">
        <f>IFERROR(__xludf.DUMMYFUNCTION("""COMPUTED_VALUE"""),"Enrolled")</f>
        <v>Enrolled</v>
      </c>
    </row>
    <row r="2775">
      <c r="A2775" s="6" t="str">
        <f>IFERROR(__xludf.DUMMYFUNCTION("""COMPUTED_VALUE"""),"059-10617")</f>
        <v>059-10617</v>
      </c>
      <c r="B2775" s="6" t="str">
        <f>IFERROR(__xludf.DUMMYFUNCTION("""COMPUTED_VALUE"""),"59")</f>
        <v>59</v>
      </c>
      <c r="C2775" s="6" t="str">
        <f>IFERROR(__xludf.DUMMYFUNCTION("""COMPUTED_VALUE"""),"10617")</f>
        <v>10617</v>
      </c>
      <c r="D2775" s="6" t="str">
        <f>IFERROR(__xludf.DUMMYFUNCTION("""COMPUTED_VALUE"""),"Brannigan")</f>
        <v>Brannigan</v>
      </c>
      <c r="E2775" s="6" t="str">
        <f>IFERROR(__xludf.DUMMYFUNCTION("""COMPUTED_VALUE"""),"")</f>
        <v/>
      </c>
      <c r="F2775" s="6" t="str">
        <f>IFERROR(__xludf.DUMMYFUNCTION("""COMPUTED_VALUE"""),"James")</f>
        <v>James</v>
      </c>
      <c r="G2775" s="6" t="str">
        <f>IFERROR(__xludf.DUMMYFUNCTION("""COMPUTED_VALUE"""),"01/01/2015")</f>
        <v>01/01/2015</v>
      </c>
      <c r="H2775" s="6" t="str">
        <f>IFERROR(__xludf.DUMMYFUNCTION("""COMPUTED_VALUE"""),"male")</f>
        <v>male</v>
      </c>
      <c r="I2775" s="6" t="str">
        <f>IFERROR(__xludf.DUMMYFUNCTION("""COMPUTED_VALUE"""),"Middle School")</f>
        <v>Middle School</v>
      </c>
      <c r="J2775" s="6" t="str">
        <f>IFERROR(__xludf.DUMMYFUNCTION("""COMPUTED_VALUE"""),"6")</f>
        <v>6</v>
      </c>
      <c r="K2775" s="6" t="str">
        <f>IFERROR(__xludf.DUMMYFUNCTION("""COMPUTED_VALUE"""),"brannigan.james@2hourlearning.com")</f>
        <v>brannigan.james@2hourlearning.com</v>
      </c>
      <c r="L2775" s="6" t="str">
        <f>IFERROR(__xludf.DUMMYFUNCTION("""COMPUTED_VALUE"""),"Strata")</f>
        <v>Strata</v>
      </c>
      <c r="M2775" s="6" t="str">
        <f>IFERROR(__xludf.DUMMYFUNCTION("""COMPUTED_VALUE"""),"")</f>
        <v/>
      </c>
      <c r="N2775" s="6" t="str">
        <f>IFERROR(__xludf.DUMMYFUNCTION("""COMPUTED_VALUE"""),"")</f>
        <v/>
      </c>
      <c r="O2775" s="87" t="str">
        <f>IFERROR(__xludf.DUMMYFUNCTION("""COMPUTED_VALUE"""),"https://drive.google.com/drive/folders/10T2cTQHqEJZqE-st6uFKPoI?usp=share_link")</f>
        <v>https://drive.google.com/drive/folders/10T2cTQHqEJZqE-st6uFKPoI?usp=share_link</v>
      </c>
      <c r="P2775" s="6" t="str">
        <f>IFERROR(__xludf.DUMMYFUNCTION("""COMPUTED_VALUE"""),"Brannigan James")</f>
        <v>Brannigan James</v>
      </c>
      <c r="Q2775" s="6" t="str">
        <f>IFERROR(__xludf.DUMMYFUNCTION("""COMPUTED_VALUE"""),"MS")</f>
        <v>MS</v>
      </c>
      <c r="R2775" s="6">
        <f>IFERROR(__xludf.DUMMYFUNCTION("""COMPUTED_VALUE"""),0.0)</f>
        <v>0</v>
      </c>
      <c r="S2775" s="6" t="str">
        <f>IFERROR(__xludf.DUMMYFUNCTION("""COMPUTED_VALUE""")," ")</f>
        <v> </v>
      </c>
      <c r="T2775" s="6" t="str">
        <f>IFERROR(__xludf.DUMMYFUNCTION("""COMPUTED_VALUE"""),"")</f>
        <v/>
      </c>
      <c r="U2775" s="6" t="str">
        <f>IFERROR(__xludf.DUMMYFUNCTION("""COMPUTED_VALUE"""),"6")</f>
        <v>6</v>
      </c>
      <c r="V2775" s="6" t="str">
        <f>IFERROR(__xludf.DUMMYFUNCTION("""COMPUTED_VALUE"""),"")</f>
        <v/>
      </c>
      <c r="W2775" s="6" t="str">
        <f>IFERROR(__xludf.DUMMYFUNCTION("""COMPUTED_VALUE"""),"[]")</f>
        <v>[]</v>
      </c>
      <c r="X2775" s="6" t="str">
        <f>IFERROR(__xludf.DUMMYFUNCTION("""COMPUTED_VALUE"""),"Enrolled")</f>
        <v>Enrolled</v>
      </c>
    </row>
    <row r="2776">
      <c r="A2776" s="6" t="str">
        <f>IFERROR(__xludf.DUMMYFUNCTION("""COMPUTED_VALUE"""),"059-10618")</f>
        <v>059-10618</v>
      </c>
      <c r="B2776" s="6" t="str">
        <f>IFERROR(__xludf.DUMMYFUNCTION("""COMPUTED_VALUE"""),"59")</f>
        <v>59</v>
      </c>
      <c r="C2776" s="6" t="str">
        <f>IFERROR(__xludf.DUMMYFUNCTION("""COMPUTED_VALUE"""),"10618")</f>
        <v>10618</v>
      </c>
      <c r="D2776" s="6" t="str">
        <f>IFERROR(__xludf.DUMMYFUNCTION("""COMPUTED_VALUE"""),"Jack")</f>
        <v>Jack</v>
      </c>
      <c r="E2776" s="6" t="str">
        <f>IFERROR(__xludf.DUMMYFUNCTION("""COMPUTED_VALUE"""),"")</f>
        <v/>
      </c>
      <c r="F2776" s="6" t="str">
        <f>IFERROR(__xludf.DUMMYFUNCTION("""COMPUTED_VALUE"""),"Drake")</f>
        <v>Drake</v>
      </c>
      <c r="G2776" s="6" t="str">
        <f>IFERROR(__xludf.DUMMYFUNCTION("""COMPUTED_VALUE"""),"01/12/2012")</f>
        <v>01/12/2012</v>
      </c>
      <c r="H2776" s="6" t="str">
        <f>IFERROR(__xludf.DUMMYFUNCTION("""COMPUTED_VALUE"""),"male")</f>
        <v>male</v>
      </c>
      <c r="I2776" s="6" t="str">
        <f>IFERROR(__xludf.DUMMYFUNCTION("""COMPUTED_VALUE"""),"Middle School")</f>
        <v>Middle School</v>
      </c>
      <c r="J2776" s="6" t="str">
        <f>IFERROR(__xludf.DUMMYFUNCTION("""COMPUTED_VALUE"""),"8")</f>
        <v>8</v>
      </c>
      <c r="K2776" s="6" t="str">
        <f>IFERROR(__xludf.DUMMYFUNCTION("""COMPUTED_VALUE"""),"jack.drake@2hourlearning.com")</f>
        <v>jack.drake@2hourlearning.com</v>
      </c>
      <c r="L2776" s="6" t="str">
        <f>IFERROR(__xludf.DUMMYFUNCTION("""COMPUTED_VALUE"""),"Strata")</f>
        <v>Strata</v>
      </c>
      <c r="M2776" s="6" t="str">
        <f>IFERROR(__xludf.DUMMYFUNCTION("""COMPUTED_VALUE"""),"")</f>
        <v/>
      </c>
      <c r="N2776" s="6" t="str">
        <f>IFERROR(__xludf.DUMMYFUNCTION("""COMPUTED_VALUE"""),"")</f>
        <v/>
      </c>
      <c r="O2776" s="87" t="str">
        <f>IFERROR(__xludf.DUMMYFUNCTION("""COMPUTED_VALUE"""),"https://drive.google.com/drive/folders/10T2cTQHqEJZqE-st6uFKPoI?usp=share_link")</f>
        <v>https://drive.google.com/drive/folders/10T2cTQHqEJZqE-st6uFKPoI?usp=share_link</v>
      </c>
      <c r="P2776" s="6" t="str">
        <f>IFERROR(__xludf.DUMMYFUNCTION("""COMPUTED_VALUE"""),"Jack Drake")</f>
        <v>Jack Drake</v>
      </c>
      <c r="Q2776" s="6" t="str">
        <f>IFERROR(__xludf.DUMMYFUNCTION("""COMPUTED_VALUE"""),"MS")</f>
        <v>MS</v>
      </c>
      <c r="R2776" s="6">
        <f>IFERROR(__xludf.DUMMYFUNCTION("""COMPUTED_VALUE"""),0.0)</f>
        <v>0</v>
      </c>
      <c r="S2776" s="6" t="str">
        <f>IFERROR(__xludf.DUMMYFUNCTION("""COMPUTED_VALUE""")," ")</f>
        <v> </v>
      </c>
      <c r="T2776" s="6" t="str">
        <f>IFERROR(__xludf.DUMMYFUNCTION("""COMPUTED_VALUE"""),"")</f>
        <v/>
      </c>
      <c r="U2776" s="6" t="str">
        <f>IFERROR(__xludf.DUMMYFUNCTION("""COMPUTED_VALUE"""),"8")</f>
        <v>8</v>
      </c>
      <c r="V2776" s="6" t="str">
        <f>IFERROR(__xludf.DUMMYFUNCTION("""COMPUTED_VALUE"""),"")</f>
        <v/>
      </c>
      <c r="W2776" s="6" t="str">
        <f>IFERROR(__xludf.DUMMYFUNCTION("""COMPUTED_VALUE"""),"[]")</f>
        <v>[]</v>
      </c>
      <c r="X2776" s="6" t="str">
        <f>IFERROR(__xludf.DUMMYFUNCTION("""COMPUTED_VALUE"""),"Enrolled")</f>
        <v>Enrolled</v>
      </c>
    </row>
    <row r="2777">
      <c r="A2777" s="6" t="str">
        <f>IFERROR(__xludf.DUMMYFUNCTION("""COMPUTED_VALUE"""),"059-10628")</f>
        <v>059-10628</v>
      </c>
      <c r="B2777" s="6" t="str">
        <f>IFERROR(__xludf.DUMMYFUNCTION("""COMPUTED_VALUE"""),"59")</f>
        <v>59</v>
      </c>
      <c r="C2777" s="6" t="str">
        <f>IFERROR(__xludf.DUMMYFUNCTION("""COMPUTED_VALUE"""),"10628")</f>
        <v>10628</v>
      </c>
      <c r="D2777" s="6" t="str">
        <f>IFERROR(__xludf.DUMMYFUNCTION("""COMPUTED_VALUE"""),"Mayvin")</f>
        <v>Mayvin</v>
      </c>
      <c r="E2777" s="6" t="str">
        <f>IFERROR(__xludf.DUMMYFUNCTION("""COMPUTED_VALUE"""),"")</f>
        <v/>
      </c>
      <c r="F2777" s="6" t="str">
        <f>IFERROR(__xludf.DUMMYFUNCTION("""COMPUTED_VALUE"""),"Coppens")</f>
        <v>Coppens</v>
      </c>
      <c r="G2777" s="6" t="str">
        <f>IFERROR(__xludf.DUMMYFUNCTION("""COMPUTED_VALUE"""),"05/28/2013")</f>
        <v>05/28/2013</v>
      </c>
      <c r="H2777" s="6" t="str">
        <f>IFERROR(__xludf.DUMMYFUNCTION("""COMPUTED_VALUE"""),"male")</f>
        <v>male</v>
      </c>
      <c r="I2777" s="6" t="str">
        <f>IFERROR(__xludf.DUMMYFUNCTION("""COMPUTED_VALUE"""),"Middle School")</f>
        <v>Middle School</v>
      </c>
      <c r="J2777" s="6" t="str">
        <f>IFERROR(__xludf.DUMMYFUNCTION("""COMPUTED_VALUE"""),"7")</f>
        <v>7</v>
      </c>
      <c r="K2777" s="6" t="str">
        <f>IFERROR(__xludf.DUMMYFUNCTION("""COMPUTED_VALUE"""),"mayvin.coppens@2hourlearning.com")</f>
        <v>mayvin.coppens@2hourlearning.com</v>
      </c>
      <c r="L2777" s="6" t="str">
        <f>IFERROR(__xludf.DUMMYFUNCTION("""COMPUTED_VALUE"""),"Strata")</f>
        <v>Strata</v>
      </c>
      <c r="M2777" s="6" t="str">
        <f>IFERROR(__xludf.DUMMYFUNCTION("""COMPUTED_VALUE"""),"")</f>
        <v/>
      </c>
      <c r="N2777" s="6" t="str">
        <f>IFERROR(__xludf.DUMMYFUNCTION("""COMPUTED_VALUE"""),"")</f>
        <v/>
      </c>
      <c r="O2777" s="87" t="str">
        <f>IFERROR(__xludf.DUMMYFUNCTION("""COMPUTED_VALUE"""),"https://drive.google.com/drive/folders/10T2cTQHqEJZqE-st6uFKPoI?usp=share_link")</f>
        <v>https://drive.google.com/drive/folders/10T2cTQHqEJZqE-st6uFKPoI?usp=share_link</v>
      </c>
      <c r="P2777" s="6" t="str">
        <f>IFERROR(__xludf.DUMMYFUNCTION("""COMPUTED_VALUE"""),"Mayvin Coppens")</f>
        <v>Mayvin Coppens</v>
      </c>
      <c r="Q2777" s="6" t="str">
        <f>IFERROR(__xludf.DUMMYFUNCTION("""COMPUTED_VALUE"""),"MS")</f>
        <v>MS</v>
      </c>
      <c r="R2777" s="6">
        <f>IFERROR(__xludf.DUMMYFUNCTION("""COMPUTED_VALUE"""),0.0)</f>
        <v>0</v>
      </c>
      <c r="S2777" s="6" t="str">
        <f>IFERROR(__xludf.DUMMYFUNCTION("""COMPUTED_VALUE""")," ")</f>
        <v> </v>
      </c>
      <c r="T2777" s="6" t="str">
        <f>IFERROR(__xludf.DUMMYFUNCTION("""COMPUTED_VALUE"""),"")</f>
        <v/>
      </c>
      <c r="U2777" s="6" t="str">
        <f>IFERROR(__xludf.DUMMYFUNCTION("""COMPUTED_VALUE"""),"7")</f>
        <v>7</v>
      </c>
      <c r="V2777" s="6" t="str">
        <f>IFERROR(__xludf.DUMMYFUNCTION("""COMPUTED_VALUE"""),"")</f>
        <v/>
      </c>
      <c r="W2777" s="6" t="str">
        <f>IFERROR(__xludf.DUMMYFUNCTION("""COMPUTED_VALUE"""),"[]")</f>
        <v>[]</v>
      </c>
      <c r="X2777" s="6" t="str">
        <f>IFERROR(__xludf.DUMMYFUNCTION("""COMPUTED_VALUE"""),"Enrolled")</f>
        <v>Enrolled</v>
      </c>
    </row>
    <row r="2778">
      <c r="A2778" s="6" t="str">
        <f>IFERROR(__xludf.DUMMYFUNCTION("""COMPUTED_VALUE"""),"059-10631")</f>
        <v>059-10631</v>
      </c>
      <c r="B2778" s="6" t="str">
        <f>IFERROR(__xludf.DUMMYFUNCTION("""COMPUTED_VALUE"""),"59")</f>
        <v>59</v>
      </c>
      <c r="C2778" s="6" t="str">
        <f>IFERROR(__xludf.DUMMYFUNCTION("""COMPUTED_VALUE"""),"10631")</f>
        <v>10631</v>
      </c>
      <c r="D2778" s="6" t="str">
        <f>IFERROR(__xludf.DUMMYFUNCTION("""COMPUTED_VALUE"""),"Patrice")</f>
        <v>Patrice</v>
      </c>
      <c r="E2778" s="6" t="str">
        <f>IFERROR(__xludf.DUMMYFUNCTION("""COMPUTED_VALUE"""),"")</f>
        <v/>
      </c>
      <c r="F2778" s="6" t="str">
        <f>IFERROR(__xludf.DUMMYFUNCTION("""COMPUTED_VALUE"""),"Azi")</f>
        <v>Azi</v>
      </c>
      <c r="G2778" s="6" t="str">
        <f>IFERROR(__xludf.DUMMYFUNCTION("""COMPUTED_VALUE"""),"03/15/2015")</f>
        <v>03/15/2015</v>
      </c>
      <c r="H2778" s="6" t="str">
        <f>IFERROR(__xludf.DUMMYFUNCTION("""COMPUTED_VALUE"""),"self_identify")</f>
        <v>self_identify</v>
      </c>
      <c r="I2778" s="6" t="str">
        <f>IFERROR(__xludf.DUMMYFUNCTION("""COMPUTED_VALUE"""),"Level 2")</f>
        <v>Level 2</v>
      </c>
      <c r="J2778" s="6" t="str">
        <f>IFERROR(__xludf.DUMMYFUNCTION("""COMPUTED_VALUE"""),"5")</f>
        <v>5</v>
      </c>
      <c r="K2778" s="6" t="str">
        <f>IFERROR(__xludf.DUMMYFUNCTION("""COMPUTED_VALUE"""),"patrice.azi@2hourlearning.com")</f>
        <v>patrice.azi@2hourlearning.com</v>
      </c>
      <c r="L2778" s="6" t="str">
        <f>IFERROR(__xludf.DUMMYFUNCTION("""COMPUTED_VALUE"""),"Strata")</f>
        <v>Strata</v>
      </c>
      <c r="M2778" s="6" t="str">
        <f>IFERROR(__xludf.DUMMYFUNCTION("""COMPUTED_VALUE"""),"")</f>
        <v/>
      </c>
      <c r="N2778" s="6" t="str">
        <f>IFERROR(__xludf.DUMMYFUNCTION("""COMPUTED_VALUE"""),"")</f>
        <v/>
      </c>
      <c r="O2778" s="87" t="str">
        <f>IFERROR(__xludf.DUMMYFUNCTION("""COMPUTED_VALUE"""),"https://drive.google.com/drive/folders/10T2cTQHqEJZqE-st6uFKPoI?usp=share_link")</f>
        <v>https://drive.google.com/drive/folders/10T2cTQHqEJZqE-st6uFKPoI?usp=share_link</v>
      </c>
      <c r="P2778" s="6" t="str">
        <f>IFERROR(__xludf.DUMMYFUNCTION("""COMPUTED_VALUE"""),"Patrice Azi")</f>
        <v>Patrice Azi</v>
      </c>
      <c r="Q2778" s="6" t="str">
        <f>IFERROR(__xludf.DUMMYFUNCTION("""COMPUTED_VALUE"""),"L2")</f>
        <v>L2</v>
      </c>
      <c r="R2778" s="6">
        <f>IFERROR(__xludf.DUMMYFUNCTION("""COMPUTED_VALUE"""),2.0)</f>
        <v>2</v>
      </c>
      <c r="S2778" s="6" t="str">
        <f>IFERROR(__xludf.DUMMYFUNCTION("""COMPUTED_VALUE""")," ")</f>
        <v> </v>
      </c>
      <c r="T2778" s="6" t="str">
        <f>IFERROR(__xludf.DUMMYFUNCTION("""COMPUTED_VALUE"""),"")</f>
        <v/>
      </c>
      <c r="U2778" s="6" t="str">
        <f>IFERROR(__xludf.DUMMYFUNCTION("""COMPUTED_VALUE"""),"5")</f>
        <v>5</v>
      </c>
      <c r="V2778" s="6" t="str">
        <f>IFERROR(__xludf.DUMMYFUNCTION("""COMPUTED_VALUE"""),"")</f>
        <v/>
      </c>
      <c r="W2778" s="6" t="str">
        <f>IFERROR(__xludf.DUMMYFUNCTION("""COMPUTED_VALUE"""),"[]")</f>
        <v>[]</v>
      </c>
      <c r="X2778" s="6" t="str">
        <f>IFERROR(__xludf.DUMMYFUNCTION("""COMPUTED_VALUE"""),"Enrolled")</f>
        <v>Enrolled</v>
      </c>
    </row>
    <row r="2779">
      <c r="A2779" s="6" t="str">
        <f>IFERROR(__xludf.DUMMYFUNCTION("""COMPUTED_VALUE"""),"059-10878")</f>
        <v>059-10878</v>
      </c>
      <c r="B2779" s="6" t="str">
        <f>IFERROR(__xludf.DUMMYFUNCTION("""COMPUTED_VALUE"""),"59")</f>
        <v>59</v>
      </c>
      <c r="C2779" s="6" t="str">
        <f>IFERROR(__xludf.DUMMYFUNCTION("""COMPUTED_VALUE"""),"10878")</f>
        <v>10878</v>
      </c>
      <c r="D2779" s="6" t="str">
        <f>IFERROR(__xludf.DUMMYFUNCTION("""COMPUTED_VALUE"""),"Gianni")</f>
        <v>Gianni</v>
      </c>
      <c r="E2779" s="6" t="str">
        <f>IFERROR(__xludf.DUMMYFUNCTION("""COMPUTED_VALUE"""),"")</f>
        <v/>
      </c>
      <c r="F2779" s="6" t="str">
        <f>IFERROR(__xludf.DUMMYFUNCTION("""COMPUTED_VALUE"""),"Coppens")</f>
        <v>Coppens</v>
      </c>
      <c r="G2779" s="6" t="str">
        <f>IFERROR(__xludf.DUMMYFUNCTION("""COMPUTED_VALUE"""),"06/08/2015")</f>
        <v>06/08/2015</v>
      </c>
      <c r="H2779" s="6" t="str">
        <f>IFERROR(__xludf.DUMMYFUNCTION("""COMPUTED_VALUE"""),"male")</f>
        <v>male</v>
      </c>
      <c r="I2779" s="6" t="str">
        <f>IFERROR(__xludf.DUMMYFUNCTION("""COMPUTED_VALUE"""),"Level 2")</f>
        <v>Level 2</v>
      </c>
      <c r="J2779" s="6" t="str">
        <f>IFERROR(__xludf.DUMMYFUNCTION("""COMPUTED_VALUE"""),"5")</f>
        <v>5</v>
      </c>
      <c r="K2779" s="6" t="str">
        <f>IFERROR(__xludf.DUMMYFUNCTION("""COMPUTED_VALUE"""),"gianni.coppens@2hourlearning.com")</f>
        <v>gianni.coppens@2hourlearning.com</v>
      </c>
      <c r="L2779" s="6" t="str">
        <f>IFERROR(__xludf.DUMMYFUNCTION("""COMPUTED_VALUE"""),"Strata")</f>
        <v>Strata</v>
      </c>
      <c r="M2779" s="6" t="str">
        <f>IFERROR(__xludf.DUMMYFUNCTION("""COMPUTED_VALUE"""),"")</f>
        <v/>
      </c>
      <c r="N2779" s="6" t="str">
        <f>IFERROR(__xludf.DUMMYFUNCTION("""COMPUTED_VALUE"""),"")</f>
        <v/>
      </c>
      <c r="O2779" s="87" t="str">
        <f>IFERROR(__xludf.DUMMYFUNCTION("""COMPUTED_VALUE"""),"https://drive.google.com/drive/folders/10T2cTQHqEJZqE-st6uFKPoI?usp=share_link")</f>
        <v>https://drive.google.com/drive/folders/10T2cTQHqEJZqE-st6uFKPoI?usp=share_link</v>
      </c>
      <c r="P2779" s="6" t="str">
        <f>IFERROR(__xludf.DUMMYFUNCTION("""COMPUTED_VALUE"""),"Gianni Coppens")</f>
        <v>Gianni Coppens</v>
      </c>
      <c r="Q2779" s="6" t="str">
        <f>IFERROR(__xludf.DUMMYFUNCTION("""COMPUTED_VALUE"""),"L2")</f>
        <v>L2</v>
      </c>
      <c r="R2779" s="6">
        <f>IFERROR(__xludf.DUMMYFUNCTION("""COMPUTED_VALUE"""),2.0)</f>
        <v>2</v>
      </c>
      <c r="S2779" s="6" t="str">
        <f>IFERROR(__xludf.DUMMYFUNCTION("""COMPUTED_VALUE""")," ")</f>
        <v> </v>
      </c>
      <c r="T2779" s="6" t="str">
        <f>IFERROR(__xludf.DUMMYFUNCTION("""COMPUTED_VALUE"""),"")</f>
        <v/>
      </c>
      <c r="U2779" s="6" t="str">
        <f>IFERROR(__xludf.DUMMYFUNCTION("""COMPUTED_VALUE"""),"5")</f>
        <v>5</v>
      </c>
      <c r="V2779" s="6" t="str">
        <f>IFERROR(__xludf.DUMMYFUNCTION("""COMPUTED_VALUE"""),"")</f>
        <v/>
      </c>
      <c r="W2779" s="6" t="str">
        <f>IFERROR(__xludf.DUMMYFUNCTION("""COMPUTED_VALUE"""),"[]")</f>
        <v>[]</v>
      </c>
      <c r="X2779" s="6" t="str">
        <f>IFERROR(__xludf.DUMMYFUNCTION("""COMPUTED_VALUE"""),"Enrolled")</f>
        <v>Enrolled</v>
      </c>
    </row>
    <row r="2780">
      <c r="A2780" s="6" t="str">
        <f>IFERROR(__xludf.DUMMYFUNCTION("""COMPUTED_VALUE"""),"059-11004")</f>
        <v>059-11004</v>
      </c>
      <c r="B2780" s="6" t="str">
        <f>IFERROR(__xludf.DUMMYFUNCTION("""COMPUTED_VALUE"""),"59")</f>
        <v>59</v>
      </c>
      <c r="C2780" s="6" t="str">
        <f>IFERROR(__xludf.DUMMYFUNCTION("""COMPUTED_VALUE"""),"11004")</f>
        <v>11004</v>
      </c>
      <c r="D2780" s="6" t="str">
        <f>IFERROR(__xludf.DUMMYFUNCTION("""COMPUTED_VALUE"""),"Taylor")</f>
        <v>Taylor</v>
      </c>
      <c r="E2780" s="6" t="str">
        <f>IFERROR(__xludf.DUMMYFUNCTION("""COMPUTED_VALUE"""),"")</f>
        <v/>
      </c>
      <c r="F2780" s="6" t="str">
        <f>IFERROR(__xludf.DUMMYFUNCTION("""COMPUTED_VALUE"""),"Young")</f>
        <v>Young</v>
      </c>
      <c r="G2780" s="6" t="str">
        <f>IFERROR(__xludf.DUMMYFUNCTION("""COMPUTED_VALUE"""),"07/16/2013")</f>
        <v>07/16/2013</v>
      </c>
      <c r="H2780" s="6" t="str">
        <f>IFERROR(__xludf.DUMMYFUNCTION("""COMPUTED_VALUE"""),"male")</f>
        <v>male</v>
      </c>
      <c r="I2780" s="6" t="str">
        <f>IFERROR(__xludf.DUMMYFUNCTION("""COMPUTED_VALUE"""),"Middle School")</f>
        <v>Middle School</v>
      </c>
      <c r="J2780" s="6" t="str">
        <f>IFERROR(__xludf.DUMMYFUNCTION("""COMPUTED_VALUE"""),"6")</f>
        <v>6</v>
      </c>
      <c r="K2780" s="6" t="str">
        <f>IFERROR(__xludf.DUMMYFUNCTION("""COMPUTED_VALUE"""),"taylor.young@2hourlearning.com")</f>
        <v>taylor.young@2hourlearning.com</v>
      </c>
      <c r="L2780" s="6" t="str">
        <f>IFERROR(__xludf.DUMMYFUNCTION("""COMPUTED_VALUE"""),"Strata")</f>
        <v>Strata</v>
      </c>
      <c r="M2780" s="6" t="str">
        <f>IFERROR(__xludf.DUMMYFUNCTION("""COMPUTED_VALUE"""),"")</f>
        <v/>
      </c>
      <c r="N2780" s="6" t="str">
        <f>IFERROR(__xludf.DUMMYFUNCTION("""COMPUTED_VALUE"""),"")</f>
        <v/>
      </c>
      <c r="O2780" s="87" t="str">
        <f>IFERROR(__xludf.DUMMYFUNCTION("""COMPUTED_VALUE"""),"https://drive.google.com/drive/folders/10T2cTQHqEJZqE-st6uFKPoI?usp=share_link")</f>
        <v>https://drive.google.com/drive/folders/10T2cTQHqEJZqE-st6uFKPoI?usp=share_link</v>
      </c>
      <c r="P2780" s="6" t="str">
        <f>IFERROR(__xludf.DUMMYFUNCTION("""COMPUTED_VALUE"""),"Taylor Young")</f>
        <v>Taylor Young</v>
      </c>
      <c r="Q2780" s="6" t="str">
        <f>IFERROR(__xludf.DUMMYFUNCTION("""COMPUTED_VALUE"""),"MS")</f>
        <v>MS</v>
      </c>
      <c r="R2780" s="6">
        <f>IFERROR(__xludf.DUMMYFUNCTION("""COMPUTED_VALUE"""),0.0)</f>
        <v>0</v>
      </c>
      <c r="S2780" s="6" t="str">
        <f>IFERROR(__xludf.DUMMYFUNCTION("""COMPUTED_VALUE""")," ")</f>
        <v> </v>
      </c>
      <c r="T2780" s="6" t="str">
        <f>IFERROR(__xludf.DUMMYFUNCTION("""COMPUTED_VALUE"""),"")</f>
        <v/>
      </c>
      <c r="U2780" s="6" t="str">
        <f>IFERROR(__xludf.DUMMYFUNCTION("""COMPUTED_VALUE"""),"6")</f>
        <v>6</v>
      </c>
      <c r="V2780" s="6" t="str">
        <f>IFERROR(__xludf.DUMMYFUNCTION("""COMPUTED_VALUE"""),"")</f>
        <v/>
      </c>
      <c r="W2780" s="6" t="str">
        <f>IFERROR(__xludf.DUMMYFUNCTION("""COMPUTED_VALUE"""),"[]")</f>
        <v>[]</v>
      </c>
      <c r="X2780" s="6" t="str">
        <f>IFERROR(__xludf.DUMMYFUNCTION("""COMPUTED_VALUE"""),"Enrolled")</f>
        <v>Enrolled</v>
      </c>
    </row>
    <row r="2781">
      <c r="A2781" s="6" t="str">
        <f>IFERROR(__xludf.DUMMYFUNCTION("""COMPUTED_VALUE"""),"059-11005")</f>
        <v>059-11005</v>
      </c>
      <c r="B2781" s="6" t="str">
        <f>IFERROR(__xludf.DUMMYFUNCTION("""COMPUTED_VALUE"""),"59")</f>
        <v>59</v>
      </c>
      <c r="C2781" s="6" t="str">
        <f>IFERROR(__xludf.DUMMYFUNCTION("""COMPUTED_VALUE"""),"11005")</f>
        <v>11005</v>
      </c>
      <c r="D2781" s="6" t="str">
        <f>IFERROR(__xludf.DUMMYFUNCTION("""COMPUTED_VALUE"""),"Terrill")</f>
        <v>Terrill</v>
      </c>
      <c r="E2781" s="6" t="str">
        <f>IFERROR(__xludf.DUMMYFUNCTION("""COMPUTED_VALUE"""),"")</f>
        <v/>
      </c>
      <c r="F2781" s="6" t="str">
        <f>IFERROR(__xludf.DUMMYFUNCTION("""COMPUTED_VALUE"""),"Binion II")</f>
        <v>Binion II</v>
      </c>
      <c r="G2781" s="6" t="str">
        <f>IFERROR(__xludf.DUMMYFUNCTION("""COMPUTED_VALUE"""),"06/07/2013")</f>
        <v>06/07/2013</v>
      </c>
      <c r="H2781" s="6" t="str">
        <f>IFERROR(__xludf.DUMMYFUNCTION("""COMPUTED_VALUE"""),"male")</f>
        <v>male</v>
      </c>
      <c r="I2781" s="6" t="str">
        <f>IFERROR(__xludf.DUMMYFUNCTION("""COMPUTED_VALUE"""),"Middle School")</f>
        <v>Middle School</v>
      </c>
      <c r="J2781" s="6" t="str">
        <f>IFERROR(__xludf.DUMMYFUNCTION("""COMPUTED_VALUE"""),"7")</f>
        <v>7</v>
      </c>
      <c r="K2781" s="6" t="str">
        <f>IFERROR(__xludf.DUMMYFUNCTION("""COMPUTED_VALUE"""),"terrill.binionii@2hourlearning.com")</f>
        <v>terrill.binionii@2hourlearning.com</v>
      </c>
      <c r="L2781" s="6" t="str">
        <f>IFERROR(__xludf.DUMMYFUNCTION("""COMPUTED_VALUE"""),"Strata")</f>
        <v>Strata</v>
      </c>
      <c r="M2781" s="6" t="str">
        <f>IFERROR(__xludf.DUMMYFUNCTION("""COMPUTED_VALUE"""),"")</f>
        <v/>
      </c>
      <c r="N2781" s="6" t="str">
        <f>IFERROR(__xludf.DUMMYFUNCTION("""COMPUTED_VALUE"""),"")</f>
        <v/>
      </c>
      <c r="O2781" s="87" t="str">
        <f>IFERROR(__xludf.DUMMYFUNCTION("""COMPUTED_VALUE"""),"https://drive.google.com/drive/folders/10T2cTQHqEJZqE-st6uFKPoI?usp=share_link")</f>
        <v>https://drive.google.com/drive/folders/10T2cTQHqEJZqE-st6uFKPoI?usp=share_link</v>
      </c>
      <c r="P2781" s="6" t="str">
        <f>IFERROR(__xludf.DUMMYFUNCTION("""COMPUTED_VALUE"""),"Terrill Binion II")</f>
        <v>Terrill Binion II</v>
      </c>
      <c r="Q2781" s="6" t="str">
        <f>IFERROR(__xludf.DUMMYFUNCTION("""COMPUTED_VALUE"""),"MS")</f>
        <v>MS</v>
      </c>
      <c r="R2781" s="6">
        <f>IFERROR(__xludf.DUMMYFUNCTION("""COMPUTED_VALUE"""),0.0)</f>
        <v>0</v>
      </c>
      <c r="S2781" s="6" t="str">
        <f>IFERROR(__xludf.DUMMYFUNCTION("""COMPUTED_VALUE""")," ")</f>
        <v> </v>
      </c>
      <c r="T2781" s="6" t="str">
        <f>IFERROR(__xludf.DUMMYFUNCTION("""COMPUTED_VALUE"""),"")</f>
        <v/>
      </c>
      <c r="U2781" s="6" t="str">
        <f>IFERROR(__xludf.DUMMYFUNCTION("""COMPUTED_VALUE"""),"7")</f>
        <v>7</v>
      </c>
      <c r="V2781" s="6" t="str">
        <f>IFERROR(__xludf.DUMMYFUNCTION("""COMPUTED_VALUE"""),"")</f>
        <v/>
      </c>
      <c r="W2781" s="6" t="str">
        <f>IFERROR(__xludf.DUMMYFUNCTION("""COMPUTED_VALUE"""),"[]")</f>
        <v>[]</v>
      </c>
      <c r="X2781" s="6" t="str">
        <f>IFERROR(__xludf.DUMMYFUNCTION("""COMPUTED_VALUE"""),"Enrolled")</f>
        <v>Enrolled</v>
      </c>
    </row>
    <row r="2782">
      <c r="A2782" s="6" t="str">
        <f>IFERROR(__xludf.DUMMYFUNCTION("""COMPUTED_VALUE"""),"059-11006")</f>
        <v>059-11006</v>
      </c>
      <c r="B2782" s="6" t="str">
        <f>IFERROR(__xludf.DUMMYFUNCTION("""COMPUTED_VALUE"""),"59")</f>
        <v>59</v>
      </c>
      <c r="C2782" s="6" t="str">
        <f>IFERROR(__xludf.DUMMYFUNCTION("""COMPUTED_VALUE"""),"11006")</f>
        <v>11006</v>
      </c>
      <c r="D2782" s="6" t="str">
        <f>IFERROR(__xludf.DUMMYFUNCTION("""COMPUTED_VALUE"""),"Carter")</f>
        <v>Carter</v>
      </c>
      <c r="E2782" s="6" t="str">
        <f>IFERROR(__xludf.DUMMYFUNCTION("""COMPUTED_VALUE"""),"")</f>
        <v/>
      </c>
      <c r="F2782" s="6" t="str">
        <f>IFERROR(__xludf.DUMMYFUNCTION("""COMPUTED_VALUE"""),"Jockers")</f>
        <v>Jockers</v>
      </c>
      <c r="G2782" s="6" t="str">
        <f>IFERROR(__xludf.DUMMYFUNCTION("""COMPUTED_VALUE"""),"05/22/2011")</f>
        <v>05/22/2011</v>
      </c>
      <c r="H2782" s="6" t="str">
        <f>IFERROR(__xludf.DUMMYFUNCTION("""COMPUTED_VALUE"""),"male")</f>
        <v>male</v>
      </c>
      <c r="I2782" s="6" t="str">
        <f>IFERROR(__xludf.DUMMYFUNCTION("""COMPUTED_VALUE"""),"Middle School")</f>
        <v>Middle School</v>
      </c>
      <c r="J2782" s="6" t="str">
        <f>IFERROR(__xludf.DUMMYFUNCTION("""COMPUTED_VALUE"""),"8")</f>
        <v>8</v>
      </c>
      <c r="K2782" s="6" t="str">
        <f>IFERROR(__xludf.DUMMYFUNCTION("""COMPUTED_VALUE"""),"carter.jockers@2hourlearning.com")</f>
        <v>carter.jockers@2hourlearning.com</v>
      </c>
      <c r="L2782" s="6" t="str">
        <f>IFERROR(__xludf.DUMMYFUNCTION("""COMPUTED_VALUE"""),"Strata")</f>
        <v>Strata</v>
      </c>
      <c r="M2782" s="6" t="str">
        <f>IFERROR(__xludf.DUMMYFUNCTION("""COMPUTED_VALUE"""),"")</f>
        <v/>
      </c>
      <c r="N2782" s="6" t="str">
        <f>IFERROR(__xludf.DUMMYFUNCTION("""COMPUTED_VALUE"""),"")</f>
        <v/>
      </c>
      <c r="O2782" s="87" t="str">
        <f>IFERROR(__xludf.DUMMYFUNCTION("""COMPUTED_VALUE"""),"https://drive.google.com/drive/folders/10T2cTQHqEJZqE-st6uFKPoI?usp=share_link")</f>
        <v>https://drive.google.com/drive/folders/10T2cTQHqEJZqE-st6uFKPoI?usp=share_link</v>
      </c>
      <c r="P2782" s="6" t="str">
        <f>IFERROR(__xludf.DUMMYFUNCTION("""COMPUTED_VALUE"""),"Carter Jockers")</f>
        <v>Carter Jockers</v>
      </c>
      <c r="Q2782" s="6" t="str">
        <f>IFERROR(__xludf.DUMMYFUNCTION("""COMPUTED_VALUE"""),"MS")</f>
        <v>MS</v>
      </c>
      <c r="R2782" s="6">
        <f>IFERROR(__xludf.DUMMYFUNCTION("""COMPUTED_VALUE"""),0.0)</f>
        <v>0</v>
      </c>
      <c r="S2782" s="6" t="str">
        <f>IFERROR(__xludf.DUMMYFUNCTION("""COMPUTED_VALUE""")," ")</f>
        <v> </v>
      </c>
      <c r="T2782" s="6" t="str">
        <f>IFERROR(__xludf.DUMMYFUNCTION("""COMPUTED_VALUE"""),"")</f>
        <v/>
      </c>
      <c r="U2782" s="6" t="str">
        <f>IFERROR(__xludf.DUMMYFUNCTION("""COMPUTED_VALUE"""),"8")</f>
        <v>8</v>
      </c>
      <c r="V2782" s="6" t="str">
        <f>IFERROR(__xludf.DUMMYFUNCTION("""COMPUTED_VALUE"""),"")</f>
        <v/>
      </c>
      <c r="W2782" s="6" t="str">
        <f>IFERROR(__xludf.DUMMYFUNCTION("""COMPUTED_VALUE"""),"[]")</f>
        <v>[]</v>
      </c>
      <c r="X2782" s="6" t="str">
        <f>IFERROR(__xludf.DUMMYFUNCTION("""COMPUTED_VALUE"""),"Enrolled")</f>
        <v>Enrolled</v>
      </c>
    </row>
    <row r="2783">
      <c r="A2783" s="6" t="str">
        <f>IFERROR(__xludf.DUMMYFUNCTION("""COMPUTED_VALUE"""),"059-11038")</f>
        <v>059-11038</v>
      </c>
      <c r="B2783" s="6" t="str">
        <f>IFERROR(__xludf.DUMMYFUNCTION("""COMPUTED_VALUE"""),"59")</f>
        <v>59</v>
      </c>
      <c r="C2783" s="6" t="str">
        <f>IFERROR(__xludf.DUMMYFUNCTION("""COMPUTED_VALUE"""),"11038")</f>
        <v>11038</v>
      </c>
      <c r="D2783" s="6" t="str">
        <f>IFERROR(__xludf.DUMMYFUNCTION("""COMPUTED_VALUE"""),"adam")</f>
        <v>adam</v>
      </c>
      <c r="E2783" s="6" t="str">
        <f>IFERROR(__xludf.DUMMYFUNCTION("""COMPUTED_VALUE"""),"")</f>
        <v/>
      </c>
      <c r="F2783" s="6" t="str">
        <f>IFERROR(__xludf.DUMMYFUNCTION("""COMPUTED_VALUE"""),"lebbar")</f>
        <v>lebbar</v>
      </c>
      <c r="G2783" s="6" t="str">
        <f>IFERROR(__xludf.DUMMYFUNCTION("""COMPUTED_VALUE"""),"10/05/2010")</f>
        <v>10/05/2010</v>
      </c>
      <c r="H2783" s="6" t="str">
        <f>IFERROR(__xludf.DUMMYFUNCTION("""COMPUTED_VALUE"""),"male")</f>
        <v>male</v>
      </c>
      <c r="I2783" s="6" t="str">
        <f>IFERROR(__xludf.DUMMYFUNCTION("""COMPUTED_VALUE"""),"Middle School")</f>
        <v>Middle School</v>
      </c>
      <c r="J2783" s="6" t="str">
        <f>IFERROR(__xludf.DUMMYFUNCTION("""COMPUTED_VALUE"""),"8")</f>
        <v>8</v>
      </c>
      <c r="K2783" s="6" t="str">
        <f>IFERROR(__xludf.DUMMYFUNCTION("""COMPUTED_VALUE"""),"adam.lebbar@2hourlearning.com")</f>
        <v>adam.lebbar@2hourlearning.com</v>
      </c>
      <c r="L2783" s="6" t="str">
        <f>IFERROR(__xludf.DUMMYFUNCTION("""COMPUTED_VALUE"""),"Strata")</f>
        <v>Strata</v>
      </c>
      <c r="M2783" s="6" t="str">
        <f>IFERROR(__xludf.DUMMYFUNCTION("""COMPUTED_VALUE"""),"")</f>
        <v/>
      </c>
      <c r="N2783" s="6" t="str">
        <f>IFERROR(__xludf.DUMMYFUNCTION("""COMPUTED_VALUE"""),"")</f>
        <v/>
      </c>
      <c r="O2783" s="87" t="str">
        <f>IFERROR(__xludf.DUMMYFUNCTION("""COMPUTED_VALUE"""),"https://drive.google.com/drive/folders/10T2cTQHqEJZqE-st6uFKPoI?usp=share_link")</f>
        <v>https://drive.google.com/drive/folders/10T2cTQHqEJZqE-st6uFKPoI?usp=share_link</v>
      </c>
      <c r="P2783" s="6" t="str">
        <f>IFERROR(__xludf.DUMMYFUNCTION("""COMPUTED_VALUE"""),"adam lebbar")</f>
        <v>adam lebbar</v>
      </c>
      <c r="Q2783" s="6" t="str">
        <f>IFERROR(__xludf.DUMMYFUNCTION("""COMPUTED_VALUE"""),"MS")</f>
        <v>MS</v>
      </c>
      <c r="R2783" s="6">
        <f>IFERROR(__xludf.DUMMYFUNCTION("""COMPUTED_VALUE"""),0.0)</f>
        <v>0</v>
      </c>
      <c r="S2783" s="6" t="str">
        <f>IFERROR(__xludf.DUMMYFUNCTION("""COMPUTED_VALUE""")," ")</f>
        <v> </v>
      </c>
      <c r="T2783" s="6" t="str">
        <f>IFERROR(__xludf.DUMMYFUNCTION("""COMPUTED_VALUE"""),"")</f>
        <v/>
      </c>
      <c r="U2783" s="6" t="str">
        <f>IFERROR(__xludf.DUMMYFUNCTION("""COMPUTED_VALUE"""),"8")</f>
        <v>8</v>
      </c>
      <c r="V2783" s="6" t="str">
        <f>IFERROR(__xludf.DUMMYFUNCTION("""COMPUTED_VALUE"""),"")</f>
        <v/>
      </c>
      <c r="W2783" s="6" t="str">
        <f>IFERROR(__xludf.DUMMYFUNCTION("""COMPUTED_VALUE"""),"[]")</f>
        <v>[]</v>
      </c>
      <c r="X2783" s="6" t="str">
        <f>IFERROR(__xludf.DUMMYFUNCTION("""COMPUTED_VALUE"""),"Enrolled")</f>
        <v>Enrolled</v>
      </c>
    </row>
    <row r="2784">
      <c r="A2784" s="6" t="str">
        <f>IFERROR(__xludf.DUMMYFUNCTION("""COMPUTED_VALUE"""),"059-11096")</f>
        <v>059-11096</v>
      </c>
      <c r="B2784" s="6" t="str">
        <f>IFERROR(__xludf.DUMMYFUNCTION("""COMPUTED_VALUE"""),"59")</f>
        <v>59</v>
      </c>
      <c r="C2784" s="6" t="str">
        <f>IFERROR(__xludf.DUMMYFUNCTION("""COMPUTED_VALUE"""),"11096")</f>
        <v>11096</v>
      </c>
      <c r="D2784" s="6" t="str">
        <f>IFERROR(__xludf.DUMMYFUNCTION("""COMPUTED_VALUE"""),"Kayden")</f>
        <v>Kayden</v>
      </c>
      <c r="E2784" s="6" t="str">
        <f>IFERROR(__xludf.DUMMYFUNCTION("""COMPUTED_VALUE"""),"")</f>
        <v/>
      </c>
      <c r="F2784" s="6" t="str">
        <f>IFERROR(__xludf.DUMMYFUNCTION("""COMPUTED_VALUE"""),"Browning")</f>
        <v>Browning</v>
      </c>
      <c r="G2784" s="6" t="str">
        <f>IFERROR(__xludf.DUMMYFUNCTION("""COMPUTED_VALUE"""),"05/07/2014")</f>
        <v>05/07/2014</v>
      </c>
      <c r="H2784" s="6" t="str">
        <f>IFERROR(__xludf.DUMMYFUNCTION("""COMPUTED_VALUE"""),"male")</f>
        <v>male</v>
      </c>
      <c r="I2784" s="6" t="str">
        <f>IFERROR(__xludf.DUMMYFUNCTION("""COMPUTED_VALUE"""),"Level 2")</f>
        <v>Level 2</v>
      </c>
      <c r="J2784" s="6" t="str">
        <f>IFERROR(__xludf.DUMMYFUNCTION("""COMPUTED_VALUE"""),"5")</f>
        <v>5</v>
      </c>
      <c r="K2784" s="6" t="str">
        <f>IFERROR(__xludf.DUMMYFUNCTION("""COMPUTED_VALUE"""),"kayden.browning@2hourlearning.com")</f>
        <v>kayden.browning@2hourlearning.com</v>
      </c>
      <c r="L2784" s="6" t="str">
        <f>IFERROR(__xludf.DUMMYFUNCTION("""COMPUTED_VALUE"""),"Strata")</f>
        <v>Strata</v>
      </c>
      <c r="M2784" s="6" t="str">
        <f>IFERROR(__xludf.DUMMYFUNCTION("""COMPUTED_VALUE"""),"")</f>
        <v/>
      </c>
      <c r="N2784" s="6" t="str">
        <f>IFERROR(__xludf.DUMMYFUNCTION("""COMPUTED_VALUE"""),"")</f>
        <v/>
      </c>
      <c r="O2784" s="87" t="str">
        <f>IFERROR(__xludf.DUMMYFUNCTION("""COMPUTED_VALUE"""),"https://drive.google.com/drive/folders/10T2cTQHqEJZqE-st6uFKPoI?usp=share_link")</f>
        <v>https://drive.google.com/drive/folders/10T2cTQHqEJZqE-st6uFKPoI?usp=share_link</v>
      </c>
      <c r="P2784" s="6" t="str">
        <f>IFERROR(__xludf.DUMMYFUNCTION("""COMPUTED_VALUE"""),"Kayden Browning")</f>
        <v>Kayden Browning</v>
      </c>
      <c r="Q2784" s="6" t="str">
        <f>IFERROR(__xludf.DUMMYFUNCTION("""COMPUTED_VALUE"""),"L2")</f>
        <v>L2</v>
      </c>
      <c r="R2784" s="6">
        <f>IFERROR(__xludf.DUMMYFUNCTION("""COMPUTED_VALUE"""),2.0)</f>
        <v>2</v>
      </c>
      <c r="S2784" s="6" t="str">
        <f>IFERROR(__xludf.DUMMYFUNCTION("""COMPUTED_VALUE""")," ")</f>
        <v> </v>
      </c>
      <c r="T2784" s="6" t="str">
        <f>IFERROR(__xludf.DUMMYFUNCTION("""COMPUTED_VALUE"""),"")</f>
        <v/>
      </c>
      <c r="U2784" s="6" t="str">
        <f>IFERROR(__xludf.DUMMYFUNCTION("""COMPUTED_VALUE"""),"5")</f>
        <v>5</v>
      </c>
      <c r="V2784" s="6" t="str">
        <f>IFERROR(__xludf.DUMMYFUNCTION("""COMPUTED_VALUE"""),"")</f>
        <v/>
      </c>
      <c r="W2784" s="6" t="str">
        <f>IFERROR(__xludf.DUMMYFUNCTION("""COMPUTED_VALUE"""),"[]")</f>
        <v>[]</v>
      </c>
      <c r="X2784" s="6" t="str">
        <f>IFERROR(__xludf.DUMMYFUNCTION("""COMPUTED_VALUE"""),"Enrolled")</f>
        <v>Enrolled</v>
      </c>
    </row>
    <row r="2785">
      <c r="A2785" s="6" t="str">
        <f>IFERROR(__xludf.DUMMYFUNCTION("""COMPUTED_VALUE"""),"059-11186")</f>
        <v>059-11186</v>
      </c>
      <c r="B2785" s="6" t="str">
        <f>IFERROR(__xludf.DUMMYFUNCTION("""COMPUTED_VALUE"""),"59")</f>
        <v>59</v>
      </c>
      <c r="C2785" s="6" t="str">
        <f>IFERROR(__xludf.DUMMYFUNCTION("""COMPUTED_VALUE"""),"11186")</f>
        <v>11186</v>
      </c>
      <c r="D2785" s="6" t="str">
        <f>IFERROR(__xludf.DUMMYFUNCTION("""COMPUTED_VALUE"""),"Quentin")</f>
        <v>Quentin</v>
      </c>
      <c r="E2785" s="6" t="str">
        <f>IFERROR(__xludf.DUMMYFUNCTION("""COMPUTED_VALUE"""),"")</f>
        <v/>
      </c>
      <c r="F2785" s="6" t="str">
        <f>IFERROR(__xludf.DUMMYFUNCTION("""COMPUTED_VALUE"""),"Johnson")</f>
        <v>Johnson</v>
      </c>
      <c r="G2785" s="6" t="str">
        <f>IFERROR(__xludf.DUMMYFUNCTION("""COMPUTED_VALUE"""),"09/18/2011")</f>
        <v>09/18/2011</v>
      </c>
      <c r="H2785" s="6" t="str">
        <f>IFERROR(__xludf.DUMMYFUNCTION("""COMPUTED_VALUE"""),"male")</f>
        <v>male</v>
      </c>
      <c r="I2785" s="6" t="str">
        <f>IFERROR(__xludf.DUMMYFUNCTION("""COMPUTED_VALUE"""),"Middle School")</f>
        <v>Middle School</v>
      </c>
      <c r="J2785" s="6" t="str">
        <f>IFERROR(__xludf.DUMMYFUNCTION("""COMPUTED_VALUE"""),"8")</f>
        <v>8</v>
      </c>
      <c r="K2785" s="6" t="str">
        <f>IFERROR(__xludf.DUMMYFUNCTION("""COMPUTED_VALUE"""),"quentin.johnson@2hourlearning.com")</f>
        <v>quentin.johnson@2hourlearning.com</v>
      </c>
      <c r="L2785" s="6" t="str">
        <f>IFERROR(__xludf.DUMMYFUNCTION("""COMPUTED_VALUE"""),"Strata")</f>
        <v>Strata</v>
      </c>
      <c r="M2785" s="6" t="str">
        <f>IFERROR(__xludf.DUMMYFUNCTION("""COMPUTED_VALUE"""),"")</f>
        <v/>
      </c>
      <c r="N2785" s="6" t="str">
        <f>IFERROR(__xludf.DUMMYFUNCTION("""COMPUTED_VALUE"""),"")</f>
        <v/>
      </c>
      <c r="O2785" s="87" t="str">
        <f>IFERROR(__xludf.DUMMYFUNCTION("""COMPUTED_VALUE"""),"https://drive.google.com/drive/folders/10T2cTQHqEJZqE-st6uFKPoI?usp=share_link")</f>
        <v>https://drive.google.com/drive/folders/10T2cTQHqEJZqE-st6uFKPoI?usp=share_link</v>
      </c>
      <c r="P2785" s="6" t="str">
        <f>IFERROR(__xludf.DUMMYFUNCTION("""COMPUTED_VALUE"""),"Quentin Johnson")</f>
        <v>Quentin Johnson</v>
      </c>
      <c r="Q2785" s="6" t="str">
        <f>IFERROR(__xludf.DUMMYFUNCTION("""COMPUTED_VALUE"""),"MS")</f>
        <v>MS</v>
      </c>
      <c r="R2785" s="6">
        <f>IFERROR(__xludf.DUMMYFUNCTION("""COMPUTED_VALUE"""),0.0)</f>
        <v>0</v>
      </c>
      <c r="S2785" s="6" t="str">
        <f>IFERROR(__xludf.DUMMYFUNCTION("""COMPUTED_VALUE""")," ")</f>
        <v> </v>
      </c>
      <c r="T2785" s="6" t="str">
        <f>IFERROR(__xludf.DUMMYFUNCTION("""COMPUTED_VALUE"""),"")</f>
        <v/>
      </c>
      <c r="U2785" s="6" t="str">
        <f>IFERROR(__xludf.DUMMYFUNCTION("""COMPUTED_VALUE"""),"8")</f>
        <v>8</v>
      </c>
      <c r="V2785" s="6" t="str">
        <f>IFERROR(__xludf.DUMMYFUNCTION("""COMPUTED_VALUE"""),"")</f>
        <v/>
      </c>
      <c r="W2785" s="6" t="str">
        <f>IFERROR(__xludf.DUMMYFUNCTION("""COMPUTED_VALUE"""),"[]")</f>
        <v>[]</v>
      </c>
      <c r="X2785" s="6" t="str">
        <f>IFERROR(__xludf.DUMMYFUNCTION("""COMPUTED_VALUE"""),"Enrolled")</f>
        <v>Enrolled</v>
      </c>
    </row>
    <row r="2786">
      <c r="A2786" s="6" t="str">
        <f>IFERROR(__xludf.DUMMYFUNCTION("""COMPUTED_VALUE"""),"059-11202")</f>
        <v>059-11202</v>
      </c>
      <c r="B2786" s="6" t="str">
        <f>IFERROR(__xludf.DUMMYFUNCTION("""COMPUTED_VALUE"""),"59")</f>
        <v>59</v>
      </c>
      <c r="C2786" s="6" t="str">
        <f>IFERROR(__xludf.DUMMYFUNCTION("""COMPUTED_VALUE"""),"11202")</f>
        <v>11202</v>
      </c>
      <c r="D2786" s="6" t="str">
        <f>IFERROR(__xludf.DUMMYFUNCTION("""COMPUTED_VALUE"""),"Josue")</f>
        <v>Josue</v>
      </c>
      <c r="E2786" s="6" t="str">
        <f>IFERROR(__xludf.DUMMYFUNCTION("""COMPUTED_VALUE"""),"")</f>
        <v/>
      </c>
      <c r="F2786" s="6" t="str">
        <f>IFERROR(__xludf.DUMMYFUNCTION("""COMPUTED_VALUE"""),"Cardenas")</f>
        <v>Cardenas</v>
      </c>
      <c r="G2786" s="6" t="str">
        <f>IFERROR(__xludf.DUMMYFUNCTION("""COMPUTED_VALUE"""),"02/23/2016")</f>
        <v>02/23/2016</v>
      </c>
      <c r="H2786" s="6" t="str">
        <f>IFERROR(__xludf.DUMMYFUNCTION("""COMPUTED_VALUE"""),"male")</f>
        <v>male</v>
      </c>
      <c r="I2786" s="6" t="str">
        <f>IFERROR(__xludf.DUMMYFUNCTION("""COMPUTED_VALUE"""),"High School")</f>
        <v>High School</v>
      </c>
      <c r="J2786" s="6" t="str">
        <f>IFERROR(__xludf.DUMMYFUNCTION("""COMPUTED_VALUE"""),"9")</f>
        <v>9</v>
      </c>
      <c r="K2786" s="6" t="str">
        <f>IFERROR(__xludf.DUMMYFUNCTION("""COMPUTED_VALUE"""),"josue.cardenas@2hourlearning.com")</f>
        <v>josue.cardenas@2hourlearning.com</v>
      </c>
      <c r="L2786" s="6" t="str">
        <f>IFERROR(__xludf.DUMMYFUNCTION("""COMPUTED_VALUE"""),"Strata")</f>
        <v>Strata</v>
      </c>
      <c r="M2786" s="6" t="str">
        <f>IFERROR(__xludf.DUMMYFUNCTION("""COMPUTED_VALUE"""),"")</f>
        <v/>
      </c>
      <c r="N2786" s="6" t="str">
        <f>IFERROR(__xludf.DUMMYFUNCTION("""COMPUTED_VALUE"""),"")</f>
        <v/>
      </c>
      <c r="O2786" s="87" t="str">
        <f>IFERROR(__xludf.DUMMYFUNCTION("""COMPUTED_VALUE"""),"https://drive.google.com/drive/folders/10T2cTQHqEJZqE-st6uFKPoI?usp=share_link")</f>
        <v>https://drive.google.com/drive/folders/10T2cTQHqEJZqE-st6uFKPoI?usp=share_link</v>
      </c>
      <c r="P2786" s="6" t="str">
        <f>IFERROR(__xludf.DUMMYFUNCTION("""COMPUTED_VALUE"""),"Josue Cardenas")</f>
        <v>Josue Cardenas</v>
      </c>
      <c r="Q2786" s="6" t="str">
        <f>IFERROR(__xludf.DUMMYFUNCTION("""COMPUTED_VALUE"""),"HS")</f>
        <v>HS</v>
      </c>
      <c r="R2786" s="6">
        <f>IFERROR(__xludf.DUMMYFUNCTION("""COMPUTED_VALUE"""),0.0)</f>
        <v>0</v>
      </c>
      <c r="S2786" s="6" t="str">
        <f>IFERROR(__xludf.DUMMYFUNCTION("""COMPUTED_VALUE""")," ")</f>
        <v> </v>
      </c>
      <c r="T2786" s="6" t="str">
        <f>IFERROR(__xludf.DUMMYFUNCTION("""COMPUTED_VALUE"""),"")</f>
        <v/>
      </c>
      <c r="U2786" s="6" t="str">
        <f>IFERROR(__xludf.DUMMYFUNCTION("""COMPUTED_VALUE"""),"9")</f>
        <v>9</v>
      </c>
      <c r="V2786" s="6" t="str">
        <f>IFERROR(__xludf.DUMMYFUNCTION("""COMPUTED_VALUE"""),"")</f>
        <v/>
      </c>
      <c r="W2786" s="6" t="str">
        <f>IFERROR(__xludf.DUMMYFUNCTION("""COMPUTED_VALUE"""),"[]")</f>
        <v>[]</v>
      </c>
      <c r="X2786" s="6" t="str">
        <f>IFERROR(__xludf.DUMMYFUNCTION("""COMPUTED_VALUE"""),"Enrolled")</f>
        <v>Enrolled</v>
      </c>
    </row>
    <row r="2787">
      <c r="A2787" s="6" t="str">
        <f>IFERROR(__xludf.DUMMYFUNCTION("""COMPUTED_VALUE"""),"059-11216")</f>
        <v>059-11216</v>
      </c>
      <c r="B2787" s="6" t="str">
        <f>IFERROR(__xludf.DUMMYFUNCTION("""COMPUTED_VALUE"""),"59")</f>
        <v>59</v>
      </c>
      <c r="C2787" s="6" t="str">
        <f>IFERROR(__xludf.DUMMYFUNCTION("""COMPUTED_VALUE"""),"11216")</f>
        <v>11216</v>
      </c>
      <c r="D2787" s="6" t="str">
        <f>IFERROR(__xludf.DUMMYFUNCTION("""COMPUTED_VALUE"""),"Kye")</f>
        <v>Kye</v>
      </c>
      <c r="E2787" s="6" t="str">
        <f>IFERROR(__xludf.DUMMYFUNCTION("""COMPUTED_VALUE"""),"")</f>
        <v/>
      </c>
      <c r="F2787" s="6" t="str">
        <f>IFERROR(__xludf.DUMMYFUNCTION("""COMPUTED_VALUE"""),"McDade")</f>
        <v>McDade</v>
      </c>
      <c r="G2787" s="6" t="str">
        <f>IFERROR(__xludf.DUMMYFUNCTION("""COMPUTED_VALUE"""),"05/23/2014")</f>
        <v>05/23/2014</v>
      </c>
      <c r="H2787" s="6" t="str">
        <f>IFERROR(__xludf.DUMMYFUNCTION("""COMPUTED_VALUE"""),"male")</f>
        <v>male</v>
      </c>
      <c r="I2787" s="6" t="str">
        <f>IFERROR(__xludf.DUMMYFUNCTION("""COMPUTED_VALUE"""),"Middle School")</f>
        <v>Middle School</v>
      </c>
      <c r="J2787" s="6" t="str">
        <f>IFERROR(__xludf.DUMMYFUNCTION("""COMPUTED_VALUE"""),"6")</f>
        <v>6</v>
      </c>
      <c r="K2787" s="6" t="str">
        <f>IFERROR(__xludf.DUMMYFUNCTION("""COMPUTED_VALUE"""),"kye.mcdade@2hourlearning.com")</f>
        <v>kye.mcdade@2hourlearning.com</v>
      </c>
      <c r="L2787" s="6" t="str">
        <f>IFERROR(__xludf.DUMMYFUNCTION("""COMPUTED_VALUE"""),"Strata")</f>
        <v>Strata</v>
      </c>
      <c r="M2787" s="6" t="str">
        <f>IFERROR(__xludf.DUMMYFUNCTION("""COMPUTED_VALUE"""),"")</f>
        <v/>
      </c>
      <c r="N2787" s="6" t="str">
        <f>IFERROR(__xludf.DUMMYFUNCTION("""COMPUTED_VALUE"""),"")</f>
        <v/>
      </c>
      <c r="O2787" s="87" t="str">
        <f>IFERROR(__xludf.DUMMYFUNCTION("""COMPUTED_VALUE"""),"https://drive.google.com/drive/folders/10T2cTQHqEJZqE-st6uFKPoI?usp=share_link")</f>
        <v>https://drive.google.com/drive/folders/10T2cTQHqEJZqE-st6uFKPoI?usp=share_link</v>
      </c>
      <c r="P2787" s="6" t="str">
        <f>IFERROR(__xludf.DUMMYFUNCTION("""COMPUTED_VALUE"""),"Kye McDade")</f>
        <v>Kye McDade</v>
      </c>
      <c r="Q2787" s="6" t="str">
        <f>IFERROR(__xludf.DUMMYFUNCTION("""COMPUTED_VALUE"""),"MS")</f>
        <v>MS</v>
      </c>
      <c r="R2787" s="6">
        <f>IFERROR(__xludf.DUMMYFUNCTION("""COMPUTED_VALUE"""),0.0)</f>
        <v>0</v>
      </c>
      <c r="S2787" s="6" t="str">
        <f>IFERROR(__xludf.DUMMYFUNCTION("""COMPUTED_VALUE""")," ")</f>
        <v> </v>
      </c>
      <c r="T2787" s="6" t="str">
        <f>IFERROR(__xludf.DUMMYFUNCTION("""COMPUTED_VALUE"""),"")</f>
        <v/>
      </c>
      <c r="U2787" s="6" t="str">
        <f>IFERROR(__xludf.DUMMYFUNCTION("""COMPUTED_VALUE"""),"6")</f>
        <v>6</v>
      </c>
      <c r="V2787" s="6" t="str">
        <f>IFERROR(__xludf.DUMMYFUNCTION("""COMPUTED_VALUE"""),"")</f>
        <v/>
      </c>
      <c r="W2787" s="6" t="str">
        <f>IFERROR(__xludf.DUMMYFUNCTION("""COMPUTED_VALUE"""),"[]")</f>
        <v>[]</v>
      </c>
      <c r="X2787" s="6" t="str">
        <f>IFERROR(__xludf.DUMMYFUNCTION("""COMPUTED_VALUE"""),"Enrolled")</f>
        <v>Enrolled</v>
      </c>
    </row>
    <row r="2788">
      <c r="A2788" s="6" t="str">
        <f>IFERROR(__xludf.DUMMYFUNCTION("""COMPUTED_VALUE"""),"059-11397")</f>
        <v>059-11397</v>
      </c>
      <c r="B2788" s="6" t="str">
        <f>IFERROR(__xludf.DUMMYFUNCTION("""COMPUTED_VALUE"""),"59")</f>
        <v>59</v>
      </c>
      <c r="C2788" s="6" t="str">
        <f>IFERROR(__xludf.DUMMYFUNCTION("""COMPUTED_VALUE"""),"11397")</f>
        <v>11397</v>
      </c>
      <c r="D2788" s="6" t="str">
        <f>IFERROR(__xludf.DUMMYFUNCTION("""COMPUTED_VALUE"""),"Joell")</f>
        <v>Joell</v>
      </c>
      <c r="E2788" s="6" t="str">
        <f>IFERROR(__xludf.DUMMYFUNCTION("""COMPUTED_VALUE"""),"")</f>
        <v/>
      </c>
      <c r="F2788" s="6" t="str">
        <f>IFERROR(__xludf.DUMMYFUNCTION("""COMPUTED_VALUE"""),"Hunt")</f>
        <v>Hunt</v>
      </c>
      <c r="G2788" s="6" t="str">
        <f>IFERROR(__xludf.DUMMYFUNCTION("""COMPUTED_VALUE"""),"11/09/2009")</f>
        <v>11/09/2009</v>
      </c>
      <c r="H2788" s="6" t="str">
        <f>IFERROR(__xludf.DUMMYFUNCTION("""COMPUTED_VALUE"""),"male")</f>
        <v>male</v>
      </c>
      <c r="I2788" s="6" t="str">
        <f>IFERROR(__xludf.DUMMYFUNCTION("""COMPUTED_VALUE"""),"Middle School")</f>
        <v>Middle School</v>
      </c>
      <c r="J2788" s="6" t="str">
        <f>IFERROR(__xludf.DUMMYFUNCTION("""COMPUTED_VALUE"""),"8")</f>
        <v>8</v>
      </c>
      <c r="K2788" s="6" t="str">
        <f>IFERROR(__xludf.DUMMYFUNCTION("""COMPUTED_VALUE"""),"joell.hunt@2hourlearning.com")</f>
        <v>joell.hunt@2hourlearning.com</v>
      </c>
      <c r="L2788" s="6" t="str">
        <f>IFERROR(__xludf.DUMMYFUNCTION("""COMPUTED_VALUE"""),"Strata")</f>
        <v>Strata</v>
      </c>
      <c r="M2788" s="6" t="str">
        <f>IFERROR(__xludf.DUMMYFUNCTION("""COMPUTED_VALUE"""),"")</f>
        <v/>
      </c>
      <c r="N2788" s="6" t="str">
        <f>IFERROR(__xludf.DUMMYFUNCTION("""COMPUTED_VALUE"""),"")</f>
        <v/>
      </c>
      <c r="O2788" s="87" t="str">
        <f>IFERROR(__xludf.DUMMYFUNCTION("""COMPUTED_VALUE"""),"https://drive.google.com/drive/folders/10T2cTQHqEJZqE-st6uFKPoI?usp=share_link")</f>
        <v>https://drive.google.com/drive/folders/10T2cTQHqEJZqE-st6uFKPoI?usp=share_link</v>
      </c>
      <c r="P2788" s="6" t="str">
        <f>IFERROR(__xludf.DUMMYFUNCTION("""COMPUTED_VALUE"""),"Joell Hunt")</f>
        <v>Joell Hunt</v>
      </c>
      <c r="Q2788" s="6" t="str">
        <f>IFERROR(__xludf.DUMMYFUNCTION("""COMPUTED_VALUE"""),"MS")</f>
        <v>MS</v>
      </c>
      <c r="R2788" s="6">
        <f>IFERROR(__xludf.DUMMYFUNCTION("""COMPUTED_VALUE"""),0.0)</f>
        <v>0</v>
      </c>
      <c r="S2788" s="6" t="str">
        <f>IFERROR(__xludf.DUMMYFUNCTION("""COMPUTED_VALUE""")," ")</f>
        <v> </v>
      </c>
      <c r="T2788" s="6" t="str">
        <f>IFERROR(__xludf.DUMMYFUNCTION("""COMPUTED_VALUE"""),"")</f>
        <v/>
      </c>
      <c r="U2788" s="6" t="str">
        <f>IFERROR(__xludf.DUMMYFUNCTION("""COMPUTED_VALUE"""),"8")</f>
        <v>8</v>
      </c>
      <c r="V2788" s="6" t="str">
        <f>IFERROR(__xludf.DUMMYFUNCTION("""COMPUTED_VALUE"""),"")</f>
        <v/>
      </c>
      <c r="W2788" s="6" t="str">
        <f>IFERROR(__xludf.DUMMYFUNCTION("""COMPUTED_VALUE"""),"[]")</f>
        <v>[]</v>
      </c>
      <c r="X2788" s="6" t="str">
        <f>IFERROR(__xludf.DUMMYFUNCTION("""COMPUTED_VALUE"""),"Enrolled")</f>
        <v>Enrolled</v>
      </c>
    </row>
    <row r="2789">
      <c r="A2789" s="6" t="str">
        <f>IFERROR(__xludf.DUMMYFUNCTION("""COMPUTED_VALUE"""),"059-11398")</f>
        <v>059-11398</v>
      </c>
      <c r="B2789" s="6" t="str">
        <f>IFERROR(__xludf.DUMMYFUNCTION("""COMPUTED_VALUE"""),"59")</f>
        <v>59</v>
      </c>
      <c r="C2789" s="6" t="str">
        <f>IFERROR(__xludf.DUMMYFUNCTION("""COMPUTED_VALUE"""),"11398")</f>
        <v>11398</v>
      </c>
      <c r="D2789" s="6" t="str">
        <f>IFERROR(__xludf.DUMMYFUNCTION("""COMPUTED_VALUE"""),"Kellen")</f>
        <v>Kellen</v>
      </c>
      <c r="E2789" s="6" t="str">
        <f>IFERROR(__xludf.DUMMYFUNCTION("""COMPUTED_VALUE"""),"")</f>
        <v/>
      </c>
      <c r="F2789" s="6" t="str">
        <f>IFERROR(__xludf.DUMMYFUNCTION("""COMPUTED_VALUE"""),"Reagan")</f>
        <v>Reagan</v>
      </c>
      <c r="G2789" s="6" t="str">
        <f>IFERROR(__xludf.DUMMYFUNCTION("""COMPUTED_VALUE"""),"09/11/2013")</f>
        <v>09/11/2013</v>
      </c>
      <c r="H2789" s="6" t="str">
        <f>IFERROR(__xludf.DUMMYFUNCTION("""COMPUTED_VALUE"""),"male")</f>
        <v>male</v>
      </c>
      <c r="I2789" s="6" t="str">
        <f>IFERROR(__xludf.DUMMYFUNCTION("""COMPUTED_VALUE"""),"Middle School")</f>
        <v>Middle School</v>
      </c>
      <c r="J2789" s="6" t="str">
        <f>IFERROR(__xludf.DUMMYFUNCTION("""COMPUTED_VALUE"""),"6")</f>
        <v>6</v>
      </c>
      <c r="K2789" s="6" t="str">
        <f>IFERROR(__xludf.DUMMYFUNCTION("""COMPUTED_VALUE"""),"kellen.reagan@2hourlearning.com")</f>
        <v>kellen.reagan@2hourlearning.com</v>
      </c>
      <c r="L2789" s="6" t="str">
        <f>IFERROR(__xludf.DUMMYFUNCTION("""COMPUTED_VALUE"""),"Strata")</f>
        <v>Strata</v>
      </c>
      <c r="M2789" s="6" t="str">
        <f>IFERROR(__xludf.DUMMYFUNCTION("""COMPUTED_VALUE"""),"")</f>
        <v/>
      </c>
      <c r="N2789" s="6" t="str">
        <f>IFERROR(__xludf.DUMMYFUNCTION("""COMPUTED_VALUE"""),"")</f>
        <v/>
      </c>
      <c r="O2789" s="87" t="str">
        <f>IFERROR(__xludf.DUMMYFUNCTION("""COMPUTED_VALUE"""),"https://drive.google.com/drive/folders/10T2cTQHqEJZqE-st6uFKPoI?usp=share_link")</f>
        <v>https://drive.google.com/drive/folders/10T2cTQHqEJZqE-st6uFKPoI?usp=share_link</v>
      </c>
      <c r="P2789" s="6" t="str">
        <f>IFERROR(__xludf.DUMMYFUNCTION("""COMPUTED_VALUE"""),"Kellen Reagan")</f>
        <v>Kellen Reagan</v>
      </c>
      <c r="Q2789" s="6" t="str">
        <f>IFERROR(__xludf.DUMMYFUNCTION("""COMPUTED_VALUE"""),"MS")</f>
        <v>MS</v>
      </c>
      <c r="R2789" s="6">
        <f>IFERROR(__xludf.DUMMYFUNCTION("""COMPUTED_VALUE"""),0.0)</f>
        <v>0</v>
      </c>
      <c r="S2789" s="6" t="str">
        <f>IFERROR(__xludf.DUMMYFUNCTION("""COMPUTED_VALUE""")," ")</f>
        <v> </v>
      </c>
      <c r="T2789" s="6" t="str">
        <f>IFERROR(__xludf.DUMMYFUNCTION("""COMPUTED_VALUE"""),"")</f>
        <v/>
      </c>
      <c r="U2789" s="6" t="str">
        <f>IFERROR(__xludf.DUMMYFUNCTION("""COMPUTED_VALUE"""),"6")</f>
        <v>6</v>
      </c>
      <c r="V2789" s="6" t="str">
        <f>IFERROR(__xludf.DUMMYFUNCTION("""COMPUTED_VALUE"""),"")</f>
        <v/>
      </c>
      <c r="W2789" s="6" t="str">
        <f>IFERROR(__xludf.DUMMYFUNCTION("""COMPUTED_VALUE"""),"[]")</f>
        <v>[]</v>
      </c>
      <c r="X2789" s="6" t="str">
        <f>IFERROR(__xludf.DUMMYFUNCTION("""COMPUTED_VALUE"""),"Enrolled")</f>
        <v>Enrolled</v>
      </c>
    </row>
    <row r="2790">
      <c r="A2790" s="6" t="str">
        <f>IFERROR(__xludf.DUMMYFUNCTION("""COMPUTED_VALUE"""),"059-11399")</f>
        <v>059-11399</v>
      </c>
      <c r="B2790" s="6" t="str">
        <f>IFERROR(__xludf.DUMMYFUNCTION("""COMPUTED_VALUE"""),"59")</f>
        <v>59</v>
      </c>
      <c r="C2790" s="6" t="str">
        <f>IFERROR(__xludf.DUMMYFUNCTION("""COMPUTED_VALUE"""),"11399")</f>
        <v>11399</v>
      </c>
      <c r="D2790" s="6" t="str">
        <f>IFERROR(__xludf.DUMMYFUNCTION("""COMPUTED_VALUE"""),"Jaden")</f>
        <v>Jaden</v>
      </c>
      <c r="E2790" s="6" t="str">
        <f>IFERROR(__xludf.DUMMYFUNCTION("""COMPUTED_VALUE"""),"")</f>
        <v/>
      </c>
      <c r="F2790" s="6" t="str">
        <f>IFERROR(__xludf.DUMMYFUNCTION("""COMPUTED_VALUE"""),"Rowe")</f>
        <v>Rowe</v>
      </c>
      <c r="G2790" s="6" t="str">
        <f>IFERROR(__xludf.DUMMYFUNCTION("""COMPUTED_VALUE"""),"04/09/2012")</f>
        <v>04/09/2012</v>
      </c>
      <c r="H2790" s="6" t="str">
        <f>IFERROR(__xludf.DUMMYFUNCTION("""COMPUTED_VALUE"""),"male")</f>
        <v>male</v>
      </c>
      <c r="I2790" s="6" t="str">
        <f>IFERROR(__xludf.DUMMYFUNCTION("""COMPUTED_VALUE"""),"Middle School")</f>
        <v>Middle School</v>
      </c>
      <c r="J2790" s="6" t="str">
        <f>IFERROR(__xludf.DUMMYFUNCTION("""COMPUTED_VALUE"""),"8")</f>
        <v>8</v>
      </c>
      <c r="K2790" s="6" t="str">
        <f>IFERROR(__xludf.DUMMYFUNCTION("""COMPUTED_VALUE"""),"jaden.rowe@2hourlearning.com")</f>
        <v>jaden.rowe@2hourlearning.com</v>
      </c>
      <c r="L2790" s="6" t="str">
        <f>IFERROR(__xludf.DUMMYFUNCTION("""COMPUTED_VALUE"""),"Strata")</f>
        <v>Strata</v>
      </c>
      <c r="M2790" s="6" t="str">
        <f>IFERROR(__xludf.DUMMYFUNCTION("""COMPUTED_VALUE"""),"")</f>
        <v/>
      </c>
      <c r="N2790" s="6" t="str">
        <f>IFERROR(__xludf.DUMMYFUNCTION("""COMPUTED_VALUE"""),"")</f>
        <v/>
      </c>
      <c r="O2790" s="87" t="str">
        <f>IFERROR(__xludf.DUMMYFUNCTION("""COMPUTED_VALUE"""),"https://drive.google.com/drive/folders/10T2cTQHqEJZqE-st6uFKPoI?usp=share_link")</f>
        <v>https://drive.google.com/drive/folders/10T2cTQHqEJZqE-st6uFKPoI?usp=share_link</v>
      </c>
      <c r="P2790" s="6" t="str">
        <f>IFERROR(__xludf.DUMMYFUNCTION("""COMPUTED_VALUE"""),"Jaden Rowe")</f>
        <v>Jaden Rowe</v>
      </c>
      <c r="Q2790" s="6" t="str">
        <f>IFERROR(__xludf.DUMMYFUNCTION("""COMPUTED_VALUE"""),"MS")</f>
        <v>MS</v>
      </c>
      <c r="R2790" s="6">
        <f>IFERROR(__xludf.DUMMYFUNCTION("""COMPUTED_VALUE"""),0.0)</f>
        <v>0</v>
      </c>
      <c r="S2790" s="6" t="str">
        <f>IFERROR(__xludf.DUMMYFUNCTION("""COMPUTED_VALUE""")," ")</f>
        <v> </v>
      </c>
      <c r="T2790" s="6" t="str">
        <f>IFERROR(__xludf.DUMMYFUNCTION("""COMPUTED_VALUE"""),"")</f>
        <v/>
      </c>
      <c r="U2790" s="6" t="str">
        <f>IFERROR(__xludf.DUMMYFUNCTION("""COMPUTED_VALUE"""),"8")</f>
        <v>8</v>
      </c>
      <c r="V2790" s="6" t="str">
        <f>IFERROR(__xludf.DUMMYFUNCTION("""COMPUTED_VALUE"""),"")</f>
        <v/>
      </c>
      <c r="W2790" s="6" t="str">
        <f>IFERROR(__xludf.DUMMYFUNCTION("""COMPUTED_VALUE"""),"[]")</f>
        <v>[]</v>
      </c>
      <c r="X2790" s="6" t="str">
        <f>IFERROR(__xludf.DUMMYFUNCTION("""COMPUTED_VALUE"""),"Enrolled")</f>
        <v>Enrolled</v>
      </c>
    </row>
    <row r="2791">
      <c r="A2791" s="6" t="str">
        <f>IFERROR(__xludf.DUMMYFUNCTION("""COMPUTED_VALUE"""),"059-11860")</f>
        <v>059-11860</v>
      </c>
      <c r="B2791" s="6" t="str">
        <f>IFERROR(__xludf.DUMMYFUNCTION("""COMPUTED_VALUE"""),"59")</f>
        <v>59</v>
      </c>
      <c r="C2791" s="6" t="str">
        <f>IFERROR(__xludf.DUMMYFUNCTION("""COMPUTED_VALUE"""),"11860")</f>
        <v>11860</v>
      </c>
      <c r="D2791" s="6" t="str">
        <f>IFERROR(__xludf.DUMMYFUNCTION("""COMPUTED_VALUE"""),"Jackson")</f>
        <v>Jackson</v>
      </c>
      <c r="E2791" s="6" t="str">
        <f>IFERROR(__xludf.DUMMYFUNCTION("""COMPUTED_VALUE"""),"")</f>
        <v/>
      </c>
      <c r="F2791" s="6" t="str">
        <f>IFERROR(__xludf.DUMMYFUNCTION("""COMPUTED_VALUE"""),"Hamilton")</f>
        <v>Hamilton</v>
      </c>
      <c r="G2791" s="6" t="str">
        <f>IFERROR(__xludf.DUMMYFUNCTION("""COMPUTED_VALUE"""),"01/20/2014")</f>
        <v>01/20/2014</v>
      </c>
      <c r="H2791" s="6" t="str">
        <f>IFERROR(__xludf.DUMMYFUNCTION("""COMPUTED_VALUE"""),"male")</f>
        <v>male</v>
      </c>
      <c r="I2791" s="6" t="str">
        <f>IFERROR(__xludf.DUMMYFUNCTION("""COMPUTED_VALUE"""),"Middle School")</f>
        <v>Middle School</v>
      </c>
      <c r="J2791" s="6" t="str">
        <f>IFERROR(__xludf.DUMMYFUNCTION("""COMPUTED_VALUE"""),"6")</f>
        <v>6</v>
      </c>
      <c r="K2791" s="6" t="str">
        <f>IFERROR(__xludf.DUMMYFUNCTION("""COMPUTED_VALUE"""),"jackson.hamilton@2hourlearning.com")</f>
        <v>jackson.hamilton@2hourlearning.com</v>
      </c>
      <c r="L2791" s="6" t="str">
        <f>IFERROR(__xludf.DUMMYFUNCTION("""COMPUTED_VALUE"""),"Strata")</f>
        <v>Strata</v>
      </c>
      <c r="M2791" s="6" t="str">
        <f>IFERROR(__xludf.DUMMYFUNCTION("""COMPUTED_VALUE"""),"")</f>
        <v/>
      </c>
      <c r="N2791" s="6" t="str">
        <f>IFERROR(__xludf.DUMMYFUNCTION("""COMPUTED_VALUE"""),"")</f>
        <v/>
      </c>
      <c r="O2791" s="87" t="str">
        <f>IFERROR(__xludf.DUMMYFUNCTION("""COMPUTED_VALUE"""),"https://drive.google.com/drive/folders/10T2cTQHqEJZqE-st6uFKPoI?usp=share_link")</f>
        <v>https://drive.google.com/drive/folders/10T2cTQHqEJZqE-st6uFKPoI?usp=share_link</v>
      </c>
      <c r="P2791" s="6" t="str">
        <f>IFERROR(__xludf.DUMMYFUNCTION("""COMPUTED_VALUE"""),"Jackson Hamilton")</f>
        <v>Jackson Hamilton</v>
      </c>
      <c r="Q2791" s="6" t="str">
        <f>IFERROR(__xludf.DUMMYFUNCTION("""COMPUTED_VALUE"""),"MS")</f>
        <v>MS</v>
      </c>
      <c r="R2791" s="6">
        <f>IFERROR(__xludf.DUMMYFUNCTION("""COMPUTED_VALUE"""),0.0)</f>
        <v>0</v>
      </c>
      <c r="S2791" s="6" t="str">
        <f>IFERROR(__xludf.DUMMYFUNCTION("""COMPUTED_VALUE""")," ")</f>
        <v> </v>
      </c>
      <c r="T2791" s="6" t="str">
        <f>IFERROR(__xludf.DUMMYFUNCTION("""COMPUTED_VALUE"""),"")</f>
        <v/>
      </c>
      <c r="U2791" s="6" t="str">
        <f>IFERROR(__xludf.DUMMYFUNCTION("""COMPUTED_VALUE"""),"6")</f>
        <v>6</v>
      </c>
      <c r="V2791" s="6" t="str">
        <f>IFERROR(__xludf.DUMMYFUNCTION("""COMPUTED_VALUE"""),"")</f>
        <v/>
      </c>
      <c r="W2791" s="6" t="str">
        <f>IFERROR(__xludf.DUMMYFUNCTION("""COMPUTED_VALUE"""),"[]")</f>
        <v>[]</v>
      </c>
      <c r="X2791" s="6" t="str">
        <f>IFERROR(__xludf.DUMMYFUNCTION("""COMPUTED_VALUE"""),"Enrolled")</f>
        <v>Enrolled</v>
      </c>
    </row>
    <row r="2792">
      <c r="A2792" s="6" t="str">
        <f>IFERROR(__xludf.DUMMYFUNCTION("""COMPUTED_VALUE"""),"059-11861")</f>
        <v>059-11861</v>
      </c>
      <c r="B2792" s="6" t="str">
        <f>IFERROR(__xludf.DUMMYFUNCTION("""COMPUTED_VALUE"""),"59")</f>
        <v>59</v>
      </c>
      <c r="C2792" s="6" t="str">
        <f>IFERROR(__xludf.DUMMYFUNCTION("""COMPUTED_VALUE"""),"11861")</f>
        <v>11861</v>
      </c>
      <c r="D2792" s="6" t="str">
        <f>IFERROR(__xludf.DUMMYFUNCTION("""COMPUTED_VALUE"""),"Kenaz")</f>
        <v>Kenaz</v>
      </c>
      <c r="E2792" s="6" t="str">
        <f>IFERROR(__xludf.DUMMYFUNCTION("""COMPUTED_VALUE"""),"")</f>
        <v/>
      </c>
      <c r="F2792" s="6" t="str">
        <f>IFERROR(__xludf.DUMMYFUNCTION("""COMPUTED_VALUE"""),"Parks")</f>
        <v>Parks</v>
      </c>
      <c r="G2792" s="6" t="str">
        <f>IFERROR(__xludf.DUMMYFUNCTION("""COMPUTED_VALUE"""),"02/28/2014")</f>
        <v>02/28/2014</v>
      </c>
      <c r="H2792" s="6" t="str">
        <f>IFERROR(__xludf.DUMMYFUNCTION("""COMPUTED_VALUE"""),"male")</f>
        <v>male</v>
      </c>
      <c r="I2792" s="6" t="str">
        <f>IFERROR(__xludf.DUMMYFUNCTION("""COMPUTED_VALUE"""),"Level 2")</f>
        <v>Level 2</v>
      </c>
      <c r="J2792" s="6" t="str">
        <f>IFERROR(__xludf.DUMMYFUNCTION("""COMPUTED_VALUE"""),"5")</f>
        <v>5</v>
      </c>
      <c r="K2792" s="6" t="str">
        <f>IFERROR(__xludf.DUMMYFUNCTION("""COMPUTED_VALUE"""),"kenaz.parks@2hourlearning.com")</f>
        <v>kenaz.parks@2hourlearning.com</v>
      </c>
      <c r="L2792" s="6" t="str">
        <f>IFERROR(__xludf.DUMMYFUNCTION("""COMPUTED_VALUE"""),"Strata")</f>
        <v>Strata</v>
      </c>
      <c r="M2792" s="6" t="str">
        <f>IFERROR(__xludf.DUMMYFUNCTION("""COMPUTED_VALUE"""),"")</f>
        <v/>
      </c>
      <c r="N2792" s="6" t="str">
        <f>IFERROR(__xludf.DUMMYFUNCTION("""COMPUTED_VALUE"""),"")</f>
        <v/>
      </c>
      <c r="O2792" s="87" t="str">
        <f>IFERROR(__xludf.DUMMYFUNCTION("""COMPUTED_VALUE"""),"https://drive.google.com/drive/folders/10T2cTQHqEJZqE-st6uFKPoI?usp=share_link")</f>
        <v>https://drive.google.com/drive/folders/10T2cTQHqEJZqE-st6uFKPoI?usp=share_link</v>
      </c>
      <c r="P2792" s="6" t="str">
        <f>IFERROR(__xludf.DUMMYFUNCTION("""COMPUTED_VALUE"""),"Kenaz Parks")</f>
        <v>Kenaz Parks</v>
      </c>
      <c r="Q2792" s="6" t="str">
        <f>IFERROR(__xludf.DUMMYFUNCTION("""COMPUTED_VALUE"""),"L2")</f>
        <v>L2</v>
      </c>
      <c r="R2792" s="6">
        <f>IFERROR(__xludf.DUMMYFUNCTION("""COMPUTED_VALUE"""),2.0)</f>
        <v>2</v>
      </c>
      <c r="S2792" s="6" t="str">
        <f>IFERROR(__xludf.DUMMYFUNCTION("""COMPUTED_VALUE""")," ")</f>
        <v> </v>
      </c>
      <c r="T2792" s="6" t="str">
        <f>IFERROR(__xludf.DUMMYFUNCTION("""COMPUTED_VALUE"""),"")</f>
        <v/>
      </c>
      <c r="U2792" s="6" t="str">
        <f>IFERROR(__xludf.DUMMYFUNCTION("""COMPUTED_VALUE"""),"5")</f>
        <v>5</v>
      </c>
      <c r="V2792" s="6" t="str">
        <f>IFERROR(__xludf.DUMMYFUNCTION("""COMPUTED_VALUE"""),"")</f>
        <v/>
      </c>
      <c r="W2792" s="6" t="str">
        <f>IFERROR(__xludf.DUMMYFUNCTION("""COMPUTED_VALUE"""),"[]")</f>
        <v>[]</v>
      </c>
      <c r="X2792" s="6" t="str">
        <f>IFERROR(__xludf.DUMMYFUNCTION("""COMPUTED_VALUE"""),"Enrolled")</f>
        <v>Enrolled</v>
      </c>
    </row>
    <row r="2793">
      <c r="A2793" s="6" t="str">
        <f>IFERROR(__xludf.DUMMYFUNCTION("""COMPUTED_VALUE"""),"059-13260")</f>
        <v>059-13260</v>
      </c>
      <c r="B2793" s="6" t="str">
        <f>IFERROR(__xludf.DUMMYFUNCTION("""COMPUTED_VALUE"""),"59")</f>
        <v>59</v>
      </c>
      <c r="C2793" s="6" t="str">
        <f>IFERROR(__xludf.DUMMYFUNCTION("""COMPUTED_VALUE"""),"13260")</f>
        <v>13260</v>
      </c>
      <c r="D2793" s="6" t="str">
        <f>IFERROR(__xludf.DUMMYFUNCTION("""COMPUTED_VALUE"""),"Isaiah")</f>
        <v>Isaiah</v>
      </c>
      <c r="E2793" s="6" t="str">
        <f>IFERROR(__xludf.DUMMYFUNCTION("""COMPUTED_VALUE"""),"")</f>
        <v/>
      </c>
      <c r="F2793" s="6" t="str">
        <f>IFERROR(__xludf.DUMMYFUNCTION("""COMPUTED_VALUE"""),"Abraham")</f>
        <v>Abraham</v>
      </c>
      <c r="G2793" s="6" t="str">
        <f>IFERROR(__xludf.DUMMYFUNCTION("""COMPUTED_VALUE"""),"03/31/2014")</f>
        <v>03/31/2014</v>
      </c>
      <c r="H2793" s="6" t="str">
        <f>IFERROR(__xludf.DUMMYFUNCTION("""COMPUTED_VALUE"""),"male")</f>
        <v>male</v>
      </c>
      <c r="I2793" s="6" t="str">
        <f>IFERROR(__xludf.DUMMYFUNCTION("""COMPUTED_VALUE"""),"Middle School")</f>
        <v>Middle School</v>
      </c>
      <c r="J2793" s="6" t="str">
        <f>IFERROR(__xludf.DUMMYFUNCTION("""COMPUTED_VALUE"""),"6")</f>
        <v>6</v>
      </c>
      <c r="K2793" s="6" t="str">
        <f>IFERROR(__xludf.DUMMYFUNCTION("""COMPUTED_VALUE"""),"isaiah.abraham@2hourlearning.com")</f>
        <v>isaiah.abraham@2hourlearning.com</v>
      </c>
      <c r="L2793" s="6" t="str">
        <f>IFERROR(__xludf.DUMMYFUNCTION("""COMPUTED_VALUE"""),"Strata")</f>
        <v>Strata</v>
      </c>
      <c r="M2793" s="6" t="str">
        <f>IFERROR(__xludf.DUMMYFUNCTION("""COMPUTED_VALUE"""),"")</f>
        <v/>
      </c>
      <c r="N2793" s="6" t="str">
        <f>IFERROR(__xludf.DUMMYFUNCTION("""COMPUTED_VALUE"""),"")</f>
        <v/>
      </c>
      <c r="O2793" s="87" t="str">
        <f>IFERROR(__xludf.DUMMYFUNCTION("""COMPUTED_VALUE"""),"https://drive.google.com/drive/folders/10T2cTQHqEJZqE-st6uFKPoI?usp=share_link")</f>
        <v>https://drive.google.com/drive/folders/10T2cTQHqEJZqE-st6uFKPoI?usp=share_link</v>
      </c>
      <c r="P2793" s="6" t="str">
        <f>IFERROR(__xludf.DUMMYFUNCTION("""COMPUTED_VALUE"""),"Isaiah Abraham")</f>
        <v>Isaiah Abraham</v>
      </c>
      <c r="Q2793" s="6" t="str">
        <f>IFERROR(__xludf.DUMMYFUNCTION("""COMPUTED_VALUE"""),"MS")</f>
        <v>MS</v>
      </c>
      <c r="R2793" s="6">
        <f>IFERROR(__xludf.DUMMYFUNCTION("""COMPUTED_VALUE"""),0.0)</f>
        <v>0</v>
      </c>
      <c r="S2793" s="6" t="str">
        <f>IFERROR(__xludf.DUMMYFUNCTION("""COMPUTED_VALUE""")," ")</f>
        <v> </v>
      </c>
      <c r="T2793" s="6" t="str">
        <f>IFERROR(__xludf.DUMMYFUNCTION("""COMPUTED_VALUE"""),"")</f>
        <v/>
      </c>
      <c r="U2793" s="6" t="str">
        <f>IFERROR(__xludf.DUMMYFUNCTION("""COMPUTED_VALUE"""),"6")</f>
        <v>6</v>
      </c>
      <c r="V2793" s="6" t="str">
        <f>IFERROR(__xludf.DUMMYFUNCTION("""COMPUTED_VALUE"""),"")</f>
        <v/>
      </c>
      <c r="W2793" s="6" t="str">
        <f>IFERROR(__xludf.DUMMYFUNCTION("""COMPUTED_VALUE"""),"[]")</f>
        <v>[]</v>
      </c>
      <c r="X2793" s="6" t="str">
        <f>IFERROR(__xludf.DUMMYFUNCTION("""COMPUTED_VALUE"""),"Enrolled")</f>
        <v>Enrolled</v>
      </c>
    </row>
    <row r="2794">
      <c r="A2794" s="6" t="str">
        <f>IFERROR(__xludf.DUMMYFUNCTION("""COMPUTED_VALUE"""),"059-13388")</f>
        <v>059-13388</v>
      </c>
      <c r="B2794" s="6" t="str">
        <f>IFERROR(__xludf.DUMMYFUNCTION("""COMPUTED_VALUE"""),"59")</f>
        <v>59</v>
      </c>
      <c r="C2794" s="6" t="str">
        <f>IFERROR(__xludf.DUMMYFUNCTION("""COMPUTED_VALUE"""),"13388")</f>
        <v>13388</v>
      </c>
      <c r="D2794" s="6" t="str">
        <f>IFERROR(__xludf.DUMMYFUNCTION("""COMPUTED_VALUE"""),"Knox")</f>
        <v>Knox</v>
      </c>
      <c r="E2794" s="6" t="str">
        <f>IFERROR(__xludf.DUMMYFUNCTION("""COMPUTED_VALUE"""),"")</f>
        <v/>
      </c>
      <c r="F2794" s="6" t="str">
        <f>IFERROR(__xludf.DUMMYFUNCTION("""COMPUTED_VALUE"""),"Anderson")</f>
        <v>Anderson</v>
      </c>
      <c r="G2794" s="6" t="str">
        <f>IFERROR(__xludf.DUMMYFUNCTION("""COMPUTED_VALUE"""),"11/30/2013")</f>
        <v>11/30/2013</v>
      </c>
      <c r="H2794" s="6" t="str">
        <f>IFERROR(__xludf.DUMMYFUNCTION("""COMPUTED_VALUE"""),"male")</f>
        <v>male</v>
      </c>
      <c r="I2794" s="6" t="str">
        <f>IFERROR(__xludf.DUMMYFUNCTION("""COMPUTED_VALUE"""),"Middle School")</f>
        <v>Middle School</v>
      </c>
      <c r="J2794" s="6" t="str">
        <f>IFERROR(__xludf.DUMMYFUNCTION("""COMPUTED_VALUE"""),"6")</f>
        <v>6</v>
      </c>
      <c r="K2794" s="6" t="str">
        <f>IFERROR(__xludf.DUMMYFUNCTION("""COMPUTED_VALUE"""),"knox.anderson@2hourlearning.com")</f>
        <v>knox.anderson@2hourlearning.com</v>
      </c>
      <c r="L2794" s="6" t="str">
        <f>IFERROR(__xludf.DUMMYFUNCTION("""COMPUTED_VALUE"""),"Strata")</f>
        <v>Strata</v>
      </c>
      <c r="M2794" s="6" t="str">
        <f>IFERROR(__xludf.DUMMYFUNCTION("""COMPUTED_VALUE"""),"")</f>
        <v/>
      </c>
      <c r="N2794" s="6" t="str">
        <f>IFERROR(__xludf.DUMMYFUNCTION("""COMPUTED_VALUE"""),"")</f>
        <v/>
      </c>
      <c r="O2794" s="87" t="str">
        <f>IFERROR(__xludf.DUMMYFUNCTION("""COMPUTED_VALUE"""),"https://drive.google.com/drive/folders/10T2cTQHqEJZqE-st6uFKPoI?usp=share_link")</f>
        <v>https://drive.google.com/drive/folders/10T2cTQHqEJZqE-st6uFKPoI?usp=share_link</v>
      </c>
      <c r="P2794" s="6" t="str">
        <f>IFERROR(__xludf.DUMMYFUNCTION("""COMPUTED_VALUE"""),"Knox Anderson")</f>
        <v>Knox Anderson</v>
      </c>
      <c r="Q2794" s="6" t="str">
        <f>IFERROR(__xludf.DUMMYFUNCTION("""COMPUTED_VALUE"""),"MS")</f>
        <v>MS</v>
      </c>
      <c r="R2794" s="6">
        <f>IFERROR(__xludf.DUMMYFUNCTION("""COMPUTED_VALUE"""),0.0)</f>
        <v>0</v>
      </c>
      <c r="S2794" s="6" t="str">
        <f>IFERROR(__xludf.DUMMYFUNCTION("""COMPUTED_VALUE""")," ")</f>
        <v> </v>
      </c>
      <c r="T2794" s="6" t="str">
        <f>IFERROR(__xludf.DUMMYFUNCTION("""COMPUTED_VALUE"""),"")</f>
        <v/>
      </c>
      <c r="U2794" s="6" t="str">
        <f>IFERROR(__xludf.DUMMYFUNCTION("""COMPUTED_VALUE"""),"6")</f>
        <v>6</v>
      </c>
      <c r="V2794" s="6" t="str">
        <f>IFERROR(__xludf.DUMMYFUNCTION("""COMPUTED_VALUE"""),"")</f>
        <v/>
      </c>
      <c r="W2794" s="6" t="str">
        <f>IFERROR(__xludf.DUMMYFUNCTION("""COMPUTED_VALUE"""),"[]")</f>
        <v>[]</v>
      </c>
      <c r="X2794" s="6" t="str">
        <f>IFERROR(__xludf.DUMMYFUNCTION("""COMPUTED_VALUE"""),"Enrolled")</f>
        <v>Enrolled</v>
      </c>
    </row>
    <row r="2795">
      <c r="A2795" s="6" t="str">
        <f>IFERROR(__xludf.DUMMYFUNCTION("""COMPUTED_VALUE"""),"059-13416")</f>
        <v>059-13416</v>
      </c>
      <c r="B2795" s="6" t="str">
        <f>IFERROR(__xludf.DUMMYFUNCTION("""COMPUTED_VALUE"""),"59")</f>
        <v>59</v>
      </c>
      <c r="C2795" s="6" t="str">
        <f>IFERROR(__xludf.DUMMYFUNCTION("""COMPUTED_VALUE"""),"13416")</f>
        <v>13416</v>
      </c>
      <c r="D2795" s="6" t="str">
        <f>IFERROR(__xludf.DUMMYFUNCTION("""COMPUTED_VALUE"""),"Braxton")</f>
        <v>Braxton</v>
      </c>
      <c r="E2795" s="6" t="str">
        <f>IFERROR(__xludf.DUMMYFUNCTION("""COMPUTED_VALUE"""),"")</f>
        <v/>
      </c>
      <c r="F2795" s="6" t="str">
        <f>IFERROR(__xludf.DUMMYFUNCTION("""COMPUTED_VALUE"""),"Singleton")</f>
        <v>Singleton</v>
      </c>
      <c r="G2795" s="6" t="str">
        <f>IFERROR(__xludf.DUMMYFUNCTION("""COMPUTED_VALUE"""),"04/02/2013")</f>
        <v>04/02/2013</v>
      </c>
      <c r="H2795" s="6" t="str">
        <f>IFERROR(__xludf.DUMMYFUNCTION("""COMPUTED_VALUE"""),"male")</f>
        <v>male</v>
      </c>
      <c r="I2795" s="6" t="str">
        <f>IFERROR(__xludf.DUMMYFUNCTION("""COMPUTED_VALUE"""),"Middle School")</f>
        <v>Middle School</v>
      </c>
      <c r="J2795" s="6" t="str">
        <f>IFERROR(__xludf.DUMMYFUNCTION("""COMPUTED_VALUE"""),"7")</f>
        <v>7</v>
      </c>
      <c r="K2795" s="6" t="str">
        <f>IFERROR(__xludf.DUMMYFUNCTION("""COMPUTED_VALUE"""),"braxton.singleton@2hourlearning.com")</f>
        <v>braxton.singleton@2hourlearning.com</v>
      </c>
      <c r="L2795" s="6" t="str">
        <f>IFERROR(__xludf.DUMMYFUNCTION("""COMPUTED_VALUE"""),"Strata")</f>
        <v>Strata</v>
      </c>
      <c r="M2795" s="6" t="str">
        <f>IFERROR(__xludf.DUMMYFUNCTION("""COMPUTED_VALUE"""),"")</f>
        <v/>
      </c>
      <c r="N2795" s="6" t="str">
        <f>IFERROR(__xludf.DUMMYFUNCTION("""COMPUTED_VALUE"""),"")</f>
        <v/>
      </c>
      <c r="O2795" s="87" t="str">
        <f>IFERROR(__xludf.DUMMYFUNCTION("""COMPUTED_VALUE"""),"https://drive.google.com/drive/folders/10T2cTQHqEJZqE-st6uFKPoI?usp=share_link")</f>
        <v>https://drive.google.com/drive/folders/10T2cTQHqEJZqE-st6uFKPoI?usp=share_link</v>
      </c>
      <c r="P2795" s="6" t="str">
        <f>IFERROR(__xludf.DUMMYFUNCTION("""COMPUTED_VALUE"""),"Braxton Singleton")</f>
        <v>Braxton Singleton</v>
      </c>
      <c r="Q2795" s="6" t="str">
        <f>IFERROR(__xludf.DUMMYFUNCTION("""COMPUTED_VALUE"""),"MS")</f>
        <v>MS</v>
      </c>
      <c r="R2795" s="6">
        <f>IFERROR(__xludf.DUMMYFUNCTION("""COMPUTED_VALUE"""),0.0)</f>
        <v>0</v>
      </c>
      <c r="S2795" s="6" t="str">
        <f>IFERROR(__xludf.DUMMYFUNCTION("""COMPUTED_VALUE""")," ")</f>
        <v> </v>
      </c>
      <c r="T2795" s="6" t="str">
        <f>IFERROR(__xludf.DUMMYFUNCTION("""COMPUTED_VALUE"""),"")</f>
        <v/>
      </c>
      <c r="U2795" s="6" t="str">
        <f>IFERROR(__xludf.DUMMYFUNCTION("""COMPUTED_VALUE"""),"7")</f>
        <v>7</v>
      </c>
      <c r="V2795" s="6" t="str">
        <f>IFERROR(__xludf.DUMMYFUNCTION("""COMPUTED_VALUE"""),"")</f>
        <v/>
      </c>
      <c r="W2795" s="6" t="str">
        <f>IFERROR(__xludf.DUMMYFUNCTION("""COMPUTED_VALUE"""),"[]")</f>
        <v>[]</v>
      </c>
      <c r="X2795" s="6" t="str">
        <f>IFERROR(__xludf.DUMMYFUNCTION("""COMPUTED_VALUE"""),"Enrolled")</f>
        <v>Enrolled</v>
      </c>
    </row>
    <row r="2796">
      <c r="A2796" s="6" t="str">
        <f>IFERROR(__xludf.DUMMYFUNCTION("""COMPUTED_VALUE"""),"059-13429")</f>
        <v>059-13429</v>
      </c>
      <c r="B2796" s="6" t="str">
        <f>IFERROR(__xludf.DUMMYFUNCTION("""COMPUTED_VALUE"""),"59")</f>
        <v>59</v>
      </c>
      <c r="C2796" s="6" t="str">
        <f>IFERROR(__xludf.DUMMYFUNCTION("""COMPUTED_VALUE"""),"13429")</f>
        <v>13429</v>
      </c>
      <c r="D2796" s="6" t="str">
        <f>IFERROR(__xludf.DUMMYFUNCTION("""COMPUTED_VALUE"""),"Wyatt")</f>
        <v>Wyatt</v>
      </c>
      <c r="E2796" s="6" t="str">
        <f>IFERROR(__xludf.DUMMYFUNCTION("""COMPUTED_VALUE"""),"")</f>
        <v/>
      </c>
      <c r="F2796" s="6" t="str">
        <f>IFERROR(__xludf.DUMMYFUNCTION("""COMPUTED_VALUE"""),"Kolb")</f>
        <v>Kolb</v>
      </c>
      <c r="G2796" s="6" t="str">
        <f>IFERROR(__xludf.DUMMYFUNCTION("""COMPUTED_VALUE"""),"06/24/2013")</f>
        <v>06/24/2013</v>
      </c>
      <c r="H2796" s="6" t="str">
        <f>IFERROR(__xludf.DUMMYFUNCTION("""COMPUTED_VALUE"""),"male")</f>
        <v>male</v>
      </c>
      <c r="I2796" s="6" t="str">
        <f>IFERROR(__xludf.DUMMYFUNCTION("""COMPUTED_VALUE"""),"Middle School")</f>
        <v>Middle School</v>
      </c>
      <c r="J2796" s="6" t="str">
        <f>IFERROR(__xludf.DUMMYFUNCTION("""COMPUTED_VALUE"""),"7")</f>
        <v>7</v>
      </c>
      <c r="K2796" s="6" t="str">
        <f>IFERROR(__xludf.DUMMYFUNCTION("""COMPUTED_VALUE"""),"wyatt.kolb@2hourlearning.com")</f>
        <v>wyatt.kolb@2hourlearning.com</v>
      </c>
      <c r="L2796" s="6" t="str">
        <f>IFERROR(__xludf.DUMMYFUNCTION("""COMPUTED_VALUE"""),"Strata")</f>
        <v>Strata</v>
      </c>
      <c r="M2796" s="6" t="str">
        <f>IFERROR(__xludf.DUMMYFUNCTION("""COMPUTED_VALUE"""),"")</f>
        <v/>
      </c>
      <c r="N2796" s="6" t="str">
        <f>IFERROR(__xludf.DUMMYFUNCTION("""COMPUTED_VALUE"""),"")</f>
        <v/>
      </c>
      <c r="O2796" s="87" t="str">
        <f>IFERROR(__xludf.DUMMYFUNCTION("""COMPUTED_VALUE"""),"https://drive.google.com/drive/folders/10T2cTQHqEJZqE-st6uFKPoI?usp=share_link")</f>
        <v>https://drive.google.com/drive/folders/10T2cTQHqEJZqE-st6uFKPoI?usp=share_link</v>
      </c>
      <c r="P2796" s="6" t="str">
        <f>IFERROR(__xludf.DUMMYFUNCTION("""COMPUTED_VALUE"""),"Wyatt Kolb")</f>
        <v>Wyatt Kolb</v>
      </c>
      <c r="Q2796" s="6" t="str">
        <f>IFERROR(__xludf.DUMMYFUNCTION("""COMPUTED_VALUE"""),"MS")</f>
        <v>MS</v>
      </c>
      <c r="R2796" s="6">
        <f>IFERROR(__xludf.DUMMYFUNCTION("""COMPUTED_VALUE"""),0.0)</f>
        <v>0</v>
      </c>
      <c r="S2796" s="6" t="str">
        <f>IFERROR(__xludf.DUMMYFUNCTION("""COMPUTED_VALUE""")," ")</f>
        <v> </v>
      </c>
      <c r="T2796" s="6" t="str">
        <f>IFERROR(__xludf.DUMMYFUNCTION("""COMPUTED_VALUE"""),"")</f>
        <v/>
      </c>
      <c r="U2796" s="6" t="str">
        <f>IFERROR(__xludf.DUMMYFUNCTION("""COMPUTED_VALUE"""),"7")</f>
        <v>7</v>
      </c>
      <c r="V2796" s="6" t="str">
        <f>IFERROR(__xludf.DUMMYFUNCTION("""COMPUTED_VALUE"""),"")</f>
        <v/>
      </c>
      <c r="W2796" s="6" t="str">
        <f>IFERROR(__xludf.DUMMYFUNCTION("""COMPUTED_VALUE"""),"[]")</f>
        <v>[]</v>
      </c>
      <c r="X2796" s="6" t="str">
        <f>IFERROR(__xludf.DUMMYFUNCTION("""COMPUTED_VALUE"""),"Enrolled")</f>
        <v>Enrolled</v>
      </c>
    </row>
    <row r="2797">
      <c r="A2797" s="6" t="str">
        <f>IFERROR(__xludf.DUMMYFUNCTION("""COMPUTED_VALUE"""),"059-13437")</f>
        <v>059-13437</v>
      </c>
      <c r="B2797" s="6" t="str">
        <f>IFERROR(__xludf.DUMMYFUNCTION("""COMPUTED_VALUE"""),"59")</f>
        <v>59</v>
      </c>
      <c r="C2797" s="6" t="str">
        <f>IFERROR(__xludf.DUMMYFUNCTION("""COMPUTED_VALUE"""),"13437")</f>
        <v>13437</v>
      </c>
      <c r="D2797" s="6" t="str">
        <f>IFERROR(__xludf.DUMMYFUNCTION("""COMPUTED_VALUE"""),"Hudson")</f>
        <v>Hudson</v>
      </c>
      <c r="E2797" s="6" t="str">
        <f>IFERROR(__xludf.DUMMYFUNCTION("""COMPUTED_VALUE"""),"")</f>
        <v/>
      </c>
      <c r="F2797" s="6" t="str">
        <f>IFERROR(__xludf.DUMMYFUNCTION("""COMPUTED_VALUE"""),"Taylor")</f>
        <v>Taylor</v>
      </c>
      <c r="G2797" s="6" t="str">
        <f>IFERROR(__xludf.DUMMYFUNCTION("""COMPUTED_VALUE"""),"10/02/2014")</f>
        <v>10/02/2014</v>
      </c>
      <c r="H2797" s="6" t="str">
        <f>IFERROR(__xludf.DUMMYFUNCTION("""COMPUTED_VALUE"""),"male")</f>
        <v>male</v>
      </c>
      <c r="I2797" s="6" t="str">
        <f>IFERROR(__xludf.DUMMYFUNCTION("""COMPUTED_VALUE"""),"Level 2")</f>
        <v>Level 2</v>
      </c>
      <c r="J2797" s="6" t="str">
        <f>IFERROR(__xludf.DUMMYFUNCTION("""COMPUTED_VALUE"""),"5")</f>
        <v>5</v>
      </c>
      <c r="K2797" s="6" t="str">
        <f>IFERROR(__xludf.DUMMYFUNCTION("""COMPUTED_VALUE"""),"hudson.taylor@2hourlearning.com")</f>
        <v>hudson.taylor@2hourlearning.com</v>
      </c>
      <c r="L2797" s="6" t="str">
        <f>IFERROR(__xludf.DUMMYFUNCTION("""COMPUTED_VALUE"""),"Strata")</f>
        <v>Strata</v>
      </c>
      <c r="M2797" s="6" t="str">
        <f>IFERROR(__xludf.DUMMYFUNCTION("""COMPUTED_VALUE"""),"")</f>
        <v/>
      </c>
      <c r="N2797" s="6" t="str">
        <f>IFERROR(__xludf.DUMMYFUNCTION("""COMPUTED_VALUE"""),"")</f>
        <v/>
      </c>
      <c r="O2797" s="87" t="str">
        <f>IFERROR(__xludf.DUMMYFUNCTION("""COMPUTED_VALUE"""),"https://drive.google.com/drive/folders/10T2cTQHqEJZqE-st6uFKPoI?usp=share_link")</f>
        <v>https://drive.google.com/drive/folders/10T2cTQHqEJZqE-st6uFKPoI?usp=share_link</v>
      </c>
      <c r="P2797" s="6" t="str">
        <f>IFERROR(__xludf.DUMMYFUNCTION("""COMPUTED_VALUE"""),"Hudson Taylor")</f>
        <v>Hudson Taylor</v>
      </c>
      <c r="Q2797" s="6" t="str">
        <f>IFERROR(__xludf.DUMMYFUNCTION("""COMPUTED_VALUE"""),"L2")</f>
        <v>L2</v>
      </c>
      <c r="R2797" s="6">
        <f>IFERROR(__xludf.DUMMYFUNCTION("""COMPUTED_VALUE"""),2.0)</f>
        <v>2</v>
      </c>
      <c r="S2797" s="6" t="str">
        <f>IFERROR(__xludf.DUMMYFUNCTION("""COMPUTED_VALUE""")," ")</f>
        <v> </v>
      </c>
      <c r="T2797" s="6" t="str">
        <f>IFERROR(__xludf.DUMMYFUNCTION("""COMPUTED_VALUE"""),"")</f>
        <v/>
      </c>
      <c r="U2797" s="6" t="str">
        <f>IFERROR(__xludf.DUMMYFUNCTION("""COMPUTED_VALUE"""),"5")</f>
        <v>5</v>
      </c>
      <c r="V2797" s="6" t="str">
        <f>IFERROR(__xludf.DUMMYFUNCTION("""COMPUTED_VALUE"""),"")</f>
        <v/>
      </c>
      <c r="W2797" s="6" t="str">
        <f>IFERROR(__xludf.DUMMYFUNCTION("""COMPUTED_VALUE"""),"[]")</f>
        <v>[]</v>
      </c>
      <c r="X2797" s="6" t="str">
        <f>IFERROR(__xludf.DUMMYFUNCTION("""COMPUTED_VALUE"""),"Enrolled")</f>
        <v>Enrolled</v>
      </c>
    </row>
    <row r="2798">
      <c r="A2798" s="6" t="str">
        <f>IFERROR(__xludf.DUMMYFUNCTION("""COMPUTED_VALUE"""),"059-13438")</f>
        <v>059-13438</v>
      </c>
      <c r="B2798" s="6" t="str">
        <f>IFERROR(__xludf.DUMMYFUNCTION("""COMPUTED_VALUE"""),"59")</f>
        <v>59</v>
      </c>
      <c r="C2798" s="6" t="str">
        <f>IFERROR(__xludf.DUMMYFUNCTION("""COMPUTED_VALUE"""),"13438")</f>
        <v>13438</v>
      </c>
      <c r="D2798" s="6" t="str">
        <f>IFERROR(__xludf.DUMMYFUNCTION("""COMPUTED_VALUE"""),"Christian")</f>
        <v>Christian</v>
      </c>
      <c r="E2798" s="6" t="str">
        <f>IFERROR(__xludf.DUMMYFUNCTION("""COMPUTED_VALUE"""),"")</f>
        <v/>
      </c>
      <c r="F2798" s="6" t="str">
        <f>IFERROR(__xludf.DUMMYFUNCTION("""COMPUTED_VALUE"""),"Stephens")</f>
        <v>Stephens</v>
      </c>
      <c r="G2798" s="6" t="str">
        <f>IFERROR(__xludf.DUMMYFUNCTION("""COMPUTED_VALUE"""),"01/15/2013")</f>
        <v>01/15/2013</v>
      </c>
      <c r="H2798" s="6" t="str">
        <f>IFERROR(__xludf.DUMMYFUNCTION("""COMPUTED_VALUE"""),"male")</f>
        <v>male</v>
      </c>
      <c r="I2798" s="6" t="str">
        <f>IFERROR(__xludf.DUMMYFUNCTION("""COMPUTED_VALUE"""),"Middle School")</f>
        <v>Middle School</v>
      </c>
      <c r="J2798" s="6" t="str">
        <f>IFERROR(__xludf.DUMMYFUNCTION("""COMPUTED_VALUE"""),"7")</f>
        <v>7</v>
      </c>
      <c r="K2798" s="6" t="str">
        <f>IFERROR(__xludf.DUMMYFUNCTION("""COMPUTED_VALUE"""),"christian.stephens@2hourlearning.com")</f>
        <v>christian.stephens@2hourlearning.com</v>
      </c>
      <c r="L2798" s="6" t="str">
        <f>IFERROR(__xludf.DUMMYFUNCTION("""COMPUTED_VALUE"""),"Strata")</f>
        <v>Strata</v>
      </c>
      <c r="M2798" s="6" t="str">
        <f>IFERROR(__xludf.DUMMYFUNCTION("""COMPUTED_VALUE"""),"")</f>
        <v/>
      </c>
      <c r="N2798" s="6" t="str">
        <f>IFERROR(__xludf.DUMMYFUNCTION("""COMPUTED_VALUE"""),"")</f>
        <v/>
      </c>
      <c r="O2798" s="87" t="str">
        <f>IFERROR(__xludf.DUMMYFUNCTION("""COMPUTED_VALUE"""),"https://drive.google.com/drive/folders/10T2cTQHqEJZqE-st6uFKPoI?usp=share_link")</f>
        <v>https://drive.google.com/drive/folders/10T2cTQHqEJZqE-st6uFKPoI?usp=share_link</v>
      </c>
      <c r="P2798" s="6" t="str">
        <f>IFERROR(__xludf.DUMMYFUNCTION("""COMPUTED_VALUE"""),"Christian Stephens")</f>
        <v>Christian Stephens</v>
      </c>
      <c r="Q2798" s="6" t="str">
        <f>IFERROR(__xludf.DUMMYFUNCTION("""COMPUTED_VALUE"""),"MS")</f>
        <v>MS</v>
      </c>
      <c r="R2798" s="6">
        <f>IFERROR(__xludf.DUMMYFUNCTION("""COMPUTED_VALUE"""),0.0)</f>
        <v>0</v>
      </c>
      <c r="S2798" s="6" t="str">
        <f>IFERROR(__xludf.DUMMYFUNCTION("""COMPUTED_VALUE""")," ")</f>
        <v> </v>
      </c>
      <c r="T2798" s="6" t="str">
        <f>IFERROR(__xludf.DUMMYFUNCTION("""COMPUTED_VALUE"""),"")</f>
        <v/>
      </c>
      <c r="U2798" s="6" t="str">
        <f>IFERROR(__xludf.DUMMYFUNCTION("""COMPUTED_VALUE"""),"7")</f>
        <v>7</v>
      </c>
      <c r="V2798" s="6" t="str">
        <f>IFERROR(__xludf.DUMMYFUNCTION("""COMPUTED_VALUE"""),"")</f>
        <v/>
      </c>
      <c r="W2798" s="6" t="str">
        <f>IFERROR(__xludf.DUMMYFUNCTION("""COMPUTED_VALUE"""),"[]")</f>
        <v>[]</v>
      </c>
      <c r="X2798" s="6" t="str">
        <f>IFERROR(__xludf.DUMMYFUNCTION("""COMPUTED_VALUE"""),"Enrolled")</f>
        <v>Enrolled</v>
      </c>
    </row>
    <row r="2799">
      <c r="A2799" s="6" t="str">
        <f>IFERROR(__xludf.DUMMYFUNCTION("""COMPUTED_VALUE"""),"059-13452")</f>
        <v>059-13452</v>
      </c>
      <c r="B2799" s="6" t="str">
        <f>IFERROR(__xludf.DUMMYFUNCTION("""COMPUTED_VALUE"""),"59")</f>
        <v>59</v>
      </c>
      <c r="C2799" s="6" t="str">
        <f>IFERROR(__xludf.DUMMYFUNCTION("""COMPUTED_VALUE"""),"13452")</f>
        <v>13452</v>
      </c>
      <c r="D2799" s="6" t="str">
        <f>IFERROR(__xludf.DUMMYFUNCTION("""COMPUTED_VALUE"""),"Caroline")</f>
        <v>Caroline</v>
      </c>
      <c r="E2799" s="6" t="str">
        <f>IFERROR(__xludf.DUMMYFUNCTION("""COMPUTED_VALUE"""),"")</f>
        <v/>
      </c>
      <c r="F2799" s="6" t="str">
        <f>IFERROR(__xludf.DUMMYFUNCTION("""COMPUTED_VALUE"""),"Bernhard")</f>
        <v>Bernhard</v>
      </c>
      <c r="G2799" s="6" t="str">
        <f>IFERROR(__xludf.DUMMYFUNCTION("""COMPUTED_VALUE"""),"09/15/2012")</f>
        <v>09/15/2012</v>
      </c>
      <c r="H2799" s="6" t="str">
        <f>IFERROR(__xludf.DUMMYFUNCTION("""COMPUTED_VALUE"""),"male")</f>
        <v>male</v>
      </c>
      <c r="I2799" s="6" t="str">
        <f>IFERROR(__xludf.DUMMYFUNCTION("""COMPUTED_VALUE"""),"Middle School")</f>
        <v>Middle School</v>
      </c>
      <c r="J2799" s="6" t="str">
        <f>IFERROR(__xludf.DUMMYFUNCTION("""COMPUTED_VALUE"""),"7")</f>
        <v>7</v>
      </c>
      <c r="K2799" s="6" t="str">
        <f>IFERROR(__xludf.DUMMYFUNCTION("""COMPUTED_VALUE"""),"caroline.bernhard@2hourlearning.com")</f>
        <v>caroline.bernhard@2hourlearning.com</v>
      </c>
      <c r="L2799" s="6" t="str">
        <f>IFERROR(__xludf.DUMMYFUNCTION("""COMPUTED_VALUE"""),"Strata")</f>
        <v>Strata</v>
      </c>
      <c r="M2799" s="6" t="str">
        <f>IFERROR(__xludf.DUMMYFUNCTION("""COMPUTED_VALUE"""),"")</f>
        <v/>
      </c>
      <c r="N2799" s="6" t="str">
        <f>IFERROR(__xludf.DUMMYFUNCTION("""COMPUTED_VALUE"""),"")</f>
        <v/>
      </c>
      <c r="O2799" s="87" t="str">
        <f>IFERROR(__xludf.DUMMYFUNCTION("""COMPUTED_VALUE"""),"https://drive.google.com/drive/folders/10T2cTQHqEJZqE-st6uFKPoI?usp=share_link")</f>
        <v>https://drive.google.com/drive/folders/10T2cTQHqEJZqE-st6uFKPoI?usp=share_link</v>
      </c>
      <c r="P2799" s="6" t="str">
        <f>IFERROR(__xludf.DUMMYFUNCTION("""COMPUTED_VALUE"""),"Caroline Bernhard")</f>
        <v>Caroline Bernhard</v>
      </c>
      <c r="Q2799" s="6" t="str">
        <f>IFERROR(__xludf.DUMMYFUNCTION("""COMPUTED_VALUE"""),"MS")</f>
        <v>MS</v>
      </c>
      <c r="R2799" s="6">
        <f>IFERROR(__xludf.DUMMYFUNCTION("""COMPUTED_VALUE"""),0.0)</f>
        <v>0</v>
      </c>
      <c r="S2799" s="6" t="str">
        <f>IFERROR(__xludf.DUMMYFUNCTION("""COMPUTED_VALUE""")," ")</f>
        <v> </v>
      </c>
      <c r="T2799" s="6" t="str">
        <f>IFERROR(__xludf.DUMMYFUNCTION("""COMPUTED_VALUE"""),"")</f>
        <v/>
      </c>
      <c r="U2799" s="6" t="str">
        <f>IFERROR(__xludf.DUMMYFUNCTION("""COMPUTED_VALUE"""),"7")</f>
        <v>7</v>
      </c>
      <c r="V2799" s="6" t="str">
        <f>IFERROR(__xludf.DUMMYFUNCTION("""COMPUTED_VALUE"""),"")</f>
        <v/>
      </c>
      <c r="W2799" s="6" t="str">
        <f>IFERROR(__xludf.DUMMYFUNCTION("""COMPUTED_VALUE"""),"[]")</f>
        <v>[]</v>
      </c>
      <c r="X2799" s="6" t="str">
        <f>IFERROR(__xludf.DUMMYFUNCTION("""COMPUTED_VALUE"""),"Enrolled")</f>
        <v>Enrolled</v>
      </c>
    </row>
    <row r="2800">
      <c r="A2800" s="6" t="str">
        <f>IFERROR(__xludf.DUMMYFUNCTION("""COMPUTED_VALUE"""),"059-13459")</f>
        <v>059-13459</v>
      </c>
      <c r="B2800" s="6" t="str">
        <f>IFERROR(__xludf.DUMMYFUNCTION("""COMPUTED_VALUE"""),"59")</f>
        <v>59</v>
      </c>
      <c r="C2800" s="6" t="str">
        <f>IFERROR(__xludf.DUMMYFUNCTION("""COMPUTED_VALUE"""),"13459")</f>
        <v>13459</v>
      </c>
      <c r="D2800" s="6" t="str">
        <f>IFERROR(__xludf.DUMMYFUNCTION("""COMPUTED_VALUE"""),"Robert")</f>
        <v>Robert</v>
      </c>
      <c r="E2800" s="6" t="str">
        <f>IFERROR(__xludf.DUMMYFUNCTION("""COMPUTED_VALUE"""),"")</f>
        <v/>
      </c>
      <c r="F2800" s="6" t="str">
        <f>IFERROR(__xludf.DUMMYFUNCTION("""COMPUTED_VALUE"""),"Bernhard")</f>
        <v>Bernhard</v>
      </c>
      <c r="G2800" s="6" t="str">
        <f>IFERROR(__xludf.DUMMYFUNCTION("""COMPUTED_VALUE"""),"08/19/2014")</f>
        <v>08/19/2014</v>
      </c>
      <c r="H2800" s="6" t="str">
        <f>IFERROR(__xludf.DUMMYFUNCTION("""COMPUTED_VALUE"""),"male")</f>
        <v>male</v>
      </c>
      <c r="I2800" s="6" t="str">
        <f>IFERROR(__xludf.DUMMYFUNCTION("""COMPUTED_VALUE"""),"Level 2")</f>
        <v>Level 2</v>
      </c>
      <c r="J2800" s="6" t="str">
        <f>IFERROR(__xludf.DUMMYFUNCTION("""COMPUTED_VALUE"""),"5")</f>
        <v>5</v>
      </c>
      <c r="K2800" s="6" t="str">
        <f>IFERROR(__xludf.DUMMYFUNCTION("""COMPUTED_VALUE"""),"robert.bernhard@2hourlearning.com")</f>
        <v>robert.bernhard@2hourlearning.com</v>
      </c>
      <c r="L2800" s="6" t="str">
        <f>IFERROR(__xludf.DUMMYFUNCTION("""COMPUTED_VALUE"""),"Strata")</f>
        <v>Strata</v>
      </c>
      <c r="M2800" s="6" t="str">
        <f>IFERROR(__xludf.DUMMYFUNCTION("""COMPUTED_VALUE"""),"")</f>
        <v/>
      </c>
      <c r="N2800" s="6" t="str">
        <f>IFERROR(__xludf.DUMMYFUNCTION("""COMPUTED_VALUE"""),"")</f>
        <v/>
      </c>
      <c r="O2800" s="87" t="str">
        <f>IFERROR(__xludf.DUMMYFUNCTION("""COMPUTED_VALUE"""),"https://drive.google.com/drive/folders/10T2cTQHqEJZqE-st6uFKPoI?usp=share_link")</f>
        <v>https://drive.google.com/drive/folders/10T2cTQHqEJZqE-st6uFKPoI?usp=share_link</v>
      </c>
      <c r="P2800" s="6" t="str">
        <f>IFERROR(__xludf.DUMMYFUNCTION("""COMPUTED_VALUE"""),"Robert Bernhard")</f>
        <v>Robert Bernhard</v>
      </c>
      <c r="Q2800" s="6" t="str">
        <f>IFERROR(__xludf.DUMMYFUNCTION("""COMPUTED_VALUE"""),"L2")</f>
        <v>L2</v>
      </c>
      <c r="R2800" s="6">
        <f>IFERROR(__xludf.DUMMYFUNCTION("""COMPUTED_VALUE"""),2.0)</f>
        <v>2</v>
      </c>
      <c r="S2800" s="6" t="str">
        <f>IFERROR(__xludf.DUMMYFUNCTION("""COMPUTED_VALUE""")," ")</f>
        <v> </v>
      </c>
      <c r="T2800" s="6" t="str">
        <f>IFERROR(__xludf.DUMMYFUNCTION("""COMPUTED_VALUE"""),"")</f>
        <v/>
      </c>
      <c r="U2800" s="6" t="str">
        <f>IFERROR(__xludf.DUMMYFUNCTION("""COMPUTED_VALUE"""),"5")</f>
        <v>5</v>
      </c>
      <c r="V2800" s="6" t="str">
        <f>IFERROR(__xludf.DUMMYFUNCTION("""COMPUTED_VALUE"""),"")</f>
        <v/>
      </c>
      <c r="W2800" s="6" t="str">
        <f>IFERROR(__xludf.DUMMYFUNCTION("""COMPUTED_VALUE"""),"[]")</f>
        <v>[]</v>
      </c>
      <c r="X2800" s="6" t="str">
        <f>IFERROR(__xludf.DUMMYFUNCTION("""COMPUTED_VALUE"""),"Enrolled")</f>
        <v>Enrolled</v>
      </c>
    </row>
    <row r="2801">
      <c r="A2801" s="6" t="str">
        <f>IFERROR(__xludf.DUMMYFUNCTION("""COMPUTED_VALUE"""),"059-13462")</f>
        <v>059-13462</v>
      </c>
      <c r="B2801" s="6" t="str">
        <f>IFERROR(__xludf.DUMMYFUNCTION("""COMPUTED_VALUE"""),"59")</f>
        <v>59</v>
      </c>
      <c r="C2801" s="6" t="str">
        <f>IFERROR(__xludf.DUMMYFUNCTION("""COMPUTED_VALUE"""),"13462")</f>
        <v>13462</v>
      </c>
      <c r="D2801" s="6" t="str">
        <f>IFERROR(__xludf.DUMMYFUNCTION("""COMPUTED_VALUE"""),"Jagger")</f>
        <v>Jagger</v>
      </c>
      <c r="E2801" s="6" t="str">
        <f>IFERROR(__xludf.DUMMYFUNCTION("""COMPUTED_VALUE"""),"")</f>
        <v/>
      </c>
      <c r="F2801" s="6" t="str">
        <f>IFERROR(__xludf.DUMMYFUNCTION("""COMPUTED_VALUE"""),"Williams")</f>
        <v>Williams</v>
      </c>
      <c r="G2801" s="6" t="str">
        <f>IFERROR(__xludf.DUMMYFUNCTION("""COMPUTED_VALUE"""),"06/29/2010")</f>
        <v>06/29/2010</v>
      </c>
      <c r="H2801" s="6" t="str">
        <f>IFERROR(__xludf.DUMMYFUNCTION("""COMPUTED_VALUE"""),"male")</f>
        <v>male</v>
      </c>
      <c r="I2801" s="6" t="str">
        <f>IFERROR(__xludf.DUMMYFUNCTION("""COMPUTED_VALUE"""),"High School")</f>
        <v>High School</v>
      </c>
      <c r="J2801" s="6" t="str">
        <f>IFERROR(__xludf.DUMMYFUNCTION("""COMPUTED_VALUE"""),"9")</f>
        <v>9</v>
      </c>
      <c r="K2801" s="6" t="str">
        <f>IFERROR(__xludf.DUMMYFUNCTION("""COMPUTED_VALUE"""),"jagger.williams@2hourlearning.com")</f>
        <v>jagger.williams@2hourlearning.com</v>
      </c>
      <c r="L2801" s="6" t="str">
        <f>IFERROR(__xludf.DUMMYFUNCTION("""COMPUTED_VALUE"""),"Strata")</f>
        <v>Strata</v>
      </c>
      <c r="M2801" s="6" t="str">
        <f>IFERROR(__xludf.DUMMYFUNCTION("""COMPUTED_VALUE"""),"")</f>
        <v/>
      </c>
      <c r="N2801" s="6" t="str">
        <f>IFERROR(__xludf.DUMMYFUNCTION("""COMPUTED_VALUE"""),"")</f>
        <v/>
      </c>
      <c r="O2801" s="87" t="str">
        <f>IFERROR(__xludf.DUMMYFUNCTION("""COMPUTED_VALUE"""),"https://drive.google.com/drive/folders/10T2cTQHqEJZqE-st6uFKPoI?usp=share_link")</f>
        <v>https://drive.google.com/drive/folders/10T2cTQHqEJZqE-st6uFKPoI?usp=share_link</v>
      </c>
      <c r="P2801" s="6" t="str">
        <f>IFERROR(__xludf.DUMMYFUNCTION("""COMPUTED_VALUE"""),"Jagger Williams")</f>
        <v>Jagger Williams</v>
      </c>
      <c r="Q2801" s="6" t="str">
        <f>IFERROR(__xludf.DUMMYFUNCTION("""COMPUTED_VALUE"""),"HS")</f>
        <v>HS</v>
      </c>
      <c r="R2801" s="6">
        <f>IFERROR(__xludf.DUMMYFUNCTION("""COMPUTED_VALUE"""),0.0)</f>
        <v>0</v>
      </c>
      <c r="S2801" s="6" t="str">
        <f>IFERROR(__xludf.DUMMYFUNCTION("""COMPUTED_VALUE""")," ")</f>
        <v> </v>
      </c>
      <c r="T2801" s="6" t="str">
        <f>IFERROR(__xludf.DUMMYFUNCTION("""COMPUTED_VALUE"""),"")</f>
        <v/>
      </c>
      <c r="U2801" s="6" t="str">
        <f>IFERROR(__xludf.DUMMYFUNCTION("""COMPUTED_VALUE"""),"9")</f>
        <v>9</v>
      </c>
      <c r="V2801" s="6" t="str">
        <f>IFERROR(__xludf.DUMMYFUNCTION("""COMPUTED_VALUE"""),"")</f>
        <v/>
      </c>
      <c r="W2801" s="6" t="str">
        <f>IFERROR(__xludf.DUMMYFUNCTION("""COMPUTED_VALUE"""),"[]")</f>
        <v>[]</v>
      </c>
      <c r="X2801" s="6" t="str">
        <f>IFERROR(__xludf.DUMMYFUNCTION("""COMPUTED_VALUE"""),"Enrolled")</f>
        <v>Enrolled</v>
      </c>
    </row>
    <row r="2802">
      <c r="A2802" s="6" t="str">
        <f>IFERROR(__xludf.DUMMYFUNCTION("""COMPUTED_VALUE"""),"059-13465")</f>
        <v>059-13465</v>
      </c>
      <c r="B2802" s="6" t="str">
        <f>IFERROR(__xludf.DUMMYFUNCTION("""COMPUTED_VALUE"""),"59")</f>
        <v>59</v>
      </c>
      <c r="C2802" s="6" t="str">
        <f>IFERROR(__xludf.DUMMYFUNCTION("""COMPUTED_VALUE"""),"13465")</f>
        <v>13465</v>
      </c>
      <c r="D2802" s="6" t="str">
        <f>IFERROR(__xludf.DUMMYFUNCTION("""COMPUTED_VALUE"""),"Hatcher")</f>
        <v>Hatcher</v>
      </c>
      <c r="E2802" s="6" t="str">
        <f>IFERROR(__xludf.DUMMYFUNCTION("""COMPUTED_VALUE"""),"")</f>
        <v/>
      </c>
      <c r="F2802" s="6" t="str">
        <f>IFERROR(__xludf.DUMMYFUNCTION("""COMPUTED_VALUE"""),"St John")</f>
        <v>St John</v>
      </c>
      <c r="G2802" s="6" t="str">
        <f>IFERROR(__xludf.DUMMYFUNCTION("""COMPUTED_VALUE"""),"10/08/2015")</f>
        <v>10/08/2015</v>
      </c>
      <c r="H2802" s="6" t="str">
        <f>IFERROR(__xludf.DUMMYFUNCTION("""COMPUTED_VALUE"""),"male")</f>
        <v>male</v>
      </c>
      <c r="I2802" s="6" t="str">
        <f>IFERROR(__xludf.DUMMYFUNCTION("""COMPUTED_VALUE"""),"Level 2")</f>
        <v>Level 2</v>
      </c>
      <c r="J2802" s="6" t="str">
        <f>IFERROR(__xludf.DUMMYFUNCTION("""COMPUTED_VALUE"""),"4")</f>
        <v>4</v>
      </c>
      <c r="K2802" s="6" t="str">
        <f>IFERROR(__xludf.DUMMYFUNCTION("""COMPUTED_VALUE"""),"hatcher.stjohn@2hourlearning.com")</f>
        <v>hatcher.stjohn@2hourlearning.com</v>
      </c>
      <c r="L2802" s="6" t="str">
        <f>IFERROR(__xludf.DUMMYFUNCTION("""COMPUTED_VALUE"""),"Strata")</f>
        <v>Strata</v>
      </c>
      <c r="M2802" s="6" t="str">
        <f>IFERROR(__xludf.DUMMYFUNCTION("""COMPUTED_VALUE"""),"")</f>
        <v/>
      </c>
      <c r="N2802" s="6" t="str">
        <f>IFERROR(__xludf.DUMMYFUNCTION("""COMPUTED_VALUE"""),"")</f>
        <v/>
      </c>
      <c r="O2802" s="87" t="str">
        <f>IFERROR(__xludf.DUMMYFUNCTION("""COMPUTED_VALUE"""),"https://drive.google.com/drive/folders/10T2cTQHqEJZqE-st6uFKPoI?usp=share_link")</f>
        <v>https://drive.google.com/drive/folders/10T2cTQHqEJZqE-st6uFKPoI?usp=share_link</v>
      </c>
      <c r="P2802" s="6" t="str">
        <f>IFERROR(__xludf.DUMMYFUNCTION("""COMPUTED_VALUE"""),"Hatcher St John")</f>
        <v>Hatcher St John</v>
      </c>
      <c r="Q2802" s="6" t="str">
        <f>IFERROR(__xludf.DUMMYFUNCTION("""COMPUTED_VALUE"""),"L2")</f>
        <v>L2</v>
      </c>
      <c r="R2802" s="6">
        <f>IFERROR(__xludf.DUMMYFUNCTION("""COMPUTED_VALUE"""),2.0)</f>
        <v>2</v>
      </c>
      <c r="S2802" s="6" t="str">
        <f>IFERROR(__xludf.DUMMYFUNCTION("""COMPUTED_VALUE""")," ")</f>
        <v> </v>
      </c>
      <c r="T2802" s="6" t="str">
        <f>IFERROR(__xludf.DUMMYFUNCTION("""COMPUTED_VALUE"""),"")</f>
        <v/>
      </c>
      <c r="U2802" s="6" t="str">
        <f>IFERROR(__xludf.DUMMYFUNCTION("""COMPUTED_VALUE"""),"4")</f>
        <v>4</v>
      </c>
      <c r="V2802" s="6" t="str">
        <f>IFERROR(__xludf.DUMMYFUNCTION("""COMPUTED_VALUE"""),"")</f>
        <v/>
      </c>
      <c r="W2802" s="6" t="str">
        <f>IFERROR(__xludf.DUMMYFUNCTION("""COMPUTED_VALUE"""),"[]")</f>
        <v>[]</v>
      </c>
      <c r="X2802" s="6" t="str">
        <f>IFERROR(__xludf.DUMMYFUNCTION("""COMPUTED_VALUE"""),"Enrolled")</f>
        <v>Enrolled</v>
      </c>
    </row>
    <row r="2803">
      <c r="A2803" s="6" t="str">
        <f>IFERROR(__xludf.DUMMYFUNCTION("""COMPUTED_VALUE"""),"059-13466")</f>
        <v>059-13466</v>
      </c>
      <c r="B2803" s="6" t="str">
        <f>IFERROR(__xludf.DUMMYFUNCTION("""COMPUTED_VALUE"""),"59")</f>
        <v>59</v>
      </c>
      <c r="C2803" s="6" t="str">
        <f>IFERROR(__xludf.DUMMYFUNCTION("""COMPUTED_VALUE"""),"13466")</f>
        <v>13466</v>
      </c>
      <c r="D2803" s="6" t="str">
        <f>IFERROR(__xludf.DUMMYFUNCTION("""COMPUTED_VALUE"""),"Graysen")</f>
        <v>Graysen</v>
      </c>
      <c r="E2803" s="6" t="str">
        <f>IFERROR(__xludf.DUMMYFUNCTION("""COMPUTED_VALUE"""),"")</f>
        <v/>
      </c>
      <c r="F2803" s="6" t="str">
        <f>IFERROR(__xludf.DUMMYFUNCTION("""COMPUTED_VALUE"""),"Flax")</f>
        <v>Flax</v>
      </c>
      <c r="G2803" s="6" t="str">
        <f>IFERROR(__xludf.DUMMYFUNCTION("""COMPUTED_VALUE"""),"05/03/2016")</f>
        <v>05/03/2016</v>
      </c>
      <c r="H2803" s="6" t="str">
        <f>IFERROR(__xludf.DUMMYFUNCTION("""COMPUTED_VALUE"""),"male")</f>
        <v>male</v>
      </c>
      <c r="I2803" s="6" t="str">
        <f>IFERROR(__xludf.DUMMYFUNCTION("""COMPUTED_VALUE"""),"Level 2")</f>
        <v>Level 2</v>
      </c>
      <c r="J2803" s="6" t="str">
        <f>IFERROR(__xludf.DUMMYFUNCTION("""COMPUTED_VALUE"""),"4")</f>
        <v>4</v>
      </c>
      <c r="K2803" s="6" t="str">
        <f>IFERROR(__xludf.DUMMYFUNCTION("""COMPUTED_VALUE"""),"graysen.flax@2hourlearning.com")</f>
        <v>graysen.flax@2hourlearning.com</v>
      </c>
      <c r="L2803" s="6" t="str">
        <f>IFERROR(__xludf.DUMMYFUNCTION("""COMPUTED_VALUE"""),"Strata")</f>
        <v>Strata</v>
      </c>
      <c r="M2803" s="6" t="str">
        <f>IFERROR(__xludf.DUMMYFUNCTION("""COMPUTED_VALUE"""),"")</f>
        <v/>
      </c>
      <c r="N2803" s="6" t="str">
        <f>IFERROR(__xludf.DUMMYFUNCTION("""COMPUTED_VALUE"""),"")</f>
        <v/>
      </c>
      <c r="O2803" s="87" t="str">
        <f>IFERROR(__xludf.DUMMYFUNCTION("""COMPUTED_VALUE"""),"https://drive.google.com/drive/folders/10T2cTQHqEJZqE-st6uFKPoI?usp=share_link")</f>
        <v>https://drive.google.com/drive/folders/10T2cTQHqEJZqE-st6uFKPoI?usp=share_link</v>
      </c>
      <c r="P2803" s="6" t="str">
        <f>IFERROR(__xludf.DUMMYFUNCTION("""COMPUTED_VALUE"""),"Graysen Flax")</f>
        <v>Graysen Flax</v>
      </c>
      <c r="Q2803" s="6" t="str">
        <f>IFERROR(__xludf.DUMMYFUNCTION("""COMPUTED_VALUE"""),"L2")</f>
        <v>L2</v>
      </c>
      <c r="R2803" s="6">
        <f>IFERROR(__xludf.DUMMYFUNCTION("""COMPUTED_VALUE"""),2.0)</f>
        <v>2</v>
      </c>
      <c r="S2803" s="6" t="str">
        <f>IFERROR(__xludf.DUMMYFUNCTION("""COMPUTED_VALUE""")," ")</f>
        <v> </v>
      </c>
      <c r="T2803" s="6" t="str">
        <f>IFERROR(__xludf.DUMMYFUNCTION("""COMPUTED_VALUE"""),"")</f>
        <v/>
      </c>
      <c r="U2803" s="6" t="str">
        <f>IFERROR(__xludf.DUMMYFUNCTION("""COMPUTED_VALUE"""),"4")</f>
        <v>4</v>
      </c>
      <c r="V2803" s="6" t="str">
        <f>IFERROR(__xludf.DUMMYFUNCTION("""COMPUTED_VALUE"""),"")</f>
        <v/>
      </c>
      <c r="W2803" s="6" t="str">
        <f>IFERROR(__xludf.DUMMYFUNCTION("""COMPUTED_VALUE"""),"[]")</f>
        <v>[]</v>
      </c>
      <c r="X2803" s="6" t="str">
        <f>IFERROR(__xludf.DUMMYFUNCTION("""COMPUTED_VALUE"""),"Enrolled")</f>
        <v>Enrolled</v>
      </c>
    </row>
    <row r="2804">
      <c r="A2804" s="6" t="str">
        <f>IFERROR(__xludf.DUMMYFUNCTION("""COMPUTED_VALUE"""),"059-2556")</f>
        <v>059-2556</v>
      </c>
      <c r="B2804" s="6" t="str">
        <f>IFERROR(__xludf.DUMMYFUNCTION("""COMPUTED_VALUE"""),"59")</f>
        <v>59</v>
      </c>
      <c r="C2804" s="6" t="str">
        <f>IFERROR(__xludf.DUMMYFUNCTION("""COMPUTED_VALUE"""),"2556")</f>
        <v>2556</v>
      </c>
      <c r="D2804" s="6" t="str">
        <f>IFERROR(__xludf.DUMMYFUNCTION("""COMPUTED_VALUE"""),"Dash")</f>
        <v>Dash</v>
      </c>
      <c r="E2804" s="6" t="str">
        <f>IFERROR(__xludf.DUMMYFUNCTION("""COMPUTED_VALUE"""),"")</f>
        <v/>
      </c>
      <c r="F2804" s="6" t="str">
        <f>IFERROR(__xludf.DUMMYFUNCTION("""COMPUTED_VALUE"""),"Dowell")</f>
        <v>Dowell</v>
      </c>
      <c r="G2804" s="6" t="str">
        <f>IFERROR(__xludf.DUMMYFUNCTION("""COMPUTED_VALUE"""),"09/16/2010")</f>
        <v>09/16/2010</v>
      </c>
      <c r="H2804" s="6" t="str">
        <f>IFERROR(__xludf.DUMMYFUNCTION("""COMPUTED_VALUE"""),"male")</f>
        <v>male</v>
      </c>
      <c r="I2804" s="6" t="str">
        <f>IFERROR(__xludf.DUMMYFUNCTION("""COMPUTED_VALUE"""),"High School")</f>
        <v>High School</v>
      </c>
      <c r="J2804" s="6" t="str">
        <f>IFERROR(__xludf.DUMMYFUNCTION("""COMPUTED_VALUE"""),"9")</f>
        <v>9</v>
      </c>
      <c r="K2804" s="6" t="str">
        <f>IFERROR(__xludf.DUMMYFUNCTION("""COMPUTED_VALUE"""),"dash.dowell@2hourlearning.com")</f>
        <v>dash.dowell@2hourlearning.com</v>
      </c>
      <c r="L2804" s="6" t="str">
        <f>IFERROR(__xludf.DUMMYFUNCTION("""COMPUTED_VALUE"""),"Strata")</f>
        <v>Strata</v>
      </c>
      <c r="M2804" s="6" t="str">
        <f>IFERROR(__xludf.DUMMYFUNCTION("""COMPUTED_VALUE"""),"")</f>
        <v/>
      </c>
      <c r="N2804" s="6" t="str">
        <f>IFERROR(__xludf.DUMMYFUNCTION("""COMPUTED_VALUE"""),"")</f>
        <v/>
      </c>
      <c r="O2804" s="87" t="str">
        <f>IFERROR(__xludf.DUMMYFUNCTION("""COMPUTED_VALUE"""),"https://drive.google.com/drive/folders/10T2cTQHqEJZqE-st6uFKPoI?usp=share_link")</f>
        <v>https://drive.google.com/drive/folders/10T2cTQHqEJZqE-st6uFKPoI?usp=share_link</v>
      </c>
      <c r="P2804" s="6" t="str">
        <f>IFERROR(__xludf.DUMMYFUNCTION("""COMPUTED_VALUE"""),"Dash Dowell")</f>
        <v>Dash Dowell</v>
      </c>
      <c r="Q2804" s="6" t="str">
        <f>IFERROR(__xludf.DUMMYFUNCTION("""COMPUTED_VALUE"""),"HS")</f>
        <v>HS</v>
      </c>
      <c r="R2804" s="6">
        <f>IFERROR(__xludf.DUMMYFUNCTION("""COMPUTED_VALUE"""),0.0)</f>
        <v>0</v>
      </c>
      <c r="S2804" s="6" t="str">
        <f>IFERROR(__xludf.DUMMYFUNCTION("""COMPUTED_VALUE""")," ")</f>
        <v> </v>
      </c>
      <c r="T2804" s="6" t="str">
        <f>IFERROR(__xludf.DUMMYFUNCTION("""COMPUTED_VALUE"""),"")</f>
        <v/>
      </c>
      <c r="U2804" s="6" t="str">
        <f>IFERROR(__xludf.DUMMYFUNCTION("""COMPUTED_VALUE"""),"9")</f>
        <v>9</v>
      </c>
      <c r="V2804" s="6" t="str">
        <f>IFERROR(__xludf.DUMMYFUNCTION("""COMPUTED_VALUE"""),"")</f>
        <v/>
      </c>
      <c r="W2804" s="6" t="str">
        <f>IFERROR(__xludf.DUMMYFUNCTION("""COMPUTED_VALUE"""),"[]")</f>
        <v>[]</v>
      </c>
      <c r="X2804" s="6" t="str">
        <f>IFERROR(__xludf.DUMMYFUNCTION("""COMPUTED_VALUE"""),"Enrolled")</f>
        <v>Enrolled</v>
      </c>
    </row>
    <row r="2805">
      <c r="A2805" s="6" t="str">
        <f>IFERROR(__xludf.DUMMYFUNCTION("""COMPUTED_VALUE"""),"059-3777")</f>
        <v>059-3777</v>
      </c>
      <c r="B2805" s="6" t="str">
        <f>IFERROR(__xludf.DUMMYFUNCTION("""COMPUTED_VALUE"""),"59")</f>
        <v>59</v>
      </c>
      <c r="C2805" s="6" t="str">
        <f>IFERROR(__xludf.DUMMYFUNCTION("""COMPUTED_VALUE"""),"3777")</f>
        <v>3777</v>
      </c>
      <c r="D2805" s="6" t="str">
        <f>IFERROR(__xludf.DUMMYFUNCTION("""COMPUTED_VALUE"""),"Christian")</f>
        <v>Christian</v>
      </c>
      <c r="E2805" s="6" t="str">
        <f>IFERROR(__xludf.DUMMYFUNCTION("""COMPUTED_VALUE"""),"")</f>
        <v/>
      </c>
      <c r="F2805" s="6" t="str">
        <f>IFERROR(__xludf.DUMMYFUNCTION("""COMPUTED_VALUE"""),"Salinas")</f>
        <v>Salinas</v>
      </c>
      <c r="G2805" s="6" t="str">
        <f>IFERROR(__xludf.DUMMYFUNCTION("""COMPUTED_VALUE"""),"04/10/2015")</f>
        <v>04/10/2015</v>
      </c>
      <c r="H2805" s="6" t="str">
        <f>IFERROR(__xludf.DUMMYFUNCTION("""COMPUTED_VALUE"""),"Self Identify")</f>
        <v>Self Identify</v>
      </c>
      <c r="I2805" s="6" t="str">
        <f>IFERROR(__xludf.DUMMYFUNCTION("""COMPUTED_VALUE"""),"Level 2")</f>
        <v>Level 2</v>
      </c>
      <c r="J2805" s="6" t="str">
        <f>IFERROR(__xludf.DUMMYFUNCTION("""COMPUTED_VALUE"""),"5")</f>
        <v>5</v>
      </c>
      <c r="K2805" s="6" t="str">
        <f>IFERROR(__xludf.DUMMYFUNCTION("""COMPUTED_VALUE"""),"christian.salinas@2hourlearning.com")</f>
        <v>christian.salinas@2hourlearning.com</v>
      </c>
      <c r="L2805" s="6" t="str">
        <f>IFERROR(__xludf.DUMMYFUNCTION("""COMPUTED_VALUE"""),"Strata")</f>
        <v>Strata</v>
      </c>
      <c r="M2805" s="6" t="str">
        <f>IFERROR(__xludf.DUMMYFUNCTION("""COMPUTED_VALUE"""),"")</f>
        <v/>
      </c>
      <c r="N2805" s="6" t="str">
        <f>IFERROR(__xludf.DUMMYFUNCTION("""COMPUTED_VALUE"""),"")</f>
        <v/>
      </c>
      <c r="O2805" s="87" t="str">
        <f>IFERROR(__xludf.DUMMYFUNCTION("""COMPUTED_VALUE"""),"https://drive.google.com/drive/folders/10T2cTQHqEJZqE-st6uFKPoI?usp=share_link")</f>
        <v>https://drive.google.com/drive/folders/10T2cTQHqEJZqE-st6uFKPoI?usp=share_link</v>
      </c>
      <c r="P2805" s="6" t="str">
        <f>IFERROR(__xludf.DUMMYFUNCTION("""COMPUTED_VALUE"""),"Christian Salinas")</f>
        <v>Christian Salinas</v>
      </c>
      <c r="Q2805" s="6" t="str">
        <f>IFERROR(__xludf.DUMMYFUNCTION("""COMPUTED_VALUE"""),"L2")</f>
        <v>L2</v>
      </c>
      <c r="R2805" s="6">
        <f>IFERROR(__xludf.DUMMYFUNCTION("""COMPUTED_VALUE"""),2.0)</f>
        <v>2</v>
      </c>
      <c r="S2805" s="6" t="str">
        <f>IFERROR(__xludf.DUMMYFUNCTION("""COMPUTED_VALUE""")," ")</f>
        <v> </v>
      </c>
      <c r="T2805" s="6" t="str">
        <f>IFERROR(__xludf.DUMMYFUNCTION("""COMPUTED_VALUE"""),"")</f>
        <v/>
      </c>
      <c r="U2805" s="6" t="str">
        <f>IFERROR(__xludf.DUMMYFUNCTION("""COMPUTED_VALUE"""),"5")</f>
        <v>5</v>
      </c>
      <c r="V2805" s="6" t="str">
        <f>IFERROR(__xludf.DUMMYFUNCTION("""COMPUTED_VALUE"""),"")</f>
        <v/>
      </c>
      <c r="W2805" s="6" t="str">
        <f>IFERROR(__xludf.DUMMYFUNCTION("""COMPUTED_VALUE"""),"[]")</f>
        <v>[]</v>
      </c>
      <c r="X2805" s="6" t="str">
        <f>IFERROR(__xludf.DUMMYFUNCTION("""COMPUTED_VALUE"""),"Pending Review")</f>
        <v>Pending Review</v>
      </c>
    </row>
    <row r="2806">
      <c r="A2806" s="6" t="str">
        <f>IFERROR(__xludf.DUMMYFUNCTION("""COMPUTED_VALUE"""),"059-4501")</f>
        <v>059-4501</v>
      </c>
      <c r="B2806" s="6" t="str">
        <f>IFERROR(__xludf.DUMMYFUNCTION("""COMPUTED_VALUE"""),"59")</f>
        <v>59</v>
      </c>
      <c r="C2806" s="6" t="str">
        <f>IFERROR(__xludf.DUMMYFUNCTION("""COMPUTED_VALUE"""),"4501")</f>
        <v>4501</v>
      </c>
      <c r="D2806" s="6" t="str">
        <f>IFERROR(__xludf.DUMMYFUNCTION("""COMPUTED_VALUE"""),"Emmett")</f>
        <v>Emmett</v>
      </c>
      <c r="E2806" s="6" t="str">
        <f>IFERROR(__xludf.DUMMYFUNCTION("""COMPUTED_VALUE"""),"")</f>
        <v/>
      </c>
      <c r="F2806" s="6" t="str">
        <f>IFERROR(__xludf.DUMMYFUNCTION("""COMPUTED_VALUE"""),"Escamilla")</f>
        <v>Escamilla</v>
      </c>
      <c r="G2806" s="6" t="str">
        <f>IFERROR(__xludf.DUMMYFUNCTION("""COMPUTED_VALUE"""),"09/15/2017")</f>
        <v>09/15/2017</v>
      </c>
      <c r="H2806" s="6" t="str">
        <f>IFERROR(__xludf.DUMMYFUNCTION("""COMPUTED_VALUE"""),"Self Identify")</f>
        <v>Self Identify</v>
      </c>
      <c r="I2806" s="6" t="str">
        <f>IFERROR(__xludf.DUMMYFUNCTION("""COMPUTED_VALUE"""),"Level 1")</f>
        <v>Level 1</v>
      </c>
      <c r="J2806" s="6" t="str">
        <f>IFERROR(__xludf.DUMMYFUNCTION("""COMPUTED_VALUE"""),"2")</f>
        <v>2</v>
      </c>
      <c r="K2806" s="6" t="str">
        <f>IFERROR(__xludf.DUMMYFUNCTION("""COMPUTED_VALUE"""),"emmett.escamilla@2hourlearning.com")</f>
        <v>emmett.escamilla@2hourlearning.com</v>
      </c>
      <c r="L2806" s="6" t="str">
        <f>IFERROR(__xludf.DUMMYFUNCTION("""COMPUTED_VALUE"""),"Strata")</f>
        <v>Strata</v>
      </c>
      <c r="M2806" s="6" t="str">
        <f>IFERROR(__xludf.DUMMYFUNCTION("""COMPUTED_VALUE"""),"")</f>
        <v/>
      </c>
      <c r="N2806" s="6" t="str">
        <f>IFERROR(__xludf.DUMMYFUNCTION("""COMPUTED_VALUE"""),"")</f>
        <v/>
      </c>
      <c r="O2806" s="87" t="str">
        <f>IFERROR(__xludf.DUMMYFUNCTION("""COMPUTED_VALUE"""),"https://drive.google.com/drive/folders/10T2cTQHqEJZqE-st6uFKPoI?usp=share_link")</f>
        <v>https://drive.google.com/drive/folders/10T2cTQHqEJZqE-st6uFKPoI?usp=share_link</v>
      </c>
      <c r="P2806" s="6" t="str">
        <f>IFERROR(__xludf.DUMMYFUNCTION("""COMPUTED_VALUE"""),"Emmett Escamilla")</f>
        <v>Emmett Escamilla</v>
      </c>
      <c r="Q2806" s="6" t="str">
        <f>IFERROR(__xludf.DUMMYFUNCTION("""COMPUTED_VALUE"""),"L1")</f>
        <v>L1</v>
      </c>
      <c r="R2806" s="6">
        <f>IFERROR(__xludf.DUMMYFUNCTION("""COMPUTED_VALUE"""),1.0)</f>
        <v>1</v>
      </c>
      <c r="S2806" s="6" t="str">
        <f>IFERROR(__xludf.DUMMYFUNCTION("""COMPUTED_VALUE""")," ")</f>
        <v> </v>
      </c>
      <c r="T2806" s="6" t="str">
        <f>IFERROR(__xludf.DUMMYFUNCTION("""COMPUTED_VALUE"""),"")</f>
        <v/>
      </c>
      <c r="U2806" s="6" t="str">
        <f>IFERROR(__xludf.DUMMYFUNCTION("""COMPUTED_VALUE"""),"2")</f>
        <v>2</v>
      </c>
      <c r="V2806" s="6" t="str">
        <f>IFERROR(__xludf.DUMMYFUNCTION("""COMPUTED_VALUE"""),"")</f>
        <v/>
      </c>
      <c r="W2806" s="6" t="str">
        <f>IFERROR(__xludf.DUMMYFUNCTION("""COMPUTED_VALUE"""),"[]")</f>
        <v>[]</v>
      </c>
      <c r="X2806" s="6" t="str">
        <f>IFERROR(__xludf.DUMMYFUNCTION("""COMPUTED_VALUE"""),"Enrolled")</f>
        <v>Enrolled</v>
      </c>
    </row>
    <row r="2807">
      <c r="A2807" s="6" t="str">
        <f>IFERROR(__xludf.DUMMYFUNCTION("""COMPUTED_VALUE"""),"059-4502")</f>
        <v>059-4502</v>
      </c>
      <c r="B2807" s="6" t="str">
        <f>IFERROR(__xludf.DUMMYFUNCTION("""COMPUTED_VALUE"""),"59")</f>
        <v>59</v>
      </c>
      <c r="C2807" s="6" t="str">
        <f>IFERROR(__xludf.DUMMYFUNCTION("""COMPUTED_VALUE"""),"4502")</f>
        <v>4502</v>
      </c>
      <c r="D2807" s="6" t="str">
        <f>IFERROR(__xludf.DUMMYFUNCTION("""COMPUTED_VALUE"""),"Lukkas")</f>
        <v>Lukkas</v>
      </c>
      <c r="E2807" s="6" t="str">
        <f>IFERROR(__xludf.DUMMYFUNCTION("""COMPUTED_VALUE"""),"")</f>
        <v/>
      </c>
      <c r="F2807" s="6" t="str">
        <f>IFERROR(__xludf.DUMMYFUNCTION("""COMPUTED_VALUE"""),"Powao")</f>
        <v>Powao</v>
      </c>
      <c r="G2807" s="6" t="str">
        <f>IFERROR(__xludf.DUMMYFUNCTION("""COMPUTED_VALUE"""),"09/24/2017")</f>
        <v>09/24/2017</v>
      </c>
      <c r="H2807" s="6" t="str">
        <f>IFERROR(__xludf.DUMMYFUNCTION("""COMPUTED_VALUE"""),"Self Identify")</f>
        <v>Self Identify</v>
      </c>
      <c r="I2807" s="6" t="str">
        <f>IFERROR(__xludf.DUMMYFUNCTION("""COMPUTED_VALUE"""),"Level 1")</f>
        <v>Level 1</v>
      </c>
      <c r="J2807" s="6" t="str">
        <f>IFERROR(__xludf.DUMMYFUNCTION("""COMPUTED_VALUE"""),"2")</f>
        <v>2</v>
      </c>
      <c r="K2807" s="6" t="str">
        <f>IFERROR(__xludf.DUMMYFUNCTION("""COMPUTED_VALUE"""),"lukkas.powao@2hourlearning.com")</f>
        <v>lukkas.powao@2hourlearning.com</v>
      </c>
      <c r="L2807" s="6" t="str">
        <f>IFERROR(__xludf.DUMMYFUNCTION("""COMPUTED_VALUE"""),"Strata")</f>
        <v>Strata</v>
      </c>
      <c r="M2807" s="6" t="str">
        <f>IFERROR(__xludf.DUMMYFUNCTION("""COMPUTED_VALUE"""),"")</f>
        <v/>
      </c>
      <c r="N2807" s="6" t="str">
        <f>IFERROR(__xludf.DUMMYFUNCTION("""COMPUTED_VALUE"""),"")</f>
        <v/>
      </c>
      <c r="O2807" s="87" t="str">
        <f>IFERROR(__xludf.DUMMYFUNCTION("""COMPUTED_VALUE"""),"https://drive.google.com/drive/folders/10T2cTQHqEJZqE-st6uFKPoI?usp=share_link")</f>
        <v>https://drive.google.com/drive/folders/10T2cTQHqEJZqE-st6uFKPoI?usp=share_link</v>
      </c>
      <c r="P2807" s="6" t="str">
        <f>IFERROR(__xludf.DUMMYFUNCTION("""COMPUTED_VALUE"""),"Lukkas Powao")</f>
        <v>Lukkas Powao</v>
      </c>
      <c r="Q2807" s="6" t="str">
        <f>IFERROR(__xludf.DUMMYFUNCTION("""COMPUTED_VALUE"""),"L1")</f>
        <v>L1</v>
      </c>
      <c r="R2807" s="6">
        <f>IFERROR(__xludf.DUMMYFUNCTION("""COMPUTED_VALUE"""),1.0)</f>
        <v>1</v>
      </c>
      <c r="S2807" s="6" t="str">
        <f>IFERROR(__xludf.DUMMYFUNCTION("""COMPUTED_VALUE""")," ")</f>
        <v> </v>
      </c>
      <c r="T2807" s="6" t="str">
        <f>IFERROR(__xludf.DUMMYFUNCTION("""COMPUTED_VALUE"""),"")</f>
        <v/>
      </c>
      <c r="U2807" s="6" t="str">
        <f>IFERROR(__xludf.DUMMYFUNCTION("""COMPUTED_VALUE"""),"2")</f>
        <v>2</v>
      </c>
      <c r="V2807" s="6" t="str">
        <f>IFERROR(__xludf.DUMMYFUNCTION("""COMPUTED_VALUE"""),"")</f>
        <v/>
      </c>
      <c r="W2807" s="6" t="str">
        <f>IFERROR(__xludf.DUMMYFUNCTION("""COMPUTED_VALUE"""),"[]")</f>
        <v>[]</v>
      </c>
      <c r="X2807" s="6" t="str">
        <f>IFERROR(__xludf.DUMMYFUNCTION("""COMPUTED_VALUE"""),"Enrolled")</f>
        <v>Enrolled</v>
      </c>
    </row>
    <row r="2808">
      <c r="A2808" s="6" t="str">
        <f>IFERROR(__xludf.DUMMYFUNCTION("""COMPUTED_VALUE"""),"059-4503")</f>
        <v>059-4503</v>
      </c>
      <c r="B2808" s="6" t="str">
        <f>IFERROR(__xludf.DUMMYFUNCTION("""COMPUTED_VALUE"""),"59")</f>
        <v>59</v>
      </c>
      <c r="C2808" s="6" t="str">
        <f>IFERROR(__xludf.DUMMYFUNCTION("""COMPUTED_VALUE"""),"4503")</f>
        <v>4503</v>
      </c>
      <c r="D2808" s="6" t="str">
        <f>IFERROR(__xludf.DUMMYFUNCTION("""COMPUTED_VALUE"""),"Jackson")</f>
        <v>Jackson</v>
      </c>
      <c r="E2808" s="6" t="str">
        <f>IFERROR(__xludf.DUMMYFUNCTION("""COMPUTED_VALUE"""),"")</f>
        <v/>
      </c>
      <c r="F2808" s="6" t="str">
        <f>IFERROR(__xludf.DUMMYFUNCTION("""COMPUTED_VALUE"""),"Bulderbergs")</f>
        <v>Bulderbergs</v>
      </c>
      <c r="G2808" s="6" t="str">
        <f>IFERROR(__xludf.DUMMYFUNCTION("""COMPUTED_VALUE"""),"03/23/2018")</f>
        <v>03/23/2018</v>
      </c>
      <c r="H2808" s="6" t="str">
        <f>IFERROR(__xludf.DUMMYFUNCTION("""COMPUTED_VALUE"""),"Self Identify")</f>
        <v>Self Identify</v>
      </c>
      <c r="I2808" s="6" t="str">
        <f>IFERROR(__xludf.DUMMYFUNCTION("""COMPUTED_VALUE"""),"Level 1")</f>
        <v>Level 1</v>
      </c>
      <c r="J2808" s="6" t="str">
        <f>IFERROR(__xludf.DUMMYFUNCTION("""COMPUTED_VALUE"""),"2")</f>
        <v>2</v>
      </c>
      <c r="K2808" s="6" t="str">
        <f>IFERROR(__xludf.DUMMYFUNCTION("""COMPUTED_VALUE"""),"jackson.bulderbergs@2hourlearning.com")</f>
        <v>jackson.bulderbergs@2hourlearning.com</v>
      </c>
      <c r="L2808" s="6" t="str">
        <f>IFERROR(__xludf.DUMMYFUNCTION("""COMPUTED_VALUE"""),"Strata")</f>
        <v>Strata</v>
      </c>
      <c r="M2808" s="6" t="str">
        <f>IFERROR(__xludf.DUMMYFUNCTION("""COMPUTED_VALUE"""),"")</f>
        <v/>
      </c>
      <c r="N2808" s="6" t="str">
        <f>IFERROR(__xludf.DUMMYFUNCTION("""COMPUTED_VALUE"""),"")</f>
        <v/>
      </c>
      <c r="O2808" s="87" t="str">
        <f>IFERROR(__xludf.DUMMYFUNCTION("""COMPUTED_VALUE"""),"https://drive.google.com/drive/folders/10T2cTQHqEJZqE-st6uFKPoI?usp=share_link")</f>
        <v>https://drive.google.com/drive/folders/10T2cTQHqEJZqE-st6uFKPoI?usp=share_link</v>
      </c>
      <c r="P2808" s="6" t="str">
        <f>IFERROR(__xludf.DUMMYFUNCTION("""COMPUTED_VALUE"""),"Jackson Bulderbergs")</f>
        <v>Jackson Bulderbergs</v>
      </c>
      <c r="Q2808" s="6" t="str">
        <f>IFERROR(__xludf.DUMMYFUNCTION("""COMPUTED_VALUE"""),"L1")</f>
        <v>L1</v>
      </c>
      <c r="R2808" s="6">
        <f>IFERROR(__xludf.DUMMYFUNCTION("""COMPUTED_VALUE"""),1.0)</f>
        <v>1</v>
      </c>
      <c r="S2808" s="6" t="str">
        <f>IFERROR(__xludf.DUMMYFUNCTION("""COMPUTED_VALUE""")," ")</f>
        <v> </v>
      </c>
      <c r="T2808" s="6" t="str">
        <f>IFERROR(__xludf.DUMMYFUNCTION("""COMPUTED_VALUE"""),"")</f>
        <v/>
      </c>
      <c r="U2808" s="6" t="str">
        <f>IFERROR(__xludf.DUMMYFUNCTION("""COMPUTED_VALUE"""),"2")</f>
        <v>2</v>
      </c>
      <c r="V2808" s="6" t="str">
        <f>IFERROR(__xludf.DUMMYFUNCTION("""COMPUTED_VALUE"""),"")</f>
        <v/>
      </c>
      <c r="W2808" s="6" t="str">
        <f>IFERROR(__xludf.DUMMYFUNCTION("""COMPUTED_VALUE"""),"[]")</f>
        <v>[]</v>
      </c>
      <c r="X2808" s="6" t="str">
        <f>IFERROR(__xludf.DUMMYFUNCTION("""COMPUTED_VALUE"""),"Enrolled")</f>
        <v>Enrolled</v>
      </c>
    </row>
    <row r="2809">
      <c r="A2809" s="6" t="str">
        <f>IFERROR(__xludf.DUMMYFUNCTION("""COMPUTED_VALUE"""),"059-4504")</f>
        <v>059-4504</v>
      </c>
      <c r="B2809" s="6" t="str">
        <f>IFERROR(__xludf.DUMMYFUNCTION("""COMPUTED_VALUE"""),"59")</f>
        <v>59</v>
      </c>
      <c r="C2809" s="6" t="str">
        <f>IFERROR(__xludf.DUMMYFUNCTION("""COMPUTED_VALUE"""),"4504")</f>
        <v>4504</v>
      </c>
      <c r="D2809" s="6" t="str">
        <f>IFERROR(__xludf.DUMMYFUNCTION("""COMPUTED_VALUE"""),"Luis")</f>
        <v>Luis</v>
      </c>
      <c r="E2809" s="6" t="str">
        <f>IFERROR(__xludf.DUMMYFUNCTION("""COMPUTED_VALUE"""),"")</f>
        <v/>
      </c>
      <c r="F2809" s="6" t="str">
        <f>IFERROR(__xludf.DUMMYFUNCTION("""COMPUTED_VALUE"""),"Merino")</f>
        <v>Merino</v>
      </c>
      <c r="G2809" s="6" t="str">
        <f>IFERROR(__xludf.DUMMYFUNCTION("""COMPUTED_VALUE"""),"03/13/2015")</f>
        <v>03/13/2015</v>
      </c>
      <c r="H2809" s="6" t="str">
        <f>IFERROR(__xludf.DUMMYFUNCTION("""COMPUTED_VALUE"""),"Self Identify")</f>
        <v>Self Identify</v>
      </c>
      <c r="I2809" s="6" t="str">
        <f>IFERROR(__xludf.DUMMYFUNCTION("""COMPUTED_VALUE"""),"Level 2")</f>
        <v>Level 2</v>
      </c>
      <c r="J2809" s="6" t="str">
        <f>IFERROR(__xludf.DUMMYFUNCTION("""COMPUTED_VALUE"""),"5")</f>
        <v>5</v>
      </c>
      <c r="K2809" s="6" t="str">
        <f>IFERROR(__xludf.DUMMYFUNCTION("""COMPUTED_VALUE"""),"luis.merino@2hourlearning.com")</f>
        <v>luis.merino@2hourlearning.com</v>
      </c>
      <c r="L2809" s="6" t="str">
        <f>IFERROR(__xludf.DUMMYFUNCTION("""COMPUTED_VALUE"""),"Strata")</f>
        <v>Strata</v>
      </c>
      <c r="M2809" s="6" t="str">
        <f>IFERROR(__xludf.DUMMYFUNCTION("""COMPUTED_VALUE"""),"")</f>
        <v/>
      </c>
      <c r="N2809" s="6" t="str">
        <f>IFERROR(__xludf.DUMMYFUNCTION("""COMPUTED_VALUE"""),"")</f>
        <v/>
      </c>
      <c r="O2809" s="87" t="str">
        <f>IFERROR(__xludf.DUMMYFUNCTION("""COMPUTED_VALUE"""),"https://drive.google.com/drive/folders/10T2cTQHqEJZqE-st6uFKPoI?usp=share_link")</f>
        <v>https://drive.google.com/drive/folders/10T2cTQHqEJZqE-st6uFKPoI?usp=share_link</v>
      </c>
      <c r="P2809" s="6" t="str">
        <f>IFERROR(__xludf.DUMMYFUNCTION("""COMPUTED_VALUE"""),"Luis Merino")</f>
        <v>Luis Merino</v>
      </c>
      <c r="Q2809" s="6" t="str">
        <f>IFERROR(__xludf.DUMMYFUNCTION("""COMPUTED_VALUE"""),"L2")</f>
        <v>L2</v>
      </c>
      <c r="R2809" s="6">
        <f>IFERROR(__xludf.DUMMYFUNCTION("""COMPUTED_VALUE"""),2.0)</f>
        <v>2</v>
      </c>
      <c r="S2809" s="6" t="str">
        <f>IFERROR(__xludf.DUMMYFUNCTION("""COMPUTED_VALUE""")," ")</f>
        <v> </v>
      </c>
      <c r="T2809" s="6" t="str">
        <f>IFERROR(__xludf.DUMMYFUNCTION("""COMPUTED_VALUE"""),"")</f>
        <v/>
      </c>
      <c r="U2809" s="6" t="str">
        <f>IFERROR(__xludf.DUMMYFUNCTION("""COMPUTED_VALUE"""),"5")</f>
        <v>5</v>
      </c>
      <c r="V2809" s="6" t="str">
        <f>IFERROR(__xludf.DUMMYFUNCTION("""COMPUTED_VALUE"""),"")</f>
        <v/>
      </c>
      <c r="W2809" s="6" t="str">
        <f>IFERROR(__xludf.DUMMYFUNCTION("""COMPUTED_VALUE"""),"[]")</f>
        <v>[]</v>
      </c>
      <c r="X2809" s="6" t="str">
        <f>IFERROR(__xludf.DUMMYFUNCTION("""COMPUTED_VALUE"""),"Enrolled")</f>
        <v>Enrolled</v>
      </c>
    </row>
    <row r="2810">
      <c r="A2810" s="6" t="str">
        <f>IFERROR(__xludf.DUMMYFUNCTION("""COMPUTED_VALUE"""),"059-4505")</f>
        <v>059-4505</v>
      </c>
      <c r="B2810" s="6" t="str">
        <f>IFERROR(__xludf.DUMMYFUNCTION("""COMPUTED_VALUE"""),"59")</f>
        <v>59</v>
      </c>
      <c r="C2810" s="6" t="str">
        <f>IFERROR(__xludf.DUMMYFUNCTION("""COMPUTED_VALUE"""),"4505")</f>
        <v>4505</v>
      </c>
      <c r="D2810" s="6" t="str">
        <f>IFERROR(__xludf.DUMMYFUNCTION("""COMPUTED_VALUE"""),"King")</f>
        <v>King</v>
      </c>
      <c r="E2810" s="6" t="str">
        <f>IFERROR(__xludf.DUMMYFUNCTION("""COMPUTED_VALUE"""),"")</f>
        <v/>
      </c>
      <c r="F2810" s="6" t="str">
        <f>IFERROR(__xludf.DUMMYFUNCTION("""COMPUTED_VALUE"""),"Fluckers")</f>
        <v>Fluckers</v>
      </c>
      <c r="G2810" s="6" t="str">
        <f>IFERROR(__xludf.DUMMYFUNCTION("""COMPUTED_VALUE"""),"09/12/2012")</f>
        <v>09/12/2012</v>
      </c>
      <c r="H2810" s="6" t="str">
        <f>IFERROR(__xludf.DUMMYFUNCTION("""COMPUTED_VALUE"""),"Self Identify")</f>
        <v>Self Identify</v>
      </c>
      <c r="I2810" s="6" t="str">
        <f>IFERROR(__xludf.DUMMYFUNCTION("""COMPUTED_VALUE"""),"Middle School")</f>
        <v>Middle School</v>
      </c>
      <c r="J2810" s="6" t="str">
        <f>IFERROR(__xludf.DUMMYFUNCTION("""COMPUTED_VALUE"""),"7")</f>
        <v>7</v>
      </c>
      <c r="K2810" s="6" t="str">
        <f>IFERROR(__xludf.DUMMYFUNCTION("""COMPUTED_VALUE"""),"king.fluckers@2hourlearning.com")</f>
        <v>king.fluckers@2hourlearning.com</v>
      </c>
      <c r="L2810" s="6" t="str">
        <f>IFERROR(__xludf.DUMMYFUNCTION("""COMPUTED_VALUE"""),"Strata")</f>
        <v>Strata</v>
      </c>
      <c r="M2810" s="6" t="str">
        <f>IFERROR(__xludf.DUMMYFUNCTION("""COMPUTED_VALUE"""),"")</f>
        <v/>
      </c>
      <c r="N2810" s="6" t="str">
        <f>IFERROR(__xludf.DUMMYFUNCTION("""COMPUTED_VALUE"""),"")</f>
        <v/>
      </c>
      <c r="O2810" s="87" t="str">
        <f>IFERROR(__xludf.DUMMYFUNCTION("""COMPUTED_VALUE"""),"https://drive.google.com/drive/folders/10T2cTQHqEJZqE-st6uFKPoI?usp=share_link")</f>
        <v>https://drive.google.com/drive/folders/10T2cTQHqEJZqE-st6uFKPoI?usp=share_link</v>
      </c>
      <c r="P2810" s="6" t="str">
        <f>IFERROR(__xludf.DUMMYFUNCTION("""COMPUTED_VALUE"""),"King Fluckers")</f>
        <v>King Fluckers</v>
      </c>
      <c r="Q2810" s="6" t="str">
        <f>IFERROR(__xludf.DUMMYFUNCTION("""COMPUTED_VALUE"""),"MS")</f>
        <v>MS</v>
      </c>
      <c r="R2810" s="6">
        <f>IFERROR(__xludf.DUMMYFUNCTION("""COMPUTED_VALUE"""),0.0)</f>
        <v>0</v>
      </c>
      <c r="S2810" s="6" t="str">
        <f>IFERROR(__xludf.DUMMYFUNCTION("""COMPUTED_VALUE""")," ")</f>
        <v> </v>
      </c>
      <c r="T2810" s="6" t="str">
        <f>IFERROR(__xludf.DUMMYFUNCTION("""COMPUTED_VALUE"""),"")</f>
        <v/>
      </c>
      <c r="U2810" s="6" t="str">
        <f>IFERROR(__xludf.DUMMYFUNCTION("""COMPUTED_VALUE"""),"7")</f>
        <v>7</v>
      </c>
      <c r="V2810" s="6" t="str">
        <f>IFERROR(__xludf.DUMMYFUNCTION("""COMPUTED_VALUE"""),"")</f>
        <v/>
      </c>
      <c r="W2810" s="6" t="str">
        <f>IFERROR(__xludf.DUMMYFUNCTION("""COMPUTED_VALUE"""),"[]")</f>
        <v>[]</v>
      </c>
      <c r="X2810" s="6" t="str">
        <f>IFERROR(__xludf.DUMMYFUNCTION("""COMPUTED_VALUE"""),"Enrolled")</f>
        <v>Enrolled</v>
      </c>
    </row>
    <row r="2811">
      <c r="A2811" s="6" t="str">
        <f>IFERROR(__xludf.DUMMYFUNCTION("""COMPUTED_VALUE"""),"059-4506")</f>
        <v>059-4506</v>
      </c>
      <c r="B2811" s="6" t="str">
        <f>IFERROR(__xludf.DUMMYFUNCTION("""COMPUTED_VALUE"""),"59")</f>
        <v>59</v>
      </c>
      <c r="C2811" s="6" t="str">
        <f>IFERROR(__xludf.DUMMYFUNCTION("""COMPUTED_VALUE"""),"4506")</f>
        <v>4506</v>
      </c>
      <c r="D2811" s="6" t="str">
        <f>IFERROR(__xludf.DUMMYFUNCTION("""COMPUTED_VALUE"""),"Watson")</f>
        <v>Watson</v>
      </c>
      <c r="E2811" s="6" t="str">
        <f>IFERROR(__xludf.DUMMYFUNCTION("""COMPUTED_VALUE"""),"")</f>
        <v/>
      </c>
      <c r="F2811" s="6" t="str">
        <f>IFERROR(__xludf.DUMMYFUNCTION("""COMPUTED_VALUE"""),"Dowell")</f>
        <v>Dowell</v>
      </c>
      <c r="G2811" s="6" t="str">
        <f>IFERROR(__xludf.DUMMYFUNCTION("""COMPUTED_VALUE"""),"12/01/2012")</f>
        <v>12/01/2012</v>
      </c>
      <c r="H2811" s="6" t="str">
        <f>IFERROR(__xludf.DUMMYFUNCTION("""COMPUTED_VALUE"""),"Self Identify")</f>
        <v>Self Identify</v>
      </c>
      <c r="I2811" s="6" t="str">
        <f>IFERROR(__xludf.DUMMYFUNCTION("""COMPUTED_VALUE"""),"Middle School")</f>
        <v>Middle School</v>
      </c>
      <c r="J2811" s="6" t="str">
        <f>IFERROR(__xludf.DUMMYFUNCTION("""COMPUTED_VALUE"""),"7")</f>
        <v>7</v>
      </c>
      <c r="K2811" s="6" t="str">
        <f>IFERROR(__xludf.DUMMYFUNCTION("""COMPUTED_VALUE"""),"watson.dowell@2hourlearning.com")</f>
        <v>watson.dowell@2hourlearning.com</v>
      </c>
      <c r="L2811" s="6" t="str">
        <f>IFERROR(__xludf.DUMMYFUNCTION("""COMPUTED_VALUE"""),"Strata")</f>
        <v>Strata</v>
      </c>
      <c r="M2811" s="6" t="str">
        <f>IFERROR(__xludf.DUMMYFUNCTION("""COMPUTED_VALUE"""),"")</f>
        <v/>
      </c>
      <c r="N2811" s="6" t="str">
        <f>IFERROR(__xludf.DUMMYFUNCTION("""COMPUTED_VALUE"""),"")</f>
        <v/>
      </c>
      <c r="O2811" s="87" t="str">
        <f>IFERROR(__xludf.DUMMYFUNCTION("""COMPUTED_VALUE"""),"https://drive.google.com/drive/folders/10T2cTQHqEJZqE-st6uFKPoI?usp=share_link")</f>
        <v>https://drive.google.com/drive/folders/10T2cTQHqEJZqE-st6uFKPoI?usp=share_link</v>
      </c>
      <c r="P2811" s="6" t="str">
        <f>IFERROR(__xludf.DUMMYFUNCTION("""COMPUTED_VALUE"""),"Watson Dowell")</f>
        <v>Watson Dowell</v>
      </c>
      <c r="Q2811" s="6" t="str">
        <f>IFERROR(__xludf.DUMMYFUNCTION("""COMPUTED_VALUE"""),"MS")</f>
        <v>MS</v>
      </c>
      <c r="R2811" s="6">
        <f>IFERROR(__xludf.DUMMYFUNCTION("""COMPUTED_VALUE"""),0.0)</f>
        <v>0</v>
      </c>
      <c r="S2811" s="6" t="str">
        <f>IFERROR(__xludf.DUMMYFUNCTION("""COMPUTED_VALUE""")," ")</f>
        <v> </v>
      </c>
      <c r="T2811" s="6" t="str">
        <f>IFERROR(__xludf.DUMMYFUNCTION("""COMPUTED_VALUE"""),"")</f>
        <v/>
      </c>
      <c r="U2811" s="6" t="str">
        <f>IFERROR(__xludf.DUMMYFUNCTION("""COMPUTED_VALUE"""),"7")</f>
        <v>7</v>
      </c>
      <c r="V2811" s="6" t="str">
        <f>IFERROR(__xludf.DUMMYFUNCTION("""COMPUTED_VALUE"""),"")</f>
        <v/>
      </c>
      <c r="W2811" s="6" t="str">
        <f>IFERROR(__xludf.DUMMYFUNCTION("""COMPUTED_VALUE"""),"[]")</f>
        <v>[]</v>
      </c>
      <c r="X2811" s="6" t="str">
        <f>IFERROR(__xludf.DUMMYFUNCTION("""COMPUTED_VALUE"""),"Enrolled")</f>
        <v>Enrolled</v>
      </c>
    </row>
    <row r="2812">
      <c r="A2812" s="6" t="str">
        <f>IFERROR(__xludf.DUMMYFUNCTION("""COMPUTED_VALUE"""),"059-4507")</f>
        <v>059-4507</v>
      </c>
      <c r="B2812" s="6" t="str">
        <f>IFERROR(__xludf.DUMMYFUNCTION("""COMPUTED_VALUE"""),"59")</f>
        <v>59</v>
      </c>
      <c r="C2812" s="6" t="str">
        <f>IFERROR(__xludf.DUMMYFUNCTION("""COMPUTED_VALUE"""),"4507")</f>
        <v>4507</v>
      </c>
      <c r="D2812" s="6" t="str">
        <f>IFERROR(__xludf.DUMMYFUNCTION("""COMPUTED_VALUE"""),"Jaxson")</f>
        <v>Jaxson</v>
      </c>
      <c r="E2812" s="6" t="str">
        <f>IFERROR(__xludf.DUMMYFUNCTION("""COMPUTED_VALUE"""),"")</f>
        <v/>
      </c>
      <c r="F2812" s="6" t="str">
        <f>IFERROR(__xludf.DUMMYFUNCTION("""COMPUTED_VALUE"""),"Luikart")</f>
        <v>Luikart</v>
      </c>
      <c r="G2812" s="6" t="str">
        <f>IFERROR(__xludf.DUMMYFUNCTION("""COMPUTED_VALUE"""),"09/16/2012")</f>
        <v>09/16/2012</v>
      </c>
      <c r="H2812" s="6" t="str">
        <f>IFERROR(__xludf.DUMMYFUNCTION("""COMPUTED_VALUE"""),"Self Identify")</f>
        <v>Self Identify</v>
      </c>
      <c r="I2812" s="6" t="str">
        <f>IFERROR(__xludf.DUMMYFUNCTION("""COMPUTED_VALUE"""),"Middle School")</f>
        <v>Middle School</v>
      </c>
      <c r="J2812" s="6" t="str">
        <f>IFERROR(__xludf.DUMMYFUNCTION("""COMPUTED_VALUE"""),"7")</f>
        <v>7</v>
      </c>
      <c r="K2812" s="6" t="str">
        <f>IFERROR(__xludf.DUMMYFUNCTION("""COMPUTED_VALUE"""),"jaxson.luikart@2hourlearning.com")</f>
        <v>jaxson.luikart@2hourlearning.com</v>
      </c>
      <c r="L2812" s="6" t="str">
        <f>IFERROR(__xludf.DUMMYFUNCTION("""COMPUTED_VALUE"""),"Strata")</f>
        <v>Strata</v>
      </c>
      <c r="M2812" s="6" t="str">
        <f>IFERROR(__xludf.DUMMYFUNCTION("""COMPUTED_VALUE"""),"")</f>
        <v/>
      </c>
      <c r="N2812" s="6" t="str">
        <f>IFERROR(__xludf.DUMMYFUNCTION("""COMPUTED_VALUE"""),"")</f>
        <v/>
      </c>
      <c r="O2812" s="87" t="str">
        <f>IFERROR(__xludf.DUMMYFUNCTION("""COMPUTED_VALUE"""),"https://drive.google.com/drive/folders/10T2cTQHqEJZqE-st6uFKPoI?usp=share_link")</f>
        <v>https://drive.google.com/drive/folders/10T2cTQHqEJZqE-st6uFKPoI?usp=share_link</v>
      </c>
      <c r="P2812" s="6" t="str">
        <f>IFERROR(__xludf.DUMMYFUNCTION("""COMPUTED_VALUE"""),"Jaxson Luikart")</f>
        <v>Jaxson Luikart</v>
      </c>
      <c r="Q2812" s="6" t="str">
        <f>IFERROR(__xludf.DUMMYFUNCTION("""COMPUTED_VALUE"""),"MS")</f>
        <v>MS</v>
      </c>
      <c r="R2812" s="6">
        <f>IFERROR(__xludf.DUMMYFUNCTION("""COMPUTED_VALUE"""),0.0)</f>
        <v>0</v>
      </c>
      <c r="S2812" s="6" t="str">
        <f>IFERROR(__xludf.DUMMYFUNCTION("""COMPUTED_VALUE""")," ")</f>
        <v> </v>
      </c>
      <c r="T2812" s="6" t="str">
        <f>IFERROR(__xludf.DUMMYFUNCTION("""COMPUTED_VALUE"""),"")</f>
        <v/>
      </c>
      <c r="U2812" s="6" t="str">
        <f>IFERROR(__xludf.DUMMYFUNCTION("""COMPUTED_VALUE"""),"7")</f>
        <v>7</v>
      </c>
      <c r="V2812" s="6" t="str">
        <f>IFERROR(__xludf.DUMMYFUNCTION("""COMPUTED_VALUE"""),"")</f>
        <v/>
      </c>
      <c r="W2812" s="6" t="str">
        <f>IFERROR(__xludf.DUMMYFUNCTION("""COMPUTED_VALUE"""),"[]")</f>
        <v>[]</v>
      </c>
      <c r="X2812" s="6" t="str">
        <f>IFERROR(__xludf.DUMMYFUNCTION("""COMPUTED_VALUE"""),"Enrolled")</f>
        <v>Enrolled</v>
      </c>
    </row>
    <row r="2813">
      <c r="A2813" s="6" t="str">
        <f>IFERROR(__xludf.DUMMYFUNCTION("""COMPUTED_VALUE"""),"059-4508")</f>
        <v>059-4508</v>
      </c>
      <c r="B2813" s="6" t="str">
        <f>IFERROR(__xludf.DUMMYFUNCTION("""COMPUTED_VALUE"""),"59")</f>
        <v>59</v>
      </c>
      <c r="C2813" s="6" t="str">
        <f>IFERROR(__xludf.DUMMYFUNCTION("""COMPUTED_VALUE"""),"4508")</f>
        <v>4508</v>
      </c>
      <c r="D2813" s="6" t="str">
        <f>IFERROR(__xludf.DUMMYFUNCTION("""COMPUTED_VALUE"""),"Cade")</f>
        <v>Cade</v>
      </c>
      <c r="E2813" s="6" t="str">
        <f>IFERROR(__xludf.DUMMYFUNCTION("""COMPUTED_VALUE"""),"")</f>
        <v/>
      </c>
      <c r="F2813" s="6" t="str">
        <f>IFERROR(__xludf.DUMMYFUNCTION("""COMPUTED_VALUE"""),"Bustamante")</f>
        <v>Bustamante</v>
      </c>
      <c r="G2813" s="6" t="str">
        <f>IFERROR(__xludf.DUMMYFUNCTION("""COMPUTED_VALUE"""),"08/30/2010")</f>
        <v>08/30/2010</v>
      </c>
      <c r="H2813" s="6" t="str">
        <f>IFERROR(__xludf.DUMMYFUNCTION("""COMPUTED_VALUE"""),"Self Identify")</f>
        <v>Self Identify</v>
      </c>
      <c r="I2813" s="6" t="str">
        <f>IFERROR(__xludf.DUMMYFUNCTION("""COMPUTED_VALUE"""),"High School")</f>
        <v>High School</v>
      </c>
      <c r="J2813" s="6" t="str">
        <f>IFERROR(__xludf.DUMMYFUNCTION("""COMPUTED_VALUE"""),"9")</f>
        <v>9</v>
      </c>
      <c r="K2813" s="6" t="str">
        <f>IFERROR(__xludf.DUMMYFUNCTION("""COMPUTED_VALUE"""),"cade.bustamante@2hourlearning.com")</f>
        <v>cade.bustamante@2hourlearning.com</v>
      </c>
      <c r="L2813" s="6" t="str">
        <f>IFERROR(__xludf.DUMMYFUNCTION("""COMPUTED_VALUE"""),"Strata")</f>
        <v>Strata</v>
      </c>
      <c r="M2813" s="6" t="str">
        <f>IFERROR(__xludf.DUMMYFUNCTION("""COMPUTED_VALUE"""),"")</f>
        <v/>
      </c>
      <c r="N2813" s="6" t="str">
        <f>IFERROR(__xludf.DUMMYFUNCTION("""COMPUTED_VALUE"""),"")</f>
        <v/>
      </c>
      <c r="O2813" s="87" t="str">
        <f>IFERROR(__xludf.DUMMYFUNCTION("""COMPUTED_VALUE"""),"https://drive.google.com/drive/folders/10T2cTQHqEJZqE-st6uFKPoI?usp=share_link")</f>
        <v>https://drive.google.com/drive/folders/10T2cTQHqEJZqE-st6uFKPoI?usp=share_link</v>
      </c>
      <c r="P2813" s="6" t="str">
        <f>IFERROR(__xludf.DUMMYFUNCTION("""COMPUTED_VALUE"""),"Cade Bustamante")</f>
        <v>Cade Bustamante</v>
      </c>
      <c r="Q2813" s="6" t="str">
        <f>IFERROR(__xludf.DUMMYFUNCTION("""COMPUTED_VALUE"""),"HS")</f>
        <v>HS</v>
      </c>
      <c r="R2813" s="6">
        <f>IFERROR(__xludf.DUMMYFUNCTION("""COMPUTED_VALUE"""),0.0)</f>
        <v>0</v>
      </c>
      <c r="S2813" s="6" t="str">
        <f>IFERROR(__xludf.DUMMYFUNCTION("""COMPUTED_VALUE""")," ")</f>
        <v> </v>
      </c>
      <c r="T2813" s="6" t="str">
        <f>IFERROR(__xludf.DUMMYFUNCTION("""COMPUTED_VALUE"""),"")</f>
        <v/>
      </c>
      <c r="U2813" s="6" t="str">
        <f>IFERROR(__xludf.DUMMYFUNCTION("""COMPUTED_VALUE"""),"9")</f>
        <v>9</v>
      </c>
      <c r="V2813" s="6" t="str">
        <f>IFERROR(__xludf.DUMMYFUNCTION("""COMPUTED_VALUE"""),"")</f>
        <v/>
      </c>
      <c r="W2813" s="6" t="str">
        <f>IFERROR(__xludf.DUMMYFUNCTION("""COMPUTED_VALUE"""),"[]")</f>
        <v>[]</v>
      </c>
      <c r="X2813" s="6" t="str">
        <f>IFERROR(__xludf.DUMMYFUNCTION("""COMPUTED_VALUE"""),"Enrolled")</f>
        <v>Enrolled</v>
      </c>
    </row>
    <row r="2814">
      <c r="A2814" s="6" t="str">
        <f>IFERROR(__xludf.DUMMYFUNCTION("""COMPUTED_VALUE"""),"059-4509")</f>
        <v>059-4509</v>
      </c>
      <c r="B2814" s="6" t="str">
        <f>IFERROR(__xludf.DUMMYFUNCTION("""COMPUTED_VALUE"""),"59")</f>
        <v>59</v>
      </c>
      <c r="C2814" s="6" t="str">
        <f>IFERROR(__xludf.DUMMYFUNCTION("""COMPUTED_VALUE"""),"4509")</f>
        <v>4509</v>
      </c>
      <c r="D2814" s="6" t="str">
        <f>IFERROR(__xludf.DUMMYFUNCTION("""COMPUTED_VALUE"""),"Jack")</f>
        <v>Jack</v>
      </c>
      <c r="E2814" s="6" t="str">
        <f>IFERROR(__xludf.DUMMYFUNCTION("""COMPUTED_VALUE"""),"")</f>
        <v/>
      </c>
      <c r="F2814" s="6" t="str">
        <f>IFERROR(__xludf.DUMMYFUNCTION("""COMPUTED_VALUE"""),"Ely")</f>
        <v>Ely</v>
      </c>
      <c r="G2814" s="6" t="str">
        <f>IFERROR(__xludf.DUMMYFUNCTION("""COMPUTED_VALUE"""),"11/04/2009")</f>
        <v>11/04/2009</v>
      </c>
      <c r="H2814" s="6" t="str">
        <f>IFERROR(__xludf.DUMMYFUNCTION("""COMPUTED_VALUE"""),"Self Identify")</f>
        <v>Self Identify</v>
      </c>
      <c r="I2814" s="6" t="str">
        <f>IFERROR(__xludf.DUMMYFUNCTION("""COMPUTED_VALUE"""),"High School")</f>
        <v>High School</v>
      </c>
      <c r="J2814" s="6" t="str">
        <f>IFERROR(__xludf.DUMMYFUNCTION("""COMPUTED_VALUE"""),"9")</f>
        <v>9</v>
      </c>
      <c r="K2814" s="6" t="str">
        <f>IFERROR(__xludf.DUMMYFUNCTION("""COMPUTED_VALUE"""),"jack.ely@2hourlearning.com")</f>
        <v>jack.ely@2hourlearning.com</v>
      </c>
      <c r="L2814" s="6" t="str">
        <f>IFERROR(__xludf.DUMMYFUNCTION("""COMPUTED_VALUE"""),"Strata")</f>
        <v>Strata</v>
      </c>
      <c r="M2814" s="6" t="str">
        <f>IFERROR(__xludf.DUMMYFUNCTION("""COMPUTED_VALUE"""),"")</f>
        <v/>
      </c>
      <c r="N2814" s="6" t="str">
        <f>IFERROR(__xludf.DUMMYFUNCTION("""COMPUTED_VALUE"""),"")</f>
        <v/>
      </c>
      <c r="O2814" s="87" t="str">
        <f>IFERROR(__xludf.DUMMYFUNCTION("""COMPUTED_VALUE"""),"https://drive.google.com/drive/folders/10T2cTQHqEJZqE-st6uFKPoI?usp=share_link")</f>
        <v>https://drive.google.com/drive/folders/10T2cTQHqEJZqE-st6uFKPoI?usp=share_link</v>
      </c>
      <c r="P2814" s="6" t="str">
        <f>IFERROR(__xludf.DUMMYFUNCTION("""COMPUTED_VALUE"""),"Jack Ely")</f>
        <v>Jack Ely</v>
      </c>
      <c r="Q2814" s="6" t="str">
        <f>IFERROR(__xludf.DUMMYFUNCTION("""COMPUTED_VALUE"""),"HS")</f>
        <v>HS</v>
      </c>
      <c r="R2814" s="6">
        <f>IFERROR(__xludf.DUMMYFUNCTION("""COMPUTED_VALUE"""),0.0)</f>
        <v>0</v>
      </c>
      <c r="S2814" s="6" t="str">
        <f>IFERROR(__xludf.DUMMYFUNCTION("""COMPUTED_VALUE""")," ")</f>
        <v> </v>
      </c>
      <c r="T2814" s="6" t="str">
        <f>IFERROR(__xludf.DUMMYFUNCTION("""COMPUTED_VALUE"""),"")</f>
        <v/>
      </c>
      <c r="U2814" s="6" t="str">
        <f>IFERROR(__xludf.DUMMYFUNCTION("""COMPUTED_VALUE"""),"9")</f>
        <v>9</v>
      </c>
      <c r="V2814" s="6" t="str">
        <f>IFERROR(__xludf.DUMMYFUNCTION("""COMPUTED_VALUE"""),"")</f>
        <v/>
      </c>
      <c r="W2814" s="6" t="str">
        <f>IFERROR(__xludf.DUMMYFUNCTION("""COMPUTED_VALUE"""),"[]")</f>
        <v>[]</v>
      </c>
      <c r="X2814" s="6" t="str">
        <f>IFERROR(__xludf.DUMMYFUNCTION("""COMPUTED_VALUE"""),"Enrolled")</f>
        <v>Enrolled</v>
      </c>
    </row>
    <row r="2815">
      <c r="A2815" s="6" t="str">
        <f>IFERROR(__xludf.DUMMYFUNCTION("""COMPUTED_VALUE"""),"059-4510")</f>
        <v>059-4510</v>
      </c>
      <c r="B2815" s="6" t="str">
        <f>IFERROR(__xludf.DUMMYFUNCTION("""COMPUTED_VALUE"""),"59")</f>
        <v>59</v>
      </c>
      <c r="C2815" s="6" t="str">
        <f>IFERROR(__xludf.DUMMYFUNCTION("""COMPUTED_VALUE"""),"4510")</f>
        <v>4510</v>
      </c>
      <c r="D2815" s="6" t="str">
        <f>IFERROR(__xludf.DUMMYFUNCTION("""COMPUTED_VALUE"""),"Rory")</f>
        <v>Rory</v>
      </c>
      <c r="E2815" s="6" t="str">
        <f>IFERROR(__xludf.DUMMYFUNCTION("""COMPUTED_VALUE"""),"")</f>
        <v/>
      </c>
      <c r="F2815" s="6" t="str">
        <f>IFERROR(__xludf.DUMMYFUNCTION("""COMPUTED_VALUE"""),"Johnson")</f>
        <v>Johnson</v>
      </c>
      <c r="G2815" s="6" t="str">
        <f>IFERROR(__xludf.DUMMYFUNCTION("""COMPUTED_VALUE"""),"09/24/2012")</f>
        <v>09/24/2012</v>
      </c>
      <c r="H2815" s="6" t="str">
        <f>IFERROR(__xludf.DUMMYFUNCTION("""COMPUTED_VALUE"""),"Self Identify")</f>
        <v>Self Identify</v>
      </c>
      <c r="I2815" s="6" t="str">
        <f>IFERROR(__xludf.DUMMYFUNCTION("""COMPUTED_VALUE"""),"Middle School")</f>
        <v>Middle School</v>
      </c>
      <c r="J2815" s="6" t="str">
        <f>IFERROR(__xludf.DUMMYFUNCTION("""COMPUTED_VALUE"""),"7")</f>
        <v>7</v>
      </c>
      <c r="K2815" s="6" t="str">
        <f>IFERROR(__xludf.DUMMYFUNCTION("""COMPUTED_VALUE"""),"rory.johnson@2hourlearning.com")</f>
        <v>rory.johnson@2hourlearning.com</v>
      </c>
      <c r="L2815" s="6" t="str">
        <f>IFERROR(__xludf.DUMMYFUNCTION("""COMPUTED_VALUE"""),"Strata")</f>
        <v>Strata</v>
      </c>
      <c r="M2815" s="6" t="str">
        <f>IFERROR(__xludf.DUMMYFUNCTION("""COMPUTED_VALUE"""),"")</f>
        <v/>
      </c>
      <c r="N2815" s="6" t="str">
        <f>IFERROR(__xludf.DUMMYFUNCTION("""COMPUTED_VALUE"""),"")</f>
        <v/>
      </c>
      <c r="O2815" s="87" t="str">
        <f>IFERROR(__xludf.DUMMYFUNCTION("""COMPUTED_VALUE"""),"https://drive.google.com/drive/folders/10T2cTQHqEJZqE-st6uFKPoI?usp=share_link")</f>
        <v>https://drive.google.com/drive/folders/10T2cTQHqEJZqE-st6uFKPoI?usp=share_link</v>
      </c>
      <c r="P2815" s="6" t="str">
        <f>IFERROR(__xludf.DUMMYFUNCTION("""COMPUTED_VALUE"""),"Rory Johnson")</f>
        <v>Rory Johnson</v>
      </c>
      <c r="Q2815" s="6" t="str">
        <f>IFERROR(__xludf.DUMMYFUNCTION("""COMPUTED_VALUE"""),"MS")</f>
        <v>MS</v>
      </c>
      <c r="R2815" s="6">
        <f>IFERROR(__xludf.DUMMYFUNCTION("""COMPUTED_VALUE"""),0.0)</f>
        <v>0</v>
      </c>
      <c r="S2815" s="6" t="str">
        <f>IFERROR(__xludf.DUMMYFUNCTION("""COMPUTED_VALUE""")," ")</f>
        <v> </v>
      </c>
      <c r="T2815" s="6" t="str">
        <f>IFERROR(__xludf.DUMMYFUNCTION("""COMPUTED_VALUE"""),"")</f>
        <v/>
      </c>
      <c r="U2815" s="6" t="str">
        <f>IFERROR(__xludf.DUMMYFUNCTION("""COMPUTED_VALUE"""),"7")</f>
        <v>7</v>
      </c>
      <c r="V2815" s="6" t="str">
        <f>IFERROR(__xludf.DUMMYFUNCTION("""COMPUTED_VALUE"""),"")</f>
        <v/>
      </c>
      <c r="W2815" s="6" t="str">
        <f>IFERROR(__xludf.DUMMYFUNCTION("""COMPUTED_VALUE"""),"[]")</f>
        <v>[]</v>
      </c>
      <c r="X2815" s="6" t="str">
        <f>IFERROR(__xludf.DUMMYFUNCTION("""COMPUTED_VALUE"""),"Enrolled")</f>
        <v>Enrolled</v>
      </c>
    </row>
    <row r="2816">
      <c r="A2816" s="6" t="str">
        <f>IFERROR(__xludf.DUMMYFUNCTION("""COMPUTED_VALUE"""),"059-4511")</f>
        <v>059-4511</v>
      </c>
      <c r="B2816" s="6" t="str">
        <f>IFERROR(__xludf.DUMMYFUNCTION("""COMPUTED_VALUE"""),"59")</f>
        <v>59</v>
      </c>
      <c r="C2816" s="6" t="str">
        <f>IFERROR(__xludf.DUMMYFUNCTION("""COMPUTED_VALUE"""),"4511")</f>
        <v>4511</v>
      </c>
      <c r="D2816" s="6" t="str">
        <f>IFERROR(__xludf.DUMMYFUNCTION("""COMPUTED_VALUE"""),"Jacob")</f>
        <v>Jacob</v>
      </c>
      <c r="E2816" s="6" t="str">
        <f>IFERROR(__xludf.DUMMYFUNCTION("""COMPUTED_VALUE"""),"")</f>
        <v/>
      </c>
      <c r="F2816" s="6" t="str">
        <f>IFERROR(__xludf.DUMMYFUNCTION("""COMPUTED_VALUE"""),"Hinojosa")</f>
        <v>Hinojosa</v>
      </c>
      <c r="G2816" s="6" t="str">
        <f>IFERROR(__xludf.DUMMYFUNCTION("""COMPUTED_VALUE"""),"05/20/2009")</f>
        <v>05/20/2009</v>
      </c>
      <c r="H2816" s="6" t="str">
        <f>IFERROR(__xludf.DUMMYFUNCTION("""COMPUTED_VALUE"""),"Self Identify")</f>
        <v>Self Identify</v>
      </c>
      <c r="I2816" s="6" t="str">
        <f>IFERROR(__xludf.DUMMYFUNCTION("""COMPUTED_VALUE"""),"High School")</f>
        <v>High School</v>
      </c>
      <c r="J2816" s="6" t="str">
        <f>IFERROR(__xludf.DUMMYFUNCTION("""COMPUTED_VALUE"""),"10")</f>
        <v>10</v>
      </c>
      <c r="K2816" s="6" t="str">
        <f>IFERROR(__xludf.DUMMYFUNCTION("""COMPUTED_VALUE"""),"jacob.hinojosa@2hourlearning.com")</f>
        <v>jacob.hinojosa@2hourlearning.com</v>
      </c>
      <c r="L2816" s="6" t="str">
        <f>IFERROR(__xludf.DUMMYFUNCTION("""COMPUTED_VALUE"""),"Strata")</f>
        <v>Strata</v>
      </c>
      <c r="M2816" s="6" t="str">
        <f>IFERROR(__xludf.DUMMYFUNCTION("""COMPUTED_VALUE"""),"")</f>
        <v/>
      </c>
      <c r="N2816" s="6" t="str">
        <f>IFERROR(__xludf.DUMMYFUNCTION("""COMPUTED_VALUE"""),"")</f>
        <v/>
      </c>
      <c r="O2816" s="87" t="str">
        <f>IFERROR(__xludf.DUMMYFUNCTION("""COMPUTED_VALUE"""),"https://drive.google.com/drive/folders/10T2cTQHqEJZqE-st6uFKPoI?usp=share_link")</f>
        <v>https://drive.google.com/drive/folders/10T2cTQHqEJZqE-st6uFKPoI?usp=share_link</v>
      </c>
      <c r="P2816" s="6" t="str">
        <f>IFERROR(__xludf.DUMMYFUNCTION("""COMPUTED_VALUE"""),"Jacob Hinojosa")</f>
        <v>Jacob Hinojosa</v>
      </c>
      <c r="Q2816" s="6" t="str">
        <f>IFERROR(__xludf.DUMMYFUNCTION("""COMPUTED_VALUE"""),"HS")</f>
        <v>HS</v>
      </c>
      <c r="R2816" s="6">
        <f>IFERROR(__xludf.DUMMYFUNCTION("""COMPUTED_VALUE"""),0.0)</f>
        <v>0</v>
      </c>
      <c r="S2816" s="6" t="str">
        <f>IFERROR(__xludf.DUMMYFUNCTION("""COMPUTED_VALUE""")," ")</f>
        <v> </v>
      </c>
      <c r="T2816" s="6" t="str">
        <f>IFERROR(__xludf.DUMMYFUNCTION("""COMPUTED_VALUE"""),"")</f>
        <v/>
      </c>
      <c r="U2816" s="6" t="str">
        <f>IFERROR(__xludf.DUMMYFUNCTION("""COMPUTED_VALUE"""),"10")</f>
        <v>10</v>
      </c>
      <c r="V2816" s="6" t="str">
        <f>IFERROR(__xludf.DUMMYFUNCTION("""COMPUTED_VALUE"""),"")</f>
        <v/>
      </c>
      <c r="W2816" s="6" t="str">
        <f>IFERROR(__xludf.DUMMYFUNCTION("""COMPUTED_VALUE"""),"[]")</f>
        <v>[]</v>
      </c>
      <c r="X2816" s="6" t="str">
        <f>IFERROR(__xludf.DUMMYFUNCTION("""COMPUTED_VALUE"""),"Enrolled")</f>
        <v>Enrolled</v>
      </c>
    </row>
    <row r="2817">
      <c r="A2817" s="6" t="str">
        <f>IFERROR(__xludf.DUMMYFUNCTION("""COMPUTED_VALUE"""),"059-4512")</f>
        <v>059-4512</v>
      </c>
      <c r="B2817" s="6" t="str">
        <f>IFERROR(__xludf.DUMMYFUNCTION("""COMPUTED_VALUE"""),"59")</f>
        <v>59</v>
      </c>
      <c r="C2817" s="6" t="str">
        <f>IFERROR(__xludf.DUMMYFUNCTION("""COMPUTED_VALUE"""),"4512")</f>
        <v>4512</v>
      </c>
      <c r="D2817" s="6" t="str">
        <f>IFERROR(__xludf.DUMMYFUNCTION("""COMPUTED_VALUE"""),"Dominic")</f>
        <v>Dominic</v>
      </c>
      <c r="E2817" s="6" t="str">
        <f>IFERROR(__xludf.DUMMYFUNCTION("""COMPUTED_VALUE"""),"")</f>
        <v/>
      </c>
      <c r="F2817" s="6" t="str">
        <f>IFERROR(__xludf.DUMMYFUNCTION("""COMPUTED_VALUE"""),"Jones")</f>
        <v>Jones</v>
      </c>
      <c r="G2817" s="6" t="str">
        <f>IFERROR(__xludf.DUMMYFUNCTION("""COMPUTED_VALUE"""),"04/13/2013")</f>
        <v>04/13/2013</v>
      </c>
      <c r="H2817" s="6" t="str">
        <f>IFERROR(__xludf.DUMMYFUNCTION("""COMPUTED_VALUE"""),"Self Identify")</f>
        <v>Self Identify</v>
      </c>
      <c r="I2817" s="6" t="str">
        <f>IFERROR(__xludf.DUMMYFUNCTION("""COMPUTED_VALUE"""),"Middle School")</f>
        <v>Middle School</v>
      </c>
      <c r="J2817" s="6" t="str">
        <f>IFERROR(__xludf.DUMMYFUNCTION("""COMPUTED_VALUE"""),"7")</f>
        <v>7</v>
      </c>
      <c r="K2817" s="6" t="str">
        <f>IFERROR(__xludf.DUMMYFUNCTION("""COMPUTED_VALUE"""),"dominic.jones@2hourlearning.com")</f>
        <v>dominic.jones@2hourlearning.com</v>
      </c>
      <c r="L2817" s="6" t="str">
        <f>IFERROR(__xludf.DUMMYFUNCTION("""COMPUTED_VALUE"""),"Strata")</f>
        <v>Strata</v>
      </c>
      <c r="M2817" s="6" t="str">
        <f>IFERROR(__xludf.DUMMYFUNCTION("""COMPUTED_VALUE"""),"")</f>
        <v/>
      </c>
      <c r="N2817" s="6" t="str">
        <f>IFERROR(__xludf.DUMMYFUNCTION("""COMPUTED_VALUE"""),"")</f>
        <v/>
      </c>
      <c r="O2817" s="87" t="str">
        <f>IFERROR(__xludf.DUMMYFUNCTION("""COMPUTED_VALUE"""),"https://drive.google.com/drive/folders/10T2cTQHqEJZqE-st6uFKPoI?usp=share_link")</f>
        <v>https://drive.google.com/drive/folders/10T2cTQHqEJZqE-st6uFKPoI?usp=share_link</v>
      </c>
      <c r="P2817" s="6" t="str">
        <f>IFERROR(__xludf.DUMMYFUNCTION("""COMPUTED_VALUE"""),"Dominic Jones")</f>
        <v>Dominic Jones</v>
      </c>
      <c r="Q2817" s="6" t="str">
        <f>IFERROR(__xludf.DUMMYFUNCTION("""COMPUTED_VALUE"""),"MS")</f>
        <v>MS</v>
      </c>
      <c r="R2817" s="6">
        <f>IFERROR(__xludf.DUMMYFUNCTION("""COMPUTED_VALUE"""),0.0)</f>
        <v>0</v>
      </c>
      <c r="S2817" s="6" t="str">
        <f>IFERROR(__xludf.DUMMYFUNCTION("""COMPUTED_VALUE""")," ")</f>
        <v> </v>
      </c>
      <c r="T2817" s="6" t="str">
        <f>IFERROR(__xludf.DUMMYFUNCTION("""COMPUTED_VALUE"""),"")</f>
        <v/>
      </c>
      <c r="U2817" s="6" t="str">
        <f>IFERROR(__xludf.DUMMYFUNCTION("""COMPUTED_VALUE"""),"7")</f>
        <v>7</v>
      </c>
      <c r="V2817" s="6" t="str">
        <f>IFERROR(__xludf.DUMMYFUNCTION("""COMPUTED_VALUE"""),"")</f>
        <v/>
      </c>
      <c r="W2817" s="6" t="str">
        <f>IFERROR(__xludf.DUMMYFUNCTION("""COMPUTED_VALUE"""),"[]")</f>
        <v>[]</v>
      </c>
      <c r="X2817" s="6" t="str">
        <f>IFERROR(__xludf.DUMMYFUNCTION("""COMPUTED_VALUE"""),"Enrolled")</f>
        <v>Enrolled</v>
      </c>
    </row>
    <row r="2818">
      <c r="A2818" s="6" t="str">
        <f>IFERROR(__xludf.DUMMYFUNCTION("""COMPUTED_VALUE"""),"059-4513")</f>
        <v>059-4513</v>
      </c>
      <c r="B2818" s="6" t="str">
        <f>IFERROR(__xludf.DUMMYFUNCTION("""COMPUTED_VALUE"""),"59")</f>
        <v>59</v>
      </c>
      <c r="C2818" s="6" t="str">
        <f>IFERROR(__xludf.DUMMYFUNCTION("""COMPUTED_VALUE"""),"4513")</f>
        <v>4513</v>
      </c>
      <c r="D2818" s="6" t="str">
        <f>IFERROR(__xludf.DUMMYFUNCTION("""COMPUTED_VALUE"""),"Peini")</f>
        <v>Peini</v>
      </c>
      <c r="E2818" s="6" t="str">
        <f>IFERROR(__xludf.DUMMYFUNCTION("""COMPUTED_VALUE"""),"")</f>
        <v/>
      </c>
      <c r="F2818" s="6" t="str">
        <f>IFERROR(__xludf.DUMMYFUNCTION("""COMPUTED_VALUE"""),"Jiang")</f>
        <v>Jiang</v>
      </c>
      <c r="G2818" s="6" t="str">
        <f>IFERROR(__xludf.DUMMYFUNCTION("""COMPUTED_VALUE"""),"12/06/2011")</f>
        <v>12/06/2011</v>
      </c>
      <c r="H2818" s="6" t="str">
        <f>IFERROR(__xludf.DUMMYFUNCTION("""COMPUTED_VALUE"""),"Self Identify")</f>
        <v>Self Identify</v>
      </c>
      <c r="I2818" s="6" t="str">
        <f>IFERROR(__xludf.DUMMYFUNCTION("""COMPUTED_VALUE"""),"High School")</f>
        <v>High School</v>
      </c>
      <c r="J2818" s="6" t="str">
        <f>IFERROR(__xludf.DUMMYFUNCTION("""COMPUTED_VALUE"""),"9")</f>
        <v>9</v>
      </c>
      <c r="K2818" s="6" t="str">
        <f>IFERROR(__xludf.DUMMYFUNCTION("""COMPUTED_VALUE"""),"peini.jiang@2hourlearning.com")</f>
        <v>peini.jiang@2hourlearning.com</v>
      </c>
      <c r="L2818" s="6" t="str">
        <f>IFERROR(__xludf.DUMMYFUNCTION("""COMPUTED_VALUE"""),"Strata")</f>
        <v>Strata</v>
      </c>
      <c r="M2818" s="6" t="str">
        <f>IFERROR(__xludf.DUMMYFUNCTION("""COMPUTED_VALUE"""),"")</f>
        <v/>
      </c>
      <c r="N2818" s="6" t="str">
        <f>IFERROR(__xludf.DUMMYFUNCTION("""COMPUTED_VALUE"""),"")</f>
        <v/>
      </c>
      <c r="O2818" s="87" t="str">
        <f>IFERROR(__xludf.DUMMYFUNCTION("""COMPUTED_VALUE"""),"https://drive.google.com/drive/folders/10T2cTQHqEJZqE-st6uFKPoI?usp=share_link")</f>
        <v>https://drive.google.com/drive/folders/10T2cTQHqEJZqE-st6uFKPoI?usp=share_link</v>
      </c>
      <c r="P2818" s="6" t="str">
        <f>IFERROR(__xludf.DUMMYFUNCTION("""COMPUTED_VALUE"""),"Peini Jiang")</f>
        <v>Peini Jiang</v>
      </c>
      <c r="Q2818" s="6" t="str">
        <f>IFERROR(__xludf.DUMMYFUNCTION("""COMPUTED_VALUE"""),"HS")</f>
        <v>HS</v>
      </c>
      <c r="R2818" s="6">
        <f>IFERROR(__xludf.DUMMYFUNCTION("""COMPUTED_VALUE"""),0.0)</f>
        <v>0</v>
      </c>
      <c r="S2818" s="6" t="str">
        <f>IFERROR(__xludf.DUMMYFUNCTION("""COMPUTED_VALUE""")," ")</f>
        <v> </v>
      </c>
      <c r="T2818" s="6" t="str">
        <f>IFERROR(__xludf.DUMMYFUNCTION("""COMPUTED_VALUE"""),"")</f>
        <v/>
      </c>
      <c r="U2818" s="6" t="str">
        <f>IFERROR(__xludf.DUMMYFUNCTION("""COMPUTED_VALUE"""),"9")</f>
        <v>9</v>
      </c>
      <c r="V2818" s="6" t="str">
        <f>IFERROR(__xludf.DUMMYFUNCTION("""COMPUTED_VALUE"""),"")</f>
        <v/>
      </c>
      <c r="W2818" s="6" t="str">
        <f>IFERROR(__xludf.DUMMYFUNCTION("""COMPUTED_VALUE"""),"[]")</f>
        <v>[]</v>
      </c>
      <c r="X2818" s="6" t="str">
        <f>IFERROR(__xludf.DUMMYFUNCTION("""COMPUTED_VALUE"""),"Enrolled")</f>
        <v>Enrolled</v>
      </c>
    </row>
    <row r="2819">
      <c r="A2819" s="6" t="str">
        <f>IFERROR(__xludf.DUMMYFUNCTION("""COMPUTED_VALUE"""),"059-4514")</f>
        <v>059-4514</v>
      </c>
      <c r="B2819" s="6" t="str">
        <f>IFERROR(__xludf.DUMMYFUNCTION("""COMPUTED_VALUE"""),"59")</f>
        <v>59</v>
      </c>
      <c r="C2819" s="6" t="str">
        <f>IFERROR(__xludf.DUMMYFUNCTION("""COMPUTED_VALUE"""),"4514")</f>
        <v>4514</v>
      </c>
      <c r="D2819" s="6" t="str">
        <f>IFERROR(__xludf.DUMMYFUNCTION("""COMPUTED_VALUE"""),"Xiaoheng")</f>
        <v>Xiaoheng</v>
      </c>
      <c r="E2819" s="6" t="str">
        <f>IFERROR(__xludf.DUMMYFUNCTION("""COMPUTED_VALUE"""),"Sean")</f>
        <v>Sean</v>
      </c>
      <c r="F2819" s="6" t="str">
        <f>IFERROR(__xludf.DUMMYFUNCTION("""COMPUTED_VALUE"""),"Jiang")</f>
        <v>Jiang</v>
      </c>
      <c r="G2819" s="6" t="str">
        <f>IFERROR(__xludf.DUMMYFUNCTION("""COMPUTED_VALUE"""),"01/08/2010")</f>
        <v>01/08/2010</v>
      </c>
      <c r="H2819" s="6" t="str">
        <f>IFERROR(__xludf.DUMMYFUNCTION("""COMPUTED_VALUE"""),"Self Identify")</f>
        <v>Self Identify</v>
      </c>
      <c r="I2819" s="6" t="str">
        <f>IFERROR(__xludf.DUMMYFUNCTION("""COMPUTED_VALUE"""),"Middle School")</f>
        <v>Middle School</v>
      </c>
      <c r="J2819" s="6" t="str">
        <f>IFERROR(__xludf.DUMMYFUNCTION("""COMPUTED_VALUE"""),"7")</f>
        <v>7</v>
      </c>
      <c r="K2819" s="6" t="str">
        <f>IFERROR(__xludf.DUMMYFUNCTION("""COMPUTED_VALUE"""),"xiaoheng.jiang@2hourlearning.com")</f>
        <v>xiaoheng.jiang@2hourlearning.com</v>
      </c>
      <c r="L2819" s="6" t="str">
        <f>IFERROR(__xludf.DUMMYFUNCTION("""COMPUTED_VALUE"""),"Strata")</f>
        <v>Strata</v>
      </c>
      <c r="M2819" s="6" t="str">
        <f>IFERROR(__xludf.DUMMYFUNCTION("""COMPUTED_VALUE"""),"")</f>
        <v/>
      </c>
      <c r="N2819" s="6" t="str">
        <f>IFERROR(__xludf.DUMMYFUNCTION("""COMPUTED_VALUE"""),"")</f>
        <v/>
      </c>
      <c r="O2819" s="87" t="str">
        <f>IFERROR(__xludf.DUMMYFUNCTION("""COMPUTED_VALUE"""),"https://drive.google.com/drive/folders/10T2cTQHqEJZqE-st6uFKPoI?usp=share_link")</f>
        <v>https://drive.google.com/drive/folders/10T2cTQHqEJZqE-st6uFKPoI?usp=share_link</v>
      </c>
      <c r="P2819" s="6" t="str">
        <f>IFERROR(__xludf.DUMMYFUNCTION("""COMPUTED_VALUE"""),"Sean Jiang")</f>
        <v>Sean Jiang</v>
      </c>
      <c r="Q2819" s="6" t="str">
        <f>IFERROR(__xludf.DUMMYFUNCTION("""COMPUTED_VALUE"""),"MS")</f>
        <v>MS</v>
      </c>
      <c r="R2819" s="6">
        <f>IFERROR(__xludf.DUMMYFUNCTION("""COMPUTED_VALUE"""),0.0)</f>
        <v>0</v>
      </c>
      <c r="S2819" s="6" t="str">
        <f>IFERROR(__xludf.DUMMYFUNCTION("""COMPUTED_VALUE""")," ")</f>
        <v> </v>
      </c>
      <c r="T2819" s="6" t="str">
        <f>IFERROR(__xludf.DUMMYFUNCTION("""COMPUTED_VALUE"""),"")</f>
        <v/>
      </c>
      <c r="U2819" s="6" t="str">
        <f>IFERROR(__xludf.DUMMYFUNCTION("""COMPUTED_VALUE"""),"7")</f>
        <v>7</v>
      </c>
      <c r="V2819" s="6" t="str">
        <f>IFERROR(__xludf.DUMMYFUNCTION("""COMPUTED_VALUE"""),"")</f>
        <v/>
      </c>
      <c r="W2819" s="6" t="str">
        <f>IFERROR(__xludf.DUMMYFUNCTION("""COMPUTED_VALUE"""),"[]")</f>
        <v>[]</v>
      </c>
      <c r="X2819" s="6" t="str">
        <f>IFERROR(__xludf.DUMMYFUNCTION("""COMPUTED_VALUE"""),"Enrolled")</f>
        <v>Enrolled</v>
      </c>
    </row>
    <row r="2820">
      <c r="A2820" s="6" t="str">
        <f>IFERROR(__xludf.DUMMYFUNCTION("""COMPUTED_VALUE"""),"059-4517")</f>
        <v>059-4517</v>
      </c>
      <c r="B2820" s="6" t="str">
        <f>IFERROR(__xludf.DUMMYFUNCTION("""COMPUTED_VALUE"""),"59")</f>
        <v>59</v>
      </c>
      <c r="C2820" s="6" t="str">
        <f>IFERROR(__xludf.DUMMYFUNCTION("""COMPUTED_VALUE"""),"4517")</f>
        <v>4517</v>
      </c>
      <c r="D2820" s="6" t="str">
        <f>IFERROR(__xludf.DUMMYFUNCTION("""COMPUTED_VALUE"""),"Renee")</f>
        <v>Renee</v>
      </c>
      <c r="E2820" s="6" t="str">
        <f>IFERROR(__xludf.DUMMYFUNCTION("""COMPUTED_VALUE"""),"")</f>
        <v/>
      </c>
      <c r="F2820" s="6" t="str">
        <f>IFERROR(__xludf.DUMMYFUNCTION("""COMPUTED_VALUE"""),"Parnell")</f>
        <v>Parnell</v>
      </c>
      <c r="G2820" s="6" t="str">
        <f>IFERROR(__xludf.DUMMYFUNCTION("""COMPUTED_VALUE"""),"02/03/2014")</f>
        <v>02/03/2014</v>
      </c>
      <c r="H2820" s="6" t="str">
        <f>IFERROR(__xludf.DUMMYFUNCTION("""COMPUTED_VALUE"""),"Self Identify")</f>
        <v>Self Identify</v>
      </c>
      <c r="I2820" s="6" t="str">
        <f>IFERROR(__xludf.DUMMYFUNCTION("""COMPUTED_VALUE"""),"Middle School")</f>
        <v>Middle School</v>
      </c>
      <c r="J2820" s="6" t="str">
        <f>IFERROR(__xludf.DUMMYFUNCTION("""COMPUTED_VALUE"""),"6")</f>
        <v>6</v>
      </c>
      <c r="K2820" s="6" t="str">
        <f>IFERROR(__xludf.DUMMYFUNCTION("""COMPUTED_VALUE"""),"renee.parnell@2hourlearning.com")</f>
        <v>renee.parnell@2hourlearning.com</v>
      </c>
      <c r="L2820" s="6" t="str">
        <f>IFERROR(__xludf.DUMMYFUNCTION("""COMPUTED_VALUE"""),"Strata")</f>
        <v>Strata</v>
      </c>
      <c r="M2820" s="6" t="str">
        <f>IFERROR(__xludf.DUMMYFUNCTION("""COMPUTED_VALUE"""),"")</f>
        <v/>
      </c>
      <c r="N2820" s="6" t="str">
        <f>IFERROR(__xludf.DUMMYFUNCTION("""COMPUTED_VALUE"""),"")</f>
        <v/>
      </c>
      <c r="O2820" s="87" t="str">
        <f>IFERROR(__xludf.DUMMYFUNCTION("""COMPUTED_VALUE"""),"https://drive.google.com/drive/folders/10T2cTQHqEJZqE-st6uFKPoI?usp=share_link")</f>
        <v>https://drive.google.com/drive/folders/10T2cTQHqEJZqE-st6uFKPoI?usp=share_link</v>
      </c>
      <c r="P2820" s="6" t="str">
        <f>IFERROR(__xludf.DUMMYFUNCTION("""COMPUTED_VALUE"""),"Renee Parnell")</f>
        <v>Renee Parnell</v>
      </c>
      <c r="Q2820" s="6" t="str">
        <f>IFERROR(__xludf.DUMMYFUNCTION("""COMPUTED_VALUE"""),"MS")</f>
        <v>MS</v>
      </c>
      <c r="R2820" s="6">
        <f>IFERROR(__xludf.DUMMYFUNCTION("""COMPUTED_VALUE"""),0.0)</f>
        <v>0</v>
      </c>
      <c r="S2820" s="6" t="str">
        <f>IFERROR(__xludf.DUMMYFUNCTION("""COMPUTED_VALUE""")," ")</f>
        <v> </v>
      </c>
      <c r="T2820" s="6" t="str">
        <f>IFERROR(__xludf.DUMMYFUNCTION("""COMPUTED_VALUE"""),"")</f>
        <v/>
      </c>
      <c r="U2820" s="6" t="str">
        <f>IFERROR(__xludf.DUMMYFUNCTION("""COMPUTED_VALUE"""),"6")</f>
        <v>6</v>
      </c>
      <c r="V2820" s="6" t="str">
        <f>IFERROR(__xludf.DUMMYFUNCTION("""COMPUTED_VALUE"""),"")</f>
        <v/>
      </c>
      <c r="W2820" s="6" t="str">
        <f>IFERROR(__xludf.DUMMYFUNCTION("""COMPUTED_VALUE"""),"[]")</f>
        <v>[]</v>
      </c>
      <c r="X2820" s="6" t="str">
        <f>IFERROR(__xludf.DUMMYFUNCTION("""COMPUTED_VALUE"""),"Enrolled")</f>
        <v>Enrolled</v>
      </c>
    </row>
    <row r="2821">
      <c r="A2821" s="6" t="str">
        <f>IFERROR(__xludf.DUMMYFUNCTION("""COMPUTED_VALUE"""),"059-4534")</f>
        <v>059-4534</v>
      </c>
      <c r="B2821" s="6" t="str">
        <f>IFERROR(__xludf.DUMMYFUNCTION("""COMPUTED_VALUE"""),"59")</f>
        <v>59</v>
      </c>
      <c r="C2821" s="6" t="str">
        <f>IFERROR(__xludf.DUMMYFUNCTION("""COMPUTED_VALUE"""),"4534")</f>
        <v>4534</v>
      </c>
      <c r="D2821" s="6" t="str">
        <f>IFERROR(__xludf.DUMMYFUNCTION("""COMPUTED_VALUE"""),"Tanner")</f>
        <v>Tanner</v>
      </c>
      <c r="E2821" s="6" t="str">
        <f>IFERROR(__xludf.DUMMYFUNCTION("""COMPUTED_VALUE"""),"")</f>
        <v/>
      </c>
      <c r="F2821" s="6" t="str">
        <f>IFERROR(__xludf.DUMMYFUNCTION("""COMPUTED_VALUE"""),"Klentz")</f>
        <v>Klentz</v>
      </c>
      <c r="G2821" s="6" t="str">
        <f>IFERROR(__xludf.DUMMYFUNCTION("""COMPUTED_VALUE"""),"04/21/2010")</f>
        <v>04/21/2010</v>
      </c>
      <c r="H2821" s="6" t="str">
        <f>IFERROR(__xludf.DUMMYFUNCTION("""COMPUTED_VALUE"""),"Self Identify")</f>
        <v>Self Identify</v>
      </c>
      <c r="I2821" s="6" t="str">
        <f>IFERROR(__xludf.DUMMYFUNCTION("""COMPUTED_VALUE"""),"High School")</f>
        <v>High School</v>
      </c>
      <c r="J2821" s="6" t="str">
        <f>IFERROR(__xludf.DUMMYFUNCTION("""COMPUTED_VALUE"""),"9")</f>
        <v>9</v>
      </c>
      <c r="K2821" s="6" t="str">
        <f>IFERROR(__xludf.DUMMYFUNCTION("""COMPUTED_VALUE"""),"tanner.klentz@2hourlearning.com")</f>
        <v>tanner.klentz@2hourlearning.com</v>
      </c>
      <c r="L2821" s="6" t="str">
        <f>IFERROR(__xludf.DUMMYFUNCTION("""COMPUTED_VALUE"""),"Strata")</f>
        <v>Strata</v>
      </c>
      <c r="M2821" s="6" t="str">
        <f>IFERROR(__xludf.DUMMYFUNCTION("""COMPUTED_VALUE"""),"")</f>
        <v/>
      </c>
      <c r="N2821" s="6" t="str">
        <f>IFERROR(__xludf.DUMMYFUNCTION("""COMPUTED_VALUE"""),"")</f>
        <v/>
      </c>
      <c r="O2821" s="87" t="str">
        <f>IFERROR(__xludf.DUMMYFUNCTION("""COMPUTED_VALUE"""),"https://drive.google.com/drive/folders/10T2cTQHqEJZqE-st6uFKPoI?usp=share_link")</f>
        <v>https://drive.google.com/drive/folders/10T2cTQHqEJZqE-st6uFKPoI?usp=share_link</v>
      </c>
      <c r="P2821" s="6" t="str">
        <f>IFERROR(__xludf.DUMMYFUNCTION("""COMPUTED_VALUE"""),"Tanner Klentz")</f>
        <v>Tanner Klentz</v>
      </c>
      <c r="Q2821" s="6" t="str">
        <f>IFERROR(__xludf.DUMMYFUNCTION("""COMPUTED_VALUE"""),"HS")</f>
        <v>HS</v>
      </c>
      <c r="R2821" s="6">
        <f>IFERROR(__xludf.DUMMYFUNCTION("""COMPUTED_VALUE"""),0.0)</f>
        <v>0</v>
      </c>
      <c r="S2821" s="6" t="str">
        <f>IFERROR(__xludf.DUMMYFUNCTION("""COMPUTED_VALUE""")," ")</f>
        <v> </v>
      </c>
      <c r="T2821" s="6" t="str">
        <f>IFERROR(__xludf.DUMMYFUNCTION("""COMPUTED_VALUE"""),"")</f>
        <v/>
      </c>
      <c r="U2821" s="6" t="str">
        <f>IFERROR(__xludf.DUMMYFUNCTION("""COMPUTED_VALUE"""),"9")</f>
        <v>9</v>
      </c>
      <c r="V2821" s="6" t="str">
        <f>IFERROR(__xludf.DUMMYFUNCTION("""COMPUTED_VALUE"""),"")</f>
        <v/>
      </c>
      <c r="W2821" s="6" t="str">
        <f>IFERROR(__xludf.DUMMYFUNCTION("""COMPUTED_VALUE"""),"[]")</f>
        <v>[]</v>
      </c>
      <c r="X2821" s="6" t="str">
        <f>IFERROR(__xludf.DUMMYFUNCTION("""COMPUTED_VALUE"""),"Enrolled")</f>
        <v>Enrolled</v>
      </c>
    </row>
    <row r="2822">
      <c r="A2822" s="6" t="str">
        <f>IFERROR(__xludf.DUMMYFUNCTION("""COMPUTED_VALUE"""),"059-4535")</f>
        <v>059-4535</v>
      </c>
      <c r="B2822" s="6" t="str">
        <f>IFERROR(__xludf.DUMMYFUNCTION("""COMPUTED_VALUE"""),"59")</f>
        <v>59</v>
      </c>
      <c r="C2822" s="6" t="str">
        <f>IFERROR(__xludf.DUMMYFUNCTION("""COMPUTED_VALUE"""),"4535")</f>
        <v>4535</v>
      </c>
      <c r="D2822" s="6" t="str">
        <f>IFERROR(__xludf.DUMMYFUNCTION("""COMPUTED_VALUE"""),"Omar")</f>
        <v>Omar</v>
      </c>
      <c r="E2822" s="6" t="str">
        <f>IFERROR(__xludf.DUMMYFUNCTION("""COMPUTED_VALUE"""),"")</f>
        <v/>
      </c>
      <c r="F2822" s="6" t="str">
        <f>IFERROR(__xludf.DUMMYFUNCTION("""COMPUTED_VALUE"""),"Mendoza")</f>
        <v>Mendoza</v>
      </c>
      <c r="G2822" s="6" t="str">
        <f>IFERROR(__xludf.DUMMYFUNCTION("""COMPUTED_VALUE"""),"12/23/2012")</f>
        <v>12/23/2012</v>
      </c>
      <c r="H2822" s="6" t="str">
        <f>IFERROR(__xludf.DUMMYFUNCTION("""COMPUTED_VALUE"""),"Self Identify")</f>
        <v>Self Identify</v>
      </c>
      <c r="I2822" s="6" t="str">
        <f>IFERROR(__xludf.DUMMYFUNCTION("""COMPUTED_VALUE"""),"Middle School")</f>
        <v>Middle School</v>
      </c>
      <c r="J2822" s="6" t="str">
        <f>IFERROR(__xludf.DUMMYFUNCTION("""COMPUTED_VALUE"""),"7")</f>
        <v>7</v>
      </c>
      <c r="K2822" s="6" t="str">
        <f>IFERROR(__xludf.DUMMYFUNCTION("""COMPUTED_VALUE"""),"omar.mendoza@2hourlearning.com")</f>
        <v>omar.mendoza@2hourlearning.com</v>
      </c>
      <c r="L2822" s="6" t="str">
        <f>IFERROR(__xludf.DUMMYFUNCTION("""COMPUTED_VALUE"""),"Strata")</f>
        <v>Strata</v>
      </c>
      <c r="M2822" s="6" t="str">
        <f>IFERROR(__xludf.DUMMYFUNCTION("""COMPUTED_VALUE"""),"")</f>
        <v/>
      </c>
      <c r="N2822" s="6" t="str">
        <f>IFERROR(__xludf.DUMMYFUNCTION("""COMPUTED_VALUE"""),"")</f>
        <v/>
      </c>
      <c r="O2822" s="87" t="str">
        <f>IFERROR(__xludf.DUMMYFUNCTION("""COMPUTED_VALUE"""),"https://drive.google.com/drive/folders/10T2cTQHqEJZqE-st6uFKPoI?usp=share_link")</f>
        <v>https://drive.google.com/drive/folders/10T2cTQHqEJZqE-st6uFKPoI?usp=share_link</v>
      </c>
      <c r="P2822" s="6" t="str">
        <f>IFERROR(__xludf.DUMMYFUNCTION("""COMPUTED_VALUE"""),"Omar Mendoza")</f>
        <v>Omar Mendoza</v>
      </c>
      <c r="Q2822" s="6" t="str">
        <f>IFERROR(__xludf.DUMMYFUNCTION("""COMPUTED_VALUE"""),"MS")</f>
        <v>MS</v>
      </c>
      <c r="R2822" s="6">
        <f>IFERROR(__xludf.DUMMYFUNCTION("""COMPUTED_VALUE"""),0.0)</f>
        <v>0</v>
      </c>
      <c r="S2822" s="6" t="str">
        <f>IFERROR(__xludf.DUMMYFUNCTION("""COMPUTED_VALUE""")," ")</f>
        <v> </v>
      </c>
      <c r="T2822" s="6" t="str">
        <f>IFERROR(__xludf.DUMMYFUNCTION("""COMPUTED_VALUE"""),"")</f>
        <v/>
      </c>
      <c r="U2822" s="6" t="str">
        <f>IFERROR(__xludf.DUMMYFUNCTION("""COMPUTED_VALUE"""),"7")</f>
        <v>7</v>
      </c>
      <c r="V2822" s="6" t="str">
        <f>IFERROR(__xludf.DUMMYFUNCTION("""COMPUTED_VALUE"""),"")</f>
        <v/>
      </c>
      <c r="W2822" s="6" t="str">
        <f>IFERROR(__xludf.DUMMYFUNCTION("""COMPUTED_VALUE"""),"[]")</f>
        <v>[]</v>
      </c>
      <c r="X2822" s="6" t="str">
        <f>IFERROR(__xludf.DUMMYFUNCTION("""COMPUTED_VALUE"""),"Enrolled")</f>
        <v>Enrolled</v>
      </c>
    </row>
    <row r="2823">
      <c r="A2823" s="6" t="str">
        <f>IFERROR(__xludf.DUMMYFUNCTION("""COMPUTED_VALUE"""),"059-4536")</f>
        <v>059-4536</v>
      </c>
      <c r="B2823" s="6" t="str">
        <f>IFERROR(__xludf.DUMMYFUNCTION("""COMPUTED_VALUE"""),"59")</f>
        <v>59</v>
      </c>
      <c r="C2823" s="6" t="str">
        <f>IFERROR(__xludf.DUMMYFUNCTION("""COMPUTED_VALUE"""),"4536")</f>
        <v>4536</v>
      </c>
      <c r="D2823" s="6" t="str">
        <f>IFERROR(__xludf.DUMMYFUNCTION("""COMPUTED_VALUE"""),"Seth")</f>
        <v>Seth</v>
      </c>
      <c r="E2823" s="6" t="str">
        <f>IFERROR(__xludf.DUMMYFUNCTION("""COMPUTED_VALUE"""),"")</f>
        <v/>
      </c>
      <c r="F2823" s="6" t="str">
        <f>IFERROR(__xludf.DUMMYFUNCTION("""COMPUTED_VALUE"""),"Anders")</f>
        <v>Anders</v>
      </c>
      <c r="G2823" s="6" t="str">
        <f>IFERROR(__xludf.DUMMYFUNCTION("""COMPUTED_VALUE"""),"01/01/2010")</f>
        <v>01/01/2010</v>
      </c>
      <c r="H2823" s="6" t="str">
        <f>IFERROR(__xludf.DUMMYFUNCTION("""COMPUTED_VALUE"""),"Self Identify")</f>
        <v>Self Identify</v>
      </c>
      <c r="I2823" s="6" t="str">
        <f>IFERROR(__xludf.DUMMYFUNCTION("""COMPUTED_VALUE"""),"High School")</f>
        <v>High School</v>
      </c>
      <c r="J2823" s="6" t="str">
        <f>IFERROR(__xludf.DUMMYFUNCTION("""COMPUTED_VALUE"""),"9")</f>
        <v>9</v>
      </c>
      <c r="K2823" s="6" t="str">
        <f>IFERROR(__xludf.DUMMYFUNCTION("""COMPUTED_VALUE"""),"seth.anders@2hourlearning.com")</f>
        <v>seth.anders@2hourlearning.com</v>
      </c>
      <c r="L2823" s="6" t="str">
        <f>IFERROR(__xludf.DUMMYFUNCTION("""COMPUTED_VALUE"""),"Strata")</f>
        <v>Strata</v>
      </c>
      <c r="M2823" s="6" t="str">
        <f>IFERROR(__xludf.DUMMYFUNCTION("""COMPUTED_VALUE"""),"")</f>
        <v/>
      </c>
      <c r="N2823" s="6" t="str">
        <f>IFERROR(__xludf.DUMMYFUNCTION("""COMPUTED_VALUE"""),"")</f>
        <v/>
      </c>
      <c r="O2823" s="87" t="str">
        <f>IFERROR(__xludf.DUMMYFUNCTION("""COMPUTED_VALUE"""),"https://drive.google.com/drive/folders/10T2cTQHqEJZqE-st6uFKPoI?usp=share_link")</f>
        <v>https://drive.google.com/drive/folders/10T2cTQHqEJZqE-st6uFKPoI?usp=share_link</v>
      </c>
      <c r="P2823" s="6" t="str">
        <f>IFERROR(__xludf.DUMMYFUNCTION("""COMPUTED_VALUE"""),"Seth Anders")</f>
        <v>Seth Anders</v>
      </c>
      <c r="Q2823" s="6" t="str">
        <f>IFERROR(__xludf.DUMMYFUNCTION("""COMPUTED_VALUE"""),"HS")</f>
        <v>HS</v>
      </c>
      <c r="R2823" s="6">
        <f>IFERROR(__xludf.DUMMYFUNCTION("""COMPUTED_VALUE"""),0.0)</f>
        <v>0</v>
      </c>
      <c r="S2823" s="6" t="str">
        <f>IFERROR(__xludf.DUMMYFUNCTION("""COMPUTED_VALUE""")," ")</f>
        <v> </v>
      </c>
      <c r="T2823" s="6" t="str">
        <f>IFERROR(__xludf.DUMMYFUNCTION("""COMPUTED_VALUE"""),"")</f>
        <v/>
      </c>
      <c r="U2823" s="6" t="str">
        <f>IFERROR(__xludf.DUMMYFUNCTION("""COMPUTED_VALUE"""),"9")</f>
        <v>9</v>
      </c>
      <c r="V2823" s="6" t="str">
        <f>IFERROR(__xludf.DUMMYFUNCTION("""COMPUTED_VALUE"""),"")</f>
        <v/>
      </c>
      <c r="W2823" s="6" t="str">
        <f>IFERROR(__xludf.DUMMYFUNCTION("""COMPUTED_VALUE"""),"[]")</f>
        <v>[]</v>
      </c>
      <c r="X2823" s="6" t="str">
        <f>IFERROR(__xludf.DUMMYFUNCTION("""COMPUTED_VALUE"""),"Enrolled")</f>
        <v>Enrolled</v>
      </c>
    </row>
    <row r="2824">
      <c r="A2824" s="6" t="str">
        <f>IFERROR(__xludf.DUMMYFUNCTION("""COMPUTED_VALUE"""),"059-4576")</f>
        <v>059-4576</v>
      </c>
      <c r="B2824" s="6" t="str">
        <f>IFERROR(__xludf.DUMMYFUNCTION("""COMPUTED_VALUE"""),"59")</f>
        <v>59</v>
      </c>
      <c r="C2824" s="6" t="str">
        <f>IFERROR(__xludf.DUMMYFUNCTION("""COMPUTED_VALUE"""),"4576")</f>
        <v>4576</v>
      </c>
      <c r="D2824" s="6" t="str">
        <f>IFERROR(__xludf.DUMMYFUNCTION("""COMPUTED_VALUE"""),"Jaycob")</f>
        <v>Jaycob</v>
      </c>
      <c r="E2824" s="6" t="str">
        <f>IFERROR(__xludf.DUMMYFUNCTION("""COMPUTED_VALUE"""),"")</f>
        <v/>
      </c>
      <c r="F2824" s="6" t="str">
        <f>IFERROR(__xludf.DUMMYFUNCTION("""COMPUTED_VALUE"""),"Herrera")</f>
        <v>Herrera</v>
      </c>
      <c r="G2824" s="6" t="str">
        <f>IFERROR(__xludf.DUMMYFUNCTION("""COMPUTED_VALUE"""),"01/18/2010")</f>
        <v>01/18/2010</v>
      </c>
      <c r="H2824" s="6" t="str">
        <f>IFERROR(__xludf.DUMMYFUNCTION("""COMPUTED_VALUE"""),"Self Identify")</f>
        <v>Self Identify</v>
      </c>
      <c r="I2824" s="6" t="str">
        <f>IFERROR(__xludf.DUMMYFUNCTION("""COMPUTED_VALUE"""),"High School")</f>
        <v>High School</v>
      </c>
      <c r="J2824" s="6" t="str">
        <f>IFERROR(__xludf.DUMMYFUNCTION("""COMPUTED_VALUE"""),"10")</f>
        <v>10</v>
      </c>
      <c r="K2824" s="6" t="str">
        <f>IFERROR(__xludf.DUMMYFUNCTION("""COMPUTED_VALUE"""),"jaycob.herrera@2hourlearning.com")</f>
        <v>jaycob.herrera@2hourlearning.com</v>
      </c>
      <c r="L2824" s="6" t="str">
        <f>IFERROR(__xludf.DUMMYFUNCTION("""COMPUTED_VALUE"""),"Strata")</f>
        <v>Strata</v>
      </c>
      <c r="M2824" s="6" t="str">
        <f>IFERROR(__xludf.DUMMYFUNCTION("""COMPUTED_VALUE"""),"")</f>
        <v/>
      </c>
      <c r="N2824" s="6" t="str">
        <f>IFERROR(__xludf.DUMMYFUNCTION("""COMPUTED_VALUE"""),"")</f>
        <v/>
      </c>
      <c r="O2824" s="87" t="str">
        <f>IFERROR(__xludf.DUMMYFUNCTION("""COMPUTED_VALUE"""),"https://drive.google.com/drive/folders/10T2cTQHqEJZqE-st6uFKPoI?usp=share_link")</f>
        <v>https://drive.google.com/drive/folders/10T2cTQHqEJZqE-st6uFKPoI?usp=share_link</v>
      </c>
      <c r="P2824" s="6" t="str">
        <f>IFERROR(__xludf.DUMMYFUNCTION("""COMPUTED_VALUE"""),"Jaycob Herrera")</f>
        <v>Jaycob Herrera</v>
      </c>
      <c r="Q2824" s="6" t="str">
        <f>IFERROR(__xludf.DUMMYFUNCTION("""COMPUTED_VALUE"""),"HS")</f>
        <v>HS</v>
      </c>
      <c r="R2824" s="6">
        <f>IFERROR(__xludf.DUMMYFUNCTION("""COMPUTED_VALUE"""),0.0)</f>
        <v>0</v>
      </c>
      <c r="S2824" s="6" t="str">
        <f>IFERROR(__xludf.DUMMYFUNCTION("""COMPUTED_VALUE""")," ")</f>
        <v> </v>
      </c>
      <c r="T2824" s="6" t="str">
        <f>IFERROR(__xludf.DUMMYFUNCTION("""COMPUTED_VALUE"""),"")</f>
        <v/>
      </c>
      <c r="U2824" s="6" t="str">
        <f>IFERROR(__xludf.DUMMYFUNCTION("""COMPUTED_VALUE"""),"10")</f>
        <v>10</v>
      </c>
      <c r="V2824" s="6" t="str">
        <f>IFERROR(__xludf.DUMMYFUNCTION("""COMPUTED_VALUE"""),"")</f>
        <v/>
      </c>
      <c r="W2824" s="6" t="str">
        <f>IFERROR(__xludf.DUMMYFUNCTION("""COMPUTED_VALUE"""),"[]")</f>
        <v>[]</v>
      </c>
      <c r="X2824" s="6" t="str">
        <f>IFERROR(__xludf.DUMMYFUNCTION("""COMPUTED_VALUE"""),"Enrolled")</f>
        <v>Enrolled</v>
      </c>
    </row>
    <row r="2825">
      <c r="A2825" s="6" t="str">
        <f>IFERROR(__xludf.DUMMYFUNCTION("""COMPUTED_VALUE"""),"059-4610")</f>
        <v>059-4610</v>
      </c>
      <c r="B2825" s="6" t="str">
        <f>IFERROR(__xludf.DUMMYFUNCTION("""COMPUTED_VALUE"""),"59")</f>
        <v>59</v>
      </c>
      <c r="C2825" s="6" t="str">
        <f>IFERROR(__xludf.DUMMYFUNCTION("""COMPUTED_VALUE"""),"4610")</f>
        <v>4610</v>
      </c>
      <c r="D2825" s="6" t="str">
        <f>IFERROR(__xludf.DUMMYFUNCTION("""COMPUTED_VALUE"""),"Chris")</f>
        <v>Chris</v>
      </c>
      <c r="E2825" s="6" t="str">
        <f>IFERROR(__xludf.DUMMYFUNCTION("""COMPUTED_VALUE"""),"")</f>
        <v/>
      </c>
      <c r="F2825" s="6" t="str">
        <f>IFERROR(__xludf.DUMMYFUNCTION("""COMPUTED_VALUE"""),"Gaines")</f>
        <v>Gaines</v>
      </c>
      <c r="G2825" s="6" t="str">
        <f>IFERROR(__xludf.DUMMYFUNCTION("""COMPUTED_VALUE"""),"05/24/2011")</f>
        <v>05/24/2011</v>
      </c>
      <c r="H2825" s="6" t="str">
        <f>IFERROR(__xludf.DUMMYFUNCTION("""COMPUTED_VALUE"""),"Self Identify")</f>
        <v>Self Identify</v>
      </c>
      <c r="I2825" s="6" t="str">
        <f>IFERROR(__xludf.DUMMYFUNCTION("""COMPUTED_VALUE"""),"High School")</f>
        <v>High School</v>
      </c>
      <c r="J2825" s="6" t="str">
        <f>IFERROR(__xludf.DUMMYFUNCTION("""COMPUTED_VALUE"""),"8")</f>
        <v>8</v>
      </c>
      <c r="K2825" s="6" t="str">
        <f>IFERROR(__xludf.DUMMYFUNCTION("""COMPUTED_VALUE"""),"chris.gaines@2hourlearning.com")</f>
        <v>chris.gaines@2hourlearning.com</v>
      </c>
      <c r="L2825" s="6" t="str">
        <f>IFERROR(__xludf.DUMMYFUNCTION("""COMPUTED_VALUE"""),"Strata")</f>
        <v>Strata</v>
      </c>
      <c r="M2825" s="6" t="str">
        <f>IFERROR(__xludf.DUMMYFUNCTION("""COMPUTED_VALUE"""),"")</f>
        <v/>
      </c>
      <c r="N2825" s="6" t="str">
        <f>IFERROR(__xludf.DUMMYFUNCTION("""COMPUTED_VALUE"""),"")</f>
        <v/>
      </c>
      <c r="O2825" s="87" t="str">
        <f>IFERROR(__xludf.DUMMYFUNCTION("""COMPUTED_VALUE"""),"https://drive.google.com/drive/folders/10T2cTQHqEJZqE-st6uFKPoI?usp=share_link")</f>
        <v>https://drive.google.com/drive/folders/10T2cTQHqEJZqE-st6uFKPoI?usp=share_link</v>
      </c>
      <c r="P2825" s="6" t="str">
        <f>IFERROR(__xludf.DUMMYFUNCTION("""COMPUTED_VALUE"""),"Chris Gaines")</f>
        <v>Chris Gaines</v>
      </c>
      <c r="Q2825" s="6" t="str">
        <f>IFERROR(__xludf.DUMMYFUNCTION("""COMPUTED_VALUE"""),"HS")</f>
        <v>HS</v>
      </c>
      <c r="R2825" s="6">
        <f>IFERROR(__xludf.DUMMYFUNCTION("""COMPUTED_VALUE"""),0.0)</f>
        <v>0</v>
      </c>
      <c r="S2825" s="6" t="str">
        <f>IFERROR(__xludf.DUMMYFUNCTION("""COMPUTED_VALUE""")," ")</f>
        <v> </v>
      </c>
      <c r="T2825" s="6" t="str">
        <f>IFERROR(__xludf.DUMMYFUNCTION("""COMPUTED_VALUE"""),"")</f>
        <v/>
      </c>
      <c r="U2825" s="6" t="str">
        <f>IFERROR(__xludf.DUMMYFUNCTION("""COMPUTED_VALUE"""),"8")</f>
        <v>8</v>
      </c>
      <c r="V2825" s="6" t="str">
        <f>IFERROR(__xludf.DUMMYFUNCTION("""COMPUTED_VALUE"""),"")</f>
        <v/>
      </c>
      <c r="W2825" s="6" t="str">
        <f>IFERROR(__xludf.DUMMYFUNCTION("""COMPUTED_VALUE"""),"[]")</f>
        <v>[]</v>
      </c>
      <c r="X2825" s="6" t="str">
        <f>IFERROR(__xludf.DUMMYFUNCTION("""COMPUTED_VALUE"""),"Enrolled")</f>
        <v>Enrolled</v>
      </c>
    </row>
    <row r="2826">
      <c r="A2826" s="6" t="str">
        <f>IFERROR(__xludf.DUMMYFUNCTION("""COMPUTED_VALUE"""),"059-4611")</f>
        <v>059-4611</v>
      </c>
      <c r="B2826" s="6" t="str">
        <f>IFERROR(__xludf.DUMMYFUNCTION("""COMPUTED_VALUE"""),"59")</f>
        <v>59</v>
      </c>
      <c r="C2826" s="6" t="str">
        <f>IFERROR(__xludf.DUMMYFUNCTION("""COMPUTED_VALUE"""),"4611")</f>
        <v>4611</v>
      </c>
      <c r="D2826" s="6" t="str">
        <f>IFERROR(__xludf.DUMMYFUNCTION("""COMPUTED_VALUE"""),"Ilyas")</f>
        <v>Ilyas</v>
      </c>
      <c r="E2826" s="6" t="str">
        <f>IFERROR(__xludf.DUMMYFUNCTION("""COMPUTED_VALUE"""),"")</f>
        <v/>
      </c>
      <c r="F2826" s="6" t="str">
        <f>IFERROR(__xludf.DUMMYFUNCTION("""COMPUTED_VALUE"""),"Ali")</f>
        <v>Ali</v>
      </c>
      <c r="G2826" s="6" t="str">
        <f>IFERROR(__xludf.DUMMYFUNCTION("""COMPUTED_VALUE"""),"06/28/2010")</f>
        <v>06/28/2010</v>
      </c>
      <c r="H2826" s="6" t="str">
        <f>IFERROR(__xludf.DUMMYFUNCTION("""COMPUTED_VALUE"""),"Self Identify")</f>
        <v>Self Identify</v>
      </c>
      <c r="I2826" s="6" t="str">
        <f>IFERROR(__xludf.DUMMYFUNCTION("""COMPUTED_VALUE"""),"High School")</f>
        <v>High School</v>
      </c>
      <c r="J2826" s="6" t="str">
        <f>IFERROR(__xludf.DUMMYFUNCTION("""COMPUTED_VALUE"""),"10")</f>
        <v>10</v>
      </c>
      <c r="K2826" s="6" t="str">
        <f>IFERROR(__xludf.DUMMYFUNCTION("""COMPUTED_VALUE"""),"ilyas.ali@2hourlearning.com")</f>
        <v>ilyas.ali@2hourlearning.com</v>
      </c>
      <c r="L2826" s="6" t="str">
        <f>IFERROR(__xludf.DUMMYFUNCTION("""COMPUTED_VALUE"""),"Strata")</f>
        <v>Strata</v>
      </c>
      <c r="M2826" s="6" t="str">
        <f>IFERROR(__xludf.DUMMYFUNCTION("""COMPUTED_VALUE"""),"")</f>
        <v/>
      </c>
      <c r="N2826" s="6" t="str">
        <f>IFERROR(__xludf.DUMMYFUNCTION("""COMPUTED_VALUE"""),"")</f>
        <v/>
      </c>
      <c r="O2826" s="87" t="str">
        <f>IFERROR(__xludf.DUMMYFUNCTION("""COMPUTED_VALUE"""),"https://drive.google.com/drive/folders/10T2cTQHqEJZqE-st6uFKPoI?usp=share_link")</f>
        <v>https://drive.google.com/drive/folders/10T2cTQHqEJZqE-st6uFKPoI?usp=share_link</v>
      </c>
      <c r="P2826" s="6" t="str">
        <f>IFERROR(__xludf.DUMMYFUNCTION("""COMPUTED_VALUE"""),"Ilyas Ali")</f>
        <v>Ilyas Ali</v>
      </c>
      <c r="Q2826" s="6" t="str">
        <f>IFERROR(__xludf.DUMMYFUNCTION("""COMPUTED_VALUE"""),"HS")</f>
        <v>HS</v>
      </c>
      <c r="R2826" s="6">
        <f>IFERROR(__xludf.DUMMYFUNCTION("""COMPUTED_VALUE"""),0.0)</f>
        <v>0</v>
      </c>
      <c r="S2826" s="6" t="str">
        <f>IFERROR(__xludf.DUMMYFUNCTION("""COMPUTED_VALUE""")," ")</f>
        <v> </v>
      </c>
      <c r="T2826" s="6" t="str">
        <f>IFERROR(__xludf.DUMMYFUNCTION("""COMPUTED_VALUE"""),"")</f>
        <v/>
      </c>
      <c r="U2826" s="6" t="str">
        <f>IFERROR(__xludf.DUMMYFUNCTION("""COMPUTED_VALUE"""),"10")</f>
        <v>10</v>
      </c>
      <c r="V2826" s="6" t="str">
        <f>IFERROR(__xludf.DUMMYFUNCTION("""COMPUTED_VALUE"""),"")</f>
        <v/>
      </c>
      <c r="W2826" s="6" t="str">
        <f>IFERROR(__xludf.DUMMYFUNCTION("""COMPUTED_VALUE"""),"[]")</f>
        <v>[]</v>
      </c>
      <c r="X2826" s="6" t="str">
        <f>IFERROR(__xludf.DUMMYFUNCTION("""COMPUTED_VALUE"""),"Enrolled")</f>
        <v>Enrolled</v>
      </c>
    </row>
    <row r="2827">
      <c r="A2827" s="6" t="str">
        <f>IFERROR(__xludf.DUMMYFUNCTION("""COMPUTED_VALUE"""),"059-4618")</f>
        <v>059-4618</v>
      </c>
      <c r="B2827" s="6" t="str">
        <f>IFERROR(__xludf.DUMMYFUNCTION("""COMPUTED_VALUE"""),"59")</f>
        <v>59</v>
      </c>
      <c r="C2827" s="6" t="str">
        <f>IFERROR(__xludf.DUMMYFUNCTION("""COMPUTED_VALUE"""),"4618")</f>
        <v>4618</v>
      </c>
      <c r="D2827" s="6" t="str">
        <f>IFERROR(__xludf.DUMMYFUNCTION("""COMPUTED_VALUE"""),"River")</f>
        <v>River</v>
      </c>
      <c r="E2827" s="6" t="str">
        <f>IFERROR(__xludf.DUMMYFUNCTION("""COMPUTED_VALUE"""),"")</f>
        <v/>
      </c>
      <c r="F2827" s="6" t="str">
        <f>IFERROR(__xludf.DUMMYFUNCTION("""COMPUTED_VALUE"""),"Thomas")</f>
        <v>Thomas</v>
      </c>
      <c r="G2827" s="6" t="str">
        <f>IFERROR(__xludf.DUMMYFUNCTION("""COMPUTED_VALUE"""),"06/15/2010")</f>
        <v>06/15/2010</v>
      </c>
      <c r="H2827" s="6" t="str">
        <f>IFERROR(__xludf.DUMMYFUNCTION("""COMPUTED_VALUE"""),"Self Identify")</f>
        <v>Self Identify</v>
      </c>
      <c r="I2827" s="6" t="str">
        <f>IFERROR(__xludf.DUMMYFUNCTION("""COMPUTED_VALUE"""),"High School")</f>
        <v>High School</v>
      </c>
      <c r="J2827" s="6" t="str">
        <f>IFERROR(__xludf.DUMMYFUNCTION("""COMPUTED_VALUE"""),"9")</f>
        <v>9</v>
      </c>
      <c r="K2827" s="6" t="str">
        <f>IFERROR(__xludf.DUMMYFUNCTION("""COMPUTED_VALUE"""),"river.thomas@2hourlearning.com")</f>
        <v>river.thomas@2hourlearning.com</v>
      </c>
      <c r="L2827" s="6" t="str">
        <f>IFERROR(__xludf.DUMMYFUNCTION("""COMPUTED_VALUE"""),"Strata")</f>
        <v>Strata</v>
      </c>
      <c r="M2827" s="6" t="str">
        <f>IFERROR(__xludf.DUMMYFUNCTION("""COMPUTED_VALUE"""),"")</f>
        <v/>
      </c>
      <c r="N2827" s="6" t="str">
        <f>IFERROR(__xludf.DUMMYFUNCTION("""COMPUTED_VALUE"""),"")</f>
        <v/>
      </c>
      <c r="O2827" s="87" t="str">
        <f>IFERROR(__xludf.DUMMYFUNCTION("""COMPUTED_VALUE"""),"https://drive.google.com/drive/folders/10T2cTQHqEJZqE-st6uFKPoI?usp=share_link")</f>
        <v>https://drive.google.com/drive/folders/10T2cTQHqEJZqE-st6uFKPoI?usp=share_link</v>
      </c>
      <c r="P2827" s="6" t="str">
        <f>IFERROR(__xludf.DUMMYFUNCTION("""COMPUTED_VALUE"""),"River Thomas")</f>
        <v>River Thomas</v>
      </c>
      <c r="Q2827" s="6" t="str">
        <f>IFERROR(__xludf.DUMMYFUNCTION("""COMPUTED_VALUE"""),"HS")</f>
        <v>HS</v>
      </c>
      <c r="R2827" s="6">
        <f>IFERROR(__xludf.DUMMYFUNCTION("""COMPUTED_VALUE"""),0.0)</f>
        <v>0</v>
      </c>
      <c r="S2827" s="6" t="str">
        <f>IFERROR(__xludf.DUMMYFUNCTION("""COMPUTED_VALUE""")," ")</f>
        <v> </v>
      </c>
      <c r="T2827" s="6" t="str">
        <f>IFERROR(__xludf.DUMMYFUNCTION("""COMPUTED_VALUE"""),"")</f>
        <v/>
      </c>
      <c r="U2827" s="6" t="str">
        <f>IFERROR(__xludf.DUMMYFUNCTION("""COMPUTED_VALUE"""),"9")</f>
        <v>9</v>
      </c>
      <c r="V2827" s="6" t="str">
        <f>IFERROR(__xludf.DUMMYFUNCTION("""COMPUTED_VALUE"""),"")</f>
        <v/>
      </c>
      <c r="W2827" s="6" t="str">
        <f>IFERROR(__xludf.DUMMYFUNCTION("""COMPUTED_VALUE"""),"[]")</f>
        <v>[]</v>
      </c>
      <c r="X2827" s="6" t="str">
        <f>IFERROR(__xludf.DUMMYFUNCTION("""COMPUTED_VALUE"""),"Enrolled")</f>
        <v>Enrolled</v>
      </c>
    </row>
    <row r="2828">
      <c r="A2828" s="6" t="str">
        <f>IFERROR(__xludf.DUMMYFUNCTION("""COMPUTED_VALUE"""),"059-4741")</f>
        <v>059-4741</v>
      </c>
      <c r="B2828" s="6" t="str">
        <f>IFERROR(__xludf.DUMMYFUNCTION("""COMPUTED_VALUE"""),"59")</f>
        <v>59</v>
      </c>
      <c r="C2828" s="6" t="str">
        <f>IFERROR(__xludf.DUMMYFUNCTION("""COMPUTED_VALUE"""),"4741")</f>
        <v>4741</v>
      </c>
      <c r="D2828" s="6" t="str">
        <f>IFERROR(__xludf.DUMMYFUNCTION("""COMPUTED_VALUE"""),"Alexander")</f>
        <v>Alexander</v>
      </c>
      <c r="E2828" s="6" t="str">
        <f>IFERROR(__xludf.DUMMYFUNCTION("""COMPUTED_VALUE"""),"")</f>
        <v/>
      </c>
      <c r="F2828" s="6" t="str">
        <f>IFERROR(__xludf.DUMMYFUNCTION("""COMPUTED_VALUE"""),"Le-Iyore")</f>
        <v>Le-Iyore</v>
      </c>
      <c r="G2828" s="6" t="str">
        <f>IFERROR(__xludf.DUMMYFUNCTION("""COMPUTED_VALUE"""),"11/05/2008")</f>
        <v>11/05/2008</v>
      </c>
      <c r="H2828" s="6" t="str">
        <f>IFERROR(__xludf.DUMMYFUNCTION("""COMPUTED_VALUE"""),"self_identify")</f>
        <v>self_identify</v>
      </c>
      <c r="I2828" s="6" t="str">
        <f>IFERROR(__xludf.DUMMYFUNCTION("""COMPUTED_VALUE"""),"High School")</f>
        <v>High School</v>
      </c>
      <c r="J2828" s="6" t="str">
        <f>IFERROR(__xludf.DUMMYFUNCTION("""COMPUTED_VALUE"""),"11")</f>
        <v>11</v>
      </c>
      <c r="K2828" s="6" t="str">
        <f>IFERROR(__xludf.DUMMYFUNCTION("""COMPUTED_VALUE"""),"alexander.le-iyore@2hourlearning.com")</f>
        <v>alexander.le-iyore@2hourlearning.com</v>
      </c>
      <c r="L2828" s="6" t="str">
        <f>IFERROR(__xludf.DUMMYFUNCTION("""COMPUTED_VALUE"""),"Strata")</f>
        <v>Strata</v>
      </c>
      <c r="M2828" s="6" t="str">
        <f>IFERROR(__xludf.DUMMYFUNCTION("""COMPUTED_VALUE"""),"")</f>
        <v/>
      </c>
      <c r="N2828" s="6" t="str">
        <f>IFERROR(__xludf.DUMMYFUNCTION("""COMPUTED_VALUE"""),"")</f>
        <v/>
      </c>
      <c r="O2828" s="87" t="str">
        <f>IFERROR(__xludf.DUMMYFUNCTION("""COMPUTED_VALUE"""),"https://drive.google.com/drive/folders/10T2cTQHqEJZqE-st6uFKPoI?usp=share_link")</f>
        <v>https://drive.google.com/drive/folders/10T2cTQHqEJZqE-st6uFKPoI?usp=share_link</v>
      </c>
      <c r="P2828" s="6" t="str">
        <f>IFERROR(__xludf.DUMMYFUNCTION("""COMPUTED_VALUE"""),"Alexander Le-Iyore")</f>
        <v>Alexander Le-Iyore</v>
      </c>
      <c r="Q2828" s="6" t="str">
        <f>IFERROR(__xludf.DUMMYFUNCTION("""COMPUTED_VALUE"""),"HS")</f>
        <v>HS</v>
      </c>
      <c r="R2828" s="6">
        <f>IFERROR(__xludf.DUMMYFUNCTION("""COMPUTED_VALUE"""),0.0)</f>
        <v>0</v>
      </c>
      <c r="S2828" s="6" t="str">
        <f>IFERROR(__xludf.DUMMYFUNCTION("""COMPUTED_VALUE""")," ")</f>
        <v> </v>
      </c>
      <c r="T2828" s="6" t="str">
        <f>IFERROR(__xludf.DUMMYFUNCTION("""COMPUTED_VALUE"""),"")</f>
        <v/>
      </c>
      <c r="U2828" s="6" t="str">
        <f>IFERROR(__xludf.DUMMYFUNCTION("""COMPUTED_VALUE"""),"11")</f>
        <v>11</v>
      </c>
      <c r="V2828" s="6" t="str">
        <f>IFERROR(__xludf.DUMMYFUNCTION("""COMPUTED_VALUE"""),"")</f>
        <v/>
      </c>
      <c r="W2828" s="6" t="str">
        <f>IFERROR(__xludf.DUMMYFUNCTION("""COMPUTED_VALUE"""),"[]")</f>
        <v>[]</v>
      </c>
      <c r="X2828" s="6" t="str">
        <f>IFERROR(__xludf.DUMMYFUNCTION("""COMPUTED_VALUE"""),"Enrolled")</f>
        <v>Enrolled</v>
      </c>
    </row>
    <row r="2829">
      <c r="A2829" s="6" t="str">
        <f>IFERROR(__xludf.DUMMYFUNCTION("""COMPUTED_VALUE"""),"059-5621")</f>
        <v>059-5621</v>
      </c>
      <c r="B2829" s="6" t="str">
        <f>IFERROR(__xludf.DUMMYFUNCTION("""COMPUTED_VALUE"""),"59")</f>
        <v>59</v>
      </c>
      <c r="C2829" s="6" t="str">
        <f>IFERROR(__xludf.DUMMYFUNCTION("""COMPUTED_VALUE"""),"5621")</f>
        <v>5621</v>
      </c>
      <c r="D2829" s="6" t="str">
        <f>IFERROR(__xludf.DUMMYFUNCTION("""COMPUTED_VALUE"""),"Liam")</f>
        <v>Liam</v>
      </c>
      <c r="E2829" s="6" t="str">
        <f>IFERROR(__xludf.DUMMYFUNCTION("""COMPUTED_VALUE"""),"")</f>
        <v/>
      </c>
      <c r="F2829" s="6" t="str">
        <f>IFERROR(__xludf.DUMMYFUNCTION("""COMPUTED_VALUE"""),"Macdonel")</f>
        <v>Macdonel</v>
      </c>
      <c r="G2829" s="6" t="str">
        <f>IFERROR(__xludf.DUMMYFUNCTION("""COMPUTED_VALUE"""),"01/01/2010")</f>
        <v>01/01/2010</v>
      </c>
      <c r="H2829" s="6" t="str">
        <f>IFERROR(__xludf.DUMMYFUNCTION("""COMPUTED_VALUE"""),"Self Identify")</f>
        <v>Self Identify</v>
      </c>
      <c r="I2829" s="6" t="str">
        <f>IFERROR(__xludf.DUMMYFUNCTION("""COMPUTED_VALUE"""),"High School")</f>
        <v>High School</v>
      </c>
      <c r="J2829" s="6" t="str">
        <f>IFERROR(__xludf.DUMMYFUNCTION("""COMPUTED_VALUE"""),"9")</f>
        <v>9</v>
      </c>
      <c r="K2829" s="6" t="str">
        <f>IFERROR(__xludf.DUMMYFUNCTION("""COMPUTED_VALUE"""),"liam.macdonel@2hourlearning.com")</f>
        <v>liam.macdonel@2hourlearning.com</v>
      </c>
      <c r="L2829" s="6" t="str">
        <f>IFERROR(__xludf.DUMMYFUNCTION("""COMPUTED_VALUE"""),"Strata")</f>
        <v>Strata</v>
      </c>
      <c r="M2829" s="6" t="str">
        <f>IFERROR(__xludf.DUMMYFUNCTION("""COMPUTED_VALUE"""),"")</f>
        <v/>
      </c>
      <c r="N2829" s="6" t="str">
        <f>IFERROR(__xludf.DUMMYFUNCTION("""COMPUTED_VALUE"""),"")</f>
        <v/>
      </c>
      <c r="O2829" s="87" t="str">
        <f>IFERROR(__xludf.DUMMYFUNCTION("""COMPUTED_VALUE"""),"https://drive.google.com/drive/folders/10T2cTQHqEJZqE-st6uFKPoI?usp=share_link")</f>
        <v>https://drive.google.com/drive/folders/10T2cTQHqEJZqE-st6uFKPoI?usp=share_link</v>
      </c>
      <c r="P2829" s="6" t="str">
        <f>IFERROR(__xludf.DUMMYFUNCTION("""COMPUTED_VALUE"""),"Liam Macdonel")</f>
        <v>Liam Macdonel</v>
      </c>
      <c r="Q2829" s="6" t="str">
        <f>IFERROR(__xludf.DUMMYFUNCTION("""COMPUTED_VALUE"""),"HS")</f>
        <v>HS</v>
      </c>
      <c r="R2829" s="6">
        <f>IFERROR(__xludf.DUMMYFUNCTION("""COMPUTED_VALUE"""),0.0)</f>
        <v>0</v>
      </c>
      <c r="S2829" s="6" t="str">
        <f>IFERROR(__xludf.DUMMYFUNCTION("""COMPUTED_VALUE""")," ")</f>
        <v> </v>
      </c>
      <c r="T2829" s="6" t="str">
        <f>IFERROR(__xludf.DUMMYFUNCTION("""COMPUTED_VALUE"""),"")</f>
        <v/>
      </c>
      <c r="U2829" s="6" t="str">
        <f>IFERROR(__xludf.DUMMYFUNCTION("""COMPUTED_VALUE"""),"9")</f>
        <v>9</v>
      </c>
      <c r="V2829" s="6" t="str">
        <f>IFERROR(__xludf.DUMMYFUNCTION("""COMPUTED_VALUE"""),"")</f>
        <v/>
      </c>
      <c r="W2829" s="6" t="str">
        <f>IFERROR(__xludf.DUMMYFUNCTION("""COMPUTED_VALUE"""),"[]")</f>
        <v>[]</v>
      </c>
      <c r="X2829" s="6" t="str">
        <f>IFERROR(__xludf.DUMMYFUNCTION("""COMPUTED_VALUE"""),"Enrolled")</f>
        <v>Enrolled</v>
      </c>
    </row>
    <row r="2830">
      <c r="A2830" s="6" t="str">
        <f>IFERROR(__xludf.DUMMYFUNCTION("""COMPUTED_VALUE"""),"059-7568")</f>
        <v>059-7568</v>
      </c>
      <c r="B2830" s="6" t="str">
        <f>IFERROR(__xludf.DUMMYFUNCTION("""COMPUTED_VALUE"""),"59")</f>
        <v>59</v>
      </c>
      <c r="C2830" s="6" t="str">
        <f>IFERROR(__xludf.DUMMYFUNCTION("""COMPUTED_VALUE"""),"7568")</f>
        <v>7568</v>
      </c>
      <c r="D2830" s="6" t="str">
        <f>IFERROR(__xludf.DUMMYFUNCTION("""COMPUTED_VALUE"""),"Austin")</f>
        <v>Austin</v>
      </c>
      <c r="E2830" s="6" t="str">
        <f>IFERROR(__xludf.DUMMYFUNCTION("""COMPUTED_VALUE"""),"")</f>
        <v/>
      </c>
      <c r="F2830" s="6" t="str">
        <f>IFERROR(__xludf.DUMMYFUNCTION("""COMPUTED_VALUE"""),"Pederson")</f>
        <v>Pederson</v>
      </c>
      <c r="G2830" s="6" t="str">
        <f>IFERROR(__xludf.DUMMYFUNCTION("""COMPUTED_VALUE"""),"12/23/2012")</f>
        <v>12/23/2012</v>
      </c>
      <c r="H2830" s="6" t="str">
        <f>IFERROR(__xludf.DUMMYFUNCTION("""COMPUTED_VALUE"""),"Self Identify")</f>
        <v>Self Identify</v>
      </c>
      <c r="I2830" s="6" t="str">
        <f>IFERROR(__xludf.DUMMYFUNCTION("""COMPUTED_VALUE"""),"Middle School")</f>
        <v>Middle School</v>
      </c>
      <c r="J2830" s="6" t="str">
        <f>IFERROR(__xludf.DUMMYFUNCTION("""COMPUTED_VALUE"""),"7")</f>
        <v>7</v>
      </c>
      <c r="K2830" s="6" t="str">
        <f>IFERROR(__xludf.DUMMYFUNCTION("""COMPUTED_VALUE"""),"austin.pederson@2hourlearning.com")</f>
        <v>austin.pederson@2hourlearning.com</v>
      </c>
      <c r="L2830" s="6" t="str">
        <f>IFERROR(__xludf.DUMMYFUNCTION("""COMPUTED_VALUE"""),"Strata")</f>
        <v>Strata</v>
      </c>
      <c r="M2830" s="6" t="str">
        <f>IFERROR(__xludf.DUMMYFUNCTION("""COMPUTED_VALUE"""),"")</f>
        <v/>
      </c>
      <c r="N2830" s="6" t="str">
        <f>IFERROR(__xludf.DUMMYFUNCTION("""COMPUTED_VALUE"""),"")</f>
        <v/>
      </c>
      <c r="O2830" s="87" t="str">
        <f>IFERROR(__xludf.DUMMYFUNCTION("""COMPUTED_VALUE"""),"https://drive.google.com/drive/folders/10T2cTQHqEJZqE-st6uFKPoI?usp=share_link")</f>
        <v>https://drive.google.com/drive/folders/10T2cTQHqEJZqE-st6uFKPoI?usp=share_link</v>
      </c>
      <c r="P2830" s="6" t="str">
        <f>IFERROR(__xludf.DUMMYFUNCTION("""COMPUTED_VALUE"""),"Austin Pederson")</f>
        <v>Austin Pederson</v>
      </c>
      <c r="Q2830" s="6" t="str">
        <f>IFERROR(__xludf.DUMMYFUNCTION("""COMPUTED_VALUE"""),"MS")</f>
        <v>MS</v>
      </c>
      <c r="R2830" s="6">
        <f>IFERROR(__xludf.DUMMYFUNCTION("""COMPUTED_VALUE"""),0.0)</f>
        <v>0</v>
      </c>
      <c r="S2830" s="6" t="str">
        <f>IFERROR(__xludf.DUMMYFUNCTION("""COMPUTED_VALUE""")," ")</f>
        <v> </v>
      </c>
      <c r="T2830" s="6" t="str">
        <f>IFERROR(__xludf.DUMMYFUNCTION("""COMPUTED_VALUE"""),"")</f>
        <v/>
      </c>
      <c r="U2830" s="6" t="str">
        <f>IFERROR(__xludf.DUMMYFUNCTION("""COMPUTED_VALUE"""),"7")</f>
        <v>7</v>
      </c>
      <c r="V2830" s="6" t="str">
        <f>IFERROR(__xludf.DUMMYFUNCTION("""COMPUTED_VALUE"""),"")</f>
        <v/>
      </c>
      <c r="W2830" s="6" t="str">
        <f>IFERROR(__xludf.DUMMYFUNCTION("""COMPUTED_VALUE"""),"[]")</f>
        <v>[]</v>
      </c>
      <c r="X2830" s="6" t="str">
        <f>IFERROR(__xludf.DUMMYFUNCTION("""COMPUTED_VALUE"""),"Enrolled")</f>
        <v>Enrolled</v>
      </c>
    </row>
    <row r="2831">
      <c r="A2831" s="6" t="str">
        <f>IFERROR(__xludf.DUMMYFUNCTION("""COMPUTED_VALUE"""),"059-7958")</f>
        <v>059-7958</v>
      </c>
      <c r="B2831" s="6" t="str">
        <f>IFERROR(__xludf.DUMMYFUNCTION("""COMPUTED_VALUE"""),"59")</f>
        <v>59</v>
      </c>
      <c r="C2831" s="6" t="str">
        <f>IFERROR(__xludf.DUMMYFUNCTION("""COMPUTED_VALUE"""),"7958")</f>
        <v>7958</v>
      </c>
      <c r="D2831" s="6" t="str">
        <f>IFERROR(__xludf.DUMMYFUNCTION("""COMPUTED_VALUE"""),"Cody")</f>
        <v>Cody</v>
      </c>
      <c r="E2831" s="6" t="str">
        <f>IFERROR(__xludf.DUMMYFUNCTION("""COMPUTED_VALUE"""),"")</f>
        <v/>
      </c>
      <c r="F2831" s="6" t="str">
        <f>IFERROR(__xludf.DUMMYFUNCTION("""COMPUTED_VALUE"""),"Haley")</f>
        <v>Haley</v>
      </c>
      <c r="G2831" s="6" t="str">
        <f>IFERROR(__xludf.DUMMYFUNCTION("""COMPUTED_VALUE"""),"03/24/2012")</f>
        <v>03/24/2012</v>
      </c>
      <c r="H2831" s="6" t="str">
        <f>IFERROR(__xludf.DUMMYFUNCTION("""COMPUTED_VALUE"""),"male")</f>
        <v>male</v>
      </c>
      <c r="I2831" s="6" t="str">
        <f>IFERROR(__xludf.DUMMYFUNCTION("""COMPUTED_VALUE"""),"High School")</f>
        <v>High School</v>
      </c>
      <c r="J2831" s="6" t="str">
        <f>IFERROR(__xludf.DUMMYFUNCTION("""COMPUTED_VALUE"""),"10")</f>
        <v>10</v>
      </c>
      <c r="K2831" s="6" t="str">
        <f>IFERROR(__xludf.DUMMYFUNCTION("""COMPUTED_VALUE"""),"cody.haley@2hourlearning.com")</f>
        <v>cody.haley@2hourlearning.com</v>
      </c>
      <c r="L2831" s="6" t="str">
        <f>IFERROR(__xludf.DUMMYFUNCTION("""COMPUTED_VALUE"""),"Strata")</f>
        <v>Strata</v>
      </c>
      <c r="M2831" s="6" t="str">
        <f>IFERROR(__xludf.DUMMYFUNCTION("""COMPUTED_VALUE"""),"")</f>
        <v/>
      </c>
      <c r="N2831" s="6" t="str">
        <f>IFERROR(__xludf.DUMMYFUNCTION("""COMPUTED_VALUE"""),"")</f>
        <v/>
      </c>
      <c r="O2831" s="87" t="str">
        <f>IFERROR(__xludf.DUMMYFUNCTION("""COMPUTED_VALUE"""),"https://drive.google.com/drive/folders/10T2cTQHqEJZqE-st6uFKPoI?usp=share_link")</f>
        <v>https://drive.google.com/drive/folders/10T2cTQHqEJZqE-st6uFKPoI?usp=share_link</v>
      </c>
      <c r="P2831" s="6" t="str">
        <f>IFERROR(__xludf.DUMMYFUNCTION("""COMPUTED_VALUE"""),"Cody Haley")</f>
        <v>Cody Haley</v>
      </c>
      <c r="Q2831" s="6" t="str">
        <f>IFERROR(__xludf.DUMMYFUNCTION("""COMPUTED_VALUE"""),"HS")</f>
        <v>HS</v>
      </c>
      <c r="R2831" s="6">
        <f>IFERROR(__xludf.DUMMYFUNCTION("""COMPUTED_VALUE"""),0.0)</f>
        <v>0</v>
      </c>
      <c r="S2831" s="6" t="str">
        <f>IFERROR(__xludf.DUMMYFUNCTION("""COMPUTED_VALUE""")," ")</f>
        <v> </v>
      </c>
      <c r="T2831" s="6" t="str">
        <f>IFERROR(__xludf.DUMMYFUNCTION("""COMPUTED_VALUE"""),"")</f>
        <v/>
      </c>
      <c r="U2831" s="6" t="str">
        <f>IFERROR(__xludf.DUMMYFUNCTION("""COMPUTED_VALUE"""),"10")</f>
        <v>10</v>
      </c>
      <c r="V2831" s="6" t="str">
        <f>IFERROR(__xludf.DUMMYFUNCTION("""COMPUTED_VALUE"""),"English")</f>
        <v>English</v>
      </c>
      <c r="W2831" s="6" t="str">
        <f>IFERROR(__xludf.DUMMYFUNCTION("""COMPUTED_VALUE"""),"[]")</f>
        <v>[]</v>
      </c>
      <c r="X2831" s="6" t="str">
        <f>IFERROR(__xludf.DUMMYFUNCTION("""COMPUTED_VALUE"""),"Enrolled")</f>
        <v>Enrolled</v>
      </c>
    </row>
    <row r="2832">
      <c r="A2832" s="6" t="str">
        <f>IFERROR(__xludf.DUMMYFUNCTION("""COMPUTED_VALUE"""),"059-8005")</f>
        <v>059-8005</v>
      </c>
      <c r="B2832" s="6" t="str">
        <f>IFERROR(__xludf.DUMMYFUNCTION("""COMPUTED_VALUE"""),"59")</f>
        <v>59</v>
      </c>
      <c r="C2832" s="6" t="str">
        <f>IFERROR(__xludf.DUMMYFUNCTION("""COMPUTED_VALUE"""),"8005")</f>
        <v>8005</v>
      </c>
      <c r="D2832" s="6" t="str">
        <f>IFERROR(__xludf.DUMMYFUNCTION("""COMPUTED_VALUE"""),"Xavier")</f>
        <v>Xavier</v>
      </c>
      <c r="E2832" s="6" t="str">
        <f>IFERROR(__xludf.DUMMYFUNCTION("""COMPUTED_VALUE"""),"")</f>
        <v/>
      </c>
      <c r="F2832" s="6" t="str">
        <f>IFERROR(__xludf.DUMMYFUNCTION("""COMPUTED_VALUE"""),"Mejia")</f>
        <v>Mejia</v>
      </c>
      <c r="G2832" s="6" t="str">
        <f>IFERROR(__xludf.DUMMYFUNCTION("""COMPUTED_VALUE"""),"03/13/2015")</f>
        <v>03/13/2015</v>
      </c>
      <c r="H2832" s="6" t="str">
        <f>IFERROR(__xludf.DUMMYFUNCTION("""COMPUTED_VALUE"""),"Self Identify")</f>
        <v>Self Identify</v>
      </c>
      <c r="I2832" s="6" t="str">
        <f>IFERROR(__xludf.DUMMYFUNCTION("""COMPUTED_VALUE"""),"Level 2")</f>
        <v>Level 2</v>
      </c>
      <c r="J2832" s="6" t="str">
        <f>IFERROR(__xludf.DUMMYFUNCTION("""COMPUTED_VALUE"""),"5")</f>
        <v>5</v>
      </c>
      <c r="K2832" s="6" t="str">
        <f>IFERROR(__xludf.DUMMYFUNCTION("""COMPUTED_VALUE"""),"xavier.mejia@2hourlearning.com")</f>
        <v>xavier.mejia@2hourlearning.com</v>
      </c>
      <c r="L2832" s="6" t="str">
        <f>IFERROR(__xludf.DUMMYFUNCTION("""COMPUTED_VALUE"""),"Strata")</f>
        <v>Strata</v>
      </c>
      <c r="M2832" s="6" t="str">
        <f>IFERROR(__xludf.DUMMYFUNCTION("""COMPUTED_VALUE"""),"")</f>
        <v/>
      </c>
      <c r="N2832" s="6" t="str">
        <f>IFERROR(__xludf.DUMMYFUNCTION("""COMPUTED_VALUE"""),"")</f>
        <v/>
      </c>
      <c r="O2832" s="87" t="str">
        <f>IFERROR(__xludf.DUMMYFUNCTION("""COMPUTED_VALUE"""),"https://drive.google.com/drive/folders/10T2cTQHqEJZqE-st6uFKPoI?usp=share_link")</f>
        <v>https://drive.google.com/drive/folders/10T2cTQHqEJZqE-st6uFKPoI?usp=share_link</v>
      </c>
      <c r="P2832" s="6" t="str">
        <f>IFERROR(__xludf.DUMMYFUNCTION("""COMPUTED_VALUE"""),"Xavier Mejia")</f>
        <v>Xavier Mejia</v>
      </c>
      <c r="Q2832" s="6" t="str">
        <f>IFERROR(__xludf.DUMMYFUNCTION("""COMPUTED_VALUE"""),"L2")</f>
        <v>L2</v>
      </c>
      <c r="R2832" s="6">
        <f>IFERROR(__xludf.DUMMYFUNCTION("""COMPUTED_VALUE"""),2.0)</f>
        <v>2</v>
      </c>
      <c r="S2832" s="6" t="str">
        <f>IFERROR(__xludf.DUMMYFUNCTION("""COMPUTED_VALUE""")," ")</f>
        <v> </v>
      </c>
      <c r="T2832" s="6" t="str">
        <f>IFERROR(__xludf.DUMMYFUNCTION("""COMPUTED_VALUE"""),"")</f>
        <v/>
      </c>
      <c r="U2832" s="6" t="str">
        <f>IFERROR(__xludf.DUMMYFUNCTION("""COMPUTED_VALUE"""),"5")</f>
        <v>5</v>
      </c>
      <c r="V2832" s="6" t="str">
        <f>IFERROR(__xludf.DUMMYFUNCTION("""COMPUTED_VALUE"""),"")</f>
        <v/>
      </c>
      <c r="W2832" s="6" t="str">
        <f>IFERROR(__xludf.DUMMYFUNCTION("""COMPUTED_VALUE"""),"[]")</f>
        <v>[]</v>
      </c>
      <c r="X2832" s="6" t="str">
        <f>IFERROR(__xludf.DUMMYFUNCTION("""COMPUTED_VALUE"""),"Enrolled")</f>
        <v>Enrolled</v>
      </c>
    </row>
    <row r="2833">
      <c r="A2833" s="6" t="str">
        <f>IFERROR(__xludf.DUMMYFUNCTION("""COMPUTED_VALUE"""),"059-8082")</f>
        <v>059-8082</v>
      </c>
      <c r="B2833" s="6" t="str">
        <f>IFERROR(__xludf.DUMMYFUNCTION("""COMPUTED_VALUE"""),"59")</f>
        <v>59</v>
      </c>
      <c r="C2833" s="6" t="str">
        <f>IFERROR(__xludf.DUMMYFUNCTION("""COMPUTED_VALUE"""),"8082")</f>
        <v>8082</v>
      </c>
      <c r="D2833" s="6" t="str">
        <f>IFERROR(__xludf.DUMMYFUNCTION("""COMPUTED_VALUE"""),"Brayden")</f>
        <v>Brayden</v>
      </c>
      <c r="E2833" s="6" t="str">
        <f>IFERROR(__xludf.DUMMYFUNCTION("""COMPUTED_VALUE"""),"")</f>
        <v/>
      </c>
      <c r="F2833" s="6" t="str">
        <f>IFERROR(__xludf.DUMMYFUNCTION("""COMPUTED_VALUE"""),"Worthen")</f>
        <v>Worthen</v>
      </c>
      <c r="G2833" s="6" t="str">
        <f>IFERROR(__xludf.DUMMYFUNCTION("""COMPUTED_VALUE"""),"01/05/2012")</f>
        <v>01/05/2012</v>
      </c>
      <c r="H2833" s="6" t="str">
        <f>IFERROR(__xludf.DUMMYFUNCTION("""COMPUTED_VALUE"""),"Self Identify")</f>
        <v>Self Identify</v>
      </c>
      <c r="I2833" s="6" t="str">
        <f>IFERROR(__xludf.DUMMYFUNCTION("""COMPUTED_VALUE"""),"Middle School")</f>
        <v>Middle School</v>
      </c>
      <c r="J2833" s="6" t="str">
        <f>IFERROR(__xludf.DUMMYFUNCTION("""COMPUTED_VALUE"""),"7")</f>
        <v>7</v>
      </c>
      <c r="K2833" s="6" t="str">
        <f>IFERROR(__xludf.DUMMYFUNCTION("""COMPUTED_VALUE"""),"brayden.worthen@2hourlearning.com")</f>
        <v>brayden.worthen@2hourlearning.com</v>
      </c>
      <c r="L2833" s="6" t="str">
        <f>IFERROR(__xludf.DUMMYFUNCTION("""COMPUTED_VALUE"""),"Strata")</f>
        <v>Strata</v>
      </c>
      <c r="M2833" s="6" t="str">
        <f>IFERROR(__xludf.DUMMYFUNCTION("""COMPUTED_VALUE"""),"")</f>
        <v/>
      </c>
      <c r="N2833" s="6" t="str">
        <f>IFERROR(__xludf.DUMMYFUNCTION("""COMPUTED_VALUE"""),"")</f>
        <v/>
      </c>
      <c r="O2833" s="87" t="str">
        <f>IFERROR(__xludf.DUMMYFUNCTION("""COMPUTED_VALUE"""),"https://drive.google.com/drive/folders/10T2cTQHqEJZqE-st6uFKPoI?usp=share_link")</f>
        <v>https://drive.google.com/drive/folders/10T2cTQHqEJZqE-st6uFKPoI?usp=share_link</v>
      </c>
      <c r="P2833" s="6" t="str">
        <f>IFERROR(__xludf.DUMMYFUNCTION("""COMPUTED_VALUE"""),"Brayden Worthen")</f>
        <v>Brayden Worthen</v>
      </c>
      <c r="Q2833" s="6" t="str">
        <f>IFERROR(__xludf.DUMMYFUNCTION("""COMPUTED_VALUE"""),"MS")</f>
        <v>MS</v>
      </c>
      <c r="R2833" s="6">
        <f>IFERROR(__xludf.DUMMYFUNCTION("""COMPUTED_VALUE"""),0.0)</f>
        <v>0</v>
      </c>
      <c r="S2833" s="6" t="str">
        <f>IFERROR(__xludf.DUMMYFUNCTION("""COMPUTED_VALUE""")," ")</f>
        <v> </v>
      </c>
      <c r="T2833" s="6" t="str">
        <f>IFERROR(__xludf.DUMMYFUNCTION("""COMPUTED_VALUE"""),"")</f>
        <v/>
      </c>
      <c r="U2833" s="6" t="str">
        <f>IFERROR(__xludf.DUMMYFUNCTION("""COMPUTED_VALUE"""),"7")</f>
        <v>7</v>
      </c>
      <c r="V2833" s="6" t="str">
        <f>IFERROR(__xludf.DUMMYFUNCTION("""COMPUTED_VALUE"""),"")</f>
        <v/>
      </c>
      <c r="W2833" s="6" t="str">
        <f>IFERROR(__xludf.DUMMYFUNCTION("""COMPUTED_VALUE"""),"[]")</f>
        <v>[]</v>
      </c>
      <c r="X2833" s="6" t="str">
        <f>IFERROR(__xludf.DUMMYFUNCTION("""COMPUTED_VALUE"""),"Enrolled")</f>
        <v>Enrolled</v>
      </c>
    </row>
    <row r="2834">
      <c r="A2834" s="6" t="str">
        <f>IFERROR(__xludf.DUMMYFUNCTION("""COMPUTED_VALUE"""),"059-8083")</f>
        <v>059-8083</v>
      </c>
      <c r="B2834" s="6" t="str">
        <f>IFERROR(__xludf.DUMMYFUNCTION("""COMPUTED_VALUE"""),"59")</f>
        <v>59</v>
      </c>
      <c r="C2834" s="6" t="str">
        <f>IFERROR(__xludf.DUMMYFUNCTION("""COMPUTED_VALUE"""),"8083")</f>
        <v>8083</v>
      </c>
      <c r="D2834" s="6" t="str">
        <f>IFERROR(__xludf.DUMMYFUNCTION("""COMPUTED_VALUE"""),"Easton")</f>
        <v>Easton</v>
      </c>
      <c r="E2834" s="6" t="str">
        <f>IFERROR(__xludf.DUMMYFUNCTION("""COMPUTED_VALUE"""),"")</f>
        <v/>
      </c>
      <c r="F2834" s="6" t="str">
        <f>IFERROR(__xludf.DUMMYFUNCTION("""COMPUTED_VALUE"""),"Hall")</f>
        <v>Hall</v>
      </c>
      <c r="G2834" s="6" t="str">
        <f>IFERROR(__xludf.DUMMYFUNCTION("""COMPUTED_VALUE"""),"07/09/2012")</f>
        <v>07/09/2012</v>
      </c>
      <c r="H2834" s="6" t="str">
        <f>IFERROR(__xludf.DUMMYFUNCTION("""COMPUTED_VALUE"""),"Self Identify")</f>
        <v>Self Identify</v>
      </c>
      <c r="I2834" s="6" t="str">
        <f>IFERROR(__xludf.DUMMYFUNCTION("""COMPUTED_VALUE"""),"Middle School")</f>
        <v>Middle School</v>
      </c>
      <c r="J2834" s="6" t="str">
        <f>IFERROR(__xludf.DUMMYFUNCTION("""COMPUTED_VALUE"""),"7")</f>
        <v>7</v>
      </c>
      <c r="K2834" s="6" t="str">
        <f>IFERROR(__xludf.DUMMYFUNCTION("""COMPUTED_VALUE"""),"easton.hall@2hourlearning.com")</f>
        <v>easton.hall@2hourlearning.com</v>
      </c>
      <c r="L2834" s="6" t="str">
        <f>IFERROR(__xludf.DUMMYFUNCTION("""COMPUTED_VALUE"""),"Strata")</f>
        <v>Strata</v>
      </c>
      <c r="M2834" s="6" t="str">
        <f>IFERROR(__xludf.DUMMYFUNCTION("""COMPUTED_VALUE"""),"")</f>
        <v/>
      </c>
      <c r="N2834" s="6" t="str">
        <f>IFERROR(__xludf.DUMMYFUNCTION("""COMPUTED_VALUE"""),"")</f>
        <v/>
      </c>
      <c r="O2834" s="87" t="str">
        <f>IFERROR(__xludf.DUMMYFUNCTION("""COMPUTED_VALUE"""),"https://drive.google.com/drive/folders/10T2cTQHqEJZqE-st6uFKPoI?usp=share_link")</f>
        <v>https://drive.google.com/drive/folders/10T2cTQHqEJZqE-st6uFKPoI?usp=share_link</v>
      </c>
      <c r="P2834" s="6" t="str">
        <f>IFERROR(__xludf.DUMMYFUNCTION("""COMPUTED_VALUE"""),"Easton Hall")</f>
        <v>Easton Hall</v>
      </c>
      <c r="Q2834" s="6" t="str">
        <f>IFERROR(__xludf.DUMMYFUNCTION("""COMPUTED_VALUE"""),"MS")</f>
        <v>MS</v>
      </c>
      <c r="R2834" s="6">
        <f>IFERROR(__xludf.DUMMYFUNCTION("""COMPUTED_VALUE"""),0.0)</f>
        <v>0</v>
      </c>
      <c r="S2834" s="6" t="str">
        <f>IFERROR(__xludf.DUMMYFUNCTION("""COMPUTED_VALUE""")," ")</f>
        <v> </v>
      </c>
      <c r="T2834" s="6" t="str">
        <f>IFERROR(__xludf.DUMMYFUNCTION("""COMPUTED_VALUE"""),"")</f>
        <v/>
      </c>
      <c r="U2834" s="6" t="str">
        <f>IFERROR(__xludf.DUMMYFUNCTION("""COMPUTED_VALUE"""),"7")</f>
        <v>7</v>
      </c>
      <c r="V2834" s="6" t="str">
        <f>IFERROR(__xludf.DUMMYFUNCTION("""COMPUTED_VALUE"""),"")</f>
        <v/>
      </c>
      <c r="W2834" s="6" t="str">
        <f>IFERROR(__xludf.DUMMYFUNCTION("""COMPUTED_VALUE"""),"[]")</f>
        <v>[]</v>
      </c>
      <c r="X2834" s="6" t="str">
        <f>IFERROR(__xludf.DUMMYFUNCTION("""COMPUTED_VALUE"""),"Enrolled")</f>
        <v>Enrolled</v>
      </c>
    </row>
    <row r="2835">
      <c r="A2835" s="6" t="str">
        <f>IFERROR(__xludf.DUMMYFUNCTION("""COMPUTED_VALUE"""),"059-8084")</f>
        <v>059-8084</v>
      </c>
      <c r="B2835" s="6" t="str">
        <f>IFERROR(__xludf.DUMMYFUNCTION("""COMPUTED_VALUE"""),"59")</f>
        <v>59</v>
      </c>
      <c r="C2835" s="6" t="str">
        <f>IFERROR(__xludf.DUMMYFUNCTION("""COMPUTED_VALUE"""),"8084")</f>
        <v>8084</v>
      </c>
      <c r="D2835" s="6" t="str">
        <f>IFERROR(__xludf.DUMMYFUNCTION("""COMPUTED_VALUE"""),"Axel")</f>
        <v>Axel</v>
      </c>
      <c r="E2835" s="6" t="str">
        <f>IFERROR(__xludf.DUMMYFUNCTION("""COMPUTED_VALUE"""),"")</f>
        <v/>
      </c>
      <c r="F2835" s="6" t="str">
        <f>IFERROR(__xludf.DUMMYFUNCTION("""COMPUTED_VALUE"""),"Dwyer")</f>
        <v>Dwyer</v>
      </c>
      <c r="G2835" s="6" t="str">
        <f>IFERROR(__xludf.DUMMYFUNCTION("""COMPUTED_VALUE"""),"08/28/2012")</f>
        <v>08/28/2012</v>
      </c>
      <c r="H2835" s="6" t="str">
        <f>IFERROR(__xludf.DUMMYFUNCTION("""COMPUTED_VALUE"""),"Self Identify")</f>
        <v>Self Identify</v>
      </c>
      <c r="I2835" s="6" t="str">
        <f>IFERROR(__xludf.DUMMYFUNCTION("""COMPUTED_VALUE"""),"Middle School")</f>
        <v>Middle School</v>
      </c>
      <c r="J2835" s="6" t="str">
        <f>IFERROR(__xludf.DUMMYFUNCTION("""COMPUTED_VALUE"""),"7")</f>
        <v>7</v>
      </c>
      <c r="K2835" s="6" t="str">
        <f>IFERROR(__xludf.DUMMYFUNCTION("""COMPUTED_VALUE"""),"axel.dwyer@2hourlearning.com")</f>
        <v>axel.dwyer@2hourlearning.com</v>
      </c>
      <c r="L2835" s="6" t="str">
        <f>IFERROR(__xludf.DUMMYFUNCTION("""COMPUTED_VALUE"""),"Strata")</f>
        <v>Strata</v>
      </c>
      <c r="M2835" s="6" t="str">
        <f>IFERROR(__xludf.DUMMYFUNCTION("""COMPUTED_VALUE"""),"")</f>
        <v/>
      </c>
      <c r="N2835" s="6" t="str">
        <f>IFERROR(__xludf.DUMMYFUNCTION("""COMPUTED_VALUE"""),"")</f>
        <v/>
      </c>
      <c r="O2835" s="87" t="str">
        <f>IFERROR(__xludf.DUMMYFUNCTION("""COMPUTED_VALUE"""),"https://drive.google.com/drive/folders/10T2cTQHqEJZqE-st6uFKPoI?usp=share_link")</f>
        <v>https://drive.google.com/drive/folders/10T2cTQHqEJZqE-st6uFKPoI?usp=share_link</v>
      </c>
      <c r="P2835" s="6" t="str">
        <f>IFERROR(__xludf.DUMMYFUNCTION("""COMPUTED_VALUE"""),"Axel Dwyer")</f>
        <v>Axel Dwyer</v>
      </c>
      <c r="Q2835" s="6" t="str">
        <f>IFERROR(__xludf.DUMMYFUNCTION("""COMPUTED_VALUE"""),"MS")</f>
        <v>MS</v>
      </c>
      <c r="R2835" s="6">
        <f>IFERROR(__xludf.DUMMYFUNCTION("""COMPUTED_VALUE"""),0.0)</f>
        <v>0</v>
      </c>
      <c r="S2835" s="6" t="str">
        <f>IFERROR(__xludf.DUMMYFUNCTION("""COMPUTED_VALUE""")," ")</f>
        <v> </v>
      </c>
      <c r="T2835" s="6" t="str">
        <f>IFERROR(__xludf.DUMMYFUNCTION("""COMPUTED_VALUE"""),"")</f>
        <v/>
      </c>
      <c r="U2835" s="6" t="str">
        <f>IFERROR(__xludf.DUMMYFUNCTION("""COMPUTED_VALUE"""),"7")</f>
        <v>7</v>
      </c>
      <c r="V2835" s="6" t="str">
        <f>IFERROR(__xludf.DUMMYFUNCTION("""COMPUTED_VALUE"""),"")</f>
        <v/>
      </c>
      <c r="W2835" s="6" t="str">
        <f>IFERROR(__xludf.DUMMYFUNCTION("""COMPUTED_VALUE"""),"[]")</f>
        <v>[]</v>
      </c>
      <c r="X2835" s="6" t="str">
        <f>IFERROR(__xludf.DUMMYFUNCTION("""COMPUTED_VALUE"""),"Enrolled")</f>
        <v>Enrolled</v>
      </c>
    </row>
    <row r="2836">
      <c r="A2836" s="6" t="str">
        <f>IFERROR(__xludf.DUMMYFUNCTION("""COMPUTED_VALUE"""),"059-8163")</f>
        <v>059-8163</v>
      </c>
      <c r="B2836" s="6" t="str">
        <f>IFERROR(__xludf.DUMMYFUNCTION("""COMPUTED_VALUE"""),"59")</f>
        <v>59</v>
      </c>
      <c r="C2836" s="6" t="str">
        <f>IFERROR(__xludf.DUMMYFUNCTION("""COMPUTED_VALUE"""),"8163")</f>
        <v>8163</v>
      </c>
      <c r="D2836" s="6" t="str">
        <f>IFERROR(__xludf.DUMMYFUNCTION("""COMPUTED_VALUE"""),"Davis")</f>
        <v>Davis</v>
      </c>
      <c r="E2836" s="6" t="str">
        <f>IFERROR(__xludf.DUMMYFUNCTION("""COMPUTED_VALUE"""),"")</f>
        <v/>
      </c>
      <c r="F2836" s="6" t="str">
        <f>IFERROR(__xludf.DUMMYFUNCTION("""COMPUTED_VALUE"""),"Cook")</f>
        <v>Cook</v>
      </c>
      <c r="G2836" s="6" t="str">
        <f>IFERROR(__xludf.DUMMYFUNCTION("""COMPUTED_VALUE"""),"01/05/2012")</f>
        <v>01/05/2012</v>
      </c>
      <c r="H2836" s="6" t="str">
        <f>IFERROR(__xludf.DUMMYFUNCTION("""COMPUTED_VALUE"""),"Self Identify")</f>
        <v>Self Identify</v>
      </c>
      <c r="I2836" s="6" t="str">
        <f>IFERROR(__xludf.DUMMYFUNCTION("""COMPUTED_VALUE"""),"High School")</f>
        <v>High School</v>
      </c>
      <c r="J2836" s="6" t="str">
        <f>IFERROR(__xludf.DUMMYFUNCTION("""COMPUTED_VALUE"""),"8")</f>
        <v>8</v>
      </c>
      <c r="K2836" s="6" t="str">
        <f>IFERROR(__xludf.DUMMYFUNCTION("""COMPUTED_VALUE"""),"davis.cook@2hourlearning.com")</f>
        <v>davis.cook@2hourlearning.com</v>
      </c>
      <c r="L2836" s="6" t="str">
        <f>IFERROR(__xludf.DUMMYFUNCTION("""COMPUTED_VALUE"""),"Strata")</f>
        <v>Strata</v>
      </c>
      <c r="M2836" s="6" t="str">
        <f>IFERROR(__xludf.DUMMYFUNCTION("""COMPUTED_VALUE"""),"")</f>
        <v/>
      </c>
      <c r="N2836" s="6" t="str">
        <f>IFERROR(__xludf.DUMMYFUNCTION("""COMPUTED_VALUE"""),"")</f>
        <v/>
      </c>
      <c r="O2836" s="87" t="str">
        <f>IFERROR(__xludf.DUMMYFUNCTION("""COMPUTED_VALUE"""),"https://drive.google.com/drive/folders/10T2cTQHqEJZqE-st6uFKPoI?usp=share_link")</f>
        <v>https://drive.google.com/drive/folders/10T2cTQHqEJZqE-st6uFKPoI?usp=share_link</v>
      </c>
      <c r="P2836" s="6" t="str">
        <f>IFERROR(__xludf.DUMMYFUNCTION("""COMPUTED_VALUE"""),"Davis Cook")</f>
        <v>Davis Cook</v>
      </c>
      <c r="Q2836" s="6" t="str">
        <f>IFERROR(__xludf.DUMMYFUNCTION("""COMPUTED_VALUE"""),"HS")</f>
        <v>HS</v>
      </c>
      <c r="R2836" s="6">
        <f>IFERROR(__xludf.DUMMYFUNCTION("""COMPUTED_VALUE"""),0.0)</f>
        <v>0</v>
      </c>
      <c r="S2836" s="6" t="str">
        <f>IFERROR(__xludf.DUMMYFUNCTION("""COMPUTED_VALUE""")," ")</f>
        <v> </v>
      </c>
      <c r="T2836" s="6" t="str">
        <f>IFERROR(__xludf.DUMMYFUNCTION("""COMPUTED_VALUE"""),"")</f>
        <v/>
      </c>
      <c r="U2836" s="6" t="str">
        <f>IFERROR(__xludf.DUMMYFUNCTION("""COMPUTED_VALUE"""),"8")</f>
        <v>8</v>
      </c>
      <c r="V2836" s="6" t="str">
        <f>IFERROR(__xludf.DUMMYFUNCTION("""COMPUTED_VALUE"""),"")</f>
        <v/>
      </c>
      <c r="W2836" s="6" t="str">
        <f>IFERROR(__xludf.DUMMYFUNCTION("""COMPUTED_VALUE"""),"[]")</f>
        <v>[]</v>
      </c>
      <c r="X2836" s="6" t="str">
        <f>IFERROR(__xludf.DUMMYFUNCTION("""COMPUTED_VALUE"""),"Enrolled")</f>
        <v>Enrolled</v>
      </c>
    </row>
    <row r="2837">
      <c r="A2837" s="6" t="str">
        <f>IFERROR(__xludf.DUMMYFUNCTION("""COMPUTED_VALUE"""),"059-8250")</f>
        <v>059-8250</v>
      </c>
      <c r="B2837" s="6" t="str">
        <f>IFERROR(__xludf.DUMMYFUNCTION("""COMPUTED_VALUE"""),"59")</f>
        <v>59</v>
      </c>
      <c r="C2837" s="6" t="str">
        <f>IFERROR(__xludf.DUMMYFUNCTION("""COMPUTED_VALUE"""),"8250")</f>
        <v>8250</v>
      </c>
      <c r="D2837" s="6" t="str">
        <f>IFERROR(__xludf.DUMMYFUNCTION("""COMPUTED_VALUE"""),"Lathan")</f>
        <v>Lathan</v>
      </c>
      <c r="E2837" s="6" t="str">
        <f>IFERROR(__xludf.DUMMYFUNCTION("""COMPUTED_VALUE"""),"")</f>
        <v/>
      </c>
      <c r="F2837" s="6" t="str">
        <f>IFERROR(__xludf.DUMMYFUNCTION("""COMPUTED_VALUE"""),"Lindsey")</f>
        <v>Lindsey</v>
      </c>
      <c r="G2837" s="6" t="str">
        <f>IFERROR(__xludf.DUMMYFUNCTION("""COMPUTED_VALUE"""),"07/09/2011")</f>
        <v>07/09/2011</v>
      </c>
      <c r="H2837" s="6" t="str">
        <f>IFERROR(__xludf.DUMMYFUNCTION("""COMPUTED_VALUE"""),"Self Identify")</f>
        <v>Self Identify</v>
      </c>
      <c r="I2837" s="6" t="str">
        <f>IFERROR(__xludf.DUMMYFUNCTION("""COMPUTED_VALUE"""),"Middle School")</f>
        <v>Middle School</v>
      </c>
      <c r="J2837" s="6" t="str">
        <f>IFERROR(__xludf.DUMMYFUNCTION("""COMPUTED_VALUE"""),"8")</f>
        <v>8</v>
      </c>
      <c r="K2837" s="6" t="str">
        <f>IFERROR(__xludf.DUMMYFUNCTION("""COMPUTED_VALUE"""),"lathan.lindsey@2hourlearning.com")</f>
        <v>lathan.lindsey@2hourlearning.com</v>
      </c>
      <c r="L2837" s="6" t="str">
        <f>IFERROR(__xludf.DUMMYFUNCTION("""COMPUTED_VALUE"""),"Strata")</f>
        <v>Strata</v>
      </c>
      <c r="M2837" s="6" t="str">
        <f>IFERROR(__xludf.DUMMYFUNCTION("""COMPUTED_VALUE"""),"")</f>
        <v/>
      </c>
      <c r="N2837" s="6" t="str">
        <f>IFERROR(__xludf.DUMMYFUNCTION("""COMPUTED_VALUE"""),"")</f>
        <v/>
      </c>
      <c r="O2837" s="87" t="str">
        <f>IFERROR(__xludf.DUMMYFUNCTION("""COMPUTED_VALUE"""),"https://drive.google.com/drive/folders/10T2cTQHqEJZqE-st6uFKPoI?usp=share_link")</f>
        <v>https://drive.google.com/drive/folders/10T2cTQHqEJZqE-st6uFKPoI?usp=share_link</v>
      </c>
      <c r="P2837" s="6" t="str">
        <f>IFERROR(__xludf.DUMMYFUNCTION("""COMPUTED_VALUE"""),"Lathan Lindsey")</f>
        <v>Lathan Lindsey</v>
      </c>
      <c r="Q2837" s="6" t="str">
        <f>IFERROR(__xludf.DUMMYFUNCTION("""COMPUTED_VALUE"""),"MS")</f>
        <v>MS</v>
      </c>
      <c r="R2837" s="6">
        <f>IFERROR(__xludf.DUMMYFUNCTION("""COMPUTED_VALUE"""),0.0)</f>
        <v>0</v>
      </c>
      <c r="S2837" s="6" t="str">
        <f>IFERROR(__xludf.DUMMYFUNCTION("""COMPUTED_VALUE""")," ")</f>
        <v> </v>
      </c>
      <c r="T2837" s="6" t="str">
        <f>IFERROR(__xludf.DUMMYFUNCTION("""COMPUTED_VALUE"""),"")</f>
        <v/>
      </c>
      <c r="U2837" s="6" t="str">
        <f>IFERROR(__xludf.DUMMYFUNCTION("""COMPUTED_VALUE"""),"8")</f>
        <v>8</v>
      </c>
      <c r="V2837" s="6" t="str">
        <f>IFERROR(__xludf.DUMMYFUNCTION("""COMPUTED_VALUE"""),"")</f>
        <v/>
      </c>
      <c r="W2837" s="6" t="str">
        <f>IFERROR(__xludf.DUMMYFUNCTION("""COMPUTED_VALUE"""),"[]")</f>
        <v>[]</v>
      </c>
      <c r="X2837" s="6" t="str">
        <f>IFERROR(__xludf.DUMMYFUNCTION("""COMPUTED_VALUE"""),"Enrolled")</f>
        <v>Enrolled</v>
      </c>
    </row>
    <row r="2838">
      <c r="A2838" s="6" t="str">
        <f>IFERROR(__xludf.DUMMYFUNCTION("""COMPUTED_VALUE"""),"059-8251")</f>
        <v>059-8251</v>
      </c>
      <c r="B2838" s="6" t="str">
        <f>IFERROR(__xludf.DUMMYFUNCTION("""COMPUTED_VALUE"""),"59")</f>
        <v>59</v>
      </c>
      <c r="C2838" s="6" t="str">
        <f>IFERROR(__xludf.DUMMYFUNCTION("""COMPUTED_VALUE"""),"8251")</f>
        <v>8251</v>
      </c>
      <c r="D2838" s="6" t="str">
        <f>IFERROR(__xludf.DUMMYFUNCTION("""COMPUTED_VALUE"""),"Ty")</f>
        <v>Ty</v>
      </c>
      <c r="E2838" s="6" t="str">
        <f>IFERROR(__xludf.DUMMYFUNCTION("""COMPUTED_VALUE"""),"")</f>
        <v/>
      </c>
      <c r="F2838" s="6" t="str">
        <f>IFERROR(__xludf.DUMMYFUNCTION("""COMPUTED_VALUE"""),"Garner")</f>
        <v>Garner</v>
      </c>
      <c r="G2838" s="6" t="str">
        <f>IFERROR(__xludf.DUMMYFUNCTION("""COMPUTED_VALUE"""),"08/28/2010")</f>
        <v>08/28/2010</v>
      </c>
      <c r="H2838" s="6" t="str">
        <f>IFERROR(__xludf.DUMMYFUNCTION("""COMPUTED_VALUE"""),"Self Identify")</f>
        <v>Self Identify</v>
      </c>
      <c r="I2838" s="6" t="str">
        <f>IFERROR(__xludf.DUMMYFUNCTION("""COMPUTED_VALUE"""),"High School")</f>
        <v>High School</v>
      </c>
      <c r="J2838" s="6" t="str">
        <f>IFERROR(__xludf.DUMMYFUNCTION("""COMPUTED_VALUE"""),"9")</f>
        <v>9</v>
      </c>
      <c r="K2838" s="6" t="str">
        <f>IFERROR(__xludf.DUMMYFUNCTION("""COMPUTED_VALUE"""),"ty.garner@2hourlearning.com")</f>
        <v>ty.garner@2hourlearning.com</v>
      </c>
      <c r="L2838" s="6" t="str">
        <f>IFERROR(__xludf.DUMMYFUNCTION("""COMPUTED_VALUE"""),"Strata")</f>
        <v>Strata</v>
      </c>
      <c r="M2838" s="6" t="str">
        <f>IFERROR(__xludf.DUMMYFUNCTION("""COMPUTED_VALUE"""),"")</f>
        <v/>
      </c>
      <c r="N2838" s="6" t="str">
        <f>IFERROR(__xludf.DUMMYFUNCTION("""COMPUTED_VALUE"""),"")</f>
        <v/>
      </c>
      <c r="O2838" s="87" t="str">
        <f>IFERROR(__xludf.DUMMYFUNCTION("""COMPUTED_VALUE"""),"https://drive.google.com/drive/folders/10T2cTQHqEJZqE-st6uFKPoI?usp=share_link")</f>
        <v>https://drive.google.com/drive/folders/10T2cTQHqEJZqE-st6uFKPoI?usp=share_link</v>
      </c>
      <c r="P2838" s="6" t="str">
        <f>IFERROR(__xludf.DUMMYFUNCTION("""COMPUTED_VALUE"""),"Ty Garner")</f>
        <v>Ty Garner</v>
      </c>
      <c r="Q2838" s="6" t="str">
        <f>IFERROR(__xludf.DUMMYFUNCTION("""COMPUTED_VALUE"""),"HS")</f>
        <v>HS</v>
      </c>
      <c r="R2838" s="6">
        <f>IFERROR(__xludf.DUMMYFUNCTION("""COMPUTED_VALUE"""),0.0)</f>
        <v>0</v>
      </c>
      <c r="S2838" s="6" t="str">
        <f>IFERROR(__xludf.DUMMYFUNCTION("""COMPUTED_VALUE""")," ")</f>
        <v> </v>
      </c>
      <c r="T2838" s="6" t="str">
        <f>IFERROR(__xludf.DUMMYFUNCTION("""COMPUTED_VALUE"""),"")</f>
        <v/>
      </c>
      <c r="U2838" s="6" t="str">
        <f>IFERROR(__xludf.DUMMYFUNCTION("""COMPUTED_VALUE"""),"9")</f>
        <v>9</v>
      </c>
      <c r="V2838" s="6" t="str">
        <f>IFERROR(__xludf.DUMMYFUNCTION("""COMPUTED_VALUE"""),"")</f>
        <v/>
      </c>
      <c r="W2838" s="6" t="str">
        <f>IFERROR(__xludf.DUMMYFUNCTION("""COMPUTED_VALUE"""),"[]")</f>
        <v>[]</v>
      </c>
      <c r="X2838" s="6" t="str">
        <f>IFERROR(__xludf.DUMMYFUNCTION("""COMPUTED_VALUE"""),"Enrolled")</f>
        <v>Enrolled</v>
      </c>
    </row>
    <row r="2839">
      <c r="A2839" s="6" t="str">
        <f>IFERROR(__xludf.DUMMYFUNCTION("""COMPUTED_VALUE"""),"059-8364")</f>
        <v>059-8364</v>
      </c>
      <c r="B2839" s="6" t="str">
        <f>IFERROR(__xludf.DUMMYFUNCTION("""COMPUTED_VALUE"""),"59")</f>
        <v>59</v>
      </c>
      <c r="C2839" s="6" t="str">
        <f>IFERROR(__xludf.DUMMYFUNCTION("""COMPUTED_VALUE"""),"8364")</f>
        <v>8364</v>
      </c>
      <c r="D2839" s="6" t="str">
        <f>IFERROR(__xludf.DUMMYFUNCTION("""COMPUTED_VALUE"""),"Owen")</f>
        <v>Owen</v>
      </c>
      <c r="E2839" s="6" t="str">
        <f>IFERROR(__xludf.DUMMYFUNCTION("""COMPUTED_VALUE"""),"")</f>
        <v/>
      </c>
      <c r="F2839" s="6" t="str">
        <f>IFERROR(__xludf.DUMMYFUNCTION("""COMPUTED_VALUE"""),"Ott")</f>
        <v>Ott</v>
      </c>
      <c r="G2839" s="6" t="str">
        <f>IFERROR(__xludf.DUMMYFUNCTION("""COMPUTED_VALUE"""),"05/24/2011")</f>
        <v>05/24/2011</v>
      </c>
      <c r="H2839" s="6" t="str">
        <f>IFERROR(__xludf.DUMMYFUNCTION("""COMPUTED_VALUE"""),"Self Identify")</f>
        <v>Self Identify</v>
      </c>
      <c r="I2839" s="6" t="str">
        <f>IFERROR(__xludf.DUMMYFUNCTION("""COMPUTED_VALUE"""),"Middle School")</f>
        <v>Middle School</v>
      </c>
      <c r="J2839" s="6" t="str">
        <f>IFERROR(__xludf.DUMMYFUNCTION("""COMPUTED_VALUE"""),"8")</f>
        <v>8</v>
      </c>
      <c r="K2839" s="6" t="str">
        <f>IFERROR(__xludf.DUMMYFUNCTION("""COMPUTED_VALUE"""),"owen.ott@2hourlearning.com")</f>
        <v>owen.ott@2hourlearning.com</v>
      </c>
      <c r="L2839" s="6" t="str">
        <f>IFERROR(__xludf.DUMMYFUNCTION("""COMPUTED_VALUE"""),"Strata")</f>
        <v>Strata</v>
      </c>
      <c r="M2839" s="6" t="str">
        <f>IFERROR(__xludf.DUMMYFUNCTION("""COMPUTED_VALUE"""),"")</f>
        <v/>
      </c>
      <c r="N2839" s="6" t="str">
        <f>IFERROR(__xludf.DUMMYFUNCTION("""COMPUTED_VALUE"""),"")</f>
        <v/>
      </c>
      <c r="O2839" s="87" t="str">
        <f>IFERROR(__xludf.DUMMYFUNCTION("""COMPUTED_VALUE"""),"https://drive.google.com/drive/folders/10T2cTQHqEJZqE-st6uFKPoI?usp=share_link")</f>
        <v>https://drive.google.com/drive/folders/10T2cTQHqEJZqE-st6uFKPoI?usp=share_link</v>
      </c>
      <c r="P2839" s="6" t="str">
        <f>IFERROR(__xludf.DUMMYFUNCTION("""COMPUTED_VALUE"""),"Owen Ott")</f>
        <v>Owen Ott</v>
      </c>
      <c r="Q2839" s="6" t="str">
        <f>IFERROR(__xludf.DUMMYFUNCTION("""COMPUTED_VALUE"""),"MS")</f>
        <v>MS</v>
      </c>
      <c r="R2839" s="6">
        <f>IFERROR(__xludf.DUMMYFUNCTION("""COMPUTED_VALUE"""),0.0)</f>
        <v>0</v>
      </c>
      <c r="S2839" s="6" t="str">
        <f>IFERROR(__xludf.DUMMYFUNCTION("""COMPUTED_VALUE""")," ")</f>
        <v> </v>
      </c>
      <c r="T2839" s="6" t="str">
        <f>IFERROR(__xludf.DUMMYFUNCTION("""COMPUTED_VALUE"""),"")</f>
        <v/>
      </c>
      <c r="U2839" s="6" t="str">
        <f>IFERROR(__xludf.DUMMYFUNCTION("""COMPUTED_VALUE"""),"8")</f>
        <v>8</v>
      </c>
      <c r="V2839" s="6" t="str">
        <f>IFERROR(__xludf.DUMMYFUNCTION("""COMPUTED_VALUE"""),"")</f>
        <v/>
      </c>
      <c r="W2839" s="6" t="str">
        <f>IFERROR(__xludf.DUMMYFUNCTION("""COMPUTED_VALUE"""),"[]")</f>
        <v>[]</v>
      </c>
      <c r="X2839" s="6" t="str">
        <f>IFERROR(__xludf.DUMMYFUNCTION("""COMPUTED_VALUE"""),"Enrolled")</f>
        <v>Enrolled</v>
      </c>
    </row>
    <row r="2840">
      <c r="A2840" s="6" t="str">
        <f>IFERROR(__xludf.DUMMYFUNCTION("""COMPUTED_VALUE"""),"059-9153")</f>
        <v>059-9153</v>
      </c>
      <c r="B2840" s="6" t="str">
        <f>IFERROR(__xludf.DUMMYFUNCTION("""COMPUTED_VALUE"""),"59")</f>
        <v>59</v>
      </c>
      <c r="C2840" s="6" t="str">
        <f>IFERROR(__xludf.DUMMYFUNCTION("""COMPUTED_VALUE"""),"9153")</f>
        <v>9153</v>
      </c>
      <c r="D2840" s="6" t="str">
        <f>IFERROR(__xludf.DUMMYFUNCTION("""COMPUTED_VALUE"""),"Spencer")</f>
        <v>Spencer</v>
      </c>
      <c r="E2840" s="6" t="str">
        <f>IFERROR(__xludf.DUMMYFUNCTION("""COMPUTED_VALUE"""),"")</f>
        <v/>
      </c>
      <c r="F2840" s="6" t="str">
        <f>IFERROR(__xludf.DUMMYFUNCTION("""COMPUTED_VALUE"""),"Drake")</f>
        <v>Drake</v>
      </c>
      <c r="G2840" s="6" t="str">
        <f>IFERROR(__xludf.DUMMYFUNCTION("""COMPUTED_VALUE"""),"01/01/2012")</f>
        <v>01/01/2012</v>
      </c>
      <c r="H2840" s="6" t="str">
        <f>IFERROR(__xludf.DUMMYFUNCTION("""COMPUTED_VALUE"""),"Self Identify")</f>
        <v>Self Identify</v>
      </c>
      <c r="I2840" s="6" t="str">
        <f>IFERROR(__xludf.DUMMYFUNCTION("""COMPUTED_VALUE"""),"Middle School")</f>
        <v>Middle School</v>
      </c>
      <c r="J2840" s="6" t="str">
        <f>IFERROR(__xludf.DUMMYFUNCTION("""COMPUTED_VALUE"""),"8")</f>
        <v>8</v>
      </c>
      <c r="K2840" s="6" t="str">
        <f>IFERROR(__xludf.DUMMYFUNCTION("""COMPUTED_VALUE"""),"spencer.drake@2hourlearning.com")</f>
        <v>spencer.drake@2hourlearning.com</v>
      </c>
      <c r="L2840" s="6" t="str">
        <f>IFERROR(__xludf.DUMMYFUNCTION("""COMPUTED_VALUE"""),"Strata")</f>
        <v>Strata</v>
      </c>
      <c r="M2840" s="6" t="str">
        <f>IFERROR(__xludf.DUMMYFUNCTION("""COMPUTED_VALUE"""),"")</f>
        <v/>
      </c>
      <c r="N2840" s="6" t="str">
        <f>IFERROR(__xludf.DUMMYFUNCTION("""COMPUTED_VALUE"""),"")</f>
        <v/>
      </c>
      <c r="O2840" s="87" t="str">
        <f>IFERROR(__xludf.DUMMYFUNCTION("""COMPUTED_VALUE"""),"https://drive.google.com/drive/folders/10T2cTQHqEJZqE-st6uFKPoI?usp=share_link")</f>
        <v>https://drive.google.com/drive/folders/10T2cTQHqEJZqE-st6uFKPoI?usp=share_link</v>
      </c>
      <c r="P2840" s="6" t="str">
        <f>IFERROR(__xludf.DUMMYFUNCTION("""COMPUTED_VALUE"""),"Spencer Drake")</f>
        <v>Spencer Drake</v>
      </c>
      <c r="Q2840" s="6" t="str">
        <f>IFERROR(__xludf.DUMMYFUNCTION("""COMPUTED_VALUE"""),"MS")</f>
        <v>MS</v>
      </c>
      <c r="R2840" s="6">
        <f>IFERROR(__xludf.DUMMYFUNCTION("""COMPUTED_VALUE"""),0.0)</f>
        <v>0</v>
      </c>
      <c r="S2840" s="6" t="str">
        <f>IFERROR(__xludf.DUMMYFUNCTION("""COMPUTED_VALUE""")," ")</f>
        <v> </v>
      </c>
      <c r="T2840" s="6" t="str">
        <f>IFERROR(__xludf.DUMMYFUNCTION("""COMPUTED_VALUE"""),"")</f>
        <v/>
      </c>
      <c r="U2840" s="6" t="str">
        <f>IFERROR(__xludf.DUMMYFUNCTION("""COMPUTED_VALUE"""),"8")</f>
        <v>8</v>
      </c>
      <c r="V2840" s="6" t="str">
        <f>IFERROR(__xludf.DUMMYFUNCTION("""COMPUTED_VALUE"""),"")</f>
        <v/>
      </c>
      <c r="W2840" s="6" t="str">
        <f>IFERROR(__xludf.DUMMYFUNCTION("""COMPUTED_VALUE"""),"[]")</f>
        <v>[]</v>
      </c>
      <c r="X2840" s="6" t="str">
        <f>IFERROR(__xludf.DUMMYFUNCTION("""COMPUTED_VALUE"""),"Enrolled")</f>
        <v>Enrolled</v>
      </c>
    </row>
    <row r="2841">
      <c r="A2841" s="6" t="str">
        <f>IFERROR(__xludf.DUMMYFUNCTION("""COMPUTED_VALUE"""),"059-9154")</f>
        <v>059-9154</v>
      </c>
      <c r="B2841" s="6" t="str">
        <f>IFERROR(__xludf.DUMMYFUNCTION("""COMPUTED_VALUE"""),"59")</f>
        <v>59</v>
      </c>
      <c r="C2841" s="6" t="str">
        <f>IFERROR(__xludf.DUMMYFUNCTION("""COMPUTED_VALUE"""),"9154")</f>
        <v>9154</v>
      </c>
      <c r="D2841" s="6" t="str">
        <f>IFERROR(__xludf.DUMMYFUNCTION("""COMPUTED_VALUE"""),"Jesse")</f>
        <v>Jesse</v>
      </c>
      <c r="E2841" s="6" t="str">
        <f>IFERROR(__xludf.DUMMYFUNCTION("""COMPUTED_VALUE"""),"")</f>
        <v/>
      </c>
      <c r="F2841" s="6" t="str">
        <f>IFERROR(__xludf.DUMMYFUNCTION("""COMPUTED_VALUE"""),"Soberal")</f>
        <v>Soberal</v>
      </c>
      <c r="G2841" s="6" t="str">
        <f>IFERROR(__xludf.DUMMYFUNCTION("""COMPUTED_VALUE"""),"01/01/2012")</f>
        <v>01/01/2012</v>
      </c>
      <c r="H2841" s="6" t="str">
        <f>IFERROR(__xludf.DUMMYFUNCTION("""COMPUTED_VALUE"""),"Self Identify")</f>
        <v>Self Identify</v>
      </c>
      <c r="I2841" s="6" t="str">
        <f>IFERROR(__xludf.DUMMYFUNCTION("""COMPUTED_VALUE"""),"Middle School")</f>
        <v>Middle School</v>
      </c>
      <c r="J2841" s="6" t="str">
        <f>IFERROR(__xludf.DUMMYFUNCTION("""COMPUTED_VALUE"""),"8")</f>
        <v>8</v>
      </c>
      <c r="K2841" s="6" t="str">
        <f>IFERROR(__xludf.DUMMYFUNCTION("""COMPUTED_VALUE"""),"jesse.soberal@2hourlearning.com")</f>
        <v>jesse.soberal@2hourlearning.com</v>
      </c>
      <c r="L2841" s="6" t="str">
        <f>IFERROR(__xludf.DUMMYFUNCTION("""COMPUTED_VALUE"""),"Strata")</f>
        <v>Strata</v>
      </c>
      <c r="M2841" s="6" t="str">
        <f>IFERROR(__xludf.DUMMYFUNCTION("""COMPUTED_VALUE"""),"")</f>
        <v/>
      </c>
      <c r="N2841" s="6" t="str">
        <f>IFERROR(__xludf.DUMMYFUNCTION("""COMPUTED_VALUE"""),"")</f>
        <v/>
      </c>
      <c r="O2841" s="87" t="str">
        <f>IFERROR(__xludf.DUMMYFUNCTION("""COMPUTED_VALUE"""),"https://drive.google.com/drive/folders/10T2cTQHqEJZqE-st6uFKPoI?usp=share_link")</f>
        <v>https://drive.google.com/drive/folders/10T2cTQHqEJZqE-st6uFKPoI?usp=share_link</v>
      </c>
      <c r="P2841" s="6" t="str">
        <f>IFERROR(__xludf.DUMMYFUNCTION("""COMPUTED_VALUE"""),"Jesse Soberal")</f>
        <v>Jesse Soberal</v>
      </c>
      <c r="Q2841" s="6" t="str">
        <f>IFERROR(__xludf.DUMMYFUNCTION("""COMPUTED_VALUE"""),"MS")</f>
        <v>MS</v>
      </c>
      <c r="R2841" s="6">
        <f>IFERROR(__xludf.DUMMYFUNCTION("""COMPUTED_VALUE"""),0.0)</f>
        <v>0</v>
      </c>
      <c r="S2841" s="6" t="str">
        <f>IFERROR(__xludf.DUMMYFUNCTION("""COMPUTED_VALUE""")," ")</f>
        <v> </v>
      </c>
      <c r="T2841" s="6" t="str">
        <f>IFERROR(__xludf.DUMMYFUNCTION("""COMPUTED_VALUE"""),"")</f>
        <v/>
      </c>
      <c r="U2841" s="6" t="str">
        <f>IFERROR(__xludf.DUMMYFUNCTION("""COMPUTED_VALUE"""),"8")</f>
        <v>8</v>
      </c>
      <c r="V2841" s="6" t="str">
        <f>IFERROR(__xludf.DUMMYFUNCTION("""COMPUTED_VALUE"""),"")</f>
        <v/>
      </c>
      <c r="W2841" s="6" t="str">
        <f>IFERROR(__xludf.DUMMYFUNCTION("""COMPUTED_VALUE"""),"[]")</f>
        <v>[]</v>
      </c>
      <c r="X2841" s="6" t="str">
        <f>IFERROR(__xludf.DUMMYFUNCTION("""COMPUTED_VALUE"""),"Enrolled")</f>
        <v>Enrolled</v>
      </c>
    </row>
    <row r="2842">
      <c r="A2842" s="6" t="str">
        <f>IFERROR(__xludf.DUMMYFUNCTION("""COMPUTED_VALUE"""),"059-9155")</f>
        <v>059-9155</v>
      </c>
      <c r="B2842" s="6" t="str">
        <f>IFERROR(__xludf.DUMMYFUNCTION("""COMPUTED_VALUE"""),"59")</f>
        <v>59</v>
      </c>
      <c r="C2842" s="6" t="str">
        <f>IFERROR(__xludf.DUMMYFUNCTION("""COMPUTED_VALUE"""),"9155")</f>
        <v>9155</v>
      </c>
      <c r="D2842" s="6" t="str">
        <f>IFERROR(__xludf.DUMMYFUNCTION("""COMPUTED_VALUE"""),"GraeCynn")</f>
        <v>GraeCynn</v>
      </c>
      <c r="E2842" s="6" t="str">
        <f>IFERROR(__xludf.DUMMYFUNCTION("""COMPUTED_VALUE"""),"")</f>
        <v/>
      </c>
      <c r="F2842" s="6" t="str">
        <f>IFERROR(__xludf.DUMMYFUNCTION("""COMPUTED_VALUE"""),"Boler")</f>
        <v>Boler</v>
      </c>
      <c r="G2842" s="6" t="str">
        <f>IFERROR(__xludf.DUMMYFUNCTION("""COMPUTED_VALUE"""),"01/01/2015")</f>
        <v>01/01/2015</v>
      </c>
      <c r="H2842" s="6" t="str">
        <f>IFERROR(__xludf.DUMMYFUNCTION("""COMPUTED_VALUE"""),"Self Identify")</f>
        <v>Self Identify</v>
      </c>
      <c r="I2842" s="6" t="str">
        <f>IFERROR(__xludf.DUMMYFUNCTION("""COMPUTED_VALUE"""),"Level 2")</f>
        <v>Level 2</v>
      </c>
      <c r="J2842" s="6" t="str">
        <f>IFERROR(__xludf.DUMMYFUNCTION("""COMPUTED_VALUE"""),"5")</f>
        <v>5</v>
      </c>
      <c r="K2842" s="6" t="str">
        <f>IFERROR(__xludf.DUMMYFUNCTION("""COMPUTED_VALUE"""),"graecynn.boler@2hourlearning.com")</f>
        <v>graecynn.boler@2hourlearning.com</v>
      </c>
      <c r="L2842" s="6" t="str">
        <f>IFERROR(__xludf.DUMMYFUNCTION("""COMPUTED_VALUE"""),"Strata")</f>
        <v>Strata</v>
      </c>
      <c r="M2842" s="6" t="str">
        <f>IFERROR(__xludf.DUMMYFUNCTION("""COMPUTED_VALUE"""),"")</f>
        <v/>
      </c>
      <c r="N2842" s="6" t="str">
        <f>IFERROR(__xludf.DUMMYFUNCTION("""COMPUTED_VALUE"""),"")</f>
        <v/>
      </c>
      <c r="O2842" s="87" t="str">
        <f>IFERROR(__xludf.DUMMYFUNCTION("""COMPUTED_VALUE"""),"https://drive.google.com/drive/folders/10T2cTQHqEJZqE-st6uFKPoI?usp=share_link")</f>
        <v>https://drive.google.com/drive/folders/10T2cTQHqEJZqE-st6uFKPoI?usp=share_link</v>
      </c>
      <c r="P2842" s="6" t="str">
        <f>IFERROR(__xludf.DUMMYFUNCTION("""COMPUTED_VALUE"""),"GraeCynn Boler")</f>
        <v>GraeCynn Boler</v>
      </c>
      <c r="Q2842" s="6" t="str">
        <f>IFERROR(__xludf.DUMMYFUNCTION("""COMPUTED_VALUE"""),"L2")</f>
        <v>L2</v>
      </c>
      <c r="R2842" s="6">
        <f>IFERROR(__xludf.DUMMYFUNCTION("""COMPUTED_VALUE"""),2.0)</f>
        <v>2</v>
      </c>
      <c r="S2842" s="6" t="str">
        <f>IFERROR(__xludf.DUMMYFUNCTION("""COMPUTED_VALUE""")," ")</f>
        <v> </v>
      </c>
      <c r="T2842" s="6" t="str">
        <f>IFERROR(__xludf.DUMMYFUNCTION("""COMPUTED_VALUE"""),"")</f>
        <v/>
      </c>
      <c r="U2842" s="6" t="str">
        <f>IFERROR(__xludf.DUMMYFUNCTION("""COMPUTED_VALUE"""),"5")</f>
        <v>5</v>
      </c>
      <c r="V2842" s="6" t="str">
        <f>IFERROR(__xludf.DUMMYFUNCTION("""COMPUTED_VALUE"""),"")</f>
        <v/>
      </c>
      <c r="W2842" s="6" t="str">
        <f>IFERROR(__xludf.DUMMYFUNCTION("""COMPUTED_VALUE"""),"[]")</f>
        <v>[]</v>
      </c>
      <c r="X2842" s="6" t="str">
        <f>IFERROR(__xludf.DUMMYFUNCTION("""COMPUTED_VALUE"""),"Enrolled")</f>
        <v>Enrolled</v>
      </c>
    </row>
    <row r="2843">
      <c r="A2843" s="6" t="str">
        <f>IFERROR(__xludf.DUMMYFUNCTION("""COMPUTED_VALUE"""),"059-9156")</f>
        <v>059-9156</v>
      </c>
      <c r="B2843" s="6" t="str">
        <f>IFERROR(__xludf.DUMMYFUNCTION("""COMPUTED_VALUE"""),"59")</f>
        <v>59</v>
      </c>
      <c r="C2843" s="6" t="str">
        <f>IFERROR(__xludf.DUMMYFUNCTION("""COMPUTED_VALUE"""),"9156")</f>
        <v>9156</v>
      </c>
      <c r="D2843" s="6" t="str">
        <f>IFERROR(__xludf.DUMMYFUNCTION("""COMPUTED_VALUE"""),"Thalia")</f>
        <v>Thalia</v>
      </c>
      <c r="E2843" s="6" t="str">
        <f>IFERROR(__xludf.DUMMYFUNCTION("""COMPUTED_VALUE"""),"")</f>
        <v/>
      </c>
      <c r="F2843" s="6" t="str">
        <f>IFERROR(__xludf.DUMMYFUNCTION("""COMPUTED_VALUE"""),"Cummings")</f>
        <v>Cummings</v>
      </c>
      <c r="G2843" s="6" t="str">
        <f>IFERROR(__xludf.DUMMYFUNCTION("""COMPUTED_VALUE"""),"01/01/2015")</f>
        <v>01/01/2015</v>
      </c>
      <c r="H2843" s="6" t="str">
        <f>IFERROR(__xludf.DUMMYFUNCTION("""COMPUTED_VALUE"""),"Self Identify")</f>
        <v>Self Identify</v>
      </c>
      <c r="I2843" s="6" t="str">
        <f>IFERROR(__xludf.DUMMYFUNCTION("""COMPUTED_VALUE"""),"Level 2")</f>
        <v>Level 2</v>
      </c>
      <c r="J2843" s="6" t="str">
        <f>IFERROR(__xludf.DUMMYFUNCTION("""COMPUTED_VALUE"""),"5")</f>
        <v>5</v>
      </c>
      <c r="K2843" s="6" t="str">
        <f>IFERROR(__xludf.DUMMYFUNCTION("""COMPUTED_VALUE"""),"thalia.cummings@2hourlearning.com")</f>
        <v>thalia.cummings@2hourlearning.com</v>
      </c>
      <c r="L2843" s="6" t="str">
        <f>IFERROR(__xludf.DUMMYFUNCTION("""COMPUTED_VALUE"""),"Strata")</f>
        <v>Strata</v>
      </c>
      <c r="M2843" s="6" t="str">
        <f>IFERROR(__xludf.DUMMYFUNCTION("""COMPUTED_VALUE"""),"")</f>
        <v/>
      </c>
      <c r="N2843" s="6" t="str">
        <f>IFERROR(__xludf.DUMMYFUNCTION("""COMPUTED_VALUE"""),"")</f>
        <v/>
      </c>
      <c r="O2843" s="87" t="str">
        <f>IFERROR(__xludf.DUMMYFUNCTION("""COMPUTED_VALUE"""),"https://drive.google.com/drive/folders/10T2cTQHqEJZqE-st6uFKPoI?usp=share_link")</f>
        <v>https://drive.google.com/drive/folders/10T2cTQHqEJZqE-st6uFKPoI?usp=share_link</v>
      </c>
      <c r="P2843" s="6" t="str">
        <f>IFERROR(__xludf.DUMMYFUNCTION("""COMPUTED_VALUE"""),"Thalia Cummings")</f>
        <v>Thalia Cummings</v>
      </c>
      <c r="Q2843" s="6" t="str">
        <f>IFERROR(__xludf.DUMMYFUNCTION("""COMPUTED_VALUE"""),"L2")</f>
        <v>L2</v>
      </c>
      <c r="R2843" s="6">
        <f>IFERROR(__xludf.DUMMYFUNCTION("""COMPUTED_VALUE"""),2.0)</f>
        <v>2</v>
      </c>
      <c r="S2843" s="6" t="str">
        <f>IFERROR(__xludf.DUMMYFUNCTION("""COMPUTED_VALUE""")," ")</f>
        <v> </v>
      </c>
      <c r="T2843" s="6" t="str">
        <f>IFERROR(__xludf.DUMMYFUNCTION("""COMPUTED_VALUE"""),"")</f>
        <v/>
      </c>
      <c r="U2843" s="6" t="str">
        <f>IFERROR(__xludf.DUMMYFUNCTION("""COMPUTED_VALUE"""),"5")</f>
        <v>5</v>
      </c>
      <c r="V2843" s="6" t="str">
        <f>IFERROR(__xludf.DUMMYFUNCTION("""COMPUTED_VALUE"""),"")</f>
        <v/>
      </c>
      <c r="W2843" s="6" t="str">
        <f>IFERROR(__xludf.DUMMYFUNCTION("""COMPUTED_VALUE"""),"[]")</f>
        <v>[]</v>
      </c>
      <c r="X2843" s="6" t="str">
        <f>IFERROR(__xludf.DUMMYFUNCTION("""COMPUTED_VALUE"""),"Enrolled")</f>
        <v>Enrolled</v>
      </c>
    </row>
    <row r="2844">
      <c r="A2844" s="6" t="str">
        <f>IFERROR(__xludf.DUMMYFUNCTION("""COMPUTED_VALUE"""),"059-9158")</f>
        <v>059-9158</v>
      </c>
      <c r="B2844" s="6" t="str">
        <f>IFERROR(__xludf.DUMMYFUNCTION("""COMPUTED_VALUE"""),"59")</f>
        <v>59</v>
      </c>
      <c r="C2844" s="6" t="str">
        <f>IFERROR(__xludf.DUMMYFUNCTION("""COMPUTED_VALUE"""),"9158")</f>
        <v>9158</v>
      </c>
      <c r="D2844" s="6" t="str">
        <f>IFERROR(__xludf.DUMMYFUNCTION("""COMPUTED_VALUE"""),"Phoenix")</f>
        <v>Phoenix</v>
      </c>
      <c r="E2844" s="6" t="str">
        <f>IFERROR(__xludf.DUMMYFUNCTION("""COMPUTED_VALUE"""),"")</f>
        <v/>
      </c>
      <c r="F2844" s="6" t="str">
        <f>IFERROR(__xludf.DUMMYFUNCTION("""COMPUTED_VALUE"""),"Smith")</f>
        <v>Smith</v>
      </c>
      <c r="G2844" s="6" t="str">
        <f>IFERROR(__xludf.DUMMYFUNCTION("""COMPUTED_VALUE"""),"01/01/2014")</f>
        <v>01/01/2014</v>
      </c>
      <c r="H2844" s="6" t="str">
        <f>IFERROR(__xludf.DUMMYFUNCTION("""COMPUTED_VALUE"""),"Self Identify")</f>
        <v>Self Identify</v>
      </c>
      <c r="I2844" s="6" t="str">
        <f>IFERROR(__xludf.DUMMYFUNCTION("""COMPUTED_VALUE"""),"Middle School")</f>
        <v>Middle School</v>
      </c>
      <c r="J2844" s="6" t="str">
        <f>IFERROR(__xludf.DUMMYFUNCTION("""COMPUTED_VALUE"""),"5")</f>
        <v>5</v>
      </c>
      <c r="K2844" s="6" t="str">
        <f>IFERROR(__xludf.DUMMYFUNCTION("""COMPUTED_VALUE"""),"phoenix.smith@2hourlearning.com")</f>
        <v>phoenix.smith@2hourlearning.com</v>
      </c>
      <c r="L2844" s="6" t="str">
        <f>IFERROR(__xludf.DUMMYFUNCTION("""COMPUTED_VALUE"""),"Strata")</f>
        <v>Strata</v>
      </c>
      <c r="M2844" s="6" t="str">
        <f>IFERROR(__xludf.DUMMYFUNCTION("""COMPUTED_VALUE"""),"")</f>
        <v/>
      </c>
      <c r="N2844" s="6" t="str">
        <f>IFERROR(__xludf.DUMMYFUNCTION("""COMPUTED_VALUE"""),"")</f>
        <v/>
      </c>
      <c r="O2844" s="87" t="str">
        <f>IFERROR(__xludf.DUMMYFUNCTION("""COMPUTED_VALUE"""),"https://drive.google.com/drive/folders/10T2cTQHqEJZqE-st6uFKPoI?usp=share_link")</f>
        <v>https://drive.google.com/drive/folders/10T2cTQHqEJZqE-st6uFKPoI?usp=share_link</v>
      </c>
      <c r="P2844" s="6" t="str">
        <f>IFERROR(__xludf.DUMMYFUNCTION("""COMPUTED_VALUE"""),"Phoenix Smith")</f>
        <v>Phoenix Smith</v>
      </c>
      <c r="Q2844" s="6" t="str">
        <f>IFERROR(__xludf.DUMMYFUNCTION("""COMPUTED_VALUE"""),"MS")</f>
        <v>MS</v>
      </c>
      <c r="R2844" s="6">
        <f>IFERROR(__xludf.DUMMYFUNCTION("""COMPUTED_VALUE"""),0.0)</f>
        <v>0</v>
      </c>
      <c r="S2844" s="6" t="str">
        <f>IFERROR(__xludf.DUMMYFUNCTION("""COMPUTED_VALUE""")," ")</f>
        <v> </v>
      </c>
      <c r="T2844" s="6" t="str">
        <f>IFERROR(__xludf.DUMMYFUNCTION("""COMPUTED_VALUE"""),"")</f>
        <v/>
      </c>
      <c r="U2844" s="6" t="str">
        <f>IFERROR(__xludf.DUMMYFUNCTION("""COMPUTED_VALUE"""),"5")</f>
        <v>5</v>
      </c>
      <c r="V2844" s="6" t="str">
        <f>IFERROR(__xludf.DUMMYFUNCTION("""COMPUTED_VALUE"""),"")</f>
        <v/>
      </c>
      <c r="W2844" s="6" t="str">
        <f>IFERROR(__xludf.DUMMYFUNCTION("""COMPUTED_VALUE"""),"[]")</f>
        <v>[]</v>
      </c>
      <c r="X2844" s="6" t="str">
        <f>IFERROR(__xludf.DUMMYFUNCTION("""COMPUTED_VALUE"""),"Enrolled")</f>
        <v>Enrolled</v>
      </c>
    </row>
    <row r="2845">
      <c r="A2845" s="6" t="str">
        <f>IFERROR(__xludf.DUMMYFUNCTION("""COMPUTED_VALUE"""),"059-9159")</f>
        <v>059-9159</v>
      </c>
      <c r="B2845" s="6" t="str">
        <f>IFERROR(__xludf.DUMMYFUNCTION("""COMPUTED_VALUE"""),"59")</f>
        <v>59</v>
      </c>
      <c r="C2845" s="6" t="str">
        <f>IFERROR(__xludf.DUMMYFUNCTION("""COMPUTED_VALUE"""),"9159")</f>
        <v>9159</v>
      </c>
      <c r="D2845" s="6" t="str">
        <f>IFERROR(__xludf.DUMMYFUNCTION("""COMPUTED_VALUE"""),"Luke")</f>
        <v>Luke</v>
      </c>
      <c r="E2845" s="6" t="str">
        <f>IFERROR(__xludf.DUMMYFUNCTION("""COMPUTED_VALUE"""),"")</f>
        <v/>
      </c>
      <c r="F2845" s="6" t="str">
        <f>IFERROR(__xludf.DUMMYFUNCTION("""COMPUTED_VALUE"""),"Villalba")</f>
        <v>Villalba</v>
      </c>
      <c r="G2845" s="6" t="str">
        <f>IFERROR(__xludf.DUMMYFUNCTION("""COMPUTED_VALUE"""),"01/01/2016")</f>
        <v>01/01/2016</v>
      </c>
      <c r="H2845" s="6" t="str">
        <f>IFERROR(__xludf.DUMMYFUNCTION("""COMPUTED_VALUE"""),"Self Identify")</f>
        <v>Self Identify</v>
      </c>
      <c r="I2845" s="6" t="str">
        <f>IFERROR(__xludf.DUMMYFUNCTION("""COMPUTED_VALUE"""),"Level 2")</f>
        <v>Level 2</v>
      </c>
      <c r="J2845" s="6" t="str">
        <f>IFERROR(__xludf.DUMMYFUNCTION("""COMPUTED_VALUE"""),"4")</f>
        <v>4</v>
      </c>
      <c r="K2845" s="6" t="str">
        <f>IFERROR(__xludf.DUMMYFUNCTION("""COMPUTED_VALUE"""),"luke.villalba@2hourlearning.com")</f>
        <v>luke.villalba@2hourlearning.com</v>
      </c>
      <c r="L2845" s="6" t="str">
        <f>IFERROR(__xludf.DUMMYFUNCTION("""COMPUTED_VALUE"""),"Strata")</f>
        <v>Strata</v>
      </c>
      <c r="M2845" s="6" t="str">
        <f>IFERROR(__xludf.DUMMYFUNCTION("""COMPUTED_VALUE"""),"")</f>
        <v/>
      </c>
      <c r="N2845" s="6" t="str">
        <f>IFERROR(__xludf.DUMMYFUNCTION("""COMPUTED_VALUE"""),"")</f>
        <v/>
      </c>
      <c r="O2845" s="87" t="str">
        <f>IFERROR(__xludf.DUMMYFUNCTION("""COMPUTED_VALUE"""),"https://drive.google.com/drive/folders/10T2cTQHqEJZqE-st6uFKPoI?usp=share_link")</f>
        <v>https://drive.google.com/drive/folders/10T2cTQHqEJZqE-st6uFKPoI?usp=share_link</v>
      </c>
      <c r="P2845" s="6" t="str">
        <f>IFERROR(__xludf.DUMMYFUNCTION("""COMPUTED_VALUE"""),"Luke Villalba")</f>
        <v>Luke Villalba</v>
      </c>
      <c r="Q2845" s="6" t="str">
        <f>IFERROR(__xludf.DUMMYFUNCTION("""COMPUTED_VALUE"""),"L2")</f>
        <v>L2</v>
      </c>
      <c r="R2845" s="6">
        <f>IFERROR(__xludf.DUMMYFUNCTION("""COMPUTED_VALUE"""),2.0)</f>
        <v>2</v>
      </c>
      <c r="S2845" s="6" t="str">
        <f>IFERROR(__xludf.DUMMYFUNCTION("""COMPUTED_VALUE""")," ")</f>
        <v> </v>
      </c>
      <c r="T2845" s="6" t="str">
        <f>IFERROR(__xludf.DUMMYFUNCTION("""COMPUTED_VALUE"""),"")</f>
        <v/>
      </c>
      <c r="U2845" s="6" t="str">
        <f>IFERROR(__xludf.DUMMYFUNCTION("""COMPUTED_VALUE"""),"4")</f>
        <v>4</v>
      </c>
      <c r="V2845" s="6" t="str">
        <f>IFERROR(__xludf.DUMMYFUNCTION("""COMPUTED_VALUE"""),"")</f>
        <v/>
      </c>
      <c r="W2845" s="6" t="str">
        <f>IFERROR(__xludf.DUMMYFUNCTION("""COMPUTED_VALUE"""),"[]")</f>
        <v>[]</v>
      </c>
      <c r="X2845" s="6" t="str">
        <f>IFERROR(__xludf.DUMMYFUNCTION("""COMPUTED_VALUE"""),"Enrolled")</f>
        <v>Enrolled</v>
      </c>
    </row>
    <row r="2846">
      <c r="A2846" s="6" t="str">
        <f>IFERROR(__xludf.DUMMYFUNCTION("""COMPUTED_VALUE"""),"059-9160")</f>
        <v>059-9160</v>
      </c>
      <c r="B2846" s="6" t="str">
        <f>IFERROR(__xludf.DUMMYFUNCTION("""COMPUTED_VALUE"""),"59")</f>
        <v>59</v>
      </c>
      <c r="C2846" s="6" t="str">
        <f>IFERROR(__xludf.DUMMYFUNCTION("""COMPUTED_VALUE"""),"9160")</f>
        <v>9160</v>
      </c>
      <c r="D2846" s="6" t="str">
        <f>IFERROR(__xludf.DUMMYFUNCTION("""COMPUTED_VALUE"""),"Tobias")</f>
        <v>Tobias</v>
      </c>
      <c r="E2846" s="6" t="str">
        <f>IFERROR(__xludf.DUMMYFUNCTION("""COMPUTED_VALUE"""),"")</f>
        <v/>
      </c>
      <c r="F2846" s="6" t="str">
        <f>IFERROR(__xludf.DUMMYFUNCTION("""COMPUTED_VALUE"""),"Greene")</f>
        <v>Greene</v>
      </c>
      <c r="G2846" s="6" t="str">
        <f>IFERROR(__xludf.DUMMYFUNCTION("""COMPUTED_VALUE"""),"01/01/2014")</f>
        <v>01/01/2014</v>
      </c>
      <c r="H2846" s="6" t="str">
        <f>IFERROR(__xludf.DUMMYFUNCTION("""COMPUTED_VALUE"""),"Self Identify")</f>
        <v>Self Identify</v>
      </c>
      <c r="I2846" s="6" t="str">
        <f>IFERROR(__xludf.DUMMYFUNCTION("""COMPUTED_VALUE"""),"Middle School")</f>
        <v>Middle School</v>
      </c>
      <c r="J2846" s="6" t="str">
        <f>IFERROR(__xludf.DUMMYFUNCTION("""COMPUTED_VALUE"""),"6")</f>
        <v>6</v>
      </c>
      <c r="K2846" s="6" t="str">
        <f>IFERROR(__xludf.DUMMYFUNCTION("""COMPUTED_VALUE"""),"tobias.greene@2hourlearning.com")</f>
        <v>tobias.greene@2hourlearning.com</v>
      </c>
      <c r="L2846" s="6" t="str">
        <f>IFERROR(__xludf.DUMMYFUNCTION("""COMPUTED_VALUE"""),"Strata")</f>
        <v>Strata</v>
      </c>
      <c r="M2846" s="6" t="str">
        <f>IFERROR(__xludf.DUMMYFUNCTION("""COMPUTED_VALUE"""),"")</f>
        <v/>
      </c>
      <c r="N2846" s="6" t="str">
        <f>IFERROR(__xludf.DUMMYFUNCTION("""COMPUTED_VALUE"""),"")</f>
        <v/>
      </c>
      <c r="O2846" s="87" t="str">
        <f>IFERROR(__xludf.DUMMYFUNCTION("""COMPUTED_VALUE"""),"https://drive.google.com/drive/folders/10T2cTQHqEJZqE-st6uFKPoI?usp=share_link")</f>
        <v>https://drive.google.com/drive/folders/10T2cTQHqEJZqE-st6uFKPoI?usp=share_link</v>
      </c>
      <c r="P2846" s="6" t="str">
        <f>IFERROR(__xludf.DUMMYFUNCTION("""COMPUTED_VALUE"""),"Tobias Greene")</f>
        <v>Tobias Greene</v>
      </c>
      <c r="Q2846" s="6" t="str">
        <f>IFERROR(__xludf.DUMMYFUNCTION("""COMPUTED_VALUE"""),"MS")</f>
        <v>MS</v>
      </c>
      <c r="R2846" s="6">
        <f>IFERROR(__xludf.DUMMYFUNCTION("""COMPUTED_VALUE"""),0.0)</f>
        <v>0</v>
      </c>
      <c r="S2846" s="6" t="str">
        <f>IFERROR(__xludf.DUMMYFUNCTION("""COMPUTED_VALUE""")," ")</f>
        <v> </v>
      </c>
      <c r="T2846" s="6" t="str">
        <f>IFERROR(__xludf.DUMMYFUNCTION("""COMPUTED_VALUE"""),"")</f>
        <v/>
      </c>
      <c r="U2846" s="6" t="str">
        <f>IFERROR(__xludf.DUMMYFUNCTION("""COMPUTED_VALUE"""),"6")</f>
        <v>6</v>
      </c>
      <c r="V2846" s="6" t="str">
        <f>IFERROR(__xludf.DUMMYFUNCTION("""COMPUTED_VALUE"""),"")</f>
        <v/>
      </c>
      <c r="W2846" s="6" t="str">
        <f>IFERROR(__xludf.DUMMYFUNCTION("""COMPUTED_VALUE"""),"[]")</f>
        <v>[]</v>
      </c>
      <c r="X2846" s="6" t="str">
        <f>IFERROR(__xludf.DUMMYFUNCTION("""COMPUTED_VALUE"""),"Enrolled")</f>
        <v>Enrolled</v>
      </c>
    </row>
    <row r="2847">
      <c r="A2847" s="6" t="str">
        <f>IFERROR(__xludf.DUMMYFUNCTION("""COMPUTED_VALUE"""),"059-9161")</f>
        <v>059-9161</v>
      </c>
      <c r="B2847" s="6" t="str">
        <f>IFERROR(__xludf.DUMMYFUNCTION("""COMPUTED_VALUE"""),"59")</f>
        <v>59</v>
      </c>
      <c r="C2847" s="6" t="str">
        <f>IFERROR(__xludf.DUMMYFUNCTION("""COMPUTED_VALUE"""),"9161")</f>
        <v>9161</v>
      </c>
      <c r="D2847" s="6" t="str">
        <f>IFERROR(__xludf.DUMMYFUNCTION("""COMPUTED_VALUE"""),"Henry")</f>
        <v>Henry</v>
      </c>
      <c r="E2847" s="6" t="str">
        <f>IFERROR(__xludf.DUMMYFUNCTION("""COMPUTED_VALUE"""),"")</f>
        <v/>
      </c>
      <c r="F2847" s="6" t="str">
        <f>IFERROR(__xludf.DUMMYFUNCTION("""COMPUTED_VALUE"""),"Harrison")</f>
        <v>Harrison</v>
      </c>
      <c r="G2847" s="6" t="str">
        <f>IFERROR(__xludf.DUMMYFUNCTION("""COMPUTED_VALUE"""),"01/01/2013")</f>
        <v>01/01/2013</v>
      </c>
      <c r="H2847" s="6" t="str">
        <f>IFERROR(__xludf.DUMMYFUNCTION("""COMPUTED_VALUE"""),"Self Identify")</f>
        <v>Self Identify</v>
      </c>
      <c r="I2847" s="6" t="str">
        <f>IFERROR(__xludf.DUMMYFUNCTION("""COMPUTED_VALUE"""),"Middle School")</f>
        <v>Middle School</v>
      </c>
      <c r="J2847" s="6" t="str">
        <f>IFERROR(__xludf.DUMMYFUNCTION("""COMPUTED_VALUE"""),"7")</f>
        <v>7</v>
      </c>
      <c r="K2847" s="6" t="str">
        <f>IFERROR(__xludf.DUMMYFUNCTION("""COMPUTED_VALUE"""),"henry.harrison@2hourlearning.com")</f>
        <v>henry.harrison@2hourlearning.com</v>
      </c>
      <c r="L2847" s="6" t="str">
        <f>IFERROR(__xludf.DUMMYFUNCTION("""COMPUTED_VALUE"""),"Strata")</f>
        <v>Strata</v>
      </c>
      <c r="M2847" s="6" t="str">
        <f>IFERROR(__xludf.DUMMYFUNCTION("""COMPUTED_VALUE"""),"")</f>
        <v/>
      </c>
      <c r="N2847" s="6" t="str">
        <f>IFERROR(__xludf.DUMMYFUNCTION("""COMPUTED_VALUE"""),"")</f>
        <v/>
      </c>
      <c r="O2847" s="87" t="str">
        <f>IFERROR(__xludf.DUMMYFUNCTION("""COMPUTED_VALUE"""),"https://drive.google.com/drive/folders/10T2cTQHqEJZqE-st6uFKPoI?usp=share_link")</f>
        <v>https://drive.google.com/drive/folders/10T2cTQHqEJZqE-st6uFKPoI?usp=share_link</v>
      </c>
      <c r="P2847" s="6" t="str">
        <f>IFERROR(__xludf.DUMMYFUNCTION("""COMPUTED_VALUE"""),"Henry Harrison")</f>
        <v>Henry Harrison</v>
      </c>
      <c r="Q2847" s="6" t="str">
        <f>IFERROR(__xludf.DUMMYFUNCTION("""COMPUTED_VALUE"""),"MS")</f>
        <v>MS</v>
      </c>
      <c r="R2847" s="6">
        <f>IFERROR(__xludf.DUMMYFUNCTION("""COMPUTED_VALUE"""),0.0)</f>
        <v>0</v>
      </c>
      <c r="S2847" s="6" t="str">
        <f>IFERROR(__xludf.DUMMYFUNCTION("""COMPUTED_VALUE""")," ")</f>
        <v> </v>
      </c>
      <c r="T2847" s="6" t="str">
        <f>IFERROR(__xludf.DUMMYFUNCTION("""COMPUTED_VALUE"""),"")</f>
        <v/>
      </c>
      <c r="U2847" s="6" t="str">
        <f>IFERROR(__xludf.DUMMYFUNCTION("""COMPUTED_VALUE"""),"7")</f>
        <v>7</v>
      </c>
      <c r="V2847" s="6" t="str">
        <f>IFERROR(__xludf.DUMMYFUNCTION("""COMPUTED_VALUE"""),"")</f>
        <v/>
      </c>
      <c r="W2847" s="6" t="str">
        <f>IFERROR(__xludf.DUMMYFUNCTION("""COMPUTED_VALUE"""),"[]")</f>
        <v>[]</v>
      </c>
      <c r="X2847" s="6" t="str">
        <f>IFERROR(__xludf.DUMMYFUNCTION("""COMPUTED_VALUE"""),"Enrolled")</f>
        <v>Enrolled</v>
      </c>
    </row>
    <row r="2848">
      <c r="A2848" s="6" t="str">
        <f>IFERROR(__xludf.DUMMYFUNCTION("""COMPUTED_VALUE"""),"059-9162")</f>
        <v>059-9162</v>
      </c>
      <c r="B2848" s="6" t="str">
        <f>IFERROR(__xludf.DUMMYFUNCTION("""COMPUTED_VALUE"""),"59")</f>
        <v>59</v>
      </c>
      <c r="C2848" s="6" t="str">
        <f>IFERROR(__xludf.DUMMYFUNCTION("""COMPUTED_VALUE"""),"9162")</f>
        <v>9162</v>
      </c>
      <c r="D2848" s="6" t="str">
        <f>IFERROR(__xludf.DUMMYFUNCTION("""COMPUTED_VALUE"""),"Gregory")</f>
        <v>Gregory</v>
      </c>
      <c r="E2848" s="6" t="str">
        <f>IFERROR(__xludf.DUMMYFUNCTION("""COMPUTED_VALUE"""),"")</f>
        <v/>
      </c>
      <c r="F2848" s="6" t="str">
        <f>IFERROR(__xludf.DUMMYFUNCTION("""COMPUTED_VALUE"""),"Clark")</f>
        <v>Clark</v>
      </c>
      <c r="G2848" s="6" t="str">
        <f>IFERROR(__xludf.DUMMYFUNCTION("""COMPUTED_VALUE"""),"01/01/2013")</f>
        <v>01/01/2013</v>
      </c>
      <c r="H2848" s="6" t="str">
        <f>IFERROR(__xludf.DUMMYFUNCTION("""COMPUTED_VALUE"""),"Self Identify")</f>
        <v>Self Identify</v>
      </c>
      <c r="I2848" s="6" t="str">
        <f>IFERROR(__xludf.DUMMYFUNCTION("""COMPUTED_VALUE"""),"Middle School")</f>
        <v>Middle School</v>
      </c>
      <c r="J2848" s="6" t="str">
        <f>IFERROR(__xludf.DUMMYFUNCTION("""COMPUTED_VALUE"""),"7")</f>
        <v>7</v>
      </c>
      <c r="K2848" s="6" t="str">
        <f>IFERROR(__xludf.DUMMYFUNCTION("""COMPUTED_VALUE"""),"gregory.clark@2hourlearning.com")</f>
        <v>gregory.clark@2hourlearning.com</v>
      </c>
      <c r="L2848" s="6" t="str">
        <f>IFERROR(__xludf.DUMMYFUNCTION("""COMPUTED_VALUE"""),"Strata")</f>
        <v>Strata</v>
      </c>
      <c r="M2848" s="6" t="str">
        <f>IFERROR(__xludf.DUMMYFUNCTION("""COMPUTED_VALUE"""),"")</f>
        <v/>
      </c>
      <c r="N2848" s="6" t="str">
        <f>IFERROR(__xludf.DUMMYFUNCTION("""COMPUTED_VALUE"""),"")</f>
        <v/>
      </c>
      <c r="O2848" s="87" t="str">
        <f>IFERROR(__xludf.DUMMYFUNCTION("""COMPUTED_VALUE"""),"https://drive.google.com/drive/folders/10T2cTQHqEJZqE-st6uFKPoI?usp=share_link")</f>
        <v>https://drive.google.com/drive/folders/10T2cTQHqEJZqE-st6uFKPoI?usp=share_link</v>
      </c>
      <c r="P2848" s="6" t="str">
        <f>IFERROR(__xludf.DUMMYFUNCTION("""COMPUTED_VALUE"""),"Gregory Clark")</f>
        <v>Gregory Clark</v>
      </c>
      <c r="Q2848" s="6" t="str">
        <f>IFERROR(__xludf.DUMMYFUNCTION("""COMPUTED_VALUE"""),"MS")</f>
        <v>MS</v>
      </c>
      <c r="R2848" s="6">
        <f>IFERROR(__xludf.DUMMYFUNCTION("""COMPUTED_VALUE"""),0.0)</f>
        <v>0</v>
      </c>
      <c r="S2848" s="6" t="str">
        <f>IFERROR(__xludf.DUMMYFUNCTION("""COMPUTED_VALUE""")," ")</f>
        <v> </v>
      </c>
      <c r="T2848" s="6" t="str">
        <f>IFERROR(__xludf.DUMMYFUNCTION("""COMPUTED_VALUE"""),"")</f>
        <v/>
      </c>
      <c r="U2848" s="6" t="str">
        <f>IFERROR(__xludf.DUMMYFUNCTION("""COMPUTED_VALUE"""),"7")</f>
        <v>7</v>
      </c>
      <c r="V2848" s="6" t="str">
        <f>IFERROR(__xludf.DUMMYFUNCTION("""COMPUTED_VALUE"""),"")</f>
        <v/>
      </c>
      <c r="W2848" s="6" t="str">
        <f>IFERROR(__xludf.DUMMYFUNCTION("""COMPUTED_VALUE"""),"[]")</f>
        <v>[]</v>
      </c>
      <c r="X2848" s="6" t="str">
        <f>IFERROR(__xludf.DUMMYFUNCTION("""COMPUTED_VALUE"""),"Enrolled")</f>
        <v>Enrolled</v>
      </c>
    </row>
    <row r="2849">
      <c r="A2849" s="6" t="str">
        <f>IFERROR(__xludf.DUMMYFUNCTION("""COMPUTED_VALUE"""),"059-9163")</f>
        <v>059-9163</v>
      </c>
      <c r="B2849" s="6" t="str">
        <f>IFERROR(__xludf.DUMMYFUNCTION("""COMPUTED_VALUE"""),"59")</f>
        <v>59</v>
      </c>
      <c r="C2849" s="6" t="str">
        <f>IFERROR(__xludf.DUMMYFUNCTION("""COMPUTED_VALUE"""),"9163")</f>
        <v>9163</v>
      </c>
      <c r="D2849" s="6" t="str">
        <f>IFERROR(__xludf.DUMMYFUNCTION("""COMPUTED_VALUE"""),"Alyssa")</f>
        <v>Alyssa</v>
      </c>
      <c r="E2849" s="6" t="str">
        <f>IFERROR(__xludf.DUMMYFUNCTION("""COMPUTED_VALUE"""),"")</f>
        <v/>
      </c>
      <c r="F2849" s="6" t="str">
        <f>IFERROR(__xludf.DUMMYFUNCTION("""COMPUTED_VALUE"""),"Barrett")</f>
        <v>Barrett</v>
      </c>
      <c r="G2849" s="6" t="str">
        <f>IFERROR(__xludf.DUMMYFUNCTION("""COMPUTED_VALUE"""),"01/01/2015")</f>
        <v>01/01/2015</v>
      </c>
      <c r="H2849" s="6" t="str">
        <f>IFERROR(__xludf.DUMMYFUNCTION("""COMPUTED_VALUE"""),"Self Identify")</f>
        <v>Self Identify</v>
      </c>
      <c r="I2849" s="6" t="str">
        <f>IFERROR(__xludf.DUMMYFUNCTION("""COMPUTED_VALUE"""),"Level 2")</f>
        <v>Level 2</v>
      </c>
      <c r="J2849" s="6" t="str">
        <f>IFERROR(__xludf.DUMMYFUNCTION("""COMPUTED_VALUE"""),"5")</f>
        <v>5</v>
      </c>
      <c r="K2849" s="6" t="str">
        <f>IFERROR(__xludf.DUMMYFUNCTION("""COMPUTED_VALUE"""),"alyssa.barrett@2hourlearning.com")</f>
        <v>alyssa.barrett@2hourlearning.com</v>
      </c>
      <c r="L2849" s="6" t="str">
        <f>IFERROR(__xludf.DUMMYFUNCTION("""COMPUTED_VALUE"""),"Strata")</f>
        <v>Strata</v>
      </c>
      <c r="M2849" s="6" t="str">
        <f>IFERROR(__xludf.DUMMYFUNCTION("""COMPUTED_VALUE"""),"")</f>
        <v/>
      </c>
      <c r="N2849" s="6" t="str">
        <f>IFERROR(__xludf.DUMMYFUNCTION("""COMPUTED_VALUE"""),"")</f>
        <v/>
      </c>
      <c r="O2849" s="87" t="str">
        <f>IFERROR(__xludf.DUMMYFUNCTION("""COMPUTED_VALUE"""),"https://drive.google.com/drive/folders/10T2cTQHqEJZqE-st6uFKPoI?usp=share_link")</f>
        <v>https://drive.google.com/drive/folders/10T2cTQHqEJZqE-st6uFKPoI?usp=share_link</v>
      </c>
      <c r="P2849" s="6" t="str">
        <f>IFERROR(__xludf.DUMMYFUNCTION("""COMPUTED_VALUE"""),"Alyssa Barrett")</f>
        <v>Alyssa Barrett</v>
      </c>
      <c r="Q2849" s="6" t="str">
        <f>IFERROR(__xludf.DUMMYFUNCTION("""COMPUTED_VALUE"""),"L2")</f>
        <v>L2</v>
      </c>
      <c r="R2849" s="6">
        <f>IFERROR(__xludf.DUMMYFUNCTION("""COMPUTED_VALUE"""),2.0)</f>
        <v>2</v>
      </c>
      <c r="S2849" s="6" t="str">
        <f>IFERROR(__xludf.DUMMYFUNCTION("""COMPUTED_VALUE""")," ")</f>
        <v> </v>
      </c>
      <c r="T2849" s="6" t="str">
        <f>IFERROR(__xludf.DUMMYFUNCTION("""COMPUTED_VALUE"""),"")</f>
        <v/>
      </c>
      <c r="U2849" s="6" t="str">
        <f>IFERROR(__xludf.DUMMYFUNCTION("""COMPUTED_VALUE"""),"5")</f>
        <v>5</v>
      </c>
      <c r="V2849" s="6" t="str">
        <f>IFERROR(__xludf.DUMMYFUNCTION("""COMPUTED_VALUE"""),"")</f>
        <v/>
      </c>
      <c r="W2849" s="6" t="str">
        <f>IFERROR(__xludf.DUMMYFUNCTION("""COMPUTED_VALUE"""),"[]")</f>
        <v>[]</v>
      </c>
      <c r="X2849" s="6" t="str">
        <f>IFERROR(__xludf.DUMMYFUNCTION("""COMPUTED_VALUE"""),"Enrolled")</f>
        <v>Enrolled</v>
      </c>
    </row>
    <row r="2850">
      <c r="A2850" s="6" t="str">
        <f>IFERROR(__xludf.DUMMYFUNCTION("""COMPUTED_VALUE"""),"059-9164")</f>
        <v>059-9164</v>
      </c>
      <c r="B2850" s="6" t="str">
        <f>IFERROR(__xludf.DUMMYFUNCTION("""COMPUTED_VALUE"""),"59")</f>
        <v>59</v>
      </c>
      <c r="C2850" s="6" t="str">
        <f>IFERROR(__xludf.DUMMYFUNCTION("""COMPUTED_VALUE"""),"9164")</f>
        <v>9164</v>
      </c>
      <c r="D2850" s="6" t="str">
        <f>IFERROR(__xludf.DUMMYFUNCTION("""COMPUTED_VALUE"""),"Quinn")</f>
        <v>Quinn</v>
      </c>
      <c r="E2850" s="6" t="str">
        <f>IFERROR(__xludf.DUMMYFUNCTION("""COMPUTED_VALUE"""),"")</f>
        <v/>
      </c>
      <c r="F2850" s="6" t="str">
        <f>IFERROR(__xludf.DUMMYFUNCTION("""COMPUTED_VALUE"""),"Chase")</f>
        <v>Chase</v>
      </c>
      <c r="G2850" s="6" t="str">
        <f>IFERROR(__xludf.DUMMYFUNCTION("""COMPUTED_VALUE"""),"01/01/2016")</f>
        <v>01/01/2016</v>
      </c>
      <c r="H2850" s="6" t="str">
        <f>IFERROR(__xludf.DUMMYFUNCTION("""COMPUTED_VALUE"""),"Self Identify")</f>
        <v>Self Identify</v>
      </c>
      <c r="I2850" s="6" t="str">
        <f>IFERROR(__xludf.DUMMYFUNCTION("""COMPUTED_VALUE"""),"Level 2")</f>
        <v>Level 2</v>
      </c>
      <c r="J2850" s="6" t="str">
        <f>IFERROR(__xludf.DUMMYFUNCTION("""COMPUTED_VALUE"""),"4")</f>
        <v>4</v>
      </c>
      <c r="K2850" s="6" t="str">
        <f>IFERROR(__xludf.DUMMYFUNCTION("""COMPUTED_VALUE"""),"quinn.chase@2hourlearning.com")</f>
        <v>quinn.chase@2hourlearning.com</v>
      </c>
      <c r="L2850" s="6" t="str">
        <f>IFERROR(__xludf.DUMMYFUNCTION("""COMPUTED_VALUE"""),"Strata")</f>
        <v>Strata</v>
      </c>
      <c r="M2850" s="6" t="str">
        <f>IFERROR(__xludf.DUMMYFUNCTION("""COMPUTED_VALUE"""),"")</f>
        <v/>
      </c>
      <c r="N2850" s="6" t="str">
        <f>IFERROR(__xludf.DUMMYFUNCTION("""COMPUTED_VALUE"""),"")</f>
        <v/>
      </c>
      <c r="O2850" s="87" t="str">
        <f>IFERROR(__xludf.DUMMYFUNCTION("""COMPUTED_VALUE"""),"https://drive.google.com/drive/folders/10T2cTQHqEJZqE-st6uFKPoI?usp=share_link")</f>
        <v>https://drive.google.com/drive/folders/10T2cTQHqEJZqE-st6uFKPoI?usp=share_link</v>
      </c>
      <c r="P2850" s="6" t="str">
        <f>IFERROR(__xludf.DUMMYFUNCTION("""COMPUTED_VALUE"""),"Quinn Chase")</f>
        <v>Quinn Chase</v>
      </c>
      <c r="Q2850" s="6" t="str">
        <f>IFERROR(__xludf.DUMMYFUNCTION("""COMPUTED_VALUE"""),"L2")</f>
        <v>L2</v>
      </c>
      <c r="R2850" s="6">
        <f>IFERROR(__xludf.DUMMYFUNCTION("""COMPUTED_VALUE"""),2.0)</f>
        <v>2</v>
      </c>
      <c r="S2850" s="6" t="str">
        <f>IFERROR(__xludf.DUMMYFUNCTION("""COMPUTED_VALUE""")," ")</f>
        <v> </v>
      </c>
      <c r="T2850" s="6" t="str">
        <f>IFERROR(__xludf.DUMMYFUNCTION("""COMPUTED_VALUE"""),"")</f>
        <v/>
      </c>
      <c r="U2850" s="6" t="str">
        <f>IFERROR(__xludf.DUMMYFUNCTION("""COMPUTED_VALUE"""),"4")</f>
        <v>4</v>
      </c>
      <c r="V2850" s="6" t="str">
        <f>IFERROR(__xludf.DUMMYFUNCTION("""COMPUTED_VALUE"""),"")</f>
        <v/>
      </c>
      <c r="W2850" s="6" t="str">
        <f>IFERROR(__xludf.DUMMYFUNCTION("""COMPUTED_VALUE"""),"[]")</f>
        <v>[]</v>
      </c>
      <c r="X2850" s="6" t="str">
        <f>IFERROR(__xludf.DUMMYFUNCTION("""COMPUTED_VALUE"""),"Enrolled")</f>
        <v>Enrolled</v>
      </c>
    </row>
    <row r="2851">
      <c r="A2851" s="6" t="str">
        <f>IFERROR(__xludf.DUMMYFUNCTION("""COMPUTED_VALUE"""),"059-9165")</f>
        <v>059-9165</v>
      </c>
      <c r="B2851" s="6" t="str">
        <f>IFERROR(__xludf.DUMMYFUNCTION("""COMPUTED_VALUE"""),"59")</f>
        <v>59</v>
      </c>
      <c r="C2851" s="6" t="str">
        <f>IFERROR(__xludf.DUMMYFUNCTION("""COMPUTED_VALUE"""),"9165")</f>
        <v>9165</v>
      </c>
      <c r="D2851" s="6" t="str">
        <f>IFERROR(__xludf.DUMMYFUNCTION("""COMPUTED_VALUE"""),"Kinley")</f>
        <v>Kinley</v>
      </c>
      <c r="E2851" s="6" t="str">
        <f>IFERROR(__xludf.DUMMYFUNCTION("""COMPUTED_VALUE"""),"")</f>
        <v/>
      </c>
      <c r="F2851" s="6" t="str">
        <f>IFERROR(__xludf.DUMMYFUNCTION("""COMPUTED_VALUE"""),"Kostan")</f>
        <v>Kostan</v>
      </c>
      <c r="G2851" s="6" t="str">
        <f>IFERROR(__xludf.DUMMYFUNCTION("""COMPUTED_VALUE"""),"01/01/2016")</f>
        <v>01/01/2016</v>
      </c>
      <c r="H2851" s="6" t="str">
        <f>IFERROR(__xludf.DUMMYFUNCTION("""COMPUTED_VALUE"""),"Self Identify")</f>
        <v>Self Identify</v>
      </c>
      <c r="I2851" s="6" t="str">
        <f>IFERROR(__xludf.DUMMYFUNCTION("""COMPUTED_VALUE"""),"Level 2")</f>
        <v>Level 2</v>
      </c>
      <c r="J2851" s="6" t="str">
        <f>IFERROR(__xludf.DUMMYFUNCTION("""COMPUTED_VALUE"""),"4")</f>
        <v>4</v>
      </c>
      <c r="K2851" s="6" t="str">
        <f>IFERROR(__xludf.DUMMYFUNCTION("""COMPUTED_VALUE"""),"kinley.kostan@2hourlearning.com")</f>
        <v>kinley.kostan@2hourlearning.com</v>
      </c>
      <c r="L2851" s="6" t="str">
        <f>IFERROR(__xludf.DUMMYFUNCTION("""COMPUTED_VALUE"""),"Strata")</f>
        <v>Strata</v>
      </c>
      <c r="M2851" s="6" t="str">
        <f>IFERROR(__xludf.DUMMYFUNCTION("""COMPUTED_VALUE"""),"")</f>
        <v/>
      </c>
      <c r="N2851" s="6" t="str">
        <f>IFERROR(__xludf.DUMMYFUNCTION("""COMPUTED_VALUE"""),"")</f>
        <v/>
      </c>
      <c r="O2851" s="87" t="str">
        <f>IFERROR(__xludf.DUMMYFUNCTION("""COMPUTED_VALUE"""),"https://drive.google.com/drive/folders/10T2cTQHqEJZqE-st6uFKPoI?usp=share_link")</f>
        <v>https://drive.google.com/drive/folders/10T2cTQHqEJZqE-st6uFKPoI?usp=share_link</v>
      </c>
      <c r="P2851" s="6" t="str">
        <f>IFERROR(__xludf.DUMMYFUNCTION("""COMPUTED_VALUE"""),"Kinley Kostan")</f>
        <v>Kinley Kostan</v>
      </c>
      <c r="Q2851" s="6" t="str">
        <f>IFERROR(__xludf.DUMMYFUNCTION("""COMPUTED_VALUE"""),"L2")</f>
        <v>L2</v>
      </c>
      <c r="R2851" s="6">
        <f>IFERROR(__xludf.DUMMYFUNCTION("""COMPUTED_VALUE"""),2.0)</f>
        <v>2</v>
      </c>
      <c r="S2851" s="6" t="str">
        <f>IFERROR(__xludf.DUMMYFUNCTION("""COMPUTED_VALUE""")," ")</f>
        <v> </v>
      </c>
      <c r="T2851" s="6" t="str">
        <f>IFERROR(__xludf.DUMMYFUNCTION("""COMPUTED_VALUE"""),"")</f>
        <v/>
      </c>
      <c r="U2851" s="6" t="str">
        <f>IFERROR(__xludf.DUMMYFUNCTION("""COMPUTED_VALUE"""),"4")</f>
        <v>4</v>
      </c>
      <c r="V2851" s="6" t="str">
        <f>IFERROR(__xludf.DUMMYFUNCTION("""COMPUTED_VALUE"""),"")</f>
        <v/>
      </c>
      <c r="W2851" s="6" t="str">
        <f>IFERROR(__xludf.DUMMYFUNCTION("""COMPUTED_VALUE"""),"[]")</f>
        <v>[]</v>
      </c>
      <c r="X2851" s="6" t="str">
        <f>IFERROR(__xludf.DUMMYFUNCTION("""COMPUTED_VALUE"""),"Enrolled")</f>
        <v>Enrolled</v>
      </c>
    </row>
    <row r="2852">
      <c r="A2852" s="6" t="str">
        <f>IFERROR(__xludf.DUMMYFUNCTION("""COMPUTED_VALUE"""),"059-9166")</f>
        <v>059-9166</v>
      </c>
      <c r="B2852" s="6" t="str">
        <f>IFERROR(__xludf.DUMMYFUNCTION("""COMPUTED_VALUE"""),"59")</f>
        <v>59</v>
      </c>
      <c r="C2852" s="6" t="str">
        <f>IFERROR(__xludf.DUMMYFUNCTION("""COMPUTED_VALUE"""),"9166")</f>
        <v>9166</v>
      </c>
      <c r="D2852" s="6" t="str">
        <f>IFERROR(__xludf.DUMMYFUNCTION("""COMPUTED_VALUE"""),"Ayden")</f>
        <v>Ayden</v>
      </c>
      <c r="E2852" s="6" t="str">
        <f>IFERROR(__xludf.DUMMYFUNCTION("""COMPUTED_VALUE"""),"")</f>
        <v/>
      </c>
      <c r="F2852" s="6" t="str">
        <f>IFERROR(__xludf.DUMMYFUNCTION("""COMPUTED_VALUE"""),"Jones")</f>
        <v>Jones</v>
      </c>
      <c r="G2852" s="6" t="str">
        <f>IFERROR(__xludf.DUMMYFUNCTION("""COMPUTED_VALUE"""),"01/01/2012")</f>
        <v>01/01/2012</v>
      </c>
      <c r="H2852" s="6" t="str">
        <f>IFERROR(__xludf.DUMMYFUNCTION("""COMPUTED_VALUE"""),"Self Identify")</f>
        <v>Self Identify</v>
      </c>
      <c r="I2852" s="6" t="str">
        <f>IFERROR(__xludf.DUMMYFUNCTION("""COMPUTED_VALUE"""),"Middle School")</f>
        <v>Middle School</v>
      </c>
      <c r="J2852" s="6" t="str">
        <f>IFERROR(__xludf.DUMMYFUNCTION("""COMPUTED_VALUE"""),"8")</f>
        <v>8</v>
      </c>
      <c r="K2852" s="6" t="str">
        <f>IFERROR(__xludf.DUMMYFUNCTION("""COMPUTED_VALUE"""),"ayden.jones@2hourlearning.com")</f>
        <v>ayden.jones@2hourlearning.com</v>
      </c>
      <c r="L2852" s="6" t="str">
        <f>IFERROR(__xludf.DUMMYFUNCTION("""COMPUTED_VALUE"""),"Strata")</f>
        <v>Strata</v>
      </c>
      <c r="M2852" s="6" t="str">
        <f>IFERROR(__xludf.DUMMYFUNCTION("""COMPUTED_VALUE"""),"")</f>
        <v/>
      </c>
      <c r="N2852" s="6" t="str">
        <f>IFERROR(__xludf.DUMMYFUNCTION("""COMPUTED_VALUE"""),"")</f>
        <v/>
      </c>
      <c r="O2852" s="87" t="str">
        <f>IFERROR(__xludf.DUMMYFUNCTION("""COMPUTED_VALUE"""),"https://drive.google.com/drive/folders/10T2cTQHqEJZqE-st6uFKPoI?usp=share_link")</f>
        <v>https://drive.google.com/drive/folders/10T2cTQHqEJZqE-st6uFKPoI?usp=share_link</v>
      </c>
      <c r="P2852" s="6" t="str">
        <f>IFERROR(__xludf.DUMMYFUNCTION("""COMPUTED_VALUE"""),"Ayden Jones")</f>
        <v>Ayden Jones</v>
      </c>
      <c r="Q2852" s="6" t="str">
        <f>IFERROR(__xludf.DUMMYFUNCTION("""COMPUTED_VALUE"""),"MS")</f>
        <v>MS</v>
      </c>
      <c r="R2852" s="6">
        <f>IFERROR(__xludf.DUMMYFUNCTION("""COMPUTED_VALUE"""),0.0)</f>
        <v>0</v>
      </c>
      <c r="S2852" s="6" t="str">
        <f>IFERROR(__xludf.DUMMYFUNCTION("""COMPUTED_VALUE""")," ")</f>
        <v> </v>
      </c>
      <c r="T2852" s="6" t="str">
        <f>IFERROR(__xludf.DUMMYFUNCTION("""COMPUTED_VALUE"""),"")</f>
        <v/>
      </c>
      <c r="U2852" s="6" t="str">
        <f>IFERROR(__xludf.DUMMYFUNCTION("""COMPUTED_VALUE"""),"8")</f>
        <v>8</v>
      </c>
      <c r="V2852" s="6" t="str">
        <f>IFERROR(__xludf.DUMMYFUNCTION("""COMPUTED_VALUE"""),"")</f>
        <v/>
      </c>
      <c r="W2852" s="6" t="str">
        <f>IFERROR(__xludf.DUMMYFUNCTION("""COMPUTED_VALUE"""),"[]")</f>
        <v>[]</v>
      </c>
      <c r="X2852" s="6" t="str">
        <f>IFERROR(__xludf.DUMMYFUNCTION("""COMPUTED_VALUE"""),"Enrolled")</f>
        <v>Enrolled</v>
      </c>
    </row>
    <row r="2853">
      <c r="A2853" s="6" t="str">
        <f>IFERROR(__xludf.DUMMYFUNCTION("""COMPUTED_VALUE"""),"059-9167")</f>
        <v>059-9167</v>
      </c>
      <c r="B2853" s="6" t="str">
        <f>IFERROR(__xludf.DUMMYFUNCTION("""COMPUTED_VALUE"""),"59")</f>
        <v>59</v>
      </c>
      <c r="C2853" s="6" t="str">
        <f>IFERROR(__xludf.DUMMYFUNCTION("""COMPUTED_VALUE"""),"9167")</f>
        <v>9167</v>
      </c>
      <c r="D2853" s="6" t="str">
        <f>IFERROR(__xludf.DUMMYFUNCTION("""COMPUTED_VALUE"""),"Andrew")</f>
        <v>Andrew</v>
      </c>
      <c r="E2853" s="6" t="str">
        <f>IFERROR(__xludf.DUMMYFUNCTION("""COMPUTED_VALUE"""),"")</f>
        <v/>
      </c>
      <c r="F2853" s="6" t="str">
        <f>IFERROR(__xludf.DUMMYFUNCTION("""COMPUTED_VALUE"""),"Merchant")</f>
        <v>Merchant</v>
      </c>
      <c r="G2853" s="6" t="str">
        <f>IFERROR(__xludf.DUMMYFUNCTION("""COMPUTED_VALUE"""),"01/01/2012")</f>
        <v>01/01/2012</v>
      </c>
      <c r="H2853" s="6" t="str">
        <f>IFERROR(__xludf.DUMMYFUNCTION("""COMPUTED_VALUE"""),"Self Identify")</f>
        <v>Self Identify</v>
      </c>
      <c r="I2853" s="6" t="str">
        <f>IFERROR(__xludf.DUMMYFUNCTION("""COMPUTED_VALUE"""),"Middle School")</f>
        <v>Middle School</v>
      </c>
      <c r="J2853" s="6" t="str">
        <f>IFERROR(__xludf.DUMMYFUNCTION("""COMPUTED_VALUE"""),"8")</f>
        <v>8</v>
      </c>
      <c r="K2853" s="6" t="str">
        <f>IFERROR(__xludf.DUMMYFUNCTION("""COMPUTED_VALUE"""),"andrew.merchant@2hourlearning.com")</f>
        <v>andrew.merchant@2hourlearning.com</v>
      </c>
      <c r="L2853" s="6" t="str">
        <f>IFERROR(__xludf.DUMMYFUNCTION("""COMPUTED_VALUE"""),"Strata")</f>
        <v>Strata</v>
      </c>
      <c r="M2853" s="6" t="str">
        <f>IFERROR(__xludf.DUMMYFUNCTION("""COMPUTED_VALUE"""),"")</f>
        <v/>
      </c>
      <c r="N2853" s="6" t="str">
        <f>IFERROR(__xludf.DUMMYFUNCTION("""COMPUTED_VALUE"""),"")</f>
        <v/>
      </c>
      <c r="O2853" s="87" t="str">
        <f>IFERROR(__xludf.DUMMYFUNCTION("""COMPUTED_VALUE"""),"https://drive.google.com/drive/folders/10T2cTQHqEJZqE-st6uFKPoI?usp=share_link")</f>
        <v>https://drive.google.com/drive/folders/10T2cTQHqEJZqE-st6uFKPoI?usp=share_link</v>
      </c>
      <c r="P2853" s="6" t="str">
        <f>IFERROR(__xludf.DUMMYFUNCTION("""COMPUTED_VALUE"""),"Andrew Merchant")</f>
        <v>Andrew Merchant</v>
      </c>
      <c r="Q2853" s="6" t="str">
        <f>IFERROR(__xludf.DUMMYFUNCTION("""COMPUTED_VALUE"""),"MS")</f>
        <v>MS</v>
      </c>
      <c r="R2853" s="6">
        <f>IFERROR(__xludf.DUMMYFUNCTION("""COMPUTED_VALUE"""),0.0)</f>
        <v>0</v>
      </c>
      <c r="S2853" s="6" t="str">
        <f>IFERROR(__xludf.DUMMYFUNCTION("""COMPUTED_VALUE""")," ")</f>
        <v> </v>
      </c>
      <c r="T2853" s="6" t="str">
        <f>IFERROR(__xludf.DUMMYFUNCTION("""COMPUTED_VALUE"""),"")</f>
        <v/>
      </c>
      <c r="U2853" s="6" t="str">
        <f>IFERROR(__xludf.DUMMYFUNCTION("""COMPUTED_VALUE"""),"8")</f>
        <v>8</v>
      </c>
      <c r="V2853" s="6" t="str">
        <f>IFERROR(__xludf.DUMMYFUNCTION("""COMPUTED_VALUE"""),"")</f>
        <v/>
      </c>
      <c r="W2853" s="6" t="str">
        <f>IFERROR(__xludf.DUMMYFUNCTION("""COMPUTED_VALUE"""),"[]")</f>
        <v>[]</v>
      </c>
      <c r="X2853" s="6" t="str">
        <f>IFERROR(__xludf.DUMMYFUNCTION("""COMPUTED_VALUE"""),"Enrolled")</f>
        <v>Enrolled</v>
      </c>
    </row>
    <row r="2854">
      <c r="A2854" s="6" t="str">
        <f>IFERROR(__xludf.DUMMYFUNCTION("""COMPUTED_VALUE"""),"059-9168")</f>
        <v>059-9168</v>
      </c>
      <c r="B2854" s="6" t="str">
        <f>IFERROR(__xludf.DUMMYFUNCTION("""COMPUTED_VALUE"""),"59")</f>
        <v>59</v>
      </c>
      <c r="C2854" s="6" t="str">
        <f>IFERROR(__xludf.DUMMYFUNCTION("""COMPUTED_VALUE"""),"9168")</f>
        <v>9168</v>
      </c>
      <c r="D2854" s="6" t="str">
        <f>IFERROR(__xludf.DUMMYFUNCTION("""COMPUTED_VALUE"""),"Noah")</f>
        <v>Noah</v>
      </c>
      <c r="E2854" s="6" t="str">
        <f>IFERROR(__xludf.DUMMYFUNCTION("""COMPUTED_VALUE"""),"")</f>
        <v/>
      </c>
      <c r="F2854" s="6" t="str">
        <f>IFERROR(__xludf.DUMMYFUNCTION("""COMPUTED_VALUE"""),"Oakes")</f>
        <v>Oakes</v>
      </c>
      <c r="G2854" s="6" t="str">
        <f>IFERROR(__xludf.DUMMYFUNCTION("""COMPUTED_VALUE"""),"01/01/2015")</f>
        <v>01/01/2015</v>
      </c>
      <c r="H2854" s="6" t="str">
        <f>IFERROR(__xludf.DUMMYFUNCTION("""COMPUTED_VALUE"""),"Self Identify")</f>
        <v>Self Identify</v>
      </c>
      <c r="I2854" s="6" t="str">
        <f>IFERROR(__xludf.DUMMYFUNCTION("""COMPUTED_VALUE"""),"Level 2")</f>
        <v>Level 2</v>
      </c>
      <c r="J2854" s="6" t="str">
        <f>IFERROR(__xludf.DUMMYFUNCTION("""COMPUTED_VALUE"""),"5")</f>
        <v>5</v>
      </c>
      <c r="K2854" s="6" t="str">
        <f>IFERROR(__xludf.DUMMYFUNCTION("""COMPUTED_VALUE"""),"noah.oakes@2hourlearning.com")</f>
        <v>noah.oakes@2hourlearning.com</v>
      </c>
      <c r="L2854" s="6" t="str">
        <f>IFERROR(__xludf.DUMMYFUNCTION("""COMPUTED_VALUE"""),"Strata")</f>
        <v>Strata</v>
      </c>
      <c r="M2854" s="6" t="str">
        <f>IFERROR(__xludf.DUMMYFUNCTION("""COMPUTED_VALUE"""),"")</f>
        <v/>
      </c>
      <c r="N2854" s="6" t="str">
        <f>IFERROR(__xludf.DUMMYFUNCTION("""COMPUTED_VALUE"""),"")</f>
        <v/>
      </c>
      <c r="O2854" s="87" t="str">
        <f>IFERROR(__xludf.DUMMYFUNCTION("""COMPUTED_VALUE"""),"https://drive.google.com/drive/folders/10T2cTQHqEJZqE-st6uFKPoI?usp=share_link")</f>
        <v>https://drive.google.com/drive/folders/10T2cTQHqEJZqE-st6uFKPoI?usp=share_link</v>
      </c>
      <c r="P2854" s="6" t="str">
        <f>IFERROR(__xludf.DUMMYFUNCTION("""COMPUTED_VALUE"""),"Noah Oakes")</f>
        <v>Noah Oakes</v>
      </c>
      <c r="Q2854" s="6" t="str">
        <f>IFERROR(__xludf.DUMMYFUNCTION("""COMPUTED_VALUE"""),"L2")</f>
        <v>L2</v>
      </c>
      <c r="R2854" s="6">
        <f>IFERROR(__xludf.DUMMYFUNCTION("""COMPUTED_VALUE"""),2.0)</f>
        <v>2</v>
      </c>
      <c r="S2854" s="6" t="str">
        <f>IFERROR(__xludf.DUMMYFUNCTION("""COMPUTED_VALUE""")," ")</f>
        <v> </v>
      </c>
      <c r="T2854" s="6" t="str">
        <f>IFERROR(__xludf.DUMMYFUNCTION("""COMPUTED_VALUE"""),"")</f>
        <v/>
      </c>
      <c r="U2854" s="6" t="str">
        <f>IFERROR(__xludf.DUMMYFUNCTION("""COMPUTED_VALUE"""),"5")</f>
        <v>5</v>
      </c>
      <c r="V2854" s="6" t="str">
        <f>IFERROR(__xludf.DUMMYFUNCTION("""COMPUTED_VALUE"""),"")</f>
        <v/>
      </c>
      <c r="W2854" s="6" t="str">
        <f>IFERROR(__xludf.DUMMYFUNCTION("""COMPUTED_VALUE"""),"[]")</f>
        <v>[]</v>
      </c>
      <c r="X2854" s="6" t="str">
        <f>IFERROR(__xludf.DUMMYFUNCTION("""COMPUTED_VALUE"""),"Enrolled")</f>
        <v>Enrolled</v>
      </c>
    </row>
    <row r="2855">
      <c r="A2855" s="6" t="str">
        <f>IFERROR(__xludf.DUMMYFUNCTION("""COMPUTED_VALUE"""),"062-4649")</f>
        <v>062-4649</v>
      </c>
      <c r="B2855" s="6" t="str">
        <f>IFERROR(__xludf.DUMMYFUNCTION("""COMPUTED_VALUE"""),"62")</f>
        <v>62</v>
      </c>
      <c r="C2855" s="6" t="str">
        <f>IFERROR(__xludf.DUMMYFUNCTION("""COMPUTED_VALUE"""),"4649")</f>
        <v>4649</v>
      </c>
      <c r="D2855" s="6" t="str">
        <f>IFERROR(__xludf.DUMMYFUNCTION("""COMPUTED_VALUE"""),"Ricardo")</f>
        <v>Ricardo</v>
      </c>
      <c r="E2855" s="6" t="str">
        <f>IFERROR(__xludf.DUMMYFUNCTION("""COMPUTED_VALUE"""),"Ricky")</f>
        <v>Ricky</v>
      </c>
      <c r="F2855" s="6" t="str">
        <f>IFERROR(__xludf.DUMMYFUNCTION("""COMPUTED_VALUE"""),"Sanchez")</f>
        <v>Sanchez</v>
      </c>
      <c r="G2855" s="6" t="str">
        <f>IFERROR(__xludf.DUMMYFUNCTION("""COMPUTED_VALUE"""),"02/19/2014")</f>
        <v>02/19/2014</v>
      </c>
      <c r="H2855" s="6" t="str">
        <f>IFERROR(__xludf.DUMMYFUNCTION("""COMPUTED_VALUE"""),"male")</f>
        <v>male</v>
      </c>
      <c r="I2855" s="6" t="str">
        <f>IFERROR(__xludf.DUMMYFUNCTION("""COMPUTED_VALUE"""),"Middle School")</f>
        <v>Middle School</v>
      </c>
      <c r="J2855" s="6" t="str">
        <f>IFERROR(__xludf.DUMMYFUNCTION("""COMPUTED_VALUE"""),"6")</f>
        <v>6</v>
      </c>
      <c r="K2855" s="6" t="str">
        <f>IFERROR(__xludf.DUMMYFUNCTION("""COMPUTED_VALUE"""),"ricky.sanchez@2hourlearning.com")</f>
        <v>ricky.sanchez@2hourlearning.com</v>
      </c>
      <c r="L2855" s="6" t="str">
        <f>IFERROR(__xludf.DUMMYFUNCTION("""COMPUTED_VALUE"""),"LFG Academy")</f>
        <v>LFG Academy</v>
      </c>
      <c r="M2855" s="6" t="str">
        <f>IFERROR(__xludf.DUMMYFUNCTION("""COMPUTED_VALUE"""),"")</f>
        <v/>
      </c>
      <c r="N2855" s="6" t="str">
        <f>IFERROR(__xludf.DUMMYFUNCTION("""COMPUTED_VALUE"""),"")</f>
        <v/>
      </c>
      <c r="O2855" s="87" t="str">
        <f>IFERROR(__xludf.DUMMYFUNCTION("""COMPUTED_VALUE"""),"https://drive.google.com/drive/folders/10T2cTQHqEJZqE-st6uFKPoI?usp=share_link")</f>
        <v>https://drive.google.com/drive/folders/10T2cTQHqEJZqE-st6uFKPoI?usp=share_link</v>
      </c>
      <c r="P2855" s="6" t="str">
        <f>IFERROR(__xludf.DUMMYFUNCTION("""COMPUTED_VALUE"""),"Ricky Sanchez")</f>
        <v>Ricky Sanchez</v>
      </c>
      <c r="Q2855" s="6" t="str">
        <f>IFERROR(__xludf.DUMMYFUNCTION("""COMPUTED_VALUE"""),"MS")</f>
        <v>MS</v>
      </c>
      <c r="R2855" s="6">
        <f>IFERROR(__xludf.DUMMYFUNCTION("""COMPUTED_VALUE"""),0.0)</f>
        <v>0</v>
      </c>
      <c r="S2855" s="6" t="str">
        <f>IFERROR(__xludf.DUMMYFUNCTION("""COMPUTED_VALUE""")," ")</f>
        <v> </v>
      </c>
      <c r="T2855" s="6" t="str">
        <f>IFERROR(__xludf.DUMMYFUNCTION("""COMPUTED_VALUE"""),"")</f>
        <v/>
      </c>
      <c r="U2855" s="6" t="str">
        <f>IFERROR(__xludf.DUMMYFUNCTION("""COMPUTED_VALUE"""),"6")</f>
        <v>6</v>
      </c>
      <c r="V2855" s="6" t="str">
        <f>IFERROR(__xludf.DUMMYFUNCTION("""COMPUTED_VALUE"""),"English")</f>
        <v>English</v>
      </c>
      <c r="W2855" s="6" t="str">
        <f>IFERROR(__xludf.DUMMYFUNCTION("""COMPUTED_VALUE"""),"[]")</f>
        <v>[]</v>
      </c>
      <c r="X2855" s="6" t="str">
        <f>IFERROR(__xludf.DUMMYFUNCTION("""COMPUTED_VALUE"""),"Pending Review")</f>
        <v>Pending Review</v>
      </c>
    </row>
    <row r="2856">
      <c r="A2856" s="6" t="str">
        <f>IFERROR(__xludf.DUMMYFUNCTION("""COMPUTED_VALUE"""),"062-4650")</f>
        <v>062-4650</v>
      </c>
      <c r="B2856" s="6" t="str">
        <f>IFERROR(__xludf.DUMMYFUNCTION("""COMPUTED_VALUE"""),"62")</f>
        <v>62</v>
      </c>
      <c r="C2856" s="6" t="str">
        <f>IFERROR(__xludf.DUMMYFUNCTION("""COMPUTED_VALUE"""),"4650")</f>
        <v>4650</v>
      </c>
      <c r="D2856" s="6" t="str">
        <f>IFERROR(__xludf.DUMMYFUNCTION("""COMPUTED_VALUE"""),"Lucas")</f>
        <v>Lucas</v>
      </c>
      <c r="E2856" s="6" t="str">
        <f>IFERROR(__xludf.DUMMYFUNCTION("""COMPUTED_VALUE"""),"")</f>
        <v/>
      </c>
      <c r="F2856" s="6" t="str">
        <f>IFERROR(__xludf.DUMMYFUNCTION("""COMPUTED_VALUE"""),"Garza")</f>
        <v>Garza</v>
      </c>
      <c r="G2856" s="6" t="str">
        <f>IFERROR(__xludf.DUMMYFUNCTION("""COMPUTED_VALUE"""),"10/18/2013")</f>
        <v>10/18/2013</v>
      </c>
      <c r="H2856" s="6" t="str">
        <f>IFERROR(__xludf.DUMMYFUNCTION("""COMPUTED_VALUE"""),"male")</f>
        <v>male</v>
      </c>
      <c r="I2856" s="6" t="str">
        <f>IFERROR(__xludf.DUMMYFUNCTION("""COMPUTED_VALUE"""),"Middle School")</f>
        <v>Middle School</v>
      </c>
      <c r="J2856" s="6" t="str">
        <f>IFERROR(__xludf.DUMMYFUNCTION("""COMPUTED_VALUE"""),"6")</f>
        <v>6</v>
      </c>
      <c r="K2856" s="6" t="str">
        <f>IFERROR(__xludf.DUMMYFUNCTION("""COMPUTED_VALUE"""),"lucas.garza@2hourlearning.com")</f>
        <v>lucas.garza@2hourlearning.com</v>
      </c>
      <c r="L2856" s="6" t="str">
        <f>IFERROR(__xludf.DUMMYFUNCTION("""COMPUTED_VALUE"""),"LFG Academy")</f>
        <v>LFG Academy</v>
      </c>
      <c r="M2856" s="6" t="str">
        <f>IFERROR(__xludf.DUMMYFUNCTION("""COMPUTED_VALUE"""),"")</f>
        <v/>
      </c>
      <c r="N2856" s="6" t="str">
        <f>IFERROR(__xludf.DUMMYFUNCTION("""COMPUTED_VALUE"""),"")</f>
        <v/>
      </c>
      <c r="O2856" s="87" t="str">
        <f>IFERROR(__xludf.DUMMYFUNCTION("""COMPUTED_VALUE"""),"https://drive.google.com/drive/folders/10T2cTQHqEJZqE-st6uFKPoI?usp=share_link")</f>
        <v>https://drive.google.com/drive/folders/10T2cTQHqEJZqE-st6uFKPoI?usp=share_link</v>
      </c>
      <c r="P2856" s="6" t="str">
        <f>IFERROR(__xludf.DUMMYFUNCTION("""COMPUTED_VALUE"""),"Lucas Garza")</f>
        <v>Lucas Garza</v>
      </c>
      <c r="Q2856" s="6" t="str">
        <f>IFERROR(__xludf.DUMMYFUNCTION("""COMPUTED_VALUE"""),"MS")</f>
        <v>MS</v>
      </c>
      <c r="R2856" s="6">
        <f>IFERROR(__xludf.DUMMYFUNCTION("""COMPUTED_VALUE"""),0.0)</f>
        <v>0</v>
      </c>
      <c r="S2856" s="6" t="str">
        <f>IFERROR(__xludf.DUMMYFUNCTION("""COMPUTED_VALUE""")," ")</f>
        <v> </v>
      </c>
      <c r="T2856" s="6" t="str">
        <f>IFERROR(__xludf.DUMMYFUNCTION("""COMPUTED_VALUE"""),"")</f>
        <v/>
      </c>
      <c r="U2856" s="6" t="str">
        <f>IFERROR(__xludf.DUMMYFUNCTION("""COMPUTED_VALUE"""),"6")</f>
        <v>6</v>
      </c>
      <c r="V2856" s="6" t="str">
        <f>IFERROR(__xludf.DUMMYFUNCTION("""COMPUTED_VALUE"""),"English")</f>
        <v>English</v>
      </c>
      <c r="W2856" s="6" t="str">
        <f>IFERROR(__xludf.DUMMYFUNCTION("""COMPUTED_VALUE"""),"[]")</f>
        <v>[]</v>
      </c>
      <c r="X2856" s="6" t="str">
        <f>IFERROR(__xludf.DUMMYFUNCTION("""COMPUTED_VALUE"""),"Pending Review")</f>
        <v>Pending Review</v>
      </c>
    </row>
    <row r="2857">
      <c r="A2857" s="6" t="str">
        <f>IFERROR(__xludf.DUMMYFUNCTION("""COMPUTED_VALUE"""),"062-4651")</f>
        <v>062-4651</v>
      </c>
      <c r="B2857" s="6" t="str">
        <f>IFERROR(__xludf.DUMMYFUNCTION("""COMPUTED_VALUE"""),"62")</f>
        <v>62</v>
      </c>
      <c r="C2857" s="6" t="str">
        <f>IFERROR(__xludf.DUMMYFUNCTION("""COMPUTED_VALUE"""),"4651")</f>
        <v>4651</v>
      </c>
      <c r="D2857" s="6" t="str">
        <f>IFERROR(__xludf.DUMMYFUNCTION("""COMPUTED_VALUE"""),"Taylor")</f>
        <v>Taylor</v>
      </c>
      <c r="E2857" s="6" t="str">
        <f>IFERROR(__xludf.DUMMYFUNCTION("""COMPUTED_VALUE"""),"")</f>
        <v/>
      </c>
      <c r="F2857" s="6" t="str">
        <f>IFERROR(__xludf.DUMMYFUNCTION("""COMPUTED_VALUE"""),"Rosencrans")</f>
        <v>Rosencrans</v>
      </c>
      <c r="G2857" s="6" t="str">
        <f>IFERROR(__xludf.DUMMYFUNCTION("""COMPUTED_VALUE"""),"09/13/2014")</f>
        <v>09/13/2014</v>
      </c>
      <c r="H2857" s="6" t="str">
        <f>IFERROR(__xludf.DUMMYFUNCTION("""COMPUTED_VALUE"""),"female")</f>
        <v>female</v>
      </c>
      <c r="I2857" s="6" t="str">
        <f>IFERROR(__xludf.DUMMYFUNCTION("""COMPUTED_VALUE"""),"Level 2")</f>
        <v>Level 2</v>
      </c>
      <c r="J2857" s="6" t="str">
        <f>IFERROR(__xludf.DUMMYFUNCTION("""COMPUTED_VALUE"""),"5")</f>
        <v>5</v>
      </c>
      <c r="K2857" s="6" t="str">
        <f>IFERROR(__xludf.DUMMYFUNCTION("""COMPUTED_VALUE"""),"taylor.rosencrans@2hourlearning.com")</f>
        <v>taylor.rosencrans@2hourlearning.com</v>
      </c>
      <c r="L2857" s="6" t="str">
        <f>IFERROR(__xludf.DUMMYFUNCTION("""COMPUTED_VALUE"""),"LFG Academy")</f>
        <v>LFG Academy</v>
      </c>
      <c r="M2857" s="6" t="str">
        <f>IFERROR(__xludf.DUMMYFUNCTION("""COMPUTED_VALUE"""),"")</f>
        <v/>
      </c>
      <c r="N2857" s="6" t="str">
        <f>IFERROR(__xludf.DUMMYFUNCTION("""COMPUTED_VALUE"""),"")</f>
        <v/>
      </c>
      <c r="O2857" s="87" t="str">
        <f>IFERROR(__xludf.DUMMYFUNCTION("""COMPUTED_VALUE"""),"https://drive.google.com/drive/folders/10T2cTQHqEJZqE-st6uFKPoI?usp=share_link")</f>
        <v>https://drive.google.com/drive/folders/10T2cTQHqEJZqE-st6uFKPoI?usp=share_link</v>
      </c>
      <c r="P2857" s="6" t="str">
        <f>IFERROR(__xludf.DUMMYFUNCTION("""COMPUTED_VALUE"""),"Taylor Rosencrans")</f>
        <v>Taylor Rosencrans</v>
      </c>
      <c r="Q2857" s="6" t="str">
        <f>IFERROR(__xludf.DUMMYFUNCTION("""COMPUTED_VALUE"""),"L2")</f>
        <v>L2</v>
      </c>
      <c r="R2857" s="6">
        <f>IFERROR(__xludf.DUMMYFUNCTION("""COMPUTED_VALUE"""),2.0)</f>
        <v>2</v>
      </c>
      <c r="S2857" s="6" t="str">
        <f>IFERROR(__xludf.DUMMYFUNCTION("""COMPUTED_VALUE""")," ")</f>
        <v> </v>
      </c>
      <c r="T2857" s="6" t="str">
        <f>IFERROR(__xludf.DUMMYFUNCTION("""COMPUTED_VALUE"""),"")</f>
        <v/>
      </c>
      <c r="U2857" s="6" t="str">
        <f>IFERROR(__xludf.DUMMYFUNCTION("""COMPUTED_VALUE"""),"5")</f>
        <v>5</v>
      </c>
      <c r="V2857" s="6" t="str">
        <f>IFERROR(__xludf.DUMMYFUNCTION("""COMPUTED_VALUE"""),"English")</f>
        <v>English</v>
      </c>
      <c r="W2857" s="6" t="str">
        <f>IFERROR(__xludf.DUMMYFUNCTION("""COMPUTED_VALUE"""),"[]")</f>
        <v>[]</v>
      </c>
      <c r="X2857" s="6" t="str">
        <f>IFERROR(__xludf.DUMMYFUNCTION("""COMPUTED_VALUE"""),"Pending Review")</f>
        <v>Pending Review</v>
      </c>
    </row>
    <row r="2858">
      <c r="A2858" s="6" t="str">
        <f>IFERROR(__xludf.DUMMYFUNCTION("""COMPUTED_VALUE"""),"062-4652")</f>
        <v>062-4652</v>
      </c>
      <c r="B2858" s="6" t="str">
        <f>IFERROR(__xludf.DUMMYFUNCTION("""COMPUTED_VALUE"""),"62")</f>
        <v>62</v>
      </c>
      <c r="C2858" s="6" t="str">
        <f>IFERROR(__xludf.DUMMYFUNCTION("""COMPUTED_VALUE"""),"4652")</f>
        <v>4652</v>
      </c>
      <c r="D2858" s="6" t="str">
        <f>IFERROR(__xludf.DUMMYFUNCTION("""COMPUTED_VALUE"""),"Samuel")</f>
        <v>Samuel</v>
      </c>
      <c r="E2858" s="6" t="str">
        <f>IFERROR(__xludf.DUMMYFUNCTION("""COMPUTED_VALUE"""),"Sammy")</f>
        <v>Sammy</v>
      </c>
      <c r="F2858" s="6" t="str">
        <f>IFERROR(__xludf.DUMMYFUNCTION("""COMPUTED_VALUE"""),"Rosencrans")</f>
        <v>Rosencrans</v>
      </c>
      <c r="G2858" s="6" t="str">
        <f>IFERROR(__xludf.DUMMYFUNCTION("""COMPUTED_VALUE"""),"03/20/2017")</f>
        <v>03/20/2017</v>
      </c>
      <c r="H2858" s="6" t="str">
        <f>IFERROR(__xludf.DUMMYFUNCTION("""COMPUTED_VALUE"""),"male")</f>
        <v>male</v>
      </c>
      <c r="I2858" s="6" t="str">
        <f>IFERROR(__xludf.DUMMYFUNCTION("""COMPUTED_VALUE"""),"Level 1")</f>
        <v>Level 1</v>
      </c>
      <c r="J2858" s="6" t="str">
        <f>IFERROR(__xludf.DUMMYFUNCTION("""COMPUTED_VALUE"""),"3")</f>
        <v>3</v>
      </c>
      <c r="K2858" s="6" t="str">
        <f>IFERROR(__xludf.DUMMYFUNCTION("""COMPUTED_VALUE"""),"sammy.rosencrans@2hourlearning.com")</f>
        <v>sammy.rosencrans@2hourlearning.com</v>
      </c>
      <c r="L2858" s="6" t="str">
        <f>IFERROR(__xludf.DUMMYFUNCTION("""COMPUTED_VALUE"""),"LFG Academy")</f>
        <v>LFG Academy</v>
      </c>
      <c r="M2858" s="6" t="str">
        <f>IFERROR(__xludf.DUMMYFUNCTION("""COMPUTED_VALUE"""),"")</f>
        <v/>
      </c>
      <c r="N2858" s="6" t="str">
        <f>IFERROR(__xludf.DUMMYFUNCTION("""COMPUTED_VALUE"""),"")</f>
        <v/>
      </c>
      <c r="O2858" s="87" t="str">
        <f>IFERROR(__xludf.DUMMYFUNCTION("""COMPUTED_VALUE"""),"https://drive.google.com/drive/folders/10T2cTQHqEJZqE-st6uFKPoI?usp=share_link")</f>
        <v>https://drive.google.com/drive/folders/10T2cTQHqEJZqE-st6uFKPoI?usp=share_link</v>
      </c>
      <c r="P2858" s="6" t="str">
        <f>IFERROR(__xludf.DUMMYFUNCTION("""COMPUTED_VALUE"""),"Sammy Rosencrans")</f>
        <v>Sammy Rosencrans</v>
      </c>
      <c r="Q2858" s="6" t="str">
        <f>IFERROR(__xludf.DUMMYFUNCTION("""COMPUTED_VALUE"""),"L1")</f>
        <v>L1</v>
      </c>
      <c r="R2858" s="6">
        <f>IFERROR(__xludf.DUMMYFUNCTION("""COMPUTED_VALUE"""),1.0)</f>
        <v>1</v>
      </c>
      <c r="S2858" s="6" t="str">
        <f>IFERROR(__xludf.DUMMYFUNCTION("""COMPUTED_VALUE""")," ")</f>
        <v> </v>
      </c>
      <c r="T2858" s="6" t="str">
        <f>IFERROR(__xludf.DUMMYFUNCTION("""COMPUTED_VALUE"""),"")</f>
        <v/>
      </c>
      <c r="U2858" s="6" t="str">
        <f>IFERROR(__xludf.DUMMYFUNCTION("""COMPUTED_VALUE"""),"3")</f>
        <v>3</v>
      </c>
      <c r="V2858" s="6" t="str">
        <f>IFERROR(__xludf.DUMMYFUNCTION("""COMPUTED_VALUE"""),"English")</f>
        <v>English</v>
      </c>
      <c r="W2858" s="6" t="str">
        <f>IFERROR(__xludf.DUMMYFUNCTION("""COMPUTED_VALUE"""),"[]")</f>
        <v>[]</v>
      </c>
      <c r="X2858" s="6" t="str">
        <f>IFERROR(__xludf.DUMMYFUNCTION("""COMPUTED_VALUE"""),"Pending Review")</f>
        <v>Pending Review</v>
      </c>
    </row>
    <row r="2859">
      <c r="A2859" s="6" t="str">
        <f>IFERROR(__xludf.DUMMYFUNCTION("""COMPUTED_VALUE"""),"062-4653")</f>
        <v>062-4653</v>
      </c>
      <c r="B2859" s="6" t="str">
        <f>IFERROR(__xludf.DUMMYFUNCTION("""COMPUTED_VALUE"""),"62")</f>
        <v>62</v>
      </c>
      <c r="C2859" s="6" t="str">
        <f>IFERROR(__xludf.DUMMYFUNCTION("""COMPUTED_VALUE"""),"4653")</f>
        <v>4653</v>
      </c>
      <c r="D2859" s="6" t="str">
        <f>IFERROR(__xludf.DUMMYFUNCTION("""COMPUTED_VALUE"""),"Jacob")</f>
        <v>Jacob</v>
      </c>
      <c r="E2859" s="6" t="str">
        <f>IFERROR(__xludf.DUMMYFUNCTION("""COMPUTED_VALUE"""),"")</f>
        <v/>
      </c>
      <c r="F2859" s="6" t="str">
        <f>IFERROR(__xludf.DUMMYFUNCTION("""COMPUTED_VALUE"""),"Garza")</f>
        <v>Garza</v>
      </c>
      <c r="G2859" s="6" t="str">
        <f>IFERROR(__xludf.DUMMYFUNCTION("""COMPUTED_VALUE"""),"05/02/2016")</f>
        <v>05/02/2016</v>
      </c>
      <c r="H2859" s="6" t="str">
        <f>IFERROR(__xludf.DUMMYFUNCTION("""COMPUTED_VALUE"""),"male")</f>
        <v>male</v>
      </c>
      <c r="I2859" s="6" t="str">
        <f>IFERROR(__xludf.DUMMYFUNCTION("""COMPUTED_VALUE"""),"Level 2")</f>
        <v>Level 2</v>
      </c>
      <c r="J2859" s="6" t="str">
        <f>IFERROR(__xludf.DUMMYFUNCTION("""COMPUTED_VALUE"""),"4")</f>
        <v>4</v>
      </c>
      <c r="K2859" s="6" t="str">
        <f>IFERROR(__xludf.DUMMYFUNCTION("""COMPUTED_VALUE"""),"jacob.garza@2hourlearning.com")</f>
        <v>jacob.garza@2hourlearning.com</v>
      </c>
      <c r="L2859" s="6" t="str">
        <f>IFERROR(__xludf.DUMMYFUNCTION("""COMPUTED_VALUE"""),"LFG Academy")</f>
        <v>LFG Academy</v>
      </c>
      <c r="M2859" s="6" t="str">
        <f>IFERROR(__xludf.DUMMYFUNCTION("""COMPUTED_VALUE"""),"")</f>
        <v/>
      </c>
      <c r="N2859" s="6" t="str">
        <f>IFERROR(__xludf.DUMMYFUNCTION("""COMPUTED_VALUE"""),"")</f>
        <v/>
      </c>
      <c r="O2859" s="87" t="str">
        <f>IFERROR(__xludf.DUMMYFUNCTION("""COMPUTED_VALUE"""),"https://drive.google.com/drive/folders/10T2cTQHqEJZqE-st6uFKPoI?usp=share_link")</f>
        <v>https://drive.google.com/drive/folders/10T2cTQHqEJZqE-st6uFKPoI?usp=share_link</v>
      </c>
      <c r="P2859" s="6" t="str">
        <f>IFERROR(__xludf.DUMMYFUNCTION("""COMPUTED_VALUE"""),"Jacob Garza")</f>
        <v>Jacob Garza</v>
      </c>
      <c r="Q2859" s="6" t="str">
        <f>IFERROR(__xludf.DUMMYFUNCTION("""COMPUTED_VALUE"""),"L2")</f>
        <v>L2</v>
      </c>
      <c r="R2859" s="6">
        <f>IFERROR(__xludf.DUMMYFUNCTION("""COMPUTED_VALUE"""),2.0)</f>
        <v>2</v>
      </c>
      <c r="S2859" s="6" t="str">
        <f>IFERROR(__xludf.DUMMYFUNCTION("""COMPUTED_VALUE""")," ")</f>
        <v> </v>
      </c>
      <c r="T2859" s="6" t="str">
        <f>IFERROR(__xludf.DUMMYFUNCTION("""COMPUTED_VALUE"""),"")</f>
        <v/>
      </c>
      <c r="U2859" s="6" t="str">
        <f>IFERROR(__xludf.DUMMYFUNCTION("""COMPUTED_VALUE"""),"4")</f>
        <v>4</v>
      </c>
      <c r="V2859" s="6" t="str">
        <f>IFERROR(__xludf.DUMMYFUNCTION("""COMPUTED_VALUE"""),"English")</f>
        <v>English</v>
      </c>
      <c r="W2859" s="6" t="str">
        <f>IFERROR(__xludf.DUMMYFUNCTION("""COMPUTED_VALUE"""),"[]")</f>
        <v>[]</v>
      </c>
      <c r="X2859" s="6" t="str">
        <f>IFERROR(__xludf.DUMMYFUNCTION("""COMPUTED_VALUE"""),"Pending Review")</f>
        <v>Pending Review</v>
      </c>
    </row>
    <row r="2860">
      <c r="A2860" s="6" t="str">
        <f>IFERROR(__xludf.DUMMYFUNCTION("""COMPUTED_VALUE"""),"062-4654")</f>
        <v>062-4654</v>
      </c>
      <c r="B2860" s="6" t="str">
        <f>IFERROR(__xludf.DUMMYFUNCTION("""COMPUTED_VALUE"""),"62")</f>
        <v>62</v>
      </c>
      <c r="C2860" s="6" t="str">
        <f>IFERROR(__xludf.DUMMYFUNCTION("""COMPUTED_VALUE"""),"4654")</f>
        <v>4654</v>
      </c>
      <c r="D2860" s="6" t="str">
        <f>IFERROR(__xludf.DUMMYFUNCTION("""COMPUTED_VALUE"""),"Alexander")</f>
        <v>Alexander</v>
      </c>
      <c r="E2860" s="6" t="str">
        <f>IFERROR(__xludf.DUMMYFUNCTION("""COMPUTED_VALUE"""),"")</f>
        <v/>
      </c>
      <c r="F2860" s="6" t="str">
        <f>IFERROR(__xludf.DUMMYFUNCTION("""COMPUTED_VALUE"""),"Palacios")</f>
        <v>Palacios</v>
      </c>
      <c r="G2860" s="6" t="str">
        <f>IFERROR(__xludf.DUMMYFUNCTION("""COMPUTED_VALUE"""),"12/20/2013")</f>
        <v>12/20/2013</v>
      </c>
      <c r="H2860" s="6" t="str">
        <f>IFERROR(__xludf.DUMMYFUNCTION("""COMPUTED_VALUE"""),"male")</f>
        <v>male</v>
      </c>
      <c r="I2860" s="6" t="str">
        <f>IFERROR(__xludf.DUMMYFUNCTION("""COMPUTED_VALUE"""),"Middle School")</f>
        <v>Middle School</v>
      </c>
      <c r="J2860" s="6" t="str">
        <f>IFERROR(__xludf.DUMMYFUNCTION("""COMPUTED_VALUE"""),"6")</f>
        <v>6</v>
      </c>
      <c r="K2860" s="6" t="str">
        <f>IFERROR(__xludf.DUMMYFUNCTION("""COMPUTED_VALUE"""),"alexander.palacios@2hourlearning.com")</f>
        <v>alexander.palacios@2hourlearning.com</v>
      </c>
      <c r="L2860" s="6" t="str">
        <f>IFERROR(__xludf.DUMMYFUNCTION("""COMPUTED_VALUE"""),"LFG Academy")</f>
        <v>LFG Academy</v>
      </c>
      <c r="M2860" s="6" t="str">
        <f>IFERROR(__xludf.DUMMYFUNCTION("""COMPUTED_VALUE"""),"")</f>
        <v/>
      </c>
      <c r="N2860" s="6" t="str">
        <f>IFERROR(__xludf.DUMMYFUNCTION("""COMPUTED_VALUE"""),"")</f>
        <v/>
      </c>
      <c r="O2860" s="87" t="str">
        <f>IFERROR(__xludf.DUMMYFUNCTION("""COMPUTED_VALUE"""),"https://drive.google.com/drive/folders/10T2cTQHqEJZqE-st6uFKPoI?usp=share_link")</f>
        <v>https://drive.google.com/drive/folders/10T2cTQHqEJZqE-st6uFKPoI?usp=share_link</v>
      </c>
      <c r="P2860" s="6" t="str">
        <f>IFERROR(__xludf.DUMMYFUNCTION("""COMPUTED_VALUE"""),"Alexander Palacios")</f>
        <v>Alexander Palacios</v>
      </c>
      <c r="Q2860" s="6" t="str">
        <f>IFERROR(__xludf.DUMMYFUNCTION("""COMPUTED_VALUE"""),"MS")</f>
        <v>MS</v>
      </c>
      <c r="R2860" s="6">
        <f>IFERROR(__xludf.DUMMYFUNCTION("""COMPUTED_VALUE"""),0.0)</f>
        <v>0</v>
      </c>
      <c r="S2860" s="6" t="str">
        <f>IFERROR(__xludf.DUMMYFUNCTION("""COMPUTED_VALUE""")," ")</f>
        <v> </v>
      </c>
      <c r="T2860" s="6" t="str">
        <f>IFERROR(__xludf.DUMMYFUNCTION("""COMPUTED_VALUE"""),"")</f>
        <v/>
      </c>
      <c r="U2860" s="6" t="str">
        <f>IFERROR(__xludf.DUMMYFUNCTION("""COMPUTED_VALUE"""),"6")</f>
        <v>6</v>
      </c>
      <c r="V2860" s="6" t="str">
        <f>IFERROR(__xludf.DUMMYFUNCTION("""COMPUTED_VALUE"""),"English")</f>
        <v>English</v>
      </c>
      <c r="W2860" s="6" t="str">
        <f>IFERROR(__xludf.DUMMYFUNCTION("""COMPUTED_VALUE"""),"[]")</f>
        <v>[]</v>
      </c>
      <c r="X2860" s="6" t="str">
        <f>IFERROR(__xludf.DUMMYFUNCTION("""COMPUTED_VALUE"""),"Pending Review")</f>
        <v>Pending Review</v>
      </c>
    </row>
    <row r="2861">
      <c r="A2861" s="6" t="str">
        <f>IFERROR(__xludf.DUMMYFUNCTION("""COMPUTED_VALUE"""),"062-4655")</f>
        <v>062-4655</v>
      </c>
      <c r="B2861" s="6" t="str">
        <f>IFERROR(__xludf.DUMMYFUNCTION("""COMPUTED_VALUE"""),"62")</f>
        <v>62</v>
      </c>
      <c r="C2861" s="6" t="str">
        <f>IFERROR(__xludf.DUMMYFUNCTION("""COMPUTED_VALUE"""),"4655")</f>
        <v>4655</v>
      </c>
      <c r="D2861" s="6" t="str">
        <f>IFERROR(__xludf.DUMMYFUNCTION("""COMPUTED_VALUE"""),"Nicolas")</f>
        <v>Nicolas</v>
      </c>
      <c r="E2861" s="6" t="str">
        <f>IFERROR(__xludf.DUMMYFUNCTION("""COMPUTED_VALUE"""),"Nico")</f>
        <v>Nico</v>
      </c>
      <c r="F2861" s="6" t="str">
        <f>IFERROR(__xludf.DUMMYFUNCTION("""COMPUTED_VALUE"""),"Sanchez")</f>
        <v>Sanchez</v>
      </c>
      <c r="G2861" s="6" t="str">
        <f>IFERROR(__xludf.DUMMYFUNCTION("""COMPUTED_VALUE"""),"04/28/2016")</f>
        <v>04/28/2016</v>
      </c>
      <c r="H2861" s="6" t="str">
        <f>IFERROR(__xludf.DUMMYFUNCTION("""COMPUTED_VALUE"""),"male")</f>
        <v>male</v>
      </c>
      <c r="I2861" s="6" t="str">
        <f>IFERROR(__xludf.DUMMYFUNCTION("""COMPUTED_VALUE"""),"Level 2")</f>
        <v>Level 2</v>
      </c>
      <c r="J2861" s="6" t="str">
        <f>IFERROR(__xludf.DUMMYFUNCTION("""COMPUTED_VALUE"""),"4")</f>
        <v>4</v>
      </c>
      <c r="K2861" s="6" t="str">
        <f>IFERROR(__xludf.DUMMYFUNCTION("""COMPUTED_VALUE"""),"nico.sanchez@2hourlearning.com")</f>
        <v>nico.sanchez@2hourlearning.com</v>
      </c>
      <c r="L2861" s="6" t="str">
        <f>IFERROR(__xludf.DUMMYFUNCTION("""COMPUTED_VALUE"""),"LFG Academy")</f>
        <v>LFG Academy</v>
      </c>
      <c r="M2861" s="6" t="str">
        <f>IFERROR(__xludf.DUMMYFUNCTION("""COMPUTED_VALUE"""),"")</f>
        <v/>
      </c>
      <c r="N2861" s="6" t="str">
        <f>IFERROR(__xludf.DUMMYFUNCTION("""COMPUTED_VALUE"""),"")</f>
        <v/>
      </c>
      <c r="O2861" s="87" t="str">
        <f>IFERROR(__xludf.DUMMYFUNCTION("""COMPUTED_VALUE"""),"https://drive.google.com/drive/folders/10T2cTQHqEJZqE-st6uFKPoI?usp=share_link")</f>
        <v>https://drive.google.com/drive/folders/10T2cTQHqEJZqE-st6uFKPoI?usp=share_link</v>
      </c>
      <c r="P2861" s="6" t="str">
        <f>IFERROR(__xludf.DUMMYFUNCTION("""COMPUTED_VALUE"""),"Nico Sanchez")</f>
        <v>Nico Sanchez</v>
      </c>
      <c r="Q2861" s="6" t="str">
        <f>IFERROR(__xludf.DUMMYFUNCTION("""COMPUTED_VALUE"""),"L2")</f>
        <v>L2</v>
      </c>
      <c r="R2861" s="6">
        <f>IFERROR(__xludf.DUMMYFUNCTION("""COMPUTED_VALUE"""),2.0)</f>
        <v>2</v>
      </c>
      <c r="S2861" s="6" t="str">
        <f>IFERROR(__xludf.DUMMYFUNCTION("""COMPUTED_VALUE""")," ")</f>
        <v> </v>
      </c>
      <c r="T2861" s="6" t="str">
        <f>IFERROR(__xludf.DUMMYFUNCTION("""COMPUTED_VALUE"""),"")</f>
        <v/>
      </c>
      <c r="U2861" s="6" t="str">
        <f>IFERROR(__xludf.DUMMYFUNCTION("""COMPUTED_VALUE"""),"4")</f>
        <v>4</v>
      </c>
      <c r="V2861" s="6" t="str">
        <f>IFERROR(__xludf.DUMMYFUNCTION("""COMPUTED_VALUE"""),"English")</f>
        <v>English</v>
      </c>
      <c r="W2861" s="6" t="str">
        <f>IFERROR(__xludf.DUMMYFUNCTION("""COMPUTED_VALUE"""),"[]")</f>
        <v>[]</v>
      </c>
      <c r="X2861" s="6" t="str">
        <f>IFERROR(__xludf.DUMMYFUNCTION("""COMPUTED_VALUE"""),"Pending Review")</f>
        <v>Pending Review</v>
      </c>
    </row>
    <row r="2862">
      <c r="A2862" s="6" t="str">
        <f>IFERROR(__xludf.DUMMYFUNCTION("""COMPUTED_VALUE"""),"062-4954")</f>
        <v>062-4954</v>
      </c>
      <c r="B2862" s="6" t="str">
        <f>IFERROR(__xludf.DUMMYFUNCTION("""COMPUTED_VALUE"""),"62")</f>
        <v>62</v>
      </c>
      <c r="C2862" s="6" t="str">
        <f>IFERROR(__xludf.DUMMYFUNCTION("""COMPUTED_VALUE"""),"4954")</f>
        <v>4954</v>
      </c>
      <c r="D2862" s="6" t="str">
        <f>IFERROR(__xludf.DUMMYFUNCTION("""COMPUTED_VALUE"""),"Elizabeth")</f>
        <v>Elizabeth</v>
      </c>
      <c r="E2862" s="6" t="str">
        <f>IFERROR(__xludf.DUMMYFUNCTION("""COMPUTED_VALUE"""),"Lizzy")</f>
        <v>Lizzy</v>
      </c>
      <c r="F2862" s="6" t="str">
        <f>IFERROR(__xludf.DUMMYFUNCTION("""COMPUTED_VALUE"""),"Blue")</f>
        <v>Blue</v>
      </c>
      <c r="G2862" s="6" t="str">
        <f>IFERROR(__xludf.DUMMYFUNCTION("""COMPUTED_VALUE"""),"10/04/2013")</f>
        <v>10/04/2013</v>
      </c>
      <c r="H2862" s="6" t="str">
        <f>IFERROR(__xludf.DUMMYFUNCTION("""COMPUTED_VALUE"""),"female")</f>
        <v>female</v>
      </c>
      <c r="I2862" s="6" t="str">
        <f>IFERROR(__xludf.DUMMYFUNCTION("""COMPUTED_VALUE"""),"Middle School")</f>
        <v>Middle School</v>
      </c>
      <c r="J2862" s="6" t="str">
        <f>IFERROR(__xludf.DUMMYFUNCTION("""COMPUTED_VALUE"""),"6")</f>
        <v>6</v>
      </c>
      <c r="K2862" s="6" t="str">
        <f>IFERROR(__xludf.DUMMYFUNCTION("""COMPUTED_VALUE"""),"elizabeth.blue@2hourlearning.com")</f>
        <v>elizabeth.blue@2hourlearning.com</v>
      </c>
      <c r="L2862" s="6" t="str">
        <f>IFERROR(__xludf.DUMMYFUNCTION("""COMPUTED_VALUE"""),"LFG Academy")</f>
        <v>LFG Academy</v>
      </c>
      <c r="M2862" s="6" t="str">
        <f>IFERROR(__xludf.DUMMYFUNCTION("""COMPUTED_VALUE"""),"")</f>
        <v/>
      </c>
      <c r="N2862" s="6" t="str">
        <f>IFERROR(__xludf.DUMMYFUNCTION("""COMPUTED_VALUE"""),"")</f>
        <v/>
      </c>
      <c r="O2862" s="87" t="str">
        <f>IFERROR(__xludf.DUMMYFUNCTION("""COMPUTED_VALUE"""),"https://drive.google.com/drive/folders/10T2cTQHqEJZqE-st6uFKPoI?usp=share_link")</f>
        <v>https://drive.google.com/drive/folders/10T2cTQHqEJZqE-st6uFKPoI?usp=share_link</v>
      </c>
      <c r="P2862" s="6" t="str">
        <f>IFERROR(__xludf.DUMMYFUNCTION("""COMPUTED_VALUE"""),"Lizzy Blue")</f>
        <v>Lizzy Blue</v>
      </c>
      <c r="Q2862" s="6" t="str">
        <f>IFERROR(__xludf.DUMMYFUNCTION("""COMPUTED_VALUE"""),"MS")</f>
        <v>MS</v>
      </c>
      <c r="R2862" s="6">
        <f>IFERROR(__xludf.DUMMYFUNCTION("""COMPUTED_VALUE"""),0.0)</f>
        <v>0</v>
      </c>
      <c r="S2862" s="6" t="str">
        <f>IFERROR(__xludf.DUMMYFUNCTION("""COMPUTED_VALUE""")," ")</f>
        <v> </v>
      </c>
      <c r="T2862" s="6" t="str">
        <f>IFERROR(__xludf.DUMMYFUNCTION("""COMPUTED_VALUE"""),"")</f>
        <v/>
      </c>
      <c r="U2862" s="6" t="str">
        <f>IFERROR(__xludf.DUMMYFUNCTION("""COMPUTED_VALUE"""),"6")</f>
        <v>6</v>
      </c>
      <c r="V2862" s="6" t="str">
        <f>IFERROR(__xludf.DUMMYFUNCTION("""COMPUTED_VALUE"""),"")</f>
        <v/>
      </c>
      <c r="W2862" s="6" t="str">
        <f>IFERROR(__xludf.DUMMYFUNCTION("""COMPUTED_VALUE"""),"[]")</f>
        <v>[]</v>
      </c>
      <c r="X2862" s="6" t="str">
        <f>IFERROR(__xludf.DUMMYFUNCTION("""COMPUTED_VALUE"""),"Enrolled")</f>
        <v>Enrolled</v>
      </c>
    </row>
    <row r="2863">
      <c r="A2863" s="6" t="str">
        <f>IFERROR(__xludf.DUMMYFUNCTION("""COMPUTED_VALUE"""),"063-4818")</f>
        <v>063-4818</v>
      </c>
      <c r="B2863" s="6" t="str">
        <f>IFERROR(__xludf.DUMMYFUNCTION("""COMPUTED_VALUE"""),"63")</f>
        <v>63</v>
      </c>
      <c r="C2863" s="6" t="str">
        <f>IFERROR(__xludf.DUMMYFUNCTION("""COMPUTED_VALUE"""),"4818")</f>
        <v>4818</v>
      </c>
      <c r="D2863" s="6" t="str">
        <f>IFERROR(__xludf.DUMMYFUNCTION("""COMPUTED_VALUE"""),"Easton")</f>
        <v>Easton</v>
      </c>
      <c r="E2863" s="6" t="str">
        <f>IFERROR(__xludf.DUMMYFUNCTION("""COMPUTED_VALUE"""),"")</f>
        <v/>
      </c>
      <c r="F2863" s="6" t="str">
        <f>IFERROR(__xludf.DUMMYFUNCTION("""COMPUTED_VALUE"""),"Violini Jones")</f>
        <v>Violini Jones</v>
      </c>
      <c r="G2863" s="6" t="str">
        <f>IFERROR(__xludf.DUMMYFUNCTION("""COMPUTED_VALUE"""),"11/08/2014")</f>
        <v>11/08/2014</v>
      </c>
      <c r="H2863" s="6" t="str">
        <f>IFERROR(__xludf.DUMMYFUNCTION("""COMPUTED_VALUE"""),"Self Identify")</f>
        <v>Self Identify</v>
      </c>
      <c r="I2863" s="6" t="str">
        <f>IFERROR(__xludf.DUMMYFUNCTION("""COMPUTED_VALUE"""),"Level 2")</f>
        <v>Level 2</v>
      </c>
      <c r="J2863" s="6" t="str">
        <f>IFERROR(__xludf.DUMMYFUNCTION("""COMPUTED_VALUE"""),"5")</f>
        <v>5</v>
      </c>
      <c r="K2863" s="6" t="str">
        <f>IFERROR(__xludf.DUMMYFUNCTION("""COMPUTED_VALUE"""),"easton.violini.jones@2hourlearning.com")</f>
        <v>easton.violini.jones@2hourlearning.com</v>
      </c>
      <c r="L2863" s="6" t="str">
        <f>IFERROR(__xludf.DUMMYFUNCTION("""COMPUTED_VALUE"""),"Kairos Learning Solutions")</f>
        <v>Kairos Learning Solutions</v>
      </c>
      <c r="M2863" s="6" t="str">
        <f>IFERROR(__xludf.DUMMYFUNCTION("""COMPUTED_VALUE"""),"")</f>
        <v/>
      </c>
      <c r="N2863" s="6" t="str">
        <f>IFERROR(__xludf.DUMMYFUNCTION("""COMPUTED_VALUE"""),"")</f>
        <v/>
      </c>
      <c r="O2863" s="87" t="str">
        <f>IFERROR(__xludf.DUMMYFUNCTION("""COMPUTED_VALUE"""),"https://drive.google.com/drive/folders/10T2cTQHqEJZqE-st6uFKPoI?usp=share_link")</f>
        <v>https://drive.google.com/drive/folders/10T2cTQHqEJZqE-st6uFKPoI?usp=share_link</v>
      </c>
      <c r="P2863" s="6" t="str">
        <f>IFERROR(__xludf.DUMMYFUNCTION("""COMPUTED_VALUE"""),"Easton Violini Jones")</f>
        <v>Easton Violini Jones</v>
      </c>
      <c r="Q2863" s="6" t="str">
        <f>IFERROR(__xludf.DUMMYFUNCTION("""COMPUTED_VALUE"""),"L2")</f>
        <v>L2</v>
      </c>
      <c r="R2863" s="6">
        <f>IFERROR(__xludf.DUMMYFUNCTION("""COMPUTED_VALUE"""),2.0)</f>
        <v>2</v>
      </c>
      <c r="S2863" s="6" t="str">
        <f>IFERROR(__xludf.DUMMYFUNCTION("""COMPUTED_VALUE"""),"Joseph Livingstone")</f>
        <v>Joseph Livingstone</v>
      </c>
      <c r="T2863" s="6" t="str">
        <f>IFERROR(__xludf.DUMMYFUNCTION("""COMPUTED_VALUE"""),"joseph.livingstone@alpha.school")</f>
        <v>joseph.livingstone@alpha.school</v>
      </c>
      <c r="U2863" s="6" t="str">
        <f>IFERROR(__xludf.DUMMYFUNCTION("""COMPUTED_VALUE"""),"5")</f>
        <v>5</v>
      </c>
      <c r="V2863" s="6" t="str">
        <f>IFERROR(__xludf.DUMMYFUNCTION("""COMPUTED_VALUE"""),"")</f>
        <v/>
      </c>
      <c r="W2863" s="6" t="str">
        <f>IFERROR(__xludf.DUMMYFUNCTION("""COMPUTED_VALUE"""),"[]")</f>
        <v>[]</v>
      </c>
      <c r="X2863" s="6" t="str">
        <f>IFERROR(__xludf.DUMMYFUNCTION("""COMPUTED_VALUE"""),"Enrolled")</f>
        <v>Enrolled</v>
      </c>
    </row>
    <row r="2864">
      <c r="A2864" s="6" t="str">
        <f>IFERROR(__xludf.DUMMYFUNCTION("""COMPUTED_VALUE"""),"063-4819")</f>
        <v>063-4819</v>
      </c>
      <c r="B2864" s="6" t="str">
        <f>IFERROR(__xludf.DUMMYFUNCTION("""COMPUTED_VALUE"""),"63")</f>
        <v>63</v>
      </c>
      <c r="C2864" s="6" t="str">
        <f>IFERROR(__xludf.DUMMYFUNCTION("""COMPUTED_VALUE"""),"4819")</f>
        <v>4819</v>
      </c>
      <c r="D2864" s="6" t="str">
        <f>IFERROR(__xludf.DUMMYFUNCTION("""COMPUTED_VALUE"""),"Luca")</f>
        <v>Luca</v>
      </c>
      <c r="E2864" s="6" t="str">
        <f>IFERROR(__xludf.DUMMYFUNCTION("""COMPUTED_VALUE"""),"")</f>
        <v/>
      </c>
      <c r="F2864" s="6" t="str">
        <f>IFERROR(__xludf.DUMMYFUNCTION("""COMPUTED_VALUE"""),"Besaw")</f>
        <v>Besaw</v>
      </c>
      <c r="G2864" s="6" t="str">
        <f>IFERROR(__xludf.DUMMYFUNCTION("""COMPUTED_VALUE"""),"04/18/2016")</f>
        <v>04/18/2016</v>
      </c>
      <c r="H2864" s="6" t="str">
        <f>IFERROR(__xludf.DUMMYFUNCTION("""COMPUTED_VALUE"""),"Self Identify")</f>
        <v>Self Identify</v>
      </c>
      <c r="I2864" s="6" t="str">
        <f>IFERROR(__xludf.DUMMYFUNCTION("""COMPUTED_VALUE"""),"Level 2")</f>
        <v>Level 2</v>
      </c>
      <c r="J2864" s="6" t="str">
        <f>IFERROR(__xludf.DUMMYFUNCTION("""COMPUTED_VALUE"""),"4")</f>
        <v>4</v>
      </c>
      <c r="K2864" s="6" t="str">
        <f>IFERROR(__xludf.DUMMYFUNCTION("""COMPUTED_VALUE"""),"luca.besaw@2hourlearning.com")</f>
        <v>luca.besaw@2hourlearning.com</v>
      </c>
      <c r="L2864" s="6" t="str">
        <f>IFERROR(__xludf.DUMMYFUNCTION("""COMPUTED_VALUE"""),"Kairos Learning Solutions")</f>
        <v>Kairos Learning Solutions</v>
      </c>
      <c r="M2864" s="6" t="str">
        <f>IFERROR(__xludf.DUMMYFUNCTION("""COMPUTED_VALUE"""),"")</f>
        <v/>
      </c>
      <c r="N2864" s="6" t="str">
        <f>IFERROR(__xludf.DUMMYFUNCTION("""COMPUTED_VALUE"""),"")</f>
        <v/>
      </c>
      <c r="O2864" s="87" t="str">
        <f>IFERROR(__xludf.DUMMYFUNCTION("""COMPUTED_VALUE"""),"https://drive.google.com/drive/folders/10T2cTQHqEJZqE-st6uFKPoI?usp=share_link")</f>
        <v>https://drive.google.com/drive/folders/10T2cTQHqEJZqE-st6uFKPoI?usp=share_link</v>
      </c>
      <c r="P2864" s="6" t="str">
        <f>IFERROR(__xludf.DUMMYFUNCTION("""COMPUTED_VALUE"""),"Luca Besaw")</f>
        <v>Luca Besaw</v>
      </c>
      <c r="Q2864" s="6" t="str">
        <f>IFERROR(__xludf.DUMMYFUNCTION("""COMPUTED_VALUE"""),"L2")</f>
        <v>L2</v>
      </c>
      <c r="R2864" s="6">
        <f>IFERROR(__xludf.DUMMYFUNCTION("""COMPUTED_VALUE"""),2.0)</f>
        <v>2</v>
      </c>
      <c r="S2864" s="6" t="str">
        <f>IFERROR(__xludf.DUMMYFUNCTION("""COMPUTED_VALUE"""),"Joseph Livingstone")</f>
        <v>Joseph Livingstone</v>
      </c>
      <c r="T2864" s="6" t="str">
        <f>IFERROR(__xludf.DUMMYFUNCTION("""COMPUTED_VALUE"""),"joseph.livingstone@alpha.school")</f>
        <v>joseph.livingstone@alpha.school</v>
      </c>
      <c r="U2864" s="6" t="str">
        <f>IFERROR(__xludf.DUMMYFUNCTION("""COMPUTED_VALUE"""),"4")</f>
        <v>4</v>
      </c>
      <c r="V2864" s="6" t="str">
        <f>IFERROR(__xludf.DUMMYFUNCTION("""COMPUTED_VALUE"""),"")</f>
        <v/>
      </c>
      <c r="W2864" s="6" t="str">
        <f>IFERROR(__xludf.DUMMYFUNCTION("""COMPUTED_VALUE"""),"[]")</f>
        <v>[]</v>
      </c>
      <c r="X2864" s="6" t="str">
        <f>IFERROR(__xludf.DUMMYFUNCTION("""COMPUTED_VALUE"""),"Enrolled")</f>
        <v>Enrolled</v>
      </c>
    </row>
    <row r="2865">
      <c r="A2865" s="6" t="str">
        <f>IFERROR(__xludf.DUMMYFUNCTION("""COMPUTED_VALUE"""),"063-4820")</f>
        <v>063-4820</v>
      </c>
      <c r="B2865" s="6" t="str">
        <f>IFERROR(__xludf.DUMMYFUNCTION("""COMPUTED_VALUE"""),"63")</f>
        <v>63</v>
      </c>
      <c r="C2865" s="6" t="str">
        <f>IFERROR(__xludf.DUMMYFUNCTION("""COMPUTED_VALUE"""),"4820")</f>
        <v>4820</v>
      </c>
      <c r="D2865" s="6" t="str">
        <f>IFERROR(__xludf.DUMMYFUNCTION("""COMPUTED_VALUE"""),"Sami")</f>
        <v>Sami</v>
      </c>
      <c r="E2865" s="6" t="str">
        <f>IFERROR(__xludf.DUMMYFUNCTION("""COMPUTED_VALUE"""),"")</f>
        <v/>
      </c>
      <c r="F2865" s="6" t="str">
        <f>IFERROR(__xludf.DUMMYFUNCTION("""COMPUTED_VALUE"""),"Lugo")</f>
        <v>Lugo</v>
      </c>
      <c r="G2865" s="6" t="str">
        <f>IFERROR(__xludf.DUMMYFUNCTION("""COMPUTED_VALUE"""),"07/07/2011")</f>
        <v>07/07/2011</v>
      </c>
      <c r="H2865" s="6" t="str">
        <f>IFERROR(__xludf.DUMMYFUNCTION("""COMPUTED_VALUE"""),"Self Identify")</f>
        <v>Self Identify</v>
      </c>
      <c r="I2865" s="6" t="str">
        <f>IFERROR(__xludf.DUMMYFUNCTION("""COMPUTED_VALUE"""),"Middle School")</f>
        <v>Middle School</v>
      </c>
      <c r="J2865" s="6" t="str">
        <f>IFERROR(__xludf.DUMMYFUNCTION("""COMPUTED_VALUE"""),"8")</f>
        <v>8</v>
      </c>
      <c r="K2865" s="6" t="str">
        <f>IFERROR(__xludf.DUMMYFUNCTION("""COMPUTED_VALUE"""),"sami.lugo@2hourlearning.com")</f>
        <v>sami.lugo@2hourlearning.com</v>
      </c>
      <c r="L2865" s="6" t="str">
        <f>IFERROR(__xludf.DUMMYFUNCTION("""COMPUTED_VALUE"""),"Kairos Learning Solutions")</f>
        <v>Kairos Learning Solutions</v>
      </c>
      <c r="M2865" s="6" t="str">
        <f>IFERROR(__xludf.DUMMYFUNCTION("""COMPUTED_VALUE"""),"")</f>
        <v/>
      </c>
      <c r="N2865" s="6" t="str">
        <f>IFERROR(__xludf.DUMMYFUNCTION("""COMPUTED_VALUE"""),"")</f>
        <v/>
      </c>
      <c r="O2865" s="87" t="str">
        <f>IFERROR(__xludf.DUMMYFUNCTION("""COMPUTED_VALUE"""),"https://drive.google.com/drive/folders/10T2cTQHqEJZqE-st6uFKPoI?usp=share_link")</f>
        <v>https://drive.google.com/drive/folders/10T2cTQHqEJZqE-st6uFKPoI?usp=share_link</v>
      </c>
      <c r="P2865" s="6" t="str">
        <f>IFERROR(__xludf.DUMMYFUNCTION("""COMPUTED_VALUE"""),"Sami Lugo")</f>
        <v>Sami Lugo</v>
      </c>
      <c r="Q2865" s="6" t="str">
        <f>IFERROR(__xludf.DUMMYFUNCTION("""COMPUTED_VALUE"""),"MS")</f>
        <v>MS</v>
      </c>
      <c r="R2865" s="6">
        <f>IFERROR(__xludf.DUMMYFUNCTION("""COMPUTED_VALUE"""),0.0)</f>
        <v>0</v>
      </c>
      <c r="S2865" s="6" t="str">
        <f>IFERROR(__xludf.DUMMYFUNCTION("""COMPUTED_VALUE"""),"Joseph Livingstone")</f>
        <v>Joseph Livingstone</v>
      </c>
      <c r="T2865" s="6" t="str">
        <f>IFERROR(__xludf.DUMMYFUNCTION("""COMPUTED_VALUE"""),"joseph.livingstone@alpha.school")</f>
        <v>joseph.livingstone@alpha.school</v>
      </c>
      <c r="U2865" s="6" t="str">
        <f>IFERROR(__xludf.DUMMYFUNCTION("""COMPUTED_VALUE"""),"8")</f>
        <v>8</v>
      </c>
      <c r="V2865" s="6" t="str">
        <f>IFERROR(__xludf.DUMMYFUNCTION("""COMPUTED_VALUE"""),"")</f>
        <v/>
      </c>
      <c r="W2865" s="6" t="str">
        <f>IFERROR(__xludf.DUMMYFUNCTION("""COMPUTED_VALUE"""),"[]")</f>
        <v>[]</v>
      </c>
      <c r="X2865" s="6" t="str">
        <f>IFERROR(__xludf.DUMMYFUNCTION("""COMPUTED_VALUE"""),"Enrolled")</f>
        <v>Enrolled</v>
      </c>
    </row>
    <row r="2866">
      <c r="A2866" s="6" t="str">
        <f>IFERROR(__xludf.DUMMYFUNCTION("""COMPUTED_VALUE"""),"063-4822")</f>
        <v>063-4822</v>
      </c>
      <c r="B2866" s="6" t="str">
        <f>IFERROR(__xludf.DUMMYFUNCTION("""COMPUTED_VALUE"""),"63")</f>
        <v>63</v>
      </c>
      <c r="C2866" s="6" t="str">
        <f>IFERROR(__xludf.DUMMYFUNCTION("""COMPUTED_VALUE"""),"4822")</f>
        <v>4822</v>
      </c>
      <c r="D2866" s="6" t="str">
        <f>IFERROR(__xludf.DUMMYFUNCTION("""COMPUTED_VALUE"""),"Bellamy")</f>
        <v>Bellamy</v>
      </c>
      <c r="E2866" s="6" t="str">
        <f>IFERROR(__xludf.DUMMYFUNCTION("""COMPUTED_VALUE"""),"")</f>
        <v/>
      </c>
      <c r="F2866" s="6" t="str">
        <f>IFERROR(__xludf.DUMMYFUNCTION("""COMPUTED_VALUE"""),"Wilson")</f>
        <v>Wilson</v>
      </c>
      <c r="G2866" s="6" t="str">
        <f>IFERROR(__xludf.DUMMYFUNCTION("""COMPUTED_VALUE"""),"10/13/2015")</f>
        <v>10/13/2015</v>
      </c>
      <c r="H2866" s="6" t="str">
        <f>IFERROR(__xludf.DUMMYFUNCTION("""COMPUTED_VALUE"""),"Self Identify")</f>
        <v>Self Identify</v>
      </c>
      <c r="I2866" s="6" t="str">
        <f>IFERROR(__xludf.DUMMYFUNCTION("""COMPUTED_VALUE"""),"Level 2")</f>
        <v>Level 2</v>
      </c>
      <c r="J2866" s="6" t="str">
        <f>IFERROR(__xludf.DUMMYFUNCTION("""COMPUTED_VALUE"""),"5")</f>
        <v>5</v>
      </c>
      <c r="K2866" s="6" t="str">
        <f>IFERROR(__xludf.DUMMYFUNCTION("""COMPUTED_VALUE"""),"bellamy.wilson@2hourlearning.com")</f>
        <v>bellamy.wilson@2hourlearning.com</v>
      </c>
      <c r="L2866" s="6" t="str">
        <f>IFERROR(__xludf.DUMMYFUNCTION("""COMPUTED_VALUE"""),"Kairos Learning Solutions")</f>
        <v>Kairos Learning Solutions</v>
      </c>
      <c r="M2866" s="6" t="str">
        <f>IFERROR(__xludf.DUMMYFUNCTION("""COMPUTED_VALUE"""),"")</f>
        <v/>
      </c>
      <c r="N2866" s="6" t="str">
        <f>IFERROR(__xludf.DUMMYFUNCTION("""COMPUTED_VALUE"""),"")</f>
        <v/>
      </c>
      <c r="O2866" s="87" t="str">
        <f>IFERROR(__xludf.DUMMYFUNCTION("""COMPUTED_VALUE"""),"https://drive.google.com/drive/folders/10T2cTQHqEJZqE-st6uFKPoI?usp=share_link")</f>
        <v>https://drive.google.com/drive/folders/10T2cTQHqEJZqE-st6uFKPoI?usp=share_link</v>
      </c>
      <c r="P2866" s="6" t="str">
        <f>IFERROR(__xludf.DUMMYFUNCTION("""COMPUTED_VALUE"""),"Bellamy Wilson")</f>
        <v>Bellamy Wilson</v>
      </c>
      <c r="Q2866" s="6" t="str">
        <f>IFERROR(__xludf.DUMMYFUNCTION("""COMPUTED_VALUE"""),"L2")</f>
        <v>L2</v>
      </c>
      <c r="R2866" s="6">
        <f>IFERROR(__xludf.DUMMYFUNCTION("""COMPUTED_VALUE"""),2.0)</f>
        <v>2</v>
      </c>
      <c r="S2866" s="6" t="str">
        <f>IFERROR(__xludf.DUMMYFUNCTION("""COMPUTED_VALUE"""),"Joseph Livingstone")</f>
        <v>Joseph Livingstone</v>
      </c>
      <c r="T2866" s="6" t="str">
        <f>IFERROR(__xludf.DUMMYFUNCTION("""COMPUTED_VALUE"""),"joseph.livingstone@alpha.school")</f>
        <v>joseph.livingstone@alpha.school</v>
      </c>
      <c r="U2866" s="6" t="str">
        <f>IFERROR(__xludf.DUMMYFUNCTION("""COMPUTED_VALUE"""),"5")</f>
        <v>5</v>
      </c>
      <c r="V2866" s="6" t="str">
        <f>IFERROR(__xludf.DUMMYFUNCTION("""COMPUTED_VALUE"""),"")</f>
        <v/>
      </c>
      <c r="W2866" s="6" t="str">
        <f>IFERROR(__xludf.DUMMYFUNCTION("""COMPUTED_VALUE"""),"[]")</f>
        <v>[]</v>
      </c>
      <c r="X2866" s="6" t="str">
        <f>IFERROR(__xludf.DUMMYFUNCTION("""COMPUTED_VALUE"""),"Enrolled")</f>
        <v>Enrolled</v>
      </c>
    </row>
    <row r="2867">
      <c r="A2867" s="6" t="str">
        <f>IFERROR(__xludf.DUMMYFUNCTION("""COMPUTED_VALUE"""),"063-4823")</f>
        <v>063-4823</v>
      </c>
      <c r="B2867" s="6" t="str">
        <f>IFERROR(__xludf.DUMMYFUNCTION("""COMPUTED_VALUE"""),"63")</f>
        <v>63</v>
      </c>
      <c r="C2867" s="6" t="str">
        <f>IFERROR(__xludf.DUMMYFUNCTION("""COMPUTED_VALUE"""),"4823")</f>
        <v>4823</v>
      </c>
      <c r="D2867" s="6" t="str">
        <f>IFERROR(__xludf.DUMMYFUNCTION("""COMPUTED_VALUE"""),"Ben")</f>
        <v>Ben</v>
      </c>
      <c r="E2867" s="6" t="str">
        <f>IFERROR(__xludf.DUMMYFUNCTION("""COMPUTED_VALUE"""),"")</f>
        <v/>
      </c>
      <c r="F2867" s="6" t="str">
        <f>IFERROR(__xludf.DUMMYFUNCTION("""COMPUTED_VALUE"""),"Gutshall")</f>
        <v>Gutshall</v>
      </c>
      <c r="G2867" s="6" t="str">
        <f>IFERROR(__xludf.DUMMYFUNCTION("""COMPUTED_VALUE"""),"02/12/2014")</f>
        <v>02/12/2014</v>
      </c>
      <c r="H2867" s="6" t="str">
        <f>IFERROR(__xludf.DUMMYFUNCTION("""COMPUTED_VALUE"""),"Self Identify")</f>
        <v>Self Identify</v>
      </c>
      <c r="I2867" s="6" t="str">
        <f>IFERROR(__xludf.DUMMYFUNCTION("""COMPUTED_VALUE"""),"Middle School")</f>
        <v>Middle School</v>
      </c>
      <c r="J2867" s="6" t="str">
        <f>IFERROR(__xludf.DUMMYFUNCTION("""COMPUTED_VALUE"""),"6")</f>
        <v>6</v>
      </c>
      <c r="K2867" s="6" t="str">
        <f>IFERROR(__xludf.DUMMYFUNCTION("""COMPUTED_VALUE"""),"ben.gutshall@2hourlearning.com")</f>
        <v>ben.gutshall@2hourlearning.com</v>
      </c>
      <c r="L2867" s="6" t="str">
        <f>IFERROR(__xludf.DUMMYFUNCTION("""COMPUTED_VALUE"""),"Kairos Learning Solutions")</f>
        <v>Kairos Learning Solutions</v>
      </c>
      <c r="M2867" s="6" t="str">
        <f>IFERROR(__xludf.DUMMYFUNCTION("""COMPUTED_VALUE"""),"")</f>
        <v/>
      </c>
      <c r="N2867" s="6" t="str">
        <f>IFERROR(__xludf.DUMMYFUNCTION("""COMPUTED_VALUE"""),"")</f>
        <v/>
      </c>
      <c r="O2867" s="87" t="str">
        <f>IFERROR(__xludf.DUMMYFUNCTION("""COMPUTED_VALUE"""),"https://drive.google.com/drive/folders/10T2cTQHqEJZqE-st6uFKPoI?usp=share_link")</f>
        <v>https://drive.google.com/drive/folders/10T2cTQHqEJZqE-st6uFKPoI?usp=share_link</v>
      </c>
      <c r="P2867" s="6" t="str">
        <f>IFERROR(__xludf.DUMMYFUNCTION("""COMPUTED_VALUE"""),"Ben Gutshall")</f>
        <v>Ben Gutshall</v>
      </c>
      <c r="Q2867" s="6" t="str">
        <f>IFERROR(__xludf.DUMMYFUNCTION("""COMPUTED_VALUE"""),"MS")</f>
        <v>MS</v>
      </c>
      <c r="R2867" s="6">
        <f>IFERROR(__xludf.DUMMYFUNCTION("""COMPUTED_VALUE"""),0.0)</f>
        <v>0</v>
      </c>
      <c r="S2867" s="6" t="str">
        <f>IFERROR(__xludf.DUMMYFUNCTION("""COMPUTED_VALUE"""),"Joseph Livingstone")</f>
        <v>Joseph Livingstone</v>
      </c>
      <c r="T2867" s="6" t="str">
        <f>IFERROR(__xludf.DUMMYFUNCTION("""COMPUTED_VALUE"""),"joseph.livingstone@alpha.school")</f>
        <v>joseph.livingstone@alpha.school</v>
      </c>
      <c r="U2867" s="6" t="str">
        <f>IFERROR(__xludf.DUMMYFUNCTION("""COMPUTED_VALUE"""),"6")</f>
        <v>6</v>
      </c>
      <c r="V2867" s="6" t="str">
        <f>IFERROR(__xludf.DUMMYFUNCTION("""COMPUTED_VALUE"""),"")</f>
        <v/>
      </c>
      <c r="W2867" s="6" t="str">
        <f>IFERROR(__xludf.DUMMYFUNCTION("""COMPUTED_VALUE"""),"[]")</f>
        <v>[]</v>
      </c>
      <c r="X2867" s="6" t="str">
        <f>IFERROR(__xludf.DUMMYFUNCTION("""COMPUTED_VALUE"""),"Enrolled")</f>
        <v>Enrolled</v>
      </c>
    </row>
    <row r="2868">
      <c r="A2868" s="6" t="str">
        <f>IFERROR(__xludf.DUMMYFUNCTION("""COMPUTED_VALUE"""),"063-4824")</f>
        <v>063-4824</v>
      </c>
      <c r="B2868" s="6" t="str">
        <f>IFERROR(__xludf.DUMMYFUNCTION("""COMPUTED_VALUE"""),"63")</f>
        <v>63</v>
      </c>
      <c r="C2868" s="6" t="str">
        <f>IFERROR(__xludf.DUMMYFUNCTION("""COMPUTED_VALUE"""),"4824")</f>
        <v>4824</v>
      </c>
      <c r="D2868" s="6" t="str">
        <f>IFERROR(__xludf.DUMMYFUNCTION("""COMPUTED_VALUE"""),"Tatum")</f>
        <v>Tatum</v>
      </c>
      <c r="E2868" s="6" t="str">
        <f>IFERROR(__xludf.DUMMYFUNCTION("""COMPUTED_VALUE"""),"")</f>
        <v/>
      </c>
      <c r="F2868" s="6" t="str">
        <f>IFERROR(__xludf.DUMMYFUNCTION("""COMPUTED_VALUE"""),"Bakker")</f>
        <v>Bakker</v>
      </c>
      <c r="G2868" s="6" t="str">
        <f>IFERROR(__xludf.DUMMYFUNCTION("""COMPUTED_VALUE"""),"09/28/2010")</f>
        <v>09/28/2010</v>
      </c>
      <c r="H2868" s="6" t="str">
        <f>IFERROR(__xludf.DUMMYFUNCTION("""COMPUTED_VALUE"""),"Self Identify")</f>
        <v>Self Identify</v>
      </c>
      <c r="I2868" s="6" t="str">
        <f>IFERROR(__xludf.DUMMYFUNCTION("""COMPUTED_VALUE"""),"Middle School")</f>
        <v>Middle School</v>
      </c>
      <c r="J2868" s="6" t="str">
        <f>IFERROR(__xludf.DUMMYFUNCTION("""COMPUTED_VALUE"""),"8")</f>
        <v>8</v>
      </c>
      <c r="K2868" s="6" t="str">
        <f>IFERROR(__xludf.DUMMYFUNCTION("""COMPUTED_VALUE"""),"tatum.bakker@2hourlearning.com")</f>
        <v>tatum.bakker@2hourlearning.com</v>
      </c>
      <c r="L2868" s="6" t="str">
        <f>IFERROR(__xludf.DUMMYFUNCTION("""COMPUTED_VALUE"""),"Kairos Learning Solutions")</f>
        <v>Kairos Learning Solutions</v>
      </c>
      <c r="M2868" s="6" t="str">
        <f>IFERROR(__xludf.DUMMYFUNCTION("""COMPUTED_VALUE"""),"")</f>
        <v/>
      </c>
      <c r="N2868" s="6" t="str">
        <f>IFERROR(__xludf.DUMMYFUNCTION("""COMPUTED_VALUE"""),"")</f>
        <v/>
      </c>
      <c r="O2868" s="87" t="str">
        <f>IFERROR(__xludf.DUMMYFUNCTION("""COMPUTED_VALUE"""),"https://drive.google.com/drive/folders/10T2cTQHqEJZqE-st6uFKPoI?usp=share_link")</f>
        <v>https://drive.google.com/drive/folders/10T2cTQHqEJZqE-st6uFKPoI?usp=share_link</v>
      </c>
      <c r="P2868" s="6" t="str">
        <f>IFERROR(__xludf.DUMMYFUNCTION("""COMPUTED_VALUE"""),"Tatum Bakker")</f>
        <v>Tatum Bakker</v>
      </c>
      <c r="Q2868" s="6" t="str">
        <f>IFERROR(__xludf.DUMMYFUNCTION("""COMPUTED_VALUE"""),"MS")</f>
        <v>MS</v>
      </c>
      <c r="R2868" s="6">
        <f>IFERROR(__xludf.DUMMYFUNCTION("""COMPUTED_VALUE"""),0.0)</f>
        <v>0</v>
      </c>
      <c r="S2868" s="6" t="str">
        <f>IFERROR(__xludf.DUMMYFUNCTION("""COMPUTED_VALUE"""),"Joseph Livingstone")</f>
        <v>Joseph Livingstone</v>
      </c>
      <c r="T2868" s="6" t="str">
        <f>IFERROR(__xludf.DUMMYFUNCTION("""COMPUTED_VALUE"""),"joseph.livingstone@alpha.school")</f>
        <v>joseph.livingstone@alpha.school</v>
      </c>
      <c r="U2868" s="6" t="str">
        <f>IFERROR(__xludf.DUMMYFUNCTION("""COMPUTED_VALUE"""),"8")</f>
        <v>8</v>
      </c>
      <c r="V2868" s="6" t="str">
        <f>IFERROR(__xludf.DUMMYFUNCTION("""COMPUTED_VALUE"""),"")</f>
        <v/>
      </c>
      <c r="W2868" s="6" t="str">
        <f>IFERROR(__xludf.DUMMYFUNCTION("""COMPUTED_VALUE"""),"[]")</f>
        <v>[]</v>
      </c>
      <c r="X2868" s="6" t="str">
        <f>IFERROR(__xludf.DUMMYFUNCTION("""COMPUTED_VALUE"""),"Enrolled")</f>
        <v>Enrolled</v>
      </c>
    </row>
    <row r="2869">
      <c r="A2869" s="6" t="str">
        <f>IFERROR(__xludf.DUMMYFUNCTION("""COMPUTED_VALUE"""),"063-4825")</f>
        <v>063-4825</v>
      </c>
      <c r="B2869" s="6" t="str">
        <f>IFERROR(__xludf.DUMMYFUNCTION("""COMPUTED_VALUE"""),"63")</f>
        <v>63</v>
      </c>
      <c r="C2869" s="6" t="str">
        <f>IFERROR(__xludf.DUMMYFUNCTION("""COMPUTED_VALUE"""),"4825")</f>
        <v>4825</v>
      </c>
      <c r="D2869" s="6" t="str">
        <f>IFERROR(__xludf.DUMMYFUNCTION("""COMPUTED_VALUE"""),"Noah")</f>
        <v>Noah</v>
      </c>
      <c r="E2869" s="6" t="str">
        <f>IFERROR(__xludf.DUMMYFUNCTION("""COMPUTED_VALUE"""),"")</f>
        <v/>
      </c>
      <c r="F2869" s="6" t="str">
        <f>IFERROR(__xludf.DUMMYFUNCTION("""COMPUTED_VALUE"""),"Duran")</f>
        <v>Duran</v>
      </c>
      <c r="G2869" s="6" t="str">
        <f>IFERROR(__xludf.DUMMYFUNCTION("""COMPUTED_VALUE"""),"07/15/2013")</f>
        <v>07/15/2013</v>
      </c>
      <c r="H2869" s="6" t="str">
        <f>IFERROR(__xludf.DUMMYFUNCTION("""COMPUTED_VALUE"""),"Self Identify")</f>
        <v>Self Identify</v>
      </c>
      <c r="I2869" s="6" t="str">
        <f>IFERROR(__xludf.DUMMYFUNCTION("""COMPUTED_VALUE"""),"Middle School")</f>
        <v>Middle School</v>
      </c>
      <c r="J2869" s="6" t="str">
        <f>IFERROR(__xludf.DUMMYFUNCTION("""COMPUTED_VALUE"""),"7")</f>
        <v>7</v>
      </c>
      <c r="K2869" s="6" t="str">
        <f>IFERROR(__xludf.DUMMYFUNCTION("""COMPUTED_VALUE"""),"noah.duran@2hourlearning.com")</f>
        <v>noah.duran@2hourlearning.com</v>
      </c>
      <c r="L2869" s="6" t="str">
        <f>IFERROR(__xludf.DUMMYFUNCTION("""COMPUTED_VALUE"""),"Kairos Learning Solutions")</f>
        <v>Kairos Learning Solutions</v>
      </c>
      <c r="M2869" s="6" t="str">
        <f>IFERROR(__xludf.DUMMYFUNCTION("""COMPUTED_VALUE"""),"")</f>
        <v/>
      </c>
      <c r="N2869" s="6" t="str">
        <f>IFERROR(__xludf.DUMMYFUNCTION("""COMPUTED_VALUE"""),"")</f>
        <v/>
      </c>
      <c r="O2869" s="87" t="str">
        <f>IFERROR(__xludf.DUMMYFUNCTION("""COMPUTED_VALUE"""),"https://drive.google.com/drive/folders/10T2cTQHqEJZqE-st6uFKPoI?usp=share_link")</f>
        <v>https://drive.google.com/drive/folders/10T2cTQHqEJZqE-st6uFKPoI?usp=share_link</v>
      </c>
      <c r="P2869" s="6" t="str">
        <f>IFERROR(__xludf.DUMMYFUNCTION("""COMPUTED_VALUE"""),"Noah Duran")</f>
        <v>Noah Duran</v>
      </c>
      <c r="Q2869" s="6" t="str">
        <f>IFERROR(__xludf.DUMMYFUNCTION("""COMPUTED_VALUE"""),"MS")</f>
        <v>MS</v>
      </c>
      <c r="R2869" s="6">
        <f>IFERROR(__xludf.DUMMYFUNCTION("""COMPUTED_VALUE"""),0.0)</f>
        <v>0</v>
      </c>
      <c r="S2869" s="6" t="str">
        <f>IFERROR(__xludf.DUMMYFUNCTION("""COMPUTED_VALUE"""),"Joseph Livingstone")</f>
        <v>Joseph Livingstone</v>
      </c>
      <c r="T2869" s="6" t="str">
        <f>IFERROR(__xludf.DUMMYFUNCTION("""COMPUTED_VALUE"""),"joseph.livingstone@alpha.school")</f>
        <v>joseph.livingstone@alpha.school</v>
      </c>
      <c r="U2869" s="6" t="str">
        <f>IFERROR(__xludf.DUMMYFUNCTION("""COMPUTED_VALUE"""),"7")</f>
        <v>7</v>
      </c>
      <c r="V2869" s="6" t="str">
        <f>IFERROR(__xludf.DUMMYFUNCTION("""COMPUTED_VALUE"""),"")</f>
        <v/>
      </c>
      <c r="W2869" s="6" t="str">
        <f>IFERROR(__xludf.DUMMYFUNCTION("""COMPUTED_VALUE"""),"[]")</f>
        <v>[]</v>
      </c>
      <c r="X2869" s="6" t="str">
        <f>IFERROR(__xludf.DUMMYFUNCTION("""COMPUTED_VALUE"""),"Enrolled")</f>
        <v>Enrolled</v>
      </c>
    </row>
    <row r="2870">
      <c r="A2870" s="6" t="str">
        <f>IFERROR(__xludf.DUMMYFUNCTION("""COMPUTED_VALUE"""),"063-5122")</f>
        <v>063-5122</v>
      </c>
      <c r="B2870" s="6" t="str">
        <f>IFERROR(__xludf.DUMMYFUNCTION("""COMPUTED_VALUE"""),"63")</f>
        <v>63</v>
      </c>
      <c r="C2870" s="6" t="str">
        <f>IFERROR(__xludf.DUMMYFUNCTION("""COMPUTED_VALUE"""),"5122")</f>
        <v>5122</v>
      </c>
      <c r="D2870" s="6" t="str">
        <f>IFERROR(__xludf.DUMMYFUNCTION("""COMPUTED_VALUE"""),"Lyra")</f>
        <v>Lyra</v>
      </c>
      <c r="E2870" s="6" t="str">
        <f>IFERROR(__xludf.DUMMYFUNCTION("""COMPUTED_VALUE"""),"")</f>
        <v/>
      </c>
      <c r="F2870" s="6" t="str">
        <f>IFERROR(__xludf.DUMMYFUNCTION("""COMPUTED_VALUE"""),"Ruddock")</f>
        <v>Ruddock</v>
      </c>
      <c r="G2870" s="6" t="str">
        <f>IFERROR(__xludf.DUMMYFUNCTION("""COMPUTED_VALUE"""),"04/13/2015")</f>
        <v>04/13/2015</v>
      </c>
      <c r="H2870" s="6" t="str">
        <f>IFERROR(__xludf.DUMMYFUNCTION("""COMPUTED_VALUE"""),"female")</f>
        <v>female</v>
      </c>
      <c r="I2870" s="6" t="str">
        <f>IFERROR(__xludf.DUMMYFUNCTION("""COMPUTED_VALUE"""),"Level 2")</f>
        <v>Level 2</v>
      </c>
      <c r="J2870" s="6" t="str">
        <f>IFERROR(__xludf.DUMMYFUNCTION("""COMPUTED_VALUE"""),"5")</f>
        <v>5</v>
      </c>
      <c r="K2870" s="6" t="str">
        <f>IFERROR(__xludf.DUMMYFUNCTION("""COMPUTED_VALUE"""),"lyra.ruddock@2hourlearning.com")</f>
        <v>lyra.ruddock@2hourlearning.com</v>
      </c>
      <c r="L2870" s="6" t="str">
        <f>IFERROR(__xludf.DUMMYFUNCTION("""COMPUTED_VALUE"""),"Kairos Learning Solutions")</f>
        <v>Kairos Learning Solutions</v>
      </c>
      <c r="M2870" s="6" t="str">
        <f>IFERROR(__xludf.DUMMYFUNCTION("""COMPUTED_VALUE"""),"")</f>
        <v/>
      </c>
      <c r="N2870" s="6" t="str">
        <f>IFERROR(__xludf.DUMMYFUNCTION("""COMPUTED_VALUE"""),"")</f>
        <v/>
      </c>
      <c r="O2870" s="87" t="str">
        <f>IFERROR(__xludf.DUMMYFUNCTION("""COMPUTED_VALUE"""),"https://drive.google.com/drive/folders/10T2cTQHqEJZqE-st6uFKPoI?usp=share_link")</f>
        <v>https://drive.google.com/drive/folders/10T2cTQHqEJZqE-st6uFKPoI?usp=share_link</v>
      </c>
      <c r="P2870" s="6" t="str">
        <f>IFERROR(__xludf.DUMMYFUNCTION("""COMPUTED_VALUE"""),"Lyra Ruddock")</f>
        <v>Lyra Ruddock</v>
      </c>
      <c r="Q2870" s="6" t="str">
        <f>IFERROR(__xludf.DUMMYFUNCTION("""COMPUTED_VALUE"""),"L2")</f>
        <v>L2</v>
      </c>
      <c r="R2870" s="6">
        <f>IFERROR(__xludf.DUMMYFUNCTION("""COMPUTED_VALUE"""),2.0)</f>
        <v>2</v>
      </c>
      <c r="S2870" s="6" t="str">
        <f>IFERROR(__xludf.DUMMYFUNCTION("""COMPUTED_VALUE""")," ")</f>
        <v> </v>
      </c>
      <c r="T2870" s="6" t="str">
        <f>IFERROR(__xludf.DUMMYFUNCTION("""COMPUTED_VALUE"""),"")</f>
        <v/>
      </c>
      <c r="U2870" s="6" t="str">
        <f>IFERROR(__xludf.DUMMYFUNCTION("""COMPUTED_VALUE"""),"5")</f>
        <v>5</v>
      </c>
      <c r="V2870" s="6" t="str">
        <f>IFERROR(__xludf.DUMMYFUNCTION("""COMPUTED_VALUE"""),"")</f>
        <v/>
      </c>
      <c r="W2870" s="6" t="str">
        <f>IFERROR(__xludf.DUMMYFUNCTION("""COMPUTED_VALUE"""),"[]")</f>
        <v>[]</v>
      </c>
      <c r="X2870" s="6" t="str">
        <f>IFERROR(__xludf.DUMMYFUNCTION("""COMPUTED_VALUE"""),"Enrolled")</f>
        <v>Enrolled</v>
      </c>
    </row>
    <row r="2871">
      <c r="A2871" s="6" t="str">
        <f>IFERROR(__xludf.DUMMYFUNCTION("""COMPUTED_VALUE"""),"063-5541")</f>
        <v>063-5541</v>
      </c>
      <c r="B2871" s="6" t="str">
        <f>IFERROR(__xludf.DUMMYFUNCTION("""COMPUTED_VALUE"""),"63")</f>
        <v>63</v>
      </c>
      <c r="C2871" s="6" t="str">
        <f>IFERROR(__xludf.DUMMYFUNCTION("""COMPUTED_VALUE"""),"5541")</f>
        <v>5541</v>
      </c>
      <c r="D2871" s="6" t="str">
        <f>IFERROR(__xludf.DUMMYFUNCTION("""COMPUTED_VALUE"""),"Peyton")</f>
        <v>Peyton</v>
      </c>
      <c r="E2871" s="6" t="str">
        <f>IFERROR(__xludf.DUMMYFUNCTION("""COMPUTED_VALUE"""),"")</f>
        <v/>
      </c>
      <c r="F2871" s="6" t="str">
        <f>IFERROR(__xludf.DUMMYFUNCTION("""COMPUTED_VALUE"""),"Ruddock")</f>
        <v>Ruddock</v>
      </c>
      <c r="G2871" s="6" t="str">
        <f>IFERROR(__xludf.DUMMYFUNCTION("""COMPUTED_VALUE"""),"06/06/2013")</f>
        <v>06/06/2013</v>
      </c>
      <c r="H2871" s="6" t="str">
        <f>IFERROR(__xludf.DUMMYFUNCTION("""COMPUTED_VALUE"""),"female")</f>
        <v>female</v>
      </c>
      <c r="I2871" s="6" t="str">
        <f>IFERROR(__xludf.DUMMYFUNCTION("""COMPUTED_VALUE"""),"Middle School")</f>
        <v>Middle School</v>
      </c>
      <c r="J2871" s="6" t="str">
        <f>IFERROR(__xludf.DUMMYFUNCTION("""COMPUTED_VALUE"""),"7")</f>
        <v>7</v>
      </c>
      <c r="K2871" s="6" t="str">
        <f>IFERROR(__xludf.DUMMYFUNCTION("""COMPUTED_VALUE"""),"peyton.ruddock@2hourlearning.com")</f>
        <v>peyton.ruddock@2hourlearning.com</v>
      </c>
      <c r="L2871" s="6" t="str">
        <f>IFERROR(__xludf.DUMMYFUNCTION("""COMPUTED_VALUE"""),"Kairos Learning Solutions")</f>
        <v>Kairos Learning Solutions</v>
      </c>
      <c r="M2871" s="6" t="str">
        <f>IFERROR(__xludf.DUMMYFUNCTION("""COMPUTED_VALUE"""),"")</f>
        <v/>
      </c>
      <c r="N2871" s="6" t="str">
        <f>IFERROR(__xludf.DUMMYFUNCTION("""COMPUTED_VALUE"""),"")</f>
        <v/>
      </c>
      <c r="O2871" s="87" t="str">
        <f>IFERROR(__xludf.DUMMYFUNCTION("""COMPUTED_VALUE"""),"https://drive.google.com/drive/folders/10T2cTQHqEJZqE-st6uFKPoI?usp=share_link")</f>
        <v>https://drive.google.com/drive/folders/10T2cTQHqEJZqE-st6uFKPoI?usp=share_link</v>
      </c>
      <c r="P2871" s="6" t="str">
        <f>IFERROR(__xludf.DUMMYFUNCTION("""COMPUTED_VALUE"""),"Peyton Ruddock")</f>
        <v>Peyton Ruddock</v>
      </c>
      <c r="Q2871" s="6" t="str">
        <f>IFERROR(__xludf.DUMMYFUNCTION("""COMPUTED_VALUE"""),"MS")</f>
        <v>MS</v>
      </c>
      <c r="R2871" s="6">
        <f>IFERROR(__xludf.DUMMYFUNCTION("""COMPUTED_VALUE"""),0.0)</f>
        <v>0</v>
      </c>
      <c r="S2871" s="6" t="str">
        <f>IFERROR(__xludf.DUMMYFUNCTION("""COMPUTED_VALUE""")," ")</f>
        <v> </v>
      </c>
      <c r="T2871" s="6" t="str">
        <f>IFERROR(__xludf.DUMMYFUNCTION("""COMPUTED_VALUE"""),"")</f>
        <v/>
      </c>
      <c r="U2871" s="6" t="str">
        <f>IFERROR(__xludf.DUMMYFUNCTION("""COMPUTED_VALUE"""),"7")</f>
        <v>7</v>
      </c>
      <c r="V2871" s="6" t="str">
        <f>IFERROR(__xludf.DUMMYFUNCTION("""COMPUTED_VALUE"""),"")</f>
        <v/>
      </c>
      <c r="W2871" s="6" t="str">
        <f>IFERROR(__xludf.DUMMYFUNCTION("""COMPUTED_VALUE"""),"[]")</f>
        <v>[]</v>
      </c>
      <c r="X2871" s="6" t="str">
        <f>IFERROR(__xludf.DUMMYFUNCTION("""COMPUTED_VALUE"""),"Enrolled")</f>
        <v>Enrolled</v>
      </c>
    </row>
    <row r="2872">
      <c r="A2872" s="6" t="str">
        <f>IFERROR(__xludf.DUMMYFUNCTION("""COMPUTED_VALUE"""),"063-8197")</f>
        <v>063-8197</v>
      </c>
      <c r="B2872" s="6" t="str">
        <f>IFERROR(__xludf.DUMMYFUNCTION("""COMPUTED_VALUE"""),"63")</f>
        <v>63</v>
      </c>
      <c r="C2872" s="6" t="str">
        <f>IFERROR(__xludf.DUMMYFUNCTION("""COMPUTED_VALUE"""),"8197")</f>
        <v>8197</v>
      </c>
      <c r="D2872" s="6" t="str">
        <f>IFERROR(__xludf.DUMMYFUNCTION("""COMPUTED_VALUE"""),"Brielle")</f>
        <v>Brielle</v>
      </c>
      <c r="E2872" s="6" t="str">
        <f>IFERROR(__xludf.DUMMYFUNCTION("""COMPUTED_VALUE"""),"")</f>
        <v/>
      </c>
      <c r="F2872" s="6" t="str">
        <f>IFERROR(__xludf.DUMMYFUNCTION("""COMPUTED_VALUE"""),"Taylor")</f>
        <v>Taylor</v>
      </c>
      <c r="G2872" s="6" t="str">
        <f>IFERROR(__xludf.DUMMYFUNCTION("""COMPUTED_VALUE"""),"07/02/2013")</f>
        <v>07/02/2013</v>
      </c>
      <c r="H2872" s="6" t="str">
        <f>IFERROR(__xludf.DUMMYFUNCTION("""COMPUTED_VALUE"""),"female")</f>
        <v>female</v>
      </c>
      <c r="I2872" s="6" t="str">
        <f>IFERROR(__xludf.DUMMYFUNCTION("""COMPUTED_VALUE"""),"Middle School")</f>
        <v>Middle School</v>
      </c>
      <c r="J2872" s="6" t="str">
        <f>IFERROR(__xludf.DUMMYFUNCTION("""COMPUTED_VALUE"""),"7")</f>
        <v>7</v>
      </c>
      <c r="K2872" s="6" t="str">
        <f>IFERROR(__xludf.DUMMYFUNCTION("""COMPUTED_VALUE"""),"brielle.taylor@2hourlearning.com")</f>
        <v>brielle.taylor@2hourlearning.com</v>
      </c>
      <c r="L2872" s="6" t="str">
        <f>IFERROR(__xludf.DUMMYFUNCTION("""COMPUTED_VALUE"""),"Kairos Learning Solutions")</f>
        <v>Kairos Learning Solutions</v>
      </c>
      <c r="M2872" s="6" t="str">
        <f>IFERROR(__xludf.DUMMYFUNCTION("""COMPUTED_VALUE"""),"")</f>
        <v/>
      </c>
      <c r="N2872" s="6" t="str">
        <f>IFERROR(__xludf.DUMMYFUNCTION("""COMPUTED_VALUE"""),"")</f>
        <v/>
      </c>
      <c r="O2872" s="87" t="str">
        <f>IFERROR(__xludf.DUMMYFUNCTION("""COMPUTED_VALUE"""),"https://drive.google.com/drive/folders/10T2cTQHqEJZqE-st6uFKPoI?usp=share_link")</f>
        <v>https://drive.google.com/drive/folders/10T2cTQHqEJZqE-st6uFKPoI?usp=share_link</v>
      </c>
      <c r="P2872" s="6" t="str">
        <f>IFERROR(__xludf.DUMMYFUNCTION("""COMPUTED_VALUE"""),"Brielle Taylor")</f>
        <v>Brielle Taylor</v>
      </c>
      <c r="Q2872" s="6" t="str">
        <f>IFERROR(__xludf.DUMMYFUNCTION("""COMPUTED_VALUE"""),"MS")</f>
        <v>MS</v>
      </c>
      <c r="R2872" s="6">
        <f>IFERROR(__xludf.DUMMYFUNCTION("""COMPUTED_VALUE"""),0.0)</f>
        <v>0</v>
      </c>
      <c r="S2872" s="6" t="str">
        <f>IFERROR(__xludf.DUMMYFUNCTION("""COMPUTED_VALUE"""),"Joseph Livingstone")</f>
        <v>Joseph Livingstone</v>
      </c>
      <c r="T2872" s="6" t="str">
        <f>IFERROR(__xludf.DUMMYFUNCTION("""COMPUTED_VALUE"""),"joseph.livingstone@alpha.school")</f>
        <v>joseph.livingstone@alpha.school</v>
      </c>
      <c r="U2872" s="6" t="str">
        <f>IFERROR(__xludf.DUMMYFUNCTION("""COMPUTED_VALUE"""),"7")</f>
        <v>7</v>
      </c>
      <c r="V2872" s="6" t="str">
        <f>IFERROR(__xludf.DUMMYFUNCTION("""COMPUTED_VALUE"""),"English")</f>
        <v>English</v>
      </c>
      <c r="W2872" s="6" t="str">
        <f>IFERROR(__xludf.DUMMYFUNCTION("""COMPUTED_VALUE"""),"[]")</f>
        <v>[]</v>
      </c>
      <c r="X2872" s="6" t="str">
        <f>IFERROR(__xludf.DUMMYFUNCTION("""COMPUTED_VALUE"""),"Enrolled")</f>
        <v>Enrolled</v>
      </c>
    </row>
    <row r="2873">
      <c r="A2873" s="6" t="str">
        <f>IFERROR(__xludf.DUMMYFUNCTION("""COMPUTED_VALUE"""),"064-10450")</f>
        <v>064-10450</v>
      </c>
      <c r="B2873" s="6" t="str">
        <f>IFERROR(__xludf.DUMMYFUNCTION("""COMPUTED_VALUE"""),"64")</f>
        <v>64</v>
      </c>
      <c r="C2873" s="6" t="str">
        <f>IFERROR(__xludf.DUMMYFUNCTION("""COMPUTED_VALUE"""),"10450")</f>
        <v>10450</v>
      </c>
      <c r="D2873" s="6" t="str">
        <f>IFERROR(__xludf.DUMMYFUNCTION("""COMPUTED_VALUE"""),"Evelyn")</f>
        <v>Evelyn</v>
      </c>
      <c r="E2873" s="6" t="str">
        <f>IFERROR(__xludf.DUMMYFUNCTION("""COMPUTED_VALUE"""),"")</f>
        <v/>
      </c>
      <c r="F2873" s="6" t="str">
        <f>IFERROR(__xludf.DUMMYFUNCTION("""COMPUTED_VALUE"""),"Soto-Lira")</f>
        <v>Soto-Lira</v>
      </c>
      <c r="G2873" s="6" t="str">
        <f>IFERROR(__xludf.DUMMYFUNCTION("""COMPUTED_VALUE"""),"08/28/2015")</f>
        <v>08/28/2015</v>
      </c>
      <c r="H2873" s="6" t="str">
        <f>IFERROR(__xludf.DUMMYFUNCTION("""COMPUTED_VALUE"""),"female")</f>
        <v>female</v>
      </c>
      <c r="I2873" s="6" t="str">
        <f>IFERROR(__xludf.DUMMYFUNCTION("""COMPUTED_VALUE"""),"Level 2")</f>
        <v>Level 2</v>
      </c>
      <c r="J2873" s="6" t="str">
        <f>IFERROR(__xludf.DUMMYFUNCTION("""COMPUTED_VALUE"""),"5")</f>
        <v>5</v>
      </c>
      <c r="K2873" s="6" t="str">
        <f>IFERROR(__xludf.DUMMYFUNCTION("""COMPUTED_VALUE"""),"evelyn_sotolira@stu.ortrail.k12.or.us")</f>
        <v>evelyn_sotolira@stu.ortrail.k12.or.us</v>
      </c>
      <c r="L2873" s="6" t="str">
        <f>IFERROR(__xludf.DUMMYFUNCTION("""COMPUTED_VALUE"""),"Oregon Trail School District 46")</f>
        <v>Oregon Trail School District 46</v>
      </c>
      <c r="M2873" s="6" t="str">
        <f>IFERROR(__xludf.DUMMYFUNCTION("""COMPUTED_VALUE"""),"")</f>
        <v/>
      </c>
      <c r="N2873" s="6" t="str">
        <f>IFERROR(__xludf.DUMMYFUNCTION("""COMPUTED_VALUE"""),"")</f>
        <v/>
      </c>
      <c r="O2873" s="87" t="str">
        <f>IFERROR(__xludf.DUMMYFUNCTION("""COMPUTED_VALUE"""),"https://drive.google.com/drive/folders/10T2cTQHqEJZqE-st6uFKPoI?usp=share_link")</f>
        <v>https://drive.google.com/drive/folders/10T2cTQHqEJZqE-st6uFKPoI?usp=share_link</v>
      </c>
      <c r="P2873" s="6" t="str">
        <f>IFERROR(__xludf.DUMMYFUNCTION("""COMPUTED_VALUE"""),"Evelyn Soto-Lira")</f>
        <v>Evelyn Soto-Lira</v>
      </c>
      <c r="Q2873" s="6" t="str">
        <f>IFERROR(__xludf.DUMMYFUNCTION("""COMPUTED_VALUE"""),"L2")</f>
        <v>L2</v>
      </c>
      <c r="R2873" s="6">
        <f>IFERROR(__xludf.DUMMYFUNCTION("""COMPUTED_VALUE"""),2.0)</f>
        <v>2</v>
      </c>
      <c r="S2873" s="6" t="str">
        <f>IFERROR(__xludf.DUMMYFUNCTION("""COMPUTED_VALUE""")," ")</f>
        <v> </v>
      </c>
      <c r="T2873" s="6" t="str">
        <f>IFERROR(__xludf.DUMMYFUNCTION("""COMPUTED_VALUE"""),"")</f>
        <v/>
      </c>
      <c r="U2873" s="6" t="str">
        <f>IFERROR(__xludf.DUMMYFUNCTION("""COMPUTED_VALUE"""),"5")</f>
        <v>5</v>
      </c>
      <c r="V2873" s="6" t="str">
        <f>IFERROR(__xludf.DUMMYFUNCTION("""COMPUTED_VALUE"""),"")</f>
        <v/>
      </c>
      <c r="W2873" s="6" t="str">
        <f>IFERROR(__xludf.DUMMYFUNCTION("""COMPUTED_VALUE"""),"[]")</f>
        <v>[]</v>
      </c>
      <c r="X2873" s="6" t="str">
        <f>IFERROR(__xludf.DUMMYFUNCTION("""COMPUTED_VALUE"""),"Enrolled")</f>
        <v>Enrolled</v>
      </c>
    </row>
    <row r="2874">
      <c r="A2874" s="6" t="str">
        <f>IFERROR(__xludf.DUMMYFUNCTION("""COMPUTED_VALUE"""),"064-10882")</f>
        <v>064-10882</v>
      </c>
      <c r="B2874" s="6" t="str">
        <f>IFERROR(__xludf.DUMMYFUNCTION("""COMPUTED_VALUE"""),"64")</f>
        <v>64</v>
      </c>
      <c r="C2874" s="6" t="str">
        <f>IFERROR(__xludf.DUMMYFUNCTION("""COMPUTED_VALUE"""),"10882")</f>
        <v>10882</v>
      </c>
      <c r="D2874" s="6" t="str">
        <f>IFERROR(__xludf.DUMMYFUNCTION("""COMPUTED_VALUE"""),"Angelo")</f>
        <v>Angelo</v>
      </c>
      <c r="E2874" s="6" t="str">
        <f>IFERROR(__xludf.DUMMYFUNCTION("""COMPUTED_VALUE"""),"")</f>
        <v/>
      </c>
      <c r="F2874" s="6" t="str">
        <f>IFERROR(__xludf.DUMMYFUNCTION("""COMPUTED_VALUE"""),"Lucero")</f>
        <v>Lucero</v>
      </c>
      <c r="G2874" s="6" t="str">
        <f>IFERROR(__xludf.DUMMYFUNCTION("""COMPUTED_VALUE"""),"11/17/2011")</f>
        <v>11/17/2011</v>
      </c>
      <c r="H2874" s="6" t="str">
        <f>IFERROR(__xludf.DUMMYFUNCTION("""COMPUTED_VALUE"""),"male")</f>
        <v>male</v>
      </c>
      <c r="I2874" s="6" t="str">
        <f>IFERROR(__xludf.DUMMYFUNCTION("""COMPUTED_VALUE"""),"Middle School")</f>
        <v>Middle School</v>
      </c>
      <c r="J2874" s="6" t="str">
        <f>IFERROR(__xludf.DUMMYFUNCTION("""COMPUTED_VALUE"""),"8")</f>
        <v>8</v>
      </c>
      <c r="K2874" s="6" t="str">
        <f>IFERROR(__xludf.DUMMYFUNCTION("""COMPUTED_VALUE"""),"angelo_lucero@stu.ortrail.k12.or.us")</f>
        <v>angelo_lucero@stu.ortrail.k12.or.us</v>
      </c>
      <c r="L2874" s="6" t="str">
        <f>IFERROR(__xludf.DUMMYFUNCTION("""COMPUTED_VALUE"""),"Oregon Trail School District 46")</f>
        <v>Oregon Trail School District 46</v>
      </c>
      <c r="M2874" s="6" t="str">
        <f>IFERROR(__xludf.DUMMYFUNCTION("""COMPUTED_VALUE"""),"")</f>
        <v/>
      </c>
      <c r="N2874" s="6" t="str">
        <f>IFERROR(__xludf.DUMMYFUNCTION("""COMPUTED_VALUE"""),"")</f>
        <v/>
      </c>
      <c r="O2874" s="87" t="str">
        <f>IFERROR(__xludf.DUMMYFUNCTION("""COMPUTED_VALUE"""),"https://drive.google.com/drive/folders/10T2cTQHqEJZqE-st6uFKPoI?usp=share_link")</f>
        <v>https://drive.google.com/drive/folders/10T2cTQHqEJZqE-st6uFKPoI?usp=share_link</v>
      </c>
      <c r="P2874" s="6" t="str">
        <f>IFERROR(__xludf.DUMMYFUNCTION("""COMPUTED_VALUE"""),"Angelo Lucero")</f>
        <v>Angelo Lucero</v>
      </c>
      <c r="Q2874" s="6" t="str">
        <f>IFERROR(__xludf.DUMMYFUNCTION("""COMPUTED_VALUE"""),"MS")</f>
        <v>MS</v>
      </c>
      <c r="R2874" s="6">
        <f>IFERROR(__xludf.DUMMYFUNCTION("""COMPUTED_VALUE"""),0.0)</f>
        <v>0</v>
      </c>
      <c r="S2874" s="6" t="str">
        <f>IFERROR(__xludf.DUMMYFUNCTION("""COMPUTED_VALUE"""),"Amanda Bruce")</f>
        <v>Amanda Bruce</v>
      </c>
      <c r="T2874" s="6" t="str">
        <f>IFERROR(__xludf.DUMMYFUNCTION("""COMPUTED_VALUE"""),"amanda.bruce@ortrail.k12.or.us")</f>
        <v>amanda.bruce@ortrail.k12.or.us</v>
      </c>
      <c r="U2874" s="6" t="str">
        <f>IFERROR(__xludf.DUMMYFUNCTION("""COMPUTED_VALUE"""),"8")</f>
        <v>8</v>
      </c>
      <c r="V2874" s="6" t="str">
        <f>IFERROR(__xludf.DUMMYFUNCTION("""COMPUTED_VALUE"""),"")</f>
        <v/>
      </c>
      <c r="W2874" s="6" t="str">
        <f>IFERROR(__xludf.DUMMYFUNCTION("""COMPUTED_VALUE"""),"[]")</f>
        <v>[]</v>
      </c>
      <c r="X2874" s="6" t="str">
        <f>IFERROR(__xludf.DUMMYFUNCTION("""COMPUTED_VALUE"""),"Enrolled")</f>
        <v>Enrolled</v>
      </c>
    </row>
    <row r="2875">
      <c r="A2875" s="6" t="str">
        <f>IFERROR(__xludf.DUMMYFUNCTION("""COMPUTED_VALUE"""),"064-10884")</f>
        <v>064-10884</v>
      </c>
      <c r="B2875" s="6" t="str">
        <f>IFERROR(__xludf.DUMMYFUNCTION("""COMPUTED_VALUE"""),"64")</f>
        <v>64</v>
      </c>
      <c r="C2875" s="6" t="str">
        <f>IFERROR(__xludf.DUMMYFUNCTION("""COMPUTED_VALUE"""),"10884")</f>
        <v>10884</v>
      </c>
      <c r="D2875" s="6" t="str">
        <f>IFERROR(__xludf.DUMMYFUNCTION("""COMPUTED_VALUE"""),"Mariana")</f>
        <v>Mariana</v>
      </c>
      <c r="E2875" s="6" t="str">
        <f>IFERROR(__xludf.DUMMYFUNCTION("""COMPUTED_VALUE"""),"")</f>
        <v/>
      </c>
      <c r="F2875" s="6" t="str">
        <f>IFERROR(__xludf.DUMMYFUNCTION("""COMPUTED_VALUE"""),"Dzib-Salgado")</f>
        <v>Dzib-Salgado</v>
      </c>
      <c r="G2875" s="6" t="str">
        <f>IFERROR(__xludf.DUMMYFUNCTION("""COMPUTED_VALUE"""),"11/07/2011")</f>
        <v>11/07/2011</v>
      </c>
      <c r="H2875" s="6" t="str">
        <f>IFERROR(__xludf.DUMMYFUNCTION("""COMPUTED_VALUE"""),"Self Identify")</f>
        <v>Self Identify</v>
      </c>
      <c r="I2875" s="6" t="str">
        <f>IFERROR(__xludf.DUMMYFUNCTION("""COMPUTED_VALUE"""),"Middle School")</f>
        <v>Middle School</v>
      </c>
      <c r="J2875" s="6" t="str">
        <f>IFERROR(__xludf.DUMMYFUNCTION("""COMPUTED_VALUE"""),"8")</f>
        <v>8</v>
      </c>
      <c r="K2875" s="6" t="str">
        <f>IFERROR(__xludf.DUMMYFUNCTION("""COMPUTED_VALUE"""),"mariana_dzibsalgado@stu.ortrail.k12.or.us")</f>
        <v>mariana_dzibsalgado@stu.ortrail.k12.or.us</v>
      </c>
      <c r="L2875" s="6" t="str">
        <f>IFERROR(__xludf.DUMMYFUNCTION("""COMPUTED_VALUE"""),"Oregon Trail School District 46")</f>
        <v>Oregon Trail School District 46</v>
      </c>
      <c r="M2875" s="6" t="str">
        <f>IFERROR(__xludf.DUMMYFUNCTION("""COMPUTED_VALUE"""),"")</f>
        <v/>
      </c>
      <c r="N2875" s="6" t="str">
        <f>IFERROR(__xludf.DUMMYFUNCTION("""COMPUTED_VALUE"""),"")</f>
        <v/>
      </c>
      <c r="O2875" s="87" t="str">
        <f>IFERROR(__xludf.DUMMYFUNCTION("""COMPUTED_VALUE"""),"https://drive.google.com/drive/folders/10T2cTQHqEJZqE-st6uFKPoI?usp=share_link")</f>
        <v>https://drive.google.com/drive/folders/10T2cTQHqEJZqE-st6uFKPoI?usp=share_link</v>
      </c>
      <c r="P2875" s="6" t="str">
        <f>IFERROR(__xludf.DUMMYFUNCTION("""COMPUTED_VALUE"""),"Mariana Dzib-Salgado")</f>
        <v>Mariana Dzib-Salgado</v>
      </c>
      <c r="Q2875" s="6" t="str">
        <f>IFERROR(__xludf.DUMMYFUNCTION("""COMPUTED_VALUE"""),"MS")</f>
        <v>MS</v>
      </c>
      <c r="R2875" s="6">
        <f>IFERROR(__xludf.DUMMYFUNCTION("""COMPUTED_VALUE"""),0.0)</f>
        <v>0</v>
      </c>
      <c r="S2875" s="6" t="str">
        <f>IFERROR(__xludf.DUMMYFUNCTION("""COMPUTED_VALUE""")," ")</f>
        <v> </v>
      </c>
      <c r="T2875" s="6" t="str">
        <f>IFERROR(__xludf.DUMMYFUNCTION("""COMPUTED_VALUE"""),"")</f>
        <v/>
      </c>
      <c r="U2875" s="6" t="str">
        <f>IFERROR(__xludf.DUMMYFUNCTION("""COMPUTED_VALUE"""),"8")</f>
        <v>8</v>
      </c>
      <c r="V2875" s="6" t="str">
        <f>IFERROR(__xludf.DUMMYFUNCTION("""COMPUTED_VALUE"""),"")</f>
        <v/>
      </c>
      <c r="W2875" s="6" t="str">
        <f>IFERROR(__xludf.DUMMYFUNCTION("""COMPUTED_VALUE"""),"[]")</f>
        <v>[]</v>
      </c>
      <c r="X2875" s="6" t="str">
        <f>IFERROR(__xludf.DUMMYFUNCTION("""COMPUTED_VALUE"""),"Enrolled")</f>
        <v>Enrolled</v>
      </c>
    </row>
    <row r="2876">
      <c r="A2876" s="6" t="str">
        <f>IFERROR(__xludf.DUMMYFUNCTION("""COMPUTED_VALUE"""),"064-10886")</f>
        <v>064-10886</v>
      </c>
      <c r="B2876" s="6" t="str">
        <f>IFERROR(__xludf.DUMMYFUNCTION("""COMPUTED_VALUE"""),"64")</f>
        <v>64</v>
      </c>
      <c r="C2876" s="6" t="str">
        <f>IFERROR(__xludf.DUMMYFUNCTION("""COMPUTED_VALUE"""),"10886")</f>
        <v>10886</v>
      </c>
      <c r="D2876" s="6" t="str">
        <f>IFERROR(__xludf.DUMMYFUNCTION("""COMPUTED_VALUE"""),"Elias")</f>
        <v>Elias</v>
      </c>
      <c r="E2876" s="6" t="str">
        <f>IFERROR(__xludf.DUMMYFUNCTION("""COMPUTED_VALUE"""),"")</f>
        <v/>
      </c>
      <c r="F2876" s="6" t="str">
        <f>IFERROR(__xludf.DUMMYFUNCTION("""COMPUTED_VALUE"""),"Dzib Salgado")</f>
        <v>Dzib Salgado</v>
      </c>
      <c r="G2876" s="6" t="str">
        <f>IFERROR(__xludf.DUMMYFUNCTION("""COMPUTED_VALUE"""),"05/29/2017")</f>
        <v>05/29/2017</v>
      </c>
      <c r="H2876" s="6" t="str">
        <f>IFERROR(__xludf.DUMMYFUNCTION("""COMPUTED_VALUE"""),"Self Identify")</f>
        <v>Self Identify</v>
      </c>
      <c r="I2876" s="6" t="str">
        <f>IFERROR(__xludf.DUMMYFUNCTION("""COMPUTED_VALUE"""),"Level 1")</f>
        <v>Level 1</v>
      </c>
      <c r="J2876" s="6" t="str">
        <f>IFERROR(__xludf.DUMMYFUNCTION("""COMPUTED_VALUE"""),"3")</f>
        <v>3</v>
      </c>
      <c r="K2876" s="6" t="str">
        <f>IFERROR(__xludf.DUMMYFUNCTION("""COMPUTED_VALUE"""),"elias_dzibsalgado@stu.ortrail.k12.or.us")</f>
        <v>elias_dzibsalgado@stu.ortrail.k12.or.us</v>
      </c>
      <c r="L2876" s="6" t="str">
        <f>IFERROR(__xludf.DUMMYFUNCTION("""COMPUTED_VALUE"""),"Oregon Trail School District 46")</f>
        <v>Oregon Trail School District 46</v>
      </c>
      <c r="M2876" s="6" t="str">
        <f>IFERROR(__xludf.DUMMYFUNCTION("""COMPUTED_VALUE"""),"")</f>
        <v/>
      </c>
      <c r="N2876" s="6" t="str">
        <f>IFERROR(__xludf.DUMMYFUNCTION("""COMPUTED_VALUE"""),"")</f>
        <v/>
      </c>
      <c r="O2876" s="87" t="str">
        <f>IFERROR(__xludf.DUMMYFUNCTION("""COMPUTED_VALUE"""),"https://drive.google.com/drive/folders/10T2cTQHqEJZqE-st6uFKPoI?usp=share_link")</f>
        <v>https://drive.google.com/drive/folders/10T2cTQHqEJZqE-st6uFKPoI?usp=share_link</v>
      </c>
      <c r="P2876" s="6" t="str">
        <f>IFERROR(__xludf.DUMMYFUNCTION("""COMPUTED_VALUE"""),"Elias Dzib Salgado")</f>
        <v>Elias Dzib Salgado</v>
      </c>
      <c r="Q2876" s="6" t="str">
        <f>IFERROR(__xludf.DUMMYFUNCTION("""COMPUTED_VALUE"""),"L1")</f>
        <v>L1</v>
      </c>
      <c r="R2876" s="6">
        <f>IFERROR(__xludf.DUMMYFUNCTION("""COMPUTED_VALUE"""),1.0)</f>
        <v>1</v>
      </c>
      <c r="S2876" s="6" t="str">
        <f>IFERROR(__xludf.DUMMYFUNCTION("""COMPUTED_VALUE""")," ")</f>
        <v> </v>
      </c>
      <c r="T2876" s="6" t="str">
        <f>IFERROR(__xludf.DUMMYFUNCTION("""COMPUTED_VALUE"""),"")</f>
        <v/>
      </c>
      <c r="U2876" s="6" t="str">
        <f>IFERROR(__xludf.DUMMYFUNCTION("""COMPUTED_VALUE"""),"3")</f>
        <v>3</v>
      </c>
      <c r="V2876" s="6" t="str">
        <f>IFERROR(__xludf.DUMMYFUNCTION("""COMPUTED_VALUE"""),"")</f>
        <v/>
      </c>
      <c r="W2876" s="6" t="str">
        <f>IFERROR(__xludf.DUMMYFUNCTION("""COMPUTED_VALUE"""),"[]")</f>
        <v>[]</v>
      </c>
      <c r="X2876" s="6" t="str">
        <f>IFERROR(__xludf.DUMMYFUNCTION("""COMPUTED_VALUE"""),"Enrolled")</f>
        <v>Enrolled</v>
      </c>
    </row>
    <row r="2877">
      <c r="A2877" s="6" t="str">
        <f>IFERROR(__xludf.DUMMYFUNCTION("""COMPUTED_VALUE"""),"064-11025")</f>
        <v>064-11025</v>
      </c>
      <c r="B2877" s="6" t="str">
        <f>IFERROR(__xludf.DUMMYFUNCTION("""COMPUTED_VALUE"""),"64")</f>
        <v>64</v>
      </c>
      <c r="C2877" s="6" t="str">
        <f>IFERROR(__xludf.DUMMYFUNCTION("""COMPUTED_VALUE"""),"11025")</f>
        <v>11025</v>
      </c>
      <c r="D2877" s="6" t="str">
        <f>IFERROR(__xludf.DUMMYFUNCTION("""COMPUTED_VALUE"""),"William")</f>
        <v>William</v>
      </c>
      <c r="E2877" s="6" t="str">
        <f>IFERROR(__xludf.DUMMYFUNCTION("""COMPUTED_VALUE"""),"")</f>
        <v/>
      </c>
      <c r="F2877" s="6" t="str">
        <f>IFERROR(__xludf.DUMMYFUNCTION("""COMPUTED_VALUE"""),"Napyer")</f>
        <v>Napyer</v>
      </c>
      <c r="G2877" s="6" t="str">
        <f>IFERROR(__xludf.DUMMYFUNCTION("""COMPUTED_VALUE"""),"04/30/2014")</f>
        <v>04/30/2014</v>
      </c>
      <c r="H2877" s="6" t="str">
        <f>IFERROR(__xludf.DUMMYFUNCTION("""COMPUTED_VALUE"""),"Self Identify")</f>
        <v>Self Identify</v>
      </c>
      <c r="I2877" s="6" t="str">
        <f>IFERROR(__xludf.DUMMYFUNCTION("""COMPUTED_VALUE"""),"Middle School")</f>
        <v>Middle School</v>
      </c>
      <c r="J2877" s="6" t="str">
        <f>IFERROR(__xludf.DUMMYFUNCTION("""COMPUTED_VALUE"""),"6")</f>
        <v>6</v>
      </c>
      <c r="K2877" s="6" t="str">
        <f>IFERROR(__xludf.DUMMYFUNCTION("""COMPUTED_VALUE"""),"william_napyer@stu.ortrail.k12.or.us")</f>
        <v>william_napyer@stu.ortrail.k12.or.us</v>
      </c>
      <c r="L2877" s="6" t="str">
        <f>IFERROR(__xludf.DUMMYFUNCTION("""COMPUTED_VALUE"""),"Oregon Trail School District 46")</f>
        <v>Oregon Trail School District 46</v>
      </c>
      <c r="M2877" s="6" t="str">
        <f>IFERROR(__xludf.DUMMYFUNCTION("""COMPUTED_VALUE"""),"")</f>
        <v/>
      </c>
      <c r="N2877" s="6" t="str">
        <f>IFERROR(__xludf.DUMMYFUNCTION("""COMPUTED_VALUE"""),"")</f>
        <v/>
      </c>
      <c r="O2877" s="87" t="str">
        <f>IFERROR(__xludf.DUMMYFUNCTION("""COMPUTED_VALUE"""),"https://drive.google.com/drive/folders/10T2cTQHqEJZqE-st6uFKPoI?usp=share_link")</f>
        <v>https://drive.google.com/drive/folders/10T2cTQHqEJZqE-st6uFKPoI?usp=share_link</v>
      </c>
      <c r="P2877" s="6" t="str">
        <f>IFERROR(__xludf.DUMMYFUNCTION("""COMPUTED_VALUE"""),"William Napyer")</f>
        <v>William Napyer</v>
      </c>
      <c r="Q2877" s="6" t="str">
        <f>IFERROR(__xludf.DUMMYFUNCTION("""COMPUTED_VALUE"""),"MS")</f>
        <v>MS</v>
      </c>
      <c r="R2877" s="6">
        <f>IFERROR(__xludf.DUMMYFUNCTION("""COMPUTED_VALUE"""),0.0)</f>
        <v>0</v>
      </c>
      <c r="S2877" s="6" t="str">
        <f>IFERROR(__xludf.DUMMYFUNCTION("""COMPUTED_VALUE"""),"Sarah McIntyre")</f>
        <v>Sarah McIntyre</v>
      </c>
      <c r="T2877" s="6" t="str">
        <f>IFERROR(__xludf.DUMMYFUNCTION("""COMPUTED_VALUE"""),"sarah.mcintyre@ortrail.k12.or.us")</f>
        <v>sarah.mcintyre@ortrail.k12.or.us</v>
      </c>
      <c r="U2877" s="6" t="str">
        <f>IFERROR(__xludf.DUMMYFUNCTION("""COMPUTED_VALUE"""),"6")</f>
        <v>6</v>
      </c>
      <c r="V2877" s="6" t="str">
        <f>IFERROR(__xludf.DUMMYFUNCTION("""COMPUTED_VALUE"""),"")</f>
        <v/>
      </c>
      <c r="W2877" s="6" t="str">
        <f>IFERROR(__xludf.DUMMYFUNCTION("""COMPUTED_VALUE"""),"[]")</f>
        <v>[]</v>
      </c>
      <c r="X2877" s="6" t="str">
        <f>IFERROR(__xludf.DUMMYFUNCTION("""COMPUTED_VALUE"""),"Enrolled")</f>
        <v>Enrolled</v>
      </c>
    </row>
    <row r="2878">
      <c r="A2878" s="6" t="str">
        <f>IFERROR(__xludf.DUMMYFUNCTION("""COMPUTED_VALUE"""),"064-11026")</f>
        <v>064-11026</v>
      </c>
      <c r="B2878" s="6" t="str">
        <f>IFERROR(__xludf.DUMMYFUNCTION("""COMPUTED_VALUE"""),"64")</f>
        <v>64</v>
      </c>
      <c r="C2878" s="6" t="str">
        <f>IFERROR(__xludf.DUMMYFUNCTION("""COMPUTED_VALUE"""),"11026")</f>
        <v>11026</v>
      </c>
      <c r="D2878" s="6" t="str">
        <f>IFERROR(__xludf.DUMMYFUNCTION("""COMPUTED_VALUE"""),"Kaylee")</f>
        <v>Kaylee</v>
      </c>
      <c r="E2878" s="6" t="str">
        <f>IFERROR(__xludf.DUMMYFUNCTION("""COMPUTED_VALUE"""),"")</f>
        <v/>
      </c>
      <c r="F2878" s="6" t="str">
        <f>IFERROR(__xludf.DUMMYFUNCTION("""COMPUTED_VALUE"""),"Castro-Rose")</f>
        <v>Castro-Rose</v>
      </c>
      <c r="G2878" s="6" t="str">
        <f>IFERROR(__xludf.DUMMYFUNCTION("""COMPUTED_VALUE"""),"01/23/2014")</f>
        <v>01/23/2014</v>
      </c>
      <c r="H2878" s="6" t="str">
        <f>IFERROR(__xludf.DUMMYFUNCTION("""COMPUTED_VALUE"""),"self_identify")</f>
        <v>self_identify</v>
      </c>
      <c r="I2878" s="6" t="str">
        <f>IFERROR(__xludf.DUMMYFUNCTION("""COMPUTED_VALUE"""),"Middle School")</f>
        <v>Middle School</v>
      </c>
      <c r="J2878" s="6" t="str">
        <f>IFERROR(__xludf.DUMMYFUNCTION("""COMPUTED_VALUE"""),"6")</f>
        <v>6</v>
      </c>
      <c r="K2878" s="6" t="str">
        <f>IFERROR(__xludf.DUMMYFUNCTION("""COMPUTED_VALUE"""),"kaylee_castrorose@stu.ortrail.k12.or.us")</f>
        <v>kaylee_castrorose@stu.ortrail.k12.or.us</v>
      </c>
      <c r="L2878" s="6" t="str">
        <f>IFERROR(__xludf.DUMMYFUNCTION("""COMPUTED_VALUE"""),"Oregon Trail School District 46")</f>
        <v>Oregon Trail School District 46</v>
      </c>
      <c r="M2878" s="6" t="str">
        <f>IFERROR(__xludf.DUMMYFUNCTION("""COMPUTED_VALUE"""),"")</f>
        <v/>
      </c>
      <c r="N2878" s="6" t="str">
        <f>IFERROR(__xludf.DUMMYFUNCTION("""COMPUTED_VALUE"""),"")</f>
        <v/>
      </c>
      <c r="O2878" s="87" t="str">
        <f>IFERROR(__xludf.DUMMYFUNCTION("""COMPUTED_VALUE"""),"https://drive.google.com/drive/folders/10T2cTQHqEJZqE-st6uFKPoI?usp=share_link")</f>
        <v>https://drive.google.com/drive/folders/10T2cTQHqEJZqE-st6uFKPoI?usp=share_link</v>
      </c>
      <c r="P2878" s="6" t="str">
        <f>IFERROR(__xludf.DUMMYFUNCTION("""COMPUTED_VALUE"""),"Kaylee Castro-Rose")</f>
        <v>Kaylee Castro-Rose</v>
      </c>
      <c r="Q2878" s="6" t="str">
        <f>IFERROR(__xludf.DUMMYFUNCTION("""COMPUTED_VALUE"""),"MS")</f>
        <v>MS</v>
      </c>
      <c r="R2878" s="6">
        <f>IFERROR(__xludf.DUMMYFUNCTION("""COMPUTED_VALUE"""),0.0)</f>
        <v>0</v>
      </c>
      <c r="S2878" s="6" t="str">
        <f>IFERROR(__xludf.DUMMYFUNCTION("""COMPUTED_VALUE""")," ")</f>
        <v> </v>
      </c>
      <c r="T2878" s="6" t="str">
        <f>IFERROR(__xludf.DUMMYFUNCTION("""COMPUTED_VALUE"""),"")</f>
        <v/>
      </c>
      <c r="U2878" s="6" t="str">
        <f>IFERROR(__xludf.DUMMYFUNCTION("""COMPUTED_VALUE"""),"6")</f>
        <v>6</v>
      </c>
      <c r="V2878" s="6" t="str">
        <f>IFERROR(__xludf.DUMMYFUNCTION("""COMPUTED_VALUE"""),"")</f>
        <v/>
      </c>
      <c r="W2878" s="6" t="str">
        <f>IFERROR(__xludf.DUMMYFUNCTION("""COMPUTED_VALUE"""),"[]")</f>
        <v>[]</v>
      </c>
      <c r="X2878" s="6" t="str">
        <f>IFERROR(__xludf.DUMMYFUNCTION("""COMPUTED_VALUE"""),"Enrolled")</f>
        <v>Enrolled</v>
      </c>
    </row>
    <row r="2879">
      <c r="A2879" s="6" t="str">
        <f>IFERROR(__xludf.DUMMYFUNCTION("""COMPUTED_VALUE"""),"064-11028")</f>
        <v>064-11028</v>
      </c>
      <c r="B2879" s="6" t="str">
        <f>IFERROR(__xludf.DUMMYFUNCTION("""COMPUTED_VALUE"""),"64")</f>
        <v>64</v>
      </c>
      <c r="C2879" s="6" t="str">
        <f>IFERROR(__xludf.DUMMYFUNCTION("""COMPUTED_VALUE"""),"11028")</f>
        <v>11028</v>
      </c>
      <c r="D2879" s="6" t="str">
        <f>IFERROR(__xludf.DUMMYFUNCTION("""COMPUTED_VALUE"""),"Leland")</f>
        <v>Leland</v>
      </c>
      <c r="E2879" s="6" t="str">
        <f>IFERROR(__xludf.DUMMYFUNCTION("""COMPUTED_VALUE"""),"")</f>
        <v/>
      </c>
      <c r="F2879" s="6" t="str">
        <f>IFERROR(__xludf.DUMMYFUNCTION("""COMPUTED_VALUE"""),"Lucero")</f>
        <v>Lucero</v>
      </c>
      <c r="G2879" s="6" t="str">
        <f>IFERROR(__xludf.DUMMYFUNCTION("""COMPUTED_VALUE"""),"08/19/2016")</f>
        <v>08/19/2016</v>
      </c>
      <c r="H2879" s="6" t="str">
        <f>IFERROR(__xludf.DUMMYFUNCTION("""COMPUTED_VALUE"""),"male")</f>
        <v>male</v>
      </c>
      <c r="I2879" s="6" t="str">
        <f>IFERROR(__xludf.DUMMYFUNCTION("""COMPUTED_VALUE"""),"Level 2")</f>
        <v>Level 2</v>
      </c>
      <c r="J2879" s="6" t="str">
        <f>IFERROR(__xludf.DUMMYFUNCTION("""COMPUTED_VALUE"""),"4")</f>
        <v>4</v>
      </c>
      <c r="K2879" s="6" t="str">
        <f>IFERROR(__xludf.DUMMYFUNCTION("""COMPUTED_VALUE"""),"leland_lucero@stu.ortrail.k12.or.us")</f>
        <v>leland_lucero@stu.ortrail.k12.or.us</v>
      </c>
      <c r="L2879" s="6" t="str">
        <f>IFERROR(__xludf.DUMMYFUNCTION("""COMPUTED_VALUE"""),"Oregon Trail School District 46")</f>
        <v>Oregon Trail School District 46</v>
      </c>
      <c r="M2879" s="6" t="str">
        <f>IFERROR(__xludf.DUMMYFUNCTION("""COMPUTED_VALUE"""),"")</f>
        <v/>
      </c>
      <c r="N2879" s="6" t="str">
        <f>IFERROR(__xludf.DUMMYFUNCTION("""COMPUTED_VALUE"""),"")</f>
        <v/>
      </c>
      <c r="O2879" s="87" t="str">
        <f>IFERROR(__xludf.DUMMYFUNCTION("""COMPUTED_VALUE"""),"https://drive.google.com/drive/folders/10T2cTQHqEJZqE-st6uFKPoI?usp=share_link")</f>
        <v>https://drive.google.com/drive/folders/10T2cTQHqEJZqE-st6uFKPoI?usp=share_link</v>
      </c>
      <c r="P2879" s="6" t="str">
        <f>IFERROR(__xludf.DUMMYFUNCTION("""COMPUTED_VALUE"""),"Leland Lucero")</f>
        <v>Leland Lucero</v>
      </c>
      <c r="Q2879" s="6" t="str">
        <f>IFERROR(__xludf.DUMMYFUNCTION("""COMPUTED_VALUE"""),"L2")</f>
        <v>L2</v>
      </c>
      <c r="R2879" s="6">
        <f>IFERROR(__xludf.DUMMYFUNCTION("""COMPUTED_VALUE"""),2.0)</f>
        <v>2</v>
      </c>
      <c r="S2879" s="6" t="str">
        <f>IFERROR(__xludf.DUMMYFUNCTION("""COMPUTED_VALUE""")," ")</f>
        <v> </v>
      </c>
      <c r="T2879" s="6" t="str">
        <f>IFERROR(__xludf.DUMMYFUNCTION("""COMPUTED_VALUE"""),"")</f>
        <v/>
      </c>
      <c r="U2879" s="6" t="str">
        <f>IFERROR(__xludf.DUMMYFUNCTION("""COMPUTED_VALUE"""),"4")</f>
        <v>4</v>
      </c>
      <c r="V2879" s="6" t="str">
        <f>IFERROR(__xludf.DUMMYFUNCTION("""COMPUTED_VALUE"""),"")</f>
        <v/>
      </c>
      <c r="W2879" s="6" t="str">
        <f>IFERROR(__xludf.DUMMYFUNCTION("""COMPUTED_VALUE"""),"[]")</f>
        <v>[]</v>
      </c>
      <c r="X2879" s="6" t="str">
        <f>IFERROR(__xludf.DUMMYFUNCTION("""COMPUTED_VALUE"""),"Enrolled")</f>
        <v>Enrolled</v>
      </c>
    </row>
    <row r="2880">
      <c r="A2880" s="6" t="str">
        <f>IFERROR(__xludf.DUMMYFUNCTION("""COMPUTED_VALUE"""),"064-13354")</f>
        <v>064-13354</v>
      </c>
      <c r="B2880" s="6" t="str">
        <f>IFERROR(__xludf.DUMMYFUNCTION("""COMPUTED_VALUE"""),"64")</f>
        <v>64</v>
      </c>
      <c r="C2880" s="6" t="str">
        <f>IFERROR(__xludf.DUMMYFUNCTION("""COMPUTED_VALUE"""),"13354")</f>
        <v>13354</v>
      </c>
      <c r="D2880" s="6" t="str">
        <f>IFERROR(__xludf.DUMMYFUNCTION("""COMPUTED_VALUE"""),"Jose Cruz")</f>
        <v>Jose Cruz</v>
      </c>
      <c r="E2880" s="6" t="str">
        <f>IFERROR(__xludf.DUMMYFUNCTION("""COMPUTED_VALUE"""),"")</f>
        <v/>
      </c>
      <c r="F2880" s="6" t="str">
        <f>IFERROR(__xludf.DUMMYFUNCTION("""COMPUTED_VALUE"""),"Dzib Salgado")</f>
        <v>Dzib Salgado</v>
      </c>
      <c r="G2880" s="6" t="str">
        <f>IFERROR(__xludf.DUMMYFUNCTION("""COMPUTED_VALUE"""),"06/14/2009")</f>
        <v>06/14/2009</v>
      </c>
      <c r="H2880" s="6" t="str">
        <f>IFERROR(__xludf.DUMMYFUNCTION("""COMPUTED_VALUE"""),"male")</f>
        <v>male</v>
      </c>
      <c r="I2880" s="6" t="str">
        <f>IFERROR(__xludf.DUMMYFUNCTION("""COMPUTED_VALUE"""),"High School")</f>
        <v>High School</v>
      </c>
      <c r="J2880" s="6" t="str">
        <f>IFERROR(__xludf.DUMMYFUNCTION("""COMPUTED_VALUE"""),"11")</f>
        <v>11</v>
      </c>
      <c r="K2880" s="6" t="str">
        <f>IFERROR(__xludf.DUMMYFUNCTION("""COMPUTED_VALUE"""),"josecruz_dzibsalgado@stu.ortrail.k12.or.us")</f>
        <v>josecruz_dzibsalgado@stu.ortrail.k12.or.us</v>
      </c>
      <c r="L2880" s="6" t="str">
        <f>IFERROR(__xludf.DUMMYFUNCTION("""COMPUTED_VALUE"""),"Oregon Trail School District 46")</f>
        <v>Oregon Trail School District 46</v>
      </c>
      <c r="M2880" s="6" t="str">
        <f>IFERROR(__xludf.DUMMYFUNCTION("""COMPUTED_VALUE"""),"")</f>
        <v/>
      </c>
      <c r="N2880" s="6" t="str">
        <f>IFERROR(__xludf.DUMMYFUNCTION("""COMPUTED_VALUE"""),"")</f>
        <v/>
      </c>
      <c r="O2880" s="87" t="str">
        <f>IFERROR(__xludf.DUMMYFUNCTION("""COMPUTED_VALUE"""),"https://drive.google.com/drive/folders/10T2cTQHqEJZqE-st6uFKPoI?usp=share_link")</f>
        <v>https://drive.google.com/drive/folders/10T2cTQHqEJZqE-st6uFKPoI?usp=share_link</v>
      </c>
      <c r="P2880" s="6" t="str">
        <f>IFERROR(__xludf.DUMMYFUNCTION("""COMPUTED_VALUE"""),"Jose Cruz Dzib Salgado")</f>
        <v>Jose Cruz Dzib Salgado</v>
      </c>
      <c r="Q2880" s="6" t="str">
        <f>IFERROR(__xludf.DUMMYFUNCTION("""COMPUTED_VALUE"""),"HS")</f>
        <v>HS</v>
      </c>
      <c r="R2880" s="6">
        <f>IFERROR(__xludf.DUMMYFUNCTION("""COMPUTED_VALUE"""),0.0)</f>
        <v>0</v>
      </c>
      <c r="S2880" s="6" t="str">
        <f>IFERROR(__xludf.DUMMYFUNCTION("""COMPUTED_VALUE""")," ")</f>
        <v> </v>
      </c>
      <c r="T2880" s="6" t="str">
        <f>IFERROR(__xludf.DUMMYFUNCTION("""COMPUTED_VALUE"""),"")</f>
        <v/>
      </c>
      <c r="U2880" s="6" t="str">
        <f>IFERROR(__xludf.DUMMYFUNCTION("""COMPUTED_VALUE"""),"11")</f>
        <v>11</v>
      </c>
      <c r="V2880" s="6" t="str">
        <f>IFERROR(__xludf.DUMMYFUNCTION("""COMPUTED_VALUE"""),"es")</f>
        <v>es</v>
      </c>
      <c r="W2880" s="6" t="str">
        <f>IFERROR(__xludf.DUMMYFUNCTION("""COMPUTED_VALUE"""),"[]")</f>
        <v>[]</v>
      </c>
      <c r="X2880" s="6" t="str">
        <f>IFERROR(__xludf.DUMMYFUNCTION("""COMPUTED_VALUE"""),"Enrolled")</f>
        <v>Enrolled</v>
      </c>
    </row>
    <row r="2881">
      <c r="A2881" s="6" t="str">
        <f>IFERROR(__xludf.DUMMYFUNCTION("""COMPUTED_VALUE"""),"064-13358")</f>
        <v>064-13358</v>
      </c>
      <c r="B2881" s="6" t="str">
        <f>IFERROR(__xludf.DUMMYFUNCTION("""COMPUTED_VALUE"""),"64")</f>
        <v>64</v>
      </c>
      <c r="C2881" s="6" t="str">
        <f>IFERROR(__xludf.DUMMYFUNCTION("""COMPUTED_VALUE"""),"13358")</f>
        <v>13358</v>
      </c>
      <c r="D2881" s="6" t="str">
        <f>IFERROR(__xludf.DUMMYFUNCTION("""COMPUTED_VALUE"""),"Aple")</f>
        <v>Aple</v>
      </c>
      <c r="E2881" s="6" t="str">
        <f>IFERROR(__xludf.DUMMYFUNCTION("""COMPUTED_VALUE"""),"")</f>
        <v/>
      </c>
      <c r="F2881" s="6" t="str">
        <f>IFERROR(__xludf.DUMMYFUNCTION("""COMPUTED_VALUE"""),"Evans")</f>
        <v>Evans</v>
      </c>
      <c r="G2881" s="6" t="str">
        <f>IFERROR(__xludf.DUMMYFUNCTION("""COMPUTED_VALUE"""),"08/16/2011")</f>
        <v>08/16/2011</v>
      </c>
      <c r="H2881" s="6" t="str">
        <f>IFERROR(__xludf.DUMMYFUNCTION("""COMPUTED_VALUE"""),"Self Identify")</f>
        <v>Self Identify</v>
      </c>
      <c r="I2881" s="6" t="str">
        <f>IFERROR(__xludf.DUMMYFUNCTION("""COMPUTED_VALUE"""),"Middle School")</f>
        <v>Middle School</v>
      </c>
      <c r="J2881" s="6" t="str">
        <f>IFERROR(__xludf.DUMMYFUNCTION("""COMPUTED_VALUE"""),"8")</f>
        <v>8</v>
      </c>
      <c r="K2881" s="6" t="str">
        <f>IFERROR(__xludf.DUMMYFUNCTION("""COMPUTED_VALUE"""),"aple_evans@stu.ortrail.k12.or.us")</f>
        <v>aple_evans@stu.ortrail.k12.or.us</v>
      </c>
      <c r="L2881" s="6" t="str">
        <f>IFERROR(__xludf.DUMMYFUNCTION("""COMPUTED_VALUE"""),"Oregon Trail School District 46")</f>
        <v>Oregon Trail School District 46</v>
      </c>
      <c r="M2881" s="6" t="str">
        <f>IFERROR(__xludf.DUMMYFUNCTION("""COMPUTED_VALUE"""),"")</f>
        <v/>
      </c>
      <c r="N2881" s="6" t="str">
        <f>IFERROR(__xludf.DUMMYFUNCTION("""COMPUTED_VALUE"""),"")</f>
        <v/>
      </c>
      <c r="O2881" s="87" t="str">
        <f>IFERROR(__xludf.DUMMYFUNCTION("""COMPUTED_VALUE"""),"https://drive.google.com/drive/folders/10T2cTQHqEJZqE-st6uFKPoI?usp=share_link")</f>
        <v>https://drive.google.com/drive/folders/10T2cTQHqEJZqE-st6uFKPoI?usp=share_link</v>
      </c>
      <c r="P2881" s="6" t="str">
        <f>IFERROR(__xludf.DUMMYFUNCTION("""COMPUTED_VALUE"""),"Aple Evans")</f>
        <v>Aple Evans</v>
      </c>
      <c r="Q2881" s="6" t="str">
        <f>IFERROR(__xludf.DUMMYFUNCTION("""COMPUTED_VALUE"""),"MS")</f>
        <v>MS</v>
      </c>
      <c r="R2881" s="6">
        <f>IFERROR(__xludf.DUMMYFUNCTION("""COMPUTED_VALUE"""),0.0)</f>
        <v>0</v>
      </c>
      <c r="S2881" s="6" t="str">
        <f>IFERROR(__xludf.DUMMYFUNCTION("""COMPUTED_VALUE""")," ")</f>
        <v> </v>
      </c>
      <c r="T2881" s="6" t="str">
        <f>IFERROR(__xludf.DUMMYFUNCTION("""COMPUTED_VALUE"""),"")</f>
        <v/>
      </c>
      <c r="U2881" s="6" t="str">
        <f>IFERROR(__xludf.DUMMYFUNCTION("""COMPUTED_VALUE"""),"8")</f>
        <v>8</v>
      </c>
      <c r="V2881" s="6" t="str">
        <f>IFERROR(__xludf.DUMMYFUNCTION("""COMPUTED_VALUE"""),"")</f>
        <v/>
      </c>
      <c r="W2881" s="6" t="str">
        <f>IFERROR(__xludf.DUMMYFUNCTION("""COMPUTED_VALUE"""),"[]")</f>
        <v>[]</v>
      </c>
      <c r="X2881" s="6" t="str">
        <f>IFERROR(__xludf.DUMMYFUNCTION("""COMPUTED_VALUE"""),"Enrolled")</f>
        <v>Enrolled</v>
      </c>
    </row>
    <row r="2882">
      <c r="A2882" s="6" t="str">
        <f>IFERROR(__xludf.DUMMYFUNCTION("""COMPUTED_VALUE"""),"064-13387")</f>
        <v>064-13387</v>
      </c>
      <c r="B2882" s="6" t="str">
        <f>IFERROR(__xludf.DUMMYFUNCTION("""COMPUTED_VALUE"""),"64")</f>
        <v>64</v>
      </c>
      <c r="C2882" s="6" t="str">
        <f>IFERROR(__xludf.DUMMYFUNCTION("""COMPUTED_VALUE"""),"13387")</f>
        <v>13387</v>
      </c>
      <c r="D2882" s="6" t="str">
        <f>IFERROR(__xludf.DUMMYFUNCTION("""COMPUTED_VALUE"""),"Zoie")</f>
        <v>Zoie</v>
      </c>
      <c r="E2882" s="6" t="str">
        <f>IFERROR(__xludf.DUMMYFUNCTION("""COMPUTED_VALUE"""),"")</f>
        <v/>
      </c>
      <c r="F2882" s="6" t="str">
        <f>IFERROR(__xludf.DUMMYFUNCTION("""COMPUTED_VALUE"""),"Connealy")</f>
        <v>Connealy</v>
      </c>
      <c r="G2882" s="6" t="str">
        <f>IFERROR(__xludf.DUMMYFUNCTION("""COMPUTED_VALUE"""),"09/07/2013")</f>
        <v>09/07/2013</v>
      </c>
      <c r="H2882" s="6" t="str">
        <f>IFERROR(__xludf.DUMMYFUNCTION("""COMPUTED_VALUE"""),"Self Identify")</f>
        <v>Self Identify</v>
      </c>
      <c r="I2882" s="6" t="str">
        <f>IFERROR(__xludf.DUMMYFUNCTION("""COMPUTED_VALUE"""),"Middle School")</f>
        <v>Middle School</v>
      </c>
      <c r="J2882" s="6" t="str">
        <f>IFERROR(__xludf.DUMMYFUNCTION("""COMPUTED_VALUE"""),"6")</f>
        <v>6</v>
      </c>
      <c r="K2882" s="6" t="str">
        <f>IFERROR(__xludf.DUMMYFUNCTION("""COMPUTED_VALUE"""),"zoie_connealy@stu.ortrail.k12.or.us")</f>
        <v>zoie_connealy@stu.ortrail.k12.or.us</v>
      </c>
      <c r="L2882" s="6" t="str">
        <f>IFERROR(__xludf.DUMMYFUNCTION("""COMPUTED_VALUE"""),"Oregon Trail School District 46")</f>
        <v>Oregon Trail School District 46</v>
      </c>
      <c r="M2882" s="6" t="str">
        <f>IFERROR(__xludf.DUMMYFUNCTION("""COMPUTED_VALUE"""),"")</f>
        <v/>
      </c>
      <c r="N2882" s="6" t="str">
        <f>IFERROR(__xludf.DUMMYFUNCTION("""COMPUTED_VALUE"""),"")</f>
        <v/>
      </c>
      <c r="O2882" s="87" t="str">
        <f>IFERROR(__xludf.DUMMYFUNCTION("""COMPUTED_VALUE"""),"https://drive.google.com/drive/folders/10T2cTQHqEJZqE-st6uFKPoI?usp=share_link")</f>
        <v>https://drive.google.com/drive/folders/10T2cTQHqEJZqE-st6uFKPoI?usp=share_link</v>
      </c>
      <c r="P2882" s="6" t="str">
        <f>IFERROR(__xludf.DUMMYFUNCTION("""COMPUTED_VALUE"""),"Zoie Connealy")</f>
        <v>Zoie Connealy</v>
      </c>
      <c r="Q2882" s="6" t="str">
        <f>IFERROR(__xludf.DUMMYFUNCTION("""COMPUTED_VALUE"""),"MS")</f>
        <v>MS</v>
      </c>
      <c r="R2882" s="6">
        <f>IFERROR(__xludf.DUMMYFUNCTION("""COMPUTED_VALUE"""),0.0)</f>
        <v>0</v>
      </c>
      <c r="S2882" s="6" t="str">
        <f>IFERROR(__xludf.DUMMYFUNCTION("""COMPUTED_VALUE""")," ")</f>
        <v> </v>
      </c>
      <c r="T2882" s="6" t="str">
        <f>IFERROR(__xludf.DUMMYFUNCTION("""COMPUTED_VALUE"""),"")</f>
        <v/>
      </c>
      <c r="U2882" s="6" t="str">
        <f>IFERROR(__xludf.DUMMYFUNCTION("""COMPUTED_VALUE"""),"6")</f>
        <v>6</v>
      </c>
      <c r="V2882" s="6" t="str">
        <f>IFERROR(__xludf.DUMMYFUNCTION("""COMPUTED_VALUE"""),"")</f>
        <v/>
      </c>
      <c r="W2882" s="6" t="str">
        <f>IFERROR(__xludf.DUMMYFUNCTION("""COMPUTED_VALUE"""),"[]")</f>
        <v>[]</v>
      </c>
      <c r="X2882" s="6" t="str">
        <f>IFERROR(__xludf.DUMMYFUNCTION("""COMPUTED_VALUE"""),"Enrolled")</f>
        <v>Enrolled</v>
      </c>
    </row>
    <row r="2883">
      <c r="A2883" s="6" t="str">
        <f>IFERROR(__xludf.DUMMYFUNCTION("""COMPUTED_VALUE"""),"064-5081")</f>
        <v>064-5081</v>
      </c>
      <c r="B2883" s="6" t="str">
        <f>IFERROR(__xludf.DUMMYFUNCTION("""COMPUTED_VALUE"""),"64")</f>
        <v>64</v>
      </c>
      <c r="C2883" s="6" t="str">
        <f>IFERROR(__xludf.DUMMYFUNCTION("""COMPUTED_VALUE"""),"5081")</f>
        <v>5081</v>
      </c>
      <c r="D2883" s="6" t="str">
        <f>IFERROR(__xludf.DUMMYFUNCTION("""COMPUTED_VALUE"""),"Matti")</f>
        <v>Matti</v>
      </c>
      <c r="E2883" s="6" t="str">
        <f>IFERROR(__xludf.DUMMYFUNCTION("""COMPUTED_VALUE"""),"")</f>
        <v/>
      </c>
      <c r="F2883" s="6" t="str">
        <f>IFERROR(__xludf.DUMMYFUNCTION("""COMPUTED_VALUE"""),"McKay")</f>
        <v>McKay</v>
      </c>
      <c r="G2883" s="6" t="str">
        <f>IFERROR(__xludf.DUMMYFUNCTION("""COMPUTED_VALUE"""),"08/29/2011")</f>
        <v>08/29/2011</v>
      </c>
      <c r="H2883" s="6" t="str">
        <f>IFERROR(__xludf.DUMMYFUNCTION("""COMPUTED_VALUE"""),"Self Identify")</f>
        <v>Self Identify</v>
      </c>
      <c r="I2883" s="6" t="str">
        <f>IFERROR(__xludf.DUMMYFUNCTION("""COMPUTED_VALUE"""),"Middle School")</f>
        <v>Middle School</v>
      </c>
      <c r="J2883" s="6" t="str">
        <f>IFERROR(__xludf.DUMMYFUNCTION("""COMPUTED_VALUE"""),"8")</f>
        <v>8</v>
      </c>
      <c r="K2883" s="6" t="str">
        <f>IFERROR(__xludf.DUMMYFUNCTION("""COMPUTED_VALUE"""),"matt_mckay@stu.ortrail.k12.or.us")</f>
        <v>matt_mckay@stu.ortrail.k12.or.us</v>
      </c>
      <c r="L2883" s="6" t="str">
        <f>IFERROR(__xludf.DUMMYFUNCTION("""COMPUTED_VALUE"""),"Oregon Trail School District 46")</f>
        <v>Oregon Trail School District 46</v>
      </c>
      <c r="M2883" s="6" t="str">
        <f>IFERROR(__xludf.DUMMYFUNCTION("""COMPUTED_VALUE"""),"Middle SchoolBLAP")</f>
        <v>Middle SchoolBLAP</v>
      </c>
      <c r="N2883" s="6" t="str">
        <f>IFERROR(__xludf.DUMMYFUNCTION("""COMPUTED_VALUE"""),"")</f>
        <v/>
      </c>
      <c r="O2883" s="87" t="str">
        <f>IFERROR(__xludf.DUMMYFUNCTION("""COMPUTED_VALUE"""),"https://drive.google.com/drive/folders/10T2cTQHqEJZqE-st6uFKPoI?usp=share_link")</f>
        <v>https://drive.google.com/drive/folders/10T2cTQHqEJZqE-st6uFKPoI?usp=share_link</v>
      </c>
      <c r="P2883" s="6" t="str">
        <f>IFERROR(__xludf.DUMMYFUNCTION("""COMPUTED_VALUE"""),"Matti McKay")</f>
        <v>Matti McKay</v>
      </c>
      <c r="Q2883" s="6" t="str">
        <f>IFERROR(__xludf.DUMMYFUNCTION("""COMPUTED_VALUE"""),"MS")</f>
        <v>MS</v>
      </c>
      <c r="R2883" s="6">
        <f>IFERROR(__xludf.DUMMYFUNCTION("""COMPUTED_VALUE"""),0.0)</f>
        <v>0</v>
      </c>
      <c r="S2883" s="6" t="str">
        <f>IFERROR(__xludf.DUMMYFUNCTION("""COMPUTED_VALUE"""),"Tracy Wells")</f>
        <v>Tracy Wells</v>
      </c>
      <c r="T2883" s="6" t="str">
        <f>IFERROR(__xludf.DUMMYFUNCTION("""COMPUTED_VALUE"""),"tracy.wells@ortrail.12.or.us")</f>
        <v>tracy.wells@ortrail.12.or.us</v>
      </c>
      <c r="U2883" s="6" t="str">
        <f>IFERROR(__xludf.DUMMYFUNCTION("""COMPUTED_VALUE"""),"8")</f>
        <v>8</v>
      </c>
      <c r="V2883" s="6" t="str">
        <f>IFERROR(__xludf.DUMMYFUNCTION("""COMPUTED_VALUE"""),"English")</f>
        <v>English</v>
      </c>
      <c r="W2883" s="6" t="str">
        <f>IFERROR(__xludf.DUMMYFUNCTION("""COMPUTED_VALUE"""),"[]")</f>
        <v>[]</v>
      </c>
      <c r="X2883" s="6" t="str">
        <f>IFERROR(__xludf.DUMMYFUNCTION("""COMPUTED_VALUE"""),"Enrolled")</f>
        <v>Enrolled</v>
      </c>
    </row>
    <row r="2884">
      <c r="A2884" s="6" t="str">
        <f>IFERROR(__xludf.DUMMYFUNCTION("""COMPUTED_VALUE"""),"064-5082")</f>
        <v>064-5082</v>
      </c>
      <c r="B2884" s="6" t="str">
        <f>IFERROR(__xludf.DUMMYFUNCTION("""COMPUTED_VALUE"""),"64")</f>
        <v>64</v>
      </c>
      <c r="C2884" s="6" t="str">
        <f>IFERROR(__xludf.DUMMYFUNCTION("""COMPUTED_VALUE"""),"5082")</f>
        <v>5082</v>
      </c>
      <c r="D2884" s="6" t="str">
        <f>IFERROR(__xludf.DUMMYFUNCTION("""COMPUTED_VALUE"""),"Connor")</f>
        <v>Connor</v>
      </c>
      <c r="E2884" s="6" t="str">
        <f>IFERROR(__xludf.DUMMYFUNCTION("""COMPUTED_VALUE"""),"")</f>
        <v/>
      </c>
      <c r="F2884" s="6" t="str">
        <f>IFERROR(__xludf.DUMMYFUNCTION("""COMPUTED_VALUE"""),"Clingen")</f>
        <v>Clingen</v>
      </c>
      <c r="G2884" s="6" t="str">
        <f>IFERROR(__xludf.DUMMYFUNCTION("""COMPUTED_VALUE"""),"08/28/2012")</f>
        <v>08/28/2012</v>
      </c>
      <c r="H2884" s="6" t="str">
        <f>IFERROR(__xludf.DUMMYFUNCTION("""COMPUTED_VALUE"""),"Self Identify")</f>
        <v>Self Identify</v>
      </c>
      <c r="I2884" s="6" t="str">
        <f>IFERROR(__xludf.DUMMYFUNCTION("""COMPUTED_VALUE"""),"Middle School")</f>
        <v>Middle School</v>
      </c>
      <c r="J2884" s="6" t="str">
        <f>IFERROR(__xludf.DUMMYFUNCTION("""COMPUTED_VALUE"""),"7")</f>
        <v>7</v>
      </c>
      <c r="K2884" s="6" t="str">
        <f>IFERROR(__xludf.DUMMYFUNCTION("""COMPUTED_VALUE"""),"connor_clingen@stu.ortrail.k12.or.us")</f>
        <v>connor_clingen@stu.ortrail.k12.or.us</v>
      </c>
      <c r="L2884" s="6" t="str">
        <f>IFERROR(__xludf.DUMMYFUNCTION("""COMPUTED_VALUE"""),"Oregon Trail School District 46")</f>
        <v>Oregon Trail School District 46</v>
      </c>
      <c r="M2884" s="6" t="str">
        <f>IFERROR(__xludf.DUMMYFUNCTION("""COMPUTED_VALUE"""),"Middle SchoolBLAP")</f>
        <v>Middle SchoolBLAP</v>
      </c>
      <c r="N2884" s="6" t="str">
        <f>IFERROR(__xludf.DUMMYFUNCTION("""COMPUTED_VALUE"""),"")</f>
        <v/>
      </c>
      <c r="O2884" s="87" t="str">
        <f>IFERROR(__xludf.DUMMYFUNCTION("""COMPUTED_VALUE"""),"https://drive.google.com/drive/folders/10T2cTQHqEJZqE-st6uFKPoI?usp=share_link")</f>
        <v>https://drive.google.com/drive/folders/10T2cTQHqEJZqE-st6uFKPoI?usp=share_link</v>
      </c>
      <c r="P2884" s="6" t="str">
        <f>IFERROR(__xludf.DUMMYFUNCTION("""COMPUTED_VALUE"""),"Connor Clingen")</f>
        <v>Connor Clingen</v>
      </c>
      <c r="Q2884" s="6" t="str">
        <f>IFERROR(__xludf.DUMMYFUNCTION("""COMPUTED_VALUE"""),"MS")</f>
        <v>MS</v>
      </c>
      <c r="R2884" s="6">
        <f>IFERROR(__xludf.DUMMYFUNCTION("""COMPUTED_VALUE"""),0.0)</f>
        <v>0</v>
      </c>
      <c r="S2884" s="6" t="str">
        <f>IFERROR(__xludf.DUMMYFUNCTION("""COMPUTED_VALUE"""),"Tracy Wells")</f>
        <v>Tracy Wells</v>
      </c>
      <c r="T2884" s="6" t="str">
        <f>IFERROR(__xludf.DUMMYFUNCTION("""COMPUTED_VALUE"""),"tracy.wells@ortrail.12.or.us")</f>
        <v>tracy.wells@ortrail.12.or.us</v>
      </c>
      <c r="U2884" s="6" t="str">
        <f>IFERROR(__xludf.DUMMYFUNCTION("""COMPUTED_VALUE"""),"7")</f>
        <v>7</v>
      </c>
      <c r="V2884" s="6" t="str">
        <f>IFERROR(__xludf.DUMMYFUNCTION("""COMPUTED_VALUE"""),"English")</f>
        <v>English</v>
      </c>
      <c r="W2884" s="6" t="str">
        <f>IFERROR(__xludf.DUMMYFUNCTION("""COMPUTED_VALUE"""),"[]")</f>
        <v>[]</v>
      </c>
      <c r="X2884" s="6" t="str">
        <f>IFERROR(__xludf.DUMMYFUNCTION("""COMPUTED_VALUE"""),"Enrolled")</f>
        <v>Enrolled</v>
      </c>
    </row>
    <row r="2885">
      <c r="A2885" s="6" t="str">
        <f>IFERROR(__xludf.DUMMYFUNCTION("""COMPUTED_VALUE"""),"064-5083")</f>
        <v>064-5083</v>
      </c>
      <c r="B2885" s="6" t="str">
        <f>IFERROR(__xludf.DUMMYFUNCTION("""COMPUTED_VALUE"""),"64")</f>
        <v>64</v>
      </c>
      <c r="C2885" s="6" t="str">
        <f>IFERROR(__xludf.DUMMYFUNCTION("""COMPUTED_VALUE"""),"5083")</f>
        <v>5083</v>
      </c>
      <c r="D2885" s="6" t="str">
        <f>IFERROR(__xludf.DUMMYFUNCTION("""COMPUTED_VALUE"""),"La'King Arthur")</f>
        <v>La'King Arthur</v>
      </c>
      <c r="E2885" s="6" t="str">
        <f>IFERROR(__xludf.DUMMYFUNCTION("""COMPUTED_VALUE"""),"")</f>
        <v/>
      </c>
      <c r="F2885" s="6" t="str">
        <f>IFERROR(__xludf.DUMMYFUNCTION("""COMPUTED_VALUE"""),"Sims Dickerson")</f>
        <v>Sims Dickerson</v>
      </c>
      <c r="G2885" s="6" t="str">
        <f>IFERROR(__xludf.DUMMYFUNCTION("""COMPUTED_VALUE"""),"01/05/2012")</f>
        <v>01/05/2012</v>
      </c>
      <c r="H2885" s="6" t="str">
        <f>IFERROR(__xludf.DUMMYFUNCTION("""COMPUTED_VALUE"""),"Self Identify")</f>
        <v>Self Identify</v>
      </c>
      <c r="I2885" s="6" t="str">
        <f>IFERROR(__xludf.DUMMYFUNCTION("""COMPUTED_VALUE"""),"Middle School")</f>
        <v>Middle School</v>
      </c>
      <c r="J2885" s="6" t="str">
        <f>IFERROR(__xludf.DUMMYFUNCTION("""COMPUTED_VALUE"""),"8")</f>
        <v>8</v>
      </c>
      <c r="K2885" s="6" t="str">
        <f>IFERROR(__xludf.DUMMYFUNCTION("""COMPUTED_VALUE"""),"lakingarthur_simsdic@stu.ortrail.k12.or.us")</f>
        <v>lakingarthur_simsdic@stu.ortrail.k12.or.us</v>
      </c>
      <c r="L2885" s="6" t="str">
        <f>IFERROR(__xludf.DUMMYFUNCTION("""COMPUTED_VALUE"""),"Oregon Trail School District 46")</f>
        <v>Oregon Trail School District 46</v>
      </c>
      <c r="M2885" s="6" t="str">
        <f>IFERROR(__xludf.DUMMYFUNCTION("""COMPUTED_VALUE"""),"Middle SchoolBLAP")</f>
        <v>Middle SchoolBLAP</v>
      </c>
      <c r="N2885" s="6" t="str">
        <f>IFERROR(__xludf.DUMMYFUNCTION("""COMPUTED_VALUE"""),"")</f>
        <v/>
      </c>
      <c r="O2885" s="87" t="str">
        <f>IFERROR(__xludf.DUMMYFUNCTION("""COMPUTED_VALUE"""),"https://drive.google.com/drive/folders/10T2cTQHqEJZqE-st6uFKPoI?usp=share_link")</f>
        <v>https://drive.google.com/drive/folders/10T2cTQHqEJZqE-st6uFKPoI?usp=share_link</v>
      </c>
      <c r="P2885" s="6" t="str">
        <f>IFERROR(__xludf.DUMMYFUNCTION("""COMPUTED_VALUE"""),"La'King Arthur Sims Dickerson")</f>
        <v>La'King Arthur Sims Dickerson</v>
      </c>
      <c r="Q2885" s="6" t="str">
        <f>IFERROR(__xludf.DUMMYFUNCTION("""COMPUTED_VALUE"""),"MS")</f>
        <v>MS</v>
      </c>
      <c r="R2885" s="6">
        <f>IFERROR(__xludf.DUMMYFUNCTION("""COMPUTED_VALUE"""),0.0)</f>
        <v>0</v>
      </c>
      <c r="S2885" s="6" t="str">
        <f>IFERROR(__xludf.DUMMYFUNCTION("""COMPUTED_VALUE"""),"Tracy Wells")</f>
        <v>Tracy Wells</v>
      </c>
      <c r="T2885" s="6" t="str">
        <f>IFERROR(__xludf.DUMMYFUNCTION("""COMPUTED_VALUE"""),"tracy.wells@ortrail.12.or.us")</f>
        <v>tracy.wells@ortrail.12.or.us</v>
      </c>
      <c r="U2885" s="6" t="str">
        <f>IFERROR(__xludf.DUMMYFUNCTION("""COMPUTED_VALUE"""),"8")</f>
        <v>8</v>
      </c>
      <c r="V2885" s="6" t="str">
        <f>IFERROR(__xludf.DUMMYFUNCTION("""COMPUTED_VALUE"""),"English")</f>
        <v>English</v>
      </c>
      <c r="W2885" s="6" t="str">
        <f>IFERROR(__xludf.DUMMYFUNCTION("""COMPUTED_VALUE"""),"[]")</f>
        <v>[]</v>
      </c>
      <c r="X2885" s="6" t="str">
        <f>IFERROR(__xludf.DUMMYFUNCTION("""COMPUTED_VALUE"""),"Enrolled")</f>
        <v>Enrolled</v>
      </c>
    </row>
    <row r="2886">
      <c r="A2886" s="6" t="str">
        <f>IFERROR(__xludf.DUMMYFUNCTION("""COMPUTED_VALUE"""),"064-5084")</f>
        <v>064-5084</v>
      </c>
      <c r="B2886" s="6" t="str">
        <f>IFERROR(__xludf.DUMMYFUNCTION("""COMPUTED_VALUE"""),"64")</f>
        <v>64</v>
      </c>
      <c r="C2886" s="6" t="str">
        <f>IFERROR(__xludf.DUMMYFUNCTION("""COMPUTED_VALUE"""),"5084")</f>
        <v>5084</v>
      </c>
      <c r="D2886" s="6" t="str">
        <f>IFERROR(__xludf.DUMMYFUNCTION("""COMPUTED_VALUE"""),"Alexander")</f>
        <v>Alexander</v>
      </c>
      <c r="E2886" s="6" t="str">
        <f>IFERROR(__xludf.DUMMYFUNCTION("""COMPUTED_VALUE"""),"")</f>
        <v/>
      </c>
      <c r="F2886" s="6" t="str">
        <f>IFERROR(__xludf.DUMMYFUNCTION("""COMPUTED_VALUE"""),"Perez Doroteo")</f>
        <v>Perez Doroteo</v>
      </c>
      <c r="G2886" s="6" t="str">
        <f>IFERROR(__xludf.DUMMYFUNCTION("""COMPUTED_VALUE"""),"01/10/2013")</f>
        <v>01/10/2013</v>
      </c>
      <c r="H2886" s="6" t="str">
        <f>IFERROR(__xludf.DUMMYFUNCTION("""COMPUTED_VALUE"""),"Self Identify")</f>
        <v>Self Identify</v>
      </c>
      <c r="I2886" s="6" t="str">
        <f>IFERROR(__xludf.DUMMYFUNCTION("""COMPUTED_VALUE"""),"Middle School")</f>
        <v>Middle School</v>
      </c>
      <c r="J2886" s="6" t="str">
        <f>IFERROR(__xludf.DUMMYFUNCTION("""COMPUTED_VALUE"""),"7")</f>
        <v>7</v>
      </c>
      <c r="K2886" s="6" t="str">
        <f>IFERROR(__xludf.DUMMYFUNCTION("""COMPUTED_VALUE"""),"alex_perezdoroteo@stu.ortrail.k12.or.us")</f>
        <v>alex_perezdoroteo@stu.ortrail.k12.or.us</v>
      </c>
      <c r="L2886" s="6" t="str">
        <f>IFERROR(__xludf.DUMMYFUNCTION("""COMPUTED_VALUE"""),"Oregon Trail School District 46")</f>
        <v>Oregon Trail School District 46</v>
      </c>
      <c r="M2886" s="6" t="str">
        <f>IFERROR(__xludf.DUMMYFUNCTION("""COMPUTED_VALUE"""),"Middle SchoolBLAP")</f>
        <v>Middle SchoolBLAP</v>
      </c>
      <c r="N2886" s="6" t="str">
        <f>IFERROR(__xludf.DUMMYFUNCTION("""COMPUTED_VALUE"""),"")</f>
        <v/>
      </c>
      <c r="O2886" s="87" t="str">
        <f>IFERROR(__xludf.DUMMYFUNCTION("""COMPUTED_VALUE"""),"https://drive.google.com/drive/folders/10T2cTQHqEJZqE-st6uFKPoI?usp=share_link")</f>
        <v>https://drive.google.com/drive/folders/10T2cTQHqEJZqE-st6uFKPoI?usp=share_link</v>
      </c>
      <c r="P2886" s="6" t="str">
        <f>IFERROR(__xludf.DUMMYFUNCTION("""COMPUTED_VALUE"""),"Alexander Perez Doroteo")</f>
        <v>Alexander Perez Doroteo</v>
      </c>
      <c r="Q2886" s="6" t="str">
        <f>IFERROR(__xludf.DUMMYFUNCTION("""COMPUTED_VALUE"""),"MS")</f>
        <v>MS</v>
      </c>
      <c r="R2886" s="6">
        <f>IFERROR(__xludf.DUMMYFUNCTION("""COMPUTED_VALUE"""),0.0)</f>
        <v>0</v>
      </c>
      <c r="S2886" s="6" t="str">
        <f>IFERROR(__xludf.DUMMYFUNCTION("""COMPUTED_VALUE"""),"Tracy Wells")</f>
        <v>Tracy Wells</v>
      </c>
      <c r="T2886" s="6" t="str">
        <f>IFERROR(__xludf.DUMMYFUNCTION("""COMPUTED_VALUE"""),"tracy.wells@ortrail.12.or.us")</f>
        <v>tracy.wells@ortrail.12.or.us</v>
      </c>
      <c r="U2886" s="6" t="str">
        <f>IFERROR(__xludf.DUMMYFUNCTION("""COMPUTED_VALUE"""),"7")</f>
        <v>7</v>
      </c>
      <c r="V2886" s="6" t="str">
        <f>IFERROR(__xludf.DUMMYFUNCTION("""COMPUTED_VALUE"""),"English")</f>
        <v>English</v>
      </c>
      <c r="W2886" s="6" t="str">
        <f>IFERROR(__xludf.DUMMYFUNCTION("""COMPUTED_VALUE"""),"[]")</f>
        <v>[]</v>
      </c>
      <c r="X2886" s="6" t="str">
        <f>IFERROR(__xludf.DUMMYFUNCTION("""COMPUTED_VALUE"""),"Enrolled")</f>
        <v>Enrolled</v>
      </c>
    </row>
    <row r="2887">
      <c r="A2887" s="6" t="str">
        <f>IFERROR(__xludf.DUMMYFUNCTION("""COMPUTED_VALUE"""),"064-5085")</f>
        <v>064-5085</v>
      </c>
      <c r="B2887" s="6" t="str">
        <f>IFERROR(__xludf.DUMMYFUNCTION("""COMPUTED_VALUE"""),"64")</f>
        <v>64</v>
      </c>
      <c r="C2887" s="6" t="str">
        <f>IFERROR(__xludf.DUMMYFUNCTION("""COMPUTED_VALUE"""),"5085")</f>
        <v>5085</v>
      </c>
      <c r="D2887" s="6" t="str">
        <f>IFERROR(__xludf.DUMMYFUNCTION("""COMPUTED_VALUE"""),"Jacob")</f>
        <v>Jacob</v>
      </c>
      <c r="E2887" s="6" t="str">
        <f>IFERROR(__xludf.DUMMYFUNCTION("""COMPUTED_VALUE"""),"")</f>
        <v/>
      </c>
      <c r="F2887" s="6" t="str">
        <f>IFERROR(__xludf.DUMMYFUNCTION("""COMPUTED_VALUE"""),"Chable Gasser")</f>
        <v>Chable Gasser</v>
      </c>
      <c r="G2887" s="6" t="str">
        <f>IFERROR(__xludf.DUMMYFUNCTION("""COMPUTED_VALUE"""),"07/06/2012")</f>
        <v>07/06/2012</v>
      </c>
      <c r="H2887" s="6" t="str">
        <f>IFERROR(__xludf.DUMMYFUNCTION("""COMPUTED_VALUE"""),"male")</f>
        <v>male</v>
      </c>
      <c r="I2887" s="6" t="str">
        <f>IFERROR(__xludf.DUMMYFUNCTION("""COMPUTED_VALUE"""),"Middle School")</f>
        <v>Middle School</v>
      </c>
      <c r="J2887" s="6" t="str">
        <f>IFERROR(__xludf.DUMMYFUNCTION("""COMPUTED_VALUE"""),"8")</f>
        <v>8</v>
      </c>
      <c r="K2887" s="6" t="str">
        <f>IFERROR(__xludf.DUMMYFUNCTION("""COMPUTED_VALUE"""),"jacob_chablegasser@stu.ortrail.k12.or.us")</f>
        <v>jacob_chablegasser@stu.ortrail.k12.or.us</v>
      </c>
      <c r="L2887" s="6" t="str">
        <f>IFERROR(__xludf.DUMMYFUNCTION("""COMPUTED_VALUE"""),"Oregon Trail School District 46")</f>
        <v>Oregon Trail School District 46</v>
      </c>
      <c r="M2887" s="6" t="str">
        <f>IFERROR(__xludf.DUMMYFUNCTION("""COMPUTED_VALUE"""),"")</f>
        <v/>
      </c>
      <c r="N2887" s="6" t="str">
        <f>IFERROR(__xludf.DUMMYFUNCTION("""COMPUTED_VALUE"""),"")</f>
        <v/>
      </c>
      <c r="O2887" s="87" t="str">
        <f>IFERROR(__xludf.DUMMYFUNCTION("""COMPUTED_VALUE"""),"https://drive.google.com/drive/folders/10T2cTQHqEJZqE-st6uFKPoI?usp=share_link")</f>
        <v>https://drive.google.com/drive/folders/10T2cTQHqEJZqE-st6uFKPoI?usp=share_link</v>
      </c>
      <c r="P2887" s="6" t="str">
        <f>IFERROR(__xludf.DUMMYFUNCTION("""COMPUTED_VALUE"""),"Jacob Chable Gasser")</f>
        <v>Jacob Chable Gasser</v>
      </c>
      <c r="Q2887" s="6" t="str">
        <f>IFERROR(__xludf.DUMMYFUNCTION("""COMPUTED_VALUE"""),"MS")</f>
        <v>MS</v>
      </c>
      <c r="R2887" s="6">
        <f>IFERROR(__xludf.DUMMYFUNCTION("""COMPUTED_VALUE"""),0.0)</f>
        <v>0</v>
      </c>
      <c r="S2887" s="6" t="str">
        <f>IFERROR(__xludf.DUMMYFUNCTION("""COMPUTED_VALUE"""),"Genevra Self")</f>
        <v>Genevra Self</v>
      </c>
      <c r="T2887" s="6" t="str">
        <f>IFERROR(__xludf.DUMMYFUNCTION("""COMPUTED_VALUE"""),"genevra.self@studient.com")</f>
        <v>genevra.self@studient.com</v>
      </c>
      <c r="U2887" s="6" t="str">
        <f>IFERROR(__xludf.DUMMYFUNCTION("""COMPUTED_VALUE"""),"8")</f>
        <v>8</v>
      </c>
      <c r="V2887" s="6" t="str">
        <f>IFERROR(__xludf.DUMMYFUNCTION("""COMPUTED_VALUE"""),"English")</f>
        <v>English</v>
      </c>
      <c r="W2887" s="6" t="str">
        <f>IFERROR(__xludf.DUMMYFUNCTION("""COMPUTED_VALUE"""),"[]")</f>
        <v>[]</v>
      </c>
      <c r="X2887" s="6" t="str">
        <f>IFERROR(__xludf.DUMMYFUNCTION("""COMPUTED_VALUE"""),"Enrolled")</f>
        <v>Enrolled</v>
      </c>
    </row>
    <row r="2888">
      <c r="A2888" s="6" t="str">
        <f>IFERROR(__xludf.DUMMYFUNCTION("""COMPUTED_VALUE"""),"064-5123")</f>
        <v>064-5123</v>
      </c>
      <c r="B2888" s="6" t="str">
        <f>IFERROR(__xludf.DUMMYFUNCTION("""COMPUTED_VALUE"""),"64")</f>
        <v>64</v>
      </c>
      <c r="C2888" s="6" t="str">
        <f>IFERROR(__xludf.DUMMYFUNCTION("""COMPUTED_VALUE"""),"5123")</f>
        <v>5123</v>
      </c>
      <c r="D2888" s="6" t="str">
        <f>IFERROR(__xludf.DUMMYFUNCTION("""COMPUTED_VALUE"""),"Charlee")</f>
        <v>Charlee</v>
      </c>
      <c r="E2888" s="6" t="str">
        <f>IFERROR(__xludf.DUMMYFUNCTION("""COMPUTED_VALUE"""),"")</f>
        <v/>
      </c>
      <c r="F2888" s="6" t="str">
        <f>IFERROR(__xludf.DUMMYFUNCTION("""COMPUTED_VALUE"""),"Baker")</f>
        <v>Baker</v>
      </c>
      <c r="G2888" s="6" t="str">
        <f>IFERROR(__xludf.DUMMYFUNCTION("""COMPUTED_VALUE"""),"10/17/2013")</f>
        <v>10/17/2013</v>
      </c>
      <c r="H2888" s="6" t="str">
        <f>IFERROR(__xludf.DUMMYFUNCTION("""COMPUTED_VALUE"""),"Self Identify")</f>
        <v>Self Identify</v>
      </c>
      <c r="I2888" s="6" t="str">
        <f>IFERROR(__xludf.DUMMYFUNCTION("""COMPUTED_VALUE"""),"Middle School")</f>
        <v>Middle School</v>
      </c>
      <c r="J2888" s="6" t="str">
        <f>IFERROR(__xludf.DUMMYFUNCTION("""COMPUTED_VALUE"""),"6")</f>
        <v>6</v>
      </c>
      <c r="K2888" s="6" t="str">
        <f>IFERROR(__xludf.DUMMYFUNCTION("""COMPUTED_VALUE"""),"charlee_baker@stu.ortrail.k12.or.us")</f>
        <v>charlee_baker@stu.ortrail.k12.or.us</v>
      </c>
      <c r="L2888" s="6" t="str">
        <f>IFERROR(__xludf.DUMMYFUNCTION("""COMPUTED_VALUE"""),"Oregon Trail School District 46")</f>
        <v>Oregon Trail School District 46</v>
      </c>
      <c r="M2888" s="6" t="str">
        <f>IFERROR(__xludf.DUMMYFUNCTION("""COMPUTED_VALUE"""),"Welches Middle School Original Instruction")</f>
        <v>Welches Middle School Original Instruction</v>
      </c>
      <c r="N2888" s="6" t="str">
        <f>IFERROR(__xludf.DUMMYFUNCTION("""COMPUTED_VALUE"""),"")</f>
        <v/>
      </c>
      <c r="O2888" s="87" t="str">
        <f>IFERROR(__xludf.DUMMYFUNCTION("""COMPUTED_VALUE"""),"https://drive.google.com/drive/folders/10T2cTQHqEJZqE-st6uFKPoI?usp=share_link")</f>
        <v>https://drive.google.com/drive/folders/10T2cTQHqEJZqE-st6uFKPoI?usp=share_link</v>
      </c>
      <c r="P2888" s="6" t="str">
        <f>IFERROR(__xludf.DUMMYFUNCTION("""COMPUTED_VALUE"""),"Charlee Baker")</f>
        <v>Charlee Baker</v>
      </c>
      <c r="Q2888" s="6" t="str">
        <f>IFERROR(__xludf.DUMMYFUNCTION("""COMPUTED_VALUE"""),"MS")</f>
        <v>MS</v>
      </c>
      <c r="R2888" s="6">
        <f>IFERROR(__xludf.DUMMYFUNCTION("""COMPUTED_VALUE"""),0.0)</f>
        <v>0</v>
      </c>
      <c r="S2888" s="6" t="str">
        <f>IFERROR(__xludf.DUMMYFUNCTION("""COMPUTED_VALUE"""),"Genevra Self")</f>
        <v>Genevra Self</v>
      </c>
      <c r="T2888" s="6" t="str">
        <f>IFERROR(__xludf.DUMMYFUNCTION("""COMPUTED_VALUE"""),"genevra.self@studient.com")</f>
        <v>genevra.self@studient.com</v>
      </c>
      <c r="U2888" s="6" t="str">
        <f>IFERROR(__xludf.DUMMYFUNCTION("""COMPUTED_VALUE"""),"6")</f>
        <v>6</v>
      </c>
      <c r="V2888" s="6" t="str">
        <f>IFERROR(__xludf.DUMMYFUNCTION("""COMPUTED_VALUE"""),"English")</f>
        <v>English</v>
      </c>
      <c r="W2888" s="6" t="str">
        <f>IFERROR(__xludf.DUMMYFUNCTION("""COMPUTED_VALUE"""),"[]")</f>
        <v>[]</v>
      </c>
      <c r="X2888" s="6" t="str">
        <f>IFERROR(__xludf.DUMMYFUNCTION("""COMPUTED_VALUE"""),"Enrolled")</f>
        <v>Enrolled</v>
      </c>
    </row>
    <row r="2889">
      <c r="A2889" s="6" t="str">
        <f>IFERROR(__xludf.DUMMYFUNCTION("""COMPUTED_VALUE"""),"064-5124")</f>
        <v>064-5124</v>
      </c>
      <c r="B2889" s="6" t="str">
        <f>IFERROR(__xludf.DUMMYFUNCTION("""COMPUTED_VALUE"""),"64")</f>
        <v>64</v>
      </c>
      <c r="C2889" s="6" t="str">
        <f>IFERROR(__xludf.DUMMYFUNCTION("""COMPUTED_VALUE"""),"5124")</f>
        <v>5124</v>
      </c>
      <c r="D2889" s="6" t="str">
        <f>IFERROR(__xludf.DUMMYFUNCTION("""COMPUTED_VALUE"""),"Elyas")</f>
        <v>Elyas</v>
      </c>
      <c r="E2889" s="6" t="str">
        <f>IFERROR(__xludf.DUMMYFUNCTION("""COMPUTED_VALUE"""),"")</f>
        <v/>
      </c>
      <c r="F2889" s="6" t="str">
        <f>IFERROR(__xludf.DUMMYFUNCTION("""COMPUTED_VALUE"""),"Banik")</f>
        <v>Banik</v>
      </c>
      <c r="G2889" s="6" t="str">
        <f>IFERROR(__xludf.DUMMYFUNCTION("""COMPUTED_VALUE"""),"01/13/2014")</f>
        <v>01/13/2014</v>
      </c>
      <c r="H2889" s="6" t="str">
        <f>IFERROR(__xludf.DUMMYFUNCTION("""COMPUTED_VALUE"""),"Self Identify")</f>
        <v>Self Identify</v>
      </c>
      <c r="I2889" s="6" t="str">
        <f>IFERROR(__xludf.DUMMYFUNCTION("""COMPUTED_VALUE"""),"Middle School")</f>
        <v>Middle School</v>
      </c>
      <c r="J2889" s="6" t="str">
        <f>IFERROR(__xludf.DUMMYFUNCTION("""COMPUTED_VALUE"""),"6")</f>
        <v>6</v>
      </c>
      <c r="K2889" s="6" t="str">
        <f>IFERROR(__xludf.DUMMYFUNCTION("""COMPUTED_VALUE"""),"elyas_banik@stu.ortrail.k12.or.us")</f>
        <v>elyas_banik@stu.ortrail.k12.or.us</v>
      </c>
      <c r="L2889" s="6" t="str">
        <f>IFERROR(__xludf.DUMMYFUNCTION("""COMPUTED_VALUE"""),"Oregon Trail School District 46")</f>
        <v>Oregon Trail School District 46</v>
      </c>
      <c r="M2889" s="6" t="str">
        <f>IFERROR(__xludf.DUMMYFUNCTION("""COMPUTED_VALUE"""),"Welches Middle School Original Instruction")</f>
        <v>Welches Middle School Original Instruction</v>
      </c>
      <c r="N2889" s="6" t="str">
        <f>IFERROR(__xludf.DUMMYFUNCTION("""COMPUTED_VALUE"""),"")</f>
        <v/>
      </c>
      <c r="O2889" s="87" t="str">
        <f>IFERROR(__xludf.DUMMYFUNCTION("""COMPUTED_VALUE"""),"https://drive.google.com/drive/folders/10T2cTQHqEJZqE-st6uFKPoI?usp=share_link")</f>
        <v>https://drive.google.com/drive/folders/10T2cTQHqEJZqE-st6uFKPoI?usp=share_link</v>
      </c>
      <c r="P2889" s="6" t="str">
        <f>IFERROR(__xludf.DUMMYFUNCTION("""COMPUTED_VALUE"""),"Elyas Banik")</f>
        <v>Elyas Banik</v>
      </c>
      <c r="Q2889" s="6" t="str">
        <f>IFERROR(__xludf.DUMMYFUNCTION("""COMPUTED_VALUE"""),"MS")</f>
        <v>MS</v>
      </c>
      <c r="R2889" s="6">
        <f>IFERROR(__xludf.DUMMYFUNCTION("""COMPUTED_VALUE"""),0.0)</f>
        <v>0</v>
      </c>
      <c r="S2889" s="6" t="str">
        <f>IFERROR(__xludf.DUMMYFUNCTION("""COMPUTED_VALUE"""),"Genevra Self")</f>
        <v>Genevra Self</v>
      </c>
      <c r="T2889" s="6" t="str">
        <f>IFERROR(__xludf.DUMMYFUNCTION("""COMPUTED_VALUE"""),"genevra.self@studient.com")</f>
        <v>genevra.self@studient.com</v>
      </c>
      <c r="U2889" s="6" t="str">
        <f>IFERROR(__xludf.DUMMYFUNCTION("""COMPUTED_VALUE"""),"6")</f>
        <v>6</v>
      </c>
      <c r="V2889" s="6" t="str">
        <f>IFERROR(__xludf.DUMMYFUNCTION("""COMPUTED_VALUE"""),"English")</f>
        <v>English</v>
      </c>
      <c r="W2889" s="6" t="str">
        <f>IFERROR(__xludf.DUMMYFUNCTION("""COMPUTED_VALUE"""),"[]")</f>
        <v>[]</v>
      </c>
      <c r="X2889" s="6" t="str">
        <f>IFERROR(__xludf.DUMMYFUNCTION("""COMPUTED_VALUE"""),"Enrolled")</f>
        <v>Enrolled</v>
      </c>
    </row>
    <row r="2890">
      <c r="A2890" s="6" t="str">
        <f>IFERROR(__xludf.DUMMYFUNCTION("""COMPUTED_VALUE"""),"064-5125")</f>
        <v>064-5125</v>
      </c>
      <c r="B2890" s="6" t="str">
        <f>IFERROR(__xludf.DUMMYFUNCTION("""COMPUTED_VALUE"""),"64")</f>
        <v>64</v>
      </c>
      <c r="C2890" s="6" t="str">
        <f>IFERROR(__xludf.DUMMYFUNCTION("""COMPUTED_VALUE"""),"5125")</f>
        <v>5125</v>
      </c>
      <c r="D2890" s="6" t="str">
        <f>IFERROR(__xludf.DUMMYFUNCTION("""COMPUTED_VALUE"""),"Cecily")</f>
        <v>Cecily</v>
      </c>
      <c r="E2890" s="6" t="str">
        <f>IFERROR(__xludf.DUMMYFUNCTION("""COMPUTED_VALUE"""),"")</f>
        <v/>
      </c>
      <c r="F2890" s="6" t="str">
        <f>IFERROR(__xludf.DUMMYFUNCTION("""COMPUTED_VALUE"""),"Black")</f>
        <v>Black</v>
      </c>
      <c r="G2890" s="6" t="str">
        <f>IFERROR(__xludf.DUMMYFUNCTION("""COMPUTED_VALUE"""),"05/06/2014")</f>
        <v>05/06/2014</v>
      </c>
      <c r="H2890" s="6" t="str">
        <f>IFERROR(__xludf.DUMMYFUNCTION("""COMPUTED_VALUE"""),"female")</f>
        <v>female</v>
      </c>
      <c r="I2890" s="6" t="str">
        <f>IFERROR(__xludf.DUMMYFUNCTION("""COMPUTED_VALUE"""),"Middle School")</f>
        <v>Middle School</v>
      </c>
      <c r="J2890" s="6" t="str">
        <f>IFERROR(__xludf.DUMMYFUNCTION("""COMPUTED_VALUE"""),"6")</f>
        <v>6</v>
      </c>
      <c r="K2890" s="6" t="str">
        <f>IFERROR(__xludf.DUMMYFUNCTION("""COMPUTED_VALUE"""),"cecily_black@stu.ortrail.k12.or.us")</f>
        <v>cecily_black@stu.ortrail.k12.or.us</v>
      </c>
      <c r="L2890" s="6" t="str">
        <f>IFERROR(__xludf.DUMMYFUNCTION("""COMPUTED_VALUE"""),"Oregon Trail School District 46")</f>
        <v>Oregon Trail School District 46</v>
      </c>
      <c r="M2890" s="6" t="str">
        <f>IFERROR(__xludf.DUMMYFUNCTION("""COMPUTED_VALUE"""),"")</f>
        <v/>
      </c>
      <c r="N2890" s="6" t="str">
        <f>IFERROR(__xludf.DUMMYFUNCTION("""COMPUTED_VALUE"""),"")</f>
        <v/>
      </c>
      <c r="O2890" s="87" t="str">
        <f>IFERROR(__xludf.DUMMYFUNCTION("""COMPUTED_VALUE"""),"https://drive.google.com/drive/folders/10T2cTQHqEJZqE-st6uFKPoI?usp=share_link")</f>
        <v>https://drive.google.com/drive/folders/10T2cTQHqEJZqE-st6uFKPoI?usp=share_link</v>
      </c>
      <c r="P2890" s="6" t="str">
        <f>IFERROR(__xludf.DUMMYFUNCTION("""COMPUTED_VALUE"""),"Cecily Black")</f>
        <v>Cecily Black</v>
      </c>
      <c r="Q2890" s="6" t="str">
        <f>IFERROR(__xludf.DUMMYFUNCTION("""COMPUTED_VALUE"""),"MS")</f>
        <v>MS</v>
      </c>
      <c r="R2890" s="6">
        <f>IFERROR(__xludf.DUMMYFUNCTION("""COMPUTED_VALUE"""),0.0)</f>
        <v>0</v>
      </c>
      <c r="S2890" s="6" t="str">
        <f>IFERROR(__xludf.DUMMYFUNCTION("""COMPUTED_VALUE"""),"Genevra Self")</f>
        <v>Genevra Self</v>
      </c>
      <c r="T2890" s="6" t="str">
        <f>IFERROR(__xludf.DUMMYFUNCTION("""COMPUTED_VALUE"""),"genevra.self@studient.com")</f>
        <v>genevra.self@studient.com</v>
      </c>
      <c r="U2890" s="6" t="str">
        <f>IFERROR(__xludf.DUMMYFUNCTION("""COMPUTED_VALUE"""),"6")</f>
        <v>6</v>
      </c>
      <c r="V2890" s="6" t="str">
        <f>IFERROR(__xludf.DUMMYFUNCTION("""COMPUTED_VALUE"""),"English")</f>
        <v>English</v>
      </c>
      <c r="W2890" s="6" t="str">
        <f>IFERROR(__xludf.DUMMYFUNCTION("""COMPUTED_VALUE"""),"[]")</f>
        <v>[]</v>
      </c>
      <c r="X2890" s="6" t="str">
        <f>IFERROR(__xludf.DUMMYFUNCTION("""COMPUTED_VALUE"""),"Enrolled")</f>
        <v>Enrolled</v>
      </c>
    </row>
    <row r="2891">
      <c r="A2891" s="6" t="str">
        <f>IFERROR(__xludf.DUMMYFUNCTION("""COMPUTED_VALUE"""),"064-5126")</f>
        <v>064-5126</v>
      </c>
      <c r="B2891" s="6" t="str">
        <f>IFERROR(__xludf.DUMMYFUNCTION("""COMPUTED_VALUE"""),"64")</f>
        <v>64</v>
      </c>
      <c r="C2891" s="6" t="str">
        <f>IFERROR(__xludf.DUMMYFUNCTION("""COMPUTED_VALUE"""),"5126")</f>
        <v>5126</v>
      </c>
      <c r="D2891" s="6" t="str">
        <f>IFERROR(__xludf.DUMMYFUNCTION("""COMPUTED_VALUE"""),"Rivver")</f>
        <v>Rivver</v>
      </c>
      <c r="E2891" s="6" t="str">
        <f>IFERROR(__xludf.DUMMYFUNCTION("""COMPUTED_VALUE"""),"")</f>
        <v/>
      </c>
      <c r="F2891" s="6" t="str">
        <f>IFERROR(__xludf.DUMMYFUNCTION("""COMPUTED_VALUE"""),"Bodrero")</f>
        <v>Bodrero</v>
      </c>
      <c r="G2891" s="6" t="str">
        <f>IFERROR(__xludf.DUMMYFUNCTION("""COMPUTED_VALUE"""),"10/07/2013")</f>
        <v>10/07/2013</v>
      </c>
      <c r="H2891" s="6" t="str">
        <f>IFERROR(__xludf.DUMMYFUNCTION("""COMPUTED_VALUE"""),"Self Identify")</f>
        <v>Self Identify</v>
      </c>
      <c r="I2891" s="6" t="str">
        <f>IFERROR(__xludf.DUMMYFUNCTION("""COMPUTED_VALUE"""),"Middle School")</f>
        <v>Middle School</v>
      </c>
      <c r="J2891" s="6" t="str">
        <f>IFERROR(__xludf.DUMMYFUNCTION("""COMPUTED_VALUE"""),"6")</f>
        <v>6</v>
      </c>
      <c r="K2891" s="6" t="str">
        <f>IFERROR(__xludf.DUMMYFUNCTION("""COMPUTED_VALUE"""),"rivver_bodrero@stu.ortrail.k12.or.us")</f>
        <v>rivver_bodrero@stu.ortrail.k12.or.us</v>
      </c>
      <c r="L2891" s="6" t="str">
        <f>IFERROR(__xludf.DUMMYFUNCTION("""COMPUTED_VALUE"""),"Oregon Trail School District 46")</f>
        <v>Oregon Trail School District 46</v>
      </c>
      <c r="M2891" s="6" t="str">
        <f>IFERROR(__xludf.DUMMYFUNCTION("""COMPUTED_VALUE"""),"Welches Middle School")</f>
        <v>Welches Middle School</v>
      </c>
      <c r="N2891" s="6" t="str">
        <f>IFERROR(__xludf.DUMMYFUNCTION("""COMPUTED_VALUE"""),"")</f>
        <v/>
      </c>
      <c r="O2891" s="87" t="str">
        <f>IFERROR(__xludf.DUMMYFUNCTION("""COMPUTED_VALUE"""),"https://drive.google.com/drive/folders/10T2cTQHqEJZqE-st6uFKPoI?usp=share_link")</f>
        <v>https://drive.google.com/drive/folders/10T2cTQHqEJZqE-st6uFKPoI?usp=share_link</v>
      </c>
      <c r="P2891" s="6" t="str">
        <f>IFERROR(__xludf.DUMMYFUNCTION("""COMPUTED_VALUE"""),"Rivver Bodrero")</f>
        <v>Rivver Bodrero</v>
      </c>
      <c r="Q2891" s="6" t="str">
        <f>IFERROR(__xludf.DUMMYFUNCTION("""COMPUTED_VALUE"""),"MS")</f>
        <v>MS</v>
      </c>
      <c r="R2891" s="6">
        <f>IFERROR(__xludf.DUMMYFUNCTION("""COMPUTED_VALUE"""),0.0)</f>
        <v>0</v>
      </c>
      <c r="S2891" s="6" t="str">
        <f>IFERROR(__xludf.DUMMYFUNCTION("""COMPUTED_VALUE"""),"Nicole Kellim")</f>
        <v>Nicole Kellim</v>
      </c>
      <c r="T2891" s="6" t="str">
        <f>IFERROR(__xludf.DUMMYFUNCTION("""COMPUTED_VALUE"""),"nicole.kellim@ortrail.k12.or.us")</f>
        <v>nicole.kellim@ortrail.k12.or.us</v>
      </c>
      <c r="U2891" s="6" t="str">
        <f>IFERROR(__xludf.DUMMYFUNCTION("""COMPUTED_VALUE"""),"6")</f>
        <v>6</v>
      </c>
      <c r="V2891" s="6" t="str">
        <f>IFERROR(__xludf.DUMMYFUNCTION("""COMPUTED_VALUE"""),"English")</f>
        <v>English</v>
      </c>
      <c r="W2891" s="6" t="str">
        <f>IFERROR(__xludf.DUMMYFUNCTION("""COMPUTED_VALUE"""),"[]")</f>
        <v>[]</v>
      </c>
      <c r="X2891" s="6" t="str">
        <f>IFERROR(__xludf.DUMMYFUNCTION("""COMPUTED_VALUE"""),"Enrolled")</f>
        <v>Enrolled</v>
      </c>
    </row>
    <row r="2892">
      <c r="A2892" s="6" t="str">
        <f>IFERROR(__xludf.DUMMYFUNCTION("""COMPUTED_VALUE"""),"064-5127")</f>
        <v>064-5127</v>
      </c>
      <c r="B2892" s="6" t="str">
        <f>IFERROR(__xludf.DUMMYFUNCTION("""COMPUTED_VALUE"""),"64")</f>
        <v>64</v>
      </c>
      <c r="C2892" s="6" t="str">
        <f>IFERROR(__xludf.DUMMYFUNCTION("""COMPUTED_VALUE"""),"5127")</f>
        <v>5127</v>
      </c>
      <c r="D2892" s="6" t="str">
        <f>IFERROR(__xludf.DUMMYFUNCTION("""COMPUTED_VALUE"""),"Holden")</f>
        <v>Holden</v>
      </c>
      <c r="E2892" s="6" t="str">
        <f>IFERROR(__xludf.DUMMYFUNCTION("""COMPUTED_VALUE"""),"")</f>
        <v/>
      </c>
      <c r="F2892" s="6" t="str">
        <f>IFERROR(__xludf.DUMMYFUNCTION("""COMPUTED_VALUE"""),"Brower")</f>
        <v>Brower</v>
      </c>
      <c r="G2892" s="6" t="str">
        <f>IFERROR(__xludf.DUMMYFUNCTION("""COMPUTED_VALUE"""),"03/04/2014")</f>
        <v>03/04/2014</v>
      </c>
      <c r="H2892" s="6" t="str">
        <f>IFERROR(__xludf.DUMMYFUNCTION("""COMPUTED_VALUE"""),"Self Identify")</f>
        <v>Self Identify</v>
      </c>
      <c r="I2892" s="6" t="str">
        <f>IFERROR(__xludf.DUMMYFUNCTION("""COMPUTED_VALUE"""),"Middle School")</f>
        <v>Middle School</v>
      </c>
      <c r="J2892" s="6" t="str">
        <f>IFERROR(__xludf.DUMMYFUNCTION("""COMPUTED_VALUE"""),"6")</f>
        <v>6</v>
      </c>
      <c r="K2892" s="6" t="str">
        <f>IFERROR(__xludf.DUMMYFUNCTION("""COMPUTED_VALUE"""),"holden_brower@stu.ortrail.k12.or.us")</f>
        <v>holden_brower@stu.ortrail.k12.or.us</v>
      </c>
      <c r="L2892" s="6" t="str">
        <f>IFERROR(__xludf.DUMMYFUNCTION("""COMPUTED_VALUE"""),"Oregon Trail School District 46")</f>
        <v>Oregon Trail School District 46</v>
      </c>
      <c r="M2892" s="6" t="str">
        <f>IFERROR(__xludf.DUMMYFUNCTION("""COMPUTED_VALUE"""),"Welches Middle School Original Instruction")</f>
        <v>Welches Middle School Original Instruction</v>
      </c>
      <c r="N2892" s="6" t="str">
        <f>IFERROR(__xludf.DUMMYFUNCTION("""COMPUTED_VALUE"""),"")</f>
        <v/>
      </c>
      <c r="O2892" s="87" t="str">
        <f>IFERROR(__xludf.DUMMYFUNCTION("""COMPUTED_VALUE"""),"https://drive.google.com/drive/folders/10T2cTQHqEJZqE-st6uFKPoI?usp=share_link")</f>
        <v>https://drive.google.com/drive/folders/10T2cTQHqEJZqE-st6uFKPoI?usp=share_link</v>
      </c>
      <c r="P2892" s="6" t="str">
        <f>IFERROR(__xludf.DUMMYFUNCTION("""COMPUTED_VALUE"""),"Holden Brower")</f>
        <v>Holden Brower</v>
      </c>
      <c r="Q2892" s="6" t="str">
        <f>IFERROR(__xludf.DUMMYFUNCTION("""COMPUTED_VALUE"""),"MS")</f>
        <v>MS</v>
      </c>
      <c r="R2892" s="6">
        <f>IFERROR(__xludf.DUMMYFUNCTION("""COMPUTED_VALUE"""),0.0)</f>
        <v>0</v>
      </c>
      <c r="S2892" s="6" t="str">
        <f>IFERROR(__xludf.DUMMYFUNCTION("""COMPUTED_VALUE"""),"Genevra Self")</f>
        <v>Genevra Self</v>
      </c>
      <c r="T2892" s="6" t="str">
        <f>IFERROR(__xludf.DUMMYFUNCTION("""COMPUTED_VALUE"""),"genevra.self@studient.com")</f>
        <v>genevra.self@studient.com</v>
      </c>
      <c r="U2892" s="6" t="str">
        <f>IFERROR(__xludf.DUMMYFUNCTION("""COMPUTED_VALUE"""),"6")</f>
        <v>6</v>
      </c>
      <c r="V2892" s="6" t="str">
        <f>IFERROR(__xludf.DUMMYFUNCTION("""COMPUTED_VALUE"""),"English")</f>
        <v>English</v>
      </c>
      <c r="W2892" s="6" t="str">
        <f>IFERROR(__xludf.DUMMYFUNCTION("""COMPUTED_VALUE"""),"[]")</f>
        <v>[]</v>
      </c>
      <c r="X2892" s="6" t="str">
        <f>IFERROR(__xludf.DUMMYFUNCTION("""COMPUTED_VALUE"""),"Enrolled")</f>
        <v>Enrolled</v>
      </c>
    </row>
    <row r="2893">
      <c r="A2893" s="6" t="str">
        <f>IFERROR(__xludf.DUMMYFUNCTION("""COMPUTED_VALUE"""),"064-5128")</f>
        <v>064-5128</v>
      </c>
      <c r="B2893" s="6" t="str">
        <f>IFERROR(__xludf.DUMMYFUNCTION("""COMPUTED_VALUE"""),"64")</f>
        <v>64</v>
      </c>
      <c r="C2893" s="6" t="str">
        <f>IFERROR(__xludf.DUMMYFUNCTION("""COMPUTED_VALUE"""),"5128")</f>
        <v>5128</v>
      </c>
      <c r="D2893" s="6" t="str">
        <f>IFERROR(__xludf.DUMMYFUNCTION("""COMPUTED_VALUE"""),"Clifton")</f>
        <v>Clifton</v>
      </c>
      <c r="E2893" s="6" t="str">
        <f>IFERROR(__xludf.DUMMYFUNCTION("""COMPUTED_VALUE"""),"")</f>
        <v/>
      </c>
      <c r="F2893" s="6" t="str">
        <f>IFERROR(__xludf.DUMMYFUNCTION("""COMPUTED_VALUE"""),"Brown")</f>
        <v>Brown</v>
      </c>
      <c r="G2893" s="6" t="str">
        <f>IFERROR(__xludf.DUMMYFUNCTION("""COMPUTED_VALUE"""),"02/07/2014")</f>
        <v>02/07/2014</v>
      </c>
      <c r="H2893" s="6" t="str">
        <f>IFERROR(__xludf.DUMMYFUNCTION("""COMPUTED_VALUE"""),"Self Identify")</f>
        <v>Self Identify</v>
      </c>
      <c r="I2893" s="6" t="str">
        <f>IFERROR(__xludf.DUMMYFUNCTION("""COMPUTED_VALUE"""),"Middle School")</f>
        <v>Middle School</v>
      </c>
      <c r="J2893" s="6" t="str">
        <f>IFERROR(__xludf.DUMMYFUNCTION("""COMPUTED_VALUE"""),"6")</f>
        <v>6</v>
      </c>
      <c r="K2893" s="6" t="str">
        <f>IFERROR(__xludf.DUMMYFUNCTION("""COMPUTED_VALUE"""),"clifton_brown@stu.ortrail.k12.or.us")</f>
        <v>clifton_brown@stu.ortrail.k12.or.us</v>
      </c>
      <c r="L2893" s="6" t="str">
        <f>IFERROR(__xludf.DUMMYFUNCTION("""COMPUTED_VALUE"""),"Oregon Trail School District 46")</f>
        <v>Oregon Trail School District 46</v>
      </c>
      <c r="M2893" s="6" t="str">
        <f>IFERROR(__xludf.DUMMYFUNCTION("""COMPUTED_VALUE"""),"Welches Middle School Original Instruction")</f>
        <v>Welches Middle School Original Instruction</v>
      </c>
      <c r="N2893" s="6" t="str">
        <f>IFERROR(__xludf.DUMMYFUNCTION("""COMPUTED_VALUE"""),"")</f>
        <v/>
      </c>
      <c r="O2893" s="87" t="str">
        <f>IFERROR(__xludf.DUMMYFUNCTION("""COMPUTED_VALUE"""),"https://drive.google.com/drive/folders/10T2cTQHqEJZqE-st6uFKPoI?usp=share_link")</f>
        <v>https://drive.google.com/drive/folders/10T2cTQHqEJZqE-st6uFKPoI?usp=share_link</v>
      </c>
      <c r="P2893" s="6" t="str">
        <f>IFERROR(__xludf.DUMMYFUNCTION("""COMPUTED_VALUE"""),"Clifton Brown")</f>
        <v>Clifton Brown</v>
      </c>
      <c r="Q2893" s="6" t="str">
        <f>IFERROR(__xludf.DUMMYFUNCTION("""COMPUTED_VALUE"""),"MS")</f>
        <v>MS</v>
      </c>
      <c r="R2893" s="6">
        <f>IFERROR(__xludf.DUMMYFUNCTION("""COMPUTED_VALUE"""),0.0)</f>
        <v>0</v>
      </c>
      <c r="S2893" s="6" t="str">
        <f>IFERROR(__xludf.DUMMYFUNCTION("""COMPUTED_VALUE"""),"Genevra Self")</f>
        <v>Genevra Self</v>
      </c>
      <c r="T2893" s="6" t="str">
        <f>IFERROR(__xludf.DUMMYFUNCTION("""COMPUTED_VALUE"""),"genevra.self@studient.com")</f>
        <v>genevra.self@studient.com</v>
      </c>
      <c r="U2893" s="6" t="str">
        <f>IFERROR(__xludf.DUMMYFUNCTION("""COMPUTED_VALUE"""),"6")</f>
        <v>6</v>
      </c>
      <c r="V2893" s="6" t="str">
        <f>IFERROR(__xludf.DUMMYFUNCTION("""COMPUTED_VALUE"""),"English")</f>
        <v>English</v>
      </c>
      <c r="W2893" s="6" t="str">
        <f>IFERROR(__xludf.DUMMYFUNCTION("""COMPUTED_VALUE"""),"[]")</f>
        <v>[]</v>
      </c>
      <c r="X2893" s="6" t="str">
        <f>IFERROR(__xludf.DUMMYFUNCTION("""COMPUTED_VALUE"""),"Enrolled")</f>
        <v>Enrolled</v>
      </c>
    </row>
    <row r="2894">
      <c r="A2894" s="6" t="str">
        <f>IFERROR(__xludf.DUMMYFUNCTION("""COMPUTED_VALUE"""),"064-5129")</f>
        <v>064-5129</v>
      </c>
      <c r="B2894" s="6" t="str">
        <f>IFERROR(__xludf.DUMMYFUNCTION("""COMPUTED_VALUE"""),"64")</f>
        <v>64</v>
      </c>
      <c r="C2894" s="6" t="str">
        <f>IFERROR(__xludf.DUMMYFUNCTION("""COMPUTED_VALUE"""),"5129")</f>
        <v>5129</v>
      </c>
      <c r="D2894" s="6" t="str">
        <f>IFERROR(__xludf.DUMMYFUNCTION("""COMPUTED_VALUE"""),"Luis Ivan")</f>
        <v>Luis Ivan</v>
      </c>
      <c r="E2894" s="6" t="str">
        <f>IFERROR(__xludf.DUMMYFUNCTION("""COMPUTED_VALUE"""),"")</f>
        <v/>
      </c>
      <c r="F2894" s="6" t="str">
        <f>IFERROR(__xludf.DUMMYFUNCTION("""COMPUTED_VALUE"""),"Campos")</f>
        <v>Campos</v>
      </c>
      <c r="G2894" s="6" t="str">
        <f>IFERROR(__xludf.DUMMYFUNCTION("""COMPUTED_VALUE"""),"01/21/2014")</f>
        <v>01/21/2014</v>
      </c>
      <c r="H2894" s="6" t="str">
        <f>IFERROR(__xludf.DUMMYFUNCTION("""COMPUTED_VALUE"""),"Self Identify")</f>
        <v>Self Identify</v>
      </c>
      <c r="I2894" s="6" t="str">
        <f>IFERROR(__xludf.DUMMYFUNCTION("""COMPUTED_VALUE"""),"Middle School")</f>
        <v>Middle School</v>
      </c>
      <c r="J2894" s="6" t="str">
        <f>IFERROR(__xludf.DUMMYFUNCTION("""COMPUTED_VALUE"""),"6")</f>
        <v>6</v>
      </c>
      <c r="K2894" s="6" t="str">
        <f>IFERROR(__xludf.DUMMYFUNCTION("""COMPUTED_VALUE"""),"ivan_campos@stu.ortrail.k12.or.us")</f>
        <v>ivan_campos@stu.ortrail.k12.or.us</v>
      </c>
      <c r="L2894" s="6" t="str">
        <f>IFERROR(__xludf.DUMMYFUNCTION("""COMPUTED_VALUE"""),"Oregon Trail School District 46")</f>
        <v>Oregon Trail School District 46</v>
      </c>
      <c r="M2894" s="6" t="str">
        <f>IFERROR(__xludf.DUMMYFUNCTION("""COMPUTED_VALUE"""),"Welches Middle School")</f>
        <v>Welches Middle School</v>
      </c>
      <c r="N2894" s="6" t="str">
        <f>IFERROR(__xludf.DUMMYFUNCTION("""COMPUTED_VALUE"""),"")</f>
        <v/>
      </c>
      <c r="O2894" s="87" t="str">
        <f>IFERROR(__xludf.DUMMYFUNCTION("""COMPUTED_VALUE"""),"https://drive.google.com/drive/folders/10T2cTQHqEJZqE-st6uFKPoI?usp=share_link")</f>
        <v>https://drive.google.com/drive/folders/10T2cTQHqEJZqE-st6uFKPoI?usp=share_link</v>
      </c>
      <c r="P2894" s="6" t="str">
        <f>IFERROR(__xludf.DUMMYFUNCTION("""COMPUTED_VALUE"""),"Luis Ivan Campos")</f>
        <v>Luis Ivan Campos</v>
      </c>
      <c r="Q2894" s="6" t="str">
        <f>IFERROR(__xludf.DUMMYFUNCTION("""COMPUTED_VALUE"""),"MS")</f>
        <v>MS</v>
      </c>
      <c r="R2894" s="6">
        <f>IFERROR(__xludf.DUMMYFUNCTION("""COMPUTED_VALUE"""),0.0)</f>
        <v>0</v>
      </c>
      <c r="S2894" s="6" t="str">
        <f>IFERROR(__xludf.DUMMYFUNCTION("""COMPUTED_VALUE"""),"Nicole Kellim")</f>
        <v>Nicole Kellim</v>
      </c>
      <c r="T2894" s="6" t="str">
        <f>IFERROR(__xludf.DUMMYFUNCTION("""COMPUTED_VALUE"""),"nicole.kellim@ortrail.k12.or.us")</f>
        <v>nicole.kellim@ortrail.k12.or.us</v>
      </c>
      <c r="U2894" s="6" t="str">
        <f>IFERROR(__xludf.DUMMYFUNCTION("""COMPUTED_VALUE"""),"6")</f>
        <v>6</v>
      </c>
      <c r="V2894" s="6" t="str">
        <f>IFERROR(__xludf.DUMMYFUNCTION("""COMPUTED_VALUE"""),"English")</f>
        <v>English</v>
      </c>
      <c r="W2894" s="6" t="str">
        <f>IFERROR(__xludf.DUMMYFUNCTION("""COMPUTED_VALUE"""),"[]")</f>
        <v>[]</v>
      </c>
      <c r="X2894" s="6" t="str">
        <f>IFERROR(__xludf.DUMMYFUNCTION("""COMPUTED_VALUE"""),"Enrolled")</f>
        <v>Enrolled</v>
      </c>
    </row>
    <row r="2895">
      <c r="A2895" s="6" t="str">
        <f>IFERROR(__xludf.DUMMYFUNCTION("""COMPUTED_VALUE"""),"064-5130")</f>
        <v>064-5130</v>
      </c>
      <c r="B2895" s="6" t="str">
        <f>IFERROR(__xludf.DUMMYFUNCTION("""COMPUTED_VALUE"""),"64")</f>
        <v>64</v>
      </c>
      <c r="C2895" s="6" t="str">
        <f>IFERROR(__xludf.DUMMYFUNCTION("""COMPUTED_VALUE"""),"5130")</f>
        <v>5130</v>
      </c>
      <c r="D2895" s="6" t="str">
        <f>IFERROR(__xludf.DUMMYFUNCTION("""COMPUTED_VALUE"""),"Jude")</f>
        <v>Jude</v>
      </c>
      <c r="E2895" s="6" t="str">
        <f>IFERROR(__xludf.DUMMYFUNCTION("""COMPUTED_VALUE"""),"")</f>
        <v/>
      </c>
      <c r="F2895" s="6" t="str">
        <f>IFERROR(__xludf.DUMMYFUNCTION("""COMPUTED_VALUE"""),"Cole-Parkins")</f>
        <v>Cole-Parkins</v>
      </c>
      <c r="G2895" s="6" t="str">
        <f>IFERROR(__xludf.DUMMYFUNCTION("""COMPUTED_VALUE"""),"04/24/2014")</f>
        <v>04/24/2014</v>
      </c>
      <c r="H2895" s="6" t="str">
        <f>IFERROR(__xludf.DUMMYFUNCTION("""COMPUTED_VALUE"""),"Self Identify")</f>
        <v>Self Identify</v>
      </c>
      <c r="I2895" s="6" t="str">
        <f>IFERROR(__xludf.DUMMYFUNCTION("""COMPUTED_VALUE"""),"Middle School")</f>
        <v>Middle School</v>
      </c>
      <c r="J2895" s="6" t="str">
        <f>IFERROR(__xludf.DUMMYFUNCTION("""COMPUTED_VALUE"""),"6")</f>
        <v>6</v>
      </c>
      <c r="K2895" s="6" t="str">
        <f>IFERROR(__xludf.DUMMYFUNCTION("""COMPUTED_VALUE"""),"jude_coleparkins@stu.ortrail.k12.or.us")</f>
        <v>jude_coleparkins@stu.ortrail.k12.or.us</v>
      </c>
      <c r="L2895" s="6" t="str">
        <f>IFERROR(__xludf.DUMMYFUNCTION("""COMPUTED_VALUE"""),"Oregon Trail School District 46")</f>
        <v>Oregon Trail School District 46</v>
      </c>
      <c r="M2895" s="6" t="str">
        <f>IFERROR(__xludf.DUMMYFUNCTION("""COMPUTED_VALUE"""),"Welches Middle School")</f>
        <v>Welches Middle School</v>
      </c>
      <c r="N2895" s="6" t="str">
        <f>IFERROR(__xludf.DUMMYFUNCTION("""COMPUTED_VALUE"""),"")</f>
        <v/>
      </c>
      <c r="O2895" s="87" t="str">
        <f>IFERROR(__xludf.DUMMYFUNCTION("""COMPUTED_VALUE"""),"https://drive.google.com/drive/folders/10T2cTQHqEJZqE-st6uFKPoI?usp=share_link")</f>
        <v>https://drive.google.com/drive/folders/10T2cTQHqEJZqE-st6uFKPoI?usp=share_link</v>
      </c>
      <c r="P2895" s="6" t="str">
        <f>IFERROR(__xludf.DUMMYFUNCTION("""COMPUTED_VALUE"""),"Jude Cole-Parkins")</f>
        <v>Jude Cole-Parkins</v>
      </c>
      <c r="Q2895" s="6" t="str">
        <f>IFERROR(__xludf.DUMMYFUNCTION("""COMPUTED_VALUE"""),"MS")</f>
        <v>MS</v>
      </c>
      <c r="R2895" s="6">
        <f>IFERROR(__xludf.DUMMYFUNCTION("""COMPUTED_VALUE"""),0.0)</f>
        <v>0</v>
      </c>
      <c r="S2895" s="6" t="str">
        <f>IFERROR(__xludf.DUMMYFUNCTION("""COMPUTED_VALUE"""),"Nicole Kellim")</f>
        <v>Nicole Kellim</v>
      </c>
      <c r="T2895" s="6" t="str">
        <f>IFERROR(__xludf.DUMMYFUNCTION("""COMPUTED_VALUE"""),"nicole.kellim@ortrail.k12.or.us")</f>
        <v>nicole.kellim@ortrail.k12.or.us</v>
      </c>
      <c r="U2895" s="6" t="str">
        <f>IFERROR(__xludf.DUMMYFUNCTION("""COMPUTED_VALUE"""),"6")</f>
        <v>6</v>
      </c>
      <c r="V2895" s="6" t="str">
        <f>IFERROR(__xludf.DUMMYFUNCTION("""COMPUTED_VALUE"""),"English")</f>
        <v>English</v>
      </c>
      <c r="W2895" s="6" t="str">
        <f>IFERROR(__xludf.DUMMYFUNCTION("""COMPUTED_VALUE"""),"[]")</f>
        <v>[]</v>
      </c>
      <c r="X2895" s="6" t="str">
        <f>IFERROR(__xludf.DUMMYFUNCTION("""COMPUTED_VALUE"""),"Enrolled")</f>
        <v>Enrolled</v>
      </c>
    </row>
    <row r="2896">
      <c r="A2896" s="6" t="str">
        <f>IFERROR(__xludf.DUMMYFUNCTION("""COMPUTED_VALUE"""),"064-5131")</f>
        <v>064-5131</v>
      </c>
      <c r="B2896" s="6" t="str">
        <f>IFERROR(__xludf.DUMMYFUNCTION("""COMPUTED_VALUE"""),"64")</f>
        <v>64</v>
      </c>
      <c r="C2896" s="6" t="str">
        <f>IFERROR(__xludf.DUMMYFUNCTION("""COMPUTED_VALUE"""),"5131")</f>
        <v>5131</v>
      </c>
      <c r="D2896" s="6" t="str">
        <f>IFERROR(__xludf.DUMMYFUNCTION("""COMPUTED_VALUE"""),"Jaxson")</f>
        <v>Jaxson</v>
      </c>
      <c r="E2896" s="6" t="str">
        <f>IFERROR(__xludf.DUMMYFUNCTION("""COMPUTED_VALUE"""),"")</f>
        <v/>
      </c>
      <c r="F2896" s="6" t="str">
        <f>IFERROR(__xludf.DUMMYFUNCTION("""COMPUTED_VALUE"""),"Coyne")</f>
        <v>Coyne</v>
      </c>
      <c r="G2896" s="6" t="str">
        <f>IFERROR(__xludf.DUMMYFUNCTION("""COMPUTED_VALUE"""),"07/25/2013")</f>
        <v>07/25/2013</v>
      </c>
      <c r="H2896" s="6" t="str">
        <f>IFERROR(__xludf.DUMMYFUNCTION("""COMPUTED_VALUE"""),"Self Identify")</f>
        <v>Self Identify</v>
      </c>
      <c r="I2896" s="6" t="str">
        <f>IFERROR(__xludf.DUMMYFUNCTION("""COMPUTED_VALUE"""),"Middle School")</f>
        <v>Middle School</v>
      </c>
      <c r="J2896" s="6" t="str">
        <f>IFERROR(__xludf.DUMMYFUNCTION("""COMPUTED_VALUE"""),"6")</f>
        <v>6</v>
      </c>
      <c r="K2896" s="6" t="str">
        <f>IFERROR(__xludf.DUMMYFUNCTION("""COMPUTED_VALUE"""),"jaxson_coyne@stu.ortrail.k12.or.us")</f>
        <v>jaxson_coyne@stu.ortrail.k12.or.us</v>
      </c>
      <c r="L2896" s="6" t="str">
        <f>IFERROR(__xludf.DUMMYFUNCTION("""COMPUTED_VALUE"""),"Oregon Trail School District 46")</f>
        <v>Oregon Trail School District 46</v>
      </c>
      <c r="M2896" s="6" t="str">
        <f>IFERROR(__xludf.DUMMYFUNCTION("""COMPUTED_VALUE"""),"Welches Middle School Original Instruction")</f>
        <v>Welches Middle School Original Instruction</v>
      </c>
      <c r="N2896" s="6" t="str">
        <f>IFERROR(__xludf.DUMMYFUNCTION("""COMPUTED_VALUE"""),"")</f>
        <v/>
      </c>
      <c r="O2896" s="87" t="str">
        <f>IFERROR(__xludf.DUMMYFUNCTION("""COMPUTED_VALUE"""),"https://drive.google.com/drive/folders/10T2cTQHqEJZqE-st6uFKPoI?usp=share_link")</f>
        <v>https://drive.google.com/drive/folders/10T2cTQHqEJZqE-st6uFKPoI?usp=share_link</v>
      </c>
      <c r="P2896" s="6" t="str">
        <f>IFERROR(__xludf.DUMMYFUNCTION("""COMPUTED_VALUE"""),"Jaxson Coyne")</f>
        <v>Jaxson Coyne</v>
      </c>
      <c r="Q2896" s="6" t="str">
        <f>IFERROR(__xludf.DUMMYFUNCTION("""COMPUTED_VALUE"""),"MS")</f>
        <v>MS</v>
      </c>
      <c r="R2896" s="6">
        <f>IFERROR(__xludf.DUMMYFUNCTION("""COMPUTED_VALUE"""),0.0)</f>
        <v>0</v>
      </c>
      <c r="S2896" s="6" t="str">
        <f>IFERROR(__xludf.DUMMYFUNCTION("""COMPUTED_VALUE"""),"Genevra Self")</f>
        <v>Genevra Self</v>
      </c>
      <c r="T2896" s="6" t="str">
        <f>IFERROR(__xludf.DUMMYFUNCTION("""COMPUTED_VALUE"""),"genevra.self@studient.com")</f>
        <v>genevra.self@studient.com</v>
      </c>
      <c r="U2896" s="6" t="str">
        <f>IFERROR(__xludf.DUMMYFUNCTION("""COMPUTED_VALUE"""),"6")</f>
        <v>6</v>
      </c>
      <c r="V2896" s="6" t="str">
        <f>IFERROR(__xludf.DUMMYFUNCTION("""COMPUTED_VALUE"""),"English")</f>
        <v>English</v>
      </c>
      <c r="W2896" s="6" t="str">
        <f>IFERROR(__xludf.DUMMYFUNCTION("""COMPUTED_VALUE"""),"[]")</f>
        <v>[]</v>
      </c>
      <c r="X2896" s="6" t="str">
        <f>IFERROR(__xludf.DUMMYFUNCTION("""COMPUTED_VALUE"""),"Enrolled")</f>
        <v>Enrolled</v>
      </c>
    </row>
    <row r="2897">
      <c r="A2897" s="6" t="str">
        <f>IFERROR(__xludf.DUMMYFUNCTION("""COMPUTED_VALUE"""),"064-5132")</f>
        <v>064-5132</v>
      </c>
      <c r="B2897" s="6" t="str">
        <f>IFERROR(__xludf.DUMMYFUNCTION("""COMPUTED_VALUE"""),"64")</f>
        <v>64</v>
      </c>
      <c r="C2897" s="6" t="str">
        <f>IFERROR(__xludf.DUMMYFUNCTION("""COMPUTED_VALUE"""),"5132")</f>
        <v>5132</v>
      </c>
      <c r="D2897" s="6" t="str">
        <f>IFERROR(__xludf.DUMMYFUNCTION("""COMPUTED_VALUE"""),"Maria")</f>
        <v>Maria</v>
      </c>
      <c r="E2897" s="6" t="str">
        <f>IFERROR(__xludf.DUMMYFUNCTION("""COMPUTED_VALUE"""),"")</f>
        <v/>
      </c>
      <c r="F2897" s="6" t="str">
        <f>IFERROR(__xludf.DUMMYFUNCTION("""COMPUTED_VALUE"""),"Cruz Martinez")</f>
        <v>Cruz Martinez</v>
      </c>
      <c r="G2897" s="6" t="str">
        <f>IFERROR(__xludf.DUMMYFUNCTION("""COMPUTED_VALUE"""),"04/25/2014")</f>
        <v>04/25/2014</v>
      </c>
      <c r="H2897" s="6" t="str">
        <f>IFERROR(__xludf.DUMMYFUNCTION("""COMPUTED_VALUE"""),"Self Identify")</f>
        <v>Self Identify</v>
      </c>
      <c r="I2897" s="6" t="str">
        <f>IFERROR(__xludf.DUMMYFUNCTION("""COMPUTED_VALUE"""),"Middle School")</f>
        <v>Middle School</v>
      </c>
      <c r="J2897" s="6" t="str">
        <f>IFERROR(__xludf.DUMMYFUNCTION("""COMPUTED_VALUE"""),"6")</f>
        <v>6</v>
      </c>
      <c r="K2897" s="6" t="str">
        <f>IFERROR(__xludf.DUMMYFUNCTION("""COMPUTED_VALUE"""),"maria_cruzmartinez@stu.ortrail.k12.or.us")</f>
        <v>maria_cruzmartinez@stu.ortrail.k12.or.us</v>
      </c>
      <c r="L2897" s="6" t="str">
        <f>IFERROR(__xludf.DUMMYFUNCTION("""COMPUTED_VALUE"""),"Oregon Trail School District 46")</f>
        <v>Oregon Trail School District 46</v>
      </c>
      <c r="M2897" s="6" t="str">
        <f>IFERROR(__xludf.DUMMYFUNCTION("""COMPUTED_VALUE"""),"Welches Middle School Original Instruction")</f>
        <v>Welches Middle School Original Instruction</v>
      </c>
      <c r="N2897" s="6" t="str">
        <f>IFERROR(__xludf.DUMMYFUNCTION("""COMPUTED_VALUE"""),"")</f>
        <v/>
      </c>
      <c r="O2897" s="87" t="str">
        <f>IFERROR(__xludf.DUMMYFUNCTION("""COMPUTED_VALUE"""),"https://drive.google.com/drive/folders/10T2cTQHqEJZqE-st6uFKPoI?usp=share_link")</f>
        <v>https://drive.google.com/drive/folders/10T2cTQHqEJZqE-st6uFKPoI?usp=share_link</v>
      </c>
      <c r="P2897" s="6" t="str">
        <f>IFERROR(__xludf.DUMMYFUNCTION("""COMPUTED_VALUE"""),"Maria Cruz Martinez")</f>
        <v>Maria Cruz Martinez</v>
      </c>
      <c r="Q2897" s="6" t="str">
        <f>IFERROR(__xludf.DUMMYFUNCTION("""COMPUTED_VALUE"""),"MS")</f>
        <v>MS</v>
      </c>
      <c r="R2897" s="6">
        <f>IFERROR(__xludf.DUMMYFUNCTION("""COMPUTED_VALUE"""),0.0)</f>
        <v>0</v>
      </c>
      <c r="S2897" s="6" t="str">
        <f>IFERROR(__xludf.DUMMYFUNCTION("""COMPUTED_VALUE"""),"Genevra Self")</f>
        <v>Genevra Self</v>
      </c>
      <c r="T2897" s="6" t="str">
        <f>IFERROR(__xludf.DUMMYFUNCTION("""COMPUTED_VALUE"""),"genevra.self@studient.com")</f>
        <v>genevra.self@studient.com</v>
      </c>
      <c r="U2897" s="6" t="str">
        <f>IFERROR(__xludf.DUMMYFUNCTION("""COMPUTED_VALUE"""),"6")</f>
        <v>6</v>
      </c>
      <c r="V2897" s="6" t="str">
        <f>IFERROR(__xludf.DUMMYFUNCTION("""COMPUTED_VALUE"""),"English")</f>
        <v>English</v>
      </c>
      <c r="W2897" s="6" t="str">
        <f>IFERROR(__xludf.DUMMYFUNCTION("""COMPUTED_VALUE"""),"[]")</f>
        <v>[]</v>
      </c>
      <c r="X2897" s="6" t="str">
        <f>IFERROR(__xludf.DUMMYFUNCTION("""COMPUTED_VALUE"""),"Enrolled")</f>
        <v>Enrolled</v>
      </c>
    </row>
    <row r="2898">
      <c r="A2898" s="6" t="str">
        <f>IFERROR(__xludf.DUMMYFUNCTION("""COMPUTED_VALUE"""),"064-5133")</f>
        <v>064-5133</v>
      </c>
      <c r="B2898" s="6" t="str">
        <f>IFERROR(__xludf.DUMMYFUNCTION("""COMPUTED_VALUE"""),"64")</f>
        <v>64</v>
      </c>
      <c r="C2898" s="6" t="str">
        <f>IFERROR(__xludf.DUMMYFUNCTION("""COMPUTED_VALUE"""),"5133")</f>
        <v>5133</v>
      </c>
      <c r="D2898" s="6" t="str">
        <f>IFERROR(__xludf.DUMMYFUNCTION("""COMPUTED_VALUE"""),"Coen")</f>
        <v>Coen</v>
      </c>
      <c r="E2898" s="6" t="str">
        <f>IFERROR(__xludf.DUMMYFUNCTION("""COMPUTED_VALUE"""),"")</f>
        <v/>
      </c>
      <c r="F2898" s="6" t="str">
        <f>IFERROR(__xludf.DUMMYFUNCTION("""COMPUTED_VALUE"""),"Gaittens")</f>
        <v>Gaittens</v>
      </c>
      <c r="G2898" s="6" t="str">
        <f>IFERROR(__xludf.DUMMYFUNCTION("""COMPUTED_VALUE"""),"08/14/2014")</f>
        <v>08/14/2014</v>
      </c>
      <c r="H2898" s="6" t="str">
        <f>IFERROR(__xludf.DUMMYFUNCTION("""COMPUTED_VALUE"""),"Self Identify")</f>
        <v>Self Identify</v>
      </c>
      <c r="I2898" s="6" t="str">
        <f>IFERROR(__xludf.DUMMYFUNCTION("""COMPUTED_VALUE"""),"Middle School")</f>
        <v>Middle School</v>
      </c>
      <c r="J2898" s="6" t="str">
        <f>IFERROR(__xludf.DUMMYFUNCTION("""COMPUTED_VALUE"""),"6")</f>
        <v>6</v>
      </c>
      <c r="K2898" s="6" t="str">
        <f>IFERROR(__xludf.DUMMYFUNCTION("""COMPUTED_VALUE"""),"coen_gaittens@stu.ortrail.k12.or.us")</f>
        <v>coen_gaittens@stu.ortrail.k12.or.us</v>
      </c>
      <c r="L2898" s="6" t="str">
        <f>IFERROR(__xludf.DUMMYFUNCTION("""COMPUTED_VALUE"""),"Oregon Trail School District 46")</f>
        <v>Oregon Trail School District 46</v>
      </c>
      <c r="M2898" s="6" t="str">
        <f>IFERROR(__xludf.DUMMYFUNCTION("""COMPUTED_VALUE"""),"Welches Middle School Original Instruction")</f>
        <v>Welches Middle School Original Instruction</v>
      </c>
      <c r="N2898" s="6" t="str">
        <f>IFERROR(__xludf.DUMMYFUNCTION("""COMPUTED_VALUE"""),"")</f>
        <v/>
      </c>
      <c r="O2898" s="87" t="str">
        <f>IFERROR(__xludf.DUMMYFUNCTION("""COMPUTED_VALUE"""),"https://drive.google.com/drive/folders/10T2cTQHqEJZqE-st6uFKPoI?usp=share_link")</f>
        <v>https://drive.google.com/drive/folders/10T2cTQHqEJZqE-st6uFKPoI?usp=share_link</v>
      </c>
      <c r="P2898" s="6" t="str">
        <f>IFERROR(__xludf.DUMMYFUNCTION("""COMPUTED_VALUE"""),"Coen Gaittens")</f>
        <v>Coen Gaittens</v>
      </c>
      <c r="Q2898" s="6" t="str">
        <f>IFERROR(__xludf.DUMMYFUNCTION("""COMPUTED_VALUE"""),"MS")</f>
        <v>MS</v>
      </c>
      <c r="R2898" s="6">
        <f>IFERROR(__xludf.DUMMYFUNCTION("""COMPUTED_VALUE"""),0.0)</f>
        <v>0</v>
      </c>
      <c r="S2898" s="6" t="str">
        <f>IFERROR(__xludf.DUMMYFUNCTION("""COMPUTED_VALUE"""),"Genevra Self")</f>
        <v>Genevra Self</v>
      </c>
      <c r="T2898" s="6" t="str">
        <f>IFERROR(__xludf.DUMMYFUNCTION("""COMPUTED_VALUE"""),"genevra.self@studient.com")</f>
        <v>genevra.self@studient.com</v>
      </c>
      <c r="U2898" s="6" t="str">
        <f>IFERROR(__xludf.DUMMYFUNCTION("""COMPUTED_VALUE"""),"6")</f>
        <v>6</v>
      </c>
      <c r="V2898" s="6" t="str">
        <f>IFERROR(__xludf.DUMMYFUNCTION("""COMPUTED_VALUE"""),"English")</f>
        <v>English</v>
      </c>
      <c r="W2898" s="6" t="str">
        <f>IFERROR(__xludf.DUMMYFUNCTION("""COMPUTED_VALUE"""),"[]")</f>
        <v>[]</v>
      </c>
      <c r="X2898" s="6" t="str">
        <f>IFERROR(__xludf.DUMMYFUNCTION("""COMPUTED_VALUE"""),"Enrolled")</f>
        <v>Enrolled</v>
      </c>
    </row>
    <row r="2899">
      <c r="A2899" s="6" t="str">
        <f>IFERROR(__xludf.DUMMYFUNCTION("""COMPUTED_VALUE"""),"064-5134")</f>
        <v>064-5134</v>
      </c>
      <c r="B2899" s="6" t="str">
        <f>IFERROR(__xludf.DUMMYFUNCTION("""COMPUTED_VALUE"""),"64")</f>
        <v>64</v>
      </c>
      <c r="C2899" s="6" t="str">
        <f>IFERROR(__xludf.DUMMYFUNCTION("""COMPUTED_VALUE"""),"5134")</f>
        <v>5134</v>
      </c>
      <c r="D2899" s="6" t="str">
        <f>IFERROR(__xludf.DUMMYFUNCTION("""COMPUTED_VALUE"""),"Gael")</f>
        <v>Gael</v>
      </c>
      <c r="E2899" s="6" t="str">
        <f>IFERROR(__xludf.DUMMYFUNCTION("""COMPUTED_VALUE"""),"")</f>
        <v/>
      </c>
      <c r="F2899" s="6" t="str">
        <f>IFERROR(__xludf.DUMMYFUNCTION("""COMPUTED_VALUE"""),"Gallardo")</f>
        <v>Gallardo</v>
      </c>
      <c r="G2899" s="6" t="str">
        <f>IFERROR(__xludf.DUMMYFUNCTION("""COMPUTED_VALUE"""),"09/04/2013")</f>
        <v>09/04/2013</v>
      </c>
      <c r="H2899" s="6" t="str">
        <f>IFERROR(__xludf.DUMMYFUNCTION("""COMPUTED_VALUE"""),"Self Identify")</f>
        <v>Self Identify</v>
      </c>
      <c r="I2899" s="6" t="str">
        <f>IFERROR(__xludf.DUMMYFUNCTION("""COMPUTED_VALUE"""),"Middle School")</f>
        <v>Middle School</v>
      </c>
      <c r="J2899" s="6" t="str">
        <f>IFERROR(__xludf.DUMMYFUNCTION("""COMPUTED_VALUE"""),"6")</f>
        <v>6</v>
      </c>
      <c r="K2899" s="6" t="str">
        <f>IFERROR(__xludf.DUMMYFUNCTION("""COMPUTED_VALUE"""),"gael_gallardo@stu.ortrail.k12.or.us")</f>
        <v>gael_gallardo@stu.ortrail.k12.or.us</v>
      </c>
      <c r="L2899" s="6" t="str">
        <f>IFERROR(__xludf.DUMMYFUNCTION("""COMPUTED_VALUE"""),"Oregon Trail School District 46")</f>
        <v>Oregon Trail School District 46</v>
      </c>
      <c r="M2899" s="6" t="str">
        <f>IFERROR(__xludf.DUMMYFUNCTION("""COMPUTED_VALUE"""),"Welches Middle School Original Instruction")</f>
        <v>Welches Middle School Original Instruction</v>
      </c>
      <c r="N2899" s="6" t="str">
        <f>IFERROR(__xludf.DUMMYFUNCTION("""COMPUTED_VALUE"""),"")</f>
        <v/>
      </c>
      <c r="O2899" s="87" t="str">
        <f>IFERROR(__xludf.DUMMYFUNCTION("""COMPUTED_VALUE"""),"https://drive.google.com/drive/folders/10T2cTQHqEJZqE-st6uFKPoI?usp=share_link")</f>
        <v>https://drive.google.com/drive/folders/10T2cTQHqEJZqE-st6uFKPoI?usp=share_link</v>
      </c>
      <c r="P2899" s="6" t="str">
        <f>IFERROR(__xludf.DUMMYFUNCTION("""COMPUTED_VALUE"""),"Gael Gallardo")</f>
        <v>Gael Gallardo</v>
      </c>
      <c r="Q2899" s="6" t="str">
        <f>IFERROR(__xludf.DUMMYFUNCTION("""COMPUTED_VALUE"""),"MS")</f>
        <v>MS</v>
      </c>
      <c r="R2899" s="6">
        <f>IFERROR(__xludf.DUMMYFUNCTION("""COMPUTED_VALUE"""),0.0)</f>
        <v>0</v>
      </c>
      <c r="S2899" s="6" t="str">
        <f>IFERROR(__xludf.DUMMYFUNCTION("""COMPUTED_VALUE"""),"Genevra Self")</f>
        <v>Genevra Self</v>
      </c>
      <c r="T2899" s="6" t="str">
        <f>IFERROR(__xludf.DUMMYFUNCTION("""COMPUTED_VALUE"""),"genevra.self@studient.com")</f>
        <v>genevra.self@studient.com</v>
      </c>
      <c r="U2899" s="6" t="str">
        <f>IFERROR(__xludf.DUMMYFUNCTION("""COMPUTED_VALUE"""),"6")</f>
        <v>6</v>
      </c>
      <c r="V2899" s="6" t="str">
        <f>IFERROR(__xludf.DUMMYFUNCTION("""COMPUTED_VALUE"""),"English")</f>
        <v>English</v>
      </c>
      <c r="W2899" s="6" t="str">
        <f>IFERROR(__xludf.DUMMYFUNCTION("""COMPUTED_VALUE"""),"[]")</f>
        <v>[]</v>
      </c>
      <c r="X2899" s="6" t="str">
        <f>IFERROR(__xludf.DUMMYFUNCTION("""COMPUTED_VALUE"""),"Enrolled")</f>
        <v>Enrolled</v>
      </c>
    </row>
    <row r="2900">
      <c r="A2900" s="6" t="str">
        <f>IFERROR(__xludf.DUMMYFUNCTION("""COMPUTED_VALUE"""),"064-5135")</f>
        <v>064-5135</v>
      </c>
      <c r="B2900" s="6" t="str">
        <f>IFERROR(__xludf.DUMMYFUNCTION("""COMPUTED_VALUE"""),"64")</f>
        <v>64</v>
      </c>
      <c r="C2900" s="6" t="str">
        <f>IFERROR(__xludf.DUMMYFUNCTION("""COMPUTED_VALUE"""),"5135")</f>
        <v>5135</v>
      </c>
      <c r="D2900" s="6" t="str">
        <f>IFERROR(__xludf.DUMMYFUNCTION("""COMPUTED_VALUE"""),"Autumn")</f>
        <v>Autumn</v>
      </c>
      <c r="E2900" s="6" t="str">
        <f>IFERROR(__xludf.DUMMYFUNCTION("""COMPUTED_VALUE"""),"")</f>
        <v/>
      </c>
      <c r="F2900" s="6" t="str">
        <f>IFERROR(__xludf.DUMMYFUNCTION("""COMPUTED_VALUE"""),"Hanifin")</f>
        <v>Hanifin</v>
      </c>
      <c r="G2900" s="6" t="str">
        <f>IFERROR(__xludf.DUMMYFUNCTION("""COMPUTED_VALUE"""),"07/01/2014")</f>
        <v>07/01/2014</v>
      </c>
      <c r="H2900" s="6" t="str">
        <f>IFERROR(__xludf.DUMMYFUNCTION("""COMPUTED_VALUE"""),"Self Identify")</f>
        <v>Self Identify</v>
      </c>
      <c r="I2900" s="6" t="str">
        <f>IFERROR(__xludf.DUMMYFUNCTION("""COMPUTED_VALUE"""),"Middle School")</f>
        <v>Middle School</v>
      </c>
      <c r="J2900" s="6" t="str">
        <f>IFERROR(__xludf.DUMMYFUNCTION("""COMPUTED_VALUE"""),"6")</f>
        <v>6</v>
      </c>
      <c r="K2900" s="6" t="str">
        <f>IFERROR(__xludf.DUMMYFUNCTION("""COMPUTED_VALUE"""),"autumn_hanifin@stu.ortrail.k12.or.us")</f>
        <v>autumn_hanifin@stu.ortrail.k12.or.us</v>
      </c>
      <c r="L2900" s="6" t="str">
        <f>IFERROR(__xludf.DUMMYFUNCTION("""COMPUTED_VALUE"""),"Oregon Trail School District 46")</f>
        <v>Oregon Trail School District 46</v>
      </c>
      <c r="M2900" s="6" t="str">
        <f>IFERROR(__xludf.DUMMYFUNCTION("""COMPUTED_VALUE"""),"Welches Middle School Original Instruction")</f>
        <v>Welches Middle School Original Instruction</v>
      </c>
      <c r="N2900" s="6" t="str">
        <f>IFERROR(__xludf.DUMMYFUNCTION("""COMPUTED_VALUE"""),"")</f>
        <v/>
      </c>
      <c r="O2900" s="87" t="str">
        <f>IFERROR(__xludf.DUMMYFUNCTION("""COMPUTED_VALUE"""),"https://drive.google.com/drive/folders/10T2cTQHqEJZqE-st6uFKPoI?usp=share_link")</f>
        <v>https://drive.google.com/drive/folders/10T2cTQHqEJZqE-st6uFKPoI?usp=share_link</v>
      </c>
      <c r="P2900" s="6" t="str">
        <f>IFERROR(__xludf.DUMMYFUNCTION("""COMPUTED_VALUE"""),"Autumn Hanifin")</f>
        <v>Autumn Hanifin</v>
      </c>
      <c r="Q2900" s="6" t="str">
        <f>IFERROR(__xludf.DUMMYFUNCTION("""COMPUTED_VALUE"""),"MS")</f>
        <v>MS</v>
      </c>
      <c r="R2900" s="6">
        <f>IFERROR(__xludf.DUMMYFUNCTION("""COMPUTED_VALUE"""),0.0)</f>
        <v>0</v>
      </c>
      <c r="S2900" s="6" t="str">
        <f>IFERROR(__xludf.DUMMYFUNCTION("""COMPUTED_VALUE"""),"Genevra Self")</f>
        <v>Genevra Self</v>
      </c>
      <c r="T2900" s="6" t="str">
        <f>IFERROR(__xludf.DUMMYFUNCTION("""COMPUTED_VALUE"""),"genevra.self@studient.com")</f>
        <v>genevra.self@studient.com</v>
      </c>
      <c r="U2900" s="6" t="str">
        <f>IFERROR(__xludf.DUMMYFUNCTION("""COMPUTED_VALUE"""),"6")</f>
        <v>6</v>
      </c>
      <c r="V2900" s="6" t="str">
        <f>IFERROR(__xludf.DUMMYFUNCTION("""COMPUTED_VALUE"""),"English")</f>
        <v>English</v>
      </c>
      <c r="W2900" s="6" t="str">
        <f>IFERROR(__xludf.DUMMYFUNCTION("""COMPUTED_VALUE"""),"[]")</f>
        <v>[]</v>
      </c>
      <c r="X2900" s="6" t="str">
        <f>IFERROR(__xludf.DUMMYFUNCTION("""COMPUTED_VALUE"""),"Enrolled")</f>
        <v>Enrolled</v>
      </c>
    </row>
    <row r="2901">
      <c r="A2901" s="6" t="str">
        <f>IFERROR(__xludf.DUMMYFUNCTION("""COMPUTED_VALUE"""),"064-5136")</f>
        <v>064-5136</v>
      </c>
      <c r="B2901" s="6" t="str">
        <f>IFERROR(__xludf.DUMMYFUNCTION("""COMPUTED_VALUE"""),"64")</f>
        <v>64</v>
      </c>
      <c r="C2901" s="6" t="str">
        <f>IFERROR(__xludf.DUMMYFUNCTION("""COMPUTED_VALUE"""),"5136")</f>
        <v>5136</v>
      </c>
      <c r="D2901" s="6" t="str">
        <f>IFERROR(__xludf.DUMMYFUNCTION("""COMPUTED_VALUE"""),"Emery")</f>
        <v>Emery</v>
      </c>
      <c r="E2901" s="6" t="str">
        <f>IFERROR(__xludf.DUMMYFUNCTION("""COMPUTED_VALUE"""),"")</f>
        <v/>
      </c>
      <c r="F2901" s="6" t="str">
        <f>IFERROR(__xludf.DUMMYFUNCTION("""COMPUTED_VALUE"""),"Hereim")</f>
        <v>Hereim</v>
      </c>
      <c r="G2901" s="6" t="str">
        <f>IFERROR(__xludf.DUMMYFUNCTION("""COMPUTED_VALUE"""),"05/30/2014")</f>
        <v>05/30/2014</v>
      </c>
      <c r="H2901" s="6" t="str">
        <f>IFERROR(__xludf.DUMMYFUNCTION("""COMPUTED_VALUE"""),"Self Identify")</f>
        <v>Self Identify</v>
      </c>
      <c r="I2901" s="6" t="str">
        <f>IFERROR(__xludf.DUMMYFUNCTION("""COMPUTED_VALUE"""),"Middle School")</f>
        <v>Middle School</v>
      </c>
      <c r="J2901" s="6" t="str">
        <f>IFERROR(__xludf.DUMMYFUNCTION("""COMPUTED_VALUE"""),"6")</f>
        <v>6</v>
      </c>
      <c r="K2901" s="6" t="str">
        <f>IFERROR(__xludf.DUMMYFUNCTION("""COMPUTED_VALUE"""),"emery_hereim@stu.ortrail.k12.or.us")</f>
        <v>emery_hereim@stu.ortrail.k12.or.us</v>
      </c>
      <c r="L2901" s="6" t="str">
        <f>IFERROR(__xludf.DUMMYFUNCTION("""COMPUTED_VALUE"""),"Oregon Trail School District 46")</f>
        <v>Oregon Trail School District 46</v>
      </c>
      <c r="M2901" s="6" t="str">
        <f>IFERROR(__xludf.DUMMYFUNCTION("""COMPUTED_VALUE"""),"Welches Middle School")</f>
        <v>Welches Middle School</v>
      </c>
      <c r="N2901" s="6" t="str">
        <f>IFERROR(__xludf.DUMMYFUNCTION("""COMPUTED_VALUE"""),"")</f>
        <v/>
      </c>
      <c r="O2901" s="87" t="str">
        <f>IFERROR(__xludf.DUMMYFUNCTION("""COMPUTED_VALUE"""),"https://drive.google.com/drive/folders/10T2cTQHqEJZqE-st6uFKPoI?usp=share_link")</f>
        <v>https://drive.google.com/drive/folders/10T2cTQHqEJZqE-st6uFKPoI?usp=share_link</v>
      </c>
      <c r="P2901" s="6" t="str">
        <f>IFERROR(__xludf.DUMMYFUNCTION("""COMPUTED_VALUE"""),"Emery Hereim")</f>
        <v>Emery Hereim</v>
      </c>
      <c r="Q2901" s="6" t="str">
        <f>IFERROR(__xludf.DUMMYFUNCTION("""COMPUTED_VALUE"""),"MS")</f>
        <v>MS</v>
      </c>
      <c r="R2901" s="6">
        <f>IFERROR(__xludf.DUMMYFUNCTION("""COMPUTED_VALUE"""),0.0)</f>
        <v>0</v>
      </c>
      <c r="S2901" s="6" t="str">
        <f>IFERROR(__xludf.DUMMYFUNCTION("""COMPUTED_VALUE"""),"Nicole Kellim")</f>
        <v>Nicole Kellim</v>
      </c>
      <c r="T2901" s="6" t="str">
        <f>IFERROR(__xludf.DUMMYFUNCTION("""COMPUTED_VALUE"""),"nicole.kellim@ortrail.k12.or.us")</f>
        <v>nicole.kellim@ortrail.k12.or.us</v>
      </c>
      <c r="U2901" s="6" t="str">
        <f>IFERROR(__xludf.DUMMYFUNCTION("""COMPUTED_VALUE"""),"6")</f>
        <v>6</v>
      </c>
      <c r="V2901" s="6" t="str">
        <f>IFERROR(__xludf.DUMMYFUNCTION("""COMPUTED_VALUE"""),"English")</f>
        <v>English</v>
      </c>
      <c r="W2901" s="6" t="str">
        <f>IFERROR(__xludf.DUMMYFUNCTION("""COMPUTED_VALUE"""),"[]")</f>
        <v>[]</v>
      </c>
      <c r="X2901" s="6" t="str">
        <f>IFERROR(__xludf.DUMMYFUNCTION("""COMPUTED_VALUE"""),"Enrolled")</f>
        <v>Enrolled</v>
      </c>
    </row>
    <row r="2902">
      <c r="A2902" s="6" t="str">
        <f>IFERROR(__xludf.DUMMYFUNCTION("""COMPUTED_VALUE"""),"064-5137")</f>
        <v>064-5137</v>
      </c>
      <c r="B2902" s="6" t="str">
        <f>IFERROR(__xludf.DUMMYFUNCTION("""COMPUTED_VALUE"""),"64")</f>
        <v>64</v>
      </c>
      <c r="C2902" s="6" t="str">
        <f>IFERROR(__xludf.DUMMYFUNCTION("""COMPUTED_VALUE"""),"5137")</f>
        <v>5137</v>
      </c>
      <c r="D2902" s="6" t="str">
        <f>IFERROR(__xludf.DUMMYFUNCTION("""COMPUTED_VALUE"""),"Leonardo")</f>
        <v>Leonardo</v>
      </c>
      <c r="E2902" s="6" t="str">
        <f>IFERROR(__xludf.DUMMYFUNCTION("""COMPUTED_VALUE"""),"")</f>
        <v/>
      </c>
      <c r="F2902" s="6" t="str">
        <f>IFERROR(__xludf.DUMMYFUNCTION("""COMPUTED_VALUE"""),"Hernandez Bocanegra")</f>
        <v>Hernandez Bocanegra</v>
      </c>
      <c r="G2902" s="6" t="str">
        <f>IFERROR(__xludf.DUMMYFUNCTION("""COMPUTED_VALUE"""),"05/04/2014")</f>
        <v>05/04/2014</v>
      </c>
      <c r="H2902" s="6" t="str">
        <f>IFERROR(__xludf.DUMMYFUNCTION("""COMPUTED_VALUE"""),"Self Identify")</f>
        <v>Self Identify</v>
      </c>
      <c r="I2902" s="6" t="str">
        <f>IFERROR(__xludf.DUMMYFUNCTION("""COMPUTED_VALUE"""),"Middle School")</f>
        <v>Middle School</v>
      </c>
      <c r="J2902" s="6" t="str">
        <f>IFERROR(__xludf.DUMMYFUNCTION("""COMPUTED_VALUE"""),"6")</f>
        <v>6</v>
      </c>
      <c r="K2902" s="6" t="str">
        <f>IFERROR(__xludf.DUMMYFUNCTION("""COMPUTED_VALUE"""),"leo_hernandezbocaneg@stu.ortrail.k12.or.us")</f>
        <v>leo_hernandezbocaneg@stu.ortrail.k12.or.us</v>
      </c>
      <c r="L2902" s="6" t="str">
        <f>IFERROR(__xludf.DUMMYFUNCTION("""COMPUTED_VALUE"""),"Oregon Trail School District 46")</f>
        <v>Oregon Trail School District 46</v>
      </c>
      <c r="M2902" s="6" t="str">
        <f>IFERROR(__xludf.DUMMYFUNCTION("""COMPUTED_VALUE"""),"Welches Middle School")</f>
        <v>Welches Middle School</v>
      </c>
      <c r="N2902" s="6" t="str">
        <f>IFERROR(__xludf.DUMMYFUNCTION("""COMPUTED_VALUE"""),"")</f>
        <v/>
      </c>
      <c r="O2902" s="87" t="str">
        <f>IFERROR(__xludf.DUMMYFUNCTION("""COMPUTED_VALUE"""),"https://drive.google.com/drive/folders/10T2cTQHqEJZqE-st6uFKPoI?usp=share_link")</f>
        <v>https://drive.google.com/drive/folders/10T2cTQHqEJZqE-st6uFKPoI?usp=share_link</v>
      </c>
      <c r="P2902" s="6" t="str">
        <f>IFERROR(__xludf.DUMMYFUNCTION("""COMPUTED_VALUE"""),"Leonardo Hernandez Bocanegra")</f>
        <v>Leonardo Hernandez Bocanegra</v>
      </c>
      <c r="Q2902" s="6" t="str">
        <f>IFERROR(__xludf.DUMMYFUNCTION("""COMPUTED_VALUE"""),"MS")</f>
        <v>MS</v>
      </c>
      <c r="R2902" s="6">
        <f>IFERROR(__xludf.DUMMYFUNCTION("""COMPUTED_VALUE"""),0.0)</f>
        <v>0</v>
      </c>
      <c r="S2902" s="6" t="str">
        <f>IFERROR(__xludf.DUMMYFUNCTION("""COMPUTED_VALUE"""),"Nicole Kellim")</f>
        <v>Nicole Kellim</v>
      </c>
      <c r="T2902" s="6" t="str">
        <f>IFERROR(__xludf.DUMMYFUNCTION("""COMPUTED_VALUE"""),"nicole.kellim@ortrail.k12.or.us")</f>
        <v>nicole.kellim@ortrail.k12.or.us</v>
      </c>
      <c r="U2902" s="6" t="str">
        <f>IFERROR(__xludf.DUMMYFUNCTION("""COMPUTED_VALUE"""),"6")</f>
        <v>6</v>
      </c>
      <c r="V2902" s="6" t="str">
        <f>IFERROR(__xludf.DUMMYFUNCTION("""COMPUTED_VALUE"""),"English")</f>
        <v>English</v>
      </c>
      <c r="W2902" s="6" t="str">
        <f>IFERROR(__xludf.DUMMYFUNCTION("""COMPUTED_VALUE"""),"[]")</f>
        <v>[]</v>
      </c>
      <c r="X2902" s="6" t="str">
        <f>IFERROR(__xludf.DUMMYFUNCTION("""COMPUTED_VALUE"""),"Enrolled")</f>
        <v>Enrolled</v>
      </c>
    </row>
    <row r="2903">
      <c r="A2903" s="6" t="str">
        <f>IFERROR(__xludf.DUMMYFUNCTION("""COMPUTED_VALUE"""),"064-5138")</f>
        <v>064-5138</v>
      </c>
      <c r="B2903" s="6" t="str">
        <f>IFERROR(__xludf.DUMMYFUNCTION("""COMPUTED_VALUE"""),"64")</f>
        <v>64</v>
      </c>
      <c r="C2903" s="6" t="str">
        <f>IFERROR(__xludf.DUMMYFUNCTION("""COMPUTED_VALUE"""),"5138")</f>
        <v>5138</v>
      </c>
      <c r="D2903" s="6" t="str">
        <f>IFERROR(__xludf.DUMMYFUNCTION("""COMPUTED_VALUE"""),"Maizie")</f>
        <v>Maizie</v>
      </c>
      <c r="E2903" s="6" t="str">
        <f>IFERROR(__xludf.DUMMYFUNCTION("""COMPUTED_VALUE"""),"")</f>
        <v/>
      </c>
      <c r="F2903" s="6" t="str">
        <f>IFERROR(__xludf.DUMMYFUNCTION("""COMPUTED_VALUE"""),"Hornor")</f>
        <v>Hornor</v>
      </c>
      <c r="G2903" s="6" t="str">
        <f>IFERROR(__xludf.DUMMYFUNCTION("""COMPUTED_VALUE"""),"04/13/2014")</f>
        <v>04/13/2014</v>
      </c>
      <c r="H2903" s="6" t="str">
        <f>IFERROR(__xludf.DUMMYFUNCTION("""COMPUTED_VALUE"""),"Self Identify")</f>
        <v>Self Identify</v>
      </c>
      <c r="I2903" s="6" t="str">
        <f>IFERROR(__xludf.DUMMYFUNCTION("""COMPUTED_VALUE"""),"Middle School")</f>
        <v>Middle School</v>
      </c>
      <c r="J2903" s="6" t="str">
        <f>IFERROR(__xludf.DUMMYFUNCTION("""COMPUTED_VALUE"""),"6")</f>
        <v>6</v>
      </c>
      <c r="K2903" s="6" t="str">
        <f>IFERROR(__xludf.DUMMYFUNCTION("""COMPUTED_VALUE"""),"maizie_hornor@stu.ortrail.k12.or.us")</f>
        <v>maizie_hornor@stu.ortrail.k12.or.us</v>
      </c>
      <c r="L2903" s="6" t="str">
        <f>IFERROR(__xludf.DUMMYFUNCTION("""COMPUTED_VALUE"""),"Oregon Trail School District 46")</f>
        <v>Oregon Trail School District 46</v>
      </c>
      <c r="M2903" s="6" t="str">
        <f>IFERROR(__xludf.DUMMYFUNCTION("""COMPUTED_VALUE"""),"Welches Middle School Original Instruction")</f>
        <v>Welches Middle School Original Instruction</v>
      </c>
      <c r="N2903" s="6" t="str">
        <f>IFERROR(__xludf.DUMMYFUNCTION("""COMPUTED_VALUE"""),"")</f>
        <v/>
      </c>
      <c r="O2903" s="87" t="str">
        <f>IFERROR(__xludf.DUMMYFUNCTION("""COMPUTED_VALUE"""),"https://drive.google.com/drive/folders/10T2cTQHqEJZqE-st6uFKPoI?usp=share_link")</f>
        <v>https://drive.google.com/drive/folders/10T2cTQHqEJZqE-st6uFKPoI?usp=share_link</v>
      </c>
      <c r="P2903" s="6" t="str">
        <f>IFERROR(__xludf.DUMMYFUNCTION("""COMPUTED_VALUE"""),"Maizie Hornor")</f>
        <v>Maizie Hornor</v>
      </c>
      <c r="Q2903" s="6" t="str">
        <f>IFERROR(__xludf.DUMMYFUNCTION("""COMPUTED_VALUE"""),"MS")</f>
        <v>MS</v>
      </c>
      <c r="R2903" s="6">
        <f>IFERROR(__xludf.DUMMYFUNCTION("""COMPUTED_VALUE"""),0.0)</f>
        <v>0</v>
      </c>
      <c r="S2903" s="6" t="str">
        <f>IFERROR(__xludf.DUMMYFUNCTION("""COMPUTED_VALUE"""),"Genevra Self")</f>
        <v>Genevra Self</v>
      </c>
      <c r="T2903" s="6" t="str">
        <f>IFERROR(__xludf.DUMMYFUNCTION("""COMPUTED_VALUE"""),"genevra.self@studient.com")</f>
        <v>genevra.self@studient.com</v>
      </c>
      <c r="U2903" s="6" t="str">
        <f>IFERROR(__xludf.DUMMYFUNCTION("""COMPUTED_VALUE"""),"6")</f>
        <v>6</v>
      </c>
      <c r="V2903" s="6" t="str">
        <f>IFERROR(__xludf.DUMMYFUNCTION("""COMPUTED_VALUE"""),"English")</f>
        <v>English</v>
      </c>
      <c r="W2903" s="6" t="str">
        <f>IFERROR(__xludf.DUMMYFUNCTION("""COMPUTED_VALUE"""),"[]")</f>
        <v>[]</v>
      </c>
      <c r="X2903" s="6" t="str">
        <f>IFERROR(__xludf.DUMMYFUNCTION("""COMPUTED_VALUE"""),"Enrolled")</f>
        <v>Enrolled</v>
      </c>
    </row>
    <row r="2904">
      <c r="A2904" s="6" t="str">
        <f>IFERROR(__xludf.DUMMYFUNCTION("""COMPUTED_VALUE"""),"064-5139")</f>
        <v>064-5139</v>
      </c>
      <c r="B2904" s="6" t="str">
        <f>IFERROR(__xludf.DUMMYFUNCTION("""COMPUTED_VALUE"""),"64")</f>
        <v>64</v>
      </c>
      <c r="C2904" s="6" t="str">
        <f>IFERROR(__xludf.DUMMYFUNCTION("""COMPUTED_VALUE"""),"5139")</f>
        <v>5139</v>
      </c>
      <c r="D2904" s="6" t="str">
        <f>IFERROR(__xludf.DUMMYFUNCTION("""COMPUTED_VALUE"""),"King")</f>
        <v>King</v>
      </c>
      <c r="E2904" s="6" t="str">
        <f>IFERROR(__xludf.DUMMYFUNCTION("""COMPUTED_VALUE"""),"")</f>
        <v/>
      </c>
      <c r="F2904" s="6" t="str">
        <f>IFERROR(__xludf.DUMMYFUNCTION("""COMPUTED_VALUE"""),"Hufford")</f>
        <v>Hufford</v>
      </c>
      <c r="G2904" s="6" t="str">
        <f>IFERROR(__xludf.DUMMYFUNCTION("""COMPUTED_VALUE"""),"06/14/2014")</f>
        <v>06/14/2014</v>
      </c>
      <c r="H2904" s="6" t="str">
        <f>IFERROR(__xludf.DUMMYFUNCTION("""COMPUTED_VALUE"""),"Self Identify")</f>
        <v>Self Identify</v>
      </c>
      <c r="I2904" s="6" t="str">
        <f>IFERROR(__xludf.DUMMYFUNCTION("""COMPUTED_VALUE"""),"Middle School")</f>
        <v>Middle School</v>
      </c>
      <c r="J2904" s="6" t="str">
        <f>IFERROR(__xludf.DUMMYFUNCTION("""COMPUTED_VALUE"""),"6")</f>
        <v>6</v>
      </c>
      <c r="K2904" s="6" t="str">
        <f>IFERROR(__xludf.DUMMYFUNCTION("""COMPUTED_VALUE"""),"king_hufford@stu.ortrail.k12.or.us")</f>
        <v>king_hufford@stu.ortrail.k12.or.us</v>
      </c>
      <c r="L2904" s="6" t="str">
        <f>IFERROR(__xludf.DUMMYFUNCTION("""COMPUTED_VALUE"""),"Oregon Trail School District 46")</f>
        <v>Oregon Trail School District 46</v>
      </c>
      <c r="M2904" s="6" t="str">
        <f>IFERROR(__xludf.DUMMYFUNCTION("""COMPUTED_VALUE"""),"Welches Middle School Original Instruction")</f>
        <v>Welches Middle School Original Instruction</v>
      </c>
      <c r="N2904" s="6" t="str">
        <f>IFERROR(__xludf.DUMMYFUNCTION("""COMPUTED_VALUE"""),"")</f>
        <v/>
      </c>
      <c r="O2904" s="87" t="str">
        <f>IFERROR(__xludf.DUMMYFUNCTION("""COMPUTED_VALUE"""),"https://drive.google.com/drive/folders/10T2cTQHqEJZqE-st6uFKPoI?usp=share_link")</f>
        <v>https://drive.google.com/drive/folders/10T2cTQHqEJZqE-st6uFKPoI?usp=share_link</v>
      </c>
      <c r="P2904" s="6" t="str">
        <f>IFERROR(__xludf.DUMMYFUNCTION("""COMPUTED_VALUE"""),"King Hufford")</f>
        <v>King Hufford</v>
      </c>
      <c r="Q2904" s="6" t="str">
        <f>IFERROR(__xludf.DUMMYFUNCTION("""COMPUTED_VALUE"""),"MS")</f>
        <v>MS</v>
      </c>
      <c r="R2904" s="6">
        <f>IFERROR(__xludf.DUMMYFUNCTION("""COMPUTED_VALUE"""),0.0)</f>
        <v>0</v>
      </c>
      <c r="S2904" s="6" t="str">
        <f>IFERROR(__xludf.DUMMYFUNCTION("""COMPUTED_VALUE"""),"Genevra Self")</f>
        <v>Genevra Self</v>
      </c>
      <c r="T2904" s="6" t="str">
        <f>IFERROR(__xludf.DUMMYFUNCTION("""COMPUTED_VALUE"""),"genevra.self@studient.com")</f>
        <v>genevra.self@studient.com</v>
      </c>
      <c r="U2904" s="6" t="str">
        <f>IFERROR(__xludf.DUMMYFUNCTION("""COMPUTED_VALUE"""),"6")</f>
        <v>6</v>
      </c>
      <c r="V2904" s="6" t="str">
        <f>IFERROR(__xludf.DUMMYFUNCTION("""COMPUTED_VALUE"""),"English")</f>
        <v>English</v>
      </c>
      <c r="W2904" s="6" t="str">
        <f>IFERROR(__xludf.DUMMYFUNCTION("""COMPUTED_VALUE"""),"[]")</f>
        <v>[]</v>
      </c>
      <c r="X2904" s="6" t="str">
        <f>IFERROR(__xludf.DUMMYFUNCTION("""COMPUTED_VALUE"""),"Enrolled")</f>
        <v>Enrolled</v>
      </c>
    </row>
    <row r="2905">
      <c r="A2905" s="6" t="str">
        <f>IFERROR(__xludf.DUMMYFUNCTION("""COMPUTED_VALUE"""),"064-5140")</f>
        <v>064-5140</v>
      </c>
      <c r="B2905" s="6" t="str">
        <f>IFERROR(__xludf.DUMMYFUNCTION("""COMPUTED_VALUE"""),"64")</f>
        <v>64</v>
      </c>
      <c r="C2905" s="6" t="str">
        <f>IFERROR(__xludf.DUMMYFUNCTION("""COMPUTED_VALUE"""),"5140")</f>
        <v>5140</v>
      </c>
      <c r="D2905" s="6" t="str">
        <f>IFERROR(__xludf.DUMMYFUNCTION("""COMPUTED_VALUE"""),"Jayce")</f>
        <v>Jayce</v>
      </c>
      <c r="E2905" s="6" t="str">
        <f>IFERROR(__xludf.DUMMYFUNCTION("""COMPUTED_VALUE"""),"")</f>
        <v/>
      </c>
      <c r="F2905" s="6" t="str">
        <f>IFERROR(__xludf.DUMMYFUNCTION("""COMPUTED_VALUE"""),"Keck")</f>
        <v>Keck</v>
      </c>
      <c r="G2905" s="6" t="str">
        <f>IFERROR(__xludf.DUMMYFUNCTION("""COMPUTED_VALUE"""),"07/19/2014")</f>
        <v>07/19/2014</v>
      </c>
      <c r="H2905" s="6" t="str">
        <f>IFERROR(__xludf.DUMMYFUNCTION("""COMPUTED_VALUE"""),"Self Identify")</f>
        <v>Self Identify</v>
      </c>
      <c r="I2905" s="6" t="str">
        <f>IFERROR(__xludf.DUMMYFUNCTION("""COMPUTED_VALUE"""),"Middle School")</f>
        <v>Middle School</v>
      </c>
      <c r="J2905" s="6" t="str">
        <f>IFERROR(__xludf.DUMMYFUNCTION("""COMPUTED_VALUE"""),"6")</f>
        <v>6</v>
      </c>
      <c r="K2905" s="6" t="str">
        <f>IFERROR(__xludf.DUMMYFUNCTION("""COMPUTED_VALUE"""),"jayce_keck@stu.ortrail.k12.or.us")</f>
        <v>jayce_keck@stu.ortrail.k12.or.us</v>
      </c>
      <c r="L2905" s="6" t="str">
        <f>IFERROR(__xludf.DUMMYFUNCTION("""COMPUTED_VALUE"""),"Oregon Trail School District 46")</f>
        <v>Oregon Trail School District 46</v>
      </c>
      <c r="M2905" s="6" t="str">
        <f>IFERROR(__xludf.DUMMYFUNCTION("""COMPUTED_VALUE"""),"Welches Middle School")</f>
        <v>Welches Middle School</v>
      </c>
      <c r="N2905" s="6" t="str">
        <f>IFERROR(__xludf.DUMMYFUNCTION("""COMPUTED_VALUE"""),"")</f>
        <v/>
      </c>
      <c r="O2905" s="87" t="str">
        <f>IFERROR(__xludf.DUMMYFUNCTION("""COMPUTED_VALUE"""),"https://drive.google.com/drive/folders/10T2cTQHqEJZqE-st6uFKPoI?usp=share_link")</f>
        <v>https://drive.google.com/drive/folders/10T2cTQHqEJZqE-st6uFKPoI?usp=share_link</v>
      </c>
      <c r="P2905" s="6" t="str">
        <f>IFERROR(__xludf.DUMMYFUNCTION("""COMPUTED_VALUE"""),"Jayce Keck")</f>
        <v>Jayce Keck</v>
      </c>
      <c r="Q2905" s="6" t="str">
        <f>IFERROR(__xludf.DUMMYFUNCTION("""COMPUTED_VALUE"""),"MS")</f>
        <v>MS</v>
      </c>
      <c r="R2905" s="6">
        <f>IFERROR(__xludf.DUMMYFUNCTION("""COMPUTED_VALUE"""),0.0)</f>
        <v>0</v>
      </c>
      <c r="S2905" s="6" t="str">
        <f>IFERROR(__xludf.DUMMYFUNCTION("""COMPUTED_VALUE"""),"Nicole Kellim")</f>
        <v>Nicole Kellim</v>
      </c>
      <c r="T2905" s="6" t="str">
        <f>IFERROR(__xludf.DUMMYFUNCTION("""COMPUTED_VALUE"""),"nicole.kellim@ortrail.k12.or.us")</f>
        <v>nicole.kellim@ortrail.k12.or.us</v>
      </c>
      <c r="U2905" s="6" t="str">
        <f>IFERROR(__xludf.DUMMYFUNCTION("""COMPUTED_VALUE"""),"6")</f>
        <v>6</v>
      </c>
      <c r="V2905" s="6" t="str">
        <f>IFERROR(__xludf.DUMMYFUNCTION("""COMPUTED_VALUE"""),"English")</f>
        <v>English</v>
      </c>
      <c r="W2905" s="6" t="str">
        <f>IFERROR(__xludf.DUMMYFUNCTION("""COMPUTED_VALUE"""),"[]")</f>
        <v>[]</v>
      </c>
      <c r="X2905" s="6" t="str">
        <f>IFERROR(__xludf.DUMMYFUNCTION("""COMPUTED_VALUE"""),"Enrolled")</f>
        <v>Enrolled</v>
      </c>
    </row>
    <row r="2906">
      <c r="A2906" s="6" t="str">
        <f>IFERROR(__xludf.DUMMYFUNCTION("""COMPUTED_VALUE"""),"064-5141")</f>
        <v>064-5141</v>
      </c>
      <c r="B2906" s="6" t="str">
        <f>IFERROR(__xludf.DUMMYFUNCTION("""COMPUTED_VALUE"""),"64")</f>
        <v>64</v>
      </c>
      <c r="C2906" s="6" t="str">
        <f>IFERROR(__xludf.DUMMYFUNCTION("""COMPUTED_VALUE"""),"5141")</f>
        <v>5141</v>
      </c>
      <c r="D2906" s="6" t="str">
        <f>IFERROR(__xludf.DUMMYFUNCTION("""COMPUTED_VALUE"""),"Garrett")</f>
        <v>Garrett</v>
      </c>
      <c r="E2906" s="6" t="str">
        <f>IFERROR(__xludf.DUMMYFUNCTION("""COMPUTED_VALUE"""),"")</f>
        <v/>
      </c>
      <c r="F2906" s="6" t="str">
        <f>IFERROR(__xludf.DUMMYFUNCTION("""COMPUTED_VALUE"""),"Littlejohn")</f>
        <v>Littlejohn</v>
      </c>
      <c r="G2906" s="6" t="str">
        <f>IFERROR(__xludf.DUMMYFUNCTION("""COMPUTED_VALUE"""),"05/27/2014")</f>
        <v>05/27/2014</v>
      </c>
      <c r="H2906" s="6" t="str">
        <f>IFERROR(__xludf.DUMMYFUNCTION("""COMPUTED_VALUE"""),"Self Identify")</f>
        <v>Self Identify</v>
      </c>
      <c r="I2906" s="6" t="str">
        <f>IFERROR(__xludf.DUMMYFUNCTION("""COMPUTED_VALUE"""),"Middle School")</f>
        <v>Middle School</v>
      </c>
      <c r="J2906" s="6" t="str">
        <f>IFERROR(__xludf.DUMMYFUNCTION("""COMPUTED_VALUE"""),"6")</f>
        <v>6</v>
      </c>
      <c r="K2906" s="6" t="str">
        <f>IFERROR(__xludf.DUMMYFUNCTION("""COMPUTED_VALUE"""),"river_littlejohn@stu.ortrail.k12.or.us")</f>
        <v>river_littlejohn@stu.ortrail.k12.or.us</v>
      </c>
      <c r="L2906" s="6" t="str">
        <f>IFERROR(__xludf.DUMMYFUNCTION("""COMPUTED_VALUE"""),"Oregon Trail School District 46")</f>
        <v>Oregon Trail School District 46</v>
      </c>
      <c r="M2906" s="6" t="str">
        <f>IFERROR(__xludf.DUMMYFUNCTION("""COMPUTED_VALUE"""),"Welches Middle School Original Instruction")</f>
        <v>Welches Middle School Original Instruction</v>
      </c>
      <c r="N2906" s="6" t="str">
        <f>IFERROR(__xludf.DUMMYFUNCTION("""COMPUTED_VALUE"""),"")</f>
        <v/>
      </c>
      <c r="O2906" s="87" t="str">
        <f>IFERROR(__xludf.DUMMYFUNCTION("""COMPUTED_VALUE"""),"https://drive.google.com/drive/folders/10T2cTQHqEJZqE-st6uFKPoI?usp=share_link")</f>
        <v>https://drive.google.com/drive/folders/10T2cTQHqEJZqE-st6uFKPoI?usp=share_link</v>
      </c>
      <c r="P2906" s="6" t="str">
        <f>IFERROR(__xludf.DUMMYFUNCTION("""COMPUTED_VALUE"""),"Garrett Littlejohn")</f>
        <v>Garrett Littlejohn</v>
      </c>
      <c r="Q2906" s="6" t="str">
        <f>IFERROR(__xludf.DUMMYFUNCTION("""COMPUTED_VALUE"""),"MS")</f>
        <v>MS</v>
      </c>
      <c r="R2906" s="6">
        <f>IFERROR(__xludf.DUMMYFUNCTION("""COMPUTED_VALUE"""),0.0)</f>
        <v>0</v>
      </c>
      <c r="S2906" s="6" t="str">
        <f>IFERROR(__xludf.DUMMYFUNCTION("""COMPUTED_VALUE"""),"Genevra Self")</f>
        <v>Genevra Self</v>
      </c>
      <c r="T2906" s="6" t="str">
        <f>IFERROR(__xludf.DUMMYFUNCTION("""COMPUTED_VALUE"""),"genevra.self@studient.com")</f>
        <v>genevra.self@studient.com</v>
      </c>
      <c r="U2906" s="6" t="str">
        <f>IFERROR(__xludf.DUMMYFUNCTION("""COMPUTED_VALUE"""),"6")</f>
        <v>6</v>
      </c>
      <c r="V2906" s="6" t="str">
        <f>IFERROR(__xludf.DUMMYFUNCTION("""COMPUTED_VALUE"""),"English")</f>
        <v>English</v>
      </c>
      <c r="W2906" s="6" t="str">
        <f>IFERROR(__xludf.DUMMYFUNCTION("""COMPUTED_VALUE"""),"[]")</f>
        <v>[]</v>
      </c>
      <c r="X2906" s="6" t="str">
        <f>IFERROR(__xludf.DUMMYFUNCTION("""COMPUTED_VALUE"""),"Enrolled")</f>
        <v>Enrolled</v>
      </c>
    </row>
    <row r="2907">
      <c r="A2907" s="6" t="str">
        <f>IFERROR(__xludf.DUMMYFUNCTION("""COMPUTED_VALUE"""),"064-5142")</f>
        <v>064-5142</v>
      </c>
      <c r="B2907" s="6" t="str">
        <f>IFERROR(__xludf.DUMMYFUNCTION("""COMPUTED_VALUE"""),"64")</f>
        <v>64</v>
      </c>
      <c r="C2907" s="6" t="str">
        <f>IFERROR(__xludf.DUMMYFUNCTION("""COMPUTED_VALUE"""),"5142")</f>
        <v>5142</v>
      </c>
      <c r="D2907" s="6" t="str">
        <f>IFERROR(__xludf.DUMMYFUNCTION("""COMPUTED_VALUE"""),"Thomas")</f>
        <v>Thomas</v>
      </c>
      <c r="E2907" s="6" t="str">
        <f>IFERROR(__xludf.DUMMYFUNCTION("""COMPUTED_VALUE"""),"")</f>
        <v/>
      </c>
      <c r="F2907" s="6" t="str">
        <f>IFERROR(__xludf.DUMMYFUNCTION("""COMPUTED_VALUE"""),"Marlowe")</f>
        <v>Marlowe</v>
      </c>
      <c r="G2907" s="6" t="str">
        <f>IFERROR(__xludf.DUMMYFUNCTION("""COMPUTED_VALUE"""),"07/19/2014")</f>
        <v>07/19/2014</v>
      </c>
      <c r="H2907" s="6" t="str">
        <f>IFERROR(__xludf.DUMMYFUNCTION("""COMPUTED_VALUE"""),"Self Identify")</f>
        <v>Self Identify</v>
      </c>
      <c r="I2907" s="6" t="str">
        <f>IFERROR(__xludf.DUMMYFUNCTION("""COMPUTED_VALUE"""),"Middle School")</f>
        <v>Middle School</v>
      </c>
      <c r="J2907" s="6" t="str">
        <f>IFERROR(__xludf.DUMMYFUNCTION("""COMPUTED_VALUE"""),"6")</f>
        <v>6</v>
      </c>
      <c r="K2907" s="6" t="str">
        <f>IFERROR(__xludf.DUMMYFUNCTION("""COMPUTED_VALUE"""),"tj_marlowe@stu.ortrail.k12.or.us")</f>
        <v>tj_marlowe@stu.ortrail.k12.or.us</v>
      </c>
      <c r="L2907" s="6" t="str">
        <f>IFERROR(__xludf.DUMMYFUNCTION("""COMPUTED_VALUE"""),"Oregon Trail School District 46")</f>
        <v>Oregon Trail School District 46</v>
      </c>
      <c r="M2907" s="6" t="str">
        <f>IFERROR(__xludf.DUMMYFUNCTION("""COMPUTED_VALUE"""),"Welches Middle School Original Instruction")</f>
        <v>Welches Middle School Original Instruction</v>
      </c>
      <c r="N2907" s="6" t="str">
        <f>IFERROR(__xludf.DUMMYFUNCTION("""COMPUTED_VALUE"""),"")</f>
        <v/>
      </c>
      <c r="O2907" s="87" t="str">
        <f>IFERROR(__xludf.DUMMYFUNCTION("""COMPUTED_VALUE"""),"https://drive.google.com/drive/folders/10T2cTQHqEJZqE-st6uFKPoI?usp=share_link")</f>
        <v>https://drive.google.com/drive/folders/10T2cTQHqEJZqE-st6uFKPoI?usp=share_link</v>
      </c>
      <c r="P2907" s="6" t="str">
        <f>IFERROR(__xludf.DUMMYFUNCTION("""COMPUTED_VALUE"""),"Thomas Marlowe")</f>
        <v>Thomas Marlowe</v>
      </c>
      <c r="Q2907" s="6" t="str">
        <f>IFERROR(__xludf.DUMMYFUNCTION("""COMPUTED_VALUE"""),"MS")</f>
        <v>MS</v>
      </c>
      <c r="R2907" s="6">
        <f>IFERROR(__xludf.DUMMYFUNCTION("""COMPUTED_VALUE"""),0.0)</f>
        <v>0</v>
      </c>
      <c r="S2907" s="6" t="str">
        <f>IFERROR(__xludf.DUMMYFUNCTION("""COMPUTED_VALUE"""),"Genevra Self")</f>
        <v>Genevra Self</v>
      </c>
      <c r="T2907" s="6" t="str">
        <f>IFERROR(__xludf.DUMMYFUNCTION("""COMPUTED_VALUE"""),"genevra.self@studient.com")</f>
        <v>genevra.self@studient.com</v>
      </c>
      <c r="U2907" s="6" t="str">
        <f>IFERROR(__xludf.DUMMYFUNCTION("""COMPUTED_VALUE"""),"6")</f>
        <v>6</v>
      </c>
      <c r="V2907" s="6" t="str">
        <f>IFERROR(__xludf.DUMMYFUNCTION("""COMPUTED_VALUE"""),"English")</f>
        <v>English</v>
      </c>
      <c r="W2907" s="6" t="str">
        <f>IFERROR(__xludf.DUMMYFUNCTION("""COMPUTED_VALUE"""),"[]")</f>
        <v>[]</v>
      </c>
      <c r="X2907" s="6" t="str">
        <f>IFERROR(__xludf.DUMMYFUNCTION("""COMPUTED_VALUE"""),"Enrolled")</f>
        <v>Enrolled</v>
      </c>
    </row>
    <row r="2908">
      <c r="A2908" s="6" t="str">
        <f>IFERROR(__xludf.DUMMYFUNCTION("""COMPUTED_VALUE"""),"064-5143")</f>
        <v>064-5143</v>
      </c>
      <c r="B2908" s="6" t="str">
        <f>IFERROR(__xludf.DUMMYFUNCTION("""COMPUTED_VALUE"""),"64")</f>
        <v>64</v>
      </c>
      <c r="C2908" s="6" t="str">
        <f>IFERROR(__xludf.DUMMYFUNCTION("""COMPUTED_VALUE"""),"5143")</f>
        <v>5143</v>
      </c>
      <c r="D2908" s="6" t="str">
        <f>IFERROR(__xludf.DUMMYFUNCTION("""COMPUTED_VALUE"""),"JulieAnna")</f>
        <v>JulieAnna</v>
      </c>
      <c r="E2908" s="6" t="str">
        <f>IFERROR(__xludf.DUMMYFUNCTION("""COMPUTED_VALUE"""),"")</f>
        <v/>
      </c>
      <c r="F2908" s="6" t="str">
        <f>IFERROR(__xludf.DUMMYFUNCTION("""COMPUTED_VALUE"""),"Martinez-Olmos")</f>
        <v>Martinez-Olmos</v>
      </c>
      <c r="G2908" s="6" t="str">
        <f>IFERROR(__xludf.DUMMYFUNCTION("""COMPUTED_VALUE"""),"12/26/2013")</f>
        <v>12/26/2013</v>
      </c>
      <c r="H2908" s="6" t="str">
        <f>IFERROR(__xludf.DUMMYFUNCTION("""COMPUTED_VALUE"""),"Self Identify")</f>
        <v>Self Identify</v>
      </c>
      <c r="I2908" s="6" t="str">
        <f>IFERROR(__xludf.DUMMYFUNCTION("""COMPUTED_VALUE"""),"Middle School")</f>
        <v>Middle School</v>
      </c>
      <c r="J2908" s="6" t="str">
        <f>IFERROR(__xludf.DUMMYFUNCTION("""COMPUTED_VALUE"""),"6")</f>
        <v>6</v>
      </c>
      <c r="K2908" s="6" t="str">
        <f>IFERROR(__xludf.DUMMYFUNCTION("""COMPUTED_VALUE"""),"julieanna_martinezol@stu.ortrail.k12.or.us")</f>
        <v>julieanna_martinezol@stu.ortrail.k12.or.us</v>
      </c>
      <c r="L2908" s="6" t="str">
        <f>IFERROR(__xludf.DUMMYFUNCTION("""COMPUTED_VALUE"""),"Oregon Trail School District 46")</f>
        <v>Oregon Trail School District 46</v>
      </c>
      <c r="M2908" s="6" t="str">
        <f>IFERROR(__xludf.DUMMYFUNCTION("""COMPUTED_VALUE"""),"Welches Middle School Original Instruction")</f>
        <v>Welches Middle School Original Instruction</v>
      </c>
      <c r="N2908" s="6" t="str">
        <f>IFERROR(__xludf.DUMMYFUNCTION("""COMPUTED_VALUE"""),"")</f>
        <v/>
      </c>
      <c r="O2908" s="87" t="str">
        <f>IFERROR(__xludf.DUMMYFUNCTION("""COMPUTED_VALUE"""),"https://drive.google.com/drive/folders/10T2cTQHqEJZqE-st6uFKPoI?usp=share_link")</f>
        <v>https://drive.google.com/drive/folders/10T2cTQHqEJZqE-st6uFKPoI?usp=share_link</v>
      </c>
      <c r="P2908" s="6" t="str">
        <f>IFERROR(__xludf.DUMMYFUNCTION("""COMPUTED_VALUE"""),"JulieAnna Martinez-Olmos")</f>
        <v>JulieAnna Martinez-Olmos</v>
      </c>
      <c r="Q2908" s="6" t="str">
        <f>IFERROR(__xludf.DUMMYFUNCTION("""COMPUTED_VALUE"""),"MS")</f>
        <v>MS</v>
      </c>
      <c r="R2908" s="6">
        <f>IFERROR(__xludf.DUMMYFUNCTION("""COMPUTED_VALUE"""),0.0)</f>
        <v>0</v>
      </c>
      <c r="S2908" s="6" t="str">
        <f>IFERROR(__xludf.DUMMYFUNCTION("""COMPUTED_VALUE"""),"Genevra Self")</f>
        <v>Genevra Self</v>
      </c>
      <c r="T2908" s="6" t="str">
        <f>IFERROR(__xludf.DUMMYFUNCTION("""COMPUTED_VALUE"""),"genevra.self@studient.com")</f>
        <v>genevra.self@studient.com</v>
      </c>
      <c r="U2908" s="6" t="str">
        <f>IFERROR(__xludf.DUMMYFUNCTION("""COMPUTED_VALUE"""),"6")</f>
        <v>6</v>
      </c>
      <c r="V2908" s="6" t="str">
        <f>IFERROR(__xludf.DUMMYFUNCTION("""COMPUTED_VALUE"""),"English")</f>
        <v>English</v>
      </c>
      <c r="W2908" s="6" t="str">
        <f>IFERROR(__xludf.DUMMYFUNCTION("""COMPUTED_VALUE"""),"[]")</f>
        <v>[]</v>
      </c>
      <c r="X2908" s="6" t="str">
        <f>IFERROR(__xludf.DUMMYFUNCTION("""COMPUTED_VALUE"""),"Enrolled")</f>
        <v>Enrolled</v>
      </c>
    </row>
    <row r="2909">
      <c r="A2909" s="6" t="str">
        <f>IFERROR(__xludf.DUMMYFUNCTION("""COMPUTED_VALUE"""),"064-5144")</f>
        <v>064-5144</v>
      </c>
      <c r="B2909" s="6" t="str">
        <f>IFERROR(__xludf.DUMMYFUNCTION("""COMPUTED_VALUE"""),"64")</f>
        <v>64</v>
      </c>
      <c r="C2909" s="6" t="str">
        <f>IFERROR(__xludf.DUMMYFUNCTION("""COMPUTED_VALUE"""),"5144")</f>
        <v>5144</v>
      </c>
      <c r="D2909" s="6" t="str">
        <f>IFERROR(__xludf.DUMMYFUNCTION("""COMPUTED_VALUE"""),"Valeria")</f>
        <v>Valeria</v>
      </c>
      <c r="E2909" s="6" t="str">
        <f>IFERROR(__xludf.DUMMYFUNCTION("""COMPUTED_VALUE"""),"")</f>
        <v/>
      </c>
      <c r="F2909" s="6" t="str">
        <f>IFERROR(__xludf.DUMMYFUNCTION("""COMPUTED_VALUE"""),"Martinez-Ruiz")</f>
        <v>Martinez-Ruiz</v>
      </c>
      <c r="G2909" s="6" t="str">
        <f>IFERROR(__xludf.DUMMYFUNCTION("""COMPUTED_VALUE"""),"02/24/2014")</f>
        <v>02/24/2014</v>
      </c>
      <c r="H2909" s="6" t="str">
        <f>IFERROR(__xludf.DUMMYFUNCTION("""COMPUTED_VALUE"""),"Self Identify")</f>
        <v>Self Identify</v>
      </c>
      <c r="I2909" s="6" t="str">
        <f>IFERROR(__xludf.DUMMYFUNCTION("""COMPUTED_VALUE"""),"Middle School")</f>
        <v>Middle School</v>
      </c>
      <c r="J2909" s="6" t="str">
        <f>IFERROR(__xludf.DUMMYFUNCTION("""COMPUTED_VALUE"""),"6")</f>
        <v>6</v>
      </c>
      <c r="K2909" s="6" t="str">
        <f>IFERROR(__xludf.DUMMYFUNCTION("""COMPUTED_VALUE"""),"valeria_martinezruiz@stu.ortrail.k12.or.us")</f>
        <v>valeria_martinezruiz@stu.ortrail.k12.or.us</v>
      </c>
      <c r="L2909" s="6" t="str">
        <f>IFERROR(__xludf.DUMMYFUNCTION("""COMPUTED_VALUE"""),"Oregon Trail School District 46")</f>
        <v>Oregon Trail School District 46</v>
      </c>
      <c r="M2909" s="6" t="str">
        <f>IFERROR(__xludf.DUMMYFUNCTION("""COMPUTED_VALUE"""),"Welches Middle School Original Instruction")</f>
        <v>Welches Middle School Original Instruction</v>
      </c>
      <c r="N2909" s="6" t="str">
        <f>IFERROR(__xludf.DUMMYFUNCTION("""COMPUTED_VALUE"""),"")</f>
        <v/>
      </c>
      <c r="O2909" s="87" t="str">
        <f>IFERROR(__xludf.DUMMYFUNCTION("""COMPUTED_VALUE"""),"https://drive.google.com/drive/folders/10T2cTQHqEJZqE-st6uFKPoI?usp=share_link")</f>
        <v>https://drive.google.com/drive/folders/10T2cTQHqEJZqE-st6uFKPoI?usp=share_link</v>
      </c>
      <c r="P2909" s="6" t="str">
        <f>IFERROR(__xludf.DUMMYFUNCTION("""COMPUTED_VALUE"""),"Valeria Martinez-Ruiz")</f>
        <v>Valeria Martinez-Ruiz</v>
      </c>
      <c r="Q2909" s="6" t="str">
        <f>IFERROR(__xludf.DUMMYFUNCTION("""COMPUTED_VALUE"""),"MS")</f>
        <v>MS</v>
      </c>
      <c r="R2909" s="6">
        <f>IFERROR(__xludf.DUMMYFUNCTION("""COMPUTED_VALUE"""),0.0)</f>
        <v>0</v>
      </c>
      <c r="S2909" s="6" t="str">
        <f>IFERROR(__xludf.DUMMYFUNCTION("""COMPUTED_VALUE"""),"Genevra Self")</f>
        <v>Genevra Self</v>
      </c>
      <c r="T2909" s="6" t="str">
        <f>IFERROR(__xludf.DUMMYFUNCTION("""COMPUTED_VALUE"""),"genevra.self@studient.com")</f>
        <v>genevra.self@studient.com</v>
      </c>
      <c r="U2909" s="6" t="str">
        <f>IFERROR(__xludf.DUMMYFUNCTION("""COMPUTED_VALUE"""),"6")</f>
        <v>6</v>
      </c>
      <c r="V2909" s="6" t="str">
        <f>IFERROR(__xludf.DUMMYFUNCTION("""COMPUTED_VALUE"""),"English")</f>
        <v>English</v>
      </c>
      <c r="W2909" s="6" t="str">
        <f>IFERROR(__xludf.DUMMYFUNCTION("""COMPUTED_VALUE"""),"[]")</f>
        <v>[]</v>
      </c>
      <c r="X2909" s="6" t="str">
        <f>IFERROR(__xludf.DUMMYFUNCTION("""COMPUTED_VALUE"""),"Enrolled")</f>
        <v>Enrolled</v>
      </c>
    </row>
    <row r="2910">
      <c r="A2910" s="6" t="str">
        <f>IFERROR(__xludf.DUMMYFUNCTION("""COMPUTED_VALUE"""),"064-5145")</f>
        <v>064-5145</v>
      </c>
      <c r="B2910" s="6" t="str">
        <f>IFERROR(__xludf.DUMMYFUNCTION("""COMPUTED_VALUE"""),"64")</f>
        <v>64</v>
      </c>
      <c r="C2910" s="6" t="str">
        <f>IFERROR(__xludf.DUMMYFUNCTION("""COMPUTED_VALUE"""),"5145")</f>
        <v>5145</v>
      </c>
      <c r="D2910" s="6" t="str">
        <f>IFERROR(__xludf.DUMMYFUNCTION("""COMPUTED_VALUE"""),"Ava")</f>
        <v>Ava</v>
      </c>
      <c r="E2910" s="6" t="str">
        <f>IFERROR(__xludf.DUMMYFUNCTION("""COMPUTED_VALUE"""),"")</f>
        <v/>
      </c>
      <c r="F2910" s="6" t="str">
        <f>IFERROR(__xludf.DUMMYFUNCTION("""COMPUTED_VALUE"""),"Mattoon")</f>
        <v>Mattoon</v>
      </c>
      <c r="G2910" s="6" t="str">
        <f>IFERROR(__xludf.DUMMYFUNCTION("""COMPUTED_VALUE"""),"09/30/2013")</f>
        <v>09/30/2013</v>
      </c>
      <c r="H2910" s="6" t="str">
        <f>IFERROR(__xludf.DUMMYFUNCTION("""COMPUTED_VALUE"""),"Self Identify")</f>
        <v>Self Identify</v>
      </c>
      <c r="I2910" s="6" t="str">
        <f>IFERROR(__xludf.DUMMYFUNCTION("""COMPUTED_VALUE"""),"Middle School")</f>
        <v>Middle School</v>
      </c>
      <c r="J2910" s="6" t="str">
        <f>IFERROR(__xludf.DUMMYFUNCTION("""COMPUTED_VALUE"""),"6")</f>
        <v>6</v>
      </c>
      <c r="K2910" s="6" t="str">
        <f>IFERROR(__xludf.DUMMYFUNCTION("""COMPUTED_VALUE"""),"ava_mattoon@stu.ortrail.k12.or.us")</f>
        <v>ava_mattoon@stu.ortrail.k12.or.us</v>
      </c>
      <c r="L2910" s="6" t="str">
        <f>IFERROR(__xludf.DUMMYFUNCTION("""COMPUTED_VALUE"""),"Oregon Trail School District 46")</f>
        <v>Oregon Trail School District 46</v>
      </c>
      <c r="M2910" s="6" t="str">
        <f>IFERROR(__xludf.DUMMYFUNCTION("""COMPUTED_VALUE"""),"Welches Middle School Original Instruction")</f>
        <v>Welches Middle School Original Instruction</v>
      </c>
      <c r="N2910" s="6" t="str">
        <f>IFERROR(__xludf.DUMMYFUNCTION("""COMPUTED_VALUE"""),"")</f>
        <v/>
      </c>
      <c r="O2910" s="87" t="str">
        <f>IFERROR(__xludf.DUMMYFUNCTION("""COMPUTED_VALUE"""),"https://drive.google.com/drive/folders/10T2cTQHqEJZqE-st6uFKPoI?usp=share_link")</f>
        <v>https://drive.google.com/drive/folders/10T2cTQHqEJZqE-st6uFKPoI?usp=share_link</v>
      </c>
      <c r="P2910" s="6" t="str">
        <f>IFERROR(__xludf.DUMMYFUNCTION("""COMPUTED_VALUE"""),"Ava Mattoon")</f>
        <v>Ava Mattoon</v>
      </c>
      <c r="Q2910" s="6" t="str">
        <f>IFERROR(__xludf.DUMMYFUNCTION("""COMPUTED_VALUE"""),"MS")</f>
        <v>MS</v>
      </c>
      <c r="R2910" s="6">
        <f>IFERROR(__xludf.DUMMYFUNCTION("""COMPUTED_VALUE"""),0.0)</f>
        <v>0</v>
      </c>
      <c r="S2910" s="6" t="str">
        <f>IFERROR(__xludf.DUMMYFUNCTION("""COMPUTED_VALUE"""),"Genevra Self")</f>
        <v>Genevra Self</v>
      </c>
      <c r="T2910" s="6" t="str">
        <f>IFERROR(__xludf.DUMMYFUNCTION("""COMPUTED_VALUE"""),"genevra.self@studient.com")</f>
        <v>genevra.self@studient.com</v>
      </c>
      <c r="U2910" s="6" t="str">
        <f>IFERROR(__xludf.DUMMYFUNCTION("""COMPUTED_VALUE"""),"6")</f>
        <v>6</v>
      </c>
      <c r="V2910" s="6" t="str">
        <f>IFERROR(__xludf.DUMMYFUNCTION("""COMPUTED_VALUE"""),"English")</f>
        <v>English</v>
      </c>
      <c r="W2910" s="6" t="str">
        <f>IFERROR(__xludf.DUMMYFUNCTION("""COMPUTED_VALUE"""),"[]")</f>
        <v>[]</v>
      </c>
      <c r="X2910" s="6" t="str">
        <f>IFERROR(__xludf.DUMMYFUNCTION("""COMPUTED_VALUE"""),"Enrolled")</f>
        <v>Enrolled</v>
      </c>
    </row>
    <row r="2911">
      <c r="A2911" s="6" t="str">
        <f>IFERROR(__xludf.DUMMYFUNCTION("""COMPUTED_VALUE"""),"064-5146")</f>
        <v>064-5146</v>
      </c>
      <c r="B2911" s="6" t="str">
        <f>IFERROR(__xludf.DUMMYFUNCTION("""COMPUTED_VALUE"""),"64")</f>
        <v>64</v>
      </c>
      <c r="C2911" s="6" t="str">
        <f>IFERROR(__xludf.DUMMYFUNCTION("""COMPUTED_VALUE"""),"5146")</f>
        <v>5146</v>
      </c>
      <c r="D2911" s="6" t="str">
        <f>IFERROR(__xludf.DUMMYFUNCTION("""COMPUTED_VALUE"""),"Glenyx")</f>
        <v>Glenyx</v>
      </c>
      <c r="E2911" s="6" t="str">
        <f>IFERROR(__xludf.DUMMYFUNCTION("""COMPUTED_VALUE"""),"")</f>
        <v/>
      </c>
      <c r="F2911" s="6" t="str">
        <f>IFERROR(__xludf.DUMMYFUNCTION("""COMPUTED_VALUE"""),"Melgar Sandoval")</f>
        <v>Melgar Sandoval</v>
      </c>
      <c r="G2911" s="6" t="str">
        <f>IFERROR(__xludf.DUMMYFUNCTION("""COMPUTED_VALUE"""),"12/08/2013")</f>
        <v>12/08/2013</v>
      </c>
      <c r="H2911" s="6" t="str">
        <f>IFERROR(__xludf.DUMMYFUNCTION("""COMPUTED_VALUE"""),"Self Identify")</f>
        <v>Self Identify</v>
      </c>
      <c r="I2911" s="6" t="str">
        <f>IFERROR(__xludf.DUMMYFUNCTION("""COMPUTED_VALUE"""),"Middle School")</f>
        <v>Middle School</v>
      </c>
      <c r="J2911" s="6" t="str">
        <f>IFERROR(__xludf.DUMMYFUNCTION("""COMPUTED_VALUE"""),"6")</f>
        <v>6</v>
      </c>
      <c r="K2911" s="6" t="str">
        <f>IFERROR(__xludf.DUMMYFUNCTION("""COMPUTED_VALUE"""),"glenyx_melgarsandova@stu.ortrail.k12.or.us")</f>
        <v>glenyx_melgarsandova@stu.ortrail.k12.or.us</v>
      </c>
      <c r="L2911" s="6" t="str">
        <f>IFERROR(__xludf.DUMMYFUNCTION("""COMPUTED_VALUE"""),"Oregon Trail School District 46")</f>
        <v>Oregon Trail School District 46</v>
      </c>
      <c r="M2911" s="6" t="str">
        <f>IFERROR(__xludf.DUMMYFUNCTION("""COMPUTED_VALUE"""),"Welches Middle School Original Instruction")</f>
        <v>Welches Middle School Original Instruction</v>
      </c>
      <c r="N2911" s="6" t="str">
        <f>IFERROR(__xludf.DUMMYFUNCTION("""COMPUTED_VALUE"""),"")</f>
        <v/>
      </c>
      <c r="O2911" s="87" t="str">
        <f>IFERROR(__xludf.DUMMYFUNCTION("""COMPUTED_VALUE"""),"https://drive.google.com/drive/folders/10T2cTQHqEJZqE-st6uFKPoI?usp=share_link")</f>
        <v>https://drive.google.com/drive/folders/10T2cTQHqEJZqE-st6uFKPoI?usp=share_link</v>
      </c>
      <c r="P2911" s="6" t="str">
        <f>IFERROR(__xludf.DUMMYFUNCTION("""COMPUTED_VALUE"""),"Glenyx Melgar Sandoval")</f>
        <v>Glenyx Melgar Sandoval</v>
      </c>
      <c r="Q2911" s="6" t="str">
        <f>IFERROR(__xludf.DUMMYFUNCTION("""COMPUTED_VALUE"""),"MS")</f>
        <v>MS</v>
      </c>
      <c r="R2911" s="6">
        <f>IFERROR(__xludf.DUMMYFUNCTION("""COMPUTED_VALUE"""),0.0)</f>
        <v>0</v>
      </c>
      <c r="S2911" s="6" t="str">
        <f>IFERROR(__xludf.DUMMYFUNCTION("""COMPUTED_VALUE"""),"Genevra Self")</f>
        <v>Genevra Self</v>
      </c>
      <c r="T2911" s="6" t="str">
        <f>IFERROR(__xludf.DUMMYFUNCTION("""COMPUTED_VALUE"""),"genevra.self@studient.com")</f>
        <v>genevra.self@studient.com</v>
      </c>
      <c r="U2911" s="6" t="str">
        <f>IFERROR(__xludf.DUMMYFUNCTION("""COMPUTED_VALUE"""),"6")</f>
        <v>6</v>
      </c>
      <c r="V2911" s="6" t="str">
        <f>IFERROR(__xludf.DUMMYFUNCTION("""COMPUTED_VALUE"""),"English")</f>
        <v>English</v>
      </c>
      <c r="W2911" s="6" t="str">
        <f>IFERROR(__xludf.DUMMYFUNCTION("""COMPUTED_VALUE"""),"[]")</f>
        <v>[]</v>
      </c>
      <c r="X2911" s="6" t="str">
        <f>IFERROR(__xludf.DUMMYFUNCTION("""COMPUTED_VALUE"""),"Enrolled")</f>
        <v>Enrolled</v>
      </c>
    </row>
    <row r="2912">
      <c r="A2912" s="6" t="str">
        <f>IFERROR(__xludf.DUMMYFUNCTION("""COMPUTED_VALUE"""),"064-5147")</f>
        <v>064-5147</v>
      </c>
      <c r="B2912" s="6" t="str">
        <f>IFERROR(__xludf.DUMMYFUNCTION("""COMPUTED_VALUE"""),"64")</f>
        <v>64</v>
      </c>
      <c r="C2912" s="6" t="str">
        <f>IFERROR(__xludf.DUMMYFUNCTION("""COMPUTED_VALUE"""),"5147")</f>
        <v>5147</v>
      </c>
      <c r="D2912" s="6" t="str">
        <f>IFERROR(__xludf.DUMMYFUNCTION("""COMPUTED_VALUE"""),"Robert")</f>
        <v>Robert</v>
      </c>
      <c r="E2912" s="6" t="str">
        <f>IFERROR(__xludf.DUMMYFUNCTION("""COMPUTED_VALUE"""),"")</f>
        <v/>
      </c>
      <c r="F2912" s="6" t="str">
        <f>IFERROR(__xludf.DUMMYFUNCTION("""COMPUTED_VALUE"""),"Minter")</f>
        <v>Minter</v>
      </c>
      <c r="G2912" s="6" t="str">
        <f>IFERROR(__xludf.DUMMYFUNCTION("""COMPUTED_VALUE"""),"03/18/2014")</f>
        <v>03/18/2014</v>
      </c>
      <c r="H2912" s="6" t="str">
        <f>IFERROR(__xludf.DUMMYFUNCTION("""COMPUTED_VALUE"""),"Self Identify")</f>
        <v>Self Identify</v>
      </c>
      <c r="I2912" s="6" t="str">
        <f>IFERROR(__xludf.DUMMYFUNCTION("""COMPUTED_VALUE"""),"Middle School")</f>
        <v>Middle School</v>
      </c>
      <c r="J2912" s="6" t="str">
        <f>IFERROR(__xludf.DUMMYFUNCTION("""COMPUTED_VALUE"""),"6")</f>
        <v>6</v>
      </c>
      <c r="K2912" s="6" t="str">
        <f>IFERROR(__xludf.DUMMYFUNCTION("""COMPUTED_VALUE"""),"rj_minter@stu.ortrail.k12.or.us")</f>
        <v>rj_minter@stu.ortrail.k12.or.us</v>
      </c>
      <c r="L2912" s="6" t="str">
        <f>IFERROR(__xludf.DUMMYFUNCTION("""COMPUTED_VALUE"""),"Oregon Trail School District 46")</f>
        <v>Oregon Trail School District 46</v>
      </c>
      <c r="M2912" s="6" t="str">
        <f>IFERROR(__xludf.DUMMYFUNCTION("""COMPUTED_VALUE"""),"Welches Middle School")</f>
        <v>Welches Middle School</v>
      </c>
      <c r="N2912" s="6" t="str">
        <f>IFERROR(__xludf.DUMMYFUNCTION("""COMPUTED_VALUE"""),"")</f>
        <v/>
      </c>
      <c r="O2912" s="87" t="str">
        <f>IFERROR(__xludf.DUMMYFUNCTION("""COMPUTED_VALUE"""),"https://drive.google.com/drive/folders/10T2cTQHqEJZqE-st6uFKPoI?usp=share_link")</f>
        <v>https://drive.google.com/drive/folders/10T2cTQHqEJZqE-st6uFKPoI?usp=share_link</v>
      </c>
      <c r="P2912" s="6" t="str">
        <f>IFERROR(__xludf.DUMMYFUNCTION("""COMPUTED_VALUE"""),"Robert Minter")</f>
        <v>Robert Minter</v>
      </c>
      <c r="Q2912" s="6" t="str">
        <f>IFERROR(__xludf.DUMMYFUNCTION("""COMPUTED_VALUE"""),"MS")</f>
        <v>MS</v>
      </c>
      <c r="R2912" s="6">
        <f>IFERROR(__xludf.DUMMYFUNCTION("""COMPUTED_VALUE"""),0.0)</f>
        <v>0</v>
      </c>
      <c r="S2912" s="6" t="str">
        <f>IFERROR(__xludf.DUMMYFUNCTION("""COMPUTED_VALUE"""),"Nicole Kellim")</f>
        <v>Nicole Kellim</v>
      </c>
      <c r="T2912" s="6" t="str">
        <f>IFERROR(__xludf.DUMMYFUNCTION("""COMPUTED_VALUE"""),"nicole.kellim@ortrail.k12.or.us")</f>
        <v>nicole.kellim@ortrail.k12.or.us</v>
      </c>
      <c r="U2912" s="6" t="str">
        <f>IFERROR(__xludf.DUMMYFUNCTION("""COMPUTED_VALUE"""),"6")</f>
        <v>6</v>
      </c>
      <c r="V2912" s="6" t="str">
        <f>IFERROR(__xludf.DUMMYFUNCTION("""COMPUTED_VALUE"""),"English")</f>
        <v>English</v>
      </c>
      <c r="W2912" s="6" t="str">
        <f>IFERROR(__xludf.DUMMYFUNCTION("""COMPUTED_VALUE"""),"[]")</f>
        <v>[]</v>
      </c>
      <c r="X2912" s="6" t="str">
        <f>IFERROR(__xludf.DUMMYFUNCTION("""COMPUTED_VALUE"""),"Enrolled")</f>
        <v>Enrolled</v>
      </c>
    </row>
    <row r="2913">
      <c r="A2913" s="6" t="str">
        <f>IFERROR(__xludf.DUMMYFUNCTION("""COMPUTED_VALUE"""),"064-5148")</f>
        <v>064-5148</v>
      </c>
      <c r="B2913" s="6" t="str">
        <f>IFERROR(__xludf.DUMMYFUNCTION("""COMPUTED_VALUE"""),"64")</f>
        <v>64</v>
      </c>
      <c r="C2913" s="6" t="str">
        <f>IFERROR(__xludf.DUMMYFUNCTION("""COMPUTED_VALUE"""),"5148")</f>
        <v>5148</v>
      </c>
      <c r="D2913" s="6" t="str">
        <f>IFERROR(__xludf.DUMMYFUNCTION("""COMPUTED_VALUE"""),"Nicolette")</f>
        <v>Nicolette</v>
      </c>
      <c r="E2913" s="6" t="str">
        <f>IFERROR(__xludf.DUMMYFUNCTION("""COMPUTED_VALUE"""),"")</f>
        <v/>
      </c>
      <c r="F2913" s="6" t="str">
        <f>IFERROR(__xludf.DUMMYFUNCTION("""COMPUTED_VALUE"""),"Roberts")</f>
        <v>Roberts</v>
      </c>
      <c r="G2913" s="6" t="str">
        <f>IFERROR(__xludf.DUMMYFUNCTION("""COMPUTED_VALUE"""),"08/13/2014")</f>
        <v>08/13/2014</v>
      </c>
      <c r="H2913" s="6" t="str">
        <f>IFERROR(__xludf.DUMMYFUNCTION("""COMPUTED_VALUE"""),"Self Identify")</f>
        <v>Self Identify</v>
      </c>
      <c r="I2913" s="6" t="str">
        <f>IFERROR(__xludf.DUMMYFUNCTION("""COMPUTED_VALUE"""),"Middle School")</f>
        <v>Middle School</v>
      </c>
      <c r="J2913" s="6" t="str">
        <f>IFERROR(__xludf.DUMMYFUNCTION("""COMPUTED_VALUE"""),"6")</f>
        <v>6</v>
      </c>
      <c r="K2913" s="6" t="str">
        <f>IFERROR(__xludf.DUMMYFUNCTION("""COMPUTED_VALUE"""),"nicolette_roberts@stu.ortrail.k12.or.us")</f>
        <v>nicolette_roberts@stu.ortrail.k12.or.us</v>
      </c>
      <c r="L2913" s="6" t="str">
        <f>IFERROR(__xludf.DUMMYFUNCTION("""COMPUTED_VALUE"""),"Oregon Trail School District 46")</f>
        <v>Oregon Trail School District 46</v>
      </c>
      <c r="M2913" s="6" t="str">
        <f>IFERROR(__xludf.DUMMYFUNCTION("""COMPUTED_VALUE"""),"Welches Middle School")</f>
        <v>Welches Middle School</v>
      </c>
      <c r="N2913" s="6" t="str">
        <f>IFERROR(__xludf.DUMMYFUNCTION("""COMPUTED_VALUE"""),"")</f>
        <v/>
      </c>
      <c r="O2913" s="87" t="str">
        <f>IFERROR(__xludf.DUMMYFUNCTION("""COMPUTED_VALUE"""),"https://drive.google.com/drive/folders/10T2cTQHqEJZqE-st6uFKPoI?usp=share_link")</f>
        <v>https://drive.google.com/drive/folders/10T2cTQHqEJZqE-st6uFKPoI?usp=share_link</v>
      </c>
      <c r="P2913" s="6" t="str">
        <f>IFERROR(__xludf.DUMMYFUNCTION("""COMPUTED_VALUE"""),"Nicolette Roberts")</f>
        <v>Nicolette Roberts</v>
      </c>
      <c r="Q2913" s="6" t="str">
        <f>IFERROR(__xludf.DUMMYFUNCTION("""COMPUTED_VALUE"""),"MS")</f>
        <v>MS</v>
      </c>
      <c r="R2913" s="6">
        <f>IFERROR(__xludf.DUMMYFUNCTION("""COMPUTED_VALUE"""),0.0)</f>
        <v>0</v>
      </c>
      <c r="S2913" s="6" t="str">
        <f>IFERROR(__xludf.DUMMYFUNCTION("""COMPUTED_VALUE"""),"Nicole Kellim")</f>
        <v>Nicole Kellim</v>
      </c>
      <c r="T2913" s="6" t="str">
        <f>IFERROR(__xludf.DUMMYFUNCTION("""COMPUTED_VALUE"""),"nicole.kellim@ortrail.k12.or.us")</f>
        <v>nicole.kellim@ortrail.k12.or.us</v>
      </c>
      <c r="U2913" s="6" t="str">
        <f>IFERROR(__xludf.DUMMYFUNCTION("""COMPUTED_VALUE"""),"6")</f>
        <v>6</v>
      </c>
      <c r="V2913" s="6" t="str">
        <f>IFERROR(__xludf.DUMMYFUNCTION("""COMPUTED_VALUE"""),"English")</f>
        <v>English</v>
      </c>
      <c r="W2913" s="6" t="str">
        <f>IFERROR(__xludf.DUMMYFUNCTION("""COMPUTED_VALUE"""),"[]")</f>
        <v>[]</v>
      </c>
      <c r="X2913" s="6" t="str">
        <f>IFERROR(__xludf.DUMMYFUNCTION("""COMPUTED_VALUE"""),"Enrolled")</f>
        <v>Enrolled</v>
      </c>
    </row>
    <row r="2914">
      <c r="A2914" s="6" t="str">
        <f>IFERROR(__xludf.DUMMYFUNCTION("""COMPUTED_VALUE"""),"064-5149")</f>
        <v>064-5149</v>
      </c>
      <c r="B2914" s="6" t="str">
        <f>IFERROR(__xludf.DUMMYFUNCTION("""COMPUTED_VALUE"""),"64")</f>
        <v>64</v>
      </c>
      <c r="C2914" s="6" t="str">
        <f>IFERROR(__xludf.DUMMYFUNCTION("""COMPUTED_VALUE"""),"5149")</f>
        <v>5149</v>
      </c>
      <c r="D2914" s="6" t="str">
        <f>IFERROR(__xludf.DUMMYFUNCTION("""COMPUTED_VALUE"""),"Charles")</f>
        <v>Charles</v>
      </c>
      <c r="E2914" s="6" t="str">
        <f>IFERROR(__xludf.DUMMYFUNCTION("""COMPUTED_VALUE"""),"")</f>
        <v/>
      </c>
      <c r="F2914" s="6" t="str">
        <f>IFERROR(__xludf.DUMMYFUNCTION("""COMPUTED_VALUE"""),"Rogers")</f>
        <v>Rogers</v>
      </c>
      <c r="G2914" s="6" t="str">
        <f>IFERROR(__xludf.DUMMYFUNCTION("""COMPUTED_VALUE"""),"10/01/2013")</f>
        <v>10/01/2013</v>
      </c>
      <c r="H2914" s="6" t="str">
        <f>IFERROR(__xludf.DUMMYFUNCTION("""COMPUTED_VALUE"""),"Self Identify")</f>
        <v>Self Identify</v>
      </c>
      <c r="I2914" s="6" t="str">
        <f>IFERROR(__xludf.DUMMYFUNCTION("""COMPUTED_VALUE"""),"Middle School")</f>
        <v>Middle School</v>
      </c>
      <c r="J2914" s="6" t="str">
        <f>IFERROR(__xludf.DUMMYFUNCTION("""COMPUTED_VALUE"""),"6")</f>
        <v>6</v>
      </c>
      <c r="K2914" s="6" t="str">
        <f>IFERROR(__xludf.DUMMYFUNCTION("""COMPUTED_VALUE"""),"charlie_rogers@stu.ortrail.k12.or.us")</f>
        <v>charlie_rogers@stu.ortrail.k12.or.us</v>
      </c>
      <c r="L2914" s="6" t="str">
        <f>IFERROR(__xludf.DUMMYFUNCTION("""COMPUTED_VALUE"""),"Oregon Trail School District 46")</f>
        <v>Oregon Trail School District 46</v>
      </c>
      <c r="M2914" s="6" t="str">
        <f>IFERROR(__xludf.DUMMYFUNCTION("""COMPUTED_VALUE"""),"Welches Middle School Original Instruction")</f>
        <v>Welches Middle School Original Instruction</v>
      </c>
      <c r="N2914" s="6" t="str">
        <f>IFERROR(__xludf.DUMMYFUNCTION("""COMPUTED_VALUE"""),"")</f>
        <v/>
      </c>
      <c r="O2914" s="87" t="str">
        <f>IFERROR(__xludf.DUMMYFUNCTION("""COMPUTED_VALUE"""),"https://drive.google.com/drive/folders/10T2cTQHqEJZqE-st6uFKPoI?usp=share_link")</f>
        <v>https://drive.google.com/drive/folders/10T2cTQHqEJZqE-st6uFKPoI?usp=share_link</v>
      </c>
      <c r="P2914" s="6" t="str">
        <f>IFERROR(__xludf.DUMMYFUNCTION("""COMPUTED_VALUE"""),"Charles Rogers")</f>
        <v>Charles Rogers</v>
      </c>
      <c r="Q2914" s="6" t="str">
        <f>IFERROR(__xludf.DUMMYFUNCTION("""COMPUTED_VALUE"""),"MS")</f>
        <v>MS</v>
      </c>
      <c r="R2914" s="6">
        <f>IFERROR(__xludf.DUMMYFUNCTION("""COMPUTED_VALUE"""),0.0)</f>
        <v>0</v>
      </c>
      <c r="S2914" s="6" t="str">
        <f>IFERROR(__xludf.DUMMYFUNCTION("""COMPUTED_VALUE"""),"Genevra Self")</f>
        <v>Genevra Self</v>
      </c>
      <c r="T2914" s="6" t="str">
        <f>IFERROR(__xludf.DUMMYFUNCTION("""COMPUTED_VALUE"""),"genevra.self@studient.com")</f>
        <v>genevra.self@studient.com</v>
      </c>
      <c r="U2914" s="6" t="str">
        <f>IFERROR(__xludf.DUMMYFUNCTION("""COMPUTED_VALUE"""),"6")</f>
        <v>6</v>
      </c>
      <c r="V2914" s="6" t="str">
        <f>IFERROR(__xludf.DUMMYFUNCTION("""COMPUTED_VALUE"""),"English")</f>
        <v>English</v>
      </c>
      <c r="W2914" s="6" t="str">
        <f>IFERROR(__xludf.DUMMYFUNCTION("""COMPUTED_VALUE"""),"[]")</f>
        <v>[]</v>
      </c>
      <c r="X2914" s="6" t="str">
        <f>IFERROR(__xludf.DUMMYFUNCTION("""COMPUTED_VALUE"""),"Enrolled")</f>
        <v>Enrolled</v>
      </c>
    </row>
    <row r="2915">
      <c r="A2915" s="6" t="str">
        <f>IFERROR(__xludf.DUMMYFUNCTION("""COMPUTED_VALUE"""),"064-5150")</f>
        <v>064-5150</v>
      </c>
      <c r="B2915" s="6" t="str">
        <f>IFERROR(__xludf.DUMMYFUNCTION("""COMPUTED_VALUE"""),"64")</f>
        <v>64</v>
      </c>
      <c r="C2915" s="6" t="str">
        <f>IFERROR(__xludf.DUMMYFUNCTION("""COMPUTED_VALUE"""),"5150")</f>
        <v>5150</v>
      </c>
      <c r="D2915" s="6" t="str">
        <f>IFERROR(__xludf.DUMMYFUNCTION("""COMPUTED_VALUE"""),"Abigail")</f>
        <v>Abigail</v>
      </c>
      <c r="E2915" s="6" t="str">
        <f>IFERROR(__xludf.DUMMYFUNCTION("""COMPUTED_VALUE"""),"")</f>
        <v/>
      </c>
      <c r="F2915" s="6" t="str">
        <f>IFERROR(__xludf.DUMMYFUNCTION("""COMPUTED_VALUE"""),"Thomas")</f>
        <v>Thomas</v>
      </c>
      <c r="G2915" s="6" t="str">
        <f>IFERROR(__xludf.DUMMYFUNCTION("""COMPUTED_VALUE"""),"01/23/2014")</f>
        <v>01/23/2014</v>
      </c>
      <c r="H2915" s="6" t="str">
        <f>IFERROR(__xludf.DUMMYFUNCTION("""COMPUTED_VALUE"""),"Self Identify")</f>
        <v>Self Identify</v>
      </c>
      <c r="I2915" s="6" t="str">
        <f>IFERROR(__xludf.DUMMYFUNCTION("""COMPUTED_VALUE"""),"Middle School")</f>
        <v>Middle School</v>
      </c>
      <c r="J2915" s="6" t="str">
        <f>IFERROR(__xludf.DUMMYFUNCTION("""COMPUTED_VALUE"""),"6")</f>
        <v>6</v>
      </c>
      <c r="K2915" s="6" t="str">
        <f>IFERROR(__xludf.DUMMYFUNCTION("""COMPUTED_VALUE"""),"abby_thomas@stu.ortrail.k12.or.us")</f>
        <v>abby_thomas@stu.ortrail.k12.or.us</v>
      </c>
      <c r="L2915" s="6" t="str">
        <f>IFERROR(__xludf.DUMMYFUNCTION("""COMPUTED_VALUE"""),"Oregon Trail School District 46")</f>
        <v>Oregon Trail School District 46</v>
      </c>
      <c r="M2915" s="6" t="str">
        <f>IFERROR(__xludf.DUMMYFUNCTION("""COMPUTED_VALUE"""),"Welches Middle School Original Instruction")</f>
        <v>Welches Middle School Original Instruction</v>
      </c>
      <c r="N2915" s="6" t="str">
        <f>IFERROR(__xludf.DUMMYFUNCTION("""COMPUTED_VALUE"""),"")</f>
        <v/>
      </c>
      <c r="O2915" s="87" t="str">
        <f>IFERROR(__xludf.DUMMYFUNCTION("""COMPUTED_VALUE"""),"https://drive.google.com/drive/folders/10T2cTQHqEJZqE-st6uFKPoI?usp=share_link")</f>
        <v>https://drive.google.com/drive/folders/10T2cTQHqEJZqE-st6uFKPoI?usp=share_link</v>
      </c>
      <c r="P2915" s="6" t="str">
        <f>IFERROR(__xludf.DUMMYFUNCTION("""COMPUTED_VALUE"""),"Abigail Thomas")</f>
        <v>Abigail Thomas</v>
      </c>
      <c r="Q2915" s="6" t="str">
        <f>IFERROR(__xludf.DUMMYFUNCTION("""COMPUTED_VALUE"""),"MS")</f>
        <v>MS</v>
      </c>
      <c r="R2915" s="6">
        <f>IFERROR(__xludf.DUMMYFUNCTION("""COMPUTED_VALUE"""),0.0)</f>
        <v>0</v>
      </c>
      <c r="S2915" s="6" t="str">
        <f>IFERROR(__xludf.DUMMYFUNCTION("""COMPUTED_VALUE"""),"Genevra Self")</f>
        <v>Genevra Self</v>
      </c>
      <c r="T2915" s="6" t="str">
        <f>IFERROR(__xludf.DUMMYFUNCTION("""COMPUTED_VALUE"""),"genevra.self@studient.com")</f>
        <v>genevra.self@studient.com</v>
      </c>
      <c r="U2915" s="6" t="str">
        <f>IFERROR(__xludf.DUMMYFUNCTION("""COMPUTED_VALUE"""),"6")</f>
        <v>6</v>
      </c>
      <c r="V2915" s="6" t="str">
        <f>IFERROR(__xludf.DUMMYFUNCTION("""COMPUTED_VALUE"""),"English")</f>
        <v>English</v>
      </c>
      <c r="W2915" s="6" t="str">
        <f>IFERROR(__xludf.DUMMYFUNCTION("""COMPUTED_VALUE"""),"[]")</f>
        <v>[]</v>
      </c>
      <c r="X2915" s="6" t="str">
        <f>IFERROR(__xludf.DUMMYFUNCTION("""COMPUTED_VALUE"""),"Enrolled")</f>
        <v>Enrolled</v>
      </c>
    </row>
    <row r="2916">
      <c r="A2916" s="6" t="str">
        <f>IFERROR(__xludf.DUMMYFUNCTION("""COMPUTED_VALUE"""),"064-5152")</f>
        <v>064-5152</v>
      </c>
      <c r="B2916" s="6" t="str">
        <f>IFERROR(__xludf.DUMMYFUNCTION("""COMPUTED_VALUE"""),"64")</f>
        <v>64</v>
      </c>
      <c r="C2916" s="6" t="str">
        <f>IFERROR(__xludf.DUMMYFUNCTION("""COMPUTED_VALUE"""),"5152")</f>
        <v>5152</v>
      </c>
      <c r="D2916" s="6" t="str">
        <f>IFERROR(__xludf.DUMMYFUNCTION("""COMPUTED_VALUE"""),"Opal")</f>
        <v>Opal</v>
      </c>
      <c r="E2916" s="6" t="str">
        <f>IFERROR(__xludf.DUMMYFUNCTION("""COMPUTED_VALUE"""),"")</f>
        <v/>
      </c>
      <c r="F2916" s="6" t="str">
        <f>IFERROR(__xludf.DUMMYFUNCTION("""COMPUTED_VALUE"""),"Asher")</f>
        <v>Asher</v>
      </c>
      <c r="G2916" s="6" t="str">
        <f>IFERROR(__xludf.DUMMYFUNCTION("""COMPUTED_VALUE"""),"09/27/2012")</f>
        <v>09/27/2012</v>
      </c>
      <c r="H2916" s="6" t="str">
        <f>IFERROR(__xludf.DUMMYFUNCTION("""COMPUTED_VALUE"""),"Self Identify")</f>
        <v>Self Identify</v>
      </c>
      <c r="I2916" s="6" t="str">
        <f>IFERROR(__xludf.DUMMYFUNCTION("""COMPUTED_VALUE"""),"Middle School")</f>
        <v>Middle School</v>
      </c>
      <c r="J2916" s="6" t="str">
        <f>IFERROR(__xludf.DUMMYFUNCTION("""COMPUTED_VALUE"""),"7")</f>
        <v>7</v>
      </c>
      <c r="K2916" s="6" t="str">
        <f>IFERROR(__xludf.DUMMYFUNCTION("""COMPUTED_VALUE"""),"opal_asher@stu.ortrail.k12.or.us")</f>
        <v>opal_asher@stu.ortrail.k12.or.us</v>
      </c>
      <c r="L2916" s="6" t="str">
        <f>IFERROR(__xludf.DUMMYFUNCTION("""COMPUTED_VALUE"""),"Oregon Trail School District 46")</f>
        <v>Oregon Trail School District 46</v>
      </c>
      <c r="M2916" s="6" t="str">
        <f>IFERROR(__xludf.DUMMYFUNCTION("""COMPUTED_VALUE"""),"Welches Middle School Original Instruction")</f>
        <v>Welches Middle School Original Instruction</v>
      </c>
      <c r="N2916" s="6" t="str">
        <f>IFERROR(__xludf.DUMMYFUNCTION("""COMPUTED_VALUE"""),"")</f>
        <v/>
      </c>
      <c r="O2916" s="87" t="str">
        <f>IFERROR(__xludf.DUMMYFUNCTION("""COMPUTED_VALUE"""),"https://drive.google.com/drive/folders/10T2cTQHqEJZqE-st6uFKPoI?usp=share_link")</f>
        <v>https://drive.google.com/drive/folders/10T2cTQHqEJZqE-st6uFKPoI?usp=share_link</v>
      </c>
      <c r="P2916" s="6" t="str">
        <f>IFERROR(__xludf.DUMMYFUNCTION("""COMPUTED_VALUE"""),"Opal Asher")</f>
        <v>Opal Asher</v>
      </c>
      <c r="Q2916" s="6" t="str">
        <f>IFERROR(__xludf.DUMMYFUNCTION("""COMPUTED_VALUE"""),"MS")</f>
        <v>MS</v>
      </c>
      <c r="R2916" s="6">
        <f>IFERROR(__xludf.DUMMYFUNCTION("""COMPUTED_VALUE"""),0.0)</f>
        <v>0</v>
      </c>
      <c r="S2916" s="6" t="str">
        <f>IFERROR(__xludf.DUMMYFUNCTION("""COMPUTED_VALUE"""),"Genevra Self")</f>
        <v>Genevra Self</v>
      </c>
      <c r="T2916" s="6" t="str">
        <f>IFERROR(__xludf.DUMMYFUNCTION("""COMPUTED_VALUE"""),"genevra.self@studient.com")</f>
        <v>genevra.self@studient.com</v>
      </c>
      <c r="U2916" s="6" t="str">
        <f>IFERROR(__xludf.DUMMYFUNCTION("""COMPUTED_VALUE"""),"7")</f>
        <v>7</v>
      </c>
      <c r="V2916" s="6" t="str">
        <f>IFERROR(__xludf.DUMMYFUNCTION("""COMPUTED_VALUE"""),"English")</f>
        <v>English</v>
      </c>
      <c r="W2916" s="6" t="str">
        <f>IFERROR(__xludf.DUMMYFUNCTION("""COMPUTED_VALUE"""),"[]")</f>
        <v>[]</v>
      </c>
      <c r="X2916" s="6" t="str">
        <f>IFERROR(__xludf.DUMMYFUNCTION("""COMPUTED_VALUE"""),"Enrolled")</f>
        <v>Enrolled</v>
      </c>
    </row>
    <row r="2917">
      <c r="A2917" s="6" t="str">
        <f>IFERROR(__xludf.DUMMYFUNCTION("""COMPUTED_VALUE"""),"064-5153")</f>
        <v>064-5153</v>
      </c>
      <c r="B2917" s="6" t="str">
        <f>IFERROR(__xludf.DUMMYFUNCTION("""COMPUTED_VALUE"""),"64")</f>
        <v>64</v>
      </c>
      <c r="C2917" s="6" t="str">
        <f>IFERROR(__xludf.DUMMYFUNCTION("""COMPUTED_VALUE"""),"5153")</f>
        <v>5153</v>
      </c>
      <c r="D2917" s="6" t="str">
        <f>IFERROR(__xludf.DUMMYFUNCTION("""COMPUTED_VALUE"""),"Bryan")</f>
        <v>Bryan</v>
      </c>
      <c r="E2917" s="6" t="str">
        <f>IFERROR(__xludf.DUMMYFUNCTION("""COMPUTED_VALUE"""),"")</f>
        <v/>
      </c>
      <c r="F2917" s="6" t="str">
        <f>IFERROR(__xludf.DUMMYFUNCTION("""COMPUTED_VALUE"""),"Califf")</f>
        <v>Califf</v>
      </c>
      <c r="G2917" s="6" t="str">
        <f>IFERROR(__xludf.DUMMYFUNCTION("""COMPUTED_VALUE"""),"03/04/2013")</f>
        <v>03/04/2013</v>
      </c>
      <c r="H2917" s="6" t="str">
        <f>IFERROR(__xludf.DUMMYFUNCTION("""COMPUTED_VALUE"""),"Self Identify")</f>
        <v>Self Identify</v>
      </c>
      <c r="I2917" s="6" t="str">
        <f>IFERROR(__xludf.DUMMYFUNCTION("""COMPUTED_VALUE"""),"Middle School")</f>
        <v>Middle School</v>
      </c>
      <c r="J2917" s="6" t="str">
        <f>IFERROR(__xludf.DUMMYFUNCTION("""COMPUTED_VALUE"""),"7")</f>
        <v>7</v>
      </c>
      <c r="K2917" s="6" t="str">
        <f>IFERROR(__xludf.DUMMYFUNCTION("""COMPUTED_VALUE"""),"bryan_califf@stu.ortrail.k12.or.us")</f>
        <v>bryan_califf@stu.ortrail.k12.or.us</v>
      </c>
      <c r="L2917" s="6" t="str">
        <f>IFERROR(__xludf.DUMMYFUNCTION("""COMPUTED_VALUE"""),"Oregon Trail School District 46")</f>
        <v>Oregon Trail School District 46</v>
      </c>
      <c r="M2917" s="6" t="str">
        <f>IFERROR(__xludf.DUMMYFUNCTION("""COMPUTED_VALUE"""),"Welches Middle School Original Instruction")</f>
        <v>Welches Middle School Original Instruction</v>
      </c>
      <c r="N2917" s="6" t="str">
        <f>IFERROR(__xludf.DUMMYFUNCTION("""COMPUTED_VALUE"""),"")</f>
        <v/>
      </c>
      <c r="O2917" s="87" t="str">
        <f>IFERROR(__xludf.DUMMYFUNCTION("""COMPUTED_VALUE"""),"https://drive.google.com/drive/folders/10T2cTQHqEJZqE-st6uFKPoI?usp=share_link")</f>
        <v>https://drive.google.com/drive/folders/10T2cTQHqEJZqE-st6uFKPoI?usp=share_link</v>
      </c>
      <c r="P2917" s="6" t="str">
        <f>IFERROR(__xludf.DUMMYFUNCTION("""COMPUTED_VALUE"""),"Bryan Califf")</f>
        <v>Bryan Califf</v>
      </c>
      <c r="Q2917" s="6" t="str">
        <f>IFERROR(__xludf.DUMMYFUNCTION("""COMPUTED_VALUE"""),"MS")</f>
        <v>MS</v>
      </c>
      <c r="R2917" s="6">
        <f>IFERROR(__xludf.DUMMYFUNCTION("""COMPUTED_VALUE"""),0.0)</f>
        <v>0</v>
      </c>
      <c r="S2917" s="6" t="str">
        <f>IFERROR(__xludf.DUMMYFUNCTION("""COMPUTED_VALUE"""),"Genevra Self")</f>
        <v>Genevra Self</v>
      </c>
      <c r="T2917" s="6" t="str">
        <f>IFERROR(__xludf.DUMMYFUNCTION("""COMPUTED_VALUE"""),"genevra.self@studient.com")</f>
        <v>genevra.self@studient.com</v>
      </c>
      <c r="U2917" s="6" t="str">
        <f>IFERROR(__xludf.DUMMYFUNCTION("""COMPUTED_VALUE"""),"7")</f>
        <v>7</v>
      </c>
      <c r="V2917" s="6" t="str">
        <f>IFERROR(__xludf.DUMMYFUNCTION("""COMPUTED_VALUE"""),"English")</f>
        <v>English</v>
      </c>
      <c r="W2917" s="6" t="str">
        <f>IFERROR(__xludf.DUMMYFUNCTION("""COMPUTED_VALUE"""),"[]")</f>
        <v>[]</v>
      </c>
      <c r="X2917" s="6" t="str">
        <f>IFERROR(__xludf.DUMMYFUNCTION("""COMPUTED_VALUE"""),"Enrolled")</f>
        <v>Enrolled</v>
      </c>
    </row>
    <row r="2918">
      <c r="A2918" s="6" t="str">
        <f>IFERROR(__xludf.DUMMYFUNCTION("""COMPUTED_VALUE"""),"064-5154")</f>
        <v>064-5154</v>
      </c>
      <c r="B2918" s="6" t="str">
        <f>IFERROR(__xludf.DUMMYFUNCTION("""COMPUTED_VALUE"""),"64")</f>
        <v>64</v>
      </c>
      <c r="C2918" s="6" t="str">
        <f>IFERROR(__xludf.DUMMYFUNCTION("""COMPUTED_VALUE"""),"5154")</f>
        <v>5154</v>
      </c>
      <c r="D2918" s="6" t="str">
        <f>IFERROR(__xludf.DUMMYFUNCTION("""COMPUTED_VALUE"""),"Trudy")</f>
        <v>Trudy</v>
      </c>
      <c r="E2918" s="6" t="str">
        <f>IFERROR(__xludf.DUMMYFUNCTION("""COMPUTED_VALUE"""),"")</f>
        <v/>
      </c>
      <c r="F2918" s="6" t="str">
        <f>IFERROR(__xludf.DUMMYFUNCTION("""COMPUTED_VALUE"""),"Cavanaugh")</f>
        <v>Cavanaugh</v>
      </c>
      <c r="G2918" s="6" t="str">
        <f>IFERROR(__xludf.DUMMYFUNCTION("""COMPUTED_VALUE"""),"05/12/2013")</f>
        <v>05/12/2013</v>
      </c>
      <c r="H2918" s="6" t="str">
        <f>IFERROR(__xludf.DUMMYFUNCTION("""COMPUTED_VALUE"""),"Self Identify")</f>
        <v>Self Identify</v>
      </c>
      <c r="I2918" s="6" t="str">
        <f>IFERROR(__xludf.DUMMYFUNCTION("""COMPUTED_VALUE"""),"Middle School")</f>
        <v>Middle School</v>
      </c>
      <c r="J2918" s="6" t="str">
        <f>IFERROR(__xludf.DUMMYFUNCTION("""COMPUTED_VALUE"""),"7")</f>
        <v>7</v>
      </c>
      <c r="K2918" s="6" t="str">
        <f>IFERROR(__xludf.DUMMYFUNCTION("""COMPUTED_VALUE"""),"trudy_cavanaugh@stu.ortrail.k12.or.us")</f>
        <v>trudy_cavanaugh@stu.ortrail.k12.or.us</v>
      </c>
      <c r="L2918" s="6" t="str">
        <f>IFERROR(__xludf.DUMMYFUNCTION("""COMPUTED_VALUE"""),"Oregon Trail School District 46")</f>
        <v>Oregon Trail School District 46</v>
      </c>
      <c r="M2918" s="6" t="str">
        <f>IFERROR(__xludf.DUMMYFUNCTION("""COMPUTED_VALUE"""),"Welches Middle School")</f>
        <v>Welches Middle School</v>
      </c>
      <c r="N2918" s="6" t="str">
        <f>IFERROR(__xludf.DUMMYFUNCTION("""COMPUTED_VALUE"""),"")</f>
        <v/>
      </c>
      <c r="O2918" s="87" t="str">
        <f>IFERROR(__xludf.DUMMYFUNCTION("""COMPUTED_VALUE"""),"https://drive.google.com/drive/folders/10T2cTQHqEJZqE-st6uFKPoI?usp=share_link")</f>
        <v>https://drive.google.com/drive/folders/10T2cTQHqEJZqE-st6uFKPoI?usp=share_link</v>
      </c>
      <c r="P2918" s="6" t="str">
        <f>IFERROR(__xludf.DUMMYFUNCTION("""COMPUTED_VALUE"""),"Trudy Cavanaugh")</f>
        <v>Trudy Cavanaugh</v>
      </c>
      <c r="Q2918" s="6" t="str">
        <f>IFERROR(__xludf.DUMMYFUNCTION("""COMPUTED_VALUE"""),"MS")</f>
        <v>MS</v>
      </c>
      <c r="R2918" s="6">
        <f>IFERROR(__xludf.DUMMYFUNCTION("""COMPUTED_VALUE"""),0.0)</f>
        <v>0</v>
      </c>
      <c r="S2918" s="6" t="str">
        <f>IFERROR(__xludf.DUMMYFUNCTION("""COMPUTED_VALUE"""),"Nicole Kellim")</f>
        <v>Nicole Kellim</v>
      </c>
      <c r="T2918" s="6" t="str">
        <f>IFERROR(__xludf.DUMMYFUNCTION("""COMPUTED_VALUE"""),"nicole.kellim@ortrail.k12.or.us")</f>
        <v>nicole.kellim@ortrail.k12.or.us</v>
      </c>
      <c r="U2918" s="6" t="str">
        <f>IFERROR(__xludf.DUMMYFUNCTION("""COMPUTED_VALUE"""),"7")</f>
        <v>7</v>
      </c>
      <c r="V2918" s="6" t="str">
        <f>IFERROR(__xludf.DUMMYFUNCTION("""COMPUTED_VALUE"""),"English")</f>
        <v>English</v>
      </c>
      <c r="W2918" s="6" t="str">
        <f>IFERROR(__xludf.DUMMYFUNCTION("""COMPUTED_VALUE"""),"[]")</f>
        <v>[]</v>
      </c>
      <c r="X2918" s="6" t="str">
        <f>IFERROR(__xludf.DUMMYFUNCTION("""COMPUTED_VALUE"""),"Enrolled")</f>
        <v>Enrolled</v>
      </c>
    </row>
    <row r="2919">
      <c r="A2919" s="6" t="str">
        <f>IFERROR(__xludf.DUMMYFUNCTION("""COMPUTED_VALUE"""),"064-5155")</f>
        <v>064-5155</v>
      </c>
      <c r="B2919" s="6" t="str">
        <f>IFERROR(__xludf.DUMMYFUNCTION("""COMPUTED_VALUE"""),"64")</f>
        <v>64</v>
      </c>
      <c r="C2919" s="6" t="str">
        <f>IFERROR(__xludf.DUMMYFUNCTION("""COMPUTED_VALUE"""),"5155")</f>
        <v>5155</v>
      </c>
      <c r="D2919" s="6" t="str">
        <f>IFERROR(__xludf.DUMMYFUNCTION("""COMPUTED_VALUE"""),"Rian")</f>
        <v>Rian</v>
      </c>
      <c r="E2919" s="6" t="str">
        <f>IFERROR(__xludf.DUMMYFUNCTION("""COMPUTED_VALUE"""),"")</f>
        <v/>
      </c>
      <c r="F2919" s="6" t="str">
        <f>IFERROR(__xludf.DUMMYFUNCTION("""COMPUTED_VALUE"""),"Dodge")</f>
        <v>Dodge</v>
      </c>
      <c r="G2919" s="6" t="str">
        <f>IFERROR(__xludf.DUMMYFUNCTION("""COMPUTED_VALUE"""),"06/27/2013")</f>
        <v>06/27/2013</v>
      </c>
      <c r="H2919" s="6" t="str">
        <f>IFERROR(__xludf.DUMMYFUNCTION("""COMPUTED_VALUE"""),"Self Identify")</f>
        <v>Self Identify</v>
      </c>
      <c r="I2919" s="6" t="str">
        <f>IFERROR(__xludf.DUMMYFUNCTION("""COMPUTED_VALUE"""),"Middle School")</f>
        <v>Middle School</v>
      </c>
      <c r="J2919" s="6" t="str">
        <f>IFERROR(__xludf.DUMMYFUNCTION("""COMPUTED_VALUE"""),"7")</f>
        <v>7</v>
      </c>
      <c r="K2919" s="6" t="str">
        <f>IFERROR(__xludf.DUMMYFUNCTION("""COMPUTED_VALUE"""),"rian_dodge@stu.ortrail.k12.or.us")</f>
        <v>rian_dodge@stu.ortrail.k12.or.us</v>
      </c>
      <c r="L2919" s="6" t="str">
        <f>IFERROR(__xludf.DUMMYFUNCTION("""COMPUTED_VALUE"""),"Oregon Trail School District 46")</f>
        <v>Oregon Trail School District 46</v>
      </c>
      <c r="M2919" s="6" t="str">
        <f>IFERROR(__xludf.DUMMYFUNCTION("""COMPUTED_VALUE"""),"Welches Middle School Original Instruction")</f>
        <v>Welches Middle School Original Instruction</v>
      </c>
      <c r="N2919" s="6" t="str">
        <f>IFERROR(__xludf.DUMMYFUNCTION("""COMPUTED_VALUE"""),"")</f>
        <v/>
      </c>
      <c r="O2919" s="87" t="str">
        <f>IFERROR(__xludf.DUMMYFUNCTION("""COMPUTED_VALUE"""),"https://drive.google.com/drive/folders/10T2cTQHqEJZqE-st6uFKPoI?usp=share_link")</f>
        <v>https://drive.google.com/drive/folders/10T2cTQHqEJZqE-st6uFKPoI?usp=share_link</v>
      </c>
      <c r="P2919" s="6" t="str">
        <f>IFERROR(__xludf.DUMMYFUNCTION("""COMPUTED_VALUE"""),"Rian Dodge")</f>
        <v>Rian Dodge</v>
      </c>
      <c r="Q2919" s="6" t="str">
        <f>IFERROR(__xludf.DUMMYFUNCTION("""COMPUTED_VALUE"""),"MS")</f>
        <v>MS</v>
      </c>
      <c r="R2919" s="6">
        <f>IFERROR(__xludf.DUMMYFUNCTION("""COMPUTED_VALUE"""),0.0)</f>
        <v>0</v>
      </c>
      <c r="S2919" s="6" t="str">
        <f>IFERROR(__xludf.DUMMYFUNCTION("""COMPUTED_VALUE"""),"Genevra Self")</f>
        <v>Genevra Self</v>
      </c>
      <c r="T2919" s="6" t="str">
        <f>IFERROR(__xludf.DUMMYFUNCTION("""COMPUTED_VALUE"""),"genevra.self@studient.com")</f>
        <v>genevra.self@studient.com</v>
      </c>
      <c r="U2919" s="6" t="str">
        <f>IFERROR(__xludf.DUMMYFUNCTION("""COMPUTED_VALUE"""),"7")</f>
        <v>7</v>
      </c>
      <c r="V2919" s="6" t="str">
        <f>IFERROR(__xludf.DUMMYFUNCTION("""COMPUTED_VALUE"""),"English")</f>
        <v>English</v>
      </c>
      <c r="W2919" s="6" t="str">
        <f>IFERROR(__xludf.DUMMYFUNCTION("""COMPUTED_VALUE"""),"[]")</f>
        <v>[]</v>
      </c>
      <c r="X2919" s="6" t="str">
        <f>IFERROR(__xludf.DUMMYFUNCTION("""COMPUTED_VALUE"""),"Enrolled")</f>
        <v>Enrolled</v>
      </c>
    </row>
    <row r="2920">
      <c r="A2920" s="6" t="str">
        <f>IFERROR(__xludf.DUMMYFUNCTION("""COMPUTED_VALUE"""),"064-5156")</f>
        <v>064-5156</v>
      </c>
      <c r="B2920" s="6" t="str">
        <f>IFERROR(__xludf.DUMMYFUNCTION("""COMPUTED_VALUE"""),"64")</f>
        <v>64</v>
      </c>
      <c r="C2920" s="6" t="str">
        <f>IFERROR(__xludf.DUMMYFUNCTION("""COMPUTED_VALUE"""),"5156")</f>
        <v>5156</v>
      </c>
      <c r="D2920" s="6" t="str">
        <f>IFERROR(__xludf.DUMMYFUNCTION("""COMPUTED_VALUE"""),"Markus")</f>
        <v>Markus</v>
      </c>
      <c r="E2920" s="6" t="str">
        <f>IFERROR(__xludf.DUMMYFUNCTION("""COMPUTED_VALUE"""),"")</f>
        <v/>
      </c>
      <c r="F2920" s="6" t="str">
        <f>IFERROR(__xludf.DUMMYFUNCTION("""COMPUTED_VALUE"""),"Dunlap")</f>
        <v>Dunlap</v>
      </c>
      <c r="G2920" s="6" t="str">
        <f>IFERROR(__xludf.DUMMYFUNCTION("""COMPUTED_VALUE"""),"04/14/2013")</f>
        <v>04/14/2013</v>
      </c>
      <c r="H2920" s="6" t="str">
        <f>IFERROR(__xludf.DUMMYFUNCTION("""COMPUTED_VALUE"""),"Self Identify")</f>
        <v>Self Identify</v>
      </c>
      <c r="I2920" s="6" t="str">
        <f>IFERROR(__xludf.DUMMYFUNCTION("""COMPUTED_VALUE"""),"Middle School")</f>
        <v>Middle School</v>
      </c>
      <c r="J2920" s="6" t="str">
        <f>IFERROR(__xludf.DUMMYFUNCTION("""COMPUTED_VALUE"""),"7")</f>
        <v>7</v>
      </c>
      <c r="K2920" s="6" t="str">
        <f>IFERROR(__xludf.DUMMYFUNCTION("""COMPUTED_VALUE"""),"markus_dunlap@stu.ortrail.k12.or.us")</f>
        <v>markus_dunlap@stu.ortrail.k12.or.us</v>
      </c>
      <c r="L2920" s="6" t="str">
        <f>IFERROR(__xludf.DUMMYFUNCTION("""COMPUTED_VALUE"""),"Oregon Trail School District 46")</f>
        <v>Oregon Trail School District 46</v>
      </c>
      <c r="M2920" s="6" t="str">
        <f>IFERROR(__xludf.DUMMYFUNCTION("""COMPUTED_VALUE"""),"Welches Middle School")</f>
        <v>Welches Middle School</v>
      </c>
      <c r="N2920" s="6" t="str">
        <f>IFERROR(__xludf.DUMMYFUNCTION("""COMPUTED_VALUE"""),"")</f>
        <v/>
      </c>
      <c r="O2920" s="87" t="str">
        <f>IFERROR(__xludf.DUMMYFUNCTION("""COMPUTED_VALUE"""),"https://drive.google.com/drive/folders/10T2cTQHqEJZqE-st6uFKPoI?usp=share_link")</f>
        <v>https://drive.google.com/drive/folders/10T2cTQHqEJZqE-st6uFKPoI?usp=share_link</v>
      </c>
      <c r="P2920" s="6" t="str">
        <f>IFERROR(__xludf.DUMMYFUNCTION("""COMPUTED_VALUE"""),"Markus Dunlap")</f>
        <v>Markus Dunlap</v>
      </c>
      <c r="Q2920" s="6" t="str">
        <f>IFERROR(__xludf.DUMMYFUNCTION("""COMPUTED_VALUE"""),"MS")</f>
        <v>MS</v>
      </c>
      <c r="R2920" s="6">
        <f>IFERROR(__xludf.DUMMYFUNCTION("""COMPUTED_VALUE"""),0.0)</f>
        <v>0</v>
      </c>
      <c r="S2920" s="6" t="str">
        <f>IFERROR(__xludf.DUMMYFUNCTION("""COMPUTED_VALUE"""),"Nicole Kellim")</f>
        <v>Nicole Kellim</v>
      </c>
      <c r="T2920" s="6" t="str">
        <f>IFERROR(__xludf.DUMMYFUNCTION("""COMPUTED_VALUE"""),"nicole.kellim@ortrail.k12.or.us")</f>
        <v>nicole.kellim@ortrail.k12.or.us</v>
      </c>
      <c r="U2920" s="6" t="str">
        <f>IFERROR(__xludf.DUMMYFUNCTION("""COMPUTED_VALUE"""),"7")</f>
        <v>7</v>
      </c>
      <c r="V2920" s="6" t="str">
        <f>IFERROR(__xludf.DUMMYFUNCTION("""COMPUTED_VALUE"""),"English")</f>
        <v>English</v>
      </c>
      <c r="W2920" s="6" t="str">
        <f>IFERROR(__xludf.DUMMYFUNCTION("""COMPUTED_VALUE"""),"[]")</f>
        <v>[]</v>
      </c>
      <c r="X2920" s="6" t="str">
        <f>IFERROR(__xludf.DUMMYFUNCTION("""COMPUTED_VALUE"""),"Enrolled")</f>
        <v>Enrolled</v>
      </c>
    </row>
    <row r="2921">
      <c r="A2921" s="6" t="str">
        <f>IFERROR(__xludf.DUMMYFUNCTION("""COMPUTED_VALUE"""),"064-5157")</f>
        <v>064-5157</v>
      </c>
      <c r="B2921" s="6" t="str">
        <f>IFERROR(__xludf.DUMMYFUNCTION("""COMPUTED_VALUE"""),"64")</f>
        <v>64</v>
      </c>
      <c r="C2921" s="6" t="str">
        <f>IFERROR(__xludf.DUMMYFUNCTION("""COMPUTED_VALUE"""),"5157")</f>
        <v>5157</v>
      </c>
      <c r="D2921" s="6" t="str">
        <f>IFERROR(__xludf.DUMMYFUNCTION("""COMPUTED_VALUE"""),"Leo")</f>
        <v>Leo</v>
      </c>
      <c r="E2921" s="6" t="str">
        <f>IFERROR(__xludf.DUMMYFUNCTION("""COMPUTED_VALUE"""),"")</f>
        <v/>
      </c>
      <c r="F2921" s="6" t="str">
        <f>IFERROR(__xludf.DUMMYFUNCTION("""COMPUTED_VALUE"""),"Fondersmith")</f>
        <v>Fondersmith</v>
      </c>
      <c r="G2921" s="6" t="str">
        <f>IFERROR(__xludf.DUMMYFUNCTION("""COMPUTED_VALUE"""),"05/18/2013")</f>
        <v>05/18/2013</v>
      </c>
      <c r="H2921" s="6" t="str">
        <f>IFERROR(__xludf.DUMMYFUNCTION("""COMPUTED_VALUE"""),"Self Identify")</f>
        <v>Self Identify</v>
      </c>
      <c r="I2921" s="6" t="str">
        <f>IFERROR(__xludf.DUMMYFUNCTION("""COMPUTED_VALUE"""),"Middle School")</f>
        <v>Middle School</v>
      </c>
      <c r="J2921" s="6" t="str">
        <f>IFERROR(__xludf.DUMMYFUNCTION("""COMPUTED_VALUE"""),"7")</f>
        <v>7</v>
      </c>
      <c r="K2921" s="6" t="str">
        <f>IFERROR(__xludf.DUMMYFUNCTION("""COMPUTED_VALUE"""),"leo_fondersmith@stu.ortrail.k12.or.us")</f>
        <v>leo_fondersmith@stu.ortrail.k12.or.us</v>
      </c>
      <c r="L2921" s="6" t="str">
        <f>IFERROR(__xludf.DUMMYFUNCTION("""COMPUTED_VALUE"""),"Oregon Trail School District 46")</f>
        <v>Oregon Trail School District 46</v>
      </c>
      <c r="M2921" s="6" t="str">
        <f>IFERROR(__xludf.DUMMYFUNCTION("""COMPUTED_VALUE"""),"Welches Middle School Original Instruction")</f>
        <v>Welches Middle School Original Instruction</v>
      </c>
      <c r="N2921" s="6" t="str">
        <f>IFERROR(__xludf.DUMMYFUNCTION("""COMPUTED_VALUE"""),"")</f>
        <v/>
      </c>
      <c r="O2921" s="87" t="str">
        <f>IFERROR(__xludf.DUMMYFUNCTION("""COMPUTED_VALUE"""),"https://drive.google.com/drive/folders/10T2cTQHqEJZqE-st6uFKPoI?usp=share_link")</f>
        <v>https://drive.google.com/drive/folders/10T2cTQHqEJZqE-st6uFKPoI?usp=share_link</v>
      </c>
      <c r="P2921" s="6" t="str">
        <f>IFERROR(__xludf.DUMMYFUNCTION("""COMPUTED_VALUE"""),"Leo Fondersmith")</f>
        <v>Leo Fondersmith</v>
      </c>
      <c r="Q2921" s="6" t="str">
        <f>IFERROR(__xludf.DUMMYFUNCTION("""COMPUTED_VALUE"""),"MS")</f>
        <v>MS</v>
      </c>
      <c r="R2921" s="6">
        <f>IFERROR(__xludf.DUMMYFUNCTION("""COMPUTED_VALUE"""),0.0)</f>
        <v>0</v>
      </c>
      <c r="S2921" s="6" t="str">
        <f>IFERROR(__xludf.DUMMYFUNCTION("""COMPUTED_VALUE"""),"Genevra Self")</f>
        <v>Genevra Self</v>
      </c>
      <c r="T2921" s="6" t="str">
        <f>IFERROR(__xludf.DUMMYFUNCTION("""COMPUTED_VALUE"""),"genevra.self@studient.com")</f>
        <v>genevra.self@studient.com</v>
      </c>
      <c r="U2921" s="6" t="str">
        <f>IFERROR(__xludf.DUMMYFUNCTION("""COMPUTED_VALUE"""),"7")</f>
        <v>7</v>
      </c>
      <c r="V2921" s="6" t="str">
        <f>IFERROR(__xludf.DUMMYFUNCTION("""COMPUTED_VALUE"""),"English")</f>
        <v>English</v>
      </c>
      <c r="W2921" s="6" t="str">
        <f>IFERROR(__xludf.DUMMYFUNCTION("""COMPUTED_VALUE"""),"[]")</f>
        <v>[]</v>
      </c>
      <c r="X2921" s="6" t="str">
        <f>IFERROR(__xludf.DUMMYFUNCTION("""COMPUTED_VALUE"""),"Enrolled")</f>
        <v>Enrolled</v>
      </c>
    </row>
    <row r="2922">
      <c r="A2922" s="6" t="str">
        <f>IFERROR(__xludf.DUMMYFUNCTION("""COMPUTED_VALUE"""),"064-5158")</f>
        <v>064-5158</v>
      </c>
      <c r="B2922" s="6" t="str">
        <f>IFERROR(__xludf.DUMMYFUNCTION("""COMPUTED_VALUE"""),"64")</f>
        <v>64</v>
      </c>
      <c r="C2922" s="6" t="str">
        <f>IFERROR(__xludf.DUMMYFUNCTION("""COMPUTED_VALUE"""),"5158")</f>
        <v>5158</v>
      </c>
      <c r="D2922" s="6" t="str">
        <f>IFERROR(__xludf.DUMMYFUNCTION("""COMPUTED_VALUE"""),"Lukus")</f>
        <v>Lukus</v>
      </c>
      <c r="E2922" s="6" t="str">
        <f>IFERROR(__xludf.DUMMYFUNCTION("""COMPUTED_VALUE"""),"")</f>
        <v/>
      </c>
      <c r="F2922" s="6" t="str">
        <f>IFERROR(__xludf.DUMMYFUNCTION("""COMPUTED_VALUE"""),"Glenn")</f>
        <v>Glenn</v>
      </c>
      <c r="G2922" s="6" t="str">
        <f>IFERROR(__xludf.DUMMYFUNCTION("""COMPUTED_VALUE"""),"05/03/2013")</f>
        <v>05/03/2013</v>
      </c>
      <c r="H2922" s="6" t="str">
        <f>IFERROR(__xludf.DUMMYFUNCTION("""COMPUTED_VALUE"""),"Self Identify")</f>
        <v>Self Identify</v>
      </c>
      <c r="I2922" s="6" t="str">
        <f>IFERROR(__xludf.DUMMYFUNCTION("""COMPUTED_VALUE"""),"Middle School")</f>
        <v>Middle School</v>
      </c>
      <c r="J2922" s="6" t="str">
        <f>IFERROR(__xludf.DUMMYFUNCTION("""COMPUTED_VALUE"""),"7")</f>
        <v>7</v>
      </c>
      <c r="K2922" s="6" t="str">
        <f>IFERROR(__xludf.DUMMYFUNCTION("""COMPUTED_VALUE"""),"lukus_glenn@stu.ortrail.k12.or.us")</f>
        <v>lukus_glenn@stu.ortrail.k12.or.us</v>
      </c>
      <c r="L2922" s="6" t="str">
        <f>IFERROR(__xludf.DUMMYFUNCTION("""COMPUTED_VALUE"""),"Oregon Trail School District 46")</f>
        <v>Oregon Trail School District 46</v>
      </c>
      <c r="M2922" s="6" t="str">
        <f>IFERROR(__xludf.DUMMYFUNCTION("""COMPUTED_VALUE"""),"Welches Middle School Original Instruction")</f>
        <v>Welches Middle School Original Instruction</v>
      </c>
      <c r="N2922" s="6" t="str">
        <f>IFERROR(__xludf.DUMMYFUNCTION("""COMPUTED_VALUE"""),"")</f>
        <v/>
      </c>
      <c r="O2922" s="87" t="str">
        <f>IFERROR(__xludf.DUMMYFUNCTION("""COMPUTED_VALUE"""),"https://drive.google.com/drive/folders/10T2cTQHqEJZqE-st6uFKPoI?usp=share_link")</f>
        <v>https://drive.google.com/drive/folders/10T2cTQHqEJZqE-st6uFKPoI?usp=share_link</v>
      </c>
      <c r="P2922" s="6" t="str">
        <f>IFERROR(__xludf.DUMMYFUNCTION("""COMPUTED_VALUE"""),"Lukus Glenn")</f>
        <v>Lukus Glenn</v>
      </c>
      <c r="Q2922" s="6" t="str">
        <f>IFERROR(__xludf.DUMMYFUNCTION("""COMPUTED_VALUE"""),"MS")</f>
        <v>MS</v>
      </c>
      <c r="R2922" s="6">
        <f>IFERROR(__xludf.DUMMYFUNCTION("""COMPUTED_VALUE"""),0.0)</f>
        <v>0</v>
      </c>
      <c r="S2922" s="6" t="str">
        <f>IFERROR(__xludf.DUMMYFUNCTION("""COMPUTED_VALUE"""),"Genevra Self")</f>
        <v>Genevra Self</v>
      </c>
      <c r="T2922" s="6" t="str">
        <f>IFERROR(__xludf.DUMMYFUNCTION("""COMPUTED_VALUE"""),"genevra.self@studient.com")</f>
        <v>genevra.self@studient.com</v>
      </c>
      <c r="U2922" s="6" t="str">
        <f>IFERROR(__xludf.DUMMYFUNCTION("""COMPUTED_VALUE"""),"7")</f>
        <v>7</v>
      </c>
      <c r="V2922" s="6" t="str">
        <f>IFERROR(__xludf.DUMMYFUNCTION("""COMPUTED_VALUE"""),"English")</f>
        <v>English</v>
      </c>
      <c r="W2922" s="6" t="str">
        <f>IFERROR(__xludf.DUMMYFUNCTION("""COMPUTED_VALUE"""),"[]")</f>
        <v>[]</v>
      </c>
      <c r="X2922" s="6" t="str">
        <f>IFERROR(__xludf.DUMMYFUNCTION("""COMPUTED_VALUE"""),"Enrolled")</f>
        <v>Enrolled</v>
      </c>
    </row>
    <row r="2923">
      <c r="A2923" s="6" t="str">
        <f>IFERROR(__xludf.DUMMYFUNCTION("""COMPUTED_VALUE"""),"064-5159")</f>
        <v>064-5159</v>
      </c>
      <c r="B2923" s="6" t="str">
        <f>IFERROR(__xludf.DUMMYFUNCTION("""COMPUTED_VALUE"""),"64")</f>
        <v>64</v>
      </c>
      <c r="C2923" s="6" t="str">
        <f>IFERROR(__xludf.DUMMYFUNCTION("""COMPUTED_VALUE"""),"5159")</f>
        <v>5159</v>
      </c>
      <c r="D2923" s="6" t="str">
        <f>IFERROR(__xludf.DUMMYFUNCTION("""COMPUTED_VALUE"""),"Aurora")</f>
        <v>Aurora</v>
      </c>
      <c r="E2923" s="6" t="str">
        <f>IFERROR(__xludf.DUMMYFUNCTION("""COMPUTED_VALUE"""),"")</f>
        <v/>
      </c>
      <c r="F2923" s="6" t="str">
        <f>IFERROR(__xludf.DUMMYFUNCTION("""COMPUTED_VALUE"""),"Graham")</f>
        <v>Graham</v>
      </c>
      <c r="G2923" s="6" t="str">
        <f>IFERROR(__xludf.DUMMYFUNCTION("""COMPUTED_VALUE"""),"08/05/2012")</f>
        <v>08/05/2012</v>
      </c>
      <c r="H2923" s="6" t="str">
        <f>IFERROR(__xludf.DUMMYFUNCTION("""COMPUTED_VALUE"""),"Self Identify")</f>
        <v>Self Identify</v>
      </c>
      <c r="I2923" s="6" t="str">
        <f>IFERROR(__xludf.DUMMYFUNCTION("""COMPUTED_VALUE"""),"Middle School")</f>
        <v>Middle School</v>
      </c>
      <c r="J2923" s="6" t="str">
        <f>IFERROR(__xludf.DUMMYFUNCTION("""COMPUTED_VALUE"""),"7")</f>
        <v>7</v>
      </c>
      <c r="K2923" s="6" t="str">
        <f>IFERROR(__xludf.DUMMYFUNCTION("""COMPUTED_VALUE"""),"aurora_graham@stu.ortrail.k12.or.us")</f>
        <v>aurora_graham@stu.ortrail.k12.or.us</v>
      </c>
      <c r="L2923" s="6" t="str">
        <f>IFERROR(__xludf.DUMMYFUNCTION("""COMPUTED_VALUE"""),"Oregon Trail School District 46")</f>
        <v>Oregon Trail School District 46</v>
      </c>
      <c r="M2923" s="6" t="str">
        <f>IFERROR(__xludf.DUMMYFUNCTION("""COMPUTED_VALUE"""),"Welches Middle School Original Instruction")</f>
        <v>Welches Middle School Original Instruction</v>
      </c>
      <c r="N2923" s="6" t="str">
        <f>IFERROR(__xludf.DUMMYFUNCTION("""COMPUTED_VALUE"""),"")</f>
        <v/>
      </c>
      <c r="O2923" s="87" t="str">
        <f>IFERROR(__xludf.DUMMYFUNCTION("""COMPUTED_VALUE"""),"https://drive.google.com/drive/folders/10T2cTQHqEJZqE-st6uFKPoI?usp=share_link")</f>
        <v>https://drive.google.com/drive/folders/10T2cTQHqEJZqE-st6uFKPoI?usp=share_link</v>
      </c>
      <c r="P2923" s="6" t="str">
        <f>IFERROR(__xludf.DUMMYFUNCTION("""COMPUTED_VALUE"""),"Aurora Graham")</f>
        <v>Aurora Graham</v>
      </c>
      <c r="Q2923" s="6" t="str">
        <f>IFERROR(__xludf.DUMMYFUNCTION("""COMPUTED_VALUE"""),"MS")</f>
        <v>MS</v>
      </c>
      <c r="R2923" s="6">
        <f>IFERROR(__xludf.DUMMYFUNCTION("""COMPUTED_VALUE"""),0.0)</f>
        <v>0</v>
      </c>
      <c r="S2923" s="6" t="str">
        <f>IFERROR(__xludf.DUMMYFUNCTION("""COMPUTED_VALUE"""),"Genevra Self")</f>
        <v>Genevra Self</v>
      </c>
      <c r="T2923" s="6" t="str">
        <f>IFERROR(__xludf.DUMMYFUNCTION("""COMPUTED_VALUE"""),"genevra.self@studient.com")</f>
        <v>genevra.self@studient.com</v>
      </c>
      <c r="U2923" s="6" t="str">
        <f>IFERROR(__xludf.DUMMYFUNCTION("""COMPUTED_VALUE"""),"7")</f>
        <v>7</v>
      </c>
      <c r="V2923" s="6" t="str">
        <f>IFERROR(__xludf.DUMMYFUNCTION("""COMPUTED_VALUE"""),"English")</f>
        <v>English</v>
      </c>
      <c r="W2923" s="6" t="str">
        <f>IFERROR(__xludf.DUMMYFUNCTION("""COMPUTED_VALUE"""),"[]")</f>
        <v>[]</v>
      </c>
      <c r="X2923" s="6" t="str">
        <f>IFERROR(__xludf.DUMMYFUNCTION("""COMPUTED_VALUE"""),"Enrolled")</f>
        <v>Enrolled</v>
      </c>
    </row>
    <row r="2924">
      <c r="A2924" s="6" t="str">
        <f>IFERROR(__xludf.DUMMYFUNCTION("""COMPUTED_VALUE"""),"064-5160")</f>
        <v>064-5160</v>
      </c>
      <c r="B2924" s="6" t="str">
        <f>IFERROR(__xludf.DUMMYFUNCTION("""COMPUTED_VALUE"""),"64")</f>
        <v>64</v>
      </c>
      <c r="C2924" s="6" t="str">
        <f>IFERROR(__xludf.DUMMYFUNCTION("""COMPUTED_VALUE"""),"5160")</f>
        <v>5160</v>
      </c>
      <c r="D2924" s="6" t="str">
        <f>IFERROR(__xludf.DUMMYFUNCTION("""COMPUTED_VALUE"""),"Ariana")</f>
        <v>Ariana</v>
      </c>
      <c r="E2924" s="6" t="str">
        <f>IFERROR(__xludf.DUMMYFUNCTION("""COMPUTED_VALUE"""),"")</f>
        <v/>
      </c>
      <c r="F2924" s="6" t="str">
        <f>IFERROR(__xludf.DUMMYFUNCTION("""COMPUTED_VALUE"""),"Graves")</f>
        <v>Graves</v>
      </c>
      <c r="G2924" s="6" t="str">
        <f>IFERROR(__xludf.DUMMYFUNCTION("""COMPUTED_VALUE"""),"08/04/2013")</f>
        <v>08/04/2013</v>
      </c>
      <c r="H2924" s="6" t="str">
        <f>IFERROR(__xludf.DUMMYFUNCTION("""COMPUTED_VALUE"""),"Self Identify")</f>
        <v>Self Identify</v>
      </c>
      <c r="I2924" s="6" t="str">
        <f>IFERROR(__xludf.DUMMYFUNCTION("""COMPUTED_VALUE"""),"Middle School")</f>
        <v>Middle School</v>
      </c>
      <c r="J2924" s="6" t="str">
        <f>IFERROR(__xludf.DUMMYFUNCTION("""COMPUTED_VALUE"""),"7")</f>
        <v>7</v>
      </c>
      <c r="K2924" s="6" t="str">
        <f>IFERROR(__xludf.DUMMYFUNCTION("""COMPUTED_VALUE"""),"ariana_graves@stu.ortrail.k12.or.us")</f>
        <v>ariana_graves@stu.ortrail.k12.or.us</v>
      </c>
      <c r="L2924" s="6" t="str">
        <f>IFERROR(__xludf.DUMMYFUNCTION("""COMPUTED_VALUE"""),"Oregon Trail School District 46")</f>
        <v>Oregon Trail School District 46</v>
      </c>
      <c r="M2924" s="6" t="str">
        <f>IFERROR(__xludf.DUMMYFUNCTION("""COMPUTED_VALUE"""),"Welches Middle School Original Instruction")</f>
        <v>Welches Middle School Original Instruction</v>
      </c>
      <c r="N2924" s="6" t="str">
        <f>IFERROR(__xludf.DUMMYFUNCTION("""COMPUTED_VALUE"""),"")</f>
        <v/>
      </c>
      <c r="O2924" s="87" t="str">
        <f>IFERROR(__xludf.DUMMYFUNCTION("""COMPUTED_VALUE"""),"https://drive.google.com/drive/folders/10T2cTQHqEJZqE-st6uFKPoI?usp=share_link")</f>
        <v>https://drive.google.com/drive/folders/10T2cTQHqEJZqE-st6uFKPoI?usp=share_link</v>
      </c>
      <c r="P2924" s="6" t="str">
        <f>IFERROR(__xludf.DUMMYFUNCTION("""COMPUTED_VALUE"""),"Ariana Graves")</f>
        <v>Ariana Graves</v>
      </c>
      <c r="Q2924" s="6" t="str">
        <f>IFERROR(__xludf.DUMMYFUNCTION("""COMPUTED_VALUE"""),"MS")</f>
        <v>MS</v>
      </c>
      <c r="R2924" s="6">
        <f>IFERROR(__xludf.DUMMYFUNCTION("""COMPUTED_VALUE"""),0.0)</f>
        <v>0</v>
      </c>
      <c r="S2924" s="6" t="str">
        <f>IFERROR(__xludf.DUMMYFUNCTION("""COMPUTED_VALUE"""),"Genevra Self")</f>
        <v>Genevra Self</v>
      </c>
      <c r="T2924" s="6" t="str">
        <f>IFERROR(__xludf.DUMMYFUNCTION("""COMPUTED_VALUE"""),"genevra.self@studient.com")</f>
        <v>genevra.self@studient.com</v>
      </c>
      <c r="U2924" s="6" t="str">
        <f>IFERROR(__xludf.DUMMYFUNCTION("""COMPUTED_VALUE"""),"7")</f>
        <v>7</v>
      </c>
      <c r="V2924" s="6" t="str">
        <f>IFERROR(__xludf.DUMMYFUNCTION("""COMPUTED_VALUE"""),"English")</f>
        <v>English</v>
      </c>
      <c r="W2924" s="6" t="str">
        <f>IFERROR(__xludf.DUMMYFUNCTION("""COMPUTED_VALUE"""),"[]")</f>
        <v>[]</v>
      </c>
      <c r="X2924" s="6" t="str">
        <f>IFERROR(__xludf.DUMMYFUNCTION("""COMPUTED_VALUE"""),"Enrolled")</f>
        <v>Enrolled</v>
      </c>
    </row>
    <row r="2925">
      <c r="A2925" s="6" t="str">
        <f>IFERROR(__xludf.DUMMYFUNCTION("""COMPUTED_VALUE"""),"064-5162")</f>
        <v>064-5162</v>
      </c>
      <c r="B2925" s="6" t="str">
        <f>IFERROR(__xludf.DUMMYFUNCTION("""COMPUTED_VALUE"""),"64")</f>
        <v>64</v>
      </c>
      <c r="C2925" s="6" t="str">
        <f>IFERROR(__xludf.DUMMYFUNCTION("""COMPUTED_VALUE"""),"5162")</f>
        <v>5162</v>
      </c>
      <c r="D2925" s="6" t="str">
        <f>IFERROR(__xludf.DUMMYFUNCTION("""COMPUTED_VALUE"""),"Kaedyn")</f>
        <v>Kaedyn</v>
      </c>
      <c r="E2925" s="6" t="str">
        <f>IFERROR(__xludf.DUMMYFUNCTION("""COMPUTED_VALUE"""),"")</f>
        <v/>
      </c>
      <c r="F2925" s="6" t="str">
        <f>IFERROR(__xludf.DUMMYFUNCTION("""COMPUTED_VALUE"""),"Hereim")</f>
        <v>Hereim</v>
      </c>
      <c r="G2925" s="6" t="str">
        <f>IFERROR(__xludf.DUMMYFUNCTION("""COMPUTED_VALUE"""),"12/28/2012")</f>
        <v>12/28/2012</v>
      </c>
      <c r="H2925" s="6" t="str">
        <f>IFERROR(__xludf.DUMMYFUNCTION("""COMPUTED_VALUE"""),"Self Identify")</f>
        <v>Self Identify</v>
      </c>
      <c r="I2925" s="6" t="str">
        <f>IFERROR(__xludf.DUMMYFUNCTION("""COMPUTED_VALUE"""),"Middle School")</f>
        <v>Middle School</v>
      </c>
      <c r="J2925" s="6" t="str">
        <f>IFERROR(__xludf.DUMMYFUNCTION("""COMPUTED_VALUE"""),"7")</f>
        <v>7</v>
      </c>
      <c r="K2925" s="6" t="str">
        <f>IFERROR(__xludf.DUMMYFUNCTION("""COMPUTED_VALUE"""),"kaedyn_hereim@stu.ortrail.k12.or.us")</f>
        <v>kaedyn_hereim@stu.ortrail.k12.or.us</v>
      </c>
      <c r="L2925" s="6" t="str">
        <f>IFERROR(__xludf.DUMMYFUNCTION("""COMPUTED_VALUE"""),"Oregon Trail School District 46")</f>
        <v>Oregon Trail School District 46</v>
      </c>
      <c r="M2925" s="6" t="str">
        <f>IFERROR(__xludf.DUMMYFUNCTION("""COMPUTED_VALUE"""),"Welches Middle School")</f>
        <v>Welches Middle School</v>
      </c>
      <c r="N2925" s="6" t="str">
        <f>IFERROR(__xludf.DUMMYFUNCTION("""COMPUTED_VALUE"""),"")</f>
        <v/>
      </c>
      <c r="O2925" s="87" t="str">
        <f>IFERROR(__xludf.DUMMYFUNCTION("""COMPUTED_VALUE"""),"https://drive.google.com/drive/folders/10T2cTQHqEJZqE-st6uFKPoI?usp=share_link")</f>
        <v>https://drive.google.com/drive/folders/10T2cTQHqEJZqE-st6uFKPoI?usp=share_link</v>
      </c>
      <c r="P2925" s="6" t="str">
        <f>IFERROR(__xludf.DUMMYFUNCTION("""COMPUTED_VALUE"""),"Kaedyn Hereim")</f>
        <v>Kaedyn Hereim</v>
      </c>
      <c r="Q2925" s="6" t="str">
        <f>IFERROR(__xludf.DUMMYFUNCTION("""COMPUTED_VALUE"""),"MS")</f>
        <v>MS</v>
      </c>
      <c r="R2925" s="6">
        <f>IFERROR(__xludf.DUMMYFUNCTION("""COMPUTED_VALUE"""),0.0)</f>
        <v>0</v>
      </c>
      <c r="S2925" s="6" t="str">
        <f>IFERROR(__xludf.DUMMYFUNCTION("""COMPUTED_VALUE"""),"Nicole Kellim")</f>
        <v>Nicole Kellim</v>
      </c>
      <c r="T2925" s="6" t="str">
        <f>IFERROR(__xludf.DUMMYFUNCTION("""COMPUTED_VALUE"""),"nicole.kellim@ortrail.k12.or.us")</f>
        <v>nicole.kellim@ortrail.k12.or.us</v>
      </c>
      <c r="U2925" s="6" t="str">
        <f>IFERROR(__xludf.DUMMYFUNCTION("""COMPUTED_VALUE"""),"7")</f>
        <v>7</v>
      </c>
      <c r="V2925" s="6" t="str">
        <f>IFERROR(__xludf.DUMMYFUNCTION("""COMPUTED_VALUE"""),"English")</f>
        <v>English</v>
      </c>
      <c r="W2925" s="6" t="str">
        <f>IFERROR(__xludf.DUMMYFUNCTION("""COMPUTED_VALUE"""),"[]")</f>
        <v>[]</v>
      </c>
      <c r="X2925" s="6" t="str">
        <f>IFERROR(__xludf.DUMMYFUNCTION("""COMPUTED_VALUE"""),"Enrolled")</f>
        <v>Enrolled</v>
      </c>
    </row>
    <row r="2926">
      <c r="A2926" s="6" t="str">
        <f>IFERROR(__xludf.DUMMYFUNCTION("""COMPUTED_VALUE"""),"064-5163")</f>
        <v>064-5163</v>
      </c>
      <c r="B2926" s="6" t="str">
        <f>IFERROR(__xludf.DUMMYFUNCTION("""COMPUTED_VALUE"""),"64")</f>
        <v>64</v>
      </c>
      <c r="C2926" s="6" t="str">
        <f>IFERROR(__xludf.DUMMYFUNCTION("""COMPUTED_VALUE"""),"5163")</f>
        <v>5163</v>
      </c>
      <c r="D2926" s="6" t="str">
        <f>IFERROR(__xludf.DUMMYFUNCTION("""COMPUTED_VALUE"""),"Raegan")</f>
        <v>Raegan</v>
      </c>
      <c r="E2926" s="6" t="str">
        <f>IFERROR(__xludf.DUMMYFUNCTION("""COMPUTED_VALUE"""),"")</f>
        <v/>
      </c>
      <c r="F2926" s="6" t="str">
        <f>IFERROR(__xludf.DUMMYFUNCTION("""COMPUTED_VALUE"""),"Hryciw")</f>
        <v>Hryciw</v>
      </c>
      <c r="G2926" s="6" t="str">
        <f>IFERROR(__xludf.DUMMYFUNCTION("""COMPUTED_VALUE"""),"01/26/2013")</f>
        <v>01/26/2013</v>
      </c>
      <c r="H2926" s="6" t="str">
        <f>IFERROR(__xludf.DUMMYFUNCTION("""COMPUTED_VALUE"""),"Self Identify")</f>
        <v>Self Identify</v>
      </c>
      <c r="I2926" s="6" t="str">
        <f>IFERROR(__xludf.DUMMYFUNCTION("""COMPUTED_VALUE"""),"Middle School")</f>
        <v>Middle School</v>
      </c>
      <c r="J2926" s="6" t="str">
        <f>IFERROR(__xludf.DUMMYFUNCTION("""COMPUTED_VALUE"""),"7")</f>
        <v>7</v>
      </c>
      <c r="K2926" s="6" t="str">
        <f>IFERROR(__xludf.DUMMYFUNCTION("""COMPUTED_VALUE"""),"raegan_hryciw@stu.ortrail.k12.or.us")</f>
        <v>raegan_hryciw@stu.ortrail.k12.or.us</v>
      </c>
      <c r="L2926" s="6" t="str">
        <f>IFERROR(__xludf.DUMMYFUNCTION("""COMPUTED_VALUE"""),"Oregon Trail School District 46")</f>
        <v>Oregon Trail School District 46</v>
      </c>
      <c r="M2926" s="6" t="str">
        <f>IFERROR(__xludf.DUMMYFUNCTION("""COMPUTED_VALUE"""),"Welches Middle School Original Instruction")</f>
        <v>Welches Middle School Original Instruction</v>
      </c>
      <c r="N2926" s="6" t="str">
        <f>IFERROR(__xludf.DUMMYFUNCTION("""COMPUTED_VALUE"""),"")</f>
        <v/>
      </c>
      <c r="O2926" s="87" t="str">
        <f>IFERROR(__xludf.DUMMYFUNCTION("""COMPUTED_VALUE"""),"https://drive.google.com/drive/folders/10T2cTQHqEJZqE-st6uFKPoI?usp=share_link")</f>
        <v>https://drive.google.com/drive/folders/10T2cTQHqEJZqE-st6uFKPoI?usp=share_link</v>
      </c>
      <c r="P2926" s="6" t="str">
        <f>IFERROR(__xludf.DUMMYFUNCTION("""COMPUTED_VALUE"""),"Raegan Hryciw")</f>
        <v>Raegan Hryciw</v>
      </c>
      <c r="Q2926" s="6" t="str">
        <f>IFERROR(__xludf.DUMMYFUNCTION("""COMPUTED_VALUE"""),"MS")</f>
        <v>MS</v>
      </c>
      <c r="R2926" s="6">
        <f>IFERROR(__xludf.DUMMYFUNCTION("""COMPUTED_VALUE"""),0.0)</f>
        <v>0</v>
      </c>
      <c r="S2926" s="6" t="str">
        <f>IFERROR(__xludf.DUMMYFUNCTION("""COMPUTED_VALUE"""),"Genevra Self")</f>
        <v>Genevra Self</v>
      </c>
      <c r="T2926" s="6" t="str">
        <f>IFERROR(__xludf.DUMMYFUNCTION("""COMPUTED_VALUE"""),"genevra.self@studient.com")</f>
        <v>genevra.self@studient.com</v>
      </c>
      <c r="U2926" s="6" t="str">
        <f>IFERROR(__xludf.DUMMYFUNCTION("""COMPUTED_VALUE"""),"7")</f>
        <v>7</v>
      </c>
      <c r="V2926" s="6" t="str">
        <f>IFERROR(__xludf.DUMMYFUNCTION("""COMPUTED_VALUE"""),"English")</f>
        <v>English</v>
      </c>
      <c r="W2926" s="6" t="str">
        <f>IFERROR(__xludf.DUMMYFUNCTION("""COMPUTED_VALUE"""),"[]")</f>
        <v>[]</v>
      </c>
      <c r="X2926" s="6" t="str">
        <f>IFERROR(__xludf.DUMMYFUNCTION("""COMPUTED_VALUE"""),"Enrolled")</f>
        <v>Enrolled</v>
      </c>
    </row>
    <row r="2927">
      <c r="A2927" s="6" t="str">
        <f>IFERROR(__xludf.DUMMYFUNCTION("""COMPUTED_VALUE"""),"064-5164")</f>
        <v>064-5164</v>
      </c>
      <c r="B2927" s="6" t="str">
        <f>IFERROR(__xludf.DUMMYFUNCTION("""COMPUTED_VALUE"""),"64")</f>
        <v>64</v>
      </c>
      <c r="C2927" s="6" t="str">
        <f>IFERROR(__xludf.DUMMYFUNCTION("""COMPUTED_VALUE"""),"5164")</f>
        <v>5164</v>
      </c>
      <c r="D2927" s="6" t="str">
        <f>IFERROR(__xludf.DUMMYFUNCTION("""COMPUTED_VALUE"""),"Gideon")</f>
        <v>Gideon</v>
      </c>
      <c r="E2927" s="6" t="str">
        <f>IFERROR(__xludf.DUMMYFUNCTION("""COMPUTED_VALUE"""),"")</f>
        <v/>
      </c>
      <c r="F2927" s="6" t="str">
        <f>IFERROR(__xludf.DUMMYFUNCTION("""COMPUTED_VALUE"""),"Kaiser")</f>
        <v>Kaiser</v>
      </c>
      <c r="G2927" s="6" t="str">
        <f>IFERROR(__xludf.DUMMYFUNCTION("""COMPUTED_VALUE"""),"05/01/2013")</f>
        <v>05/01/2013</v>
      </c>
      <c r="H2927" s="6" t="str">
        <f>IFERROR(__xludf.DUMMYFUNCTION("""COMPUTED_VALUE"""),"Self Identify")</f>
        <v>Self Identify</v>
      </c>
      <c r="I2927" s="6" t="str">
        <f>IFERROR(__xludf.DUMMYFUNCTION("""COMPUTED_VALUE"""),"Middle School")</f>
        <v>Middle School</v>
      </c>
      <c r="J2927" s="6" t="str">
        <f>IFERROR(__xludf.DUMMYFUNCTION("""COMPUTED_VALUE"""),"7")</f>
        <v>7</v>
      </c>
      <c r="K2927" s="6" t="str">
        <f>IFERROR(__xludf.DUMMYFUNCTION("""COMPUTED_VALUE"""),"gideon_kaiser@stu.ortrail.k12.or.us")</f>
        <v>gideon_kaiser@stu.ortrail.k12.or.us</v>
      </c>
      <c r="L2927" s="6" t="str">
        <f>IFERROR(__xludf.DUMMYFUNCTION("""COMPUTED_VALUE"""),"Oregon Trail School District 46")</f>
        <v>Oregon Trail School District 46</v>
      </c>
      <c r="M2927" s="6" t="str">
        <f>IFERROR(__xludf.DUMMYFUNCTION("""COMPUTED_VALUE"""),"Welches Middle School Original Instruction")</f>
        <v>Welches Middle School Original Instruction</v>
      </c>
      <c r="N2927" s="6" t="str">
        <f>IFERROR(__xludf.DUMMYFUNCTION("""COMPUTED_VALUE"""),"")</f>
        <v/>
      </c>
      <c r="O2927" s="87" t="str">
        <f>IFERROR(__xludf.DUMMYFUNCTION("""COMPUTED_VALUE"""),"https://drive.google.com/drive/folders/10T2cTQHqEJZqE-st6uFKPoI?usp=share_link")</f>
        <v>https://drive.google.com/drive/folders/10T2cTQHqEJZqE-st6uFKPoI?usp=share_link</v>
      </c>
      <c r="P2927" s="6" t="str">
        <f>IFERROR(__xludf.DUMMYFUNCTION("""COMPUTED_VALUE"""),"Gideon Kaiser")</f>
        <v>Gideon Kaiser</v>
      </c>
      <c r="Q2927" s="6" t="str">
        <f>IFERROR(__xludf.DUMMYFUNCTION("""COMPUTED_VALUE"""),"MS")</f>
        <v>MS</v>
      </c>
      <c r="R2927" s="6">
        <f>IFERROR(__xludf.DUMMYFUNCTION("""COMPUTED_VALUE"""),0.0)</f>
        <v>0</v>
      </c>
      <c r="S2927" s="6" t="str">
        <f>IFERROR(__xludf.DUMMYFUNCTION("""COMPUTED_VALUE"""),"Genevra Self")</f>
        <v>Genevra Self</v>
      </c>
      <c r="T2927" s="6" t="str">
        <f>IFERROR(__xludf.DUMMYFUNCTION("""COMPUTED_VALUE"""),"genevra.self@studient.com")</f>
        <v>genevra.self@studient.com</v>
      </c>
      <c r="U2927" s="6" t="str">
        <f>IFERROR(__xludf.DUMMYFUNCTION("""COMPUTED_VALUE"""),"7")</f>
        <v>7</v>
      </c>
      <c r="V2927" s="6" t="str">
        <f>IFERROR(__xludf.DUMMYFUNCTION("""COMPUTED_VALUE"""),"English")</f>
        <v>English</v>
      </c>
      <c r="W2927" s="6" t="str">
        <f>IFERROR(__xludf.DUMMYFUNCTION("""COMPUTED_VALUE"""),"[]")</f>
        <v>[]</v>
      </c>
      <c r="X2927" s="6" t="str">
        <f>IFERROR(__xludf.DUMMYFUNCTION("""COMPUTED_VALUE"""),"Enrolled")</f>
        <v>Enrolled</v>
      </c>
    </row>
    <row r="2928">
      <c r="A2928" s="6" t="str">
        <f>IFERROR(__xludf.DUMMYFUNCTION("""COMPUTED_VALUE"""),"064-5165")</f>
        <v>064-5165</v>
      </c>
      <c r="B2928" s="6" t="str">
        <f>IFERROR(__xludf.DUMMYFUNCTION("""COMPUTED_VALUE"""),"64")</f>
        <v>64</v>
      </c>
      <c r="C2928" s="6" t="str">
        <f>IFERROR(__xludf.DUMMYFUNCTION("""COMPUTED_VALUE"""),"5165")</f>
        <v>5165</v>
      </c>
      <c r="D2928" s="6" t="str">
        <f>IFERROR(__xludf.DUMMYFUNCTION("""COMPUTED_VALUE"""),"Madalynn")</f>
        <v>Madalynn</v>
      </c>
      <c r="E2928" s="6" t="str">
        <f>IFERROR(__xludf.DUMMYFUNCTION("""COMPUTED_VALUE"""),"")</f>
        <v/>
      </c>
      <c r="F2928" s="6" t="str">
        <f>IFERROR(__xludf.DUMMYFUNCTION("""COMPUTED_VALUE"""),"MacDonald")</f>
        <v>MacDonald</v>
      </c>
      <c r="G2928" s="6" t="str">
        <f>IFERROR(__xludf.DUMMYFUNCTION("""COMPUTED_VALUE"""),"07/02/2012")</f>
        <v>07/02/2012</v>
      </c>
      <c r="H2928" s="6" t="str">
        <f>IFERROR(__xludf.DUMMYFUNCTION("""COMPUTED_VALUE"""),"Self Identify")</f>
        <v>Self Identify</v>
      </c>
      <c r="I2928" s="6" t="str">
        <f>IFERROR(__xludf.DUMMYFUNCTION("""COMPUTED_VALUE"""),"Middle School")</f>
        <v>Middle School</v>
      </c>
      <c r="J2928" s="6" t="str">
        <f>IFERROR(__xludf.DUMMYFUNCTION("""COMPUTED_VALUE"""),"7")</f>
        <v>7</v>
      </c>
      <c r="K2928" s="6" t="str">
        <f>IFERROR(__xludf.DUMMYFUNCTION("""COMPUTED_VALUE"""),"madalynn_macdonald@stu.ortrail.k12.or.us")</f>
        <v>madalynn_macdonald@stu.ortrail.k12.or.us</v>
      </c>
      <c r="L2928" s="6" t="str">
        <f>IFERROR(__xludf.DUMMYFUNCTION("""COMPUTED_VALUE"""),"Oregon Trail School District 46")</f>
        <v>Oregon Trail School District 46</v>
      </c>
      <c r="M2928" s="6" t="str">
        <f>IFERROR(__xludf.DUMMYFUNCTION("""COMPUTED_VALUE"""),"Welches Middle School Original Instruction")</f>
        <v>Welches Middle School Original Instruction</v>
      </c>
      <c r="N2928" s="6" t="str">
        <f>IFERROR(__xludf.DUMMYFUNCTION("""COMPUTED_VALUE"""),"")</f>
        <v/>
      </c>
      <c r="O2928" s="87" t="str">
        <f>IFERROR(__xludf.DUMMYFUNCTION("""COMPUTED_VALUE"""),"https://drive.google.com/drive/folders/10T2cTQHqEJZqE-st6uFKPoI?usp=share_link")</f>
        <v>https://drive.google.com/drive/folders/10T2cTQHqEJZqE-st6uFKPoI?usp=share_link</v>
      </c>
      <c r="P2928" s="6" t="str">
        <f>IFERROR(__xludf.DUMMYFUNCTION("""COMPUTED_VALUE"""),"Madalynn MacDonald")</f>
        <v>Madalynn MacDonald</v>
      </c>
      <c r="Q2928" s="6" t="str">
        <f>IFERROR(__xludf.DUMMYFUNCTION("""COMPUTED_VALUE"""),"MS")</f>
        <v>MS</v>
      </c>
      <c r="R2928" s="6">
        <f>IFERROR(__xludf.DUMMYFUNCTION("""COMPUTED_VALUE"""),0.0)</f>
        <v>0</v>
      </c>
      <c r="S2928" s="6" t="str">
        <f>IFERROR(__xludf.DUMMYFUNCTION("""COMPUTED_VALUE"""),"Genevra Self")</f>
        <v>Genevra Self</v>
      </c>
      <c r="T2928" s="6" t="str">
        <f>IFERROR(__xludf.DUMMYFUNCTION("""COMPUTED_VALUE"""),"genevra.self@studient.com")</f>
        <v>genevra.self@studient.com</v>
      </c>
      <c r="U2928" s="6" t="str">
        <f>IFERROR(__xludf.DUMMYFUNCTION("""COMPUTED_VALUE"""),"7")</f>
        <v>7</v>
      </c>
      <c r="V2928" s="6" t="str">
        <f>IFERROR(__xludf.DUMMYFUNCTION("""COMPUTED_VALUE"""),"English")</f>
        <v>English</v>
      </c>
      <c r="W2928" s="6" t="str">
        <f>IFERROR(__xludf.DUMMYFUNCTION("""COMPUTED_VALUE"""),"[]")</f>
        <v>[]</v>
      </c>
      <c r="X2928" s="6" t="str">
        <f>IFERROR(__xludf.DUMMYFUNCTION("""COMPUTED_VALUE"""),"Enrolled")</f>
        <v>Enrolled</v>
      </c>
    </row>
    <row r="2929">
      <c r="A2929" s="6" t="str">
        <f>IFERROR(__xludf.DUMMYFUNCTION("""COMPUTED_VALUE"""),"064-5166")</f>
        <v>064-5166</v>
      </c>
      <c r="B2929" s="6" t="str">
        <f>IFERROR(__xludf.DUMMYFUNCTION("""COMPUTED_VALUE"""),"64")</f>
        <v>64</v>
      </c>
      <c r="C2929" s="6" t="str">
        <f>IFERROR(__xludf.DUMMYFUNCTION("""COMPUTED_VALUE"""),"5166")</f>
        <v>5166</v>
      </c>
      <c r="D2929" s="6" t="str">
        <f>IFERROR(__xludf.DUMMYFUNCTION("""COMPUTED_VALUE"""),"Aspen")</f>
        <v>Aspen</v>
      </c>
      <c r="E2929" s="6" t="str">
        <f>IFERROR(__xludf.DUMMYFUNCTION("""COMPUTED_VALUE"""),"")</f>
        <v/>
      </c>
      <c r="F2929" s="6" t="str">
        <f>IFERROR(__xludf.DUMMYFUNCTION("""COMPUTED_VALUE"""),"McMahon")</f>
        <v>McMahon</v>
      </c>
      <c r="G2929" s="6" t="str">
        <f>IFERROR(__xludf.DUMMYFUNCTION("""COMPUTED_VALUE"""),"10/19/2012")</f>
        <v>10/19/2012</v>
      </c>
      <c r="H2929" s="6" t="str">
        <f>IFERROR(__xludf.DUMMYFUNCTION("""COMPUTED_VALUE"""),"Self Identify")</f>
        <v>Self Identify</v>
      </c>
      <c r="I2929" s="6" t="str">
        <f>IFERROR(__xludf.DUMMYFUNCTION("""COMPUTED_VALUE"""),"Middle School")</f>
        <v>Middle School</v>
      </c>
      <c r="J2929" s="6" t="str">
        <f>IFERROR(__xludf.DUMMYFUNCTION("""COMPUTED_VALUE"""),"7")</f>
        <v>7</v>
      </c>
      <c r="K2929" s="6" t="str">
        <f>IFERROR(__xludf.DUMMYFUNCTION("""COMPUTED_VALUE"""),"aspen_mcmahon@stu.ortrail.k12.or.us")</f>
        <v>aspen_mcmahon@stu.ortrail.k12.or.us</v>
      </c>
      <c r="L2929" s="6" t="str">
        <f>IFERROR(__xludf.DUMMYFUNCTION("""COMPUTED_VALUE"""),"Oregon Trail School District 46")</f>
        <v>Oregon Trail School District 46</v>
      </c>
      <c r="M2929" s="6" t="str">
        <f>IFERROR(__xludf.DUMMYFUNCTION("""COMPUTED_VALUE"""),"Welches Middle School Original Instruction")</f>
        <v>Welches Middle School Original Instruction</v>
      </c>
      <c r="N2929" s="6" t="str">
        <f>IFERROR(__xludf.DUMMYFUNCTION("""COMPUTED_VALUE"""),"")</f>
        <v/>
      </c>
      <c r="O2929" s="87" t="str">
        <f>IFERROR(__xludf.DUMMYFUNCTION("""COMPUTED_VALUE"""),"https://drive.google.com/drive/folders/10T2cTQHqEJZqE-st6uFKPoI?usp=share_link")</f>
        <v>https://drive.google.com/drive/folders/10T2cTQHqEJZqE-st6uFKPoI?usp=share_link</v>
      </c>
      <c r="P2929" s="6" t="str">
        <f>IFERROR(__xludf.DUMMYFUNCTION("""COMPUTED_VALUE"""),"Aspen McMahon")</f>
        <v>Aspen McMahon</v>
      </c>
      <c r="Q2929" s="6" t="str">
        <f>IFERROR(__xludf.DUMMYFUNCTION("""COMPUTED_VALUE"""),"MS")</f>
        <v>MS</v>
      </c>
      <c r="R2929" s="6">
        <f>IFERROR(__xludf.DUMMYFUNCTION("""COMPUTED_VALUE"""),0.0)</f>
        <v>0</v>
      </c>
      <c r="S2929" s="6" t="str">
        <f>IFERROR(__xludf.DUMMYFUNCTION("""COMPUTED_VALUE"""),"Genevra Self")</f>
        <v>Genevra Self</v>
      </c>
      <c r="T2929" s="6" t="str">
        <f>IFERROR(__xludf.DUMMYFUNCTION("""COMPUTED_VALUE"""),"genevra.self@studient.com")</f>
        <v>genevra.self@studient.com</v>
      </c>
      <c r="U2929" s="6" t="str">
        <f>IFERROR(__xludf.DUMMYFUNCTION("""COMPUTED_VALUE"""),"7")</f>
        <v>7</v>
      </c>
      <c r="V2929" s="6" t="str">
        <f>IFERROR(__xludf.DUMMYFUNCTION("""COMPUTED_VALUE"""),"English")</f>
        <v>English</v>
      </c>
      <c r="W2929" s="6" t="str">
        <f>IFERROR(__xludf.DUMMYFUNCTION("""COMPUTED_VALUE"""),"[]")</f>
        <v>[]</v>
      </c>
      <c r="X2929" s="6" t="str">
        <f>IFERROR(__xludf.DUMMYFUNCTION("""COMPUTED_VALUE"""),"Enrolled")</f>
        <v>Enrolled</v>
      </c>
    </row>
    <row r="2930">
      <c r="A2930" s="6" t="str">
        <f>IFERROR(__xludf.DUMMYFUNCTION("""COMPUTED_VALUE"""),"064-5167")</f>
        <v>064-5167</v>
      </c>
      <c r="B2930" s="6" t="str">
        <f>IFERROR(__xludf.DUMMYFUNCTION("""COMPUTED_VALUE"""),"64")</f>
        <v>64</v>
      </c>
      <c r="C2930" s="6" t="str">
        <f>IFERROR(__xludf.DUMMYFUNCTION("""COMPUTED_VALUE"""),"5167")</f>
        <v>5167</v>
      </c>
      <c r="D2930" s="6" t="str">
        <f>IFERROR(__xludf.DUMMYFUNCTION("""COMPUTED_VALUE"""),"Aneira")</f>
        <v>Aneira</v>
      </c>
      <c r="E2930" s="6" t="str">
        <f>IFERROR(__xludf.DUMMYFUNCTION("""COMPUTED_VALUE"""),"")</f>
        <v/>
      </c>
      <c r="F2930" s="6" t="str">
        <f>IFERROR(__xludf.DUMMYFUNCTION("""COMPUTED_VALUE"""),"Mutterspaugh-Klug")</f>
        <v>Mutterspaugh-Klug</v>
      </c>
      <c r="G2930" s="6" t="str">
        <f>IFERROR(__xludf.DUMMYFUNCTION("""COMPUTED_VALUE"""),"07/02/2013")</f>
        <v>07/02/2013</v>
      </c>
      <c r="H2930" s="6" t="str">
        <f>IFERROR(__xludf.DUMMYFUNCTION("""COMPUTED_VALUE"""),"Self Identify")</f>
        <v>Self Identify</v>
      </c>
      <c r="I2930" s="6" t="str">
        <f>IFERROR(__xludf.DUMMYFUNCTION("""COMPUTED_VALUE"""),"Middle School")</f>
        <v>Middle School</v>
      </c>
      <c r="J2930" s="6" t="str">
        <f>IFERROR(__xludf.DUMMYFUNCTION("""COMPUTED_VALUE"""),"7")</f>
        <v>7</v>
      </c>
      <c r="K2930" s="6" t="str">
        <f>IFERROR(__xludf.DUMMYFUNCTION("""COMPUTED_VALUE"""),"aneira_mutterspaughk@stu.ortrail.k12.or.us")</f>
        <v>aneira_mutterspaughk@stu.ortrail.k12.or.us</v>
      </c>
      <c r="L2930" s="6" t="str">
        <f>IFERROR(__xludf.DUMMYFUNCTION("""COMPUTED_VALUE"""),"Oregon Trail School District 46")</f>
        <v>Oregon Trail School District 46</v>
      </c>
      <c r="M2930" s="6" t="str">
        <f>IFERROR(__xludf.DUMMYFUNCTION("""COMPUTED_VALUE"""),"Welches Middle School")</f>
        <v>Welches Middle School</v>
      </c>
      <c r="N2930" s="6" t="str">
        <f>IFERROR(__xludf.DUMMYFUNCTION("""COMPUTED_VALUE"""),"")</f>
        <v/>
      </c>
      <c r="O2930" s="87" t="str">
        <f>IFERROR(__xludf.DUMMYFUNCTION("""COMPUTED_VALUE"""),"https://drive.google.com/drive/folders/10T2cTQHqEJZqE-st6uFKPoI?usp=share_link")</f>
        <v>https://drive.google.com/drive/folders/10T2cTQHqEJZqE-st6uFKPoI?usp=share_link</v>
      </c>
      <c r="P2930" s="6" t="str">
        <f>IFERROR(__xludf.DUMMYFUNCTION("""COMPUTED_VALUE"""),"Aneira Mutterspaugh-Klug")</f>
        <v>Aneira Mutterspaugh-Klug</v>
      </c>
      <c r="Q2930" s="6" t="str">
        <f>IFERROR(__xludf.DUMMYFUNCTION("""COMPUTED_VALUE"""),"MS")</f>
        <v>MS</v>
      </c>
      <c r="R2930" s="6">
        <f>IFERROR(__xludf.DUMMYFUNCTION("""COMPUTED_VALUE"""),0.0)</f>
        <v>0</v>
      </c>
      <c r="S2930" s="6" t="str">
        <f>IFERROR(__xludf.DUMMYFUNCTION("""COMPUTED_VALUE"""),"Nicole Kellim")</f>
        <v>Nicole Kellim</v>
      </c>
      <c r="T2930" s="6" t="str">
        <f>IFERROR(__xludf.DUMMYFUNCTION("""COMPUTED_VALUE"""),"nicole.kellim@ortrail.k12.or.us")</f>
        <v>nicole.kellim@ortrail.k12.or.us</v>
      </c>
      <c r="U2930" s="6" t="str">
        <f>IFERROR(__xludf.DUMMYFUNCTION("""COMPUTED_VALUE"""),"7")</f>
        <v>7</v>
      </c>
      <c r="V2930" s="6" t="str">
        <f>IFERROR(__xludf.DUMMYFUNCTION("""COMPUTED_VALUE"""),"English")</f>
        <v>English</v>
      </c>
      <c r="W2930" s="6" t="str">
        <f>IFERROR(__xludf.DUMMYFUNCTION("""COMPUTED_VALUE"""),"[]")</f>
        <v>[]</v>
      </c>
      <c r="X2930" s="6" t="str">
        <f>IFERROR(__xludf.DUMMYFUNCTION("""COMPUTED_VALUE"""),"Enrolled")</f>
        <v>Enrolled</v>
      </c>
    </row>
    <row r="2931">
      <c r="A2931" s="6" t="str">
        <f>IFERROR(__xludf.DUMMYFUNCTION("""COMPUTED_VALUE"""),"064-5168")</f>
        <v>064-5168</v>
      </c>
      <c r="B2931" s="6" t="str">
        <f>IFERROR(__xludf.DUMMYFUNCTION("""COMPUTED_VALUE"""),"64")</f>
        <v>64</v>
      </c>
      <c r="C2931" s="6" t="str">
        <f>IFERROR(__xludf.DUMMYFUNCTION("""COMPUTED_VALUE"""),"5168")</f>
        <v>5168</v>
      </c>
      <c r="D2931" s="6" t="str">
        <f>IFERROR(__xludf.DUMMYFUNCTION("""COMPUTED_VALUE"""),"Gavin")</f>
        <v>Gavin</v>
      </c>
      <c r="E2931" s="6" t="str">
        <f>IFERROR(__xludf.DUMMYFUNCTION("""COMPUTED_VALUE"""),"")</f>
        <v/>
      </c>
      <c r="F2931" s="6" t="str">
        <f>IFERROR(__xludf.DUMMYFUNCTION("""COMPUTED_VALUE"""),"Pfeiler")</f>
        <v>Pfeiler</v>
      </c>
      <c r="G2931" s="6" t="str">
        <f>IFERROR(__xludf.DUMMYFUNCTION("""COMPUTED_VALUE"""),"07/18/2013")</f>
        <v>07/18/2013</v>
      </c>
      <c r="H2931" s="6" t="str">
        <f>IFERROR(__xludf.DUMMYFUNCTION("""COMPUTED_VALUE"""),"Self Identify")</f>
        <v>Self Identify</v>
      </c>
      <c r="I2931" s="6" t="str">
        <f>IFERROR(__xludf.DUMMYFUNCTION("""COMPUTED_VALUE"""),"Middle School")</f>
        <v>Middle School</v>
      </c>
      <c r="J2931" s="6" t="str">
        <f>IFERROR(__xludf.DUMMYFUNCTION("""COMPUTED_VALUE"""),"7")</f>
        <v>7</v>
      </c>
      <c r="K2931" s="6" t="str">
        <f>IFERROR(__xludf.DUMMYFUNCTION("""COMPUTED_VALUE"""),"gavin_pfeiler@stu.ortrail.k12.or.us")</f>
        <v>gavin_pfeiler@stu.ortrail.k12.or.us</v>
      </c>
      <c r="L2931" s="6" t="str">
        <f>IFERROR(__xludf.DUMMYFUNCTION("""COMPUTED_VALUE"""),"Oregon Trail School District 46")</f>
        <v>Oregon Trail School District 46</v>
      </c>
      <c r="M2931" s="6" t="str">
        <f>IFERROR(__xludf.DUMMYFUNCTION("""COMPUTED_VALUE"""),"Welches Middle School")</f>
        <v>Welches Middle School</v>
      </c>
      <c r="N2931" s="6" t="str">
        <f>IFERROR(__xludf.DUMMYFUNCTION("""COMPUTED_VALUE"""),"")</f>
        <v/>
      </c>
      <c r="O2931" s="87" t="str">
        <f>IFERROR(__xludf.DUMMYFUNCTION("""COMPUTED_VALUE"""),"https://drive.google.com/drive/folders/10T2cTQHqEJZqE-st6uFKPoI?usp=share_link")</f>
        <v>https://drive.google.com/drive/folders/10T2cTQHqEJZqE-st6uFKPoI?usp=share_link</v>
      </c>
      <c r="P2931" s="6" t="str">
        <f>IFERROR(__xludf.DUMMYFUNCTION("""COMPUTED_VALUE"""),"Gavin Pfeiler")</f>
        <v>Gavin Pfeiler</v>
      </c>
      <c r="Q2931" s="6" t="str">
        <f>IFERROR(__xludf.DUMMYFUNCTION("""COMPUTED_VALUE"""),"MS")</f>
        <v>MS</v>
      </c>
      <c r="R2931" s="6">
        <f>IFERROR(__xludf.DUMMYFUNCTION("""COMPUTED_VALUE"""),0.0)</f>
        <v>0</v>
      </c>
      <c r="S2931" s="6" t="str">
        <f>IFERROR(__xludf.DUMMYFUNCTION("""COMPUTED_VALUE"""),"Nicole Kellim")</f>
        <v>Nicole Kellim</v>
      </c>
      <c r="T2931" s="6" t="str">
        <f>IFERROR(__xludf.DUMMYFUNCTION("""COMPUTED_VALUE"""),"nicole.kellim@ortrail.k12.or.us")</f>
        <v>nicole.kellim@ortrail.k12.or.us</v>
      </c>
      <c r="U2931" s="6" t="str">
        <f>IFERROR(__xludf.DUMMYFUNCTION("""COMPUTED_VALUE"""),"7")</f>
        <v>7</v>
      </c>
      <c r="V2931" s="6" t="str">
        <f>IFERROR(__xludf.DUMMYFUNCTION("""COMPUTED_VALUE"""),"English")</f>
        <v>English</v>
      </c>
      <c r="W2931" s="6" t="str">
        <f>IFERROR(__xludf.DUMMYFUNCTION("""COMPUTED_VALUE"""),"[]")</f>
        <v>[]</v>
      </c>
      <c r="X2931" s="6" t="str">
        <f>IFERROR(__xludf.DUMMYFUNCTION("""COMPUTED_VALUE"""),"Enrolled")</f>
        <v>Enrolled</v>
      </c>
    </row>
    <row r="2932">
      <c r="A2932" s="6" t="str">
        <f>IFERROR(__xludf.DUMMYFUNCTION("""COMPUTED_VALUE"""),"064-5169")</f>
        <v>064-5169</v>
      </c>
      <c r="B2932" s="6" t="str">
        <f>IFERROR(__xludf.DUMMYFUNCTION("""COMPUTED_VALUE"""),"64")</f>
        <v>64</v>
      </c>
      <c r="C2932" s="6" t="str">
        <f>IFERROR(__xludf.DUMMYFUNCTION("""COMPUTED_VALUE"""),"5169")</f>
        <v>5169</v>
      </c>
      <c r="D2932" s="6" t="str">
        <f>IFERROR(__xludf.DUMMYFUNCTION("""COMPUTED_VALUE"""),"Mason")</f>
        <v>Mason</v>
      </c>
      <c r="E2932" s="6" t="str">
        <f>IFERROR(__xludf.DUMMYFUNCTION("""COMPUTED_VALUE"""),"")</f>
        <v/>
      </c>
      <c r="F2932" s="6" t="str">
        <f>IFERROR(__xludf.DUMMYFUNCTION("""COMPUTED_VALUE"""),"Prudence")</f>
        <v>Prudence</v>
      </c>
      <c r="G2932" s="6" t="str">
        <f>IFERROR(__xludf.DUMMYFUNCTION("""COMPUTED_VALUE"""),"11/20/2012")</f>
        <v>11/20/2012</v>
      </c>
      <c r="H2932" s="6" t="str">
        <f>IFERROR(__xludf.DUMMYFUNCTION("""COMPUTED_VALUE"""),"Self Identify")</f>
        <v>Self Identify</v>
      </c>
      <c r="I2932" s="6" t="str">
        <f>IFERROR(__xludf.DUMMYFUNCTION("""COMPUTED_VALUE"""),"Middle School")</f>
        <v>Middle School</v>
      </c>
      <c r="J2932" s="6" t="str">
        <f>IFERROR(__xludf.DUMMYFUNCTION("""COMPUTED_VALUE"""),"7")</f>
        <v>7</v>
      </c>
      <c r="K2932" s="6" t="str">
        <f>IFERROR(__xludf.DUMMYFUNCTION("""COMPUTED_VALUE"""),"mason_prudence@stu.ortrail.k12.or.us")</f>
        <v>mason_prudence@stu.ortrail.k12.or.us</v>
      </c>
      <c r="L2932" s="6" t="str">
        <f>IFERROR(__xludf.DUMMYFUNCTION("""COMPUTED_VALUE"""),"Oregon Trail School District 46")</f>
        <v>Oregon Trail School District 46</v>
      </c>
      <c r="M2932" s="6" t="str">
        <f>IFERROR(__xludf.DUMMYFUNCTION("""COMPUTED_VALUE"""),"Welches Middle School Original Instruction")</f>
        <v>Welches Middle School Original Instruction</v>
      </c>
      <c r="N2932" s="6" t="str">
        <f>IFERROR(__xludf.DUMMYFUNCTION("""COMPUTED_VALUE"""),"")</f>
        <v/>
      </c>
      <c r="O2932" s="87" t="str">
        <f>IFERROR(__xludf.DUMMYFUNCTION("""COMPUTED_VALUE"""),"https://drive.google.com/drive/folders/10T2cTQHqEJZqE-st6uFKPoI?usp=share_link")</f>
        <v>https://drive.google.com/drive/folders/10T2cTQHqEJZqE-st6uFKPoI?usp=share_link</v>
      </c>
      <c r="P2932" s="6" t="str">
        <f>IFERROR(__xludf.DUMMYFUNCTION("""COMPUTED_VALUE"""),"Mason Prudence")</f>
        <v>Mason Prudence</v>
      </c>
      <c r="Q2932" s="6" t="str">
        <f>IFERROR(__xludf.DUMMYFUNCTION("""COMPUTED_VALUE"""),"MS")</f>
        <v>MS</v>
      </c>
      <c r="R2932" s="6">
        <f>IFERROR(__xludf.DUMMYFUNCTION("""COMPUTED_VALUE"""),0.0)</f>
        <v>0</v>
      </c>
      <c r="S2932" s="6" t="str">
        <f>IFERROR(__xludf.DUMMYFUNCTION("""COMPUTED_VALUE"""),"Genevra Self")</f>
        <v>Genevra Self</v>
      </c>
      <c r="T2932" s="6" t="str">
        <f>IFERROR(__xludf.DUMMYFUNCTION("""COMPUTED_VALUE"""),"genevra.self@studient.com")</f>
        <v>genevra.self@studient.com</v>
      </c>
      <c r="U2932" s="6" t="str">
        <f>IFERROR(__xludf.DUMMYFUNCTION("""COMPUTED_VALUE"""),"7")</f>
        <v>7</v>
      </c>
      <c r="V2932" s="6" t="str">
        <f>IFERROR(__xludf.DUMMYFUNCTION("""COMPUTED_VALUE"""),"English")</f>
        <v>English</v>
      </c>
      <c r="W2932" s="6" t="str">
        <f>IFERROR(__xludf.DUMMYFUNCTION("""COMPUTED_VALUE"""),"[]")</f>
        <v>[]</v>
      </c>
      <c r="X2932" s="6" t="str">
        <f>IFERROR(__xludf.DUMMYFUNCTION("""COMPUTED_VALUE"""),"Enrolled")</f>
        <v>Enrolled</v>
      </c>
    </row>
    <row r="2933">
      <c r="A2933" s="6" t="str">
        <f>IFERROR(__xludf.DUMMYFUNCTION("""COMPUTED_VALUE"""),"064-5170")</f>
        <v>064-5170</v>
      </c>
      <c r="B2933" s="6" t="str">
        <f>IFERROR(__xludf.DUMMYFUNCTION("""COMPUTED_VALUE"""),"64")</f>
        <v>64</v>
      </c>
      <c r="C2933" s="6" t="str">
        <f>IFERROR(__xludf.DUMMYFUNCTION("""COMPUTED_VALUE"""),"5170")</f>
        <v>5170</v>
      </c>
      <c r="D2933" s="6" t="str">
        <f>IFERROR(__xludf.DUMMYFUNCTION("""COMPUTED_VALUE"""),"Bodie")</f>
        <v>Bodie</v>
      </c>
      <c r="E2933" s="6" t="str">
        <f>IFERROR(__xludf.DUMMYFUNCTION("""COMPUTED_VALUE"""),"")</f>
        <v/>
      </c>
      <c r="F2933" s="6" t="str">
        <f>IFERROR(__xludf.DUMMYFUNCTION("""COMPUTED_VALUE"""),"Rasmussen")</f>
        <v>Rasmussen</v>
      </c>
      <c r="G2933" s="6" t="str">
        <f>IFERROR(__xludf.DUMMYFUNCTION("""COMPUTED_VALUE"""),"06/14/2012")</f>
        <v>06/14/2012</v>
      </c>
      <c r="H2933" s="6" t="str">
        <f>IFERROR(__xludf.DUMMYFUNCTION("""COMPUTED_VALUE"""),"Self Identify")</f>
        <v>Self Identify</v>
      </c>
      <c r="I2933" s="6" t="str">
        <f>IFERROR(__xludf.DUMMYFUNCTION("""COMPUTED_VALUE"""),"Middle School")</f>
        <v>Middle School</v>
      </c>
      <c r="J2933" s="6" t="str">
        <f>IFERROR(__xludf.DUMMYFUNCTION("""COMPUTED_VALUE"""),"7")</f>
        <v>7</v>
      </c>
      <c r="K2933" s="6" t="str">
        <f>IFERROR(__xludf.DUMMYFUNCTION("""COMPUTED_VALUE"""),"bodie_rasmussen@stu.ortrail.k12.or.us")</f>
        <v>bodie_rasmussen@stu.ortrail.k12.or.us</v>
      </c>
      <c r="L2933" s="6" t="str">
        <f>IFERROR(__xludf.DUMMYFUNCTION("""COMPUTED_VALUE"""),"Oregon Trail School District 46")</f>
        <v>Oregon Trail School District 46</v>
      </c>
      <c r="M2933" s="6" t="str">
        <f>IFERROR(__xludf.DUMMYFUNCTION("""COMPUTED_VALUE"""),"Welches Middle School Original Instruction")</f>
        <v>Welches Middle School Original Instruction</v>
      </c>
      <c r="N2933" s="6" t="str">
        <f>IFERROR(__xludf.DUMMYFUNCTION("""COMPUTED_VALUE"""),"")</f>
        <v/>
      </c>
      <c r="O2933" s="87" t="str">
        <f>IFERROR(__xludf.DUMMYFUNCTION("""COMPUTED_VALUE"""),"https://drive.google.com/drive/folders/10T2cTQHqEJZqE-st6uFKPoI?usp=share_link")</f>
        <v>https://drive.google.com/drive/folders/10T2cTQHqEJZqE-st6uFKPoI?usp=share_link</v>
      </c>
      <c r="P2933" s="6" t="str">
        <f>IFERROR(__xludf.DUMMYFUNCTION("""COMPUTED_VALUE"""),"Bodie Rasmussen")</f>
        <v>Bodie Rasmussen</v>
      </c>
      <c r="Q2933" s="6" t="str">
        <f>IFERROR(__xludf.DUMMYFUNCTION("""COMPUTED_VALUE"""),"MS")</f>
        <v>MS</v>
      </c>
      <c r="R2933" s="6">
        <f>IFERROR(__xludf.DUMMYFUNCTION("""COMPUTED_VALUE"""),0.0)</f>
        <v>0</v>
      </c>
      <c r="S2933" s="6" t="str">
        <f>IFERROR(__xludf.DUMMYFUNCTION("""COMPUTED_VALUE"""),"Genevra Self")</f>
        <v>Genevra Self</v>
      </c>
      <c r="T2933" s="6" t="str">
        <f>IFERROR(__xludf.DUMMYFUNCTION("""COMPUTED_VALUE"""),"genevra.self@studient.com")</f>
        <v>genevra.self@studient.com</v>
      </c>
      <c r="U2933" s="6" t="str">
        <f>IFERROR(__xludf.DUMMYFUNCTION("""COMPUTED_VALUE"""),"7")</f>
        <v>7</v>
      </c>
      <c r="V2933" s="6" t="str">
        <f>IFERROR(__xludf.DUMMYFUNCTION("""COMPUTED_VALUE"""),"English")</f>
        <v>English</v>
      </c>
      <c r="W2933" s="6" t="str">
        <f>IFERROR(__xludf.DUMMYFUNCTION("""COMPUTED_VALUE"""),"[]")</f>
        <v>[]</v>
      </c>
      <c r="X2933" s="6" t="str">
        <f>IFERROR(__xludf.DUMMYFUNCTION("""COMPUTED_VALUE"""),"Enrolled")</f>
        <v>Enrolled</v>
      </c>
    </row>
    <row r="2934">
      <c r="A2934" s="6" t="str">
        <f>IFERROR(__xludf.DUMMYFUNCTION("""COMPUTED_VALUE"""),"064-5171")</f>
        <v>064-5171</v>
      </c>
      <c r="B2934" s="6" t="str">
        <f>IFERROR(__xludf.DUMMYFUNCTION("""COMPUTED_VALUE"""),"64")</f>
        <v>64</v>
      </c>
      <c r="C2934" s="6" t="str">
        <f>IFERROR(__xludf.DUMMYFUNCTION("""COMPUTED_VALUE"""),"5171")</f>
        <v>5171</v>
      </c>
      <c r="D2934" s="6" t="str">
        <f>IFERROR(__xludf.DUMMYFUNCTION("""COMPUTED_VALUE"""),"Dylan")</f>
        <v>Dylan</v>
      </c>
      <c r="E2934" s="6" t="str">
        <f>IFERROR(__xludf.DUMMYFUNCTION("""COMPUTED_VALUE"""),"")</f>
        <v/>
      </c>
      <c r="F2934" s="6" t="str">
        <f>IFERROR(__xludf.DUMMYFUNCTION("""COMPUTED_VALUE"""),"Skaggs")</f>
        <v>Skaggs</v>
      </c>
      <c r="G2934" s="6" t="str">
        <f>IFERROR(__xludf.DUMMYFUNCTION("""COMPUTED_VALUE"""),"01/26/2013")</f>
        <v>01/26/2013</v>
      </c>
      <c r="H2934" s="6" t="str">
        <f>IFERROR(__xludf.DUMMYFUNCTION("""COMPUTED_VALUE"""),"Self Identify")</f>
        <v>Self Identify</v>
      </c>
      <c r="I2934" s="6" t="str">
        <f>IFERROR(__xludf.DUMMYFUNCTION("""COMPUTED_VALUE"""),"Middle School")</f>
        <v>Middle School</v>
      </c>
      <c r="J2934" s="6" t="str">
        <f>IFERROR(__xludf.DUMMYFUNCTION("""COMPUTED_VALUE"""),"7")</f>
        <v>7</v>
      </c>
      <c r="K2934" s="6" t="str">
        <f>IFERROR(__xludf.DUMMYFUNCTION("""COMPUTED_VALUE"""),"dylan_skaggs@stu.ortrail.k12.or.us")</f>
        <v>dylan_skaggs@stu.ortrail.k12.or.us</v>
      </c>
      <c r="L2934" s="6" t="str">
        <f>IFERROR(__xludf.DUMMYFUNCTION("""COMPUTED_VALUE"""),"Oregon Trail School District 46")</f>
        <v>Oregon Trail School District 46</v>
      </c>
      <c r="M2934" s="6" t="str">
        <f>IFERROR(__xludf.DUMMYFUNCTION("""COMPUTED_VALUE"""),"Welches Middle School Original Instruction")</f>
        <v>Welches Middle School Original Instruction</v>
      </c>
      <c r="N2934" s="6" t="str">
        <f>IFERROR(__xludf.DUMMYFUNCTION("""COMPUTED_VALUE"""),"")</f>
        <v/>
      </c>
      <c r="O2934" s="87" t="str">
        <f>IFERROR(__xludf.DUMMYFUNCTION("""COMPUTED_VALUE"""),"https://drive.google.com/drive/folders/10T2cTQHqEJZqE-st6uFKPoI?usp=share_link")</f>
        <v>https://drive.google.com/drive/folders/10T2cTQHqEJZqE-st6uFKPoI?usp=share_link</v>
      </c>
      <c r="P2934" s="6" t="str">
        <f>IFERROR(__xludf.DUMMYFUNCTION("""COMPUTED_VALUE"""),"Dylan Skaggs")</f>
        <v>Dylan Skaggs</v>
      </c>
      <c r="Q2934" s="6" t="str">
        <f>IFERROR(__xludf.DUMMYFUNCTION("""COMPUTED_VALUE"""),"MS")</f>
        <v>MS</v>
      </c>
      <c r="R2934" s="6">
        <f>IFERROR(__xludf.DUMMYFUNCTION("""COMPUTED_VALUE"""),0.0)</f>
        <v>0</v>
      </c>
      <c r="S2934" s="6" t="str">
        <f>IFERROR(__xludf.DUMMYFUNCTION("""COMPUTED_VALUE"""),"Genevra Self")</f>
        <v>Genevra Self</v>
      </c>
      <c r="T2934" s="6" t="str">
        <f>IFERROR(__xludf.DUMMYFUNCTION("""COMPUTED_VALUE"""),"genevra.self@studient.com")</f>
        <v>genevra.self@studient.com</v>
      </c>
      <c r="U2934" s="6" t="str">
        <f>IFERROR(__xludf.DUMMYFUNCTION("""COMPUTED_VALUE"""),"7")</f>
        <v>7</v>
      </c>
      <c r="V2934" s="6" t="str">
        <f>IFERROR(__xludf.DUMMYFUNCTION("""COMPUTED_VALUE"""),"English")</f>
        <v>English</v>
      </c>
      <c r="W2934" s="6" t="str">
        <f>IFERROR(__xludf.DUMMYFUNCTION("""COMPUTED_VALUE"""),"[]")</f>
        <v>[]</v>
      </c>
      <c r="X2934" s="6" t="str">
        <f>IFERROR(__xludf.DUMMYFUNCTION("""COMPUTED_VALUE"""),"Enrolled")</f>
        <v>Enrolled</v>
      </c>
    </row>
    <row r="2935">
      <c r="A2935" s="6" t="str">
        <f>IFERROR(__xludf.DUMMYFUNCTION("""COMPUTED_VALUE"""),"064-5172")</f>
        <v>064-5172</v>
      </c>
      <c r="B2935" s="6" t="str">
        <f>IFERROR(__xludf.DUMMYFUNCTION("""COMPUTED_VALUE"""),"64")</f>
        <v>64</v>
      </c>
      <c r="C2935" s="6" t="str">
        <f>IFERROR(__xludf.DUMMYFUNCTION("""COMPUTED_VALUE"""),"5172")</f>
        <v>5172</v>
      </c>
      <c r="D2935" s="6" t="str">
        <f>IFERROR(__xludf.DUMMYFUNCTION("""COMPUTED_VALUE"""),"Zia")</f>
        <v>Zia</v>
      </c>
      <c r="E2935" s="6" t="str">
        <f>IFERROR(__xludf.DUMMYFUNCTION("""COMPUTED_VALUE"""),"")</f>
        <v/>
      </c>
      <c r="F2935" s="6" t="str">
        <f>IFERROR(__xludf.DUMMYFUNCTION("""COMPUTED_VALUE"""),"Thomason")</f>
        <v>Thomason</v>
      </c>
      <c r="G2935" s="6" t="str">
        <f>IFERROR(__xludf.DUMMYFUNCTION("""COMPUTED_VALUE"""),"03/07/2013")</f>
        <v>03/07/2013</v>
      </c>
      <c r="H2935" s="6" t="str">
        <f>IFERROR(__xludf.DUMMYFUNCTION("""COMPUTED_VALUE"""),"Self Identify")</f>
        <v>Self Identify</v>
      </c>
      <c r="I2935" s="6" t="str">
        <f>IFERROR(__xludf.DUMMYFUNCTION("""COMPUTED_VALUE"""),"Middle School")</f>
        <v>Middle School</v>
      </c>
      <c r="J2935" s="6" t="str">
        <f>IFERROR(__xludf.DUMMYFUNCTION("""COMPUTED_VALUE"""),"7")</f>
        <v>7</v>
      </c>
      <c r="K2935" s="6" t="str">
        <f>IFERROR(__xludf.DUMMYFUNCTION("""COMPUTED_VALUE"""),"zia_thomason@stu.ortrail.k12.or.us")</f>
        <v>zia_thomason@stu.ortrail.k12.or.us</v>
      </c>
      <c r="L2935" s="6" t="str">
        <f>IFERROR(__xludf.DUMMYFUNCTION("""COMPUTED_VALUE"""),"Oregon Trail School District 46")</f>
        <v>Oregon Trail School District 46</v>
      </c>
      <c r="M2935" s="6" t="str">
        <f>IFERROR(__xludf.DUMMYFUNCTION("""COMPUTED_VALUE"""),"Welches Middle School Original Instruction")</f>
        <v>Welches Middle School Original Instruction</v>
      </c>
      <c r="N2935" s="6" t="str">
        <f>IFERROR(__xludf.DUMMYFUNCTION("""COMPUTED_VALUE"""),"")</f>
        <v/>
      </c>
      <c r="O2935" s="87" t="str">
        <f>IFERROR(__xludf.DUMMYFUNCTION("""COMPUTED_VALUE"""),"https://drive.google.com/drive/folders/10T2cTQHqEJZqE-st6uFKPoI?usp=share_link")</f>
        <v>https://drive.google.com/drive/folders/10T2cTQHqEJZqE-st6uFKPoI?usp=share_link</v>
      </c>
      <c r="P2935" s="6" t="str">
        <f>IFERROR(__xludf.DUMMYFUNCTION("""COMPUTED_VALUE"""),"Zia Thomason")</f>
        <v>Zia Thomason</v>
      </c>
      <c r="Q2935" s="6" t="str">
        <f>IFERROR(__xludf.DUMMYFUNCTION("""COMPUTED_VALUE"""),"MS")</f>
        <v>MS</v>
      </c>
      <c r="R2935" s="6">
        <f>IFERROR(__xludf.DUMMYFUNCTION("""COMPUTED_VALUE"""),0.0)</f>
        <v>0</v>
      </c>
      <c r="S2935" s="6" t="str">
        <f>IFERROR(__xludf.DUMMYFUNCTION("""COMPUTED_VALUE"""),"Genevra Self")</f>
        <v>Genevra Self</v>
      </c>
      <c r="T2935" s="6" t="str">
        <f>IFERROR(__xludf.DUMMYFUNCTION("""COMPUTED_VALUE"""),"genevra.self@studient.com")</f>
        <v>genevra.self@studient.com</v>
      </c>
      <c r="U2935" s="6" t="str">
        <f>IFERROR(__xludf.DUMMYFUNCTION("""COMPUTED_VALUE"""),"7")</f>
        <v>7</v>
      </c>
      <c r="V2935" s="6" t="str">
        <f>IFERROR(__xludf.DUMMYFUNCTION("""COMPUTED_VALUE"""),"English")</f>
        <v>English</v>
      </c>
      <c r="W2935" s="6" t="str">
        <f>IFERROR(__xludf.DUMMYFUNCTION("""COMPUTED_VALUE"""),"[]")</f>
        <v>[]</v>
      </c>
      <c r="X2935" s="6" t="str">
        <f>IFERROR(__xludf.DUMMYFUNCTION("""COMPUTED_VALUE"""),"Enrolled")</f>
        <v>Enrolled</v>
      </c>
    </row>
    <row r="2936">
      <c r="A2936" s="6" t="str">
        <f>IFERROR(__xludf.DUMMYFUNCTION("""COMPUTED_VALUE"""),"064-5173")</f>
        <v>064-5173</v>
      </c>
      <c r="B2936" s="6" t="str">
        <f>IFERROR(__xludf.DUMMYFUNCTION("""COMPUTED_VALUE"""),"64")</f>
        <v>64</v>
      </c>
      <c r="C2936" s="6" t="str">
        <f>IFERROR(__xludf.DUMMYFUNCTION("""COMPUTED_VALUE"""),"5173")</f>
        <v>5173</v>
      </c>
      <c r="D2936" s="6" t="str">
        <f>IFERROR(__xludf.DUMMYFUNCTION("""COMPUTED_VALUE"""),"Avery")</f>
        <v>Avery</v>
      </c>
      <c r="E2936" s="6" t="str">
        <f>IFERROR(__xludf.DUMMYFUNCTION("""COMPUTED_VALUE"""),"")</f>
        <v/>
      </c>
      <c r="F2936" s="6" t="str">
        <f>IFERROR(__xludf.DUMMYFUNCTION("""COMPUTED_VALUE"""),"Wagner")</f>
        <v>Wagner</v>
      </c>
      <c r="G2936" s="6" t="str">
        <f>IFERROR(__xludf.DUMMYFUNCTION("""COMPUTED_VALUE"""),"04/18/2013")</f>
        <v>04/18/2013</v>
      </c>
      <c r="H2936" s="6" t="str">
        <f>IFERROR(__xludf.DUMMYFUNCTION("""COMPUTED_VALUE"""),"Self Identify")</f>
        <v>Self Identify</v>
      </c>
      <c r="I2936" s="6" t="str">
        <f>IFERROR(__xludf.DUMMYFUNCTION("""COMPUTED_VALUE"""),"Middle School")</f>
        <v>Middle School</v>
      </c>
      <c r="J2936" s="6" t="str">
        <f>IFERROR(__xludf.DUMMYFUNCTION("""COMPUTED_VALUE"""),"7")</f>
        <v>7</v>
      </c>
      <c r="K2936" s="6" t="str">
        <f>IFERROR(__xludf.DUMMYFUNCTION("""COMPUTED_VALUE"""),"avery_wagner@stu.ortrail.k12.or.us")</f>
        <v>avery_wagner@stu.ortrail.k12.or.us</v>
      </c>
      <c r="L2936" s="6" t="str">
        <f>IFERROR(__xludf.DUMMYFUNCTION("""COMPUTED_VALUE"""),"Oregon Trail School District 46")</f>
        <v>Oregon Trail School District 46</v>
      </c>
      <c r="M2936" s="6" t="str">
        <f>IFERROR(__xludf.DUMMYFUNCTION("""COMPUTED_VALUE"""),"Welches Middle School Original Instruction")</f>
        <v>Welches Middle School Original Instruction</v>
      </c>
      <c r="N2936" s="6" t="str">
        <f>IFERROR(__xludf.DUMMYFUNCTION("""COMPUTED_VALUE"""),"")</f>
        <v/>
      </c>
      <c r="O2936" s="87" t="str">
        <f>IFERROR(__xludf.DUMMYFUNCTION("""COMPUTED_VALUE"""),"https://drive.google.com/drive/folders/10T2cTQHqEJZqE-st6uFKPoI?usp=share_link")</f>
        <v>https://drive.google.com/drive/folders/10T2cTQHqEJZqE-st6uFKPoI?usp=share_link</v>
      </c>
      <c r="P2936" s="6" t="str">
        <f>IFERROR(__xludf.DUMMYFUNCTION("""COMPUTED_VALUE"""),"Avery Wagner")</f>
        <v>Avery Wagner</v>
      </c>
      <c r="Q2936" s="6" t="str">
        <f>IFERROR(__xludf.DUMMYFUNCTION("""COMPUTED_VALUE"""),"MS")</f>
        <v>MS</v>
      </c>
      <c r="R2936" s="6">
        <f>IFERROR(__xludf.DUMMYFUNCTION("""COMPUTED_VALUE"""),0.0)</f>
        <v>0</v>
      </c>
      <c r="S2936" s="6" t="str">
        <f>IFERROR(__xludf.DUMMYFUNCTION("""COMPUTED_VALUE"""),"Genevra Self")</f>
        <v>Genevra Self</v>
      </c>
      <c r="T2936" s="6" t="str">
        <f>IFERROR(__xludf.DUMMYFUNCTION("""COMPUTED_VALUE"""),"genevra.self@studient.com")</f>
        <v>genevra.self@studient.com</v>
      </c>
      <c r="U2936" s="6" t="str">
        <f>IFERROR(__xludf.DUMMYFUNCTION("""COMPUTED_VALUE"""),"7")</f>
        <v>7</v>
      </c>
      <c r="V2936" s="6" t="str">
        <f>IFERROR(__xludf.DUMMYFUNCTION("""COMPUTED_VALUE"""),"English")</f>
        <v>English</v>
      </c>
      <c r="W2936" s="6" t="str">
        <f>IFERROR(__xludf.DUMMYFUNCTION("""COMPUTED_VALUE"""),"[]")</f>
        <v>[]</v>
      </c>
      <c r="X2936" s="6" t="str">
        <f>IFERROR(__xludf.DUMMYFUNCTION("""COMPUTED_VALUE"""),"Enrolled")</f>
        <v>Enrolled</v>
      </c>
    </row>
    <row r="2937">
      <c r="A2937" s="6" t="str">
        <f>IFERROR(__xludf.DUMMYFUNCTION("""COMPUTED_VALUE"""),"064-5174")</f>
        <v>064-5174</v>
      </c>
      <c r="B2937" s="6" t="str">
        <f>IFERROR(__xludf.DUMMYFUNCTION("""COMPUTED_VALUE"""),"64")</f>
        <v>64</v>
      </c>
      <c r="C2937" s="6" t="str">
        <f>IFERROR(__xludf.DUMMYFUNCTION("""COMPUTED_VALUE"""),"5174")</f>
        <v>5174</v>
      </c>
      <c r="D2937" s="6" t="str">
        <f>IFERROR(__xludf.DUMMYFUNCTION("""COMPUTED_VALUE"""),"Elliot")</f>
        <v>Elliot</v>
      </c>
      <c r="E2937" s="6" t="str">
        <f>IFERROR(__xludf.DUMMYFUNCTION("""COMPUTED_VALUE"""),"")</f>
        <v/>
      </c>
      <c r="F2937" s="6" t="str">
        <f>IFERROR(__xludf.DUMMYFUNCTION("""COMPUTED_VALUE"""),"Baker")</f>
        <v>Baker</v>
      </c>
      <c r="G2937" s="6" t="str">
        <f>IFERROR(__xludf.DUMMYFUNCTION("""COMPUTED_VALUE"""),"05/19/2012")</f>
        <v>05/19/2012</v>
      </c>
      <c r="H2937" s="6" t="str">
        <f>IFERROR(__xludf.DUMMYFUNCTION("""COMPUTED_VALUE"""),"Self Identify")</f>
        <v>Self Identify</v>
      </c>
      <c r="I2937" s="6" t="str">
        <f>IFERROR(__xludf.DUMMYFUNCTION("""COMPUTED_VALUE"""),"Middle School")</f>
        <v>Middle School</v>
      </c>
      <c r="J2937" s="6" t="str">
        <f>IFERROR(__xludf.DUMMYFUNCTION("""COMPUTED_VALUE"""),"8")</f>
        <v>8</v>
      </c>
      <c r="K2937" s="6" t="str">
        <f>IFERROR(__xludf.DUMMYFUNCTION("""COMPUTED_VALUE"""),"elliot_baker@stu.ortrail.k12.or.us")</f>
        <v>elliot_baker@stu.ortrail.k12.or.us</v>
      </c>
      <c r="L2937" s="6" t="str">
        <f>IFERROR(__xludf.DUMMYFUNCTION("""COMPUTED_VALUE"""),"Oregon Trail School District 46")</f>
        <v>Oregon Trail School District 46</v>
      </c>
      <c r="M2937" s="6" t="str">
        <f>IFERROR(__xludf.DUMMYFUNCTION("""COMPUTED_VALUE"""),"Welches Middle School")</f>
        <v>Welches Middle School</v>
      </c>
      <c r="N2937" s="6" t="str">
        <f>IFERROR(__xludf.DUMMYFUNCTION("""COMPUTED_VALUE"""),"")</f>
        <v/>
      </c>
      <c r="O2937" s="87" t="str">
        <f>IFERROR(__xludf.DUMMYFUNCTION("""COMPUTED_VALUE"""),"https://drive.google.com/drive/folders/10T2cTQHqEJZqE-st6uFKPoI?usp=share_link")</f>
        <v>https://drive.google.com/drive/folders/10T2cTQHqEJZqE-st6uFKPoI?usp=share_link</v>
      </c>
      <c r="P2937" s="6" t="str">
        <f>IFERROR(__xludf.DUMMYFUNCTION("""COMPUTED_VALUE"""),"Elliot Baker")</f>
        <v>Elliot Baker</v>
      </c>
      <c r="Q2937" s="6" t="str">
        <f>IFERROR(__xludf.DUMMYFUNCTION("""COMPUTED_VALUE"""),"MS")</f>
        <v>MS</v>
      </c>
      <c r="R2937" s="6">
        <f>IFERROR(__xludf.DUMMYFUNCTION("""COMPUTED_VALUE"""),0.0)</f>
        <v>0</v>
      </c>
      <c r="S2937" s="6" t="str">
        <f>IFERROR(__xludf.DUMMYFUNCTION("""COMPUTED_VALUE"""),"Nicole Kellim")</f>
        <v>Nicole Kellim</v>
      </c>
      <c r="T2937" s="6" t="str">
        <f>IFERROR(__xludf.DUMMYFUNCTION("""COMPUTED_VALUE"""),"nicole.kellim@ortrail.k12.or.us")</f>
        <v>nicole.kellim@ortrail.k12.or.us</v>
      </c>
      <c r="U2937" s="6" t="str">
        <f>IFERROR(__xludf.DUMMYFUNCTION("""COMPUTED_VALUE"""),"8")</f>
        <v>8</v>
      </c>
      <c r="V2937" s="6" t="str">
        <f>IFERROR(__xludf.DUMMYFUNCTION("""COMPUTED_VALUE"""),"English")</f>
        <v>English</v>
      </c>
      <c r="W2937" s="6" t="str">
        <f>IFERROR(__xludf.DUMMYFUNCTION("""COMPUTED_VALUE"""),"[]")</f>
        <v>[]</v>
      </c>
      <c r="X2937" s="6" t="str">
        <f>IFERROR(__xludf.DUMMYFUNCTION("""COMPUTED_VALUE"""),"Enrolled")</f>
        <v>Enrolled</v>
      </c>
    </row>
    <row r="2938">
      <c r="A2938" s="6" t="str">
        <f>IFERROR(__xludf.DUMMYFUNCTION("""COMPUTED_VALUE"""),"064-5175")</f>
        <v>064-5175</v>
      </c>
      <c r="B2938" s="6" t="str">
        <f>IFERROR(__xludf.DUMMYFUNCTION("""COMPUTED_VALUE"""),"64")</f>
        <v>64</v>
      </c>
      <c r="C2938" s="6" t="str">
        <f>IFERROR(__xludf.DUMMYFUNCTION("""COMPUTED_VALUE"""),"5175")</f>
        <v>5175</v>
      </c>
      <c r="D2938" s="6" t="str">
        <f>IFERROR(__xludf.DUMMYFUNCTION("""COMPUTED_VALUE"""),"Brooklyn")</f>
        <v>Brooklyn</v>
      </c>
      <c r="E2938" s="6" t="str">
        <f>IFERROR(__xludf.DUMMYFUNCTION("""COMPUTED_VALUE"""),"")</f>
        <v/>
      </c>
      <c r="F2938" s="6" t="str">
        <f>IFERROR(__xludf.DUMMYFUNCTION("""COMPUTED_VALUE"""),"Beeson")</f>
        <v>Beeson</v>
      </c>
      <c r="G2938" s="6" t="str">
        <f>IFERROR(__xludf.DUMMYFUNCTION("""COMPUTED_VALUE"""),"10/03/2011")</f>
        <v>10/03/2011</v>
      </c>
      <c r="H2938" s="6" t="str">
        <f>IFERROR(__xludf.DUMMYFUNCTION("""COMPUTED_VALUE"""),"Self Identify")</f>
        <v>Self Identify</v>
      </c>
      <c r="I2938" s="6" t="str">
        <f>IFERROR(__xludf.DUMMYFUNCTION("""COMPUTED_VALUE"""),"Middle School")</f>
        <v>Middle School</v>
      </c>
      <c r="J2938" s="6" t="str">
        <f>IFERROR(__xludf.DUMMYFUNCTION("""COMPUTED_VALUE"""),"8")</f>
        <v>8</v>
      </c>
      <c r="K2938" s="6" t="str">
        <f>IFERROR(__xludf.DUMMYFUNCTION("""COMPUTED_VALUE"""),"brooklyn_beeson@stu.ortrail.k12.or.us")</f>
        <v>brooklyn_beeson@stu.ortrail.k12.or.us</v>
      </c>
      <c r="L2938" s="6" t="str">
        <f>IFERROR(__xludf.DUMMYFUNCTION("""COMPUTED_VALUE"""),"Oregon Trail School District 46")</f>
        <v>Oregon Trail School District 46</v>
      </c>
      <c r="M2938" s="6" t="str">
        <f>IFERROR(__xludf.DUMMYFUNCTION("""COMPUTED_VALUE"""),"Welches Middle School Original Instruction")</f>
        <v>Welches Middle School Original Instruction</v>
      </c>
      <c r="N2938" s="6" t="str">
        <f>IFERROR(__xludf.DUMMYFUNCTION("""COMPUTED_VALUE"""),"")</f>
        <v/>
      </c>
      <c r="O2938" s="87" t="str">
        <f>IFERROR(__xludf.DUMMYFUNCTION("""COMPUTED_VALUE"""),"https://drive.google.com/drive/folders/10T2cTQHqEJZqE-st6uFKPoI?usp=share_link")</f>
        <v>https://drive.google.com/drive/folders/10T2cTQHqEJZqE-st6uFKPoI?usp=share_link</v>
      </c>
      <c r="P2938" s="6" t="str">
        <f>IFERROR(__xludf.DUMMYFUNCTION("""COMPUTED_VALUE"""),"Brooklyn Beeson")</f>
        <v>Brooklyn Beeson</v>
      </c>
      <c r="Q2938" s="6" t="str">
        <f>IFERROR(__xludf.DUMMYFUNCTION("""COMPUTED_VALUE"""),"MS")</f>
        <v>MS</v>
      </c>
      <c r="R2938" s="6">
        <f>IFERROR(__xludf.DUMMYFUNCTION("""COMPUTED_VALUE"""),0.0)</f>
        <v>0</v>
      </c>
      <c r="S2938" s="6" t="str">
        <f>IFERROR(__xludf.DUMMYFUNCTION("""COMPUTED_VALUE"""),"Genevra Self")</f>
        <v>Genevra Self</v>
      </c>
      <c r="T2938" s="6" t="str">
        <f>IFERROR(__xludf.DUMMYFUNCTION("""COMPUTED_VALUE"""),"genevra.self@studient.com")</f>
        <v>genevra.self@studient.com</v>
      </c>
      <c r="U2938" s="6" t="str">
        <f>IFERROR(__xludf.DUMMYFUNCTION("""COMPUTED_VALUE"""),"8")</f>
        <v>8</v>
      </c>
      <c r="V2938" s="6" t="str">
        <f>IFERROR(__xludf.DUMMYFUNCTION("""COMPUTED_VALUE"""),"English")</f>
        <v>English</v>
      </c>
      <c r="W2938" s="6" t="str">
        <f>IFERROR(__xludf.DUMMYFUNCTION("""COMPUTED_VALUE"""),"[]")</f>
        <v>[]</v>
      </c>
      <c r="X2938" s="6" t="str">
        <f>IFERROR(__xludf.DUMMYFUNCTION("""COMPUTED_VALUE"""),"Enrolled")</f>
        <v>Enrolled</v>
      </c>
    </row>
    <row r="2939">
      <c r="A2939" s="6" t="str">
        <f>IFERROR(__xludf.DUMMYFUNCTION("""COMPUTED_VALUE"""),"064-5176")</f>
        <v>064-5176</v>
      </c>
      <c r="B2939" s="6" t="str">
        <f>IFERROR(__xludf.DUMMYFUNCTION("""COMPUTED_VALUE"""),"64")</f>
        <v>64</v>
      </c>
      <c r="C2939" s="6" t="str">
        <f>IFERROR(__xludf.DUMMYFUNCTION("""COMPUTED_VALUE"""),"5176")</f>
        <v>5176</v>
      </c>
      <c r="D2939" s="6" t="str">
        <f>IFERROR(__xludf.DUMMYFUNCTION("""COMPUTED_VALUE"""),"Amelia")</f>
        <v>Amelia</v>
      </c>
      <c r="E2939" s="6" t="str">
        <f>IFERROR(__xludf.DUMMYFUNCTION("""COMPUTED_VALUE"""),"")</f>
        <v/>
      </c>
      <c r="F2939" s="6" t="str">
        <f>IFERROR(__xludf.DUMMYFUNCTION("""COMPUTED_VALUE"""),"Bergeson")</f>
        <v>Bergeson</v>
      </c>
      <c r="G2939" s="6" t="str">
        <f>IFERROR(__xludf.DUMMYFUNCTION("""COMPUTED_VALUE"""),"07/06/2012")</f>
        <v>07/06/2012</v>
      </c>
      <c r="H2939" s="6" t="str">
        <f>IFERROR(__xludf.DUMMYFUNCTION("""COMPUTED_VALUE"""),"Self Identify")</f>
        <v>Self Identify</v>
      </c>
      <c r="I2939" s="6" t="str">
        <f>IFERROR(__xludf.DUMMYFUNCTION("""COMPUTED_VALUE"""),"Middle School")</f>
        <v>Middle School</v>
      </c>
      <c r="J2939" s="6" t="str">
        <f>IFERROR(__xludf.DUMMYFUNCTION("""COMPUTED_VALUE"""),"8")</f>
        <v>8</v>
      </c>
      <c r="K2939" s="6" t="str">
        <f>IFERROR(__xludf.DUMMYFUNCTION("""COMPUTED_VALUE"""),"amelia_bergeson@stu.ortrail.k12.or.us")</f>
        <v>amelia_bergeson@stu.ortrail.k12.or.us</v>
      </c>
      <c r="L2939" s="6" t="str">
        <f>IFERROR(__xludf.DUMMYFUNCTION("""COMPUTED_VALUE"""),"Oregon Trail School District 46")</f>
        <v>Oregon Trail School District 46</v>
      </c>
      <c r="M2939" s="6" t="str">
        <f>IFERROR(__xludf.DUMMYFUNCTION("""COMPUTED_VALUE"""),"Welches Middle School")</f>
        <v>Welches Middle School</v>
      </c>
      <c r="N2939" s="6" t="str">
        <f>IFERROR(__xludf.DUMMYFUNCTION("""COMPUTED_VALUE"""),"")</f>
        <v/>
      </c>
      <c r="O2939" s="87" t="str">
        <f>IFERROR(__xludf.DUMMYFUNCTION("""COMPUTED_VALUE"""),"https://drive.google.com/drive/folders/10T2cTQHqEJZqE-st6uFKPoI?usp=share_link")</f>
        <v>https://drive.google.com/drive/folders/10T2cTQHqEJZqE-st6uFKPoI?usp=share_link</v>
      </c>
      <c r="P2939" s="6" t="str">
        <f>IFERROR(__xludf.DUMMYFUNCTION("""COMPUTED_VALUE"""),"Amelia Bergeson")</f>
        <v>Amelia Bergeson</v>
      </c>
      <c r="Q2939" s="6" t="str">
        <f>IFERROR(__xludf.DUMMYFUNCTION("""COMPUTED_VALUE"""),"MS")</f>
        <v>MS</v>
      </c>
      <c r="R2939" s="6">
        <f>IFERROR(__xludf.DUMMYFUNCTION("""COMPUTED_VALUE"""),0.0)</f>
        <v>0</v>
      </c>
      <c r="S2939" s="6" t="str">
        <f>IFERROR(__xludf.DUMMYFUNCTION("""COMPUTED_VALUE"""),"Nicole Kellim")</f>
        <v>Nicole Kellim</v>
      </c>
      <c r="T2939" s="6" t="str">
        <f>IFERROR(__xludf.DUMMYFUNCTION("""COMPUTED_VALUE"""),"nicole.kellim@ortrail.k12.or.us")</f>
        <v>nicole.kellim@ortrail.k12.or.us</v>
      </c>
      <c r="U2939" s="6" t="str">
        <f>IFERROR(__xludf.DUMMYFUNCTION("""COMPUTED_VALUE"""),"8")</f>
        <v>8</v>
      </c>
      <c r="V2939" s="6" t="str">
        <f>IFERROR(__xludf.DUMMYFUNCTION("""COMPUTED_VALUE"""),"English")</f>
        <v>English</v>
      </c>
      <c r="W2939" s="6" t="str">
        <f>IFERROR(__xludf.DUMMYFUNCTION("""COMPUTED_VALUE"""),"[]")</f>
        <v>[]</v>
      </c>
      <c r="X2939" s="6" t="str">
        <f>IFERROR(__xludf.DUMMYFUNCTION("""COMPUTED_VALUE"""),"Enrolled")</f>
        <v>Enrolled</v>
      </c>
    </row>
    <row r="2940">
      <c r="A2940" s="6" t="str">
        <f>IFERROR(__xludf.DUMMYFUNCTION("""COMPUTED_VALUE"""),"064-5177")</f>
        <v>064-5177</v>
      </c>
      <c r="B2940" s="6" t="str">
        <f>IFERROR(__xludf.DUMMYFUNCTION("""COMPUTED_VALUE"""),"64")</f>
        <v>64</v>
      </c>
      <c r="C2940" s="6" t="str">
        <f>IFERROR(__xludf.DUMMYFUNCTION("""COMPUTED_VALUE"""),"5177")</f>
        <v>5177</v>
      </c>
      <c r="D2940" s="6" t="str">
        <f>IFERROR(__xludf.DUMMYFUNCTION("""COMPUTED_VALUE"""),"Vincent")</f>
        <v>Vincent</v>
      </c>
      <c r="E2940" s="6" t="str">
        <f>IFERROR(__xludf.DUMMYFUNCTION("""COMPUTED_VALUE"""),"")</f>
        <v/>
      </c>
      <c r="F2940" s="6" t="str">
        <f>IFERROR(__xludf.DUMMYFUNCTION("""COMPUTED_VALUE"""),"Billingsley")</f>
        <v>Billingsley</v>
      </c>
      <c r="G2940" s="6" t="str">
        <f>IFERROR(__xludf.DUMMYFUNCTION("""COMPUTED_VALUE"""),"12/31/2011")</f>
        <v>12/31/2011</v>
      </c>
      <c r="H2940" s="6" t="str">
        <f>IFERROR(__xludf.DUMMYFUNCTION("""COMPUTED_VALUE"""),"Self Identify")</f>
        <v>Self Identify</v>
      </c>
      <c r="I2940" s="6" t="str">
        <f>IFERROR(__xludf.DUMMYFUNCTION("""COMPUTED_VALUE"""),"Middle School")</f>
        <v>Middle School</v>
      </c>
      <c r="J2940" s="6" t="str">
        <f>IFERROR(__xludf.DUMMYFUNCTION("""COMPUTED_VALUE"""),"8")</f>
        <v>8</v>
      </c>
      <c r="K2940" s="6" t="str">
        <f>IFERROR(__xludf.DUMMYFUNCTION("""COMPUTED_VALUE"""),"vinny_billingsley@stu.ortrail.k12.or.us")</f>
        <v>vinny_billingsley@stu.ortrail.k12.or.us</v>
      </c>
      <c r="L2940" s="6" t="str">
        <f>IFERROR(__xludf.DUMMYFUNCTION("""COMPUTED_VALUE"""),"Oregon Trail School District 46")</f>
        <v>Oregon Trail School District 46</v>
      </c>
      <c r="M2940" s="6" t="str">
        <f>IFERROR(__xludf.DUMMYFUNCTION("""COMPUTED_VALUE"""),"Welches Middle School Original Instruction")</f>
        <v>Welches Middle School Original Instruction</v>
      </c>
      <c r="N2940" s="6" t="str">
        <f>IFERROR(__xludf.DUMMYFUNCTION("""COMPUTED_VALUE"""),"")</f>
        <v/>
      </c>
      <c r="O2940" s="87" t="str">
        <f>IFERROR(__xludf.DUMMYFUNCTION("""COMPUTED_VALUE"""),"https://drive.google.com/drive/folders/10T2cTQHqEJZqE-st6uFKPoI?usp=share_link")</f>
        <v>https://drive.google.com/drive/folders/10T2cTQHqEJZqE-st6uFKPoI?usp=share_link</v>
      </c>
      <c r="P2940" s="6" t="str">
        <f>IFERROR(__xludf.DUMMYFUNCTION("""COMPUTED_VALUE"""),"Vincent Billingsley")</f>
        <v>Vincent Billingsley</v>
      </c>
      <c r="Q2940" s="6" t="str">
        <f>IFERROR(__xludf.DUMMYFUNCTION("""COMPUTED_VALUE"""),"MS")</f>
        <v>MS</v>
      </c>
      <c r="R2940" s="6">
        <f>IFERROR(__xludf.DUMMYFUNCTION("""COMPUTED_VALUE"""),0.0)</f>
        <v>0</v>
      </c>
      <c r="S2940" s="6" t="str">
        <f>IFERROR(__xludf.DUMMYFUNCTION("""COMPUTED_VALUE"""),"Genevra Self")</f>
        <v>Genevra Self</v>
      </c>
      <c r="T2940" s="6" t="str">
        <f>IFERROR(__xludf.DUMMYFUNCTION("""COMPUTED_VALUE"""),"genevra.self@studient.com")</f>
        <v>genevra.self@studient.com</v>
      </c>
      <c r="U2940" s="6" t="str">
        <f>IFERROR(__xludf.DUMMYFUNCTION("""COMPUTED_VALUE"""),"8")</f>
        <v>8</v>
      </c>
      <c r="V2940" s="6" t="str">
        <f>IFERROR(__xludf.DUMMYFUNCTION("""COMPUTED_VALUE"""),"English")</f>
        <v>English</v>
      </c>
      <c r="W2940" s="6" t="str">
        <f>IFERROR(__xludf.DUMMYFUNCTION("""COMPUTED_VALUE"""),"[]")</f>
        <v>[]</v>
      </c>
      <c r="X2940" s="6" t="str">
        <f>IFERROR(__xludf.DUMMYFUNCTION("""COMPUTED_VALUE"""),"Enrolled")</f>
        <v>Enrolled</v>
      </c>
    </row>
    <row r="2941">
      <c r="A2941" s="6" t="str">
        <f>IFERROR(__xludf.DUMMYFUNCTION("""COMPUTED_VALUE"""),"064-5178")</f>
        <v>064-5178</v>
      </c>
      <c r="B2941" s="6" t="str">
        <f>IFERROR(__xludf.DUMMYFUNCTION("""COMPUTED_VALUE"""),"64")</f>
        <v>64</v>
      </c>
      <c r="C2941" s="6" t="str">
        <f>IFERROR(__xludf.DUMMYFUNCTION("""COMPUTED_VALUE"""),"5178")</f>
        <v>5178</v>
      </c>
      <c r="D2941" s="6" t="str">
        <f>IFERROR(__xludf.DUMMYFUNCTION("""COMPUTED_VALUE"""),"Brady")</f>
        <v>Brady</v>
      </c>
      <c r="E2941" s="6" t="str">
        <f>IFERROR(__xludf.DUMMYFUNCTION("""COMPUTED_VALUE"""),"")</f>
        <v/>
      </c>
      <c r="F2941" s="6" t="str">
        <f>IFERROR(__xludf.DUMMYFUNCTION("""COMPUTED_VALUE"""),"Caruso")</f>
        <v>Caruso</v>
      </c>
      <c r="G2941" s="6" t="str">
        <f>IFERROR(__xludf.DUMMYFUNCTION("""COMPUTED_VALUE"""),"03/27/2012")</f>
        <v>03/27/2012</v>
      </c>
      <c r="H2941" s="6" t="str">
        <f>IFERROR(__xludf.DUMMYFUNCTION("""COMPUTED_VALUE"""),"Self Identify")</f>
        <v>Self Identify</v>
      </c>
      <c r="I2941" s="6" t="str">
        <f>IFERROR(__xludf.DUMMYFUNCTION("""COMPUTED_VALUE"""),"Middle School")</f>
        <v>Middle School</v>
      </c>
      <c r="J2941" s="6" t="str">
        <f>IFERROR(__xludf.DUMMYFUNCTION("""COMPUTED_VALUE"""),"8")</f>
        <v>8</v>
      </c>
      <c r="K2941" s="6" t="str">
        <f>IFERROR(__xludf.DUMMYFUNCTION("""COMPUTED_VALUE"""),"brady_caruso@stu.ortrail.k12.or.us")</f>
        <v>brady_caruso@stu.ortrail.k12.or.us</v>
      </c>
      <c r="L2941" s="6" t="str">
        <f>IFERROR(__xludf.DUMMYFUNCTION("""COMPUTED_VALUE"""),"Oregon Trail School District 46")</f>
        <v>Oregon Trail School District 46</v>
      </c>
      <c r="M2941" s="6" t="str">
        <f>IFERROR(__xludf.DUMMYFUNCTION("""COMPUTED_VALUE"""),"Welches Middle School")</f>
        <v>Welches Middle School</v>
      </c>
      <c r="N2941" s="6" t="str">
        <f>IFERROR(__xludf.DUMMYFUNCTION("""COMPUTED_VALUE"""),"")</f>
        <v/>
      </c>
      <c r="O2941" s="87" t="str">
        <f>IFERROR(__xludf.DUMMYFUNCTION("""COMPUTED_VALUE"""),"https://drive.google.com/drive/folders/10T2cTQHqEJZqE-st6uFKPoI?usp=share_link")</f>
        <v>https://drive.google.com/drive/folders/10T2cTQHqEJZqE-st6uFKPoI?usp=share_link</v>
      </c>
      <c r="P2941" s="6" t="str">
        <f>IFERROR(__xludf.DUMMYFUNCTION("""COMPUTED_VALUE"""),"Brady Caruso")</f>
        <v>Brady Caruso</v>
      </c>
      <c r="Q2941" s="6" t="str">
        <f>IFERROR(__xludf.DUMMYFUNCTION("""COMPUTED_VALUE"""),"MS")</f>
        <v>MS</v>
      </c>
      <c r="R2941" s="6">
        <f>IFERROR(__xludf.DUMMYFUNCTION("""COMPUTED_VALUE"""),0.0)</f>
        <v>0</v>
      </c>
      <c r="S2941" s="6" t="str">
        <f>IFERROR(__xludf.DUMMYFUNCTION("""COMPUTED_VALUE"""),"Nicole Kellim")</f>
        <v>Nicole Kellim</v>
      </c>
      <c r="T2941" s="6" t="str">
        <f>IFERROR(__xludf.DUMMYFUNCTION("""COMPUTED_VALUE"""),"nicole.kellim@ortrail.k12.or.us")</f>
        <v>nicole.kellim@ortrail.k12.or.us</v>
      </c>
      <c r="U2941" s="6" t="str">
        <f>IFERROR(__xludf.DUMMYFUNCTION("""COMPUTED_VALUE"""),"8")</f>
        <v>8</v>
      </c>
      <c r="V2941" s="6" t="str">
        <f>IFERROR(__xludf.DUMMYFUNCTION("""COMPUTED_VALUE"""),"English")</f>
        <v>English</v>
      </c>
      <c r="W2941" s="6" t="str">
        <f>IFERROR(__xludf.DUMMYFUNCTION("""COMPUTED_VALUE"""),"[]")</f>
        <v>[]</v>
      </c>
      <c r="X2941" s="6" t="str">
        <f>IFERROR(__xludf.DUMMYFUNCTION("""COMPUTED_VALUE"""),"Enrolled")</f>
        <v>Enrolled</v>
      </c>
    </row>
    <row r="2942">
      <c r="A2942" s="6" t="str">
        <f>IFERROR(__xludf.DUMMYFUNCTION("""COMPUTED_VALUE"""),"064-5179")</f>
        <v>064-5179</v>
      </c>
      <c r="B2942" s="6" t="str">
        <f>IFERROR(__xludf.DUMMYFUNCTION("""COMPUTED_VALUE"""),"64")</f>
        <v>64</v>
      </c>
      <c r="C2942" s="6" t="str">
        <f>IFERROR(__xludf.DUMMYFUNCTION("""COMPUTED_VALUE"""),"5179")</f>
        <v>5179</v>
      </c>
      <c r="D2942" s="6" t="str">
        <f>IFERROR(__xludf.DUMMYFUNCTION("""COMPUTED_VALUE"""),"Alexander")</f>
        <v>Alexander</v>
      </c>
      <c r="E2942" s="6" t="str">
        <f>IFERROR(__xludf.DUMMYFUNCTION("""COMPUTED_VALUE"""),"")</f>
        <v/>
      </c>
      <c r="F2942" s="6" t="str">
        <f>IFERROR(__xludf.DUMMYFUNCTION("""COMPUTED_VALUE"""),"Chilton")</f>
        <v>Chilton</v>
      </c>
      <c r="G2942" s="6" t="str">
        <f>IFERROR(__xludf.DUMMYFUNCTION("""COMPUTED_VALUE"""),"04/23/2012")</f>
        <v>04/23/2012</v>
      </c>
      <c r="H2942" s="6" t="str">
        <f>IFERROR(__xludf.DUMMYFUNCTION("""COMPUTED_VALUE"""),"Self Identify")</f>
        <v>Self Identify</v>
      </c>
      <c r="I2942" s="6" t="str">
        <f>IFERROR(__xludf.DUMMYFUNCTION("""COMPUTED_VALUE"""),"Middle School")</f>
        <v>Middle School</v>
      </c>
      <c r="J2942" s="6" t="str">
        <f>IFERROR(__xludf.DUMMYFUNCTION("""COMPUTED_VALUE"""),"8")</f>
        <v>8</v>
      </c>
      <c r="K2942" s="6" t="str">
        <f>IFERROR(__xludf.DUMMYFUNCTION("""COMPUTED_VALUE"""),"alex_chilton@stu.ortrail.k12.or.us")</f>
        <v>alex_chilton@stu.ortrail.k12.or.us</v>
      </c>
      <c r="L2942" s="6" t="str">
        <f>IFERROR(__xludf.DUMMYFUNCTION("""COMPUTED_VALUE"""),"Oregon Trail School District 46")</f>
        <v>Oregon Trail School District 46</v>
      </c>
      <c r="M2942" s="6" t="str">
        <f>IFERROR(__xludf.DUMMYFUNCTION("""COMPUTED_VALUE"""),"Welches Middle School Original Instruction")</f>
        <v>Welches Middle School Original Instruction</v>
      </c>
      <c r="N2942" s="6" t="str">
        <f>IFERROR(__xludf.DUMMYFUNCTION("""COMPUTED_VALUE"""),"")</f>
        <v/>
      </c>
      <c r="O2942" s="87" t="str">
        <f>IFERROR(__xludf.DUMMYFUNCTION("""COMPUTED_VALUE"""),"https://drive.google.com/drive/folders/10T2cTQHqEJZqE-st6uFKPoI?usp=share_link")</f>
        <v>https://drive.google.com/drive/folders/10T2cTQHqEJZqE-st6uFKPoI?usp=share_link</v>
      </c>
      <c r="P2942" s="6" t="str">
        <f>IFERROR(__xludf.DUMMYFUNCTION("""COMPUTED_VALUE"""),"Alexander Chilton")</f>
        <v>Alexander Chilton</v>
      </c>
      <c r="Q2942" s="6" t="str">
        <f>IFERROR(__xludf.DUMMYFUNCTION("""COMPUTED_VALUE"""),"MS")</f>
        <v>MS</v>
      </c>
      <c r="R2942" s="6">
        <f>IFERROR(__xludf.DUMMYFUNCTION("""COMPUTED_VALUE"""),0.0)</f>
        <v>0</v>
      </c>
      <c r="S2942" s="6" t="str">
        <f>IFERROR(__xludf.DUMMYFUNCTION("""COMPUTED_VALUE"""),"Genevra Self")</f>
        <v>Genevra Self</v>
      </c>
      <c r="T2942" s="6" t="str">
        <f>IFERROR(__xludf.DUMMYFUNCTION("""COMPUTED_VALUE"""),"genevra.self@studient.com")</f>
        <v>genevra.self@studient.com</v>
      </c>
      <c r="U2942" s="6" t="str">
        <f>IFERROR(__xludf.DUMMYFUNCTION("""COMPUTED_VALUE"""),"8")</f>
        <v>8</v>
      </c>
      <c r="V2942" s="6" t="str">
        <f>IFERROR(__xludf.DUMMYFUNCTION("""COMPUTED_VALUE"""),"English")</f>
        <v>English</v>
      </c>
      <c r="W2942" s="6" t="str">
        <f>IFERROR(__xludf.DUMMYFUNCTION("""COMPUTED_VALUE"""),"[]")</f>
        <v>[]</v>
      </c>
      <c r="X2942" s="6" t="str">
        <f>IFERROR(__xludf.DUMMYFUNCTION("""COMPUTED_VALUE"""),"Enrolled")</f>
        <v>Enrolled</v>
      </c>
    </row>
    <row r="2943">
      <c r="A2943" s="6" t="str">
        <f>IFERROR(__xludf.DUMMYFUNCTION("""COMPUTED_VALUE"""),"064-5180")</f>
        <v>064-5180</v>
      </c>
      <c r="B2943" s="6" t="str">
        <f>IFERROR(__xludf.DUMMYFUNCTION("""COMPUTED_VALUE"""),"64")</f>
        <v>64</v>
      </c>
      <c r="C2943" s="6" t="str">
        <f>IFERROR(__xludf.DUMMYFUNCTION("""COMPUTED_VALUE"""),"5180")</f>
        <v>5180</v>
      </c>
      <c r="D2943" s="6" t="str">
        <f>IFERROR(__xludf.DUMMYFUNCTION("""COMPUTED_VALUE"""),"Oscar")</f>
        <v>Oscar</v>
      </c>
      <c r="E2943" s="6" t="str">
        <f>IFERROR(__xludf.DUMMYFUNCTION("""COMPUTED_VALUE"""),"")</f>
        <v/>
      </c>
      <c r="F2943" s="6" t="str">
        <f>IFERROR(__xludf.DUMMYFUNCTION("""COMPUTED_VALUE"""),"Cruz Ventura")</f>
        <v>Cruz Ventura</v>
      </c>
      <c r="G2943" s="6" t="str">
        <f>IFERROR(__xludf.DUMMYFUNCTION("""COMPUTED_VALUE"""),"01/28/2012")</f>
        <v>01/28/2012</v>
      </c>
      <c r="H2943" s="6" t="str">
        <f>IFERROR(__xludf.DUMMYFUNCTION("""COMPUTED_VALUE"""),"Self Identify")</f>
        <v>Self Identify</v>
      </c>
      <c r="I2943" s="6" t="str">
        <f>IFERROR(__xludf.DUMMYFUNCTION("""COMPUTED_VALUE"""),"Middle School")</f>
        <v>Middle School</v>
      </c>
      <c r="J2943" s="6" t="str">
        <f>IFERROR(__xludf.DUMMYFUNCTION("""COMPUTED_VALUE"""),"8")</f>
        <v>8</v>
      </c>
      <c r="K2943" s="6" t="str">
        <f>IFERROR(__xludf.DUMMYFUNCTION("""COMPUTED_VALUE"""),"oscar_cruzventura@stu.ortrail.k12.or.us")</f>
        <v>oscar_cruzventura@stu.ortrail.k12.or.us</v>
      </c>
      <c r="L2943" s="6" t="str">
        <f>IFERROR(__xludf.DUMMYFUNCTION("""COMPUTED_VALUE"""),"Oregon Trail School District 46")</f>
        <v>Oregon Trail School District 46</v>
      </c>
      <c r="M2943" s="6" t="str">
        <f>IFERROR(__xludf.DUMMYFUNCTION("""COMPUTED_VALUE"""),"Welches Middle School Original Instruction")</f>
        <v>Welches Middle School Original Instruction</v>
      </c>
      <c r="N2943" s="6" t="str">
        <f>IFERROR(__xludf.DUMMYFUNCTION("""COMPUTED_VALUE"""),"")</f>
        <v/>
      </c>
      <c r="O2943" s="87" t="str">
        <f>IFERROR(__xludf.DUMMYFUNCTION("""COMPUTED_VALUE"""),"https://drive.google.com/drive/folders/10T2cTQHqEJZqE-st6uFKPoI?usp=share_link")</f>
        <v>https://drive.google.com/drive/folders/10T2cTQHqEJZqE-st6uFKPoI?usp=share_link</v>
      </c>
      <c r="P2943" s="6" t="str">
        <f>IFERROR(__xludf.DUMMYFUNCTION("""COMPUTED_VALUE"""),"Oscar Cruz Ventura")</f>
        <v>Oscar Cruz Ventura</v>
      </c>
      <c r="Q2943" s="6" t="str">
        <f>IFERROR(__xludf.DUMMYFUNCTION("""COMPUTED_VALUE"""),"MS")</f>
        <v>MS</v>
      </c>
      <c r="R2943" s="6">
        <f>IFERROR(__xludf.DUMMYFUNCTION("""COMPUTED_VALUE"""),0.0)</f>
        <v>0</v>
      </c>
      <c r="S2943" s="6" t="str">
        <f>IFERROR(__xludf.DUMMYFUNCTION("""COMPUTED_VALUE"""),"Genevra Self")</f>
        <v>Genevra Self</v>
      </c>
      <c r="T2943" s="6" t="str">
        <f>IFERROR(__xludf.DUMMYFUNCTION("""COMPUTED_VALUE"""),"genevra.self@studient.com")</f>
        <v>genevra.self@studient.com</v>
      </c>
      <c r="U2943" s="6" t="str">
        <f>IFERROR(__xludf.DUMMYFUNCTION("""COMPUTED_VALUE"""),"8")</f>
        <v>8</v>
      </c>
      <c r="V2943" s="6" t="str">
        <f>IFERROR(__xludf.DUMMYFUNCTION("""COMPUTED_VALUE"""),"English")</f>
        <v>English</v>
      </c>
      <c r="W2943" s="6" t="str">
        <f>IFERROR(__xludf.DUMMYFUNCTION("""COMPUTED_VALUE"""),"[]")</f>
        <v>[]</v>
      </c>
      <c r="X2943" s="6" t="str">
        <f>IFERROR(__xludf.DUMMYFUNCTION("""COMPUTED_VALUE"""),"Enrolled")</f>
        <v>Enrolled</v>
      </c>
    </row>
    <row r="2944">
      <c r="A2944" s="6" t="str">
        <f>IFERROR(__xludf.DUMMYFUNCTION("""COMPUTED_VALUE"""),"064-5181")</f>
        <v>064-5181</v>
      </c>
      <c r="B2944" s="6" t="str">
        <f>IFERROR(__xludf.DUMMYFUNCTION("""COMPUTED_VALUE"""),"64")</f>
        <v>64</v>
      </c>
      <c r="C2944" s="6" t="str">
        <f>IFERROR(__xludf.DUMMYFUNCTION("""COMPUTED_VALUE"""),"5181")</f>
        <v>5181</v>
      </c>
      <c r="D2944" s="6" t="str">
        <f>IFERROR(__xludf.DUMMYFUNCTION("""COMPUTED_VALUE"""),"Jacque")</f>
        <v>Jacque</v>
      </c>
      <c r="E2944" s="6" t="str">
        <f>IFERROR(__xludf.DUMMYFUNCTION("""COMPUTED_VALUE"""),"")</f>
        <v/>
      </c>
      <c r="F2944" s="6" t="str">
        <f>IFERROR(__xludf.DUMMYFUNCTION("""COMPUTED_VALUE"""),"Day")</f>
        <v>Day</v>
      </c>
      <c r="G2944" s="6" t="str">
        <f>IFERROR(__xludf.DUMMYFUNCTION("""COMPUTED_VALUE"""),"03/20/2011")</f>
        <v>03/20/2011</v>
      </c>
      <c r="H2944" s="6" t="str">
        <f>IFERROR(__xludf.DUMMYFUNCTION("""COMPUTED_VALUE"""),"Self Identify")</f>
        <v>Self Identify</v>
      </c>
      <c r="I2944" s="6" t="str">
        <f>IFERROR(__xludf.DUMMYFUNCTION("""COMPUTED_VALUE"""),"Middle School")</f>
        <v>Middle School</v>
      </c>
      <c r="J2944" s="6" t="str">
        <f>IFERROR(__xludf.DUMMYFUNCTION("""COMPUTED_VALUE"""),"8")</f>
        <v>8</v>
      </c>
      <c r="K2944" s="6" t="str">
        <f>IFERROR(__xludf.DUMMYFUNCTION("""COMPUTED_VALUE"""),"jacque_day@stu.ortrail.k12.or.us")</f>
        <v>jacque_day@stu.ortrail.k12.or.us</v>
      </c>
      <c r="L2944" s="6" t="str">
        <f>IFERROR(__xludf.DUMMYFUNCTION("""COMPUTED_VALUE"""),"Oregon Trail School District 46")</f>
        <v>Oregon Trail School District 46</v>
      </c>
      <c r="M2944" s="6" t="str">
        <f>IFERROR(__xludf.DUMMYFUNCTION("""COMPUTED_VALUE"""),"Welches Middle School")</f>
        <v>Welches Middle School</v>
      </c>
      <c r="N2944" s="6" t="str">
        <f>IFERROR(__xludf.DUMMYFUNCTION("""COMPUTED_VALUE"""),"")</f>
        <v/>
      </c>
      <c r="O2944" s="87" t="str">
        <f>IFERROR(__xludf.DUMMYFUNCTION("""COMPUTED_VALUE"""),"https://drive.google.com/drive/folders/10T2cTQHqEJZqE-st6uFKPoI?usp=share_link")</f>
        <v>https://drive.google.com/drive/folders/10T2cTQHqEJZqE-st6uFKPoI?usp=share_link</v>
      </c>
      <c r="P2944" s="6" t="str">
        <f>IFERROR(__xludf.DUMMYFUNCTION("""COMPUTED_VALUE"""),"Jacque Day")</f>
        <v>Jacque Day</v>
      </c>
      <c r="Q2944" s="6" t="str">
        <f>IFERROR(__xludf.DUMMYFUNCTION("""COMPUTED_VALUE"""),"MS")</f>
        <v>MS</v>
      </c>
      <c r="R2944" s="6">
        <f>IFERROR(__xludf.DUMMYFUNCTION("""COMPUTED_VALUE"""),0.0)</f>
        <v>0</v>
      </c>
      <c r="S2944" s="6" t="str">
        <f>IFERROR(__xludf.DUMMYFUNCTION("""COMPUTED_VALUE"""),"Nicole Kellim")</f>
        <v>Nicole Kellim</v>
      </c>
      <c r="T2944" s="6" t="str">
        <f>IFERROR(__xludf.DUMMYFUNCTION("""COMPUTED_VALUE"""),"nicole.kellim@ortrail.k12.or.us")</f>
        <v>nicole.kellim@ortrail.k12.or.us</v>
      </c>
      <c r="U2944" s="6" t="str">
        <f>IFERROR(__xludf.DUMMYFUNCTION("""COMPUTED_VALUE"""),"8")</f>
        <v>8</v>
      </c>
      <c r="V2944" s="6" t="str">
        <f>IFERROR(__xludf.DUMMYFUNCTION("""COMPUTED_VALUE"""),"English")</f>
        <v>English</v>
      </c>
      <c r="W2944" s="6" t="str">
        <f>IFERROR(__xludf.DUMMYFUNCTION("""COMPUTED_VALUE"""),"[]")</f>
        <v>[]</v>
      </c>
      <c r="X2944" s="6" t="str">
        <f>IFERROR(__xludf.DUMMYFUNCTION("""COMPUTED_VALUE"""),"Enrolled")</f>
        <v>Enrolled</v>
      </c>
    </row>
    <row r="2945">
      <c r="A2945" s="6" t="str">
        <f>IFERROR(__xludf.DUMMYFUNCTION("""COMPUTED_VALUE"""),"064-5182")</f>
        <v>064-5182</v>
      </c>
      <c r="B2945" s="6" t="str">
        <f>IFERROR(__xludf.DUMMYFUNCTION("""COMPUTED_VALUE"""),"64")</f>
        <v>64</v>
      </c>
      <c r="C2945" s="6" t="str">
        <f>IFERROR(__xludf.DUMMYFUNCTION("""COMPUTED_VALUE"""),"5182")</f>
        <v>5182</v>
      </c>
      <c r="D2945" s="6" t="str">
        <f>IFERROR(__xludf.DUMMYFUNCTION("""COMPUTED_VALUE"""),"Rayne")</f>
        <v>Rayne</v>
      </c>
      <c r="E2945" s="6" t="str">
        <f>IFERROR(__xludf.DUMMYFUNCTION("""COMPUTED_VALUE"""),"")</f>
        <v/>
      </c>
      <c r="F2945" s="6" t="str">
        <f>IFERROR(__xludf.DUMMYFUNCTION("""COMPUTED_VALUE"""),"Day")</f>
        <v>Day</v>
      </c>
      <c r="G2945" s="6" t="str">
        <f>IFERROR(__xludf.DUMMYFUNCTION("""COMPUTED_VALUE"""),"03/20/2011")</f>
        <v>03/20/2011</v>
      </c>
      <c r="H2945" s="6" t="str">
        <f>IFERROR(__xludf.DUMMYFUNCTION("""COMPUTED_VALUE"""),"Self Identify")</f>
        <v>Self Identify</v>
      </c>
      <c r="I2945" s="6" t="str">
        <f>IFERROR(__xludf.DUMMYFUNCTION("""COMPUTED_VALUE"""),"Middle School")</f>
        <v>Middle School</v>
      </c>
      <c r="J2945" s="6" t="str">
        <f>IFERROR(__xludf.DUMMYFUNCTION("""COMPUTED_VALUE"""),"8")</f>
        <v>8</v>
      </c>
      <c r="K2945" s="6" t="str">
        <f>IFERROR(__xludf.DUMMYFUNCTION("""COMPUTED_VALUE"""),"rayne_day@stu.ortrail.k12.or.us")</f>
        <v>rayne_day@stu.ortrail.k12.or.us</v>
      </c>
      <c r="L2945" s="6" t="str">
        <f>IFERROR(__xludf.DUMMYFUNCTION("""COMPUTED_VALUE"""),"Oregon Trail School District 46")</f>
        <v>Oregon Trail School District 46</v>
      </c>
      <c r="M2945" s="6" t="str">
        <f>IFERROR(__xludf.DUMMYFUNCTION("""COMPUTED_VALUE"""),"Welches Middle School")</f>
        <v>Welches Middle School</v>
      </c>
      <c r="N2945" s="6" t="str">
        <f>IFERROR(__xludf.DUMMYFUNCTION("""COMPUTED_VALUE"""),"")</f>
        <v/>
      </c>
      <c r="O2945" s="87" t="str">
        <f>IFERROR(__xludf.DUMMYFUNCTION("""COMPUTED_VALUE"""),"https://drive.google.com/drive/folders/10T2cTQHqEJZqE-st6uFKPoI?usp=share_link")</f>
        <v>https://drive.google.com/drive/folders/10T2cTQHqEJZqE-st6uFKPoI?usp=share_link</v>
      </c>
      <c r="P2945" s="6" t="str">
        <f>IFERROR(__xludf.DUMMYFUNCTION("""COMPUTED_VALUE"""),"Rayne Day")</f>
        <v>Rayne Day</v>
      </c>
      <c r="Q2945" s="6" t="str">
        <f>IFERROR(__xludf.DUMMYFUNCTION("""COMPUTED_VALUE"""),"MS")</f>
        <v>MS</v>
      </c>
      <c r="R2945" s="6">
        <f>IFERROR(__xludf.DUMMYFUNCTION("""COMPUTED_VALUE"""),0.0)</f>
        <v>0</v>
      </c>
      <c r="S2945" s="6" t="str">
        <f>IFERROR(__xludf.DUMMYFUNCTION("""COMPUTED_VALUE"""),"Nicole Kellim")</f>
        <v>Nicole Kellim</v>
      </c>
      <c r="T2945" s="6" t="str">
        <f>IFERROR(__xludf.DUMMYFUNCTION("""COMPUTED_VALUE"""),"nicole.kellim@ortrail.k12.or.us")</f>
        <v>nicole.kellim@ortrail.k12.or.us</v>
      </c>
      <c r="U2945" s="6" t="str">
        <f>IFERROR(__xludf.DUMMYFUNCTION("""COMPUTED_VALUE"""),"8")</f>
        <v>8</v>
      </c>
      <c r="V2945" s="6" t="str">
        <f>IFERROR(__xludf.DUMMYFUNCTION("""COMPUTED_VALUE"""),"English")</f>
        <v>English</v>
      </c>
      <c r="W2945" s="6" t="str">
        <f>IFERROR(__xludf.DUMMYFUNCTION("""COMPUTED_VALUE"""),"[]")</f>
        <v>[]</v>
      </c>
      <c r="X2945" s="6" t="str">
        <f>IFERROR(__xludf.DUMMYFUNCTION("""COMPUTED_VALUE"""),"Enrolled")</f>
        <v>Enrolled</v>
      </c>
    </row>
    <row r="2946">
      <c r="A2946" s="6" t="str">
        <f>IFERROR(__xludf.DUMMYFUNCTION("""COMPUTED_VALUE"""),"064-5183")</f>
        <v>064-5183</v>
      </c>
      <c r="B2946" s="6" t="str">
        <f>IFERROR(__xludf.DUMMYFUNCTION("""COMPUTED_VALUE"""),"64")</f>
        <v>64</v>
      </c>
      <c r="C2946" s="6" t="str">
        <f>IFERROR(__xludf.DUMMYFUNCTION("""COMPUTED_VALUE"""),"5183")</f>
        <v>5183</v>
      </c>
      <c r="D2946" s="6" t="str">
        <f>IFERROR(__xludf.DUMMYFUNCTION("""COMPUTED_VALUE"""),"Wiley")</f>
        <v>Wiley</v>
      </c>
      <c r="E2946" s="6" t="str">
        <f>IFERROR(__xludf.DUMMYFUNCTION("""COMPUTED_VALUE"""),"")</f>
        <v/>
      </c>
      <c r="F2946" s="6" t="str">
        <f>IFERROR(__xludf.DUMMYFUNCTION("""COMPUTED_VALUE"""),"DePauw")</f>
        <v>DePauw</v>
      </c>
      <c r="G2946" s="6" t="str">
        <f>IFERROR(__xludf.DUMMYFUNCTION("""COMPUTED_VALUE"""),"11/08/2011")</f>
        <v>11/08/2011</v>
      </c>
      <c r="H2946" s="6" t="str">
        <f>IFERROR(__xludf.DUMMYFUNCTION("""COMPUTED_VALUE"""),"Self Identify")</f>
        <v>Self Identify</v>
      </c>
      <c r="I2946" s="6" t="str">
        <f>IFERROR(__xludf.DUMMYFUNCTION("""COMPUTED_VALUE"""),"Middle School")</f>
        <v>Middle School</v>
      </c>
      <c r="J2946" s="6" t="str">
        <f>IFERROR(__xludf.DUMMYFUNCTION("""COMPUTED_VALUE"""),"8")</f>
        <v>8</v>
      </c>
      <c r="K2946" s="6" t="str">
        <f>IFERROR(__xludf.DUMMYFUNCTION("""COMPUTED_VALUE"""),"wiley_depauw@stu.ortrail.k12.or.us")</f>
        <v>wiley_depauw@stu.ortrail.k12.or.us</v>
      </c>
      <c r="L2946" s="6" t="str">
        <f>IFERROR(__xludf.DUMMYFUNCTION("""COMPUTED_VALUE"""),"Oregon Trail School District 46")</f>
        <v>Oregon Trail School District 46</v>
      </c>
      <c r="M2946" s="6" t="str">
        <f>IFERROR(__xludf.DUMMYFUNCTION("""COMPUTED_VALUE"""),"Welches Middle School")</f>
        <v>Welches Middle School</v>
      </c>
      <c r="N2946" s="6" t="str">
        <f>IFERROR(__xludf.DUMMYFUNCTION("""COMPUTED_VALUE"""),"")</f>
        <v/>
      </c>
      <c r="O2946" s="87" t="str">
        <f>IFERROR(__xludf.DUMMYFUNCTION("""COMPUTED_VALUE"""),"https://drive.google.com/drive/folders/10T2cTQHqEJZqE-st6uFKPoI?usp=share_link")</f>
        <v>https://drive.google.com/drive/folders/10T2cTQHqEJZqE-st6uFKPoI?usp=share_link</v>
      </c>
      <c r="P2946" s="6" t="str">
        <f>IFERROR(__xludf.DUMMYFUNCTION("""COMPUTED_VALUE"""),"Wiley DePauw")</f>
        <v>Wiley DePauw</v>
      </c>
      <c r="Q2946" s="6" t="str">
        <f>IFERROR(__xludf.DUMMYFUNCTION("""COMPUTED_VALUE"""),"MS")</f>
        <v>MS</v>
      </c>
      <c r="R2946" s="6">
        <f>IFERROR(__xludf.DUMMYFUNCTION("""COMPUTED_VALUE"""),0.0)</f>
        <v>0</v>
      </c>
      <c r="S2946" s="6" t="str">
        <f>IFERROR(__xludf.DUMMYFUNCTION("""COMPUTED_VALUE"""),"Nicole Kellim")</f>
        <v>Nicole Kellim</v>
      </c>
      <c r="T2946" s="6" t="str">
        <f>IFERROR(__xludf.DUMMYFUNCTION("""COMPUTED_VALUE"""),"nicole.kellim@ortrail.k12.or.us")</f>
        <v>nicole.kellim@ortrail.k12.or.us</v>
      </c>
      <c r="U2946" s="6" t="str">
        <f>IFERROR(__xludf.DUMMYFUNCTION("""COMPUTED_VALUE"""),"8")</f>
        <v>8</v>
      </c>
      <c r="V2946" s="6" t="str">
        <f>IFERROR(__xludf.DUMMYFUNCTION("""COMPUTED_VALUE"""),"English")</f>
        <v>English</v>
      </c>
      <c r="W2946" s="6" t="str">
        <f>IFERROR(__xludf.DUMMYFUNCTION("""COMPUTED_VALUE"""),"[]")</f>
        <v>[]</v>
      </c>
      <c r="X2946" s="6" t="str">
        <f>IFERROR(__xludf.DUMMYFUNCTION("""COMPUTED_VALUE"""),"Enrolled")</f>
        <v>Enrolled</v>
      </c>
    </row>
    <row r="2947">
      <c r="A2947" s="6" t="str">
        <f>IFERROR(__xludf.DUMMYFUNCTION("""COMPUTED_VALUE"""),"064-5184")</f>
        <v>064-5184</v>
      </c>
      <c r="B2947" s="6" t="str">
        <f>IFERROR(__xludf.DUMMYFUNCTION("""COMPUTED_VALUE"""),"64")</f>
        <v>64</v>
      </c>
      <c r="C2947" s="6" t="str">
        <f>IFERROR(__xludf.DUMMYFUNCTION("""COMPUTED_VALUE"""),"5184")</f>
        <v>5184</v>
      </c>
      <c r="D2947" s="6" t="str">
        <f>IFERROR(__xludf.DUMMYFUNCTION("""COMPUTED_VALUE"""),"Levi")</f>
        <v>Levi</v>
      </c>
      <c r="E2947" s="6" t="str">
        <f>IFERROR(__xludf.DUMMYFUNCTION("""COMPUTED_VALUE"""),"")</f>
        <v/>
      </c>
      <c r="F2947" s="6" t="str">
        <f>IFERROR(__xludf.DUMMYFUNCTION("""COMPUTED_VALUE"""),"Evans")</f>
        <v>Evans</v>
      </c>
      <c r="G2947" s="6" t="str">
        <f>IFERROR(__xludf.DUMMYFUNCTION("""COMPUTED_VALUE"""),"05/10/2012")</f>
        <v>05/10/2012</v>
      </c>
      <c r="H2947" s="6" t="str">
        <f>IFERROR(__xludf.DUMMYFUNCTION("""COMPUTED_VALUE"""),"Self Identify")</f>
        <v>Self Identify</v>
      </c>
      <c r="I2947" s="6" t="str">
        <f>IFERROR(__xludf.DUMMYFUNCTION("""COMPUTED_VALUE"""),"Middle School")</f>
        <v>Middle School</v>
      </c>
      <c r="J2947" s="6" t="str">
        <f>IFERROR(__xludf.DUMMYFUNCTION("""COMPUTED_VALUE"""),"8")</f>
        <v>8</v>
      </c>
      <c r="K2947" s="6" t="str">
        <f>IFERROR(__xludf.DUMMYFUNCTION("""COMPUTED_VALUE"""),"levi_evans@stu.ortrail.k12.or.us")</f>
        <v>levi_evans@stu.ortrail.k12.or.us</v>
      </c>
      <c r="L2947" s="6" t="str">
        <f>IFERROR(__xludf.DUMMYFUNCTION("""COMPUTED_VALUE"""),"Oregon Trail School District 46")</f>
        <v>Oregon Trail School District 46</v>
      </c>
      <c r="M2947" s="6" t="str">
        <f>IFERROR(__xludf.DUMMYFUNCTION("""COMPUTED_VALUE"""),"Welches Middle School Original Instruction")</f>
        <v>Welches Middle School Original Instruction</v>
      </c>
      <c r="N2947" s="6" t="str">
        <f>IFERROR(__xludf.DUMMYFUNCTION("""COMPUTED_VALUE"""),"")</f>
        <v/>
      </c>
      <c r="O2947" s="87" t="str">
        <f>IFERROR(__xludf.DUMMYFUNCTION("""COMPUTED_VALUE"""),"https://drive.google.com/drive/folders/10T2cTQHqEJZqE-st6uFKPoI?usp=share_link")</f>
        <v>https://drive.google.com/drive/folders/10T2cTQHqEJZqE-st6uFKPoI?usp=share_link</v>
      </c>
      <c r="P2947" s="6" t="str">
        <f>IFERROR(__xludf.DUMMYFUNCTION("""COMPUTED_VALUE"""),"Levi Evans")</f>
        <v>Levi Evans</v>
      </c>
      <c r="Q2947" s="6" t="str">
        <f>IFERROR(__xludf.DUMMYFUNCTION("""COMPUTED_VALUE"""),"MS")</f>
        <v>MS</v>
      </c>
      <c r="R2947" s="6">
        <f>IFERROR(__xludf.DUMMYFUNCTION("""COMPUTED_VALUE"""),0.0)</f>
        <v>0</v>
      </c>
      <c r="S2947" s="6" t="str">
        <f>IFERROR(__xludf.DUMMYFUNCTION("""COMPUTED_VALUE"""),"Genevra Self")</f>
        <v>Genevra Self</v>
      </c>
      <c r="T2947" s="6" t="str">
        <f>IFERROR(__xludf.DUMMYFUNCTION("""COMPUTED_VALUE"""),"genevra.self@studient.com")</f>
        <v>genevra.self@studient.com</v>
      </c>
      <c r="U2947" s="6" t="str">
        <f>IFERROR(__xludf.DUMMYFUNCTION("""COMPUTED_VALUE"""),"8")</f>
        <v>8</v>
      </c>
      <c r="V2947" s="6" t="str">
        <f>IFERROR(__xludf.DUMMYFUNCTION("""COMPUTED_VALUE"""),"English")</f>
        <v>English</v>
      </c>
      <c r="W2947" s="6" t="str">
        <f>IFERROR(__xludf.DUMMYFUNCTION("""COMPUTED_VALUE"""),"[]")</f>
        <v>[]</v>
      </c>
      <c r="X2947" s="6" t="str">
        <f>IFERROR(__xludf.DUMMYFUNCTION("""COMPUTED_VALUE"""),"Enrolled")</f>
        <v>Enrolled</v>
      </c>
    </row>
    <row r="2948">
      <c r="A2948" s="6" t="str">
        <f>IFERROR(__xludf.DUMMYFUNCTION("""COMPUTED_VALUE"""),"064-5185")</f>
        <v>064-5185</v>
      </c>
      <c r="B2948" s="6" t="str">
        <f>IFERROR(__xludf.DUMMYFUNCTION("""COMPUTED_VALUE"""),"64")</f>
        <v>64</v>
      </c>
      <c r="C2948" s="6" t="str">
        <f>IFERROR(__xludf.DUMMYFUNCTION("""COMPUTED_VALUE"""),"5185")</f>
        <v>5185</v>
      </c>
      <c r="D2948" s="6" t="str">
        <f>IFERROR(__xludf.DUMMYFUNCTION("""COMPUTED_VALUE"""),"Ruby")</f>
        <v>Ruby</v>
      </c>
      <c r="E2948" s="6" t="str">
        <f>IFERROR(__xludf.DUMMYFUNCTION("""COMPUTED_VALUE"""),"")</f>
        <v/>
      </c>
      <c r="F2948" s="6" t="str">
        <f>IFERROR(__xludf.DUMMYFUNCTION("""COMPUTED_VALUE"""),"Garmon")</f>
        <v>Garmon</v>
      </c>
      <c r="G2948" s="6" t="str">
        <f>IFERROR(__xludf.DUMMYFUNCTION("""COMPUTED_VALUE"""),"04/25/2012")</f>
        <v>04/25/2012</v>
      </c>
      <c r="H2948" s="6" t="str">
        <f>IFERROR(__xludf.DUMMYFUNCTION("""COMPUTED_VALUE"""),"Self Identify")</f>
        <v>Self Identify</v>
      </c>
      <c r="I2948" s="6" t="str">
        <f>IFERROR(__xludf.DUMMYFUNCTION("""COMPUTED_VALUE"""),"Middle School")</f>
        <v>Middle School</v>
      </c>
      <c r="J2948" s="6" t="str">
        <f>IFERROR(__xludf.DUMMYFUNCTION("""COMPUTED_VALUE"""),"8")</f>
        <v>8</v>
      </c>
      <c r="K2948" s="6" t="str">
        <f>IFERROR(__xludf.DUMMYFUNCTION("""COMPUTED_VALUE"""),"ruby_garmon@stu.ortrail.k12.or.us")</f>
        <v>ruby_garmon@stu.ortrail.k12.or.us</v>
      </c>
      <c r="L2948" s="6" t="str">
        <f>IFERROR(__xludf.DUMMYFUNCTION("""COMPUTED_VALUE"""),"Oregon Trail School District 46")</f>
        <v>Oregon Trail School District 46</v>
      </c>
      <c r="M2948" s="6" t="str">
        <f>IFERROR(__xludf.DUMMYFUNCTION("""COMPUTED_VALUE"""),"Welches Middle School Original Instruction")</f>
        <v>Welches Middle School Original Instruction</v>
      </c>
      <c r="N2948" s="6" t="str">
        <f>IFERROR(__xludf.DUMMYFUNCTION("""COMPUTED_VALUE"""),"")</f>
        <v/>
      </c>
      <c r="O2948" s="87" t="str">
        <f>IFERROR(__xludf.DUMMYFUNCTION("""COMPUTED_VALUE"""),"https://drive.google.com/drive/folders/10T2cTQHqEJZqE-st6uFKPoI?usp=share_link")</f>
        <v>https://drive.google.com/drive/folders/10T2cTQHqEJZqE-st6uFKPoI?usp=share_link</v>
      </c>
      <c r="P2948" s="6" t="str">
        <f>IFERROR(__xludf.DUMMYFUNCTION("""COMPUTED_VALUE"""),"Ruby Garmon")</f>
        <v>Ruby Garmon</v>
      </c>
      <c r="Q2948" s="6" t="str">
        <f>IFERROR(__xludf.DUMMYFUNCTION("""COMPUTED_VALUE"""),"MS")</f>
        <v>MS</v>
      </c>
      <c r="R2948" s="6">
        <f>IFERROR(__xludf.DUMMYFUNCTION("""COMPUTED_VALUE"""),0.0)</f>
        <v>0</v>
      </c>
      <c r="S2948" s="6" t="str">
        <f>IFERROR(__xludf.DUMMYFUNCTION("""COMPUTED_VALUE"""),"Genevra Self")</f>
        <v>Genevra Self</v>
      </c>
      <c r="T2948" s="6" t="str">
        <f>IFERROR(__xludf.DUMMYFUNCTION("""COMPUTED_VALUE"""),"genevra.self@studient.com")</f>
        <v>genevra.self@studient.com</v>
      </c>
      <c r="U2948" s="6" t="str">
        <f>IFERROR(__xludf.DUMMYFUNCTION("""COMPUTED_VALUE"""),"8")</f>
        <v>8</v>
      </c>
      <c r="V2948" s="6" t="str">
        <f>IFERROR(__xludf.DUMMYFUNCTION("""COMPUTED_VALUE"""),"English")</f>
        <v>English</v>
      </c>
      <c r="W2948" s="6" t="str">
        <f>IFERROR(__xludf.DUMMYFUNCTION("""COMPUTED_VALUE"""),"[]")</f>
        <v>[]</v>
      </c>
      <c r="X2948" s="6" t="str">
        <f>IFERROR(__xludf.DUMMYFUNCTION("""COMPUTED_VALUE"""),"Enrolled")</f>
        <v>Enrolled</v>
      </c>
    </row>
    <row r="2949">
      <c r="A2949" s="6" t="str">
        <f>IFERROR(__xludf.DUMMYFUNCTION("""COMPUTED_VALUE"""),"064-5186")</f>
        <v>064-5186</v>
      </c>
      <c r="B2949" s="6" t="str">
        <f>IFERROR(__xludf.DUMMYFUNCTION("""COMPUTED_VALUE"""),"64")</f>
        <v>64</v>
      </c>
      <c r="C2949" s="6" t="str">
        <f>IFERROR(__xludf.DUMMYFUNCTION("""COMPUTED_VALUE"""),"5186")</f>
        <v>5186</v>
      </c>
      <c r="D2949" s="6" t="str">
        <f>IFERROR(__xludf.DUMMYFUNCTION("""COMPUTED_VALUE"""),"Peyton")</f>
        <v>Peyton</v>
      </c>
      <c r="E2949" s="6" t="str">
        <f>IFERROR(__xludf.DUMMYFUNCTION("""COMPUTED_VALUE"""),"")</f>
        <v/>
      </c>
      <c r="F2949" s="6" t="str">
        <f>IFERROR(__xludf.DUMMYFUNCTION("""COMPUTED_VALUE"""),"Haggard")</f>
        <v>Haggard</v>
      </c>
      <c r="G2949" s="6" t="str">
        <f>IFERROR(__xludf.DUMMYFUNCTION("""COMPUTED_VALUE"""),"09/16/2011")</f>
        <v>09/16/2011</v>
      </c>
      <c r="H2949" s="6" t="str">
        <f>IFERROR(__xludf.DUMMYFUNCTION("""COMPUTED_VALUE"""),"Self Identify")</f>
        <v>Self Identify</v>
      </c>
      <c r="I2949" s="6" t="str">
        <f>IFERROR(__xludf.DUMMYFUNCTION("""COMPUTED_VALUE"""),"Middle School")</f>
        <v>Middle School</v>
      </c>
      <c r="J2949" s="6" t="str">
        <f>IFERROR(__xludf.DUMMYFUNCTION("""COMPUTED_VALUE"""),"8")</f>
        <v>8</v>
      </c>
      <c r="K2949" s="6" t="str">
        <f>IFERROR(__xludf.DUMMYFUNCTION("""COMPUTED_VALUE"""),"peyton_haggard@stu.ortrail.k12.or.us")</f>
        <v>peyton_haggard@stu.ortrail.k12.or.us</v>
      </c>
      <c r="L2949" s="6" t="str">
        <f>IFERROR(__xludf.DUMMYFUNCTION("""COMPUTED_VALUE"""),"Oregon Trail School District 46")</f>
        <v>Oregon Trail School District 46</v>
      </c>
      <c r="M2949" s="6" t="str">
        <f>IFERROR(__xludf.DUMMYFUNCTION("""COMPUTED_VALUE"""),"Welches Middle School Original Instruction")</f>
        <v>Welches Middle School Original Instruction</v>
      </c>
      <c r="N2949" s="6" t="str">
        <f>IFERROR(__xludf.DUMMYFUNCTION("""COMPUTED_VALUE"""),"")</f>
        <v/>
      </c>
      <c r="O2949" s="87" t="str">
        <f>IFERROR(__xludf.DUMMYFUNCTION("""COMPUTED_VALUE"""),"https://drive.google.com/drive/folders/10T2cTQHqEJZqE-st6uFKPoI?usp=share_link")</f>
        <v>https://drive.google.com/drive/folders/10T2cTQHqEJZqE-st6uFKPoI?usp=share_link</v>
      </c>
      <c r="P2949" s="6" t="str">
        <f>IFERROR(__xludf.DUMMYFUNCTION("""COMPUTED_VALUE"""),"Peyton Haggard")</f>
        <v>Peyton Haggard</v>
      </c>
      <c r="Q2949" s="6" t="str">
        <f>IFERROR(__xludf.DUMMYFUNCTION("""COMPUTED_VALUE"""),"MS")</f>
        <v>MS</v>
      </c>
      <c r="R2949" s="6">
        <f>IFERROR(__xludf.DUMMYFUNCTION("""COMPUTED_VALUE"""),0.0)</f>
        <v>0</v>
      </c>
      <c r="S2949" s="6" t="str">
        <f>IFERROR(__xludf.DUMMYFUNCTION("""COMPUTED_VALUE"""),"Genevra Self")</f>
        <v>Genevra Self</v>
      </c>
      <c r="T2949" s="6" t="str">
        <f>IFERROR(__xludf.DUMMYFUNCTION("""COMPUTED_VALUE"""),"genevra.self@studient.com")</f>
        <v>genevra.self@studient.com</v>
      </c>
      <c r="U2949" s="6" t="str">
        <f>IFERROR(__xludf.DUMMYFUNCTION("""COMPUTED_VALUE"""),"8")</f>
        <v>8</v>
      </c>
      <c r="V2949" s="6" t="str">
        <f>IFERROR(__xludf.DUMMYFUNCTION("""COMPUTED_VALUE"""),"English")</f>
        <v>English</v>
      </c>
      <c r="W2949" s="6" t="str">
        <f>IFERROR(__xludf.DUMMYFUNCTION("""COMPUTED_VALUE"""),"[]")</f>
        <v>[]</v>
      </c>
      <c r="X2949" s="6" t="str">
        <f>IFERROR(__xludf.DUMMYFUNCTION("""COMPUTED_VALUE"""),"Enrolled")</f>
        <v>Enrolled</v>
      </c>
    </row>
    <row r="2950">
      <c r="A2950" s="6" t="str">
        <f>IFERROR(__xludf.DUMMYFUNCTION("""COMPUTED_VALUE"""),"064-5187")</f>
        <v>064-5187</v>
      </c>
      <c r="B2950" s="6" t="str">
        <f>IFERROR(__xludf.DUMMYFUNCTION("""COMPUTED_VALUE"""),"64")</f>
        <v>64</v>
      </c>
      <c r="C2950" s="6" t="str">
        <f>IFERROR(__xludf.DUMMYFUNCTION("""COMPUTED_VALUE"""),"5187")</f>
        <v>5187</v>
      </c>
      <c r="D2950" s="6" t="str">
        <f>IFERROR(__xludf.DUMMYFUNCTION("""COMPUTED_VALUE"""),"Hudson")</f>
        <v>Hudson</v>
      </c>
      <c r="E2950" s="6" t="str">
        <f>IFERROR(__xludf.DUMMYFUNCTION("""COMPUTED_VALUE"""),"")</f>
        <v/>
      </c>
      <c r="F2950" s="6" t="str">
        <f>IFERROR(__xludf.DUMMYFUNCTION("""COMPUTED_VALUE"""),"Henry")</f>
        <v>Henry</v>
      </c>
      <c r="G2950" s="6" t="str">
        <f>IFERROR(__xludf.DUMMYFUNCTION("""COMPUTED_VALUE"""),"10/27/2011")</f>
        <v>10/27/2011</v>
      </c>
      <c r="H2950" s="6" t="str">
        <f>IFERROR(__xludf.DUMMYFUNCTION("""COMPUTED_VALUE"""),"Self Identify")</f>
        <v>Self Identify</v>
      </c>
      <c r="I2950" s="6" t="str">
        <f>IFERROR(__xludf.DUMMYFUNCTION("""COMPUTED_VALUE"""),"Middle School")</f>
        <v>Middle School</v>
      </c>
      <c r="J2950" s="6" t="str">
        <f>IFERROR(__xludf.DUMMYFUNCTION("""COMPUTED_VALUE"""),"8")</f>
        <v>8</v>
      </c>
      <c r="K2950" s="6" t="str">
        <f>IFERROR(__xludf.DUMMYFUNCTION("""COMPUTED_VALUE"""),"hudson_henry@stu.ortrail.k12.or.us")</f>
        <v>hudson_henry@stu.ortrail.k12.or.us</v>
      </c>
      <c r="L2950" s="6" t="str">
        <f>IFERROR(__xludf.DUMMYFUNCTION("""COMPUTED_VALUE"""),"Oregon Trail School District 46")</f>
        <v>Oregon Trail School District 46</v>
      </c>
      <c r="M2950" s="6" t="str">
        <f>IFERROR(__xludf.DUMMYFUNCTION("""COMPUTED_VALUE"""),"Welches Middle School Original Instruction")</f>
        <v>Welches Middle School Original Instruction</v>
      </c>
      <c r="N2950" s="6" t="str">
        <f>IFERROR(__xludf.DUMMYFUNCTION("""COMPUTED_VALUE"""),"")</f>
        <v/>
      </c>
      <c r="O2950" s="87" t="str">
        <f>IFERROR(__xludf.DUMMYFUNCTION("""COMPUTED_VALUE"""),"https://drive.google.com/drive/folders/10T2cTQHqEJZqE-st6uFKPoI?usp=share_link")</f>
        <v>https://drive.google.com/drive/folders/10T2cTQHqEJZqE-st6uFKPoI?usp=share_link</v>
      </c>
      <c r="P2950" s="6" t="str">
        <f>IFERROR(__xludf.DUMMYFUNCTION("""COMPUTED_VALUE"""),"Hudson Henry")</f>
        <v>Hudson Henry</v>
      </c>
      <c r="Q2950" s="6" t="str">
        <f>IFERROR(__xludf.DUMMYFUNCTION("""COMPUTED_VALUE"""),"MS")</f>
        <v>MS</v>
      </c>
      <c r="R2950" s="6">
        <f>IFERROR(__xludf.DUMMYFUNCTION("""COMPUTED_VALUE"""),0.0)</f>
        <v>0</v>
      </c>
      <c r="S2950" s="6" t="str">
        <f>IFERROR(__xludf.DUMMYFUNCTION("""COMPUTED_VALUE"""),"Genevra Self")</f>
        <v>Genevra Self</v>
      </c>
      <c r="T2950" s="6" t="str">
        <f>IFERROR(__xludf.DUMMYFUNCTION("""COMPUTED_VALUE"""),"genevra.self@studient.com")</f>
        <v>genevra.self@studient.com</v>
      </c>
      <c r="U2950" s="6" t="str">
        <f>IFERROR(__xludf.DUMMYFUNCTION("""COMPUTED_VALUE"""),"8")</f>
        <v>8</v>
      </c>
      <c r="V2950" s="6" t="str">
        <f>IFERROR(__xludf.DUMMYFUNCTION("""COMPUTED_VALUE"""),"English")</f>
        <v>English</v>
      </c>
      <c r="W2950" s="6" t="str">
        <f>IFERROR(__xludf.DUMMYFUNCTION("""COMPUTED_VALUE"""),"[]")</f>
        <v>[]</v>
      </c>
      <c r="X2950" s="6" t="str">
        <f>IFERROR(__xludf.DUMMYFUNCTION("""COMPUTED_VALUE"""),"Enrolled")</f>
        <v>Enrolled</v>
      </c>
    </row>
    <row r="2951">
      <c r="A2951" s="6" t="str">
        <f>IFERROR(__xludf.DUMMYFUNCTION("""COMPUTED_VALUE"""),"064-5188")</f>
        <v>064-5188</v>
      </c>
      <c r="B2951" s="6" t="str">
        <f>IFERROR(__xludf.DUMMYFUNCTION("""COMPUTED_VALUE"""),"64")</f>
        <v>64</v>
      </c>
      <c r="C2951" s="6" t="str">
        <f>IFERROR(__xludf.DUMMYFUNCTION("""COMPUTED_VALUE"""),"5188")</f>
        <v>5188</v>
      </c>
      <c r="D2951" s="6" t="str">
        <f>IFERROR(__xludf.DUMMYFUNCTION("""COMPUTED_VALUE"""),"Granite")</f>
        <v>Granite</v>
      </c>
      <c r="E2951" s="6" t="str">
        <f>IFERROR(__xludf.DUMMYFUNCTION("""COMPUTED_VALUE"""),"")</f>
        <v/>
      </c>
      <c r="F2951" s="6" t="str">
        <f>IFERROR(__xludf.DUMMYFUNCTION("""COMPUTED_VALUE"""),"Holmes")</f>
        <v>Holmes</v>
      </c>
      <c r="G2951" s="6" t="str">
        <f>IFERROR(__xludf.DUMMYFUNCTION("""COMPUTED_VALUE"""),"12/20/2011")</f>
        <v>12/20/2011</v>
      </c>
      <c r="H2951" s="6" t="str">
        <f>IFERROR(__xludf.DUMMYFUNCTION("""COMPUTED_VALUE"""),"Self Identify")</f>
        <v>Self Identify</v>
      </c>
      <c r="I2951" s="6" t="str">
        <f>IFERROR(__xludf.DUMMYFUNCTION("""COMPUTED_VALUE"""),"Middle School")</f>
        <v>Middle School</v>
      </c>
      <c r="J2951" s="6" t="str">
        <f>IFERROR(__xludf.DUMMYFUNCTION("""COMPUTED_VALUE"""),"8")</f>
        <v>8</v>
      </c>
      <c r="K2951" s="6" t="str">
        <f>IFERROR(__xludf.DUMMYFUNCTION("""COMPUTED_VALUE"""),"granite_holmes@stu.ortrail.k12.or.us")</f>
        <v>granite_holmes@stu.ortrail.k12.or.us</v>
      </c>
      <c r="L2951" s="6" t="str">
        <f>IFERROR(__xludf.DUMMYFUNCTION("""COMPUTED_VALUE"""),"Oregon Trail School District 46")</f>
        <v>Oregon Trail School District 46</v>
      </c>
      <c r="M2951" s="6" t="str">
        <f>IFERROR(__xludf.DUMMYFUNCTION("""COMPUTED_VALUE"""),"Welches Middle School Original Instruction")</f>
        <v>Welches Middle School Original Instruction</v>
      </c>
      <c r="N2951" s="6" t="str">
        <f>IFERROR(__xludf.DUMMYFUNCTION("""COMPUTED_VALUE"""),"")</f>
        <v/>
      </c>
      <c r="O2951" s="87" t="str">
        <f>IFERROR(__xludf.DUMMYFUNCTION("""COMPUTED_VALUE"""),"https://drive.google.com/drive/folders/10T2cTQHqEJZqE-st6uFKPoI?usp=share_link")</f>
        <v>https://drive.google.com/drive/folders/10T2cTQHqEJZqE-st6uFKPoI?usp=share_link</v>
      </c>
      <c r="P2951" s="6" t="str">
        <f>IFERROR(__xludf.DUMMYFUNCTION("""COMPUTED_VALUE"""),"Granite Holmes")</f>
        <v>Granite Holmes</v>
      </c>
      <c r="Q2951" s="6" t="str">
        <f>IFERROR(__xludf.DUMMYFUNCTION("""COMPUTED_VALUE"""),"MS")</f>
        <v>MS</v>
      </c>
      <c r="R2951" s="6">
        <f>IFERROR(__xludf.DUMMYFUNCTION("""COMPUTED_VALUE"""),0.0)</f>
        <v>0</v>
      </c>
      <c r="S2951" s="6" t="str">
        <f>IFERROR(__xludf.DUMMYFUNCTION("""COMPUTED_VALUE"""),"Genevra Self")</f>
        <v>Genevra Self</v>
      </c>
      <c r="T2951" s="6" t="str">
        <f>IFERROR(__xludf.DUMMYFUNCTION("""COMPUTED_VALUE"""),"genevra.self@studient.com")</f>
        <v>genevra.self@studient.com</v>
      </c>
      <c r="U2951" s="6" t="str">
        <f>IFERROR(__xludf.DUMMYFUNCTION("""COMPUTED_VALUE"""),"8")</f>
        <v>8</v>
      </c>
      <c r="V2951" s="6" t="str">
        <f>IFERROR(__xludf.DUMMYFUNCTION("""COMPUTED_VALUE"""),"English")</f>
        <v>English</v>
      </c>
      <c r="W2951" s="6" t="str">
        <f>IFERROR(__xludf.DUMMYFUNCTION("""COMPUTED_VALUE"""),"[]")</f>
        <v>[]</v>
      </c>
      <c r="X2951" s="6" t="str">
        <f>IFERROR(__xludf.DUMMYFUNCTION("""COMPUTED_VALUE"""),"Enrolled")</f>
        <v>Enrolled</v>
      </c>
    </row>
    <row r="2952">
      <c r="A2952" s="6" t="str">
        <f>IFERROR(__xludf.DUMMYFUNCTION("""COMPUTED_VALUE"""),"064-5189")</f>
        <v>064-5189</v>
      </c>
      <c r="B2952" s="6" t="str">
        <f>IFERROR(__xludf.DUMMYFUNCTION("""COMPUTED_VALUE"""),"64")</f>
        <v>64</v>
      </c>
      <c r="C2952" s="6" t="str">
        <f>IFERROR(__xludf.DUMMYFUNCTION("""COMPUTED_VALUE"""),"5189")</f>
        <v>5189</v>
      </c>
      <c r="D2952" s="6" t="str">
        <f>IFERROR(__xludf.DUMMYFUNCTION("""COMPUTED_VALUE"""),"Amlie")</f>
        <v>Amlie</v>
      </c>
      <c r="E2952" s="6" t="str">
        <f>IFERROR(__xludf.DUMMYFUNCTION("""COMPUTED_VALUE"""),"")</f>
        <v/>
      </c>
      <c r="F2952" s="6" t="str">
        <f>IFERROR(__xludf.DUMMYFUNCTION("""COMPUTED_VALUE"""),"Hoopes")</f>
        <v>Hoopes</v>
      </c>
      <c r="G2952" s="6" t="str">
        <f>IFERROR(__xludf.DUMMYFUNCTION("""COMPUTED_VALUE"""),"12/21/2011")</f>
        <v>12/21/2011</v>
      </c>
      <c r="H2952" s="6" t="str">
        <f>IFERROR(__xludf.DUMMYFUNCTION("""COMPUTED_VALUE"""),"Self Identify")</f>
        <v>Self Identify</v>
      </c>
      <c r="I2952" s="6" t="str">
        <f>IFERROR(__xludf.DUMMYFUNCTION("""COMPUTED_VALUE"""),"Middle School")</f>
        <v>Middle School</v>
      </c>
      <c r="J2952" s="6" t="str">
        <f>IFERROR(__xludf.DUMMYFUNCTION("""COMPUTED_VALUE"""),"8")</f>
        <v>8</v>
      </c>
      <c r="K2952" s="6" t="str">
        <f>IFERROR(__xludf.DUMMYFUNCTION("""COMPUTED_VALUE"""),"amlie_hoopes@stu.ortrail.k12.or.us")</f>
        <v>amlie_hoopes@stu.ortrail.k12.or.us</v>
      </c>
      <c r="L2952" s="6" t="str">
        <f>IFERROR(__xludf.DUMMYFUNCTION("""COMPUTED_VALUE"""),"Oregon Trail School District 46")</f>
        <v>Oregon Trail School District 46</v>
      </c>
      <c r="M2952" s="6" t="str">
        <f>IFERROR(__xludf.DUMMYFUNCTION("""COMPUTED_VALUE"""),"Welches Middle School Original Instruction")</f>
        <v>Welches Middle School Original Instruction</v>
      </c>
      <c r="N2952" s="6" t="str">
        <f>IFERROR(__xludf.DUMMYFUNCTION("""COMPUTED_VALUE"""),"")</f>
        <v/>
      </c>
      <c r="O2952" s="87" t="str">
        <f>IFERROR(__xludf.DUMMYFUNCTION("""COMPUTED_VALUE"""),"https://drive.google.com/drive/folders/10T2cTQHqEJZqE-st6uFKPoI?usp=share_link")</f>
        <v>https://drive.google.com/drive/folders/10T2cTQHqEJZqE-st6uFKPoI?usp=share_link</v>
      </c>
      <c r="P2952" s="6" t="str">
        <f>IFERROR(__xludf.DUMMYFUNCTION("""COMPUTED_VALUE"""),"Amlie Hoopes")</f>
        <v>Amlie Hoopes</v>
      </c>
      <c r="Q2952" s="6" t="str">
        <f>IFERROR(__xludf.DUMMYFUNCTION("""COMPUTED_VALUE"""),"MS")</f>
        <v>MS</v>
      </c>
      <c r="R2952" s="6">
        <f>IFERROR(__xludf.DUMMYFUNCTION("""COMPUTED_VALUE"""),0.0)</f>
        <v>0</v>
      </c>
      <c r="S2952" s="6" t="str">
        <f>IFERROR(__xludf.DUMMYFUNCTION("""COMPUTED_VALUE"""),"Genevra Self")</f>
        <v>Genevra Self</v>
      </c>
      <c r="T2952" s="6" t="str">
        <f>IFERROR(__xludf.DUMMYFUNCTION("""COMPUTED_VALUE"""),"genevra.self@studient.com")</f>
        <v>genevra.self@studient.com</v>
      </c>
      <c r="U2952" s="6" t="str">
        <f>IFERROR(__xludf.DUMMYFUNCTION("""COMPUTED_VALUE"""),"8")</f>
        <v>8</v>
      </c>
      <c r="V2952" s="6" t="str">
        <f>IFERROR(__xludf.DUMMYFUNCTION("""COMPUTED_VALUE"""),"English")</f>
        <v>English</v>
      </c>
      <c r="W2952" s="6" t="str">
        <f>IFERROR(__xludf.DUMMYFUNCTION("""COMPUTED_VALUE"""),"[]")</f>
        <v>[]</v>
      </c>
      <c r="X2952" s="6" t="str">
        <f>IFERROR(__xludf.DUMMYFUNCTION("""COMPUTED_VALUE"""),"Enrolled")</f>
        <v>Enrolled</v>
      </c>
    </row>
    <row r="2953">
      <c r="A2953" s="6" t="str">
        <f>IFERROR(__xludf.DUMMYFUNCTION("""COMPUTED_VALUE"""),"064-5190")</f>
        <v>064-5190</v>
      </c>
      <c r="B2953" s="6" t="str">
        <f>IFERROR(__xludf.DUMMYFUNCTION("""COMPUTED_VALUE"""),"64")</f>
        <v>64</v>
      </c>
      <c r="C2953" s="6" t="str">
        <f>IFERROR(__xludf.DUMMYFUNCTION("""COMPUTED_VALUE"""),"5190")</f>
        <v>5190</v>
      </c>
      <c r="D2953" s="6" t="str">
        <f>IFERROR(__xludf.DUMMYFUNCTION("""COMPUTED_VALUE"""),"Mary")</f>
        <v>Mary</v>
      </c>
      <c r="E2953" s="6" t="str">
        <f>IFERROR(__xludf.DUMMYFUNCTION("""COMPUTED_VALUE"""),"")</f>
        <v/>
      </c>
      <c r="F2953" s="6" t="str">
        <f>IFERROR(__xludf.DUMMYFUNCTION("""COMPUTED_VALUE"""),"Hoyt")</f>
        <v>Hoyt</v>
      </c>
      <c r="G2953" s="6" t="str">
        <f>IFERROR(__xludf.DUMMYFUNCTION("""COMPUTED_VALUE"""),"02/25/2012")</f>
        <v>02/25/2012</v>
      </c>
      <c r="H2953" s="6" t="str">
        <f>IFERROR(__xludf.DUMMYFUNCTION("""COMPUTED_VALUE"""),"Self Identify")</f>
        <v>Self Identify</v>
      </c>
      <c r="I2953" s="6" t="str">
        <f>IFERROR(__xludf.DUMMYFUNCTION("""COMPUTED_VALUE"""),"Middle School")</f>
        <v>Middle School</v>
      </c>
      <c r="J2953" s="6" t="str">
        <f>IFERROR(__xludf.DUMMYFUNCTION("""COMPUTED_VALUE"""),"8")</f>
        <v>8</v>
      </c>
      <c r="K2953" s="6" t="str">
        <f>IFERROR(__xludf.DUMMYFUNCTION("""COMPUTED_VALUE"""),"mary_hoyt@stu.ortrail.k12.or.us")</f>
        <v>mary_hoyt@stu.ortrail.k12.or.us</v>
      </c>
      <c r="L2953" s="6" t="str">
        <f>IFERROR(__xludf.DUMMYFUNCTION("""COMPUTED_VALUE"""),"Oregon Trail School District 46")</f>
        <v>Oregon Trail School District 46</v>
      </c>
      <c r="M2953" s="6" t="str">
        <f>IFERROR(__xludf.DUMMYFUNCTION("""COMPUTED_VALUE"""),"Welches Middle School Original Instruction")</f>
        <v>Welches Middle School Original Instruction</v>
      </c>
      <c r="N2953" s="6" t="str">
        <f>IFERROR(__xludf.DUMMYFUNCTION("""COMPUTED_VALUE"""),"")</f>
        <v/>
      </c>
      <c r="O2953" s="87" t="str">
        <f>IFERROR(__xludf.DUMMYFUNCTION("""COMPUTED_VALUE"""),"https://drive.google.com/drive/folders/10T2cTQHqEJZqE-st6uFKPoI?usp=share_link")</f>
        <v>https://drive.google.com/drive/folders/10T2cTQHqEJZqE-st6uFKPoI?usp=share_link</v>
      </c>
      <c r="P2953" s="6" t="str">
        <f>IFERROR(__xludf.DUMMYFUNCTION("""COMPUTED_VALUE"""),"Mary Hoyt")</f>
        <v>Mary Hoyt</v>
      </c>
      <c r="Q2953" s="6" t="str">
        <f>IFERROR(__xludf.DUMMYFUNCTION("""COMPUTED_VALUE"""),"MS")</f>
        <v>MS</v>
      </c>
      <c r="R2953" s="6">
        <f>IFERROR(__xludf.DUMMYFUNCTION("""COMPUTED_VALUE"""),0.0)</f>
        <v>0</v>
      </c>
      <c r="S2953" s="6" t="str">
        <f>IFERROR(__xludf.DUMMYFUNCTION("""COMPUTED_VALUE"""),"Genevra Self")</f>
        <v>Genevra Self</v>
      </c>
      <c r="T2953" s="6" t="str">
        <f>IFERROR(__xludf.DUMMYFUNCTION("""COMPUTED_VALUE"""),"genevra.self@studient.com")</f>
        <v>genevra.self@studient.com</v>
      </c>
      <c r="U2953" s="6" t="str">
        <f>IFERROR(__xludf.DUMMYFUNCTION("""COMPUTED_VALUE"""),"8")</f>
        <v>8</v>
      </c>
      <c r="V2953" s="6" t="str">
        <f>IFERROR(__xludf.DUMMYFUNCTION("""COMPUTED_VALUE"""),"English")</f>
        <v>English</v>
      </c>
      <c r="W2953" s="6" t="str">
        <f>IFERROR(__xludf.DUMMYFUNCTION("""COMPUTED_VALUE"""),"[]")</f>
        <v>[]</v>
      </c>
      <c r="X2953" s="6" t="str">
        <f>IFERROR(__xludf.DUMMYFUNCTION("""COMPUTED_VALUE"""),"Enrolled")</f>
        <v>Enrolled</v>
      </c>
    </row>
    <row r="2954">
      <c r="A2954" s="6" t="str">
        <f>IFERROR(__xludf.DUMMYFUNCTION("""COMPUTED_VALUE"""),"064-5191")</f>
        <v>064-5191</v>
      </c>
      <c r="B2954" s="6" t="str">
        <f>IFERROR(__xludf.DUMMYFUNCTION("""COMPUTED_VALUE"""),"64")</f>
        <v>64</v>
      </c>
      <c r="C2954" s="6" t="str">
        <f>IFERROR(__xludf.DUMMYFUNCTION("""COMPUTED_VALUE"""),"5191")</f>
        <v>5191</v>
      </c>
      <c r="D2954" s="6" t="str">
        <f>IFERROR(__xludf.DUMMYFUNCTION("""COMPUTED_VALUE"""),"Ella")</f>
        <v>Ella</v>
      </c>
      <c r="E2954" s="6" t="str">
        <f>IFERROR(__xludf.DUMMYFUNCTION("""COMPUTED_VALUE"""),"")</f>
        <v/>
      </c>
      <c r="F2954" s="6" t="str">
        <f>IFERROR(__xludf.DUMMYFUNCTION("""COMPUTED_VALUE"""),"Lampkin")</f>
        <v>Lampkin</v>
      </c>
      <c r="G2954" s="6" t="str">
        <f>IFERROR(__xludf.DUMMYFUNCTION("""COMPUTED_VALUE"""),"11/18/2011")</f>
        <v>11/18/2011</v>
      </c>
      <c r="H2954" s="6" t="str">
        <f>IFERROR(__xludf.DUMMYFUNCTION("""COMPUTED_VALUE"""),"Self Identify")</f>
        <v>Self Identify</v>
      </c>
      <c r="I2954" s="6" t="str">
        <f>IFERROR(__xludf.DUMMYFUNCTION("""COMPUTED_VALUE"""),"Middle School")</f>
        <v>Middle School</v>
      </c>
      <c r="J2954" s="6" t="str">
        <f>IFERROR(__xludf.DUMMYFUNCTION("""COMPUTED_VALUE"""),"8")</f>
        <v>8</v>
      </c>
      <c r="K2954" s="6" t="str">
        <f>IFERROR(__xludf.DUMMYFUNCTION("""COMPUTED_VALUE"""),"ella_lampkin@stu.ortrail.k12.or.us")</f>
        <v>ella_lampkin@stu.ortrail.k12.or.us</v>
      </c>
      <c r="L2954" s="6" t="str">
        <f>IFERROR(__xludf.DUMMYFUNCTION("""COMPUTED_VALUE"""),"Oregon Trail School District 46")</f>
        <v>Oregon Trail School District 46</v>
      </c>
      <c r="M2954" s="6" t="str">
        <f>IFERROR(__xludf.DUMMYFUNCTION("""COMPUTED_VALUE"""),"Welches Middle School")</f>
        <v>Welches Middle School</v>
      </c>
      <c r="N2954" s="6" t="str">
        <f>IFERROR(__xludf.DUMMYFUNCTION("""COMPUTED_VALUE"""),"")</f>
        <v/>
      </c>
      <c r="O2954" s="87" t="str">
        <f>IFERROR(__xludf.DUMMYFUNCTION("""COMPUTED_VALUE"""),"https://drive.google.com/drive/folders/10T2cTQHqEJZqE-st6uFKPoI?usp=share_link")</f>
        <v>https://drive.google.com/drive/folders/10T2cTQHqEJZqE-st6uFKPoI?usp=share_link</v>
      </c>
      <c r="P2954" s="6" t="str">
        <f>IFERROR(__xludf.DUMMYFUNCTION("""COMPUTED_VALUE"""),"Ella Lampkin")</f>
        <v>Ella Lampkin</v>
      </c>
      <c r="Q2954" s="6" t="str">
        <f>IFERROR(__xludf.DUMMYFUNCTION("""COMPUTED_VALUE"""),"MS")</f>
        <v>MS</v>
      </c>
      <c r="R2954" s="6">
        <f>IFERROR(__xludf.DUMMYFUNCTION("""COMPUTED_VALUE"""),0.0)</f>
        <v>0</v>
      </c>
      <c r="S2954" s="6" t="str">
        <f>IFERROR(__xludf.DUMMYFUNCTION("""COMPUTED_VALUE"""),"Nicole Kellim")</f>
        <v>Nicole Kellim</v>
      </c>
      <c r="T2954" s="6" t="str">
        <f>IFERROR(__xludf.DUMMYFUNCTION("""COMPUTED_VALUE"""),"nicole.kellim@ortrail.k12.or.us")</f>
        <v>nicole.kellim@ortrail.k12.or.us</v>
      </c>
      <c r="U2954" s="6" t="str">
        <f>IFERROR(__xludf.DUMMYFUNCTION("""COMPUTED_VALUE"""),"8")</f>
        <v>8</v>
      </c>
      <c r="V2954" s="6" t="str">
        <f>IFERROR(__xludf.DUMMYFUNCTION("""COMPUTED_VALUE"""),"English")</f>
        <v>English</v>
      </c>
      <c r="W2954" s="6" t="str">
        <f>IFERROR(__xludf.DUMMYFUNCTION("""COMPUTED_VALUE"""),"[]")</f>
        <v>[]</v>
      </c>
      <c r="X2954" s="6" t="str">
        <f>IFERROR(__xludf.DUMMYFUNCTION("""COMPUTED_VALUE"""),"Enrolled")</f>
        <v>Enrolled</v>
      </c>
    </row>
    <row r="2955">
      <c r="A2955" s="6" t="str">
        <f>IFERROR(__xludf.DUMMYFUNCTION("""COMPUTED_VALUE"""),"064-5192")</f>
        <v>064-5192</v>
      </c>
      <c r="B2955" s="6" t="str">
        <f>IFERROR(__xludf.DUMMYFUNCTION("""COMPUTED_VALUE"""),"64")</f>
        <v>64</v>
      </c>
      <c r="C2955" s="6" t="str">
        <f>IFERROR(__xludf.DUMMYFUNCTION("""COMPUTED_VALUE"""),"5192")</f>
        <v>5192</v>
      </c>
      <c r="D2955" s="6" t="str">
        <f>IFERROR(__xludf.DUMMYFUNCTION("""COMPUTED_VALUE"""),"Jaden")</f>
        <v>Jaden</v>
      </c>
      <c r="E2955" s="6" t="str">
        <f>IFERROR(__xludf.DUMMYFUNCTION("""COMPUTED_VALUE"""),"")</f>
        <v/>
      </c>
      <c r="F2955" s="6" t="str">
        <f>IFERROR(__xludf.DUMMYFUNCTION("""COMPUTED_VALUE"""),"Lynch")</f>
        <v>Lynch</v>
      </c>
      <c r="G2955" s="6" t="str">
        <f>IFERROR(__xludf.DUMMYFUNCTION("""COMPUTED_VALUE"""),"10/09/2011")</f>
        <v>10/09/2011</v>
      </c>
      <c r="H2955" s="6" t="str">
        <f>IFERROR(__xludf.DUMMYFUNCTION("""COMPUTED_VALUE"""),"Self Identify")</f>
        <v>Self Identify</v>
      </c>
      <c r="I2955" s="6" t="str">
        <f>IFERROR(__xludf.DUMMYFUNCTION("""COMPUTED_VALUE"""),"Middle School")</f>
        <v>Middle School</v>
      </c>
      <c r="J2955" s="6" t="str">
        <f>IFERROR(__xludf.DUMMYFUNCTION("""COMPUTED_VALUE"""),"8")</f>
        <v>8</v>
      </c>
      <c r="K2955" s="6" t="str">
        <f>IFERROR(__xludf.DUMMYFUNCTION("""COMPUTED_VALUE"""),"jaden_lynch@stu.ortrail.k12.or.us")</f>
        <v>jaden_lynch@stu.ortrail.k12.or.us</v>
      </c>
      <c r="L2955" s="6" t="str">
        <f>IFERROR(__xludf.DUMMYFUNCTION("""COMPUTED_VALUE"""),"Oregon Trail School District 46")</f>
        <v>Oregon Trail School District 46</v>
      </c>
      <c r="M2955" s="6" t="str">
        <f>IFERROR(__xludf.DUMMYFUNCTION("""COMPUTED_VALUE"""),"Welches Middle School Original Instruction")</f>
        <v>Welches Middle School Original Instruction</v>
      </c>
      <c r="N2955" s="6" t="str">
        <f>IFERROR(__xludf.DUMMYFUNCTION("""COMPUTED_VALUE"""),"")</f>
        <v/>
      </c>
      <c r="O2955" s="87" t="str">
        <f>IFERROR(__xludf.DUMMYFUNCTION("""COMPUTED_VALUE"""),"https://drive.google.com/drive/folders/10T2cTQHqEJZqE-st6uFKPoI?usp=share_link")</f>
        <v>https://drive.google.com/drive/folders/10T2cTQHqEJZqE-st6uFKPoI?usp=share_link</v>
      </c>
      <c r="P2955" s="6" t="str">
        <f>IFERROR(__xludf.DUMMYFUNCTION("""COMPUTED_VALUE"""),"Jaden Lynch")</f>
        <v>Jaden Lynch</v>
      </c>
      <c r="Q2955" s="6" t="str">
        <f>IFERROR(__xludf.DUMMYFUNCTION("""COMPUTED_VALUE"""),"MS")</f>
        <v>MS</v>
      </c>
      <c r="R2955" s="6">
        <f>IFERROR(__xludf.DUMMYFUNCTION("""COMPUTED_VALUE"""),0.0)</f>
        <v>0</v>
      </c>
      <c r="S2955" s="6" t="str">
        <f>IFERROR(__xludf.DUMMYFUNCTION("""COMPUTED_VALUE"""),"Genevra Self")</f>
        <v>Genevra Self</v>
      </c>
      <c r="T2955" s="6" t="str">
        <f>IFERROR(__xludf.DUMMYFUNCTION("""COMPUTED_VALUE"""),"genevra.self@studient.com")</f>
        <v>genevra.self@studient.com</v>
      </c>
      <c r="U2955" s="6" t="str">
        <f>IFERROR(__xludf.DUMMYFUNCTION("""COMPUTED_VALUE"""),"8")</f>
        <v>8</v>
      </c>
      <c r="V2955" s="6" t="str">
        <f>IFERROR(__xludf.DUMMYFUNCTION("""COMPUTED_VALUE"""),"English")</f>
        <v>English</v>
      </c>
      <c r="W2955" s="6" t="str">
        <f>IFERROR(__xludf.DUMMYFUNCTION("""COMPUTED_VALUE"""),"[]")</f>
        <v>[]</v>
      </c>
      <c r="X2955" s="6" t="str">
        <f>IFERROR(__xludf.DUMMYFUNCTION("""COMPUTED_VALUE"""),"Enrolled")</f>
        <v>Enrolled</v>
      </c>
    </row>
    <row r="2956">
      <c r="A2956" s="6" t="str">
        <f>IFERROR(__xludf.DUMMYFUNCTION("""COMPUTED_VALUE"""),"064-5193")</f>
        <v>064-5193</v>
      </c>
      <c r="B2956" s="6" t="str">
        <f>IFERROR(__xludf.DUMMYFUNCTION("""COMPUTED_VALUE"""),"64")</f>
        <v>64</v>
      </c>
      <c r="C2956" s="6" t="str">
        <f>IFERROR(__xludf.DUMMYFUNCTION("""COMPUTED_VALUE"""),"5193")</f>
        <v>5193</v>
      </c>
      <c r="D2956" s="6" t="str">
        <f>IFERROR(__xludf.DUMMYFUNCTION("""COMPUTED_VALUE"""),"Aurora")</f>
        <v>Aurora</v>
      </c>
      <c r="E2956" s="6" t="str">
        <f>IFERROR(__xludf.DUMMYFUNCTION("""COMPUTED_VALUE"""),"")</f>
        <v/>
      </c>
      <c r="F2956" s="6" t="str">
        <f>IFERROR(__xludf.DUMMYFUNCTION("""COMPUTED_VALUE"""),"Schnadig")</f>
        <v>Schnadig</v>
      </c>
      <c r="G2956" s="6" t="str">
        <f>IFERROR(__xludf.DUMMYFUNCTION("""COMPUTED_VALUE"""),"12/10/2011")</f>
        <v>12/10/2011</v>
      </c>
      <c r="H2956" s="6" t="str">
        <f>IFERROR(__xludf.DUMMYFUNCTION("""COMPUTED_VALUE"""),"Self Identify")</f>
        <v>Self Identify</v>
      </c>
      <c r="I2956" s="6" t="str">
        <f>IFERROR(__xludf.DUMMYFUNCTION("""COMPUTED_VALUE"""),"Middle School")</f>
        <v>Middle School</v>
      </c>
      <c r="J2956" s="6" t="str">
        <f>IFERROR(__xludf.DUMMYFUNCTION("""COMPUTED_VALUE"""),"8")</f>
        <v>8</v>
      </c>
      <c r="K2956" s="6" t="str">
        <f>IFERROR(__xludf.DUMMYFUNCTION("""COMPUTED_VALUE"""),"fee_schnadig@stu.ortrail.k12.or.us")</f>
        <v>fee_schnadig@stu.ortrail.k12.or.us</v>
      </c>
      <c r="L2956" s="6" t="str">
        <f>IFERROR(__xludf.DUMMYFUNCTION("""COMPUTED_VALUE"""),"Oregon Trail School District 46")</f>
        <v>Oregon Trail School District 46</v>
      </c>
      <c r="M2956" s="6" t="str">
        <f>IFERROR(__xludf.DUMMYFUNCTION("""COMPUTED_VALUE"""),"Welches Middle School Original Instruction")</f>
        <v>Welches Middle School Original Instruction</v>
      </c>
      <c r="N2956" s="6" t="str">
        <f>IFERROR(__xludf.DUMMYFUNCTION("""COMPUTED_VALUE"""),"")</f>
        <v/>
      </c>
      <c r="O2956" s="87" t="str">
        <f>IFERROR(__xludf.DUMMYFUNCTION("""COMPUTED_VALUE"""),"https://drive.google.com/drive/folders/10T2cTQHqEJZqE-st6uFKPoI?usp=share_link")</f>
        <v>https://drive.google.com/drive/folders/10T2cTQHqEJZqE-st6uFKPoI?usp=share_link</v>
      </c>
      <c r="P2956" s="6" t="str">
        <f>IFERROR(__xludf.DUMMYFUNCTION("""COMPUTED_VALUE"""),"Aurora Schnadig")</f>
        <v>Aurora Schnadig</v>
      </c>
      <c r="Q2956" s="6" t="str">
        <f>IFERROR(__xludf.DUMMYFUNCTION("""COMPUTED_VALUE"""),"MS")</f>
        <v>MS</v>
      </c>
      <c r="R2956" s="6">
        <f>IFERROR(__xludf.DUMMYFUNCTION("""COMPUTED_VALUE"""),0.0)</f>
        <v>0</v>
      </c>
      <c r="S2956" s="6" t="str">
        <f>IFERROR(__xludf.DUMMYFUNCTION("""COMPUTED_VALUE"""),"Genevra Self")</f>
        <v>Genevra Self</v>
      </c>
      <c r="T2956" s="6" t="str">
        <f>IFERROR(__xludf.DUMMYFUNCTION("""COMPUTED_VALUE"""),"genevra.self@studient.com")</f>
        <v>genevra.self@studient.com</v>
      </c>
      <c r="U2956" s="6" t="str">
        <f>IFERROR(__xludf.DUMMYFUNCTION("""COMPUTED_VALUE"""),"8")</f>
        <v>8</v>
      </c>
      <c r="V2956" s="6" t="str">
        <f>IFERROR(__xludf.DUMMYFUNCTION("""COMPUTED_VALUE"""),"English")</f>
        <v>English</v>
      </c>
      <c r="W2956" s="6" t="str">
        <f>IFERROR(__xludf.DUMMYFUNCTION("""COMPUTED_VALUE"""),"[]")</f>
        <v>[]</v>
      </c>
      <c r="X2956" s="6" t="str">
        <f>IFERROR(__xludf.DUMMYFUNCTION("""COMPUTED_VALUE"""),"Enrolled")</f>
        <v>Enrolled</v>
      </c>
    </row>
    <row r="2957">
      <c r="A2957" s="6" t="str">
        <f>IFERROR(__xludf.DUMMYFUNCTION("""COMPUTED_VALUE"""),"064-5194")</f>
        <v>064-5194</v>
      </c>
      <c r="B2957" s="6" t="str">
        <f>IFERROR(__xludf.DUMMYFUNCTION("""COMPUTED_VALUE"""),"64")</f>
        <v>64</v>
      </c>
      <c r="C2957" s="6" t="str">
        <f>IFERROR(__xludf.DUMMYFUNCTION("""COMPUTED_VALUE"""),"5194")</f>
        <v>5194</v>
      </c>
      <c r="D2957" s="6" t="str">
        <f>IFERROR(__xludf.DUMMYFUNCTION("""COMPUTED_VALUE"""),"Gage")</f>
        <v>Gage</v>
      </c>
      <c r="E2957" s="6" t="str">
        <f>IFERROR(__xludf.DUMMYFUNCTION("""COMPUTED_VALUE"""),"")</f>
        <v/>
      </c>
      <c r="F2957" s="6" t="str">
        <f>IFERROR(__xludf.DUMMYFUNCTION("""COMPUTED_VALUE"""),"Smith")</f>
        <v>Smith</v>
      </c>
      <c r="G2957" s="6" t="str">
        <f>IFERROR(__xludf.DUMMYFUNCTION("""COMPUTED_VALUE"""),"11/25/2011")</f>
        <v>11/25/2011</v>
      </c>
      <c r="H2957" s="6" t="str">
        <f>IFERROR(__xludf.DUMMYFUNCTION("""COMPUTED_VALUE"""),"Self Identify")</f>
        <v>Self Identify</v>
      </c>
      <c r="I2957" s="6" t="str">
        <f>IFERROR(__xludf.DUMMYFUNCTION("""COMPUTED_VALUE"""),"Middle School")</f>
        <v>Middle School</v>
      </c>
      <c r="J2957" s="6" t="str">
        <f>IFERROR(__xludf.DUMMYFUNCTION("""COMPUTED_VALUE"""),"8")</f>
        <v>8</v>
      </c>
      <c r="K2957" s="6" t="str">
        <f>IFERROR(__xludf.DUMMYFUNCTION("""COMPUTED_VALUE"""),"gage_smith@stu.ortrail.k12.or.us")</f>
        <v>gage_smith@stu.ortrail.k12.or.us</v>
      </c>
      <c r="L2957" s="6" t="str">
        <f>IFERROR(__xludf.DUMMYFUNCTION("""COMPUTED_VALUE"""),"Oregon Trail School District 46")</f>
        <v>Oregon Trail School District 46</v>
      </c>
      <c r="M2957" s="6" t="str">
        <f>IFERROR(__xludf.DUMMYFUNCTION("""COMPUTED_VALUE"""),"Welches Middle School")</f>
        <v>Welches Middle School</v>
      </c>
      <c r="N2957" s="6" t="str">
        <f>IFERROR(__xludf.DUMMYFUNCTION("""COMPUTED_VALUE"""),"")</f>
        <v/>
      </c>
      <c r="O2957" s="87" t="str">
        <f>IFERROR(__xludf.DUMMYFUNCTION("""COMPUTED_VALUE"""),"https://drive.google.com/drive/folders/10T2cTQHqEJZqE-st6uFKPoI?usp=share_link")</f>
        <v>https://drive.google.com/drive/folders/10T2cTQHqEJZqE-st6uFKPoI?usp=share_link</v>
      </c>
      <c r="P2957" s="6" t="str">
        <f>IFERROR(__xludf.DUMMYFUNCTION("""COMPUTED_VALUE"""),"Gage Smith")</f>
        <v>Gage Smith</v>
      </c>
      <c r="Q2957" s="6" t="str">
        <f>IFERROR(__xludf.DUMMYFUNCTION("""COMPUTED_VALUE"""),"MS")</f>
        <v>MS</v>
      </c>
      <c r="R2957" s="6">
        <f>IFERROR(__xludf.DUMMYFUNCTION("""COMPUTED_VALUE"""),0.0)</f>
        <v>0</v>
      </c>
      <c r="S2957" s="6" t="str">
        <f>IFERROR(__xludf.DUMMYFUNCTION("""COMPUTED_VALUE"""),"Nicole Kellim")</f>
        <v>Nicole Kellim</v>
      </c>
      <c r="T2957" s="6" t="str">
        <f>IFERROR(__xludf.DUMMYFUNCTION("""COMPUTED_VALUE"""),"nicole.kellim@ortrail.k12.or.us")</f>
        <v>nicole.kellim@ortrail.k12.or.us</v>
      </c>
      <c r="U2957" s="6" t="str">
        <f>IFERROR(__xludf.DUMMYFUNCTION("""COMPUTED_VALUE"""),"8")</f>
        <v>8</v>
      </c>
      <c r="V2957" s="6" t="str">
        <f>IFERROR(__xludf.DUMMYFUNCTION("""COMPUTED_VALUE"""),"English")</f>
        <v>English</v>
      </c>
      <c r="W2957" s="6" t="str">
        <f>IFERROR(__xludf.DUMMYFUNCTION("""COMPUTED_VALUE"""),"[]")</f>
        <v>[]</v>
      </c>
      <c r="X2957" s="6" t="str">
        <f>IFERROR(__xludf.DUMMYFUNCTION("""COMPUTED_VALUE"""),"Enrolled")</f>
        <v>Enrolled</v>
      </c>
    </row>
    <row r="2958">
      <c r="A2958" s="6" t="str">
        <f>IFERROR(__xludf.DUMMYFUNCTION("""COMPUTED_VALUE"""),"064-5195")</f>
        <v>064-5195</v>
      </c>
      <c r="B2958" s="6" t="str">
        <f>IFERROR(__xludf.DUMMYFUNCTION("""COMPUTED_VALUE"""),"64")</f>
        <v>64</v>
      </c>
      <c r="C2958" s="6" t="str">
        <f>IFERROR(__xludf.DUMMYFUNCTION("""COMPUTED_VALUE"""),"5195")</f>
        <v>5195</v>
      </c>
      <c r="D2958" s="6" t="str">
        <f>IFERROR(__xludf.DUMMYFUNCTION("""COMPUTED_VALUE"""),"Helen")</f>
        <v>Helen</v>
      </c>
      <c r="E2958" s="6" t="str">
        <f>IFERROR(__xludf.DUMMYFUNCTION("""COMPUTED_VALUE"""),"")</f>
        <v/>
      </c>
      <c r="F2958" s="6" t="str">
        <f>IFERROR(__xludf.DUMMYFUNCTION("""COMPUTED_VALUE"""),"Stoller Smith")</f>
        <v>Stoller Smith</v>
      </c>
      <c r="G2958" s="6" t="str">
        <f>IFERROR(__xludf.DUMMYFUNCTION("""COMPUTED_VALUE"""),"02/27/2012")</f>
        <v>02/27/2012</v>
      </c>
      <c r="H2958" s="6" t="str">
        <f>IFERROR(__xludf.DUMMYFUNCTION("""COMPUTED_VALUE"""),"Self Identify")</f>
        <v>Self Identify</v>
      </c>
      <c r="I2958" s="6" t="str">
        <f>IFERROR(__xludf.DUMMYFUNCTION("""COMPUTED_VALUE"""),"Middle School")</f>
        <v>Middle School</v>
      </c>
      <c r="J2958" s="6" t="str">
        <f>IFERROR(__xludf.DUMMYFUNCTION("""COMPUTED_VALUE"""),"8")</f>
        <v>8</v>
      </c>
      <c r="K2958" s="6" t="str">
        <f>IFERROR(__xludf.DUMMYFUNCTION("""COMPUTED_VALUE"""),"helen_stollersmith@stu.ortrail.k12.or.us")</f>
        <v>helen_stollersmith@stu.ortrail.k12.or.us</v>
      </c>
      <c r="L2958" s="6" t="str">
        <f>IFERROR(__xludf.DUMMYFUNCTION("""COMPUTED_VALUE"""),"Oregon Trail School District 46")</f>
        <v>Oregon Trail School District 46</v>
      </c>
      <c r="M2958" s="6" t="str">
        <f>IFERROR(__xludf.DUMMYFUNCTION("""COMPUTED_VALUE"""),"Welches Middle School Original Instruction")</f>
        <v>Welches Middle School Original Instruction</v>
      </c>
      <c r="N2958" s="6" t="str">
        <f>IFERROR(__xludf.DUMMYFUNCTION("""COMPUTED_VALUE"""),"")</f>
        <v/>
      </c>
      <c r="O2958" s="87" t="str">
        <f>IFERROR(__xludf.DUMMYFUNCTION("""COMPUTED_VALUE"""),"https://drive.google.com/drive/folders/10T2cTQHqEJZqE-st6uFKPoI?usp=share_link")</f>
        <v>https://drive.google.com/drive/folders/10T2cTQHqEJZqE-st6uFKPoI?usp=share_link</v>
      </c>
      <c r="P2958" s="6" t="str">
        <f>IFERROR(__xludf.DUMMYFUNCTION("""COMPUTED_VALUE"""),"Helen Stoller Smith")</f>
        <v>Helen Stoller Smith</v>
      </c>
      <c r="Q2958" s="6" t="str">
        <f>IFERROR(__xludf.DUMMYFUNCTION("""COMPUTED_VALUE"""),"MS")</f>
        <v>MS</v>
      </c>
      <c r="R2958" s="6">
        <f>IFERROR(__xludf.DUMMYFUNCTION("""COMPUTED_VALUE"""),0.0)</f>
        <v>0</v>
      </c>
      <c r="S2958" s="6" t="str">
        <f>IFERROR(__xludf.DUMMYFUNCTION("""COMPUTED_VALUE"""),"Genevra Self")</f>
        <v>Genevra Self</v>
      </c>
      <c r="T2958" s="6" t="str">
        <f>IFERROR(__xludf.DUMMYFUNCTION("""COMPUTED_VALUE"""),"genevra.self@studient.com")</f>
        <v>genevra.self@studient.com</v>
      </c>
      <c r="U2958" s="6" t="str">
        <f>IFERROR(__xludf.DUMMYFUNCTION("""COMPUTED_VALUE"""),"8")</f>
        <v>8</v>
      </c>
      <c r="V2958" s="6" t="str">
        <f>IFERROR(__xludf.DUMMYFUNCTION("""COMPUTED_VALUE"""),"English")</f>
        <v>English</v>
      </c>
      <c r="W2958" s="6" t="str">
        <f>IFERROR(__xludf.DUMMYFUNCTION("""COMPUTED_VALUE"""),"[]")</f>
        <v>[]</v>
      </c>
      <c r="X2958" s="6" t="str">
        <f>IFERROR(__xludf.DUMMYFUNCTION("""COMPUTED_VALUE"""),"Enrolled")</f>
        <v>Enrolled</v>
      </c>
    </row>
    <row r="2959">
      <c r="A2959" s="6" t="str">
        <f>IFERROR(__xludf.DUMMYFUNCTION("""COMPUTED_VALUE"""),"064-5196")</f>
        <v>064-5196</v>
      </c>
      <c r="B2959" s="6" t="str">
        <f>IFERROR(__xludf.DUMMYFUNCTION("""COMPUTED_VALUE"""),"64")</f>
        <v>64</v>
      </c>
      <c r="C2959" s="6" t="str">
        <f>IFERROR(__xludf.DUMMYFUNCTION("""COMPUTED_VALUE"""),"5196")</f>
        <v>5196</v>
      </c>
      <c r="D2959" s="6" t="str">
        <f>IFERROR(__xludf.DUMMYFUNCTION("""COMPUTED_VALUE"""),"Jack")</f>
        <v>Jack</v>
      </c>
      <c r="E2959" s="6" t="str">
        <f>IFERROR(__xludf.DUMMYFUNCTION("""COMPUTED_VALUE"""),"")</f>
        <v/>
      </c>
      <c r="F2959" s="6" t="str">
        <f>IFERROR(__xludf.DUMMYFUNCTION("""COMPUTED_VALUE"""),"Stoller Smith")</f>
        <v>Stoller Smith</v>
      </c>
      <c r="G2959" s="6" t="str">
        <f>IFERROR(__xludf.DUMMYFUNCTION("""COMPUTED_VALUE"""),"02/27/2012")</f>
        <v>02/27/2012</v>
      </c>
      <c r="H2959" s="6" t="str">
        <f>IFERROR(__xludf.DUMMYFUNCTION("""COMPUTED_VALUE"""),"Self Identify")</f>
        <v>Self Identify</v>
      </c>
      <c r="I2959" s="6" t="str">
        <f>IFERROR(__xludf.DUMMYFUNCTION("""COMPUTED_VALUE"""),"Middle School")</f>
        <v>Middle School</v>
      </c>
      <c r="J2959" s="6" t="str">
        <f>IFERROR(__xludf.DUMMYFUNCTION("""COMPUTED_VALUE"""),"8")</f>
        <v>8</v>
      </c>
      <c r="K2959" s="6" t="str">
        <f>IFERROR(__xludf.DUMMYFUNCTION("""COMPUTED_VALUE"""),"jack_stollersmith@stu.ortrail.k12.or.us")</f>
        <v>jack_stollersmith@stu.ortrail.k12.or.us</v>
      </c>
      <c r="L2959" s="6" t="str">
        <f>IFERROR(__xludf.DUMMYFUNCTION("""COMPUTED_VALUE"""),"Oregon Trail School District 46")</f>
        <v>Oregon Trail School District 46</v>
      </c>
      <c r="M2959" s="6" t="str">
        <f>IFERROR(__xludf.DUMMYFUNCTION("""COMPUTED_VALUE"""),"Welches Middle School Original Instruction")</f>
        <v>Welches Middle School Original Instruction</v>
      </c>
      <c r="N2959" s="6" t="str">
        <f>IFERROR(__xludf.DUMMYFUNCTION("""COMPUTED_VALUE"""),"")</f>
        <v/>
      </c>
      <c r="O2959" s="87" t="str">
        <f>IFERROR(__xludf.DUMMYFUNCTION("""COMPUTED_VALUE"""),"https://drive.google.com/drive/folders/10T2cTQHqEJZqE-st6uFKPoI?usp=share_link")</f>
        <v>https://drive.google.com/drive/folders/10T2cTQHqEJZqE-st6uFKPoI?usp=share_link</v>
      </c>
      <c r="P2959" s="6" t="str">
        <f>IFERROR(__xludf.DUMMYFUNCTION("""COMPUTED_VALUE"""),"Jack Stoller Smith")</f>
        <v>Jack Stoller Smith</v>
      </c>
      <c r="Q2959" s="6" t="str">
        <f>IFERROR(__xludf.DUMMYFUNCTION("""COMPUTED_VALUE"""),"MS")</f>
        <v>MS</v>
      </c>
      <c r="R2959" s="6">
        <f>IFERROR(__xludf.DUMMYFUNCTION("""COMPUTED_VALUE"""),0.0)</f>
        <v>0</v>
      </c>
      <c r="S2959" s="6" t="str">
        <f>IFERROR(__xludf.DUMMYFUNCTION("""COMPUTED_VALUE"""),"Genevra Self")</f>
        <v>Genevra Self</v>
      </c>
      <c r="T2959" s="6" t="str">
        <f>IFERROR(__xludf.DUMMYFUNCTION("""COMPUTED_VALUE"""),"genevra.self@studient.com")</f>
        <v>genevra.self@studient.com</v>
      </c>
      <c r="U2959" s="6" t="str">
        <f>IFERROR(__xludf.DUMMYFUNCTION("""COMPUTED_VALUE"""),"8")</f>
        <v>8</v>
      </c>
      <c r="V2959" s="6" t="str">
        <f>IFERROR(__xludf.DUMMYFUNCTION("""COMPUTED_VALUE"""),"English")</f>
        <v>English</v>
      </c>
      <c r="W2959" s="6" t="str">
        <f>IFERROR(__xludf.DUMMYFUNCTION("""COMPUTED_VALUE"""),"[]")</f>
        <v>[]</v>
      </c>
      <c r="X2959" s="6" t="str">
        <f>IFERROR(__xludf.DUMMYFUNCTION("""COMPUTED_VALUE"""),"Enrolled")</f>
        <v>Enrolled</v>
      </c>
    </row>
    <row r="2960">
      <c r="A2960" s="6" t="str">
        <f>IFERROR(__xludf.DUMMYFUNCTION("""COMPUTED_VALUE"""),"064-5197")</f>
        <v>064-5197</v>
      </c>
      <c r="B2960" s="6" t="str">
        <f>IFERROR(__xludf.DUMMYFUNCTION("""COMPUTED_VALUE"""),"64")</f>
        <v>64</v>
      </c>
      <c r="C2960" s="6" t="str">
        <f>IFERROR(__xludf.DUMMYFUNCTION("""COMPUTED_VALUE"""),"5197")</f>
        <v>5197</v>
      </c>
      <c r="D2960" s="6" t="str">
        <f>IFERROR(__xludf.DUMMYFUNCTION("""COMPUTED_VALUE"""),"Kyrie")</f>
        <v>Kyrie</v>
      </c>
      <c r="E2960" s="6" t="str">
        <f>IFERROR(__xludf.DUMMYFUNCTION("""COMPUTED_VALUE"""),"")</f>
        <v/>
      </c>
      <c r="F2960" s="6" t="str">
        <f>IFERROR(__xludf.DUMMYFUNCTION("""COMPUTED_VALUE"""),"Thoensen-Metts")</f>
        <v>Thoensen-Metts</v>
      </c>
      <c r="G2960" s="6" t="str">
        <f>IFERROR(__xludf.DUMMYFUNCTION("""COMPUTED_VALUE"""),"09/19/2011")</f>
        <v>09/19/2011</v>
      </c>
      <c r="H2960" s="6" t="str">
        <f>IFERROR(__xludf.DUMMYFUNCTION("""COMPUTED_VALUE"""),"Self Identify")</f>
        <v>Self Identify</v>
      </c>
      <c r="I2960" s="6" t="str">
        <f>IFERROR(__xludf.DUMMYFUNCTION("""COMPUTED_VALUE"""),"Middle School")</f>
        <v>Middle School</v>
      </c>
      <c r="J2960" s="6" t="str">
        <f>IFERROR(__xludf.DUMMYFUNCTION("""COMPUTED_VALUE"""),"8")</f>
        <v>8</v>
      </c>
      <c r="K2960" s="6" t="str">
        <f>IFERROR(__xludf.DUMMYFUNCTION("""COMPUTED_VALUE"""),"kyrie_thoensenmetts@stu.ortrail.k12.or.us")</f>
        <v>kyrie_thoensenmetts@stu.ortrail.k12.or.us</v>
      </c>
      <c r="L2960" s="6" t="str">
        <f>IFERROR(__xludf.DUMMYFUNCTION("""COMPUTED_VALUE"""),"Oregon Trail School District 46")</f>
        <v>Oregon Trail School District 46</v>
      </c>
      <c r="M2960" s="6" t="str">
        <f>IFERROR(__xludf.DUMMYFUNCTION("""COMPUTED_VALUE"""),"Welches Middle School Original Instruction")</f>
        <v>Welches Middle School Original Instruction</v>
      </c>
      <c r="N2960" s="6" t="str">
        <f>IFERROR(__xludf.DUMMYFUNCTION("""COMPUTED_VALUE"""),"")</f>
        <v/>
      </c>
      <c r="O2960" s="87" t="str">
        <f>IFERROR(__xludf.DUMMYFUNCTION("""COMPUTED_VALUE"""),"https://drive.google.com/drive/folders/10T2cTQHqEJZqE-st6uFKPoI?usp=share_link")</f>
        <v>https://drive.google.com/drive/folders/10T2cTQHqEJZqE-st6uFKPoI?usp=share_link</v>
      </c>
      <c r="P2960" s="6" t="str">
        <f>IFERROR(__xludf.DUMMYFUNCTION("""COMPUTED_VALUE"""),"Kyrie Thoensen-Metts")</f>
        <v>Kyrie Thoensen-Metts</v>
      </c>
      <c r="Q2960" s="6" t="str">
        <f>IFERROR(__xludf.DUMMYFUNCTION("""COMPUTED_VALUE"""),"MS")</f>
        <v>MS</v>
      </c>
      <c r="R2960" s="6">
        <f>IFERROR(__xludf.DUMMYFUNCTION("""COMPUTED_VALUE"""),0.0)</f>
        <v>0</v>
      </c>
      <c r="S2960" s="6" t="str">
        <f>IFERROR(__xludf.DUMMYFUNCTION("""COMPUTED_VALUE"""),"Genevra Self")</f>
        <v>Genevra Self</v>
      </c>
      <c r="T2960" s="6" t="str">
        <f>IFERROR(__xludf.DUMMYFUNCTION("""COMPUTED_VALUE"""),"genevra.self@studient.com")</f>
        <v>genevra.self@studient.com</v>
      </c>
      <c r="U2960" s="6" t="str">
        <f>IFERROR(__xludf.DUMMYFUNCTION("""COMPUTED_VALUE"""),"8")</f>
        <v>8</v>
      </c>
      <c r="V2960" s="6" t="str">
        <f>IFERROR(__xludf.DUMMYFUNCTION("""COMPUTED_VALUE"""),"English")</f>
        <v>English</v>
      </c>
      <c r="W2960" s="6" t="str">
        <f>IFERROR(__xludf.DUMMYFUNCTION("""COMPUTED_VALUE"""),"[]")</f>
        <v>[]</v>
      </c>
      <c r="X2960" s="6" t="str">
        <f>IFERROR(__xludf.DUMMYFUNCTION("""COMPUTED_VALUE"""),"Enrolled")</f>
        <v>Enrolled</v>
      </c>
    </row>
    <row r="2961">
      <c r="A2961" s="6" t="str">
        <f>IFERROR(__xludf.DUMMYFUNCTION("""COMPUTED_VALUE"""),"064-5198")</f>
        <v>064-5198</v>
      </c>
      <c r="B2961" s="6" t="str">
        <f>IFERROR(__xludf.DUMMYFUNCTION("""COMPUTED_VALUE"""),"64")</f>
        <v>64</v>
      </c>
      <c r="C2961" s="6" t="str">
        <f>IFERROR(__xludf.DUMMYFUNCTION("""COMPUTED_VALUE"""),"5198")</f>
        <v>5198</v>
      </c>
      <c r="D2961" s="6" t="str">
        <f>IFERROR(__xludf.DUMMYFUNCTION("""COMPUTED_VALUE"""),"Kyla")</f>
        <v>Kyla</v>
      </c>
      <c r="E2961" s="6" t="str">
        <f>IFERROR(__xludf.DUMMYFUNCTION("""COMPUTED_VALUE"""),"")</f>
        <v/>
      </c>
      <c r="F2961" s="6" t="str">
        <f>IFERROR(__xludf.DUMMYFUNCTION("""COMPUTED_VALUE"""),"Thomas")</f>
        <v>Thomas</v>
      </c>
      <c r="G2961" s="6" t="str">
        <f>IFERROR(__xludf.DUMMYFUNCTION("""COMPUTED_VALUE"""),"01/02/2012")</f>
        <v>01/02/2012</v>
      </c>
      <c r="H2961" s="6" t="str">
        <f>IFERROR(__xludf.DUMMYFUNCTION("""COMPUTED_VALUE"""),"Self Identify")</f>
        <v>Self Identify</v>
      </c>
      <c r="I2961" s="6" t="str">
        <f>IFERROR(__xludf.DUMMYFUNCTION("""COMPUTED_VALUE"""),"Middle School")</f>
        <v>Middle School</v>
      </c>
      <c r="J2961" s="6" t="str">
        <f>IFERROR(__xludf.DUMMYFUNCTION("""COMPUTED_VALUE"""),"8")</f>
        <v>8</v>
      </c>
      <c r="K2961" s="6" t="str">
        <f>IFERROR(__xludf.DUMMYFUNCTION("""COMPUTED_VALUE"""),"griffin_thomas@stu.ortrail.k12.or.us")</f>
        <v>griffin_thomas@stu.ortrail.k12.or.us</v>
      </c>
      <c r="L2961" s="6" t="str">
        <f>IFERROR(__xludf.DUMMYFUNCTION("""COMPUTED_VALUE"""),"Oregon Trail School District 46")</f>
        <v>Oregon Trail School District 46</v>
      </c>
      <c r="M2961" s="6" t="str">
        <f>IFERROR(__xludf.DUMMYFUNCTION("""COMPUTED_VALUE"""),"Welches Middle School Original Instruction")</f>
        <v>Welches Middle School Original Instruction</v>
      </c>
      <c r="N2961" s="6" t="str">
        <f>IFERROR(__xludf.DUMMYFUNCTION("""COMPUTED_VALUE"""),"")</f>
        <v/>
      </c>
      <c r="O2961" s="87" t="str">
        <f>IFERROR(__xludf.DUMMYFUNCTION("""COMPUTED_VALUE"""),"https://drive.google.com/drive/folders/10T2cTQHqEJZqE-st6uFKPoI?usp=share_link")</f>
        <v>https://drive.google.com/drive/folders/10T2cTQHqEJZqE-st6uFKPoI?usp=share_link</v>
      </c>
      <c r="P2961" s="6" t="str">
        <f>IFERROR(__xludf.DUMMYFUNCTION("""COMPUTED_VALUE"""),"Kyla Thomas")</f>
        <v>Kyla Thomas</v>
      </c>
      <c r="Q2961" s="6" t="str">
        <f>IFERROR(__xludf.DUMMYFUNCTION("""COMPUTED_VALUE"""),"MS")</f>
        <v>MS</v>
      </c>
      <c r="R2961" s="6">
        <f>IFERROR(__xludf.DUMMYFUNCTION("""COMPUTED_VALUE"""),0.0)</f>
        <v>0</v>
      </c>
      <c r="S2961" s="6" t="str">
        <f>IFERROR(__xludf.DUMMYFUNCTION("""COMPUTED_VALUE"""),"Genevra Self")</f>
        <v>Genevra Self</v>
      </c>
      <c r="T2961" s="6" t="str">
        <f>IFERROR(__xludf.DUMMYFUNCTION("""COMPUTED_VALUE"""),"genevra.self@studient.com")</f>
        <v>genevra.self@studient.com</v>
      </c>
      <c r="U2961" s="6" t="str">
        <f>IFERROR(__xludf.DUMMYFUNCTION("""COMPUTED_VALUE"""),"8")</f>
        <v>8</v>
      </c>
      <c r="V2961" s="6" t="str">
        <f>IFERROR(__xludf.DUMMYFUNCTION("""COMPUTED_VALUE"""),"English")</f>
        <v>English</v>
      </c>
      <c r="W2961" s="6" t="str">
        <f>IFERROR(__xludf.DUMMYFUNCTION("""COMPUTED_VALUE"""),"[]")</f>
        <v>[]</v>
      </c>
      <c r="X2961" s="6" t="str">
        <f>IFERROR(__xludf.DUMMYFUNCTION("""COMPUTED_VALUE"""),"Enrolled")</f>
        <v>Enrolled</v>
      </c>
    </row>
    <row r="2962">
      <c r="A2962" s="6" t="str">
        <f>IFERROR(__xludf.DUMMYFUNCTION("""COMPUTED_VALUE"""),"064-5199")</f>
        <v>064-5199</v>
      </c>
      <c r="B2962" s="6" t="str">
        <f>IFERROR(__xludf.DUMMYFUNCTION("""COMPUTED_VALUE"""),"64")</f>
        <v>64</v>
      </c>
      <c r="C2962" s="6" t="str">
        <f>IFERROR(__xludf.DUMMYFUNCTION("""COMPUTED_VALUE"""),"5199")</f>
        <v>5199</v>
      </c>
      <c r="D2962" s="6" t="str">
        <f>IFERROR(__xludf.DUMMYFUNCTION("""COMPUTED_VALUE"""),"Joseph")</f>
        <v>Joseph</v>
      </c>
      <c r="E2962" s="6" t="str">
        <f>IFERROR(__xludf.DUMMYFUNCTION("""COMPUTED_VALUE"""),"")</f>
        <v/>
      </c>
      <c r="F2962" s="6" t="str">
        <f>IFERROR(__xludf.DUMMYFUNCTION("""COMPUTED_VALUE"""),"Turner")</f>
        <v>Turner</v>
      </c>
      <c r="G2962" s="6" t="str">
        <f>IFERROR(__xludf.DUMMYFUNCTION("""COMPUTED_VALUE"""),"01/28/2012")</f>
        <v>01/28/2012</v>
      </c>
      <c r="H2962" s="6" t="str">
        <f>IFERROR(__xludf.DUMMYFUNCTION("""COMPUTED_VALUE"""),"Self Identify")</f>
        <v>Self Identify</v>
      </c>
      <c r="I2962" s="6" t="str">
        <f>IFERROR(__xludf.DUMMYFUNCTION("""COMPUTED_VALUE"""),"Middle School")</f>
        <v>Middle School</v>
      </c>
      <c r="J2962" s="6" t="str">
        <f>IFERROR(__xludf.DUMMYFUNCTION("""COMPUTED_VALUE"""),"8")</f>
        <v>8</v>
      </c>
      <c r="K2962" s="6" t="str">
        <f>IFERROR(__xludf.DUMMYFUNCTION("""COMPUTED_VALUE"""),"joey_turner@stu.ortrail.k12.or.us")</f>
        <v>joey_turner@stu.ortrail.k12.or.us</v>
      </c>
      <c r="L2962" s="6" t="str">
        <f>IFERROR(__xludf.DUMMYFUNCTION("""COMPUTED_VALUE"""),"Oregon Trail School District 46")</f>
        <v>Oregon Trail School District 46</v>
      </c>
      <c r="M2962" s="6" t="str">
        <f>IFERROR(__xludf.DUMMYFUNCTION("""COMPUTED_VALUE"""),"Welches Middle School Original Instruction")</f>
        <v>Welches Middle School Original Instruction</v>
      </c>
      <c r="N2962" s="6" t="str">
        <f>IFERROR(__xludf.DUMMYFUNCTION("""COMPUTED_VALUE"""),"")</f>
        <v/>
      </c>
      <c r="O2962" s="87" t="str">
        <f>IFERROR(__xludf.DUMMYFUNCTION("""COMPUTED_VALUE"""),"https://drive.google.com/drive/folders/10T2cTQHqEJZqE-st6uFKPoI?usp=share_link")</f>
        <v>https://drive.google.com/drive/folders/10T2cTQHqEJZqE-st6uFKPoI?usp=share_link</v>
      </c>
      <c r="P2962" s="6" t="str">
        <f>IFERROR(__xludf.DUMMYFUNCTION("""COMPUTED_VALUE"""),"Joseph Turner")</f>
        <v>Joseph Turner</v>
      </c>
      <c r="Q2962" s="6" t="str">
        <f>IFERROR(__xludf.DUMMYFUNCTION("""COMPUTED_VALUE"""),"MS")</f>
        <v>MS</v>
      </c>
      <c r="R2962" s="6">
        <f>IFERROR(__xludf.DUMMYFUNCTION("""COMPUTED_VALUE"""),0.0)</f>
        <v>0</v>
      </c>
      <c r="S2962" s="6" t="str">
        <f>IFERROR(__xludf.DUMMYFUNCTION("""COMPUTED_VALUE""")," ")</f>
        <v> </v>
      </c>
      <c r="T2962" s="6" t="str">
        <f>IFERROR(__xludf.DUMMYFUNCTION("""COMPUTED_VALUE"""),"")</f>
        <v/>
      </c>
      <c r="U2962" s="6" t="str">
        <f>IFERROR(__xludf.DUMMYFUNCTION("""COMPUTED_VALUE"""),"8")</f>
        <v>8</v>
      </c>
      <c r="V2962" s="6" t="str">
        <f>IFERROR(__xludf.DUMMYFUNCTION("""COMPUTED_VALUE"""),"English")</f>
        <v>English</v>
      </c>
      <c r="W2962" s="6" t="str">
        <f>IFERROR(__xludf.DUMMYFUNCTION("""COMPUTED_VALUE"""),"[]")</f>
        <v>[]</v>
      </c>
      <c r="X2962" s="6" t="str">
        <f>IFERROR(__xludf.DUMMYFUNCTION("""COMPUTED_VALUE"""),"Enrolled")</f>
        <v>Enrolled</v>
      </c>
    </row>
    <row r="2963">
      <c r="A2963" s="6" t="str">
        <f>IFERROR(__xludf.DUMMYFUNCTION("""COMPUTED_VALUE"""),"064-5644")</f>
        <v>064-5644</v>
      </c>
      <c r="B2963" s="6" t="str">
        <f>IFERROR(__xludf.DUMMYFUNCTION("""COMPUTED_VALUE"""),"64")</f>
        <v>64</v>
      </c>
      <c r="C2963" s="6" t="str">
        <f>IFERROR(__xludf.DUMMYFUNCTION("""COMPUTED_VALUE"""),"5644")</f>
        <v>5644</v>
      </c>
      <c r="D2963" s="6" t="str">
        <f>IFERROR(__xludf.DUMMYFUNCTION("""COMPUTED_VALUE"""),"Brooklyn")</f>
        <v>Brooklyn</v>
      </c>
      <c r="E2963" s="6" t="str">
        <f>IFERROR(__xludf.DUMMYFUNCTION("""COMPUTED_VALUE"""),"")</f>
        <v/>
      </c>
      <c r="F2963" s="6" t="str">
        <f>IFERROR(__xludf.DUMMYFUNCTION("""COMPUTED_VALUE"""),"Perry")</f>
        <v>Perry</v>
      </c>
      <c r="G2963" s="6" t="str">
        <f>IFERROR(__xludf.DUMMYFUNCTION("""COMPUTED_VALUE"""),"03/31/2012")</f>
        <v>03/31/2012</v>
      </c>
      <c r="H2963" s="6" t="str">
        <f>IFERROR(__xludf.DUMMYFUNCTION("""COMPUTED_VALUE"""),"Self Identify")</f>
        <v>Self Identify</v>
      </c>
      <c r="I2963" s="6" t="str">
        <f>IFERROR(__xludf.DUMMYFUNCTION("""COMPUTED_VALUE"""),"Middle School")</f>
        <v>Middle School</v>
      </c>
      <c r="J2963" s="6" t="str">
        <f>IFERROR(__xludf.DUMMYFUNCTION("""COMPUTED_VALUE"""),"8")</f>
        <v>8</v>
      </c>
      <c r="K2963" s="6" t="str">
        <f>IFERROR(__xludf.DUMMYFUNCTION("""COMPUTED_VALUE"""),"brooklyn_perry@stu.ortrail.k12.or.us")</f>
        <v>brooklyn_perry@stu.ortrail.k12.or.us</v>
      </c>
      <c r="L2963" s="6" t="str">
        <f>IFERROR(__xludf.DUMMYFUNCTION("""COMPUTED_VALUE"""),"Oregon Trail School District 46")</f>
        <v>Oregon Trail School District 46</v>
      </c>
      <c r="M2963" s="6" t="str">
        <f>IFERROR(__xludf.DUMMYFUNCTION("""COMPUTED_VALUE"""),"Welches Middle School Original Instruction")</f>
        <v>Welches Middle School Original Instruction</v>
      </c>
      <c r="N2963" s="6" t="str">
        <f>IFERROR(__xludf.DUMMYFUNCTION("""COMPUTED_VALUE"""),"")</f>
        <v/>
      </c>
      <c r="O2963" s="87" t="str">
        <f>IFERROR(__xludf.DUMMYFUNCTION("""COMPUTED_VALUE"""),"https://drive.google.com/drive/folders/10T2cTQHqEJZqE-st6uFKPoI?usp=share_link")</f>
        <v>https://drive.google.com/drive/folders/10T2cTQHqEJZqE-st6uFKPoI?usp=share_link</v>
      </c>
      <c r="P2963" s="6" t="str">
        <f>IFERROR(__xludf.DUMMYFUNCTION("""COMPUTED_VALUE"""),"Brooklyn Perry")</f>
        <v>Brooklyn Perry</v>
      </c>
      <c r="Q2963" s="6" t="str">
        <f>IFERROR(__xludf.DUMMYFUNCTION("""COMPUTED_VALUE"""),"MS")</f>
        <v>MS</v>
      </c>
      <c r="R2963" s="6">
        <f>IFERROR(__xludf.DUMMYFUNCTION("""COMPUTED_VALUE"""),0.0)</f>
        <v>0</v>
      </c>
      <c r="S2963" s="6" t="str">
        <f>IFERROR(__xludf.DUMMYFUNCTION("""COMPUTED_VALUE"""),"Genevra Self")</f>
        <v>Genevra Self</v>
      </c>
      <c r="T2963" s="6" t="str">
        <f>IFERROR(__xludf.DUMMYFUNCTION("""COMPUTED_VALUE"""),"genevra.self@studient.com")</f>
        <v>genevra.self@studient.com</v>
      </c>
      <c r="U2963" s="6" t="str">
        <f>IFERROR(__xludf.DUMMYFUNCTION("""COMPUTED_VALUE"""),"8")</f>
        <v>8</v>
      </c>
      <c r="V2963" s="6" t="str">
        <f>IFERROR(__xludf.DUMMYFUNCTION("""COMPUTED_VALUE"""),"English")</f>
        <v>English</v>
      </c>
      <c r="W2963" s="6" t="str">
        <f>IFERROR(__xludf.DUMMYFUNCTION("""COMPUTED_VALUE"""),"[]")</f>
        <v>[]</v>
      </c>
      <c r="X2963" s="6" t="str">
        <f>IFERROR(__xludf.DUMMYFUNCTION("""COMPUTED_VALUE"""),"Enrolled")</f>
        <v>Enrolled</v>
      </c>
    </row>
    <row r="2964">
      <c r="A2964" s="6" t="str">
        <f>IFERROR(__xludf.DUMMYFUNCTION("""COMPUTED_VALUE"""),"064-5726")</f>
        <v>064-5726</v>
      </c>
      <c r="B2964" s="6" t="str">
        <f>IFERROR(__xludf.DUMMYFUNCTION("""COMPUTED_VALUE"""),"64")</f>
        <v>64</v>
      </c>
      <c r="C2964" s="6" t="str">
        <f>IFERROR(__xludf.DUMMYFUNCTION("""COMPUTED_VALUE"""),"5726")</f>
        <v>5726</v>
      </c>
      <c r="D2964" s="6" t="str">
        <f>IFERROR(__xludf.DUMMYFUNCTION("""COMPUTED_VALUE"""),"Hunter D.")</f>
        <v>Hunter D.</v>
      </c>
      <c r="E2964" s="6" t="str">
        <f>IFERROR(__xludf.DUMMYFUNCTION("""COMPUTED_VALUE"""),"")</f>
        <v/>
      </c>
      <c r="F2964" s="6" t="str">
        <f>IFERROR(__xludf.DUMMYFUNCTION("""COMPUTED_VALUE"""),"Chilson")</f>
        <v>Chilson</v>
      </c>
      <c r="G2964" s="6" t="str">
        <f>IFERROR(__xludf.DUMMYFUNCTION("""COMPUTED_VALUE"""),"06/27/2013")</f>
        <v>06/27/2013</v>
      </c>
      <c r="H2964" s="6" t="str">
        <f>IFERROR(__xludf.DUMMYFUNCTION("""COMPUTED_VALUE"""),"Self Identify")</f>
        <v>Self Identify</v>
      </c>
      <c r="I2964" s="6" t="str">
        <f>IFERROR(__xludf.DUMMYFUNCTION("""COMPUTED_VALUE"""),"Middle School")</f>
        <v>Middle School</v>
      </c>
      <c r="J2964" s="6" t="str">
        <f>IFERROR(__xludf.DUMMYFUNCTION("""COMPUTED_VALUE"""),"6")</f>
        <v>6</v>
      </c>
      <c r="K2964" s="6" t="str">
        <f>IFERROR(__xludf.DUMMYFUNCTION("""COMPUTED_VALUE"""),"hunter_chilson@stu.ortrail.k12.or.us")</f>
        <v>hunter_chilson@stu.ortrail.k12.or.us</v>
      </c>
      <c r="L2964" s="6" t="str">
        <f>IFERROR(__xludf.DUMMYFUNCTION("""COMPUTED_VALUE"""),"Oregon Trail School District 46")</f>
        <v>Oregon Trail School District 46</v>
      </c>
      <c r="M2964" s="6" t="str">
        <f>IFERROR(__xludf.DUMMYFUNCTION("""COMPUTED_VALUE"""),"Boring Middle School")</f>
        <v>Boring Middle School</v>
      </c>
      <c r="N2964" s="6" t="str">
        <f>IFERROR(__xludf.DUMMYFUNCTION("""COMPUTED_VALUE"""),"")</f>
        <v/>
      </c>
      <c r="O2964" s="87" t="str">
        <f>IFERROR(__xludf.DUMMYFUNCTION("""COMPUTED_VALUE"""),"https://drive.google.com/drive/folders/10T2cTQHqEJZqE-st6uFKPoI?usp=share_link")</f>
        <v>https://drive.google.com/drive/folders/10T2cTQHqEJZqE-st6uFKPoI?usp=share_link</v>
      </c>
      <c r="P2964" s="6" t="str">
        <f>IFERROR(__xludf.DUMMYFUNCTION("""COMPUTED_VALUE"""),"Hunter D. Chilson")</f>
        <v>Hunter D. Chilson</v>
      </c>
      <c r="Q2964" s="6" t="str">
        <f>IFERROR(__xludf.DUMMYFUNCTION("""COMPUTED_VALUE"""),"MS")</f>
        <v>MS</v>
      </c>
      <c r="R2964" s="6">
        <f>IFERROR(__xludf.DUMMYFUNCTION("""COMPUTED_VALUE"""),0.0)</f>
        <v>0</v>
      </c>
      <c r="S2964" s="6" t="str">
        <f>IFERROR(__xludf.DUMMYFUNCTION("""COMPUTED_VALUE"""),"Amanda Bruce")</f>
        <v>Amanda Bruce</v>
      </c>
      <c r="T2964" s="6" t="str">
        <f>IFERROR(__xludf.DUMMYFUNCTION("""COMPUTED_VALUE"""),"amanda.bruce@ortrail.k12.or.us")</f>
        <v>amanda.bruce@ortrail.k12.or.us</v>
      </c>
      <c r="U2964" s="6" t="str">
        <f>IFERROR(__xludf.DUMMYFUNCTION("""COMPUTED_VALUE"""),"6")</f>
        <v>6</v>
      </c>
      <c r="V2964" s="6" t="str">
        <f>IFERROR(__xludf.DUMMYFUNCTION("""COMPUTED_VALUE"""),"English")</f>
        <v>English</v>
      </c>
      <c r="W2964" s="6" t="str">
        <f>IFERROR(__xludf.DUMMYFUNCTION("""COMPUTED_VALUE"""),"[]")</f>
        <v>[]</v>
      </c>
      <c r="X2964" s="6" t="str">
        <f>IFERROR(__xludf.DUMMYFUNCTION("""COMPUTED_VALUE"""),"Enrolled")</f>
        <v>Enrolled</v>
      </c>
    </row>
    <row r="2965">
      <c r="A2965" s="6" t="str">
        <f>IFERROR(__xludf.DUMMYFUNCTION("""COMPUTED_VALUE"""),"064-5727")</f>
        <v>064-5727</v>
      </c>
      <c r="B2965" s="6" t="str">
        <f>IFERROR(__xludf.DUMMYFUNCTION("""COMPUTED_VALUE"""),"64")</f>
        <v>64</v>
      </c>
      <c r="C2965" s="6" t="str">
        <f>IFERROR(__xludf.DUMMYFUNCTION("""COMPUTED_VALUE"""),"5727")</f>
        <v>5727</v>
      </c>
      <c r="D2965" s="6" t="str">
        <f>IFERROR(__xludf.DUMMYFUNCTION("""COMPUTED_VALUE"""),"Adrian E. Jr")</f>
        <v>Adrian E. Jr</v>
      </c>
      <c r="E2965" s="6" t="str">
        <f>IFERROR(__xludf.DUMMYFUNCTION("""COMPUTED_VALUE"""),"")</f>
        <v/>
      </c>
      <c r="F2965" s="6" t="str">
        <f>IFERROR(__xludf.DUMMYFUNCTION("""COMPUTED_VALUE"""),"Gill")</f>
        <v>Gill</v>
      </c>
      <c r="G2965" s="6" t="str">
        <f>IFERROR(__xludf.DUMMYFUNCTION("""COMPUTED_VALUE"""),"08/06/2014")</f>
        <v>08/06/2014</v>
      </c>
      <c r="H2965" s="6" t="str">
        <f>IFERROR(__xludf.DUMMYFUNCTION("""COMPUTED_VALUE"""),"Self Identify")</f>
        <v>Self Identify</v>
      </c>
      <c r="I2965" s="6" t="str">
        <f>IFERROR(__xludf.DUMMYFUNCTION("""COMPUTED_VALUE"""),"Middle School")</f>
        <v>Middle School</v>
      </c>
      <c r="J2965" s="6" t="str">
        <f>IFERROR(__xludf.DUMMYFUNCTION("""COMPUTED_VALUE"""),"6")</f>
        <v>6</v>
      </c>
      <c r="K2965" s="6" t="str">
        <f>IFERROR(__xludf.DUMMYFUNCTION("""COMPUTED_VALUE"""),"adrian_gill@stu.ortrail.k12.or.us")</f>
        <v>adrian_gill@stu.ortrail.k12.or.us</v>
      </c>
      <c r="L2965" s="6" t="str">
        <f>IFERROR(__xludf.DUMMYFUNCTION("""COMPUTED_VALUE"""),"Oregon Trail School District 46")</f>
        <v>Oregon Trail School District 46</v>
      </c>
      <c r="M2965" s="6" t="str">
        <f>IFERROR(__xludf.DUMMYFUNCTION("""COMPUTED_VALUE"""),"Boring Middle School")</f>
        <v>Boring Middle School</v>
      </c>
      <c r="N2965" s="6" t="str">
        <f>IFERROR(__xludf.DUMMYFUNCTION("""COMPUTED_VALUE"""),"")</f>
        <v/>
      </c>
      <c r="O2965" s="87" t="str">
        <f>IFERROR(__xludf.DUMMYFUNCTION("""COMPUTED_VALUE"""),"https://drive.google.com/drive/folders/10T2cTQHqEJZqE-st6uFKPoI?usp=share_link")</f>
        <v>https://drive.google.com/drive/folders/10T2cTQHqEJZqE-st6uFKPoI?usp=share_link</v>
      </c>
      <c r="P2965" s="6" t="str">
        <f>IFERROR(__xludf.DUMMYFUNCTION("""COMPUTED_VALUE"""),"Adrian E. Jr Gill")</f>
        <v>Adrian E. Jr Gill</v>
      </c>
      <c r="Q2965" s="6" t="str">
        <f>IFERROR(__xludf.DUMMYFUNCTION("""COMPUTED_VALUE"""),"MS")</f>
        <v>MS</v>
      </c>
      <c r="R2965" s="6">
        <f>IFERROR(__xludf.DUMMYFUNCTION("""COMPUTED_VALUE"""),0.0)</f>
        <v>0</v>
      </c>
      <c r="S2965" s="6" t="str">
        <f>IFERROR(__xludf.DUMMYFUNCTION("""COMPUTED_VALUE"""),"Amanda Bruce")</f>
        <v>Amanda Bruce</v>
      </c>
      <c r="T2965" s="6" t="str">
        <f>IFERROR(__xludf.DUMMYFUNCTION("""COMPUTED_VALUE"""),"amanda.bruce@ortrail.k12.or.us")</f>
        <v>amanda.bruce@ortrail.k12.or.us</v>
      </c>
      <c r="U2965" s="6" t="str">
        <f>IFERROR(__xludf.DUMMYFUNCTION("""COMPUTED_VALUE"""),"6")</f>
        <v>6</v>
      </c>
      <c r="V2965" s="6" t="str">
        <f>IFERROR(__xludf.DUMMYFUNCTION("""COMPUTED_VALUE"""),"English")</f>
        <v>English</v>
      </c>
      <c r="W2965" s="6" t="str">
        <f>IFERROR(__xludf.DUMMYFUNCTION("""COMPUTED_VALUE"""),"[]")</f>
        <v>[]</v>
      </c>
      <c r="X2965" s="6" t="str">
        <f>IFERROR(__xludf.DUMMYFUNCTION("""COMPUTED_VALUE"""),"Enrolled")</f>
        <v>Enrolled</v>
      </c>
    </row>
    <row r="2966">
      <c r="A2966" s="6" t="str">
        <f>IFERROR(__xludf.DUMMYFUNCTION("""COMPUTED_VALUE"""),"064-5729")</f>
        <v>064-5729</v>
      </c>
      <c r="B2966" s="6" t="str">
        <f>IFERROR(__xludf.DUMMYFUNCTION("""COMPUTED_VALUE"""),"64")</f>
        <v>64</v>
      </c>
      <c r="C2966" s="6" t="str">
        <f>IFERROR(__xludf.DUMMYFUNCTION("""COMPUTED_VALUE"""),"5729")</f>
        <v>5729</v>
      </c>
      <c r="D2966" s="6" t="str">
        <f>IFERROR(__xludf.DUMMYFUNCTION("""COMPUTED_VALUE"""),"Maverick R.")</f>
        <v>Maverick R.</v>
      </c>
      <c r="E2966" s="6" t="str">
        <f>IFERROR(__xludf.DUMMYFUNCTION("""COMPUTED_VALUE"""),"")</f>
        <v/>
      </c>
      <c r="F2966" s="6" t="str">
        <f>IFERROR(__xludf.DUMMYFUNCTION("""COMPUTED_VALUE"""),"Muhoberac")</f>
        <v>Muhoberac</v>
      </c>
      <c r="G2966" s="6" t="str">
        <f>IFERROR(__xludf.DUMMYFUNCTION("""COMPUTED_VALUE"""),"01/04/2014")</f>
        <v>01/04/2014</v>
      </c>
      <c r="H2966" s="6" t="str">
        <f>IFERROR(__xludf.DUMMYFUNCTION("""COMPUTED_VALUE"""),"Self Identify")</f>
        <v>Self Identify</v>
      </c>
      <c r="I2966" s="6" t="str">
        <f>IFERROR(__xludf.DUMMYFUNCTION("""COMPUTED_VALUE"""),"Middle School")</f>
        <v>Middle School</v>
      </c>
      <c r="J2966" s="6" t="str">
        <f>IFERROR(__xludf.DUMMYFUNCTION("""COMPUTED_VALUE"""),"6")</f>
        <v>6</v>
      </c>
      <c r="K2966" s="6" t="str">
        <f>IFERROR(__xludf.DUMMYFUNCTION("""COMPUTED_VALUE"""),"maverick_muhoberac@stu.ortrail.k12.or.us")</f>
        <v>maverick_muhoberac@stu.ortrail.k12.or.us</v>
      </c>
      <c r="L2966" s="6" t="str">
        <f>IFERROR(__xludf.DUMMYFUNCTION("""COMPUTED_VALUE"""),"Oregon Trail School District 46")</f>
        <v>Oregon Trail School District 46</v>
      </c>
      <c r="M2966" s="6" t="str">
        <f>IFERROR(__xludf.DUMMYFUNCTION("""COMPUTED_VALUE"""),"Boring Middle School")</f>
        <v>Boring Middle School</v>
      </c>
      <c r="N2966" s="6" t="str">
        <f>IFERROR(__xludf.DUMMYFUNCTION("""COMPUTED_VALUE"""),"")</f>
        <v/>
      </c>
      <c r="O2966" s="87" t="str">
        <f>IFERROR(__xludf.DUMMYFUNCTION("""COMPUTED_VALUE"""),"https://drive.google.com/drive/folders/10T2cTQHqEJZqE-st6uFKPoI?usp=share_link")</f>
        <v>https://drive.google.com/drive/folders/10T2cTQHqEJZqE-st6uFKPoI?usp=share_link</v>
      </c>
      <c r="P2966" s="6" t="str">
        <f>IFERROR(__xludf.DUMMYFUNCTION("""COMPUTED_VALUE"""),"Maverick R. Muhoberac")</f>
        <v>Maverick R. Muhoberac</v>
      </c>
      <c r="Q2966" s="6" t="str">
        <f>IFERROR(__xludf.DUMMYFUNCTION("""COMPUTED_VALUE"""),"MS")</f>
        <v>MS</v>
      </c>
      <c r="R2966" s="6">
        <f>IFERROR(__xludf.DUMMYFUNCTION("""COMPUTED_VALUE"""),0.0)</f>
        <v>0</v>
      </c>
      <c r="S2966" s="6" t="str">
        <f>IFERROR(__xludf.DUMMYFUNCTION("""COMPUTED_VALUE"""),"Amanda Bruce")</f>
        <v>Amanda Bruce</v>
      </c>
      <c r="T2966" s="6" t="str">
        <f>IFERROR(__xludf.DUMMYFUNCTION("""COMPUTED_VALUE"""),"amanda.bruce@ortrail.k12.or.us")</f>
        <v>amanda.bruce@ortrail.k12.or.us</v>
      </c>
      <c r="U2966" s="6" t="str">
        <f>IFERROR(__xludf.DUMMYFUNCTION("""COMPUTED_VALUE"""),"6")</f>
        <v>6</v>
      </c>
      <c r="V2966" s="6" t="str">
        <f>IFERROR(__xludf.DUMMYFUNCTION("""COMPUTED_VALUE"""),"English")</f>
        <v>English</v>
      </c>
      <c r="W2966" s="6" t="str">
        <f>IFERROR(__xludf.DUMMYFUNCTION("""COMPUTED_VALUE"""),"[]")</f>
        <v>[]</v>
      </c>
      <c r="X2966" s="6" t="str">
        <f>IFERROR(__xludf.DUMMYFUNCTION("""COMPUTED_VALUE"""),"Enrolled")</f>
        <v>Enrolled</v>
      </c>
    </row>
    <row r="2967">
      <c r="A2967" s="6" t="str">
        <f>IFERROR(__xludf.DUMMYFUNCTION("""COMPUTED_VALUE"""),"064-5730")</f>
        <v>064-5730</v>
      </c>
      <c r="B2967" s="6" t="str">
        <f>IFERROR(__xludf.DUMMYFUNCTION("""COMPUTED_VALUE"""),"64")</f>
        <v>64</v>
      </c>
      <c r="C2967" s="6" t="str">
        <f>IFERROR(__xludf.DUMMYFUNCTION("""COMPUTED_VALUE"""),"5730")</f>
        <v>5730</v>
      </c>
      <c r="D2967" s="6" t="str">
        <f>IFERROR(__xludf.DUMMYFUNCTION("""COMPUTED_VALUE"""),"Warren F.")</f>
        <v>Warren F.</v>
      </c>
      <c r="E2967" s="6" t="str">
        <f>IFERROR(__xludf.DUMMYFUNCTION("""COMPUTED_VALUE"""),"")</f>
        <v/>
      </c>
      <c r="F2967" s="6" t="str">
        <f>IFERROR(__xludf.DUMMYFUNCTION("""COMPUTED_VALUE"""),"Neumann")</f>
        <v>Neumann</v>
      </c>
      <c r="G2967" s="6" t="str">
        <f>IFERROR(__xludf.DUMMYFUNCTION("""COMPUTED_VALUE"""),"03/18/2014")</f>
        <v>03/18/2014</v>
      </c>
      <c r="H2967" s="6" t="str">
        <f>IFERROR(__xludf.DUMMYFUNCTION("""COMPUTED_VALUE"""),"Self Identify")</f>
        <v>Self Identify</v>
      </c>
      <c r="I2967" s="6" t="str">
        <f>IFERROR(__xludf.DUMMYFUNCTION("""COMPUTED_VALUE"""),"Middle School")</f>
        <v>Middle School</v>
      </c>
      <c r="J2967" s="6" t="str">
        <f>IFERROR(__xludf.DUMMYFUNCTION("""COMPUTED_VALUE"""),"6")</f>
        <v>6</v>
      </c>
      <c r="K2967" s="6" t="str">
        <f>IFERROR(__xludf.DUMMYFUNCTION("""COMPUTED_VALUE"""),"warren_neumann@stu.ortrail.k12.or.us")</f>
        <v>warren_neumann@stu.ortrail.k12.or.us</v>
      </c>
      <c r="L2967" s="6" t="str">
        <f>IFERROR(__xludf.DUMMYFUNCTION("""COMPUTED_VALUE"""),"Oregon Trail School District 46")</f>
        <v>Oregon Trail School District 46</v>
      </c>
      <c r="M2967" s="6" t="str">
        <f>IFERROR(__xludf.DUMMYFUNCTION("""COMPUTED_VALUE"""),"Boring Middle School")</f>
        <v>Boring Middle School</v>
      </c>
      <c r="N2967" s="6" t="str">
        <f>IFERROR(__xludf.DUMMYFUNCTION("""COMPUTED_VALUE"""),"")</f>
        <v/>
      </c>
      <c r="O2967" s="87" t="str">
        <f>IFERROR(__xludf.DUMMYFUNCTION("""COMPUTED_VALUE"""),"https://drive.google.com/drive/folders/10T2cTQHqEJZqE-st6uFKPoI?usp=share_link")</f>
        <v>https://drive.google.com/drive/folders/10T2cTQHqEJZqE-st6uFKPoI?usp=share_link</v>
      </c>
      <c r="P2967" s="6" t="str">
        <f>IFERROR(__xludf.DUMMYFUNCTION("""COMPUTED_VALUE"""),"Warren F. Neumann")</f>
        <v>Warren F. Neumann</v>
      </c>
      <c r="Q2967" s="6" t="str">
        <f>IFERROR(__xludf.DUMMYFUNCTION("""COMPUTED_VALUE"""),"MS")</f>
        <v>MS</v>
      </c>
      <c r="R2967" s="6">
        <f>IFERROR(__xludf.DUMMYFUNCTION("""COMPUTED_VALUE"""),0.0)</f>
        <v>0</v>
      </c>
      <c r="S2967" s="6" t="str">
        <f>IFERROR(__xludf.DUMMYFUNCTION("""COMPUTED_VALUE"""),"Amanda Bruce")</f>
        <v>Amanda Bruce</v>
      </c>
      <c r="T2967" s="6" t="str">
        <f>IFERROR(__xludf.DUMMYFUNCTION("""COMPUTED_VALUE"""),"amanda.bruce@ortrail.k12.or.us")</f>
        <v>amanda.bruce@ortrail.k12.or.us</v>
      </c>
      <c r="U2967" s="6" t="str">
        <f>IFERROR(__xludf.DUMMYFUNCTION("""COMPUTED_VALUE"""),"6")</f>
        <v>6</v>
      </c>
      <c r="V2967" s="6" t="str">
        <f>IFERROR(__xludf.DUMMYFUNCTION("""COMPUTED_VALUE"""),"English")</f>
        <v>English</v>
      </c>
      <c r="W2967" s="6" t="str">
        <f>IFERROR(__xludf.DUMMYFUNCTION("""COMPUTED_VALUE"""),"[]")</f>
        <v>[]</v>
      </c>
      <c r="X2967" s="6" t="str">
        <f>IFERROR(__xludf.DUMMYFUNCTION("""COMPUTED_VALUE"""),"Enrolled")</f>
        <v>Enrolled</v>
      </c>
    </row>
    <row r="2968">
      <c r="A2968" s="6" t="str">
        <f>IFERROR(__xludf.DUMMYFUNCTION("""COMPUTED_VALUE"""),"064-5731")</f>
        <v>064-5731</v>
      </c>
      <c r="B2968" s="6" t="str">
        <f>IFERROR(__xludf.DUMMYFUNCTION("""COMPUTED_VALUE"""),"64")</f>
        <v>64</v>
      </c>
      <c r="C2968" s="6" t="str">
        <f>IFERROR(__xludf.DUMMYFUNCTION("""COMPUTED_VALUE"""),"5731")</f>
        <v>5731</v>
      </c>
      <c r="D2968" s="6" t="str">
        <f>IFERROR(__xludf.DUMMYFUNCTION("""COMPUTED_VALUE"""),"Chase J.")</f>
        <v>Chase J.</v>
      </c>
      <c r="E2968" s="6" t="str">
        <f>IFERROR(__xludf.DUMMYFUNCTION("""COMPUTED_VALUE"""),"")</f>
        <v/>
      </c>
      <c r="F2968" s="6" t="str">
        <f>IFERROR(__xludf.DUMMYFUNCTION("""COMPUTED_VALUE"""),"Reynolds")</f>
        <v>Reynolds</v>
      </c>
      <c r="G2968" s="6" t="str">
        <f>IFERROR(__xludf.DUMMYFUNCTION("""COMPUTED_VALUE"""),"04/07/2014")</f>
        <v>04/07/2014</v>
      </c>
      <c r="H2968" s="6" t="str">
        <f>IFERROR(__xludf.DUMMYFUNCTION("""COMPUTED_VALUE"""),"Self Identify")</f>
        <v>Self Identify</v>
      </c>
      <c r="I2968" s="6" t="str">
        <f>IFERROR(__xludf.DUMMYFUNCTION("""COMPUTED_VALUE"""),"Middle School")</f>
        <v>Middle School</v>
      </c>
      <c r="J2968" s="6" t="str">
        <f>IFERROR(__xludf.DUMMYFUNCTION("""COMPUTED_VALUE"""),"6")</f>
        <v>6</v>
      </c>
      <c r="K2968" s="6" t="str">
        <f>IFERROR(__xludf.DUMMYFUNCTION("""COMPUTED_VALUE"""),"chase_reynolds@stu.ortrail.k12.or.us")</f>
        <v>chase_reynolds@stu.ortrail.k12.or.us</v>
      </c>
      <c r="L2968" s="6" t="str">
        <f>IFERROR(__xludf.DUMMYFUNCTION("""COMPUTED_VALUE"""),"Oregon Trail School District 46")</f>
        <v>Oregon Trail School District 46</v>
      </c>
      <c r="M2968" s="6" t="str">
        <f>IFERROR(__xludf.DUMMYFUNCTION("""COMPUTED_VALUE"""),"Cedar Ridge Middle School")</f>
        <v>Cedar Ridge Middle School</v>
      </c>
      <c r="N2968" s="6" t="str">
        <f>IFERROR(__xludf.DUMMYFUNCTION("""COMPUTED_VALUE"""),"")</f>
        <v/>
      </c>
      <c r="O2968" s="87" t="str">
        <f>IFERROR(__xludf.DUMMYFUNCTION("""COMPUTED_VALUE"""),"https://drive.google.com/drive/folders/10T2cTQHqEJZqE-st6uFKPoI?usp=share_link")</f>
        <v>https://drive.google.com/drive/folders/10T2cTQHqEJZqE-st6uFKPoI?usp=share_link</v>
      </c>
      <c r="P2968" s="6" t="str">
        <f>IFERROR(__xludf.DUMMYFUNCTION("""COMPUTED_VALUE"""),"Chase J. Reynolds")</f>
        <v>Chase J. Reynolds</v>
      </c>
      <c r="Q2968" s="6" t="str">
        <f>IFERROR(__xludf.DUMMYFUNCTION("""COMPUTED_VALUE"""),"MS")</f>
        <v>MS</v>
      </c>
      <c r="R2968" s="6">
        <f>IFERROR(__xludf.DUMMYFUNCTION("""COMPUTED_VALUE"""),0.0)</f>
        <v>0</v>
      </c>
      <c r="S2968" s="6" t="str">
        <f>IFERROR(__xludf.DUMMYFUNCTION("""COMPUTED_VALUE"""),"Kim Gallucci")</f>
        <v>Kim Gallucci</v>
      </c>
      <c r="T2968" s="6" t="str">
        <f>IFERROR(__xludf.DUMMYFUNCTION("""COMPUTED_VALUE"""),"kim.gallucci@ortrail.k12.or.us")</f>
        <v>kim.gallucci@ortrail.k12.or.us</v>
      </c>
      <c r="U2968" s="6" t="str">
        <f>IFERROR(__xludf.DUMMYFUNCTION("""COMPUTED_VALUE"""),"6")</f>
        <v>6</v>
      </c>
      <c r="V2968" s="6" t="str">
        <f>IFERROR(__xludf.DUMMYFUNCTION("""COMPUTED_VALUE"""),"English")</f>
        <v>English</v>
      </c>
      <c r="W2968" s="6" t="str">
        <f>IFERROR(__xludf.DUMMYFUNCTION("""COMPUTED_VALUE"""),"[]")</f>
        <v>[]</v>
      </c>
      <c r="X2968" s="6" t="str">
        <f>IFERROR(__xludf.DUMMYFUNCTION("""COMPUTED_VALUE"""),"Enrolled")</f>
        <v>Enrolled</v>
      </c>
    </row>
    <row r="2969">
      <c r="A2969" s="6" t="str">
        <f>IFERROR(__xludf.DUMMYFUNCTION("""COMPUTED_VALUE"""),"064-5732")</f>
        <v>064-5732</v>
      </c>
      <c r="B2969" s="6" t="str">
        <f>IFERROR(__xludf.DUMMYFUNCTION("""COMPUTED_VALUE"""),"64")</f>
        <v>64</v>
      </c>
      <c r="C2969" s="6" t="str">
        <f>IFERROR(__xludf.DUMMYFUNCTION("""COMPUTED_VALUE"""),"5732")</f>
        <v>5732</v>
      </c>
      <c r="D2969" s="6" t="str">
        <f>IFERROR(__xludf.DUMMYFUNCTION("""COMPUTED_VALUE"""),"Skylar K.")</f>
        <v>Skylar K.</v>
      </c>
      <c r="E2969" s="6" t="str">
        <f>IFERROR(__xludf.DUMMYFUNCTION("""COMPUTED_VALUE"""),"")</f>
        <v/>
      </c>
      <c r="F2969" s="6" t="str">
        <f>IFERROR(__xludf.DUMMYFUNCTION("""COMPUTED_VALUE"""),"Snow")</f>
        <v>Snow</v>
      </c>
      <c r="G2969" s="6" t="str">
        <f>IFERROR(__xludf.DUMMYFUNCTION("""COMPUTED_VALUE"""),"07/01/2014")</f>
        <v>07/01/2014</v>
      </c>
      <c r="H2969" s="6" t="str">
        <f>IFERROR(__xludf.DUMMYFUNCTION("""COMPUTED_VALUE"""),"Self Identify")</f>
        <v>Self Identify</v>
      </c>
      <c r="I2969" s="6" t="str">
        <f>IFERROR(__xludf.DUMMYFUNCTION("""COMPUTED_VALUE"""),"Middle School")</f>
        <v>Middle School</v>
      </c>
      <c r="J2969" s="6" t="str">
        <f>IFERROR(__xludf.DUMMYFUNCTION("""COMPUTED_VALUE"""),"6")</f>
        <v>6</v>
      </c>
      <c r="K2969" s="6" t="str">
        <f>IFERROR(__xludf.DUMMYFUNCTION("""COMPUTED_VALUE"""),"skylar_snow@stu.ortrail.k12.or.us")</f>
        <v>skylar_snow@stu.ortrail.k12.or.us</v>
      </c>
      <c r="L2969" s="6" t="str">
        <f>IFERROR(__xludf.DUMMYFUNCTION("""COMPUTED_VALUE"""),"Oregon Trail School District 46")</f>
        <v>Oregon Trail School District 46</v>
      </c>
      <c r="M2969" s="6" t="str">
        <f>IFERROR(__xludf.DUMMYFUNCTION("""COMPUTED_VALUE"""),"Boring Middle School")</f>
        <v>Boring Middle School</v>
      </c>
      <c r="N2969" s="6" t="str">
        <f>IFERROR(__xludf.DUMMYFUNCTION("""COMPUTED_VALUE"""),"")</f>
        <v/>
      </c>
      <c r="O2969" s="87" t="str">
        <f>IFERROR(__xludf.DUMMYFUNCTION("""COMPUTED_VALUE"""),"https://drive.google.com/drive/folders/10T2cTQHqEJZqE-st6uFKPoI?usp=share_link")</f>
        <v>https://drive.google.com/drive/folders/10T2cTQHqEJZqE-st6uFKPoI?usp=share_link</v>
      </c>
      <c r="P2969" s="6" t="str">
        <f>IFERROR(__xludf.DUMMYFUNCTION("""COMPUTED_VALUE"""),"Skylar K. Snow")</f>
        <v>Skylar K. Snow</v>
      </c>
      <c r="Q2969" s="6" t="str">
        <f>IFERROR(__xludf.DUMMYFUNCTION("""COMPUTED_VALUE"""),"MS")</f>
        <v>MS</v>
      </c>
      <c r="R2969" s="6">
        <f>IFERROR(__xludf.DUMMYFUNCTION("""COMPUTED_VALUE"""),0.0)</f>
        <v>0</v>
      </c>
      <c r="S2969" s="6" t="str">
        <f>IFERROR(__xludf.DUMMYFUNCTION("""COMPUTED_VALUE"""),"Amanda Bruce")</f>
        <v>Amanda Bruce</v>
      </c>
      <c r="T2969" s="6" t="str">
        <f>IFERROR(__xludf.DUMMYFUNCTION("""COMPUTED_VALUE"""),"amanda.bruce@ortrail.k12.or.us")</f>
        <v>amanda.bruce@ortrail.k12.or.us</v>
      </c>
      <c r="U2969" s="6" t="str">
        <f>IFERROR(__xludf.DUMMYFUNCTION("""COMPUTED_VALUE"""),"6")</f>
        <v>6</v>
      </c>
      <c r="V2969" s="6" t="str">
        <f>IFERROR(__xludf.DUMMYFUNCTION("""COMPUTED_VALUE"""),"English")</f>
        <v>English</v>
      </c>
      <c r="W2969" s="6" t="str">
        <f>IFERROR(__xludf.DUMMYFUNCTION("""COMPUTED_VALUE"""),"[]")</f>
        <v>[]</v>
      </c>
      <c r="X2969" s="6" t="str">
        <f>IFERROR(__xludf.DUMMYFUNCTION("""COMPUTED_VALUE"""),"Enrolled")</f>
        <v>Enrolled</v>
      </c>
    </row>
    <row r="2970">
      <c r="A2970" s="6" t="str">
        <f>IFERROR(__xludf.DUMMYFUNCTION("""COMPUTED_VALUE"""),"064-5733")</f>
        <v>064-5733</v>
      </c>
      <c r="B2970" s="6" t="str">
        <f>IFERROR(__xludf.DUMMYFUNCTION("""COMPUTED_VALUE"""),"64")</f>
        <v>64</v>
      </c>
      <c r="C2970" s="6" t="str">
        <f>IFERROR(__xludf.DUMMYFUNCTION("""COMPUTED_VALUE"""),"5733")</f>
        <v>5733</v>
      </c>
      <c r="D2970" s="6" t="str">
        <f>IFERROR(__xludf.DUMMYFUNCTION("""COMPUTED_VALUE"""),"Laney K.")</f>
        <v>Laney K.</v>
      </c>
      <c r="E2970" s="6" t="str">
        <f>IFERROR(__xludf.DUMMYFUNCTION("""COMPUTED_VALUE"""),"")</f>
        <v/>
      </c>
      <c r="F2970" s="6" t="str">
        <f>IFERROR(__xludf.DUMMYFUNCTION("""COMPUTED_VALUE"""),"Starr")</f>
        <v>Starr</v>
      </c>
      <c r="G2970" s="6" t="str">
        <f>IFERROR(__xludf.DUMMYFUNCTION("""COMPUTED_VALUE"""),"02/18/2014")</f>
        <v>02/18/2014</v>
      </c>
      <c r="H2970" s="6" t="str">
        <f>IFERROR(__xludf.DUMMYFUNCTION("""COMPUTED_VALUE"""),"Self Identify")</f>
        <v>Self Identify</v>
      </c>
      <c r="I2970" s="6" t="str">
        <f>IFERROR(__xludf.DUMMYFUNCTION("""COMPUTED_VALUE"""),"Middle School")</f>
        <v>Middle School</v>
      </c>
      <c r="J2970" s="6" t="str">
        <f>IFERROR(__xludf.DUMMYFUNCTION("""COMPUTED_VALUE"""),"6")</f>
        <v>6</v>
      </c>
      <c r="K2970" s="6" t="str">
        <f>IFERROR(__xludf.DUMMYFUNCTION("""COMPUTED_VALUE"""),"laney_starr@stu.ortrail.k12.or.us")</f>
        <v>laney_starr@stu.ortrail.k12.or.us</v>
      </c>
      <c r="L2970" s="6" t="str">
        <f>IFERROR(__xludf.DUMMYFUNCTION("""COMPUTED_VALUE"""),"Oregon Trail School District 46")</f>
        <v>Oregon Trail School District 46</v>
      </c>
      <c r="M2970" s="6" t="str">
        <f>IFERROR(__xludf.DUMMYFUNCTION("""COMPUTED_VALUE"""),"Boring Middle School")</f>
        <v>Boring Middle School</v>
      </c>
      <c r="N2970" s="6" t="str">
        <f>IFERROR(__xludf.DUMMYFUNCTION("""COMPUTED_VALUE"""),"")</f>
        <v/>
      </c>
      <c r="O2970" s="87" t="str">
        <f>IFERROR(__xludf.DUMMYFUNCTION("""COMPUTED_VALUE"""),"https://drive.google.com/drive/folders/10T2cTQHqEJZqE-st6uFKPoI?usp=share_link")</f>
        <v>https://drive.google.com/drive/folders/10T2cTQHqEJZqE-st6uFKPoI?usp=share_link</v>
      </c>
      <c r="P2970" s="6" t="str">
        <f>IFERROR(__xludf.DUMMYFUNCTION("""COMPUTED_VALUE"""),"Laney K. Starr")</f>
        <v>Laney K. Starr</v>
      </c>
      <c r="Q2970" s="6" t="str">
        <f>IFERROR(__xludf.DUMMYFUNCTION("""COMPUTED_VALUE"""),"MS")</f>
        <v>MS</v>
      </c>
      <c r="R2970" s="6">
        <f>IFERROR(__xludf.DUMMYFUNCTION("""COMPUTED_VALUE"""),0.0)</f>
        <v>0</v>
      </c>
      <c r="S2970" s="6" t="str">
        <f>IFERROR(__xludf.DUMMYFUNCTION("""COMPUTED_VALUE"""),"Amanda Bruce")</f>
        <v>Amanda Bruce</v>
      </c>
      <c r="T2970" s="6" t="str">
        <f>IFERROR(__xludf.DUMMYFUNCTION("""COMPUTED_VALUE"""),"amanda.bruce@ortrail.k12.or.us")</f>
        <v>amanda.bruce@ortrail.k12.or.us</v>
      </c>
      <c r="U2970" s="6" t="str">
        <f>IFERROR(__xludf.DUMMYFUNCTION("""COMPUTED_VALUE"""),"6")</f>
        <v>6</v>
      </c>
      <c r="V2970" s="6" t="str">
        <f>IFERROR(__xludf.DUMMYFUNCTION("""COMPUTED_VALUE"""),"English")</f>
        <v>English</v>
      </c>
      <c r="W2970" s="6" t="str">
        <f>IFERROR(__xludf.DUMMYFUNCTION("""COMPUTED_VALUE"""),"[]")</f>
        <v>[]</v>
      </c>
      <c r="X2970" s="6" t="str">
        <f>IFERROR(__xludf.DUMMYFUNCTION("""COMPUTED_VALUE"""),"Enrolled")</f>
        <v>Enrolled</v>
      </c>
    </row>
    <row r="2971">
      <c r="A2971" s="6" t="str">
        <f>IFERROR(__xludf.DUMMYFUNCTION("""COMPUTED_VALUE"""),"064-5734")</f>
        <v>064-5734</v>
      </c>
      <c r="B2971" s="6" t="str">
        <f>IFERROR(__xludf.DUMMYFUNCTION("""COMPUTED_VALUE"""),"64")</f>
        <v>64</v>
      </c>
      <c r="C2971" s="6" t="str">
        <f>IFERROR(__xludf.DUMMYFUNCTION("""COMPUTED_VALUE"""),"5734")</f>
        <v>5734</v>
      </c>
      <c r="D2971" s="6" t="str">
        <f>IFERROR(__xludf.DUMMYFUNCTION("""COMPUTED_VALUE"""),"Brendon M.")</f>
        <v>Brendon M.</v>
      </c>
      <c r="E2971" s="6" t="str">
        <f>IFERROR(__xludf.DUMMYFUNCTION("""COMPUTED_VALUE"""),"")</f>
        <v/>
      </c>
      <c r="F2971" s="6" t="str">
        <f>IFERROR(__xludf.DUMMYFUNCTION("""COMPUTED_VALUE"""),"Falten")</f>
        <v>Falten</v>
      </c>
      <c r="G2971" s="6" t="str">
        <f>IFERROR(__xludf.DUMMYFUNCTION("""COMPUTED_VALUE"""),"02/28/2013")</f>
        <v>02/28/2013</v>
      </c>
      <c r="H2971" s="6" t="str">
        <f>IFERROR(__xludf.DUMMYFUNCTION("""COMPUTED_VALUE"""),"Self Identify")</f>
        <v>Self Identify</v>
      </c>
      <c r="I2971" s="6" t="str">
        <f>IFERROR(__xludf.DUMMYFUNCTION("""COMPUTED_VALUE"""),"Middle School")</f>
        <v>Middle School</v>
      </c>
      <c r="J2971" s="6" t="str">
        <f>IFERROR(__xludf.DUMMYFUNCTION("""COMPUTED_VALUE"""),"7")</f>
        <v>7</v>
      </c>
      <c r="K2971" s="6" t="str">
        <f>IFERROR(__xludf.DUMMYFUNCTION("""COMPUTED_VALUE"""),"brendon_falten@stu.ortrail.k12.or.us")</f>
        <v>brendon_falten@stu.ortrail.k12.or.us</v>
      </c>
      <c r="L2971" s="6" t="str">
        <f>IFERROR(__xludf.DUMMYFUNCTION("""COMPUTED_VALUE"""),"Oregon Trail School District 46")</f>
        <v>Oregon Trail School District 46</v>
      </c>
      <c r="M2971" s="6" t="str">
        <f>IFERROR(__xludf.DUMMYFUNCTION("""COMPUTED_VALUE"""),"Boring Middle School")</f>
        <v>Boring Middle School</v>
      </c>
      <c r="N2971" s="6" t="str">
        <f>IFERROR(__xludf.DUMMYFUNCTION("""COMPUTED_VALUE"""),"")</f>
        <v/>
      </c>
      <c r="O2971" s="87" t="str">
        <f>IFERROR(__xludf.DUMMYFUNCTION("""COMPUTED_VALUE"""),"https://drive.google.com/drive/folders/10T2cTQHqEJZqE-st6uFKPoI?usp=share_link")</f>
        <v>https://drive.google.com/drive/folders/10T2cTQHqEJZqE-st6uFKPoI?usp=share_link</v>
      </c>
      <c r="P2971" s="6" t="str">
        <f>IFERROR(__xludf.DUMMYFUNCTION("""COMPUTED_VALUE"""),"Brendon M. Falten")</f>
        <v>Brendon M. Falten</v>
      </c>
      <c r="Q2971" s="6" t="str">
        <f>IFERROR(__xludf.DUMMYFUNCTION("""COMPUTED_VALUE"""),"MS")</f>
        <v>MS</v>
      </c>
      <c r="R2971" s="6">
        <f>IFERROR(__xludf.DUMMYFUNCTION("""COMPUTED_VALUE"""),0.0)</f>
        <v>0</v>
      </c>
      <c r="S2971" s="6" t="str">
        <f>IFERROR(__xludf.DUMMYFUNCTION("""COMPUTED_VALUE"""),"Amanda Bruce")</f>
        <v>Amanda Bruce</v>
      </c>
      <c r="T2971" s="6" t="str">
        <f>IFERROR(__xludf.DUMMYFUNCTION("""COMPUTED_VALUE"""),"amanda.bruce@ortrail.k12.or.us")</f>
        <v>amanda.bruce@ortrail.k12.or.us</v>
      </c>
      <c r="U2971" s="6" t="str">
        <f>IFERROR(__xludf.DUMMYFUNCTION("""COMPUTED_VALUE"""),"7")</f>
        <v>7</v>
      </c>
      <c r="V2971" s="6" t="str">
        <f>IFERROR(__xludf.DUMMYFUNCTION("""COMPUTED_VALUE"""),"English")</f>
        <v>English</v>
      </c>
      <c r="W2971" s="6" t="str">
        <f>IFERROR(__xludf.DUMMYFUNCTION("""COMPUTED_VALUE"""),"[]")</f>
        <v>[]</v>
      </c>
      <c r="X2971" s="6" t="str">
        <f>IFERROR(__xludf.DUMMYFUNCTION("""COMPUTED_VALUE"""),"Enrolled")</f>
        <v>Enrolled</v>
      </c>
    </row>
    <row r="2972">
      <c r="A2972" s="6" t="str">
        <f>IFERROR(__xludf.DUMMYFUNCTION("""COMPUTED_VALUE"""),"064-5735")</f>
        <v>064-5735</v>
      </c>
      <c r="B2972" s="6" t="str">
        <f>IFERROR(__xludf.DUMMYFUNCTION("""COMPUTED_VALUE"""),"64")</f>
        <v>64</v>
      </c>
      <c r="C2972" s="6" t="str">
        <f>IFERROR(__xludf.DUMMYFUNCTION("""COMPUTED_VALUE"""),"5735")</f>
        <v>5735</v>
      </c>
      <c r="D2972" s="6" t="str">
        <f>IFERROR(__xludf.DUMMYFUNCTION("""COMPUTED_VALUE"""),"David M.")</f>
        <v>David M.</v>
      </c>
      <c r="E2972" s="6" t="str">
        <f>IFERROR(__xludf.DUMMYFUNCTION("""COMPUTED_VALUE"""),"")</f>
        <v/>
      </c>
      <c r="F2972" s="6" t="str">
        <f>IFERROR(__xludf.DUMMYFUNCTION("""COMPUTED_VALUE"""),"Garrison")</f>
        <v>Garrison</v>
      </c>
      <c r="G2972" s="6" t="str">
        <f>IFERROR(__xludf.DUMMYFUNCTION("""COMPUTED_VALUE"""),"04/20/2012")</f>
        <v>04/20/2012</v>
      </c>
      <c r="H2972" s="6" t="str">
        <f>IFERROR(__xludf.DUMMYFUNCTION("""COMPUTED_VALUE"""),"Self Identify")</f>
        <v>Self Identify</v>
      </c>
      <c r="I2972" s="6" t="str">
        <f>IFERROR(__xludf.DUMMYFUNCTION("""COMPUTED_VALUE"""),"Middle School")</f>
        <v>Middle School</v>
      </c>
      <c r="J2972" s="6" t="str">
        <f>IFERROR(__xludf.DUMMYFUNCTION("""COMPUTED_VALUE"""),"7")</f>
        <v>7</v>
      </c>
      <c r="K2972" s="6" t="str">
        <f>IFERROR(__xludf.DUMMYFUNCTION("""COMPUTED_VALUE"""),"david_garrison@stu.ortrail.k12.or.us")</f>
        <v>david_garrison@stu.ortrail.k12.or.us</v>
      </c>
      <c r="L2972" s="6" t="str">
        <f>IFERROR(__xludf.DUMMYFUNCTION("""COMPUTED_VALUE"""),"Oregon Trail School District 46")</f>
        <v>Oregon Trail School District 46</v>
      </c>
      <c r="M2972" s="6" t="str">
        <f>IFERROR(__xludf.DUMMYFUNCTION("""COMPUTED_VALUE"""),"Boring Middle School")</f>
        <v>Boring Middle School</v>
      </c>
      <c r="N2972" s="6" t="str">
        <f>IFERROR(__xludf.DUMMYFUNCTION("""COMPUTED_VALUE"""),"")</f>
        <v/>
      </c>
      <c r="O2972" s="87" t="str">
        <f>IFERROR(__xludf.DUMMYFUNCTION("""COMPUTED_VALUE"""),"https://drive.google.com/drive/folders/10T2cTQHqEJZqE-st6uFKPoI?usp=share_link")</f>
        <v>https://drive.google.com/drive/folders/10T2cTQHqEJZqE-st6uFKPoI?usp=share_link</v>
      </c>
      <c r="P2972" s="6" t="str">
        <f>IFERROR(__xludf.DUMMYFUNCTION("""COMPUTED_VALUE"""),"David M. Garrison")</f>
        <v>David M. Garrison</v>
      </c>
      <c r="Q2972" s="6" t="str">
        <f>IFERROR(__xludf.DUMMYFUNCTION("""COMPUTED_VALUE"""),"MS")</f>
        <v>MS</v>
      </c>
      <c r="R2972" s="6">
        <f>IFERROR(__xludf.DUMMYFUNCTION("""COMPUTED_VALUE"""),0.0)</f>
        <v>0</v>
      </c>
      <c r="S2972" s="6" t="str">
        <f>IFERROR(__xludf.DUMMYFUNCTION("""COMPUTED_VALUE"""),"Amanda Bruce")</f>
        <v>Amanda Bruce</v>
      </c>
      <c r="T2972" s="6" t="str">
        <f>IFERROR(__xludf.DUMMYFUNCTION("""COMPUTED_VALUE"""),"amanda.bruce@ortrail.k12.or.us")</f>
        <v>amanda.bruce@ortrail.k12.or.us</v>
      </c>
      <c r="U2972" s="6" t="str">
        <f>IFERROR(__xludf.DUMMYFUNCTION("""COMPUTED_VALUE"""),"7")</f>
        <v>7</v>
      </c>
      <c r="V2972" s="6" t="str">
        <f>IFERROR(__xludf.DUMMYFUNCTION("""COMPUTED_VALUE"""),"English")</f>
        <v>English</v>
      </c>
      <c r="W2972" s="6" t="str">
        <f>IFERROR(__xludf.DUMMYFUNCTION("""COMPUTED_VALUE"""),"[]")</f>
        <v>[]</v>
      </c>
      <c r="X2972" s="6" t="str">
        <f>IFERROR(__xludf.DUMMYFUNCTION("""COMPUTED_VALUE"""),"Enrolled")</f>
        <v>Enrolled</v>
      </c>
    </row>
    <row r="2973">
      <c r="A2973" s="6" t="str">
        <f>IFERROR(__xludf.DUMMYFUNCTION("""COMPUTED_VALUE"""),"064-5736")</f>
        <v>064-5736</v>
      </c>
      <c r="B2973" s="6" t="str">
        <f>IFERROR(__xludf.DUMMYFUNCTION("""COMPUTED_VALUE"""),"64")</f>
        <v>64</v>
      </c>
      <c r="C2973" s="6" t="str">
        <f>IFERROR(__xludf.DUMMYFUNCTION("""COMPUTED_VALUE"""),"5736")</f>
        <v>5736</v>
      </c>
      <c r="D2973" s="6" t="str">
        <f>IFERROR(__xludf.DUMMYFUNCTION("""COMPUTED_VALUE"""),"Ashby F.")</f>
        <v>Ashby F.</v>
      </c>
      <c r="E2973" s="6" t="str">
        <f>IFERROR(__xludf.DUMMYFUNCTION("""COMPUTED_VALUE"""),"")</f>
        <v/>
      </c>
      <c r="F2973" s="6" t="str">
        <f>IFERROR(__xludf.DUMMYFUNCTION("""COMPUTED_VALUE"""),"Hammontree")</f>
        <v>Hammontree</v>
      </c>
      <c r="G2973" s="6" t="str">
        <f>IFERROR(__xludf.DUMMYFUNCTION("""COMPUTED_VALUE"""),"03/12/2012")</f>
        <v>03/12/2012</v>
      </c>
      <c r="H2973" s="6" t="str">
        <f>IFERROR(__xludf.DUMMYFUNCTION("""COMPUTED_VALUE"""),"Self Identify")</f>
        <v>Self Identify</v>
      </c>
      <c r="I2973" s="6" t="str">
        <f>IFERROR(__xludf.DUMMYFUNCTION("""COMPUTED_VALUE"""),"Middle School")</f>
        <v>Middle School</v>
      </c>
      <c r="J2973" s="6" t="str">
        <f>IFERROR(__xludf.DUMMYFUNCTION("""COMPUTED_VALUE"""),"7")</f>
        <v>7</v>
      </c>
      <c r="K2973" s="6" t="str">
        <f>IFERROR(__xludf.DUMMYFUNCTION("""COMPUTED_VALUE"""),"ashby_hammontree@stu.ortrail.k12.or.us")</f>
        <v>ashby_hammontree@stu.ortrail.k12.or.us</v>
      </c>
      <c r="L2973" s="6" t="str">
        <f>IFERROR(__xludf.DUMMYFUNCTION("""COMPUTED_VALUE"""),"Oregon Trail School District 46")</f>
        <v>Oregon Trail School District 46</v>
      </c>
      <c r="M2973" s="6" t="str">
        <f>IFERROR(__xludf.DUMMYFUNCTION("""COMPUTED_VALUE"""),"Boring Middle School")</f>
        <v>Boring Middle School</v>
      </c>
      <c r="N2973" s="6" t="str">
        <f>IFERROR(__xludf.DUMMYFUNCTION("""COMPUTED_VALUE"""),"")</f>
        <v/>
      </c>
      <c r="O2973" s="87" t="str">
        <f>IFERROR(__xludf.DUMMYFUNCTION("""COMPUTED_VALUE"""),"https://drive.google.com/drive/folders/10T2cTQHqEJZqE-st6uFKPoI?usp=share_link")</f>
        <v>https://drive.google.com/drive/folders/10T2cTQHqEJZqE-st6uFKPoI?usp=share_link</v>
      </c>
      <c r="P2973" s="6" t="str">
        <f>IFERROR(__xludf.DUMMYFUNCTION("""COMPUTED_VALUE"""),"Ashby F. Hammontree")</f>
        <v>Ashby F. Hammontree</v>
      </c>
      <c r="Q2973" s="6" t="str">
        <f>IFERROR(__xludf.DUMMYFUNCTION("""COMPUTED_VALUE"""),"MS")</f>
        <v>MS</v>
      </c>
      <c r="R2973" s="6">
        <f>IFERROR(__xludf.DUMMYFUNCTION("""COMPUTED_VALUE"""),0.0)</f>
        <v>0</v>
      </c>
      <c r="S2973" s="6" t="str">
        <f>IFERROR(__xludf.DUMMYFUNCTION("""COMPUTED_VALUE"""),"Amanda Bruce")</f>
        <v>Amanda Bruce</v>
      </c>
      <c r="T2973" s="6" t="str">
        <f>IFERROR(__xludf.DUMMYFUNCTION("""COMPUTED_VALUE"""),"amanda.bruce@ortrail.k12.or.us")</f>
        <v>amanda.bruce@ortrail.k12.or.us</v>
      </c>
      <c r="U2973" s="6" t="str">
        <f>IFERROR(__xludf.DUMMYFUNCTION("""COMPUTED_VALUE"""),"7")</f>
        <v>7</v>
      </c>
      <c r="V2973" s="6" t="str">
        <f>IFERROR(__xludf.DUMMYFUNCTION("""COMPUTED_VALUE"""),"English")</f>
        <v>English</v>
      </c>
      <c r="W2973" s="6" t="str">
        <f>IFERROR(__xludf.DUMMYFUNCTION("""COMPUTED_VALUE"""),"[]")</f>
        <v>[]</v>
      </c>
      <c r="X2973" s="6" t="str">
        <f>IFERROR(__xludf.DUMMYFUNCTION("""COMPUTED_VALUE"""),"Enrolled")</f>
        <v>Enrolled</v>
      </c>
    </row>
    <row r="2974">
      <c r="A2974" s="6" t="str">
        <f>IFERROR(__xludf.DUMMYFUNCTION("""COMPUTED_VALUE"""),"064-5737")</f>
        <v>064-5737</v>
      </c>
      <c r="B2974" s="6" t="str">
        <f>IFERROR(__xludf.DUMMYFUNCTION("""COMPUTED_VALUE"""),"64")</f>
        <v>64</v>
      </c>
      <c r="C2974" s="6" t="str">
        <f>IFERROR(__xludf.DUMMYFUNCTION("""COMPUTED_VALUE"""),"5737")</f>
        <v>5737</v>
      </c>
      <c r="D2974" s="6" t="str">
        <f>IFERROR(__xludf.DUMMYFUNCTION("""COMPUTED_VALUE"""),"Dustin M.")</f>
        <v>Dustin M.</v>
      </c>
      <c r="E2974" s="6" t="str">
        <f>IFERROR(__xludf.DUMMYFUNCTION("""COMPUTED_VALUE"""),"")</f>
        <v/>
      </c>
      <c r="F2974" s="6" t="str">
        <f>IFERROR(__xludf.DUMMYFUNCTION("""COMPUTED_VALUE"""),"Montiel")</f>
        <v>Montiel</v>
      </c>
      <c r="G2974" s="6" t="str">
        <f>IFERROR(__xludf.DUMMYFUNCTION("""COMPUTED_VALUE"""),"05/02/2013")</f>
        <v>05/02/2013</v>
      </c>
      <c r="H2974" s="6" t="str">
        <f>IFERROR(__xludf.DUMMYFUNCTION("""COMPUTED_VALUE"""),"Self Identify")</f>
        <v>Self Identify</v>
      </c>
      <c r="I2974" s="6" t="str">
        <f>IFERROR(__xludf.DUMMYFUNCTION("""COMPUTED_VALUE"""),"Middle School")</f>
        <v>Middle School</v>
      </c>
      <c r="J2974" s="6" t="str">
        <f>IFERROR(__xludf.DUMMYFUNCTION("""COMPUTED_VALUE"""),"7")</f>
        <v>7</v>
      </c>
      <c r="K2974" s="6" t="str">
        <f>IFERROR(__xludf.DUMMYFUNCTION("""COMPUTED_VALUE"""),"dustin_montiel@stu.ortrail.k12.or.us")</f>
        <v>dustin_montiel@stu.ortrail.k12.or.us</v>
      </c>
      <c r="L2974" s="6" t="str">
        <f>IFERROR(__xludf.DUMMYFUNCTION("""COMPUTED_VALUE"""),"Oregon Trail School District 46")</f>
        <v>Oregon Trail School District 46</v>
      </c>
      <c r="M2974" s="6" t="str">
        <f>IFERROR(__xludf.DUMMYFUNCTION("""COMPUTED_VALUE"""),"Boring Middle School")</f>
        <v>Boring Middle School</v>
      </c>
      <c r="N2974" s="6" t="str">
        <f>IFERROR(__xludf.DUMMYFUNCTION("""COMPUTED_VALUE"""),"")</f>
        <v/>
      </c>
      <c r="O2974" s="87" t="str">
        <f>IFERROR(__xludf.DUMMYFUNCTION("""COMPUTED_VALUE"""),"https://drive.google.com/drive/folders/10T2cTQHqEJZqE-st6uFKPoI?usp=share_link")</f>
        <v>https://drive.google.com/drive/folders/10T2cTQHqEJZqE-st6uFKPoI?usp=share_link</v>
      </c>
      <c r="P2974" s="6" t="str">
        <f>IFERROR(__xludf.DUMMYFUNCTION("""COMPUTED_VALUE"""),"Dustin M. Montiel")</f>
        <v>Dustin M. Montiel</v>
      </c>
      <c r="Q2974" s="6" t="str">
        <f>IFERROR(__xludf.DUMMYFUNCTION("""COMPUTED_VALUE"""),"MS")</f>
        <v>MS</v>
      </c>
      <c r="R2974" s="6">
        <f>IFERROR(__xludf.DUMMYFUNCTION("""COMPUTED_VALUE"""),0.0)</f>
        <v>0</v>
      </c>
      <c r="S2974" s="6" t="str">
        <f>IFERROR(__xludf.DUMMYFUNCTION("""COMPUTED_VALUE"""),"Amanda Bruce")</f>
        <v>Amanda Bruce</v>
      </c>
      <c r="T2974" s="6" t="str">
        <f>IFERROR(__xludf.DUMMYFUNCTION("""COMPUTED_VALUE"""),"amanda.bruce@ortrail.k12.or.us")</f>
        <v>amanda.bruce@ortrail.k12.or.us</v>
      </c>
      <c r="U2974" s="6" t="str">
        <f>IFERROR(__xludf.DUMMYFUNCTION("""COMPUTED_VALUE"""),"7")</f>
        <v>7</v>
      </c>
      <c r="V2974" s="6" t="str">
        <f>IFERROR(__xludf.DUMMYFUNCTION("""COMPUTED_VALUE"""),"English")</f>
        <v>English</v>
      </c>
      <c r="W2974" s="6" t="str">
        <f>IFERROR(__xludf.DUMMYFUNCTION("""COMPUTED_VALUE"""),"[]")</f>
        <v>[]</v>
      </c>
      <c r="X2974" s="6" t="str">
        <f>IFERROR(__xludf.DUMMYFUNCTION("""COMPUTED_VALUE"""),"Enrolled")</f>
        <v>Enrolled</v>
      </c>
    </row>
    <row r="2975">
      <c r="A2975" s="6" t="str">
        <f>IFERROR(__xludf.DUMMYFUNCTION("""COMPUTED_VALUE"""),"064-5738")</f>
        <v>064-5738</v>
      </c>
      <c r="B2975" s="6" t="str">
        <f>IFERROR(__xludf.DUMMYFUNCTION("""COMPUTED_VALUE"""),"64")</f>
        <v>64</v>
      </c>
      <c r="C2975" s="6" t="str">
        <f>IFERROR(__xludf.DUMMYFUNCTION("""COMPUTED_VALUE"""),"5738")</f>
        <v>5738</v>
      </c>
      <c r="D2975" s="6" t="str">
        <f>IFERROR(__xludf.DUMMYFUNCTION("""COMPUTED_VALUE"""),"Benjamin E.")</f>
        <v>Benjamin E.</v>
      </c>
      <c r="E2975" s="6" t="str">
        <f>IFERROR(__xludf.DUMMYFUNCTION("""COMPUTED_VALUE"""),"")</f>
        <v/>
      </c>
      <c r="F2975" s="6" t="str">
        <f>IFERROR(__xludf.DUMMYFUNCTION("""COMPUTED_VALUE"""),"Newton")</f>
        <v>Newton</v>
      </c>
      <c r="G2975" s="6" t="str">
        <f>IFERROR(__xludf.DUMMYFUNCTION("""COMPUTED_VALUE"""),"11/22/2012")</f>
        <v>11/22/2012</v>
      </c>
      <c r="H2975" s="6" t="str">
        <f>IFERROR(__xludf.DUMMYFUNCTION("""COMPUTED_VALUE"""),"Self Identify")</f>
        <v>Self Identify</v>
      </c>
      <c r="I2975" s="6" t="str">
        <f>IFERROR(__xludf.DUMMYFUNCTION("""COMPUTED_VALUE"""),"Middle School")</f>
        <v>Middle School</v>
      </c>
      <c r="J2975" s="6" t="str">
        <f>IFERROR(__xludf.DUMMYFUNCTION("""COMPUTED_VALUE"""),"7")</f>
        <v>7</v>
      </c>
      <c r="K2975" s="6" t="str">
        <f>IFERROR(__xludf.DUMMYFUNCTION("""COMPUTED_VALUE"""),"benjamin_newton@stu.ortrail.k12.or.us")</f>
        <v>benjamin_newton@stu.ortrail.k12.or.us</v>
      </c>
      <c r="L2975" s="6" t="str">
        <f>IFERROR(__xludf.DUMMYFUNCTION("""COMPUTED_VALUE"""),"Oregon Trail School District 46")</f>
        <v>Oregon Trail School District 46</v>
      </c>
      <c r="M2975" s="6" t="str">
        <f>IFERROR(__xludf.DUMMYFUNCTION("""COMPUTED_VALUE"""),"Boring Middle School")</f>
        <v>Boring Middle School</v>
      </c>
      <c r="N2975" s="6" t="str">
        <f>IFERROR(__xludf.DUMMYFUNCTION("""COMPUTED_VALUE"""),"")</f>
        <v/>
      </c>
      <c r="O2975" s="87" t="str">
        <f>IFERROR(__xludf.DUMMYFUNCTION("""COMPUTED_VALUE"""),"https://drive.google.com/drive/folders/10T2cTQHqEJZqE-st6uFKPoI?usp=share_link")</f>
        <v>https://drive.google.com/drive/folders/10T2cTQHqEJZqE-st6uFKPoI?usp=share_link</v>
      </c>
      <c r="P2975" s="6" t="str">
        <f>IFERROR(__xludf.DUMMYFUNCTION("""COMPUTED_VALUE"""),"Benjamin E. Newton")</f>
        <v>Benjamin E. Newton</v>
      </c>
      <c r="Q2975" s="6" t="str">
        <f>IFERROR(__xludf.DUMMYFUNCTION("""COMPUTED_VALUE"""),"MS")</f>
        <v>MS</v>
      </c>
      <c r="R2975" s="6">
        <f>IFERROR(__xludf.DUMMYFUNCTION("""COMPUTED_VALUE"""),0.0)</f>
        <v>0</v>
      </c>
      <c r="S2975" s="6" t="str">
        <f>IFERROR(__xludf.DUMMYFUNCTION("""COMPUTED_VALUE"""),"Amanda Bruce")</f>
        <v>Amanda Bruce</v>
      </c>
      <c r="T2975" s="6" t="str">
        <f>IFERROR(__xludf.DUMMYFUNCTION("""COMPUTED_VALUE"""),"amanda.bruce@ortrail.k12.or.us")</f>
        <v>amanda.bruce@ortrail.k12.or.us</v>
      </c>
      <c r="U2975" s="6" t="str">
        <f>IFERROR(__xludf.DUMMYFUNCTION("""COMPUTED_VALUE"""),"7")</f>
        <v>7</v>
      </c>
      <c r="V2975" s="6" t="str">
        <f>IFERROR(__xludf.DUMMYFUNCTION("""COMPUTED_VALUE"""),"English")</f>
        <v>English</v>
      </c>
      <c r="W2975" s="6" t="str">
        <f>IFERROR(__xludf.DUMMYFUNCTION("""COMPUTED_VALUE"""),"[]")</f>
        <v>[]</v>
      </c>
      <c r="X2975" s="6" t="str">
        <f>IFERROR(__xludf.DUMMYFUNCTION("""COMPUTED_VALUE"""),"Enrolled")</f>
        <v>Enrolled</v>
      </c>
    </row>
    <row r="2976">
      <c r="A2976" s="6" t="str">
        <f>IFERROR(__xludf.DUMMYFUNCTION("""COMPUTED_VALUE"""),"064-5739")</f>
        <v>064-5739</v>
      </c>
      <c r="B2976" s="6" t="str">
        <f>IFERROR(__xludf.DUMMYFUNCTION("""COMPUTED_VALUE"""),"64")</f>
        <v>64</v>
      </c>
      <c r="C2976" s="6" t="str">
        <f>IFERROR(__xludf.DUMMYFUNCTION("""COMPUTED_VALUE"""),"5739")</f>
        <v>5739</v>
      </c>
      <c r="D2976" s="6" t="str">
        <f>IFERROR(__xludf.DUMMYFUNCTION("""COMPUTED_VALUE"""),"Alexa A.")</f>
        <v>Alexa A.</v>
      </c>
      <c r="E2976" s="6" t="str">
        <f>IFERROR(__xludf.DUMMYFUNCTION("""COMPUTED_VALUE"""),"")</f>
        <v/>
      </c>
      <c r="F2976" s="6" t="str">
        <f>IFERROR(__xludf.DUMMYFUNCTION("""COMPUTED_VALUE"""),"Valdez")</f>
        <v>Valdez</v>
      </c>
      <c r="G2976" s="6" t="str">
        <f>IFERROR(__xludf.DUMMYFUNCTION("""COMPUTED_VALUE"""),"11/14/2011")</f>
        <v>11/14/2011</v>
      </c>
      <c r="H2976" s="6" t="str">
        <f>IFERROR(__xludf.DUMMYFUNCTION("""COMPUTED_VALUE"""),"Self Identify")</f>
        <v>Self Identify</v>
      </c>
      <c r="I2976" s="6" t="str">
        <f>IFERROR(__xludf.DUMMYFUNCTION("""COMPUTED_VALUE"""),"Middle School")</f>
        <v>Middle School</v>
      </c>
      <c r="J2976" s="6" t="str">
        <f>IFERROR(__xludf.DUMMYFUNCTION("""COMPUTED_VALUE"""),"7")</f>
        <v>7</v>
      </c>
      <c r="K2976" s="6" t="str">
        <f>IFERROR(__xludf.DUMMYFUNCTION("""COMPUTED_VALUE"""),"alexa_valdez@stu.ortrail.k12.or.us")</f>
        <v>alexa_valdez@stu.ortrail.k12.or.us</v>
      </c>
      <c r="L2976" s="6" t="str">
        <f>IFERROR(__xludf.DUMMYFUNCTION("""COMPUTED_VALUE"""),"Oregon Trail School District 46")</f>
        <v>Oregon Trail School District 46</v>
      </c>
      <c r="M2976" s="6" t="str">
        <f>IFERROR(__xludf.DUMMYFUNCTION("""COMPUTED_VALUE"""),"Boring Middle School")</f>
        <v>Boring Middle School</v>
      </c>
      <c r="N2976" s="6" t="str">
        <f>IFERROR(__xludf.DUMMYFUNCTION("""COMPUTED_VALUE"""),"")</f>
        <v/>
      </c>
      <c r="O2976" s="87" t="str">
        <f>IFERROR(__xludf.DUMMYFUNCTION("""COMPUTED_VALUE"""),"https://drive.google.com/drive/folders/10T2cTQHqEJZqE-st6uFKPoI?usp=share_link")</f>
        <v>https://drive.google.com/drive/folders/10T2cTQHqEJZqE-st6uFKPoI?usp=share_link</v>
      </c>
      <c r="P2976" s="6" t="str">
        <f>IFERROR(__xludf.DUMMYFUNCTION("""COMPUTED_VALUE"""),"Alexa A. Valdez")</f>
        <v>Alexa A. Valdez</v>
      </c>
      <c r="Q2976" s="6" t="str">
        <f>IFERROR(__xludf.DUMMYFUNCTION("""COMPUTED_VALUE"""),"MS")</f>
        <v>MS</v>
      </c>
      <c r="R2976" s="6">
        <f>IFERROR(__xludf.DUMMYFUNCTION("""COMPUTED_VALUE"""),0.0)</f>
        <v>0</v>
      </c>
      <c r="S2976" s="6" t="str">
        <f>IFERROR(__xludf.DUMMYFUNCTION("""COMPUTED_VALUE"""),"Amanda Bruce")</f>
        <v>Amanda Bruce</v>
      </c>
      <c r="T2976" s="6" t="str">
        <f>IFERROR(__xludf.DUMMYFUNCTION("""COMPUTED_VALUE"""),"amanda.bruce@ortrail.k12.or.us")</f>
        <v>amanda.bruce@ortrail.k12.or.us</v>
      </c>
      <c r="U2976" s="6" t="str">
        <f>IFERROR(__xludf.DUMMYFUNCTION("""COMPUTED_VALUE"""),"7")</f>
        <v>7</v>
      </c>
      <c r="V2976" s="6" t="str">
        <f>IFERROR(__xludf.DUMMYFUNCTION("""COMPUTED_VALUE"""),"English")</f>
        <v>English</v>
      </c>
      <c r="W2976" s="6" t="str">
        <f>IFERROR(__xludf.DUMMYFUNCTION("""COMPUTED_VALUE"""),"[]")</f>
        <v>[]</v>
      </c>
      <c r="X2976" s="6" t="str">
        <f>IFERROR(__xludf.DUMMYFUNCTION("""COMPUTED_VALUE"""),"Enrolled")</f>
        <v>Enrolled</v>
      </c>
    </row>
    <row r="2977">
      <c r="A2977" s="6" t="str">
        <f>IFERROR(__xludf.DUMMYFUNCTION("""COMPUTED_VALUE"""),"064-5740")</f>
        <v>064-5740</v>
      </c>
      <c r="B2977" s="6" t="str">
        <f>IFERROR(__xludf.DUMMYFUNCTION("""COMPUTED_VALUE"""),"64")</f>
        <v>64</v>
      </c>
      <c r="C2977" s="6" t="str">
        <f>IFERROR(__xludf.DUMMYFUNCTION("""COMPUTED_VALUE"""),"5740")</f>
        <v>5740</v>
      </c>
      <c r="D2977" s="6" t="str">
        <f>IFERROR(__xludf.DUMMYFUNCTION("""COMPUTED_VALUE"""),"Cadence J.")</f>
        <v>Cadence J.</v>
      </c>
      <c r="E2977" s="6" t="str">
        <f>IFERROR(__xludf.DUMMYFUNCTION("""COMPUTED_VALUE"""),"")</f>
        <v/>
      </c>
      <c r="F2977" s="6" t="str">
        <f>IFERROR(__xludf.DUMMYFUNCTION("""COMPUTED_VALUE"""),"Brown")</f>
        <v>Brown</v>
      </c>
      <c r="G2977" s="6" t="str">
        <f>IFERROR(__xludf.DUMMYFUNCTION("""COMPUTED_VALUE"""),"08/11/2012")</f>
        <v>08/11/2012</v>
      </c>
      <c r="H2977" s="6" t="str">
        <f>IFERROR(__xludf.DUMMYFUNCTION("""COMPUTED_VALUE"""),"Self Identify")</f>
        <v>Self Identify</v>
      </c>
      <c r="I2977" s="6" t="str">
        <f>IFERROR(__xludf.DUMMYFUNCTION("""COMPUTED_VALUE"""),"Middle School")</f>
        <v>Middle School</v>
      </c>
      <c r="J2977" s="6" t="str">
        <f>IFERROR(__xludf.DUMMYFUNCTION("""COMPUTED_VALUE"""),"8")</f>
        <v>8</v>
      </c>
      <c r="K2977" s="6" t="str">
        <f>IFERROR(__xludf.DUMMYFUNCTION("""COMPUTED_VALUE"""),"cadence_brown@stu.ortrail.k12.or.us")</f>
        <v>cadence_brown@stu.ortrail.k12.or.us</v>
      </c>
      <c r="L2977" s="6" t="str">
        <f>IFERROR(__xludf.DUMMYFUNCTION("""COMPUTED_VALUE"""),"Oregon Trail School District 46")</f>
        <v>Oregon Trail School District 46</v>
      </c>
      <c r="M2977" s="6" t="str">
        <f>IFERROR(__xludf.DUMMYFUNCTION("""COMPUTED_VALUE"""),"Boring Middle School")</f>
        <v>Boring Middle School</v>
      </c>
      <c r="N2977" s="6" t="str">
        <f>IFERROR(__xludf.DUMMYFUNCTION("""COMPUTED_VALUE"""),"")</f>
        <v/>
      </c>
      <c r="O2977" s="87" t="str">
        <f>IFERROR(__xludf.DUMMYFUNCTION("""COMPUTED_VALUE"""),"https://drive.google.com/drive/folders/10T2cTQHqEJZqE-st6uFKPoI?usp=share_link")</f>
        <v>https://drive.google.com/drive/folders/10T2cTQHqEJZqE-st6uFKPoI?usp=share_link</v>
      </c>
      <c r="P2977" s="6" t="str">
        <f>IFERROR(__xludf.DUMMYFUNCTION("""COMPUTED_VALUE"""),"Cadence J. Brown")</f>
        <v>Cadence J. Brown</v>
      </c>
      <c r="Q2977" s="6" t="str">
        <f>IFERROR(__xludf.DUMMYFUNCTION("""COMPUTED_VALUE"""),"MS")</f>
        <v>MS</v>
      </c>
      <c r="R2977" s="6">
        <f>IFERROR(__xludf.DUMMYFUNCTION("""COMPUTED_VALUE"""),0.0)</f>
        <v>0</v>
      </c>
      <c r="S2977" s="6" t="str">
        <f>IFERROR(__xludf.DUMMYFUNCTION("""COMPUTED_VALUE"""),"Amanda Bruce")</f>
        <v>Amanda Bruce</v>
      </c>
      <c r="T2977" s="6" t="str">
        <f>IFERROR(__xludf.DUMMYFUNCTION("""COMPUTED_VALUE"""),"amanda.bruce@ortrail.k12.or.us")</f>
        <v>amanda.bruce@ortrail.k12.or.us</v>
      </c>
      <c r="U2977" s="6" t="str">
        <f>IFERROR(__xludf.DUMMYFUNCTION("""COMPUTED_VALUE"""),"8")</f>
        <v>8</v>
      </c>
      <c r="V2977" s="6" t="str">
        <f>IFERROR(__xludf.DUMMYFUNCTION("""COMPUTED_VALUE"""),"English")</f>
        <v>English</v>
      </c>
      <c r="W2977" s="6" t="str">
        <f>IFERROR(__xludf.DUMMYFUNCTION("""COMPUTED_VALUE"""),"[]")</f>
        <v>[]</v>
      </c>
      <c r="X2977" s="6" t="str">
        <f>IFERROR(__xludf.DUMMYFUNCTION("""COMPUTED_VALUE"""),"Enrolled")</f>
        <v>Enrolled</v>
      </c>
    </row>
    <row r="2978">
      <c r="A2978" s="6" t="str">
        <f>IFERROR(__xludf.DUMMYFUNCTION("""COMPUTED_VALUE"""),"064-5741")</f>
        <v>064-5741</v>
      </c>
      <c r="B2978" s="6" t="str">
        <f>IFERROR(__xludf.DUMMYFUNCTION("""COMPUTED_VALUE"""),"64")</f>
        <v>64</v>
      </c>
      <c r="C2978" s="6" t="str">
        <f>IFERROR(__xludf.DUMMYFUNCTION("""COMPUTED_VALUE"""),"5741")</f>
        <v>5741</v>
      </c>
      <c r="D2978" s="6" t="str">
        <f>IFERROR(__xludf.DUMMYFUNCTION("""COMPUTED_VALUE"""),"Andrew S.")</f>
        <v>Andrew S.</v>
      </c>
      <c r="E2978" s="6" t="str">
        <f>IFERROR(__xludf.DUMMYFUNCTION("""COMPUTED_VALUE"""),"")</f>
        <v/>
      </c>
      <c r="F2978" s="6" t="str">
        <f>IFERROR(__xludf.DUMMYFUNCTION("""COMPUTED_VALUE"""),"Ilinich")</f>
        <v>Ilinich</v>
      </c>
      <c r="G2978" s="6" t="str">
        <f>IFERROR(__xludf.DUMMYFUNCTION("""COMPUTED_VALUE"""),"08/21/2011")</f>
        <v>08/21/2011</v>
      </c>
      <c r="H2978" s="6" t="str">
        <f>IFERROR(__xludf.DUMMYFUNCTION("""COMPUTED_VALUE"""),"Self Identify")</f>
        <v>Self Identify</v>
      </c>
      <c r="I2978" s="6" t="str">
        <f>IFERROR(__xludf.DUMMYFUNCTION("""COMPUTED_VALUE"""),"Middle School")</f>
        <v>Middle School</v>
      </c>
      <c r="J2978" s="6" t="str">
        <f>IFERROR(__xludf.DUMMYFUNCTION("""COMPUTED_VALUE"""),"8")</f>
        <v>8</v>
      </c>
      <c r="K2978" s="6" t="str">
        <f>IFERROR(__xludf.DUMMYFUNCTION("""COMPUTED_VALUE"""),"andrew_ilinich@stu.ortrail.k12.or.us")</f>
        <v>andrew_ilinich@stu.ortrail.k12.or.us</v>
      </c>
      <c r="L2978" s="6" t="str">
        <f>IFERROR(__xludf.DUMMYFUNCTION("""COMPUTED_VALUE"""),"Oregon Trail School District 46")</f>
        <v>Oregon Trail School District 46</v>
      </c>
      <c r="M2978" s="6" t="str">
        <f>IFERROR(__xludf.DUMMYFUNCTION("""COMPUTED_VALUE"""),"Boring Middle School")</f>
        <v>Boring Middle School</v>
      </c>
      <c r="N2978" s="6" t="str">
        <f>IFERROR(__xludf.DUMMYFUNCTION("""COMPUTED_VALUE"""),"")</f>
        <v/>
      </c>
      <c r="O2978" s="87" t="str">
        <f>IFERROR(__xludf.DUMMYFUNCTION("""COMPUTED_VALUE"""),"https://drive.google.com/drive/folders/10T2cTQHqEJZqE-st6uFKPoI?usp=share_link")</f>
        <v>https://drive.google.com/drive/folders/10T2cTQHqEJZqE-st6uFKPoI?usp=share_link</v>
      </c>
      <c r="P2978" s="6" t="str">
        <f>IFERROR(__xludf.DUMMYFUNCTION("""COMPUTED_VALUE"""),"Andrew S. Ilinich")</f>
        <v>Andrew S. Ilinich</v>
      </c>
      <c r="Q2978" s="6" t="str">
        <f>IFERROR(__xludf.DUMMYFUNCTION("""COMPUTED_VALUE"""),"MS")</f>
        <v>MS</v>
      </c>
      <c r="R2978" s="6">
        <f>IFERROR(__xludf.DUMMYFUNCTION("""COMPUTED_VALUE"""),0.0)</f>
        <v>0</v>
      </c>
      <c r="S2978" s="6" t="str">
        <f>IFERROR(__xludf.DUMMYFUNCTION("""COMPUTED_VALUE"""),"Amanda Bruce")</f>
        <v>Amanda Bruce</v>
      </c>
      <c r="T2978" s="6" t="str">
        <f>IFERROR(__xludf.DUMMYFUNCTION("""COMPUTED_VALUE"""),"amanda.bruce@ortrail.k12.or.us")</f>
        <v>amanda.bruce@ortrail.k12.or.us</v>
      </c>
      <c r="U2978" s="6" t="str">
        <f>IFERROR(__xludf.DUMMYFUNCTION("""COMPUTED_VALUE"""),"8")</f>
        <v>8</v>
      </c>
      <c r="V2978" s="6" t="str">
        <f>IFERROR(__xludf.DUMMYFUNCTION("""COMPUTED_VALUE"""),"English")</f>
        <v>English</v>
      </c>
      <c r="W2978" s="6" t="str">
        <f>IFERROR(__xludf.DUMMYFUNCTION("""COMPUTED_VALUE"""),"[]")</f>
        <v>[]</v>
      </c>
      <c r="X2978" s="6" t="str">
        <f>IFERROR(__xludf.DUMMYFUNCTION("""COMPUTED_VALUE"""),"Enrolled")</f>
        <v>Enrolled</v>
      </c>
    </row>
    <row r="2979">
      <c r="A2979" s="6" t="str">
        <f>IFERROR(__xludf.DUMMYFUNCTION("""COMPUTED_VALUE"""),"064-5742")</f>
        <v>064-5742</v>
      </c>
      <c r="B2979" s="6" t="str">
        <f>IFERROR(__xludf.DUMMYFUNCTION("""COMPUTED_VALUE"""),"64")</f>
        <v>64</v>
      </c>
      <c r="C2979" s="6" t="str">
        <f>IFERROR(__xludf.DUMMYFUNCTION("""COMPUTED_VALUE"""),"5742")</f>
        <v>5742</v>
      </c>
      <c r="D2979" s="6" t="str">
        <f>IFERROR(__xludf.DUMMYFUNCTION("""COMPUTED_VALUE"""),"Nolen C.")</f>
        <v>Nolen C.</v>
      </c>
      <c r="E2979" s="6" t="str">
        <f>IFERROR(__xludf.DUMMYFUNCTION("""COMPUTED_VALUE"""),"")</f>
        <v/>
      </c>
      <c r="F2979" s="6" t="str">
        <f>IFERROR(__xludf.DUMMYFUNCTION("""COMPUTED_VALUE"""),"Litchfield")</f>
        <v>Litchfield</v>
      </c>
      <c r="G2979" s="6" t="str">
        <f>IFERROR(__xludf.DUMMYFUNCTION("""COMPUTED_VALUE"""),"12/30/2011")</f>
        <v>12/30/2011</v>
      </c>
      <c r="H2979" s="6" t="str">
        <f>IFERROR(__xludf.DUMMYFUNCTION("""COMPUTED_VALUE"""),"Self Identify")</f>
        <v>Self Identify</v>
      </c>
      <c r="I2979" s="6" t="str">
        <f>IFERROR(__xludf.DUMMYFUNCTION("""COMPUTED_VALUE"""),"Middle School")</f>
        <v>Middle School</v>
      </c>
      <c r="J2979" s="6" t="str">
        <f>IFERROR(__xludf.DUMMYFUNCTION("""COMPUTED_VALUE"""),"8")</f>
        <v>8</v>
      </c>
      <c r="K2979" s="6" t="str">
        <f>IFERROR(__xludf.DUMMYFUNCTION("""COMPUTED_VALUE"""),"nolen_litchfield@stu.ortrail.k12.or.us")</f>
        <v>nolen_litchfield@stu.ortrail.k12.or.us</v>
      </c>
      <c r="L2979" s="6" t="str">
        <f>IFERROR(__xludf.DUMMYFUNCTION("""COMPUTED_VALUE"""),"Oregon Trail School District 46")</f>
        <v>Oregon Trail School District 46</v>
      </c>
      <c r="M2979" s="6" t="str">
        <f>IFERROR(__xludf.DUMMYFUNCTION("""COMPUTED_VALUE"""),"Boring Middle School")</f>
        <v>Boring Middle School</v>
      </c>
      <c r="N2979" s="6" t="str">
        <f>IFERROR(__xludf.DUMMYFUNCTION("""COMPUTED_VALUE"""),"")</f>
        <v/>
      </c>
      <c r="O2979" s="87" t="str">
        <f>IFERROR(__xludf.DUMMYFUNCTION("""COMPUTED_VALUE"""),"https://drive.google.com/drive/folders/10T2cTQHqEJZqE-st6uFKPoI?usp=share_link")</f>
        <v>https://drive.google.com/drive/folders/10T2cTQHqEJZqE-st6uFKPoI?usp=share_link</v>
      </c>
      <c r="P2979" s="6" t="str">
        <f>IFERROR(__xludf.DUMMYFUNCTION("""COMPUTED_VALUE"""),"Nolen C. Litchfield")</f>
        <v>Nolen C. Litchfield</v>
      </c>
      <c r="Q2979" s="6" t="str">
        <f>IFERROR(__xludf.DUMMYFUNCTION("""COMPUTED_VALUE"""),"MS")</f>
        <v>MS</v>
      </c>
      <c r="R2979" s="6">
        <f>IFERROR(__xludf.DUMMYFUNCTION("""COMPUTED_VALUE"""),0.0)</f>
        <v>0</v>
      </c>
      <c r="S2979" s="6" t="str">
        <f>IFERROR(__xludf.DUMMYFUNCTION("""COMPUTED_VALUE"""),"Amanda Bruce")</f>
        <v>Amanda Bruce</v>
      </c>
      <c r="T2979" s="6" t="str">
        <f>IFERROR(__xludf.DUMMYFUNCTION("""COMPUTED_VALUE"""),"amanda.bruce@ortrail.k12.or.us")</f>
        <v>amanda.bruce@ortrail.k12.or.us</v>
      </c>
      <c r="U2979" s="6" t="str">
        <f>IFERROR(__xludf.DUMMYFUNCTION("""COMPUTED_VALUE"""),"8")</f>
        <v>8</v>
      </c>
      <c r="V2979" s="6" t="str">
        <f>IFERROR(__xludf.DUMMYFUNCTION("""COMPUTED_VALUE"""),"English")</f>
        <v>English</v>
      </c>
      <c r="W2979" s="6" t="str">
        <f>IFERROR(__xludf.DUMMYFUNCTION("""COMPUTED_VALUE"""),"[]")</f>
        <v>[]</v>
      </c>
      <c r="X2979" s="6" t="str">
        <f>IFERROR(__xludf.DUMMYFUNCTION("""COMPUTED_VALUE"""),"Enrolled")</f>
        <v>Enrolled</v>
      </c>
    </row>
    <row r="2980">
      <c r="A2980" s="6" t="str">
        <f>IFERROR(__xludf.DUMMYFUNCTION("""COMPUTED_VALUE"""),"064-5743")</f>
        <v>064-5743</v>
      </c>
      <c r="B2980" s="6" t="str">
        <f>IFERROR(__xludf.DUMMYFUNCTION("""COMPUTED_VALUE"""),"64")</f>
        <v>64</v>
      </c>
      <c r="C2980" s="6" t="str">
        <f>IFERROR(__xludf.DUMMYFUNCTION("""COMPUTED_VALUE"""),"5743")</f>
        <v>5743</v>
      </c>
      <c r="D2980" s="6" t="str">
        <f>IFERROR(__xludf.DUMMYFUNCTION("""COMPUTED_VALUE"""),"Maleeka R.")</f>
        <v>Maleeka R.</v>
      </c>
      <c r="E2980" s="6" t="str">
        <f>IFERROR(__xludf.DUMMYFUNCTION("""COMPUTED_VALUE"""),"")</f>
        <v/>
      </c>
      <c r="F2980" s="6" t="str">
        <f>IFERROR(__xludf.DUMMYFUNCTION("""COMPUTED_VALUE"""),"Willis")</f>
        <v>Willis</v>
      </c>
      <c r="G2980" s="6" t="str">
        <f>IFERROR(__xludf.DUMMYFUNCTION("""COMPUTED_VALUE"""),"11/13/2011")</f>
        <v>11/13/2011</v>
      </c>
      <c r="H2980" s="6" t="str">
        <f>IFERROR(__xludf.DUMMYFUNCTION("""COMPUTED_VALUE"""),"Self Identify")</f>
        <v>Self Identify</v>
      </c>
      <c r="I2980" s="6" t="str">
        <f>IFERROR(__xludf.DUMMYFUNCTION("""COMPUTED_VALUE"""),"Middle School")</f>
        <v>Middle School</v>
      </c>
      <c r="J2980" s="6" t="str">
        <f>IFERROR(__xludf.DUMMYFUNCTION("""COMPUTED_VALUE"""),"8")</f>
        <v>8</v>
      </c>
      <c r="K2980" s="6" t="str">
        <f>IFERROR(__xludf.DUMMYFUNCTION("""COMPUTED_VALUE"""),"maleeka_willis@stu.ortrail.k12.or.us")</f>
        <v>maleeka_willis@stu.ortrail.k12.or.us</v>
      </c>
      <c r="L2980" s="6" t="str">
        <f>IFERROR(__xludf.DUMMYFUNCTION("""COMPUTED_VALUE"""),"Oregon Trail School District 46")</f>
        <v>Oregon Trail School District 46</v>
      </c>
      <c r="M2980" s="6" t="str">
        <f>IFERROR(__xludf.DUMMYFUNCTION("""COMPUTED_VALUE"""),"Boring Middle School")</f>
        <v>Boring Middle School</v>
      </c>
      <c r="N2980" s="6" t="str">
        <f>IFERROR(__xludf.DUMMYFUNCTION("""COMPUTED_VALUE"""),"")</f>
        <v/>
      </c>
      <c r="O2980" s="87" t="str">
        <f>IFERROR(__xludf.DUMMYFUNCTION("""COMPUTED_VALUE"""),"https://drive.google.com/drive/folders/10T2cTQHqEJZqE-st6uFKPoI?usp=share_link")</f>
        <v>https://drive.google.com/drive/folders/10T2cTQHqEJZqE-st6uFKPoI?usp=share_link</v>
      </c>
      <c r="P2980" s="6" t="str">
        <f>IFERROR(__xludf.DUMMYFUNCTION("""COMPUTED_VALUE"""),"Maleeka R. Willis")</f>
        <v>Maleeka R. Willis</v>
      </c>
      <c r="Q2980" s="6" t="str">
        <f>IFERROR(__xludf.DUMMYFUNCTION("""COMPUTED_VALUE"""),"MS")</f>
        <v>MS</v>
      </c>
      <c r="R2980" s="6">
        <f>IFERROR(__xludf.DUMMYFUNCTION("""COMPUTED_VALUE"""),0.0)</f>
        <v>0</v>
      </c>
      <c r="S2980" s="6" t="str">
        <f>IFERROR(__xludf.DUMMYFUNCTION("""COMPUTED_VALUE"""),"Amanda Bruce")</f>
        <v>Amanda Bruce</v>
      </c>
      <c r="T2980" s="6" t="str">
        <f>IFERROR(__xludf.DUMMYFUNCTION("""COMPUTED_VALUE"""),"amanda.bruce@ortrail.k12.or.us")</f>
        <v>amanda.bruce@ortrail.k12.or.us</v>
      </c>
      <c r="U2980" s="6" t="str">
        <f>IFERROR(__xludf.DUMMYFUNCTION("""COMPUTED_VALUE"""),"8")</f>
        <v>8</v>
      </c>
      <c r="V2980" s="6" t="str">
        <f>IFERROR(__xludf.DUMMYFUNCTION("""COMPUTED_VALUE"""),"English")</f>
        <v>English</v>
      </c>
      <c r="W2980" s="6" t="str">
        <f>IFERROR(__xludf.DUMMYFUNCTION("""COMPUTED_VALUE"""),"[]")</f>
        <v>[]</v>
      </c>
      <c r="X2980" s="6" t="str">
        <f>IFERROR(__xludf.DUMMYFUNCTION("""COMPUTED_VALUE"""),"Enrolled")</f>
        <v>Enrolled</v>
      </c>
    </row>
    <row r="2981">
      <c r="A2981" s="6" t="str">
        <f>IFERROR(__xludf.DUMMYFUNCTION("""COMPUTED_VALUE"""),"064-5745")</f>
        <v>064-5745</v>
      </c>
      <c r="B2981" s="6" t="str">
        <f>IFERROR(__xludf.DUMMYFUNCTION("""COMPUTED_VALUE"""),"64")</f>
        <v>64</v>
      </c>
      <c r="C2981" s="6" t="str">
        <f>IFERROR(__xludf.DUMMYFUNCTION("""COMPUTED_VALUE"""),"5745")</f>
        <v>5745</v>
      </c>
      <c r="D2981" s="6" t="str">
        <f>IFERROR(__xludf.DUMMYFUNCTION("""COMPUTED_VALUE"""),"Oliver J.")</f>
        <v>Oliver J.</v>
      </c>
      <c r="E2981" s="6" t="str">
        <f>IFERROR(__xludf.DUMMYFUNCTION("""COMPUTED_VALUE"""),"")</f>
        <v/>
      </c>
      <c r="F2981" s="6" t="str">
        <f>IFERROR(__xludf.DUMMYFUNCTION("""COMPUTED_VALUE"""),"Kyle")</f>
        <v>Kyle</v>
      </c>
      <c r="G2981" s="6" t="str">
        <f>IFERROR(__xludf.DUMMYFUNCTION("""COMPUTED_VALUE"""),"03/16/2013")</f>
        <v>03/16/2013</v>
      </c>
      <c r="H2981" s="6" t="str">
        <f>IFERROR(__xludf.DUMMYFUNCTION("""COMPUTED_VALUE"""),"Self Identify")</f>
        <v>Self Identify</v>
      </c>
      <c r="I2981" s="6" t="str">
        <f>IFERROR(__xludf.DUMMYFUNCTION("""COMPUTED_VALUE"""),"Middle School")</f>
        <v>Middle School</v>
      </c>
      <c r="J2981" s="6" t="str">
        <f>IFERROR(__xludf.DUMMYFUNCTION("""COMPUTED_VALUE"""),"7")</f>
        <v>7</v>
      </c>
      <c r="K2981" s="6" t="str">
        <f>IFERROR(__xludf.DUMMYFUNCTION("""COMPUTED_VALUE"""),"oliver_kyle@stu.ortrail.k12.or.us")</f>
        <v>oliver_kyle@stu.ortrail.k12.or.us</v>
      </c>
      <c r="L2981" s="6" t="str">
        <f>IFERROR(__xludf.DUMMYFUNCTION("""COMPUTED_VALUE"""),"Oregon Trail School District 46")</f>
        <v>Oregon Trail School District 46</v>
      </c>
      <c r="M2981" s="6" t="str">
        <f>IFERROR(__xludf.DUMMYFUNCTION("""COMPUTED_VALUE"""),"Boring Middle School")</f>
        <v>Boring Middle School</v>
      </c>
      <c r="N2981" s="6" t="str">
        <f>IFERROR(__xludf.DUMMYFUNCTION("""COMPUTED_VALUE"""),"")</f>
        <v/>
      </c>
      <c r="O2981" s="87" t="str">
        <f>IFERROR(__xludf.DUMMYFUNCTION("""COMPUTED_VALUE"""),"https://drive.google.com/drive/folders/10T2cTQHqEJZqE-st6uFKPoI?usp=share_link")</f>
        <v>https://drive.google.com/drive/folders/10T2cTQHqEJZqE-st6uFKPoI?usp=share_link</v>
      </c>
      <c r="P2981" s="6" t="str">
        <f>IFERROR(__xludf.DUMMYFUNCTION("""COMPUTED_VALUE"""),"Oliver J. Kyle")</f>
        <v>Oliver J. Kyle</v>
      </c>
      <c r="Q2981" s="6" t="str">
        <f>IFERROR(__xludf.DUMMYFUNCTION("""COMPUTED_VALUE"""),"MS")</f>
        <v>MS</v>
      </c>
      <c r="R2981" s="6">
        <f>IFERROR(__xludf.DUMMYFUNCTION("""COMPUTED_VALUE"""),0.0)</f>
        <v>0</v>
      </c>
      <c r="S2981" s="6" t="str">
        <f>IFERROR(__xludf.DUMMYFUNCTION("""COMPUTED_VALUE"""),"Amanda Bruce")</f>
        <v>Amanda Bruce</v>
      </c>
      <c r="T2981" s="6" t="str">
        <f>IFERROR(__xludf.DUMMYFUNCTION("""COMPUTED_VALUE"""),"amanda.bruce@ortrail.k12.or.us")</f>
        <v>amanda.bruce@ortrail.k12.or.us</v>
      </c>
      <c r="U2981" s="6" t="str">
        <f>IFERROR(__xludf.DUMMYFUNCTION("""COMPUTED_VALUE"""),"7")</f>
        <v>7</v>
      </c>
      <c r="V2981" s="6" t="str">
        <f>IFERROR(__xludf.DUMMYFUNCTION("""COMPUTED_VALUE"""),"English")</f>
        <v>English</v>
      </c>
      <c r="W2981" s="6" t="str">
        <f>IFERROR(__xludf.DUMMYFUNCTION("""COMPUTED_VALUE"""),"[]")</f>
        <v>[]</v>
      </c>
      <c r="X2981" s="6" t="str">
        <f>IFERROR(__xludf.DUMMYFUNCTION("""COMPUTED_VALUE"""),"Enrolled")</f>
        <v>Enrolled</v>
      </c>
    </row>
    <row r="2982">
      <c r="A2982" s="6" t="str">
        <f>IFERROR(__xludf.DUMMYFUNCTION("""COMPUTED_VALUE"""),"064-5746")</f>
        <v>064-5746</v>
      </c>
      <c r="B2982" s="6" t="str">
        <f>IFERROR(__xludf.DUMMYFUNCTION("""COMPUTED_VALUE"""),"64")</f>
        <v>64</v>
      </c>
      <c r="C2982" s="6" t="str">
        <f>IFERROR(__xludf.DUMMYFUNCTION("""COMPUTED_VALUE"""),"5746")</f>
        <v>5746</v>
      </c>
      <c r="D2982" s="6" t="str">
        <f>IFERROR(__xludf.DUMMYFUNCTION("""COMPUTED_VALUE"""),"Fiona M.")</f>
        <v>Fiona M.</v>
      </c>
      <c r="E2982" s="6" t="str">
        <f>IFERROR(__xludf.DUMMYFUNCTION("""COMPUTED_VALUE"""),"")</f>
        <v/>
      </c>
      <c r="F2982" s="6" t="str">
        <f>IFERROR(__xludf.DUMMYFUNCTION("""COMPUTED_VALUE"""),"Merrill")</f>
        <v>Merrill</v>
      </c>
      <c r="G2982" s="6" t="str">
        <f>IFERROR(__xludf.DUMMYFUNCTION("""COMPUTED_VALUE"""),"08/04/2014")</f>
        <v>08/04/2014</v>
      </c>
      <c r="H2982" s="6" t="str">
        <f>IFERROR(__xludf.DUMMYFUNCTION("""COMPUTED_VALUE"""),"Self Identify")</f>
        <v>Self Identify</v>
      </c>
      <c r="I2982" s="6" t="str">
        <f>IFERROR(__xludf.DUMMYFUNCTION("""COMPUTED_VALUE"""),"Middle School")</f>
        <v>Middle School</v>
      </c>
      <c r="J2982" s="6" t="str">
        <f>IFERROR(__xludf.DUMMYFUNCTION("""COMPUTED_VALUE"""),"6")</f>
        <v>6</v>
      </c>
      <c r="K2982" s="6" t="str">
        <f>IFERROR(__xludf.DUMMYFUNCTION("""COMPUTED_VALUE"""),"fiona_merrill@stu.ortrail.k12.or.us")</f>
        <v>fiona_merrill@stu.ortrail.k12.or.us</v>
      </c>
      <c r="L2982" s="6" t="str">
        <f>IFERROR(__xludf.DUMMYFUNCTION("""COMPUTED_VALUE"""),"Oregon Trail School District 46")</f>
        <v>Oregon Trail School District 46</v>
      </c>
      <c r="M2982" s="6" t="str">
        <f>IFERROR(__xludf.DUMMYFUNCTION("""COMPUTED_VALUE"""),"Boring Middle School")</f>
        <v>Boring Middle School</v>
      </c>
      <c r="N2982" s="6" t="str">
        <f>IFERROR(__xludf.DUMMYFUNCTION("""COMPUTED_VALUE"""),"")</f>
        <v/>
      </c>
      <c r="O2982" s="87" t="str">
        <f>IFERROR(__xludf.DUMMYFUNCTION("""COMPUTED_VALUE"""),"https://drive.google.com/drive/folders/10T2cTQHqEJZqE-st6uFKPoI?usp=share_link")</f>
        <v>https://drive.google.com/drive/folders/10T2cTQHqEJZqE-st6uFKPoI?usp=share_link</v>
      </c>
      <c r="P2982" s="6" t="str">
        <f>IFERROR(__xludf.DUMMYFUNCTION("""COMPUTED_VALUE"""),"Fiona M. Merrill")</f>
        <v>Fiona M. Merrill</v>
      </c>
      <c r="Q2982" s="6" t="str">
        <f>IFERROR(__xludf.DUMMYFUNCTION("""COMPUTED_VALUE"""),"MS")</f>
        <v>MS</v>
      </c>
      <c r="R2982" s="6">
        <f>IFERROR(__xludf.DUMMYFUNCTION("""COMPUTED_VALUE"""),0.0)</f>
        <v>0</v>
      </c>
      <c r="S2982" s="6" t="str">
        <f>IFERROR(__xludf.DUMMYFUNCTION("""COMPUTED_VALUE"""),"Amanda Bruce")</f>
        <v>Amanda Bruce</v>
      </c>
      <c r="T2982" s="6" t="str">
        <f>IFERROR(__xludf.DUMMYFUNCTION("""COMPUTED_VALUE"""),"amanda.bruce@ortrail.k12.or.us")</f>
        <v>amanda.bruce@ortrail.k12.or.us</v>
      </c>
      <c r="U2982" s="6" t="str">
        <f>IFERROR(__xludf.DUMMYFUNCTION("""COMPUTED_VALUE"""),"6")</f>
        <v>6</v>
      </c>
      <c r="V2982" s="6" t="str">
        <f>IFERROR(__xludf.DUMMYFUNCTION("""COMPUTED_VALUE"""),"English")</f>
        <v>English</v>
      </c>
      <c r="W2982" s="6" t="str">
        <f>IFERROR(__xludf.DUMMYFUNCTION("""COMPUTED_VALUE"""),"[]")</f>
        <v>[]</v>
      </c>
      <c r="X2982" s="6" t="str">
        <f>IFERROR(__xludf.DUMMYFUNCTION("""COMPUTED_VALUE"""),"Enrolled")</f>
        <v>Enrolled</v>
      </c>
    </row>
    <row r="2983">
      <c r="A2983" s="6" t="str">
        <f>IFERROR(__xludf.DUMMYFUNCTION("""COMPUTED_VALUE"""),"064-5747")</f>
        <v>064-5747</v>
      </c>
      <c r="B2983" s="6" t="str">
        <f>IFERROR(__xludf.DUMMYFUNCTION("""COMPUTED_VALUE"""),"64")</f>
        <v>64</v>
      </c>
      <c r="C2983" s="6" t="str">
        <f>IFERROR(__xludf.DUMMYFUNCTION("""COMPUTED_VALUE"""),"5747")</f>
        <v>5747</v>
      </c>
      <c r="D2983" s="6" t="str">
        <f>IFERROR(__xludf.DUMMYFUNCTION("""COMPUTED_VALUE"""),"Elianah K.")</f>
        <v>Elianah K.</v>
      </c>
      <c r="E2983" s="6" t="str">
        <f>IFERROR(__xludf.DUMMYFUNCTION("""COMPUTED_VALUE"""),"")</f>
        <v/>
      </c>
      <c r="F2983" s="6" t="str">
        <f>IFERROR(__xludf.DUMMYFUNCTION("""COMPUTED_VALUE"""),"Reyes")</f>
        <v>Reyes</v>
      </c>
      <c r="G2983" s="6" t="str">
        <f>IFERROR(__xludf.DUMMYFUNCTION("""COMPUTED_VALUE"""),"03/10/2012")</f>
        <v>03/10/2012</v>
      </c>
      <c r="H2983" s="6" t="str">
        <f>IFERROR(__xludf.DUMMYFUNCTION("""COMPUTED_VALUE"""),"Self Identify")</f>
        <v>Self Identify</v>
      </c>
      <c r="I2983" s="6" t="str">
        <f>IFERROR(__xludf.DUMMYFUNCTION("""COMPUTED_VALUE"""),"Middle School")</f>
        <v>Middle School</v>
      </c>
      <c r="J2983" s="6" t="str">
        <f>IFERROR(__xludf.DUMMYFUNCTION("""COMPUTED_VALUE"""),"8")</f>
        <v>8</v>
      </c>
      <c r="K2983" s="6" t="str">
        <f>IFERROR(__xludf.DUMMYFUNCTION("""COMPUTED_VALUE"""),"elianah_reyes@stu.ortrail.k12.or.us")</f>
        <v>elianah_reyes@stu.ortrail.k12.or.us</v>
      </c>
      <c r="L2983" s="6" t="str">
        <f>IFERROR(__xludf.DUMMYFUNCTION("""COMPUTED_VALUE"""),"Oregon Trail School District 46")</f>
        <v>Oregon Trail School District 46</v>
      </c>
      <c r="M2983" s="6" t="str">
        <f>IFERROR(__xludf.DUMMYFUNCTION("""COMPUTED_VALUE"""),"Boring Middle School")</f>
        <v>Boring Middle School</v>
      </c>
      <c r="N2983" s="6" t="str">
        <f>IFERROR(__xludf.DUMMYFUNCTION("""COMPUTED_VALUE"""),"")</f>
        <v/>
      </c>
      <c r="O2983" s="87" t="str">
        <f>IFERROR(__xludf.DUMMYFUNCTION("""COMPUTED_VALUE"""),"https://drive.google.com/drive/folders/10T2cTQHqEJZqE-st6uFKPoI?usp=share_link")</f>
        <v>https://drive.google.com/drive/folders/10T2cTQHqEJZqE-st6uFKPoI?usp=share_link</v>
      </c>
      <c r="P2983" s="6" t="str">
        <f>IFERROR(__xludf.DUMMYFUNCTION("""COMPUTED_VALUE"""),"Elianah K. Reyes")</f>
        <v>Elianah K. Reyes</v>
      </c>
      <c r="Q2983" s="6" t="str">
        <f>IFERROR(__xludf.DUMMYFUNCTION("""COMPUTED_VALUE"""),"MS")</f>
        <v>MS</v>
      </c>
      <c r="R2983" s="6">
        <f>IFERROR(__xludf.DUMMYFUNCTION("""COMPUTED_VALUE"""),0.0)</f>
        <v>0</v>
      </c>
      <c r="S2983" s="6" t="str">
        <f>IFERROR(__xludf.DUMMYFUNCTION("""COMPUTED_VALUE"""),"Amanda Bruce")</f>
        <v>Amanda Bruce</v>
      </c>
      <c r="T2983" s="6" t="str">
        <f>IFERROR(__xludf.DUMMYFUNCTION("""COMPUTED_VALUE"""),"amanda.bruce@ortrail.k12.or.us")</f>
        <v>amanda.bruce@ortrail.k12.or.us</v>
      </c>
      <c r="U2983" s="6" t="str">
        <f>IFERROR(__xludf.DUMMYFUNCTION("""COMPUTED_VALUE"""),"8")</f>
        <v>8</v>
      </c>
      <c r="V2983" s="6" t="str">
        <f>IFERROR(__xludf.DUMMYFUNCTION("""COMPUTED_VALUE"""),"English")</f>
        <v>English</v>
      </c>
      <c r="W2983" s="6" t="str">
        <f>IFERROR(__xludf.DUMMYFUNCTION("""COMPUTED_VALUE"""),"[]")</f>
        <v>[]</v>
      </c>
      <c r="X2983" s="6" t="str">
        <f>IFERROR(__xludf.DUMMYFUNCTION("""COMPUTED_VALUE"""),"Enrolled")</f>
        <v>Enrolled</v>
      </c>
    </row>
    <row r="2984">
      <c r="A2984" s="6" t="str">
        <f>IFERROR(__xludf.DUMMYFUNCTION("""COMPUTED_VALUE"""),"064-5749")</f>
        <v>064-5749</v>
      </c>
      <c r="B2984" s="6" t="str">
        <f>IFERROR(__xludf.DUMMYFUNCTION("""COMPUTED_VALUE"""),"64")</f>
        <v>64</v>
      </c>
      <c r="C2984" s="6" t="str">
        <f>IFERROR(__xludf.DUMMYFUNCTION("""COMPUTED_VALUE"""),"5749")</f>
        <v>5749</v>
      </c>
      <c r="D2984" s="6" t="str">
        <f>IFERROR(__xludf.DUMMYFUNCTION("""COMPUTED_VALUE"""),"Devin R.")</f>
        <v>Devin R.</v>
      </c>
      <c r="E2984" s="6" t="str">
        <f>IFERROR(__xludf.DUMMYFUNCTION("""COMPUTED_VALUE"""),"")</f>
        <v/>
      </c>
      <c r="F2984" s="6" t="str">
        <f>IFERROR(__xludf.DUMMYFUNCTION("""COMPUTED_VALUE"""),"Russell")</f>
        <v>Russell</v>
      </c>
      <c r="G2984" s="6" t="str">
        <f>IFERROR(__xludf.DUMMYFUNCTION("""COMPUTED_VALUE"""),"04/05/2014")</f>
        <v>04/05/2014</v>
      </c>
      <c r="H2984" s="6" t="str">
        <f>IFERROR(__xludf.DUMMYFUNCTION("""COMPUTED_VALUE"""),"Self Identify")</f>
        <v>Self Identify</v>
      </c>
      <c r="I2984" s="6" t="str">
        <f>IFERROR(__xludf.DUMMYFUNCTION("""COMPUTED_VALUE"""),"Middle School")</f>
        <v>Middle School</v>
      </c>
      <c r="J2984" s="6" t="str">
        <f>IFERROR(__xludf.DUMMYFUNCTION("""COMPUTED_VALUE"""),"6")</f>
        <v>6</v>
      </c>
      <c r="K2984" s="6" t="str">
        <f>IFERROR(__xludf.DUMMYFUNCTION("""COMPUTED_VALUE"""),"devin_russell@stu.ortrail.k12.or.us")</f>
        <v>devin_russell@stu.ortrail.k12.or.us</v>
      </c>
      <c r="L2984" s="6" t="str">
        <f>IFERROR(__xludf.DUMMYFUNCTION("""COMPUTED_VALUE"""),"Oregon Trail School District 46")</f>
        <v>Oregon Trail School District 46</v>
      </c>
      <c r="M2984" s="6" t="str">
        <f>IFERROR(__xludf.DUMMYFUNCTION("""COMPUTED_VALUE"""),"Boring Middle School")</f>
        <v>Boring Middle School</v>
      </c>
      <c r="N2984" s="6" t="str">
        <f>IFERROR(__xludf.DUMMYFUNCTION("""COMPUTED_VALUE"""),"")</f>
        <v/>
      </c>
      <c r="O2984" s="87" t="str">
        <f>IFERROR(__xludf.DUMMYFUNCTION("""COMPUTED_VALUE"""),"https://drive.google.com/drive/folders/10T2cTQHqEJZqE-st6uFKPoI?usp=share_link")</f>
        <v>https://drive.google.com/drive/folders/10T2cTQHqEJZqE-st6uFKPoI?usp=share_link</v>
      </c>
      <c r="P2984" s="6" t="str">
        <f>IFERROR(__xludf.DUMMYFUNCTION("""COMPUTED_VALUE"""),"Devin R. Russell")</f>
        <v>Devin R. Russell</v>
      </c>
      <c r="Q2984" s="6" t="str">
        <f>IFERROR(__xludf.DUMMYFUNCTION("""COMPUTED_VALUE"""),"MS")</f>
        <v>MS</v>
      </c>
      <c r="R2984" s="6">
        <f>IFERROR(__xludf.DUMMYFUNCTION("""COMPUTED_VALUE"""),0.0)</f>
        <v>0</v>
      </c>
      <c r="S2984" s="6" t="str">
        <f>IFERROR(__xludf.DUMMYFUNCTION("""COMPUTED_VALUE"""),"Amanda Bruce")</f>
        <v>Amanda Bruce</v>
      </c>
      <c r="T2984" s="6" t="str">
        <f>IFERROR(__xludf.DUMMYFUNCTION("""COMPUTED_VALUE"""),"amanda.bruce@ortrail.k12.or.us")</f>
        <v>amanda.bruce@ortrail.k12.or.us</v>
      </c>
      <c r="U2984" s="6" t="str">
        <f>IFERROR(__xludf.DUMMYFUNCTION("""COMPUTED_VALUE"""),"6")</f>
        <v>6</v>
      </c>
      <c r="V2984" s="6" t="str">
        <f>IFERROR(__xludf.DUMMYFUNCTION("""COMPUTED_VALUE"""),"English")</f>
        <v>English</v>
      </c>
      <c r="W2984" s="6" t="str">
        <f>IFERROR(__xludf.DUMMYFUNCTION("""COMPUTED_VALUE"""),"[]")</f>
        <v>[]</v>
      </c>
      <c r="X2984" s="6" t="str">
        <f>IFERROR(__xludf.DUMMYFUNCTION("""COMPUTED_VALUE"""),"Enrolled")</f>
        <v>Enrolled</v>
      </c>
    </row>
    <row r="2985">
      <c r="A2985" s="6" t="str">
        <f>IFERROR(__xludf.DUMMYFUNCTION("""COMPUTED_VALUE"""),"064-5750")</f>
        <v>064-5750</v>
      </c>
      <c r="B2985" s="6" t="str">
        <f>IFERROR(__xludf.DUMMYFUNCTION("""COMPUTED_VALUE"""),"64")</f>
        <v>64</v>
      </c>
      <c r="C2985" s="6" t="str">
        <f>IFERROR(__xludf.DUMMYFUNCTION("""COMPUTED_VALUE"""),"5750")</f>
        <v>5750</v>
      </c>
      <c r="D2985" s="6" t="str">
        <f>IFERROR(__xludf.DUMMYFUNCTION("""COMPUTED_VALUE"""),"Cayde P.")</f>
        <v>Cayde P.</v>
      </c>
      <c r="E2985" s="6" t="str">
        <f>IFERROR(__xludf.DUMMYFUNCTION("""COMPUTED_VALUE"""),"")</f>
        <v/>
      </c>
      <c r="F2985" s="6" t="str">
        <f>IFERROR(__xludf.DUMMYFUNCTION("""COMPUTED_VALUE"""),"Cornell")</f>
        <v>Cornell</v>
      </c>
      <c r="G2985" s="6" t="str">
        <f>IFERROR(__xludf.DUMMYFUNCTION("""COMPUTED_VALUE"""),"02/27/2014")</f>
        <v>02/27/2014</v>
      </c>
      <c r="H2985" s="6" t="str">
        <f>IFERROR(__xludf.DUMMYFUNCTION("""COMPUTED_VALUE"""),"Self Identify")</f>
        <v>Self Identify</v>
      </c>
      <c r="I2985" s="6" t="str">
        <f>IFERROR(__xludf.DUMMYFUNCTION("""COMPUTED_VALUE"""),"Middle School")</f>
        <v>Middle School</v>
      </c>
      <c r="J2985" s="6" t="str">
        <f>IFERROR(__xludf.DUMMYFUNCTION("""COMPUTED_VALUE"""),"6")</f>
        <v>6</v>
      </c>
      <c r="K2985" s="6" t="str">
        <f>IFERROR(__xludf.DUMMYFUNCTION("""COMPUTED_VALUE"""),"cayde_cornell@stu.ortrail.k12.or.us")</f>
        <v>cayde_cornell@stu.ortrail.k12.or.us</v>
      </c>
      <c r="L2985" s="6" t="str">
        <f>IFERROR(__xludf.DUMMYFUNCTION("""COMPUTED_VALUE"""),"Oregon Trail School District 46")</f>
        <v>Oregon Trail School District 46</v>
      </c>
      <c r="M2985" s="6" t="str">
        <f>IFERROR(__xludf.DUMMYFUNCTION("""COMPUTED_VALUE"""),"Boring Middle School")</f>
        <v>Boring Middle School</v>
      </c>
      <c r="N2985" s="6" t="str">
        <f>IFERROR(__xludf.DUMMYFUNCTION("""COMPUTED_VALUE"""),"")</f>
        <v/>
      </c>
      <c r="O2985" s="87" t="str">
        <f>IFERROR(__xludf.DUMMYFUNCTION("""COMPUTED_VALUE"""),"https://drive.google.com/drive/folders/10T2cTQHqEJZqE-st6uFKPoI?usp=share_link")</f>
        <v>https://drive.google.com/drive/folders/10T2cTQHqEJZqE-st6uFKPoI?usp=share_link</v>
      </c>
      <c r="P2985" s="6" t="str">
        <f>IFERROR(__xludf.DUMMYFUNCTION("""COMPUTED_VALUE"""),"Cayde P. Cornell")</f>
        <v>Cayde P. Cornell</v>
      </c>
      <c r="Q2985" s="6" t="str">
        <f>IFERROR(__xludf.DUMMYFUNCTION("""COMPUTED_VALUE"""),"MS")</f>
        <v>MS</v>
      </c>
      <c r="R2985" s="6">
        <f>IFERROR(__xludf.DUMMYFUNCTION("""COMPUTED_VALUE"""),0.0)</f>
        <v>0</v>
      </c>
      <c r="S2985" s="6" t="str">
        <f>IFERROR(__xludf.DUMMYFUNCTION("""COMPUTED_VALUE"""),"Amanda Bruce")</f>
        <v>Amanda Bruce</v>
      </c>
      <c r="T2985" s="6" t="str">
        <f>IFERROR(__xludf.DUMMYFUNCTION("""COMPUTED_VALUE"""),"amanda.bruce@ortrail.k12.or.us")</f>
        <v>amanda.bruce@ortrail.k12.or.us</v>
      </c>
      <c r="U2985" s="6" t="str">
        <f>IFERROR(__xludf.DUMMYFUNCTION("""COMPUTED_VALUE"""),"6")</f>
        <v>6</v>
      </c>
      <c r="V2985" s="6" t="str">
        <f>IFERROR(__xludf.DUMMYFUNCTION("""COMPUTED_VALUE"""),"English")</f>
        <v>English</v>
      </c>
      <c r="W2985" s="6" t="str">
        <f>IFERROR(__xludf.DUMMYFUNCTION("""COMPUTED_VALUE"""),"[]")</f>
        <v>[]</v>
      </c>
      <c r="X2985" s="6" t="str">
        <f>IFERROR(__xludf.DUMMYFUNCTION("""COMPUTED_VALUE"""),"Enrolled")</f>
        <v>Enrolled</v>
      </c>
    </row>
    <row r="2986">
      <c r="A2986" s="6" t="str">
        <f>IFERROR(__xludf.DUMMYFUNCTION("""COMPUTED_VALUE"""),"064-5751")</f>
        <v>064-5751</v>
      </c>
      <c r="B2986" s="6" t="str">
        <f>IFERROR(__xludf.DUMMYFUNCTION("""COMPUTED_VALUE"""),"64")</f>
        <v>64</v>
      </c>
      <c r="C2986" s="6" t="str">
        <f>IFERROR(__xludf.DUMMYFUNCTION("""COMPUTED_VALUE"""),"5751")</f>
        <v>5751</v>
      </c>
      <c r="D2986" s="6" t="str">
        <f>IFERROR(__xludf.DUMMYFUNCTION("""COMPUTED_VALUE"""),"Eliza L.")</f>
        <v>Eliza L.</v>
      </c>
      <c r="E2986" s="6" t="str">
        <f>IFERROR(__xludf.DUMMYFUNCTION("""COMPUTED_VALUE"""),"")</f>
        <v/>
      </c>
      <c r="F2986" s="6" t="str">
        <f>IFERROR(__xludf.DUMMYFUNCTION("""COMPUTED_VALUE"""),"Donovan")</f>
        <v>Donovan</v>
      </c>
      <c r="G2986" s="6" t="str">
        <f>IFERROR(__xludf.DUMMYFUNCTION("""COMPUTED_VALUE"""),"04/19/2012")</f>
        <v>04/19/2012</v>
      </c>
      <c r="H2986" s="6" t="str">
        <f>IFERROR(__xludf.DUMMYFUNCTION("""COMPUTED_VALUE"""),"Self Identify")</f>
        <v>Self Identify</v>
      </c>
      <c r="I2986" s="6" t="str">
        <f>IFERROR(__xludf.DUMMYFUNCTION("""COMPUTED_VALUE"""),"Middle School")</f>
        <v>Middle School</v>
      </c>
      <c r="J2986" s="6" t="str">
        <f>IFERROR(__xludf.DUMMYFUNCTION("""COMPUTED_VALUE"""),"8")</f>
        <v>8</v>
      </c>
      <c r="K2986" s="6" t="str">
        <f>IFERROR(__xludf.DUMMYFUNCTION("""COMPUTED_VALUE"""),"eliza_donovan@stu.ortrail.k12.or.us")</f>
        <v>eliza_donovan@stu.ortrail.k12.or.us</v>
      </c>
      <c r="L2986" s="6" t="str">
        <f>IFERROR(__xludf.DUMMYFUNCTION("""COMPUTED_VALUE"""),"Oregon Trail School District 46")</f>
        <v>Oregon Trail School District 46</v>
      </c>
      <c r="M2986" s="6" t="str">
        <f>IFERROR(__xludf.DUMMYFUNCTION("""COMPUTED_VALUE"""),"Boring Middle School")</f>
        <v>Boring Middle School</v>
      </c>
      <c r="N2986" s="6" t="str">
        <f>IFERROR(__xludf.DUMMYFUNCTION("""COMPUTED_VALUE"""),"")</f>
        <v/>
      </c>
      <c r="O2986" s="87" t="str">
        <f>IFERROR(__xludf.DUMMYFUNCTION("""COMPUTED_VALUE"""),"https://drive.google.com/drive/folders/10T2cTQHqEJZqE-st6uFKPoI?usp=share_link")</f>
        <v>https://drive.google.com/drive/folders/10T2cTQHqEJZqE-st6uFKPoI?usp=share_link</v>
      </c>
      <c r="P2986" s="6" t="str">
        <f>IFERROR(__xludf.DUMMYFUNCTION("""COMPUTED_VALUE"""),"Eliza L. Donovan")</f>
        <v>Eliza L. Donovan</v>
      </c>
      <c r="Q2986" s="6" t="str">
        <f>IFERROR(__xludf.DUMMYFUNCTION("""COMPUTED_VALUE"""),"MS")</f>
        <v>MS</v>
      </c>
      <c r="R2986" s="6">
        <f>IFERROR(__xludf.DUMMYFUNCTION("""COMPUTED_VALUE"""),0.0)</f>
        <v>0</v>
      </c>
      <c r="S2986" s="6" t="str">
        <f>IFERROR(__xludf.DUMMYFUNCTION("""COMPUTED_VALUE"""),"Amanda Bruce")</f>
        <v>Amanda Bruce</v>
      </c>
      <c r="T2986" s="6" t="str">
        <f>IFERROR(__xludf.DUMMYFUNCTION("""COMPUTED_VALUE"""),"amanda.bruce@ortrail.k12.or.us")</f>
        <v>amanda.bruce@ortrail.k12.or.us</v>
      </c>
      <c r="U2986" s="6" t="str">
        <f>IFERROR(__xludf.DUMMYFUNCTION("""COMPUTED_VALUE"""),"8")</f>
        <v>8</v>
      </c>
      <c r="V2986" s="6" t="str">
        <f>IFERROR(__xludf.DUMMYFUNCTION("""COMPUTED_VALUE"""),"English")</f>
        <v>English</v>
      </c>
      <c r="W2986" s="6" t="str">
        <f>IFERROR(__xludf.DUMMYFUNCTION("""COMPUTED_VALUE"""),"[]")</f>
        <v>[]</v>
      </c>
      <c r="X2986" s="6" t="str">
        <f>IFERROR(__xludf.DUMMYFUNCTION("""COMPUTED_VALUE"""),"Enrolled")</f>
        <v>Enrolled</v>
      </c>
    </row>
    <row r="2987">
      <c r="A2987" s="6" t="str">
        <f>IFERROR(__xludf.DUMMYFUNCTION("""COMPUTED_VALUE"""),"064-5752")</f>
        <v>064-5752</v>
      </c>
      <c r="B2987" s="6" t="str">
        <f>IFERROR(__xludf.DUMMYFUNCTION("""COMPUTED_VALUE"""),"64")</f>
        <v>64</v>
      </c>
      <c r="C2987" s="6" t="str">
        <f>IFERROR(__xludf.DUMMYFUNCTION("""COMPUTED_VALUE"""),"5752")</f>
        <v>5752</v>
      </c>
      <c r="D2987" s="6" t="str">
        <f>IFERROR(__xludf.DUMMYFUNCTION("""COMPUTED_VALUE"""),"Ezekiel D.")</f>
        <v>Ezekiel D.</v>
      </c>
      <c r="E2987" s="6" t="str">
        <f>IFERROR(__xludf.DUMMYFUNCTION("""COMPUTED_VALUE"""),"")</f>
        <v/>
      </c>
      <c r="F2987" s="6" t="str">
        <f>IFERROR(__xludf.DUMMYFUNCTION("""COMPUTED_VALUE"""),"Erichsen")</f>
        <v>Erichsen</v>
      </c>
      <c r="G2987" s="6" t="str">
        <f>IFERROR(__xludf.DUMMYFUNCTION("""COMPUTED_VALUE"""),"04/15/2014")</f>
        <v>04/15/2014</v>
      </c>
      <c r="H2987" s="6" t="str">
        <f>IFERROR(__xludf.DUMMYFUNCTION("""COMPUTED_VALUE"""),"Self Identify")</f>
        <v>Self Identify</v>
      </c>
      <c r="I2987" s="6" t="str">
        <f>IFERROR(__xludf.DUMMYFUNCTION("""COMPUTED_VALUE"""),"Middle School")</f>
        <v>Middle School</v>
      </c>
      <c r="J2987" s="6" t="str">
        <f>IFERROR(__xludf.DUMMYFUNCTION("""COMPUTED_VALUE"""),"6")</f>
        <v>6</v>
      </c>
      <c r="K2987" s="6" t="str">
        <f>IFERROR(__xludf.DUMMYFUNCTION("""COMPUTED_VALUE"""),"ezekiel_erichsen@stu.ortrail.k12.or.us")</f>
        <v>ezekiel_erichsen@stu.ortrail.k12.or.us</v>
      </c>
      <c r="L2987" s="6" t="str">
        <f>IFERROR(__xludf.DUMMYFUNCTION("""COMPUTED_VALUE"""),"Oregon Trail School District 46")</f>
        <v>Oregon Trail School District 46</v>
      </c>
      <c r="M2987" s="6" t="str">
        <f>IFERROR(__xludf.DUMMYFUNCTION("""COMPUTED_VALUE"""),"Boring Middle School")</f>
        <v>Boring Middle School</v>
      </c>
      <c r="N2987" s="6" t="str">
        <f>IFERROR(__xludf.DUMMYFUNCTION("""COMPUTED_VALUE"""),"")</f>
        <v/>
      </c>
      <c r="O2987" s="87" t="str">
        <f>IFERROR(__xludf.DUMMYFUNCTION("""COMPUTED_VALUE"""),"https://drive.google.com/drive/folders/10T2cTQHqEJZqE-st6uFKPoI?usp=share_link")</f>
        <v>https://drive.google.com/drive/folders/10T2cTQHqEJZqE-st6uFKPoI?usp=share_link</v>
      </c>
      <c r="P2987" s="6" t="str">
        <f>IFERROR(__xludf.DUMMYFUNCTION("""COMPUTED_VALUE"""),"Ezekiel D. Erichsen")</f>
        <v>Ezekiel D. Erichsen</v>
      </c>
      <c r="Q2987" s="6" t="str">
        <f>IFERROR(__xludf.DUMMYFUNCTION("""COMPUTED_VALUE"""),"MS")</f>
        <v>MS</v>
      </c>
      <c r="R2987" s="6">
        <f>IFERROR(__xludf.DUMMYFUNCTION("""COMPUTED_VALUE"""),0.0)</f>
        <v>0</v>
      </c>
      <c r="S2987" s="6" t="str">
        <f>IFERROR(__xludf.DUMMYFUNCTION("""COMPUTED_VALUE"""),"Amanda Bruce")</f>
        <v>Amanda Bruce</v>
      </c>
      <c r="T2987" s="6" t="str">
        <f>IFERROR(__xludf.DUMMYFUNCTION("""COMPUTED_VALUE"""),"amanda.bruce@ortrail.k12.or.us")</f>
        <v>amanda.bruce@ortrail.k12.or.us</v>
      </c>
      <c r="U2987" s="6" t="str">
        <f>IFERROR(__xludf.DUMMYFUNCTION("""COMPUTED_VALUE"""),"6")</f>
        <v>6</v>
      </c>
      <c r="V2987" s="6" t="str">
        <f>IFERROR(__xludf.DUMMYFUNCTION("""COMPUTED_VALUE"""),"English")</f>
        <v>English</v>
      </c>
      <c r="W2987" s="6" t="str">
        <f>IFERROR(__xludf.DUMMYFUNCTION("""COMPUTED_VALUE"""),"[]")</f>
        <v>[]</v>
      </c>
      <c r="X2987" s="6" t="str">
        <f>IFERROR(__xludf.DUMMYFUNCTION("""COMPUTED_VALUE"""),"Enrolled")</f>
        <v>Enrolled</v>
      </c>
    </row>
    <row r="2988">
      <c r="A2988" s="6" t="str">
        <f>IFERROR(__xludf.DUMMYFUNCTION("""COMPUTED_VALUE"""),"064-5753")</f>
        <v>064-5753</v>
      </c>
      <c r="B2988" s="6" t="str">
        <f>IFERROR(__xludf.DUMMYFUNCTION("""COMPUTED_VALUE"""),"64")</f>
        <v>64</v>
      </c>
      <c r="C2988" s="6" t="str">
        <f>IFERROR(__xludf.DUMMYFUNCTION("""COMPUTED_VALUE"""),"5753")</f>
        <v>5753</v>
      </c>
      <c r="D2988" s="6" t="str">
        <f>IFERROR(__xludf.DUMMYFUNCTION("""COMPUTED_VALUE"""),"Chloe A.")</f>
        <v>Chloe A.</v>
      </c>
      <c r="E2988" s="6" t="str">
        <f>IFERROR(__xludf.DUMMYFUNCTION("""COMPUTED_VALUE"""),"")</f>
        <v/>
      </c>
      <c r="F2988" s="6" t="str">
        <f>IFERROR(__xludf.DUMMYFUNCTION("""COMPUTED_VALUE"""),"Favro")</f>
        <v>Favro</v>
      </c>
      <c r="G2988" s="6" t="str">
        <f>IFERROR(__xludf.DUMMYFUNCTION("""COMPUTED_VALUE"""),"03/09/2012")</f>
        <v>03/09/2012</v>
      </c>
      <c r="H2988" s="6" t="str">
        <f>IFERROR(__xludf.DUMMYFUNCTION("""COMPUTED_VALUE"""),"Self Identify")</f>
        <v>Self Identify</v>
      </c>
      <c r="I2988" s="6" t="str">
        <f>IFERROR(__xludf.DUMMYFUNCTION("""COMPUTED_VALUE"""),"Middle School")</f>
        <v>Middle School</v>
      </c>
      <c r="J2988" s="6" t="str">
        <f>IFERROR(__xludf.DUMMYFUNCTION("""COMPUTED_VALUE"""),"8")</f>
        <v>8</v>
      </c>
      <c r="K2988" s="6" t="str">
        <f>IFERROR(__xludf.DUMMYFUNCTION("""COMPUTED_VALUE"""),"chloe_favro@stu.ortrail.k12.or.us")</f>
        <v>chloe_favro@stu.ortrail.k12.or.us</v>
      </c>
      <c r="L2988" s="6" t="str">
        <f>IFERROR(__xludf.DUMMYFUNCTION("""COMPUTED_VALUE"""),"Oregon Trail School District 46")</f>
        <v>Oregon Trail School District 46</v>
      </c>
      <c r="M2988" s="6" t="str">
        <f>IFERROR(__xludf.DUMMYFUNCTION("""COMPUTED_VALUE"""),"Boring Middle School")</f>
        <v>Boring Middle School</v>
      </c>
      <c r="N2988" s="6" t="str">
        <f>IFERROR(__xludf.DUMMYFUNCTION("""COMPUTED_VALUE"""),"")</f>
        <v/>
      </c>
      <c r="O2988" s="87" t="str">
        <f>IFERROR(__xludf.DUMMYFUNCTION("""COMPUTED_VALUE"""),"https://drive.google.com/drive/folders/10T2cTQHqEJZqE-st6uFKPoI?usp=share_link")</f>
        <v>https://drive.google.com/drive/folders/10T2cTQHqEJZqE-st6uFKPoI?usp=share_link</v>
      </c>
      <c r="P2988" s="6" t="str">
        <f>IFERROR(__xludf.DUMMYFUNCTION("""COMPUTED_VALUE"""),"Chloe A. Favro")</f>
        <v>Chloe A. Favro</v>
      </c>
      <c r="Q2988" s="6" t="str">
        <f>IFERROR(__xludf.DUMMYFUNCTION("""COMPUTED_VALUE"""),"MS")</f>
        <v>MS</v>
      </c>
      <c r="R2988" s="6">
        <f>IFERROR(__xludf.DUMMYFUNCTION("""COMPUTED_VALUE"""),0.0)</f>
        <v>0</v>
      </c>
      <c r="S2988" s="6" t="str">
        <f>IFERROR(__xludf.DUMMYFUNCTION("""COMPUTED_VALUE"""),"Amanda Bruce")</f>
        <v>Amanda Bruce</v>
      </c>
      <c r="T2988" s="6" t="str">
        <f>IFERROR(__xludf.DUMMYFUNCTION("""COMPUTED_VALUE"""),"amanda.bruce@ortrail.k12.or.us")</f>
        <v>amanda.bruce@ortrail.k12.or.us</v>
      </c>
      <c r="U2988" s="6" t="str">
        <f>IFERROR(__xludf.DUMMYFUNCTION("""COMPUTED_VALUE"""),"8")</f>
        <v>8</v>
      </c>
      <c r="V2988" s="6" t="str">
        <f>IFERROR(__xludf.DUMMYFUNCTION("""COMPUTED_VALUE"""),"English")</f>
        <v>English</v>
      </c>
      <c r="W2988" s="6" t="str">
        <f>IFERROR(__xludf.DUMMYFUNCTION("""COMPUTED_VALUE"""),"[]")</f>
        <v>[]</v>
      </c>
      <c r="X2988" s="6" t="str">
        <f>IFERROR(__xludf.DUMMYFUNCTION("""COMPUTED_VALUE"""),"Enrolled")</f>
        <v>Enrolled</v>
      </c>
    </row>
    <row r="2989">
      <c r="A2989" s="6" t="str">
        <f>IFERROR(__xludf.DUMMYFUNCTION("""COMPUTED_VALUE"""),"064-5754")</f>
        <v>064-5754</v>
      </c>
      <c r="B2989" s="6" t="str">
        <f>IFERROR(__xludf.DUMMYFUNCTION("""COMPUTED_VALUE"""),"64")</f>
        <v>64</v>
      </c>
      <c r="C2989" s="6" t="str">
        <f>IFERROR(__xludf.DUMMYFUNCTION("""COMPUTED_VALUE"""),"5754")</f>
        <v>5754</v>
      </c>
      <c r="D2989" s="6" t="str">
        <f>IFERROR(__xludf.DUMMYFUNCTION("""COMPUTED_VALUE"""),"Luca J.")</f>
        <v>Luca J.</v>
      </c>
      <c r="E2989" s="6" t="str">
        <f>IFERROR(__xludf.DUMMYFUNCTION("""COMPUTED_VALUE"""),"")</f>
        <v/>
      </c>
      <c r="F2989" s="6" t="str">
        <f>IFERROR(__xludf.DUMMYFUNCTION("""COMPUTED_VALUE"""),"Ferrero")</f>
        <v>Ferrero</v>
      </c>
      <c r="G2989" s="6" t="str">
        <f>IFERROR(__xludf.DUMMYFUNCTION("""COMPUTED_VALUE"""),"12/07/2012")</f>
        <v>12/07/2012</v>
      </c>
      <c r="H2989" s="6" t="str">
        <f>IFERROR(__xludf.DUMMYFUNCTION("""COMPUTED_VALUE"""),"Self Identify")</f>
        <v>Self Identify</v>
      </c>
      <c r="I2989" s="6" t="str">
        <f>IFERROR(__xludf.DUMMYFUNCTION("""COMPUTED_VALUE"""),"Middle School")</f>
        <v>Middle School</v>
      </c>
      <c r="J2989" s="6" t="str">
        <f>IFERROR(__xludf.DUMMYFUNCTION("""COMPUTED_VALUE"""),"6")</f>
        <v>6</v>
      </c>
      <c r="K2989" s="6" t="str">
        <f>IFERROR(__xludf.DUMMYFUNCTION("""COMPUTED_VALUE"""),"luca_ferrero@stu.ortrail.k12.or.us")</f>
        <v>luca_ferrero@stu.ortrail.k12.or.us</v>
      </c>
      <c r="L2989" s="6" t="str">
        <f>IFERROR(__xludf.DUMMYFUNCTION("""COMPUTED_VALUE"""),"Oregon Trail School District 46")</f>
        <v>Oregon Trail School District 46</v>
      </c>
      <c r="M2989" s="6" t="str">
        <f>IFERROR(__xludf.DUMMYFUNCTION("""COMPUTED_VALUE"""),"Boring Middle School")</f>
        <v>Boring Middle School</v>
      </c>
      <c r="N2989" s="6" t="str">
        <f>IFERROR(__xludf.DUMMYFUNCTION("""COMPUTED_VALUE"""),"")</f>
        <v/>
      </c>
      <c r="O2989" s="87" t="str">
        <f>IFERROR(__xludf.DUMMYFUNCTION("""COMPUTED_VALUE"""),"https://drive.google.com/drive/folders/10T2cTQHqEJZqE-st6uFKPoI?usp=share_link")</f>
        <v>https://drive.google.com/drive/folders/10T2cTQHqEJZqE-st6uFKPoI?usp=share_link</v>
      </c>
      <c r="P2989" s="6" t="str">
        <f>IFERROR(__xludf.DUMMYFUNCTION("""COMPUTED_VALUE"""),"Luca J. Ferrero")</f>
        <v>Luca J. Ferrero</v>
      </c>
      <c r="Q2989" s="6" t="str">
        <f>IFERROR(__xludf.DUMMYFUNCTION("""COMPUTED_VALUE"""),"MS")</f>
        <v>MS</v>
      </c>
      <c r="R2989" s="6">
        <f>IFERROR(__xludf.DUMMYFUNCTION("""COMPUTED_VALUE"""),0.0)</f>
        <v>0</v>
      </c>
      <c r="S2989" s="6" t="str">
        <f>IFERROR(__xludf.DUMMYFUNCTION("""COMPUTED_VALUE"""),"Amanda Bruce")</f>
        <v>Amanda Bruce</v>
      </c>
      <c r="T2989" s="6" t="str">
        <f>IFERROR(__xludf.DUMMYFUNCTION("""COMPUTED_VALUE"""),"amanda.bruce@ortrail.k12.or.us")</f>
        <v>amanda.bruce@ortrail.k12.or.us</v>
      </c>
      <c r="U2989" s="6" t="str">
        <f>IFERROR(__xludf.DUMMYFUNCTION("""COMPUTED_VALUE"""),"6")</f>
        <v>6</v>
      </c>
      <c r="V2989" s="6" t="str">
        <f>IFERROR(__xludf.DUMMYFUNCTION("""COMPUTED_VALUE"""),"English")</f>
        <v>English</v>
      </c>
      <c r="W2989" s="6" t="str">
        <f>IFERROR(__xludf.DUMMYFUNCTION("""COMPUTED_VALUE"""),"[]")</f>
        <v>[]</v>
      </c>
      <c r="X2989" s="6" t="str">
        <f>IFERROR(__xludf.DUMMYFUNCTION("""COMPUTED_VALUE"""),"Enrolled")</f>
        <v>Enrolled</v>
      </c>
    </row>
    <row r="2990">
      <c r="A2990" s="6" t="str">
        <f>IFERROR(__xludf.DUMMYFUNCTION("""COMPUTED_VALUE"""),"064-5755")</f>
        <v>064-5755</v>
      </c>
      <c r="B2990" s="6" t="str">
        <f>IFERROR(__xludf.DUMMYFUNCTION("""COMPUTED_VALUE"""),"64")</f>
        <v>64</v>
      </c>
      <c r="C2990" s="6" t="str">
        <f>IFERROR(__xludf.DUMMYFUNCTION("""COMPUTED_VALUE"""),"5755")</f>
        <v>5755</v>
      </c>
      <c r="D2990" s="6" t="str">
        <f>IFERROR(__xludf.DUMMYFUNCTION("""COMPUTED_VALUE"""),"Kimber A.")</f>
        <v>Kimber A.</v>
      </c>
      <c r="E2990" s="6" t="str">
        <f>IFERROR(__xludf.DUMMYFUNCTION("""COMPUTED_VALUE"""),"")</f>
        <v/>
      </c>
      <c r="F2990" s="6" t="str">
        <f>IFERROR(__xludf.DUMMYFUNCTION("""COMPUTED_VALUE"""),"Joachim")</f>
        <v>Joachim</v>
      </c>
      <c r="G2990" s="6" t="str">
        <f>IFERROR(__xludf.DUMMYFUNCTION("""COMPUTED_VALUE"""),"11/08/2013")</f>
        <v>11/08/2013</v>
      </c>
      <c r="H2990" s="6" t="str">
        <f>IFERROR(__xludf.DUMMYFUNCTION("""COMPUTED_VALUE"""),"Self Identify")</f>
        <v>Self Identify</v>
      </c>
      <c r="I2990" s="6" t="str">
        <f>IFERROR(__xludf.DUMMYFUNCTION("""COMPUTED_VALUE"""),"Middle School")</f>
        <v>Middle School</v>
      </c>
      <c r="J2990" s="6" t="str">
        <f>IFERROR(__xludf.DUMMYFUNCTION("""COMPUTED_VALUE"""),"6")</f>
        <v>6</v>
      </c>
      <c r="K2990" s="6" t="str">
        <f>IFERROR(__xludf.DUMMYFUNCTION("""COMPUTED_VALUE"""),"kimber_joachim@stu.ortrail.k12.or.us")</f>
        <v>kimber_joachim@stu.ortrail.k12.or.us</v>
      </c>
      <c r="L2990" s="6" t="str">
        <f>IFERROR(__xludf.DUMMYFUNCTION("""COMPUTED_VALUE"""),"Oregon Trail School District 46")</f>
        <v>Oregon Trail School District 46</v>
      </c>
      <c r="M2990" s="6" t="str">
        <f>IFERROR(__xludf.DUMMYFUNCTION("""COMPUTED_VALUE"""),"Boring Middle School")</f>
        <v>Boring Middle School</v>
      </c>
      <c r="N2990" s="6" t="str">
        <f>IFERROR(__xludf.DUMMYFUNCTION("""COMPUTED_VALUE"""),"")</f>
        <v/>
      </c>
      <c r="O2990" s="87" t="str">
        <f>IFERROR(__xludf.DUMMYFUNCTION("""COMPUTED_VALUE"""),"https://drive.google.com/drive/folders/10T2cTQHqEJZqE-st6uFKPoI?usp=share_link")</f>
        <v>https://drive.google.com/drive/folders/10T2cTQHqEJZqE-st6uFKPoI?usp=share_link</v>
      </c>
      <c r="P2990" s="6" t="str">
        <f>IFERROR(__xludf.DUMMYFUNCTION("""COMPUTED_VALUE"""),"Kimber A. Joachim")</f>
        <v>Kimber A. Joachim</v>
      </c>
      <c r="Q2990" s="6" t="str">
        <f>IFERROR(__xludf.DUMMYFUNCTION("""COMPUTED_VALUE"""),"MS")</f>
        <v>MS</v>
      </c>
      <c r="R2990" s="6">
        <f>IFERROR(__xludf.DUMMYFUNCTION("""COMPUTED_VALUE"""),0.0)</f>
        <v>0</v>
      </c>
      <c r="S2990" s="6" t="str">
        <f>IFERROR(__xludf.DUMMYFUNCTION("""COMPUTED_VALUE"""),"Amanda Bruce")</f>
        <v>Amanda Bruce</v>
      </c>
      <c r="T2990" s="6" t="str">
        <f>IFERROR(__xludf.DUMMYFUNCTION("""COMPUTED_VALUE"""),"amanda.bruce@ortrail.k12.or.us")</f>
        <v>amanda.bruce@ortrail.k12.or.us</v>
      </c>
      <c r="U2990" s="6" t="str">
        <f>IFERROR(__xludf.DUMMYFUNCTION("""COMPUTED_VALUE"""),"6")</f>
        <v>6</v>
      </c>
      <c r="V2990" s="6" t="str">
        <f>IFERROR(__xludf.DUMMYFUNCTION("""COMPUTED_VALUE"""),"English")</f>
        <v>English</v>
      </c>
      <c r="W2990" s="6" t="str">
        <f>IFERROR(__xludf.DUMMYFUNCTION("""COMPUTED_VALUE"""),"[]")</f>
        <v>[]</v>
      </c>
      <c r="X2990" s="6" t="str">
        <f>IFERROR(__xludf.DUMMYFUNCTION("""COMPUTED_VALUE"""),"Enrolled")</f>
        <v>Enrolled</v>
      </c>
    </row>
    <row r="2991">
      <c r="A2991" s="6" t="str">
        <f>IFERROR(__xludf.DUMMYFUNCTION("""COMPUTED_VALUE"""),"064-5757")</f>
        <v>064-5757</v>
      </c>
      <c r="B2991" s="6" t="str">
        <f>IFERROR(__xludf.DUMMYFUNCTION("""COMPUTED_VALUE"""),"64")</f>
        <v>64</v>
      </c>
      <c r="C2991" s="6" t="str">
        <f>IFERROR(__xludf.DUMMYFUNCTION("""COMPUTED_VALUE"""),"5757")</f>
        <v>5757</v>
      </c>
      <c r="D2991" s="6" t="str">
        <f>IFERROR(__xludf.DUMMYFUNCTION("""COMPUTED_VALUE"""),"Ava K.")</f>
        <v>Ava K.</v>
      </c>
      <c r="E2991" s="6" t="str">
        <f>IFERROR(__xludf.DUMMYFUNCTION("""COMPUTED_VALUE"""),"")</f>
        <v/>
      </c>
      <c r="F2991" s="6" t="str">
        <f>IFERROR(__xludf.DUMMYFUNCTION("""COMPUTED_VALUE"""),"Milliken")</f>
        <v>Milliken</v>
      </c>
      <c r="G2991" s="6" t="str">
        <f>IFERROR(__xludf.DUMMYFUNCTION("""COMPUTED_VALUE"""),"06/19/2012")</f>
        <v>06/19/2012</v>
      </c>
      <c r="H2991" s="6" t="str">
        <f>IFERROR(__xludf.DUMMYFUNCTION("""COMPUTED_VALUE"""),"Self Identify")</f>
        <v>Self Identify</v>
      </c>
      <c r="I2991" s="6" t="str">
        <f>IFERROR(__xludf.DUMMYFUNCTION("""COMPUTED_VALUE"""),"Middle School")</f>
        <v>Middle School</v>
      </c>
      <c r="J2991" s="6" t="str">
        <f>IFERROR(__xludf.DUMMYFUNCTION("""COMPUTED_VALUE"""),"7")</f>
        <v>7</v>
      </c>
      <c r="K2991" s="6" t="str">
        <f>IFERROR(__xludf.DUMMYFUNCTION("""COMPUTED_VALUE"""),"ava_milliken@stu.ortrail.k12.or.us")</f>
        <v>ava_milliken@stu.ortrail.k12.or.us</v>
      </c>
      <c r="L2991" s="6" t="str">
        <f>IFERROR(__xludf.DUMMYFUNCTION("""COMPUTED_VALUE"""),"Oregon Trail School District 46")</f>
        <v>Oregon Trail School District 46</v>
      </c>
      <c r="M2991" s="6" t="str">
        <f>IFERROR(__xludf.DUMMYFUNCTION("""COMPUTED_VALUE"""),"Boring Middle School")</f>
        <v>Boring Middle School</v>
      </c>
      <c r="N2991" s="6" t="str">
        <f>IFERROR(__xludf.DUMMYFUNCTION("""COMPUTED_VALUE"""),"")</f>
        <v/>
      </c>
      <c r="O2991" s="87" t="str">
        <f>IFERROR(__xludf.DUMMYFUNCTION("""COMPUTED_VALUE"""),"https://drive.google.com/drive/folders/10T2cTQHqEJZqE-st6uFKPoI?usp=share_link")</f>
        <v>https://drive.google.com/drive/folders/10T2cTQHqEJZqE-st6uFKPoI?usp=share_link</v>
      </c>
      <c r="P2991" s="6" t="str">
        <f>IFERROR(__xludf.DUMMYFUNCTION("""COMPUTED_VALUE"""),"Ava K. Milliken")</f>
        <v>Ava K. Milliken</v>
      </c>
      <c r="Q2991" s="6" t="str">
        <f>IFERROR(__xludf.DUMMYFUNCTION("""COMPUTED_VALUE"""),"MS")</f>
        <v>MS</v>
      </c>
      <c r="R2991" s="6">
        <f>IFERROR(__xludf.DUMMYFUNCTION("""COMPUTED_VALUE"""),0.0)</f>
        <v>0</v>
      </c>
      <c r="S2991" s="6" t="str">
        <f>IFERROR(__xludf.DUMMYFUNCTION("""COMPUTED_VALUE"""),"Amanda Bruce")</f>
        <v>Amanda Bruce</v>
      </c>
      <c r="T2991" s="6" t="str">
        <f>IFERROR(__xludf.DUMMYFUNCTION("""COMPUTED_VALUE"""),"amanda.bruce@ortrail.k12.or.us")</f>
        <v>amanda.bruce@ortrail.k12.or.us</v>
      </c>
      <c r="U2991" s="6" t="str">
        <f>IFERROR(__xludf.DUMMYFUNCTION("""COMPUTED_VALUE"""),"7")</f>
        <v>7</v>
      </c>
      <c r="V2991" s="6" t="str">
        <f>IFERROR(__xludf.DUMMYFUNCTION("""COMPUTED_VALUE"""),"English")</f>
        <v>English</v>
      </c>
      <c r="W2991" s="6" t="str">
        <f>IFERROR(__xludf.DUMMYFUNCTION("""COMPUTED_VALUE"""),"[]")</f>
        <v>[]</v>
      </c>
      <c r="X2991" s="6" t="str">
        <f>IFERROR(__xludf.DUMMYFUNCTION("""COMPUTED_VALUE"""),"Enrolled")</f>
        <v>Enrolled</v>
      </c>
    </row>
    <row r="2992">
      <c r="A2992" s="6" t="str">
        <f>IFERROR(__xludf.DUMMYFUNCTION("""COMPUTED_VALUE"""),"064-5758")</f>
        <v>064-5758</v>
      </c>
      <c r="B2992" s="6" t="str">
        <f>IFERROR(__xludf.DUMMYFUNCTION("""COMPUTED_VALUE"""),"64")</f>
        <v>64</v>
      </c>
      <c r="C2992" s="6" t="str">
        <f>IFERROR(__xludf.DUMMYFUNCTION("""COMPUTED_VALUE"""),"5758")</f>
        <v>5758</v>
      </c>
      <c r="D2992" s="6" t="str">
        <f>IFERROR(__xludf.DUMMYFUNCTION("""COMPUTED_VALUE"""),"Brigitte")</f>
        <v>Brigitte</v>
      </c>
      <c r="E2992" s="6" t="str">
        <f>IFERROR(__xludf.DUMMYFUNCTION("""COMPUTED_VALUE"""),"")</f>
        <v/>
      </c>
      <c r="F2992" s="6" t="str">
        <f>IFERROR(__xludf.DUMMYFUNCTION("""COMPUTED_VALUE"""),"Arcos")</f>
        <v>Arcos</v>
      </c>
      <c r="G2992" s="6" t="str">
        <f>IFERROR(__xludf.DUMMYFUNCTION("""COMPUTED_VALUE"""),"01/04/2013")</f>
        <v>01/04/2013</v>
      </c>
      <c r="H2992" s="6" t="str">
        <f>IFERROR(__xludf.DUMMYFUNCTION("""COMPUTED_VALUE"""),"Self Identify")</f>
        <v>Self Identify</v>
      </c>
      <c r="I2992" s="6" t="str">
        <f>IFERROR(__xludf.DUMMYFUNCTION("""COMPUTED_VALUE"""),"Middle School")</f>
        <v>Middle School</v>
      </c>
      <c r="J2992" s="6" t="str">
        <f>IFERROR(__xludf.DUMMYFUNCTION("""COMPUTED_VALUE"""),"7")</f>
        <v>7</v>
      </c>
      <c r="K2992" s="6" t="str">
        <f>IFERROR(__xludf.DUMMYFUNCTION("""COMPUTED_VALUE"""),"brigitte_arcos@stu.ortrail.k12.or.us")</f>
        <v>brigitte_arcos@stu.ortrail.k12.or.us</v>
      </c>
      <c r="L2992" s="6" t="str">
        <f>IFERROR(__xludf.DUMMYFUNCTION("""COMPUTED_VALUE"""),"Oregon Trail School District 46")</f>
        <v>Oregon Trail School District 46</v>
      </c>
      <c r="M2992" s="6" t="str">
        <f>IFERROR(__xludf.DUMMYFUNCTION("""COMPUTED_VALUE"""),"Boring Middle School")</f>
        <v>Boring Middle School</v>
      </c>
      <c r="N2992" s="6" t="str">
        <f>IFERROR(__xludf.DUMMYFUNCTION("""COMPUTED_VALUE"""),"")</f>
        <v/>
      </c>
      <c r="O2992" s="87" t="str">
        <f>IFERROR(__xludf.DUMMYFUNCTION("""COMPUTED_VALUE"""),"https://drive.google.com/drive/folders/10T2cTQHqEJZqE-st6uFKPoI?usp=share_link")</f>
        <v>https://drive.google.com/drive/folders/10T2cTQHqEJZqE-st6uFKPoI?usp=share_link</v>
      </c>
      <c r="P2992" s="6" t="str">
        <f>IFERROR(__xludf.DUMMYFUNCTION("""COMPUTED_VALUE"""),"Brigitte Arcos")</f>
        <v>Brigitte Arcos</v>
      </c>
      <c r="Q2992" s="6" t="str">
        <f>IFERROR(__xludf.DUMMYFUNCTION("""COMPUTED_VALUE"""),"MS")</f>
        <v>MS</v>
      </c>
      <c r="R2992" s="6">
        <f>IFERROR(__xludf.DUMMYFUNCTION("""COMPUTED_VALUE"""),0.0)</f>
        <v>0</v>
      </c>
      <c r="S2992" s="6" t="str">
        <f>IFERROR(__xludf.DUMMYFUNCTION("""COMPUTED_VALUE"""),"David Beitler")</f>
        <v>David Beitler</v>
      </c>
      <c r="T2992" s="6" t="str">
        <f>IFERROR(__xludf.DUMMYFUNCTION("""COMPUTED_VALUE"""),"david.beitler@ortrail.k12.or.us")</f>
        <v>david.beitler@ortrail.k12.or.us</v>
      </c>
      <c r="U2992" s="6" t="str">
        <f>IFERROR(__xludf.DUMMYFUNCTION("""COMPUTED_VALUE"""),"7")</f>
        <v>7</v>
      </c>
      <c r="V2992" s="6" t="str">
        <f>IFERROR(__xludf.DUMMYFUNCTION("""COMPUTED_VALUE"""),"English")</f>
        <v>English</v>
      </c>
      <c r="W2992" s="6" t="str">
        <f>IFERROR(__xludf.DUMMYFUNCTION("""COMPUTED_VALUE"""),"[]")</f>
        <v>[]</v>
      </c>
      <c r="X2992" s="6" t="str">
        <f>IFERROR(__xludf.DUMMYFUNCTION("""COMPUTED_VALUE"""),"Enrolled")</f>
        <v>Enrolled</v>
      </c>
    </row>
    <row r="2993">
      <c r="A2993" s="6" t="str">
        <f>IFERROR(__xludf.DUMMYFUNCTION("""COMPUTED_VALUE"""),"064-5759")</f>
        <v>064-5759</v>
      </c>
      <c r="B2993" s="6" t="str">
        <f>IFERROR(__xludf.DUMMYFUNCTION("""COMPUTED_VALUE"""),"64")</f>
        <v>64</v>
      </c>
      <c r="C2993" s="6" t="str">
        <f>IFERROR(__xludf.DUMMYFUNCTION("""COMPUTED_VALUE"""),"5759")</f>
        <v>5759</v>
      </c>
      <c r="D2993" s="6" t="str">
        <f>IFERROR(__xludf.DUMMYFUNCTION("""COMPUTED_VALUE"""),"Xavi E.")</f>
        <v>Xavi E.</v>
      </c>
      <c r="E2993" s="6" t="str">
        <f>IFERROR(__xludf.DUMMYFUNCTION("""COMPUTED_VALUE"""),"")</f>
        <v/>
      </c>
      <c r="F2993" s="6" t="str">
        <f>IFERROR(__xludf.DUMMYFUNCTION("""COMPUTED_VALUE"""),"Duran Chacon")</f>
        <v>Duran Chacon</v>
      </c>
      <c r="G2993" s="6" t="str">
        <f>IFERROR(__xludf.DUMMYFUNCTION("""COMPUTED_VALUE"""),"05/25/2012")</f>
        <v>05/25/2012</v>
      </c>
      <c r="H2993" s="6" t="str">
        <f>IFERROR(__xludf.DUMMYFUNCTION("""COMPUTED_VALUE"""),"Self Identify")</f>
        <v>Self Identify</v>
      </c>
      <c r="I2993" s="6" t="str">
        <f>IFERROR(__xludf.DUMMYFUNCTION("""COMPUTED_VALUE"""),"Middle School")</f>
        <v>Middle School</v>
      </c>
      <c r="J2993" s="6" t="str">
        <f>IFERROR(__xludf.DUMMYFUNCTION("""COMPUTED_VALUE"""),"8")</f>
        <v>8</v>
      </c>
      <c r="K2993" s="6" t="str">
        <f>IFERROR(__xludf.DUMMYFUNCTION("""COMPUTED_VALUE"""),"xavi_duranchacon@stu.ortrail.k12.or.us")</f>
        <v>xavi_duranchacon@stu.ortrail.k12.or.us</v>
      </c>
      <c r="L2993" s="6" t="str">
        <f>IFERROR(__xludf.DUMMYFUNCTION("""COMPUTED_VALUE"""),"Oregon Trail School District 46")</f>
        <v>Oregon Trail School District 46</v>
      </c>
      <c r="M2993" s="6" t="str">
        <f>IFERROR(__xludf.DUMMYFUNCTION("""COMPUTED_VALUE"""),"Boring Middle School")</f>
        <v>Boring Middle School</v>
      </c>
      <c r="N2993" s="6" t="str">
        <f>IFERROR(__xludf.DUMMYFUNCTION("""COMPUTED_VALUE"""),"")</f>
        <v/>
      </c>
      <c r="O2993" s="87" t="str">
        <f>IFERROR(__xludf.DUMMYFUNCTION("""COMPUTED_VALUE"""),"https://drive.google.com/drive/folders/10T2cTQHqEJZqE-st6uFKPoI?usp=share_link")</f>
        <v>https://drive.google.com/drive/folders/10T2cTQHqEJZqE-st6uFKPoI?usp=share_link</v>
      </c>
      <c r="P2993" s="6" t="str">
        <f>IFERROR(__xludf.DUMMYFUNCTION("""COMPUTED_VALUE"""),"Xavi E. Duran Chacon")</f>
        <v>Xavi E. Duran Chacon</v>
      </c>
      <c r="Q2993" s="6" t="str">
        <f>IFERROR(__xludf.DUMMYFUNCTION("""COMPUTED_VALUE"""),"MS")</f>
        <v>MS</v>
      </c>
      <c r="R2993" s="6">
        <f>IFERROR(__xludf.DUMMYFUNCTION("""COMPUTED_VALUE"""),0.0)</f>
        <v>0</v>
      </c>
      <c r="S2993" s="6" t="str">
        <f>IFERROR(__xludf.DUMMYFUNCTION("""COMPUTED_VALUE"""),"Maria Ruiz-Perez")</f>
        <v>Maria Ruiz-Perez</v>
      </c>
      <c r="T2993" s="6" t="str">
        <f>IFERROR(__xludf.DUMMYFUNCTION("""COMPUTED_VALUE"""),"maria.perez@ortrail.k12.or.us")</f>
        <v>maria.perez@ortrail.k12.or.us</v>
      </c>
      <c r="U2993" s="6" t="str">
        <f>IFERROR(__xludf.DUMMYFUNCTION("""COMPUTED_VALUE"""),"8")</f>
        <v>8</v>
      </c>
      <c r="V2993" s="6" t="str">
        <f>IFERROR(__xludf.DUMMYFUNCTION("""COMPUTED_VALUE"""),"English")</f>
        <v>English</v>
      </c>
      <c r="W2993" s="6" t="str">
        <f>IFERROR(__xludf.DUMMYFUNCTION("""COMPUTED_VALUE"""),"[]")</f>
        <v>[]</v>
      </c>
      <c r="X2993" s="6" t="str">
        <f>IFERROR(__xludf.DUMMYFUNCTION("""COMPUTED_VALUE"""),"Enrolled")</f>
        <v>Enrolled</v>
      </c>
    </row>
    <row r="2994">
      <c r="A2994" s="6" t="str">
        <f>IFERROR(__xludf.DUMMYFUNCTION("""COMPUTED_VALUE"""),"064-5762")</f>
        <v>064-5762</v>
      </c>
      <c r="B2994" s="6" t="str">
        <f>IFERROR(__xludf.DUMMYFUNCTION("""COMPUTED_VALUE"""),"64")</f>
        <v>64</v>
      </c>
      <c r="C2994" s="6" t="str">
        <f>IFERROR(__xludf.DUMMYFUNCTION("""COMPUTED_VALUE"""),"5762")</f>
        <v>5762</v>
      </c>
      <c r="D2994" s="6" t="str">
        <f>IFERROR(__xludf.DUMMYFUNCTION("""COMPUTED_VALUE"""),"Santiago C.")</f>
        <v>Santiago C.</v>
      </c>
      <c r="E2994" s="6" t="str">
        <f>IFERROR(__xludf.DUMMYFUNCTION("""COMPUTED_VALUE"""),"")</f>
        <v/>
      </c>
      <c r="F2994" s="6" t="str">
        <f>IFERROR(__xludf.DUMMYFUNCTION("""COMPUTED_VALUE"""),"Salas")</f>
        <v>Salas</v>
      </c>
      <c r="G2994" s="6" t="str">
        <f>IFERROR(__xludf.DUMMYFUNCTION("""COMPUTED_VALUE"""),"04/22/2013")</f>
        <v>04/22/2013</v>
      </c>
      <c r="H2994" s="6" t="str">
        <f>IFERROR(__xludf.DUMMYFUNCTION("""COMPUTED_VALUE"""),"Self Identify")</f>
        <v>Self Identify</v>
      </c>
      <c r="I2994" s="6" t="str">
        <f>IFERROR(__xludf.DUMMYFUNCTION("""COMPUTED_VALUE"""),"Middle School")</f>
        <v>Middle School</v>
      </c>
      <c r="J2994" s="6" t="str">
        <f>IFERROR(__xludf.DUMMYFUNCTION("""COMPUTED_VALUE"""),"7")</f>
        <v>7</v>
      </c>
      <c r="K2994" s="6" t="str">
        <f>IFERROR(__xludf.DUMMYFUNCTION("""COMPUTED_VALUE"""),"santiago_salas@stu.ortrail.k12.or.us")</f>
        <v>santiago_salas@stu.ortrail.k12.or.us</v>
      </c>
      <c r="L2994" s="6" t="str">
        <f>IFERROR(__xludf.DUMMYFUNCTION("""COMPUTED_VALUE"""),"Oregon Trail School District 46")</f>
        <v>Oregon Trail School District 46</v>
      </c>
      <c r="M2994" s="6" t="str">
        <f>IFERROR(__xludf.DUMMYFUNCTION("""COMPUTED_VALUE"""),"Boring Middle School")</f>
        <v>Boring Middle School</v>
      </c>
      <c r="N2994" s="6" t="str">
        <f>IFERROR(__xludf.DUMMYFUNCTION("""COMPUTED_VALUE"""),"")</f>
        <v/>
      </c>
      <c r="O2994" s="87" t="str">
        <f>IFERROR(__xludf.DUMMYFUNCTION("""COMPUTED_VALUE"""),"https://drive.google.com/drive/folders/10T2cTQHqEJZqE-st6uFKPoI?usp=share_link")</f>
        <v>https://drive.google.com/drive/folders/10T2cTQHqEJZqE-st6uFKPoI?usp=share_link</v>
      </c>
      <c r="P2994" s="6" t="str">
        <f>IFERROR(__xludf.DUMMYFUNCTION("""COMPUTED_VALUE"""),"Santiago C. Salas")</f>
        <v>Santiago C. Salas</v>
      </c>
      <c r="Q2994" s="6" t="str">
        <f>IFERROR(__xludf.DUMMYFUNCTION("""COMPUTED_VALUE"""),"MS")</f>
        <v>MS</v>
      </c>
      <c r="R2994" s="6">
        <f>IFERROR(__xludf.DUMMYFUNCTION("""COMPUTED_VALUE"""),0.0)</f>
        <v>0</v>
      </c>
      <c r="S2994" s="6" t="str">
        <f>IFERROR(__xludf.DUMMYFUNCTION("""COMPUTED_VALUE"""),"Maria Ruiz-Perez")</f>
        <v>Maria Ruiz-Perez</v>
      </c>
      <c r="T2994" s="6" t="str">
        <f>IFERROR(__xludf.DUMMYFUNCTION("""COMPUTED_VALUE"""),"maria.perez@ortrail.k12.or.us")</f>
        <v>maria.perez@ortrail.k12.or.us</v>
      </c>
      <c r="U2994" s="6" t="str">
        <f>IFERROR(__xludf.DUMMYFUNCTION("""COMPUTED_VALUE"""),"7")</f>
        <v>7</v>
      </c>
      <c r="V2994" s="6" t="str">
        <f>IFERROR(__xludf.DUMMYFUNCTION("""COMPUTED_VALUE"""),"English")</f>
        <v>English</v>
      </c>
      <c r="W2994" s="6" t="str">
        <f>IFERROR(__xludf.DUMMYFUNCTION("""COMPUTED_VALUE"""),"[]")</f>
        <v>[]</v>
      </c>
      <c r="X2994" s="6" t="str">
        <f>IFERROR(__xludf.DUMMYFUNCTION("""COMPUTED_VALUE"""),"Enrolled")</f>
        <v>Enrolled</v>
      </c>
    </row>
    <row r="2995">
      <c r="A2995" s="6" t="str">
        <f>IFERROR(__xludf.DUMMYFUNCTION("""COMPUTED_VALUE"""),"064-5763")</f>
        <v>064-5763</v>
      </c>
      <c r="B2995" s="6" t="str">
        <f>IFERROR(__xludf.DUMMYFUNCTION("""COMPUTED_VALUE"""),"64")</f>
        <v>64</v>
      </c>
      <c r="C2995" s="6" t="str">
        <f>IFERROR(__xludf.DUMMYFUNCTION("""COMPUTED_VALUE"""),"5763")</f>
        <v>5763</v>
      </c>
      <c r="D2995" s="6" t="str">
        <f>IFERROR(__xludf.DUMMYFUNCTION("""COMPUTED_VALUE"""),"David")</f>
        <v>David</v>
      </c>
      <c r="E2995" s="6" t="str">
        <f>IFERROR(__xludf.DUMMYFUNCTION("""COMPUTED_VALUE"""),"")</f>
        <v/>
      </c>
      <c r="F2995" s="6" t="str">
        <f>IFERROR(__xludf.DUMMYFUNCTION("""COMPUTED_VALUE"""),"Torgasov")</f>
        <v>Torgasov</v>
      </c>
      <c r="G2995" s="6" t="str">
        <f>IFERROR(__xludf.DUMMYFUNCTION("""COMPUTED_VALUE"""),"08/30/2012")</f>
        <v>08/30/2012</v>
      </c>
      <c r="H2995" s="6" t="str">
        <f>IFERROR(__xludf.DUMMYFUNCTION("""COMPUTED_VALUE"""),"Self Identify")</f>
        <v>Self Identify</v>
      </c>
      <c r="I2995" s="6" t="str">
        <f>IFERROR(__xludf.DUMMYFUNCTION("""COMPUTED_VALUE"""),"Middle School")</f>
        <v>Middle School</v>
      </c>
      <c r="J2995" s="6" t="str">
        <f>IFERROR(__xludf.DUMMYFUNCTION("""COMPUTED_VALUE"""),"7")</f>
        <v>7</v>
      </c>
      <c r="K2995" s="6" t="str">
        <f>IFERROR(__xludf.DUMMYFUNCTION("""COMPUTED_VALUE"""),"david_torgasov@stu.ortrail.k12.or.us")</f>
        <v>david_torgasov@stu.ortrail.k12.or.us</v>
      </c>
      <c r="L2995" s="6" t="str">
        <f>IFERROR(__xludf.DUMMYFUNCTION("""COMPUTED_VALUE"""),"Oregon Trail School District 46")</f>
        <v>Oregon Trail School District 46</v>
      </c>
      <c r="M2995" s="6" t="str">
        <f>IFERROR(__xludf.DUMMYFUNCTION("""COMPUTED_VALUE"""),"Boring Middle School")</f>
        <v>Boring Middle School</v>
      </c>
      <c r="N2995" s="6" t="str">
        <f>IFERROR(__xludf.DUMMYFUNCTION("""COMPUTED_VALUE"""),"")</f>
        <v/>
      </c>
      <c r="O2995" s="87" t="str">
        <f>IFERROR(__xludf.DUMMYFUNCTION("""COMPUTED_VALUE"""),"https://drive.google.com/drive/folders/10T2cTQHqEJZqE-st6uFKPoI?usp=share_link")</f>
        <v>https://drive.google.com/drive/folders/10T2cTQHqEJZqE-st6uFKPoI?usp=share_link</v>
      </c>
      <c r="P2995" s="6" t="str">
        <f>IFERROR(__xludf.DUMMYFUNCTION("""COMPUTED_VALUE"""),"David Torgasov")</f>
        <v>David Torgasov</v>
      </c>
      <c r="Q2995" s="6" t="str">
        <f>IFERROR(__xludf.DUMMYFUNCTION("""COMPUTED_VALUE"""),"MS")</f>
        <v>MS</v>
      </c>
      <c r="R2995" s="6">
        <f>IFERROR(__xludf.DUMMYFUNCTION("""COMPUTED_VALUE"""),0.0)</f>
        <v>0</v>
      </c>
      <c r="S2995" s="6" t="str">
        <f>IFERROR(__xludf.DUMMYFUNCTION("""COMPUTED_VALUE"""),"Maria Ruiz-Perez")</f>
        <v>Maria Ruiz-Perez</v>
      </c>
      <c r="T2995" s="6" t="str">
        <f>IFERROR(__xludf.DUMMYFUNCTION("""COMPUTED_VALUE"""),"maria.perez@ortrail.k12.or.us")</f>
        <v>maria.perez@ortrail.k12.or.us</v>
      </c>
      <c r="U2995" s="6" t="str">
        <f>IFERROR(__xludf.DUMMYFUNCTION("""COMPUTED_VALUE"""),"7")</f>
        <v>7</v>
      </c>
      <c r="V2995" s="6" t="str">
        <f>IFERROR(__xludf.DUMMYFUNCTION("""COMPUTED_VALUE"""),"English")</f>
        <v>English</v>
      </c>
      <c r="W2995" s="6" t="str">
        <f>IFERROR(__xludf.DUMMYFUNCTION("""COMPUTED_VALUE"""),"[]")</f>
        <v>[]</v>
      </c>
      <c r="X2995" s="6" t="str">
        <f>IFERROR(__xludf.DUMMYFUNCTION("""COMPUTED_VALUE"""),"Enrolled")</f>
        <v>Enrolled</v>
      </c>
    </row>
    <row r="2996">
      <c r="A2996" s="6" t="str">
        <f>IFERROR(__xludf.DUMMYFUNCTION("""COMPUTED_VALUE"""),"064-5764")</f>
        <v>064-5764</v>
      </c>
      <c r="B2996" s="6" t="str">
        <f>IFERROR(__xludf.DUMMYFUNCTION("""COMPUTED_VALUE"""),"64")</f>
        <v>64</v>
      </c>
      <c r="C2996" s="6" t="str">
        <f>IFERROR(__xludf.DUMMYFUNCTION("""COMPUTED_VALUE"""),"5764")</f>
        <v>5764</v>
      </c>
      <c r="D2996" s="6" t="str">
        <f>IFERROR(__xludf.DUMMYFUNCTION("""COMPUTED_VALUE"""),"Jayson E.")</f>
        <v>Jayson E.</v>
      </c>
      <c r="E2996" s="6" t="str">
        <f>IFERROR(__xludf.DUMMYFUNCTION("""COMPUTED_VALUE"""),"")</f>
        <v/>
      </c>
      <c r="F2996" s="6" t="str">
        <f>IFERROR(__xludf.DUMMYFUNCTION("""COMPUTED_VALUE"""),"Aguirre Jain")</f>
        <v>Aguirre Jain</v>
      </c>
      <c r="G2996" s="6" t="str">
        <f>IFERROR(__xludf.DUMMYFUNCTION("""COMPUTED_VALUE"""),"12/01/2011")</f>
        <v>12/01/2011</v>
      </c>
      <c r="H2996" s="6" t="str">
        <f>IFERROR(__xludf.DUMMYFUNCTION("""COMPUTED_VALUE"""),"Self Identify")</f>
        <v>Self Identify</v>
      </c>
      <c r="I2996" s="6" t="str">
        <f>IFERROR(__xludf.DUMMYFUNCTION("""COMPUTED_VALUE"""),"Middle School")</f>
        <v>Middle School</v>
      </c>
      <c r="J2996" s="6" t="str">
        <f>IFERROR(__xludf.DUMMYFUNCTION("""COMPUTED_VALUE"""),"8")</f>
        <v>8</v>
      </c>
      <c r="K2996" s="6" t="str">
        <f>IFERROR(__xludf.DUMMYFUNCTION("""COMPUTED_VALUE"""),"jayson_aguirrejain@stu.ortrail.k12.or.us")</f>
        <v>jayson_aguirrejain@stu.ortrail.k12.or.us</v>
      </c>
      <c r="L2996" s="6" t="str">
        <f>IFERROR(__xludf.DUMMYFUNCTION("""COMPUTED_VALUE"""),"Oregon Trail School District 46")</f>
        <v>Oregon Trail School District 46</v>
      </c>
      <c r="M2996" s="6" t="str">
        <f>IFERROR(__xludf.DUMMYFUNCTION("""COMPUTED_VALUE"""),"Boring Middle School")</f>
        <v>Boring Middle School</v>
      </c>
      <c r="N2996" s="6" t="str">
        <f>IFERROR(__xludf.DUMMYFUNCTION("""COMPUTED_VALUE"""),"")</f>
        <v/>
      </c>
      <c r="O2996" s="87" t="str">
        <f>IFERROR(__xludf.DUMMYFUNCTION("""COMPUTED_VALUE"""),"https://drive.google.com/drive/folders/10T2cTQHqEJZqE-st6uFKPoI?usp=share_link")</f>
        <v>https://drive.google.com/drive/folders/10T2cTQHqEJZqE-st6uFKPoI?usp=share_link</v>
      </c>
      <c r="P2996" s="6" t="str">
        <f>IFERROR(__xludf.DUMMYFUNCTION("""COMPUTED_VALUE"""),"Jayson E. Aguirre Jain")</f>
        <v>Jayson E. Aguirre Jain</v>
      </c>
      <c r="Q2996" s="6" t="str">
        <f>IFERROR(__xludf.DUMMYFUNCTION("""COMPUTED_VALUE"""),"MS")</f>
        <v>MS</v>
      </c>
      <c r="R2996" s="6">
        <f>IFERROR(__xludf.DUMMYFUNCTION("""COMPUTED_VALUE"""),0.0)</f>
        <v>0</v>
      </c>
      <c r="S2996" s="6" t="str">
        <f>IFERROR(__xludf.DUMMYFUNCTION("""COMPUTED_VALUE"""),"David Beitler")</f>
        <v>David Beitler</v>
      </c>
      <c r="T2996" s="6" t="str">
        <f>IFERROR(__xludf.DUMMYFUNCTION("""COMPUTED_VALUE"""),"david.beitler@ortrail.k12.or.us")</f>
        <v>david.beitler@ortrail.k12.or.us</v>
      </c>
      <c r="U2996" s="6" t="str">
        <f>IFERROR(__xludf.DUMMYFUNCTION("""COMPUTED_VALUE"""),"8")</f>
        <v>8</v>
      </c>
      <c r="V2996" s="6" t="str">
        <f>IFERROR(__xludf.DUMMYFUNCTION("""COMPUTED_VALUE"""),"English")</f>
        <v>English</v>
      </c>
      <c r="W2996" s="6" t="str">
        <f>IFERROR(__xludf.DUMMYFUNCTION("""COMPUTED_VALUE"""),"[]")</f>
        <v>[]</v>
      </c>
      <c r="X2996" s="6" t="str">
        <f>IFERROR(__xludf.DUMMYFUNCTION("""COMPUTED_VALUE"""),"Enrolled")</f>
        <v>Enrolled</v>
      </c>
    </row>
    <row r="2997">
      <c r="A2997" s="6" t="str">
        <f>IFERROR(__xludf.DUMMYFUNCTION("""COMPUTED_VALUE"""),"064-5765")</f>
        <v>064-5765</v>
      </c>
      <c r="B2997" s="6" t="str">
        <f>IFERROR(__xludf.DUMMYFUNCTION("""COMPUTED_VALUE"""),"64")</f>
        <v>64</v>
      </c>
      <c r="C2997" s="6" t="str">
        <f>IFERROR(__xludf.DUMMYFUNCTION("""COMPUTED_VALUE"""),"5765")</f>
        <v>5765</v>
      </c>
      <c r="D2997" s="6" t="str">
        <f>IFERROR(__xludf.DUMMYFUNCTION("""COMPUTED_VALUE"""),"Sophia C.")</f>
        <v>Sophia C.</v>
      </c>
      <c r="E2997" s="6" t="str">
        <f>IFERROR(__xludf.DUMMYFUNCTION("""COMPUTED_VALUE"""),"")</f>
        <v/>
      </c>
      <c r="F2997" s="6" t="str">
        <f>IFERROR(__xludf.DUMMYFUNCTION("""COMPUTED_VALUE"""),"Bell")</f>
        <v>Bell</v>
      </c>
      <c r="G2997" s="6" t="str">
        <f>IFERROR(__xludf.DUMMYFUNCTION("""COMPUTED_VALUE"""),"05/28/2012")</f>
        <v>05/28/2012</v>
      </c>
      <c r="H2997" s="6" t="str">
        <f>IFERROR(__xludf.DUMMYFUNCTION("""COMPUTED_VALUE"""),"Self Identify")</f>
        <v>Self Identify</v>
      </c>
      <c r="I2997" s="6" t="str">
        <f>IFERROR(__xludf.DUMMYFUNCTION("""COMPUTED_VALUE"""),"Middle School")</f>
        <v>Middle School</v>
      </c>
      <c r="J2997" s="6" t="str">
        <f>IFERROR(__xludf.DUMMYFUNCTION("""COMPUTED_VALUE"""),"8")</f>
        <v>8</v>
      </c>
      <c r="K2997" s="6" t="str">
        <f>IFERROR(__xludf.DUMMYFUNCTION("""COMPUTED_VALUE"""),"sophia_bell@stu.ortrail.k12.or.us")</f>
        <v>sophia_bell@stu.ortrail.k12.or.us</v>
      </c>
      <c r="L2997" s="6" t="str">
        <f>IFERROR(__xludf.DUMMYFUNCTION("""COMPUTED_VALUE"""),"Oregon Trail School District 46")</f>
        <v>Oregon Trail School District 46</v>
      </c>
      <c r="M2997" s="6" t="str">
        <f>IFERROR(__xludf.DUMMYFUNCTION("""COMPUTED_VALUE"""),"Boring Middle School")</f>
        <v>Boring Middle School</v>
      </c>
      <c r="N2997" s="6" t="str">
        <f>IFERROR(__xludf.DUMMYFUNCTION("""COMPUTED_VALUE"""),"")</f>
        <v/>
      </c>
      <c r="O2997" s="87" t="str">
        <f>IFERROR(__xludf.DUMMYFUNCTION("""COMPUTED_VALUE"""),"https://drive.google.com/drive/folders/10T2cTQHqEJZqE-st6uFKPoI?usp=share_link")</f>
        <v>https://drive.google.com/drive/folders/10T2cTQHqEJZqE-st6uFKPoI?usp=share_link</v>
      </c>
      <c r="P2997" s="6" t="str">
        <f>IFERROR(__xludf.DUMMYFUNCTION("""COMPUTED_VALUE"""),"Sophia C. Bell")</f>
        <v>Sophia C. Bell</v>
      </c>
      <c r="Q2997" s="6" t="str">
        <f>IFERROR(__xludf.DUMMYFUNCTION("""COMPUTED_VALUE"""),"MS")</f>
        <v>MS</v>
      </c>
      <c r="R2997" s="6">
        <f>IFERROR(__xludf.DUMMYFUNCTION("""COMPUTED_VALUE"""),0.0)</f>
        <v>0</v>
      </c>
      <c r="S2997" s="6" t="str">
        <f>IFERROR(__xludf.DUMMYFUNCTION("""COMPUTED_VALUE"""),"David Beitler")</f>
        <v>David Beitler</v>
      </c>
      <c r="T2997" s="6" t="str">
        <f>IFERROR(__xludf.DUMMYFUNCTION("""COMPUTED_VALUE"""),"david.beitler@ortrail.k12.or.us")</f>
        <v>david.beitler@ortrail.k12.or.us</v>
      </c>
      <c r="U2997" s="6" t="str">
        <f>IFERROR(__xludf.DUMMYFUNCTION("""COMPUTED_VALUE"""),"8")</f>
        <v>8</v>
      </c>
      <c r="V2997" s="6" t="str">
        <f>IFERROR(__xludf.DUMMYFUNCTION("""COMPUTED_VALUE"""),"English")</f>
        <v>English</v>
      </c>
      <c r="W2997" s="6" t="str">
        <f>IFERROR(__xludf.DUMMYFUNCTION("""COMPUTED_VALUE"""),"[]")</f>
        <v>[]</v>
      </c>
      <c r="X2997" s="6" t="str">
        <f>IFERROR(__xludf.DUMMYFUNCTION("""COMPUTED_VALUE"""),"Enrolled")</f>
        <v>Enrolled</v>
      </c>
    </row>
    <row r="2998">
      <c r="A2998" s="6" t="str">
        <f>IFERROR(__xludf.DUMMYFUNCTION("""COMPUTED_VALUE"""),"064-5767")</f>
        <v>064-5767</v>
      </c>
      <c r="B2998" s="6" t="str">
        <f>IFERROR(__xludf.DUMMYFUNCTION("""COMPUTED_VALUE"""),"64")</f>
        <v>64</v>
      </c>
      <c r="C2998" s="6" t="str">
        <f>IFERROR(__xludf.DUMMYFUNCTION("""COMPUTED_VALUE"""),"5767")</f>
        <v>5767</v>
      </c>
      <c r="D2998" s="6" t="str">
        <f>IFERROR(__xludf.DUMMYFUNCTION("""COMPUTED_VALUE"""),"Gage T.")</f>
        <v>Gage T.</v>
      </c>
      <c r="E2998" s="6" t="str">
        <f>IFERROR(__xludf.DUMMYFUNCTION("""COMPUTED_VALUE"""),"")</f>
        <v/>
      </c>
      <c r="F2998" s="6" t="str">
        <f>IFERROR(__xludf.DUMMYFUNCTION("""COMPUTED_VALUE"""),"Brassinne")</f>
        <v>Brassinne</v>
      </c>
      <c r="G2998" s="6" t="str">
        <f>IFERROR(__xludf.DUMMYFUNCTION("""COMPUTED_VALUE"""),"12/25/2011")</f>
        <v>12/25/2011</v>
      </c>
      <c r="H2998" s="6" t="str">
        <f>IFERROR(__xludf.DUMMYFUNCTION("""COMPUTED_VALUE"""),"Self Identify")</f>
        <v>Self Identify</v>
      </c>
      <c r="I2998" s="6" t="str">
        <f>IFERROR(__xludf.DUMMYFUNCTION("""COMPUTED_VALUE"""),"Middle School")</f>
        <v>Middle School</v>
      </c>
      <c r="J2998" s="6" t="str">
        <f>IFERROR(__xludf.DUMMYFUNCTION("""COMPUTED_VALUE"""),"8")</f>
        <v>8</v>
      </c>
      <c r="K2998" s="6" t="str">
        <f>IFERROR(__xludf.DUMMYFUNCTION("""COMPUTED_VALUE"""),"gage_brassinne@stu.ortrail.k12.or.us")</f>
        <v>gage_brassinne@stu.ortrail.k12.or.us</v>
      </c>
      <c r="L2998" s="6" t="str">
        <f>IFERROR(__xludf.DUMMYFUNCTION("""COMPUTED_VALUE"""),"Oregon Trail School District 46")</f>
        <v>Oregon Trail School District 46</v>
      </c>
      <c r="M2998" s="6" t="str">
        <f>IFERROR(__xludf.DUMMYFUNCTION("""COMPUTED_VALUE"""),"Boring Middle School")</f>
        <v>Boring Middle School</v>
      </c>
      <c r="N2998" s="6" t="str">
        <f>IFERROR(__xludf.DUMMYFUNCTION("""COMPUTED_VALUE"""),"")</f>
        <v/>
      </c>
      <c r="O2998" s="87" t="str">
        <f>IFERROR(__xludf.DUMMYFUNCTION("""COMPUTED_VALUE"""),"https://drive.google.com/drive/folders/10T2cTQHqEJZqE-st6uFKPoI?usp=share_link")</f>
        <v>https://drive.google.com/drive/folders/10T2cTQHqEJZqE-st6uFKPoI?usp=share_link</v>
      </c>
      <c r="P2998" s="6" t="str">
        <f>IFERROR(__xludf.DUMMYFUNCTION("""COMPUTED_VALUE"""),"Gage T. Brassinne")</f>
        <v>Gage T. Brassinne</v>
      </c>
      <c r="Q2998" s="6" t="str">
        <f>IFERROR(__xludf.DUMMYFUNCTION("""COMPUTED_VALUE"""),"MS")</f>
        <v>MS</v>
      </c>
      <c r="R2998" s="6">
        <f>IFERROR(__xludf.DUMMYFUNCTION("""COMPUTED_VALUE"""),0.0)</f>
        <v>0</v>
      </c>
      <c r="S2998" s="6" t="str">
        <f>IFERROR(__xludf.DUMMYFUNCTION("""COMPUTED_VALUE"""),"David Beitler")</f>
        <v>David Beitler</v>
      </c>
      <c r="T2998" s="6" t="str">
        <f>IFERROR(__xludf.DUMMYFUNCTION("""COMPUTED_VALUE"""),"david.beitler@ortrail.k12.or.us")</f>
        <v>david.beitler@ortrail.k12.or.us</v>
      </c>
      <c r="U2998" s="6" t="str">
        <f>IFERROR(__xludf.DUMMYFUNCTION("""COMPUTED_VALUE"""),"8")</f>
        <v>8</v>
      </c>
      <c r="V2998" s="6" t="str">
        <f>IFERROR(__xludf.DUMMYFUNCTION("""COMPUTED_VALUE"""),"English")</f>
        <v>English</v>
      </c>
      <c r="W2998" s="6" t="str">
        <f>IFERROR(__xludf.DUMMYFUNCTION("""COMPUTED_VALUE"""),"[]")</f>
        <v>[]</v>
      </c>
      <c r="X2998" s="6" t="str">
        <f>IFERROR(__xludf.DUMMYFUNCTION("""COMPUTED_VALUE"""),"Enrolled")</f>
        <v>Enrolled</v>
      </c>
    </row>
    <row r="2999">
      <c r="A2999" s="6" t="str">
        <f>IFERROR(__xludf.DUMMYFUNCTION("""COMPUTED_VALUE"""),"064-5768")</f>
        <v>064-5768</v>
      </c>
      <c r="B2999" s="6" t="str">
        <f>IFERROR(__xludf.DUMMYFUNCTION("""COMPUTED_VALUE"""),"64")</f>
        <v>64</v>
      </c>
      <c r="C2999" s="6" t="str">
        <f>IFERROR(__xludf.DUMMYFUNCTION("""COMPUTED_VALUE"""),"5768")</f>
        <v>5768</v>
      </c>
      <c r="D2999" s="6" t="str">
        <f>IFERROR(__xludf.DUMMYFUNCTION("""COMPUTED_VALUE"""),"Mariela")</f>
        <v>Mariela</v>
      </c>
      <c r="E2999" s="6" t="str">
        <f>IFERROR(__xludf.DUMMYFUNCTION("""COMPUTED_VALUE"""),"")</f>
        <v/>
      </c>
      <c r="F2999" s="6" t="str">
        <f>IFERROR(__xludf.DUMMYFUNCTION("""COMPUTED_VALUE"""),"Campas Melesio")</f>
        <v>Campas Melesio</v>
      </c>
      <c r="G2999" s="6" t="str">
        <f>IFERROR(__xludf.DUMMYFUNCTION("""COMPUTED_VALUE"""),"11/06/2011")</f>
        <v>11/06/2011</v>
      </c>
      <c r="H2999" s="6" t="str">
        <f>IFERROR(__xludf.DUMMYFUNCTION("""COMPUTED_VALUE"""),"Self Identify")</f>
        <v>Self Identify</v>
      </c>
      <c r="I2999" s="6" t="str">
        <f>IFERROR(__xludf.DUMMYFUNCTION("""COMPUTED_VALUE"""),"Middle School")</f>
        <v>Middle School</v>
      </c>
      <c r="J2999" s="6" t="str">
        <f>IFERROR(__xludf.DUMMYFUNCTION("""COMPUTED_VALUE"""),"8")</f>
        <v>8</v>
      </c>
      <c r="K2999" s="6" t="str">
        <f>IFERROR(__xludf.DUMMYFUNCTION("""COMPUTED_VALUE"""),"mariela_campasmelesi@stu.ortrail.k12.or.us")</f>
        <v>mariela_campasmelesi@stu.ortrail.k12.or.us</v>
      </c>
      <c r="L2999" s="6" t="str">
        <f>IFERROR(__xludf.DUMMYFUNCTION("""COMPUTED_VALUE"""),"Oregon Trail School District 46")</f>
        <v>Oregon Trail School District 46</v>
      </c>
      <c r="M2999" s="6" t="str">
        <f>IFERROR(__xludf.DUMMYFUNCTION("""COMPUTED_VALUE"""),"Boring Middle School")</f>
        <v>Boring Middle School</v>
      </c>
      <c r="N2999" s="6" t="str">
        <f>IFERROR(__xludf.DUMMYFUNCTION("""COMPUTED_VALUE"""),"")</f>
        <v/>
      </c>
      <c r="O2999" s="87" t="str">
        <f>IFERROR(__xludf.DUMMYFUNCTION("""COMPUTED_VALUE"""),"https://drive.google.com/drive/folders/10T2cTQHqEJZqE-st6uFKPoI?usp=share_link")</f>
        <v>https://drive.google.com/drive/folders/10T2cTQHqEJZqE-st6uFKPoI?usp=share_link</v>
      </c>
      <c r="P2999" s="6" t="str">
        <f>IFERROR(__xludf.DUMMYFUNCTION("""COMPUTED_VALUE"""),"Mariela Campas Melesio")</f>
        <v>Mariela Campas Melesio</v>
      </c>
      <c r="Q2999" s="6" t="str">
        <f>IFERROR(__xludf.DUMMYFUNCTION("""COMPUTED_VALUE"""),"MS")</f>
        <v>MS</v>
      </c>
      <c r="R2999" s="6">
        <f>IFERROR(__xludf.DUMMYFUNCTION("""COMPUTED_VALUE"""),0.0)</f>
        <v>0</v>
      </c>
      <c r="S2999" s="6" t="str">
        <f>IFERROR(__xludf.DUMMYFUNCTION("""COMPUTED_VALUE"""),"David Beitler")</f>
        <v>David Beitler</v>
      </c>
      <c r="T2999" s="6" t="str">
        <f>IFERROR(__xludf.DUMMYFUNCTION("""COMPUTED_VALUE"""),"david.beitler@ortrail.k12.or.us")</f>
        <v>david.beitler@ortrail.k12.or.us</v>
      </c>
      <c r="U2999" s="6" t="str">
        <f>IFERROR(__xludf.DUMMYFUNCTION("""COMPUTED_VALUE"""),"8")</f>
        <v>8</v>
      </c>
      <c r="V2999" s="6" t="str">
        <f>IFERROR(__xludf.DUMMYFUNCTION("""COMPUTED_VALUE"""),"English")</f>
        <v>English</v>
      </c>
      <c r="W2999" s="6" t="str">
        <f>IFERROR(__xludf.DUMMYFUNCTION("""COMPUTED_VALUE"""),"[]")</f>
        <v>[]</v>
      </c>
      <c r="X2999" s="6" t="str">
        <f>IFERROR(__xludf.DUMMYFUNCTION("""COMPUTED_VALUE"""),"Enrolled")</f>
        <v>Enrolled</v>
      </c>
    </row>
    <row r="3000">
      <c r="A3000" s="6" t="str">
        <f>IFERROR(__xludf.DUMMYFUNCTION("""COMPUTED_VALUE"""),"064-5769")</f>
        <v>064-5769</v>
      </c>
      <c r="B3000" s="6" t="str">
        <f>IFERROR(__xludf.DUMMYFUNCTION("""COMPUTED_VALUE"""),"64")</f>
        <v>64</v>
      </c>
      <c r="C3000" s="6" t="str">
        <f>IFERROR(__xludf.DUMMYFUNCTION("""COMPUTED_VALUE"""),"5769")</f>
        <v>5769</v>
      </c>
      <c r="D3000" s="6" t="str">
        <f>IFERROR(__xludf.DUMMYFUNCTION("""COMPUTED_VALUE"""),"Brittany")</f>
        <v>Brittany</v>
      </c>
      <c r="E3000" s="6" t="str">
        <f>IFERROR(__xludf.DUMMYFUNCTION("""COMPUTED_VALUE"""),"")</f>
        <v/>
      </c>
      <c r="F3000" s="6" t="str">
        <f>IFERROR(__xludf.DUMMYFUNCTION("""COMPUTED_VALUE"""),"Hernandez Salazar")</f>
        <v>Hernandez Salazar</v>
      </c>
      <c r="G3000" s="6" t="str">
        <f>IFERROR(__xludf.DUMMYFUNCTION("""COMPUTED_VALUE"""),"06/19/2012")</f>
        <v>06/19/2012</v>
      </c>
      <c r="H3000" s="6" t="str">
        <f>IFERROR(__xludf.DUMMYFUNCTION("""COMPUTED_VALUE"""),"Self Identify")</f>
        <v>Self Identify</v>
      </c>
      <c r="I3000" s="6" t="str">
        <f>IFERROR(__xludf.DUMMYFUNCTION("""COMPUTED_VALUE"""),"Middle School")</f>
        <v>Middle School</v>
      </c>
      <c r="J3000" s="6" t="str">
        <f>IFERROR(__xludf.DUMMYFUNCTION("""COMPUTED_VALUE"""),"8")</f>
        <v>8</v>
      </c>
      <c r="K3000" s="6" t="str">
        <f>IFERROR(__xludf.DUMMYFUNCTION("""COMPUTED_VALUE"""),"brittany_hernandezsa@stu.ortrail.k12.or.us")</f>
        <v>brittany_hernandezsa@stu.ortrail.k12.or.us</v>
      </c>
      <c r="L3000" s="6" t="str">
        <f>IFERROR(__xludf.DUMMYFUNCTION("""COMPUTED_VALUE"""),"Oregon Trail School District 46")</f>
        <v>Oregon Trail School District 46</v>
      </c>
      <c r="M3000" s="6" t="str">
        <f>IFERROR(__xludf.DUMMYFUNCTION("""COMPUTED_VALUE"""),"Boring Middle School")</f>
        <v>Boring Middle School</v>
      </c>
      <c r="N3000" s="6" t="str">
        <f>IFERROR(__xludf.DUMMYFUNCTION("""COMPUTED_VALUE"""),"")</f>
        <v/>
      </c>
      <c r="O3000" s="87" t="str">
        <f>IFERROR(__xludf.DUMMYFUNCTION("""COMPUTED_VALUE"""),"https://drive.google.com/drive/folders/10T2cTQHqEJZqE-st6uFKPoI?usp=share_link")</f>
        <v>https://drive.google.com/drive/folders/10T2cTQHqEJZqE-st6uFKPoI?usp=share_link</v>
      </c>
      <c r="P3000" s="6" t="str">
        <f>IFERROR(__xludf.DUMMYFUNCTION("""COMPUTED_VALUE"""),"Brittany Hernandez Salazar")</f>
        <v>Brittany Hernandez Salazar</v>
      </c>
      <c r="Q3000" s="6" t="str">
        <f>IFERROR(__xludf.DUMMYFUNCTION("""COMPUTED_VALUE"""),"MS")</f>
        <v>MS</v>
      </c>
      <c r="R3000" s="6">
        <f>IFERROR(__xludf.DUMMYFUNCTION("""COMPUTED_VALUE"""),0.0)</f>
        <v>0</v>
      </c>
      <c r="S3000" s="6" t="str">
        <f>IFERROR(__xludf.DUMMYFUNCTION("""COMPUTED_VALUE"""),"David Beitler")</f>
        <v>David Beitler</v>
      </c>
      <c r="T3000" s="6" t="str">
        <f>IFERROR(__xludf.DUMMYFUNCTION("""COMPUTED_VALUE"""),"david.beitler@ortrail.k12.or.us")</f>
        <v>david.beitler@ortrail.k12.or.us</v>
      </c>
      <c r="U3000" s="6" t="str">
        <f>IFERROR(__xludf.DUMMYFUNCTION("""COMPUTED_VALUE"""),"8")</f>
        <v>8</v>
      </c>
      <c r="V3000" s="6" t="str">
        <f>IFERROR(__xludf.DUMMYFUNCTION("""COMPUTED_VALUE"""),"English")</f>
        <v>English</v>
      </c>
      <c r="W3000" s="6" t="str">
        <f>IFERROR(__xludf.DUMMYFUNCTION("""COMPUTED_VALUE"""),"[]")</f>
        <v>[]</v>
      </c>
      <c r="X3000" s="6" t="str">
        <f>IFERROR(__xludf.DUMMYFUNCTION("""COMPUTED_VALUE"""),"Enrolled")</f>
        <v>Enrolled</v>
      </c>
    </row>
    <row r="3001">
      <c r="A3001" s="6" t="str">
        <f>IFERROR(__xludf.DUMMYFUNCTION("""COMPUTED_VALUE"""),"064-5770")</f>
        <v>064-5770</v>
      </c>
      <c r="B3001" s="6" t="str">
        <f>IFERROR(__xludf.DUMMYFUNCTION("""COMPUTED_VALUE"""),"64")</f>
        <v>64</v>
      </c>
      <c r="C3001" s="6" t="str">
        <f>IFERROR(__xludf.DUMMYFUNCTION("""COMPUTED_VALUE"""),"5770")</f>
        <v>5770</v>
      </c>
      <c r="D3001" s="6" t="str">
        <f>IFERROR(__xludf.DUMMYFUNCTION("""COMPUTED_VALUE"""),"Sebastian")</f>
        <v>Sebastian</v>
      </c>
      <c r="E3001" s="6" t="str">
        <f>IFERROR(__xludf.DUMMYFUNCTION("""COMPUTED_VALUE"""),"")</f>
        <v/>
      </c>
      <c r="F3001" s="6" t="str">
        <f>IFERROR(__xludf.DUMMYFUNCTION("""COMPUTED_VALUE"""),"Rodriguez-Joaquin")</f>
        <v>Rodriguez-Joaquin</v>
      </c>
      <c r="G3001" s="6" t="str">
        <f>IFERROR(__xludf.DUMMYFUNCTION("""COMPUTED_VALUE"""),"05/08/2011")</f>
        <v>05/08/2011</v>
      </c>
      <c r="H3001" s="6" t="str">
        <f>IFERROR(__xludf.DUMMYFUNCTION("""COMPUTED_VALUE"""),"Self Identify")</f>
        <v>Self Identify</v>
      </c>
      <c r="I3001" s="6" t="str">
        <f>IFERROR(__xludf.DUMMYFUNCTION("""COMPUTED_VALUE"""),"Middle School")</f>
        <v>Middle School</v>
      </c>
      <c r="J3001" s="6" t="str">
        <f>IFERROR(__xludf.DUMMYFUNCTION("""COMPUTED_VALUE"""),"8")</f>
        <v>8</v>
      </c>
      <c r="K3001" s="6" t="str">
        <f>IFERROR(__xludf.DUMMYFUNCTION("""COMPUTED_VALUE"""),"sebastian_rodriguezj@stu.ortrail.k12.or.us")</f>
        <v>sebastian_rodriguezj@stu.ortrail.k12.or.us</v>
      </c>
      <c r="L3001" s="6" t="str">
        <f>IFERROR(__xludf.DUMMYFUNCTION("""COMPUTED_VALUE"""),"Oregon Trail School District 46")</f>
        <v>Oregon Trail School District 46</v>
      </c>
      <c r="M3001" s="6" t="str">
        <f>IFERROR(__xludf.DUMMYFUNCTION("""COMPUTED_VALUE"""),"Boring Middle School")</f>
        <v>Boring Middle School</v>
      </c>
      <c r="N3001" s="6" t="str">
        <f>IFERROR(__xludf.DUMMYFUNCTION("""COMPUTED_VALUE"""),"")</f>
        <v/>
      </c>
      <c r="O3001" s="87" t="str">
        <f>IFERROR(__xludf.DUMMYFUNCTION("""COMPUTED_VALUE"""),"https://drive.google.com/drive/folders/10T2cTQHqEJZqE-st6uFKPoI?usp=share_link")</f>
        <v>https://drive.google.com/drive/folders/10T2cTQHqEJZqE-st6uFKPoI?usp=share_link</v>
      </c>
      <c r="P3001" s="6" t="str">
        <f>IFERROR(__xludf.DUMMYFUNCTION("""COMPUTED_VALUE"""),"Sebastian Rodriguez-Joaquin")</f>
        <v>Sebastian Rodriguez-Joaquin</v>
      </c>
      <c r="Q3001" s="6" t="str">
        <f>IFERROR(__xludf.DUMMYFUNCTION("""COMPUTED_VALUE"""),"MS")</f>
        <v>MS</v>
      </c>
      <c r="R3001" s="6">
        <f>IFERROR(__xludf.DUMMYFUNCTION("""COMPUTED_VALUE"""),0.0)</f>
        <v>0</v>
      </c>
      <c r="S3001" s="6" t="str">
        <f>IFERROR(__xludf.DUMMYFUNCTION("""COMPUTED_VALUE"""),"David Beitler")</f>
        <v>David Beitler</v>
      </c>
      <c r="T3001" s="6" t="str">
        <f>IFERROR(__xludf.DUMMYFUNCTION("""COMPUTED_VALUE"""),"david.beitler@ortrail.k12.or.us")</f>
        <v>david.beitler@ortrail.k12.or.us</v>
      </c>
      <c r="U3001" s="6" t="str">
        <f>IFERROR(__xludf.DUMMYFUNCTION("""COMPUTED_VALUE"""),"8")</f>
        <v>8</v>
      </c>
      <c r="V3001" s="6" t="str">
        <f>IFERROR(__xludf.DUMMYFUNCTION("""COMPUTED_VALUE"""),"English")</f>
        <v>English</v>
      </c>
      <c r="W3001" s="6" t="str">
        <f>IFERROR(__xludf.DUMMYFUNCTION("""COMPUTED_VALUE"""),"[]")</f>
        <v>[]</v>
      </c>
      <c r="X3001" s="6" t="str">
        <f>IFERROR(__xludf.DUMMYFUNCTION("""COMPUTED_VALUE"""),"Enrolled")</f>
        <v>Enrolled</v>
      </c>
    </row>
    <row r="3002">
      <c r="A3002" s="6" t="str">
        <f>IFERROR(__xludf.DUMMYFUNCTION("""COMPUTED_VALUE"""),"064-5771")</f>
        <v>064-5771</v>
      </c>
      <c r="B3002" s="6" t="str">
        <f>IFERROR(__xludf.DUMMYFUNCTION("""COMPUTED_VALUE"""),"64")</f>
        <v>64</v>
      </c>
      <c r="C3002" s="6" t="str">
        <f>IFERROR(__xludf.DUMMYFUNCTION("""COMPUTED_VALUE"""),"5771")</f>
        <v>5771</v>
      </c>
      <c r="D3002" s="6" t="str">
        <f>IFERROR(__xludf.DUMMYFUNCTION("""COMPUTED_VALUE"""),"Sebastian T.")</f>
        <v>Sebastian T.</v>
      </c>
      <c r="E3002" s="6" t="str">
        <f>IFERROR(__xludf.DUMMYFUNCTION("""COMPUTED_VALUE"""),"")</f>
        <v/>
      </c>
      <c r="F3002" s="6" t="str">
        <f>IFERROR(__xludf.DUMMYFUNCTION("""COMPUTED_VALUE"""),"Rogers")</f>
        <v>Rogers</v>
      </c>
      <c r="G3002" s="6" t="str">
        <f>IFERROR(__xludf.DUMMYFUNCTION("""COMPUTED_VALUE"""),"09/14/2011")</f>
        <v>09/14/2011</v>
      </c>
      <c r="H3002" s="6" t="str">
        <f>IFERROR(__xludf.DUMMYFUNCTION("""COMPUTED_VALUE"""),"Self Identify")</f>
        <v>Self Identify</v>
      </c>
      <c r="I3002" s="6" t="str">
        <f>IFERROR(__xludf.DUMMYFUNCTION("""COMPUTED_VALUE"""),"Middle School")</f>
        <v>Middle School</v>
      </c>
      <c r="J3002" s="6" t="str">
        <f>IFERROR(__xludf.DUMMYFUNCTION("""COMPUTED_VALUE"""),"8")</f>
        <v>8</v>
      </c>
      <c r="K3002" s="6" t="str">
        <f>IFERROR(__xludf.DUMMYFUNCTION("""COMPUTED_VALUE"""),"sebastian_rogers@stu.ortrail.k12.or.us")</f>
        <v>sebastian_rogers@stu.ortrail.k12.or.us</v>
      </c>
      <c r="L3002" s="6" t="str">
        <f>IFERROR(__xludf.DUMMYFUNCTION("""COMPUTED_VALUE"""),"Oregon Trail School District 46")</f>
        <v>Oregon Trail School District 46</v>
      </c>
      <c r="M3002" s="6" t="str">
        <f>IFERROR(__xludf.DUMMYFUNCTION("""COMPUTED_VALUE"""),"Boring Middle School")</f>
        <v>Boring Middle School</v>
      </c>
      <c r="N3002" s="6" t="str">
        <f>IFERROR(__xludf.DUMMYFUNCTION("""COMPUTED_VALUE"""),"")</f>
        <v/>
      </c>
      <c r="O3002" s="87" t="str">
        <f>IFERROR(__xludf.DUMMYFUNCTION("""COMPUTED_VALUE"""),"https://drive.google.com/drive/folders/10T2cTQHqEJZqE-st6uFKPoI?usp=share_link")</f>
        <v>https://drive.google.com/drive/folders/10T2cTQHqEJZqE-st6uFKPoI?usp=share_link</v>
      </c>
      <c r="P3002" s="6" t="str">
        <f>IFERROR(__xludf.DUMMYFUNCTION("""COMPUTED_VALUE"""),"Sebastian T. Rogers")</f>
        <v>Sebastian T. Rogers</v>
      </c>
      <c r="Q3002" s="6" t="str">
        <f>IFERROR(__xludf.DUMMYFUNCTION("""COMPUTED_VALUE"""),"MS")</f>
        <v>MS</v>
      </c>
      <c r="R3002" s="6">
        <f>IFERROR(__xludf.DUMMYFUNCTION("""COMPUTED_VALUE"""),0.0)</f>
        <v>0</v>
      </c>
      <c r="S3002" s="6" t="str">
        <f>IFERROR(__xludf.DUMMYFUNCTION("""COMPUTED_VALUE"""),"David Beitler")</f>
        <v>David Beitler</v>
      </c>
      <c r="T3002" s="6" t="str">
        <f>IFERROR(__xludf.DUMMYFUNCTION("""COMPUTED_VALUE"""),"david.beitler@ortrail.k12.or.us")</f>
        <v>david.beitler@ortrail.k12.or.us</v>
      </c>
      <c r="U3002" s="6" t="str">
        <f>IFERROR(__xludf.DUMMYFUNCTION("""COMPUTED_VALUE"""),"8")</f>
        <v>8</v>
      </c>
      <c r="V3002" s="6" t="str">
        <f>IFERROR(__xludf.DUMMYFUNCTION("""COMPUTED_VALUE"""),"English")</f>
        <v>English</v>
      </c>
      <c r="W3002" s="6" t="str">
        <f>IFERROR(__xludf.DUMMYFUNCTION("""COMPUTED_VALUE"""),"[]")</f>
        <v>[]</v>
      </c>
      <c r="X3002" s="6" t="str">
        <f>IFERROR(__xludf.DUMMYFUNCTION("""COMPUTED_VALUE"""),"Enrolled")</f>
        <v>Enrolled</v>
      </c>
    </row>
    <row r="3003">
      <c r="A3003" s="6" t="str">
        <f>IFERROR(__xludf.DUMMYFUNCTION("""COMPUTED_VALUE"""),"064-5772")</f>
        <v>064-5772</v>
      </c>
      <c r="B3003" s="6" t="str">
        <f>IFERROR(__xludf.DUMMYFUNCTION("""COMPUTED_VALUE"""),"64")</f>
        <v>64</v>
      </c>
      <c r="C3003" s="6" t="str">
        <f>IFERROR(__xludf.DUMMYFUNCTION("""COMPUTED_VALUE"""),"5772")</f>
        <v>5772</v>
      </c>
      <c r="D3003" s="6" t="str">
        <f>IFERROR(__xludf.DUMMYFUNCTION("""COMPUTED_VALUE"""),"Satorie S.")</f>
        <v>Satorie S.</v>
      </c>
      <c r="E3003" s="6" t="str">
        <f>IFERROR(__xludf.DUMMYFUNCTION("""COMPUTED_VALUE"""),"")</f>
        <v/>
      </c>
      <c r="F3003" s="6" t="str">
        <f>IFERROR(__xludf.DUMMYFUNCTION("""COMPUTED_VALUE"""),"Russell")</f>
        <v>Russell</v>
      </c>
      <c r="G3003" s="6" t="str">
        <f>IFERROR(__xludf.DUMMYFUNCTION("""COMPUTED_VALUE"""),"07/21/2012")</f>
        <v>07/21/2012</v>
      </c>
      <c r="H3003" s="6" t="str">
        <f>IFERROR(__xludf.DUMMYFUNCTION("""COMPUTED_VALUE"""),"Self Identify")</f>
        <v>Self Identify</v>
      </c>
      <c r="I3003" s="6" t="str">
        <f>IFERROR(__xludf.DUMMYFUNCTION("""COMPUTED_VALUE"""),"Middle School")</f>
        <v>Middle School</v>
      </c>
      <c r="J3003" s="6" t="str">
        <f>IFERROR(__xludf.DUMMYFUNCTION("""COMPUTED_VALUE"""),"8")</f>
        <v>8</v>
      </c>
      <c r="K3003" s="6" t="str">
        <f>IFERROR(__xludf.DUMMYFUNCTION("""COMPUTED_VALUE"""),"satorie_russell@stu.ortrail.k12.or.us")</f>
        <v>satorie_russell@stu.ortrail.k12.or.us</v>
      </c>
      <c r="L3003" s="6" t="str">
        <f>IFERROR(__xludf.DUMMYFUNCTION("""COMPUTED_VALUE"""),"Oregon Trail School District 46")</f>
        <v>Oregon Trail School District 46</v>
      </c>
      <c r="M3003" s="6" t="str">
        <f>IFERROR(__xludf.DUMMYFUNCTION("""COMPUTED_VALUE"""),"Boring Middle School")</f>
        <v>Boring Middle School</v>
      </c>
      <c r="N3003" s="6" t="str">
        <f>IFERROR(__xludf.DUMMYFUNCTION("""COMPUTED_VALUE"""),"")</f>
        <v/>
      </c>
      <c r="O3003" s="87" t="str">
        <f>IFERROR(__xludf.DUMMYFUNCTION("""COMPUTED_VALUE"""),"https://drive.google.com/drive/folders/10T2cTQHqEJZqE-st6uFKPoI?usp=share_link")</f>
        <v>https://drive.google.com/drive/folders/10T2cTQHqEJZqE-st6uFKPoI?usp=share_link</v>
      </c>
      <c r="P3003" s="6" t="str">
        <f>IFERROR(__xludf.DUMMYFUNCTION("""COMPUTED_VALUE"""),"Satorie S. Russell")</f>
        <v>Satorie S. Russell</v>
      </c>
      <c r="Q3003" s="6" t="str">
        <f>IFERROR(__xludf.DUMMYFUNCTION("""COMPUTED_VALUE"""),"MS")</f>
        <v>MS</v>
      </c>
      <c r="R3003" s="6">
        <f>IFERROR(__xludf.DUMMYFUNCTION("""COMPUTED_VALUE"""),0.0)</f>
        <v>0</v>
      </c>
      <c r="S3003" s="6" t="str">
        <f>IFERROR(__xludf.DUMMYFUNCTION("""COMPUTED_VALUE"""),"David Beitler")</f>
        <v>David Beitler</v>
      </c>
      <c r="T3003" s="6" t="str">
        <f>IFERROR(__xludf.DUMMYFUNCTION("""COMPUTED_VALUE"""),"david.beitler@ortrail.k12.or.us")</f>
        <v>david.beitler@ortrail.k12.or.us</v>
      </c>
      <c r="U3003" s="6" t="str">
        <f>IFERROR(__xludf.DUMMYFUNCTION("""COMPUTED_VALUE"""),"8")</f>
        <v>8</v>
      </c>
      <c r="V3003" s="6" t="str">
        <f>IFERROR(__xludf.DUMMYFUNCTION("""COMPUTED_VALUE"""),"English")</f>
        <v>English</v>
      </c>
      <c r="W3003" s="6" t="str">
        <f>IFERROR(__xludf.DUMMYFUNCTION("""COMPUTED_VALUE"""),"[]")</f>
        <v>[]</v>
      </c>
      <c r="X3003" s="6" t="str">
        <f>IFERROR(__xludf.DUMMYFUNCTION("""COMPUTED_VALUE"""),"Enrolled")</f>
        <v>Enrolled</v>
      </c>
    </row>
    <row r="3004">
      <c r="A3004" s="6" t="str">
        <f>IFERROR(__xludf.DUMMYFUNCTION("""COMPUTED_VALUE"""),"064-5773")</f>
        <v>064-5773</v>
      </c>
      <c r="B3004" s="6" t="str">
        <f>IFERROR(__xludf.DUMMYFUNCTION("""COMPUTED_VALUE"""),"64")</f>
        <v>64</v>
      </c>
      <c r="C3004" s="6" t="str">
        <f>IFERROR(__xludf.DUMMYFUNCTION("""COMPUTED_VALUE"""),"5773")</f>
        <v>5773</v>
      </c>
      <c r="D3004" s="6" t="str">
        <f>IFERROR(__xludf.DUMMYFUNCTION("""COMPUTED_VALUE"""),"Cade T.")</f>
        <v>Cade T.</v>
      </c>
      <c r="E3004" s="6" t="str">
        <f>IFERROR(__xludf.DUMMYFUNCTION("""COMPUTED_VALUE"""),"")</f>
        <v/>
      </c>
      <c r="F3004" s="6" t="str">
        <f>IFERROR(__xludf.DUMMYFUNCTION("""COMPUTED_VALUE"""),"Sparks")</f>
        <v>Sparks</v>
      </c>
      <c r="G3004" s="6" t="str">
        <f>IFERROR(__xludf.DUMMYFUNCTION("""COMPUTED_VALUE"""),"02/25/2012")</f>
        <v>02/25/2012</v>
      </c>
      <c r="H3004" s="6" t="str">
        <f>IFERROR(__xludf.DUMMYFUNCTION("""COMPUTED_VALUE"""),"Self Identify")</f>
        <v>Self Identify</v>
      </c>
      <c r="I3004" s="6" t="str">
        <f>IFERROR(__xludf.DUMMYFUNCTION("""COMPUTED_VALUE"""),"Middle School")</f>
        <v>Middle School</v>
      </c>
      <c r="J3004" s="6" t="str">
        <f>IFERROR(__xludf.DUMMYFUNCTION("""COMPUTED_VALUE"""),"8")</f>
        <v>8</v>
      </c>
      <c r="K3004" s="6" t="str">
        <f>IFERROR(__xludf.DUMMYFUNCTION("""COMPUTED_VALUE"""),"cade_sparks@stu.ortrail.k12.or.us")</f>
        <v>cade_sparks@stu.ortrail.k12.or.us</v>
      </c>
      <c r="L3004" s="6" t="str">
        <f>IFERROR(__xludf.DUMMYFUNCTION("""COMPUTED_VALUE"""),"Oregon Trail School District 46")</f>
        <v>Oregon Trail School District 46</v>
      </c>
      <c r="M3004" s="6" t="str">
        <f>IFERROR(__xludf.DUMMYFUNCTION("""COMPUTED_VALUE"""),"Boring Middle School")</f>
        <v>Boring Middle School</v>
      </c>
      <c r="N3004" s="6" t="str">
        <f>IFERROR(__xludf.DUMMYFUNCTION("""COMPUTED_VALUE"""),"")</f>
        <v/>
      </c>
      <c r="O3004" s="87" t="str">
        <f>IFERROR(__xludf.DUMMYFUNCTION("""COMPUTED_VALUE"""),"https://drive.google.com/drive/folders/10T2cTQHqEJZqE-st6uFKPoI?usp=share_link")</f>
        <v>https://drive.google.com/drive/folders/10T2cTQHqEJZqE-st6uFKPoI?usp=share_link</v>
      </c>
      <c r="P3004" s="6" t="str">
        <f>IFERROR(__xludf.DUMMYFUNCTION("""COMPUTED_VALUE"""),"Cade T. Sparks")</f>
        <v>Cade T. Sparks</v>
      </c>
      <c r="Q3004" s="6" t="str">
        <f>IFERROR(__xludf.DUMMYFUNCTION("""COMPUTED_VALUE"""),"MS")</f>
        <v>MS</v>
      </c>
      <c r="R3004" s="6">
        <f>IFERROR(__xludf.DUMMYFUNCTION("""COMPUTED_VALUE"""),0.0)</f>
        <v>0</v>
      </c>
      <c r="S3004" s="6" t="str">
        <f>IFERROR(__xludf.DUMMYFUNCTION("""COMPUTED_VALUE"""),"David Beitler")</f>
        <v>David Beitler</v>
      </c>
      <c r="T3004" s="6" t="str">
        <f>IFERROR(__xludf.DUMMYFUNCTION("""COMPUTED_VALUE"""),"david.beitler@ortrail.k12.or.us")</f>
        <v>david.beitler@ortrail.k12.or.us</v>
      </c>
      <c r="U3004" s="6" t="str">
        <f>IFERROR(__xludf.DUMMYFUNCTION("""COMPUTED_VALUE"""),"8")</f>
        <v>8</v>
      </c>
      <c r="V3004" s="6" t="str">
        <f>IFERROR(__xludf.DUMMYFUNCTION("""COMPUTED_VALUE"""),"English")</f>
        <v>English</v>
      </c>
      <c r="W3004" s="6" t="str">
        <f>IFERROR(__xludf.DUMMYFUNCTION("""COMPUTED_VALUE"""),"[]")</f>
        <v>[]</v>
      </c>
      <c r="X3004" s="6" t="str">
        <f>IFERROR(__xludf.DUMMYFUNCTION("""COMPUTED_VALUE"""),"Enrolled")</f>
        <v>Enrolled</v>
      </c>
    </row>
    <row r="3005">
      <c r="A3005" s="6" t="str">
        <f>IFERROR(__xludf.DUMMYFUNCTION("""COMPUTED_VALUE"""),"064-5774")</f>
        <v>064-5774</v>
      </c>
      <c r="B3005" s="6" t="str">
        <f>IFERROR(__xludf.DUMMYFUNCTION("""COMPUTED_VALUE"""),"64")</f>
        <v>64</v>
      </c>
      <c r="C3005" s="6" t="str">
        <f>IFERROR(__xludf.DUMMYFUNCTION("""COMPUTED_VALUE"""),"5774")</f>
        <v>5774</v>
      </c>
      <c r="D3005" s="6" t="str">
        <f>IFERROR(__xludf.DUMMYFUNCTION("""COMPUTED_VALUE"""),"Itziael A.")</f>
        <v>Itziael A.</v>
      </c>
      <c r="E3005" s="6" t="str">
        <f>IFERROR(__xludf.DUMMYFUNCTION("""COMPUTED_VALUE"""),"")</f>
        <v/>
      </c>
      <c r="F3005" s="6" t="str">
        <f>IFERROR(__xludf.DUMMYFUNCTION("""COMPUTED_VALUE"""),"Castro-Rose")</f>
        <v>Castro-Rose</v>
      </c>
      <c r="G3005" s="6" t="str">
        <f>IFERROR(__xludf.DUMMYFUNCTION("""COMPUTED_VALUE"""),"10/10/2012")</f>
        <v>10/10/2012</v>
      </c>
      <c r="H3005" s="6" t="str">
        <f>IFERROR(__xludf.DUMMYFUNCTION("""COMPUTED_VALUE"""),"Self Identify")</f>
        <v>Self Identify</v>
      </c>
      <c r="I3005" s="6" t="str">
        <f>IFERROR(__xludf.DUMMYFUNCTION("""COMPUTED_VALUE"""),"Middle School")</f>
        <v>Middle School</v>
      </c>
      <c r="J3005" s="6" t="str">
        <f>IFERROR(__xludf.DUMMYFUNCTION("""COMPUTED_VALUE"""),"7")</f>
        <v>7</v>
      </c>
      <c r="K3005" s="6" t="str">
        <f>IFERROR(__xludf.DUMMYFUNCTION("""COMPUTED_VALUE"""),"itziael_castrorose@stu.ortrail.k12.or.us")</f>
        <v>itziael_castrorose@stu.ortrail.k12.or.us</v>
      </c>
      <c r="L3005" s="6" t="str">
        <f>IFERROR(__xludf.DUMMYFUNCTION("""COMPUTED_VALUE"""),"Oregon Trail School District 46")</f>
        <v>Oregon Trail School District 46</v>
      </c>
      <c r="M3005" s="6" t="str">
        <f>IFERROR(__xludf.DUMMYFUNCTION("""COMPUTED_VALUE"""),"Boring Middle School")</f>
        <v>Boring Middle School</v>
      </c>
      <c r="N3005" s="6" t="str">
        <f>IFERROR(__xludf.DUMMYFUNCTION("""COMPUTED_VALUE"""),"")</f>
        <v/>
      </c>
      <c r="O3005" s="87" t="str">
        <f>IFERROR(__xludf.DUMMYFUNCTION("""COMPUTED_VALUE"""),"https://drive.google.com/drive/folders/10T2cTQHqEJZqE-st6uFKPoI?usp=share_link")</f>
        <v>https://drive.google.com/drive/folders/10T2cTQHqEJZqE-st6uFKPoI?usp=share_link</v>
      </c>
      <c r="P3005" s="6" t="str">
        <f>IFERROR(__xludf.DUMMYFUNCTION("""COMPUTED_VALUE"""),"Itziael A. Castro-Rose")</f>
        <v>Itziael A. Castro-Rose</v>
      </c>
      <c r="Q3005" s="6" t="str">
        <f>IFERROR(__xludf.DUMMYFUNCTION("""COMPUTED_VALUE"""),"MS")</f>
        <v>MS</v>
      </c>
      <c r="R3005" s="6">
        <f>IFERROR(__xludf.DUMMYFUNCTION("""COMPUTED_VALUE"""),0.0)</f>
        <v>0</v>
      </c>
      <c r="S3005" s="6" t="str">
        <f>IFERROR(__xludf.DUMMYFUNCTION("""COMPUTED_VALUE"""),"Maria Ruiz-Perez")</f>
        <v>Maria Ruiz-Perez</v>
      </c>
      <c r="T3005" s="6" t="str">
        <f>IFERROR(__xludf.DUMMYFUNCTION("""COMPUTED_VALUE"""),"maria.perez@ortrail.k12.or.us")</f>
        <v>maria.perez@ortrail.k12.or.us</v>
      </c>
      <c r="U3005" s="6" t="str">
        <f>IFERROR(__xludf.DUMMYFUNCTION("""COMPUTED_VALUE"""),"7")</f>
        <v>7</v>
      </c>
      <c r="V3005" s="6" t="str">
        <f>IFERROR(__xludf.DUMMYFUNCTION("""COMPUTED_VALUE"""),"English")</f>
        <v>English</v>
      </c>
      <c r="W3005" s="6" t="str">
        <f>IFERROR(__xludf.DUMMYFUNCTION("""COMPUTED_VALUE"""),"[]")</f>
        <v>[]</v>
      </c>
      <c r="X3005" s="6" t="str">
        <f>IFERROR(__xludf.DUMMYFUNCTION("""COMPUTED_VALUE"""),"Enrolled")</f>
        <v>Enrolled</v>
      </c>
    </row>
    <row r="3006">
      <c r="A3006" s="6" t="str">
        <f>IFERROR(__xludf.DUMMYFUNCTION("""COMPUTED_VALUE"""),"064-5775")</f>
        <v>064-5775</v>
      </c>
      <c r="B3006" s="6" t="str">
        <f>IFERROR(__xludf.DUMMYFUNCTION("""COMPUTED_VALUE"""),"64")</f>
        <v>64</v>
      </c>
      <c r="C3006" s="6" t="str">
        <f>IFERROR(__xludf.DUMMYFUNCTION("""COMPUTED_VALUE"""),"5775")</f>
        <v>5775</v>
      </c>
      <c r="D3006" s="6" t="str">
        <f>IFERROR(__xludf.DUMMYFUNCTION("""COMPUTED_VALUE"""),"Xavier j.")</f>
        <v>Xavier j.</v>
      </c>
      <c r="E3006" s="6" t="str">
        <f>IFERROR(__xludf.DUMMYFUNCTION("""COMPUTED_VALUE"""),"")</f>
        <v/>
      </c>
      <c r="F3006" s="6" t="str">
        <f>IFERROR(__xludf.DUMMYFUNCTION("""COMPUTED_VALUE"""),"Gomez")</f>
        <v>Gomez</v>
      </c>
      <c r="G3006" s="6" t="str">
        <f>IFERROR(__xludf.DUMMYFUNCTION("""COMPUTED_VALUE"""),"05/22/2013")</f>
        <v>05/22/2013</v>
      </c>
      <c r="H3006" s="6" t="str">
        <f>IFERROR(__xludf.DUMMYFUNCTION("""COMPUTED_VALUE"""),"Self Identify")</f>
        <v>Self Identify</v>
      </c>
      <c r="I3006" s="6" t="str">
        <f>IFERROR(__xludf.DUMMYFUNCTION("""COMPUTED_VALUE"""),"Middle School")</f>
        <v>Middle School</v>
      </c>
      <c r="J3006" s="6" t="str">
        <f>IFERROR(__xludf.DUMMYFUNCTION("""COMPUTED_VALUE"""),"7")</f>
        <v>7</v>
      </c>
      <c r="K3006" s="6" t="str">
        <f>IFERROR(__xludf.DUMMYFUNCTION("""COMPUTED_VALUE"""),"xavier_gomez@stu.ortrail.k12.or.us")</f>
        <v>xavier_gomez@stu.ortrail.k12.or.us</v>
      </c>
      <c r="L3006" s="6" t="str">
        <f>IFERROR(__xludf.DUMMYFUNCTION("""COMPUTED_VALUE"""),"Oregon Trail School District 46")</f>
        <v>Oregon Trail School District 46</v>
      </c>
      <c r="M3006" s="6" t="str">
        <f>IFERROR(__xludf.DUMMYFUNCTION("""COMPUTED_VALUE"""),"Boring Middle School")</f>
        <v>Boring Middle School</v>
      </c>
      <c r="N3006" s="6" t="str">
        <f>IFERROR(__xludf.DUMMYFUNCTION("""COMPUTED_VALUE"""),"")</f>
        <v/>
      </c>
      <c r="O3006" s="87" t="str">
        <f>IFERROR(__xludf.DUMMYFUNCTION("""COMPUTED_VALUE"""),"https://drive.google.com/drive/folders/10T2cTQHqEJZqE-st6uFKPoI?usp=share_link")</f>
        <v>https://drive.google.com/drive/folders/10T2cTQHqEJZqE-st6uFKPoI?usp=share_link</v>
      </c>
      <c r="P3006" s="6" t="str">
        <f>IFERROR(__xludf.DUMMYFUNCTION("""COMPUTED_VALUE"""),"Xavier j. Gomez")</f>
        <v>Xavier j. Gomez</v>
      </c>
      <c r="Q3006" s="6" t="str">
        <f>IFERROR(__xludf.DUMMYFUNCTION("""COMPUTED_VALUE"""),"MS")</f>
        <v>MS</v>
      </c>
      <c r="R3006" s="6">
        <f>IFERROR(__xludf.DUMMYFUNCTION("""COMPUTED_VALUE"""),0.0)</f>
        <v>0</v>
      </c>
      <c r="S3006" s="6" t="str">
        <f>IFERROR(__xludf.DUMMYFUNCTION("""COMPUTED_VALUE"""),"Maria Ruiz-Perez")</f>
        <v>Maria Ruiz-Perez</v>
      </c>
      <c r="T3006" s="6" t="str">
        <f>IFERROR(__xludf.DUMMYFUNCTION("""COMPUTED_VALUE"""),"maria.perez@ortrail.k12.or.us")</f>
        <v>maria.perez@ortrail.k12.or.us</v>
      </c>
      <c r="U3006" s="6" t="str">
        <f>IFERROR(__xludf.DUMMYFUNCTION("""COMPUTED_VALUE"""),"7")</f>
        <v>7</v>
      </c>
      <c r="V3006" s="6" t="str">
        <f>IFERROR(__xludf.DUMMYFUNCTION("""COMPUTED_VALUE"""),"English")</f>
        <v>English</v>
      </c>
      <c r="W3006" s="6" t="str">
        <f>IFERROR(__xludf.DUMMYFUNCTION("""COMPUTED_VALUE"""),"[]")</f>
        <v>[]</v>
      </c>
      <c r="X3006" s="6" t="str">
        <f>IFERROR(__xludf.DUMMYFUNCTION("""COMPUTED_VALUE"""),"Enrolled")</f>
        <v>Enrolled</v>
      </c>
    </row>
    <row r="3007">
      <c r="A3007" s="6" t="str">
        <f>IFERROR(__xludf.DUMMYFUNCTION("""COMPUTED_VALUE"""),"064-5776")</f>
        <v>064-5776</v>
      </c>
      <c r="B3007" s="6" t="str">
        <f>IFERROR(__xludf.DUMMYFUNCTION("""COMPUTED_VALUE"""),"64")</f>
        <v>64</v>
      </c>
      <c r="C3007" s="6" t="str">
        <f>IFERROR(__xludf.DUMMYFUNCTION("""COMPUTED_VALUE"""),"5776")</f>
        <v>5776</v>
      </c>
      <c r="D3007" s="6" t="str">
        <f>IFERROR(__xludf.DUMMYFUNCTION("""COMPUTED_VALUE"""),"Kade T.")</f>
        <v>Kade T.</v>
      </c>
      <c r="E3007" s="6" t="str">
        <f>IFERROR(__xludf.DUMMYFUNCTION("""COMPUTED_VALUE"""),"")</f>
        <v/>
      </c>
      <c r="F3007" s="6" t="str">
        <f>IFERROR(__xludf.DUMMYFUNCTION("""COMPUTED_VALUE"""),"Hitsman")</f>
        <v>Hitsman</v>
      </c>
      <c r="G3007" s="6" t="str">
        <f>IFERROR(__xludf.DUMMYFUNCTION("""COMPUTED_VALUE"""),"06/11/2012")</f>
        <v>06/11/2012</v>
      </c>
      <c r="H3007" s="6" t="str">
        <f>IFERROR(__xludf.DUMMYFUNCTION("""COMPUTED_VALUE"""),"Self Identify")</f>
        <v>Self Identify</v>
      </c>
      <c r="I3007" s="6" t="str">
        <f>IFERROR(__xludf.DUMMYFUNCTION("""COMPUTED_VALUE"""),"Middle School")</f>
        <v>Middle School</v>
      </c>
      <c r="J3007" s="6" t="str">
        <f>IFERROR(__xludf.DUMMYFUNCTION("""COMPUTED_VALUE"""),"7")</f>
        <v>7</v>
      </c>
      <c r="K3007" s="6" t="str">
        <f>IFERROR(__xludf.DUMMYFUNCTION("""COMPUTED_VALUE"""),"kade_hitsman@stu.ortrail.k12.or.us")</f>
        <v>kade_hitsman@stu.ortrail.k12.or.us</v>
      </c>
      <c r="L3007" s="6" t="str">
        <f>IFERROR(__xludf.DUMMYFUNCTION("""COMPUTED_VALUE"""),"Oregon Trail School District 46")</f>
        <v>Oregon Trail School District 46</v>
      </c>
      <c r="M3007" s="6" t="str">
        <f>IFERROR(__xludf.DUMMYFUNCTION("""COMPUTED_VALUE"""),"Boring Middle School")</f>
        <v>Boring Middle School</v>
      </c>
      <c r="N3007" s="6" t="str">
        <f>IFERROR(__xludf.DUMMYFUNCTION("""COMPUTED_VALUE"""),"")</f>
        <v/>
      </c>
      <c r="O3007" s="87" t="str">
        <f>IFERROR(__xludf.DUMMYFUNCTION("""COMPUTED_VALUE"""),"https://drive.google.com/drive/folders/10T2cTQHqEJZqE-st6uFKPoI?usp=share_link")</f>
        <v>https://drive.google.com/drive/folders/10T2cTQHqEJZqE-st6uFKPoI?usp=share_link</v>
      </c>
      <c r="P3007" s="6" t="str">
        <f>IFERROR(__xludf.DUMMYFUNCTION("""COMPUTED_VALUE"""),"Kade T. Hitsman")</f>
        <v>Kade T. Hitsman</v>
      </c>
      <c r="Q3007" s="6" t="str">
        <f>IFERROR(__xludf.DUMMYFUNCTION("""COMPUTED_VALUE"""),"MS")</f>
        <v>MS</v>
      </c>
      <c r="R3007" s="6">
        <f>IFERROR(__xludf.DUMMYFUNCTION("""COMPUTED_VALUE"""),0.0)</f>
        <v>0</v>
      </c>
      <c r="S3007" s="6" t="str">
        <f>IFERROR(__xludf.DUMMYFUNCTION("""COMPUTED_VALUE"""),"Maria Ruiz-Perez")</f>
        <v>Maria Ruiz-Perez</v>
      </c>
      <c r="T3007" s="6" t="str">
        <f>IFERROR(__xludf.DUMMYFUNCTION("""COMPUTED_VALUE"""),"maria.perez@ortrail.k12.or.us")</f>
        <v>maria.perez@ortrail.k12.or.us</v>
      </c>
      <c r="U3007" s="6" t="str">
        <f>IFERROR(__xludf.DUMMYFUNCTION("""COMPUTED_VALUE"""),"7")</f>
        <v>7</v>
      </c>
      <c r="V3007" s="6" t="str">
        <f>IFERROR(__xludf.DUMMYFUNCTION("""COMPUTED_VALUE"""),"English")</f>
        <v>English</v>
      </c>
      <c r="W3007" s="6" t="str">
        <f>IFERROR(__xludf.DUMMYFUNCTION("""COMPUTED_VALUE"""),"[]")</f>
        <v>[]</v>
      </c>
      <c r="X3007" s="6" t="str">
        <f>IFERROR(__xludf.DUMMYFUNCTION("""COMPUTED_VALUE"""),"Enrolled")</f>
        <v>Enrolled</v>
      </c>
    </row>
    <row r="3008">
      <c r="A3008" s="6" t="str">
        <f>IFERROR(__xludf.DUMMYFUNCTION("""COMPUTED_VALUE"""),"064-5777")</f>
        <v>064-5777</v>
      </c>
      <c r="B3008" s="6" t="str">
        <f>IFERROR(__xludf.DUMMYFUNCTION("""COMPUTED_VALUE"""),"64")</f>
        <v>64</v>
      </c>
      <c r="C3008" s="6" t="str">
        <f>IFERROR(__xludf.DUMMYFUNCTION("""COMPUTED_VALUE"""),"5777")</f>
        <v>5777</v>
      </c>
      <c r="D3008" s="6" t="str">
        <f>IFERROR(__xludf.DUMMYFUNCTION("""COMPUTED_VALUE"""),"Elijah S.")</f>
        <v>Elijah S.</v>
      </c>
      <c r="E3008" s="6" t="str">
        <f>IFERROR(__xludf.DUMMYFUNCTION("""COMPUTED_VALUE"""),"")</f>
        <v/>
      </c>
      <c r="F3008" s="6" t="str">
        <f>IFERROR(__xludf.DUMMYFUNCTION("""COMPUTED_VALUE"""),"Ilinich")</f>
        <v>Ilinich</v>
      </c>
      <c r="G3008" s="6" t="str">
        <f>IFERROR(__xludf.DUMMYFUNCTION("""COMPUTED_VALUE"""),"08/12/2013")</f>
        <v>08/12/2013</v>
      </c>
      <c r="H3008" s="6" t="str">
        <f>IFERROR(__xludf.DUMMYFUNCTION("""COMPUTED_VALUE"""),"Self Identify")</f>
        <v>Self Identify</v>
      </c>
      <c r="I3008" s="6" t="str">
        <f>IFERROR(__xludf.DUMMYFUNCTION("""COMPUTED_VALUE"""),"Middle School")</f>
        <v>Middle School</v>
      </c>
      <c r="J3008" s="6" t="str">
        <f>IFERROR(__xludf.DUMMYFUNCTION("""COMPUTED_VALUE"""),"7")</f>
        <v>7</v>
      </c>
      <c r="K3008" s="6" t="str">
        <f>IFERROR(__xludf.DUMMYFUNCTION("""COMPUTED_VALUE"""),"elijah_ilinich@stu.ortrail.k12.or.us")</f>
        <v>elijah_ilinich@stu.ortrail.k12.or.us</v>
      </c>
      <c r="L3008" s="6" t="str">
        <f>IFERROR(__xludf.DUMMYFUNCTION("""COMPUTED_VALUE"""),"Oregon Trail School District 46")</f>
        <v>Oregon Trail School District 46</v>
      </c>
      <c r="M3008" s="6" t="str">
        <f>IFERROR(__xludf.DUMMYFUNCTION("""COMPUTED_VALUE"""),"Boring Middle School")</f>
        <v>Boring Middle School</v>
      </c>
      <c r="N3008" s="6" t="str">
        <f>IFERROR(__xludf.DUMMYFUNCTION("""COMPUTED_VALUE"""),"")</f>
        <v/>
      </c>
      <c r="O3008" s="87" t="str">
        <f>IFERROR(__xludf.DUMMYFUNCTION("""COMPUTED_VALUE"""),"https://drive.google.com/drive/folders/10T2cTQHqEJZqE-st6uFKPoI?usp=share_link")</f>
        <v>https://drive.google.com/drive/folders/10T2cTQHqEJZqE-st6uFKPoI?usp=share_link</v>
      </c>
      <c r="P3008" s="6" t="str">
        <f>IFERROR(__xludf.DUMMYFUNCTION("""COMPUTED_VALUE"""),"Elijah S. Ilinich")</f>
        <v>Elijah S. Ilinich</v>
      </c>
      <c r="Q3008" s="6" t="str">
        <f>IFERROR(__xludf.DUMMYFUNCTION("""COMPUTED_VALUE"""),"MS")</f>
        <v>MS</v>
      </c>
      <c r="R3008" s="6">
        <f>IFERROR(__xludf.DUMMYFUNCTION("""COMPUTED_VALUE"""),0.0)</f>
        <v>0</v>
      </c>
      <c r="S3008" s="6" t="str">
        <f>IFERROR(__xludf.DUMMYFUNCTION("""COMPUTED_VALUE"""),"Maria Ruiz-Perez")</f>
        <v>Maria Ruiz-Perez</v>
      </c>
      <c r="T3008" s="6" t="str">
        <f>IFERROR(__xludf.DUMMYFUNCTION("""COMPUTED_VALUE"""),"maria.perez@ortrail.k12.or.us")</f>
        <v>maria.perez@ortrail.k12.or.us</v>
      </c>
      <c r="U3008" s="6" t="str">
        <f>IFERROR(__xludf.DUMMYFUNCTION("""COMPUTED_VALUE"""),"7")</f>
        <v>7</v>
      </c>
      <c r="V3008" s="6" t="str">
        <f>IFERROR(__xludf.DUMMYFUNCTION("""COMPUTED_VALUE"""),"English")</f>
        <v>English</v>
      </c>
      <c r="W3008" s="6" t="str">
        <f>IFERROR(__xludf.DUMMYFUNCTION("""COMPUTED_VALUE"""),"[]")</f>
        <v>[]</v>
      </c>
      <c r="X3008" s="6" t="str">
        <f>IFERROR(__xludf.DUMMYFUNCTION("""COMPUTED_VALUE"""),"Enrolled")</f>
        <v>Enrolled</v>
      </c>
    </row>
    <row r="3009">
      <c r="A3009" s="6" t="str">
        <f>IFERROR(__xludf.DUMMYFUNCTION("""COMPUTED_VALUE"""),"064-5778")</f>
        <v>064-5778</v>
      </c>
      <c r="B3009" s="6" t="str">
        <f>IFERROR(__xludf.DUMMYFUNCTION("""COMPUTED_VALUE"""),"64")</f>
        <v>64</v>
      </c>
      <c r="C3009" s="6" t="str">
        <f>IFERROR(__xludf.DUMMYFUNCTION("""COMPUTED_VALUE"""),"5778")</f>
        <v>5778</v>
      </c>
      <c r="D3009" s="6" t="str">
        <f>IFERROR(__xludf.DUMMYFUNCTION("""COMPUTED_VALUE"""),"Victoria A.")</f>
        <v>Victoria A.</v>
      </c>
      <c r="E3009" s="6" t="str">
        <f>IFERROR(__xludf.DUMMYFUNCTION("""COMPUTED_VALUE"""),"")</f>
        <v/>
      </c>
      <c r="F3009" s="6" t="str">
        <f>IFERROR(__xludf.DUMMYFUNCTION("""COMPUTED_VALUE"""),"Lee")</f>
        <v>Lee</v>
      </c>
      <c r="G3009" s="6" t="str">
        <f>IFERROR(__xludf.DUMMYFUNCTION("""COMPUTED_VALUE"""),"02/10/2013")</f>
        <v>02/10/2013</v>
      </c>
      <c r="H3009" s="6" t="str">
        <f>IFERROR(__xludf.DUMMYFUNCTION("""COMPUTED_VALUE"""),"Self Identify")</f>
        <v>Self Identify</v>
      </c>
      <c r="I3009" s="6" t="str">
        <f>IFERROR(__xludf.DUMMYFUNCTION("""COMPUTED_VALUE"""),"Middle School")</f>
        <v>Middle School</v>
      </c>
      <c r="J3009" s="6" t="str">
        <f>IFERROR(__xludf.DUMMYFUNCTION("""COMPUTED_VALUE"""),"7")</f>
        <v>7</v>
      </c>
      <c r="K3009" s="6" t="str">
        <f>IFERROR(__xludf.DUMMYFUNCTION("""COMPUTED_VALUE"""),"tori_lee@stu.ortrail.k12.or.us")</f>
        <v>tori_lee@stu.ortrail.k12.or.us</v>
      </c>
      <c r="L3009" s="6" t="str">
        <f>IFERROR(__xludf.DUMMYFUNCTION("""COMPUTED_VALUE"""),"Oregon Trail School District 46")</f>
        <v>Oregon Trail School District 46</v>
      </c>
      <c r="M3009" s="6" t="str">
        <f>IFERROR(__xludf.DUMMYFUNCTION("""COMPUTED_VALUE"""),"Boring Middle School")</f>
        <v>Boring Middle School</v>
      </c>
      <c r="N3009" s="6" t="str">
        <f>IFERROR(__xludf.DUMMYFUNCTION("""COMPUTED_VALUE"""),"")</f>
        <v/>
      </c>
      <c r="O3009" s="87" t="str">
        <f>IFERROR(__xludf.DUMMYFUNCTION("""COMPUTED_VALUE"""),"https://drive.google.com/drive/folders/10T2cTQHqEJZqE-st6uFKPoI?usp=share_link")</f>
        <v>https://drive.google.com/drive/folders/10T2cTQHqEJZqE-st6uFKPoI?usp=share_link</v>
      </c>
      <c r="P3009" s="6" t="str">
        <f>IFERROR(__xludf.DUMMYFUNCTION("""COMPUTED_VALUE"""),"Victoria A. Lee")</f>
        <v>Victoria A. Lee</v>
      </c>
      <c r="Q3009" s="6" t="str">
        <f>IFERROR(__xludf.DUMMYFUNCTION("""COMPUTED_VALUE"""),"MS")</f>
        <v>MS</v>
      </c>
      <c r="R3009" s="6">
        <f>IFERROR(__xludf.DUMMYFUNCTION("""COMPUTED_VALUE"""),0.0)</f>
        <v>0</v>
      </c>
      <c r="S3009" s="6" t="str">
        <f>IFERROR(__xludf.DUMMYFUNCTION("""COMPUTED_VALUE"""),"Maria Ruiz-Perez")</f>
        <v>Maria Ruiz-Perez</v>
      </c>
      <c r="T3009" s="6" t="str">
        <f>IFERROR(__xludf.DUMMYFUNCTION("""COMPUTED_VALUE"""),"maria.perez@ortrail.k12.or.us")</f>
        <v>maria.perez@ortrail.k12.or.us</v>
      </c>
      <c r="U3009" s="6" t="str">
        <f>IFERROR(__xludf.DUMMYFUNCTION("""COMPUTED_VALUE"""),"7")</f>
        <v>7</v>
      </c>
      <c r="V3009" s="6" t="str">
        <f>IFERROR(__xludf.DUMMYFUNCTION("""COMPUTED_VALUE"""),"English")</f>
        <v>English</v>
      </c>
      <c r="W3009" s="6" t="str">
        <f>IFERROR(__xludf.DUMMYFUNCTION("""COMPUTED_VALUE"""),"[]")</f>
        <v>[]</v>
      </c>
      <c r="X3009" s="6" t="str">
        <f>IFERROR(__xludf.DUMMYFUNCTION("""COMPUTED_VALUE"""),"Enrolled")</f>
        <v>Enrolled</v>
      </c>
    </row>
    <row r="3010">
      <c r="A3010" s="6" t="str">
        <f>IFERROR(__xludf.DUMMYFUNCTION("""COMPUTED_VALUE"""),"064-5779")</f>
        <v>064-5779</v>
      </c>
      <c r="B3010" s="6" t="str">
        <f>IFERROR(__xludf.DUMMYFUNCTION("""COMPUTED_VALUE"""),"64")</f>
        <v>64</v>
      </c>
      <c r="C3010" s="6" t="str">
        <f>IFERROR(__xludf.DUMMYFUNCTION("""COMPUTED_VALUE"""),"5779")</f>
        <v>5779</v>
      </c>
      <c r="D3010" s="6" t="str">
        <f>IFERROR(__xludf.DUMMYFUNCTION("""COMPUTED_VALUE"""),"Skylah L.")</f>
        <v>Skylah L.</v>
      </c>
      <c r="E3010" s="6" t="str">
        <f>IFERROR(__xludf.DUMMYFUNCTION("""COMPUTED_VALUE"""),"")</f>
        <v/>
      </c>
      <c r="F3010" s="6" t="str">
        <f>IFERROR(__xludf.DUMMYFUNCTION("""COMPUTED_VALUE"""),"Nelson Zavala")</f>
        <v>Nelson Zavala</v>
      </c>
      <c r="G3010" s="6" t="str">
        <f>IFERROR(__xludf.DUMMYFUNCTION("""COMPUTED_VALUE"""),"07/31/2013")</f>
        <v>07/31/2013</v>
      </c>
      <c r="H3010" s="6" t="str">
        <f>IFERROR(__xludf.DUMMYFUNCTION("""COMPUTED_VALUE"""),"Self Identify")</f>
        <v>Self Identify</v>
      </c>
      <c r="I3010" s="6" t="str">
        <f>IFERROR(__xludf.DUMMYFUNCTION("""COMPUTED_VALUE"""),"Middle School")</f>
        <v>Middle School</v>
      </c>
      <c r="J3010" s="6" t="str">
        <f>IFERROR(__xludf.DUMMYFUNCTION("""COMPUTED_VALUE"""),"7")</f>
        <v>7</v>
      </c>
      <c r="K3010" s="6" t="str">
        <f>IFERROR(__xludf.DUMMYFUNCTION("""COMPUTED_VALUE"""),"skylah_nelsonzavala@stu.ortrail.k12.or.us")</f>
        <v>skylah_nelsonzavala@stu.ortrail.k12.or.us</v>
      </c>
      <c r="L3010" s="6" t="str">
        <f>IFERROR(__xludf.DUMMYFUNCTION("""COMPUTED_VALUE"""),"Oregon Trail School District 46")</f>
        <v>Oregon Trail School District 46</v>
      </c>
      <c r="M3010" s="6" t="str">
        <f>IFERROR(__xludf.DUMMYFUNCTION("""COMPUTED_VALUE"""),"Boring Middle School")</f>
        <v>Boring Middle School</v>
      </c>
      <c r="N3010" s="6" t="str">
        <f>IFERROR(__xludf.DUMMYFUNCTION("""COMPUTED_VALUE"""),"")</f>
        <v/>
      </c>
      <c r="O3010" s="87" t="str">
        <f>IFERROR(__xludf.DUMMYFUNCTION("""COMPUTED_VALUE"""),"https://drive.google.com/drive/folders/10T2cTQHqEJZqE-st6uFKPoI?usp=share_link")</f>
        <v>https://drive.google.com/drive/folders/10T2cTQHqEJZqE-st6uFKPoI?usp=share_link</v>
      </c>
      <c r="P3010" s="6" t="str">
        <f>IFERROR(__xludf.DUMMYFUNCTION("""COMPUTED_VALUE"""),"Skylah L. Nelson Zavala")</f>
        <v>Skylah L. Nelson Zavala</v>
      </c>
      <c r="Q3010" s="6" t="str">
        <f>IFERROR(__xludf.DUMMYFUNCTION("""COMPUTED_VALUE"""),"MS")</f>
        <v>MS</v>
      </c>
      <c r="R3010" s="6">
        <f>IFERROR(__xludf.DUMMYFUNCTION("""COMPUTED_VALUE"""),0.0)</f>
        <v>0</v>
      </c>
      <c r="S3010" s="6" t="str">
        <f>IFERROR(__xludf.DUMMYFUNCTION("""COMPUTED_VALUE"""),"Maria Ruiz-Perez")</f>
        <v>Maria Ruiz-Perez</v>
      </c>
      <c r="T3010" s="6" t="str">
        <f>IFERROR(__xludf.DUMMYFUNCTION("""COMPUTED_VALUE"""),"maria.perez@ortrail.k12.or.us")</f>
        <v>maria.perez@ortrail.k12.or.us</v>
      </c>
      <c r="U3010" s="6" t="str">
        <f>IFERROR(__xludf.DUMMYFUNCTION("""COMPUTED_VALUE"""),"7")</f>
        <v>7</v>
      </c>
      <c r="V3010" s="6" t="str">
        <f>IFERROR(__xludf.DUMMYFUNCTION("""COMPUTED_VALUE"""),"English")</f>
        <v>English</v>
      </c>
      <c r="W3010" s="6" t="str">
        <f>IFERROR(__xludf.DUMMYFUNCTION("""COMPUTED_VALUE"""),"[]")</f>
        <v>[]</v>
      </c>
      <c r="X3010" s="6" t="str">
        <f>IFERROR(__xludf.DUMMYFUNCTION("""COMPUTED_VALUE"""),"Enrolled")</f>
        <v>Enrolled</v>
      </c>
    </row>
    <row r="3011">
      <c r="A3011" s="6" t="str">
        <f>IFERROR(__xludf.DUMMYFUNCTION("""COMPUTED_VALUE"""),"064-5780")</f>
        <v>064-5780</v>
      </c>
      <c r="B3011" s="6" t="str">
        <f>IFERROR(__xludf.DUMMYFUNCTION("""COMPUTED_VALUE"""),"64")</f>
        <v>64</v>
      </c>
      <c r="C3011" s="6" t="str">
        <f>IFERROR(__xludf.DUMMYFUNCTION("""COMPUTED_VALUE"""),"5780")</f>
        <v>5780</v>
      </c>
      <c r="D3011" s="6" t="str">
        <f>IFERROR(__xludf.DUMMYFUNCTION("""COMPUTED_VALUE"""),"Jeremy J.")</f>
        <v>Jeremy J.</v>
      </c>
      <c r="E3011" s="6" t="str">
        <f>IFERROR(__xludf.DUMMYFUNCTION("""COMPUTED_VALUE"""),"")</f>
        <v/>
      </c>
      <c r="F3011" s="6" t="str">
        <f>IFERROR(__xludf.DUMMYFUNCTION("""COMPUTED_VALUE"""),"Neumann")</f>
        <v>Neumann</v>
      </c>
      <c r="G3011" s="6" t="str">
        <f>IFERROR(__xludf.DUMMYFUNCTION("""COMPUTED_VALUE"""),"03/20/2013")</f>
        <v>03/20/2013</v>
      </c>
      <c r="H3011" s="6" t="str">
        <f>IFERROR(__xludf.DUMMYFUNCTION("""COMPUTED_VALUE"""),"Self Identify")</f>
        <v>Self Identify</v>
      </c>
      <c r="I3011" s="6" t="str">
        <f>IFERROR(__xludf.DUMMYFUNCTION("""COMPUTED_VALUE"""),"Middle School")</f>
        <v>Middle School</v>
      </c>
      <c r="J3011" s="6" t="str">
        <f>IFERROR(__xludf.DUMMYFUNCTION("""COMPUTED_VALUE"""),"7")</f>
        <v>7</v>
      </c>
      <c r="K3011" s="6" t="str">
        <f>IFERROR(__xludf.DUMMYFUNCTION("""COMPUTED_VALUE"""),"carlos_neumann@stu.ortrail.k12.or.us")</f>
        <v>carlos_neumann@stu.ortrail.k12.or.us</v>
      </c>
      <c r="L3011" s="6" t="str">
        <f>IFERROR(__xludf.DUMMYFUNCTION("""COMPUTED_VALUE"""),"Oregon Trail School District 46")</f>
        <v>Oregon Trail School District 46</v>
      </c>
      <c r="M3011" s="6" t="str">
        <f>IFERROR(__xludf.DUMMYFUNCTION("""COMPUTED_VALUE"""),"Boring Middle School")</f>
        <v>Boring Middle School</v>
      </c>
      <c r="N3011" s="6" t="str">
        <f>IFERROR(__xludf.DUMMYFUNCTION("""COMPUTED_VALUE"""),"")</f>
        <v/>
      </c>
      <c r="O3011" s="87" t="str">
        <f>IFERROR(__xludf.DUMMYFUNCTION("""COMPUTED_VALUE"""),"https://drive.google.com/drive/folders/10T2cTQHqEJZqE-st6uFKPoI?usp=share_link")</f>
        <v>https://drive.google.com/drive/folders/10T2cTQHqEJZqE-st6uFKPoI?usp=share_link</v>
      </c>
      <c r="P3011" s="6" t="str">
        <f>IFERROR(__xludf.DUMMYFUNCTION("""COMPUTED_VALUE"""),"Jeremy J. Neumann")</f>
        <v>Jeremy J. Neumann</v>
      </c>
      <c r="Q3011" s="6" t="str">
        <f>IFERROR(__xludf.DUMMYFUNCTION("""COMPUTED_VALUE"""),"MS")</f>
        <v>MS</v>
      </c>
      <c r="R3011" s="6">
        <f>IFERROR(__xludf.DUMMYFUNCTION("""COMPUTED_VALUE"""),0.0)</f>
        <v>0</v>
      </c>
      <c r="S3011" s="6" t="str">
        <f>IFERROR(__xludf.DUMMYFUNCTION("""COMPUTED_VALUE"""),"Maria Ruiz-Perez")</f>
        <v>Maria Ruiz-Perez</v>
      </c>
      <c r="T3011" s="6" t="str">
        <f>IFERROR(__xludf.DUMMYFUNCTION("""COMPUTED_VALUE"""),"maria.perez@ortrail.k12.or.us")</f>
        <v>maria.perez@ortrail.k12.or.us</v>
      </c>
      <c r="U3011" s="6" t="str">
        <f>IFERROR(__xludf.DUMMYFUNCTION("""COMPUTED_VALUE"""),"7")</f>
        <v>7</v>
      </c>
      <c r="V3011" s="6" t="str">
        <f>IFERROR(__xludf.DUMMYFUNCTION("""COMPUTED_VALUE"""),"English")</f>
        <v>English</v>
      </c>
      <c r="W3011" s="6" t="str">
        <f>IFERROR(__xludf.DUMMYFUNCTION("""COMPUTED_VALUE"""),"[]")</f>
        <v>[]</v>
      </c>
      <c r="X3011" s="6" t="str">
        <f>IFERROR(__xludf.DUMMYFUNCTION("""COMPUTED_VALUE"""),"Enrolled")</f>
        <v>Enrolled</v>
      </c>
    </row>
    <row r="3012">
      <c r="A3012" s="6" t="str">
        <f>IFERROR(__xludf.DUMMYFUNCTION("""COMPUTED_VALUE"""),"064-5781")</f>
        <v>064-5781</v>
      </c>
      <c r="B3012" s="6" t="str">
        <f>IFERROR(__xludf.DUMMYFUNCTION("""COMPUTED_VALUE"""),"64")</f>
        <v>64</v>
      </c>
      <c r="C3012" s="6" t="str">
        <f>IFERROR(__xludf.DUMMYFUNCTION("""COMPUTED_VALUE"""),"5781")</f>
        <v>5781</v>
      </c>
      <c r="D3012" s="6" t="str">
        <f>IFERROR(__xludf.DUMMYFUNCTION("""COMPUTED_VALUE"""),"Blaine D.")</f>
        <v>Blaine D.</v>
      </c>
      <c r="E3012" s="6" t="str">
        <f>IFERROR(__xludf.DUMMYFUNCTION("""COMPUTED_VALUE"""),"")</f>
        <v/>
      </c>
      <c r="F3012" s="6" t="str">
        <f>IFERROR(__xludf.DUMMYFUNCTION("""COMPUTED_VALUE"""),"Peterkin")</f>
        <v>Peterkin</v>
      </c>
      <c r="G3012" s="6" t="str">
        <f>IFERROR(__xludf.DUMMYFUNCTION("""COMPUTED_VALUE"""),"01/28/2013")</f>
        <v>01/28/2013</v>
      </c>
      <c r="H3012" s="6" t="str">
        <f>IFERROR(__xludf.DUMMYFUNCTION("""COMPUTED_VALUE"""),"Self Identify")</f>
        <v>Self Identify</v>
      </c>
      <c r="I3012" s="6" t="str">
        <f>IFERROR(__xludf.DUMMYFUNCTION("""COMPUTED_VALUE"""),"Middle School")</f>
        <v>Middle School</v>
      </c>
      <c r="J3012" s="6" t="str">
        <f>IFERROR(__xludf.DUMMYFUNCTION("""COMPUTED_VALUE"""),"7")</f>
        <v>7</v>
      </c>
      <c r="K3012" s="6" t="str">
        <f>IFERROR(__xludf.DUMMYFUNCTION("""COMPUTED_VALUE"""),"blaine_peterkin@stu.ortrail.k12.or.us")</f>
        <v>blaine_peterkin@stu.ortrail.k12.or.us</v>
      </c>
      <c r="L3012" s="6" t="str">
        <f>IFERROR(__xludf.DUMMYFUNCTION("""COMPUTED_VALUE"""),"Oregon Trail School District 46")</f>
        <v>Oregon Trail School District 46</v>
      </c>
      <c r="M3012" s="6" t="str">
        <f>IFERROR(__xludf.DUMMYFUNCTION("""COMPUTED_VALUE"""),"Boring Middle School")</f>
        <v>Boring Middle School</v>
      </c>
      <c r="N3012" s="6" t="str">
        <f>IFERROR(__xludf.DUMMYFUNCTION("""COMPUTED_VALUE"""),"")</f>
        <v/>
      </c>
      <c r="O3012" s="87" t="str">
        <f>IFERROR(__xludf.DUMMYFUNCTION("""COMPUTED_VALUE"""),"https://drive.google.com/drive/folders/10T2cTQHqEJZqE-st6uFKPoI?usp=share_link")</f>
        <v>https://drive.google.com/drive/folders/10T2cTQHqEJZqE-st6uFKPoI?usp=share_link</v>
      </c>
      <c r="P3012" s="6" t="str">
        <f>IFERROR(__xludf.DUMMYFUNCTION("""COMPUTED_VALUE"""),"Blaine D. Peterkin")</f>
        <v>Blaine D. Peterkin</v>
      </c>
      <c r="Q3012" s="6" t="str">
        <f>IFERROR(__xludf.DUMMYFUNCTION("""COMPUTED_VALUE"""),"MS")</f>
        <v>MS</v>
      </c>
      <c r="R3012" s="6">
        <f>IFERROR(__xludf.DUMMYFUNCTION("""COMPUTED_VALUE"""),0.0)</f>
        <v>0</v>
      </c>
      <c r="S3012" s="6" t="str">
        <f>IFERROR(__xludf.DUMMYFUNCTION("""COMPUTED_VALUE"""),"Maria Ruiz-Perez")</f>
        <v>Maria Ruiz-Perez</v>
      </c>
      <c r="T3012" s="6" t="str">
        <f>IFERROR(__xludf.DUMMYFUNCTION("""COMPUTED_VALUE"""),"maria.perez@ortrail.k12.or.us")</f>
        <v>maria.perez@ortrail.k12.or.us</v>
      </c>
      <c r="U3012" s="6" t="str">
        <f>IFERROR(__xludf.DUMMYFUNCTION("""COMPUTED_VALUE"""),"7")</f>
        <v>7</v>
      </c>
      <c r="V3012" s="6" t="str">
        <f>IFERROR(__xludf.DUMMYFUNCTION("""COMPUTED_VALUE"""),"English")</f>
        <v>English</v>
      </c>
      <c r="W3012" s="6" t="str">
        <f>IFERROR(__xludf.DUMMYFUNCTION("""COMPUTED_VALUE"""),"[]")</f>
        <v>[]</v>
      </c>
      <c r="X3012" s="6" t="str">
        <f>IFERROR(__xludf.DUMMYFUNCTION("""COMPUTED_VALUE"""),"Enrolled")</f>
        <v>Enrolled</v>
      </c>
    </row>
    <row r="3013">
      <c r="A3013" s="6" t="str">
        <f>IFERROR(__xludf.DUMMYFUNCTION("""COMPUTED_VALUE"""),"064-5782")</f>
        <v>064-5782</v>
      </c>
      <c r="B3013" s="6" t="str">
        <f>IFERROR(__xludf.DUMMYFUNCTION("""COMPUTED_VALUE"""),"64")</f>
        <v>64</v>
      </c>
      <c r="C3013" s="6" t="str">
        <f>IFERROR(__xludf.DUMMYFUNCTION("""COMPUTED_VALUE"""),"5782")</f>
        <v>5782</v>
      </c>
      <c r="D3013" s="6" t="str">
        <f>IFERROR(__xludf.DUMMYFUNCTION("""COMPUTED_VALUE"""),"Isac M.")</f>
        <v>Isac M.</v>
      </c>
      <c r="E3013" s="6" t="str">
        <f>IFERROR(__xludf.DUMMYFUNCTION("""COMPUTED_VALUE"""),"")</f>
        <v/>
      </c>
      <c r="F3013" s="6" t="str">
        <f>IFERROR(__xludf.DUMMYFUNCTION("""COMPUTED_VALUE"""),"Rozell")</f>
        <v>Rozell</v>
      </c>
      <c r="G3013" s="6" t="str">
        <f>IFERROR(__xludf.DUMMYFUNCTION("""COMPUTED_VALUE"""),"05/04/2013")</f>
        <v>05/04/2013</v>
      </c>
      <c r="H3013" s="6" t="str">
        <f>IFERROR(__xludf.DUMMYFUNCTION("""COMPUTED_VALUE"""),"Self Identify")</f>
        <v>Self Identify</v>
      </c>
      <c r="I3013" s="6" t="str">
        <f>IFERROR(__xludf.DUMMYFUNCTION("""COMPUTED_VALUE"""),"Middle School")</f>
        <v>Middle School</v>
      </c>
      <c r="J3013" s="6" t="str">
        <f>IFERROR(__xludf.DUMMYFUNCTION("""COMPUTED_VALUE"""),"7")</f>
        <v>7</v>
      </c>
      <c r="K3013" s="6" t="str">
        <f>IFERROR(__xludf.DUMMYFUNCTION("""COMPUTED_VALUE"""),"isac_rozell@stu.ortrail.k12.or.us")</f>
        <v>isac_rozell@stu.ortrail.k12.or.us</v>
      </c>
      <c r="L3013" s="6" t="str">
        <f>IFERROR(__xludf.DUMMYFUNCTION("""COMPUTED_VALUE"""),"Oregon Trail School District 46")</f>
        <v>Oregon Trail School District 46</v>
      </c>
      <c r="M3013" s="6" t="str">
        <f>IFERROR(__xludf.DUMMYFUNCTION("""COMPUTED_VALUE"""),"Boring Middle School")</f>
        <v>Boring Middle School</v>
      </c>
      <c r="N3013" s="6" t="str">
        <f>IFERROR(__xludf.DUMMYFUNCTION("""COMPUTED_VALUE"""),"")</f>
        <v/>
      </c>
      <c r="O3013" s="87" t="str">
        <f>IFERROR(__xludf.DUMMYFUNCTION("""COMPUTED_VALUE"""),"https://drive.google.com/drive/folders/10T2cTQHqEJZqE-st6uFKPoI?usp=share_link")</f>
        <v>https://drive.google.com/drive/folders/10T2cTQHqEJZqE-st6uFKPoI?usp=share_link</v>
      </c>
      <c r="P3013" s="6" t="str">
        <f>IFERROR(__xludf.DUMMYFUNCTION("""COMPUTED_VALUE"""),"Isac M. Rozell")</f>
        <v>Isac M. Rozell</v>
      </c>
      <c r="Q3013" s="6" t="str">
        <f>IFERROR(__xludf.DUMMYFUNCTION("""COMPUTED_VALUE"""),"MS")</f>
        <v>MS</v>
      </c>
      <c r="R3013" s="6">
        <f>IFERROR(__xludf.DUMMYFUNCTION("""COMPUTED_VALUE"""),0.0)</f>
        <v>0</v>
      </c>
      <c r="S3013" s="6" t="str">
        <f>IFERROR(__xludf.DUMMYFUNCTION("""COMPUTED_VALUE"""),"Maria Ruiz-Perez")</f>
        <v>Maria Ruiz-Perez</v>
      </c>
      <c r="T3013" s="6" t="str">
        <f>IFERROR(__xludf.DUMMYFUNCTION("""COMPUTED_VALUE"""),"maria.perez@ortrail.k12.or.us")</f>
        <v>maria.perez@ortrail.k12.or.us</v>
      </c>
      <c r="U3013" s="6" t="str">
        <f>IFERROR(__xludf.DUMMYFUNCTION("""COMPUTED_VALUE"""),"7")</f>
        <v>7</v>
      </c>
      <c r="V3013" s="6" t="str">
        <f>IFERROR(__xludf.DUMMYFUNCTION("""COMPUTED_VALUE"""),"English")</f>
        <v>English</v>
      </c>
      <c r="W3013" s="6" t="str">
        <f>IFERROR(__xludf.DUMMYFUNCTION("""COMPUTED_VALUE"""),"[]")</f>
        <v>[]</v>
      </c>
      <c r="X3013" s="6" t="str">
        <f>IFERROR(__xludf.DUMMYFUNCTION("""COMPUTED_VALUE"""),"Enrolled")</f>
        <v>Enrolled</v>
      </c>
    </row>
    <row r="3014">
      <c r="A3014" s="6" t="str">
        <f>IFERROR(__xludf.DUMMYFUNCTION("""COMPUTED_VALUE"""),"064-5784")</f>
        <v>064-5784</v>
      </c>
      <c r="B3014" s="6" t="str">
        <f>IFERROR(__xludf.DUMMYFUNCTION("""COMPUTED_VALUE"""),"64")</f>
        <v>64</v>
      </c>
      <c r="C3014" s="6" t="str">
        <f>IFERROR(__xludf.DUMMYFUNCTION("""COMPUTED_VALUE"""),"5784")</f>
        <v>5784</v>
      </c>
      <c r="D3014" s="6" t="str">
        <f>IFERROR(__xludf.DUMMYFUNCTION("""COMPUTED_VALUE"""),"Eva M.")</f>
        <v>Eva M.</v>
      </c>
      <c r="E3014" s="6" t="str">
        <f>IFERROR(__xludf.DUMMYFUNCTION("""COMPUTED_VALUE"""),"")</f>
        <v/>
      </c>
      <c r="F3014" s="6" t="str">
        <f>IFERROR(__xludf.DUMMYFUNCTION("""COMPUTED_VALUE"""),"Arnold")</f>
        <v>Arnold</v>
      </c>
      <c r="G3014" s="6" t="str">
        <f>IFERROR(__xludf.DUMMYFUNCTION("""COMPUTED_VALUE"""),"01/28/2014")</f>
        <v>01/28/2014</v>
      </c>
      <c r="H3014" s="6" t="str">
        <f>IFERROR(__xludf.DUMMYFUNCTION("""COMPUTED_VALUE"""),"Self Identify")</f>
        <v>Self Identify</v>
      </c>
      <c r="I3014" s="6" t="str">
        <f>IFERROR(__xludf.DUMMYFUNCTION("""COMPUTED_VALUE"""),"Middle School")</f>
        <v>Middle School</v>
      </c>
      <c r="J3014" s="6" t="str">
        <f>IFERROR(__xludf.DUMMYFUNCTION("""COMPUTED_VALUE"""),"6")</f>
        <v>6</v>
      </c>
      <c r="K3014" s="6" t="str">
        <f>IFERROR(__xludf.DUMMYFUNCTION("""COMPUTED_VALUE"""),"norah_arnold@stu.ortrail.k12.or.us")</f>
        <v>norah_arnold@stu.ortrail.k12.or.us</v>
      </c>
      <c r="L3014" s="6" t="str">
        <f>IFERROR(__xludf.DUMMYFUNCTION("""COMPUTED_VALUE"""),"Oregon Trail School District 46")</f>
        <v>Oregon Trail School District 46</v>
      </c>
      <c r="M3014" s="6" t="str">
        <f>IFERROR(__xludf.DUMMYFUNCTION("""COMPUTED_VALUE"""),"Boring Middle School")</f>
        <v>Boring Middle School</v>
      </c>
      <c r="N3014" s="6" t="str">
        <f>IFERROR(__xludf.DUMMYFUNCTION("""COMPUTED_VALUE"""),"")</f>
        <v/>
      </c>
      <c r="O3014" s="87" t="str">
        <f>IFERROR(__xludf.DUMMYFUNCTION("""COMPUTED_VALUE"""),"https://drive.google.com/drive/folders/10T2cTQHqEJZqE-st6uFKPoI?usp=share_link")</f>
        <v>https://drive.google.com/drive/folders/10T2cTQHqEJZqE-st6uFKPoI?usp=share_link</v>
      </c>
      <c r="P3014" s="6" t="str">
        <f>IFERROR(__xludf.DUMMYFUNCTION("""COMPUTED_VALUE"""),"Eva M. Arnold")</f>
        <v>Eva M. Arnold</v>
      </c>
      <c r="Q3014" s="6" t="str">
        <f>IFERROR(__xludf.DUMMYFUNCTION("""COMPUTED_VALUE"""),"MS")</f>
        <v>MS</v>
      </c>
      <c r="R3014" s="6">
        <f>IFERROR(__xludf.DUMMYFUNCTION("""COMPUTED_VALUE"""),0.0)</f>
        <v>0</v>
      </c>
      <c r="S3014" s="6" t="str">
        <f>IFERROR(__xludf.DUMMYFUNCTION("""COMPUTED_VALUE"""),"David Beitler")</f>
        <v>David Beitler</v>
      </c>
      <c r="T3014" s="6" t="str">
        <f>IFERROR(__xludf.DUMMYFUNCTION("""COMPUTED_VALUE"""),"david.beitler@ortrail.k12.or.us")</f>
        <v>david.beitler@ortrail.k12.or.us</v>
      </c>
      <c r="U3014" s="6" t="str">
        <f>IFERROR(__xludf.DUMMYFUNCTION("""COMPUTED_VALUE"""),"6")</f>
        <v>6</v>
      </c>
      <c r="V3014" s="6" t="str">
        <f>IFERROR(__xludf.DUMMYFUNCTION("""COMPUTED_VALUE"""),"English")</f>
        <v>English</v>
      </c>
      <c r="W3014" s="6" t="str">
        <f>IFERROR(__xludf.DUMMYFUNCTION("""COMPUTED_VALUE"""),"[]")</f>
        <v>[]</v>
      </c>
      <c r="X3014" s="6" t="str">
        <f>IFERROR(__xludf.DUMMYFUNCTION("""COMPUTED_VALUE"""),"Enrolled")</f>
        <v>Enrolled</v>
      </c>
    </row>
    <row r="3015">
      <c r="A3015" s="6" t="str">
        <f>IFERROR(__xludf.DUMMYFUNCTION("""COMPUTED_VALUE"""),"064-5785")</f>
        <v>064-5785</v>
      </c>
      <c r="B3015" s="6" t="str">
        <f>IFERROR(__xludf.DUMMYFUNCTION("""COMPUTED_VALUE"""),"64")</f>
        <v>64</v>
      </c>
      <c r="C3015" s="6" t="str">
        <f>IFERROR(__xludf.DUMMYFUNCTION("""COMPUTED_VALUE"""),"5785")</f>
        <v>5785</v>
      </c>
      <c r="D3015" s="6" t="str">
        <f>IFERROR(__xludf.DUMMYFUNCTION("""COMPUTED_VALUE"""),"Jared H.")</f>
        <v>Jared H.</v>
      </c>
      <c r="E3015" s="6" t="str">
        <f>IFERROR(__xludf.DUMMYFUNCTION("""COMPUTED_VALUE"""),"")</f>
        <v/>
      </c>
      <c r="F3015" s="6" t="str">
        <f>IFERROR(__xludf.DUMMYFUNCTION("""COMPUTED_VALUE"""),"Espinoza Angulo")</f>
        <v>Espinoza Angulo</v>
      </c>
      <c r="G3015" s="6" t="str">
        <f>IFERROR(__xludf.DUMMYFUNCTION("""COMPUTED_VALUE"""),"11/25/2013")</f>
        <v>11/25/2013</v>
      </c>
      <c r="H3015" s="6" t="str">
        <f>IFERROR(__xludf.DUMMYFUNCTION("""COMPUTED_VALUE"""),"Self Identify")</f>
        <v>Self Identify</v>
      </c>
      <c r="I3015" s="6" t="str">
        <f>IFERROR(__xludf.DUMMYFUNCTION("""COMPUTED_VALUE"""),"Middle School")</f>
        <v>Middle School</v>
      </c>
      <c r="J3015" s="6" t="str">
        <f>IFERROR(__xludf.DUMMYFUNCTION("""COMPUTED_VALUE"""),"6")</f>
        <v>6</v>
      </c>
      <c r="K3015" s="6" t="str">
        <f>IFERROR(__xludf.DUMMYFUNCTION("""COMPUTED_VALUE"""),"jared_espinozaangulo@stu.ortrail.k12.or.us")</f>
        <v>jared_espinozaangulo@stu.ortrail.k12.or.us</v>
      </c>
      <c r="L3015" s="6" t="str">
        <f>IFERROR(__xludf.DUMMYFUNCTION("""COMPUTED_VALUE"""),"Oregon Trail School District 46")</f>
        <v>Oregon Trail School District 46</v>
      </c>
      <c r="M3015" s="6" t="str">
        <f>IFERROR(__xludf.DUMMYFUNCTION("""COMPUTED_VALUE"""),"Boring Middle School")</f>
        <v>Boring Middle School</v>
      </c>
      <c r="N3015" s="6" t="str">
        <f>IFERROR(__xludf.DUMMYFUNCTION("""COMPUTED_VALUE"""),"")</f>
        <v/>
      </c>
      <c r="O3015" s="87" t="str">
        <f>IFERROR(__xludf.DUMMYFUNCTION("""COMPUTED_VALUE"""),"https://drive.google.com/drive/folders/10T2cTQHqEJZqE-st6uFKPoI?usp=share_link")</f>
        <v>https://drive.google.com/drive/folders/10T2cTQHqEJZqE-st6uFKPoI?usp=share_link</v>
      </c>
      <c r="P3015" s="6" t="str">
        <f>IFERROR(__xludf.DUMMYFUNCTION("""COMPUTED_VALUE"""),"Jared H. Espinoza Angulo")</f>
        <v>Jared H. Espinoza Angulo</v>
      </c>
      <c r="Q3015" s="6" t="str">
        <f>IFERROR(__xludf.DUMMYFUNCTION("""COMPUTED_VALUE"""),"MS")</f>
        <v>MS</v>
      </c>
      <c r="R3015" s="6">
        <f>IFERROR(__xludf.DUMMYFUNCTION("""COMPUTED_VALUE"""),0.0)</f>
        <v>0</v>
      </c>
      <c r="S3015" s="6" t="str">
        <f>IFERROR(__xludf.DUMMYFUNCTION("""COMPUTED_VALUE"""),"David Beitler")</f>
        <v>David Beitler</v>
      </c>
      <c r="T3015" s="6" t="str">
        <f>IFERROR(__xludf.DUMMYFUNCTION("""COMPUTED_VALUE"""),"david.beitler@ortrail.k12.or.us")</f>
        <v>david.beitler@ortrail.k12.or.us</v>
      </c>
      <c r="U3015" s="6" t="str">
        <f>IFERROR(__xludf.DUMMYFUNCTION("""COMPUTED_VALUE"""),"6")</f>
        <v>6</v>
      </c>
      <c r="V3015" s="6" t="str">
        <f>IFERROR(__xludf.DUMMYFUNCTION("""COMPUTED_VALUE"""),"English")</f>
        <v>English</v>
      </c>
      <c r="W3015" s="6" t="str">
        <f>IFERROR(__xludf.DUMMYFUNCTION("""COMPUTED_VALUE"""),"[]")</f>
        <v>[]</v>
      </c>
      <c r="X3015" s="6" t="str">
        <f>IFERROR(__xludf.DUMMYFUNCTION("""COMPUTED_VALUE"""),"Enrolled")</f>
        <v>Enrolled</v>
      </c>
    </row>
    <row r="3016">
      <c r="A3016" s="6" t="str">
        <f>IFERROR(__xludf.DUMMYFUNCTION("""COMPUTED_VALUE"""),"064-5786")</f>
        <v>064-5786</v>
      </c>
      <c r="B3016" s="6" t="str">
        <f>IFERROR(__xludf.DUMMYFUNCTION("""COMPUTED_VALUE"""),"64")</f>
        <v>64</v>
      </c>
      <c r="C3016" s="6" t="str">
        <f>IFERROR(__xludf.DUMMYFUNCTION("""COMPUTED_VALUE"""),"5786")</f>
        <v>5786</v>
      </c>
      <c r="D3016" s="6" t="str">
        <f>IFERROR(__xludf.DUMMYFUNCTION("""COMPUTED_VALUE"""),"Dean M.")</f>
        <v>Dean M.</v>
      </c>
      <c r="E3016" s="6" t="str">
        <f>IFERROR(__xludf.DUMMYFUNCTION("""COMPUTED_VALUE"""),"")</f>
        <v/>
      </c>
      <c r="F3016" s="6" t="str">
        <f>IFERROR(__xludf.DUMMYFUNCTION("""COMPUTED_VALUE"""),"Graham")</f>
        <v>Graham</v>
      </c>
      <c r="G3016" s="6" t="str">
        <f>IFERROR(__xludf.DUMMYFUNCTION("""COMPUTED_VALUE"""),"10/21/2013")</f>
        <v>10/21/2013</v>
      </c>
      <c r="H3016" s="6" t="str">
        <f>IFERROR(__xludf.DUMMYFUNCTION("""COMPUTED_VALUE"""),"Self Identify")</f>
        <v>Self Identify</v>
      </c>
      <c r="I3016" s="6" t="str">
        <f>IFERROR(__xludf.DUMMYFUNCTION("""COMPUTED_VALUE"""),"Middle School")</f>
        <v>Middle School</v>
      </c>
      <c r="J3016" s="6" t="str">
        <f>IFERROR(__xludf.DUMMYFUNCTION("""COMPUTED_VALUE"""),"6")</f>
        <v>6</v>
      </c>
      <c r="K3016" s="6" t="str">
        <f>IFERROR(__xludf.DUMMYFUNCTION("""COMPUTED_VALUE"""),"dean_graham@stu.ortrail.k12.or.us")</f>
        <v>dean_graham@stu.ortrail.k12.or.us</v>
      </c>
      <c r="L3016" s="6" t="str">
        <f>IFERROR(__xludf.DUMMYFUNCTION("""COMPUTED_VALUE"""),"Oregon Trail School District 46")</f>
        <v>Oregon Trail School District 46</v>
      </c>
      <c r="M3016" s="6" t="str">
        <f>IFERROR(__xludf.DUMMYFUNCTION("""COMPUTED_VALUE"""),"Boring Middle School")</f>
        <v>Boring Middle School</v>
      </c>
      <c r="N3016" s="6" t="str">
        <f>IFERROR(__xludf.DUMMYFUNCTION("""COMPUTED_VALUE"""),"")</f>
        <v/>
      </c>
      <c r="O3016" s="87" t="str">
        <f>IFERROR(__xludf.DUMMYFUNCTION("""COMPUTED_VALUE"""),"https://drive.google.com/drive/folders/10T2cTQHqEJZqE-st6uFKPoI?usp=share_link")</f>
        <v>https://drive.google.com/drive/folders/10T2cTQHqEJZqE-st6uFKPoI?usp=share_link</v>
      </c>
      <c r="P3016" s="6" t="str">
        <f>IFERROR(__xludf.DUMMYFUNCTION("""COMPUTED_VALUE"""),"Dean M. Graham")</f>
        <v>Dean M. Graham</v>
      </c>
      <c r="Q3016" s="6" t="str">
        <f>IFERROR(__xludf.DUMMYFUNCTION("""COMPUTED_VALUE"""),"MS")</f>
        <v>MS</v>
      </c>
      <c r="R3016" s="6">
        <f>IFERROR(__xludf.DUMMYFUNCTION("""COMPUTED_VALUE"""),0.0)</f>
        <v>0</v>
      </c>
      <c r="S3016" s="6" t="str">
        <f>IFERROR(__xludf.DUMMYFUNCTION("""COMPUTED_VALUE"""),"David Beitler")</f>
        <v>David Beitler</v>
      </c>
      <c r="T3016" s="6" t="str">
        <f>IFERROR(__xludf.DUMMYFUNCTION("""COMPUTED_VALUE"""),"david.beitler@ortrail.k12.or.us")</f>
        <v>david.beitler@ortrail.k12.or.us</v>
      </c>
      <c r="U3016" s="6" t="str">
        <f>IFERROR(__xludf.DUMMYFUNCTION("""COMPUTED_VALUE"""),"6")</f>
        <v>6</v>
      </c>
      <c r="V3016" s="6" t="str">
        <f>IFERROR(__xludf.DUMMYFUNCTION("""COMPUTED_VALUE"""),"English")</f>
        <v>English</v>
      </c>
      <c r="W3016" s="6" t="str">
        <f>IFERROR(__xludf.DUMMYFUNCTION("""COMPUTED_VALUE"""),"[]")</f>
        <v>[]</v>
      </c>
      <c r="X3016" s="6" t="str">
        <f>IFERROR(__xludf.DUMMYFUNCTION("""COMPUTED_VALUE"""),"Enrolled")</f>
        <v>Enrolled</v>
      </c>
    </row>
    <row r="3017">
      <c r="A3017" s="6" t="str">
        <f>IFERROR(__xludf.DUMMYFUNCTION("""COMPUTED_VALUE"""),"064-5787")</f>
        <v>064-5787</v>
      </c>
      <c r="B3017" s="6" t="str">
        <f>IFERROR(__xludf.DUMMYFUNCTION("""COMPUTED_VALUE"""),"64")</f>
        <v>64</v>
      </c>
      <c r="C3017" s="6" t="str">
        <f>IFERROR(__xludf.DUMMYFUNCTION("""COMPUTED_VALUE"""),"5787")</f>
        <v>5787</v>
      </c>
      <c r="D3017" s="6" t="str">
        <f>IFERROR(__xludf.DUMMYFUNCTION("""COMPUTED_VALUE"""),"Mariah J.")</f>
        <v>Mariah J.</v>
      </c>
      <c r="E3017" s="6" t="str">
        <f>IFERROR(__xludf.DUMMYFUNCTION("""COMPUTED_VALUE"""),"")</f>
        <v/>
      </c>
      <c r="F3017" s="6" t="str">
        <f>IFERROR(__xludf.DUMMYFUNCTION("""COMPUTED_VALUE"""),"Kozachenko")</f>
        <v>Kozachenko</v>
      </c>
      <c r="G3017" s="6" t="str">
        <f>IFERROR(__xludf.DUMMYFUNCTION("""COMPUTED_VALUE"""),"02/15/2014")</f>
        <v>02/15/2014</v>
      </c>
      <c r="H3017" s="6" t="str">
        <f>IFERROR(__xludf.DUMMYFUNCTION("""COMPUTED_VALUE"""),"Self Identify")</f>
        <v>Self Identify</v>
      </c>
      <c r="I3017" s="6" t="str">
        <f>IFERROR(__xludf.DUMMYFUNCTION("""COMPUTED_VALUE"""),"Middle School")</f>
        <v>Middle School</v>
      </c>
      <c r="J3017" s="6" t="str">
        <f>IFERROR(__xludf.DUMMYFUNCTION("""COMPUTED_VALUE"""),"6")</f>
        <v>6</v>
      </c>
      <c r="K3017" s="6" t="str">
        <f>IFERROR(__xludf.DUMMYFUNCTION("""COMPUTED_VALUE"""),"mariah_kozachenko@stu.ortrail.k12.or.us")</f>
        <v>mariah_kozachenko@stu.ortrail.k12.or.us</v>
      </c>
      <c r="L3017" s="6" t="str">
        <f>IFERROR(__xludf.DUMMYFUNCTION("""COMPUTED_VALUE"""),"Oregon Trail School District 46")</f>
        <v>Oregon Trail School District 46</v>
      </c>
      <c r="M3017" s="6" t="str">
        <f>IFERROR(__xludf.DUMMYFUNCTION("""COMPUTED_VALUE"""),"Boring Middle School")</f>
        <v>Boring Middle School</v>
      </c>
      <c r="N3017" s="6" t="str">
        <f>IFERROR(__xludf.DUMMYFUNCTION("""COMPUTED_VALUE"""),"")</f>
        <v/>
      </c>
      <c r="O3017" s="87" t="str">
        <f>IFERROR(__xludf.DUMMYFUNCTION("""COMPUTED_VALUE"""),"https://drive.google.com/drive/folders/10T2cTQHqEJZqE-st6uFKPoI?usp=share_link")</f>
        <v>https://drive.google.com/drive/folders/10T2cTQHqEJZqE-st6uFKPoI?usp=share_link</v>
      </c>
      <c r="P3017" s="6" t="str">
        <f>IFERROR(__xludf.DUMMYFUNCTION("""COMPUTED_VALUE"""),"Mariah J. Kozachenko")</f>
        <v>Mariah J. Kozachenko</v>
      </c>
      <c r="Q3017" s="6" t="str">
        <f>IFERROR(__xludf.DUMMYFUNCTION("""COMPUTED_VALUE"""),"MS")</f>
        <v>MS</v>
      </c>
      <c r="R3017" s="6">
        <f>IFERROR(__xludf.DUMMYFUNCTION("""COMPUTED_VALUE"""),0.0)</f>
        <v>0</v>
      </c>
      <c r="S3017" s="6" t="str">
        <f>IFERROR(__xludf.DUMMYFUNCTION("""COMPUTED_VALUE"""),"David Beitler")</f>
        <v>David Beitler</v>
      </c>
      <c r="T3017" s="6" t="str">
        <f>IFERROR(__xludf.DUMMYFUNCTION("""COMPUTED_VALUE"""),"david.beitler@ortrail.k12.or.us")</f>
        <v>david.beitler@ortrail.k12.or.us</v>
      </c>
      <c r="U3017" s="6" t="str">
        <f>IFERROR(__xludf.DUMMYFUNCTION("""COMPUTED_VALUE"""),"6")</f>
        <v>6</v>
      </c>
      <c r="V3017" s="6" t="str">
        <f>IFERROR(__xludf.DUMMYFUNCTION("""COMPUTED_VALUE"""),"English")</f>
        <v>English</v>
      </c>
      <c r="W3017" s="6" t="str">
        <f>IFERROR(__xludf.DUMMYFUNCTION("""COMPUTED_VALUE"""),"[]")</f>
        <v>[]</v>
      </c>
      <c r="X3017" s="6" t="str">
        <f>IFERROR(__xludf.DUMMYFUNCTION("""COMPUTED_VALUE"""),"Enrolled")</f>
        <v>Enrolled</v>
      </c>
    </row>
    <row r="3018">
      <c r="A3018" s="6" t="str">
        <f>IFERROR(__xludf.DUMMYFUNCTION("""COMPUTED_VALUE"""),"064-5788")</f>
        <v>064-5788</v>
      </c>
      <c r="B3018" s="6" t="str">
        <f>IFERROR(__xludf.DUMMYFUNCTION("""COMPUTED_VALUE"""),"64")</f>
        <v>64</v>
      </c>
      <c r="C3018" s="6" t="str">
        <f>IFERROR(__xludf.DUMMYFUNCTION("""COMPUTED_VALUE"""),"5788")</f>
        <v>5788</v>
      </c>
      <c r="D3018" s="6" t="str">
        <f>IFERROR(__xludf.DUMMYFUNCTION("""COMPUTED_VALUE"""),"Willow R.")</f>
        <v>Willow R.</v>
      </c>
      <c r="E3018" s="6" t="str">
        <f>IFERROR(__xludf.DUMMYFUNCTION("""COMPUTED_VALUE"""),"")</f>
        <v/>
      </c>
      <c r="F3018" s="6" t="str">
        <f>IFERROR(__xludf.DUMMYFUNCTION("""COMPUTED_VALUE"""),"Palanuk")</f>
        <v>Palanuk</v>
      </c>
      <c r="G3018" s="6" t="str">
        <f>IFERROR(__xludf.DUMMYFUNCTION("""COMPUTED_VALUE"""),"01/12/2014")</f>
        <v>01/12/2014</v>
      </c>
      <c r="H3018" s="6" t="str">
        <f>IFERROR(__xludf.DUMMYFUNCTION("""COMPUTED_VALUE"""),"Self Identify")</f>
        <v>Self Identify</v>
      </c>
      <c r="I3018" s="6" t="str">
        <f>IFERROR(__xludf.DUMMYFUNCTION("""COMPUTED_VALUE"""),"Middle School")</f>
        <v>Middle School</v>
      </c>
      <c r="J3018" s="6" t="str">
        <f>IFERROR(__xludf.DUMMYFUNCTION("""COMPUTED_VALUE"""),"6")</f>
        <v>6</v>
      </c>
      <c r="K3018" s="6" t="str">
        <f>IFERROR(__xludf.DUMMYFUNCTION("""COMPUTED_VALUE"""),"willow_palanuk@stu.ortrail.k12.or.us")</f>
        <v>willow_palanuk@stu.ortrail.k12.or.us</v>
      </c>
      <c r="L3018" s="6" t="str">
        <f>IFERROR(__xludf.DUMMYFUNCTION("""COMPUTED_VALUE"""),"Oregon Trail School District 46")</f>
        <v>Oregon Trail School District 46</v>
      </c>
      <c r="M3018" s="6" t="str">
        <f>IFERROR(__xludf.DUMMYFUNCTION("""COMPUTED_VALUE"""),"Boring Middle School")</f>
        <v>Boring Middle School</v>
      </c>
      <c r="N3018" s="6" t="str">
        <f>IFERROR(__xludf.DUMMYFUNCTION("""COMPUTED_VALUE"""),"")</f>
        <v/>
      </c>
      <c r="O3018" s="87" t="str">
        <f>IFERROR(__xludf.DUMMYFUNCTION("""COMPUTED_VALUE"""),"https://drive.google.com/drive/folders/10T2cTQHqEJZqE-st6uFKPoI?usp=share_link")</f>
        <v>https://drive.google.com/drive/folders/10T2cTQHqEJZqE-st6uFKPoI?usp=share_link</v>
      </c>
      <c r="P3018" s="6" t="str">
        <f>IFERROR(__xludf.DUMMYFUNCTION("""COMPUTED_VALUE"""),"Willow R. Palanuk")</f>
        <v>Willow R. Palanuk</v>
      </c>
      <c r="Q3018" s="6" t="str">
        <f>IFERROR(__xludf.DUMMYFUNCTION("""COMPUTED_VALUE"""),"MS")</f>
        <v>MS</v>
      </c>
      <c r="R3018" s="6">
        <f>IFERROR(__xludf.DUMMYFUNCTION("""COMPUTED_VALUE"""),0.0)</f>
        <v>0</v>
      </c>
      <c r="S3018" s="6" t="str">
        <f>IFERROR(__xludf.DUMMYFUNCTION("""COMPUTED_VALUE"""),"David Beitler")</f>
        <v>David Beitler</v>
      </c>
      <c r="T3018" s="6" t="str">
        <f>IFERROR(__xludf.DUMMYFUNCTION("""COMPUTED_VALUE"""),"david.beitler@ortrail.k12.or.us")</f>
        <v>david.beitler@ortrail.k12.or.us</v>
      </c>
      <c r="U3018" s="6" t="str">
        <f>IFERROR(__xludf.DUMMYFUNCTION("""COMPUTED_VALUE"""),"6")</f>
        <v>6</v>
      </c>
      <c r="V3018" s="6" t="str">
        <f>IFERROR(__xludf.DUMMYFUNCTION("""COMPUTED_VALUE"""),"English")</f>
        <v>English</v>
      </c>
      <c r="W3018" s="6" t="str">
        <f>IFERROR(__xludf.DUMMYFUNCTION("""COMPUTED_VALUE"""),"[]")</f>
        <v>[]</v>
      </c>
      <c r="X3018" s="6" t="str">
        <f>IFERROR(__xludf.DUMMYFUNCTION("""COMPUTED_VALUE"""),"Enrolled")</f>
        <v>Enrolled</v>
      </c>
    </row>
    <row r="3019">
      <c r="A3019" s="6" t="str">
        <f>IFERROR(__xludf.DUMMYFUNCTION("""COMPUTED_VALUE"""),"064-5789")</f>
        <v>064-5789</v>
      </c>
      <c r="B3019" s="6" t="str">
        <f>IFERROR(__xludf.DUMMYFUNCTION("""COMPUTED_VALUE"""),"64")</f>
        <v>64</v>
      </c>
      <c r="C3019" s="6" t="str">
        <f>IFERROR(__xludf.DUMMYFUNCTION("""COMPUTED_VALUE"""),"5789")</f>
        <v>5789</v>
      </c>
      <c r="D3019" s="6" t="str">
        <f>IFERROR(__xludf.DUMMYFUNCTION("""COMPUTED_VALUE"""),"Jesse D.")</f>
        <v>Jesse D.</v>
      </c>
      <c r="E3019" s="6" t="str">
        <f>IFERROR(__xludf.DUMMYFUNCTION("""COMPUTED_VALUE"""),"")</f>
        <v/>
      </c>
      <c r="F3019" s="6" t="str">
        <f>IFERROR(__xludf.DUMMYFUNCTION("""COMPUTED_VALUE"""),"Priest")</f>
        <v>Priest</v>
      </c>
      <c r="G3019" s="6" t="str">
        <f>IFERROR(__xludf.DUMMYFUNCTION("""COMPUTED_VALUE"""),"09/26/2014")</f>
        <v>09/26/2014</v>
      </c>
      <c r="H3019" s="6" t="str">
        <f>IFERROR(__xludf.DUMMYFUNCTION("""COMPUTED_VALUE"""),"Self Identify")</f>
        <v>Self Identify</v>
      </c>
      <c r="I3019" s="6" t="str">
        <f>IFERROR(__xludf.DUMMYFUNCTION("""COMPUTED_VALUE"""),"Middle School")</f>
        <v>Middle School</v>
      </c>
      <c r="J3019" s="6" t="str">
        <f>IFERROR(__xludf.DUMMYFUNCTION("""COMPUTED_VALUE"""),"6")</f>
        <v>6</v>
      </c>
      <c r="K3019" s="6" t="str">
        <f>IFERROR(__xludf.DUMMYFUNCTION("""COMPUTED_VALUE"""),"jesse_priest@stu.ortrail.k12.or.us")</f>
        <v>jesse_priest@stu.ortrail.k12.or.us</v>
      </c>
      <c r="L3019" s="6" t="str">
        <f>IFERROR(__xludf.DUMMYFUNCTION("""COMPUTED_VALUE"""),"Oregon Trail School District 46")</f>
        <v>Oregon Trail School District 46</v>
      </c>
      <c r="M3019" s="6" t="str">
        <f>IFERROR(__xludf.DUMMYFUNCTION("""COMPUTED_VALUE"""),"Boring Middle School")</f>
        <v>Boring Middle School</v>
      </c>
      <c r="N3019" s="6" t="str">
        <f>IFERROR(__xludf.DUMMYFUNCTION("""COMPUTED_VALUE"""),"")</f>
        <v/>
      </c>
      <c r="O3019" s="87" t="str">
        <f>IFERROR(__xludf.DUMMYFUNCTION("""COMPUTED_VALUE"""),"https://drive.google.com/drive/folders/10T2cTQHqEJZqE-st6uFKPoI?usp=share_link")</f>
        <v>https://drive.google.com/drive/folders/10T2cTQHqEJZqE-st6uFKPoI?usp=share_link</v>
      </c>
      <c r="P3019" s="6" t="str">
        <f>IFERROR(__xludf.DUMMYFUNCTION("""COMPUTED_VALUE"""),"Jesse D. Priest")</f>
        <v>Jesse D. Priest</v>
      </c>
      <c r="Q3019" s="6" t="str">
        <f>IFERROR(__xludf.DUMMYFUNCTION("""COMPUTED_VALUE"""),"MS")</f>
        <v>MS</v>
      </c>
      <c r="R3019" s="6">
        <f>IFERROR(__xludf.DUMMYFUNCTION("""COMPUTED_VALUE"""),0.0)</f>
        <v>0</v>
      </c>
      <c r="S3019" s="6" t="str">
        <f>IFERROR(__xludf.DUMMYFUNCTION("""COMPUTED_VALUE"""),"David Beitler")</f>
        <v>David Beitler</v>
      </c>
      <c r="T3019" s="6" t="str">
        <f>IFERROR(__xludf.DUMMYFUNCTION("""COMPUTED_VALUE"""),"david.beitler@ortrail.k12.or.us")</f>
        <v>david.beitler@ortrail.k12.or.us</v>
      </c>
      <c r="U3019" s="6" t="str">
        <f>IFERROR(__xludf.DUMMYFUNCTION("""COMPUTED_VALUE"""),"6")</f>
        <v>6</v>
      </c>
      <c r="V3019" s="6" t="str">
        <f>IFERROR(__xludf.DUMMYFUNCTION("""COMPUTED_VALUE"""),"English")</f>
        <v>English</v>
      </c>
      <c r="W3019" s="6" t="str">
        <f>IFERROR(__xludf.DUMMYFUNCTION("""COMPUTED_VALUE"""),"[]")</f>
        <v>[]</v>
      </c>
      <c r="X3019" s="6" t="str">
        <f>IFERROR(__xludf.DUMMYFUNCTION("""COMPUTED_VALUE"""),"Enrolled")</f>
        <v>Enrolled</v>
      </c>
    </row>
    <row r="3020">
      <c r="A3020" s="6" t="str">
        <f>IFERROR(__xludf.DUMMYFUNCTION("""COMPUTED_VALUE"""),"064-5790")</f>
        <v>064-5790</v>
      </c>
      <c r="B3020" s="6" t="str">
        <f>IFERROR(__xludf.DUMMYFUNCTION("""COMPUTED_VALUE"""),"64")</f>
        <v>64</v>
      </c>
      <c r="C3020" s="6" t="str">
        <f>IFERROR(__xludf.DUMMYFUNCTION("""COMPUTED_VALUE"""),"5790")</f>
        <v>5790</v>
      </c>
      <c r="D3020" s="6" t="str">
        <f>IFERROR(__xludf.DUMMYFUNCTION("""COMPUTED_VALUE"""),"Jameson L.")</f>
        <v>Jameson L.</v>
      </c>
      <c r="E3020" s="6" t="str">
        <f>IFERROR(__xludf.DUMMYFUNCTION("""COMPUTED_VALUE"""),"")</f>
        <v/>
      </c>
      <c r="F3020" s="6" t="str">
        <f>IFERROR(__xludf.DUMMYFUNCTION("""COMPUTED_VALUE"""),"Rackley")</f>
        <v>Rackley</v>
      </c>
      <c r="G3020" s="6" t="str">
        <f>IFERROR(__xludf.DUMMYFUNCTION("""COMPUTED_VALUE"""),"01/08/2014")</f>
        <v>01/08/2014</v>
      </c>
      <c r="H3020" s="6" t="str">
        <f>IFERROR(__xludf.DUMMYFUNCTION("""COMPUTED_VALUE"""),"Self Identify")</f>
        <v>Self Identify</v>
      </c>
      <c r="I3020" s="6" t="str">
        <f>IFERROR(__xludf.DUMMYFUNCTION("""COMPUTED_VALUE"""),"Middle School")</f>
        <v>Middle School</v>
      </c>
      <c r="J3020" s="6" t="str">
        <f>IFERROR(__xludf.DUMMYFUNCTION("""COMPUTED_VALUE"""),"6")</f>
        <v>6</v>
      </c>
      <c r="K3020" s="6" t="str">
        <f>IFERROR(__xludf.DUMMYFUNCTION("""COMPUTED_VALUE"""),"jameson_rackley@stu.ortrail.k12.or.us")</f>
        <v>jameson_rackley@stu.ortrail.k12.or.us</v>
      </c>
      <c r="L3020" s="6" t="str">
        <f>IFERROR(__xludf.DUMMYFUNCTION("""COMPUTED_VALUE"""),"Oregon Trail School District 46")</f>
        <v>Oregon Trail School District 46</v>
      </c>
      <c r="M3020" s="6" t="str">
        <f>IFERROR(__xludf.DUMMYFUNCTION("""COMPUTED_VALUE"""),"Boring Middle School")</f>
        <v>Boring Middle School</v>
      </c>
      <c r="N3020" s="6" t="str">
        <f>IFERROR(__xludf.DUMMYFUNCTION("""COMPUTED_VALUE"""),"")</f>
        <v/>
      </c>
      <c r="O3020" s="87" t="str">
        <f>IFERROR(__xludf.DUMMYFUNCTION("""COMPUTED_VALUE"""),"https://drive.google.com/drive/folders/10T2cTQHqEJZqE-st6uFKPoI?usp=share_link")</f>
        <v>https://drive.google.com/drive/folders/10T2cTQHqEJZqE-st6uFKPoI?usp=share_link</v>
      </c>
      <c r="P3020" s="6" t="str">
        <f>IFERROR(__xludf.DUMMYFUNCTION("""COMPUTED_VALUE"""),"Jameson L. Rackley")</f>
        <v>Jameson L. Rackley</v>
      </c>
      <c r="Q3020" s="6" t="str">
        <f>IFERROR(__xludf.DUMMYFUNCTION("""COMPUTED_VALUE"""),"MS")</f>
        <v>MS</v>
      </c>
      <c r="R3020" s="6">
        <f>IFERROR(__xludf.DUMMYFUNCTION("""COMPUTED_VALUE"""),0.0)</f>
        <v>0</v>
      </c>
      <c r="S3020" s="6" t="str">
        <f>IFERROR(__xludf.DUMMYFUNCTION("""COMPUTED_VALUE"""),"David Beitler")</f>
        <v>David Beitler</v>
      </c>
      <c r="T3020" s="6" t="str">
        <f>IFERROR(__xludf.DUMMYFUNCTION("""COMPUTED_VALUE"""),"david.beitler@ortrail.k12.or.us")</f>
        <v>david.beitler@ortrail.k12.or.us</v>
      </c>
      <c r="U3020" s="6" t="str">
        <f>IFERROR(__xludf.DUMMYFUNCTION("""COMPUTED_VALUE"""),"6")</f>
        <v>6</v>
      </c>
      <c r="V3020" s="6" t="str">
        <f>IFERROR(__xludf.DUMMYFUNCTION("""COMPUTED_VALUE"""),"English")</f>
        <v>English</v>
      </c>
      <c r="W3020" s="6" t="str">
        <f>IFERROR(__xludf.DUMMYFUNCTION("""COMPUTED_VALUE"""),"[]")</f>
        <v>[]</v>
      </c>
      <c r="X3020" s="6" t="str">
        <f>IFERROR(__xludf.DUMMYFUNCTION("""COMPUTED_VALUE"""),"Enrolled")</f>
        <v>Enrolled</v>
      </c>
    </row>
    <row r="3021">
      <c r="A3021" s="6" t="str">
        <f>IFERROR(__xludf.DUMMYFUNCTION("""COMPUTED_VALUE"""),"064-5791")</f>
        <v>064-5791</v>
      </c>
      <c r="B3021" s="6" t="str">
        <f>IFERROR(__xludf.DUMMYFUNCTION("""COMPUTED_VALUE"""),"64")</f>
        <v>64</v>
      </c>
      <c r="C3021" s="6" t="str">
        <f>IFERROR(__xludf.DUMMYFUNCTION("""COMPUTED_VALUE"""),"5791")</f>
        <v>5791</v>
      </c>
      <c r="D3021" s="6" t="str">
        <f>IFERROR(__xludf.DUMMYFUNCTION("""COMPUTED_VALUE"""),"Wyatt C.")</f>
        <v>Wyatt C.</v>
      </c>
      <c r="E3021" s="6" t="str">
        <f>IFERROR(__xludf.DUMMYFUNCTION("""COMPUTED_VALUE"""),"")</f>
        <v/>
      </c>
      <c r="F3021" s="6" t="str">
        <f>IFERROR(__xludf.DUMMYFUNCTION("""COMPUTED_VALUE"""),"Schneider")</f>
        <v>Schneider</v>
      </c>
      <c r="G3021" s="6" t="str">
        <f>IFERROR(__xludf.DUMMYFUNCTION("""COMPUTED_VALUE"""),"08/05/2014")</f>
        <v>08/05/2014</v>
      </c>
      <c r="H3021" s="6" t="str">
        <f>IFERROR(__xludf.DUMMYFUNCTION("""COMPUTED_VALUE"""),"Self Identify")</f>
        <v>Self Identify</v>
      </c>
      <c r="I3021" s="6" t="str">
        <f>IFERROR(__xludf.DUMMYFUNCTION("""COMPUTED_VALUE"""),"Middle School")</f>
        <v>Middle School</v>
      </c>
      <c r="J3021" s="6" t="str">
        <f>IFERROR(__xludf.DUMMYFUNCTION("""COMPUTED_VALUE"""),"6")</f>
        <v>6</v>
      </c>
      <c r="K3021" s="6" t="str">
        <f>IFERROR(__xludf.DUMMYFUNCTION("""COMPUTED_VALUE"""),"wyatt_schneider@stu.ortrail.k12.or.us")</f>
        <v>wyatt_schneider@stu.ortrail.k12.or.us</v>
      </c>
      <c r="L3021" s="6" t="str">
        <f>IFERROR(__xludf.DUMMYFUNCTION("""COMPUTED_VALUE"""),"Oregon Trail School District 46")</f>
        <v>Oregon Trail School District 46</v>
      </c>
      <c r="M3021" s="6" t="str">
        <f>IFERROR(__xludf.DUMMYFUNCTION("""COMPUTED_VALUE"""),"Boring Middle School")</f>
        <v>Boring Middle School</v>
      </c>
      <c r="N3021" s="6" t="str">
        <f>IFERROR(__xludf.DUMMYFUNCTION("""COMPUTED_VALUE"""),"")</f>
        <v/>
      </c>
      <c r="O3021" s="87" t="str">
        <f>IFERROR(__xludf.DUMMYFUNCTION("""COMPUTED_VALUE"""),"https://drive.google.com/drive/folders/10T2cTQHqEJZqE-st6uFKPoI?usp=share_link")</f>
        <v>https://drive.google.com/drive/folders/10T2cTQHqEJZqE-st6uFKPoI?usp=share_link</v>
      </c>
      <c r="P3021" s="6" t="str">
        <f>IFERROR(__xludf.DUMMYFUNCTION("""COMPUTED_VALUE"""),"Wyatt C. Schneider")</f>
        <v>Wyatt C. Schneider</v>
      </c>
      <c r="Q3021" s="6" t="str">
        <f>IFERROR(__xludf.DUMMYFUNCTION("""COMPUTED_VALUE"""),"MS")</f>
        <v>MS</v>
      </c>
      <c r="R3021" s="6">
        <f>IFERROR(__xludf.DUMMYFUNCTION("""COMPUTED_VALUE"""),0.0)</f>
        <v>0</v>
      </c>
      <c r="S3021" s="6" t="str">
        <f>IFERROR(__xludf.DUMMYFUNCTION("""COMPUTED_VALUE"""),"David Beitler")</f>
        <v>David Beitler</v>
      </c>
      <c r="T3021" s="6" t="str">
        <f>IFERROR(__xludf.DUMMYFUNCTION("""COMPUTED_VALUE"""),"david.beitler@ortrail.k12.or.us")</f>
        <v>david.beitler@ortrail.k12.or.us</v>
      </c>
      <c r="U3021" s="6" t="str">
        <f>IFERROR(__xludf.DUMMYFUNCTION("""COMPUTED_VALUE"""),"6")</f>
        <v>6</v>
      </c>
      <c r="V3021" s="6" t="str">
        <f>IFERROR(__xludf.DUMMYFUNCTION("""COMPUTED_VALUE"""),"English")</f>
        <v>English</v>
      </c>
      <c r="W3021" s="6" t="str">
        <f>IFERROR(__xludf.DUMMYFUNCTION("""COMPUTED_VALUE"""),"[]")</f>
        <v>[]</v>
      </c>
      <c r="X3021" s="6" t="str">
        <f>IFERROR(__xludf.DUMMYFUNCTION("""COMPUTED_VALUE"""),"Enrolled")</f>
        <v>Enrolled</v>
      </c>
    </row>
    <row r="3022">
      <c r="A3022" s="6" t="str">
        <f>IFERROR(__xludf.DUMMYFUNCTION("""COMPUTED_VALUE"""),"064-5792")</f>
        <v>064-5792</v>
      </c>
      <c r="B3022" s="6" t="str">
        <f>IFERROR(__xludf.DUMMYFUNCTION("""COMPUTED_VALUE"""),"64")</f>
        <v>64</v>
      </c>
      <c r="C3022" s="6" t="str">
        <f>IFERROR(__xludf.DUMMYFUNCTION("""COMPUTED_VALUE"""),"5792")</f>
        <v>5792</v>
      </c>
      <c r="D3022" s="6" t="str">
        <f>IFERROR(__xludf.DUMMYFUNCTION("""COMPUTED_VALUE"""),"Kellyn A.")</f>
        <v>Kellyn A.</v>
      </c>
      <c r="E3022" s="6" t="str">
        <f>IFERROR(__xludf.DUMMYFUNCTION("""COMPUTED_VALUE"""),"")</f>
        <v/>
      </c>
      <c r="F3022" s="6" t="str">
        <f>IFERROR(__xludf.DUMMYFUNCTION("""COMPUTED_VALUE"""),"Slipher")</f>
        <v>Slipher</v>
      </c>
      <c r="G3022" s="6" t="str">
        <f>IFERROR(__xludf.DUMMYFUNCTION("""COMPUTED_VALUE"""),"12/30/2013")</f>
        <v>12/30/2013</v>
      </c>
      <c r="H3022" s="6" t="str">
        <f>IFERROR(__xludf.DUMMYFUNCTION("""COMPUTED_VALUE"""),"Self Identify")</f>
        <v>Self Identify</v>
      </c>
      <c r="I3022" s="6" t="str">
        <f>IFERROR(__xludf.DUMMYFUNCTION("""COMPUTED_VALUE"""),"Middle School")</f>
        <v>Middle School</v>
      </c>
      <c r="J3022" s="6" t="str">
        <f>IFERROR(__xludf.DUMMYFUNCTION("""COMPUTED_VALUE"""),"6")</f>
        <v>6</v>
      </c>
      <c r="K3022" s="6" t="str">
        <f>IFERROR(__xludf.DUMMYFUNCTION("""COMPUTED_VALUE"""),"kellyn_slipher@stu.ortrail.k12.or.us")</f>
        <v>kellyn_slipher@stu.ortrail.k12.or.us</v>
      </c>
      <c r="L3022" s="6" t="str">
        <f>IFERROR(__xludf.DUMMYFUNCTION("""COMPUTED_VALUE"""),"Oregon Trail School District 46")</f>
        <v>Oregon Trail School District 46</v>
      </c>
      <c r="M3022" s="6" t="str">
        <f>IFERROR(__xludf.DUMMYFUNCTION("""COMPUTED_VALUE"""),"Boring Middle School")</f>
        <v>Boring Middle School</v>
      </c>
      <c r="N3022" s="6" t="str">
        <f>IFERROR(__xludf.DUMMYFUNCTION("""COMPUTED_VALUE"""),"")</f>
        <v/>
      </c>
      <c r="O3022" s="87" t="str">
        <f>IFERROR(__xludf.DUMMYFUNCTION("""COMPUTED_VALUE"""),"https://drive.google.com/drive/folders/10T2cTQHqEJZqE-st6uFKPoI?usp=share_link")</f>
        <v>https://drive.google.com/drive/folders/10T2cTQHqEJZqE-st6uFKPoI?usp=share_link</v>
      </c>
      <c r="P3022" s="6" t="str">
        <f>IFERROR(__xludf.DUMMYFUNCTION("""COMPUTED_VALUE"""),"Kellyn A. Slipher")</f>
        <v>Kellyn A. Slipher</v>
      </c>
      <c r="Q3022" s="6" t="str">
        <f>IFERROR(__xludf.DUMMYFUNCTION("""COMPUTED_VALUE"""),"MS")</f>
        <v>MS</v>
      </c>
      <c r="R3022" s="6">
        <f>IFERROR(__xludf.DUMMYFUNCTION("""COMPUTED_VALUE"""),0.0)</f>
        <v>0</v>
      </c>
      <c r="S3022" s="6" t="str">
        <f>IFERROR(__xludf.DUMMYFUNCTION("""COMPUTED_VALUE"""),"David Beitler")</f>
        <v>David Beitler</v>
      </c>
      <c r="T3022" s="6" t="str">
        <f>IFERROR(__xludf.DUMMYFUNCTION("""COMPUTED_VALUE"""),"david.beitler@ortrail.k12.or.us")</f>
        <v>david.beitler@ortrail.k12.or.us</v>
      </c>
      <c r="U3022" s="6" t="str">
        <f>IFERROR(__xludf.DUMMYFUNCTION("""COMPUTED_VALUE"""),"6")</f>
        <v>6</v>
      </c>
      <c r="V3022" s="6" t="str">
        <f>IFERROR(__xludf.DUMMYFUNCTION("""COMPUTED_VALUE"""),"English")</f>
        <v>English</v>
      </c>
      <c r="W3022" s="6" t="str">
        <f>IFERROR(__xludf.DUMMYFUNCTION("""COMPUTED_VALUE"""),"[]")</f>
        <v>[]</v>
      </c>
      <c r="X3022" s="6" t="str">
        <f>IFERROR(__xludf.DUMMYFUNCTION("""COMPUTED_VALUE"""),"Enrolled")</f>
        <v>Enrolled</v>
      </c>
    </row>
    <row r="3023">
      <c r="A3023" s="6" t="str">
        <f>IFERROR(__xludf.DUMMYFUNCTION("""COMPUTED_VALUE"""),"064-5793")</f>
        <v>064-5793</v>
      </c>
      <c r="B3023" s="6" t="str">
        <f>IFERROR(__xludf.DUMMYFUNCTION("""COMPUTED_VALUE"""),"64")</f>
        <v>64</v>
      </c>
      <c r="C3023" s="6" t="str">
        <f>IFERROR(__xludf.DUMMYFUNCTION("""COMPUTED_VALUE"""),"5793")</f>
        <v>5793</v>
      </c>
      <c r="D3023" s="6" t="str">
        <f>IFERROR(__xludf.DUMMYFUNCTION("""COMPUTED_VALUE"""),"Arielle E.")</f>
        <v>Arielle E.</v>
      </c>
      <c r="E3023" s="6" t="str">
        <f>IFERROR(__xludf.DUMMYFUNCTION("""COMPUTED_VALUE"""),"")</f>
        <v/>
      </c>
      <c r="F3023" s="6" t="str">
        <f>IFERROR(__xludf.DUMMYFUNCTION("""COMPUTED_VALUE"""),"Apreotesi")</f>
        <v>Apreotesi</v>
      </c>
      <c r="G3023" s="6" t="str">
        <f>IFERROR(__xludf.DUMMYFUNCTION("""COMPUTED_VALUE"""),"01/19/2015")</f>
        <v>01/19/2015</v>
      </c>
      <c r="H3023" s="6" t="str">
        <f>IFERROR(__xludf.DUMMYFUNCTION("""COMPUTED_VALUE"""),"Self Identify")</f>
        <v>Self Identify</v>
      </c>
      <c r="I3023" s="6" t="str">
        <f>IFERROR(__xludf.DUMMYFUNCTION("""COMPUTED_VALUE"""),"Middle School")</f>
        <v>Middle School</v>
      </c>
      <c r="J3023" s="6" t="str">
        <f>IFERROR(__xludf.DUMMYFUNCTION("""COMPUTED_VALUE"""),"6")</f>
        <v>6</v>
      </c>
      <c r="K3023" s="6" t="str">
        <f>IFERROR(__xludf.DUMMYFUNCTION("""COMPUTED_VALUE"""),"arielle_apreotesi@stu.ortrail.k12.or.us")</f>
        <v>arielle_apreotesi@stu.ortrail.k12.or.us</v>
      </c>
      <c r="L3023" s="6" t="str">
        <f>IFERROR(__xludf.DUMMYFUNCTION("""COMPUTED_VALUE"""),"Oregon Trail School District 46")</f>
        <v>Oregon Trail School District 46</v>
      </c>
      <c r="M3023" s="6" t="str">
        <f>IFERROR(__xludf.DUMMYFUNCTION("""COMPUTED_VALUE"""),"Boring Middle School")</f>
        <v>Boring Middle School</v>
      </c>
      <c r="N3023" s="6" t="str">
        <f>IFERROR(__xludf.DUMMYFUNCTION("""COMPUTED_VALUE"""),"")</f>
        <v/>
      </c>
      <c r="O3023" s="87" t="str">
        <f>IFERROR(__xludf.DUMMYFUNCTION("""COMPUTED_VALUE"""),"https://drive.google.com/drive/folders/10T2cTQHqEJZqE-st6uFKPoI?usp=share_link")</f>
        <v>https://drive.google.com/drive/folders/10T2cTQHqEJZqE-st6uFKPoI?usp=share_link</v>
      </c>
      <c r="P3023" s="6" t="str">
        <f>IFERROR(__xludf.DUMMYFUNCTION("""COMPUTED_VALUE"""),"Arielle E. Apreotesi")</f>
        <v>Arielle E. Apreotesi</v>
      </c>
      <c r="Q3023" s="6" t="str">
        <f>IFERROR(__xludf.DUMMYFUNCTION("""COMPUTED_VALUE"""),"MS")</f>
        <v>MS</v>
      </c>
      <c r="R3023" s="6">
        <f>IFERROR(__xludf.DUMMYFUNCTION("""COMPUTED_VALUE"""),0.0)</f>
        <v>0</v>
      </c>
      <c r="S3023" s="6" t="str">
        <f>IFERROR(__xludf.DUMMYFUNCTION("""COMPUTED_VALUE"""),"David Beitler")</f>
        <v>David Beitler</v>
      </c>
      <c r="T3023" s="6" t="str">
        <f>IFERROR(__xludf.DUMMYFUNCTION("""COMPUTED_VALUE"""),"david.beitler@ortrail.k12.or.us")</f>
        <v>david.beitler@ortrail.k12.or.us</v>
      </c>
      <c r="U3023" s="6" t="str">
        <f>IFERROR(__xludf.DUMMYFUNCTION("""COMPUTED_VALUE"""),"6")</f>
        <v>6</v>
      </c>
      <c r="V3023" s="6" t="str">
        <f>IFERROR(__xludf.DUMMYFUNCTION("""COMPUTED_VALUE"""),"English")</f>
        <v>English</v>
      </c>
      <c r="W3023" s="6" t="str">
        <f>IFERROR(__xludf.DUMMYFUNCTION("""COMPUTED_VALUE"""),"[]")</f>
        <v>[]</v>
      </c>
      <c r="X3023" s="6" t="str">
        <f>IFERROR(__xludf.DUMMYFUNCTION("""COMPUTED_VALUE"""),"Enrolled")</f>
        <v>Enrolled</v>
      </c>
    </row>
    <row r="3024">
      <c r="A3024" s="6" t="str">
        <f>IFERROR(__xludf.DUMMYFUNCTION("""COMPUTED_VALUE"""),"064-5794")</f>
        <v>064-5794</v>
      </c>
      <c r="B3024" s="6" t="str">
        <f>IFERROR(__xludf.DUMMYFUNCTION("""COMPUTED_VALUE"""),"64")</f>
        <v>64</v>
      </c>
      <c r="C3024" s="6" t="str">
        <f>IFERROR(__xludf.DUMMYFUNCTION("""COMPUTED_VALUE"""),"5794")</f>
        <v>5794</v>
      </c>
      <c r="D3024" s="6" t="str">
        <f>IFERROR(__xludf.DUMMYFUNCTION("""COMPUTED_VALUE"""),"Ruby J.")</f>
        <v>Ruby J.</v>
      </c>
      <c r="E3024" s="6" t="str">
        <f>IFERROR(__xludf.DUMMYFUNCTION("""COMPUTED_VALUE"""),"")</f>
        <v/>
      </c>
      <c r="F3024" s="6" t="str">
        <f>IFERROR(__xludf.DUMMYFUNCTION("""COMPUTED_VALUE"""),"Burri")</f>
        <v>Burri</v>
      </c>
      <c r="G3024" s="6" t="str">
        <f>IFERROR(__xludf.DUMMYFUNCTION("""COMPUTED_VALUE"""),"11/21/2013")</f>
        <v>11/21/2013</v>
      </c>
      <c r="H3024" s="6" t="str">
        <f>IFERROR(__xludf.DUMMYFUNCTION("""COMPUTED_VALUE"""),"Self Identify")</f>
        <v>Self Identify</v>
      </c>
      <c r="I3024" s="6" t="str">
        <f>IFERROR(__xludf.DUMMYFUNCTION("""COMPUTED_VALUE"""),"Middle School")</f>
        <v>Middle School</v>
      </c>
      <c r="J3024" s="6" t="str">
        <f>IFERROR(__xludf.DUMMYFUNCTION("""COMPUTED_VALUE"""),"6")</f>
        <v>6</v>
      </c>
      <c r="K3024" s="6" t="str">
        <f>IFERROR(__xludf.DUMMYFUNCTION("""COMPUTED_VALUE"""),"ruby_burri@stu.ortrail.k12.or.us")</f>
        <v>ruby_burri@stu.ortrail.k12.or.us</v>
      </c>
      <c r="L3024" s="6" t="str">
        <f>IFERROR(__xludf.DUMMYFUNCTION("""COMPUTED_VALUE"""),"Oregon Trail School District 46")</f>
        <v>Oregon Trail School District 46</v>
      </c>
      <c r="M3024" s="6" t="str">
        <f>IFERROR(__xludf.DUMMYFUNCTION("""COMPUTED_VALUE"""),"Boring Middle School")</f>
        <v>Boring Middle School</v>
      </c>
      <c r="N3024" s="6" t="str">
        <f>IFERROR(__xludf.DUMMYFUNCTION("""COMPUTED_VALUE"""),"")</f>
        <v/>
      </c>
      <c r="O3024" s="87" t="str">
        <f>IFERROR(__xludf.DUMMYFUNCTION("""COMPUTED_VALUE"""),"https://drive.google.com/drive/folders/10T2cTQHqEJZqE-st6uFKPoI?usp=share_link")</f>
        <v>https://drive.google.com/drive/folders/10T2cTQHqEJZqE-st6uFKPoI?usp=share_link</v>
      </c>
      <c r="P3024" s="6" t="str">
        <f>IFERROR(__xludf.DUMMYFUNCTION("""COMPUTED_VALUE"""),"Ruby J. Burri")</f>
        <v>Ruby J. Burri</v>
      </c>
      <c r="Q3024" s="6" t="str">
        <f>IFERROR(__xludf.DUMMYFUNCTION("""COMPUTED_VALUE"""),"MS")</f>
        <v>MS</v>
      </c>
      <c r="R3024" s="6">
        <f>IFERROR(__xludf.DUMMYFUNCTION("""COMPUTED_VALUE"""),0.0)</f>
        <v>0</v>
      </c>
      <c r="S3024" s="6" t="str">
        <f>IFERROR(__xludf.DUMMYFUNCTION("""COMPUTED_VALUE"""),"David Beitler")</f>
        <v>David Beitler</v>
      </c>
      <c r="T3024" s="6" t="str">
        <f>IFERROR(__xludf.DUMMYFUNCTION("""COMPUTED_VALUE"""),"david.beitler@ortrail.k12.or.us")</f>
        <v>david.beitler@ortrail.k12.or.us</v>
      </c>
      <c r="U3024" s="6" t="str">
        <f>IFERROR(__xludf.DUMMYFUNCTION("""COMPUTED_VALUE"""),"6")</f>
        <v>6</v>
      </c>
      <c r="V3024" s="6" t="str">
        <f>IFERROR(__xludf.DUMMYFUNCTION("""COMPUTED_VALUE"""),"English")</f>
        <v>English</v>
      </c>
      <c r="W3024" s="6" t="str">
        <f>IFERROR(__xludf.DUMMYFUNCTION("""COMPUTED_VALUE"""),"[]")</f>
        <v>[]</v>
      </c>
      <c r="X3024" s="6" t="str">
        <f>IFERROR(__xludf.DUMMYFUNCTION("""COMPUTED_VALUE"""),"Enrolled")</f>
        <v>Enrolled</v>
      </c>
    </row>
    <row r="3025">
      <c r="A3025" s="6" t="str">
        <f>IFERROR(__xludf.DUMMYFUNCTION("""COMPUTED_VALUE"""),"064-5795")</f>
        <v>064-5795</v>
      </c>
      <c r="B3025" s="6" t="str">
        <f>IFERROR(__xludf.DUMMYFUNCTION("""COMPUTED_VALUE"""),"64")</f>
        <v>64</v>
      </c>
      <c r="C3025" s="6" t="str">
        <f>IFERROR(__xludf.DUMMYFUNCTION("""COMPUTED_VALUE"""),"5795")</f>
        <v>5795</v>
      </c>
      <c r="D3025" s="6" t="str">
        <f>IFERROR(__xludf.DUMMYFUNCTION("""COMPUTED_VALUE"""),"David M.")</f>
        <v>David M.</v>
      </c>
      <c r="E3025" s="6" t="str">
        <f>IFERROR(__xludf.DUMMYFUNCTION("""COMPUTED_VALUE"""),"")</f>
        <v/>
      </c>
      <c r="F3025" s="6" t="str">
        <f>IFERROR(__xludf.DUMMYFUNCTION("""COMPUTED_VALUE"""),"Chan-Rodriguez")</f>
        <v>Chan-Rodriguez</v>
      </c>
      <c r="G3025" s="6" t="str">
        <f>IFERROR(__xludf.DUMMYFUNCTION("""COMPUTED_VALUE"""),"05/02/2014")</f>
        <v>05/02/2014</v>
      </c>
      <c r="H3025" s="6" t="str">
        <f>IFERROR(__xludf.DUMMYFUNCTION("""COMPUTED_VALUE"""),"Self Identify")</f>
        <v>Self Identify</v>
      </c>
      <c r="I3025" s="6" t="str">
        <f>IFERROR(__xludf.DUMMYFUNCTION("""COMPUTED_VALUE"""),"Middle School")</f>
        <v>Middle School</v>
      </c>
      <c r="J3025" s="6" t="str">
        <f>IFERROR(__xludf.DUMMYFUNCTION("""COMPUTED_VALUE"""),"6")</f>
        <v>6</v>
      </c>
      <c r="K3025" s="6" t="str">
        <f>IFERROR(__xludf.DUMMYFUNCTION("""COMPUTED_VALUE"""),"david_chanrodriguez@stu.ortrail.k12.or.us")</f>
        <v>david_chanrodriguez@stu.ortrail.k12.or.us</v>
      </c>
      <c r="L3025" s="6" t="str">
        <f>IFERROR(__xludf.DUMMYFUNCTION("""COMPUTED_VALUE"""),"Oregon Trail School District 46")</f>
        <v>Oregon Trail School District 46</v>
      </c>
      <c r="M3025" s="6" t="str">
        <f>IFERROR(__xludf.DUMMYFUNCTION("""COMPUTED_VALUE"""),"Boring Middle School")</f>
        <v>Boring Middle School</v>
      </c>
      <c r="N3025" s="6" t="str">
        <f>IFERROR(__xludf.DUMMYFUNCTION("""COMPUTED_VALUE"""),"")</f>
        <v/>
      </c>
      <c r="O3025" s="87" t="str">
        <f>IFERROR(__xludf.DUMMYFUNCTION("""COMPUTED_VALUE"""),"https://drive.google.com/drive/folders/10T2cTQHqEJZqE-st6uFKPoI?usp=share_link")</f>
        <v>https://drive.google.com/drive/folders/10T2cTQHqEJZqE-st6uFKPoI?usp=share_link</v>
      </c>
      <c r="P3025" s="6" t="str">
        <f>IFERROR(__xludf.DUMMYFUNCTION("""COMPUTED_VALUE"""),"David M. Chan-Rodriguez")</f>
        <v>David M. Chan-Rodriguez</v>
      </c>
      <c r="Q3025" s="6" t="str">
        <f>IFERROR(__xludf.DUMMYFUNCTION("""COMPUTED_VALUE"""),"MS")</f>
        <v>MS</v>
      </c>
      <c r="R3025" s="6">
        <f>IFERROR(__xludf.DUMMYFUNCTION("""COMPUTED_VALUE"""),0.0)</f>
        <v>0</v>
      </c>
      <c r="S3025" s="6" t="str">
        <f>IFERROR(__xludf.DUMMYFUNCTION("""COMPUTED_VALUE"""),"David Beitler")</f>
        <v>David Beitler</v>
      </c>
      <c r="T3025" s="6" t="str">
        <f>IFERROR(__xludf.DUMMYFUNCTION("""COMPUTED_VALUE"""),"david.beitler@ortrail.k12.or.us")</f>
        <v>david.beitler@ortrail.k12.or.us</v>
      </c>
      <c r="U3025" s="6" t="str">
        <f>IFERROR(__xludf.DUMMYFUNCTION("""COMPUTED_VALUE"""),"6")</f>
        <v>6</v>
      </c>
      <c r="V3025" s="6" t="str">
        <f>IFERROR(__xludf.DUMMYFUNCTION("""COMPUTED_VALUE"""),"English")</f>
        <v>English</v>
      </c>
      <c r="W3025" s="6" t="str">
        <f>IFERROR(__xludf.DUMMYFUNCTION("""COMPUTED_VALUE"""),"[]")</f>
        <v>[]</v>
      </c>
      <c r="X3025" s="6" t="str">
        <f>IFERROR(__xludf.DUMMYFUNCTION("""COMPUTED_VALUE"""),"Enrolled")</f>
        <v>Enrolled</v>
      </c>
    </row>
    <row r="3026">
      <c r="A3026" s="6" t="str">
        <f>IFERROR(__xludf.DUMMYFUNCTION("""COMPUTED_VALUE"""),"064-5796")</f>
        <v>064-5796</v>
      </c>
      <c r="B3026" s="6" t="str">
        <f>IFERROR(__xludf.DUMMYFUNCTION("""COMPUTED_VALUE"""),"64")</f>
        <v>64</v>
      </c>
      <c r="C3026" s="6" t="str">
        <f>IFERROR(__xludf.DUMMYFUNCTION("""COMPUTED_VALUE"""),"5796")</f>
        <v>5796</v>
      </c>
      <c r="D3026" s="6" t="str">
        <f>IFERROR(__xludf.DUMMYFUNCTION("""COMPUTED_VALUE"""),"Adrian S.")</f>
        <v>Adrian S.</v>
      </c>
      <c r="E3026" s="6" t="str">
        <f>IFERROR(__xludf.DUMMYFUNCTION("""COMPUTED_VALUE"""),"")</f>
        <v/>
      </c>
      <c r="F3026" s="6" t="str">
        <f>IFERROR(__xludf.DUMMYFUNCTION("""COMPUTED_VALUE"""),"Guevara")</f>
        <v>Guevara</v>
      </c>
      <c r="G3026" s="6" t="str">
        <f>IFERROR(__xludf.DUMMYFUNCTION("""COMPUTED_VALUE"""),"06/20/2014")</f>
        <v>06/20/2014</v>
      </c>
      <c r="H3026" s="6" t="str">
        <f>IFERROR(__xludf.DUMMYFUNCTION("""COMPUTED_VALUE"""),"Self Identify")</f>
        <v>Self Identify</v>
      </c>
      <c r="I3026" s="6" t="str">
        <f>IFERROR(__xludf.DUMMYFUNCTION("""COMPUTED_VALUE"""),"Middle School")</f>
        <v>Middle School</v>
      </c>
      <c r="J3026" s="6" t="str">
        <f>IFERROR(__xludf.DUMMYFUNCTION("""COMPUTED_VALUE"""),"6")</f>
        <v>6</v>
      </c>
      <c r="K3026" s="6" t="str">
        <f>IFERROR(__xludf.DUMMYFUNCTION("""COMPUTED_VALUE"""),"adrian_guevara@stu.ortrail.k12.or.us")</f>
        <v>adrian_guevara@stu.ortrail.k12.or.us</v>
      </c>
      <c r="L3026" s="6" t="str">
        <f>IFERROR(__xludf.DUMMYFUNCTION("""COMPUTED_VALUE"""),"Oregon Trail School District 46")</f>
        <v>Oregon Trail School District 46</v>
      </c>
      <c r="M3026" s="6" t="str">
        <f>IFERROR(__xludf.DUMMYFUNCTION("""COMPUTED_VALUE"""),"Boring Middle School")</f>
        <v>Boring Middle School</v>
      </c>
      <c r="N3026" s="6" t="str">
        <f>IFERROR(__xludf.DUMMYFUNCTION("""COMPUTED_VALUE"""),"")</f>
        <v/>
      </c>
      <c r="O3026" s="87" t="str">
        <f>IFERROR(__xludf.DUMMYFUNCTION("""COMPUTED_VALUE"""),"https://drive.google.com/drive/folders/10T2cTQHqEJZqE-st6uFKPoI?usp=share_link")</f>
        <v>https://drive.google.com/drive/folders/10T2cTQHqEJZqE-st6uFKPoI?usp=share_link</v>
      </c>
      <c r="P3026" s="6" t="str">
        <f>IFERROR(__xludf.DUMMYFUNCTION("""COMPUTED_VALUE"""),"Adrian S. Guevara")</f>
        <v>Adrian S. Guevara</v>
      </c>
      <c r="Q3026" s="6" t="str">
        <f>IFERROR(__xludf.DUMMYFUNCTION("""COMPUTED_VALUE"""),"MS")</f>
        <v>MS</v>
      </c>
      <c r="R3026" s="6">
        <f>IFERROR(__xludf.DUMMYFUNCTION("""COMPUTED_VALUE"""),0.0)</f>
        <v>0</v>
      </c>
      <c r="S3026" s="6" t="str">
        <f>IFERROR(__xludf.DUMMYFUNCTION("""COMPUTED_VALUE"""),"David Beitler")</f>
        <v>David Beitler</v>
      </c>
      <c r="T3026" s="6" t="str">
        <f>IFERROR(__xludf.DUMMYFUNCTION("""COMPUTED_VALUE"""),"david.beitler@ortrail.k12.or.us")</f>
        <v>david.beitler@ortrail.k12.or.us</v>
      </c>
      <c r="U3026" s="6" t="str">
        <f>IFERROR(__xludf.DUMMYFUNCTION("""COMPUTED_VALUE"""),"6")</f>
        <v>6</v>
      </c>
      <c r="V3026" s="6" t="str">
        <f>IFERROR(__xludf.DUMMYFUNCTION("""COMPUTED_VALUE"""),"English")</f>
        <v>English</v>
      </c>
      <c r="W3026" s="6" t="str">
        <f>IFERROR(__xludf.DUMMYFUNCTION("""COMPUTED_VALUE"""),"[]")</f>
        <v>[]</v>
      </c>
      <c r="X3026" s="6" t="str">
        <f>IFERROR(__xludf.DUMMYFUNCTION("""COMPUTED_VALUE"""),"Enrolled")</f>
        <v>Enrolled</v>
      </c>
    </row>
    <row r="3027">
      <c r="A3027" s="6" t="str">
        <f>IFERROR(__xludf.DUMMYFUNCTION("""COMPUTED_VALUE"""),"064-5797")</f>
        <v>064-5797</v>
      </c>
      <c r="B3027" s="6" t="str">
        <f>IFERROR(__xludf.DUMMYFUNCTION("""COMPUTED_VALUE"""),"64")</f>
        <v>64</v>
      </c>
      <c r="C3027" s="6" t="str">
        <f>IFERROR(__xludf.DUMMYFUNCTION("""COMPUTED_VALUE"""),"5797")</f>
        <v>5797</v>
      </c>
      <c r="D3027" s="6" t="str">
        <f>IFERROR(__xludf.DUMMYFUNCTION("""COMPUTED_VALUE"""),"Isabella M.")</f>
        <v>Isabella M.</v>
      </c>
      <c r="E3027" s="6" t="str">
        <f>IFERROR(__xludf.DUMMYFUNCTION("""COMPUTED_VALUE"""),"")</f>
        <v/>
      </c>
      <c r="F3027" s="6" t="str">
        <f>IFERROR(__xludf.DUMMYFUNCTION("""COMPUTED_VALUE"""),"Houtchens")</f>
        <v>Houtchens</v>
      </c>
      <c r="G3027" s="6" t="str">
        <f>IFERROR(__xludf.DUMMYFUNCTION("""COMPUTED_VALUE"""),"09/21/2012")</f>
        <v>09/21/2012</v>
      </c>
      <c r="H3027" s="6" t="str">
        <f>IFERROR(__xludf.DUMMYFUNCTION("""COMPUTED_VALUE"""),"Self Identify")</f>
        <v>Self Identify</v>
      </c>
      <c r="I3027" s="6" t="str">
        <f>IFERROR(__xludf.DUMMYFUNCTION("""COMPUTED_VALUE"""),"Middle School")</f>
        <v>Middle School</v>
      </c>
      <c r="J3027" s="6" t="str">
        <f>IFERROR(__xludf.DUMMYFUNCTION("""COMPUTED_VALUE"""),"6")</f>
        <v>6</v>
      </c>
      <c r="K3027" s="6" t="str">
        <f>IFERROR(__xludf.DUMMYFUNCTION("""COMPUTED_VALUE"""),"bella_houtchens@stu.ortrail.k12.or.us")</f>
        <v>bella_houtchens@stu.ortrail.k12.or.us</v>
      </c>
      <c r="L3027" s="6" t="str">
        <f>IFERROR(__xludf.DUMMYFUNCTION("""COMPUTED_VALUE"""),"Oregon Trail School District 46")</f>
        <v>Oregon Trail School District 46</v>
      </c>
      <c r="M3027" s="6" t="str">
        <f>IFERROR(__xludf.DUMMYFUNCTION("""COMPUTED_VALUE"""),"Boring Middle School")</f>
        <v>Boring Middle School</v>
      </c>
      <c r="N3027" s="6" t="str">
        <f>IFERROR(__xludf.DUMMYFUNCTION("""COMPUTED_VALUE"""),"")</f>
        <v/>
      </c>
      <c r="O3027" s="87" t="str">
        <f>IFERROR(__xludf.DUMMYFUNCTION("""COMPUTED_VALUE"""),"https://drive.google.com/drive/folders/10T2cTQHqEJZqE-st6uFKPoI?usp=share_link")</f>
        <v>https://drive.google.com/drive/folders/10T2cTQHqEJZqE-st6uFKPoI?usp=share_link</v>
      </c>
      <c r="P3027" s="6" t="str">
        <f>IFERROR(__xludf.DUMMYFUNCTION("""COMPUTED_VALUE"""),"Isabella M. Houtchens")</f>
        <v>Isabella M. Houtchens</v>
      </c>
      <c r="Q3027" s="6" t="str">
        <f>IFERROR(__xludf.DUMMYFUNCTION("""COMPUTED_VALUE"""),"MS")</f>
        <v>MS</v>
      </c>
      <c r="R3027" s="6">
        <f>IFERROR(__xludf.DUMMYFUNCTION("""COMPUTED_VALUE"""),0.0)</f>
        <v>0</v>
      </c>
      <c r="S3027" s="6" t="str">
        <f>IFERROR(__xludf.DUMMYFUNCTION("""COMPUTED_VALUE"""),"David Beitler")</f>
        <v>David Beitler</v>
      </c>
      <c r="T3027" s="6" t="str">
        <f>IFERROR(__xludf.DUMMYFUNCTION("""COMPUTED_VALUE"""),"david.beitler@ortrail.k12.or.us")</f>
        <v>david.beitler@ortrail.k12.or.us</v>
      </c>
      <c r="U3027" s="6" t="str">
        <f>IFERROR(__xludf.DUMMYFUNCTION("""COMPUTED_VALUE"""),"6")</f>
        <v>6</v>
      </c>
      <c r="V3027" s="6" t="str">
        <f>IFERROR(__xludf.DUMMYFUNCTION("""COMPUTED_VALUE"""),"English")</f>
        <v>English</v>
      </c>
      <c r="W3027" s="6" t="str">
        <f>IFERROR(__xludf.DUMMYFUNCTION("""COMPUTED_VALUE"""),"[]")</f>
        <v>[]</v>
      </c>
      <c r="X3027" s="6" t="str">
        <f>IFERROR(__xludf.DUMMYFUNCTION("""COMPUTED_VALUE"""),"Enrolled")</f>
        <v>Enrolled</v>
      </c>
    </row>
    <row r="3028">
      <c r="A3028" s="6" t="str">
        <f>IFERROR(__xludf.DUMMYFUNCTION("""COMPUTED_VALUE"""),"064-5799")</f>
        <v>064-5799</v>
      </c>
      <c r="B3028" s="6" t="str">
        <f>IFERROR(__xludf.DUMMYFUNCTION("""COMPUTED_VALUE"""),"64")</f>
        <v>64</v>
      </c>
      <c r="C3028" s="6" t="str">
        <f>IFERROR(__xludf.DUMMYFUNCTION("""COMPUTED_VALUE"""),"5799")</f>
        <v>5799</v>
      </c>
      <c r="D3028" s="6" t="str">
        <f>IFERROR(__xludf.DUMMYFUNCTION("""COMPUTED_VALUE"""),"Abner J.")</f>
        <v>Abner J.</v>
      </c>
      <c r="E3028" s="6" t="str">
        <f>IFERROR(__xludf.DUMMYFUNCTION("""COMPUTED_VALUE"""),"")</f>
        <v/>
      </c>
      <c r="F3028" s="6" t="str">
        <f>IFERROR(__xludf.DUMMYFUNCTION("""COMPUTED_VALUE"""),"Martinez Serna")</f>
        <v>Martinez Serna</v>
      </c>
      <c r="G3028" s="6" t="str">
        <f>IFERROR(__xludf.DUMMYFUNCTION("""COMPUTED_VALUE"""),"04/18/2014")</f>
        <v>04/18/2014</v>
      </c>
      <c r="H3028" s="6" t="str">
        <f>IFERROR(__xludf.DUMMYFUNCTION("""COMPUTED_VALUE"""),"Self Identify")</f>
        <v>Self Identify</v>
      </c>
      <c r="I3028" s="6" t="str">
        <f>IFERROR(__xludf.DUMMYFUNCTION("""COMPUTED_VALUE"""),"Middle School")</f>
        <v>Middle School</v>
      </c>
      <c r="J3028" s="6" t="str">
        <f>IFERROR(__xludf.DUMMYFUNCTION("""COMPUTED_VALUE"""),"6")</f>
        <v>6</v>
      </c>
      <c r="K3028" s="6" t="str">
        <f>IFERROR(__xludf.DUMMYFUNCTION("""COMPUTED_VALUE"""),"abner_martinezserna@stu.ortrail.k12.or.us")</f>
        <v>abner_martinezserna@stu.ortrail.k12.or.us</v>
      </c>
      <c r="L3028" s="6" t="str">
        <f>IFERROR(__xludf.DUMMYFUNCTION("""COMPUTED_VALUE"""),"Oregon Trail School District 46")</f>
        <v>Oregon Trail School District 46</v>
      </c>
      <c r="M3028" s="6" t="str">
        <f>IFERROR(__xludf.DUMMYFUNCTION("""COMPUTED_VALUE"""),"Boring Middle School")</f>
        <v>Boring Middle School</v>
      </c>
      <c r="N3028" s="6" t="str">
        <f>IFERROR(__xludf.DUMMYFUNCTION("""COMPUTED_VALUE"""),"")</f>
        <v/>
      </c>
      <c r="O3028" s="87" t="str">
        <f>IFERROR(__xludf.DUMMYFUNCTION("""COMPUTED_VALUE"""),"https://drive.google.com/drive/folders/10T2cTQHqEJZqE-st6uFKPoI?usp=share_link")</f>
        <v>https://drive.google.com/drive/folders/10T2cTQHqEJZqE-st6uFKPoI?usp=share_link</v>
      </c>
      <c r="P3028" s="6" t="str">
        <f>IFERROR(__xludf.DUMMYFUNCTION("""COMPUTED_VALUE"""),"Abner J. Martinez Serna")</f>
        <v>Abner J. Martinez Serna</v>
      </c>
      <c r="Q3028" s="6" t="str">
        <f>IFERROR(__xludf.DUMMYFUNCTION("""COMPUTED_VALUE"""),"MS")</f>
        <v>MS</v>
      </c>
      <c r="R3028" s="6">
        <f>IFERROR(__xludf.DUMMYFUNCTION("""COMPUTED_VALUE"""),0.0)</f>
        <v>0</v>
      </c>
      <c r="S3028" s="6" t="str">
        <f>IFERROR(__xludf.DUMMYFUNCTION("""COMPUTED_VALUE"""),"David Beitler")</f>
        <v>David Beitler</v>
      </c>
      <c r="T3028" s="6" t="str">
        <f>IFERROR(__xludf.DUMMYFUNCTION("""COMPUTED_VALUE"""),"david.beitler@ortrail.k12.or.us")</f>
        <v>david.beitler@ortrail.k12.or.us</v>
      </c>
      <c r="U3028" s="6" t="str">
        <f>IFERROR(__xludf.DUMMYFUNCTION("""COMPUTED_VALUE"""),"6")</f>
        <v>6</v>
      </c>
      <c r="V3028" s="6" t="str">
        <f>IFERROR(__xludf.DUMMYFUNCTION("""COMPUTED_VALUE"""),"English")</f>
        <v>English</v>
      </c>
      <c r="W3028" s="6" t="str">
        <f>IFERROR(__xludf.DUMMYFUNCTION("""COMPUTED_VALUE"""),"[]")</f>
        <v>[]</v>
      </c>
      <c r="X3028" s="6" t="str">
        <f>IFERROR(__xludf.DUMMYFUNCTION("""COMPUTED_VALUE"""),"Enrolled")</f>
        <v>Enrolled</v>
      </c>
    </row>
    <row r="3029">
      <c r="A3029" s="6" t="str">
        <f>IFERROR(__xludf.DUMMYFUNCTION("""COMPUTED_VALUE"""),"064-5800")</f>
        <v>064-5800</v>
      </c>
      <c r="B3029" s="6" t="str">
        <f>IFERROR(__xludf.DUMMYFUNCTION("""COMPUTED_VALUE"""),"64")</f>
        <v>64</v>
      </c>
      <c r="C3029" s="6" t="str">
        <f>IFERROR(__xludf.DUMMYFUNCTION("""COMPUTED_VALUE"""),"5800")</f>
        <v>5800</v>
      </c>
      <c r="D3029" s="6" t="str">
        <f>IFERROR(__xludf.DUMMYFUNCTION("""COMPUTED_VALUE"""),"Samantha J.")</f>
        <v>Samantha J.</v>
      </c>
      <c r="E3029" s="6" t="str">
        <f>IFERROR(__xludf.DUMMYFUNCTION("""COMPUTED_VALUE"""),"")</f>
        <v/>
      </c>
      <c r="F3029" s="6" t="str">
        <f>IFERROR(__xludf.DUMMYFUNCTION("""COMPUTED_VALUE"""),"Povey")</f>
        <v>Povey</v>
      </c>
      <c r="G3029" s="6" t="str">
        <f>IFERROR(__xludf.DUMMYFUNCTION("""COMPUTED_VALUE"""),"04/16/2014")</f>
        <v>04/16/2014</v>
      </c>
      <c r="H3029" s="6" t="str">
        <f>IFERROR(__xludf.DUMMYFUNCTION("""COMPUTED_VALUE"""),"Self Identify")</f>
        <v>Self Identify</v>
      </c>
      <c r="I3029" s="6" t="str">
        <f>IFERROR(__xludf.DUMMYFUNCTION("""COMPUTED_VALUE"""),"Middle School")</f>
        <v>Middle School</v>
      </c>
      <c r="J3029" s="6" t="str">
        <f>IFERROR(__xludf.DUMMYFUNCTION("""COMPUTED_VALUE"""),"6")</f>
        <v>6</v>
      </c>
      <c r="K3029" s="6" t="str">
        <f>IFERROR(__xludf.DUMMYFUNCTION("""COMPUTED_VALUE"""),"sammie_povey@stu.ortrail.k12.or.us")</f>
        <v>sammie_povey@stu.ortrail.k12.or.us</v>
      </c>
      <c r="L3029" s="6" t="str">
        <f>IFERROR(__xludf.DUMMYFUNCTION("""COMPUTED_VALUE"""),"Oregon Trail School District 46")</f>
        <v>Oregon Trail School District 46</v>
      </c>
      <c r="M3029" s="6" t="str">
        <f>IFERROR(__xludf.DUMMYFUNCTION("""COMPUTED_VALUE"""),"Boring Middle School")</f>
        <v>Boring Middle School</v>
      </c>
      <c r="N3029" s="6" t="str">
        <f>IFERROR(__xludf.DUMMYFUNCTION("""COMPUTED_VALUE"""),"")</f>
        <v/>
      </c>
      <c r="O3029" s="87" t="str">
        <f>IFERROR(__xludf.DUMMYFUNCTION("""COMPUTED_VALUE"""),"https://drive.google.com/drive/folders/10T2cTQHqEJZqE-st6uFKPoI?usp=share_link")</f>
        <v>https://drive.google.com/drive/folders/10T2cTQHqEJZqE-st6uFKPoI?usp=share_link</v>
      </c>
      <c r="P3029" s="6" t="str">
        <f>IFERROR(__xludf.DUMMYFUNCTION("""COMPUTED_VALUE"""),"Samantha J. Povey")</f>
        <v>Samantha J. Povey</v>
      </c>
      <c r="Q3029" s="6" t="str">
        <f>IFERROR(__xludf.DUMMYFUNCTION("""COMPUTED_VALUE"""),"MS")</f>
        <v>MS</v>
      </c>
      <c r="R3029" s="6">
        <f>IFERROR(__xludf.DUMMYFUNCTION("""COMPUTED_VALUE"""),0.0)</f>
        <v>0</v>
      </c>
      <c r="S3029" s="6" t="str">
        <f>IFERROR(__xludf.DUMMYFUNCTION("""COMPUTED_VALUE"""),"David Beitler")</f>
        <v>David Beitler</v>
      </c>
      <c r="T3029" s="6" t="str">
        <f>IFERROR(__xludf.DUMMYFUNCTION("""COMPUTED_VALUE"""),"david.beitler@ortrail.k12.or.us")</f>
        <v>david.beitler@ortrail.k12.or.us</v>
      </c>
      <c r="U3029" s="6" t="str">
        <f>IFERROR(__xludf.DUMMYFUNCTION("""COMPUTED_VALUE"""),"6")</f>
        <v>6</v>
      </c>
      <c r="V3029" s="6" t="str">
        <f>IFERROR(__xludf.DUMMYFUNCTION("""COMPUTED_VALUE"""),"English")</f>
        <v>English</v>
      </c>
      <c r="W3029" s="6" t="str">
        <f>IFERROR(__xludf.DUMMYFUNCTION("""COMPUTED_VALUE"""),"[]")</f>
        <v>[]</v>
      </c>
      <c r="X3029" s="6" t="str">
        <f>IFERROR(__xludf.DUMMYFUNCTION("""COMPUTED_VALUE"""),"Enrolled")</f>
        <v>Enrolled</v>
      </c>
    </row>
    <row r="3030">
      <c r="A3030" s="6" t="str">
        <f>IFERROR(__xludf.DUMMYFUNCTION("""COMPUTED_VALUE"""),"064-5801")</f>
        <v>064-5801</v>
      </c>
      <c r="B3030" s="6" t="str">
        <f>IFERROR(__xludf.DUMMYFUNCTION("""COMPUTED_VALUE"""),"64")</f>
        <v>64</v>
      </c>
      <c r="C3030" s="6" t="str">
        <f>IFERROR(__xludf.DUMMYFUNCTION("""COMPUTED_VALUE"""),"5801")</f>
        <v>5801</v>
      </c>
      <c r="D3030" s="6" t="str">
        <f>IFERROR(__xludf.DUMMYFUNCTION("""COMPUTED_VALUE"""),"Landyn J.")</f>
        <v>Landyn J.</v>
      </c>
      <c r="E3030" s="6" t="str">
        <f>IFERROR(__xludf.DUMMYFUNCTION("""COMPUTED_VALUE"""),"")</f>
        <v/>
      </c>
      <c r="F3030" s="6" t="str">
        <f>IFERROR(__xludf.DUMMYFUNCTION("""COMPUTED_VALUE"""),"Presley")</f>
        <v>Presley</v>
      </c>
      <c r="G3030" s="6" t="str">
        <f>IFERROR(__xludf.DUMMYFUNCTION("""COMPUTED_VALUE"""),"08/29/2014")</f>
        <v>08/29/2014</v>
      </c>
      <c r="H3030" s="6" t="str">
        <f>IFERROR(__xludf.DUMMYFUNCTION("""COMPUTED_VALUE"""),"Self Identify")</f>
        <v>Self Identify</v>
      </c>
      <c r="I3030" s="6" t="str">
        <f>IFERROR(__xludf.DUMMYFUNCTION("""COMPUTED_VALUE"""),"Middle School")</f>
        <v>Middle School</v>
      </c>
      <c r="J3030" s="6" t="str">
        <f>IFERROR(__xludf.DUMMYFUNCTION("""COMPUTED_VALUE"""),"6")</f>
        <v>6</v>
      </c>
      <c r="K3030" s="6" t="str">
        <f>IFERROR(__xludf.DUMMYFUNCTION("""COMPUTED_VALUE"""),"landyn_presley@stu.ortrail.k12.or.us")</f>
        <v>landyn_presley@stu.ortrail.k12.or.us</v>
      </c>
      <c r="L3030" s="6" t="str">
        <f>IFERROR(__xludf.DUMMYFUNCTION("""COMPUTED_VALUE"""),"Oregon Trail School District 46")</f>
        <v>Oregon Trail School District 46</v>
      </c>
      <c r="M3030" s="6" t="str">
        <f>IFERROR(__xludf.DUMMYFUNCTION("""COMPUTED_VALUE"""),"Boring Middle School")</f>
        <v>Boring Middle School</v>
      </c>
      <c r="N3030" s="6" t="str">
        <f>IFERROR(__xludf.DUMMYFUNCTION("""COMPUTED_VALUE"""),"")</f>
        <v/>
      </c>
      <c r="O3030" s="87" t="str">
        <f>IFERROR(__xludf.DUMMYFUNCTION("""COMPUTED_VALUE"""),"https://drive.google.com/drive/folders/10T2cTQHqEJZqE-st6uFKPoI?usp=share_link")</f>
        <v>https://drive.google.com/drive/folders/10T2cTQHqEJZqE-st6uFKPoI?usp=share_link</v>
      </c>
      <c r="P3030" s="6" t="str">
        <f>IFERROR(__xludf.DUMMYFUNCTION("""COMPUTED_VALUE"""),"Landyn J. Presley")</f>
        <v>Landyn J. Presley</v>
      </c>
      <c r="Q3030" s="6" t="str">
        <f>IFERROR(__xludf.DUMMYFUNCTION("""COMPUTED_VALUE"""),"MS")</f>
        <v>MS</v>
      </c>
      <c r="R3030" s="6">
        <f>IFERROR(__xludf.DUMMYFUNCTION("""COMPUTED_VALUE"""),0.0)</f>
        <v>0</v>
      </c>
      <c r="S3030" s="6" t="str">
        <f>IFERROR(__xludf.DUMMYFUNCTION("""COMPUTED_VALUE"""),"David Beitler")</f>
        <v>David Beitler</v>
      </c>
      <c r="T3030" s="6" t="str">
        <f>IFERROR(__xludf.DUMMYFUNCTION("""COMPUTED_VALUE"""),"david.beitler@ortrail.k12.or.us")</f>
        <v>david.beitler@ortrail.k12.or.us</v>
      </c>
      <c r="U3030" s="6" t="str">
        <f>IFERROR(__xludf.DUMMYFUNCTION("""COMPUTED_VALUE"""),"6")</f>
        <v>6</v>
      </c>
      <c r="V3030" s="6" t="str">
        <f>IFERROR(__xludf.DUMMYFUNCTION("""COMPUTED_VALUE"""),"English")</f>
        <v>English</v>
      </c>
      <c r="W3030" s="6" t="str">
        <f>IFERROR(__xludf.DUMMYFUNCTION("""COMPUTED_VALUE"""),"[]")</f>
        <v>[]</v>
      </c>
      <c r="X3030" s="6" t="str">
        <f>IFERROR(__xludf.DUMMYFUNCTION("""COMPUTED_VALUE"""),"Enrolled")</f>
        <v>Enrolled</v>
      </c>
    </row>
    <row r="3031">
      <c r="A3031" s="6" t="str">
        <f>IFERROR(__xludf.DUMMYFUNCTION("""COMPUTED_VALUE"""),"064-5802")</f>
        <v>064-5802</v>
      </c>
      <c r="B3031" s="6" t="str">
        <f>IFERROR(__xludf.DUMMYFUNCTION("""COMPUTED_VALUE"""),"64")</f>
        <v>64</v>
      </c>
      <c r="C3031" s="6" t="str">
        <f>IFERROR(__xludf.DUMMYFUNCTION("""COMPUTED_VALUE"""),"5802")</f>
        <v>5802</v>
      </c>
      <c r="D3031" s="6" t="str">
        <f>IFERROR(__xludf.DUMMYFUNCTION("""COMPUTED_VALUE"""),"William M.")</f>
        <v>William M.</v>
      </c>
      <c r="E3031" s="6" t="str">
        <f>IFERROR(__xludf.DUMMYFUNCTION("""COMPUTED_VALUE"""),"")</f>
        <v/>
      </c>
      <c r="F3031" s="6" t="str">
        <f>IFERROR(__xludf.DUMMYFUNCTION("""COMPUTED_VALUE"""),"Schaffer")</f>
        <v>Schaffer</v>
      </c>
      <c r="G3031" s="6" t="str">
        <f>IFERROR(__xludf.DUMMYFUNCTION("""COMPUTED_VALUE"""),"12/09/2013")</f>
        <v>12/09/2013</v>
      </c>
      <c r="H3031" s="6" t="str">
        <f>IFERROR(__xludf.DUMMYFUNCTION("""COMPUTED_VALUE"""),"Self Identify")</f>
        <v>Self Identify</v>
      </c>
      <c r="I3031" s="6" t="str">
        <f>IFERROR(__xludf.DUMMYFUNCTION("""COMPUTED_VALUE"""),"Middle School")</f>
        <v>Middle School</v>
      </c>
      <c r="J3031" s="6" t="str">
        <f>IFERROR(__xludf.DUMMYFUNCTION("""COMPUTED_VALUE"""),"6")</f>
        <v>6</v>
      </c>
      <c r="K3031" s="6" t="str">
        <f>IFERROR(__xludf.DUMMYFUNCTION("""COMPUTED_VALUE"""),"billy_schaffer@stu.ortrail.k12.or.us")</f>
        <v>billy_schaffer@stu.ortrail.k12.or.us</v>
      </c>
      <c r="L3031" s="6" t="str">
        <f>IFERROR(__xludf.DUMMYFUNCTION("""COMPUTED_VALUE"""),"Oregon Trail School District 46")</f>
        <v>Oregon Trail School District 46</v>
      </c>
      <c r="M3031" s="6" t="str">
        <f>IFERROR(__xludf.DUMMYFUNCTION("""COMPUTED_VALUE"""),"Boring Middle School")</f>
        <v>Boring Middle School</v>
      </c>
      <c r="N3031" s="6" t="str">
        <f>IFERROR(__xludf.DUMMYFUNCTION("""COMPUTED_VALUE"""),"")</f>
        <v/>
      </c>
      <c r="O3031" s="87" t="str">
        <f>IFERROR(__xludf.DUMMYFUNCTION("""COMPUTED_VALUE"""),"https://drive.google.com/drive/folders/10T2cTQHqEJZqE-st6uFKPoI?usp=share_link")</f>
        <v>https://drive.google.com/drive/folders/10T2cTQHqEJZqE-st6uFKPoI?usp=share_link</v>
      </c>
      <c r="P3031" s="6" t="str">
        <f>IFERROR(__xludf.DUMMYFUNCTION("""COMPUTED_VALUE"""),"William M. Schaffer")</f>
        <v>William M. Schaffer</v>
      </c>
      <c r="Q3031" s="6" t="str">
        <f>IFERROR(__xludf.DUMMYFUNCTION("""COMPUTED_VALUE"""),"MS")</f>
        <v>MS</v>
      </c>
      <c r="R3031" s="6">
        <f>IFERROR(__xludf.DUMMYFUNCTION("""COMPUTED_VALUE"""),0.0)</f>
        <v>0</v>
      </c>
      <c r="S3031" s="6" t="str">
        <f>IFERROR(__xludf.DUMMYFUNCTION("""COMPUTED_VALUE"""),"David Beitler")</f>
        <v>David Beitler</v>
      </c>
      <c r="T3031" s="6" t="str">
        <f>IFERROR(__xludf.DUMMYFUNCTION("""COMPUTED_VALUE"""),"david.beitler@ortrail.k12.or.us")</f>
        <v>david.beitler@ortrail.k12.or.us</v>
      </c>
      <c r="U3031" s="6" t="str">
        <f>IFERROR(__xludf.DUMMYFUNCTION("""COMPUTED_VALUE"""),"6")</f>
        <v>6</v>
      </c>
      <c r="V3031" s="6" t="str">
        <f>IFERROR(__xludf.DUMMYFUNCTION("""COMPUTED_VALUE"""),"English")</f>
        <v>English</v>
      </c>
      <c r="W3031" s="6" t="str">
        <f>IFERROR(__xludf.DUMMYFUNCTION("""COMPUTED_VALUE"""),"[]")</f>
        <v>[]</v>
      </c>
      <c r="X3031" s="6" t="str">
        <f>IFERROR(__xludf.DUMMYFUNCTION("""COMPUTED_VALUE"""),"Enrolled")</f>
        <v>Enrolled</v>
      </c>
    </row>
    <row r="3032">
      <c r="A3032" s="6" t="str">
        <f>IFERROR(__xludf.DUMMYFUNCTION("""COMPUTED_VALUE"""),"064-5803")</f>
        <v>064-5803</v>
      </c>
      <c r="B3032" s="6" t="str">
        <f>IFERROR(__xludf.DUMMYFUNCTION("""COMPUTED_VALUE"""),"64")</f>
        <v>64</v>
      </c>
      <c r="C3032" s="6" t="str">
        <f>IFERROR(__xludf.DUMMYFUNCTION("""COMPUTED_VALUE"""),"5803")</f>
        <v>5803</v>
      </c>
      <c r="D3032" s="6" t="str">
        <f>IFERROR(__xludf.DUMMYFUNCTION("""COMPUTED_VALUE"""),"Olivia L.")</f>
        <v>Olivia L.</v>
      </c>
      <c r="E3032" s="6" t="str">
        <f>IFERROR(__xludf.DUMMYFUNCTION("""COMPUTED_VALUE"""),"")</f>
        <v/>
      </c>
      <c r="F3032" s="6" t="str">
        <f>IFERROR(__xludf.DUMMYFUNCTION("""COMPUTED_VALUE"""),"Seino-Braidwood")</f>
        <v>Seino-Braidwood</v>
      </c>
      <c r="G3032" s="6" t="str">
        <f>IFERROR(__xludf.DUMMYFUNCTION("""COMPUTED_VALUE"""),"12/28/2013")</f>
        <v>12/28/2013</v>
      </c>
      <c r="H3032" s="6" t="str">
        <f>IFERROR(__xludf.DUMMYFUNCTION("""COMPUTED_VALUE"""),"Self Identify")</f>
        <v>Self Identify</v>
      </c>
      <c r="I3032" s="6" t="str">
        <f>IFERROR(__xludf.DUMMYFUNCTION("""COMPUTED_VALUE"""),"Middle School")</f>
        <v>Middle School</v>
      </c>
      <c r="J3032" s="6" t="str">
        <f>IFERROR(__xludf.DUMMYFUNCTION("""COMPUTED_VALUE"""),"6")</f>
        <v>6</v>
      </c>
      <c r="K3032" s="6" t="str">
        <f>IFERROR(__xludf.DUMMYFUNCTION("""COMPUTED_VALUE"""),"olivia_seinobraidwoo@stu.ortrail.k12.or.us")</f>
        <v>olivia_seinobraidwoo@stu.ortrail.k12.or.us</v>
      </c>
      <c r="L3032" s="6" t="str">
        <f>IFERROR(__xludf.DUMMYFUNCTION("""COMPUTED_VALUE"""),"Oregon Trail School District 46")</f>
        <v>Oregon Trail School District 46</v>
      </c>
      <c r="M3032" s="6" t="str">
        <f>IFERROR(__xludf.DUMMYFUNCTION("""COMPUTED_VALUE"""),"Boring Middle School")</f>
        <v>Boring Middle School</v>
      </c>
      <c r="N3032" s="6" t="str">
        <f>IFERROR(__xludf.DUMMYFUNCTION("""COMPUTED_VALUE"""),"")</f>
        <v/>
      </c>
      <c r="O3032" s="87" t="str">
        <f>IFERROR(__xludf.DUMMYFUNCTION("""COMPUTED_VALUE"""),"https://drive.google.com/drive/folders/10T2cTQHqEJZqE-st6uFKPoI?usp=share_link")</f>
        <v>https://drive.google.com/drive/folders/10T2cTQHqEJZqE-st6uFKPoI?usp=share_link</v>
      </c>
      <c r="P3032" s="6" t="str">
        <f>IFERROR(__xludf.DUMMYFUNCTION("""COMPUTED_VALUE"""),"Olivia L. Seino-Braidwood")</f>
        <v>Olivia L. Seino-Braidwood</v>
      </c>
      <c r="Q3032" s="6" t="str">
        <f>IFERROR(__xludf.DUMMYFUNCTION("""COMPUTED_VALUE"""),"MS")</f>
        <v>MS</v>
      </c>
      <c r="R3032" s="6">
        <f>IFERROR(__xludf.DUMMYFUNCTION("""COMPUTED_VALUE"""),0.0)</f>
        <v>0</v>
      </c>
      <c r="S3032" s="6" t="str">
        <f>IFERROR(__xludf.DUMMYFUNCTION("""COMPUTED_VALUE"""),"David Beitler")</f>
        <v>David Beitler</v>
      </c>
      <c r="T3032" s="6" t="str">
        <f>IFERROR(__xludf.DUMMYFUNCTION("""COMPUTED_VALUE"""),"david.beitler@ortrail.k12.or.us")</f>
        <v>david.beitler@ortrail.k12.or.us</v>
      </c>
      <c r="U3032" s="6" t="str">
        <f>IFERROR(__xludf.DUMMYFUNCTION("""COMPUTED_VALUE"""),"6")</f>
        <v>6</v>
      </c>
      <c r="V3032" s="6" t="str">
        <f>IFERROR(__xludf.DUMMYFUNCTION("""COMPUTED_VALUE"""),"English")</f>
        <v>English</v>
      </c>
      <c r="W3032" s="6" t="str">
        <f>IFERROR(__xludf.DUMMYFUNCTION("""COMPUTED_VALUE"""),"[]")</f>
        <v>[]</v>
      </c>
      <c r="X3032" s="6" t="str">
        <f>IFERROR(__xludf.DUMMYFUNCTION("""COMPUTED_VALUE"""),"Enrolled")</f>
        <v>Enrolled</v>
      </c>
    </row>
    <row r="3033">
      <c r="A3033" s="6" t="str">
        <f>IFERROR(__xludf.DUMMYFUNCTION("""COMPUTED_VALUE"""),"064-5806")</f>
        <v>064-5806</v>
      </c>
      <c r="B3033" s="6" t="str">
        <f>IFERROR(__xludf.DUMMYFUNCTION("""COMPUTED_VALUE"""),"64")</f>
        <v>64</v>
      </c>
      <c r="C3033" s="6" t="str">
        <f>IFERROR(__xludf.DUMMYFUNCTION("""COMPUTED_VALUE"""),"5806")</f>
        <v>5806</v>
      </c>
      <c r="D3033" s="6" t="str">
        <f>IFERROR(__xludf.DUMMYFUNCTION("""COMPUTED_VALUE"""),"Maddox W.")</f>
        <v>Maddox W.</v>
      </c>
      <c r="E3033" s="6" t="str">
        <f>IFERROR(__xludf.DUMMYFUNCTION("""COMPUTED_VALUE"""),"")</f>
        <v/>
      </c>
      <c r="F3033" s="6" t="str">
        <f>IFERROR(__xludf.DUMMYFUNCTION("""COMPUTED_VALUE"""),"Snyder")</f>
        <v>Snyder</v>
      </c>
      <c r="G3033" s="6" t="str">
        <f>IFERROR(__xludf.DUMMYFUNCTION("""COMPUTED_VALUE"""),"06/26/2014")</f>
        <v>06/26/2014</v>
      </c>
      <c r="H3033" s="6" t="str">
        <f>IFERROR(__xludf.DUMMYFUNCTION("""COMPUTED_VALUE"""),"Self Identify")</f>
        <v>Self Identify</v>
      </c>
      <c r="I3033" s="6" t="str">
        <f>IFERROR(__xludf.DUMMYFUNCTION("""COMPUTED_VALUE"""),"Middle School")</f>
        <v>Middle School</v>
      </c>
      <c r="J3033" s="6" t="str">
        <f>IFERROR(__xludf.DUMMYFUNCTION("""COMPUTED_VALUE"""),"6")</f>
        <v>6</v>
      </c>
      <c r="K3033" s="6" t="str">
        <f>IFERROR(__xludf.DUMMYFUNCTION("""COMPUTED_VALUE"""),"maddox_snyder@stu.ortrail.k12.or.us")</f>
        <v>maddox_snyder@stu.ortrail.k12.or.us</v>
      </c>
      <c r="L3033" s="6" t="str">
        <f>IFERROR(__xludf.DUMMYFUNCTION("""COMPUTED_VALUE"""),"Oregon Trail School District 46")</f>
        <v>Oregon Trail School District 46</v>
      </c>
      <c r="M3033" s="6" t="str">
        <f>IFERROR(__xludf.DUMMYFUNCTION("""COMPUTED_VALUE"""),"Boring Middle School")</f>
        <v>Boring Middle School</v>
      </c>
      <c r="N3033" s="6" t="str">
        <f>IFERROR(__xludf.DUMMYFUNCTION("""COMPUTED_VALUE"""),"")</f>
        <v/>
      </c>
      <c r="O3033" s="87" t="str">
        <f>IFERROR(__xludf.DUMMYFUNCTION("""COMPUTED_VALUE"""),"https://drive.google.com/drive/folders/10T2cTQHqEJZqE-st6uFKPoI?usp=share_link")</f>
        <v>https://drive.google.com/drive/folders/10T2cTQHqEJZqE-st6uFKPoI?usp=share_link</v>
      </c>
      <c r="P3033" s="6" t="str">
        <f>IFERROR(__xludf.DUMMYFUNCTION("""COMPUTED_VALUE"""),"Maddox W. Snyder")</f>
        <v>Maddox W. Snyder</v>
      </c>
      <c r="Q3033" s="6" t="str">
        <f>IFERROR(__xludf.DUMMYFUNCTION("""COMPUTED_VALUE"""),"MS")</f>
        <v>MS</v>
      </c>
      <c r="R3033" s="6">
        <f>IFERROR(__xludf.DUMMYFUNCTION("""COMPUTED_VALUE"""),0.0)</f>
        <v>0</v>
      </c>
      <c r="S3033" s="6" t="str">
        <f>IFERROR(__xludf.DUMMYFUNCTION("""COMPUTED_VALUE"""),"David Beitler")</f>
        <v>David Beitler</v>
      </c>
      <c r="T3033" s="6" t="str">
        <f>IFERROR(__xludf.DUMMYFUNCTION("""COMPUTED_VALUE"""),"david.beitler@ortrail.k12.or.us")</f>
        <v>david.beitler@ortrail.k12.or.us</v>
      </c>
      <c r="U3033" s="6" t="str">
        <f>IFERROR(__xludf.DUMMYFUNCTION("""COMPUTED_VALUE"""),"6")</f>
        <v>6</v>
      </c>
      <c r="V3033" s="6" t="str">
        <f>IFERROR(__xludf.DUMMYFUNCTION("""COMPUTED_VALUE"""),"English")</f>
        <v>English</v>
      </c>
      <c r="W3033" s="6" t="str">
        <f>IFERROR(__xludf.DUMMYFUNCTION("""COMPUTED_VALUE"""),"[]")</f>
        <v>[]</v>
      </c>
      <c r="X3033" s="6" t="str">
        <f>IFERROR(__xludf.DUMMYFUNCTION("""COMPUTED_VALUE"""),"Enrolled")</f>
        <v>Enrolled</v>
      </c>
    </row>
    <row r="3034">
      <c r="A3034" s="6" t="str">
        <f>IFERROR(__xludf.DUMMYFUNCTION("""COMPUTED_VALUE"""),"064-5807")</f>
        <v>064-5807</v>
      </c>
      <c r="B3034" s="6" t="str">
        <f>IFERROR(__xludf.DUMMYFUNCTION("""COMPUTED_VALUE"""),"64")</f>
        <v>64</v>
      </c>
      <c r="C3034" s="6" t="str">
        <f>IFERROR(__xludf.DUMMYFUNCTION("""COMPUTED_VALUE"""),"5807")</f>
        <v>5807</v>
      </c>
      <c r="D3034" s="6" t="str">
        <f>IFERROR(__xludf.DUMMYFUNCTION("""COMPUTED_VALUE"""),"Payne W.")</f>
        <v>Payne W.</v>
      </c>
      <c r="E3034" s="6" t="str">
        <f>IFERROR(__xludf.DUMMYFUNCTION("""COMPUTED_VALUE"""),"")</f>
        <v/>
      </c>
      <c r="F3034" s="6" t="str">
        <f>IFERROR(__xludf.DUMMYFUNCTION("""COMPUTED_VALUE"""),"Stewart")</f>
        <v>Stewart</v>
      </c>
      <c r="G3034" s="6" t="str">
        <f>IFERROR(__xludf.DUMMYFUNCTION("""COMPUTED_VALUE"""),"06/03/2014")</f>
        <v>06/03/2014</v>
      </c>
      <c r="H3034" s="6" t="str">
        <f>IFERROR(__xludf.DUMMYFUNCTION("""COMPUTED_VALUE"""),"Self Identify")</f>
        <v>Self Identify</v>
      </c>
      <c r="I3034" s="6" t="str">
        <f>IFERROR(__xludf.DUMMYFUNCTION("""COMPUTED_VALUE"""),"Middle School")</f>
        <v>Middle School</v>
      </c>
      <c r="J3034" s="6" t="str">
        <f>IFERROR(__xludf.DUMMYFUNCTION("""COMPUTED_VALUE"""),"6")</f>
        <v>6</v>
      </c>
      <c r="K3034" s="6" t="str">
        <f>IFERROR(__xludf.DUMMYFUNCTION("""COMPUTED_VALUE"""),"payne_stewart@stu.ortrail.k12.or.us")</f>
        <v>payne_stewart@stu.ortrail.k12.or.us</v>
      </c>
      <c r="L3034" s="6" t="str">
        <f>IFERROR(__xludf.DUMMYFUNCTION("""COMPUTED_VALUE"""),"Oregon Trail School District 46")</f>
        <v>Oregon Trail School District 46</v>
      </c>
      <c r="M3034" s="6" t="str">
        <f>IFERROR(__xludf.DUMMYFUNCTION("""COMPUTED_VALUE"""),"Boring Middle School")</f>
        <v>Boring Middle School</v>
      </c>
      <c r="N3034" s="6" t="str">
        <f>IFERROR(__xludf.DUMMYFUNCTION("""COMPUTED_VALUE"""),"")</f>
        <v/>
      </c>
      <c r="O3034" s="87" t="str">
        <f>IFERROR(__xludf.DUMMYFUNCTION("""COMPUTED_VALUE"""),"https://drive.google.com/drive/folders/10T2cTQHqEJZqE-st6uFKPoI?usp=share_link")</f>
        <v>https://drive.google.com/drive/folders/10T2cTQHqEJZqE-st6uFKPoI?usp=share_link</v>
      </c>
      <c r="P3034" s="6" t="str">
        <f>IFERROR(__xludf.DUMMYFUNCTION("""COMPUTED_VALUE"""),"Payne W. Stewart")</f>
        <v>Payne W. Stewart</v>
      </c>
      <c r="Q3034" s="6" t="str">
        <f>IFERROR(__xludf.DUMMYFUNCTION("""COMPUTED_VALUE"""),"MS")</f>
        <v>MS</v>
      </c>
      <c r="R3034" s="6">
        <f>IFERROR(__xludf.DUMMYFUNCTION("""COMPUTED_VALUE"""),0.0)</f>
        <v>0</v>
      </c>
      <c r="S3034" s="6" t="str">
        <f>IFERROR(__xludf.DUMMYFUNCTION("""COMPUTED_VALUE"""),"David Beitler")</f>
        <v>David Beitler</v>
      </c>
      <c r="T3034" s="6" t="str">
        <f>IFERROR(__xludf.DUMMYFUNCTION("""COMPUTED_VALUE"""),"david.beitler@ortrail.k12.or.us")</f>
        <v>david.beitler@ortrail.k12.or.us</v>
      </c>
      <c r="U3034" s="6" t="str">
        <f>IFERROR(__xludf.DUMMYFUNCTION("""COMPUTED_VALUE"""),"6")</f>
        <v>6</v>
      </c>
      <c r="V3034" s="6" t="str">
        <f>IFERROR(__xludf.DUMMYFUNCTION("""COMPUTED_VALUE"""),"English")</f>
        <v>English</v>
      </c>
      <c r="W3034" s="6" t="str">
        <f>IFERROR(__xludf.DUMMYFUNCTION("""COMPUTED_VALUE"""),"[]")</f>
        <v>[]</v>
      </c>
      <c r="X3034" s="6" t="str">
        <f>IFERROR(__xludf.DUMMYFUNCTION("""COMPUTED_VALUE"""),"Enrolled")</f>
        <v>Enrolled</v>
      </c>
    </row>
    <row r="3035">
      <c r="A3035" s="6" t="str">
        <f>IFERROR(__xludf.DUMMYFUNCTION("""COMPUTED_VALUE"""),"064-5808")</f>
        <v>064-5808</v>
      </c>
      <c r="B3035" s="6" t="str">
        <f>IFERROR(__xludf.DUMMYFUNCTION("""COMPUTED_VALUE"""),"64")</f>
        <v>64</v>
      </c>
      <c r="C3035" s="6" t="str">
        <f>IFERROR(__xludf.DUMMYFUNCTION("""COMPUTED_VALUE"""),"5808")</f>
        <v>5808</v>
      </c>
      <c r="D3035" s="6" t="str">
        <f>IFERROR(__xludf.DUMMYFUNCTION("""COMPUTED_VALUE"""),"Ivan F.")</f>
        <v>Ivan F.</v>
      </c>
      <c r="E3035" s="6" t="str">
        <f>IFERROR(__xludf.DUMMYFUNCTION("""COMPUTED_VALUE"""),"")</f>
        <v/>
      </c>
      <c r="F3035" s="6" t="str">
        <f>IFERROR(__xludf.DUMMYFUNCTION("""COMPUTED_VALUE"""),"Ascencio")</f>
        <v>Ascencio</v>
      </c>
      <c r="G3035" s="6" t="str">
        <f>IFERROR(__xludf.DUMMYFUNCTION("""COMPUTED_VALUE"""),"06/07/2013")</f>
        <v>06/07/2013</v>
      </c>
      <c r="H3035" s="6" t="str">
        <f>IFERROR(__xludf.DUMMYFUNCTION("""COMPUTED_VALUE"""),"Self Identify")</f>
        <v>Self Identify</v>
      </c>
      <c r="I3035" s="6" t="str">
        <f>IFERROR(__xludf.DUMMYFUNCTION("""COMPUTED_VALUE"""),"Middle School")</f>
        <v>Middle School</v>
      </c>
      <c r="J3035" s="6" t="str">
        <f>IFERROR(__xludf.DUMMYFUNCTION("""COMPUTED_VALUE"""),"7")</f>
        <v>7</v>
      </c>
      <c r="K3035" s="6" t="str">
        <f>IFERROR(__xludf.DUMMYFUNCTION("""COMPUTED_VALUE"""),"ivan_ascencio@stu.ortrail.k12.or.us")</f>
        <v>ivan_ascencio@stu.ortrail.k12.or.us</v>
      </c>
      <c r="L3035" s="6" t="str">
        <f>IFERROR(__xludf.DUMMYFUNCTION("""COMPUTED_VALUE"""),"Oregon Trail School District 46")</f>
        <v>Oregon Trail School District 46</v>
      </c>
      <c r="M3035" s="6" t="str">
        <f>IFERROR(__xludf.DUMMYFUNCTION("""COMPUTED_VALUE"""),"Boring Middle School")</f>
        <v>Boring Middle School</v>
      </c>
      <c r="N3035" s="6" t="str">
        <f>IFERROR(__xludf.DUMMYFUNCTION("""COMPUTED_VALUE"""),"")</f>
        <v/>
      </c>
      <c r="O3035" s="87" t="str">
        <f>IFERROR(__xludf.DUMMYFUNCTION("""COMPUTED_VALUE"""),"https://drive.google.com/drive/folders/10T2cTQHqEJZqE-st6uFKPoI?usp=share_link")</f>
        <v>https://drive.google.com/drive/folders/10T2cTQHqEJZqE-st6uFKPoI?usp=share_link</v>
      </c>
      <c r="P3035" s="6" t="str">
        <f>IFERROR(__xludf.DUMMYFUNCTION("""COMPUTED_VALUE"""),"Ivan F. Ascencio")</f>
        <v>Ivan F. Ascencio</v>
      </c>
      <c r="Q3035" s="6" t="str">
        <f>IFERROR(__xludf.DUMMYFUNCTION("""COMPUTED_VALUE"""),"MS")</f>
        <v>MS</v>
      </c>
      <c r="R3035" s="6">
        <f>IFERROR(__xludf.DUMMYFUNCTION("""COMPUTED_VALUE"""),0.0)</f>
        <v>0</v>
      </c>
      <c r="S3035" s="6" t="str">
        <f>IFERROR(__xludf.DUMMYFUNCTION("""COMPUTED_VALUE"""),"David Beitler")</f>
        <v>David Beitler</v>
      </c>
      <c r="T3035" s="6" t="str">
        <f>IFERROR(__xludf.DUMMYFUNCTION("""COMPUTED_VALUE"""),"david.beitler@ortrail.k12.or.us")</f>
        <v>david.beitler@ortrail.k12.or.us</v>
      </c>
      <c r="U3035" s="6" t="str">
        <f>IFERROR(__xludf.DUMMYFUNCTION("""COMPUTED_VALUE"""),"7")</f>
        <v>7</v>
      </c>
      <c r="V3035" s="6" t="str">
        <f>IFERROR(__xludf.DUMMYFUNCTION("""COMPUTED_VALUE"""),"English")</f>
        <v>English</v>
      </c>
      <c r="W3035" s="6" t="str">
        <f>IFERROR(__xludf.DUMMYFUNCTION("""COMPUTED_VALUE"""),"[]")</f>
        <v>[]</v>
      </c>
      <c r="X3035" s="6" t="str">
        <f>IFERROR(__xludf.DUMMYFUNCTION("""COMPUTED_VALUE"""),"Enrolled")</f>
        <v>Enrolled</v>
      </c>
    </row>
    <row r="3036">
      <c r="A3036" s="6" t="str">
        <f>IFERROR(__xludf.DUMMYFUNCTION("""COMPUTED_VALUE"""),"064-5809")</f>
        <v>064-5809</v>
      </c>
      <c r="B3036" s="6" t="str">
        <f>IFERROR(__xludf.DUMMYFUNCTION("""COMPUTED_VALUE"""),"64")</f>
        <v>64</v>
      </c>
      <c r="C3036" s="6" t="str">
        <f>IFERROR(__xludf.DUMMYFUNCTION("""COMPUTED_VALUE"""),"5809")</f>
        <v>5809</v>
      </c>
      <c r="D3036" s="6" t="str">
        <f>IFERROR(__xludf.DUMMYFUNCTION("""COMPUTED_VALUE"""),"Tyler L.")</f>
        <v>Tyler L.</v>
      </c>
      <c r="E3036" s="6" t="str">
        <f>IFERROR(__xludf.DUMMYFUNCTION("""COMPUTED_VALUE"""),"")</f>
        <v/>
      </c>
      <c r="F3036" s="6" t="str">
        <f>IFERROR(__xludf.DUMMYFUNCTION("""COMPUTED_VALUE"""),"Conner")</f>
        <v>Conner</v>
      </c>
      <c r="G3036" s="6" t="str">
        <f>IFERROR(__xludf.DUMMYFUNCTION("""COMPUTED_VALUE"""),"01/07/2012")</f>
        <v>01/07/2012</v>
      </c>
      <c r="H3036" s="6" t="str">
        <f>IFERROR(__xludf.DUMMYFUNCTION("""COMPUTED_VALUE"""),"Self Identify")</f>
        <v>Self Identify</v>
      </c>
      <c r="I3036" s="6" t="str">
        <f>IFERROR(__xludf.DUMMYFUNCTION("""COMPUTED_VALUE"""),"Middle School")</f>
        <v>Middle School</v>
      </c>
      <c r="J3036" s="6" t="str">
        <f>IFERROR(__xludf.DUMMYFUNCTION("""COMPUTED_VALUE"""),"7")</f>
        <v>7</v>
      </c>
      <c r="K3036" s="6" t="str">
        <f>IFERROR(__xludf.DUMMYFUNCTION("""COMPUTED_VALUE"""),"tyler_conner@stu.ortrail.k12.or.us")</f>
        <v>tyler_conner@stu.ortrail.k12.or.us</v>
      </c>
      <c r="L3036" s="6" t="str">
        <f>IFERROR(__xludf.DUMMYFUNCTION("""COMPUTED_VALUE"""),"Oregon Trail School District 46")</f>
        <v>Oregon Trail School District 46</v>
      </c>
      <c r="M3036" s="6" t="str">
        <f>IFERROR(__xludf.DUMMYFUNCTION("""COMPUTED_VALUE"""),"Boring Middle School")</f>
        <v>Boring Middle School</v>
      </c>
      <c r="N3036" s="6" t="str">
        <f>IFERROR(__xludf.DUMMYFUNCTION("""COMPUTED_VALUE"""),"")</f>
        <v/>
      </c>
      <c r="O3036" s="87" t="str">
        <f>IFERROR(__xludf.DUMMYFUNCTION("""COMPUTED_VALUE"""),"https://drive.google.com/drive/folders/10T2cTQHqEJZqE-st6uFKPoI?usp=share_link")</f>
        <v>https://drive.google.com/drive/folders/10T2cTQHqEJZqE-st6uFKPoI?usp=share_link</v>
      </c>
      <c r="P3036" s="6" t="str">
        <f>IFERROR(__xludf.DUMMYFUNCTION("""COMPUTED_VALUE"""),"Tyler L. Conner")</f>
        <v>Tyler L. Conner</v>
      </c>
      <c r="Q3036" s="6" t="str">
        <f>IFERROR(__xludf.DUMMYFUNCTION("""COMPUTED_VALUE"""),"MS")</f>
        <v>MS</v>
      </c>
      <c r="R3036" s="6">
        <f>IFERROR(__xludf.DUMMYFUNCTION("""COMPUTED_VALUE"""),0.0)</f>
        <v>0</v>
      </c>
      <c r="S3036" s="6" t="str">
        <f>IFERROR(__xludf.DUMMYFUNCTION("""COMPUTED_VALUE"""),"David Beitler")</f>
        <v>David Beitler</v>
      </c>
      <c r="T3036" s="6" t="str">
        <f>IFERROR(__xludf.DUMMYFUNCTION("""COMPUTED_VALUE"""),"david.beitler@ortrail.k12.or.us")</f>
        <v>david.beitler@ortrail.k12.or.us</v>
      </c>
      <c r="U3036" s="6" t="str">
        <f>IFERROR(__xludf.DUMMYFUNCTION("""COMPUTED_VALUE"""),"7")</f>
        <v>7</v>
      </c>
      <c r="V3036" s="6" t="str">
        <f>IFERROR(__xludf.DUMMYFUNCTION("""COMPUTED_VALUE"""),"English")</f>
        <v>English</v>
      </c>
      <c r="W3036" s="6" t="str">
        <f>IFERROR(__xludf.DUMMYFUNCTION("""COMPUTED_VALUE"""),"[]")</f>
        <v>[]</v>
      </c>
      <c r="X3036" s="6" t="str">
        <f>IFERROR(__xludf.DUMMYFUNCTION("""COMPUTED_VALUE"""),"Enrolled")</f>
        <v>Enrolled</v>
      </c>
    </row>
    <row r="3037">
      <c r="A3037" s="6" t="str">
        <f>IFERROR(__xludf.DUMMYFUNCTION("""COMPUTED_VALUE"""),"064-5810")</f>
        <v>064-5810</v>
      </c>
      <c r="B3037" s="6" t="str">
        <f>IFERROR(__xludf.DUMMYFUNCTION("""COMPUTED_VALUE"""),"64")</f>
        <v>64</v>
      </c>
      <c r="C3037" s="6" t="str">
        <f>IFERROR(__xludf.DUMMYFUNCTION("""COMPUTED_VALUE"""),"5810")</f>
        <v>5810</v>
      </c>
      <c r="D3037" s="6" t="str">
        <f>IFERROR(__xludf.DUMMYFUNCTION("""COMPUTED_VALUE"""),"Braxton C.")</f>
        <v>Braxton C.</v>
      </c>
      <c r="E3037" s="6" t="str">
        <f>IFERROR(__xludf.DUMMYFUNCTION("""COMPUTED_VALUE"""),"")</f>
        <v/>
      </c>
      <c r="F3037" s="6" t="str">
        <f>IFERROR(__xludf.DUMMYFUNCTION("""COMPUTED_VALUE"""),"Davison")</f>
        <v>Davison</v>
      </c>
      <c r="G3037" s="6" t="str">
        <f>IFERROR(__xludf.DUMMYFUNCTION("""COMPUTED_VALUE"""),"10/21/2012")</f>
        <v>10/21/2012</v>
      </c>
      <c r="H3037" s="6" t="str">
        <f>IFERROR(__xludf.DUMMYFUNCTION("""COMPUTED_VALUE"""),"Self Identify")</f>
        <v>Self Identify</v>
      </c>
      <c r="I3037" s="6" t="str">
        <f>IFERROR(__xludf.DUMMYFUNCTION("""COMPUTED_VALUE"""),"Middle School")</f>
        <v>Middle School</v>
      </c>
      <c r="J3037" s="6" t="str">
        <f>IFERROR(__xludf.DUMMYFUNCTION("""COMPUTED_VALUE"""),"7")</f>
        <v>7</v>
      </c>
      <c r="K3037" s="6" t="str">
        <f>IFERROR(__xludf.DUMMYFUNCTION("""COMPUTED_VALUE"""),"braxton_davison@stu.ortrail.k12.or.us")</f>
        <v>braxton_davison@stu.ortrail.k12.or.us</v>
      </c>
      <c r="L3037" s="6" t="str">
        <f>IFERROR(__xludf.DUMMYFUNCTION("""COMPUTED_VALUE"""),"Oregon Trail School District 46")</f>
        <v>Oregon Trail School District 46</v>
      </c>
      <c r="M3037" s="6" t="str">
        <f>IFERROR(__xludf.DUMMYFUNCTION("""COMPUTED_VALUE"""),"Boring Middle School")</f>
        <v>Boring Middle School</v>
      </c>
      <c r="N3037" s="6" t="str">
        <f>IFERROR(__xludf.DUMMYFUNCTION("""COMPUTED_VALUE"""),"")</f>
        <v/>
      </c>
      <c r="O3037" s="87" t="str">
        <f>IFERROR(__xludf.DUMMYFUNCTION("""COMPUTED_VALUE"""),"https://drive.google.com/drive/folders/10T2cTQHqEJZqE-st6uFKPoI?usp=share_link")</f>
        <v>https://drive.google.com/drive/folders/10T2cTQHqEJZqE-st6uFKPoI?usp=share_link</v>
      </c>
      <c r="P3037" s="6" t="str">
        <f>IFERROR(__xludf.DUMMYFUNCTION("""COMPUTED_VALUE"""),"Braxton C. Davison")</f>
        <v>Braxton C. Davison</v>
      </c>
      <c r="Q3037" s="6" t="str">
        <f>IFERROR(__xludf.DUMMYFUNCTION("""COMPUTED_VALUE"""),"MS")</f>
        <v>MS</v>
      </c>
      <c r="R3037" s="6">
        <f>IFERROR(__xludf.DUMMYFUNCTION("""COMPUTED_VALUE"""),0.0)</f>
        <v>0</v>
      </c>
      <c r="S3037" s="6" t="str">
        <f>IFERROR(__xludf.DUMMYFUNCTION("""COMPUTED_VALUE"""),"David Beitler")</f>
        <v>David Beitler</v>
      </c>
      <c r="T3037" s="6" t="str">
        <f>IFERROR(__xludf.DUMMYFUNCTION("""COMPUTED_VALUE"""),"david.beitler@ortrail.k12.or.us")</f>
        <v>david.beitler@ortrail.k12.or.us</v>
      </c>
      <c r="U3037" s="6" t="str">
        <f>IFERROR(__xludf.DUMMYFUNCTION("""COMPUTED_VALUE"""),"7")</f>
        <v>7</v>
      </c>
      <c r="V3037" s="6" t="str">
        <f>IFERROR(__xludf.DUMMYFUNCTION("""COMPUTED_VALUE"""),"English")</f>
        <v>English</v>
      </c>
      <c r="W3037" s="6" t="str">
        <f>IFERROR(__xludf.DUMMYFUNCTION("""COMPUTED_VALUE"""),"[]")</f>
        <v>[]</v>
      </c>
      <c r="X3037" s="6" t="str">
        <f>IFERROR(__xludf.DUMMYFUNCTION("""COMPUTED_VALUE"""),"Enrolled")</f>
        <v>Enrolled</v>
      </c>
    </row>
    <row r="3038">
      <c r="A3038" s="6" t="str">
        <f>IFERROR(__xludf.DUMMYFUNCTION("""COMPUTED_VALUE"""),"064-5811")</f>
        <v>064-5811</v>
      </c>
      <c r="B3038" s="6" t="str">
        <f>IFERROR(__xludf.DUMMYFUNCTION("""COMPUTED_VALUE"""),"64")</f>
        <v>64</v>
      </c>
      <c r="C3038" s="6" t="str">
        <f>IFERROR(__xludf.DUMMYFUNCTION("""COMPUTED_VALUE"""),"5811")</f>
        <v>5811</v>
      </c>
      <c r="D3038" s="6" t="str">
        <f>IFERROR(__xludf.DUMMYFUNCTION("""COMPUTED_VALUE"""),"Byron R.")</f>
        <v>Byron R.</v>
      </c>
      <c r="E3038" s="6" t="str">
        <f>IFERROR(__xludf.DUMMYFUNCTION("""COMPUTED_VALUE"""),"")</f>
        <v/>
      </c>
      <c r="F3038" s="6" t="str">
        <f>IFERROR(__xludf.DUMMYFUNCTION("""COMPUTED_VALUE"""),"Howard")</f>
        <v>Howard</v>
      </c>
      <c r="G3038" s="6" t="str">
        <f>IFERROR(__xludf.DUMMYFUNCTION("""COMPUTED_VALUE"""),"08/19/2013")</f>
        <v>08/19/2013</v>
      </c>
      <c r="H3038" s="6" t="str">
        <f>IFERROR(__xludf.DUMMYFUNCTION("""COMPUTED_VALUE"""),"Self Identify")</f>
        <v>Self Identify</v>
      </c>
      <c r="I3038" s="6" t="str">
        <f>IFERROR(__xludf.DUMMYFUNCTION("""COMPUTED_VALUE"""),"Middle School")</f>
        <v>Middle School</v>
      </c>
      <c r="J3038" s="6" t="str">
        <f>IFERROR(__xludf.DUMMYFUNCTION("""COMPUTED_VALUE"""),"7")</f>
        <v>7</v>
      </c>
      <c r="K3038" s="6" t="str">
        <f>IFERROR(__xludf.DUMMYFUNCTION("""COMPUTED_VALUE"""),"byron_howard@stu.ortrail.k12.or.us")</f>
        <v>byron_howard@stu.ortrail.k12.or.us</v>
      </c>
      <c r="L3038" s="6" t="str">
        <f>IFERROR(__xludf.DUMMYFUNCTION("""COMPUTED_VALUE"""),"Oregon Trail School District 46")</f>
        <v>Oregon Trail School District 46</v>
      </c>
      <c r="M3038" s="6" t="str">
        <f>IFERROR(__xludf.DUMMYFUNCTION("""COMPUTED_VALUE"""),"Boring Middle School")</f>
        <v>Boring Middle School</v>
      </c>
      <c r="N3038" s="6" t="str">
        <f>IFERROR(__xludf.DUMMYFUNCTION("""COMPUTED_VALUE"""),"")</f>
        <v/>
      </c>
      <c r="O3038" s="87" t="str">
        <f>IFERROR(__xludf.DUMMYFUNCTION("""COMPUTED_VALUE"""),"https://drive.google.com/drive/folders/10T2cTQHqEJZqE-st6uFKPoI?usp=share_link")</f>
        <v>https://drive.google.com/drive/folders/10T2cTQHqEJZqE-st6uFKPoI?usp=share_link</v>
      </c>
      <c r="P3038" s="6" t="str">
        <f>IFERROR(__xludf.DUMMYFUNCTION("""COMPUTED_VALUE"""),"Byron R. Howard")</f>
        <v>Byron R. Howard</v>
      </c>
      <c r="Q3038" s="6" t="str">
        <f>IFERROR(__xludf.DUMMYFUNCTION("""COMPUTED_VALUE"""),"MS")</f>
        <v>MS</v>
      </c>
      <c r="R3038" s="6">
        <f>IFERROR(__xludf.DUMMYFUNCTION("""COMPUTED_VALUE"""),0.0)</f>
        <v>0</v>
      </c>
      <c r="S3038" s="6" t="str">
        <f>IFERROR(__xludf.DUMMYFUNCTION("""COMPUTED_VALUE"""),"David Beitler")</f>
        <v>David Beitler</v>
      </c>
      <c r="T3038" s="6" t="str">
        <f>IFERROR(__xludf.DUMMYFUNCTION("""COMPUTED_VALUE"""),"david.beitler@ortrail.k12.or.us")</f>
        <v>david.beitler@ortrail.k12.or.us</v>
      </c>
      <c r="U3038" s="6" t="str">
        <f>IFERROR(__xludf.DUMMYFUNCTION("""COMPUTED_VALUE"""),"7")</f>
        <v>7</v>
      </c>
      <c r="V3038" s="6" t="str">
        <f>IFERROR(__xludf.DUMMYFUNCTION("""COMPUTED_VALUE"""),"English")</f>
        <v>English</v>
      </c>
      <c r="W3038" s="6" t="str">
        <f>IFERROR(__xludf.DUMMYFUNCTION("""COMPUTED_VALUE"""),"[]")</f>
        <v>[]</v>
      </c>
      <c r="X3038" s="6" t="str">
        <f>IFERROR(__xludf.DUMMYFUNCTION("""COMPUTED_VALUE"""),"Enrolled")</f>
        <v>Enrolled</v>
      </c>
    </row>
    <row r="3039">
      <c r="A3039" s="6" t="str">
        <f>IFERROR(__xludf.DUMMYFUNCTION("""COMPUTED_VALUE"""),"064-5812")</f>
        <v>064-5812</v>
      </c>
      <c r="B3039" s="6" t="str">
        <f>IFERROR(__xludf.DUMMYFUNCTION("""COMPUTED_VALUE"""),"64")</f>
        <v>64</v>
      </c>
      <c r="C3039" s="6" t="str">
        <f>IFERROR(__xludf.DUMMYFUNCTION("""COMPUTED_VALUE"""),"5812")</f>
        <v>5812</v>
      </c>
      <c r="D3039" s="6" t="str">
        <f>IFERROR(__xludf.DUMMYFUNCTION("""COMPUTED_VALUE"""),"Carter J.")</f>
        <v>Carter J.</v>
      </c>
      <c r="E3039" s="6" t="str">
        <f>IFERROR(__xludf.DUMMYFUNCTION("""COMPUTED_VALUE"""),"")</f>
        <v/>
      </c>
      <c r="F3039" s="6" t="str">
        <f>IFERROR(__xludf.DUMMYFUNCTION("""COMPUTED_VALUE"""),"McClain")</f>
        <v>McClain</v>
      </c>
      <c r="G3039" s="6" t="str">
        <f>IFERROR(__xludf.DUMMYFUNCTION("""COMPUTED_VALUE"""),"05/20/2013")</f>
        <v>05/20/2013</v>
      </c>
      <c r="H3039" s="6" t="str">
        <f>IFERROR(__xludf.DUMMYFUNCTION("""COMPUTED_VALUE"""),"Self Identify")</f>
        <v>Self Identify</v>
      </c>
      <c r="I3039" s="6" t="str">
        <f>IFERROR(__xludf.DUMMYFUNCTION("""COMPUTED_VALUE"""),"Middle School")</f>
        <v>Middle School</v>
      </c>
      <c r="J3039" s="6" t="str">
        <f>IFERROR(__xludf.DUMMYFUNCTION("""COMPUTED_VALUE"""),"7")</f>
        <v>7</v>
      </c>
      <c r="K3039" s="6" t="str">
        <f>IFERROR(__xludf.DUMMYFUNCTION("""COMPUTED_VALUE"""),"carter_mcclain@stu.ortrail.k12.or.us")</f>
        <v>carter_mcclain@stu.ortrail.k12.or.us</v>
      </c>
      <c r="L3039" s="6" t="str">
        <f>IFERROR(__xludf.DUMMYFUNCTION("""COMPUTED_VALUE"""),"Oregon Trail School District 46")</f>
        <v>Oregon Trail School District 46</v>
      </c>
      <c r="M3039" s="6" t="str">
        <f>IFERROR(__xludf.DUMMYFUNCTION("""COMPUTED_VALUE"""),"Boring Middle School")</f>
        <v>Boring Middle School</v>
      </c>
      <c r="N3039" s="6" t="str">
        <f>IFERROR(__xludf.DUMMYFUNCTION("""COMPUTED_VALUE"""),"")</f>
        <v/>
      </c>
      <c r="O3039" s="87" t="str">
        <f>IFERROR(__xludf.DUMMYFUNCTION("""COMPUTED_VALUE"""),"https://drive.google.com/drive/folders/10T2cTQHqEJZqE-st6uFKPoI?usp=share_link")</f>
        <v>https://drive.google.com/drive/folders/10T2cTQHqEJZqE-st6uFKPoI?usp=share_link</v>
      </c>
      <c r="P3039" s="6" t="str">
        <f>IFERROR(__xludf.DUMMYFUNCTION("""COMPUTED_VALUE"""),"Carter J. McClain")</f>
        <v>Carter J. McClain</v>
      </c>
      <c r="Q3039" s="6" t="str">
        <f>IFERROR(__xludf.DUMMYFUNCTION("""COMPUTED_VALUE"""),"MS")</f>
        <v>MS</v>
      </c>
      <c r="R3039" s="6">
        <f>IFERROR(__xludf.DUMMYFUNCTION("""COMPUTED_VALUE"""),0.0)</f>
        <v>0</v>
      </c>
      <c r="S3039" s="6" t="str">
        <f>IFERROR(__xludf.DUMMYFUNCTION("""COMPUTED_VALUE"""),"David Beitler")</f>
        <v>David Beitler</v>
      </c>
      <c r="T3039" s="6" t="str">
        <f>IFERROR(__xludf.DUMMYFUNCTION("""COMPUTED_VALUE"""),"david.beitler@ortrail.k12.or.us")</f>
        <v>david.beitler@ortrail.k12.or.us</v>
      </c>
      <c r="U3039" s="6" t="str">
        <f>IFERROR(__xludf.DUMMYFUNCTION("""COMPUTED_VALUE"""),"7")</f>
        <v>7</v>
      </c>
      <c r="V3039" s="6" t="str">
        <f>IFERROR(__xludf.DUMMYFUNCTION("""COMPUTED_VALUE"""),"English")</f>
        <v>English</v>
      </c>
      <c r="W3039" s="6" t="str">
        <f>IFERROR(__xludf.DUMMYFUNCTION("""COMPUTED_VALUE"""),"[]")</f>
        <v>[]</v>
      </c>
      <c r="X3039" s="6" t="str">
        <f>IFERROR(__xludf.DUMMYFUNCTION("""COMPUTED_VALUE"""),"Enrolled")</f>
        <v>Enrolled</v>
      </c>
    </row>
    <row r="3040">
      <c r="A3040" s="6" t="str">
        <f>IFERROR(__xludf.DUMMYFUNCTION("""COMPUTED_VALUE"""),"064-5813")</f>
        <v>064-5813</v>
      </c>
      <c r="B3040" s="6" t="str">
        <f>IFERROR(__xludf.DUMMYFUNCTION("""COMPUTED_VALUE"""),"64")</f>
        <v>64</v>
      </c>
      <c r="C3040" s="6" t="str">
        <f>IFERROR(__xludf.DUMMYFUNCTION("""COMPUTED_VALUE"""),"5813")</f>
        <v>5813</v>
      </c>
      <c r="D3040" s="6" t="str">
        <f>IFERROR(__xludf.DUMMYFUNCTION("""COMPUTED_VALUE"""),"Elyana G.")</f>
        <v>Elyana G.</v>
      </c>
      <c r="E3040" s="6" t="str">
        <f>IFERROR(__xludf.DUMMYFUNCTION("""COMPUTED_VALUE"""),"")</f>
        <v/>
      </c>
      <c r="F3040" s="6" t="str">
        <f>IFERROR(__xludf.DUMMYFUNCTION("""COMPUTED_VALUE"""),"Molina")</f>
        <v>Molina</v>
      </c>
      <c r="G3040" s="6" t="str">
        <f>IFERROR(__xludf.DUMMYFUNCTION("""COMPUTED_VALUE"""),"01/07/2013")</f>
        <v>01/07/2013</v>
      </c>
      <c r="H3040" s="6" t="str">
        <f>IFERROR(__xludf.DUMMYFUNCTION("""COMPUTED_VALUE"""),"Self Identify")</f>
        <v>Self Identify</v>
      </c>
      <c r="I3040" s="6" t="str">
        <f>IFERROR(__xludf.DUMMYFUNCTION("""COMPUTED_VALUE"""),"Middle School")</f>
        <v>Middle School</v>
      </c>
      <c r="J3040" s="6" t="str">
        <f>IFERROR(__xludf.DUMMYFUNCTION("""COMPUTED_VALUE"""),"7")</f>
        <v>7</v>
      </c>
      <c r="K3040" s="6" t="str">
        <f>IFERROR(__xludf.DUMMYFUNCTION("""COMPUTED_VALUE"""),"elyana_molina@stu.ortrail.k12.or.us")</f>
        <v>elyana_molina@stu.ortrail.k12.or.us</v>
      </c>
      <c r="L3040" s="6" t="str">
        <f>IFERROR(__xludf.DUMMYFUNCTION("""COMPUTED_VALUE"""),"Oregon Trail School District 46")</f>
        <v>Oregon Trail School District 46</v>
      </c>
      <c r="M3040" s="6" t="str">
        <f>IFERROR(__xludf.DUMMYFUNCTION("""COMPUTED_VALUE"""),"Boring Middle School")</f>
        <v>Boring Middle School</v>
      </c>
      <c r="N3040" s="6" t="str">
        <f>IFERROR(__xludf.DUMMYFUNCTION("""COMPUTED_VALUE"""),"")</f>
        <v/>
      </c>
      <c r="O3040" s="87" t="str">
        <f>IFERROR(__xludf.DUMMYFUNCTION("""COMPUTED_VALUE"""),"https://drive.google.com/drive/folders/10T2cTQHqEJZqE-st6uFKPoI?usp=share_link")</f>
        <v>https://drive.google.com/drive/folders/10T2cTQHqEJZqE-st6uFKPoI?usp=share_link</v>
      </c>
      <c r="P3040" s="6" t="str">
        <f>IFERROR(__xludf.DUMMYFUNCTION("""COMPUTED_VALUE"""),"Elyana G. Molina")</f>
        <v>Elyana G. Molina</v>
      </c>
      <c r="Q3040" s="6" t="str">
        <f>IFERROR(__xludf.DUMMYFUNCTION("""COMPUTED_VALUE"""),"MS")</f>
        <v>MS</v>
      </c>
      <c r="R3040" s="6">
        <f>IFERROR(__xludf.DUMMYFUNCTION("""COMPUTED_VALUE"""),0.0)</f>
        <v>0</v>
      </c>
      <c r="S3040" s="6" t="str">
        <f>IFERROR(__xludf.DUMMYFUNCTION("""COMPUTED_VALUE"""),"David Beitler")</f>
        <v>David Beitler</v>
      </c>
      <c r="T3040" s="6" t="str">
        <f>IFERROR(__xludf.DUMMYFUNCTION("""COMPUTED_VALUE"""),"david.beitler@ortrail.k12.or.us")</f>
        <v>david.beitler@ortrail.k12.or.us</v>
      </c>
      <c r="U3040" s="6" t="str">
        <f>IFERROR(__xludf.DUMMYFUNCTION("""COMPUTED_VALUE"""),"7")</f>
        <v>7</v>
      </c>
      <c r="V3040" s="6" t="str">
        <f>IFERROR(__xludf.DUMMYFUNCTION("""COMPUTED_VALUE"""),"English")</f>
        <v>English</v>
      </c>
      <c r="W3040" s="6" t="str">
        <f>IFERROR(__xludf.DUMMYFUNCTION("""COMPUTED_VALUE"""),"[]")</f>
        <v>[]</v>
      </c>
      <c r="X3040" s="6" t="str">
        <f>IFERROR(__xludf.DUMMYFUNCTION("""COMPUTED_VALUE"""),"Enrolled")</f>
        <v>Enrolled</v>
      </c>
    </row>
    <row r="3041">
      <c r="A3041" s="6" t="str">
        <f>IFERROR(__xludf.DUMMYFUNCTION("""COMPUTED_VALUE"""),"064-5814")</f>
        <v>064-5814</v>
      </c>
      <c r="B3041" s="6" t="str">
        <f>IFERROR(__xludf.DUMMYFUNCTION("""COMPUTED_VALUE"""),"64")</f>
        <v>64</v>
      </c>
      <c r="C3041" s="6" t="str">
        <f>IFERROR(__xludf.DUMMYFUNCTION("""COMPUTED_VALUE"""),"5814")</f>
        <v>5814</v>
      </c>
      <c r="D3041" s="6" t="str">
        <f>IFERROR(__xludf.DUMMYFUNCTION("""COMPUTED_VALUE"""),"Samuel T.")</f>
        <v>Samuel T.</v>
      </c>
      <c r="E3041" s="6" t="str">
        <f>IFERROR(__xludf.DUMMYFUNCTION("""COMPUTED_VALUE"""),"")</f>
        <v/>
      </c>
      <c r="F3041" s="6" t="str">
        <f>IFERROR(__xludf.DUMMYFUNCTION("""COMPUTED_VALUE"""),"Nerpel")</f>
        <v>Nerpel</v>
      </c>
      <c r="G3041" s="6" t="str">
        <f>IFERROR(__xludf.DUMMYFUNCTION("""COMPUTED_VALUE"""),"01/16/2013")</f>
        <v>01/16/2013</v>
      </c>
      <c r="H3041" s="6" t="str">
        <f>IFERROR(__xludf.DUMMYFUNCTION("""COMPUTED_VALUE"""),"Self Identify")</f>
        <v>Self Identify</v>
      </c>
      <c r="I3041" s="6" t="str">
        <f>IFERROR(__xludf.DUMMYFUNCTION("""COMPUTED_VALUE"""),"Middle School")</f>
        <v>Middle School</v>
      </c>
      <c r="J3041" s="6" t="str">
        <f>IFERROR(__xludf.DUMMYFUNCTION("""COMPUTED_VALUE"""),"7")</f>
        <v>7</v>
      </c>
      <c r="K3041" s="6" t="str">
        <f>IFERROR(__xludf.DUMMYFUNCTION("""COMPUTED_VALUE"""),"sam_nerpel@stu.ortrail.k12.or.us")</f>
        <v>sam_nerpel@stu.ortrail.k12.or.us</v>
      </c>
      <c r="L3041" s="6" t="str">
        <f>IFERROR(__xludf.DUMMYFUNCTION("""COMPUTED_VALUE"""),"Oregon Trail School District 46")</f>
        <v>Oregon Trail School District 46</v>
      </c>
      <c r="M3041" s="6" t="str">
        <f>IFERROR(__xludf.DUMMYFUNCTION("""COMPUTED_VALUE"""),"Boring Middle School")</f>
        <v>Boring Middle School</v>
      </c>
      <c r="N3041" s="6" t="str">
        <f>IFERROR(__xludf.DUMMYFUNCTION("""COMPUTED_VALUE"""),"")</f>
        <v/>
      </c>
      <c r="O3041" s="87" t="str">
        <f>IFERROR(__xludf.DUMMYFUNCTION("""COMPUTED_VALUE"""),"https://drive.google.com/drive/folders/10T2cTQHqEJZqE-st6uFKPoI?usp=share_link")</f>
        <v>https://drive.google.com/drive/folders/10T2cTQHqEJZqE-st6uFKPoI?usp=share_link</v>
      </c>
      <c r="P3041" s="6" t="str">
        <f>IFERROR(__xludf.DUMMYFUNCTION("""COMPUTED_VALUE"""),"Samuel T. Nerpel")</f>
        <v>Samuel T. Nerpel</v>
      </c>
      <c r="Q3041" s="6" t="str">
        <f>IFERROR(__xludf.DUMMYFUNCTION("""COMPUTED_VALUE"""),"MS")</f>
        <v>MS</v>
      </c>
      <c r="R3041" s="6">
        <f>IFERROR(__xludf.DUMMYFUNCTION("""COMPUTED_VALUE"""),0.0)</f>
        <v>0</v>
      </c>
      <c r="S3041" s="6" t="str">
        <f>IFERROR(__xludf.DUMMYFUNCTION("""COMPUTED_VALUE"""),"David Beitler")</f>
        <v>David Beitler</v>
      </c>
      <c r="T3041" s="6" t="str">
        <f>IFERROR(__xludf.DUMMYFUNCTION("""COMPUTED_VALUE"""),"david.beitler@ortrail.k12.or.us")</f>
        <v>david.beitler@ortrail.k12.or.us</v>
      </c>
      <c r="U3041" s="6" t="str">
        <f>IFERROR(__xludf.DUMMYFUNCTION("""COMPUTED_VALUE"""),"7")</f>
        <v>7</v>
      </c>
      <c r="V3041" s="6" t="str">
        <f>IFERROR(__xludf.DUMMYFUNCTION("""COMPUTED_VALUE"""),"English")</f>
        <v>English</v>
      </c>
      <c r="W3041" s="6" t="str">
        <f>IFERROR(__xludf.DUMMYFUNCTION("""COMPUTED_VALUE"""),"[]")</f>
        <v>[]</v>
      </c>
      <c r="X3041" s="6" t="str">
        <f>IFERROR(__xludf.DUMMYFUNCTION("""COMPUTED_VALUE"""),"Enrolled")</f>
        <v>Enrolled</v>
      </c>
    </row>
    <row r="3042">
      <c r="A3042" s="6" t="str">
        <f>IFERROR(__xludf.DUMMYFUNCTION("""COMPUTED_VALUE"""),"064-5815")</f>
        <v>064-5815</v>
      </c>
      <c r="B3042" s="6" t="str">
        <f>IFERROR(__xludf.DUMMYFUNCTION("""COMPUTED_VALUE"""),"64")</f>
        <v>64</v>
      </c>
      <c r="C3042" s="6" t="str">
        <f>IFERROR(__xludf.DUMMYFUNCTION("""COMPUTED_VALUE"""),"5815")</f>
        <v>5815</v>
      </c>
      <c r="D3042" s="6" t="str">
        <f>IFERROR(__xludf.DUMMYFUNCTION("""COMPUTED_VALUE"""),"Elijah J.")</f>
        <v>Elijah J.</v>
      </c>
      <c r="E3042" s="6" t="str">
        <f>IFERROR(__xludf.DUMMYFUNCTION("""COMPUTED_VALUE"""),"")</f>
        <v/>
      </c>
      <c r="F3042" s="6" t="str">
        <f>IFERROR(__xludf.DUMMYFUNCTION("""COMPUTED_VALUE"""),"Pederson")</f>
        <v>Pederson</v>
      </c>
      <c r="G3042" s="6" t="str">
        <f>IFERROR(__xludf.DUMMYFUNCTION("""COMPUTED_VALUE"""),"07/02/2013")</f>
        <v>07/02/2013</v>
      </c>
      <c r="H3042" s="6" t="str">
        <f>IFERROR(__xludf.DUMMYFUNCTION("""COMPUTED_VALUE"""),"Self Identify")</f>
        <v>Self Identify</v>
      </c>
      <c r="I3042" s="6" t="str">
        <f>IFERROR(__xludf.DUMMYFUNCTION("""COMPUTED_VALUE"""),"Middle School")</f>
        <v>Middle School</v>
      </c>
      <c r="J3042" s="6" t="str">
        <f>IFERROR(__xludf.DUMMYFUNCTION("""COMPUTED_VALUE"""),"7")</f>
        <v>7</v>
      </c>
      <c r="K3042" s="6" t="str">
        <f>IFERROR(__xludf.DUMMYFUNCTION("""COMPUTED_VALUE"""),"elijah_pederson@stu.ortrail.k12.or.us")</f>
        <v>elijah_pederson@stu.ortrail.k12.or.us</v>
      </c>
      <c r="L3042" s="6" t="str">
        <f>IFERROR(__xludf.DUMMYFUNCTION("""COMPUTED_VALUE"""),"Oregon Trail School District 46")</f>
        <v>Oregon Trail School District 46</v>
      </c>
      <c r="M3042" s="6" t="str">
        <f>IFERROR(__xludf.DUMMYFUNCTION("""COMPUTED_VALUE"""),"Boring Middle School")</f>
        <v>Boring Middle School</v>
      </c>
      <c r="N3042" s="6" t="str">
        <f>IFERROR(__xludf.DUMMYFUNCTION("""COMPUTED_VALUE"""),"")</f>
        <v/>
      </c>
      <c r="O3042" s="87" t="str">
        <f>IFERROR(__xludf.DUMMYFUNCTION("""COMPUTED_VALUE"""),"https://drive.google.com/drive/folders/10T2cTQHqEJZqE-st6uFKPoI?usp=share_link")</f>
        <v>https://drive.google.com/drive/folders/10T2cTQHqEJZqE-st6uFKPoI?usp=share_link</v>
      </c>
      <c r="P3042" s="6" t="str">
        <f>IFERROR(__xludf.DUMMYFUNCTION("""COMPUTED_VALUE"""),"Elijah J. Pederson")</f>
        <v>Elijah J. Pederson</v>
      </c>
      <c r="Q3042" s="6" t="str">
        <f>IFERROR(__xludf.DUMMYFUNCTION("""COMPUTED_VALUE"""),"MS")</f>
        <v>MS</v>
      </c>
      <c r="R3042" s="6">
        <f>IFERROR(__xludf.DUMMYFUNCTION("""COMPUTED_VALUE"""),0.0)</f>
        <v>0</v>
      </c>
      <c r="S3042" s="6" t="str">
        <f>IFERROR(__xludf.DUMMYFUNCTION("""COMPUTED_VALUE"""),"David Beitler")</f>
        <v>David Beitler</v>
      </c>
      <c r="T3042" s="6" t="str">
        <f>IFERROR(__xludf.DUMMYFUNCTION("""COMPUTED_VALUE"""),"david.beitler@ortrail.k12.or.us")</f>
        <v>david.beitler@ortrail.k12.or.us</v>
      </c>
      <c r="U3042" s="6" t="str">
        <f>IFERROR(__xludf.DUMMYFUNCTION("""COMPUTED_VALUE"""),"7")</f>
        <v>7</v>
      </c>
      <c r="V3042" s="6" t="str">
        <f>IFERROR(__xludf.DUMMYFUNCTION("""COMPUTED_VALUE"""),"English")</f>
        <v>English</v>
      </c>
      <c r="W3042" s="6" t="str">
        <f>IFERROR(__xludf.DUMMYFUNCTION("""COMPUTED_VALUE"""),"[]")</f>
        <v>[]</v>
      </c>
      <c r="X3042" s="6" t="str">
        <f>IFERROR(__xludf.DUMMYFUNCTION("""COMPUTED_VALUE"""),"Enrolled")</f>
        <v>Enrolled</v>
      </c>
    </row>
    <row r="3043">
      <c r="A3043" s="6" t="str">
        <f>IFERROR(__xludf.DUMMYFUNCTION("""COMPUTED_VALUE"""),"064-5816")</f>
        <v>064-5816</v>
      </c>
      <c r="B3043" s="6" t="str">
        <f>IFERROR(__xludf.DUMMYFUNCTION("""COMPUTED_VALUE"""),"64")</f>
        <v>64</v>
      </c>
      <c r="C3043" s="6" t="str">
        <f>IFERROR(__xludf.DUMMYFUNCTION("""COMPUTED_VALUE"""),"5816")</f>
        <v>5816</v>
      </c>
      <c r="D3043" s="6" t="str">
        <f>IFERROR(__xludf.DUMMYFUNCTION("""COMPUTED_VALUE"""),"Keeley A.")</f>
        <v>Keeley A.</v>
      </c>
      <c r="E3043" s="6" t="str">
        <f>IFERROR(__xludf.DUMMYFUNCTION("""COMPUTED_VALUE"""),"")</f>
        <v/>
      </c>
      <c r="F3043" s="6" t="str">
        <f>IFERROR(__xludf.DUMMYFUNCTION("""COMPUTED_VALUE"""),"Perez")</f>
        <v>Perez</v>
      </c>
      <c r="G3043" s="6" t="str">
        <f>IFERROR(__xludf.DUMMYFUNCTION("""COMPUTED_VALUE"""),"01/28/2013")</f>
        <v>01/28/2013</v>
      </c>
      <c r="H3043" s="6" t="str">
        <f>IFERROR(__xludf.DUMMYFUNCTION("""COMPUTED_VALUE"""),"Self Identify")</f>
        <v>Self Identify</v>
      </c>
      <c r="I3043" s="6" t="str">
        <f>IFERROR(__xludf.DUMMYFUNCTION("""COMPUTED_VALUE"""),"Middle School")</f>
        <v>Middle School</v>
      </c>
      <c r="J3043" s="6" t="str">
        <f>IFERROR(__xludf.DUMMYFUNCTION("""COMPUTED_VALUE"""),"7")</f>
        <v>7</v>
      </c>
      <c r="K3043" s="6" t="str">
        <f>IFERROR(__xludf.DUMMYFUNCTION("""COMPUTED_VALUE"""),"keeley_perez@stu.ortrail.k12.or.us")</f>
        <v>keeley_perez@stu.ortrail.k12.or.us</v>
      </c>
      <c r="L3043" s="6" t="str">
        <f>IFERROR(__xludf.DUMMYFUNCTION("""COMPUTED_VALUE"""),"Oregon Trail School District 46")</f>
        <v>Oregon Trail School District 46</v>
      </c>
      <c r="M3043" s="6" t="str">
        <f>IFERROR(__xludf.DUMMYFUNCTION("""COMPUTED_VALUE"""),"Boring Middle School")</f>
        <v>Boring Middle School</v>
      </c>
      <c r="N3043" s="6" t="str">
        <f>IFERROR(__xludf.DUMMYFUNCTION("""COMPUTED_VALUE"""),"")</f>
        <v/>
      </c>
      <c r="O3043" s="87" t="str">
        <f>IFERROR(__xludf.DUMMYFUNCTION("""COMPUTED_VALUE"""),"https://drive.google.com/drive/folders/10T2cTQHqEJZqE-st6uFKPoI?usp=share_link")</f>
        <v>https://drive.google.com/drive/folders/10T2cTQHqEJZqE-st6uFKPoI?usp=share_link</v>
      </c>
      <c r="P3043" s="6" t="str">
        <f>IFERROR(__xludf.DUMMYFUNCTION("""COMPUTED_VALUE"""),"Keeley A. Perez")</f>
        <v>Keeley A. Perez</v>
      </c>
      <c r="Q3043" s="6" t="str">
        <f>IFERROR(__xludf.DUMMYFUNCTION("""COMPUTED_VALUE"""),"MS")</f>
        <v>MS</v>
      </c>
      <c r="R3043" s="6">
        <f>IFERROR(__xludf.DUMMYFUNCTION("""COMPUTED_VALUE"""),0.0)</f>
        <v>0</v>
      </c>
      <c r="S3043" s="6" t="str">
        <f>IFERROR(__xludf.DUMMYFUNCTION("""COMPUTED_VALUE"""),"David Beitler")</f>
        <v>David Beitler</v>
      </c>
      <c r="T3043" s="6" t="str">
        <f>IFERROR(__xludf.DUMMYFUNCTION("""COMPUTED_VALUE"""),"david.beitler@ortrail.k12.or.us")</f>
        <v>david.beitler@ortrail.k12.or.us</v>
      </c>
      <c r="U3043" s="6" t="str">
        <f>IFERROR(__xludf.DUMMYFUNCTION("""COMPUTED_VALUE"""),"7")</f>
        <v>7</v>
      </c>
      <c r="V3043" s="6" t="str">
        <f>IFERROR(__xludf.DUMMYFUNCTION("""COMPUTED_VALUE"""),"English")</f>
        <v>English</v>
      </c>
      <c r="W3043" s="6" t="str">
        <f>IFERROR(__xludf.DUMMYFUNCTION("""COMPUTED_VALUE"""),"[]")</f>
        <v>[]</v>
      </c>
      <c r="X3043" s="6" t="str">
        <f>IFERROR(__xludf.DUMMYFUNCTION("""COMPUTED_VALUE"""),"Enrolled")</f>
        <v>Enrolled</v>
      </c>
    </row>
    <row r="3044">
      <c r="A3044" s="6" t="str">
        <f>IFERROR(__xludf.DUMMYFUNCTION("""COMPUTED_VALUE"""),"064-5817")</f>
        <v>064-5817</v>
      </c>
      <c r="B3044" s="6" t="str">
        <f>IFERROR(__xludf.DUMMYFUNCTION("""COMPUTED_VALUE"""),"64")</f>
        <v>64</v>
      </c>
      <c r="C3044" s="6" t="str">
        <f>IFERROR(__xludf.DUMMYFUNCTION("""COMPUTED_VALUE"""),"5817")</f>
        <v>5817</v>
      </c>
      <c r="D3044" s="6" t="str">
        <f>IFERROR(__xludf.DUMMYFUNCTION("""COMPUTED_VALUE"""),"Yara L.")</f>
        <v>Yara L.</v>
      </c>
      <c r="E3044" s="6" t="str">
        <f>IFERROR(__xludf.DUMMYFUNCTION("""COMPUTED_VALUE"""),"")</f>
        <v/>
      </c>
      <c r="F3044" s="6" t="str">
        <f>IFERROR(__xludf.DUMMYFUNCTION("""COMPUTED_VALUE"""),"Saucedo")</f>
        <v>Saucedo</v>
      </c>
      <c r="G3044" s="6" t="str">
        <f>IFERROR(__xludf.DUMMYFUNCTION("""COMPUTED_VALUE"""),"12/22/2012")</f>
        <v>12/22/2012</v>
      </c>
      <c r="H3044" s="6" t="str">
        <f>IFERROR(__xludf.DUMMYFUNCTION("""COMPUTED_VALUE"""),"Self Identify")</f>
        <v>Self Identify</v>
      </c>
      <c r="I3044" s="6" t="str">
        <f>IFERROR(__xludf.DUMMYFUNCTION("""COMPUTED_VALUE"""),"Middle School")</f>
        <v>Middle School</v>
      </c>
      <c r="J3044" s="6" t="str">
        <f>IFERROR(__xludf.DUMMYFUNCTION("""COMPUTED_VALUE"""),"7")</f>
        <v>7</v>
      </c>
      <c r="K3044" s="6" t="str">
        <f>IFERROR(__xludf.DUMMYFUNCTION("""COMPUTED_VALUE"""),"yara_saucedo@stu.ortrail.k12.or.us")</f>
        <v>yara_saucedo@stu.ortrail.k12.or.us</v>
      </c>
      <c r="L3044" s="6" t="str">
        <f>IFERROR(__xludf.DUMMYFUNCTION("""COMPUTED_VALUE"""),"Oregon Trail School District 46")</f>
        <v>Oregon Trail School District 46</v>
      </c>
      <c r="M3044" s="6" t="str">
        <f>IFERROR(__xludf.DUMMYFUNCTION("""COMPUTED_VALUE"""),"Boring Middle School")</f>
        <v>Boring Middle School</v>
      </c>
      <c r="N3044" s="6" t="str">
        <f>IFERROR(__xludf.DUMMYFUNCTION("""COMPUTED_VALUE"""),"")</f>
        <v/>
      </c>
      <c r="O3044" s="87" t="str">
        <f>IFERROR(__xludf.DUMMYFUNCTION("""COMPUTED_VALUE"""),"https://drive.google.com/drive/folders/10T2cTQHqEJZqE-st6uFKPoI?usp=share_link")</f>
        <v>https://drive.google.com/drive/folders/10T2cTQHqEJZqE-st6uFKPoI?usp=share_link</v>
      </c>
      <c r="P3044" s="6" t="str">
        <f>IFERROR(__xludf.DUMMYFUNCTION("""COMPUTED_VALUE"""),"Yara L. Saucedo")</f>
        <v>Yara L. Saucedo</v>
      </c>
      <c r="Q3044" s="6" t="str">
        <f>IFERROR(__xludf.DUMMYFUNCTION("""COMPUTED_VALUE"""),"MS")</f>
        <v>MS</v>
      </c>
      <c r="R3044" s="6">
        <f>IFERROR(__xludf.DUMMYFUNCTION("""COMPUTED_VALUE"""),0.0)</f>
        <v>0</v>
      </c>
      <c r="S3044" s="6" t="str">
        <f>IFERROR(__xludf.DUMMYFUNCTION("""COMPUTED_VALUE"""),"David Beitler")</f>
        <v>David Beitler</v>
      </c>
      <c r="T3044" s="6" t="str">
        <f>IFERROR(__xludf.DUMMYFUNCTION("""COMPUTED_VALUE"""),"david.beitler@ortrail.k12.or.us")</f>
        <v>david.beitler@ortrail.k12.or.us</v>
      </c>
      <c r="U3044" s="6" t="str">
        <f>IFERROR(__xludf.DUMMYFUNCTION("""COMPUTED_VALUE"""),"7")</f>
        <v>7</v>
      </c>
      <c r="V3044" s="6" t="str">
        <f>IFERROR(__xludf.DUMMYFUNCTION("""COMPUTED_VALUE"""),"English")</f>
        <v>English</v>
      </c>
      <c r="W3044" s="6" t="str">
        <f>IFERROR(__xludf.DUMMYFUNCTION("""COMPUTED_VALUE"""),"[]")</f>
        <v>[]</v>
      </c>
      <c r="X3044" s="6" t="str">
        <f>IFERROR(__xludf.DUMMYFUNCTION("""COMPUTED_VALUE"""),"Enrolled")</f>
        <v>Enrolled</v>
      </c>
    </row>
    <row r="3045">
      <c r="A3045" s="6" t="str">
        <f>IFERROR(__xludf.DUMMYFUNCTION("""COMPUTED_VALUE"""),"064-5818")</f>
        <v>064-5818</v>
      </c>
      <c r="B3045" s="6" t="str">
        <f>IFERROR(__xludf.DUMMYFUNCTION("""COMPUTED_VALUE"""),"64")</f>
        <v>64</v>
      </c>
      <c r="C3045" s="6" t="str">
        <f>IFERROR(__xludf.DUMMYFUNCTION("""COMPUTED_VALUE"""),"5818")</f>
        <v>5818</v>
      </c>
      <c r="D3045" s="6" t="str">
        <f>IFERROR(__xludf.DUMMYFUNCTION("""COMPUTED_VALUE"""),"Ava F.")</f>
        <v>Ava F.</v>
      </c>
      <c r="E3045" s="6" t="str">
        <f>IFERROR(__xludf.DUMMYFUNCTION("""COMPUTED_VALUE"""),"")</f>
        <v/>
      </c>
      <c r="F3045" s="6" t="str">
        <f>IFERROR(__xludf.DUMMYFUNCTION("""COMPUTED_VALUE"""),"Traxler")</f>
        <v>Traxler</v>
      </c>
      <c r="G3045" s="6" t="str">
        <f>IFERROR(__xludf.DUMMYFUNCTION("""COMPUTED_VALUE"""),"06/25/2013")</f>
        <v>06/25/2013</v>
      </c>
      <c r="H3045" s="6" t="str">
        <f>IFERROR(__xludf.DUMMYFUNCTION("""COMPUTED_VALUE"""),"Self Identify")</f>
        <v>Self Identify</v>
      </c>
      <c r="I3045" s="6" t="str">
        <f>IFERROR(__xludf.DUMMYFUNCTION("""COMPUTED_VALUE"""),"Middle School")</f>
        <v>Middle School</v>
      </c>
      <c r="J3045" s="6" t="str">
        <f>IFERROR(__xludf.DUMMYFUNCTION("""COMPUTED_VALUE"""),"7")</f>
        <v>7</v>
      </c>
      <c r="K3045" s="6" t="str">
        <f>IFERROR(__xludf.DUMMYFUNCTION("""COMPUTED_VALUE"""),"ava_traxler@stu.ortrail.k12.or.us")</f>
        <v>ava_traxler@stu.ortrail.k12.or.us</v>
      </c>
      <c r="L3045" s="6" t="str">
        <f>IFERROR(__xludf.DUMMYFUNCTION("""COMPUTED_VALUE"""),"Oregon Trail School District 46")</f>
        <v>Oregon Trail School District 46</v>
      </c>
      <c r="M3045" s="6" t="str">
        <f>IFERROR(__xludf.DUMMYFUNCTION("""COMPUTED_VALUE"""),"Boring Middle School")</f>
        <v>Boring Middle School</v>
      </c>
      <c r="N3045" s="6" t="str">
        <f>IFERROR(__xludf.DUMMYFUNCTION("""COMPUTED_VALUE"""),"")</f>
        <v/>
      </c>
      <c r="O3045" s="87" t="str">
        <f>IFERROR(__xludf.DUMMYFUNCTION("""COMPUTED_VALUE"""),"https://drive.google.com/drive/folders/10T2cTQHqEJZqE-st6uFKPoI?usp=share_link")</f>
        <v>https://drive.google.com/drive/folders/10T2cTQHqEJZqE-st6uFKPoI?usp=share_link</v>
      </c>
      <c r="P3045" s="6" t="str">
        <f>IFERROR(__xludf.DUMMYFUNCTION("""COMPUTED_VALUE"""),"Ava F. Traxler")</f>
        <v>Ava F. Traxler</v>
      </c>
      <c r="Q3045" s="6" t="str">
        <f>IFERROR(__xludf.DUMMYFUNCTION("""COMPUTED_VALUE"""),"MS")</f>
        <v>MS</v>
      </c>
      <c r="R3045" s="6">
        <f>IFERROR(__xludf.DUMMYFUNCTION("""COMPUTED_VALUE"""),0.0)</f>
        <v>0</v>
      </c>
      <c r="S3045" s="6" t="str">
        <f>IFERROR(__xludf.DUMMYFUNCTION("""COMPUTED_VALUE"""),"David Beitler")</f>
        <v>David Beitler</v>
      </c>
      <c r="T3045" s="6" t="str">
        <f>IFERROR(__xludf.DUMMYFUNCTION("""COMPUTED_VALUE"""),"david.beitler@ortrail.k12.or.us")</f>
        <v>david.beitler@ortrail.k12.or.us</v>
      </c>
      <c r="U3045" s="6" t="str">
        <f>IFERROR(__xludf.DUMMYFUNCTION("""COMPUTED_VALUE"""),"7")</f>
        <v>7</v>
      </c>
      <c r="V3045" s="6" t="str">
        <f>IFERROR(__xludf.DUMMYFUNCTION("""COMPUTED_VALUE"""),"English")</f>
        <v>English</v>
      </c>
      <c r="W3045" s="6" t="str">
        <f>IFERROR(__xludf.DUMMYFUNCTION("""COMPUTED_VALUE"""),"[]")</f>
        <v>[]</v>
      </c>
      <c r="X3045" s="6" t="str">
        <f>IFERROR(__xludf.DUMMYFUNCTION("""COMPUTED_VALUE"""),"Enrolled")</f>
        <v>Enrolled</v>
      </c>
    </row>
    <row r="3046">
      <c r="A3046" s="6" t="str">
        <f>IFERROR(__xludf.DUMMYFUNCTION("""COMPUTED_VALUE"""),"064-5820")</f>
        <v>064-5820</v>
      </c>
      <c r="B3046" s="6" t="str">
        <f>IFERROR(__xludf.DUMMYFUNCTION("""COMPUTED_VALUE"""),"64")</f>
        <v>64</v>
      </c>
      <c r="C3046" s="6" t="str">
        <f>IFERROR(__xludf.DUMMYFUNCTION("""COMPUTED_VALUE"""),"5820")</f>
        <v>5820</v>
      </c>
      <c r="D3046" s="6" t="str">
        <f>IFERROR(__xludf.DUMMYFUNCTION("""COMPUTED_VALUE"""),"Gage")</f>
        <v>Gage</v>
      </c>
      <c r="E3046" s="6" t="str">
        <f>IFERROR(__xludf.DUMMYFUNCTION("""COMPUTED_VALUE"""),"")</f>
        <v/>
      </c>
      <c r="F3046" s="6" t="str">
        <f>IFERROR(__xludf.DUMMYFUNCTION("""COMPUTED_VALUE"""),"Howard")</f>
        <v>Howard</v>
      </c>
      <c r="G3046" s="6" t="str">
        <f>IFERROR(__xludf.DUMMYFUNCTION("""COMPUTED_VALUE"""),"01/20/2012")</f>
        <v>01/20/2012</v>
      </c>
      <c r="H3046" s="6" t="str">
        <f>IFERROR(__xludf.DUMMYFUNCTION("""COMPUTED_VALUE"""),"M")</f>
        <v>M</v>
      </c>
      <c r="I3046" s="6" t="str">
        <f>IFERROR(__xludf.DUMMYFUNCTION("""COMPUTED_VALUE"""),"Middle School")</f>
        <v>Middle School</v>
      </c>
      <c r="J3046" s="6" t="str">
        <f>IFERROR(__xludf.DUMMYFUNCTION("""COMPUTED_VALUE"""),"8")</f>
        <v>8</v>
      </c>
      <c r="K3046" s="6" t="str">
        <f>IFERROR(__xludf.DUMMYFUNCTION("""COMPUTED_VALUE"""),"gage_howard@stu.ortrail.k12.or.us")</f>
        <v>gage_howard@stu.ortrail.k12.or.us</v>
      </c>
      <c r="L3046" s="6" t="str">
        <f>IFERROR(__xludf.DUMMYFUNCTION("""COMPUTED_VALUE"""),"Oregon Trail School District 46")</f>
        <v>Oregon Trail School District 46</v>
      </c>
      <c r="M3046" s="6" t="str">
        <f>IFERROR(__xludf.DUMMYFUNCTION("""COMPUTED_VALUE"""),"")</f>
        <v/>
      </c>
      <c r="N3046" s="6" t="str">
        <f>IFERROR(__xludf.DUMMYFUNCTION("""COMPUTED_VALUE"""),"")</f>
        <v/>
      </c>
      <c r="O3046" s="87" t="str">
        <f>IFERROR(__xludf.DUMMYFUNCTION("""COMPUTED_VALUE"""),"https://drive.google.com/drive/folders/10T2cTQHqEJZqE-st6uFKPoI?usp=share_link")</f>
        <v>https://drive.google.com/drive/folders/10T2cTQHqEJZqE-st6uFKPoI?usp=share_link</v>
      </c>
      <c r="P3046" s="6" t="str">
        <f>IFERROR(__xludf.DUMMYFUNCTION("""COMPUTED_VALUE"""),"Gage Howard")</f>
        <v>Gage Howard</v>
      </c>
      <c r="Q3046" s="6" t="str">
        <f>IFERROR(__xludf.DUMMYFUNCTION("""COMPUTED_VALUE"""),"MS")</f>
        <v>MS</v>
      </c>
      <c r="R3046" s="6">
        <f>IFERROR(__xludf.DUMMYFUNCTION("""COMPUTED_VALUE"""),0.0)</f>
        <v>0</v>
      </c>
      <c r="S3046" s="6" t="str">
        <f>IFERROR(__xludf.DUMMYFUNCTION("""COMPUTED_VALUE"""),"Genevra Self")</f>
        <v>Genevra Self</v>
      </c>
      <c r="T3046" s="6" t="str">
        <f>IFERROR(__xludf.DUMMYFUNCTION("""COMPUTED_VALUE"""),"genevra.self@studient.com")</f>
        <v>genevra.self@studient.com</v>
      </c>
      <c r="U3046" s="6" t="str">
        <f>IFERROR(__xludf.DUMMYFUNCTION("""COMPUTED_VALUE"""),"8")</f>
        <v>8</v>
      </c>
      <c r="V3046" s="6" t="str">
        <f>IFERROR(__xludf.DUMMYFUNCTION("""COMPUTED_VALUE"""),"English")</f>
        <v>English</v>
      </c>
      <c r="W3046" s="6" t="str">
        <f>IFERROR(__xludf.DUMMYFUNCTION("""COMPUTED_VALUE"""),"[]")</f>
        <v>[]</v>
      </c>
      <c r="X3046" s="6" t="str">
        <f>IFERROR(__xludf.DUMMYFUNCTION("""COMPUTED_VALUE"""),"Enrolled")</f>
        <v>Enrolled</v>
      </c>
    </row>
    <row r="3047">
      <c r="A3047" s="6" t="str">
        <f>IFERROR(__xludf.DUMMYFUNCTION("""COMPUTED_VALUE"""),"064-5822")</f>
        <v>064-5822</v>
      </c>
      <c r="B3047" s="6" t="str">
        <f>IFERROR(__xludf.DUMMYFUNCTION("""COMPUTED_VALUE"""),"64")</f>
        <v>64</v>
      </c>
      <c r="C3047" s="6" t="str">
        <f>IFERROR(__xludf.DUMMYFUNCTION("""COMPUTED_VALUE"""),"5822")</f>
        <v>5822</v>
      </c>
      <c r="D3047" s="6" t="str">
        <f>IFERROR(__xludf.DUMMYFUNCTION("""COMPUTED_VALUE"""),"Avree")</f>
        <v>Avree</v>
      </c>
      <c r="E3047" s="6" t="str">
        <f>IFERROR(__xludf.DUMMYFUNCTION("""COMPUTED_VALUE"""),"")</f>
        <v/>
      </c>
      <c r="F3047" s="6" t="str">
        <f>IFERROR(__xludf.DUMMYFUNCTION("""COMPUTED_VALUE"""),"LePley-McElheran")</f>
        <v>LePley-McElheran</v>
      </c>
      <c r="G3047" s="6" t="str">
        <f>IFERROR(__xludf.DUMMYFUNCTION("""COMPUTED_VALUE"""),"07/16/2012")</f>
        <v>07/16/2012</v>
      </c>
      <c r="H3047" s="6" t="str">
        <f>IFERROR(__xludf.DUMMYFUNCTION("""COMPUTED_VALUE"""),"Self Identify")</f>
        <v>Self Identify</v>
      </c>
      <c r="I3047" s="6" t="str">
        <f>IFERROR(__xludf.DUMMYFUNCTION("""COMPUTED_VALUE"""),"Middle School")</f>
        <v>Middle School</v>
      </c>
      <c r="J3047" s="6" t="str">
        <f>IFERROR(__xludf.DUMMYFUNCTION("""COMPUTED_VALUE"""),"8")</f>
        <v>8</v>
      </c>
      <c r="K3047" s="6" t="str">
        <f>IFERROR(__xludf.DUMMYFUNCTION("""COMPUTED_VALUE"""),"avree_lepleymcelhera@stu.ortrail.k12.or.us")</f>
        <v>avree_lepleymcelhera@stu.ortrail.k12.or.us</v>
      </c>
      <c r="L3047" s="6" t="str">
        <f>IFERROR(__xludf.DUMMYFUNCTION("""COMPUTED_VALUE"""),"Oregon Trail School District 46")</f>
        <v>Oregon Trail School District 46</v>
      </c>
      <c r="M3047" s="6" t="str">
        <f>IFERROR(__xludf.DUMMYFUNCTION("""COMPUTED_VALUE"""),"Cedar Ridge Middle School")</f>
        <v>Cedar Ridge Middle School</v>
      </c>
      <c r="N3047" s="6" t="str">
        <f>IFERROR(__xludf.DUMMYFUNCTION("""COMPUTED_VALUE"""),"")</f>
        <v/>
      </c>
      <c r="O3047" s="87" t="str">
        <f>IFERROR(__xludf.DUMMYFUNCTION("""COMPUTED_VALUE"""),"https://drive.google.com/drive/folders/10T2cTQHqEJZqE-st6uFKPoI?usp=share_link")</f>
        <v>https://drive.google.com/drive/folders/10T2cTQHqEJZqE-st6uFKPoI?usp=share_link</v>
      </c>
      <c r="P3047" s="6" t="str">
        <f>IFERROR(__xludf.DUMMYFUNCTION("""COMPUTED_VALUE"""),"Avree LePley-McElheran")</f>
        <v>Avree LePley-McElheran</v>
      </c>
      <c r="Q3047" s="6" t="str">
        <f>IFERROR(__xludf.DUMMYFUNCTION("""COMPUTED_VALUE"""),"MS")</f>
        <v>MS</v>
      </c>
      <c r="R3047" s="6">
        <f>IFERROR(__xludf.DUMMYFUNCTION("""COMPUTED_VALUE"""),0.0)</f>
        <v>0</v>
      </c>
      <c r="S3047" s="6" t="str">
        <f>IFERROR(__xludf.DUMMYFUNCTION("""COMPUTED_VALUE"""),"Jennifer Gross")</f>
        <v>Jennifer Gross</v>
      </c>
      <c r="T3047" s="6" t="str">
        <f>IFERROR(__xludf.DUMMYFUNCTION("""COMPUTED_VALUE"""),"jenifer.gross@ortrail.k12.or.us")</f>
        <v>jenifer.gross@ortrail.k12.or.us</v>
      </c>
      <c r="U3047" s="6" t="str">
        <f>IFERROR(__xludf.DUMMYFUNCTION("""COMPUTED_VALUE"""),"8")</f>
        <v>8</v>
      </c>
      <c r="V3047" s="6" t="str">
        <f>IFERROR(__xludf.DUMMYFUNCTION("""COMPUTED_VALUE"""),"English")</f>
        <v>English</v>
      </c>
      <c r="W3047" s="6" t="str">
        <f>IFERROR(__xludf.DUMMYFUNCTION("""COMPUTED_VALUE"""),"[]")</f>
        <v>[]</v>
      </c>
      <c r="X3047" s="6" t="str">
        <f>IFERROR(__xludf.DUMMYFUNCTION("""COMPUTED_VALUE"""),"Enrolled")</f>
        <v>Enrolled</v>
      </c>
    </row>
    <row r="3048">
      <c r="A3048" s="6" t="str">
        <f>IFERROR(__xludf.DUMMYFUNCTION("""COMPUTED_VALUE"""),"064-5823")</f>
        <v>064-5823</v>
      </c>
      <c r="B3048" s="6" t="str">
        <f>IFERROR(__xludf.DUMMYFUNCTION("""COMPUTED_VALUE"""),"64")</f>
        <v>64</v>
      </c>
      <c r="C3048" s="6" t="str">
        <f>IFERROR(__xludf.DUMMYFUNCTION("""COMPUTED_VALUE"""),"5823")</f>
        <v>5823</v>
      </c>
      <c r="D3048" s="6" t="str">
        <f>IFERROR(__xludf.DUMMYFUNCTION("""COMPUTED_VALUE"""),"Sabastian")</f>
        <v>Sabastian</v>
      </c>
      <c r="E3048" s="6" t="str">
        <f>IFERROR(__xludf.DUMMYFUNCTION("""COMPUTED_VALUE"""),"")</f>
        <v/>
      </c>
      <c r="F3048" s="6" t="str">
        <f>IFERROR(__xludf.DUMMYFUNCTION("""COMPUTED_VALUE"""),"Martin")</f>
        <v>Martin</v>
      </c>
      <c r="G3048" s="6" t="str">
        <f>IFERROR(__xludf.DUMMYFUNCTION("""COMPUTED_VALUE"""),"03/26/2012")</f>
        <v>03/26/2012</v>
      </c>
      <c r="H3048" s="6" t="str">
        <f>IFERROR(__xludf.DUMMYFUNCTION("""COMPUTED_VALUE"""),"M")</f>
        <v>M</v>
      </c>
      <c r="I3048" s="6" t="str">
        <f>IFERROR(__xludf.DUMMYFUNCTION("""COMPUTED_VALUE"""),"Middle School")</f>
        <v>Middle School</v>
      </c>
      <c r="J3048" s="6" t="str">
        <f>IFERROR(__xludf.DUMMYFUNCTION("""COMPUTED_VALUE"""),"8")</f>
        <v>8</v>
      </c>
      <c r="K3048" s="6" t="str">
        <f>IFERROR(__xludf.DUMMYFUNCTION("""COMPUTED_VALUE"""),"bash_martin@stu.ortrail.k12.or.us")</f>
        <v>bash_martin@stu.ortrail.k12.or.us</v>
      </c>
      <c r="L3048" s="6" t="str">
        <f>IFERROR(__xludf.DUMMYFUNCTION("""COMPUTED_VALUE"""),"Oregon Trail School District 46")</f>
        <v>Oregon Trail School District 46</v>
      </c>
      <c r="M3048" s="6" t="str">
        <f>IFERROR(__xludf.DUMMYFUNCTION("""COMPUTED_VALUE"""),"")</f>
        <v/>
      </c>
      <c r="N3048" s="6" t="str">
        <f>IFERROR(__xludf.DUMMYFUNCTION("""COMPUTED_VALUE"""),"")</f>
        <v/>
      </c>
      <c r="O3048" s="87" t="str">
        <f>IFERROR(__xludf.DUMMYFUNCTION("""COMPUTED_VALUE"""),"https://drive.google.com/drive/folders/10T2cTQHqEJZqE-st6uFKPoI?usp=share_link")</f>
        <v>https://drive.google.com/drive/folders/10T2cTQHqEJZqE-st6uFKPoI?usp=share_link</v>
      </c>
      <c r="P3048" s="6" t="str">
        <f>IFERROR(__xludf.DUMMYFUNCTION("""COMPUTED_VALUE"""),"Sabastian Martin")</f>
        <v>Sabastian Martin</v>
      </c>
      <c r="Q3048" s="6" t="str">
        <f>IFERROR(__xludf.DUMMYFUNCTION("""COMPUTED_VALUE"""),"MS")</f>
        <v>MS</v>
      </c>
      <c r="R3048" s="6">
        <f>IFERROR(__xludf.DUMMYFUNCTION("""COMPUTED_VALUE"""),0.0)</f>
        <v>0</v>
      </c>
      <c r="S3048" s="6" t="str">
        <f>IFERROR(__xludf.DUMMYFUNCTION("""COMPUTED_VALUE"""),"Genevra Self")</f>
        <v>Genevra Self</v>
      </c>
      <c r="T3048" s="6" t="str">
        <f>IFERROR(__xludf.DUMMYFUNCTION("""COMPUTED_VALUE"""),"genevra.self@studient.com")</f>
        <v>genevra.self@studient.com</v>
      </c>
      <c r="U3048" s="6" t="str">
        <f>IFERROR(__xludf.DUMMYFUNCTION("""COMPUTED_VALUE"""),"8")</f>
        <v>8</v>
      </c>
      <c r="V3048" s="6" t="str">
        <f>IFERROR(__xludf.DUMMYFUNCTION("""COMPUTED_VALUE"""),"English")</f>
        <v>English</v>
      </c>
      <c r="W3048" s="6" t="str">
        <f>IFERROR(__xludf.DUMMYFUNCTION("""COMPUTED_VALUE"""),"[]")</f>
        <v>[]</v>
      </c>
      <c r="X3048" s="6" t="str">
        <f>IFERROR(__xludf.DUMMYFUNCTION("""COMPUTED_VALUE"""),"Enrolled")</f>
        <v>Enrolled</v>
      </c>
    </row>
    <row r="3049">
      <c r="A3049" s="6" t="str">
        <f>IFERROR(__xludf.DUMMYFUNCTION("""COMPUTED_VALUE"""),"064-5824")</f>
        <v>064-5824</v>
      </c>
      <c r="B3049" s="6" t="str">
        <f>IFERROR(__xludf.DUMMYFUNCTION("""COMPUTED_VALUE"""),"64")</f>
        <v>64</v>
      </c>
      <c r="C3049" s="6" t="str">
        <f>IFERROR(__xludf.DUMMYFUNCTION("""COMPUTED_VALUE"""),"5824")</f>
        <v>5824</v>
      </c>
      <c r="D3049" s="6" t="str">
        <f>IFERROR(__xludf.DUMMYFUNCTION("""COMPUTED_VALUE"""),"McCarville")</f>
        <v>McCarville</v>
      </c>
      <c r="E3049" s="6" t="str">
        <f>IFERROR(__xludf.DUMMYFUNCTION("""COMPUTED_VALUE"""),"")</f>
        <v/>
      </c>
      <c r="F3049" s="6" t="str">
        <f>IFERROR(__xludf.DUMMYFUNCTION("""COMPUTED_VALUE"""),"Max")</f>
        <v>Max</v>
      </c>
      <c r="G3049" s="6" t="str">
        <f>IFERROR(__xludf.DUMMYFUNCTION("""COMPUTED_VALUE"""),"07/29/2014")</f>
        <v>07/29/2014</v>
      </c>
      <c r="H3049" s="6" t="str">
        <f>IFERROR(__xludf.DUMMYFUNCTION("""COMPUTED_VALUE"""),"Self Identify")</f>
        <v>Self Identify</v>
      </c>
      <c r="I3049" s="6" t="str">
        <f>IFERROR(__xludf.DUMMYFUNCTION("""COMPUTED_VALUE"""),"Middle School")</f>
        <v>Middle School</v>
      </c>
      <c r="J3049" s="6" t="str">
        <f>IFERROR(__xludf.DUMMYFUNCTION("""COMPUTED_VALUE"""),"6")</f>
        <v>6</v>
      </c>
      <c r="K3049" s="6" t="str">
        <f>IFERROR(__xludf.DUMMYFUNCTION("""COMPUTED_VALUE"""),"max_mccarville@stu.ortrail.k12.or.us")</f>
        <v>max_mccarville@stu.ortrail.k12.or.us</v>
      </c>
      <c r="L3049" s="6" t="str">
        <f>IFERROR(__xludf.DUMMYFUNCTION("""COMPUTED_VALUE"""),"Oregon Trail School District 46")</f>
        <v>Oregon Trail School District 46</v>
      </c>
      <c r="M3049" s="6" t="str">
        <f>IFERROR(__xludf.DUMMYFUNCTION("""COMPUTED_VALUE"""),"Cedar Ridge Middle School")</f>
        <v>Cedar Ridge Middle School</v>
      </c>
      <c r="N3049" s="6" t="str">
        <f>IFERROR(__xludf.DUMMYFUNCTION("""COMPUTED_VALUE"""),"")</f>
        <v/>
      </c>
      <c r="O3049" s="87" t="str">
        <f>IFERROR(__xludf.DUMMYFUNCTION("""COMPUTED_VALUE"""),"https://drive.google.com/drive/folders/10T2cTQHqEJZqE-st6uFKPoI?usp=share_link")</f>
        <v>https://drive.google.com/drive/folders/10T2cTQHqEJZqE-st6uFKPoI?usp=share_link</v>
      </c>
      <c r="P3049" s="6" t="str">
        <f>IFERROR(__xludf.DUMMYFUNCTION("""COMPUTED_VALUE"""),"McCarville Max")</f>
        <v>McCarville Max</v>
      </c>
      <c r="Q3049" s="6" t="str">
        <f>IFERROR(__xludf.DUMMYFUNCTION("""COMPUTED_VALUE"""),"MS")</f>
        <v>MS</v>
      </c>
      <c r="R3049" s="6">
        <f>IFERROR(__xludf.DUMMYFUNCTION("""COMPUTED_VALUE"""),0.0)</f>
        <v>0</v>
      </c>
      <c r="S3049" s="6" t="str">
        <f>IFERROR(__xludf.DUMMYFUNCTION("""COMPUTED_VALUE"""),"Jennifer Gross")</f>
        <v>Jennifer Gross</v>
      </c>
      <c r="T3049" s="6" t="str">
        <f>IFERROR(__xludf.DUMMYFUNCTION("""COMPUTED_VALUE"""),"jenifer.gross@ortrail.k12.or.us")</f>
        <v>jenifer.gross@ortrail.k12.or.us</v>
      </c>
      <c r="U3049" s="6" t="str">
        <f>IFERROR(__xludf.DUMMYFUNCTION("""COMPUTED_VALUE"""),"6")</f>
        <v>6</v>
      </c>
      <c r="V3049" s="6" t="str">
        <f>IFERROR(__xludf.DUMMYFUNCTION("""COMPUTED_VALUE"""),"English")</f>
        <v>English</v>
      </c>
      <c r="W3049" s="6" t="str">
        <f>IFERROR(__xludf.DUMMYFUNCTION("""COMPUTED_VALUE"""),"[]")</f>
        <v>[]</v>
      </c>
      <c r="X3049" s="6" t="str">
        <f>IFERROR(__xludf.DUMMYFUNCTION("""COMPUTED_VALUE"""),"Enrolled")</f>
        <v>Enrolled</v>
      </c>
    </row>
    <row r="3050">
      <c r="A3050" s="6" t="str">
        <f>IFERROR(__xludf.DUMMYFUNCTION("""COMPUTED_VALUE"""),"064-5825")</f>
        <v>064-5825</v>
      </c>
      <c r="B3050" s="6" t="str">
        <f>IFERROR(__xludf.DUMMYFUNCTION("""COMPUTED_VALUE"""),"64")</f>
        <v>64</v>
      </c>
      <c r="C3050" s="6" t="str">
        <f>IFERROR(__xludf.DUMMYFUNCTION("""COMPUTED_VALUE"""),"5825")</f>
        <v>5825</v>
      </c>
      <c r="D3050" s="6" t="str">
        <f>IFERROR(__xludf.DUMMYFUNCTION("""COMPUTED_VALUE"""),"Everett")</f>
        <v>Everett</v>
      </c>
      <c r="E3050" s="6" t="str">
        <f>IFERROR(__xludf.DUMMYFUNCTION("""COMPUTED_VALUE"""),"")</f>
        <v/>
      </c>
      <c r="F3050" s="6" t="str">
        <f>IFERROR(__xludf.DUMMYFUNCTION("""COMPUTED_VALUE"""),"Messinger")</f>
        <v>Messinger</v>
      </c>
      <c r="G3050" s="6" t="str">
        <f>IFERROR(__xludf.DUMMYFUNCTION("""COMPUTED_VALUE"""),"06/13/2014")</f>
        <v>06/13/2014</v>
      </c>
      <c r="H3050" s="6" t="str">
        <f>IFERROR(__xludf.DUMMYFUNCTION("""COMPUTED_VALUE"""),"Self Identify")</f>
        <v>Self Identify</v>
      </c>
      <c r="I3050" s="6" t="str">
        <f>IFERROR(__xludf.DUMMYFUNCTION("""COMPUTED_VALUE"""),"Middle School")</f>
        <v>Middle School</v>
      </c>
      <c r="J3050" s="6" t="str">
        <f>IFERROR(__xludf.DUMMYFUNCTION("""COMPUTED_VALUE"""),"6")</f>
        <v>6</v>
      </c>
      <c r="K3050" s="6" t="str">
        <f>IFERROR(__xludf.DUMMYFUNCTION("""COMPUTED_VALUE"""),"everett_messinger@stu.ortrail.k12.or.us")</f>
        <v>everett_messinger@stu.ortrail.k12.or.us</v>
      </c>
      <c r="L3050" s="6" t="str">
        <f>IFERROR(__xludf.DUMMYFUNCTION("""COMPUTED_VALUE"""),"Oregon Trail School District 46")</f>
        <v>Oregon Trail School District 46</v>
      </c>
      <c r="M3050" s="6" t="str">
        <f>IFERROR(__xludf.DUMMYFUNCTION("""COMPUTED_VALUE"""),"Cedar Ridge Middle School")</f>
        <v>Cedar Ridge Middle School</v>
      </c>
      <c r="N3050" s="6" t="str">
        <f>IFERROR(__xludf.DUMMYFUNCTION("""COMPUTED_VALUE"""),"")</f>
        <v/>
      </c>
      <c r="O3050" s="87" t="str">
        <f>IFERROR(__xludf.DUMMYFUNCTION("""COMPUTED_VALUE"""),"https://drive.google.com/drive/folders/10T2cTQHqEJZqE-st6uFKPoI?usp=share_link")</f>
        <v>https://drive.google.com/drive/folders/10T2cTQHqEJZqE-st6uFKPoI?usp=share_link</v>
      </c>
      <c r="P3050" s="6" t="str">
        <f>IFERROR(__xludf.DUMMYFUNCTION("""COMPUTED_VALUE"""),"Everett Messinger")</f>
        <v>Everett Messinger</v>
      </c>
      <c r="Q3050" s="6" t="str">
        <f>IFERROR(__xludf.DUMMYFUNCTION("""COMPUTED_VALUE"""),"MS")</f>
        <v>MS</v>
      </c>
      <c r="R3050" s="6">
        <f>IFERROR(__xludf.DUMMYFUNCTION("""COMPUTED_VALUE"""),0.0)</f>
        <v>0</v>
      </c>
      <c r="S3050" s="6" t="str">
        <f>IFERROR(__xludf.DUMMYFUNCTION("""COMPUTED_VALUE"""),"Jennifer Gross")</f>
        <v>Jennifer Gross</v>
      </c>
      <c r="T3050" s="6" t="str">
        <f>IFERROR(__xludf.DUMMYFUNCTION("""COMPUTED_VALUE"""),"jenifer.gross@ortrail.k12.or.us")</f>
        <v>jenifer.gross@ortrail.k12.or.us</v>
      </c>
      <c r="U3050" s="6" t="str">
        <f>IFERROR(__xludf.DUMMYFUNCTION("""COMPUTED_VALUE"""),"6")</f>
        <v>6</v>
      </c>
      <c r="V3050" s="6" t="str">
        <f>IFERROR(__xludf.DUMMYFUNCTION("""COMPUTED_VALUE"""),"English")</f>
        <v>English</v>
      </c>
      <c r="W3050" s="6" t="str">
        <f>IFERROR(__xludf.DUMMYFUNCTION("""COMPUTED_VALUE"""),"[]")</f>
        <v>[]</v>
      </c>
      <c r="X3050" s="6" t="str">
        <f>IFERROR(__xludf.DUMMYFUNCTION("""COMPUTED_VALUE"""),"Enrolled")</f>
        <v>Enrolled</v>
      </c>
    </row>
    <row r="3051">
      <c r="A3051" s="6" t="str">
        <f>IFERROR(__xludf.DUMMYFUNCTION("""COMPUTED_VALUE"""),"064-5826")</f>
        <v>064-5826</v>
      </c>
      <c r="B3051" s="6" t="str">
        <f>IFERROR(__xludf.DUMMYFUNCTION("""COMPUTED_VALUE"""),"64")</f>
        <v>64</v>
      </c>
      <c r="C3051" s="6" t="str">
        <f>IFERROR(__xludf.DUMMYFUNCTION("""COMPUTED_VALUE"""),"5826")</f>
        <v>5826</v>
      </c>
      <c r="D3051" s="6" t="str">
        <f>IFERROR(__xludf.DUMMYFUNCTION("""COMPUTED_VALUE"""),"Dawson")</f>
        <v>Dawson</v>
      </c>
      <c r="E3051" s="6" t="str">
        <f>IFERROR(__xludf.DUMMYFUNCTION("""COMPUTED_VALUE"""),"")</f>
        <v/>
      </c>
      <c r="F3051" s="6" t="str">
        <f>IFERROR(__xludf.DUMMYFUNCTION("""COMPUTED_VALUE"""),"Schaffer-Smith")</f>
        <v>Schaffer-Smith</v>
      </c>
      <c r="G3051" s="6" t="str">
        <f>IFERROR(__xludf.DUMMYFUNCTION("""COMPUTED_VALUE"""),"02/27/2014")</f>
        <v>02/27/2014</v>
      </c>
      <c r="H3051" s="6" t="str">
        <f>IFERROR(__xludf.DUMMYFUNCTION("""COMPUTED_VALUE"""),"M")</f>
        <v>M</v>
      </c>
      <c r="I3051" s="6" t="str">
        <f>IFERROR(__xludf.DUMMYFUNCTION("""COMPUTED_VALUE"""),"Middle School")</f>
        <v>Middle School</v>
      </c>
      <c r="J3051" s="6" t="str">
        <f>IFERROR(__xludf.DUMMYFUNCTION("""COMPUTED_VALUE"""),"6")</f>
        <v>6</v>
      </c>
      <c r="K3051" s="6" t="str">
        <f>IFERROR(__xludf.DUMMYFUNCTION("""COMPUTED_VALUE"""),"dawson_schaffersmith@stu.ortrail.k12.or.us")</f>
        <v>dawson_schaffersmith@stu.ortrail.k12.or.us</v>
      </c>
      <c r="L3051" s="6" t="str">
        <f>IFERROR(__xludf.DUMMYFUNCTION("""COMPUTED_VALUE"""),"Oregon Trail School District 46")</f>
        <v>Oregon Trail School District 46</v>
      </c>
      <c r="M3051" s="6" t="str">
        <f>IFERROR(__xludf.DUMMYFUNCTION("""COMPUTED_VALUE"""),"")</f>
        <v/>
      </c>
      <c r="N3051" s="6" t="str">
        <f>IFERROR(__xludf.DUMMYFUNCTION("""COMPUTED_VALUE"""),"")</f>
        <v/>
      </c>
      <c r="O3051" s="87" t="str">
        <f>IFERROR(__xludf.DUMMYFUNCTION("""COMPUTED_VALUE"""),"https://drive.google.com/drive/folders/10T2cTQHqEJZqE-st6uFKPoI?usp=share_link")</f>
        <v>https://drive.google.com/drive/folders/10T2cTQHqEJZqE-st6uFKPoI?usp=share_link</v>
      </c>
      <c r="P3051" s="6" t="str">
        <f>IFERROR(__xludf.DUMMYFUNCTION("""COMPUTED_VALUE"""),"Dawson Schaffer-Smith")</f>
        <v>Dawson Schaffer-Smith</v>
      </c>
      <c r="Q3051" s="6" t="str">
        <f>IFERROR(__xludf.DUMMYFUNCTION("""COMPUTED_VALUE"""),"MS")</f>
        <v>MS</v>
      </c>
      <c r="R3051" s="6">
        <f>IFERROR(__xludf.DUMMYFUNCTION("""COMPUTED_VALUE"""),0.0)</f>
        <v>0</v>
      </c>
      <c r="S3051" s="6" t="str">
        <f>IFERROR(__xludf.DUMMYFUNCTION("""COMPUTED_VALUE"""),"Genevra Self")</f>
        <v>Genevra Self</v>
      </c>
      <c r="T3051" s="6" t="str">
        <f>IFERROR(__xludf.DUMMYFUNCTION("""COMPUTED_VALUE"""),"genevra.self@studient.com")</f>
        <v>genevra.self@studient.com</v>
      </c>
      <c r="U3051" s="6" t="str">
        <f>IFERROR(__xludf.DUMMYFUNCTION("""COMPUTED_VALUE"""),"6")</f>
        <v>6</v>
      </c>
      <c r="V3051" s="6" t="str">
        <f>IFERROR(__xludf.DUMMYFUNCTION("""COMPUTED_VALUE"""),"English")</f>
        <v>English</v>
      </c>
      <c r="W3051" s="6" t="str">
        <f>IFERROR(__xludf.DUMMYFUNCTION("""COMPUTED_VALUE"""),"[]")</f>
        <v>[]</v>
      </c>
      <c r="X3051" s="6" t="str">
        <f>IFERROR(__xludf.DUMMYFUNCTION("""COMPUTED_VALUE"""),"Enrolled")</f>
        <v>Enrolled</v>
      </c>
    </row>
    <row r="3052">
      <c r="A3052" s="6" t="str">
        <f>IFERROR(__xludf.DUMMYFUNCTION("""COMPUTED_VALUE"""),"064-5827")</f>
        <v>064-5827</v>
      </c>
      <c r="B3052" s="6" t="str">
        <f>IFERROR(__xludf.DUMMYFUNCTION("""COMPUTED_VALUE"""),"64")</f>
        <v>64</v>
      </c>
      <c r="C3052" s="6" t="str">
        <f>IFERROR(__xludf.DUMMYFUNCTION("""COMPUTED_VALUE"""),"5827")</f>
        <v>5827</v>
      </c>
      <c r="D3052" s="6" t="str">
        <f>IFERROR(__xludf.DUMMYFUNCTION("""COMPUTED_VALUE"""),"Quinton")</f>
        <v>Quinton</v>
      </c>
      <c r="E3052" s="6" t="str">
        <f>IFERROR(__xludf.DUMMYFUNCTION("""COMPUTED_VALUE"""),"")</f>
        <v/>
      </c>
      <c r="F3052" s="6" t="str">
        <f>IFERROR(__xludf.DUMMYFUNCTION("""COMPUTED_VALUE"""),"Schmiedel")</f>
        <v>Schmiedel</v>
      </c>
      <c r="G3052" s="6" t="str">
        <f>IFERROR(__xludf.DUMMYFUNCTION("""COMPUTED_VALUE"""),"02/09/2013")</f>
        <v>02/09/2013</v>
      </c>
      <c r="H3052" s="6" t="str">
        <f>IFERROR(__xludf.DUMMYFUNCTION("""COMPUTED_VALUE"""),"Self Identify")</f>
        <v>Self Identify</v>
      </c>
      <c r="I3052" s="6" t="str">
        <f>IFERROR(__xludf.DUMMYFUNCTION("""COMPUTED_VALUE"""),"Middle School")</f>
        <v>Middle School</v>
      </c>
      <c r="J3052" s="6" t="str">
        <f>IFERROR(__xludf.DUMMYFUNCTION("""COMPUTED_VALUE"""),"7")</f>
        <v>7</v>
      </c>
      <c r="K3052" s="6" t="str">
        <f>IFERROR(__xludf.DUMMYFUNCTION("""COMPUTED_VALUE"""),"quinton_schmiedel@stu.ortrail.k12.or.us")</f>
        <v>quinton_schmiedel@stu.ortrail.k12.or.us</v>
      </c>
      <c r="L3052" s="6" t="str">
        <f>IFERROR(__xludf.DUMMYFUNCTION("""COMPUTED_VALUE"""),"Oregon Trail School District 46")</f>
        <v>Oregon Trail School District 46</v>
      </c>
      <c r="M3052" s="6" t="str">
        <f>IFERROR(__xludf.DUMMYFUNCTION("""COMPUTED_VALUE"""),"Cedar Ridge Middle School")</f>
        <v>Cedar Ridge Middle School</v>
      </c>
      <c r="N3052" s="6" t="str">
        <f>IFERROR(__xludf.DUMMYFUNCTION("""COMPUTED_VALUE"""),"")</f>
        <v/>
      </c>
      <c r="O3052" s="87" t="str">
        <f>IFERROR(__xludf.DUMMYFUNCTION("""COMPUTED_VALUE"""),"https://drive.google.com/drive/folders/10T2cTQHqEJZqE-st6uFKPoI?usp=share_link")</f>
        <v>https://drive.google.com/drive/folders/10T2cTQHqEJZqE-st6uFKPoI?usp=share_link</v>
      </c>
      <c r="P3052" s="6" t="str">
        <f>IFERROR(__xludf.DUMMYFUNCTION("""COMPUTED_VALUE"""),"Quinton Schmiedel")</f>
        <v>Quinton Schmiedel</v>
      </c>
      <c r="Q3052" s="6" t="str">
        <f>IFERROR(__xludf.DUMMYFUNCTION("""COMPUTED_VALUE"""),"MS")</f>
        <v>MS</v>
      </c>
      <c r="R3052" s="6">
        <f>IFERROR(__xludf.DUMMYFUNCTION("""COMPUTED_VALUE"""),0.0)</f>
        <v>0</v>
      </c>
      <c r="S3052" s="6" t="str">
        <f>IFERROR(__xludf.DUMMYFUNCTION("""COMPUTED_VALUE"""),"Jennifer Gross")</f>
        <v>Jennifer Gross</v>
      </c>
      <c r="T3052" s="6" t="str">
        <f>IFERROR(__xludf.DUMMYFUNCTION("""COMPUTED_VALUE"""),"jenifer.gross@ortrail.k12.or.us")</f>
        <v>jenifer.gross@ortrail.k12.or.us</v>
      </c>
      <c r="U3052" s="6" t="str">
        <f>IFERROR(__xludf.DUMMYFUNCTION("""COMPUTED_VALUE"""),"7")</f>
        <v>7</v>
      </c>
      <c r="V3052" s="6" t="str">
        <f>IFERROR(__xludf.DUMMYFUNCTION("""COMPUTED_VALUE"""),"English")</f>
        <v>English</v>
      </c>
      <c r="W3052" s="6" t="str">
        <f>IFERROR(__xludf.DUMMYFUNCTION("""COMPUTED_VALUE"""),"[]")</f>
        <v>[]</v>
      </c>
      <c r="X3052" s="6" t="str">
        <f>IFERROR(__xludf.DUMMYFUNCTION("""COMPUTED_VALUE"""),"Enrolled")</f>
        <v>Enrolled</v>
      </c>
    </row>
    <row r="3053">
      <c r="A3053" s="6" t="str">
        <f>IFERROR(__xludf.DUMMYFUNCTION("""COMPUTED_VALUE"""),"064-5830")</f>
        <v>064-5830</v>
      </c>
      <c r="B3053" s="6" t="str">
        <f>IFERROR(__xludf.DUMMYFUNCTION("""COMPUTED_VALUE"""),"64")</f>
        <v>64</v>
      </c>
      <c r="C3053" s="6" t="str">
        <f>IFERROR(__xludf.DUMMYFUNCTION("""COMPUTED_VALUE"""),"5830")</f>
        <v>5830</v>
      </c>
      <c r="D3053" s="6" t="str">
        <f>IFERROR(__xludf.DUMMYFUNCTION("""COMPUTED_VALUE"""),"Elijah A.")</f>
        <v>Elijah A.</v>
      </c>
      <c r="E3053" s="6" t="str">
        <f>IFERROR(__xludf.DUMMYFUNCTION("""COMPUTED_VALUE"""),"")</f>
        <v/>
      </c>
      <c r="F3053" s="6" t="str">
        <f>IFERROR(__xludf.DUMMYFUNCTION("""COMPUTED_VALUE"""),"Stephenson")</f>
        <v>Stephenson</v>
      </c>
      <c r="G3053" s="6" t="str">
        <f>IFERROR(__xludf.DUMMYFUNCTION("""COMPUTED_VALUE"""),"03/23/2013")</f>
        <v>03/23/2013</v>
      </c>
      <c r="H3053" s="6" t="str">
        <f>IFERROR(__xludf.DUMMYFUNCTION("""COMPUTED_VALUE"""),"Self Identify")</f>
        <v>Self Identify</v>
      </c>
      <c r="I3053" s="6" t="str">
        <f>IFERROR(__xludf.DUMMYFUNCTION("""COMPUTED_VALUE"""),"Middle School")</f>
        <v>Middle School</v>
      </c>
      <c r="J3053" s="6" t="str">
        <f>IFERROR(__xludf.DUMMYFUNCTION("""COMPUTED_VALUE"""),"7")</f>
        <v>7</v>
      </c>
      <c r="K3053" s="6" t="str">
        <f>IFERROR(__xludf.DUMMYFUNCTION("""COMPUTED_VALUE"""),"elijah_stephenson@stu.ortrail.k12.or.us")</f>
        <v>elijah_stephenson@stu.ortrail.k12.or.us</v>
      </c>
      <c r="L3053" s="6" t="str">
        <f>IFERROR(__xludf.DUMMYFUNCTION("""COMPUTED_VALUE"""),"Oregon Trail School District 46")</f>
        <v>Oregon Trail School District 46</v>
      </c>
      <c r="M3053" s="6" t="str">
        <f>IFERROR(__xludf.DUMMYFUNCTION("""COMPUTED_VALUE"""),"Cedar Ridge Middle School")</f>
        <v>Cedar Ridge Middle School</v>
      </c>
      <c r="N3053" s="6" t="str">
        <f>IFERROR(__xludf.DUMMYFUNCTION("""COMPUTED_VALUE"""),"")</f>
        <v/>
      </c>
      <c r="O3053" s="87" t="str">
        <f>IFERROR(__xludf.DUMMYFUNCTION("""COMPUTED_VALUE"""),"https://drive.google.com/drive/folders/10T2cTQHqEJZqE-st6uFKPoI?usp=share_link")</f>
        <v>https://drive.google.com/drive/folders/10T2cTQHqEJZqE-st6uFKPoI?usp=share_link</v>
      </c>
      <c r="P3053" s="6" t="str">
        <f>IFERROR(__xludf.DUMMYFUNCTION("""COMPUTED_VALUE"""),"Elijah A. Stephenson")</f>
        <v>Elijah A. Stephenson</v>
      </c>
      <c r="Q3053" s="6" t="str">
        <f>IFERROR(__xludf.DUMMYFUNCTION("""COMPUTED_VALUE"""),"MS")</f>
        <v>MS</v>
      </c>
      <c r="R3053" s="6">
        <f>IFERROR(__xludf.DUMMYFUNCTION("""COMPUTED_VALUE"""),0.0)</f>
        <v>0</v>
      </c>
      <c r="S3053" s="6" t="str">
        <f>IFERROR(__xludf.DUMMYFUNCTION("""COMPUTED_VALUE"""),"Jennifer Gross")</f>
        <v>Jennifer Gross</v>
      </c>
      <c r="T3053" s="6" t="str">
        <f>IFERROR(__xludf.DUMMYFUNCTION("""COMPUTED_VALUE"""),"jenifer.gross@ortrail.k12.or.us")</f>
        <v>jenifer.gross@ortrail.k12.or.us</v>
      </c>
      <c r="U3053" s="6" t="str">
        <f>IFERROR(__xludf.DUMMYFUNCTION("""COMPUTED_VALUE"""),"7")</f>
        <v>7</v>
      </c>
      <c r="V3053" s="6" t="str">
        <f>IFERROR(__xludf.DUMMYFUNCTION("""COMPUTED_VALUE"""),"English")</f>
        <v>English</v>
      </c>
      <c r="W3053" s="6" t="str">
        <f>IFERROR(__xludf.DUMMYFUNCTION("""COMPUTED_VALUE"""),"[]")</f>
        <v>[]</v>
      </c>
      <c r="X3053" s="6" t="str">
        <f>IFERROR(__xludf.DUMMYFUNCTION("""COMPUTED_VALUE"""),"Enrolled")</f>
        <v>Enrolled</v>
      </c>
    </row>
    <row r="3054">
      <c r="A3054" s="6" t="str">
        <f>IFERROR(__xludf.DUMMYFUNCTION("""COMPUTED_VALUE"""),"064-5831")</f>
        <v>064-5831</v>
      </c>
      <c r="B3054" s="6" t="str">
        <f>IFERROR(__xludf.DUMMYFUNCTION("""COMPUTED_VALUE"""),"64")</f>
        <v>64</v>
      </c>
      <c r="C3054" s="6" t="str">
        <f>IFERROR(__xludf.DUMMYFUNCTION("""COMPUTED_VALUE"""),"5831")</f>
        <v>5831</v>
      </c>
      <c r="D3054" s="6" t="str">
        <f>IFERROR(__xludf.DUMMYFUNCTION("""COMPUTED_VALUE"""),"Cai E.")</f>
        <v>Cai E.</v>
      </c>
      <c r="E3054" s="6" t="str">
        <f>IFERROR(__xludf.DUMMYFUNCTION("""COMPUTED_VALUE"""),"")</f>
        <v/>
      </c>
      <c r="F3054" s="6" t="str">
        <f>IFERROR(__xludf.DUMMYFUNCTION("""COMPUTED_VALUE"""),"Thompson")</f>
        <v>Thompson</v>
      </c>
      <c r="G3054" s="6" t="str">
        <f>IFERROR(__xludf.DUMMYFUNCTION("""COMPUTED_VALUE"""),"05/20/2012")</f>
        <v>05/20/2012</v>
      </c>
      <c r="H3054" s="6" t="str">
        <f>IFERROR(__xludf.DUMMYFUNCTION("""COMPUTED_VALUE"""),"M")</f>
        <v>M</v>
      </c>
      <c r="I3054" s="6" t="str">
        <f>IFERROR(__xludf.DUMMYFUNCTION("""COMPUTED_VALUE"""),"Middle School")</f>
        <v>Middle School</v>
      </c>
      <c r="J3054" s="6" t="str">
        <f>IFERROR(__xludf.DUMMYFUNCTION("""COMPUTED_VALUE"""),"8")</f>
        <v>8</v>
      </c>
      <c r="K3054" s="6" t="str">
        <f>IFERROR(__xludf.DUMMYFUNCTION("""COMPUTED_VALUE"""),"cai_thompson@stu.ortrail.k12.or.us")</f>
        <v>cai_thompson@stu.ortrail.k12.or.us</v>
      </c>
      <c r="L3054" s="6" t="str">
        <f>IFERROR(__xludf.DUMMYFUNCTION("""COMPUTED_VALUE"""),"Oregon Trail School District 46")</f>
        <v>Oregon Trail School District 46</v>
      </c>
      <c r="M3054" s="6" t="str">
        <f>IFERROR(__xludf.DUMMYFUNCTION("""COMPUTED_VALUE"""),"")</f>
        <v/>
      </c>
      <c r="N3054" s="6" t="str">
        <f>IFERROR(__xludf.DUMMYFUNCTION("""COMPUTED_VALUE"""),"")</f>
        <v/>
      </c>
      <c r="O3054" s="87" t="str">
        <f>IFERROR(__xludf.DUMMYFUNCTION("""COMPUTED_VALUE"""),"https://drive.google.com/drive/folders/10T2cTQHqEJZqE-st6uFKPoI?usp=share_link")</f>
        <v>https://drive.google.com/drive/folders/10T2cTQHqEJZqE-st6uFKPoI?usp=share_link</v>
      </c>
      <c r="P3054" s="6" t="str">
        <f>IFERROR(__xludf.DUMMYFUNCTION("""COMPUTED_VALUE"""),"Cai E. Thompson")</f>
        <v>Cai E. Thompson</v>
      </c>
      <c r="Q3054" s="6" t="str">
        <f>IFERROR(__xludf.DUMMYFUNCTION("""COMPUTED_VALUE"""),"MS")</f>
        <v>MS</v>
      </c>
      <c r="R3054" s="6">
        <f>IFERROR(__xludf.DUMMYFUNCTION("""COMPUTED_VALUE"""),0.0)</f>
        <v>0</v>
      </c>
      <c r="S3054" s="6" t="str">
        <f>IFERROR(__xludf.DUMMYFUNCTION("""COMPUTED_VALUE"""),"Genevra Self")</f>
        <v>Genevra Self</v>
      </c>
      <c r="T3054" s="6" t="str">
        <f>IFERROR(__xludf.DUMMYFUNCTION("""COMPUTED_VALUE"""),"genevra.self@studient.com")</f>
        <v>genevra.self@studient.com</v>
      </c>
      <c r="U3054" s="6" t="str">
        <f>IFERROR(__xludf.DUMMYFUNCTION("""COMPUTED_VALUE"""),"8")</f>
        <v>8</v>
      </c>
      <c r="V3054" s="6" t="str">
        <f>IFERROR(__xludf.DUMMYFUNCTION("""COMPUTED_VALUE"""),"English")</f>
        <v>English</v>
      </c>
      <c r="W3054" s="6" t="str">
        <f>IFERROR(__xludf.DUMMYFUNCTION("""COMPUTED_VALUE"""),"[]")</f>
        <v>[]</v>
      </c>
      <c r="X3054" s="6" t="str">
        <f>IFERROR(__xludf.DUMMYFUNCTION("""COMPUTED_VALUE"""),"Enrolled")</f>
        <v>Enrolled</v>
      </c>
    </row>
    <row r="3055">
      <c r="A3055" s="6" t="str">
        <f>IFERROR(__xludf.DUMMYFUNCTION("""COMPUTED_VALUE"""),"064-5832")</f>
        <v>064-5832</v>
      </c>
      <c r="B3055" s="6" t="str">
        <f>IFERROR(__xludf.DUMMYFUNCTION("""COMPUTED_VALUE"""),"64")</f>
        <v>64</v>
      </c>
      <c r="C3055" s="6" t="str">
        <f>IFERROR(__xludf.DUMMYFUNCTION("""COMPUTED_VALUE"""),"5832")</f>
        <v>5832</v>
      </c>
      <c r="D3055" s="6" t="str">
        <f>IFERROR(__xludf.DUMMYFUNCTION("""COMPUTED_VALUE"""),"Phoenix")</f>
        <v>Phoenix</v>
      </c>
      <c r="E3055" s="6" t="str">
        <f>IFERROR(__xludf.DUMMYFUNCTION("""COMPUTED_VALUE"""),"")</f>
        <v/>
      </c>
      <c r="F3055" s="6" t="str">
        <f>IFERROR(__xludf.DUMMYFUNCTION("""COMPUTED_VALUE"""),"Tingle")</f>
        <v>Tingle</v>
      </c>
      <c r="G3055" s="6" t="str">
        <f>IFERROR(__xludf.DUMMYFUNCTION("""COMPUTED_VALUE"""),"08/16/2011")</f>
        <v>08/16/2011</v>
      </c>
      <c r="H3055" s="6" t="str">
        <f>IFERROR(__xludf.DUMMYFUNCTION("""COMPUTED_VALUE"""),"Self Identify")</f>
        <v>Self Identify</v>
      </c>
      <c r="I3055" s="6" t="str">
        <f>IFERROR(__xludf.DUMMYFUNCTION("""COMPUTED_VALUE"""),"Middle School")</f>
        <v>Middle School</v>
      </c>
      <c r="J3055" s="6" t="str">
        <f>IFERROR(__xludf.DUMMYFUNCTION("""COMPUTED_VALUE"""),"8")</f>
        <v>8</v>
      </c>
      <c r="K3055" s="6" t="str">
        <f>IFERROR(__xludf.DUMMYFUNCTION("""COMPUTED_VALUE"""),"phoenix_tingle@stu.ortrail.k12.or.us")</f>
        <v>phoenix_tingle@stu.ortrail.k12.or.us</v>
      </c>
      <c r="L3055" s="6" t="str">
        <f>IFERROR(__xludf.DUMMYFUNCTION("""COMPUTED_VALUE"""),"Oregon Trail School District 46")</f>
        <v>Oregon Trail School District 46</v>
      </c>
      <c r="M3055" s="6" t="str">
        <f>IFERROR(__xludf.DUMMYFUNCTION("""COMPUTED_VALUE"""),"Cedar Ridge Middle School")</f>
        <v>Cedar Ridge Middle School</v>
      </c>
      <c r="N3055" s="6" t="str">
        <f>IFERROR(__xludf.DUMMYFUNCTION("""COMPUTED_VALUE"""),"")</f>
        <v/>
      </c>
      <c r="O3055" s="87" t="str">
        <f>IFERROR(__xludf.DUMMYFUNCTION("""COMPUTED_VALUE"""),"https://drive.google.com/drive/folders/10T2cTQHqEJZqE-st6uFKPoI?usp=share_link")</f>
        <v>https://drive.google.com/drive/folders/10T2cTQHqEJZqE-st6uFKPoI?usp=share_link</v>
      </c>
      <c r="P3055" s="6" t="str">
        <f>IFERROR(__xludf.DUMMYFUNCTION("""COMPUTED_VALUE"""),"Phoenix Tingle")</f>
        <v>Phoenix Tingle</v>
      </c>
      <c r="Q3055" s="6" t="str">
        <f>IFERROR(__xludf.DUMMYFUNCTION("""COMPUTED_VALUE"""),"MS")</f>
        <v>MS</v>
      </c>
      <c r="R3055" s="6">
        <f>IFERROR(__xludf.DUMMYFUNCTION("""COMPUTED_VALUE"""),0.0)</f>
        <v>0</v>
      </c>
      <c r="S3055" s="6" t="str">
        <f>IFERROR(__xludf.DUMMYFUNCTION("""COMPUTED_VALUE"""),"Jennifer Gross")</f>
        <v>Jennifer Gross</v>
      </c>
      <c r="T3055" s="6" t="str">
        <f>IFERROR(__xludf.DUMMYFUNCTION("""COMPUTED_VALUE"""),"jenifer.gross@ortrail.k12.or.us")</f>
        <v>jenifer.gross@ortrail.k12.or.us</v>
      </c>
      <c r="U3055" s="6" t="str">
        <f>IFERROR(__xludf.DUMMYFUNCTION("""COMPUTED_VALUE"""),"8")</f>
        <v>8</v>
      </c>
      <c r="V3055" s="6" t="str">
        <f>IFERROR(__xludf.DUMMYFUNCTION("""COMPUTED_VALUE"""),"English")</f>
        <v>English</v>
      </c>
      <c r="W3055" s="6" t="str">
        <f>IFERROR(__xludf.DUMMYFUNCTION("""COMPUTED_VALUE"""),"[]")</f>
        <v>[]</v>
      </c>
      <c r="X3055" s="6" t="str">
        <f>IFERROR(__xludf.DUMMYFUNCTION("""COMPUTED_VALUE"""),"Enrolled")</f>
        <v>Enrolled</v>
      </c>
    </row>
    <row r="3056">
      <c r="A3056" s="6" t="str">
        <f>IFERROR(__xludf.DUMMYFUNCTION("""COMPUTED_VALUE"""),"064-5833")</f>
        <v>064-5833</v>
      </c>
      <c r="B3056" s="6" t="str">
        <f>IFERROR(__xludf.DUMMYFUNCTION("""COMPUTED_VALUE"""),"64")</f>
        <v>64</v>
      </c>
      <c r="C3056" s="6" t="str">
        <f>IFERROR(__xludf.DUMMYFUNCTION("""COMPUTED_VALUE"""),"5833")</f>
        <v>5833</v>
      </c>
      <c r="D3056" s="6" t="str">
        <f>IFERROR(__xludf.DUMMYFUNCTION("""COMPUTED_VALUE"""),"James A.")</f>
        <v>James A.</v>
      </c>
      <c r="E3056" s="6" t="str">
        <f>IFERROR(__xludf.DUMMYFUNCTION("""COMPUTED_VALUE"""),"")</f>
        <v/>
      </c>
      <c r="F3056" s="6" t="str">
        <f>IFERROR(__xludf.DUMMYFUNCTION("""COMPUTED_VALUE"""),"Adams")</f>
        <v>Adams</v>
      </c>
      <c r="G3056" s="6" t="str">
        <f>IFERROR(__xludf.DUMMYFUNCTION("""COMPUTED_VALUE"""),"05/01/2012")</f>
        <v>05/01/2012</v>
      </c>
      <c r="H3056" s="6" t="str">
        <f>IFERROR(__xludf.DUMMYFUNCTION("""COMPUTED_VALUE"""),"Self Identify")</f>
        <v>Self Identify</v>
      </c>
      <c r="I3056" s="6" t="str">
        <f>IFERROR(__xludf.DUMMYFUNCTION("""COMPUTED_VALUE"""),"Middle School")</f>
        <v>Middle School</v>
      </c>
      <c r="J3056" s="6" t="str">
        <f>IFERROR(__xludf.DUMMYFUNCTION("""COMPUTED_VALUE"""),"8")</f>
        <v>8</v>
      </c>
      <c r="K3056" s="6" t="str">
        <f>IFERROR(__xludf.DUMMYFUNCTION("""COMPUTED_VALUE"""),"james_adams@stu.ortrail.k12.or.us")</f>
        <v>james_adams@stu.ortrail.k12.or.us</v>
      </c>
      <c r="L3056" s="6" t="str">
        <f>IFERROR(__xludf.DUMMYFUNCTION("""COMPUTED_VALUE"""),"Oregon Trail School District 46")</f>
        <v>Oregon Trail School District 46</v>
      </c>
      <c r="M3056" s="6" t="str">
        <f>IFERROR(__xludf.DUMMYFUNCTION("""COMPUTED_VALUE"""),"Cedar Ridge Middle School")</f>
        <v>Cedar Ridge Middle School</v>
      </c>
      <c r="N3056" s="6" t="str">
        <f>IFERROR(__xludf.DUMMYFUNCTION("""COMPUTED_VALUE"""),"")</f>
        <v/>
      </c>
      <c r="O3056" s="87" t="str">
        <f>IFERROR(__xludf.DUMMYFUNCTION("""COMPUTED_VALUE"""),"https://drive.google.com/drive/folders/10T2cTQHqEJZqE-st6uFKPoI?usp=share_link")</f>
        <v>https://drive.google.com/drive/folders/10T2cTQHqEJZqE-st6uFKPoI?usp=share_link</v>
      </c>
      <c r="P3056" s="6" t="str">
        <f>IFERROR(__xludf.DUMMYFUNCTION("""COMPUTED_VALUE"""),"James A. Adams")</f>
        <v>James A. Adams</v>
      </c>
      <c r="Q3056" s="6" t="str">
        <f>IFERROR(__xludf.DUMMYFUNCTION("""COMPUTED_VALUE"""),"MS")</f>
        <v>MS</v>
      </c>
      <c r="R3056" s="6">
        <f>IFERROR(__xludf.DUMMYFUNCTION("""COMPUTED_VALUE"""),0.0)</f>
        <v>0</v>
      </c>
      <c r="S3056" s="6" t="str">
        <f>IFERROR(__xludf.DUMMYFUNCTION("""COMPUTED_VALUE"""),"Jeremy Wedell")</f>
        <v>Jeremy Wedell</v>
      </c>
      <c r="T3056" s="6" t="str">
        <f>IFERROR(__xludf.DUMMYFUNCTION("""COMPUTED_VALUE"""),"jeremy.wedell@ortrail.k12.or.us")</f>
        <v>jeremy.wedell@ortrail.k12.or.us</v>
      </c>
      <c r="U3056" s="6" t="str">
        <f>IFERROR(__xludf.DUMMYFUNCTION("""COMPUTED_VALUE"""),"8")</f>
        <v>8</v>
      </c>
      <c r="V3056" s="6" t="str">
        <f>IFERROR(__xludf.DUMMYFUNCTION("""COMPUTED_VALUE"""),"English")</f>
        <v>English</v>
      </c>
      <c r="W3056" s="6" t="str">
        <f>IFERROR(__xludf.DUMMYFUNCTION("""COMPUTED_VALUE"""),"[]")</f>
        <v>[]</v>
      </c>
      <c r="X3056" s="6" t="str">
        <f>IFERROR(__xludf.DUMMYFUNCTION("""COMPUTED_VALUE"""),"Enrolled")</f>
        <v>Enrolled</v>
      </c>
    </row>
    <row r="3057">
      <c r="A3057" s="6" t="str">
        <f>IFERROR(__xludf.DUMMYFUNCTION("""COMPUTED_VALUE"""),"064-5834")</f>
        <v>064-5834</v>
      </c>
      <c r="B3057" s="6" t="str">
        <f>IFERROR(__xludf.DUMMYFUNCTION("""COMPUTED_VALUE"""),"64")</f>
        <v>64</v>
      </c>
      <c r="C3057" s="6" t="str">
        <f>IFERROR(__xludf.DUMMYFUNCTION("""COMPUTED_VALUE"""),"5834")</f>
        <v>5834</v>
      </c>
      <c r="D3057" s="6" t="str">
        <f>IFERROR(__xludf.DUMMYFUNCTION("""COMPUTED_VALUE"""),"Emma E.")</f>
        <v>Emma E.</v>
      </c>
      <c r="E3057" s="6" t="str">
        <f>IFERROR(__xludf.DUMMYFUNCTION("""COMPUTED_VALUE"""),"")</f>
        <v/>
      </c>
      <c r="F3057" s="6" t="str">
        <f>IFERROR(__xludf.DUMMYFUNCTION("""COMPUTED_VALUE"""),"Carter")</f>
        <v>Carter</v>
      </c>
      <c r="G3057" s="6" t="str">
        <f>IFERROR(__xludf.DUMMYFUNCTION("""COMPUTED_VALUE"""),"07/20/2012")</f>
        <v>07/20/2012</v>
      </c>
      <c r="H3057" s="6" t="str">
        <f>IFERROR(__xludf.DUMMYFUNCTION("""COMPUTED_VALUE"""),"Self Identify")</f>
        <v>Self Identify</v>
      </c>
      <c r="I3057" s="6" t="str">
        <f>IFERROR(__xludf.DUMMYFUNCTION("""COMPUTED_VALUE"""),"Middle School")</f>
        <v>Middle School</v>
      </c>
      <c r="J3057" s="6" t="str">
        <f>IFERROR(__xludf.DUMMYFUNCTION("""COMPUTED_VALUE"""),"8")</f>
        <v>8</v>
      </c>
      <c r="K3057" s="6" t="str">
        <f>IFERROR(__xludf.DUMMYFUNCTION("""COMPUTED_VALUE"""),"emma_carter@stu.ortrail.k12.or.us")</f>
        <v>emma_carter@stu.ortrail.k12.or.us</v>
      </c>
      <c r="L3057" s="6" t="str">
        <f>IFERROR(__xludf.DUMMYFUNCTION("""COMPUTED_VALUE"""),"Oregon Trail School District 46")</f>
        <v>Oregon Trail School District 46</v>
      </c>
      <c r="M3057" s="6" t="str">
        <f>IFERROR(__xludf.DUMMYFUNCTION("""COMPUTED_VALUE"""),"Cedar Ridge Middle School")</f>
        <v>Cedar Ridge Middle School</v>
      </c>
      <c r="N3057" s="6" t="str">
        <f>IFERROR(__xludf.DUMMYFUNCTION("""COMPUTED_VALUE"""),"")</f>
        <v/>
      </c>
      <c r="O3057" s="87" t="str">
        <f>IFERROR(__xludf.DUMMYFUNCTION("""COMPUTED_VALUE"""),"https://drive.google.com/drive/folders/10T2cTQHqEJZqE-st6uFKPoI?usp=share_link")</f>
        <v>https://drive.google.com/drive/folders/10T2cTQHqEJZqE-st6uFKPoI?usp=share_link</v>
      </c>
      <c r="P3057" s="6" t="str">
        <f>IFERROR(__xludf.DUMMYFUNCTION("""COMPUTED_VALUE"""),"Emma E. Carter")</f>
        <v>Emma E. Carter</v>
      </c>
      <c r="Q3057" s="6" t="str">
        <f>IFERROR(__xludf.DUMMYFUNCTION("""COMPUTED_VALUE"""),"MS")</f>
        <v>MS</v>
      </c>
      <c r="R3057" s="6">
        <f>IFERROR(__xludf.DUMMYFUNCTION("""COMPUTED_VALUE"""),0.0)</f>
        <v>0</v>
      </c>
      <c r="S3057" s="6" t="str">
        <f>IFERROR(__xludf.DUMMYFUNCTION("""COMPUTED_VALUE"""),"Jeremy Wedell")</f>
        <v>Jeremy Wedell</v>
      </c>
      <c r="T3057" s="6" t="str">
        <f>IFERROR(__xludf.DUMMYFUNCTION("""COMPUTED_VALUE"""),"jeremy.wedell@ortrail.k12.or.us")</f>
        <v>jeremy.wedell@ortrail.k12.or.us</v>
      </c>
      <c r="U3057" s="6" t="str">
        <f>IFERROR(__xludf.DUMMYFUNCTION("""COMPUTED_VALUE"""),"8")</f>
        <v>8</v>
      </c>
      <c r="V3057" s="6" t="str">
        <f>IFERROR(__xludf.DUMMYFUNCTION("""COMPUTED_VALUE"""),"English")</f>
        <v>English</v>
      </c>
      <c r="W3057" s="6" t="str">
        <f>IFERROR(__xludf.DUMMYFUNCTION("""COMPUTED_VALUE"""),"[]")</f>
        <v>[]</v>
      </c>
      <c r="X3057" s="6" t="str">
        <f>IFERROR(__xludf.DUMMYFUNCTION("""COMPUTED_VALUE"""),"Enrolled")</f>
        <v>Enrolled</v>
      </c>
    </row>
    <row r="3058">
      <c r="A3058" s="6" t="str">
        <f>IFERROR(__xludf.DUMMYFUNCTION("""COMPUTED_VALUE"""),"064-5835")</f>
        <v>064-5835</v>
      </c>
      <c r="B3058" s="6" t="str">
        <f>IFERROR(__xludf.DUMMYFUNCTION("""COMPUTED_VALUE"""),"64")</f>
        <v>64</v>
      </c>
      <c r="C3058" s="6" t="str">
        <f>IFERROR(__xludf.DUMMYFUNCTION("""COMPUTED_VALUE"""),"5835")</f>
        <v>5835</v>
      </c>
      <c r="D3058" s="6" t="str">
        <f>IFERROR(__xludf.DUMMYFUNCTION("""COMPUTED_VALUE"""),"Iris M.")</f>
        <v>Iris M.</v>
      </c>
      <c r="E3058" s="6" t="str">
        <f>IFERROR(__xludf.DUMMYFUNCTION("""COMPUTED_VALUE"""),"")</f>
        <v/>
      </c>
      <c r="F3058" s="6" t="str">
        <f>IFERROR(__xludf.DUMMYFUNCTION("""COMPUTED_VALUE"""),"Fisher")</f>
        <v>Fisher</v>
      </c>
      <c r="G3058" s="6" t="str">
        <f>IFERROR(__xludf.DUMMYFUNCTION("""COMPUTED_VALUE"""),"12/07/2011")</f>
        <v>12/07/2011</v>
      </c>
      <c r="H3058" s="6" t="str">
        <f>IFERROR(__xludf.DUMMYFUNCTION("""COMPUTED_VALUE"""),"Self Identify")</f>
        <v>Self Identify</v>
      </c>
      <c r="I3058" s="6" t="str">
        <f>IFERROR(__xludf.DUMMYFUNCTION("""COMPUTED_VALUE"""),"Middle School")</f>
        <v>Middle School</v>
      </c>
      <c r="J3058" s="6" t="str">
        <f>IFERROR(__xludf.DUMMYFUNCTION("""COMPUTED_VALUE"""),"8")</f>
        <v>8</v>
      </c>
      <c r="K3058" s="6" t="str">
        <f>IFERROR(__xludf.DUMMYFUNCTION("""COMPUTED_VALUE"""),"iris_fisher@stu.ortrail.k12.or.us")</f>
        <v>iris_fisher@stu.ortrail.k12.or.us</v>
      </c>
      <c r="L3058" s="6" t="str">
        <f>IFERROR(__xludf.DUMMYFUNCTION("""COMPUTED_VALUE"""),"Oregon Trail School District 46")</f>
        <v>Oregon Trail School District 46</v>
      </c>
      <c r="M3058" s="6" t="str">
        <f>IFERROR(__xludf.DUMMYFUNCTION("""COMPUTED_VALUE"""),"Cedar Ridge Middle School")</f>
        <v>Cedar Ridge Middle School</v>
      </c>
      <c r="N3058" s="6" t="str">
        <f>IFERROR(__xludf.DUMMYFUNCTION("""COMPUTED_VALUE"""),"")</f>
        <v/>
      </c>
      <c r="O3058" s="87" t="str">
        <f>IFERROR(__xludf.DUMMYFUNCTION("""COMPUTED_VALUE"""),"https://drive.google.com/drive/folders/10T2cTQHqEJZqE-st6uFKPoI?usp=share_link")</f>
        <v>https://drive.google.com/drive/folders/10T2cTQHqEJZqE-st6uFKPoI?usp=share_link</v>
      </c>
      <c r="P3058" s="6" t="str">
        <f>IFERROR(__xludf.DUMMYFUNCTION("""COMPUTED_VALUE"""),"Iris M. Fisher")</f>
        <v>Iris M. Fisher</v>
      </c>
      <c r="Q3058" s="6" t="str">
        <f>IFERROR(__xludf.DUMMYFUNCTION("""COMPUTED_VALUE"""),"MS")</f>
        <v>MS</v>
      </c>
      <c r="R3058" s="6">
        <f>IFERROR(__xludf.DUMMYFUNCTION("""COMPUTED_VALUE"""),0.0)</f>
        <v>0</v>
      </c>
      <c r="S3058" s="6" t="str">
        <f>IFERROR(__xludf.DUMMYFUNCTION("""COMPUTED_VALUE"""),"Jeremy Wedell")</f>
        <v>Jeremy Wedell</v>
      </c>
      <c r="T3058" s="6" t="str">
        <f>IFERROR(__xludf.DUMMYFUNCTION("""COMPUTED_VALUE"""),"jeremy.wedell@ortrail.k12.or.us")</f>
        <v>jeremy.wedell@ortrail.k12.or.us</v>
      </c>
      <c r="U3058" s="6" t="str">
        <f>IFERROR(__xludf.DUMMYFUNCTION("""COMPUTED_VALUE"""),"8")</f>
        <v>8</v>
      </c>
      <c r="V3058" s="6" t="str">
        <f>IFERROR(__xludf.DUMMYFUNCTION("""COMPUTED_VALUE"""),"English")</f>
        <v>English</v>
      </c>
      <c r="W3058" s="6" t="str">
        <f>IFERROR(__xludf.DUMMYFUNCTION("""COMPUTED_VALUE"""),"[]")</f>
        <v>[]</v>
      </c>
      <c r="X3058" s="6" t="str">
        <f>IFERROR(__xludf.DUMMYFUNCTION("""COMPUTED_VALUE"""),"Enrolled")</f>
        <v>Enrolled</v>
      </c>
    </row>
    <row r="3059">
      <c r="A3059" s="6" t="str">
        <f>IFERROR(__xludf.DUMMYFUNCTION("""COMPUTED_VALUE"""),"064-5838")</f>
        <v>064-5838</v>
      </c>
      <c r="B3059" s="6" t="str">
        <f>IFERROR(__xludf.DUMMYFUNCTION("""COMPUTED_VALUE"""),"64")</f>
        <v>64</v>
      </c>
      <c r="C3059" s="6" t="str">
        <f>IFERROR(__xludf.DUMMYFUNCTION("""COMPUTED_VALUE"""),"5838")</f>
        <v>5838</v>
      </c>
      <c r="D3059" s="6" t="str">
        <f>IFERROR(__xludf.DUMMYFUNCTION("""COMPUTED_VALUE"""),"Maddox C.")</f>
        <v>Maddox C.</v>
      </c>
      <c r="E3059" s="6" t="str">
        <f>IFERROR(__xludf.DUMMYFUNCTION("""COMPUTED_VALUE"""),"")</f>
        <v/>
      </c>
      <c r="F3059" s="6" t="str">
        <f>IFERROR(__xludf.DUMMYFUNCTION("""COMPUTED_VALUE"""),"Immele")</f>
        <v>Immele</v>
      </c>
      <c r="G3059" s="6" t="str">
        <f>IFERROR(__xludf.DUMMYFUNCTION("""COMPUTED_VALUE"""),"01/22/2012")</f>
        <v>01/22/2012</v>
      </c>
      <c r="H3059" s="6" t="str">
        <f>IFERROR(__xludf.DUMMYFUNCTION("""COMPUTED_VALUE"""),"Self Identify")</f>
        <v>Self Identify</v>
      </c>
      <c r="I3059" s="6" t="str">
        <f>IFERROR(__xludf.DUMMYFUNCTION("""COMPUTED_VALUE"""),"Middle School")</f>
        <v>Middle School</v>
      </c>
      <c r="J3059" s="6" t="str">
        <f>IFERROR(__xludf.DUMMYFUNCTION("""COMPUTED_VALUE"""),"8")</f>
        <v>8</v>
      </c>
      <c r="K3059" s="6" t="str">
        <f>IFERROR(__xludf.DUMMYFUNCTION("""COMPUTED_VALUE"""),"maddox_immele@stu.ortrail.k12.or.us")</f>
        <v>maddox_immele@stu.ortrail.k12.or.us</v>
      </c>
      <c r="L3059" s="6" t="str">
        <f>IFERROR(__xludf.DUMMYFUNCTION("""COMPUTED_VALUE"""),"Oregon Trail School District 46")</f>
        <v>Oregon Trail School District 46</v>
      </c>
      <c r="M3059" s="6" t="str">
        <f>IFERROR(__xludf.DUMMYFUNCTION("""COMPUTED_VALUE"""),"Cedar Ridge Middle School")</f>
        <v>Cedar Ridge Middle School</v>
      </c>
      <c r="N3059" s="6" t="str">
        <f>IFERROR(__xludf.DUMMYFUNCTION("""COMPUTED_VALUE"""),"")</f>
        <v/>
      </c>
      <c r="O3059" s="87" t="str">
        <f>IFERROR(__xludf.DUMMYFUNCTION("""COMPUTED_VALUE"""),"https://drive.google.com/drive/folders/10T2cTQHqEJZqE-st6uFKPoI?usp=share_link")</f>
        <v>https://drive.google.com/drive/folders/10T2cTQHqEJZqE-st6uFKPoI?usp=share_link</v>
      </c>
      <c r="P3059" s="6" t="str">
        <f>IFERROR(__xludf.DUMMYFUNCTION("""COMPUTED_VALUE"""),"Maddox C. Immele")</f>
        <v>Maddox C. Immele</v>
      </c>
      <c r="Q3059" s="6" t="str">
        <f>IFERROR(__xludf.DUMMYFUNCTION("""COMPUTED_VALUE"""),"MS")</f>
        <v>MS</v>
      </c>
      <c r="R3059" s="6">
        <f>IFERROR(__xludf.DUMMYFUNCTION("""COMPUTED_VALUE"""),0.0)</f>
        <v>0</v>
      </c>
      <c r="S3059" s="6" t="str">
        <f>IFERROR(__xludf.DUMMYFUNCTION("""COMPUTED_VALUE"""),"Jeremy Wedell")</f>
        <v>Jeremy Wedell</v>
      </c>
      <c r="T3059" s="6" t="str">
        <f>IFERROR(__xludf.DUMMYFUNCTION("""COMPUTED_VALUE"""),"jeremy.wedell@ortrail.k12.or.us")</f>
        <v>jeremy.wedell@ortrail.k12.or.us</v>
      </c>
      <c r="U3059" s="6" t="str">
        <f>IFERROR(__xludf.DUMMYFUNCTION("""COMPUTED_VALUE"""),"8")</f>
        <v>8</v>
      </c>
      <c r="V3059" s="6" t="str">
        <f>IFERROR(__xludf.DUMMYFUNCTION("""COMPUTED_VALUE"""),"English")</f>
        <v>English</v>
      </c>
      <c r="W3059" s="6" t="str">
        <f>IFERROR(__xludf.DUMMYFUNCTION("""COMPUTED_VALUE"""),"[]")</f>
        <v>[]</v>
      </c>
      <c r="X3059" s="6" t="str">
        <f>IFERROR(__xludf.DUMMYFUNCTION("""COMPUTED_VALUE"""),"Enrolled")</f>
        <v>Enrolled</v>
      </c>
    </row>
    <row r="3060">
      <c r="A3060" s="6" t="str">
        <f>IFERROR(__xludf.DUMMYFUNCTION("""COMPUTED_VALUE"""),"064-5839")</f>
        <v>064-5839</v>
      </c>
      <c r="B3060" s="6" t="str">
        <f>IFERROR(__xludf.DUMMYFUNCTION("""COMPUTED_VALUE"""),"64")</f>
        <v>64</v>
      </c>
      <c r="C3060" s="6" t="str">
        <f>IFERROR(__xludf.DUMMYFUNCTION("""COMPUTED_VALUE"""),"5839")</f>
        <v>5839</v>
      </c>
      <c r="D3060" s="6" t="str">
        <f>IFERROR(__xludf.DUMMYFUNCTION("""COMPUTED_VALUE"""),"Brock W.")</f>
        <v>Brock W.</v>
      </c>
      <c r="E3060" s="6" t="str">
        <f>IFERROR(__xludf.DUMMYFUNCTION("""COMPUTED_VALUE"""),"")</f>
        <v/>
      </c>
      <c r="F3060" s="6" t="str">
        <f>IFERROR(__xludf.DUMMYFUNCTION("""COMPUTED_VALUE"""),"Rotzien")</f>
        <v>Rotzien</v>
      </c>
      <c r="G3060" s="6" t="str">
        <f>IFERROR(__xludf.DUMMYFUNCTION("""COMPUTED_VALUE"""),"06/28/2011")</f>
        <v>06/28/2011</v>
      </c>
      <c r="H3060" s="6" t="str">
        <f>IFERROR(__xludf.DUMMYFUNCTION("""COMPUTED_VALUE"""),"Self Identify")</f>
        <v>Self Identify</v>
      </c>
      <c r="I3060" s="6" t="str">
        <f>IFERROR(__xludf.DUMMYFUNCTION("""COMPUTED_VALUE"""),"Middle School")</f>
        <v>Middle School</v>
      </c>
      <c r="J3060" s="6" t="str">
        <f>IFERROR(__xludf.DUMMYFUNCTION("""COMPUTED_VALUE"""),"8")</f>
        <v>8</v>
      </c>
      <c r="K3060" s="6" t="str">
        <f>IFERROR(__xludf.DUMMYFUNCTION("""COMPUTED_VALUE"""),"brock_rotzien@stu.ortrail.k12.or.us")</f>
        <v>brock_rotzien@stu.ortrail.k12.or.us</v>
      </c>
      <c r="L3060" s="6" t="str">
        <f>IFERROR(__xludf.DUMMYFUNCTION("""COMPUTED_VALUE"""),"Oregon Trail School District 46")</f>
        <v>Oregon Trail School District 46</v>
      </c>
      <c r="M3060" s="6" t="str">
        <f>IFERROR(__xludf.DUMMYFUNCTION("""COMPUTED_VALUE"""),"Cedar Ridge Middle School")</f>
        <v>Cedar Ridge Middle School</v>
      </c>
      <c r="N3060" s="6" t="str">
        <f>IFERROR(__xludf.DUMMYFUNCTION("""COMPUTED_VALUE"""),"")</f>
        <v/>
      </c>
      <c r="O3060" s="87" t="str">
        <f>IFERROR(__xludf.DUMMYFUNCTION("""COMPUTED_VALUE"""),"https://drive.google.com/drive/folders/10T2cTQHqEJZqE-st6uFKPoI?usp=share_link")</f>
        <v>https://drive.google.com/drive/folders/10T2cTQHqEJZqE-st6uFKPoI?usp=share_link</v>
      </c>
      <c r="P3060" s="6" t="str">
        <f>IFERROR(__xludf.DUMMYFUNCTION("""COMPUTED_VALUE"""),"Brock W. Rotzien")</f>
        <v>Brock W. Rotzien</v>
      </c>
      <c r="Q3060" s="6" t="str">
        <f>IFERROR(__xludf.DUMMYFUNCTION("""COMPUTED_VALUE"""),"MS")</f>
        <v>MS</v>
      </c>
      <c r="R3060" s="6">
        <f>IFERROR(__xludf.DUMMYFUNCTION("""COMPUTED_VALUE"""),0.0)</f>
        <v>0</v>
      </c>
      <c r="S3060" s="6" t="str">
        <f>IFERROR(__xludf.DUMMYFUNCTION("""COMPUTED_VALUE"""),"Jeremy Wedell")</f>
        <v>Jeremy Wedell</v>
      </c>
      <c r="T3060" s="6" t="str">
        <f>IFERROR(__xludf.DUMMYFUNCTION("""COMPUTED_VALUE"""),"jeremy.wedell@ortrail.k12.or.us")</f>
        <v>jeremy.wedell@ortrail.k12.or.us</v>
      </c>
      <c r="U3060" s="6" t="str">
        <f>IFERROR(__xludf.DUMMYFUNCTION("""COMPUTED_VALUE"""),"8")</f>
        <v>8</v>
      </c>
      <c r="V3060" s="6" t="str">
        <f>IFERROR(__xludf.DUMMYFUNCTION("""COMPUTED_VALUE"""),"English")</f>
        <v>English</v>
      </c>
      <c r="W3060" s="6" t="str">
        <f>IFERROR(__xludf.DUMMYFUNCTION("""COMPUTED_VALUE"""),"[]")</f>
        <v>[]</v>
      </c>
      <c r="X3060" s="6" t="str">
        <f>IFERROR(__xludf.DUMMYFUNCTION("""COMPUTED_VALUE"""),"Enrolled")</f>
        <v>Enrolled</v>
      </c>
    </row>
    <row r="3061">
      <c r="A3061" s="6" t="str">
        <f>IFERROR(__xludf.DUMMYFUNCTION("""COMPUTED_VALUE"""),"064-5841")</f>
        <v>064-5841</v>
      </c>
      <c r="B3061" s="6" t="str">
        <f>IFERROR(__xludf.DUMMYFUNCTION("""COMPUTED_VALUE"""),"64")</f>
        <v>64</v>
      </c>
      <c r="C3061" s="6" t="str">
        <f>IFERROR(__xludf.DUMMYFUNCTION("""COMPUTED_VALUE"""),"5841")</f>
        <v>5841</v>
      </c>
      <c r="D3061" s="6" t="str">
        <f>IFERROR(__xludf.DUMMYFUNCTION("""COMPUTED_VALUE"""),"Ethan M.")</f>
        <v>Ethan M.</v>
      </c>
      <c r="E3061" s="6" t="str">
        <f>IFERROR(__xludf.DUMMYFUNCTION("""COMPUTED_VALUE"""),"")</f>
        <v/>
      </c>
      <c r="F3061" s="6" t="str">
        <f>IFERROR(__xludf.DUMMYFUNCTION("""COMPUTED_VALUE"""),"Shaw")</f>
        <v>Shaw</v>
      </c>
      <c r="G3061" s="6" t="str">
        <f>IFERROR(__xludf.DUMMYFUNCTION("""COMPUTED_VALUE"""),"05/09/2012")</f>
        <v>05/09/2012</v>
      </c>
      <c r="H3061" s="6" t="str">
        <f>IFERROR(__xludf.DUMMYFUNCTION("""COMPUTED_VALUE"""),"Self Identify")</f>
        <v>Self Identify</v>
      </c>
      <c r="I3061" s="6" t="str">
        <f>IFERROR(__xludf.DUMMYFUNCTION("""COMPUTED_VALUE"""),"Middle School")</f>
        <v>Middle School</v>
      </c>
      <c r="J3061" s="6" t="str">
        <f>IFERROR(__xludf.DUMMYFUNCTION("""COMPUTED_VALUE"""),"8")</f>
        <v>8</v>
      </c>
      <c r="K3061" s="6" t="str">
        <f>IFERROR(__xludf.DUMMYFUNCTION("""COMPUTED_VALUE"""),"ethan_shaw@stu.ortrail.k12.or.us")</f>
        <v>ethan_shaw@stu.ortrail.k12.or.us</v>
      </c>
      <c r="L3061" s="6" t="str">
        <f>IFERROR(__xludf.DUMMYFUNCTION("""COMPUTED_VALUE"""),"Oregon Trail School District 46")</f>
        <v>Oregon Trail School District 46</v>
      </c>
      <c r="M3061" s="6" t="str">
        <f>IFERROR(__xludf.DUMMYFUNCTION("""COMPUTED_VALUE"""),"Cedar Ridge Middle School")</f>
        <v>Cedar Ridge Middle School</v>
      </c>
      <c r="N3061" s="6" t="str">
        <f>IFERROR(__xludf.DUMMYFUNCTION("""COMPUTED_VALUE"""),"")</f>
        <v/>
      </c>
      <c r="O3061" s="87" t="str">
        <f>IFERROR(__xludf.DUMMYFUNCTION("""COMPUTED_VALUE"""),"https://drive.google.com/drive/folders/10T2cTQHqEJZqE-st6uFKPoI?usp=share_link")</f>
        <v>https://drive.google.com/drive/folders/10T2cTQHqEJZqE-st6uFKPoI?usp=share_link</v>
      </c>
      <c r="P3061" s="6" t="str">
        <f>IFERROR(__xludf.DUMMYFUNCTION("""COMPUTED_VALUE"""),"Ethan M. Shaw")</f>
        <v>Ethan M. Shaw</v>
      </c>
      <c r="Q3061" s="6" t="str">
        <f>IFERROR(__xludf.DUMMYFUNCTION("""COMPUTED_VALUE"""),"MS")</f>
        <v>MS</v>
      </c>
      <c r="R3061" s="6">
        <f>IFERROR(__xludf.DUMMYFUNCTION("""COMPUTED_VALUE"""),0.0)</f>
        <v>0</v>
      </c>
      <c r="S3061" s="6" t="str">
        <f>IFERROR(__xludf.DUMMYFUNCTION("""COMPUTED_VALUE"""),"Jeremy Wedell")</f>
        <v>Jeremy Wedell</v>
      </c>
      <c r="T3061" s="6" t="str">
        <f>IFERROR(__xludf.DUMMYFUNCTION("""COMPUTED_VALUE"""),"jeremy.wedell@ortrail.k12.or.us")</f>
        <v>jeremy.wedell@ortrail.k12.or.us</v>
      </c>
      <c r="U3061" s="6" t="str">
        <f>IFERROR(__xludf.DUMMYFUNCTION("""COMPUTED_VALUE"""),"8")</f>
        <v>8</v>
      </c>
      <c r="V3061" s="6" t="str">
        <f>IFERROR(__xludf.DUMMYFUNCTION("""COMPUTED_VALUE"""),"English")</f>
        <v>English</v>
      </c>
      <c r="W3061" s="6" t="str">
        <f>IFERROR(__xludf.DUMMYFUNCTION("""COMPUTED_VALUE"""),"[]")</f>
        <v>[]</v>
      </c>
      <c r="X3061" s="6" t="str">
        <f>IFERROR(__xludf.DUMMYFUNCTION("""COMPUTED_VALUE"""),"Enrolled")</f>
        <v>Enrolled</v>
      </c>
    </row>
    <row r="3062">
      <c r="A3062" s="6" t="str">
        <f>IFERROR(__xludf.DUMMYFUNCTION("""COMPUTED_VALUE"""),"064-5842")</f>
        <v>064-5842</v>
      </c>
      <c r="B3062" s="6" t="str">
        <f>IFERROR(__xludf.DUMMYFUNCTION("""COMPUTED_VALUE"""),"64")</f>
        <v>64</v>
      </c>
      <c r="C3062" s="6" t="str">
        <f>IFERROR(__xludf.DUMMYFUNCTION("""COMPUTED_VALUE"""),"5842")</f>
        <v>5842</v>
      </c>
      <c r="D3062" s="6" t="str">
        <f>IFERROR(__xludf.DUMMYFUNCTION("""COMPUTED_VALUE"""),"Vivian R.")</f>
        <v>Vivian R.</v>
      </c>
      <c r="E3062" s="6" t="str">
        <f>IFERROR(__xludf.DUMMYFUNCTION("""COMPUTED_VALUE"""),"")</f>
        <v/>
      </c>
      <c r="F3062" s="6" t="str">
        <f>IFERROR(__xludf.DUMMYFUNCTION("""COMPUTED_VALUE"""),"Tagliafico")</f>
        <v>Tagliafico</v>
      </c>
      <c r="G3062" s="6" t="str">
        <f>IFERROR(__xludf.DUMMYFUNCTION("""COMPUTED_VALUE"""),"07/09/2012")</f>
        <v>07/09/2012</v>
      </c>
      <c r="H3062" s="6" t="str">
        <f>IFERROR(__xludf.DUMMYFUNCTION("""COMPUTED_VALUE"""),"F")</f>
        <v>F</v>
      </c>
      <c r="I3062" s="6" t="str">
        <f>IFERROR(__xludf.DUMMYFUNCTION("""COMPUTED_VALUE"""),"Middle School")</f>
        <v>Middle School</v>
      </c>
      <c r="J3062" s="6" t="str">
        <f>IFERROR(__xludf.DUMMYFUNCTION("""COMPUTED_VALUE"""),"8")</f>
        <v>8</v>
      </c>
      <c r="K3062" s="6" t="str">
        <f>IFERROR(__xludf.DUMMYFUNCTION("""COMPUTED_VALUE"""),"vivian_tagliafico@stu.ortrail.k12.or.us")</f>
        <v>vivian_tagliafico@stu.ortrail.k12.or.us</v>
      </c>
      <c r="L3062" s="6" t="str">
        <f>IFERROR(__xludf.DUMMYFUNCTION("""COMPUTED_VALUE"""),"Oregon Trail School District 46")</f>
        <v>Oregon Trail School District 46</v>
      </c>
      <c r="M3062" s="6" t="str">
        <f>IFERROR(__xludf.DUMMYFUNCTION("""COMPUTED_VALUE"""),"")</f>
        <v/>
      </c>
      <c r="N3062" s="6" t="str">
        <f>IFERROR(__xludf.DUMMYFUNCTION("""COMPUTED_VALUE"""),"")</f>
        <v/>
      </c>
      <c r="O3062" s="87" t="str">
        <f>IFERROR(__xludf.DUMMYFUNCTION("""COMPUTED_VALUE"""),"https://drive.google.com/drive/folders/10T2cTQHqEJZqE-st6uFKPoI?usp=share_link")</f>
        <v>https://drive.google.com/drive/folders/10T2cTQHqEJZqE-st6uFKPoI?usp=share_link</v>
      </c>
      <c r="P3062" s="6" t="str">
        <f>IFERROR(__xludf.DUMMYFUNCTION("""COMPUTED_VALUE"""),"Vivian R. Tagliafico")</f>
        <v>Vivian R. Tagliafico</v>
      </c>
      <c r="Q3062" s="6" t="str">
        <f>IFERROR(__xludf.DUMMYFUNCTION("""COMPUTED_VALUE"""),"MS")</f>
        <v>MS</v>
      </c>
      <c r="R3062" s="6">
        <f>IFERROR(__xludf.DUMMYFUNCTION("""COMPUTED_VALUE"""),0.0)</f>
        <v>0</v>
      </c>
      <c r="S3062" s="6" t="str">
        <f>IFERROR(__xludf.DUMMYFUNCTION("""COMPUTED_VALUE"""),"Genevra Self")</f>
        <v>Genevra Self</v>
      </c>
      <c r="T3062" s="6" t="str">
        <f>IFERROR(__xludf.DUMMYFUNCTION("""COMPUTED_VALUE"""),"genevra.self@studient.com")</f>
        <v>genevra.self@studient.com</v>
      </c>
      <c r="U3062" s="6" t="str">
        <f>IFERROR(__xludf.DUMMYFUNCTION("""COMPUTED_VALUE"""),"8")</f>
        <v>8</v>
      </c>
      <c r="V3062" s="6" t="str">
        <f>IFERROR(__xludf.DUMMYFUNCTION("""COMPUTED_VALUE"""),"English")</f>
        <v>English</v>
      </c>
      <c r="W3062" s="6" t="str">
        <f>IFERROR(__xludf.DUMMYFUNCTION("""COMPUTED_VALUE"""),"[]")</f>
        <v>[]</v>
      </c>
      <c r="X3062" s="6" t="str">
        <f>IFERROR(__xludf.DUMMYFUNCTION("""COMPUTED_VALUE"""),"Enrolled")</f>
        <v>Enrolled</v>
      </c>
    </row>
    <row r="3063">
      <c r="A3063" s="6" t="str">
        <f>IFERROR(__xludf.DUMMYFUNCTION("""COMPUTED_VALUE"""),"064-5843")</f>
        <v>064-5843</v>
      </c>
      <c r="B3063" s="6" t="str">
        <f>IFERROR(__xludf.DUMMYFUNCTION("""COMPUTED_VALUE"""),"64")</f>
        <v>64</v>
      </c>
      <c r="C3063" s="6" t="str">
        <f>IFERROR(__xludf.DUMMYFUNCTION("""COMPUTED_VALUE"""),"5843")</f>
        <v>5843</v>
      </c>
      <c r="D3063" s="6" t="str">
        <f>IFERROR(__xludf.DUMMYFUNCTION("""COMPUTED_VALUE"""),"Jaxon G.")</f>
        <v>Jaxon G.</v>
      </c>
      <c r="E3063" s="6" t="str">
        <f>IFERROR(__xludf.DUMMYFUNCTION("""COMPUTED_VALUE"""),"")</f>
        <v/>
      </c>
      <c r="F3063" s="6" t="str">
        <f>IFERROR(__xludf.DUMMYFUNCTION("""COMPUTED_VALUE"""),"Wakefield")</f>
        <v>Wakefield</v>
      </c>
      <c r="G3063" s="6" t="str">
        <f>IFERROR(__xludf.DUMMYFUNCTION("""COMPUTED_VALUE"""),"05/10/2012")</f>
        <v>05/10/2012</v>
      </c>
      <c r="H3063" s="6" t="str">
        <f>IFERROR(__xludf.DUMMYFUNCTION("""COMPUTED_VALUE"""),"Self Identify")</f>
        <v>Self Identify</v>
      </c>
      <c r="I3063" s="6" t="str">
        <f>IFERROR(__xludf.DUMMYFUNCTION("""COMPUTED_VALUE"""),"Middle School")</f>
        <v>Middle School</v>
      </c>
      <c r="J3063" s="6" t="str">
        <f>IFERROR(__xludf.DUMMYFUNCTION("""COMPUTED_VALUE"""),"8")</f>
        <v>8</v>
      </c>
      <c r="K3063" s="6" t="str">
        <f>IFERROR(__xludf.DUMMYFUNCTION("""COMPUTED_VALUE"""),"jax_wakefield@stu.ortrail.k12.or.us")</f>
        <v>jax_wakefield@stu.ortrail.k12.or.us</v>
      </c>
      <c r="L3063" s="6" t="str">
        <f>IFERROR(__xludf.DUMMYFUNCTION("""COMPUTED_VALUE"""),"Oregon Trail School District 46")</f>
        <v>Oregon Trail School District 46</v>
      </c>
      <c r="M3063" s="6" t="str">
        <f>IFERROR(__xludf.DUMMYFUNCTION("""COMPUTED_VALUE"""),"Cedar Ridge Middle School")</f>
        <v>Cedar Ridge Middle School</v>
      </c>
      <c r="N3063" s="6" t="str">
        <f>IFERROR(__xludf.DUMMYFUNCTION("""COMPUTED_VALUE"""),"")</f>
        <v/>
      </c>
      <c r="O3063" s="87" t="str">
        <f>IFERROR(__xludf.DUMMYFUNCTION("""COMPUTED_VALUE"""),"https://drive.google.com/drive/folders/10T2cTQHqEJZqE-st6uFKPoI?usp=share_link")</f>
        <v>https://drive.google.com/drive/folders/10T2cTQHqEJZqE-st6uFKPoI?usp=share_link</v>
      </c>
      <c r="P3063" s="6" t="str">
        <f>IFERROR(__xludf.DUMMYFUNCTION("""COMPUTED_VALUE"""),"Jaxon G. Wakefield")</f>
        <v>Jaxon G. Wakefield</v>
      </c>
      <c r="Q3063" s="6" t="str">
        <f>IFERROR(__xludf.DUMMYFUNCTION("""COMPUTED_VALUE"""),"MS")</f>
        <v>MS</v>
      </c>
      <c r="R3063" s="6">
        <f>IFERROR(__xludf.DUMMYFUNCTION("""COMPUTED_VALUE"""),0.0)</f>
        <v>0</v>
      </c>
      <c r="S3063" s="6" t="str">
        <f>IFERROR(__xludf.DUMMYFUNCTION("""COMPUTED_VALUE"""),"Jeremy Wedell")</f>
        <v>Jeremy Wedell</v>
      </c>
      <c r="T3063" s="6" t="str">
        <f>IFERROR(__xludf.DUMMYFUNCTION("""COMPUTED_VALUE"""),"jeremy.wedell@ortrail.k12.or.us")</f>
        <v>jeremy.wedell@ortrail.k12.or.us</v>
      </c>
      <c r="U3063" s="6" t="str">
        <f>IFERROR(__xludf.DUMMYFUNCTION("""COMPUTED_VALUE"""),"8")</f>
        <v>8</v>
      </c>
      <c r="V3063" s="6" t="str">
        <f>IFERROR(__xludf.DUMMYFUNCTION("""COMPUTED_VALUE"""),"English")</f>
        <v>English</v>
      </c>
      <c r="W3063" s="6" t="str">
        <f>IFERROR(__xludf.DUMMYFUNCTION("""COMPUTED_VALUE"""),"[]")</f>
        <v>[]</v>
      </c>
      <c r="X3063" s="6" t="str">
        <f>IFERROR(__xludf.DUMMYFUNCTION("""COMPUTED_VALUE"""),"Enrolled")</f>
        <v>Enrolled</v>
      </c>
    </row>
    <row r="3064">
      <c r="A3064" s="6" t="str">
        <f>IFERROR(__xludf.DUMMYFUNCTION("""COMPUTED_VALUE"""),"064-5845")</f>
        <v>064-5845</v>
      </c>
      <c r="B3064" s="6" t="str">
        <f>IFERROR(__xludf.DUMMYFUNCTION("""COMPUTED_VALUE"""),"64")</f>
        <v>64</v>
      </c>
      <c r="C3064" s="6" t="str">
        <f>IFERROR(__xludf.DUMMYFUNCTION("""COMPUTED_VALUE"""),"5845")</f>
        <v>5845</v>
      </c>
      <c r="D3064" s="6" t="str">
        <f>IFERROR(__xludf.DUMMYFUNCTION("""COMPUTED_VALUE"""),"Travis e.")</f>
        <v>Travis e.</v>
      </c>
      <c r="E3064" s="6" t="str">
        <f>IFERROR(__xludf.DUMMYFUNCTION("""COMPUTED_VALUE"""),"")</f>
        <v/>
      </c>
      <c r="F3064" s="6" t="str">
        <f>IFERROR(__xludf.DUMMYFUNCTION("""COMPUTED_VALUE"""),"Ash")</f>
        <v>Ash</v>
      </c>
      <c r="G3064" s="6" t="str">
        <f>IFERROR(__xludf.DUMMYFUNCTION("""COMPUTED_VALUE"""),"06/25/2013")</f>
        <v>06/25/2013</v>
      </c>
      <c r="H3064" s="6" t="str">
        <f>IFERROR(__xludf.DUMMYFUNCTION("""COMPUTED_VALUE"""),"Self Identify")</f>
        <v>Self Identify</v>
      </c>
      <c r="I3064" s="6" t="str">
        <f>IFERROR(__xludf.DUMMYFUNCTION("""COMPUTED_VALUE"""),"Middle School")</f>
        <v>Middle School</v>
      </c>
      <c r="J3064" s="6" t="str">
        <f>IFERROR(__xludf.DUMMYFUNCTION("""COMPUTED_VALUE"""),"7")</f>
        <v>7</v>
      </c>
      <c r="K3064" s="6" t="str">
        <f>IFERROR(__xludf.DUMMYFUNCTION("""COMPUTED_VALUE"""),"travis_ash@stu.ortrail.k12.or.us")</f>
        <v>travis_ash@stu.ortrail.k12.or.us</v>
      </c>
      <c r="L3064" s="6" t="str">
        <f>IFERROR(__xludf.DUMMYFUNCTION("""COMPUTED_VALUE"""),"Oregon Trail School District 46")</f>
        <v>Oregon Trail School District 46</v>
      </c>
      <c r="M3064" s="6" t="str">
        <f>IFERROR(__xludf.DUMMYFUNCTION("""COMPUTED_VALUE"""),"Cedar Ridge Middle School")</f>
        <v>Cedar Ridge Middle School</v>
      </c>
      <c r="N3064" s="6" t="str">
        <f>IFERROR(__xludf.DUMMYFUNCTION("""COMPUTED_VALUE"""),"")</f>
        <v/>
      </c>
      <c r="O3064" s="87" t="str">
        <f>IFERROR(__xludf.DUMMYFUNCTION("""COMPUTED_VALUE"""),"https://drive.google.com/drive/folders/10T2cTQHqEJZqE-st6uFKPoI?usp=share_link")</f>
        <v>https://drive.google.com/drive/folders/10T2cTQHqEJZqE-st6uFKPoI?usp=share_link</v>
      </c>
      <c r="P3064" s="6" t="str">
        <f>IFERROR(__xludf.DUMMYFUNCTION("""COMPUTED_VALUE"""),"Travis e. Ash")</f>
        <v>Travis e. Ash</v>
      </c>
      <c r="Q3064" s="6" t="str">
        <f>IFERROR(__xludf.DUMMYFUNCTION("""COMPUTED_VALUE"""),"MS")</f>
        <v>MS</v>
      </c>
      <c r="R3064" s="6">
        <f>IFERROR(__xludf.DUMMYFUNCTION("""COMPUTED_VALUE"""),0.0)</f>
        <v>0</v>
      </c>
      <c r="S3064" s="6" t="str">
        <f>IFERROR(__xludf.DUMMYFUNCTION("""COMPUTED_VALUE"""),"Kim Gallucci")</f>
        <v>Kim Gallucci</v>
      </c>
      <c r="T3064" s="6" t="str">
        <f>IFERROR(__xludf.DUMMYFUNCTION("""COMPUTED_VALUE"""),"kim.gallucci@ortrail.k12.or.us")</f>
        <v>kim.gallucci@ortrail.k12.or.us</v>
      </c>
      <c r="U3064" s="6" t="str">
        <f>IFERROR(__xludf.DUMMYFUNCTION("""COMPUTED_VALUE"""),"7")</f>
        <v>7</v>
      </c>
      <c r="V3064" s="6" t="str">
        <f>IFERROR(__xludf.DUMMYFUNCTION("""COMPUTED_VALUE"""),"English")</f>
        <v>English</v>
      </c>
      <c r="W3064" s="6" t="str">
        <f>IFERROR(__xludf.DUMMYFUNCTION("""COMPUTED_VALUE"""),"[]")</f>
        <v>[]</v>
      </c>
      <c r="X3064" s="6" t="str">
        <f>IFERROR(__xludf.DUMMYFUNCTION("""COMPUTED_VALUE"""),"Enrolled")</f>
        <v>Enrolled</v>
      </c>
    </row>
    <row r="3065">
      <c r="A3065" s="6" t="str">
        <f>IFERROR(__xludf.DUMMYFUNCTION("""COMPUTED_VALUE"""),"064-5846")</f>
        <v>064-5846</v>
      </c>
      <c r="B3065" s="6" t="str">
        <f>IFERROR(__xludf.DUMMYFUNCTION("""COMPUTED_VALUE"""),"64")</f>
        <v>64</v>
      </c>
      <c r="C3065" s="6" t="str">
        <f>IFERROR(__xludf.DUMMYFUNCTION("""COMPUTED_VALUE"""),"5846")</f>
        <v>5846</v>
      </c>
      <c r="D3065" s="6" t="str">
        <f>IFERROR(__xludf.DUMMYFUNCTION("""COMPUTED_VALUE"""),"Stephen E.")</f>
        <v>Stephen E.</v>
      </c>
      <c r="E3065" s="6" t="str">
        <f>IFERROR(__xludf.DUMMYFUNCTION("""COMPUTED_VALUE"""),"")</f>
        <v/>
      </c>
      <c r="F3065" s="6" t="str">
        <f>IFERROR(__xludf.DUMMYFUNCTION("""COMPUTED_VALUE"""),"Azurdia")</f>
        <v>Azurdia</v>
      </c>
      <c r="G3065" s="6" t="str">
        <f>IFERROR(__xludf.DUMMYFUNCTION("""COMPUTED_VALUE"""),"11/28/2013")</f>
        <v>11/28/2013</v>
      </c>
      <c r="H3065" s="6" t="str">
        <f>IFERROR(__xludf.DUMMYFUNCTION("""COMPUTED_VALUE"""),"Self Identify")</f>
        <v>Self Identify</v>
      </c>
      <c r="I3065" s="6" t="str">
        <f>IFERROR(__xludf.DUMMYFUNCTION("""COMPUTED_VALUE"""),"Middle School")</f>
        <v>Middle School</v>
      </c>
      <c r="J3065" s="6" t="str">
        <f>IFERROR(__xludf.DUMMYFUNCTION("""COMPUTED_VALUE"""),"6")</f>
        <v>6</v>
      </c>
      <c r="K3065" s="6" t="str">
        <f>IFERROR(__xludf.DUMMYFUNCTION("""COMPUTED_VALUE"""),"elijah_azurdia@stu.ortrail.k12.or.us")</f>
        <v>elijah_azurdia@stu.ortrail.k12.or.us</v>
      </c>
      <c r="L3065" s="6" t="str">
        <f>IFERROR(__xludf.DUMMYFUNCTION("""COMPUTED_VALUE"""),"Oregon Trail School District 46")</f>
        <v>Oregon Trail School District 46</v>
      </c>
      <c r="M3065" s="6" t="str">
        <f>IFERROR(__xludf.DUMMYFUNCTION("""COMPUTED_VALUE"""),"Cedar Ridge Middle School")</f>
        <v>Cedar Ridge Middle School</v>
      </c>
      <c r="N3065" s="6" t="str">
        <f>IFERROR(__xludf.DUMMYFUNCTION("""COMPUTED_VALUE"""),"")</f>
        <v/>
      </c>
      <c r="O3065" s="87" t="str">
        <f>IFERROR(__xludf.DUMMYFUNCTION("""COMPUTED_VALUE"""),"https://drive.google.com/drive/folders/10T2cTQHqEJZqE-st6uFKPoI?usp=share_link")</f>
        <v>https://drive.google.com/drive/folders/10T2cTQHqEJZqE-st6uFKPoI?usp=share_link</v>
      </c>
      <c r="P3065" s="6" t="str">
        <f>IFERROR(__xludf.DUMMYFUNCTION("""COMPUTED_VALUE"""),"Stephen E. Azurdia")</f>
        <v>Stephen E. Azurdia</v>
      </c>
      <c r="Q3065" s="6" t="str">
        <f>IFERROR(__xludf.DUMMYFUNCTION("""COMPUTED_VALUE"""),"MS")</f>
        <v>MS</v>
      </c>
      <c r="R3065" s="6">
        <f>IFERROR(__xludf.DUMMYFUNCTION("""COMPUTED_VALUE"""),0.0)</f>
        <v>0</v>
      </c>
      <c r="S3065" s="6" t="str">
        <f>IFERROR(__xludf.DUMMYFUNCTION("""COMPUTED_VALUE"""),"Kim Gallucci")</f>
        <v>Kim Gallucci</v>
      </c>
      <c r="T3065" s="6" t="str">
        <f>IFERROR(__xludf.DUMMYFUNCTION("""COMPUTED_VALUE"""),"kim.gallucci@ortrail.k12.or.us")</f>
        <v>kim.gallucci@ortrail.k12.or.us</v>
      </c>
      <c r="U3065" s="6" t="str">
        <f>IFERROR(__xludf.DUMMYFUNCTION("""COMPUTED_VALUE"""),"6")</f>
        <v>6</v>
      </c>
      <c r="V3065" s="6" t="str">
        <f>IFERROR(__xludf.DUMMYFUNCTION("""COMPUTED_VALUE"""),"English")</f>
        <v>English</v>
      </c>
      <c r="W3065" s="6" t="str">
        <f>IFERROR(__xludf.DUMMYFUNCTION("""COMPUTED_VALUE"""),"[]")</f>
        <v>[]</v>
      </c>
      <c r="X3065" s="6" t="str">
        <f>IFERROR(__xludf.DUMMYFUNCTION("""COMPUTED_VALUE"""),"Enrolled")</f>
        <v>Enrolled</v>
      </c>
    </row>
    <row r="3066">
      <c r="A3066" s="6" t="str">
        <f>IFERROR(__xludf.DUMMYFUNCTION("""COMPUTED_VALUE"""),"064-5847")</f>
        <v>064-5847</v>
      </c>
      <c r="B3066" s="6" t="str">
        <f>IFERROR(__xludf.DUMMYFUNCTION("""COMPUTED_VALUE"""),"64")</f>
        <v>64</v>
      </c>
      <c r="C3066" s="6" t="str">
        <f>IFERROR(__xludf.DUMMYFUNCTION("""COMPUTED_VALUE"""),"5847")</f>
        <v>5847</v>
      </c>
      <c r="D3066" s="6" t="str">
        <f>IFERROR(__xludf.DUMMYFUNCTION("""COMPUTED_VALUE"""),"Allie G.")</f>
        <v>Allie G.</v>
      </c>
      <c r="E3066" s="6" t="str">
        <f>IFERROR(__xludf.DUMMYFUNCTION("""COMPUTED_VALUE"""),"")</f>
        <v/>
      </c>
      <c r="F3066" s="6" t="str">
        <f>IFERROR(__xludf.DUMMYFUNCTION("""COMPUTED_VALUE"""),"Bennett")</f>
        <v>Bennett</v>
      </c>
      <c r="G3066" s="6" t="str">
        <f>IFERROR(__xludf.DUMMYFUNCTION("""COMPUTED_VALUE"""),"01/05/2012")</f>
        <v>01/05/2012</v>
      </c>
      <c r="H3066" s="6" t="str">
        <f>IFERROR(__xludf.DUMMYFUNCTION("""COMPUTED_VALUE"""),"Self Identify")</f>
        <v>Self Identify</v>
      </c>
      <c r="I3066" s="6" t="str">
        <f>IFERROR(__xludf.DUMMYFUNCTION("""COMPUTED_VALUE"""),"Middle School")</f>
        <v>Middle School</v>
      </c>
      <c r="J3066" s="6" t="str">
        <f>IFERROR(__xludf.DUMMYFUNCTION("""COMPUTED_VALUE"""),"8")</f>
        <v>8</v>
      </c>
      <c r="K3066" s="6" t="str">
        <f>IFERROR(__xludf.DUMMYFUNCTION("""COMPUTED_VALUE"""),"allie_bennett@stu.ortrail.k12.or.us")</f>
        <v>allie_bennett@stu.ortrail.k12.or.us</v>
      </c>
      <c r="L3066" s="6" t="str">
        <f>IFERROR(__xludf.DUMMYFUNCTION("""COMPUTED_VALUE"""),"Oregon Trail School District 46")</f>
        <v>Oregon Trail School District 46</v>
      </c>
      <c r="M3066" s="6" t="str">
        <f>IFERROR(__xludf.DUMMYFUNCTION("""COMPUTED_VALUE"""),"Cedar Ridge Middle School")</f>
        <v>Cedar Ridge Middle School</v>
      </c>
      <c r="N3066" s="6" t="str">
        <f>IFERROR(__xludf.DUMMYFUNCTION("""COMPUTED_VALUE"""),"")</f>
        <v/>
      </c>
      <c r="O3066" s="87" t="str">
        <f>IFERROR(__xludf.DUMMYFUNCTION("""COMPUTED_VALUE"""),"https://drive.google.com/drive/folders/10T2cTQHqEJZqE-st6uFKPoI?usp=share_link")</f>
        <v>https://drive.google.com/drive/folders/10T2cTQHqEJZqE-st6uFKPoI?usp=share_link</v>
      </c>
      <c r="P3066" s="6" t="str">
        <f>IFERROR(__xludf.DUMMYFUNCTION("""COMPUTED_VALUE"""),"Allie G. Bennett")</f>
        <v>Allie G. Bennett</v>
      </c>
      <c r="Q3066" s="6" t="str">
        <f>IFERROR(__xludf.DUMMYFUNCTION("""COMPUTED_VALUE"""),"MS")</f>
        <v>MS</v>
      </c>
      <c r="R3066" s="6">
        <f>IFERROR(__xludf.DUMMYFUNCTION("""COMPUTED_VALUE"""),0.0)</f>
        <v>0</v>
      </c>
      <c r="S3066" s="6" t="str">
        <f>IFERROR(__xludf.DUMMYFUNCTION("""COMPUTED_VALUE"""),"Kim Gallucci")</f>
        <v>Kim Gallucci</v>
      </c>
      <c r="T3066" s="6" t="str">
        <f>IFERROR(__xludf.DUMMYFUNCTION("""COMPUTED_VALUE"""),"kim.gallucci@ortrail.k12.or.us")</f>
        <v>kim.gallucci@ortrail.k12.or.us</v>
      </c>
      <c r="U3066" s="6" t="str">
        <f>IFERROR(__xludf.DUMMYFUNCTION("""COMPUTED_VALUE"""),"8")</f>
        <v>8</v>
      </c>
      <c r="V3066" s="6" t="str">
        <f>IFERROR(__xludf.DUMMYFUNCTION("""COMPUTED_VALUE"""),"English")</f>
        <v>English</v>
      </c>
      <c r="W3066" s="6" t="str">
        <f>IFERROR(__xludf.DUMMYFUNCTION("""COMPUTED_VALUE"""),"[]")</f>
        <v>[]</v>
      </c>
      <c r="X3066" s="6" t="str">
        <f>IFERROR(__xludf.DUMMYFUNCTION("""COMPUTED_VALUE"""),"Enrolled")</f>
        <v>Enrolled</v>
      </c>
    </row>
    <row r="3067">
      <c r="A3067" s="6" t="str">
        <f>IFERROR(__xludf.DUMMYFUNCTION("""COMPUTED_VALUE"""),"064-5848")</f>
        <v>064-5848</v>
      </c>
      <c r="B3067" s="6" t="str">
        <f>IFERROR(__xludf.DUMMYFUNCTION("""COMPUTED_VALUE"""),"64")</f>
        <v>64</v>
      </c>
      <c r="C3067" s="6" t="str">
        <f>IFERROR(__xludf.DUMMYFUNCTION("""COMPUTED_VALUE"""),"5848")</f>
        <v>5848</v>
      </c>
      <c r="D3067" s="6" t="str">
        <f>IFERROR(__xludf.DUMMYFUNCTION("""COMPUTED_VALUE"""),"DeMario E.")</f>
        <v>DeMario E.</v>
      </c>
      <c r="E3067" s="6" t="str">
        <f>IFERROR(__xludf.DUMMYFUNCTION("""COMPUTED_VALUE"""),"")</f>
        <v/>
      </c>
      <c r="F3067" s="6" t="str">
        <f>IFERROR(__xludf.DUMMYFUNCTION("""COMPUTED_VALUE"""),"Bershell")</f>
        <v>Bershell</v>
      </c>
      <c r="G3067" s="6" t="str">
        <f>IFERROR(__xludf.DUMMYFUNCTION("""COMPUTED_VALUE"""),"12/17/2010")</f>
        <v>12/17/2010</v>
      </c>
      <c r="H3067" s="6" t="str">
        <f>IFERROR(__xludf.DUMMYFUNCTION("""COMPUTED_VALUE"""),"Self Identify")</f>
        <v>Self Identify</v>
      </c>
      <c r="I3067" s="6" t="str">
        <f>IFERROR(__xludf.DUMMYFUNCTION("""COMPUTED_VALUE"""),"Middle School")</f>
        <v>Middle School</v>
      </c>
      <c r="J3067" s="6" t="str">
        <f>IFERROR(__xludf.DUMMYFUNCTION("""COMPUTED_VALUE"""),"8")</f>
        <v>8</v>
      </c>
      <c r="K3067" s="6" t="str">
        <f>IFERROR(__xludf.DUMMYFUNCTION("""COMPUTED_VALUE"""),"mario_bershell@stu.ortrail.k12.or.us")</f>
        <v>mario_bershell@stu.ortrail.k12.or.us</v>
      </c>
      <c r="L3067" s="6" t="str">
        <f>IFERROR(__xludf.DUMMYFUNCTION("""COMPUTED_VALUE"""),"Oregon Trail School District 46")</f>
        <v>Oregon Trail School District 46</v>
      </c>
      <c r="M3067" s="6" t="str">
        <f>IFERROR(__xludf.DUMMYFUNCTION("""COMPUTED_VALUE"""),"Cedar Ridge Middle School")</f>
        <v>Cedar Ridge Middle School</v>
      </c>
      <c r="N3067" s="6" t="str">
        <f>IFERROR(__xludf.DUMMYFUNCTION("""COMPUTED_VALUE"""),"")</f>
        <v/>
      </c>
      <c r="O3067" s="87" t="str">
        <f>IFERROR(__xludf.DUMMYFUNCTION("""COMPUTED_VALUE"""),"https://drive.google.com/drive/folders/10T2cTQHqEJZqE-st6uFKPoI?usp=share_link")</f>
        <v>https://drive.google.com/drive/folders/10T2cTQHqEJZqE-st6uFKPoI?usp=share_link</v>
      </c>
      <c r="P3067" s="6" t="str">
        <f>IFERROR(__xludf.DUMMYFUNCTION("""COMPUTED_VALUE"""),"DeMario E. Bershell")</f>
        <v>DeMario E. Bershell</v>
      </c>
      <c r="Q3067" s="6" t="str">
        <f>IFERROR(__xludf.DUMMYFUNCTION("""COMPUTED_VALUE"""),"MS")</f>
        <v>MS</v>
      </c>
      <c r="R3067" s="6">
        <f>IFERROR(__xludf.DUMMYFUNCTION("""COMPUTED_VALUE"""),0.0)</f>
        <v>0</v>
      </c>
      <c r="S3067" s="6" t="str">
        <f>IFERROR(__xludf.DUMMYFUNCTION("""COMPUTED_VALUE"""),"Kim Gallucci")</f>
        <v>Kim Gallucci</v>
      </c>
      <c r="T3067" s="6" t="str">
        <f>IFERROR(__xludf.DUMMYFUNCTION("""COMPUTED_VALUE"""),"kim.gallucci@ortrail.k12.or.us")</f>
        <v>kim.gallucci@ortrail.k12.or.us</v>
      </c>
      <c r="U3067" s="6" t="str">
        <f>IFERROR(__xludf.DUMMYFUNCTION("""COMPUTED_VALUE"""),"8")</f>
        <v>8</v>
      </c>
      <c r="V3067" s="6" t="str">
        <f>IFERROR(__xludf.DUMMYFUNCTION("""COMPUTED_VALUE"""),"English")</f>
        <v>English</v>
      </c>
      <c r="W3067" s="6" t="str">
        <f>IFERROR(__xludf.DUMMYFUNCTION("""COMPUTED_VALUE"""),"[]")</f>
        <v>[]</v>
      </c>
      <c r="X3067" s="6" t="str">
        <f>IFERROR(__xludf.DUMMYFUNCTION("""COMPUTED_VALUE"""),"Enrolled")</f>
        <v>Enrolled</v>
      </c>
    </row>
    <row r="3068">
      <c r="A3068" s="6" t="str">
        <f>IFERROR(__xludf.DUMMYFUNCTION("""COMPUTED_VALUE"""),"064-5849")</f>
        <v>064-5849</v>
      </c>
      <c r="B3068" s="6" t="str">
        <f>IFERROR(__xludf.DUMMYFUNCTION("""COMPUTED_VALUE"""),"64")</f>
        <v>64</v>
      </c>
      <c r="C3068" s="6" t="str">
        <f>IFERROR(__xludf.DUMMYFUNCTION("""COMPUTED_VALUE"""),"5849")</f>
        <v>5849</v>
      </c>
      <c r="D3068" s="6" t="str">
        <f>IFERROR(__xludf.DUMMYFUNCTION("""COMPUTED_VALUE"""),"Stetson D.")</f>
        <v>Stetson D.</v>
      </c>
      <c r="E3068" s="6" t="str">
        <f>IFERROR(__xludf.DUMMYFUNCTION("""COMPUTED_VALUE"""),"")</f>
        <v/>
      </c>
      <c r="F3068" s="6" t="str">
        <f>IFERROR(__xludf.DUMMYFUNCTION("""COMPUTED_VALUE"""),"Best")</f>
        <v>Best</v>
      </c>
      <c r="G3068" s="6" t="str">
        <f>IFERROR(__xludf.DUMMYFUNCTION("""COMPUTED_VALUE"""),"09/24/2013")</f>
        <v>09/24/2013</v>
      </c>
      <c r="H3068" s="6" t="str">
        <f>IFERROR(__xludf.DUMMYFUNCTION("""COMPUTED_VALUE"""),"Self Identify")</f>
        <v>Self Identify</v>
      </c>
      <c r="I3068" s="6" t="str">
        <f>IFERROR(__xludf.DUMMYFUNCTION("""COMPUTED_VALUE"""),"Middle School")</f>
        <v>Middle School</v>
      </c>
      <c r="J3068" s="6" t="str">
        <f>IFERROR(__xludf.DUMMYFUNCTION("""COMPUTED_VALUE"""),"6")</f>
        <v>6</v>
      </c>
      <c r="K3068" s="6" t="str">
        <f>IFERROR(__xludf.DUMMYFUNCTION("""COMPUTED_VALUE"""),"stetson_best@stu.ortrail.k12.or.us")</f>
        <v>stetson_best@stu.ortrail.k12.or.us</v>
      </c>
      <c r="L3068" s="6" t="str">
        <f>IFERROR(__xludf.DUMMYFUNCTION("""COMPUTED_VALUE"""),"Oregon Trail School District 46")</f>
        <v>Oregon Trail School District 46</v>
      </c>
      <c r="M3068" s="6" t="str">
        <f>IFERROR(__xludf.DUMMYFUNCTION("""COMPUTED_VALUE"""),"Cedar Ridge Middle School")</f>
        <v>Cedar Ridge Middle School</v>
      </c>
      <c r="N3068" s="6" t="str">
        <f>IFERROR(__xludf.DUMMYFUNCTION("""COMPUTED_VALUE"""),"")</f>
        <v/>
      </c>
      <c r="O3068" s="87" t="str">
        <f>IFERROR(__xludf.DUMMYFUNCTION("""COMPUTED_VALUE"""),"https://drive.google.com/drive/folders/10T2cTQHqEJZqE-st6uFKPoI?usp=share_link")</f>
        <v>https://drive.google.com/drive/folders/10T2cTQHqEJZqE-st6uFKPoI?usp=share_link</v>
      </c>
      <c r="P3068" s="6" t="str">
        <f>IFERROR(__xludf.DUMMYFUNCTION("""COMPUTED_VALUE"""),"Stetson D. Best")</f>
        <v>Stetson D. Best</v>
      </c>
      <c r="Q3068" s="6" t="str">
        <f>IFERROR(__xludf.DUMMYFUNCTION("""COMPUTED_VALUE"""),"MS")</f>
        <v>MS</v>
      </c>
      <c r="R3068" s="6">
        <f>IFERROR(__xludf.DUMMYFUNCTION("""COMPUTED_VALUE"""),0.0)</f>
        <v>0</v>
      </c>
      <c r="S3068" s="6" t="str">
        <f>IFERROR(__xludf.DUMMYFUNCTION("""COMPUTED_VALUE"""),"Kim Gallucci")</f>
        <v>Kim Gallucci</v>
      </c>
      <c r="T3068" s="6" t="str">
        <f>IFERROR(__xludf.DUMMYFUNCTION("""COMPUTED_VALUE"""),"kim.gallucci@ortrail.k12.or.us")</f>
        <v>kim.gallucci@ortrail.k12.or.us</v>
      </c>
      <c r="U3068" s="6" t="str">
        <f>IFERROR(__xludf.DUMMYFUNCTION("""COMPUTED_VALUE"""),"6")</f>
        <v>6</v>
      </c>
      <c r="V3068" s="6" t="str">
        <f>IFERROR(__xludf.DUMMYFUNCTION("""COMPUTED_VALUE"""),"English")</f>
        <v>English</v>
      </c>
      <c r="W3068" s="6" t="str">
        <f>IFERROR(__xludf.DUMMYFUNCTION("""COMPUTED_VALUE"""),"[]")</f>
        <v>[]</v>
      </c>
      <c r="X3068" s="6" t="str">
        <f>IFERROR(__xludf.DUMMYFUNCTION("""COMPUTED_VALUE"""),"Enrolled")</f>
        <v>Enrolled</v>
      </c>
    </row>
    <row r="3069">
      <c r="A3069" s="6" t="str">
        <f>IFERROR(__xludf.DUMMYFUNCTION("""COMPUTED_VALUE"""),"064-5850")</f>
        <v>064-5850</v>
      </c>
      <c r="B3069" s="6" t="str">
        <f>IFERROR(__xludf.DUMMYFUNCTION("""COMPUTED_VALUE"""),"64")</f>
        <v>64</v>
      </c>
      <c r="C3069" s="6" t="str">
        <f>IFERROR(__xludf.DUMMYFUNCTION("""COMPUTED_VALUE"""),"5850")</f>
        <v>5850</v>
      </c>
      <c r="D3069" s="6" t="str">
        <f>IFERROR(__xludf.DUMMYFUNCTION("""COMPUTED_VALUE"""),"Mason R.")</f>
        <v>Mason R.</v>
      </c>
      <c r="E3069" s="6" t="str">
        <f>IFERROR(__xludf.DUMMYFUNCTION("""COMPUTED_VALUE"""),"")</f>
        <v/>
      </c>
      <c r="F3069" s="6" t="str">
        <f>IFERROR(__xludf.DUMMYFUNCTION("""COMPUTED_VALUE"""),"Blackwood")</f>
        <v>Blackwood</v>
      </c>
      <c r="G3069" s="6" t="str">
        <f>IFERROR(__xludf.DUMMYFUNCTION("""COMPUTED_VALUE"""),"06/26/2012")</f>
        <v>06/26/2012</v>
      </c>
      <c r="H3069" s="6" t="str">
        <f>IFERROR(__xludf.DUMMYFUNCTION("""COMPUTED_VALUE"""),"Self Identify")</f>
        <v>Self Identify</v>
      </c>
      <c r="I3069" s="6" t="str">
        <f>IFERROR(__xludf.DUMMYFUNCTION("""COMPUTED_VALUE"""),"Middle School")</f>
        <v>Middle School</v>
      </c>
      <c r="J3069" s="6" t="str">
        <f>IFERROR(__xludf.DUMMYFUNCTION("""COMPUTED_VALUE"""),"8")</f>
        <v>8</v>
      </c>
      <c r="K3069" s="6" t="str">
        <f>IFERROR(__xludf.DUMMYFUNCTION("""COMPUTED_VALUE"""),"mason_blackwood@stu.ortrail.k12.or.us")</f>
        <v>mason_blackwood@stu.ortrail.k12.or.us</v>
      </c>
      <c r="L3069" s="6" t="str">
        <f>IFERROR(__xludf.DUMMYFUNCTION("""COMPUTED_VALUE"""),"Oregon Trail School District 46")</f>
        <v>Oregon Trail School District 46</v>
      </c>
      <c r="M3069" s="6" t="str">
        <f>IFERROR(__xludf.DUMMYFUNCTION("""COMPUTED_VALUE"""),"Cedar Ridge Middle School")</f>
        <v>Cedar Ridge Middle School</v>
      </c>
      <c r="N3069" s="6" t="str">
        <f>IFERROR(__xludf.DUMMYFUNCTION("""COMPUTED_VALUE"""),"")</f>
        <v/>
      </c>
      <c r="O3069" s="87" t="str">
        <f>IFERROR(__xludf.DUMMYFUNCTION("""COMPUTED_VALUE"""),"https://drive.google.com/drive/folders/10T2cTQHqEJZqE-st6uFKPoI?usp=share_link")</f>
        <v>https://drive.google.com/drive/folders/10T2cTQHqEJZqE-st6uFKPoI?usp=share_link</v>
      </c>
      <c r="P3069" s="6" t="str">
        <f>IFERROR(__xludf.DUMMYFUNCTION("""COMPUTED_VALUE"""),"Mason R. Blackwood")</f>
        <v>Mason R. Blackwood</v>
      </c>
      <c r="Q3069" s="6" t="str">
        <f>IFERROR(__xludf.DUMMYFUNCTION("""COMPUTED_VALUE"""),"MS")</f>
        <v>MS</v>
      </c>
      <c r="R3069" s="6">
        <f>IFERROR(__xludf.DUMMYFUNCTION("""COMPUTED_VALUE"""),0.0)</f>
        <v>0</v>
      </c>
      <c r="S3069" s="6" t="str">
        <f>IFERROR(__xludf.DUMMYFUNCTION("""COMPUTED_VALUE"""),"Kim Gallucci")</f>
        <v>Kim Gallucci</v>
      </c>
      <c r="T3069" s="6" t="str">
        <f>IFERROR(__xludf.DUMMYFUNCTION("""COMPUTED_VALUE"""),"kim.gallucci@ortrail.k12.or.us")</f>
        <v>kim.gallucci@ortrail.k12.or.us</v>
      </c>
      <c r="U3069" s="6" t="str">
        <f>IFERROR(__xludf.DUMMYFUNCTION("""COMPUTED_VALUE"""),"8")</f>
        <v>8</v>
      </c>
      <c r="V3069" s="6" t="str">
        <f>IFERROR(__xludf.DUMMYFUNCTION("""COMPUTED_VALUE"""),"English")</f>
        <v>English</v>
      </c>
      <c r="W3069" s="6" t="str">
        <f>IFERROR(__xludf.DUMMYFUNCTION("""COMPUTED_VALUE"""),"[]")</f>
        <v>[]</v>
      </c>
      <c r="X3069" s="6" t="str">
        <f>IFERROR(__xludf.DUMMYFUNCTION("""COMPUTED_VALUE"""),"Enrolled")</f>
        <v>Enrolled</v>
      </c>
    </row>
    <row r="3070">
      <c r="A3070" s="6" t="str">
        <f>IFERROR(__xludf.DUMMYFUNCTION("""COMPUTED_VALUE"""),"064-5851")</f>
        <v>064-5851</v>
      </c>
      <c r="B3070" s="6" t="str">
        <f>IFERROR(__xludf.DUMMYFUNCTION("""COMPUTED_VALUE"""),"64")</f>
        <v>64</v>
      </c>
      <c r="C3070" s="6" t="str">
        <f>IFERROR(__xludf.DUMMYFUNCTION("""COMPUTED_VALUE"""),"5851")</f>
        <v>5851</v>
      </c>
      <c r="D3070" s="6" t="str">
        <f>IFERROR(__xludf.DUMMYFUNCTION("""COMPUTED_VALUE"""),"Raiden L.")</f>
        <v>Raiden L.</v>
      </c>
      <c r="E3070" s="6" t="str">
        <f>IFERROR(__xludf.DUMMYFUNCTION("""COMPUTED_VALUE"""),"")</f>
        <v/>
      </c>
      <c r="F3070" s="6" t="str">
        <f>IFERROR(__xludf.DUMMYFUNCTION("""COMPUTED_VALUE"""),"Brist")</f>
        <v>Brist</v>
      </c>
      <c r="G3070" s="6" t="str">
        <f>IFERROR(__xludf.DUMMYFUNCTION("""COMPUTED_VALUE"""),"09/27/2011")</f>
        <v>09/27/2011</v>
      </c>
      <c r="H3070" s="6" t="str">
        <f>IFERROR(__xludf.DUMMYFUNCTION("""COMPUTED_VALUE"""),"Self Identify")</f>
        <v>Self Identify</v>
      </c>
      <c r="I3070" s="6" t="str">
        <f>IFERROR(__xludf.DUMMYFUNCTION("""COMPUTED_VALUE"""),"Middle School")</f>
        <v>Middle School</v>
      </c>
      <c r="J3070" s="6" t="str">
        <f>IFERROR(__xludf.DUMMYFUNCTION("""COMPUTED_VALUE"""),"8")</f>
        <v>8</v>
      </c>
      <c r="K3070" s="6" t="str">
        <f>IFERROR(__xludf.DUMMYFUNCTION("""COMPUTED_VALUE"""),"raiden_brist@stu.ortrail.k12.or.us")</f>
        <v>raiden_brist@stu.ortrail.k12.or.us</v>
      </c>
      <c r="L3070" s="6" t="str">
        <f>IFERROR(__xludf.DUMMYFUNCTION("""COMPUTED_VALUE"""),"Oregon Trail School District 46")</f>
        <v>Oregon Trail School District 46</v>
      </c>
      <c r="M3070" s="6" t="str">
        <f>IFERROR(__xludf.DUMMYFUNCTION("""COMPUTED_VALUE"""),"Cedar Ridge Middle School")</f>
        <v>Cedar Ridge Middle School</v>
      </c>
      <c r="N3070" s="6" t="str">
        <f>IFERROR(__xludf.DUMMYFUNCTION("""COMPUTED_VALUE"""),"")</f>
        <v/>
      </c>
      <c r="O3070" s="87" t="str">
        <f>IFERROR(__xludf.DUMMYFUNCTION("""COMPUTED_VALUE"""),"https://drive.google.com/drive/folders/10T2cTQHqEJZqE-st6uFKPoI?usp=share_link")</f>
        <v>https://drive.google.com/drive/folders/10T2cTQHqEJZqE-st6uFKPoI?usp=share_link</v>
      </c>
      <c r="P3070" s="6" t="str">
        <f>IFERROR(__xludf.DUMMYFUNCTION("""COMPUTED_VALUE"""),"Raiden L. Brist")</f>
        <v>Raiden L. Brist</v>
      </c>
      <c r="Q3070" s="6" t="str">
        <f>IFERROR(__xludf.DUMMYFUNCTION("""COMPUTED_VALUE"""),"MS")</f>
        <v>MS</v>
      </c>
      <c r="R3070" s="6">
        <f>IFERROR(__xludf.DUMMYFUNCTION("""COMPUTED_VALUE"""),0.0)</f>
        <v>0</v>
      </c>
      <c r="S3070" s="6" t="str">
        <f>IFERROR(__xludf.DUMMYFUNCTION("""COMPUTED_VALUE"""),"Kim Gallucci")</f>
        <v>Kim Gallucci</v>
      </c>
      <c r="T3070" s="6" t="str">
        <f>IFERROR(__xludf.DUMMYFUNCTION("""COMPUTED_VALUE"""),"kim.gallucci@ortrail.k12.or.us")</f>
        <v>kim.gallucci@ortrail.k12.or.us</v>
      </c>
      <c r="U3070" s="6" t="str">
        <f>IFERROR(__xludf.DUMMYFUNCTION("""COMPUTED_VALUE"""),"8")</f>
        <v>8</v>
      </c>
      <c r="V3070" s="6" t="str">
        <f>IFERROR(__xludf.DUMMYFUNCTION("""COMPUTED_VALUE"""),"English")</f>
        <v>English</v>
      </c>
      <c r="W3070" s="6" t="str">
        <f>IFERROR(__xludf.DUMMYFUNCTION("""COMPUTED_VALUE"""),"[]")</f>
        <v>[]</v>
      </c>
      <c r="X3070" s="6" t="str">
        <f>IFERROR(__xludf.DUMMYFUNCTION("""COMPUTED_VALUE"""),"Enrolled")</f>
        <v>Enrolled</v>
      </c>
    </row>
    <row r="3071">
      <c r="A3071" s="6" t="str">
        <f>IFERROR(__xludf.DUMMYFUNCTION("""COMPUTED_VALUE"""),"064-5852")</f>
        <v>064-5852</v>
      </c>
      <c r="B3071" s="6" t="str">
        <f>IFERROR(__xludf.DUMMYFUNCTION("""COMPUTED_VALUE"""),"64")</f>
        <v>64</v>
      </c>
      <c r="C3071" s="6" t="str">
        <f>IFERROR(__xludf.DUMMYFUNCTION("""COMPUTED_VALUE"""),"5852")</f>
        <v>5852</v>
      </c>
      <c r="D3071" s="6" t="str">
        <f>IFERROR(__xludf.DUMMYFUNCTION("""COMPUTED_VALUE"""),"Natalie R.")</f>
        <v>Natalie R.</v>
      </c>
      <c r="E3071" s="6" t="str">
        <f>IFERROR(__xludf.DUMMYFUNCTION("""COMPUTED_VALUE"""),"")</f>
        <v/>
      </c>
      <c r="F3071" s="6" t="str">
        <f>IFERROR(__xludf.DUMMYFUNCTION("""COMPUTED_VALUE"""),"Burbank")</f>
        <v>Burbank</v>
      </c>
      <c r="G3071" s="6" t="str">
        <f>IFERROR(__xludf.DUMMYFUNCTION("""COMPUTED_VALUE"""),"04/03/2013")</f>
        <v>04/03/2013</v>
      </c>
      <c r="H3071" s="6" t="str">
        <f>IFERROR(__xludf.DUMMYFUNCTION("""COMPUTED_VALUE"""),"Self Identify")</f>
        <v>Self Identify</v>
      </c>
      <c r="I3071" s="6" t="str">
        <f>IFERROR(__xludf.DUMMYFUNCTION("""COMPUTED_VALUE"""),"Middle School")</f>
        <v>Middle School</v>
      </c>
      <c r="J3071" s="6" t="str">
        <f>IFERROR(__xludf.DUMMYFUNCTION("""COMPUTED_VALUE"""),"7")</f>
        <v>7</v>
      </c>
      <c r="K3071" s="6" t="str">
        <f>IFERROR(__xludf.DUMMYFUNCTION("""COMPUTED_VALUE"""),"nat_burbank@stu.ortrail.k12.or.us")</f>
        <v>nat_burbank@stu.ortrail.k12.or.us</v>
      </c>
      <c r="L3071" s="6" t="str">
        <f>IFERROR(__xludf.DUMMYFUNCTION("""COMPUTED_VALUE"""),"Oregon Trail School District 46")</f>
        <v>Oregon Trail School District 46</v>
      </c>
      <c r="M3071" s="6" t="str">
        <f>IFERROR(__xludf.DUMMYFUNCTION("""COMPUTED_VALUE"""),"Cedar Ridge Middle School")</f>
        <v>Cedar Ridge Middle School</v>
      </c>
      <c r="N3071" s="6" t="str">
        <f>IFERROR(__xludf.DUMMYFUNCTION("""COMPUTED_VALUE"""),"")</f>
        <v/>
      </c>
      <c r="O3071" s="87" t="str">
        <f>IFERROR(__xludf.DUMMYFUNCTION("""COMPUTED_VALUE"""),"https://drive.google.com/drive/folders/10T2cTQHqEJZqE-st6uFKPoI?usp=share_link")</f>
        <v>https://drive.google.com/drive/folders/10T2cTQHqEJZqE-st6uFKPoI?usp=share_link</v>
      </c>
      <c r="P3071" s="6" t="str">
        <f>IFERROR(__xludf.DUMMYFUNCTION("""COMPUTED_VALUE"""),"Natalie R. Burbank")</f>
        <v>Natalie R. Burbank</v>
      </c>
      <c r="Q3071" s="6" t="str">
        <f>IFERROR(__xludf.DUMMYFUNCTION("""COMPUTED_VALUE"""),"MS")</f>
        <v>MS</v>
      </c>
      <c r="R3071" s="6">
        <f>IFERROR(__xludf.DUMMYFUNCTION("""COMPUTED_VALUE"""),0.0)</f>
        <v>0</v>
      </c>
      <c r="S3071" s="6" t="str">
        <f>IFERROR(__xludf.DUMMYFUNCTION("""COMPUTED_VALUE"""),"Kim Gallucci")</f>
        <v>Kim Gallucci</v>
      </c>
      <c r="T3071" s="6" t="str">
        <f>IFERROR(__xludf.DUMMYFUNCTION("""COMPUTED_VALUE"""),"kim.gallucci@ortrail.k12.or.us")</f>
        <v>kim.gallucci@ortrail.k12.or.us</v>
      </c>
      <c r="U3071" s="6" t="str">
        <f>IFERROR(__xludf.DUMMYFUNCTION("""COMPUTED_VALUE"""),"7")</f>
        <v>7</v>
      </c>
      <c r="V3071" s="6" t="str">
        <f>IFERROR(__xludf.DUMMYFUNCTION("""COMPUTED_VALUE"""),"English")</f>
        <v>English</v>
      </c>
      <c r="W3071" s="6" t="str">
        <f>IFERROR(__xludf.DUMMYFUNCTION("""COMPUTED_VALUE"""),"[]")</f>
        <v>[]</v>
      </c>
      <c r="X3071" s="6" t="str">
        <f>IFERROR(__xludf.DUMMYFUNCTION("""COMPUTED_VALUE"""),"Enrolled")</f>
        <v>Enrolled</v>
      </c>
    </row>
    <row r="3072">
      <c r="A3072" s="6" t="str">
        <f>IFERROR(__xludf.DUMMYFUNCTION("""COMPUTED_VALUE"""),"064-5853")</f>
        <v>064-5853</v>
      </c>
      <c r="B3072" s="6" t="str">
        <f>IFERROR(__xludf.DUMMYFUNCTION("""COMPUTED_VALUE"""),"64")</f>
        <v>64</v>
      </c>
      <c r="C3072" s="6" t="str">
        <f>IFERROR(__xludf.DUMMYFUNCTION("""COMPUTED_VALUE"""),"5853")</f>
        <v>5853</v>
      </c>
      <c r="D3072" s="6" t="str">
        <f>IFERROR(__xludf.DUMMYFUNCTION("""COMPUTED_VALUE"""),"Kayden J.")</f>
        <v>Kayden J.</v>
      </c>
      <c r="E3072" s="6" t="str">
        <f>IFERROR(__xludf.DUMMYFUNCTION("""COMPUTED_VALUE"""),"")</f>
        <v/>
      </c>
      <c r="F3072" s="6" t="str">
        <f>IFERROR(__xludf.DUMMYFUNCTION("""COMPUTED_VALUE"""),"Burkenbine")</f>
        <v>Burkenbine</v>
      </c>
      <c r="G3072" s="6" t="str">
        <f>IFERROR(__xludf.DUMMYFUNCTION("""COMPUTED_VALUE"""),"03/17/2014")</f>
        <v>03/17/2014</v>
      </c>
      <c r="H3072" s="6" t="str">
        <f>IFERROR(__xludf.DUMMYFUNCTION("""COMPUTED_VALUE"""),"Self Identify")</f>
        <v>Self Identify</v>
      </c>
      <c r="I3072" s="6" t="str">
        <f>IFERROR(__xludf.DUMMYFUNCTION("""COMPUTED_VALUE"""),"Middle School")</f>
        <v>Middle School</v>
      </c>
      <c r="J3072" s="6" t="str">
        <f>IFERROR(__xludf.DUMMYFUNCTION("""COMPUTED_VALUE"""),"6")</f>
        <v>6</v>
      </c>
      <c r="K3072" s="6" t="str">
        <f>IFERROR(__xludf.DUMMYFUNCTION("""COMPUTED_VALUE"""),"kayden_burkenbine@stu.ortrail.k12.or.us")</f>
        <v>kayden_burkenbine@stu.ortrail.k12.or.us</v>
      </c>
      <c r="L3072" s="6" t="str">
        <f>IFERROR(__xludf.DUMMYFUNCTION("""COMPUTED_VALUE"""),"Oregon Trail School District 46")</f>
        <v>Oregon Trail School District 46</v>
      </c>
      <c r="M3072" s="6" t="str">
        <f>IFERROR(__xludf.DUMMYFUNCTION("""COMPUTED_VALUE"""),"Cedar Ridge Middle School")</f>
        <v>Cedar Ridge Middle School</v>
      </c>
      <c r="N3072" s="6" t="str">
        <f>IFERROR(__xludf.DUMMYFUNCTION("""COMPUTED_VALUE"""),"")</f>
        <v/>
      </c>
      <c r="O3072" s="87" t="str">
        <f>IFERROR(__xludf.DUMMYFUNCTION("""COMPUTED_VALUE"""),"https://drive.google.com/drive/folders/10T2cTQHqEJZqE-st6uFKPoI?usp=share_link")</f>
        <v>https://drive.google.com/drive/folders/10T2cTQHqEJZqE-st6uFKPoI?usp=share_link</v>
      </c>
      <c r="P3072" s="6" t="str">
        <f>IFERROR(__xludf.DUMMYFUNCTION("""COMPUTED_VALUE"""),"Kayden J. Burkenbine")</f>
        <v>Kayden J. Burkenbine</v>
      </c>
      <c r="Q3072" s="6" t="str">
        <f>IFERROR(__xludf.DUMMYFUNCTION("""COMPUTED_VALUE"""),"MS")</f>
        <v>MS</v>
      </c>
      <c r="R3072" s="6">
        <f>IFERROR(__xludf.DUMMYFUNCTION("""COMPUTED_VALUE"""),0.0)</f>
        <v>0</v>
      </c>
      <c r="S3072" s="6" t="str">
        <f>IFERROR(__xludf.DUMMYFUNCTION("""COMPUTED_VALUE"""),"Kim Gallucci")</f>
        <v>Kim Gallucci</v>
      </c>
      <c r="T3072" s="6" t="str">
        <f>IFERROR(__xludf.DUMMYFUNCTION("""COMPUTED_VALUE"""),"kim.gallucci@ortrail.k12.or.us")</f>
        <v>kim.gallucci@ortrail.k12.or.us</v>
      </c>
      <c r="U3072" s="6" t="str">
        <f>IFERROR(__xludf.DUMMYFUNCTION("""COMPUTED_VALUE"""),"6")</f>
        <v>6</v>
      </c>
      <c r="V3072" s="6" t="str">
        <f>IFERROR(__xludf.DUMMYFUNCTION("""COMPUTED_VALUE"""),"English")</f>
        <v>English</v>
      </c>
      <c r="W3072" s="6" t="str">
        <f>IFERROR(__xludf.DUMMYFUNCTION("""COMPUTED_VALUE"""),"[]")</f>
        <v>[]</v>
      </c>
      <c r="X3072" s="6" t="str">
        <f>IFERROR(__xludf.DUMMYFUNCTION("""COMPUTED_VALUE"""),"Enrolled")</f>
        <v>Enrolled</v>
      </c>
    </row>
    <row r="3073">
      <c r="A3073" s="6" t="str">
        <f>IFERROR(__xludf.DUMMYFUNCTION("""COMPUTED_VALUE"""),"064-5854")</f>
        <v>064-5854</v>
      </c>
      <c r="B3073" s="6" t="str">
        <f>IFERROR(__xludf.DUMMYFUNCTION("""COMPUTED_VALUE"""),"64")</f>
        <v>64</v>
      </c>
      <c r="C3073" s="6" t="str">
        <f>IFERROR(__xludf.DUMMYFUNCTION("""COMPUTED_VALUE"""),"5854")</f>
        <v>5854</v>
      </c>
      <c r="D3073" s="6" t="str">
        <f>IFERROR(__xludf.DUMMYFUNCTION("""COMPUTED_VALUE"""),"Edgar")</f>
        <v>Edgar</v>
      </c>
      <c r="E3073" s="6" t="str">
        <f>IFERROR(__xludf.DUMMYFUNCTION("""COMPUTED_VALUE"""),"")</f>
        <v/>
      </c>
      <c r="F3073" s="6" t="str">
        <f>IFERROR(__xludf.DUMMYFUNCTION("""COMPUTED_VALUE"""),"Carrillo Maximo")</f>
        <v>Carrillo Maximo</v>
      </c>
      <c r="G3073" s="6" t="str">
        <f>IFERROR(__xludf.DUMMYFUNCTION("""COMPUTED_VALUE"""),"06/02/2014")</f>
        <v>06/02/2014</v>
      </c>
      <c r="H3073" s="6" t="str">
        <f>IFERROR(__xludf.DUMMYFUNCTION("""COMPUTED_VALUE"""),"Self Identify")</f>
        <v>Self Identify</v>
      </c>
      <c r="I3073" s="6" t="str">
        <f>IFERROR(__xludf.DUMMYFUNCTION("""COMPUTED_VALUE"""),"Middle School")</f>
        <v>Middle School</v>
      </c>
      <c r="J3073" s="6" t="str">
        <f>IFERROR(__xludf.DUMMYFUNCTION("""COMPUTED_VALUE"""),"6")</f>
        <v>6</v>
      </c>
      <c r="K3073" s="6" t="str">
        <f>IFERROR(__xludf.DUMMYFUNCTION("""COMPUTED_VALUE"""),"edgar_carrillomaximo@stu.ortrail.k12.or.us")</f>
        <v>edgar_carrillomaximo@stu.ortrail.k12.or.us</v>
      </c>
      <c r="L3073" s="6" t="str">
        <f>IFERROR(__xludf.DUMMYFUNCTION("""COMPUTED_VALUE"""),"Oregon Trail School District 46")</f>
        <v>Oregon Trail School District 46</v>
      </c>
      <c r="M3073" s="6" t="str">
        <f>IFERROR(__xludf.DUMMYFUNCTION("""COMPUTED_VALUE"""),"Cedar Ridge Middle School")</f>
        <v>Cedar Ridge Middle School</v>
      </c>
      <c r="N3073" s="6" t="str">
        <f>IFERROR(__xludf.DUMMYFUNCTION("""COMPUTED_VALUE"""),"")</f>
        <v/>
      </c>
      <c r="O3073" s="87" t="str">
        <f>IFERROR(__xludf.DUMMYFUNCTION("""COMPUTED_VALUE"""),"https://drive.google.com/drive/folders/10T2cTQHqEJZqE-st6uFKPoI?usp=share_link")</f>
        <v>https://drive.google.com/drive/folders/10T2cTQHqEJZqE-st6uFKPoI?usp=share_link</v>
      </c>
      <c r="P3073" s="6" t="str">
        <f>IFERROR(__xludf.DUMMYFUNCTION("""COMPUTED_VALUE"""),"Edgar Carrillo Maximo")</f>
        <v>Edgar Carrillo Maximo</v>
      </c>
      <c r="Q3073" s="6" t="str">
        <f>IFERROR(__xludf.DUMMYFUNCTION("""COMPUTED_VALUE"""),"MS")</f>
        <v>MS</v>
      </c>
      <c r="R3073" s="6">
        <f>IFERROR(__xludf.DUMMYFUNCTION("""COMPUTED_VALUE"""),0.0)</f>
        <v>0</v>
      </c>
      <c r="S3073" s="6" t="str">
        <f>IFERROR(__xludf.DUMMYFUNCTION("""COMPUTED_VALUE"""),"Kim Gallucci")</f>
        <v>Kim Gallucci</v>
      </c>
      <c r="T3073" s="6" t="str">
        <f>IFERROR(__xludf.DUMMYFUNCTION("""COMPUTED_VALUE"""),"kim.gallucci@ortrail.k12.or.us")</f>
        <v>kim.gallucci@ortrail.k12.or.us</v>
      </c>
      <c r="U3073" s="6" t="str">
        <f>IFERROR(__xludf.DUMMYFUNCTION("""COMPUTED_VALUE"""),"6")</f>
        <v>6</v>
      </c>
      <c r="V3073" s="6" t="str">
        <f>IFERROR(__xludf.DUMMYFUNCTION("""COMPUTED_VALUE"""),"English")</f>
        <v>English</v>
      </c>
      <c r="W3073" s="6" t="str">
        <f>IFERROR(__xludf.DUMMYFUNCTION("""COMPUTED_VALUE"""),"[]")</f>
        <v>[]</v>
      </c>
      <c r="X3073" s="6" t="str">
        <f>IFERROR(__xludf.DUMMYFUNCTION("""COMPUTED_VALUE"""),"Enrolled")</f>
        <v>Enrolled</v>
      </c>
    </row>
    <row r="3074">
      <c r="A3074" s="6" t="str">
        <f>IFERROR(__xludf.DUMMYFUNCTION("""COMPUTED_VALUE"""),"064-5855")</f>
        <v>064-5855</v>
      </c>
      <c r="B3074" s="6" t="str">
        <f>IFERROR(__xludf.DUMMYFUNCTION("""COMPUTED_VALUE"""),"64")</f>
        <v>64</v>
      </c>
      <c r="C3074" s="6" t="str">
        <f>IFERROR(__xludf.DUMMYFUNCTION("""COMPUTED_VALUE"""),"5855")</f>
        <v>5855</v>
      </c>
      <c r="D3074" s="6" t="str">
        <f>IFERROR(__xludf.DUMMYFUNCTION("""COMPUTED_VALUE"""),"Masshia C.")</f>
        <v>Masshia C.</v>
      </c>
      <c r="E3074" s="6" t="str">
        <f>IFERROR(__xludf.DUMMYFUNCTION("""COMPUTED_VALUE"""),"")</f>
        <v/>
      </c>
      <c r="F3074" s="6" t="str">
        <f>IFERROR(__xludf.DUMMYFUNCTION("""COMPUTED_VALUE"""),"Crane")</f>
        <v>Crane</v>
      </c>
      <c r="G3074" s="6" t="str">
        <f>IFERROR(__xludf.DUMMYFUNCTION("""COMPUTED_VALUE"""),"05/11/2013")</f>
        <v>05/11/2013</v>
      </c>
      <c r="H3074" s="6" t="str">
        <f>IFERROR(__xludf.DUMMYFUNCTION("""COMPUTED_VALUE"""),"Self Identify")</f>
        <v>Self Identify</v>
      </c>
      <c r="I3074" s="6" t="str">
        <f>IFERROR(__xludf.DUMMYFUNCTION("""COMPUTED_VALUE"""),"Middle School")</f>
        <v>Middle School</v>
      </c>
      <c r="J3074" s="6" t="str">
        <f>IFERROR(__xludf.DUMMYFUNCTION("""COMPUTED_VALUE"""),"7")</f>
        <v>7</v>
      </c>
      <c r="K3074" s="6" t="str">
        <f>IFERROR(__xludf.DUMMYFUNCTION("""COMPUTED_VALUE"""),"masshia_crane@stu.ortrail.k12.or.us")</f>
        <v>masshia_crane@stu.ortrail.k12.or.us</v>
      </c>
      <c r="L3074" s="6" t="str">
        <f>IFERROR(__xludf.DUMMYFUNCTION("""COMPUTED_VALUE"""),"Oregon Trail School District 46")</f>
        <v>Oregon Trail School District 46</v>
      </c>
      <c r="M3074" s="6" t="str">
        <f>IFERROR(__xludf.DUMMYFUNCTION("""COMPUTED_VALUE"""),"Cedar Ridge Middle School")</f>
        <v>Cedar Ridge Middle School</v>
      </c>
      <c r="N3074" s="6" t="str">
        <f>IFERROR(__xludf.DUMMYFUNCTION("""COMPUTED_VALUE"""),"")</f>
        <v/>
      </c>
      <c r="O3074" s="87" t="str">
        <f>IFERROR(__xludf.DUMMYFUNCTION("""COMPUTED_VALUE"""),"https://drive.google.com/drive/folders/10T2cTQHqEJZqE-st6uFKPoI?usp=share_link")</f>
        <v>https://drive.google.com/drive/folders/10T2cTQHqEJZqE-st6uFKPoI?usp=share_link</v>
      </c>
      <c r="P3074" s="6" t="str">
        <f>IFERROR(__xludf.DUMMYFUNCTION("""COMPUTED_VALUE"""),"Masshia C. Crane")</f>
        <v>Masshia C. Crane</v>
      </c>
      <c r="Q3074" s="6" t="str">
        <f>IFERROR(__xludf.DUMMYFUNCTION("""COMPUTED_VALUE"""),"MS")</f>
        <v>MS</v>
      </c>
      <c r="R3074" s="6">
        <f>IFERROR(__xludf.DUMMYFUNCTION("""COMPUTED_VALUE"""),0.0)</f>
        <v>0</v>
      </c>
      <c r="S3074" s="6" t="str">
        <f>IFERROR(__xludf.DUMMYFUNCTION("""COMPUTED_VALUE"""),"Kim Gallucci")</f>
        <v>Kim Gallucci</v>
      </c>
      <c r="T3074" s="6" t="str">
        <f>IFERROR(__xludf.DUMMYFUNCTION("""COMPUTED_VALUE"""),"kim.gallucci@ortrail.k12.or.us")</f>
        <v>kim.gallucci@ortrail.k12.or.us</v>
      </c>
      <c r="U3074" s="6" t="str">
        <f>IFERROR(__xludf.DUMMYFUNCTION("""COMPUTED_VALUE"""),"7")</f>
        <v>7</v>
      </c>
      <c r="V3074" s="6" t="str">
        <f>IFERROR(__xludf.DUMMYFUNCTION("""COMPUTED_VALUE"""),"English")</f>
        <v>English</v>
      </c>
      <c r="W3074" s="6" t="str">
        <f>IFERROR(__xludf.DUMMYFUNCTION("""COMPUTED_VALUE"""),"[]")</f>
        <v>[]</v>
      </c>
      <c r="X3074" s="6" t="str">
        <f>IFERROR(__xludf.DUMMYFUNCTION("""COMPUTED_VALUE"""),"Enrolled")</f>
        <v>Enrolled</v>
      </c>
    </row>
    <row r="3075">
      <c r="A3075" s="6" t="str">
        <f>IFERROR(__xludf.DUMMYFUNCTION("""COMPUTED_VALUE"""),"064-5856")</f>
        <v>064-5856</v>
      </c>
      <c r="B3075" s="6" t="str">
        <f>IFERROR(__xludf.DUMMYFUNCTION("""COMPUTED_VALUE"""),"64")</f>
        <v>64</v>
      </c>
      <c r="C3075" s="6" t="str">
        <f>IFERROR(__xludf.DUMMYFUNCTION("""COMPUTED_VALUE"""),"5856")</f>
        <v>5856</v>
      </c>
      <c r="D3075" s="6" t="str">
        <f>IFERROR(__xludf.DUMMYFUNCTION("""COMPUTED_VALUE"""),"Logan B.")</f>
        <v>Logan B.</v>
      </c>
      <c r="E3075" s="6" t="str">
        <f>IFERROR(__xludf.DUMMYFUNCTION("""COMPUTED_VALUE"""),"")</f>
        <v/>
      </c>
      <c r="F3075" s="6" t="str">
        <f>IFERROR(__xludf.DUMMYFUNCTION("""COMPUTED_VALUE"""),"Davis")</f>
        <v>Davis</v>
      </c>
      <c r="G3075" s="6" t="str">
        <f>IFERROR(__xludf.DUMMYFUNCTION("""COMPUTED_VALUE"""),"02/04/2013")</f>
        <v>02/04/2013</v>
      </c>
      <c r="H3075" s="6" t="str">
        <f>IFERROR(__xludf.DUMMYFUNCTION("""COMPUTED_VALUE"""),"Self Identify")</f>
        <v>Self Identify</v>
      </c>
      <c r="I3075" s="6" t="str">
        <f>IFERROR(__xludf.DUMMYFUNCTION("""COMPUTED_VALUE"""),"Middle School")</f>
        <v>Middle School</v>
      </c>
      <c r="J3075" s="6" t="str">
        <f>IFERROR(__xludf.DUMMYFUNCTION("""COMPUTED_VALUE"""),"7")</f>
        <v>7</v>
      </c>
      <c r="K3075" s="6" t="str">
        <f>IFERROR(__xludf.DUMMYFUNCTION("""COMPUTED_VALUE"""),"logan_davis@stu.ortrail.k12.or.us")</f>
        <v>logan_davis@stu.ortrail.k12.or.us</v>
      </c>
      <c r="L3075" s="6" t="str">
        <f>IFERROR(__xludf.DUMMYFUNCTION("""COMPUTED_VALUE"""),"Oregon Trail School District 46")</f>
        <v>Oregon Trail School District 46</v>
      </c>
      <c r="M3075" s="6" t="str">
        <f>IFERROR(__xludf.DUMMYFUNCTION("""COMPUTED_VALUE"""),"Cedar Ridge Middle School")</f>
        <v>Cedar Ridge Middle School</v>
      </c>
      <c r="N3075" s="6" t="str">
        <f>IFERROR(__xludf.DUMMYFUNCTION("""COMPUTED_VALUE"""),"")</f>
        <v/>
      </c>
      <c r="O3075" s="87" t="str">
        <f>IFERROR(__xludf.DUMMYFUNCTION("""COMPUTED_VALUE"""),"https://drive.google.com/drive/folders/10T2cTQHqEJZqE-st6uFKPoI?usp=share_link")</f>
        <v>https://drive.google.com/drive/folders/10T2cTQHqEJZqE-st6uFKPoI?usp=share_link</v>
      </c>
      <c r="P3075" s="6" t="str">
        <f>IFERROR(__xludf.DUMMYFUNCTION("""COMPUTED_VALUE"""),"Logan B. Davis")</f>
        <v>Logan B. Davis</v>
      </c>
      <c r="Q3075" s="6" t="str">
        <f>IFERROR(__xludf.DUMMYFUNCTION("""COMPUTED_VALUE"""),"MS")</f>
        <v>MS</v>
      </c>
      <c r="R3075" s="6">
        <f>IFERROR(__xludf.DUMMYFUNCTION("""COMPUTED_VALUE"""),0.0)</f>
        <v>0</v>
      </c>
      <c r="S3075" s="6" t="str">
        <f>IFERROR(__xludf.DUMMYFUNCTION("""COMPUTED_VALUE"""),"Kim Gallucci")</f>
        <v>Kim Gallucci</v>
      </c>
      <c r="T3075" s="6" t="str">
        <f>IFERROR(__xludf.DUMMYFUNCTION("""COMPUTED_VALUE"""),"kim.gallucci@ortrail.k12.or.us")</f>
        <v>kim.gallucci@ortrail.k12.or.us</v>
      </c>
      <c r="U3075" s="6" t="str">
        <f>IFERROR(__xludf.DUMMYFUNCTION("""COMPUTED_VALUE"""),"7")</f>
        <v>7</v>
      </c>
      <c r="V3075" s="6" t="str">
        <f>IFERROR(__xludf.DUMMYFUNCTION("""COMPUTED_VALUE"""),"English")</f>
        <v>English</v>
      </c>
      <c r="W3075" s="6" t="str">
        <f>IFERROR(__xludf.DUMMYFUNCTION("""COMPUTED_VALUE"""),"[]")</f>
        <v>[]</v>
      </c>
      <c r="X3075" s="6" t="str">
        <f>IFERROR(__xludf.DUMMYFUNCTION("""COMPUTED_VALUE"""),"Enrolled")</f>
        <v>Enrolled</v>
      </c>
    </row>
    <row r="3076">
      <c r="A3076" s="6" t="str">
        <f>IFERROR(__xludf.DUMMYFUNCTION("""COMPUTED_VALUE"""),"064-5857")</f>
        <v>064-5857</v>
      </c>
      <c r="B3076" s="6" t="str">
        <f>IFERROR(__xludf.DUMMYFUNCTION("""COMPUTED_VALUE"""),"64")</f>
        <v>64</v>
      </c>
      <c r="C3076" s="6" t="str">
        <f>IFERROR(__xludf.DUMMYFUNCTION("""COMPUTED_VALUE"""),"5857")</f>
        <v>5857</v>
      </c>
      <c r="D3076" s="6" t="str">
        <f>IFERROR(__xludf.DUMMYFUNCTION("""COMPUTED_VALUE"""),"Paisley G.")</f>
        <v>Paisley G.</v>
      </c>
      <c r="E3076" s="6" t="str">
        <f>IFERROR(__xludf.DUMMYFUNCTION("""COMPUTED_VALUE"""),"")</f>
        <v/>
      </c>
      <c r="F3076" s="6" t="str">
        <f>IFERROR(__xludf.DUMMYFUNCTION("""COMPUTED_VALUE"""),"Dooley")</f>
        <v>Dooley</v>
      </c>
      <c r="G3076" s="6" t="str">
        <f>IFERROR(__xludf.DUMMYFUNCTION("""COMPUTED_VALUE"""),"05/30/2014")</f>
        <v>05/30/2014</v>
      </c>
      <c r="H3076" s="6" t="str">
        <f>IFERROR(__xludf.DUMMYFUNCTION("""COMPUTED_VALUE"""),"Self Identify")</f>
        <v>Self Identify</v>
      </c>
      <c r="I3076" s="6" t="str">
        <f>IFERROR(__xludf.DUMMYFUNCTION("""COMPUTED_VALUE"""),"Middle School")</f>
        <v>Middle School</v>
      </c>
      <c r="J3076" s="6" t="str">
        <f>IFERROR(__xludf.DUMMYFUNCTION("""COMPUTED_VALUE"""),"6")</f>
        <v>6</v>
      </c>
      <c r="K3076" s="6" t="str">
        <f>IFERROR(__xludf.DUMMYFUNCTION("""COMPUTED_VALUE"""),"paisley_dooley@stu.ortrail.k12.or.us")</f>
        <v>paisley_dooley@stu.ortrail.k12.or.us</v>
      </c>
      <c r="L3076" s="6" t="str">
        <f>IFERROR(__xludf.DUMMYFUNCTION("""COMPUTED_VALUE"""),"Oregon Trail School District 46")</f>
        <v>Oregon Trail School District 46</v>
      </c>
      <c r="M3076" s="6" t="str">
        <f>IFERROR(__xludf.DUMMYFUNCTION("""COMPUTED_VALUE"""),"Cedar Ridge Middle School")</f>
        <v>Cedar Ridge Middle School</v>
      </c>
      <c r="N3076" s="6" t="str">
        <f>IFERROR(__xludf.DUMMYFUNCTION("""COMPUTED_VALUE"""),"")</f>
        <v/>
      </c>
      <c r="O3076" s="87" t="str">
        <f>IFERROR(__xludf.DUMMYFUNCTION("""COMPUTED_VALUE"""),"https://drive.google.com/drive/folders/10T2cTQHqEJZqE-st6uFKPoI?usp=share_link")</f>
        <v>https://drive.google.com/drive/folders/10T2cTQHqEJZqE-st6uFKPoI?usp=share_link</v>
      </c>
      <c r="P3076" s="6" t="str">
        <f>IFERROR(__xludf.DUMMYFUNCTION("""COMPUTED_VALUE"""),"Paisley G. Dooley")</f>
        <v>Paisley G. Dooley</v>
      </c>
      <c r="Q3076" s="6" t="str">
        <f>IFERROR(__xludf.DUMMYFUNCTION("""COMPUTED_VALUE"""),"MS")</f>
        <v>MS</v>
      </c>
      <c r="R3076" s="6">
        <f>IFERROR(__xludf.DUMMYFUNCTION("""COMPUTED_VALUE"""),0.0)</f>
        <v>0</v>
      </c>
      <c r="S3076" s="6" t="str">
        <f>IFERROR(__xludf.DUMMYFUNCTION("""COMPUTED_VALUE"""),"Kim Gallucci")</f>
        <v>Kim Gallucci</v>
      </c>
      <c r="T3076" s="6" t="str">
        <f>IFERROR(__xludf.DUMMYFUNCTION("""COMPUTED_VALUE"""),"kim.gallucci@ortrail.k12.or.us")</f>
        <v>kim.gallucci@ortrail.k12.or.us</v>
      </c>
      <c r="U3076" s="6" t="str">
        <f>IFERROR(__xludf.DUMMYFUNCTION("""COMPUTED_VALUE"""),"6")</f>
        <v>6</v>
      </c>
      <c r="V3076" s="6" t="str">
        <f>IFERROR(__xludf.DUMMYFUNCTION("""COMPUTED_VALUE"""),"English")</f>
        <v>English</v>
      </c>
      <c r="W3076" s="6" t="str">
        <f>IFERROR(__xludf.DUMMYFUNCTION("""COMPUTED_VALUE"""),"[]")</f>
        <v>[]</v>
      </c>
      <c r="X3076" s="6" t="str">
        <f>IFERROR(__xludf.DUMMYFUNCTION("""COMPUTED_VALUE"""),"Enrolled")</f>
        <v>Enrolled</v>
      </c>
    </row>
    <row r="3077">
      <c r="A3077" s="6" t="str">
        <f>IFERROR(__xludf.DUMMYFUNCTION("""COMPUTED_VALUE"""),"064-5858")</f>
        <v>064-5858</v>
      </c>
      <c r="B3077" s="6" t="str">
        <f>IFERROR(__xludf.DUMMYFUNCTION("""COMPUTED_VALUE"""),"64")</f>
        <v>64</v>
      </c>
      <c r="C3077" s="6" t="str">
        <f>IFERROR(__xludf.DUMMYFUNCTION("""COMPUTED_VALUE"""),"5858")</f>
        <v>5858</v>
      </c>
      <c r="D3077" s="6" t="str">
        <f>IFERROR(__xludf.DUMMYFUNCTION("""COMPUTED_VALUE"""),"Jacob C.")</f>
        <v>Jacob C.</v>
      </c>
      <c r="E3077" s="6" t="str">
        <f>IFERROR(__xludf.DUMMYFUNCTION("""COMPUTED_VALUE"""),"")</f>
        <v/>
      </c>
      <c r="F3077" s="6" t="str">
        <f>IFERROR(__xludf.DUMMYFUNCTION("""COMPUTED_VALUE"""),"Flock")</f>
        <v>Flock</v>
      </c>
      <c r="G3077" s="6" t="str">
        <f>IFERROR(__xludf.DUMMYFUNCTION("""COMPUTED_VALUE"""),"07/09/2012")</f>
        <v>07/09/2012</v>
      </c>
      <c r="H3077" s="6" t="str">
        <f>IFERROR(__xludf.DUMMYFUNCTION("""COMPUTED_VALUE"""),"Self Identify")</f>
        <v>Self Identify</v>
      </c>
      <c r="I3077" s="6" t="str">
        <f>IFERROR(__xludf.DUMMYFUNCTION("""COMPUTED_VALUE"""),"Middle School")</f>
        <v>Middle School</v>
      </c>
      <c r="J3077" s="6" t="str">
        <f>IFERROR(__xludf.DUMMYFUNCTION("""COMPUTED_VALUE"""),"8")</f>
        <v>8</v>
      </c>
      <c r="K3077" s="6" t="str">
        <f>IFERROR(__xludf.DUMMYFUNCTION("""COMPUTED_VALUE"""),"jacob_flock@stu.ortrail.k12.or.us")</f>
        <v>jacob_flock@stu.ortrail.k12.or.us</v>
      </c>
      <c r="L3077" s="6" t="str">
        <f>IFERROR(__xludf.DUMMYFUNCTION("""COMPUTED_VALUE"""),"Oregon Trail School District 46")</f>
        <v>Oregon Trail School District 46</v>
      </c>
      <c r="M3077" s="6" t="str">
        <f>IFERROR(__xludf.DUMMYFUNCTION("""COMPUTED_VALUE"""),"Cedar Ridge Middle School")</f>
        <v>Cedar Ridge Middle School</v>
      </c>
      <c r="N3077" s="6" t="str">
        <f>IFERROR(__xludf.DUMMYFUNCTION("""COMPUTED_VALUE"""),"")</f>
        <v/>
      </c>
      <c r="O3077" s="87" t="str">
        <f>IFERROR(__xludf.DUMMYFUNCTION("""COMPUTED_VALUE"""),"https://drive.google.com/drive/folders/10T2cTQHqEJZqE-st6uFKPoI?usp=share_link")</f>
        <v>https://drive.google.com/drive/folders/10T2cTQHqEJZqE-st6uFKPoI?usp=share_link</v>
      </c>
      <c r="P3077" s="6" t="str">
        <f>IFERROR(__xludf.DUMMYFUNCTION("""COMPUTED_VALUE"""),"Jacob C. Flock")</f>
        <v>Jacob C. Flock</v>
      </c>
      <c r="Q3077" s="6" t="str">
        <f>IFERROR(__xludf.DUMMYFUNCTION("""COMPUTED_VALUE"""),"MS")</f>
        <v>MS</v>
      </c>
      <c r="R3077" s="6">
        <f>IFERROR(__xludf.DUMMYFUNCTION("""COMPUTED_VALUE"""),0.0)</f>
        <v>0</v>
      </c>
      <c r="S3077" s="6" t="str">
        <f>IFERROR(__xludf.DUMMYFUNCTION("""COMPUTED_VALUE"""),"Kim Gallucci")</f>
        <v>Kim Gallucci</v>
      </c>
      <c r="T3077" s="6" t="str">
        <f>IFERROR(__xludf.DUMMYFUNCTION("""COMPUTED_VALUE"""),"kim.gallucci@ortrail.k12.or.us")</f>
        <v>kim.gallucci@ortrail.k12.or.us</v>
      </c>
      <c r="U3077" s="6" t="str">
        <f>IFERROR(__xludf.DUMMYFUNCTION("""COMPUTED_VALUE"""),"8")</f>
        <v>8</v>
      </c>
      <c r="V3077" s="6" t="str">
        <f>IFERROR(__xludf.DUMMYFUNCTION("""COMPUTED_VALUE"""),"English")</f>
        <v>English</v>
      </c>
      <c r="W3077" s="6" t="str">
        <f>IFERROR(__xludf.DUMMYFUNCTION("""COMPUTED_VALUE"""),"[]")</f>
        <v>[]</v>
      </c>
      <c r="X3077" s="6" t="str">
        <f>IFERROR(__xludf.DUMMYFUNCTION("""COMPUTED_VALUE"""),"Enrolled")</f>
        <v>Enrolled</v>
      </c>
    </row>
    <row r="3078">
      <c r="A3078" s="6" t="str">
        <f>IFERROR(__xludf.DUMMYFUNCTION("""COMPUTED_VALUE"""),"064-5859")</f>
        <v>064-5859</v>
      </c>
      <c r="B3078" s="6" t="str">
        <f>IFERROR(__xludf.DUMMYFUNCTION("""COMPUTED_VALUE"""),"64")</f>
        <v>64</v>
      </c>
      <c r="C3078" s="6" t="str">
        <f>IFERROR(__xludf.DUMMYFUNCTION("""COMPUTED_VALUE"""),"5859")</f>
        <v>5859</v>
      </c>
      <c r="D3078" s="6" t="str">
        <f>IFERROR(__xludf.DUMMYFUNCTION("""COMPUTED_VALUE"""),"Max D.")</f>
        <v>Max D.</v>
      </c>
      <c r="E3078" s="6" t="str">
        <f>IFERROR(__xludf.DUMMYFUNCTION("""COMPUTED_VALUE"""),"")</f>
        <v/>
      </c>
      <c r="F3078" s="6" t="str">
        <f>IFERROR(__xludf.DUMMYFUNCTION("""COMPUTED_VALUE"""),"Gardner")</f>
        <v>Gardner</v>
      </c>
      <c r="G3078" s="6" t="str">
        <f>IFERROR(__xludf.DUMMYFUNCTION("""COMPUTED_VALUE"""),"11/10/2012")</f>
        <v>11/10/2012</v>
      </c>
      <c r="H3078" s="6" t="str">
        <f>IFERROR(__xludf.DUMMYFUNCTION("""COMPUTED_VALUE"""),"Self Identify")</f>
        <v>Self Identify</v>
      </c>
      <c r="I3078" s="6" t="str">
        <f>IFERROR(__xludf.DUMMYFUNCTION("""COMPUTED_VALUE"""),"Middle School")</f>
        <v>Middle School</v>
      </c>
      <c r="J3078" s="6" t="str">
        <f>IFERROR(__xludf.DUMMYFUNCTION("""COMPUTED_VALUE"""),"7")</f>
        <v>7</v>
      </c>
      <c r="K3078" s="6" t="str">
        <f>IFERROR(__xludf.DUMMYFUNCTION("""COMPUTED_VALUE"""),"max_gardner@stu.ortrail.k12.or.us")</f>
        <v>max_gardner@stu.ortrail.k12.or.us</v>
      </c>
      <c r="L3078" s="6" t="str">
        <f>IFERROR(__xludf.DUMMYFUNCTION("""COMPUTED_VALUE"""),"Oregon Trail School District 46")</f>
        <v>Oregon Trail School District 46</v>
      </c>
      <c r="M3078" s="6" t="str">
        <f>IFERROR(__xludf.DUMMYFUNCTION("""COMPUTED_VALUE"""),"Cedar Ridge Middle School")</f>
        <v>Cedar Ridge Middle School</v>
      </c>
      <c r="N3078" s="6" t="str">
        <f>IFERROR(__xludf.DUMMYFUNCTION("""COMPUTED_VALUE"""),"")</f>
        <v/>
      </c>
      <c r="O3078" s="87" t="str">
        <f>IFERROR(__xludf.DUMMYFUNCTION("""COMPUTED_VALUE"""),"https://drive.google.com/drive/folders/10T2cTQHqEJZqE-st6uFKPoI?usp=share_link")</f>
        <v>https://drive.google.com/drive/folders/10T2cTQHqEJZqE-st6uFKPoI?usp=share_link</v>
      </c>
      <c r="P3078" s="6" t="str">
        <f>IFERROR(__xludf.DUMMYFUNCTION("""COMPUTED_VALUE"""),"Max D. Gardner")</f>
        <v>Max D. Gardner</v>
      </c>
      <c r="Q3078" s="6" t="str">
        <f>IFERROR(__xludf.DUMMYFUNCTION("""COMPUTED_VALUE"""),"MS")</f>
        <v>MS</v>
      </c>
      <c r="R3078" s="6">
        <f>IFERROR(__xludf.DUMMYFUNCTION("""COMPUTED_VALUE"""),0.0)</f>
        <v>0</v>
      </c>
      <c r="S3078" s="6" t="str">
        <f>IFERROR(__xludf.DUMMYFUNCTION("""COMPUTED_VALUE"""),"Kim Gallucci")</f>
        <v>Kim Gallucci</v>
      </c>
      <c r="T3078" s="6" t="str">
        <f>IFERROR(__xludf.DUMMYFUNCTION("""COMPUTED_VALUE"""),"kim.gallucci@ortrail.k12.or.us")</f>
        <v>kim.gallucci@ortrail.k12.or.us</v>
      </c>
      <c r="U3078" s="6" t="str">
        <f>IFERROR(__xludf.DUMMYFUNCTION("""COMPUTED_VALUE"""),"7")</f>
        <v>7</v>
      </c>
      <c r="V3078" s="6" t="str">
        <f>IFERROR(__xludf.DUMMYFUNCTION("""COMPUTED_VALUE"""),"English")</f>
        <v>English</v>
      </c>
      <c r="W3078" s="6" t="str">
        <f>IFERROR(__xludf.DUMMYFUNCTION("""COMPUTED_VALUE"""),"[]")</f>
        <v>[]</v>
      </c>
      <c r="X3078" s="6" t="str">
        <f>IFERROR(__xludf.DUMMYFUNCTION("""COMPUTED_VALUE"""),"Enrolled")</f>
        <v>Enrolled</v>
      </c>
    </row>
    <row r="3079">
      <c r="A3079" s="6" t="str">
        <f>IFERROR(__xludf.DUMMYFUNCTION("""COMPUTED_VALUE"""),"064-5860")</f>
        <v>064-5860</v>
      </c>
      <c r="B3079" s="6" t="str">
        <f>IFERROR(__xludf.DUMMYFUNCTION("""COMPUTED_VALUE"""),"64")</f>
        <v>64</v>
      </c>
      <c r="C3079" s="6" t="str">
        <f>IFERROR(__xludf.DUMMYFUNCTION("""COMPUTED_VALUE"""),"5860")</f>
        <v>5860</v>
      </c>
      <c r="D3079" s="6" t="str">
        <f>IFERROR(__xludf.DUMMYFUNCTION("""COMPUTED_VALUE"""),"Marquese")</f>
        <v>Marquese</v>
      </c>
      <c r="E3079" s="6" t="str">
        <f>IFERROR(__xludf.DUMMYFUNCTION("""COMPUTED_VALUE"""),"")</f>
        <v/>
      </c>
      <c r="F3079" s="6" t="str">
        <f>IFERROR(__xludf.DUMMYFUNCTION("""COMPUTED_VALUE"""),"Graham")</f>
        <v>Graham</v>
      </c>
      <c r="G3079" s="6" t="str">
        <f>IFERROR(__xludf.DUMMYFUNCTION("""COMPUTED_VALUE"""),"10/27/2012")</f>
        <v>10/27/2012</v>
      </c>
      <c r="H3079" s="6" t="str">
        <f>IFERROR(__xludf.DUMMYFUNCTION("""COMPUTED_VALUE"""),"Self Identify")</f>
        <v>Self Identify</v>
      </c>
      <c r="I3079" s="6" t="str">
        <f>IFERROR(__xludf.DUMMYFUNCTION("""COMPUTED_VALUE"""),"Middle School")</f>
        <v>Middle School</v>
      </c>
      <c r="J3079" s="6" t="str">
        <f>IFERROR(__xludf.DUMMYFUNCTION("""COMPUTED_VALUE"""),"7")</f>
        <v>7</v>
      </c>
      <c r="K3079" s="6" t="str">
        <f>IFERROR(__xludf.DUMMYFUNCTION("""COMPUTED_VALUE"""),"marquese_graham@stu.ortrail.k12.or.us")</f>
        <v>marquese_graham@stu.ortrail.k12.or.us</v>
      </c>
      <c r="L3079" s="6" t="str">
        <f>IFERROR(__xludf.DUMMYFUNCTION("""COMPUTED_VALUE"""),"Oregon Trail School District 46")</f>
        <v>Oregon Trail School District 46</v>
      </c>
      <c r="M3079" s="6" t="str">
        <f>IFERROR(__xludf.DUMMYFUNCTION("""COMPUTED_VALUE"""),"Cedar Ridge Middle School")</f>
        <v>Cedar Ridge Middle School</v>
      </c>
      <c r="N3079" s="6" t="str">
        <f>IFERROR(__xludf.DUMMYFUNCTION("""COMPUTED_VALUE"""),"")</f>
        <v/>
      </c>
      <c r="O3079" s="87" t="str">
        <f>IFERROR(__xludf.DUMMYFUNCTION("""COMPUTED_VALUE"""),"https://drive.google.com/drive/folders/10T2cTQHqEJZqE-st6uFKPoI?usp=share_link")</f>
        <v>https://drive.google.com/drive/folders/10T2cTQHqEJZqE-st6uFKPoI?usp=share_link</v>
      </c>
      <c r="P3079" s="6" t="str">
        <f>IFERROR(__xludf.DUMMYFUNCTION("""COMPUTED_VALUE"""),"Marquese Graham")</f>
        <v>Marquese Graham</v>
      </c>
      <c r="Q3079" s="6" t="str">
        <f>IFERROR(__xludf.DUMMYFUNCTION("""COMPUTED_VALUE"""),"MS")</f>
        <v>MS</v>
      </c>
      <c r="R3079" s="6">
        <f>IFERROR(__xludf.DUMMYFUNCTION("""COMPUTED_VALUE"""),0.0)</f>
        <v>0</v>
      </c>
      <c r="S3079" s="6" t="str">
        <f>IFERROR(__xludf.DUMMYFUNCTION("""COMPUTED_VALUE"""),"Kim Gallucci")</f>
        <v>Kim Gallucci</v>
      </c>
      <c r="T3079" s="6" t="str">
        <f>IFERROR(__xludf.DUMMYFUNCTION("""COMPUTED_VALUE"""),"kim.gallucci@ortrail.k12.or.us")</f>
        <v>kim.gallucci@ortrail.k12.or.us</v>
      </c>
      <c r="U3079" s="6" t="str">
        <f>IFERROR(__xludf.DUMMYFUNCTION("""COMPUTED_VALUE"""),"7")</f>
        <v>7</v>
      </c>
      <c r="V3079" s="6" t="str">
        <f>IFERROR(__xludf.DUMMYFUNCTION("""COMPUTED_VALUE"""),"English")</f>
        <v>English</v>
      </c>
      <c r="W3079" s="6" t="str">
        <f>IFERROR(__xludf.DUMMYFUNCTION("""COMPUTED_VALUE"""),"[]")</f>
        <v>[]</v>
      </c>
      <c r="X3079" s="6" t="str">
        <f>IFERROR(__xludf.DUMMYFUNCTION("""COMPUTED_VALUE"""),"Enrolled")</f>
        <v>Enrolled</v>
      </c>
    </row>
    <row r="3080">
      <c r="A3080" s="6" t="str">
        <f>IFERROR(__xludf.DUMMYFUNCTION("""COMPUTED_VALUE"""),"064-5861")</f>
        <v>064-5861</v>
      </c>
      <c r="B3080" s="6" t="str">
        <f>IFERROR(__xludf.DUMMYFUNCTION("""COMPUTED_VALUE"""),"64")</f>
        <v>64</v>
      </c>
      <c r="C3080" s="6" t="str">
        <f>IFERROR(__xludf.DUMMYFUNCTION("""COMPUTED_VALUE"""),"5861")</f>
        <v>5861</v>
      </c>
      <c r="D3080" s="6" t="str">
        <f>IFERROR(__xludf.DUMMYFUNCTION("""COMPUTED_VALUE"""),"Hunter K.")</f>
        <v>Hunter K.</v>
      </c>
      <c r="E3080" s="6" t="str">
        <f>IFERROR(__xludf.DUMMYFUNCTION("""COMPUTED_VALUE"""),"")</f>
        <v/>
      </c>
      <c r="F3080" s="6" t="str">
        <f>IFERROR(__xludf.DUMMYFUNCTION("""COMPUTED_VALUE"""),"Houston")</f>
        <v>Houston</v>
      </c>
      <c r="G3080" s="6" t="str">
        <f>IFERROR(__xludf.DUMMYFUNCTION("""COMPUTED_VALUE"""),"01/27/2012")</f>
        <v>01/27/2012</v>
      </c>
      <c r="H3080" s="6" t="str">
        <f>IFERROR(__xludf.DUMMYFUNCTION("""COMPUTED_VALUE"""),"Self Identify")</f>
        <v>Self Identify</v>
      </c>
      <c r="I3080" s="6" t="str">
        <f>IFERROR(__xludf.DUMMYFUNCTION("""COMPUTED_VALUE"""),"Middle School")</f>
        <v>Middle School</v>
      </c>
      <c r="J3080" s="6" t="str">
        <f>IFERROR(__xludf.DUMMYFUNCTION("""COMPUTED_VALUE"""),"8")</f>
        <v>8</v>
      </c>
      <c r="K3080" s="6" t="str">
        <f>IFERROR(__xludf.DUMMYFUNCTION("""COMPUTED_VALUE"""),"hunter_houston@stu.ortrail.k12.or.us")</f>
        <v>hunter_houston@stu.ortrail.k12.or.us</v>
      </c>
      <c r="L3080" s="6" t="str">
        <f>IFERROR(__xludf.DUMMYFUNCTION("""COMPUTED_VALUE"""),"Oregon Trail School District 46")</f>
        <v>Oregon Trail School District 46</v>
      </c>
      <c r="M3080" s="6" t="str">
        <f>IFERROR(__xludf.DUMMYFUNCTION("""COMPUTED_VALUE"""),"Cedar Ridge Middle School")</f>
        <v>Cedar Ridge Middle School</v>
      </c>
      <c r="N3080" s="6" t="str">
        <f>IFERROR(__xludf.DUMMYFUNCTION("""COMPUTED_VALUE"""),"")</f>
        <v/>
      </c>
      <c r="O3080" s="87" t="str">
        <f>IFERROR(__xludf.DUMMYFUNCTION("""COMPUTED_VALUE"""),"https://drive.google.com/drive/folders/10T2cTQHqEJZqE-st6uFKPoI?usp=share_link")</f>
        <v>https://drive.google.com/drive/folders/10T2cTQHqEJZqE-st6uFKPoI?usp=share_link</v>
      </c>
      <c r="P3080" s="6" t="str">
        <f>IFERROR(__xludf.DUMMYFUNCTION("""COMPUTED_VALUE"""),"Hunter K. Houston")</f>
        <v>Hunter K. Houston</v>
      </c>
      <c r="Q3080" s="6" t="str">
        <f>IFERROR(__xludf.DUMMYFUNCTION("""COMPUTED_VALUE"""),"MS")</f>
        <v>MS</v>
      </c>
      <c r="R3080" s="6">
        <f>IFERROR(__xludf.DUMMYFUNCTION("""COMPUTED_VALUE"""),0.0)</f>
        <v>0</v>
      </c>
      <c r="S3080" s="6" t="str">
        <f>IFERROR(__xludf.DUMMYFUNCTION("""COMPUTED_VALUE"""),"Kim Gallucci")</f>
        <v>Kim Gallucci</v>
      </c>
      <c r="T3080" s="6" t="str">
        <f>IFERROR(__xludf.DUMMYFUNCTION("""COMPUTED_VALUE"""),"kim.gallucci@ortrail.k12.or.us")</f>
        <v>kim.gallucci@ortrail.k12.or.us</v>
      </c>
      <c r="U3080" s="6" t="str">
        <f>IFERROR(__xludf.DUMMYFUNCTION("""COMPUTED_VALUE"""),"8")</f>
        <v>8</v>
      </c>
      <c r="V3080" s="6" t="str">
        <f>IFERROR(__xludf.DUMMYFUNCTION("""COMPUTED_VALUE"""),"English")</f>
        <v>English</v>
      </c>
      <c r="W3080" s="6" t="str">
        <f>IFERROR(__xludf.DUMMYFUNCTION("""COMPUTED_VALUE"""),"[]")</f>
        <v>[]</v>
      </c>
      <c r="X3080" s="6" t="str">
        <f>IFERROR(__xludf.DUMMYFUNCTION("""COMPUTED_VALUE"""),"Enrolled")</f>
        <v>Enrolled</v>
      </c>
    </row>
    <row r="3081">
      <c r="A3081" s="6" t="str">
        <f>IFERROR(__xludf.DUMMYFUNCTION("""COMPUTED_VALUE"""),"064-5862")</f>
        <v>064-5862</v>
      </c>
      <c r="B3081" s="6" t="str">
        <f>IFERROR(__xludf.DUMMYFUNCTION("""COMPUTED_VALUE"""),"64")</f>
        <v>64</v>
      </c>
      <c r="C3081" s="6" t="str">
        <f>IFERROR(__xludf.DUMMYFUNCTION("""COMPUTED_VALUE"""),"5862")</f>
        <v>5862</v>
      </c>
      <c r="D3081" s="6" t="str">
        <f>IFERROR(__xludf.DUMMYFUNCTION("""COMPUTED_VALUE"""),"Cash M.")</f>
        <v>Cash M.</v>
      </c>
      <c r="E3081" s="6" t="str">
        <f>IFERROR(__xludf.DUMMYFUNCTION("""COMPUTED_VALUE"""),"")</f>
        <v/>
      </c>
      <c r="F3081" s="6" t="str">
        <f>IFERROR(__xludf.DUMMYFUNCTION("""COMPUTED_VALUE"""),"Kahoe")</f>
        <v>Kahoe</v>
      </c>
      <c r="G3081" s="6" t="str">
        <f>IFERROR(__xludf.DUMMYFUNCTION("""COMPUTED_VALUE"""),"03/27/2013")</f>
        <v>03/27/2013</v>
      </c>
      <c r="H3081" s="6" t="str">
        <f>IFERROR(__xludf.DUMMYFUNCTION("""COMPUTED_VALUE"""),"Self Identify")</f>
        <v>Self Identify</v>
      </c>
      <c r="I3081" s="6" t="str">
        <f>IFERROR(__xludf.DUMMYFUNCTION("""COMPUTED_VALUE"""),"Middle School")</f>
        <v>Middle School</v>
      </c>
      <c r="J3081" s="6" t="str">
        <f>IFERROR(__xludf.DUMMYFUNCTION("""COMPUTED_VALUE"""),"7")</f>
        <v>7</v>
      </c>
      <c r="K3081" s="6" t="str">
        <f>IFERROR(__xludf.DUMMYFUNCTION("""COMPUTED_VALUE"""),"cash_kahoe@stu.ortrail.k12.or.us")</f>
        <v>cash_kahoe@stu.ortrail.k12.or.us</v>
      </c>
      <c r="L3081" s="6" t="str">
        <f>IFERROR(__xludf.DUMMYFUNCTION("""COMPUTED_VALUE"""),"Oregon Trail School District 46")</f>
        <v>Oregon Trail School District 46</v>
      </c>
      <c r="M3081" s="6" t="str">
        <f>IFERROR(__xludf.DUMMYFUNCTION("""COMPUTED_VALUE"""),"Cedar Ridge Middle School")</f>
        <v>Cedar Ridge Middle School</v>
      </c>
      <c r="N3081" s="6" t="str">
        <f>IFERROR(__xludf.DUMMYFUNCTION("""COMPUTED_VALUE"""),"")</f>
        <v/>
      </c>
      <c r="O3081" s="87" t="str">
        <f>IFERROR(__xludf.DUMMYFUNCTION("""COMPUTED_VALUE"""),"https://drive.google.com/drive/folders/10T2cTQHqEJZqE-st6uFKPoI?usp=share_link")</f>
        <v>https://drive.google.com/drive/folders/10T2cTQHqEJZqE-st6uFKPoI?usp=share_link</v>
      </c>
      <c r="P3081" s="6" t="str">
        <f>IFERROR(__xludf.DUMMYFUNCTION("""COMPUTED_VALUE"""),"Cash M. Kahoe")</f>
        <v>Cash M. Kahoe</v>
      </c>
      <c r="Q3081" s="6" t="str">
        <f>IFERROR(__xludf.DUMMYFUNCTION("""COMPUTED_VALUE"""),"MS")</f>
        <v>MS</v>
      </c>
      <c r="R3081" s="6">
        <f>IFERROR(__xludf.DUMMYFUNCTION("""COMPUTED_VALUE"""),0.0)</f>
        <v>0</v>
      </c>
      <c r="S3081" s="6" t="str">
        <f>IFERROR(__xludf.DUMMYFUNCTION("""COMPUTED_VALUE"""),"Kim Gallucci")</f>
        <v>Kim Gallucci</v>
      </c>
      <c r="T3081" s="6" t="str">
        <f>IFERROR(__xludf.DUMMYFUNCTION("""COMPUTED_VALUE"""),"kim.gallucci@ortrail.k12.or.us")</f>
        <v>kim.gallucci@ortrail.k12.or.us</v>
      </c>
      <c r="U3081" s="6" t="str">
        <f>IFERROR(__xludf.DUMMYFUNCTION("""COMPUTED_VALUE"""),"7")</f>
        <v>7</v>
      </c>
      <c r="V3081" s="6" t="str">
        <f>IFERROR(__xludf.DUMMYFUNCTION("""COMPUTED_VALUE"""),"English")</f>
        <v>English</v>
      </c>
      <c r="W3081" s="6" t="str">
        <f>IFERROR(__xludf.DUMMYFUNCTION("""COMPUTED_VALUE"""),"[]")</f>
        <v>[]</v>
      </c>
      <c r="X3081" s="6" t="str">
        <f>IFERROR(__xludf.DUMMYFUNCTION("""COMPUTED_VALUE"""),"Enrolled")</f>
        <v>Enrolled</v>
      </c>
    </row>
    <row r="3082">
      <c r="A3082" s="6" t="str">
        <f>IFERROR(__xludf.DUMMYFUNCTION("""COMPUTED_VALUE"""),"064-5863")</f>
        <v>064-5863</v>
      </c>
      <c r="B3082" s="6" t="str">
        <f>IFERROR(__xludf.DUMMYFUNCTION("""COMPUTED_VALUE"""),"64")</f>
        <v>64</v>
      </c>
      <c r="C3082" s="6" t="str">
        <f>IFERROR(__xludf.DUMMYFUNCTION("""COMPUTED_VALUE"""),"5863")</f>
        <v>5863</v>
      </c>
      <c r="D3082" s="6" t="str">
        <f>IFERROR(__xludf.DUMMYFUNCTION("""COMPUTED_VALUE"""),"Hudson V.")</f>
        <v>Hudson V.</v>
      </c>
      <c r="E3082" s="6" t="str">
        <f>IFERROR(__xludf.DUMMYFUNCTION("""COMPUTED_VALUE"""),"")</f>
        <v/>
      </c>
      <c r="F3082" s="6" t="str">
        <f>IFERROR(__xludf.DUMMYFUNCTION("""COMPUTED_VALUE"""),"Logue")</f>
        <v>Logue</v>
      </c>
      <c r="G3082" s="6" t="str">
        <f>IFERROR(__xludf.DUMMYFUNCTION("""COMPUTED_VALUE"""),"09/23/2012")</f>
        <v>09/23/2012</v>
      </c>
      <c r="H3082" s="6" t="str">
        <f>IFERROR(__xludf.DUMMYFUNCTION("""COMPUTED_VALUE"""),"Self Identify")</f>
        <v>Self Identify</v>
      </c>
      <c r="I3082" s="6" t="str">
        <f>IFERROR(__xludf.DUMMYFUNCTION("""COMPUTED_VALUE"""),"Middle School")</f>
        <v>Middle School</v>
      </c>
      <c r="J3082" s="6" t="str">
        <f>IFERROR(__xludf.DUMMYFUNCTION("""COMPUTED_VALUE"""),"7")</f>
        <v>7</v>
      </c>
      <c r="K3082" s="6" t="str">
        <f>IFERROR(__xludf.DUMMYFUNCTION("""COMPUTED_VALUE"""),"hudson_logue@stu.ortrail.k12.or.us")</f>
        <v>hudson_logue@stu.ortrail.k12.or.us</v>
      </c>
      <c r="L3082" s="6" t="str">
        <f>IFERROR(__xludf.DUMMYFUNCTION("""COMPUTED_VALUE"""),"Oregon Trail School District 46")</f>
        <v>Oregon Trail School District 46</v>
      </c>
      <c r="M3082" s="6" t="str">
        <f>IFERROR(__xludf.DUMMYFUNCTION("""COMPUTED_VALUE"""),"Cedar Ridge Middle School")</f>
        <v>Cedar Ridge Middle School</v>
      </c>
      <c r="N3082" s="6" t="str">
        <f>IFERROR(__xludf.DUMMYFUNCTION("""COMPUTED_VALUE"""),"")</f>
        <v/>
      </c>
      <c r="O3082" s="87" t="str">
        <f>IFERROR(__xludf.DUMMYFUNCTION("""COMPUTED_VALUE"""),"https://drive.google.com/drive/folders/10T2cTQHqEJZqE-st6uFKPoI?usp=share_link")</f>
        <v>https://drive.google.com/drive/folders/10T2cTQHqEJZqE-st6uFKPoI?usp=share_link</v>
      </c>
      <c r="P3082" s="6" t="str">
        <f>IFERROR(__xludf.DUMMYFUNCTION("""COMPUTED_VALUE"""),"Hudson V. Logue")</f>
        <v>Hudson V. Logue</v>
      </c>
      <c r="Q3082" s="6" t="str">
        <f>IFERROR(__xludf.DUMMYFUNCTION("""COMPUTED_VALUE"""),"MS")</f>
        <v>MS</v>
      </c>
      <c r="R3082" s="6">
        <f>IFERROR(__xludf.DUMMYFUNCTION("""COMPUTED_VALUE"""),0.0)</f>
        <v>0</v>
      </c>
      <c r="S3082" s="6" t="str">
        <f>IFERROR(__xludf.DUMMYFUNCTION("""COMPUTED_VALUE"""),"Kim Gallucci")</f>
        <v>Kim Gallucci</v>
      </c>
      <c r="T3082" s="6" t="str">
        <f>IFERROR(__xludf.DUMMYFUNCTION("""COMPUTED_VALUE"""),"kim.gallucci@ortrail.k12.or.us")</f>
        <v>kim.gallucci@ortrail.k12.or.us</v>
      </c>
      <c r="U3082" s="6" t="str">
        <f>IFERROR(__xludf.DUMMYFUNCTION("""COMPUTED_VALUE"""),"7")</f>
        <v>7</v>
      </c>
      <c r="V3082" s="6" t="str">
        <f>IFERROR(__xludf.DUMMYFUNCTION("""COMPUTED_VALUE"""),"English")</f>
        <v>English</v>
      </c>
      <c r="W3082" s="6" t="str">
        <f>IFERROR(__xludf.DUMMYFUNCTION("""COMPUTED_VALUE"""),"[]")</f>
        <v>[]</v>
      </c>
      <c r="X3082" s="6" t="str">
        <f>IFERROR(__xludf.DUMMYFUNCTION("""COMPUTED_VALUE"""),"Enrolled")</f>
        <v>Enrolled</v>
      </c>
    </row>
    <row r="3083">
      <c r="A3083" s="6" t="str">
        <f>IFERROR(__xludf.DUMMYFUNCTION("""COMPUTED_VALUE"""),"064-5864")</f>
        <v>064-5864</v>
      </c>
      <c r="B3083" s="6" t="str">
        <f>IFERROR(__xludf.DUMMYFUNCTION("""COMPUTED_VALUE"""),"64")</f>
        <v>64</v>
      </c>
      <c r="C3083" s="6" t="str">
        <f>IFERROR(__xludf.DUMMYFUNCTION("""COMPUTED_VALUE"""),"5864")</f>
        <v>5864</v>
      </c>
      <c r="D3083" s="6" t="str">
        <f>IFERROR(__xludf.DUMMYFUNCTION("""COMPUTED_VALUE"""),"Marley")</f>
        <v>Marley</v>
      </c>
      <c r="E3083" s="6" t="str">
        <f>IFERROR(__xludf.DUMMYFUNCTION("""COMPUTED_VALUE"""),"")</f>
        <v/>
      </c>
      <c r="F3083" s="6" t="str">
        <f>IFERROR(__xludf.DUMMYFUNCTION("""COMPUTED_VALUE"""),"Britt")</f>
        <v>Britt</v>
      </c>
      <c r="G3083" s="6" t="str">
        <f>IFERROR(__xludf.DUMMYFUNCTION("""COMPUTED_VALUE"""),"04/24/2012")</f>
        <v>04/24/2012</v>
      </c>
      <c r="H3083" s="6" t="str">
        <f>IFERROR(__xludf.DUMMYFUNCTION("""COMPUTED_VALUE"""),"M")</f>
        <v>M</v>
      </c>
      <c r="I3083" s="6" t="str">
        <f>IFERROR(__xludf.DUMMYFUNCTION("""COMPUTED_VALUE"""),"Middle School")</f>
        <v>Middle School</v>
      </c>
      <c r="J3083" s="6" t="str">
        <f>IFERROR(__xludf.DUMMYFUNCTION("""COMPUTED_VALUE"""),"8")</f>
        <v>8</v>
      </c>
      <c r="K3083" s="6" t="str">
        <f>IFERROR(__xludf.DUMMYFUNCTION("""COMPUTED_VALUE"""),"marley_britt@stu.ortrail.k12.or.us")</f>
        <v>marley_britt@stu.ortrail.k12.or.us</v>
      </c>
      <c r="L3083" s="6" t="str">
        <f>IFERROR(__xludf.DUMMYFUNCTION("""COMPUTED_VALUE"""),"Oregon Trail School District 46")</f>
        <v>Oregon Trail School District 46</v>
      </c>
      <c r="M3083" s="6" t="str">
        <f>IFERROR(__xludf.DUMMYFUNCTION("""COMPUTED_VALUE"""),"")</f>
        <v/>
      </c>
      <c r="N3083" s="6" t="str">
        <f>IFERROR(__xludf.DUMMYFUNCTION("""COMPUTED_VALUE"""),"")</f>
        <v/>
      </c>
      <c r="O3083" s="87" t="str">
        <f>IFERROR(__xludf.DUMMYFUNCTION("""COMPUTED_VALUE"""),"https://drive.google.com/drive/folders/10T2cTQHqEJZqE-st6uFKPoI?usp=share_link")</f>
        <v>https://drive.google.com/drive/folders/10T2cTQHqEJZqE-st6uFKPoI?usp=share_link</v>
      </c>
      <c r="P3083" s="6" t="str">
        <f>IFERROR(__xludf.DUMMYFUNCTION("""COMPUTED_VALUE"""),"Marley Britt")</f>
        <v>Marley Britt</v>
      </c>
      <c r="Q3083" s="6" t="str">
        <f>IFERROR(__xludf.DUMMYFUNCTION("""COMPUTED_VALUE"""),"MS")</f>
        <v>MS</v>
      </c>
      <c r="R3083" s="6">
        <f>IFERROR(__xludf.DUMMYFUNCTION("""COMPUTED_VALUE"""),0.0)</f>
        <v>0</v>
      </c>
      <c r="S3083" s="6" t="str">
        <f>IFERROR(__xludf.DUMMYFUNCTION("""COMPUTED_VALUE"""),"Genevra Self")</f>
        <v>Genevra Self</v>
      </c>
      <c r="T3083" s="6" t="str">
        <f>IFERROR(__xludf.DUMMYFUNCTION("""COMPUTED_VALUE"""),"genevra.self@studient.com")</f>
        <v>genevra.self@studient.com</v>
      </c>
      <c r="U3083" s="6" t="str">
        <f>IFERROR(__xludf.DUMMYFUNCTION("""COMPUTED_VALUE"""),"8")</f>
        <v>8</v>
      </c>
      <c r="V3083" s="6" t="str">
        <f>IFERROR(__xludf.DUMMYFUNCTION("""COMPUTED_VALUE"""),"en_US")</f>
        <v>en_US</v>
      </c>
      <c r="W3083" s="6" t="str">
        <f>IFERROR(__xludf.DUMMYFUNCTION("""COMPUTED_VALUE"""),"[]")</f>
        <v>[]</v>
      </c>
      <c r="X3083" s="6" t="str">
        <f>IFERROR(__xludf.DUMMYFUNCTION("""COMPUTED_VALUE"""),"Enrolled")</f>
        <v>Enrolled</v>
      </c>
    </row>
    <row r="3084">
      <c r="A3084" s="6" t="str">
        <f>IFERROR(__xludf.DUMMYFUNCTION("""COMPUTED_VALUE"""),"064-5865")</f>
        <v>064-5865</v>
      </c>
      <c r="B3084" s="6" t="str">
        <f>IFERROR(__xludf.DUMMYFUNCTION("""COMPUTED_VALUE"""),"64")</f>
        <v>64</v>
      </c>
      <c r="C3084" s="6" t="str">
        <f>IFERROR(__xludf.DUMMYFUNCTION("""COMPUTED_VALUE"""),"5865")</f>
        <v>5865</v>
      </c>
      <c r="D3084" s="6" t="str">
        <f>IFERROR(__xludf.DUMMYFUNCTION("""COMPUTED_VALUE"""),"Azalea")</f>
        <v>Azalea</v>
      </c>
      <c r="E3084" s="6" t="str">
        <f>IFERROR(__xludf.DUMMYFUNCTION("""COMPUTED_VALUE"""),"")</f>
        <v/>
      </c>
      <c r="F3084" s="6" t="str">
        <f>IFERROR(__xludf.DUMMYFUNCTION("""COMPUTED_VALUE"""),"Mickley")</f>
        <v>Mickley</v>
      </c>
      <c r="G3084" s="6" t="str">
        <f>IFERROR(__xludf.DUMMYFUNCTION("""COMPUTED_VALUE"""),"07/24/2014")</f>
        <v>07/24/2014</v>
      </c>
      <c r="H3084" s="6" t="str">
        <f>IFERROR(__xludf.DUMMYFUNCTION("""COMPUTED_VALUE"""),"Self Identify")</f>
        <v>Self Identify</v>
      </c>
      <c r="I3084" s="6" t="str">
        <f>IFERROR(__xludf.DUMMYFUNCTION("""COMPUTED_VALUE"""),"Middle School")</f>
        <v>Middle School</v>
      </c>
      <c r="J3084" s="6" t="str">
        <f>IFERROR(__xludf.DUMMYFUNCTION("""COMPUTED_VALUE"""),"6")</f>
        <v>6</v>
      </c>
      <c r="K3084" s="6" t="str">
        <f>IFERROR(__xludf.DUMMYFUNCTION("""COMPUTED_VALUE"""),"azalea_mickley@stu.ortrail.k12.or.us")</f>
        <v>azalea_mickley@stu.ortrail.k12.or.us</v>
      </c>
      <c r="L3084" s="6" t="str">
        <f>IFERROR(__xludf.DUMMYFUNCTION("""COMPUTED_VALUE"""),"Oregon Trail School District 46")</f>
        <v>Oregon Trail School District 46</v>
      </c>
      <c r="M3084" s="6" t="str">
        <f>IFERROR(__xludf.DUMMYFUNCTION("""COMPUTED_VALUE"""),"Cedar Ridge Middle School")</f>
        <v>Cedar Ridge Middle School</v>
      </c>
      <c r="N3084" s="6" t="str">
        <f>IFERROR(__xludf.DUMMYFUNCTION("""COMPUTED_VALUE"""),"")</f>
        <v/>
      </c>
      <c r="O3084" s="87" t="str">
        <f>IFERROR(__xludf.DUMMYFUNCTION("""COMPUTED_VALUE"""),"https://drive.google.com/drive/folders/10T2cTQHqEJZqE-st6uFKPoI?usp=share_link")</f>
        <v>https://drive.google.com/drive/folders/10T2cTQHqEJZqE-st6uFKPoI?usp=share_link</v>
      </c>
      <c r="P3084" s="6" t="str">
        <f>IFERROR(__xludf.DUMMYFUNCTION("""COMPUTED_VALUE"""),"Azalea Mickley")</f>
        <v>Azalea Mickley</v>
      </c>
      <c r="Q3084" s="6" t="str">
        <f>IFERROR(__xludf.DUMMYFUNCTION("""COMPUTED_VALUE"""),"MS")</f>
        <v>MS</v>
      </c>
      <c r="R3084" s="6">
        <f>IFERROR(__xludf.DUMMYFUNCTION("""COMPUTED_VALUE"""),0.0)</f>
        <v>0</v>
      </c>
      <c r="S3084" s="6" t="str">
        <f>IFERROR(__xludf.DUMMYFUNCTION("""COMPUTED_VALUE"""),"Kim Gallucci")</f>
        <v>Kim Gallucci</v>
      </c>
      <c r="T3084" s="6" t="str">
        <f>IFERROR(__xludf.DUMMYFUNCTION("""COMPUTED_VALUE"""),"kim.gallucci@ortrail.k12.or.us")</f>
        <v>kim.gallucci@ortrail.k12.or.us</v>
      </c>
      <c r="U3084" s="6" t="str">
        <f>IFERROR(__xludf.DUMMYFUNCTION("""COMPUTED_VALUE"""),"6")</f>
        <v>6</v>
      </c>
      <c r="V3084" s="6" t="str">
        <f>IFERROR(__xludf.DUMMYFUNCTION("""COMPUTED_VALUE"""),"English")</f>
        <v>English</v>
      </c>
      <c r="W3084" s="6" t="str">
        <f>IFERROR(__xludf.DUMMYFUNCTION("""COMPUTED_VALUE"""),"[]")</f>
        <v>[]</v>
      </c>
      <c r="X3084" s="6" t="str">
        <f>IFERROR(__xludf.DUMMYFUNCTION("""COMPUTED_VALUE"""),"Enrolled")</f>
        <v>Enrolled</v>
      </c>
    </row>
    <row r="3085">
      <c r="A3085" s="6" t="str">
        <f>IFERROR(__xludf.DUMMYFUNCTION("""COMPUTED_VALUE"""),"064-5866")</f>
        <v>064-5866</v>
      </c>
      <c r="B3085" s="6" t="str">
        <f>IFERROR(__xludf.DUMMYFUNCTION("""COMPUTED_VALUE"""),"64")</f>
        <v>64</v>
      </c>
      <c r="C3085" s="6" t="str">
        <f>IFERROR(__xludf.DUMMYFUNCTION("""COMPUTED_VALUE"""),"5866")</f>
        <v>5866</v>
      </c>
      <c r="D3085" s="6" t="str">
        <f>IFERROR(__xludf.DUMMYFUNCTION("""COMPUTED_VALUE"""),"Royal L.")</f>
        <v>Royal L.</v>
      </c>
      <c r="E3085" s="6" t="str">
        <f>IFERROR(__xludf.DUMMYFUNCTION("""COMPUTED_VALUE"""),"")</f>
        <v/>
      </c>
      <c r="F3085" s="6" t="str">
        <f>IFERROR(__xludf.DUMMYFUNCTION("""COMPUTED_VALUE"""),"Neuman")</f>
        <v>Neuman</v>
      </c>
      <c r="G3085" s="6" t="str">
        <f>IFERROR(__xludf.DUMMYFUNCTION("""COMPUTED_VALUE"""),"06/25/2014")</f>
        <v>06/25/2014</v>
      </c>
      <c r="H3085" s="6" t="str">
        <f>IFERROR(__xludf.DUMMYFUNCTION("""COMPUTED_VALUE"""),"Self Identify")</f>
        <v>Self Identify</v>
      </c>
      <c r="I3085" s="6" t="str">
        <f>IFERROR(__xludf.DUMMYFUNCTION("""COMPUTED_VALUE"""),"Middle School")</f>
        <v>Middle School</v>
      </c>
      <c r="J3085" s="6" t="str">
        <f>IFERROR(__xludf.DUMMYFUNCTION("""COMPUTED_VALUE"""),"6")</f>
        <v>6</v>
      </c>
      <c r="K3085" s="6" t="str">
        <f>IFERROR(__xludf.DUMMYFUNCTION("""COMPUTED_VALUE"""),"royal_neuman@stu.ortrail.k12.or.us")</f>
        <v>royal_neuman@stu.ortrail.k12.or.us</v>
      </c>
      <c r="L3085" s="6" t="str">
        <f>IFERROR(__xludf.DUMMYFUNCTION("""COMPUTED_VALUE"""),"Oregon Trail School District 46")</f>
        <v>Oregon Trail School District 46</v>
      </c>
      <c r="M3085" s="6" t="str">
        <f>IFERROR(__xludf.DUMMYFUNCTION("""COMPUTED_VALUE"""),"Cedar Ridge Middle School")</f>
        <v>Cedar Ridge Middle School</v>
      </c>
      <c r="N3085" s="6" t="str">
        <f>IFERROR(__xludf.DUMMYFUNCTION("""COMPUTED_VALUE"""),"")</f>
        <v/>
      </c>
      <c r="O3085" s="87" t="str">
        <f>IFERROR(__xludf.DUMMYFUNCTION("""COMPUTED_VALUE"""),"https://drive.google.com/drive/folders/10T2cTQHqEJZqE-st6uFKPoI?usp=share_link")</f>
        <v>https://drive.google.com/drive/folders/10T2cTQHqEJZqE-st6uFKPoI?usp=share_link</v>
      </c>
      <c r="P3085" s="6" t="str">
        <f>IFERROR(__xludf.DUMMYFUNCTION("""COMPUTED_VALUE"""),"Royal L. Neuman")</f>
        <v>Royal L. Neuman</v>
      </c>
      <c r="Q3085" s="6" t="str">
        <f>IFERROR(__xludf.DUMMYFUNCTION("""COMPUTED_VALUE"""),"MS")</f>
        <v>MS</v>
      </c>
      <c r="R3085" s="6">
        <f>IFERROR(__xludf.DUMMYFUNCTION("""COMPUTED_VALUE"""),0.0)</f>
        <v>0</v>
      </c>
      <c r="S3085" s="6" t="str">
        <f>IFERROR(__xludf.DUMMYFUNCTION("""COMPUTED_VALUE"""),"Kim Gallucci")</f>
        <v>Kim Gallucci</v>
      </c>
      <c r="T3085" s="6" t="str">
        <f>IFERROR(__xludf.DUMMYFUNCTION("""COMPUTED_VALUE"""),"kim.gallucci@ortrail.k12.or.us")</f>
        <v>kim.gallucci@ortrail.k12.or.us</v>
      </c>
      <c r="U3085" s="6" t="str">
        <f>IFERROR(__xludf.DUMMYFUNCTION("""COMPUTED_VALUE"""),"6")</f>
        <v>6</v>
      </c>
      <c r="V3085" s="6" t="str">
        <f>IFERROR(__xludf.DUMMYFUNCTION("""COMPUTED_VALUE"""),"English")</f>
        <v>English</v>
      </c>
      <c r="W3085" s="6" t="str">
        <f>IFERROR(__xludf.DUMMYFUNCTION("""COMPUTED_VALUE"""),"[]")</f>
        <v>[]</v>
      </c>
      <c r="X3085" s="6" t="str">
        <f>IFERROR(__xludf.DUMMYFUNCTION("""COMPUTED_VALUE"""),"Enrolled")</f>
        <v>Enrolled</v>
      </c>
    </row>
    <row r="3086">
      <c r="A3086" s="6" t="str">
        <f>IFERROR(__xludf.DUMMYFUNCTION("""COMPUTED_VALUE"""),"064-5867")</f>
        <v>064-5867</v>
      </c>
      <c r="B3086" s="6" t="str">
        <f>IFERROR(__xludf.DUMMYFUNCTION("""COMPUTED_VALUE"""),"64")</f>
        <v>64</v>
      </c>
      <c r="C3086" s="6" t="str">
        <f>IFERROR(__xludf.DUMMYFUNCTION("""COMPUTED_VALUE"""),"5867")</f>
        <v>5867</v>
      </c>
      <c r="D3086" s="6" t="str">
        <f>IFERROR(__xludf.DUMMYFUNCTION("""COMPUTED_VALUE"""),"Kullen J.")</f>
        <v>Kullen J.</v>
      </c>
      <c r="E3086" s="6" t="str">
        <f>IFERROR(__xludf.DUMMYFUNCTION("""COMPUTED_VALUE"""),"")</f>
        <v/>
      </c>
      <c r="F3086" s="6" t="str">
        <f>IFERROR(__xludf.DUMMYFUNCTION("""COMPUTED_VALUE"""),"Nicholls")</f>
        <v>Nicholls</v>
      </c>
      <c r="G3086" s="6" t="str">
        <f>IFERROR(__xludf.DUMMYFUNCTION("""COMPUTED_VALUE"""),"02/19/2014")</f>
        <v>02/19/2014</v>
      </c>
      <c r="H3086" s="6" t="str">
        <f>IFERROR(__xludf.DUMMYFUNCTION("""COMPUTED_VALUE"""),"Self Identify")</f>
        <v>Self Identify</v>
      </c>
      <c r="I3086" s="6" t="str">
        <f>IFERROR(__xludf.DUMMYFUNCTION("""COMPUTED_VALUE"""),"Middle School")</f>
        <v>Middle School</v>
      </c>
      <c r="J3086" s="6" t="str">
        <f>IFERROR(__xludf.DUMMYFUNCTION("""COMPUTED_VALUE"""),"6")</f>
        <v>6</v>
      </c>
      <c r="K3086" s="6" t="str">
        <f>IFERROR(__xludf.DUMMYFUNCTION("""COMPUTED_VALUE"""),"kullen_nicholls@stu.ortrail.k12.or.us")</f>
        <v>kullen_nicholls@stu.ortrail.k12.or.us</v>
      </c>
      <c r="L3086" s="6" t="str">
        <f>IFERROR(__xludf.DUMMYFUNCTION("""COMPUTED_VALUE"""),"Oregon Trail School District 46")</f>
        <v>Oregon Trail School District 46</v>
      </c>
      <c r="M3086" s="6" t="str">
        <f>IFERROR(__xludf.DUMMYFUNCTION("""COMPUTED_VALUE"""),"Cedar Ridge Middle School")</f>
        <v>Cedar Ridge Middle School</v>
      </c>
      <c r="N3086" s="6" t="str">
        <f>IFERROR(__xludf.DUMMYFUNCTION("""COMPUTED_VALUE"""),"")</f>
        <v/>
      </c>
      <c r="O3086" s="87" t="str">
        <f>IFERROR(__xludf.DUMMYFUNCTION("""COMPUTED_VALUE"""),"https://drive.google.com/drive/folders/10T2cTQHqEJZqE-st6uFKPoI?usp=share_link")</f>
        <v>https://drive.google.com/drive/folders/10T2cTQHqEJZqE-st6uFKPoI?usp=share_link</v>
      </c>
      <c r="P3086" s="6" t="str">
        <f>IFERROR(__xludf.DUMMYFUNCTION("""COMPUTED_VALUE"""),"Kullen J. Nicholls")</f>
        <v>Kullen J. Nicholls</v>
      </c>
      <c r="Q3086" s="6" t="str">
        <f>IFERROR(__xludf.DUMMYFUNCTION("""COMPUTED_VALUE"""),"MS")</f>
        <v>MS</v>
      </c>
      <c r="R3086" s="6">
        <f>IFERROR(__xludf.DUMMYFUNCTION("""COMPUTED_VALUE"""),0.0)</f>
        <v>0</v>
      </c>
      <c r="S3086" s="6" t="str">
        <f>IFERROR(__xludf.DUMMYFUNCTION("""COMPUTED_VALUE"""),"Kim Gallucci")</f>
        <v>Kim Gallucci</v>
      </c>
      <c r="T3086" s="6" t="str">
        <f>IFERROR(__xludf.DUMMYFUNCTION("""COMPUTED_VALUE"""),"kim.gallucci@ortrail.k12.or.us")</f>
        <v>kim.gallucci@ortrail.k12.or.us</v>
      </c>
      <c r="U3086" s="6" t="str">
        <f>IFERROR(__xludf.DUMMYFUNCTION("""COMPUTED_VALUE"""),"6")</f>
        <v>6</v>
      </c>
      <c r="V3086" s="6" t="str">
        <f>IFERROR(__xludf.DUMMYFUNCTION("""COMPUTED_VALUE"""),"English")</f>
        <v>English</v>
      </c>
      <c r="W3086" s="6" t="str">
        <f>IFERROR(__xludf.DUMMYFUNCTION("""COMPUTED_VALUE"""),"[]")</f>
        <v>[]</v>
      </c>
      <c r="X3086" s="6" t="str">
        <f>IFERROR(__xludf.DUMMYFUNCTION("""COMPUTED_VALUE"""),"Enrolled")</f>
        <v>Enrolled</v>
      </c>
    </row>
    <row r="3087">
      <c r="A3087" s="6" t="str">
        <f>IFERROR(__xludf.DUMMYFUNCTION("""COMPUTED_VALUE"""),"064-5868")</f>
        <v>064-5868</v>
      </c>
      <c r="B3087" s="6" t="str">
        <f>IFERROR(__xludf.DUMMYFUNCTION("""COMPUTED_VALUE"""),"64")</f>
        <v>64</v>
      </c>
      <c r="C3087" s="6" t="str">
        <f>IFERROR(__xludf.DUMMYFUNCTION("""COMPUTED_VALUE"""),"5868")</f>
        <v>5868</v>
      </c>
      <c r="D3087" s="6" t="str">
        <f>IFERROR(__xludf.DUMMYFUNCTION("""COMPUTED_VALUE"""),"Zayden K.")</f>
        <v>Zayden K.</v>
      </c>
      <c r="E3087" s="6" t="str">
        <f>IFERROR(__xludf.DUMMYFUNCTION("""COMPUTED_VALUE"""),"")</f>
        <v/>
      </c>
      <c r="F3087" s="6" t="str">
        <f>IFERROR(__xludf.DUMMYFUNCTION("""COMPUTED_VALUE"""),"Paugh")</f>
        <v>Paugh</v>
      </c>
      <c r="G3087" s="6" t="str">
        <f>IFERROR(__xludf.DUMMYFUNCTION("""COMPUTED_VALUE"""),"03/19/2013")</f>
        <v>03/19/2013</v>
      </c>
      <c r="H3087" s="6" t="str">
        <f>IFERROR(__xludf.DUMMYFUNCTION("""COMPUTED_VALUE"""),"Self Identify")</f>
        <v>Self Identify</v>
      </c>
      <c r="I3087" s="6" t="str">
        <f>IFERROR(__xludf.DUMMYFUNCTION("""COMPUTED_VALUE"""),"Middle School")</f>
        <v>Middle School</v>
      </c>
      <c r="J3087" s="6" t="str">
        <f>IFERROR(__xludf.DUMMYFUNCTION("""COMPUTED_VALUE"""),"7")</f>
        <v>7</v>
      </c>
      <c r="K3087" s="6" t="str">
        <f>IFERROR(__xludf.DUMMYFUNCTION("""COMPUTED_VALUE"""),"zayden_paugh@stu.ortrail.k12.or.us")</f>
        <v>zayden_paugh@stu.ortrail.k12.or.us</v>
      </c>
      <c r="L3087" s="6" t="str">
        <f>IFERROR(__xludf.DUMMYFUNCTION("""COMPUTED_VALUE"""),"Oregon Trail School District 46")</f>
        <v>Oregon Trail School District 46</v>
      </c>
      <c r="M3087" s="6" t="str">
        <f>IFERROR(__xludf.DUMMYFUNCTION("""COMPUTED_VALUE"""),"Cedar Ridge Middle School")</f>
        <v>Cedar Ridge Middle School</v>
      </c>
      <c r="N3087" s="6" t="str">
        <f>IFERROR(__xludf.DUMMYFUNCTION("""COMPUTED_VALUE"""),"")</f>
        <v/>
      </c>
      <c r="O3087" s="87" t="str">
        <f>IFERROR(__xludf.DUMMYFUNCTION("""COMPUTED_VALUE"""),"https://drive.google.com/drive/folders/10T2cTQHqEJZqE-st6uFKPoI?usp=share_link")</f>
        <v>https://drive.google.com/drive/folders/10T2cTQHqEJZqE-st6uFKPoI?usp=share_link</v>
      </c>
      <c r="P3087" s="6" t="str">
        <f>IFERROR(__xludf.DUMMYFUNCTION("""COMPUTED_VALUE"""),"Zayden K. Paugh")</f>
        <v>Zayden K. Paugh</v>
      </c>
      <c r="Q3087" s="6" t="str">
        <f>IFERROR(__xludf.DUMMYFUNCTION("""COMPUTED_VALUE"""),"MS")</f>
        <v>MS</v>
      </c>
      <c r="R3087" s="6">
        <f>IFERROR(__xludf.DUMMYFUNCTION("""COMPUTED_VALUE"""),0.0)</f>
        <v>0</v>
      </c>
      <c r="S3087" s="6" t="str">
        <f>IFERROR(__xludf.DUMMYFUNCTION("""COMPUTED_VALUE"""),"Kim Gallucci")</f>
        <v>Kim Gallucci</v>
      </c>
      <c r="T3087" s="6" t="str">
        <f>IFERROR(__xludf.DUMMYFUNCTION("""COMPUTED_VALUE"""),"kim.gallucci@ortrail.k12.or.us")</f>
        <v>kim.gallucci@ortrail.k12.or.us</v>
      </c>
      <c r="U3087" s="6" t="str">
        <f>IFERROR(__xludf.DUMMYFUNCTION("""COMPUTED_VALUE"""),"7")</f>
        <v>7</v>
      </c>
      <c r="V3087" s="6" t="str">
        <f>IFERROR(__xludf.DUMMYFUNCTION("""COMPUTED_VALUE"""),"English")</f>
        <v>English</v>
      </c>
      <c r="W3087" s="6" t="str">
        <f>IFERROR(__xludf.DUMMYFUNCTION("""COMPUTED_VALUE"""),"[]")</f>
        <v>[]</v>
      </c>
      <c r="X3087" s="6" t="str">
        <f>IFERROR(__xludf.DUMMYFUNCTION("""COMPUTED_VALUE"""),"Enrolled")</f>
        <v>Enrolled</v>
      </c>
    </row>
    <row r="3088">
      <c r="A3088" s="6" t="str">
        <f>IFERROR(__xludf.DUMMYFUNCTION("""COMPUTED_VALUE"""),"064-5869")</f>
        <v>064-5869</v>
      </c>
      <c r="B3088" s="6" t="str">
        <f>IFERROR(__xludf.DUMMYFUNCTION("""COMPUTED_VALUE"""),"64")</f>
        <v>64</v>
      </c>
      <c r="C3088" s="6" t="str">
        <f>IFERROR(__xludf.DUMMYFUNCTION("""COMPUTED_VALUE"""),"5869")</f>
        <v>5869</v>
      </c>
      <c r="D3088" s="6" t="str">
        <f>IFERROR(__xludf.DUMMYFUNCTION("""COMPUTED_VALUE"""),"Dallas C.")</f>
        <v>Dallas C.</v>
      </c>
      <c r="E3088" s="6" t="str">
        <f>IFERROR(__xludf.DUMMYFUNCTION("""COMPUTED_VALUE"""),"")</f>
        <v/>
      </c>
      <c r="F3088" s="6" t="str">
        <f>IFERROR(__xludf.DUMMYFUNCTION("""COMPUTED_VALUE"""),"Pyburn Hamlin")</f>
        <v>Pyburn Hamlin</v>
      </c>
      <c r="G3088" s="6" t="str">
        <f>IFERROR(__xludf.DUMMYFUNCTION("""COMPUTED_VALUE"""),"03/11/2012")</f>
        <v>03/11/2012</v>
      </c>
      <c r="H3088" s="6" t="str">
        <f>IFERROR(__xludf.DUMMYFUNCTION("""COMPUTED_VALUE"""),"Self Identify")</f>
        <v>Self Identify</v>
      </c>
      <c r="I3088" s="6" t="str">
        <f>IFERROR(__xludf.DUMMYFUNCTION("""COMPUTED_VALUE"""),"Middle School")</f>
        <v>Middle School</v>
      </c>
      <c r="J3088" s="6" t="str">
        <f>IFERROR(__xludf.DUMMYFUNCTION("""COMPUTED_VALUE"""),"8")</f>
        <v>8</v>
      </c>
      <c r="K3088" s="6" t="str">
        <f>IFERROR(__xludf.DUMMYFUNCTION("""COMPUTED_VALUE"""),"dallas_pyburnhamlin@stu.ortrail.k12.or.us")</f>
        <v>dallas_pyburnhamlin@stu.ortrail.k12.or.us</v>
      </c>
      <c r="L3088" s="6" t="str">
        <f>IFERROR(__xludf.DUMMYFUNCTION("""COMPUTED_VALUE"""),"Oregon Trail School District 46")</f>
        <v>Oregon Trail School District 46</v>
      </c>
      <c r="M3088" s="6" t="str">
        <f>IFERROR(__xludf.DUMMYFUNCTION("""COMPUTED_VALUE"""),"Cedar Ridge Middle School")</f>
        <v>Cedar Ridge Middle School</v>
      </c>
      <c r="N3088" s="6" t="str">
        <f>IFERROR(__xludf.DUMMYFUNCTION("""COMPUTED_VALUE"""),"")</f>
        <v/>
      </c>
      <c r="O3088" s="87" t="str">
        <f>IFERROR(__xludf.DUMMYFUNCTION("""COMPUTED_VALUE"""),"https://drive.google.com/drive/folders/10T2cTQHqEJZqE-st6uFKPoI?usp=share_link")</f>
        <v>https://drive.google.com/drive/folders/10T2cTQHqEJZqE-st6uFKPoI?usp=share_link</v>
      </c>
      <c r="P3088" s="6" t="str">
        <f>IFERROR(__xludf.DUMMYFUNCTION("""COMPUTED_VALUE"""),"Dallas C. Pyburn Hamlin")</f>
        <v>Dallas C. Pyburn Hamlin</v>
      </c>
      <c r="Q3088" s="6" t="str">
        <f>IFERROR(__xludf.DUMMYFUNCTION("""COMPUTED_VALUE"""),"MS")</f>
        <v>MS</v>
      </c>
      <c r="R3088" s="6">
        <f>IFERROR(__xludf.DUMMYFUNCTION("""COMPUTED_VALUE"""),0.0)</f>
        <v>0</v>
      </c>
      <c r="S3088" s="6" t="str">
        <f>IFERROR(__xludf.DUMMYFUNCTION("""COMPUTED_VALUE"""),"Kim Gallucci")</f>
        <v>Kim Gallucci</v>
      </c>
      <c r="T3088" s="6" t="str">
        <f>IFERROR(__xludf.DUMMYFUNCTION("""COMPUTED_VALUE"""),"kim.gallucci@ortrail.k12.or.us")</f>
        <v>kim.gallucci@ortrail.k12.or.us</v>
      </c>
      <c r="U3088" s="6" t="str">
        <f>IFERROR(__xludf.DUMMYFUNCTION("""COMPUTED_VALUE"""),"8")</f>
        <v>8</v>
      </c>
      <c r="V3088" s="6" t="str">
        <f>IFERROR(__xludf.DUMMYFUNCTION("""COMPUTED_VALUE"""),"English")</f>
        <v>English</v>
      </c>
      <c r="W3088" s="6" t="str">
        <f>IFERROR(__xludf.DUMMYFUNCTION("""COMPUTED_VALUE"""),"[]")</f>
        <v>[]</v>
      </c>
      <c r="X3088" s="6" t="str">
        <f>IFERROR(__xludf.DUMMYFUNCTION("""COMPUTED_VALUE"""),"Enrolled")</f>
        <v>Enrolled</v>
      </c>
    </row>
    <row r="3089">
      <c r="A3089" s="6" t="str">
        <f>IFERROR(__xludf.DUMMYFUNCTION("""COMPUTED_VALUE"""),"064-5870")</f>
        <v>064-5870</v>
      </c>
      <c r="B3089" s="6" t="str">
        <f>IFERROR(__xludf.DUMMYFUNCTION("""COMPUTED_VALUE"""),"64")</f>
        <v>64</v>
      </c>
      <c r="C3089" s="6" t="str">
        <f>IFERROR(__xludf.DUMMYFUNCTION("""COMPUTED_VALUE"""),"5870")</f>
        <v>5870</v>
      </c>
      <c r="D3089" s="6" t="str">
        <f>IFERROR(__xludf.DUMMYFUNCTION("""COMPUTED_VALUE"""),"Lily L.")</f>
        <v>Lily L.</v>
      </c>
      <c r="E3089" s="6" t="str">
        <f>IFERROR(__xludf.DUMMYFUNCTION("""COMPUTED_VALUE"""),"")</f>
        <v/>
      </c>
      <c r="F3089" s="6" t="str">
        <f>IFERROR(__xludf.DUMMYFUNCTION("""COMPUTED_VALUE"""),"Reid")</f>
        <v>Reid</v>
      </c>
      <c r="G3089" s="6" t="str">
        <f>IFERROR(__xludf.DUMMYFUNCTION("""COMPUTED_VALUE"""),"07/17/2011")</f>
        <v>07/17/2011</v>
      </c>
      <c r="H3089" s="6" t="str">
        <f>IFERROR(__xludf.DUMMYFUNCTION("""COMPUTED_VALUE"""),"Self Identify")</f>
        <v>Self Identify</v>
      </c>
      <c r="I3089" s="6" t="str">
        <f>IFERROR(__xludf.DUMMYFUNCTION("""COMPUTED_VALUE"""),"Middle School")</f>
        <v>Middle School</v>
      </c>
      <c r="J3089" s="6" t="str">
        <f>IFERROR(__xludf.DUMMYFUNCTION("""COMPUTED_VALUE"""),"8")</f>
        <v>8</v>
      </c>
      <c r="K3089" s="6" t="str">
        <f>IFERROR(__xludf.DUMMYFUNCTION("""COMPUTED_VALUE"""),"lily_reid@stu.ortrail.k12.or.us")</f>
        <v>lily_reid@stu.ortrail.k12.or.us</v>
      </c>
      <c r="L3089" s="6" t="str">
        <f>IFERROR(__xludf.DUMMYFUNCTION("""COMPUTED_VALUE"""),"Oregon Trail School District 46")</f>
        <v>Oregon Trail School District 46</v>
      </c>
      <c r="M3089" s="6" t="str">
        <f>IFERROR(__xludf.DUMMYFUNCTION("""COMPUTED_VALUE"""),"Cedar Ridge Middle School")</f>
        <v>Cedar Ridge Middle School</v>
      </c>
      <c r="N3089" s="6" t="str">
        <f>IFERROR(__xludf.DUMMYFUNCTION("""COMPUTED_VALUE"""),"")</f>
        <v/>
      </c>
      <c r="O3089" s="87" t="str">
        <f>IFERROR(__xludf.DUMMYFUNCTION("""COMPUTED_VALUE"""),"https://drive.google.com/drive/folders/10T2cTQHqEJZqE-st6uFKPoI?usp=share_link")</f>
        <v>https://drive.google.com/drive/folders/10T2cTQHqEJZqE-st6uFKPoI?usp=share_link</v>
      </c>
      <c r="P3089" s="6" t="str">
        <f>IFERROR(__xludf.DUMMYFUNCTION("""COMPUTED_VALUE"""),"Lily L. Reid")</f>
        <v>Lily L. Reid</v>
      </c>
      <c r="Q3089" s="6" t="str">
        <f>IFERROR(__xludf.DUMMYFUNCTION("""COMPUTED_VALUE"""),"MS")</f>
        <v>MS</v>
      </c>
      <c r="R3089" s="6">
        <f>IFERROR(__xludf.DUMMYFUNCTION("""COMPUTED_VALUE"""),0.0)</f>
        <v>0</v>
      </c>
      <c r="S3089" s="6" t="str">
        <f>IFERROR(__xludf.DUMMYFUNCTION("""COMPUTED_VALUE"""),"Kim Gallucci")</f>
        <v>Kim Gallucci</v>
      </c>
      <c r="T3089" s="6" t="str">
        <f>IFERROR(__xludf.DUMMYFUNCTION("""COMPUTED_VALUE"""),"kim.gallucci@ortrail.k12.or.us")</f>
        <v>kim.gallucci@ortrail.k12.or.us</v>
      </c>
      <c r="U3089" s="6" t="str">
        <f>IFERROR(__xludf.DUMMYFUNCTION("""COMPUTED_VALUE"""),"8")</f>
        <v>8</v>
      </c>
      <c r="V3089" s="6" t="str">
        <f>IFERROR(__xludf.DUMMYFUNCTION("""COMPUTED_VALUE"""),"English")</f>
        <v>English</v>
      </c>
      <c r="W3089" s="6" t="str">
        <f>IFERROR(__xludf.DUMMYFUNCTION("""COMPUTED_VALUE"""),"[]")</f>
        <v>[]</v>
      </c>
      <c r="X3089" s="6" t="str">
        <f>IFERROR(__xludf.DUMMYFUNCTION("""COMPUTED_VALUE"""),"Enrolled")</f>
        <v>Enrolled</v>
      </c>
    </row>
    <row r="3090">
      <c r="A3090" s="6" t="str">
        <f>IFERROR(__xludf.DUMMYFUNCTION("""COMPUTED_VALUE"""),"064-5871")</f>
        <v>064-5871</v>
      </c>
      <c r="B3090" s="6" t="str">
        <f>IFERROR(__xludf.DUMMYFUNCTION("""COMPUTED_VALUE"""),"64")</f>
        <v>64</v>
      </c>
      <c r="C3090" s="6" t="str">
        <f>IFERROR(__xludf.DUMMYFUNCTION("""COMPUTED_VALUE"""),"5871")</f>
        <v>5871</v>
      </c>
      <c r="D3090" s="6" t="str">
        <f>IFERROR(__xludf.DUMMYFUNCTION("""COMPUTED_VALUE"""),"Frankie S.")</f>
        <v>Frankie S.</v>
      </c>
      <c r="E3090" s="6" t="str">
        <f>IFERROR(__xludf.DUMMYFUNCTION("""COMPUTED_VALUE"""),"")</f>
        <v/>
      </c>
      <c r="F3090" s="6" t="str">
        <f>IFERROR(__xludf.DUMMYFUNCTION("""COMPUTED_VALUE"""),"Russell")</f>
        <v>Russell</v>
      </c>
      <c r="G3090" s="6" t="str">
        <f>IFERROR(__xludf.DUMMYFUNCTION("""COMPUTED_VALUE"""),"07/30/2014")</f>
        <v>07/30/2014</v>
      </c>
      <c r="H3090" s="6" t="str">
        <f>IFERROR(__xludf.DUMMYFUNCTION("""COMPUTED_VALUE"""),"Self Identify")</f>
        <v>Self Identify</v>
      </c>
      <c r="I3090" s="6" t="str">
        <f>IFERROR(__xludf.DUMMYFUNCTION("""COMPUTED_VALUE"""),"Middle School")</f>
        <v>Middle School</v>
      </c>
      <c r="J3090" s="6" t="str">
        <f>IFERROR(__xludf.DUMMYFUNCTION("""COMPUTED_VALUE"""),"6")</f>
        <v>6</v>
      </c>
      <c r="K3090" s="6" t="str">
        <f>IFERROR(__xludf.DUMMYFUNCTION("""COMPUTED_VALUE"""),"frankie_russell@stu.ortrail.k12.or.us")</f>
        <v>frankie_russell@stu.ortrail.k12.or.us</v>
      </c>
      <c r="L3090" s="6" t="str">
        <f>IFERROR(__xludf.DUMMYFUNCTION("""COMPUTED_VALUE"""),"Oregon Trail School District 46")</f>
        <v>Oregon Trail School District 46</v>
      </c>
      <c r="M3090" s="6" t="str">
        <f>IFERROR(__xludf.DUMMYFUNCTION("""COMPUTED_VALUE"""),"Cedar Ridge Middle School")</f>
        <v>Cedar Ridge Middle School</v>
      </c>
      <c r="N3090" s="6" t="str">
        <f>IFERROR(__xludf.DUMMYFUNCTION("""COMPUTED_VALUE"""),"")</f>
        <v/>
      </c>
      <c r="O3090" s="87" t="str">
        <f>IFERROR(__xludf.DUMMYFUNCTION("""COMPUTED_VALUE"""),"https://drive.google.com/drive/folders/10T2cTQHqEJZqE-st6uFKPoI?usp=share_link")</f>
        <v>https://drive.google.com/drive/folders/10T2cTQHqEJZqE-st6uFKPoI?usp=share_link</v>
      </c>
      <c r="P3090" s="6" t="str">
        <f>IFERROR(__xludf.DUMMYFUNCTION("""COMPUTED_VALUE"""),"Frankie S. Russell")</f>
        <v>Frankie S. Russell</v>
      </c>
      <c r="Q3090" s="6" t="str">
        <f>IFERROR(__xludf.DUMMYFUNCTION("""COMPUTED_VALUE"""),"MS")</f>
        <v>MS</v>
      </c>
      <c r="R3090" s="6">
        <f>IFERROR(__xludf.DUMMYFUNCTION("""COMPUTED_VALUE"""),0.0)</f>
        <v>0</v>
      </c>
      <c r="S3090" s="6" t="str">
        <f>IFERROR(__xludf.DUMMYFUNCTION("""COMPUTED_VALUE"""),"Kim Gallucci")</f>
        <v>Kim Gallucci</v>
      </c>
      <c r="T3090" s="6" t="str">
        <f>IFERROR(__xludf.DUMMYFUNCTION("""COMPUTED_VALUE"""),"kim.gallucci@ortrail.k12.or.us")</f>
        <v>kim.gallucci@ortrail.k12.or.us</v>
      </c>
      <c r="U3090" s="6" t="str">
        <f>IFERROR(__xludf.DUMMYFUNCTION("""COMPUTED_VALUE"""),"6")</f>
        <v>6</v>
      </c>
      <c r="V3090" s="6" t="str">
        <f>IFERROR(__xludf.DUMMYFUNCTION("""COMPUTED_VALUE"""),"English")</f>
        <v>English</v>
      </c>
      <c r="W3090" s="6" t="str">
        <f>IFERROR(__xludf.DUMMYFUNCTION("""COMPUTED_VALUE"""),"[]")</f>
        <v>[]</v>
      </c>
      <c r="X3090" s="6" t="str">
        <f>IFERROR(__xludf.DUMMYFUNCTION("""COMPUTED_VALUE"""),"Enrolled")</f>
        <v>Enrolled</v>
      </c>
    </row>
    <row r="3091">
      <c r="A3091" s="6" t="str">
        <f>IFERROR(__xludf.DUMMYFUNCTION("""COMPUTED_VALUE"""),"064-5872")</f>
        <v>064-5872</v>
      </c>
      <c r="B3091" s="6" t="str">
        <f>IFERROR(__xludf.DUMMYFUNCTION("""COMPUTED_VALUE"""),"64")</f>
        <v>64</v>
      </c>
      <c r="C3091" s="6" t="str">
        <f>IFERROR(__xludf.DUMMYFUNCTION("""COMPUTED_VALUE"""),"5872")</f>
        <v>5872</v>
      </c>
      <c r="D3091" s="6" t="str">
        <f>IFERROR(__xludf.DUMMYFUNCTION("""COMPUTED_VALUE"""),"Geovanny M.")</f>
        <v>Geovanny M.</v>
      </c>
      <c r="E3091" s="6" t="str">
        <f>IFERROR(__xludf.DUMMYFUNCTION("""COMPUTED_VALUE"""),"")</f>
        <v/>
      </c>
      <c r="F3091" s="6" t="str">
        <f>IFERROR(__xludf.DUMMYFUNCTION("""COMPUTED_VALUE"""),"Salazar")</f>
        <v>Salazar</v>
      </c>
      <c r="G3091" s="6" t="str">
        <f>IFERROR(__xludf.DUMMYFUNCTION("""COMPUTED_VALUE"""),"07/26/2013")</f>
        <v>07/26/2013</v>
      </c>
      <c r="H3091" s="6" t="str">
        <f>IFERROR(__xludf.DUMMYFUNCTION("""COMPUTED_VALUE"""),"Self Identify")</f>
        <v>Self Identify</v>
      </c>
      <c r="I3091" s="6" t="str">
        <f>IFERROR(__xludf.DUMMYFUNCTION("""COMPUTED_VALUE"""),"Middle School")</f>
        <v>Middle School</v>
      </c>
      <c r="J3091" s="6" t="str">
        <f>IFERROR(__xludf.DUMMYFUNCTION("""COMPUTED_VALUE"""),"6")</f>
        <v>6</v>
      </c>
      <c r="K3091" s="6" t="str">
        <f>IFERROR(__xludf.DUMMYFUNCTION("""COMPUTED_VALUE"""),"geovanny_salazar@stu.ortrail.k12.or.us")</f>
        <v>geovanny_salazar@stu.ortrail.k12.or.us</v>
      </c>
      <c r="L3091" s="6" t="str">
        <f>IFERROR(__xludf.DUMMYFUNCTION("""COMPUTED_VALUE"""),"Oregon Trail School District 46")</f>
        <v>Oregon Trail School District 46</v>
      </c>
      <c r="M3091" s="6" t="str">
        <f>IFERROR(__xludf.DUMMYFUNCTION("""COMPUTED_VALUE"""),"Cedar Ridge Middle School")</f>
        <v>Cedar Ridge Middle School</v>
      </c>
      <c r="N3091" s="6" t="str">
        <f>IFERROR(__xludf.DUMMYFUNCTION("""COMPUTED_VALUE"""),"")</f>
        <v/>
      </c>
      <c r="O3091" s="87" t="str">
        <f>IFERROR(__xludf.DUMMYFUNCTION("""COMPUTED_VALUE"""),"https://drive.google.com/drive/folders/10T2cTQHqEJZqE-st6uFKPoI?usp=share_link")</f>
        <v>https://drive.google.com/drive/folders/10T2cTQHqEJZqE-st6uFKPoI?usp=share_link</v>
      </c>
      <c r="P3091" s="6" t="str">
        <f>IFERROR(__xludf.DUMMYFUNCTION("""COMPUTED_VALUE"""),"Geovanny M. Salazar")</f>
        <v>Geovanny M. Salazar</v>
      </c>
      <c r="Q3091" s="6" t="str">
        <f>IFERROR(__xludf.DUMMYFUNCTION("""COMPUTED_VALUE"""),"MS")</f>
        <v>MS</v>
      </c>
      <c r="R3091" s="6">
        <f>IFERROR(__xludf.DUMMYFUNCTION("""COMPUTED_VALUE"""),0.0)</f>
        <v>0</v>
      </c>
      <c r="S3091" s="6" t="str">
        <f>IFERROR(__xludf.DUMMYFUNCTION("""COMPUTED_VALUE"""),"Kim Gallucci")</f>
        <v>Kim Gallucci</v>
      </c>
      <c r="T3091" s="6" t="str">
        <f>IFERROR(__xludf.DUMMYFUNCTION("""COMPUTED_VALUE"""),"kim.gallucci@ortrail.k12.or.us")</f>
        <v>kim.gallucci@ortrail.k12.or.us</v>
      </c>
      <c r="U3091" s="6" t="str">
        <f>IFERROR(__xludf.DUMMYFUNCTION("""COMPUTED_VALUE"""),"6")</f>
        <v>6</v>
      </c>
      <c r="V3091" s="6" t="str">
        <f>IFERROR(__xludf.DUMMYFUNCTION("""COMPUTED_VALUE"""),"English")</f>
        <v>English</v>
      </c>
      <c r="W3091" s="6" t="str">
        <f>IFERROR(__xludf.DUMMYFUNCTION("""COMPUTED_VALUE"""),"[]")</f>
        <v>[]</v>
      </c>
      <c r="X3091" s="6" t="str">
        <f>IFERROR(__xludf.DUMMYFUNCTION("""COMPUTED_VALUE"""),"Enrolled")</f>
        <v>Enrolled</v>
      </c>
    </row>
    <row r="3092">
      <c r="A3092" s="6" t="str">
        <f>IFERROR(__xludf.DUMMYFUNCTION("""COMPUTED_VALUE"""),"064-5873")</f>
        <v>064-5873</v>
      </c>
      <c r="B3092" s="6" t="str">
        <f>IFERROR(__xludf.DUMMYFUNCTION("""COMPUTED_VALUE"""),"64")</f>
        <v>64</v>
      </c>
      <c r="C3092" s="6" t="str">
        <f>IFERROR(__xludf.DUMMYFUNCTION("""COMPUTED_VALUE"""),"5873")</f>
        <v>5873</v>
      </c>
      <c r="D3092" s="6" t="str">
        <f>IFERROR(__xludf.DUMMYFUNCTION("""COMPUTED_VALUE"""),"Isaac R.")</f>
        <v>Isaac R.</v>
      </c>
      <c r="E3092" s="6" t="str">
        <f>IFERROR(__xludf.DUMMYFUNCTION("""COMPUTED_VALUE"""),"")</f>
        <v/>
      </c>
      <c r="F3092" s="6" t="str">
        <f>IFERROR(__xludf.DUMMYFUNCTION("""COMPUTED_VALUE"""),"Schaffer")</f>
        <v>Schaffer</v>
      </c>
      <c r="G3092" s="6" t="str">
        <f>IFERROR(__xludf.DUMMYFUNCTION("""COMPUTED_VALUE"""),"12/24/2011")</f>
        <v>12/24/2011</v>
      </c>
      <c r="H3092" s="6" t="str">
        <f>IFERROR(__xludf.DUMMYFUNCTION("""COMPUTED_VALUE"""),"Self Identify")</f>
        <v>Self Identify</v>
      </c>
      <c r="I3092" s="6" t="str">
        <f>IFERROR(__xludf.DUMMYFUNCTION("""COMPUTED_VALUE"""),"Middle School")</f>
        <v>Middle School</v>
      </c>
      <c r="J3092" s="6" t="str">
        <f>IFERROR(__xludf.DUMMYFUNCTION("""COMPUTED_VALUE"""),"7")</f>
        <v>7</v>
      </c>
      <c r="K3092" s="6" t="str">
        <f>IFERROR(__xludf.DUMMYFUNCTION("""COMPUTED_VALUE"""),"isaac_schaffer@stu.ortrail.k12.or.us")</f>
        <v>isaac_schaffer@stu.ortrail.k12.or.us</v>
      </c>
      <c r="L3092" s="6" t="str">
        <f>IFERROR(__xludf.DUMMYFUNCTION("""COMPUTED_VALUE"""),"Oregon Trail School District 46")</f>
        <v>Oregon Trail School District 46</v>
      </c>
      <c r="M3092" s="6" t="str">
        <f>IFERROR(__xludf.DUMMYFUNCTION("""COMPUTED_VALUE"""),"Cedar Ridge Middle School")</f>
        <v>Cedar Ridge Middle School</v>
      </c>
      <c r="N3092" s="6" t="str">
        <f>IFERROR(__xludf.DUMMYFUNCTION("""COMPUTED_VALUE"""),"")</f>
        <v/>
      </c>
      <c r="O3092" s="87" t="str">
        <f>IFERROR(__xludf.DUMMYFUNCTION("""COMPUTED_VALUE"""),"https://drive.google.com/drive/folders/10T2cTQHqEJZqE-st6uFKPoI?usp=share_link")</f>
        <v>https://drive.google.com/drive/folders/10T2cTQHqEJZqE-st6uFKPoI?usp=share_link</v>
      </c>
      <c r="P3092" s="6" t="str">
        <f>IFERROR(__xludf.DUMMYFUNCTION("""COMPUTED_VALUE"""),"Isaac R. Schaffer")</f>
        <v>Isaac R. Schaffer</v>
      </c>
      <c r="Q3092" s="6" t="str">
        <f>IFERROR(__xludf.DUMMYFUNCTION("""COMPUTED_VALUE"""),"MS")</f>
        <v>MS</v>
      </c>
      <c r="R3092" s="6">
        <f>IFERROR(__xludf.DUMMYFUNCTION("""COMPUTED_VALUE"""),0.0)</f>
        <v>0</v>
      </c>
      <c r="S3092" s="6" t="str">
        <f>IFERROR(__xludf.DUMMYFUNCTION("""COMPUTED_VALUE"""),"Kim Gallucci")</f>
        <v>Kim Gallucci</v>
      </c>
      <c r="T3092" s="6" t="str">
        <f>IFERROR(__xludf.DUMMYFUNCTION("""COMPUTED_VALUE"""),"kim.gallucci@ortrail.k12.or.us")</f>
        <v>kim.gallucci@ortrail.k12.or.us</v>
      </c>
      <c r="U3092" s="6" t="str">
        <f>IFERROR(__xludf.DUMMYFUNCTION("""COMPUTED_VALUE"""),"7")</f>
        <v>7</v>
      </c>
      <c r="V3092" s="6" t="str">
        <f>IFERROR(__xludf.DUMMYFUNCTION("""COMPUTED_VALUE"""),"English")</f>
        <v>English</v>
      </c>
      <c r="W3092" s="6" t="str">
        <f>IFERROR(__xludf.DUMMYFUNCTION("""COMPUTED_VALUE"""),"[]")</f>
        <v>[]</v>
      </c>
      <c r="X3092" s="6" t="str">
        <f>IFERROR(__xludf.DUMMYFUNCTION("""COMPUTED_VALUE"""),"Enrolled")</f>
        <v>Enrolled</v>
      </c>
    </row>
    <row r="3093">
      <c r="A3093" s="6" t="str">
        <f>IFERROR(__xludf.DUMMYFUNCTION("""COMPUTED_VALUE"""),"064-5874")</f>
        <v>064-5874</v>
      </c>
      <c r="B3093" s="6" t="str">
        <f>IFERROR(__xludf.DUMMYFUNCTION("""COMPUTED_VALUE"""),"64")</f>
        <v>64</v>
      </c>
      <c r="C3093" s="6" t="str">
        <f>IFERROR(__xludf.DUMMYFUNCTION("""COMPUTED_VALUE"""),"5874")</f>
        <v>5874</v>
      </c>
      <c r="D3093" s="6" t="str">
        <f>IFERROR(__xludf.DUMMYFUNCTION("""COMPUTED_VALUE"""),"Blake T.")</f>
        <v>Blake T.</v>
      </c>
      <c r="E3093" s="6" t="str">
        <f>IFERROR(__xludf.DUMMYFUNCTION("""COMPUTED_VALUE"""),"")</f>
        <v/>
      </c>
      <c r="F3093" s="6" t="str">
        <f>IFERROR(__xludf.DUMMYFUNCTION("""COMPUTED_VALUE"""),"Skinner")</f>
        <v>Skinner</v>
      </c>
      <c r="G3093" s="6" t="str">
        <f>IFERROR(__xludf.DUMMYFUNCTION("""COMPUTED_VALUE"""),"02/19/2013")</f>
        <v>02/19/2013</v>
      </c>
      <c r="H3093" s="6" t="str">
        <f>IFERROR(__xludf.DUMMYFUNCTION("""COMPUTED_VALUE"""),"Self Identify")</f>
        <v>Self Identify</v>
      </c>
      <c r="I3093" s="6" t="str">
        <f>IFERROR(__xludf.DUMMYFUNCTION("""COMPUTED_VALUE"""),"Middle School")</f>
        <v>Middle School</v>
      </c>
      <c r="J3093" s="6" t="str">
        <f>IFERROR(__xludf.DUMMYFUNCTION("""COMPUTED_VALUE"""),"7")</f>
        <v>7</v>
      </c>
      <c r="K3093" s="6" t="str">
        <f>IFERROR(__xludf.DUMMYFUNCTION("""COMPUTED_VALUE"""),"blake_skinner@stu.ortrail.k12.or.us")</f>
        <v>blake_skinner@stu.ortrail.k12.or.us</v>
      </c>
      <c r="L3093" s="6" t="str">
        <f>IFERROR(__xludf.DUMMYFUNCTION("""COMPUTED_VALUE"""),"Oregon Trail School District 46")</f>
        <v>Oregon Trail School District 46</v>
      </c>
      <c r="M3093" s="6" t="str">
        <f>IFERROR(__xludf.DUMMYFUNCTION("""COMPUTED_VALUE"""),"Cedar Ridge Middle School")</f>
        <v>Cedar Ridge Middle School</v>
      </c>
      <c r="N3093" s="6" t="str">
        <f>IFERROR(__xludf.DUMMYFUNCTION("""COMPUTED_VALUE"""),"")</f>
        <v/>
      </c>
      <c r="O3093" s="87" t="str">
        <f>IFERROR(__xludf.DUMMYFUNCTION("""COMPUTED_VALUE"""),"https://drive.google.com/drive/folders/10T2cTQHqEJZqE-st6uFKPoI?usp=share_link")</f>
        <v>https://drive.google.com/drive/folders/10T2cTQHqEJZqE-st6uFKPoI?usp=share_link</v>
      </c>
      <c r="P3093" s="6" t="str">
        <f>IFERROR(__xludf.DUMMYFUNCTION("""COMPUTED_VALUE"""),"Blake T. Skinner")</f>
        <v>Blake T. Skinner</v>
      </c>
      <c r="Q3093" s="6" t="str">
        <f>IFERROR(__xludf.DUMMYFUNCTION("""COMPUTED_VALUE"""),"MS")</f>
        <v>MS</v>
      </c>
      <c r="R3093" s="6">
        <f>IFERROR(__xludf.DUMMYFUNCTION("""COMPUTED_VALUE"""),0.0)</f>
        <v>0</v>
      </c>
      <c r="S3093" s="6" t="str">
        <f>IFERROR(__xludf.DUMMYFUNCTION("""COMPUTED_VALUE"""),"Kim Gallucci")</f>
        <v>Kim Gallucci</v>
      </c>
      <c r="T3093" s="6" t="str">
        <f>IFERROR(__xludf.DUMMYFUNCTION("""COMPUTED_VALUE"""),"kim.gallucci@ortrail.k12.or.us")</f>
        <v>kim.gallucci@ortrail.k12.or.us</v>
      </c>
      <c r="U3093" s="6" t="str">
        <f>IFERROR(__xludf.DUMMYFUNCTION("""COMPUTED_VALUE"""),"7")</f>
        <v>7</v>
      </c>
      <c r="V3093" s="6" t="str">
        <f>IFERROR(__xludf.DUMMYFUNCTION("""COMPUTED_VALUE"""),"English")</f>
        <v>English</v>
      </c>
      <c r="W3093" s="6" t="str">
        <f>IFERROR(__xludf.DUMMYFUNCTION("""COMPUTED_VALUE"""),"[]")</f>
        <v>[]</v>
      </c>
      <c r="X3093" s="6" t="str">
        <f>IFERROR(__xludf.DUMMYFUNCTION("""COMPUTED_VALUE"""),"Enrolled")</f>
        <v>Enrolled</v>
      </c>
    </row>
    <row r="3094">
      <c r="A3094" s="6" t="str">
        <f>IFERROR(__xludf.DUMMYFUNCTION("""COMPUTED_VALUE"""),"064-5875")</f>
        <v>064-5875</v>
      </c>
      <c r="B3094" s="6" t="str">
        <f>IFERROR(__xludf.DUMMYFUNCTION("""COMPUTED_VALUE"""),"64")</f>
        <v>64</v>
      </c>
      <c r="C3094" s="6" t="str">
        <f>IFERROR(__xludf.DUMMYFUNCTION("""COMPUTED_VALUE"""),"5875")</f>
        <v>5875</v>
      </c>
      <c r="D3094" s="6" t="str">
        <f>IFERROR(__xludf.DUMMYFUNCTION("""COMPUTED_VALUE"""),"Caleb J.")</f>
        <v>Caleb J.</v>
      </c>
      <c r="E3094" s="6" t="str">
        <f>IFERROR(__xludf.DUMMYFUNCTION("""COMPUTED_VALUE"""),"")</f>
        <v/>
      </c>
      <c r="F3094" s="6" t="str">
        <f>IFERROR(__xludf.DUMMYFUNCTION("""COMPUTED_VALUE"""),"Slack")</f>
        <v>Slack</v>
      </c>
      <c r="G3094" s="6" t="str">
        <f>IFERROR(__xludf.DUMMYFUNCTION("""COMPUTED_VALUE"""),"09/08/2012")</f>
        <v>09/08/2012</v>
      </c>
      <c r="H3094" s="6" t="str">
        <f>IFERROR(__xludf.DUMMYFUNCTION("""COMPUTED_VALUE"""),"Self Identify")</f>
        <v>Self Identify</v>
      </c>
      <c r="I3094" s="6" t="str">
        <f>IFERROR(__xludf.DUMMYFUNCTION("""COMPUTED_VALUE"""),"Middle School")</f>
        <v>Middle School</v>
      </c>
      <c r="J3094" s="6" t="str">
        <f>IFERROR(__xludf.DUMMYFUNCTION("""COMPUTED_VALUE"""),"7")</f>
        <v>7</v>
      </c>
      <c r="K3094" s="6" t="str">
        <f>IFERROR(__xludf.DUMMYFUNCTION("""COMPUTED_VALUE"""),"caleb_slack@stu.ortrail.k12.or.us")</f>
        <v>caleb_slack@stu.ortrail.k12.or.us</v>
      </c>
      <c r="L3094" s="6" t="str">
        <f>IFERROR(__xludf.DUMMYFUNCTION("""COMPUTED_VALUE"""),"Oregon Trail School District 46")</f>
        <v>Oregon Trail School District 46</v>
      </c>
      <c r="M3094" s="6" t="str">
        <f>IFERROR(__xludf.DUMMYFUNCTION("""COMPUTED_VALUE"""),"Cedar Ridge Middle School")</f>
        <v>Cedar Ridge Middle School</v>
      </c>
      <c r="N3094" s="6" t="str">
        <f>IFERROR(__xludf.DUMMYFUNCTION("""COMPUTED_VALUE"""),"")</f>
        <v/>
      </c>
      <c r="O3094" s="87" t="str">
        <f>IFERROR(__xludf.DUMMYFUNCTION("""COMPUTED_VALUE"""),"https://drive.google.com/drive/folders/10T2cTQHqEJZqE-st6uFKPoI?usp=share_link")</f>
        <v>https://drive.google.com/drive/folders/10T2cTQHqEJZqE-st6uFKPoI?usp=share_link</v>
      </c>
      <c r="P3094" s="6" t="str">
        <f>IFERROR(__xludf.DUMMYFUNCTION("""COMPUTED_VALUE"""),"Caleb J. Slack")</f>
        <v>Caleb J. Slack</v>
      </c>
      <c r="Q3094" s="6" t="str">
        <f>IFERROR(__xludf.DUMMYFUNCTION("""COMPUTED_VALUE"""),"MS")</f>
        <v>MS</v>
      </c>
      <c r="R3094" s="6">
        <f>IFERROR(__xludf.DUMMYFUNCTION("""COMPUTED_VALUE"""),0.0)</f>
        <v>0</v>
      </c>
      <c r="S3094" s="6" t="str">
        <f>IFERROR(__xludf.DUMMYFUNCTION("""COMPUTED_VALUE"""),"Kim Gallucci")</f>
        <v>Kim Gallucci</v>
      </c>
      <c r="T3094" s="6" t="str">
        <f>IFERROR(__xludf.DUMMYFUNCTION("""COMPUTED_VALUE"""),"kim.gallucci@ortrail.k12.or.us")</f>
        <v>kim.gallucci@ortrail.k12.or.us</v>
      </c>
      <c r="U3094" s="6" t="str">
        <f>IFERROR(__xludf.DUMMYFUNCTION("""COMPUTED_VALUE"""),"7")</f>
        <v>7</v>
      </c>
      <c r="V3094" s="6" t="str">
        <f>IFERROR(__xludf.DUMMYFUNCTION("""COMPUTED_VALUE"""),"English")</f>
        <v>English</v>
      </c>
      <c r="W3094" s="6" t="str">
        <f>IFERROR(__xludf.DUMMYFUNCTION("""COMPUTED_VALUE"""),"[]")</f>
        <v>[]</v>
      </c>
      <c r="X3094" s="6" t="str">
        <f>IFERROR(__xludf.DUMMYFUNCTION("""COMPUTED_VALUE"""),"Enrolled")</f>
        <v>Enrolled</v>
      </c>
    </row>
    <row r="3095">
      <c r="A3095" s="6" t="str">
        <f>IFERROR(__xludf.DUMMYFUNCTION("""COMPUTED_VALUE"""),"064-5876")</f>
        <v>064-5876</v>
      </c>
      <c r="B3095" s="6" t="str">
        <f>IFERROR(__xludf.DUMMYFUNCTION("""COMPUTED_VALUE"""),"64")</f>
        <v>64</v>
      </c>
      <c r="C3095" s="6" t="str">
        <f>IFERROR(__xludf.DUMMYFUNCTION("""COMPUTED_VALUE"""),"5876")</f>
        <v>5876</v>
      </c>
      <c r="D3095" s="6" t="str">
        <f>IFERROR(__xludf.DUMMYFUNCTION("""COMPUTED_VALUE"""),"Mack R.")</f>
        <v>Mack R.</v>
      </c>
      <c r="E3095" s="6" t="str">
        <f>IFERROR(__xludf.DUMMYFUNCTION("""COMPUTED_VALUE"""),"")</f>
        <v/>
      </c>
      <c r="F3095" s="6" t="str">
        <f>IFERROR(__xludf.DUMMYFUNCTION("""COMPUTED_VALUE"""),"Solso")</f>
        <v>Solso</v>
      </c>
      <c r="G3095" s="6" t="str">
        <f>IFERROR(__xludf.DUMMYFUNCTION("""COMPUTED_VALUE"""),"03/10/2012")</f>
        <v>03/10/2012</v>
      </c>
      <c r="H3095" s="6" t="str">
        <f>IFERROR(__xludf.DUMMYFUNCTION("""COMPUTED_VALUE"""),"Self Identify")</f>
        <v>Self Identify</v>
      </c>
      <c r="I3095" s="6" t="str">
        <f>IFERROR(__xludf.DUMMYFUNCTION("""COMPUTED_VALUE"""),"Middle School")</f>
        <v>Middle School</v>
      </c>
      <c r="J3095" s="6" t="str">
        <f>IFERROR(__xludf.DUMMYFUNCTION("""COMPUTED_VALUE"""),"8")</f>
        <v>8</v>
      </c>
      <c r="K3095" s="6" t="str">
        <f>IFERROR(__xludf.DUMMYFUNCTION("""COMPUTED_VALUE"""),"mack_solso@stu.ortrail.k12.or.us")</f>
        <v>mack_solso@stu.ortrail.k12.or.us</v>
      </c>
      <c r="L3095" s="6" t="str">
        <f>IFERROR(__xludf.DUMMYFUNCTION("""COMPUTED_VALUE"""),"Oregon Trail School District 46")</f>
        <v>Oregon Trail School District 46</v>
      </c>
      <c r="M3095" s="6" t="str">
        <f>IFERROR(__xludf.DUMMYFUNCTION("""COMPUTED_VALUE"""),"Cedar Ridge Middle School")</f>
        <v>Cedar Ridge Middle School</v>
      </c>
      <c r="N3095" s="6" t="str">
        <f>IFERROR(__xludf.DUMMYFUNCTION("""COMPUTED_VALUE"""),"")</f>
        <v/>
      </c>
      <c r="O3095" s="87" t="str">
        <f>IFERROR(__xludf.DUMMYFUNCTION("""COMPUTED_VALUE"""),"https://drive.google.com/drive/folders/10T2cTQHqEJZqE-st6uFKPoI?usp=share_link")</f>
        <v>https://drive.google.com/drive/folders/10T2cTQHqEJZqE-st6uFKPoI?usp=share_link</v>
      </c>
      <c r="P3095" s="6" t="str">
        <f>IFERROR(__xludf.DUMMYFUNCTION("""COMPUTED_VALUE"""),"Mack R. Solso")</f>
        <v>Mack R. Solso</v>
      </c>
      <c r="Q3095" s="6" t="str">
        <f>IFERROR(__xludf.DUMMYFUNCTION("""COMPUTED_VALUE"""),"MS")</f>
        <v>MS</v>
      </c>
      <c r="R3095" s="6">
        <f>IFERROR(__xludf.DUMMYFUNCTION("""COMPUTED_VALUE"""),0.0)</f>
        <v>0</v>
      </c>
      <c r="S3095" s="6" t="str">
        <f>IFERROR(__xludf.DUMMYFUNCTION("""COMPUTED_VALUE"""),"Kim Gallucci")</f>
        <v>Kim Gallucci</v>
      </c>
      <c r="T3095" s="6" t="str">
        <f>IFERROR(__xludf.DUMMYFUNCTION("""COMPUTED_VALUE"""),"kim.gallucci@ortrail.k12.or.us")</f>
        <v>kim.gallucci@ortrail.k12.or.us</v>
      </c>
      <c r="U3095" s="6" t="str">
        <f>IFERROR(__xludf.DUMMYFUNCTION("""COMPUTED_VALUE"""),"8")</f>
        <v>8</v>
      </c>
      <c r="V3095" s="6" t="str">
        <f>IFERROR(__xludf.DUMMYFUNCTION("""COMPUTED_VALUE"""),"English")</f>
        <v>English</v>
      </c>
      <c r="W3095" s="6" t="str">
        <f>IFERROR(__xludf.DUMMYFUNCTION("""COMPUTED_VALUE"""),"[]")</f>
        <v>[]</v>
      </c>
      <c r="X3095" s="6" t="str">
        <f>IFERROR(__xludf.DUMMYFUNCTION("""COMPUTED_VALUE"""),"Enrolled")</f>
        <v>Enrolled</v>
      </c>
    </row>
    <row r="3096">
      <c r="A3096" s="6" t="str">
        <f>IFERROR(__xludf.DUMMYFUNCTION("""COMPUTED_VALUE"""),"064-5877")</f>
        <v>064-5877</v>
      </c>
      <c r="B3096" s="6" t="str">
        <f>IFERROR(__xludf.DUMMYFUNCTION("""COMPUTED_VALUE"""),"64")</f>
        <v>64</v>
      </c>
      <c r="C3096" s="6" t="str">
        <f>IFERROR(__xludf.DUMMYFUNCTION("""COMPUTED_VALUE"""),"5877")</f>
        <v>5877</v>
      </c>
      <c r="D3096" s="6" t="str">
        <f>IFERROR(__xludf.DUMMYFUNCTION("""COMPUTED_VALUE"""),"Opal J.")</f>
        <v>Opal J.</v>
      </c>
      <c r="E3096" s="6" t="str">
        <f>IFERROR(__xludf.DUMMYFUNCTION("""COMPUTED_VALUE"""),"")</f>
        <v/>
      </c>
      <c r="F3096" s="6" t="str">
        <f>IFERROR(__xludf.DUMMYFUNCTION("""COMPUTED_VALUE"""),"Sorber")</f>
        <v>Sorber</v>
      </c>
      <c r="G3096" s="6" t="str">
        <f>IFERROR(__xludf.DUMMYFUNCTION("""COMPUTED_VALUE"""),"01/03/2012")</f>
        <v>01/03/2012</v>
      </c>
      <c r="H3096" s="6" t="str">
        <f>IFERROR(__xludf.DUMMYFUNCTION("""COMPUTED_VALUE"""),"Self Identify")</f>
        <v>Self Identify</v>
      </c>
      <c r="I3096" s="6" t="str">
        <f>IFERROR(__xludf.DUMMYFUNCTION("""COMPUTED_VALUE"""),"Middle School")</f>
        <v>Middle School</v>
      </c>
      <c r="J3096" s="6" t="str">
        <f>IFERROR(__xludf.DUMMYFUNCTION("""COMPUTED_VALUE"""),"8")</f>
        <v>8</v>
      </c>
      <c r="K3096" s="6" t="str">
        <f>IFERROR(__xludf.DUMMYFUNCTION("""COMPUTED_VALUE"""),"opal_sorber@stu.ortrail.k12.or.us")</f>
        <v>opal_sorber@stu.ortrail.k12.or.us</v>
      </c>
      <c r="L3096" s="6" t="str">
        <f>IFERROR(__xludf.DUMMYFUNCTION("""COMPUTED_VALUE"""),"Oregon Trail School District 46")</f>
        <v>Oregon Trail School District 46</v>
      </c>
      <c r="M3096" s="6" t="str">
        <f>IFERROR(__xludf.DUMMYFUNCTION("""COMPUTED_VALUE"""),"Cedar Ridge Middle School")</f>
        <v>Cedar Ridge Middle School</v>
      </c>
      <c r="N3096" s="6" t="str">
        <f>IFERROR(__xludf.DUMMYFUNCTION("""COMPUTED_VALUE"""),"")</f>
        <v/>
      </c>
      <c r="O3096" s="87" t="str">
        <f>IFERROR(__xludf.DUMMYFUNCTION("""COMPUTED_VALUE"""),"https://drive.google.com/drive/folders/10T2cTQHqEJZqE-st6uFKPoI?usp=share_link")</f>
        <v>https://drive.google.com/drive/folders/10T2cTQHqEJZqE-st6uFKPoI?usp=share_link</v>
      </c>
      <c r="P3096" s="6" t="str">
        <f>IFERROR(__xludf.DUMMYFUNCTION("""COMPUTED_VALUE"""),"Opal J. Sorber")</f>
        <v>Opal J. Sorber</v>
      </c>
      <c r="Q3096" s="6" t="str">
        <f>IFERROR(__xludf.DUMMYFUNCTION("""COMPUTED_VALUE"""),"MS")</f>
        <v>MS</v>
      </c>
      <c r="R3096" s="6">
        <f>IFERROR(__xludf.DUMMYFUNCTION("""COMPUTED_VALUE"""),0.0)</f>
        <v>0</v>
      </c>
      <c r="S3096" s="6" t="str">
        <f>IFERROR(__xludf.DUMMYFUNCTION("""COMPUTED_VALUE"""),"Kim Gallucci")</f>
        <v>Kim Gallucci</v>
      </c>
      <c r="T3096" s="6" t="str">
        <f>IFERROR(__xludf.DUMMYFUNCTION("""COMPUTED_VALUE"""),"kim.gallucci@ortrail.k12.or.us")</f>
        <v>kim.gallucci@ortrail.k12.or.us</v>
      </c>
      <c r="U3096" s="6" t="str">
        <f>IFERROR(__xludf.DUMMYFUNCTION("""COMPUTED_VALUE"""),"8")</f>
        <v>8</v>
      </c>
      <c r="V3096" s="6" t="str">
        <f>IFERROR(__xludf.DUMMYFUNCTION("""COMPUTED_VALUE"""),"English")</f>
        <v>English</v>
      </c>
      <c r="W3096" s="6" t="str">
        <f>IFERROR(__xludf.DUMMYFUNCTION("""COMPUTED_VALUE"""),"[]")</f>
        <v>[]</v>
      </c>
      <c r="X3096" s="6" t="str">
        <f>IFERROR(__xludf.DUMMYFUNCTION("""COMPUTED_VALUE"""),"Enrolled")</f>
        <v>Enrolled</v>
      </c>
    </row>
    <row r="3097">
      <c r="A3097" s="6" t="str">
        <f>IFERROR(__xludf.DUMMYFUNCTION("""COMPUTED_VALUE"""),"064-5878")</f>
        <v>064-5878</v>
      </c>
      <c r="B3097" s="6" t="str">
        <f>IFERROR(__xludf.DUMMYFUNCTION("""COMPUTED_VALUE"""),"64")</f>
        <v>64</v>
      </c>
      <c r="C3097" s="6" t="str">
        <f>IFERROR(__xludf.DUMMYFUNCTION("""COMPUTED_VALUE"""),"5878")</f>
        <v>5878</v>
      </c>
      <c r="D3097" s="6" t="str">
        <f>IFERROR(__xludf.DUMMYFUNCTION("""COMPUTED_VALUE"""),"Liam J.")</f>
        <v>Liam J.</v>
      </c>
      <c r="E3097" s="6" t="str">
        <f>IFERROR(__xludf.DUMMYFUNCTION("""COMPUTED_VALUE"""),"")</f>
        <v/>
      </c>
      <c r="F3097" s="6" t="str">
        <f>IFERROR(__xludf.DUMMYFUNCTION("""COMPUTED_VALUE"""),"Strunk")</f>
        <v>Strunk</v>
      </c>
      <c r="G3097" s="6" t="str">
        <f>IFERROR(__xludf.DUMMYFUNCTION("""COMPUTED_VALUE"""),"02/25/2013")</f>
        <v>02/25/2013</v>
      </c>
      <c r="H3097" s="6" t="str">
        <f>IFERROR(__xludf.DUMMYFUNCTION("""COMPUTED_VALUE"""),"Self Identify")</f>
        <v>Self Identify</v>
      </c>
      <c r="I3097" s="6" t="str">
        <f>IFERROR(__xludf.DUMMYFUNCTION("""COMPUTED_VALUE"""),"Middle School")</f>
        <v>Middle School</v>
      </c>
      <c r="J3097" s="6" t="str">
        <f>IFERROR(__xludf.DUMMYFUNCTION("""COMPUTED_VALUE"""),"7")</f>
        <v>7</v>
      </c>
      <c r="K3097" s="6" t="str">
        <f>IFERROR(__xludf.DUMMYFUNCTION("""COMPUTED_VALUE"""),"liam_strunk@stu.ortrail.k12.or.us")</f>
        <v>liam_strunk@stu.ortrail.k12.or.us</v>
      </c>
      <c r="L3097" s="6" t="str">
        <f>IFERROR(__xludf.DUMMYFUNCTION("""COMPUTED_VALUE"""),"Oregon Trail School District 46")</f>
        <v>Oregon Trail School District 46</v>
      </c>
      <c r="M3097" s="6" t="str">
        <f>IFERROR(__xludf.DUMMYFUNCTION("""COMPUTED_VALUE"""),"Cedar Ridge Middle School")</f>
        <v>Cedar Ridge Middle School</v>
      </c>
      <c r="N3097" s="6" t="str">
        <f>IFERROR(__xludf.DUMMYFUNCTION("""COMPUTED_VALUE"""),"")</f>
        <v/>
      </c>
      <c r="O3097" s="87" t="str">
        <f>IFERROR(__xludf.DUMMYFUNCTION("""COMPUTED_VALUE"""),"https://drive.google.com/drive/folders/10T2cTQHqEJZqE-st6uFKPoI?usp=share_link")</f>
        <v>https://drive.google.com/drive/folders/10T2cTQHqEJZqE-st6uFKPoI?usp=share_link</v>
      </c>
      <c r="P3097" s="6" t="str">
        <f>IFERROR(__xludf.DUMMYFUNCTION("""COMPUTED_VALUE"""),"Liam J. Strunk")</f>
        <v>Liam J. Strunk</v>
      </c>
      <c r="Q3097" s="6" t="str">
        <f>IFERROR(__xludf.DUMMYFUNCTION("""COMPUTED_VALUE"""),"MS")</f>
        <v>MS</v>
      </c>
      <c r="R3097" s="6">
        <f>IFERROR(__xludf.DUMMYFUNCTION("""COMPUTED_VALUE"""),0.0)</f>
        <v>0</v>
      </c>
      <c r="S3097" s="6" t="str">
        <f>IFERROR(__xludf.DUMMYFUNCTION("""COMPUTED_VALUE"""),"Kim Gallucci")</f>
        <v>Kim Gallucci</v>
      </c>
      <c r="T3097" s="6" t="str">
        <f>IFERROR(__xludf.DUMMYFUNCTION("""COMPUTED_VALUE"""),"kim.gallucci@ortrail.k12.or.us")</f>
        <v>kim.gallucci@ortrail.k12.or.us</v>
      </c>
      <c r="U3097" s="6" t="str">
        <f>IFERROR(__xludf.DUMMYFUNCTION("""COMPUTED_VALUE"""),"7")</f>
        <v>7</v>
      </c>
      <c r="V3097" s="6" t="str">
        <f>IFERROR(__xludf.DUMMYFUNCTION("""COMPUTED_VALUE"""),"English")</f>
        <v>English</v>
      </c>
      <c r="W3097" s="6" t="str">
        <f>IFERROR(__xludf.DUMMYFUNCTION("""COMPUTED_VALUE"""),"[]")</f>
        <v>[]</v>
      </c>
      <c r="X3097" s="6" t="str">
        <f>IFERROR(__xludf.DUMMYFUNCTION("""COMPUTED_VALUE"""),"Enrolled")</f>
        <v>Enrolled</v>
      </c>
    </row>
    <row r="3098">
      <c r="A3098" s="6" t="str">
        <f>IFERROR(__xludf.DUMMYFUNCTION("""COMPUTED_VALUE"""),"064-5879")</f>
        <v>064-5879</v>
      </c>
      <c r="B3098" s="6" t="str">
        <f>IFERROR(__xludf.DUMMYFUNCTION("""COMPUTED_VALUE"""),"64")</f>
        <v>64</v>
      </c>
      <c r="C3098" s="6" t="str">
        <f>IFERROR(__xludf.DUMMYFUNCTION("""COMPUTED_VALUE"""),"5879")</f>
        <v>5879</v>
      </c>
      <c r="D3098" s="6" t="str">
        <f>IFERROR(__xludf.DUMMYFUNCTION("""COMPUTED_VALUE"""),"Yanilen Y.")</f>
        <v>Yanilen Y.</v>
      </c>
      <c r="E3098" s="6" t="str">
        <f>IFERROR(__xludf.DUMMYFUNCTION("""COMPUTED_VALUE"""),"")</f>
        <v/>
      </c>
      <c r="F3098" s="6" t="str">
        <f>IFERROR(__xludf.DUMMYFUNCTION("""COMPUTED_VALUE"""),"Tello Tello")</f>
        <v>Tello Tello</v>
      </c>
      <c r="G3098" s="6" t="str">
        <f>IFERROR(__xludf.DUMMYFUNCTION("""COMPUTED_VALUE"""),"10/18/2012")</f>
        <v>10/18/2012</v>
      </c>
      <c r="H3098" s="6" t="str">
        <f>IFERROR(__xludf.DUMMYFUNCTION("""COMPUTED_VALUE"""),"Self Identify")</f>
        <v>Self Identify</v>
      </c>
      <c r="I3098" s="6" t="str">
        <f>IFERROR(__xludf.DUMMYFUNCTION("""COMPUTED_VALUE"""),"Middle School")</f>
        <v>Middle School</v>
      </c>
      <c r="J3098" s="6" t="str">
        <f>IFERROR(__xludf.DUMMYFUNCTION("""COMPUTED_VALUE"""),"6")</f>
        <v>6</v>
      </c>
      <c r="K3098" s="6" t="str">
        <f>IFERROR(__xludf.DUMMYFUNCTION("""COMPUTED_VALUE"""),"yani_tellotello@stu.ortrail.k12.or.us")</f>
        <v>yani_tellotello@stu.ortrail.k12.or.us</v>
      </c>
      <c r="L3098" s="6" t="str">
        <f>IFERROR(__xludf.DUMMYFUNCTION("""COMPUTED_VALUE"""),"Oregon Trail School District 46")</f>
        <v>Oregon Trail School District 46</v>
      </c>
      <c r="M3098" s="6" t="str">
        <f>IFERROR(__xludf.DUMMYFUNCTION("""COMPUTED_VALUE"""),"Cedar Ridge Middle School")</f>
        <v>Cedar Ridge Middle School</v>
      </c>
      <c r="N3098" s="6" t="str">
        <f>IFERROR(__xludf.DUMMYFUNCTION("""COMPUTED_VALUE"""),"")</f>
        <v/>
      </c>
      <c r="O3098" s="87" t="str">
        <f>IFERROR(__xludf.DUMMYFUNCTION("""COMPUTED_VALUE"""),"https://drive.google.com/drive/folders/10T2cTQHqEJZqE-st6uFKPoI?usp=share_link")</f>
        <v>https://drive.google.com/drive/folders/10T2cTQHqEJZqE-st6uFKPoI?usp=share_link</v>
      </c>
      <c r="P3098" s="6" t="str">
        <f>IFERROR(__xludf.DUMMYFUNCTION("""COMPUTED_VALUE"""),"Yanilen Y. Tello Tello")</f>
        <v>Yanilen Y. Tello Tello</v>
      </c>
      <c r="Q3098" s="6" t="str">
        <f>IFERROR(__xludf.DUMMYFUNCTION("""COMPUTED_VALUE"""),"MS")</f>
        <v>MS</v>
      </c>
      <c r="R3098" s="6">
        <f>IFERROR(__xludf.DUMMYFUNCTION("""COMPUTED_VALUE"""),0.0)</f>
        <v>0</v>
      </c>
      <c r="S3098" s="6" t="str">
        <f>IFERROR(__xludf.DUMMYFUNCTION("""COMPUTED_VALUE"""),"Kim Gallucci")</f>
        <v>Kim Gallucci</v>
      </c>
      <c r="T3098" s="6" t="str">
        <f>IFERROR(__xludf.DUMMYFUNCTION("""COMPUTED_VALUE"""),"kim.gallucci@ortrail.k12.or.us")</f>
        <v>kim.gallucci@ortrail.k12.or.us</v>
      </c>
      <c r="U3098" s="6" t="str">
        <f>IFERROR(__xludf.DUMMYFUNCTION("""COMPUTED_VALUE"""),"6")</f>
        <v>6</v>
      </c>
      <c r="V3098" s="6" t="str">
        <f>IFERROR(__xludf.DUMMYFUNCTION("""COMPUTED_VALUE"""),"English")</f>
        <v>English</v>
      </c>
      <c r="W3098" s="6" t="str">
        <f>IFERROR(__xludf.DUMMYFUNCTION("""COMPUTED_VALUE"""),"[]")</f>
        <v>[]</v>
      </c>
      <c r="X3098" s="6" t="str">
        <f>IFERROR(__xludf.DUMMYFUNCTION("""COMPUTED_VALUE"""),"Enrolled")</f>
        <v>Enrolled</v>
      </c>
    </row>
    <row r="3099">
      <c r="A3099" s="6" t="str">
        <f>IFERROR(__xludf.DUMMYFUNCTION("""COMPUTED_VALUE"""),"064-5880")</f>
        <v>064-5880</v>
      </c>
      <c r="B3099" s="6" t="str">
        <f>IFERROR(__xludf.DUMMYFUNCTION("""COMPUTED_VALUE"""),"64")</f>
        <v>64</v>
      </c>
      <c r="C3099" s="6" t="str">
        <f>IFERROR(__xludf.DUMMYFUNCTION("""COMPUTED_VALUE"""),"5880")</f>
        <v>5880</v>
      </c>
      <c r="D3099" s="6" t="str">
        <f>IFERROR(__xludf.DUMMYFUNCTION("""COMPUTED_VALUE"""),"Gerard F.")</f>
        <v>Gerard F.</v>
      </c>
      <c r="E3099" s="6" t="str">
        <f>IFERROR(__xludf.DUMMYFUNCTION("""COMPUTED_VALUE"""),"")</f>
        <v/>
      </c>
      <c r="F3099" s="6" t="str">
        <f>IFERROR(__xludf.DUMMYFUNCTION("""COMPUTED_VALUE"""),"Velasco")</f>
        <v>Velasco</v>
      </c>
      <c r="G3099" s="6" t="str">
        <f>IFERROR(__xludf.DUMMYFUNCTION("""COMPUTED_VALUE"""),"08/01/2012")</f>
        <v>08/01/2012</v>
      </c>
      <c r="H3099" s="6" t="str">
        <f>IFERROR(__xludf.DUMMYFUNCTION("""COMPUTED_VALUE"""),"Self Identify")</f>
        <v>Self Identify</v>
      </c>
      <c r="I3099" s="6" t="str">
        <f>IFERROR(__xludf.DUMMYFUNCTION("""COMPUTED_VALUE"""),"Middle School")</f>
        <v>Middle School</v>
      </c>
      <c r="J3099" s="6" t="str">
        <f>IFERROR(__xludf.DUMMYFUNCTION("""COMPUTED_VALUE"""),"8")</f>
        <v>8</v>
      </c>
      <c r="K3099" s="6" t="str">
        <f>IFERROR(__xludf.DUMMYFUNCTION("""COMPUTED_VALUE"""),"gerard_velasco@stu.ortrail.k12.or.us")</f>
        <v>gerard_velasco@stu.ortrail.k12.or.us</v>
      </c>
      <c r="L3099" s="6" t="str">
        <f>IFERROR(__xludf.DUMMYFUNCTION("""COMPUTED_VALUE"""),"Oregon Trail School District 46")</f>
        <v>Oregon Trail School District 46</v>
      </c>
      <c r="M3099" s="6" t="str">
        <f>IFERROR(__xludf.DUMMYFUNCTION("""COMPUTED_VALUE"""),"Cedar Ridge Middle School")</f>
        <v>Cedar Ridge Middle School</v>
      </c>
      <c r="N3099" s="6" t="str">
        <f>IFERROR(__xludf.DUMMYFUNCTION("""COMPUTED_VALUE"""),"")</f>
        <v/>
      </c>
      <c r="O3099" s="87" t="str">
        <f>IFERROR(__xludf.DUMMYFUNCTION("""COMPUTED_VALUE"""),"https://drive.google.com/drive/folders/10T2cTQHqEJZqE-st6uFKPoI?usp=share_link")</f>
        <v>https://drive.google.com/drive/folders/10T2cTQHqEJZqE-st6uFKPoI?usp=share_link</v>
      </c>
      <c r="P3099" s="6" t="str">
        <f>IFERROR(__xludf.DUMMYFUNCTION("""COMPUTED_VALUE"""),"Gerard F. Velasco")</f>
        <v>Gerard F. Velasco</v>
      </c>
      <c r="Q3099" s="6" t="str">
        <f>IFERROR(__xludf.DUMMYFUNCTION("""COMPUTED_VALUE"""),"MS")</f>
        <v>MS</v>
      </c>
      <c r="R3099" s="6">
        <f>IFERROR(__xludf.DUMMYFUNCTION("""COMPUTED_VALUE"""),0.0)</f>
        <v>0</v>
      </c>
      <c r="S3099" s="6" t="str">
        <f>IFERROR(__xludf.DUMMYFUNCTION("""COMPUTED_VALUE"""),"Kim Gallucci")</f>
        <v>Kim Gallucci</v>
      </c>
      <c r="T3099" s="6" t="str">
        <f>IFERROR(__xludf.DUMMYFUNCTION("""COMPUTED_VALUE"""),"kim.gallucci@ortrail.k12.or.us")</f>
        <v>kim.gallucci@ortrail.k12.or.us</v>
      </c>
      <c r="U3099" s="6" t="str">
        <f>IFERROR(__xludf.DUMMYFUNCTION("""COMPUTED_VALUE"""),"8")</f>
        <v>8</v>
      </c>
      <c r="V3099" s="6" t="str">
        <f>IFERROR(__xludf.DUMMYFUNCTION("""COMPUTED_VALUE"""),"English")</f>
        <v>English</v>
      </c>
      <c r="W3099" s="6" t="str">
        <f>IFERROR(__xludf.DUMMYFUNCTION("""COMPUTED_VALUE"""),"[]")</f>
        <v>[]</v>
      </c>
      <c r="X3099" s="6" t="str">
        <f>IFERROR(__xludf.DUMMYFUNCTION("""COMPUTED_VALUE"""),"Enrolled")</f>
        <v>Enrolled</v>
      </c>
    </row>
    <row r="3100">
      <c r="A3100" s="6" t="str">
        <f>IFERROR(__xludf.DUMMYFUNCTION("""COMPUTED_VALUE"""),"064-5881")</f>
        <v>064-5881</v>
      </c>
      <c r="B3100" s="6" t="str">
        <f>IFERROR(__xludf.DUMMYFUNCTION("""COMPUTED_VALUE"""),"64")</f>
        <v>64</v>
      </c>
      <c r="C3100" s="6" t="str">
        <f>IFERROR(__xludf.DUMMYFUNCTION("""COMPUTED_VALUE"""),"5881")</f>
        <v>5881</v>
      </c>
      <c r="D3100" s="6" t="str">
        <f>IFERROR(__xludf.DUMMYFUNCTION("""COMPUTED_VALUE"""),"Koren S.")</f>
        <v>Koren S.</v>
      </c>
      <c r="E3100" s="6" t="str">
        <f>IFERROR(__xludf.DUMMYFUNCTION("""COMPUTED_VALUE"""),"")</f>
        <v/>
      </c>
      <c r="F3100" s="6" t="str">
        <f>IFERROR(__xludf.DUMMYFUNCTION("""COMPUTED_VALUE"""),"Vidrine")</f>
        <v>Vidrine</v>
      </c>
      <c r="G3100" s="6" t="str">
        <f>IFERROR(__xludf.DUMMYFUNCTION("""COMPUTED_VALUE"""),"03/18/2014")</f>
        <v>03/18/2014</v>
      </c>
      <c r="H3100" s="6" t="str">
        <f>IFERROR(__xludf.DUMMYFUNCTION("""COMPUTED_VALUE"""),"Self Identify")</f>
        <v>Self Identify</v>
      </c>
      <c r="I3100" s="6" t="str">
        <f>IFERROR(__xludf.DUMMYFUNCTION("""COMPUTED_VALUE"""),"Middle School")</f>
        <v>Middle School</v>
      </c>
      <c r="J3100" s="6" t="str">
        <f>IFERROR(__xludf.DUMMYFUNCTION("""COMPUTED_VALUE"""),"6")</f>
        <v>6</v>
      </c>
      <c r="K3100" s="6" t="str">
        <f>IFERROR(__xludf.DUMMYFUNCTION("""COMPUTED_VALUE"""),"koren_vidrine@stu.ortrail.k12.or.us")</f>
        <v>koren_vidrine@stu.ortrail.k12.or.us</v>
      </c>
      <c r="L3100" s="6" t="str">
        <f>IFERROR(__xludf.DUMMYFUNCTION("""COMPUTED_VALUE"""),"Oregon Trail School District 46")</f>
        <v>Oregon Trail School District 46</v>
      </c>
      <c r="M3100" s="6" t="str">
        <f>IFERROR(__xludf.DUMMYFUNCTION("""COMPUTED_VALUE"""),"Cedar Ridge Middle School")</f>
        <v>Cedar Ridge Middle School</v>
      </c>
      <c r="N3100" s="6" t="str">
        <f>IFERROR(__xludf.DUMMYFUNCTION("""COMPUTED_VALUE"""),"")</f>
        <v/>
      </c>
      <c r="O3100" s="87" t="str">
        <f>IFERROR(__xludf.DUMMYFUNCTION("""COMPUTED_VALUE"""),"https://drive.google.com/drive/folders/10T2cTQHqEJZqE-st6uFKPoI?usp=share_link")</f>
        <v>https://drive.google.com/drive/folders/10T2cTQHqEJZqE-st6uFKPoI?usp=share_link</v>
      </c>
      <c r="P3100" s="6" t="str">
        <f>IFERROR(__xludf.DUMMYFUNCTION("""COMPUTED_VALUE"""),"Koren S. Vidrine")</f>
        <v>Koren S. Vidrine</v>
      </c>
      <c r="Q3100" s="6" t="str">
        <f>IFERROR(__xludf.DUMMYFUNCTION("""COMPUTED_VALUE"""),"MS")</f>
        <v>MS</v>
      </c>
      <c r="R3100" s="6">
        <f>IFERROR(__xludf.DUMMYFUNCTION("""COMPUTED_VALUE"""),0.0)</f>
        <v>0</v>
      </c>
      <c r="S3100" s="6" t="str">
        <f>IFERROR(__xludf.DUMMYFUNCTION("""COMPUTED_VALUE"""),"Kim Gallucci")</f>
        <v>Kim Gallucci</v>
      </c>
      <c r="T3100" s="6" t="str">
        <f>IFERROR(__xludf.DUMMYFUNCTION("""COMPUTED_VALUE"""),"kim.gallucci@ortrail.k12.or.us")</f>
        <v>kim.gallucci@ortrail.k12.or.us</v>
      </c>
      <c r="U3100" s="6" t="str">
        <f>IFERROR(__xludf.DUMMYFUNCTION("""COMPUTED_VALUE"""),"6")</f>
        <v>6</v>
      </c>
      <c r="V3100" s="6" t="str">
        <f>IFERROR(__xludf.DUMMYFUNCTION("""COMPUTED_VALUE"""),"English")</f>
        <v>English</v>
      </c>
      <c r="W3100" s="6" t="str">
        <f>IFERROR(__xludf.DUMMYFUNCTION("""COMPUTED_VALUE"""),"[]")</f>
        <v>[]</v>
      </c>
      <c r="X3100" s="6" t="str">
        <f>IFERROR(__xludf.DUMMYFUNCTION("""COMPUTED_VALUE"""),"Enrolled")</f>
        <v>Enrolled</v>
      </c>
    </row>
    <row r="3101">
      <c r="A3101" s="6" t="str">
        <f>IFERROR(__xludf.DUMMYFUNCTION("""COMPUTED_VALUE"""),"064-5882")</f>
        <v>064-5882</v>
      </c>
      <c r="B3101" s="6" t="str">
        <f>IFERROR(__xludf.DUMMYFUNCTION("""COMPUTED_VALUE"""),"64")</f>
        <v>64</v>
      </c>
      <c r="C3101" s="6" t="str">
        <f>IFERROR(__xludf.DUMMYFUNCTION("""COMPUTED_VALUE"""),"5882")</f>
        <v>5882</v>
      </c>
      <c r="D3101" s="6" t="str">
        <f>IFERROR(__xludf.DUMMYFUNCTION("""COMPUTED_VALUE"""),"Stetson M.")</f>
        <v>Stetson M.</v>
      </c>
      <c r="E3101" s="6" t="str">
        <f>IFERROR(__xludf.DUMMYFUNCTION("""COMPUTED_VALUE"""),"")</f>
        <v/>
      </c>
      <c r="F3101" s="6" t="str">
        <f>IFERROR(__xludf.DUMMYFUNCTION("""COMPUTED_VALUE"""),"Weakly")</f>
        <v>Weakly</v>
      </c>
      <c r="G3101" s="6" t="str">
        <f>IFERROR(__xludf.DUMMYFUNCTION("""COMPUTED_VALUE"""),"08/10/2013")</f>
        <v>08/10/2013</v>
      </c>
      <c r="H3101" s="6" t="str">
        <f>IFERROR(__xludf.DUMMYFUNCTION("""COMPUTED_VALUE"""),"Self Identify")</f>
        <v>Self Identify</v>
      </c>
      <c r="I3101" s="6" t="str">
        <f>IFERROR(__xludf.DUMMYFUNCTION("""COMPUTED_VALUE"""),"Middle School")</f>
        <v>Middle School</v>
      </c>
      <c r="J3101" s="6" t="str">
        <f>IFERROR(__xludf.DUMMYFUNCTION("""COMPUTED_VALUE"""),"7")</f>
        <v>7</v>
      </c>
      <c r="K3101" s="6" t="str">
        <f>IFERROR(__xludf.DUMMYFUNCTION("""COMPUTED_VALUE"""),"stetson_weakly@stu.ortrail.k12.or.us")</f>
        <v>stetson_weakly@stu.ortrail.k12.or.us</v>
      </c>
      <c r="L3101" s="6" t="str">
        <f>IFERROR(__xludf.DUMMYFUNCTION("""COMPUTED_VALUE"""),"Oregon Trail School District 46")</f>
        <v>Oregon Trail School District 46</v>
      </c>
      <c r="M3101" s="6" t="str">
        <f>IFERROR(__xludf.DUMMYFUNCTION("""COMPUTED_VALUE"""),"Cedar Ridge Middle School")</f>
        <v>Cedar Ridge Middle School</v>
      </c>
      <c r="N3101" s="6" t="str">
        <f>IFERROR(__xludf.DUMMYFUNCTION("""COMPUTED_VALUE"""),"")</f>
        <v/>
      </c>
      <c r="O3101" s="87" t="str">
        <f>IFERROR(__xludf.DUMMYFUNCTION("""COMPUTED_VALUE"""),"https://drive.google.com/drive/folders/10T2cTQHqEJZqE-st6uFKPoI?usp=share_link")</f>
        <v>https://drive.google.com/drive/folders/10T2cTQHqEJZqE-st6uFKPoI?usp=share_link</v>
      </c>
      <c r="P3101" s="6" t="str">
        <f>IFERROR(__xludf.DUMMYFUNCTION("""COMPUTED_VALUE"""),"Stetson M. Weakly")</f>
        <v>Stetson M. Weakly</v>
      </c>
      <c r="Q3101" s="6" t="str">
        <f>IFERROR(__xludf.DUMMYFUNCTION("""COMPUTED_VALUE"""),"MS")</f>
        <v>MS</v>
      </c>
      <c r="R3101" s="6">
        <f>IFERROR(__xludf.DUMMYFUNCTION("""COMPUTED_VALUE"""),0.0)</f>
        <v>0</v>
      </c>
      <c r="S3101" s="6" t="str">
        <f>IFERROR(__xludf.DUMMYFUNCTION("""COMPUTED_VALUE"""),"Kim Gallucci")</f>
        <v>Kim Gallucci</v>
      </c>
      <c r="T3101" s="6" t="str">
        <f>IFERROR(__xludf.DUMMYFUNCTION("""COMPUTED_VALUE"""),"kim.gallucci@ortrail.k12.or.us")</f>
        <v>kim.gallucci@ortrail.k12.or.us</v>
      </c>
      <c r="U3101" s="6" t="str">
        <f>IFERROR(__xludf.DUMMYFUNCTION("""COMPUTED_VALUE"""),"7")</f>
        <v>7</v>
      </c>
      <c r="V3101" s="6" t="str">
        <f>IFERROR(__xludf.DUMMYFUNCTION("""COMPUTED_VALUE"""),"English")</f>
        <v>English</v>
      </c>
      <c r="W3101" s="6" t="str">
        <f>IFERROR(__xludf.DUMMYFUNCTION("""COMPUTED_VALUE"""),"[]")</f>
        <v>[]</v>
      </c>
      <c r="X3101" s="6" t="str">
        <f>IFERROR(__xludf.DUMMYFUNCTION("""COMPUTED_VALUE"""),"Enrolled")</f>
        <v>Enrolled</v>
      </c>
    </row>
    <row r="3102">
      <c r="A3102" s="6" t="str">
        <f>IFERROR(__xludf.DUMMYFUNCTION("""COMPUTED_VALUE"""),"064-5883")</f>
        <v>064-5883</v>
      </c>
      <c r="B3102" s="6" t="str">
        <f>IFERROR(__xludf.DUMMYFUNCTION("""COMPUTED_VALUE"""),"64")</f>
        <v>64</v>
      </c>
      <c r="C3102" s="6" t="str">
        <f>IFERROR(__xludf.DUMMYFUNCTION("""COMPUTED_VALUE"""),"5883")</f>
        <v>5883</v>
      </c>
      <c r="D3102" s="6" t="str">
        <f>IFERROR(__xludf.DUMMYFUNCTION("""COMPUTED_VALUE"""),"Blake M.")</f>
        <v>Blake M.</v>
      </c>
      <c r="E3102" s="6" t="str">
        <f>IFERROR(__xludf.DUMMYFUNCTION("""COMPUTED_VALUE"""),"")</f>
        <v/>
      </c>
      <c r="F3102" s="6" t="str">
        <f>IFERROR(__xludf.DUMMYFUNCTION("""COMPUTED_VALUE"""),"Williams")</f>
        <v>Williams</v>
      </c>
      <c r="G3102" s="6" t="str">
        <f>IFERROR(__xludf.DUMMYFUNCTION("""COMPUTED_VALUE"""),"01/20/2012")</f>
        <v>01/20/2012</v>
      </c>
      <c r="H3102" s="6" t="str">
        <f>IFERROR(__xludf.DUMMYFUNCTION("""COMPUTED_VALUE"""),"Self Identify")</f>
        <v>Self Identify</v>
      </c>
      <c r="I3102" s="6" t="str">
        <f>IFERROR(__xludf.DUMMYFUNCTION("""COMPUTED_VALUE"""),"Middle School")</f>
        <v>Middle School</v>
      </c>
      <c r="J3102" s="6" t="str">
        <f>IFERROR(__xludf.DUMMYFUNCTION("""COMPUTED_VALUE"""),"8")</f>
        <v>8</v>
      </c>
      <c r="K3102" s="6" t="str">
        <f>IFERROR(__xludf.DUMMYFUNCTION("""COMPUTED_VALUE"""),"blake_williams@stu.ortrail.k12.or.us")</f>
        <v>blake_williams@stu.ortrail.k12.or.us</v>
      </c>
      <c r="L3102" s="6" t="str">
        <f>IFERROR(__xludf.DUMMYFUNCTION("""COMPUTED_VALUE"""),"Oregon Trail School District 46")</f>
        <v>Oregon Trail School District 46</v>
      </c>
      <c r="M3102" s="6" t="str">
        <f>IFERROR(__xludf.DUMMYFUNCTION("""COMPUTED_VALUE"""),"Cedar Ridge Middle School")</f>
        <v>Cedar Ridge Middle School</v>
      </c>
      <c r="N3102" s="6" t="str">
        <f>IFERROR(__xludf.DUMMYFUNCTION("""COMPUTED_VALUE"""),"")</f>
        <v/>
      </c>
      <c r="O3102" s="87" t="str">
        <f>IFERROR(__xludf.DUMMYFUNCTION("""COMPUTED_VALUE"""),"https://drive.google.com/drive/folders/10T2cTQHqEJZqE-st6uFKPoI?usp=share_link")</f>
        <v>https://drive.google.com/drive/folders/10T2cTQHqEJZqE-st6uFKPoI?usp=share_link</v>
      </c>
      <c r="P3102" s="6" t="str">
        <f>IFERROR(__xludf.DUMMYFUNCTION("""COMPUTED_VALUE"""),"Blake M. Williams")</f>
        <v>Blake M. Williams</v>
      </c>
      <c r="Q3102" s="6" t="str">
        <f>IFERROR(__xludf.DUMMYFUNCTION("""COMPUTED_VALUE"""),"MS")</f>
        <v>MS</v>
      </c>
      <c r="R3102" s="6">
        <f>IFERROR(__xludf.DUMMYFUNCTION("""COMPUTED_VALUE"""),0.0)</f>
        <v>0</v>
      </c>
      <c r="S3102" s="6" t="str">
        <f>IFERROR(__xludf.DUMMYFUNCTION("""COMPUTED_VALUE"""),"Kim Gallucci")</f>
        <v>Kim Gallucci</v>
      </c>
      <c r="T3102" s="6" t="str">
        <f>IFERROR(__xludf.DUMMYFUNCTION("""COMPUTED_VALUE"""),"kim.gallucci@ortrail.k12.or.us")</f>
        <v>kim.gallucci@ortrail.k12.or.us</v>
      </c>
      <c r="U3102" s="6" t="str">
        <f>IFERROR(__xludf.DUMMYFUNCTION("""COMPUTED_VALUE"""),"8")</f>
        <v>8</v>
      </c>
      <c r="V3102" s="6" t="str">
        <f>IFERROR(__xludf.DUMMYFUNCTION("""COMPUTED_VALUE"""),"English")</f>
        <v>English</v>
      </c>
      <c r="W3102" s="6" t="str">
        <f>IFERROR(__xludf.DUMMYFUNCTION("""COMPUTED_VALUE"""),"[]")</f>
        <v>[]</v>
      </c>
      <c r="X3102" s="6" t="str">
        <f>IFERROR(__xludf.DUMMYFUNCTION("""COMPUTED_VALUE"""),"Enrolled")</f>
        <v>Enrolled</v>
      </c>
    </row>
    <row r="3103">
      <c r="A3103" s="6" t="str">
        <f>IFERROR(__xludf.DUMMYFUNCTION("""COMPUTED_VALUE"""),"064-5884")</f>
        <v>064-5884</v>
      </c>
      <c r="B3103" s="6" t="str">
        <f>IFERROR(__xludf.DUMMYFUNCTION("""COMPUTED_VALUE"""),"64")</f>
        <v>64</v>
      </c>
      <c r="C3103" s="6" t="str">
        <f>IFERROR(__xludf.DUMMYFUNCTION("""COMPUTED_VALUE"""),"5884")</f>
        <v>5884</v>
      </c>
      <c r="D3103" s="6" t="str">
        <f>IFERROR(__xludf.DUMMYFUNCTION("""COMPUTED_VALUE"""),"Connor M.")</f>
        <v>Connor M.</v>
      </c>
      <c r="E3103" s="6" t="str">
        <f>IFERROR(__xludf.DUMMYFUNCTION("""COMPUTED_VALUE"""),"")</f>
        <v/>
      </c>
      <c r="F3103" s="6" t="str">
        <f>IFERROR(__xludf.DUMMYFUNCTION("""COMPUTED_VALUE"""),"Williams")</f>
        <v>Williams</v>
      </c>
      <c r="G3103" s="6" t="str">
        <f>IFERROR(__xludf.DUMMYFUNCTION("""COMPUTED_VALUE"""),"10/23/2012")</f>
        <v>10/23/2012</v>
      </c>
      <c r="H3103" s="6" t="str">
        <f>IFERROR(__xludf.DUMMYFUNCTION("""COMPUTED_VALUE"""),"Self Identify")</f>
        <v>Self Identify</v>
      </c>
      <c r="I3103" s="6" t="str">
        <f>IFERROR(__xludf.DUMMYFUNCTION("""COMPUTED_VALUE"""),"Middle School")</f>
        <v>Middle School</v>
      </c>
      <c r="J3103" s="6" t="str">
        <f>IFERROR(__xludf.DUMMYFUNCTION("""COMPUTED_VALUE"""),"7")</f>
        <v>7</v>
      </c>
      <c r="K3103" s="6" t="str">
        <f>IFERROR(__xludf.DUMMYFUNCTION("""COMPUTED_VALUE"""),"connor_williams@stu.ortrail.k12.or.us")</f>
        <v>connor_williams@stu.ortrail.k12.or.us</v>
      </c>
      <c r="L3103" s="6" t="str">
        <f>IFERROR(__xludf.DUMMYFUNCTION("""COMPUTED_VALUE"""),"Oregon Trail School District 46")</f>
        <v>Oregon Trail School District 46</v>
      </c>
      <c r="M3103" s="6" t="str">
        <f>IFERROR(__xludf.DUMMYFUNCTION("""COMPUTED_VALUE"""),"Cedar Ridge Middle School")</f>
        <v>Cedar Ridge Middle School</v>
      </c>
      <c r="N3103" s="6" t="str">
        <f>IFERROR(__xludf.DUMMYFUNCTION("""COMPUTED_VALUE"""),"")</f>
        <v/>
      </c>
      <c r="O3103" s="87" t="str">
        <f>IFERROR(__xludf.DUMMYFUNCTION("""COMPUTED_VALUE"""),"https://drive.google.com/drive/folders/10T2cTQHqEJZqE-st6uFKPoI?usp=share_link")</f>
        <v>https://drive.google.com/drive/folders/10T2cTQHqEJZqE-st6uFKPoI?usp=share_link</v>
      </c>
      <c r="P3103" s="6" t="str">
        <f>IFERROR(__xludf.DUMMYFUNCTION("""COMPUTED_VALUE"""),"Connor M. Williams")</f>
        <v>Connor M. Williams</v>
      </c>
      <c r="Q3103" s="6" t="str">
        <f>IFERROR(__xludf.DUMMYFUNCTION("""COMPUTED_VALUE"""),"MS")</f>
        <v>MS</v>
      </c>
      <c r="R3103" s="6">
        <f>IFERROR(__xludf.DUMMYFUNCTION("""COMPUTED_VALUE"""),0.0)</f>
        <v>0</v>
      </c>
      <c r="S3103" s="6" t="str">
        <f>IFERROR(__xludf.DUMMYFUNCTION("""COMPUTED_VALUE"""),"Kim Gallucci")</f>
        <v>Kim Gallucci</v>
      </c>
      <c r="T3103" s="6" t="str">
        <f>IFERROR(__xludf.DUMMYFUNCTION("""COMPUTED_VALUE"""),"kim.gallucci@ortrail.k12.or.us")</f>
        <v>kim.gallucci@ortrail.k12.or.us</v>
      </c>
      <c r="U3103" s="6" t="str">
        <f>IFERROR(__xludf.DUMMYFUNCTION("""COMPUTED_VALUE"""),"7")</f>
        <v>7</v>
      </c>
      <c r="V3103" s="6" t="str">
        <f>IFERROR(__xludf.DUMMYFUNCTION("""COMPUTED_VALUE"""),"English")</f>
        <v>English</v>
      </c>
      <c r="W3103" s="6" t="str">
        <f>IFERROR(__xludf.DUMMYFUNCTION("""COMPUTED_VALUE"""),"[]")</f>
        <v>[]</v>
      </c>
      <c r="X3103" s="6" t="str">
        <f>IFERROR(__xludf.DUMMYFUNCTION("""COMPUTED_VALUE"""),"Enrolled")</f>
        <v>Enrolled</v>
      </c>
    </row>
    <row r="3104">
      <c r="A3104" s="6" t="str">
        <f>IFERROR(__xludf.DUMMYFUNCTION("""COMPUTED_VALUE"""),"064-5885")</f>
        <v>064-5885</v>
      </c>
      <c r="B3104" s="6" t="str">
        <f>IFERROR(__xludf.DUMMYFUNCTION("""COMPUTED_VALUE"""),"64")</f>
        <v>64</v>
      </c>
      <c r="C3104" s="6" t="str">
        <f>IFERROR(__xludf.DUMMYFUNCTION("""COMPUTED_VALUE"""),"5885")</f>
        <v>5885</v>
      </c>
      <c r="D3104" s="6" t="str">
        <f>IFERROR(__xludf.DUMMYFUNCTION("""COMPUTED_VALUE"""),"Jordan")</f>
        <v>Jordan</v>
      </c>
      <c r="E3104" s="6" t="str">
        <f>IFERROR(__xludf.DUMMYFUNCTION("""COMPUTED_VALUE"""),"")</f>
        <v/>
      </c>
      <c r="F3104" s="6" t="str">
        <f>IFERROR(__xludf.DUMMYFUNCTION("""COMPUTED_VALUE"""),"Baird")</f>
        <v>Baird</v>
      </c>
      <c r="G3104" s="6" t="str">
        <f>IFERROR(__xludf.DUMMYFUNCTION("""COMPUTED_VALUE"""),"06/18/2013")</f>
        <v>06/18/2013</v>
      </c>
      <c r="H3104" s="6" t="str">
        <f>IFERROR(__xludf.DUMMYFUNCTION("""COMPUTED_VALUE"""),"Self Identify")</f>
        <v>Self Identify</v>
      </c>
      <c r="I3104" s="6" t="str">
        <f>IFERROR(__xludf.DUMMYFUNCTION("""COMPUTED_VALUE"""),"Middle School")</f>
        <v>Middle School</v>
      </c>
      <c r="J3104" s="6" t="str">
        <f>IFERROR(__xludf.DUMMYFUNCTION("""COMPUTED_VALUE"""),"7")</f>
        <v>7</v>
      </c>
      <c r="K3104" s="6" t="str">
        <f>IFERROR(__xludf.DUMMYFUNCTION("""COMPUTED_VALUE"""),"jordan_baird@stu.ortrail.k12.or.us")</f>
        <v>jordan_baird@stu.ortrail.k12.or.us</v>
      </c>
      <c r="L3104" s="6" t="str">
        <f>IFERROR(__xludf.DUMMYFUNCTION("""COMPUTED_VALUE"""),"Oregon Trail School District 46")</f>
        <v>Oregon Trail School District 46</v>
      </c>
      <c r="M3104" s="6" t="str">
        <f>IFERROR(__xludf.DUMMYFUNCTION("""COMPUTED_VALUE"""),"Cedar Ridge Middle School")</f>
        <v>Cedar Ridge Middle School</v>
      </c>
      <c r="N3104" s="6" t="str">
        <f>IFERROR(__xludf.DUMMYFUNCTION("""COMPUTED_VALUE"""),"")</f>
        <v/>
      </c>
      <c r="O3104" s="87" t="str">
        <f>IFERROR(__xludf.DUMMYFUNCTION("""COMPUTED_VALUE"""),"https://drive.google.com/drive/folders/10T2cTQHqEJZqE-st6uFKPoI?usp=share_link")</f>
        <v>https://drive.google.com/drive/folders/10T2cTQHqEJZqE-st6uFKPoI?usp=share_link</v>
      </c>
      <c r="P3104" s="6" t="str">
        <f>IFERROR(__xludf.DUMMYFUNCTION("""COMPUTED_VALUE"""),"Jordan Baird")</f>
        <v>Jordan Baird</v>
      </c>
      <c r="Q3104" s="6" t="str">
        <f>IFERROR(__xludf.DUMMYFUNCTION("""COMPUTED_VALUE"""),"MS")</f>
        <v>MS</v>
      </c>
      <c r="R3104" s="6">
        <f>IFERROR(__xludf.DUMMYFUNCTION("""COMPUTED_VALUE"""),0.0)</f>
        <v>0</v>
      </c>
      <c r="S3104" s="6" t="str">
        <f>IFERROR(__xludf.DUMMYFUNCTION("""COMPUTED_VALUE"""),"Lan Green")</f>
        <v>Lan Green</v>
      </c>
      <c r="T3104" s="6" t="str">
        <f>IFERROR(__xludf.DUMMYFUNCTION("""COMPUTED_VALUE"""),"lan.green@ortrail.k12.or.us")</f>
        <v>lan.green@ortrail.k12.or.us</v>
      </c>
      <c r="U3104" s="6" t="str">
        <f>IFERROR(__xludf.DUMMYFUNCTION("""COMPUTED_VALUE"""),"7")</f>
        <v>7</v>
      </c>
      <c r="V3104" s="6" t="str">
        <f>IFERROR(__xludf.DUMMYFUNCTION("""COMPUTED_VALUE"""),"English")</f>
        <v>English</v>
      </c>
      <c r="W3104" s="6" t="str">
        <f>IFERROR(__xludf.DUMMYFUNCTION("""COMPUTED_VALUE"""),"[]")</f>
        <v>[]</v>
      </c>
      <c r="X3104" s="6" t="str">
        <f>IFERROR(__xludf.DUMMYFUNCTION("""COMPUTED_VALUE"""),"Enrolled")</f>
        <v>Enrolled</v>
      </c>
    </row>
    <row r="3105">
      <c r="A3105" s="6" t="str">
        <f>IFERROR(__xludf.DUMMYFUNCTION("""COMPUTED_VALUE"""),"064-5886")</f>
        <v>064-5886</v>
      </c>
      <c r="B3105" s="6" t="str">
        <f>IFERROR(__xludf.DUMMYFUNCTION("""COMPUTED_VALUE"""),"64")</f>
        <v>64</v>
      </c>
      <c r="C3105" s="6" t="str">
        <f>IFERROR(__xludf.DUMMYFUNCTION("""COMPUTED_VALUE"""),"5886")</f>
        <v>5886</v>
      </c>
      <c r="D3105" s="6" t="str">
        <f>IFERROR(__xludf.DUMMYFUNCTION("""COMPUTED_VALUE"""),"Hailey")</f>
        <v>Hailey</v>
      </c>
      <c r="E3105" s="6" t="str">
        <f>IFERROR(__xludf.DUMMYFUNCTION("""COMPUTED_VALUE"""),"")</f>
        <v/>
      </c>
      <c r="F3105" s="6" t="str">
        <f>IFERROR(__xludf.DUMMYFUNCTION("""COMPUTED_VALUE"""),"Blakely")</f>
        <v>Blakely</v>
      </c>
      <c r="G3105" s="6" t="str">
        <f>IFERROR(__xludf.DUMMYFUNCTION("""COMPUTED_VALUE"""),"11/10/2012")</f>
        <v>11/10/2012</v>
      </c>
      <c r="H3105" s="6" t="str">
        <f>IFERROR(__xludf.DUMMYFUNCTION("""COMPUTED_VALUE"""),"Self Identify")</f>
        <v>Self Identify</v>
      </c>
      <c r="I3105" s="6" t="str">
        <f>IFERROR(__xludf.DUMMYFUNCTION("""COMPUTED_VALUE"""),"Middle School")</f>
        <v>Middle School</v>
      </c>
      <c r="J3105" s="6" t="str">
        <f>IFERROR(__xludf.DUMMYFUNCTION("""COMPUTED_VALUE"""),"7")</f>
        <v>7</v>
      </c>
      <c r="K3105" s="6" t="str">
        <f>IFERROR(__xludf.DUMMYFUNCTION("""COMPUTED_VALUE"""),"hailey_blakely@stu.ortrail.k12.or.us")</f>
        <v>hailey_blakely@stu.ortrail.k12.or.us</v>
      </c>
      <c r="L3105" s="6" t="str">
        <f>IFERROR(__xludf.DUMMYFUNCTION("""COMPUTED_VALUE"""),"Oregon Trail School District 46")</f>
        <v>Oregon Trail School District 46</v>
      </c>
      <c r="M3105" s="6" t="str">
        <f>IFERROR(__xludf.DUMMYFUNCTION("""COMPUTED_VALUE"""),"Cedar Ridge Middle School")</f>
        <v>Cedar Ridge Middle School</v>
      </c>
      <c r="N3105" s="6" t="str">
        <f>IFERROR(__xludf.DUMMYFUNCTION("""COMPUTED_VALUE"""),"")</f>
        <v/>
      </c>
      <c r="O3105" s="87" t="str">
        <f>IFERROR(__xludf.DUMMYFUNCTION("""COMPUTED_VALUE"""),"https://drive.google.com/drive/folders/10T2cTQHqEJZqE-st6uFKPoI?usp=share_link")</f>
        <v>https://drive.google.com/drive/folders/10T2cTQHqEJZqE-st6uFKPoI?usp=share_link</v>
      </c>
      <c r="P3105" s="6" t="str">
        <f>IFERROR(__xludf.DUMMYFUNCTION("""COMPUTED_VALUE"""),"Hailey Blakely")</f>
        <v>Hailey Blakely</v>
      </c>
      <c r="Q3105" s="6" t="str">
        <f>IFERROR(__xludf.DUMMYFUNCTION("""COMPUTED_VALUE"""),"MS")</f>
        <v>MS</v>
      </c>
      <c r="R3105" s="6">
        <f>IFERROR(__xludf.DUMMYFUNCTION("""COMPUTED_VALUE"""),0.0)</f>
        <v>0</v>
      </c>
      <c r="S3105" s="6" t="str">
        <f>IFERROR(__xludf.DUMMYFUNCTION("""COMPUTED_VALUE"""),"Lan Green")</f>
        <v>Lan Green</v>
      </c>
      <c r="T3105" s="6" t="str">
        <f>IFERROR(__xludf.DUMMYFUNCTION("""COMPUTED_VALUE"""),"lan.green@ortrail.k12.or.us")</f>
        <v>lan.green@ortrail.k12.or.us</v>
      </c>
      <c r="U3105" s="6" t="str">
        <f>IFERROR(__xludf.DUMMYFUNCTION("""COMPUTED_VALUE"""),"7")</f>
        <v>7</v>
      </c>
      <c r="V3105" s="6" t="str">
        <f>IFERROR(__xludf.DUMMYFUNCTION("""COMPUTED_VALUE"""),"English")</f>
        <v>English</v>
      </c>
      <c r="W3105" s="6" t="str">
        <f>IFERROR(__xludf.DUMMYFUNCTION("""COMPUTED_VALUE"""),"[]")</f>
        <v>[]</v>
      </c>
      <c r="X3105" s="6" t="str">
        <f>IFERROR(__xludf.DUMMYFUNCTION("""COMPUTED_VALUE"""),"Enrolled")</f>
        <v>Enrolled</v>
      </c>
    </row>
    <row r="3106">
      <c r="A3106" s="6" t="str">
        <f>IFERROR(__xludf.DUMMYFUNCTION("""COMPUTED_VALUE"""),"064-5891")</f>
        <v>064-5891</v>
      </c>
      <c r="B3106" s="6" t="str">
        <f>IFERROR(__xludf.DUMMYFUNCTION("""COMPUTED_VALUE"""),"64")</f>
        <v>64</v>
      </c>
      <c r="C3106" s="6" t="str">
        <f>IFERROR(__xludf.DUMMYFUNCTION("""COMPUTED_VALUE"""),"5891")</f>
        <v>5891</v>
      </c>
      <c r="D3106" s="6" t="str">
        <f>IFERROR(__xludf.DUMMYFUNCTION("""COMPUTED_VALUE"""),"Jeremiah")</f>
        <v>Jeremiah</v>
      </c>
      <c r="E3106" s="6" t="str">
        <f>IFERROR(__xludf.DUMMYFUNCTION("""COMPUTED_VALUE"""),"")</f>
        <v/>
      </c>
      <c r="F3106" s="6" t="str">
        <f>IFERROR(__xludf.DUMMYFUNCTION("""COMPUTED_VALUE"""),"Aceves")</f>
        <v>Aceves</v>
      </c>
      <c r="G3106" s="6" t="str">
        <f>IFERROR(__xludf.DUMMYFUNCTION("""COMPUTED_VALUE"""),"08/23/2013")</f>
        <v>08/23/2013</v>
      </c>
      <c r="H3106" s="6" t="str">
        <f>IFERROR(__xludf.DUMMYFUNCTION("""COMPUTED_VALUE"""),"Self Identify")</f>
        <v>Self Identify</v>
      </c>
      <c r="I3106" s="6" t="str">
        <f>IFERROR(__xludf.DUMMYFUNCTION("""COMPUTED_VALUE"""),"Middle School")</f>
        <v>Middle School</v>
      </c>
      <c r="J3106" s="6" t="str">
        <f>IFERROR(__xludf.DUMMYFUNCTION("""COMPUTED_VALUE"""),"7")</f>
        <v>7</v>
      </c>
      <c r="K3106" s="6" t="str">
        <f>IFERROR(__xludf.DUMMYFUNCTION("""COMPUTED_VALUE"""),"jeremiah_aceves@stu.ortrail.k12.or.us")</f>
        <v>jeremiah_aceves@stu.ortrail.k12.or.us</v>
      </c>
      <c r="L3106" s="6" t="str">
        <f>IFERROR(__xludf.DUMMYFUNCTION("""COMPUTED_VALUE"""),"Oregon Trail School District 46")</f>
        <v>Oregon Trail School District 46</v>
      </c>
      <c r="M3106" s="6" t="str">
        <f>IFERROR(__xludf.DUMMYFUNCTION("""COMPUTED_VALUE"""),"Cedar Ridge Middle School")</f>
        <v>Cedar Ridge Middle School</v>
      </c>
      <c r="N3106" s="6" t="str">
        <f>IFERROR(__xludf.DUMMYFUNCTION("""COMPUTED_VALUE"""),"")</f>
        <v/>
      </c>
      <c r="O3106" s="87" t="str">
        <f>IFERROR(__xludf.DUMMYFUNCTION("""COMPUTED_VALUE"""),"https://drive.google.com/drive/folders/10T2cTQHqEJZqE-st6uFKPoI?usp=share_link")</f>
        <v>https://drive.google.com/drive/folders/10T2cTQHqEJZqE-st6uFKPoI?usp=share_link</v>
      </c>
      <c r="P3106" s="6" t="str">
        <f>IFERROR(__xludf.DUMMYFUNCTION("""COMPUTED_VALUE"""),"Jeremiah Aceves")</f>
        <v>Jeremiah Aceves</v>
      </c>
      <c r="Q3106" s="6" t="str">
        <f>IFERROR(__xludf.DUMMYFUNCTION("""COMPUTED_VALUE"""),"MS")</f>
        <v>MS</v>
      </c>
      <c r="R3106" s="6">
        <f>IFERROR(__xludf.DUMMYFUNCTION("""COMPUTED_VALUE"""),0.0)</f>
        <v>0</v>
      </c>
      <c r="S3106" s="6" t="str">
        <f>IFERROR(__xludf.DUMMYFUNCTION("""COMPUTED_VALUE"""),"Kim Gallucci")</f>
        <v>Kim Gallucci</v>
      </c>
      <c r="T3106" s="6" t="str">
        <f>IFERROR(__xludf.DUMMYFUNCTION("""COMPUTED_VALUE"""),"kim.gallucci@ortrail.k12.or.us")</f>
        <v>kim.gallucci@ortrail.k12.or.us</v>
      </c>
      <c r="U3106" s="6" t="str">
        <f>IFERROR(__xludf.DUMMYFUNCTION("""COMPUTED_VALUE"""),"7")</f>
        <v>7</v>
      </c>
      <c r="V3106" s="6" t="str">
        <f>IFERROR(__xludf.DUMMYFUNCTION("""COMPUTED_VALUE"""),"English")</f>
        <v>English</v>
      </c>
      <c r="W3106" s="6" t="str">
        <f>IFERROR(__xludf.DUMMYFUNCTION("""COMPUTED_VALUE"""),"[]")</f>
        <v>[]</v>
      </c>
      <c r="X3106" s="6" t="str">
        <f>IFERROR(__xludf.DUMMYFUNCTION("""COMPUTED_VALUE"""),"Enrolled")</f>
        <v>Enrolled</v>
      </c>
    </row>
    <row r="3107">
      <c r="A3107" s="6" t="str">
        <f>IFERROR(__xludf.DUMMYFUNCTION("""COMPUTED_VALUE"""),"064-5892")</f>
        <v>064-5892</v>
      </c>
      <c r="B3107" s="6" t="str">
        <f>IFERROR(__xludf.DUMMYFUNCTION("""COMPUTED_VALUE"""),"64")</f>
        <v>64</v>
      </c>
      <c r="C3107" s="6" t="str">
        <f>IFERROR(__xludf.DUMMYFUNCTION("""COMPUTED_VALUE"""),"5892")</f>
        <v>5892</v>
      </c>
      <c r="D3107" s="6" t="str">
        <f>IFERROR(__xludf.DUMMYFUNCTION("""COMPUTED_VALUE"""),"Rosalinda")</f>
        <v>Rosalinda</v>
      </c>
      <c r="E3107" s="6" t="str">
        <f>IFERROR(__xludf.DUMMYFUNCTION("""COMPUTED_VALUE"""),"")</f>
        <v/>
      </c>
      <c r="F3107" s="6" t="str">
        <f>IFERROR(__xludf.DUMMYFUNCTION("""COMPUTED_VALUE"""),"Aguilar Francisco")</f>
        <v>Aguilar Francisco</v>
      </c>
      <c r="G3107" s="6" t="str">
        <f>IFERROR(__xludf.DUMMYFUNCTION("""COMPUTED_VALUE"""),"07/14/2012")</f>
        <v>07/14/2012</v>
      </c>
      <c r="H3107" s="6" t="str">
        <f>IFERROR(__xludf.DUMMYFUNCTION("""COMPUTED_VALUE"""),"Self Identify")</f>
        <v>Self Identify</v>
      </c>
      <c r="I3107" s="6" t="str">
        <f>IFERROR(__xludf.DUMMYFUNCTION("""COMPUTED_VALUE"""),"Middle School")</f>
        <v>Middle School</v>
      </c>
      <c r="J3107" s="6" t="str">
        <f>IFERROR(__xludf.DUMMYFUNCTION("""COMPUTED_VALUE"""),"8")</f>
        <v>8</v>
      </c>
      <c r="K3107" s="6" t="str">
        <f>IFERROR(__xludf.DUMMYFUNCTION("""COMPUTED_VALUE"""),"rosalinda_aguilarfra@stu.ortrail.k12.or.us")</f>
        <v>rosalinda_aguilarfra@stu.ortrail.k12.or.us</v>
      </c>
      <c r="L3107" s="6" t="str">
        <f>IFERROR(__xludf.DUMMYFUNCTION("""COMPUTED_VALUE"""),"Oregon Trail School District 46")</f>
        <v>Oregon Trail School District 46</v>
      </c>
      <c r="M3107" s="6" t="str">
        <f>IFERROR(__xludf.DUMMYFUNCTION("""COMPUTED_VALUE"""),"Cedar Ridge Middle School")</f>
        <v>Cedar Ridge Middle School</v>
      </c>
      <c r="N3107" s="6" t="str">
        <f>IFERROR(__xludf.DUMMYFUNCTION("""COMPUTED_VALUE"""),"")</f>
        <v/>
      </c>
      <c r="O3107" s="87" t="str">
        <f>IFERROR(__xludf.DUMMYFUNCTION("""COMPUTED_VALUE"""),"https://drive.google.com/drive/folders/10T2cTQHqEJZqE-st6uFKPoI?usp=share_link")</f>
        <v>https://drive.google.com/drive/folders/10T2cTQHqEJZqE-st6uFKPoI?usp=share_link</v>
      </c>
      <c r="P3107" s="6" t="str">
        <f>IFERROR(__xludf.DUMMYFUNCTION("""COMPUTED_VALUE"""),"Rosalinda Aguilar Francisco")</f>
        <v>Rosalinda Aguilar Francisco</v>
      </c>
      <c r="Q3107" s="6" t="str">
        <f>IFERROR(__xludf.DUMMYFUNCTION("""COMPUTED_VALUE"""),"MS")</f>
        <v>MS</v>
      </c>
      <c r="R3107" s="6">
        <f>IFERROR(__xludf.DUMMYFUNCTION("""COMPUTED_VALUE"""),0.0)</f>
        <v>0</v>
      </c>
      <c r="S3107" s="6" t="str">
        <f>IFERROR(__xludf.DUMMYFUNCTION("""COMPUTED_VALUE"""),"Maria Ruiz-Perez")</f>
        <v>Maria Ruiz-Perez</v>
      </c>
      <c r="T3107" s="6" t="str">
        <f>IFERROR(__xludf.DUMMYFUNCTION("""COMPUTED_VALUE"""),"maria.perez@ortrail.k12.or.us")</f>
        <v>maria.perez@ortrail.k12.or.us</v>
      </c>
      <c r="U3107" s="6" t="str">
        <f>IFERROR(__xludf.DUMMYFUNCTION("""COMPUTED_VALUE"""),"8")</f>
        <v>8</v>
      </c>
      <c r="V3107" s="6" t="str">
        <f>IFERROR(__xludf.DUMMYFUNCTION("""COMPUTED_VALUE"""),"English")</f>
        <v>English</v>
      </c>
      <c r="W3107" s="6" t="str">
        <f>IFERROR(__xludf.DUMMYFUNCTION("""COMPUTED_VALUE"""),"[]")</f>
        <v>[]</v>
      </c>
      <c r="X3107" s="6" t="str">
        <f>IFERROR(__xludf.DUMMYFUNCTION("""COMPUTED_VALUE"""),"Enrolled")</f>
        <v>Enrolled</v>
      </c>
    </row>
    <row r="3108">
      <c r="A3108" s="6" t="str">
        <f>IFERROR(__xludf.DUMMYFUNCTION("""COMPUTED_VALUE"""),"064-5893")</f>
        <v>064-5893</v>
      </c>
      <c r="B3108" s="6" t="str">
        <f>IFERROR(__xludf.DUMMYFUNCTION("""COMPUTED_VALUE"""),"64")</f>
        <v>64</v>
      </c>
      <c r="C3108" s="6" t="str">
        <f>IFERROR(__xludf.DUMMYFUNCTION("""COMPUTED_VALUE"""),"5893")</f>
        <v>5893</v>
      </c>
      <c r="D3108" s="6" t="str">
        <f>IFERROR(__xludf.DUMMYFUNCTION("""COMPUTED_VALUE"""),"Zarahi I.")</f>
        <v>Zarahi I.</v>
      </c>
      <c r="E3108" s="6" t="str">
        <f>IFERROR(__xludf.DUMMYFUNCTION("""COMPUTED_VALUE"""),"")</f>
        <v/>
      </c>
      <c r="F3108" s="6" t="str">
        <f>IFERROR(__xludf.DUMMYFUNCTION("""COMPUTED_VALUE"""),"Albarran Zacarias")</f>
        <v>Albarran Zacarias</v>
      </c>
      <c r="G3108" s="6" t="str">
        <f>IFERROR(__xludf.DUMMYFUNCTION("""COMPUTED_VALUE"""),"10/03/2011")</f>
        <v>10/03/2011</v>
      </c>
      <c r="H3108" s="6" t="str">
        <f>IFERROR(__xludf.DUMMYFUNCTION("""COMPUTED_VALUE"""),"Self Identify")</f>
        <v>Self Identify</v>
      </c>
      <c r="I3108" s="6" t="str">
        <f>IFERROR(__xludf.DUMMYFUNCTION("""COMPUTED_VALUE"""),"Middle School")</f>
        <v>Middle School</v>
      </c>
      <c r="J3108" s="6" t="str">
        <f>IFERROR(__xludf.DUMMYFUNCTION("""COMPUTED_VALUE"""),"8")</f>
        <v>8</v>
      </c>
      <c r="K3108" s="6" t="str">
        <f>IFERROR(__xludf.DUMMYFUNCTION("""COMPUTED_VALUE"""),"zarahi_albarranzacar@stu.ortrail.k12.or.us")</f>
        <v>zarahi_albarranzacar@stu.ortrail.k12.or.us</v>
      </c>
      <c r="L3108" s="6" t="str">
        <f>IFERROR(__xludf.DUMMYFUNCTION("""COMPUTED_VALUE"""),"Oregon Trail School District 46")</f>
        <v>Oregon Trail School District 46</v>
      </c>
      <c r="M3108" s="6" t="str">
        <f>IFERROR(__xludf.DUMMYFUNCTION("""COMPUTED_VALUE"""),"Cedar Ridge Middle School")</f>
        <v>Cedar Ridge Middle School</v>
      </c>
      <c r="N3108" s="6" t="str">
        <f>IFERROR(__xludf.DUMMYFUNCTION("""COMPUTED_VALUE"""),"")</f>
        <v/>
      </c>
      <c r="O3108" s="87" t="str">
        <f>IFERROR(__xludf.DUMMYFUNCTION("""COMPUTED_VALUE"""),"https://drive.google.com/drive/folders/10T2cTQHqEJZqE-st6uFKPoI?usp=share_link")</f>
        <v>https://drive.google.com/drive/folders/10T2cTQHqEJZqE-st6uFKPoI?usp=share_link</v>
      </c>
      <c r="P3108" s="6" t="str">
        <f>IFERROR(__xludf.DUMMYFUNCTION("""COMPUTED_VALUE"""),"Zarahi I. Albarran Zacarias")</f>
        <v>Zarahi I. Albarran Zacarias</v>
      </c>
      <c r="Q3108" s="6" t="str">
        <f>IFERROR(__xludf.DUMMYFUNCTION("""COMPUTED_VALUE"""),"MS")</f>
        <v>MS</v>
      </c>
      <c r="R3108" s="6">
        <f>IFERROR(__xludf.DUMMYFUNCTION("""COMPUTED_VALUE"""),0.0)</f>
        <v>0</v>
      </c>
      <c r="S3108" s="6" t="str">
        <f>IFERROR(__xludf.DUMMYFUNCTION("""COMPUTED_VALUE"""),"Maria Ruiz-Perez")</f>
        <v>Maria Ruiz-Perez</v>
      </c>
      <c r="T3108" s="6" t="str">
        <f>IFERROR(__xludf.DUMMYFUNCTION("""COMPUTED_VALUE"""),"maria.perez@ortrail.k12.or.us")</f>
        <v>maria.perez@ortrail.k12.or.us</v>
      </c>
      <c r="U3108" s="6" t="str">
        <f>IFERROR(__xludf.DUMMYFUNCTION("""COMPUTED_VALUE"""),"8")</f>
        <v>8</v>
      </c>
      <c r="V3108" s="6" t="str">
        <f>IFERROR(__xludf.DUMMYFUNCTION("""COMPUTED_VALUE"""),"English")</f>
        <v>English</v>
      </c>
      <c r="W3108" s="6" t="str">
        <f>IFERROR(__xludf.DUMMYFUNCTION("""COMPUTED_VALUE"""),"[]")</f>
        <v>[]</v>
      </c>
      <c r="X3108" s="6" t="str">
        <f>IFERROR(__xludf.DUMMYFUNCTION("""COMPUTED_VALUE"""),"Enrolled")</f>
        <v>Enrolled</v>
      </c>
    </row>
    <row r="3109">
      <c r="A3109" s="6" t="str">
        <f>IFERROR(__xludf.DUMMYFUNCTION("""COMPUTED_VALUE"""),"064-5894")</f>
        <v>064-5894</v>
      </c>
      <c r="B3109" s="6" t="str">
        <f>IFERROR(__xludf.DUMMYFUNCTION("""COMPUTED_VALUE"""),"64")</f>
        <v>64</v>
      </c>
      <c r="C3109" s="6" t="str">
        <f>IFERROR(__xludf.DUMMYFUNCTION("""COMPUTED_VALUE"""),"5894")</f>
        <v>5894</v>
      </c>
      <c r="D3109" s="6" t="str">
        <f>IFERROR(__xludf.DUMMYFUNCTION("""COMPUTED_VALUE"""),"Silvano")</f>
        <v>Silvano</v>
      </c>
      <c r="E3109" s="6" t="str">
        <f>IFERROR(__xludf.DUMMYFUNCTION("""COMPUTED_VALUE"""),"")</f>
        <v/>
      </c>
      <c r="F3109" s="6" t="str">
        <f>IFERROR(__xludf.DUMMYFUNCTION("""COMPUTED_VALUE"""),"Doroteo Prado")</f>
        <v>Doroteo Prado</v>
      </c>
      <c r="G3109" s="6" t="str">
        <f>IFERROR(__xludf.DUMMYFUNCTION("""COMPUTED_VALUE"""),"08/05/2012")</f>
        <v>08/05/2012</v>
      </c>
      <c r="H3109" s="6" t="str">
        <f>IFERROR(__xludf.DUMMYFUNCTION("""COMPUTED_VALUE"""),"Self Identify")</f>
        <v>Self Identify</v>
      </c>
      <c r="I3109" s="6" t="str">
        <f>IFERROR(__xludf.DUMMYFUNCTION("""COMPUTED_VALUE"""),"Middle School")</f>
        <v>Middle School</v>
      </c>
      <c r="J3109" s="6" t="str">
        <f>IFERROR(__xludf.DUMMYFUNCTION("""COMPUTED_VALUE"""),"8")</f>
        <v>8</v>
      </c>
      <c r="K3109" s="6" t="str">
        <f>IFERROR(__xludf.DUMMYFUNCTION("""COMPUTED_VALUE"""),"silvano_doroteoprado@stu.ortrail.k12.or.us")</f>
        <v>silvano_doroteoprado@stu.ortrail.k12.or.us</v>
      </c>
      <c r="L3109" s="6" t="str">
        <f>IFERROR(__xludf.DUMMYFUNCTION("""COMPUTED_VALUE"""),"Oregon Trail School District 46")</f>
        <v>Oregon Trail School District 46</v>
      </c>
      <c r="M3109" s="6" t="str">
        <f>IFERROR(__xludf.DUMMYFUNCTION("""COMPUTED_VALUE"""),"Cedar Ridge Middle School")</f>
        <v>Cedar Ridge Middle School</v>
      </c>
      <c r="N3109" s="6" t="str">
        <f>IFERROR(__xludf.DUMMYFUNCTION("""COMPUTED_VALUE"""),"")</f>
        <v/>
      </c>
      <c r="O3109" s="87" t="str">
        <f>IFERROR(__xludf.DUMMYFUNCTION("""COMPUTED_VALUE"""),"https://drive.google.com/drive/folders/10T2cTQHqEJZqE-st6uFKPoI?usp=share_link")</f>
        <v>https://drive.google.com/drive/folders/10T2cTQHqEJZqE-st6uFKPoI?usp=share_link</v>
      </c>
      <c r="P3109" s="6" t="str">
        <f>IFERROR(__xludf.DUMMYFUNCTION("""COMPUTED_VALUE"""),"Silvano Doroteo Prado")</f>
        <v>Silvano Doroteo Prado</v>
      </c>
      <c r="Q3109" s="6" t="str">
        <f>IFERROR(__xludf.DUMMYFUNCTION("""COMPUTED_VALUE"""),"MS")</f>
        <v>MS</v>
      </c>
      <c r="R3109" s="6">
        <f>IFERROR(__xludf.DUMMYFUNCTION("""COMPUTED_VALUE"""),0.0)</f>
        <v>0</v>
      </c>
      <c r="S3109" s="6" t="str">
        <f>IFERROR(__xludf.DUMMYFUNCTION("""COMPUTED_VALUE"""),"Maria Ruiz-Perez")</f>
        <v>Maria Ruiz-Perez</v>
      </c>
      <c r="T3109" s="6" t="str">
        <f>IFERROR(__xludf.DUMMYFUNCTION("""COMPUTED_VALUE"""),"maria.perez@ortrail.k12.or.us")</f>
        <v>maria.perez@ortrail.k12.or.us</v>
      </c>
      <c r="U3109" s="6" t="str">
        <f>IFERROR(__xludf.DUMMYFUNCTION("""COMPUTED_VALUE"""),"8")</f>
        <v>8</v>
      </c>
      <c r="V3109" s="6" t="str">
        <f>IFERROR(__xludf.DUMMYFUNCTION("""COMPUTED_VALUE"""),"English")</f>
        <v>English</v>
      </c>
      <c r="W3109" s="6" t="str">
        <f>IFERROR(__xludf.DUMMYFUNCTION("""COMPUTED_VALUE"""),"[]")</f>
        <v>[]</v>
      </c>
      <c r="X3109" s="6" t="str">
        <f>IFERROR(__xludf.DUMMYFUNCTION("""COMPUTED_VALUE"""),"Enrolled")</f>
        <v>Enrolled</v>
      </c>
    </row>
    <row r="3110">
      <c r="A3110" s="6" t="str">
        <f>IFERROR(__xludf.DUMMYFUNCTION("""COMPUTED_VALUE"""),"064-5895")</f>
        <v>064-5895</v>
      </c>
      <c r="B3110" s="6" t="str">
        <f>IFERROR(__xludf.DUMMYFUNCTION("""COMPUTED_VALUE"""),"64")</f>
        <v>64</v>
      </c>
      <c r="C3110" s="6" t="str">
        <f>IFERROR(__xludf.DUMMYFUNCTION("""COMPUTED_VALUE"""),"5895")</f>
        <v>5895</v>
      </c>
      <c r="D3110" s="6" t="str">
        <f>IFERROR(__xludf.DUMMYFUNCTION("""COMPUTED_VALUE"""),"Lismeydi")</f>
        <v>Lismeydi</v>
      </c>
      <c r="E3110" s="6" t="str">
        <f>IFERROR(__xludf.DUMMYFUNCTION("""COMPUTED_VALUE"""),"")</f>
        <v/>
      </c>
      <c r="F3110" s="6" t="str">
        <f>IFERROR(__xludf.DUMMYFUNCTION("""COMPUTED_VALUE"""),"Gomez")</f>
        <v>Gomez</v>
      </c>
      <c r="G3110" s="6" t="str">
        <f>IFERROR(__xludf.DUMMYFUNCTION("""COMPUTED_VALUE"""),"01/22/2012")</f>
        <v>01/22/2012</v>
      </c>
      <c r="H3110" s="6" t="str">
        <f>IFERROR(__xludf.DUMMYFUNCTION("""COMPUTED_VALUE"""),"Self Identify")</f>
        <v>Self Identify</v>
      </c>
      <c r="I3110" s="6" t="str">
        <f>IFERROR(__xludf.DUMMYFUNCTION("""COMPUTED_VALUE"""),"Middle School")</f>
        <v>Middle School</v>
      </c>
      <c r="J3110" s="6" t="str">
        <f>IFERROR(__xludf.DUMMYFUNCTION("""COMPUTED_VALUE"""),"8")</f>
        <v>8</v>
      </c>
      <c r="K3110" s="6" t="str">
        <f>IFERROR(__xludf.DUMMYFUNCTION("""COMPUTED_VALUE"""),"lizmeidy_gomez@stu.ortrail.k12.or.us")</f>
        <v>lizmeidy_gomez@stu.ortrail.k12.or.us</v>
      </c>
      <c r="L3110" s="6" t="str">
        <f>IFERROR(__xludf.DUMMYFUNCTION("""COMPUTED_VALUE"""),"Oregon Trail School District 46")</f>
        <v>Oregon Trail School District 46</v>
      </c>
      <c r="M3110" s="6" t="str">
        <f>IFERROR(__xludf.DUMMYFUNCTION("""COMPUTED_VALUE"""),"Cedar Ridge Middle School")</f>
        <v>Cedar Ridge Middle School</v>
      </c>
      <c r="N3110" s="6" t="str">
        <f>IFERROR(__xludf.DUMMYFUNCTION("""COMPUTED_VALUE"""),"")</f>
        <v/>
      </c>
      <c r="O3110" s="87" t="str">
        <f>IFERROR(__xludf.DUMMYFUNCTION("""COMPUTED_VALUE"""),"https://drive.google.com/drive/folders/10T2cTQHqEJZqE-st6uFKPoI?usp=share_link")</f>
        <v>https://drive.google.com/drive/folders/10T2cTQHqEJZqE-st6uFKPoI?usp=share_link</v>
      </c>
      <c r="P3110" s="6" t="str">
        <f>IFERROR(__xludf.DUMMYFUNCTION("""COMPUTED_VALUE"""),"Lismeydi Gomez")</f>
        <v>Lismeydi Gomez</v>
      </c>
      <c r="Q3110" s="6" t="str">
        <f>IFERROR(__xludf.DUMMYFUNCTION("""COMPUTED_VALUE"""),"MS")</f>
        <v>MS</v>
      </c>
      <c r="R3110" s="6">
        <f>IFERROR(__xludf.DUMMYFUNCTION("""COMPUTED_VALUE"""),0.0)</f>
        <v>0</v>
      </c>
      <c r="S3110" s="6" t="str">
        <f>IFERROR(__xludf.DUMMYFUNCTION("""COMPUTED_VALUE"""),"Maria Ruiz-Perez")</f>
        <v>Maria Ruiz-Perez</v>
      </c>
      <c r="T3110" s="6" t="str">
        <f>IFERROR(__xludf.DUMMYFUNCTION("""COMPUTED_VALUE"""),"maria.perez@ortrail.k12.or.us")</f>
        <v>maria.perez@ortrail.k12.or.us</v>
      </c>
      <c r="U3110" s="6" t="str">
        <f>IFERROR(__xludf.DUMMYFUNCTION("""COMPUTED_VALUE"""),"8")</f>
        <v>8</v>
      </c>
      <c r="V3110" s="6" t="str">
        <f>IFERROR(__xludf.DUMMYFUNCTION("""COMPUTED_VALUE"""),"English")</f>
        <v>English</v>
      </c>
      <c r="W3110" s="6" t="str">
        <f>IFERROR(__xludf.DUMMYFUNCTION("""COMPUTED_VALUE"""),"[]")</f>
        <v>[]</v>
      </c>
      <c r="X3110" s="6" t="str">
        <f>IFERROR(__xludf.DUMMYFUNCTION("""COMPUTED_VALUE"""),"Enrolled")</f>
        <v>Enrolled</v>
      </c>
    </row>
    <row r="3111">
      <c r="A3111" s="6" t="str">
        <f>IFERROR(__xludf.DUMMYFUNCTION("""COMPUTED_VALUE"""),"064-5896")</f>
        <v>064-5896</v>
      </c>
      <c r="B3111" s="6" t="str">
        <f>IFERROR(__xludf.DUMMYFUNCTION("""COMPUTED_VALUE"""),"64")</f>
        <v>64</v>
      </c>
      <c r="C3111" s="6" t="str">
        <f>IFERROR(__xludf.DUMMYFUNCTION("""COMPUTED_VALUE"""),"5896")</f>
        <v>5896</v>
      </c>
      <c r="D3111" s="6" t="str">
        <f>IFERROR(__xludf.DUMMYFUNCTION("""COMPUTED_VALUE"""),"Lillyanna A.")</f>
        <v>Lillyanna A.</v>
      </c>
      <c r="E3111" s="6" t="str">
        <f>IFERROR(__xludf.DUMMYFUNCTION("""COMPUTED_VALUE"""),"")</f>
        <v/>
      </c>
      <c r="F3111" s="6" t="str">
        <f>IFERROR(__xludf.DUMMYFUNCTION("""COMPUTED_VALUE"""),"Gonzalez")</f>
        <v>Gonzalez</v>
      </c>
      <c r="G3111" s="6" t="str">
        <f>IFERROR(__xludf.DUMMYFUNCTION("""COMPUTED_VALUE"""),"02/06/2012")</f>
        <v>02/06/2012</v>
      </c>
      <c r="H3111" s="6" t="str">
        <f>IFERROR(__xludf.DUMMYFUNCTION("""COMPUTED_VALUE"""),"Self Identify")</f>
        <v>Self Identify</v>
      </c>
      <c r="I3111" s="6" t="str">
        <f>IFERROR(__xludf.DUMMYFUNCTION("""COMPUTED_VALUE"""),"Middle School")</f>
        <v>Middle School</v>
      </c>
      <c r="J3111" s="6" t="str">
        <f>IFERROR(__xludf.DUMMYFUNCTION("""COMPUTED_VALUE"""),"8")</f>
        <v>8</v>
      </c>
      <c r="K3111" s="6" t="str">
        <f>IFERROR(__xludf.DUMMYFUNCTION("""COMPUTED_VALUE"""),"lillyanna_gonzalez@stu.ortrail.k12.or.us")</f>
        <v>lillyanna_gonzalez@stu.ortrail.k12.or.us</v>
      </c>
      <c r="L3111" s="6" t="str">
        <f>IFERROR(__xludf.DUMMYFUNCTION("""COMPUTED_VALUE"""),"Oregon Trail School District 46")</f>
        <v>Oregon Trail School District 46</v>
      </c>
      <c r="M3111" s="6" t="str">
        <f>IFERROR(__xludf.DUMMYFUNCTION("""COMPUTED_VALUE"""),"Cedar Ridge Middle School")</f>
        <v>Cedar Ridge Middle School</v>
      </c>
      <c r="N3111" s="6" t="str">
        <f>IFERROR(__xludf.DUMMYFUNCTION("""COMPUTED_VALUE"""),"")</f>
        <v/>
      </c>
      <c r="O3111" s="87" t="str">
        <f>IFERROR(__xludf.DUMMYFUNCTION("""COMPUTED_VALUE"""),"https://drive.google.com/drive/folders/10T2cTQHqEJZqE-st6uFKPoI?usp=share_link")</f>
        <v>https://drive.google.com/drive/folders/10T2cTQHqEJZqE-st6uFKPoI?usp=share_link</v>
      </c>
      <c r="P3111" s="6" t="str">
        <f>IFERROR(__xludf.DUMMYFUNCTION("""COMPUTED_VALUE"""),"Lillyanna A. Gonzalez")</f>
        <v>Lillyanna A. Gonzalez</v>
      </c>
      <c r="Q3111" s="6" t="str">
        <f>IFERROR(__xludf.DUMMYFUNCTION("""COMPUTED_VALUE"""),"MS")</f>
        <v>MS</v>
      </c>
      <c r="R3111" s="6">
        <f>IFERROR(__xludf.DUMMYFUNCTION("""COMPUTED_VALUE"""),0.0)</f>
        <v>0</v>
      </c>
      <c r="S3111" s="6" t="str">
        <f>IFERROR(__xludf.DUMMYFUNCTION("""COMPUTED_VALUE"""),"Maria Ruiz-Perez")</f>
        <v>Maria Ruiz-Perez</v>
      </c>
      <c r="T3111" s="6" t="str">
        <f>IFERROR(__xludf.DUMMYFUNCTION("""COMPUTED_VALUE"""),"maria.perez@ortrail.k12.or.us")</f>
        <v>maria.perez@ortrail.k12.or.us</v>
      </c>
      <c r="U3111" s="6" t="str">
        <f>IFERROR(__xludf.DUMMYFUNCTION("""COMPUTED_VALUE"""),"8")</f>
        <v>8</v>
      </c>
      <c r="V3111" s="6" t="str">
        <f>IFERROR(__xludf.DUMMYFUNCTION("""COMPUTED_VALUE"""),"English")</f>
        <v>English</v>
      </c>
      <c r="W3111" s="6" t="str">
        <f>IFERROR(__xludf.DUMMYFUNCTION("""COMPUTED_VALUE"""),"[]")</f>
        <v>[]</v>
      </c>
      <c r="X3111" s="6" t="str">
        <f>IFERROR(__xludf.DUMMYFUNCTION("""COMPUTED_VALUE"""),"Enrolled")</f>
        <v>Enrolled</v>
      </c>
    </row>
    <row r="3112">
      <c r="A3112" s="6" t="str">
        <f>IFERROR(__xludf.DUMMYFUNCTION("""COMPUTED_VALUE"""),"064-5898")</f>
        <v>064-5898</v>
      </c>
      <c r="B3112" s="6" t="str">
        <f>IFERROR(__xludf.DUMMYFUNCTION("""COMPUTED_VALUE"""),"64")</f>
        <v>64</v>
      </c>
      <c r="C3112" s="6" t="str">
        <f>IFERROR(__xludf.DUMMYFUNCTION("""COMPUTED_VALUE"""),"5898")</f>
        <v>5898</v>
      </c>
      <c r="D3112" s="6" t="str">
        <f>IFERROR(__xludf.DUMMYFUNCTION("""COMPUTED_VALUE"""),"Eduardo R.")</f>
        <v>Eduardo R.</v>
      </c>
      <c r="E3112" s="6" t="str">
        <f>IFERROR(__xludf.DUMMYFUNCTION("""COMPUTED_VALUE"""),"")</f>
        <v/>
      </c>
      <c r="F3112" s="6" t="str">
        <f>IFERROR(__xludf.DUMMYFUNCTION("""COMPUTED_VALUE"""),"Hernandez")</f>
        <v>Hernandez</v>
      </c>
      <c r="G3112" s="6" t="str">
        <f>IFERROR(__xludf.DUMMYFUNCTION("""COMPUTED_VALUE"""),"06/09/2013")</f>
        <v>06/09/2013</v>
      </c>
      <c r="H3112" s="6" t="str">
        <f>IFERROR(__xludf.DUMMYFUNCTION("""COMPUTED_VALUE"""),"Self Identify")</f>
        <v>Self Identify</v>
      </c>
      <c r="I3112" s="6" t="str">
        <f>IFERROR(__xludf.DUMMYFUNCTION("""COMPUTED_VALUE"""),"Middle School")</f>
        <v>Middle School</v>
      </c>
      <c r="J3112" s="6" t="str">
        <f>IFERROR(__xludf.DUMMYFUNCTION("""COMPUTED_VALUE"""),"7")</f>
        <v>7</v>
      </c>
      <c r="K3112" s="6" t="str">
        <f>IFERROR(__xludf.DUMMYFUNCTION("""COMPUTED_VALUE"""),"eddie_hernandez@stu.ortrail.k12.or.us")</f>
        <v>eddie_hernandez@stu.ortrail.k12.or.us</v>
      </c>
      <c r="L3112" s="6" t="str">
        <f>IFERROR(__xludf.DUMMYFUNCTION("""COMPUTED_VALUE"""),"Oregon Trail School District 46")</f>
        <v>Oregon Trail School District 46</v>
      </c>
      <c r="M3112" s="6" t="str">
        <f>IFERROR(__xludf.DUMMYFUNCTION("""COMPUTED_VALUE"""),"Cedar Ridge Middle School")</f>
        <v>Cedar Ridge Middle School</v>
      </c>
      <c r="N3112" s="6" t="str">
        <f>IFERROR(__xludf.DUMMYFUNCTION("""COMPUTED_VALUE"""),"")</f>
        <v/>
      </c>
      <c r="O3112" s="87" t="str">
        <f>IFERROR(__xludf.DUMMYFUNCTION("""COMPUTED_VALUE"""),"https://drive.google.com/drive/folders/10T2cTQHqEJZqE-st6uFKPoI?usp=share_link")</f>
        <v>https://drive.google.com/drive/folders/10T2cTQHqEJZqE-st6uFKPoI?usp=share_link</v>
      </c>
      <c r="P3112" s="6" t="str">
        <f>IFERROR(__xludf.DUMMYFUNCTION("""COMPUTED_VALUE"""),"Eduardo R. Hernandez")</f>
        <v>Eduardo R. Hernandez</v>
      </c>
      <c r="Q3112" s="6" t="str">
        <f>IFERROR(__xludf.DUMMYFUNCTION("""COMPUTED_VALUE"""),"MS")</f>
        <v>MS</v>
      </c>
      <c r="R3112" s="6">
        <f>IFERROR(__xludf.DUMMYFUNCTION("""COMPUTED_VALUE"""),0.0)</f>
        <v>0</v>
      </c>
      <c r="S3112" s="6" t="str">
        <f>IFERROR(__xludf.DUMMYFUNCTION("""COMPUTED_VALUE"""),"Maria Ruiz-Perez")</f>
        <v>Maria Ruiz-Perez</v>
      </c>
      <c r="T3112" s="6" t="str">
        <f>IFERROR(__xludf.DUMMYFUNCTION("""COMPUTED_VALUE"""),"maria.perez@ortrail.k12.or.us")</f>
        <v>maria.perez@ortrail.k12.or.us</v>
      </c>
      <c r="U3112" s="6" t="str">
        <f>IFERROR(__xludf.DUMMYFUNCTION("""COMPUTED_VALUE"""),"7")</f>
        <v>7</v>
      </c>
      <c r="V3112" s="6" t="str">
        <f>IFERROR(__xludf.DUMMYFUNCTION("""COMPUTED_VALUE"""),"English")</f>
        <v>English</v>
      </c>
      <c r="W3112" s="6" t="str">
        <f>IFERROR(__xludf.DUMMYFUNCTION("""COMPUTED_VALUE"""),"[]")</f>
        <v>[]</v>
      </c>
      <c r="X3112" s="6" t="str">
        <f>IFERROR(__xludf.DUMMYFUNCTION("""COMPUTED_VALUE"""),"Enrolled")</f>
        <v>Enrolled</v>
      </c>
    </row>
    <row r="3113">
      <c r="A3113" s="6" t="str">
        <f>IFERROR(__xludf.DUMMYFUNCTION("""COMPUTED_VALUE"""),"064-5899")</f>
        <v>064-5899</v>
      </c>
      <c r="B3113" s="6" t="str">
        <f>IFERROR(__xludf.DUMMYFUNCTION("""COMPUTED_VALUE"""),"64")</f>
        <v>64</v>
      </c>
      <c r="C3113" s="6" t="str">
        <f>IFERROR(__xludf.DUMMYFUNCTION("""COMPUTED_VALUE"""),"5899")</f>
        <v>5899</v>
      </c>
      <c r="D3113" s="6" t="str">
        <f>IFERROR(__xludf.DUMMYFUNCTION("""COMPUTED_VALUE"""),"Anahi")</f>
        <v>Anahi</v>
      </c>
      <c r="E3113" s="6" t="str">
        <f>IFERROR(__xludf.DUMMYFUNCTION("""COMPUTED_VALUE"""),"")</f>
        <v/>
      </c>
      <c r="F3113" s="6" t="str">
        <f>IFERROR(__xludf.DUMMYFUNCTION("""COMPUTED_VALUE"""),"Lopez")</f>
        <v>Lopez</v>
      </c>
      <c r="G3113" s="6" t="str">
        <f>IFERROR(__xludf.DUMMYFUNCTION("""COMPUTED_VALUE"""),"06/16/2014")</f>
        <v>06/16/2014</v>
      </c>
      <c r="H3113" s="6" t="str">
        <f>IFERROR(__xludf.DUMMYFUNCTION("""COMPUTED_VALUE"""),"Self Identify")</f>
        <v>Self Identify</v>
      </c>
      <c r="I3113" s="6" t="str">
        <f>IFERROR(__xludf.DUMMYFUNCTION("""COMPUTED_VALUE"""),"Middle School")</f>
        <v>Middle School</v>
      </c>
      <c r="J3113" s="6" t="str">
        <f>IFERROR(__xludf.DUMMYFUNCTION("""COMPUTED_VALUE"""),"6")</f>
        <v>6</v>
      </c>
      <c r="K3113" s="6" t="str">
        <f>IFERROR(__xludf.DUMMYFUNCTION("""COMPUTED_VALUE"""),"anahi_lopez@stu.ortrail.k12.or.us")</f>
        <v>anahi_lopez@stu.ortrail.k12.or.us</v>
      </c>
      <c r="L3113" s="6" t="str">
        <f>IFERROR(__xludf.DUMMYFUNCTION("""COMPUTED_VALUE"""),"Oregon Trail School District 46")</f>
        <v>Oregon Trail School District 46</v>
      </c>
      <c r="M3113" s="6" t="str">
        <f>IFERROR(__xludf.DUMMYFUNCTION("""COMPUTED_VALUE"""),"Cedar Ridge Middle School")</f>
        <v>Cedar Ridge Middle School</v>
      </c>
      <c r="N3113" s="6" t="str">
        <f>IFERROR(__xludf.DUMMYFUNCTION("""COMPUTED_VALUE"""),"")</f>
        <v/>
      </c>
      <c r="O3113" s="87" t="str">
        <f>IFERROR(__xludf.DUMMYFUNCTION("""COMPUTED_VALUE"""),"https://drive.google.com/drive/folders/10T2cTQHqEJZqE-st6uFKPoI?usp=share_link")</f>
        <v>https://drive.google.com/drive/folders/10T2cTQHqEJZqE-st6uFKPoI?usp=share_link</v>
      </c>
      <c r="P3113" s="6" t="str">
        <f>IFERROR(__xludf.DUMMYFUNCTION("""COMPUTED_VALUE"""),"Anahi Lopez")</f>
        <v>Anahi Lopez</v>
      </c>
      <c r="Q3113" s="6" t="str">
        <f>IFERROR(__xludf.DUMMYFUNCTION("""COMPUTED_VALUE"""),"MS")</f>
        <v>MS</v>
      </c>
      <c r="R3113" s="6">
        <f>IFERROR(__xludf.DUMMYFUNCTION("""COMPUTED_VALUE"""),0.0)</f>
        <v>0</v>
      </c>
      <c r="S3113" s="6" t="str">
        <f>IFERROR(__xludf.DUMMYFUNCTION("""COMPUTED_VALUE"""),"Maria Ruiz-Perez")</f>
        <v>Maria Ruiz-Perez</v>
      </c>
      <c r="T3113" s="6" t="str">
        <f>IFERROR(__xludf.DUMMYFUNCTION("""COMPUTED_VALUE"""),"maria.perez@ortrail.k12.or.us")</f>
        <v>maria.perez@ortrail.k12.or.us</v>
      </c>
      <c r="U3113" s="6" t="str">
        <f>IFERROR(__xludf.DUMMYFUNCTION("""COMPUTED_VALUE"""),"6")</f>
        <v>6</v>
      </c>
      <c r="V3113" s="6" t="str">
        <f>IFERROR(__xludf.DUMMYFUNCTION("""COMPUTED_VALUE"""),"English")</f>
        <v>English</v>
      </c>
      <c r="W3113" s="6" t="str">
        <f>IFERROR(__xludf.DUMMYFUNCTION("""COMPUTED_VALUE"""),"[]")</f>
        <v>[]</v>
      </c>
      <c r="X3113" s="6" t="str">
        <f>IFERROR(__xludf.DUMMYFUNCTION("""COMPUTED_VALUE"""),"Enrolled")</f>
        <v>Enrolled</v>
      </c>
    </row>
    <row r="3114">
      <c r="A3114" s="6" t="str">
        <f>IFERROR(__xludf.DUMMYFUNCTION("""COMPUTED_VALUE"""),"064-5901")</f>
        <v>064-5901</v>
      </c>
      <c r="B3114" s="6" t="str">
        <f>IFERROR(__xludf.DUMMYFUNCTION("""COMPUTED_VALUE"""),"64")</f>
        <v>64</v>
      </c>
      <c r="C3114" s="6" t="str">
        <f>IFERROR(__xludf.DUMMYFUNCTION("""COMPUTED_VALUE"""),"5901")</f>
        <v>5901</v>
      </c>
      <c r="D3114" s="6" t="str">
        <f>IFERROR(__xludf.DUMMYFUNCTION("""COMPUTED_VALUE"""),"Nestor H.")</f>
        <v>Nestor H.</v>
      </c>
      <c r="E3114" s="6" t="str">
        <f>IFERROR(__xludf.DUMMYFUNCTION("""COMPUTED_VALUE"""),"")</f>
        <v/>
      </c>
      <c r="F3114" s="6" t="str">
        <f>IFERROR(__xludf.DUMMYFUNCTION("""COMPUTED_VALUE"""),"Martinez Valente")</f>
        <v>Martinez Valente</v>
      </c>
      <c r="G3114" s="6" t="str">
        <f>IFERROR(__xludf.DUMMYFUNCTION("""COMPUTED_VALUE"""),"02/08/2014")</f>
        <v>02/08/2014</v>
      </c>
      <c r="H3114" s="6" t="str">
        <f>IFERROR(__xludf.DUMMYFUNCTION("""COMPUTED_VALUE"""),"Self Identify")</f>
        <v>Self Identify</v>
      </c>
      <c r="I3114" s="6" t="str">
        <f>IFERROR(__xludf.DUMMYFUNCTION("""COMPUTED_VALUE"""),"Middle School")</f>
        <v>Middle School</v>
      </c>
      <c r="J3114" s="6" t="str">
        <f>IFERROR(__xludf.DUMMYFUNCTION("""COMPUTED_VALUE"""),"6")</f>
        <v>6</v>
      </c>
      <c r="K3114" s="6" t="str">
        <f>IFERROR(__xludf.DUMMYFUNCTION("""COMPUTED_VALUE"""),"henry_martinezvalent@stu.ortrail.k12.or.us")</f>
        <v>henry_martinezvalent@stu.ortrail.k12.or.us</v>
      </c>
      <c r="L3114" s="6" t="str">
        <f>IFERROR(__xludf.DUMMYFUNCTION("""COMPUTED_VALUE"""),"Oregon Trail School District 46")</f>
        <v>Oregon Trail School District 46</v>
      </c>
      <c r="M3114" s="6" t="str">
        <f>IFERROR(__xludf.DUMMYFUNCTION("""COMPUTED_VALUE"""),"Cedar Ridge Middle School")</f>
        <v>Cedar Ridge Middle School</v>
      </c>
      <c r="N3114" s="6" t="str">
        <f>IFERROR(__xludf.DUMMYFUNCTION("""COMPUTED_VALUE"""),"")</f>
        <v/>
      </c>
      <c r="O3114" s="87" t="str">
        <f>IFERROR(__xludf.DUMMYFUNCTION("""COMPUTED_VALUE"""),"https://drive.google.com/drive/folders/10T2cTQHqEJZqE-st6uFKPoI?usp=share_link")</f>
        <v>https://drive.google.com/drive/folders/10T2cTQHqEJZqE-st6uFKPoI?usp=share_link</v>
      </c>
      <c r="P3114" s="6" t="str">
        <f>IFERROR(__xludf.DUMMYFUNCTION("""COMPUTED_VALUE"""),"Nestor H. Martinez Valente")</f>
        <v>Nestor H. Martinez Valente</v>
      </c>
      <c r="Q3114" s="6" t="str">
        <f>IFERROR(__xludf.DUMMYFUNCTION("""COMPUTED_VALUE"""),"MS")</f>
        <v>MS</v>
      </c>
      <c r="R3114" s="6">
        <f>IFERROR(__xludf.DUMMYFUNCTION("""COMPUTED_VALUE"""),0.0)</f>
        <v>0</v>
      </c>
      <c r="S3114" s="6" t="str">
        <f>IFERROR(__xludf.DUMMYFUNCTION("""COMPUTED_VALUE"""),"Maria Ruiz-Perez")</f>
        <v>Maria Ruiz-Perez</v>
      </c>
      <c r="T3114" s="6" t="str">
        <f>IFERROR(__xludf.DUMMYFUNCTION("""COMPUTED_VALUE"""),"maria.perez@ortrail.k12.or.us")</f>
        <v>maria.perez@ortrail.k12.or.us</v>
      </c>
      <c r="U3114" s="6" t="str">
        <f>IFERROR(__xludf.DUMMYFUNCTION("""COMPUTED_VALUE"""),"6")</f>
        <v>6</v>
      </c>
      <c r="V3114" s="6" t="str">
        <f>IFERROR(__xludf.DUMMYFUNCTION("""COMPUTED_VALUE"""),"English")</f>
        <v>English</v>
      </c>
      <c r="W3114" s="6" t="str">
        <f>IFERROR(__xludf.DUMMYFUNCTION("""COMPUTED_VALUE"""),"[]")</f>
        <v>[]</v>
      </c>
      <c r="X3114" s="6" t="str">
        <f>IFERROR(__xludf.DUMMYFUNCTION("""COMPUTED_VALUE"""),"Enrolled")</f>
        <v>Enrolled</v>
      </c>
    </row>
    <row r="3115">
      <c r="A3115" s="6" t="str">
        <f>IFERROR(__xludf.DUMMYFUNCTION("""COMPUTED_VALUE"""),"064-5902")</f>
        <v>064-5902</v>
      </c>
      <c r="B3115" s="6" t="str">
        <f>IFERROR(__xludf.DUMMYFUNCTION("""COMPUTED_VALUE"""),"64")</f>
        <v>64</v>
      </c>
      <c r="C3115" s="6" t="str">
        <f>IFERROR(__xludf.DUMMYFUNCTION("""COMPUTED_VALUE"""),"5902")</f>
        <v>5902</v>
      </c>
      <c r="D3115" s="6" t="str">
        <f>IFERROR(__xludf.DUMMYFUNCTION("""COMPUTED_VALUE"""),"Micaela S.")</f>
        <v>Micaela S.</v>
      </c>
      <c r="E3115" s="6" t="str">
        <f>IFERROR(__xludf.DUMMYFUNCTION("""COMPUTED_VALUE"""),"")</f>
        <v/>
      </c>
      <c r="F3115" s="6" t="str">
        <f>IFERROR(__xludf.DUMMYFUNCTION("""COMPUTED_VALUE"""),"Miguel Pedro")</f>
        <v>Miguel Pedro</v>
      </c>
      <c r="G3115" s="6" t="str">
        <f>IFERROR(__xludf.DUMMYFUNCTION("""COMPUTED_VALUE"""),"05/12/2012")</f>
        <v>05/12/2012</v>
      </c>
      <c r="H3115" s="6" t="str">
        <f>IFERROR(__xludf.DUMMYFUNCTION("""COMPUTED_VALUE"""),"Self Identify")</f>
        <v>Self Identify</v>
      </c>
      <c r="I3115" s="6" t="str">
        <f>IFERROR(__xludf.DUMMYFUNCTION("""COMPUTED_VALUE"""),"Middle School")</f>
        <v>Middle School</v>
      </c>
      <c r="J3115" s="6" t="str">
        <f>IFERROR(__xludf.DUMMYFUNCTION("""COMPUTED_VALUE"""),"8")</f>
        <v>8</v>
      </c>
      <c r="K3115" s="6" t="str">
        <f>IFERROR(__xludf.DUMMYFUNCTION("""COMPUTED_VALUE"""),"micaela_miguelpedro@stu.ortrail.k12.or.us")</f>
        <v>micaela_miguelpedro@stu.ortrail.k12.or.us</v>
      </c>
      <c r="L3115" s="6" t="str">
        <f>IFERROR(__xludf.DUMMYFUNCTION("""COMPUTED_VALUE"""),"Oregon Trail School District 46")</f>
        <v>Oregon Trail School District 46</v>
      </c>
      <c r="M3115" s="6" t="str">
        <f>IFERROR(__xludf.DUMMYFUNCTION("""COMPUTED_VALUE"""),"Cedar Ridge Middle School")</f>
        <v>Cedar Ridge Middle School</v>
      </c>
      <c r="N3115" s="6" t="str">
        <f>IFERROR(__xludf.DUMMYFUNCTION("""COMPUTED_VALUE"""),"")</f>
        <v/>
      </c>
      <c r="O3115" s="87" t="str">
        <f>IFERROR(__xludf.DUMMYFUNCTION("""COMPUTED_VALUE"""),"https://drive.google.com/drive/folders/10T2cTQHqEJZqE-st6uFKPoI?usp=share_link")</f>
        <v>https://drive.google.com/drive/folders/10T2cTQHqEJZqE-st6uFKPoI?usp=share_link</v>
      </c>
      <c r="P3115" s="6" t="str">
        <f>IFERROR(__xludf.DUMMYFUNCTION("""COMPUTED_VALUE"""),"Micaela S. Miguel Pedro")</f>
        <v>Micaela S. Miguel Pedro</v>
      </c>
      <c r="Q3115" s="6" t="str">
        <f>IFERROR(__xludf.DUMMYFUNCTION("""COMPUTED_VALUE"""),"MS")</f>
        <v>MS</v>
      </c>
      <c r="R3115" s="6">
        <f>IFERROR(__xludf.DUMMYFUNCTION("""COMPUTED_VALUE"""),0.0)</f>
        <v>0</v>
      </c>
      <c r="S3115" s="6" t="str">
        <f>IFERROR(__xludf.DUMMYFUNCTION("""COMPUTED_VALUE"""),"Maria Ruiz-Perez")</f>
        <v>Maria Ruiz-Perez</v>
      </c>
      <c r="T3115" s="6" t="str">
        <f>IFERROR(__xludf.DUMMYFUNCTION("""COMPUTED_VALUE"""),"maria.perez@ortrail.k12.or.us")</f>
        <v>maria.perez@ortrail.k12.or.us</v>
      </c>
      <c r="U3115" s="6" t="str">
        <f>IFERROR(__xludf.DUMMYFUNCTION("""COMPUTED_VALUE"""),"8")</f>
        <v>8</v>
      </c>
      <c r="V3115" s="6" t="str">
        <f>IFERROR(__xludf.DUMMYFUNCTION("""COMPUTED_VALUE"""),"English")</f>
        <v>English</v>
      </c>
      <c r="W3115" s="6" t="str">
        <f>IFERROR(__xludf.DUMMYFUNCTION("""COMPUTED_VALUE"""),"[]")</f>
        <v>[]</v>
      </c>
      <c r="X3115" s="6" t="str">
        <f>IFERROR(__xludf.DUMMYFUNCTION("""COMPUTED_VALUE"""),"Enrolled")</f>
        <v>Enrolled</v>
      </c>
    </row>
    <row r="3116">
      <c r="A3116" s="6" t="str">
        <f>IFERROR(__xludf.DUMMYFUNCTION("""COMPUTED_VALUE"""),"064-5903")</f>
        <v>064-5903</v>
      </c>
      <c r="B3116" s="6" t="str">
        <f>IFERROR(__xludf.DUMMYFUNCTION("""COMPUTED_VALUE"""),"64")</f>
        <v>64</v>
      </c>
      <c r="C3116" s="6" t="str">
        <f>IFERROR(__xludf.DUMMYFUNCTION("""COMPUTED_VALUE"""),"5903")</f>
        <v>5903</v>
      </c>
      <c r="D3116" s="6" t="str">
        <f>IFERROR(__xludf.DUMMYFUNCTION("""COMPUTED_VALUE"""),"Yohan O.")</f>
        <v>Yohan O.</v>
      </c>
      <c r="E3116" s="6" t="str">
        <f>IFERROR(__xludf.DUMMYFUNCTION("""COMPUTED_VALUE"""),"")</f>
        <v/>
      </c>
      <c r="F3116" s="6" t="str">
        <f>IFERROR(__xludf.DUMMYFUNCTION("""COMPUTED_VALUE"""),"Paz Venancio")</f>
        <v>Paz Venancio</v>
      </c>
      <c r="G3116" s="6" t="str">
        <f>IFERROR(__xludf.DUMMYFUNCTION("""COMPUTED_VALUE"""),"02/03/2012")</f>
        <v>02/03/2012</v>
      </c>
      <c r="H3116" s="6" t="str">
        <f>IFERROR(__xludf.DUMMYFUNCTION("""COMPUTED_VALUE"""),"Self Identify")</f>
        <v>Self Identify</v>
      </c>
      <c r="I3116" s="6" t="str">
        <f>IFERROR(__xludf.DUMMYFUNCTION("""COMPUTED_VALUE"""),"Middle School")</f>
        <v>Middle School</v>
      </c>
      <c r="J3116" s="6" t="str">
        <f>IFERROR(__xludf.DUMMYFUNCTION("""COMPUTED_VALUE"""),"8")</f>
        <v>8</v>
      </c>
      <c r="K3116" s="6" t="str">
        <f>IFERROR(__xludf.DUMMYFUNCTION("""COMPUTED_VALUE"""),"yohan_pazvenancio@stu.ortrail.k12.or.us")</f>
        <v>yohan_pazvenancio@stu.ortrail.k12.or.us</v>
      </c>
      <c r="L3116" s="6" t="str">
        <f>IFERROR(__xludf.DUMMYFUNCTION("""COMPUTED_VALUE"""),"Oregon Trail School District 46")</f>
        <v>Oregon Trail School District 46</v>
      </c>
      <c r="M3116" s="6" t="str">
        <f>IFERROR(__xludf.DUMMYFUNCTION("""COMPUTED_VALUE"""),"Cedar Ridge Middle School")</f>
        <v>Cedar Ridge Middle School</v>
      </c>
      <c r="N3116" s="6" t="str">
        <f>IFERROR(__xludf.DUMMYFUNCTION("""COMPUTED_VALUE"""),"")</f>
        <v/>
      </c>
      <c r="O3116" s="87" t="str">
        <f>IFERROR(__xludf.DUMMYFUNCTION("""COMPUTED_VALUE"""),"https://drive.google.com/drive/folders/10T2cTQHqEJZqE-st6uFKPoI?usp=share_link")</f>
        <v>https://drive.google.com/drive/folders/10T2cTQHqEJZqE-st6uFKPoI?usp=share_link</v>
      </c>
      <c r="P3116" s="6" t="str">
        <f>IFERROR(__xludf.DUMMYFUNCTION("""COMPUTED_VALUE"""),"Yohan O. Paz Venancio")</f>
        <v>Yohan O. Paz Venancio</v>
      </c>
      <c r="Q3116" s="6" t="str">
        <f>IFERROR(__xludf.DUMMYFUNCTION("""COMPUTED_VALUE"""),"MS")</f>
        <v>MS</v>
      </c>
      <c r="R3116" s="6">
        <f>IFERROR(__xludf.DUMMYFUNCTION("""COMPUTED_VALUE"""),0.0)</f>
        <v>0</v>
      </c>
      <c r="S3116" s="6" t="str">
        <f>IFERROR(__xludf.DUMMYFUNCTION("""COMPUTED_VALUE"""),"Maria Ruiz-Perez")</f>
        <v>Maria Ruiz-Perez</v>
      </c>
      <c r="T3116" s="6" t="str">
        <f>IFERROR(__xludf.DUMMYFUNCTION("""COMPUTED_VALUE"""),"maria.perez@ortrail.k12.or.us")</f>
        <v>maria.perez@ortrail.k12.or.us</v>
      </c>
      <c r="U3116" s="6" t="str">
        <f>IFERROR(__xludf.DUMMYFUNCTION("""COMPUTED_VALUE"""),"8")</f>
        <v>8</v>
      </c>
      <c r="V3116" s="6" t="str">
        <f>IFERROR(__xludf.DUMMYFUNCTION("""COMPUTED_VALUE"""),"English")</f>
        <v>English</v>
      </c>
      <c r="W3116" s="6" t="str">
        <f>IFERROR(__xludf.DUMMYFUNCTION("""COMPUTED_VALUE"""),"[]")</f>
        <v>[]</v>
      </c>
      <c r="X3116" s="6" t="str">
        <f>IFERROR(__xludf.DUMMYFUNCTION("""COMPUTED_VALUE"""),"Enrolled")</f>
        <v>Enrolled</v>
      </c>
    </row>
    <row r="3117">
      <c r="A3117" s="6" t="str">
        <f>IFERROR(__xludf.DUMMYFUNCTION("""COMPUTED_VALUE"""),"064-5904")</f>
        <v>064-5904</v>
      </c>
      <c r="B3117" s="6" t="str">
        <f>IFERROR(__xludf.DUMMYFUNCTION("""COMPUTED_VALUE"""),"64")</f>
        <v>64</v>
      </c>
      <c r="C3117" s="6" t="str">
        <f>IFERROR(__xludf.DUMMYFUNCTION("""COMPUTED_VALUE"""),"5904")</f>
        <v>5904</v>
      </c>
      <c r="D3117" s="6" t="str">
        <f>IFERROR(__xludf.DUMMYFUNCTION("""COMPUTED_VALUE"""),"Pascual")</f>
        <v>Pascual</v>
      </c>
      <c r="E3117" s="6" t="str">
        <f>IFERROR(__xludf.DUMMYFUNCTION("""COMPUTED_VALUE"""),"")</f>
        <v/>
      </c>
      <c r="F3117" s="6" t="str">
        <f>IFERROR(__xludf.DUMMYFUNCTION("""COMPUTED_VALUE"""),"Pedro Juan")</f>
        <v>Pedro Juan</v>
      </c>
      <c r="G3117" s="6" t="str">
        <f>IFERROR(__xludf.DUMMYFUNCTION("""COMPUTED_VALUE"""),"07/09/2012")</f>
        <v>07/09/2012</v>
      </c>
      <c r="H3117" s="6" t="str">
        <f>IFERROR(__xludf.DUMMYFUNCTION("""COMPUTED_VALUE"""),"Self Identify")</f>
        <v>Self Identify</v>
      </c>
      <c r="I3117" s="6" t="str">
        <f>IFERROR(__xludf.DUMMYFUNCTION("""COMPUTED_VALUE"""),"Middle School")</f>
        <v>Middle School</v>
      </c>
      <c r="J3117" s="6" t="str">
        <f>IFERROR(__xludf.DUMMYFUNCTION("""COMPUTED_VALUE"""),"8")</f>
        <v>8</v>
      </c>
      <c r="K3117" s="6" t="str">
        <f>IFERROR(__xludf.DUMMYFUNCTION("""COMPUTED_VALUE"""),"pascual_pedrojuan@stu.ortrail.k12.or.us")</f>
        <v>pascual_pedrojuan@stu.ortrail.k12.or.us</v>
      </c>
      <c r="L3117" s="6" t="str">
        <f>IFERROR(__xludf.DUMMYFUNCTION("""COMPUTED_VALUE"""),"Oregon Trail School District 46")</f>
        <v>Oregon Trail School District 46</v>
      </c>
      <c r="M3117" s="6" t="str">
        <f>IFERROR(__xludf.DUMMYFUNCTION("""COMPUTED_VALUE"""),"Cedar Ridge Middle School")</f>
        <v>Cedar Ridge Middle School</v>
      </c>
      <c r="N3117" s="6" t="str">
        <f>IFERROR(__xludf.DUMMYFUNCTION("""COMPUTED_VALUE"""),"")</f>
        <v/>
      </c>
      <c r="O3117" s="87" t="str">
        <f>IFERROR(__xludf.DUMMYFUNCTION("""COMPUTED_VALUE"""),"https://drive.google.com/drive/folders/10T2cTQHqEJZqE-st6uFKPoI?usp=share_link")</f>
        <v>https://drive.google.com/drive/folders/10T2cTQHqEJZqE-st6uFKPoI?usp=share_link</v>
      </c>
      <c r="P3117" s="6" t="str">
        <f>IFERROR(__xludf.DUMMYFUNCTION("""COMPUTED_VALUE"""),"Pascual Pedro Juan")</f>
        <v>Pascual Pedro Juan</v>
      </c>
      <c r="Q3117" s="6" t="str">
        <f>IFERROR(__xludf.DUMMYFUNCTION("""COMPUTED_VALUE"""),"MS")</f>
        <v>MS</v>
      </c>
      <c r="R3117" s="6">
        <f>IFERROR(__xludf.DUMMYFUNCTION("""COMPUTED_VALUE"""),0.0)</f>
        <v>0</v>
      </c>
      <c r="S3117" s="6" t="str">
        <f>IFERROR(__xludf.DUMMYFUNCTION("""COMPUTED_VALUE"""),"Maria Ruiz-Perez")</f>
        <v>Maria Ruiz-Perez</v>
      </c>
      <c r="T3117" s="6" t="str">
        <f>IFERROR(__xludf.DUMMYFUNCTION("""COMPUTED_VALUE"""),"maria.perez@ortrail.k12.or.us")</f>
        <v>maria.perez@ortrail.k12.or.us</v>
      </c>
      <c r="U3117" s="6" t="str">
        <f>IFERROR(__xludf.DUMMYFUNCTION("""COMPUTED_VALUE"""),"8")</f>
        <v>8</v>
      </c>
      <c r="V3117" s="6" t="str">
        <f>IFERROR(__xludf.DUMMYFUNCTION("""COMPUTED_VALUE"""),"English")</f>
        <v>English</v>
      </c>
      <c r="W3117" s="6" t="str">
        <f>IFERROR(__xludf.DUMMYFUNCTION("""COMPUTED_VALUE"""),"[]")</f>
        <v>[]</v>
      </c>
      <c r="X3117" s="6" t="str">
        <f>IFERROR(__xludf.DUMMYFUNCTION("""COMPUTED_VALUE"""),"Enrolled")</f>
        <v>Enrolled</v>
      </c>
    </row>
    <row r="3118">
      <c r="A3118" s="6" t="str">
        <f>IFERROR(__xludf.DUMMYFUNCTION("""COMPUTED_VALUE"""),"064-5905")</f>
        <v>064-5905</v>
      </c>
      <c r="B3118" s="6" t="str">
        <f>IFERROR(__xludf.DUMMYFUNCTION("""COMPUTED_VALUE"""),"64")</f>
        <v>64</v>
      </c>
      <c r="C3118" s="6" t="str">
        <f>IFERROR(__xludf.DUMMYFUNCTION("""COMPUTED_VALUE"""),"5905")</f>
        <v>5905</v>
      </c>
      <c r="D3118" s="6" t="str">
        <f>IFERROR(__xludf.DUMMYFUNCTION("""COMPUTED_VALUE"""),"Kevin")</f>
        <v>Kevin</v>
      </c>
      <c r="E3118" s="6" t="str">
        <f>IFERROR(__xludf.DUMMYFUNCTION("""COMPUTED_VALUE"""),"")</f>
        <v/>
      </c>
      <c r="F3118" s="6" t="str">
        <f>IFERROR(__xludf.DUMMYFUNCTION("""COMPUTED_VALUE"""),"Rosales De Jesus")</f>
        <v>Rosales De Jesus</v>
      </c>
      <c r="G3118" s="6" t="str">
        <f>IFERROR(__xludf.DUMMYFUNCTION("""COMPUTED_VALUE"""),"08/23/2013")</f>
        <v>08/23/2013</v>
      </c>
      <c r="H3118" s="6" t="str">
        <f>IFERROR(__xludf.DUMMYFUNCTION("""COMPUTED_VALUE"""),"Self Identify")</f>
        <v>Self Identify</v>
      </c>
      <c r="I3118" s="6" t="str">
        <f>IFERROR(__xludf.DUMMYFUNCTION("""COMPUTED_VALUE"""),"Middle School")</f>
        <v>Middle School</v>
      </c>
      <c r="J3118" s="6" t="str">
        <f>IFERROR(__xludf.DUMMYFUNCTION("""COMPUTED_VALUE"""),"7")</f>
        <v>7</v>
      </c>
      <c r="K3118" s="6" t="str">
        <f>IFERROR(__xludf.DUMMYFUNCTION("""COMPUTED_VALUE"""),"kevin_rosalesdejesus@stu.ortrail.k12.or.us")</f>
        <v>kevin_rosalesdejesus@stu.ortrail.k12.or.us</v>
      </c>
      <c r="L3118" s="6" t="str">
        <f>IFERROR(__xludf.DUMMYFUNCTION("""COMPUTED_VALUE"""),"Oregon Trail School District 46")</f>
        <v>Oregon Trail School District 46</v>
      </c>
      <c r="M3118" s="6" t="str">
        <f>IFERROR(__xludf.DUMMYFUNCTION("""COMPUTED_VALUE"""),"Cedar Ridge Middle School")</f>
        <v>Cedar Ridge Middle School</v>
      </c>
      <c r="N3118" s="6" t="str">
        <f>IFERROR(__xludf.DUMMYFUNCTION("""COMPUTED_VALUE"""),"")</f>
        <v/>
      </c>
      <c r="O3118" s="87" t="str">
        <f>IFERROR(__xludf.DUMMYFUNCTION("""COMPUTED_VALUE"""),"https://drive.google.com/drive/folders/10T2cTQHqEJZqE-st6uFKPoI?usp=share_link")</f>
        <v>https://drive.google.com/drive/folders/10T2cTQHqEJZqE-st6uFKPoI?usp=share_link</v>
      </c>
      <c r="P3118" s="6" t="str">
        <f>IFERROR(__xludf.DUMMYFUNCTION("""COMPUTED_VALUE"""),"Kevin Rosales De Jesus")</f>
        <v>Kevin Rosales De Jesus</v>
      </c>
      <c r="Q3118" s="6" t="str">
        <f>IFERROR(__xludf.DUMMYFUNCTION("""COMPUTED_VALUE"""),"MS")</f>
        <v>MS</v>
      </c>
      <c r="R3118" s="6">
        <f>IFERROR(__xludf.DUMMYFUNCTION("""COMPUTED_VALUE"""),0.0)</f>
        <v>0</v>
      </c>
      <c r="S3118" s="6" t="str">
        <f>IFERROR(__xludf.DUMMYFUNCTION("""COMPUTED_VALUE"""),"Maria Ruiz-Perez")</f>
        <v>Maria Ruiz-Perez</v>
      </c>
      <c r="T3118" s="6" t="str">
        <f>IFERROR(__xludf.DUMMYFUNCTION("""COMPUTED_VALUE"""),"maria.perez@ortrail.k12.or.us")</f>
        <v>maria.perez@ortrail.k12.or.us</v>
      </c>
      <c r="U3118" s="6" t="str">
        <f>IFERROR(__xludf.DUMMYFUNCTION("""COMPUTED_VALUE"""),"7")</f>
        <v>7</v>
      </c>
      <c r="V3118" s="6" t="str">
        <f>IFERROR(__xludf.DUMMYFUNCTION("""COMPUTED_VALUE"""),"English")</f>
        <v>English</v>
      </c>
      <c r="W3118" s="6" t="str">
        <f>IFERROR(__xludf.DUMMYFUNCTION("""COMPUTED_VALUE"""),"[]")</f>
        <v>[]</v>
      </c>
      <c r="X3118" s="6" t="str">
        <f>IFERROR(__xludf.DUMMYFUNCTION("""COMPUTED_VALUE"""),"Enrolled")</f>
        <v>Enrolled</v>
      </c>
    </row>
    <row r="3119">
      <c r="A3119" s="6" t="str">
        <f>IFERROR(__xludf.DUMMYFUNCTION("""COMPUTED_VALUE"""),"064-5906")</f>
        <v>064-5906</v>
      </c>
      <c r="B3119" s="6" t="str">
        <f>IFERROR(__xludf.DUMMYFUNCTION("""COMPUTED_VALUE"""),"64")</f>
        <v>64</v>
      </c>
      <c r="C3119" s="6" t="str">
        <f>IFERROR(__xludf.DUMMYFUNCTION("""COMPUTED_VALUE"""),"5906")</f>
        <v>5906</v>
      </c>
      <c r="D3119" s="6" t="str">
        <f>IFERROR(__xludf.DUMMYFUNCTION("""COMPUTED_VALUE"""),"Brandon")</f>
        <v>Brandon</v>
      </c>
      <c r="E3119" s="6" t="str">
        <f>IFERROR(__xludf.DUMMYFUNCTION("""COMPUTED_VALUE"""),"")</f>
        <v/>
      </c>
      <c r="F3119" s="6" t="str">
        <f>IFERROR(__xludf.DUMMYFUNCTION("""COMPUTED_VALUE"""),"Santos Galindo")</f>
        <v>Santos Galindo</v>
      </c>
      <c r="G3119" s="6" t="str">
        <f>IFERROR(__xludf.DUMMYFUNCTION("""COMPUTED_VALUE"""),"10/20/2013")</f>
        <v>10/20/2013</v>
      </c>
      <c r="H3119" s="6" t="str">
        <f>IFERROR(__xludf.DUMMYFUNCTION("""COMPUTED_VALUE"""),"Self Identify")</f>
        <v>Self Identify</v>
      </c>
      <c r="I3119" s="6" t="str">
        <f>IFERROR(__xludf.DUMMYFUNCTION("""COMPUTED_VALUE"""),"Middle School")</f>
        <v>Middle School</v>
      </c>
      <c r="J3119" s="6" t="str">
        <f>IFERROR(__xludf.DUMMYFUNCTION("""COMPUTED_VALUE"""),"6")</f>
        <v>6</v>
      </c>
      <c r="K3119" s="6" t="str">
        <f>IFERROR(__xludf.DUMMYFUNCTION("""COMPUTED_VALUE"""),"brandon_santosgalind@stu.ortrail.k12.or.us")</f>
        <v>brandon_santosgalind@stu.ortrail.k12.or.us</v>
      </c>
      <c r="L3119" s="6" t="str">
        <f>IFERROR(__xludf.DUMMYFUNCTION("""COMPUTED_VALUE"""),"Oregon Trail School District 46")</f>
        <v>Oregon Trail School District 46</v>
      </c>
      <c r="M3119" s="6" t="str">
        <f>IFERROR(__xludf.DUMMYFUNCTION("""COMPUTED_VALUE"""),"Cedar Ridge Middle School")</f>
        <v>Cedar Ridge Middle School</v>
      </c>
      <c r="N3119" s="6" t="str">
        <f>IFERROR(__xludf.DUMMYFUNCTION("""COMPUTED_VALUE"""),"")</f>
        <v/>
      </c>
      <c r="O3119" s="87" t="str">
        <f>IFERROR(__xludf.DUMMYFUNCTION("""COMPUTED_VALUE"""),"https://drive.google.com/drive/folders/10T2cTQHqEJZqE-st6uFKPoI?usp=share_link")</f>
        <v>https://drive.google.com/drive/folders/10T2cTQHqEJZqE-st6uFKPoI?usp=share_link</v>
      </c>
      <c r="P3119" s="6" t="str">
        <f>IFERROR(__xludf.DUMMYFUNCTION("""COMPUTED_VALUE"""),"Brandon Santos Galindo")</f>
        <v>Brandon Santos Galindo</v>
      </c>
      <c r="Q3119" s="6" t="str">
        <f>IFERROR(__xludf.DUMMYFUNCTION("""COMPUTED_VALUE"""),"MS")</f>
        <v>MS</v>
      </c>
      <c r="R3119" s="6">
        <f>IFERROR(__xludf.DUMMYFUNCTION("""COMPUTED_VALUE"""),0.0)</f>
        <v>0</v>
      </c>
      <c r="S3119" s="6" t="str">
        <f>IFERROR(__xludf.DUMMYFUNCTION("""COMPUTED_VALUE"""),"Maria Ruiz-Perez")</f>
        <v>Maria Ruiz-Perez</v>
      </c>
      <c r="T3119" s="6" t="str">
        <f>IFERROR(__xludf.DUMMYFUNCTION("""COMPUTED_VALUE"""),"maria.perez@ortrail.k12.or.us")</f>
        <v>maria.perez@ortrail.k12.or.us</v>
      </c>
      <c r="U3119" s="6" t="str">
        <f>IFERROR(__xludf.DUMMYFUNCTION("""COMPUTED_VALUE"""),"6")</f>
        <v>6</v>
      </c>
      <c r="V3119" s="6" t="str">
        <f>IFERROR(__xludf.DUMMYFUNCTION("""COMPUTED_VALUE"""),"English")</f>
        <v>English</v>
      </c>
      <c r="W3119" s="6" t="str">
        <f>IFERROR(__xludf.DUMMYFUNCTION("""COMPUTED_VALUE"""),"[]")</f>
        <v>[]</v>
      </c>
      <c r="X3119" s="6" t="str">
        <f>IFERROR(__xludf.DUMMYFUNCTION("""COMPUTED_VALUE"""),"Enrolled")</f>
        <v>Enrolled</v>
      </c>
    </row>
    <row r="3120">
      <c r="A3120" s="6" t="str">
        <f>IFERROR(__xludf.DUMMYFUNCTION("""COMPUTED_VALUE"""),"064-5907")</f>
        <v>064-5907</v>
      </c>
      <c r="B3120" s="6" t="str">
        <f>IFERROR(__xludf.DUMMYFUNCTION("""COMPUTED_VALUE"""),"64")</f>
        <v>64</v>
      </c>
      <c r="C3120" s="6" t="str">
        <f>IFERROR(__xludf.DUMMYFUNCTION("""COMPUTED_VALUE"""),"5907")</f>
        <v>5907</v>
      </c>
      <c r="D3120" s="6" t="str">
        <f>IFERROR(__xludf.DUMMYFUNCTION("""COMPUTED_VALUE"""),"Andrew J.")</f>
        <v>Andrew J.</v>
      </c>
      <c r="E3120" s="6" t="str">
        <f>IFERROR(__xludf.DUMMYFUNCTION("""COMPUTED_VALUE"""),"")</f>
        <v/>
      </c>
      <c r="F3120" s="6" t="str">
        <f>IFERROR(__xludf.DUMMYFUNCTION("""COMPUTED_VALUE"""),"SIlbernagel-Acosta")</f>
        <v>SIlbernagel-Acosta</v>
      </c>
      <c r="G3120" s="6" t="str">
        <f>IFERROR(__xludf.DUMMYFUNCTION("""COMPUTED_VALUE"""),"05/06/2014")</f>
        <v>05/06/2014</v>
      </c>
      <c r="H3120" s="6" t="str">
        <f>IFERROR(__xludf.DUMMYFUNCTION("""COMPUTED_VALUE"""),"Self Identify")</f>
        <v>Self Identify</v>
      </c>
      <c r="I3120" s="6" t="str">
        <f>IFERROR(__xludf.DUMMYFUNCTION("""COMPUTED_VALUE"""),"Middle School")</f>
        <v>Middle School</v>
      </c>
      <c r="J3120" s="6" t="str">
        <f>IFERROR(__xludf.DUMMYFUNCTION("""COMPUTED_VALUE"""),"6")</f>
        <v>6</v>
      </c>
      <c r="K3120" s="6" t="str">
        <f>IFERROR(__xludf.DUMMYFUNCTION("""COMPUTED_VALUE"""),"andrew_silbernagelac@stu.ortrail.k12.or.us")</f>
        <v>andrew_silbernagelac@stu.ortrail.k12.or.us</v>
      </c>
      <c r="L3120" s="6" t="str">
        <f>IFERROR(__xludf.DUMMYFUNCTION("""COMPUTED_VALUE"""),"Oregon Trail School District 46")</f>
        <v>Oregon Trail School District 46</v>
      </c>
      <c r="M3120" s="6" t="str">
        <f>IFERROR(__xludf.DUMMYFUNCTION("""COMPUTED_VALUE"""),"Cedar Ridge Middle School")</f>
        <v>Cedar Ridge Middle School</v>
      </c>
      <c r="N3120" s="6" t="str">
        <f>IFERROR(__xludf.DUMMYFUNCTION("""COMPUTED_VALUE"""),"")</f>
        <v/>
      </c>
      <c r="O3120" s="87" t="str">
        <f>IFERROR(__xludf.DUMMYFUNCTION("""COMPUTED_VALUE"""),"https://drive.google.com/drive/folders/10T2cTQHqEJZqE-st6uFKPoI?usp=share_link")</f>
        <v>https://drive.google.com/drive/folders/10T2cTQHqEJZqE-st6uFKPoI?usp=share_link</v>
      </c>
      <c r="P3120" s="6" t="str">
        <f>IFERROR(__xludf.DUMMYFUNCTION("""COMPUTED_VALUE"""),"Andrew J. SIlbernagel-Acosta")</f>
        <v>Andrew J. SIlbernagel-Acosta</v>
      </c>
      <c r="Q3120" s="6" t="str">
        <f>IFERROR(__xludf.DUMMYFUNCTION("""COMPUTED_VALUE"""),"MS")</f>
        <v>MS</v>
      </c>
      <c r="R3120" s="6">
        <f>IFERROR(__xludf.DUMMYFUNCTION("""COMPUTED_VALUE"""),0.0)</f>
        <v>0</v>
      </c>
      <c r="S3120" s="6" t="str">
        <f>IFERROR(__xludf.DUMMYFUNCTION("""COMPUTED_VALUE"""),"Maria Ruiz-Perez")</f>
        <v>Maria Ruiz-Perez</v>
      </c>
      <c r="T3120" s="6" t="str">
        <f>IFERROR(__xludf.DUMMYFUNCTION("""COMPUTED_VALUE"""),"maria.perez@ortrail.k12.or.us")</f>
        <v>maria.perez@ortrail.k12.or.us</v>
      </c>
      <c r="U3120" s="6" t="str">
        <f>IFERROR(__xludf.DUMMYFUNCTION("""COMPUTED_VALUE"""),"6")</f>
        <v>6</v>
      </c>
      <c r="V3120" s="6" t="str">
        <f>IFERROR(__xludf.DUMMYFUNCTION("""COMPUTED_VALUE"""),"English")</f>
        <v>English</v>
      </c>
      <c r="W3120" s="6" t="str">
        <f>IFERROR(__xludf.DUMMYFUNCTION("""COMPUTED_VALUE"""),"[]")</f>
        <v>[]</v>
      </c>
      <c r="X3120" s="6" t="str">
        <f>IFERROR(__xludf.DUMMYFUNCTION("""COMPUTED_VALUE"""),"Enrolled")</f>
        <v>Enrolled</v>
      </c>
    </row>
    <row r="3121">
      <c r="A3121" s="6" t="str">
        <f>IFERROR(__xludf.DUMMYFUNCTION("""COMPUTED_VALUE"""),"064-5908")</f>
        <v>064-5908</v>
      </c>
      <c r="B3121" s="6" t="str">
        <f>IFERROR(__xludf.DUMMYFUNCTION("""COMPUTED_VALUE"""),"64")</f>
        <v>64</v>
      </c>
      <c r="C3121" s="6" t="str">
        <f>IFERROR(__xludf.DUMMYFUNCTION("""COMPUTED_VALUE"""),"5908")</f>
        <v>5908</v>
      </c>
      <c r="D3121" s="6" t="str">
        <f>IFERROR(__xludf.DUMMYFUNCTION("""COMPUTED_VALUE"""),"Juan O.")</f>
        <v>Juan O.</v>
      </c>
      <c r="E3121" s="6" t="str">
        <f>IFERROR(__xludf.DUMMYFUNCTION("""COMPUTED_VALUE"""),"")</f>
        <v/>
      </c>
      <c r="F3121" s="6" t="str">
        <f>IFERROR(__xludf.DUMMYFUNCTION("""COMPUTED_VALUE"""),"Tello Doroteo")</f>
        <v>Tello Doroteo</v>
      </c>
      <c r="G3121" s="6" t="str">
        <f>IFERROR(__xludf.DUMMYFUNCTION("""COMPUTED_VALUE"""),"09/01/2012")</f>
        <v>09/01/2012</v>
      </c>
      <c r="H3121" s="6" t="str">
        <f>IFERROR(__xludf.DUMMYFUNCTION("""COMPUTED_VALUE"""),"Self Identify")</f>
        <v>Self Identify</v>
      </c>
      <c r="I3121" s="6" t="str">
        <f>IFERROR(__xludf.DUMMYFUNCTION("""COMPUTED_VALUE"""),"Middle School")</f>
        <v>Middle School</v>
      </c>
      <c r="J3121" s="6" t="str">
        <f>IFERROR(__xludf.DUMMYFUNCTION("""COMPUTED_VALUE"""),"8")</f>
        <v>8</v>
      </c>
      <c r="K3121" s="6" t="str">
        <f>IFERROR(__xludf.DUMMYFUNCTION("""COMPUTED_VALUE"""),"osvaldo_tellodoroteo@stu.ortrail.k12.or.us")</f>
        <v>osvaldo_tellodoroteo@stu.ortrail.k12.or.us</v>
      </c>
      <c r="L3121" s="6" t="str">
        <f>IFERROR(__xludf.DUMMYFUNCTION("""COMPUTED_VALUE"""),"Oregon Trail School District 46")</f>
        <v>Oregon Trail School District 46</v>
      </c>
      <c r="M3121" s="6" t="str">
        <f>IFERROR(__xludf.DUMMYFUNCTION("""COMPUTED_VALUE"""),"Cedar Ridge Middle School")</f>
        <v>Cedar Ridge Middle School</v>
      </c>
      <c r="N3121" s="6" t="str">
        <f>IFERROR(__xludf.DUMMYFUNCTION("""COMPUTED_VALUE"""),"")</f>
        <v/>
      </c>
      <c r="O3121" s="87" t="str">
        <f>IFERROR(__xludf.DUMMYFUNCTION("""COMPUTED_VALUE"""),"https://drive.google.com/drive/folders/10T2cTQHqEJZqE-st6uFKPoI?usp=share_link")</f>
        <v>https://drive.google.com/drive/folders/10T2cTQHqEJZqE-st6uFKPoI?usp=share_link</v>
      </c>
      <c r="P3121" s="6" t="str">
        <f>IFERROR(__xludf.DUMMYFUNCTION("""COMPUTED_VALUE"""),"Juan O. Tello Doroteo")</f>
        <v>Juan O. Tello Doroteo</v>
      </c>
      <c r="Q3121" s="6" t="str">
        <f>IFERROR(__xludf.DUMMYFUNCTION("""COMPUTED_VALUE"""),"MS")</f>
        <v>MS</v>
      </c>
      <c r="R3121" s="6">
        <f>IFERROR(__xludf.DUMMYFUNCTION("""COMPUTED_VALUE"""),0.0)</f>
        <v>0</v>
      </c>
      <c r="S3121" s="6" t="str">
        <f>IFERROR(__xludf.DUMMYFUNCTION("""COMPUTED_VALUE"""),"Jeremy Wedell")</f>
        <v>Jeremy Wedell</v>
      </c>
      <c r="T3121" s="6" t="str">
        <f>IFERROR(__xludf.DUMMYFUNCTION("""COMPUTED_VALUE"""),"jeremy.wedell@ortrail.k12.or.us")</f>
        <v>jeremy.wedell@ortrail.k12.or.us</v>
      </c>
      <c r="U3121" s="6" t="str">
        <f>IFERROR(__xludf.DUMMYFUNCTION("""COMPUTED_VALUE"""),"8")</f>
        <v>8</v>
      </c>
      <c r="V3121" s="6" t="str">
        <f>IFERROR(__xludf.DUMMYFUNCTION("""COMPUTED_VALUE"""),"English")</f>
        <v>English</v>
      </c>
      <c r="W3121" s="6" t="str">
        <f>IFERROR(__xludf.DUMMYFUNCTION("""COMPUTED_VALUE"""),"[]")</f>
        <v>[]</v>
      </c>
      <c r="X3121" s="6" t="str">
        <f>IFERROR(__xludf.DUMMYFUNCTION("""COMPUTED_VALUE"""),"Enrolled")</f>
        <v>Enrolled</v>
      </c>
    </row>
    <row r="3122">
      <c r="A3122" s="6" t="str">
        <f>IFERROR(__xludf.DUMMYFUNCTION("""COMPUTED_VALUE"""),"064-5910")</f>
        <v>064-5910</v>
      </c>
      <c r="B3122" s="6" t="str">
        <f>IFERROR(__xludf.DUMMYFUNCTION("""COMPUTED_VALUE"""),"64")</f>
        <v>64</v>
      </c>
      <c r="C3122" s="6" t="str">
        <f>IFERROR(__xludf.DUMMYFUNCTION("""COMPUTED_VALUE"""),"5910")</f>
        <v>5910</v>
      </c>
      <c r="D3122" s="6" t="str">
        <f>IFERROR(__xludf.DUMMYFUNCTION("""COMPUTED_VALUE"""),"Matthew")</f>
        <v>Matthew</v>
      </c>
      <c r="E3122" s="6" t="str">
        <f>IFERROR(__xludf.DUMMYFUNCTION("""COMPUTED_VALUE"""),"")</f>
        <v/>
      </c>
      <c r="F3122" s="6" t="str">
        <f>IFERROR(__xludf.DUMMYFUNCTION("""COMPUTED_VALUE"""),"Berkovich")</f>
        <v>Berkovich</v>
      </c>
      <c r="G3122" s="6" t="str">
        <f>IFERROR(__xludf.DUMMYFUNCTION("""COMPUTED_VALUE"""),"06/17/2014")</f>
        <v>06/17/2014</v>
      </c>
      <c r="H3122" s="6" t="str">
        <f>IFERROR(__xludf.DUMMYFUNCTION("""COMPUTED_VALUE"""),"Self Identify")</f>
        <v>Self Identify</v>
      </c>
      <c r="I3122" s="6" t="str">
        <f>IFERROR(__xludf.DUMMYFUNCTION("""COMPUTED_VALUE"""),"Middle School")</f>
        <v>Middle School</v>
      </c>
      <c r="J3122" s="6" t="str">
        <f>IFERROR(__xludf.DUMMYFUNCTION("""COMPUTED_VALUE"""),"6")</f>
        <v>6</v>
      </c>
      <c r="K3122" s="6" t="str">
        <f>IFERROR(__xludf.DUMMYFUNCTION("""COMPUTED_VALUE"""),"mathew_berkovich@stu.ortrail.k12.or.us")</f>
        <v>mathew_berkovich@stu.ortrail.k12.or.us</v>
      </c>
      <c r="L3122" s="6" t="str">
        <f>IFERROR(__xludf.DUMMYFUNCTION("""COMPUTED_VALUE"""),"Oregon Trail School District 46")</f>
        <v>Oregon Trail School District 46</v>
      </c>
      <c r="M3122" s="6" t="str">
        <f>IFERROR(__xludf.DUMMYFUNCTION("""COMPUTED_VALUE"""),"Cedar Ridge Middle School")</f>
        <v>Cedar Ridge Middle School</v>
      </c>
      <c r="N3122" s="6" t="str">
        <f>IFERROR(__xludf.DUMMYFUNCTION("""COMPUTED_VALUE"""),"")</f>
        <v/>
      </c>
      <c r="O3122" s="87" t="str">
        <f>IFERROR(__xludf.DUMMYFUNCTION("""COMPUTED_VALUE"""),"https://drive.google.com/drive/folders/10T2cTQHqEJZqE-st6uFKPoI?usp=share_link")</f>
        <v>https://drive.google.com/drive/folders/10T2cTQHqEJZqE-st6uFKPoI?usp=share_link</v>
      </c>
      <c r="P3122" s="6" t="str">
        <f>IFERROR(__xludf.DUMMYFUNCTION("""COMPUTED_VALUE"""),"Matthew Berkovich")</f>
        <v>Matthew Berkovich</v>
      </c>
      <c r="Q3122" s="6" t="str">
        <f>IFERROR(__xludf.DUMMYFUNCTION("""COMPUTED_VALUE"""),"MS")</f>
        <v>MS</v>
      </c>
      <c r="R3122" s="6">
        <f>IFERROR(__xludf.DUMMYFUNCTION("""COMPUTED_VALUE"""),0.0)</f>
        <v>0</v>
      </c>
      <c r="S3122" s="6" t="str">
        <f>IFERROR(__xludf.DUMMYFUNCTION("""COMPUTED_VALUE"""),"Natalia Hamalainen")</f>
        <v>Natalia Hamalainen</v>
      </c>
      <c r="T3122" s="6" t="str">
        <f>IFERROR(__xludf.DUMMYFUNCTION("""COMPUTED_VALUE"""),"natalia.hamalainen@ortrail.k12.or.us")</f>
        <v>natalia.hamalainen@ortrail.k12.or.us</v>
      </c>
      <c r="U3122" s="6" t="str">
        <f>IFERROR(__xludf.DUMMYFUNCTION("""COMPUTED_VALUE"""),"6")</f>
        <v>6</v>
      </c>
      <c r="V3122" s="6" t="str">
        <f>IFERROR(__xludf.DUMMYFUNCTION("""COMPUTED_VALUE"""),"English")</f>
        <v>English</v>
      </c>
      <c r="W3122" s="6" t="str">
        <f>IFERROR(__xludf.DUMMYFUNCTION("""COMPUTED_VALUE"""),"[]")</f>
        <v>[]</v>
      </c>
      <c r="X3122" s="6" t="str">
        <f>IFERROR(__xludf.DUMMYFUNCTION("""COMPUTED_VALUE"""),"Enrolled")</f>
        <v>Enrolled</v>
      </c>
    </row>
    <row r="3123">
      <c r="A3123" s="6" t="str">
        <f>IFERROR(__xludf.DUMMYFUNCTION("""COMPUTED_VALUE"""),"064-5911")</f>
        <v>064-5911</v>
      </c>
      <c r="B3123" s="6" t="str">
        <f>IFERROR(__xludf.DUMMYFUNCTION("""COMPUTED_VALUE"""),"64")</f>
        <v>64</v>
      </c>
      <c r="C3123" s="6" t="str">
        <f>IFERROR(__xludf.DUMMYFUNCTION("""COMPUTED_VALUE"""),"5911")</f>
        <v>5911</v>
      </c>
      <c r="D3123" s="6" t="str">
        <f>IFERROR(__xludf.DUMMYFUNCTION("""COMPUTED_VALUE"""),"Juan Miguel")</f>
        <v>Juan Miguel</v>
      </c>
      <c r="E3123" s="6" t="str">
        <f>IFERROR(__xludf.DUMMYFUNCTION("""COMPUTED_VALUE"""),"")</f>
        <v/>
      </c>
      <c r="F3123" s="6" t="str">
        <f>IFERROR(__xludf.DUMMYFUNCTION("""COMPUTED_VALUE"""),"Garrido Bribiesca")</f>
        <v>Garrido Bribiesca</v>
      </c>
      <c r="G3123" s="6" t="str">
        <f>IFERROR(__xludf.DUMMYFUNCTION("""COMPUTED_VALUE"""),"06/28/2014")</f>
        <v>06/28/2014</v>
      </c>
      <c r="H3123" s="6" t="str">
        <f>IFERROR(__xludf.DUMMYFUNCTION("""COMPUTED_VALUE"""),"Self Identify")</f>
        <v>Self Identify</v>
      </c>
      <c r="I3123" s="6" t="str">
        <f>IFERROR(__xludf.DUMMYFUNCTION("""COMPUTED_VALUE"""),"Middle School")</f>
        <v>Middle School</v>
      </c>
      <c r="J3123" s="6" t="str">
        <f>IFERROR(__xludf.DUMMYFUNCTION("""COMPUTED_VALUE"""),"6")</f>
        <v>6</v>
      </c>
      <c r="K3123" s="6" t="str">
        <f>IFERROR(__xludf.DUMMYFUNCTION("""COMPUTED_VALUE"""),"juanmiguel_garridobr@stu.ortrail.k12.or.us")</f>
        <v>juanmiguel_garridobr@stu.ortrail.k12.or.us</v>
      </c>
      <c r="L3123" s="6" t="str">
        <f>IFERROR(__xludf.DUMMYFUNCTION("""COMPUTED_VALUE"""),"Oregon Trail School District 46")</f>
        <v>Oregon Trail School District 46</v>
      </c>
      <c r="M3123" s="6" t="str">
        <f>IFERROR(__xludf.DUMMYFUNCTION("""COMPUTED_VALUE"""),"Cedar Ridge Middle School")</f>
        <v>Cedar Ridge Middle School</v>
      </c>
      <c r="N3123" s="6" t="str">
        <f>IFERROR(__xludf.DUMMYFUNCTION("""COMPUTED_VALUE"""),"")</f>
        <v/>
      </c>
      <c r="O3123" s="87" t="str">
        <f>IFERROR(__xludf.DUMMYFUNCTION("""COMPUTED_VALUE"""),"https://drive.google.com/drive/folders/10T2cTQHqEJZqE-st6uFKPoI?usp=share_link")</f>
        <v>https://drive.google.com/drive/folders/10T2cTQHqEJZqE-st6uFKPoI?usp=share_link</v>
      </c>
      <c r="P3123" s="6" t="str">
        <f>IFERROR(__xludf.DUMMYFUNCTION("""COMPUTED_VALUE"""),"Juan Miguel Garrido Bribiesca")</f>
        <v>Juan Miguel Garrido Bribiesca</v>
      </c>
      <c r="Q3123" s="6" t="str">
        <f>IFERROR(__xludf.DUMMYFUNCTION("""COMPUTED_VALUE"""),"MS")</f>
        <v>MS</v>
      </c>
      <c r="R3123" s="6">
        <f>IFERROR(__xludf.DUMMYFUNCTION("""COMPUTED_VALUE"""),0.0)</f>
        <v>0</v>
      </c>
      <c r="S3123" s="6" t="str">
        <f>IFERROR(__xludf.DUMMYFUNCTION("""COMPUTED_VALUE"""),"Natalia Hamalainen")</f>
        <v>Natalia Hamalainen</v>
      </c>
      <c r="T3123" s="6" t="str">
        <f>IFERROR(__xludf.DUMMYFUNCTION("""COMPUTED_VALUE"""),"natalia.hamalainen@ortrail.k12.or.us")</f>
        <v>natalia.hamalainen@ortrail.k12.or.us</v>
      </c>
      <c r="U3123" s="6" t="str">
        <f>IFERROR(__xludf.DUMMYFUNCTION("""COMPUTED_VALUE"""),"6")</f>
        <v>6</v>
      </c>
      <c r="V3123" s="6" t="str">
        <f>IFERROR(__xludf.DUMMYFUNCTION("""COMPUTED_VALUE"""),"English")</f>
        <v>English</v>
      </c>
      <c r="W3123" s="6" t="str">
        <f>IFERROR(__xludf.DUMMYFUNCTION("""COMPUTED_VALUE"""),"[]")</f>
        <v>[]</v>
      </c>
      <c r="X3123" s="6" t="str">
        <f>IFERROR(__xludf.DUMMYFUNCTION("""COMPUTED_VALUE"""),"Enrolled")</f>
        <v>Enrolled</v>
      </c>
    </row>
    <row r="3124">
      <c r="A3124" s="6" t="str">
        <f>IFERROR(__xludf.DUMMYFUNCTION("""COMPUTED_VALUE"""),"064-5913")</f>
        <v>064-5913</v>
      </c>
      <c r="B3124" s="6" t="str">
        <f>IFERROR(__xludf.DUMMYFUNCTION("""COMPUTED_VALUE"""),"64")</f>
        <v>64</v>
      </c>
      <c r="C3124" s="6" t="str">
        <f>IFERROR(__xludf.DUMMYFUNCTION("""COMPUTED_VALUE"""),"5913")</f>
        <v>5913</v>
      </c>
      <c r="D3124" s="6" t="str">
        <f>IFERROR(__xludf.DUMMYFUNCTION("""COMPUTED_VALUE"""),"Emma")</f>
        <v>Emma</v>
      </c>
      <c r="E3124" s="6" t="str">
        <f>IFERROR(__xludf.DUMMYFUNCTION("""COMPUTED_VALUE"""),"")</f>
        <v/>
      </c>
      <c r="F3124" s="6" t="str">
        <f>IFERROR(__xludf.DUMMYFUNCTION("""COMPUTED_VALUE"""),"Longanecker")</f>
        <v>Longanecker</v>
      </c>
      <c r="G3124" s="6" t="str">
        <f>IFERROR(__xludf.DUMMYFUNCTION("""COMPUTED_VALUE"""),"05/26/2014")</f>
        <v>05/26/2014</v>
      </c>
      <c r="H3124" s="6" t="str">
        <f>IFERROR(__xludf.DUMMYFUNCTION("""COMPUTED_VALUE"""),"Self Identify")</f>
        <v>Self Identify</v>
      </c>
      <c r="I3124" s="6" t="str">
        <f>IFERROR(__xludf.DUMMYFUNCTION("""COMPUTED_VALUE"""),"Middle School")</f>
        <v>Middle School</v>
      </c>
      <c r="J3124" s="6" t="str">
        <f>IFERROR(__xludf.DUMMYFUNCTION("""COMPUTED_VALUE"""),"6")</f>
        <v>6</v>
      </c>
      <c r="K3124" s="6" t="str">
        <f>IFERROR(__xludf.DUMMYFUNCTION("""COMPUTED_VALUE"""),"emma_longanecker@stu.ortrail.k12.or.us")</f>
        <v>emma_longanecker@stu.ortrail.k12.or.us</v>
      </c>
      <c r="L3124" s="6" t="str">
        <f>IFERROR(__xludf.DUMMYFUNCTION("""COMPUTED_VALUE"""),"Oregon Trail School District 46")</f>
        <v>Oregon Trail School District 46</v>
      </c>
      <c r="M3124" s="6" t="str">
        <f>IFERROR(__xludf.DUMMYFUNCTION("""COMPUTED_VALUE"""),"Cedar Ridge Middle School")</f>
        <v>Cedar Ridge Middle School</v>
      </c>
      <c r="N3124" s="6" t="str">
        <f>IFERROR(__xludf.DUMMYFUNCTION("""COMPUTED_VALUE"""),"")</f>
        <v/>
      </c>
      <c r="O3124" s="87" t="str">
        <f>IFERROR(__xludf.DUMMYFUNCTION("""COMPUTED_VALUE"""),"https://drive.google.com/drive/folders/10T2cTQHqEJZqE-st6uFKPoI?usp=share_link")</f>
        <v>https://drive.google.com/drive/folders/10T2cTQHqEJZqE-st6uFKPoI?usp=share_link</v>
      </c>
      <c r="P3124" s="6" t="str">
        <f>IFERROR(__xludf.DUMMYFUNCTION("""COMPUTED_VALUE"""),"Emma Longanecker")</f>
        <v>Emma Longanecker</v>
      </c>
      <c r="Q3124" s="6" t="str">
        <f>IFERROR(__xludf.DUMMYFUNCTION("""COMPUTED_VALUE"""),"MS")</f>
        <v>MS</v>
      </c>
      <c r="R3124" s="6">
        <f>IFERROR(__xludf.DUMMYFUNCTION("""COMPUTED_VALUE"""),0.0)</f>
        <v>0</v>
      </c>
      <c r="S3124" s="6" t="str">
        <f>IFERROR(__xludf.DUMMYFUNCTION("""COMPUTED_VALUE"""),"Natalia Hamalainen")</f>
        <v>Natalia Hamalainen</v>
      </c>
      <c r="T3124" s="6" t="str">
        <f>IFERROR(__xludf.DUMMYFUNCTION("""COMPUTED_VALUE"""),"natalia.hamalainen@ortrail.k12.or.us")</f>
        <v>natalia.hamalainen@ortrail.k12.or.us</v>
      </c>
      <c r="U3124" s="6" t="str">
        <f>IFERROR(__xludf.DUMMYFUNCTION("""COMPUTED_VALUE"""),"6")</f>
        <v>6</v>
      </c>
      <c r="V3124" s="6" t="str">
        <f>IFERROR(__xludf.DUMMYFUNCTION("""COMPUTED_VALUE"""),"English")</f>
        <v>English</v>
      </c>
      <c r="W3124" s="6" t="str">
        <f>IFERROR(__xludf.DUMMYFUNCTION("""COMPUTED_VALUE"""),"[]")</f>
        <v>[]</v>
      </c>
      <c r="X3124" s="6" t="str">
        <f>IFERROR(__xludf.DUMMYFUNCTION("""COMPUTED_VALUE"""),"Enrolled")</f>
        <v>Enrolled</v>
      </c>
    </row>
    <row r="3125">
      <c r="A3125" s="6" t="str">
        <f>IFERROR(__xludf.DUMMYFUNCTION("""COMPUTED_VALUE"""),"064-5914")</f>
        <v>064-5914</v>
      </c>
      <c r="B3125" s="6" t="str">
        <f>IFERROR(__xludf.DUMMYFUNCTION("""COMPUTED_VALUE"""),"64")</f>
        <v>64</v>
      </c>
      <c r="C3125" s="6" t="str">
        <f>IFERROR(__xludf.DUMMYFUNCTION("""COMPUTED_VALUE"""),"5914")</f>
        <v>5914</v>
      </c>
      <c r="D3125" s="6" t="str">
        <f>IFERROR(__xludf.DUMMYFUNCTION("""COMPUTED_VALUE"""),"Sophia")</f>
        <v>Sophia</v>
      </c>
      <c r="E3125" s="6" t="str">
        <f>IFERROR(__xludf.DUMMYFUNCTION("""COMPUTED_VALUE"""),"")</f>
        <v/>
      </c>
      <c r="F3125" s="6" t="str">
        <f>IFERROR(__xludf.DUMMYFUNCTION("""COMPUTED_VALUE"""),"Lopez Lira")</f>
        <v>Lopez Lira</v>
      </c>
      <c r="G3125" s="6" t="str">
        <f>IFERROR(__xludf.DUMMYFUNCTION("""COMPUTED_VALUE"""),"11/18/2011")</f>
        <v>11/18/2011</v>
      </c>
      <c r="H3125" s="6" t="str">
        <f>IFERROR(__xludf.DUMMYFUNCTION("""COMPUTED_VALUE"""),"Self Identify")</f>
        <v>Self Identify</v>
      </c>
      <c r="I3125" s="6" t="str">
        <f>IFERROR(__xludf.DUMMYFUNCTION("""COMPUTED_VALUE"""),"Middle School")</f>
        <v>Middle School</v>
      </c>
      <c r="J3125" s="6" t="str">
        <f>IFERROR(__xludf.DUMMYFUNCTION("""COMPUTED_VALUE"""),"8")</f>
        <v>8</v>
      </c>
      <c r="K3125" s="6" t="str">
        <f>IFERROR(__xludf.DUMMYFUNCTION("""COMPUTED_VALUE"""),"sophia_lopezlira@stu.ortrail.k12.or.us")</f>
        <v>sophia_lopezlira@stu.ortrail.k12.or.us</v>
      </c>
      <c r="L3125" s="6" t="str">
        <f>IFERROR(__xludf.DUMMYFUNCTION("""COMPUTED_VALUE"""),"Oregon Trail School District 46")</f>
        <v>Oregon Trail School District 46</v>
      </c>
      <c r="M3125" s="6" t="str">
        <f>IFERROR(__xludf.DUMMYFUNCTION("""COMPUTED_VALUE"""),"Cedar Ridge Middle School")</f>
        <v>Cedar Ridge Middle School</v>
      </c>
      <c r="N3125" s="6" t="str">
        <f>IFERROR(__xludf.DUMMYFUNCTION("""COMPUTED_VALUE"""),"")</f>
        <v/>
      </c>
      <c r="O3125" s="87" t="str">
        <f>IFERROR(__xludf.DUMMYFUNCTION("""COMPUTED_VALUE"""),"https://drive.google.com/drive/folders/10T2cTQHqEJZqE-st6uFKPoI?usp=share_link")</f>
        <v>https://drive.google.com/drive/folders/10T2cTQHqEJZqE-st6uFKPoI?usp=share_link</v>
      </c>
      <c r="P3125" s="6" t="str">
        <f>IFERROR(__xludf.DUMMYFUNCTION("""COMPUTED_VALUE"""),"Sophia Lopez Lira")</f>
        <v>Sophia Lopez Lira</v>
      </c>
      <c r="Q3125" s="6" t="str">
        <f>IFERROR(__xludf.DUMMYFUNCTION("""COMPUTED_VALUE"""),"MS")</f>
        <v>MS</v>
      </c>
      <c r="R3125" s="6">
        <f>IFERROR(__xludf.DUMMYFUNCTION("""COMPUTED_VALUE"""),0.0)</f>
        <v>0</v>
      </c>
      <c r="S3125" s="6" t="str">
        <f>IFERROR(__xludf.DUMMYFUNCTION("""COMPUTED_VALUE"""),"Natalia Hamalainen")</f>
        <v>Natalia Hamalainen</v>
      </c>
      <c r="T3125" s="6" t="str">
        <f>IFERROR(__xludf.DUMMYFUNCTION("""COMPUTED_VALUE"""),"natalia.hamalainen@ortrail.k12.or.us")</f>
        <v>natalia.hamalainen@ortrail.k12.or.us</v>
      </c>
      <c r="U3125" s="6" t="str">
        <f>IFERROR(__xludf.DUMMYFUNCTION("""COMPUTED_VALUE"""),"8")</f>
        <v>8</v>
      </c>
      <c r="V3125" s="6" t="str">
        <f>IFERROR(__xludf.DUMMYFUNCTION("""COMPUTED_VALUE"""),"English")</f>
        <v>English</v>
      </c>
      <c r="W3125" s="6" t="str">
        <f>IFERROR(__xludf.DUMMYFUNCTION("""COMPUTED_VALUE"""),"[]")</f>
        <v>[]</v>
      </c>
      <c r="X3125" s="6" t="str">
        <f>IFERROR(__xludf.DUMMYFUNCTION("""COMPUTED_VALUE"""),"Enrolled")</f>
        <v>Enrolled</v>
      </c>
    </row>
    <row r="3126">
      <c r="A3126" s="6" t="str">
        <f>IFERROR(__xludf.DUMMYFUNCTION("""COMPUTED_VALUE"""),"064-5917")</f>
        <v>064-5917</v>
      </c>
      <c r="B3126" s="6" t="str">
        <f>IFERROR(__xludf.DUMMYFUNCTION("""COMPUTED_VALUE"""),"64")</f>
        <v>64</v>
      </c>
      <c r="C3126" s="6" t="str">
        <f>IFERROR(__xludf.DUMMYFUNCTION("""COMPUTED_VALUE"""),"5917")</f>
        <v>5917</v>
      </c>
      <c r="D3126" s="6" t="str">
        <f>IFERROR(__xludf.DUMMYFUNCTION("""COMPUTED_VALUE"""),"Kegan K.")</f>
        <v>Kegan K.</v>
      </c>
      <c r="E3126" s="6" t="str">
        <f>IFERROR(__xludf.DUMMYFUNCTION("""COMPUTED_VALUE"""),"")</f>
        <v/>
      </c>
      <c r="F3126" s="6" t="str">
        <f>IFERROR(__xludf.DUMMYFUNCTION("""COMPUTED_VALUE"""),"Preston")</f>
        <v>Preston</v>
      </c>
      <c r="G3126" s="6" t="str">
        <f>IFERROR(__xludf.DUMMYFUNCTION("""COMPUTED_VALUE"""),"06/03/2013")</f>
        <v>06/03/2013</v>
      </c>
      <c r="H3126" s="6" t="str">
        <f>IFERROR(__xludf.DUMMYFUNCTION("""COMPUTED_VALUE"""),"Self Identify")</f>
        <v>Self Identify</v>
      </c>
      <c r="I3126" s="6" t="str">
        <f>IFERROR(__xludf.DUMMYFUNCTION("""COMPUTED_VALUE"""),"Middle School")</f>
        <v>Middle School</v>
      </c>
      <c r="J3126" s="6" t="str">
        <f>IFERROR(__xludf.DUMMYFUNCTION("""COMPUTED_VALUE"""),"7")</f>
        <v>7</v>
      </c>
      <c r="K3126" s="6" t="str">
        <f>IFERROR(__xludf.DUMMYFUNCTION("""COMPUTED_VALUE"""),"kegan_preston@stu.ortrail.k12.or.us")</f>
        <v>kegan_preston@stu.ortrail.k12.or.us</v>
      </c>
      <c r="L3126" s="6" t="str">
        <f>IFERROR(__xludf.DUMMYFUNCTION("""COMPUTED_VALUE"""),"Oregon Trail School District 46")</f>
        <v>Oregon Trail School District 46</v>
      </c>
      <c r="M3126" s="6" t="str">
        <f>IFERROR(__xludf.DUMMYFUNCTION("""COMPUTED_VALUE"""),"Cedar Ridge Middle School")</f>
        <v>Cedar Ridge Middle School</v>
      </c>
      <c r="N3126" s="6" t="str">
        <f>IFERROR(__xludf.DUMMYFUNCTION("""COMPUTED_VALUE"""),"")</f>
        <v/>
      </c>
      <c r="O3126" s="87" t="str">
        <f>IFERROR(__xludf.DUMMYFUNCTION("""COMPUTED_VALUE"""),"https://drive.google.com/drive/folders/10T2cTQHqEJZqE-st6uFKPoI?usp=share_link")</f>
        <v>https://drive.google.com/drive/folders/10T2cTQHqEJZqE-st6uFKPoI?usp=share_link</v>
      </c>
      <c r="P3126" s="6" t="str">
        <f>IFERROR(__xludf.DUMMYFUNCTION("""COMPUTED_VALUE"""),"Kegan K. Preston")</f>
        <v>Kegan K. Preston</v>
      </c>
      <c r="Q3126" s="6" t="str">
        <f>IFERROR(__xludf.DUMMYFUNCTION("""COMPUTED_VALUE"""),"MS")</f>
        <v>MS</v>
      </c>
      <c r="R3126" s="6">
        <f>IFERROR(__xludf.DUMMYFUNCTION("""COMPUTED_VALUE"""),0.0)</f>
        <v>0</v>
      </c>
      <c r="S3126" s="6" t="str">
        <f>IFERROR(__xludf.DUMMYFUNCTION("""COMPUTED_VALUE"""),"Natalia Hamalainen")</f>
        <v>Natalia Hamalainen</v>
      </c>
      <c r="T3126" s="6" t="str">
        <f>IFERROR(__xludf.DUMMYFUNCTION("""COMPUTED_VALUE"""),"natalia.hamalainen@ortrail.k12.or.us")</f>
        <v>natalia.hamalainen@ortrail.k12.or.us</v>
      </c>
      <c r="U3126" s="6" t="str">
        <f>IFERROR(__xludf.DUMMYFUNCTION("""COMPUTED_VALUE"""),"7")</f>
        <v>7</v>
      </c>
      <c r="V3126" s="6" t="str">
        <f>IFERROR(__xludf.DUMMYFUNCTION("""COMPUTED_VALUE"""),"English")</f>
        <v>English</v>
      </c>
      <c r="W3126" s="6" t="str">
        <f>IFERROR(__xludf.DUMMYFUNCTION("""COMPUTED_VALUE"""),"[]")</f>
        <v>[]</v>
      </c>
      <c r="X3126" s="6" t="str">
        <f>IFERROR(__xludf.DUMMYFUNCTION("""COMPUTED_VALUE"""),"Enrolled")</f>
        <v>Enrolled</v>
      </c>
    </row>
    <row r="3127">
      <c r="A3127" s="6" t="str">
        <f>IFERROR(__xludf.DUMMYFUNCTION("""COMPUTED_VALUE"""),"064-5920")</f>
        <v>064-5920</v>
      </c>
      <c r="B3127" s="6" t="str">
        <f>IFERROR(__xludf.DUMMYFUNCTION("""COMPUTED_VALUE"""),"64")</f>
        <v>64</v>
      </c>
      <c r="C3127" s="6" t="str">
        <f>IFERROR(__xludf.DUMMYFUNCTION("""COMPUTED_VALUE"""),"5920")</f>
        <v>5920</v>
      </c>
      <c r="D3127" s="6" t="str">
        <f>IFERROR(__xludf.DUMMYFUNCTION("""COMPUTED_VALUE"""),"Gage")</f>
        <v>Gage</v>
      </c>
      <c r="E3127" s="6" t="str">
        <f>IFERROR(__xludf.DUMMYFUNCTION("""COMPUTED_VALUE"""),"")</f>
        <v/>
      </c>
      <c r="F3127" s="6" t="str">
        <f>IFERROR(__xludf.DUMMYFUNCTION("""COMPUTED_VALUE"""),"Stetner")</f>
        <v>Stetner</v>
      </c>
      <c r="G3127" s="6" t="str">
        <f>IFERROR(__xludf.DUMMYFUNCTION("""COMPUTED_VALUE"""),"06/15/2013")</f>
        <v>06/15/2013</v>
      </c>
      <c r="H3127" s="6" t="str">
        <f>IFERROR(__xludf.DUMMYFUNCTION("""COMPUTED_VALUE"""),"Self Identify")</f>
        <v>Self Identify</v>
      </c>
      <c r="I3127" s="6" t="str">
        <f>IFERROR(__xludf.DUMMYFUNCTION("""COMPUTED_VALUE"""),"Middle School")</f>
        <v>Middle School</v>
      </c>
      <c r="J3127" s="6" t="str">
        <f>IFERROR(__xludf.DUMMYFUNCTION("""COMPUTED_VALUE"""),"6")</f>
        <v>6</v>
      </c>
      <c r="K3127" s="6" t="str">
        <f>IFERROR(__xludf.DUMMYFUNCTION("""COMPUTED_VALUE"""),"gage_stetner@stu.ortrail.k12.or.us")</f>
        <v>gage_stetner@stu.ortrail.k12.or.us</v>
      </c>
      <c r="L3127" s="6" t="str">
        <f>IFERROR(__xludf.DUMMYFUNCTION("""COMPUTED_VALUE"""),"Oregon Trail School District 46")</f>
        <v>Oregon Trail School District 46</v>
      </c>
      <c r="M3127" s="6" t="str">
        <f>IFERROR(__xludf.DUMMYFUNCTION("""COMPUTED_VALUE"""),"Cedar Ridge Middle School")</f>
        <v>Cedar Ridge Middle School</v>
      </c>
      <c r="N3127" s="6" t="str">
        <f>IFERROR(__xludf.DUMMYFUNCTION("""COMPUTED_VALUE"""),"")</f>
        <v/>
      </c>
      <c r="O3127" s="87" t="str">
        <f>IFERROR(__xludf.DUMMYFUNCTION("""COMPUTED_VALUE"""),"https://drive.google.com/drive/folders/10T2cTQHqEJZqE-st6uFKPoI?usp=share_link")</f>
        <v>https://drive.google.com/drive/folders/10T2cTQHqEJZqE-st6uFKPoI?usp=share_link</v>
      </c>
      <c r="P3127" s="6" t="str">
        <f>IFERROR(__xludf.DUMMYFUNCTION("""COMPUTED_VALUE"""),"Gage Stetner")</f>
        <v>Gage Stetner</v>
      </c>
      <c r="Q3127" s="6" t="str">
        <f>IFERROR(__xludf.DUMMYFUNCTION("""COMPUTED_VALUE"""),"MS")</f>
        <v>MS</v>
      </c>
      <c r="R3127" s="6">
        <f>IFERROR(__xludf.DUMMYFUNCTION("""COMPUTED_VALUE"""),0.0)</f>
        <v>0</v>
      </c>
      <c r="S3127" s="6" t="str">
        <f>IFERROR(__xludf.DUMMYFUNCTION("""COMPUTED_VALUE"""),"Natalia Hamalainen")</f>
        <v>Natalia Hamalainen</v>
      </c>
      <c r="T3127" s="6" t="str">
        <f>IFERROR(__xludf.DUMMYFUNCTION("""COMPUTED_VALUE"""),"natalia.hamalainen@ortrail.k12.or.us")</f>
        <v>natalia.hamalainen@ortrail.k12.or.us</v>
      </c>
      <c r="U3127" s="6" t="str">
        <f>IFERROR(__xludf.DUMMYFUNCTION("""COMPUTED_VALUE"""),"6")</f>
        <v>6</v>
      </c>
      <c r="V3127" s="6" t="str">
        <f>IFERROR(__xludf.DUMMYFUNCTION("""COMPUTED_VALUE"""),"English")</f>
        <v>English</v>
      </c>
      <c r="W3127" s="6" t="str">
        <f>IFERROR(__xludf.DUMMYFUNCTION("""COMPUTED_VALUE"""),"[]")</f>
        <v>[]</v>
      </c>
      <c r="X3127" s="6" t="str">
        <f>IFERROR(__xludf.DUMMYFUNCTION("""COMPUTED_VALUE"""),"Enrolled")</f>
        <v>Enrolled</v>
      </c>
    </row>
    <row r="3128">
      <c r="A3128" s="6" t="str">
        <f>IFERROR(__xludf.DUMMYFUNCTION("""COMPUTED_VALUE"""),"064-5922")</f>
        <v>064-5922</v>
      </c>
      <c r="B3128" s="6" t="str">
        <f>IFERROR(__xludf.DUMMYFUNCTION("""COMPUTED_VALUE"""),"64")</f>
        <v>64</v>
      </c>
      <c r="C3128" s="6" t="str">
        <f>IFERROR(__xludf.DUMMYFUNCTION("""COMPUTED_VALUE"""),"5922")</f>
        <v>5922</v>
      </c>
      <c r="D3128" s="6" t="str">
        <f>IFERROR(__xludf.DUMMYFUNCTION("""COMPUTED_VALUE"""),"Waylen G.")</f>
        <v>Waylen G.</v>
      </c>
      <c r="E3128" s="6" t="str">
        <f>IFERROR(__xludf.DUMMYFUNCTION("""COMPUTED_VALUE"""),"")</f>
        <v/>
      </c>
      <c r="F3128" s="6" t="str">
        <f>IFERROR(__xludf.DUMMYFUNCTION("""COMPUTED_VALUE"""),"Earley")</f>
        <v>Earley</v>
      </c>
      <c r="G3128" s="6" t="str">
        <f>IFERROR(__xludf.DUMMYFUNCTION("""COMPUTED_VALUE"""),"10/19/2012")</f>
        <v>10/19/2012</v>
      </c>
      <c r="H3128" s="6" t="str">
        <f>IFERROR(__xludf.DUMMYFUNCTION("""COMPUTED_VALUE"""),"Self Identify")</f>
        <v>Self Identify</v>
      </c>
      <c r="I3128" s="6" t="str">
        <f>IFERROR(__xludf.DUMMYFUNCTION("""COMPUTED_VALUE"""),"Middle School")</f>
        <v>Middle School</v>
      </c>
      <c r="J3128" s="6" t="str">
        <f>IFERROR(__xludf.DUMMYFUNCTION("""COMPUTED_VALUE"""),"6")</f>
        <v>6</v>
      </c>
      <c r="K3128" s="6" t="str">
        <f>IFERROR(__xludf.DUMMYFUNCTION("""COMPUTED_VALUE"""),"waylen_earley@stu.ortrail.k12.or.us")</f>
        <v>waylen_earley@stu.ortrail.k12.or.us</v>
      </c>
      <c r="L3128" s="6" t="str">
        <f>IFERROR(__xludf.DUMMYFUNCTION("""COMPUTED_VALUE"""),"Oregon Trail School District 46")</f>
        <v>Oregon Trail School District 46</v>
      </c>
      <c r="M3128" s="6" t="str">
        <f>IFERROR(__xludf.DUMMYFUNCTION("""COMPUTED_VALUE"""),"Cedar Ridge Middle School")</f>
        <v>Cedar Ridge Middle School</v>
      </c>
      <c r="N3128" s="6" t="str">
        <f>IFERROR(__xludf.DUMMYFUNCTION("""COMPUTED_VALUE"""),"")</f>
        <v/>
      </c>
      <c r="O3128" s="87" t="str">
        <f>IFERROR(__xludf.DUMMYFUNCTION("""COMPUTED_VALUE"""),"https://drive.google.com/drive/folders/10T2cTQHqEJZqE-st6uFKPoI?usp=share_link")</f>
        <v>https://drive.google.com/drive/folders/10T2cTQHqEJZqE-st6uFKPoI?usp=share_link</v>
      </c>
      <c r="P3128" s="6" t="str">
        <f>IFERROR(__xludf.DUMMYFUNCTION("""COMPUTED_VALUE"""),"Waylen G. Earley")</f>
        <v>Waylen G. Earley</v>
      </c>
      <c r="Q3128" s="6" t="str">
        <f>IFERROR(__xludf.DUMMYFUNCTION("""COMPUTED_VALUE"""),"MS")</f>
        <v>MS</v>
      </c>
      <c r="R3128" s="6">
        <f>IFERROR(__xludf.DUMMYFUNCTION("""COMPUTED_VALUE"""),0.0)</f>
        <v>0</v>
      </c>
      <c r="S3128" s="6" t="str">
        <f>IFERROR(__xludf.DUMMYFUNCTION("""COMPUTED_VALUE"""),"Ryan Shanks")</f>
        <v>Ryan Shanks</v>
      </c>
      <c r="T3128" s="6" t="str">
        <f>IFERROR(__xludf.DUMMYFUNCTION("""COMPUTED_VALUE"""),"ryan.shanks@ortrail.k12.or.us")</f>
        <v>ryan.shanks@ortrail.k12.or.us</v>
      </c>
      <c r="U3128" s="6" t="str">
        <f>IFERROR(__xludf.DUMMYFUNCTION("""COMPUTED_VALUE"""),"6")</f>
        <v>6</v>
      </c>
      <c r="V3128" s="6" t="str">
        <f>IFERROR(__xludf.DUMMYFUNCTION("""COMPUTED_VALUE"""),"English")</f>
        <v>English</v>
      </c>
      <c r="W3128" s="6" t="str">
        <f>IFERROR(__xludf.DUMMYFUNCTION("""COMPUTED_VALUE"""),"[]")</f>
        <v>[]</v>
      </c>
      <c r="X3128" s="6" t="str">
        <f>IFERROR(__xludf.DUMMYFUNCTION("""COMPUTED_VALUE"""),"Enrolled")</f>
        <v>Enrolled</v>
      </c>
    </row>
    <row r="3129">
      <c r="A3129" s="6" t="str">
        <f>IFERROR(__xludf.DUMMYFUNCTION("""COMPUTED_VALUE"""),"064-5923")</f>
        <v>064-5923</v>
      </c>
      <c r="B3129" s="6" t="str">
        <f>IFERROR(__xludf.DUMMYFUNCTION("""COMPUTED_VALUE"""),"64")</f>
        <v>64</v>
      </c>
      <c r="C3129" s="6" t="str">
        <f>IFERROR(__xludf.DUMMYFUNCTION("""COMPUTED_VALUE"""),"5923")</f>
        <v>5923</v>
      </c>
      <c r="D3129" s="6" t="str">
        <f>IFERROR(__xludf.DUMMYFUNCTION("""COMPUTED_VALUE"""),"Jace M.")</f>
        <v>Jace M.</v>
      </c>
      <c r="E3129" s="6" t="str">
        <f>IFERROR(__xludf.DUMMYFUNCTION("""COMPUTED_VALUE"""),"")</f>
        <v/>
      </c>
      <c r="F3129" s="6" t="str">
        <f>IFERROR(__xludf.DUMMYFUNCTION("""COMPUTED_VALUE"""),"Graber")</f>
        <v>Graber</v>
      </c>
      <c r="G3129" s="6" t="str">
        <f>IFERROR(__xludf.DUMMYFUNCTION("""COMPUTED_VALUE"""),"01/03/2013")</f>
        <v>01/03/2013</v>
      </c>
      <c r="H3129" s="6" t="str">
        <f>IFERROR(__xludf.DUMMYFUNCTION("""COMPUTED_VALUE"""),"Self Identify")</f>
        <v>Self Identify</v>
      </c>
      <c r="I3129" s="6" t="str">
        <f>IFERROR(__xludf.DUMMYFUNCTION("""COMPUTED_VALUE"""),"Middle School")</f>
        <v>Middle School</v>
      </c>
      <c r="J3129" s="6" t="str">
        <f>IFERROR(__xludf.DUMMYFUNCTION("""COMPUTED_VALUE"""),"6")</f>
        <v>6</v>
      </c>
      <c r="K3129" s="6" t="str">
        <f>IFERROR(__xludf.DUMMYFUNCTION("""COMPUTED_VALUE"""),"jace_graber@stu.ortrail.k12.or.us")</f>
        <v>jace_graber@stu.ortrail.k12.or.us</v>
      </c>
      <c r="L3129" s="6" t="str">
        <f>IFERROR(__xludf.DUMMYFUNCTION("""COMPUTED_VALUE"""),"Oregon Trail School District 46")</f>
        <v>Oregon Trail School District 46</v>
      </c>
      <c r="M3129" s="6" t="str">
        <f>IFERROR(__xludf.DUMMYFUNCTION("""COMPUTED_VALUE"""),"Cedar Ridge Middle School")</f>
        <v>Cedar Ridge Middle School</v>
      </c>
      <c r="N3129" s="6" t="str">
        <f>IFERROR(__xludf.DUMMYFUNCTION("""COMPUTED_VALUE"""),"")</f>
        <v/>
      </c>
      <c r="O3129" s="87" t="str">
        <f>IFERROR(__xludf.DUMMYFUNCTION("""COMPUTED_VALUE"""),"https://drive.google.com/drive/folders/10T2cTQHqEJZqE-st6uFKPoI?usp=share_link")</f>
        <v>https://drive.google.com/drive/folders/10T2cTQHqEJZqE-st6uFKPoI?usp=share_link</v>
      </c>
      <c r="P3129" s="6" t="str">
        <f>IFERROR(__xludf.DUMMYFUNCTION("""COMPUTED_VALUE"""),"Jace M. Graber")</f>
        <v>Jace M. Graber</v>
      </c>
      <c r="Q3129" s="6" t="str">
        <f>IFERROR(__xludf.DUMMYFUNCTION("""COMPUTED_VALUE"""),"MS")</f>
        <v>MS</v>
      </c>
      <c r="R3129" s="6">
        <f>IFERROR(__xludf.DUMMYFUNCTION("""COMPUTED_VALUE"""),0.0)</f>
        <v>0</v>
      </c>
      <c r="S3129" s="6" t="str">
        <f>IFERROR(__xludf.DUMMYFUNCTION("""COMPUTED_VALUE"""),"Ryan Shanks")</f>
        <v>Ryan Shanks</v>
      </c>
      <c r="T3129" s="6" t="str">
        <f>IFERROR(__xludf.DUMMYFUNCTION("""COMPUTED_VALUE"""),"ryan.shanks@ortrail.k12.or.us")</f>
        <v>ryan.shanks@ortrail.k12.or.us</v>
      </c>
      <c r="U3129" s="6" t="str">
        <f>IFERROR(__xludf.DUMMYFUNCTION("""COMPUTED_VALUE"""),"6")</f>
        <v>6</v>
      </c>
      <c r="V3129" s="6" t="str">
        <f>IFERROR(__xludf.DUMMYFUNCTION("""COMPUTED_VALUE"""),"English")</f>
        <v>English</v>
      </c>
      <c r="W3129" s="6" t="str">
        <f>IFERROR(__xludf.DUMMYFUNCTION("""COMPUTED_VALUE"""),"[]")</f>
        <v>[]</v>
      </c>
      <c r="X3129" s="6" t="str">
        <f>IFERROR(__xludf.DUMMYFUNCTION("""COMPUTED_VALUE"""),"Enrolled")</f>
        <v>Enrolled</v>
      </c>
    </row>
    <row r="3130">
      <c r="A3130" s="6" t="str">
        <f>IFERROR(__xludf.DUMMYFUNCTION("""COMPUTED_VALUE"""),"064-5924")</f>
        <v>064-5924</v>
      </c>
      <c r="B3130" s="6" t="str">
        <f>IFERROR(__xludf.DUMMYFUNCTION("""COMPUTED_VALUE"""),"64")</f>
        <v>64</v>
      </c>
      <c r="C3130" s="6" t="str">
        <f>IFERROR(__xludf.DUMMYFUNCTION("""COMPUTED_VALUE"""),"5924")</f>
        <v>5924</v>
      </c>
      <c r="D3130" s="6" t="str">
        <f>IFERROR(__xludf.DUMMYFUNCTION("""COMPUTED_VALUE"""),"Amelia R.")</f>
        <v>Amelia R.</v>
      </c>
      <c r="E3130" s="6" t="str">
        <f>IFERROR(__xludf.DUMMYFUNCTION("""COMPUTED_VALUE"""),"")</f>
        <v/>
      </c>
      <c r="F3130" s="6" t="str">
        <f>IFERROR(__xludf.DUMMYFUNCTION("""COMPUTED_VALUE"""),"Green")</f>
        <v>Green</v>
      </c>
      <c r="G3130" s="6" t="str">
        <f>IFERROR(__xludf.DUMMYFUNCTION("""COMPUTED_VALUE"""),"11/20/2012")</f>
        <v>11/20/2012</v>
      </c>
      <c r="H3130" s="6" t="str">
        <f>IFERROR(__xludf.DUMMYFUNCTION("""COMPUTED_VALUE"""),"Self Identify")</f>
        <v>Self Identify</v>
      </c>
      <c r="I3130" s="6" t="str">
        <f>IFERROR(__xludf.DUMMYFUNCTION("""COMPUTED_VALUE"""),"Middle School")</f>
        <v>Middle School</v>
      </c>
      <c r="J3130" s="6" t="str">
        <f>IFERROR(__xludf.DUMMYFUNCTION("""COMPUTED_VALUE"""),"6")</f>
        <v>6</v>
      </c>
      <c r="K3130" s="6" t="str">
        <f>IFERROR(__xludf.DUMMYFUNCTION("""COMPUTED_VALUE"""),"amelia_green@stu.ortrail.k12.or.us")</f>
        <v>amelia_green@stu.ortrail.k12.or.us</v>
      </c>
      <c r="L3130" s="6" t="str">
        <f>IFERROR(__xludf.DUMMYFUNCTION("""COMPUTED_VALUE"""),"Oregon Trail School District 46")</f>
        <v>Oregon Trail School District 46</v>
      </c>
      <c r="M3130" s="6" t="str">
        <f>IFERROR(__xludf.DUMMYFUNCTION("""COMPUTED_VALUE"""),"Cedar Ridge Middle School")</f>
        <v>Cedar Ridge Middle School</v>
      </c>
      <c r="N3130" s="6" t="str">
        <f>IFERROR(__xludf.DUMMYFUNCTION("""COMPUTED_VALUE"""),"")</f>
        <v/>
      </c>
      <c r="O3130" s="87" t="str">
        <f>IFERROR(__xludf.DUMMYFUNCTION("""COMPUTED_VALUE"""),"https://drive.google.com/drive/folders/10T2cTQHqEJZqE-st6uFKPoI?usp=share_link")</f>
        <v>https://drive.google.com/drive/folders/10T2cTQHqEJZqE-st6uFKPoI?usp=share_link</v>
      </c>
      <c r="P3130" s="6" t="str">
        <f>IFERROR(__xludf.DUMMYFUNCTION("""COMPUTED_VALUE"""),"Amelia R. Green")</f>
        <v>Amelia R. Green</v>
      </c>
      <c r="Q3130" s="6" t="str">
        <f>IFERROR(__xludf.DUMMYFUNCTION("""COMPUTED_VALUE"""),"MS")</f>
        <v>MS</v>
      </c>
      <c r="R3130" s="6">
        <f>IFERROR(__xludf.DUMMYFUNCTION("""COMPUTED_VALUE"""),0.0)</f>
        <v>0</v>
      </c>
      <c r="S3130" s="6" t="str">
        <f>IFERROR(__xludf.DUMMYFUNCTION("""COMPUTED_VALUE"""),"Ryan Shanks")</f>
        <v>Ryan Shanks</v>
      </c>
      <c r="T3130" s="6" t="str">
        <f>IFERROR(__xludf.DUMMYFUNCTION("""COMPUTED_VALUE"""),"ryan.shanks@ortrail.k12.or.us")</f>
        <v>ryan.shanks@ortrail.k12.or.us</v>
      </c>
      <c r="U3130" s="6" t="str">
        <f>IFERROR(__xludf.DUMMYFUNCTION("""COMPUTED_VALUE"""),"6")</f>
        <v>6</v>
      </c>
      <c r="V3130" s="6" t="str">
        <f>IFERROR(__xludf.DUMMYFUNCTION("""COMPUTED_VALUE"""),"English")</f>
        <v>English</v>
      </c>
      <c r="W3130" s="6" t="str">
        <f>IFERROR(__xludf.DUMMYFUNCTION("""COMPUTED_VALUE"""),"[]")</f>
        <v>[]</v>
      </c>
      <c r="X3130" s="6" t="str">
        <f>IFERROR(__xludf.DUMMYFUNCTION("""COMPUTED_VALUE"""),"Enrolled")</f>
        <v>Enrolled</v>
      </c>
    </row>
    <row r="3131">
      <c r="A3131" s="6" t="str">
        <f>IFERROR(__xludf.DUMMYFUNCTION("""COMPUTED_VALUE"""),"064-5925")</f>
        <v>064-5925</v>
      </c>
      <c r="B3131" s="6" t="str">
        <f>IFERROR(__xludf.DUMMYFUNCTION("""COMPUTED_VALUE"""),"64")</f>
        <v>64</v>
      </c>
      <c r="C3131" s="6" t="str">
        <f>IFERROR(__xludf.DUMMYFUNCTION("""COMPUTED_VALUE"""),"5925")</f>
        <v>5925</v>
      </c>
      <c r="D3131" s="6" t="str">
        <f>IFERROR(__xludf.DUMMYFUNCTION("""COMPUTED_VALUE"""),"Jace C.")</f>
        <v>Jace C.</v>
      </c>
      <c r="E3131" s="6" t="str">
        <f>IFERROR(__xludf.DUMMYFUNCTION("""COMPUTED_VALUE"""),"")</f>
        <v/>
      </c>
      <c r="F3131" s="6" t="str">
        <f>IFERROR(__xludf.DUMMYFUNCTION("""COMPUTED_VALUE"""),"Hahn")</f>
        <v>Hahn</v>
      </c>
      <c r="G3131" s="6" t="str">
        <f>IFERROR(__xludf.DUMMYFUNCTION("""COMPUTED_VALUE"""),"01/04/2013")</f>
        <v>01/04/2013</v>
      </c>
      <c r="H3131" s="6" t="str">
        <f>IFERROR(__xludf.DUMMYFUNCTION("""COMPUTED_VALUE"""),"Self Identify")</f>
        <v>Self Identify</v>
      </c>
      <c r="I3131" s="6" t="str">
        <f>IFERROR(__xludf.DUMMYFUNCTION("""COMPUTED_VALUE"""),"Middle School")</f>
        <v>Middle School</v>
      </c>
      <c r="J3131" s="6" t="str">
        <f>IFERROR(__xludf.DUMMYFUNCTION("""COMPUTED_VALUE"""),"6")</f>
        <v>6</v>
      </c>
      <c r="K3131" s="6" t="str">
        <f>IFERROR(__xludf.DUMMYFUNCTION("""COMPUTED_VALUE"""),"jace_hahn@stu.ortrail.k12.or.us")</f>
        <v>jace_hahn@stu.ortrail.k12.or.us</v>
      </c>
      <c r="L3131" s="6" t="str">
        <f>IFERROR(__xludf.DUMMYFUNCTION("""COMPUTED_VALUE"""),"Oregon Trail School District 46")</f>
        <v>Oregon Trail School District 46</v>
      </c>
      <c r="M3131" s="6" t="str">
        <f>IFERROR(__xludf.DUMMYFUNCTION("""COMPUTED_VALUE"""),"Cedar Ridge Middle School")</f>
        <v>Cedar Ridge Middle School</v>
      </c>
      <c r="N3131" s="6" t="str">
        <f>IFERROR(__xludf.DUMMYFUNCTION("""COMPUTED_VALUE"""),"")</f>
        <v/>
      </c>
      <c r="O3131" s="87" t="str">
        <f>IFERROR(__xludf.DUMMYFUNCTION("""COMPUTED_VALUE"""),"https://drive.google.com/drive/folders/10T2cTQHqEJZqE-st6uFKPoI?usp=share_link")</f>
        <v>https://drive.google.com/drive/folders/10T2cTQHqEJZqE-st6uFKPoI?usp=share_link</v>
      </c>
      <c r="P3131" s="6" t="str">
        <f>IFERROR(__xludf.DUMMYFUNCTION("""COMPUTED_VALUE"""),"Jace C. Hahn")</f>
        <v>Jace C. Hahn</v>
      </c>
      <c r="Q3131" s="6" t="str">
        <f>IFERROR(__xludf.DUMMYFUNCTION("""COMPUTED_VALUE"""),"MS")</f>
        <v>MS</v>
      </c>
      <c r="R3131" s="6">
        <f>IFERROR(__xludf.DUMMYFUNCTION("""COMPUTED_VALUE"""),0.0)</f>
        <v>0</v>
      </c>
      <c r="S3131" s="6" t="str">
        <f>IFERROR(__xludf.DUMMYFUNCTION("""COMPUTED_VALUE"""),"Ryan Shanks")</f>
        <v>Ryan Shanks</v>
      </c>
      <c r="T3131" s="6" t="str">
        <f>IFERROR(__xludf.DUMMYFUNCTION("""COMPUTED_VALUE"""),"ryan.shanks@ortrail.k12.or.us")</f>
        <v>ryan.shanks@ortrail.k12.or.us</v>
      </c>
      <c r="U3131" s="6" t="str">
        <f>IFERROR(__xludf.DUMMYFUNCTION("""COMPUTED_VALUE"""),"6")</f>
        <v>6</v>
      </c>
      <c r="V3131" s="6" t="str">
        <f>IFERROR(__xludf.DUMMYFUNCTION("""COMPUTED_VALUE"""),"English")</f>
        <v>English</v>
      </c>
      <c r="W3131" s="6" t="str">
        <f>IFERROR(__xludf.DUMMYFUNCTION("""COMPUTED_VALUE"""),"[]")</f>
        <v>[]</v>
      </c>
      <c r="X3131" s="6" t="str">
        <f>IFERROR(__xludf.DUMMYFUNCTION("""COMPUTED_VALUE"""),"Enrolled")</f>
        <v>Enrolled</v>
      </c>
    </row>
    <row r="3132">
      <c r="A3132" s="6" t="str">
        <f>IFERROR(__xludf.DUMMYFUNCTION("""COMPUTED_VALUE"""),"064-5926")</f>
        <v>064-5926</v>
      </c>
      <c r="B3132" s="6" t="str">
        <f>IFERROR(__xludf.DUMMYFUNCTION("""COMPUTED_VALUE"""),"64")</f>
        <v>64</v>
      </c>
      <c r="C3132" s="6" t="str">
        <f>IFERROR(__xludf.DUMMYFUNCTION("""COMPUTED_VALUE"""),"5926")</f>
        <v>5926</v>
      </c>
      <c r="D3132" s="6" t="str">
        <f>IFERROR(__xludf.DUMMYFUNCTION("""COMPUTED_VALUE"""),"Hudson J.")</f>
        <v>Hudson J.</v>
      </c>
      <c r="E3132" s="6" t="str">
        <f>IFERROR(__xludf.DUMMYFUNCTION("""COMPUTED_VALUE"""),"")</f>
        <v/>
      </c>
      <c r="F3132" s="6" t="str">
        <f>IFERROR(__xludf.DUMMYFUNCTION("""COMPUTED_VALUE"""),"Henniger")</f>
        <v>Henniger</v>
      </c>
      <c r="G3132" s="6" t="str">
        <f>IFERROR(__xludf.DUMMYFUNCTION("""COMPUTED_VALUE"""),"08/19/2013")</f>
        <v>08/19/2013</v>
      </c>
      <c r="H3132" s="6" t="str">
        <f>IFERROR(__xludf.DUMMYFUNCTION("""COMPUTED_VALUE"""),"Self Identify")</f>
        <v>Self Identify</v>
      </c>
      <c r="I3132" s="6" t="str">
        <f>IFERROR(__xludf.DUMMYFUNCTION("""COMPUTED_VALUE"""),"Middle School")</f>
        <v>Middle School</v>
      </c>
      <c r="J3132" s="6" t="str">
        <f>IFERROR(__xludf.DUMMYFUNCTION("""COMPUTED_VALUE"""),"7")</f>
        <v>7</v>
      </c>
      <c r="K3132" s="6" t="str">
        <f>IFERROR(__xludf.DUMMYFUNCTION("""COMPUTED_VALUE"""),"hudson_henniger@stu.ortrail.k12.or.us")</f>
        <v>hudson_henniger@stu.ortrail.k12.or.us</v>
      </c>
      <c r="L3132" s="6" t="str">
        <f>IFERROR(__xludf.DUMMYFUNCTION("""COMPUTED_VALUE"""),"Oregon Trail School District 46")</f>
        <v>Oregon Trail School District 46</v>
      </c>
      <c r="M3132" s="6" t="str">
        <f>IFERROR(__xludf.DUMMYFUNCTION("""COMPUTED_VALUE"""),"Cedar Ridge Middle School")</f>
        <v>Cedar Ridge Middle School</v>
      </c>
      <c r="N3132" s="6" t="str">
        <f>IFERROR(__xludf.DUMMYFUNCTION("""COMPUTED_VALUE"""),"")</f>
        <v/>
      </c>
      <c r="O3132" s="87" t="str">
        <f>IFERROR(__xludf.DUMMYFUNCTION("""COMPUTED_VALUE"""),"https://drive.google.com/drive/folders/10T2cTQHqEJZqE-st6uFKPoI?usp=share_link")</f>
        <v>https://drive.google.com/drive/folders/10T2cTQHqEJZqE-st6uFKPoI?usp=share_link</v>
      </c>
      <c r="P3132" s="6" t="str">
        <f>IFERROR(__xludf.DUMMYFUNCTION("""COMPUTED_VALUE"""),"Hudson J. Henniger")</f>
        <v>Hudson J. Henniger</v>
      </c>
      <c r="Q3132" s="6" t="str">
        <f>IFERROR(__xludf.DUMMYFUNCTION("""COMPUTED_VALUE"""),"MS")</f>
        <v>MS</v>
      </c>
      <c r="R3132" s="6">
        <f>IFERROR(__xludf.DUMMYFUNCTION("""COMPUTED_VALUE"""),0.0)</f>
        <v>0</v>
      </c>
      <c r="S3132" s="6" t="str">
        <f>IFERROR(__xludf.DUMMYFUNCTION("""COMPUTED_VALUE"""),"Ryan Shanks")</f>
        <v>Ryan Shanks</v>
      </c>
      <c r="T3132" s="6" t="str">
        <f>IFERROR(__xludf.DUMMYFUNCTION("""COMPUTED_VALUE"""),"ryan.shanks@ortrail.k12.or.us")</f>
        <v>ryan.shanks@ortrail.k12.or.us</v>
      </c>
      <c r="U3132" s="6" t="str">
        <f>IFERROR(__xludf.DUMMYFUNCTION("""COMPUTED_VALUE"""),"7")</f>
        <v>7</v>
      </c>
      <c r="V3132" s="6" t="str">
        <f>IFERROR(__xludf.DUMMYFUNCTION("""COMPUTED_VALUE"""),"English")</f>
        <v>English</v>
      </c>
      <c r="W3132" s="6" t="str">
        <f>IFERROR(__xludf.DUMMYFUNCTION("""COMPUTED_VALUE"""),"[]")</f>
        <v>[]</v>
      </c>
      <c r="X3132" s="6" t="str">
        <f>IFERROR(__xludf.DUMMYFUNCTION("""COMPUTED_VALUE"""),"Enrolled")</f>
        <v>Enrolled</v>
      </c>
    </row>
    <row r="3133">
      <c r="A3133" s="6" t="str">
        <f>IFERROR(__xludf.DUMMYFUNCTION("""COMPUTED_VALUE"""),"064-5927")</f>
        <v>064-5927</v>
      </c>
      <c r="B3133" s="6" t="str">
        <f>IFERROR(__xludf.DUMMYFUNCTION("""COMPUTED_VALUE"""),"64")</f>
        <v>64</v>
      </c>
      <c r="C3133" s="6" t="str">
        <f>IFERROR(__xludf.DUMMYFUNCTION("""COMPUTED_VALUE"""),"5927")</f>
        <v>5927</v>
      </c>
      <c r="D3133" s="6" t="str">
        <f>IFERROR(__xludf.DUMMYFUNCTION("""COMPUTED_VALUE"""),"Aiden P.")</f>
        <v>Aiden P.</v>
      </c>
      <c r="E3133" s="6" t="str">
        <f>IFERROR(__xludf.DUMMYFUNCTION("""COMPUTED_VALUE"""),"")</f>
        <v/>
      </c>
      <c r="F3133" s="6" t="str">
        <f>IFERROR(__xludf.DUMMYFUNCTION("""COMPUTED_VALUE"""),"Johnston")</f>
        <v>Johnston</v>
      </c>
      <c r="G3133" s="6" t="str">
        <f>IFERROR(__xludf.DUMMYFUNCTION("""COMPUTED_VALUE"""),"06/20/2012")</f>
        <v>06/20/2012</v>
      </c>
      <c r="H3133" s="6" t="str">
        <f>IFERROR(__xludf.DUMMYFUNCTION("""COMPUTED_VALUE"""),"Self Identify")</f>
        <v>Self Identify</v>
      </c>
      <c r="I3133" s="6" t="str">
        <f>IFERROR(__xludf.DUMMYFUNCTION("""COMPUTED_VALUE"""),"Middle School")</f>
        <v>Middle School</v>
      </c>
      <c r="J3133" s="6" t="str">
        <f>IFERROR(__xludf.DUMMYFUNCTION("""COMPUTED_VALUE"""),"6")</f>
        <v>6</v>
      </c>
      <c r="K3133" s="6" t="str">
        <f>IFERROR(__xludf.DUMMYFUNCTION("""COMPUTED_VALUE"""),"aiden_johnston@stu.ortrail.k12.or.us")</f>
        <v>aiden_johnston@stu.ortrail.k12.or.us</v>
      </c>
      <c r="L3133" s="6" t="str">
        <f>IFERROR(__xludf.DUMMYFUNCTION("""COMPUTED_VALUE"""),"Oregon Trail School District 46")</f>
        <v>Oregon Trail School District 46</v>
      </c>
      <c r="M3133" s="6" t="str">
        <f>IFERROR(__xludf.DUMMYFUNCTION("""COMPUTED_VALUE"""),"Cedar Ridge Middle School")</f>
        <v>Cedar Ridge Middle School</v>
      </c>
      <c r="N3133" s="6" t="str">
        <f>IFERROR(__xludf.DUMMYFUNCTION("""COMPUTED_VALUE"""),"")</f>
        <v/>
      </c>
      <c r="O3133" s="87" t="str">
        <f>IFERROR(__xludf.DUMMYFUNCTION("""COMPUTED_VALUE"""),"https://drive.google.com/drive/folders/10T2cTQHqEJZqE-st6uFKPoI?usp=share_link")</f>
        <v>https://drive.google.com/drive/folders/10T2cTQHqEJZqE-st6uFKPoI?usp=share_link</v>
      </c>
      <c r="P3133" s="6" t="str">
        <f>IFERROR(__xludf.DUMMYFUNCTION("""COMPUTED_VALUE"""),"Aiden P. Johnston")</f>
        <v>Aiden P. Johnston</v>
      </c>
      <c r="Q3133" s="6" t="str">
        <f>IFERROR(__xludf.DUMMYFUNCTION("""COMPUTED_VALUE"""),"MS")</f>
        <v>MS</v>
      </c>
      <c r="R3133" s="6">
        <f>IFERROR(__xludf.DUMMYFUNCTION("""COMPUTED_VALUE"""),0.0)</f>
        <v>0</v>
      </c>
      <c r="S3133" s="6" t="str">
        <f>IFERROR(__xludf.DUMMYFUNCTION("""COMPUTED_VALUE"""),"Ryan Shanks")</f>
        <v>Ryan Shanks</v>
      </c>
      <c r="T3133" s="6" t="str">
        <f>IFERROR(__xludf.DUMMYFUNCTION("""COMPUTED_VALUE"""),"ryan.shanks@ortrail.k12.or.us")</f>
        <v>ryan.shanks@ortrail.k12.or.us</v>
      </c>
      <c r="U3133" s="6" t="str">
        <f>IFERROR(__xludf.DUMMYFUNCTION("""COMPUTED_VALUE"""),"6")</f>
        <v>6</v>
      </c>
      <c r="V3133" s="6" t="str">
        <f>IFERROR(__xludf.DUMMYFUNCTION("""COMPUTED_VALUE"""),"English")</f>
        <v>English</v>
      </c>
      <c r="W3133" s="6" t="str">
        <f>IFERROR(__xludf.DUMMYFUNCTION("""COMPUTED_VALUE"""),"[]")</f>
        <v>[]</v>
      </c>
      <c r="X3133" s="6" t="str">
        <f>IFERROR(__xludf.DUMMYFUNCTION("""COMPUTED_VALUE"""),"Enrolled")</f>
        <v>Enrolled</v>
      </c>
    </row>
    <row r="3134">
      <c r="A3134" s="6" t="str">
        <f>IFERROR(__xludf.DUMMYFUNCTION("""COMPUTED_VALUE"""),"064-5928")</f>
        <v>064-5928</v>
      </c>
      <c r="B3134" s="6" t="str">
        <f>IFERROR(__xludf.DUMMYFUNCTION("""COMPUTED_VALUE"""),"64")</f>
        <v>64</v>
      </c>
      <c r="C3134" s="6" t="str">
        <f>IFERROR(__xludf.DUMMYFUNCTION("""COMPUTED_VALUE"""),"5928")</f>
        <v>5928</v>
      </c>
      <c r="D3134" s="6" t="str">
        <f>IFERROR(__xludf.DUMMYFUNCTION("""COMPUTED_VALUE"""),"Eliot J.")</f>
        <v>Eliot J.</v>
      </c>
      <c r="E3134" s="6" t="str">
        <f>IFERROR(__xludf.DUMMYFUNCTION("""COMPUTED_VALUE"""),"")</f>
        <v/>
      </c>
      <c r="F3134" s="6" t="str">
        <f>IFERROR(__xludf.DUMMYFUNCTION("""COMPUTED_VALUE"""),"Jones")</f>
        <v>Jones</v>
      </c>
      <c r="G3134" s="6" t="str">
        <f>IFERROR(__xludf.DUMMYFUNCTION("""COMPUTED_VALUE"""),"07/30/2013")</f>
        <v>07/30/2013</v>
      </c>
      <c r="H3134" s="6" t="str">
        <f>IFERROR(__xludf.DUMMYFUNCTION("""COMPUTED_VALUE"""),"Self Identify")</f>
        <v>Self Identify</v>
      </c>
      <c r="I3134" s="6" t="str">
        <f>IFERROR(__xludf.DUMMYFUNCTION("""COMPUTED_VALUE"""),"Middle School")</f>
        <v>Middle School</v>
      </c>
      <c r="J3134" s="6" t="str">
        <f>IFERROR(__xludf.DUMMYFUNCTION("""COMPUTED_VALUE"""),"6")</f>
        <v>6</v>
      </c>
      <c r="K3134" s="6" t="str">
        <f>IFERROR(__xludf.DUMMYFUNCTION("""COMPUTED_VALUE"""),"eliot_jones@stu.ortrail.k12.or.us")</f>
        <v>eliot_jones@stu.ortrail.k12.or.us</v>
      </c>
      <c r="L3134" s="6" t="str">
        <f>IFERROR(__xludf.DUMMYFUNCTION("""COMPUTED_VALUE"""),"Oregon Trail School District 46")</f>
        <v>Oregon Trail School District 46</v>
      </c>
      <c r="M3134" s="6" t="str">
        <f>IFERROR(__xludf.DUMMYFUNCTION("""COMPUTED_VALUE"""),"Cedar Ridge Middle School")</f>
        <v>Cedar Ridge Middle School</v>
      </c>
      <c r="N3134" s="6" t="str">
        <f>IFERROR(__xludf.DUMMYFUNCTION("""COMPUTED_VALUE"""),"")</f>
        <v/>
      </c>
      <c r="O3134" s="87" t="str">
        <f>IFERROR(__xludf.DUMMYFUNCTION("""COMPUTED_VALUE"""),"https://drive.google.com/drive/folders/10T2cTQHqEJZqE-st6uFKPoI?usp=share_link")</f>
        <v>https://drive.google.com/drive/folders/10T2cTQHqEJZqE-st6uFKPoI?usp=share_link</v>
      </c>
      <c r="P3134" s="6" t="str">
        <f>IFERROR(__xludf.DUMMYFUNCTION("""COMPUTED_VALUE"""),"Eliot J. Jones")</f>
        <v>Eliot J. Jones</v>
      </c>
      <c r="Q3134" s="6" t="str">
        <f>IFERROR(__xludf.DUMMYFUNCTION("""COMPUTED_VALUE"""),"MS")</f>
        <v>MS</v>
      </c>
      <c r="R3134" s="6">
        <f>IFERROR(__xludf.DUMMYFUNCTION("""COMPUTED_VALUE"""),0.0)</f>
        <v>0</v>
      </c>
      <c r="S3134" s="6" t="str">
        <f>IFERROR(__xludf.DUMMYFUNCTION("""COMPUTED_VALUE"""),"Ryan Shanks")</f>
        <v>Ryan Shanks</v>
      </c>
      <c r="T3134" s="6" t="str">
        <f>IFERROR(__xludf.DUMMYFUNCTION("""COMPUTED_VALUE"""),"ryan.shanks@ortrail.k12.or.us")</f>
        <v>ryan.shanks@ortrail.k12.or.us</v>
      </c>
      <c r="U3134" s="6" t="str">
        <f>IFERROR(__xludf.DUMMYFUNCTION("""COMPUTED_VALUE"""),"6")</f>
        <v>6</v>
      </c>
      <c r="V3134" s="6" t="str">
        <f>IFERROR(__xludf.DUMMYFUNCTION("""COMPUTED_VALUE"""),"English")</f>
        <v>English</v>
      </c>
      <c r="W3134" s="6" t="str">
        <f>IFERROR(__xludf.DUMMYFUNCTION("""COMPUTED_VALUE"""),"[]")</f>
        <v>[]</v>
      </c>
      <c r="X3134" s="6" t="str">
        <f>IFERROR(__xludf.DUMMYFUNCTION("""COMPUTED_VALUE"""),"Enrolled")</f>
        <v>Enrolled</v>
      </c>
    </row>
    <row r="3135">
      <c r="A3135" s="6" t="str">
        <f>IFERROR(__xludf.DUMMYFUNCTION("""COMPUTED_VALUE"""),"064-5929")</f>
        <v>064-5929</v>
      </c>
      <c r="B3135" s="6" t="str">
        <f>IFERROR(__xludf.DUMMYFUNCTION("""COMPUTED_VALUE"""),"64")</f>
        <v>64</v>
      </c>
      <c r="C3135" s="6" t="str">
        <f>IFERROR(__xludf.DUMMYFUNCTION("""COMPUTED_VALUE"""),"5929")</f>
        <v>5929</v>
      </c>
      <c r="D3135" s="6" t="str">
        <f>IFERROR(__xludf.DUMMYFUNCTION("""COMPUTED_VALUE"""),"Carter R.")</f>
        <v>Carter R.</v>
      </c>
      <c r="E3135" s="6" t="str">
        <f>IFERROR(__xludf.DUMMYFUNCTION("""COMPUTED_VALUE"""),"")</f>
        <v/>
      </c>
      <c r="F3135" s="6" t="str">
        <f>IFERROR(__xludf.DUMMYFUNCTION("""COMPUTED_VALUE"""),"Kemper")</f>
        <v>Kemper</v>
      </c>
      <c r="G3135" s="6" t="str">
        <f>IFERROR(__xludf.DUMMYFUNCTION("""COMPUTED_VALUE"""),"08/07/2012")</f>
        <v>08/07/2012</v>
      </c>
      <c r="H3135" s="6" t="str">
        <f>IFERROR(__xludf.DUMMYFUNCTION("""COMPUTED_VALUE"""),"Self Identify")</f>
        <v>Self Identify</v>
      </c>
      <c r="I3135" s="6" t="str">
        <f>IFERROR(__xludf.DUMMYFUNCTION("""COMPUTED_VALUE"""),"Middle School")</f>
        <v>Middle School</v>
      </c>
      <c r="J3135" s="6" t="str">
        <f>IFERROR(__xludf.DUMMYFUNCTION("""COMPUTED_VALUE"""),"6")</f>
        <v>6</v>
      </c>
      <c r="K3135" s="6" t="str">
        <f>IFERROR(__xludf.DUMMYFUNCTION("""COMPUTED_VALUE"""),"carter_kemper@stu.ortrail.k12.or.us")</f>
        <v>carter_kemper@stu.ortrail.k12.or.us</v>
      </c>
      <c r="L3135" s="6" t="str">
        <f>IFERROR(__xludf.DUMMYFUNCTION("""COMPUTED_VALUE"""),"Oregon Trail School District 46")</f>
        <v>Oregon Trail School District 46</v>
      </c>
      <c r="M3135" s="6" t="str">
        <f>IFERROR(__xludf.DUMMYFUNCTION("""COMPUTED_VALUE"""),"Cedar Ridge Middle School")</f>
        <v>Cedar Ridge Middle School</v>
      </c>
      <c r="N3135" s="6" t="str">
        <f>IFERROR(__xludf.DUMMYFUNCTION("""COMPUTED_VALUE"""),"")</f>
        <v/>
      </c>
      <c r="O3135" s="87" t="str">
        <f>IFERROR(__xludf.DUMMYFUNCTION("""COMPUTED_VALUE"""),"https://drive.google.com/drive/folders/10T2cTQHqEJZqE-st6uFKPoI?usp=share_link")</f>
        <v>https://drive.google.com/drive/folders/10T2cTQHqEJZqE-st6uFKPoI?usp=share_link</v>
      </c>
      <c r="P3135" s="6" t="str">
        <f>IFERROR(__xludf.DUMMYFUNCTION("""COMPUTED_VALUE"""),"Carter R. Kemper")</f>
        <v>Carter R. Kemper</v>
      </c>
      <c r="Q3135" s="6" t="str">
        <f>IFERROR(__xludf.DUMMYFUNCTION("""COMPUTED_VALUE"""),"MS")</f>
        <v>MS</v>
      </c>
      <c r="R3135" s="6">
        <f>IFERROR(__xludf.DUMMYFUNCTION("""COMPUTED_VALUE"""),0.0)</f>
        <v>0</v>
      </c>
      <c r="S3135" s="6" t="str">
        <f>IFERROR(__xludf.DUMMYFUNCTION("""COMPUTED_VALUE"""),"Ryan Shanks")</f>
        <v>Ryan Shanks</v>
      </c>
      <c r="T3135" s="6" t="str">
        <f>IFERROR(__xludf.DUMMYFUNCTION("""COMPUTED_VALUE"""),"ryan.shanks@ortrail.k12.or.us")</f>
        <v>ryan.shanks@ortrail.k12.or.us</v>
      </c>
      <c r="U3135" s="6" t="str">
        <f>IFERROR(__xludf.DUMMYFUNCTION("""COMPUTED_VALUE"""),"6")</f>
        <v>6</v>
      </c>
      <c r="V3135" s="6" t="str">
        <f>IFERROR(__xludf.DUMMYFUNCTION("""COMPUTED_VALUE"""),"English")</f>
        <v>English</v>
      </c>
      <c r="W3135" s="6" t="str">
        <f>IFERROR(__xludf.DUMMYFUNCTION("""COMPUTED_VALUE"""),"[]")</f>
        <v>[]</v>
      </c>
      <c r="X3135" s="6" t="str">
        <f>IFERROR(__xludf.DUMMYFUNCTION("""COMPUTED_VALUE"""),"Enrolled")</f>
        <v>Enrolled</v>
      </c>
    </row>
    <row r="3136">
      <c r="A3136" s="6" t="str">
        <f>IFERROR(__xludf.DUMMYFUNCTION("""COMPUTED_VALUE"""),"064-5930")</f>
        <v>064-5930</v>
      </c>
      <c r="B3136" s="6" t="str">
        <f>IFERROR(__xludf.DUMMYFUNCTION("""COMPUTED_VALUE"""),"64")</f>
        <v>64</v>
      </c>
      <c r="C3136" s="6" t="str">
        <f>IFERROR(__xludf.DUMMYFUNCTION("""COMPUTED_VALUE"""),"5930")</f>
        <v>5930</v>
      </c>
      <c r="D3136" s="6" t="str">
        <f>IFERROR(__xludf.DUMMYFUNCTION("""COMPUTED_VALUE"""),"Greyson E.")</f>
        <v>Greyson E.</v>
      </c>
      <c r="E3136" s="6" t="str">
        <f>IFERROR(__xludf.DUMMYFUNCTION("""COMPUTED_VALUE"""),"")</f>
        <v/>
      </c>
      <c r="F3136" s="6" t="str">
        <f>IFERROR(__xludf.DUMMYFUNCTION("""COMPUTED_VALUE"""),"Lentz")</f>
        <v>Lentz</v>
      </c>
      <c r="G3136" s="6" t="str">
        <f>IFERROR(__xludf.DUMMYFUNCTION("""COMPUTED_VALUE"""),"04/22/2013")</f>
        <v>04/22/2013</v>
      </c>
      <c r="H3136" s="6" t="str">
        <f>IFERROR(__xludf.DUMMYFUNCTION("""COMPUTED_VALUE"""),"Self Identify")</f>
        <v>Self Identify</v>
      </c>
      <c r="I3136" s="6" t="str">
        <f>IFERROR(__xludf.DUMMYFUNCTION("""COMPUTED_VALUE"""),"Middle School")</f>
        <v>Middle School</v>
      </c>
      <c r="J3136" s="6" t="str">
        <f>IFERROR(__xludf.DUMMYFUNCTION("""COMPUTED_VALUE"""),"6")</f>
        <v>6</v>
      </c>
      <c r="K3136" s="6" t="str">
        <f>IFERROR(__xludf.DUMMYFUNCTION("""COMPUTED_VALUE"""),"greyson_lentz@stu.ortrail.k12.or.us")</f>
        <v>greyson_lentz@stu.ortrail.k12.or.us</v>
      </c>
      <c r="L3136" s="6" t="str">
        <f>IFERROR(__xludf.DUMMYFUNCTION("""COMPUTED_VALUE"""),"Oregon Trail School District 46")</f>
        <v>Oregon Trail School District 46</v>
      </c>
      <c r="M3136" s="6" t="str">
        <f>IFERROR(__xludf.DUMMYFUNCTION("""COMPUTED_VALUE"""),"Cedar Ridge Middle School")</f>
        <v>Cedar Ridge Middle School</v>
      </c>
      <c r="N3136" s="6" t="str">
        <f>IFERROR(__xludf.DUMMYFUNCTION("""COMPUTED_VALUE"""),"")</f>
        <v/>
      </c>
      <c r="O3136" s="87" t="str">
        <f>IFERROR(__xludf.DUMMYFUNCTION("""COMPUTED_VALUE"""),"https://drive.google.com/drive/folders/10T2cTQHqEJZqE-st6uFKPoI?usp=share_link")</f>
        <v>https://drive.google.com/drive/folders/10T2cTQHqEJZqE-st6uFKPoI?usp=share_link</v>
      </c>
      <c r="P3136" s="6" t="str">
        <f>IFERROR(__xludf.DUMMYFUNCTION("""COMPUTED_VALUE"""),"Greyson E. Lentz")</f>
        <v>Greyson E. Lentz</v>
      </c>
      <c r="Q3136" s="6" t="str">
        <f>IFERROR(__xludf.DUMMYFUNCTION("""COMPUTED_VALUE"""),"MS")</f>
        <v>MS</v>
      </c>
      <c r="R3136" s="6">
        <f>IFERROR(__xludf.DUMMYFUNCTION("""COMPUTED_VALUE"""),0.0)</f>
        <v>0</v>
      </c>
      <c r="S3136" s="6" t="str">
        <f>IFERROR(__xludf.DUMMYFUNCTION("""COMPUTED_VALUE"""),"Ryan Shanks")</f>
        <v>Ryan Shanks</v>
      </c>
      <c r="T3136" s="6" t="str">
        <f>IFERROR(__xludf.DUMMYFUNCTION("""COMPUTED_VALUE"""),"ryan.shanks@ortrail.k12.or.us")</f>
        <v>ryan.shanks@ortrail.k12.or.us</v>
      </c>
      <c r="U3136" s="6" t="str">
        <f>IFERROR(__xludf.DUMMYFUNCTION("""COMPUTED_VALUE"""),"6")</f>
        <v>6</v>
      </c>
      <c r="V3136" s="6" t="str">
        <f>IFERROR(__xludf.DUMMYFUNCTION("""COMPUTED_VALUE"""),"English")</f>
        <v>English</v>
      </c>
      <c r="W3136" s="6" t="str">
        <f>IFERROR(__xludf.DUMMYFUNCTION("""COMPUTED_VALUE"""),"[]")</f>
        <v>[]</v>
      </c>
      <c r="X3136" s="6" t="str">
        <f>IFERROR(__xludf.DUMMYFUNCTION("""COMPUTED_VALUE"""),"Enrolled")</f>
        <v>Enrolled</v>
      </c>
    </row>
    <row r="3137">
      <c r="A3137" s="6" t="str">
        <f>IFERROR(__xludf.DUMMYFUNCTION("""COMPUTED_VALUE"""),"064-5932")</f>
        <v>064-5932</v>
      </c>
      <c r="B3137" s="6" t="str">
        <f>IFERROR(__xludf.DUMMYFUNCTION("""COMPUTED_VALUE"""),"64")</f>
        <v>64</v>
      </c>
      <c r="C3137" s="6" t="str">
        <f>IFERROR(__xludf.DUMMYFUNCTION("""COMPUTED_VALUE"""),"5932")</f>
        <v>5932</v>
      </c>
      <c r="D3137" s="6" t="str">
        <f>IFERROR(__xludf.DUMMYFUNCTION("""COMPUTED_VALUE"""),"Keilan J.")</f>
        <v>Keilan J.</v>
      </c>
      <c r="E3137" s="6" t="str">
        <f>IFERROR(__xludf.DUMMYFUNCTION("""COMPUTED_VALUE"""),"")</f>
        <v/>
      </c>
      <c r="F3137" s="6" t="str">
        <f>IFERROR(__xludf.DUMMYFUNCTION("""COMPUTED_VALUE"""),"Morales-Smither")</f>
        <v>Morales-Smither</v>
      </c>
      <c r="G3137" s="6" t="str">
        <f>IFERROR(__xludf.DUMMYFUNCTION("""COMPUTED_VALUE"""),"07/02/2013")</f>
        <v>07/02/2013</v>
      </c>
      <c r="H3137" s="6" t="str">
        <f>IFERROR(__xludf.DUMMYFUNCTION("""COMPUTED_VALUE"""),"Self Identify")</f>
        <v>Self Identify</v>
      </c>
      <c r="I3137" s="6" t="str">
        <f>IFERROR(__xludf.DUMMYFUNCTION("""COMPUTED_VALUE"""),"Middle School")</f>
        <v>Middle School</v>
      </c>
      <c r="J3137" s="6" t="str">
        <f>IFERROR(__xludf.DUMMYFUNCTION("""COMPUTED_VALUE"""),"7")</f>
        <v>7</v>
      </c>
      <c r="K3137" s="6" t="str">
        <f>IFERROR(__xludf.DUMMYFUNCTION("""COMPUTED_VALUE"""),"keilan_moralessmithe@stu.ortrail.k12.or.us")</f>
        <v>keilan_moralessmithe@stu.ortrail.k12.or.us</v>
      </c>
      <c r="L3137" s="6" t="str">
        <f>IFERROR(__xludf.DUMMYFUNCTION("""COMPUTED_VALUE"""),"Oregon Trail School District 46")</f>
        <v>Oregon Trail School District 46</v>
      </c>
      <c r="M3137" s="6" t="str">
        <f>IFERROR(__xludf.DUMMYFUNCTION("""COMPUTED_VALUE"""),"Cedar Ridge Middle School")</f>
        <v>Cedar Ridge Middle School</v>
      </c>
      <c r="N3137" s="6" t="str">
        <f>IFERROR(__xludf.DUMMYFUNCTION("""COMPUTED_VALUE"""),"")</f>
        <v/>
      </c>
      <c r="O3137" s="87" t="str">
        <f>IFERROR(__xludf.DUMMYFUNCTION("""COMPUTED_VALUE"""),"https://drive.google.com/drive/folders/10T2cTQHqEJZqE-st6uFKPoI?usp=share_link")</f>
        <v>https://drive.google.com/drive/folders/10T2cTQHqEJZqE-st6uFKPoI?usp=share_link</v>
      </c>
      <c r="P3137" s="6" t="str">
        <f>IFERROR(__xludf.DUMMYFUNCTION("""COMPUTED_VALUE"""),"Keilan J. Morales-Smither")</f>
        <v>Keilan J. Morales-Smither</v>
      </c>
      <c r="Q3137" s="6" t="str">
        <f>IFERROR(__xludf.DUMMYFUNCTION("""COMPUTED_VALUE"""),"MS")</f>
        <v>MS</v>
      </c>
      <c r="R3137" s="6">
        <f>IFERROR(__xludf.DUMMYFUNCTION("""COMPUTED_VALUE"""),0.0)</f>
        <v>0</v>
      </c>
      <c r="S3137" s="6" t="str">
        <f>IFERROR(__xludf.DUMMYFUNCTION("""COMPUTED_VALUE"""),"Ryan Shanks")</f>
        <v>Ryan Shanks</v>
      </c>
      <c r="T3137" s="6" t="str">
        <f>IFERROR(__xludf.DUMMYFUNCTION("""COMPUTED_VALUE"""),"ryan.shanks@ortrail.k12.or.us")</f>
        <v>ryan.shanks@ortrail.k12.or.us</v>
      </c>
      <c r="U3137" s="6" t="str">
        <f>IFERROR(__xludf.DUMMYFUNCTION("""COMPUTED_VALUE"""),"7")</f>
        <v>7</v>
      </c>
      <c r="V3137" s="6" t="str">
        <f>IFERROR(__xludf.DUMMYFUNCTION("""COMPUTED_VALUE"""),"English")</f>
        <v>English</v>
      </c>
      <c r="W3137" s="6" t="str">
        <f>IFERROR(__xludf.DUMMYFUNCTION("""COMPUTED_VALUE"""),"[]")</f>
        <v>[]</v>
      </c>
      <c r="X3137" s="6" t="str">
        <f>IFERROR(__xludf.DUMMYFUNCTION("""COMPUTED_VALUE"""),"Enrolled")</f>
        <v>Enrolled</v>
      </c>
    </row>
    <row r="3138">
      <c r="A3138" s="6" t="str">
        <f>IFERROR(__xludf.DUMMYFUNCTION("""COMPUTED_VALUE"""),"064-5933")</f>
        <v>064-5933</v>
      </c>
      <c r="B3138" s="6" t="str">
        <f>IFERROR(__xludf.DUMMYFUNCTION("""COMPUTED_VALUE"""),"64")</f>
        <v>64</v>
      </c>
      <c r="C3138" s="6" t="str">
        <f>IFERROR(__xludf.DUMMYFUNCTION("""COMPUTED_VALUE"""),"5933")</f>
        <v>5933</v>
      </c>
      <c r="D3138" s="6" t="str">
        <f>IFERROR(__xludf.DUMMYFUNCTION("""COMPUTED_VALUE"""),"Jameson A.")</f>
        <v>Jameson A.</v>
      </c>
      <c r="E3138" s="6" t="str">
        <f>IFERROR(__xludf.DUMMYFUNCTION("""COMPUTED_VALUE"""),"")</f>
        <v/>
      </c>
      <c r="F3138" s="6" t="str">
        <f>IFERROR(__xludf.DUMMYFUNCTION("""COMPUTED_VALUE"""),"Rader")</f>
        <v>Rader</v>
      </c>
      <c r="G3138" s="6" t="str">
        <f>IFERROR(__xludf.DUMMYFUNCTION("""COMPUTED_VALUE"""),"01/16/2013")</f>
        <v>01/16/2013</v>
      </c>
      <c r="H3138" s="6" t="str">
        <f>IFERROR(__xludf.DUMMYFUNCTION("""COMPUTED_VALUE"""),"Self Identify")</f>
        <v>Self Identify</v>
      </c>
      <c r="I3138" s="6" t="str">
        <f>IFERROR(__xludf.DUMMYFUNCTION("""COMPUTED_VALUE"""),"Middle School")</f>
        <v>Middle School</v>
      </c>
      <c r="J3138" s="6" t="str">
        <f>IFERROR(__xludf.DUMMYFUNCTION("""COMPUTED_VALUE"""),"7")</f>
        <v>7</v>
      </c>
      <c r="K3138" s="6" t="str">
        <f>IFERROR(__xludf.DUMMYFUNCTION("""COMPUTED_VALUE"""),"jameson_rader@stu.ortrail.k12.or.us")</f>
        <v>jameson_rader@stu.ortrail.k12.or.us</v>
      </c>
      <c r="L3138" s="6" t="str">
        <f>IFERROR(__xludf.DUMMYFUNCTION("""COMPUTED_VALUE"""),"Oregon Trail School District 46")</f>
        <v>Oregon Trail School District 46</v>
      </c>
      <c r="M3138" s="6" t="str">
        <f>IFERROR(__xludf.DUMMYFUNCTION("""COMPUTED_VALUE"""),"Cedar Ridge Middle School")</f>
        <v>Cedar Ridge Middle School</v>
      </c>
      <c r="N3138" s="6" t="str">
        <f>IFERROR(__xludf.DUMMYFUNCTION("""COMPUTED_VALUE"""),"")</f>
        <v/>
      </c>
      <c r="O3138" s="87" t="str">
        <f>IFERROR(__xludf.DUMMYFUNCTION("""COMPUTED_VALUE"""),"https://drive.google.com/drive/folders/10T2cTQHqEJZqE-st6uFKPoI?usp=share_link")</f>
        <v>https://drive.google.com/drive/folders/10T2cTQHqEJZqE-st6uFKPoI?usp=share_link</v>
      </c>
      <c r="P3138" s="6" t="str">
        <f>IFERROR(__xludf.DUMMYFUNCTION("""COMPUTED_VALUE"""),"Jameson A. Rader")</f>
        <v>Jameson A. Rader</v>
      </c>
      <c r="Q3138" s="6" t="str">
        <f>IFERROR(__xludf.DUMMYFUNCTION("""COMPUTED_VALUE"""),"MS")</f>
        <v>MS</v>
      </c>
      <c r="R3138" s="6">
        <f>IFERROR(__xludf.DUMMYFUNCTION("""COMPUTED_VALUE"""),0.0)</f>
        <v>0</v>
      </c>
      <c r="S3138" s="6" t="str">
        <f>IFERROR(__xludf.DUMMYFUNCTION("""COMPUTED_VALUE"""),"Ryan Shanks")</f>
        <v>Ryan Shanks</v>
      </c>
      <c r="T3138" s="6" t="str">
        <f>IFERROR(__xludf.DUMMYFUNCTION("""COMPUTED_VALUE"""),"ryan.shanks@ortrail.k12.or.us")</f>
        <v>ryan.shanks@ortrail.k12.or.us</v>
      </c>
      <c r="U3138" s="6" t="str">
        <f>IFERROR(__xludf.DUMMYFUNCTION("""COMPUTED_VALUE"""),"7")</f>
        <v>7</v>
      </c>
      <c r="V3138" s="6" t="str">
        <f>IFERROR(__xludf.DUMMYFUNCTION("""COMPUTED_VALUE"""),"English")</f>
        <v>English</v>
      </c>
      <c r="W3138" s="6" t="str">
        <f>IFERROR(__xludf.DUMMYFUNCTION("""COMPUTED_VALUE"""),"[]")</f>
        <v>[]</v>
      </c>
      <c r="X3138" s="6" t="str">
        <f>IFERROR(__xludf.DUMMYFUNCTION("""COMPUTED_VALUE"""),"Enrolled")</f>
        <v>Enrolled</v>
      </c>
    </row>
    <row r="3139">
      <c r="A3139" s="6" t="str">
        <f>IFERROR(__xludf.DUMMYFUNCTION("""COMPUTED_VALUE"""),"064-5934")</f>
        <v>064-5934</v>
      </c>
      <c r="B3139" s="6" t="str">
        <f>IFERROR(__xludf.DUMMYFUNCTION("""COMPUTED_VALUE"""),"64")</f>
        <v>64</v>
      </c>
      <c r="C3139" s="6" t="str">
        <f>IFERROR(__xludf.DUMMYFUNCTION("""COMPUTED_VALUE"""),"5934")</f>
        <v>5934</v>
      </c>
      <c r="D3139" s="6" t="str">
        <f>IFERROR(__xludf.DUMMYFUNCTION("""COMPUTED_VALUE"""),"Carla V.")</f>
        <v>Carla V.</v>
      </c>
      <c r="E3139" s="6" t="str">
        <f>IFERROR(__xludf.DUMMYFUNCTION("""COMPUTED_VALUE"""),"")</f>
        <v/>
      </c>
      <c r="F3139" s="6" t="str">
        <f>IFERROR(__xludf.DUMMYFUNCTION("""COMPUTED_VALUE"""),"Ramirez-Diaz")</f>
        <v>Ramirez-Diaz</v>
      </c>
      <c r="G3139" s="6" t="str">
        <f>IFERROR(__xludf.DUMMYFUNCTION("""COMPUTED_VALUE"""),"06/10/2013")</f>
        <v>06/10/2013</v>
      </c>
      <c r="H3139" s="6" t="str">
        <f>IFERROR(__xludf.DUMMYFUNCTION("""COMPUTED_VALUE"""),"Self Identify")</f>
        <v>Self Identify</v>
      </c>
      <c r="I3139" s="6" t="str">
        <f>IFERROR(__xludf.DUMMYFUNCTION("""COMPUTED_VALUE"""),"Middle School")</f>
        <v>Middle School</v>
      </c>
      <c r="J3139" s="6" t="str">
        <f>IFERROR(__xludf.DUMMYFUNCTION("""COMPUTED_VALUE"""),"7")</f>
        <v>7</v>
      </c>
      <c r="K3139" s="6" t="str">
        <f>IFERROR(__xludf.DUMMYFUNCTION("""COMPUTED_VALUE"""),"valerie_ramirezdiaz@stu.ortrail.k12.or.us")</f>
        <v>valerie_ramirezdiaz@stu.ortrail.k12.or.us</v>
      </c>
      <c r="L3139" s="6" t="str">
        <f>IFERROR(__xludf.DUMMYFUNCTION("""COMPUTED_VALUE"""),"Oregon Trail School District 46")</f>
        <v>Oregon Trail School District 46</v>
      </c>
      <c r="M3139" s="6" t="str">
        <f>IFERROR(__xludf.DUMMYFUNCTION("""COMPUTED_VALUE"""),"Cedar Ridge Middle School")</f>
        <v>Cedar Ridge Middle School</v>
      </c>
      <c r="N3139" s="6" t="str">
        <f>IFERROR(__xludf.DUMMYFUNCTION("""COMPUTED_VALUE"""),"")</f>
        <v/>
      </c>
      <c r="O3139" s="87" t="str">
        <f>IFERROR(__xludf.DUMMYFUNCTION("""COMPUTED_VALUE"""),"https://drive.google.com/drive/folders/10T2cTQHqEJZqE-st6uFKPoI?usp=share_link")</f>
        <v>https://drive.google.com/drive/folders/10T2cTQHqEJZqE-st6uFKPoI?usp=share_link</v>
      </c>
      <c r="P3139" s="6" t="str">
        <f>IFERROR(__xludf.DUMMYFUNCTION("""COMPUTED_VALUE"""),"Carla V. Ramirez-Diaz")</f>
        <v>Carla V. Ramirez-Diaz</v>
      </c>
      <c r="Q3139" s="6" t="str">
        <f>IFERROR(__xludf.DUMMYFUNCTION("""COMPUTED_VALUE"""),"MS")</f>
        <v>MS</v>
      </c>
      <c r="R3139" s="6">
        <f>IFERROR(__xludf.DUMMYFUNCTION("""COMPUTED_VALUE"""),0.0)</f>
        <v>0</v>
      </c>
      <c r="S3139" s="6" t="str">
        <f>IFERROR(__xludf.DUMMYFUNCTION("""COMPUTED_VALUE"""),"Ryan Shanks")</f>
        <v>Ryan Shanks</v>
      </c>
      <c r="T3139" s="6" t="str">
        <f>IFERROR(__xludf.DUMMYFUNCTION("""COMPUTED_VALUE"""),"ryan.shanks@ortrail.k12.or.us")</f>
        <v>ryan.shanks@ortrail.k12.or.us</v>
      </c>
      <c r="U3139" s="6" t="str">
        <f>IFERROR(__xludf.DUMMYFUNCTION("""COMPUTED_VALUE"""),"7")</f>
        <v>7</v>
      </c>
      <c r="V3139" s="6" t="str">
        <f>IFERROR(__xludf.DUMMYFUNCTION("""COMPUTED_VALUE"""),"English")</f>
        <v>English</v>
      </c>
      <c r="W3139" s="6" t="str">
        <f>IFERROR(__xludf.DUMMYFUNCTION("""COMPUTED_VALUE"""),"[]")</f>
        <v>[]</v>
      </c>
      <c r="X3139" s="6" t="str">
        <f>IFERROR(__xludf.DUMMYFUNCTION("""COMPUTED_VALUE"""),"Enrolled")</f>
        <v>Enrolled</v>
      </c>
    </row>
    <row r="3140">
      <c r="A3140" s="6" t="str">
        <f>IFERROR(__xludf.DUMMYFUNCTION("""COMPUTED_VALUE"""),"064-5935")</f>
        <v>064-5935</v>
      </c>
      <c r="B3140" s="6" t="str">
        <f>IFERROR(__xludf.DUMMYFUNCTION("""COMPUTED_VALUE"""),"64")</f>
        <v>64</v>
      </c>
      <c r="C3140" s="6" t="str">
        <f>IFERROR(__xludf.DUMMYFUNCTION("""COMPUTED_VALUE"""),"5935")</f>
        <v>5935</v>
      </c>
      <c r="D3140" s="6" t="str">
        <f>IFERROR(__xludf.DUMMYFUNCTION("""COMPUTED_VALUE"""),"Sean A.")</f>
        <v>Sean A.</v>
      </c>
      <c r="E3140" s="6" t="str">
        <f>IFERROR(__xludf.DUMMYFUNCTION("""COMPUTED_VALUE"""),"")</f>
        <v/>
      </c>
      <c r="F3140" s="6" t="str">
        <f>IFERROR(__xludf.DUMMYFUNCTION("""COMPUTED_VALUE"""),"Rhyne")</f>
        <v>Rhyne</v>
      </c>
      <c r="G3140" s="6" t="str">
        <f>IFERROR(__xludf.DUMMYFUNCTION("""COMPUTED_VALUE"""),"06/10/2012")</f>
        <v>06/10/2012</v>
      </c>
      <c r="H3140" s="6" t="str">
        <f>IFERROR(__xludf.DUMMYFUNCTION("""COMPUTED_VALUE"""),"Self Identify")</f>
        <v>Self Identify</v>
      </c>
      <c r="I3140" s="6" t="str">
        <f>IFERROR(__xludf.DUMMYFUNCTION("""COMPUTED_VALUE"""),"Middle School")</f>
        <v>Middle School</v>
      </c>
      <c r="J3140" s="6" t="str">
        <f>IFERROR(__xludf.DUMMYFUNCTION("""COMPUTED_VALUE"""),"7")</f>
        <v>7</v>
      </c>
      <c r="K3140" s="6" t="str">
        <f>IFERROR(__xludf.DUMMYFUNCTION("""COMPUTED_VALUE"""),"sean_rhyne@stu.ortrail.k12.or.us")</f>
        <v>sean_rhyne@stu.ortrail.k12.or.us</v>
      </c>
      <c r="L3140" s="6" t="str">
        <f>IFERROR(__xludf.DUMMYFUNCTION("""COMPUTED_VALUE"""),"Oregon Trail School District 46")</f>
        <v>Oregon Trail School District 46</v>
      </c>
      <c r="M3140" s="6" t="str">
        <f>IFERROR(__xludf.DUMMYFUNCTION("""COMPUTED_VALUE"""),"Cedar Ridge Middle School")</f>
        <v>Cedar Ridge Middle School</v>
      </c>
      <c r="N3140" s="6" t="str">
        <f>IFERROR(__xludf.DUMMYFUNCTION("""COMPUTED_VALUE"""),"")</f>
        <v/>
      </c>
      <c r="O3140" s="87" t="str">
        <f>IFERROR(__xludf.DUMMYFUNCTION("""COMPUTED_VALUE"""),"https://drive.google.com/drive/folders/10T2cTQHqEJZqE-st6uFKPoI?usp=share_link")</f>
        <v>https://drive.google.com/drive/folders/10T2cTQHqEJZqE-st6uFKPoI?usp=share_link</v>
      </c>
      <c r="P3140" s="6" t="str">
        <f>IFERROR(__xludf.DUMMYFUNCTION("""COMPUTED_VALUE"""),"Sean A. Rhyne")</f>
        <v>Sean A. Rhyne</v>
      </c>
      <c r="Q3140" s="6" t="str">
        <f>IFERROR(__xludf.DUMMYFUNCTION("""COMPUTED_VALUE"""),"MS")</f>
        <v>MS</v>
      </c>
      <c r="R3140" s="6">
        <f>IFERROR(__xludf.DUMMYFUNCTION("""COMPUTED_VALUE"""),0.0)</f>
        <v>0</v>
      </c>
      <c r="S3140" s="6" t="str">
        <f>IFERROR(__xludf.DUMMYFUNCTION("""COMPUTED_VALUE"""),"Ryan Shanks")</f>
        <v>Ryan Shanks</v>
      </c>
      <c r="T3140" s="6" t="str">
        <f>IFERROR(__xludf.DUMMYFUNCTION("""COMPUTED_VALUE"""),"ryan.shanks@ortrail.k12.or.us")</f>
        <v>ryan.shanks@ortrail.k12.or.us</v>
      </c>
      <c r="U3140" s="6" t="str">
        <f>IFERROR(__xludf.DUMMYFUNCTION("""COMPUTED_VALUE"""),"7")</f>
        <v>7</v>
      </c>
      <c r="V3140" s="6" t="str">
        <f>IFERROR(__xludf.DUMMYFUNCTION("""COMPUTED_VALUE"""),"English")</f>
        <v>English</v>
      </c>
      <c r="W3140" s="6" t="str">
        <f>IFERROR(__xludf.DUMMYFUNCTION("""COMPUTED_VALUE"""),"[]")</f>
        <v>[]</v>
      </c>
      <c r="X3140" s="6" t="str">
        <f>IFERROR(__xludf.DUMMYFUNCTION("""COMPUTED_VALUE"""),"Enrolled")</f>
        <v>Enrolled</v>
      </c>
    </row>
    <row r="3141">
      <c r="A3141" s="6" t="str">
        <f>IFERROR(__xludf.DUMMYFUNCTION("""COMPUTED_VALUE"""),"064-5936")</f>
        <v>064-5936</v>
      </c>
      <c r="B3141" s="6" t="str">
        <f>IFERROR(__xludf.DUMMYFUNCTION("""COMPUTED_VALUE"""),"64")</f>
        <v>64</v>
      </c>
      <c r="C3141" s="6" t="str">
        <f>IFERROR(__xludf.DUMMYFUNCTION("""COMPUTED_VALUE"""),"5936")</f>
        <v>5936</v>
      </c>
      <c r="D3141" s="6" t="str">
        <f>IFERROR(__xludf.DUMMYFUNCTION("""COMPUTED_VALUE"""),"Isabella L.")</f>
        <v>Isabella L.</v>
      </c>
      <c r="E3141" s="6" t="str">
        <f>IFERROR(__xludf.DUMMYFUNCTION("""COMPUTED_VALUE"""),"")</f>
        <v/>
      </c>
      <c r="F3141" s="6" t="str">
        <f>IFERROR(__xludf.DUMMYFUNCTION("""COMPUTED_VALUE"""),"Rodriguez")</f>
        <v>Rodriguez</v>
      </c>
      <c r="G3141" s="6" t="str">
        <f>IFERROR(__xludf.DUMMYFUNCTION("""COMPUTED_VALUE"""),"10/23/2012")</f>
        <v>10/23/2012</v>
      </c>
      <c r="H3141" s="6" t="str">
        <f>IFERROR(__xludf.DUMMYFUNCTION("""COMPUTED_VALUE"""),"Self Identify")</f>
        <v>Self Identify</v>
      </c>
      <c r="I3141" s="6" t="str">
        <f>IFERROR(__xludf.DUMMYFUNCTION("""COMPUTED_VALUE"""),"Middle School")</f>
        <v>Middle School</v>
      </c>
      <c r="J3141" s="6" t="str">
        <f>IFERROR(__xludf.DUMMYFUNCTION("""COMPUTED_VALUE"""),"7")</f>
        <v>7</v>
      </c>
      <c r="K3141" s="6" t="str">
        <f>IFERROR(__xludf.DUMMYFUNCTION("""COMPUTED_VALUE"""),"isabella_rodriguez@stu.ortrail.k12.or.us")</f>
        <v>isabella_rodriguez@stu.ortrail.k12.or.us</v>
      </c>
      <c r="L3141" s="6" t="str">
        <f>IFERROR(__xludf.DUMMYFUNCTION("""COMPUTED_VALUE"""),"Oregon Trail School District 46")</f>
        <v>Oregon Trail School District 46</v>
      </c>
      <c r="M3141" s="6" t="str">
        <f>IFERROR(__xludf.DUMMYFUNCTION("""COMPUTED_VALUE"""),"Cedar Ridge Middle School")</f>
        <v>Cedar Ridge Middle School</v>
      </c>
      <c r="N3141" s="6" t="str">
        <f>IFERROR(__xludf.DUMMYFUNCTION("""COMPUTED_VALUE"""),"")</f>
        <v/>
      </c>
      <c r="O3141" s="87" t="str">
        <f>IFERROR(__xludf.DUMMYFUNCTION("""COMPUTED_VALUE"""),"https://drive.google.com/drive/folders/10T2cTQHqEJZqE-st6uFKPoI?usp=share_link")</f>
        <v>https://drive.google.com/drive/folders/10T2cTQHqEJZqE-st6uFKPoI?usp=share_link</v>
      </c>
      <c r="P3141" s="6" t="str">
        <f>IFERROR(__xludf.DUMMYFUNCTION("""COMPUTED_VALUE"""),"Isabella L. Rodriguez")</f>
        <v>Isabella L. Rodriguez</v>
      </c>
      <c r="Q3141" s="6" t="str">
        <f>IFERROR(__xludf.DUMMYFUNCTION("""COMPUTED_VALUE"""),"MS")</f>
        <v>MS</v>
      </c>
      <c r="R3141" s="6">
        <f>IFERROR(__xludf.DUMMYFUNCTION("""COMPUTED_VALUE"""),0.0)</f>
        <v>0</v>
      </c>
      <c r="S3141" s="6" t="str">
        <f>IFERROR(__xludf.DUMMYFUNCTION("""COMPUTED_VALUE"""),"Ryan Shanks")</f>
        <v>Ryan Shanks</v>
      </c>
      <c r="T3141" s="6" t="str">
        <f>IFERROR(__xludf.DUMMYFUNCTION("""COMPUTED_VALUE"""),"ryan.shanks@ortrail.k12.or.us")</f>
        <v>ryan.shanks@ortrail.k12.or.us</v>
      </c>
      <c r="U3141" s="6" t="str">
        <f>IFERROR(__xludf.DUMMYFUNCTION("""COMPUTED_VALUE"""),"7")</f>
        <v>7</v>
      </c>
      <c r="V3141" s="6" t="str">
        <f>IFERROR(__xludf.DUMMYFUNCTION("""COMPUTED_VALUE"""),"English")</f>
        <v>English</v>
      </c>
      <c r="W3141" s="6" t="str">
        <f>IFERROR(__xludf.DUMMYFUNCTION("""COMPUTED_VALUE"""),"[]")</f>
        <v>[]</v>
      </c>
      <c r="X3141" s="6" t="str">
        <f>IFERROR(__xludf.DUMMYFUNCTION("""COMPUTED_VALUE"""),"Enrolled")</f>
        <v>Enrolled</v>
      </c>
    </row>
    <row r="3142">
      <c r="A3142" s="6" t="str">
        <f>IFERROR(__xludf.DUMMYFUNCTION("""COMPUTED_VALUE"""),"064-5937")</f>
        <v>064-5937</v>
      </c>
      <c r="B3142" s="6" t="str">
        <f>IFERROR(__xludf.DUMMYFUNCTION("""COMPUTED_VALUE"""),"64")</f>
        <v>64</v>
      </c>
      <c r="C3142" s="6" t="str">
        <f>IFERROR(__xludf.DUMMYFUNCTION("""COMPUTED_VALUE"""),"5937")</f>
        <v>5937</v>
      </c>
      <c r="D3142" s="6" t="str">
        <f>IFERROR(__xludf.DUMMYFUNCTION("""COMPUTED_VALUE"""),"Daniel D.")</f>
        <v>Daniel D.</v>
      </c>
      <c r="E3142" s="6" t="str">
        <f>IFERROR(__xludf.DUMMYFUNCTION("""COMPUTED_VALUE"""),"")</f>
        <v/>
      </c>
      <c r="F3142" s="6" t="str">
        <f>IFERROR(__xludf.DUMMYFUNCTION("""COMPUTED_VALUE"""),"Rogers")</f>
        <v>Rogers</v>
      </c>
      <c r="G3142" s="6" t="str">
        <f>IFERROR(__xludf.DUMMYFUNCTION("""COMPUTED_VALUE"""),"04/03/2013")</f>
        <v>04/03/2013</v>
      </c>
      <c r="H3142" s="6" t="str">
        <f>IFERROR(__xludf.DUMMYFUNCTION("""COMPUTED_VALUE"""),"Self Identify")</f>
        <v>Self Identify</v>
      </c>
      <c r="I3142" s="6" t="str">
        <f>IFERROR(__xludf.DUMMYFUNCTION("""COMPUTED_VALUE"""),"Middle School")</f>
        <v>Middle School</v>
      </c>
      <c r="J3142" s="6" t="str">
        <f>IFERROR(__xludf.DUMMYFUNCTION("""COMPUTED_VALUE"""),"7")</f>
        <v>7</v>
      </c>
      <c r="K3142" s="6" t="str">
        <f>IFERROR(__xludf.DUMMYFUNCTION("""COMPUTED_VALUE"""),"daniel_rogers@stu.ortrail.k12.or.us")</f>
        <v>daniel_rogers@stu.ortrail.k12.or.us</v>
      </c>
      <c r="L3142" s="6" t="str">
        <f>IFERROR(__xludf.DUMMYFUNCTION("""COMPUTED_VALUE"""),"Oregon Trail School District 46")</f>
        <v>Oregon Trail School District 46</v>
      </c>
      <c r="M3142" s="6" t="str">
        <f>IFERROR(__xludf.DUMMYFUNCTION("""COMPUTED_VALUE"""),"Cedar Ridge Middle School")</f>
        <v>Cedar Ridge Middle School</v>
      </c>
      <c r="N3142" s="6" t="str">
        <f>IFERROR(__xludf.DUMMYFUNCTION("""COMPUTED_VALUE"""),"")</f>
        <v/>
      </c>
      <c r="O3142" s="87" t="str">
        <f>IFERROR(__xludf.DUMMYFUNCTION("""COMPUTED_VALUE"""),"https://drive.google.com/drive/folders/10T2cTQHqEJZqE-st6uFKPoI?usp=share_link")</f>
        <v>https://drive.google.com/drive/folders/10T2cTQHqEJZqE-st6uFKPoI?usp=share_link</v>
      </c>
      <c r="P3142" s="6" t="str">
        <f>IFERROR(__xludf.DUMMYFUNCTION("""COMPUTED_VALUE"""),"Daniel D. Rogers")</f>
        <v>Daniel D. Rogers</v>
      </c>
      <c r="Q3142" s="6" t="str">
        <f>IFERROR(__xludf.DUMMYFUNCTION("""COMPUTED_VALUE"""),"MS")</f>
        <v>MS</v>
      </c>
      <c r="R3142" s="6">
        <f>IFERROR(__xludf.DUMMYFUNCTION("""COMPUTED_VALUE"""),0.0)</f>
        <v>0</v>
      </c>
      <c r="S3142" s="6" t="str">
        <f>IFERROR(__xludf.DUMMYFUNCTION("""COMPUTED_VALUE"""),"Ryan Shanks")</f>
        <v>Ryan Shanks</v>
      </c>
      <c r="T3142" s="6" t="str">
        <f>IFERROR(__xludf.DUMMYFUNCTION("""COMPUTED_VALUE"""),"ryan.shanks@ortrail.k12.or.us")</f>
        <v>ryan.shanks@ortrail.k12.or.us</v>
      </c>
      <c r="U3142" s="6" t="str">
        <f>IFERROR(__xludf.DUMMYFUNCTION("""COMPUTED_VALUE"""),"7")</f>
        <v>7</v>
      </c>
      <c r="V3142" s="6" t="str">
        <f>IFERROR(__xludf.DUMMYFUNCTION("""COMPUTED_VALUE"""),"English")</f>
        <v>English</v>
      </c>
      <c r="W3142" s="6" t="str">
        <f>IFERROR(__xludf.DUMMYFUNCTION("""COMPUTED_VALUE"""),"[]")</f>
        <v>[]</v>
      </c>
      <c r="X3142" s="6" t="str">
        <f>IFERROR(__xludf.DUMMYFUNCTION("""COMPUTED_VALUE"""),"Enrolled")</f>
        <v>Enrolled</v>
      </c>
    </row>
    <row r="3143">
      <c r="A3143" s="6" t="str">
        <f>IFERROR(__xludf.DUMMYFUNCTION("""COMPUTED_VALUE"""),"064-5940")</f>
        <v>064-5940</v>
      </c>
      <c r="B3143" s="6" t="str">
        <f>IFERROR(__xludf.DUMMYFUNCTION("""COMPUTED_VALUE"""),"64")</f>
        <v>64</v>
      </c>
      <c r="C3143" s="6" t="str">
        <f>IFERROR(__xludf.DUMMYFUNCTION("""COMPUTED_VALUE"""),"5940")</f>
        <v>5940</v>
      </c>
      <c r="D3143" s="6" t="str">
        <f>IFERROR(__xludf.DUMMYFUNCTION("""COMPUTED_VALUE"""),"Spencer A.")</f>
        <v>Spencer A.</v>
      </c>
      <c r="E3143" s="6" t="str">
        <f>IFERROR(__xludf.DUMMYFUNCTION("""COMPUTED_VALUE"""),"")</f>
        <v/>
      </c>
      <c r="F3143" s="6" t="str">
        <f>IFERROR(__xludf.DUMMYFUNCTION("""COMPUTED_VALUE"""),"Tyler")</f>
        <v>Tyler</v>
      </c>
      <c r="G3143" s="6" t="str">
        <f>IFERROR(__xludf.DUMMYFUNCTION("""COMPUTED_VALUE"""),"10/09/2012")</f>
        <v>10/09/2012</v>
      </c>
      <c r="H3143" s="6" t="str">
        <f>IFERROR(__xludf.DUMMYFUNCTION("""COMPUTED_VALUE"""),"Self Identify")</f>
        <v>Self Identify</v>
      </c>
      <c r="I3143" s="6" t="str">
        <f>IFERROR(__xludf.DUMMYFUNCTION("""COMPUTED_VALUE"""),"Middle School")</f>
        <v>Middle School</v>
      </c>
      <c r="J3143" s="6" t="str">
        <f>IFERROR(__xludf.DUMMYFUNCTION("""COMPUTED_VALUE"""),"7")</f>
        <v>7</v>
      </c>
      <c r="K3143" s="6" t="str">
        <f>IFERROR(__xludf.DUMMYFUNCTION("""COMPUTED_VALUE"""),"spencer_tyler@stu.ortrail.k12.or.us")</f>
        <v>spencer_tyler@stu.ortrail.k12.or.us</v>
      </c>
      <c r="L3143" s="6" t="str">
        <f>IFERROR(__xludf.DUMMYFUNCTION("""COMPUTED_VALUE"""),"Oregon Trail School District 46")</f>
        <v>Oregon Trail School District 46</v>
      </c>
      <c r="M3143" s="6" t="str">
        <f>IFERROR(__xludf.DUMMYFUNCTION("""COMPUTED_VALUE"""),"Cedar Ridge Middle School")</f>
        <v>Cedar Ridge Middle School</v>
      </c>
      <c r="N3143" s="6" t="str">
        <f>IFERROR(__xludf.DUMMYFUNCTION("""COMPUTED_VALUE"""),"")</f>
        <v/>
      </c>
      <c r="O3143" s="87" t="str">
        <f>IFERROR(__xludf.DUMMYFUNCTION("""COMPUTED_VALUE"""),"https://drive.google.com/drive/folders/10T2cTQHqEJZqE-st6uFKPoI?usp=share_link")</f>
        <v>https://drive.google.com/drive/folders/10T2cTQHqEJZqE-st6uFKPoI?usp=share_link</v>
      </c>
      <c r="P3143" s="6" t="str">
        <f>IFERROR(__xludf.DUMMYFUNCTION("""COMPUTED_VALUE"""),"Spencer A. Tyler")</f>
        <v>Spencer A. Tyler</v>
      </c>
      <c r="Q3143" s="6" t="str">
        <f>IFERROR(__xludf.DUMMYFUNCTION("""COMPUTED_VALUE"""),"MS")</f>
        <v>MS</v>
      </c>
      <c r="R3143" s="6">
        <f>IFERROR(__xludf.DUMMYFUNCTION("""COMPUTED_VALUE"""),0.0)</f>
        <v>0</v>
      </c>
      <c r="S3143" s="6" t="str">
        <f>IFERROR(__xludf.DUMMYFUNCTION("""COMPUTED_VALUE"""),"Ryan Shanks")</f>
        <v>Ryan Shanks</v>
      </c>
      <c r="T3143" s="6" t="str">
        <f>IFERROR(__xludf.DUMMYFUNCTION("""COMPUTED_VALUE"""),"ryan.shanks@ortrail.k12.or.us")</f>
        <v>ryan.shanks@ortrail.k12.or.us</v>
      </c>
      <c r="U3143" s="6" t="str">
        <f>IFERROR(__xludf.DUMMYFUNCTION("""COMPUTED_VALUE"""),"7")</f>
        <v>7</v>
      </c>
      <c r="V3143" s="6" t="str">
        <f>IFERROR(__xludf.DUMMYFUNCTION("""COMPUTED_VALUE"""),"English")</f>
        <v>English</v>
      </c>
      <c r="W3143" s="6" t="str">
        <f>IFERROR(__xludf.DUMMYFUNCTION("""COMPUTED_VALUE"""),"[]")</f>
        <v>[]</v>
      </c>
      <c r="X3143" s="6" t="str">
        <f>IFERROR(__xludf.DUMMYFUNCTION("""COMPUTED_VALUE"""),"Enrolled")</f>
        <v>Enrolled</v>
      </c>
    </row>
    <row r="3144">
      <c r="A3144" s="6" t="str">
        <f>IFERROR(__xludf.DUMMYFUNCTION("""COMPUTED_VALUE"""),"064-5941")</f>
        <v>064-5941</v>
      </c>
      <c r="B3144" s="6" t="str">
        <f>IFERROR(__xludf.DUMMYFUNCTION("""COMPUTED_VALUE"""),"64")</f>
        <v>64</v>
      </c>
      <c r="C3144" s="6" t="str">
        <f>IFERROR(__xludf.DUMMYFUNCTION("""COMPUTED_VALUE"""),"5941")</f>
        <v>5941</v>
      </c>
      <c r="D3144" s="6" t="str">
        <f>IFERROR(__xludf.DUMMYFUNCTION("""COMPUTED_VALUE"""),"Lucas A.")</f>
        <v>Lucas A.</v>
      </c>
      <c r="E3144" s="6" t="str">
        <f>IFERROR(__xludf.DUMMYFUNCTION("""COMPUTED_VALUE"""),"")</f>
        <v/>
      </c>
      <c r="F3144" s="6" t="str">
        <f>IFERROR(__xludf.DUMMYFUNCTION("""COMPUTED_VALUE"""),"Ulery")</f>
        <v>Ulery</v>
      </c>
      <c r="G3144" s="6" t="str">
        <f>IFERROR(__xludf.DUMMYFUNCTION("""COMPUTED_VALUE"""),"05/10/2013")</f>
        <v>05/10/2013</v>
      </c>
      <c r="H3144" s="6" t="str">
        <f>IFERROR(__xludf.DUMMYFUNCTION("""COMPUTED_VALUE"""),"Self Identify")</f>
        <v>Self Identify</v>
      </c>
      <c r="I3144" s="6" t="str">
        <f>IFERROR(__xludf.DUMMYFUNCTION("""COMPUTED_VALUE"""),"Middle School")</f>
        <v>Middle School</v>
      </c>
      <c r="J3144" s="6" t="str">
        <f>IFERROR(__xludf.DUMMYFUNCTION("""COMPUTED_VALUE"""),"6")</f>
        <v>6</v>
      </c>
      <c r="K3144" s="6" t="str">
        <f>IFERROR(__xludf.DUMMYFUNCTION("""COMPUTED_VALUE"""),"lucas_ulery@stu.ortrail.k12.or.us")</f>
        <v>lucas_ulery@stu.ortrail.k12.or.us</v>
      </c>
      <c r="L3144" s="6" t="str">
        <f>IFERROR(__xludf.DUMMYFUNCTION("""COMPUTED_VALUE"""),"Oregon Trail School District 46")</f>
        <v>Oregon Trail School District 46</v>
      </c>
      <c r="M3144" s="6" t="str">
        <f>IFERROR(__xludf.DUMMYFUNCTION("""COMPUTED_VALUE"""),"Cedar Ridge Middle School")</f>
        <v>Cedar Ridge Middle School</v>
      </c>
      <c r="N3144" s="6" t="str">
        <f>IFERROR(__xludf.DUMMYFUNCTION("""COMPUTED_VALUE"""),"")</f>
        <v/>
      </c>
      <c r="O3144" s="87" t="str">
        <f>IFERROR(__xludf.DUMMYFUNCTION("""COMPUTED_VALUE"""),"https://drive.google.com/drive/folders/10T2cTQHqEJZqE-st6uFKPoI?usp=share_link")</f>
        <v>https://drive.google.com/drive/folders/10T2cTQHqEJZqE-st6uFKPoI?usp=share_link</v>
      </c>
      <c r="P3144" s="6" t="str">
        <f>IFERROR(__xludf.DUMMYFUNCTION("""COMPUTED_VALUE"""),"Lucas A. Ulery")</f>
        <v>Lucas A. Ulery</v>
      </c>
      <c r="Q3144" s="6" t="str">
        <f>IFERROR(__xludf.DUMMYFUNCTION("""COMPUTED_VALUE"""),"MS")</f>
        <v>MS</v>
      </c>
      <c r="R3144" s="6">
        <f>IFERROR(__xludf.DUMMYFUNCTION("""COMPUTED_VALUE"""),0.0)</f>
        <v>0</v>
      </c>
      <c r="S3144" s="6" t="str">
        <f>IFERROR(__xludf.DUMMYFUNCTION("""COMPUTED_VALUE"""),"Ryan Shanks")</f>
        <v>Ryan Shanks</v>
      </c>
      <c r="T3144" s="6" t="str">
        <f>IFERROR(__xludf.DUMMYFUNCTION("""COMPUTED_VALUE"""),"ryan.shanks@ortrail.k12.or.us")</f>
        <v>ryan.shanks@ortrail.k12.or.us</v>
      </c>
      <c r="U3144" s="6" t="str">
        <f>IFERROR(__xludf.DUMMYFUNCTION("""COMPUTED_VALUE"""),"6")</f>
        <v>6</v>
      </c>
      <c r="V3144" s="6" t="str">
        <f>IFERROR(__xludf.DUMMYFUNCTION("""COMPUTED_VALUE"""),"English")</f>
        <v>English</v>
      </c>
      <c r="W3144" s="6" t="str">
        <f>IFERROR(__xludf.DUMMYFUNCTION("""COMPUTED_VALUE"""),"[]")</f>
        <v>[]</v>
      </c>
      <c r="X3144" s="6" t="str">
        <f>IFERROR(__xludf.DUMMYFUNCTION("""COMPUTED_VALUE"""),"Enrolled")</f>
        <v>Enrolled</v>
      </c>
    </row>
    <row r="3145">
      <c r="A3145" s="6" t="str">
        <f>IFERROR(__xludf.DUMMYFUNCTION("""COMPUTED_VALUE"""),"064-5942")</f>
        <v>064-5942</v>
      </c>
      <c r="B3145" s="6" t="str">
        <f>IFERROR(__xludf.DUMMYFUNCTION("""COMPUTED_VALUE"""),"64")</f>
        <v>64</v>
      </c>
      <c r="C3145" s="6" t="str">
        <f>IFERROR(__xludf.DUMMYFUNCTION("""COMPUTED_VALUE"""),"5942")</f>
        <v>5942</v>
      </c>
      <c r="D3145" s="6" t="str">
        <f>IFERROR(__xludf.DUMMYFUNCTION("""COMPUTED_VALUE"""),"Paige L.")</f>
        <v>Paige L.</v>
      </c>
      <c r="E3145" s="6" t="str">
        <f>IFERROR(__xludf.DUMMYFUNCTION("""COMPUTED_VALUE"""),"")</f>
        <v/>
      </c>
      <c r="F3145" s="6" t="str">
        <f>IFERROR(__xludf.DUMMYFUNCTION("""COMPUTED_VALUE"""),"Winsor")</f>
        <v>Winsor</v>
      </c>
      <c r="G3145" s="6" t="str">
        <f>IFERROR(__xludf.DUMMYFUNCTION("""COMPUTED_VALUE"""),"11/29/2012")</f>
        <v>11/29/2012</v>
      </c>
      <c r="H3145" s="6" t="str">
        <f>IFERROR(__xludf.DUMMYFUNCTION("""COMPUTED_VALUE"""),"Self Identify")</f>
        <v>Self Identify</v>
      </c>
      <c r="I3145" s="6" t="str">
        <f>IFERROR(__xludf.DUMMYFUNCTION("""COMPUTED_VALUE"""),"Middle School")</f>
        <v>Middle School</v>
      </c>
      <c r="J3145" s="6" t="str">
        <f>IFERROR(__xludf.DUMMYFUNCTION("""COMPUTED_VALUE"""),"7")</f>
        <v>7</v>
      </c>
      <c r="K3145" s="6" t="str">
        <f>IFERROR(__xludf.DUMMYFUNCTION("""COMPUTED_VALUE"""),"paige_winsor@stu.ortrail.k12.or.us")</f>
        <v>paige_winsor@stu.ortrail.k12.or.us</v>
      </c>
      <c r="L3145" s="6" t="str">
        <f>IFERROR(__xludf.DUMMYFUNCTION("""COMPUTED_VALUE"""),"Oregon Trail School District 46")</f>
        <v>Oregon Trail School District 46</v>
      </c>
      <c r="M3145" s="6" t="str">
        <f>IFERROR(__xludf.DUMMYFUNCTION("""COMPUTED_VALUE"""),"Cedar Ridge Middle School")</f>
        <v>Cedar Ridge Middle School</v>
      </c>
      <c r="N3145" s="6" t="str">
        <f>IFERROR(__xludf.DUMMYFUNCTION("""COMPUTED_VALUE"""),"")</f>
        <v/>
      </c>
      <c r="O3145" s="87" t="str">
        <f>IFERROR(__xludf.DUMMYFUNCTION("""COMPUTED_VALUE"""),"https://drive.google.com/drive/folders/10T2cTQHqEJZqE-st6uFKPoI?usp=share_link")</f>
        <v>https://drive.google.com/drive/folders/10T2cTQHqEJZqE-st6uFKPoI?usp=share_link</v>
      </c>
      <c r="P3145" s="6" t="str">
        <f>IFERROR(__xludf.DUMMYFUNCTION("""COMPUTED_VALUE"""),"Paige L. Winsor")</f>
        <v>Paige L. Winsor</v>
      </c>
      <c r="Q3145" s="6" t="str">
        <f>IFERROR(__xludf.DUMMYFUNCTION("""COMPUTED_VALUE"""),"MS")</f>
        <v>MS</v>
      </c>
      <c r="R3145" s="6">
        <f>IFERROR(__xludf.DUMMYFUNCTION("""COMPUTED_VALUE"""),0.0)</f>
        <v>0</v>
      </c>
      <c r="S3145" s="6" t="str">
        <f>IFERROR(__xludf.DUMMYFUNCTION("""COMPUTED_VALUE"""),"Ryan Shanks")</f>
        <v>Ryan Shanks</v>
      </c>
      <c r="T3145" s="6" t="str">
        <f>IFERROR(__xludf.DUMMYFUNCTION("""COMPUTED_VALUE"""),"ryan.shanks@ortrail.k12.or.us")</f>
        <v>ryan.shanks@ortrail.k12.or.us</v>
      </c>
      <c r="U3145" s="6" t="str">
        <f>IFERROR(__xludf.DUMMYFUNCTION("""COMPUTED_VALUE"""),"7")</f>
        <v>7</v>
      </c>
      <c r="V3145" s="6" t="str">
        <f>IFERROR(__xludf.DUMMYFUNCTION("""COMPUTED_VALUE"""),"English")</f>
        <v>English</v>
      </c>
      <c r="W3145" s="6" t="str">
        <f>IFERROR(__xludf.DUMMYFUNCTION("""COMPUTED_VALUE"""),"[]")</f>
        <v>[]</v>
      </c>
      <c r="X3145" s="6" t="str">
        <f>IFERROR(__xludf.DUMMYFUNCTION("""COMPUTED_VALUE"""),"Enrolled")</f>
        <v>Enrolled</v>
      </c>
    </row>
    <row r="3146">
      <c r="A3146" s="6" t="str">
        <f>IFERROR(__xludf.DUMMYFUNCTION("""COMPUTED_VALUE"""),"064-5943")</f>
        <v>064-5943</v>
      </c>
      <c r="B3146" s="6" t="str">
        <f>IFERROR(__xludf.DUMMYFUNCTION("""COMPUTED_VALUE"""),"64")</f>
        <v>64</v>
      </c>
      <c r="C3146" s="6" t="str">
        <f>IFERROR(__xludf.DUMMYFUNCTION("""COMPUTED_VALUE"""),"5943")</f>
        <v>5943</v>
      </c>
      <c r="D3146" s="6" t="str">
        <f>IFERROR(__xludf.DUMMYFUNCTION("""COMPUTED_VALUE"""),"Owen D.")</f>
        <v>Owen D.</v>
      </c>
      <c r="E3146" s="6" t="str">
        <f>IFERROR(__xludf.DUMMYFUNCTION("""COMPUTED_VALUE"""),"")</f>
        <v/>
      </c>
      <c r="F3146" s="6" t="str">
        <f>IFERROR(__xludf.DUMMYFUNCTION("""COMPUTED_VALUE"""),"Yow")</f>
        <v>Yow</v>
      </c>
      <c r="G3146" s="6" t="str">
        <f>IFERROR(__xludf.DUMMYFUNCTION("""COMPUTED_VALUE"""),"09/04/2013")</f>
        <v>09/04/2013</v>
      </c>
      <c r="H3146" s="6" t="str">
        <f>IFERROR(__xludf.DUMMYFUNCTION("""COMPUTED_VALUE"""),"Self Identify")</f>
        <v>Self Identify</v>
      </c>
      <c r="I3146" s="6" t="str">
        <f>IFERROR(__xludf.DUMMYFUNCTION("""COMPUTED_VALUE"""),"Middle School")</f>
        <v>Middle School</v>
      </c>
      <c r="J3146" s="6" t="str">
        <f>IFERROR(__xludf.DUMMYFUNCTION("""COMPUTED_VALUE"""),"7")</f>
        <v>7</v>
      </c>
      <c r="K3146" s="6" t="str">
        <f>IFERROR(__xludf.DUMMYFUNCTION("""COMPUTED_VALUE"""),"owen_yow@stu.ortrail.k12.or.us")</f>
        <v>owen_yow@stu.ortrail.k12.or.us</v>
      </c>
      <c r="L3146" s="6" t="str">
        <f>IFERROR(__xludf.DUMMYFUNCTION("""COMPUTED_VALUE"""),"Oregon Trail School District 46")</f>
        <v>Oregon Trail School District 46</v>
      </c>
      <c r="M3146" s="6" t="str">
        <f>IFERROR(__xludf.DUMMYFUNCTION("""COMPUTED_VALUE"""),"Cedar Ridge Middle School")</f>
        <v>Cedar Ridge Middle School</v>
      </c>
      <c r="N3146" s="6" t="str">
        <f>IFERROR(__xludf.DUMMYFUNCTION("""COMPUTED_VALUE"""),"")</f>
        <v/>
      </c>
      <c r="O3146" s="87" t="str">
        <f>IFERROR(__xludf.DUMMYFUNCTION("""COMPUTED_VALUE"""),"https://drive.google.com/drive/folders/10T2cTQHqEJZqE-st6uFKPoI?usp=share_link")</f>
        <v>https://drive.google.com/drive/folders/10T2cTQHqEJZqE-st6uFKPoI?usp=share_link</v>
      </c>
      <c r="P3146" s="6" t="str">
        <f>IFERROR(__xludf.DUMMYFUNCTION("""COMPUTED_VALUE"""),"Owen D. Yow")</f>
        <v>Owen D. Yow</v>
      </c>
      <c r="Q3146" s="6" t="str">
        <f>IFERROR(__xludf.DUMMYFUNCTION("""COMPUTED_VALUE"""),"MS")</f>
        <v>MS</v>
      </c>
      <c r="R3146" s="6">
        <f>IFERROR(__xludf.DUMMYFUNCTION("""COMPUTED_VALUE"""),0.0)</f>
        <v>0</v>
      </c>
      <c r="S3146" s="6" t="str">
        <f>IFERROR(__xludf.DUMMYFUNCTION("""COMPUTED_VALUE"""),"Ryan Shanks")</f>
        <v>Ryan Shanks</v>
      </c>
      <c r="T3146" s="6" t="str">
        <f>IFERROR(__xludf.DUMMYFUNCTION("""COMPUTED_VALUE"""),"ryan.shanks@ortrail.k12.or.us")</f>
        <v>ryan.shanks@ortrail.k12.or.us</v>
      </c>
      <c r="U3146" s="6" t="str">
        <f>IFERROR(__xludf.DUMMYFUNCTION("""COMPUTED_VALUE"""),"7")</f>
        <v>7</v>
      </c>
      <c r="V3146" s="6" t="str">
        <f>IFERROR(__xludf.DUMMYFUNCTION("""COMPUTED_VALUE"""),"English")</f>
        <v>English</v>
      </c>
      <c r="W3146" s="6" t="str">
        <f>IFERROR(__xludf.DUMMYFUNCTION("""COMPUTED_VALUE"""),"[]")</f>
        <v>[]</v>
      </c>
      <c r="X3146" s="6" t="str">
        <f>IFERROR(__xludf.DUMMYFUNCTION("""COMPUTED_VALUE"""),"Enrolled")</f>
        <v>Enrolled</v>
      </c>
    </row>
    <row r="3147">
      <c r="A3147" s="6" t="str">
        <f>IFERROR(__xludf.DUMMYFUNCTION("""COMPUTED_VALUE"""),"064-5944")</f>
        <v>064-5944</v>
      </c>
      <c r="B3147" s="6" t="str">
        <f>IFERROR(__xludf.DUMMYFUNCTION("""COMPUTED_VALUE"""),"64")</f>
        <v>64</v>
      </c>
      <c r="C3147" s="6" t="str">
        <f>IFERROR(__xludf.DUMMYFUNCTION("""COMPUTED_VALUE"""),"5944")</f>
        <v>5944</v>
      </c>
      <c r="D3147" s="6" t="str">
        <f>IFERROR(__xludf.DUMMYFUNCTION("""COMPUTED_VALUE"""),"Cody N.")</f>
        <v>Cody N.</v>
      </c>
      <c r="E3147" s="6" t="str">
        <f>IFERROR(__xludf.DUMMYFUNCTION("""COMPUTED_VALUE"""),"")</f>
        <v/>
      </c>
      <c r="F3147" s="6" t="str">
        <f>IFERROR(__xludf.DUMMYFUNCTION("""COMPUTED_VALUE"""),"Hess")</f>
        <v>Hess</v>
      </c>
      <c r="G3147" s="6" t="str">
        <f>IFERROR(__xludf.DUMMYFUNCTION("""COMPUTED_VALUE"""),"06/13/2014")</f>
        <v>06/13/2014</v>
      </c>
      <c r="H3147" s="6" t="str">
        <f>IFERROR(__xludf.DUMMYFUNCTION("""COMPUTED_VALUE"""),"Self Identify")</f>
        <v>Self Identify</v>
      </c>
      <c r="I3147" s="6" t="str">
        <f>IFERROR(__xludf.DUMMYFUNCTION("""COMPUTED_VALUE"""),"Middle School")</f>
        <v>Middle School</v>
      </c>
      <c r="J3147" s="6" t="str">
        <f>IFERROR(__xludf.DUMMYFUNCTION("""COMPUTED_VALUE"""),"6")</f>
        <v>6</v>
      </c>
      <c r="K3147" s="6" t="str">
        <f>IFERROR(__xludf.DUMMYFUNCTION("""COMPUTED_VALUE"""),"cody_hess@stu.ortrail.k12.or.us")</f>
        <v>cody_hess@stu.ortrail.k12.or.us</v>
      </c>
      <c r="L3147" s="6" t="str">
        <f>IFERROR(__xludf.DUMMYFUNCTION("""COMPUTED_VALUE"""),"Oregon Trail School District 46")</f>
        <v>Oregon Trail School District 46</v>
      </c>
      <c r="M3147" s="6" t="str">
        <f>IFERROR(__xludf.DUMMYFUNCTION("""COMPUTED_VALUE"""),"Cedar Ridge Middle School")</f>
        <v>Cedar Ridge Middle School</v>
      </c>
      <c r="N3147" s="6" t="str">
        <f>IFERROR(__xludf.DUMMYFUNCTION("""COMPUTED_VALUE"""),"")</f>
        <v/>
      </c>
      <c r="O3147" s="87" t="str">
        <f>IFERROR(__xludf.DUMMYFUNCTION("""COMPUTED_VALUE"""),"https://drive.google.com/drive/folders/10T2cTQHqEJZqE-st6uFKPoI?usp=share_link")</f>
        <v>https://drive.google.com/drive/folders/10T2cTQHqEJZqE-st6uFKPoI?usp=share_link</v>
      </c>
      <c r="P3147" s="6" t="str">
        <f>IFERROR(__xludf.DUMMYFUNCTION("""COMPUTED_VALUE"""),"Cody N. Hess")</f>
        <v>Cody N. Hess</v>
      </c>
      <c r="Q3147" s="6" t="str">
        <f>IFERROR(__xludf.DUMMYFUNCTION("""COMPUTED_VALUE"""),"MS")</f>
        <v>MS</v>
      </c>
      <c r="R3147" s="6">
        <f>IFERROR(__xludf.DUMMYFUNCTION("""COMPUTED_VALUE"""),0.0)</f>
        <v>0</v>
      </c>
      <c r="S3147" s="6" t="str">
        <f>IFERROR(__xludf.DUMMYFUNCTION("""COMPUTED_VALUE"""),"Sarah McIntyre")</f>
        <v>Sarah McIntyre</v>
      </c>
      <c r="T3147" s="6" t="str">
        <f>IFERROR(__xludf.DUMMYFUNCTION("""COMPUTED_VALUE"""),"sarah.mcintyre@ortrail.k12.or.us")</f>
        <v>sarah.mcintyre@ortrail.k12.or.us</v>
      </c>
      <c r="U3147" s="6" t="str">
        <f>IFERROR(__xludf.DUMMYFUNCTION("""COMPUTED_VALUE"""),"6")</f>
        <v>6</v>
      </c>
      <c r="V3147" s="6" t="str">
        <f>IFERROR(__xludf.DUMMYFUNCTION("""COMPUTED_VALUE"""),"English")</f>
        <v>English</v>
      </c>
      <c r="W3147" s="6" t="str">
        <f>IFERROR(__xludf.DUMMYFUNCTION("""COMPUTED_VALUE"""),"[]")</f>
        <v>[]</v>
      </c>
      <c r="X3147" s="6" t="str">
        <f>IFERROR(__xludf.DUMMYFUNCTION("""COMPUTED_VALUE"""),"Enrolled")</f>
        <v>Enrolled</v>
      </c>
    </row>
    <row r="3148">
      <c r="A3148" s="6" t="str">
        <f>IFERROR(__xludf.DUMMYFUNCTION("""COMPUTED_VALUE"""),"064-5945")</f>
        <v>064-5945</v>
      </c>
      <c r="B3148" s="6" t="str">
        <f>IFERROR(__xludf.DUMMYFUNCTION("""COMPUTED_VALUE"""),"64")</f>
        <v>64</v>
      </c>
      <c r="C3148" s="6" t="str">
        <f>IFERROR(__xludf.DUMMYFUNCTION("""COMPUTED_VALUE"""),"5945")</f>
        <v>5945</v>
      </c>
      <c r="D3148" s="6" t="str">
        <f>IFERROR(__xludf.DUMMYFUNCTION("""COMPUTED_VALUE"""),"Orin A.")</f>
        <v>Orin A.</v>
      </c>
      <c r="E3148" s="6" t="str">
        <f>IFERROR(__xludf.DUMMYFUNCTION("""COMPUTED_VALUE"""),"")</f>
        <v/>
      </c>
      <c r="F3148" s="6" t="str">
        <f>IFERROR(__xludf.DUMMYFUNCTION("""COMPUTED_VALUE"""),"MacIsaac")</f>
        <v>MacIsaac</v>
      </c>
      <c r="G3148" s="6" t="str">
        <f>IFERROR(__xludf.DUMMYFUNCTION("""COMPUTED_VALUE"""),"06/06/2014")</f>
        <v>06/06/2014</v>
      </c>
      <c r="H3148" s="6" t="str">
        <f>IFERROR(__xludf.DUMMYFUNCTION("""COMPUTED_VALUE"""),"Self Identify")</f>
        <v>Self Identify</v>
      </c>
      <c r="I3148" s="6" t="str">
        <f>IFERROR(__xludf.DUMMYFUNCTION("""COMPUTED_VALUE"""),"Middle School")</f>
        <v>Middle School</v>
      </c>
      <c r="J3148" s="6" t="str">
        <f>IFERROR(__xludf.DUMMYFUNCTION("""COMPUTED_VALUE"""),"6")</f>
        <v>6</v>
      </c>
      <c r="K3148" s="6" t="str">
        <f>IFERROR(__xludf.DUMMYFUNCTION("""COMPUTED_VALUE"""),"orin_macisaac@stu.ortrail.k12.or.us")</f>
        <v>orin_macisaac@stu.ortrail.k12.or.us</v>
      </c>
      <c r="L3148" s="6" t="str">
        <f>IFERROR(__xludf.DUMMYFUNCTION("""COMPUTED_VALUE"""),"Oregon Trail School District 46")</f>
        <v>Oregon Trail School District 46</v>
      </c>
      <c r="M3148" s="6" t="str">
        <f>IFERROR(__xludf.DUMMYFUNCTION("""COMPUTED_VALUE"""),"Cedar Ridge Middle School")</f>
        <v>Cedar Ridge Middle School</v>
      </c>
      <c r="N3148" s="6" t="str">
        <f>IFERROR(__xludf.DUMMYFUNCTION("""COMPUTED_VALUE"""),"")</f>
        <v/>
      </c>
      <c r="O3148" s="87" t="str">
        <f>IFERROR(__xludf.DUMMYFUNCTION("""COMPUTED_VALUE"""),"https://drive.google.com/drive/folders/10T2cTQHqEJZqE-st6uFKPoI?usp=share_link")</f>
        <v>https://drive.google.com/drive/folders/10T2cTQHqEJZqE-st6uFKPoI?usp=share_link</v>
      </c>
      <c r="P3148" s="6" t="str">
        <f>IFERROR(__xludf.DUMMYFUNCTION("""COMPUTED_VALUE"""),"Orin A. MacIsaac")</f>
        <v>Orin A. MacIsaac</v>
      </c>
      <c r="Q3148" s="6" t="str">
        <f>IFERROR(__xludf.DUMMYFUNCTION("""COMPUTED_VALUE"""),"MS")</f>
        <v>MS</v>
      </c>
      <c r="R3148" s="6">
        <f>IFERROR(__xludf.DUMMYFUNCTION("""COMPUTED_VALUE"""),0.0)</f>
        <v>0</v>
      </c>
      <c r="S3148" s="6" t="str">
        <f>IFERROR(__xludf.DUMMYFUNCTION("""COMPUTED_VALUE"""),"Sarah McIntyre")</f>
        <v>Sarah McIntyre</v>
      </c>
      <c r="T3148" s="6" t="str">
        <f>IFERROR(__xludf.DUMMYFUNCTION("""COMPUTED_VALUE"""),"sarah.mcintyre@ortrail.k12.or.us")</f>
        <v>sarah.mcintyre@ortrail.k12.or.us</v>
      </c>
      <c r="U3148" s="6" t="str">
        <f>IFERROR(__xludf.DUMMYFUNCTION("""COMPUTED_VALUE"""),"6")</f>
        <v>6</v>
      </c>
      <c r="V3148" s="6" t="str">
        <f>IFERROR(__xludf.DUMMYFUNCTION("""COMPUTED_VALUE"""),"English")</f>
        <v>English</v>
      </c>
      <c r="W3148" s="6" t="str">
        <f>IFERROR(__xludf.DUMMYFUNCTION("""COMPUTED_VALUE"""),"[]")</f>
        <v>[]</v>
      </c>
      <c r="X3148" s="6" t="str">
        <f>IFERROR(__xludf.DUMMYFUNCTION("""COMPUTED_VALUE"""),"Enrolled")</f>
        <v>Enrolled</v>
      </c>
    </row>
    <row r="3149">
      <c r="A3149" s="6" t="str">
        <f>IFERROR(__xludf.DUMMYFUNCTION("""COMPUTED_VALUE"""),"064-5946")</f>
        <v>064-5946</v>
      </c>
      <c r="B3149" s="6" t="str">
        <f>IFERROR(__xludf.DUMMYFUNCTION("""COMPUTED_VALUE"""),"64")</f>
        <v>64</v>
      </c>
      <c r="C3149" s="6" t="str">
        <f>IFERROR(__xludf.DUMMYFUNCTION("""COMPUTED_VALUE"""),"5946")</f>
        <v>5946</v>
      </c>
      <c r="D3149" s="6" t="str">
        <f>IFERROR(__xludf.DUMMYFUNCTION("""COMPUTED_VALUE"""),"Robeen")</f>
        <v>Robeen</v>
      </c>
      <c r="E3149" s="6" t="str">
        <f>IFERROR(__xludf.DUMMYFUNCTION("""COMPUTED_VALUE"""),"")</f>
        <v/>
      </c>
      <c r="F3149" s="6" t="str">
        <f>IFERROR(__xludf.DUMMYFUNCTION("""COMPUTED_VALUE"""),"Bessed")</f>
        <v>Bessed</v>
      </c>
      <c r="G3149" s="6" t="str">
        <f>IFERROR(__xludf.DUMMYFUNCTION("""COMPUTED_VALUE"""),"07/08/2014")</f>
        <v>07/08/2014</v>
      </c>
      <c r="H3149" s="6" t="str">
        <f>IFERROR(__xludf.DUMMYFUNCTION("""COMPUTED_VALUE"""),"Self Identify")</f>
        <v>Self Identify</v>
      </c>
      <c r="I3149" s="6" t="str">
        <f>IFERROR(__xludf.DUMMYFUNCTION("""COMPUTED_VALUE"""),"Middle School")</f>
        <v>Middle School</v>
      </c>
      <c r="J3149" s="6" t="str">
        <f>IFERROR(__xludf.DUMMYFUNCTION("""COMPUTED_VALUE"""),"6")</f>
        <v>6</v>
      </c>
      <c r="K3149" s="6" t="str">
        <f>IFERROR(__xludf.DUMMYFUNCTION("""COMPUTED_VALUE"""),"robeen_bessed@stu.ortrail.k12.or.us")</f>
        <v>robeen_bessed@stu.ortrail.k12.or.us</v>
      </c>
      <c r="L3149" s="6" t="str">
        <f>IFERROR(__xludf.DUMMYFUNCTION("""COMPUTED_VALUE"""),"Oregon Trail School District 46")</f>
        <v>Oregon Trail School District 46</v>
      </c>
      <c r="M3149" s="6" t="str">
        <f>IFERROR(__xludf.DUMMYFUNCTION("""COMPUTED_VALUE"""),"Cedar Ridge Middle School")</f>
        <v>Cedar Ridge Middle School</v>
      </c>
      <c r="N3149" s="6" t="str">
        <f>IFERROR(__xludf.DUMMYFUNCTION("""COMPUTED_VALUE"""),"")</f>
        <v/>
      </c>
      <c r="O3149" s="87" t="str">
        <f>IFERROR(__xludf.DUMMYFUNCTION("""COMPUTED_VALUE"""),"https://drive.google.com/drive/folders/10T2cTQHqEJZqE-st6uFKPoI?usp=share_link")</f>
        <v>https://drive.google.com/drive/folders/10T2cTQHqEJZqE-st6uFKPoI?usp=share_link</v>
      </c>
      <c r="P3149" s="6" t="str">
        <f>IFERROR(__xludf.DUMMYFUNCTION("""COMPUTED_VALUE"""),"Robeen Bessed")</f>
        <v>Robeen Bessed</v>
      </c>
      <c r="Q3149" s="6" t="str">
        <f>IFERROR(__xludf.DUMMYFUNCTION("""COMPUTED_VALUE"""),"MS")</f>
        <v>MS</v>
      </c>
      <c r="R3149" s="6">
        <f>IFERROR(__xludf.DUMMYFUNCTION("""COMPUTED_VALUE"""),0.0)</f>
        <v>0</v>
      </c>
      <c r="S3149" s="6" t="str">
        <f>IFERROR(__xludf.DUMMYFUNCTION("""COMPUTED_VALUE"""),"Sophia Kahl")</f>
        <v>Sophia Kahl</v>
      </c>
      <c r="T3149" s="6" t="str">
        <f>IFERROR(__xludf.DUMMYFUNCTION("""COMPUTED_VALUE"""),"sophia.kahl@ortrail.k12.or.us")</f>
        <v>sophia.kahl@ortrail.k12.or.us</v>
      </c>
      <c r="U3149" s="6" t="str">
        <f>IFERROR(__xludf.DUMMYFUNCTION("""COMPUTED_VALUE"""),"6")</f>
        <v>6</v>
      </c>
      <c r="V3149" s="6" t="str">
        <f>IFERROR(__xludf.DUMMYFUNCTION("""COMPUTED_VALUE"""),"English")</f>
        <v>English</v>
      </c>
      <c r="W3149" s="6" t="str">
        <f>IFERROR(__xludf.DUMMYFUNCTION("""COMPUTED_VALUE"""),"[]")</f>
        <v>[]</v>
      </c>
      <c r="X3149" s="6" t="str">
        <f>IFERROR(__xludf.DUMMYFUNCTION("""COMPUTED_VALUE"""),"Enrolled")</f>
        <v>Enrolled</v>
      </c>
    </row>
    <row r="3150">
      <c r="A3150" s="6" t="str">
        <f>IFERROR(__xludf.DUMMYFUNCTION("""COMPUTED_VALUE"""),"064-5947")</f>
        <v>064-5947</v>
      </c>
      <c r="B3150" s="6" t="str">
        <f>IFERROR(__xludf.DUMMYFUNCTION("""COMPUTED_VALUE"""),"64")</f>
        <v>64</v>
      </c>
      <c r="C3150" s="6" t="str">
        <f>IFERROR(__xludf.DUMMYFUNCTION("""COMPUTED_VALUE"""),"5947")</f>
        <v>5947</v>
      </c>
      <c r="D3150" s="6" t="str">
        <f>IFERROR(__xludf.DUMMYFUNCTION("""COMPUTED_VALUE"""),"Kinzley K.")</f>
        <v>Kinzley K.</v>
      </c>
      <c r="E3150" s="6" t="str">
        <f>IFERROR(__xludf.DUMMYFUNCTION("""COMPUTED_VALUE"""),"")</f>
        <v/>
      </c>
      <c r="F3150" s="6" t="str">
        <f>IFERROR(__xludf.DUMMYFUNCTION("""COMPUTED_VALUE"""),"Brown")</f>
        <v>Brown</v>
      </c>
      <c r="G3150" s="6" t="str">
        <f>IFERROR(__xludf.DUMMYFUNCTION("""COMPUTED_VALUE"""),"08/14/2014")</f>
        <v>08/14/2014</v>
      </c>
      <c r="H3150" s="6" t="str">
        <f>IFERROR(__xludf.DUMMYFUNCTION("""COMPUTED_VALUE"""),"Self Identify")</f>
        <v>Self Identify</v>
      </c>
      <c r="I3150" s="6" t="str">
        <f>IFERROR(__xludf.DUMMYFUNCTION("""COMPUTED_VALUE"""),"Middle School")</f>
        <v>Middle School</v>
      </c>
      <c r="J3150" s="6" t="str">
        <f>IFERROR(__xludf.DUMMYFUNCTION("""COMPUTED_VALUE"""),"6")</f>
        <v>6</v>
      </c>
      <c r="K3150" s="6" t="str">
        <f>IFERROR(__xludf.DUMMYFUNCTION("""COMPUTED_VALUE"""),"kinzley_brown@stu.ortrail.k12.or.us")</f>
        <v>kinzley_brown@stu.ortrail.k12.or.us</v>
      </c>
      <c r="L3150" s="6" t="str">
        <f>IFERROR(__xludf.DUMMYFUNCTION("""COMPUTED_VALUE"""),"Oregon Trail School District 46")</f>
        <v>Oregon Trail School District 46</v>
      </c>
      <c r="M3150" s="6" t="str">
        <f>IFERROR(__xludf.DUMMYFUNCTION("""COMPUTED_VALUE"""),"Cedar Ridge Middle School")</f>
        <v>Cedar Ridge Middle School</v>
      </c>
      <c r="N3150" s="6" t="str">
        <f>IFERROR(__xludf.DUMMYFUNCTION("""COMPUTED_VALUE"""),"")</f>
        <v/>
      </c>
      <c r="O3150" s="87" t="str">
        <f>IFERROR(__xludf.DUMMYFUNCTION("""COMPUTED_VALUE"""),"https://drive.google.com/drive/folders/10T2cTQHqEJZqE-st6uFKPoI?usp=share_link")</f>
        <v>https://drive.google.com/drive/folders/10T2cTQHqEJZqE-st6uFKPoI?usp=share_link</v>
      </c>
      <c r="P3150" s="6" t="str">
        <f>IFERROR(__xludf.DUMMYFUNCTION("""COMPUTED_VALUE"""),"Kinzley K. Brown")</f>
        <v>Kinzley K. Brown</v>
      </c>
      <c r="Q3150" s="6" t="str">
        <f>IFERROR(__xludf.DUMMYFUNCTION("""COMPUTED_VALUE"""),"MS")</f>
        <v>MS</v>
      </c>
      <c r="R3150" s="6">
        <f>IFERROR(__xludf.DUMMYFUNCTION("""COMPUTED_VALUE"""),0.0)</f>
        <v>0</v>
      </c>
      <c r="S3150" s="6" t="str">
        <f>IFERROR(__xludf.DUMMYFUNCTION("""COMPUTED_VALUE"""),"Sophia Kahl")</f>
        <v>Sophia Kahl</v>
      </c>
      <c r="T3150" s="6" t="str">
        <f>IFERROR(__xludf.DUMMYFUNCTION("""COMPUTED_VALUE"""),"sophia.kahl@ortrail.k12.or.us")</f>
        <v>sophia.kahl@ortrail.k12.or.us</v>
      </c>
      <c r="U3150" s="6" t="str">
        <f>IFERROR(__xludf.DUMMYFUNCTION("""COMPUTED_VALUE"""),"6")</f>
        <v>6</v>
      </c>
      <c r="V3150" s="6" t="str">
        <f>IFERROR(__xludf.DUMMYFUNCTION("""COMPUTED_VALUE"""),"English")</f>
        <v>English</v>
      </c>
      <c r="W3150" s="6" t="str">
        <f>IFERROR(__xludf.DUMMYFUNCTION("""COMPUTED_VALUE"""),"[]")</f>
        <v>[]</v>
      </c>
      <c r="X3150" s="6" t="str">
        <f>IFERROR(__xludf.DUMMYFUNCTION("""COMPUTED_VALUE"""),"Enrolled")</f>
        <v>Enrolled</v>
      </c>
    </row>
    <row r="3151">
      <c r="A3151" s="6" t="str">
        <f>IFERROR(__xludf.DUMMYFUNCTION("""COMPUTED_VALUE"""),"064-5948")</f>
        <v>064-5948</v>
      </c>
      <c r="B3151" s="6" t="str">
        <f>IFERROR(__xludf.DUMMYFUNCTION("""COMPUTED_VALUE"""),"64")</f>
        <v>64</v>
      </c>
      <c r="C3151" s="6" t="str">
        <f>IFERROR(__xludf.DUMMYFUNCTION("""COMPUTED_VALUE"""),"5948")</f>
        <v>5948</v>
      </c>
      <c r="D3151" s="6" t="str">
        <f>IFERROR(__xludf.DUMMYFUNCTION("""COMPUTED_VALUE"""),"Xander L.")</f>
        <v>Xander L.</v>
      </c>
      <c r="E3151" s="6" t="str">
        <f>IFERROR(__xludf.DUMMYFUNCTION("""COMPUTED_VALUE"""),"")</f>
        <v/>
      </c>
      <c r="F3151" s="6" t="str">
        <f>IFERROR(__xludf.DUMMYFUNCTION("""COMPUTED_VALUE"""),"Davidson")</f>
        <v>Davidson</v>
      </c>
      <c r="G3151" s="6" t="str">
        <f>IFERROR(__xludf.DUMMYFUNCTION("""COMPUTED_VALUE"""),"05/22/2014")</f>
        <v>05/22/2014</v>
      </c>
      <c r="H3151" s="6" t="str">
        <f>IFERROR(__xludf.DUMMYFUNCTION("""COMPUTED_VALUE"""),"Self Identify")</f>
        <v>Self Identify</v>
      </c>
      <c r="I3151" s="6" t="str">
        <f>IFERROR(__xludf.DUMMYFUNCTION("""COMPUTED_VALUE"""),"Middle School")</f>
        <v>Middle School</v>
      </c>
      <c r="J3151" s="6" t="str">
        <f>IFERROR(__xludf.DUMMYFUNCTION("""COMPUTED_VALUE"""),"6")</f>
        <v>6</v>
      </c>
      <c r="K3151" s="6" t="str">
        <f>IFERROR(__xludf.DUMMYFUNCTION("""COMPUTED_VALUE"""),"xander_davidson@stu.ortrail.k12.or.us")</f>
        <v>xander_davidson@stu.ortrail.k12.or.us</v>
      </c>
      <c r="L3151" s="6" t="str">
        <f>IFERROR(__xludf.DUMMYFUNCTION("""COMPUTED_VALUE"""),"Oregon Trail School District 46")</f>
        <v>Oregon Trail School District 46</v>
      </c>
      <c r="M3151" s="6" t="str">
        <f>IFERROR(__xludf.DUMMYFUNCTION("""COMPUTED_VALUE"""),"Cedar Ridge Middle School")</f>
        <v>Cedar Ridge Middle School</v>
      </c>
      <c r="N3151" s="6" t="str">
        <f>IFERROR(__xludf.DUMMYFUNCTION("""COMPUTED_VALUE"""),"")</f>
        <v/>
      </c>
      <c r="O3151" s="87" t="str">
        <f>IFERROR(__xludf.DUMMYFUNCTION("""COMPUTED_VALUE"""),"https://drive.google.com/drive/folders/10T2cTQHqEJZqE-st6uFKPoI?usp=share_link")</f>
        <v>https://drive.google.com/drive/folders/10T2cTQHqEJZqE-st6uFKPoI?usp=share_link</v>
      </c>
      <c r="P3151" s="6" t="str">
        <f>IFERROR(__xludf.DUMMYFUNCTION("""COMPUTED_VALUE"""),"Xander L. Davidson")</f>
        <v>Xander L. Davidson</v>
      </c>
      <c r="Q3151" s="6" t="str">
        <f>IFERROR(__xludf.DUMMYFUNCTION("""COMPUTED_VALUE"""),"MS")</f>
        <v>MS</v>
      </c>
      <c r="R3151" s="6">
        <f>IFERROR(__xludf.DUMMYFUNCTION("""COMPUTED_VALUE"""),0.0)</f>
        <v>0</v>
      </c>
      <c r="S3151" s="6" t="str">
        <f>IFERROR(__xludf.DUMMYFUNCTION("""COMPUTED_VALUE"""),"Sophia Kahl")</f>
        <v>Sophia Kahl</v>
      </c>
      <c r="T3151" s="6" t="str">
        <f>IFERROR(__xludf.DUMMYFUNCTION("""COMPUTED_VALUE"""),"sophia.kahl@ortrail.k12.or.us")</f>
        <v>sophia.kahl@ortrail.k12.or.us</v>
      </c>
      <c r="U3151" s="6" t="str">
        <f>IFERROR(__xludf.DUMMYFUNCTION("""COMPUTED_VALUE"""),"6")</f>
        <v>6</v>
      </c>
      <c r="V3151" s="6" t="str">
        <f>IFERROR(__xludf.DUMMYFUNCTION("""COMPUTED_VALUE"""),"English")</f>
        <v>English</v>
      </c>
      <c r="W3151" s="6" t="str">
        <f>IFERROR(__xludf.DUMMYFUNCTION("""COMPUTED_VALUE"""),"[]")</f>
        <v>[]</v>
      </c>
      <c r="X3151" s="6" t="str">
        <f>IFERROR(__xludf.DUMMYFUNCTION("""COMPUTED_VALUE"""),"Enrolled")</f>
        <v>Enrolled</v>
      </c>
    </row>
    <row r="3152">
      <c r="A3152" s="6" t="str">
        <f>IFERROR(__xludf.DUMMYFUNCTION("""COMPUTED_VALUE"""),"064-5949")</f>
        <v>064-5949</v>
      </c>
      <c r="B3152" s="6" t="str">
        <f>IFERROR(__xludf.DUMMYFUNCTION("""COMPUTED_VALUE"""),"64")</f>
        <v>64</v>
      </c>
      <c r="C3152" s="6" t="str">
        <f>IFERROR(__xludf.DUMMYFUNCTION("""COMPUTED_VALUE"""),"5949")</f>
        <v>5949</v>
      </c>
      <c r="D3152" s="6" t="str">
        <f>IFERROR(__xludf.DUMMYFUNCTION("""COMPUTED_VALUE"""),"Lyllian M.")</f>
        <v>Lyllian M.</v>
      </c>
      <c r="E3152" s="6" t="str">
        <f>IFERROR(__xludf.DUMMYFUNCTION("""COMPUTED_VALUE"""),"")</f>
        <v/>
      </c>
      <c r="F3152" s="6" t="str">
        <f>IFERROR(__xludf.DUMMYFUNCTION("""COMPUTED_VALUE"""),"Hoygaard")</f>
        <v>Hoygaard</v>
      </c>
      <c r="G3152" s="6" t="str">
        <f>IFERROR(__xludf.DUMMYFUNCTION("""COMPUTED_VALUE"""),"01/23/2014")</f>
        <v>01/23/2014</v>
      </c>
      <c r="H3152" s="6" t="str">
        <f>IFERROR(__xludf.DUMMYFUNCTION("""COMPUTED_VALUE"""),"Self Identify")</f>
        <v>Self Identify</v>
      </c>
      <c r="I3152" s="6" t="str">
        <f>IFERROR(__xludf.DUMMYFUNCTION("""COMPUTED_VALUE"""),"Middle School")</f>
        <v>Middle School</v>
      </c>
      <c r="J3152" s="6" t="str">
        <f>IFERROR(__xludf.DUMMYFUNCTION("""COMPUTED_VALUE"""),"6")</f>
        <v>6</v>
      </c>
      <c r="K3152" s="6" t="str">
        <f>IFERROR(__xludf.DUMMYFUNCTION("""COMPUTED_VALUE"""),"lyllian_hoygaard@stu.ortrail.k12.or.us")</f>
        <v>lyllian_hoygaard@stu.ortrail.k12.or.us</v>
      </c>
      <c r="L3152" s="6" t="str">
        <f>IFERROR(__xludf.DUMMYFUNCTION("""COMPUTED_VALUE"""),"Oregon Trail School District 46")</f>
        <v>Oregon Trail School District 46</v>
      </c>
      <c r="M3152" s="6" t="str">
        <f>IFERROR(__xludf.DUMMYFUNCTION("""COMPUTED_VALUE"""),"Cedar Ridge Middle School")</f>
        <v>Cedar Ridge Middle School</v>
      </c>
      <c r="N3152" s="6" t="str">
        <f>IFERROR(__xludf.DUMMYFUNCTION("""COMPUTED_VALUE"""),"")</f>
        <v/>
      </c>
      <c r="O3152" s="87" t="str">
        <f>IFERROR(__xludf.DUMMYFUNCTION("""COMPUTED_VALUE"""),"https://drive.google.com/drive/folders/10T2cTQHqEJZqE-st6uFKPoI?usp=share_link")</f>
        <v>https://drive.google.com/drive/folders/10T2cTQHqEJZqE-st6uFKPoI?usp=share_link</v>
      </c>
      <c r="P3152" s="6" t="str">
        <f>IFERROR(__xludf.DUMMYFUNCTION("""COMPUTED_VALUE"""),"Lyllian M. Hoygaard")</f>
        <v>Lyllian M. Hoygaard</v>
      </c>
      <c r="Q3152" s="6" t="str">
        <f>IFERROR(__xludf.DUMMYFUNCTION("""COMPUTED_VALUE"""),"MS")</f>
        <v>MS</v>
      </c>
      <c r="R3152" s="6">
        <f>IFERROR(__xludf.DUMMYFUNCTION("""COMPUTED_VALUE"""),0.0)</f>
        <v>0</v>
      </c>
      <c r="S3152" s="6" t="str">
        <f>IFERROR(__xludf.DUMMYFUNCTION("""COMPUTED_VALUE"""),"Sophia Kahl")</f>
        <v>Sophia Kahl</v>
      </c>
      <c r="T3152" s="6" t="str">
        <f>IFERROR(__xludf.DUMMYFUNCTION("""COMPUTED_VALUE"""),"sophia.kahl@ortrail.k12.or.us")</f>
        <v>sophia.kahl@ortrail.k12.or.us</v>
      </c>
      <c r="U3152" s="6" t="str">
        <f>IFERROR(__xludf.DUMMYFUNCTION("""COMPUTED_VALUE"""),"6")</f>
        <v>6</v>
      </c>
      <c r="V3152" s="6" t="str">
        <f>IFERROR(__xludf.DUMMYFUNCTION("""COMPUTED_VALUE"""),"English")</f>
        <v>English</v>
      </c>
      <c r="W3152" s="6" t="str">
        <f>IFERROR(__xludf.DUMMYFUNCTION("""COMPUTED_VALUE"""),"[]")</f>
        <v>[]</v>
      </c>
      <c r="X3152" s="6" t="str">
        <f>IFERROR(__xludf.DUMMYFUNCTION("""COMPUTED_VALUE"""),"Enrolled")</f>
        <v>Enrolled</v>
      </c>
    </row>
    <row r="3153">
      <c r="A3153" s="6" t="str">
        <f>IFERROR(__xludf.DUMMYFUNCTION("""COMPUTED_VALUE"""),"064-5951")</f>
        <v>064-5951</v>
      </c>
      <c r="B3153" s="6" t="str">
        <f>IFERROR(__xludf.DUMMYFUNCTION("""COMPUTED_VALUE"""),"64")</f>
        <v>64</v>
      </c>
      <c r="C3153" s="6" t="str">
        <f>IFERROR(__xludf.DUMMYFUNCTION("""COMPUTED_VALUE"""),"5951")</f>
        <v>5951</v>
      </c>
      <c r="D3153" s="6" t="str">
        <f>IFERROR(__xludf.DUMMYFUNCTION("""COMPUTED_VALUE"""),"Caty A.")</f>
        <v>Caty A.</v>
      </c>
      <c r="E3153" s="6" t="str">
        <f>IFERROR(__xludf.DUMMYFUNCTION("""COMPUTED_VALUE"""),"")</f>
        <v/>
      </c>
      <c r="F3153" s="6" t="str">
        <f>IFERROR(__xludf.DUMMYFUNCTION("""COMPUTED_VALUE"""),"Miguel Pedro")</f>
        <v>Miguel Pedro</v>
      </c>
      <c r="G3153" s="6" t="str">
        <f>IFERROR(__xludf.DUMMYFUNCTION("""COMPUTED_VALUE"""),"08/11/2014")</f>
        <v>08/11/2014</v>
      </c>
      <c r="H3153" s="6" t="str">
        <f>IFERROR(__xludf.DUMMYFUNCTION("""COMPUTED_VALUE"""),"Self Identify")</f>
        <v>Self Identify</v>
      </c>
      <c r="I3153" s="6" t="str">
        <f>IFERROR(__xludf.DUMMYFUNCTION("""COMPUTED_VALUE"""),"Middle School")</f>
        <v>Middle School</v>
      </c>
      <c r="J3153" s="6" t="str">
        <f>IFERROR(__xludf.DUMMYFUNCTION("""COMPUTED_VALUE"""),"6")</f>
        <v>6</v>
      </c>
      <c r="K3153" s="6" t="str">
        <f>IFERROR(__xludf.DUMMYFUNCTION("""COMPUTED_VALUE"""),"caty_miguelpedro@stu.ortrail.k12.or.us")</f>
        <v>caty_miguelpedro@stu.ortrail.k12.or.us</v>
      </c>
      <c r="L3153" s="6" t="str">
        <f>IFERROR(__xludf.DUMMYFUNCTION("""COMPUTED_VALUE"""),"Oregon Trail School District 46")</f>
        <v>Oregon Trail School District 46</v>
      </c>
      <c r="M3153" s="6" t="str">
        <f>IFERROR(__xludf.DUMMYFUNCTION("""COMPUTED_VALUE"""),"Cedar Ridge Middle School")</f>
        <v>Cedar Ridge Middle School</v>
      </c>
      <c r="N3153" s="6" t="str">
        <f>IFERROR(__xludf.DUMMYFUNCTION("""COMPUTED_VALUE"""),"")</f>
        <v/>
      </c>
      <c r="O3153" s="87" t="str">
        <f>IFERROR(__xludf.DUMMYFUNCTION("""COMPUTED_VALUE"""),"https://drive.google.com/drive/folders/10T2cTQHqEJZqE-st6uFKPoI?usp=share_link")</f>
        <v>https://drive.google.com/drive/folders/10T2cTQHqEJZqE-st6uFKPoI?usp=share_link</v>
      </c>
      <c r="P3153" s="6" t="str">
        <f>IFERROR(__xludf.DUMMYFUNCTION("""COMPUTED_VALUE"""),"Caty A. Miguel Pedro")</f>
        <v>Caty A. Miguel Pedro</v>
      </c>
      <c r="Q3153" s="6" t="str">
        <f>IFERROR(__xludf.DUMMYFUNCTION("""COMPUTED_VALUE"""),"MS")</f>
        <v>MS</v>
      </c>
      <c r="R3153" s="6">
        <f>IFERROR(__xludf.DUMMYFUNCTION("""COMPUTED_VALUE"""),0.0)</f>
        <v>0</v>
      </c>
      <c r="S3153" s="6" t="str">
        <f>IFERROR(__xludf.DUMMYFUNCTION("""COMPUTED_VALUE"""),"Maria Ruiz-Perez")</f>
        <v>Maria Ruiz-Perez</v>
      </c>
      <c r="T3153" s="6" t="str">
        <f>IFERROR(__xludf.DUMMYFUNCTION("""COMPUTED_VALUE"""),"maria.perez@ortrail.k12.or.us")</f>
        <v>maria.perez@ortrail.k12.or.us</v>
      </c>
      <c r="U3153" s="6" t="str">
        <f>IFERROR(__xludf.DUMMYFUNCTION("""COMPUTED_VALUE"""),"6")</f>
        <v>6</v>
      </c>
      <c r="V3153" s="6" t="str">
        <f>IFERROR(__xludf.DUMMYFUNCTION("""COMPUTED_VALUE"""),"English")</f>
        <v>English</v>
      </c>
      <c r="W3153" s="6" t="str">
        <f>IFERROR(__xludf.DUMMYFUNCTION("""COMPUTED_VALUE"""),"[]")</f>
        <v>[]</v>
      </c>
      <c r="X3153" s="6" t="str">
        <f>IFERROR(__xludf.DUMMYFUNCTION("""COMPUTED_VALUE"""),"Enrolled")</f>
        <v>Enrolled</v>
      </c>
    </row>
    <row r="3154">
      <c r="A3154" s="6" t="str">
        <f>IFERROR(__xludf.DUMMYFUNCTION("""COMPUTED_VALUE"""),"064-5952")</f>
        <v>064-5952</v>
      </c>
      <c r="B3154" s="6" t="str">
        <f>IFERROR(__xludf.DUMMYFUNCTION("""COMPUTED_VALUE"""),"64")</f>
        <v>64</v>
      </c>
      <c r="C3154" s="6" t="str">
        <f>IFERROR(__xludf.DUMMYFUNCTION("""COMPUTED_VALUE"""),"5952")</f>
        <v>5952</v>
      </c>
      <c r="D3154" s="6" t="str">
        <f>IFERROR(__xludf.DUMMYFUNCTION("""COMPUTED_VALUE"""),"Eva I.")</f>
        <v>Eva I.</v>
      </c>
      <c r="E3154" s="6" t="str">
        <f>IFERROR(__xludf.DUMMYFUNCTION("""COMPUTED_VALUE"""),"")</f>
        <v/>
      </c>
      <c r="F3154" s="6" t="str">
        <f>IFERROR(__xludf.DUMMYFUNCTION("""COMPUTED_VALUE"""),"Parker")</f>
        <v>Parker</v>
      </c>
      <c r="G3154" s="6" t="str">
        <f>IFERROR(__xludf.DUMMYFUNCTION("""COMPUTED_VALUE"""),"07/23/2014")</f>
        <v>07/23/2014</v>
      </c>
      <c r="H3154" s="6" t="str">
        <f>IFERROR(__xludf.DUMMYFUNCTION("""COMPUTED_VALUE"""),"Self Identify")</f>
        <v>Self Identify</v>
      </c>
      <c r="I3154" s="6" t="str">
        <f>IFERROR(__xludf.DUMMYFUNCTION("""COMPUTED_VALUE"""),"Middle School")</f>
        <v>Middle School</v>
      </c>
      <c r="J3154" s="6" t="str">
        <f>IFERROR(__xludf.DUMMYFUNCTION("""COMPUTED_VALUE"""),"6")</f>
        <v>6</v>
      </c>
      <c r="K3154" s="6" t="str">
        <f>IFERROR(__xludf.DUMMYFUNCTION("""COMPUTED_VALUE"""),"eva_parker@stu.ortrail.k12.or.us")</f>
        <v>eva_parker@stu.ortrail.k12.or.us</v>
      </c>
      <c r="L3154" s="6" t="str">
        <f>IFERROR(__xludf.DUMMYFUNCTION("""COMPUTED_VALUE"""),"Oregon Trail School District 46")</f>
        <v>Oregon Trail School District 46</v>
      </c>
      <c r="M3154" s="6" t="str">
        <f>IFERROR(__xludf.DUMMYFUNCTION("""COMPUTED_VALUE"""),"Cedar Ridge Middle School")</f>
        <v>Cedar Ridge Middle School</v>
      </c>
      <c r="N3154" s="6" t="str">
        <f>IFERROR(__xludf.DUMMYFUNCTION("""COMPUTED_VALUE"""),"")</f>
        <v/>
      </c>
      <c r="O3154" s="87" t="str">
        <f>IFERROR(__xludf.DUMMYFUNCTION("""COMPUTED_VALUE"""),"https://drive.google.com/drive/folders/10T2cTQHqEJZqE-st6uFKPoI?usp=share_link")</f>
        <v>https://drive.google.com/drive/folders/10T2cTQHqEJZqE-st6uFKPoI?usp=share_link</v>
      </c>
      <c r="P3154" s="6" t="str">
        <f>IFERROR(__xludf.DUMMYFUNCTION("""COMPUTED_VALUE"""),"Eva I. Parker")</f>
        <v>Eva I. Parker</v>
      </c>
      <c r="Q3154" s="6" t="str">
        <f>IFERROR(__xludf.DUMMYFUNCTION("""COMPUTED_VALUE"""),"MS")</f>
        <v>MS</v>
      </c>
      <c r="R3154" s="6">
        <f>IFERROR(__xludf.DUMMYFUNCTION("""COMPUTED_VALUE"""),0.0)</f>
        <v>0</v>
      </c>
      <c r="S3154" s="6" t="str">
        <f>IFERROR(__xludf.DUMMYFUNCTION("""COMPUTED_VALUE"""),"Sophia Kahl")</f>
        <v>Sophia Kahl</v>
      </c>
      <c r="T3154" s="6" t="str">
        <f>IFERROR(__xludf.DUMMYFUNCTION("""COMPUTED_VALUE"""),"sophia.kahl@ortrail.k12.or.us")</f>
        <v>sophia.kahl@ortrail.k12.or.us</v>
      </c>
      <c r="U3154" s="6" t="str">
        <f>IFERROR(__xludf.DUMMYFUNCTION("""COMPUTED_VALUE"""),"6")</f>
        <v>6</v>
      </c>
      <c r="V3154" s="6" t="str">
        <f>IFERROR(__xludf.DUMMYFUNCTION("""COMPUTED_VALUE"""),"English")</f>
        <v>English</v>
      </c>
      <c r="W3154" s="6" t="str">
        <f>IFERROR(__xludf.DUMMYFUNCTION("""COMPUTED_VALUE"""),"[]")</f>
        <v>[]</v>
      </c>
      <c r="X3154" s="6" t="str">
        <f>IFERROR(__xludf.DUMMYFUNCTION("""COMPUTED_VALUE"""),"Enrolled")</f>
        <v>Enrolled</v>
      </c>
    </row>
    <row r="3155">
      <c r="A3155" s="6" t="str">
        <f>IFERROR(__xludf.DUMMYFUNCTION("""COMPUTED_VALUE"""),"064-5953")</f>
        <v>064-5953</v>
      </c>
      <c r="B3155" s="6" t="str">
        <f>IFERROR(__xludf.DUMMYFUNCTION("""COMPUTED_VALUE"""),"64")</f>
        <v>64</v>
      </c>
      <c r="C3155" s="6" t="str">
        <f>IFERROR(__xludf.DUMMYFUNCTION("""COMPUTED_VALUE"""),"5953")</f>
        <v>5953</v>
      </c>
      <c r="D3155" s="6" t="str">
        <f>IFERROR(__xludf.DUMMYFUNCTION("""COMPUTED_VALUE"""),"Sadie K.")</f>
        <v>Sadie K.</v>
      </c>
      <c r="E3155" s="6" t="str">
        <f>IFERROR(__xludf.DUMMYFUNCTION("""COMPUTED_VALUE"""),"")</f>
        <v/>
      </c>
      <c r="F3155" s="6" t="str">
        <f>IFERROR(__xludf.DUMMYFUNCTION("""COMPUTED_VALUE"""),"Pedersen")</f>
        <v>Pedersen</v>
      </c>
      <c r="G3155" s="6" t="str">
        <f>IFERROR(__xludf.DUMMYFUNCTION("""COMPUTED_VALUE"""),"05/10/2014")</f>
        <v>05/10/2014</v>
      </c>
      <c r="H3155" s="6" t="str">
        <f>IFERROR(__xludf.DUMMYFUNCTION("""COMPUTED_VALUE"""),"Self Identify")</f>
        <v>Self Identify</v>
      </c>
      <c r="I3155" s="6" t="str">
        <f>IFERROR(__xludf.DUMMYFUNCTION("""COMPUTED_VALUE"""),"Middle School")</f>
        <v>Middle School</v>
      </c>
      <c r="J3155" s="6" t="str">
        <f>IFERROR(__xludf.DUMMYFUNCTION("""COMPUTED_VALUE"""),"6")</f>
        <v>6</v>
      </c>
      <c r="K3155" s="6" t="str">
        <f>IFERROR(__xludf.DUMMYFUNCTION("""COMPUTED_VALUE"""),"sadie_pedersen@stu.ortrail.k12.or.us")</f>
        <v>sadie_pedersen@stu.ortrail.k12.or.us</v>
      </c>
      <c r="L3155" s="6" t="str">
        <f>IFERROR(__xludf.DUMMYFUNCTION("""COMPUTED_VALUE"""),"Oregon Trail School District 46")</f>
        <v>Oregon Trail School District 46</v>
      </c>
      <c r="M3155" s="6" t="str">
        <f>IFERROR(__xludf.DUMMYFUNCTION("""COMPUTED_VALUE"""),"Cedar Ridge Middle School")</f>
        <v>Cedar Ridge Middle School</v>
      </c>
      <c r="N3155" s="6" t="str">
        <f>IFERROR(__xludf.DUMMYFUNCTION("""COMPUTED_VALUE"""),"")</f>
        <v/>
      </c>
      <c r="O3155" s="87" t="str">
        <f>IFERROR(__xludf.DUMMYFUNCTION("""COMPUTED_VALUE"""),"https://drive.google.com/drive/folders/10T2cTQHqEJZqE-st6uFKPoI?usp=share_link")</f>
        <v>https://drive.google.com/drive/folders/10T2cTQHqEJZqE-st6uFKPoI?usp=share_link</v>
      </c>
      <c r="P3155" s="6" t="str">
        <f>IFERROR(__xludf.DUMMYFUNCTION("""COMPUTED_VALUE"""),"Sadie K. Pedersen")</f>
        <v>Sadie K. Pedersen</v>
      </c>
      <c r="Q3155" s="6" t="str">
        <f>IFERROR(__xludf.DUMMYFUNCTION("""COMPUTED_VALUE"""),"MS")</f>
        <v>MS</v>
      </c>
      <c r="R3155" s="6">
        <f>IFERROR(__xludf.DUMMYFUNCTION("""COMPUTED_VALUE"""),0.0)</f>
        <v>0</v>
      </c>
      <c r="S3155" s="6" t="str">
        <f>IFERROR(__xludf.DUMMYFUNCTION("""COMPUTED_VALUE"""),"Sophia Kahl")</f>
        <v>Sophia Kahl</v>
      </c>
      <c r="T3155" s="6" t="str">
        <f>IFERROR(__xludf.DUMMYFUNCTION("""COMPUTED_VALUE"""),"sophia.kahl@ortrail.k12.or.us")</f>
        <v>sophia.kahl@ortrail.k12.or.us</v>
      </c>
      <c r="U3155" s="6" t="str">
        <f>IFERROR(__xludf.DUMMYFUNCTION("""COMPUTED_VALUE"""),"6")</f>
        <v>6</v>
      </c>
      <c r="V3155" s="6" t="str">
        <f>IFERROR(__xludf.DUMMYFUNCTION("""COMPUTED_VALUE"""),"English")</f>
        <v>English</v>
      </c>
      <c r="W3155" s="6" t="str">
        <f>IFERROR(__xludf.DUMMYFUNCTION("""COMPUTED_VALUE"""),"[]")</f>
        <v>[]</v>
      </c>
      <c r="X3155" s="6" t="str">
        <f>IFERROR(__xludf.DUMMYFUNCTION("""COMPUTED_VALUE"""),"Enrolled")</f>
        <v>Enrolled</v>
      </c>
    </row>
    <row r="3156">
      <c r="A3156" s="6" t="str">
        <f>IFERROR(__xludf.DUMMYFUNCTION("""COMPUTED_VALUE"""),"064-5954")</f>
        <v>064-5954</v>
      </c>
      <c r="B3156" s="6" t="str">
        <f>IFERROR(__xludf.DUMMYFUNCTION("""COMPUTED_VALUE"""),"64")</f>
        <v>64</v>
      </c>
      <c r="C3156" s="6" t="str">
        <f>IFERROR(__xludf.DUMMYFUNCTION("""COMPUTED_VALUE"""),"5954")</f>
        <v>5954</v>
      </c>
      <c r="D3156" s="6" t="str">
        <f>IFERROR(__xludf.DUMMYFUNCTION("""COMPUTED_VALUE"""),"Xavier R.")</f>
        <v>Xavier R.</v>
      </c>
      <c r="E3156" s="6" t="str">
        <f>IFERROR(__xludf.DUMMYFUNCTION("""COMPUTED_VALUE"""),"")</f>
        <v/>
      </c>
      <c r="F3156" s="6" t="str">
        <f>IFERROR(__xludf.DUMMYFUNCTION("""COMPUTED_VALUE"""),"Veith")</f>
        <v>Veith</v>
      </c>
      <c r="G3156" s="6" t="str">
        <f>IFERROR(__xludf.DUMMYFUNCTION("""COMPUTED_VALUE"""),"10/06/2013")</f>
        <v>10/06/2013</v>
      </c>
      <c r="H3156" s="6" t="str">
        <f>IFERROR(__xludf.DUMMYFUNCTION("""COMPUTED_VALUE"""),"Self Identify")</f>
        <v>Self Identify</v>
      </c>
      <c r="I3156" s="6" t="str">
        <f>IFERROR(__xludf.DUMMYFUNCTION("""COMPUTED_VALUE"""),"Middle School")</f>
        <v>Middle School</v>
      </c>
      <c r="J3156" s="6" t="str">
        <f>IFERROR(__xludf.DUMMYFUNCTION("""COMPUTED_VALUE"""),"6")</f>
        <v>6</v>
      </c>
      <c r="K3156" s="6" t="str">
        <f>IFERROR(__xludf.DUMMYFUNCTION("""COMPUTED_VALUE"""),"xavier_veith@stu.ortrail.k12.or.us")</f>
        <v>xavier_veith@stu.ortrail.k12.or.us</v>
      </c>
      <c r="L3156" s="6" t="str">
        <f>IFERROR(__xludf.DUMMYFUNCTION("""COMPUTED_VALUE"""),"Oregon Trail School District 46")</f>
        <v>Oregon Trail School District 46</v>
      </c>
      <c r="M3156" s="6" t="str">
        <f>IFERROR(__xludf.DUMMYFUNCTION("""COMPUTED_VALUE"""),"Cedar Ridge Middle School")</f>
        <v>Cedar Ridge Middle School</v>
      </c>
      <c r="N3156" s="6" t="str">
        <f>IFERROR(__xludf.DUMMYFUNCTION("""COMPUTED_VALUE"""),"")</f>
        <v/>
      </c>
      <c r="O3156" s="87" t="str">
        <f>IFERROR(__xludf.DUMMYFUNCTION("""COMPUTED_VALUE"""),"https://drive.google.com/drive/folders/10T2cTQHqEJZqE-st6uFKPoI?usp=share_link")</f>
        <v>https://drive.google.com/drive/folders/10T2cTQHqEJZqE-st6uFKPoI?usp=share_link</v>
      </c>
      <c r="P3156" s="6" t="str">
        <f>IFERROR(__xludf.DUMMYFUNCTION("""COMPUTED_VALUE"""),"Xavier R. Veith")</f>
        <v>Xavier R. Veith</v>
      </c>
      <c r="Q3156" s="6" t="str">
        <f>IFERROR(__xludf.DUMMYFUNCTION("""COMPUTED_VALUE"""),"MS")</f>
        <v>MS</v>
      </c>
      <c r="R3156" s="6">
        <f>IFERROR(__xludf.DUMMYFUNCTION("""COMPUTED_VALUE"""),0.0)</f>
        <v>0</v>
      </c>
      <c r="S3156" s="6" t="str">
        <f>IFERROR(__xludf.DUMMYFUNCTION("""COMPUTED_VALUE"""),"Sophia Kahl")</f>
        <v>Sophia Kahl</v>
      </c>
      <c r="T3156" s="6" t="str">
        <f>IFERROR(__xludf.DUMMYFUNCTION("""COMPUTED_VALUE"""),"sophia.kahl@ortrail.k12.or.us")</f>
        <v>sophia.kahl@ortrail.k12.or.us</v>
      </c>
      <c r="U3156" s="6" t="str">
        <f>IFERROR(__xludf.DUMMYFUNCTION("""COMPUTED_VALUE"""),"6")</f>
        <v>6</v>
      </c>
      <c r="V3156" s="6" t="str">
        <f>IFERROR(__xludf.DUMMYFUNCTION("""COMPUTED_VALUE"""),"English")</f>
        <v>English</v>
      </c>
      <c r="W3156" s="6" t="str">
        <f>IFERROR(__xludf.DUMMYFUNCTION("""COMPUTED_VALUE"""),"[]")</f>
        <v>[]</v>
      </c>
      <c r="X3156" s="6" t="str">
        <f>IFERROR(__xludf.DUMMYFUNCTION("""COMPUTED_VALUE"""),"Enrolled")</f>
        <v>Enrolled</v>
      </c>
    </row>
    <row r="3157">
      <c r="A3157" s="6" t="str">
        <f>IFERROR(__xludf.DUMMYFUNCTION("""COMPUTED_VALUE"""),"064-5956")</f>
        <v>064-5956</v>
      </c>
      <c r="B3157" s="6" t="str">
        <f>IFERROR(__xludf.DUMMYFUNCTION("""COMPUTED_VALUE"""),"64")</f>
        <v>64</v>
      </c>
      <c r="C3157" s="6" t="str">
        <f>IFERROR(__xludf.DUMMYFUNCTION("""COMPUTED_VALUE"""),"5956")</f>
        <v>5956</v>
      </c>
      <c r="D3157" s="6" t="str">
        <f>IFERROR(__xludf.DUMMYFUNCTION("""COMPUTED_VALUE"""),"Dakota K.")</f>
        <v>Dakota K.</v>
      </c>
      <c r="E3157" s="6" t="str">
        <f>IFERROR(__xludf.DUMMYFUNCTION("""COMPUTED_VALUE"""),"")</f>
        <v/>
      </c>
      <c r="F3157" s="6" t="str">
        <f>IFERROR(__xludf.DUMMYFUNCTION("""COMPUTED_VALUE"""),"Willman")</f>
        <v>Willman</v>
      </c>
      <c r="G3157" s="6" t="str">
        <f>IFERROR(__xludf.DUMMYFUNCTION("""COMPUTED_VALUE"""),"05/16/2014")</f>
        <v>05/16/2014</v>
      </c>
      <c r="H3157" s="6" t="str">
        <f>IFERROR(__xludf.DUMMYFUNCTION("""COMPUTED_VALUE"""),"Self Identify")</f>
        <v>Self Identify</v>
      </c>
      <c r="I3157" s="6" t="str">
        <f>IFERROR(__xludf.DUMMYFUNCTION("""COMPUTED_VALUE"""),"Middle School")</f>
        <v>Middle School</v>
      </c>
      <c r="J3157" s="6" t="str">
        <f>IFERROR(__xludf.DUMMYFUNCTION("""COMPUTED_VALUE"""),"6")</f>
        <v>6</v>
      </c>
      <c r="K3157" s="6" t="str">
        <f>IFERROR(__xludf.DUMMYFUNCTION("""COMPUTED_VALUE"""),"dakota_willman@stu.ortrail.k12.or.us")</f>
        <v>dakota_willman@stu.ortrail.k12.or.us</v>
      </c>
      <c r="L3157" s="6" t="str">
        <f>IFERROR(__xludf.DUMMYFUNCTION("""COMPUTED_VALUE"""),"Oregon Trail School District 46")</f>
        <v>Oregon Trail School District 46</v>
      </c>
      <c r="M3157" s="6" t="str">
        <f>IFERROR(__xludf.DUMMYFUNCTION("""COMPUTED_VALUE"""),"Cedar Ridge Middle School")</f>
        <v>Cedar Ridge Middle School</v>
      </c>
      <c r="N3157" s="6" t="str">
        <f>IFERROR(__xludf.DUMMYFUNCTION("""COMPUTED_VALUE"""),"")</f>
        <v/>
      </c>
      <c r="O3157" s="87" t="str">
        <f>IFERROR(__xludf.DUMMYFUNCTION("""COMPUTED_VALUE"""),"https://drive.google.com/drive/folders/10T2cTQHqEJZqE-st6uFKPoI?usp=share_link")</f>
        <v>https://drive.google.com/drive/folders/10T2cTQHqEJZqE-st6uFKPoI?usp=share_link</v>
      </c>
      <c r="P3157" s="6" t="str">
        <f>IFERROR(__xludf.DUMMYFUNCTION("""COMPUTED_VALUE"""),"Dakota K. Willman")</f>
        <v>Dakota K. Willman</v>
      </c>
      <c r="Q3157" s="6" t="str">
        <f>IFERROR(__xludf.DUMMYFUNCTION("""COMPUTED_VALUE"""),"MS")</f>
        <v>MS</v>
      </c>
      <c r="R3157" s="6">
        <f>IFERROR(__xludf.DUMMYFUNCTION("""COMPUTED_VALUE"""),0.0)</f>
        <v>0</v>
      </c>
      <c r="S3157" s="6" t="str">
        <f>IFERROR(__xludf.DUMMYFUNCTION("""COMPUTED_VALUE"""),"Sophia Kahl")</f>
        <v>Sophia Kahl</v>
      </c>
      <c r="T3157" s="6" t="str">
        <f>IFERROR(__xludf.DUMMYFUNCTION("""COMPUTED_VALUE"""),"sophia.kahl@ortrail.k12.or.us")</f>
        <v>sophia.kahl@ortrail.k12.or.us</v>
      </c>
      <c r="U3157" s="6" t="str">
        <f>IFERROR(__xludf.DUMMYFUNCTION("""COMPUTED_VALUE"""),"6")</f>
        <v>6</v>
      </c>
      <c r="V3157" s="6" t="str">
        <f>IFERROR(__xludf.DUMMYFUNCTION("""COMPUTED_VALUE"""),"English")</f>
        <v>English</v>
      </c>
      <c r="W3157" s="6" t="str">
        <f>IFERROR(__xludf.DUMMYFUNCTION("""COMPUTED_VALUE"""),"[]")</f>
        <v>[]</v>
      </c>
      <c r="X3157" s="6" t="str">
        <f>IFERROR(__xludf.DUMMYFUNCTION("""COMPUTED_VALUE"""),"Enrolled")</f>
        <v>Enrolled</v>
      </c>
    </row>
    <row r="3158">
      <c r="A3158" s="6" t="str">
        <f>IFERROR(__xludf.DUMMYFUNCTION("""COMPUTED_VALUE"""),"064-5957")</f>
        <v>064-5957</v>
      </c>
      <c r="B3158" s="6" t="str">
        <f>IFERROR(__xludf.DUMMYFUNCTION("""COMPUTED_VALUE"""),"64")</f>
        <v>64</v>
      </c>
      <c r="C3158" s="6" t="str">
        <f>IFERROR(__xludf.DUMMYFUNCTION("""COMPUTED_VALUE"""),"5957")</f>
        <v>5957</v>
      </c>
      <c r="D3158" s="6" t="str">
        <f>IFERROR(__xludf.DUMMYFUNCTION("""COMPUTED_VALUE"""),"Kai A.")</f>
        <v>Kai A.</v>
      </c>
      <c r="E3158" s="6" t="str">
        <f>IFERROR(__xludf.DUMMYFUNCTION("""COMPUTED_VALUE"""),"")</f>
        <v/>
      </c>
      <c r="F3158" s="6" t="str">
        <f>IFERROR(__xludf.DUMMYFUNCTION("""COMPUTED_VALUE"""),"York")</f>
        <v>York</v>
      </c>
      <c r="G3158" s="6" t="str">
        <f>IFERROR(__xludf.DUMMYFUNCTION("""COMPUTED_VALUE"""),"09/29/2013")</f>
        <v>09/29/2013</v>
      </c>
      <c r="H3158" s="6" t="str">
        <f>IFERROR(__xludf.DUMMYFUNCTION("""COMPUTED_VALUE"""),"Self Identify")</f>
        <v>Self Identify</v>
      </c>
      <c r="I3158" s="6" t="str">
        <f>IFERROR(__xludf.DUMMYFUNCTION("""COMPUTED_VALUE"""),"Middle School")</f>
        <v>Middle School</v>
      </c>
      <c r="J3158" s="6" t="str">
        <f>IFERROR(__xludf.DUMMYFUNCTION("""COMPUTED_VALUE"""),"6")</f>
        <v>6</v>
      </c>
      <c r="K3158" s="6" t="str">
        <f>IFERROR(__xludf.DUMMYFUNCTION("""COMPUTED_VALUE"""),"kai_york@stu.ortrail.k12.or.us")</f>
        <v>kai_york@stu.ortrail.k12.or.us</v>
      </c>
      <c r="L3158" s="6" t="str">
        <f>IFERROR(__xludf.DUMMYFUNCTION("""COMPUTED_VALUE"""),"Oregon Trail School District 46")</f>
        <v>Oregon Trail School District 46</v>
      </c>
      <c r="M3158" s="6" t="str">
        <f>IFERROR(__xludf.DUMMYFUNCTION("""COMPUTED_VALUE"""),"Cedar Ridge Middle School")</f>
        <v>Cedar Ridge Middle School</v>
      </c>
      <c r="N3158" s="6" t="str">
        <f>IFERROR(__xludf.DUMMYFUNCTION("""COMPUTED_VALUE"""),"")</f>
        <v/>
      </c>
      <c r="O3158" s="87" t="str">
        <f>IFERROR(__xludf.DUMMYFUNCTION("""COMPUTED_VALUE"""),"https://drive.google.com/drive/folders/10T2cTQHqEJZqE-st6uFKPoI?usp=share_link")</f>
        <v>https://drive.google.com/drive/folders/10T2cTQHqEJZqE-st6uFKPoI?usp=share_link</v>
      </c>
      <c r="P3158" s="6" t="str">
        <f>IFERROR(__xludf.DUMMYFUNCTION("""COMPUTED_VALUE"""),"Kai A. York")</f>
        <v>Kai A. York</v>
      </c>
      <c r="Q3158" s="6" t="str">
        <f>IFERROR(__xludf.DUMMYFUNCTION("""COMPUTED_VALUE"""),"MS")</f>
        <v>MS</v>
      </c>
      <c r="R3158" s="6">
        <f>IFERROR(__xludf.DUMMYFUNCTION("""COMPUTED_VALUE"""),0.0)</f>
        <v>0</v>
      </c>
      <c r="S3158" s="6" t="str">
        <f>IFERROR(__xludf.DUMMYFUNCTION("""COMPUTED_VALUE"""),"Sophia Kahl")</f>
        <v>Sophia Kahl</v>
      </c>
      <c r="T3158" s="6" t="str">
        <f>IFERROR(__xludf.DUMMYFUNCTION("""COMPUTED_VALUE"""),"sophia.kahl@ortrail.k12.or.us")</f>
        <v>sophia.kahl@ortrail.k12.or.us</v>
      </c>
      <c r="U3158" s="6" t="str">
        <f>IFERROR(__xludf.DUMMYFUNCTION("""COMPUTED_VALUE"""),"6")</f>
        <v>6</v>
      </c>
      <c r="V3158" s="6" t="str">
        <f>IFERROR(__xludf.DUMMYFUNCTION("""COMPUTED_VALUE"""),"English")</f>
        <v>English</v>
      </c>
      <c r="W3158" s="6" t="str">
        <f>IFERROR(__xludf.DUMMYFUNCTION("""COMPUTED_VALUE"""),"[]")</f>
        <v>[]</v>
      </c>
      <c r="X3158" s="6" t="str">
        <f>IFERROR(__xludf.DUMMYFUNCTION("""COMPUTED_VALUE"""),"Enrolled")</f>
        <v>Enrolled</v>
      </c>
    </row>
    <row r="3159">
      <c r="A3159" s="6" t="str">
        <f>IFERROR(__xludf.DUMMYFUNCTION("""COMPUTED_VALUE"""),"064-5958")</f>
        <v>064-5958</v>
      </c>
      <c r="B3159" s="6" t="str">
        <f>IFERROR(__xludf.DUMMYFUNCTION("""COMPUTED_VALUE"""),"64")</f>
        <v>64</v>
      </c>
      <c r="C3159" s="6" t="str">
        <f>IFERROR(__xludf.DUMMYFUNCTION("""COMPUTED_VALUE"""),"5958")</f>
        <v>5958</v>
      </c>
      <c r="D3159" s="6" t="str">
        <f>IFERROR(__xludf.DUMMYFUNCTION("""COMPUTED_VALUE"""),"Chloe L.")</f>
        <v>Chloe L.</v>
      </c>
      <c r="E3159" s="6" t="str">
        <f>IFERROR(__xludf.DUMMYFUNCTION("""COMPUTED_VALUE"""),"")</f>
        <v/>
      </c>
      <c r="F3159" s="6" t="str">
        <f>IFERROR(__xludf.DUMMYFUNCTION("""COMPUTED_VALUE"""),"Germann")</f>
        <v>Germann</v>
      </c>
      <c r="G3159" s="6" t="str">
        <f>IFERROR(__xludf.DUMMYFUNCTION("""COMPUTED_VALUE"""),"01/15/2014")</f>
        <v>01/15/2014</v>
      </c>
      <c r="H3159" s="6" t="str">
        <f>IFERROR(__xludf.DUMMYFUNCTION("""COMPUTED_VALUE"""),"Self Identify")</f>
        <v>Self Identify</v>
      </c>
      <c r="I3159" s="6" t="str">
        <f>IFERROR(__xludf.DUMMYFUNCTION("""COMPUTED_VALUE"""),"Middle School")</f>
        <v>Middle School</v>
      </c>
      <c r="J3159" s="6" t="str">
        <f>IFERROR(__xludf.DUMMYFUNCTION("""COMPUTED_VALUE"""),"6")</f>
        <v>6</v>
      </c>
      <c r="K3159" s="6" t="str">
        <f>IFERROR(__xludf.DUMMYFUNCTION("""COMPUTED_VALUE"""),"chloe_germann2@stu.ortrail.k12.or.us")</f>
        <v>chloe_germann2@stu.ortrail.k12.or.us</v>
      </c>
      <c r="L3159" s="6" t="str">
        <f>IFERROR(__xludf.DUMMYFUNCTION("""COMPUTED_VALUE"""),"Oregon Trail School District 46")</f>
        <v>Oregon Trail School District 46</v>
      </c>
      <c r="M3159" s="6" t="str">
        <f>IFERROR(__xludf.DUMMYFUNCTION("""COMPUTED_VALUE"""),"Cedar Ridge Middle School")</f>
        <v>Cedar Ridge Middle School</v>
      </c>
      <c r="N3159" s="6" t="str">
        <f>IFERROR(__xludf.DUMMYFUNCTION("""COMPUTED_VALUE"""),"")</f>
        <v/>
      </c>
      <c r="O3159" s="87" t="str">
        <f>IFERROR(__xludf.DUMMYFUNCTION("""COMPUTED_VALUE"""),"https://drive.google.com/drive/folders/10T2cTQHqEJZqE-st6uFKPoI?usp=share_link")</f>
        <v>https://drive.google.com/drive/folders/10T2cTQHqEJZqE-st6uFKPoI?usp=share_link</v>
      </c>
      <c r="P3159" s="6" t="str">
        <f>IFERROR(__xludf.DUMMYFUNCTION("""COMPUTED_VALUE"""),"Chloe L. Germann")</f>
        <v>Chloe L. Germann</v>
      </c>
      <c r="Q3159" s="6" t="str">
        <f>IFERROR(__xludf.DUMMYFUNCTION("""COMPUTED_VALUE"""),"MS")</f>
        <v>MS</v>
      </c>
      <c r="R3159" s="6">
        <f>IFERROR(__xludf.DUMMYFUNCTION("""COMPUTED_VALUE"""),0.0)</f>
        <v>0</v>
      </c>
      <c r="S3159" s="6" t="str">
        <f>IFERROR(__xludf.DUMMYFUNCTION("""COMPUTED_VALUE"""),"Sophia Kahl")</f>
        <v>Sophia Kahl</v>
      </c>
      <c r="T3159" s="6" t="str">
        <f>IFERROR(__xludf.DUMMYFUNCTION("""COMPUTED_VALUE"""),"sophia.kahl@ortrail.k12.or.us")</f>
        <v>sophia.kahl@ortrail.k12.or.us</v>
      </c>
      <c r="U3159" s="6" t="str">
        <f>IFERROR(__xludf.DUMMYFUNCTION("""COMPUTED_VALUE"""),"6")</f>
        <v>6</v>
      </c>
      <c r="V3159" s="6" t="str">
        <f>IFERROR(__xludf.DUMMYFUNCTION("""COMPUTED_VALUE"""),"English")</f>
        <v>English</v>
      </c>
      <c r="W3159" s="6" t="str">
        <f>IFERROR(__xludf.DUMMYFUNCTION("""COMPUTED_VALUE"""),"[]")</f>
        <v>[]</v>
      </c>
      <c r="X3159" s="6" t="str">
        <f>IFERROR(__xludf.DUMMYFUNCTION("""COMPUTED_VALUE"""),"Enrolled")</f>
        <v>Enrolled</v>
      </c>
    </row>
    <row r="3160">
      <c r="A3160" s="6" t="str">
        <f>IFERROR(__xludf.DUMMYFUNCTION("""COMPUTED_VALUE"""),"064-5959")</f>
        <v>064-5959</v>
      </c>
      <c r="B3160" s="6" t="str">
        <f>IFERROR(__xludf.DUMMYFUNCTION("""COMPUTED_VALUE"""),"64")</f>
        <v>64</v>
      </c>
      <c r="C3160" s="6" t="str">
        <f>IFERROR(__xludf.DUMMYFUNCTION("""COMPUTED_VALUE"""),"5959")</f>
        <v>5959</v>
      </c>
      <c r="D3160" s="6" t="str">
        <f>IFERROR(__xludf.DUMMYFUNCTION("""COMPUTED_VALUE"""),"Camden C.")</f>
        <v>Camden C.</v>
      </c>
      <c r="E3160" s="6" t="str">
        <f>IFERROR(__xludf.DUMMYFUNCTION("""COMPUTED_VALUE"""),"")</f>
        <v/>
      </c>
      <c r="F3160" s="6" t="str">
        <f>IFERROR(__xludf.DUMMYFUNCTION("""COMPUTED_VALUE"""),"Richards")</f>
        <v>Richards</v>
      </c>
      <c r="G3160" s="6" t="str">
        <f>IFERROR(__xludf.DUMMYFUNCTION("""COMPUTED_VALUE"""),"05/20/2014")</f>
        <v>05/20/2014</v>
      </c>
      <c r="H3160" s="6" t="str">
        <f>IFERROR(__xludf.DUMMYFUNCTION("""COMPUTED_VALUE"""),"Self Identify")</f>
        <v>Self Identify</v>
      </c>
      <c r="I3160" s="6" t="str">
        <f>IFERROR(__xludf.DUMMYFUNCTION("""COMPUTED_VALUE"""),"Middle School")</f>
        <v>Middle School</v>
      </c>
      <c r="J3160" s="6" t="str">
        <f>IFERROR(__xludf.DUMMYFUNCTION("""COMPUTED_VALUE"""),"6")</f>
        <v>6</v>
      </c>
      <c r="K3160" s="6" t="str">
        <f>IFERROR(__xludf.DUMMYFUNCTION("""COMPUTED_VALUE"""),"camden_richards@stu.ortrail.k12.or.us")</f>
        <v>camden_richards@stu.ortrail.k12.or.us</v>
      </c>
      <c r="L3160" s="6" t="str">
        <f>IFERROR(__xludf.DUMMYFUNCTION("""COMPUTED_VALUE"""),"Oregon Trail School District 46")</f>
        <v>Oregon Trail School District 46</v>
      </c>
      <c r="M3160" s="6" t="str">
        <f>IFERROR(__xludf.DUMMYFUNCTION("""COMPUTED_VALUE"""),"Cedar Ridge Middle School")</f>
        <v>Cedar Ridge Middle School</v>
      </c>
      <c r="N3160" s="6" t="str">
        <f>IFERROR(__xludf.DUMMYFUNCTION("""COMPUTED_VALUE"""),"")</f>
        <v/>
      </c>
      <c r="O3160" s="87" t="str">
        <f>IFERROR(__xludf.DUMMYFUNCTION("""COMPUTED_VALUE"""),"https://drive.google.com/drive/folders/10T2cTQHqEJZqE-st6uFKPoI?usp=share_link")</f>
        <v>https://drive.google.com/drive/folders/10T2cTQHqEJZqE-st6uFKPoI?usp=share_link</v>
      </c>
      <c r="P3160" s="6" t="str">
        <f>IFERROR(__xludf.DUMMYFUNCTION("""COMPUTED_VALUE"""),"Camden C. Richards")</f>
        <v>Camden C. Richards</v>
      </c>
      <c r="Q3160" s="6" t="str">
        <f>IFERROR(__xludf.DUMMYFUNCTION("""COMPUTED_VALUE"""),"MS")</f>
        <v>MS</v>
      </c>
      <c r="R3160" s="6">
        <f>IFERROR(__xludf.DUMMYFUNCTION("""COMPUTED_VALUE"""),0.0)</f>
        <v>0</v>
      </c>
      <c r="S3160" s="6" t="str">
        <f>IFERROR(__xludf.DUMMYFUNCTION("""COMPUTED_VALUE"""),"Sophia Kahl")</f>
        <v>Sophia Kahl</v>
      </c>
      <c r="T3160" s="6" t="str">
        <f>IFERROR(__xludf.DUMMYFUNCTION("""COMPUTED_VALUE"""),"sophia.kahl@ortrail.k12.or.us")</f>
        <v>sophia.kahl@ortrail.k12.or.us</v>
      </c>
      <c r="U3160" s="6" t="str">
        <f>IFERROR(__xludf.DUMMYFUNCTION("""COMPUTED_VALUE"""),"6")</f>
        <v>6</v>
      </c>
      <c r="V3160" s="6" t="str">
        <f>IFERROR(__xludf.DUMMYFUNCTION("""COMPUTED_VALUE"""),"English")</f>
        <v>English</v>
      </c>
      <c r="W3160" s="6" t="str">
        <f>IFERROR(__xludf.DUMMYFUNCTION("""COMPUTED_VALUE"""),"[]")</f>
        <v>[]</v>
      </c>
      <c r="X3160" s="6" t="str">
        <f>IFERROR(__xludf.DUMMYFUNCTION("""COMPUTED_VALUE"""),"Enrolled")</f>
        <v>Enrolled</v>
      </c>
    </row>
    <row r="3161">
      <c r="A3161" s="6" t="str">
        <f>IFERROR(__xludf.DUMMYFUNCTION("""COMPUTED_VALUE"""),"064-5960")</f>
        <v>064-5960</v>
      </c>
      <c r="B3161" s="6" t="str">
        <f>IFERROR(__xludf.DUMMYFUNCTION("""COMPUTED_VALUE"""),"64")</f>
        <v>64</v>
      </c>
      <c r="C3161" s="6" t="str">
        <f>IFERROR(__xludf.DUMMYFUNCTION("""COMPUTED_VALUE"""),"5960")</f>
        <v>5960</v>
      </c>
      <c r="D3161" s="6" t="str">
        <f>IFERROR(__xludf.DUMMYFUNCTION("""COMPUTED_VALUE"""),"Jasiah")</f>
        <v>Jasiah</v>
      </c>
      <c r="E3161" s="6" t="str">
        <f>IFERROR(__xludf.DUMMYFUNCTION("""COMPUTED_VALUE"""),"")</f>
        <v/>
      </c>
      <c r="F3161" s="6" t="str">
        <f>IFERROR(__xludf.DUMMYFUNCTION("""COMPUTED_VALUE"""),"Adams")</f>
        <v>Adams</v>
      </c>
      <c r="G3161" s="6" t="str">
        <f>IFERROR(__xludf.DUMMYFUNCTION("""COMPUTED_VALUE"""),"10/22/2016")</f>
        <v>10/22/2016</v>
      </c>
      <c r="H3161" s="6" t="str">
        <f>IFERROR(__xludf.DUMMYFUNCTION("""COMPUTED_VALUE"""),"Self Identify")</f>
        <v>Self Identify</v>
      </c>
      <c r="I3161" s="6" t="str">
        <f>IFERROR(__xludf.DUMMYFUNCTION("""COMPUTED_VALUE"""),"Level 1")</f>
        <v>Level 1</v>
      </c>
      <c r="J3161" s="6" t="str">
        <f>IFERROR(__xludf.DUMMYFUNCTION("""COMPUTED_VALUE"""),"3")</f>
        <v>3</v>
      </c>
      <c r="K3161" s="6" t="str">
        <f>IFERROR(__xludf.DUMMYFUNCTION("""COMPUTED_VALUE"""),"jasiah_adams@stu.ortrail.k12.or.us")</f>
        <v>jasiah_adams@stu.ortrail.k12.or.us</v>
      </c>
      <c r="L3161" s="6" t="str">
        <f>IFERROR(__xludf.DUMMYFUNCTION("""COMPUTED_VALUE"""),"Oregon Trail School District 46")</f>
        <v>Oregon Trail School District 46</v>
      </c>
      <c r="M3161" s="6" t="str">
        <f>IFERROR(__xludf.DUMMYFUNCTION("""COMPUTED_VALUE"""),"Kelso Elementary School")</f>
        <v>Kelso Elementary School</v>
      </c>
      <c r="N3161" s="6" t="str">
        <f>IFERROR(__xludf.DUMMYFUNCTION("""COMPUTED_VALUE"""),"")</f>
        <v/>
      </c>
      <c r="O3161" s="87" t="str">
        <f>IFERROR(__xludf.DUMMYFUNCTION("""COMPUTED_VALUE"""),"https://drive.google.com/drive/folders/10T2cTQHqEJZqE-st6uFKPoI?usp=share_link")</f>
        <v>https://drive.google.com/drive/folders/10T2cTQHqEJZqE-st6uFKPoI?usp=share_link</v>
      </c>
      <c r="P3161" s="6" t="str">
        <f>IFERROR(__xludf.DUMMYFUNCTION("""COMPUTED_VALUE"""),"Jasiah Adams")</f>
        <v>Jasiah Adams</v>
      </c>
      <c r="Q3161" s="6" t="str">
        <f>IFERROR(__xludf.DUMMYFUNCTION("""COMPUTED_VALUE"""),"L1")</f>
        <v>L1</v>
      </c>
      <c r="R3161" s="6">
        <f>IFERROR(__xludf.DUMMYFUNCTION("""COMPUTED_VALUE"""),1.0)</f>
        <v>1</v>
      </c>
      <c r="S3161" s="6" t="str">
        <f>IFERROR(__xludf.DUMMYFUNCTION("""COMPUTED_VALUE"""),"Lindsay Jacksha")</f>
        <v>Lindsay Jacksha</v>
      </c>
      <c r="T3161" s="6" t="str">
        <f>IFERROR(__xludf.DUMMYFUNCTION("""COMPUTED_VALUE"""),"lindsay.jacksha@ortrail.k12.or.us")</f>
        <v>lindsay.jacksha@ortrail.k12.or.us</v>
      </c>
      <c r="U3161" s="6" t="str">
        <f>IFERROR(__xludf.DUMMYFUNCTION("""COMPUTED_VALUE"""),"3")</f>
        <v>3</v>
      </c>
      <c r="V3161" s="6" t="str">
        <f>IFERROR(__xludf.DUMMYFUNCTION("""COMPUTED_VALUE"""),"English")</f>
        <v>English</v>
      </c>
      <c r="W3161" s="6" t="str">
        <f>IFERROR(__xludf.DUMMYFUNCTION("""COMPUTED_VALUE"""),"[]")</f>
        <v>[]</v>
      </c>
      <c r="X3161" s="6" t="str">
        <f>IFERROR(__xludf.DUMMYFUNCTION("""COMPUTED_VALUE"""),"Enrolled")</f>
        <v>Enrolled</v>
      </c>
    </row>
    <row r="3162">
      <c r="A3162" s="6" t="str">
        <f>IFERROR(__xludf.DUMMYFUNCTION("""COMPUTED_VALUE"""),"064-5961")</f>
        <v>064-5961</v>
      </c>
      <c r="B3162" s="6" t="str">
        <f>IFERROR(__xludf.DUMMYFUNCTION("""COMPUTED_VALUE"""),"64")</f>
        <v>64</v>
      </c>
      <c r="C3162" s="6" t="str">
        <f>IFERROR(__xludf.DUMMYFUNCTION("""COMPUTED_VALUE"""),"5961")</f>
        <v>5961</v>
      </c>
      <c r="D3162" s="6" t="str">
        <f>IFERROR(__xludf.DUMMYFUNCTION("""COMPUTED_VALUE"""),"Benjamin")</f>
        <v>Benjamin</v>
      </c>
      <c r="E3162" s="6" t="str">
        <f>IFERROR(__xludf.DUMMYFUNCTION("""COMPUTED_VALUE"""),"")</f>
        <v/>
      </c>
      <c r="F3162" s="6" t="str">
        <f>IFERROR(__xludf.DUMMYFUNCTION("""COMPUTED_VALUE"""),"Aldrich")</f>
        <v>Aldrich</v>
      </c>
      <c r="G3162" s="6" t="str">
        <f>IFERROR(__xludf.DUMMYFUNCTION("""COMPUTED_VALUE"""),"01/16/2017")</f>
        <v>01/16/2017</v>
      </c>
      <c r="H3162" s="6" t="str">
        <f>IFERROR(__xludf.DUMMYFUNCTION("""COMPUTED_VALUE"""),"Self Identify")</f>
        <v>Self Identify</v>
      </c>
      <c r="I3162" s="6" t="str">
        <f>IFERROR(__xludf.DUMMYFUNCTION("""COMPUTED_VALUE"""),"Level 1")</f>
        <v>Level 1</v>
      </c>
      <c r="J3162" s="6" t="str">
        <f>IFERROR(__xludf.DUMMYFUNCTION("""COMPUTED_VALUE"""),"3")</f>
        <v>3</v>
      </c>
      <c r="K3162" s="6" t="str">
        <f>IFERROR(__xludf.DUMMYFUNCTION("""COMPUTED_VALUE"""),"ben_aldrich@stu.ortrail.k12.or.us")</f>
        <v>ben_aldrich@stu.ortrail.k12.or.us</v>
      </c>
      <c r="L3162" s="6" t="str">
        <f>IFERROR(__xludf.DUMMYFUNCTION("""COMPUTED_VALUE"""),"Oregon Trail School District 46")</f>
        <v>Oregon Trail School District 46</v>
      </c>
      <c r="M3162" s="6" t="str">
        <f>IFERROR(__xludf.DUMMYFUNCTION("""COMPUTED_VALUE"""),"Kelso Elementary School")</f>
        <v>Kelso Elementary School</v>
      </c>
      <c r="N3162" s="6" t="str">
        <f>IFERROR(__xludf.DUMMYFUNCTION("""COMPUTED_VALUE"""),"")</f>
        <v/>
      </c>
      <c r="O3162" s="87" t="str">
        <f>IFERROR(__xludf.DUMMYFUNCTION("""COMPUTED_VALUE"""),"https://drive.google.com/drive/folders/10T2cTQHqEJZqE-st6uFKPoI?usp=share_link")</f>
        <v>https://drive.google.com/drive/folders/10T2cTQHqEJZqE-st6uFKPoI?usp=share_link</v>
      </c>
      <c r="P3162" s="6" t="str">
        <f>IFERROR(__xludf.DUMMYFUNCTION("""COMPUTED_VALUE"""),"Benjamin Aldrich")</f>
        <v>Benjamin Aldrich</v>
      </c>
      <c r="Q3162" s="6" t="str">
        <f>IFERROR(__xludf.DUMMYFUNCTION("""COMPUTED_VALUE"""),"L1")</f>
        <v>L1</v>
      </c>
      <c r="R3162" s="6">
        <f>IFERROR(__xludf.DUMMYFUNCTION("""COMPUTED_VALUE"""),1.0)</f>
        <v>1</v>
      </c>
      <c r="S3162" s="6" t="str">
        <f>IFERROR(__xludf.DUMMYFUNCTION("""COMPUTED_VALUE"""),"Marisa Hazelton")</f>
        <v>Marisa Hazelton</v>
      </c>
      <c r="T3162" s="6" t="str">
        <f>IFERROR(__xludf.DUMMYFUNCTION("""COMPUTED_VALUE"""),"marisa.hazelton@ortrail.k12.or.us")</f>
        <v>marisa.hazelton@ortrail.k12.or.us</v>
      </c>
      <c r="U3162" s="6" t="str">
        <f>IFERROR(__xludf.DUMMYFUNCTION("""COMPUTED_VALUE"""),"3")</f>
        <v>3</v>
      </c>
      <c r="V3162" s="6" t="str">
        <f>IFERROR(__xludf.DUMMYFUNCTION("""COMPUTED_VALUE"""),"English")</f>
        <v>English</v>
      </c>
      <c r="W3162" s="6" t="str">
        <f>IFERROR(__xludf.DUMMYFUNCTION("""COMPUTED_VALUE"""),"[]")</f>
        <v>[]</v>
      </c>
      <c r="X3162" s="6" t="str">
        <f>IFERROR(__xludf.DUMMYFUNCTION("""COMPUTED_VALUE"""),"Enrolled")</f>
        <v>Enrolled</v>
      </c>
    </row>
    <row r="3163">
      <c r="A3163" s="6" t="str">
        <f>IFERROR(__xludf.DUMMYFUNCTION("""COMPUTED_VALUE"""),"064-5962")</f>
        <v>064-5962</v>
      </c>
      <c r="B3163" s="6" t="str">
        <f>IFERROR(__xludf.DUMMYFUNCTION("""COMPUTED_VALUE"""),"64")</f>
        <v>64</v>
      </c>
      <c r="C3163" s="6" t="str">
        <f>IFERROR(__xludf.DUMMYFUNCTION("""COMPUTED_VALUE"""),"5962")</f>
        <v>5962</v>
      </c>
      <c r="D3163" s="6" t="str">
        <f>IFERROR(__xludf.DUMMYFUNCTION("""COMPUTED_VALUE"""),"Aerin")</f>
        <v>Aerin</v>
      </c>
      <c r="E3163" s="6" t="str">
        <f>IFERROR(__xludf.DUMMYFUNCTION("""COMPUTED_VALUE"""),"")</f>
        <v/>
      </c>
      <c r="F3163" s="6" t="str">
        <f>IFERROR(__xludf.DUMMYFUNCTION("""COMPUTED_VALUE"""),"Ashmore")</f>
        <v>Ashmore</v>
      </c>
      <c r="G3163" s="6" t="str">
        <f>IFERROR(__xludf.DUMMYFUNCTION("""COMPUTED_VALUE"""),"09/21/2017")</f>
        <v>09/21/2017</v>
      </c>
      <c r="H3163" s="6" t="str">
        <f>IFERROR(__xludf.DUMMYFUNCTION("""COMPUTED_VALUE"""),"Self Identify")</f>
        <v>Self Identify</v>
      </c>
      <c r="I3163" s="6" t="str">
        <f>IFERROR(__xludf.DUMMYFUNCTION("""COMPUTED_VALUE"""),"Level 1")</f>
        <v>Level 1</v>
      </c>
      <c r="J3163" s="6" t="str">
        <f>IFERROR(__xludf.DUMMYFUNCTION("""COMPUTED_VALUE"""),"3")</f>
        <v>3</v>
      </c>
      <c r="K3163" s="6" t="str">
        <f>IFERROR(__xludf.DUMMYFUNCTION("""COMPUTED_VALUE"""),"aerin_ashmore@stu.ortrail.k12.or.us")</f>
        <v>aerin_ashmore@stu.ortrail.k12.or.us</v>
      </c>
      <c r="L3163" s="6" t="str">
        <f>IFERROR(__xludf.DUMMYFUNCTION("""COMPUTED_VALUE"""),"Oregon Trail School District 46")</f>
        <v>Oregon Trail School District 46</v>
      </c>
      <c r="M3163" s="6" t="str">
        <f>IFERROR(__xludf.DUMMYFUNCTION("""COMPUTED_VALUE"""),"Kelso Elementary School")</f>
        <v>Kelso Elementary School</v>
      </c>
      <c r="N3163" s="6" t="str">
        <f>IFERROR(__xludf.DUMMYFUNCTION("""COMPUTED_VALUE"""),"")</f>
        <v/>
      </c>
      <c r="O3163" s="87" t="str">
        <f>IFERROR(__xludf.DUMMYFUNCTION("""COMPUTED_VALUE"""),"https://drive.google.com/drive/folders/10T2cTQHqEJZqE-st6uFKPoI?usp=share_link")</f>
        <v>https://drive.google.com/drive/folders/10T2cTQHqEJZqE-st6uFKPoI?usp=share_link</v>
      </c>
      <c r="P3163" s="6" t="str">
        <f>IFERROR(__xludf.DUMMYFUNCTION("""COMPUTED_VALUE"""),"Aerin Ashmore")</f>
        <v>Aerin Ashmore</v>
      </c>
      <c r="Q3163" s="6" t="str">
        <f>IFERROR(__xludf.DUMMYFUNCTION("""COMPUTED_VALUE"""),"L1")</f>
        <v>L1</v>
      </c>
      <c r="R3163" s="6">
        <f>IFERROR(__xludf.DUMMYFUNCTION("""COMPUTED_VALUE"""),1.0)</f>
        <v>1</v>
      </c>
      <c r="S3163" s="6" t="str">
        <f>IFERROR(__xludf.DUMMYFUNCTION("""COMPUTED_VALUE"""),"Marisa Hazelton")</f>
        <v>Marisa Hazelton</v>
      </c>
      <c r="T3163" s="6" t="str">
        <f>IFERROR(__xludf.DUMMYFUNCTION("""COMPUTED_VALUE"""),"marisa.hazelton@ortrail.k12.or.us")</f>
        <v>marisa.hazelton@ortrail.k12.or.us</v>
      </c>
      <c r="U3163" s="6" t="str">
        <f>IFERROR(__xludf.DUMMYFUNCTION("""COMPUTED_VALUE"""),"3")</f>
        <v>3</v>
      </c>
      <c r="V3163" s="6" t="str">
        <f>IFERROR(__xludf.DUMMYFUNCTION("""COMPUTED_VALUE"""),"English")</f>
        <v>English</v>
      </c>
      <c r="W3163" s="6" t="str">
        <f>IFERROR(__xludf.DUMMYFUNCTION("""COMPUTED_VALUE"""),"[]")</f>
        <v>[]</v>
      </c>
      <c r="X3163" s="6" t="str">
        <f>IFERROR(__xludf.DUMMYFUNCTION("""COMPUTED_VALUE"""),"Enrolled")</f>
        <v>Enrolled</v>
      </c>
    </row>
    <row r="3164">
      <c r="A3164" s="6" t="str">
        <f>IFERROR(__xludf.DUMMYFUNCTION("""COMPUTED_VALUE"""),"064-5963")</f>
        <v>064-5963</v>
      </c>
      <c r="B3164" s="6" t="str">
        <f>IFERROR(__xludf.DUMMYFUNCTION("""COMPUTED_VALUE"""),"64")</f>
        <v>64</v>
      </c>
      <c r="C3164" s="6" t="str">
        <f>IFERROR(__xludf.DUMMYFUNCTION("""COMPUTED_VALUE"""),"5963")</f>
        <v>5963</v>
      </c>
      <c r="D3164" s="6" t="str">
        <f>IFERROR(__xludf.DUMMYFUNCTION("""COMPUTED_VALUE"""),"Chaz")</f>
        <v>Chaz</v>
      </c>
      <c r="E3164" s="6" t="str">
        <f>IFERROR(__xludf.DUMMYFUNCTION("""COMPUTED_VALUE"""),"")</f>
        <v/>
      </c>
      <c r="F3164" s="6" t="str">
        <f>IFERROR(__xludf.DUMMYFUNCTION("""COMPUTED_VALUE"""),"Banks")</f>
        <v>Banks</v>
      </c>
      <c r="G3164" s="6" t="str">
        <f>IFERROR(__xludf.DUMMYFUNCTION("""COMPUTED_VALUE"""),"06/15/2017")</f>
        <v>06/15/2017</v>
      </c>
      <c r="H3164" s="6" t="str">
        <f>IFERROR(__xludf.DUMMYFUNCTION("""COMPUTED_VALUE"""),"Self Identify")</f>
        <v>Self Identify</v>
      </c>
      <c r="I3164" s="6" t="str">
        <f>IFERROR(__xludf.DUMMYFUNCTION("""COMPUTED_VALUE"""),"Level 1")</f>
        <v>Level 1</v>
      </c>
      <c r="J3164" s="6" t="str">
        <f>IFERROR(__xludf.DUMMYFUNCTION("""COMPUTED_VALUE"""),"3")</f>
        <v>3</v>
      </c>
      <c r="K3164" s="6" t="str">
        <f>IFERROR(__xludf.DUMMYFUNCTION("""COMPUTED_VALUE"""),"cj_banks@stu.ortrail.k12.or.us")</f>
        <v>cj_banks@stu.ortrail.k12.or.us</v>
      </c>
      <c r="L3164" s="6" t="str">
        <f>IFERROR(__xludf.DUMMYFUNCTION("""COMPUTED_VALUE"""),"Oregon Trail School District 46")</f>
        <v>Oregon Trail School District 46</v>
      </c>
      <c r="M3164" s="6" t="str">
        <f>IFERROR(__xludf.DUMMYFUNCTION("""COMPUTED_VALUE"""),"Kelso Elementary School")</f>
        <v>Kelso Elementary School</v>
      </c>
      <c r="N3164" s="6" t="str">
        <f>IFERROR(__xludf.DUMMYFUNCTION("""COMPUTED_VALUE"""),"")</f>
        <v/>
      </c>
      <c r="O3164" s="87" t="str">
        <f>IFERROR(__xludf.DUMMYFUNCTION("""COMPUTED_VALUE"""),"https://drive.google.com/drive/folders/10T2cTQHqEJZqE-st6uFKPoI?usp=share_link")</f>
        <v>https://drive.google.com/drive/folders/10T2cTQHqEJZqE-st6uFKPoI?usp=share_link</v>
      </c>
      <c r="P3164" s="6" t="str">
        <f>IFERROR(__xludf.DUMMYFUNCTION("""COMPUTED_VALUE"""),"Chaz Banks")</f>
        <v>Chaz Banks</v>
      </c>
      <c r="Q3164" s="6" t="str">
        <f>IFERROR(__xludf.DUMMYFUNCTION("""COMPUTED_VALUE"""),"L1")</f>
        <v>L1</v>
      </c>
      <c r="R3164" s="6">
        <f>IFERROR(__xludf.DUMMYFUNCTION("""COMPUTED_VALUE"""),1.0)</f>
        <v>1</v>
      </c>
      <c r="S3164" s="6" t="str">
        <f>IFERROR(__xludf.DUMMYFUNCTION("""COMPUTED_VALUE"""),"Marisa Hazelton")</f>
        <v>Marisa Hazelton</v>
      </c>
      <c r="T3164" s="6" t="str">
        <f>IFERROR(__xludf.DUMMYFUNCTION("""COMPUTED_VALUE"""),"marisa.hazelton@ortrail.k12.or.us")</f>
        <v>marisa.hazelton@ortrail.k12.or.us</v>
      </c>
      <c r="U3164" s="6" t="str">
        <f>IFERROR(__xludf.DUMMYFUNCTION("""COMPUTED_VALUE"""),"3")</f>
        <v>3</v>
      </c>
      <c r="V3164" s="6" t="str">
        <f>IFERROR(__xludf.DUMMYFUNCTION("""COMPUTED_VALUE"""),"English")</f>
        <v>English</v>
      </c>
      <c r="W3164" s="6" t="str">
        <f>IFERROR(__xludf.DUMMYFUNCTION("""COMPUTED_VALUE"""),"[]")</f>
        <v>[]</v>
      </c>
      <c r="X3164" s="6" t="str">
        <f>IFERROR(__xludf.DUMMYFUNCTION("""COMPUTED_VALUE"""),"Enrolled")</f>
        <v>Enrolled</v>
      </c>
    </row>
    <row r="3165">
      <c r="A3165" s="6" t="str">
        <f>IFERROR(__xludf.DUMMYFUNCTION("""COMPUTED_VALUE"""),"064-5964")</f>
        <v>064-5964</v>
      </c>
      <c r="B3165" s="6" t="str">
        <f>IFERROR(__xludf.DUMMYFUNCTION("""COMPUTED_VALUE"""),"64")</f>
        <v>64</v>
      </c>
      <c r="C3165" s="6" t="str">
        <f>IFERROR(__xludf.DUMMYFUNCTION("""COMPUTED_VALUE"""),"5964")</f>
        <v>5964</v>
      </c>
      <c r="D3165" s="6" t="str">
        <f>IFERROR(__xludf.DUMMYFUNCTION("""COMPUTED_VALUE"""),"Stella")</f>
        <v>Stella</v>
      </c>
      <c r="E3165" s="6" t="str">
        <f>IFERROR(__xludf.DUMMYFUNCTION("""COMPUTED_VALUE"""),"")</f>
        <v/>
      </c>
      <c r="F3165" s="6" t="str">
        <f>IFERROR(__xludf.DUMMYFUNCTION("""COMPUTED_VALUE"""),"Berg")</f>
        <v>Berg</v>
      </c>
      <c r="G3165" s="6" t="str">
        <f>IFERROR(__xludf.DUMMYFUNCTION("""COMPUTED_VALUE"""),"02/15/2017")</f>
        <v>02/15/2017</v>
      </c>
      <c r="H3165" s="6" t="str">
        <f>IFERROR(__xludf.DUMMYFUNCTION("""COMPUTED_VALUE"""),"Self Identify")</f>
        <v>Self Identify</v>
      </c>
      <c r="I3165" s="6" t="str">
        <f>IFERROR(__xludf.DUMMYFUNCTION("""COMPUTED_VALUE"""),"Level 1")</f>
        <v>Level 1</v>
      </c>
      <c r="J3165" s="6" t="str">
        <f>IFERROR(__xludf.DUMMYFUNCTION("""COMPUTED_VALUE"""),"3")</f>
        <v>3</v>
      </c>
      <c r="K3165" s="6" t="str">
        <f>IFERROR(__xludf.DUMMYFUNCTION("""COMPUTED_VALUE"""),"stella_berg@stu.ortrail.k12.or.us")</f>
        <v>stella_berg@stu.ortrail.k12.or.us</v>
      </c>
      <c r="L3165" s="6" t="str">
        <f>IFERROR(__xludf.DUMMYFUNCTION("""COMPUTED_VALUE"""),"Oregon Trail School District 46")</f>
        <v>Oregon Trail School District 46</v>
      </c>
      <c r="M3165" s="6" t="str">
        <f>IFERROR(__xludf.DUMMYFUNCTION("""COMPUTED_VALUE"""),"Kelso Elementary School")</f>
        <v>Kelso Elementary School</v>
      </c>
      <c r="N3165" s="6" t="str">
        <f>IFERROR(__xludf.DUMMYFUNCTION("""COMPUTED_VALUE"""),"")</f>
        <v/>
      </c>
      <c r="O3165" s="87" t="str">
        <f>IFERROR(__xludf.DUMMYFUNCTION("""COMPUTED_VALUE"""),"https://drive.google.com/drive/folders/10T2cTQHqEJZqE-st6uFKPoI?usp=share_link")</f>
        <v>https://drive.google.com/drive/folders/10T2cTQHqEJZqE-st6uFKPoI?usp=share_link</v>
      </c>
      <c r="P3165" s="6" t="str">
        <f>IFERROR(__xludf.DUMMYFUNCTION("""COMPUTED_VALUE"""),"Stella Berg")</f>
        <v>Stella Berg</v>
      </c>
      <c r="Q3165" s="6" t="str">
        <f>IFERROR(__xludf.DUMMYFUNCTION("""COMPUTED_VALUE"""),"L1")</f>
        <v>L1</v>
      </c>
      <c r="R3165" s="6">
        <f>IFERROR(__xludf.DUMMYFUNCTION("""COMPUTED_VALUE"""),1.0)</f>
        <v>1</v>
      </c>
      <c r="S3165" s="6" t="str">
        <f>IFERROR(__xludf.DUMMYFUNCTION("""COMPUTED_VALUE"""),"Lindsay Jacksha")</f>
        <v>Lindsay Jacksha</v>
      </c>
      <c r="T3165" s="6" t="str">
        <f>IFERROR(__xludf.DUMMYFUNCTION("""COMPUTED_VALUE"""),"lindsay.jacksha@ortrail.k12.or.us")</f>
        <v>lindsay.jacksha@ortrail.k12.or.us</v>
      </c>
      <c r="U3165" s="6" t="str">
        <f>IFERROR(__xludf.DUMMYFUNCTION("""COMPUTED_VALUE"""),"3")</f>
        <v>3</v>
      </c>
      <c r="V3165" s="6" t="str">
        <f>IFERROR(__xludf.DUMMYFUNCTION("""COMPUTED_VALUE"""),"English")</f>
        <v>English</v>
      </c>
      <c r="W3165" s="6" t="str">
        <f>IFERROR(__xludf.DUMMYFUNCTION("""COMPUTED_VALUE"""),"[]")</f>
        <v>[]</v>
      </c>
      <c r="X3165" s="6" t="str">
        <f>IFERROR(__xludf.DUMMYFUNCTION("""COMPUTED_VALUE"""),"Enrolled")</f>
        <v>Enrolled</v>
      </c>
    </row>
    <row r="3166">
      <c r="A3166" s="6" t="str">
        <f>IFERROR(__xludf.DUMMYFUNCTION("""COMPUTED_VALUE"""),"064-5965")</f>
        <v>064-5965</v>
      </c>
      <c r="B3166" s="6" t="str">
        <f>IFERROR(__xludf.DUMMYFUNCTION("""COMPUTED_VALUE"""),"64")</f>
        <v>64</v>
      </c>
      <c r="C3166" s="6" t="str">
        <f>IFERROR(__xludf.DUMMYFUNCTION("""COMPUTED_VALUE"""),"5965")</f>
        <v>5965</v>
      </c>
      <c r="D3166" s="6" t="str">
        <f>IFERROR(__xludf.DUMMYFUNCTION("""COMPUTED_VALUE"""),"J'Den")</f>
        <v>J'Den</v>
      </c>
      <c r="E3166" s="6" t="str">
        <f>IFERROR(__xludf.DUMMYFUNCTION("""COMPUTED_VALUE"""),"")</f>
        <v/>
      </c>
      <c r="F3166" s="6" t="str">
        <f>IFERROR(__xludf.DUMMYFUNCTION("""COMPUTED_VALUE"""),"Boaz-Chapa")</f>
        <v>Boaz-Chapa</v>
      </c>
      <c r="G3166" s="6" t="str">
        <f>IFERROR(__xludf.DUMMYFUNCTION("""COMPUTED_VALUE"""),"03/11/2017")</f>
        <v>03/11/2017</v>
      </c>
      <c r="H3166" s="6" t="str">
        <f>IFERROR(__xludf.DUMMYFUNCTION("""COMPUTED_VALUE"""),"Self Identify")</f>
        <v>Self Identify</v>
      </c>
      <c r="I3166" s="6" t="str">
        <f>IFERROR(__xludf.DUMMYFUNCTION("""COMPUTED_VALUE"""),"Level 1")</f>
        <v>Level 1</v>
      </c>
      <c r="J3166" s="6" t="str">
        <f>IFERROR(__xludf.DUMMYFUNCTION("""COMPUTED_VALUE"""),"3")</f>
        <v>3</v>
      </c>
      <c r="K3166" s="6" t="str">
        <f>IFERROR(__xludf.DUMMYFUNCTION("""COMPUTED_VALUE"""),"jden_boazchapa@stu.ortrail.k12.or.us")</f>
        <v>jden_boazchapa@stu.ortrail.k12.or.us</v>
      </c>
      <c r="L3166" s="6" t="str">
        <f>IFERROR(__xludf.DUMMYFUNCTION("""COMPUTED_VALUE"""),"Oregon Trail School District 46")</f>
        <v>Oregon Trail School District 46</v>
      </c>
      <c r="M3166" s="6" t="str">
        <f>IFERROR(__xludf.DUMMYFUNCTION("""COMPUTED_VALUE"""),"Kelso Elementary School")</f>
        <v>Kelso Elementary School</v>
      </c>
      <c r="N3166" s="6" t="str">
        <f>IFERROR(__xludf.DUMMYFUNCTION("""COMPUTED_VALUE"""),"")</f>
        <v/>
      </c>
      <c r="O3166" s="87" t="str">
        <f>IFERROR(__xludf.DUMMYFUNCTION("""COMPUTED_VALUE"""),"https://drive.google.com/drive/folders/10T2cTQHqEJZqE-st6uFKPoI?usp=share_link")</f>
        <v>https://drive.google.com/drive/folders/10T2cTQHqEJZqE-st6uFKPoI?usp=share_link</v>
      </c>
      <c r="P3166" s="6" t="str">
        <f>IFERROR(__xludf.DUMMYFUNCTION("""COMPUTED_VALUE"""),"J'Den Boaz-Chapa")</f>
        <v>J'Den Boaz-Chapa</v>
      </c>
      <c r="Q3166" s="6" t="str">
        <f>IFERROR(__xludf.DUMMYFUNCTION("""COMPUTED_VALUE"""),"L1")</f>
        <v>L1</v>
      </c>
      <c r="R3166" s="6">
        <f>IFERROR(__xludf.DUMMYFUNCTION("""COMPUTED_VALUE"""),1.0)</f>
        <v>1</v>
      </c>
      <c r="S3166" s="6" t="str">
        <f>IFERROR(__xludf.DUMMYFUNCTION("""COMPUTED_VALUE"""),"Marisa Hazelton")</f>
        <v>Marisa Hazelton</v>
      </c>
      <c r="T3166" s="6" t="str">
        <f>IFERROR(__xludf.DUMMYFUNCTION("""COMPUTED_VALUE"""),"marisa.hazelton@ortrail.k12.or.us")</f>
        <v>marisa.hazelton@ortrail.k12.or.us</v>
      </c>
      <c r="U3166" s="6" t="str">
        <f>IFERROR(__xludf.DUMMYFUNCTION("""COMPUTED_VALUE"""),"3")</f>
        <v>3</v>
      </c>
      <c r="V3166" s="6" t="str">
        <f>IFERROR(__xludf.DUMMYFUNCTION("""COMPUTED_VALUE"""),"English")</f>
        <v>English</v>
      </c>
      <c r="W3166" s="6" t="str">
        <f>IFERROR(__xludf.DUMMYFUNCTION("""COMPUTED_VALUE"""),"[]")</f>
        <v>[]</v>
      </c>
      <c r="X3166" s="6" t="str">
        <f>IFERROR(__xludf.DUMMYFUNCTION("""COMPUTED_VALUE"""),"Enrolled")</f>
        <v>Enrolled</v>
      </c>
    </row>
    <row r="3167">
      <c r="A3167" s="6" t="str">
        <f>IFERROR(__xludf.DUMMYFUNCTION("""COMPUTED_VALUE"""),"064-5966")</f>
        <v>064-5966</v>
      </c>
      <c r="B3167" s="6" t="str">
        <f>IFERROR(__xludf.DUMMYFUNCTION("""COMPUTED_VALUE"""),"64")</f>
        <v>64</v>
      </c>
      <c r="C3167" s="6" t="str">
        <f>IFERROR(__xludf.DUMMYFUNCTION("""COMPUTED_VALUE"""),"5966")</f>
        <v>5966</v>
      </c>
      <c r="D3167" s="6" t="str">
        <f>IFERROR(__xludf.DUMMYFUNCTION("""COMPUTED_VALUE"""),"Takumi")</f>
        <v>Takumi</v>
      </c>
      <c r="E3167" s="6" t="str">
        <f>IFERROR(__xludf.DUMMYFUNCTION("""COMPUTED_VALUE"""),"")</f>
        <v/>
      </c>
      <c r="F3167" s="6" t="str">
        <f>IFERROR(__xludf.DUMMYFUNCTION("""COMPUTED_VALUE"""),"Breidenbach")</f>
        <v>Breidenbach</v>
      </c>
      <c r="G3167" s="6" t="str">
        <f>IFERROR(__xludf.DUMMYFUNCTION("""COMPUTED_VALUE"""),"03/12/2017")</f>
        <v>03/12/2017</v>
      </c>
      <c r="H3167" s="6" t="str">
        <f>IFERROR(__xludf.DUMMYFUNCTION("""COMPUTED_VALUE"""),"Self Identify")</f>
        <v>Self Identify</v>
      </c>
      <c r="I3167" s="6" t="str">
        <f>IFERROR(__xludf.DUMMYFUNCTION("""COMPUTED_VALUE"""),"Level 1")</f>
        <v>Level 1</v>
      </c>
      <c r="J3167" s="6" t="str">
        <f>IFERROR(__xludf.DUMMYFUNCTION("""COMPUTED_VALUE"""),"3")</f>
        <v>3</v>
      </c>
      <c r="K3167" s="6" t="str">
        <f>IFERROR(__xludf.DUMMYFUNCTION("""COMPUTED_VALUE"""),"takumi_breidenbach@stu.ortrail.k12.or.us")</f>
        <v>takumi_breidenbach@stu.ortrail.k12.or.us</v>
      </c>
      <c r="L3167" s="6" t="str">
        <f>IFERROR(__xludf.DUMMYFUNCTION("""COMPUTED_VALUE"""),"Oregon Trail School District 46")</f>
        <v>Oregon Trail School District 46</v>
      </c>
      <c r="M3167" s="6" t="str">
        <f>IFERROR(__xludf.DUMMYFUNCTION("""COMPUTED_VALUE"""),"Kelso Elementary School")</f>
        <v>Kelso Elementary School</v>
      </c>
      <c r="N3167" s="6" t="str">
        <f>IFERROR(__xludf.DUMMYFUNCTION("""COMPUTED_VALUE"""),"")</f>
        <v/>
      </c>
      <c r="O3167" s="87" t="str">
        <f>IFERROR(__xludf.DUMMYFUNCTION("""COMPUTED_VALUE"""),"https://drive.google.com/drive/folders/10T2cTQHqEJZqE-st6uFKPoI?usp=share_link")</f>
        <v>https://drive.google.com/drive/folders/10T2cTQHqEJZqE-st6uFKPoI?usp=share_link</v>
      </c>
      <c r="P3167" s="6" t="str">
        <f>IFERROR(__xludf.DUMMYFUNCTION("""COMPUTED_VALUE"""),"Takumi Breidenbach")</f>
        <v>Takumi Breidenbach</v>
      </c>
      <c r="Q3167" s="6" t="str">
        <f>IFERROR(__xludf.DUMMYFUNCTION("""COMPUTED_VALUE"""),"L1")</f>
        <v>L1</v>
      </c>
      <c r="R3167" s="6">
        <f>IFERROR(__xludf.DUMMYFUNCTION("""COMPUTED_VALUE"""),1.0)</f>
        <v>1</v>
      </c>
      <c r="S3167" s="6" t="str">
        <f>IFERROR(__xludf.DUMMYFUNCTION("""COMPUTED_VALUE"""),"Marisa Hazelton")</f>
        <v>Marisa Hazelton</v>
      </c>
      <c r="T3167" s="6" t="str">
        <f>IFERROR(__xludf.DUMMYFUNCTION("""COMPUTED_VALUE"""),"marisa.hazelton@ortrail.k12.or.us")</f>
        <v>marisa.hazelton@ortrail.k12.or.us</v>
      </c>
      <c r="U3167" s="6" t="str">
        <f>IFERROR(__xludf.DUMMYFUNCTION("""COMPUTED_VALUE"""),"3")</f>
        <v>3</v>
      </c>
      <c r="V3167" s="6" t="str">
        <f>IFERROR(__xludf.DUMMYFUNCTION("""COMPUTED_VALUE"""),"English")</f>
        <v>English</v>
      </c>
      <c r="W3167" s="6" t="str">
        <f>IFERROR(__xludf.DUMMYFUNCTION("""COMPUTED_VALUE"""),"[]")</f>
        <v>[]</v>
      </c>
      <c r="X3167" s="6" t="str">
        <f>IFERROR(__xludf.DUMMYFUNCTION("""COMPUTED_VALUE"""),"Enrolled")</f>
        <v>Enrolled</v>
      </c>
    </row>
    <row r="3168">
      <c r="A3168" s="6" t="str">
        <f>IFERROR(__xludf.DUMMYFUNCTION("""COMPUTED_VALUE"""),"064-5967")</f>
        <v>064-5967</v>
      </c>
      <c r="B3168" s="6" t="str">
        <f>IFERROR(__xludf.DUMMYFUNCTION("""COMPUTED_VALUE"""),"64")</f>
        <v>64</v>
      </c>
      <c r="C3168" s="6" t="str">
        <f>IFERROR(__xludf.DUMMYFUNCTION("""COMPUTED_VALUE"""),"5967")</f>
        <v>5967</v>
      </c>
      <c r="D3168" s="6" t="str">
        <f>IFERROR(__xludf.DUMMYFUNCTION("""COMPUTED_VALUE"""),"Mia")</f>
        <v>Mia</v>
      </c>
      <c r="E3168" s="6" t="str">
        <f>IFERROR(__xludf.DUMMYFUNCTION("""COMPUTED_VALUE"""),"")</f>
        <v/>
      </c>
      <c r="F3168" s="6" t="str">
        <f>IFERROR(__xludf.DUMMYFUNCTION("""COMPUTED_VALUE"""),"Corrales")</f>
        <v>Corrales</v>
      </c>
      <c r="G3168" s="6" t="str">
        <f>IFERROR(__xludf.DUMMYFUNCTION("""COMPUTED_VALUE"""),"06/24/2017")</f>
        <v>06/24/2017</v>
      </c>
      <c r="H3168" s="6" t="str">
        <f>IFERROR(__xludf.DUMMYFUNCTION("""COMPUTED_VALUE"""),"Self Identify")</f>
        <v>Self Identify</v>
      </c>
      <c r="I3168" s="6" t="str">
        <f>IFERROR(__xludf.DUMMYFUNCTION("""COMPUTED_VALUE"""),"Level 1")</f>
        <v>Level 1</v>
      </c>
      <c r="J3168" s="6" t="str">
        <f>IFERROR(__xludf.DUMMYFUNCTION("""COMPUTED_VALUE"""),"3")</f>
        <v>3</v>
      </c>
      <c r="K3168" s="6" t="str">
        <f>IFERROR(__xludf.DUMMYFUNCTION("""COMPUTED_VALUE"""),"mia_corrales@stu.ortrail.k12.or.us")</f>
        <v>mia_corrales@stu.ortrail.k12.or.us</v>
      </c>
      <c r="L3168" s="6" t="str">
        <f>IFERROR(__xludf.DUMMYFUNCTION("""COMPUTED_VALUE"""),"Oregon Trail School District 46")</f>
        <v>Oregon Trail School District 46</v>
      </c>
      <c r="M3168" s="6" t="str">
        <f>IFERROR(__xludf.DUMMYFUNCTION("""COMPUTED_VALUE"""),"Kelso Elementary School")</f>
        <v>Kelso Elementary School</v>
      </c>
      <c r="N3168" s="6" t="str">
        <f>IFERROR(__xludf.DUMMYFUNCTION("""COMPUTED_VALUE"""),"")</f>
        <v/>
      </c>
      <c r="O3168" s="87" t="str">
        <f>IFERROR(__xludf.DUMMYFUNCTION("""COMPUTED_VALUE"""),"https://drive.google.com/drive/folders/10T2cTQHqEJZqE-st6uFKPoI?usp=share_link")</f>
        <v>https://drive.google.com/drive/folders/10T2cTQHqEJZqE-st6uFKPoI?usp=share_link</v>
      </c>
      <c r="P3168" s="6" t="str">
        <f>IFERROR(__xludf.DUMMYFUNCTION("""COMPUTED_VALUE"""),"Mia Corrales")</f>
        <v>Mia Corrales</v>
      </c>
      <c r="Q3168" s="6" t="str">
        <f>IFERROR(__xludf.DUMMYFUNCTION("""COMPUTED_VALUE"""),"L1")</f>
        <v>L1</v>
      </c>
      <c r="R3168" s="6">
        <f>IFERROR(__xludf.DUMMYFUNCTION("""COMPUTED_VALUE"""),1.0)</f>
        <v>1</v>
      </c>
      <c r="S3168" s="6" t="str">
        <f>IFERROR(__xludf.DUMMYFUNCTION("""COMPUTED_VALUE"""),"Lindsay Jacksha")</f>
        <v>Lindsay Jacksha</v>
      </c>
      <c r="T3168" s="6" t="str">
        <f>IFERROR(__xludf.DUMMYFUNCTION("""COMPUTED_VALUE"""),"lindsay.jacksha@ortrail.k12.or.us")</f>
        <v>lindsay.jacksha@ortrail.k12.or.us</v>
      </c>
      <c r="U3168" s="6" t="str">
        <f>IFERROR(__xludf.DUMMYFUNCTION("""COMPUTED_VALUE"""),"3")</f>
        <v>3</v>
      </c>
      <c r="V3168" s="6" t="str">
        <f>IFERROR(__xludf.DUMMYFUNCTION("""COMPUTED_VALUE"""),"English")</f>
        <v>English</v>
      </c>
      <c r="W3168" s="6" t="str">
        <f>IFERROR(__xludf.DUMMYFUNCTION("""COMPUTED_VALUE"""),"[]")</f>
        <v>[]</v>
      </c>
      <c r="X3168" s="6" t="str">
        <f>IFERROR(__xludf.DUMMYFUNCTION("""COMPUTED_VALUE"""),"Enrolled")</f>
        <v>Enrolled</v>
      </c>
    </row>
    <row r="3169">
      <c r="A3169" s="6" t="str">
        <f>IFERROR(__xludf.DUMMYFUNCTION("""COMPUTED_VALUE"""),"064-5968")</f>
        <v>064-5968</v>
      </c>
      <c r="B3169" s="6" t="str">
        <f>IFERROR(__xludf.DUMMYFUNCTION("""COMPUTED_VALUE"""),"64")</f>
        <v>64</v>
      </c>
      <c r="C3169" s="6" t="str">
        <f>IFERROR(__xludf.DUMMYFUNCTION("""COMPUTED_VALUE"""),"5968")</f>
        <v>5968</v>
      </c>
      <c r="D3169" s="6" t="str">
        <f>IFERROR(__xludf.DUMMYFUNCTION("""COMPUTED_VALUE"""),"Robert")</f>
        <v>Robert</v>
      </c>
      <c r="E3169" s="6" t="str">
        <f>IFERROR(__xludf.DUMMYFUNCTION("""COMPUTED_VALUE"""),"")</f>
        <v/>
      </c>
      <c r="F3169" s="6" t="str">
        <f>IFERROR(__xludf.DUMMYFUNCTION("""COMPUTED_VALUE"""),"Cubic")</f>
        <v>Cubic</v>
      </c>
      <c r="G3169" s="6" t="str">
        <f>IFERROR(__xludf.DUMMYFUNCTION("""COMPUTED_VALUE"""),"10/04/2016")</f>
        <v>10/04/2016</v>
      </c>
      <c r="H3169" s="6" t="str">
        <f>IFERROR(__xludf.DUMMYFUNCTION("""COMPUTED_VALUE"""),"Self Identify")</f>
        <v>Self Identify</v>
      </c>
      <c r="I3169" s="6" t="str">
        <f>IFERROR(__xludf.DUMMYFUNCTION("""COMPUTED_VALUE"""),"Level 1")</f>
        <v>Level 1</v>
      </c>
      <c r="J3169" s="6" t="str">
        <f>IFERROR(__xludf.DUMMYFUNCTION("""COMPUTED_VALUE"""),"3")</f>
        <v>3</v>
      </c>
      <c r="K3169" s="6" t="str">
        <f>IFERROR(__xludf.DUMMYFUNCTION("""COMPUTED_VALUE"""),"robbie_cubic@stu.ortrail.k12.or.us")</f>
        <v>robbie_cubic@stu.ortrail.k12.or.us</v>
      </c>
      <c r="L3169" s="6" t="str">
        <f>IFERROR(__xludf.DUMMYFUNCTION("""COMPUTED_VALUE"""),"Oregon Trail School District 46")</f>
        <v>Oregon Trail School District 46</v>
      </c>
      <c r="M3169" s="6" t="str">
        <f>IFERROR(__xludf.DUMMYFUNCTION("""COMPUTED_VALUE"""),"Kelso Elementary School")</f>
        <v>Kelso Elementary School</v>
      </c>
      <c r="N3169" s="6" t="str">
        <f>IFERROR(__xludf.DUMMYFUNCTION("""COMPUTED_VALUE"""),"")</f>
        <v/>
      </c>
      <c r="O3169" s="87" t="str">
        <f>IFERROR(__xludf.DUMMYFUNCTION("""COMPUTED_VALUE"""),"https://drive.google.com/drive/folders/10T2cTQHqEJZqE-st6uFKPoI?usp=share_link")</f>
        <v>https://drive.google.com/drive/folders/10T2cTQHqEJZqE-st6uFKPoI?usp=share_link</v>
      </c>
      <c r="P3169" s="6" t="str">
        <f>IFERROR(__xludf.DUMMYFUNCTION("""COMPUTED_VALUE"""),"Robert Cubic")</f>
        <v>Robert Cubic</v>
      </c>
      <c r="Q3169" s="6" t="str">
        <f>IFERROR(__xludf.DUMMYFUNCTION("""COMPUTED_VALUE"""),"L1")</f>
        <v>L1</v>
      </c>
      <c r="R3169" s="6">
        <f>IFERROR(__xludf.DUMMYFUNCTION("""COMPUTED_VALUE"""),1.0)</f>
        <v>1</v>
      </c>
      <c r="S3169" s="6" t="str">
        <f>IFERROR(__xludf.DUMMYFUNCTION("""COMPUTED_VALUE"""),"Lindsay Jacksha")</f>
        <v>Lindsay Jacksha</v>
      </c>
      <c r="T3169" s="6" t="str">
        <f>IFERROR(__xludf.DUMMYFUNCTION("""COMPUTED_VALUE"""),"lindsay.jacksha@ortrail.k12.or.us")</f>
        <v>lindsay.jacksha@ortrail.k12.or.us</v>
      </c>
      <c r="U3169" s="6" t="str">
        <f>IFERROR(__xludf.DUMMYFUNCTION("""COMPUTED_VALUE"""),"3")</f>
        <v>3</v>
      </c>
      <c r="V3169" s="6" t="str">
        <f>IFERROR(__xludf.DUMMYFUNCTION("""COMPUTED_VALUE"""),"English")</f>
        <v>English</v>
      </c>
      <c r="W3169" s="6" t="str">
        <f>IFERROR(__xludf.DUMMYFUNCTION("""COMPUTED_VALUE"""),"[]")</f>
        <v>[]</v>
      </c>
      <c r="X3169" s="6" t="str">
        <f>IFERROR(__xludf.DUMMYFUNCTION("""COMPUTED_VALUE"""),"Enrolled")</f>
        <v>Enrolled</v>
      </c>
    </row>
    <row r="3170">
      <c r="A3170" s="6" t="str">
        <f>IFERROR(__xludf.DUMMYFUNCTION("""COMPUTED_VALUE"""),"064-5969")</f>
        <v>064-5969</v>
      </c>
      <c r="B3170" s="6" t="str">
        <f>IFERROR(__xludf.DUMMYFUNCTION("""COMPUTED_VALUE"""),"64")</f>
        <v>64</v>
      </c>
      <c r="C3170" s="6" t="str">
        <f>IFERROR(__xludf.DUMMYFUNCTION("""COMPUTED_VALUE"""),"5969")</f>
        <v>5969</v>
      </c>
      <c r="D3170" s="6" t="str">
        <f>IFERROR(__xludf.DUMMYFUNCTION("""COMPUTED_VALUE"""),"La'lanette Angel")</f>
        <v>La'lanette Angel</v>
      </c>
      <c r="E3170" s="6" t="str">
        <f>IFERROR(__xludf.DUMMYFUNCTION("""COMPUTED_VALUE"""),"")</f>
        <v/>
      </c>
      <c r="F3170" s="6" t="str">
        <f>IFERROR(__xludf.DUMMYFUNCTION("""COMPUTED_VALUE"""),"Dickersims")</f>
        <v>Dickersims</v>
      </c>
      <c r="G3170" s="6" t="str">
        <f>IFERROR(__xludf.DUMMYFUNCTION("""COMPUTED_VALUE"""),"03/08/2017")</f>
        <v>03/08/2017</v>
      </c>
      <c r="H3170" s="6" t="str">
        <f>IFERROR(__xludf.DUMMYFUNCTION("""COMPUTED_VALUE"""),"Self Identify")</f>
        <v>Self Identify</v>
      </c>
      <c r="I3170" s="6" t="str">
        <f>IFERROR(__xludf.DUMMYFUNCTION("""COMPUTED_VALUE"""),"Level 1")</f>
        <v>Level 1</v>
      </c>
      <c r="J3170" s="6" t="str">
        <f>IFERROR(__xludf.DUMMYFUNCTION("""COMPUTED_VALUE"""),"3")</f>
        <v>3</v>
      </c>
      <c r="K3170" s="6" t="str">
        <f>IFERROR(__xludf.DUMMYFUNCTION("""COMPUTED_VALUE"""),"netty_dickersims@stu.ortrail.k12.or.us")</f>
        <v>netty_dickersims@stu.ortrail.k12.or.us</v>
      </c>
      <c r="L3170" s="6" t="str">
        <f>IFERROR(__xludf.DUMMYFUNCTION("""COMPUTED_VALUE"""),"Oregon Trail School District 46")</f>
        <v>Oregon Trail School District 46</v>
      </c>
      <c r="M3170" s="6" t="str">
        <f>IFERROR(__xludf.DUMMYFUNCTION("""COMPUTED_VALUE"""),"Kelso Elementary School")</f>
        <v>Kelso Elementary School</v>
      </c>
      <c r="N3170" s="6" t="str">
        <f>IFERROR(__xludf.DUMMYFUNCTION("""COMPUTED_VALUE"""),"")</f>
        <v/>
      </c>
      <c r="O3170" s="87" t="str">
        <f>IFERROR(__xludf.DUMMYFUNCTION("""COMPUTED_VALUE"""),"https://drive.google.com/drive/folders/10T2cTQHqEJZqE-st6uFKPoI?usp=share_link")</f>
        <v>https://drive.google.com/drive/folders/10T2cTQHqEJZqE-st6uFKPoI?usp=share_link</v>
      </c>
      <c r="P3170" s="6" t="str">
        <f>IFERROR(__xludf.DUMMYFUNCTION("""COMPUTED_VALUE"""),"La'lanette Angel Dickersims")</f>
        <v>La'lanette Angel Dickersims</v>
      </c>
      <c r="Q3170" s="6" t="str">
        <f>IFERROR(__xludf.DUMMYFUNCTION("""COMPUTED_VALUE"""),"L1")</f>
        <v>L1</v>
      </c>
      <c r="R3170" s="6">
        <f>IFERROR(__xludf.DUMMYFUNCTION("""COMPUTED_VALUE"""),1.0)</f>
        <v>1</v>
      </c>
      <c r="S3170" s="6" t="str">
        <f>IFERROR(__xludf.DUMMYFUNCTION("""COMPUTED_VALUE"""),"Marisa Hazelton")</f>
        <v>Marisa Hazelton</v>
      </c>
      <c r="T3170" s="6" t="str">
        <f>IFERROR(__xludf.DUMMYFUNCTION("""COMPUTED_VALUE"""),"marisa.hazelton@ortrail.k12.or.us")</f>
        <v>marisa.hazelton@ortrail.k12.or.us</v>
      </c>
      <c r="U3170" s="6" t="str">
        <f>IFERROR(__xludf.DUMMYFUNCTION("""COMPUTED_VALUE"""),"3")</f>
        <v>3</v>
      </c>
      <c r="V3170" s="6" t="str">
        <f>IFERROR(__xludf.DUMMYFUNCTION("""COMPUTED_VALUE"""),"English")</f>
        <v>English</v>
      </c>
      <c r="W3170" s="6" t="str">
        <f>IFERROR(__xludf.DUMMYFUNCTION("""COMPUTED_VALUE"""),"[]")</f>
        <v>[]</v>
      </c>
      <c r="X3170" s="6" t="str">
        <f>IFERROR(__xludf.DUMMYFUNCTION("""COMPUTED_VALUE"""),"Enrolled")</f>
        <v>Enrolled</v>
      </c>
    </row>
    <row r="3171">
      <c r="A3171" s="6" t="str">
        <f>IFERROR(__xludf.DUMMYFUNCTION("""COMPUTED_VALUE"""),"064-5970")</f>
        <v>064-5970</v>
      </c>
      <c r="B3171" s="6" t="str">
        <f>IFERROR(__xludf.DUMMYFUNCTION("""COMPUTED_VALUE"""),"64")</f>
        <v>64</v>
      </c>
      <c r="C3171" s="6" t="str">
        <f>IFERROR(__xludf.DUMMYFUNCTION("""COMPUTED_VALUE"""),"5970")</f>
        <v>5970</v>
      </c>
      <c r="D3171" s="6" t="str">
        <f>IFERROR(__xludf.DUMMYFUNCTION("""COMPUTED_VALUE"""),"Noaha")</f>
        <v>Noaha</v>
      </c>
      <c r="E3171" s="6" t="str">
        <f>IFERROR(__xludf.DUMMYFUNCTION("""COMPUTED_VALUE"""),"")</f>
        <v/>
      </c>
      <c r="F3171" s="6" t="str">
        <f>IFERROR(__xludf.DUMMYFUNCTION("""COMPUTED_VALUE"""),"Donovan")</f>
        <v>Donovan</v>
      </c>
      <c r="G3171" s="6" t="str">
        <f>IFERROR(__xludf.DUMMYFUNCTION("""COMPUTED_VALUE"""),"02/17/2017")</f>
        <v>02/17/2017</v>
      </c>
      <c r="H3171" s="6" t="str">
        <f>IFERROR(__xludf.DUMMYFUNCTION("""COMPUTED_VALUE"""),"Self Identify")</f>
        <v>Self Identify</v>
      </c>
      <c r="I3171" s="6" t="str">
        <f>IFERROR(__xludf.DUMMYFUNCTION("""COMPUTED_VALUE"""),"Level 1")</f>
        <v>Level 1</v>
      </c>
      <c r="J3171" s="6" t="str">
        <f>IFERROR(__xludf.DUMMYFUNCTION("""COMPUTED_VALUE"""),"3")</f>
        <v>3</v>
      </c>
      <c r="K3171" s="6" t="str">
        <f>IFERROR(__xludf.DUMMYFUNCTION("""COMPUTED_VALUE"""),"noaha_donovan@stu.ortrail.k12.or.us")</f>
        <v>noaha_donovan@stu.ortrail.k12.or.us</v>
      </c>
      <c r="L3171" s="6" t="str">
        <f>IFERROR(__xludf.DUMMYFUNCTION("""COMPUTED_VALUE"""),"Oregon Trail School District 46")</f>
        <v>Oregon Trail School District 46</v>
      </c>
      <c r="M3171" s="6" t="str">
        <f>IFERROR(__xludf.DUMMYFUNCTION("""COMPUTED_VALUE"""),"Kelso Elementary School")</f>
        <v>Kelso Elementary School</v>
      </c>
      <c r="N3171" s="6" t="str">
        <f>IFERROR(__xludf.DUMMYFUNCTION("""COMPUTED_VALUE"""),"")</f>
        <v/>
      </c>
      <c r="O3171" s="87" t="str">
        <f>IFERROR(__xludf.DUMMYFUNCTION("""COMPUTED_VALUE"""),"https://drive.google.com/drive/folders/10T2cTQHqEJZqE-st6uFKPoI?usp=share_link")</f>
        <v>https://drive.google.com/drive/folders/10T2cTQHqEJZqE-st6uFKPoI?usp=share_link</v>
      </c>
      <c r="P3171" s="6" t="str">
        <f>IFERROR(__xludf.DUMMYFUNCTION("""COMPUTED_VALUE"""),"Noaha Donovan")</f>
        <v>Noaha Donovan</v>
      </c>
      <c r="Q3171" s="6" t="str">
        <f>IFERROR(__xludf.DUMMYFUNCTION("""COMPUTED_VALUE"""),"L1")</f>
        <v>L1</v>
      </c>
      <c r="R3171" s="6">
        <f>IFERROR(__xludf.DUMMYFUNCTION("""COMPUTED_VALUE"""),1.0)</f>
        <v>1</v>
      </c>
      <c r="S3171" s="6" t="str">
        <f>IFERROR(__xludf.DUMMYFUNCTION("""COMPUTED_VALUE"""),"Marisa Hazelton")</f>
        <v>Marisa Hazelton</v>
      </c>
      <c r="T3171" s="6" t="str">
        <f>IFERROR(__xludf.DUMMYFUNCTION("""COMPUTED_VALUE"""),"marisa.hazelton@ortrail.k12.or.us")</f>
        <v>marisa.hazelton@ortrail.k12.or.us</v>
      </c>
      <c r="U3171" s="6" t="str">
        <f>IFERROR(__xludf.DUMMYFUNCTION("""COMPUTED_VALUE"""),"3")</f>
        <v>3</v>
      </c>
      <c r="V3171" s="6" t="str">
        <f>IFERROR(__xludf.DUMMYFUNCTION("""COMPUTED_VALUE"""),"English")</f>
        <v>English</v>
      </c>
      <c r="W3171" s="6" t="str">
        <f>IFERROR(__xludf.DUMMYFUNCTION("""COMPUTED_VALUE"""),"[]")</f>
        <v>[]</v>
      </c>
      <c r="X3171" s="6" t="str">
        <f>IFERROR(__xludf.DUMMYFUNCTION("""COMPUTED_VALUE"""),"Enrolled")</f>
        <v>Enrolled</v>
      </c>
    </row>
    <row r="3172">
      <c r="A3172" s="6" t="str">
        <f>IFERROR(__xludf.DUMMYFUNCTION("""COMPUTED_VALUE"""),"064-5971")</f>
        <v>064-5971</v>
      </c>
      <c r="B3172" s="6" t="str">
        <f>IFERROR(__xludf.DUMMYFUNCTION("""COMPUTED_VALUE"""),"64")</f>
        <v>64</v>
      </c>
      <c r="C3172" s="6" t="str">
        <f>IFERROR(__xludf.DUMMYFUNCTION("""COMPUTED_VALUE"""),"5971")</f>
        <v>5971</v>
      </c>
      <c r="D3172" s="6" t="str">
        <f>IFERROR(__xludf.DUMMYFUNCTION("""COMPUTED_VALUE"""),"Maggie")</f>
        <v>Maggie</v>
      </c>
      <c r="E3172" s="6" t="str">
        <f>IFERROR(__xludf.DUMMYFUNCTION("""COMPUTED_VALUE"""),"")</f>
        <v/>
      </c>
      <c r="F3172" s="6" t="str">
        <f>IFERROR(__xludf.DUMMYFUNCTION("""COMPUTED_VALUE"""),"Favro")</f>
        <v>Favro</v>
      </c>
      <c r="G3172" s="6" t="str">
        <f>IFERROR(__xludf.DUMMYFUNCTION("""COMPUTED_VALUE"""),"04/23/2017")</f>
        <v>04/23/2017</v>
      </c>
      <c r="H3172" s="6" t="str">
        <f>IFERROR(__xludf.DUMMYFUNCTION("""COMPUTED_VALUE"""),"Self Identify")</f>
        <v>Self Identify</v>
      </c>
      <c r="I3172" s="6" t="str">
        <f>IFERROR(__xludf.DUMMYFUNCTION("""COMPUTED_VALUE"""),"Level 1")</f>
        <v>Level 1</v>
      </c>
      <c r="J3172" s="6" t="str">
        <f>IFERROR(__xludf.DUMMYFUNCTION("""COMPUTED_VALUE"""),"3")</f>
        <v>3</v>
      </c>
      <c r="K3172" s="6" t="str">
        <f>IFERROR(__xludf.DUMMYFUNCTION("""COMPUTED_VALUE"""),"maggie_favro@stu.ortrail.k12.or.us")</f>
        <v>maggie_favro@stu.ortrail.k12.or.us</v>
      </c>
      <c r="L3172" s="6" t="str">
        <f>IFERROR(__xludf.DUMMYFUNCTION("""COMPUTED_VALUE"""),"Oregon Trail School District 46")</f>
        <v>Oregon Trail School District 46</v>
      </c>
      <c r="M3172" s="6" t="str">
        <f>IFERROR(__xludf.DUMMYFUNCTION("""COMPUTED_VALUE"""),"Kelso Elementary School")</f>
        <v>Kelso Elementary School</v>
      </c>
      <c r="N3172" s="6" t="str">
        <f>IFERROR(__xludf.DUMMYFUNCTION("""COMPUTED_VALUE"""),"")</f>
        <v/>
      </c>
      <c r="O3172" s="87" t="str">
        <f>IFERROR(__xludf.DUMMYFUNCTION("""COMPUTED_VALUE"""),"https://drive.google.com/drive/folders/10T2cTQHqEJZqE-st6uFKPoI?usp=share_link")</f>
        <v>https://drive.google.com/drive/folders/10T2cTQHqEJZqE-st6uFKPoI?usp=share_link</v>
      </c>
      <c r="P3172" s="6" t="str">
        <f>IFERROR(__xludf.DUMMYFUNCTION("""COMPUTED_VALUE"""),"Maggie Favro")</f>
        <v>Maggie Favro</v>
      </c>
      <c r="Q3172" s="6" t="str">
        <f>IFERROR(__xludf.DUMMYFUNCTION("""COMPUTED_VALUE"""),"L1")</f>
        <v>L1</v>
      </c>
      <c r="R3172" s="6">
        <f>IFERROR(__xludf.DUMMYFUNCTION("""COMPUTED_VALUE"""),1.0)</f>
        <v>1</v>
      </c>
      <c r="S3172" s="6" t="str">
        <f>IFERROR(__xludf.DUMMYFUNCTION("""COMPUTED_VALUE"""),"Marisa Hazelton")</f>
        <v>Marisa Hazelton</v>
      </c>
      <c r="T3172" s="6" t="str">
        <f>IFERROR(__xludf.DUMMYFUNCTION("""COMPUTED_VALUE"""),"marisa.hazelton@ortrail.k12.or.us")</f>
        <v>marisa.hazelton@ortrail.k12.or.us</v>
      </c>
      <c r="U3172" s="6" t="str">
        <f>IFERROR(__xludf.DUMMYFUNCTION("""COMPUTED_VALUE"""),"3")</f>
        <v>3</v>
      </c>
      <c r="V3172" s="6" t="str">
        <f>IFERROR(__xludf.DUMMYFUNCTION("""COMPUTED_VALUE"""),"English")</f>
        <v>English</v>
      </c>
      <c r="W3172" s="6" t="str">
        <f>IFERROR(__xludf.DUMMYFUNCTION("""COMPUTED_VALUE"""),"[]")</f>
        <v>[]</v>
      </c>
      <c r="X3172" s="6" t="str">
        <f>IFERROR(__xludf.DUMMYFUNCTION("""COMPUTED_VALUE"""),"Enrolled")</f>
        <v>Enrolled</v>
      </c>
    </row>
    <row r="3173">
      <c r="A3173" s="6" t="str">
        <f>IFERROR(__xludf.DUMMYFUNCTION("""COMPUTED_VALUE"""),"064-5972")</f>
        <v>064-5972</v>
      </c>
      <c r="B3173" s="6" t="str">
        <f>IFERROR(__xludf.DUMMYFUNCTION("""COMPUTED_VALUE"""),"64")</f>
        <v>64</v>
      </c>
      <c r="C3173" s="6" t="str">
        <f>IFERROR(__xludf.DUMMYFUNCTION("""COMPUTED_VALUE"""),"5972")</f>
        <v>5972</v>
      </c>
      <c r="D3173" s="6" t="str">
        <f>IFERROR(__xludf.DUMMYFUNCTION("""COMPUTED_VALUE"""),"Tegan")</f>
        <v>Tegan</v>
      </c>
      <c r="E3173" s="6" t="str">
        <f>IFERROR(__xludf.DUMMYFUNCTION("""COMPUTED_VALUE"""),"")</f>
        <v/>
      </c>
      <c r="F3173" s="6" t="str">
        <f>IFERROR(__xludf.DUMMYFUNCTION("""COMPUTED_VALUE"""),"Ferguson")</f>
        <v>Ferguson</v>
      </c>
      <c r="G3173" s="6" t="str">
        <f>IFERROR(__xludf.DUMMYFUNCTION("""COMPUTED_VALUE"""),"07/15/2016")</f>
        <v>07/15/2016</v>
      </c>
      <c r="H3173" s="6" t="str">
        <f>IFERROR(__xludf.DUMMYFUNCTION("""COMPUTED_VALUE"""),"Self Identify")</f>
        <v>Self Identify</v>
      </c>
      <c r="I3173" s="6" t="str">
        <f>IFERROR(__xludf.DUMMYFUNCTION("""COMPUTED_VALUE"""),"Level 1")</f>
        <v>Level 1</v>
      </c>
      <c r="J3173" s="6" t="str">
        <f>IFERROR(__xludf.DUMMYFUNCTION("""COMPUTED_VALUE"""),"3")</f>
        <v>3</v>
      </c>
      <c r="K3173" s="6" t="str">
        <f>IFERROR(__xludf.DUMMYFUNCTION("""COMPUTED_VALUE"""),"tegan_ferguson@stu.ortrail.k12.or.us")</f>
        <v>tegan_ferguson@stu.ortrail.k12.or.us</v>
      </c>
      <c r="L3173" s="6" t="str">
        <f>IFERROR(__xludf.DUMMYFUNCTION("""COMPUTED_VALUE"""),"Oregon Trail School District 46")</f>
        <v>Oregon Trail School District 46</v>
      </c>
      <c r="M3173" s="6" t="str">
        <f>IFERROR(__xludf.DUMMYFUNCTION("""COMPUTED_VALUE"""),"Kelso Elementary School")</f>
        <v>Kelso Elementary School</v>
      </c>
      <c r="N3173" s="6" t="str">
        <f>IFERROR(__xludf.DUMMYFUNCTION("""COMPUTED_VALUE"""),"")</f>
        <v/>
      </c>
      <c r="O3173" s="87" t="str">
        <f>IFERROR(__xludf.DUMMYFUNCTION("""COMPUTED_VALUE"""),"https://drive.google.com/drive/folders/10T2cTQHqEJZqE-st6uFKPoI?usp=share_link")</f>
        <v>https://drive.google.com/drive/folders/10T2cTQHqEJZqE-st6uFKPoI?usp=share_link</v>
      </c>
      <c r="P3173" s="6" t="str">
        <f>IFERROR(__xludf.DUMMYFUNCTION("""COMPUTED_VALUE"""),"Tegan Ferguson")</f>
        <v>Tegan Ferguson</v>
      </c>
      <c r="Q3173" s="6" t="str">
        <f>IFERROR(__xludf.DUMMYFUNCTION("""COMPUTED_VALUE"""),"L1")</f>
        <v>L1</v>
      </c>
      <c r="R3173" s="6">
        <f>IFERROR(__xludf.DUMMYFUNCTION("""COMPUTED_VALUE"""),1.0)</f>
        <v>1</v>
      </c>
      <c r="S3173" s="6" t="str">
        <f>IFERROR(__xludf.DUMMYFUNCTION("""COMPUTED_VALUE"""),"Lindsay Jacksha")</f>
        <v>Lindsay Jacksha</v>
      </c>
      <c r="T3173" s="6" t="str">
        <f>IFERROR(__xludf.DUMMYFUNCTION("""COMPUTED_VALUE"""),"lindsay.jacksha@ortrail.k12.or.us")</f>
        <v>lindsay.jacksha@ortrail.k12.or.us</v>
      </c>
      <c r="U3173" s="6" t="str">
        <f>IFERROR(__xludf.DUMMYFUNCTION("""COMPUTED_VALUE"""),"3")</f>
        <v>3</v>
      </c>
      <c r="V3173" s="6" t="str">
        <f>IFERROR(__xludf.DUMMYFUNCTION("""COMPUTED_VALUE"""),"English")</f>
        <v>English</v>
      </c>
      <c r="W3173" s="6" t="str">
        <f>IFERROR(__xludf.DUMMYFUNCTION("""COMPUTED_VALUE"""),"[]")</f>
        <v>[]</v>
      </c>
      <c r="X3173" s="6" t="str">
        <f>IFERROR(__xludf.DUMMYFUNCTION("""COMPUTED_VALUE"""),"Enrolled")</f>
        <v>Enrolled</v>
      </c>
    </row>
    <row r="3174">
      <c r="A3174" s="6" t="str">
        <f>IFERROR(__xludf.DUMMYFUNCTION("""COMPUTED_VALUE"""),"064-5973")</f>
        <v>064-5973</v>
      </c>
      <c r="B3174" s="6" t="str">
        <f>IFERROR(__xludf.DUMMYFUNCTION("""COMPUTED_VALUE"""),"64")</f>
        <v>64</v>
      </c>
      <c r="C3174" s="6" t="str">
        <f>IFERROR(__xludf.DUMMYFUNCTION("""COMPUTED_VALUE"""),"5973")</f>
        <v>5973</v>
      </c>
      <c r="D3174" s="6" t="str">
        <f>IFERROR(__xludf.DUMMYFUNCTION("""COMPUTED_VALUE"""),"Jamie")</f>
        <v>Jamie</v>
      </c>
      <c r="E3174" s="6" t="str">
        <f>IFERROR(__xludf.DUMMYFUNCTION("""COMPUTED_VALUE"""),"")</f>
        <v/>
      </c>
      <c r="F3174" s="6" t="str">
        <f>IFERROR(__xludf.DUMMYFUNCTION("""COMPUTED_VALUE"""),"Flowers")</f>
        <v>Flowers</v>
      </c>
      <c r="G3174" s="6" t="str">
        <f>IFERROR(__xludf.DUMMYFUNCTION("""COMPUTED_VALUE"""),"06/18/2017")</f>
        <v>06/18/2017</v>
      </c>
      <c r="H3174" s="6" t="str">
        <f>IFERROR(__xludf.DUMMYFUNCTION("""COMPUTED_VALUE"""),"Self Identify")</f>
        <v>Self Identify</v>
      </c>
      <c r="I3174" s="6" t="str">
        <f>IFERROR(__xludf.DUMMYFUNCTION("""COMPUTED_VALUE"""),"Level 1")</f>
        <v>Level 1</v>
      </c>
      <c r="J3174" s="6" t="str">
        <f>IFERROR(__xludf.DUMMYFUNCTION("""COMPUTED_VALUE"""),"3")</f>
        <v>3</v>
      </c>
      <c r="K3174" s="6" t="str">
        <f>IFERROR(__xludf.DUMMYFUNCTION("""COMPUTED_VALUE"""),"jamie_flowers@stu.ortrail.k12.or.us")</f>
        <v>jamie_flowers@stu.ortrail.k12.or.us</v>
      </c>
      <c r="L3174" s="6" t="str">
        <f>IFERROR(__xludf.DUMMYFUNCTION("""COMPUTED_VALUE"""),"Oregon Trail School District 46")</f>
        <v>Oregon Trail School District 46</v>
      </c>
      <c r="M3174" s="6" t="str">
        <f>IFERROR(__xludf.DUMMYFUNCTION("""COMPUTED_VALUE"""),"Kelso Elementary School")</f>
        <v>Kelso Elementary School</v>
      </c>
      <c r="N3174" s="6" t="str">
        <f>IFERROR(__xludf.DUMMYFUNCTION("""COMPUTED_VALUE"""),"")</f>
        <v/>
      </c>
      <c r="O3174" s="87" t="str">
        <f>IFERROR(__xludf.DUMMYFUNCTION("""COMPUTED_VALUE"""),"https://drive.google.com/drive/folders/10T2cTQHqEJZqE-st6uFKPoI?usp=share_link")</f>
        <v>https://drive.google.com/drive/folders/10T2cTQHqEJZqE-st6uFKPoI?usp=share_link</v>
      </c>
      <c r="P3174" s="6" t="str">
        <f>IFERROR(__xludf.DUMMYFUNCTION("""COMPUTED_VALUE"""),"Jamie Flowers")</f>
        <v>Jamie Flowers</v>
      </c>
      <c r="Q3174" s="6" t="str">
        <f>IFERROR(__xludf.DUMMYFUNCTION("""COMPUTED_VALUE"""),"L1")</f>
        <v>L1</v>
      </c>
      <c r="R3174" s="6">
        <f>IFERROR(__xludf.DUMMYFUNCTION("""COMPUTED_VALUE"""),1.0)</f>
        <v>1</v>
      </c>
      <c r="S3174" s="6" t="str">
        <f>IFERROR(__xludf.DUMMYFUNCTION("""COMPUTED_VALUE"""),"Marisa Hazelton")</f>
        <v>Marisa Hazelton</v>
      </c>
      <c r="T3174" s="6" t="str">
        <f>IFERROR(__xludf.DUMMYFUNCTION("""COMPUTED_VALUE"""),"marisa.hazelton@ortrail.k12.or.us")</f>
        <v>marisa.hazelton@ortrail.k12.or.us</v>
      </c>
      <c r="U3174" s="6" t="str">
        <f>IFERROR(__xludf.DUMMYFUNCTION("""COMPUTED_VALUE"""),"3")</f>
        <v>3</v>
      </c>
      <c r="V3174" s="6" t="str">
        <f>IFERROR(__xludf.DUMMYFUNCTION("""COMPUTED_VALUE"""),"English")</f>
        <v>English</v>
      </c>
      <c r="W3174" s="6" t="str">
        <f>IFERROR(__xludf.DUMMYFUNCTION("""COMPUTED_VALUE"""),"[]")</f>
        <v>[]</v>
      </c>
      <c r="X3174" s="6" t="str">
        <f>IFERROR(__xludf.DUMMYFUNCTION("""COMPUTED_VALUE"""),"Enrolled")</f>
        <v>Enrolled</v>
      </c>
    </row>
    <row r="3175">
      <c r="A3175" s="6" t="str">
        <f>IFERROR(__xludf.DUMMYFUNCTION("""COMPUTED_VALUE"""),"064-5974")</f>
        <v>064-5974</v>
      </c>
      <c r="B3175" s="6" t="str">
        <f>IFERROR(__xludf.DUMMYFUNCTION("""COMPUTED_VALUE"""),"64")</f>
        <v>64</v>
      </c>
      <c r="C3175" s="6" t="str">
        <f>IFERROR(__xludf.DUMMYFUNCTION("""COMPUTED_VALUE"""),"5974")</f>
        <v>5974</v>
      </c>
      <c r="D3175" s="6" t="str">
        <f>IFERROR(__xludf.DUMMYFUNCTION("""COMPUTED_VALUE"""),"Alejandro")</f>
        <v>Alejandro</v>
      </c>
      <c r="E3175" s="6" t="str">
        <f>IFERROR(__xludf.DUMMYFUNCTION("""COMPUTED_VALUE"""),"")</f>
        <v/>
      </c>
      <c r="F3175" s="6" t="str">
        <f>IFERROR(__xludf.DUMMYFUNCTION("""COMPUTED_VALUE"""),"Gallegos Marin")</f>
        <v>Gallegos Marin</v>
      </c>
      <c r="G3175" s="6" t="str">
        <f>IFERROR(__xludf.DUMMYFUNCTION("""COMPUTED_VALUE"""),"07/18/2017")</f>
        <v>07/18/2017</v>
      </c>
      <c r="H3175" s="6" t="str">
        <f>IFERROR(__xludf.DUMMYFUNCTION("""COMPUTED_VALUE"""),"Self Identify")</f>
        <v>Self Identify</v>
      </c>
      <c r="I3175" s="6" t="str">
        <f>IFERROR(__xludf.DUMMYFUNCTION("""COMPUTED_VALUE"""),"Level 1")</f>
        <v>Level 1</v>
      </c>
      <c r="J3175" s="6" t="str">
        <f>IFERROR(__xludf.DUMMYFUNCTION("""COMPUTED_VALUE"""),"3")</f>
        <v>3</v>
      </c>
      <c r="K3175" s="6" t="str">
        <f>IFERROR(__xludf.DUMMYFUNCTION("""COMPUTED_VALUE"""),"alejandro_gallegosma@stu.ortrail.k12.or.us")</f>
        <v>alejandro_gallegosma@stu.ortrail.k12.or.us</v>
      </c>
      <c r="L3175" s="6" t="str">
        <f>IFERROR(__xludf.DUMMYFUNCTION("""COMPUTED_VALUE"""),"Oregon Trail School District 46")</f>
        <v>Oregon Trail School District 46</v>
      </c>
      <c r="M3175" s="6" t="str">
        <f>IFERROR(__xludf.DUMMYFUNCTION("""COMPUTED_VALUE"""),"Kelso Elementary School")</f>
        <v>Kelso Elementary School</v>
      </c>
      <c r="N3175" s="6" t="str">
        <f>IFERROR(__xludf.DUMMYFUNCTION("""COMPUTED_VALUE"""),"")</f>
        <v/>
      </c>
      <c r="O3175" s="87" t="str">
        <f>IFERROR(__xludf.DUMMYFUNCTION("""COMPUTED_VALUE"""),"https://drive.google.com/drive/folders/10T2cTQHqEJZqE-st6uFKPoI?usp=share_link")</f>
        <v>https://drive.google.com/drive/folders/10T2cTQHqEJZqE-st6uFKPoI?usp=share_link</v>
      </c>
      <c r="P3175" s="6" t="str">
        <f>IFERROR(__xludf.DUMMYFUNCTION("""COMPUTED_VALUE"""),"Alejandro Gallegos Marin")</f>
        <v>Alejandro Gallegos Marin</v>
      </c>
      <c r="Q3175" s="6" t="str">
        <f>IFERROR(__xludf.DUMMYFUNCTION("""COMPUTED_VALUE"""),"L1")</f>
        <v>L1</v>
      </c>
      <c r="R3175" s="6">
        <f>IFERROR(__xludf.DUMMYFUNCTION("""COMPUTED_VALUE"""),1.0)</f>
        <v>1</v>
      </c>
      <c r="S3175" s="6" t="str">
        <f>IFERROR(__xludf.DUMMYFUNCTION("""COMPUTED_VALUE"""),"Marisa Hazelton")</f>
        <v>Marisa Hazelton</v>
      </c>
      <c r="T3175" s="6" t="str">
        <f>IFERROR(__xludf.DUMMYFUNCTION("""COMPUTED_VALUE"""),"marisa.hazelton@ortrail.k12.or.us")</f>
        <v>marisa.hazelton@ortrail.k12.or.us</v>
      </c>
      <c r="U3175" s="6" t="str">
        <f>IFERROR(__xludf.DUMMYFUNCTION("""COMPUTED_VALUE"""),"3")</f>
        <v>3</v>
      </c>
      <c r="V3175" s="6" t="str">
        <f>IFERROR(__xludf.DUMMYFUNCTION("""COMPUTED_VALUE"""),"English")</f>
        <v>English</v>
      </c>
      <c r="W3175" s="6" t="str">
        <f>IFERROR(__xludf.DUMMYFUNCTION("""COMPUTED_VALUE"""),"[]")</f>
        <v>[]</v>
      </c>
      <c r="X3175" s="6" t="str">
        <f>IFERROR(__xludf.DUMMYFUNCTION("""COMPUTED_VALUE"""),"Enrolled")</f>
        <v>Enrolled</v>
      </c>
    </row>
    <row r="3176">
      <c r="A3176" s="6" t="str">
        <f>IFERROR(__xludf.DUMMYFUNCTION("""COMPUTED_VALUE"""),"064-5975")</f>
        <v>064-5975</v>
      </c>
      <c r="B3176" s="6" t="str">
        <f>IFERROR(__xludf.DUMMYFUNCTION("""COMPUTED_VALUE"""),"64")</f>
        <v>64</v>
      </c>
      <c r="C3176" s="6" t="str">
        <f>IFERROR(__xludf.DUMMYFUNCTION("""COMPUTED_VALUE"""),"5975")</f>
        <v>5975</v>
      </c>
      <c r="D3176" s="6" t="str">
        <f>IFERROR(__xludf.DUMMYFUNCTION("""COMPUTED_VALUE"""),"Samantha")</f>
        <v>Samantha</v>
      </c>
      <c r="E3176" s="6" t="str">
        <f>IFERROR(__xludf.DUMMYFUNCTION("""COMPUTED_VALUE"""),"")</f>
        <v/>
      </c>
      <c r="F3176" s="6" t="str">
        <f>IFERROR(__xludf.DUMMYFUNCTION("""COMPUTED_VALUE"""),"Galleran")</f>
        <v>Galleran</v>
      </c>
      <c r="G3176" s="6" t="str">
        <f>IFERROR(__xludf.DUMMYFUNCTION("""COMPUTED_VALUE"""),"04/06/2017")</f>
        <v>04/06/2017</v>
      </c>
      <c r="H3176" s="6" t="str">
        <f>IFERROR(__xludf.DUMMYFUNCTION("""COMPUTED_VALUE"""),"Self Identify")</f>
        <v>Self Identify</v>
      </c>
      <c r="I3176" s="6" t="str">
        <f>IFERROR(__xludf.DUMMYFUNCTION("""COMPUTED_VALUE"""),"Level 1")</f>
        <v>Level 1</v>
      </c>
      <c r="J3176" s="6" t="str">
        <f>IFERROR(__xludf.DUMMYFUNCTION("""COMPUTED_VALUE"""),"3")</f>
        <v>3</v>
      </c>
      <c r="K3176" s="6" t="str">
        <f>IFERROR(__xludf.DUMMYFUNCTION("""COMPUTED_VALUE"""),"samantha_galleran@stu.ortrail.k12.or.us")</f>
        <v>samantha_galleran@stu.ortrail.k12.or.us</v>
      </c>
      <c r="L3176" s="6" t="str">
        <f>IFERROR(__xludf.DUMMYFUNCTION("""COMPUTED_VALUE"""),"Oregon Trail School District 46")</f>
        <v>Oregon Trail School District 46</v>
      </c>
      <c r="M3176" s="6" t="str">
        <f>IFERROR(__xludf.DUMMYFUNCTION("""COMPUTED_VALUE"""),"Kelso Elementary School")</f>
        <v>Kelso Elementary School</v>
      </c>
      <c r="N3176" s="6" t="str">
        <f>IFERROR(__xludf.DUMMYFUNCTION("""COMPUTED_VALUE"""),"")</f>
        <v/>
      </c>
      <c r="O3176" s="87" t="str">
        <f>IFERROR(__xludf.DUMMYFUNCTION("""COMPUTED_VALUE"""),"https://drive.google.com/drive/folders/10T2cTQHqEJZqE-st6uFKPoI?usp=share_link")</f>
        <v>https://drive.google.com/drive/folders/10T2cTQHqEJZqE-st6uFKPoI?usp=share_link</v>
      </c>
      <c r="P3176" s="6" t="str">
        <f>IFERROR(__xludf.DUMMYFUNCTION("""COMPUTED_VALUE"""),"Samantha Galleran")</f>
        <v>Samantha Galleran</v>
      </c>
      <c r="Q3176" s="6" t="str">
        <f>IFERROR(__xludf.DUMMYFUNCTION("""COMPUTED_VALUE"""),"L1")</f>
        <v>L1</v>
      </c>
      <c r="R3176" s="6">
        <f>IFERROR(__xludf.DUMMYFUNCTION("""COMPUTED_VALUE"""),1.0)</f>
        <v>1</v>
      </c>
      <c r="S3176" s="6" t="str">
        <f>IFERROR(__xludf.DUMMYFUNCTION("""COMPUTED_VALUE"""),"Marisa Hazelton")</f>
        <v>Marisa Hazelton</v>
      </c>
      <c r="T3176" s="6" t="str">
        <f>IFERROR(__xludf.DUMMYFUNCTION("""COMPUTED_VALUE"""),"marisa.hazelton@ortrail.k12.or.us")</f>
        <v>marisa.hazelton@ortrail.k12.or.us</v>
      </c>
      <c r="U3176" s="6" t="str">
        <f>IFERROR(__xludf.DUMMYFUNCTION("""COMPUTED_VALUE"""),"3")</f>
        <v>3</v>
      </c>
      <c r="V3176" s="6" t="str">
        <f>IFERROR(__xludf.DUMMYFUNCTION("""COMPUTED_VALUE"""),"English")</f>
        <v>English</v>
      </c>
      <c r="W3176" s="6" t="str">
        <f>IFERROR(__xludf.DUMMYFUNCTION("""COMPUTED_VALUE"""),"[]")</f>
        <v>[]</v>
      </c>
      <c r="X3176" s="6" t="str">
        <f>IFERROR(__xludf.DUMMYFUNCTION("""COMPUTED_VALUE"""),"Enrolled")</f>
        <v>Enrolled</v>
      </c>
    </row>
    <row r="3177">
      <c r="A3177" s="6" t="str">
        <f>IFERROR(__xludf.DUMMYFUNCTION("""COMPUTED_VALUE"""),"064-5976")</f>
        <v>064-5976</v>
      </c>
      <c r="B3177" s="6" t="str">
        <f>IFERROR(__xludf.DUMMYFUNCTION("""COMPUTED_VALUE"""),"64")</f>
        <v>64</v>
      </c>
      <c r="C3177" s="6" t="str">
        <f>IFERROR(__xludf.DUMMYFUNCTION("""COMPUTED_VALUE"""),"5976")</f>
        <v>5976</v>
      </c>
      <c r="D3177" s="6" t="str">
        <f>IFERROR(__xludf.DUMMYFUNCTION("""COMPUTED_VALUE"""),"Fabian")</f>
        <v>Fabian</v>
      </c>
      <c r="E3177" s="6" t="str">
        <f>IFERROR(__xludf.DUMMYFUNCTION("""COMPUTED_VALUE"""),"")</f>
        <v/>
      </c>
      <c r="F3177" s="6" t="str">
        <f>IFERROR(__xludf.DUMMYFUNCTION("""COMPUTED_VALUE"""),"Garcia Von Steinberg")</f>
        <v>Garcia Von Steinberg</v>
      </c>
      <c r="G3177" s="6" t="str">
        <f>IFERROR(__xludf.DUMMYFUNCTION("""COMPUTED_VALUE"""),"12/09/2016")</f>
        <v>12/09/2016</v>
      </c>
      <c r="H3177" s="6" t="str">
        <f>IFERROR(__xludf.DUMMYFUNCTION("""COMPUTED_VALUE"""),"Self Identify")</f>
        <v>Self Identify</v>
      </c>
      <c r="I3177" s="6" t="str">
        <f>IFERROR(__xludf.DUMMYFUNCTION("""COMPUTED_VALUE"""),"Level 1")</f>
        <v>Level 1</v>
      </c>
      <c r="J3177" s="6" t="str">
        <f>IFERROR(__xludf.DUMMYFUNCTION("""COMPUTED_VALUE"""),"3")</f>
        <v>3</v>
      </c>
      <c r="K3177" s="6" t="str">
        <f>IFERROR(__xludf.DUMMYFUNCTION("""COMPUTED_VALUE"""),"fabian_garciavonstei@stu.ortrail.k12.or.us")</f>
        <v>fabian_garciavonstei@stu.ortrail.k12.or.us</v>
      </c>
      <c r="L3177" s="6" t="str">
        <f>IFERROR(__xludf.DUMMYFUNCTION("""COMPUTED_VALUE"""),"Oregon Trail School District 46")</f>
        <v>Oregon Trail School District 46</v>
      </c>
      <c r="M3177" s="6" t="str">
        <f>IFERROR(__xludf.DUMMYFUNCTION("""COMPUTED_VALUE"""),"Kelso Elementary School")</f>
        <v>Kelso Elementary School</v>
      </c>
      <c r="N3177" s="6" t="str">
        <f>IFERROR(__xludf.DUMMYFUNCTION("""COMPUTED_VALUE"""),"")</f>
        <v/>
      </c>
      <c r="O3177" s="87" t="str">
        <f>IFERROR(__xludf.DUMMYFUNCTION("""COMPUTED_VALUE"""),"https://drive.google.com/drive/folders/10T2cTQHqEJZqE-st6uFKPoI?usp=share_link")</f>
        <v>https://drive.google.com/drive/folders/10T2cTQHqEJZqE-st6uFKPoI?usp=share_link</v>
      </c>
      <c r="P3177" s="6" t="str">
        <f>IFERROR(__xludf.DUMMYFUNCTION("""COMPUTED_VALUE"""),"Fabian Garcia Von Steinberg")</f>
        <v>Fabian Garcia Von Steinberg</v>
      </c>
      <c r="Q3177" s="6" t="str">
        <f>IFERROR(__xludf.DUMMYFUNCTION("""COMPUTED_VALUE"""),"L1")</f>
        <v>L1</v>
      </c>
      <c r="R3177" s="6">
        <f>IFERROR(__xludf.DUMMYFUNCTION("""COMPUTED_VALUE"""),1.0)</f>
        <v>1</v>
      </c>
      <c r="S3177" s="6" t="str">
        <f>IFERROR(__xludf.DUMMYFUNCTION("""COMPUTED_VALUE"""),"Marisa Hazelton")</f>
        <v>Marisa Hazelton</v>
      </c>
      <c r="T3177" s="6" t="str">
        <f>IFERROR(__xludf.DUMMYFUNCTION("""COMPUTED_VALUE"""),"marisa.hazelton@ortrail.k12.or.us")</f>
        <v>marisa.hazelton@ortrail.k12.or.us</v>
      </c>
      <c r="U3177" s="6" t="str">
        <f>IFERROR(__xludf.DUMMYFUNCTION("""COMPUTED_VALUE"""),"3")</f>
        <v>3</v>
      </c>
      <c r="V3177" s="6" t="str">
        <f>IFERROR(__xludf.DUMMYFUNCTION("""COMPUTED_VALUE"""),"English")</f>
        <v>English</v>
      </c>
      <c r="W3177" s="6" t="str">
        <f>IFERROR(__xludf.DUMMYFUNCTION("""COMPUTED_VALUE"""),"[]")</f>
        <v>[]</v>
      </c>
      <c r="X3177" s="6" t="str">
        <f>IFERROR(__xludf.DUMMYFUNCTION("""COMPUTED_VALUE"""),"Enrolled")</f>
        <v>Enrolled</v>
      </c>
    </row>
    <row r="3178">
      <c r="A3178" s="6" t="str">
        <f>IFERROR(__xludf.DUMMYFUNCTION("""COMPUTED_VALUE"""),"064-5977")</f>
        <v>064-5977</v>
      </c>
      <c r="B3178" s="6" t="str">
        <f>IFERROR(__xludf.DUMMYFUNCTION("""COMPUTED_VALUE"""),"64")</f>
        <v>64</v>
      </c>
      <c r="C3178" s="6" t="str">
        <f>IFERROR(__xludf.DUMMYFUNCTION("""COMPUTED_VALUE"""),"5977")</f>
        <v>5977</v>
      </c>
      <c r="D3178" s="6" t="str">
        <f>IFERROR(__xludf.DUMMYFUNCTION("""COMPUTED_VALUE"""),"Camille")</f>
        <v>Camille</v>
      </c>
      <c r="E3178" s="6" t="str">
        <f>IFERROR(__xludf.DUMMYFUNCTION("""COMPUTED_VALUE"""),"")</f>
        <v/>
      </c>
      <c r="F3178" s="6" t="str">
        <f>IFERROR(__xludf.DUMMYFUNCTION("""COMPUTED_VALUE"""),"Garrison")</f>
        <v>Garrison</v>
      </c>
      <c r="G3178" s="6" t="str">
        <f>IFERROR(__xludf.DUMMYFUNCTION("""COMPUTED_VALUE"""),"07/11/2017")</f>
        <v>07/11/2017</v>
      </c>
      <c r="H3178" s="6" t="str">
        <f>IFERROR(__xludf.DUMMYFUNCTION("""COMPUTED_VALUE"""),"Self Identify")</f>
        <v>Self Identify</v>
      </c>
      <c r="I3178" s="6" t="str">
        <f>IFERROR(__xludf.DUMMYFUNCTION("""COMPUTED_VALUE"""),"Level 1")</f>
        <v>Level 1</v>
      </c>
      <c r="J3178" s="6" t="str">
        <f>IFERROR(__xludf.DUMMYFUNCTION("""COMPUTED_VALUE"""),"3")</f>
        <v>3</v>
      </c>
      <c r="K3178" s="6" t="str">
        <f>IFERROR(__xludf.DUMMYFUNCTION("""COMPUTED_VALUE"""),"camille_garrison@stu.ortrail.k12.or.us")</f>
        <v>camille_garrison@stu.ortrail.k12.or.us</v>
      </c>
      <c r="L3178" s="6" t="str">
        <f>IFERROR(__xludf.DUMMYFUNCTION("""COMPUTED_VALUE"""),"Oregon Trail School District 46")</f>
        <v>Oregon Trail School District 46</v>
      </c>
      <c r="M3178" s="6" t="str">
        <f>IFERROR(__xludf.DUMMYFUNCTION("""COMPUTED_VALUE"""),"Kelso Elementary School")</f>
        <v>Kelso Elementary School</v>
      </c>
      <c r="N3178" s="6" t="str">
        <f>IFERROR(__xludf.DUMMYFUNCTION("""COMPUTED_VALUE"""),"")</f>
        <v/>
      </c>
      <c r="O3178" s="87" t="str">
        <f>IFERROR(__xludf.DUMMYFUNCTION("""COMPUTED_VALUE"""),"https://drive.google.com/drive/folders/10T2cTQHqEJZqE-st6uFKPoI?usp=share_link")</f>
        <v>https://drive.google.com/drive/folders/10T2cTQHqEJZqE-st6uFKPoI?usp=share_link</v>
      </c>
      <c r="P3178" s="6" t="str">
        <f>IFERROR(__xludf.DUMMYFUNCTION("""COMPUTED_VALUE"""),"Camille Garrison")</f>
        <v>Camille Garrison</v>
      </c>
      <c r="Q3178" s="6" t="str">
        <f>IFERROR(__xludf.DUMMYFUNCTION("""COMPUTED_VALUE"""),"L1")</f>
        <v>L1</v>
      </c>
      <c r="R3178" s="6">
        <f>IFERROR(__xludf.DUMMYFUNCTION("""COMPUTED_VALUE"""),1.0)</f>
        <v>1</v>
      </c>
      <c r="S3178" s="6" t="str">
        <f>IFERROR(__xludf.DUMMYFUNCTION("""COMPUTED_VALUE"""),"Lindsay Jacksha")</f>
        <v>Lindsay Jacksha</v>
      </c>
      <c r="T3178" s="6" t="str">
        <f>IFERROR(__xludf.DUMMYFUNCTION("""COMPUTED_VALUE"""),"lindsay.jacksha@ortrail.k12.or.us")</f>
        <v>lindsay.jacksha@ortrail.k12.or.us</v>
      </c>
      <c r="U3178" s="6" t="str">
        <f>IFERROR(__xludf.DUMMYFUNCTION("""COMPUTED_VALUE"""),"3")</f>
        <v>3</v>
      </c>
      <c r="V3178" s="6" t="str">
        <f>IFERROR(__xludf.DUMMYFUNCTION("""COMPUTED_VALUE"""),"English")</f>
        <v>English</v>
      </c>
      <c r="W3178" s="6" t="str">
        <f>IFERROR(__xludf.DUMMYFUNCTION("""COMPUTED_VALUE"""),"[]")</f>
        <v>[]</v>
      </c>
      <c r="X3178" s="6" t="str">
        <f>IFERROR(__xludf.DUMMYFUNCTION("""COMPUTED_VALUE"""),"Enrolled")</f>
        <v>Enrolled</v>
      </c>
    </row>
    <row r="3179">
      <c r="A3179" s="6" t="str">
        <f>IFERROR(__xludf.DUMMYFUNCTION("""COMPUTED_VALUE"""),"064-5979")</f>
        <v>064-5979</v>
      </c>
      <c r="B3179" s="6" t="str">
        <f>IFERROR(__xludf.DUMMYFUNCTION("""COMPUTED_VALUE"""),"64")</f>
        <v>64</v>
      </c>
      <c r="C3179" s="6" t="str">
        <f>IFERROR(__xludf.DUMMYFUNCTION("""COMPUTED_VALUE"""),"5979")</f>
        <v>5979</v>
      </c>
      <c r="D3179" s="6" t="str">
        <f>IFERROR(__xludf.DUMMYFUNCTION("""COMPUTED_VALUE"""),"Octavia")</f>
        <v>Octavia</v>
      </c>
      <c r="E3179" s="6" t="str">
        <f>IFERROR(__xludf.DUMMYFUNCTION("""COMPUTED_VALUE"""),"")</f>
        <v/>
      </c>
      <c r="F3179" s="6" t="str">
        <f>IFERROR(__xludf.DUMMYFUNCTION("""COMPUTED_VALUE"""),"Goetz")</f>
        <v>Goetz</v>
      </c>
      <c r="G3179" s="6" t="str">
        <f>IFERROR(__xludf.DUMMYFUNCTION("""COMPUTED_VALUE"""),"05/01/2017")</f>
        <v>05/01/2017</v>
      </c>
      <c r="H3179" s="6" t="str">
        <f>IFERROR(__xludf.DUMMYFUNCTION("""COMPUTED_VALUE"""),"Self Identify")</f>
        <v>Self Identify</v>
      </c>
      <c r="I3179" s="6" t="str">
        <f>IFERROR(__xludf.DUMMYFUNCTION("""COMPUTED_VALUE"""),"Level 1")</f>
        <v>Level 1</v>
      </c>
      <c r="J3179" s="6" t="str">
        <f>IFERROR(__xludf.DUMMYFUNCTION("""COMPUTED_VALUE"""),"3")</f>
        <v>3</v>
      </c>
      <c r="K3179" s="6" t="str">
        <f>IFERROR(__xludf.DUMMYFUNCTION("""COMPUTED_VALUE"""),"octavia_goetz@stu.ortrail.k12.or.us")</f>
        <v>octavia_goetz@stu.ortrail.k12.or.us</v>
      </c>
      <c r="L3179" s="6" t="str">
        <f>IFERROR(__xludf.DUMMYFUNCTION("""COMPUTED_VALUE"""),"Oregon Trail School District 46")</f>
        <v>Oregon Trail School District 46</v>
      </c>
      <c r="M3179" s="6" t="str">
        <f>IFERROR(__xludf.DUMMYFUNCTION("""COMPUTED_VALUE"""),"Kelso Elementary School")</f>
        <v>Kelso Elementary School</v>
      </c>
      <c r="N3179" s="6" t="str">
        <f>IFERROR(__xludf.DUMMYFUNCTION("""COMPUTED_VALUE"""),"")</f>
        <v/>
      </c>
      <c r="O3179" s="87" t="str">
        <f>IFERROR(__xludf.DUMMYFUNCTION("""COMPUTED_VALUE"""),"https://drive.google.com/drive/folders/10T2cTQHqEJZqE-st6uFKPoI?usp=share_link")</f>
        <v>https://drive.google.com/drive/folders/10T2cTQHqEJZqE-st6uFKPoI?usp=share_link</v>
      </c>
      <c r="P3179" s="6" t="str">
        <f>IFERROR(__xludf.DUMMYFUNCTION("""COMPUTED_VALUE"""),"Octavia Goetz")</f>
        <v>Octavia Goetz</v>
      </c>
      <c r="Q3179" s="6" t="str">
        <f>IFERROR(__xludf.DUMMYFUNCTION("""COMPUTED_VALUE"""),"L1")</f>
        <v>L1</v>
      </c>
      <c r="R3179" s="6">
        <f>IFERROR(__xludf.DUMMYFUNCTION("""COMPUTED_VALUE"""),1.0)</f>
        <v>1</v>
      </c>
      <c r="S3179" s="6" t="str">
        <f>IFERROR(__xludf.DUMMYFUNCTION("""COMPUTED_VALUE"""),"Marisa Hazelton")</f>
        <v>Marisa Hazelton</v>
      </c>
      <c r="T3179" s="6" t="str">
        <f>IFERROR(__xludf.DUMMYFUNCTION("""COMPUTED_VALUE"""),"marisa.hazelton@ortrail.k12.or.us")</f>
        <v>marisa.hazelton@ortrail.k12.or.us</v>
      </c>
      <c r="U3179" s="6" t="str">
        <f>IFERROR(__xludf.DUMMYFUNCTION("""COMPUTED_VALUE"""),"3")</f>
        <v>3</v>
      </c>
      <c r="V3179" s="6" t="str">
        <f>IFERROR(__xludf.DUMMYFUNCTION("""COMPUTED_VALUE"""),"English")</f>
        <v>English</v>
      </c>
      <c r="W3179" s="6" t="str">
        <f>IFERROR(__xludf.DUMMYFUNCTION("""COMPUTED_VALUE"""),"[]")</f>
        <v>[]</v>
      </c>
      <c r="X3179" s="6" t="str">
        <f>IFERROR(__xludf.DUMMYFUNCTION("""COMPUTED_VALUE"""),"Enrolled")</f>
        <v>Enrolled</v>
      </c>
    </row>
    <row r="3180">
      <c r="A3180" s="6" t="str">
        <f>IFERROR(__xludf.DUMMYFUNCTION("""COMPUTED_VALUE"""),"064-5980")</f>
        <v>064-5980</v>
      </c>
      <c r="B3180" s="6" t="str">
        <f>IFERROR(__xludf.DUMMYFUNCTION("""COMPUTED_VALUE"""),"64")</f>
        <v>64</v>
      </c>
      <c r="C3180" s="6" t="str">
        <f>IFERROR(__xludf.DUMMYFUNCTION("""COMPUTED_VALUE"""),"5980")</f>
        <v>5980</v>
      </c>
      <c r="D3180" s="6" t="str">
        <f>IFERROR(__xludf.DUMMYFUNCTION("""COMPUTED_VALUE"""),"Reid")</f>
        <v>Reid</v>
      </c>
      <c r="E3180" s="6" t="str">
        <f>IFERROR(__xludf.DUMMYFUNCTION("""COMPUTED_VALUE"""),"")</f>
        <v/>
      </c>
      <c r="F3180" s="6" t="str">
        <f>IFERROR(__xludf.DUMMYFUNCTION("""COMPUTED_VALUE"""),"Hadduck")</f>
        <v>Hadduck</v>
      </c>
      <c r="G3180" s="6" t="str">
        <f>IFERROR(__xludf.DUMMYFUNCTION("""COMPUTED_VALUE"""),"11/13/2016")</f>
        <v>11/13/2016</v>
      </c>
      <c r="H3180" s="6" t="str">
        <f>IFERROR(__xludf.DUMMYFUNCTION("""COMPUTED_VALUE"""),"Self Identify")</f>
        <v>Self Identify</v>
      </c>
      <c r="I3180" s="6" t="str">
        <f>IFERROR(__xludf.DUMMYFUNCTION("""COMPUTED_VALUE"""),"Level 1")</f>
        <v>Level 1</v>
      </c>
      <c r="J3180" s="6" t="str">
        <f>IFERROR(__xludf.DUMMYFUNCTION("""COMPUTED_VALUE"""),"3")</f>
        <v>3</v>
      </c>
      <c r="K3180" s="6" t="str">
        <f>IFERROR(__xludf.DUMMYFUNCTION("""COMPUTED_VALUE"""),"reid_hadduck@stu.ortrail.k12.or.us")</f>
        <v>reid_hadduck@stu.ortrail.k12.or.us</v>
      </c>
      <c r="L3180" s="6" t="str">
        <f>IFERROR(__xludf.DUMMYFUNCTION("""COMPUTED_VALUE"""),"Oregon Trail School District 46")</f>
        <v>Oregon Trail School District 46</v>
      </c>
      <c r="M3180" s="6" t="str">
        <f>IFERROR(__xludf.DUMMYFUNCTION("""COMPUTED_VALUE"""),"Kelso Elementary School")</f>
        <v>Kelso Elementary School</v>
      </c>
      <c r="N3180" s="6" t="str">
        <f>IFERROR(__xludf.DUMMYFUNCTION("""COMPUTED_VALUE"""),"")</f>
        <v/>
      </c>
      <c r="O3180" s="87" t="str">
        <f>IFERROR(__xludf.DUMMYFUNCTION("""COMPUTED_VALUE"""),"https://drive.google.com/drive/folders/10T2cTQHqEJZqE-st6uFKPoI?usp=share_link")</f>
        <v>https://drive.google.com/drive/folders/10T2cTQHqEJZqE-st6uFKPoI?usp=share_link</v>
      </c>
      <c r="P3180" s="6" t="str">
        <f>IFERROR(__xludf.DUMMYFUNCTION("""COMPUTED_VALUE"""),"Reid Hadduck")</f>
        <v>Reid Hadduck</v>
      </c>
      <c r="Q3180" s="6" t="str">
        <f>IFERROR(__xludf.DUMMYFUNCTION("""COMPUTED_VALUE"""),"L1")</f>
        <v>L1</v>
      </c>
      <c r="R3180" s="6">
        <f>IFERROR(__xludf.DUMMYFUNCTION("""COMPUTED_VALUE"""),1.0)</f>
        <v>1</v>
      </c>
      <c r="S3180" s="6" t="str">
        <f>IFERROR(__xludf.DUMMYFUNCTION("""COMPUTED_VALUE"""),"Lindsay Jacksha")</f>
        <v>Lindsay Jacksha</v>
      </c>
      <c r="T3180" s="6" t="str">
        <f>IFERROR(__xludf.DUMMYFUNCTION("""COMPUTED_VALUE"""),"lindsay.jacksha@ortrail.k12.or.us")</f>
        <v>lindsay.jacksha@ortrail.k12.or.us</v>
      </c>
      <c r="U3180" s="6" t="str">
        <f>IFERROR(__xludf.DUMMYFUNCTION("""COMPUTED_VALUE"""),"3")</f>
        <v>3</v>
      </c>
      <c r="V3180" s="6" t="str">
        <f>IFERROR(__xludf.DUMMYFUNCTION("""COMPUTED_VALUE"""),"English")</f>
        <v>English</v>
      </c>
      <c r="W3180" s="6" t="str">
        <f>IFERROR(__xludf.DUMMYFUNCTION("""COMPUTED_VALUE"""),"[]")</f>
        <v>[]</v>
      </c>
      <c r="X3180" s="6" t="str">
        <f>IFERROR(__xludf.DUMMYFUNCTION("""COMPUTED_VALUE"""),"Enrolled")</f>
        <v>Enrolled</v>
      </c>
    </row>
    <row r="3181">
      <c r="A3181" s="6" t="str">
        <f>IFERROR(__xludf.DUMMYFUNCTION("""COMPUTED_VALUE"""),"064-5981")</f>
        <v>064-5981</v>
      </c>
      <c r="B3181" s="6" t="str">
        <f>IFERROR(__xludf.DUMMYFUNCTION("""COMPUTED_VALUE"""),"64")</f>
        <v>64</v>
      </c>
      <c r="C3181" s="6" t="str">
        <f>IFERROR(__xludf.DUMMYFUNCTION("""COMPUTED_VALUE"""),"5981")</f>
        <v>5981</v>
      </c>
      <c r="D3181" s="6" t="str">
        <f>IFERROR(__xludf.DUMMYFUNCTION("""COMPUTED_VALUE"""),"John")</f>
        <v>John</v>
      </c>
      <c r="E3181" s="6" t="str">
        <f>IFERROR(__xludf.DUMMYFUNCTION("""COMPUTED_VALUE"""),"")</f>
        <v/>
      </c>
      <c r="F3181" s="6" t="str">
        <f>IFERROR(__xludf.DUMMYFUNCTION("""COMPUTED_VALUE"""),"Haggstrom")</f>
        <v>Haggstrom</v>
      </c>
      <c r="G3181" s="6" t="str">
        <f>IFERROR(__xludf.DUMMYFUNCTION("""COMPUTED_VALUE"""),"11/17/2016")</f>
        <v>11/17/2016</v>
      </c>
      <c r="H3181" s="6" t="str">
        <f>IFERROR(__xludf.DUMMYFUNCTION("""COMPUTED_VALUE"""),"Self Identify")</f>
        <v>Self Identify</v>
      </c>
      <c r="I3181" s="6" t="str">
        <f>IFERROR(__xludf.DUMMYFUNCTION("""COMPUTED_VALUE"""),"Level 1")</f>
        <v>Level 1</v>
      </c>
      <c r="J3181" s="6" t="str">
        <f>IFERROR(__xludf.DUMMYFUNCTION("""COMPUTED_VALUE"""),"3")</f>
        <v>3</v>
      </c>
      <c r="K3181" s="6" t="str">
        <f>IFERROR(__xludf.DUMMYFUNCTION("""COMPUTED_VALUE"""),"liam_haggstrom@stu.ortrail.k12.or.us")</f>
        <v>liam_haggstrom@stu.ortrail.k12.or.us</v>
      </c>
      <c r="L3181" s="6" t="str">
        <f>IFERROR(__xludf.DUMMYFUNCTION("""COMPUTED_VALUE"""),"Oregon Trail School District 46")</f>
        <v>Oregon Trail School District 46</v>
      </c>
      <c r="M3181" s="6" t="str">
        <f>IFERROR(__xludf.DUMMYFUNCTION("""COMPUTED_VALUE"""),"Kelso Elementary School")</f>
        <v>Kelso Elementary School</v>
      </c>
      <c r="N3181" s="6" t="str">
        <f>IFERROR(__xludf.DUMMYFUNCTION("""COMPUTED_VALUE"""),"")</f>
        <v/>
      </c>
      <c r="O3181" s="87" t="str">
        <f>IFERROR(__xludf.DUMMYFUNCTION("""COMPUTED_VALUE"""),"https://drive.google.com/drive/folders/10T2cTQHqEJZqE-st6uFKPoI?usp=share_link")</f>
        <v>https://drive.google.com/drive/folders/10T2cTQHqEJZqE-st6uFKPoI?usp=share_link</v>
      </c>
      <c r="P3181" s="6" t="str">
        <f>IFERROR(__xludf.DUMMYFUNCTION("""COMPUTED_VALUE"""),"John Haggstrom")</f>
        <v>John Haggstrom</v>
      </c>
      <c r="Q3181" s="6" t="str">
        <f>IFERROR(__xludf.DUMMYFUNCTION("""COMPUTED_VALUE"""),"L1")</f>
        <v>L1</v>
      </c>
      <c r="R3181" s="6">
        <f>IFERROR(__xludf.DUMMYFUNCTION("""COMPUTED_VALUE"""),1.0)</f>
        <v>1</v>
      </c>
      <c r="S3181" s="6" t="str">
        <f>IFERROR(__xludf.DUMMYFUNCTION("""COMPUTED_VALUE"""),"Lindsay Jacksha")</f>
        <v>Lindsay Jacksha</v>
      </c>
      <c r="T3181" s="6" t="str">
        <f>IFERROR(__xludf.DUMMYFUNCTION("""COMPUTED_VALUE"""),"lindsay.jacksha@ortrail.k12.or.us")</f>
        <v>lindsay.jacksha@ortrail.k12.or.us</v>
      </c>
      <c r="U3181" s="6" t="str">
        <f>IFERROR(__xludf.DUMMYFUNCTION("""COMPUTED_VALUE"""),"3")</f>
        <v>3</v>
      </c>
      <c r="V3181" s="6" t="str">
        <f>IFERROR(__xludf.DUMMYFUNCTION("""COMPUTED_VALUE"""),"English")</f>
        <v>English</v>
      </c>
      <c r="W3181" s="6" t="str">
        <f>IFERROR(__xludf.DUMMYFUNCTION("""COMPUTED_VALUE"""),"[]")</f>
        <v>[]</v>
      </c>
      <c r="X3181" s="6" t="str">
        <f>IFERROR(__xludf.DUMMYFUNCTION("""COMPUTED_VALUE"""),"Enrolled")</f>
        <v>Enrolled</v>
      </c>
    </row>
    <row r="3182">
      <c r="A3182" s="6" t="str">
        <f>IFERROR(__xludf.DUMMYFUNCTION("""COMPUTED_VALUE"""),"064-5982")</f>
        <v>064-5982</v>
      </c>
      <c r="B3182" s="6" t="str">
        <f>IFERROR(__xludf.DUMMYFUNCTION("""COMPUTED_VALUE"""),"64")</f>
        <v>64</v>
      </c>
      <c r="C3182" s="6" t="str">
        <f>IFERROR(__xludf.DUMMYFUNCTION("""COMPUTED_VALUE"""),"5982")</f>
        <v>5982</v>
      </c>
      <c r="D3182" s="6" t="str">
        <f>IFERROR(__xludf.DUMMYFUNCTION("""COMPUTED_VALUE"""),"Ellawen")</f>
        <v>Ellawen</v>
      </c>
      <c r="E3182" s="6" t="str">
        <f>IFERROR(__xludf.DUMMYFUNCTION("""COMPUTED_VALUE"""),"")</f>
        <v/>
      </c>
      <c r="F3182" s="6" t="str">
        <f>IFERROR(__xludf.DUMMYFUNCTION("""COMPUTED_VALUE"""),"Hedge")</f>
        <v>Hedge</v>
      </c>
      <c r="G3182" s="6" t="str">
        <f>IFERROR(__xludf.DUMMYFUNCTION("""COMPUTED_VALUE"""),"06/17/2017")</f>
        <v>06/17/2017</v>
      </c>
      <c r="H3182" s="6" t="str">
        <f>IFERROR(__xludf.DUMMYFUNCTION("""COMPUTED_VALUE"""),"Self Identify")</f>
        <v>Self Identify</v>
      </c>
      <c r="I3182" s="6" t="str">
        <f>IFERROR(__xludf.DUMMYFUNCTION("""COMPUTED_VALUE"""),"Level 1")</f>
        <v>Level 1</v>
      </c>
      <c r="J3182" s="6" t="str">
        <f>IFERROR(__xludf.DUMMYFUNCTION("""COMPUTED_VALUE"""),"3")</f>
        <v>3</v>
      </c>
      <c r="K3182" s="6" t="str">
        <f>IFERROR(__xludf.DUMMYFUNCTION("""COMPUTED_VALUE"""),"ellawen_hedge@stu.ortrail.k12.or.us")</f>
        <v>ellawen_hedge@stu.ortrail.k12.or.us</v>
      </c>
      <c r="L3182" s="6" t="str">
        <f>IFERROR(__xludf.DUMMYFUNCTION("""COMPUTED_VALUE"""),"Oregon Trail School District 46")</f>
        <v>Oregon Trail School District 46</v>
      </c>
      <c r="M3182" s="6" t="str">
        <f>IFERROR(__xludf.DUMMYFUNCTION("""COMPUTED_VALUE"""),"Kelso Elementary School")</f>
        <v>Kelso Elementary School</v>
      </c>
      <c r="N3182" s="6" t="str">
        <f>IFERROR(__xludf.DUMMYFUNCTION("""COMPUTED_VALUE"""),"")</f>
        <v/>
      </c>
      <c r="O3182" s="87" t="str">
        <f>IFERROR(__xludf.DUMMYFUNCTION("""COMPUTED_VALUE"""),"https://drive.google.com/drive/folders/10T2cTQHqEJZqE-st6uFKPoI?usp=share_link")</f>
        <v>https://drive.google.com/drive/folders/10T2cTQHqEJZqE-st6uFKPoI?usp=share_link</v>
      </c>
      <c r="P3182" s="6" t="str">
        <f>IFERROR(__xludf.DUMMYFUNCTION("""COMPUTED_VALUE"""),"Ellawen Hedge")</f>
        <v>Ellawen Hedge</v>
      </c>
      <c r="Q3182" s="6" t="str">
        <f>IFERROR(__xludf.DUMMYFUNCTION("""COMPUTED_VALUE"""),"L1")</f>
        <v>L1</v>
      </c>
      <c r="R3182" s="6">
        <f>IFERROR(__xludf.DUMMYFUNCTION("""COMPUTED_VALUE"""),1.0)</f>
        <v>1</v>
      </c>
      <c r="S3182" s="6" t="str">
        <f>IFERROR(__xludf.DUMMYFUNCTION("""COMPUTED_VALUE"""),"Marisa Hazelton")</f>
        <v>Marisa Hazelton</v>
      </c>
      <c r="T3182" s="6" t="str">
        <f>IFERROR(__xludf.DUMMYFUNCTION("""COMPUTED_VALUE"""),"marisa.hazelton@ortrail.k12.or.us")</f>
        <v>marisa.hazelton@ortrail.k12.or.us</v>
      </c>
      <c r="U3182" s="6" t="str">
        <f>IFERROR(__xludf.DUMMYFUNCTION("""COMPUTED_VALUE"""),"3")</f>
        <v>3</v>
      </c>
      <c r="V3182" s="6" t="str">
        <f>IFERROR(__xludf.DUMMYFUNCTION("""COMPUTED_VALUE"""),"English")</f>
        <v>English</v>
      </c>
      <c r="W3182" s="6" t="str">
        <f>IFERROR(__xludf.DUMMYFUNCTION("""COMPUTED_VALUE"""),"[]")</f>
        <v>[]</v>
      </c>
      <c r="X3182" s="6" t="str">
        <f>IFERROR(__xludf.DUMMYFUNCTION("""COMPUTED_VALUE"""),"Enrolled")</f>
        <v>Enrolled</v>
      </c>
    </row>
    <row r="3183">
      <c r="A3183" s="6" t="str">
        <f>IFERROR(__xludf.DUMMYFUNCTION("""COMPUTED_VALUE"""),"064-5983")</f>
        <v>064-5983</v>
      </c>
      <c r="B3183" s="6" t="str">
        <f>IFERROR(__xludf.DUMMYFUNCTION("""COMPUTED_VALUE"""),"64")</f>
        <v>64</v>
      </c>
      <c r="C3183" s="6" t="str">
        <f>IFERROR(__xludf.DUMMYFUNCTION("""COMPUTED_VALUE"""),"5983")</f>
        <v>5983</v>
      </c>
      <c r="D3183" s="6" t="str">
        <f>IFERROR(__xludf.DUMMYFUNCTION("""COMPUTED_VALUE"""),"Rayden")</f>
        <v>Rayden</v>
      </c>
      <c r="E3183" s="6" t="str">
        <f>IFERROR(__xludf.DUMMYFUNCTION("""COMPUTED_VALUE"""),"")</f>
        <v/>
      </c>
      <c r="F3183" s="6" t="str">
        <f>IFERROR(__xludf.DUMMYFUNCTION("""COMPUTED_VALUE"""),"Hood")</f>
        <v>Hood</v>
      </c>
      <c r="G3183" s="6" t="str">
        <f>IFERROR(__xludf.DUMMYFUNCTION("""COMPUTED_VALUE"""),"07/14/2017")</f>
        <v>07/14/2017</v>
      </c>
      <c r="H3183" s="6" t="str">
        <f>IFERROR(__xludf.DUMMYFUNCTION("""COMPUTED_VALUE"""),"Self Identify")</f>
        <v>Self Identify</v>
      </c>
      <c r="I3183" s="6" t="str">
        <f>IFERROR(__xludf.DUMMYFUNCTION("""COMPUTED_VALUE"""),"Level 1")</f>
        <v>Level 1</v>
      </c>
      <c r="J3183" s="6" t="str">
        <f>IFERROR(__xludf.DUMMYFUNCTION("""COMPUTED_VALUE"""),"3")</f>
        <v>3</v>
      </c>
      <c r="K3183" s="6" t="str">
        <f>IFERROR(__xludf.DUMMYFUNCTION("""COMPUTED_VALUE"""),"rayden_hood@stu.ortrail.k12.or.us")</f>
        <v>rayden_hood@stu.ortrail.k12.or.us</v>
      </c>
      <c r="L3183" s="6" t="str">
        <f>IFERROR(__xludf.DUMMYFUNCTION("""COMPUTED_VALUE"""),"Oregon Trail School District 46")</f>
        <v>Oregon Trail School District 46</v>
      </c>
      <c r="M3183" s="6" t="str">
        <f>IFERROR(__xludf.DUMMYFUNCTION("""COMPUTED_VALUE"""),"Kelso Elementary School")</f>
        <v>Kelso Elementary School</v>
      </c>
      <c r="N3183" s="6" t="str">
        <f>IFERROR(__xludf.DUMMYFUNCTION("""COMPUTED_VALUE"""),"")</f>
        <v/>
      </c>
      <c r="O3183" s="87" t="str">
        <f>IFERROR(__xludf.DUMMYFUNCTION("""COMPUTED_VALUE"""),"https://drive.google.com/drive/folders/10T2cTQHqEJZqE-st6uFKPoI?usp=share_link")</f>
        <v>https://drive.google.com/drive/folders/10T2cTQHqEJZqE-st6uFKPoI?usp=share_link</v>
      </c>
      <c r="P3183" s="6" t="str">
        <f>IFERROR(__xludf.DUMMYFUNCTION("""COMPUTED_VALUE"""),"Rayden Hood")</f>
        <v>Rayden Hood</v>
      </c>
      <c r="Q3183" s="6" t="str">
        <f>IFERROR(__xludf.DUMMYFUNCTION("""COMPUTED_VALUE"""),"L1")</f>
        <v>L1</v>
      </c>
      <c r="R3183" s="6">
        <f>IFERROR(__xludf.DUMMYFUNCTION("""COMPUTED_VALUE"""),1.0)</f>
        <v>1</v>
      </c>
      <c r="S3183" s="6" t="str">
        <f>IFERROR(__xludf.DUMMYFUNCTION("""COMPUTED_VALUE"""),"Marisa Hazelton")</f>
        <v>Marisa Hazelton</v>
      </c>
      <c r="T3183" s="6" t="str">
        <f>IFERROR(__xludf.DUMMYFUNCTION("""COMPUTED_VALUE"""),"marisa.hazelton@ortrail.k12.or.us")</f>
        <v>marisa.hazelton@ortrail.k12.or.us</v>
      </c>
      <c r="U3183" s="6" t="str">
        <f>IFERROR(__xludf.DUMMYFUNCTION("""COMPUTED_VALUE"""),"3")</f>
        <v>3</v>
      </c>
      <c r="V3183" s="6" t="str">
        <f>IFERROR(__xludf.DUMMYFUNCTION("""COMPUTED_VALUE"""),"English")</f>
        <v>English</v>
      </c>
      <c r="W3183" s="6" t="str">
        <f>IFERROR(__xludf.DUMMYFUNCTION("""COMPUTED_VALUE"""),"[]")</f>
        <v>[]</v>
      </c>
      <c r="X3183" s="6" t="str">
        <f>IFERROR(__xludf.DUMMYFUNCTION("""COMPUTED_VALUE"""),"Enrolled")</f>
        <v>Enrolled</v>
      </c>
    </row>
    <row r="3184">
      <c r="A3184" s="6" t="str">
        <f>IFERROR(__xludf.DUMMYFUNCTION("""COMPUTED_VALUE"""),"064-5984")</f>
        <v>064-5984</v>
      </c>
      <c r="B3184" s="6" t="str">
        <f>IFERROR(__xludf.DUMMYFUNCTION("""COMPUTED_VALUE"""),"64")</f>
        <v>64</v>
      </c>
      <c r="C3184" s="6" t="str">
        <f>IFERROR(__xludf.DUMMYFUNCTION("""COMPUTED_VALUE"""),"5984")</f>
        <v>5984</v>
      </c>
      <c r="D3184" s="6" t="str">
        <f>IFERROR(__xludf.DUMMYFUNCTION("""COMPUTED_VALUE"""),"Levi")</f>
        <v>Levi</v>
      </c>
      <c r="E3184" s="6" t="str">
        <f>IFERROR(__xludf.DUMMYFUNCTION("""COMPUTED_VALUE"""),"")</f>
        <v/>
      </c>
      <c r="F3184" s="6" t="str">
        <f>IFERROR(__xludf.DUMMYFUNCTION("""COMPUTED_VALUE"""),"Hoover")</f>
        <v>Hoover</v>
      </c>
      <c r="G3184" s="6" t="str">
        <f>IFERROR(__xludf.DUMMYFUNCTION("""COMPUTED_VALUE"""),"02/16/2017")</f>
        <v>02/16/2017</v>
      </c>
      <c r="H3184" s="6" t="str">
        <f>IFERROR(__xludf.DUMMYFUNCTION("""COMPUTED_VALUE"""),"Self Identify")</f>
        <v>Self Identify</v>
      </c>
      <c r="I3184" s="6" t="str">
        <f>IFERROR(__xludf.DUMMYFUNCTION("""COMPUTED_VALUE"""),"Level 1")</f>
        <v>Level 1</v>
      </c>
      <c r="J3184" s="6" t="str">
        <f>IFERROR(__xludf.DUMMYFUNCTION("""COMPUTED_VALUE"""),"3")</f>
        <v>3</v>
      </c>
      <c r="K3184" s="6" t="str">
        <f>IFERROR(__xludf.DUMMYFUNCTION("""COMPUTED_VALUE"""),"levi_hoover@stu.ortrail.k12.or.us")</f>
        <v>levi_hoover@stu.ortrail.k12.or.us</v>
      </c>
      <c r="L3184" s="6" t="str">
        <f>IFERROR(__xludf.DUMMYFUNCTION("""COMPUTED_VALUE"""),"Oregon Trail School District 46")</f>
        <v>Oregon Trail School District 46</v>
      </c>
      <c r="M3184" s="6" t="str">
        <f>IFERROR(__xludf.DUMMYFUNCTION("""COMPUTED_VALUE"""),"Kelso Elementary School")</f>
        <v>Kelso Elementary School</v>
      </c>
      <c r="N3184" s="6" t="str">
        <f>IFERROR(__xludf.DUMMYFUNCTION("""COMPUTED_VALUE"""),"")</f>
        <v/>
      </c>
      <c r="O3184" s="87" t="str">
        <f>IFERROR(__xludf.DUMMYFUNCTION("""COMPUTED_VALUE"""),"https://drive.google.com/drive/folders/10T2cTQHqEJZqE-st6uFKPoI?usp=share_link")</f>
        <v>https://drive.google.com/drive/folders/10T2cTQHqEJZqE-st6uFKPoI?usp=share_link</v>
      </c>
      <c r="P3184" s="6" t="str">
        <f>IFERROR(__xludf.DUMMYFUNCTION("""COMPUTED_VALUE"""),"Levi Hoover")</f>
        <v>Levi Hoover</v>
      </c>
      <c r="Q3184" s="6" t="str">
        <f>IFERROR(__xludf.DUMMYFUNCTION("""COMPUTED_VALUE"""),"L1")</f>
        <v>L1</v>
      </c>
      <c r="R3184" s="6">
        <f>IFERROR(__xludf.DUMMYFUNCTION("""COMPUTED_VALUE"""),1.0)</f>
        <v>1</v>
      </c>
      <c r="S3184" s="6" t="str">
        <f>IFERROR(__xludf.DUMMYFUNCTION("""COMPUTED_VALUE"""),"Lindsay Jacksha")</f>
        <v>Lindsay Jacksha</v>
      </c>
      <c r="T3184" s="6" t="str">
        <f>IFERROR(__xludf.DUMMYFUNCTION("""COMPUTED_VALUE"""),"lindsay.jacksha@ortrail.k12.or.us")</f>
        <v>lindsay.jacksha@ortrail.k12.or.us</v>
      </c>
      <c r="U3184" s="6" t="str">
        <f>IFERROR(__xludf.DUMMYFUNCTION("""COMPUTED_VALUE"""),"3")</f>
        <v>3</v>
      </c>
      <c r="V3184" s="6" t="str">
        <f>IFERROR(__xludf.DUMMYFUNCTION("""COMPUTED_VALUE"""),"English")</f>
        <v>English</v>
      </c>
      <c r="W3184" s="6" t="str">
        <f>IFERROR(__xludf.DUMMYFUNCTION("""COMPUTED_VALUE"""),"[]")</f>
        <v>[]</v>
      </c>
      <c r="X3184" s="6" t="str">
        <f>IFERROR(__xludf.DUMMYFUNCTION("""COMPUTED_VALUE"""),"Enrolled")</f>
        <v>Enrolled</v>
      </c>
    </row>
    <row r="3185">
      <c r="A3185" s="6" t="str">
        <f>IFERROR(__xludf.DUMMYFUNCTION("""COMPUTED_VALUE"""),"064-5985")</f>
        <v>064-5985</v>
      </c>
      <c r="B3185" s="6" t="str">
        <f>IFERROR(__xludf.DUMMYFUNCTION("""COMPUTED_VALUE"""),"64")</f>
        <v>64</v>
      </c>
      <c r="C3185" s="6" t="str">
        <f>IFERROR(__xludf.DUMMYFUNCTION("""COMPUTED_VALUE"""),"5985")</f>
        <v>5985</v>
      </c>
      <c r="D3185" s="6" t="str">
        <f>IFERROR(__xludf.DUMMYFUNCTION("""COMPUTED_VALUE"""),"Lylleahna")</f>
        <v>Lylleahna</v>
      </c>
      <c r="E3185" s="6" t="str">
        <f>IFERROR(__xludf.DUMMYFUNCTION("""COMPUTED_VALUE"""),"")</f>
        <v/>
      </c>
      <c r="F3185" s="6" t="str">
        <f>IFERROR(__xludf.DUMMYFUNCTION("""COMPUTED_VALUE"""),"Hoskins")</f>
        <v>Hoskins</v>
      </c>
      <c r="G3185" s="6" t="str">
        <f>IFERROR(__xludf.DUMMYFUNCTION("""COMPUTED_VALUE"""),"04/18/2017")</f>
        <v>04/18/2017</v>
      </c>
      <c r="H3185" s="6" t="str">
        <f>IFERROR(__xludf.DUMMYFUNCTION("""COMPUTED_VALUE"""),"Self Identify")</f>
        <v>Self Identify</v>
      </c>
      <c r="I3185" s="6" t="str">
        <f>IFERROR(__xludf.DUMMYFUNCTION("""COMPUTED_VALUE"""),"Level 1")</f>
        <v>Level 1</v>
      </c>
      <c r="J3185" s="6" t="str">
        <f>IFERROR(__xludf.DUMMYFUNCTION("""COMPUTED_VALUE"""),"3")</f>
        <v>3</v>
      </c>
      <c r="K3185" s="6" t="str">
        <f>IFERROR(__xludf.DUMMYFUNCTION("""COMPUTED_VALUE"""),"lyllie_hoskins@stu.ortrail.k12.or.us")</f>
        <v>lyllie_hoskins@stu.ortrail.k12.or.us</v>
      </c>
      <c r="L3185" s="6" t="str">
        <f>IFERROR(__xludf.DUMMYFUNCTION("""COMPUTED_VALUE"""),"Oregon Trail School District 46")</f>
        <v>Oregon Trail School District 46</v>
      </c>
      <c r="M3185" s="6" t="str">
        <f>IFERROR(__xludf.DUMMYFUNCTION("""COMPUTED_VALUE"""),"Kelso Elementary School")</f>
        <v>Kelso Elementary School</v>
      </c>
      <c r="N3185" s="6" t="str">
        <f>IFERROR(__xludf.DUMMYFUNCTION("""COMPUTED_VALUE"""),"")</f>
        <v/>
      </c>
      <c r="O3185" s="87" t="str">
        <f>IFERROR(__xludf.DUMMYFUNCTION("""COMPUTED_VALUE"""),"https://drive.google.com/drive/folders/10T2cTQHqEJZqE-st6uFKPoI?usp=share_link")</f>
        <v>https://drive.google.com/drive/folders/10T2cTQHqEJZqE-st6uFKPoI?usp=share_link</v>
      </c>
      <c r="P3185" s="6" t="str">
        <f>IFERROR(__xludf.DUMMYFUNCTION("""COMPUTED_VALUE"""),"Lylleahna Hoskins")</f>
        <v>Lylleahna Hoskins</v>
      </c>
      <c r="Q3185" s="6" t="str">
        <f>IFERROR(__xludf.DUMMYFUNCTION("""COMPUTED_VALUE"""),"L1")</f>
        <v>L1</v>
      </c>
      <c r="R3185" s="6">
        <f>IFERROR(__xludf.DUMMYFUNCTION("""COMPUTED_VALUE"""),1.0)</f>
        <v>1</v>
      </c>
      <c r="S3185" s="6" t="str">
        <f>IFERROR(__xludf.DUMMYFUNCTION("""COMPUTED_VALUE"""),"Lindsay Jacksha")</f>
        <v>Lindsay Jacksha</v>
      </c>
      <c r="T3185" s="6" t="str">
        <f>IFERROR(__xludf.DUMMYFUNCTION("""COMPUTED_VALUE"""),"lindsay.jacksha@ortrail.k12.or.us")</f>
        <v>lindsay.jacksha@ortrail.k12.or.us</v>
      </c>
      <c r="U3185" s="6" t="str">
        <f>IFERROR(__xludf.DUMMYFUNCTION("""COMPUTED_VALUE"""),"3")</f>
        <v>3</v>
      </c>
      <c r="V3185" s="6" t="str">
        <f>IFERROR(__xludf.DUMMYFUNCTION("""COMPUTED_VALUE"""),"English")</f>
        <v>English</v>
      </c>
      <c r="W3185" s="6" t="str">
        <f>IFERROR(__xludf.DUMMYFUNCTION("""COMPUTED_VALUE"""),"[]")</f>
        <v>[]</v>
      </c>
      <c r="X3185" s="6" t="str">
        <f>IFERROR(__xludf.DUMMYFUNCTION("""COMPUTED_VALUE"""),"Enrolled")</f>
        <v>Enrolled</v>
      </c>
    </row>
    <row r="3186">
      <c r="A3186" s="6" t="str">
        <f>IFERROR(__xludf.DUMMYFUNCTION("""COMPUTED_VALUE"""),"064-5986")</f>
        <v>064-5986</v>
      </c>
      <c r="B3186" s="6" t="str">
        <f>IFERROR(__xludf.DUMMYFUNCTION("""COMPUTED_VALUE"""),"64")</f>
        <v>64</v>
      </c>
      <c r="C3186" s="6" t="str">
        <f>IFERROR(__xludf.DUMMYFUNCTION("""COMPUTED_VALUE"""),"5986")</f>
        <v>5986</v>
      </c>
      <c r="D3186" s="6" t="str">
        <f>IFERROR(__xludf.DUMMYFUNCTION("""COMPUTED_VALUE"""),"Kanyon")</f>
        <v>Kanyon</v>
      </c>
      <c r="E3186" s="6" t="str">
        <f>IFERROR(__xludf.DUMMYFUNCTION("""COMPUTED_VALUE"""),"")</f>
        <v/>
      </c>
      <c r="F3186" s="6" t="str">
        <f>IFERROR(__xludf.DUMMYFUNCTION("""COMPUTED_VALUE"""),"Isaak")</f>
        <v>Isaak</v>
      </c>
      <c r="G3186" s="6" t="str">
        <f>IFERROR(__xludf.DUMMYFUNCTION("""COMPUTED_VALUE"""),"09/01/2017")</f>
        <v>09/01/2017</v>
      </c>
      <c r="H3186" s="6" t="str">
        <f>IFERROR(__xludf.DUMMYFUNCTION("""COMPUTED_VALUE"""),"Self Identify")</f>
        <v>Self Identify</v>
      </c>
      <c r="I3186" s="6" t="str">
        <f>IFERROR(__xludf.DUMMYFUNCTION("""COMPUTED_VALUE"""),"Level 1")</f>
        <v>Level 1</v>
      </c>
      <c r="J3186" s="6" t="str">
        <f>IFERROR(__xludf.DUMMYFUNCTION("""COMPUTED_VALUE"""),"3")</f>
        <v>3</v>
      </c>
      <c r="K3186" s="6" t="str">
        <f>IFERROR(__xludf.DUMMYFUNCTION("""COMPUTED_VALUE"""),"kanyon_isaak@stu.ortrail.k12.or.us")</f>
        <v>kanyon_isaak@stu.ortrail.k12.or.us</v>
      </c>
      <c r="L3186" s="6" t="str">
        <f>IFERROR(__xludf.DUMMYFUNCTION("""COMPUTED_VALUE"""),"Oregon Trail School District 46")</f>
        <v>Oregon Trail School District 46</v>
      </c>
      <c r="M3186" s="6" t="str">
        <f>IFERROR(__xludf.DUMMYFUNCTION("""COMPUTED_VALUE"""),"Kelso Elementary School")</f>
        <v>Kelso Elementary School</v>
      </c>
      <c r="N3186" s="6" t="str">
        <f>IFERROR(__xludf.DUMMYFUNCTION("""COMPUTED_VALUE"""),"")</f>
        <v/>
      </c>
      <c r="O3186" s="87" t="str">
        <f>IFERROR(__xludf.DUMMYFUNCTION("""COMPUTED_VALUE"""),"https://drive.google.com/drive/folders/10T2cTQHqEJZqE-st6uFKPoI?usp=share_link")</f>
        <v>https://drive.google.com/drive/folders/10T2cTQHqEJZqE-st6uFKPoI?usp=share_link</v>
      </c>
      <c r="P3186" s="6" t="str">
        <f>IFERROR(__xludf.DUMMYFUNCTION("""COMPUTED_VALUE"""),"Kanyon Isaak")</f>
        <v>Kanyon Isaak</v>
      </c>
      <c r="Q3186" s="6" t="str">
        <f>IFERROR(__xludf.DUMMYFUNCTION("""COMPUTED_VALUE"""),"L1")</f>
        <v>L1</v>
      </c>
      <c r="R3186" s="6">
        <f>IFERROR(__xludf.DUMMYFUNCTION("""COMPUTED_VALUE"""),1.0)</f>
        <v>1</v>
      </c>
      <c r="S3186" s="6" t="str">
        <f>IFERROR(__xludf.DUMMYFUNCTION("""COMPUTED_VALUE"""),"Marisa Hazelton")</f>
        <v>Marisa Hazelton</v>
      </c>
      <c r="T3186" s="6" t="str">
        <f>IFERROR(__xludf.DUMMYFUNCTION("""COMPUTED_VALUE"""),"marisa.hazelton@ortrail.k12.or.us")</f>
        <v>marisa.hazelton@ortrail.k12.or.us</v>
      </c>
      <c r="U3186" s="6" t="str">
        <f>IFERROR(__xludf.DUMMYFUNCTION("""COMPUTED_VALUE"""),"3")</f>
        <v>3</v>
      </c>
      <c r="V3186" s="6" t="str">
        <f>IFERROR(__xludf.DUMMYFUNCTION("""COMPUTED_VALUE"""),"English")</f>
        <v>English</v>
      </c>
      <c r="W3186" s="6" t="str">
        <f>IFERROR(__xludf.DUMMYFUNCTION("""COMPUTED_VALUE"""),"[]")</f>
        <v>[]</v>
      </c>
      <c r="X3186" s="6" t="str">
        <f>IFERROR(__xludf.DUMMYFUNCTION("""COMPUTED_VALUE"""),"Enrolled")</f>
        <v>Enrolled</v>
      </c>
    </row>
    <row r="3187">
      <c r="A3187" s="6" t="str">
        <f>IFERROR(__xludf.DUMMYFUNCTION("""COMPUTED_VALUE"""),"064-5987")</f>
        <v>064-5987</v>
      </c>
      <c r="B3187" s="6" t="str">
        <f>IFERROR(__xludf.DUMMYFUNCTION("""COMPUTED_VALUE"""),"64")</f>
        <v>64</v>
      </c>
      <c r="C3187" s="6" t="str">
        <f>IFERROR(__xludf.DUMMYFUNCTION("""COMPUTED_VALUE"""),"5987")</f>
        <v>5987</v>
      </c>
      <c r="D3187" s="6" t="str">
        <f>IFERROR(__xludf.DUMMYFUNCTION("""COMPUTED_VALUE"""),"Ronald")</f>
        <v>Ronald</v>
      </c>
      <c r="E3187" s="6" t="str">
        <f>IFERROR(__xludf.DUMMYFUNCTION("""COMPUTED_VALUE"""),"")</f>
        <v/>
      </c>
      <c r="F3187" s="6" t="str">
        <f>IFERROR(__xludf.DUMMYFUNCTION("""COMPUTED_VALUE"""),"Jimenez")</f>
        <v>Jimenez</v>
      </c>
      <c r="G3187" s="6" t="str">
        <f>IFERROR(__xludf.DUMMYFUNCTION("""COMPUTED_VALUE"""),"02/23/2017")</f>
        <v>02/23/2017</v>
      </c>
      <c r="H3187" s="6" t="str">
        <f>IFERROR(__xludf.DUMMYFUNCTION("""COMPUTED_VALUE"""),"Self Identify")</f>
        <v>Self Identify</v>
      </c>
      <c r="I3187" s="6" t="str">
        <f>IFERROR(__xludf.DUMMYFUNCTION("""COMPUTED_VALUE"""),"Level 1")</f>
        <v>Level 1</v>
      </c>
      <c r="J3187" s="6" t="str">
        <f>IFERROR(__xludf.DUMMYFUNCTION("""COMPUTED_VALUE"""),"3")</f>
        <v>3</v>
      </c>
      <c r="K3187" s="6" t="str">
        <f>IFERROR(__xludf.DUMMYFUNCTION("""COMPUTED_VALUE"""),"ronnie_jimenez@stu.ortrail.k12.or.us")</f>
        <v>ronnie_jimenez@stu.ortrail.k12.or.us</v>
      </c>
      <c r="L3187" s="6" t="str">
        <f>IFERROR(__xludf.DUMMYFUNCTION("""COMPUTED_VALUE"""),"Oregon Trail School District 46")</f>
        <v>Oregon Trail School District 46</v>
      </c>
      <c r="M3187" s="6" t="str">
        <f>IFERROR(__xludf.DUMMYFUNCTION("""COMPUTED_VALUE"""),"Kelso Elementary School")</f>
        <v>Kelso Elementary School</v>
      </c>
      <c r="N3187" s="6" t="str">
        <f>IFERROR(__xludf.DUMMYFUNCTION("""COMPUTED_VALUE"""),"")</f>
        <v/>
      </c>
      <c r="O3187" s="87" t="str">
        <f>IFERROR(__xludf.DUMMYFUNCTION("""COMPUTED_VALUE"""),"https://drive.google.com/drive/folders/10T2cTQHqEJZqE-st6uFKPoI?usp=share_link")</f>
        <v>https://drive.google.com/drive/folders/10T2cTQHqEJZqE-st6uFKPoI?usp=share_link</v>
      </c>
      <c r="P3187" s="6" t="str">
        <f>IFERROR(__xludf.DUMMYFUNCTION("""COMPUTED_VALUE"""),"Ronald Jimenez")</f>
        <v>Ronald Jimenez</v>
      </c>
      <c r="Q3187" s="6" t="str">
        <f>IFERROR(__xludf.DUMMYFUNCTION("""COMPUTED_VALUE"""),"L1")</f>
        <v>L1</v>
      </c>
      <c r="R3187" s="6">
        <f>IFERROR(__xludf.DUMMYFUNCTION("""COMPUTED_VALUE"""),1.0)</f>
        <v>1</v>
      </c>
      <c r="S3187" s="6" t="str">
        <f>IFERROR(__xludf.DUMMYFUNCTION("""COMPUTED_VALUE"""),"Lindsay Jacksha")</f>
        <v>Lindsay Jacksha</v>
      </c>
      <c r="T3187" s="6" t="str">
        <f>IFERROR(__xludf.DUMMYFUNCTION("""COMPUTED_VALUE"""),"lindsay.jacksha@ortrail.k12.or.us")</f>
        <v>lindsay.jacksha@ortrail.k12.or.us</v>
      </c>
      <c r="U3187" s="6" t="str">
        <f>IFERROR(__xludf.DUMMYFUNCTION("""COMPUTED_VALUE"""),"3")</f>
        <v>3</v>
      </c>
      <c r="V3187" s="6" t="str">
        <f>IFERROR(__xludf.DUMMYFUNCTION("""COMPUTED_VALUE"""),"English")</f>
        <v>English</v>
      </c>
      <c r="W3187" s="6" t="str">
        <f>IFERROR(__xludf.DUMMYFUNCTION("""COMPUTED_VALUE"""),"[]")</f>
        <v>[]</v>
      </c>
      <c r="X3187" s="6" t="str">
        <f>IFERROR(__xludf.DUMMYFUNCTION("""COMPUTED_VALUE"""),"Enrolled")</f>
        <v>Enrolled</v>
      </c>
    </row>
    <row r="3188">
      <c r="A3188" s="6" t="str">
        <f>IFERROR(__xludf.DUMMYFUNCTION("""COMPUTED_VALUE"""),"064-5988")</f>
        <v>064-5988</v>
      </c>
      <c r="B3188" s="6" t="str">
        <f>IFERROR(__xludf.DUMMYFUNCTION("""COMPUTED_VALUE"""),"64")</f>
        <v>64</v>
      </c>
      <c r="C3188" s="6" t="str">
        <f>IFERROR(__xludf.DUMMYFUNCTION("""COMPUTED_VALUE"""),"5988")</f>
        <v>5988</v>
      </c>
      <c r="D3188" s="6" t="str">
        <f>IFERROR(__xludf.DUMMYFUNCTION("""COMPUTED_VALUE"""),"Scarlett")</f>
        <v>Scarlett</v>
      </c>
      <c r="E3188" s="6" t="str">
        <f>IFERROR(__xludf.DUMMYFUNCTION("""COMPUTED_VALUE"""),"")</f>
        <v/>
      </c>
      <c r="F3188" s="6" t="str">
        <f>IFERROR(__xludf.DUMMYFUNCTION("""COMPUTED_VALUE"""),"Juden")</f>
        <v>Juden</v>
      </c>
      <c r="G3188" s="6" t="str">
        <f>IFERROR(__xludf.DUMMYFUNCTION("""COMPUTED_VALUE"""),"07/14/2017")</f>
        <v>07/14/2017</v>
      </c>
      <c r="H3188" s="6" t="str">
        <f>IFERROR(__xludf.DUMMYFUNCTION("""COMPUTED_VALUE"""),"Self Identify")</f>
        <v>Self Identify</v>
      </c>
      <c r="I3188" s="6" t="str">
        <f>IFERROR(__xludf.DUMMYFUNCTION("""COMPUTED_VALUE"""),"Level 1")</f>
        <v>Level 1</v>
      </c>
      <c r="J3188" s="6" t="str">
        <f>IFERROR(__xludf.DUMMYFUNCTION("""COMPUTED_VALUE"""),"3")</f>
        <v>3</v>
      </c>
      <c r="K3188" s="6" t="str">
        <f>IFERROR(__xludf.DUMMYFUNCTION("""COMPUTED_VALUE"""),"scarlett_juden@stu.ortrail.k12.or.us")</f>
        <v>scarlett_juden@stu.ortrail.k12.or.us</v>
      </c>
      <c r="L3188" s="6" t="str">
        <f>IFERROR(__xludf.DUMMYFUNCTION("""COMPUTED_VALUE"""),"Oregon Trail School District 46")</f>
        <v>Oregon Trail School District 46</v>
      </c>
      <c r="M3188" s="6" t="str">
        <f>IFERROR(__xludf.DUMMYFUNCTION("""COMPUTED_VALUE"""),"Kelso Elementary School")</f>
        <v>Kelso Elementary School</v>
      </c>
      <c r="N3188" s="6" t="str">
        <f>IFERROR(__xludf.DUMMYFUNCTION("""COMPUTED_VALUE"""),"")</f>
        <v/>
      </c>
      <c r="O3188" s="87" t="str">
        <f>IFERROR(__xludf.DUMMYFUNCTION("""COMPUTED_VALUE"""),"https://drive.google.com/drive/folders/10T2cTQHqEJZqE-st6uFKPoI?usp=share_link")</f>
        <v>https://drive.google.com/drive/folders/10T2cTQHqEJZqE-st6uFKPoI?usp=share_link</v>
      </c>
      <c r="P3188" s="6" t="str">
        <f>IFERROR(__xludf.DUMMYFUNCTION("""COMPUTED_VALUE"""),"Scarlett Juden")</f>
        <v>Scarlett Juden</v>
      </c>
      <c r="Q3188" s="6" t="str">
        <f>IFERROR(__xludf.DUMMYFUNCTION("""COMPUTED_VALUE"""),"L1")</f>
        <v>L1</v>
      </c>
      <c r="R3188" s="6">
        <f>IFERROR(__xludf.DUMMYFUNCTION("""COMPUTED_VALUE"""),1.0)</f>
        <v>1</v>
      </c>
      <c r="S3188" s="6" t="str">
        <f>IFERROR(__xludf.DUMMYFUNCTION("""COMPUTED_VALUE"""),"Lindsay Jacksha")</f>
        <v>Lindsay Jacksha</v>
      </c>
      <c r="T3188" s="6" t="str">
        <f>IFERROR(__xludf.DUMMYFUNCTION("""COMPUTED_VALUE"""),"lindsay.jacksha@ortrail.k12.or.us")</f>
        <v>lindsay.jacksha@ortrail.k12.or.us</v>
      </c>
      <c r="U3188" s="6" t="str">
        <f>IFERROR(__xludf.DUMMYFUNCTION("""COMPUTED_VALUE"""),"3")</f>
        <v>3</v>
      </c>
      <c r="V3188" s="6" t="str">
        <f>IFERROR(__xludf.DUMMYFUNCTION("""COMPUTED_VALUE"""),"English")</f>
        <v>English</v>
      </c>
      <c r="W3188" s="6" t="str">
        <f>IFERROR(__xludf.DUMMYFUNCTION("""COMPUTED_VALUE"""),"[]")</f>
        <v>[]</v>
      </c>
      <c r="X3188" s="6" t="str">
        <f>IFERROR(__xludf.DUMMYFUNCTION("""COMPUTED_VALUE"""),"Enrolled")</f>
        <v>Enrolled</v>
      </c>
    </row>
    <row r="3189">
      <c r="A3189" s="6" t="str">
        <f>IFERROR(__xludf.DUMMYFUNCTION("""COMPUTED_VALUE"""),"064-5989")</f>
        <v>064-5989</v>
      </c>
      <c r="B3189" s="6" t="str">
        <f>IFERROR(__xludf.DUMMYFUNCTION("""COMPUTED_VALUE"""),"64")</f>
        <v>64</v>
      </c>
      <c r="C3189" s="6" t="str">
        <f>IFERROR(__xludf.DUMMYFUNCTION("""COMPUTED_VALUE"""),"5989")</f>
        <v>5989</v>
      </c>
      <c r="D3189" s="6" t="str">
        <f>IFERROR(__xludf.DUMMYFUNCTION("""COMPUTED_VALUE"""),"Xavier")</f>
        <v>Xavier</v>
      </c>
      <c r="E3189" s="6" t="str">
        <f>IFERROR(__xludf.DUMMYFUNCTION("""COMPUTED_VALUE"""),"")</f>
        <v/>
      </c>
      <c r="F3189" s="6" t="str">
        <f>IFERROR(__xludf.DUMMYFUNCTION("""COMPUTED_VALUE"""),"Kennedy")</f>
        <v>Kennedy</v>
      </c>
      <c r="G3189" s="6" t="str">
        <f>IFERROR(__xludf.DUMMYFUNCTION("""COMPUTED_VALUE"""),"11/16/2016")</f>
        <v>11/16/2016</v>
      </c>
      <c r="H3189" s="6" t="str">
        <f>IFERROR(__xludf.DUMMYFUNCTION("""COMPUTED_VALUE"""),"Self Identify")</f>
        <v>Self Identify</v>
      </c>
      <c r="I3189" s="6" t="str">
        <f>IFERROR(__xludf.DUMMYFUNCTION("""COMPUTED_VALUE"""),"Level 1")</f>
        <v>Level 1</v>
      </c>
      <c r="J3189" s="6" t="str">
        <f>IFERROR(__xludf.DUMMYFUNCTION("""COMPUTED_VALUE"""),"3")</f>
        <v>3</v>
      </c>
      <c r="K3189" s="6" t="str">
        <f>IFERROR(__xludf.DUMMYFUNCTION("""COMPUTED_VALUE"""),"xavier_kennedy@stu.ortrail.k12.or.us")</f>
        <v>xavier_kennedy@stu.ortrail.k12.or.us</v>
      </c>
      <c r="L3189" s="6" t="str">
        <f>IFERROR(__xludf.DUMMYFUNCTION("""COMPUTED_VALUE"""),"Oregon Trail School District 46")</f>
        <v>Oregon Trail School District 46</v>
      </c>
      <c r="M3189" s="6" t="str">
        <f>IFERROR(__xludf.DUMMYFUNCTION("""COMPUTED_VALUE"""),"Kelso Elementary School")</f>
        <v>Kelso Elementary School</v>
      </c>
      <c r="N3189" s="6" t="str">
        <f>IFERROR(__xludf.DUMMYFUNCTION("""COMPUTED_VALUE"""),"")</f>
        <v/>
      </c>
      <c r="O3189" s="87" t="str">
        <f>IFERROR(__xludf.DUMMYFUNCTION("""COMPUTED_VALUE"""),"https://drive.google.com/drive/folders/10T2cTQHqEJZqE-st6uFKPoI?usp=share_link")</f>
        <v>https://drive.google.com/drive/folders/10T2cTQHqEJZqE-st6uFKPoI?usp=share_link</v>
      </c>
      <c r="P3189" s="6" t="str">
        <f>IFERROR(__xludf.DUMMYFUNCTION("""COMPUTED_VALUE"""),"Xavier Kennedy")</f>
        <v>Xavier Kennedy</v>
      </c>
      <c r="Q3189" s="6" t="str">
        <f>IFERROR(__xludf.DUMMYFUNCTION("""COMPUTED_VALUE"""),"L1")</f>
        <v>L1</v>
      </c>
      <c r="R3189" s="6">
        <f>IFERROR(__xludf.DUMMYFUNCTION("""COMPUTED_VALUE"""),1.0)</f>
        <v>1</v>
      </c>
      <c r="S3189" s="6" t="str">
        <f>IFERROR(__xludf.DUMMYFUNCTION("""COMPUTED_VALUE"""),"Lindsay Jacksha")</f>
        <v>Lindsay Jacksha</v>
      </c>
      <c r="T3189" s="6" t="str">
        <f>IFERROR(__xludf.DUMMYFUNCTION("""COMPUTED_VALUE"""),"lindsay.jacksha@ortrail.k12.or.us")</f>
        <v>lindsay.jacksha@ortrail.k12.or.us</v>
      </c>
      <c r="U3189" s="6" t="str">
        <f>IFERROR(__xludf.DUMMYFUNCTION("""COMPUTED_VALUE"""),"3")</f>
        <v>3</v>
      </c>
      <c r="V3189" s="6" t="str">
        <f>IFERROR(__xludf.DUMMYFUNCTION("""COMPUTED_VALUE"""),"English")</f>
        <v>English</v>
      </c>
      <c r="W3189" s="6" t="str">
        <f>IFERROR(__xludf.DUMMYFUNCTION("""COMPUTED_VALUE"""),"[]")</f>
        <v>[]</v>
      </c>
      <c r="X3189" s="6" t="str">
        <f>IFERROR(__xludf.DUMMYFUNCTION("""COMPUTED_VALUE"""),"Enrolled")</f>
        <v>Enrolled</v>
      </c>
    </row>
    <row r="3190">
      <c r="A3190" s="6" t="str">
        <f>IFERROR(__xludf.DUMMYFUNCTION("""COMPUTED_VALUE"""),"064-5990")</f>
        <v>064-5990</v>
      </c>
      <c r="B3190" s="6" t="str">
        <f>IFERROR(__xludf.DUMMYFUNCTION("""COMPUTED_VALUE"""),"64")</f>
        <v>64</v>
      </c>
      <c r="C3190" s="6" t="str">
        <f>IFERROR(__xludf.DUMMYFUNCTION("""COMPUTED_VALUE"""),"5990")</f>
        <v>5990</v>
      </c>
      <c r="D3190" s="6" t="str">
        <f>IFERROR(__xludf.DUMMYFUNCTION("""COMPUTED_VALUE"""),"Benjamin")</f>
        <v>Benjamin</v>
      </c>
      <c r="E3190" s="6" t="str">
        <f>IFERROR(__xludf.DUMMYFUNCTION("""COMPUTED_VALUE"""),"")</f>
        <v/>
      </c>
      <c r="F3190" s="6" t="str">
        <f>IFERROR(__xludf.DUMMYFUNCTION("""COMPUTED_VALUE"""),"Lescanec")</f>
        <v>Lescanec</v>
      </c>
      <c r="G3190" s="6" t="str">
        <f>IFERROR(__xludf.DUMMYFUNCTION("""COMPUTED_VALUE"""),"11/08/2016")</f>
        <v>11/08/2016</v>
      </c>
      <c r="H3190" s="6" t="str">
        <f>IFERROR(__xludf.DUMMYFUNCTION("""COMPUTED_VALUE"""),"Self Identify")</f>
        <v>Self Identify</v>
      </c>
      <c r="I3190" s="6" t="str">
        <f>IFERROR(__xludf.DUMMYFUNCTION("""COMPUTED_VALUE"""),"Level 1")</f>
        <v>Level 1</v>
      </c>
      <c r="J3190" s="6" t="str">
        <f>IFERROR(__xludf.DUMMYFUNCTION("""COMPUTED_VALUE"""),"3")</f>
        <v>3</v>
      </c>
      <c r="K3190" s="6" t="str">
        <f>IFERROR(__xludf.DUMMYFUNCTION("""COMPUTED_VALUE"""),"benjamin_lescanec@stu.ortrail.k12.or.us")</f>
        <v>benjamin_lescanec@stu.ortrail.k12.or.us</v>
      </c>
      <c r="L3190" s="6" t="str">
        <f>IFERROR(__xludf.DUMMYFUNCTION("""COMPUTED_VALUE"""),"Oregon Trail School District 46")</f>
        <v>Oregon Trail School District 46</v>
      </c>
      <c r="M3190" s="6" t="str">
        <f>IFERROR(__xludf.DUMMYFUNCTION("""COMPUTED_VALUE"""),"Kelso Elementary School")</f>
        <v>Kelso Elementary School</v>
      </c>
      <c r="N3190" s="6" t="str">
        <f>IFERROR(__xludf.DUMMYFUNCTION("""COMPUTED_VALUE"""),"")</f>
        <v/>
      </c>
      <c r="O3190" s="87" t="str">
        <f>IFERROR(__xludf.DUMMYFUNCTION("""COMPUTED_VALUE"""),"https://drive.google.com/drive/folders/10T2cTQHqEJZqE-st6uFKPoI?usp=share_link")</f>
        <v>https://drive.google.com/drive/folders/10T2cTQHqEJZqE-st6uFKPoI?usp=share_link</v>
      </c>
      <c r="P3190" s="6" t="str">
        <f>IFERROR(__xludf.DUMMYFUNCTION("""COMPUTED_VALUE"""),"Benjamin Lescanec")</f>
        <v>Benjamin Lescanec</v>
      </c>
      <c r="Q3190" s="6" t="str">
        <f>IFERROR(__xludf.DUMMYFUNCTION("""COMPUTED_VALUE"""),"L1")</f>
        <v>L1</v>
      </c>
      <c r="R3190" s="6">
        <f>IFERROR(__xludf.DUMMYFUNCTION("""COMPUTED_VALUE"""),1.0)</f>
        <v>1</v>
      </c>
      <c r="S3190" s="6" t="str">
        <f>IFERROR(__xludf.DUMMYFUNCTION("""COMPUTED_VALUE"""),"Lindsay Jacksha")</f>
        <v>Lindsay Jacksha</v>
      </c>
      <c r="T3190" s="6" t="str">
        <f>IFERROR(__xludf.DUMMYFUNCTION("""COMPUTED_VALUE"""),"lindsay.jacksha@ortrail.k12.or.us")</f>
        <v>lindsay.jacksha@ortrail.k12.or.us</v>
      </c>
      <c r="U3190" s="6" t="str">
        <f>IFERROR(__xludf.DUMMYFUNCTION("""COMPUTED_VALUE"""),"3")</f>
        <v>3</v>
      </c>
      <c r="V3190" s="6" t="str">
        <f>IFERROR(__xludf.DUMMYFUNCTION("""COMPUTED_VALUE"""),"English")</f>
        <v>English</v>
      </c>
      <c r="W3190" s="6" t="str">
        <f>IFERROR(__xludf.DUMMYFUNCTION("""COMPUTED_VALUE"""),"[]")</f>
        <v>[]</v>
      </c>
      <c r="X3190" s="6" t="str">
        <f>IFERROR(__xludf.DUMMYFUNCTION("""COMPUTED_VALUE"""),"Enrolled")</f>
        <v>Enrolled</v>
      </c>
    </row>
    <row r="3191">
      <c r="A3191" s="6" t="str">
        <f>IFERROR(__xludf.DUMMYFUNCTION("""COMPUTED_VALUE"""),"064-5991")</f>
        <v>064-5991</v>
      </c>
      <c r="B3191" s="6" t="str">
        <f>IFERROR(__xludf.DUMMYFUNCTION("""COMPUTED_VALUE"""),"64")</f>
        <v>64</v>
      </c>
      <c r="C3191" s="6" t="str">
        <f>IFERROR(__xludf.DUMMYFUNCTION("""COMPUTED_VALUE"""),"5991")</f>
        <v>5991</v>
      </c>
      <c r="D3191" s="6" t="str">
        <f>IFERROR(__xludf.DUMMYFUNCTION("""COMPUTED_VALUE"""),"Nora")</f>
        <v>Nora</v>
      </c>
      <c r="E3191" s="6" t="str">
        <f>IFERROR(__xludf.DUMMYFUNCTION("""COMPUTED_VALUE"""),"")</f>
        <v/>
      </c>
      <c r="F3191" s="6" t="str">
        <f>IFERROR(__xludf.DUMMYFUNCTION("""COMPUTED_VALUE"""),"Mckinney")</f>
        <v>Mckinney</v>
      </c>
      <c r="G3191" s="6" t="str">
        <f>IFERROR(__xludf.DUMMYFUNCTION("""COMPUTED_VALUE"""),"01/06/2017")</f>
        <v>01/06/2017</v>
      </c>
      <c r="H3191" s="6" t="str">
        <f>IFERROR(__xludf.DUMMYFUNCTION("""COMPUTED_VALUE"""),"Self Identify")</f>
        <v>Self Identify</v>
      </c>
      <c r="I3191" s="6" t="str">
        <f>IFERROR(__xludf.DUMMYFUNCTION("""COMPUTED_VALUE"""),"Level 1")</f>
        <v>Level 1</v>
      </c>
      <c r="J3191" s="6" t="str">
        <f>IFERROR(__xludf.DUMMYFUNCTION("""COMPUTED_VALUE"""),"3")</f>
        <v>3</v>
      </c>
      <c r="K3191" s="6" t="str">
        <f>IFERROR(__xludf.DUMMYFUNCTION("""COMPUTED_VALUE"""),"nora_mckinney@stu.ortrail.k12.or.us")</f>
        <v>nora_mckinney@stu.ortrail.k12.or.us</v>
      </c>
      <c r="L3191" s="6" t="str">
        <f>IFERROR(__xludf.DUMMYFUNCTION("""COMPUTED_VALUE"""),"Oregon Trail School District 46")</f>
        <v>Oregon Trail School District 46</v>
      </c>
      <c r="M3191" s="6" t="str">
        <f>IFERROR(__xludf.DUMMYFUNCTION("""COMPUTED_VALUE"""),"Kelso Elementary School")</f>
        <v>Kelso Elementary School</v>
      </c>
      <c r="N3191" s="6" t="str">
        <f>IFERROR(__xludf.DUMMYFUNCTION("""COMPUTED_VALUE"""),"")</f>
        <v/>
      </c>
      <c r="O3191" s="87" t="str">
        <f>IFERROR(__xludf.DUMMYFUNCTION("""COMPUTED_VALUE"""),"https://drive.google.com/drive/folders/10T2cTQHqEJZqE-st6uFKPoI?usp=share_link")</f>
        <v>https://drive.google.com/drive/folders/10T2cTQHqEJZqE-st6uFKPoI?usp=share_link</v>
      </c>
      <c r="P3191" s="6" t="str">
        <f>IFERROR(__xludf.DUMMYFUNCTION("""COMPUTED_VALUE"""),"Nora Mckinney")</f>
        <v>Nora Mckinney</v>
      </c>
      <c r="Q3191" s="6" t="str">
        <f>IFERROR(__xludf.DUMMYFUNCTION("""COMPUTED_VALUE"""),"L1")</f>
        <v>L1</v>
      </c>
      <c r="R3191" s="6">
        <f>IFERROR(__xludf.DUMMYFUNCTION("""COMPUTED_VALUE"""),1.0)</f>
        <v>1</v>
      </c>
      <c r="S3191" s="6" t="str">
        <f>IFERROR(__xludf.DUMMYFUNCTION("""COMPUTED_VALUE"""),"Lindsay Jacksha")</f>
        <v>Lindsay Jacksha</v>
      </c>
      <c r="T3191" s="6" t="str">
        <f>IFERROR(__xludf.DUMMYFUNCTION("""COMPUTED_VALUE"""),"lindsay.jacksha@ortrail.k12.or.us")</f>
        <v>lindsay.jacksha@ortrail.k12.or.us</v>
      </c>
      <c r="U3191" s="6" t="str">
        <f>IFERROR(__xludf.DUMMYFUNCTION("""COMPUTED_VALUE"""),"3")</f>
        <v>3</v>
      </c>
      <c r="V3191" s="6" t="str">
        <f>IFERROR(__xludf.DUMMYFUNCTION("""COMPUTED_VALUE"""),"English")</f>
        <v>English</v>
      </c>
      <c r="W3191" s="6" t="str">
        <f>IFERROR(__xludf.DUMMYFUNCTION("""COMPUTED_VALUE"""),"[]")</f>
        <v>[]</v>
      </c>
      <c r="X3191" s="6" t="str">
        <f>IFERROR(__xludf.DUMMYFUNCTION("""COMPUTED_VALUE"""),"Enrolled")</f>
        <v>Enrolled</v>
      </c>
    </row>
    <row r="3192">
      <c r="A3192" s="6" t="str">
        <f>IFERROR(__xludf.DUMMYFUNCTION("""COMPUTED_VALUE"""),"064-5992")</f>
        <v>064-5992</v>
      </c>
      <c r="B3192" s="6" t="str">
        <f>IFERROR(__xludf.DUMMYFUNCTION("""COMPUTED_VALUE"""),"64")</f>
        <v>64</v>
      </c>
      <c r="C3192" s="6" t="str">
        <f>IFERROR(__xludf.DUMMYFUNCTION("""COMPUTED_VALUE"""),"5992")</f>
        <v>5992</v>
      </c>
      <c r="D3192" s="6" t="str">
        <f>IFERROR(__xludf.DUMMYFUNCTION("""COMPUTED_VALUE"""),"Mateo")</f>
        <v>Mateo</v>
      </c>
      <c r="E3192" s="6" t="str">
        <f>IFERROR(__xludf.DUMMYFUNCTION("""COMPUTED_VALUE"""),"")</f>
        <v/>
      </c>
      <c r="F3192" s="6" t="str">
        <f>IFERROR(__xludf.DUMMYFUNCTION("""COMPUTED_VALUE"""),"Mendez")</f>
        <v>Mendez</v>
      </c>
      <c r="G3192" s="6" t="str">
        <f>IFERROR(__xludf.DUMMYFUNCTION("""COMPUTED_VALUE"""),"01/17/2017")</f>
        <v>01/17/2017</v>
      </c>
      <c r="H3192" s="6" t="str">
        <f>IFERROR(__xludf.DUMMYFUNCTION("""COMPUTED_VALUE"""),"Self Identify")</f>
        <v>Self Identify</v>
      </c>
      <c r="I3192" s="6" t="str">
        <f>IFERROR(__xludf.DUMMYFUNCTION("""COMPUTED_VALUE"""),"Level 1")</f>
        <v>Level 1</v>
      </c>
      <c r="J3192" s="6" t="str">
        <f>IFERROR(__xludf.DUMMYFUNCTION("""COMPUTED_VALUE"""),"3")</f>
        <v>3</v>
      </c>
      <c r="K3192" s="6" t="str">
        <f>IFERROR(__xludf.DUMMYFUNCTION("""COMPUTED_VALUE"""),"mateo_mendez@stu.ortrail.k12.or.us")</f>
        <v>mateo_mendez@stu.ortrail.k12.or.us</v>
      </c>
      <c r="L3192" s="6" t="str">
        <f>IFERROR(__xludf.DUMMYFUNCTION("""COMPUTED_VALUE"""),"Oregon Trail School District 46")</f>
        <v>Oregon Trail School District 46</v>
      </c>
      <c r="M3192" s="6" t="str">
        <f>IFERROR(__xludf.DUMMYFUNCTION("""COMPUTED_VALUE"""),"Kelso Elementary School")</f>
        <v>Kelso Elementary School</v>
      </c>
      <c r="N3192" s="6" t="str">
        <f>IFERROR(__xludf.DUMMYFUNCTION("""COMPUTED_VALUE"""),"")</f>
        <v/>
      </c>
      <c r="O3192" s="87" t="str">
        <f>IFERROR(__xludf.DUMMYFUNCTION("""COMPUTED_VALUE"""),"https://drive.google.com/drive/folders/10T2cTQHqEJZqE-st6uFKPoI?usp=share_link")</f>
        <v>https://drive.google.com/drive/folders/10T2cTQHqEJZqE-st6uFKPoI?usp=share_link</v>
      </c>
      <c r="P3192" s="6" t="str">
        <f>IFERROR(__xludf.DUMMYFUNCTION("""COMPUTED_VALUE"""),"Mateo Mendez")</f>
        <v>Mateo Mendez</v>
      </c>
      <c r="Q3192" s="6" t="str">
        <f>IFERROR(__xludf.DUMMYFUNCTION("""COMPUTED_VALUE"""),"L1")</f>
        <v>L1</v>
      </c>
      <c r="R3192" s="6">
        <f>IFERROR(__xludf.DUMMYFUNCTION("""COMPUTED_VALUE"""),1.0)</f>
        <v>1</v>
      </c>
      <c r="S3192" s="6" t="str">
        <f>IFERROR(__xludf.DUMMYFUNCTION("""COMPUTED_VALUE"""),"Lindsay Jacksha")</f>
        <v>Lindsay Jacksha</v>
      </c>
      <c r="T3192" s="6" t="str">
        <f>IFERROR(__xludf.DUMMYFUNCTION("""COMPUTED_VALUE"""),"lindsay.jacksha@ortrail.k12.or.us")</f>
        <v>lindsay.jacksha@ortrail.k12.or.us</v>
      </c>
      <c r="U3192" s="6" t="str">
        <f>IFERROR(__xludf.DUMMYFUNCTION("""COMPUTED_VALUE"""),"3")</f>
        <v>3</v>
      </c>
      <c r="V3192" s="6" t="str">
        <f>IFERROR(__xludf.DUMMYFUNCTION("""COMPUTED_VALUE"""),"English")</f>
        <v>English</v>
      </c>
      <c r="W3192" s="6" t="str">
        <f>IFERROR(__xludf.DUMMYFUNCTION("""COMPUTED_VALUE"""),"[]")</f>
        <v>[]</v>
      </c>
      <c r="X3192" s="6" t="str">
        <f>IFERROR(__xludf.DUMMYFUNCTION("""COMPUTED_VALUE"""),"Enrolled")</f>
        <v>Enrolled</v>
      </c>
    </row>
    <row r="3193">
      <c r="A3193" s="6" t="str">
        <f>IFERROR(__xludf.DUMMYFUNCTION("""COMPUTED_VALUE"""),"064-5993")</f>
        <v>064-5993</v>
      </c>
      <c r="B3193" s="6" t="str">
        <f>IFERROR(__xludf.DUMMYFUNCTION("""COMPUTED_VALUE"""),"64")</f>
        <v>64</v>
      </c>
      <c r="C3193" s="6" t="str">
        <f>IFERROR(__xludf.DUMMYFUNCTION("""COMPUTED_VALUE"""),"5993")</f>
        <v>5993</v>
      </c>
      <c r="D3193" s="6" t="str">
        <f>IFERROR(__xludf.DUMMYFUNCTION("""COMPUTED_VALUE"""),"Everett")</f>
        <v>Everett</v>
      </c>
      <c r="E3193" s="6" t="str">
        <f>IFERROR(__xludf.DUMMYFUNCTION("""COMPUTED_VALUE"""),"")</f>
        <v/>
      </c>
      <c r="F3193" s="6" t="str">
        <f>IFERROR(__xludf.DUMMYFUNCTION("""COMPUTED_VALUE"""),"Miller")</f>
        <v>Miller</v>
      </c>
      <c r="G3193" s="6" t="str">
        <f>IFERROR(__xludf.DUMMYFUNCTION("""COMPUTED_VALUE"""),"04/17/2017")</f>
        <v>04/17/2017</v>
      </c>
      <c r="H3193" s="6" t="str">
        <f>IFERROR(__xludf.DUMMYFUNCTION("""COMPUTED_VALUE"""),"Self Identify")</f>
        <v>Self Identify</v>
      </c>
      <c r="I3193" s="6" t="str">
        <f>IFERROR(__xludf.DUMMYFUNCTION("""COMPUTED_VALUE"""),"Level 1")</f>
        <v>Level 1</v>
      </c>
      <c r="J3193" s="6" t="str">
        <f>IFERROR(__xludf.DUMMYFUNCTION("""COMPUTED_VALUE"""),"3")</f>
        <v>3</v>
      </c>
      <c r="K3193" s="6" t="str">
        <f>IFERROR(__xludf.DUMMYFUNCTION("""COMPUTED_VALUE"""),"everett_miller@stu.ortrail.k12.or.us")</f>
        <v>everett_miller@stu.ortrail.k12.or.us</v>
      </c>
      <c r="L3193" s="6" t="str">
        <f>IFERROR(__xludf.DUMMYFUNCTION("""COMPUTED_VALUE"""),"Oregon Trail School District 46")</f>
        <v>Oregon Trail School District 46</v>
      </c>
      <c r="M3193" s="6" t="str">
        <f>IFERROR(__xludf.DUMMYFUNCTION("""COMPUTED_VALUE"""),"Kelso Elementary School")</f>
        <v>Kelso Elementary School</v>
      </c>
      <c r="N3193" s="6" t="str">
        <f>IFERROR(__xludf.DUMMYFUNCTION("""COMPUTED_VALUE"""),"")</f>
        <v/>
      </c>
      <c r="O3193" s="87" t="str">
        <f>IFERROR(__xludf.DUMMYFUNCTION("""COMPUTED_VALUE"""),"https://drive.google.com/drive/folders/10T2cTQHqEJZqE-st6uFKPoI?usp=share_link")</f>
        <v>https://drive.google.com/drive/folders/10T2cTQHqEJZqE-st6uFKPoI?usp=share_link</v>
      </c>
      <c r="P3193" s="6" t="str">
        <f>IFERROR(__xludf.DUMMYFUNCTION("""COMPUTED_VALUE"""),"Everett Miller")</f>
        <v>Everett Miller</v>
      </c>
      <c r="Q3193" s="6" t="str">
        <f>IFERROR(__xludf.DUMMYFUNCTION("""COMPUTED_VALUE"""),"L1")</f>
        <v>L1</v>
      </c>
      <c r="R3193" s="6">
        <f>IFERROR(__xludf.DUMMYFUNCTION("""COMPUTED_VALUE"""),1.0)</f>
        <v>1</v>
      </c>
      <c r="S3193" s="6" t="str">
        <f>IFERROR(__xludf.DUMMYFUNCTION("""COMPUTED_VALUE"""),"Lindsay Jacksha")</f>
        <v>Lindsay Jacksha</v>
      </c>
      <c r="T3193" s="6" t="str">
        <f>IFERROR(__xludf.DUMMYFUNCTION("""COMPUTED_VALUE"""),"lindsay.jacksha@ortrail.k12.or.us")</f>
        <v>lindsay.jacksha@ortrail.k12.or.us</v>
      </c>
      <c r="U3193" s="6" t="str">
        <f>IFERROR(__xludf.DUMMYFUNCTION("""COMPUTED_VALUE"""),"3")</f>
        <v>3</v>
      </c>
      <c r="V3193" s="6" t="str">
        <f>IFERROR(__xludf.DUMMYFUNCTION("""COMPUTED_VALUE"""),"English")</f>
        <v>English</v>
      </c>
      <c r="W3193" s="6" t="str">
        <f>IFERROR(__xludf.DUMMYFUNCTION("""COMPUTED_VALUE"""),"[]")</f>
        <v>[]</v>
      </c>
      <c r="X3193" s="6" t="str">
        <f>IFERROR(__xludf.DUMMYFUNCTION("""COMPUTED_VALUE"""),"Enrolled")</f>
        <v>Enrolled</v>
      </c>
    </row>
    <row r="3194">
      <c r="A3194" s="6" t="str">
        <f>IFERROR(__xludf.DUMMYFUNCTION("""COMPUTED_VALUE"""),"064-5994")</f>
        <v>064-5994</v>
      </c>
      <c r="B3194" s="6" t="str">
        <f>IFERROR(__xludf.DUMMYFUNCTION("""COMPUTED_VALUE"""),"64")</f>
        <v>64</v>
      </c>
      <c r="C3194" s="6" t="str">
        <f>IFERROR(__xludf.DUMMYFUNCTION("""COMPUTED_VALUE"""),"5994")</f>
        <v>5994</v>
      </c>
      <c r="D3194" s="6" t="str">
        <f>IFERROR(__xludf.DUMMYFUNCTION("""COMPUTED_VALUE"""),"Oliver")</f>
        <v>Oliver</v>
      </c>
      <c r="E3194" s="6" t="str">
        <f>IFERROR(__xludf.DUMMYFUNCTION("""COMPUTED_VALUE"""),"")</f>
        <v/>
      </c>
      <c r="F3194" s="6" t="str">
        <f>IFERROR(__xludf.DUMMYFUNCTION("""COMPUTED_VALUE"""),"Nelson")</f>
        <v>Nelson</v>
      </c>
      <c r="G3194" s="6" t="str">
        <f>IFERROR(__xludf.DUMMYFUNCTION("""COMPUTED_VALUE"""),"09/01/2016")</f>
        <v>09/01/2016</v>
      </c>
      <c r="H3194" s="6" t="str">
        <f>IFERROR(__xludf.DUMMYFUNCTION("""COMPUTED_VALUE"""),"Self Identify")</f>
        <v>Self Identify</v>
      </c>
      <c r="I3194" s="6" t="str">
        <f>IFERROR(__xludf.DUMMYFUNCTION("""COMPUTED_VALUE"""),"Level 1")</f>
        <v>Level 1</v>
      </c>
      <c r="J3194" s="6" t="str">
        <f>IFERROR(__xludf.DUMMYFUNCTION("""COMPUTED_VALUE"""),"3")</f>
        <v>3</v>
      </c>
      <c r="K3194" s="6" t="str">
        <f>IFERROR(__xludf.DUMMYFUNCTION("""COMPUTED_VALUE"""),"ollie_nelson@stu.ortrail.k12.or.us")</f>
        <v>ollie_nelson@stu.ortrail.k12.or.us</v>
      </c>
      <c r="L3194" s="6" t="str">
        <f>IFERROR(__xludf.DUMMYFUNCTION("""COMPUTED_VALUE"""),"Oregon Trail School District 46")</f>
        <v>Oregon Trail School District 46</v>
      </c>
      <c r="M3194" s="6" t="str">
        <f>IFERROR(__xludf.DUMMYFUNCTION("""COMPUTED_VALUE"""),"Kelso Elementary School")</f>
        <v>Kelso Elementary School</v>
      </c>
      <c r="N3194" s="6" t="str">
        <f>IFERROR(__xludf.DUMMYFUNCTION("""COMPUTED_VALUE"""),"")</f>
        <v/>
      </c>
      <c r="O3194" s="87" t="str">
        <f>IFERROR(__xludf.DUMMYFUNCTION("""COMPUTED_VALUE"""),"https://drive.google.com/drive/folders/10T2cTQHqEJZqE-st6uFKPoI?usp=share_link")</f>
        <v>https://drive.google.com/drive/folders/10T2cTQHqEJZqE-st6uFKPoI?usp=share_link</v>
      </c>
      <c r="P3194" s="6" t="str">
        <f>IFERROR(__xludf.DUMMYFUNCTION("""COMPUTED_VALUE"""),"Oliver Nelson")</f>
        <v>Oliver Nelson</v>
      </c>
      <c r="Q3194" s="6" t="str">
        <f>IFERROR(__xludf.DUMMYFUNCTION("""COMPUTED_VALUE"""),"L1")</f>
        <v>L1</v>
      </c>
      <c r="R3194" s="6">
        <f>IFERROR(__xludf.DUMMYFUNCTION("""COMPUTED_VALUE"""),1.0)</f>
        <v>1</v>
      </c>
      <c r="S3194" s="6" t="str">
        <f>IFERROR(__xludf.DUMMYFUNCTION("""COMPUTED_VALUE"""),"Lindsay Jacksha")</f>
        <v>Lindsay Jacksha</v>
      </c>
      <c r="T3194" s="6" t="str">
        <f>IFERROR(__xludf.DUMMYFUNCTION("""COMPUTED_VALUE"""),"lindsay.jacksha@ortrail.k12.or.us")</f>
        <v>lindsay.jacksha@ortrail.k12.or.us</v>
      </c>
      <c r="U3194" s="6" t="str">
        <f>IFERROR(__xludf.DUMMYFUNCTION("""COMPUTED_VALUE"""),"3")</f>
        <v>3</v>
      </c>
      <c r="V3194" s="6" t="str">
        <f>IFERROR(__xludf.DUMMYFUNCTION("""COMPUTED_VALUE"""),"English")</f>
        <v>English</v>
      </c>
      <c r="W3194" s="6" t="str">
        <f>IFERROR(__xludf.DUMMYFUNCTION("""COMPUTED_VALUE"""),"[]")</f>
        <v>[]</v>
      </c>
      <c r="X3194" s="6" t="str">
        <f>IFERROR(__xludf.DUMMYFUNCTION("""COMPUTED_VALUE"""),"Enrolled")</f>
        <v>Enrolled</v>
      </c>
    </row>
    <row r="3195">
      <c r="A3195" s="6" t="str">
        <f>IFERROR(__xludf.DUMMYFUNCTION("""COMPUTED_VALUE"""),"064-5995")</f>
        <v>064-5995</v>
      </c>
      <c r="B3195" s="6" t="str">
        <f>IFERROR(__xludf.DUMMYFUNCTION("""COMPUTED_VALUE"""),"64")</f>
        <v>64</v>
      </c>
      <c r="C3195" s="6" t="str">
        <f>IFERROR(__xludf.DUMMYFUNCTION("""COMPUTED_VALUE"""),"5995")</f>
        <v>5995</v>
      </c>
      <c r="D3195" s="6" t="str">
        <f>IFERROR(__xludf.DUMMYFUNCTION("""COMPUTED_VALUE"""),"Marley")</f>
        <v>Marley</v>
      </c>
      <c r="E3195" s="6" t="str">
        <f>IFERROR(__xludf.DUMMYFUNCTION("""COMPUTED_VALUE"""),"")</f>
        <v/>
      </c>
      <c r="F3195" s="6" t="str">
        <f>IFERROR(__xludf.DUMMYFUNCTION("""COMPUTED_VALUE"""),"Niiranen")</f>
        <v>Niiranen</v>
      </c>
      <c r="G3195" s="6" t="str">
        <f>IFERROR(__xludf.DUMMYFUNCTION("""COMPUTED_VALUE"""),"04/09/2017")</f>
        <v>04/09/2017</v>
      </c>
      <c r="H3195" s="6" t="str">
        <f>IFERROR(__xludf.DUMMYFUNCTION("""COMPUTED_VALUE"""),"Self Identify")</f>
        <v>Self Identify</v>
      </c>
      <c r="I3195" s="6" t="str">
        <f>IFERROR(__xludf.DUMMYFUNCTION("""COMPUTED_VALUE"""),"Level 1")</f>
        <v>Level 1</v>
      </c>
      <c r="J3195" s="6" t="str">
        <f>IFERROR(__xludf.DUMMYFUNCTION("""COMPUTED_VALUE"""),"3")</f>
        <v>3</v>
      </c>
      <c r="K3195" s="6" t="str">
        <f>IFERROR(__xludf.DUMMYFUNCTION("""COMPUTED_VALUE"""),"marley_niiranen@stu.ortrail.k12.or.us")</f>
        <v>marley_niiranen@stu.ortrail.k12.or.us</v>
      </c>
      <c r="L3195" s="6" t="str">
        <f>IFERROR(__xludf.DUMMYFUNCTION("""COMPUTED_VALUE"""),"Oregon Trail School District 46")</f>
        <v>Oregon Trail School District 46</v>
      </c>
      <c r="M3195" s="6" t="str">
        <f>IFERROR(__xludf.DUMMYFUNCTION("""COMPUTED_VALUE"""),"Kelso Elementary School")</f>
        <v>Kelso Elementary School</v>
      </c>
      <c r="N3195" s="6" t="str">
        <f>IFERROR(__xludf.DUMMYFUNCTION("""COMPUTED_VALUE"""),"")</f>
        <v/>
      </c>
      <c r="O3195" s="87" t="str">
        <f>IFERROR(__xludf.DUMMYFUNCTION("""COMPUTED_VALUE"""),"https://drive.google.com/drive/folders/10T2cTQHqEJZqE-st6uFKPoI?usp=share_link")</f>
        <v>https://drive.google.com/drive/folders/10T2cTQHqEJZqE-st6uFKPoI?usp=share_link</v>
      </c>
      <c r="P3195" s="6" t="str">
        <f>IFERROR(__xludf.DUMMYFUNCTION("""COMPUTED_VALUE"""),"Marley Niiranen")</f>
        <v>Marley Niiranen</v>
      </c>
      <c r="Q3195" s="6" t="str">
        <f>IFERROR(__xludf.DUMMYFUNCTION("""COMPUTED_VALUE"""),"L1")</f>
        <v>L1</v>
      </c>
      <c r="R3195" s="6">
        <f>IFERROR(__xludf.DUMMYFUNCTION("""COMPUTED_VALUE"""),1.0)</f>
        <v>1</v>
      </c>
      <c r="S3195" s="6" t="str">
        <f>IFERROR(__xludf.DUMMYFUNCTION("""COMPUTED_VALUE"""),"Marisa Hazelton")</f>
        <v>Marisa Hazelton</v>
      </c>
      <c r="T3195" s="6" t="str">
        <f>IFERROR(__xludf.DUMMYFUNCTION("""COMPUTED_VALUE"""),"marisa.hazelton@ortrail.k12.or.us")</f>
        <v>marisa.hazelton@ortrail.k12.or.us</v>
      </c>
      <c r="U3195" s="6" t="str">
        <f>IFERROR(__xludf.DUMMYFUNCTION("""COMPUTED_VALUE"""),"3")</f>
        <v>3</v>
      </c>
      <c r="V3195" s="6" t="str">
        <f>IFERROR(__xludf.DUMMYFUNCTION("""COMPUTED_VALUE"""),"English")</f>
        <v>English</v>
      </c>
      <c r="W3195" s="6" t="str">
        <f>IFERROR(__xludf.DUMMYFUNCTION("""COMPUTED_VALUE"""),"[]")</f>
        <v>[]</v>
      </c>
      <c r="X3195" s="6" t="str">
        <f>IFERROR(__xludf.DUMMYFUNCTION("""COMPUTED_VALUE"""),"Enrolled")</f>
        <v>Enrolled</v>
      </c>
    </row>
    <row r="3196">
      <c r="A3196" s="6" t="str">
        <f>IFERROR(__xludf.DUMMYFUNCTION("""COMPUTED_VALUE"""),"064-5996")</f>
        <v>064-5996</v>
      </c>
      <c r="B3196" s="6" t="str">
        <f>IFERROR(__xludf.DUMMYFUNCTION("""COMPUTED_VALUE"""),"64")</f>
        <v>64</v>
      </c>
      <c r="C3196" s="6" t="str">
        <f>IFERROR(__xludf.DUMMYFUNCTION("""COMPUTED_VALUE"""),"5996")</f>
        <v>5996</v>
      </c>
      <c r="D3196" s="6" t="str">
        <f>IFERROR(__xludf.DUMMYFUNCTION("""COMPUTED_VALUE"""),"Scarlett")</f>
        <v>Scarlett</v>
      </c>
      <c r="E3196" s="6" t="str">
        <f>IFERROR(__xludf.DUMMYFUNCTION("""COMPUTED_VALUE"""),"")</f>
        <v/>
      </c>
      <c r="F3196" s="6" t="str">
        <f>IFERROR(__xludf.DUMMYFUNCTION("""COMPUTED_VALUE"""),"Norvald")</f>
        <v>Norvald</v>
      </c>
      <c r="G3196" s="6" t="str">
        <f>IFERROR(__xludf.DUMMYFUNCTION("""COMPUTED_VALUE"""),"02/01/2017")</f>
        <v>02/01/2017</v>
      </c>
      <c r="H3196" s="6" t="str">
        <f>IFERROR(__xludf.DUMMYFUNCTION("""COMPUTED_VALUE"""),"Self Identify")</f>
        <v>Self Identify</v>
      </c>
      <c r="I3196" s="6" t="str">
        <f>IFERROR(__xludf.DUMMYFUNCTION("""COMPUTED_VALUE"""),"Level 1")</f>
        <v>Level 1</v>
      </c>
      <c r="J3196" s="6" t="str">
        <f>IFERROR(__xludf.DUMMYFUNCTION("""COMPUTED_VALUE"""),"3")</f>
        <v>3</v>
      </c>
      <c r="K3196" s="6" t="str">
        <f>IFERROR(__xludf.DUMMYFUNCTION("""COMPUTED_VALUE"""),"scarlett_norvald@stu.ortrail.k12.or.us")</f>
        <v>scarlett_norvald@stu.ortrail.k12.or.us</v>
      </c>
      <c r="L3196" s="6" t="str">
        <f>IFERROR(__xludf.DUMMYFUNCTION("""COMPUTED_VALUE"""),"Oregon Trail School District 46")</f>
        <v>Oregon Trail School District 46</v>
      </c>
      <c r="M3196" s="6" t="str">
        <f>IFERROR(__xludf.DUMMYFUNCTION("""COMPUTED_VALUE"""),"Kelso Elementary School")</f>
        <v>Kelso Elementary School</v>
      </c>
      <c r="N3196" s="6" t="str">
        <f>IFERROR(__xludf.DUMMYFUNCTION("""COMPUTED_VALUE"""),"")</f>
        <v/>
      </c>
      <c r="O3196" s="87" t="str">
        <f>IFERROR(__xludf.DUMMYFUNCTION("""COMPUTED_VALUE"""),"https://drive.google.com/drive/folders/10T2cTQHqEJZqE-st6uFKPoI?usp=share_link")</f>
        <v>https://drive.google.com/drive/folders/10T2cTQHqEJZqE-st6uFKPoI?usp=share_link</v>
      </c>
      <c r="P3196" s="6" t="str">
        <f>IFERROR(__xludf.DUMMYFUNCTION("""COMPUTED_VALUE"""),"Scarlett Norvald")</f>
        <v>Scarlett Norvald</v>
      </c>
      <c r="Q3196" s="6" t="str">
        <f>IFERROR(__xludf.DUMMYFUNCTION("""COMPUTED_VALUE"""),"L1")</f>
        <v>L1</v>
      </c>
      <c r="R3196" s="6">
        <f>IFERROR(__xludf.DUMMYFUNCTION("""COMPUTED_VALUE"""),1.0)</f>
        <v>1</v>
      </c>
      <c r="S3196" s="6" t="str">
        <f>IFERROR(__xludf.DUMMYFUNCTION("""COMPUTED_VALUE"""),"Marisa Hazelton")</f>
        <v>Marisa Hazelton</v>
      </c>
      <c r="T3196" s="6" t="str">
        <f>IFERROR(__xludf.DUMMYFUNCTION("""COMPUTED_VALUE"""),"marisa.hazelton@ortrail.k12.or.us")</f>
        <v>marisa.hazelton@ortrail.k12.or.us</v>
      </c>
      <c r="U3196" s="6" t="str">
        <f>IFERROR(__xludf.DUMMYFUNCTION("""COMPUTED_VALUE"""),"3")</f>
        <v>3</v>
      </c>
      <c r="V3196" s="6" t="str">
        <f>IFERROR(__xludf.DUMMYFUNCTION("""COMPUTED_VALUE"""),"English")</f>
        <v>English</v>
      </c>
      <c r="W3196" s="6" t="str">
        <f>IFERROR(__xludf.DUMMYFUNCTION("""COMPUTED_VALUE"""),"[]")</f>
        <v>[]</v>
      </c>
      <c r="X3196" s="6" t="str">
        <f>IFERROR(__xludf.DUMMYFUNCTION("""COMPUTED_VALUE"""),"Enrolled")</f>
        <v>Enrolled</v>
      </c>
    </row>
    <row r="3197">
      <c r="A3197" s="6" t="str">
        <f>IFERROR(__xludf.DUMMYFUNCTION("""COMPUTED_VALUE"""),"064-5997")</f>
        <v>064-5997</v>
      </c>
      <c r="B3197" s="6" t="str">
        <f>IFERROR(__xludf.DUMMYFUNCTION("""COMPUTED_VALUE"""),"64")</f>
        <v>64</v>
      </c>
      <c r="C3197" s="6" t="str">
        <f>IFERROR(__xludf.DUMMYFUNCTION("""COMPUTED_VALUE"""),"5997")</f>
        <v>5997</v>
      </c>
      <c r="D3197" s="6" t="str">
        <f>IFERROR(__xludf.DUMMYFUNCTION("""COMPUTED_VALUE"""),"Emmett")</f>
        <v>Emmett</v>
      </c>
      <c r="E3197" s="6" t="str">
        <f>IFERROR(__xludf.DUMMYFUNCTION("""COMPUTED_VALUE"""),"")</f>
        <v/>
      </c>
      <c r="F3197" s="6" t="str">
        <f>IFERROR(__xludf.DUMMYFUNCTION("""COMPUTED_VALUE"""),"Oropeza")</f>
        <v>Oropeza</v>
      </c>
      <c r="G3197" s="6" t="str">
        <f>IFERROR(__xludf.DUMMYFUNCTION("""COMPUTED_VALUE"""),"03/22/2017")</f>
        <v>03/22/2017</v>
      </c>
      <c r="H3197" s="6" t="str">
        <f>IFERROR(__xludf.DUMMYFUNCTION("""COMPUTED_VALUE"""),"Self Identify")</f>
        <v>Self Identify</v>
      </c>
      <c r="I3197" s="6" t="str">
        <f>IFERROR(__xludf.DUMMYFUNCTION("""COMPUTED_VALUE"""),"Level 1")</f>
        <v>Level 1</v>
      </c>
      <c r="J3197" s="6" t="str">
        <f>IFERROR(__xludf.DUMMYFUNCTION("""COMPUTED_VALUE"""),"3")</f>
        <v>3</v>
      </c>
      <c r="K3197" s="6" t="str">
        <f>IFERROR(__xludf.DUMMYFUNCTION("""COMPUTED_VALUE"""),"emmett_oropeza@stu.ortrail.k12.or.us")</f>
        <v>emmett_oropeza@stu.ortrail.k12.or.us</v>
      </c>
      <c r="L3197" s="6" t="str">
        <f>IFERROR(__xludf.DUMMYFUNCTION("""COMPUTED_VALUE"""),"Oregon Trail School District 46")</f>
        <v>Oregon Trail School District 46</v>
      </c>
      <c r="M3197" s="6" t="str">
        <f>IFERROR(__xludf.DUMMYFUNCTION("""COMPUTED_VALUE"""),"Kelso Elementary School")</f>
        <v>Kelso Elementary School</v>
      </c>
      <c r="N3197" s="6" t="str">
        <f>IFERROR(__xludf.DUMMYFUNCTION("""COMPUTED_VALUE"""),"")</f>
        <v/>
      </c>
      <c r="O3197" s="87" t="str">
        <f>IFERROR(__xludf.DUMMYFUNCTION("""COMPUTED_VALUE"""),"https://drive.google.com/drive/folders/10T2cTQHqEJZqE-st6uFKPoI?usp=share_link")</f>
        <v>https://drive.google.com/drive/folders/10T2cTQHqEJZqE-st6uFKPoI?usp=share_link</v>
      </c>
      <c r="P3197" s="6" t="str">
        <f>IFERROR(__xludf.DUMMYFUNCTION("""COMPUTED_VALUE"""),"Emmett Oropeza")</f>
        <v>Emmett Oropeza</v>
      </c>
      <c r="Q3197" s="6" t="str">
        <f>IFERROR(__xludf.DUMMYFUNCTION("""COMPUTED_VALUE"""),"L1")</f>
        <v>L1</v>
      </c>
      <c r="R3197" s="6">
        <f>IFERROR(__xludf.DUMMYFUNCTION("""COMPUTED_VALUE"""),1.0)</f>
        <v>1</v>
      </c>
      <c r="S3197" s="6" t="str">
        <f>IFERROR(__xludf.DUMMYFUNCTION("""COMPUTED_VALUE"""),"Marisa Hazelton")</f>
        <v>Marisa Hazelton</v>
      </c>
      <c r="T3197" s="6" t="str">
        <f>IFERROR(__xludf.DUMMYFUNCTION("""COMPUTED_VALUE"""),"marisa.hazelton@ortrail.k12.or.us")</f>
        <v>marisa.hazelton@ortrail.k12.or.us</v>
      </c>
      <c r="U3197" s="6" t="str">
        <f>IFERROR(__xludf.DUMMYFUNCTION("""COMPUTED_VALUE"""),"3")</f>
        <v>3</v>
      </c>
      <c r="V3197" s="6" t="str">
        <f>IFERROR(__xludf.DUMMYFUNCTION("""COMPUTED_VALUE"""),"English")</f>
        <v>English</v>
      </c>
      <c r="W3197" s="6" t="str">
        <f>IFERROR(__xludf.DUMMYFUNCTION("""COMPUTED_VALUE"""),"[]")</f>
        <v>[]</v>
      </c>
      <c r="X3197" s="6" t="str">
        <f>IFERROR(__xludf.DUMMYFUNCTION("""COMPUTED_VALUE"""),"Enrolled")</f>
        <v>Enrolled</v>
      </c>
    </row>
    <row r="3198">
      <c r="A3198" s="6" t="str">
        <f>IFERROR(__xludf.DUMMYFUNCTION("""COMPUTED_VALUE"""),"064-5998")</f>
        <v>064-5998</v>
      </c>
      <c r="B3198" s="6" t="str">
        <f>IFERROR(__xludf.DUMMYFUNCTION("""COMPUTED_VALUE"""),"64")</f>
        <v>64</v>
      </c>
      <c r="C3198" s="6" t="str">
        <f>IFERROR(__xludf.DUMMYFUNCTION("""COMPUTED_VALUE"""),"5998")</f>
        <v>5998</v>
      </c>
      <c r="D3198" s="6" t="str">
        <f>IFERROR(__xludf.DUMMYFUNCTION("""COMPUTED_VALUE"""),"Landon")</f>
        <v>Landon</v>
      </c>
      <c r="E3198" s="6" t="str">
        <f>IFERROR(__xludf.DUMMYFUNCTION("""COMPUTED_VALUE"""),"")</f>
        <v/>
      </c>
      <c r="F3198" s="6" t="str">
        <f>IFERROR(__xludf.DUMMYFUNCTION("""COMPUTED_VALUE"""),"Oster")</f>
        <v>Oster</v>
      </c>
      <c r="G3198" s="6" t="str">
        <f>IFERROR(__xludf.DUMMYFUNCTION("""COMPUTED_VALUE"""),"04/15/2017")</f>
        <v>04/15/2017</v>
      </c>
      <c r="H3198" s="6" t="str">
        <f>IFERROR(__xludf.DUMMYFUNCTION("""COMPUTED_VALUE"""),"Self Identify")</f>
        <v>Self Identify</v>
      </c>
      <c r="I3198" s="6" t="str">
        <f>IFERROR(__xludf.DUMMYFUNCTION("""COMPUTED_VALUE"""),"Level 1")</f>
        <v>Level 1</v>
      </c>
      <c r="J3198" s="6" t="str">
        <f>IFERROR(__xludf.DUMMYFUNCTION("""COMPUTED_VALUE"""),"3")</f>
        <v>3</v>
      </c>
      <c r="K3198" s="6" t="str">
        <f>IFERROR(__xludf.DUMMYFUNCTION("""COMPUTED_VALUE"""),"landon_oster@stu.ortrail.k12.or.us")</f>
        <v>landon_oster@stu.ortrail.k12.or.us</v>
      </c>
      <c r="L3198" s="6" t="str">
        <f>IFERROR(__xludf.DUMMYFUNCTION("""COMPUTED_VALUE"""),"Oregon Trail School District 46")</f>
        <v>Oregon Trail School District 46</v>
      </c>
      <c r="M3198" s="6" t="str">
        <f>IFERROR(__xludf.DUMMYFUNCTION("""COMPUTED_VALUE"""),"Kelso Elementary School")</f>
        <v>Kelso Elementary School</v>
      </c>
      <c r="N3198" s="6" t="str">
        <f>IFERROR(__xludf.DUMMYFUNCTION("""COMPUTED_VALUE"""),"")</f>
        <v/>
      </c>
      <c r="O3198" s="87" t="str">
        <f>IFERROR(__xludf.DUMMYFUNCTION("""COMPUTED_VALUE"""),"https://drive.google.com/drive/folders/10T2cTQHqEJZqE-st6uFKPoI?usp=share_link")</f>
        <v>https://drive.google.com/drive/folders/10T2cTQHqEJZqE-st6uFKPoI?usp=share_link</v>
      </c>
      <c r="P3198" s="6" t="str">
        <f>IFERROR(__xludf.DUMMYFUNCTION("""COMPUTED_VALUE"""),"Landon Oster")</f>
        <v>Landon Oster</v>
      </c>
      <c r="Q3198" s="6" t="str">
        <f>IFERROR(__xludf.DUMMYFUNCTION("""COMPUTED_VALUE"""),"L1")</f>
        <v>L1</v>
      </c>
      <c r="R3198" s="6">
        <f>IFERROR(__xludf.DUMMYFUNCTION("""COMPUTED_VALUE"""),1.0)</f>
        <v>1</v>
      </c>
      <c r="S3198" s="6" t="str">
        <f>IFERROR(__xludf.DUMMYFUNCTION("""COMPUTED_VALUE"""),"Marisa Hazelton")</f>
        <v>Marisa Hazelton</v>
      </c>
      <c r="T3198" s="6" t="str">
        <f>IFERROR(__xludf.DUMMYFUNCTION("""COMPUTED_VALUE"""),"marisa.hazelton@ortrail.k12.or.us")</f>
        <v>marisa.hazelton@ortrail.k12.or.us</v>
      </c>
      <c r="U3198" s="6" t="str">
        <f>IFERROR(__xludf.DUMMYFUNCTION("""COMPUTED_VALUE"""),"3")</f>
        <v>3</v>
      </c>
      <c r="V3198" s="6" t="str">
        <f>IFERROR(__xludf.DUMMYFUNCTION("""COMPUTED_VALUE"""),"English")</f>
        <v>English</v>
      </c>
      <c r="W3198" s="6" t="str">
        <f>IFERROR(__xludf.DUMMYFUNCTION("""COMPUTED_VALUE"""),"[]")</f>
        <v>[]</v>
      </c>
      <c r="X3198" s="6" t="str">
        <f>IFERROR(__xludf.DUMMYFUNCTION("""COMPUTED_VALUE"""),"Enrolled")</f>
        <v>Enrolled</v>
      </c>
    </row>
    <row r="3199">
      <c r="A3199" s="6" t="str">
        <f>IFERROR(__xludf.DUMMYFUNCTION("""COMPUTED_VALUE"""),"064-5999")</f>
        <v>064-5999</v>
      </c>
      <c r="B3199" s="6" t="str">
        <f>IFERROR(__xludf.DUMMYFUNCTION("""COMPUTED_VALUE"""),"64")</f>
        <v>64</v>
      </c>
      <c r="C3199" s="6" t="str">
        <f>IFERROR(__xludf.DUMMYFUNCTION("""COMPUTED_VALUE"""),"5999")</f>
        <v>5999</v>
      </c>
      <c r="D3199" s="6" t="str">
        <f>IFERROR(__xludf.DUMMYFUNCTION("""COMPUTED_VALUE"""),"Lucas")</f>
        <v>Lucas</v>
      </c>
      <c r="E3199" s="6" t="str">
        <f>IFERROR(__xludf.DUMMYFUNCTION("""COMPUTED_VALUE"""),"")</f>
        <v/>
      </c>
      <c r="F3199" s="6" t="str">
        <f>IFERROR(__xludf.DUMMYFUNCTION("""COMPUTED_VALUE"""),"Partipilo")</f>
        <v>Partipilo</v>
      </c>
      <c r="G3199" s="6" t="str">
        <f>IFERROR(__xludf.DUMMYFUNCTION("""COMPUTED_VALUE"""),"11/24/2016")</f>
        <v>11/24/2016</v>
      </c>
      <c r="H3199" s="6" t="str">
        <f>IFERROR(__xludf.DUMMYFUNCTION("""COMPUTED_VALUE"""),"Self Identify")</f>
        <v>Self Identify</v>
      </c>
      <c r="I3199" s="6" t="str">
        <f>IFERROR(__xludf.DUMMYFUNCTION("""COMPUTED_VALUE"""),"Level 1")</f>
        <v>Level 1</v>
      </c>
      <c r="J3199" s="6" t="str">
        <f>IFERROR(__xludf.DUMMYFUNCTION("""COMPUTED_VALUE"""),"3")</f>
        <v>3</v>
      </c>
      <c r="K3199" s="6" t="str">
        <f>IFERROR(__xludf.DUMMYFUNCTION("""COMPUTED_VALUE"""),"luke_partipilo@stu.ortrail.k12.or.us")</f>
        <v>luke_partipilo@stu.ortrail.k12.or.us</v>
      </c>
      <c r="L3199" s="6" t="str">
        <f>IFERROR(__xludf.DUMMYFUNCTION("""COMPUTED_VALUE"""),"Oregon Trail School District 46")</f>
        <v>Oregon Trail School District 46</v>
      </c>
      <c r="M3199" s="6" t="str">
        <f>IFERROR(__xludf.DUMMYFUNCTION("""COMPUTED_VALUE"""),"Kelso Elementary School")</f>
        <v>Kelso Elementary School</v>
      </c>
      <c r="N3199" s="6" t="str">
        <f>IFERROR(__xludf.DUMMYFUNCTION("""COMPUTED_VALUE"""),"")</f>
        <v/>
      </c>
      <c r="O3199" s="87" t="str">
        <f>IFERROR(__xludf.DUMMYFUNCTION("""COMPUTED_VALUE"""),"https://drive.google.com/drive/folders/10T2cTQHqEJZqE-st6uFKPoI?usp=share_link")</f>
        <v>https://drive.google.com/drive/folders/10T2cTQHqEJZqE-st6uFKPoI?usp=share_link</v>
      </c>
      <c r="P3199" s="6" t="str">
        <f>IFERROR(__xludf.DUMMYFUNCTION("""COMPUTED_VALUE"""),"Lucas Partipilo")</f>
        <v>Lucas Partipilo</v>
      </c>
      <c r="Q3199" s="6" t="str">
        <f>IFERROR(__xludf.DUMMYFUNCTION("""COMPUTED_VALUE"""),"L1")</f>
        <v>L1</v>
      </c>
      <c r="R3199" s="6">
        <f>IFERROR(__xludf.DUMMYFUNCTION("""COMPUTED_VALUE"""),1.0)</f>
        <v>1</v>
      </c>
      <c r="S3199" s="6" t="str">
        <f>IFERROR(__xludf.DUMMYFUNCTION("""COMPUTED_VALUE"""),"Marisa Hazelton")</f>
        <v>Marisa Hazelton</v>
      </c>
      <c r="T3199" s="6" t="str">
        <f>IFERROR(__xludf.DUMMYFUNCTION("""COMPUTED_VALUE"""),"marisa.hazelton@ortrail.k12.or.us")</f>
        <v>marisa.hazelton@ortrail.k12.or.us</v>
      </c>
      <c r="U3199" s="6" t="str">
        <f>IFERROR(__xludf.DUMMYFUNCTION("""COMPUTED_VALUE"""),"3")</f>
        <v>3</v>
      </c>
      <c r="V3199" s="6" t="str">
        <f>IFERROR(__xludf.DUMMYFUNCTION("""COMPUTED_VALUE"""),"English")</f>
        <v>English</v>
      </c>
      <c r="W3199" s="6" t="str">
        <f>IFERROR(__xludf.DUMMYFUNCTION("""COMPUTED_VALUE"""),"[]")</f>
        <v>[]</v>
      </c>
      <c r="X3199" s="6" t="str">
        <f>IFERROR(__xludf.DUMMYFUNCTION("""COMPUTED_VALUE"""),"Enrolled")</f>
        <v>Enrolled</v>
      </c>
    </row>
    <row r="3200">
      <c r="A3200" s="6" t="str">
        <f>IFERROR(__xludf.DUMMYFUNCTION("""COMPUTED_VALUE"""),"064-6063")</f>
        <v>064-6063</v>
      </c>
      <c r="B3200" s="6" t="str">
        <f>IFERROR(__xludf.DUMMYFUNCTION("""COMPUTED_VALUE"""),"64")</f>
        <v>64</v>
      </c>
      <c r="C3200" s="6" t="str">
        <f>IFERROR(__xludf.DUMMYFUNCTION("""COMPUTED_VALUE"""),"6063")</f>
        <v>6063</v>
      </c>
      <c r="D3200" s="6" t="str">
        <f>IFERROR(__xludf.DUMMYFUNCTION("""COMPUTED_VALUE"""),"Emma")</f>
        <v>Emma</v>
      </c>
      <c r="E3200" s="6" t="str">
        <f>IFERROR(__xludf.DUMMYFUNCTION("""COMPUTED_VALUE"""),"")</f>
        <v/>
      </c>
      <c r="F3200" s="6" t="str">
        <f>IFERROR(__xludf.DUMMYFUNCTION("""COMPUTED_VALUE"""),"Peterkin")</f>
        <v>Peterkin</v>
      </c>
      <c r="G3200" s="6" t="str">
        <f>IFERROR(__xludf.DUMMYFUNCTION("""COMPUTED_VALUE"""),"07/25/2017")</f>
        <v>07/25/2017</v>
      </c>
      <c r="H3200" s="6" t="str">
        <f>IFERROR(__xludf.DUMMYFUNCTION("""COMPUTED_VALUE"""),"Self Identify")</f>
        <v>Self Identify</v>
      </c>
      <c r="I3200" s="6" t="str">
        <f>IFERROR(__xludf.DUMMYFUNCTION("""COMPUTED_VALUE"""),"Level 1")</f>
        <v>Level 1</v>
      </c>
      <c r="J3200" s="6" t="str">
        <f>IFERROR(__xludf.DUMMYFUNCTION("""COMPUTED_VALUE"""),"3")</f>
        <v>3</v>
      </c>
      <c r="K3200" s="6" t="str">
        <f>IFERROR(__xludf.DUMMYFUNCTION("""COMPUTED_VALUE"""),"emma_peterkin@stu.ortrail.k12.or.us")</f>
        <v>emma_peterkin@stu.ortrail.k12.or.us</v>
      </c>
      <c r="L3200" s="6" t="str">
        <f>IFERROR(__xludf.DUMMYFUNCTION("""COMPUTED_VALUE"""),"Oregon Trail School District 46")</f>
        <v>Oregon Trail School District 46</v>
      </c>
      <c r="M3200" s="6" t="str">
        <f>IFERROR(__xludf.DUMMYFUNCTION("""COMPUTED_VALUE"""),"Kelso Elementary School")</f>
        <v>Kelso Elementary School</v>
      </c>
      <c r="N3200" s="6" t="str">
        <f>IFERROR(__xludf.DUMMYFUNCTION("""COMPUTED_VALUE"""),"")</f>
        <v/>
      </c>
      <c r="O3200" s="87" t="str">
        <f>IFERROR(__xludf.DUMMYFUNCTION("""COMPUTED_VALUE"""),"https://drive.google.com/drive/folders/10T2cTQHqEJZqE-st6uFKPoI?usp=share_link")</f>
        <v>https://drive.google.com/drive/folders/10T2cTQHqEJZqE-st6uFKPoI?usp=share_link</v>
      </c>
      <c r="P3200" s="6" t="str">
        <f>IFERROR(__xludf.DUMMYFUNCTION("""COMPUTED_VALUE"""),"Emma Peterkin")</f>
        <v>Emma Peterkin</v>
      </c>
      <c r="Q3200" s="6" t="str">
        <f>IFERROR(__xludf.DUMMYFUNCTION("""COMPUTED_VALUE"""),"L1")</f>
        <v>L1</v>
      </c>
      <c r="R3200" s="6">
        <f>IFERROR(__xludf.DUMMYFUNCTION("""COMPUTED_VALUE"""),1.0)</f>
        <v>1</v>
      </c>
      <c r="S3200" s="6" t="str">
        <f>IFERROR(__xludf.DUMMYFUNCTION("""COMPUTED_VALUE"""),"Lindsay Jacksha")</f>
        <v>Lindsay Jacksha</v>
      </c>
      <c r="T3200" s="6" t="str">
        <f>IFERROR(__xludf.DUMMYFUNCTION("""COMPUTED_VALUE"""),"lindsay.jacksha@ortrail.k12.or.us")</f>
        <v>lindsay.jacksha@ortrail.k12.or.us</v>
      </c>
      <c r="U3200" s="6" t="str">
        <f>IFERROR(__xludf.DUMMYFUNCTION("""COMPUTED_VALUE"""),"3")</f>
        <v>3</v>
      </c>
      <c r="V3200" s="6" t="str">
        <f>IFERROR(__xludf.DUMMYFUNCTION("""COMPUTED_VALUE"""),"English")</f>
        <v>English</v>
      </c>
      <c r="W3200" s="6" t="str">
        <f>IFERROR(__xludf.DUMMYFUNCTION("""COMPUTED_VALUE"""),"[]")</f>
        <v>[]</v>
      </c>
      <c r="X3200" s="6" t="str">
        <f>IFERROR(__xludf.DUMMYFUNCTION("""COMPUTED_VALUE"""),"Enrolled")</f>
        <v>Enrolled</v>
      </c>
    </row>
    <row r="3201">
      <c r="A3201" s="6" t="str">
        <f>IFERROR(__xludf.DUMMYFUNCTION("""COMPUTED_VALUE"""),"064-6064")</f>
        <v>064-6064</v>
      </c>
      <c r="B3201" s="6" t="str">
        <f>IFERROR(__xludf.DUMMYFUNCTION("""COMPUTED_VALUE"""),"64")</f>
        <v>64</v>
      </c>
      <c r="C3201" s="6" t="str">
        <f>IFERROR(__xludf.DUMMYFUNCTION("""COMPUTED_VALUE"""),"6064")</f>
        <v>6064</v>
      </c>
      <c r="D3201" s="6" t="str">
        <f>IFERROR(__xludf.DUMMYFUNCTION("""COMPUTED_VALUE"""),"Bryce")</f>
        <v>Bryce</v>
      </c>
      <c r="E3201" s="6" t="str">
        <f>IFERROR(__xludf.DUMMYFUNCTION("""COMPUTED_VALUE"""),"")</f>
        <v/>
      </c>
      <c r="F3201" s="6" t="str">
        <f>IFERROR(__xludf.DUMMYFUNCTION("""COMPUTED_VALUE"""),"Queen")</f>
        <v>Queen</v>
      </c>
      <c r="G3201" s="6" t="str">
        <f>IFERROR(__xludf.DUMMYFUNCTION("""COMPUTED_VALUE"""),"10/08/2016")</f>
        <v>10/08/2016</v>
      </c>
      <c r="H3201" s="6" t="str">
        <f>IFERROR(__xludf.DUMMYFUNCTION("""COMPUTED_VALUE"""),"Self Identify")</f>
        <v>Self Identify</v>
      </c>
      <c r="I3201" s="6" t="str">
        <f>IFERROR(__xludf.DUMMYFUNCTION("""COMPUTED_VALUE"""),"Level 1")</f>
        <v>Level 1</v>
      </c>
      <c r="J3201" s="6" t="str">
        <f>IFERROR(__xludf.DUMMYFUNCTION("""COMPUTED_VALUE"""),"3")</f>
        <v>3</v>
      </c>
      <c r="K3201" s="6" t="str">
        <f>IFERROR(__xludf.DUMMYFUNCTION("""COMPUTED_VALUE"""),"bryce_queen@stu.ortrail.k12.or.us")</f>
        <v>bryce_queen@stu.ortrail.k12.or.us</v>
      </c>
      <c r="L3201" s="6" t="str">
        <f>IFERROR(__xludf.DUMMYFUNCTION("""COMPUTED_VALUE"""),"Oregon Trail School District 46")</f>
        <v>Oregon Trail School District 46</v>
      </c>
      <c r="M3201" s="6" t="str">
        <f>IFERROR(__xludf.DUMMYFUNCTION("""COMPUTED_VALUE"""),"Kelso Elementary School")</f>
        <v>Kelso Elementary School</v>
      </c>
      <c r="N3201" s="6" t="str">
        <f>IFERROR(__xludf.DUMMYFUNCTION("""COMPUTED_VALUE"""),"")</f>
        <v/>
      </c>
      <c r="O3201" s="87" t="str">
        <f>IFERROR(__xludf.DUMMYFUNCTION("""COMPUTED_VALUE"""),"https://drive.google.com/drive/folders/10T2cTQHqEJZqE-st6uFKPoI?usp=share_link")</f>
        <v>https://drive.google.com/drive/folders/10T2cTQHqEJZqE-st6uFKPoI?usp=share_link</v>
      </c>
      <c r="P3201" s="6" t="str">
        <f>IFERROR(__xludf.DUMMYFUNCTION("""COMPUTED_VALUE"""),"Bryce Queen")</f>
        <v>Bryce Queen</v>
      </c>
      <c r="Q3201" s="6" t="str">
        <f>IFERROR(__xludf.DUMMYFUNCTION("""COMPUTED_VALUE"""),"L1")</f>
        <v>L1</v>
      </c>
      <c r="R3201" s="6">
        <f>IFERROR(__xludf.DUMMYFUNCTION("""COMPUTED_VALUE"""),1.0)</f>
        <v>1</v>
      </c>
      <c r="S3201" s="6" t="str">
        <f>IFERROR(__xludf.DUMMYFUNCTION("""COMPUTED_VALUE"""),"Marisa Hazelton")</f>
        <v>Marisa Hazelton</v>
      </c>
      <c r="T3201" s="6" t="str">
        <f>IFERROR(__xludf.DUMMYFUNCTION("""COMPUTED_VALUE"""),"marisa.hazelton@ortrail.k12.or.us")</f>
        <v>marisa.hazelton@ortrail.k12.or.us</v>
      </c>
      <c r="U3201" s="6" t="str">
        <f>IFERROR(__xludf.DUMMYFUNCTION("""COMPUTED_VALUE"""),"3")</f>
        <v>3</v>
      </c>
      <c r="V3201" s="6" t="str">
        <f>IFERROR(__xludf.DUMMYFUNCTION("""COMPUTED_VALUE"""),"English")</f>
        <v>English</v>
      </c>
      <c r="W3201" s="6" t="str">
        <f>IFERROR(__xludf.DUMMYFUNCTION("""COMPUTED_VALUE"""),"[]")</f>
        <v>[]</v>
      </c>
      <c r="X3201" s="6" t="str">
        <f>IFERROR(__xludf.DUMMYFUNCTION("""COMPUTED_VALUE"""),"Enrolled")</f>
        <v>Enrolled</v>
      </c>
    </row>
    <row r="3202">
      <c r="A3202" s="6" t="str">
        <f>IFERROR(__xludf.DUMMYFUNCTION("""COMPUTED_VALUE"""),"064-6065")</f>
        <v>064-6065</v>
      </c>
      <c r="B3202" s="6" t="str">
        <f>IFERROR(__xludf.DUMMYFUNCTION("""COMPUTED_VALUE"""),"64")</f>
        <v>64</v>
      </c>
      <c r="C3202" s="6" t="str">
        <f>IFERROR(__xludf.DUMMYFUNCTION("""COMPUTED_VALUE"""),"6065")</f>
        <v>6065</v>
      </c>
      <c r="D3202" s="6" t="str">
        <f>IFERROR(__xludf.DUMMYFUNCTION("""COMPUTED_VALUE"""),"Alder")</f>
        <v>Alder</v>
      </c>
      <c r="E3202" s="6" t="str">
        <f>IFERROR(__xludf.DUMMYFUNCTION("""COMPUTED_VALUE"""),"")</f>
        <v/>
      </c>
      <c r="F3202" s="6" t="str">
        <f>IFERROR(__xludf.DUMMYFUNCTION("""COMPUTED_VALUE"""),"Richards")</f>
        <v>Richards</v>
      </c>
      <c r="G3202" s="6" t="str">
        <f>IFERROR(__xludf.DUMMYFUNCTION("""COMPUTED_VALUE"""),"11/13/2016")</f>
        <v>11/13/2016</v>
      </c>
      <c r="H3202" s="6" t="str">
        <f>IFERROR(__xludf.DUMMYFUNCTION("""COMPUTED_VALUE"""),"Self Identify")</f>
        <v>Self Identify</v>
      </c>
      <c r="I3202" s="6" t="str">
        <f>IFERROR(__xludf.DUMMYFUNCTION("""COMPUTED_VALUE"""),"Level 1")</f>
        <v>Level 1</v>
      </c>
      <c r="J3202" s="6" t="str">
        <f>IFERROR(__xludf.DUMMYFUNCTION("""COMPUTED_VALUE"""),"3")</f>
        <v>3</v>
      </c>
      <c r="K3202" s="6" t="str">
        <f>IFERROR(__xludf.DUMMYFUNCTION("""COMPUTED_VALUE"""),"alder_richards@stu.ortrail.k12.or.us")</f>
        <v>alder_richards@stu.ortrail.k12.or.us</v>
      </c>
      <c r="L3202" s="6" t="str">
        <f>IFERROR(__xludf.DUMMYFUNCTION("""COMPUTED_VALUE"""),"Oregon Trail School District 46")</f>
        <v>Oregon Trail School District 46</v>
      </c>
      <c r="M3202" s="6" t="str">
        <f>IFERROR(__xludf.DUMMYFUNCTION("""COMPUTED_VALUE"""),"Kelso Elementary School")</f>
        <v>Kelso Elementary School</v>
      </c>
      <c r="N3202" s="6" t="str">
        <f>IFERROR(__xludf.DUMMYFUNCTION("""COMPUTED_VALUE"""),"")</f>
        <v/>
      </c>
      <c r="O3202" s="87" t="str">
        <f>IFERROR(__xludf.DUMMYFUNCTION("""COMPUTED_VALUE"""),"https://drive.google.com/drive/folders/10T2cTQHqEJZqE-st6uFKPoI?usp=share_link")</f>
        <v>https://drive.google.com/drive/folders/10T2cTQHqEJZqE-st6uFKPoI?usp=share_link</v>
      </c>
      <c r="P3202" s="6" t="str">
        <f>IFERROR(__xludf.DUMMYFUNCTION("""COMPUTED_VALUE"""),"Alder Richards")</f>
        <v>Alder Richards</v>
      </c>
      <c r="Q3202" s="6" t="str">
        <f>IFERROR(__xludf.DUMMYFUNCTION("""COMPUTED_VALUE"""),"L1")</f>
        <v>L1</v>
      </c>
      <c r="R3202" s="6">
        <f>IFERROR(__xludf.DUMMYFUNCTION("""COMPUTED_VALUE"""),1.0)</f>
        <v>1</v>
      </c>
      <c r="S3202" s="6" t="str">
        <f>IFERROR(__xludf.DUMMYFUNCTION("""COMPUTED_VALUE"""),"Lindsay Jacksha")</f>
        <v>Lindsay Jacksha</v>
      </c>
      <c r="T3202" s="6" t="str">
        <f>IFERROR(__xludf.DUMMYFUNCTION("""COMPUTED_VALUE"""),"lindsay.jacksha@ortrail.k12.or.us")</f>
        <v>lindsay.jacksha@ortrail.k12.or.us</v>
      </c>
      <c r="U3202" s="6" t="str">
        <f>IFERROR(__xludf.DUMMYFUNCTION("""COMPUTED_VALUE"""),"3")</f>
        <v>3</v>
      </c>
      <c r="V3202" s="6" t="str">
        <f>IFERROR(__xludf.DUMMYFUNCTION("""COMPUTED_VALUE"""),"English")</f>
        <v>English</v>
      </c>
      <c r="W3202" s="6" t="str">
        <f>IFERROR(__xludf.DUMMYFUNCTION("""COMPUTED_VALUE"""),"[]")</f>
        <v>[]</v>
      </c>
      <c r="X3202" s="6" t="str">
        <f>IFERROR(__xludf.DUMMYFUNCTION("""COMPUTED_VALUE"""),"Enrolled")</f>
        <v>Enrolled</v>
      </c>
    </row>
    <row r="3203">
      <c r="A3203" s="6" t="str">
        <f>IFERROR(__xludf.DUMMYFUNCTION("""COMPUTED_VALUE"""),"064-6066")</f>
        <v>064-6066</v>
      </c>
      <c r="B3203" s="6" t="str">
        <f>IFERROR(__xludf.DUMMYFUNCTION("""COMPUTED_VALUE"""),"64")</f>
        <v>64</v>
      </c>
      <c r="C3203" s="6" t="str">
        <f>IFERROR(__xludf.DUMMYFUNCTION("""COMPUTED_VALUE"""),"6066")</f>
        <v>6066</v>
      </c>
      <c r="D3203" s="6" t="str">
        <f>IFERROR(__xludf.DUMMYFUNCTION("""COMPUTED_VALUE"""),"Blakely")</f>
        <v>Blakely</v>
      </c>
      <c r="E3203" s="6" t="str">
        <f>IFERROR(__xludf.DUMMYFUNCTION("""COMPUTED_VALUE"""),"")</f>
        <v/>
      </c>
      <c r="F3203" s="6" t="str">
        <f>IFERROR(__xludf.DUMMYFUNCTION("""COMPUTED_VALUE"""),"Roller")</f>
        <v>Roller</v>
      </c>
      <c r="G3203" s="6" t="str">
        <f>IFERROR(__xludf.DUMMYFUNCTION("""COMPUTED_VALUE"""),"09/16/2016")</f>
        <v>09/16/2016</v>
      </c>
      <c r="H3203" s="6" t="str">
        <f>IFERROR(__xludf.DUMMYFUNCTION("""COMPUTED_VALUE"""),"Self Identify")</f>
        <v>Self Identify</v>
      </c>
      <c r="I3203" s="6" t="str">
        <f>IFERROR(__xludf.DUMMYFUNCTION("""COMPUTED_VALUE"""),"Level 1")</f>
        <v>Level 1</v>
      </c>
      <c r="J3203" s="6" t="str">
        <f>IFERROR(__xludf.DUMMYFUNCTION("""COMPUTED_VALUE"""),"3")</f>
        <v>3</v>
      </c>
      <c r="K3203" s="6" t="str">
        <f>IFERROR(__xludf.DUMMYFUNCTION("""COMPUTED_VALUE"""),"blakely_roller@stu.ortrail.k12.or.us")</f>
        <v>blakely_roller@stu.ortrail.k12.or.us</v>
      </c>
      <c r="L3203" s="6" t="str">
        <f>IFERROR(__xludf.DUMMYFUNCTION("""COMPUTED_VALUE"""),"Oregon Trail School District 46")</f>
        <v>Oregon Trail School District 46</v>
      </c>
      <c r="M3203" s="6" t="str">
        <f>IFERROR(__xludf.DUMMYFUNCTION("""COMPUTED_VALUE"""),"Kelso Elementary School")</f>
        <v>Kelso Elementary School</v>
      </c>
      <c r="N3203" s="6" t="str">
        <f>IFERROR(__xludf.DUMMYFUNCTION("""COMPUTED_VALUE"""),"")</f>
        <v/>
      </c>
      <c r="O3203" s="87" t="str">
        <f>IFERROR(__xludf.DUMMYFUNCTION("""COMPUTED_VALUE"""),"https://drive.google.com/drive/folders/10T2cTQHqEJZqE-st6uFKPoI?usp=share_link")</f>
        <v>https://drive.google.com/drive/folders/10T2cTQHqEJZqE-st6uFKPoI?usp=share_link</v>
      </c>
      <c r="P3203" s="6" t="str">
        <f>IFERROR(__xludf.DUMMYFUNCTION("""COMPUTED_VALUE"""),"Blakely Roller")</f>
        <v>Blakely Roller</v>
      </c>
      <c r="Q3203" s="6" t="str">
        <f>IFERROR(__xludf.DUMMYFUNCTION("""COMPUTED_VALUE"""),"L1")</f>
        <v>L1</v>
      </c>
      <c r="R3203" s="6">
        <f>IFERROR(__xludf.DUMMYFUNCTION("""COMPUTED_VALUE"""),1.0)</f>
        <v>1</v>
      </c>
      <c r="S3203" s="6" t="str">
        <f>IFERROR(__xludf.DUMMYFUNCTION("""COMPUTED_VALUE"""),"Marisa Hazelton")</f>
        <v>Marisa Hazelton</v>
      </c>
      <c r="T3203" s="6" t="str">
        <f>IFERROR(__xludf.DUMMYFUNCTION("""COMPUTED_VALUE"""),"marisa.hazelton@ortrail.k12.or.us")</f>
        <v>marisa.hazelton@ortrail.k12.or.us</v>
      </c>
      <c r="U3203" s="6" t="str">
        <f>IFERROR(__xludf.DUMMYFUNCTION("""COMPUTED_VALUE"""),"3")</f>
        <v>3</v>
      </c>
      <c r="V3203" s="6" t="str">
        <f>IFERROR(__xludf.DUMMYFUNCTION("""COMPUTED_VALUE"""),"English")</f>
        <v>English</v>
      </c>
      <c r="W3203" s="6" t="str">
        <f>IFERROR(__xludf.DUMMYFUNCTION("""COMPUTED_VALUE"""),"[]")</f>
        <v>[]</v>
      </c>
      <c r="X3203" s="6" t="str">
        <f>IFERROR(__xludf.DUMMYFUNCTION("""COMPUTED_VALUE"""),"Enrolled")</f>
        <v>Enrolled</v>
      </c>
    </row>
    <row r="3204">
      <c r="A3204" s="6" t="str">
        <f>IFERROR(__xludf.DUMMYFUNCTION("""COMPUTED_VALUE"""),"064-6067")</f>
        <v>064-6067</v>
      </c>
      <c r="B3204" s="6" t="str">
        <f>IFERROR(__xludf.DUMMYFUNCTION("""COMPUTED_VALUE"""),"64")</f>
        <v>64</v>
      </c>
      <c r="C3204" s="6" t="str">
        <f>IFERROR(__xludf.DUMMYFUNCTION("""COMPUTED_VALUE"""),"6067")</f>
        <v>6067</v>
      </c>
      <c r="D3204" s="6" t="str">
        <f>IFERROR(__xludf.DUMMYFUNCTION("""COMPUTED_VALUE"""),"Kinsley")</f>
        <v>Kinsley</v>
      </c>
      <c r="E3204" s="6" t="str">
        <f>IFERROR(__xludf.DUMMYFUNCTION("""COMPUTED_VALUE"""),"")</f>
        <v/>
      </c>
      <c r="F3204" s="6" t="str">
        <f>IFERROR(__xludf.DUMMYFUNCTION("""COMPUTED_VALUE"""),"Roller")</f>
        <v>Roller</v>
      </c>
      <c r="G3204" s="6" t="str">
        <f>IFERROR(__xludf.DUMMYFUNCTION("""COMPUTED_VALUE"""),"09/16/2016")</f>
        <v>09/16/2016</v>
      </c>
      <c r="H3204" s="6" t="str">
        <f>IFERROR(__xludf.DUMMYFUNCTION("""COMPUTED_VALUE"""),"Self Identify")</f>
        <v>Self Identify</v>
      </c>
      <c r="I3204" s="6" t="str">
        <f>IFERROR(__xludf.DUMMYFUNCTION("""COMPUTED_VALUE"""),"Level 1")</f>
        <v>Level 1</v>
      </c>
      <c r="J3204" s="6" t="str">
        <f>IFERROR(__xludf.DUMMYFUNCTION("""COMPUTED_VALUE"""),"3")</f>
        <v>3</v>
      </c>
      <c r="K3204" s="6" t="str">
        <f>IFERROR(__xludf.DUMMYFUNCTION("""COMPUTED_VALUE"""),"kinsley_roller@stu.ortrail.k12.or.us")</f>
        <v>kinsley_roller@stu.ortrail.k12.or.us</v>
      </c>
      <c r="L3204" s="6" t="str">
        <f>IFERROR(__xludf.DUMMYFUNCTION("""COMPUTED_VALUE"""),"Oregon Trail School District 46")</f>
        <v>Oregon Trail School District 46</v>
      </c>
      <c r="M3204" s="6" t="str">
        <f>IFERROR(__xludf.DUMMYFUNCTION("""COMPUTED_VALUE"""),"Kelso Elementary School")</f>
        <v>Kelso Elementary School</v>
      </c>
      <c r="N3204" s="6" t="str">
        <f>IFERROR(__xludf.DUMMYFUNCTION("""COMPUTED_VALUE"""),"")</f>
        <v/>
      </c>
      <c r="O3204" s="87" t="str">
        <f>IFERROR(__xludf.DUMMYFUNCTION("""COMPUTED_VALUE"""),"https://drive.google.com/drive/folders/10T2cTQHqEJZqE-st6uFKPoI?usp=share_link")</f>
        <v>https://drive.google.com/drive/folders/10T2cTQHqEJZqE-st6uFKPoI?usp=share_link</v>
      </c>
      <c r="P3204" s="6" t="str">
        <f>IFERROR(__xludf.DUMMYFUNCTION("""COMPUTED_VALUE"""),"Kinsley Roller")</f>
        <v>Kinsley Roller</v>
      </c>
      <c r="Q3204" s="6" t="str">
        <f>IFERROR(__xludf.DUMMYFUNCTION("""COMPUTED_VALUE"""),"L1")</f>
        <v>L1</v>
      </c>
      <c r="R3204" s="6">
        <f>IFERROR(__xludf.DUMMYFUNCTION("""COMPUTED_VALUE"""),1.0)</f>
        <v>1</v>
      </c>
      <c r="S3204" s="6" t="str">
        <f>IFERROR(__xludf.DUMMYFUNCTION("""COMPUTED_VALUE"""),"Lindsay Jacksha")</f>
        <v>Lindsay Jacksha</v>
      </c>
      <c r="T3204" s="6" t="str">
        <f>IFERROR(__xludf.DUMMYFUNCTION("""COMPUTED_VALUE"""),"lindsay.jacksha@ortrail.k12.or.us")</f>
        <v>lindsay.jacksha@ortrail.k12.or.us</v>
      </c>
      <c r="U3204" s="6" t="str">
        <f>IFERROR(__xludf.DUMMYFUNCTION("""COMPUTED_VALUE"""),"3")</f>
        <v>3</v>
      </c>
      <c r="V3204" s="6" t="str">
        <f>IFERROR(__xludf.DUMMYFUNCTION("""COMPUTED_VALUE"""),"English")</f>
        <v>English</v>
      </c>
      <c r="W3204" s="6" t="str">
        <f>IFERROR(__xludf.DUMMYFUNCTION("""COMPUTED_VALUE"""),"[]")</f>
        <v>[]</v>
      </c>
      <c r="X3204" s="6" t="str">
        <f>IFERROR(__xludf.DUMMYFUNCTION("""COMPUTED_VALUE"""),"Enrolled")</f>
        <v>Enrolled</v>
      </c>
    </row>
    <row r="3205">
      <c r="A3205" s="6" t="str">
        <f>IFERROR(__xludf.DUMMYFUNCTION("""COMPUTED_VALUE"""),"064-6068")</f>
        <v>064-6068</v>
      </c>
      <c r="B3205" s="6" t="str">
        <f>IFERROR(__xludf.DUMMYFUNCTION("""COMPUTED_VALUE"""),"64")</f>
        <v>64</v>
      </c>
      <c r="C3205" s="6" t="str">
        <f>IFERROR(__xludf.DUMMYFUNCTION("""COMPUTED_VALUE"""),"6068")</f>
        <v>6068</v>
      </c>
      <c r="D3205" s="6" t="str">
        <f>IFERROR(__xludf.DUMMYFUNCTION("""COMPUTED_VALUE"""),"Leonardo")</f>
        <v>Leonardo</v>
      </c>
      <c r="E3205" s="6" t="str">
        <f>IFERROR(__xludf.DUMMYFUNCTION("""COMPUTED_VALUE"""),"")</f>
        <v/>
      </c>
      <c r="F3205" s="6" t="str">
        <f>IFERROR(__xludf.DUMMYFUNCTION("""COMPUTED_VALUE"""),"Ruttledge")</f>
        <v>Ruttledge</v>
      </c>
      <c r="G3205" s="6" t="str">
        <f>IFERROR(__xludf.DUMMYFUNCTION("""COMPUTED_VALUE"""),"01/05/2017")</f>
        <v>01/05/2017</v>
      </c>
      <c r="H3205" s="6" t="str">
        <f>IFERROR(__xludf.DUMMYFUNCTION("""COMPUTED_VALUE"""),"Self Identify")</f>
        <v>Self Identify</v>
      </c>
      <c r="I3205" s="6" t="str">
        <f>IFERROR(__xludf.DUMMYFUNCTION("""COMPUTED_VALUE"""),"Level 1")</f>
        <v>Level 1</v>
      </c>
      <c r="J3205" s="6" t="str">
        <f>IFERROR(__xludf.DUMMYFUNCTION("""COMPUTED_VALUE"""),"3")</f>
        <v>3</v>
      </c>
      <c r="K3205" s="6" t="str">
        <f>IFERROR(__xludf.DUMMYFUNCTION("""COMPUTED_VALUE"""),"leonardo_ruttledge@stu.ortrail.k12.or.us")</f>
        <v>leonardo_ruttledge@stu.ortrail.k12.or.us</v>
      </c>
      <c r="L3205" s="6" t="str">
        <f>IFERROR(__xludf.DUMMYFUNCTION("""COMPUTED_VALUE"""),"Oregon Trail School District 46")</f>
        <v>Oregon Trail School District 46</v>
      </c>
      <c r="M3205" s="6" t="str">
        <f>IFERROR(__xludf.DUMMYFUNCTION("""COMPUTED_VALUE"""),"Kelso Elementary School")</f>
        <v>Kelso Elementary School</v>
      </c>
      <c r="N3205" s="6" t="str">
        <f>IFERROR(__xludf.DUMMYFUNCTION("""COMPUTED_VALUE"""),"")</f>
        <v/>
      </c>
      <c r="O3205" s="87" t="str">
        <f>IFERROR(__xludf.DUMMYFUNCTION("""COMPUTED_VALUE"""),"https://drive.google.com/drive/folders/10T2cTQHqEJZqE-st6uFKPoI?usp=share_link")</f>
        <v>https://drive.google.com/drive/folders/10T2cTQHqEJZqE-st6uFKPoI?usp=share_link</v>
      </c>
      <c r="P3205" s="6" t="str">
        <f>IFERROR(__xludf.DUMMYFUNCTION("""COMPUTED_VALUE"""),"Leonardo Ruttledge")</f>
        <v>Leonardo Ruttledge</v>
      </c>
      <c r="Q3205" s="6" t="str">
        <f>IFERROR(__xludf.DUMMYFUNCTION("""COMPUTED_VALUE"""),"L1")</f>
        <v>L1</v>
      </c>
      <c r="R3205" s="6">
        <f>IFERROR(__xludf.DUMMYFUNCTION("""COMPUTED_VALUE"""),1.0)</f>
        <v>1</v>
      </c>
      <c r="S3205" s="6" t="str">
        <f>IFERROR(__xludf.DUMMYFUNCTION("""COMPUTED_VALUE"""),"Marisa Hazelton")</f>
        <v>Marisa Hazelton</v>
      </c>
      <c r="T3205" s="6" t="str">
        <f>IFERROR(__xludf.DUMMYFUNCTION("""COMPUTED_VALUE"""),"marisa.hazelton@ortrail.k12.or.us")</f>
        <v>marisa.hazelton@ortrail.k12.or.us</v>
      </c>
      <c r="U3205" s="6" t="str">
        <f>IFERROR(__xludf.DUMMYFUNCTION("""COMPUTED_VALUE"""),"3")</f>
        <v>3</v>
      </c>
      <c r="V3205" s="6" t="str">
        <f>IFERROR(__xludf.DUMMYFUNCTION("""COMPUTED_VALUE"""),"English")</f>
        <v>English</v>
      </c>
      <c r="W3205" s="6" t="str">
        <f>IFERROR(__xludf.DUMMYFUNCTION("""COMPUTED_VALUE"""),"[]")</f>
        <v>[]</v>
      </c>
      <c r="X3205" s="6" t="str">
        <f>IFERROR(__xludf.DUMMYFUNCTION("""COMPUTED_VALUE"""),"Enrolled")</f>
        <v>Enrolled</v>
      </c>
    </row>
    <row r="3206">
      <c r="A3206" s="6" t="str">
        <f>IFERROR(__xludf.DUMMYFUNCTION("""COMPUTED_VALUE"""),"064-6069")</f>
        <v>064-6069</v>
      </c>
      <c r="B3206" s="6" t="str">
        <f>IFERROR(__xludf.DUMMYFUNCTION("""COMPUTED_VALUE"""),"64")</f>
        <v>64</v>
      </c>
      <c r="C3206" s="6" t="str">
        <f>IFERROR(__xludf.DUMMYFUNCTION("""COMPUTED_VALUE"""),"6069")</f>
        <v>6069</v>
      </c>
      <c r="D3206" s="6" t="str">
        <f>IFERROR(__xludf.DUMMYFUNCTION("""COMPUTED_VALUE"""),"Sydney")</f>
        <v>Sydney</v>
      </c>
      <c r="E3206" s="6" t="str">
        <f>IFERROR(__xludf.DUMMYFUNCTION("""COMPUTED_VALUE"""),"")</f>
        <v/>
      </c>
      <c r="F3206" s="6" t="str">
        <f>IFERROR(__xludf.DUMMYFUNCTION("""COMPUTED_VALUE"""),"Sagiao")</f>
        <v>Sagiao</v>
      </c>
      <c r="G3206" s="6" t="str">
        <f>IFERROR(__xludf.DUMMYFUNCTION("""COMPUTED_VALUE"""),"08/29/2017")</f>
        <v>08/29/2017</v>
      </c>
      <c r="H3206" s="6" t="str">
        <f>IFERROR(__xludf.DUMMYFUNCTION("""COMPUTED_VALUE"""),"Self Identify")</f>
        <v>Self Identify</v>
      </c>
      <c r="I3206" s="6" t="str">
        <f>IFERROR(__xludf.DUMMYFUNCTION("""COMPUTED_VALUE"""),"Level 1")</f>
        <v>Level 1</v>
      </c>
      <c r="J3206" s="6" t="str">
        <f>IFERROR(__xludf.DUMMYFUNCTION("""COMPUTED_VALUE"""),"3")</f>
        <v>3</v>
      </c>
      <c r="K3206" s="6" t="str">
        <f>IFERROR(__xludf.DUMMYFUNCTION("""COMPUTED_VALUE"""),"sydney_sagiao@stu.ortrail.k12.or.us")</f>
        <v>sydney_sagiao@stu.ortrail.k12.or.us</v>
      </c>
      <c r="L3206" s="6" t="str">
        <f>IFERROR(__xludf.DUMMYFUNCTION("""COMPUTED_VALUE"""),"Oregon Trail School District 46")</f>
        <v>Oregon Trail School District 46</v>
      </c>
      <c r="M3206" s="6" t="str">
        <f>IFERROR(__xludf.DUMMYFUNCTION("""COMPUTED_VALUE"""),"Kelso Elementary School")</f>
        <v>Kelso Elementary School</v>
      </c>
      <c r="N3206" s="6" t="str">
        <f>IFERROR(__xludf.DUMMYFUNCTION("""COMPUTED_VALUE"""),"")</f>
        <v/>
      </c>
      <c r="O3206" s="87" t="str">
        <f>IFERROR(__xludf.DUMMYFUNCTION("""COMPUTED_VALUE"""),"https://drive.google.com/drive/folders/10T2cTQHqEJZqE-st6uFKPoI?usp=share_link")</f>
        <v>https://drive.google.com/drive/folders/10T2cTQHqEJZqE-st6uFKPoI?usp=share_link</v>
      </c>
      <c r="P3206" s="6" t="str">
        <f>IFERROR(__xludf.DUMMYFUNCTION("""COMPUTED_VALUE"""),"Sydney Sagiao")</f>
        <v>Sydney Sagiao</v>
      </c>
      <c r="Q3206" s="6" t="str">
        <f>IFERROR(__xludf.DUMMYFUNCTION("""COMPUTED_VALUE"""),"L1")</f>
        <v>L1</v>
      </c>
      <c r="R3206" s="6">
        <f>IFERROR(__xludf.DUMMYFUNCTION("""COMPUTED_VALUE"""),1.0)</f>
        <v>1</v>
      </c>
      <c r="S3206" s="6" t="str">
        <f>IFERROR(__xludf.DUMMYFUNCTION("""COMPUTED_VALUE"""),"Marisa Hazelton")</f>
        <v>Marisa Hazelton</v>
      </c>
      <c r="T3206" s="6" t="str">
        <f>IFERROR(__xludf.DUMMYFUNCTION("""COMPUTED_VALUE"""),"marisa.hazelton@ortrail.k12.or.us")</f>
        <v>marisa.hazelton@ortrail.k12.or.us</v>
      </c>
      <c r="U3206" s="6" t="str">
        <f>IFERROR(__xludf.DUMMYFUNCTION("""COMPUTED_VALUE"""),"3")</f>
        <v>3</v>
      </c>
      <c r="V3206" s="6" t="str">
        <f>IFERROR(__xludf.DUMMYFUNCTION("""COMPUTED_VALUE"""),"English")</f>
        <v>English</v>
      </c>
      <c r="W3206" s="6" t="str">
        <f>IFERROR(__xludf.DUMMYFUNCTION("""COMPUTED_VALUE"""),"[]")</f>
        <v>[]</v>
      </c>
      <c r="X3206" s="6" t="str">
        <f>IFERROR(__xludf.DUMMYFUNCTION("""COMPUTED_VALUE"""),"Enrolled")</f>
        <v>Enrolled</v>
      </c>
    </row>
    <row r="3207">
      <c r="A3207" s="6" t="str">
        <f>IFERROR(__xludf.DUMMYFUNCTION("""COMPUTED_VALUE"""),"064-6070")</f>
        <v>064-6070</v>
      </c>
      <c r="B3207" s="6" t="str">
        <f>IFERROR(__xludf.DUMMYFUNCTION("""COMPUTED_VALUE"""),"64")</f>
        <v>64</v>
      </c>
      <c r="C3207" s="6" t="str">
        <f>IFERROR(__xludf.DUMMYFUNCTION("""COMPUTED_VALUE"""),"6070")</f>
        <v>6070</v>
      </c>
      <c r="D3207" s="6" t="str">
        <f>IFERROR(__xludf.DUMMYFUNCTION("""COMPUTED_VALUE"""),"Layla")</f>
        <v>Layla</v>
      </c>
      <c r="E3207" s="6" t="str">
        <f>IFERROR(__xludf.DUMMYFUNCTION("""COMPUTED_VALUE"""),"")</f>
        <v/>
      </c>
      <c r="F3207" s="6" t="str">
        <f>IFERROR(__xludf.DUMMYFUNCTION("""COMPUTED_VALUE"""),"Seidel")</f>
        <v>Seidel</v>
      </c>
      <c r="G3207" s="6" t="str">
        <f>IFERROR(__xludf.DUMMYFUNCTION("""COMPUTED_VALUE"""),"04/27/2017")</f>
        <v>04/27/2017</v>
      </c>
      <c r="H3207" s="6" t="str">
        <f>IFERROR(__xludf.DUMMYFUNCTION("""COMPUTED_VALUE"""),"Self Identify")</f>
        <v>Self Identify</v>
      </c>
      <c r="I3207" s="6" t="str">
        <f>IFERROR(__xludf.DUMMYFUNCTION("""COMPUTED_VALUE"""),"Level 1")</f>
        <v>Level 1</v>
      </c>
      <c r="J3207" s="6" t="str">
        <f>IFERROR(__xludf.DUMMYFUNCTION("""COMPUTED_VALUE"""),"3")</f>
        <v>3</v>
      </c>
      <c r="K3207" s="6" t="str">
        <f>IFERROR(__xludf.DUMMYFUNCTION("""COMPUTED_VALUE"""),"layla_seidel@stu.ortrail.k12.or.us")</f>
        <v>layla_seidel@stu.ortrail.k12.or.us</v>
      </c>
      <c r="L3207" s="6" t="str">
        <f>IFERROR(__xludf.DUMMYFUNCTION("""COMPUTED_VALUE"""),"Oregon Trail School District 46")</f>
        <v>Oregon Trail School District 46</v>
      </c>
      <c r="M3207" s="6" t="str">
        <f>IFERROR(__xludf.DUMMYFUNCTION("""COMPUTED_VALUE"""),"Kelso Elementary School")</f>
        <v>Kelso Elementary School</v>
      </c>
      <c r="N3207" s="6" t="str">
        <f>IFERROR(__xludf.DUMMYFUNCTION("""COMPUTED_VALUE"""),"")</f>
        <v/>
      </c>
      <c r="O3207" s="87" t="str">
        <f>IFERROR(__xludf.DUMMYFUNCTION("""COMPUTED_VALUE"""),"https://drive.google.com/drive/folders/10T2cTQHqEJZqE-st6uFKPoI?usp=share_link")</f>
        <v>https://drive.google.com/drive/folders/10T2cTQHqEJZqE-st6uFKPoI?usp=share_link</v>
      </c>
      <c r="P3207" s="6" t="str">
        <f>IFERROR(__xludf.DUMMYFUNCTION("""COMPUTED_VALUE"""),"Layla Seidel")</f>
        <v>Layla Seidel</v>
      </c>
      <c r="Q3207" s="6" t="str">
        <f>IFERROR(__xludf.DUMMYFUNCTION("""COMPUTED_VALUE"""),"L1")</f>
        <v>L1</v>
      </c>
      <c r="R3207" s="6">
        <f>IFERROR(__xludf.DUMMYFUNCTION("""COMPUTED_VALUE"""),1.0)</f>
        <v>1</v>
      </c>
      <c r="S3207" s="6" t="str">
        <f>IFERROR(__xludf.DUMMYFUNCTION("""COMPUTED_VALUE"""),"Lindsay Jacksha")</f>
        <v>Lindsay Jacksha</v>
      </c>
      <c r="T3207" s="6" t="str">
        <f>IFERROR(__xludf.DUMMYFUNCTION("""COMPUTED_VALUE"""),"lindsay.jacksha@ortrail.k12.or.us")</f>
        <v>lindsay.jacksha@ortrail.k12.or.us</v>
      </c>
      <c r="U3207" s="6" t="str">
        <f>IFERROR(__xludf.DUMMYFUNCTION("""COMPUTED_VALUE"""),"3")</f>
        <v>3</v>
      </c>
      <c r="V3207" s="6" t="str">
        <f>IFERROR(__xludf.DUMMYFUNCTION("""COMPUTED_VALUE"""),"English")</f>
        <v>English</v>
      </c>
      <c r="W3207" s="6" t="str">
        <f>IFERROR(__xludf.DUMMYFUNCTION("""COMPUTED_VALUE"""),"[]")</f>
        <v>[]</v>
      </c>
      <c r="X3207" s="6" t="str">
        <f>IFERROR(__xludf.DUMMYFUNCTION("""COMPUTED_VALUE"""),"Enrolled")</f>
        <v>Enrolled</v>
      </c>
    </row>
    <row r="3208">
      <c r="A3208" s="6" t="str">
        <f>IFERROR(__xludf.DUMMYFUNCTION("""COMPUTED_VALUE"""),"064-6071")</f>
        <v>064-6071</v>
      </c>
      <c r="B3208" s="6" t="str">
        <f>IFERROR(__xludf.DUMMYFUNCTION("""COMPUTED_VALUE"""),"64")</f>
        <v>64</v>
      </c>
      <c r="C3208" s="6" t="str">
        <f>IFERROR(__xludf.DUMMYFUNCTION("""COMPUTED_VALUE"""),"6071")</f>
        <v>6071</v>
      </c>
      <c r="D3208" s="6" t="str">
        <f>IFERROR(__xludf.DUMMYFUNCTION("""COMPUTED_VALUE"""),"Nora")</f>
        <v>Nora</v>
      </c>
      <c r="E3208" s="6" t="str">
        <f>IFERROR(__xludf.DUMMYFUNCTION("""COMPUTED_VALUE"""),"")</f>
        <v/>
      </c>
      <c r="F3208" s="6" t="str">
        <f>IFERROR(__xludf.DUMMYFUNCTION("""COMPUTED_VALUE"""),"Shadden")</f>
        <v>Shadden</v>
      </c>
      <c r="G3208" s="6" t="str">
        <f>IFERROR(__xludf.DUMMYFUNCTION("""COMPUTED_VALUE"""),"08/18/2017")</f>
        <v>08/18/2017</v>
      </c>
      <c r="H3208" s="6" t="str">
        <f>IFERROR(__xludf.DUMMYFUNCTION("""COMPUTED_VALUE"""),"Self Identify")</f>
        <v>Self Identify</v>
      </c>
      <c r="I3208" s="6" t="str">
        <f>IFERROR(__xludf.DUMMYFUNCTION("""COMPUTED_VALUE"""),"Level 1")</f>
        <v>Level 1</v>
      </c>
      <c r="J3208" s="6" t="str">
        <f>IFERROR(__xludf.DUMMYFUNCTION("""COMPUTED_VALUE"""),"3")</f>
        <v>3</v>
      </c>
      <c r="K3208" s="6" t="str">
        <f>IFERROR(__xludf.DUMMYFUNCTION("""COMPUTED_VALUE"""),"nora_shadden@stu.ortrail.k12.or.us")</f>
        <v>nora_shadden@stu.ortrail.k12.or.us</v>
      </c>
      <c r="L3208" s="6" t="str">
        <f>IFERROR(__xludf.DUMMYFUNCTION("""COMPUTED_VALUE"""),"Oregon Trail School District 46")</f>
        <v>Oregon Trail School District 46</v>
      </c>
      <c r="M3208" s="6" t="str">
        <f>IFERROR(__xludf.DUMMYFUNCTION("""COMPUTED_VALUE"""),"Kelso Elementary School")</f>
        <v>Kelso Elementary School</v>
      </c>
      <c r="N3208" s="6" t="str">
        <f>IFERROR(__xludf.DUMMYFUNCTION("""COMPUTED_VALUE"""),"")</f>
        <v/>
      </c>
      <c r="O3208" s="87" t="str">
        <f>IFERROR(__xludf.DUMMYFUNCTION("""COMPUTED_VALUE"""),"https://drive.google.com/drive/folders/10T2cTQHqEJZqE-st6uFKPoI?usp=share_link")</f>
        <v>https://drive.google.com/drive/folders/10T2cTQHqEJZqE-st6uFKPoI?usp=share_link</v>
      </c>
      <c r="P3208" s="6" t="str">
        <f>IFERROR(__xludf.DUMMYFUNCTION("""COMPUTED_VALUE"""),"Nora Shadden")</f>
        <v>Nora Shadden</v>
      </c>
      <c r="Q3208" s="6" t="str">
        <f>IFERROR(__xludf.DUMMYFUNCTION("""COMPUTED_VALUE"""),"L1")</f>
        <v>L1</v>
      </c>
      <c r="R3208" s="6">
        <f>IFERROR(__xludf.DUMMYFUNCTION("""COMPUTED_VALUE"""),1.0)</f>
        <v>1</v>
      </c>
      <c r="S3208" s="6" t="str">
        <f>IFERROR(__xludf.DUMMYFUNCTION("""COMPUTED_VALUE"""),"Lindsay Jacksha")</f>
        <v>Lindsay Jacksha</v>
      </c>
      <c r="T3208" s="6" t="str">
        <f>IFERROR(__xludf.DUMMYFUNCTION("""COMPUTED_VALUE"""),"lindsay.jacksha@ortrail.k12.or.us")</f>
        <v>lindsay.jacksha@ortrail.k12.or.us</v>
      </c>
      <c r="U3208" s="6" t="str">
        <f>IFERROR(__xludf.DUMMYFUNCTION("""COMPUTED_VALUE"""),"3")</f>
        <v>3</v>
      </c>
      <c r="V3208" s="6" t="str">
        <f>IFERROR(__xludf.DUMMYFUNCTION("""COMPUTED_VALUE"""),"English")</f>
        <v>English</v>
      </c>
      <c r="W3208" s="6" t="str">
        <f>IFERROR(__xludf.DUMMYFUNCTION("""COMPUTED_VALUE"""),"[]")</f>
        <v>[]</v>
      </c>
      <c r="X3208" s="6" t="str">
        <f>IFERROR(__xludf.DUMMYFUNCTION("""COMPUTED_VALUE"""),"Enrolled")</f>
        <v>Enrolled</v>
      </c>
    </row>
    <row r="3209">
      <c r="A3209" s="6" t="str">
        <f>IFERROR(__xludf.DUMMYFUNCTION("""COMPUTED_VALUE"""),"064-6072")</f>
        <v>064-6072</v>
      </c>
      <c r="B3209" s="6" t="str">
        <f>IFERROR(__xludf.DUMMYFUNCTION("""COMPUTED_VALUE"""),"64")</f>
        <v>64</v>
      </c>
      <c r="C3209" s="6" t="str">
        <f>IFERROR(__xludf.DUMMYFUNCTION("""COMPUTED_VALUE"""),"6072")</f>
        <v>6072</v>
      </c>
      <c r="D3209" s="6" t="str">
        <f>IFERROR(__xludf.DUMMYFUNCTION("""COMPUTED_VALUE"""),"Ezra")</f>
        <v>Ezra</v>
      </c>
      <c r="E3209" s="6" t="str">
        <f>IFERROR(__xludf.DUMMYFUNCTION("""COMPUTED_VALUE"""),"")</f>
        <v/>
      </c>
      <c r="F3209" s="6" t="str">
        <f>IFERROR(__xludf.DUMMYFUNCTION("""COMPUTED_VALUE"""),"Simms")</f>
        <v>Simms</v>
      </c>
      <c r="G3209" s="6" t="str">
        <f>IFERROR(__xludf.DUMMYFUNCTION("""COMPUTED_VALUE"""),"01/23/2017")</f>
        <v>01/23/2017</v>
      </c>
      <c r="H3209" s="6" t="str">
        <f>IFERROR(__xludf.DUMMYFUNCTION("""COMPUTED_VALUE"""),"Self Identify")</f>
        <v>Self Identify</v>
      </c>
      <c r="I3209" s="6" t="str">
        <f>IFERROR(__xludf.DUMMYFUNCTION("""COMPUTED_VALUE"""),"Level 1")</f>
        <v>Level 1</v>
      </c>
      <c r="J3209" s="6" t="str">
        <f>IFERROR(__xludf.DUMMYFUNCTION("""COMPUTED_VALUE"""),"3")</f>
        <v>3</v>
      </c>
      <c r="K3209" s="6" t="str">
        <f>IFERROR(__xludf.DUMMYFUNCTION("""COMPUTED_VALUE"""),"ezra_simms@stu.ortrail.k12.or.us")</f>
        <v>ezra_simms@stu.ortrail.k12.or.us</v>
      </c>
      <c r="L3209" s="6" t="str">
        <f>IFERROR(__xludf.DUMMYFUNCTION("""COMPUTED_VALUE"""),"Oregon Trail School District 46")</f>
        <v>Oregon Trail School District 46</v>
      </c>
      <c r="M3209" s="6" t="str">
        <f>IFERROR(__xludf.DUMMYFUNCTION("""COMPUTED_VALUE"""),"Kelso Elementary School")</f>
        <v>Kelso Elementary School</v>
      </c>
      <c r="N3209" s="6" t="str">
        <f>IFERROR(__xludf.DUMMYFUNCTION("""COMPUTED_VALUE"""),"")</f>
        <v/>
      </c>
      <c r="O3209" s="87" t="str">
        <f>IFERROR(__xludf.DUMMYFUNCTION("""COMPUTED_VALUE"""),"https://drive.google.com/drive/folders/10T2cTQHqEJZqE-st6uFKPoI?usp=share_link")</f>
        <v>https://drive.google.com/drive/folders/10T2cTQHqEJZqE-st6uFKPoI?usp=share_link</v>
      </c>
      <c r="P3209" s="6" t="str">
        <f>IFERROR(__xludf.DUMMYFUNCTION("""COMPUTED_VALUE"""),"Ezra Simms")</f>
        <v>Ezra Simms</v>
      </c>
      <c r="Q3209" s="6" t="str">
        <f>IFERROR(__xludf.DUMMYFUNCTION("""COMPUTED_VALUE"""),"L1")</f>
        <v>L1</v>
      </c>
      <c r="R3209" s="6">
        <f>IFERROR(__xludf.DUMMYFUNCTION("""COMPUTED_VALUE"""),1.0)</f>
        <v>1</v>
      </c>
      <c r="S3209" s="6" t="str">
        <f>IFERROR(__xludf.DUMMYFUNCTION("""COMPUTED_VALUE"""),"Lindsay Jacksha")</f>
        <v>Lindsay Jacksha</v>
      </c>
      <c r="T3209" s="6" t="str">
        <f>IFERROR(__xludf.DUMMYFUNCTION("""COMPUTED_VALUE"""),"lindsay.jacksha@ortrail.k12.or.us")</f>
        <v>lindsay.jacksha@ortrail.k12.or.us</v>
      </c>
      <c r="U3209" s="6" t="str">
        <f>IFERROR(__xludf.DUMMYFUNCTION("""COMPUTED_VALUE"""),"3")</f>
        <v>3</v>
      </c>
      <c r="V3209" s="6" t="str">
        <f>IFERROR(__xludf.DUMMYFUNCTION("""COMPUTED_VALUE"""),"English")</f>
        <v>English</v>
      </c>
      <c r="W3209" s="6" t="str">
        <f>IFERROR(__xludf.DUMMYFUNCTION("""COMPUTED_VALUE"""),"[]")</f>
        <v>[]</v>
      </c>
      <c r="X3209" s="6" t="str">
        <f>IFERROR(__xludf.DUMMYFUNCTION("""COMPUTED_VALUE"""),"Enrolled")</f>
        <v>Enrolled</v>
      </c>
    </row>
    <row r="3210">
      <c r="A3210" s="6" t="str">
        <f>IFERROR(__xludf.DUMMYFUNCTION("""COMPUTED_VALUE"""),"064-6073")</f>
        <v>064-6073</v>
      </c>
      <c r="B3210" s="6" t="str">
        <f>IFERROR(__xludf.DUMMYFUNCTION("""COMPUTED_VALUE"""),"64")</f>
        <v>64</v>
      </c>
      <c r="C3210" s="6" t="str">
        <f>IFERROR(__xludf.DUMMYFUNCTION("""COMPUTED_VALUE"""),"6073")</f>
        <v>6073</v>
      </c>
      <c r="D3210" s="6" t="str">
        <f>IFERROR(__xludf.DUMMYFUNCTION("""COMPUTED_VALUE"""),"Bjorn")</f>
        <v>Bjorn</v>
      </c>
      <c r="E3210" s="6" t="str">
        <f>IFERROR(__xludf.DUMMYFUNCTION("""COMPUTED_VALUE"""),"")</f>
        <v/>
      </c>
      <c r="F3210" s="6" t="str">
        <f>IFERROR(__xludf.DUMMYFUNCTION("""COMPUTED_VALUE"""),"Spiel")</f>
        <v>Spiel</v>
      </c>
      <c r="G3210" s="6" t="str">
        <f>IFERROR(__xludf.DUMMYFUNCTION("""COMPUTED_VALUE"""),"05/28/2017")</f>
        <v>05/28/2017</v>
      </c>
      <c r="H3210" s="6" t="str">
        <f>IFERROR(__xludf.DUMMYFUNCTION("""COMPUTED_VALUE"""),"Self Identify")</f>
        <v>Self Identify</v>
      </c>
      <c r="I3210" s="6" t="str">
        <f>IFERROR(__xludf.DUMMYFUNCTION("""COMPUTED_VALUE"""),"Level 1")</f>
        <v>Level 1</v>
      </c>
      <c r="J3210" s="6" t="str">
        <f>IFERROR(__xludf.DUMMYFUNCTION("""COMPUTED_VALUE"""),"3")</f>
        <v>3</v>
      </c>
      <c r="K3210" s="6" t="str">
        <f>IFERROR(__xludf.DUMMYFUNCTION("""COMPUTED_VALUE"""),"bjorn_spiel@stu.ortrail.k12.or.us")</f>
        <v>bjorn_spiel@stu.ortrail.k12.or.us</v>
      </c>
      <c r="L3210" s="6" t="str">
        <f>IFERROR(__xludf.DUMMYFUNCTION("""COMPUTED_VALUE"""),"Oregon Trail School District 46")</f>
        <v>Oregon Trail School District 46</v>
      </c>
      <c r="M3210" s="6" t="str">
        <f>IFERROR(__xludf.DUMMYFUNCTION("""COMPUTED_VALUE"""),"Kelso Elementary School")</f>
        <v>Kelso Elementary School</v>
      </c>
      <c r="N3210" s="6" t="str">
        <f>IFERROR(__xludf.DUMMYFUNCTION("""COMPUTED_VALUE"""),"")</f>
        <v/>
      </c>
      <c r="O3210" s="87" t="str">
        <f>IFERROR(__xludf.DUMMYFUNCTION("""COMPUTED_VALUE"""),"https://drive.google.com/drive/folders/10T2cTQHqEJZqE-st6uFKPoI?usp=share_link")</f>
        <v>https://drive.google.com/drive/folders/10T2cTQHqEJZqE-st6uFKPoI?usp=share_link</v>
      </c>
      <c r="P3210" s="6" t="str">
        <f>IFERROR(__xludf.DUMMYFUNCTION("""COMPUTED_VALUE"""),"Bjorn Spiel")</f>
        <v>Bjorn Spiel</v>
      </c>
      <c r="Q3210" s="6" t="str">
        <f>IFERROR(__xludf.DUMMYFUNCTION("""COMPUTED_VALUE"""),"L1")</f>
        <v>L1</v>
      </c>
      <c r="R3210" s="6">
        <f>IFERROR(__xludf.DUMMYFUNCTION("""COMPUTED_VALUE"""),1.0)</f>
        <v>1</v>
      </c>
      <c r="S3210" s="6" t="str">
        <f>IFERROR(__xludf.DUMMYFUNCTION("""COMPUTED_VALUE"""),"Lindsay Jacksha")</f>
        <v>Lindsay Jacksha</v>
      </c>
      <c r="T3210" s="6" t="str">
        <f>IFERROR(__xludf.DUMMYFUNCTION("""COMPUTED_VALUE"""),"lindsay.jacksha@ortrail.k12.or.us")</f>
        <v>lindsay.jacksha@ortrail.k12.or.us</v>
      </c>
      <c r="U3210" s="6" t="str">
        <f>IFERROR(__xludf.DUMMYFUNCTION("""COMPUTED_VALUE"""),"3")</f>
        <v>3</v>
      </c>
      <c r="V3210" s="6" t="str">
        <f>IFERROR(__xludf.DUMMYFUNCTION("""COMPUTED_VALUE"""),"English")</f>
        <v>English</v>
      </c>
      <c r="W3210" s="6" t="str">
        <f>IFERROR(__xludf.DUMMYFUNCTION("""COMPUTED_VALUE"""),"[]")</f>
        <v>[]</v>
      </c>
      <c r="X3210" s="6" t="str">
        <f>IFERROR(__xludf.DUMMYFUNCTION("""COMPUTED_VALUE"""),"Enrolled")</f>
        <v>Enrolled</v>
      </c>
    </row>
    <row r="3211">
      <c r="A3211" s="6" t="str">
        <f>IFERROR(__xludf.DUMMYFUNCTION("""COMPUTED_VALUE"""),"064-6074")</f>
        <v>064-6074</v>
      </c>
      <c r="B3211" s="6" t="str">
        <f>IFERROR(__xludf.DUMMYFUNCTION("""COMPUTED_VALUE"""),"64")</f>
        <v>64</v>
      </c>
      <c r="C3211" s="6" t="str">
        <f>IFERROR(__xludf.DUMMYFUNCTION("""COMPUTED_VALUE"""),"6074")</f>
        <v>6074</v>
      </c>
      <c r="D3211" s="6" t="str">
        <f>IFERROR(__xludf.DUMMYFUNCTION("""COMPUTED_VALUE"""),"Oliver")</f>
        <v>Oliver</v>
      </c>
      <c r="E3211" s="6" t="str">
        <f>IFERROR(__xludf.DUMMYFUNCTION("""COMPUTED_VALUE"""),"")</f>
        <v/>
      </c>
      <c r="F3211" s="6" t="str">
        <f>IFERROR(__xludf.DUMMYFUNCTION("""COMPUTED_VALUE"""),"Spitzengel")</f>
        <v>Spitzengel</v>
      </c>
      <c r="G3211" s="6" t="str">
        <f>IFERROR(__xludf.DUMMYFUNCTION("""COMPUTED_VALUE"""),"02/01/2017")</f>
        <v>02/01/2017</v>
      </c>
      <c r="H3211" s="6" t="str">
        <f>IFERROR(__xludf.DUMMYFUNCTION("""COMPUTED_VALUE"""),"Self Identify")</f>
        <v>Self Identify</v>
      </c>
      <c r="I3211" s="6" t="str">
        <f>IFERROR(__xludf.DUMMYFUNCTION("""COMPUTED_VALUE"""),"Level 1")</f>
        <v>Level 1</v>
      </c>
      <c r="J3211" s="6" t="str">
        <f>IFERROR(__xludf.DUMMYFUNCTION("""COMPUTED_VALUE"""),"3")</f>
        <v>3</v>
      </c>
      <c r="K3211" s="6" t="str">
        <f>IFERROR(__xludf.DUMMYFUNCTION("""COMPUTED_VALUE"""),"oliver_spitzengel@stu.ortrail.k12.or.us")</f>
        <v>oliver_spitzengel@stu.ortrail.k12.or.us</v>
      </c>
      <c r="L3211" s="6" t="str">
        <f>IFERROR(__xludf.DUMMYFUNCTION("""COMPUTED_VALUE"""),"Oregon Trail School District 46")</f>
        <v>Oregon Trail School District 46</v>
      </c>
      <c r="M3211" s="6" t="str">
        <f>IFERROR(__xludf.DUMMYFUNCTION("""COMPUTED_VALUE"""),"Kelso Elementary School")</f>
        <v>Kelso Elementary School</v>
      </c>
      <c r="N3211" s="6" t="str">
        <f>IFERROR(__xludf.DUMMYFUNCTION("""COMPUTED_VALUE"""),"")</f>
        <v/>
      </c>
      <c r="O3211" s="87" t="str">
        <f>IFERROR(__xludf.DUMMYFUNCTION("""COMPUTED_VALUE"""),"https://drive.google.com/drive/folders/10T2cTQHqEJZqE-st6uFKPoI?usp=share_link")</f>
        <v>https://drive.google.com/drive/folders/10T2cTQHqEJZqE-st6uFKPoI?usp=share_link</v>
      </c>
      <c r="P3211" s="6" t="str">
        <f>IFERROR(__xludf.DUMMYFUNCTION("""COMPUTED_VALUE"""),"Oliver Spitzengel")</f>
        <v>Oliver Spitzengel</v>
      </c>
      <c r="Q3211" s="6" t="str">
        <f>IFERROR(__xludf.DUMMYFUNCTION("""COMPUTED_VALUE"""),"L1")</f>
        <v>L1</v>
      </c>
      <c r="R3211" s="6">
        <f>IFERROR(__xludf.DUMMYFUNCTION("""COMPUTED_VALUE"""),1.0)</f>
        <v>1</v>
      </c>
      <c r="S3211" s="6" t="str">
        <f>IFERROR(__xludf.DUMMYFUNCTION("""COMPUTED_VALUE"""),"Lindsay Jacksha")</f>
        <v>Lindsay Jacksha</v>
      </c>
      <c r="T3211" s="6" t="str">
        <f>IFERROR(__xludf.DUMMYFUNCTION("""COMPUTED_VALUE"""),"lindsay.jacksha@ortrail.k12.or.us")</f>
        <v>lindsay.jacksha@ortrail.k12.or.us</v>
      </c>
      <c r="U3211" s="6" t="str">
        <f>IFERROR(__xludf.DUMMYFUNCTION("""COMPUTED_VALUE"""),"3")</f>
        <v>3</v>
      </c>
      <c r="V3211" s="6" t="str">
        <f>IFERROR(__xludf.DUMMYFUNCTION("""COMPUTED_VALUE"""),"English")</f>
        <v>English</v>
      </c>
      <c r="W3211" s="6" t="str">
        <f>IFERROR(__xludf.DUMMYFUNCTION("""COMPUTED_VALUE"""),"[]")</f>
        <v>[]</v>
      </c>
      <c r="X3211" s="6" t="str">
        <f>IFERROR(__xludf.DUMMYFUNCTION("""COMPUTED_VALUE"""),"Enrolled")</f>
        <v>Enrolled</v>
      </c>
    </row>
    <row r="3212">
      <c r="A3212" s="6" t="str">
        <f>IFERROR(__xludf.DUMMYFUNCTION("""COMPUTED_VALUE"""),"064-6075")</f>
        <v>064-6075</v>
      </c>
      <c r="B3212" s="6" t="str">
        <f>IFERROR(__xludf.DUMMYFUNCTION("""COMPUTED_VALUE"""),"64")</f>
        <v>64</v>
      </c>
      <c r="C3212" s="6" t="str">
        <f>IFERROR(__xludf.DUMMYFUNCTION("""COMPUTED_VALUE"""),"6075")</f>
        <v>6075</v>
      </c>
      <c r="D3212" s="6" t="str">
        <f>IFERROR(__xludf.DUMMYFUNCTION("""COMPUTED_VALUE"""),"Ayvah")</f>
        <v>Ayvah</v>
      </c>
      <c r="E3212" s="6" t="str">
        <f>IFERROR(__xludf.DUMMYFUNCTION("""COMPUTED_VALUE"""),"")</f>
        <v/>
      </c>
      <c r="F3212" s="6" t="str">
        <f>IFERROR(__xludf.DUMMYFUNCTION("""COMPUTED_VALUE"""),"Strom")</f>
        <v>Strom</v>
      </c>
      <c r="G3212" s="6" t="str">
        <f>IFERROR(__xludf.DUMMYFUNCTION("""COMPUTED_VALUE"""),"09/15/2016")</f>
        <v>09/15/2016</v>
      </c>
      <c r="H3212" s="6" t="str">
        <f>IFERROR(__xludf.DUMMYFUNCTION("""COMPUTED_VALUE"""),"Self Identify")</f>
        <v>Self Identify</v>
      </c>
      <c r="I3212" s="6" t="str">
        <f>IFERROR(__xludf.DUMMYFUNCTION("""COMPUTED_VALUE"""),"Level 1")</f>
        <v>Level 1</v>
      </c>
      <c r="J3212" s="6" t="str">
        <f>IFERROR(__xludf.DUMMYFUNCTION("""COMPUTED_VALUE"""),"3")</f>
        <v>3</v>
      </c>
      <c r="K3212" s="6" t="str">
        <f>IFERROR(__xludf.DUMMYFUNCTION("""COMPUTED_VALUE"""),"ayvah_strom@stu.ortrail.k12.or.us")</f>
        <v>ayvah_strom@stu.ortrail.k12.or.us</v>
      </c>
      <c r="L3212" s="6" t="str">
        <f>IFERROR(__xludf.DUMMYFUNCTION("""COMPUTED_VALUE"""),"Oregon Trail School District 46")</f>
        <v>Oregon Trail School District 46</v>
      </c>
      <c r="M3212" s="6" t="str">
        <f>IFERROR(__xludf.DUMMYFUNCTION("""COMPUTED_VALUE"""),"Kelso Elementary School")</f>
        <v>Kelso Elementary School</v>
      </c>
      <c r="N3212" s="6" t="str">
        <f>IFERROR(__xludf.DUMMYFUNCTION("""COMPUTED_VALUE"""),"")</f>
        <v/>
      </c>
      <c r="O3212" s="87" t="str">
        <f>IFERROR(__xludf.DUMMYFUNCTION("""COMPUTED_VALUE"""),"https://drive.google.com/drive/folders/10T2cTQHqEJZqE-st6uFKPoI?usp=share_link")</f>
        <v>https://drive.google.com/drive/folders/10T2cTQHqEJZqE-st6uFKPoI?usp=share_link</v>
      </c>
      <c r="P3212" s="6" t="str">
        <f>IFERROR(__xludf.DUMMYFUNCTION("""COMPUTED_VALUE"""),"Ayvah Strom")</f>
        <v>Ayvah Strom</v>
      </c>
      <c r="Q3212" s="6" t="str">
        <f>IFERROR(__xludf.DUMMYFUNCTION("""COMPUTED_VALUE"""),"L1")</f>
        <v>L1</v>
      </c>
      <c r="R3212" s="6">
        <f>IFERROR(__xludf.DUMMYFUNCTION("""COMPUTED_VALUE"""),1.0)</f>
        <v>1</v>
      </c>
      <c r="S3212" s="6" t="str">
        <f>IFERROR(__xludf.DUMMYFUNCTION("""COMPUTED_VALUE"""),"Lindsay Jacksha")</f>
        <v>Lindsay Jacksha</v>
      </c>
      <c r="T3212" s="6" t="str">
        <f>IFERROR(__xludf.DUMMYFUNCTION("""COMPUTED_VALUE"""),"lindsay.jacksha@ortrail.k12.or.us")</f>
        <v>lindsay.jacksha@ortrail.k12.or.us</v>
      </c>
      <c r="U3212" s="6" t="str">
        <f>IFERROR(__xludf.DUMMYFUNCTION("""COMPUTED_VALUE"""),"3")</f>
        <v>3</v>
      </c>
      <c r="V3212" s="6" t="str">
        <f>IFERROR(__xludf.DUMMYFUNCTION("""COMPUTED_VALUE"""),"English")</f>
        <v>English</v>
      </c>
      <c r="W3212" s="6" t="str">
        <f>IFERROR(__xludf.DUMMYFUNCTION("""COMPUTED_VALUE"""),"[]")</f>
        <v>[]</v>
      </c>
      <c r="X3212" s="6" t="str">
        <f>IFERROR(__xludf.DUMMYFUNCTION("""COMPUTED_VALUE"""),"Enrolled")</f>
        <v>Enrolled</v>
      </c>
    </row>
    <row r="3213">
      <c r="A3213" s="6" t="str">
        <f>IFERROR(__xludf.DUMMYFUNCTION("""COMPUTED_VALUE"""),"064-6076")</f>
        <v>064-6076</v>
      </c>
      <c r="B3213" s="6" t="str">
        <f>IFERROR(__xludf.DUMMYFUNCTION("""COMPUTED_VALUE"""),"64")</f>
        <v>64</v>
      </c>
      <c r="C3213" s="6" t="str">
        <f>IFERROR(__xludf.DUMMYFUNCTION("""COMPUTED_VALUE"""),"6076")</f>
        <v>6076</v>
      </c>
      <c r="D3213" s="6" t="str">
        <f>IFERROR(__xludf.DUMMYFUNCTION("""COMPUTED_VALUE"""),"Paislee")</f>
        <v>Paislee</v>
      </c>
      <c r="E3213" s="6" t="str">
        <f>IFERROR(__xludf.DUMMYFUNCTION("""COMPUTED_VALUE"""),"")</f>
        <v/>
      </c>
      <c r="F3213" s="6" t="str">
        <f>IFERROR(__xludf.DUMMYFUNCTION("""COMPUTED_VALUE"""),"Thomas")</f>
        <v>Thomas</v>
      </c>
      <c r="G3213" s="6" t="str">
        <f>IFERROR(__xludf.DUMMYFUNCTION("""COMPUTED_VALUE"""),"04/19/2017")</f>
        <v>04/19/2017</v>
      </c>
      <c r="H3213" s="6" t="str">
        <f>IFERROR(__xludf.DUMMYFUNCTION("""COMPUTED_VALUE"""),"Self Identify")</f>
        <v>Self Identify</v>
      </c>
      <c r="I3213" s="6" t="str">
        <f>IFERROR(__xludf.DUMMYFUNCTION("""COMPUTED_VALUE"""),"Level 1")</f>
        <v>Level 1</v>
      </c>
      <c r="J3213" s="6" t="str">
        <f>IFERROR(__xludf.DUMMYFUNCTION("""COMPUTED_VALUE"""),"3")</f>
        <v>3</v>
      </c>
      <c r="K3213" s="6" t="str">
        <f>IFERROR(__xludf.DUMMYFUNCTION("""COMPUTED_VALUE"""),"paislee_thomas@stu.ortrail.k12.or.us")</f>
        <v>paislee_thomas@stu.ortrail.k12.or.us</v>
      </c>
      <c r="L3213" s="6" t="str">
        <f>IFERROR(__xludf.DUMMYFUNCTION("""COMPUTED_VALUE"""),"Oregon Trail School District 46")</f>
        <v>Oregon Trail School District 46</v>
      </c>
      <c r="M3213" s="6" t="str">
        <f>IFERROR(__xludf.DUMMYFUNCTION("""COMPUTED_VALUE"""),"Kelso Elementary School")</f>
        <v>Kelso Elementary School</v>
      </c>
      <c r="N3213" s="6" t="str">
        <f>IFERROR(__xludf.DUMMYFUNCTION("""COMPUTED_VALUE"""),"")</f>
        <v/>
      </c>
      <c r="O3213" s="87" t="str">
        <f>IFERROR(__xludf.DUMMYFUNCTION("""COMPUTED_VALUE"""),"https://drive.google.com/drive/folders/10T2cTQHqEJZqE-st6uFKPoI?usp=share_link")</f>
        <v>https://drive.google.com/drive/folders/10T2cTQHqEJZqE-st6uFKPoI?usp=share_link</v>
      </c>
      <c r="P3213" s="6" t="str">
        <f>IFERROR(__xludf.DUMMYFUNCTION("""COMPUTED_VALUE"""),"Paislee Thomas")</f>
        <v>Paislee Thomas</v>
      </c>
      <c r="Q3213" s="6" t="str">
        <f>IFERROR(__xludf.DUMMYFUNCTION("""COMPUTED_VALUE"""),"L1")</f>
        <v>L1</v>
      </c>
      <c r="R3213" s="6">
        <f>IFERROR(__xludf.DUMMYFUNCTION("""COMPUTED_VALUE"""),1.0)</f>
        <v>1</v>
      </c>
      <c r="S3213" s="6" t="str">
        <f>IFERROR(__xludf.DUMMYFUNCTION("""COMPUTED_VALUE"""),"Marisa Hazelton")</f>
        <v>Marisa Hazelton</v>
      </c>
      <c r="T3213" s="6" t="str">
        <f>IFERROR(__xludf.DUMMYFUNCTION("""COMPUTED_VALUE"""),"marisa.hazelton@ortrail.k12.or.us")</f>
        <v>marisa.hazelton@ortrail.k12.or.us</v>
      </c>
      <c r="U3213" s="6" t="str">
        <f>IFERROR(__xludf.DUMMYFUNCTION("""COMPUTED_VALUE"""),"3")</f>
        <v>3</v>
      </c>
      <c r="V3213" s="6" t="str">
        <f>IFERROR(__xludf.DUMMYFUNCTION("""COMPUTED_VALUE"""),"English")</f>
        <v>English</v>
      </c>
      <c r="W3213" s="6" t="str">
        <f>IFERROR(__xludf.DUMMYFUNCTION("""COMPUTED_VALUE"""),"[]")</f>
        <v>[]</v>
      </c>
      <c r="X3213" s="6" t="str">
        <f>IFERROR(__xludf.DUMMYFUNCTION("""COMPUTED_VALUE"""),"Enrolled")</f>
        <v>Enrolled</v>
      </c>
    </row>
    <row r="3214">
      <c r="A3214" s="6" t="str">
        <f>IFERROR(__xludf.DUMMYFUNCTION("""COMPUTED_VALUE"""),"064-6077")</f>
        <v>064-6077</v>
      </c>
      <c r="B3214" s="6" t="str">
        <f>IFERROR(__xludf.DUMMYFUNCTION("""COMPUTED_VALUE"""),"64")</f>
        <v>64</v>
      </c>
      <c r="C3214" s="6" t="str">
        <f>IFERROR(__xludf.DUMMYFUNCTION("""COMPUTED_VALUE"""),"6077")</f>
        <v>6077</v>
      </c>
      <c r="D3214" s="6" t="str">
        <f>IFERROR(__xludf.DUMMYFUNCTION("""COMPUTED_VALUE"""),"Dominik")</f>
        <v>Dominik</v>
      </c>
      <c r="E3214" s="6" t="str">
        <f>IFERROR(__xludf.DUMMYFUNCTION("""COMPUTED_VALUE"""),"")</f>
        <v/>
      </c>
      <c r="F3214" s="6" t="str">
        <f>IFERROR(__xludf.DUMMYFUNCTION("""COMPUTED_VALUE"""),"Thompson")</f>
        <v>Thompson</v>
      </c>
      <c r="G3214" s="6" t="str">
        <f>IFERROR(__xludf.DUMMYFUNCTION("""COMPUTED_VALUE"""),"05/13/2017")</f>
        <v>05/13/2017</v>
      </c>
      <c r="H3214" s="6" t="str">
        <f>IFERROR(__xludf.DUMMYFUNCTION("""COMPUTED_VALUE"""),"Self Identify")</f>
        <v>Self Identify</v>
      </c>
      <c r="I3214" s="6" t="str">
        <f>IFERROR(__xludf.DUMMYFUNCTION("""COMPUTED_VALUE"""),"Level 1")</f>
        <v>Level 1</v>
      </c>
      <c r="J3214" s="6" t="str">
        <f>IFERROR(__xludf.DUMMYFUNCTION("""COMPUTED_VALUE"""),"3")</f>
        <v>3</v>
      </c>
      <c r="K3214" s="6" t="str">
        <f>IFERROR(__xludf.DUMMYFUNCTION("""COMPUTED_VALUE"""),"dominik_thompson@stu.ortrail.k12.or.us")</f>
        <v>dominik_thompson@stu.ortrail.k12.or.us</v>
      </c>
      <c r="L3214" s="6" t="str">
        <f>IFERROR(__xludf.DUMMYFUNCTION("""COMPUTED_VALUE"""),"Oregon Trail School District 46")</f>
        <v>Oregon Trail School District 46</v>
      </c>
      <c r="M3214" s="6" t="str">
        <f>IFERROR(__xludf.DUMMYFUNCTION("""COMPUTED_VALUE"""),"Kelso Elementary School")</f>
        <v>Kelso Elementary School</v>
      </c>
      <c r="N3214" s="6" t="str">
        <f>IFERROR(__xludf.DUMMYFUNCTION("""COMPUTED_VALUE"""),"")</f>
        <v/>
      </c>
      <c r="O3214" s="87" t="str">
        <f>IFERROR(__xludf.DUMMYFUNCTION("""COMPUTED_VALUE"""),"https://drive.google.com/drive/folders/10T2cTQHqEJZqE-st6uFKPoI?usp=share_link")</f>
        <v>https://drive.google.com/drive/folders/10T2cTQHqEJZqE-st6uFKPoI?usp=share_link</v>
      </c>
      <c r="P3214" s="6" t="str">
        <f>IFERROR(__xludf.DUMMYFUNCTION("""COMPUTED_VALUE"""),"Dominik Thompson")</f>
        <v>Dominik Thompson</v>
      </c>
      <c r="Q3214" s="6" t="str">
        <f>IFERROR(__xludf.DUMMYFUNCTION("""COMPUTED_VALUE"""),"L1")</f>
        <v>L1</v>
      </c>
      <c r="R3214" s="6">
        <f>IFERROR(__xludf.DUMMYFUNCTION("""COMPUTED_VALUE"""),1.0)</f>
        <v>1</v>
      </c>
      <c r="S3214" s="6" t="str">
        <f>IFERROR(__xludf.DUMMYFUNCTION("""COMPUTED_VALUE"""),"Marisa Hazelton")</f>
        <v>Marisa Hazelton</v>
      </c>
      <c r="T3214" s="6" t="str">
        <f>IFERROR(__xludf.DUMMYFUNCTION("""COMPUTED_VALUE"""),"marisa.hazelton@ortrail.k12.or.us")</f>
        <v>marisa.hazelton@ortrail.k12.or.us</v>
      </c>
      <c r="U3214" s="6" t="str">
        <f>IFERROR(__xludf.DUMMYFUNCTION("""COMPUTED_VALUE"""),"3")</f>
        <v>3</v>
      </c>
      <c r="V3214" s="6" t="str">
        <f>IFERROR(__xludf.DUMMYFUNCTION("""COMPUTED_VALUE"""),"English")</f>
        <v>English</v>
      </c>
      <c r="W3214" s="6" t="str">
        <f>IFERROR(__xludf.DUMMYFUNCTION("""COMPUTED_VALUE"""),"[]")</f>
        <v>[]</v>
      </c>
      <c r="X3214" s="6" t="str">
        <f>IFERROR(__xludf.DUMMYFUNCTION("""COMPUTED_VALUE"""),"Enrolled")</f>
        <v>Enrolled</v>
      </c>
    </row>
    <row r="3215">
      <c r="A3215" s="6" t="str">
        <f>IFERROR(__xludf.DUMMYFUNCTION("""COMPUTED_VALUE"""),"064-6078")</f>
        <v>064-6078</v>
      </c>
      <c r="B3215" s="6" t="str">
        <f>IFERROR(__xludf.DUMMYFUNCTION("""COMPUTED_VALUE"""),"64")</f>
        <v>64</v>
      </c>
      <c r="C3215" s="6" t="str">
        <f>IFERROR(__xludf.DUMMYFUNCTION("""COMPUTED_VALUE"""),"6078")</f>
        <v>6078</v>
      </c>
      <c r="D3215" s="6" t="str">
        <f>IFERROR(__xludf.DUMMYFUNCTION("""COMPUTED_VALUE"""),"Winnie")</f>
        <v>Winnie</v>
      </c>
      <c r="E3215" s="6" t="str">
        <f>IFERROR(__xludf.DUMMYFUNCTION("""COMPUTED_VALUE"""),"")</f>
        <v/>
      </c>
      <c r="F3215" s="6" t="str">
        <f>IFERROR(__xludf.DUMMYFUNCTION("""COMPUTED_VALUE"""),"Trussell")</f>
        <v>Trussell</v>
      </c>
      <c r="G3215" s="6" t="str">
        <f>IFERROR(__xludf.DUMMYFUNCTION("""COMPUTED_VALUE"""),"08/24/2016")</f>
        <v>08/24/2016</v>
      </c>
      <c r="H3215" s="6" t="str">
        <f>IFERROR(__xludf.DUMMYFUNCTION("""COMPUTED_VALUE"""),"Self Identify")</f>
        <v>Self Identify</v>
      </c>
      <c r="I3215" s="6" t="str">
        <f>IFERROR(__xludf.DUMMYFUNCTION("""COMPUTED_VALUE"""),"Level 1")</f>
        <v>Level 1</v>
      </c>
      <c r="J3215" s="6" t="str">
        <f>IFERROR(__xludf.DUMMYFUNCTION("""COMPUTED_VALUE"""),"3")</f>
        <v>3</v>
      </c>
      <c r="K3215" s="6" t="str">
        <f>IFERROR(__xludf.DUMMYFUNCTION("""COMPUTED_VALUE"""),"winnie_trussell@stu.ortrail.k12.or.us")</f>
        <v>winnie_trussell@stu.ortrail.k12.or.us</v>
      </c>
      <c r="L3215" s="6" t="str">
        <f>IFERROR(__xludf.DUMMYFUNCTION("""COMPUTED_VALUE"""),"Oregon Trail School District 46")</f>
        <v>Oregon Trail School District 46</v>
      </c>
      <c r="M3215" s="6" t="str">
        <f>IFERROR(__xludf.DUMMYFUNCTION("""COMPUTED_VALUE"""),"Kelso Elementary School")</f>
        <v>Kelso Elementary School</v>
      </c>
      <c r="N3215" s="6" t="str">
        <f>IFERROR(__xludf.DUMMYFUNCTION("""COMPUTED_VALUE"""),"")</f>
        <v/>
      </c>
      <c r="O3215" s="87" t="str">
        <f>IFERROR(__xludf.DUMMYFUNCTION("""COMPUTED_VALUE"""),"https://drive.google.com/drive/folders/10T2cTQHqEJZqE-st6uFKPoI?usp=share_link")</f>
        <v>https://drive.google.com/drive/folders/10T2cTQHqEJZqE-st6uFKPoI?usp=share_link</v>
      </c>
      <c r="P3215" s="6" t="str">
        <f>IFERROR(__xludf.DUMMYFUNCTION("""COMPUTED_VALUE"""),"Winnie Trussell")</f>
        <v>Winnie Trussell</v>
      </c>
      <c r="Q3215" s="6" t="str">
        <f>IFERROR(__xludf.DUMMYFUNCTION("""COMPUTED_VALUE"""),"L1")</f>
        <v>L1</v>
      </c>
      <c r="R3215" s="6">
        <f>IFERROR(__xludf.DUMMYFUNCTION("""COMPUTED_VALUE"""),1.0)</f>
        <v>1</v>
      </c>
      <c r="S3215" s="6" t="str">
        <f>IFERROR(__xludf.DUMMYFUNCTION("""COMPUTED_VALUE"""),"Lindsay Jacksha")</f>
        <v>Lindsay Jacksha</v>
      </c>
      <c r="T3215" s="6" t="str">
        <f>IFERROR(__xludf.DUMMYFUNCTION("""COMPUTED_VALUE"""),"lindsay.jacksha@ortrail.k12.or.us")</f>
        <v>lindsay.jacksha@ortrail.k12.or.us</v>
      </c>
      <c r="U3215" s="6" t="str">
        <f>IFERROR(__xludf.DUMMYFUNCTION("""COMPUTED_VALUE"""),"3")</f>
        <v>3</v>
      </c>
      <c r="V3215" s="6" t="str">
        <f>IFERROR(__xludf.DUMMYFUNCTION("""COMPUTED_VALUE"""),"English")</f>
        <v>English</v>
      </c>
      <c r="W3215" s="6" t="str">
        <f>IFERROR(__xludf.DUMMYFUNCTION("""COMPUTED_VALUE"""),"[]")</f>
        <v>[]</v>
      </c>
      <c r="X3215" s="6" t="str">
        <f>IFERROR(__xludf.DUMMYFUNCTION("""COMPUTED_VALUE"""),"Enrolled")</f>
        <v>Enrolled</v>
      </c>
    </row>
    <row r="3216">
      <c r="A3216" s="6" t="str">
        <f>IFERROR(__xludf.DUMMYFUNCTION("""COMPUTED_VALUE"""),"064-6079")</f>
        <v>064-6079</v>
      </c>
      <c r="B3216" s="6" t="str">
        <f>IFERROR(__xludf.DUMMYFUNCTION("""COMPUTED_VALUE"""),"64")</f>
        <v>64</v>
      </c>
      <c r="C3216" s="6" t="str">
        <f>IFERROR(__xludf.DUMMYFUNCTION("""COMPUTED_VALUE"""),"6079")</f>
        <v>6079</v>
      </c>
      <c r="D3216" s="6" t="str">
        <f>IFERROR(__xludf.DUMMYFUNCTION("""COMPUTED_VALUE"""),"Paxton")</f>
        <v>Paxton</v>
      </c>
      <c r="E3216" s="6" t="str">
        <f>IFERROR(__xludf.DUMMYFUNCTION("""COMPUTED_VALUE"""),"")</f>
        <v/>
      </c>
      <c r="F3216" s="6" t="str">
        <f>IFERROR(__xludf.DUMMYFUNCTION("""COMPUTED_VALUE"""),"Vang")</f>
        <v>Vang</v>
      </c>
      <c r="G3216" s="6" t="str">
        <f>IFERROR(__xludf.DUMMYFUNCTION("""COMPUTED_VALUE"""),"03/02/2017")</f>
        <v>03/02/2017</v>
      </c>
      <c r="H3216" s="6" t="str">
        <f>IFERROR(__xludf.DUMMYFUNCTION("""COMPUTED_VALUE"""),"Self Identify")</f>
        <v>Self Identify</v>
      </c>
      <c r="I3216" s="6" t="str">
        <f>IFERROR(__xludf.DUMMYFUNCTION("""COMPUTED_VALUE"""),"Level 1")</f>
        <v>Level 1</v>
      </c>
      <c r="J3216" s="6" t="str">
        <f>IFERROR(__xludf.DUMMYFUNCTION("""COMPUTED_VALUE"""),"3")</f>
        <v>3</v>
      </c>
      <c r="K3216" s="6" t="str">
        <f>IFERROR(__xludf.DUMMYFUNCTION("""COMPUTED_VALUE"""),"paxton_vang@stu.ortrail.k12.or.us")</f>
        <v>paxton_vang@stu.ortrail.k12.or.us</v>
      </c>
      <c r="L3216" s="6" t="str">
        <f>IFERROR(__xludf.DUMMYFUNCTION("""COMPUTED_VALUE"""),"Oregon Trail School District 46")</f>
        <v>Oregon Trail School District 46</v>
      </c>
      <c r="M3216" s="6" t="str">
        <f>IFERROR(__xludf.DUMMYFUNCTION("""COMPUTED_VALUE"""),"Kelso Elementary School")</f>
        <v>Kelso Elementary School</v>
      </c>
      <c r="N3216" s="6" t="str">
        <f>IFERROR(__xludf.DUMMYFUNCTION("""COMPUTED_VALUE"""),"")</f>
        <v/>
      </c>
      <c r="O3216" s="87" t="str">
        <f>IFERROR(__xludf.DUMMYFUNCTION("""COMPUTED_VALUE"""),"https://drive.google.com/drive/folders/10T2cTQHqEJZqE-st6uFKPoI?usp=share_link")</f>
        <v>https://drive.google.com/drive/folders/10T2cTQHqEJZqE-st6uFKPoI?usp=share_link</v>
      </c>
      <c r="P3216" s="6" t="str">
        <f>IFERROR(__xludf.DUMMYFUNCTION("""COMPUTED_VALUE"""),"Paxton Vang")</f>
        <v>Paxton Vang</v>
      </c>
      <c r="Q3216" s="6" t="str">
        <f>IFERROR(__xludf.DUMMYFUNCTION("""COMPUTED_VALUE"""),"L1")</f>
        <v>L1</v>
      </c>
      <c r="R3216" s="6">
        <f>IFERROR(__xludf.DUMMYFUNCTION("""COMPUTED_VALUE"""),1.0)</f>
        <v>1</v>
      </c>
      <c r="S3216" s="6" t="str">
        <f>IFERROR(__xludf.DUMMYFUNCTION("""COMPUTED_VALUE"""),"Lindsay Jacksha")</f>
        <v>Lindsay Jacksha</v>
      </c>
      <c r="T3216" s="6" t="str">
        <f>IFERROR(__xludf.DUMMYFUNCTION("""COMPUTED_VALUE"""),"lindsay.jacksha@ortrail.k12.or.us")</f>
        <v>lindsay.jacksha@ortrail.k12.or.us</v>
      </c>
      <c r="U3216" s="6" t="str">
        <f>IFERROR(__xludf.DUMMYFUNCTION("""COMPUTED_VALUE"""),"3")</f>
        <v>3</v>
      </c>
      <c r="V3216" s="6" t="str">
        <f>IFERROR(__xludf.DUMMYFUNCTION("""COMPUTED_VALUE"""),"English")</f>
        <v>English</v>
      </c>
      <c r="W3216" s="6" t="str">
        <f>IFERROR(__xludf.DUMMYFUNCTION("""COMPUTED_VALUE"""),"[]")</f>
        <v>[]</v>
      </c>
      <c r="X3216" s="6" t="str">
        <f>IFERROR(__xludf.DUMMYFUNCTION("""COMPUTED_VALUE"""),"Enrolled")</f>
        <v>Enrolled</v>
      </c>
    </row>
    <row r="3217">
      <c r="A3217" s="6" t="str">
        <f>IFERROR(__xludf.DUMMYFUNCTION("""COMPUTED_VALUE"""),"064-6080")</f>
        <v>064-6080</v>
      </c>
      <c r="B3217" s="6" t="str">
        <f>IFERROR(__xludf.DUMMYFUNCTION("""COMPUTED_VALUE"""),"64")</f>
        <v>64</v>
      </c>
      <c r="C3217" s="6" t="str">
        <f>IFERROR(__xludf.DUMMYFUNCTION("""COMPUTED_VALUE"""),"6080")</f>
        <v>6080</v>
      </c>
      <c r="D3217" s="6" t="str">
        <f>IFERROR(__xludf.DUMMYFUNCTION("""COMPUTED_VALUE"""),"Kingsley")</f>
        <v>Kingsley</v>
      </c>
      <c r="E3217" s="6" t="str">
        <f>IFERROR(__xludf.DUMMYFUNCTION("""COMPUTED_VALUE"""),"")</f>
        <v/>
      </c>
      <c r="F3217" s="6" t="str">
        <f>IFERROR(__xludf.DUMMYFUNCTION("""COMPUTED_VALUE"""),"Vegas")</f>
        <v>Vegas</v>
      </c>
      <c r="G3217" s="6" t="str">
        <f>IFERROR(__xludf.DUMMYFUNCTION("""COMPUTED_VALUE"""),"09/09/2016")</f>
        <v>09/09/2016</v>
      </c>
      <c r="H3217" s="6" t="str">
        <f>IFERROR(__xludf.DUMMYFUNCTION("""COMPUTED_VALUE"""),"Self Identify")</f>
        <v>Self Identify</v>
      </c>
      <c r="I3217" s="6" t="str">
        <f>IFERROR(__xludf.DUMMYFUNCTION("""COMPUTED_VALUE"""),"Level 1")</f>
        <v>Level 1</v>
      </c>
      <c r="J3217" s="6" t="str">
        <f>IFERROR(__xludf.DUMMYFUNCTION("""COMPUTED_VALUE"""),"3")</f>
        <v>3</v>
      </c>
      <c r="K3217" s="6" t="str">
        <f>IFERROR(__xludf.DUMMYFUNCTION("""COMPUTED_VALUE"""),"king_vegas@stu.ortrail.k12.or.us")</f>
        <v>king_vegas@stu.ortrail.k12.or.us</v>
      </c>
      <c r="L3217" s="6" t="str">
        <f>IFERROR(__xludf.DUMMYFUNCTION("""COMPUTED_VALUE"""),"Oregon Trail School District 46")</f>
        <v>Oregon Trail School District 46</v>
      </c>
      <c r="M3217" s="6" t="str">
        <f>IFERROR(__xludf.DUMMYFUNCTION("""COMPUTED_VALUE"""),"Kelso Elementary School")</f>
        <v>Kelso Elementary School</v>
      </c>
      <c r="N3217" s="6" t="str">
        <f>IFERROR(__xludf.DUMMYFUNCTION("""COMPUTED_VALUE"""),"")</f>
        <v/>
      </c>
      <c r="O3217" s="87" t="str">
        <f>IFERROR(__xludf.DUMMYFUNCTION("""COMPUTED_VALUE"""),"https://drive.google.com/drive/folders/10T2cTQHqEJZqE-st6uFKPoI?usp=share_link")</f>
        <v>https://drive.google.com/drive/folders/10T2cTQHqEJZqE-st6uFKPoI?usp=share_link</v>
      </c>
      <c r="P3217" s="6" t="str">
        <f>IFERROR(__xludf.DUMMYFUNCTION("""COMPUTED_VALUE"""),"Kingsley Vegas")</f>
        <v>Kingsley Vegas</v>
      </c>
      <c r="Q3217" s="6" t="str">
        <f>IFERROR(__xludf.DUMMYFUNCTION("""COMPUTED_VALUE"""),"L1")</f>
        <v>L1</v>
      </c>
      <c r="R3217" s="6">
        <f>IFERROR(__xludf.DUMMYFUNCTION("""COMPUTED_VALUE"""),1.0)</f>
        <v>1</v>
      </c>
      <c r="S3217" s="6" t="str">
        <f>IFERROR(__xludf.DUMMYFUNCTION("""COMPUTED_VALUE"""),"Lindsay Jacksha")</f>
        <v>Lindsay Jacksha</v>
      </c>
      <c r="T3217" s="6" t="str">
        <f>IFERROR(__xludf.DUMMYFUNCTION("""COMPUTED_VALUE"""),"lindsay.jacksha@ortrail.k12.or.us")</f>
        <v>lindsay.jacksha@ortrail.k12.or.us</v>
      </c>
      <c r="U3217" s="6" t="str">
        <f>IFERROR(__xludf.DUMMYFUNCTION("""COMPUTED_VALUE"""),"3")</f>
        <v>3</v>
      </c>
      <c r="V3217" s="6" t="str">
        <f>IFERROR(__xludf.DUMMYFUNCTION("""COMPUTED_VALUE"""),"English")</f>
        <v>English</v>
      </c>
      <c r="W3217" s="6" t="str">
        <f>IFERROR(__xludf.DUMMYFUNCTION("""COMPUTED_VALUE"""),"[]")</f>
        <v>[]</v>
      </c>
      <c r="X3217" s="6" t="str">
        <f>IFERROR(__xludf.DUMMYFUNCTION("""COMPUTED_VALUE"""),"Enrolled")</f>
        <v>Enrolled</v>
      </c>
    </row>
    <row r="3218">
      <c r="A3218" s="6" t="str">
        <f>IFERROR(__xludf.DUMMYFUNCTION("""COMPUTED_VALUE"""),"064-6081")</f>
        <v>064-6081</v>
      </c>
      <c r="B3218" s="6" t="str">
        <f>IFERROR(__xludf.DUMMYFUNCTION("""COMPUTED_VALUE"""),"64")</f>
        <v>64</v>
      </c>
      <c r="C3218" s="6" t="str">
        <f>IFERROR(__xludf.DUMMYFUNCTION("""COMPUTED_VALUE"""),"6081")</f>
        <v>6081</v>
      </c>
      <c r="D3218" s="6" t="str">
        <f>IFERROR(__xludf.DUMMYFUNCTION("""COMPUTED_VALUE"""),"Paxton")</f>
        <v>Paxton</v>
      </c>
      <c r="E3218" s="6" t="str">
        <f>IFERROR(__xludf.DUMMYFUNCTION("""COMPUTED_VALUE"""),"")</f>
        <v/>
      </c>
      <c r="F3218" s="6" t="str">
        <f>IFERROR(__xludf.DUMMYFUNCTION("""COMPUTED_VALUE"""),"Vibbard")</f>
        <v>Vibbard</v>
      </c>
      <c r="G3218" s="6" t="str">
        <f>IFERROR(__xludf.DUMMYFUNCTION("""COMPUTED_VALUE"""),"08/01/2017")</f>
        <v>08/01/2017</v>
      </c>
      <c r="H3218" s="6" t="str">
        <f>IFERROR(__xludf.DUMMYFUNCTION("""COMPUTED_VALUE"""),"Self Identify")</f>
        <v>Self Identify</v>
      </c>
      <c r="I3218" s="6" t="str">
        <f>IFERROR(__xludf.DUMMYFUNCTION("""COMPUTED_VALUE"""),"Level 1")</f>
        <v>Level 1</v>
      </c>
      <c r="J3218" s="6" t="str">
        <f>IFERROR(__xludf.DUMMYFUNCTION("""COMPUTED_VALUE"""),"3")</f>
        <v>3</v>
      </c>
      <c r="K3218" s="6" t="str">
        <f>IFERROR(__xludf.DUMMYFUNCTION("""COMPUTED_VALUE"""),"paxton_vibbard@stu.ortrail.k12.or.us")</f>
        <v>paxton_vibbard@stu.ortrail.k12.or.us</v>
      </c>
      <c r="L3218" s="6" t="str">
        <f>IFERROR(__xludf.DUMMYFUNCTION("""COMPUTED_VALUE"""),"Oregon Trail School District 46")</f>
        <v>Oregon Trail School District 46</v>
      </c>
      <c r="M3218" s="6" t="str">
        <f>IFERROR(__xludf.DUMMYFUNCTION("""COMPUTED_VALUE"""),"Kelso Elementary School")</f>
        <v>Kelso Elementary School</v>
      </c>
      <c r="N3218" s="6" t="str">
        <f>IFERROR(__xludf.DUMMYFUNCTION("""COMPUTED_VALUE"""),"")</f>
        <v/>
      </c>
      <c r="O3218" s="87" t="str">
        <f>IFERROR(__xludf.DUMMYFUNCTION("""COMPUTED_VALUE"""),"https://drive.google.com/drive/folders/10T2cTQHqEJZqE-st6uFKPoI?usp=share_link")</f>
        <v>https://drive.google.com/drive/folders/10T2cTQHqEJZqE-st6uFKPoI?usp=share_link</v>
      </c>
      <c r="P3218" s="6" t="str">
        <f>IFERROR(__xludf.DUMMYFUNCTION("""COMPUTED_VALUE"""),"Paxton Vibbard")</f>
        <v>Paxton Vibbard</v>
      </c>
      <c r="Q3218" s="6" t="str">
        <f>IFERROR(__xludf.DUMMYFUNCTION("""COMPUTED_VALUE"""),"L1")</f>
        <v>L1</v>
      </c>
      <c r="R3218" s="6">
        <f>IFERROR(__xludf.DUMMYFUNCTION("""COMPUTED_VALUE"""),1.0)</f>
        <v>1</v>
      </c>
      <c r="S3218" s="6" t="str">
        <f>IFERROR(__xludf.DUMMYFUNCTION("""COMPUTED_VALUE"""),"Marisa Hazelton")</f>
        <v>Marisa Hazelton</v>
      </c>
      <c r="T3218" s="6" t="str">
        <f>IFERROR(__xludf.DUMMYFUNCTION("""COMPUTED_VALUE"""),"marisa.hazelton@ortrail.k12.or.us")</f>
        <v>marisa.hazelton@ortrail.k12.or.us</v>
      </c>
      <c r="U3218" s="6" t="str">
        <f>IFERROR(__xludf.DUMMYFUNCTION("""COMPUTED_VALUE"""),"3")</f>
        <v>3</v>
      </c>
      <c r="V3218" s="6" t="str">
        <f>IFERROR(__xludf.DUMMYFUNCTION("""COMPUTED_VALUE"""),"English")</f>
        <v>English</v>
      </c>
      <c r="W3218" s="6" t="str">
        <f>IFERROR(__xludf.DUMMYFUNCTION("""COMPUTED_VALUE"""),"[]")</f>
        <v>[]</v>
      </c>
      <c r="X3218" s="6" t="str">
        <f>IFERROR(__xludf.DUMMYFUNCTION("""COMPUTED_VALUE"""),"Enrolled")</f>
        <v>Enrolled</v>
      </c>
    </row>
    <row r="3219">
      <c r="A3219" s="6" t="str">
        <f>IFERROR(__xludf.DUMMYFUNCTION("""COMPUTED_VALUE"""),"064-6082")</f>
        <v>064-6082</v>
      </c>
      <c r="B3219" s="6" t="str">
        <f>IFERROR(__xludf.DUMMYFUNCTION("""COMPUTED_VALUE"""),"64")</f>
        <v>64</v>
      </c>
      <c r="C3219" s="6" t="str">
        <f>IFERROR(__xludf.DUMMYFUNCTION("""COMPUTED_VALUE"""),"6082")</f>
        <v>6082</v>
      </c>
      <c r="D3219" s="6" t="str">
        <f>IFERROR(__xludf.DUMMYFUNCTION("""COMPUTED_VALUE"""),"Harleigh")</f>
        <v>Harleigh</v>
      </c>
      <c r="E3219" s="6" t="str">
        <f>IFERROR(__xludf.DUMMYFUNCTION("""COMPUTED_VALUE"""),"")</f>
        <v/>
      </c>
      <c r="F3219" s="6" t="str">
        <f>IFERROR(__xludf.DUMMYFUNCTION("""COMPUTED_VALUE"""),"Warfield")</f>
        <v>Warfield</v>
      </c>
      <c r="G3219" s="6" t="str">
        <f>IFERROR(__xludf.DUMMYFUNCTION("""COMPUTED_VALUE"""),"09/28/2016")</f>
        <v>09/28/2016</v>
      </c>
      <c r="H3219" s="6" t="str">
        <f>IFERROR(__xludf.DUMMYFUNCTION("""COMPUTED_VALUE"""),"Self Identify")</f>
        <v>Self Identify</v>
      </c>
      <c r="I3219" s="6" t="str">
        <f>IFERROR(__xludf.DUMMYFUNCTION("""COMPUTED_VALUE"""),"Level 1")</f>
        <v>Level 1</v>
      </c>
      <c r="J3219" s="6" t="str">
        <f>IFERROR(__xludf.DUMMYFUNCTION("""COMPUTED_VALUE"""),"3")</f>
        <v>3</v>
      </c>
      <c r="K3219" s="6" t="str">
        <f>IFERROR(__xludf.DUMMYFUNCTION("""COMPUTED_VALUE"""),"harleigh_warfield@stu.ortrail.k12.or.us")</f>
        <v>harleigh_warfield@stu.ortrail.k12.or.us</v>
      </c>
      <c r="L3219" s="6" t="str">
        <f>IFERROR(__xludf.DUMMYFUNCTION("""COMPUTED_VALUE"""),"Oregon Trail School District 46")</f>
        <v>Oregon Trail School District 46</v>
      </c>
      <c r="M3219" s="6" t="str">
        <f>IFERROR(__xludf.DUMMYFUNCTION("""COMPUTED_VALUE"""),"Kelso Elementary School")</f>
        <v>Kelso Elementary School</v>
      </c>
      <c r="N3219" s="6" t="str">
        <f>IFERROR(__xludf.DUMMYFUNCTION("""COMPUTED_VALUE"""),"")</f>
        <v/>
      </c>
      <c r="O3219" s="87" t="str">
        <f>IFERROR(__xludf.DUMMYFUNCTION("""COMPUTED_VALUE"""),"https://drive.google.com/drive/folders/10T2cTQHqEJZqE-st6uFKPoI?usp=share_link")</f>
        <v>https://drive.google.com/drive/folders/10T2cTQHqEJZqE-st6uFKPoI?usp=share_link</v>
      </c>
      <c r="P3219" s="6" t="str">
        <f>IFERROR(__xludf.DUMMYFUNCTION("""COMPUTED_VALUE"""),"Harleigh Warfield")</f>
        <v>Harleigh Warfield</v>
      </c>
      <c r="Q3219" s="6" t="str">
        <f>IFERROR(__xludf.DUMMYFUNCTION("""COMPUTED_VALUE"""),"L1")</f>
        <v>L1</v>
      </c>
      <c r="R3219" s="6">
        <f>IFERROR(__xludf.DUMMYFUNCTION("""COMPUTED_VALUE"""),1.0)</f>
        <v>1</v>
      </c>
      <c r="S3219" s="6" t="str">
        <f>IFERROR(__xludf.DUMMYFUNCTION("""COMPUTED_VALUE"""),"Lindsay Jacksha")</f>
        <v>Lindsay Jacksha</v>
      </c>
      <c r="T3219" s="6" t="str">
        <f>IFERROR(__xludf.DUMMYFUNCTION("""COMPUTED_VALUE"""),"lindsay.jacksha@ortrail.k12.or.us")</f>
        <v>lindsay.jacksha@ortrail.k12.or.us</v>
      </c>
      <c r="U3219" s="6" t="str">
        <f>IFERROR(__xludf.DUMMYFUNCTION("""COMPUTED_VALUE"""),"3")</f>
        <v>3</v>
      </c>
      <c r="V3219" s="6" t="str">
        <f>IFERROR(__xludf.DUMMYFUNCTION("""COMPUTED_VALUE"""),"English")</f>
        <v>English</v>
      </c>
      <c r="W3219" s="6" t="str">
        <f>IFERROR(__xludf.DUMMYFUNCTION("""COMPUTED_VALUE"""),"[]")</f>
        <v>[]</v>
      </c>
      <c r="X3219" s="6" t="str">
        <f>IFERROR(__xludf.DUMMYFUNCTION("""COMPUTED_VALUE"""),"Enrolled")</f>
        <v>Enrolled</v>
      </c>
    </row>
    <row r="3220">
      <c r="A3220" s="6" t="str">
        <f>IFERROR(__xludf.DUMMYFUNCTION("""COMPUTED_VALUE"""),"064-6083")</f>
        <v>064-6083</v>
      </c>
      <c r="B3220" s="6" t="str">
        <f>IFERROR(__xludf.DUMMYFUNCTION("""COMPUTED_VALUE"""),"64")</f>
        <v>64</v>
      </c>
      <c r="C3220" s="6" t="str">
        <f>IFERROR(__xludf.DUMMYFUNCTION("""COMPUTED_VALUE"""),"6083")</f>
        <v>6083</v>
      </c>
      <c r="D3220" s="6" t="str">
        <f>IFERROR(__xludf.DUMMYFUNCTION("""COMPUTED_VALUE"""),"Rian")</f>
        <v>Rian</v>
      </c>
      <c r="E3220" s="6" t="str">
        <f>IFERROR(__xludf.DUMMYFUNCTION("""COMPUTED_VALUE"""),"")</f>
        <v/>
      </c>
      <c r="F3220" s="6" t="str">
        <f>IFERROR(__xludf.DUMMYFUNCTION("""COMPUTED_VALUE"""),"Wickizer")</f>
        <v>Wickizer</v>
      </c>
      <c r="G3220" s="6" t="str">
        <f>IFERROR(__xludf.DUMMYFUNCTION("""COMPUTED_VALUE"""),"08/29/2016")</f>
        <v>08/29/2016</v>
      </c>
      <c r="H3220" s="6" t="str">
        <f>IFERROR(__xludf.DUMMYFUNCTION("""COMPUTED_VALUE"""),"Self Identify")</f>
        <v>Self Identify</v>
      </c>
      <c r="I3220" s="6" t="str">
        <f>IFERROR(__xludf.DUMMYFUNCTION("""COMPUTED_VALUE"""),"Level 1")</f>
        <v>Level 1</v>
      </c>
      <c r="J3220" s="6" t="str">
        <f>IFERROR(__xludf.DUMMYFUNCTION("""COMPUTED_VALUE"""),"3")</f>
        <v>3</v>
      </c>
      <c r="K3220" s="6" t="str">
        <f>IFERROR(__xludf.DUMMYFUNCTION("""COMPUTED_VALUE"""),"rian_wickizer@stu.ortrail.k12.or.us")</f>
        <v>rian_wickizer@stu.ortrail.k12.or.us</v>
      </c>
      <c r="L3220" s="6" t="str">
        <f>IFERROR(__xludf.DUMMYFUNCTION("""COMPUTED_VALUE"""),"Oregon Trail School District 46")</f>
        <v>Oregon Trail School District 46</v>
      </c>
      <c r="M3220" s="6" t="str">
        <f>IFERROR(__xludf.DUMMYFUNCTION("""COMPUTED_VALUE"""),"Kelso Elementary School")</f>
        <v>Kelso Elementary School</v>
      </c>
      <c r="N3220" s="6" t="str">
        <f>IFERROR(__xludf.DUMMYFUNCTION("""COMPUTED_VALUE"""),"")</f>
        <v/>
      </c>
      <c r="O3220" s="87" t="str">
        <f>IFERROR(__xludf.DUMMYFUNCTION("""COMPUTED_VALUE"""),"https://drive.google.com/drive/folders/10T2cTQHqEJZqE-st6uFKPoI?usp=share_link")</f>
        <v>https://drive.google.com/drive/folders/10T2cTQHqEJZqE-st6uFKPoI?usp=share_link</v>
      </c>
      <c r="P3220" s="6" t="str">
        <f>IFERROR(__xludf.DUMMYFUNCTION("""COMPUTED_VALUE"""),"Rian Wickizer")</f>
        <v>Rian Wickizer</v>
      </c>
      <c r="Q3220" s="6" t="str">
        <f>IFERROR(__xludf.DUMMYFUNCTION("""COMPUTED_VALUE"""),"L1")</f>
        <v>L1</v>
      </c>
      <c r="R3220" s="6">
        <f>IFERROR(__xludf.DUMMYFUNCTION("""COMPUTED_VALUE"""),1.0)</f>
        <v>1</v>
      </c>
      <c r="S3220" s="6" t="str">
        <f>IFERROR(__xludf.DUMMYFUNCTION("""COMPUTED_VALUE"""),"Marisa Hazelton")</f>
        <v>Marisa Hazelton</v>
      </c>
      <c r="T3220" s="6" t="str">
        <f>IFERROR(__xludf.DUMMYFUNCTION("""COMPUTED_VALUE"""),"marisa.hazelton@ortrail.k12.or.us")</f>
        <v>marisa.hazelton@ortrail.k12.or.us</v>
      </c>
      <c r="U3220" s="6" t="str">
        <f>IFERROR(__xludf.DUMMYFUNCTION("""COMPUTED_VALUE"""),"3")</f>
        <v>3</v>
      </c>
      <c r="V3220" s="6" t="str">
        <f>IFERROR(__xludf.DUMMYFUNCTION("""COMPUTED_VALUE"""),"English")</f>
        <v>English</v>
      </c>
      <c r="W3220" s="6" t="str">
        <f>IFERROR(__xludf.DUMMYFUNCTION("""COMPUTED_VALUE"""),"[]")</f>
        <v>[]</v>
      </c>
      <c r="X3220" s="6" t="str">
        <f>IFERROR(__xludf.DUMMYFUNCTION("""COMPUTED_VALUE"""),"Enrolled")</f>
        <v>Enrolled</v>
      </c>
    </row>
    <row r="3221">
      <c r="A3221" s="6" t="str">
        <f>IFERROR(__xludf.DUMMYFUNCTION("""COMPUTED_VALUE"""),"064-6084")</f>
        <v>064-6084</v>
      </c>
      <c r="B3221" s="6" t="str">
        <f>IFERROR(__xludf.DUMMYFUNCTION("""COMPUTED_VALUE"""),"64")</f>
        <v>64</v>
      </c>
      <c r="C3221" s="6" t="str">
        <f>IFERROR(__xludf.DUMMYFUNCTION("""COMPUTED_VALUE"""),"6084")</f>
        <v>6084</v>
      </c>
      <c r="D3221" s="6" t="str">
        <f>IFERROR(__xludf.DUMMYFUNCTION("""COMPUTED_VALUE"""),"Emerick")</f>
        <v>Emerick</v>
      </c>
      <c r="E3221" s="6" t="str">
        <f>IFERROR(__xludf.DUMMYFUNCTION("""COMPUTED_VALUE"""),"")</f>
        <v/>
      </c>
      <c r="F3221" s="6" t="str">
        <f>IFERROR(__xludf.DUMMYFUNCTION("""COMPUTED_VALUE"""),"Winters")</f>
        <v>Winters</v>
      </c>
      <c r="G3221" s="6" t="str">
        <f>IFERROR(__xludf.DUMMYFUNCTION("""COMPUTED_VALUE"""),"04/11/2017")</f>
        <v>04/11/2017</v>
      </c>
      <c r="H3221" s="6" t="str">
        <f>IFERROR(__xludf.DUMMYFUNCTION("""COMPUTED_VALUE"""),"Self Identify")</f>
        <v>Self Identify</v>
      </c>
      <c r="I3221" s="6" t="str">
        <f>IFERROR(__xludf.DUMMYFUNCTION("""COMPUTED_VALUE"""),"Level 1")</f>
        <v>Level 1</v>
      </c>
      <c r="J3221" s="6" t="str">
        <f>IFERROR(__xludf.DUMMYFUNCTION("""COMPUTED_VALUE"""),"3")</f>
        <v>3</v>
      </c>
      <c r="K3221" s="6" t="str">
        <f>IFERROR(__xludf.DUMMYFUNCTION("""COMPUTED_VALUE"""),"emerick_winters@stu.ortrail.k12.or.us")</f>
        <v>emerick_winters@stu.ortrail.k12.or.us</v>
      </c>
      <c r="L3221" s="6" t="str">
        <f>IFERROR(__xludf.DUMMYFUNCTION("""COMPUTED_VALUE"""),"Oregon Trail School District 46")</f>
        <v>Oregon Trail School District 46</v>
      </c>
      <c r="M3221" s="6" t="str">
        <f>IFERROR(__xludf.DUMMYFUNCTION("""COMPUTED_VALUE"""),"Kelso Elementary School")</f>
        <v>Kelso Elementary School</v>
      </c>
      <c r="N3221" s="6" t="str">
        <f>IFERROR(__xludf.DUMMYFUNCTION("""COMPUTED_VALUE"""),"")</f>
        <v/>
      </c>
      <c r="O3221" s="87" t="str">
        <f>IFERROR(__xludf.DUMMYFUNCTION("""COMPUTED_VALUE"""),"https://drive.google.com/drive/folders/10T2cTQHqEJZqE-st6uFKPoI?usp=share_link")</f>
        <v>https://drive.google.com/drive/folders/10T2cTQHqEJZqE-st6uFKPoI?usp=share_link</v>
      </c>
      <c r="P3221" s="6" t="str">
        <f>IFERROR(__xludf.DUMMYFUNCTION("""COMPUTED_VALUE"""),"Emerick Winters")</f>
        <v>Emerick Winters</v>
      </c>
      <c r="Q3221" s="6" t="str">
        <f>IFERROR(__xludf.DUMMYFUNCTION("""COMPUTED_VALUE"""),"L1")</f>
        <v>L1</v>
      </c>
      <c r="R3221" s="6">
        <f>IFERROR(__xludf.DUMMYFUNCTION("""COMPUTED_VALUE"""),1.0)</f>
        <v>1</v>
      </c>
      <c r="S3221" s="6" t="str">
        <f>IFERROR(__xludf.DUMMYFUNCTION("""COMPUTED_VALUE"""),"Marisa Hazelton")</f>
        <v>Marisa Hazelton</v>
      </c>
      <c r="T3221" s="6" t="str">
        <f>IFERROR(__xludf.DUMMYFUNCTION("""COMPUTED_VALUE"""),"marisa.hazelton@ortrail.k12.or.us")</f>
        <v>marisa.hazelton@ortrail.k12.or.us</v>
      </c>
      <c r="U3221" s="6" t="str">
        <f>IFERROR(__xludf.DUMMYFUNCTION("""COMPUTED_VALUE"""),"3")</f>
        <v>3</v>
      </c>
      <c r="V3221" s="6" t="str">
        <f>IFERROR(__xludf.DUMMYFUNCTION("""COMPUTED_VALUE"""),"English")</f>
        <v>English</v>
      </c>
      <c r="W3221" s="6" t="str">
        <f>IFERROR(__xludf.DUMMYFUNCTION("""COMPUTED_VALUE"""),"[]")</f>
        <v>[]</v>
      </c>
      <c r="X3221" s="6" t="str">
        <f>IFERROR(__xludf.DUMMYFUNCTION("""COMPUTED_VALUE"""),"Enrolled")</f>
        <v>Enrolled</v>
      </c>
    </row>
    <row r="3222">
      <c r="A3222" s="6" t="str">
        <f>IFERROR(__xludf.DUMMYFUNCTION("""COMPUTED_VALUE"""),"064-6085")</f>
        <v>064-6085</v>
      </c>
      <c r="B3222" s="6" t="str">
        <f>IFERROR(__xludf.DUMMYFUNCTION("""COMPUTED_VALUE"""),"64")</f>
        <v>64</v>
      </c>
      <c r="C3222" s="6" t="str">
        <f>IFERROR(__xludf.DUMMYFUNCTION("""COMPUTED_VALUE"""),"6085")</f>
        <v>6085</v>
      </c>
      <c r="D3222" s="6" t="str">
        <f>IFERROR(__xludf.DUMMYFUNCTION("""COMPUTED_VALUE"""),"Olivia")</f>
        <v>Olivia</v>
      </c>
      <c r="E3222" s="6" t="str">
        <f>IFERROR(__xludf.DUMMYFUNCTION("""COMPUTED_VALUE"""),"")</f>
        <v/>
      </c>
      <c r="F3222" s="6" t="str">
        <f>IFERROR(__xludf.DUMMYFUNCTION("""COMPUTED_VALUE"""),"Wolfe")</f>
        <v>Wolfe</v>
      </c>
      <c r="G3222" s="6" t="str">
        <f>IFERROR(__xludf.DUMMYFUNCTION("""COMPUTED_VALUE"""),"11/03/2016")</f>
        <v>11/03/2016</v>
      </c>
      <c r="H3222" s="6" t="str">
        <f>IFERROR(__xludf.DUMMYFUNCTION("""COMPUTED_VALUE"""),"Self Identify")</f>
        <v>Self Identify</v>
      </c>
      <c r="I3222" s="6" t="str">
        <f>IFERROR(__xludf.DUMMYFUNCTION("""COMPUTED_VALUE"""),"Level 1")</f>
        <v>Level 1</v>
      </c>
      <c r="J3222" s="6" t="str">
        <f>IFERROR(__xludf.DUMMYFUNCTION("""COMPUTED_VALUE"""),"3")</f>
        <v>3</v>
      </c>
      <c r="K3222" s="6" t="str">
        <f>IFERROR(__xludf.DUMMYFUNCTION("""COMPUTED_VALUE"""),"olivia_wolfe@stu.ortrail.k12.or.us")</f>
        <v>olivia_wolfe@stu.ortrail.k12.or.us</v>
      </c>
      <c r="L3222" s="6" t="str">
        <f>IFERROR(__xludf.DUMMYFUNCTION("""COMPUTED_VALUE"""),"Oregon Trail School District 46")</f>
        <v>Oregon Trail School District 46</v>
      </c>
      <c r="M3222" s="6" t="str">
        <f>IFERROR(__xludf.DUMMYFUNCTION("""COMPUTED_VALUE"""),"Kelso Elementary School")</f>
        <v>Kelso Elementary School</v>
      </c>
      <c r="N3222" s="6" t="str">
        <f>IFERROR(__xludf.DUMMYFUNCTION("""COMPUTED_VALUE"""),"")</f>
        <v/>
      </c>
      <c r="O3222" s="87" t="str">
        <f>IFERROR(__xludf.DUMMYFUNCTION("""COMPUTED_VALUE"""),"https://drive.google.com/drive/folders/10T2cTQHqEJZqE-st6uFKPoI?usp=share_link")</f>
        <v>https://drive.google.com/drive/folders/10T2cTQHqEJZqE-st6uFKPoI?usp=share_link</v>
      </c>
      <c r="P3222" s="6" t="str">
        <f>IFERROR(__xludf.DUMMYFUNCTION("""COMPUTED_VALUE"""),"Olivia Wolfe")</f>
        <v>Olivia Wolfe</v>
      </c>
      <c r="Q3222" s="6" t="str">
        <f>IFERROR(__xludf.DUMMYFUNCTION("""COMPUTED_VALUE"""),"L1")</f>
        <v>L1</v>
      </c>
      <c r="R3222" s="6">
        <f>IFERROR(__xludf.DUMMYFUNCTION("""COMPUTED_VALUE"""),1.0)</f>
        <v>1</v>
      </c>
      <c r="S3222" s="6" t="str">
        <f>IFERROR(__xludf.DUMMYFUNCTION("""COMPUTED_VALUE"""),"Lindsay Jacksha")</f>
        <v>Lindsay Jacksha</v>
      </c>
      <c r="T3222" s="6" t="str">
        <f>IFERROR(__xludf.DUMMYFUNCTION("""COMPUTED_VALUE"""),"lindsay.jacksha@ortrail.k12.or.us")</f>
        <v>lindsay.jacksha@ortrail.k12.or.us</v>
      </c>
      <c r="U3222" s="6" t="str">
        <f>IFERROR(__xludf.DUMMYFUNCTION("""COMPUTED_VALUE"""),"3")</f>
        <v>3</v>
      </c>
      <c r="V3222" s="6" t="str">
        <f>IFERROR(__xludf.DUMMYFUNCTION("""COMPUTED_VALUE"""),"English")</f>
        <v>English</v>
      </c>
      <c r="W3222" s="6" t="str">
        <f>IFERROR(__xludf.DUMMYFUNCTION("""COMPUTED_VALUE"""),"[]")</f>
        <v>[]</v>
      </c>
      <c r="X3222" s="6" t="str">
        <f>IFERROR(__xludf.DUMMYFUNCTION("""COMPUTED_VALUE"""),"Enrolled")</f>
        <v>Enrolled</v>
      </c>
    </row>
    <row r="3223">
      <c r="A3223" s="6" t="str">
        <f>IFERROR(__xludf.DUMMYFUNCTION("""COMPUTED_VALUE"""),"064-6086")</f>
        <v>064-6086</v>
      </c>
      <c r="B3223" s="6" t="str">
        <f>IFERROR(__xludf.DUMMYFUNCTION("""COMPUTED_VALUE"""),"64")</f>
        <v>64</v>
      </c>
      <c r="C3223" s="6" t="str">
        <f>IFERROR(__xludf.DUMMYFUNCTION("""COMPUTED_VALUE"""),"6086")</f>
        <v>6086</v>
      </c>
      <c r="D3223" s="6" t="str">
        <f>IFERROR(__xludf.DUMMYFUNCTION("""COMPUTED_VALUE"""),"Zuleika")</f>
        <v>Zuleika</v>
      </c>
      <c r="E3223" s="6" t="str">
        <f>IFERROR(__xludf.DUMMYFUNCTION("""COMPUTED_VALUE"""),"")</f>
        <v/>
      </c>
      <c r="F3223" s="6" t="str">
        <f>IFERROR(__xludf.DUMMYFUNCTION("""COMPUTED_VALUE"""),"Zurita Ortiz")</f>
        <v>Zurita Ortiz</v>
      </c>
      <c r="G3223" s="6" t="str">
        <f>IFERROR(__xludf.DUMMYFUNCTION("""COMPUTED_VALUE"""),"04/09/2017")</f>
        <v>04/09/2017</v>
      </c>
      <c r="H3223" s="6" t="str">
        <f>IFERROR(__xludf.DUMMYFUNCTION("""COMPUTED_VALUE"""),"Self Identify")</f>
        <v>Self Identify</v>
      </c>
      <c r="I3223" s="6" t="str">
        <f>IFERROR(__xludf.DUMMYFUNCTION("""COMPUTED_VALUE"""),"Level 1")</f>
        <v>Level 1</v>
      </c>
      <c r="J3223" s="6" t="str">
        <f>IFERROR(__xludf.DUMMYFUNCTION("""COMPUTED_VALUE"""),"3")</f>
        <v>3</v>
      </c>
      <c r="K3223" s="6" t="str">
        <f>IFERROR(__xludf.DUMMYFUNCTION("""COMPUTED_VALUE"""),"zuleika_zuritaortiz@stu.ortrail.k12.or.us")</f>
        <v>zuleika_zuritaortiz@stu.ortrail.k12.or.us</v>
      </c>
      <c r="L3223" s="6" t="str">
        <f>IFERROR(__xludf.DUMMYFUNCTION("""COMPUTED_VALUE"""),"Oregon Trail School District 46")</f>
        <v>Oregon Trail School District 46</v>
      </c>
      <c r="M3223" s="6" t="str">
        <f>IFERROR(__xludf.DUMMYFUNCTION("""COMPUTED_VALUE"""),"Kelso Elementary School")</f>
        <v>Kelso Elementary School</v>
      </c>
      <c r="N3223" s="6" t="str">
        <f>IFERROR(__xludf.DUMMYFUNCTION("""COMPUTED_VALUE"""),"")</f>
        <v/>
      </c>
      <c r="O3223" s="87" t="str">
        <f>IFERROR(__xludf.DUMMYFUNCTION("""COMPUTED_VALUE"""),"https://drive.google.com/drive/folders/10T2cTQHqEJZqE-st6uFKPoI?usp=share_link")</f>
        <v>https://drive.google.com/drive/folders/10T2cTQHqEJZqE-st6uFKPoI?usp=share_link</v>
      </c>
      <c r="P3223" s="6" t="str">
        <f>IFERROR(__xludf.DUMMYFUNCTION("""COMPUTED_VALUE"""),"Zuleika Zurita Ortiz")</f>
        <v>Zuleika Zurita Ortiz</v>
      </c>
      <c r="Q3223" s="6" t="str">
        <f>IFERROR(__xludf.DUMMYFUNCTION("""COMPUTED_VALUE"""),"L1")</f>
        <v>L1</v>
      </c>
      <c r="R3223" s="6">
        <f>IFERROR(__xludf.DUMMYFUNCTION("""COMPUTED_VALUE"""),1.0)</f>
        <v>1</v>
      </c>
      <c r="S3223" s="6" t="str">
        <f>IFERROR(__xludf.DUMMYFUNCTION("""COMPUTED_VALUE"""),"Marisa Hazelton")</f>
        <v>Marisa Hazelton</v>
      </c>
      <c r="T3223" s="6" t="str">
        <f>IFERROR(__xludf.DUMMYFUNCTION("""COMPUTED_VALUE"""),"marisa.hazelton@ortrail.k12.or.us")</f>
        <v>marisa.hazelton@ortrail.k12.or.us</v>
      </c>
      <c r="U3223" s="6" t="str">
        <f>IFERROR(__xludf.DUMMYFUNCTION("""COMPUTED_VALUE"""),"3")</f>
        <v>3</v>
      </c>
      <c r="V3223" s="6" t="str">
        <f>IFERROR(__xludf.DUMMYFUNCTION("""COMPUTED_VALUE"""),"English")</f>
        <v>English</v>
      </c>
      <c r="W3223" s="6" t="str">
        <f>IFERROR(__xludf.DUMMYFUNCTION("""COMPUTED_VALUE"""),"[]")</f>
        <v>[]</v>
      </c>
      <c r="X3223" s="6" t="str">
        <f>IFERROR(__xludf.DUMMYFUNCTION("""COMPUTED_VALUE"""),"Enrolled")</f>
        <v>Enrolled</v>
      </c>
    </row>
    <row r="3224">
      <c r="A3224" s="6" t="str">
        <f>IFERROR(__xludf.DUMMYFUNCTION("""COMPUTED_VALUE"""),"064-6087")</f>
        <v>064-6087</v>
      </c>
      <c r="B3224" s="6" t="str">
        <f>IFERROR(__xludf.DUMMYFUNCTION("""COMPUTED_VALUE"""),"64")</f>
        <v>64</v>
      </c>
      <c r="C3224" s="6" t="str">
        <f>IFERROR(__xludf.DUMMYFUNCTION("""COMPUTED_VALUE"""),"6087")</f>
        <v>6087</v>
      </c>
      <c r="D3224" s="6" t="str">
        <f>IFERROR(__xludf.DUMMYFUNCTION("""COMPUTED_VALUE"""),"Jace")</f>
        <v>Jace</v>
      </c>
      <c r="E3224" s="6" t="str">
        <f>IFERROR(__xludf.DUMMYFUNCTION("""COMPUTED_VALUE"""),"")</f>
        <v/>
      </c>
      <c r="F3224" s="6" t="str">
        <f>IFERROR(__xludf.DUMMYFUNCTION("""COMPUTED_VALUE"""),"Allison")</f>
        <v>Allison</v>
      </c>
      <c r="G3224" s="6" t="str">
        <f>IFERROR(__xludf.DUMMYFUNCTION("""COMPUTED_VALUE"""),"02/15/2016")</f>
        <v>02/15/2016</v>
      </c>
      <c r="H3224" s="6" t="str">
        <f>IFERROR(__xludf.DUMMYFUNCTION("""COMPUTED_VALUE"""),"Self Identify")</f>
        <v>Self Identify</v>
      </c>
      <c r="I3224" s="6" t="str">
        <f>IFERROR(__xludf.DUMMYFUNCTION("""COMPUTED_VALUE"""),"Level 2")</f>
        <v>Level 2</v>
      </c>
      <c r="J3224" s="6" t="str">
        <f>IFERROR(__xludf.DUMMYFUNCTION("""COMPUTED_VALUE"""),"4")</f>
        <v>4</v>
      </c>
      <c r="K3224" s="6" t="str">
        <f>IFERROR(__xludf.DUMMYFUNCTION("""COMPUTED_VALUE"""),"jace_allison@stu.ortrail.k12.or.us")</f>
        <v>jace_allison@stu.ortrail.k12.or.us</v>
      </c>
      <c r="L3224" s="6" t="str">
        <f>IFERROR(__xludf.DUMMYFUNCTION("""COMPUTED_VALUE"""),"Oregon Trail School District 46")</f>
        <v>Oregon Trail School District 46</v>
      </c>
      <c r="M3224" s="6" t="str">
        <f>IFERROR(__xludf.DUMMYFUNCTION("""COMPUTED_VALUE"""),"Kelso Elementary School")</f>
        <v>Kelso Elementary School</v>
      </c>
      <c r="N3224" s="6" t="str">
        <f>IFERROR(__xludf.DUMMYFUNCTION("""COMPUTED_VALUE"""),"")</f>
        <v/>
      </c>
      <c r="O3224" s="87" t="str">
        <f>IFERROR(__xludf.DUMMYFUNCTION("""COMPUTED_VALUE"""),"https://drive.google.com/drive/folders/10T2cTQHqEJZqE-st6uFKPoI?usp=share_link")</f>
        <v>https://drive.google.com/drive/folders/10T2cTQHqEJZqE-st6uFKPoI?usp=share_link</v>
      </c>
      <c r="P3224" s="6" t="str">
        <f>IFERROR(__xludf.DUMMYFUNCTION("""COMPUTED_VALUE"""),"Jace Allison")</f>
        <v>Jace Allison</v>
      </c>
      <c r="Q3224" s="6" t="str">
        <f>IFERROR(__xludf.DUMMYFUNCTION("""COMPUTED_VALUE"""),"L2")</f>
        <v>L2</v>
      </c>
      <c r="R3224" s="6">
        <f>IFERROR(__xludf.DUMMYFUNCTION("""COMPUTED_VALUE"""),2.0)</f>
        <v>2</v>
      </c>
      <c r="S3224" s="6" t="str">
        <f>IFERROR(__xludf.DUMMYFUNCTION("""COMPUTED_VALUE"""),"Jennifer Johnson")</f>
        <v>Jennifer Johnson</v>
      </c>
      <c r="T3224" s="6" t="str">
        <f>IFERROR(__xludf.DUMMYFUNCTION("""COMPUTED_VALUE"""),"jennifer.johnson@ortrail.k12.or.us")</f>
        <v>jennifer.johnson@ortrail.k12.or.us</v>
      </c>
      <c r="U3224" s="6" t="str">
        <f>IFERROR(__xludf.DUMMYFUNCTION("""COMPUTED_VALUE"""),"4")</f>
        <v>4</v>
      </c>
      <c r="V3224" s="6" t="str">
        <f>IFERROR(__xludf.DUMMYFUNCTION("""COMPUTED_VALUE"""),"English")</f>
        <v>English</v>
      </c>
      <c r="W3224" s="6" t="str">
        <f>IFERROR(__xludf.DUMMYFUNCTION("""COMPUTED_VALUE"""),"[]")</f>
        <v>[]</v>
      </c>
      <c r="X3224" s="6" t="str">
        <f>IFERROR(__xludf.DUMMYFUNCTION("""COMPUTED_VALUE"""),"Enrolled")</f>
        <v>Enrolled</v>
      </c>
    </row>
    <row r="3225">
      <c r="A3225" s="6" t="str">
        <f>IFERROR(__xludf.DUMMYFUNCTION("""COMPUTED_VALUE"""),"064-6088")</f>
        <v>064-6088</v>
      </c>
      <c r="B3225" s="6" t="str">
        <f>IFERROR(__xludf.DUMMYFUNCTION("""COMPUTED_VALUE"""),"64")</f>
        <v>64</v>
      </c>
      <c r="C3225" s="6" t="str">
        <f>IFERROR(__xludf.DUMMYFUNCTION("""COMPUTED_VALUE"""),"6088")</f>
        <v>6088</v>
      </c>
      <c r="D3225" s="6" t="str">
        <f>IFERROR(__xludf.DUMMYFUNCTION("""COMPUTED_VALUE"""),"Natalie")</f>
        <v>Natalie</v>
      </c>
      <c r="E3225" s="6" t="str">
        <f>IFERROR(__xludf.DUMMYFUNCTION("""COMPUTED_VALUE"""),"")</f>
        <v/>
      </c>
      <c r="F3225" s="6" t="str">
        <f>IFERROR(__xludf.DUMMYFUNCTION("""COMPUTED_VALUE"""),"Arnold")</f>
        <v>Arnold</v>
      </c>
      <c r="G3225" s="6" t="str">
        <f>IFERROR(__xludf.DUMMYFUNCTION("""COMPUTED_VALUE"""),"04/14/2016")</f>
        <v>04/14/2016</v>
      </c>
      <c r="H3225" s="6" t="str">
        <f>IFERROR(__xludf.DUMMYFUNCTION("""COMPUTED_VALUE"""),"Self Identify")</f>
        <v>Self Identify</v>
      </c>
      <c r="I3225" s="6" t="str">
        <f>IFERROR(__xludf.DUMMYFUNCTION("""COMPUTED_VALUE"""),"Level 2")</f>
        <v>Level 2</v>
      </c>
      <c r="J3225" s="6" t="str">
        <f>IFERROR(__xludf.DUMMYFUNCTION("""COMPUTED_VALUE"""),"4")</f>
        <v>4</v>
      </c>
      <c r="K3225" s="6" t="str">
        <f>IFERROR(__xludf.DUMMYFUNCTION("""COMPUTED_VALUE"""),"natalie_arnold@stu.ortrail.k12.or.us")</f>
        <v>natalie_arnold@stu.ortrail.k12.or.us</v>
      </c>
      <c r="L3225" s="6" t="str">
        <f>IFERROR(__xludf.DUMMYFUNCTION("""COMPUTED_VALUE"""),"Oregon Trail School District 46")</f>
        <v>Oregon Trail School District 46</v>
      </c>
      <c r="M3225" s="6" t="str">
        <f>IFERROR(__xludf.DUMMYFUNCTION("""COMPUTED_VALUE"""),"Kelso Elementary School")</f>
        <v>Kelso Elementary School</v>
      </c>
      <c r="N3225" s="6" t="str">
        <f>IFERROR(__xludf.DUMMYFUNCTION("""COMPUTED_VALUE"""),"")</f>
        <v/>
      </c>
      <c r="O3225" s="87" t="str">
        <f>IFERROR(__xludf.DUMMYFUNCTION("""COMPUTED_VALUE"""),"https://drive.google.com/drive/folders/10T2cTQHqEJZqE-st6uFKPoI?usp=share_link")</f>
        <v>https://drive.google.com/drive/folders/10T2cTQHqEJZqE-st6uFKPoI?usp=share_link</v>
      </c>
      <c r="P3225" s="6" t="str">
        <f>IFERROR(__xludf.DUMMYFUNCTION("""COMPUTED_VALUE"""),"Natalie Arnold")</f>
        <v>Natalie Arnold</v>
      </c>
      <c r="Q3225" s="6" t="str">
        <f>IFERROR(__xludf.DUMMYFUNCTION("""COMPUTED_VALUE"""),"L2")</f>
        <v>L2</v>
      </c>
      <c r="R3225" s="6">
        <f>IFERROR(__xludf.DUMMYFUNCTION("""COMPUTED_VALUE"""),2.0)</f>
        <v>2</v>
      </c>
      <c r="S3225" s="6" t="str">
        <f>IFERROR(__xludf.DUMMYFUNCTION("""COMPUTED_VALUE"""),"Samantha Scherer")</f>
        <v>Samantha Scherer</v>
      </c>
      <c r="T3225" s="6" t="str">
        <f>IFERROR(__xludf.DUMMYFUNCTION("""COMPUTED_VALUE"""),"samantha.scherer@ortrail.k12.or.us")</f>
        <v>samantha.scherer@ortrail.k12.or.us</v>
      </c>
      <c r="U3225" s="6" t="str">
        <f>IFERROR(__xludf.DUMMYFUNCTION("""COMPUTED_VALUE"""),"4")</f>
        <v>4</v>
      </c>
      <c r="V3225" s="6" t="str">
        <f>IFERROR(__xludf.DUMMYFUNCTION("""COMPUTED_VALUE"""),"English")</f>
        <v>English</v>
      </c>
      <c r="W3225" s="6" t="str">
        <f>IFERROR(__xludf.DUMMYFUNCTION("""COMPUTED_VALUE"""),"[]")</f>
        <v>[]</v>
      </c>
      <c r="X3225" s="6" t="str">
        <f>IFERROR(__xludf.DUMMYFUNCTION("""COMPUTED_VALUE"""),"Enrolled")</f>
        <v>Enrolled</v>
      </c>
    </row>
    <row r="3226">
      <c r="A3226" s="6" t="str">
        <f>IFERROR(__xludf.DUMMYFUNCTION("""COMPUTED_VALUE"""),"064-6089")</f>
        <v>064-6089</v>
      </c>
      <c r="B3226" s="6" t="str">
        <f>IFERROR(__xludf.DUMMYFUNCTION("""COMPUTED_VALUE"""),"64")</f>
        <v>64</v>
      </c>
      <c r="C3226" s="6" t="str">
        <f>IFERROR(__xludf.DUMMYFUNCTION("""COMPUTED_VALUE"""),"6089")</f>
        <v>6089</v>
      </c>
      <c r="D3226" s="6" t="str">
        <f>IFERROR(__xludf.DUMMYFUNCTION("""COMPUTED_VALUE"""),"Nora")</f>
        <v>Nora</v>
      </c>
      <c r="E3226" s="6" t="str">
        <f>IFERROR(__xludf.DUMMYFUNCTION("""COMPUTED_VALUE"""),"")</f>
        <v/>
      </c>
      <c r="F3226" s="6" t="str">
        <f>IFERROR(__xludf.DUMMYFUNCTION("""COMPUTED_VALUE"""),"Bates")</f>
        <v>Bates</v>
      </c>
      <c r="G3226" s="6" t="str">
        <f>IFERROR(__xludf.DUMMYFUNCTION("""COMPUTED_VALUE"""),"10/05/2015")</f>
        <v>10/05/2015</v>
      </c>
      <c r="H3226" s="6" t="str">
        <f>IFERROR(__xludf.DUMMYFUNCTION("""COMPUTED_VALUE"""),"Self Identify")</f>
        <v>Self Identify</v>
      </c>
      <c r="I3226" s="6" t="str">
        <f>IFERROR(__xludf.DUMMYFUNCTION("""COMPUTED_VALUE"""),"Level 2")</f>
        <v>Level 2</v>
      </c>
      <c r="J3226" s="6" t="str">
        <f>IFERROR(__xludf.DUMMYFUNCTION("""COMPUTED_VALUE"""),"4")</f>
        <v>4</v>
      </c>
      <c r="K3226" s="6" t="str">
        <f>IFERROR(__xludf.DUMMYFUNCTION("""COMPUTED_VALUE"""),"nora_bates@stu.ortrail.k12.or.us")</f>
        <v>nora_bates@stu.ortrail.k12.or.us</v>
      </c>
      <c r="L3226" s="6" t="str">
        <f>IFERROR(__xludf.DUMMYFUNCTION("""COMPUTED_VALUE"""),"Oregon Trail School District 46")</f>
        <v>Oregon Trail School District 46</v>
      </c>
      <c r="M3226" s="6" t="str">
        <f>IFERROR(__xludf.DUMMYFUNCTION("""COMPUTED_VALUE"""),"Kelso Elementary School")</f>
        <v>Kelso Elementary School</v>
      </c>
      <c r="N3226" s="6" t="str">
        <f>IFERROR(__xludf.DUMMYFUNCTION("""COMPUTED_VALUE"""),"")</f>
        <v/>
      </c>
      <c r="O3226" s="87" t="str">
        <f>IFERROR(__xludf.DUMMYFUNCTION("""COMPUTED_VALUE"""),"https://drive.google.com/drive/folders/10T2cTQHqEJZqE-st6uFKPoI?usp=share_link")</f>
        <v>https://drive.google.com/drive/folders/10T2cTQHqEJZqE-st6uFKPoI?usp=share_link</v>
      </c>
      <c r="P3226" s="6" t="str">
        <f>IFERROR(__xludf.DUMMYFUNCTION("""COMPUTED_VALUE"""),"Nora Bates")</f>
        <v>Nora Bates</v>
      </c>
      <c r="Q3226" s="6" t="str">
        <f>IFERROR(__xludf.DUMMYFUNCTION("""COMPUTED_VALUE"""),"L2")</f>
        <v>L2</v>
      </c>
      <c r="R3226" s="6">
        <f>IFERROR(__xludf.DUMMYFUNCTION("""COMPUTED_VALUE"""),2.0)</f>
        <v>2</v>
      </c>
      <c r="S3226" s="6" t="str">
        <f>IFERROR(__xludf.DUMMYFUNCTION("""COMPUTED_VALUE"""),"Samantha Scherer")</f>
        <v>Samantha Scherer</v>
      </c>
      <c r="T3226" s="6" t="str">
        <f>IFERROR(__xludf.DUMMYFUNCTION("""COMPUTED_VALUE"""),"samantha.scherer@ortrail.k12.or.us")</f>
        <v>samantha.scherer@ortrail.k12.or.us</v>
      </c>
      <c r="U3226" s="6" t="str">
        <f>IFERROR(__xludf.DUMMYFUNCTION("""COMPUTED_VALUE"""),"4")</f>
        <v>4</v>
      </c>
      <c r="V3226" s="6" t="str">
        <f>IFERROR(__xludf.DUMMYFUNCTION("""COMPUTED_VALUE"""),"English")</f>
        <v>English</v>
      </c>
      <c r="W3226" s="6" t="str">
        <f>IFERROR(__xludf.DUMMYFUNCTION("""COMPUTED_VALUE"""),"[]")</f>
        <v>[]</v>
      </c>
      <c r="X3226" s="6" t="str">
        <f>IFERROR(__xludf.DUMMYFUNCTION("""COMPUTED_VALUE"""),"Enrolled")</f>
        <v>Enrolled</v>
      </c>
    </row>
    <row r="3227">
      <c r="A3227" s="6" t="str">
        <f>IFERROR(__xludf.DUMMYFUNCTION("""COMPUTED_VALUE"""),"064-6090")</f>
        <v>064-6090</v>
      </c>
      <c r="B3227" s="6" t="str">
        <f>IFERROR(__xludf.DUMMYFUNCTION("""COMPUTED_VALUE"""),"64")</f>
        <v>64</v>
      </c>
      <c r="C3227" s="6" t="str">
        <f>IFERROR(__xludf.DUMMYFUNCTION("""COMPUTED_VALUE"""),"6090")</f>
        <v>6090</v>
      </c>
      <c r="D3227" s="6" t="str">
        <f>IFERROR(__xludf.DUMMYFUNCTION("""COMPUTED_VALUE"""),"Anderson")</f>
        <v>Anderson</v>
      </c>
      <c r="E3227" s="6" t="str">
        <f>IFERROR(__xludf.DUMMYFUNCTION("""COMPUTED_VALUE"""),"")</f>
        <v/>
      </c>
      <c r="F3227" s="6" t="str">
        <f>IFERROR(__xludf.DUMMYFUNCTION("""COMPUTED_VALUE"""),"Bell")</f>
        <v>Bell</v>
      </c>
      <c r="G3227" s="6" t="str">
        <f>IFERROR(__xludf.DUMMYFUNCTION("""COMPUTED_VALUE"""),"02/07/2016")</f>
        <v>02/07/2016</v>
      </c>
      <c r="H3227" s="6" t="str">
        <f>IFERROR(__xludf.DUMMYFUNCTION("""COMPUTED_VALUE"""),"Self Identify")</f>
        <v>Self Identify</v>
      </c>
      <c r="I3227" s="6" t="str">
        <f>IFERROR(__xludf.DUMMYFUNCTION("""COMPUTED_VALUE"""),"Level 2")</f>
        <v>Level 2</v>
      </c>
      <c r="J3227" s="6" t="str">
        <f>IFERROR(__xludf.DUMMYFUNCTION("""COMPUTED_VALUE"""),"4")</f>
        <v>4</v>
      </c>
      <c r="K3227" s="6" t="str">
        <f>IFERROR(__xludf.DUMMYFUNCTION("""COMPUTED_VALUE"""),"anderson_bell@stu.ortrail.k12.or.us")</f>
        <v>anderson_bell@stu.ortrail.k12.or.us</v>
      </c>
      <c r="L3227" s="6" t="str">
        <f>IFERROR(__xludf.DUMMYFUNCTION("""COMPUTED_VALUE"""),"Oregon Trail School District 46")</f>
        <v>Oregon Trail School District 46</v>
      </c>
      <c r="M3227" s="6" t="str">
        <f>IFERROR(__xludf.DUMMYFUNCTION("""COMPUTED_VALUE"""),"Kelso Elementary School")</f>
        <v>Kelso Elementary School</v>
      </c>
      <c r="N3227" s="6" t="str">
        <f>IFERROR(__xludf.DUMMYFUNCTION("""COMPUTED_VALUE"""),"")</f>
        <v/>
      </c>
      <c r="O3227" s="87" t="str">
        <f>IFERROR(__xludf.DUMMYFUNCTION("""COMPUTED_VALUE"""),"https://drive.google.com/drive/folders/10T2cTQHqEJZqE-st6uFKPoI?usp=share_link")</f>
        <v>https://drive.google.com/drive/folders/10T2cTQHqEJZqE-st6uFKPoI?usp=share_link</v>
      </c>
      <c r="P3227" s="6" t="str">
        <f>IFERROR(__xludf.DUMMYFUNCTION("""COMPUTED_VALUE"""),"Anderson Bell")</f>
        <v>Anderson Bell</v>
      </c>
      <c r="Q3227" s="6" t="str">
        <f>IFERROR(__xludf.DUMMYFUNCTION("""COMPUTED_VALUE"""),"L2")</f>
        <v>L2</v>
      </c>
      <c r="R3227" s="6">
        <f>IFERROR(__xludf.DUMMYFUNCTION("""COMPUTED_VALUE"""),2.0)</f>
        <v>2</v>
      </c>
      <c r="S3227" s="6" t="str">
        <f>IFERROR(__xludf.DUMMYFUNCTION("""COMPUTED_VALUE"""),"Jennifer Johnson")</f>
        <v>Jennifer Johnson</v>
      </c>
      <c r="T3227" s="6" t="str">
        <f>IFERROR(__xludf.DUMMYFUNCTION("""COMPUTED_VALUE"""),"jennifer.johnson@ortrail.k12.or.us")</f>
        <v>jennifer.johnson@ortrail.k12.or.us</v>
      </c>
      <c r="U3227" s="6" t="str">
        <f>IFERROR(__xludf.DUMMYFUNCTION("""COMPUTED_VALUE"""),"4")</f>
        <v>4</v>
      </c>
      <c r="V3227" s="6" t="str">
        <f>IFERROR(__xludf.DUMMYFUNCTION("""COMPUTED_VALUE"""),"English")</f>
        <v>English</v>
      </c>
      <c r="W3227" s="6" t="str">
        <f>IFERROR(__xludf.DUMMYFUNCTION("""COMPUTED_VALUE"""),"[]")</f>
        <v>[]</v>
      </c>
      <c r="X3227" s="6" t="str">
        <f>IFERROR(__xludf.DUMMYFUNCTION("""COMPUTED_VALUE"""),"Enrolled")</f>
        <v>Enrolled</v>
      </c>
    </row>
    <row r="3228">
      <c r="A3228" s="6" t="str">
        <f>IFERROR(__xludf.DUMMYFUNCTION("""COMPUTED_VALUE"""),"064-6091")</f>
        <v>064-6091</v>
      </c>
      <c r="B3228" s="6" t="str">
        <f>IFERROR(__xludf.DUMMYFUNCTION("""COMPUTED_VALUE"""),"64")</f>
        <v>64</v>
      </c>
      <c r="C3228" s="6" t="str">
        <f>IFERROR(__xludf.DUMMYFUNCTION("""COMPUTED_VALUE"""),"6091")</f>
        <v>6091</v>
      </c>
      <c r="D3228" s="6" t="str">
        <f>IFERROR(__xludf.DUMMYFUNCTION("""COMPUTED_VALUE"""),"Errol")</f>
        <v>Errol</v>
      </c>
      <c r="E3228" s="6" t="str">
        <f>IFERROR(__xludf.DUMMYFUNCTION("""COMPUTED_VALUE"""),"")</f>
        <v/>
      </c>
      <c r="F3228" s="6" t="str">
        <f>IFERROR(__xludf.DUMMYFUNCTION("""COMPUTED_VALUE"""),"Blanchard")</f>
        <v>Blanchard</v>
      </c>
      <c r="G3228" s="6" t="str">
        <f>IFERROR(__xludf.DUMMYFUNCTION("""COMPUTED_VALUE"""),"03/21/2015")</f>
        <v>03/21/2015</v>
      </c>
      <c r="H3228" s="6" t="str">
        <f>IFERROR(__xludf.DUMMYFUNCTION("""COMPUTED_VALUE"""),"Self Identify")</f>
        <v>Self Identify</v>
      </c>
      <c r="I3228" s="6" t="str">
        <f>IFERROR(__xludf.DUMMYFUNCTION("""COMPUTED_VALUE"""),"Level 2")</f>
        <v>Level 2</v>
      </c>
      <c r="J3228" s="6" t="str">
        <f>IFERROR(__xludf.DUMMYFUNCTION("""COMPUTED_VALUE"""),"4")</f>
        <v>4</v>
      </c>
      <c r="K3228" s="6" t="str">
        <f>IFERROR(__xludf.DUMMYFUNCTION("""COMPUTED_VALUE"""),"errol_blanchard@stu.ortrail.k12.or.us")</f>
        <v>errol_blanchard@stu.ortrail.k12.or.us</v>
      </c>
      <c r="L3228" s="6" t="str">
        <f>IFERROR(__xludf.DUMMYFUNCTION("""COMPUTED_VALUE"""),"Oregon Trail School District 46")</f>
        <v>Oregon Trail School District 46</v>
      </c>
      <c r="M3228" s="6" t="str">
        <f>IFERROR(__xludf.DUMMYFUNCTION("""COMPUTED_VALUE"""),"Kelso Elementary School")</f>
        <v>Kelso Elementary School</v>
      </c>
      <c r="N3228" s="6" t="str">
        <f>IFERROR(__xludf.DUMMYFUNCTION("""COMPUTED_VALUE"""),"")</f>
        <v/>
      </c>
      <c r="O3228" s="87" t="str">
        <f>IFERROR(__xludf.DUMMYFUNCTION("""COMPUTED_VALUE"""),"https://drive.google.com/drive/folders/10T2cTQHqEJZqE-st6uFKPoI?usp=share_link")</f>
        <v>https://drive.google.com/drive/folders/10T2cTQHqEJZqE-st6uFKPoI?usp=share_link</v>
      </c>
      <c r="P3228" s="6" t="str">
        <f>IFERROR(__xludf.DUMMYFUNCTION("""COMPUTED_VALUE"""),"Errol Blanchard")</f>
        <v>Errol Blanchard</v>
      </c>
      <c r="Q3228" s="6" t="str">
        <f>IFERROR(__xludf.DUMMYFUNCTION("""COMPUTED_VALUE"""),"L2")</f>
        <v>L2</v>
      </c>
      <c r="R3228" s="6">
        <f>IFERROR(__xludf.DUMMYFUNCTION("""COMPUTED_VALUE"""),2.0)</f>
        <v>2</v>
      </c>
      <c r="S3228" s="6" t="str">
        <f>IFERROR(__xludf.DUMMYFUNCTION("""COMPUTED_VALUE"""),"Jennifer Johnson")</f>
        <v>Jennifer Johnson</v>
      </c>
      <c r="T3228" s="6" t="str">
        <f>IFERROR(__xludf.DUMMYFUNCTION("""COMPUTED_VALUE"""),"jennifer.johnson@ortrail.k12.or.us")</f>
        <v>jennifer.johnson@ortrail.k12.or.us</v>
      </c>
      <c r="U3228" s="6" t="str">
        <f>IFERROR(__xludf.DUMMYFUNCTION("""COMPUTED_VALUE"""),"4")</f>
        <v>4</v>
      </c>
      <c r="V3228" s="6" t="str">
        <f>IFERROR(__xludf.DUMMYFUNCTION("""COMPUTED_VALUE"""),"English")</f>
        <v>English</v>
      </c>
      <c r="W3228" s="6" t="str">
        <f>IFERROR(__xludf.DUMMYFUNCTION("""COMPUTED_VALUE"""),"[]")</f>
        <v>[]</v>
      </c>
      <c r="X3228" s="6" t="str">
        <f>IFERROR(__xludf.DUMMYFUNCTION("""COMPUTED_VALUE"""),"Enrolled")</f>
        <v>Enrolled</v>
      </c>
    </row>
    <row r="3229">
      <c r="A3229" s="6" t="str">
        <f>IFERROR(__xludf.DUMMYFUNCTION("""COMPUTED_VALUE"""),"064-6092")</f>
        <v>064-6092</v>
      </c>
      <c r="B3229" s="6" t="str">
        <f>IFERROR(__xludf.DUMMYFUNCTION("""COMPUTED_VALUE"""),"64")</f>
        <v>64</v>
      </c>
      <c r="C3229" s="6" t="str">
        <f>IFERROR(__xludf.DUMMYFUNCTION("""COMPUTED_VALUE"""),"6092")</f>
        <v>6092</v>
      </c>
      <c r="D3229" s="6" t="str">
        <f>IFERROR(__xludf.DUMMYFUNCTION("""COMPUTED_VALUE"""),"Kennedy")</f>
        <v>Kennedy</v>
      </c>
      <c r="E3229" s="6" t="str">
        <f>IFERROR(__xludf.DUMMYFUNCTION("""COMPUTED_VALUE"""),"")</f>
        <v/>
      </c>
      <c r="F3229" s="6" t="str">
        <f>IFERROR(__xludf.DUMMYFUNCTION("""COMPUTED_VALUE"""),"Bolyard")</f>
        <v>Bolyard</v>
      </c>
      <c r="G3229" s="6" t="str">
        <f>IFERROR(__xludf.DUMMYFUNCTION("""COMPUTED_VALUE"""),"02/23/2016")</f>
        <v>02/23/2016</v>
      </c>
      <c r="H3229" s="6" t="str">
        <f>IFERROR(__xludf.DUMMYFUNCTION("""COMPUTED_VALUE"""),"Self Identify")</f>
        <v>Self Identify</v>
      </c>
      <c r="I3229" s="6" t="str">
        <f>IFERROR(__xludf.DUMMYFUNCTION("""COMPUTED_VALUE"""),"Level 2")</f>
        <v>Level 2</v>
      </c>
      <c r="J3229" s="6" t="str">
        <f>IFERROR(__xludf.DUMMYFUNCTION("""COMPUTED_VALUE"""),"4")</f>
        <v>4</v>
      </c>
      <c r="K3229" s="6" t="str">
        <f>IFERROR(__xludf.DUMMYFUNCTION("""COMPUTED_VALUE"""),"kennedy_bolyard@stu.ortrail.k12.or.us")</f>
        <v>kennedy_bolyard@stu.ortrail.k12.or.us</v>
      </c>
      <c r="L3229" s="6" t="str">
        <f>IFERROR(__xludf.DUMMYFUNCTION("""COMPUTED_VALUE"""),"Oregon Trail School District 46")</f>
        <v>Oregon Trail School District 46</v>
      </c>
      <c r="M3229" s="6" t="str">
        <f>IFERROR(__xludf.DUMMYFUNCTION("""COMPUTED_VALUE"""),"Kelso Elementary School")</f>
        <v>Kelso Elementary School</v>
      </c>
      <c r="N3229" s="6" t="str">
        <f>IFERROR(__xludf.DUMMYFUNCTION("""COMPUTED_VALUE"""),"")</f>
        <v/>
      </c>
      <c r="O3229" s="87" t="str">
        <f>IFERROR(__xludf.DUMMYFUNCTION("""COMPUTED_VALUE"""),"https://drive.google.com/drive/folders/10T2cTQHqEJZqE-st6uFKPoI?usp=share_link")</f>
        <v>https://drive.google.com/drive/folders/10T2cTQHqEJZqE-st6uFKPoI?usp=share_link</v>
      </c>
      <c r="P3229" s="6" t="str">
        <f>IFERROR(__xludf.DUMMYFUNCTION("""COMPUTED_VALUE"""),"Kennedy Bolyard")</f>
        <v>Kennedy Bolyard</v>
      </c>
      <c r="Q3229" s="6" t="str">
        <f>IFERROR(__xludf.DUMMYFUNCTION("""COMPUTED_VALUE"""),"L2")</f>
        <v>L2</v>
      </c>
      <c r="R3229" s="6">
        <f>IFERROR(__xludf.DUMMYFUNCTION("""COMPUTED_VALUE"""),2.0)</f>
        <v>2</v>
      </c>
      <c r="S3229" s="6" t="str">
        <f>IFERROR(__xludf.DUMMYFUNCTION("""COMPUTED_VALUE"""),"Samantha Scherer")</f>
        <v>Samantha Scherer</v>
      </c>
      <c r="T3229" s="6" t="str">
        <f>IFERROR(__xludf.DUMMYFUNCTION("""COMPUTED_VALUE"""),"samantha.scherer@ortrail.k12.or.us")</f>
        <v>samantha.scherer@ortrail.k12.or.us</v>
      </c>
      <c r="U3229" s="6" t="str">
        <f>IFERROR(__xludf.DUMMYFUNCTION("""COMPUTED_VALUE"""),"4")</f>
        <v>4</v>
      </c>
      <c r="V3229" s="6" t="str">
        <f>IFERROR(__xludf.DUMMYFUNCTION("""COMPUTED_VALUE"""),"English")</f>
        <v>English</v>
      </c>
      <c r="W3229" s="6" t="str">
        <f>IFERROR(__xludf.DUMMYFUNCTION("""COMPUTED_VALUE"""),"[]")</f>
        <v>[]</v>
      </c>
      <c r="X3229" s="6" t="str">
        <f>IFERROR(__xludf.DUMMYFUNCTION("""COMPUTED_VALUE"""),"Enrolled")</f>
        <v>Enrolled</v>
      </c>
    </row>
    <row r="3230">
      <c r="A3230" s="6" t="str">
        <f>IFERROR(__xludf.DUMMYFUNCTION("""COMPUTED_VALUE"""),"064-6094")</f>
        <v>064-6094</v>
      </c>
      <c r="B3230" s="6" t="str">
        <f>IFERROR(__xludf.DUMMYFUNCTION("""COMPUTED_VALUE"""),"64")</f>
        <v>64</v>
      </c>
      <c r="C3230" s="6" t="str">
        <f>IFERROR(__xludf.DUMMYFUNCTION("""COMPUTED_VALUE"""),"6094")</f>
        <v>6094</v>
      </c>
      <c r="D3230" s="6" t="str">
        <f>IFERROR(__xludf.DUMMYFUNCTION("""COMPUTED_VALUE"""),"Carter")</f>
        <v>Carter</v>
      </c>
      <c r="E3230" s="6" t="str">
        <f>IFERROR(__xludf.DUMMYFUNCTION("""COMPUTED_VALUE"""),"")</f>
        <v/>
      </c>
      <c r="F3230" s="6" t="str">
        <f>IFERROR(__xludf.DUMMYFUNCTION("""COMPUTED_VALUE"""),"Donaldson")</f>
        <v>Donaldson</v>
      </c>
      <c r="G3230" s="6" t="str">
        <f>IFERROR(__xludf.DUMMYFUNCTION("""COMPUTED_VALUE"""),"08/07/2016")</f>
        <v>08/07/2016</v>
      </c>
      <c r="H3230" s="6" t="str">
        <f>IFERROR(__xludf.DUMMYFUNCTION("""COMPUTED_VALUE"""),"Self Identify")</f>
        <v>Self Identify</v>
      </c>
      <c r="I3230" s="6" t="str">
        <f>IFERROR(__xludf.DUMMYFUNCTION("""COMPUTED_VALUE"""),"Level 2")</f>
        <v>Level 2</v>
      </c>
      <c r="J3230" s="6" t="str">
        <f>IFERROR(__xludf.DUMMYFUNCTION("""COMPUTED_VALUE"""),"4")</f>
        <v>4</v>
      </c>
      <c r="K3230" s="6" t="str">
        <f>IFERROR(__xludf.DUMMYFUNCTION("""COMPUTED_VALUE"""),"carter_donaldson@stu.ortrail.k12.or.us")</f>
        <v>carter_donaldson@stu.ortrail.k12.or.us</v>
      </c>
      <c r="L3230" s="6" t="str">
        <f>IFERROR(__xludf.DUMMYFUNCTION("""COMPUTED_VALUE"""),"Oregon Trail School District 46")</f>
        <v>Oregon Trail School District 46</v>
      </c>
      <c r="M3230" s="6" t="str">
        <f>IFERROR(__xludf.DUMMYFUNCTION("""COMPUTED_VALUE"""),"Kelso Elementary School")</f>
        <v>Kelso Elementary School</v>
      </c>
      <c r="N3230" s="6" t="str">
        <f>IFERROR(__xludf.DUMMYFUNCTION("""COMPUTED_VALUE"""),"")</f>
        <v/>
      </c>
      <c r="O3230" s="87" t="str">
        <f>IFERROR(__xludf.DUMMYFUNCTION("""COMPUTED_VALUE"""),"https://drive.google.com/drive/folders/10T2cTQHqEJZqE-st6uFKPoI?usp=share_link")</f>
        <v>https://drive.google.com/drive/folders/10T2cTQHqEJZqE-st6uFKPoI?usp=share_link</v>
      </c>
      <c r="P3230" s="6" t="str">
        <f>IFERROR(__xludf.DUMMYFUNCTION("""COMPUTED_VALUE"""),"Carter Donaldson")</f>
        <v>Carter Donaldson</v>
      </c>
      <c r="Q3230" s="6" t="str">
        <f>IFERROR(__xludf.DUMMYFUNCTION("""COMPUTED_VALUE"""),"L2")</f>
        <v>L2</v>
      </c>
      <c r="R3230" s="6">
        <f>IFERROR(__xludf.DUMMYFUNCTION("""COMPUTED_VALUE"""),2.0)</f>
        <v>2</v>
      </c>
      <c r="S3230" s="6" t="str">
        <f>IFERROR(__xludf.DUMMYFUNCTION("""COMPUTED_VALUE"""),"Jennifer Johnson")</f>
        <v>Jennifer Johnson</v>
      </c>
      <c r="T3230" s="6" t="str">
        <f>IFERROR(__xludf.DUMMYFUNCTION("""COMPUTED_VALUE"""),"jennifer.johnson@ortrail.k12.or.us")</f>
        <v>jennifer.johnson@ortrail.k12.or.us</v>
      </c>
      <c r="U3230" s="6" t="str">
        <f>IFERROR(__xludf.DUMMYFUNCTION("""COMPUTED_VALUE"""),"4")</f>
        <v>4</v>
      </c>
      <c r="V3230" s="6" t="str">
        <f>IFERROR(__xludf.DUMMYFUNCTION("""COMPUTED_VALUE"""),"English")</f>
        <v>English</v>
      </c>
      <c r="W3230" s="6" t="str">
        <f>IFERROR(__xludf.DUMMYFUNCTION("""COMPUTED_VALUE"""),"[]")</f>
        <v>[]</v>
      </c>
      <c r="X3230" s="6" t="str">
        <f>IFERROR(__xludf.DUMMYFUNCTION("""COMPUTED_VALUE"""),"Enrolled")</f>
        <v>Enrolled</v>
      </c>
    </row>
    <row r="3231">
      <c r="A3231" s="6" t="str">
        <f>IFERROR(__xludf.DUMMYFUNCTION("""COMPUTED_VALUE"""),"064-6095")</f>
        <v>064-6095</v>
      </c>
      <c r="B3231" s="6" t="str">
        <f>IFERROR(__xludf.DUMMYFUNCTION("""COMPUTED_VALUE"""),"64")</f>
        <v>64</v>
      </c>
      <c r="C3231" s="6" t="str">
        <f>IFERROR(__xludf.DUMMYFUNCTION("""COMPUTED_VALUE"""),"6095")</f>
        <v>6095</v>
      </c>
      <c r="D3231" s="6" t="str">
        <f>IFERROR(__xludf.DUMMYFUNCTION("""COMPUTED_VALUE"""),"Owen")</f>
        <v>Owen</v>
      </c>
      <c r="E3231" s="6" t="str">
        <f>IFERROR(__xludf.DUMMYFUNCTION("""COMPUTED_VALUE"""),"")</f>
        <v/>
      </c>
      <c r="F3231" s="6" t="str">
        <f>IFERROR(__xludf.DUMMYFUNCTION("""COMPUTED_VALUE"""),"Dooley")</f>
        <v>Dooley</v>
      </c>
      <c r="G3231" s="6" t="str">
        <f>IFERROR(__xludf.DUMMYFUNCTION("""COMPUTED_VALUE"""),"06/16/2016")</f>
        <v>06/16/2016</v>
      </c>
      <c r="H3231" s="6" t="str">
        <f>IFERROR(__xludf.DUMMYFUNCTION("""COMPUTED_VALUE"""),"Self Identify")</f>
        <v>Self Identify</v>
      </c>
      <c r="I3231" s="6" t="str">
        <f>IFERROR(__xludf.DUMMYFUNCTION("""COMPUTED_VALUE"""),"Level 2")</f>
        <v>Level 2</v>
      </c>
      <c r="J3231" s="6" t="str">
        <f>IFERROR(__xludf.DUMMYFUNCTION("""COMPUTED_VALUE"""),"4")</f>
        <v>4</v>
      </c>
      <c r="K3231" s="6" t="str">
        <f>IFERROR(__xludf.DUMMYFUNCTION("""COMPUTED_VALUE"""),"owen_dooley@stu.ortrail.k12.or.us")</f>
        <v>owen_dooley@stu.ortrail.k12.or.us</v>
      </c>
      <c r="L3231" s="6" t="str">
        <f>IFERROR(__xludf.DUMMYFUNCTION("""COMPUTED_VALUE"""),"Oregon Trail School District 46")</f>
        <v>Oregon Trail School District 46</v>
      </c>
      <c r="M3231" s="6" t="str">
        <f>IFERROR(__xludf.DUMMYFUNCTION("""COMPUTED_VALUE"""),"Kelso Elementary School")</f>
        <v>Kelso Elementary School</v>
      </c>
      <c r="N3231" s="6" t="str">
        <f>IFERROR(__xludf.DUMMYFUNCTION("""COMPUTED_VALUE"""),"")</f>
        <v/>
      </c>
      <c r="O3231" s="87" t="str">
        <f>IFERROR(__xludf.DUMMYFUNCTION("""COMPUTED_VALUE"""),"https://drive.google.com/drive/folders/10T2cTQHqEJZqE-st6uFKPoI?usp=share_link")</f>
        <v>https://drive.google.com/drive/folders/10T2cTQHqEJZqE-st6uFKPoI?usp=share_link</v>
      </c>
      <c r="P3231" s="6" t="str">
        <f>IFERROR(__xludf.DUMMYFUNCTION("""COMPUTED_VALUE"""),"Owen Dooley")</f>
        <v>Owen Dooley</v>
      </c>
      <c r="Q3231" s="6" t="str">
        <f>IFERROR(__xludf.DUMMYFUNCTION("""COMPUTED_VALUE"""),"L2")</f>
        <v>L2</v>
      </c>
      <c r="R3231" s="6">
        <f>IFERROR(__xludf.DUMMYFUNCTION("""COMPUTED_VALUE"""),2.0)</f>
        <v>2</v>
      </c>
      <c r="S3231" s="6" t="str">
        <f>IFERROR(__xludf.DUMMYFUNCTION("""COMPUTED_VALUE"""),"Jennifer Johnson")</f>
        <v>Jennifer Johnson</v>
      </c>
      <c r="T3231" s="6" t="str">
        <f>IFERROR(__xludf.DUMMYFUNCTION("""COMPUTED_VALUE"""),"jennifer.johnson@ortrail.k12.or.us")</f>
        <v>jennifer.johnson@ortrail.k12.or.us</v>
      </c>
      <c r="U3231" s="6" t="str">
        <f>IFERROR(__xludf.DUMMYFUNCTION("""COMPUTED_VALUE"""),"4")</f>
        <v>4</v>
      </c>
      <c r="V3231" s="6" t="str">
        <f>IFERROR(__xludf.DUMMYFUNCTION("""COMPUTED_VALUE"""),"English")</f>
        <v>English</v>
      </c>
      <c r="W3231" s="6" t="str">
        <f>IFERROR(__xludf.DUMMYFUNCTION("""COMPUTED_VALUE"""),"[]")</f>
        <v>[]</v>
      </c>
      <c r="X3231" s="6" t="str">
        <f>IFERROR(__xludf.DUMMYFUNCTION("""COMPUTED_VALUE"""),"Enrolled")</f>
        <v>Enrolled</v>
      </c>
    </row>
    <row r="3232">
      <c r="A3232" s="6" t="str">
        <f>IFERROR(__xludf.DUMMYFUNCTION("""COMPUTED_VALUE"""),"064-6096")</f>
        <v>064-6096</v>
      </c>
      <c r="B3232" s="6" t="str">
        <f>IFERROR(__xludf.DUMMYFUNCTION("""COMPUTED_VALUE"""),"64")</f>
        <v>64</v>
      </c>
      <c r="C3232" s="6" t="str">
        <f>IFERROR(__xludf.DUMMYFUNCTION("""COMPUTED_VALUE"""),"6096")</f>
        <v>6096</v>
      </c>
      <c r="D3232" s="6" t="str">
        <f>IFERROR(__xludf.DUMMYFUNCTION("""COMPUTED_VALUE"""),"Arra")</f>
        <v>Arra</v>
      </c>
      <c r="E3232" s="6" t="str">
        <f>IFERROR(__xludf.DUMMYFUNCTION("""COMPUTED_VALUE"""),"")</f>
        <v/>
      </c>
      <c r="F3232" s="6" t="str">
        <f>IFERROR(__xludf.DUMMYFUNCTION("""COMPUTED_VALUE"""),"Dover")</f>
        <v>Dover</v>
      </c>
      <c r="G3232" s="6" t="str">
        <f>IFERROR(__xludf.DUMMYFUNCTION("""COMPUTED_VALUE"""),"09/14/2015")</f>
        <v>09/14/2015</v>
      </c>
      <c r="H3232" s="6" t="str">
        <f>IFERROR(__xludf.DUMMYFUNCTION("""COMPUTED_VALUE"""),"Self Identify")</f>
        <v>Self Identify</v>
      </c>
      <c r="I3232" s="6" t="str">
        <f>IFERROR(__xludf.DUMMYFUNCTION("""COMPUTED_VALUE"""),"Level 2")</f>
        <v>Level 2</v>
      </c>
      <c r="J3232" s="6" t="str">
        <f>IFERROR(__xludf.DUMMYFUNCTION("""COMPUTED_VALUE"""),"4")</f>
        <v>4</v>
      </c>
      <c r="K3232" s="6" t="str">
        <f>IFERROR(__xludf.DUMMYFUNCTION("""COMPUTED_VALUE"""),"arra_dover@stu.ortrail.k12.or.us")</f>
        <v>arra_dover@stu.ortrail.k12.or.us</v>
      </c>
      <c r="L3232" s="6" t="str">
        <f>IFERROR(__xludf.DUMMYFUNCTION("""COMPUTED_VALUE"""),"Oregon Trail School District 46")</f>
        <v>Oregon Trail School District 46</v>
      </c>
      <c r="M3232" s="6" t="str">
        <f>IFERROR(__xludf.DUMMYFUNCTION("""COMPUTED_VALUE"""),"Kelso Elementary School")</f>
        <v>Kelso Elementary School</v>
      </c>
      <c r="N3232" s="6" t="str">
        <f>IFERROR(__xludf.DUMMYFUNCTION("""COMPUTED_VALUE"""),"")</f>
        <v/>
      </c>
      <c r="O3232" s="87" t="str">
        <f>IFERROR(__xludf.DUMMYFUNCTION("""COMPUTED_VALUE"""),"https://drive.google.com/drive/folders/10T2cTQHqEJZqE-st6uFKPoI?usp=share_link")</f>
        <v>https://drive.google.com/drive/folders/10T2cTQHqEJZqE-st6uFKPoI?usp=share_link</v>
      </c>
      <c r="P3232" s="6" t="str">
        <f>IFERROR(__xludf.DUMMYFUNCTION("""COMPUTED_VALUE"""),"Arra Dover")</f>
        <v>Arra Dover</v>
      </c>
      <c r="Q3232" s="6" t="str">
        <f>IFERROR(__xludf.DUMMYFUNCTION("""COMPUTED_VALUE"""),"L2")</f>
        <v>L2</v>
      </c>
      <c r="R3232" s="6">
        <f>IFERROR(__xludf.DUMMYFUNCTION("""COMPUTED_VALUE"""),2.0)</f>
        <v>2</v>
      </c>
      <c r="S3232" s="6" t="str">
        <f>IFERROR(__xludf.DUMMYFUNCTION("""COMPUTED_VALUE"""),"Jennifer Johnson")</f>
        <v>Jennifer Johnson</v>
      </c>
      <c r="T3232" s="6" t="str">
        <f>IFERROR(__xludf.DUMMYFUNCTION("""COMPUTED_VALUE"""),"jennifer.johnson@ortrail.k12.or.us")</f>
        <v>jennifer.johnson@ortrail.k12.or.us</v>
      </c>
      <c r="U3232" s="6" t="str">
        <f>IFERROR(__xludf.DUMMYFUNCTION("""COMPUTED_VALUE"""),"4")</f>
        <v>4</v>
      </c>
      <c r="V3232" s="6" t="str">
        <f>IFERROR(__xludf.DUMMYFUNCTION("""COMPUTED_VALUE"""),"English")</f>
        <v>English</v>
      </c>
      <c r="W3232" s="6" t="str">
        <f>IFERROR(__xludf.DUMMYFUNCTION("""COMPUTED_VALUE"""),"[]")</f>
        <v>[]</v>
      </c>
      <c r="X3232" s="6" t="str">
        <f>IFERROR(__xludf.DUMMYFUNCTION("""COMPUTED_VALUE"""),"Enrolled")</f>
        <v>Enrolled</v>
      </c>
    </row>
    <row r="3233">
      <c r="A3233" s="6" t="str">
        <f>IFERROR(__xludf.DUMMYFUNCTION("""COMPUTED_VALUE"""),"064-6097")</f>
        <v>064-6097</v>
      </c>
      <c r="B3233" s="6" t="str">
        <f>IFERROR(__xludf.DUMMYFUNCTION("""COMPUTED_VALUE"""),"64")</f>
        <v>64</v>
      </c>
      <c r="C3233" s="6" t="str">
        <f>IFERROR(__xludf.DUMMYFUNCTION("""COMPUTED_VALUE"""),"6097")</f>
        <v>6097</v>
      </c>
      <c r="D3233" s="6" t="str">
        <f>IFERROR(__xludf.DUMMYFUNCTION("""COMPUTED_VALUE"""),"Madelyn")</f>
        <v>Madelyn</v>
      </c>
      <c r="E3233" s="6" t="str">
        <f>IFERROR(__xludf.DUMMYFUNCTION("""COMPUTED_VALUE"""),"")</f>
        <v/>
      </c>
      <c r="F3233" s="6" t="str">
        <f>IFERROR(__xludf.DUMMYFUNCTION("""COMPUTED_VALUE"""),"Fisher")</f>
        <v>Fisher</v>
      </c>
      <c r="G3233" s="6" t="str">
        <f>IFERROR(__xludf.DUMMYFUNCTION("""COMPUTED_VALUE"""),"09/13/2015")</f>
        <v>09/13/2015</v>
      </c>
      <c r="H3233" s="6" t="str">
        <f>IFERROR(__xludf.DUMMYFUNCTION("""COMPUTED_VALUE"""),"Self Identify")</f>
        <v>Self Identify</v>
      </c>
      <c r="I3233" s="6" t="str">
        <f>IFERROR(__xludf.DUMMYFUNCTION("""COMPUTED_VALUE"""),"Level 2")</f>
        <v>Level 2</v>
      </c>
      <c r="J3233" s="6" t="str">
        <f>IFERROR(__xludf.DUMMYFUNCTION("""COMPUTED_VALUE"""),"4")</f>
        <v>4</v>
      </c>
      <c r="K3233" s="6" t="str">
        <f>IFERROR(__xludf.DUMMYFUNCTION("""COMPUTED_VALUE"""),"maddiel_fisher@stu.ortrail.k12.or.us")</f>
        <v>maddiel_fisher@stu.ortrail.k12.or.us</v>
      </c>
      <c r="L3233" s="6" t="str">
        <f>IFERROR(__xludf.DUMMYFUNCTION("""COMPUTED_VALUE"""),"Oregon Trail School District 46")</f>
        <v>Oregon Trail School District 46</v>
      </c>
      <c r="M3233" s="6" t="str">
        <f>IFERROR(__xludf.DUMMYFUNCTION("""COMPUTED_VALUE"""),"Kelso Elementary School")</f>
        <v>Kelso Elementary School</v>
      </c>
      <c r="N3233" s="6" t="str">
        <f>IFERROR(__xludf.DUMMYFUNCTION("""COMPUTED_VALUE"""),"")</f>
        <v/>
      </c>
      <c r="O3233" s="87" t="str">
        <f>IFERROR(__xludf.DUMMYFUNCTION("""COMPUTED_VALUE"""),"https://drive.google.com/drive/folders/10T2cTQHqEJZqE-st6uFKPoI?usp=share_link")</f>
        <v>https://drive.google.com/drive/folders/10T2cTQHqEJZqE-st6uFKPoI?usp=share_link</v>
      </c>
      <c r="P3233" s="6" t="str">
        <f>IFERROR(__xludf.DUMMYFUNCTION("""COMPUTED_VALUE"""),"Madelyn Fisher")</f>
        <v>Madelyn Fisher</v>
      </c>
      <c r="Q3233" s="6" t="str">
        <f>IFERROR(__xludf.DUMMYFUNCTION("""COMPUTED_VALUE"""),"L2")</f>
        <v>L2</v>
      </c>
      <c r="R3233" s="6">
        <f>IFERROR(__xludf.DUMMYFUNCTION("""COMPUTED_VALUE"""),2.0)</f>
        <v>2</v>
      </c>
      <c r="S3233" s="6" t="str">
        <f>IFERROR(__xludf.DUMMYFUNCTION("""COMPUTED_VALUE"""),"Samantha Scherer")</f>
        <v>Samantha Scherer</v>
      </c>
      <c r="T3233" s="6" t="str">
        <f>IFERROR(__xludf.DUMMYFUNCTION("""COMPUTED_VALUE"""),"samantha.scherer@ortrail.k12.or.us")</f>
        <v>samantha.scherer@ortrail.k12.or.us</v>
      </c>
      <c r="U3233" s="6" t="str">
        <f>IFERROR(__xludf.DUMMYFUNCTION("""COMPUTED_VALUE"""),"4")</f>
        <v>4</v>
      </c>
      <c r="V3233" s="6" t="str">
        <f>IFERROR(__xludf.DUMMYFUNCTION("""COMPUTED_VALUE"""),"English")</f>
        <v>English</v>
      </c>
      <c r="W3233" s="6" t="str">
        <f>IFERROR(__xludf.DUMMYFUNCTION("""COMPUTED_VALUE"""),"[]")</f>
        <v>[]</v>
      </c>
      <c r="X3233" s="6" t="str">
        <f>IFERROR(__xludf.DUMMYFUNCTION("""COMPUTED_VALUE"""),"Enrolled")</f>
        <v>Enrolled</v>
      </c>
    </row>
    <row r="3234">
      <c r="A3234" s="6" t="str">
        <f>IFERROR(__xludf.DUMMYFUNCTION("""COMPUTED_VALUE"""),"064-6098")</f>
        <v>064-6098</v>
      </c>
      <c r="B3234" s="6" t="str">
        <f>IFERROR(__xludf.DUMMYFUNCTION("""COMPUTED_VALUE"""),"64")</f>
        <v>64</v>
      </c>
      <c r="C3234" s="6" t="str">
        <f>IFERROR(__xludf.DUMMYFUNCTION("""COMPUTED_VALUE"""),"6098")</f>
        <v>6098</v>
      </c>
      <c r="D3234" s="6" t="str">
        <f>IFERROR(__xludf.DUMMYFUNCTION("""COMPUTED_VALUE"""),"Declyn")</f>
        <v>Declyn</v>
      </c>
      <c r="E3234" s="6" t="str">
        <f>IFERROR(__xludf.DUMMYFUNCTION("""COMPUTED_VALUE"""),"")</f>
        <v/>
      </c>
      <c r="F3234" s="6" t="str">
        <f>IFERROR(__xludf.DUMMYFUNCTION("""COMPUTED_VALUE"""),"Fitch")</f>
        <v>Fitch</v>
      </c>
      <c r="G3234" s="6" t="str">
        <f>IFERROR(__xludf.DUMMYFUNCTION("""COMPUTED_VALUE"""),"08/13/2015")</f>
        <v>08/13/2015</v>
      </c>
      <c r="H3234" s="6" t="str">
        <f>IFERROR(__xludf.DUMMYFUNCTION("""COMPUTED_VALUE"""),"Self Identify")</f>
        <v>Self Identify</v>
      </c>
      <c r="I3234" s="6" t="str">
        <f>IFERROR(__xludf.DUMMYFUNCTION("""COMPUTED_VALUE"""),"Level 2")</f>
        <v>Level 2</v>
      </c>
      <c r="J3234" s="6" t="str">
        <f>IFERROR(__xludf.DUMMYFUNCTION("""COMPUTED_VALUE"""),"4")</f>
        <v>4</v>
      </c>
      <c r="K3234" s="6" t="str">
        <f>IFERROR(__xludf.DUMMYFUNCTION("""COMPUTED_VALUE"""),"declyn_fitch@stu.ortrail.k12.or.us")</f>
        <v>declyn_fitch@stu.ortrail.k12.or.us</v>
      </c>
      <c r="L3234" s="6" t="str">
        <f>IFERROR(__xludf.DUMMYFUNCTION("""COMPUTED_VALUE"""),"Oregon Trail School District 46")</f>
        <v>Oregon Trail School District 46</v>
      </c>
      <c r="M3234" s="6" t="str">
        <f>IFERROR(__xludf.DUMMYFUNCTION("""COMPUTED_VALUE"""),"Kelso Elementary School")</f>
        <v>Kelso Elementary School</v>
      </c>
      <c r="N3234" s="6" t="str">
        <f>IFERROR(__xludf.DUMMYFUNCTION("""COMPUTED_VALUE"""),"")</f>
        <v/>
      </c>
      <c r="O3234" s="87" t="str">
        <f>IFERROR(__xludf.DUMMYFUNCTION("""COMPUTED_VALUE"""),"https://drive.google.com/drive/folders/10T2cTQHqEJZqE-st6uFKPoI?usp=share_link")</f>
        <v>https://drive.google.com/drive/folders/10T2cTQHqEJZqE-st6uFKPoI?usp=share_link</v>
      </c>
      <c r="P3234" s="6" t="str">
        <f>IFERROR(__xludf.DUMMYFUNCTION("""COMPUTED_VALUE"""),"Declyn Fitch")</f>
        <v>Declyn Fitch</v>
      </c>
      <c r="Q3234" s="6" t="str">
        <f>IFERROR(__xludf.DUMMYFUNCTION("""COMPUTED_VALUE"""),"L2")</f>
        <v>L2</v>
      </c>
      <c r="R3234" s="6">
        <f>IFERROR(__xludf.DUMMYFUNCTION("""COMPUTED_VALUE"""),2.0)</f>
        <v>2</v>
      </c>
      <c r="S3234" s="6" t="str">
        <f>IFERROR(__xludf.DUMMYFUNCTION("""COMPUTED_VALUE"""),"Samantha Scherer")</f>
        <v>Samantha Scherer</v>
      </c>
      <c r="T3234" s="6" t="str">
        <f>IFERROR(__xludf.DUMMYFUNCTION("""COMPUTED_VALUE"""),"samantha.scherer@ortrail.k12.or.us")</f>
        <v>samantha.scherer@ortrail.k12.or.us</v>
      </c>
      <c r="U3234" s="6" t="str">
        <f>IFERROR(__xludf.DUMMYFUNCTION("""COMPUTED_VALUE"""),"4")</f>
        <v>4</v>
      </c>
      <c r="V3234" s="6" t="str">
        <f>IFERROR(__xludf.DUMMYFUNCTION("""COMPUTED_VALUE"""),"English")</f>
        <v>English</v>
      </c>
      <c r="W3234" s="6" t="str">
        <f>IFERROR(__xludf.DUMMYFUNCTION("""COMPUTED_VALUE"""),"[]")</f>
        <v>[]</v>
      </c>
      <c r="X3234" s="6" t="str">
        <f>IFERROR(__xludf.DUMMYFUNCTION("""COMPUTED_VALUE"""),"Enrolled")</f>
        <v>Enrolled</v>
      </c>
    </row>
    <row r="3235">
      <c r="A3235" s="6" t="str">
        <f>IFERROR(__xludf.DUMMYFUNCTION("""COMPUTED_VALUE"""),"064-6099")</f>
        <v>064-6099</v>
      </c>
      <c r="B3235" s="6" t="str">
        <f>IFERROR(__xludf.DUMMYFUNCTION("""COMPUTED_VALUE"""),"64")</f>
        <v>64</v>
      </c>
      <c r="C3235" s="6" t="str">
        <f>IFERROR(__xludf.DUMMYFUNCTION("""COMPUTED_VALUE"""),"6099")</f>
        <v>6099</v>
      </c>
      <c r="D3235" s="6" t="str">
        <f>IFERROR(__xludf.DUMMYFUNCTION("""COMPUTED_VALUE"""),"Daniel")</f>
        <v>Daniel</v>
      </c>
      <c r="E3235" s="6" t="str">
        <f>IFERROR(__xludf.DUMMYFUNCTION("""COMPUTED_VALUE"""),"")</f>
        <v/>
      </c>
      <c r="F3235" s="6" t="str">
        <f>IFERROR(__xludf.DUMMYFUNCTION("""COMPUTED_VALUE"""),"Garrison")</f>
        <v>Garrison</v>
      </c>
      <c r="G3235" s="6" t="str">
        <f>IFERROR(__xludf.DUMMYFUNCTION("""COMPUTED_VALUE"""),"08/21/2015")</f>
        <v>08/21/2015</v>
      </c>
      <c r="H3235" s="6" t="str">
        <f>IFERROR(__xludf.DUMMYFUNCTION("""COMPUTED_VALUE"""),"Self Identify")</f>
        <v>Self Identify</v>
      </c>
      <c r="I3235" s="6" t="str">
        <f>IFERROR(__xludf.DUMMYFUNCTION("""COMPUTED_VALUE"""),"Level 2")</f>
        <v>Level 2</v>
      </c>
      <c r="J3235" s="6" t="str">
        <f>IFERROR(__xludf.DUMMYFUNCTION("""COMPUTED_VALUE"""),"4")</f>
        <v>4</v>
      </c>
      <c r="K3235" s="6" t="str">
        <f>IFERROR(__xludf.DUMMYFUNCTION("""COMPUTED_VALUE"""),"daniel_garrison@stu.ortrail.k12.or.us")</f>
        <v>daniel_garrison@stu.ortrail.k12.or.us</v>
      </c>
      <c r="L3235" s="6" t="str">
        <f>IFERROR(__xludf.DUMMYFUNCTION("""COMPUTED_VALUE"""),"Oregon Trail School District 46")</f>
        <v>Oregon Trail School District 46</v>
      </c>
      <c r="M3235" s="6" t="str">
        <f>IFERROR(__xludf.DUMMYFUNCTION("""COMPUTED_VALUE"""),"Kelso Elementary School")</f>
        <v>Kelso Elementary School</v>
      </c>
      <c r="N3235" s="6" t="str">
        <f>IFERROR(__xludf.DUMMYFUNCTION("""COMPUTED_VALUE"""),"")</f>
        <v/>
      </c>
      <c r="O3235" s="87" t="str">
        <f>IFERROR(__xludf.DUMMYFUNCTION("""COMPUTED_VALUE"""),"https://drive.google.com/drive/folders/10T2cTQHqEJZqE-st6uFKPoI?usp=share_link")</f>
        <v>https://drive.google.com/drive/folders/10T2cTQHqEJZqE-st6uFKPoI?usp=share_link</v>
      </c>
      <c r="P3235" s="6" t="str">
        <f>IFERROR(__xludf.DUMMYFUNCTION("""COMPUTED_VALUE"""),"Daniel Garrison")</f>
        <v>Daniel Garrison</v>
      </c>
      <c r="Q3235" s="6" t="str">
        <f>IFERROR(__xludf.DUMMYFUNCTION("""COMPUTED_VALUE"""),"L2")</f>
        <v>L2</v>
      </c>
      <c r="R3235" s="6">
        <f>IFERROR(__xludf.DUMMYFUNCTION("""COMPUTED_VALUE"""),2.0)</f>
        <v>2</v>
      </c>
      <c r="S3235" s="6" t="str">
        <f>IFERROR(__xludf.DUMMYFUNCTION("""COMPUTED_VALUE"""),"Samantha Scherer")</f>
        <v>Samantha Scherer</v>
      </c>
      <c r="T3235" s="6" t="str">
        <f>IFERROR(__xludf.DUMMYFUNCTION("""COMPUTED_VALUE"""),"samantha.scherer@ortrail.k12.or.us")</f>
        <v>samantha.scherer@ortrail.k12.or.us</v>
      </c>
      <c r="U3235" s="6" t="str">
        <f>IFERROR(__xludf.DUMMYFUNCTION("""COMPUTED_VALUE"""),"4")</f>
        <v>4</v>
      </c>
      <c r="V3235" s="6" t="str">
        <f>IFERROR(__xludf.DUMMYFUNCTION("""COMPUTED_VALUE"""),"English")</f>
        <v>English</v>
      </c>
      <c r="W3235" s="6" t="str">
        <f>IFERROR(__xludf.DUMMYFUNCTION("""COMPUTED_VALUE"""),"[]")</f>
        <v>[]</v>
      </c>
      <c r="X3235" s="6" t="str">
        <f>IFERROR(__xludf.DUMMYFUNCTION("""COMPUTED_VALUE"""),"Enrolled")</f>
        <v>Enrolled</v>
      </c>
    </row>
    <row r="3236">
      <c r="A3236" s="6" t="str">
        <f>IFERROR(__xludf.DUMMYFUNCTION("""COMPUTED_VALUE"""),"064-6100")</f>
        <v>064-6100</v>
      </c>
      <c r="B3236" s="6" t="str">
        <f>IFERROR(__xludf.DUMMYFUNCTION("""COMPUTED_VALUE"""),"64")</f>
        <v>64</v>
      </c>
      <c r="C3236" s="6" t="str">
        <f>IFERROR(__xludf.DUMMYFUNCTION("""COMPUTED_VALUE"""),"6100")</f>
        <v>6100</v>
      </c>
      <c r="D3236" s="6" t="str">
        <f>IFERROR(__xludf.DUMMYFUNCTION("""COMPUTED_VALUE"""),"Madison")</f>
        <v>Madison</v>
      </c>
      <c r="E3236" s="6" t="str">
        <f>IFERROR(__xludf.DUMMYFUNCTION("""COMPUTED_VALUE"""),"")</f>
        <v/>
      </c>
      <c r="F3236" s="6" t="str">
        <f>IFERROR(__xludf.DUMMYFUNCTION("""COMPUTED_VALUE"""),"Gurule")</f>
        <v>Gurule</v>
      </c>
      <c r="G3236" s="6" t="str">
        <f>IFERROR(__xludf.DUMMYFUNCTION("""COMPUTED_VALUE"""),"08/11/2016")</f>
        <v>08/11/2016</v>
      </c>
      <c r="H3236" s="6" t="str">
        <f>IFERROR(__xludf.DUMMYFUNCTION("""COMPUTED_VALUE"""),"Self Identify")</f>
        <v>Self Identify</v>
      </c>
      <c r="I3236" s="6" t="str">
        <f>IFERROR(__xludf.DUMMYFUNCTION("""COMPUTED_VALUE"""),"Level 2")</f>
        <v>Level 2</v>
      </c>
      <c r="J3236" s="6" t="str">
        <f>IFERROR(__xludf.DUMMYFUNCTION("""COMPUTED_VALUE"""),"4")</f>
        <v>4</v>
      </c>
      <c r="K3236" s="6" t="str">
        <f>IFERROR(__xludf.DUMMYFUNCTION("""COMPUTED_VALUE"""),"madison_gurule@stu.ortrail.k12.or.us")</f>
        <v>madison_gurule@stu.ortrail.k12.or.us</v>
      </c>
      <c r="L3236" s="6" t="str">
        <f>IFERROR(__xludf.DUMMYFUNCTION("""COMPUTED_VALUE"""),"Oregon Trail School District 46")</f>
        <v>Oregon Trail School District 46</v>
      </c>
      <c r="M3236" s="6" t="str">
        <f>IFERROR(__xludf.DUMMYFUNCTION("""COMPUTED_VALUE"""),"Kelso Elementary School")</f>
        <v>Kelso Elementary School</v>
      </c>
      <c r="N3236" s="6" t="str">
        <f>IFERROR(__xludf.DUMMYFUNCTION("""COMPUTED_VALUE"""),"")</f>
        <v/>
      </c>
      <c r="O3236" s="87" t="str">
        <f>IFERROR(__xludf.DUMMYFUNCTION("""COMPUTED_VALUE"""),"https://drive.google.com/drive/folders/10T2cTQHqEJZqE-st6uFKPoI?usp=share_link")</f>
        <v>https://drive.google.com/drive/folders/10T2cTQHqEJZqE-st6uFKPoI?usp=share_link</v>
      </c>
      <c r="P3236" s="6" t="str">
        <f>IFERROR(__xludf.DUMMYFUNCTION("""COMPUTED_VALUE"""),"Madison Gurule")</f>
        <v>Madison Gurule</v>
      </c>
      <c r="Q3236" s="6" t="str">
        <f>IFERROR(__xludf.DUMMYFUNCTION("""COMPUTED_VALUE"""),"L2")</f>
        <v>L2</v>
      </c>
      <c r="R3236" s="6">
        <f>IFERROR(__xludf.DUMMYFUNCTION("""COMPUTED_VALUE"""),2.0)</f>
        <v>2</v>
      </c>
      <c r="S3236" s="6" t="str">
        <f>IFERROR(__xludf.DUMMYFUNCTION("""COMPUTED_VALUE"""),"Samantha Scherer")</f>
        <v>Samantha Scherer</v>
      </c>
      <c r="T3236" s="6" t="str">
        <f>IFERROR(__xludf.DUMMYFUNCTION("""COMPUTED_VALUE"""),"samantha.scherer@ortrail.k12.or.us")</f>
        <v>samantha.scherer@ortrail.k12.or.us</v>
      </c>
      <c r="U3236" s="6" t="str">
        <f>IFERROR(__xludf.DUMMYFUNCTION("""COMPUTED_VALUE"""),"4")</f>
        <v>4</v>
      </c>
      <c r="V3236" s="6" t="str">
        <f>IFERROR(__xludf.DUMMYFUNCTION("""COMPUTED_VALUE"""),"English")</f>
        <v>English</v>
      </c>
      <c r="W3236" s="6" t="str">
        <f>IFERROR(__xludf.DUMMYFUNCTION("""COMPUTED_VALUE"""),"[]")</f>
        <v>[]</v>
      </c>
      <c r="X3236" s="6" t="str">
        <f>IFERROR(__xludf.DUMMYFUNCTION("""COMPUTED_VALUE"""),"Enrolled")</f>
        <v>Enrolled</v>
      </c>
    </row>
    <row r="3237">
      <c r="A3237" s="6" t="str">
        <f>IFERROR(__xludf.DUMMYFUNCTION("""COMPUTED_VALUE"""),"064-6101")</f>
        <v>064-6101</v>
      </c>
      <c r="B3237" s="6" t="str">
        <f>IFERROR(__xludf.DUMMYFUNCTION("""COMPUTED_VALUE"""),"64")</f>
        <v>64</v>
      </c>
      <c r="C3237" s="6" t="str">
        <f>IFERROR(__xludf.DUMMYFUNCTION("""COMPUTED_VALUE"""),"6101")</f>
        <v>6101</v>
      </c>
      <c r="D3237" s="6" t="str">
        <f>IFERROR(__xludf.DUMMYFUNCTION("""COMPUTED_VALUE"""),"Elsie")</f>
        <v>Elsie</v>
      </c>
      <c r="E3237" s="6" t="str">
        <f>IFERROR(__xludf.DUMMYFUNCTION("""COMPUTED_VALUE"""),"")</f>
        <v/>
      </c>
      <c r="F3237" s="6" t="str">
        <f>IFERROR(__xludf.DUMMYFUNCTION("""COMPUTED_VALUE"""),"Hakala")</f>
        <v>Hakala</v>
      </c>
      <c r="G3237" s="6" t="str">
        <f>IFERROR(__xludf.DUMMYFUNCTION("""COMPUTED_VALUE"""),"01/07/2016")</f>
        <v>01/07/2016</v>
      </c>
      <c r="H3237" s="6" t="str">
        <f>IFERROR(__xludf.DUMMYFUNCTION("""COMPUTED_VALUE"""),"Self Identify")</f>
        <v>Self Identify</v>
      </c>
      <c r="I3237" s="6" t="str">
        <f>IFERROR(__xludf.DUMMYFUNCTION("""COMPUTED_VALUE"""),"Level 2")</f>
        <v>Level 2</v>
      </c>
      <c r="J3237" s="6" t="str">
        <f>IFERROR(__xludf.DUMMYFUNCTION("""COMPUTED_VALUE"""),"4")</f>
        <v>4</v>
      </c>
      <c r="K3237" s="6" t="str">
        <f>IFERROR(__xludf.DUMMYFUNCTION("""COMPUTED_VALUE"""),"elsie_hakala@stu.ortrail.k12.or.us")</f>
        <v>elsie_hakala@stu.ortrail.k12.or.us</v>
      </c>
      <c r="L3237" s="6" t="str">
        <f>IFERROR(__xludf.DUMMYFUNCTION("""COMPUTED_VALUE"""),"Oregon Trail School District 46")</f>
        <v>Oregon Trail School District 46</v>
      </c>
      <c r="M3237" s="6" t="str">
        <f>IFERROR(__xludf.DUMMYFUNCTION("""COMPUTED_VALUE"""),"Kelso Elementary School")</f>
        <v>Kelso Elementary School</v>
      </c>
      <c r="N3237" s="6" t="str">
        <f>IFERROR(__xludf.DUMMYFUNCTION("""COMPUTED_VALUE"""),"")</f>
        <v/>
      </c>
      <c r="O3237" s="87" t="str">
        <f>IFERROR(__xludf.DUMMYFUNCTION("""COMPUTED_VALUE"""),"https://drive.google.com/drive/folders/10T2cTQHqEJZqE-st6uFKPoI?usp=share_link")</f>
        <v>https://drive.google.com/drive/folders/10T2cTQHqEJZqE-st6uFKPoI?usp=share_link</v>
      </c>
      <c r="P3237" s="6" t="str">
        <f>IFERROR(__xludf.DUMMYFUNCTION("""COMPUTED_VALUE"""),"Elsie Hakala")</f>
        <v>Elsie Hakala</v>
      </c>
      <c r="Q3237" s="6" t="str">
        <f>IFERROR(__xludf.DUMMYFUNCTION("""COMPUTED_VALUE"""),"L2")</f>
        <v>L2</v>
      </c>
      <c r="R3237" s="6">
        <f>IFERROR(__xludf.DUMMYFUNCTION("""COMPUTED_VALUE"""),2.0)</f>
        <v>2</v>
      </c>
      <c r="S3237" s="6" t="str">
        <f>IFERROR(__xludf.DUMMYFUNCTION("""COMPUTED_VALUE"""),"Jennifer Johnson")</f>
        <v>Jennifer Johnson</v>
      </c>
      <c r="T3237" s="6" t="str">
        <f>IFERROR(__xludf.DUMMYFUNCTION("""COMPUTED_VALUE"""),"jennifer.johnson@ortrail.k12.or.us")</f>
        <v>jennifer.johnson@ortrail.k12.or.us</v>
      </c>
      <c r="U3237" s="6" t="str">
        <f>IFERROR(__xludf.DUMMYFUNCTION("""COMPUTED_VALUE"""),"4")</f>
        <v>4</v>
      </c>
      <c r="V3237" s="6" t="str">
        <f>IFERROR(__xludf.DUMMYFUNCTION("""COMPUTED_VALUE"""),"English")</f>
        <v>English</v>
      </c>
      <c r="W3237" s="6" t="str">
        <f>IFERROR(__xludf.DUMMYFUNCTION("""COMPUTED_VALUE"""),"[]")</f>
        <v>[]</v>
      </c>
      <c r="X3237" s="6" t="str">
        <f>IFERROR(__xludf.DUMMYFUNCTION("""COMPUTED_VALUE"""),"Enrolled")</f>
        <v>Enrolled</v>
      </c>
    </row>
    <row r="3238">
      <c r="A3238" s="6" t="str">
        <f>IFERROR(__xludf.DUMMYFUNCTION("""COMPUTED_VALUE"""),"064-6102")</f>
        <v>064-6102</v>
      </c>
      <c r="B3238" s="6" t="str">
        <f>IFERROR(__xludf.DUMMYFUNCTION("""COMPUTED_VALUE"""),"64")</f>
        <v>64</v>
      </c>
      <c r="C3238" s="6" t="str">
        <f>IFERROR(__xludf.DUMMYFUNCTION("""COMPUTED_VALUE"""),"6102")</f>
        <v>6102</v>
      </c>
      <c r="D3238" s="6" t="str">
        <f>IFERROR(__xludf.DUMMYFUNCTION("""COMPUTED_VALUE"""),"Parker")</f>
        <v>Parker</v>
      </c>
      <c r="E3238" s="6" t="str">
        <f>IFERROR(__xludf.DUMMYFUNCTION("""COMPUTED_VALUE"""),"")</f>
        <v/>
      </c>
      <c r="F3238" s="6" t="str">
        <f>IFERROR(__xludf.DUMMYFUNCTION("""COMPUTED_VALUE"""),"Harris")</f>
        <v>Harris</v>
      </c>
      <c r="G3238" s="6" t="str">
        <f>IFERROR(__xludf.DUMMYFUNCTION("""COMPUTED_VALUE"""),"05/15/2016")</f>
        <v>05/15/2016</v>
      </c>
      <c r="H3238" s="6" t="str">
        <f>IFERROR(__xludf.DUMMYFUNCTION("""COMPUTED_VALUE"""),"Self Identify")</f>
        <v>Self Identify</v>
      </c>
      <c r="I3238" s="6" t="str">
        <f>IFERROR(__xludf.DUMMYFUNCTION("""COMPUTED_VALUE"""),"Level 2")</f>
        <v>Level 2</v>
      </c>
      <c r="J3238" s="6" t="str">
        <f>IFERROR(__xludf.DUMMYFUNCTION("""COMPUTED_VALUE"""),"4")</f>
        <v>4</v>
      </c>
      <c r="K3238" s="6" t="str">
        <f>IFERROR(__xludf.DUMMYFUNCTION("""COMPUTED_VALUE"""),"parker_harris@stu.ortrail.k12.or.us")</f>
        <v>parker_harris@stu.ortrail.k12.or.us</v>
      </c>
      <c r="L3238" s="6" t="str">
        <f>IFERROR(__xludf.DUMMYFUNCTION("""COMPUTED_VALUE"""),"Oregon Trail School District 46")</f>
        <v>Oregon Trail School District 46</v>
      </c>
      <c r="M3238" s="6" t="str">
        <f>IFERROR(__xludf.DUMMYFUNCTION("""COMPUTED_VALUE"""),"Kelso Elementary School")</f>
        <v>Kelso Elementary School</v>
      </c>
      <c r="N3238" s="6" t="str">
        <f>IFERROR(__xludf.DUMMYFUNCTION("""COMPUTED_VALUE"""),"")</f>
        <v/>
      </c>
      <c r="O3238" s="87" t="str">
        <f>IFERROR(__xludf.DUMMYFUNCTION("""COMPUTED_VALUE"""),"https://drive.google.com/drive/folders/10T2cTQHqEJZqE-st6uFKPoI?usp=share_link")</f>
        <v>https://drive.google.com/drive/folders/10T2cTQHqEJZqE-st6uFKPoI?usp=share_link</v>
      </c>
      <c r="P3238" s="6" t="str">
        <f>IFERROR(__xludf.DUMMYFUNCTION("""COMPUTED_VALUE"""),"Parker Harris")</f>
        <v>Parker Harris</v>
      </c>
      <c r="Q3238" s="6" t="str">
        <f>IFERROR(__xludf.DUMMYFUNCTION("""COMPUTED_VALUE"""),"L2")</f>
        <v>L2</v>
      </c>
      <c r="R3238" s="6">
        <f>IFERROR(__xludf.DUMMYFUNCTION("""COMPUTED_VALUE"""),2.0)</f>
        <v>2</v>
      </c>
      <c r="S3238" s="6" t="str">
        <f>IFERROR(__xludf.DUMMYFUNCTION("""COMPUTED_VALUE"""),"Jennifer Johnson")</f>
        <v>Jennifer Johnson</v>
      </c>
      <c r="T3238" s="6" t="str">
        <f>IFERROR(__xludf.DUMMYFUNCTION("""COMPUTED_VALUE"""),"jennifer.johnson@ortrail.k12.or.us")</f>
        <v>jennifer.johnson@ortrail.k12.or.us</v>
      </c>
      <c r="U3238" s="6" t="str">
        <f>IFERROR(__xludf.DUMMYFUNCTION("""COMPUTED_VALUE"""),"4")</f>
        <v>4</v>
      </c>
      <c r="V3238" s="6" t="str">
        <f>IFERROR(__xludf.DUMMYFUNCTION("""COMPUTED_VALUE"""),"English")</f>
        <v>English</v>
      </c>
      <c r="W3238" s="6" t="str">
        <f>IFERROR(__xludf.DUMMYFUNCTION("""COMPUTED_VALUE"""),"[]")</f>
        <v>[]</v>
      </c>
      <c r="X3238" s="6" t="str">
        <f>IFERROR(__xludf.DUMMYFUNCTION("""COMPUTED_VALUE"""),"Enrolled")</f>
        <v>Enrolled</v>
      </c>
    </row>
    <row r="3239">
      <c r="A3239" s="6" t="str">
        <f>IFERROR(__xludf.DUMMYFUNCTION("""COMPUTED_VALUE"""),"064-6103")</f>
        <v>064-6103</v>
      </c>
      <c r="B3239" s="6" t="str">
        <f>IFERROR(__xludf.DUMMYFUNCTION("""COMPUTED_VALUE"""),"64")</f>
        <v>64</v>
      </c>
      <c r="C3239" s="6" t="str">
        <f>IFERROR(__xludf.DUMMYFUNCTION("""COMPUTED_VALUE"""),"6103")</f>
        <v>6103</v>
      </c>
      <c r="D3239" s="6" t="str">
        <f>IFERROR(__xludf.DUMMYFUNCTION("""COMPUTED_VALUE"""),"Holland")</f>
        <v>Holland</v>
      </c>
      <c r="E3239" s="6" t="str">
        <f>IFERROR(__xludf.DUMMYFUNCTION("""COMPUTED_VALUE"""),"")</f>
        <v/>
      </c>
      <c r="F3239" s="6" t="str">
        <f>IFERROR(__xludf.DUMMYFUNCTION("""COMPUTED_VALUE"""),"Hickey")</f>
        <v>Hickey</v>
      </c>
      <c r="G3239" s="6" t="str">
        <f>IFERROR(__xludf.DUMMYFUNCTION("""COMPUTED_VALUE"""),"06/05/2015")</f>
        <v>06/05/2015</v>
      </c>
      <c r="H3239" s="6" t="str">
        <f>IFERROR(__xludf.DUMMYFUNCTION("""COMPUTED_VALUE"""),"Self Identify")</f>
        <v>Self Identify</v>
      </c>
      <c r="I3239" s="6" t="str">
        <f>IFERROR(__xludf.DUMMYFUNCTION("""COMPUTED_VALUE"""),"Level 2")</f>
        <v>Level 2</v>
      </c>
      <c r="J3239" s="6" t="str">
        <f>IFERROR(__xludf.DUMMYFUNCTION("""COMPUTED_VALUE"""),"4")</f>
        <v>4</v>
      </c>
      <c r="K3239" s="6" t="str">
        <f>IFERROR(__xludf.DUMMYFUNCTION("""COMPUTED_VALUE"""),"holland_hickey@stu.ortrail.k12.or.us")</f>
        <v>holland_hickey@stu.ortrail.k12.or.us</v>
      </c>
      <c r="L3239" s="6" t="str">
        <f>IFERROR(__xludf.DUMMYFUNCTION("""COMPUTED_VALUE"""),"Oregon Trail School District 46")</f>
        <v>Oregon Trail School District 46</v>
      </c>
      <c r="M3239" s="6" t="str">
        <f>IFERROR(__xludf.DUMMYFUNCTION("""COMPUTED_VALUE"""),"Kelso Elementary School")</f>
        <v>Kelso Elementary School</v>
      </c>
      <c r="N3239" s="6" t="str">
        <f>IFERROR(__xludf.DUMMYFUNCTION("""COMPUTED_VALUE"""),"")</f>
        <v/>
      </c>
      <c r="O3239" s="87" t="str">
        <f>IFERROR(__xludf.DUMMYFUNCTION("""COMPUTED_VALUE"""),"https://drive.google.com/drive/folders/10T2cTQHqEJZqE-st6uFKPoI?usp=share_link")</f>
        <v>https://drive.google.com/drive/folders/10T2cTQHqEJZqE-st6uFKPoI?usp=share_link</v>
      </c>
      <c r="P3239" s="6" t="str">
        <f>IFERROR(__xludf.DUMMYFUNCTION("""COMPUTED_VALUE"""),"Holland Hickey")</f>
        <v>Holland Hickey</v>
      </c>
      <c r="Q3239" s="6" t="str">
        <f>IFERROR(__xludf.DUMMYFUNCTION("""COMPUTED_VALUE"""),"L2")</f>
        <v>L2</v>
      </c>
      <c r="R3239" s="6">
        <f>IFERROR(__xludf.DUMMYFUNCTION("""COMPUTED_VALUE"""),2.0)</f>
        <v>2</v>
      </c>
      <c r="S3239" s="6" t="str">
        <f>IFERROR(__xludf.DUMMYFUNCTION("""COMPUTED_VALUE"""),"Jennifer Johnson")</f>
        <v>Jennifer Johnson</v>
      </c>
      <c r="T3239" s="6" t="str">
        <f>IFERROR(__xludf.DUMMYFUNCTION("""COMPUTED_VALUE"""),"jennifer.johnson@ortrail.k12.or.us")</f>
        <v>jennifer.johnson@ortrail.k12.or.us</v>
      </c>
      <c r="U3239" s="6" t="str">
        <f>IFERROR(__xludf.DUMMYFUNCTION("""COMPUTED_VALUE"""),"4")</f>
        <v>4</v>
      </c>
      <c r="V3239" s="6" t="str">
        <f>IFERROR(__xludf.DUMMYFUNCTION("""COMPUTED_VALUE"""),"English")</f>
        <v>English</v>
      </c>
      <c r="W3239" s="6" t="str">
        <f>IFERROR(__xludf.DUMMYFUNCTION("""COMPUTED_VALUE"""),"[]")</f>
        <v>[]</v>
      </c>
      <c r="X3239" s="6" t="str">
        <f>IFERROR(__xludf.DUMMYFUNCTION("""COMPUTED_VALUE"""),"Enrolled")</f>
        <v>Enrolled</v>
      </c>
    </row>
    <row r="3240">
      <c r="A3240" s="6" t="str">
        <f>IFERROR(__xludf.DUMMYFUNCTION("""COMPUTED_VALUE"""),"064-6104")</f>
        <v>064-6104</v>
      </c>
      <c r="B3240" s="6" t="str">
        <f>IFERROR(__xludf.DUMMYFUNCTION("""COMPUTED_VALUE"""),"64")</f>
        <v>64</v>
      </c>
      <c r="C3240" s="6" t="str">
        <f>IFERROR(__xludf.DUMMYFUNCTION("""COMPUTED_VALUE"""),"6104")</f>
        <v>6104</v>
      </c>
      <c r="D3240" s="6" t="str">
        <f>IFERROR(__xludf.DUMMYFUNCTION("""COMPUTED_VALUE"""),"Sabino")</f>
        <v>Sabino</v>
      </c>
      <c r="E3240" s="6" t="str">
        <f>IFERROR(__xludf.DUMMYFUNCTION("""COMPUTED_VALUE"""),"")</f>
        <v/>
      </c>
      <c r="F3240" s="6" t="str">
        <f>IFERROR(__xludf.DUMMYFUNCTION("""COMPUTED_VALUE"""),"Jimenez")</f>
        <v>Jimenez</v>
      </c>
      <c r="G3240" s="6" t="str">
        <f>IFERROR(__xludf.DUMMYFUNCTION("""COMPUTED_VALUE"""),"04/08/2016")</f>
        <v>04/08/2016</v>
      </c>
      <c r="H3240" s="6" t="str">
        <f>IFERROR(__xludf.DUMMYFUNCTION("""COMPUTED_VALUE"""),"Self Identify")</f>
        <v>Self Identify</v>
      </c>
      <c r="I3240" s="6" t="str">
        <f>IFERROR(__xludf.DUMMYFUNCTION("""COMPUTED_VALUE"""),"Level 2")</f>
        <v>Level 2</v>
      </c>
      <c r="J3240" s="6" t="str">
        <f>IFERROR(__xludf.DUMMYFUNCTION("""COMPUTED_VALUE"""),"4")</f>
        <v>4</v>
      </c>
      <c r="K3240" s="6" t="str">
        <f>IFERROR(__xludf.DUMMYFUNCTION("""COMPUTED_VALUE"""),"emilio_jimenez@stu.ortrail.k12.or.us")</f>
        <v>emilio_jimenez@stu.ortrail.k12.or.us</v>
      </c>
      <c r="L3240" s="6" t="str">
        <f>IFERROR(__xludf.DUMMYFUNCTION("""COMPUTED_VALUE"""),"Oregon Trail School District 46")</f>
        <v>Oregon Trail School District 46</v>
      </c>
      <c r="M3240" s="6" t="str">
        <f>IFERROR(__xludf.DUMMYFUNCTION("""COMPUTED_VALUE"""),"Kelso Elementary School")</f>
        <v>Kelso Elementary School</v>
      </c>
      <c r="N3240" s="6" t="str">
        <f>IFERROR(__xludf.DUMMYFUNCTION("""COMPUTED_VALUE"""),"")</f>
        <v/>
      </c>
      <c r="O3240" s="87" t="str">
        <f>IFERROR(__xludf.DUMMYFUNCTION("""COMPUTED_VALUE"""),"https://drive.google.com/drive/folders/10T2cTQHqEJZqE-st6uFKPoI?usp=share_link")</f>
        <v>https://drive.google.com/drive/folders/10T2cTQHqEJZqE-st6uFKPoI?usp=share_link</v>
      </c>
      <c r="P3240" s="6" t="str">
        <f>IFERROR(__xludf.DUMMYFUNCTION("""COMPUTED_VALUE"""),"Sabino Jimenez")</f>
        <v>Sabino Jimenez</v>
      </c>
      <c r="Q3240" s="6" t="str">
        <f>IFERROR(__xludf.DUMMYFUNCTION("""COMPUTED_VALUE"""),"L2")</f>
        <v>L2</v>
      </c>
      <c r="R3240" s="6">
        <f>IFERROR(__xludf.DUMMYFUNCTION("""COMPUTED_VALUE"""),2.0)</f>
        <v>2</v>
      </c>
      <c r="S3240" s="6" t="str">
        <f>IFERROR(__xludf.DUMMYFUNCTION("""COMPUTED_VALUE"""),"Jennifer Johnson")</f>
        <v>Jennifer Johnson</v>
      </c>
      <c r="T3240" s="6" t="str">
        <f>IFERROR(__xludf.DUMMYFUNCTION("""COMPUTED_VALUE"""),"jennifer.johnson@ortrail.k12.or.us")</f>
        <v>jennifer.johnson@ortrail.k12.or.us</v>
      </c>
      <c r="U3240" s="6" t="str">
        <f>IFERROR(__xludf.DUMMYFUNCTION("""COMPUTED_VALUE"""),"4")</f>
        <v>4</v>
      </c>
      <c r="V3240" s="6" t="str">
        <f>IFERROR(__xludf.DUMMYFUNCTION("""COMPUTED_VALUE"""),"English")</f>
        <v>English</v>
      </c>
      <c r="W3240" s="6" t="str">
        <f>IFERROR(__xludf.DUMMYFUNCTION("""COMPUTED_VALUE"""),"[]")</f>
        <v>[]</v>
      </c>
      <c r="X3240" s="6" t="str">
        <f>IFERROR(__xludf.DUMMYFUNCTION("""COMPUTED_VALUE"""),"Enrolled")</f>
        <v>Enrolled</v>
      </c>
    </row>
    <row r="3241">
      <c r="A3241" s="6" t="str">
        <f>IFERROR(__xludf.DUMMYFUNCTION("""COMPUTED_VALUE"""),"064-6105")</f>
        <v>064-6105</v>
      </c>
      <c r="B3241" s="6" t="str">
        <f>IFERROR(__xludf.DUMMYFUNCTION("""COMPUTED_VALUE"""),"64")</f>
        <v>64</v>
      </c>
      <c r="C3241" s="6" t="str">
        <f>IFERROR(__xludf.DUMMYFUNCTION("""COMPUTED_VALUE"""),"6105")</f>
        <v>6105</v>
      </c>
      <c r="D3241" s="6" t="str">
        <f>IFERROR(__xludf.DUMMYFUNCTION("""COMPUTED_VALUE"""),"William")</f>
        <v>William</v>
      </c>
      <c r="E3241" s="6" t="str">
        <f>IFERROR(__xludf.DUMMYFUNCTION("""COMPUTED_VALUE"""),"")</f>
        <v/>
      </c>
      <c r="F3241" s="6" t="str">
        <f>IFERROR(__xludf.DUMMYFUNCTION("""COMPUTED_VALUE"""),"Kyniston")</f>
        <v>Kyniston</v>
      </c>
      <c r="G3241" s="6" t="str">
        <f>IFERROR(__xludf.DUMMYFUNCTION("""COMPUTED_VALUE"""),"01/02/2016")</f>
        <v>01/02/2016</v>
      </c>
      <c r="H3241" s="6" t="str">
        <f>IFERROR(__xludf.DUMMYFUNCTION("""COMPUTED_VALUE"""),"Self Identify")</f>
        <v>Self Identify</v>
      </c>
      <c r="I3241" s="6" t="str">
        <f>IFERROR(__xludf.DUMMYFUNCTION("""COMPUTED_VALUE"""),"Level 2")</f>
        <v>Level 2</v>
      </c>
      <c r="J3241" s="6" t="str">
        <f>IFERROR(__xludf.DUMMYFUNCTION("""COMPUTED_VALUE"""),"4")</f>
        <v>4</v>
      </c>
      <c r="K3241" s="6" t="str">
        <f>IFERROR(__xludf.DUMMYFUNCTION("""COMPUTED_VALUE"""),"william_kyniston@stu.ortrail.k12.or.us")</f>
        <v>william_kyniston@stu.ortrail.k12.or.us</v>
      </c>
      <c r="L3241" s="6" t="str">
        <f>IFERROR(__xludf.DUMMYFUNCTION("""COMPUTED_VALUE"""),"Oregon Trail School District 46")</f>
        <v>Oregon Trail School District 46</v>
      </c>
      <c r="M3241" s="6" t="str">
        <f>IFERROR(__xludf.DUMMYFUNCTION("""COMPUTED_VALUE"""),"Kelso Elementary School")</f>
        <v>Kelso Elementary School</v>
      </c>
      <c r="N3241" s="6" t="str">
        <f>IFERROR(__xludf.DUMMYFUNCTION("""COMPUTED_VALUE"""),"")</f>
        <v/>
      </c>
      <c r="O3241" s="87" t="str">
        <f>IFERROR(__xludf.DUMMYFUNCTION("""COMPUTED_VALUE"""),"https://drive.google.com/drive/folders/10T2cTQHqEJZqE-st6uFKPoI?usp=share_link")</f>
        <v>https://drive.google.com/drive/folders/10T2cTQHqEJZqE-st6uFKPoI?usp=share_link</v>
      </c>
      <c r="P3241" s="6" t="str">
        <f>IFERROR(__xludf.DUMMYFUNCTION("""COMPUTED_VALUE"""),"William Kyniston")</f>
        <v>William Kyniston</v>
      </c>
      <c r="Q3241" s="6" t="str">
        <f>IFERROR(__xludf.DUMMYFUNCTION("""COMPUTED_VALUE"""),"L2")</f>
        <v>L2</v>
      </c>
      <c r="R3241" s="6">
        <f>IFERROR(__xludf.DUMMYFUNCTION("""COMPUTED_VALUE"""),2.0)</f>
        <v>2</v>
      </c>
      <c r="S3241" s="6" t="str">
        <f>IFERROR(__xludf.DUMMYFUNCTION("""COMPUTED_VALUE"""),"Samantha Scherer")</f>
        <v>Samantha Scherer</v>
      </c>
      <c r="T3241" s="6" t="str">
        <f>IFERROR(__xludf.DUMMYFUNCTION("""COMPUTED_VALUE"""),"samantha.scherer@ortrail.k12.or.us")</f>
        <v>samantha.scherer@ortrail.k12.or.us</v>
      </c>
      <c r="U3241" s="6" t="str">
        <f>IFERROR(__xludf.DUMMYFUNCTION("""COMPUTED_VALUE"""),"4")</f>
        <v>4</v>
      </c>
      <c r="V3241" s="6" t="str">
        <f>IFERROR(__xludf.DUMMYFUNCTION("""COMPUTED_VALUE"""),"English")</f>
        <v>English</v>
      </c>
      <c r="W3241" s="6" t="str">
        <f>IFERROR(__xludf.DUMMYFUNCTION("""COMPUTED_VALUE"""),"[]")</f>
        <v>[]</v>
      </c>
      <c r="X3241" s="6" t="str">
        <f>IFERROR(__xludf.DUMMYFUNCTION("""COMPUTED_VALUE"""),"Enrolled")</f>
        <v>Enrolled</v>
      </c>
    </row>
    <row r="3242">
      <c r="A3242" s="6" t="str">
        <f>IFERROR(__xludf.DUMMYFUNCTION("""COMPUTED_VALUE"""),"064-6106")</f>
        <v>064-6106</v>
      </c>
      <c r="B3242" s="6" t="str">
        <f>IFERROR(__xludf.DUMMYFUNCTION("""COMPUTED_VALUE"""),"64")</f>
        <v>64</v>
      </c>
      <c r="C3242" s="6" t="str">
        <f>IFERROR(__xludf.DUMMYFUNCTION("""COMPUTED_VALUE"""),"6106")</f>
        <v>6106</v>
      </c>
      <c r="D3242" s="6" t="str">
        <f>IFERROR(__xludf.DUMMYFUNCTION("""COMPUTED_VALUE"""),"Lanaya")</f>
        <v>Lanaya</v>
      </c>
      <c r="E3242" s="6" t="str">
        <f>IFERROR(__xludf.DUMMYFUNCTION("""COMPUTED_VALUE"""),"")</f>
        <v/>
      </c>
      <c r="F3242" s="6" t="str">
        <f>IFERROR(__xludf.DUMMYFUNCTION("""COMPUTED_VALUE"""),"Laird")</f>
        <v>Laird</v>
      </c>
      <c r="G3242" s="6" t="str">
        <f>IFERROR(__xludf.DUMMYFUNCTION("""COMPUTED_VALUE"""),"05/05/2016")</f>
        <v>05/05/2016</v>
      </c>
      <c r="H3242" s="6" t="str">
        <f>IFERROR(__xludf.DUMMYFUNCTION("""COMPUTED_VALUE"""),"Self Identify")</f>
        <v>Self Identify</v>
      </c>
      <c r="I3242" s="6" t="str">
        <f>IFERROR(__xludf.DUMMYFUNCTION("""COMPUTED_VALUE"""),"Level 2")</f>
        <v>Level 2</v>
      </c>
      <c r="J3242" s="6" t="str">
        <f>IFERROR(__xludf.DUMMYFUNCTION("""COMPUTED_VALUE"""),"4")</f>
        <v>4</v>
      </c>
      <c r="K3242" s="6" t="str">
        <f>IFERROR(__xludf.DUMMYFUNCTION("""COMPUTED_VALUE"""),"lanaya_laird@stu.ortrail.k12.or.us")</f>
        <v>lanaya_laird@stu.ortrail.k12.or.us</v>
      </c>
      <c r="L3242" s="6" t="str">
        <f>IFERROR(__xludf.DUMMYFUNCTION("""COMPUTED_VALUE"""),"Oregon Trail School District 46")</f>
        <v>Oregon Trail School District 46</v>
      </c>
      <c r="M3242" s="6" t="str">
        <f>IFERROR(__xludf.DUMMYFUNCTION("""COMPUTED_VALUE"""),"Kelso Elementary School")</f>
        <v>Kelso Elementary School</v>
      </c>
      <c r="N3242" s="6" t="str">
        <f>IFERROR(__xludf.DUMMYFUNCTION("""COMPUTED_VALUE"""),"")</f>
        <v/>
      </c>
      <c r="O3242" s="87" t="str">
        <f>IFERROR(__xludf.DUMMYFUNCTION("""COMPUTED_VALUE"""),"https://drive.google.com/drive/folders/10T2cTQHqEJZqE-st6uFKPoI?usp=share_link")</f>
        <v>https://drive.google.com/drive/folders/10T2cTQHqEJZqE-st6uFKPoI?usp=share_link</v>
      </c>
      <c r="P3242" s="6" t="str">
        <f>IFERROR(__xludf.DUMMYFUNCTION("""COMPUTED_VALUE"""),"Lanaya Laird")</f>
        <v>Lanaya Laird</v>
      </c>
      <c r="Q3242" s="6" t="str">
        <f>IFERROR(__xludf.DUMMYFUNCTION("""COMPUTED_VALUE"""),"L2")</f>
        <v>L2</v>
      </c>
      <c r="R3242" s="6">
        <f>IFERROR(__xludf.DUMMYFUNCTION("""COMPUTED_VALUE"""),2.0)</f>
        <v>2</v>
      </c>
      <c r="S3242" s="6" t="str">
        <f>IFERROR(__xludf.DUMMYFUNCTION("""COMPUTED_VALUE"""),"Samantha Scherer")</f>
        <v>Samantha Scherer</v>
      </c>
      <c r="T3242" s="6" t="str">
        <f>IFERROR(__xludf.DUMMYFUNCTION("""COMPUTED_VALUE"""),"samantha.scherer@ortrail.k12.or.us")</f>
        <v>samantha.scherer@ortrail.k12.or.us</v>
      </c>
      <c r="U3242" s="6" t="str">
        <f>IFERROR(__xludf.DUMMYFUNCTION("""COMPUTED_VALUE"""),"4")</f>
        <v>4</v>
      </c>
      <c r="V3242" s="6" t="str">
        <f>IFERROR(__xludf.DUMMYFUNCTION("""COMPUTED_VALUE"""),"English")</f>
        <v>English</v>
      </c>
      <c r="W3242" s="6" t="str">
        <f>IFERROR(__xludf.DUMMYFUNCTION("""COMPUTED_VALUE"""),"[]")</f>
        <v>[]</v>
      </c>
      <c r="X3242" s="6" t="str">
        <f>IFERROR(__xludf.DUMMYFUNCTION("""COMPUTED_VALUE"""),"Enrolled")</f>
        <v>Enrolled</v>
      </c>
    </row>
    <row r="3243">
      <c r="A3243" s="6" t="str">
        <f>IFERROR(__xludf.DUMMYFUNCTION("""COMPUTED_VALUE"""),"064-6107")</f>
        <v>064-6107</v>
      </c>
      <c r="B3243" s="6" t="str">
        <f>IFERROR(__xludf.DUMMYFUNCTION("""COMPUTED_VALUE"""),"64")</f>
        <v>64</v>
      </c>
      <c r="C3243" s="6" t="str">
        <f>IFERROR(__xludf.DUMMYFUNCTION("""COMPUTED_VALUE"""),"6107")</f>
        <v>6107</v>
      </c>
      <c r="D3243" s="6" t="str">
        <f>IFERROR(__xludf.DUMMYFUNCTION("""COMPUTED_VALUE"""),"Cruz")</f>
        <v>Cruz</v>
      </c>
      <c r="E3243" s="6" t="str">
        <f>IFERROR(__xludf.DUMMYFUNCTION("""COMPUTED_VALUE"""),"")</f>
        <v/>
      </c>
      <c r="F3243" s="6" t="str">
        <f>IFERROR(__xludf.DUMMYFUNCTION("""COMPUTED_VALUE"""),"Lang")</f>
        <v>Lang</v>
      </c>
      <c r="G3243" s="6" t="str">
        <f>IFERROR(__xludf.DUMMYFUNCTION("""COMPUTED_VALUE"""),"05/11/2016")</f>
        <v>05/11/2016</v>
      </c>
      <c r="H3243" s="6" t="str">
        <f>IFERROR(__xludf.DUMMYFUNCTION("""COMPUTED_VALUE"""),"Self Identify")</f>
        <v>Self Identify</v>
      </c>
      <c r="I3243" s="6" t="str">
        <f>IFERROR(__xludf.DUMMYFUNCTION("""COMPUTED_VALUE"""),"Level 2")</f>
        <v>Level 2</v>
      </c>
      <c r="J3243" s="6" t="str">
        <f>IFERROR(__xludf.DUMMYFUNCTION("""COMPUTED_VALUE"""),"4")</f>
        <v>4</v>
      </c>
      <c r="K3243" s="6" t="str">
        <f>IFERROR(__xludf.DUMMYFUNCTION("""COMPUTED_VALUE"""),"cruz_lang@stu.ortrail.k12.or.us")</f>
        <v>cruz_lang@stu.ortrail.k12.or.us</v>
      </c>
      <c r="L3243" s="6" t="str">
        <f>IFERROR(__xludf.DUMMYFUNCTION("""COMPUTED_VALUE"""),"Oregon Trail School District 46")</f>
        <v>Oregon Trail School District 46</v>
      </c>
      <c r="M3243" s="6" t="str">
        <f>IFERROR(__xludf.DUMMYFUNCTION("""COMPUTED_VALUE"""),"Kelso Elementary School")</f>
        <v>Kelso Elementary School</v>
      </c>
      <c r="N3243" s="6" t="str">
        <f>IFERROR(__xludf.DUMMYFUNCTION("""COMPUTED_VALUE"""),"")</f>
        <v/>
      </c>
      <c r="O3243" s="87" t="str">
        <f>IFERROR(__xludf.DUMMYFUNCTION("""COMPUTED_VALUE"""),"https://drive.google.com/drive/folders/10T2cTQHqEJZqE-st6uFKPoI?usp=share_link")</f>
        <v>https://drive.google.com/drive/folders/10T2cTQHqEJZqE-st6uFKPoI?usp=share_link</v>
      </c>
      <c r="P3243" s="6" t="str">
        <f>IFERROR(__xludf.DUMMYFUNCTION("""COMPUTED_VALUE"""),"Cruz Lang")</f>
        <v>Cruz Lang</v>
      </c>
      <c r="Q3243" s="6" t="str">
        <f>IFERROR(__xludf.DUMMYFUNCTION("""COMPUTED_VALUE"""),"L2")</f>
        <v>L2</v>
      </c>
      <c r="R3243" s="6">
        <f>IFERROR(__xludf.DUMMYFUNCTION("""COMPUTED_VALUE"""),2.0)</f>
        <v>2</v>
      </c>
      <c r="S3243" s="6" t="str">
        <f>IFERROR(__xludf.DUMMYFUNCTION("""COMPUTED_VALUE"""),"Samantha Scherer")</f>
        <v>Samantha Scherer</v>
      </c>
      <c r="T3243" s="6" t="str">
        <f>IFERROR(__xludf.DUMMYFUNCTION("""COMPUTED_VALUE"""),"samantha.scherer@ortrail.k12.or.us")</f>
        <v>samantha.scherer@ortrail.k12.or.us</v>
      </c>
      <c r="U3243" s="6" t="str">
        <f>IFERROR(__xludf.DUMMYFUNCTION("""COMPUTED_VALUE"""),"4")</f>
        <v>4</v>
      </c>
      <c r="V3243" s="6" t="str">
        <f>IFERROR(__xludf.DUMMYFUNCTION("""COMPUTED_VALUE"""),"English")</f>
        <v>English</v>
      </c>
      <c r="W3243" s="6" t="str">
        <f>IFERROR(__xludf.DUMMYFUNCTION("""COMPUTED_VALUE"""),"[]")</f>
        <v>[]</v>
      </c>
      <c r="X3243" s="6" t="str">
        <f>IFERROR(__xludf.DUMMYFUNCTION("""COMPUTED_VALUE"""),"Enrolled")</f>
        <v>Enrolled</v>
      </c>
    </row>
    <row r="3244">
      <c r="A3244" s="6" t="str">
        <f>IFERROR(__xludf.DUMMYFUNCTION("""COMPUTED_VALUE"""),"064-6108")</f>
        <v>064-6108</v>
      </c>
      <c r="B3244" s="6" t="str">
        <f>IFERROR(__xludf.DUMMYFUNCTION("""COMPUTED_VALUE"""),"64")</f>
        <v>64</v>
      </c>
      <c r="C3244" s="6" t="str">
        <f>IFERROR(__xludf.DUMMYFUNCTION("""COMPUTED_VALUE"""),"6108")</f>
        <v>6108</v>
      </c>
      <c r="D3244" s="6" t="str">
        <f>IFERROR(__xludf.DUMMYFUNCTION("""COMPUTED_VALUE"""),"Casey")</f>
        <v>Casey</v>
      </c>
      <c r="E3244" s="6" t="str">
        <f>IFERROR(__xludf.DUMMYFUNCTION("""COMPUTED_VALUE"""),"")</f>
        <v/>
      </c>
      <c r="F3244" s="6" t="str">
        <f>IFERROR(__xludf.DUMMYFUNCTION("""COMPUTED_VALUE"""),"Lopez Carvajal")</f>
        <v>Lopez Carvajal</v>
      </c>
      <c r="G3244" s="6" t="str">
        <f>IFERROR(__xludf.DUMMYFUNCTION("""COMPUTED_VALUE"""),"03/18/2016")</f>
        <v>03/18/2016</v>
      </c>
      <c r="H3244" s="6" t="str">
        <f>IFERROR(__xludf.DUMMYFUNCTION("""COMPUTED_VALUE"""),"Self Identify")</f>
        <v>Self Identify</v>
      </c>
      <c r="I3244" s="6" t="str">
        <f>IFERROR(__xludf.DUMMYFUNCTION("""COMPUTED_VALUE"""),"Level 2")</f>
        <v>Level 2</v>
      </c>
      <c r="J3244" s="6" t="str">
        <f>IFERROR(__xludf.DUMMYFUNCTION("""COMPUTED_VALUE"""),"4")</f>
        <v>4</v>
      </c>
      <c r="K3244" s="6" t="str">
        <f>IFERROR(__xludf.DUMMYFUNCTION("""COMPUTED_VALUE"""),"casey_lopezcarvajal@stu.ortrail.k12.or.us")</f>
        <v>casey_lopezcarvajal@stu.ortrail.k12.or.us</v>
      </c>
      <c r="L3244" s="6" t="str">
        <f>IFERROR(__xludf.DUMMYFUNCTION("""COMPUTED_VALUE"""),"Oregon Trail School District 46")</f>
        <v>Oregon Trail School District 46</v>
      </c>
      <c r="M3244" s="6" t="str">
        <f>IFERROR(__xludf.DUMMYFUNCTION("""COMPUTED_VALUE"""),"Kelso Elementary School")</f>
        <v>Kelso Elementary School</v>
      </c>
      <c r="N3244" s="6" t="str">
        <f>IFERROR(__xludf.DUMMYFUNCTION("""COMPUTED_VALUE"""),"")</f>
        <v/>
      </c>
      <c r="O3244" s="87" t="str">
        <f>IFERROR(__xludf.DUMMYFUNCTION("""COMPUTED_VALUE"""),"https://drive.google.com/drive/folders/10T2cTQHqEJZqE-st6uFKPoI?usp=share_link")</f>
        <v>https://drive.google.com/drive/folders/10T2cTQHqEJZqE-st6uFKPoI?usp=share_link</v>
      </c>
      <c r="P3244" s="6" t="str">
        <f>IFERROR(__xludf.DUMMYFUNCTION("""COMPUTED_VALUE"""),"Casey Lopez Carvajal")</f>
        <v>Casey Lopez Carvajal</v>
      </c>
      <c r="Q3244" s="6" t="str">
        <f>IFERROR(__xludf.DUMMYFUNCTION("""COMPUTED_VALUE"""),"L2")</f>
        <v>L2</v>
      </c>
      <c r="R3244" s="6">
        <f>IFERROR(__xludf.DUMMYFUNCTION("""COMPUTED_VALUE"""),2.0)</f>
        <v>2</v>
      </c>
      <c r="S3244" s="6" t="str">
        <f>IFERROR(__xludf.DUMMYFUNCTION("""COMPUTED_VALUE"""),"Jennifer Johnson")</f>
        <v>Jennifer Johnson</v>
      </c>
      <c r="T3244" s="6" t="str">
        <f>IFERROR(__xludf.DUMMYFUNCTION("""COMPUTED_VALUE"""),"jennifer.johnson@ortrail.k12.or.us")</f>
        <v>jennifer.johnson@ortrail.k12.or.us</v>
      </c>
      <c r="U3244" s="6" t="str">
        <f>IFERROR(__xludf.DUMMYFUNCTION("""COMPUTED_VALUE"""),"4")</f>
        <v>4</v>
      </c>
      <c r="V3244" s="6" t="str">
        <f>IFERROR(__xludf.DUMMYFUNCTION("""COMPUTED_VALUE"""),"English")</f>
        <v>English</v>
      </c>
      <c r="W3244" s="6" t="str">
        <f>IFERROR(__xludf.DUMMYFUNCTION("""COMPUTED_VALUE"""),"[]")</f>
        <v>[]</v>
      </c>
      <c r="X3244" s="6" t="str">
        <f>IFERROR(__xludf.DUMMYFUNCTION("""COMPUTED_VALUE"""),"Enrolled")</f>
        <v>Enrolled</v>
      </c>
    </row>
    <row r="3245">
      <c r="A3245" s="6" t="str">
        <f>IFERROR(__xludf.DUMMYFUNCTION("""COMPUTED_VALUE"""),"064-6109")</f>
        <v>064-6109</v>
      </c>
      <c r="B3245" s="6" t="str">
        <f>IFERROR(__xludf.DUMMYFUNCTION("""COMPUTED_VALUE"""),"64")</f>
        <v>64</v>
      </c>
      <c r="C3245" s="6" t="str">
        <f>IFERROR(__xludf.DUMMYFUNCTION("""COMPUTED_VALUE"""),"6109")</f>
        <v>6109</v>
      </c>
      <c r="D3245" s="6" t="str">
        <f>IFERROR(__xludf.DUMMYFUNCTION("""COMPUTED_VALUE"""),"Willa")</f>
        <v>Willa</v>
      </c>
      <c r="E3245" s="6" t="str">
        <f>IFERROR(__xludf.DUMMYFUNCTION("""COMPUTED_VALUE"""),"")</f>
        <v/>
      </c>
      <c r="F3245" s="6" t="str">
        <f>IFERROR(__xludf.DUMMYFUNCTION("""COMPUTED_VALUE"""),"Luebbers")</f>
        <v>Luebbers</v>
      </c>
      <c r="G3245" s="6" t="str">
        <f>IFERROR(__xludf.DUMMYFUNCTION("""COMPUTED_VALUE"""),"05/07/2016")</f>
        <v>05/07/2016</v>
      </c>
      <c r="H3245" s="6" t="str">
        <f>IFERROR(__xludf.DUMMYFUNCTION("""COMPUTED_VALUE"""),"Self Identify")</f>
        <v>Self Identify</v>
      </c>
      <c r="I3245" s="6" t="str">
        <f>IFERROR(__xludf.DUMMYFUNCTION("""COMPUTED_VALUE"""),"Level 2")</f>
        <v>Level 2</v>
      </c>
      <c r="J3245" s="6" t="str">
        <f>IFERROR(__xludf.DUMMYFUNCTION("""COMPUTED_VALUE"""),"4")</f>
        <v>4</v>
      </c>
      <c r="K3245" s="6" t="str">
        <f>IFERROR(__xludf.DUMMYFUNCTION("""COMPUTED_VALUE"""),"willa_luebbers@stu.ortrail.k12.or.us")</f>
        <v>willa_luebbers@stu.ortrail.k12.or.us</v>
      </c>
      <c r="L3245" s="6" t="str">
        <f>IFERROR(__xludf.DUMMYFUNCTION("""COMPUTED_VALUE"""),"Oregon Trail School District 46")</f>
        <v>Oregon Trail School District 46</v>
      </c>
      <c r="M3245" s="6" t="str">
        <f>IFERROR(__xludf.DUMMYFUNCTION("""COMPUTED_VALUE"""),"Kelso Elementary School")</f>
        <v>Kelso Elementary School</v>
      </c>
      <c r="N3245" s="6" t="str">
        <f>IFERROR(__xludf.DUMMYFUNCTION("""COMPUTED_VALUE"""),"")</f>
        <v/>
      </c>
      <c r="O3245" s="87" t="str">
        <f>IFERROR(__xludf.DUMMYFUNCTION("""COMPUTED_VALUE"""),"https://drive.google.com/drive/folders/10T2cTQHqEJZqE-st6uFKPoI?usp=share_link")</f>
        <v>https://drive.google.com/drive/folders/10T2cTQHqEJZqE-st6uFKPoI?usp=share_link</v>
      </c>
      <c r="P3245" s="6" t="str">
        <f>IFERROR(__xludf.DUMMYFUNCTION("""COMPUTED_VALUE"""),"Willa Luebbers")</f>
        <v>Willa Luebbers</v>
      </c>
      <c r="Q3245" s="6" t="str">
        <f>IFERROR(__xludf.DUMMYFUNCTION("""COMPUTED_VALUE"""),"L2")</f>
        <v>L2</v>
      </c>
      <c r="R3245" s="6">
        <f>IFERROR(__xludf.DUMMYFUNCTION("""COMPUTED_VALUE"""),2.0)</f>
        <v>2</v>
      </c>
      <c r="S3245" s="6" t="str">
        <f>IFERROR(__xludf.DUMMYFUNCTION("""COMPUTED_VALUE"""),"Samantha Scherer")</f>
        <v>Samantha Scherer</v>
      </c>
      <c r="T3245" s="6" t="str">
        <f>IFERROR(__xludf.DUMMYFUNCTION("""COMPUTED_VALUE"""),"samantha.scherer@ortrail.k12.or.us")</f>
        <v>samantha.scherer@ortrail.k12.or.us</v>
      </c>
      <c r="U3245" s="6" t="str">
        <f>IFERROR(__xludf.DUMMYFUNCTION("""COMPUTED_VALUE"""),"4")</f>
        <v>4</v>
      </c>
      <c r="V3245" s="6" t="str">
        <f>IFERROR(__xludf.DUMMYFUNCTION("""COMPUTED_VALUE"""),"English")</f>
        <v>English</v>
      </c>
      <c r="W3245" s="6" t="str">
        <f>IFERROR(__xludf.DUMMYFUNCTION("""COMPUTED_VALUE"""),"[]")</f>
        <v>[]</v>
      </c>
      <c r="X3245" s="6" t="str">
        <f>IFERROR(__xludf.DUMMYFUNCTION("""COMPUTED_VALUE"""),"Enrolled")</f>
        <v>Enrolled</v>
      </c>
    </row>
    <row r="3246">
      <c r="A3246" s="6" t="str">
        <f>IFERROR(__xludf.DUMMYFUNCTION("""COMPUTED_VALUE"""),"064-6110")</f>
        <v>064-6110</v>
      </c>
      <c r="B3246" s="6" t="str">
        <f>IFERROR(__xludf.DUMMYFUNCTION("""COMPUTED_VALUE"""),"64")</f>
        <v>64</v>
      </c>
      <c r="C3246" s="6" t="str">
        <f>IFERROR(__xludf.DUMMYFUNCTION("""COMPUTED_VALUE"""),"6110")</f>
        <v>6110</v>
      </c>
      <c r="D3246" s="6" t="str">
        <f>IFERROR(__xludf.DUMMYFUNCTION("""COMPUTED_VALUE"""),"Kylie")</f>
        <v>Kylie</v>
      </c>
      <c r="E3246" s="6" t="str">
        <f>IFERROR(__xludf.DUMMYFUNCTION("""COMPUTED_VALUE"""),"")</f>
        <v/>
      </c>
      <c r="F3246" s="6" t="str">
        <f>IFERROR(__xludf.DUMMYFUNCTION("""COMPUTED_VALUE"""),"MacKenzie")</f>
        <v>MacKenzie</v>
      </c>
      <c r="G3246" s="6" t="str">
        <f>IFERROR(__xludf.DUMMYFUNCTION("""COMPUTED_VALUE"""),"05/25/2016")</f>
        <v>05/25/2016</v>
      </c>
      <c r="H3246" s="6" t="str">
        <f>IFERROR(__xludf.DUMMYFUNCTION("""COMPUTED_VALUE"""),"Self Identify")</f>
        <v>Self Identify</v>
      </c>
      <c r="I3246" s="6" t="str">
        <f>IFERROR(__xludf.DUMMYFUNCTION("""COMPUTED_VALUE"""),"Level 2")</f>
        <v>Level 2</v>
      </c>
      <c r="J3246" s="6" t="str">
        <f>IFERROR(__xludf.DUMMYFUNCTION("""COMPUTED_VALUE"""),"4")</f>
        <v>4</v>
      </c>
      <c r="K3246" s="6" t="str">
        <f>IFERROR(__xludf.DUMMYFUNCTION("""COMPUTED_VALUE"""),"kylie_mackenzie@stu.ortrail.k12.or.us")</f>
        <v>kylie_mackenzie@stu.ortrail.k12.or.us</v>
      </c>
      <c r="L3246" s="6" t="str">
        <f>IFERROR(__xludf.DUMMYFUNCTION("""COMPUTED_VALUE"""),"Oregon Trail School District 46")</f>
        <v>Oregon Trail School District 46</v>
      </c>
      <c r="M3246" s="6" t="str">
        <f>IFERROR(__xludf.DUMMYFUNCTION("""COMPUTED_VALUE"""),"Kelso Elementary School")</f>
        <v>Kelso Elementary School</v>
      </c>
      <c r="N3246" s="6" t="str">
        <f>IFERROR(__xludf.DUMMYFUNCTION("""COMPUTED_VALUE"""),"")</f>
        <v/>
      </c>
      <c r="O3246" s="87" t="str">
        <f>IFERROR(__xludf.DUMMYFUNCTION("""COMPUTED_VALUE"""),"https://drive.google.com/drive/folders/10T2cTQHqEJZqE-st6uFKPoI?usp=share_link")</f>
        <v>https://drive.google.com/drive/folders/10T2cTQHqEJZqE-st6uFKPoI?usp=share_link</v>
      </c>
      <c r="P3246" s="6" t="str">
        <f>IFERROR(__xludf.DUMMYFUNCTION("""COMPUTED_VALUE"""),"Kylie MacKenzie")</f>
        <v>Kylie MacKenzie</v>
      </c>
      <c r="Q3246" s="6" t="str">
        <f>IFERROR(__xludf.DUMMYFUNCTION("""COMPUTED_VALUE"""),"L2")</f>
        <v>L2</v>
      </c>
      <c r="R3246" s="6">
        <f>IFERROR(__xludf.DUMMYFUNCTION("""COMPUTED_VALUE"""),2.0)</f>
        <v>2</v>
      </c>
      <c r="S3246" s="6" t="str">
        <f>IFERROR(__xludf.DUMMYFUNCTION("""COMPUTED_VALUE"""),"Jennifer Johnson")</f>
        <v>Jennifer Johnson</v>
      </c>
      <c r="T3246" s="6" t="str">
        <f>IFERROR(__xludf.DUMMYFUNCTION("""COMPUTED_VALUE"""),"jennifer.johnson@ortrail.k12.or.us")</f>
        <v>jennifer.johnson@ortrail.k12.or.us</v>
      </c>
      <c r="U3246" s="6" t="str">
        <f>IFERROR(__xludf.DUMMYFUNCTION("""COMPUTED_VALUE"""),"4")</f>
        <v>4</v>
      </c>
      <c r="V3246" s="6" t="str">
        <f>IFERROR(__xludf.DUMMYFUNCTION("""COMPUTED_VALUE"""),"English")</f>
        <v>English</v>
      </c>
      <c r="W3246" s="6" t="str">
        <f>IFERROR(__xludf.DUMMYFUNCTION("""COMPUTED_VALUE"""),"[]")</f>
        <v>[]</v>
      </c>
      <c r="X3246" s="6" t="str">
        <f>IFERROR(__xludf.DUMMYFUNCTION("""COMPUTED_VALUE"""),"Enrolled")</f>
        <v>Enrolled</v>
      </c>
    </row>
    <row r="3247">
      <c r="A3247" s="6" t="str">
        <f>IFERROR(__xludf.DUMMYFUNCTION("""COMPUTED_VALUE"""),"064-6111")</f>
        <v>064-6111</v>
      </c>
      <c r="B3247" s="6" t="str">
        <f>IFERROR(__xludf.DUMMYFUNCTION("""COMPUTED_VALUE"""),"64")</f>
        <v>64</v>
      </c>
      <c r="C3247" s="6" t="str">
        <f>IFERROR(__xludf.DUMMYFUNCTION("""COMPUTED_VALUE"""),"6111")</f>
        <v>6111</v>
      </c>
      <c r="D3247" s="6" t="str">
        <f>IFERROR(__xludf.DUMMYFUNCTION("""COMPUTED_VALUE"""),"Millie")</f>
        <v>Millie</v>
      </c>
      <c r="E3247" s="6" t="str">
        <f>IFERROR(__xludf.DUMMYFUNCTION("""COMPUTED_VALUE"""),"")</f>
        <v/>
      </c>
      <c r="F3247" s="6" t="str">
        <f>IFERROR(__xludf.DUMMYFUNCTION("""COMPUTED_VALUE"""),"McKinney")</f>
        <v>McKinney</v>
      </c>
      <c r="G3247" s="6" t="str">
        <f>IFERROR(__xludf.DUMMYFUNCTION("""COMPUTED_VALUE"""),"09/19/2015")</f>
        <v>09/19/2015</v>
      </c>
      <c r="H3247" s="6" t="str">
        <f>IFERROR(__xludf.DUMMYFUNCTION("""COMPUTED_VALUE"""),"Self Identify")</f>
        <v>Self Identify</v>
      </c>
      <c r="I3247" s="6" t="str">
        <f>IFERROR(__xludf.DUMMYFUNCTION("""COMPUTED_VALUE"""),"Level 2")</f>
        <v>Level 2</v>
      </c>
      <c r="J3247" s="6" t="str">
        <f>IFERROR(__xludf.DUMMYFUNCTION("""COMPUTED_VALUE"""),"4")</f>
        <v>4</v>
      </c>
      <c r="K3247" s="6" t="str">
        <f>IFERROR(__xludf.DUMMYFUNCTION("""COMPUTED_VALUE"""),"millie_mckinney@stu.ortrail.k12.or.us")</f>
        <v>millie_mckinney@stu.ortrail.k12.or.us</v>
      </c>
      <c r="L3247" s="6" t="str">
        <f>IFERROR(__xludf.DUMMYFUNCTION("""COMPUTED_VALUE"""),"Oregon Trail School District 46")</f>
        <v>Oregon Trail School District 46</v>
      </c>
      <c r="M3247" s="6" t="str">
        <f>IFERROR(__xludf.DUMMYFUNCTION("""COMPUTED_VALUE"""),"Kelso Elementary School")</f>
        <v>Kelso Elementary School</v>
      </c>
      <c r="N3247" s="6" t="str">
        <f>IFERROR(__xludf.DUMMYFUNCTION("""COMPUTED_VALUE"""),"")</f>
        <v/>
      </c>
      <c r="O3247" s="87" t="str">
        <f>IFERROR(__xludf.DUMMYFUNCTION("""COMPUTED_VALUE"""),"https://drive.google.com/drive/folders/10T2cTQHqEJZqE-st6uFKPoI?usp=share_link")</f>
        <v>https://drive.google.com/drive/folders/10T2cTQHqEJZqE-st6uFKPoI?usp=share_link</v>
      </c>
      <c r="P3247" s="6" t="str">
        <f>IFERROR(__xludf.DUMMYFUNCTION("""COMPUTED_VALUE"""),"Millie McKinney")</f>
        <v>Millie McKinney</v>
      </c>
      <c r="Q3247" s="6" t="str">
        <f>IFERROR(__xludf.DUMMYFUNCTION("""COMPUTED_VALUE"""),"L2")</f>
        <v>L2</v>
      </c>
      <c r="R3247" s="6">
        <f>IFERROR(__xludf.DUMMYFUNCTION("""COMPUTED_VALUE"""),2.0)</f>
        <v>2</v>
      </c>
      <c r="S3247" s="6" t="str">
        <f>IFERROR(__xludf.DUMMYFUNCTION("""COMPUTED_VALUE"""),"Jennifer Johnson")</f>
        <v>Jennifer Johnson</v>
      </c>
      <c r="T3247" s="6" t="str">
        <f>IFERROR(__xludf.DUMMYFUNCTION("""COMPUTED_VALUE"""),"jennifer.johnson@ortrail.k12.or.us")</f>
        <v>jennifer.johnson@ortrail.k12.or.us</v>
      </c>
      <c r="U3247" s="6" t="str">
        <f>IFERROR(__xludf.DUMMYFUNCTION("""COMPUTED_VALUE"""),"4")</f>
        <v>4</v>
      </c>
      <c r="V3247" s="6" t="str">
        <f>IFERROR(__xludf.DUMMYFUNCTION("""COMPUTED_VALUE"""),"English")</f>
        <v>English</v>
      </c>
      <c r="W3247" s="6" t="str">
        <f>IFERROR(__xludf.DUMMYFUNCTION("""COMPUTED_VALUE"""),"[]")</f>
        <v>[]</v>
      </c>
      <c r="X3247" s="6" t="str">
        <f>IFERROR(__xludf.DUMMYFUNCTION("""COMPUTED_VALUE"""),"Enrolled")</f>
        <v>Enrolled</v>
      </c>
    </row>
    <row r="3248">
      <c r="A3248" s="6" t="str">
        <f>IFERROR(__xludf.DUMMYFUNCTION("""COMPUTED_VALUE"""),"064-6112")</f>
        <v>064-6112</v>
      </c>
      <c r="B3248" s="6" t="str">
        <f>IFERROR(__xludf.DUMMYFUNCTION("""COMPUTED_VALUE"""),"64")</f>
        <v>64</v>
      </c>
      <c r="C3248" s="6" t="str">
        <f>IFERROR(__xludf.DUMMYFUNCTION("""COMPUTED_VALUE"""),"6112")</f>
        <v>6112</v>
      </c>
      <c r="D3248" s="6" t="str">
        <f>IFERROR(__xludf.DUMMYFUNCTION("""COMPUTED_VALUE"""),"Lilly")</f>
        <v>Lilly</v>
      </c>
      <c r="E3248" s="6" t="str">
        <f>IFERROR(__xludf.DUMMYFUNCTION("""COMPUTED_VALUE"""),"")</f>
        <v/>
      </c>
      <c r="F3248" s="6" t="str">
        <f>IFERROR(__xludf.DUMMYFUNCTION("""COMPUTED_VALUE"""),"McNiece")</f>
        <v>McNiece</v>
      </c>
      <c r="G3248" s="6" t="str">
        <f>IFERROR(__xludf.DUMMYFUNCTION("""COMPUTED_VALUE"""),"09/10/2015")</f>
        <v>09/10/2015</v>
      </c>
      <c r="H3248" s="6" t="str">
        <f>IFERROR(__xludf.DUMMYFUNCTION("""COMPUTED_VALUE"""),"Self Identify")</f>
        <v>Self Identify</v>
      </c>
      <c r="I3248" s="6" t="str">
        <f>IFERROR(__xludf.DUMMYFUNCTION("""COMPUTED_VALUE"""),"Level 2")</f>
        <v>Level 2</v>
      </c>
      <c r="J3248" s="6" t="str">
        <f>IFERROR(__xludf.DUMMYFUNCTION("""COMPUTED_VALUE"""),"4")</f>
        <v>4</v>
      </c>
      <c r="K3248" s="6" t="str">
        <f>IFERROR(__xludf.DUMMYFUNCTION("""COMPUTED_VALUE"""),"lilly_mcniece@stu.ortrail.k12.or.us")</f>
        <v>lilly_mcniece@stu.ortrail.k12.or.us</v>
      </c>
      <c r="L3248" s="6" t="str">
        <f>IFERROR(__xludf.DUMMYFUNCTION("""COMPUTED_VALUE"""),"Oregon Trail School District 46")</f>
        <v>Oregon Trail School District 46</v>
      </c>
      <c r="M3248" s="6" t="str">
        <f>IFERROR(__xludf.DUMMYFUNCTION("""COMPUTED_VALUE"""),"Kelso Elementary School")</f>
        <v>Kelso Elementary School</v>
      </c>
      <c r="N3248" s="6" t="str">
        <f>IFERROR(__xludf.DUMMYFUNCTION("""COMPUTED_VALUE"""),"")</f>
        <v/>
      </c>
      <c r="O3248" s="87" t="str">
        <f>IFERROR(__xludf.DUMMYFUNCTION("""COMPUTED_VALUE"""),"https://drive.google.com/drive/folders/10T2cTQHqEJZqE-st6uFKPoI?usp=share_link")</f>
        <v>https://drive.google.com/drive/folders/10T2cTQHqEJZqE-st6uFKPoI?usp=share_link</v>
      </c>
      <c r="P3248" s="6" t="str">
        <f>IFERROR(__xludf.DUMMYFUNCTION("""COMPUTED_VALUE"""),"Lilly McNiece")</f>
        <v>Lilly McNiece</v>
      </c>
      <c r="Q3248" s="6" t="str">
        <f>IFERROR(__xludf.DUMMYFUNCTION("""COMPUTED_VALUE"""),"L2")</f>
        <v>L2</v>
      </c>
      <c r="R3248" s="6">
        <f>IFERROR(__xludf.DUMMYFUNCTION("""COMPUTED_VALUE"""),2.0)</f>
        <v>2</v>
      </c>
      <c r="S3248" s="6" t="str">
        <f>IFERROR(__xludf.DUMMYFUNCTION("""COMPUTED_VALUE"""),"Samantha Scherer")</f>
        <v>Samantha Scherer</v>
      </c>
      <c r="T3248" s="6" t="str">
        <f>IFERROR(__xludf.DUMMYFUNCTION("""COMPUTED_VALUE"""),"samantha.scherer@ortrail.k12.or.us")</f>
        <v>samantha.scherer@ortrail.k12.or.us</v>
      </c>
      <c r="U3248" s="6" t="str">
        <f>IFERROR(__xludf.DUMMYFUNCTION("""COMPUTED_VALUE"""),"4")</f>
        <v>4</v>
      </c>
      <c r="V3248" s="6" t="str">
        <f>IFERROR(__xludf.DUMMYFUNCTION("""COMPUTED_VALUE"""),"English")</f>
        <v>English</v>
      </c>
      <c r="W3248" s="6" t="str">
        <f>IFERROR(__xludf.DUMMYFUNCTION("""COMPUTED_VALUE"""),"[]")</f>
        <v>[]</v>
      </c>
      <c r="X3248" s="6" t="str">
        <f>IFERROR(__xludf.DUMMYFUNCTION("""COMPUTED_VALUE"""),"Enrolled")</f>
        <v>Enrolled</v>
      </c>
    </row>
    <row r="3249">
      <c r="A3249" s="6" t="str">
        <f>IFERROR(__xludf.DUMMYFUNCTION("""COMPUTED_VALUE"""),"064-6113")</f>
        <v>064-6113</v>
      </c>
      <c r="B3249" s="6" t="str">
        <f>IFERROR(__xludf.DUMMYFUNCTION("""COMPUTED_VALUE"""),"64")</f>
        <v>64</v>
      </c>
      <c r="C3249" s="6" t="str">
        <f>IFERROR(__xludf.DUMMYFUNCTION("""COMPUTED_VALUE"""),"6113")</f>
        <v>6113</v>
      </c>
      <c r="D3249" s="6" t="str">
        <f>IFERROR(__xludf.DUMMYFUNCTION("""COMPUTED_VALUE"""),"Miles")</f>
        <v>Miles</v>
      </c>
      <c r="E3249" s="6" t="str">
        <f>IFERROR(__xludf.DUMMYFUNCTION("""COMPUTED_VALUE"""),"")</f>
        <v/>
      </c>
      <c r="F3249" s="6" t="str">
        <f>IFERROR(__xludf.DUMMYFUNCTION("""COMPUTED_VALUE"""),"Melcher")</f>
        <v>Melcher</v>
      </c>
      <c r="G3249" s="6" t="str">
        <f>IFERROR(__xludf.DUMMYFUNCTION("""COMPUTED_VALUE"""),"12/22/2015")</f>
        <v>12/22/2015</v>
      </c>
      <c r="H3249" s="6" t="str">
        <f>IFERROR(__xludf.DUMMYFUNCTION("""COMPUTED_VALUE"""),"Self Identify")</f>
        <v>Self Identify</v>
      </c>
      <c r="I3249" s="6" t="str">
        <f>IFERROR(__xludf.DUMMYFUNCTION("""COMPUTED_VALUE"""),"Level 2")</f>
        <v>Level 2</v>
      </c>
      <c r="J3249" s="6" t="str">
        <f>IFERROR(__xludf.DUMMYFUNCTION("""COMPUTED_VALUE"""),"4")</f>
        <v>4</v>
      </c>
      <c r="K3249" s="6" t="str">
        <f>IFERROR(__xludf.DUMMYFUNCTION("""COMPUTED_VALUE"""),"miles_melcher@stu.ortrail.k12.or.us")</f>
        <v>miles_melcher@stu.ortrail.k12.or.us</v>
      </c>
      <c r="L3249" s="6" t="str">
        <f>IFERROR(__xludf.DUMMYFUNCTION("""COMPUTED_VALUE"""),"Oregon Trail School District 46")</f>
        <v>Oregon Trail School District 46</v>
      </c>
      <c r="M3249" s="6" t="str">
        <f>IFERROR(__xludf.DUMMYFUNCTION("""COMPUTED_VALUE"""),"Kelso Elementary School")</f>
        <v>Kelso Elementary School</v>
      </c>
      <c r="N3249" s="6" t="str">
        <f>IFERROR(__xludf.DUMMYFUNCTION("""COMPUTED_VALUE"""),"")</f>
        <v/>
      </c>
      <c r="O3249" s="87" t="str">
        <f>IFERROR(__xludf.DUMMYFUNCTION("""COMPUTED_VALUE"""),"https://drive.google.com/drive/folders/10T2cTQHqEJZqE-st6uFKPoI?usp=share_link")</f>
        <v>https://drive.google.com/drive/folders/10T2cTQHqEJZqE-st6uFKPoI?usp=share_link</v>
      </c>
      <c r="P3249" s="6" t="str">
        <f>IFERROR(__xludf.DUMMYFUNCTION("""COMPUTED_VALUE"""),"Miles Melcher")</f>
        <v>Miles Melcher</v>
      </c>
      <c r="Q3249" s="6" t="str">
        <f>IFERROR(__xludf.DUMMYFUNCTION("""COMPUTED_VALUE"""),"L2")</f>
        <v>L2</v>
      </c>
      <c r="R3249" s="6">
        <f>IFERROR(__xludf.DUMMYFUNCTION("""COMPUTED_VALUE"""),2.0)</f>
        <v>2</v>
      </c>
      <c r="S3249" s="6" t="str">
        <f>IFERROR(__xludf.DUMMYFUNCTION("""COMPUTED_VALUE"""),"Jennifer Johnson")</f>
        <v>Jennifer Johnson</v>
      </c>
      <c r="T3249" s="6" t="str">
        <f>IFERROR(__xludf.DUMMYFUNCTION("""COMPUTED_VALUE"""),"jennifer.johnson@ortrail.k12.or.us")</f>
        <v>jennifer.johnson@ortrail.k12.or.us</v>
      </c>
      <c r="U3249" s="6" t="str">
        <f>IFERROR(__xludf.DUMMYFUNCTION("""COMPUTED_VALUE"""),"4")</f>
        <v>4</v>
      </c>
      <c r="V3249" s="6" t="str">
        <f>IFERROR(__xludf.DUMMYFUNCTION("""COMPUTED_VALUE"""),"English")</f>
        <v>English</v>
      </c>
      <c r="W3249" s="6" t="str">
        <f>IFERROR(__xludf.DUMMYFUNCTION("""COMPUTED_VALUE"""),"[]")</f>
        <v>[]</v>
      </c>
      <c r="X3249" s="6" t="str">
        <f>IFERROR(__xludf.DUMMYFUNCTION("""COMPUTED_VALUE"""),"Enrolled")</f>
        <v>Enrolled</v>
      </c>
    </row>
    <row r="3250">
      <c r="A3250" s="6" t="str">
        <f>IFERROR(__xludf.DUMMYFUNCTION("""COMPUTED_VALUE"""),"064-6114")</f>
        <v>064-6114</v>
      </c>
      <c r="B3250" s="6" t="str">
        <f>IFERROR(__xludf.DUMMYFUNCTION("""COMPUTED_VALUE"""),"64")</f>
        <v>64</v>
      </c>
      <c r="C3250" s="6" t="str">
        <f>IFERROR(__xludf.DUMMYFUNCTION("""COMPUTED_VALUE"""),"6114")</f>
        <v>6114</v>
      </c>
      <c r="D3250" s="6" t="str">
        <f>IFERROR(__xludf.DUMMYFUNCTION("""COMPUTED_VALUE"""),"Blaine")</f>
        <v>Blaine</v>
      </c>
      <c r="E3250" s="6" t="str">
        <f>IFERROR(__xludf.DUMMYFUNCTION("""COMPUTED_VALUE"""),"")</f>
        <v/>
      </c>
      <c r="F3250" s="6" t="str">
        <f>IFERROR(__xludf.DUMMYFUNCTION("""COMPUTED_VALUE"""),"Meyer")</f>
        <v>Meyer</v>
      </c>
      <c r="G3250" s="6" t="str">
        <f>IFERROR(__xludf.DUMMYFUNCTION("""COMPUTED_VALUE"""),"06/03/2016")</f>
        <v>06/03/2016</v>
      </c>
      <c r="H3250" s="6" t="str">
        <f>IFERROR(__xludf.DUMMYFUNCTION("""COMPUTED_VALUE"""),"Self Identify")</f>
        <v>Self Identify</v>
      </c>
      <c r="I3250" s="6" t="str">
        <f>IFERROR(__xludf.DUMMYFUNCTION("""COMPUTED_VALUE"""),"Level 2")</f>
        <v>Level 2</v>
      </c>
      <c r="J3250" s="6" t="str">
        <f>IFERROR(__xludf.DUMMYFUNCTION("""COMPUTED_VALUE"""),"4")</f>
        <v>4</v>
      </c>
      <c r="K3250" s="6" t="str">
        <f>IFERROR(__xludf.DUMMYFUNCTION("""COMPUTED_VALUE"""),"blaine_meyer@stu.ortrail.k12.or.us")</f>
        <v>blaine_meyer@stu.ortrail.k12.or.us</v>
      </c>
      <c r="L3250" s="6" t="str">
        <f>IFERROR(__xludf.DUMMYFUNCTION("""COMPUTED_VALUE"""),"Oregon Trail School District 46")</f>
        <v>Oregon Trail School District 46</v>
      </c>
      <c r="M3250" s="6" t="str">
        <f>IFERROR(__xludf.DUMMYFUNCTION("""COMPUTED_VALUE"""),"Kelso Elementary School")</f>
        <v>Kelso Elementary School</v>
      </c>
      <c r="N3250" s="6" t="str">
        <f>IFERROR(__xludf.DUMMYFUNCTION("""COMPUTED_VALUE"""),"")</f>
        <v/>
      </c>
      <c r="O3250" s="87" t="str">
        <f>IFERROR(__xludf.DUMMYFUNCTION("""COMPUTED_VALUE"""),"https://drive.google.com/drive/folders/10T2cTQHqEJZqE-st6uFKPoI?usp=share_link")</f>
        <v>https://drive.google.com/drive/folders/10T2cTQHqEJZqE-st6uFKPoI?usp=share_link</v>
      </c>
      <c r="P3250" s="6" t="str">
        <f>IFERROR(__xludf.DUMMYFUNCTION("""COMPUTED_VALUE"""),"Blaine Meyer")</f>
        <v>Blaine Meyer</v>
      </c>
      <c r="Q3250" s="6" t="str">
        <f>IFERROR(__xludf.DUMMYFUNCTION("""COMPUTED_VALUE"""),"L2")</f>
        <v>L2</v>
      </c>
      <c r="R3250" s="6">
        <f>IFERROR(__xludf.DUMMYFUNCTION("""COMPUTED_VALUE"""),2.0)</f>
        <v>2</v>
      </c>
      <c r="S3250" s="6" t="str">
        <f>IFERROR(__xludf.DUMMYFUNCTION("""COMPUTED_VALUE"""),"Jennifer Johnson")</f>
        <v>Jennifer Johnson</v>
      </c>
      <c r="T3250" s="6" t="str">
        <f>IFERROR(__xludf.DUMMYFUNCTION("""COMPUTED_VALUE"""),"jennifer.johnson@ortrail.k12.or.us")</f>
        <v>jennifer.johnson@ortrail.k12.or.us</v>
      </c>
      <c r="U3250" s="6" t="str">
        <f>IFERROR(__xludf.DUMMYFUNCTION("""COMPUTED_VALUE"""),"4")</f>
        <v>4</v>
      </c>
      <c r="V3250" s="6" t="str">
        <f>IFERROR(__xludf.DUMMYFUNCTION("""COMPUTED_VALUE"""),"English")</f>
        <v>English</v>
      </c>
      <c r="W3250" s="6" t="str">
        <f>IFERROR(__xludf.DUMMYFUNCTION("""COMPUTED_VALUE"""),"[]")</f>
        <v>[]</v>
      </c>
      <c r="X3250" s="6" t="str">
        <f>IFERROR(__xludf.DUMMYFUNCTION("""COMPUTED_VALUE"""),"Enrolled")</f>
        <v>Enrolled</v>
      </c>
    </row>
    <row r="3251">
      <c r="A3251" s="6" t="str">
        <f>IFERROR(__xludf.DUMMYFUNCTION("""COMPUTED_VALUE"""),"064-6115")</f>
        <v>064-6115</v>
      </c>
      <c r="B3251" s="6" t="str">
        <f>IFERROR(__xludf.DUMMYFUNCTION("""COMPUTED_VALUE"""),"64")</f>
        <v>64</v>
      </c>
      <c r="C3251" s="6" t="str">
        <f>IFERROR(__xludf.DUMMYFUNCTION("""COMPUTED_VALUE"""),"6115")</f>
        <v>6115</v>
      </c>
      <c r="D3251" s="6" t="str">
        <f>IFERROR(__xludf.DUMMYFUNCTION("""COMPUTED_VALUE"""),"Rylee")</f>
        <v>Rylee</v>
      </c>
      <c r="E3251" s="6" t="str">
        <f>IFERROR(__xludf.DUMMYFUNCTION("""COMPUTED_VALUE"""),"")</f>
        <v/>
      </c>
      <c r="F3251" s="6" t="str">
        <f>IFERROR(__xludf.DUMMYFUNCTION("""COMPUTED_VALUE"""),"Miller")</f>
        <v>Miller</v>
      </c>
      <c r="G3251" s="6" t="str">
        <f>IFERROR(__xludf.DUMMYFUNCTION("""COMPUTED_VALUE"""),"01/26/2016")</f>
        <v>01/26/2016</v>
      </c>
      <c r="H3251" s="6" t="str">
        <f>IFERROR(__xludf.DUMMYFUNCTION("""COMPUTED_VALUE"""),"Self Identify")</f>
        <v>Self Identify</v>
      </c>
      <c r="I3251" s="6" t="str">
        <f>IFERROR(__xludf.DUMMYFUNCTION("""COMPUTED_VALUE"""),"Level 2")</f>
        <v>Level 2</v>
      </c>
      <c r="J3251" s="6" t="str">
        <f>IFERROR(__xludf.DUMMYFUNCTION("""COMPUTED_VALUE"""),"4")</f>
        <v>4</v>
      </c>
      <c r="K3251" s="6" t="str">
        <f>IFERROR(__xludf.DUMMYFUNCTION("""COMPUTED_VALUE"""),"rylee_miller@stu.ortrail.k12.or.us")</f>
        <v>rylee_miller@stu.ortrail.k12.or.us</v>
      </c>
      <c r="L3251" s="6" t="str">
        <f>IFERROR(__xludf.DUMMYFUNCTION("""COMPUTED_VALUE"""),"Oregon Trail School District 46")</f>
        <v>Oregon Trail School District 46</v>
      </c>
      <c r="M3251" s="6" t="str">
        <f>IFERROR(__xludf.DUMMYFUNCTION("""COMPUTED_VALUE"""),"Kelso Elementary School")</f>
        <v>Kelso Elementary School</v>
      </c>
      <c r="N3251" s="6" t="str">
        <f>IFERROR(__xludf.DUMMYFUNCTION("""COMPUTED_VALUE"""),"")</f>
        <v/>
      </c>
      <c r="O3251" s="87" t="str">
        <f>IFERROR(__xludf.DUMMYFUNCTION("""COMPUTED_VALUE"""),"https://drive.google.com/drive/folders/10T2cTQHqEJZqE-st6uFKPoI?usp=share_link")</f>
        <v>https://drive.google.com/drive/folders/10T2cTQHqEJZqE-st6uFKPoI?usp=share_link</v>
      </c>
      <c r="P3251" s="6" t="str">
        <f>IFERROR(__xludf.DUMMYFUNCTION("""COMPUTED_VALUE"""),"Rylee Miller")</f>
        <v>Rylee Miller</v>
      </c>
      <c r="Q3251" s="6" t="str">
        <f>IFERROR(__xludf.DUMMYFUNCTION("""COMPUTED_VALUE"""),"L2")</f>
        <v>L2</v>
      </c>
      <c r="R3251" s="6">
        <f>IFERROR(__xludf.DUMMYFUNCTION("""COMPUTED_VALUE"""),2.0)</f>
        <v>2</v>
      </c>
      <c r="S3251" s="6" t="str">
        <f>IFERROR(__xludf.DUMMYFUNCTION("""COMPUTED_VALUE"""),"Samantha Scherer")</f>
        <v>Samantha Scherer</v>
      </c>
      <c r="T3251" s="6" t="str">
        <f>IFERROR(__xludf.DUMMYFUNCTION("""COMPUTED_VALUE"""),"samantha.scherer@ortrail.k12.or.us")</f>
        <v>samantha.scherer@ortrail.k12.or.us</v>
      </c>
      <c r="U3251" s="6" t="str">
        <f>IFERROR(__xludf.DUMMYFUNCTION("""COMPUTED_VALUE"""),"4")</f>
        <v>4</v>
      </c>
      <c r="V3251" s="6" t="str">
        <f>IFERROR(__xludf.DUMMYFUNCTION("""COMPUTED_VALUE"""),"English")</f>
        <v>English</v>
      </c>
      <c r="W3251" s="6" t="str">
        <f>IFERROR(__xludf.DUMMYFUNCTION("""COMPUTED_VALUE"""),"[]")</f>
        <v>[]</v>
      </c>
      <c r="X3251" s="6" t="str">
        <f>IFERROR(__xludf.DUMMYFUNCTION("""COMPUTED_VALUE"""),"Enrolled")</f>
        <v>Enrolled</v>
      </c>
    </row>
    <row r="3252">
      <c r="A3252" s="6" t="str">
        <f>IFERROR(__xludf.DUMMYFUNCTION("""COMPUTED_VALUE"""),"064-6116")</f>
        <v>064-6116</v>
      </c>
      <c r="B3252" s="6" t="str">
        <f>IFERROR(__xludf.DUMMYFUNCTION("""COMPUTED_VALUE"""),"64")</f>
        <v>64</v>
      </c>
      <c r="C3252" s="6" t="str">
        <f>IFERROR(__xludf.DUMMYFUNCTION("""COMPUTED_VALUE"""),"6116")</f>
        <v>6116</v>
      </c>
      <c r="D3252" s="6" t="str">
        <f>IFERROR(__xludf.DUMMYFUNCTION("""COMPUTED_VALUE"""),"Lyla")</f>
        <v>Lyla</v>
      </c>
      <c r="E3252" s="6" t="str">
        <f>IFERROR(__xludf.DUMMYFUNCTION("""COMPUTED_VALUE"""),"")</f>
        <v/>
      </c>
      <c r="F3252" s="6" t="str">
        <f>IFERROR(__xludf.DUMMYFUNCTION("""COMPUTED_VALUE"""),"Murphy")</f>
        <v>Murphy</v>
      </c>
      <c r="G3252" s="6" t="str">
        <f>IFERROR(__xludf.DUMMYFUNCTION("""COMPUTED_VALUE"""),"07/21/2016")</f>
        <v>07/21/2016</v>
      </c>
      <c r="H3252" s="6" t="str">
        <f>IFERROR(__xludf.DUMMYFUNCTION("""COMPUTED_VALUE"""),"Self Identify")</f>
        <v>Self Identify</v>
      </c>
      <c r="I3252" s="6" t="str">
        <f>IFERROR(__xludf.DUMMYFUNCTION("""COMPUTED_VALUE"""),"Level 2")</f>
        <v>Level 2</v>
      </c>
      <c r="J3252" s="6" t="str">
        <f>IFERROR(__xludf.DUMMYFUNCTION("""COMPUTED_VALUE"""),"4")</f>
        <v>4</v>
      </c>
      <c r="K3252" s="6" t="str">
        <f>IFERROR(__xludf.DUMMYFUNCTION("""COMPUTED_VALUE"""),"lyla_murphy@stu.ortrail.k12.or.us")</f>
        <v>lyla_murphy@stu.ortrail.k12.or.us</v>
      </c>
      <c r="L3252" s="6" t="str">
        <f>IFERROR(__xludf.DUMMYFUNCTION("""COMPUTED_VALUE"""),"Oregon Trail School District 46")</f>
        <v>Oregon Trail School District 46</v>
      </c>
      <c r="M3252" s="6" t="str">
        <f>IFERROR(__xludf.DUMMYFUNCTION("""COMPUTED_VALUE"""),"Kelso Elementary School")</f>
        <v>Kelso Elementary School</v>
      </c>
      <c r="N3252" s="6" t="str">
        <f>IFERROR(__xludf.DUMMYFUNCTION("""COMPUTED_VALUE"""),"")</f>
        <v/>
      </c>
      <c r="O3252" s="87" t="str">
        <f>IFERROR(__xludf.DUMMYFUNCTION("""COMPUTED_VALUE"""),"https://drive.google.com/drive/folders/10T2cTQHqEJZqE-st6uFKPoI?usp=share_link")</f>
        <v>https://drive.google.com/drive/folders/10T2cTQHqEJZqE-st6uFKPoI?usp=share_link</v>
      </c>
      <c r="P3252" s="6" t="str">
        <f>IFERROR(__xludf.DUMMYFUNCTION("""COMPUTED_VALUE"""),"Lyla Murphy")</f>
        <v>Lyla Murphy</v>
      </c>
      <c r="Q3252" s="6" t="str">
        <f>IFERROR(__xludf.DUMMYFUNCTION("""COMPUTED_VALUE"""),"L2")</f>
        <v>L2</v>
      </c>
      <c r="R3252" s="6">
        <f>IFERROR(__xludf.DUMMYFUNCTION("""COMPUTED_VALUE"""),2.0)</f>
        <v>2</v>
      </c>
      <c r="S3252" s="6" t="str">
        <f>IFERROR(__xludf.DUMMYFUNCTION("""COMPUTED_VALUE"""),"Samantha Scherer")</f>
        <v>Samantha Scherer</v>
      </c>
      <c r="T3252" s="6" t="str">
        <f>IFERROR(__xludf.DUMMYFUNCTION("""COMPUTED_VALUE"""),"samantha.scherer@ortrail.k12.or.us")</f>
        <v>samantha.scherer@ortrail.k12.or.us</v>
      </c>
      <c r="U3252" s="6" t="str">
        <f>IFERROR(__xludf.DUMMYFUNCTION("""COMPUTED_VALUE"""),"4")</f>
        <v>4</v>
      </c>
      <c r="V3252" s="6" t="str">
        <f>IFERROR(__xludf.DUMMYFUNCTION("""COMPUTED_VALUE"""),"English")</f>
        <v>English</v>
      </c>
      <c r="W3252" s="6" t="str">
        <f>IFERROR(__xludf.DUMMYFUNCTION("""COMPUTED_VALUE"""),"[]")</f>
        <v>[]</v>
      </c>
      <c r="X3252" s="6" t="str">
        <f>IFERROR(__xludf.DUMMYFUNCTION("""COMPUTED_VALUE"""),"Enrolled")</f>
        <v>Enrolled</v>
      </c>
    </row>
    <row r="3253">
      <c r="A3253" s="6" t="str">
        <f>IFERROR(__xludf.DUMMYFUNCTION("""COMPUTED_VALUE"""),"064-6118")</f>
        <v>064-6118</v>
      </c>
      <c r="B3253" s="6" t="str">
        <f>IFERROR(__xludf.DUMMYFUNCTION("""COMPUTED_VALUE"""),"64")</f>
        <v>64</v>
      </c>
      <c r="C3253" s="6" t="str">
        <f>IFERROR(__xludf.DUMMYFUNCTION("""COMPUTED_VALUE"""),"6118")</f>
        <v>6118</v>
      </c>
      <c r="D3253" s="6" t="str">
        <f>IFERROR(__xludf.DUMMYFUNCTION("""COMPUTED_VALUE"""),"Mackenzie")</f>
        <v>Mackenzie</v>
      </c>
      <c r="E3253" s="6" t="str">
        <f>IFERROR(__xludf.DUMMYFUNCTION("""COMPUTED_VALUE"""),"")</f>
        <v/>
      </c>
      <c r="F3253" s="6" t="str">
        <f>IFERROR(__xludf.DUMMYFUNCTION("""COMPUTED_VALUE"""),"Nyseth")</f>
        <v>Nyseth</v>
      </c>
      <c r="G3253" s="6" t="str">
        <f>IFERROR(__xludf.DUMMYFUNCTION("""COMPUTED_VALUE"""),"12/16/2015")</f>
        <v>12/16/2015</v>
      </c>
      <c r="H3253" s="6" t="str">
        <f>IFERROR(__xludf.DUMMYFUNCTION("""COMPUTED_VALUE"""),"Self Identify")</f>
        <v>Self Identify</v>
      </c>
      <c r="I3253" s="6" t="str">
        <f>IFERROR(__xludf.DUMMYFUNCTION("""COMPUTED_VALUE"""),"Level 2")</f>
        <v>Level 2</v>
      </c>
      <c r="J3253" s="6" t="str">
        <f>IFERROR(__xludf.DUMMYFUNCTION("""COMPUTED_VALUE"""),"4")</f>
        <v>4</v>
      </c>
      <c r="K3253" s="6" t="str">
        <f>IFERROR(__xludf.DUMMYFUNCTION("""COMPUTED_VALUE"""),"mackenzie_nyseth@stu.ortrail.k12.or.us")</f>
        <v>mackenzie_nyseth@stu.ortrail.k12.or.us</v>
      </c>
      <c r="L3253" s="6" t="str">
        <f>IFERROR(__xludf.DUMMYFUNCTION("""COMPUTED_VALUE"""),"Oregon Trail School District 46")</f>
        <v>Oregon Trail School District 46</v>
      </c>
      <c r="M3253" s="6" t="str">
        <f>IFERROR(__xludf.DUMMYFUNCTION("""COMPUTED_VALUE"""),"Kelso Elementary School")</f>
        <v>Kelso Elementary School</v>
      </c>
      <c r="N3253" s="6" t="str">
        <f>IFERROR(__xludf.DUMMYFUNCTION("""COMPUTED_VALUE"""),"")</f>
        <v/>
      </c>
      <c r="O3253" s="87" t="str">
        <f>IFERROR(__xludf.DUMMYFUNCTION("""COMPUTED_VALUE"""),"https://drive.google.com/drive/folders/10T2cTQHqEJZqE-st6uFKPoI?usp=share_link")</f>
        <v>https://drive.google.com/drive/folders/10T2cTQHqEJZqE-st6uFKPoI?usp=share_link</v>
      </c>
      <c r="P3253" s="6" t="str">
        <f>IFERROR(__xludf.DUMMYFUNCTION("""COMPUTED_VALUE"""),"Mackenzie Nyseth")</f>
        <v>Mackenzie Nyseth</v>
      </c>
      <c r="Q3253" s="6" t="str">
        <f>IFERROR(__xludf.DUMMYFUNCTION("""COMPUTED_VALUE"""),"L2")</f>
        <v>L2</v>
      </c>
      <c r="R3253" s="6">
        <f>IFERROR(__xludf.DUMMYFUNCTION("""COMPUTED_VALUE"""),2.0)</f>
        <v>2</v>
      </c>
      <c r="S3253" s="6" t="str">
        <f>IFERROR(__xludf.DUMMYFUNCTION("""COMPUTED_VALUE"""),"Samantha Scherer")</f>
        <v>Samantha Scherer</v>
      </c>
      <c r="T3253" s="6" t="str">
        <f>IFERROR(__xludf.DUMMYFUNCTION("""COMPUTED_VALUE"""),"samantha.scherer@ortrail.k12.or.us")</f>
        <v>samantha.scherer@ortrail.k12.or.us</v>
      </c>
      <c r="U3253" s="6" t="str">
        <f>IFERROR(__xludf.DUMMYFUNCTION("""COMPUTED_VALUE"""),"4")</f>
        <v>4</v>
      </c>
      <c r="V3253" s="6" t="str">
        <f>IFERROR(__xludf.DUMMYFUNCTION("""COMPUTED_VALUE"""),"English")</f>
        <v>English</v>
      </c>
      <c r="W3253" s="6" t="str">
        <f>IFERROR(__xludf.DUMMYFUNCTION("""COMPUTED_VALUE"""),"[]")</f>
        <v>[]</v>
      </c>
      <c r="X3253" s="6" t="str">
        <f>IFERROR(__xludf.DUMMYFUNCTION("""COMPUTED_VALUE"""),"Enrolled")</f>
        <v>Enrolled</v>
      </c>
    </row>
    <row r="3254">
      <c r="A3254" s="6" t="str">
        <f>IFERROR(__xludf.DUMMYFUNCTION("""COMPUTED_VALUE"""),"064-6119")</f>
        <v>064-6119</v>
      </c>
      <c r="B3254" s="6" t="str">
        <f>IFERROR(__xludf.DUMMYFUNCTION("""COMPUTED_VALUE"""),"64")</f>
        <v>64</v>
      </c>
      <c r="C3254" s="6" t="str">
        <f>IFERROR(__xludf.DUMMYFUNCTION("""COMPUTED_VALUE"""),"6119")</f>
        <v>6119</v>
      </c>
      <c r="D3254" s="6" t="str">
        <f>IFERROR(__xludf.DUMMYFUNCTION("""COMPUTED_VALUE"""),"Atlas")</f>
        <v>Atlas</v>
      </c>
      <c r="E3254" s="6" t="str">
        <f>IFERROR(__xludf.DUMMYFUNCTION("""COMPUTED_VALUE"""),"")</f>
        <v/>
      </c>
      <c r="F3254" s="6" t="str">
        <f>IFERROR(__xludf.DUMMYFUNCTION("""COMPUTED_VALUE"""),"Oster")</f>
        <v>Oster</v>
      </c>
      <c r="G3254" s="6" t="str">
        <f>IFERROR(__xludf.DUMMYFUNCTION("""COMPUTED_VALUE"""),"11/03/2015")</f>
        <v>11/03/2015</v>
      </c>
      <c r="H3254" s="6" t="str">
        <f>IFERROR(__xludf.DUMMYFUNCTION("""COMPUTED_VALUE"""),"Self Identify")</f>
        <v>Self Identify</v>
      </c>
      <c r="I3254" s="6" t="str">
        <f>IFERROR(__xludf.DUMMYFUNCTION("""COMPUTED_VALUE"""),"Level 2")</f>
        <v>Level 2</v>
      </c>
      <c r="J3254" s="6" t="str">
        <f>IFERROR(__xludf.DUMMYFUNCTION("""COMPUTED_VALUE"""),"4")</f>
        <v>4</v>
      </c>
      <c r="K3254" s="6" t="str">
        <f>IFERROR(__xludf.DUMMYFUNCTION("""COMPUTED_VALUE"""),"atlas_oster@stu.ortrail.k12.or.us")</f>
        <v>atlas_oster@stu.ortrail.k12.or.us</v>
      </c>
      <c r="L3254" s="6" t="str">
        <f>IFERROR(__xludf.DUMMYFUNCTION("""COMPUTED_VALUE"""),"Oregon Trail School District 46")</f>
        <v>Oregon Trail School District 46</v>
      </c>
      <c r="M3254" s="6" t="str">
        <f>IFERROR(__xludf.DUMMYFUNCTION("""COMPUTED_VALUE"""),"Kelso Elementary School")</f>
        <v>Kelso Elementary School</v>
      </c>
      <c r="N3254" s="6" t="str">
        <f>IFERROR(__xludf.DUMMYFUNCTION("""COMPUTED_VALUE"""),"")</f>
        <v/>
      </c>
      <c r="O3254" s="87" t="str">
        <f>IFERROR(__xludf.DUMMYFUNCTION("""COMPUTED_VALUE"""),"https://drive.google.com/drive/folders/10T2cTQHqEJZqE-st6uFKPoI?usp=share_link")</f>
        <v>https://drive.google.com/drive/folders/10T2cTQHqEJZqE-st6uFKPoI?usp=share_link</v>
      </c>
      <c r="P3254" s="6" t="str">
        <f>IFERROR(__xludf.DUMMYFUNCTION("""COMPUTED_VALUE"""),"Atlas Oster")</f>
        <v>Atlas Oster</v>
      </c>
      <c r="Q3254" s="6" t="str">
        <f>IFERROR(__xludf.DUMMYFUNCTION("""COMPUTED_VALUE"""),"L2")</f>
        <v>L2</v>
      </c>
      <c r="R3254" s="6">
        <f>IFERROR(__xludf.DUMMYFUNCTION("""COMPUTED_VALUE"""),2.0)</f>
        <v>2</v>
      </c>
      <c r="S3254" s="6" t="str">
        <f>IFERROR(__xludf.DUMMYFUNCTION("""COMPUTED_VALUE"""),"Jennifer Johnson")</f>
        <v>Jennifer Johnson</v>
      </c>
      <c r="T3254" s="6" t="str">
        <f>IFERROR(__xludf.DUMMYFUNCTION("""COMPUTED_VALUE"""),"jennifer.johnson@ortrail.k12.or.us")</f>
        <v>jennifer.johnson@ortrail.k12.or.us</v>
      </c>
      <c r="U3254" s="6" t="str">
        <f>IFERROR(__xludf.DUMMYFUNCTION("""COMPUTED_VALUE"""),"4")</f>
        <v>4</v>
      </c>
      <c r="V3254" s="6" t="str">
        <f>IFERROR(__xludf.DUMMYFUNCTION("""COMPUTED_VALUE"""),"English")</f>
        <v>English</v>
      </c>
      <c r="W3254" s="6" t="str">
        <f>IFERROR(__xludf.DUMMYFUNCTION("""COMPUTED_VALUE"""),"[]")</f>
        <v>[]</v>
      </c>
      <c r="X3254" s="6" t="str">
        <f>IFERROR(__xludf.DUMMYFUNCTION("""COMPUTED_VALUE"""),"Enrolled")</f>
        <v>Enrolled</v>
      </c>
    </row>
    <row r="3255">
      <c r="A3255" s="6" t="str">
        <f>IFERROR(__xludf.DUMMYFUNCTION("""COMPUTED_VALUE"""),"064-6121")</f>
        <v>064-6121</v>
      </c>
      <c r="B3255" s="6" t="str">
        <f>IFERROR(__xludf.DUMMYFUNCTION("""COMPUTED_VALUE"""),"64")</f>
        <v>64</v>
      </c>
      <c r="C3255" s="6" t="str">
        <f>IFERROR(__xludf.DUMMYFUNCTION("""COMPUTED_VALUE"""),"6121")</f>
        <v>6121</v>
      </c>
      <c r="D3255" s="6" t="str">
        <f>IFERROR(__xludf.DUMMYFUNCTION("""COMPUTED_VALUE"""),"Riley")</f>
        <v>Riley</v>
      </c>
      <c r="E3255" s="6" t="str">
        <f>IFERROR(__xludf.DUMMYFUNCTION("""COMPUTED_VALUE"""),"")</f>
        <v/>
      </c>
      <c r="F3255" s="6" t="str">
        <f>IFERROR(__xludf.DUMMYFUNCTION("""COMPUTED_VALUE"""),"Padilla")</f>
        <v>Padilla</v>
      </c>
      <c r="G3255" s="6" t="str">
        <f>IFERROR(__xludf.DUMMYFUNCTION("""COMPUTED_VALUE"""),"02/17/2016")</f>
        <v>02/17/2016</v>
      </c>
      <c r="H3255" s="6" t="str">
        <f>IFERROR(__xludf.DUMMYFUNCTION("""COMPUTED_VALUE"""),"Self Identify")</f>
        <v>Self Identify</v>
      </c>
      <c r="I3255" s="6" t="str">
        <f>IFERROR(__xludf.DUMMYFUNCTION("""COMPUTED_VALUE"""),"Level 2")</f>
        <v>Level 2</v>
      </c>
      <c r="J3255" s="6" t="str">
        <f>IFERROR(__xludf.DUMMYFUNCTION("""COMPUTED_VALUE"""),"4")</f>
        <v>4</v>
      </c>
      <c r="K3255" s="6" t="str">
        <f>IFERROR(__xludf.DUMMYFUNCTION("""COMPUTED_VALUE"""),"riley_padilla@stu.ortrail.k12.or.us")</f>
        <v>riley_padilla@stu.ortrail.k12.or.us</v>
      </c>
      <c r="L3255" s="6" t="str">
        <f>IFERROR(__xludf.DUMMYFUNCTION("""COMPUTED_VALUE"""),"Oregon Trail School District 46")</f>
        <v>Oregon Trail School District 46</v>
      </c>
      <c r="M3255" s="6" t="str">
        <f>IFERROR(__xludf.DUMMYFUNCTION("""COMPUTED_VALUE"""),"Kelso Elementary School")</f>
        <v>Kelso Elementary School</v>
      </c>
      <c r="N3255" s="6" t="str">
        <f>IFERROR(__xludf.DUMMYFUNCTION("""COMPUTED_VALUE"""),"")</f>
        <v/>
      </c>
      <c r="O3255" s="87" t="str">
        <f>IFERROR(__xludf.DUMMYFUNCTION("""COMPUTED_VALUE"""),"https://drive.google.com/drive/folders/10T2cTQHqEJZqE-st6uFKPoI?usp=share_link")</f>
        <v>https://drive.google.com/drive/folders/10T2cTQHqEJZqE-st6uFKPoI?usp=share_link</v>
      </c>
      <c r="P3255" s="6" t="str">
        <f>IFERROR(__xludf.DUMMYFUNCTION("""COMPUTED_VALUE"""),"Riley Padilla")</f>
        <v>Riley Padilla</v>
      </c>
      <c r="Q3255" s="6" t="str">
        <f>IFERROR(__xludf.DUMMYFUNCTION("""COMPUTED_VALUE"""),"L2")</f>
        <v>L2</v>
      </c>
      <c r="R3255" s="6">
        <f>IFERROR(__xludf.DUMMYFUNCTION("""COMPUTED_VALUE"""),2.0)</f>
        <v>2</v>
      </c>
      <c r="S3255" s="6" t="str">
        <f>IFERROR(__xludf.DUMMYFUNCTION("""COMPUTED_VALUE"""),"Samantha Scherer")</f>
        <v>Samantha Scherer</v>
      </c>
      <c r="T3255" s="6" t="str">
        <f>IFERROR(__xludf.DUMMYFUNCTION("""COMPUTED_VALUE"""),"samantha.scherer@ortrail.k12.or.us")</f>
        <v>samantha.scherer@ortrail.k12.or.us</v>
      </c>
      <c r="U3255" s="6" t="str">
        <f>IFERROR(__xludf.DUMMYFUNCTION("""COMPUTED_VALUE"""),"4")</f>
        <v>4</v>
      </c>
      <c r="V3255" s="6" t="str">
        <f>IFERROR(__xludf.DUMMYFUNCTION("""COMPUTED_VALUE"""),"English")</f>
        <v>English</v>
      </c>
      <c r="W3255" s="6" t="str">
        <f>IFERROR(__xludf.DUMMYFUNCTION("""COMPUTED_VALUE"""),"[]")</f>
        <v>[]</v>
      </c>
      <c r="X3255" s="6" t="str">
        <f>IFERROR(__xludf.DUMMYFUNCTION("""COMPUTED_VALUE"""),"Enrolled")</f>
        <v>Enrolled</v>
      </c>
    </row>
    <row r="3256">
      <c r="A3256" s="6" t="str">
        <f>IFERROR(__xludf.DUMMYFUNCTION("""COMPUTED_VALUE"""),"064-6122")</f>
        <v>064-6122</v>
      </c>
      <c r="B3256" s="6" t="str">
        <f>IFERROR(__xludf.DUMMYFUNCTION("""COMPUTED_VALUE"""),"64")</f>
        <v>64</v>
      </c>
      <c r="C3256" s="6" t="str">
        <f>IFERROR(__xludf.DUMMYFUNCTION("""COMPUTED_VALUE"""),"6122")</f>
        <v>6122</v>
      </c>
      <c r="D3256" s="6" t="str">
        <f>IFERROR(__xludf.DUMMYFUNCTION("""COMPUTED_VALUE"""),"Dylan")</f>
        <v>Dylan</v>
      </c>
      <c r="E3256" s="6" t="str">
        <f>IFERROR(__xludf.DUMMYFUNCTION("""COMPUTED_VALUE"""),"")</f>
        <v/>
      </c>
      <c r="F3256" s="6" t="str">
        <f>IFERROR(__xludf.DUMMYFUNCTION("""COMPUTED_VALUE"""),"Perez")</f>
        <v>Perez</v>
      </c>
      <c r="G3256" s="6" t="str">
        <f>IFERROR(__xludf.DUMMYFUNCTION("""COMPUTED_VALUE"""),"04/11/2016")</f>
        <v>04/11/2016</v>
      </c>
      <c r="H3256" s="6" t="str">
        <f>IFERROR(__xludf.DUMMYFUNCTION("""COMPUTED_VALUE"""),"Self Identify")</f>
        <v>Self Identify</v>
      </c>
      <c r="I3256" s="6" t="str">
        <f>IFERROR(__xludf.DUMMYFUNCTION("""COMPUTED_VALUE"""),"Level 2")</f>
        <v>Level 2</v>
      </c>
      <c r="J3256" s="6" t="str">
        <f>IFERROR(__xludf.DUMMYFUNCTION("""COMPUTED_VALUE"""),"4")</f>
        <v>4</v>
      </c>
      <c r="K3256" s="6" t="str">
        <f>IFERROR(__xludf.DUMMYFUNCTION("""COMPUTED_VALUE"""),"dylan_perez@stu.ortrail.k12.or.us")</f>
        <v>dylan_perez@stu.ortrail.k12.or.us</v>
      </c>
      <c r="L3256" s="6" t="str">
        <f>IFERROR(__xludf.DUMMYFUNCTION("""COMPUTED_VALUE"""),"Oregon Trail School District 46")</f>
        <v>Oregon Trail School District 46</v>
      </c>
      <c r="M3256" s="6" t="str">
        <f>IFERROR(__xludf.DUMMYFUNCTION("""COMPUTED_VALUE"""),"Kelso Elementary School")</f>
        <v>Kelso Elementary School</v>
      </c>
      <c r="N3256" s="6" t="str">
        <f>IFERROR(__xludf.DUMMYFUNCTION("""COMPUTED_VALUE"""),"")</f>
        <v/>
      </c>
      <c r="O3256" s="87" t="str">
        <f>IFERROR(__xludf.DUMMYFUNCTION("""COMPUTED_VALUE"""),"https://drive.google.com/drive/folders/10T2cTQHqEJZqE-st6uFKPoI?usp=share_link")</f>
        <v>https://drive.google.com/drive/folders/10T2cTQHqEJZqE-st6uFKPoI?usp=share_link</v>
      </c>
      <c r="P3256" s="6" t="str">
        <f>IFERROR(__xludf.DUMMYFUNCTION("""COMPUTED_VALUE"""),"Dylan Perez")</f>
        <v>Dylan Perez</v>
      </c>
      <c r="Q3256" s="6" t="str">
        <f>IFERROR(__xludf.DUMMYFUNCTION("""COMPUTED_VALUE"""),"L2")</f>
        <v>L2</v>
      </c>
      <c r="R3256" s="6">
        <f>IFERROR(__xludf.DUMMYFUNCTION("""COMPUTED_VALUE"""),2.0)</f>
        <v>2</v>
      </c>
      <c r="S3256" s="6" t="str">
        <f>IFERROR(__xludf.DUMMYFUNCTION("""COMPUTED_VALUE"""),"Jennifer Johnson")</f>
        <v>Jennifer Johnson</v>
      </c>
      <c r="T3256" s="6" t="str">
        <f>IFERROR(__xludf.DUMMYFUNCTION("""COMPUTED_VALUE"""),"jennifer.johnson@ortrail.k12.or.us")</f>
        <v>jennifer.johnson@ortrail.k12.or.us</v>
      </c>
      <c r="U3256" s="6" t="str">
        <f>IFERROR(__xludf.DUMMYFUNCTION("""COMPUTED_VALUE"""),"4")</f>
        <v>4</v>
      </c>
      <c r="V3256" s="6" t="str">
        <f>IFERROR(__xludf.DUMMYFUNCTION("""COMPUTED_VALUE"""),"English")</f>
        <v>English</v>
      </c>
      <c r="W3256" s="6" t="str">
        <f>IFERROR(__xludf.DUMMYFUNCTION("""COMPUTED_VALUE"""),"[]")</f>
        <v>[]</v>
      </c>
      <c r="X3256" s="6" t="str">
        <f>IFERROR(__xludf.DUMMYFUNCTION("""COMPUTED_VALUE"""),"Enrolled")</f>
        <v>Enrolled</v>
      </c>
    </row>
    <row r="3257">
      <c r="A3257" s="6" t="str">
        <f>IFERROR(__xludf.DUMMYFUNCTION("""COMPUTED_VALUE"""),"064-6123")</f>
        <v>064-6123</v>
      </c>
      <c r="B3257" s="6" t="str">
        <f>IFERROR(__xludf.DUMMYFUNCTION("""COMPUTED_VALUE"""),"64")</f>
        <v>64</v>
      </c>
      <c r="C3257" s="6" t="str">
        <f>IFERROR(__xludf.DUMMYFUNCTION("""COMPUTED_VALUE"""),"6123")</f>
        <v>6123</v>
      </c>
      <c r="D3257" s="6" t="str">
        <f>IFERROR(__xludf.DUMMYFUNCTION("""COMPUTED_VALUE"""),"Kaia")</f>
        <v>Kaia</v>
      </c>
      <c r="E3257" s="6" t="str">
        <f>IFERROR(__xludf.DUMMYFUNCTION("""COMPUTED_VALUE"""),"")</f>
        <v/>
      </c>
      <c r="F3257" s="6" t="str">
        <f>IFERROR(__xludf.DUMMYFUNCTION("""COMPUTED_VALUE"""),"Perez")</f>
        <v>Perez</v>
      </c>
      <c r="G3257" s="6" t="str">
        <f>IFERROR(__xludf.DUMMYFUNCTION("""COMPUTED_VALUE"""),"04/11/2016")</f>
        <v>04/11/2016</v>
      </c>
      <c r="H3257" s="6" t="str">
        <f>IFERROR(__xludf.DUMMYFUNCTION("""COMPUTED_VALUE"""),"Self Identify")</f>
        <v>Self Identify</v>
      </c>
      <c r="I3257" s="6" t="str">
        <f>IFERROR(__xludf.DUMMYFUNCTION("""COMPUTED_VALUE"""),"Level 2")</f>
        <v>Level 2</v>
      </c>
      <c r="J3257" s="6" t="str">
        <f>IFERROR(__xludf.DUMMYFUNCTION("""COMPUTED_VALUE"""),"4")</f>
        <v>4</v>
      </c>
      <c r="K3257" s="6" t="str">
        <f>IFERROR(__xludf.DUMMYFUNCTION("""COMPUTED_VALUE"""),"kaia_perez@stu.ortrail.k12.or.us")</f>
        <v>kaia_perez@stu.ortrail.k12.or.us</v>
      </c>
      <c r="L3257" s="6" t="str">
        <f>IFERROR(__xludf.DUMMYFUNCTION("""COMPUTED_VALUE"""),"Oregon Trail School District 46")</f>
        <v>Oregon Trail School District 46</v>
      </c>
      <c r="M3257" s="6" t="str">
        <f>IFERROR(__xludf.DUMMYFUNCTION("""COMPUTED_VALUE"""),"Kelso Elementary School")</f>
        <v>Kelso Elementary School</v>
      </c>
      <c r="N3257" s="6" t="str">
        <f>IFERROR(__xludf.DUMMYFUNCTION("""COMPUTED_VALUE"""),"")</f>
        <v/>
      </c>
      <c r="O3257" s="87" t="str">
        <f>IFERROR(__xludf.DUMMYFUNCTION("""COMPUTED_VALUE"""),"https://drive.google.com/drive/folders/10T2cTQHqEJZqE-st6uFKPoI?usp=share_link")</f>
        <v>https://drive.google.com/drive/folders/10T2cTQHqEJZqE-st6uFKPoI?usp=share_link</v>
      </c>
      <c r="P3257" s="6" t="str">
        <f>IFERROR(__xludf.DUMMYFUNCTION("""COMPUTED_VALUE"""),"Kaia Perez")</f>
        <v>Kaia Perez</v>
      </c>
      <c r="Q3257" s="6" t="str">
        <f>IFERROR(__xludf.DUMMYFUNCTION("""COMPUTED_VALUE"""),"L2")</f>
        <v>L2</v>
      </c>
      <c r="R3257" s="6">
        <f>IFERROR(__xludf.DUMMYFUNCTION("""COMPUTED_VALUE"""),2.0)</f>
        <v>2</v>
      </c>
      <c r="S3257" s="6" t="str">
        <f>IFERROR(__xludf.DUMMYFUNCTION("""COMPUTED_VALUE"""),"Samantha Scherer")</f>
        <v>Samantha Scherer</v>
      </c>
      <c r="T3257" s="6" t="str">
        <f>IFERROR(__xludf.DUMMYFUNCTION("""COMPUTED_VALUE"""),"samantha.scherer@ortrail.k12.or.us")</f>
        <v>samantha.scherer@ortrail.k12.or.us</v>
      </c>
      <c r="U3257" s="6" t="str">
        <f>IFERROR(__xludf.DUMMYFUNCTION("""COMPUTED_VALUE"""),"4")</f>
        <v>4</v>
      </c>
      <c r="V3257" s="6" t="str">
        <f>IFERROR(__xludf.DUMMYFUNCTION("""COMPUTED_VALUE"""),"English")</f>
        <v>English</v>
      </c>
      <c r="W3257" s="6" t="str">
        <f>IFERROR(__xludf.DUMMYFUNCTION("""COMPUTED_VALUE"""),"[]")</f>
        <v>[]</v>
      </c>
      <c r="X3257" s="6" t="str">
        <f>IFERROR(__xludf.DUMMYFUNCTION("""COMPUTED_VALUE"""),"Enrolled")</f>
        <v>Enrolled</v>
      </c>
    </row>
    <row r="3258">
      <c r="A3258" s="6" t="str">
        <f>IFERROR(__xludf.DUMMYFUNCTION("""COMPUTED_VALUE"""),"064-6124")</f>
        <v>064-6124</v>
      </c>
      <c r="B3258" s="6" t="str">
        <f>IFERROR(__xludf.DUMMYFUNCTION("""COMPUTED_VALUE"""),"64")</f>
        <v>64</v>
      </c>
      <c r="C3258" s="6" t="str">
        <f>IFERROR(__xludf.DUMMYFUNCTION("""COMPUTED_VALUE"""),"6124")</f>
        <v>6124</v>
      </c>
      <c r="D3258" s="6" t="str">
        <f>IFERROR(__xludf.DUMMYFUNCTION("""COMPUTED_VALUE"""),"Isaiah")</f>
        <v>Isaiah</v>
      </c>
      <c r="E3258" s="6" t="str">
        <f>IFERROR(__xludf.DUMMYFUNCTION("""COMPUTED_VALUE"""),"")</f>
        <v/>
      </c>
      <c r="F3258" s="6" t="str">
        <f>IFERROR(__xludf.DUMMYFUNCTION("""COMPUTED_VALUE"""),"Ramos")</f>
        <v>Ramos</v>
      </c>
      <c r="G3258" s="6" t="str">
        <f>IFERROR(__xludf.DUMMYFUNCTION("""COMPUTED_VALUE"""),"03/01/2016")</f>
        <v>03/01/2016</v>
      </c>
      <c r="H3258" s="6" t="str">
        <f>IFERROR(__xludf.DUMMYFUNCTION("""COMPUTED_VALUE"""),"Self Identify")</f>
        <v>Self Identify</v>
      </c>
      <c r="I3258" s="6" t="str">
        <f>IFERROR(__xludf.DUMMYFUNCTION("""COMPUTED_VALUE"""),"Level 2")</f>
        <v>Level 2</v>
      </c>
      <c r="J3258" s="6" t="str">
        <f>IFERROR(__xludf.DUMMYFUNCTION("""COMPUTED_VALUE"""),"4")</f>
        <v>4</v>
      </c>
      <c r="K3258" s="6" t="str">
        <f>IFERROR(__xludf.DUMMYFUNCTION("""COMPUTED_VALUE"""),"isaiah_ramos@stu.ortrail.k12.or.us")</f>
        <v>isaiah_ramos@stu.ortrail.k12.or.us</v>
      </c>
      <c r="L3258" s="6" t="str">
        <f>IFERROR(__xludf.DUMMYFUNCTION("""COMPUTED_VALUE"""),"Oregon Trail School District 46")</f>
        <v>Oregon Trail School District 46</v>
      </c>
      <c r="M3258" s="6" t="str">
        <f>IFERROR(__xludf.DUMMYFUNCTION("""COMPUTED_VALUE"""),"Kelso Elementary School")</f>
        <v>Kelso Elementary School</v>
      </c>
      <c r="N3258" s="6" t="str">
        <f>IFERROR(__xludf.DUMMYFUNCTION("""COMPUTED_VALUE"""),"")</f>
        <v/>
      </c>
      <c r="O3258" s="87" t="str">
        <f>IFERROR(__xludf.DUMMYFUNCTION("""COMPUTED_VALUE"""),"https://drive.google.com/drive/folders/10T2cTQHqEJZqE-st6uFKPoI?usp=share_link")</f>
        <v>https://drive.google.com/drive/folders/10T2cTQHqEJZqE-st6uFKPoI?usp=share_link</v>
      </c>
      <c r="P3258" s="6" t="str">
        <f>IFERROR(__xludf.DUMMYFUNCTION("""COMPUTED_VALUE"""),"Isaiah Ramos")</f>
        <v>Isaiah Ramos</v>
      </c>
      <c r="Q3258" s="6" t="str">
        <f>IFERROR(__xludf.DUMMYFUNCTION("""COMPUTED_VALUE"""),"L2")</f>
        <v>L2</v>
      </c>
      <c r="R3258" s="6">
        <f>IFERROR(__xludf.DUMMYFUNCTION("""COMPUTED_VALUE"""),2.0)</f>
        <v>2</v>
      </c>
      <c r="S3258" s="6" t="str">
        <f>IFERROR(__xludf.DUMMYFUNCTION("""COMPUTED_VALUE"""),"Jennifer Johnson")</f>
        <v>Jennifer Johnson</v>
      </c>
      <c r="T3258" s="6" t="str">
        <f>IFERROR(__xludf.DUMMYFUNCTION("""COMPUTED_VALUE"""),"jennifer.johnson@ortrail.k12.or.us")</f>
        <v>jennifer.johnson@ortrail.k12.or.us</v>
      </c>
      <c r="U3258" s="6" t="str">
        <f>IFERROR(__xludf.DUMMYFUNCTION("""COMPUTED_VALUE"""),"4")</f>
        <v>4</v>
      </c>
      <c r="V3258" s="6" t="str">
        <f>IFERROR(__xludf.DUMMYFUNCTION("""COMPUTED_VALUE"""),"English")</f>
        <v>English</v>
      </c>
      <c r="W3258" s="6" t="str">
        <f>IFERROR(__xludf.DUMMYFUNCTION("""COMPUTED_VALUE"""),"[]")</f>
        <v>[]</v>
      </c>
      <c r="X3258" s="6" t="str">
        <f>IFERROR(__xludf.DUMMYFUNCTION("""COMPUTED_VALUE"""),"Enrolled")</f>
        <v>Enrolled</v>
      </c>
    </row>
    <row r="3259">
      <c r="A3259" s="6" t="str">
        <f>IFERROR(__xludf.DUMMYFUNCTION("""COMPUTED_VALUE"""),"064-6125")</f>
        <v>064-6125</v>
      </c>
      <c r="B3259" s="6" t="str">
        <f>IFERROR(__xludf.DUMMYFUNCTION("""COMPUTED_VALUE"""),"64")</f>
        <v>64</v>
      </c>
      <c r="C3259" s="6" t="str">
        <f>IFERROR(__xludf.DUMMYFUNCTION("""COMPUTED_VALUE"""),"6125")</f>
        <v>6125</v>
      </c>
      <c r="D3259" s="6" t="str">
        <f>IFERROR(__xludf.DUMMYFUNCTION("""COMPUTED_VALUE"""),"Preston")</f>
        <v>Preston</v>
      </c>
      <c r="E3259" s="6" t="str">
        <f>IFERROR(__xludf.DUMMYFUNCTION("""COMPUTED_VALUE"""),"")</f>
        <v/>
      </c>
      <c r="F3259" s="6" t="str">
        <f>IFERROR(__xludf.DUMMYFUNCTION("""COMPUTED_VALUE"""),"Randall")</f>
        <v>Randall</v>
      </c>
      <c r="G3259" s="6" t="str">
        <f>IFERROR(__xludf.DUMMYFUNCTION("""COMPUTED_VALUE"""),"10/28/2015")</f>
        <v>10/28/2015</v>
      </c>
      <c r="H3259" s="6" t="str">
        <f>IFERROR(__xludf.DUMMYFUNCTION("""COMPUTED_VALUE"""),"Self Identify")</f>
        <v>Self Identify</v>
      </c>
      <c r="I3259" s="6" t="str">
        <f>IFERROR(__xludf.DUMMYFUNCTION("""COMPUTED_VALUE"""),"Level 2")</f>
        <v>Level 2</v>
      </c>
      <c r="J3259" s="6" t="str">
        <f>IFERROR(__xludf.DUMMYFUNCTION("""COMPUTED_VALUE"""),"4")</f>
        <v>4</v>
      </c>
      <c r="K3259" s="6" t="str">
        <f>IFERROR(__xludf.DUMMYFUNCTION("""COMPUTED_VALUE"""),"preston_randall@stu.ortrail.k12.or.us")</f>
        <v>preston_randall@stu.ortrail.k12.or.us</v>
      </c>
      <c r="L3259" s="6" t="str">
        <f>IFERROR(__xludf.DUMMYFUNCTION("""COMPUTED_VALUE"""),"Oregon Trail School District 46")</f>
        <v>Oregon Trail School District 46</v>
      </c>
      <c r="M3259" s="6" t="str">
        <f>IFERROR(__xludf.DUMMYFUNCTION("""COMPUTED_VALUE"""),"Kelso Elementary School")</f>
        <v>Kelso Elementary School</v>
      </c>
      <c r="N3259" s="6" t="str">
        <f>IFERROR(__xludf.DUMMYFUNCTION("""COMPUTED_VALUE"""),"")</f>
        <v/>
      </c>
      <c r="O3259" s="87" t="str">
        <f>IFERROR(__xludf.DUMMYFUNCTION("""COMPUTED_VALUE"""),"https://drive.google.com/drive/folders/10T2cTQHqEJZqE-st6uFKPoI?usp=share_link")</f>
        <v>https://drive.google.com/drive/folders/10T2cTQHqEJZqE-st6uFKPoI?usp=share_link</v>
      </c>
      <c r="P3259" s="6" t="str">
        <f>IFERROR(__xludf.DUMMYFUNCTION("""COMPUTED_VALUE"""),"Preston Randall")</f>
        <v>Preston Randall</v>
      </c>
      <c r="Q3259" s="6" t="str">
        <f>IFERROR(__xludf.DUMMYFUNCTION("""COMPUTED_VALUE"""),"L2")</f>
        <v>L2</v>
      </c>
      <c r="R3259" s="6">
        <f>IFERROR(__xludf.DUMMYFUNCTION("""COMPUTED_VALUE"""),2.0)</f>
        <v>2</v>
      </c>
      <c r="S3259" s="6" t="str">
        <f>IFERROR(__xludf.DUMMYFUNCTION("""COMPUTED_VALUE"""),"Samantha Scherer")</f>
        <v>Samantha Scherer</v>
      </c>
      <c r="T3259" s="6" t="str">
        <f>IFERROR(__xludf.DUMMYFUNCTION("""COMPUTED_VALUE"""),"samantha.scherer@ortrail.k12.or.us")</f>
        <v>samantha.scherer@ortrail.k12.or.us</v>
      </c>
      <c r="U3259" s="6" t="str">
        <f>IFERROR(__xludf.DUMMYFUNCTION("""COMPUTED_VALUE"""),"4")</f>
        <v>4</v>
      </c>
      <c r="V3259" s="6" t="str">
        <f>IFERROR(__xludf.DUMMYFUNCTION("""COMPUTED_VALUE"""),"English")</f>
        <v>English</v>
      </c>
      <c r="W3259" s="6" t="str">
        <f>IFERROR(__xludf.DUMMYFUNCTION("""COMPUTED_VALUE"""),"[]")</f>
        <v>[]</v>
      </c>
      <c r="X3259" s="6" t="str">
        <f>IFERROR(__xludf.DUMMYFUNCTION("""COMPUTED_VALUE"""),"Enrolled")</f>
        <v>Enrolled</v>
      </c>
    </row>
    <row r="3260">
      <c r="A3260" s="6" t="str">
        <f>IFERROR(__xludf.DUMMYFUNCTION("""COMPUTED_VALUE"""),"064-6126")</f>
        <v>064-6126</v>
      </c>
      <c r="B3260" s="6" t="str">
        <f>IFERROR(__xludf.DUMMYFUNCTION("""COMPUTED_VALUE"""),"64")</f>
        <v>64</v>
      </c>
      <c r="C3260" s="6" t="str">
        <f>IFERROR(__xludf.DUMMYFUNCTION("""COMPUTED_VALUE"""),"6126")</f>
        <v>6126</v>
      </c>
      <c r="D3260" s="6" t="str">
        <f>IFERROR(__xludf.DUMMYFUNCTION("""COMPUTED_VALUE"""),"Sadie")</f>
        <v>Sadie</v>
      </c>
      <c r="E3260" s="6" t="str">
        <f>IFERROR(__xludf.DUMMYFUNCTION("""COMPUTED_VALUE"""),"")</f>
        <v/>
      </c>
      <c r="F3260" s="6" t="str">
        <f>IFERROR(__xludf.DUMMYFUNCTION("""COMPUTED_VALUE"""),"Ruegg")</f>
        <v>Ruegg</v>
      </c>
      <c r="G3260" s="6" t="str">
        <f>IFERROR(__xludf.DUMMYFUNCTION("""COMPUTED_VALUE"""),"11/02/2015")</f>
        <v>11/02/2015</v>
      </c>
      <c r="H3260" s="6" t="str">
        <f>IFERROR(__xludf.DUMMYFUNCTION("""COMPUTED_VALUE"""),"Self Identify")</f>
        <v>Self Identify</v>
      </c>
      <c r="I3260" s="6" t="str">
        <f>IFERROR(__xludf.DUMMYFUNCTION("""COMPUTED_VALUE"""),"Level 2")</f>
        <v>Level 2</v>
      </c>
      <c r="J3260" s="6" t="str">
        <f>IFERROR(__xludf.DUMMYFUNCTION("""COMPUTED_VALUE"""),"4")</f>
        <v>4</v>
      </c>
      <c r="K3260" s="6" t="str">
        <f>IFERROR(__xludf.DUMMYFUNCTION("""COMPUTED_VALUE"""),"sadie_ruegg@stu.ortrail.k12.or.us")</f>
        <v>sadie_ruegg@stu.ortrail.k12.or.us</v>
      </c>
      <c r="L3260" s="6" t="str">
        <f>IFERROR(__xludf.DUMMYFUNCTION("""COMPUTED_VALUE"""),"Oregon Trail School District 46")</f>
        <v>Oregon Trail School District 46</v>
      </c>
      <c r="M3260" s="6" t="str">
        <f>IFERROR(__xludf.DUMMYFUNCTION("""COMPUTED_VALUE"""),"Kelso Elementary School")</f>
        <v>Kelso Elementary School</v>
      </c>
      <c r="N3260" s="6" t="str">
        <f>IFERROR(__xludf.DUMMYFUNCTION("""COMPUTED_VALUE"""),"")</f>
        <v/>
      </c>
      <c r="O3260" s="87" t="str">
        <f>IFERROR(__xludf.DUMMYFUNCTION("""COMPUTED_VALUE"""),"https://drive.google.com/drive/folders/10T2cTQHqEJZqE-st6uFKPoI?usp=share_link")</f>
        <v>https://drive.google.com/drive/folders/10T2cTQHqEJZqE-st6uFKPoI?usp=share_link</v>
      </c>
      <c r="P3260" s="6" t="str">
        <f>IFERROR(__xludf.DUMMYFUNCTION("""COMPUTED_VALUE"""),"Sadie Ruegg")</f>
        <v>Sadie Ruegg</v>
      </c>
      <c r="Q3260" s="6" t="str">
        <f>IFERROR(__xludf.DUMMYFUNCTION("""COMPUTED_VALUE"""),"L2")</f>
        <v>L2</v>
      </c>
      <c r="R3260" s="6">
        <f>IFERROR(__xludf.DUMMYFUNCTION("""COMPUTED_VALUE"""),2.0)</f>
        <v>2</v>
      </c>
      <c r="S3260" s="6" t="str">
        <f>IFERROR(__xludf.DUMMYFUNCTION("""COMPUTED_VALUE"""),"Jennifer Johnson")</f>
        <v>Jennifer Johnson</v>
      </c>
      <c r="T3260" s="6" t="str">
        <f>IFERROR(__xludf.DUMMYFUNCTION("""COMPUTED_VALUE"""),"jennifer.johnson@ortrail.k12.or.us")</f>
        <v>jennifer.johnson@ortrail.k12.or.us</v>
      </c>
      <c r="U3260" s="6" t="str">
        <f>IFERROR(__xludf.DUMMYFUNCTION("""COMPUTED_VALUE"""),"4")</f>
        <v>4</v>
      </c>
      <c r="V3260" s="6" t="str">
        <f>IFERROR(__xludf.DUMMYFUNCTION("""COMPUTED_VALUE"""),"English")</f>
        <v>English</v>
      </c>
      <c r="W3260" s="6" t="str">
        <f>IFERROR(__xludf.DUMMYFUNCTION("""COMPUTED_VALUE"""),"[]")</f>
        <v>[]</v>
      </c>
      <c r="X3260" s="6" t="str">
        <f>IFERROR(__xludf.DUMMYFUNCTION("""COMPUTED_VALUE"""),"Enrolled")</f>
        <v>Enrolled</v>
      </c>
    </row>
    <row r="3261">
      <c r="A3261" s="6" t="str">
        <f>IFERROR(__xludf.DUMMYFUNCTION("""COMPUTED_VALUE"""),"064-6127")</f>
        <v>064-6127</v>
      </c>
      <c r="B3261" s="6" t="str">
        <f>IFERROR(__xludf.DUMMYFUNCTION("""COMPUTED_VALUE"""),"64")</f>
        <v>64</v>
      </c>
      <c r="C3261" s="6" t="str">
        <f>IFERROR(__xludf.DUMMYFUNCTION("""COMPUTED_VALUE"""),"6127")</f>
        <v>6127</v>
      </c>
      <c r="D3261" s="6" t="str">
        <f>IFERROR(__xludf.DUMMYFUNCTION("""COMPUTED_VALUE"""),"Peyton")</f>
        <v>Peyton</v>
      </c>
      <c r="E3261" s="6" t="str">
        <f>IFERROR(__xludf.DUMMYFUNCTION("""COMPUTED_VALUE"""),"")</f>
        <v/>
      </c>
      <c r="F3261" s="6" t="str">
        <f>IFERROR(__xludf.DUMMYFUNCTION("""COMPUTED_VALUE"""),"Scanlon")</f>
        <v>Scanlon</v>
      </c>
      <c r="G3261" s="6" t="str">
        <f>IFERROR(__xludf.DUMMYFUNCTION("""COMPUTED_VALUE"""),"12/15/2015")</f>
        <v>12/15/2015</v>
      </c>
      <c r="H3261" s="6" t="str">
        <f>IFERROR(__xludf.DUMMYFUNCTION("""COMPUTED_VALUE"""),"Self Identify")</f>
        <v>Self Identify</v>
      </c>
      <c r="I3261" s="6" t="str">
        <f>IFERROR(__xludf.DUMMYFUNCTION("""COMPUTED_VALUE"""),"Level 2")</f>
        <v>Level 2</v>
      </c>
      <c r="J3261" s="6" t="str">
        <f>IFERROR(__xludf.DUMMYFUNCTION("""COMPUTED_VALUE"""),"4")</f>
        <v>4</v>
      </c>
      <c r="K3261" s="6" t="str">
        <f>IFERROR(__xludf.DUMMYFUNCTION("""COMPUTED_VALUE"""),"peyton_scanlon@stu.ortrail.k12.or.us")</f>
        <v>peyton_scanlon@stu.ortrail.k12.or.us</v>
      </c>
      <c r="L3261" s="6" t="str">
        <f>IFERROR(__xludf.DUMMYFUNCTION("""COMPUTED_VALUE"""),"Oregon Trail School District 46")</f>
        <v>Oregon Trail School District 46</v>
      </c>
      <c r="M3261" s="6" t="str">
        <f>IFERROR(__xludf.DUMMYFUNCTION("""COMPUTED_VALUE"""),"Kelso Elementary School")</f>
        <v>Kelso Elementary School</v>
      </c>
      <c r="N3261" s="6" t="str">
        <f>IFERROR(__xludf.DUMMYFUNCTION("""COMPUTED_VALUE"""),"")</f>
        <v/>
      </c>
      <c r="O3261" s="87" t="str">
        <f>IFERROR(__xludf.DUMMYFUNCTION("""COMPUTED_VALUE"""),"https://drive.google.com/drive/folders/10T2cTQHqEJZqE-st6uFKPoI?usp=share_link")</f>
        <v>https://drive.google.com/drive/folders/10T2cTQHqEJZqE-st6uFKPoI?usp=share_link</v>
      </c>
      <c r="P3261" s="6" t="str">
        <f>IFERROR(__xludf.DUMMYFUNCTION("""COMPUTED_VALUE"""),"Peyton Scanlon")</f>
        <v>Peyton Scanlon</v>
      </c>
      <c r="Q3261" s="6" t="str">
        <f>IFERROR(__xludf.DUMMYFUNCTION("""COMPUTED_VALUE"""),"L2")</f>
        <v>L2</v>
      </c>
      <c r="R3261" s="6">
        <f>IFERROR(__xludf.DUMMYFUNCTION("""COMPUTED_VALUE"""),2.0)</f>
        <v>2</v>
      </c>
      <c r="S3261" s="6" t="str">
        <f>IFERROR(__xludf.DUMMYFUNCTION("""COMPUTED_VALUE"""),"Jennifer Johnson")</f>
        <v>Jennifer Johnson</v>
      </c>
      <c r="T3261" s="6" t="str">
        <f>IFERROR(__xludf.DUMMYFUNCTION("""COMPUTED_VALUE"""),"jennifer.johnson@ortrail.k12.or.us")</f>
        <v>jennifer.johnson@ortrail.k12.or.us</v>
      </c>
      <c r="U3261" s="6" t="str">
        <f>IFERROR(__xludf.DUMMYFUNCTION("""COMPUTED_VALUE"""),"4")</f>
        <v>4</v>
      </c>
      <c r="V3261" s="6" t="str">
        <f>IFERROR(__xludf.DUMMYFUNCTION("""COMPUTED_VALUE"""),"English")</f>
        <v>English</v>
      </c>
      <c r="W3261" s="6" t="str">
        <f>IFERROR(__xludf.DUMMYFUNCTION("""COMPUTED_VALUE"""),"[]")</f>
        <v>[]</v>
      </c>
      <c r="X3261" s="6" t="str">
        <f>IFERROR(__xludf.DUMMYFUNCTION("""COMPUTED_VALUE"""),"Enrolled")</f>
        <v>Enrolled</v>
      </c>
    </row>
    <row r="3262">
      <c r="A3262" s="6" t="str">
        <f>IFERROR(__xludf.DUMMYFUNCTION("""COMPUTED_VALUE"""),"064-6128")</f>
        <v>064-6128</v>
      </c>
      <c r="B3262" s="6" t="str">
        <f>IFERROR(__xludf.DUMMYFUNCTION("""COMPUTED_VALUE"""),"64")</f>
        <v>64</v>
      </c>
      <c r="C3262" s="6" t="str">
        <f>IFERROR(__xludf.DUMMYFUNCTION("""COMPUTED_VALUE"""),"6128")</f>
        <v>6128</v>
      </c>
      <c r="D3262" s="6" t="str">
        <f>IFERROR(__xludf.DUMMYFUNCTION("""COMPUTED_VALUE"""),"Rose")</f>
        <v>Rose</v>
      </c>
      <c r="E3262" s="6" t="str">
        <f>IFERROR(__xludf.DUMMYFUNCTION("""COMPUTED_VALUE"""),"")</f>
        <v/>
      </c>
      <c r="F3262" s="6" t="str">
        <f>IFERROR(__xludf.DUMMYFUNCTION("""COMPUTED_VALUE"""),"Seigal")</f>
        <v>Seigal</v>
      </c>
      <c r="G3262" s="6" t="str">
        <f>IFERROR(__xludf.DUMMYFUNCTION("""COMPUTED_VALUE"""),"05/17/2016")</f>
        <v>05/17/2016</v>
      </c>
      <c r="H3262" s="6" t="str">
        <f>IFERROR(__xludf.DUMMYFUNCTION("""COMPUTED_VALUE"""),"Self Identify")</f>
        <v>Self Identify</v>
      </c>
      <c r="I3262" s="6" t="str">
        <f>IFERROR(__xludf.DUMMYFUNCTION("""COMPUTED_VALUE"""),"Level 2")</f>
        <v>Level 2</v>
      </c>
      <c r="J3262" s="6" t="str">
        <f>IFERROR(__xludf.DUMMYFUNCTION("""COMPUTED_VALUE"""),"4")</f>
        <v>4</v>
      </c>
      <c r="K3262" s="6" t="str">
        <f>IFERROR(__xludf.DUMMYFUNCTION("""COMPUTED_VALUE"""),"rosie_seigal@stu.ortrail.k12.or.us")</f>
        <v>rosie_seigal@stu.ortrail.k12.or.us</v>
      </c>
      <c r="L3262" s="6" t="str">
        <f>IFERROR(__xludf.DUMMYFUNCTION("""COMPUTED_VALUE"""),"Oregon Trail School District 46")</f>
        <v>Oregon Trail School District 46</v>
      </c>
      <c r="M3262" s="6" t="str">
        <f>IFERROR(__xludf.DUMMYFUNCTION("""COMPUTED_VALUE"""),"Kelso Elementary School")</f>
        <v>Kelso Elementary School</v>
      </c>
      <c r="N3262" s="6" t="str">
        <f>IFERROR(__xludf.DUMMYFUNCTION("""COMPUTED_VALUE"""),"")</f>
        <v/>
      </c>
      <c r="O3262" s="87" t="str">
        <f>IFERROR(__xludf.DUMMYFUNCTION("""COMPUTED_VALUE"""),"https://drive.google.com/drive/folders/10T2cTQHqEJZqE-st6uFKPoI?usp=share_link")</f>
        <v>https://drive.google.com/drive/folders/10T2cTQHqEJZqE-st6uFKPoI?usp=share_link</v>
      </c>
      <c r="P3262" s="6" t="str">
        <f>IFERROR(__xludf.DUMMYFUNCTION("""COMPUTED_VALUE"""),"Rose Seigal")</f>
        <v>Rose Seigal</v>
      </c>
      <c r="Q3262" s="6" t="str">
        <f>IFERROR(__xludf.DUMMYFUNCTION("""COMPUTED_VALUE"""),"L2")</f>
        <v>L2</v>
      </c>
      <c r="R3262" s="6">
        <f>IFERROR(__xludf.DUMMYFUNCTION("""COMPUTED_VALUE"""),2.0)</f>
        <v>2</v>
      </c>
      <c r="S3262" s="6" t="str">
        <f>IFERROR(__xludf.DUMMYFUNCTION("""COMPUTED_VALUE"""),"Jennifer Johnson")</f>
        <v>Jennifer Johnson</v>
      </c>
      <c r="T3262" s="6" t="str">
        <f>IFERROR(__xludf.DUMMYFUNCTION("""COMPUTED_VALUE"""),"jennifer.johnson@ortrail.k12.or.us")</f>
        <v>jennifer.johnson@ortrail.k12.or.us</v>
      </c>
      <c r="U3262" s="6" t="str">
        <f>IFERROR(__xludf.DUMMYFUNCTION("""COMPUTED_VALUE"""),"4")</f>
        <v>4</v>
      </c>
      <c r="V3262" s="6" t="str">
        <f>IFERROR(__xludf.DUMMYFUNCTION("""COMPUTED_VALUE"""),"English")</f>
        <v>English</v>
      </c>
      <c r="W3262" s="6" t="str">
        <f>IFERROR(__xludf.DUMMYFUNCTION("""COMPUTED_VALUE"""),"[]")</f>
        <v>[]</v>
      </c>
      <c r="X3262" s="6" t="str">
        <f>IFERROR(__xludf.DUMMYFUNCTION("""COMPUTED_VALUE"""),"Enrolled")</f>
        <v>Enrolled</v>
      </c>
    </row>
    <row r="3263">
      <c r="A3263" s="6" t="str">
        <f>IFERROR(__xludf.DUMMYFUNCTION("""COMPUTED_VALUE"""),"064-6129")</f>
        <v>064-6129</v>
      </c>
      <c r="B3263" s="6" t="str">
        <f>IFERROR(__xludf.DUMMYFUNCTION("""COMPUTED_VALUE"""),"64")</f>
        <v>64</v>
      </c>
      <c r="C3263" s="6" t="str">
        <f>IFERROR(__xludf.DUMMYFUNCTION("""COMPUTED_VALUE"""),"6129")</f>
        <v>6129</v>
      </c>
      <c r="D3263" s="6" t="str">
        <f>IFERROR(__xludf.DUMMYFUNCTION("""COMPUTED_VALUE"""),"Gerald")</f>
        <v>Gerald</v>
      </c>
      <c r="E3263" s="6" t="str">
        <f>IFERROR(__xludf.DUMMYFUNCTION("""COMPUTED_VALUE"""),"")</f>
        <v/>
      </c>
      <c r="F3263" s="6" t="str">
        <f>IFERROR(__xludf.DUMMYFUNCTION("""COMPUTED_VALUE"""),"Shaw")</f>
        <v>Shaw</v>
      </c>
      <c r="G3263" s="6" t="str">
        <f>IFERROR(__xludf.DUMMYFUNCTION("""COMPUTED_VALUE"""),"06/01/2015")</f>
        <v>06/01/2015</v>
      </c>
      <c r="H3263" s="6" t="str">
        <f>IFERROR(__xludf.DUMMYFUNCTION("""COMPUTED_VALUE"""),"Self Identify")</f>
        <v>Self Identify</v>
      </c>
      <c r="I3263" s="6" t="str">
        <f>IFERROR(__xludf.DUMMYFUNCTION("""COMPUTED_VALUE"""),"Level 2")</f>
        <v>Level 2</v>
      </c>
      <c r="J3263" s="6" t="str">
        <f>IFERROR(__xludf.DUMMYFUNCTION("""COMPUTED_VALUE"""),"4")</f>
        <v>4</v>
      </c>
      <c r="K3263" s="6" t="str">
        <f>IFERROR(__xludf.DUMMYFUNCTION("""COMPUTED_VALUE"""),"brady_shaw@stu.ortrail.k12.or.us")</f>
        <v>brady_shaw@stu.ortrail.k12.or.us</v>
      </c>
      <c r="L3263" s="6" t="str">
        <f>IFERROR(__xludf.DUMMYFUNCTION("""COMPUTED_VALUE"""),"Oregon Trail School District 46")</f>
        <v>Oregon Trail School District 46</v>
      </c>
      <c r="M3263" s="6" t="str">
        <f>IFERROR(__xludf.DUMMYFUNCTION("""COMPUTED_VALUE"""),"Kelso Elementary School")</f>
        <v>Kelso Elementary School</v>
      </c>
      <c r="N3263" s="6" t="str">
        <f>IFERROR(__xludf.DUMMYFUNCTION("""COMPUTED_VALUE"""),"")</f>
        <v/>
      </c>
      <c r="O3263" s="87" t="str">
        <f>IFERROR(__xludf.DUMMYFUNCTION("""COMPUTED_VALUE"""),"https://drive.google.com/drive/folders/10T2cTQHqEJZqE-st6uFKPoI?usp=share_link")</f>
        <v>https://drive.google.com/drive/folders/10T2cTQHqEJZqE-st6uFKPoI?usp=share_link</v>
      </c>
      <c r="P3263" s="6" t="str">
        <f>IFERROR(__xludf.DUMMYFUNCTION("""COMPUTED_VALUE"""),"Gerald Shaw")</f>
        <v>Gerald Shaw</v>
      </c>
      <c r="Q3263" s="6" t="str">
        <f>IFERROR(__xludf.DUMMYFUNCTION("""COMPUTED_VALUE"""),"L2")</f>
        <v>L2</v>
      </c>
      <c r="R3263" s="6">
        <f>IFERROR(__xludf.DUMMYFUNCTION("""COMPUTED_VALUE"""),2.0)</f>
        <v>2</v>
      </c>
      <c r="S3263" s="6" t="str">
        <f>IFERROR(__xludf.DUMMYFUNCTION("""COMPUTED_VALUE"""),"Jennifer Johnson")</f>
        <v>Jennifer Johnson</v>
      </c>
      <c r="T3263" s="6" t="str">
        <f>IFERROR(__xludf.DUMMYFUNCTION("""COMPUTED_VALUE"""),"jennifer.johnson@ortrail.k12.or.us")</f>
        <v>jennifer.johnson@ortrail.k12.or.us</v>
      </c>
      <c r="U3263" s="6" t="str">
        <f>IFERROR(__xludf.DUMMYFUNCTION("""COMPUTED_VALUE"""),"4")</f>
        <v>4</v>
      </c>
      <c r="V3263" s="6" t="str">
        <f>IFERROR(__xludf.DUMMYFUNCTION("""COMPUTED_VALUE"""),"English")</f>
        <v>English</v>
      </c>
      <c r="W3263" s="6" t="str">
        <f>IFERROR(__xludf.DUMMYFUNCTION("""COMPUTED_VALUE"""),"[]")</f>
        <v>[]</v>
      </c>
      <c r="X3263" s="6" t="str">
        <f>IFERROR(__xludf.DUMMYFUNCTION("""COMPUTED_VALUE"""),"Enrolled")</f>
        <v>Enrolled</v>
      </c>
    </row>
    <row r="3264">
      <c r="A3264" s="6" t="str">
        <f>IFERROR(__xludf.DUMMYFUNCTION("""COMPUTED_VALUE"""),"064-6130")</f>
        <v>064-6130</v>
      </c>
      <c r="B3264" s="6" t="str">
        <f>IFERROR(__xludf.DUMMYFUNCTION("""COMPUTED_VALUE"""),"64")</f>
        <v>64</v>
      </c>
      <c r="C3264" s="6" t="str">
        <f>IFERROR(__xludf.DUMMYFUNCTION("""COMPUTED_VALUE"""),"6130")</f>
        <v>6130</v>
      </c>
      <c r="D3264" s="6" t="str">
        <f>IFERROR(__xludf.DUMMYFUNCTION("""COMPUTED_VALUE"""),"Melodie")</f>
        <v>Melodie</v>
      </c>
      <c r="E3264" s="6" t="str">
        <f>IFERROR(__xludf.DUMMYFUNCTION("""COMPUTED_VALUE"""),"")</f>
        <v/>
      </c>
      <c r="F3264" s="6" t="str">
        <f>IFERROR(__xludf.DUMMYFUNCTION("""COMPUTED_VALUE"""),"Slater")</f>
        <v>Slater</v>
      </c>
      <c r="G3264" s="6" t="str">
        <f>IFERROR(__xludf.DUMMYFUNCTION("""COMPUTED_VALUE"""),"06/05/2016")</f>
        <v>06/05/2016</v>
      </c>
      <c r="H3264" s="6" t="str">
        <f>IFERROR(__xludf.DUMMYFUNCTION("""COMPUTED_VALUE"""),"Self Identify")</f>
        <v>Self Identify</v>
      </c>
      <c r="I3264" s="6" t="str">
        <f>IFERROR(__xludf.DUMMYFUNCTION("""COMPUTED_VALUE"""),"Level 2")</f>
        <v>Level 2</v>
      </c>
      <c r="J3264" s="6" t="str">
        <f>IFERROR(__xludf.DUMMYFUNCTION("""COMPUTED_VALUE"""),"4")</f>
        <v>4</v>
      </c>
      <c r="K3264" s="6" t="str">
        <f>IFERROR(__xludf.DUMMYFUNCTION("""COMPUTED_VALUE"""),"melodie_slater@stu.ortrail.k12.or.us")</f>
        <v>melodie_slater@stu.ortrail.k12.or.us</v>
      </c>
      <c r="L3264" s="6" t="str">
        <f>IFERROR(__xludf.DUMMYFUNCTION("""COMPUTED_VALUE"""),"Oregon Trail School District 46")</f>
        <v>Oregon Trail School District 46</v>
      </c>
      <c r="M3264" s="6" t="str">
        <f>IFERROR(__xludf.DUMMYFUNCTION("""COMPUTED_VALUE"""),"Kelso Elementary School")</f>
        <v>Kelso Elementary School</v>
      </c>
      <c r="N3264" s="6" t="str">
        <f>IFERROR(__xludf.DUMMYFUNCTION("""COMPUTED_VALUE"""),"")</f>
        <v/>
      </c>
      <c r="O3264" s="87" t="str">
        <f>IFERROR(__xludf.DUMMYFUNCTION("""COMPUTED_VALUE"""),"https://drive.google.com/drive/folders/10T2cTQHqEJZqE-st6uFKPoI?usp=share_link")</f>
        <v>https://drive.google.com/drive/folders/10T2cTQHqEJZqE-st6uFKPoI?usp=share_link</v>
      </c>
      <c r="P3264" s="6" t="str">
        <f>IFERROR(__xludf.DUMMYFUNCTION("""COMPUTED_VALUE"""),"Melodie Slater")</f>
        <v>Melodie Slater</v>
      </c>
      <c r="Q3264" s="6" t="str">
        <f>IFERROR(__xludf.DUMMYFUNCTION("""COMPUTED_VALUE"""),"L2")</f>
        <v>L2</v>
      </c>
      <c r="R3264" s="6">
        <f>IFERROR(__xludf.DUMMYFUNCTION("""COMPUTED_VALUE"""),2.0)</f>
        <v>2</v>
      </c>
      <c r="S3264" s="6" t="str">
        <f>IFERROR(__xludf.DUMMYFUNCTION("""COMPUTED_VALUE"""),"Jennifer Johnson")</f>
        <v>Jennifer Johnson</v>
      </c>
      <c r="T3264" s="6" t="str">
        <f>IFERROR(__xludf.DUMMYFUNCTION("""COMPUTED_VALUE"""),"jennifer.johnson@ortrail.k12.or.us")</f>
        <v>jennifer.johnson@ortrail.k12.or.us</v>
      </c>
      <c r="U3264" s="6" t="str">
        <f>IFERROR(__xludf.DUMMYFUNCTION("""COMPUTED_VALUE"""),"4")</f>
        <v>4</v>
      </c>
      <c r="V3264" s="6" t="str">
        <f>IFERROR(__xludf.DUMMYFUNCTION("""COMPUTED_VALUE"""),"English")</f>
        <v>English</v>
      </c>
      <c r="W3264" s="6" t="str">
        <f>IFERROR(__xludf.DUMMYFUNCTION("""COMPUTED_VALUE"""),"[]")</f>
        <v>[]</v>
      </c>
      <c r="X3264" s="6" t="str">
        <f>IFERROR(__xludf.DUMMYFUNCTION("""COMPUTED_VALUE"""),"Enrolled")</f>
        <v>Enrolled</v>
      </c>
    </row>
    <row r="3265">
      <c r="A3265" s="6" t="str">
        <f>IFERROR(__xludf.DUMMYFUNCTION("""COMPUTED_VALUE"""),"064-6131")</f>
        <v>064-6131</v>
      </c>
      <c r="B3265" s="6" t="str">
        <f>IFERROR(__xludf.DUMMYFUNCTION("""COMPUTED_VALUE"""),"64")</f>
        <v>64</v>
      </c>
      <c r="C3265" s="6" t="str">
        <f>IFERROR(__xludf.DUMMYFUNCTION("""COMPUTED_VALUE"""),"6131")</f>
        <v>6131</v>
      </c>
      <c r="D3265" s="6" t="str">
        <f>IFERROR(__xludf.DUMMYFUNCTION("""COMPUTED_VALUE"""),"Elsie")</f>
        <v>Elsie</v>
      </c>
      <c r="E3265" s="6" t="str">
        <f>IFERROR(__xludf.DUMMYFUNCTION("""COMPUTED_VALUE"""),"")</f>
        <v/>
      </c>
      <c r="F3265" s="6" t="str">
        <f>IFERROR(__xludf.DUMMYFUNCTION("""COMPUTED_VALUE"""),"Slipher")</f>
        <v>Slipher</v>
      </c>
      <c r="G3265" s="6" t="str">
        <f>IFERROR(__xludf.DUMMYFUNCTION("""COMPUTED_VALUE"""),"04/27/2016")</f>
        <v>04/27/2016</v>
      </c>
      <c r="H3265" s="6" t="str">
        <f>IFERROR(__xludf.DUMMYFUNCTION("""COMPUTED_VALUE"""),"Self Identify")</f>
        <v>Self Identify</v>
      </c>
      <c r="I3265" s="6" t="str">
        <f>IFERROR(__xludf.DUMMYFUNCTION("""COMPUTED_VALUE"""),"Level 2")</f>
        <v>Level 2</v>
      </c>
      <c r="J3265" s="6" t="str">
        <f>IFERROR(__xludf.DUMMYFUNCTION("""COMPUTED_VALUE"""),"4")</f>
        <v>4</v>
      </c>
      <c r="K3265" s="6" t="str">
        <f>IFERROR(__xludf.DUMMYFUNCTION("""COMPUTED_VALUE"""),"elsie_slipher@stu.ortrail.k12.or.us")</f>
        <v>elsie_slipher@stu.ortrail.k12.or.us</v>
      </c>
      <c r="L3265" s="6" t="str">
        <f>IFERROR(__xludf.DUMMYFUNCTION("""COMPUTED_VALUE"""),"Oregon Trail School District 46")</f>
        <v>Oregon Trail School District 46</v>
      </c>
      <c r="M3265" s="6" t="str">
        <f>IFERROR(__xludf.DUMMYFUNCTION("""COMPUTED_VALUE"""),"Kelso Elementary School")</f>
        <v>Kelso Elementary School</v>
      </c>
      <c r="N3265" s="6" t="str">
        <f>IFERROR(__xludf.DUMMYFUNCTION("""COMPUTED_VALUE"""),"")</f>
        <v/>
      </c>
      <c r="O3265" s="87" t="str">
        <f>IFERROR(__xludf.DUMMYFUNCTION("""COMPUTED_VALUE"""),"https://drive.google.com/drive/folders/10T2cTQHqEJZqE-st6uFKPoI?usp=share_link")</f>
        <v>https://drive.google.com/drive/folders/10T2cTQHqEJZqE-st6uFKPoI?usp=share_link</v>
      </c>
      <c r="P3265" s="6" t="str">
        <f>IFERROR(__xludf.DUMMYFUNCTION("""COMPUTED_VALUE"""),"Elsie Slipher")</f>
        <v>Elsie Slipher</v>
      </c>
      <c r="Q3265" s="6" t="str">
        <f>IFERROR(__xludf.DUMMYFUNCTION("""COMPUTED_VALUE"""),"L2")</f>
        <v>L2</v>
      </c>
      <c r="R3265" s="6">
        <f>IFERROR(__xludf.DUMMYFUNCTION("""COMPUTED_VALUE"""),2.0)</f>
        <v>2</v>
      </c>
      <c r="S3265" s="6" t="str">
        <f>IFERROR(__xludf.DUMMYFUNCTION("""COMPUTED_VALUE"""),"Jennifer Johnson")</f>
        <v>Jennifer Johnson</v>
      </c>
      <c r="T3265" s="6" t="str">
        <f>IFERROR(__xludf.DUMMYFUNCTION("""COMPUTED_VALUE"""),"jennifer.johnson@ortrail.k12.or.us")</f>
        <v>jennifer.johnson@ortrail.k12.or.us</v>
      </c>
      <c r="U3265" s="6" t="str">
        <f>IFERROR(__xludf.DUMMYFUNCTION("""COMPUTED_VALUE"""),"4")</f>
        <v>4</v>
      </c>
      <c r="V3265" s="6" t="str">
        <f>IFERROR(__xludf.DUMMYFUNCTION("""COMPUTED_VALUE"""),"English")</f>
        <v>English</v>
      </c>
      <c r="W3265" s="6" t="str">
        <f>IFERROR(__xludf.DUMMYFUNCTION("""COMPUTED_VALUE"""),"[]")</f>
        <v>[]</v>
      </c>
      <c r="X3265" s="6" t="str">
        <f>IFERROR(__xludf.DUMMYFUNCTION("""COMPUTED_VALUE"""),"Enrolled")</f>
        <v>Enrolled</v>
      </c>
    </row>
    <row r="3266">
      <c r="A3266" s="6" t="str">
        <f>IFERROR(__xludf.DUMMYFUNCTION("""COMPUTED_VALUE"""),"064-6132")</f>
        <v>064-6132</v>
      </c>
      <c r="B3266" s="6" t="str">
        <f>IFERROR(__xludf.DUMMYFUNCTION("""COMPUTED_VALUE"""),"64")</f>
        <v>64</v>
      </c>
      <c r="C3266" s="6" t="str">
        <f>IFERROR(__xludf.DUMMYFUNCTION("""COMPUTED_VALUE"""),"6132")</f>
        <v>6132</v>
      </c>
      <c r="D3266" s="6" t="str">
        <f>IFERROR(__xludf.DUMMYFUNCTION("""COMPUTED_VALUE"""),"Leona")</f>
        <v>Leona</v>
      </c>
      <c r="E3266" s="6" t="str">
        <f>IFERROR(__xludf.DUMMYFUNCTION("""COMPUTED_VALUE"""),"")</f>
        <v/>
      </c>
      <c r="F3266" s="6" t="str">
        <f>IFERROR(__xludf.DUMMYFUNCTION("""COMPUTED_VALUE"""),"Stroh")</f>
        <v>Stroh</v>
      </c>
      <c r="G3266" s="6" t="str">
        <f>IFERROR(__xludf.DUMMYFUNCTION("""COMPUTED_VALUE"""),"06/23/2016")</f>
        <v>06/23/2016</v>
      </c>
      <c r="H3266" s="6" t="str">
        <f>IFERROR(__xludf.DUMMYFUNCTION("""COMPUTED_VALUE"""),"Self Identify")</f>
        <v>Self Identify</v>
      </c>
      <c r="I3266" s="6" t="str">
        <f>IFERROR(__xludf.DUMMYFUNCTION("""COMPUTED_VALUE"""),"Level 2")</f>
        <v>Level 2</v>
      </c>
      <c r="J3266" s="6" t="str">
        <f>IFERROR(__xludf.DUMMYFUNCTION("""COMPUTED_VALUE"""),"4")</f>
        <v>4</v>
      </c>
      <c r="K3266" s="6" t="str">
        <f>IFERROR(__xludf.DUMMYFUNCTION("""COMPUTED_VALUE"""),"leona_stroh@stu.ortrail.k12.or.us")</f>
        <v>leona_stroh@stu.ortrail.k12.or.us</v>
      </c>
      <c r="L3266" s="6" t="str">
        <f>IFERROR(__xludf.DUMMYFUNCTION("""COMPUTED_VALUE"""),"Oregon Trail School District 46")</f>
        <v>Oregon Trail School District 46</v>
      </c>
      <c r="M3266" s="6" t="str">
        <f>IFERROR(__xludf.DUMMYFUNCTION("""COMPUTED_VALUE"""),"Kelso Elementary School")</f>
        <v>Kelso Elementary School</v>
      </c>
      <c r="N3266" s="6" t="str">
        <f>IFERROR(__xludf.DUMMYFUNCTION("""COMPUTED_VALUE"""),"")</f>
        <v/>
      </c>
      <c r="O3266" s="87" t="str">
        <f>IFERROR(__xludf.DUMMYFUNCTION("""COMPUTED_VALUE"""),"https://drive.google.com/drive/folders/10T2cTQHqEJZqE-st6uFKPoI?usp=share_link")</f>
        <v>https://drive.google.com/drive/folders/10T2cTQHqEJZqE-st6uFKPoI?usp=share_link</v>
      </c>
      <c r="P3266" s="6" t="str">
        <f>IFERROR(__xludf.DUMMYFUNCTION("""COMPUTED_VALUE"""),"Leona Stroh")</f>
        <v>Leona Stroh</v>
      </c>
      <c r="Q3266" s="6" t="str">
        <f>IFERROR(__xludf.DUMMYFUNCTION("""COMPUTED_VALUE"""),"L2")</f>
        <v>L2</v>
      </c>
      <c r="R3266" s="6">
        <f>IFERROR(__xludf.DUMMYFUNCTION("""COMPUTED_VALUE"""),2.0)</f>
        <v>2</v>
      </c>
      <c r="S3266" s="6" t="str">
        <f>IFERROR(__xludf.DUMMYFUNCTION("""COMPUTED_VALUE"""),"Jennifer Johnson")</f>
        <v>Jennifer Johnson</v>
      </c>
      <c r="T3266" s="6" t="str">
        <f>IFERROR(__xludf.DUMMYFUNCTION("""COMPUTED_VALUE"""),"jennifer.johnson@ortrail.k12.or.us")</f>
        <v>jennifer.johnson@ortrail.k12.or.us</v>
      </c>
      <c r="U3266" s="6" t="str">
        <f>IFERROR(__xludf.DUMMYFUNCTION("""COMPUTED_VALUE"""),"4")</f>
        <v>4</v>
      </c>
      <c r="V3266" s="6" t="str">
        <f>IFERROR(__xludf.DUMMYFUNCTION("""COMPUTED_VALUE"""),"English")</f>
        <v>English</v>
      </c>
      <c r="W3266" s="6" t="str">
        <f>IFERROR(__xludf.DUMMYFUNCTION("""COMPUTED_VALUE"""),"[]")</f>
        <v>[]</v>
      </c>
      <c r="X3266" s="6" t="str">
        <f>IFERROR(__xludf.DUMMYFUNCTION("""COMPUTED_VALUE"""),"Enrolled")</f>
        <v>Enrolled</v>
      </c>
    </row>
    <row r="3267">
      <c r="A3267" s="6" t="str">
        <f>IFERROR(__xludf.DUMMYFUNCTION("""COMPUTED_VALUE"""),"064-6133")</f>
        <v>064-6133</v>
      </c>
      <c r="B3267" s="6" t="str">
        <f>IFERROR(__xludf.DUMMYFUNCTION("""COMPUTED_VALUE"""),"64")</f>
        <v>64</v>
      </c>
      <c r="C3267" s="6" t="str">
        <f>IFERROR(__xludf.DUMMYFUNCTION("""COMPUTED_VALUE"""),"6133")</f>
        <v>6133</v>
      </c>
      <c r="D3267" s="6" t="str">
        <f>IFERROR(__xludf.DUMMYFUNCTION("""COMPUTED_VALUE"""),"Easton")</f>
        <v>Easton</v>
      </c>
      <c r="E3267" s="6" t="str">
        <f>IFERROR(__xludf.DUMMYFUNCTION("""COMPUTED_VALUE"""),"")</f>
        <v/>
      </c>
      <c r="F3267" s="6" t="str">
        <f>IFERROR(__xludf.DUMMYFUNCTION("""COMPUTED_VALUE"""),"Taylor")</f>
        <v>Taylor</v>
      </c>
      <c r="G3267" s="6" t="str">
        <f>IFERROR(__xludf.DUMMYFUNCTION("""COMPUTED_VALUE"""),"10/01/2015")</f>
        <v>10/01/2015</v>
      </c>
      <c r="H3267" s="6" t="str">
        <f>IFERROR(__xludf.DUMMYFUNCTION("""COMPUTED_VALUE"""),"Self Identify")</f>
        <v>Self Identify</v>
      </c>
      <c r="I3267" s="6" t="str">
        <f>IFERROR(__xludf.DUMMYFUNCTION("""COMPUTED_VALUE"""),"Level 2")</f>
        <v>Level 2</v>
      </c>
      <c r="J3267" s="6" t="str">
        <f>IFERROR(__xludf.DUMMYFUNCTION("""COMPUTED_VALUE"""),"4")</f>
        <v>4</v>
      </c>
      <c r="K3267" s="6" t="str">
        <f>IFERROR(__xludf.DUMMYFUNCTION("""COMPUTED_VALUE"""),"easton_taylor@stu.ortrail.k12.or.us")</f>
        <v>easton_taylor@stu.ortrail.k12.or.us</v>
      </c>
      <c r="L3267" s="6" t="str">
        <f>IFERROR(__xludf.DUMMYFUNCTION("""COMPUTED_VALUE"""),"Oregon Trail School District 46")</f>
        <v>Oregon Trail School District 46</v>
      </c>
      <c r="M3267" s="6" t="str">
        <f>IFERROR(__xludf.DUMMYFUNCTION("""COMPUTED_VALUE"""),"Kelso Elementary School")</f>
        <v>Kelso Elementary School</v>
      </c>
      <c r="N3267" s="6" t="str">
        <f>IFERROR(__xludf.DUMMYFUNCTION("""COMPUTED_VALUE"""),"")</f>
        <v/>
      </c>
      <c r="O3267" s="87" t="str">
        <f>IFERROR(__xludf.DUMMYFUNCTION("""COMPUTED_VALUE"""),"https://drive.google.com/drive/folders/10T2cTQHqEJZqE-st6uFKPoI?usp=share_link")</f>
        <v>https://drive.google.com/drive/folders/10T2cTQHqEJZqE-st6uFKPoI?usp=share_link</v>
      </c>
      <c r="P3267" s="6" t="str">
        <f>IFERROR(__xludf.DUMMYFUNCTION("""COMPUTED_VALUE"""),"Easton Taylor")</f>
        <v>Easton Taylor</v>
      </c>
      <c r="Q3267" s="6" t="str">
        <f>IFERROR(__xludf.DUMMYFUNCTION("""COMPUTED_VALUE"""),"L2")</f>
        <v>L2</v>
      </c>
      <c r="R3267" s="6">
        <f>IFERROR(__xludf.DUMMYFUNCTION("""COMPUTED_VALUE"""),2.0)</f>
        <v>2</v>
      </c>
      <c r="S3267" s="6" t="str">
        <f>IFERROR(__xludf.DUMMYFUNCTION("""COMPUTED_VALUE"""),"Samantha Scherer")</f>
        <v>Samantha Scherer</v>
      </c>
      <c r="T3267" s="6" t="str">
        <f>IFERROR(__xludf.DUMMYFUNCTION("""COMPUTED_VALUE"""),"samantha.scherer@ortrail.k12.or.us")</f>
        <v>samantha.scherer@ortrail.k12.or.us</v>
      </c>
      <c r="U3267" s="6" t="str">
        <f>IFERROR(__xludf.DUMMYFUNCTION("""COMPUTED_VALUE"""),"4")</f>
        <v>4</v>
      </c>
      <c r="V3267" s="6" t="str">
        <f>IFERROR(__xludf.DUMMYFUNCTION("""COMPUTED_VALUE"""),"English")</f>
        <v>English</v>
      </c>
      <c r="W3267" s="6" t="str">
        <f>IFERROR(__xludf.DUMMYFUNCTION("""COMPUTED_VALUE"""),"[]")</f>
        <v>[]</v>
      </c>
      <c r="X3267" s="6" t="str">
        <f>IFERROR(__xludf.DUMMYFUNCTION("""COMPUTED_VALUE"""),"Enrolled")</f>
        <v>Enrolled</v>
      </c>
    </row>
    <row r="3268">
      <c r="A3268" s="6" t="str">
        <f>IFERROR(__xludf.DUMMYFUNCTION("""COMPUTED_VALUE"""),"064-6135")</f>
        <v>064-6135</v>
      </c>
      <c r="B3268" s="6" t="str">
        <f>IFERROR(__xludf.DUMMYFUNCTION("""COMPUTED_VALUE"""),"64")</f>
        <v>64</v>
      </c>
      <c r="C3268" s="6" t="str">
        <f>IFERROR(__xludf.DUMMYFUNCTION("""COMPUTED_VALUE"""),"6135")</f>
        <v>6135</v>
      </c>
      <c r="D3268" s="6" t="str">
        <f>IFERROR(__xludf.DUMMYFUNCTION("""COMPUTED_VALUE"""),"Ana")</f>
        <v>Ana</v>
      </c>
      <c r="E3268" s="6" t="str">
        <f>IFERROR(__xludf.DUMMYFUNCTION("""COMPUTED_VALUE"""),"")</f>
        <v/>
      </c>
      <c r="F3268" s="6" t="str">
        <f>IFERROR(__xludf.DUMMYFUNCTION("""COMPUTED_VALUE"""),"Traxler")</f>
        <v>Traxler</v>
      </c>
      <c r="G3268" s="6" t="str">
        <f>IFERROR(__xludf.DUMMYFUNCTION("""COMPUTED_VALUE"""),"04/10/2015")</f>
        <v>04/10/2015</v>
      </c>
      <c r="H3268" s="6" t="str">
        <f>IFERROR(__xludf.DUMMYFUNCTION("""COMPUTED_VALUE"""),"Self Identify")</f>
        <v>Self Identify</v>
      </c>
      <c r="I3268" s="6" t="str">
        <f>IFERROR(__xludf.DUMMYFUNCTION("""COMPUTED_VALUE"""),"Level 2")</f>
        <v>Level 2</v>
      </c>
      <c r="J3268" s="6" t="str">
        <f>IFERROR(__xludf.DUMMYFUNCTION("""COMPUTED_VALUE"""),"4")</f>
        <v>4</v>
      </c>
      <c r="K3268" s="6" t="str">
        <f>IFERROR(__xludf.DUMMYFUNCTION("""COMPUTED_VALUE"""),"ana_traxler@stu.ortrail.k12.or.us")</f>
        <v>ana_traxler@stu.ortrail.k12.or.us</v>
      </c>
      <c r="L3268" s="6" t="str">
        <f>IFERROR(__xludf.DUMMYFUNCTION("""COMPUTED_VALUE"""),"Oregon Trail School District 46")</f>
        <v>Oregon Trail School District 46</v>
      </c>
      <c r="M3268" s="6" t="str">
        <f>IFERROR(__xludf.DUMMYFUNCTION("""COMPUTED_VALUE"""),"Kelso Elementary School")</f>
        <v>Kelso Elementary School</v>
      </c>
      <c r="N3268" s="6" t="str">
        <f>IFERROR(__xludf.DUMMYFUNCTION("""COMPUTED_VALUE"""),"")</f>
        <v/>
      </c>
      <c r="O3268" s="87" t="str">
        <f>IFERROR(__xludf.DUMMYFUNCTION("""COMPUTED_VALUE"""),"https://drive.google.com/drive/folders/10T2cTQHqEJZqE-st6uFKPoI?usp=share_link")</f>
        <v>https://drive.google.com/drive/folders/10T2cTQHqEJZqE-st6uFKPoI?usp=share_link</v>
      </c>
      <c r="P3268" s="6" t="str">
        <f>IFERROR(__xludf.DUMMYFUNCTION("""COMPUTED_VALUE"""),"Ana Traxler")</f>
        <v>Ana Traxler</v>
      </c>
      <c r="Q3268" s="6" t="str">
        <f>IFERROR(__xludf.DUMMYFUNCTION("""COMPUTED_VALUE"""),"L2")</f>
        <v>L2</v>
      </c>
      <c r="R3268" s="6">
        <f>IFERROR(__xludf.DUMMYFUNCTION("""COMPUTED_VALUE"""),2.0)</f>
        <v>2</v>
      </c>
      <c r="S3268" s="6" t="str">
        <f>IFERROR(__xludf.DUMMYFUNCTION("""COMPUTED_VALUE"""),"Samantha Scherer")</f>
        <v>Samantha Scherer</v>
      </c>
      <c r="T3268" s="6" t="str">
        <f>IFERROR(__xludf.DUMMYFUNCTION("""COMPUTED_VALUE"""),"samantha.scherer@ortrail.k12.or.us")</f>
        <v>samantha.scherer@ortrail.k12.or.us</v>
      </c>
      <c r="U3268" s="6" t="str">
        <f>IFERROR(__xludf.DUMMYFUNCTION("""COMPUTED_VALUE"""),"4")</f>
        <v>4</v>
      </c>
      <c r="V3268" s="6" t="str">
        <f>IFERROR(__xludf.DUMMYFUNCTION("""COMPUTED_VALUE"""),"English")</f>
        <v>English</v>
      </c>
      <c r="W3268" s="6" t="str">
        <f>IFERROR(__xludf.DUMMYFUNCTION("""COMPUTED_VALUE"""),"[]")</f>
        <v>[]</v>
      </c>
      <c r="X3268" s="6" t="str">
        <f>IFERROR(__xludf.DUMMYFUNCTION("""COMPUTED_VALUE"""),"Enrolled")</f>
        <v>Enrolled</v>
      </c>
    </row>
    <row r="3269">
      <c r="A3269" s="6" t="str">
        <f>IFERROR(__xludf.DUMMYFUNCTION("""COMPUTED_VALUE"""),"064-6136")</f>
        <v>064-6136</v>
      </c>
      <c r="B3269" s="6" t="str">
        <f>IFERROR(__xludf.DUMMYFUNCTION("""COMPUTED_VALUE"""),"64")</f>
        <v>64</v>
      </c>
      <c r="C3269" s="6" t="str">
        <f>IFERROR(__xludf.DUMMYFUNCTION("""COMPUTED_VALUE"""),"6136")</f>
        <v>6136</v>
      </c>
      <c r="D3269" s="6" t="str">
        <f>IFERROR(__xludf.DUMMYFUNCTION("""COMPUTED_VALUE"""),"Elizabeth")</f>
        <v>Elizabeth</v>
      </c>
      <c r="E3269" s="6" t="str">
        <f>IFERROR(__xludf.DUMMYFUNCTION("""COMPUTED_VALUE"""),"")</f>
        <v/>
      </c>
      <c r="F3269" s="6" t="str">
        <f>IFERROR(__xludf.DUMMYFUNCTION("""COMPUTED_VALUE"""),"Triplett")</f>
        <v>Triplett</v>
      </c>
      <c r="G3269" s="6" t="str">
        <f>IFERROR(__xludf.DUMMYFUNCTION("""COMPUTED_VALUE"""),"08/16/2016")</f>
        <v>08/16/2016</v>
      </c>
      <c r="H3269" s="6" t="str">
        <f>IFERROR(__xludf.DUMMYFUNCTION("""COMPUTED_VALUE"""),"Self Identify")</f>
        <v>Self Identify</v>
      </c>
      <c r="I3269" s="6" t="str">
        <f>IFERROR(__xludf.DUMMYFUNCTION("""COMPUTED_VALUE"""),"Level 2")</f>
        <v>Level 2</v>
      </c>
      <c r="J3269" s="6" t="str">
        <f>IFERROR(__xludf.DUMMYFUNCTION("""COMPUTED_VALUE"""),"4")</f>
        <v>4</v>
      </c>
      <c r="K3269" s="6" t="str">
        <f>IFERROR(__xludf.DUMMYFUNCTION("""COMPUTED_VALUE"""),"betsy_triplett@stu.ortrail.k12.or.us")</f>
        <v>betsy_triplett@stu.ortrail.k12.or.us</v>
      </c>
      <c r="L3269" s="6" t="str">
        <f>IFERROR(__xludf.DUMMYFUNCTION("""COMPUTED_VALUE"""),"Oregon Trail School District 46")</f>
        <v>Oregon Trail School District 46</v>
      </c>
      <c r="M3269" s="6" t="str">
        <f>IFERROR(__xludf.DUMMYFUNCTION("""COMPUTED_VALUE"""),"Kelso Elementary School")</f>
        <v>Kelso Elementary School</v>
      </c>
      <c r="N3269" s="6" t="str">
        <f>IFERROR(__xludf.DUMMYFUNCTION("""COMPUTED_VALUE"""),"")</f>
        <v/>
      </c>
      <c r="O3269" s="87" t="str">
        <f>IFERROR(__xludf.DUMMYFUNCTION("""COMPUTED_VALUE"""),"https://drive.google.com/drive/folders/10T2cTQHqEJZqE-st6uFKPoI?usp=share_link")</f>
        <v>https://drive.google.com/drive/folders/10T2cTQHqEJZqE-st6uFKPoI?usp=share_link</v>
      </c>
      <c r="P3269" s="6" t="str">
        <f>IFERROR(__xludf.DUMMYFUNCTION("""COMPUTED_VALUE"""),"Elizabeth Triplett")</f>
        <v>Elizabeth Triplett</v>
      </c>
      <c r="Q3269" s="6" t="str">
        <f>IFERROR(__xludf.DUMMYFUNCTION("""COMPUTED_VALUE"""),"L2")</f>
        <v>L2</v>
      </c>
      <c r="R3269" s="6">
        <f>IFERROR(__xludf.DUMMYFUNCTION("""COMPUTED_VALUE"""),2.0)</f>
        <v>2</v>
      </c>
      <c r="S3269" s="6" t="str">
        <f>IFERROR(__xludf.DUMMYFUNCTION("""COMPUTED_VALUE"""),"Jennifer Johnson")</f>
        <v>Jennifer Johnson</v>
      </c>
      <c r="T3269" s="6" t="str">
        <f>IFERROR(__xludf.DUMMYFUNCTION("""COMPUTED_VALUE"""),"jennifer.johnson@ortrail.k12.or.us")</f>
        <v>jennifer.johnson@ortrail.k12.or.us</v>
      </c>
      <c r="U3269" s="6" t="str">
        <f>IFERROR(__xludf.DUMMYFUNCTION("""COMPUTED_VALUE"""),"4")</f>
        <v>4</v>
      </c>
      <c r="V3269" s="6" t="str">
        <f>IFERROR(__xludf.DUMMYFUNCTION("""COMPUTED_VALUE"""),"English")</f>
        <v>English</v>
      </c>
      <c r="W3269" s="6" t="str">
        <f>IFERROR(__xludf.DUMMYFUNCTION("""COMPUTED_VALUE"""),"[]")</f>
        <v>[]</v>
      </c>
      <c r="X3269" s="6" t="str">
        <f>IFERROR(__xludf.DUMMYFUNCTION("""COMPUTED_VALUE"""),"Enrolled")</f>
        <v>Enrolled</v>
      </c>
    </row>
    <row r="3270">
      <c r="A3270" s="6" t="str">
        <f>IFERROR(__xludf.DUMMYFUNCTION("""COMPUTED_VALUE"""),"064-6137")</f>
        <v>064-6137</v>
      </c>
      <c r="B3270" s="6" t="str">
        <f>IFERROR(__xludf.DUMMYFUNCTION("""COMPUTED_VALUE"""),"64")</f>
        <v>64</v>
      </c>
      <c r="C3270" s="6" t="str">
        <f>IFERROR(__xludf.DUMMYFUNCTION("""COMPUTED_VALUE"""),"6137")</f>
        <v>6137</v>
      </c>
      <c r="D3270" s="6" t="str">
        <f>IFERROR(__xludf.DUMMYFUNCTION("""COMPUTED_VALUE"""),"Emerson")</f>
        <v>Emerson</v>
      </c>
      <c r="E3270" s="6" t="str">
        <f>IFERROR(__xludf.DUMMYFUNCTION("""COMPUTED_VALUE"""),"")</f>
        <v/>
      </c>
      <c r="F3270" s="6" t="str">
        <f>IFERROR(__xludf.DUMMYFUNCTION("""COMPUTED_VALUE"""),"Victorella")</f>
        <v>Victorella</v>
      </c>
      <c r="G3270" s="6" t="str">
        <f>IFERROR(__xludf.DUMMYFUNCTION("""COMPUTED_VALUE"""),"05/13/2016")</f>
        <v>05/13/2016</v>
      </c>
      <c r="H3270" s="6" t="str">
        <f>IFERROR(__xludf.DUMMYFUNCTION("""COMPUTED_VALUE"""),"Self Identify")</f>
        <v>Self Identify</v>
      </c>
      <c r="I3270" s="6" t="str">
        <f>IFERROR(__xludf.DUMMYFUNCTION("""COMPUTED_VALUE"""),"Level 2")</f>
        <v>Level 2</v>
      </c>
      <c r="J3270" s="6" t="str">
        <f>IFERROR(__xludf.DUMMYFUNCTION("""COMPUTED_VALUE"""),"4")</f>
        <v>4</v>
      </c>
      <c r="K3270" s="6" t="str">
        <f>IFERROR(__xludf.DUMMYFUNCTION("""COMPUTED_VALUE"""),"emerson_victorella@stu.ortrail.k12.or.us")</f>
        <v>emerson_victorella@stu.ortrail.k12.or.us</v>
      </c>
      <c r="L3270" s="6" t="str">
        <f>IFERROR(__xludf.DUMMYFUNCTION("""COMPUTED_VALUE"""),"Oregon Trail School District 46")</f>
        <v>Oregon Trail School District 46</v>
      </c>
      <c r="M3270" s="6" t="str">
        <f>IFERROR(__xludf.DUMMYFUNCTION("""COMPUTED_VALUE"""),"Kelso Elementary School")</f>
        <v>Kelso Elementary School</v>
      </c>
      <c r="N3270" s="6" t="str">
        <f>IFERROR(__xludf.DUMMYFUNCTION("""COMPUTED_VALUE"""),"")</f>
        <v/>
      </c>
      <c r="O3270" s="87" t="str">
        <f>IFERROR(__xludf.DUMMYFUNCTION("""COMPUTED_VALUE"""),"https://drive.google.com/drive/folders/10T2cTQHqEJZqE-st6uFKPoI?usp=share_link")</f>
        <v>https://drive.google.com/drive/folders/10T2cTQHqEJZqE-st6uFKPoI?usp=share_link</v>
      </c>
      <c r="P3270" s="6" t="str">
        <f>IFERROR(__xludf.DUMMYFUNCTION("""COMPUTED_VALUE"""),"Emerson Victorella")</f>
        <v>Emerson Victorella</v>
      </c>
      <c r="Q3270" s="6" t="str">
        <f>IFERROR(__xludf.DUMMYFUNCTION("""COMPUTED_VALUE"""),"L2")</f>
        <v>L2</v>
      </c>
      <c r="R3270" s="6">
        <f>IFERROR(__xludf.DUMMYFUNCTION("""COMPUTED_VALUE"""),2.0)</f>
        <v>2</v>
      </c>
      <c r="S3270" s="6" t="str">
        <f>IFERROR(__xludf.DUMMYFUNCTION("""COMPUTED_VALUE"""),"Samantha Scherer")</f>
        <v>Samantha Scherer</v>
      </c>
      <c r="T3270" s="6" t="str">
        <f>IFERROR(__xludf.DUMMYFUNCTION("""COMPUTED_VALUE"""),"samantha.scherer@ortrail.k12.or.us")</f>
        <v>samantha.scherer@ortrail.k12.or.us</v>
      </c>
      <c r="U3270" s="6" t="str">
        <f>IFERROR(__xludf.DUMMYFUNCTION("""COMPUTED_VALUE"""),"4")</f>
        <v>4</v>
      </c>
      <c r="V3270" s="6" t="str">
        <f>IFERROR(__xludf.DUMMYFUNCTION("""COMPUTED_VALUE"""),"English")</f>
        <v>English</v>
      </c>
      <c r="W3270" s="6" t="str">
        <f>IFERROR(__xludf.DUMMYFUNCTION("""COMPUTED_VALUE"""),"[]")</f>
        <v>[]</v>
      </c>
      <c r="X3270" s="6" t="str">
        <f>IFERROR(__xludf.DUMMYFUNCTION("""COMPUTED_VALUE"""),"Enrolled")</f>
        <v>Enrolled</v>
      </c>
    </row>
    <row r="3271">
      <c r="A3271" s="6" t="str">
        <f>IFERROR(__xludf.DUMMYFUNCTION("""COMPUTED_VALUE"""),"064-6138")</f>
        <v>064-6138</v>
      </c>
      <c r="B3271" s="6" t="str">
        <f>IFERROR(__xludf.DUMMYFUNCTION("""COMPUTED_VALUE"""),"64")</f>
        <v>64</v>
      </c>
      <c r="C3271" s="6" t="str">
        <f>IFERROR(__xludf.DUMMYFUNCTION("""COMPUTED_VALUE"""),"6138")</f>
        <v>6138</v>
      </c>
      <c r="D3271" s="6" t="str">
        <f>IFERROR(__xludf.DUMMYFUNCTION("""COMPUTED_VALUE"""),"Evelina")</f>
        <v>Evelina</v>
      </c>
      <c r="E3271" s="6" t="str">
        <f>IFERROR(__xludf.DUMMYFUNCTION("""COMPUTED_VALUE"""),"")</f>
        <v/>
      </c>
      <c r="F3271" s="6" t="str">
        <f>IFERROR(__xludf.DUMMYFUNCTION("""COMPUTED_VALUE"""),"Volsky")</f>
        <v>Volsky</v>
      </c>
      <c r="G3271" s="6" t="str">
        <f>IFERROR(__xludf.DUMMYFUNCTION("""COMPUTED_VALUE"""),"06/17/2015")</f>
        <v>06/17/2015</v>
      </c>
      <c r="H3271" s="6" t="str">
        <f>IFERROR(__xludf.DUMMYFUNCTION("""COMPUTED_VALUE"""),"Self Identify")</f>
        <v>Self Identify</v>
      </c>
      <c r="I3271" s="6" t="str">
        <f>IFERROR(__xludf.DUMMYFUNCTION("""COMPUTED_VALUE"""),"Level 2")</f>
        <v>Level 2</v>
      </c>
      <c r="J3271" s="6" t="str">
        <f>IFERROR(__xludf.DUMMYFUNCTION("""COMPUTED_VALUE"""),"4")</f>
        <v>4</v>
      </c>
      <c r="K3271" s="6" t="str">
        <f>IFERROR(__xludf.DUMMYFUNCTION("""COMPUTED_VALUE"""),"evelina_volsky@stu.ortrail.k12.or.us")</f>
        <v>evelina_volsky@stu.ortrail.k12.or.us</v>
      </c>
      <c r="L3271" s="6" t="str">
        <f>IFERROR(__xludf.DUMMYFUNCTION("""COMPUTED_VALUE"""),"Oregon Trail School District 46")</f>
        <v>Oregon Trail School District 46</v>
      </c>
      <c r="M3271" s="6" t="str">
        <f>IFERROR(__xludf.DUMMYFUNCTION("""COMPUTED_VALUE"""),"Kelso Elementary School")</f>
        <v>Kelso Elementary School</v>
      </c>
      <c r="N3271" s="6" t="str">
        <f>IFERROR(__xludf.DUMMYFUNCTION("""COMPUTED_VALUE"""),"")</f>
        <v/>
      </c>
      <c r="O3271" s="87" t="str">
        <f>IFERROR(__xludf.DUMMYFUNCTION("""COMPUTED_VALUE"""),"https://drive.google.com/drive/folders/10T2cTQHqEJZqE-st6uFKPoI?usp=share_link")</f>
        <v>https://drive.google.com/drive/folders/10T2cTQHqEJZqE-st6uFKPoI?usp=share_link</v>
      </c>
      <c r="P3271" s="6" t="str">
        <f>IFERROR(__xludf.DUMMYFUNCTION("""COMPUTED_VALUE"""),"Evelina Volsky")</f>
        <v>Evelina Volsky</v>
      </c>
      <c r="Q3271" s="6" t="str">
        <f>IFERROR(__xludf.DUMMYFUNCTION("""COMPUTED_VALUE"""),"L2")</f>
        <v>L2</v>
      </c>
      <c r="R3271" s="6">
        <f>IFERROR(__xludf.DUMMYFUNCTION("""COMPUTED_VALUE"""),2.0)</f>
        <v>2</v>
      </c>
      <c r="S3271" s="6" t="str">
        <f>IFERROR(__xludf.DUMMYFUNCTION("""COMPUTED_VALUE"""),"Jennifer Johnson")</f>
        <v>Jennifer Johnson</v>
      </c>
      <c r="T3271" s="6" t="str">
        <f>IFERROR(__xludf.DUMMYFUNCTION("""COMPUTED_VALUE"""),"jennifer.johnson@ortrail.k12.or.us")</f>
        <v>jennifer.johnson@ortrail.k12.or.us</v>
      </c>
      <c r="U3271" s="6" t="str">
        <f>IFERROR(__xludf.DUMMYFUNCTION("""COMPUTED_VALUE"""),"4")</f>
        <v>4</v>
      </c>
      <c r="V3271" s="6" t="str">
        <f>IFERROR(__xludf.DUMMYFUNCTION("""COMPUTED_VALUE"""),"English")</f>
        <v>English</v>
      </c>
      <c r="W3271" s="6" t="str">
        <f>IFERROR(__xludf.DUMMYFUNCTION("""COMPUTED_VALUE"""),"[]")</f>
        <v>[]</v>
      </c>
      <c r="X3271" s="6" t="str">
        <f>IFERROR(__xludf.DUMMYFUNCTION("""COMPUTED_VALUE"""),"Enrolled")</f>
        <v>Enrolled</v>
      </c>
    </row>
    <row r="3272">
      <c r="A3272" s="6" t="str">
        <f>IFERROR(__xludf.DUMMYFUNCTION("""COMPUTED_VALUE"""),"064-6139")</f>
        <v>064-6139</v>
      </c>
      <c r="B3272" s="6" t="str">
        <f>IFERROR(__xludf.DUMMYFUNCTION("""COMPUTED_VALUE"""),"64")</f>
        <v>64</v>
      </c>
      <c r="C3272" s="6" t="str">
        <f>IFERROR(__xludf.DUMMYFUNCTION("""COMPUTED_VALUE"""),"6139")</f>
        <v>6139</v>
      </c>
      <c r="D3272" s="6" t="str">
        <f>IFERROR(__xludf.DUMMYFUNCTION("""COMPUTED_VALUE"""),"Adilynn")</f>
        <v>Adilynn</v>
      </c>
      <c r="E3272" s="6" t="str">
        <f>IFERROR(__xludf.DUMMYFUNCTION("""COMPUTED_VALUE"""),"")</f>
        <v/>
      </c>
      <c r="F3272" s="6" t="str">
        <f>IFERROR(__xludf.DUMMYFUNCTION("""COMPUTED_VALUE"""),"Whitley")</f>
        <v>Whitley</v>
      </c>
      <c r="G3272" s="6" t="str">
        <f>IFERROR(__xludf.DUMMYFUNCTION("""COMPUTED_VALUE"""),"09/09/2015")</f>
        <v>09/09/2015</v>
      </c>
      <c r="H3272" s="6" t="str">
        <f>IFERROR(__xludf.DUMMYFUNCTION("""COMPUTED_VALUE"""),"Self Identify")</f>
        <v>Self Identify</v>
      </c>
      <c r="I3272" s="6" t="str">
        <f>IFERROR(__xludf.DUMMYFUNCTION("""COMPUTED_VALUE"""),"Level 2")</f>
        <v>Level 2</v>
      </c>
      <c r="J3272" s="6" t="str">
        <f>IFERROR(__xludf.DUMMYFUNCTION("""COMPUTED_VALUE"""),"4")</f>
        <v>4</v>
      </c>
      <c r="K3272" s="6" t="str">
        <f>IFERROR(__xludf.DUMMYFUNCTION("""COMPUTED_VALUE"""),"adilynn_whitley@stu.ortrail.k12.or.us")</f>
        <v>adilynn_whitley@stu.ortrail.k12.or.us</v>
      </c>
      <c r="L3272" s="6" t="str">
        <f>IFERROR(__xludf.DUMMYFUNCTION("""COMPUTED_VALUE"""),"Oregon Trail School District 46")</f>
        <v>Oregon Trail School District 46</v>
      </c>
      <c r="M3272" s="6" t="str">
        <f>IFERROR(__xludf.DUMMYFUNCTION("""COMPUTED_VALUE"""),"Kelso Elementary School")</f>
        <v>Kelso Elementary School</v>
      </c>
      <c r="N3272" s="6" t="str">
        <f>IFERROR(__xludf.DUMMYFUNCTION("""COMPUTED_VALUE"""),"")</f>
        <v/>
      </c>
      <c r="O3272" s="87" t="str">
        <f>IFERROR(__xludf.DUMMYFUNCTION("""COMPUTED_VALUE"""),"https://drive.google.com/drive/folders/10T2cTQHqEJZqE-st6uFKPoI?usp=share_link")</f>
        <v>https://drive.google.com/drive/folders/10T2cTQHqEJZqE-st6uFKPoI?usp=share_link</v>
      </c>
      <c r="P3272" s="6" t="str">
        <f>IFERROR(__xludf.DUMMYFUNCTION("""COMPUTED_VALUE"""),"Adilynn Whitley")</f>
        <v>Adilynn Whitley</v>
      </c>
      <c r="Q3272" s="6" t="str">
        <f>IFERROR(__xludf.DUMMYFUNCTION("""COMPUTED_VALUE"""),"L2")</f>
        <v>L2</v>
      </c>
      <c r="R3272" s="6">
        <f>IFERROR(__xludf.DUMMYFUNCTION("""COMPUTED_VALUE"""),2.0)</f>
        <v>2</v>
      </c>
      <c r="S3272" s="6" t="str">
        <f>IFERROR(__xludf.DUMMYFUNCTION("""COMPUTED_VALUE"""),"Jennifer Johnson")</f>
        <v>Jennifer Johnson</v>
      </c>
      <c r="T3272" s="6" t="str">
        <f>IFERROR(__xludf.DUMMYFUNCTION("""COMPUTED_VALUE"""),"jennifer.johnson@ortrail.k12.or.us")</f>
        <v>jennifer.johnson@ortrail.k12.or.us</v>
      </c>
      <c r="U3272" s="6" t="str">
        <f>IFERROR(__xludf.DUMMYFUNCTION("""COMPUTED_VALUE"""),"4")</f>
        <v>4</v>
      </c>
      <c r="V3272" s="6" t="str">
        <f>IFERROR(__xludf.DUMMYFUNCTION("""COMPUTED_VALUE"""),"English")</f>
        <v>English</v>
      </c>
      <c r="W3272" s="6" t="str">
        <f>IFERROR(__xludf.DUMMYFUNCTION("""COMPUTED_VALUE"""),"[]")</f>
        <v>[]</v>
      </c>
      <c r="X3272" s="6" t="str">
        <f>IFERROR(__xludf.DUMMYFUNCTION("""COMPUTED_VALUE"""),"Enrolled")</f>
        <v>Enrolled</v>
      </c>
    </row>
    <row r="3273">
      <c r="A3273" s="6" t="str">
        <f>IFERROR(__xludf.DUMMYFUNCTION("""COMPUTED_VALUE"""),"064-6140")</f>
        <v>064-6140</v>
      </c>
      <c r="B3273" s="6" t="str">
        <f>IFERROR(__xludf.DUMMYFUNCTION("""COMPUTED_VALUE"""),"64")</f>
        <v>64</v>
      </c>
      <c r="C3273" s="6" t="str">
        <f>IFERROR(__xludf.DUMMYFUNCTION("""COMPUTED_VALUE"""),"6140")</f>
        <v>6140</v>
      </c>
      <c r="D3273" s="6" t="str">
        <f>IFERROR(__xludf.DUMMYFUNCTION("""COMPUTED_VALUE"""),"Olivia")</f>
        <v>Olivia</v>
      </c>
      <c r="E3273" s="6" t="str">
        <f>IFERROR(__xludf.DUMMYFUNCTION("""COMPUTED_VALUE"""),"")</f>
        <v/>
      </c>
      <c r="F3273" s="6" t="str">
        <f>IFERROR(__xludf.DUMMYFUNCTION("""COMPUTED_VALUE"""),"Wilson")</f>
        <v>Wilson</v>
      </c>
      <c r="G3273" s="6" t="str">
        <f>IFERROR(__xludf.DUMMYFUNCTION("""COMPUTED_VALUE"""),"02/25/2016")</f>
        <v>02/25/2016</v>
      </c>
      <c r="H3273" s="6" t="str">
        <f>IFERROR(__xludf.DUMMYFUNCTION("""COMPUTED_VALUE"""),"Self Identify")</f>
        <v>Self Identify</v>
      </c>
      <c r="I3273" s="6" t="str">
        <f>IFERROR(__xludf.DUMMYFUNCTION("""COMPUTED_VALUE"""),"Level 2")</f>
        <v>Level 2</v>
      </c>
      <c r="J3273" s="6" t="str">
        <f>IFERROR(__xludf.DUMMYFUNCTION("""COMPUTED_VALUE"""),"4")</f>
        <v>4</v>
      </c>
      <c r="K3273" s="6" t="str">
        <f>IFERROR(__xludf.DUMMYFUNCTION("""COMPUTED_VALUE"""),"olivia_wilson@stu.ortrail.k12.or.us")</f>
        <v>olivia_wilson@stu.ortrail.k12.or.us</v>
      </c>
      <c r="L3273" s="6" t="str">
        <f>IFERROR(__xludf.DUMMYFUNCTION("""COMPUTED_VALUE"""),"Oregon Trail School District 46")</f>
        <v>Oregon Trail School District 46</v>
      </c>
      <c r="M3273" s="6" t="str">
        <f>IFERROR(__xludf.DUMMYFUNCTION("""COMPUTED_VALUE"""),"Kelso Elementary School")</f>
        <v>Kelso Elementary School</v>
      </c>
      <c r="N3273" s="6" t="str">
        <f>IFERROR(__xludf.DUMMYFUNCTION("""COMPUTED_VALUE"""),"")</f>
        <v/>
      </c>
      <c r="O3273" s="87" t="str">
        <f>IFERROR(__xludf.DUMMYFUNCTION("""COMPUTED_VALUE"""),"https://drive.google.com/drive/folders/10T2cTQHqEJZqE-st6uFKPoI?usp=share_link")</f>
        <v>https://drive.google.com/drive/folders/10T2cTQHqEJZqE-st6uFKPoI?usp=share_link</v>
      </c>
      <c r="P3273" s="6" t="str">
        <f>IFERROR(__xludf.DUMMYFUNCTION("""COMPUTED_VALUE"""),"Olivia Wilson")</f>
        <v>Olivia Wilson</v>
      </c>
      <c r="Q3273" s="6" t="str">
        <f>IFERROR(__xludf.DUMMYFUNCTION("""COMPUTED_VALUE"""),"L2")</f>
        <v>L2</v>
      </c>
      <c r="R3273" s="6">
        <f>IFERROR(__xludf.DUMMYFUNCTION("""COMPUTED_VALUE"""),2.0)</f>
        <v>2</v>
      </c>
      <c r="S3273" s="6" t="str">
        <f>IFERROR(__xludf.DUMMYFUNCTION("""COMPUTED_VALUE"""),"Samantha Scherer")</f>
        <v>Samantha Scherer</v>
      </c>
      <c r="T3273" s="6" t="str">
        <f>IFERROR(__xludf.DUMMYFUNCTION("""COMPUTED_VALUE"""),"samantha.scherer@ortrail.k12.or.us")</f>
        <v>samantha.scherer@ortrail.k12.or.us</v>
      </c>
      <c r="U3273" s="6" t="str">
        <f>IFERROR(__xludf.DUMMYFUNCTION("""COMPUTED_VALUE"""),"4")</f>
        <v>4</v>
      </c>
      <c r="V3273" s="6" t="str">
        <f>IFERROR(__xludf.DUMMYFUNCTION("""COMPUTED_VALUE"""),"English")</f>
        <v>English</v>
      </c>
      <c r="W3273" s="6" t="str">
        <f>IFERROR(__xludf.DUMMYFUNCTION("""COMPUTED_VALUE"""),"[]")</f>
        <v>[]</v>
      </c>
      <c r="X3273" s="6" t="str">
        <f>IFERROR(__xludf.DUMMYFUNCTION("""COMPUTED_VALUE"""),"Enrolled")</f>
        <v>Enrolled</v>
      </c>
    </row>
    <row r="3274">
      <c r="A3274" s="6" t="str">
        <f>IFERROR(__xludf.DUMMYFUNCTION("""COMPUTED_VALUE"""),"064-6141")</f>
        <v>064-6141</v>
      </c>
      <c r="B3274" s="6" t="str">
        <f>IFERROR(__xludf.DUMMYFUNCTION("""COMPUTED_VALUE"""),"64")</f>
        <v>64</v>
      </c>
      <c r="C3274" s="6" t="str">
        <f>IFERROR(__xludf.DUMMYFUNCTION("""COMPUTED_VALUE"""),"6141")</f>
        <v>6141</v>
      </c>
      <c r="D3274" s="6" t="str">
        <f>IFERROR(__xludf.DUMMYFUNCTION("""COMPUTED_VALUE"""),"John")</f>
        <v>John</v>
      </c>
      <c r="E3274" s="6" t="str">
        <f>IFERROR(__xludf.DUMMYFUNCTION("""COMPUTED_VALUE"""),"")</f>
        <v/>
      </c>
      <c r="F3274" s="6" t="str">
        <f>IFERROR(__xludf.DUMMYFUNCTION("""COMPUTED_VALUE"""),"Wrenn IV")</f>
        <v>Wrenn IV</v>
      </c>
      <c r="G3274" s="6" t="str">
        <f>IFERROR(__xludf.DUMMYFUNCTION("""COMPUTED_VALUE"""),"09/28/2015")</f>
        <v>09/28/2015</v>
      </c>
      <c r="H3274" s="6" t="str">
        <f>IFERROR(__xludf.DUMMYFUNCTION("""COMPUTED_VALUE"""),"Self Identify")</f>
        <v>Self Identify</v>
      </c>
      <c r="I3274" s="6" t="str">
        <f>IFERROR(__xludf.DUMMYFUNCTION("""COMPUTED_VALUE"""),"Level 2")</f>
        <v>Level 2</v>
      </c>
      <c r="J3274" s="6" t="str">
        <f>IFERROR(__xludf.DUMMYFUNCTION("""COMPUTED_VALUE"""),"4")</f>
        <v>4</v>
      </c>
      <c r="K3274" s="6" t="str">
        <f>IFERROR(__xludf.DUMMYFUNCTION("""COMPUTED_VALUE"""),"johnny_wrenniv@stu.ortrail.k12.or.us")</f>
        <v>johnny_wrenniv@stu.ortrail.k12.or.us</v>
      </c>
      <c r="L3274" s="6" t="str">
        <f>IFERROR(__xludf.DUMMYFUNCTION("""COMPUTED_VALUE"""),"Oregon Trail School District 46")</f>
        <v>Oregon Trail School District 46</v>
      </c>
      <c r="M3274" s="6" t="str">
        <f>IFERROR(__xludf.DUMMYFUNCTION("""COMPUTED_VALUE"""),"Kelso Elementary School")</f>
        <v>Kelso Elementary School</v>
      </c>
      <c r="N3274" s="6" t="str">
        <f>IFERROR(__xludf.DUMMYFUNCTION("""COMPUTED_VALUE"""),"")</f>
        <v/>
      </c>
      <c r="O3274" s="87" t="str">
        <f>IFERROR(__xludf.DUMMYFUNCTION("""COMPUTED_VALUE"""),"https://drive.google.com/drive/folders/10T2cTQHqEJZqE-st6uFKPoI?usp=share_link")</f>
        <v>https://drive.google.com/drive/folders/10T2cTQHqEJZqE-st6uFKPoI?usp=share_link</v>
      </c>
      <c r="P3274" s="6" t="str">
        <f>IFERROR(__xludf.DUMMYFUNCTION("""COMPUTED_VALUE"""),"John Wrenn IV")</f>
        <v>John Wrenn IV</v>
      </c>
      <c r="Q3274" s="6" t="str">
        <f>IFERROR(__xludf.DUMMYFUNCTION("""COMPUTED_VALUE"""),"L2")</f>
        <v>L2</v>
      </c>
      <c r="R3274" s="6">
        <f>IFERROR(__xludf.DUMMYFUNCTION("""COMPUTED_VALUE"""),2.0)</f>
        <v>2</v>
      </c>
      <c r="S3274" s="6" t="str">
        <f>IFERROR(__xludf.DUMMYFUNCTION("""COMPUTED_VALUE"""),"Samantha Scherer")</f>
        <v>Samantha Scherer</v>
      </c>
      <c r="T3274" s="6" t="str">
        <f>IFERROR(__xludf.DUMMYFUNCTION("""COMPUTED_VALUE"""),"samantha.scherer@ortrail.k12.or.us")</f>
        <v>samantha.scherer@ortrail.k12.or.us</v>
      </c>
      <c r="U3274" s="6" t="str">
        <f>IFERROR(__xludf.DUMMYFUNCTION("""COMPUTED_VALUE"""),"4")</f>
        <v>4</v>
      </c>
      <c r="V3274" s="6" t="str">
        <f>IFERROR(__xludf.DUMMYFUNCTION("""COMPUTED_VALUE"""),"English")</f>
        <v>English</v>
      </c>
      <c r="W3274" s="6" t="str">
        <f>IFERROR(__xludf.DUMMYFUNCTION("""COMPUTED_VALUE"""),"[]")</f>
        <v>[]</v>
      </c>
      <c r="X3274" s="6" t="str">
        <f>IFERROR(__xludf.DUMMYFUNCTION("""COMPUTED_VALUE"""),"Enrolled")</f>
        <v>Enrolled</v>
      </c>
    </row>
    <row r="3275">
      <c r="A3275" s="6" t="str">
        <f>IFERROR(__xludf.DUMMYFUNCTION("""COMPUTED_VALUE"""),"064-6142")</f>
        <v>064-6142</v>
      </c>
      <c r="B3275" s="6" t="str">
        <f>IFERROR(__xludf.DUMMYFUNCTION("""COMPUTED_VALUE"""),"64")</f>
        <v>64</v>
      </c>
      <c r="C3275" s="6" t="str">
        <f>IFERROR(__xludf.DUMMYFUNCTION("""COMPUTED_VALUE"""),"6142")</f>
        <v>6142</v>
      </c>
      <c r="D3275" s="6" t="str">
        <f>IFERROR(__xludf.DUMMYFUNCTION("""COMPUTED_VALUE"""),"Jamison")</f>
        <v>Jamison</v>
      </c>
      <c r="E3275" s="6" t="str">
        <f>IFERROR(__xludf.DUMMYFUNCTION("""COMPUTED_VALUE"""),"")</f>
        <v/>
      </c>
      <c r="F3275" s="6" t="str">
        <f>IFERROR(__xludf.DUMMYFUNCTION("""COMPUTED_VALUE"""),"Wright")</f>
        <v>Wright</v>
      </c>
      <c r="G3275" s="6" t="str">
        <f>IFERROR(__xludf.DUMMYFUNCTION("""COMPUTED_VALUE"""),"04/24/2016")</f>
        <v>04/24/2016</v>
      </c>
      <c r="H3275" s="6" t="str">
        <f>IFERROR(__xludf.DUMMYFUNCTION("""COMPUTED_VALUE"""),"Self Identify")</f>
        <v>Self Identify</v>
      </c>
      <c r="I3275" s="6" t="str">
        <f>IFERROR(__xludf.DUMMYFUNCTION("""COMPUTED_VALUE"""),"Level 2")</f>
        <v>Level 2</v>
      </c>
      <c r="J3275" s="6" t="str">
        <f>IFERROR(__xludf.DUMMYFUNCTION("""COMPUTED_VALUE"""),"4")</f>
        <v>4</v>
      </c>
      <c r="K3275" s="6" t="str">
        <f>IFERROR(__xludf.DUMMYFUNCTION("""COMPUTED_VALUE"""),"jamison_wright@stu.ortrail.k12.or.us")</f>
        <v>jamison_wright@stu.ortrail.k12.or.us</v>
      </c>
      <c r="L3275" s="6" t="str">
        <f>IFERROR(__xludf.DUMMYFUNCTION("""COMPUTED_VALUE"""),"Oregon Trail School District 46")</f>
        <v>Oregon Trail School District 46</v>
      </c>
      <c r="M3275" s="6" t="str">
        <f>IFERROR(__xludf.DUMMYFUNCTION("""COMPUTED_VALUE"""),"Kelso Elementary School")</f>
        <v>Kelso Elementary School</v>
      </c>
      <c r="N3275" s="6" t="str">
        <f>IFERROR(__xludf.DUMMYFUNCTION("""COMPUTED_VALUE"""),"")</f>
        <v/>
      </c>
      <c r="O3275" s="87" t="str">
        <f>IFERROR(__xludf.DUMMYFUNCTION("""COMPUTED_VALUE"""),"https://drive.google.com/drive/folders/10T2cTQHqEJZqE-st6uFKPoI?usp=share_link")</f>
        <v>https://drive.google.com/drive/folders/10T2cTQHqEJZqE-st6uFKPoI?usp=share_link</v>
      </c>
      <c r="P3275" s="6" t="str">
        <f>IFERROR(__xludf.DUMMYFUNCTION("""COMPUTED_VALUE"""),"Jamison Wright")</f>
        <v>Jamison Wright</v>
      </c>
      <c r="Q3275" s="6" t="str">
        <f>IFERROR(__xludf.DUMMYFUNCTION("""COMPUTED_VALUE"""),"L2")</f>
        <v>L2</v>
      </c>
      <c r="R3275" s="6">
        <f>IFERROR(__xludf.DUMMYFUNCTION("""COMPUTED_VALUE"""),2.0)</f>
        <v>2</v>
      </c>
      <c r="S3275" s="6" t="str">
        <f>IFERROR(__xludf.DUMMYFUNCTION("""COMPUTED_VALUE"""),"Samantha Scherer")</f>
        <v>Samantha Scherer</v>
      </c>
      <c r="T3275" s="6" t="str">
        <f>IFERROR(__xludf.DUMMYFUNCTION("""COMPUTED_VALUE"""),"samantha.scherer@ortrail.k12.or.us")</f>
        <v>samantha.scherer@ortrail.k12.or.us</v>
      </c>
      <c r="U3275" s="6" t="str">
        <f>IFERROR(__xludf.DUMMYFUNCTION("""COMPUTED_VALUE"""),"4")</f>
        <v>4</v>
      </c>
      <c r="V3275" s="6" t="str">
        <f>IFERROR(__xludf.DUMMYFUNCTION("""COMPUTED_VALUE"""),"English")</f>
        <v>English</v>
      </c>
      <c r="W3275" s="6" t="str">
        <f>IFERROR(__xludf.DUMMYFUNCTION("""COMPUTED_VALUE"""),"[]")</f>
        <v>[]</v>
      </c>
      <c r="X3275" s="6" t="str">
        <f>IFERROR(__xludf.DUMMYFUNCTION("""COMPUTED_VALUE"""),"Enrolled")</f>
        <v>Enrolled</v>
      </c>
    </row>
    <row r="3276">
      <c r="A3276" s="6" t="str">
        <f>IFERROR(__xludf.DUMMYFUNCTION("""COMPUTED_VALUE"""),"064-6143")</f>
        <v>064-6143</v>
      </c>
      <c r="B3276" s="6" t="str">
        <f>IFERROR(__xludf.DUMMYFUNCTION("""COMPUTED_VALUE"""),"64")</f>
        <v>64</v>
      </c>
      <c r="C3276" s="6" t="str">
        <f>IFERROR(__xludf.DUMMYFUNCTION("""COMPUTED_VALUE"""),"6143")</f>
        <v>6143</v>
      </c>
      <c r="D3276" s="6" t="str">
        <f>IFERROR(__xludf.DUMMYFUNCTION("""COMPUTED_VALUE"""),"Johanna")</f>
        <v>Johanna</v>
      </c>
      <c r="E3276" s="6" t="str">
        <f>IFERROR(__xludf.DUMMYFUNCTION("""COMPUTED_VALUE"""),"")</f>
        <v/>
      </c>
      <c r="F3276" s="6" t="str">
        <f>IFERROR(__xludf.DUMMYFUNCTION("""COMPUTED_VALUE"""),"Alcorn")</f>
        <v>Alcorn</v>
      </c>
      <c r="G3276" s="6" t="str">
        <f>IFERROR(__xludf.DUMMYFUNCTION("""COMPUTED_VALUE"""),"10/18/2014")</f>
        <v>10/18/2014</v>
      </c>
      <c r="H3276" s="6" t="str">
        <f>IFERROR(__xludf.DUMMYFUNCTION("""COMPUTED_VALUE"""),"Self Identify")</f>
        <v>Self Identify</v>
      </c>
      <c r="I3276" s="6" t="str">
        <f>IFERROR(__xludf.DUMMYFUNCTION("""COMPUTED_VALUE"""),"Level 2")</f>
        <v>Level 2</v>
      </c>
      <c r="J3276" s="6" t="str">
        <f>IFERROR(__xludf.DUMMYFUNCTION("""COMPUTED_VALUE"""),"5")</f>
        <v>5</v>
      </c>
      <c r="K3276" s="6" t="str">
        <f>IFERROR(__xludf.DUMMYFUNCTION("""COMPUTED_VALUE"""),"hanna_alcorn@stu.ortrail.k12.or.us")</f>
        <v>hanna_alcorn@stu.ortrail.k12.or.us</v>
      </c>
      <c r="L3276" s="6" t="str">
        <f>IFERROR(__xludf.DUMMYFUNCTION("""COMPUTED_VALUE"""),"Oregon Trail School District 46")</f>
        <v>Oregon Trail School District 46</v>
      </c>
      <c r="M3276" s="6" t="str">
        <f>IFERROR(__xludf.DUMMYFUNCTION("""COMPUTED_VALUE"""),"Kelso Elementary School")</f>
        <v>Kelso Elementary School</v>
      </c>
      <c r="N3276" s="6" t="str">
        <f>IFERROR(__xludf.DUMMYFUNCTION("""COMPUTED_VALUE"""),"")</f>
        <v/>
      </c>
      <c r="O3276" s="87" t="str">
        <f>IFERROR(__xludf.DUMMYFUNCTION("""COMPUTED_VALUE"""),"https://drive.google.com/drive/folders/10T2cTQHqEJZqE-st6uFKPoI?usp=share_link")</f>
        <v>https://drive.google.com/drive/folders/10T2cTQHqEJZqE-st6uFKPoI?usp=share_link</v>
      </c>
      <c r="P3276" s="6" t="str">
        <f>IFERROR(__xludf.DUMMYFUNCTION("""COMPUTED_VALUE"""),"Johanna Alcorn")</f>
        <v>Johanna Alcorn</v>
      </c>
      <c r="Q3276" s="6" t="str">
        <f>IFERROR(__xludf.DUMMYFUNCTION("""COMPUTED_VALUE"""),"L2")</f>
        <v>L2</v>
      </c>
      <c r="R3276" s="6">
        <f>IFERROR(__xludf.DUMMYFUNCTION("""COMPUTED_VALUE"""),2.0)</f>
        <v>2</v>
      </c>
      <c r="S3276" s="6" t="str">
        <f>IFERROR(__xludf.DUMMYFUNCTION("""COMPUTED_VALUE"""),"Jessica Minch")</f>
        <v>Jessica Minch</v>
      </c>
      <c r="T3276" s="6" t="str">
        <f>IFERROR(__xludf.DUMMYFUNCTION("""COMPUTED_VALUE"""),"jessica.minch@ortrail.k12.or.us")</f>
        <v>jessica.minch@ortrail.k12.or.us</v>
      </c>
      <c r="U3276" s="6" t="str">
        <f>IFERROR(__xludf.DUMMYFUNCTION("""COMPUTED_VALUE"""),"5")</f>
        <v>5</v>
      </c>
      <c r="V3276" s="6" t="str">
        <f>IFERROR(__xludf.DUMMYFUNCTION("""COMPUTED_VALUE"""),"English")</f>
        <v>English</v>
      </c>
      <c r="W3276" s="6" t="str">
        <f>IFERROR(__xludf.DUMMYFUNCTION("""COMPUTED_VALUE"""),"[]")</f>
        <v>[]</v>
      </c>
      <c r="X3276" s="6" t="str">
        <f>IFERROR(__xludf.DUMMYFUNCTION("""COMPUTED_VALUE"""),"Enrolled")</f>
        <v>Enrolled</v>
      </c>
    </row>
    <row r="3277">
      <c r="A3277" s="6" t="str">
        <f>IFERROR(__xludf.DUMMYFUNCTION("""COMPUTED_VALUE"""),"064-6144")</f>
        <v>064-6144</v>
      </c>
      <c r="B3277" s="6" t="str">
        <f>IFERROR(__xludf.DUMMYFUNCTION("""COMPUTED_VALUE"""),"64")</f>
        <v>64</v>
      </c>
      <c r="C3277" s="6" t="str">
        <f>IFERROR(__xludf.DUMMYFUNCTION("""COMPUTED_VALUE"""),"6144")</f>
        <v>6144</v>
      </c>
      <c r="D3277" s="6" t="str">
        <f>IFERROR(__xludf.DUMMYFUNCTION("""COMPUTED_VALUE"""),"Hunter")</f>
        <v>Hunter</v>
      </c>
      <c r="E3277" s="6" t="str">
        <f>IFERROR(__xludf.DUMMYFUNCTION("""COMPUTED_VALUE"""),"")</f>
        <v/>
      </c>
      <c r="F3277" s="6" t="str">
        <f>IFERROR(__xludf.DUMMYFUNCTION("""COMPUTED_VALUE"""),"Anderson")</f>
        <v>Anderson</v>
      </c>
      <c r="G3277" s="6" t="str">
        <f>IFERROR(__xludf.DUMMYFUNCTION("""COMPUTED_VALUE"""),"12/12/2014")</f>
        <v>12/12/2014</v>
      </c>
      <c r="H3277" s="6" t="str">
        <f>IFERROR(__xludf.DUMMYFUNCTION("""COMPUTED_VALUE"""),"Self Identify")</f>
        <v>Self Identify</v>
      </c>
      <c r="I3277" s="6" t="str">
        <f>IFERROR(__xludf.DUMMYFUNCTION("""COMPUTED_VALUE"""),"Level 2")</f>
        <v>Level 2</v>
      </c>
      <c r="J3277" s="6" t="str">
        <f>IFERROR(__xludf.DUMMYFUNCTION("""COMPUTED_VALUE"""),"5")</f>
        <v>5</v>
      </c>
      <c r="K3277" s="6" t="str">
        <f>IFERROR(__xludf.DUMMYFUNCTION("""COMPUTED_VALUE"""),"hunter_anderson@stu.ortrail.k12.or.us")</f>
        <v>hunter_anderson@stu.ortrail.k12.or.us</v>
      </c>
      <c r="L3277" s="6" t="str">
        <f>IFERROR(__xludf.DUMMYFUNCTION("""COMPUTED_VALUE"""),"Oregon Trail School District 46")</f>
        <v>Oregon Trail School District 46</v>
      </c>
      <c r="M3277" s="6" t="str">
        <f>IFERROR(__xludf.DUMMYFUNCTION("""COMPUTED_VALUE"""),"Kelso Elementary School")</f>
        <v>Kelso Elementary School</v>
      </c>
      <c r="N3277" s="6" t="str">
        <f>IFERROR(__xludf.DUMMYFUNCTION("""COMPUTED_VALUE"""),"")</f>
        <v/>
      </c>
      <c r="O3277" s="87" t="str">
        <f>IFERROR(__xludf.DUMMYFUNCTION("""COMPUTED_VALUE"""),"https://drive.google.com/drive/folders/10T2cTQHqEJZqE-st6uFKPoI?usp=share_link")</f>
        <v>https://drive.google.com/drive/folders/10T2cTQHqEJZqE-st6uFKPoI?usp=share_link</v>
      </c>
      <c r="P3277" s="6" t="str">
        <f>IFERROR(__xludf.DUMMYFUNCTION("""COMPUTED_VALUE"""),"Hunter Anderson")</f>
        <v>Hunter Anderson</v>
      </c>
      <c r="Q3277" s="6" t="str">
        <f>IFERROR(__xludf.DUMMYFUNCTION("""COMPUTED_VALUE"""),"L2")</f>
        <v>L2</v>
      </c>
      <c r="R3277" s="6">
        <f>IFERROR(__xludf.DUMMYFUNCTION("""COMPUTED_VALUE"""),2.0)</f>
        <v>2</v>
      </c>
      <c r="S3277" s="6" t="str">
        <f>IFERROR(__xludf.DUMMYFUNCTION("""COMPUTED_VALUE"""),"Jessica Minch")</f>
        <v>Jessica Minch</v>
      </c>
      <c r="T3277" s="6" t="str">
        <f>IFERROR(__xludf.DUMMYFUNCTION("""COMPUTED_VALUE"""),"jessica.minch@ortrail.k12.or.us")</f>
        <v>jessica.minch@ortrail.k12.or.us</v>
      </c>
      <c r="U3277" s="6" t="str">
        <f>IFERROR(__xludf.DUMMYFUNCTION("""COMPUTED_VALUE"""),"5")</f>
        <v>5</v>
      </c>
      <c r="V3277" s="6" t="str">
        <f>IFERROR(__xludf.DUMMYFUNCTION("""COMPUTED_VALUE"""),"English")</f>
        <v>English</v>
      </c>
      <c r="W3277" s="6" t="str">
        <f>IFERROR(__xludf.DUMMYFUNCTION("""COMPUTED_VALUE"""),"[]")</f>
        <v>[]</v>
      </c>
      <c r="X3277" s="6" t="str">
        <f>IFERROR(__xludf.DUMMYFUNCTION("""COMPUTED_VALUE"""),"Enrolled")</f>
        <v>Enrolled</v>
      </c>
    </row>
    <row r="3278">
      <c r="A3278" s="6" t="str">
        <f>IFERROR(__xludf.DUMMYFUNCTION("""COMPUTED_VALUE"""),"064-6147")</f>
        <v>064-6147</v>
      </c>
      <c r="B3278" s="6" t="str">
        <f>IFERROR(__xludf.DUMMYFUNCTION("""COMPUTED_VALUE"""),"64")</f>
        <v>64</v>
      </c>
      <c r="C3278" s="6" t="str">
        <f>IFERROR(__xludf.DUMMYFUNCTION("""COMPUTED_VALUE"""),"6147")</f>
        <v>6147</v>
      </c>
      <c r="D3278" s="6" t="str">
        <f>IFERROR(__xludf.DUMMYFUNCTION("""COMPUTED_VALUE"""),"Layla")</f>
        <v>Layla</v>
      </c>
      <c r="E3278" s="6" t="str">
        <f>IFERROR(__xludf.DUMMYFUNCTION("""COMPUTED_VALUE"""),"")</f>
        <v/>
      </c>
      <c r="F3278" s="6" t="str">
        <f>IFERROR(__xludf.DUMMYFUNCTION("""COMPUTED_VALUE"""),"Bondar")</f>
        <v>Bondar</v>
      </c>
      <c r="G3278" s="6" t="str">
        <f>IFERROR(__xludf.DUMMYFUNCTION("""COMPUTED_VALUE"""),"01/14/2015")</f>
        <v>01/14/2015</v>
      </c>
      <c r="H3278" s="6" t="str">
        <f>IFERROR(__xludf.DUMMYFUNCTION("""COMPUTED_VALUE"""),"Self Identify")</f>
        <v>Self Identify</v>
      </c>
      <c r="I3278" s="6" t="str">
        <f>IFERROR(__xludf.DUMMYFUNCTION("""COMPUTED_VALUE"""),"Level 2")</f>
        <v>Level 2</v>
      </c>
      <c r="J3278" s="6" t="str">
        <f>IFERROR(__xludf.DUMMYFUNCTION("""COMPUTED_VALUE"""),"5")</f>
        <v>5</v>
      </c>
      <c r="K3278" s="6" t="str">
        <f>IFERROR(__xludf.DUMMYFUNCTION("""COMPUTED_VALUE"""),"layla_bondar@stu.ortrail.k12.or.us")</f>
        <v>layla_bondar@stu.ortrail.k12.or.us</v>
      </c>
      <c r="L3278" s="6" t="str">
        <f>IFERROR(__xludf.DUMMYFUNCTION("""COMPUTED_VALUE"""),"Oregon Trail School District 46")</f>
        <v>Oregon Trail School District 46</v>
      </c>
      <c r="M3278" s="6" t="str">
        <f>IFERROR(__xludf.DUMMYFUNCTION("""COMPUTED_VALUE"""),"Kelso Elementary School")</f>
        <v>Kelso Elementary School</v>
      </c>
      <c r="N3278" s="6" t="str">
        <f>IFERROR(__xludf.DUMMYFUNCTION("""COMPUTED_VALUE"""),"")</f>
        <v/>
      </c>
      <c r="O3278" s="87" t="str">
        <f>IFERROR(__xludf.DUMMYFUNCTION("""COMPUTED_VALUE"""),"https://drive.google.com/drive/folders/10T2cTQHqEJZqE-st6uFKPoI?usp=share_link")</f>
        <v>https://drive.google.com/drive/folders/10T2cTQHqEJZqE-st6uFKPoI?usp=share_link</v>
      </c>
      <c r="P3278" s="6" t="str">
        <f>IFERROR(__xludf.DUMMYFUNCTION("""COMPUTED_VALUE"""),"Layla Bondar")</f>
        <v>Layla Bondar</v>
      </c>
      <c r="Q3278" s="6" t="str">
        <f>IFERROR(__xludf.DUMMYFUNCTION("""COMPUTED_VALUE"""),"L2")</f>
        <v>L2</v>
      </c>
      <c r="R3278" s="6">
        <f>IFERROR(__xludf.DUMMYFUNCTION("""COMPUTED_VALUE"""),2.0)</f>
        <v>2</v>
      </c>
      <c r="S3278" s="6" t="str">
        <f>IFERROR(__xludf.DUMMYFUNCTION("""COMPUTED_VALUE"""),"Nicole Sellin")</f>
        <v>Nicole Sellin</v>
      </c>
      <c r="T3278" s="6" t="str">
        <f>IFERROR(__xludf.DUMMYFUNCTION("""COMPUTED_VALUE"""),"nicole.sellin@ortrail.k12.or.us")</f>
        <v>nicole.sellin@ortrail.k12.or.us</v>
      </c>
      <c r="U3278" s="6" t="str">
        <f>IFERROR(__xludf.DUMMYFUNCTION("""COMPUTED_VALUE"""),"5")</f>
        <v>5</v>
      </c>
      <c r="V3278" s="6" t="str">
        <f>IFERROR(__xludf.DUMMYFUNCTION("""COMPUTED_VALUE"""),"English")</f>
        <v>English</v>
      </c>
      <c r="W3278" s="6" t="str">
        <f>IFERROR(__xludf.DUMMYFUNCTION("""COMPUTED_VALUE"""),"[]")</f>
        <v>[]</v>
      </c>
      <c r="X3278" s="6" t="str">
        <f>IFERROR(__xludf.DUMMYFUNCTION("""COMPUTED_VALUE"""),"Enrolled")</f>
        <v>Enrolled</v>
      </c>
    </row>
    <row r="3279">
      <c r="A3279" s="6" t="str">
        <f>IFERROR(__xludf.DUMMYFUNCTION("""COMPUTED_VALUE"""),"064-6148")</f>
        <v>064-6148</v>
      </c>
      <c r="B3279" s="6" t="str">
        <f>IFERROR(__xludf.DUMMYFUNCTION("""COMPUTED_VALUE"""),"64")</f>
        <v>64</v>
      </c>
      <c r="C3279" s="6" t="str">
        <f>IFERROR(__xludf.DUMMYFUNCTION("""COMPUTED_VALUE"""),"6148")</f>
        <v>6148</v>
      </c>
      <c r="D3279" s="6" t="str">
        <f>IFERROR(__xludf.DUMMYFUNCTION("""COMPUTED_VALUE"""),"Easton")</f>
        <v>Easton</v>
      </c>
      <c r="E3279" s="6" t="str">
        <f>IFERROR(__xludf.DUMMYFUNCTION("""COMPUTED_VALUE"""),"")</f>
        <v/>
      </c>
      <c r="F3279" s="6" t="str">
        <f>IFERROR(__xludf.DUMMYFUNCTION("""COMPUTED_VALUE"""),"Boyer")</f>
        <v>Boyer</v>
      </c>
      <c r="G3279" s="6" t="str">
        <f>IFERROR(__xludf.DUMMYFUNCTION("""COMPUTED_VALUE"""),"08/20/2014")</f>
        <v>08/20/2014</v>
      </c>
      <c r="H3279" s="6" t="str">
        <f>IFERROR(__xludf.DUMMYFUNCTION("""COMPUTED_VALUE"""),"Self Identify")</f>
        <v>Self Identify</v>
      </c>
      <c r="I3279" s="6" t="str">
        <f>IFERROR(__xludf.DUMMYFUNCTION("""COMPUTED_VALUE"""),"Level 2")</f>
        <v>Level 2</v>
      </c>
      <c r="J3279" s="6" t="str">
        <f>IFERROR(__xludf.DUMMYFUNCTION("""COMPUTED_VALUE"""),"5")</f>
        <v>5</v>
      </c>
      <c r="K3279" s="6" t="str">
        <f>IFERROR(__xludf.DUMMYFUNCTION("""COMPUTED_VALUE"""),"easton_boyer@stu.ortrail.k12.or.us")</f>
        <v>easton_boyer@stu.ortrail.k12.or.us</v>
      </c>
      <c r="L3279" s="6" t="str">
        <f>IFERROR(__xludf.DUMMYFUNCTION("""COMPUTED_VALUE"""),"Oregon Trail School District 46")</f>
        <v>Oregon Trail School District 46</v>
      </c>
      <c r="M3279" s="6" t="str">
        <f>IFERROR(__xludf.DUMMYFUNCTION("""COMPUTED_VALUE"""),"Kelso Elementary School")</f>
        <v>Kelso Elementary School</v>
      </c>
      <c r="N3279" s="6" t="str">
        <f>IFERROR(__xludf.DUMMYFUNCTION("""COMPUTED_VALUE"""),"")</f>
        <v/>
      </c>
      <c r="O3279" s="87" t="str">
        <f>IFERROR(__xludf.DUMMYFUNCTION("""COMPUTED_VALUE"""),"https://drive.google.com/drive/folders/10T2cTQHqEJZqE-st6uFKPoI?usp=share_link")</f>
        <v>https://drive.google.com/drive/folders/10T2cTQHqEJZqE-st6uFKPoI?usp=share_link</v>
      </c>
      <c r="P3279" s="6" t="str">
        <f>IFERROR(__xludf.DUMMYFUNCTION("""COMPUTED_VALUE"""),"Easton Boyer")</f>
        <v>Easton Boyer</v>
      </c>
      <c r="Q3279" s="6" t="str">
        <f>IFERROR(__xludf.DUMMYFUNCTION("""COMPUTED_VALUE"""),"L2")</f>
        <v>L2</v>
      </c>
      <c r="R3279" s="6">
        <f>IFERROR(__xludf.DUMMYFUNCTION("""COMPUTED_VALUE"""),2.0)</f>
        <v>2</v>
      </c>
      <c r="S3279" s="6" t="str">
        <f>IFERROR(__xludf.DUMMYFUNCTION("""COMPUTED_VALUE"""),"Jessica Minch")</f>
        <v>Jessica Minch</v>
      </c>
      <c r="T3279" s="6" t="str">
        <f>IFERROR(__xludf.DUMMYFUNCTION("""COMPUTED_VALUE"""),"jessica.minch@ortrail.k12.or.us")</f>
        <v>jessica.minch@ortrail.k12.or.us</v>
      </c>
      <c r="U3279" s="6" t="str">
        <f>IFERROR(__xludf.DUMMYFUNCTION("""COMPUTED_VALUE"""),"5")</f>
        <v>5</v>
      </c>
      <c r="V3279" s="6" t="str">
        <f>IFERROR(__xludf.DUMMYFUNCTION("""COMPUTED_VALUE"""),"English")</f>
        <v>English</v>
      </c>
      <c r="W3279" s="6" t="str">
        <f>IFERROR(__xludf.DUMMYFUNCTION("""COMPUTED_VALUE"""),"[]")</f>
        <v>[]</v>
      </c>
      <c r="X3279" s="6" t="str">
        <f>IFERROR(__xludf.DUMMYFUNCTION("""COMPUTED_VALUE"""),"Enrolled")</f>
        <v>Enrolled</v>
      </c>
    </row>
    <row r="3280">
      <c r="A3280" s="6" t="str">
        <f>IFERROR(__xludf.DUMMYFUNCTION("""COMPUTED_VALUE"""),"064-6149")</f>
        <v>064-6149</v>
      </c>
      <c r="B3280" s="6" t="str">
        <f>IFERROR(__xludf.DUMMYFUNCTION("""COMPUTED_VALUE"""),"64")</f>
        <v>64</v>
      </c>
      <c r="C3280" s="6" t="str">
        <f>IFERROR(__xludf.DUMMYFUNCTION("""COMPUTED_VALUE"""),"6149")</f>
        <v>6149</v>
      </c>
      <c r="D3280" s="6" t="str">
        <f>IFERROR(__xludf.DUMMYFUNCTION("""COMPUTED_VALUE"""),"Nova")</f>
        <v>Nova</v>
      </c>
      <c r="E3280" s="6" t="str">
        <f>IFERROR(__xludf.DUMMYFUNCTION("""COMPUTED_VALUE"""),"")</f>
        <v/>
      </c>
      <c r="F3280" s="6" t="str">
        <f>IFERROR(__xludf.DUMMYFUNCTION("""COMPUTED_VALUE"""),"Brain")</f>
        <v>Brain</v>
      </c>
      <c r="G3280" s="6" t="str">
        <f>IFERROR(__xludf.DUMMYFUNCTION("""COMPUTED_VALUE"""),"03/24/2015")</f>
        <v>03/24/2015</v>
      </c>
      <c r="H3280" s="6" t="str">
        <f>IFERROR(__xludf.DUMMYFUNCTION("""COMPUTED_VALUE"""),"F")</f>
        <v>F</v>
      </c>
      <c r="I3280" s="6" t="str">
        <f>IFERROR(__xludf.DUMMYFUNCTION("""COMPUTED_VALUE"""),"Level 2")</f>
        <v>Level 2</v>
      </c>
      <c r="J3280" s="6" t="str">
        <f>IFERROR(__xludf.DUMMYFUNCTION("""COMPUTED_VALUE"""),"5")</f>
        <v>5</v>
      </c>
      <c r="K3280" s="6" t="str">
        <f>IFERROR(__xludf.DUMMYFUNCTION("""COMPUTED_VALUE"""),"nova_brain@stu.ortrail.k12.or.us")</f>
        <v>nova_brain@stu.ortrail.k12.or.us</v>
      </c>
      <c r="L3280" s="6" t="str">
        <f>IFERROR(__xludf.DUMMYFUNCTION("""COMPUTED_VALUE"""),"Oregon Trail School District 46")</f>
        <v>Oregon Trail School District 46</v>
      </c>
      <c r="M3280" s="6" t="str">
        <f>IFERROR(__xludf.DUMMYFUNCTION("""COMPUTED_VALUE"""),"")</f>
        <v/>
      </c>
      <c r="N3280" s="6" t="str">
        <f>IFERROR(__xludf.DUMMYFUNCTION("""COMPUTED_VALUE"""),"")</f>
        <v/>
      </c>
      <c r="O3280" s="87" t="str">
        <f>IFERROR(__xludf.DUMMYFUNCTION("""COMPUTED_VALUE"""),"https://drive.google.com/drive/folders/10T2cTQHqEJZqE-st6uFKPoI?usp=share_link")</f>
        <v>https://drive.google.com/drive/folders/10T2cTQHqEJZqE-st6uFKPoI?usp=share_link</v>
      </c>
      <c r="P3280" s="6" t="str">
        <f>IFERROR(__xludf.DUMMYFUNCTION("""COMPUTED_VALUE"""),"Nova Brain")</f>
        <v>Nova Brain</v>
      </c>
      <c r="Q3280" s="6" t="str">
        <f>IFERROR(__xludf.DUMMYFUNCTION("""COMPUTED_VALUE"""),"L2")</f>
        <v>L2</v>
      </c>
      <c r="R3280" s="6">
        <f>IFERROR(__xludf.DUMMYFUNCTION("""COMPUTED_VALUE"""),2.0)</f>
        <v>2</v>
      </c>
      <c r="S3280" s="6" t="str">
        <f>IFERROR(__xludf.DUMMYFUNCTION("""COMPUTED_VALUE"""),"Genevra Self")</f>
        <v>Genevra Self</v>
      </c>
      <c r="T3280" s="6" t="str">
        <f>IFERROR(__xludf.DUMMYFUNCTION("""COMPUTED_VALUE"""),"genevra.self@studient.com")</f>
        <v>genevra.self@studient.com</v>
      </c>
      <c r="U3280" s="6" t="str">
        <f>IFERROR(__xludf.DUMMYFUNCTION("""COMPUTED_VALUE"""),"5")</f>
        <v>5</v>
      </c>
      <c r="V3280" s="6" t="str">
        <f>IFERROR(__xludf.DUMMYFUNCTION("""COMPUTED_VALUE"""),"English")</f>
        <v>English</v>
      </c>
      <c r="W3280" s="6" t="str">
        <f>IFERROR(__xludf.DUMMYFUNCTION("""COMPUTED_VALUE"""),"[]")</f>
        <v>[]</v>
      </c>
      <c r="X3280" s="6" t="str">
        <f>IFERROR(__xludf.DUMMYFUNCTION("""COMPUTED_VALUE"""),"Enrolled")</f>
        <v>Enrolled</v>
      </c>
    </row>
    <row r="3281">
      <c r="A3281" s="6" t="str">
        <f>IFERROR(__xludf.DUMMYFUNCTION("""COMPUTED_VALUE"""),"064-6150")</f>
        <v>064-6150</v>
      </c>
      <c r="B3281" s="6" t="str">
        <f>IFERROR(__xludf.DUMMYFUNCTION("""COMPUTED_VALUE"""),"64")</f>
        <v>64</v>
      </c>
      <c r="C3281" s="6" t="str">
        <f>IFERROR(__xludf.DUMMYFUNCTION("""COMPUTED_VALUE"""),"6150")</f>
        <v>6150</v>
      </c>
      <c r="D3281" s="6" t="str">
        <f>IFERROR(__xludf.DUMMYFUNCTION("""COMPUTED_VALUE"""),"Harper")</f>
        <v>Harper</v>
      </c>
      <c r="E3281" s="6" t="str">
        <f>IFERROR(__xludf.DUMMYFUNCTION("""COMPUTED_VALUE"""),"")</f>
        <v/>
      </c>
      <c r="F3281" s="6" t="str">
        <f>IFERROR(__xludf.DUMMYFUNCTION("""COMPUTED_VALUE"""),"Brandon")</f>
        <v>Brandon</v>
      </c>
      <c r="G3281" s="6" t="str">
        <f>IFERROR(__xludf.DUMMYFUNCTION("""COMPUTED_VALUE"""),"09/17/2014")</f>
        <v>09/17/2014</v>
      </c>
      <c r="H3281" s="6" t="str">
        <f>IFERROR(__xludf.DUMMYFUNCTION("""COMPUTED_VALUE"""),"Self Identify")</f>
        <v>Self Identify</v>
      </c>
      <c r="I3281" s="6" t="str">
        <f>IFERROR(__xludf.DUMMYFUNCTION("""COMPUTED_VALUE"""),"Level 2")</f>
        <v>Level 2</v>
      </c>
      <c r="J3281" s="6" t="str">
        <f>IFERROR(__xludf.DUMMYFUNCTION("""COMPUTED_VALUE"""),"5")</f>
        <v>5</v>
      </c>
      <c r="K3281" s="6" t="str">
        <f>IFERROR(__xludf.DUMMYFUNCTION("""COMPUTED_VALUE"""),"harper_brandon@stu.ortrail.k12.or.us")</f>
        <v>harper_brandon@stu.ortrail.k12.or.us</v>
      </c>
      <c r="L3281" s="6" t="str">
        <f>IFERROR(__xludf.DUMMYFUNCTION("""COMPUTED_VALUE"""),"Oregon Trail School District 46")</f>
        <v>Oregon Trail School District 46</v>
      </c>
      <c r="M3281" s="6" t="str">
        <f>IFERROR(__xludf.DUMMYFUNCTION("""COMPUTED_VALUE"""),"Kelso Elementary School")</f>
        <v>Kelso Elementary School</v>
      </c>
      <c r="N3281" s="6" t="str">
        <f>IFERROR(__xludf.DUMMYFUNCTION("""COMPUTED_VALUE"""),"")</f>
        <v/>
      </c>
      <c r="O3281" s="87" t="str">
        <f>IFERROR(__xludf.DUMMYFUNCTION("""COMPUTED_VALUE"""),"https://drive.google.com/drive/folders/10T2cTQHqEJZqE-st6uFKPoI?usp=share_link")</f>
        <v>https://drive.google.com/drive/folders/10T2cTQHqEJZqE-st6uFKPoI?usp=share_link</v>
      </c>
      <c r="P3281" s="6" t="str">
        <f>IFERROR(__xludf.DUMMYFUNCTION("""COMPUTED_VALUE"""),"Harper Brandon")</f>
        <v>Harper Brandon</v>
      </c>
      <c r="Q3281" s="6" t="str">
        <f>IFERROR(__xludf.DUMMYFUNCTION("""COMPUTED_VALUE"""),"L2")</f>
        <v>L2</v>
      </c>
      <c r="R3281" s="6">
        <f>IFERROR(__xludf.DUMMYFUNCTION("""COMPUTED_VALUE"""),2.0)</f>
        <v>2</v>
      </c>
      <c r="S3281" s="6" t="str">
        <f>IFERROR(__xludf.DUMMYFUNCTION("""COMPUTED_VALUE"""),"Nicole Sellin")</f>
        <v>Nicole Sellin</v>
      </c>
      <c r="T3281" s="6" t="str">
        <f>IFERROR(__xludf.DUMMYFUNCTION("""COMPUTED_VALUE"""),"nicole.sellin@ortrail.k12.or.us")</f>
        <v>nicole.sellin@ortrail.k12.or.us</v>
      </c>
      <c r="U3281" s="6" t="str">
        <f>IFERROR(__xludf.DUMMYFUNCTION("""COMPUTED_VALUE"""),"5")</f>
        <v>5</v>
      </c>
      <c r="V3281" s="6" t="str">
        <f>IFERROR(__xludf.DUMMYFUNCTION("""COMPUTED_VALUE"""),"English")</f>
        <v>English</v>
      </c>
      <c r="W3281" s="6" t="str">
        <f>IFERROR(__xludf.DUMMYFUNCTION("""COMPUTED_VALUE"""),"[]")</f>
        <v>[]</v>
      </c>
      <c r="X3281" s="6" t="str">
        <f>IFERROR(__xludf.DUMMYFUNCTION("""COMPUTED_VALUE"""),"Enrolled")</f>
        <v>Enrolled</v>
      </c>
    </row>
    <row r="3282">
      <c r="A3282" s="6" t="str">
        <f>IFERROR(__xludf.DUMMYFUNCTION("""COMPUTED_VALUE"""),"064-6152")</f>
        <v>064-6152</v>
      </c>
      <c r="B3282" s="6" t="str">
        <f>IFERROR(__xludf.DUMMYFUNCTION("""COMPUTED_VALUE"""),"64")</f>
        <v>64</v>
      </c>
      <c r="C3282" s="6" t="str">
        <f>IFERROR(__xludf.DUMMYFUNCTION("""COMPUTED_VALUE"""),"6152")</f>
        <v>6152</v>
      </c>
      <c r="D3282" s="6" t="str">
        <f>IFERROR(__xludf.DUMMYFUNCTION("""COMPUTED_VALUE"""),"Abigail")</f>
        <v>Abigail</v>
      </c>
      <c r="E3282" s="6" t="str">
        <f>IFERROR(__xludf.DUMMYFUNCTION("""COMPUTED_VALUE"""),"")</f>
        <v/>
      </c>
      <c r="F3282" s="6" t="str">
        <f>IFERROR(__xludf.DUMMYFUNCTION("""COMPUTED_VALUE"""),"Corum")</f>
        <v>Corum</v>
      </c>
      <c r="G3282" s="6" t="str">
        <f>IFERROR(__xludf.DUMMYFUNCTION("""COMPUTED_VALUE"""),"08/26/2015")</f>
        <v>08/26/2015</v>
      </c>
      <c r="H3282" s="6" t="str">
        <f>IFERROR(__xludf.DUMMYFUNCTION("""COMPUTED_VALUE"""),"Self Identify")</f>
        <v>Self Identify</v>
      </c>
      <c r="I3282" s="6" t="str">
        <f>IFERROR(__xludf.DUMMYFUNCTION("""COMPUTED_VALUE"""),"Level 2")</f>
        <v>Level 2</v>
      </c>
      <c r="J3282" s="6" t="str">
        <f>IFERROR(__xludf.DUMMYFUNCTION("""COMPUTED_VALUE"""),"5")</f>
        <v>5</v>
      </c>
      <c r="K3282" s="6" t="str">
        <f>IFERROR(__xludf.DUMMYFUNCTION("""COMPUTED_VALUE"""),"abigail_corum@stu.ortrail.k12.or.us")</f>
        <v>abigail_corum@stu.ortrail.k12.or.us</v>
      </c>
      <c r="L3282" s="6" t="str">
        <f>IFERROR(__xludf.DUMMYFUNCTION("""COMPUTED_VALUE"""),"Oregon Trail School District 46")</f>
        <v>Oregon Trail School District 46</v>
      </c>
      <c r="M3282" s="6" t="str">
        <f>IFERROR(__xludf.DUMMYFUNCTION("""COMPUTED_VALUE"""),"Kelso Elementary School")</f>
        <v>Kelso Elementary School</v>
      </c>
      <c r="N3282" s="6" t="str">
        <f>IFERROR(__xludf.DUMMYFUNCTION("""COMPUTED_VALUE"""),"")</f>
        <v/>
      </c>
      <c r="O3282" s="87" t="str">
        <f>IFERROR(__xludf.DUMMYFUNCTION("""COMPUTED_VALUE"""),"https://drive.google.com/drive/folders/10T2cTQHqEJZqE-st6uFKPoI?usp=share_link")</f>
        <v>https://drive.google.com/drive/folders/10T2cTQHqEJZqE-st6uFKPoI?usp=share_link</v>
      </c>
      <c r="P3282" s="6" t="str">
        <f>IFERROR(__xludf.DUMMYFUNCTION("""COMPUTED_VALUE"""),"Abigail Corum")</f>
        <v>Abigail Corum</v>
      </c>
      <c r="Q3282" s="6" t="str">
        <f>IFERROR(__xludf.DUMMYFUNCTION("""COMPUTED_VALUE"""),"L2")</f>
        <v>L2</v>
      </c>
      <c r="R3282" s="6">
        <f>IFERROR(__xludf.DUMMYFUNCTION("""COMPUTED_VALUE"""),2.0)</f>
        <v>2</v>
      </c>
      <c r="S3282" s="6" t="str">
        <f>IFERROR(__xludf.DUMMYFUNCTION("""COMPUTED_VALUE"""),"Nicole Sellin")</f>
        <v>Nicole Sellin</v>
      </c>
      <c r="T3282" s="6" t="str">
        <f>IFERROR(__xludf.DUMMYFUNCTION("""COMPUTED_VALUE"""),"nicole.sellin@ortrail.k12.or.us")</f>
        <v>nicole.sellin@ortrail.k12.or.us</v>
      </c>
      <c r="U3282" s="6" t="str">
        <f>IFERROR(__xludf.DUMMYFUNCTION("""COMPUTED_VALUE"""),"5")</f>
        <v>5</v>
      </c>
      <c r="V3282" s="6" t="str">
        <f>IFERROR(__xludf.DUMMYFUNCTION("""COMPUTED_VALUE"""),"English")</f>
        <v>English</v>
      </c>
      <c r="W3282" s="6" t="str">
        <f>IFERROR(__xludf.DUMMYFUNCTION("""COMPUTED_VALUE"""),"[]")</f>
        <v>[]</v>
      </c>
      <c r="X3282" s="6" t="str">
        <f>IFERROR(__xludf.DUMMYFUNCTION("""COMPUTED_VALUE"""),"Enrolled")</f>
        <v>Enrolled</v>
      </c>
    </row>
    <row r="3283">
      <c r="A3283" s="6" t="str">
        <f>IFERROR(__xludf.DUMMYFUNCTION("""COMPUTED_VALUE"""),"064-6153")</f>
        <v>064-6153</v>
      </c>
      <c r="B3283" s="6" t="str">
        <f>IFERROR(__xludf.DUMMYFUNCTION("""COMPUTED_VALUE"""),"64")</f>
        <v>64</v>
      </c>
      <c r="C3283" s="6" t="str">
        <f>IFERROR(__xludf.DUMMYFUNCTION("""COMPUTED_VALUE"""),"6153")</f>
        <v>6153</v>
      </c>
      <c r="D3283" s="6" t="str">
        <f>IFERROR(__xludf.DUMMYFUNCTION("""COMPUTED_VALUE"""),"Mililani")</f>
        <v>Mililani</v>
      </c>
      <c r="E3283" s="6" t="str">
        <f>IFERROR(__xludf.DUMMYFUNCTION("""COMPUTED_VALUE"""),"")</f>
        <v/>
      </c>
      <c r="F3283" s="6" t="str">
        <f>IFERROR(__xludf.DUMMYFUNCTION("""COMPUTED_VALUE"""),"Cox")</f>
        <v>Cox</v>
      </c>
      <c r="G3283" s="6" t="str">
        <f>IFERROR(__xludf.DUMMYFUNCTION("""COMPUTED_VALUE"""),"09/09/2015")</f>
        <v>09/09/2015</v>
      </c>
      <c r="H3283" s="6" t="str">
        <f>IFERROR(__xludf.DUMMYFUNCTION("""COMPUTED_VALUE"""),"Self Identify")</f>
        <v>Self Identify</v>
      </c>
      <c r="I3283" s="6" t="str">
        <f>IFERROR(__xludf.DUMMYFUNCTION("""COMPUTED_VALUE"""),"Level 2")</f>
        <v>Level 2</v>
      </c>
      <c r="J3283" s="6" t="str">
        <f>IFERROR(__xludf.DUMMYFUNCTION("""COMPUTED_VALUE"""),"5")</f>
        <v>5</v>
      </c>
      <c r="K3283" s="6" t="str">
        <f>IFERROR(__xludf.DUMMYFUNCTION("""COMPUTED_VALUE"""),"mili_cox@stu.ortrail.k12.or.us")</f>
        <v>mili_cox@stu.ortrail.k12.or.us</v>
      </c>
      <c r="L3283" s="6" t="str">
        <f>IFERROR(__xludf.DUMMYFUNCTION("""COMPUTED_VALUE"""),"Oregon Trail School District 46")</f>
        <v>Oregon Trail School District 46</v>
      </c>
      <c r="M3283" s="6" t="str">
        <f>IFERROR(__xludf.DUMMYFUNCTION("""COMPUTED_VALUE"""),"Kelso Elementary School")</f>
        <v>Kelso Elementary School</v>
      </c>
      <c r="N3283" s="6" t="str">
        <f>IFERROR(__xludf.DUMMYFUNCTION("""COMPUTED_VALUE"""),"")</f>
        <v/>
      </c>
      <c r="O3283" s="87" t="str">
        <f>IFERROR(__xludf.DUMMYFUNCTION("""COMPUTED_VALUE"""),"https://drive.google.com/drive/folders/10T2cTQHqEJZqE-st6uFKPoI?usp=share_link")</f>
        <v>https://drive.google.com/drive/folders/10T2cTQHqEJZqE-st6uFKPoI?usp=share_link</v>
      </c>
      <c r="P3283" s="6" t="str">
        <f>IFERROR(__xludf.DUMMYFUNCTION("""COMPUTED_VALUE"""),"Mililani Cox")</f>
        <v>Mililani Cox</v>
      </c>
      <c r="Q3283" s="6" t="str">
        <f>IFERROR(__xludf.DUMMYFUNCTION("""COMPUTED_VALUE"""),"L2")</f>
        <v>L2</v>
      </c>
      <c r="R3283" s="6">
        <f>IFERROR(__xludf.DUMMYFUNCTION("""COMPUTED_VALUE"""),2.0)</f>
        <v>2</v>
      </c>
      <c r="S3283" s="6" t="str">
        <f>IFERROR(__xludf.DUMMYFUNCTION("""COMPUTED_VALUE"""),"Jessica Minch")</f>
        <v>Jessica Minch</v>
      </c>
      <c r="T3283" s="6" t="str">
        <f>IFERROR(__xludf.DUMMYFUNCTION("""COMPUTED_VALUE"""),"jessica.minch@ortrail.k12.or.us")</f>
        <v>jessica.minch@ortrail.k12.or.us</v>
      </c>
      <c r="U3283" s="6" t="str">
        <f>IFERROR(__xludf.DUMMYFUNCTION("""COMPUTED_VALUE"""),"5")</f>
        <v>5</v>
      </c>
      <c r="V3283" s="6" t="str">
        <f>IFERROR(__xludf.DUMMYFUNCTION("""COMPUTED_VALUE"""),"English")</f>
        <v>English</v>
      </c>
      <c r="W3283" s="6" t="str">
        <f>IFERROR(__xludf.DUMMYFUNCTION("""COMPUTED_VALUE"""),"[]")</f>
        <v>[]</v>
      </c>
      <c r="X3283" s="6" t="str">
        <f>IFERROR(__xludf.DUMMYFUNCTION("""COMPUTED_VALUE"""),"Enrolled")</f>
        <v>Enrolled</v>
      </c>
    </row>
    <row r="3284">
      <c r="A3284" s="6" t="str">
        <f>IFERROR(__xludf.DUMMYFUNCTION("""COMPUTED_VALUE"""),"064-6154")</f>
        <v>064-6154</v>
      </c>
      <c r="B3284" s="6" t="str">
        <f>IFERROR(__xludf.DUMMYFUNCTION("""COMPUTED_VALUE"""),"64")</f>
        <v>64</v>
      </c>
      <c r="C3284" s="6" t="str">
        <f>IFERROR(__xludf.DUMMYFUNCTION("""COMPUTED_VALUE"""),"6154")</f>
        <v>6154</v>
      </c>
      <c r="D3284" s="6" t="str">
        <f>IFERROR(__xludf.DUMMYFUNCTION("""COMPUTED_VALUE"""),"Elsie")</f>
        <v>Elsie</v>
      </c>
      <c r="E3284" s="6" t="str">
        <f>IFERROR(__xludf.DUMMYFUNCTION("""COMPUTED_VALUE"""),"")</f>
        <v/>
      </c>
      <c r="F3284" s="6" t="str">
        <f>IFERROR(__xludf.DUMMYFUNCTION("""COMPUTED_VALUE"""),"Cramer")</f>
        <v>Cramer</v>
      </c>
      <c r="G3284" s="6" t="str">
        <f>IFERROR(__xludf.DUMMYFUNCTION("""COMPUTED_VALUE"""),"03/29/2015")</f>
        <v>03/29/2015</v>
      </c>
      <c r="H3284" s="6" t="str">
        <f>IFERROR(__xludf.DUMMYFUNCTION("""COMPUTED_VALUE"""),"Self Identify")</f>
        <v>Self Identify</v>
      </c>
      <c r="I3284" s="6" t="str">
        <f>IFERROR(__xludf.DUMMYFUNCTION("""COMPUTED_VALUE"""),"Level 2")</f>
        <v>Level 2</v>
      </c>
      <c r="J3284" s="6" t="str">
        <f>IFERROR(__xludf.DUMMYFUNCTION("""COMPUTED_VALUE"""),"5")</f>
        <v>5</v>
      </c>
      <c r="K3284" s="6" t="str">
        <f>IFERROR(__xludf.DUMMYFUNCTION("""COMPUTED_VALUE"""),"elsie_cramer@stu.ortrail.k12.or.us")</f>
        <v>elsie_cramer@stu.ortrail.k12.or.us</v>
      </c>
      <c r="L3284" s="6" t="str">
        <f>IFERROR(__xludf.DUMMYFUNCTION("""COMPUTED_VALUE"""),"Oregon Trail School District 46")</f>
        <v>Oregon Trail School District 46</v>
      </c>
      <c r="M3284" s="6" t="str">
        <f>IFERROR(__xludf.DUMMYFUNCTION("""COMPUTED_VALUE"""),"Kelso Elementary School")</f>
        <v>Kelso Elementary School</v>
      </c>
      <c r="N3284" s="6" t="str">
        <f>IFERROR(__xludf.DUMMYFUNCTION("""COMPUTED_VALUE"""),"")</f>
        <v/>
      </c>
      <c r="O3284" s="87" t="str">
        <f>IFERROR(__xludf.DUMMYFUNCTION("""COMPUTED_VALUE"""),"https://drive.google.com/drive/folders/10T2cTQHqEJZqE-st6uFKPoI?usp=share_link")</f>
        <v>https://drive.google.com/drive/folders/10T2cTQHqEJZqE-st6uFKPoI?usp=share_link</v>
      </c>
      <c r="P3284" s="6" t="str">
        <f>IFERROR(__xludf.DUMMYFUNCTION("""COMPUTED_VALUE"""),"Elsie Cramer")</f>
        <v>Elsie Cramer</v>
      </c>
      <c r="Q3284" s="6" t="str">
        <f>IFERROR(__xludf.DUMMYFUNCTION("""COMPUTED_VALUE"""),"L2")</f>
        <v>L2</v>
      </c>
      <c r="R3284" s="6">
        <f>IFERROR(__xludf.DUMMYFUNCTION("""COMPUTED_VALUE"""),2.0)</f>
        <v>2</v>
      </c>
      <c r="S3284" s="6" t="str">
        <f>IFERROR(__xludf.DUMMYFUNCTION("""COMPUTED_VALUE"""),"Nicole Sellin")</f>
        <v>Nicole Sellin</v>
      </c>
      <c r="T3284" s="6" t="str">
        <f>IFERROR(__xludf.DUMMYFUNCTION("""COMPUTED_VALUE"""),"nicole.sellin@ortrail.k12.or.us")</f>
        <v>nicole.sellin@ortrail.k12.or.us</v>
      </c>
      <c r="U3284" s="6" t="str">
        <f>IFERROR(__xludf.DUMMYFUNCTION("""COMPUTED_VALUE"""),"5")</f>
        <v>5</v>
      </c>
      <c r="V3284" s="6" t="str">
        <f>IFERROR(__xludf.DUMMYFUNCTION("""COMPUTED_VALUE"""),"English")</f>
        <v>English</v>
      </c>
      <c r="W3284" s="6" t="str">
        <f>IFERROR(__xludf.DUMMYFUNCTION("""COMPUTED_VALUE"""),"[]")</f>
        <v>[]</v>
      </c>
      <c r="X3284" s="6" t="str">
        <f>IFERROR(__xludf.DUMMYFUNCTION("""COMPUTED_VALUE"""),"Enrolled")</f>
        <v>Enrolled</v>
      </c>
    </row>
    <row r="3285">
      <c r="A3285" s="6" t="str">
        <f>IFERROR(__xludf.DUMMYFUNCTION("""COMPUTED_VALUE"""),"064-6155")</f>
        <v>064-6155</v>
      </c>
      <c r="B3285" s="6" t="str">
        <f>IFERROR(__xludf.DUMMYFUNCTION("""COMPUTED_VALUE"""),"64")</f>
        <v>64</v>
      </c>
      <c r="C3285" s="6" t="str">
        <f>IFERROR(__xludf.DUMMYFUNCTION("""COMPUTED_VALUE"""),"6155")</f>
        <v>6155</v>
      </c>
      <c r="D3285" s="6" t="str">
        <f>IFERROR(__xludf.DUMMYFUNCTION("""COMPUTED_VALUE"""),"Easton")</f>
        <v>Easton</v>
      </c>
      <c r="E3285" s="6" t="str">
        <f>IFERROR(__xludf.DUMMYFUNCTION("""COMPUTED_VALUE"""),"")</f>
        <v/>
      </c>
      <c r="F3285" s="6" t="str">
        <f>IFERROR(__xludf.DUMMYFUNCTION("""COMPUTED_VALUE"""),"Earley")</f>
        <v>Earley</v>
      </c>
      <c r="G3285" s="6" t="str">
        <f>IFERROR(__xludf.DUMMYFUNCTION("""COMPUTED_VALUE"""),"07/02/2015")</f>
        <v>07/02/2015</v>
      </c>
      <c r="H3285" s="6" t="str">
        <f>IFERROR(__xludf.DUMMYFUNCTION("""COMPUTED_VALUE"""),"Self Identify")</f>
        <v>Self Identify</v>
      </c>
      <c r="I3285" s="6" t="str">
        <f>IFERROR(__xludf.DUMMYFUNCTION("""COMPUTED_VALUE"""),"Level 2")</f>
        <v>Level 2</v>
      </c>
      <c r="J3285" s="6" t="str">
        <f>IFERROR(__xludf.DUMMYFUNCTION("""COMPUTED_VALUE"""),"5")</f>
        <v>5</v>
      </c>
      <c r="K3285" s="6" t="str">
        <f>IFERROR(__xludf.DUMMYFUNCTION("""COMPUTED_VALUE"""),"easton_earley@stu.ortrail.k12.or.us")</f>
        <v>easton_earley@stu.ortrail.k12.or.us</v>
      </c>
      <c r="L3285" s="6" t="str">
        <f>IFERROR(__xludf.DUMMYFUNCTION("""COMPUTED_VALUE"""),"Oregon Trail School District 46")</f>
        <v>Oregon Trail School District 46</v>
      </c>
      <c r="M3285" s="6" t="str">
        <f>IFERROR(__xludf.DUMMYFUNCTION("""COMPUTED_VALUE"""),"Kelso Elementary School")</f>
        <v>Kelso Elementary School</v>
      </c>
      <c r="N3285" s="6" t="str">
        <f>IFERROR(__xludf.DUMMYFUNCTION("""COMPUTED_VALUE"""),"")</f>
        <v/>
      </c>
      <c r="O3285" s="87" t="str">
        <f>IFERROR(__xludf.DUMMYFUNCTION("""COMPUTED_VALUE"""),"https://drive.google.com/drive/folders/10T2cTQHqEJZqE-st6uFKPoI?usp=share_link")</f>
        <v>https://drive.google.com/drive/folders/10T2cTQHqEJZqE-st6uFKPoI?usp=share_link</v>
      </c>
      <c r="P3285" s="6" t="str">
        <f>IFERROR(__xludf.DUMMYFUNCTION("""COMPUTED_VALUE"""),"Easton Earley")</f>
        <v>Easton Earley</v>
      </c>
      <c r="Q3285" s="6" t="str">
        <f>IFERROR(__xludf.DUMMYFUNCTION("""COMPUTED_VALUE"""),"L2")</f>
        <v>L2</v>
      </c>
      <c r="R3285" s="6">
        <f>IFERROR(__xludf.DUMMYFUNCTION("""COMPUTED_VALUE"""),2.0)</f>
        <v>2</v>
      </c>
      <c r="S3285" s="6" t="str">
        <f>IFERROR(__xludf.DUMMYFUNCTION("""COMPUTED_VALUE"""),"Nicole Sellin")</f>
        <v>Nicole Sellin</v>
      </c>
      <c r="T3285" s="6" t="str">
        <f>IFERROR(__xludf.DUMMYFUNCTION("""COMPUTED_VALUE"""),"nicole.sellin@ortrail.k12.or.us")</f>
        <v>nicole.sellin@ortrail.k12.or.us</v>
      </c>
      <c r="U3285" s="6" t="str">
        <f>IFERROR(__xludf.DUMMYFUNCTION("""COMPUTED_VALUE"""),"5")</f>
        <v>5</v>
      </c>
      <c r="V3285" s="6" t="str">
        <f>IFERROR(__xludf.DUMMYFUNCTION("""COMPUTED_VALUE"""),"English")</f>
        <v>English</v>
      </c>
      <c r="W3285" s="6" t="str">
        <f>IFERROR(__xludf.DUMMYFUNCTION("""COMPUTED_VALUE"""),"[]")</f>
        <v>[]</v>
      </c>
      <c r="X3285" s="6" t="str">
        <f>IFERROR(__xludf.DUMMYFUNCTION("""COMPUTED_VALUE"""),"Enrolled")</f>
        <v>Enrolled</v>
      </c>
    </row>
    <row r="3286">
      <c r="A3286" s="6" t="str">
        <f>IFERROR(__xludf.DUMMYFUNCTION("""COMPUTED_VALUE"""),"064-6157")</f>
        <v>064-6157</v>
      </c>
      <c r="B3286" s="6" t="str">
        <f>IFERROR(__xludf.DUMMYFUNCTION("""COMPUTED_VALUE"""),"64")</f>
        <v>64</v>
      </c>
      <c r="C3286" s="6" t="str">
        <f>IFERROR(__xludf.DUMMYFUNCTION("""COMPUTED_VALUE"""),"6157")</f>
        <v>6157</v>
      </c>
      <c r="D3286" s="6" t="str">
        <f>IFERROR(__xludf.DUMMYFUNCTION("""COMPUTED_VALUE"""),"Kylie")</f>
        <v>Kylie</v>
      </c>
      <c r="E3286" s="6" t="str">
        <f>IFERROR(__xludf.DUMMYFUNCTION("""COMPUTED_VALUE"""),"")</f>
        <v/>
      </c>
      <c r="F3286" s="6" t="str">
        <f>IFERROR(__xludf.DUMMYFUNCTION("""COMPUTED_VALUE"""),"Fisher")</f>
        <v>Fisher</v>
      </c>
      <c r="G3286" s="6" t="str">
        <f>IFERROR(__xludf.DUMMYFUNCTION("""COMPUTED_VALUE"""),"05/17/2015")</f>
        <v>05/17/2015</v>
      </c>
      <c r="H3286" s="6" t="str">
        <f>IFERROR(__xludf.DUMMYFUNCTION("""COMPUTED_VALUE"""),"Self Identify")</f>
        <v>Self Identify</v>
      </c>
      <c r="I3286" s="6" t="str">
        <f>IFERROR(__xludf.DUMMYFUNCTION("""COMPUTED_VALUE"""),"Level 2")</f>
        <v>Level 2</v>
      </c>
      <c r="J3286" s="6" t="str">
        <f>IFERROR(__xludf.DUMMYFUNCTION("""COMPUTED_VALUE"""),"5")</f>
        <v>5</v>
      </c>
      <c r="K3286" s="6" t="str">
        <f>IFERROR(__xludf.DUMMYFUNCTION("""COMPUTED_VALUE"""),"kylie_fisher@stu.ortrail.k12.or.us")</f>
        <v>kylie_fisher@stu.ortrail.k12.or.us</v>
      </c>
      <c r="L3286" s="6" t="str">
        <f>IFERROR(__xludf.DUMMYFUNCTION("""COMPUTED_VALUE"""),"Oregon Trail School District 46")</f>
        <v>Oregon Trail School District 46</v>
      </c>
      <c r="M3286" s="6" t="str">
        <f>IFERROR(__xludf.DUMMYFUNCTION("""COMPUTED_VALUE"""),"Kelso Elementary School")</f>
        <v>Kelso Elementary School</v>
      </c>
      <c r="N3286" s="6" t="str">
        <f>IFERROR(__xludf.DUMMYFUNCTION("""COMPUTED_VALUE"""),"")</f>
        <v/>
      </c>
      <c r="O3286" s="87" t="str">
        <f>IFERROR(__xludf.DUMMYFUNCTION("""COMPUTED_VALUE"""),"https://drive.google.com/drive/folders/10T2cTQHqEJZqE-st6uFKPoI?usp=share_link")</f>
        <v>https://drive.google.com/drive/folders/10T2cTQHqEJZqE-st6uFKPoI?usp=share_link</v>
      </c>
      <c r="P3286" s="6" t="str">
        <f>IFERROR(__xludf.DUMMYFUNCTION("""COMPUTED_VALUE"""),"Kylie Fisher")</f>
        <v>Kylie Fisher</v>
      </c>
      <c r="Q3286" s="6" t="str">
        <f>IFERROR(__xludf.DUMMYFUNCTION("""COMPUTED_VALUE"""),"L2")</f>
        <v>L2</v>
      </c>
      <c r="R3286" s="6">
        <f>IFERROR(__xludf.DUMMYFUNCTION("""COMPUTED_VALUE"""),2.0)</f>
        <v>2</v>
      </c>
      <c r="S3286" s="6" t="str">
        <f>IFERROR(__xludf.DUMMYFUNCTION("""COMPUTED_VALUE"""),"Nicole Sellin")</f>
        <v>Nicole Sellin</v>
      </c>
      <c r="T3286" s="6" t="str">
        <f>IFERROR(__xludf.DUMMYFUNCTION("""COMPUTED_VALUE"""),"nicole.sellin@ortrail.k12.or.us")</f>
        <v>nicole.sellin@ortrail.k12.or.us</v>
      </c>
      <c r="U3286" s="6" t="str">
        <f>IFERROR(__xludf.DUMMYFUNCTION("""COMPUTED_VALUE"""),"5")</f>
        <v>5</v>
      </c>
      <c r="V3286" s="6" t="str">
        <f>IFERROR(__xludf.DUMMYFUNCTION("""COMPUTED_VALUE"""),"English")</f>
        <v>English</v>
      </c>
      <c r="W3286" s="6" t="str">
        <f>IFERROR(__xludf.DUMMYFUNCTION("""COMPUTED_VALUE"""),"[]")</f>
        <v>[]</v>
      </c>
      <c r="X3286" s="6" t="str">
        <f>IFERROR(__xludf.DUMMYFUNCTION("""COMPUTED_VALUE"""),"Enrolled")</f>
        <v>Enrolled</v>
      </c>
    </row>
    <row r="3287">
      <c r="A3287" s="6" t="str">
        <f>IFERROR(__xludf.DUMMYFUNCTION("""COMPUTED_VALUE"""),"064-6158")</f>
        <v>064-6158</v>
      </c>
      <c r="B3287" s="6" t="str">
        <f>IFERROR(__xludf.DUMMYFUNCTION("""COMPUTED_VALUE"""),"64")</f>
        <v>64</v>
      </c>
      <c r="C3287" s="6" t="str">
        <f>IFERROR(__xludf.DUMMYFUNCTION("""COMPUTED_VALUE"""),"6158")</f>
        <v>6158</v>
      </c>
      <c r="D3287" s="6" t="str">
        <f>IFERROR(__xludf.DUMMYFUNCTION("""COMPUTED_VALUE"""),"Morgan")</f>
        <v>Morgan</v>
      </c>
      <c r="E3287" s="6" t="str">
        <f>IFERROR(__xludf.DUMMYFUNCTION("""COMPUTED_VALUE"""),"")</f>
        <v/>
      </c>
      <c r="F3287" s="6" t="str">
        <f>IFERROR(__xludf.DUMMYFUNCTION("""COMPUTED_VALUE"""),"Frank")</f>
        <v>Frank</v>
      </c>
      <c r="G3287" s="6" t="str">
        <f>IFERROR(__xludf.DUMMYFUNCTION("""COMPUTED_VALUE"""),"09/13/2014")</f>
        <v>09/13/2014</v>
      </c>
      <c r="H3287" s="6" t="str">
        <f>IFERROR(__xludf.DUMMYFUNCTION("""COMPUTED_VALUE"""),"Self Identify")</f>
        <v>Self Identify</v>
      </c>
      <c r="I3287" s="6" t="str">
        <f>IFERROR(__xludf.DUMMYFUNCTION("""COMPUTED_VALUE"""),"Level 2")</f>
        <v>Level 2</v>
      </c>
      <c r="J3287" s="6" t="str">
        <f>IFERROR(__xludf.DUMMYFUNCTION("""COMPUTED_VALUE"""),"5")</f>
        <v>5</v>
      </c>
      <c r="K3287" s="6" t="str">
        <f>IFERROR(__xludf.DUMMYFUNCTION("""COMPUTED_VALUE"""),"morgan_frank@stu.ortrail.k12.or.us")</f>
        <v>morgan_frank@stu.ortrail.k12.or.us</v>
      </c>
      <c r="L3287" s="6" t="str">
        <f>IFERROR(__xludf.DUMMYFUNCTION("""COMPUTED_VALUE"""),"Oregon Trail School District 46")</f>
        <v>Oregon Trail School District 46</v>
      </c>
      <c r="M3287" s="6" t="str">
        <f>IFERROR(__xludf.DUMMYFUNCTION("""COMPUTED_VALUE"""),"Kelso Elementary School")</f>
        <v>Kelso Elementary School</v>
      </c>
      <c r="N3287" s="6" t="str">
        <f>IFERROR(__xludf.DUMMYFUNCTION("""COMPUTED_VALUE"""),"")</f>
        <v/>
      </c>
      <c r="O3287" s="87" t="str">
        <f>IFERROR(__xludf.DUMMYFUNCTION("""COMPUTED_VALUE"""),"https://drive.google.com/drive/folders/10T2cTQHqEJZqE-st6uFKPoI?usp=share_link")</f>
        <v>https://drive.google.com/drive/folders/10T2cTQHqEJZqE-st6uFKPoI?usp=share_link</v>
      </c>
      <c r="P3287" s="6" t="str">
        <f>IFERROR(__xludf.DUMMYFUNCTION("""COMPUTED_VALUE"""),"Morgan Frank")</f>
        <v>Morgan Frank</v>
      </c>
      <c r="Q3287" s="6" t="str">
        <f>IFERROR(__xludf.DUMMYFUNCTION("""COMPUTED_VALUE"""),"L2")</f>
        <v>L2</v>
      </c>
      <c r="R3287" s="6">
        <f>IFERROR(__xludf.DUMMYFUNCTION("""COMPUTED_VALUE"""),2.0)</f>
        <v>2</v>
      </c>
      <c r="S3287" s="6" t="str">
        <f>IFERROR(__xludf.DUMMYFUNCTION("""COMPUTED_VALUE"""),"Jessica Minch")</f>
        <v>Jessica Minch</v>
      </c>
      <c r="T3287" s="6" t="str">
        <f>IFERROR(__xludf.DUMMYFUNCTION("""COMPUTED_VALUE"""),"jessica.minch@ortrail.k12.or.us")</f>
        <v>jessica.minch@ortrail.k12.or.us</v>
      </c>
      <c r="U3287" s="6" t="str">
        <f>IFERROR(__xludf.DUMMYFUNCTION("""COMPUTED_VALUE"""),"5")</f>
        <v>5</v>
      </c>
      <c r="V3287" s="6" t="str">
        <f>IFERROR(__xludf.DUMMYFUNCTION("""COMPUTED_VALUE"""),"English")</f>
        <v>English</v>
      </c>
      <c r="W3287" s="6" t="str">
        <f>IFERROR(__xludf.DUMMYFUNCTION("""COMPUTED_VALUE"""),"[]")</f>
        <v>[]</v>
      </c>
      <c r="X3287" s="6" t="str">
        <f>IFERROR(__xludf.DUMMYFUNCTION("""COMPUTED_VALUE"""),"Enrolled")</f>
        <v>Enrolled</v>
      </c>
    </row>
    <row r="3288">
      <c r="A3288" s="6" t="str">
        <f>IFERROR(__xludf.DUMMYFUNCTION("""COMPUTED_VALUE"""),"064-6159")</f>
        <v>064-6159</v>
      </c>
      <c r="B3288" s="6" t="str">
        <f>IFERROR(__xludf.DUMMYFUNCTION("""COMPUTED_VALUE"""),"64")</f>
        <v>64</v>
      </c>
      <c r="C3288" s="6" t="str">
        <f>IFERROR(__xludf.DUMMYFUNCTION("""COMPUTED_VALUE"""),"6159")</f>
        <v>6159</v>
      </c>
      <c r="D3288" s="6" t="str">
        <f>IFERROR(__xludf.DUMMYFUNCTION("""COMPUTED_VALUE"""),"Aubrey")</f>
        <v>Aubrey</v>
      </c>
      <c r="E3288" s="6" t="str">
        <f>IFERROR(__xludf.DUMMYFUNCTION("""COMPUTED_VALUE"""),"")</f>
        <v/>
      </c>
      <c r="F3288" s="6" t="str">
        <f>IFERROR(__xludf.DUMMYFUNCTION("""COMPUTED_VALUE"""),"Fuller")</f>
        <v>Fuller</v>
      </c>
      <c r="G3288" s="6" t="str">
        <f>IFERROR(__xludf.DUMMYFUNCTION("""COMPUTED_VALUE"""),"12/09/2014")</f>
        <v>12/09/2014</v>
      </c>
      <c r="H3288" s="6" t="str">
        <f>IFERROR(__xludf.DUMMYFUNCTION("""COMPUTED_VALUE"""),"Self Identify")</f>
        <v>Self Identify</v>
      </c>
      <c r="I3288" s="6" t="str">
        <f>IFERROR(__xludf.DUMMYFUNCTION("""COMPUTED_VALUE"""),"Level 2")</f>
        <v>Level 2</v>
      </c>
      <c r="J3288" s="6" t="str">
        <f>IFERROR(__xludf.DUMMYFUNCTION("""COMPUTED_VALUE"""),"5")</f>
        <v>5</v>
      </c>
      <c r="K3288" s="6" t="str">
        <f>IFERROR(__xludf.DUMMYFUNCTION("""COMPUTED_VALUE"""),"aubrey_fuller@stu.ortrail.k12.or.us")</f>
        <v>aubrey_fuller@stu.ortrail.k12.or.us</v>
      </c>
      <c r="L3288" s="6" t="str">
        <f>IFERROR(__xludf.DUMMYFUNCTION("""COMPUTED_VALUE"""),"Oregon Trail School District 46")</f>
        <v>Oregon Trail School District 46</v>
      </c>
      <c r="M3288" s="6" t="str">
        <f>IFERROR(__xludf.DUMMYFUNCTION("""COMPUTED_VALUE"""),"Kelso Elementary School")</f>
        <v>Kelso Elementary School</v>
      </c>
      <c r="N3288" s="6" t="str">
        <f>IFERROR(__xludf.DUMMYFUNCTION("""COMPUTED_VALUE"""),"")</f>
        <v/>
      </c>
      <c r="O3288" s="87" t="str">
        <f>IFERROR(__xludf.DUMMYFUNCTION("""COMPUTED_VALUE"""),"https://drive.google.com/drive/folders/10T2cTQHqEJZqE-st6uFKPoI?usp=share_link")</f>
        <v>https://drive.google.com/drive/folders/10T2cTQHqEJZqE-st6uFKPoI?usp=share_link</v>
      </c>
      <c r="P3288" s="6" t="str">
        <f>IFERROR(__xludf.DUMMYFUNCTION("""COMPUTED_VALUE"""),"Aubrey Fuller")</f>
        <v>Aubrey Fuller</v>
      </c>
      <c r="Q3288" s="6" t="str">
        <f>IFERROR(__xludf.DUMMYFUNCTION("""COMPUTED_VALUE"""),"L2")</f>
        <v>L2</v>
      </c>
      <c r="R3288" s="6">
        <f>IFERROR(__xludf.DUMMYFUNCTION("""COMPUTED_VALUE"""),2.0)</f>
        <v>2</v>
      </c>
      <c r="S3288" s="6" t="str">
        <f>IFERROR(__xludf.DUMMYFUNCTION("""COMPUTED_VALUE"""),"Nicole Sellin")</f>
        <v>Nicole Sellin</v>
      </c>
      <c r="T3288" s="6" t="str">
        <f>IFERROR(__xludf.DUMMYFUNCTION("""COMPUTED_VALUE"""),"nicole.sellin@ortrail.k12.or.us")</f>
        <v>nicole.sellin@ortrail.k12.or.us</v>
      </c>
      <c r="U3288" s="6" t="str">
        <f>IFERROR(__xludf.DUMMYFUNCTION("""COMPUTED_VALUE"""),"5")</f>
        <v>5</v>
      </c>
      <c r="V3288" s="6" t="str">
        <f>IFERROR(__xludf.DUMMYFUNCTION("""COMPUTED_VALUE"""),"English")</f>
        <v>English</v>
      </c>
      <c r="W3288" s="6" t="str">
        <f>IFERROR(__xludf.DUMMYFUNCTION("""COMPUTED_VALUE"""),"[]")</f>
        <v>[]</v>
      </c>
      <c r="X3288" s="6" t="str">
        <f>IFERROR(__xludf.DUMMYFUNCTION("""COMPUTED_VALUE"""),"Enrolled")</f>
        <v>Enrolled</v>
      </c>
    </row>
    <row r="3289">
      <c r="A3289" s="6" t="str">
        <f>IFERROR(__xludf.DUMMYFUNCTION("""COMPUTED_VALUE"""),"064-6160")</f>
        <v>064-6160</v>
      </c>
      <c r="B3289" s="6" t="str">
        <f>IFERROR(__xludf.DUMMYFUNCTION("""COMPUTED_VALUE"""),"64")</f>
        <v>64</v>
      </c>
      <c r="C3289" s="6" t="str">
        <f>IFERROR(__xludf.DUMMYFUNCTION("""COMPUTED_VALUE"""),"6160")</f>
        <v>6160</v>
      </c>
      <c r="D3289" s="6" t="str">
        <f>IFERROR(__xludf.DUMMYFUNCTION("""COMPUTED_VALUE"""),"Miguel")</f>
        <v>Miguel</v>
      </c>
      <c r="E3289" s="6" t="str">
        <f>IFERROR(__xludf.DUMMYFUNCTION("""COMPUTED_VALUE"""),"")</f>
        <v/>
      </c>
      <c r="F3289" s="6" t="str">
        <f>IFERROR(__xludf.DUMMYFUNCTION("""COMPUTED_VALUE"""),"Gallegos Marin")</f>
        <v>Gallegos Marin</v>
      </c>
      <c r="G3289" s="6" t="str">
        <f>IFERROR(__xludf.DUMMYFUNCTION("""COMPUTED_VALUE"""),"09/24/2015")</f>
        <v>09/24/2015</v>
      </c>
      <c r="H3289" s="6" t="str">
        <f>IFERROR(__xludf.DUMMYFUNCTION("""COMPUTED_VALUE"""),"Self Identify")</f>
        <v>Self Identify</v>
      </c>
      <c r="I3289" s="6" t="str">
        <f>IFERROR(__xludf.DUMMYFUNCTION("""COMPUTED_VALUE"""),"Level 2")</f>
        <v>Level 2</v>
      </c>
      <c r="J3289" s="6" t="str">
        <f>IFERROR(__xludf.DUMMYFUNCTION("""COMPUTED_VALUE"""),"5")</f>
        <v>5</v>
      </c>
      <c r="K3289" s="6" t="str">
        <f>IFERROR(__xludf.DUMMYFUNCTION("""COMPUTED_VALUE"""),"eduardo_gallegosmari@stu.ortrail.k12.or.us")</f>
        <v>eduardo_gallegosmari@stu.ortrail.k12.or.us</v>
      </c>
      <c r="L3289" s="6" t="str">
        <f>IFERROR(__xludf.DUMMYFUNCTION("""COMPUTED_VALUE"""),"Oregon Trail School District 46")</f>
        <v>Oregon Trail School District 46</v>
      </c>
      <c r="M3289" s="6" t="str">
        <f>IFERROR(__xludf.DUMMYFUNCTION("""COMPUTED_VALUE"""),"Kelso Elementary School")</f>
        <v>Kelso Elementary School</v>
      </c>
      <c r="N3289" s="6" t="str">
        <f>IFERROR(__xludf.DUMMYFUNCTION("""COMPUTED_VALUE"""),"")</f>
        <v/>
      </c>
      <c r="O3289" s="87" t="str">
        <f>IFERROR(__xludf.DUMMYFUNCTION("""COMPUTED_VALUE"""),"https://drive.google.com/drive/folders/10T2cTQHqEJZqE-st6uFKPoI?usp=share_link")</f>
        <v>https://drive.google.com/drive/folders/10T2cTQHqEJZqE-st6uFKPoI?usp=share_link</v>
      </c>
      <c r="P3289" s="6" t="str">
        <f>IFERROR(__xludf.DUMMYFUNCTION("""COMPUTED_VALUE"""),"Miguel Gallegos Marin")</f>
        <v>Miguel Gallegos Marin</v>
      </c>
      <c r="Q3289" s="6" t="str">
        <f>IFERROR(__xludf.DUMMYFUNCTION("""COMPUTED_VALUE"""),"L2")</f>
        <v>L2</v>
      </c>
      <c r="R3289" s="6">
        <f>IFERROR(__xludf.DUMMYFUNCTION("""COMPUTED_VALUE"""),2.0)</f>
        <v>2</v>
      </c>
      <c r="S3289" s="6" t="str">
        <f>IFERROR(__xludf.DUMMYFUNCTION("""COMPUTED_VALUE"""),"Jessica Minch")</f>
        <v>Jessica Minch</v>
      </c>
      <c r="T3289" s="6" t="str">
        <f>IFERROR(__xludf.DUMMYFUNCTION("""COMPUTED_VALUE"""),"jessica.minch@ortrail.k12.or.us")</f>
        <v>jessica.minch@ortrail.k12.or.us</v>
      </c>
      <c r="U3289" s="6" t="str">
        <f>IFERROR(__xludf.DUMMYFUNCTION("""COMPUTED_VALUE"""),"5")</f>
        <v>5</v>
      </c>
      <c r="V3289" s="6" t="str">
        <f>IFERROR(__xludf.DUMMYFUNCTION("""COMPUTED_VALUE"""),"English")</f>
        <v>English</v>
      </c>
      <c r="W3289" s="6" t="str">
        <f>IFERROR(__xludf.DUMMYFUNCTION("""COMPUTED_VALUE"""),"[]")</f>
        <v>[]</v>
      </c>
      <c r="X3289" s="6" t="str">
        <f>IFERROR(__xludf.DUMMYFUNCTION("""COMPUTED_VALUE"""),"Enrolled")</f>
        <v>Enrolled</v>
      </c>
    </row>
    <row r="3290">
      <c r="A3290" s="6" t="str">
        <f>IFERROR(__xludf.DUMMYFUNCTION("""COMPUTED_VALUE"""),"064-6161")</f>
        <v>064-6161</v>
      </c>
      <c r="B3290" s="6" t="str">
        <f>IFERROR(__xludf.DUMMYFUNCTION("""COMPUTED_VALUE"""),"64")</f>
        <v>64</v>
      </c>
      <c r="C3290" s="6" t="str">
        <f>IFERROR(__xludf.DUMMYFUNCTION("""COMPUTED_VALUE"""),"6161")</f>
        <v>6161</v>
      </c>
      <c r="D3290" s="6" t="str">
        <f>IFERROR(__xludf.DUMMYFUNCTION("""COMPUTED_VALUE"""),"Kennedy")</f>
        <v>Kennedy</v>
      </c>
      <c r="E3290" s="6" t="str">
        <f>IFERROR(__xludf.DUMMYFUNCTION("""COMPUTED_VALUE"""),"")</f>
        <v/>
      </c>
      <c r="F3290" s="6" t="str">
        <f>IFERROR(__xludf.DUMMYFUNCTION("""COMPUTED_VALUE"""),"Graham")</f>
        <v>Graham</v>
      </c>
      <c r="G3290" s="6" t="str">
        <f>IFERROR(__xludf.DUMMYFUNCTION("""COMPUTED_VALUE"""),"07/18/2015")</f>
        <v>07/18/2015</v>
      </c>
      <c r="H3290" s="6" t="str">
        <f>IFERROR(__xludf.DUMMYFUNCTION("""COMPUTED_VALUE"""),"Self Identify")</f>
        <v>Self Identify</v>
      </c>
      <c r="I3290" s="6" t="str">
        <f>IFERROR(__xludf.DUMMYFUNCTION("""COMPUTED_VALUE"""),"Level 2")</f>
        <v>Level 2</v>
      </c>
      <c r="J3290" s="6" t="str">
        <f>IFERROR(__xludf.DUMMYFUNCTION("""COMPUTED_VALUE"""),"5")</f>
        <v>5</v>
      </c>
      <c r="K3290" s="6" t="str">
        <f>IFERROR(__xludf.DUMMYFUNCTION("""COMPUTED_VALUE"""),"kennedy_graham@stu.ortrail.k12.or.us")</f>
        <v>kennedy_graham@stu.ortrail.k12.or.us</v>
      </c>
      <c r="L3290" s="6" t="str">
        <f>IFERROR(__xludf.DUMMYFUNCTION("""COMPUTED_VALUE"""),"Oregon Trail School District 46")</f>
        <v>Oregon Trail School District 46</v>
      </c>
      <c r="M3290" s="6" t="str">
        <f>IFERROR(__xludf.DUMMYFUNCTION("""COMPUTED_VALUE"""),"Kelso Elementary School")</f>
        <v>Kelso Elementary School</v>
      </c>
      <c r="N3290" s="6" t="str">
        <f>IFERROR(__xludf.DUMMYFUNCTION("""COMPUTED_VALUE"""),"")</f>
        <v/>
      </c>
      <c r="O3290" s="87" t="str">
        <f>IFERROR(__xludf.DUMMYFUNCTION("""COMPUTED_VALUE"""),"https://drive.google.com/drive/folders/10T2cTQHqEJZqE-st6uFKPoI?usp=share_link")</f>
        <v>https://drive.google.com/drive/folders/10T2cTQHqEJZqE-st6uFKPoI?usp=share_link</v>
      </c>
      <c r="P3290" s="6" t="str">
        <f>IFERROR(__xludf.DUMMYFUNCTION("""COMPUTED_VALUE"""),"Kennedy Graham")</f>
        <v>Kennedy Graham</v>
      </c>
      <c r="Q3290" s="6" t="str">
        <f>IFERROR(__xludf.DUMMYFUNCTION("""COMPUTED_VALUE"""),"L2")</f>
        <v>L2</v>
      </c>
      <c r="R3290" s="6">
        <f>IFERROR(__xludf.DUMMYFUNCTION("""COMPUTED_VALUE"""),2.0)</f>
        <v>2</v>
      </c>
      <c r="S3290" s="6" t="str">
        <f>IFERROR(__xludf.DUMMYFUNCTION("""COMPUTED_VALUE"""),"Jessica Minch")</f>
        <v>Jessica Minch</v>
      </c>
      <c r="T3290" s="6" t="str">
        <f>IFERROR(__xludf.DUMMYFUNCTION("""COMPUTED_VALUE"""),"jessica.minch@ortrail.k12.or.us")</f>
        <v>jessica.minch@ortrail.k12.or.us</v>
      </c>
      <c r="U3290" s="6" t="str">
        <f>IFERROR(__xludf.DUMMYFUNCTION("""COMPUTED_VALUE"""),"5")</f>
        <v>5</v>
      </c>
      <c r="V3290" s="6" t="str">
        <f>IFERROR(__xludf.DUMMYFUNCTION("""COMPUTED_VALUE"""),"English")</f>
        <v>English</v>
      </c>
      <c r="W3290" s="6" t="str">
        <f>IFERROR(__xludf.DUMMYFUNCTION("""COMPUTED_VALUE"""),"[]")</f>
        <v>[]</v>
      </c>
      <c r="X3290" s="6" t="str">
        <f>IFERROR(__xludf.DUMMYFUNCTION("""COMPUTED_VALUE"""),"Enrolled")</f>
        <v>Enrolled</v>
      </c>
    </row>
    <row r="3291">
      <c r="A3291" s="6" t="str">
        <f>IFERROR(__xludf.DUMMYFUNCTION("""COMPUTED_VALUE"""),"064-6162")</f>
        <v>064-6162</v>
      </c>
      <c r="B3291" s="6" t="str">
        <f>IFERROR(__xludf.DUMMYFUNCTION("""COMPUTED_VALUE"""),"64")</f>
        <v>64</v>
      </c>
      <c r="C3291" s="6" t="str">
        <f>IFERROR(__xludf.DUMMYFUNCTION("""COMPUTED_VALUE"""),"6162")</f>
        <v>6162</v>
      </c>
      <c r="D3291" s="6" t="str">
        <f>IFERROR(__xludf.DUMMYFUNCTION("""COMPUTED_VALUE"""),"Chloe")</f>
        <v>Chloe</v>
      </c>
      <c r="E3291" s="6" t="str">
        <f>IFERROR(__xludf.DUMMYFUNCTION("""COMPUTED_VALUE"""),"")</f>
        <v/>
      </c>
      <c r="F3291" s="6" t="str">
        <f>IFERROR(__xludf.DUMMYFUNCTION("""COMPUTED_VALUE"""),"Gregg")</f>
        <v>Gregg</v>
      </c>
      <c r="G3291" s="6" t="str">
        <f>IFERROR(__xludf.DUMMYFUNCTION("""COMPUTED_VALUE"""),"11/02/2014")</f>
        <v>11/02/2014</v>
      </c>
      <c r="H3291" s="6" t="str">
        <f>IFERROR(__xludf.DUMMYFUNCTION("""COMPUTED_VALUE"""),"Self Identify")</f>
        <v>Self Identify</v>
      </c>
      <c r="I3291" s="6" t="str">
        <f>IFERROR(__xludf.DUMMYFUNCTION("""COMPUTED_VALUE"""),"Level 2")</f>
        <v>Level 2</v>
      </c>
      <c r="J3291" s="6" t="str">
        <f>IFERROR(__xludf.DUMMYFUNCTION("""COMPUTED_VALUE"""),"5")</f>
        <v>5</v>
      </c>
      <c r="K3291" s="6" t="str">
        <f>IFERROR(__xludf.DUMMYFUNCTION("""COMPUTED_VALUE"""),"chloe_gregg@stu.ortrail.k12.or.us")</f>
        <v>chloe_gregg@stu.ortrail.k12.or.us</v>
      </c>
      <c r="L3291" s="6" t="str">
        <f>IFERROR(__xludf.DUMMYFUNCTION("""COMPUTED_VALUE"""),"Oregon Trail School District 46")</f>
        <v>Oregon Trail School District 46</v>
      </c>
      <c r="M3291" s="6" t="str">
        <f>IFERROR(__xludf.DUMMYFUNCTION("""COMPUTED_VALUE"""),"Kelso Elementary School")</f>
        <v>Kelso Elementary School</v>
      </c>
      <c r="N3291" s="6" t="str">
        <f>IFERROR(__xludf.DUMMYFUNCTION("""COMPUTED_VALUE"""),"")</f>
        <v/>
      </c>
      <c r="O3291" s="87" t="str">
        <f>IFERROR(__xludf.DUMMYFUNCTION("""COMPUTED_VALUE"""),"https://drive.google.com/drive/folders/10T2cTQHqEJZqE-st6uFKPoI?usp=share_link")</f>
        <v>https://drive.google.com/drive/folders/10T2cTQHqEJZqE-st6uFKPoI?usp=share_link</v>
      </c>
      <c r="P3291" s="6" t="str">
        <f>IFERROR(__xludf.DUMMYFUNCTION("""COMPUTED_VALUE"""),"Chloe Gregg")</f>
        <v>Chloe Gregg</v>
      </c>
      <c r="Q3291" s="6" t="str">
        <f>IFERROR(__xludf.DUMMYFUNCTION("""COMPUTED_VALUE"""),"L2")</f>
        <v>L2</v>
      </c>
      <c r="R3291" s="6">
        <f>IFERROR(__xludf.DUMMYFUNCTION("""COMPUTED_VALUE"""),2.0)</f>
        <v>2</v>
      </c>
      <c r="S3291" s="6" t="str">
        <f>IFERROR(__xludf.DUMMYFUNCTION("""COMPUTED_VALUE"""),"Nicole Sellin")</f>
        <v>Nicole Sellin</v>
      </c>
      <c r="T3291" s="6" t="str">
        <f>IFERROR(__xludf.DUMMYFUNCTION("""COMPUTED_VALUE"""),"nicole.sellin@ortrail.k12.or.us")</f>
        <v>nicole.sellin@ortrail.k12.or.us</v>
      </c>
      <c r="U3291" s="6" t="str">
        <f>IFERROR(__xludf.DUMMYFUNCTION("""COMPUTED_VALUE"""),"5")</f>
        <v>5</v>
      </c>
      <c r="V3291" s="6" t="str">
        <f>IFERROR(__xludf.DUMMYFUNCTION("""COMPUTED_VALUE"""),"English")</f>
        <v>English</v>
      </c>
      <c r="W3291" s="6" t="str">
        <f>IFERROR(__xludf.DUMMYFUNCTION("""COMPUTED_VALUE"""),"[]")</f>
        <v>[]</v>
      </c>
      <c r="X3291" s="6" t="str">
        <f>IFERROR(__xludf.DUMMYFUNCTION("""COMPUTED_VALUE"""),"Enrolled")</f>
        <v>Enrolled</v>
      </c>
    </row>
    <row r="3292">
      <c r="A3292" s="6" t="str">
        <f>IFERROR(__xludf.DUMMYFUNCTION("""COMPUTED_VALUE"""),"064-6163")</f>
        <v>064-6163</v>
      </c>
      <c r="B3292" s="6" t="str">
        <f>IFERROR(__xludf.DUMMYFUNCTION("""COMPUTED_VALUE"""),"64")</f>
        <v>64</v>
      </c>
      <c r="C3292" s="6" t="str">
        <f>IFERROR(__xludf.DUMMYFUNCTION("""COMPUTED_VALUE"""),"6163")</f>
        <v>6163</v>
      </c>
      <c r="D3292" s="6" t="str">
        <f>IFERROR(__xludf.DUMMYFUNCTION("""COMPUTED_VALUE"""),"Emily")</f>
        <v>Emily</v>
      </c>
      <c r="E3292" s="6" t="str">
        <f>IFERROR(__xludf.DUMMYFUNCTION("""COMPUTED_VALUE"""),"")</f>
        <v/>
      </c>
      <c r="F3292" s="6" t="str">
        <f>IFERROR(__xludf.DUMMYFUNCTION("""COMPUTED_VALUE"""),"Gregg")</f>
        <v>Gregg</v>
      </c>
      <c r="G3292" s="6" t="str">
        <f>IFERROR(__xludf.DUMMYFUNCTION("""COMPUTED_VALUE"""),"11/02/2014")</f>
        <v>11/02/2014</v>
      </c>
      <c r="H3292" s="6" t="str">
        <f>IFERROR(__xludf.DUMMYFUNCTION("""COMPUTED_VALUE"""),"F")</f>
        <v>F</v>
      </c>
      <c r="I3292" s="6" t="str">
        <f>IFERROR(__xludf.DUMMYFUNCTION("""COMPUTED_VALUE"""),"Level 2")</f>
        <v>Level 2</v>
      </c>
      <c r="J3292" s="6" t="str">
        <f>IFERROR(__xludf.DUMMYFUNCTION("""COMPUTED_VALUE"""),"5")</f>
        <v>5</v>
      </c>
      <c r="K3292" s="6" t="str">
        <f>IFERROR(__xludf.DUMMYFUNCTION("""COMPUTED_VALUE"""),"emily_gregg@stu.ortrail.k12.or.us")</f>
        <v>emily_gregg@stu.ortrail.k12.or.us</v>
      </c>
      <c r="L3292" s="6" t="str">
        <f>IFERROR(__xludf.DUMMYFUNCTION("""COMPUTED_VALUE"""),"Oregon Trail School District 46")</f>
        <v>Oregon Trail School District 46</v>
      </c>
      <c r="M3292" s="6" t="str">
        <f>IFERROR(__xludf.DUMMYFUNCTION("""COMPUTED_VALUE"""),"")</f>
        <v/>
      </c>
      <c r="N3292" s="6" t="str">
        <f>IFERROR(__xludf.DUMMYFUNCTION("""COMPUTED_VALUE"""),"")</f>
        <v/>
      </c>
      <c r="O3292" s="87" t="str">
        <f>IFERROR(__xludf.DUMMYFUNCTION("""COMPUTED_VALUE"""),"https://drive.google.com/drive/folders/10T2cTQHqEJZqE-st6uFKPoI?usp=share_link")</f>
        <v>https://drive.google.com/drive/folders/10T2cTQHqEJZqE-st6uFKPoI?usp=share_link</v>
      </c>
      <c r="P3292" s="6" t="str">
        <f>IFERROR(__xludf.DUMMYFUNCTION("""COMPUTED_VALUE"""),"Emily Gregg")</f>
        <v>Emily Gregg</v>
      </c>
      <c r="Q3292" s="6" t="str">
        <f>IFERROR(__xludf.DUMMYFUNCTION("""COMPUTED_VALUE"""),"L2")</f>
        <v>L2</v>
      </c>
      <c r="R3292" s="6">
        <f>IFERROR(__xludf.DUMMYFUNCTION("""COMPUTED_VALUE"""),2.0)</f>
        <v>2</v>
      </c>
      <c r="S3292" s="6" t="str">
        <f>IFERROR(__xludf.DUMMYFUNCTION("""COMPUTED_VALUE"""),"Genevra Self")</f>
        <v>Genevra Self</v>
      </c>
      <c r="T3292" s="6" t="str">
        <f>IFERROR(__xludf.DUMMYFUNCTION("""COMPUTED_VALUE"""),"genevra.self@studient.com")</f>
        <v>genevra.self@studient.com</v>
      </c>
      <c r="U3292" s="6" t="str">
        <f>IFERROR(__xludf.DUMMYFUNCTION("""COMPUTED_VALUE"""),"5")</f>
        <v>5</v>
      </c>
      <c r="V3292" s="6" t="str">
        <f>IFERROR(__xludf.DUMMYFUNCTION("""COMPUTED_VALUE"""),"English")</f>
        <v>English</v>
      </c>
      <c r="W3292" s="6" t="str">
        <f>IFERROR(__xludf.DUMMYFUNCTION("""COMPUTED_VALUE"""),"[]")</f>
        <v>[]</v>
      </c>
      <c r="X3292" s="6" t="str">
        <f>IFERROR(__xludf.DUMMYFUNCTION("""COMPUTED_VALUE"""),"Enrolled")</f>
        <v>Enrolled</v>
      </c>
    </row>
    <row r="3293">
      <c r="A3293" s="6" t="str">
        <f>IFERROR(__xludf.DUMMYFUNCTION("""COMPUTED_VALUE"""),"064-6164")</f>
        <v>064-6164</v>
      </c>
      <c r="B3293" s="6" t="str">
        <f>IFERROR(__xludf.DUMMYFUNCTION("""COMPUTED_VALUE"""),"64")</f>
        <v>64</v>
      </c>
      <c r="C3293" s="6" t="str">
        <f>IFERROR(__xludf.DUMMYFUNCTION("""COMPUTED_VALUE"""),"6164")</f>
        <v>6164</v>
      </c>
      <c r="D3293" s="6" t="str">
        <f>IFERROR(__xludf.DUMMYFUNCTION("""COMPUTED_VALUE"""),"Ava")</f>
        <v>Ava</v>
      </c>
      <c r="E3293" s="6" t="str">
        <f>IFERROR(__xludf.DUMMYFUNCTION("""COMPUTED_VALUE"""),"")</f>
        <v/>
      </c>
      <c r="F3293" s="6" t="str">
        <f>IFERROR(__xludf.DUMMYFUNCTION("""COMPUTED_VALUE"""),"Grigg")</f>
        <v>Grigg</v>
      </c>
      <c r="G3293" s="6" t="str">
        <f>IFERROR(__xludf.DUMMYFUNCTION("""COMPUTED_VALUE"""),"06/08/2015")</f>
        <v>06/08/2015</v>
      </c>
      <c r="H3293" s="6" t="str">
        <f>IFERROR(__xludf.DUMMYFUNCTION("""COMPUTED_VALUE"""),"Self Identify")</f>
        <v>Self Identify</v>
      </c>
      <c r="I3293" s="6" t="str">
        <f>IFERROR(__xludf.DUMMYFUNCTION("""COMPUTED_VALUE"""),"Level 2")</f>
        <v>Level 2</v>
      </c>
      <c r="J3293" s="6" t="str">
        <f>IFERROR(__xludf.DUMMYFUNCTION("""COMPUTED_VALUE"""),"5")</f>
        <v>5</v>
      </c>
      <c r="K3293" s="6" t="str">
        <f>IFERROR(__xludf.DUMMYFUNCTION("""COMPUTED_VALUE"""),"ava_grigg@stu.ortrail.k12.or.us")</f>
        <v>ava_grigg@stu.ortrail.k12.or.us</v>
      </c>
      <c r="L3293" s="6" t="str">
        <f>IFERROR(__xludf.DUMMYFUNCTION("""COMPUTED_VALUE"""),"Oregon Trail School District 46")</f>
        <v>Oregon Trail School District 46</v>
      </c>
      <c r="M3293" s="6" t="str">
        <f>IFERROR(__xludf.DUMMYFUNCTION("""COMPUTED_VALUE"""),"Kelso Elementary School")</f>
        <v>Kelso Elementary School</v>
      </c>
      <c r="N3293" s="6" t="str">
        <f>IFERROR(__xludf.DUMMYFUNCTION("""COMPUTED_VALUE"""),"")</f>
        <v/>
      </c>
      <c r="O3293" s="87" t="str">
        <f>IFERROR(__xludf.DUMMYFUNCTION("""COMPUTED_VALUE"""),"https://drive.google.com/drive/folders/10T2cTQHqEJZqE-st6uFKPoI?usp=share_link")</f>
        <v>https://drive.google.com/drive/folders/10T2cTQHqEJZqE-st6uFKPoI?usp=share_link</v>
      </c>
      <c r="P3293" s="6" t="str">
        <f>IFERROR(__xludf.DUMMYFUNCTION("""COMPUTED_VALUE"""),"Ava Grigg")</f>
        <v>Ava Grigg</v>
      </c>
      <c r="Q3293" s="6" t="str">
        <f>IFERROR(__xludf.DUMMYFUNCTION("""COMPUTED_VALUE"""),"L2")</f>
        <v>L2</v>
      </c>
      <c r="R3293" s="6">
        <f>IFERROR(__xludf.DUMMYFUNCTION("""COMPUTED_VALUE"""),2.0)</f>
        <v>2</v>
      </c>
      <c r="S3293" s="6" t="str">
        <f>IFERROR(__xludf.DUMMYFUNCTION("""COMPUTED_VALUE"""),"Jessica Minch")</f>
        <v>Jessica Minch</v>
      </c>
      <c r="T3293" s="6" t="str">
        <f>IFERROR(__xludf.DUMMYFUNCTION("""COMPUTED_VALUE"""),"jessica.minch@ortrail.k12.or.us")</f>
        <v>jessica.minch@ortrail.k12.or.us</v>
      </c>
      <c r="U3293" s="6" t="str">
        <f>IFERROR(__xludf.DUMMYFUNCTION("""COMPUTED_VALUE"""),"5")</f>
        <v>5</v>
      </c>
      <c r="V3293" s="6" t="str">
        <f>IFERROR(__xludf.DUMMYFUNCTION("""COMPUTED_VALUE"""),"English")</f>
        <v>English</v>
      </c>
      <c r="W3293" s="6" t="str">
        <f>IFERROR(__xludf.DUMMYFUNCTION("""COMPUTED_VALUE"""),"[]")</f>
        <v>[]</v>
      </c>
      <c r="X3293" s="6" t="str">
        <f>IFERROR(__xludf.DUMMYFUNCTION("""COMPUTED_VALUE"""),"Enrolled")</f>
        <v>Enrolled</v>
      </c>
    </row>
    <row r="3294">
      <c r="A3294" s="6" t="str">
        <f>IFERROR(__xludf.DUMMYFUNCTION("""COMPUTED_VALUE"""),"064-6167")</f>
        <v>064-6167</v>
      </c>
      <c r="B3294" s="6" t="str">
        <f>IFERROR(__xludf.DUMMYFUNCTION("""COMPUTED_VALUE"""),"64")</f>
        <v>64</v>
      </c>
      <c r="C3294" s="6" t="str">
        <f>IFERROR(__xludf.DUMMYFUNCTION("""COMPUTED_VALUE"""),"6167")</f>
        <v>6167</v>
      </c>
      <c r="D3294" s="6" t="str">
        <f>IFERROR(__xludf.DUMMYFUNCTION("""COMPUTED_VALUE"""),"Piper")</f>
        <v>Piper</v>
      </c>
      <c r="E3294" s="6" t="str">
        <f>IFERROR(__xludf.DUMMYFUNCTION("""COMPUTED_VALUE"""),"")</f>
        <v/>
      </c>
      <c r="F3294" s="6" t="str">
        <f>IFERROR(__xludf.DUMMYFUNCTION("""COMPUTED_VALUE"""),"Hadduck")</f>
        <v>Hadduck</v>
      </c>
      <c r="G3294" s="6" t="str">
        <f>IFERROR(__xludf.DUMMYFUNCTION("""COMPUTED_VALUE"""),"09/05/2014")</f>
        <v>09/05/2014</v>
      </c>
      <c r="H3294" s="6" t="str">
        <f>IFERROR(__xludf.DUMMYFUNCTION("""COMPUTED_VALUE"""),"F")</f>
        <v>F</v>
      </c>
      <c r="I3294" s="6" t="str">
        <f>IFERROR(__xludf.DUMMYFUNCTION("""COMPUTED_VALUE"""),"Level 2")</f>
        <v>Level 2</v>
      </c>
      <c r="J3294" s="6" t="str">
        <f>IFERROR(__xludf.DUMMYFUNCTION("""COMPUTED_VALUE"""),"5")</f>
        <v>5</v>
      </c>
      <c r="K3294" s="6" t="str">
        <f>IFERROR(__xludf.DUMMYFUNCTION("""COMPUTED_VALUE"""),"piper_hadduck@stu.ortrail.k12.or.us")</f>
        <v>piper_hadduck@stu.ortrail.k12.or.us</v>
      </c>
      <c r="L3294" s="6" t="str">
        <f>IFERROR(__xludf.DUMMYFUNCTION("""COMPUTED_VALUE"""),"Oregon Trail School District 46")</f>
        <v>Oregon Trail School District 46</v>
      </c>
      <c r="M3294" s="6" t="str">
        <f>IFERROR(__xludf.DUMMYFUNCTION("""COMPUTED_VALUE"""),"")</f>
        <v/>
      </c>
      <c r="N3294" s="6" t="str">
        <f>IFERROR(__xludf.DUMMYFUNCTION("""COMPUTED_VALUE"""),"")</f>
        <v/>
      </c>
      <c r="O3294" s="87" t="str">
        <f>IFERROR(__xludf.DUMMYFUNCTION("""COMPUTED_VALUE"""),"https://drive.google.com/drive/folders/10T2cTQHqEJZqE-st6uFKPoI?usp=share_link")</f>
        <v>https://drive.google.com/drive/folders/10T2cTQHqEJZqE-st6uFKPoI?usp=share_link</v>
      </c>
      <c r="P3294" s="6" t="str">
        <f>IFERROR(__xludf.DUMMYFUNCTION("""COMPUTED_VALUE"""),"Piper Hadduck")</f>
        <v>Piper Hadduck</v>
      </c>
      <c r="Q3294" s="6" t="str">
        <f>IFERROR(__xludf.DUMMYFUNCTION("""COMPUTED_VALUE"""),"L2")</f>
        <v>L2</v>
      </c>
      <c r="R3294" s="6">
        <f>IFERROR(__xludf.DUMMYFUNCTION("""COMPUTED_VALUE"""),2.0)</f>
        <v>2</v>
      </c>
      <c r="S3294" s="6" t="str">
        <f>IFERROR(__xludf.DUMMYFUNCTION("""COMPUTED_VALUE"""),"Genevra Self")</f>
        <v>Genevra Self</v>
      </c>
      <c r="T3294" s="6" t="str">
        <f>IFERROR(__xludf.DUMMYFUNCTION("""COMPUTED_VALUE"""),"genevra.self@studient.com")</f>
        <v>genevra.self@studient.com</v>
      </c>
      <c r="U3294" s="6" t="str">
        <f>IFERROR(__xludf.DUMMYFUNCTION("""COMPUTED_VALUE"""),"5")</f>
        <v>5</v>
      </c>
      <c r="V3294" s="6" t="str">
        <f>IFERROR(__xludf.DUMMYFUNCTION("""COMPUTED_VALUE"""),"English")</f>
        <v>English</v>
      </c>
      <c r="W3294" s="6" t="str">
        <f>IFERROR(__xludf.DUMMYFUNCTION("""COMPUTED_VALUE"""),"[]")</f>
        <v>[]</v>
      </c>
      <c r="X3294" s="6" t="str">
        <f>IFERROR(__xludf.DUMMYFUNCTION("""COMPUTED_VALUE"""),"Enrolled")</f>
        <v>Enrolled</v>
      </c>
    </row>
    <row r="3295">
      <c r="A3295" s="6" t="str">
        <f>IFERROR(__xludf.DUMMYFUNCTION("""COMPUTED_VALUE"""),"064-6169")</f>
        <v>064-6169</v>
      </c>
      <c r="B3295" s="6" t="str">
        <f>IFERROR(__xludf.DUMMYFUNCTION("""COMPUTED_VALUE"""),"64")</f>
        <v>64</v>
      </c>
      <c r="C3295" s="6" t="str">
        <f>IFERROR(__xludf.DUMMYFUNCTION("""COMPUTED_VALUE"""),"6169")</f>
        <v>6169</v>
      </c>
      <c r="D3295" s="6" t="str">
        <f>IFERROR(__xludf.DUMMYFUNCTION("""COMPUTED_VALUE"""),"Finnley")</f>
        <v>Finnley</v>
      </c>
      <c r="E3295" s="6" t="str">
        <f>IFERROR(__xludf.DUMMYFUNCTION("""COMPUTED_VALUE"""),"")</f>
        <v/>
      </c>
      <c r="F3295" s="6" t="str">
        <f>IFERROR(__xludf.DUMMYFUNCTION("""COMPUTED_VALUE"""),"Hedge")</f>
        <v>Hedge</v>
      </c>
      <c r="G3295" s="6" t="str">
        <f>IFERROR(__xludf.DUMMYFUNCTION("""COMPUTED_VALUE"""),"06/16/2015")</f>
        <v>06/16/2015</v>
      </c>
      <c r="H3295" s="6" t="str">
        <f>IFERROR(__xludf.DUMMYFUNCTION("""COMPUTED_VALUE"""),"Self Identify")</f>
        <v>Self Identify</v>
      </c>
      <c r="I3295" s="6" t="str">
        <f>IFERROR(__xludf.DUMMYFUNCTION("""COMPUTED_VALUE"""),"Level 2")</f>
        <v>Level 2</v>
      </c>
      <c r="J3295" s="6" t="str">
        <f>IFERROR(__xludf.DUMMYFUNCTION("""COMPUTED_VALUE"""),"5")</f>
        <v>5</v>
      </c>
      <c r="K3295" s="6" t="str">
        <f>IFERROR(__xludf.DUMMYFUNCTION("""COMPUTED_VALUE"""),"finnley_hedge@stu.ortrail.k12.or.us")</f>
        <v>finnley_hedge@stu.ortrail.k12.or.us</v>
      </c>
      <c r="L3295" s="6" t="str">
        <f>IFERROR(__xludf.DUMMYFUNCTION("""COMPUTED_VALUE"""),"Oregon Trail School District 46")</f>
        <v>Oregon Trail School District 46</v>
      </c>
      <c r="M3295" s="6" t="str">
        <f>IFERROR(__xludf.DUMMYFUNCTION("""COMPUTED_VALUE"""),"Kelso Elementary School")</f>
        <v>Kelso Elementary School</v>
      </c>
      <c r="N3295" s="6" t="str">
        <f>IFERROR(__xludf.DUMMYFUNCTION("""COMPUTED_VALUE"""),"")</f>
        <v/>
      </c>
      <c r="O3295" s="87" t="str">
        <f>IFERROR(__xludf.DUMMYFUNCTION("""COMPUTED_VALUE"""),"https://drive.google.com/drive/folders/10T2cTQHqEJZqE-st6uFKPoI?usp=share_link")</f>
        <v>https://drive.google.com/drive/folders/10T2cTQHqEJZqE-st6uFKPoI?usp=share_link</v>
      </c>
      <c r="P3295" s="6" t="str">
        <f>IFERROR(__xludf.DUMMYFUNCTION("""COMPUTED_VALUE"""),"Finnley Hedge")</f>
        <v>Finnley Hedge</v>
      </c>
      <c r="Q3295" s="6" t="str">
        <f>IFERROR(__xludf.DUMMYFUNCTION("""COMPUTED_VALUE"""),"L2")</f>
        <v>L2</v>
      </c>
      <c r="R3295" s="6">
        <f>IFERROR(__xludf.DUMMYFUNCTION("""COMPUTED_VALUE"""),2.0)</f>
        <v>2</v>
      </c>
      <c r="S3295" s="6" t="str">
        <f>IFERROR(__xludf.DUMMYFUNCTION("""COMPUTED_VALUE"""),"Jessica Minch")</f>
        <v>Jessica Minch</v>
      </c>
      <c r="T3295" s="6" t="str">
        <f>IFERROR(__xludf.DUMMYFUNCTION("""COMPUTED_VALUE"""),"jessica.minch@ortrail.k12.or.us")</f>
        <v>jessica.minch@ortrail.k12.or.us</v>
      </c>
      <c r="U3295" s="6" t="str">
        <f>IFERROR(__xludf.DUMMYFUNCTION("""COMPUTED_VALUE"""),"5")</f>
        <v>5</v>
      </c>
      <c r="V3295" s="6" t="str">
        <f>IFERROR(__xludf.DUMMYFUNCTION("""COMPUTED_VALUE"""),"English")</f>
        <v>English</v>
      </c>
      <c r="W3295" s="6" t="str">
        <f>IFERROR(__xludf.DUMMYFUNCTION("""COMPUTED_VALUE"""),"[]")</f>
        <v>[]</v>
      </c>
      <c r="X3295" s="6" t="str">
        <f>IFERROR(__xludf.DUMMYFUNCTION("""COMPUTED_VALUE"""),"Enrolled")</f>
        <v>Enrolled</v>
      </c>
    </row>
    <row r="3296">
      <c r="A3296" s="6" t="str">
        <f>IFERROR(__xludf.DUMMYFUNCTION("""COMPUTED_VALUE"""),"064-6170")</f>
        <v>064-6170</v>
      </c>
      <c r="B3296" s="6" t="str">
        <f>IFERROR(__xludf.DUMMYFUNCTION("""COMPUTED_VALUE"""),"64")</f>
        <v>64</v>
      </c>
      <c r="C3296" s="6" t="str">
        <f>IFERROR(__xludf.DUMMYFUNCTION("""COMPUTED_VALUE"""),"6170")</f>
        <v>6170</v>
      </c>
      <c r="D3296" s="6" t="str">
        <f>IFERROR(__xludf.DUMMYFUNCTION("""COMPUTED_VALUE"""),"Emma")</f>
        <v>Emma</v>
      </c>
      <c r="E3296" s="6" t="str">
        <f>IFERROR(__xludf.DUMMYFUNCTION("""COMPUTED_VALUE"""),"")</f>
        <v/>
      </c>
      <c r="F3296" s="6" t="str">
        <f>IFERROR(__xludf.DUMMYFUNCTION("""COMPUTED_VALUE"""),"Herrejon")</f>
        <v>Herrejon</v>
      </c>
      <c r="G3296" s="6" t="str">
        <f>IFERROR(__xludf.DUMMYFUNCTION("""COMPUTED_VALUE"""),"06/07/2015")</f>
        <v>06/07/2015</v>
      </c>
      <c r="H3296" s="6" t="str">
        <f>IFERROR(__xludf.DUMMYFUNCTION("""COMPUTED_VALUE"""),"Self Identify")</f>
        <v>Self Identify</v>
      </c>
      <c r="I3296" s="6" t="str">
        <f>IFERROR(__xludf.DUMMYFUNCTION("""COMPUTED_VALUE"""),"Level 2")</f>
        <v>Level 2</v>
      </c>
      <c r="J3296" s="6" t="str">
        <f>IFERROR(__xludf.DUMMYFUNCTION("""COMPUTED_VALUE"""),"5")</f>
        <v>5</v>
      </c>
      <c r="K3296" s="6" t="str">
        <f>IFERROR(__xludf.DUMMYFUNCTION("""COMPUTED_VALUE"""),"emma_herrejon@stu.ortrail.k12.or.us")</f>
        <v>emma_herrejon@stu.ortrail.k12.or.us</v>
      </c>
      <c r="L3296" s="6" t="str">
        <f>IFERROR(__xludf.DUMMYFUNCTION("""COMPUTED_VALUE"""),"Oregon Trail School District 46")</f>
        <v>Oregon Trail School District 46</v>
      </c>
      <c r="M3296" s="6" t="str">
        <f>IFERROR(__xludf.DUMMYFUNCTION("""COMPUTED_VALUE"""),"Kelso Elementary School")</f>
        <v>Kelso Elementary School</v>
      </c>
      <c r="N3296" s="6" t="str">
        <f>IFERROR(__xludf.DUMMYFUNCTION("""COMPUTED_VALUE"""),"")</f>
        <v/>
      </c>
      <c r="O3296" s="87" t="str">
        <f>IFERROR(__xludf.DUMMYFUNCTION("""COMPUTED_VALUE"""),"https://drive.google.com/drive/folders/10T2cTQHqEJZqE-st6uFKPoI?usp=share_link")</f>
        <v>https://drive.google.com/drive/folders/10T2cTQHqEJZqE-st6uFKPoI?usp=share_link</v>
      </c>
      <c r="P3296" s="6" t="str">
        <f>IFERROR(__xludf.DUMMYFUNCTION("""COMPUTED_VALUE"""),"Emma Herrejon")</f>
        <v>Emma Herrejon</v>
      </c>
      <c r="Q3296" s="6" t="str">
        <f>IFERROR(__xludf.DUMMYFUNCTION("""COMPUTED_VALUE"""),"L2")</f>
        <v>L2</v>
      </c>
      <c r="R3296" s="6">
        <f>IFERROR(__xludf.DUMMYFUNCTION("""COMPUTED_VALUE"""),2.0)</f>
        <v>2</v>
      </c>
      <c r="S3296" s="6" t="str">
        <f>IFERROR(__xludf.DUMMYFUNCTION("""COMPUTED_VALUE"""),"Nicole Sellin")</f>
        <v>Nicole Sellin</v>
      </c>
      <c r="T3296" s="6" t="str">
        <f>IFERROR(__xludf.DUMMYFUNCTION("""COMPUTED_VALUE"""),"nicole.sellin@ortrail.k12.or.us")</f>
        <v>nicole.sellin@ortrail.k12.or.us</v>
      </c>
      <c r="U3296" s="6" t="str">
        <f>IFERROR(__xludf.DUMMYFUNCTION("""COMPUTED_VALUE"""),"5")</f>
        <v>5</v>
      </c>
      <c r="V3296" s="6" t="str">
        <f>IFERROR(__xludf.DUMMYFUNCTION("""COMPUTED_VALUE"""),"English")</f>
        <v>English</v>
      </c>
      <c r="W3296" s="6" t="str">
        <f>IFERROR(__xludf.DUMMYFUNCTION("""COMPUTED_VALUE"""),"[]")</f>
        <v>[]</v>
      </c>
      <c r="X3296" s="6" t="str">
        <f>IFERROR(__xludf.DUMMYFUNCTION("""COMPUTED_VALUE"""),"Enrolled")</f>
        <v>Enrolled</v>
      </c>
    </row>
    <row r="3297">
      <c r="A3297" s="6" t="str">
        <f>IFERROR(__xludf.DUMMYFUNCTION("""COMPUTED_VALUE"""),"064-6174")</f>
        <v>064-6174</v>
      </c>
      <c r="B3297" s="6" t="str">
        <f>IFERROR(__xludf.DUMMYFUNCTION("""COMPUTED_VALUE"""),"64")</f>
        <v>64</v>
      </c>
      <c r="C3297" s="6" t="str">
        <f>IFERROR(__xludf.DUMMYFUNCTION("""COMPUTED_VALUE"""),"6174")</f>
        <v>6174</v>
      </c>
      <c r="D3297" s="6" t="str">
        <f>IFERROR(__xludf.DUMMYFUNCTION("""COMPUTED_VALUE"""),"Alessandra")</f>
        <v>Alessandra</v>
      </c>
      <c r="E3297" s="6" t="str">
        <f>IFERROR(__xludf.DUMMYFUNCTION("""COMPUTED_VALUE"""),"")</f>
        <v/>
      </c>
      <c r="F3297" s="6" t="str">
        <f>IFERROR(__xludf.DUMMYFUNCTION("""COMPUTED_VALUE"""),"Juarez-Solano")</f>
        <v>Juarez-Solano</v>
      </c>
      <c r="G3297" s="6" t="str">
        <f>IFERROR(__xludf.DUMMYFUNCTION("""COMPUTED_VALUE"""),"04/22/2015")</f>
        <v>04/22/2015</v>
      </c>
      <c r="H3297" s="6" t="str">
        <f>IFERROR(__xludf.DUMMYFUNCTION("""COMPUTED_VALUE"""),"F")</f>
        <v>F</v>
      </c>
      <c r="I3297" s="6" t="str">
        <f>IFERROR(__xludf.DUMMYFUNCTION("""COMPUTED_VALUE"""),"Level 2")</f>
        <v>Level 2</v>
      </c>
      <c r="J3297" s="6" t="str">
        <f>IFERROR(__xludf.DUMMYFUNCTION("""COMPUTED_VALUE"""),"5")</f>
        <v>5</v>
      </c>
      <c r="K3297" s="6" t="str">
        <f>IFERROR(__xludf.DUMMYFUNCTION("""COMPUTED_VALUE"""),"alessandra_juarezsol@stu.ortrail.k12.or.us")</f>
        <v>alessandra_juarezsol@stu.ortrail.k12.or.us</v>
      </c>
      <c r="L3297" s="6" t="str">
        <f>IFERROR(__xludf.DUMMYFUNCTION("""COMPUTED_VALUE"""),"Oregon Trail School District 46")</f>
        <v>Oregon Trail School District 46</v>
      </c>
      <c r="M3297" s="6" t="str">
        <f>IFERROR(__xludf.DUMMYFUNCTION("""COMPUTED_VALUE"""),"")</f>
        <v/>
      </c>
      <c r="N3297" s="6" t="str">
        <f>IFERROR(__xludf.DUMMYFUNCTION("""COMPUTED_VALUE"""),"")</f>
        <v/>
      </c>
      <c r="O3297" s="87" t="str">
        <f>IFERROR(__xludf.DUMMYFUNCTION("""COMPUTED_VALUE"""),"https://drive.google.com/drive/folders/10T2cTQHqEJZqE-st6uFKPoI?usp=share_link")</f>
        <v>https://drive.google.com/drive/folders/10T2cTQHqEJZqE-st6uFKPoI?usp=share_link</v>
      </c>
      <c r="P3297" s="6" t="str">
        <f>IFERROR(__xludf.DUMMYFUNCTION("""COMPUTED_VALUE"""),"Alessandra Juarez-Solano")</f>
        <v>Alessandra Juarez-Solano</v>
      </c>
      <c r="Q3297" s="6" t="str">
        <f>IFERROR(__xludf.DUMMYFUNCTION("""COMPUTED_VALUE"""),"L2")</f>
        <v>L2</v>
      </c>
      <c r="R3297" s="6">
        <f>IFERROR(__xludf.DUMMYFUNCTION("""COMPUTED_VALUE"""),2.0)</f>
        <v>2</v>
      </c>
      <c r="S3297" s="6" t="str">
        <f>IFERROR(__xludf.DUMMYFUNCTION("""COMPUTED_VALUE"""),"Genevra Self")</f>
        <v>Genevra Self</v>
      </c>
      <c r="T3297" s="6" t="str">
        <f>IFERROR(__xludf.DUMMYFUNCTION("""COMPUTED_VALUE"""),"genevra.self@studient.com")</f>
        <v>genevra.self@studient.com</v>
      </c>
      <c r="U3297" s="6" t="str">
        <f>IFERROR(__xludf.DUMMYFUNCTION("""COMPUTED_VALUE"""),"5")</f>
        <v>5</v>
      </c>
      <c r="V3297" s="6" t="str">
        <f>IFERROR(__xludf.DUMMYFUNCTION("""COMPUTED_VALUE"""),"English")</f>
        <v>English</v>
      </c>
      <c r="W3297" s="6" t="str">
        <f>IFERROR(__xludf.DUMMYFUNCTION("""COMPUTED_VALUE"""),"[]")</f>
        <v>[]</v>
      </c>
      <c r="X3297" s="6" t="str">
        <f>IFERROR(__xludf.DUMMYFUNCTION("""COMPUTED_VALUE"""),"Enrolled")</f>
        <v>Enrolled</v>
      </c>
    </row>
    <row r="3298">
      <c r="A3298" s="6" t="str">
        <f>IFERROR(__xludf.DUMMYFUNCTION("""COMPUTED_VALUE"""),"064-6175")</f>
        <v>064-6175</v>
      </c>
      <c r="B3298" s="6" t="str">
        <f>IFERROR(__xludf.DUMMYFUNCTION("""COMPUTED_VALUE"""),"64")</f>
        <v>64</v>
      </c>
      <c r="C3298" s="6" t="str">
        <f>IFERROR(__xludf.DUMMYFUNCTION("""COMPUTED_VALUE"""),"6175")</f>
        <v>6175</v>
      </c>
      <c r="D3298" s="6" t="str">
        <f>IFERROR(__xludf.DUMMYFUNCTION("""COMPUTED_VALUE"""),"Ezmeray")</f>
        <v>Ezmeray</v>
      </c>
      <c r="E3298" s="6" t="str">
        <f>IFERROR(__xludf.DUMMYFUNCTION("""COMPUTED_VALUE"""),"")</f>
        <v/>
      </c>
      <c r="F3298" s="6" t="str">
        <f>IFERROR(__xludf.DUMMYFUNCTION("""COMPUTED_VALUE"""),"Kellim")</f>
        <v>Kellim</v>
      </c>
      <c r="G3298" s="6" t="str">
        <f>IFERROR(__xludf.DUMMYFUNCTION("""COMPUTED_VALUE"""),"01/23/2015")</f>
        <v>01/23/2015</v>
      </c>
      <c r="H3298" s="6" t="str">
        <f>IFERROR(__xludf.DUMMYFUNCTION("""COMPUTED_VALUE"""),"Self Identify")</f>
        <v>Self Identify</v>
      </c>
      <c r="I3298" s="6" t="str">
        <f>IFERROR(__xludf.DUMMYFUNCTION("""COMPUTED_VALUE"""),"Level 2")</f>
        <v>Level 2</v>
      </c>
      <c r="J3298" s="6" t="str">
        <f>IFERROR(__xludf.DUMMYFUNCTION("""COMPUTED_VALUE"""),"5")</f>
        <v>5</v>
      </c>
      <c r="K3298" s="6" t="str">
        <f>IFERROR(__xludf.DUMMYFUNCTION("""COMPUTED_VALUE"""),"ezmeray_kellim@stu.ortrail.k12.or.us")</f>
        <v>ezmeray_kellim@stu.ortrail.k12.or.us</v>
      </c>
      <c r="L3298" s="6" t="str">
        <f>IFERROR(__xludf.DUMMYFUNCTION("""COMPUTED_VALUE"""),"Oregon Trail School District 46")</f>
        <v>Oregon Trail School District 46</v>
      </c>
      <c r="M3298" s="6" t="str">
        <f>IFERROR(__xludf.DUMMYFUNCTION("""COMPUTED_VALUE"""),"Kelso Elementary School")</f>
        <v>Kelso Elementary School</v>
      </c>
      <c r="N3298" s="6" t="str">
        <f>IFERROR(__xludf.DUMMYFUNCTION("""COMPUTED_VALUE"""),"")</f>
        <v/>
      </c>
      <c r="O3298" s="87" t="str">
        <f>IFERROR(__xludf.DUMMYFUNCTION("""COMPUTED_VALUE"""),"https://drive.google.com/drive/folders/10T2cTQHqEJZqE-st6uFKPoI?usp=share_link")</f>
        <v>https://drive.google.com/drive/folders/10T2cTQHqEJZqE-st6uFKPoI?usp=share_link</v>
      </c>
      <c r="P3298" s="6" t="str">
        <f>IFERROR(__xludf.DUMMYFUNCTION("""COMPUTED_VALUE"""),"Ezmeray Kellim")</f>
        <v>Ezmeray Kellim</v>
      </c>
      <c r="Q3298" s="6" t="str">
        <f>IFERROR(__xludf.DUMMYFUNCTION("""COMPUTED_VALUE"""),"L2")</f>
        <v>L2</v>
      </c>
      <c r="R3298" s="6">
        <f>IFERROR(__xludf.DUMMYFUNCTION("""COMPUTED_VALUE"""),2.0)</f>
        <v>2</v>
      </c>
      <c r="S3298" s="6" t="str">
        <f>IFERROR(__xludf.DUMMYFUNCTION("""COMPUTED_VALUE"""),"Jessica Minch")</f>
        <v>Jessica Minch</v>
      </c>
      <c r="T3298" s="6" t="str">
        <f>IFERROR(__xludf.DUMMYFUNCTION("""COMPUTED_VALUE"""),"jessica.minch@ortrail.k12.or.us")</f>
        <v>jessica.minch@ortrail.k12.or.us</v>
      </c>
      <c r="U3298" s="6" t="str">
        <f>IFERROR(__xludf.DUMMYFUNCTION("""COMPUTED_VALUE"""),"5")</f>
        <v>5</v>
      </c>
      <c r="V3298" s="6" t="str">
        <f>IFERROR(__xludf.DUMMYFUNCTION("""COMPUTED_VALUE"""),"English")</f>
        <v>English</v>
      </c>
      <c r="W3298" s="6" t="str">
        <f>IFERROR(__xludf.DUMMYFUNCTION("""COMPUTED_VALUE"""),"[]")</f>
        <v>[]</v>
      </c>
      <c r="X3298" s="6" t="str">
        <f>IFERROR(__xludf.DUMMYFUNCTION("""COMPUTED_VALUE"""),"Enrolled")</f>
        <v>Enrolled</v>
      </c>
    </row>
    <row r="3299">
      <c r="A3299" s="6" t="str">
        <f>IFERROR(__xludf.DUMMYFUNCTION("""COMPUTED_VALUE"""),"064-6176")</f>
        <v>064-6176</v>
      </c>
      <c r="B3299" s="6" t="str">
        <f>IFERROR(__xludf.DUMMYFUNCTION("""COMPUTED_VALUE"""),"64")</f>
        <v>64</v>
      </c>
      <c r="C3299" s="6" t="str">
        <f>IFERROR(__xludf.DUMMYFUNCTION("""COMPUTED_VALUE"""),"6176")</f>
        <v>6176</v>
      </c>
      <c r="D3299" s="6" t="str">
        <f>IFERROR(__xludf.DUMMYFUNCTION("""COMPUTED_VALUE"""),"Adriell")</f>
        <v>Adriell</v>
      </c>
      <c r="E3299" s="6" t="str">
        <f>IFERROR(__xludf.DUMMYFUNCTION("""COMPUTED_VALUE"""),"")</f>
        <v/>
      </c>
      <c r="F3299" s="6" t="str">
        <f>IFERROR(__xludf.DUMMYFUNCTION("""COMPUTED_VALUE"""),"Kennedy")</f>
        <v>Kennedy</v>
      </c>
      <c r="G3299" s="6" t="str">
        <f>IFERROR(__xludf.DUMMYFUNCTION("""COMPUTED_VALUE"""),"10/21/2014")</f>
        <v>10/21/2014</v>
      </c>
      <c r="H3299" s="6" t="str">
        <f>IFERROR(__xludf.DUMMYFUNCTION("""COMPUTED_VALUE"""),"Self Identify")</f>
        <v>Self Identify</v>
      </c>
      <c r="I3299" s="6" t="str">
        <f>IFERROR(__xludf.DUMMYFUNCTION("""COMPUTED_VALUE"""),"Level 2")</f>
        <v>Level 2</v>
      </c>
      <c r="J3299" s="6" t="str">
        <f>IFERROR(__xludf.DUMMYFUNCTION("""COMPUTED_VALUE"""),"5")</f>
        <v>5</v>
      </c>
      <c r="K3299" s="6" t="str">
        <f>IFERROR(__xludf.DUMMYFUNCTION("""COMPUTED_VALUE"""),"adriell_kennedy@stu.ortrail.k12.or.us")</f>
        <v>adriell_kennedy@stu.ortrail.k12.or.us</v>
      </c>
      <c r="L3299" s="6" t="str">
        <f>IFERROR(__xludf.DUMMYFUNCTION("""COMPUTED_VALUE"""),"Oregon Trail School District 46")</f>
        <v>Oregon Trail School District 46</v>
      </c>
      <c r="M3299" s="6" t="str">
        <f>IFERROR(__xludf.DUMMYFUNCTION("""COMPUTED_VALUE"""),"Kelso Elementary School")</f>
        <v>Kelso Elementary School</v>
      </c>
      <c r="N3299" s="6" t="str">
        <f>IFERROR(__xludf.DUMMYFUNCTION("""COMPUTED_VALUE"""),"")</f>
        <v/>
      </c>
      <c r="O3299" s="87" t="str">
        <f>IFERROR(__xludf.DUMMYFUNCTION("""COMPUTED_VALUE"""),"https://drive.google.com/drive/folders/10T2cTQHqEJZqE-st6uFKPoI?usp=share_link")</f>
        <v>https://drive.google.com/drive/folders/10T2cTQHqEJZqE-st6uFKPoI?usp=share_link</v>
      </c>
      <c r="P3299" s="6" t="str">
        <f>IFERROR(__xludf.DUMMYFUNCTION("""COMPUTED_VALUE"""),"Adriell Kennedy")</f>
        <v>Adriell Kennedy</v>
      </c>
      <c r="Q3299" s="6" t="str">
        <f>IFERROR(__xludf.DUMMYFUNCTION("""COMPUTED_VALUE"""),"L2")</f>
        <v>L2</v>
      </c>
      <c r="R3299" s="6">
        <f>IFERROR(__xludf.DUMMYFUNCTION("""COMPUTED_VALUE"""),2.0)</f>
        <v>2</v>
      </c>
      <c r="S3299" s="6" t="str">
        <f>IFERROR(__xludf.DUMMYFUNCTION("""COMPUTED_VALUE"""),"Nicole Sellin")</f>
        <v>Nicole Sellin</v>
      </c>
      <c r="T3299" s="6" t="str">
        <f>IFERROR(__xludf.DUMMYFUNCTION("""COMPUTED_VALUE"""),"nicole.sellin@ortrail.k12.or.us")</f>
        <v>nicole.sellin@ortrail.k12.or.us</v>
      </c>
      <c r="U3299" s="6" t="str">
        <f>IFERROR(__xludf.DUMMYFUNCTION("""COMPUTED_VALUE"""),"5")</f>
        <v>5</v>
      </c>
      <c r="V3299" s="6" t="str">
        <f>IFERROR(__xludf.DUMMYFUNCTION("""COMPUTED_VALUE"""),"English")</f>
        <v>English</v>
      </c>
      <c r="W3299" s="6" t="str">
        <f>IFERROR(__xludf.DUMMYFUNCTION("""COMPUTED_VALUE"""),"[]")</f>
        <v>[]</v>
      </c>
      <c r="X3299" s="6" t="str">
        <f>IFERROR(__xludf.DUMMYFUNCTION("""COMPUTED_VALUE"""),"Enrolled")</f>
        <v>Enrolled</v>
      </c>
    </row>
    <row r="3300">
      <c r="A3300" s="6" t="str">
        <f>IFERROR(__xludf.DUMMYFUNCTION("""COMPUTED_VALUE"""),"064-6177")</f>
        <v>064-6177</v>
      </c>
      <c r="B3300" s="6" t="str">
        <f>IFERROR(__xludf.DUMMYFUNCTION("""COMPUTED_VALUE"""),"64")</f>
        <v>64</v>
      </c>
      <c r="C3300" s="6" t="str">
        <f>IFERROR(__xludf.DUMMYFUNCTION("""COMPUTED_VALUE"""),"6177")</f>
        <v>6177</v>
      </c>
      <c r="D3300" s="6" t="str">
        <f>IFERROR(__xludf.DUMMYFUNCTION("""COMPUTED_VALUE"""),"Madilyn")</f>
        <v>Madilyn</v>
      </c>
      <c r="E3300" s="6" t="str">
        <f>IFERROR(__xludf.DUMMYFUNCTION("""COMPUTED_VALUE"""),"")</f>
        <v/>
      </c>
      <c r="F3300" s="6" t="str">
        <f>IFERROR(__xludf.DUMMYFUNCTION("""COMPUTED_VALUE"""),"Kimmons")</f>
        <v>Kimmons</v>
      </c>
      <c r="G3300" s="6" t="str">
        <f>IFERROR(__xludf.DUMMYFUNCTION("""COMPUTED_VALUE"""),"09/10/2014")</f>
        <v>09/10/2014</v>
      </c>
      <c r="H3300" s="6" t="str">
        <f>IFERROR(__xludf.DUMMYFUNCTION("""COMPUTED_VALUE"""),"Self Identify")</f>
        <v>Self Identify</v>
      </c>
      <c r="I3300" s="6" t="str">
        <f>IFERROR(__xludf.DUMMYFUNCTION("""COMPUTED_VALUE"""),"Level 2")</f>
        <v>Level 2</v>
      </c>
      <c r="J3300" s="6" t="str">
        <f>IFERROR(__xludf.DUMMYFUNCTION("""COMPUTED_VALUE"""),"5")</f>
        <v>5</v>
      </c>
      <c r="K3300" s="6" t="str">
        <f>IFERROR(__xludf.DUMMYFUNCTION("""COMPUTED_VALUE"""),"madi_kimmons@stu.ortrail.k12.or.us")</f>
        <v>madi_kimmons@stu.ortrail.k12.or.us</v>
      </c>
      <c r="L3300" s="6" t="str">
        <f>IFERROR(__xludf.DUMMYFUNCTION("""COMPUTED_VALUE"""),"Oregon Trail School District 46")</f>
        <v>Oregon Trail School District 46</v>
      </c>
      <c r="M3300" s="6" t="str">
        <f>IFERROR(__xludf.DUMMYFUNCTION("""COMPUTED_VALUE"""),"Kelso Elementary School")</f>
        <v>Kelso Elementary School</v>
      </c>
      <c r="N3300" s="6" t="str">
        <f>IFERROR(__xludf.DUMMYFUNCTION("""COMPUTED_VALUE"""),"")</f>
        <v/>
      </c>
      <c r="O3300" s="87" t="str">
        <f>IFERROR(__xludf.DUMMYFUNCTION("""COMPUTED_VALUE"""),"https://drive.google.com/drive/folders/10T2cTQHqEJZqE-st6uFKPoI?usp=share_link")</f>
        <v>https://drive.google.com/drive/folders/10T2cTQHqEJZqE-st6uFKPoI?usp=share_link</v>
      </c>
      <c r="P3300" s="6" t="str">
        <f>IFERROR(__xludf.DUMMYFUNCTION("""COMPUTED_VALUE"""),"Madilyn Kimmons")</f>
        <v>Madilyn Kimmons</v>
      </c>
      <c r="Q3300" s="6" t="str">
        <f>IFERROR(__xludf.DUMMYFUNCTION("""COMPUTED_VALUE"""),"L2")</f>
        <v>L2</v>
      </c>
      <c r="R3300" s="6">
        <f>IFERROR(__xludf.DUMMYFUNCTION("""COMPUTED_VALUE"""),2.0)</f>
        <v>2</v>
      </c>
      <c r="S3300" s="6" t="str">
        <f>IFERROR(__xludf.DUMMYFUNCTION("""COMPUTED_VALUE"""),"Nicole Sellin")</f>
        <v>Nicole Sellin</v>
      </c>
      <c r="T3300" s="6" t="str">
        <f>IFERROR(__xludf.DUMMYFUNCTION("""COMPUTED_VALUE"""),"nicole.sellin@ortrail.k12.or.us")</f>
        <v>nicole.sellin@ortrail.k12.or.us</v>
      </c>
      <c r="U3300" s="6" t="str">
        <f>IFERROR(__xludf.DUMMYFUNCTION("""COMPUTED_VALUE"""),"5")</f>
        <v>5</v>
      </c>
      <c r="V3300" s="6" t="str">
        <f>IFERROR(__xludf.DUMMYFUNCTION("""COMPUTED_VALUE"""),"English")</f>
        <v>English</v>
      </c>
      <c r="W3300" s="6" t="str">
        <f>IFERROR(__xludf.DUMMYFUNCTION("""COMPUTED_VALUE"""),"[]")</f>
        <v>[]</v>
      </c>
      <c r="X3300" s="6" t="str">
        <f>IFERROR(__xludf.DUMMYFUNCTION("""COMPUTED_VALUE"""),"Enrolled")</f>
        <v>Enrolled</v>
      </c>
    </row>
    <row r="3301">
      <c r="A3301" s="6" t="str">
        <f>IFERROR(__xludf.DUMMYFUNCTION("""COMPUTED_VALUE"""),"064-6178")</f>
        <v>064-6178</v>
      </c>
      <c r="B3301" s="6" t="str">
        <f>IFERROR(__xludf.DUMMYFUNCTION("""COMPUTED_VALUE"""),"64")</f>
        <v>64</v>
      </c>
      <c r="C3301" s="6" t="str">
        <f>IFERROR(__xludf.DUMMYFUNCTION("""COMPUTED_VALUE"""),"6178")</f>
        <v>6178</v>
      </c>
      <c r="D3301" s="6" t="str">
        <f>IFERROR(__xludf.DUMMYFUNCTION("""COMPUTED_VALUE"""),"Genevieve")</f>
        <v>Genevieve</v>
      </c>
      <c r="E3301" s="6" t="str">
        <f>IFERROR(__xludf.DUMMYFUNCTION("""COMPUTED_VALUE"""),"")</f>
        <v/>
      </c>
      <c r="F3301" s="6" t="str">
        <f>IFERROR(__xludf.DUMMYFUNCTION("""COMPUTED_VALUE"""),"LeFlore")</f>
        <v>LeFlore</v>
      </c>
      <c r="G3301" s="6" t="str">
        <f>IFERROR(__xludf.DUMMYFUNCTION("""COMPUTED_VALUE"""),"04/07/2015")</f>
        <v>04/07/2015</v>
      </c>
      <c r="H3301" s="6" t="str">
        <f>IFERROR(__xludf.DUMMYFUNCTION("""COMPUTED_VALUE"""),"Self Identify")</f>
        <v>Self Identify</v>
      </c>
      <c r="I3301" s="6" t="str">
        <f>IFERROR(__xludf.DUMMYFUNCTION("""COMPUTED_VALUE"""),"Level 2")</f>
        <v>Level 2</v>
      </c>
      <c r="J3301" s="6" t="str">
        <f>IFERROR(__xludf.DUMMYFUNCTION("""COMPUTED_VALUE"""),"5")</f>
        <v>5</v>
      </c>
      <c r="K3301" s="6" t="str">
        <f>IFERROR(__xludf.DUMMYFUNCTION("""COMPUTED_VALUE"""),"genevieve_leflore@stu.ortrail.k12.or.us")</f>
        <v>genevieve_leflore@stu.ortrail.k12.or.us</v>
      </c>
      <c r="L3301" s="6" t="str">
        <f>IFERROR(__xludf.DUMMYFUNCTION("""COMPUTED_VALUE"""),"Oregon Trail School District 46")</f>
        <v>Oregon Trail School District 46</v>
      </c>
      <c r="M3301" s="6" t="str">
        <f>IFERROR(__xludf.DUMMYFUNCTION("""COMPUTED_VALUE"""),"Kelso Elementary School")</f>
        <v>Kelso Elementary School</v>
      </c>
      <c r="N3301" s="6" t="str">
        <f>IFERROR(__xludf.DUMMYFUNCTION("""COMPUTED_VALUE"""),"")</f>
        <v/>
      </c>
      <c r="O3301" s="87" t="str">
        <f>IFERROR(__xludf.DUMMYFUNCTION("""COMPUTED_VALUE"""),"https://drive.google.com/drive/folders/10T2cTQHqEJZqE-st6uFKPoI?usp=share_link")</f>
        <v>https://drive.google.com/drive/folders/10T2cTQHqEJZqE-st6uFKPoI?usp=share_link</v>
      </c>
      <c r="P3301" s="6" t="str">
        <f>IFERROR(__xludf.DUMMYFUNCTION("""COMPUTED_VALUE"""),"Genevieve LeFlore")</f>
        <v>Genevieve LeFlore</v>
      </c>
      <c r="Q3301" s="6" t="str">
        <f>IFERROR(__xludf.DUMMYFUNCTION("""COMPUTED_VALUE"""),"L2")</f>
        <v>L2</v>
      </c>
      <c r="R3301" s="6">
        <f>IFERROR(__xludf.DUMMYFUNCTION("""COMPUTED_VALUE"""),2.0)</f>
        <v>2</v>
      </c>
      <c r="S3301" s="6" t="str">
        <f>IFERROR(__xludf.DUMMYFUNCTION("""COMPUTED_VALUE"""),"Nicole Sellin")</f>
        <v>Nicole Sellin</v>
      </c>
      <c r="T3301" s="6" t="str">
        <f>IFERROR(__xludf.DUMMYFUNCTION("""COMPUTED_VALUE"""),"nicole.sellin@ortrail.k12.or.us")</f>
        <v>nicole.sellin@ortrail.k12.or.us</v>
      </c>
      <c r="U3301" s="6" t="str">
        <f>IFERROR(__xludf.DUMMYFUNCTION("""COMPUTED_VALUE"""),"5")</f>
        <v>5</v>
      </c>
      <c r="V3301" s="6" t="str">
        <f>IFERROR(__xludf.DUMMYFUNCTION("""COMPUTED_VALUE"""),"English")</f>
        <v>English</v>
      </c>
      <c r="W3301" s="6" t="str">
        <f>IFERROR(__xludf.DUMMYFUNCTION("""COMPUTED_VALUE"""),"[]")</f>
        <v>[]</v>
      </c>
      <c r="X3301" s="6" t="str">
        <f>IFERROR(__xludf.DUMMYFUNCTION("""COMPUTED_VALUE"""),"Enrolled")</f>
        <v>Enrolled</v>
      </c>
    </row>
    <row r="3302">
      <c r="A3302" s="6" t="str">
        <f>IFERROR(__xludf.DUMMYFUNCTION("""COMPUTED_VALUE"""),"064-6179")</f>
        <v>064-6179</v>
      </c>
      <c r="B3302" s="6" t="str">
        <f>IFERROR(__xludf.DUMMYFUNCTION("""COMPUTED_VALUE"""),"64")</f>
        <v>64</v>
      </c>
      <c r="C3302" s="6" t="str">
        <f>IFERROR(__xludf.DUMMYFUNCTION("""COMPUTED_VALUE"""),"6179")</f>
        <v>6179</v>
      </c>
      <c r="D3302" s="6" t="str">
        <f>IFERROR(__xludf.DUMMYFUNCTION("""COMPUTED_VALUE"""),"Raylan")</f>
        <v>Raylan</v>
      </c>
      <c r="E3302" s="6" t="str">
        <f>IFERROR(__xludf.DUMMYFUNCTION("""COMPUTED_VALUE"""),"")</f>
        <v/>
      </c>
      <c r="F3302" s="6" t="str">
        <f>IFERROR(__xludf.DUMMYFUNCTION("""COMPUTED_VALUE"""),"Littlepage")</f>
        <v>Littlepage</v>
      </c>
      <c r="G3302" s="6" t="str">
        <f>IFERROR(__xludf.DUMMYFUNCTION("""COMPUTED_VALUE"""),"05/15/2015")</f>
        <v>05/15/2015</v>
      </c>
      <c r="H3302" s="6" t="str">
        <f>IFERROR(__xludf.DUMMYFUNCTION("""COMPUTED_VALUE"""),"Self Identify")</f>
        <v>Self Identify</v>
      </c>
      <c r="I3302" s="6" t="str">
        <f>IFERROR(__xludf.DUMMYFUNCTION("""COMPUTED_VALUE"""),"Level 2")</f>
        <v>Level 2</v>
      </c>
      <c r="J3302" s="6" t="str">
        <f>IFERROR(__xludf.DUMMYFUNCTION("""COMPUTED_VALUE"""),"5")</f>
        <v>5</v>
      </c>
      <c r="K3302" s="6" t="str">
        <f>IFERROR(__xludf.DUMMYFUNCTION("""COMPUTED_VALUE"""),"raylan_littlepage@stu.ortrail.k12.or.us")</f>
        <v>raylan_littlepage@stu.ortrail.k12.or.us</v>
      </c>
      <c r="L3302" s="6" t="str">
        <f>IFERROR(__xludf.DUMMYFUNCTION("""COMPUTED_VALUE"""),"Oregon Trail School District 46")</f>
        <v>Oregon Trail School District 46</v>
      </c>
      <c r="M3302" s="6" t="str">
        <f>IFERROR(__xludf.DUMMYFUNCTION("""COMPUTED_VALUE"""),"Kelso Elementary School")</f>
        <v>Kelso Elementary School</v>
      </c>
      <c r="N3302" s="6" t="str">
        <f>IFERROR(__xludf.DUMMYFUNCTION("""COMPUTED_VALUE"""),"")</f>
        <v/>
      </c>
      <c r="O3302" s="87" t="str">
        <f>IFERROR(__xludf.DUMMYFUNCTION("""COMPUTED_VALUE"""),"https://drive.google.com/drive/folders/10T2cTQHqEJZqE-st6uFKPoI?usp=share_link")</f>
        <v>https://drive.google.com/drive/folders/10T2cTQHqEJZqE-st6uFKPoI?usp=share_link</v>
      </c>
      <c r="P3302" s="6" t="str">
        <f>IFERROR(__xludf.DUMMYFUNCTION("""COMPUTED_VALUE"""),"Raylan Littlepage")</f>
        <v>Raylan Littlepage</v>
      </c>
      <c r="Q3302" s="6" t="str">
        <f>IFERROR(__xludf.DUMMYFUNCTION("""COMPUTED_VALUE"""),"L2")</f>
        <v>L2</v>
      </c>
      <c r="R3302" s="6">
        <f>IFERROR(__xludf.DUMMYFUNCTION("""COMPUTED_VALUE"""),2.0)</f>
        <v>2</v>
      </c>
      <c r="S3302" s="6" t="str">
        <f>IFERROR(__xludf.DUMMYFUNCTION("""COMPUTED_VALUE"""),"Jessica Minch")</f>
        <v>Jessica Minch</v>
      </c>
      <c r="T3302" s="6" t="str">
        <f>IFERROR(__xludf.DUMMYFUNCTION("""COMPUTED_VALUE"""),"jessica.minch@ortrail.k12.or.us")</f>
        <v>jessica.minch@ortrail.k12.or.us</v>
      </c>
      <c r="U3302" s="6" t="str">
        <f>IFERROR(__xludf.DUMMYFUNCTION("""COMPUTED_VALUE"""),"5")</f>
        <v>5</v>
      </c>
      <c r="V3302" s="6" t="str">
        <f>IFERROR(__xludf.DUMMYFUNCTION("""COMPUTED_VALUE"""),"English")</f>
        <v>English</v>
      </c>
      <c r="W3302" s="6" t="str">
        <f>IFERROR(__xludf.DUMMYFUNCTION("""COMPUTED_VALUE"""),"[]")</f>
        <v>[]</v>
      </c>
      <c r="X3302" s="6" t="str">
        <f>IFERROR(__xludf.DUMMYFUNCTION("""COMPUTED_VALUE"""),"Enrolled")</f>
        <v>Enrolled</v>
      </c>
    </row>
    <row r="3303">
      <c r="A3303" s="6" t="str">
        <f>IFERROR(__xludf.DUMMYFUNCTION("""COMPUTED_VALUE"""),"064-6180")</f>
        <v>064-6180</v>
      </c>
      <c r="B3303" s="6" t="str">
        <f>IFERROR(__xludf.DUMMYFUNCTION("""COMPUTED_VALUE"""),"64")</f>
        <v>64</v>
      </c>
      <c r="C3303" s="6" t="str">
        <f>IFERROR(__xludf.DUMMYFUNCTION("""COMPUTED_VALUE"""),"6180")</f>
        <v>6180</v>
      </c>
      <c r="D3303" s="6" t="str">
        <f>IFERROR(__xludf.DUMMYFUNCTION("""COMPUTED_VALUE"""),"Andrew")</f>
        <v>Andrew</v>
      </c>
      <c r="E3303" s="6" t="str">
        <f>IFERROR(__xludf.DUMMYFUNCTION("""COMPUTED_VALUE"""),"")</f>
        <v/>
      </c>
      <c r="F3303" s="6" t="str">
        <f>IFERROR(__xludf.DUMMYFUNCTION("""COMPUTED_VALUE"""),"Long")</f>
        <v>Long</v>
      </c>
      <c r="G3303" s="6" t="str">
        <f>IFERROR(__xludf.DUMMYFUNCTION("""COMPUTED_VALUE"""),"09/03/2014")</f>
        <v>09/03/2014</v>
      </c>
      <c r="H3303" s="6" t="str">
        <f>IFERROR(__xludf.DUMMYFUNCTION("""COMPUTED_VALUE"""),"Self Identify")</f>
        <v>Self Identify</v>
      </c>
      <c r="I3303" s="6" t="str">
        <f>IFERROR(__xludf.DUMMYFUNCTION("""COMPUTED_VALUE"""),"Level 2")</f>
        <v>Level 2</v>
      </c>
      <c r="J3303" s="6" t="str">
        <f>IFERROR(__xludf.DUMMYFUNCTION("""COMPUTED_VALUE"""),"5")</f>
        <v>5</v>
      </c>
      <c r="K3303" s="6" t="str">
        <f>IFERROR(__xludf.DUMMYFUNCTION("""COMPUTED_VALUE"""),"andrew_long@stu.ortrail.k12.or.us")</f>
        <v>andrew_long@stu.ortrail.k12.or.us</v>
      </c>
      <c r="L3303" s="6" t="str">
        <f>IFERROR(__xludf.DUMMYFUNCTION("""COMPUTED_VALUE"""),"Oregon Trail School District 46")</f>
        <v>Oregon Trail School District 46</v>
      </c>
      <c r="M3303" s="6" t="str">
        <f>IFERROR(__xludf.DUMMYFUNCTION("""COMPUTED_VALUE"""),"Kelso Elementary School")</f>
        <v>Kelso Elementary School</v>
      </c>
      <c r="N3303" s="6" t="str">
        <f>IFERROR(__xludf.DUMMYFUNCTION("""COMPUTED_VALUE"""),"")</f>
        <v/>
      </c>
      <c r="O3303" s="87" t="str">
        <f>IFERROR(__xludf.DUMMYFUNCTION("""COMPUTED_VALUE"""),"https://drive.google.com/drive/folders/10T2cTQHqEJZqE-st6uFKPoI?usp=share_link")</f>
        <v>https://drive.google.com/drive/folders/10T2cTQHqEJZqE-st6uFKPoI?usp=share_link</v>
      </c>
      <c r="P3303" s="6" t="str">
        <f>IFERROR(__xludf.DUMMYFUNCTION("""COMPUTED_VALUE"""),"Andrew Long")</f>
        <v>Andrew Long</v>
      </c>
      <c r="Q3303" s="6" t="str">
        <f>IFERROR(__xludf.DUMMYFUNCTION("""COMPUTED_VALUE"""),"L2")</f>
        <v>L2</v>
      </c>
      <c r="R3303" s="6">
        <f>IFERROR(__xludf.DUMMYFUNCTION("""COMPUTED_VALUE"""),2.0)</f>
        <v>2</v>
      </c>
      <c r="S3303" s="6" t="str">
        <f>IFERROR(__xludf.DUMMYFUNCTION("""COMPUTED_VALUE"""),"Nicole Sellin")</f>
        <v>Nicole Sellin</v>
      </c>
      <c r="T3303" s="6" t="str">
        <f>IFERROR(__xludf.DUMMYFUNCTION("""COMPUTED_VALUE"""),"nicole.sellin@ortrail.k12.or.us")</f>
        <v>nicole.sellin@ortrail.k12.or.us</v>
      </c>
      <c r="U3303" s="6" t="str">
        <f>IFERROR(__xludf.DUMMYFUNCTION("""COMPUTED_VALUE"""),"5")</f>
        <v>5</v>
      </c>
      <c r="V3303" s="6" t="str">
        <f>IFERROR(__xludf.DUMMYFUNCTION("""COMPUTED_VALUE"""),"English")</f>
        <v>English</v>
      </c>
      <c r="W3303" s="6" t="str">
        <f>IFERROR(__xludf.DUMMYFUNCTION("""COMPUTED_VALUE"""),"[]")</f>
        <v>[]</v>
      </c>
      <c r="X3303" s="6" t="str">
        <f>IFERROR(__xludf.DUMMYFUNCTION("""COMPUTED_VALUE"""),"Enrolled")</f>
        <v>Enrolled</v>
      </c>
    </row>
    <row r="3304">
      <c r="A3304" s="6" t="str">
        <f>IFERROR(__xludf.DUMMYFUNCTION("""COMPUTED_VALUE"""),"064-6181")</f>
        <v>064-6181</v>
      </c>
      <c r="B3304" s="6" t="str">
        <f>IFERROR(__xludf.DUMMYFUNCTION("""COMPUTED_VALUE"""),"64")</f>
        <v>64</v>
      </c>
      <c r="C3304" s="6" t="str">
        <f>IFERROR(__xludf.DUMMYFUNCTION("""COMPUTED_VALUE"""),"6181")</f>
        <v>6181</v>
      </c>
      <c r="D3304" s="6" t="str">
        <f>IFERROR(__xludf.DUMMYFUNCTION("""COMPUTED_VALUE"""),"Jesus")</f>
        <v>Jesus</v>
      </c>
      <c r="E3304" s="6" t="str">
        <f>IFERROR(__xludf.DUMMYFUNCTION("""COMPUTED_VALUE"""),"")</f>
        <v/>
      </c>
      <c r="F3304" s="6" t="str">
        <f>IFERROR(__xludf.DUMMYFUNCTION("""COMPUTED_VALUE"""),"Lopez Lira")</f>
        <v>Lopez Lira</v>
      </c>
      <c r="G3304" s="6" t="str">
        <f>IFERROR(__xludf.DUMMYFUNCTION("""COMPUTED_VALUE"""),"02/25/2015")</f>
        <v>02/25/2015</v>
      </c>
      <c r="H3304" s="6" t="str">
        <f>IFERROR(__xludf.DUMMYFUNCTION("""COMPUTED_VALUE"""),"Self Identify")</f>
        <v>Self Identify</v>
      </c>
      <c r="I3304" s="6" t="str">
        <f>IFERROR(__xludf.DUMMYFUNCTION("""COMPUTED_VALUE"""),"Level 2")</f>
        <v>Level 2</v>
      </c>
      <c r="J3304" s="6" t="str">
        <f>IFERROR(__xludf.DUMMYFUNCTION("""COMPUTED_VALUE"""),"5")</f>
        <v>5</v>
      </c>
      <c r="K3304" s="6" t="str">
        <f>IFERROR(__xludf.DUMMYFUNCTION("""COMPUTED_VALUE"""),"romeo_lopezlira@stu.ortrail.k12.or.us")</f>
        <v>romeo_lopezlira@stu.ortrail.k12.or.us</v>
      </c>
      <c r="L3304" s="6" t="str">
        <f>IFERROR(__xludf.DUMMYFUNCTION("""COMPUTED_VALUE"""),"Oregon Trail School District 46")</f>
        <v>Oregon Trail School District 46</v>
      </c>
      <c r="M3304" s="6" t="str">
        <f>IFERROR(__xludf.DUMMYFUNCTION("""COMPUTED_VALUE"""),"Kelso Elementary School")</f>
        <v>Kelso Elementary School</v>
      </c>
      <c r="N3304" s="6" t="str">
        <f>IFERROR(__xludf.DUMMYFUNCTION("""COMPUTED_VALUE"""),"")</f>
        <v/>
      </c>
      <c r="O3304" s="87" t="str">
        <f>IFERROR(__xludf.DUMMYFUNCTION("""COMPUTED_VALUE"""),"https://drive.google.com/drive/folders/10T2cTQHqEJZqE-st6uFKPoI?usp=share_link")</f>
        <v>https://drive.google.com/drive/folders/10T2cTQHqEJZqE-st6uFKPoI?usp=share_link</v>
      </c>
      <c r="P3304" s="6" t="str">
        <f>IFERROR(__xludf.DUMMYFUNCTION("""COMPUTED_VALUE"""),"Jesus Lopez Lira")</f>
        <v>Jesus Lopez Lira</v>
      </c>
      <c r="Q3304" s="6" t="str">
        <f>IFERROR(__xludf.DUMMYFUNCTION("""COMPUTED_VALUE"""),"L2")</f>
        <v>L2</v>
      </c>
      <c r="R3304" s="6">
        <f>IFERROR(__xludf.DUMMYFUNCTION("""COMPUTED_VALUE"""),2.0)</f>
        <v>2</v>
      </c>
      <c r="S3304" s="6" t="str">
        <f>IFERROR(__xludf.DUMMYFUNCTION("""COMPUTED_VALUE"""),"Jessica Minch")</f>
        <v>Jessica Minch</v>
      </c>
      <c r="T3304" s="6" t="str">
        <f>IFERROR(__xludf.DUMMYFUNCTION("""COMPUTED_VALUE"""),"jessica.minch@ortrail.k12.or.us")</f>
        <v>jessica.minch@ortrail.k12.or.us</v>
      </c>
      <c r="U3304" s="6" t="str">
        <f>IFERROR(__xludf.DUMMYFUNCTION("""COMPUTED_VALUE"""),"5")</f>
        <v>5</v>
      </c>
      <c r="V3304" s="6" t="str">
        <f>IFERROR(__xludf.DUMMYFUNCTION("""COMPUTED_VALUE"""),"English")</f>
        <v>English</v>
      </c>
      <c r="W3304" s="6" t="str">
        <f>IFERROR(__xludf.DUMMYFUNCTION("""COMPUTED_VALUE"""),"[]")</f>
        <v>[]</v>
      </c>
      <c r="X3304" s="6" t="str">
        <f>IFERROR(__xludf.DUMMYFUNCTION("""COMPUTED_VALUE"""),"Enrolled")</f>
        <v>Enrolled</v>
      </c>
    </row>
    <row r="3305">
      <c r="A3305" s="6" t="str">
        <f>IFERROR(__xludf.DUMMYFUNCTION("""COMPUTED_VALUE"""),"064-6182")</f>
        <v>064-6182</v>
      </c>
      <c r="B3305" s="6" t="str">
        <f>IFERROR(__xludf.DUMMYFUNCTION("""COMPUTED_VALUE"""),"64")</f>
        <v>64</v>
      </c>
      <c r="C3305" s="6" t="str">
        <f>IFERROR(__xludf.DUMMYFUNCTION("""COMPUTED_VALUE"""),"6182")</f>
        <v>6182</v>
      </c>
      <c r="D3305" s="6" t="str">
        <f>IFERROR(__xludf.DUMMYFUNCTION("""COMPUTED_VALUE"""),"Molly")</f>
        <v>Molly</v>
      </c>
      <c r="E3305" s="6" t="str">
        <f>IFERROR(__xludf.DUMMYFUNCTION("""COMPUTED_VALUE"""),"")</f>
        <v/>
      </c>
      <c r="F3305" s="6" t="str">
        <f>IFERROR(__xludf.DUMMYFUNCTION("""COMPUTED_VALUE"""),"Luebbers")</f>
        <v>Luebbers</v>
      </c>
      <c r="G3305" s="6" t="str">
        <f>IFERROR(__xludf.DUMMYFUNCTION("""COMPUTED_VALUE"""),"11/11/2014")</f>
        <v>11/11/2014</v>
      </c>
      <c r="H3305" s="6" t="str">
        <f>IFERROR(__xludf.DUMMYFUNCTION("""COMPUTED_VALUE"""),"Self Identify")</f>
        <v>Self Identify</v>
      </c>
      <c r="I3305" s="6" t="str">
        <f>IFERROR(__xludf.DUMMYFUNCTION("""COMPUTED_VALUE"""),"Level 2")</f>
        <v>Level 2</v>
      </c>
      <c r="J3305" s="6" t="str">
        <f>IFERROR(__xludf.DUMMYFUNCTION("""COMPUTED_VALUE"""),"5")</f>
        <v>5</v>
      </c>
      <c r="K3305" s="6" t="str">
        <f>IFERROR(__xludf.DUMMYFUNCTION("""COMPUTED_VALUE"""),"molly_luebbers@stu.ortrail.k12.or.us")</f>
        <v>molly_luebbers@stu.ortrail.k12.or.us</v>
      </c>
      <c r="L3305" s="6" t="str">
        <f>IFERROR(__xludf.DUMMYFUNCTION("""COMPUTED_VALUE"""),"Oregon Trail School District 46")</f>
        <v>Oregon Trail School District 46</v>
      </c>
      <c r="M3305" s="6" t="str">
        <f>IFERROR(__xludf.DUMMYFUNCTION("""COMPUTED_VALUE"""),"Kelso Elementary School")</f>
        <v>Kelso Elementary School</v>
      </c>
      <c r="N3305" s="6" t="str">
        <f>IFERROR(__xludf.DUMMYFUNCTION("""COMPUTED_VALUE"""),"")</f>
        <v/>
      </c>
      <c r="O3305" s="87" t="str">
        <f>IFERROR(__xludf.DUMMYFUNCTION("""COMPUTED_VALUE"""),"https://drive.google.com/drive/folders/10T2cTQHqEJZqE-st6uFKPoI?usp=share_link")</f>
        <v>https://drive.google.com/drive/folders/10T2cTQHqEJZqE-st6uFKPoI?usp=share_link</v>
      </c>
      <c r="P3305" s="6" t="str">
        <f>IFERROR(__xludf.DUMMYFUNCTION("""COMPUTED_VALUE"""),"Molly Luebbers")</f>
        <v>Molly Luebbers</v>
      </c>
      <c r="Q3305" s="6" t="str">
        <f>IFERROR(__xludf.DUMMYFUNCTION("""COMPUTED_VALUE"""),"L2")</f>
        <v>L2</v>
      </c>
      <c r="R3305" s="6">
        <f>IFERROR(__xludf.DUMMYFUNCTION("""COMPUTED_VALUE"""),2.0)</f>
        <v>2</v>
      </c>
      <c r="S3305" s="6" t="str">
        <f>IFERROR(__xludf.DUMMYFUNCTION("""COMPUTED_VALUE"""),"Jessica Minch")</f>
        <v>Jessica Minch</v>
      </c>
      <c r="T3305" s="6" t="str">
        <f>IFERROR(__xludf.DUMMYFUNCTION("""COMPUTED_VALUE"""),"jessica.minch@ortrail.k12.or.us")</f>
        <v>jessica.minch@ortrail.k12.or.us</v>
      </c>
      <c r="U3305" s="6" t="str">
        <f>IFERROR(__xludf.DUMMYFUNCTION("""COMPUTED_VALUE"""),"5")</f>
        <v>5</v>
      </c>
      <c r="V3305" s="6" t="str">
        <f>IFERROR(__xludf.DUMMYFUNCTION("""COMPUTED_VALUE"""),"English")</f>
        <v>English</v>
      </c>
      <c r="W3305" s="6" t="str">
        <f>IFERROR(__xludf.DUMMYFUNCTION("""COMPUTED_VALUE"""),"[]")</f>
        <v>[]</v>
      </c>
      <c r="X3305" s="6" t="str">
        <f>IFERROR(__xludf.DUMMYFUNCTION("""COMPUTED_VALUE"""),"Enrolled")</f>
        <v>Enrolled</v>
      </c>
    </row>
    <row r="3306">
      <c r="A3306" s="6" t="str">
        <f>IFERROR(__xludf.DUMMYFUNCTION("""COMPUTED_VALUE"""),"064-6183")</f>
        <v>064-6183</v>
      </c>
      <c r="B3306" s="6" t="str">
        <f>IFERROR(__xludf.DUMMYFUNCTION("""COMPUTED_VALUE"""),"64")</f>
        <v>64</v>
      </c>
      <c r="C3306" s="6" t="str">
        <f>IFERROR(__xludf.DUMMYFUNCTION("""COMPUTED_VALUE"""),"6183")</f>
        <v>6183</v>
      </c>
      <c r="D3306" s="6" t="str">
        <f>IFERROR(__xludf.DUMMYFUNCTION("""COMPUTED_VALUE"""),"Zoey")</f>
        <v>Zoey</v>
      </c>
      <c r="E3306" s="6" t="str">
        <f>IFERROR(__xludf.DUMMYFUNCTION("""COMPUTED_VALUE"""),"")</f>
        <v/>
      </c>
      <c r="F3306" s="6" t="str">
        <f>IFERROR(__xludf.DUMMYFUNCTION("""COMPUTED_VALUE"""),"Lunsford")</f>
        <v>Lunsford</v>
      </c>
      <c r="G3306" s="6" t="str">
        <f>IFERROR(__xludf.DUMMYFUNCTION("""COMPUTED_VALUE"""),"06/29/2015")</f>
        <v>06/29/2015</v>
      </c>
      <c r="H3306" s="6" t="str">
        <f>IFERROR(__xludf.DUMMYFUNCTION("""COMPUTED_VALUE"""),"Self Identify")</f>
        <v>Self Identify</v>
      </c>
      <c r="I3306" s="6" t="str">
        <f>IFERROR(__xludf.DUMMYFUNCTION("""COMPUTED_VALUE"""),"Level 2")</f>
        <v>Level 2</v>
      </c>
      <c r="J3306" s="6" t="str">
        <f>IFERROR(__xludf.DUMMYFUNCTION("""COMPUTED_VALUE"""),"5")</f>
        <v>5</v>
      </c>
      <c r="K3306" s="6" t="str">
        <f>IFERROR(__xludf.DUMMYFUNCTION("""COMPUTED_VALUE"""),"zoey_lunsford@stu.ortrail.k12.or.us")</f>
        <v>zoey_lunsford@stu.ortrail.k12.or.us</v>
      </c>
      <c r="L3306" s="6" t="str">
        <f>IFERROR(__xludf.DUMMYFUNCTION("""COMPUTED_VALUE"""),"Oregon Trail School District 46")</f>
        <v>Oregon Trail School District 46</v>
      </c>
      <c r="M3306" s="6" t="str">
        <f>IFERROR(__xludf.DUMMYFUNCTION("""COMPUTED_VALUE"""),"Kelso Elementary School")</f>
        <v>Kelso Elementary School</v>
      </c>
      <c r="N3306" s="6" t="str">
        <f>IFERROR(__xludf.DUMMYFUNCTION("""COMPUTED_VALUE"""),"")</f>
        <v/>
      </c>
      <c r="O3306" s="87" t="str">
        <f>IFERROR(__xludf.DUMMYFUNCTION("""COMPUTED_VALUE"""),"https://drive.google.com/drive/folders/10T2cTQHqEJZqE-st6uFKPoI?usp=share_link")</f>
        <v>https://drive.google.com/drive/folders/10T2cTQHqEJZqE-st6uFKPoI?usp=share_link</v>
      </c>
      <c r="P3306" s="6" t="str">
        <f>IFERROR(__xludf.DUMMYFUNCTION("""COMPUTED_VALUE"""),"Zoey Lunsford")</f>
        <v>Zoey Lunsford</v>
      </c>
      <c r="Q3306" s="6" t="str">
        <f>IFERROR(__xludf.DUMMYFUNCTION("""COMPUTED_VALUE"""),"L2")</f>
        <v>L2</v>
      </c>
      <c r="R3306" s="6">
        <f>IFERROR(__xludf.DUMMYFUNCTION("""COMPUTED_VALUE"""),2.0)</f>
        <v>2</v>
      </c>
      <c r="S3306" s="6" t="str">
        <f>IFERROR(__xludf.DUMMYFUNCTION("""COMPUTED_VALUE"""),"Jessica Minch")</f>
        <v>Jessica Minch</v>
      </c>
      <c r="T3306" s="6" t="str">
        <f>IFERROR(__xludf.DUMMYFUNCTION("""COMPUTED_VALUE"""),"jessica.minch@ortrail.k12.or.us")</f>
        <v>jessica.minch@ortrail.k12.or.us</v>
      </c>
      <c r="U3306" s="6" t="str">
        <f>IFERROR(__xludf.DUMMYFUNCTION("""COMPUTED_VALUE"""),"5")</f>
        <v>5</v>
      </c>
      <c r="V3306" s="6" t="str">
        <f>IFERROR(__xludf.DUMMYFUNCTION("""COMPUTED_VALUE"""),"English")</f>
        <v>English</v>
      </c>
      <c r="W3306" s="6" t="str">
        <f>IFERROR(__xludf.DUMMYFUNCTION("""COMPUTED_VALUE"""),"[]")</f>
        <v>[]</v>
      </c>
      <c r="X3306" s="6" t="str">
        <f>IFERROR(__xludf.DUMMYFUNCTION("""COMPUTED_VALUE"""),"Enrolled")</f>
        <v>Enrolled</v>
      </c>
    </row>
    <row r="3307">
      <c r="A3307" s="6" t="str">
        <f>IFERROR(__xludf.DUMMYFUNCTION("""COMPUTED_VALUE"""),"064-6184")</f>
        <v>064-6184</v>
      </c>
      <c r="B3307" s="6" t="str">
        <f>IFERROR(__xludf.DUMMYFUNCTION("""COMPUTED_VALUE"""),"64")</f>
        <v>64</v>
      </c>
      <c r="C3307" s="6" t="str">
        <f>IFERROR(__xludf.DUMMYFUNCTION("""COMPUTED_VALUE"""),"6184")</f>
        <v>6184</v>
      </c>
      <c r="D3307" s="6" t="str">
        <f>IFERROR(__xludf.DUMMYFUNCTION("""COMPUTED_VALUE"""),"Savannah")</f>
        <v>Savannah</v>
      </c>
      <c r="E3307" s="6" t="str">
        <f>IFERROR(__xludf.DUMMYFUNCTION("""COMPUTED_VALUE"""),"")</f>
        <v/>
      </c>
      <c r="F3307" s="6" t="str">
        <f>IFERROR(__xludf.DUMMYFUNCTION("""COMPUTED_VALUE"""),"Masic")</f>
        <v>Masic</v>
      </c>
      <c r="G3307" s="6" t="str">
        <f>IFERROR(__xludf.DUMMYFUNCTION("""COMPUTED_VALUE"""),"11/21/2014")</f>
        <v>11/21/2014</v>
      </c>
      <c r="H3307" s="6" t="str">
        <f>IFERROR(__xludf.DUMMYFUNCTION("""COMPUTED_VALUE"""),"Self Identify")</f>
        <v>Self Identify</v>
      </c>
      <c r="I3307" s="6" t="str">
        <f>IFERROR(__xludf.DUMMYFUNCTION("""COMPUTED_VALUE"""),"Level 2")</f>
        <v>Level 2</v>
      </c>
      <c r="J3307" s="6" t="str">
        <f>IFERROR(__xludf.DUMMYFUNCTION("""COMPUTED_VALUE"""),"5")</f>
        <v>5</v>
      </c>
      <c r="K3307" s="6" t="str">
        <f>IFERROR(__xludf.DUMMYFUNCTION("""COMPUTED_VALUE"""),"savannah_masic@stu.ortrail.k12.or.us")</f>
        <v>savannah_masic@stu.ortrail.k12.or.us</v>
      </c>
      <c r="L3307" s="6" t="str">
        <f>IFERROR(__xludf.DUMMYFUNCTION("""COMPUTED_VALUE"""),"Oregon Trail School District 46")</f>
        <v>Oregon Trail School District 46</v>
      </c>
      <c r="M3307" s="6" t="str">
        <f>IFERROR(__xludf.DUMMYFUNCTION("""COMPUTED_VALUE"""),"Kelso Elementary School")</f>
        <v>Kelso Elementary School</v>
      </c>
      <c r="N3307" s="6" t="str">
        <f>IFERROR(__xludf.DUMMYFUNCTION("""COMPUTED_VALUE"""),"")</f>
        <v/>
      </c>
      <c r="O3307" s="87" t="str">
        <f>IFERROR(__xludf.DUMMYFUNCTION("""COMPUTED_VALUE"""),"https://drive.google.com/drive/folders/10T2cTQHqEJZqE-st6uFKPoI?usp=share_link")</f>
        <v>https://drive.google.com/drive/folders/10T2cTQHqEJZqE-st6uFKPoI?usp=share_link</v>
      </c>
      <c r="P3307" s="6" t="str">
        <f>IFERROR(__xludf.DUMMYFUNCTION("""COMPUTED_VALUE"""),"Savannah Masic")</f>
        <v>Savannah Masic</v>
      </c>
      <c r="Q3307" s="6" t="str">
        <f>IFERROR(__xludf.DUMMYFUNCTION("""COMPUTED_VALUE"""),"L2")</f>
        <v>L2</v>
      </c>
      <c r="R3307" s="6">
        <f>IFERROR(__xludf.DUMMYFUNCTION("""COMPUTED_VALUE"""),2.0)</f>
        <v>2</v>
      </c>
      <c r="S3307" s="6" t="str">
        <f>IFERROR(__xludf.DUMMYFUNCTION("""COMPUTED_VALUE"""),"Nicole Sellin")</f>
        <v>Nicole Sellin</v>
      </c>
      <c r="T3307" s="6" t="str">
        <f>IFERROR(__xludf.DUMMYFUNCTION("""COMPUTED_VALUE"""),"nicole.sellin@ortrail.k12.or.us")</f>
        <v>nicole.sellin@ortrail.k12.or.us</v>
      </c>
      <c r="U3307" s="6" t="str">
        <f>IFERROR(__xludf.DUMMYFUNCTION("""COMPUTED_VALUE"""),"5")</f>
        <v>5</v>
      </c>
      <c r="V3307" s="6" t="str">
        <f>IFERROR(__xludf.DUMMYFUNCTION("""COMPUTED_VALUE"""),"English")</f>
        <v>English</v>
      </c>
      <c r="W3307" s="6" t="str">
        <f>IFERROR(__xludf.DUMMYFUNCTION("""COMPUTED_VALUE"""),"[]")</f>
        <v>[]</v>
      </c>
      <c r="X3307" s="6" t="str">
        <f>IFERROR(__xludf.DUMMYFUNCTION("""COMPUTED_VALUE"""),"Enrolled")</f>
        <v>Enrolled</v>
      </c>
    </row>
    <row r="3308">
      <c r="A3308" s="6" t="str">
        <f>IFERROR(__xludf.DUMMYFUNCTION("""COMPUTED_VALUE"""),"064-6185")</f>
        <v>064-6185</v>
      </c>
      <c r="B3308" s="6" t="str">
        <f>IFERROR(__xludf.DUMMYFUNCTION("""COMPUTED_VALUE"""),"64")</f>
        <v>64</v>
      </c>
      <c r="C3308" s="6" t="str">
        <f>IFERROR(__xludf.DUMMYFUNCTION("""COMPUTED_VALUE"""),"6185")</f>
        <v>6185</v>
      </c>
      <c r="D3308" s="6" t="str">
        <f>IFERROR(__xludf.DUMMYFUNCTION("""COMPUTED_VALUE"""),"Rylinn")</f>
        <v>Rylinn</v>
      </c>
      <c r="E3308" s="6" t="str">
        <f>IFERROR(__xludf.DUMMYFUNCTION("""COMPUTED_VALUE"""),"")</f>
        <v/>
      </c>
      <c r="F3308" s="6" t="str">
        <f>IFERROR(__xludf.DUMMYFUNCTION("""COMPUTED_VALUE"""),"McCarr")</f>
        <v>McCarr</v>
      </c>
      <c r="G3308" s="6" t="str">
        <f>IFERROR(__xludf.DUMMYFUNCTION("""COMPUTED_VALUE"""),"03/20/2015")</f>
        <v>03/20/2015</v>
      </c>
      <c r="H3308" s="6" t="str">
        <f>IFERROR(__xludf.DUMMYFUNCTION("""COMPUTED_VALUE"""),"Self Identify")</f>
        <v>Self Identify</v>
      </c>
      <c r="I3308" s="6" t="str">
        <f>IFERROR(__xludf.DUMMYFUNCTION("""COMPUTED_VALUE"""),"Level 2")</f>
        <v>Level 2</v>
      </c>
      <c r="J3308" s="6" t="str">
        <f>IFERROR(__xludf.DUMMYFUNCTION("""COMPUTED_VALUE"""),"5")</f>
        <v>5</v>
      </c>
      <c r="K3308" s="6" t="str">
        <f>IFERROR(__xludf.DUMMYFUNCTION("""COMPUTED_VALUE"""),"rylinn_mccarr@stu.ortrail.k12.or.us")</f>
        <v>rylinn_mccarr@stu.ortrail.k12.or.us</v>
      </c>
      <c r="L3308" s="6" t="str">
        <f>IFERROR(__xludf.DUMMYFUNCTION("""COMPUTED_VALUE"""),"Oregon Trail School District 46")</f>
        <v>Oregon Trail School District 46</v>
      </c>
      <c r="M3308" s="6" t="str">
        <f>IFERROR(__xludf.DUMMYFUNCTION("""COMPUTED_VALUE"""),"Kelso Elementary School")</f>
        <v>Kelso Elementary School</v>
      </c>
      <c r="N3308" s="6" t="str">
        <f>IFERROR(__xludf.DUMMYFUNCTION("""COMPUTED_VALUE"""),"")</f>
        <v/>
      </c>
      <c r="O3308" s="87" t="str">
        <f>IFERROR(__xludf.DUMMYFUNCTION("""COMPUTED_VALUE"""),"https://drive.google.com/drive/folders/10T2cTQHqEJZqE-st6uFKPoI?usp=share_link")</f>
        <v>https://drive.google.com/drive/folders/10T2cTQHqEJZqE-st6uFKPoI?usp=share_link</v>
      </c>
      <c r="P3308" s="6" t="str">
        <f>IFERROR(__xludf.DUMMYFUNCTION("""COMPUTED_VALUE"""),"Rylinn McCarr")</f>
        <v>Rylinn McCarr</v>
      </c>
      <c r="Q3308" s="6" t="str">
        <f>IFERROR(__xludf.DUMMYFUNCTION("""COMPUTED_VALUE"""),"L2")</f>
        <v>L2</v>
      </c>
      <c r="R3308" s="6">
        <f>IFERROR(__xludf.DUMMYFUNCTION("""COMPUTED_VALUE"""),2.0)</f>
        <v>2</v>
      </c>
      <c r="S3308" s="6" t="str">
        <f>IFERROR(__xludf.DUMMYFUNCTION("""COMPUTED_VALUE"""),"Nicole Sellin")</f>
        <v>Nicole Sellin</v>
      </c>
      <c r="T3308" s="6" t="str">
        <f>IFERROR(__xludf.DUMMYFUNCTION("""COMPUTED_VALUE"""),"nicole.sellin@ortrail.k12.or.us")</f>
        <v>nicole.sellin@ortrail.k12.or.us</v>
      </c>
      <c r="U3308" s="6" t="str">
        <f>IFERROR(__xludf.DUMMYFUNCTION("""COMPUTED_VALUE"""),"5")</f>
        <v>5</v>
      </c>
      <c r="V3308" s="6" t="str">
        <f>IFERROR(__xludf.DUMMYFUNCTION("""COMPUTED_VALUE"""),"English")</f>
        <v>English</v>
      </c>
      <c r="W3308" s="6" t="str">
        <f>IFERROR(__xludf.DUMMYFUNCTION("""COMPUTED_VALUE"""),"[]")</f>
        <v>[]</v>
      </c>
      <c r="X3308" s="6" t="str">
        <f>IFERROR(__xludf.DUMMYFUNCTION("""COMPUTED_VALUE"""),"Enrolled")</f>
        <v>Enrolled</v>
      </c>
    </row>
    <row r="3309">
      <c r="A3309" s="6" t="str">
        <f>IFERROR(__xludf.DUMMYFUNCTION("""COMPUTED_VALUE"""),"064-6187")</f>
        <v>064-6187</v>
      </c>
      <c r="B3309" s="6" t="str">
        <f>IFERROR(__xludf.DUMMYFUNCTION("""COMPUTED_VALUE"""),"64")</f>
        <v>64</v>
      </c>
      <c r="C3309" s="6" t="str">
        <f>IFERROR(__xludf.DUMMYFUNCTION("""COMPUTED_VALUE"""),"6187")</f>
        <v>6187</v>
      </c>
      <c r="D3309" s="6" t="str">
        <f>IFERROR(__xludf.DUMMYFUNCTION("""COMPUTED_VALUE"""),"Colton")</f>
        <v>Colton</v>
      </c>
      <c r="E3309" s="6" t="str">
        <f>IFERROR(__xludf.DUMMYFUNCTION("""COMPUTED_VALUE"""),"")</f>
        <v/>
      </c>
      <c r="F3309" s="6" t="str">
        <f>IFERROR(__xludf.DUMMYFUNCTION("""COMPUTED_VALUE"""),"Miller")</f>
        <v>Miller</v>
      </c>
      <c r="G3309" s="6" t="str">
        <f>IFERROR(__xludf.DUMMYFUNCTION("""COMPUTED_VALUE"""),"05/10/2015")</f>
        <v>05/10/2015</v>
      </c>
      <c r="H3309" s="6" t="str">
        <f>IFERROR(__xludf.DUMMYFUNCTION("""COMPUTED_VALUE"""),"Self Identify")</f>
        <v>Self Identify</v>
      </c>
      <c r="I3309" s="6" t="str">
        <f>IFERROR(__xludf.DUMMYFUNCTION("""COMPUTED_VALUE"""),"Level 2")</f>
        <v>Level 2</v>
      </c>
      <c r="J3309" s="6" t="str">
        <f>IFERROR(__xludf.DUMMYFUNCTION("""COMPUTED_VALUE"""),"5")</f>
        <v>5</v>
      </c>
      <c r="K3309" s="6" t="str">
        <f>IFERROR(__xludf.DUMMYFUNCTION("""COMPUTED_VALUE"""),"colton_miller@stu.ortrail.k12.or.us")</f>
        <v>colton_miller@stu.ortrail.k12.or.us</v>
      </c>
      <c r="L3309" s="6" t="str">
        <f>IFERROR(__xludf.DUMMYFUNCTION("""COMPUTED_VALUE"""),"Oregon Trail School District 46")</f>
        <v>Oregon Trail School District 46</v>
      </c>
      <c r="M3309" s="6" t="str">
        <f>IFERROR(__xludf.DUMMYFUNCTION("""COMPUTED_VALUE"""),"Kelso Elementary School")</f>
        <v>Kelso Elementary School</v>
      </c>
      <c r="N3309" s="6" t="str">
        <f>IFERROR(__xludf.DUMMYFUNCTION("""COMPUTED_VALUE"""),"")</f>
        <v/>
      </c>
      <c r="O3309" s="87" t="str">
        <f>IFERROR(__xludf.DUMMYFUNCTION("""COMPUTED_VALUE"""),"https://drive.google.com/drive/folders/10T2cTQHqEJZqE-st6uFKPoI?usp=share_link")</f>
        <v>https://drive.google.com/drive/folders/10T2cTQHqEJZqE-st6uFKPoI?usp=share_link</v>
      </c>
      <c r="P3309" s="6" t="str">
        <f>IFERROR(__xludf.DUMMYFUNCTION("""COMPUTED_VALUE"""),"Colton Miller")</f>
        <v>Colton Miller</v>
      </c>
      <c r="Q3309" s="6" t="str">
        <f>IFERROR(__xludf.DUMMYFUNCTION("""COMPUTED_VALUE"""),"L2")</f>
        <v>L2</v>
      </c>
      <c r="R3309" s="6">
        <f>IFERROR(__xludf.DUMMYFUNCTION("""COMPUTED_VALUE"""),2.0)</f>
        <v>2</v>
      </c>
      <c r="S3309" s="6" t="str">
        <f>IFERROR(__xludf.DUMMYFUNCTION("""COMPUTED_VALUE"""),"Nicole Sellin")</f>
        <v>Nicole Sellin</v>
      </c>
      <c r="T3309" s="6" t="str">
        <f>IFERROR(__xludf.DUMMYFUNCTION("""COMPUTED_VALUE"""),"nicole.sellin@ortrail.k12.or.us")</f>
        <v>nicole.sellin@ortrail.k12.or.us</v>
      </c>
      <c r="U3309" s="6" t="str">
        <f>IFERROR(__xludf.DUMMYFUNCTION("""COMPUTED_VALUE"""),"5")</f>
        <v>5</v>
      </c>
      <c r="V3309" s="6" t="str">
        <f>IFERROR(__xludf.DUMMYFUNCTION("""COMPUTED_VALUE"""),"English")</f>
        <v>English</v>
      </c>
      <c r="W3309" s="6" t="str">
        <f>IFERROR(__xludf.DUMMYFUNCTION("""COMPUTED_VALUE"""),"[]")</f>
        <v>[]</v>
      </c>
      <c r="X3309" s="6" t="str">
        <f>IFERROR(__xludf.DUMMYFUNCTION("""COMPUTED_VALUE"""),"Enrolled")</f>
        <v>Enrolled</v>
      </c>
    </row>
    <row r="3310">
      <c r="A3310" s="6" t="str">
        <f>IFERROR(__xludf.DUMMYFUNCTION("""COMPUTED_VALUE"""),"064-6188")</f>
        <v>064-6188</v>
      </c>
      <c r="B3310" s="6" t="str">
        <f>IFERROR(__xludf.DUMMYFUNCTION("""COMPUTED_VALUE"""),"64")</f>
        <v>64</v>
      </c>
      <c r="C3310" s="6" t="str">
        <f>IFERROR(__xludf.DUMMYFUNCTION("""COMPUTED_VALUE"""),"6188")</f>
        <v>6188</v>
      </c>
      <c r="D3310" s="6" t="str">
        <f>IFERROR(__xludf.DUMMYFUNCTION("""COMPUTED_VALUE"""),"Sullivan")</f>
        <v>Sullivan</v>
      </c>
      <c r="E3310" s="6" t="str">
        <f>IFERROR(__xludf.DUMMYFUNCTION("""COMPUTED_VALUE"""),"")</f>
        <v/>
      </c>
      <c r="F3310" s="6" t="str">
        <f>IFERROR(__xludf.DUMMYFUNCTION("""COMPUTED_VALUE"""),"Moye")</f>
        <v>Moye</v>
      </c>
      <c r="G3310" s="6" t="str">
        <f>IFERROR(__xludf.DUMMYFUNCTION("""COMPUTED_VALUE"""),"04/29/2015")</f>
        <v>04/29/2015</v>
      </c>
      <c r="H3310" s="6" t="str">
        <f>IFERROR(__xludf.DUMMYFUNCTION("""COMPUTED_VALUE"""),"F")</f>
        <v>F</v>
      </c>
      <c r="I3310" s="6" t="str">
        <f>IFERROR(__xludf.DUMMYFUNCTION("""COMPUTED_VALUE"""),"Level 2")</f>
        <v>Level 2</v>
      </c>
      <c r="J3310" s="6" t="str">
        <f>IFERROR(__xludf.DUMMYFUNCTION("""COMPUTED_VALUE"""),"5")</f>
        <v>5</v>
      </c>
      <c r="K3310" s="6" t="str">
        <f>IFERROR(__xludf.DUMMYFUNCTION("""COMPUTED_VALUE"""),"sullivan_moye@stu.ortrail.k12.or.us")</f>
        <v>sullivan_moye@stu.ortrail.k12.or.us</v>
      </c>
      <c r="L3310" s="6" t="str">
        <f>IFERROR(__xludf.DUMMYFUNCTION("""COMPUTED_VALUE"""),"Oregon Trail School District 46")</f>
        <v>Oregon Trail School District 46</v>
      </c>
      <c r="M3310" s="6" t="str">
        <f>IFERROR(__xludf.DUMMYFUNCTION("""COMPUTED_VALUE"""),"")</f>
        <v/>
      </c>
      <c r="N3310" s="6" t="str">
        <f>IFERROR(__xludf.DUMMYFUNCTION("""COMPUTED_VALUE"""),"")</f>
        <v/>
      </c>
      <c r="O3310" s="87" t="str">
        <f>IFERROR(__xludf.DUMMYFUNCTION("""COMPUTED_VALUE"""),"https://drive.google.com/drive/folders/10T2cTQHqEJZqE-st6uFKPoI?usp=share_link")</f>
        <v>https://drive.google.com/drive/folders/10T2cTQHqEJZqE-st6uFKPoI?usp=share_link</v>
      </c>
      <c r="P3310" s="6" t="str">
        <f>IFERROR(__xludf.DUMMYFUNCTION("""COMPUTED_VALUE"""),"Sullivan Moye")</f>
        <v>Sullivan Moye</v>
      </c>
      <c r="Q3310" s="6" t="str">
        <f>IFERROR(__xludf.DUMMYFUNCTION("""COMPUTED_VALUE"""),"L2")</f>
        <v>L2</v>
      </c>
      <c r="R3310" s="6">
        <f>IFERROR(__xludf.DUMMYFUNCTION("""COMPUTED_VALUE"""),2.0)</f>
        <v>2</v>
      </c>
      <c r="S3310" s="6" t="str">
        <f>IFERROR(__xludf.DUMMYFUNCTION("""COMPUTED_VALUE"""),"Genevra Self")</f>
        <v>Genevra Self</v>
      </c>
      <c r="T3310" s="6" t="str">
        <f>IFERROR(__xludf.DUMMYFUNCTION("""COMPUTED_VALUE"""),"genevra.self@studient.com")</f>
        <v>genevra.self@studient.com</v>
      </c>
      <c r="U3310" s="6" t="str">
        <f>IFERROR(__xludf.DUMMYFUNCTION("""COMPUTED_VALUE"""),"5")</f>
        <v>5</v>
      </c>
      <c r="V3310" s="6" t="str">
        <f>IFERROR(__xludf.DUMMYFUNCTION("""COMPUTED_VALUE"""),"English")</f>
        <v>English</v>
      </c>
      <c r="W3310" s="6" t="str">
        <f>IFERROR(__xludf.DUMMYFUNCTION("""COMPUTED_VALUE"""),"[]")</f>
        <v>[]</v>
      </c>
      <c r="X3310" s="6" t="str">
        <f>IFERROR(__xludf.DUMMYFUNCTION("""COMPUTED_VALUE"""),"Enrolled")</f>
        <v>Enrolled</v>
      </c>
    </row>
    <row r="3311">
      <c r="A3311" s="6" t="str">
        <f>IFERROR(__xludf.DUMMYFUNCTION("""COMPUTED_VALUE"""),"064-6189")</f>
        <v>064-6189</v>
      </c>
      <c r="B3311" s="6" t="str">
        <f>IFERROR(__xludf.DUMMYFUNCTION("""COMPUTED_VALUE"""),"64")</f>
        <v>64</v>
      </c>
      <c r="C3311" s="6" t="str">
        <f>IFERROR(__xludf.DUMMYFUNCTION("""COMPUTED_VALUE"""),"6189")</f>
        <v>6189</v>
      </c>
      <c r="D3311" s="6" t="str">
        <f>IFERROR(__xludf.DUMMYFUNCTION("""COMPUTED_VALUE"""),"Paisley")</f>
        <v>Paisley</v>
      </c>
      <c r="E3311" s="6" t="str">
        <f>IFERROR(__xludf.DUMMYFUNCTION("""COMPUTED_VALUE"""),"")</f>
        <v/>
      </c>
      <c r="F3311" s="6" t="str">
        <f>IFERROR(__xludf.DUMMYFUNCTION("""COMPUTED_VALUE"""),"Nash")</f>
        <v>Nash</v>
      </c>
      <c r="G3311" s="6" t="str">
        <f>IFERROR(__xludf.DUMMYFUNCTION("""COMPUTED_VALUE"""),"07/24/2015")</f>
        <v>07/24/2015</v>
      </c>
      <c r="H3311" s="6" t="str">
        <f>IFERROR(__xludf.DUMMYFUNCTION("""COMPUTED_VALUE"""),"Self Identify")</f>
        <v>Self Identify</v>
      </c>
      <c r="I3311" s="6" t="str">
        <f>IFERROR(__xludf.DUMMYFUNCTION("""COMPUTED_VALUE"""),"Level 2")</f>
        <v>Level 2</v>
      </c>
      <c r="J3311" s="6" t="str">
        <f>IFERROR(__xludf.DUMMYFUNCTION("""COMPUTED_VALUE"""),"5")</f>
        <v>5</v>
      </c>
      <c r="K3311" s="6" t="str">
        <f>IFERROR(__xludf.DUMMYFUNCTION("""COMPUTED_VALUE"""),"paisley_nash@stu.ortrail.k12.or.us")</f>
        <v>paisley_nash@stu.ortrail.k12.or.us</v>
      </c>
      <c r="L3311" s="6" t="str">
        <f>IFERROR(__xludf.DUMMYFUNCTION("""COMPUTED_VALUE"""),"Oregon Trail School District 46")</f>
        <v>Oregon Trail School District 46</v>
      </c>
      <c r="M3311" s="6" t="str">
        <f>IFERROR(__xludf.DUMMYFUNCTION("""COMPUTED_VALUE"""),"Kelso Elementary School")</f>
        <v>Kelso Elementary School</v>
      </c>
      <c r="N3311" s="6" t="str">
        <f>IFERROR(__xludf.DUMMYFUNCTION("""COMPUTED_VALUE"""),"")</f>
        <v/>
      </c>
      <c r="O3311" s="87" t="str">
        <f>IFERROR(__xludf.DUMMYFUNCTION("""COMPUTED_VALUE"""),"https://drive.google.com/drive/folders/10T2cTQHqEJZqE-st6uFKPoI?usp=share_link")</f>
        <v>https://drive.google.com/drive/folders/10T2cTQHqEJZqE-st6uFKPoI?usp=share_link</v>
      </c>
      <c r="P3311" s="6" t="str">
        <f>IFERROR(__xludf.DUMMYFUNCTION("""COMPUTED_VALUE"""),"Paisley Nash")</f>
        <v>Paisley Nash</v>
      </c>
      <c r="Q3311" s="6" t="str">
        <f>IFERROR(__xludf.DUMMYFUNCTION("""COMPUTED_VALUE"""),"L2")</f>
        <v>L2</v>
      </c>
      <c r="R3311" s="6">
        <f>IFERROR(__xludf.DUMMYFUNCTION("""COMPUTED_VALUE"""),2.0)</f>
        <v>2</v>
      </c>
      <c r="S3311" s="6" t="str">
        <f>IFERROR(__xludf.DUMMYFUNCTION("""COMPUTED_VALUE"""),"Jessica Minch")</f>
        <v>Jessica Minch</v>
      </c>
      <c r="T3311" s="6" t="str">
        <f>IFERROR(__xludf.DUMMYFUNCTION("""COMPUTED_VALUE"""),"jessica.minch@ortrail.k12.or.us")</f>
        <v>jessica.minch@ortrail.k12.or.us</v>
      </c>
      <c r="U3311" s="6" t="str">
        <f>IFERROR(__xludf.DUMMYFUNCTION("""COMPUTED_VALUE"""),"5")</f>
        <v>5</v>
      </c>
      <c r="V3311" s="6" t="str">
        <f>IFERROR(__xludf.DUMMYFUNCTION("""COMPUTED_VALUE"""),"English")</f>
        <v>English</v>
      </c>
      <c r="W3311" s="6" t="str">
        <f>IFERROR(__xludf.DUMMYFUNCTION("""COMPUTED_VALUE"""),"[]")</f>
        <v>[]</v>
      </c>
      <c r="X3311" s="6" t="str">
        <f>IFERROR(__xludf.DUMMYFUNCTION("""COMPUTED_VALUE"""),"Enrolled")</f>
        <v>Enrolled</v>
      </c>
    </row>
    <row r="3312">
      <c r="A3312" s="6" t="str">
        <f>IFERROR(__xludf.DUMMYFUNCTION("""COMPUTED_VALUE"""),"064-6190")</f>
        <v>064-6190</v>
      </c>
      <c r="B3312" s="6" t="str">
        <f>IFERROR(__xludf.DUMMYFUNCTION("""COMPUTED_VALUE"""),"64")</f>
        <v>64</v>
      </c>
      <c r="C3312" s="6" t="str">
        <f>IFERROR(__xludf.DUMMYFUNCTION("""COMPUTED_VALUE"""),"6190")</f>
        <v>6190</v>
      </c>
      <c r="D3312" s="6" t="str">
        <f>IFERROR(__xludf.DUMMYFUNCTION("""COMPUTED_VALUE"""),"Chase")</f>
        <v>Chase</v>
      </c>
      <c r="E3312" s="6" t="str">
        <f>IFERROR(__xludf.DUMMYFUNCTION("""COMPUTED_VALUE"""),"")</f>
        <v/>
      </c>
      <c r="F3312" s="6" t="str">
        <f>IFERROR(__xludf.DUMMYFUNCTION("""COMPUTED_VALUE"""),"Nelson")</f>
        <v>Nelson</v>
      </c>
      <c r="G3312" s="6" t="str">
        <f>IFERROR(__xludf.DUMMYFUNCTION("""COMPUTED_VALUE"""),"11/17/2014")</f>
        <v>11/17/2014</v>
      </c>
      <c r="H3312" s="6" t="str">
        <f>IFERROR(__xludf.DUMMYFUNCTION("""COMPUTED_VALUE"""),"Self Identify")</f>
        <v>Self Identify</v>
      </c>
      <c r="I3312" s="6" t="str">
        <f>IFERROR(__xludf.DUMMYFUNCTION("""COMPUTED_VALUE"""),"Level 2")</f>
        <v>Level 2</v>
      </c>
      <c r="J3312" s="6" t="str">
        <f>IFERROR(__xludf.DUMMYFUNCTION("""COMPUTED_VALUE"""),"5")</f>
        <v>5</v>
      </c>
      <c r="K3312" s="6" t="str">
        <f>IFERROR(__xludf.DUMMYFUNCTION("""COMPUTED_VALUE"""),"chase_nelson@stu.ortrail.k12.or.us")</f>
        <v>chase_nelson@stu.ortrail.k12.or.us</v>
      </c>
      <c r="L3312" s="6" t="str">
        <f>IFERROR(__xludf.DUMMYFUNCTION("""COMPUTED_VALUE"""),"Oregon Trail School District 46")</f>
        <v>Oregon Trail School District 46</v>
      </c>
      <c r="M3312" s="6" t="str">
        <f>IFERROR(__xludf.DUMMYFUNCTION("""COMPUTED_VALUE"""),"Kelso Elementary School")</f>
        <v>Kelso Elementary School</v>
      </c>
      <c r="N3312" s="6" t="str">
        <f>IFERROR(__xludf.DUMMYFUNCTION("""COMPUTED_VALUE"""),"")</f>
        <v/>
      </c>
      <c r="O3312" s="87" t="str">
        <f>IFERROR(__xludf.DUMMYFUNCTION("""COMPUTED_VALUE"""),"https://drive.google.com/drive/folders/10T2cTQHqEJZqE-st6uFKPoI?usp=share_link")</f>
        <v>https://drive.google.com/drive/folders/10T2cTQHqEJZqE-st6uFKPoI?usp=share_link</v>
      </c>
      <c r="P3312" s="6" t="str">
        <f>IFERROR(__xludf.DUMMYFUNCTION("""COMPUTED_VALUE"""),"Chase Nelson")</f>
        <v>Chase Nelson</v>
      </c>
      <c r="Q3312" s="6" t="str">
        <f>IFERROR(__xludf.DUMMYFUNCTION("""COMPUTED_VALUE"""),"L2")</f>
        <v>L2</v>
      </c>
      <c r="R3312" s="6">
        <f>IFERROR(__xludf.DUMMYFUNCTION("""COMPUTED_VALUE"""),2.0)</f>
        <v>2</v>
      </c>
      <c r="S3312" s="6" t="str">
        <f>IFERROR(__xludf.DUMMYFUNCTION("""COMPUTED_VALUE"""),"Nicole Sellin")</f>
        <v>Nicole Sellin</v>
      </c>
      <c r="T3312" s="6" t="str">
        <f>IFERROR(__xludf.DUMMYFUNCTION("""COMPUTED_VALUE"""),"nicole.sellin@ortrail.k12.or.us")</f>
        <v>nicole.sellin@ortrail.k12.or.us</v>
      </c>
      <c r="U3312" s="6" t="str">
        <f>IFERROR(__xludf.DUMMYFUNCTION("""COMPUTED_VALUE"""),"5")</f>
        <v>5</v>
      </c>
      <c r="V3312" s="6" t="str">
        <f>IFERROR(__xludf.DUMMYFUNCTION("""COMPUTED_VALUE"""),"English")</f>
        <v>English</v>
      </c>
      <c r="W3312" s="6" t="str">
        <f>IFERROR(__xludf.DUMMYFUNCTION("""COMPUTED_VALUE"""),"[]")</f>
        <v>[]</v>
      </c>
      <c r="X3312" s="6" t="str">
        <f>IFERROR(__xludf.DUMMYFUNCTION("""COMPUTED_VALUE"""),"Enrolled")</f>
        <v>Enrolled</v>
      </c>
    </row>
    <row r="3313">
      <c r="A3313" s="6" t="str">
        <f>IFERROR(__xludf.DUMMYFUNCTION("""COMPUTED_VALUE"""),"064-6192")</f>
        <v>064-6192</v>
      </c>
      <c r="B3313" s="6" t="str">
        <f>IFERROR(__xludf.DUMMYFUNCTION("""COMPUTED_VALUE"""),"64")</f>
        <v>64</v>
      </c>
      <c r="C3313" s="6" t="str">
        <f>IFERROR(__xludf.DUMMYFUNCTION("""COMPUTED_VALUE"""),"6192")</f>
        <v>6192</v>
      </c>
      <c r="D3313" s="6" t="str">
        <f>IFERROR(__xludf.DUMMYFUNCTION("""COMPUTED_VALUE"""),"Grant")</f>
        <v>Grant</v>
      </c>
      <c r="E3313" s="6" t="str">
        <f>IFERROR(__xludf.DUMMYFUNCTION("""COMPUTED_VALUE"""),"")</f>
        <v/>
      </c>
      <c r="F3313" s="6" t="str">
        <f>IFERROR(__xludf.DUMMYFUNCTION("""COMPUTED_VALUE"""),"Newton")</f>
        <v>Newton</v>
      </c>
      <c r="G3313" s="6" t="str">
        <f>IFERROR(__xludf.DUMMYFUNCTION("""COMPUTED_VALUE"""),"03/07/2015")</f>
        <v>03/07/2015</v>
      </c>
      <c r="H3313" s="6" t="str">
        <f>IFERROR(__xludf.DUMMYFUNCTION("""COMPUTED_VALUE"""),"Self Identify")</f>
        <v>Self Identify</v>
      </c>
      <c r="I3313" s="6" t="str">
        <f>IFERROR(__xludf.DUMMYFUNCTION("""COMPUTED_VALUE"""),"Level 2")</f>
        <v>Level 2</v>
      </c>
      <c r="J3313" s="6" t="str">
        <f>IFERROR(__xludf.DUMMYFUNCTION("""COMPUTED_VALUE"""),"5")</f>
        <v>5</v>
      </c>
      <c r="K3313" s="6" t="str">
        <f>IFERROR(__xludf.DUMMYFUNCTION("""COMPUTED_VALUE"""),"grant_newton@stu.ortrail.k12.or.us")</f>
        <v>grant_newton@stu.ortrail.k12.or.us</v>
      </c>
      <c r="L3313" s="6" t="str">
        <f>IFERROR(__xludf.DUMMYFUNCTION("""COMPUTED_VALUE"""),"Oregon Trail School District 46")</f>
        <v>Oregon Trail School District 46</v>
      </c>
      <c r="M3313" s="6" t="str">
        <f>IFERROR(__xludf.DUMMYFUNCTION("""COMPUTED_VALUE"""),"Kelso Elementary School")</f>
        <v>Kelso Elementary School</v>
      </c>
      <c r="N3313" s="6" t="str">
        <f>IFERROR(__xludf.DUMMYFUNCTION("""COMPUTED_VALUE"""),"")</f>
        <v/>
      </c>
      <c r="O3313" s="87" t="str">
        <f>IFERROR(__xludf.DUMMYFUNCTION("""COMPUTED_VALUE"""),"https://drive.google.com/drive/folders/10T2cTQHqEJZqE-st6uFKPoI?usp=share_link")</f>
        <v>https://drive.google.com/drive/folders/10T2cTQHqEJZqE-st6uFKPoI?usp=share_link</v>
      </c>
      <c r="P3313" s="6" t="str">
        <f>IFERROR(__xludf.DUMMYFUNCTION("""COMPUTED_VALUE"""),"Grant Newton")</f>
        <v>Grant Newton</v>
      </c>
      <c r="Q3313" s="6" t="str">
        <f>IFERROR(__xludf.DUMMYFUNCTION("""COMPUTED_VALUE"""),"L2")</f>
        <v>L2</v>
      </c>
      <c r="R3313" s="6">
        <f>IFERROR(__xludf.DUMMYFUNCTION("""COMPUTED_VALUE"""),2.0)</f>
        <v>2</v>
      </c>
      <c r="S3313" s="6" t="str">
        <f>IFERROR(__xludf.DUMMYFUNCTION("""COMPUTED_VALUE"""),"Jessica Minch")</f>
        <v>Jessica Minch</v>
      </c>
      <c r="T3313" s="6" t="str">
        <f>IFERROR(__xludf.DUMMYFUNCTION("""COMPUTED_VALUE"""),"jessica.minch@ortrail.k12.or.us")</f>
        <v>jessica.minch@ortrail.k12.or.us</v>
      </c>
      <c r="U3313" s="6" t="str">
        <f>IFERROR(__xludf.DUMMYFUNCTION("""COMPUTED_VALUE"""),"5")</f>
        <v>5</v>
      </c>
      <c r="V3313" s="6" t="str">
        <f>IFERROR(__xludf.DUMMYFUNCTION("""COMPUTED_VALUE"""),"English")</f>
        <v>English</v>
      </c>
      <c r="W3313" s="6" t="str">
        <f>IFERROR(__xludf.DUMMYFUNCTION("""COMPUTED_VALUE"""),"[]")</f>
        <v>[]</v>
      </c>
      <c r="X3313" s="6" t="str">
        <f>IFERROR(__xludf.DUMMYFUNCTION("""COMPUTED_VALUE"""),"Enrolled")</f>
        <v>Enrolled</v>
      </c>
    </row>
    <row r="3314">
      <c r="A3314" s="6" t="str">
        <f>IFERROR(__xludf.DUMMYFUNCTION("""COMPUTED_VALUE"""),"064-6193")</f>
        <v>064-6193</v>
      </c>
      <c r="B3314" s="6" t="str">
        <f>IFERROR(__xludf.DUMMYFUNCTION("""COMPUTED_VALUE"""),"64")</f>
        <v>64</v>
      </c>
      <c r="C3314" s="6" t="str">
        <f>IFERROR(__xludf.DUMMYFUNCTION("""COMPUTED_VALUE"""),"6193")</f>
        <v>6193</v>
      </c>
      <c r="D3314" s="6" t="str">
        <f>IFERROR(__xludf.DUMMYFUNCTION("""COMPUTED_VALUE"""),"Johnny")</f>
        <v>Johnny</v>
      </c>
      <c r="E3314" s="6" t="str">
        <f>IFERROR(__xludf.DUMMYFUNCTION("""COMPUTED_VALUE"""),"")</f>
        <v/>
      </c>
      <c r="F3314" s="6" t="str">
        <f>IFERROR(__xludf.DUMMYFUNCTION("""COMPUTED_VALUE"""),"Nisbet")</f>
        <v>Nisbet</v>
      </c>
      <c r="G3314" s="6" t="str">
        <f>IFERROR(__xludf.DUMMYFUNCTION("""COMPUTED_VALUE"""),"02/12/2015")</f>
        <v>02/12/2015</v>
      </c>
      <c r="H3314" s="6" t="str">
        <f>IFERROR(__xludf.DUMMYFUNCTION("""COMPUTED_VALUE"""),"Self Identify")</f>
        <v>Self Identify</v>
      </c>
      <c r="I3314" s="6" t="str">
        <f>IFERROR(__xludf.DUMMYFUNCTION("""COMPUTED_VALUE"""),"Level 2")</f>
        <v>Level 2</v>
      </c>
      <c r="J3314" s="6" t="str">
        <f>IFERROR(__xludf.DUMMYFUNCTION("""COMPUTED_VALUE"""),"5")</f>
        <v>5</v>
      </c>
      <c r="K3314" s="6" t="str">
        <f>IFERROR(__xludf.DUMMYFUNCTION("""COMPUTED_VALUE"""),"johnny_nisbet@stu.ortrail.k12.or.us")</f>
        <v>johnny_nisbet@stu.ortrail.k12.or.us</v>
      </c>
      <c r="L3314" s="6" t="str">
        <f>IFERROR(__xludf.DUMMYFUNCTION("""COMPUTED_VALUE"""),"Oregon Trail School District 46")</f>
        <v>Oregon Trail School District 46</v>
      </c>
      <c r="M3314" s="6" t="str">
        <f>IFERROR(__xludf.DUMMYFUNCTION("""COMPUTED_VALUE"""),"Kelso Elementary School")</f>
        <v>Kelso Elementary School</v>
      </c>
      <c r="N3314" s="6" t="str">
        <f>IFERROR(__xludf.DUMMYFUNCTION("""COMPUTED_VALUE"""),"")</f>
        <v/>
      </c>
      <c r="O3314" s="87" t="str">
        <f>IFERROR(__xludf.DUMMYFUNCTION("""COMPUTED_VALUE"""),"https://drive.google.com/drive/folders/10T2cTQHqEJZqE-st6uFKPoI?usp=share_link")</f>
        <v>https://drive.google.com/drive/folders/10T2cTQHqEJZqE-st6uFKPoI?usp=share_link</v>
      </c>
      <c r="P3314" s="6" t="str">
        <f>IFERROR(__xludf.DUMMYFUNCTION("""COMPUTED_VALUE"""),"Johnny Nisbet")</f>
        <v>Johnny Nisbet</v>
      </c>
      <c r="Q3314" s="6" t="str">
        <f>IFERROR(__xludf.DUMMYFUNCTION("""COMPUTED_VALUE"""),"L2")</f>
        <v>L2</v>
      </c>
      <c r="R3314" s="6">
        <f>IFERROR(__xludf.DUMMYFUNCTION("""COMPUTED_VALUE"""),2.0)</f>
        <v>2</v>
      </c>
      <c r="S3314" s="6" t="str">
        <f>IFERROR(__xludf.DUMMYFUNCTION("""COMPUTED_VALUE"""),"Jessica Minch")</f>
        <v>Jessica Minch</v>
      </c>
      <c r="T3314" s="6" t="str">
        <f>IFERROR(__xludf.DUMMYFUNCTION("""COMPUTED_VALUE"""),"jessica.minch@ortrail.k12.or.us")</f>
        <v>jessica.minch@ortrail.k12.or.us</v>
      </c>
      <c r="U3314" s="6" t="str">
        <f>IFERROR(__xludf.DUMMYFUNCTION("""COMPUTED_VALUE"""),"5")</f>
        <v>5</v>
      </c>
      <c r="V3314" s="6" t="str">
        <f>IFERROR(__xludf.DUMMYFUNCTION("""COMPUTED_VALUE"""),"English")</f>
        <v>English</v>
      </c>
      <c r="W3314" s="6" t="str">
        <f>IFERROR(__xludf.DUMMYFUNCTION("""COMPUTED_VALUE"""),"[]")</f>
        <v>[]</v>
      </c>
      <c r="X3314" s="6" t="str">
        <f>IFERROR(__xludf.DUMMYFUNCTION("""COMPUTED_VALUE"""),"Enrolled")</f>
        <v>Enrolled</v>
      </c>
    </row>
    <row r="3315">
      <c r="A3315" s="6" t="str">
        <f>IFERROR(__xludf.DUMMYFUNCTION("""COMPUTED_VALUE"""),"064-6194")</f>
        <v>064-6194</v>
      </c>
      <c r="B3315" s="6" t="str">
        <f>IFERROR(__xludf.DUMMYFUNCTION("""COMPUTED_VALUE"""),"64")</f>
        <v>64</v>
      </c>
      <c r="C3315" s="6" t="str">
        <f>IFERROR(__xludf.DUMMYFUNCTION("""COMPUTED_VALUE"""),"6194")</f>
        <v>6194</v>
      </c>
      <c r="D3315" s="6" t="str">
        <f>IFERROR(__xludf.DUMMYFUNCTION("""COMPUTED_VALUE"""),"Jacob")</f>
        <v>Jacob</v>
      </c>
      <c r="E3315" s="6" t="str">
        <f>IFERROR(__xludf.DUMMYFUNCTION("""COMPUTED_VALUE"""),"")</f>
        <v/>
      </c>
      <c r="F3315" s="6" t="str">
        <f>IFERROR(__xludf.DUMMYFUNCTION("""COMPUTED_VALUE"""),"Normand")</f>
        <v>Normand</v>
      </c>
      <c r="G3315" s="6" t="str">
        <f>IFERROR(__xludf.DUMMYFUNCTION("""COMPUTED_VALUE"""),"11/02/2014")</f>
        <v>11/02/2014</v>
      </c>
      <c r="H3315" s="6" t="str">
        <f>IFERROR(__xludf.DUMMYFUNCTION("""COMPUTED_VALUE"""),"M")</f>
        <v>M</v>
      </c>
      <c r="I3315" s="6" t="str">
        <f>IFERROR(__xludf.DUMMYFUNCTION("""COMPUTED_VALUE"""),"Level 2")</f>
        <v>Level 2</v>
      </c>
      <c r="J3315" s="6" t="str">
        <f>IFERROR(__xludf.DUMMYFUNCTION("""COMPUTED_VALUE"""),"5")</f>
        <v>5</v>
      </c>
      <c r="K3315" s="6" t="str">
        <f>IFERROR(__xludf.DUMMYFUNCTION("""COMPUTED_VALUE"""),"jacob_normand@stu.ortrail.k12.or.us")</f>
        <v>jacob_normand@stu.ortrail.k12.or.us</v>
      </c>
      <c r="L3315" s="6" t="str">
        <f>IFERROR(__xludf.DUMMYFUNCTION("""COMPUTED_VALUE"""),"Oregon Trail School District 46")</f>
        <v>Oregon Trail School District 46</v>
      </c>
      <c r="M3315" s="6" t="str">
        <f>IFERROR(__xludf.DUMMYFUNCTION("""COMPUTED_VALUE"""),"")</f>
        <v/>
      </c>
      <c r="N3315" s="6" t="str">
        <f>IFERROR(__xludf.DUMMYFUNCTION("""COMPUTED_VALUE"""),"")</f>
        <v/>
      </c>
      <c r="O3315" s="87" t="str">
        <f>IFERROR(__xludf.DUMMYFUNCTION("""COMPUTED_VALUE"""),"https://drive.google.com/drive/folders/10T2cTQHqEJZqE-st6uFKPoI?usp=share_link")</f>
        <v>https://drive.google.com/drive/folders/10T2cTQHqEJZqE-st6uFKPoI?usp=share_link</v>
      </c>
      <c r="P3315" s="6" t="str">
        <f>IFERROR(__xludf.DUMMYFUNCTION("""COMPUTED_VALUE"""),"Jacob Normand")</f>
        <v>Jacob Normand</v>
      </c>
      <c r="Q3315" s="6" t="str">
        <f>IFERROR(__xludf.DUMMYFUNCTION("""COMPUTED_VALUE"""),"L2")</f>
        <v>L2</v>
      </c>
      <c r="R3315" s="6">
        <f>IFERROR(__xludf.DUMMYFUNCTION("""COMPUTED_VALUE"""),2.0)</f>
        <v>2</v>
      </c>
      <c r="S3315" s="6" t="str">
        <f>IFERROR(__xludf.DUMMYFUNCTION("""COMPUTED_VALUE"""),"Genevra Self")</f>
        <v>Genevra Self</v>
      </c>
      <c r="T3315" s="6" t="str">
        <f>IFERROR(__xludf.DUMMYFUNCTION("""COMPUTED_VALUE"""),"genevra.self@studient.com")</f>
        <v>genevra.self@studient.com</v>
      </c>
      <c r="U3315" s="6" t="str">
        <f>IFERROR(__xludf.DUMMYFUNCTION("""COMPUTED_VALUE"""),"5")</f>
        <v>5</v>
      </c>
      <c r="V3315" s="6" t="str">
        <f>IFERROR(__xludf.DUMMYFUNCTION("""COMPUTED_VALUE"""),"English")</f>
        <v>English</v>
      </c>
      <c r="W3315" s="6" t="str">
        <f>IFERROR(__xludf.DUMMYFUNCTION("""COMPUTED_VALUE"""),"[]")</f>
        <v>[]</v>
      </c>
      <c r="X3315" s="6" t="str">
        <f>IFERROR(__xludf.DUMMYFUNCTION("""COMPUTED_VALUE"""),"Enrolled")</f>
        <v>Enrolled</v>
      </c>
    </row>
    <row r="3316">
      <c r="A3316" s="6" t="str">
        <f>IFERROR(__xludf.DUMMYFUNCTION("""COMPUTED_VALUE"""),"064-6195")</f>
        <v>064-6195</v>
      </c>
      <c r="B3316" s="6" t="str">
        <f>IFERROR(__xludf.DUMMYFUNCTION("""COMPUTED_VALUE"""),"64")</f>
        <v>64</v>
      </c>
      <c r="C3316" s="6" t="str">
        <f>IFERROR(__xludf.DUMMYFUNCTION("""COMPUTED_VALUE"""),"6195")</f>
        <v>6195</v>
      </c>
      <c r="D3316" s="6" t="str">
        <f>IFERROR(__xludf.DUMMYFUNCTION("""COMPUTED_VALUE"""),"Elizabeth")</f>
        <v>Elizabeth</v>
      </c>
      <c r="E3316" s="6" t="str">
        <f>IFERROR(__xludf.DUMMYFUNCTION("""COMPUTED_VALUE"""),"")</f>
        <v/>
      </c>
      <c r="F3316" s="6" t="str">
        <f>IFERROR(__xludf.DUMMYFUNCTION("""COMPUTED_VALUE"""),"Oster")</f>
        <v>Oster</v>
      </c>
      <c r="G3316" s="6" t="str">
        <f>IFERROR(__xludf.DUMMYFUNCTION("""COMPUTED_VALUE"""),"09/12/2014")</f>
        <v>09/12/2014</v>
      </c>
      <c r="H3316" s="6" t="str">
        <f>IFERROR(__xludf.DUMMYFUNCTION("""COMPUTED_VALUE"""),"F")</f>
        <v>F</v>
      </c>
      <c r="I3316" s="6" t="str">
        <f>IFERROR(__xludf.DUMMYFUNCTION("""COMPUTED_VALUE"""),"Level 2")</f>
        <v>Level 2</v>
      </c>
      <c r="J3316" s="6" t="str">
        <f>IFERROR(__xludf.DUMMYFUNCTION("""COMPUTED_VALUE"""),"5")</f>
        <v>5</v>
      </c>
      <c r="K3316" s="6" t="str">
        <f>IFERROR(__xludf.DUMMYFUNCTION("""COMPUTED_VALUE"""),"ellie_oster@stu.ortrail.k12.or.us")</f>
        <v>ellie_oster@stu.ortrail.k12.or.us</v>
      </c>
      <c r="L3316" s="6" t="str">
        <f>IFERROR(__xludf.DUMMYFUNCTION("""COMPUTED_VALUE"""),"Oregon Trail School District 46")</f>
        <v>Oregon Trail School District 46</v>
      </c>
      <c r="M3316" s="6" t="str">
        <f>IFERROR(__xludf.DUMMYFUNCTION("""COMPUTED_VALUE"""),"")</f>
        <v/>
      </c>
      <c r="N3316" s="6" t="str">
        <f>IFERROR(__xludf.DUMMYFUNCTION("""COMPUTED_VALUE"""),"")</f>
        <v/>
      </c>
      <c r="O3316" s="87" t="str">
        <f>IFERROR(__xludf.DUMMYFUNCTION("""COMPUTED_VALUE"""),"https://drive.google.com/drive/folders/10T2cTQHqEJZqE-st6uFKPoI?usp=share_link")</f>
        <v>https://drive.google.com/drive/folders/10T2cTQHqEJZqE-st6uFKPoI?usp=share_link</v>
      </c>
      <c r="P3316" s="6" t="str">
        <f>IFERROR(__xludf.DUMMYFUNCTION("""COMPUTED_VALUE"""),"Elizabeth Oster")</f>
        <v>Elizabeth Oster</v>
      </c>
      <c r="Q3316" s="6" t="str">
        <f>IFERROR(__xludf.DUMMYFUNCTION("""COMPUTED_VALUE"""),"L2")</f>
        <v>L2</v>
      </c>
      <c r="R3316" s="6">
        <f>IFERROR(__xludf.DUMMYFUNCTION("""COMPUTED_VALUE"""),2.0)</f>
        <v>2</v>
      </c>
      <c r="S3316" s="6" t="str">
        <f>IFERROR(__xludf.DUMMYFUNCTION("""COMPUTED_VALUE"""),"Genevra Self")</f>
        <v>Genevra Self</v>
      </c>
      <c r="T3316" s="6" t="str">
        <f>IFERROR(__xludf.DUMMYFUNCTION("""COMPUTED_VALUE"""),"genevra.self@studient.com")</f>
        <v>genevra.self@studient.com</v>
      </c>
      <c r="U3316" s="6" t="str">
        <f>IFERROR(__xludf.DUMMYFUNCTION("""COMPUTED_VALUE"""),"5")</f>
        <v>5</v>
      </c>
      <c r="V3316" s="6" t="str">
        <f>IFERROR(__xludf.DUMMYFUNCTION("""COMPUTED_VALUE"""),"English")</f>
        <v>English</v>
      </c>
      <c r="W3316" s="6" t="str">
        <f>IFERROR(__xludf.DUMMYFUNCTION("""COMPUTED_VALUE"""),"[]")</f>
        <v>[]</v>
      </c>
      <c r="X3316" s="6" t="str">
        <f>IFERROR(__xludf.DUMMYFUNCTION("""COMPUTED_VALUE"""),"Enrolled")</f>
        <v>Enrolled</v>
      </c>
    </row>
    <row r="3317">
      <c r="A3317" s="6" t="str">
        <f>IFERROR(__xludf.DUMMYFUNCTION("""COMPUTED_VALUE"""),"064-6197")</f>
        <v>064-6197</v>
      </c>
      <c r="B3317" s="6" t="str">
        <f>IFERROR(__xludf.DUMMYFUNCTION("""COMPUTED_VALUE"""),"64")</f>
        <v>64</v>
      </c>
      <c r="C3317" s="6" t="str">
        <f>IFERROR(__xludf.DUMMYFUNCTION("""COMPUTED_VALUE"""),"6197")</f>
        <v>6197</v>
      </c>
      <c r="D3317" s="6" t="str">
        <f>IFERROR(__xludf.DUMMYFUNCTION("""COMPUTED_VALUE"""),"Marshall")</f>
        <v>Marshall</v>
      </c>
      <c r="E3317" s="6" t="str">
        <f>IFERROR(__xludf.DUMMYFUNCTION("""COMPUTED_VALUE"""),"")</f>
        <v/>
      </c>
      <c r="F3317" s="6" t="str">
        <f>IFERROR(__xludf.DUMMYFUNCTION("""COMPUTED_VALUE"""),"Parman")</f>
        <v>Parman</v>
      </c>
      <c r="G3317" s="6" t="str">
        <f>IFERROR(__xludf.DUMMYFUNCTION("""COMPUTED_VALUE"""),"10/12/2014")</f>
        <v>10/12/2014</v>
      </c>
      <c r="H3317" s="6" t="str">
        <f>IFERROR(__xludf.DUMMYFUNCTION("""COMPUTED_VALUE"""),"Self Identify")</f>
        <v>Self Identify</v>
      </c>
      <c r="I3317" s="6" t="str">
        <f>IFERROR(__xludf.DUMMYFUNCTION("""COMPUTED_VALUE"""),"Level 2")</f>
        <v>Level 2</v>
      </c>
      <c r="J3317" s="6" t="str">
        <f>IFERROR(__xludf.DUMMYFUNCTION("""COMPUTED_VALUE"""),"5")</f>
        <v>5</v>
      </c>
      <c r="K3317" s="6" t="str">
        <f>IFERROR(__xludf.DUMMYFUNCTION("""COMPUTED_VALUE"""),"marshall_parman@stu.ortrail.k12.or.us")</f>
        <v>marshall_parman@stu.ortrail.k12.or.us</v>
      </c>
      <c r="L3317" s="6" t="str">
        <f>IFERROR(__xludf.DUMMYFUNCTION("""COMPUTED_VALUE"""),"Oregon Trail School District 46")</f>
        <v>Oregon Trail School District 46</v>
      </c>
      <c r="M3317" s="6" t="str">
        <f>IFERROR(__xludf.DUMMYFUNCTION("""COMPUTED_VALUE"""),"Kelso Elementary School")</f>
        <v>Kelso Elementary School</v>
      </c>
      <c r="N3317" s="6" t="str">
        <f>IFERROR(__xludf.DUMMYFUNCTION("""COMPUTED_VALUE"""),"")</f>
        <v/>
      </c>
      <c r="O3317" s="87" t="str">
        <f>IFERROR(__xludf.DUMMYFUNCTION("""COMPUTED_VALUE"""),"https://drive.google.com/drive/folders/10T2cTQHqEJZqE-st6uFKPoI?usp=share_link")</f>
        <v>https://drive.google.com/drive/folders/10T2cTQHqEJZqE-st6uFKPoI?usp=share_link</v>
      </c>
      <c r="P3317" s="6" t="str">
        <f>IFERROR(__xludf.DUMMYFUNCTION("""COMPUTED_VALUE"""),"Marshall Parman")</f>
        <v>Marshall Parman</v>
      </c>
      <c r="Q3317" s="6" t="str">
        <f>IFERROR(__xludf.DUMMYFUNCTION("""COMPUTED_VALUE"""),"L2")</f>
        <v>L2</v>
      </c>
      <c r="R3317" s="6">
        <f>IFERROR(__xludf.DUMMYFUNCTION("""COMPUTED_VALUE"""),2.0)</f>
        <v>2</v>
      </c>
      <c r="S3317" s="6" t="str">
        <f>IFERROR(__xludf.DUMMYFUNCTION("""COMPUTED_VALUE"""),"Nicole Sellin")</f>
        <v>Nicole Sellin</v>
      </c>
      <c r="T3317" s="6" t="str">
        <f>IFERROR(__xludf.DUMMYFUNCTION("""COMPUTED_VALUE"""),"nicole.sellin@ortrail.k12.or.us")</f>
        <v>nicole.sellin@ortrail.k12.or.us</v>
      </c>
      <c r="U3317" s="6" t="str">
        <f>IFERROR(__xludf.DUMMYFUNCTION("""COMPUTED_VALUE"""),"5")</f>
        <v>5</v>
      </c>
      <c r="V3317" s="6" t="str">
        <f>IFERROR(__xludf.DUMMYFUNCTION("""COMPUTED_VALUE"""),"English")</f>
        <v>English</v>
      </c>
      <c r="W3317" s="6" t="str">
        <f>IFERROR(__xludf.DUMMYFUNCTION("""COMPUTED_VALUE"""),"[]")</f>
        <v>[]</v>
      </c>
      <c r="X3317" s="6" t="str">
        <f>IFERROR(__xludf.DUMMYFUNCTION("""COMPUTED_VALUE"""),"Enrolled")</f>
        <v>Enrolled</v>
      </c>
    </row>
    <row r="3318">
      <c r="A3318" s="6" t="str">
        <f>IFERROR(__xludf.DUMMYFUNCTION("""COMPUTED_VALUE"""),"064-6198")</f>
        <v>064-6198</v>
      </c>
      <c r="B3318" s="6" t="str">
        <f>IFERROR(__xludf.DUMMYFUNCTION("""COMPUTED_VALUE"""),"64")</f>
        <v>64</v>
      </c>
      <c r="C3318" s="6" t="str">
        <f>IFERROR(__xludf.DUMMYFUNCTION("""COMPUTED_VALUE"""),"6198")</f>
        <v>6198</v>
      </c>
      <c r="D3318" s="6" t="str">
        <f>IFERROR(__xludf.DUMMYFUNCTION("""COMPUTED_VALUE"""),"Nathan")</f>
        <v>Nathan</v>
      </c>
      <c r="E3318" s="6" t="str">
        <f>IFERROR(__xludf.DUMMYFUNCTION("""COMPUTED_VALUE"""),"")</f>
        <v/>
      </c>
      <c r="F3318" s="6" t="str">
        <f>IFERROR(__xludf.DUMMYFUNCTION("""COMPUTED_VALUE"""),"Pernilla")</f>
        <v>Pernilla</v>
      </c>
      <c r="G3318" s="6" t="str">
        <f>IFERROR(__xludf.DUMMYFUNCTION("""COMPUTED_VALUE"""),"06/28/2015")</f>
        <v>06/28/2015</v>
      </c>
      <c r="H3318" s="6" t="str">
        <f>IFERROR(__xludf.DUMMYFUNCTION("""COMPUTED_VALUE"""),"Self Identify")</f>
        <v>Self Identify</v>
      </c>
      <c r="I3318" s="6" t="str">
        <f>IFERROR(__xludf.DUMMYFUNCTION("""COMPUTED_VALUE"""),"Level 2")</f>
        <v>Level 2</v>
      </c>
      <c r="J3318" s="6" t="str">
        <f>IFERROR(__xludf.DUMMYFUNCTION("""COMPUTED_VALUE"""),"5")</f>
        <v>5</v>
      </c>
      <c r="K3318" s="6" t="str">
        <f>IFERROR(__xludf.DUMMYFUNCTION("""COMPUTED_VALUE"""),"nathan_pernilla@stu.ortrail.k12.or.us")</f>
        <v>nathan_pernilla@stu.ortrail.k12.or.us</v>
      </c>
      <c r="L3318" s="6" t="str">
        <f>IFERROR(__xludf.DUMMYFUNCTION("""COMPUTED_VALUE"""),"Oregon Trail School District 46")</f>
        <v>Oregon Trail School District 46</v>
      </c>
      <c r="M3318" s="6" t="str">
        <f>IFERROR(__xludf.DUMMYFUNCTION("""COMPUTED_VALUE"""),"Kelso Elementary School")</f>
        <v>Kelso Elementary School</v>
      </c>
      <c r="N3318" s="6" t="str">
        <f>IFERROR(__xludf.DUMMYFUNCTION("""COMPUTED_VALUE"""),"")</f>
        <v/>
      </c>
      <c r="O3318" s="87" t="str">
        <f>IFERROR(__xludf.DUMMYFUNCTION("""COMPUTED_VALUE"""),"https://drive.google.com/drive/folders/10T2cTQHqEJZqE-st6uFKPoI?usp=share_link")</f>
        <v>https://drive.google.com/drive/folders/10T2cTQHqEJZqE-st6uFKPoI?usp=share_link</v>
      </c>
      <c r="P3318" s="6" t="str">
        <f>IFERROR(__xludf.DUMMYFUNCTION("""COMPUTED_VALUE"""),"Nathan Pernilla")</f>
        <v>Nathan Pernilla</v>
      </c>
      <c r="Q3318" s="6" t="str">
        <f>IFERROR(__xludf.DUMMYFUNCTION("""COMPUTED_VALUE"""),"L2")</f>
        <v>L2</v>
      </c>
      <c r="R3318" s="6">
        <f>IFERROR(__xludf.DUMMYFUNCTION("""COMPUTED_VALUE"""),2.0)</f>
        <v>2</v>
      </c>
      <c r="S3318" s="6" t="str">
        <f>IFERROR(__xludf.DUMMYFUNCTION("""COMPUTED_VALUE"""),"Nicole Sellin")</f>
        <v>Nicole Sellin</v>
      </c>
      <c r="T3318" s="6" t="str">
        <f>IFERROR(__xludf.DUMMYFUNCTION("""COMPUTED_VALUE"""),"nicole.sellin@ortrail.k12.or.us")</f>
        <v>nicole.sellin@ortrail.k12.or.us</v>
      </c>
      <c r="U3318" s="6" t="str">
        <f>IFERROR(__xludf.DUMMYFUNCTION("""COMPUTED_VALUE"""),"5")</f>
        <v>5</v>
      </c>
      <c r="V3318" s="6" t="str">
        <f>IFERROR(__xludf.DUMMYFUNCTION("""COMPUTED_VALUE"""),"English")</f>
        <v>English</v>
      </c>
      <c r="W3318" s="6" t="str">
        <f>IFERROR(__xludf.DUMMYFUNCTION("""COMPUTED_VALUE"""),"[]")</f>
        <v>[]</v>
      </c>
      <c r="X3318" s="6" t="str">
        <f>IFERROR(__xludf.DUMMYFUNCTION("""COMPUTED_VALUE"""),"Enrolled")</f>
        <v>Enrolled</v>
      </c>
    </row>
    <row r="3319">
      <c r="A3319" s="6" t="str">
        <f>IFERROR(__xludf.DUMMYFUNCTION("""COMPUTED_VALUE"""),"064-6199")</f>
        <v>064-6199</v>
      </c>
      <c r="B3319" s="6" t="str">
        <f>IFERROR(__xludf.DUMMYFUNCTION("""COMPUTED_VALUE"""),"64")</f>
        <v>64</v>
      </c>
      <c r="C3319" s="6" t="str">
        <f>IFERROR(__xludf.DUMMYFUNCTION("""COMPUTED_VALUE"""),"6199")</f>
        <v>6199</v>
      </c>
      <c r="D3319" s="6" t="str">
        <f>IFERROR(__xludf.DUMMYFUNCTION("""COMPUTED_VALUE"""),"Autumn")</f>
        <v>Autumn</v>
      </c>
      <c r="E3319" s="6" t="str">
        <f>IFERROR(__xludf.DUMMYFUNCTION("""COMPUTED_VALUE"""),"")</f>
        <v/>
      </c>
      <c r="F3319" s="6" t="str">
        <f>IFERROR(__xludf.DUMMYFUNCTION("""COMPUTED_VALUE"""),"Petronek")</f>
        <v>Petronek</v>
      </c>
      <c r="G3319" s="6" t="str">
        <f>IFERROR(__xludf.DUMMYFUNCTION("""COMPUTED_VALUE"""),"03/20/2015")</f>
        <v>03/20/2015</v>
      </c>
      <c r="H3319" s="6" t="str">
        <f>IFERROR(__xludf.DUMMYFUNCTION("""COMPUTED_VALUE"""),"Self Identify")</f>
        <v>Self Identify</v>
      </c>
      <c r="I3319" s="6" t="str">
        <f>IFERROR(__xludf.DUMMYFUNCTION("""COMPUTED_VALUE"""),"Level 2")</f>
        <v>Level 2</v>
      </c>
      <c r="J3319" s="6" t="str">
        <f>IFERROR(__xludf.DUMMYFUNCTION("""COMPUTED_VALUE"""),"5")</f>
        <v>5</v>
      </c>
      <c r="K3319" s="6" t="str">
        <f>IFERROR(__xludf.DUMMYFUNCTION("""COMPUTED_VALUE"""),"autumn_petronek@stu.ortrail.k12.or.us")</f>
        <v>autumn_petronek@stu.ortrail.k12.or.us</v>
      </c>
      <c r="L3319" s="6" t="str">
        <f>IFERROR(__xludf.DUMMYFUNCTION("""COMPUTED_VALUE"""),"Oregon Trail School District 46")</f>
        <v>Oregon Trail School District 46</v>
      </c>
      <c r="M3319" s="6" t="str">
        <f>IFERROR(__xludf.DUMMYFUNCTION("""COMPUTED_VALUE"""),"Kelso Elementary School")</f>
        <v>Kelso Elementary School</v>
      </c>
      <c r="N3319" s="6" t="str">
        <f>IFERROR(__xludf.DUMMYFUNCTION("""COMPUTED_VALUE"""),"")</f>
        <v/>
      </c>
      <c r="O3319" s="87" t="str">
        <f>IFERROR(__xludf.DUMMYFUNCTION("""COMPUTED_VALUE"""),"https://drive.google.com/drive/folders/10T2cTQHqEJZqE-st6uFKPoI?usp=share_link")</f>
        <v>https://drive.google.com/drive/folders/10T2cTQHqEJZqE-st6uFKPoI?usp=share_link</v>
      </c>
      <c r="P3319" s="6" t="str">
        <f>IFERROR(__xludf.DUMMYFUNCTION("""COMPUTED_VALUE"""),"Autumn Petronek")</f>
        <v>Autumn Petronek</v>
      </c>
      <c r="Q3319" s="6" t="str">
        <f>IFERROR(__xludf.DUMMYFUNCTION("""COMPUTED_VALUE"""),"L2")</f>
        <v>L2</v>
      </c>
      <c r="R3319" s="6">
        <f>IFERROR(__xludf.DUMMYFUNCTION("""COMPUTED_VALUE"""),2.0)</f>
        <v>2</v>
      </c>
      <c r="S3319" s="6" t="str">
        <f>IFERROR(__xludf.DUMMYFUNCTION("""COMPUTED_VALUE"""),"Nicole Sellin")</f>
        <v>Nicole Sellin</v>
      </c>
      <c r="T3319" s="6" t="str">
        <f>IFERROR(__xludf.DUMMYFUNCTION("""COMPUTED_VALUE"""),"nicole.sellin@ortrail.k12.or.us")</f>
        <v>nicole.sellin@ortrail.k12.or.us</v>
      </c>
      <c r="U3319" s="6" t="str">
        <f>IFERROR(__xludf.DUMMYFUNCTION("""COMPUTED_VALUE"""),"5")</f>
        <v>5</v>
      </c>
      <c r="V3319" s="6" t="str">
        <f>IFERROR(__xludf.DUMMYFUNCTION("""COMPUTED_VALUE"""),"English")</f>
        <v>English</v>
      </c>
      <c r="W3319" s="6" t="str">
        <f>IFERROR(__xludf.DUMMYFUNCTION("""COMPUTED_VALUE"""),"[]")</f>
        <v>[]</v>
      </c>
      <c r="X3319" s="6" t="str">
        <f>IFERROR(__xludf.DUMMYFUNCTION("""COMPUTED_VALUE"""),"Enrolled")</f>
        <v>Enrolled</v>
      </c>
    </row>
    <row r="3320">
      <c r="A3320" s="6" t="str">
        <f>IFERROR(__xludf.DUMMYFUNCTION("""COMPUTED_VALUE"""),"064-6201")</f>
        <v>064-6201</v>
      </c>
      <c r="B3320" s="6" t="str">
        <f>IFERROR(__xludf.DUMMYFUNCTION("""COMPUTED_VALUE"""),"64")</f>
        <v>64</v>
      </c>
      <c r="C3320" s="6" t="str">
        <f>IFERROR(__xludf.DUMMYFUNCTION("""COMPUTED_VALUE"""),"6201")</f>
        <v>6201</v>
      </c>
      <c r="D3320" s="6" t="str">
        <f>IFERROR(__xludf.DUMMYFUNCTION("""COMPUTED_VALUE"""),"Jaxavier")</f>
        <v>Jaxavier</v>
      </c>
      <c r="E3320" s="6" t="str">
        <f>IFERROR(__xludf.DUMMYFUNCTION("""COMPUTED_VALUE"""),"")</f>
        <v/>
      </c>
      <c r="F3320" s="6" t="str">
        <f>IFERROR(__xludf.DUMMYFUNCTION("""COMPUTED_VALUE"""),"Prewitt")</f>
        <v>Prewitt</v>
      </c>
      <c r="G3320" s="6" t="str">
        <f>IFERROR(__xludf.DUMMYFUNCTION("""COMPUTED_VALUE"""),"12/07/2014")</f>
        <v>12/07/2014</v>
      </c>
      <c r="H3320" s="6" t="str">
        <f>IFERROR(__xludf.DUMMYFUNCTION("""COMPUTED_VALUE"""),"Self Identify")</f>
        <v>Self Identify</v>
      </c>
      <c r="I3320" s="6" t="str">
        <f>IFERROR(__xludf.DUMMYFUNCTION("""COMPUTED_VALUE"""),"Level 2")</f>
        <v>Level 2</v>
      </c>
      <c r="J3320" s="6" t="str">
        <f>IFERROR(__xludf.DUMMYFUNCTION("""COMPUTED_VALUE"""),"5")</f>
        <v>5</v>
      </c>
      <c r="K3320" s="6" t="str">
        <f>IFERROR(__xludf.DUMMYFUNCTION("""COMPUTED_VALUE"""),"jaxavier_prewitt@stu.ortrail.k12.or.us")</f>
        <v>jaxavier_prewitt@stu.ortrail.k12.or.us</v>
      </c>
      <c r="L3320" s="6" t="str">
        <f>IFERROR(__xludf.DUMMYFUNCTION("""COMPUTED_VALUE"""),"Oregon Trail School District 46")</f>
        <v>Oregon Trail School District 46</v>
      </c>
      <c r="M3320" s="6" t="str">
        <f>IFERROR(__xludf.DUMMYFUNCTION("""COMPUTED_VALUE"""),"Kelso Elementary School")</f>
        <v>Kelso Elementary School</v>
      </c>
      <c r="N3320" s="6" t="str">
        <f>IFERROR(__xludf.DUMMYFUNCTION("""COMPUTED_VALUE"""),"")</f>
        <v/>
      </c>
      <c r="O3320" s="87" t="str">
        <f>IFERROR(__xludf.DUMMYFUNCTION("""COMPUTED_VALUE"""),"https://drive.google.com/drive/folders/10T2cTQHqEJZqE-st6uFKPoI?usp=share_link")</f>
        <v>https://drive.google.com/drive/folders/10T2cTQHqEJZqE-st6uFKPoI?usp=share_link</v>
      </c>
      <c r="P3320" s="6" t="str">
        <f>IFERROR(__xludf.DUMMYFUNCTION("""COMPUTED_VALUE"""),"Jaxavier Prewitt")</f>
        <v>Jaxavier Prewitt</v>
      </c>
      <c r="Q3320" s="6" t="str">
        <f>IFERROR(__xludf.DUMMYFUNCTION("""COMPUTED_VALUE"""),"L2")</f>
        <v>L2</v>
      </c>
      <c r="R3320" s="6">
        <f>IFERROR(__xludf.DUMMYFUNCTION("""COMPUTED_VALUE"""),2.0)</f>
        <v>2</v>
      </c>
      <c r="S3320" s="6" t="str">
        <f>IFERROR(__xludf.DUMMYFUNCTION("""COMPUTED_VALUE"""),"Jessica Minch")</f>
        <v>Jessica Minch</v>
      </c>
      <c r="T3320" s="6" t="str">
        <f>IFERROR(__xludf.DUMMYFUNCTION("""COMPUTED_VALUE"""),"jessica.minch@ortrail.k12.or.us")</f>
        <v>jessica.minch@ortrail.k12.or.us</v>
      </c>
      <c r="U3320" s="6" t="str">
        <f>IFERROR(__xludf.DUMMYFUNCTION("""COMPUTED_VALUE"""),"5")</f>
        <v>5</v>
      </c>
      <c r="V3320" s="6" t="str">
        <f>IFERROR(__xludf.DUMMYFUNCTION("""COMPUTED_VALUE"""),"English")</f>
        <v>English</v>
      </c>
      <c r="W3320" s="6" t="str">
        <f>IFERROR(__xludf.DUMMYFUNCTION("""COMPUTED_VALUE"""),"[]")</f>
        <v>[]</v>
      </c>
      <c r="X3320" s="6" t="str">
        <f>IFERROR(__xludf.DUMMYFUNCTION("""COMPUTED_VALUE"""),"Enrolled")</f>
        <v>Enrolled</v>
      </c>
    </row>
    <row r="3321">
      <c r="A3321" s="6" t="str">
        <f>IFERROR(__xludf.DUMMYFUNCTION("""COMPUTED_VALUE"""),"064-6202")</f>
        <v>064-6202</v>
      </c>
      <c r="B3321" s="6" t="str">
        <f>IFERROR(__xludf.DUMMYFUNCTION("""COMPUTED_VALUE"""),"64")</f>
        <v>64</v>
      </c>
      <c r="C3321" s="6" t="str">
        <f>IFERROR(__xludf.DUMMYFUNCTION("""COMPUTED_VALUE"""),"6202")</f>
        <v>6202</v>
      </c>
      <c r="D3321" s="6" t="str">
        <f>IFERROR(__xludf.DUMMYFUNCTION("""COMPUTED_VALUE"""),"Joseph")</f>
        <v>Joseph</v>
      </c>
      <c r="E3321" s="6" t="str">
        <f>IFERROR(__xludf.DUMMYFUNCTION("""COMPUTED_VALUE"""),"")</f>
        <v/>
      </c>
      <c r="F3321" s="6" t="str">
        <f>IFERROR(__xludf.DUMMYFUNCTION("""COMPUTED_VALUE"""),"Prewitt")</f>
        <v>Prewitt</v>
      </c>
      <c r="G3321" s="6" t="str">
        <f>IFERROR(__xludf.DUMMYFUNCTION("""COMPUTED_VALUE"""),"12/07/2014")</f>
        <v>12/07/2014</v>
      </c>
      <c r="H3321" s="6" t="str">
        <f>IFERROR(__xludf.DUMMYFUNCTION("""COMPUTED_VALUE"""),"M")</f>
        <v>M</v>
      </c>
      <c r="I3321" s="6" t="str">
        <f>IFERROR(__xludf.DUMMYFUNCTION("""COMPUTED_VALUE"""),"Level 2")</f>
        <v>Level 2</v>
      </c>
      <c r="J3321" s="6" t="str">
        <f>IFERROR(__xludf.DUMMYFUNCTION("""COMPUTED_VALUE"""),"5")</f>
        <v>5</v>
      </c>
      <c r="K3321" s="6" t="str">
        <f>IFERROR(__xludf.DUMMYFUNCTION("""COMPUTED_VALUE"""),"joseph_prewitt@stu.ortrail.k12.or.us")</f>
        <v>joseph_prewitt@stu.ortrail.k12.or.us</v>
      </c>
      <c r="L3321" s="6" t="str">
        <f>IFERROR(__xludf.DUMMYFUNCTION("""COMPUTED_VALUE"""),"Oregon Trail School District 46")</f>
        <v>Oregon Trail School District 46</v>
      </c>
      <c r="M3321" s="6" t="str">
        <f>IFERROR(__xludf.DUMMYFUNCTION("""COMPUTED_VALUE"""),"")</f>
        <v/>
      </c>
      <c r="N3321" s="6" t="str">
        <f>IFERROR(__xludf.DUMMYFUNCTION("""COMPUTED_VALUE"""),"")</f>
        <v/>
      </c>
      <c r="O3321" s="87" t="str">
        <f>IFERROR(__xludf.DUMMYFUNCTION("""COMPUTED_VALUE"""),"https://drive.google.com/drive/folders/10T2cTQHqEJZqE-st6uFKPoI?usp=share_link")</f>
        <v>https://drive.google.com/drive/folders/10T2cTQHqEJZqE-st6uFKPoI?usp=share_link</v>
      </c>
      <c r="P3321" s="6" t="str">
        <f>IFERROR(__xludf.DUMMYFUNCTION("""COMPUTED_VALUE"""),"Joseph Prewitt")</f>
        <v>Joseph Prewitt</v>
      </c>
      <c r="Q3321" s="6" t="str">
        <f>IFERROR(__xludf.DUMMYFUNCTION("""COMPUTED_VALUE"""),"L2")</f>
        <v>L2</v>
      </c>
      <c r="R3321" s="6">
        <f>IFERROR(__xludf.DUMMYFUNCTION("""COMPUTED_VALUE"""),2.0)</f>
        <v>2</v>
      </c>
      <c r="S3321" s="6" t="str">
        <f>IFERROR(__xludf.DUMMYFUNCTION("""COMPUTED_VALUE"""),"Genevra Self")</f>
        <v>Genevra Self</v>
      </c>
      <c r="T3321" s="6" t="str">
        <f>IFERROR(__xludf.DUMMYFUNCTION("""COMPUTED_VALUE"""),"genevra.self@studient.com")</f>
        <v>genevra.self@studient.com</v>
      </c>
      <c r="U3321" s="6" t="str">
        <f>IFERROR(__xludf.DUMMYFUNCTION("""COMPUTED_VALUE"""),"5")</f>
        <v>5</v>
      </c>
      <c r="V3321" s="6" t="str">
        <f>IFERROR(__xludf.DUMMYFUNCTION("""COMPUTED_VALUE"""),"English")</f>
        <v>English</v>
      </c>
      <c r="W3321" s="6" t="str">
        <f>IFERROR(__xludf.DUMMYFUNCTION("""COMPUTED_VALUE"""),"[]")</f>
        <v>[]</v>
      </c>
      <c r="X3321" s="6" t="str">
        <f>IFERROR(__xludf.DUMMYFUNCTION("""COMPUTED_VALUE"""),"Enrolled")</f>
        <v>Enrolled</v>
      </c>
    </row>
    <row r="3322">
      <c r="A3322" s="6" t="str">
        <f>IFERROR(__xludf.DUMMYFUNCTION("""COMPUTED_VALUE"""),"064-6203")</f>
        <v>064-6203</v>
      </c>
      <c r="B3322" s="6" t="str">
        <f>IFERROR(__xludf.DUMMYFUNCTION("""COMPUTED_VALUE"""),"64")</f>
        <v>64</v>
      </c>
      <c r="C3322" s="6" t="str">
        <f>IFERROR(__xludf.DUMMYFUNCTION("""COMPUTED_VALUE"""),"6203")</f>
        <v>6203</v>
      </c>
      <c r="D3322" s="6" t="str">
        <f>IFERROR(__xludf.DUMMYFUNCTION("""COMPUTED_VALUE"""),"Astraea")</f>
        <v>Astraea</v>
      </c>
      <c r="E3322" s="6" t="str">
        <f>IFERROR(__xludf.DUMMYFUNCTION("""COMPUTED_VALUE"""),"")</f>
        <v/>
      </c>
      <c r="F3322" s="6" t="str">
        <f>IFERROR(__xludf.DUMMYFUNCTION("""COMPUTED_VALUE"""),"Reyes")</f>
        <v>Reyes</v>
      </c>
      <c r="G3322" s="6" t="str">
        <f>IFERROR(__xludf.DUMMYFUNCTION("""COMPUTED_VALUE"""),"11/17/2014")</f>
        <v>11/17/2014</v>
      </c>
      <c r="H3322" s="6" t="str">
        <f>IFERROR(__xludf.DUMMYFUNCTION("""COMPUTED_VALUE"""),"Self Identify")</f>
        <v>Self Identify</v>
      </c>
      <c r="I3322" s="6" t="str">
        <f>IFERROR(__xludf.DUMMYFUNCTION("""COMPUTED_VALUE"""),"Level 2")</f>
        <v>Level 2</v>
      </c>
      <c r="J3322" s="6" t="str">
        <f>IFERROR(__xludf.DUMMYFUNCTION("""COMPUTED_VALUE"""),"5")</f>
        <v>5</v>
      </c>
      <c r="K3322" s="6" t="str">
        <f>IFERROR(__xludf.DUMMYFUNCTION("""COMPUTED_VALUE"""),"astraea_reyes@stu.ortrail.k12.or.us")</f>
        <v>astraea_reyes@stu.ortrail.k12.or.us</v>
      </c>
      <c r="L3322" s="6" t="str">
        <f>IFERROR(__xludf.DUMMYFUNCTION("""COMPUTED_VALUE"""),"Oregon Trail School District 46")</f>
        <v>Oregon Trail School District 46</v>
      </c>
      <c r="M3322" s="6" t="str">
        <f>IFERROR(__xludf.DUMMYFUNCTION("""COMPUTED_VALUE"""),"Kelso Elementary School")</f>
        <v>Kelso Elementary School</v>
      </c>
      <c r="N3322" s="6" t="str">
        <f>IFERROR(__xludf.DUMMYFUNCTION("""COMPUTED_VALUE"""),"")</f>
        <v/>
      </c>
      <c r="O3322" s="87" t="str">
        <f>IFERROR(__xludf.DUMMYFUNCTION("""COMPUTED_VALUE"""),"https://drive.google.com/drive/folders/10T2cTQHqEJZqE-st6uFKPoI?usp=share_link")</f>
        <v>https://drive.google.com/drive/folders/10T2cTQHqEJZqE-st6uFKPoI?usp=share_link</v>
      </c>
      <c r="P3322" s="6" t="str">
        <f>IFERROR(__xludf.DUMMYFUNCTION("""COMPUTED_VALUE"""),"Astraea Reyes")</f>
        <v>Astraea Reyes</v>
      </c>
      <c r="Q3322" s="6" t="str">
        <f>IFERROR(__xludf.DUMMYFUNCTION("""COMPUTED_VALUE"""),"L2")</f>
        <v>L2</v>
      </c>
      <c r="R3322" s="6">
        <f>IFERROR(__xludf.DUMMYFUNCTION("""COMPUTED_VALUE"""),2.0)</f>
        <v>2</v>
      </c>
      <c r="S3322" s="6" t="str">
        <f>IFERROR(__xludf.DUMMYFUNCTION("""COMPUTED_VALUE"""),"Jessica Minch")</f>
        <v>Jessica Minch</v>
      </c>
      <c r="T3322" s="6" t="str">
        <f>IFERROR(__xludf.DUMMYFUNCTION("""COMPUTED_VALUE"""),"jessica.minch@ortrail.k12.or.us")</f>
        <v>jessica.minch@ortrail.k12.or.us</v>
      </c>
      <c r="U3322" s="6" t="str">
        <f>IFERROR(__xludf.DUMMYFUNCTION("""COMPUTED_VALUE"""),"5")</f>
        <v>5</v>
      </c>
      <c r="V3322" s="6" t="str">
        <f>IFERROR(__xludf.DUMMYFUNCTION("""COMPUTED_VALUE"""),"English")</f>
        <v>English</v>
      </c>
      <c r="W3322" s="6" t="str">
        <f>IFERROR(__xludf.DUMMYFUNCTION("""COMPUTED_VALUE"""),"[]")</f>
        <v>[]</v>
      </c>
      <c r="X3322" s="6" t="str">
        <f>IFERROR(__xludf.DUMMYFUNCTION("""COMPUTED_VALUE"""),"Enrolled")</f>
        <v>Enrolled</v>
      </c>
    </row>
    <row r="3323">
      <c r="A3323" s="6" t="str">
        <f>IFERROR(__xludf.DUMMYFUNCTION("""COMPUTED_VALUE"""),"064-6204")</f>
        <v>064-6204</v>
      </c>
      <c r="B3323" s="6" t="str">
        <f>IFERROR(__xludf.DUMMYFUNCTION("""COMPUTED_VALUE"""),"64")</f>
        <v>64</v>
      </c>
      <c r="C3323" s="6" t="str">
        <f>IFERROR(__xludf.DUMMYFUNCTION("""COMPUTED_VALUE"""),"6204")</f>
        <v>6204</v>
      </c>
      <c r="D3323" s="6" t="str">
        <f>IFERROR(__xludf.DUMMYFUNCTION("""COMPUTED_VALUE"""),"Ana")</f>
        <v>Ana</v>
      </c>
      <c r="E3323" s="6" t="str">
        <f>IFERROR(__xludf.DUMMYFUNCTION("""COMPUTED_VALUE"""),"")</f>
        <v/>
      </c>
      <c r="F3323" s="6" t="str">
        <f>IFERROR(__xludf.DUMMYFUNCTION("""COMPUTED_VALUE"""),"Rivera-Villegas")</f>
        <v>Rivera-Villegas</v>
      </c>
      <c r="G3323" s="6" t="str">
        <f>IFERROR(__xludf.DUMMYFUNCTION("""COMPUTED_VALUE"""),"10/21/2014")</f>
        <v>10/21/2014</v>
      </c>
      <c r="H3323" s="6" t="str">
        <f>IFERROR(__xludf.DUMMYFUNCTION("""COMPUTED_VALUE"""),"Self Identify")</f>
        <v>Self Identify</v>
      </c>
      <c r="I3323" s="6" t="str">
        <f>IFERROR(__xludf.DUMMYFUNCTION("""COMPUTED_VALUE"""),"Level 2")</f>
        <v>Level 2</v>
      </c>
      <c r="J3323" s="6" t="str">
        <f>IFERROR(__xludf.DUMMYFUNCTION("""COMPUTED_VALUE"""),"5")</f>
        <v>5</v>
      </c>
      <c r="K3323" s="6" t="str">
        <f>IFERROR(__xludf.DUMMYFUNCTION("""COMPUTED_VALUE"""),"ana_riveravillegas@stu.ortrail.k12.or.us")</f>
        <v>ana_riveravillegas@stu.ortrail.k12.or.us</v>
      </c>
      <c r="L3323" s="6" t="str">
        <f>IFERROR(__xludf.DUMMYFUNCTION("""COMPUTED_VALUE"""),"Oregon Trail School District 46")</f>
        <v>Oregon Trail School District 46</v>
      </c>
      <c r="M3323" s="6" t="str">
        <f>IFERROR(__xludf.DUMMYFUNCTION("""COMPUTED_VALUE"""),"Kelso Elementary School")</f>
        <v>Kelso Elementary School</v>
      </c>
      <c r="N3323" s="6" t="str">
        <f>IFERROR(__xludf.DUMMYFUNCTION("""COMPUTED_VALUE"""),"")</f>
        <v/>
      </c>
      <c r="O3323" s="87" t="str">
        <f>IFERROR(__xludf.DUMMYFUNCTION("""COMPUTED_VALUE"""),"https://drive.google.com/drive/folders/10T2cTQHqEJZqE-st6uFKPoI?usp=share_link")</f>
        <v>https://drive.google.com/drive/folders/10T2cTQHqEJZqE-st6uFKPoI?usp=share_link</v>
      </c>
      <c r="P3323" s="6" t="str">
        <f>IFERROR(__xludf.DUMMYFUNCTION("""COMPUTED_VALUE"""),"Ana Rivera-Villegas")</f>
        <v>Ana Rivera-Villegas</v>
      </c>
      <c r="Q3323" s="6" t="str">
        <f>IFERROR(__xludf.DUMMYFUNCTION("""COMPUTED_VALUE"""),"L2")</f>
        <v>L2</v>
      </c>
      <c r="R3323" s="6">
        <f>IFERROR(__xludf.DUMMYFUNCTION("""COMPUTED_VALUE"""),2.0)</f>
        <v>2</v>
      </c>
      <c r="S3323" s="6" t="str">
        <f>IFERROR(__xludf.DUMMYFUNCTION("""COMPUTED_VALUE"""),"Jessica Minch")</f>
        <v>Jessica Minch</v>
      </c>
      <c r="T3323" s="6" t="str">
        <f>IFERROR(__xludf.DUMMYFUNCTION("""COMPUTED_VALUE"""),"jessica.minch@ortrail.k12.or.us")</f>
        <v>jessica.minch@ortrail.k12.or.us</v>
      </c>
      <c r="U3323" s="6" t="str">
        <f>IFERROR(__xludf.DUMMYFUNCTION("""COMPUTED_VALUE"""),"5")</f>
        <v>5</v>
      </c>
      <c r="V3323" s="6" t="str">
        <f>IFERROR(__xludf.DUMMYFUNCTION("""COMPUTED_VALUE"""),"English")</f>
        <v>English</v>
      </c>
      <c r="W3323" s="6" t="str">
        <f>IFERROR(__xludf.DUMMYFUNCTION("""COMPUTED_VALUE"""),"[]")</f>
        <v>[]</v>
      </c>
      <c r="X3323" s="6" t="str">
        <f>IFERROR(__xludf.DUMMYFUNCTION("""COMPUTED_VALUE"""),"Enrolled")</f>
        <v>Enrolled</v>
      </c>
    </row>
    <row r="3324">
      <c r="A3324" s="6" t="str">
        <f>IFERROR(__xludf.DUMMYFUNCTION("""COMPUTED_VALUE"""),"064-6205")</f>
        <v>064-6205</v>
      </c>
      <c r="B3324" s="6" t="str">
        <f>IFERROR(__xludf.DUMMYFUNCTION("""COMPUTED_VALUE"""),"64")</f>
        <v>64</v>
      </c>
      <c r="C3324" s="6" t="str">
        <f>IFERROR(__xludf.DUMMYFUNCTION("""COMPUTED_VALUE"""),"6205")</f>
        <v>6205</v>
      </c>
      <c r="D3324" s="6" t="str">
        <f>IFERROR(__xludf.DUMMYFUNCTION("""COMPUTED_VALUE"""),"Mackenzie")</f>
        <v>Mackenzie</v>
      </c>
      <c r="E3324" s="6" t="str">
        <f>IFERROR(__xludf.DUMMYFUNCTION("""COMPUTED_VALUE"""),"")</f>
        <v/>
      </c>
      <c r="F3324" s="6" t="str">
        <f>IFERROR(__xludf.DUMMYFUNCTION("""COMPUTED_VALUE"""),"Rogers")</f>
        <v>Rogers</v>
      </c>
      <c r="G3324" s="6" t="str">
        <f>IFERROR(__xludf.DUMMYFUNCTION("""COMPUTED_VALUE"""),"04/26/2015")</f>
        <v>04/26/2015</v>
      </c>
      <c r="H3324" s="6" t="str">
        <f>IFERROR(__xludf.DUMMYFUNCTION("""COMPUTED_VALUE"""),"Self Identify")</f>
        <v>Self Identify</v>
      </c>
      <c r="I3324" s="6" t="str">
        <f>IFERROR(__xludf.DUMMYFUNCTION("""COMPUTED_VALUE"""),"Level 2")</f>
        <v>Level 2</v>
      </c>
      <c r="J3324" s="6" t="str">
        <f>IFERROR(__xludf.DUMMYFUNCTION("""COMPUTED_VALUE"""),"5")</f>
        <v>5</v>
      </c>
      <c r="K3324" s="6" t="str">
        <f>IFERROR(__xludf.DUMMYFUNCTION("""COMPUTED_VALUE"""),"mackenzie_rogers@stu.ortrail.k12.or.us")</f>
        <v>mackenzie_rogers@stu.ortrail.k12.or.us</v>
      </c>
      <c r="L3324" s="6" t="str">
        <f>IFERROR(__xludf.DUMMYFUNCTION("""COMPUTED_VALUE"""),"Oregon Trail School District 46")</f>
        <v>Oregon Trail School District 46</v>
      </c>
      <c r="M3324" s="6" t="str">
        <f>IFERROR(__xludf.DUMMYFUNCTION("""COMPUTED_VALUE"""),"Kelso Elementary School")</f>
        <v>Kelso Elementary School</v>
      </c>
      <c r="N3324" s="6" t="str">
        <f>IFERROR(__xludf.DUMMYFUNCTION("""COMPUTED_VALUE"""),"")</f>
        <v/>
      </c>
      <c r="O3324" s="87" t="str">
        <f>IFERROR(__xludf.DUMMYFUNCTION("""COMPUTED_VALUE"""),"https://drive.google.com/drive/folders/10T2cTQHqEJZqE-st6uFKPoI?usp=share_link")</f>
        <v>https://drive.google.com/drive/folders/10T2cTQHqEJZqE-st6uFKPoI?usp=share_link</v>
      </c>
      <c r="P3324" s="6" t="str">
        <f>IFERROR(__xludf.DUMMYFUNCTION("""COMPUTED_VALUE"""),"Mackenzie Rogers")</f>
        <v>Mackenzie Rogers</v>
      </c>
      <c r="Q3324" s="6" t="str">
        <f>IFERROR(__xludf.DUMMYFUNCTION("""COMPUTED_VALUE"""),"L2")</f>
        <v>L2</v>
      </c>
      <c r="R3324" s="6">
        <f>IFERROR(__xludf.DUMMYFUNCTION("""COMPUTED_VALUE"""),2.0)</f>
        <v>2</v>
      </c>
      <c r="S3324" s="6" t="str">
        <f>IFERROR(__xludf.DUMMYFUNCTION("""COMPUTED_VALUE"""),"Nicole Sellin")</f>
        <v>Nicole Sellin</v>
      </c>
      <c r="T3324" s="6" t="str">
        <f>IFERROR(__xludf.DUMMYFUNCTION("""COMPUTED_VALUE"""),"nicole.sellin@ortrail.k12.or.us")</f>
        <v>nicole.sellin@ortrail.k12.or.us</v>
      </c>
      <c r="U3324" s="6" t="str">
        <f>IFERROR(__xludf.DUMMYFUNCTION("""COMPUTED_VALUE"""),"5")</f>
        <v>5</v>
      </c>
      <c r="V3324" s="6" t="str">
        <f>IFERROR(__xludf.DUMMYFUNCTION("""COMPUTED_VALUE"""),"English")</f>
        <v>English</v>
      </c>
      <c r="W3324" s="6" t="str">
        <f>IFERROR(__xludf.DUMMYFUNCTION("""COMPUTED_VALUE"""),"[]")</f>
        <v>[]</v>
      </c>
      <c r="X3324" s="6" t="str">
        <f>IFERROR(__xludf.DUMMYFUNCTION("""COMPUTED_VALUE"""),"Enrolled")</f>
        <v>Enrolled</v>
      </c>
    </row>
    <row r="3325">
      <c r="A3325" s="6" t="str">
        <f>IFERROR(__xludf.DUMMYFUNCTION("""COMPUTED_VALUE"""),"064-6206")</f>
        <v>064-6206</v>
      </c>
      <c r="B3325" s="6" t="str">
        <f>IFERROR(__xludf.DUMMYFUNCTION("""COMPUTED_VALUE"""),"64")</f>
        <v>64</v>
      </c>
      <c r="C3325" s="6" t="str">
        <f>IFERROR(__xludf.DUMMYFUNCTION("""COMPUTED_VALUE"""),"6206")</f>
        <v>6206</v>
      </c>
      <c r="D3325" s="6" t="str">
        <f>IFERROR(__xludf.DUMMYFUNCTION("""COMPUTED_VALUE"""),"Mila")</f>
        <v>Mila</v>
      </c>
      <c r="E3325" s="6" t="str">
        <f>IFERROR(__xludf.DUMMYFUNCTION("""COMPUTED_VALUE"""),"")</f>
        <v/>
      </c>
      <c r="F3325" s="6" t="str">
        <f>IFERROR(__xludf.DUMMYFUNCTION("""COMPUTED_VALUE"""),"Scheller")</f>
        <v>Scheller</v>
      </c>
      <c r="G3325" s="6" t="str">
        <f>IFERROR(__xludf.DUMMYFUNCTION("""COMPUTED_VALUE"""),"04/25/2015")</f>
        <v>04/25/2015</v>
      </c>
      <c r="H3325" s="6" t="str">
        <f>IFERROR(__xludf.DUMMYFUNCTION("""COMPUTED_VALUE"""),"Self Identify")</f>
        <v>Self Identify</v>
      </c>
      <c r="I3325" s="6" t="str">
        <f>IFERROR(__xludf.DUMMYFUNCTION("""COMPUTED_VALUE"""),"Level 2")</f>
        <v>Level 2</v>
      </c>
      <c r="J3325" s="6" t="str">
        <f>IFERROR(__xludf.DUMMYFUNCTION("""COMPUTED_VALUE"""),"5")</f>
        <v>5</v>
      </c>
      <c r="K3325" s="6" t="str">
        <f>IFERROR(__xludf.DUMMYFUNCTION("""COMPUTED_VALUE"""),"mila_scheller@stu.ortrail.k12.or.us")</f>
        <v>mila_scheller@stu.ortrail.k12.or.us</v>
      </c>
      <c r="L3325" s="6" t="str">
        <f>IFERROR(__xludf.DUMMYFUNCTION("""COMPUTED_VALUE"""),"Oregon Trail School District 46")</f>
        <v>Oregon Trail School District 46</v>
      </c>
      <c r="M3325" s="6" t="str">
        <f>IFERROR(__xludf.DUMMYFUNCTION("""COMPUTED_VALUE"""),"Kelso Elementary School")</f>
        <v>Kelso Elementary School</v>
      </c>
      <c r="N3325" s="6" t="str">
        <f>IFERROR(__xludf.DUMMYFUNCTION("""COMPUTED_VALUE"""),"")</f>
        <v/>
      </c>
      <c r="O3325" s="87" t="str">
        <f>IFERROR(__xludf.DUMMYFUNCTION("""COMPUTED_VALUE"""),"https://drive.google.com/drive/folders/10T2cTQHqEJZqE-st6uFKPoI?usp=share_link")</f>
        <v>https://drive.google.com/drive/folders/10T2cTQHqEJZqE-st6uFKPoI?usp=share_link</v>
      </c>
      <c r="P3325" s="6" t="str">
        <f>IFERROR(__xludf.DUMMYFUNCTION("""COMPUTED_VALUE"""),"Mila Scheller")</f>
        <v>Mila Scheller</v>
      </c>
      <c r="Q3325" s="6" t="str">
        <f>IFERROR(__xludf.DUMMYFUNCTION("""COMPUTED_VALUE"""),"L2")</f>
        <v>L2</v>
      </c>
      <c r="R3325" s="6">
        <f>IFERROR(__xludf.DUMMYFUNCTION("""COMPUTED_VALUE"""),2.0)</f>
        <v>2</v>
      </c>
      <c r="S3325" s="6" t="str">
        <f>IFERROR(__xludf.DUMMYFUNCTION("""COMPUTED_VALUE"""),"Jessica Minch")</f>
        <v>Jessica Minch</v>
      </c>
      <c r="T3325" s="6" t="str">
        <f>IFERROR(__xludf.DUMMYFUNCTION("""COMPUTED_VALUE"""),"jessica.minch@ortrail.k12.or.us")</f>
        <v>jessica.minch@ortrail.k12.or.us</v>
      </c>
      <c r="U3325" s="6" t="str">
        <f>IFERROR(__xludf.DUMMYFUNCTION("""COMPUTED_VALUE"""),"5")</f>
        <v>5</v>
      </c>
      <c r="V3325" s="6" t="str">
        <f>IFERROR(__xludf.DUMMYFUNCTION("""COMPUTED_VALUE"""),"English")</f>
        <v>English</v>
      </c>
      <c r="W3325" s="6" t="str">
        <f>IFERROR(__xludf.DUMMYFUNCTION("""COMPUTED_VALUE"""),"[]")</f>
        <v>[]</v>
      </c>
      <c r="X3325" s="6" t="str">
        <f>IFERROR(__xludf.DUMMYFUNCTION("""COMPUTED_VALUE"""),"Enrolled")</f>
        <v>Enrolled</v>
      </c>
    </row>
    <row r="3326">
      <c r="A3326" s="6" t="str">
        <f>IFERROR(__xludf.DUMMYFUNCTION("""COMPUTED_VALUE"""),"064-6207")</f>
        <v>064-6207</v>
      </c>
      <c r="B3326" s="6" t="str">
        <f>IFERROR(__xludf.DUMMYFUNCTION("""COMPUTED_VALUE"""),"64")</f>
        <v>64</v>
      </c>
      <c r="C3326" s="6" t="str">
        <f>IFERROR(__xludf.DUMMYFUNCTION("""COMPUTED_VALUE"""),"6207")</f>
        <v>6207</v>
      </c>
      <c r="D3326" s="6" t="str">
        <f>IFERROR(__xludf.DUMMYFUNCTION("""COMPUTED_VALUE"""),"Joseph")</f>
        <v>Joseph</v>
      </c>
      <c r="E3326" s="6" t="str">
        <f>IFERROR(__xludf.DUMMYFUNCTION("""COMPUTED_VALUE"""),"")</f>
        <v/>
      </c>
      <c r="F3326" s="6" t="str">
        <f>IFERROR(__xludf.DUMMYFUNCTION("""COMPUTED_VALUE"""),"Schoffstoll")</f>
        <v>Schoffstoll</v>
      </c>
      <c r="G3326" s="6" t="str">
        <f>IFERROR(__xludf.DUMMYFUNCTION("""COMPUTED_VALUE"""),"09/01/2015")</f>
        <v>09/01/2015</v>
      </c>
      <c r="H3326" s="6" t="str">
        <f>IFERROR(__xludf.DUMMYFUNCTION("""COMPUTED_VALUE"""),"M")</f>
        <v>M</v>
      </c>
      <c r="I3326" s="6" t="str">
        <f>IFERROR(__xludf.DUMMYFUNCTION("""COMPUTED_VALUE"""),"Level 2")</f>
        <v>Level 2</v>
      </c>
      <c r="J3326" s="6" t="str">
        <f>IFERROR(__xludf.DUMMYFUNCTION("""COMPUTED_VALUE"""),"5")</f>
        <v>5</v>
      </c>
      <c r="K3326" s="6" t="str">
        <f>IFERROR(__xludf.DUMMYFUNCTION("""COMPUTED_VALUE"""),"joseph_schoffstoll@stu.ortrail.k12.or.us")</f>
        <v>joseph_schoffstoll@stu.ortrail.k12.or.us</v>
      </c>
      <c r="L3326" s="6" t="str">
        <f>IFERROR(__xludf.DUMMYFUNCTION("""COMPUTED_VALUE"""),"Oregon Trail School District 46")</f>
        <v>Oregon Trail School District 46</v>
      </c>
      <c r="M3326" s="6" t="str">
        <f>IFERROR(__xludf.DUMMYFUNCTION("""COMPUTED_VALUE"""),"")</f>
        <v/>
      </c>
      <c r="N3326" s="6" t="str">
        <f>IFERROR(__xludf.DUMMYFUNCTION("""COMPUTED_VALUE"""),"")</f>
        <v/>
      </c>
      <c r="O3326" s="87" t="str">
        <f>IFERROR(__xludf.DUMMYFUNCTION("""COMPUTED_VALUE"""),"https://drive.google.com/drive/folders/10T2cTQHqEJZqE-st6uFKPoI?usp=share_link")</f>
        <v>https://drive.google.com/drive/folders/10T2cTQHqEJZqE-st6uFKPoI?usp=share_link</v>
      </c>
      <c r="P3326" s="6" t="str">
        <f>IFERROR(__xludf.DUMMYFUNCTION("""COMPUTED_VALUE"""),"Joseph Schoffstoll")</f>
        <v>Joseph Schoffstoll</v>
      </c>
      <c r="Q3326" s="6" t="str">
        <f>IFERROR(__xludf.DUMMYFUNCTION("""COMPUTED_VALUE"""),"L2")</f>
        <v>L2</v>
      </c>
      <c r="R3326" s="6">
        <f>IFERROR(__xludf.DUMMYFUNCTION("""COMPUTED_VALUE"""),2.0)</f>
        <v>2</v>
      </c>
      <c r="S3326" s="6" t="str">
        <f>IFERROR(__xludf.DUMMYFUNCTION("""COMPUTED_VALUE"""),"Genevra Self")</f>
        <v>Genevra Self</v>
      </c>
      <c r="T3326" s="6" t="str">
        <f>IFERROR(__xludf.DUMMYFUNCTION("""COMPUTED_VALUE"""),"genevra.self@studient.com")</f>
        <v>genevra.self@studient.com</v>
      </c>
      <c r="U3326" s="6" t="str">
        <f>IFERROR(__xludf.DUMMYFUNCTION("""COMPUTED_VALUE"""),"5")</f>
        <v>5</v>
      </c>
      <c r="V3326" s="6" t="str">
        <f>IFERROR(__xludf.DUMMYFUNCTION("""COMPUTED_VALUE"""),"English")</f>
        <v>English</v>
      </c>
      <c r="W3326" s="6" t="str">
        <f>IFERROR(__xludf.DUMMYFUNCTION("""COMPUTED_VALUE"""),"[]")</f>
        <v>[]</v>
      </c>
      <c r="X3326" s="6" t="str">
        <f>IFERROR(__xludf.DUMMYFUNCTION("""COMPUTED_VALUE"""),"Enrolled")</f>
        <v>Enrolled</v>
      </c>
    </row>
    <row r="3327">
      <c r="A3327" s="6" t="str">
        <f>IFERROR(__xludf.DUMMYFUNCTION("""COMPUTED_VALUE"""),"064-6208")</f>
        <v>064-6208</v>
      </c>
      <c r="B3327" s="6" t="str">
        <f>IFERROR(__xludf.DUMMYFUNCTION("""COMPUTED_VALUE"""),"64")</f>
        <v>64</v>
      </c>
      <c r="C3327" s="6" t="str">
        <f>IFERROR(__xludf.DUMMYFUNCTION("""COMPUTED_VALUE"""),"6208")</f>
        <v>6208</v>
      </c>
      <c r="D3327" s="6" t="str">
        <f>IFERROR(__xludf.DUMMYFUNCTION("""COMPUTED_VALUE"""),"La'Schalane")</f>
        <v>La'Schalane</v>
      </c>
      <c r="E3327" s="6" t="str">
        <f>IFERROR(__xludf.DUMMYFUNCTION("""COMPUTED_VALUE"""),"")</f>
        <v/>
      </c>
      <c r="F3327" s="6" t="str">
        <f>IFERROR(__xludf.DUMMYFUNCTION("""COMPUTED_VALUE"""),"Sims Dickerson")</f>
        <v>Sims Dickerson</v>
      </c>
      <c r="G3327" s="6" t="str">
        <f>IFERROR(__xludf.DUMMYFUNCTION("""COMPUTED_VALUE"""),"01/09/2015")</f>
        <v>01/09/2015</v>
      </c>
      <c r="H3327" s="6" t="str">
        <f>IFERROR(__xludf.DUMMYFUNCTION("""COMPUTED_VALUE"""),"F")</f>
        <v>F</v>
      </c>
      <c r="I3327" s="6" t="str">
        <f>IFERROR(__xludf.DUMMYFUNCTION("""COMPUTED_VALUE"""),"Level 2")</f>
        <v>Level 2</v>
      </c>
      <c r="J3327" s="6" t="str">
        <f>IFERROR(__xludf.DUMMYFUNCTION("""COMPUTED_VALUE"""),"5")</f>
        <v>5</v>
      </c>
      <c r="K3327" s="6" t="str">
        <f>IFERROR(__xludf.DUMMYFUNCTION("""COMPUTED_VALUE"""),"laschalaneallena_sim@stu.ortrail.k12.or.us")</f>
        <v>laschalaneallena_sim@stu.ortrail.k12.or.us</v>
      </c>
      <c r="L3327" s="6" t="str">
        <f>IFERROR(__xludf.DUMMYFUNCTION("""COMPUTED_VALUE"""),"Oregon Trail School District 46")</f>
        <v>Oregon Trail School District 46</v>
      </c>
      <c r="M3327" s="6" t="str">
        <f>IFERROR(__xludf.DUMMYFUNCTION("""COMPUTED_VALUE"""),"")</f>
        <v/>
      </c>
      <c r="N3327" s="6" t="str">
        <f>IFERROR(__xludf.DUMMYFUNCTION("""COMPUTED_VALUE"""),"")</f>
        <v/>
      </c>
      <c r="O3327" s="87" t="str">
        <f>IFERROR(__xludf.DUMMYFUNCTION("""COMPUTED_VALUE"""),"https://drive.google.com/drive/folders/10T2cTQHqEJZqE-st6uFKPoI?usp=share_link")</f>
        <v>https://drive.google.com/drive/folders/10T2cTQHqEJZqE-st6uFKPoI?usp=share_link</v>
      </c>
      <c r="P3327" s="6" t="str">
        <f>IFERROR(__xludf.DUMMYFUNCTION("""COMPUTED_VALUE"""),"La'Schalane Sims Dickerson")</f>
        <v>La'Schalane Sims Dickerson</v>
      </c>
      <c r="Q3327" s="6" t="str">
        <f>IFERROR(__xludf.DUMMYFUNCTION("""COMPUTED_VALUE"""),"L2")</f>
        <v>L2</v>
      </c>
      <c r="R3327" s="6">
        <f>IFERROR(__xludf.DUMMYFUNCTION("""COMPUTED_VALUE"""),2.0)</f>
        <v>2</v>
      </c>
      <c r="S3327" s="6" t="str">
        <f>IFERROR(__xludf.DUMMYFUNCTION("""COMPUTED_VALUE"""),"Genevra Self")</f>
        <v>Genevra Self</v>
      </c>
      <c r="T3327" s="6" t="str">
        <f>IFERROR(__xludf.DUMMYFUNCTION("""COMPUTED_VALUE"""),"genevra.self@studient.com")</f>
        <v>genevra.self@studient.com</v>
      </c>
      <c r="U3327" s="6" t="str">
        <f>IFERROR(__xludf.DUMMYFUNCTION("""COMPUTED_VALUE"""),"5")</f>
        <v>5</v>
      </c>
      <c r="V3327" s="6" t="str">
        <f>IFERROR(__xludf.DUMMYFUNCTION("""COMPUTED_VALUE"""),"English")</f>
        <v>English</v>
      </c>
      <c r="W3327" s="6" t="str">
        <f>IFERROR(__xludf.DUMMYFUNCTION("""COMPUTED_VALUE"""),"[]")</f>
        <v>[]</v>
      </c>
      <c r="X3327" s="6" t="str">
        <f>IFERROR(__xludf.DUMMYFUNCTION("""COMPUTED_VALUE"""),"Enrolled")</f>
        <v>Enrolled</v>
      </c>
    </row>
    <row r="3328">
      <c r="A3328" s="6" t="str">
        <f>IFERROR(__xludf.DUMMYFUNCTION("""COMPUTED_VALUE"""),"064-6209")</f>
        <v>064-6209</v>
      </c>
      <c r="B3328" s="6" t="str">
        <f>IFERROR(__xludf.DUMMYFUNCTION("""COMPUTED_VALUE"""),"64")</f>
        <v>64</v>
      </c>
      <c r="C3328" s="6" t="str">
        <f>IFERROR(__xludf.DUMMYFUNCTION("""COMPUTED_VALUE"""),"6209")</f>
        <v>6209</v>
      </c>
      <c r="D3328" s="6" t="str">
        <f>IFERROR(__xludf.DUMMYFUNCTION("""COMPUTED_VALUE"""),"Clara")</f>
        <v>Clara</v>
      </c>
      <c r="E3328" s="6" t="str">
        <f>IFERROR(__xludf.DUMMYFUNCTION("""COMPUTED_VALUE"""),"")</f>
        <v/>
      </c>
      <c r="F3328" s="6" t="str">
        <f>IFERROR(__xludf.DUMMYFUNCTION("""COMPUTED_VALUE"""),"Spiel")</f>
        <v>Spiel</v>
      </c>
      <c r="G3328" s="6" t="str">
        <f>IFERROR(__xludf.DUMMYFUNCTION("""COMPUTED_VALUE"""),"04/04/2015")</f>
        <v>04/04/2015</v>
      </c>
      <c r="H3328" s="6" t="str">
        <f>IFERROR(__xludf.DUMMYFUNCTION("""COMPUTED_VALUE"""),"Self Identify")</f>
        <v>Self Identify</v>
      </c>
      <c r="I3328" s="6" t="str">
        <f>IFERROR(__xludf.DUMMYFUNCTION("""COMPUTED_VALUE"""),"Level 2")</f>
        <v>Level 2</v>
      </c>
      <c r="J3328" s="6" t="str">
        <f>IFERROR(__xludf.DUMMYFUNCTION("""COMPUTED_VALUE"""),"5")</f>
        <v>5</v>
      </c>
      <c r="K3328" s="6" t="str">
        <f>IFERROR(__xludf.DUMMYFUNCTION("""COMPUTED_VALUE"""),"clara_spiel@stu.ortrail.k12.or.us")</f>
        <v>clara_spiel@stu.ortrail.k12.or.us</v>
      </c>
      <c r="L3328" s="6" t="str">
        <f>IFERROR(__xludf.DUMMYFUNCTION("""COMPUTED_VALUE"""),"Oregon Trail School District 46")</f>
        <v>Oregon Trail School District 46</v>
      </c>
      <c r="M3328" s="6" t="str">
        <f>IFERROR(__xludf.DUMMYFUNCTION("""COMPUTED_VALUE"""),"Kelso Elementary School")</f>
        <v>Kelso Elementary School</v>
      </c>
      <c r="N3328" s="6" t="str">
        <f>IFERROR(__xludf.DUMMYFUNCTION("""COMPUTED_VALUE"""),"")</f>
        <v/>
      </c>
      <c r="O3328" s="87" t="str">
        <f>IFERROR(__xludf.DUMMYFUNCTION("""COMPUTED_VALUE"""),"https://drive.google.com/drive/folders/10T2cTQHqEJZqE-st6uFKPoI?usp=share_link")</f>
        <v>https://drive.google.com/drive/folders/10T2cTQHqEJZqE-st6uFKPoI?usp=share_link</v>
      </c>
      <c r="P3328" s="6" t="str">
        <f>IFERROR(__xludf.DUMMYFUNCTION("""COMPUTED_VALUE"""),"Clara Spiel")</f>
        <v>Clara Spiel</v>
      </c>
      <c r="Q3328" s="6" t="str">
        <f>IFERROR(__xludf.DUMMYFUNCTION("""COMPUTED_VALUE"""),"L2")</f>
        <v>L2</v>
      </c>
      <c r="R3328" s="6">
        <f>IFERROR(__xludf.DUMMYFUNCTION("""COMPUTED_VALUE"""),2.0)</f>
        <v>2</v>
      </c>
      <c r="S3328" s="6" t="str">
        <f>IFERROR(__xludf.DUMMYFUNCTION("""COMPUTED_VALUE"""),"Nicole Sellin")</f>
        <v>Nicole Sellin</v>
      </c>
      <c r="T3328" s="6" t="str">
        <f>IFERROR(__xludf.DUMMYFUNCTION("""COMPUTED_VALUE"""),"nicole.sellin@ortrail.k12.or.us")</f>
        <v>nicole.sellin@ortrail.k12.or.us</v>
      </c>
      <c r="U3328" s="6" t="str">
        <f>IFERROR(__xludf.DUMMYFUNCTION("""COMPUTED_VALUE"""),"5")</f>
        <v>5</v>
      </c>
      <c r="V3328" s="6" t="str">
        <f>IFERROR(__xludf.DUMMYFUNCTION("""COMPUTED_VALUE"""),"English")</f>
        <v>English</v>
      </c>
      <c r="W3328" s="6" t="str">
        <f>IFERROR(__xludf.DUMMYFUNCTION("""COMPUTED_VALUE"""),"[]")</f>
        <v>[]</v>
      </c>
      <c r="X3328" s="6" t="str">
        <f>IFERROR(__xludf.DUMMYFUNCTION("""COMPUTED_VALUE"""),"Enrolled")</f>
        <v>Enrolled</v>
      </c>
    </row>
    <row r="3329">
      <c r="A3329" s="6" t="str">
        <f>IFERROR(__xludf.DUMMYFUNCTION("""COMPUTED_VALUE"""),"064-6210")</f>
        <v>064-6210</v>
      </c>
      <c r="B3329" s="6" t="str">
        <f>IFERROR(__xludf.DUMMYFUNCTION("""COMPUTED_VALUE"""),"64")</f>
        <v>64</v>
      </c>
      <c r="C3329" s="6" t="str">
        <f>IFERROR(__xludf.DUMMYFUNCTION("""COMPUTED_VALUE"""),"6210")</f>
        <v>6210</v>
      </c>
      <c r="D3329" s="6" t="str">
        <f>IFERROR(__xludf.DUMMYFUNCTION("""COMPUTED_VALUE"""),"Emmett")</f>
        <v>Emmett</v>
      </c>
      <c r="E3329" s="6" t="str">
        <f>IFERROR(__xludf.DUMMYFUNCTION("""COMPUTED_VALUE"""),"")</f>
        <v/>
      </c>
      <c r="F3329" s="6" t="str">
        <f>IFERROR(__xludf.DUMMYFUNCTION("""COMPUTED_VALUE"""),"Stutz")</f>
        <v>Stutz</v>
      </c>
      <c r="G3329" s="6" t="str">
        <f>IFERROR(__xludf.DUMMYFUNCTION("""COMPUTED_VALUE"""),"12/03/2014")</f>
        <v>12/03/2014</v>
      </c>
      <c r="H3329" s="6" t="str">
        <f>IFERROR(__xludf.DUMMYFUNCTION("""COMPUTED_VALUE"""),"Self Identify")</f>
        <v>Self Identify</v>
      </c>
      <c r="I3329" s="6" t="str">
        <f>IFERROR(__xludf.DUMMYFUNCTION("""COMPUTED_VALUE"""),"Level 2")</f>
        <v>Level 2</v>
      </c>
      <c r="J3329" s="6" t="str">
        <f>IFERROR(__xludf.DUMMYFUNCTION("""COMPUTED_VALUE"""),"5")</f>
        <v>5</v>
      </c>
      <c r="K3329" s="6" t="str">
        <f>IFERROR(__xludf.DUMMYFUNCTION("""COMPUTED_VALUE"""),"emmett_stutz@stu.ortrail.k12.or.us")</f>
        <v>emmett_stutz@stu.ortrail.k12.or.us</v>
      </c>
      <c r="L3329" s="6" t="str">
        <f>IFERROR(__xludf.DUMMYFUNCTION("""COMPUTED_VALUE"""),"Oregon Trail School District 46")</f>
        <v>Oregon Trail School District 46</v>
      </c>
      <c r="M3329" s="6" t="str">
        <f>IFERROR(__xludf.DUMMYFUNCTION("""COMPUTED_VALUE"""),"Kelso Elementary School")</f>
        <v>Kelso Elementary School</v>
      </c>
      <c r="N3329" s="6" t="str">
        <f>IFERROR(__xludf.DUMMYFUNCTION("""COMPUTED_VALUE"""),"")</f>
        <v/>
      </c>
      <c r="O3329" s="87" t="str">
        <f>IFERROR(__xludf.DUMMYFUNCTION("""COMPUTED_VALUE"""),"https://drive.google.com/drive/folders/10T2cTQHqEJZqE-st6uFKPoI?usp=share_link")</f>
        <v>https://drive.google.com/drive/folders/10T2cTQHqEJZqE-st6uFKPoI?usp=share_link</v>
      </c>
      <c r="P3329" s="6" t="str">
        <f>IFERROR(__xludf.DUMMYFUNCTION("""COMPUTED_VALUE"""),"Emmett Stutz")</f>
        <v>Emmett Stutz</v>
      </c>
      <c r="Q3329" s="6" t="str">
        <f>IFERROR(__xludf.DUMMYFUNCTION("""COMPUTED_VALUE"""),"L2")</f>
        <v>L2</v>
      </c>
      <c r="R3329" s="6">
        <f>IFERROR(__xludf.DUMMYFUNCTION("""COMPUTED_VALUE"""),2.0)</f>
        <v>2</v>
      </c>
      <c r="S3329" s="6" t="str">
        <f>IFERROR(__xludf.DUMMYFUNCTION("""COMPUTED_VALUE"""),"Nicole Sellin")</f>
        <v>Nicole Sellin</v>
      </c>
      <c r="T3329" s="6" t="str">
        <f>IFERROR(__xludf.DUMMYFUNCTION("""COMPUTED_VALUE"""),"nicole.sellin@ortrail.k12.or.us")</f>
        <v>nicole.sellin@ortrail.k12.or.us</v>
      </c>
      <c r="U3329" s="6" t="str">
        <f>IFERROR(__xludf.DUMMYFUNCTION("""COMPUTED_VALUE"""),"5")</f>
        <v>5</v>
      </c>
      <c r="V3329" s="6" t="str">
        <f>IFERROR(__xludf.DUMMYFUNCTION("""COMPUTED_VALUE"""),"English")</f>
        <v>English</v>
      </c>
      <c r="W3329" s="6" t="str">
        <f>IFERROR(__xludf.DUMMYFUNCTION("""COMPUTED_VALUE"""),"[]")</f>
        <v>[]</v>
      </c>
      <c r="X3329" s="6" t="str">
        <f>IFERROR(__xludf.DUMMYFUNCTION("""COMPUTED_VALUE"""),"Enrolled")</f>
        <v>Enrolled</v>
      </c>
    </row>
    <row r="3330">
      <c r="A3330" s="6" t="str">
        <f>IFERROR(__xludf.DUMMYFUNCTION("""COMPUTED_VALUE"""),"064-6211")</f>
        <v>064-6211</v>
      </c>
      <c r="B3330" s="6" t="str">
        <f>IFERROR(__xludf.DUMMYFUNCTION("""COMPUTED_VALUE"""),"64")</f>
        <v>64</v>
      </c>
      <c r="C3330" s="6" t="str">
        <f>IFERROR(__xludf.DUMMYFUNCTION("""COMPUTED_VALUE"""),"6211")</f>
        <v>6211</v>
      </c>
      <c r="D3330" s="6" t="str">
        <f>IFERROR(__xludf.DUMMYFUNCTION("""COMPUTED_VALUE"""),"Carson")</f>
        <v>Carson</v>
      </c>
      <c r="E3330" s="6" t="str">
        <f>IFERROR(__xludf.DUMMYFUNCTION("""COMPUTED_VALUE"""),"")</f>
        <v/>
      </c>
      <c r="F3330" s="6" t="str">
        <f>IFERROR(__xludf.DUMMYFUNCTION("""COMPUTED_VALUE"""),"Taylor")</f>
        <v>Taylor</v>
      </c>
      <c r="G3330" s="6" t="str">
        <f>IFERROR(__xludf.DUMMYFUNCTION("""COMPUTED_VALUE"""),"07/07/2015")</f>
        <v>07/07/2015</v>
      </c>
      <c r="H3330" s="6" t="str">
        <f>IFERROR(__xludf.DUMMYFUNCTION("""COMPUTED_VALUE"""),"Self Identify")</f>
        <v>Self Identify</v>
      </c>
      <c r="I3330" s="6" t="str">
        <f>IFERROR(__xludf.DUMMYFUNCTION("""COMPUTED_VALUE"""),"Level 2")</f>
        <v>Level 2</v>
      </c>
      <c r="J3330" s="6" t="str">
        <f>IFERROR(__xludf.DUMMYFUNCTION("""COMPUTED_VALUE"""),"5")</f>
        <v>5</v>
      </c>
      <c r="K3330" s="6" t="str">
        <f>IFERROR(__xludf.DUMMYFUNCTION("""COMPUTED_VALUE"""),"carson_taylor@stu.ortrail.k12.or.us")</f>
        <v>carson_taylor@stu.ortrail.k12.or.us</v>
      </c>
      <c r="L3330" s="6" t="str">
        <f>IFERROR(__xludf.DUMMYFUNCTION("""COMPUTED_VALUE"""),"Oregon Trail School District 46")</f>
        <v>Oregon Trail School District 46</v>
      </c>
      <c r="M3330" s="6" t="str">
        <f>IFERROR(__xludf.DUMMYFUNCTION("""COMPUTED_VALUE"""),"Kelso Elementary School")</f>
        <v>Kelso Elementary School</v>
      </c>
      <c r="N3330" s="6" t="str">
        <f>IFERROR(__xludf.DUMMYFUNCTION("""COMPUTED_VALUE"""),"")</f>
        <v/>
      </c>
      <c r="O3330" s="87" t="str">
        <f>IFERROR(__xludf.DUMMYFUNCTION("""COMPUTED_VALUE"""),"https://drive.google.com/drive/folders/10T2cTQHqEJZqE-st6uFKPoI?usp=share_link")</f>
        <v>https://drive.google.com/drive/folders/10T2cTQHqEJZqE-st6uFKPoI?usp=share_link</v>
      </c>
      <c r="P3330" s="6" t="str">
        <f>IFERROR(__xludf.DUMMYFUNCTION("""COMPUTED_VALUE"""),"Carson Taylor")</f>
        <v>Carson Taylor</v>
      </c>
      <c r="Q3330" s="6" t="str">
        <f>IFERROR(__xludf.DUMMYFUNCTION("""COMPUTED_VALUE"""),"L2")</f>
        <v>L2</v>
      </c>
      <c r="R3330" s="6">
        <f>IFERROR(__xludf.DUMMYFUNCTION("""COMPUTED_VALUE"""),2.0)</f>
        <v>2</v>
      </c>
      <c r="S3330" s="6" t="str">
        <f>IFERROR(__xludf.DUMMYFUNCTION("""COMPUTED_VALUE"""),"Jessica Minch")</f>
        <v>Jessica Minch</v>
      </c>
      <c r="T3330" s="6" t="str">
        <f>IFERROR(__xludf.DUMMYFUNCTION("""COMPUTED_VALUE"""),"jessica.minch@ortrail.k12.or.us")</f>
        <v>jessica.minch@ortrail.k12.or.us</v>
      </c>
      <c r="U3330" s="6" t="str">
        <f>IFERROR(__xludf.DUMMYFUNCTION("""COMPUTED_VALUE"""),"5")</f>
        <v>5</v>
      </c>
      <c r="V3330" s="6" t="str">
        <f>IFERROR(__xludf.DUMMYFUNCTION("""COMPUTED_VALUE"""),"English")</f>
        <v>English</v>
      </c>
      <c r="W3330" s="6" t="str">
        <f>IFERROR(__xludf.DUMMYFUNCTION("""COMPUTED_VALUE"""),"[]")</f>
        <v>[]</v>
      </c>
      <c r="X3330" s="6" t="str">
        <f>IFERROR(__xludf.DUMMYFUNCTION("""COMPUTED_VALUE"""),"Enrolled")</f>
        <v>Enrolled</v>
      </c>
    </row>
    <row r="3331">
      <c r="A3331" s="6" t="str">
        <f>IFERROR(__xludf.DUMMYFUNCTION("""COMPUTED_VALUE"""),"064-6213")</f>
        <v>064-6213</v>
      </c>
      <c r="B3331" s="6" t="str">
        <f>IFERROR(__xludf.DUMMYFUNCTION("""COMPUTED_VALUE"""),"64")</f>
        <v>64</v>
      </c>
      <c r="C3331" s="6" t="str">
        <f>IFERROR(__xludf.DUMMYFUNCTION("""COMPUTED_VALUE"""),"6213")</f>
        <v>6213</v>
      </c>
      <c r="D3331" s="6" t="str">
        <f>IFERROR(__xludf.DUMMYFUNCTION("""COMPUTED_VALUE"""),"Leo")</f>
        <v>Leo</v>
      </c>
      <c r="E3331" s="6" t="str">
        <f>IFERROR(__xludf.DUMMYFUNCTION("""COMPUTED_VALUE"""),"")</f>
        <v/>
      </c>
      <c r="F3331" s="6" t="str">
        <f>IFERROR(__xludf.DUMMYFUNCTION("""COMPUTED_VALUE"""),"Triplett")</f>
        <v>Triplett</v>
      </c>
      <c r="G3331" s="6" t="str">
        <f>IFERROR(__xludf.DUMMYFUNCTION("""COMPUTED_VALUE"""),"04/02/2015")</f>
        <v>04/02/2015</v>
      </c>
      <c r="H3331" s="6" t="str">
        <f>IFERROR(__xludf.DUMMYFUNCTION("""COMPUTED_VALUE"""),"Self Identify")</f>
        <v>Self Identify</v>
      </c>
      <c r="I3331" s="6" t="str">
        <f>IFERROR(__xludf.DUMMYFUNCTION("""COMPUTED_VALUE"""),"Level 2")</f>
        <v>Level 2</v>
      </c>
      <c r="J3331" s="6" t="str">
        <f>IFERROR(__xludf.DUMMYFUNCTION("""COMPUTED_VALUE"""),"5")</f>
        <v>5</v>
      </c>
      <c r="K3331" s="6" t="str">
        <f>IFERROR(__xludf.DUMMYFUNCTION("""COMPUTED_VALUE"""),"leo_triplett@stu.ortrail.k12.or.us")</f>
        <v>leo_triplett@stu.ortrail.k12.or.us</v>
      </c>
      <c r="L3331" s="6" t="str">
        <f>IFERROR(__xludf.DUMMYFUNCTION("""COMPUTED_VALUE"""),"Oregon Trail School District 46")</f>
        <v>Oregon Trail School District 46</v>
      </c>
      <c r="M3331" s="6" t="str">
        <f>IFERROR(__xludf.DUMMYFUNCTION("""COMPUTED_VALUE"""),"Kelso Elementary School")</f>
        <v>Kelso Elementary School</v>
      </c>
      <c r="N3331" s="6" t="str">
        <f>IFERROR(__xludf.DUMMYFUNCTION("""COMPUTED_VALUE"""),"")</f>
        <v/>
      </c>
      <c r="O3331" s="87" t="str">
        <f>IFERROR(__xludf.DUMMYFUNCTION("""COMPUTED_VALUE"""),"https://drive.google.com/drive/folders/10T2cTQHqEJZqE-st6uFKPoI?usp=share_link")</f>
        <v>https://drive.google.com/drive/folders/10T2cTQHqEJZqE-st6uFKPoI?usp=share_link</v>
      </c>
      <c r="P3331" s="6" t="str">
        <f>IFERROR(__xludf.DUMMYFUNCTION("""COMPUTED_VALUE"""),"Leo Triplett")</f>
        <v>Leo Triplett</v>
      </c>
      <c r="Q3331" s="6" t="str">
        <f>IFERROR(__xludf.DUMMYFUNCTION("""COMPUTED_VALUE"""),"L2")</f>
        <v>L2</v>
      </c>
      <c r="R3331" s="6">
        <f>IFERROR(__xludf.DUMMYFUNCTION("""COMPUTED_VALUE"""),2.0)</f>
        <v>2</v>
      </c>
      <c r="S3331" s="6" t="str">
        <f>IFERROR(__xludf.DUMMYFUNCTION("""COMPUTED_VALUE"""),"Nicole Sellin")</f>
        <v>Nicole Sellin</v>
      </c>
      <c r="T3331" s="6" t="str">
        <f>IFERROR(__xludf.DUMMYFUNCTION("""COMPUTED_VALUE"""),"nicole.sellin@ortrail.k12.or.us")</f>
        <v>nicole.sellin@ortrail.k12.or.us</v>
      </c>
      <c r="U3331" s="6" t="str">
        <f>IFERROR(__xludf.DUMMYFUNCTION("""COMPUTED_VALUE"""),"5")</f>
        <v>5</v>
      </c>
      <c r="V3331" s="6" t="str">
        <f>IFERROR(__xludf.DUMMYFUNCTION("""COMPUTED_VALUE"""),"English")</f>
        <v>English</v>
      </c>
      <c r="W3331" s="6" t="str">
        <f>IFERROR(__xludf.DUMMYFUNCTION("""COMPUTED_VALUE"""),"[]")</f>
        <v>[]</v>
      </c>
      <c r="X3331" s="6" t="str">
        <f>IFERROR(__xludf.DUMMYFUNCTION("""COMPUTED_VALUE"""),"Enrolled")</f>
        <v>Enrolled</v>
      </c>
    </row>
    <row r="3332">
      <c r="A3332" s="6" t="str">
        <f>IFERROR(__xludf.DUMMYFUNCTION("""COMPUTED_VALUE"""),"064-6214")</f>
        <v>064-6214</v>
      </c>
      <c r="B3332" s="6" t="str">
        <f>IFERROR(__xludf.DUMMYFUNCTION("""COMPUTED_VALUE"""),"64")</f>
        <v>64</v>
      </c>
      <c r="C3332" s="6" t="str">
        <f>IFERROR(__xludf.DUMMYFUNCTION("""COMPUTED_VALUE"""),"6214")</f>
        <v>6214</v>
      </c>
      <c r="D3332" s="6" t="str">
        <f>IFERROR(__xludf.DUMMYFUNCTION("""COMPUTED_VALUE"""),"Elizabeth")</f>
        <v>Elizabeth</v>
      </c>
      <c r="E3332" s="6" t="str">
        <f>IFERROR(__xludf.DUMMYFUNCTION("""COMPUTED_VALUE"""),"")</f>
        <v/>
      </c>
      <c r="F3332" s="6" t="str">
        <f>IFERROR(__xludf.DUMMYFUNCTION("""COMPUTED_VALUE"""),"Troy")</f>
        <v>Troy</v>
      </c>
      <c r="G3332" s="6" t="str">
        <f>IFERROR(__xludf.DUMMYFUNCTION("""COMPUTED_VALUE"""),"06/02/2015")</f>
        <v>06/02/2015</v>
      </c>
      <c r="H3332" s="6" t="str">
        <f>IFERROR(__xludf.DUMMYFUNCTION("""COMPUTED_VALUE"""),"F")</f>
        <v>F</v>
      </c>
      <c r="I3332" s="6" t="str">
        <f>IFERROR(__xludf.DUMMYFUNCTION("""COMPUTED_VALUE"""),"Level 2")</f>
        <v>Level 2</v>
      </c>
      <c r="J3332" s="6" t="str">
        <f>IFERROR(__xludf.DUMMYFUNCTION("""COMPUTED_VALUE"""),"5")</f>
        <v>5</v>
      </c>
      <c r="K3332" s="6" t="str">
        <f>IFERROR(__xludf.DUMMYFUNCTION("""COMPUTED_VALUE"""),"elle_troy@stu.ortrail.k12.or.us")</f>
        <v>elle_troy@stu.ortrail.k12.or.us</v>
      </c>
      <c r="L3332" s="6" t="str">
        <f>IFERROR(__xludf.DUMMYFUNCTION("""COMPUTED_VALUE"""),"Oregon Trail School District 46")</f>
        <v>Oregon Trail School District 46</v>
      </c>
      <c r="M3332" s="6" t="str">
        <f>IFERROR(__xludf.DUMMYFUNCTION("""COMPUTED_VALUE"""),"")</f>
        <v/>
      </c>
      <c r="N3332" s="6" t="str">
        <f>IFERROR(__xludf.DUMMYFUNCTION("""COMPUTED_VALUE"""),"")</f>
        <v/>
      </c>
      <c r="O3332" s="87" t="str">
        <f>IFERROR(__xludf.DUMMYFUNCTION("""COMPUTED_VALUE"""),"https://drive.google.com/drive/folders/10T2cTQHqEJZqE-st6uFKPoI?usp=share_link")</f>
        <v>https://drive.google.com/drive/folders/10T2cTQHqEJZqE-st6uFKPoI?usp=share_link</v>
      </c>
      <c r="P3332" s="6" t="str">
        <f>IFERROR(__xludf.DUMMYFUNCTION("""COMPUTED_VALUE"""),"Elizabeth Troy")</f>
        <v>Elizabeth Troy</v>
      </c>
      <c r="Q3332" s="6" t="str">
        <f>IFERROR(__xludf.DUMMYFUNCTION("""COMPUTED_VALUE"""),"L2")</f>
        <v>L2</v>
      </c>
      <c r="R3332" s="6">
        <f>IFERROR(__xludf.DUMMYFUNCTION("""COMPUTED_VALUE"""),2.0)</f>
        <v>2</v>
      </c>
      <c r="S3332" s="6" t="str">
        <f>IFERROR(__xludf.DUMMYFUNCTION("""COMPUTED_VALUE"""),"Genevra Self")</f>
        <v>Genevra Self</v>
      </c>
      <c r="T3332" s="6" t="str">
        <f>IFERROR(__xludf.DUMMYFUNCTION("""COMPUTED_VALUE"""),"genevra.self@studient.com")</f>
        <v>genevra.self@studient.com</v>
      </c>
      <c r="U3332" s="6" t="str">
        <f>IFERROR(__xludf.DUMMYFUNCTION("""COMPUTED_VALUE"""),"5")</f>
        <v>5</v>
      </c>
      <c r="V3332" s="6" t="str">
        <f>IFERROR(__xludf.DUMMYFUNCTION("""COMPUTED_VALUE"""),"English")</f>
        <v>English</v>
      </c>
      <c r="W3332" s="6" t="str">
        <f>IFERROR(__xludf.DUMMYFUNCTION("""COMPUTED_VALUE"""),"[]")</f>
        <v>[]</v>
      </c>
      <c r="X3332" s="6" t="str">
        <f>IFERROR(__xludf.DUMMYFUNCTION("""COMPUTED_VALUE"""),"Enrolled")</f>
        <v>Enrolled</v>
      </c>
    </row>
    <row r="3333">
      <c r="A3333" s="6" t="str">
        <f>IFERROR(__xludf.DUMMYFUNCTION("""COMPUTED_VALUE"""),"064-6215")</f>
        <v>064-6215</v>
      </c>
      <c r="B3333" s="6" t="str">
        <f>IFERROR(__xludf.DUMMYFUNCTION("""COMPUTED_VALUE"""),"64")</f>
        <v>64</v>
      </c>
      <c r="C3333" s="6" t="str">
        <f>IFERROR(__xludf.DUMMYFUNCTION("""COMPUTED_VALUE"""),"6215")</f>
        <v>6215</v>
      </c>
      <c r="D3333" s="6" t="str">
        <f>IFERROR(__xludf.DUMMYFUNCTION("""COMPUTED_VALUE"""),"Higgins")</f>
        <v>Higgins</v>
      </c>
      <c r="E3333" s="6" t="str">
        <f>IFERROR(__xludf.DUMMYFUNCTION("""COMPUTED_VALUE"""),"")</f>
        <v/>
      </c>
      <c r="F3333" s="6" t="str">
        <f>IFERROR(__xludf.DUMMYFUNCTION("""COMPUTED_VALUE"""),"Troy")</f>
        <v>Troy</v>
      </c>
      <c r="G3333" s="6" t="str">
        <f>IFERROR(__xludf.DUMMYFUNCTION("""COMPUTED_VALUE"""),"06/02/2015")</f>
        <v>06/02/2015</v>
      </c>
      <c r="H3333" s="6" t="str">
        <f>IFERROR(__xludf.DUMMYFUNCTION("""COMPUTED_VALUE"""),"M")</f>
        <v>M</v>
      </c>
      <c r="I3333" s="6" t="str">
        <f>IFERROR(__xludf.DUMMYFUNCTION("""COMPUTED_VALUE"""),"Level 2")</f>
        <v>Level 2</v>
      </c>
      <c r="J3333" s="6" t="str">
        <f>IFERROR(__xludf.DUMMYFUNCTION("""COMPUTED_VALUE"""),"5")</f>
        <v>5</v>
      </c>
      <c r="K3333" s="6" t="str">
        <f>IFERROR(__xludf.DUMMYFUNCTION("""COMPUTED_VALUE"""),"higgins_troy@stu.ortrail.k12.or.us")</f>
        <v>higgins_troy@stu.ortrail.k12.or.us</v>
      </c>
      <c r="L3333" s="6" t="str">
        <f>IFERROR(__xludf.DUMMYFUNCTION("""COMPUTED_VALUE"""),"Oregon Trail School District 46")</f>
        <v>Oregon Trail School District 46</v>
      </c>
      <c r="M3333" s="6" t="str">
        <f>IFERROR(__xludf.DUMMYFUNCTION("""COMPUTED_VALUE"""),"")</f>
        <v/>
      </c>
      <c r="N3333" s="6" t="str">
        <f>IFERROR(__xludf.DUMMYFUNCTION("""COMPUTED_VALUE"""),"")</f>
        <v/>
      </c>
      <c r="O3333" s="87" t="str">
        <f>IFERROR(__xludf.DUMMYFUNCTION("""COMPUTED_VALUE"""),"https://drive.google.com/drive/folders/10T2cTQHqEJZqE-st6uFKPoI?usp=share_link")</f>
        <v>https://drive.google.com/drive/folders/10T2cTQHqEJZqE-st6uFKPoI?usp=share_link</v>
      </c>
      <c r="P3333" s="6" t="str">
        <f>IFERROR(__xludf.DUMMYFUNCTION("""COMPUTED_VALUE"""),"Higgins Troy")</f>
        <v>Higgins Troy</v>
      </c>
      <c r="Q3333" s="6" t="str">
        <f>IFERROR(__xludf.DUMMYFUNCTION("""COMPUTED_VALUE"""),"L2")</f>
        <v>L2</v>
      </c>
      <c r="R3333" s="6">
        <f>IFERROR(__xludf.DUMMYFUNCTION("""COMPUTED_VALUE"""),2.0)</f>
        <v>2</v>
      </c>
      <c r="S3333" s="6" t="str">
        <f>IFERROR(__xludf.DUMMYFUNCTION("""COMPUTED_VALUE"""),"Genevra Self")</f>
        <v>Genevra Self</v>
      </c>
      <c r="T3333" s="6" t="str">
        <f>IFERROR(__xludf.DUMMYFUNCTION("""COMPUTED_VALUE"""),"genevra.self@studient.com")</f>
        <v>genevra.self@studient.com</v>
      </c>
      <c r="U3333" s="6" t="str">
        <f>IFERROR(__xludf.DUMMYFUNCTION("""COMPUTED_VALUE"""),"5")</f>
        <v>5</v>
      </c>
      <c r="V3333" s="6" t="str">
        <f>IFERROR(__xludf.DUMMYFUNCTION("""COMPUTED_VALUE"""),"English")</f>
        <v>English</v>
      </c>
      <c r="W3333" s="6" t="str">
        <f>IFERROR(__xludf.DUMMYFUNCTION("""COMPUTED_VALUE"""),"[]")</f>
        <v>[]</v>
      </c>
      <c r="X3333" s="6" t="str">
        <f>IFERROR(__xludf.DUMMYFUNCTION("""COMPUTED_VALUE"""),"Enrolled")</f>
        <v>Enrolled</v>
      </c>
    </row>
    <row r="3334">
      <c r="A3334" s="6" t="str">
        <f>IFERROR(__xludf.DUMMYFUNCTION("""COMPUTED_VALUE"""),"064-6216")</f>
        <v>064-6216</v>
      </c>
      <c r="B3334" s="6" t="str">
        <f>IFERROR(__xludf.DUMMYFUNCTION("""COMPUTED_VALUE"""),"64")</f>
        <v>64</v>
      </c>
      <c r="C3334" s="6" t="str">
        <f>IFERROR(__xludf.DUMMYFUNCTION("""COMPUTED_VALUE"""),"6216")</f>
        <v>6216</v>
      </c>
      <c r="D3334" s="6" t="str">
        <f>IFERROR(__xludf.DUMMYFUNCTION("""COMPUTED_VALUE"""),"Kolby")</f>
        <v>Kolby</v>
      </c>
      <c r="E3334" s="6" t="str">
        <f>IFERROR(__xludf.DUMMYFUNCTION("""COMPUTED_VALUE"""),"")</f>
        <v/>
      </c>
      <c r="F3334" s="6" t="str">
        <f>IFERROR(__xludf.DUMMYFUNCTION("""COMPUTED_VALUE"""),"Warren")</f>
        <v>Warren</v>
      </c>
      <c r="G3334" s="6" t="str">
        <f>IFERROR(__xludf.DUMMYFUNCTION("""COMPUTED_VALUE"""),"12/11/2014")</f>
        <v>12/11/2014</v>
      </c>
      <c r="H3334" s="6" t="str">
        <f>IFERROR(__xludf.DUMMYFUNCTION("""COMPUTED_VALUE"""),"Self Identify")</f>
        <v>Self Identify</v>
      </c>
      <c r="I3334" s="6" t="str">
        <f>IFERROR(__xludf.DUMMYFUNCTION("""COMPUTED_VALUE"""),"Level 2")</f>
        <v>Level 2</v>
      </c>
      <c r="J3334" s="6" t="str">
        <f>IFERROR(__xludf.DUMMYFUNCTION("""COMPUTED_VALUE"""),"5")</f>
        <v>5</v>
      </c>
      <c r="K3334" s="6" t="str">
        <f>IFERROR(__xludf.DUMMYFUNCTION("""COMPUTED_VALUE"""),"kolby_warren@stu.ortrail.k12.or.us")</f>
        <v>kolby_warren@stu.ortrail.k12.or.us</v>
      </c>
      <c r="L3334" s="6" t="str">
        <f>IFERROR(__xludf.DUMMYFUNCTION("""COMPUTED_VALUE"""),"Oregon Trail School District 46")</f>
        <v>Oregon Trail School District 46</v>
      </c>
      <c r="M3334" s="6" t="str">
        <f>IFERROR(__xludf.DUMMYFUNCTION("""COMPUTED_VALUE"""),"Kelso Elementary School")</f>
        <v>Kelso Elementary School</v>
      </c>
      <c r="N3334" s="6" t="str">
        <f>IFERROR(__xludf.DUMMYFUNCTION("""COMPUTED_VALUE"""),"")</f>
        <v/>
      </c>
      <c r="O3334" s="87" t="str">
        <f>IFERROR(__xludf.DUMMYFUNCTION("""COMPUTED_VALUE"""),"https://drive.google.com/drive/folders/10T2cTQHqEJZqE-st6uFKPoI?usp=share_link")</f>
        <v>https://drive.google.com/drive/folders/10T2cTQHqEJZqE-st6uFKPoI?usp=share_link</v>
      </c>
      <c r="P3334" s="6" t="str">
        <f>IFERROR(__xludf.DUMMYFUNCTION("""COMPUTED_VALUE"""),"Kolby Warren")</f>
        <v>Kolby Warren</v>
      </c>
      <c r="Q3334" s="6" t="str">
        <f>IFERROR(__xludf.DUMMYFUNCTION("""COMPUTED_VALUE"""),"L2")</f>
        <v>L2</v>
      </c>
      <c r="R3334" s="6">
        <f>IFERROR(__xludf.DUMMYFUNCTION("""COMPUTED_VALUE"""),2.0)</f>
        <v>2</v>
      </c>
      <c r="S3334" s="6" t="str">
        <f>IFERROR(__xludf.DUMMYFUNCTION("""COMPUTED_VALUE"""),"Jessica Minch")</f>
        <v>Jessica Minch</v>
      </c>
      <c r="T3334" s="6" t="str">
        <f>IFERROR(__xludf.DUMMYFUNCTION("""COMPUTED_VALUE"""),"jessica.minch@ortrail.k12.or.us")</f>
        <v>jessica.minch@ortrail.k12.or.us</v>
      </c>
      <c r="U3334" s="6" t="str">
        <f>IFERROR(__xludf.DUMMYFUNCTION("""COMPUTED_VALUE"""),"5")</f>
        <v>5</v>
      </c>
      <c r="V3334" s="6" t="str">
        <f>IFERROR(__xludf.DUMMYFUNCTION("""COMPUTED_VALUE"""),"English")</f>
        <v>English</v>
      </c>
      <c r="W3334" s="6" t="str">
        <f>IFERROR(__xludf.DUMMYFUNCTION("""COMPUTED_VALUE"""),"[]")</f>
        <v>[]</v>
      </c>
      <c r="X3334" s="6" t="str">
        <f>IFERROR(__xludf.DUMMYFUNCTION("""COMPUTED_VALUE"""),"Enrolled")</f>
        <v>Enrolled</v>
      </c>
    </row>
    <row r="3335">
      <c r="A3335" s="6" t="str">
        <f>IFERROR(__xludf.DUMMYFUNCTION("""COMPUTED_VALUE"""),"064-6219")</f>
        <v>064-6219</v>
      </c>
      <c r="B3335" s="6" t="str">
        <f>IFERROR(__xludf.DUMMYFUNCTION("""COMPUTED_VALUE"""),"64")</f>
        <v>64</v>
      </c>
      <c r="C3335" s="6" t="str">
        <f>IFERROR(__xludf.DUMMYFUNCTION("""COMPUTED_VALUE"""),"6219")</f>
        <v>6219</v>
      </c>
      <c r="D3335" s="6" t="str">
        <f>IFERROR(__xludf.DUMMYFUNCTION("""COMPUTED_VALUE"""),"Harlow")</f>
        <v>Harlow</v>
      </c>
      <c r="E3335" s="6" t="str">
        <f>IFERROR(__xludf.DUMMYFUNCTION("""COMPUTED_VALUE"""),"")</f>
        <v/>
      </c>
      <c r="F3335" s="6" t="str">
        <f>IFERROR(__xludf.DUMMYFUNCTION("""COMPUTED_VALUE"""),"White")</f>
        <v>White</v>
      </c>
      <c r="G3335" s="6" t="str">
        <f>IFERROR(__xludf.DUMMYFUNCTION("""COMPUTED_VALUE"""),"07/14/2015")</f>
        <v>07/14/2015</v>
      </c>
      <c r="H3335" s="6" t="str">
        <f>IFERROR(__xludf.DUMMYFUNCTION("""COMPUTED_VALUE"""),"Self Identify")</f>
        <v>Self Identify</v>
      </c>
      <c r="I3335" s="6" t="str">
        <f>IFERROR(__xludf.DUMMYFUNCTION("""COMPUTED_VALUE"""),"Level 2")</f>
        <v>Level 2</v>
      </c>
      <c r="J3335" s="6" t="str">
        <f>IFERROR(__xludf.DUMMYFUNCTION("""COMPUTED_VALUE"""),"5")</f>
        <v>5</v>
      </c>
      <c r="K3335" s="6" t="str">
        <f>IFERROR(__xludf.DUMMYFUNCTION("""COMPUTED_VALUE"""),"harlow_white@stu.ortrail.k12.or.us")</f>
        <v>harlow_white@stu.ortrail.k12.or.us</v>
      </c>
      <c r="L3335" s="6" t="str">
        <f>IFERROR(__xludf.DUMMYFUNCTION("""COMPUTED_VALUE"""),"Oregon Trail School District 46")</f>
        <v>Oregon Trail School District 46</v>
      </c>
      <c r="M3335" s="6" t="str">
        <f>IFERROR(__xludf.DUMMYFUNCTION("""COMPUTED_VALUE"""),"Kelso Elementary School")</f>
        <v>Kelso Elementary School</v>
      </c>
      <c r="N3335" s="6" t="str">
        <f>IFERROR(__xludf.DUMMYFUNCTION("""COMPUTED_VALUE"""),"")</f>
        <v/>
      </c>
      <c r="O3335" s="87" t="str">
        <f>IFERROR(__xludf.DUMMYFUNCTION("""COMPUTED_VALUE"""),"https://drive.google.com/drive/folders/10T2cTQHqEJZqE-st6uFKPoI?usp=share_link")</f>
        <v>https://drive.google.com/drive/folders/10T2cTQHqEJZqE-st6uFKPoI?usp=share_link</v>
      </c>
      <c r="P3335" s="6" t="str">
        <f>IFERROR(__xludf.DUMMYFUNCTION("""COMPUTED_VALUE"""),"Harlow White")</f>
        <v>Harlow White</v>
      </c>
      <c r="Q3335" s="6" t="str">
        <f>IFERROR(__xludf.DUMMYFUNCTION("""COMPUTED_VALUE"""),"L2")</f>
        <v>L2</v>
      </c>
      <c r="R3335" s="6">
        <f>IFERROR(__xludf.DUMMYFUNCTION("""COMPUTED_VALUE"""),2.0)</f>
        <v>2</v>
      </c>
      <c r="S3335" s="6" t="str">
        <f>IFERROR(__xludf.DUMMYFUNCTION("""COMPUTED_VALUE"""),"Jessica Minch")</f>
        <v>Jessica Minch</v>
      </c>
      <c r="T3335" s="6" t="str">
        <f>IFERROR(__xludf.DUMMYFUNCTION("""COMPUTED_VALUE"""),"jessica.minch@ortrail.k12.or.us")</f>
        <v>jessica.minch@ortrail.k12.or.us</v>
      </c>
      <c r="U3335" s="6" t="str">
        <f>IFERROR(__xludf.DUMMYFUNCTION("""COMPUTED_VALUE"""),"5")</f>
        <v>5</v>
      </c>
      <c r="V3335" s="6" t="str">
        <f>IFERROR(__xludf.DUMMYFUNCTION("""COMPUTED_VALUE"""),"English")</f>
        <v>English</v>
      </c>
      <c r="W3335" s="6" t="str">
        <f>IFERROR(__xludf.DUMMYFUNCTION("""COMPUTED_VALUE"""),"[]")</f>
        <v>[]</v>
      </c>
      <c r="X3335" s="6" t="str">
        <f>IFERROR(__xludf.DUMMYFUNCTION("""COMPUTED_VALUE"""),"Enrolled")</f>
        <v>Enrolled</v>
      </c>
    </row>
    <row r="3336">
      <c r="A3336" s="6" t="str">
        <f>IFERROR(__xludf.DUMMYFUNCTION("""COMPUTED_VALUE"""),"064-6220")</f>
        <v>064-6220</v>
      </c>
      <c r="B3336" s="6" t="str">
        <f>IFERROR(__xludf.DUMMYFUNCTION("""COMPUTED_VALUE"""),"64")</f>
        <v>64</v>
      </c>
      <c r="C3336" s="6" t="str">
        <f>IFERROR(__xludf.DUMMYFUNCTION("""COMPUTED_VALUE"""),"6220")</f>
        <v>6220</v>
      </c>
      <c r="D3336" s="6" t="str">
        <f>IFERROR(__xludf.DUMMYFUNCTION("""COMPUTED_VALUE"""),"Everett")</f>
        <v>Everett</v>
      </c>
      <c r="E3336" s="6" t="str">
        <f>IFERROR(__xludf.DUMMYFUNCTION("""COMPUTED_VALUE"""),"")</f>
        <v/>
      </c>
      <c r="F3336" s="6" t="str">
        <f>IFERROR(__xludf.DUMMYFUNCTION("""COMPUTED_VALUE"""),"Wimmer")</f>
        <v>Wimmer</v>
      </c>
      <c r="G3336" s="6" t="str">
        <f>IFERROR(__xludf.DUMMYFUNCTION("""COMPUTED_VALUE"""),"03/17/2015")</f>
        <v>03/17/2015</v>
      </c>
      <c r="H3336" s="6" t="str">
        <f>IFERROR(__xludf.DUMMYFUNCTION("""COMPUTED_VALUE"""),"Self Identify")</f>
        <v>Self Identify</v>
      </c>
      <c r="I3336" s="6" t="str">
        <f>IFERROR(__xludf.DUMMYFUNCTION("""COMPUTED_VALUE"""),"Level 2")</f>
        <v>Level 2</v>
      </c>
      <c r="J3336" s="6" t="str">
        <f>IFERROR(__xludf.DUMMYFUNCTION("""COMPUTED_VALUE"""),"5")</f>
        <v>5</v>
      </c>
      <c r="K3336" s="6" t="str">
        <f>IFERROR(__xludf.DUMMYFUNCTION("""COMPUTED_VALUE"""),"everett_wimmer@stu.ortrail.k12.or.us")</f>
        <v>everett_wimmer@stu.ortrail.k12.or.us</v>
      </c>
      <c r="L3336" s="6" t="str">
        <f>IFERROR(__xludf.DUMMYFUNCTION("""COMPUTED_VALUE"""),"Oregon Trail School District 46")</f>
        <v>Oregon Trail School District 46</v>
      </c>
      <c r="M3336" s="6" t="str">
        <f>IFERROR(__xludf.DUMMYFUNCTION("""COMPUTED_VALUE"""),"Kelso Elementary School")</f>
        <v>Kelso Elementary School</v>
      </c>
      <c r="N3336" s="6" t="str">
        <f>IFERROR(__xludf.DUMMYFUNCTION("""COMPUTED_VALUE"""),"")</f>
        <v/>
      </c>
      <c r="O3336" s="87" t="str">
        <f>IFERROR(__xludf.DUMMYFUNCTION("""COMPUTED_VALUE"""),"https://drive.google.com/drive/folders/10T2cTQHqEJZqE-st6uFKPoI?usp=share_link")</f>
        <v>https://drive.google.com/drive/folders/10T2cTQHqEJZqE-st6uFKPoI?usp=share_link</v>
      </c>
      <c r="P3336" s="6" t="str">
        <f>IFERROR(__xludf.DUMMYFUNCTION("""COMPUTED_VALUE"""),"Everett Wimmer")</f>
        <v>Everett Wimmer</v>
      </c>
      <c r="Q3336" s="6" t="str">
        <f>IFERROR(__xludf.DUMMYFUNCTION("""COMPUTED_VALUE"""),"L2")</f>
        <v>L2</v>
      </c>
      <c r="R3336" s="6">
        <f>IFERROR(__xludf.DUMMYFUNCTION("""COMPUTED_VALUE"""),2.0)</f>
        <v>2</v>
      </c>
      <c r="S3336" s="6" t="str">
        <f>IFERROR(__xludf.DUMMYFUNCTION("""COMPUTED_VALUE"""),"Jessica Minch")</f>
        <v>Jessica Minch</v>
      </c>
      <c r="T3336" s="6" t="str">
        <f>IFERROR(__xludf.DUMMYFUNCTION("""COMPUTED_VALUE"""),"jessica.minch@ortrail.k12.or.us")</f>
        <v>jessica.minch@ortrail.k12.or.us</v>
      </c>
      <c r="U3336" s="6" t="str">
        <f>IFERROR(__xludf.DUMMYFUNCTION("""COMPUTED_VALUE"""),"5")</f>
        <v>5</v>
      </c>
      <c r="V3336" s="6" t="str">
        <f>IFERROR(__xludf.DUMMYFUNCTION("""COMPUTED_VALUE"""),"English")</f>
        <v>English</v>
      </c>
      <c r="W3336" s="6" t="str">
        <f>IFERROR(__xludf.DUMMYFUNCTION("""COMPUTED_VALUE"""),"[]")</f>
        <v>[]</v>
      </c>
      <c r="X3336" s="6" t="str">
        <f>IFERROR(__xludf.DUMMYFUNCTION("""COMPUTED_VALUE"""),"Enrolled")</f>
        <v>Enrolled</v>
      </c>
    </row>
    <row r="3337">
      <c r="A3337" s="6" t="str">
        <f>IFERROR(__xludf.DUMMYFUNCTION("""COMPUTED_VALUE"""),"064-6221")</f>
        <v>064-6221</v>
      </c>
      <c r="B3337" s="6" t="str">
        <f>IFERROR(__xludf.DUMMYFUNCTION("""COMPUTED_VALUE"""),"64")</f>
        <v>64</v>
      </c>
      <c r="C3337" s="6" t="str">
        <f>IFERROR(__xludf.DUMMYFUNCTION("""COMPUTED_VALUE"""),"6221")</f>
        <v>6221</v>
      </c>
      <c r="D3337" s="6" t="str">
        <f>IFERROR(__xludf.DUMMYFUNCTION("""COMPUTED_VALUE"""),"Reese")</f>
        <v>Reese</v>
      </c>
      <c r="E3337" s="6" t="str">
        <f>IFERROR(__xludf.DUMMYFUNCTION("""COMPUTED_VALUE"""),"")</f>
        <v/>
      </c>
      <c r="F3337" s="6" t="str">
        <f>IFERROR(__xludf.DUMMYFUNCTION("""COMPUTED_VALUE"""),"Winsor")</f>
        <v>Winsor</v>
      </c>
      <c r="G3337" s="6" t="str">
        <f>IFERROR(__xludf.DUMMYFUNCTION("""COMPUTED_VALUE"""),"12/05/2014")</f>
        <v>12/05/2014</v>
      </c>
      <c r="H3337" s="6" t="str">
        <f>IFERROR(__xludf.DUMMYFUNCTION("""COMPUTED_VALUE"""),"Self Identify")</f>
        <v>Self Identify</v>
      </c>
      <c r="I3337" s="6" t="str">
        <f>IFERROR(__xludf.DUMMYFUNCTION("""COMPUTED_VALUE"""),"Level 2")</f>
        <v>Level 2</v>
      </c>
      <c r="J3337" s="6" t="str">
        <f>IFERROR(__xludf.DUMMYFUNCTION("""COMPUTED_VALUE"""),"5")</f>
        <v>5</v>
      </c>
      <c r="K3337" s="6" t="str">
        <f>IFERROR(__xludf.DUMMYFUNCTION("""COMPUTED_VALUE"""),"reese_winsor@stu.ortrail.k12.or.us")</f>
        <v>reese_winsor@stu.ortrail.k12.or.us</v>
      </c>
      <c r="L3337" s="6" t="str">
        <f>IFERROR(__xludf.DUMMYFUNCTION("""COMPUTED_VALUE"""),"Oregon Trail School District 46")</f>
        <v>Oregon Trail School District 46</v>
      </c>
      <c r="M3337" s="6" t="str">
        <f>IFERROR(__xludf.DUMMYFUNCTION("""COMPUTED_VALUE"""),"Kelso Elementary School")</f>
        <v>Kelso Elementary School</v>
      </c>
      <c r="N3337" s="6" t="str">
        <f>IFERROR(__xludf.DUMMYFUNCTION("""COMPUTED_VALUE"""),"")</f>
        <v/>
      </c>
      <c r="O3337" s="87" t="str">
        <f>IFERROR(__xludf.DUMMYFUNCTION("""COMPUTED_VALUE"""),"https://drive.google.com/drive/folders/10T2cTQHqEJZqE-st6uFKPoI?usp=share_link")</f>
        <v>https://drive.google.com/drive/folders/10T2cTQHqEJZqE-st6uFKPoI?usp=share_link</v>
      </c>
      <c r="P3337" s="6" t="str">
        <f>IFERROR(__xludf.DUMMYFUNCTION("""COMPUTED_VALUE"""),"Reese Winsor")</f>
        <v>Reese Winsor</v>
      </c>
      <c r="Q3337" s="6" t="str">
        <f>IFERROR(__xludf.DUMMYFUNCTION("""COMPUTED_VALUE"""),"L2")</f>
        <v>L2</v>
      </c>
      <c r="R3337" s="6">
        <f>IFERROR(__xludf.DUMMYFUNCTION("""COMPUTED_VALUE"""),2.0)</f>
        <v>2</v>
      </c>
      <c r="S3337" s="6" t="str">
        <f>IFERROR(__xludf.DUMMYFUNCTION("""COMPUTED_VALUE"""),"Nicole Sellin")</f>
        <v>Nicole Sellin</v>
      </c>
      <c r="T3337" s="6" t="str">
        <f>IFERROR(__xludf.DUMMYFUNCTION("""COMPUTED_VALUE"""),"nicole.sellin@ortrail.k12.or.us")</f>
        <v>nicole.sellin@ortrail.k12.or.us</v>
      </c>
      <c r="U3337" s="6" t="str">
        <f>IFERROR(__xludf.DUMMYFUNCTION("""COMPUTED_VALUE"""),"5")</f>
        <v>5</v>
      </c>
      <c r="V3337" s="6" t="str">
        <f>IFERROR(__xludf.DUMMYFUNCTION("""COMPUTED_VALUE"""),"English")</f>
        <v>English</v>
      </c>
      <c r="W3337" s="6" t="str">
        <f>IFERROR(__xludf.DUMMYFUNCTION("""COMPUTED_VALUE"""),"[]")</f>
        <v>[]</v>
      </c>
      <c r="X3337" s="6" t="str">
        <f>IFERROR(__xludf.DUMMYFUNCTION("""COMPUTED_VALUE"""),"Enrolled")</f>
        <v>Enrolled</v>
      </c>
    </row>
    <row r="3338">
      <c r="A3338" s="6" t="str">
        <f>IFERROR(__xludf.DUMMYFUNCTION("""COMPUTED_VALUE"""),"064-6222")</f>
        <v>064-6222</v>
      </c>
      <c r="B3338" s="6" t="str">
        <f>IFERROR(__xludf.DUMMYFUNCTION("""COMPUTED_VALUE"""),"64")</f>
        <v>64</v>
      </c>
      <c r="C3338" s="6" t="str">
        <f>IFERROR(__xludf.DUMMYFUNCTION("""COMPUTED_VALUE"""),"6222")</f>
        <v>6222</v>
      </c>
      <c r="D3338" s="6" t="str">
        <f>IFERROR(__xludf.DUMMYFUNCTION("""COMPUTED_VALUE"""),"Deegan")</f>
        <v>Deegan</v>
      </c>
      <c r="E3338" s="6" t="str">
        <f>IFERROR(__xludf.DUMMYFUNCTION("""COMPUTED_VALUE"""),"")</f>
        <v/>
      </c>
      <c r="F3338" s="6" t="str">
        <f>IFERROR(__xludf.DUMMYFUNCTION("""COMPUTED_VALUE"""),"Wright")</f>
        <v>Wright</v>
      </c>
      <c r="G3338" s="6" t="str">
        <f>IFERROR(__xludf.DUMMYFUNCTION("""COMPUTED_VALUE"""),"04/11/2015")</f>
        <v>04/11/2015</v>
      </c>
      <c r="H3338" s="6" t="str">
        <f>IFERROR(__xludf.DUMMYFUNCTION("""COMPUTED_VALUE"""),"Self Identify")</f>
        <v>Self Identify</v>
      </c>
      <c r="I3338" s="6" t="str">
        <f>IFERROR(__xludf.DUMMYFUNCTION("""COMPUTED_VALUE"""),"Level 2")</f>
        <v>Level 2</v>
      </c>
      <c r="J3338" s="6" t="str">
        <f>IFERROR(__xludf.DUMMYFUNCTION("""COMPUTED_VALUE"""),"5")</f>
        <v>5</v>
      </c>
      <c r="K3338" s="6" t="str">
        <f>IFERROR(__xludf.DUMMYFUNCTION("""COMPUTED_VALUE"""),"deegan_wright@stu.ortrail.k12.or.us")</f>
        <v>deegan_wright@stu.ortrail.k12.or.us</v>
      </c>
      <c r="L3338" s="6" t="str">
        <f>IFERROR(__xludf.DUMMYFUNCTION("""COMPUTED_VALUE"""),"Oregon Trail School District 46")</f>
        <v>Oregon Trail School District 46</v>
      </c>
      <c r="M3338" s="6" t="str">
        <f>IFERROR(__xludf.DUMMYFUNCTION("""COMPUTED_VALUE"""),"Kelso Elementary School")</f>
        <v>Kelso Elementary School</v>
      </c>
      <c r="N3338" s="6" t="str">
        <f>IFERROR(__xludf.DUMMYFUNCTION("""COMPUTED_VALUE"""),"")</f>
        <v/>
      </c>
      <c r="O3338" s="87" t="str">
        <f>IFERROR(__xludf.DUMMYFUNCTION("""COMPUTED_VALUE"""),"https://drive.google.com/drive/folders/10T2cTQHqEJZqE-st6uFKPoI?usp=share_link")</f>
        <v>https://drive.google.com/drive/folders/10T2cTQHqEJZqE-st6uFKPoI?usp=share_link</v>
      </c>
      <c r="P3338" s="6" t="str">
        <f>IFERROR(__xludf.DUMMYFUNCTION("""COMPUTED_VALUE"""),"Deegan Wright")</f>
        <v>Deegan Wright</v>
      </c>
      <c r="Q3338" s="6" t="str">
        <f>IFERROR(__xludf.DUMMYFUNCTION("""COMPUTED_VALUE"""),"L2")</f>
        <v>L2</v>
      </c>
      <c r="R3338" s="6">
        <f>IFERROR(__xludf.DUMMYFUNCTION("""COMPUTED_VALUE"""),2.0)</f>
        <v>2</v>
      </c>
      <c r="S3338" s="6" t="str">
        <f>IFERROR(__xludf.DUMMYFUNCTION("""COMPUTED_VALUE"""),"Jessica Minch")</f>
        <v>Jessica Minch</v>
      </c>
      <c r="T3338" s="6" t="str">
        <f>IFERROR(__xludf.DUMMYFUNCTION("""COMPUTED_VALUE"""),"jessica.minch@ortrail.k12.or.us")</f>
        <v>jessica.minch@ortrail.k12.or.us</v>
      </c>
      <c r="U3338" s="6" t="str">
        <f>IFERROR(__xludf.DUMMYFUNCTION("""COMPUTED_VALUE"""),"5")</f>
        <v>5</v>
      </c>
      <c r="V3338" s="6" t="str">
        <f>IFERROR(__xludf.DUMMYFUNCTION("""COMPUTED_VALUE"""),"English")</f>
        <v>English</v>
      </c>
      <c r="W3338" s="6" t="str">
        <f>IFERROR(__xludf.DUMMYFUNCTION("""COMPUTED_VALUE"""),"[]")</f>
        <v>[]</v>
      </c>
      <c r="X3338" s="6" t="str">
        <f>IFERROR(__xludf.DUMMYFUNCTION("""COMPUTED_VALUE"""),"Enrolled")</f>
        <v>Enrolled</v>
      </c>
    </row>
    <row r="3339">
      <c r="A3339" s="6" t="str">
        <f>IFERROR(__xludf.DUMMYFUNCTION("""COMPUTED_VALUE"""),"064-6225")</f>
        <v>064-6225</v>
      </c>
      <c r="B3339" s="6" t="str">
        <f>IFERROR(__xludf.DUMMYFUNCTION("""COMPUTED_VALUE"""),"64")</f>
        <v>64</v>
      </c>
      <c r="C3339" s="6" t="str">
        <f>IFERROR(__xludf.DUMMYFUNCTION("""COMPUTED_VALUE"""),"6225")</f>
        <v>6225</v>
      </c>
      <c r="D3339" s="6" t="str">
        <f>IFERROR(__xludf.DUMMYFUNCTION("""COMPUTED_VALUE"""),"Maximillian")</f>
        <v>Maximillian</v>
      </c>
      <c r="E3339" s="6" t="str">
        <f>IFERROR(__xludf.DUMMYFUNCTION("""COMPUTED_VALUE"""),"")</f>
        <v/>
      </c>
      <c r="F3339" s="6" t="str">
        <f>IFERROR(__xludf.DUMMYFUNCTION("""COMPUTED_VALUE"""),"Burke")</f>
        <v>Burke</v>
      </c>
      <c r="G3339" s="6" t="str">
        <f>IFERROR(__xludf.DUMMYFUNCTION("""COMPUTED_VALUE"""),"09/16/2010")</f>
        <v>09/16/2010</v>
      </c>
      <c r="H3339" s="6" t="str">
        <f>IFERROR(__xludf.DUMMYFUNCTION("""COMPUTED_VALUE"""),"Self Identify")</f>
        <v>Self Identify</v>
      </c>
      <c r="I3339" s="6" t="str">
        <f>IFERROR(__xludf.DUMMYFUNCTION("""COMPUTED_VALUE"""),"High School")</f>
        <v>High School</v>
      </c>
      <c r="J3339" s="6" t="str">
        <f>IFERROR(__xludf.DUMMYFUNCTION("""COMPUTED_VALUE"""),"9")</f>
        <v>9</v>
      </c>
      <c r="K3339" s="6" t="str">
        <f>IFERROR(__xludf.DUMMYFUNCTION("""COMPUTED_VALUE"""),"max_burke@stu.ortrail.k12.or.us")</f>
        <v>max_burke@stu.ortrail.k12.or.us</v>
      </c>
      <c r="L3339" s="6" t="str">
        <f>IFERROR(__xludf.DUMMYFUNCTION("""COMPUTED_VALUE"""),"Oregon Trail School District 46")</f>
        <v>Oregon Trail School District 46</v>
      </c>
      <c r="M3339" s="6" t="str">
        <f>IFERROR(__xludf.DUMMYFUNCTION("""COMPUTED_VALUE"""),"Sandy High School")</f>
        <v>Sandy High School</v>
      </c>
      <c r="N3339" s="6" t="str">
        <f>IFERROR(__xludf.DUMMYFUNCTION("""COMPUTED_VALUE"""),"")</f>
        <v/>
      </c>
      <c r="O3339" s="87" t="str">
        <f>IFERROR(__xludf.DUMMYFUNCTION("""COMPUTED_VALUE"""),"https://drive.google.com/drive/folders/10T2cTQHqEJZqE-st6uFKPoI?usp=share_link")</f>
        <v>https://drive.google.com/drive/folders/10T2cTQHqEJZqE-st6uFKPoI?usp=share_link</v>
      </c>
      <c r="P3339" s="6" t="str">
        <f>IFERROR(__xludf.DUMMYFUNCTION("""COMPUTED_VALUE"""),"Maximillian Burke")</f>
        <v>Maximillian Burke</v>
      </c>
      <c r="Q3339" s="6" t="str">
        <f>IFERROR(__xludf.DUMMYFUNCTION("""COMPUTED_VALUE"""),"HS")</f>
        <v>HS</v>
      </c>
      <c r="R3339" s="6">
        <f>IFERROR(__xludf.DUMMYFUNCTION("""COMPUTED_VALUE"""),0.0)</f>
        <v>0</v>
      </c>
      <c r="S3339" s="6" t="str">
        <f>IFERROR(__xludf.DUMMYFUNCTION("""COMPUTED_VALUE"""),"Maya Cooney")</f>
        <v>Maya Cooney</v>
      </c>
      <c r="T3339" s="6" t="str">
        <f>IFERROR(__xludf.DUMMYFUNCTION("""COMPUTED_VALUE"""),"maya.cooney@ortrail.k12.or.us")</f>
        <v>maya.cooney@ortrail.k12.or.us</v>
      </c>
      <c r="U3339" s="6" t="str">
        <f>IFERROR(__xludf.DUMMYFUNCTION("""COMPUTED_VALUE"""),"9")</f>
        <v>9</v>
      </c>
      <c r="V3339" s="6" t="str">
        <f>IFERROR(__xludf.DUMMYFUNCTION("""COMPUTED_VALUE"""),"English")</f>
        <v>English</v>
      </c>
      <c r="W3339" s="6" t="str">
        <f>IFERROR(__xludf.DUMMYFUNCTION("""COMPUTED_VALUE"""),"[]")</f>
        <v>[]</v>
      </c>
      <c r="X3339" s="6" t="str">
        <f>IFERROR(__xludf.DUMMYFUNCTION("""COMPUTED_VALUE"""),"Enrolled")</f>
        <v>Enrolled</v>
      </c>
    </row>
    <row r="3340">
      <c r="A3340" s="6" t="str">
        <f>IFERROR(__xludf.DUMMYFUNCTION("""COMPUTED_VALUE"""),"064-6226")</f>
        <v>064-6226</v>
      </c>
      <c r="B3340" s="6" t="str">
        <f>IFERROR(__xludf.DUMMYFUNCTION("""COMPUTED_VALUE"""),"64")</f>
        <v>64</v>
      </c>
      <c r="C3340" s="6" t="str">
        <f>IFERROR(__xludf.DUMMYFUNCTION("""COMPUTED_VALUE"""),"6226")</f>
        <v>6226</v>
      </c>
      <c r="D3340" s="6" t="str">
        <f>IFERROR(__xludf.DUMMYFUNCTION("""COMPUTED_VALUE"""),"Savvy")</f>
        <v>Savvy</v>
      </c>
      <c r="E3340" s="6" t="str">
        <f>IFERROR(__xludf.DUMMYFUNCTION("""COMPUTED_VALUE"""),"")</f>
        <v/>
      </c>
      <c r="F3340" s="6" t="str">
        <f>IFERROR(__xludf.DUMMYFUNCTION("""COMPUTED_VALUE"""),"Christy")</f>
        <v>Christy</v>
      </c>
      <c r="G3340" s="6" t="str">
        <f>IFERROR(__xludf.DUMMYFUNCTION("""COMPUTED_VALUE"""),"06/09/2011")</f>
        <v>06/09/2011</v>
      </c>
      <c r="H3340" s="6" t="str">
        <f>IFERROR(__xludf.DUMMYFUNCTION("""COMPUTED_VALUE"""),"Self Identify")</f>
        <v>Self Identify</v>
      </c>
      <c r="I3340" s="6" t="str">
        <f>IFERROR(__xludf.DUMMYFUNCTION("""COMPUTED_VALUE"""),"High School")</f>
        <v>High School</v>
      </c>
      <c r="J3340" s="6" t="str">
        <f>IFERROR(__xludf.DUMMYFUNCTION("""COMPUTED_VALUE"""),"9")</f>
        <v>9</v>
      </c>
      <c r="K3340" s="6" t="str">
        <f>IFERROR(__xludf.DUMMYFUNCTION("""COMPUTED_VALUE"""),"savvy_christy@stu.ortrail.k12.or.us")</f>
        <v>savvy_christy@stu.ortrail.k12.or.us</v>
      </c>
      <c r="L3340" s="6" t="str">
        <f>IFERROR(__xludf.DUMMYFUNCTION("""COMPUTED_VALUE"""),"Oregon Trail School District 46")</f>
        <v>Oregon Trail School District 46</v>
      </c>
      <c r="M3340" s="6" t="str">
        <f>IFERROR(__xludf.DUMMYFUNCTION("""COMPUTED_VALUE"""),"Sandy High School")</f>
        <v>Sandy High School</v>
      </c>
      <c r="N3340" s="6" t="str">
        <f>IFERROR(__xludf.DUMMYFUNCTION("""COMPUTED_VALUE"""),"")</f>
        <v/>
      </c>
      <c r="O3340" s="87" t="str">
        <f>IFERROR(__xludf.DUMMYFUNCTION("""COMPUTED_VALUE"""),"https://drive.google.com/drive/folders/10T2cTQHqEJZqE-st6uFKPoI?usp=share_link")</f>
        <v>https://drive.google.com/drive/folders/10T2cTQHqEJZqE-st6uFKPoI?usp=share_link</v>
      </c>
      <c r="P3340" s="6" t="str">
        <f>IFERROR(__xludf.DUMMYFUNCTION("""COMPUTED_VALUE"""),"Savvy Christy")</f>
        <v>Savvy Christy</v>
      </c>
      <c r="Q3340" s="6" t="str">
        <f>IFERROR(__xludf.DUMMYFUNCTION("""COMPUTED_VALUE"""),"HS")</f>
        <v>HS</v>
      </c>
      <c r="R3340" s="6">
        <f>IFERROR(__xludf.DUMMYFUNCTION("""COMPUTED_VALUE"""),0.0)</f>
        <v>0</v>
      </c>
      <c r="S3340" s="6" t="str">
        <f>IFERROR(__xludf.DUMMYFUNCTION("""COMPUTED_VALUE"""),"Maya Cooney")</f>
        <v>Maya Cooney</v>
      </c>
      <c r="T3340" s="6" t="str">
        <f>IFERROR(__xludf.DUMMYFUNCTION("""COMPUTED_VALUE"""),"maya.cooney@ortrail.k12.or.us")</f>
        <v>maya.cooney@ortrail.k12.or.us</v>
      </c>
      <c r="U3340" s="6" t="str">
        <f>IFERROR(__xludf.DUMMYFUNCTION("""COMPUTED_VALUE"""),"9")</f>
        <v>9</v>
      </c>
      <c r="V3340" s="6" t="str">
        <f>IFERROR(__xludf.DUMMYFUNCTION("""COMPUTED_VALUE"""),"English")</f>
        <v>English</v>
      </c>
      <c r="W3340" s="6" t="str">
        <f>IFERROR(__xludf.DUMMYFUNCTION("""COMPUTED_VALUE"""),"[]")</f>
        <v>[]</v>
      </c>
      <c r="X3340" s="6" t="str">
        <f>IFERROR(__xludf.DUMMYFUNCTION("""COMPUTED_VALUE"""),"Enrolled")</f>
        <v>Enrolled</v>
      </c>
    </row>
    <row r="3341">
      <c r="A3341" s="6" t="str">
        <f>IFERROR(__xludf.DUMMYFUNCTION("""COMPUTED_VALUE"""),"064-6227")</f>
        <v>064-6227</v>
      </c>
      <c r="B3341" s="6" t="str">
        <f>IFERROR(__xludf.DUMMYFUNCTION("""COMPUTED_VALUE"""),"64")</f>
        <v>64</v>
      </c>
      <c r="C3341" s="6" t="str">
        <f>IFERROR(__xludf.DUMMYFUNCTION("""COMPUTED_VALUE"""),"6227")</f>
        <v>6227</v>
      </c>
      <c r="D3341" s="6" t="str">
        <f>IFERROR(__xludf.DUMMYFUNCTION("""COMPUTED_VALUE"""),"Maxx")</f>
        <v>Maxx</v>
      </c>
      <c r="E3341" s="6" t="str">
        <f>IFERROR(__xludf.DUMMYFUNCTION("""COMPUTED_VALUE"""),"")</f>
        <v/>
      </c>
      <c r="F3341" s="6" t="str">
        <f>IFERROR(__xludf.DUMMYFUNCTION("""COMPUTED_VALUE"""),"DeVet")</f>
        <v>DeVet</v>
      </c>
      <c r="G3341" s="6" t="str">
        <f>IFERROR(__xludf.DUMMYFUNCTION("""COMPUTED_VALUE"""),"12/01/2010")</f>
        <v>12/01/2010</v>
      </c>
      <c r="H3341" s="6" t="str">
        <f>IFERROR(__xludf.DUMMYFUNCTION("""COMPUTED_VALUE"""),"Self Identify")</f>
        <v>Self Identify</v>
      </c>
      <c r="I3341" s="6" t="str">
        <f>IFERROR(__xludf.DUMMYFUNCTION("""COMPUTED_VALUE"""),"High School")</f>
        <v>High School</v>
      </c>
      <c r="J3341" s="6" t="str">
        <f>IFERROR(__xludf.DUMMYFUNCTION("""COMPUTED_VALUE"""),"9")</f>
        <v>9</v>
      </c>
      <c r="K3341" s="6" t="str">
        <f>IFERROR(__xludf.DUMMYFUNCTION("""COMPUTED_VALUE"""),"maxx_devet@stu.ortrail.k12.or.us")</f>
        <v>maxx_devet@stu.ortrail.k12.or.us</v>
      </c>
      <c r="L3341" s="6" t="str">
        <f>IFERROR(__xludf.DUMMYFUNCTION("""COMPUTED_VALUE"""),"Oregon Trail School District 46")</f>
        <v>Oregon Trail School District 46</v>
      </c>
      <c r="M3341" s="6" t="str">
        <f>IFERROR(__xludf.DUMMYFUNCTION("""COMPUTED_VALUE"""),"Sandy High School")</f>
        <v>Sandy High School</v>
      </c>
      <c r="N3341" s="6" t="str">
        <f>IFERROR(__xludf.DUMMYFUNCTION("""COMPUTED_VALUE"""),"")</f>
        <v/>
      </c>
      <c r="O3341" s="87" t="str">
        <f>IFERROR(__xludf.DUMMYFUNCTION("""COMPUTED_VALUE"""),"https://drive.google.com/drive/folders/10T2cTQHqEJZqE-st6uFKPoI?usp=share_link")</f>
        <v>https://drive.google.com/drive/folders/10T2cTQHqEJZqE-st6uFKPoI?usp=share_link</v>
      </c>
      <c r="P3341" s="6" t="str">
        <f>IFERROR(__xludf.DUMMYFUNCTION("""COMPUTED_VALUE"""),"Maxx DeVet")</f>
        <v>Maxx DeVet</v>
      </c>
      <c r="Q3341" s="6" t="str">
        <f>IFERROR(__xludf.DUMMYFUNCTION("""COMPUTED_VALUE"""),"HS")</f>
        <v>HS</v>
      </c>
      <c r="R3341" s="6">
        <f>IFERROR(__xludf.DUMMYFUNCTION("""COMPUTED_VALUE"""),0.0)</f>
        <v>0</v>
      </c>
      <c r="S3341" s="6" t="str">
        <f>IFERROR(__xludf.DUMMYFUNCTION("""COMPUTED_VALUE"""),"Maya Cooney")</f>
        <v>Maya Cooney</v>
      </c>
      <c r="T3341" s="6" t="str">
        <f>IFERROR(__xludf.DUMMYFUNCTION("""COMPUTED_VALUE"""),"maya.cooney@ortrail.k12.or.us")</f>
        <v>maya.cooney@ortrail.k12.or.us</v>
      </c>
      <c r="U3341" s="6" t="str">
        <f>IFERROR(__xludf.DUMMYFUNCTION("""COMPUTED_VALUE"""),"9")</f>
        <v>9</v>
      </c>
      <c r="V3341" s="6" t="str">
        <f>IFERROR(__xludf.DUMMYFUNCTION("""COMPUTED_VALUE"""),"English")</f>
        <v>English</v>
      </c>
      <c r="W3341" s="6" t="str">
        <f>IFERROR(__xludf.DUMMYFUNCTION("""COMPUTED_VALUE"""),"[]")</f>
        <v>[]</v>
      </c>
      <c r="X3341" s="6" t="str">
        <f>IFERROR(__xludf.DUMMYFUNCTION("""COMPUTED_VALUE"""),"Enrolled")</f>
        <v>Enrolled</v>
      </c>
    </row>
    <row r="3342">
      <c r="A3342" s="6" t="str">
        <f>IFERROR(__xludf.DUMMYFUNCTION("""COMPUTED_VALUE"""),"064-6232")</f>
        <v>064-6232</v>
      </c>
      <c r="B3342" s="6" t="str">
        <f>IFERROR(__xludf.DUMMYFUNCTION("""COMPUTED_VALUE"""),"64")</f>
        <v>64</v>
      </c>
      <c r="C3342" s="6" t="str">
        <f>IFERROR(__xludf.DUMMYFUNCTION("""COMPUTED_VALUE"""),"6232")</f>
        <v>6232</v>
      </c>
      <c r="D3342" s="6" t="str">
        <f>IFERROR(__xludf.DUMMYFUNCTION("""COMPUTED_VALUE"""),"Ruslan")</f>
        <v>Ruslan</v>
      </c>
      <c r="E3342" s="6" t="str">
        <f>IFERROR(__xludf.DUMMYFUNCTION("""COMPUTED_VALUE"""),"")</f>
        <v/>
      </c>
      <c r="F3342" s="6" t="str">
        <f>IFERROR(__xludf.DUMMYFUNCTION("""COMPUTED_VALUE"""),"Levitskiy")</f>
        <v>Levitskiy</v>
      </c>
      <c r="G3342" s="6" t="str">
        <f>IFERROR(__xludf.DUMMYFUNCTION("""COMPUTED_VALUE"""),"03/28/2011")</f>
        <v>03/28/2011</v>
      </c>
      <c r="H3342" s="6" t="str">
        <f>IFERROR(__xludf.DUMMYFUNCTION("""COMPUTED_VALUE"""),"Self Identify")</f>
        <v>Self Identify</v>
      </c>
      <c r="I3342" s="6" t="str">
        <f>IFERROR(__xludf.DUMMYFUNCTION("""COMPUTED_VALUE"""),"High School")</f>
        <v>High School</v>
      </c>
      <c r="J3342" s="6" t="str">
        <f>IFERROR(__xludf.DUMMYFUNCTION("""COMPUTED_VALUE"""),"9")</f>
        <v>9</v>
      </c>
      <c r="K3342" s="6" t="str">
        <f>IFERROR(__xludf.DUMMYFUNCTION("""COMPUTED_VALUE"""),"russ_levitskiy@stu.ortrail.k12.or.us")</f>
        <v>russ_levitskiy@stu.ortrail.k12.or.us</v>
      </c>
      <c r="L3342" s="6" t="str">
        <f>IFERROR(__xludf.DUMMYFUNCTION("""COMPUTED_VALUE"""),"Oregon Trail School District 46")</f>
        <v>Oregon Trail School District 46</v>
      </c>
      <c r="M3342" s="6" t="str">
        <f>IFERROR(__xludf.DUMMYFUNCTION("""COMPUTED_VALUE"""),"Sandy High School")</f>
        <v>Sandy High School</v>
      </c>
      <c r="N3342" s="6" t="str">
        <f>IFERROR(__xludf.DUMMYFUNCTION("""COMPUTED_VALUE"""),"")</f>
        <v/>
      </c>
      <c r="O3342" s="87" t="str">
        <f>IFERROR(__xludf.DUMMYFUNCTION("""COMPUTED_VALUE"""),"https://drive.google.com/drive/folders/10T2cTQHqEJZqE-st6uFKPoI?usp=share_link")</f>
        <v>https://drive.google.com/drive/folders/10T2cTQHqEJZqE-st6uFKPoI?usp=share_link</v>
      </c>
      <c r="P3342" s="6" t="str">
        <f>IFERROR(__xludf.DUMMYFUNCTION("""COMPUTED_VALUE"""),"Ruslan Levitskiy")</f>
        <v>Ruslan Levitskiy</v>
      </c>
      <c r="Q3342" s="6" t="str">
        <f>IFERROR(__xludf.DUMMYFUNCTION("""COMPUTED_VALUE"""),"HS")</f>
        <v>HS</v>
      </c>
      <c r="R3342" s="6">
        <f>IFERROR(__xludf.DUMMYFUNCTION("""COMPUTED_VALUE"""),0.0)</f>
        <v>0</v>
      </c>
      <c r="S3342" s="6" t="str">
        <f>IFERROR(__xludf.DUMMYFUNCTION("""COMPUTED_VALUE"""),"Maya Cooney")</f>
        <v>Maya Cooney</v>
      </c>
      <c r="T3342" s="6" t="str">
        <f>IFERROR(__xludf.DUMMYFUNCTION("""COMPUTED_VALUE"""),"maya.cooney@ortrail.k12.or.us")</f>
        <v>maya.cooney@ortrail.k12.or.us</v>
      </c>
      <c r="U3342" s="6" t="str">
        <f>IFERROR(__xludf.DUMMYFUNCTION("""COMPUTED_VALUE"""),"9")</f>
        <v>9</v>
      </c>
      <c r="V3342" s="6" t="str">
        <f>IFERROR(__xludf.DUMMYFUNCTION("""COMPUTED_VALUE"""),"English")</f>
        <v>English</v>
      </c>
      <c r="W3342" s="6" t="str">
        <f>IFERROR(__xludf.DUMMYFUNCTION("""COMPUTED_VALUE"""),"[]")</f>
        <v>[]</v>
      </c>
      <c r="X3342" s="6" t="str">
        <f>IFERROR(__xludf.DUMMYFUNCTION("""COMPUTED_VALUE"""),"Enrolled")</f>
        <v>Enrolled</v>
      </c>
    </row>
    <row r="3343">
      <c r="A3343" s="6" t="str">
        <f>IFERROR(__xludf.DUMMYFUNCTION("""COMPUTED_VALUE"""),"064-6233")</f>
        <v>064-6233</v>
      </c>
      <c r="B3343" s="6" t="str">
        <f>IFERROR(__xludf.DUMMYFUNCTION("""COMPUTED_VALUE"""),"64")</f>
        <v>64</v>
      </c>
      <c r="C3343" s="6" t="str">
        <f>IFERROR(__xludf.DUMMYFUNCTION("""COMPUTED_VALUE"""),"6233")</f>
        <v>6233</v>
      </c>
      <c r="D3343" s="6" t="str">
        <f>IFERROR(__xludf.DUMMYFUNCTION("""COMPUTED_VALUE"""),"Jack")</f>
        <v>Jack</v>
      </c>
      <c r="E3343" s="6" t="str">
        <f>IFERROR(__xludf.DUMMYFUNCTION("""COMPUTED_VALUE"""),"")</f>
        <v/>
      </c>
      <c r="F3343" s="6" t="str">
        <f>IFERROR(__xludf.DUMMYFUNCTION("""COMPUTED_VALUE"""),"Miles")</f>
        <v>Miles</v>
      </c>
      <c r="G3343" s="6" t="str">
        <f>IFERROR(__xludf.DUMMYFUNCTION("""COMPUTED_VALUE"""),"02/28/2011")</f>
        <v>02/28/2011</v>
      </c>
      <c r="H3343" s="6" t="str">
        <f>IFERROR(__xludf.DUMMYFUNCTION("""COMPUTED_VALUE"""),"Self Identify")</f>
        <v>Self Identify</v>
      </c>
      <c r="I3343" s="6" t="str">
        <f>IFERROR(__xludf.DUMMYFUNCTION("""COMPUTED_VALUE"""),"High School")</f>
        <v>High School</v>
      </c>
      <c r="J3343" s="6" t="str">
        <f>IFERROR(__xludf.DUMMYFUNCTION("""COMPUTED_VALUE"""),"9")</f>
        <v>9</v>
      </c>
      <c r="K3343" s="6" t="str">
        <f>IFERROR(__xludf.DUMMYFUNCTION("""COMPUTED_VALUE"""),"jack_miles@stu.ortrail.k12.or.us")</f>
        <v>jack_miles@stu.ortrail.k12.or.us</v>
      </c>
      <c r="L3343" s="6" t="str">
        <f>IFERROR(__xludf.DUMMYFUNCTION("""COMPUTED_VALUE"""),"Oregon Trail School District 46")</f>
        <v>Oregon Trail School District 46</v>
      </c>
      <c r="M3343" s="6" t="str">
        <f>IFERROR(__xludf.DUMMYFUNCTION("""COMPUTED_VALUE"""),"Sandy High School")</f>
        <v>Sandy High School</v>
      </c>
      <c r="N3343" s="6" t="str">
        <f>IFERROR(__xludf.DUMMYFUNCTION("""COMPUTED_VALUE"""),"")</f>
        <v/>
      </c>
      <c r="O3343" s="87" t="str">
        <f>IFERROR(__xludf.DUMMYFUNCTION("""COMPUTED_VALUE"""),"https://drive.google.com/drive/folders/10T2cTQHqEJZqE-st6uFKPoI?usp=share_link")</f>
        <v>https://drive.google.com/drive/folders/10T2cTQHqEJZqE-st6uFKPoI?usp=share_link</v>
      </c>
      <c r="P3343" s="6" t="str">
        <f>IFERROR(__xludf.DUMMYFUNCTION("""COMPUTED_VALUE"""),"Jack Miles")</f>
        <v>Jack Miles</v>
      </c>
      <c r="Q3343" s="6" t="str">
        <f>IFERROR(__xludf.DUMMYFUNCTION("""COMPUTED_VALUE"""),"HS")</f>
        <v>HS</v>
      </c>
      <c r="R3343" s="6">
        <f>IFERROR(__xludf.DUMMYFUNCTION("""COMPUTED_VALUE"""),0.0)</f>
        <v>0</v>
      </c>
      <c r="S3343" s="6" t="str">
        <f>IFERROR(__xludf.DUMMYFUNCTION("""COMPUTED_VALUE"""),"Maya Cooney")</f>
        <v>Maya Cooney</v>
      </c>
      <c r="T3343" s="6" t="str">
        <f>IFERROR(__xludf.DUMMYFUNCTION("""COMPUTED_VALUE"""),"maya.cooney@ortrail.k12.or.us")</f>
        <v>maya.cooney@ortrail.k12.or.us</v>
      </c>
      <c r="U3343" s="6" t="str">
        <f>IFERROR(__xludf.DUMMYFUNCTION("""COMPUTED_VALUE"""),"9")</f>
        <v>9</v>
      </c>
      <c r="V3343" s="6" t="str">
        <f>IFERROR(__xludf.DUMMYFUNCTION("""COMPUTED_VALUE"""),"English")</f>
        <v>English</v>
      </c>
      <c r="W3343" s="6" t="str">
        <f>IFERROR(__xludf.DUMMYFUNCTION("""COMPUTED_VALUE"""),"[]")</f>
        <v>[]</v>
      </c>
      <c r="X3343" s="6" t="str">
        <f>IFERROR(__xludf.DUMMYFUNCTION("""COMPUTED_VALUE"""),"Enrolled")</f>
        <v>Enrolled</v>
      </c>
    </row>
    <row r="3344">
      <c r="A3344" s="6" t="str">
        <f>IFERROR(__xludf.DUMMYFUNCTION("""COMPUTED_VALUE"""),"064-6234")</f>
        <v>064-6234</v>
      </c>
      <c r="B3344" s="6" t="str">
        <f>IFERROR(__xludf.DUMMYFUNCTION("""COMPUTED_VALUE"""),"64")</f>
        <v>64</v>
      </c>
      <c r="C3344" s="6" t="str">
        <f>IFERROR(__xludf.DUMMYFUNCTION("""COMPUTED_VALUE"""),"6234")</f>
        <v>6234</v>
      </c>
      <c r="D3344" s="6" t="str">
        <f>IFERROR(__xludf.DUMMYFUNCTION("""COMPUTED_VALUE"""),"Daniel")</f>
        <v>Daniel</v>
      </c>
      <c r="E3344" s="6" t="str">
        <f>IFERROR(__xludf.DUMMYFUNCTION("""COMPUTED_VALUE"""),"")</f>
        <v/>
      </c>
      <c r="F3344" s="6" t="str">
        <f>IFERROR(__xludf.DUMMYFUNCTION("""COMPUTED_VALUE"""),"Oglevie")</f>
        <v>Oglevie</v>
      </c>
      <c r="G3344" s="6" t="str">
        <f>IFERROR(__xludf.DUMMYFUNCTION("""COMPUTED_VALUE"""),"01/18/2011")</f>
        <v>01/18/2011</v>
      </c>
      <c r="H3344" s="6" t="str">
        <f>IFERROR(__xludf.DUMMYFUNCTION("""COMPUTED_VALUE"""),"Self Identify")</f>
        <v>Self Identify</v>
      </c>
      <c r="I3344" s="6" t="str">
        <f>IFERROR(__xludf.DUMMYFUNCTION("""COMPUTED_VALUE"""),"High School")</f>
        <v>High School</v>
      </c>
      <c r="J3344" s="6" t="str">
        <f>IFERROR(__xludf.DUMMYFUNCTION("""COMPUTED_VALUE"""),"9")</f>
        <v>9</v>
      </c>
      <c r="K3344" s="6" t="str">
        <f>IFERROR(__xludf.DUMMYFUNCTION("""COMPUTED_VALUE"""),"daniel_oglevie@stu.ortrail.k12.or.us")</f>
        <v>daniel_oglevie@stu.ortrail.k12.or.us</v>
      </c>
      <c r="L3344" s="6" t="str">
        <f>IFERROR(__xludf.DUMMYFUNCTION("""COMPUTED_VALUE"""),"Oregon Trail School District 46")</f>
        <v>Oregon Trail School District 46</v>
      </c>
      <c r="M3344" s="6" t="str">
        <f>IFERROR(__xludf.DUMMYFUNCTION("""COMPUTED_VALUE"""),"Sandy High School")</f>
        <v>Sandy High School</v>
      </c>
      <c r="N3344" s="6" t="str">
        <f>IFERROR(__xludf.DUMMYFUNCTION("""COMPUTED_VALUE"""),"")</f>
        <v/>
      </c>
      <c r="O3344" s="87" t="str">
        <f>IFERROR(__xludf.DUMMYFUNCTION("""COMPUTED_VALUE"""),"https://drive.google.com/drive/folders/10T2cTQHqEJZqE-st6uFKPoI?usp=share_link")</f>
        <v>https://drive.google.com/drive/folders/10T2cTQHqEJZqE-st6uFKPoI?usp=share_link</v>
      </c>
      <c r="P3344" s="6" t="str">
        <f>IFERROR(__xludf.DUMMYFUNCTION("""COMPUTED_VALUE"""),"Daniel Oglevie")</f>
        <v>Daniel Oglevie</v>
      </c>
      <c r="Q3344" s="6" t="str">
        <f>IFERROR(__xludf.DUMMYFUNCTION("""COMPUTED_VALUE"""),"HS")</f>
        <v>HS</v>
      </c>
      <c r="R3344" s="6">
        <f>IFERROR(__xludf.DUMMYFUNCTION("""COMPUTED_VALUE"""),0.0)</f>
        <v>0</v>
      </c>
      <c r="S3344" s="6" t="str">
        <f>IFERROR(__xludf.DUMMYFUNCTION("""COMPUTED_VALUE"""),"Maya Cooney")</f>
        <v>Maya Cooney</v>
      </c>
      <c r="T3344" s="6" t="str">
        <f>IFERROR(__xludf.DUMMYFUNCTION("""COMPUTED_VALUE"""),"maya.cooney@ortrail.k12.or.us")</f>
        <v>maya.cooney@ortrail.k12.or.us</v>
      </c>
      <c r="U3344" s="6" t="str">
        <f>IFERROR(__xludf.DUMMYFUNCTION("""COMPUTED_VALUE"""),"9")</f>
        <v>9</v>
      </c>
      <c r="V3344" s="6" t="str">
        <f>IFERROR(__xludf.DUMMYFUNCTION("""COMPUTED_VALUE"""),"English")</f>
        <v>English</v>
      </c>
      <c r="W3344" s="6" t="str">
        <f>IFERROR(__xludf.DUMMYFUNCTION("""COMPUTED_VALUE"""),"[]")</f>
        <v>[]</v>
      </c>
      <c r="X3344" s="6" t="str">
        <f>IFERROR(__xludf.DUMMYFUNCTION("""COMPUTED_VALUE"""),"Enrolled")</f>
        <v>Enrolled</v>
      </c>
    </row>
    <row r="3345">
      <c r="A3345" s="6" t="str">
        <f>IFERROR(__xludf.DUMMYFUNCTION("""COMPUTED_VALUE"""),"064-6235")</f>
        <v>064-6235</v>
      </c>
      <c r="B3345" s="6" t="str">
        <f>IFERROR(__xludf.DUMMYFUNCTION("""COMPUTED_VALUE"""),"64")</f>
        <v>64</v>
      </c>
      <c r="C3345" s="6" t="str">
        <f>IFERROR(__xludf.DUMMYFUNCTION("""COMPUTED_VALUE"""),"6235")</f>
        <v>6235</v>
      </c>
      <c r="D3345" s="6" t="str">
        <f>IFERROR(__xludf.DUMMYFUNCTION("""COMPUTED_VALUE"""),"Torrin")</f>
        <v>Torrin</v>
      </c>
      <c r="E3345" s="6" t="str">
        <f>IFERROR(__xludf.DUMMYFUNCTION("""COMPUTED_VALUE"""),"")</f>
        <v/>
      </c>
      <c r="F3345" s="6" t="str">
        <f>IFERROR(__xludf.DUMMYFUNCTION("""COMPUTED_VALUE"""),"Parker")</f>
        <v>Parker</v>
      </c>
      <c r="G3345" s="6" t="str">
        <f>IFERROR(__xludf.DUMMYFUNCTION("""COMPUTED_VALUE"""),"04/20/2011")</f>
        <v>04/20/2011</v>
      </c>
      <c r="H3345" s="6" t="str">
        <f>IFERROR(__xludf.DUMMYFUNCTION("""COMPUTED_VALUE"""),"Self Identify")</f>
        <v>Self Identify</v>
      </c>
      <c r="I3345" s="6" t="str">
        <f>IFERROR(__xludf.DUMMYFUNCTION("""COMPUTED_VALUE"""),"High School")</f>
        <v>High School</v>
      </c>
      <c r="J3345" s="6" t="str">
        <f>IFERROR(__xludf.DUMMYFUNCTION("""COMPUTED_VALUE"""),"9")</f>
        <v>9</v>
      </c>
      <c r="K3345" s="6" t="str">
        <f>IFERROR(__xludf.DUMMYFUNCTION("""COMPUTED_VALUE"""),"torrin_parker@stu.ortrail.k12.or.us")</f>
        <v>torrin_parker@stu.ortrail.k12.or.us</v>
      </c>
      <c r="L3345" s="6" t="str">
        <f>IFERROR(__xludf.DUMMYFUNCTION("""COMPUTED_VALUE"""),"Oregon Trail School District 46")</f>
        <v>Oregon Trail School District 46</v>
      </c>
      <c r="M3345" s="6" t="str">
        <f>IFERROR(__xludf.DUMMYFUNCTION("""COMPUTED_VALUE"""),"Sandy High School")</f>
        <v>Sandy High School</v>
      </c>
      <c r="N3345" s="6" t="str">
        <f>IFERROR(__xludf.DUMMYFUNCTION("""COMPUTED_VALUE"""),"")</f>
        <v/>
      </c>
      <c r="O3345" s="87" t="str">
        <f>IFERROR(__xludf.DUMMYFUNCTION("""COMPUTED_VALUE"""),"https://drive.google.com/drive/folders/10T2cTQHqEJZqE-st6uFKPoI?usp=share_link")</f>
        <v>https://drive.google.com/drive/folders/10T2cTQHqEJZqE-st6uFKPoI?usp=share_link</v>
      </c>
      <c r="P3345" s="6" t="str">
        <f>IFERROR(__xludf.DUMMYFUNCTION("""COMPUTED_VALUE"""),"Torrin Parker")</f>
        <v>Torrin Parker</v>
      </c>
      <c r="Q3345" s="6" t="str">
        <f>IFERROR(__xludf.DUMMYFUNCTION("""COMPUTED_VALUE"""),"HS")</f>
        <v>HS</v>
      </c>
      <c r="R3345" s="6">
        <f>IFERROR(__xludf.DUMMYFUNCTION("""COMPUTED_VALUE"""),0.0)</f>
        <v>0</v>
      </c>
      <c r="S3345" s="6" t="str">
        <f>IFERROR(__xludf.DUMMYFUNCTION("""COMPUTED_VALUE"""),"Maya Cooney")</f>
        <v>Maya Cooney</v>
      </c>
      <c r="T3345" s="6" t="str">
        <f>IFERROR(__xludf.DUMMYFUNCTION("""COMPUTED_VALUE"""),"maya.cooney@ortrail.k12.or.us")</f>
        <v>maya.cooney@ortrail.k12.or.us</v>
      </c>
      <c r="U3345" s="6" t="str">
        <f>IFERROR(__xludf.DUMMYFUNCTION("""COMPUTED_VALUE"""),"9")</f>
        <v>9</v>
      </c>
      <c r="V3345" s="6" t="str">
        <f>IFERROR(__xludf.DUMMYFUNCTION("""COMPUTED_VALUE"""),"English")</f>
        <v>English</v>
      </c>
      <c r="W3345" s="6" t="str">
        <f>IFERROR(__xludf.DUMMYFUNCTION("""COMPUTED_VALUE"""),"[]")</f>
        <v>[]</v>
      </c>
      <c r="X3345" s="6" t="str">
        <f>IFERROR(__xludf.DUMMYFUNCTION("""COMPUTED_VALUE"""),"Enrolled")</f>
        <v>Enrolled</v>
      </c>
    </row>
    <row r="3346">
      <c r="A3346" s="6" t="str">
        <f>IFERROR(__xludf.DUMMYFUNCTION("""COMPUTED_VALUE"""),"064-6242")</f>
        <v>064-6242</v>
      </c>
      <c r="B3346" s="6" t="str">
        <f>IFERROR(__xludf.DUMMYFUNCTION("""COMPUTED_VALUE"""),"64")</f>
        <v>64</v>
      </c>
      <c r="C3346" s="6" t="str">
        <f>IFERROR(__xludf.DUMMYFUNCTION("""COMPUTED_VALUE"""),"6242")</f>
        <v>6242</v>
      </c>
      <c r="D3346" s="6" t="str">
        <f>IFERROR(__xludf.DUMMYFUNCTION("""COMPUTED_VALUE"""),"Raymond")</f>
        <v>Raymond</v>
      </c>
      <c r="E3346" s="6" t="str">
        <f>IFERROR(__xludf.DUMMYFUNCTION("""COMPUTED_VALUE"""),"")</f>
        <v/>
      </c>
      <c r="F3346" s="6" t="str">
        <f>IFERROR(__xludf.DUMMYFUNCTION("""COMPUTED_VALUE"""),"Saranchuk")</f>
        <v>Saranchuk</v>
      </c>
      <c r="G3346" s="6" t="str">
        <f>IFERROR(__xludf.DUMMYFUNCTION("""COMPUTED_VALUE"""),"11/30/2010")</f>
        <v>11/30/2010</v>
      </c>
      <c r="H3346" s="6" t="str">
        <f>IFERROR(__xludf.DUMMYFUNCTION("""COMPUTED_VALUE"""),"Self Identify")</f>
        <v>Self Identify</v>
      </c>
      <c r="I3346" s="6" t="str">
        <f>IFERROR(__xludf.DUMMYFUNCTION("""COMPUTED_VALUE"""),"High School")</f>
        <v>High School</v>
      </c>
      <c r="J3346" s="6" t="str">
        <f>IFERROR(__xludf.DUMMYFUNCTION("""COMPUTED_VALUE"""),"9")</f>
        <v>9</v>
      </c>
      <c r="K3346" s="6" t="str">
        <f>IFERROR(__xludf.DUMMYFUNCTION("""COMPUTED_VALUE"""),"raymond_saranchuk@stu.ortrail.k12.or.us")</f>
        <v>raymond_saranchuk@stu.ortrail.k12.or.us</v>
      </c>
      <c r="L3346" s="6" t="str">
        <f>IFERROR(__xludf.DUMMYFUNCTION("""COMPUTED_VALUE"""),"Oregon Trail School District 46")</f>
        <v>Oregon Trail School District 46</v>
      </c>
      <c r="M3346" s="6" t="str">
        <f>IFERROR(__xludf.DUMMYFUNCTION("""COMPUTED_VALUE"""),"Sandy High School")</f>
        <v>Sandy High School</v>
      </c>
      <c r="N3346" s="6" t="str">
        <f>IFERROR(__xludf.DUMMYFUNCTION("""COMPUTED_VALUE"""),"")</f>
        <v/>
      </c>
      <c r="O3346" s="87" t="str">
        <f>IFERROR(__xludf.DUMMYFUNCTION("""COMPUTED_VALUE"""),"https://drive.google.com/drive/folders/10T2cTQHqEJZqE-st6uFKPoI?usp=share_link")</f>
        <v>https://drive.google.com/drive/folders/10T2cTQHqEJZqE-st6uFKPoI?usp=share_link</v>
      </c>
      <c r="P3346" s="6" t="str">
        <f>IFERROR(__xludf.DUMMYFUNCTION("""COMPUTED_VALUE"""),"Raymond Saranchuk")</f>
        <v>Raymond Saranchuk</v>
      </c>
      <c r="Q3346" s="6" t="str">
        <f>IFERROR(__xludf.DUMMYFUNCTION("""COMPUTED_VALUE"""),"HS")</f>
        <v>HS</v>
      </c>
      <c r="R3346" s="6">
        <f>IFERROR(__xludf.DUMMYFUNCTION("""COMPUTED_VALUE"""),0.0)</f>
        <v>0</v>
      </c>
      <c r="S3346" s="6" t="str">
        <f>IFERROR(__xludf.DUMMYFUNCTION("""COMPUTED_VALUE"""),"Maya Cooney")</f>
        <v>Maya Cooney</v>
      </c>
      <c r="T3346" s="6" t="str">
        <f>IFERROR(__xludf.DUMMYFUNCTION("""COMPUTED_VALUE"""),"maya.cooney@ortrail.k12.or.us")</f>
        <v>maya.cooney@ortrail.k12.or.us</v>
      </c>
      <c r="U3346" s="6" t="str">
        <f>IFERROR(__xludf.DUMMYFUNCTION("""COMPUTED_VALUE"""),"9")</f>
        <v>9</v>
      </c>
      <c r="V3346" s="6" t="str">
        <f>IFERROR(__xludf.DUMMYFUNCTION("""COMPUTED_VALUE"""),"English")</f>
        <v>English</v>
      </c>
      <c r="W3346" s="6" t="str">
        <f>IFERROR(__xludf.DUMMYFUNCTION("""COMPUTED_VALUE"""),"[]")</f>
        <v>[]</v>
      </c>
      <c r="X3346" s="6" t="str">
        <f>IFERROR(__xludf.DUMMYFUNCTION("""COMPUTED_VALUE"""),"Enrolled")</f>
        <v>Enrolled</v>
      </c>
    </row>
    <row r="3347">
      <c r="A3347" s="6" t="str">
        <f>IFERROR(__xludf.DUMMYFUNCTION("""COMPUTED_VALUE"""),"064-6243")</f>
        <v>064-6243</v>
      </c>
      <c r="B3347" s="6" t="str">
        <f>IFERROR(__xludf.DUMMYFUNCTION("""COMPUTED_VALUE"""),"64")</f>
        <v>64</v>
      </c>
      <c r="C3347" s="6" t="str">
        <f>IFERROR(__xludf.DUMMYFUNCTION("""COMPUTED_VALUE"""),"6243")</f>
        <v>6243</v>
      </c>
      <c r="D3347" s="6" t="str">
        <f>IFERROR(__xludf.DUMMYFUNCTION("""COMPUTED_VALUE"""),"Skylar")</f>
        <v>Skylar</v>
      </c>
      <c r="E3347" s="6" t="str">
        <f>IFERROR(__xludf.DUMMYFUNCTION("""COMPUTED_VALUE"""),"")</f>
        <v/>
      </c>
      <c r="F3347" s="6" t="str">
        <f>IFERROR(__xludf.DUMMYFUNCTION("""COMPUTED_VALUE"""),"Shirley")</f>
        <v>Shirley</v>
      </c>
      <c r="G3347" s="6" t="str">
        <f>IFERROR(__xludf.DUMMYFUNCTION("""COMPUTED_VALUE"""),"08/12/2011")</f>
        <v>08/12/2011</v>
      </c>
      <c r="H3347" s="6" t="str">
        <f>IFERROR(__xludf.DUMMYFUNCTION("""COMPUTED_VALUE"""),"Self Identify")</f>
        <v>Self Identify</v>
      </c>
      <c r="I3347" s="6" t="str">
        <f>IFERROR(__xludf.DUMMYFUNCTION("""COMPUTED_VALUE"""),"High School")</f>
        <v>High School</v>
      </c>
      <c r="J3347" s="6" t="str">
        <f>IFERROR(__xludf.DUMMYFUNCTION("""COMPUTED_VALUE"""),"9")</f>
        <v>9</v>
      </c>
      <c r="K3347" s="6" t="str">
        <f>IFERROR(__xludf.DUMMYFUNCTION("""COMPUTED_VALUE"""),"skylar_shirley@stu.ortrail.k12.or.us")</f>
        <v>skylar_shirley@stu.ortrail.k12.or.us</v>
      </c>
      <c r="L3347" s="6" t="str">
        <f>IFERROR(__xludf.DUMMYFUNCTION("""COMPUTED_VALUE"""),"Oregon Trail School District 46")</f>
        <v>Oregon Trail School District 46</v>
      </c>
      <c r="M3347" s="6" t="str">
        <f>IFERROR(__xludf.DUMMYFUNCTION("""COMPUTED_VALUE"""),"Sandy High School")</f>
        <v>Sandy High School</v>
      </c>
      <c r="N3347" s="6" t="str">
        <f>IFERROR(__xludf.DUMMYFUNCTION("""COMPUTED_VALUE"""),"")</f>
        <v/>
      </c>
      <c r="O3347" s="87" t="str">
        <f>IFERROR(__xludf.DUMMYFUNCTION("""COMPUTED_VALUE"""),"https://drive.google.com/drive/folders/10T2cTQHqEJZqE-st6uFKPoI?usp=share_link")</f>
        <v>https://drive.google.com/drive/folders/10T2cTQHqEJZqE-st6uFKPoI?usp=share_link</v>
      </c>
      <c r="P3347" s="6" t="str">
        <f>IFERROR(__xludf.DUMMYFUNCTION("""COMPUTED_VALUE"""),"Skylar Shirley")</f>
        <v>Skylar Shirley</v>
      </c>
      <c r="Q3347" s="6" t="str">
        <f>IFERROR(__xludf.DUMMYFUNCTION("""COMPUTED_VALUE"""),"HS")</f>
        <v>HS</v>
      </c>
      <c r="R3347" s="6">
        <f>IFERROR(__xludf.DUMMYFUNCTION("""COMPUTED_VALUE"""),0.0)</f>
        <v>0</v>
      </c>
      <c r="S3347" s="6" t="str">
        <f>IFERROR(__xludf.DUMMYFUNCTION("""COMPUTED_VALUE"""),"Maya Cooney")</f>
        <v>Maya Cooney</v>
      </c>
      <c r="T3347" s="6" t="str">
        <f>IFERROR(__xludf.DUMMYFUNCTION("""COMPUTED_VALUE"""),"maya.cooney@ortrail.k12.or.us")</f>
        <v>maya.cooney@ortrail.k12.or.us</v>
      </c>
      <c r="U3347" s="6" t="str">
        <f>IFERROR(__xludf.DUMMYFUNCTION("""COMPUTED_VALUE"""),"9")</f>
        <v>9</v>
      </c>
      <c r="V3347" s="6" t="str">
        <f>IFERROR(__xludf.DUMMYFUNCTION("""COMPUTED_VALUE"""),"English")</f>
        <v>English</v>
      </c>
      <c r="W3347" s="6" t="str">
        <f>IFERROR(__xludf.DUMMYFUNCTION("""COMPUTED_VALUE"""),"[]")</f>
        <v>[]</v>
      </c>
      <c r="X3347" s="6" t="str">
        <f>IFERROR(__xludf.DUMMYFUNCTION("""COMPUTED_VALUE"""),"Enrolled")</f>
        <v>Enrolled</v>
      </c>
    </row>
    <row r="3348">
      <c r="A3348" s="6" t="str">
        <f>IFERROR(__xludf.DUMMYFUNCTION("""COMPUTED_VALUE"""),"064-6244")</f>
        <v>064-6244</v>
      </c>
      <c r="B3348" s="6" t="str">
        <f>IFERROR(__xludf.DUMMYFUNCTION("""COMPUTED_VALUE"""),"64")</f>
        <v>64</v>
      </c>
      <c r="C3348" s="6" t="str">
        <f>IFERROR(__xludf.DUMMYFUNCTION("""COMPUTED_VALUE"""),"6244")</f>
        <v>6244</v>
      </c>
      <c r="D3348" s="6" t="str">
        <f>IFERROR(__xludf.DUMMYFUNCTION("""COMPUTED_VALUE"""),"Dominic")</f>
        <v>Dominic</v>
      </c>
      <c r="E3348" s="6" t="str">
        <f>IFERROR(__xludf.DUMMYFUNCTION("""COMPUTED_VALUE"""),"")</f>
        <v/>
      </c>
      <c r="F3348" s="6" t="str">
        <f>IFERROR(__xludf.DUMMYFUNCTION("""COMPUTED_VALUE"""),"Smouse")</f>
        <v>Smouse</v>
      </c>
      <c r="G3348" s="6" t="str">
        <f>IFERROR(__xludf.DUMMYFUNCTION("""COMPUTED_VALUE"""),"03/10/2011")</f>
        <v>03/10/2011</v>
      </c>
      <c r="H3348" s="6" t="str">
        <f>IFERROR(__xludf.DUMMYFUNCTION("""COMPUTED_VALUE"""),"Self Identify")</f>
        <v>Self Identify</v>
      </c>
      <c r="I3348" s="6" t="str">
        <f>IFERROR(__xludf.DUMMYFUNCTION("""COMPUTED_VALUE"""),"High School")</f>
        <v>High School</v>
      </c>
      <c r="J3348" s="6" t="str">
        <f>IFERROR(__xludf.DUMMYFUNCTION("""COMPUTED_VALUE"""),"9")</f>
        <v>9</v>
      </c>
      <c r="K3348" s="6" t="str">
        <f>IFERROR(__xludf.DUMMYFUNCTION("""COMPUTED_VALUE"""),"dominic_smouse@stu.ortrail.k12.or.us")</f>
        <v>dominic_smouse@stu.ortrail.k12.or.us</v>
      </c>
      <c r="L3348" s="6" t="str">
        <f>IFERROR(__xludf.DUMMYFUNCTION("""COMPUTED_VALUE"""),"Oregon Trail School District 46")</f>
        <v>Oregon Trail School District 46</v>
      </c>
      <c r="M3348" s="6" t="str">
        <f>IFERROR(__xludf.DUMMYFUNCTION("""COMPUTED_VALUE"""),"Sandy High School")</f>
        <v>Sandy High School</v>
      </c>
      <c r="N3348" s="6" t="str">
        <f>IFERROR(__xludf.DUMMYFUNCTION("""COMPUTED_VALUE"""),"")</f>
        <v/>
      </c>
      <c r="O3348" s="87" t="str">
        <f>IFERROR(__xludf.DUMMYFUNCTION("""COMPUTED_VALUE"""),"https://drive.google.com/drive/folders/10T2cTQHqEJZqE-st6uFKPoI?usp=share_link")</f>
        <v>https://drive.google.com/drive/folders/10T2cTQHqEJZqE-st6uFKPoI?usp=share_link</v>
      </c>
      <c r="P3348" s="6" t="str">
        <f>IFERROR(__xludf.DUMMYFUNCTION("""COMPUTED_VALUE"""),"Dominic Smouse")</f>
        <v>Dominic Smouse</v>
      </c>
      <c r="Q3348" s="6" t="str">
        <f>IFERROR(__xludf.DUMMYFUNCTION("""COMPUTED_VALUE"""),"HS")</f>
        <v>HS</v>
      </c>
      <c r="R3348" s="6">
        <f>IFERROR(__xludf.DUMMYFUNCTION("""COMPUTED_VALUE"""),0.0)</f>
        <v>0</v>
      </c>
      <c r="S3348" s="6" t="str">
        <f>IFERROR(__xludf.DUMMYFUNCTION("""COMPUTED_VALUE"""),"Taylor Sestric")</f>
        <v>Taylor Sestric</v>
      </c>
      <c r="T3348" s="6" t="str">
        <f>IFERROR(__xludf.DUMMYFUNCTION("""COMPUTED_VALUE"""),"taylor.fortin@ortrail.k12.or.us")</f>
        <v>taylor.fortin@ortrail.k12.or.us</v>
      </c>
      <c r="U3348" s="6" t="str">
        <f>IFERROR(__xludf.DUMMYFUNCTION("""COMPUTED_VALUE"""),"9")</f>
        <v>9</v>
      </c>
      <c r="V3348" s="6" t="str">
        <f>IFERROR(__xludf.DUMMYFUNCTION("""COMPUTED_VALUE"""),"English")</f>
        <v>English</v>
      </c>
      <c r="W3348" s="6" t="str">
        <f>IFERROR(__xludf.DUMMYFUNCTION("""COMPUTED_VALUE"""),"[]")</f>
        <v>[]</v>
      </c>
      <c r="X3348" s="6" t="str">
        <f>IFERROR(__xludf.DUMMYFUNCTION("""COMPUTED_VALUE"""),"Enrolled")</f>
        <v>Enrolled</v>
      </c>
    </row>
    <row r="3349">
      <c r="A3349" s="6" t="str">
        <f>IFERROR(__xludf.DUMMYFUNCTION("""COMPUTED_VALUE"""),"064-6245")</f>
        <v>064-6245</v>
      </c>
      <c r="B3349" s="6" t="str">
        <f>IFERROR(__xludf.DUMMYFUNCTION("""COMPUTED_VALUE"""),"64")</f>
        <v>64</v>
      </c>
      <c r="C3349" s="6" t="str">
        <f>IFERROR(__xludf.DUMMYFUNCTION("""COMPUTED_VALUE"""),"6245")</f>
        <v>6245</v>
      </c>
      <c r="D3349" s="6" t="str">
        <f>IFERROR(__xludf.DUMMYFUNCTION("""COMPUTED_VALUE"""),"Sawyer")</f>
        <v>Sawyer</v>
      </c>
      <c r="E3349" s="6" t="str">
        <f>IFERROR(__xludf.DUMMYFUNCTION("""COMPUTED_VALUE"""),"")</f>
        <v/>
      </c>
      <c r="F3349" s="6" t="str">
        <f>IFERROR(__xludf.DUMMYFUNCTION("""COMPUTED_VALUE"""),"Solso")</f>
        <v>Solso</v>
      </c>
      <c r="G3349" s="6" t="str">
        <f>IFERROR(__xludf.DUMMYFUNCTION("""COMPUTED_VALUE"""),"06/03/2011")</f>
        <v>06/03/2011</v>
      </c>
      <c r="H3349" s="6" t="str">
        <f>IFERROR(__xludf.DUMMYFUNCTION("""COMPUTED_VALUE"""),"Self Identify")</f>
        <v>Self Identify</v>
      </c>
      <c r="I3349" s="6" t="str">
        <f>IFERROR(__xludf.DUMMYFUNCTION("""COMPUTED_VALUE"""),"High School")</f>
        <v>High School</v>
      </c>
      <c r="J3349" s="6" t="str">
        <f>IFERROR(__xludf.DUMMYFUNCTION("""COMPUTED_VALUE"""),"9")</f>
        <v>9</v>
      </c>
      <c r="K3349" s="6" t="str">
        <f>IFERROR(__xludf.DUMMYFUNCTION("""COMPUTED_VALUE"""),"sawyer_solso@stu.ortrail.k12.or.us")</f>
        <v>sawyer_solso@stu.ortrail.k12.or.us</v>
      </c>
      <c r="L3349" s="6" t="str">
        <f>IFERROR(__xludf.DUMMYFUNCTION("""COMPUTED_VALUE"""),"Oregon Trail School District 46")</f>
        <v>Oregon Trail School District 46</v>
      </c>
      <c r="M3349" s="6" t="str">
        <f>IFERROR(__xludf.DUMMYFUNCTION("""COMPUTED_VALUE"""),"Sandy High School")</f>
        <v>Sandy High School</v>
      </c>
      <c r="N3349" s="6" t="str">
        <f>IFERROR(__xludf.DUMMYFUNCTION("""COMPUTED_VALUE"""),"")</f>
        <v/>
      </c>
      <c r="O3349" s="87" t="str">
        <f>IFERROR(__xludf.DUMMYFUNCTION("""COMPUTED_VALUE"""),"https://drive.google.com/drive/folders/10T2cTQHqEJZqE-st6uFKPoI?usp=share_link")</f>
        <v>https://drive.google.com/drive/folders/10T2cTQHqEJZqE-st6uFKPoI?usp=share_link</v>
      </c>
      <c r="P3349" s="6" t="str">
        <f>IFERROR(__xludf.DUMMYFUNCTION("""COMPUTED_VALUE"""),"Sawyer Solso")</f>
        <v>Sawyer Solso</v>
      </c>
      <c r="Q3349" s="6" t="str">
        <f>IFERROR(__xludf.DUMMYFUNCTION("""COMPUTED_VALUE"""),"HS")</f>
        <v>HS</v>
      </c>
      <c r="R3349" s="6">
        <f>IFERROR(__xludf.DUMMYFUNCTION("""COMPUTED_VALUE"""),0.0)</f>
        <v>0</v>
      </c>
      <c r="S3349" s="6" t="str">
        <f>IFERROR(__xludf.DUMMYFUNCTION("""COMPUTED_VALUE"""),"Maya Cooney")</f>
        <v>Maya Cooney</v>
      </c>
      <c r="T3349" s="6" t="str">
        <f>IFERROR(__xludf.DUMMYFUNCTION("""COMPUTED_VALUE"""),"maya.cooney@ortrail.k12.or.us")</f>
        <v>maya.cooney@ortrail.k12.or.us</v>
      </c>
      <c r="U3349" s="6" t="str">
        <f>IFERROR(__xludf.DUMMYFUNCTION("""COMPUTED_VALUE"""),"9")</f>
        <v>9</v>
      </c>
      <c r="V3349" s="6" t="str">
        <f>IFERROR(__xludf.DUMMYFUNCTION("""COMPUTED_VALUE"""),"English")</f>
        <v>English</v>
      </c>
      <c r="W3349" s="6" t="str">
        <f>IFERROR(__xludf.DUMMYFUNCTION("""COMPUTED_VALUE"""),"[]")</f>
        <v>[]</v>
      </c>
      <c r="X3349" s="6" t="str">
        <f>IFERROR(__xludf.DUMMYFUNCTION("""COMPUTED_VALUE"""),"Enrolled")</f>
        <v>Enrolled</v>
      </c>
    </row>
    <row r="3350">
      <c r="A3350" s="6" t="str">
        <f>IFERROR(__xludf.DUMMYFUNCTION("""COMPUTED_VALUE"""),"064-6249")</f>
        <v>064-6249</v>
      </c>
      <c r="B3350" s="6" t="str">
        <f>IFERROR(__xludf.DUMMYFUNCTION("""COMPUTED_VALUE"""),"64")</f>
        <v>64</v>
      </c>
      <c r="C3350" s="6" t="str">
        <f>IFERROR(__xludf.DUMMYFUNCTION("""COMPUTED_VALUE"""),"6249")</f>
        <v>6249</v>
      </c>
      <c r="D3350" s="6" t="str">
        <f>IFERROR(__xludf.DUMMYFUNCTION("""COMPUTED_VALUE"""),"Rylee")</f>
        <v>Rylee</v>
      </c>
      <c r="E3350" s="6" t="str">
        <f>IFERROR(__xludf.DUMMYFUNCTION("""COMPUTED_VALUE"""),"")</f>
        <v/>
      </c>
      <c r="F3350" s="6" t="str">
        <f>IFERROR(__xludf.DUMMYFUNCTION("""COMPUTED_VALUE"""),"Bowers")</f>
        <v>Bowers</v>
      </c>
      <c r="G3350" s="6" t="str">
        <f>IFERROR(__xludf.DUMMYFUNCTION("""COMPUTED_VALUE"""),"08/02/2011")</f>
        <v>08/02/2011</v>
      </c>
      <c r="H3350" s="6" t="str">
        <f>IFERROR(__xludf.DUMMYFUNCTION("""COMPUTED_VALUE"""),"Self Identify")</f>
        <v>Self Identify</v>
      </c>
      <c r="I3350" s="6" t="str">
        <f>IFERROR(__xludf.DUMMYFUNCTION("""COMPUTED_VALUE"""),"High School")</f>
        <v>High School</v>
      </c>
      <c r="J3350" s="6" t="str">
        <f>IFERROR(__xludf.DUMMYFUNCTION("""COMPUTED_VALUE"""),"9")</f>
        <v>9</v>
      </c>
      <c r="K3350" s="6" t="str">
        <f>IFERROR(__xludf.DUMMYFUNCTION("""COMPUTED_VALUE"""),"rylee_bowers@stu.ortrail.k12.or.us")</f>
        <v>rylee_bowers@stu.ortrail.k12.or.us</v>
      </c>
      <c r="L3350" s="6" t="str">
        <f>IFERROR(__xludf.DUMMYFUNCTION("""COMPUTED_VALUE"""),"Oregon Trail School District 46")</f>
        <v>Oregon Trail School District 46</v>
      </c>
      <c r="M3350" s="6" t="str">
        <f>IFERROR(__xludf.DUMMYFUNCTION("""COMPUTED_VALUE"""),"Sandy High School")</f>
        <v>Sandy High School</v>
      </c>
      <c r="N3350" s="6" t="str">
        <f>IFERROR(__xludf.DUMMYFUNCTION("""COMPUTED_VALUE"""),"")</f>
        <v/>
      </c>
      <c r="O3350" s="87" t="str">
        <f>IFERROR(__xludf.DUMMYFUNCTION("""COMPUTED_VALUE"""),"https://drive.google.com/drive/folders/10T2cTQHqEJZqE-st6uFKPoI?usp=share_link")</f>
        <v>https://drive.google.com/drive/folders/10T2cTQHqEJZqE-st6uFKPoI?usp=share_link</v>
      </c>
      <c r="P3350" s="6" t="str">
        <f>IFERROR(__xludf.DUMMYFUNCTION("""COMPUTED_VALUE"""),"Rylee Bowers")</f>
        <v>Rylee Bowers</v>
      </c>
      <c r="Q3350" s="6" t="str">
        <f>IFERROR(__xludf.DUMMYFUNCTION("""COMPUTED_VALUE"""),"HS")</f>
        <v>HS</v>
      </c>
      <c r="R3350" s="6">
        <f>IFERROR(__xludf.DUMMYFUNCTION("""COMPUTED_VALUE"""),0.0)</f>
        <v>0</v>
      </c>
      <c r="S3350" s="6" t="str">
        <f>IFERROR(__xludf.DUMMYFUNCTION("""COMPUTED_VALUE"""),"Taylor Sestric")</f>
        <v>Taylor Sestric</v>
      </c>
      <c r="T3350" s="6" t="str">
        <f>IFERROR(__xludf.DUMMYFUNCTION("""COMPUTED_VALUE"""),"taylor.fortin@ortrail.k12.or.us")</f>
        <v>taylor.fortin@ortrail.k12.or.us</v>
      </c>
      <c r="U3350" s="6" t="str">
        <f>IFERROR(__xludf.DUMMYFUNCTION("""COMPUTED_VALUE"""),"9")</f>
        <v>9</v>
      </c>
      <c r="V3350" s="6" t="str">
        <f>IFERROR(__xludf.DUMMYFUNCTION("""COMPUTED_VALUE"""),"English")</f>
        <v>English</v>
      </c>
      <c r="W3350" s="6" t="str">
        <f>IFERROR(__xludf.DUMMYFUNCTION("""COMPUTED_VALUE"""),"[]")</f>
        <v>[]</v>
      </c>
      <c r="X3350" s="6" t="str">
        <f>IFERROR(__xludf.DUMMYFUNCTION("""COMPUTED_VALUE"""),"Enrolled")</f>
        <v>Enrolled</v>
      </c>
    </row>
    <row r="3351">
      <c r="A3351" s="6" t="str">
        <f>IFERROR(__xludf.DUMMYFUNCTION("""COMPUTED_VALUE"""),"064-6250")</f>
        <v>064-6250</v>
      </c>
      <c r="B3351" s="6" t="str">
        <f>IFERROR(__xludf.DUMMYFUNCTION("""COMPUTED_VALUE"""),"64")</f>
        <v>64</v>
      </c>
      <c r="C3351" s="6" t="str">
        <f>IFERROR(__xludf.DUMMYFUNCTION("""COMPUTED_VALUE"""),"6250")</f>
        <v>6250</v>
      </c>
      <c r="D3351" s="6" t="str">
        <f>IFERROR(__xludf.DUMMYFUNCTION("""COMPUTED_VALUE"""),"Finn")</f>
        <v>Finn</v>
      </c>
      <c r="E3351" s="6" t="str">
        <f>IFERROR(__xludf.DUMMYFUNCTION("""COMPUTED_VALUE"""),"")</f>
        <v/>
      </c>
      <c r="F3351" s="6" t="str">
        <f>IFERROR(__xludf.DUMMYFUNCTION("""COMPUTED_VALUE"""),"Goers")</f>
        <v>Goers</v>
      </c>
      <c r="G3351" s="6" t="str">
        <f>IFERROR(__xludf.DUMMYFUNCTION("""COMPUTED_VALUE"""),"05/11/2011")</f>
        <v>05/11/2011</v>
      </c>
      <c r="H3351" s="6" t="str">
        <f>IFERROR(__xludf.DUMMYFUNCTION("""COMPUTED_VALUE"""),"Self Identify")</f>
        <v>Self Identify</v>
      </c>
      <c r="I3351" s="6" t="str">
        <f>IFERROR(__xludf.DUMMYFUNCTION("""COMPUTED_VALUE"""),"High School")</f>
        <v>High School</v>
      </c>
      <c r="J3351" s="6" t="str">
        <f>IFERROR(__xludf.DUMMYFUNCTION("""COMPUTED_VALUE"""),"9")</f>
        <v>9</v>
      </c>
      <c r="K3351" s="6" t="str">
        <f>IFERROR(__xludf.DUMMYFUNCTION("""COMPUTED_VALUE"""),"finn_goers@stu.ortrail.k12.or.us")</f>
        <v>finn_goers@stu.ortrail.k12.or.us</v>
      </c>
      <c r="L3351" s="6" t="str">
        <f>IFERROR(__xludf.DUMMYFUNCTION("""COMPUTED_VALUE"""),"Oregon Trail School District 46")</f>
        <v>Oregon Trail School District 46</v>
      </c>
      <c r="M3351" s="6" t="str">
        <f>IFERROR(__xludf.DUMMYFUNCTION("""COMPUTED_VALUE"""),"Sandy High School")</f>
        <v>Sandy High School</v>
      </c>
      <c r="N3351" s="6" t="str">
        <f>IFERROR(__xludf.DUMMYFUNCTION("""COMPUTED_VALUE"""),"")</f>
        <v/>
      </c>
      <c r="O3351" s="87" t="str">
        <f>IFERROR(__xludf.DUMMYFUNCTION("""COMPUTED_VALUE"""),"https://drive.google.com/drive/folders/10T2cTQHqEJZqE-st6uFKPoI?usp=share_link")</f>
        <v>https://drive.google.com/drive/folders/10T2cTQHqEJZqE-st6uFKPoI?usp=share_link</v>
      </c>
      <c r="P3351" s="6" t="str">
        <f>IFERROR(__xludf.DUMMYFUNCTION("""COMPUTED_VALUE"""),"Finn Goers")</f>
        <v>Finn Goers</v>
      </c>
      <c r="Q3351" s="6" t="str">
        <f>IFERROR(__xludf.DUMMYFUNCTION("""COMPUTED_VALUE"""),"HS")</f>
        <v>HS</v>
      </c>
      <c r="R3351" s="6">
        <f>IFERROR(__xludf.DUMMYFUNCTION("""COMPUTED_VALUE"""),0.0)</f>
        <v>0</v>
      </c>
      <c r="S3351" s="6" t="str">
        <f>IFERROR(__xludf.DUMMYFUNCTION("""COMPUTED_VALUE"""),"Taylor Sestric")</f>
        <v>Taylor Sestric</v>
      </c>
      <c r="T3351" s="6" t="str">
        <f>IFERROR(__xludf.DUMMYFUNCTION("""COMPUTED_VALUE"""),"taylor.fortin@ortrail.k12.or.us")</f>
        <v>taylor.fortin@ortrail.k12.or.us</v>
      </c>
      <c r="U3351" s="6" t="str">
        <f>IFERROR(__xludf.DUMMYFUNCTION("""COMPUTED_VALUE"""),"9")</f>
        <v>9</v>
      </c>
      <c r="V3351" s="6" t="str">
        <f>IFERROR(__xludf.DUMMYFUNCTION("""COMPUTED_VALUE"""),"English")</f>
        <v>English</v>
      </c>
      <c r="W3351" s="6" t="str">
        <f>IFERROR(__xludf.DUMMYFUNCTION("""COMPUTED_VALUE"""),"[]")</f>
        <v>[]</v>
      </c>
      <c r="X3351" s="6" t="str">
        <f>IFERROR(__xludf.DUMMYFUNCTION("""COMPUTED_VALUE"""),"Enrolled")</f>
        <v>Enrolled</v>
      </c>
    </row>
    <row r="3352">
      <c r="A3352" s="6" t="str">
        <f>IFERROR(__xludf.DUMMYFUNCTION("""COMPUTED_VALUE"""),"064-6251")</f>
        <v>064-6251</v>
      </c>
      <c r="B3352" s="6" t="str">
        <f>IFERROR(__xludf.DUMMYFUNCTION("""COMPUTED_VALUE"""),"64")</f>
        <v>64</v>
      </c>
      <c r="C3352" s="6" t="str">
        <f>IFERROR(__xludf.DUMMYFUNCTION("""COMPUTED_VALUE"""),"6251")</f>
        <v>6251</v>
      </c>
      <c r="D3352" s="6" t="str">
        <f>IFERROR(__xludf.DUMMYFUNCTION("""COMPUTED_VALUE"""),"Waylon")</f>
        <v>Waylon</v>
      </c>
      <c r="E3352" s="6" t="str">
        <f>IFERROR(__xludf.DUMMYFUNCTION("""COMPUTED_VALUE"""),"")</f>
        <v/>
      </c>
      <c r="F3352" s="6" t="str">
        <f>IFERROR(__xludf.DUMMYFUNCTION("""COMPUTED_VALUE"""),"Green")</f>
        <v>Green</v>
      </c>
      <c r="G3352" s="6" t="str">
        <f>IFERROR(__xludf.DUMMYFUNCTION("""COMPUTED_VALUE"""),"03/24/2011")</f>
        <v>03/24/2011</v>
      </c>
      <c r="H3352" s="6" t="str">
        <f>IFERROR(__xludf.DUMMYFUNCTION("""COMPUTED_VALUE"""),"Self Identify")</f>
        <v>Self Identify</v>
      </c>
      <c r="I3352" s="6" t="str">
        <f>IFERROR(__xludf.DUMMYFUNCTION("""COMPUTED_VALUE"""),"High School")</f>
        <v>High School</v>
      </c>
      <c r="J3352" s="6" t="str">
        <f>IFERROR(__xludf.DUMMYFUNCTION("""COMPUTED_VALUE"""),"9")</f>
        <v>9</v>
      </c>
      <c r="K3352" s="6" t="str">
        <f>IFERROR(__xludf.DUMMYFUNCTION("""COMPUTED_VALUE"""),"waylon_green@stu.ortrail.k12.or.us")</f>
        <v>waylon_green@stu.ortrail.k12.or.us</v>
      </c>
      <c r="L3352" s="6" t="str">
        <f>IFERROR(__xludf.DUMMYFUNCTION("""COMPUTED_VALUE"""),"Oregon Trail School District 46")</f>
        <v>Oregon Trail School District 46</v>
      </c>
      <c r="M3352" s="6" t="str">
        <f>IFERROR(__xludf.DUMMYFUNCTION("""COMPUTED_VALUE"""),"Sandy High School")</f>
        <v>Sandy High School</v>
      </c>
      <c r="N3352" s="6" t="str">
        <f>IFERROR(__xludf.DUMMYFUNCTION("""COMPUTED_VALUE"""),"")</f>
        <v/>
      </c>
      <c r="O3352" s="87" t="str">
        <f>IFERROR(__xludf.DUMMYFUNCTION("""COMPUTED_VALUE"""),"https://drive.google.com/drive/folders/10T2cTQHqEJZqE-st6uFKPoI?usp=share_link")</f>
        <v>https://drive.google.com/drive/folders/10T2cTQHqEJZqE-st6uFKPoI?usp=share_link</v>
      </c>
      <c r="P3352" s="6" t="str">
        <f>IFERROR(__xludf.DUMMYFUNCTION("""COMPUTED_VALUE"""),"Waylon Green")</f>
        <v>Waylon Green</v>
      </c>
      <c r="Q3352" s="6" t="str">
        <f>IFERROR(__xludf.DUMMYFUNCTION("""COMPUTED_VALUE"""),"HS")</f>
        <v>HS</v>
      </c>
      <c r="R3352" s="6">
        <f>IFERROR(__xludf.DUMMYFUNCTION("""COMPUTED_VALUE"""),0.0)</f>
        <v>0</v>
      </c>
      <c r="S3352" s="6" t="str">
        <f>IFERROR(__xludf.DUMMYFUNCTION("""COMPUTED_VALUE"""),"Taylor Sestric")</f>
        <v>Taylor Sestric</v>
      </c>
      <c r="T3352" s="6" t="str">
        <f>IFERROR(__xludf.DUMMYFUNCTION("""COMPUTED_VALUE"""),"taylor.fortin@ortrail.k12.or.us")</f>
        <v>taylor.fortin@ortrail.k12.or.us</v>
      </c>
      <c r="U3352" s="6" t="str">
        <f>IFERROR(__xludf.DUMMYFUNCTION("""COMPUTED_VALUE"""),"9")</f>
        <v>9</v>
      </c>
      <c r="V3352" s="6" t="str">
        <f>IFERROR(__xludf.DUMMYFUNCTION("""COMPUTED_VALUE"""),"English")</f>
        <v>English</v>
      </c>
      <c r="W3352" s="6" t="str">
        <f>IFERROR(__xludf.DUMMYFUNCTION("""COMPUTED_VALUE"""),"[]")</f>
        <v>[]</v>
      </c>
      <c r="X3352" s="6" t="str">
        <f>IFERROR(__xludf.DUMMYFUNCTION("""COMPUTED_VALUE"""),"Enrolled")</f>
        <v>Enrolled</v>
      </c>
    </row>
    <row r="3353">
      <c r="A3353" s="6" t="str">
        <f>IFERROR(__xludf.DUMMYFUNCTION("""COMPUTED_VALUE"""),"064-6254")</f>
        <v>064-6254</v>
      </c>
      <c r="B3353" s="6" t="str">
        <f>IFERROR(__xludf.DUMMYFUNCTION("""COMPUTED_VALUE"""),"64")</f>
        <v>64</v>
      </c>
      <c r="C3353" s="6" t="str">
        <f>IFERROR(__xludf.DUMMYFUNCTION("""COMPUTED_VALUE"""),"6254")</f>
        <v>6254</v>
      </c>
      <c r="D3353" s="6" t="str">
        <f>IFERROR(__xludf.DUMMYFUNCTION("""COMPUTED_VALUE"""),"Cooper")</f>
        <v>Cooper</v>
      </c>
      <c r="E3353" s="6" t="str">
        <f>IFERROR(__xludf.DUMMYFUNCTION("""COMPUTED_VALUE"""),"")</f>
        <v/>
      </c>
      <c r="F3353" s="6" t="str">
        <f>IFERROR(__xludf.DUMMYFUNCTION("""COMPUTED_VALUE"""),"Namba")</f>
        <v>Namba</v>
      </c>
      <c r="G3353" s="6" t="str">
        <f>IFERROR(__xludf.DUMMYFUNCTION("""COMPUTED_VALUE"""),"12/10/2010")</f>
        <v>12/10/2010</v>
      </c>
      <c r="H3353" s="6" t="str">
        <f>IFERROR(__xludf.DUMMYFUNCTION("""COMPUTED_VALUE"""),"M")</f>
        <v>M</v>
      </c>
      <c r="I3353" s="6" t="str">
        <f>IFERROR(__xludf.DUMMYFUNCTION("""COMPUTED_VALUE"""),"High School")</f>
        <v>High School</v>
      </c>
      <c r="J3353" s="6" t="str">
        <f>IFERROR(__xludf.DUMMYFUNCTION("""COMPUTED_VALUE"""),"9")</f>
        <v>9</v>
      </c>
      <c r="K3353" s="6" t="str">
        <f>IFERROR(__xludf.DUMMYFUNCTION("""COMPUTED_VALUE"""),"cooper_namba@stu.ortrail.k12.or.us")</f>
        <v>cooper_namba@stu.ortrail.k12.or.us</v>
      </c>
      <c r="L3353" s="6" t="str">
        <f>IFERROR(__xludf.DUMMYFUNCTION("""COMPUTED_VALUE"""),"Oregon Trail School District 46")</f>
        <v>Oregon Trail School District 46</v>
      </c>
      <c r="M3353" s="6" t="str">
        <f>IFERROR(__xludf.DUMMYFUNCTION("""COMPUTED_VALUE"""),"")</f>
        <v/>
      </c>
      <c r="N3353" s="6" t="str">
        <f>IFERROR(__xludf.DUMMYFUNCTION("""COMPUTED_VALUE"""),"")</f>
        <v/>
      </c>
      <c r="O3353" s="87" t="str">
        <f>IFERROR(__xludf.DUMMYFUNCTION("""COMPUTED_VALUE"""),"https://drive.google.com/drive/folders/10T2cTQHqEJZqE-st6uFKPoI?usp=share_link")</f>
        <v>https://drive.google.com/drive/folders/10T2cTQHqEJZqE-st6uFKPoI?usp=share_link</v>
      </c>
      <c r="P3353" s="6" t="str">
        <f>IFERROR(__xludf.DUMMYFUNCTION("""COMPUTED_VALUE"""),"Cooper Namba")</f>
        <v>Cooper Namba</v>
      </c>
      <c r="Q3353" s="6" t="str">
        <f>IFERROR(__xludf.DUMMYFUNCTION("""COMPUTED_VALUE"""),"HS")</f>
        <v>HS</v>
      </c>
      <c r="R3353" s="6">
        <f>IFERROR(__xludf.DUMMYFUNCTION("""COMPUTED_VALUE"""),0.0)</f>
        <v>0</v>
      </c>
      <c r="S3353" s="6" t="str">
        <f>IFERROR(__xludf.DUMMYFUNCTION("""COMPUTED_VALUE"""),"Genevra Self")</f>
        <v>Genevra Self</v>
      </c>
      <c r="T3353" s="6" t="str">
        <f>IFERROR(__xludf.DUMMYFUNCTION("""COMPUTED_VALUE"""),"genevra.self@studient.com")</f>
        <v>genevra.self@studient.com</v>
      </c>
      <c r="U3353" s="6" t="str">
        <f>IFERROR(__xludf.DUMMYFUNCTION("""COMPUTED_VALUE"""),"9")</f>
        <v>9</v>
      </c>
      <c r="V3353" s="6" t="str">
        <f>IFERROR(__xludf.DUMMYFUNCTION("""COMPUTED_VALUE"""),"English")</f>
        <v>English</v>
      </c>
      <c r="W3353" s="6" t="str">
        <f>IFERROR(__xludf.DUMMYFUNCTION("""COMPUTED_VALUE"""),"[]")</f>
        <v>[]</v>
      </c>
      <c r="X3353" s="6" t="str">
        <f>IFERROR(__xludf.DUMMYFUNCTION("""COMPUTED_VALUE"""),"Enrolled")</f>
        <v>Enrolled</v>
      </c>
    </row>
    <row r="3354">
      <c r="A3354" s="6" t="str">
        <f>IFERROR(__xludf.DUMMYFUNCTION("""COMPUTED_VALUE"""),"064-6255")</f>
        <v>064-6255</v>
      </c>
      <c r="B3354" s="6" t="str">
        <f>IFERROR(__xludf.DUMMYFUNCTION("""COMPUTED_VALUE"""),"64")</f>
        <v>64</v>
      </c>
      <c r="C3354" s="6" t="str">
        <f>IFERROR(__xludf.DUMMYFUNCTION("""COMPUTED_VALUE"""),"6255")</f>
        <v>6255</v>
      </c>
      <c r="D3354" s="6" t="str">
        <f>IFERROR(__xludf.DUMMYFUNCTION("""COMPUTED_VALUE"""),"Kimberly")</f>
        <v>Kimberly</v>
      </c>
      <c r="E3354" s="6" t="str">
        <f>IFERROR(__xludf.DUMMYFUNCTION("""COMPUTED_VALUE"""),"")</f>
        <v/>
      </c>
      <c r="F3354" s="6" t="str">
        <f>IFERROR(__xludf.DUMMYFUNCTION("""COMPUTED_VALUE"""),"Ramos Ramirez")</f>
        <v>Ramos Ramirez</v>
      </c>
      <c r="G3354" s="6" t="str">
        <f>IFERROR(__xludf.DUMMYFUNCTION("""COMPUTED_VALUE"""),"02/20/2011")</f>
        <v>02/20/2011</v>
      </c>
      <c r="H3354" s="6" t="str">
        <f>IFERROR(__xludf.DUMMYFUNCTION("""COMPUTED_VALUE"""),"Self Identify")</f>
        <v>Self Identify</v>
      </c>
      <c r="I3354" s="6" t="str">
        <f>IFERROR(__xludf.DUMMYFUNCTION("""COMPUTED_VALUE"""),"High School")</f>
        <v>High School</v>
      </c>
      <c r="J3354" s="6" t="str">
        <f>IFERROR(__xludf.DUMMYFUNCTION("""COMPUTED_VALUE"""),"9")</f>
        <v>9</v>
      </c>
      <c r="K3354" s="6" t="str">
        <f>IFERROR(__xludf.DUMMYFUNCTION("""COMPUTED_VALUE"""),"kimberly_ramosramire@stu.ortrail.k12.or.us")</f>
        <v>kimberly_ramosramire@stu.ortrail.k12.or.us</v>
      </c>
      <c r="L3354" s="6" t="str">
        <f>IFERROR(__xludf.DUMMYFUNCTION("""COMPUTED_VALUE"""),"Oregon Trail School District 46")</f>
        <v>Oregon Trail School District 46</v>
      </c>
      <c r="M3354" s="6" t="str">
        <f>IFERROR(__xludf.DUMMYFUNCTION("""COMPUTED_VALUE"""),"Sandy High School")</f>
        <v>Sandy High School</v>
      </c>
      <c r="N3354" s="6" t="str">
        <f>IFERROR(__xludf.DUMMYFUNCTION("""COMPUTED_VALUE"""),"")</f>
        <v/>
      </c>
      <c r="O3354" s="87" t="str">
        <f>IFERROR(__xludf.DUMMYFUNCTION("""COMPUTED_VALUE"""),"https://drive.google.com/drive/folders/10T2cTQHqEJZqE-st6uFKPoI?usp=share_link")</f>
        <v>https://drive.google.com/drive/folders/10T2cTQHqEJZqE-st6uFKPoI?usp=share_link</v>
      </c>
      <c r="P3354" s="6" t="str">
        <f>IFERROR(__xludf.DUMMYFUNCTION("""COMPUTED_VALUE"""),"Kimberly Ramos Ramirez")</f>
        <v>Kimberly Ramos Ramirez</v>
      </c>
      <c r="Q3354" s="6" t="str">
        <f>IFERROR(__xludf.DUMMYFUNCTION("""COMPUTED_VALUE"""),"HS")</f>
        <v>HS</v>
      </c>
      <c r="R3354" s="6">
        <f>IFERROR(__xludf.DUMMYFUNCTION("""COMPUTED_VALUE"""),0.0)</f>
        <v>0</v>
      </c>
      <c r="S3354" s="6" t="str">
        <f>IFERROR(__xludf.DUMMYFUNCTION("""COMPUTED_VALUE"""),"Megan Montellano")</f>
        <v>Megan Montellano</v>
      </c>
      <c r="T3354" s="6" t="str">
        <f>IFERROR(__xludf.DUMMYFUNCTION("""COMPUTED_VALUE"""),"megan.montellano@ortrail.k12.or.us")</f>
        <v>megan.montellano@ortrail.k12.or.us</v>
      </c>
      <c r="U3354" s="6" t="str">
        <f>IFERROR(__xludf.DUMMYFUNCTION("""COMPUTED_VALUE"""),"9")</f>
        <v>9</v>
      </c>
      <c r="V3354" s="6" t="str">
        <f>IFERROR(__xludf.DUMMYFUNCTION("""COMPUTED_VALUE"""),"English")</f>
        <v>English</v>
      </c>
      <c r="W3354" s="6" t="str">
        <f>IFERROR(__xludf.DUMMYFUNCTION("""COMPUTED_VALUE"""),"[]")</f>
        <v>[]</v>
      </c>
      <c r="X3354" s="6" t="str">
        <f>IFERROR(__xludf.DUMMYFUNCTION("""COMPUTED_VALUE"""),"Enrolled")</f>
        <v>Enrolled</v>
      </c>
    </row>
    <row r="3355">
      <c r="A3355" s="6" t="str">
        <f>IFERROR(__xludf.DUMMYFUNCTION("""COMPUTED_VALUE"""),"064-6256")</f>
        <v>064-6256</v>
      </c>
      <c r="B3355" s="6" t="str">
        <f>IFERROR(__xludf.DUMMYFUNCTION("""COMPUTED_VALUE"""),"64")</f>
        <v>64</v>
      </c>
      <c r="C3355" s="6" t="str">
        <f>IFERROR(__xludf.DUMMYFUNCTION("""COMPUTED_VALUE"""),"6256")</f>
        <v>6256</v>
      </c>
      <c r="D3355" s="6" t="str">
        <f>IFERROR(__xludf.DUMMYFUNCTION("""COMPUTED_VALUE"""),"Gracie")</f>
        <v>Gracie</v>
      </c>
      <c r="E3355" s="6" t="str">
        <f>IFERROR(__xludf.DUMMYFUNCTION("""COMPUTED_VALUE"""),"")</f>
        <v/>
      </c>
      <c r="F3355" s="6" t="str">
        <f>IFERROR(__xludf.DUMMYFUNCTION("""COMPUTED_VALUE"""),"Suver")</f>
        <v>Suver</v>
      </c>
      <c r="G3355" s="6" t="str">
        <f>IFERROR(__xludf.DUMMYFUNCTION("""COMPUTED_VALUE"""),"07/21/2011")</f>
        <v>07/21/2011</v>
      </c>
      <c r="H3355" s="6" t="str">
        <f>IFERROR(__xludf.DUMMYFUNCTION("""COMPUTED_VALUE"""),"F")</f>
        <v>F</v>
      </c>
      <c r="I3355" s="6" t="str">
        <f>IFERROR(__xludf.DUMMYFUNCTION("""COMPUTED_VALUE"""),"High School")</f>
        <v>High School</v>
      </c>
      <c r="J3355" s="6" t="str">
        <f>IFERROR(__xludf.DUMMYFUNCTION("""COMPUTED_VALUE"""),"9")</f>
        <v>9</v>
      </c>
      <c r="K3355" s="6" t="str">
        <f>IFERROR(__xludf.DUMMYFUNCTION("""COMPUTED_VALUE"""),"gracie_suver@stu.ortrail.k12.or.us")</f>
        <v>gracie_suver@stu.ortrail.k12.or.us</v>
      </c>
      <c r="L3355" s="6" t="str">
        <f>IFERROR(__xludf.DUMMYFUNCTION("""COMPUTED_VALUE"""),"Oregon Trail School District 46")</f>
        <v>Oregon Trail School District 46</v>
      </c>
      <c r="M3355" s="6" t="str">
        <f>IFERROR(__xludf.DUMMYFUNCTION("""COMPUTED_VALUE"""),"")</f>
        <v/>
      </c>
      <c r="N3355" s="6" t="str">
        <f>IFERROR(__xludf.DUMMYFUNCTION("""COMPUTED_VALUE"""),"")</f>
        <v/>
      </c>
      <c r="O3355" s="87" t="str">
        <f>IFERROR(__xludf.DUMMYFUNCTION("""COMPUTED_VALUE"""),"https://drive.google.com/drive/folders/10T2cTQHqEJZqE-st6uFKPoI?usp=share_link")</f>
        <v>https://drive.google.com/drive/folders/10T2cTQHqEJZqE-st6uFKPoI?usp=share_link</v>
      </c>
      <c r="P3355" s="6" t="str">
        <f>IFERROR(__xludf.DUMMYFUNCTION("""COMPUTED_VALUE"""),"Gracie Suver")</f>
        <v>Gracie Suver</v>
      </c>
      <c r="Q3355" s="6" t="str">
        <f>IFERROR(__xludf.DUMMYFUNCTION("""COMPUTED_VALUE"""),"HS")</f>
        <v>HS</v>
      </c>
      <c r="R3355" s="6">
        <f>IFERROR(__xludf.DUMMYFUNCTION("""COMPUTED_VALUE"""),0.0)</f>
        <v>0</v>
      </c>
      <c r="S3355" s="6" t="str">
        <f>IFERROR(__xludf.DUMMYFUNCTION("""COMPUTED_VALUE"""),"Genevra Self")</f>
        <v>Genevra Self</v>
      </c>
      <c r="T3355" s="6" t="str">
        <f>IFERROR(__xludf.DUMMYFUNCTION("""COMPUTED_VALUE"""),"genevra.self@studient.com")</f>
        <v>genevra.self@studient.com</v>
      </c>
      <c r="U3355" s="6" t="str">
        <f>IFERROR(__xludf.DUMMYFUNCTION("""COMPUTED_VALUE"""),"9")</f>
        <v>9</v>
      </c>
      <c r="V3355" s="6" t="str">
        <f>IFERROR(__xludf.DUMMYFUNCTION("""COMPUTED_VALUE"""),"English")</f>
        <v>English</v>
      </c>
      <c r="W3355" s="6" t="str">
        <f>IFERROR(__xludf.DUMMYFUNCTION("""COMPUTED_VALUE"""),"[]")</f>
        <v>[]</v>
      </c>
      <c r="X3355" s="6" t="str">
        <f>IFERROR(__xludf.DUMMYFUNCTION("""COMPUTED_VALUE"""),"Enrolled")</f>
        <v>Enrolled</v>
      </c>
    </row>
    <row r="3356">
      <c r="A3356" s="6" t="str">
        <f>IFERROR(__xludf.DUMMYFUNCTION("""COMPUTED_VALUE"""),"064-6258")</f>
        <v>064-6258</v>
      </c>
      <c r="B3356" s="6" t="str">
        <f>IFERROR(__xludf.DUMMYFUNCTION("""COMPUTED_VALUE"""),"64")</f>
        <v>64</v>
      </c>
      <c r="C3356" s="6" t="str">
        <f>IFERROR(__xludf.DUMMYFUNCTION("""COMPUTED_VALUE"""),"6258")</f>
        <v>6258</v>
      </c>
      <c r="D3356" s="6" t="str">
        <f>IFERROR(__xludf.DUMMYFUNCTION("""COMPUTED_VALUE"""),"Hematullah")</f>
        <v>Hematullah</v>
      </c>
      <c r="E3356" s="6" t="str">
        <f>IFERROR(__xludf.DUMMYFUNCTION("""COMPUTED_VALUE"""),"")</f>
        <v/>
      </c>
      <c r="F3356" s="6" t="str">
        <f>IFERROR(__xludf.DUMMYFUNCTION("""COMPUTED_VALUE"""),"Azimi")</f>
        <v>Azimi</v>
      </c>
      <c r="G3356" s="6" t="str">
        <f>IFERROR(__xludf.DUMMYFUNCTION("""COMPUTED_VALUE"""),"07/13/2007")</f>
        <v>07/13/2007</v>
      </c>
      <c r="H3356" s="6" t="str">
        <f>IFERROR(__xludf.DUMMYFUNCTION("""COMPUTED_VALUE"""),"Self Identify")</f>
        <v>Self Identify</v>
      </c>
      <c r="I3356" s="6" t="str">
        <f>IFERROR(__xludf.DUMMYFUNCTION("""COMPUTED_VALUE"""),"High School")</f>
        <v>High School</v>
      </c>
      <c r="J3356" s="6" t="str">
        <f>IFERROR(__xludf.DUMMYFUNCTION("""COMPUTED_VALUE"""),"12")</f>
        <v>12</v>
      </c>
      <c r="K3356" s="6" t="str">
        <f>IFERROR(__xludf.DUMMYFUNCTION("""COMPUTED_VALUE"""),"hematullah_azimi@stu.ortrail.k12.or.us")</f>
        <v>hematullah_azimi@stu.ortrail.k12.or.us</v>
      </c>
      <c r="L3356" s="6" t="str">
        <f>IFERROR(__xludf.DUMMYFUNCTION("""COMPUTED_VALUE"""),"Oregon Trail School District 46")</f>
        <v>Oregon Trail School District 46</v>
      </c>
      <c r="M3356" s="6" t="str">
        <f>IFERROR(__xludf.DUMMYFUNCTION("""COMPUTED_VALUE"""),"Sandy High School")</f>
        <v>Sandy High School</v>
      </c>
      <c r="N3356" s="6" t="str">
        <f>IFERROR(__xludf.DUMMYFUNCTION("""COMPUTED_VALUE"""),"")</f>
        <v/>
      </c>
      <c r="O3356" s="87" t="str">
        <f>IFERROR(__xludf.DUMMYFUNCTION("""COMPUTED_VALUE"""),"https://drive.google.com/drive/folders/10T2cTQHqEJZqE-st6uFKPoI?usp=share_link")</f>
        <v>https://drive.google.com/drive/folders/10T2cTQHqEJZqE-st6uFKPoI?usp=share_link</v>
      </c>
      <c r="P3356" s="6" t="str">
        <f>IFERROR(__xludf.DUMMYFUNCTION("""COMPUTED_VALUE"""),"Hematullah Azimi")</f>
        <v>Hematullah Azimi</v>
      </c>
      <c r="Q3356" s="6" t="str">
        <f>IFERROR(__xludf.DUMMYFUNCTION("""COMPUTED_VALUE"""),"HS")</f>
        <v>HS</v>
      </c>
      <c r="R3356" s="6">
        <f>IFERROR(__xludf.DUMMYFUNCTION("""COMPUTED_VALUE"""),0.0)</f>
        <v>0</v>
      </c>
      <c r="S3356" s="6" t="str">
        <f>IFERROR(__xludf.DUMMYFUNCTION("""COMPUTED_VALUE"""),"Megan Montellano")</f>
        <v>Megan Montellano</v>
      </c>
      <c r="T3356" s="6" t="str">
        <f>IFERROR(__xludf.DUMMYFUNCTION("""COMPUTED_VALUE"""),"megan.montellano@ortrail.k12.or.us")</f>
        <v>megan.montellano@ortrail.k12.or.us</v>
      </c>
      <c r="U3356" s="6" t="str">
        <f>IFERROR(__xludf.DUMMYFUNCTION("""COMPUTED_VALUE"""),"12")</f>
        <v>12</v>
      </c>
      <c r="V3356" s="6" t="str">
        <f>IFERROR(__xludf.DUMMYFUNCTION("""COMPUTED_VALUE"""),"English")</f>
        <v>English</v>
      </c>
      <c r="W3356" s="6" t="str">
        <f>IFERROR(__xludf.DUMMYFUNCTION("""COMPUTED_VALUE"""),"[]")</f>
        <v>[]</v>
      </c>
      <c r="X3356" s="6" t="str">
        <f>IFERROR(__xludf.DUMMYFUNCTION("""COMPUTED_VALUE"""),"Enrolled")</f>
        <v>Enrolled</v>
      </c>
    </row>
    <row r="3357">
      <c r="A3357" s="6" t="str">
        <f>IFERROR(__xludf.DUMMYFUNCTION("""COMPUTED_VALUE"""),"064-6259")</f>
        <v>064-6259</v>
      </c>
      <c r="B3357" s="6" t="str">
        <f>IFERROR(__xludf.DUMMYFUNCTION("""COMPUTED_VALUE"""),"64")</f>
        <v>64</v>
      </c>
      <c r="C3357" s="6" t="str">
        <f>IFERROR(__xludf.DUMMYFUNCTION("""COMPUTED_VALUE"""),"6259")</f>
        <v>6259</v>
      </c>
      <c r="D3357" s="6" t="str">
        <f>IFERROR(__xludf.DUMMYFUNCTION("""COMPUTED_VALUE"""),"Maria")</f>
        <v>Maria</v>
      </c>
      <c r="E3357" s="6" t="str">
        <f>IFERROR(__xludf.DUMMYFUNCTION("""COMPUTED_VALUE"""),"")</f>
        <v/>
      </c>
      <c r="F3357" s="6" t="str">
        <f>IFERROR(__xludf.DUMMYFUNCTION("""COMPUTED_VALUE"""),"Carrazco Chavez")</f>
        <v>Carrazco Chavez</v>
      </c>
      <c r="G3357" s="6" t="str">
        <f>IFERROR(__xludf.DUMMYFUNCTION("""COMPUTED_VALUE"""),"05/09/2011")</f>
        <v>05/09/2011</v>
      </c>
      <c r="H3357" s="6" t="str">
        <f>IFERROR(__xludf.DUMMYFUNCTION("""COMPUTED_VALUE"""),"Self Identify")</f>
        <v>Self Identify</v>
      </c>
      <c r="I3357" s="6" t="str">
        <f>IFERROR(__xludf.DUMMYFUNCTION("""COMPUTED_VALUE"""),"High School")</f>
        <v>High School</v>
      </c>
      <c r="J3357" s="6" t="str">
        <f>IFERROR(__xludf.DUMMYFUNCTION("""COMPUTED_VALUE"""),"9")</f>
        <v>9</v>
      </c>
      <c r="K3357" s="6" t="str">
        <f>IFERROR(__xludf.DUMMYFUNCTION("""COMPUTED_VALUE"""),"maria_carrazcochavez@stu.ortrail.k12.or.us")</f>
        <v>maria_carrazcochavez@stu.ortrail.k12.or.us</v>
      </c>
      <c r="L3357" s="6" t="str">
        <f>IFERROR(__xludf.DUMMYFUNCTION("""COMPUTED_VALUE"""),"Oregon Trail School District 46")</f>
        <v>Oregon Trail School District 46</v>
      </c>
      <c r="M3357" s="6" t="str">
        <f>IFERROR(__xludf.DUMMYFUNCTION("""COMPUTED_VALUE"""),"Sandy High School")</f>
        <v>Sandy High School</v>
      </c>
      <c r="N3357" s="6" t="str">
        <f>IFERROR(__xludf.DUMMYFUNCTION("""COMPUTED_VALUE"""),"")</f>
        <v/>
      </c>
      <c r="O3357" s="87" t="str">
        <f>IFERROR(__xludf.DUMMYFUNCTION("""COMPUTED_VALUE"""),"https://drive.google.com/drive/folders/10T2cTQHqEJZqE-st6uFKPoI?usp=share_link")</f>
        <v>https://drive.google.com/drive/folders/10T2cTQHqEJZqE-st6uFKPoI?usp=share_link</v>
      </c>
      <c r="P3357" s="6" t="str">
        <f>IFERROR(__xludf.DUMMYFUNCTION("""COMPUTED_VALUE"""),"Maria Carrazco Chavez")</f>
        <v>Maria Carrazco Chavez</v>
      </c>
      <c r="Q3357" s="6" t="str">
        <f>IFERROR(__xludf.DUMMYFUNCTION("""COMPUTED_VALUE"""),"HS")</f>
        <v>HS</v>
      </c>
      <c r="R3357" s="6">
        <f>IFERROR(__xludf.DUMMYFUNCTION("""COMPUTED_VALUE"""),0.0)</f>
        <v>0</v>
      </c>
      <c r="S3357" s="6" t="str">
        <f>IFERROR(__xludf.DUMMYFUNCTION("""COMPUTED_VALUE"""),"Megan Montellano")</f>
        <v>Megan Montellano</v>
      </c>
      <c r="T3357" s="6" t="str">
        <f>IFERROR(__xludf.DUMMYFUNCTION("""COMPUTED_VALUE"""),"megan.montellano@ortrail.k12.or.us")</f>
        <v>megan.montellano@ortrail.k12.or.us</v>
      </c>
      <c r="U3357" s="6" t="str">
        <f>IFERROR(__xludf.DUMMYFUNCTION("""COMPUTED_VALUE"""),"9")</f>
        <v>9</v>
      </c>
      <c r="V3357" s="6" t="str">
        <f>IFERROR(__xludf.DUMMYFUNCTION("""COMPUTED_VALUE"""),"English")</f>
        <v>English</v>
      </c>
      <c r="W3357" s="6" t="str">
        <f>IFERROR(__xludf.DUMMYFUNCTION("""COMPUTED_VALUE"""),"[]")</f>
        <v>[]</v>
      </c>
      <c r="X3357" s="6" t="str">
        <f>IFERROR(__xludf.DUMMYFUNCTION("""COMPUTED_VALUE"""),"Enrolled")</f>
        <v>Enrolled</v>
      </c>
    </row>
    <row r="3358">
      <c r="A3358" s="6" t="str">
        <f>IFERROR(__xludf.DUMMYFUNCTION("""COMPUTED_VALUE"""),"064-6260")</f>
        <v>064-6260</v>
      </c>
      <c r="B3358" s="6" t="str">
        <f>IFERROR(__xludf.DUMMYFUNCTION("""COMPUTED_VALUE"""),"64")</f>
        <v>64</v>
      </c>
      <c r="C3358" s="6" t="str">
        <f>IFERROR(__xludf.DUMMYFUNCTION("""COMPUTED_VALUE"""),"6260")</f>
        <v>6260</v>
      </c>
      <c r="D3358" s="6" t="str">
        <f>IFERROR(__xludf.DUMMYFUNCTION("""COMPUTED_VALUE"""),"Daniel")</f>
        <v>Daniel</v>
      </c>
      <c r="E3358" s="6" t="str">
        <f>IFERROR(__xludf.DUMMYFUNCTION("""COMPUTED_VALUE"""),"")</f>
        <v/>
      </c>
      <c r="F3358" s="6" t="str">
        <f>IFERROR(__xludf.DUMMYFUNCTION("""COMPUTED_VALUE"""),"Diaz")</f>
        <v>Diaz</v>
      </c>
      <c r="G3358" s="6" t="str">
        <f>IFERROR(__xludf.DUMMYFUNCTION("""COMPUTED_VALUE"""),"07/06/2011")</f>
        <v>07/06/2011</v>
      </c>
      <c r="H3358" s="6" t="str">
        <f>IFERROR(__xludf.DUMMYFUNCTION("""COMPUTED_VALUE"""),"Self Identify")</f>
        <v>Self Identify</v>
      </c>
      <c r="I3358" s="6" t="str">
        <f>IFERROR(__xludf.DUMMYFUNCTION("""COMPUTED_VALUE"""),"High School")</f>
        <v>High School</v>
      </c>
      <c r="J3358" s="6" t="str">
        <f>IFERROR(__xludf.DUMMYFUNCTION("""COMPUTED_VALUE"""),"9")</f>
        <v>9</v>
      </c>
      <c r="K3358" s="6" t="str">
        <f>IFERROR(__xludf.DUMMYFUNCTION("""COMPUTED_VALUE"""),"daniel_diaz@stu.ortrail.k12.or.us")</f>
        <v>daniel_diaz@stu.ortrail.k12.or.us</v>
      </c>
      <c r="L3358" s="6" t="str">
        <f>IFERROR(__xludf.DUMMYFUNCTION("""COMPUTED_VALUE"""),"Oregon Trail School District 46")</f>
        <v>Oregon Trail School District 46</v>
      </c>
      <c r="M3358" s="6" t="str">
        <f>IFERROR(__xludf.DUMMYFUNCTION("""COMPUTED_VALUE"""),"Sandy High School")</f>
        <v>Sandy High School</v>
      </c>
      <c r="N3358" s="6" t="str">
        <f>IFERROR(__xludf.DUMMYFUNCTION("""COMPUTED_VALUE"""),"")</f>
        <v/>
      </c>
      <c r="O3358" s="87" t="str">
        <f>IFERROR(__xludf.DUMMYFUNCTION("""COMPUTED_VALUE"""),"https://drive.google.com/drive/folders/10T2cTQHqEJZqE-st6uFKPoI?usp=share_link")</f>
        <v>https://drive.google.com/drive/folders/10T2cTQHqEJZqE-st6uFKPoI?usp=share_link</v>
      </c>
      <c r="P3358" s="6" t="str">
        <f>IFERROR(__xludf.DUMMYFUNCTION("""COMPUTED_VALUE"""),"Daniel Diaz")</f>
        <v>Daniel Diaz</v>
      </c>
      <c r="Q3358" s="6" t="str">
        <f>IFERROR(__xludf.DUMMYFUNCTION("""COMPUTED_VALUE"""),"HS")</f>
        <v>HS</v>
      </c>
      <c r="R3358" s="6">
        <f>IFERROR(__xludf.DUMMYFUNCTION("""COMPUTED_VALUE"""),0.0)</f>
        <v>0</v>
      </c>
      <c r="S3358" s="6" t="str">
        <f>IFERROR(__xludf.DUMMYFUNCTION("""COMPUTED_VALUE"""),"Trevor Jones")</f>
        <v>Trevor Jones</v>
      </c>
      <c r="T3358" s="6" t="str">
        <f>IFERROR(__xludf.DUMMYFUNCTION("""COMPUTED_VALUE"""),"trevor.jones@ortrail.k12.or.us")</f>
        <v>trevor.jones@ortrail.k12.or.us</v>
      </c>
      <c r="U3358" s="6" t="str">
        <f>IFERROR(__xludf.DUMMYFUNCTION("""COMPUTED_VALUE"""),"9")</f>
        <v>9</v>
      </c>
      <c r="V3358" s="6" t="str">
        <f>IFERROR(__xludf.DUMMYFUNCTION("""COMPUTED_VALUE"""),"English")</f>
        <v>English</v>
      </c>
      <c r="W3358" s="6" t="str">
        <f>IFERROR(__xludf.DUMMYFUNCTION("""COMPUTED_VALUE"""),"[]")</f>
        <v>[]</v>
      </c>
      <c r="X3358" s="6" t="str">
        <f>IFERROR(__xludf.DUMMYFUNCTION("""COMPUTED_VALUE"""),"Enrolled")</f>
        <v>Enrolled</v>
      </c>
    </row>
    <row r="3359">
      <c r="A3359" s="6" t="str">
        <f>IFERROR(__xludf.DUMMYFUNCTION("""COMPUTED_VALUE"""),"064-6261")</f>
        <v>064-6261</v>
      </c>
      <c r="B3359" s="6" t="str">
        <f>IFERROR(__xludf.DUMMYFUNCTION("""COMPUTED_VALUE"""),"64")</f>
        <v>64</v>
      </c>
      <c r="C3359" s="6" t="str">
        <f>IFERROR(__xludf.DUMMYFUNCTION("""COMPUTED_VALUE"""),"6261")</f>
        <v>6261</v>
      </c>
      <c r="D3359" s="6" t="str">
        <f>IFERROR(__xludf.DUMMYFUNCTION("""COMPUTED_VALUE"""),"Francisco")</f>
        <v>Francisco</v>
      </c>
      <c r="E3359" s="6" t="str">
        <f>IFERROR(__xludf.DUMMYFUNCTION("""COMPUTED_VALUE"""),"")</f>
        <v/>
      </c>
      <c r="F3359" s="6" t="str">
        <f>IFERROR(__xludf.DUMMYFUNCTION("""COMPUTED_VALUE"""),"Gallegos Marin")</f>
        <v>Gallegos Marin</v>
      </c>
      <c r="G3359" s="6" t="str">
        <f>IFERROR(__xludf.DUMMYFUNCTION("""COMPUTED_VALUE"""),"05/04/2011")</f>
        <v>05/04/2011</v>
      </c>
      <c r="H3359" s="6" t="str">
        <f>IFERROR(__xludf.DUMMYFUNCTION("""COMPUTED_VALUE"""),"Self Identify")</f>
        <v>Self Identify</v>
      </c>
      <c r="I3359" s="6" t="str">
        <f>IFERROR(__xludf.DUMMYFUNCTION("""COMPUTED_VALUE"""),"High School")</f>
        <v>High School</v>
      </c>
      <c r="J3359" s="6" t="str">
        <f>IFERROR(__xludf.DUMMYFUNCTION("""COMPUTED_VALUE"""),"9")</f>
        <v>9</v>
      </c>
      <c r="K3359" s="6" t="str">
        <f>IFERROR(__xludf.DUMMYFUNCTION("""COMPUTED_VALUE"""),"francisco_gallegosma@stu.ortrail.k12.or.us")</f>
        <v>francisco_gallegosma@stu.ortrail.k12.or.us</v>
      </c>
      <c r="L3359" s="6" t="str">
        <f>IFERROR(__xludf.DUMMYFUNCTION("""COMPUTED_VALUE"""),"Oregon Trail School District 46")</f>
        <v>Oregon Trail School District 46</v>
      </c>
      <c r="M3359" s="6" t="str">
        <f>IFERROR(__xludf.DUMMYFUNCTION("""COMPUTED_VALUE"""),"Sandy High School")</f>
        <v>Sandy High School</v>
      </c>
      <c r="N3359" s="6" t="str">
        <f>IFERROR(__xludf.DUMMYFUNCTION("""COMPUTED_VALUE"""),"")</f>
        <v/>
      </c>
      <c r="O3359" s="87" t="str">
        <f>IFERROR(__xludf.DUMMYFUNCTION("""COMPUTED_VALUE"""),"https://drive.google.com/drive/folders/10T2cTQHqEJZqE-st6uFKPoI?usp=share_link")</f>
        <v>https://drive.google.com/drive/folders/10T2cTQHqEJZqE-st6uFKPoI?usp=share_link</v>
      </c>
      <c r="P3359" s="6" t="str">
        <f>IFERROR(__xludf.DUMMYFUNCTION("""COMPUTED_VALUE"""),"Francisco Gallegos Marin")</f>
        <v>Francisco Gallegos Marin</v>
      </c>
      <c r="Q3359" s="6" t="str">
        <f>IFERROR(__xludf.DUMMYFUNCTION("""COMPUTED_VALUE"""),"HS")</f>
        <v>HS</v>
      </c>
      <c r="R3359" s="6">
        <f>IFERROR(__xludf.DUMMYFUNCTION("""COMPUTED_VALUE"""),0.0)</f>
        <v>0</v>
      </c>
      <c r="S3359" s="6" t="str">
        <f>IFERROR(__xludf.DUMMYFUNCTION("""COMPUTED_VALUE"""),"Megan Montellano")</f>
        <v>Megan Montellano</v>
      </c>
      <c r="T3359" s="6" t="str">
        <f>IFERROR(__xludf.DUMMYFUNCTION("""COMPUTED_VALUE"""),"megan.montellano@ortrail.k12.or.us")</f>
        <v>megan.montellano@ortrail.k12.or.us</v>
      </c>
      <c r="U3359" s="6" t="str">
        <f>IFERROR(__xludf.DUMMYFUNCTION("""COMPUTED_VALUE"""),"9")</f>
        <v>9</v>
      </c>
      <c r="V3359" s="6" t="str">
        <f>IFERROR(__xludf.DUMMYFUNCTION("""COMPUTED_VALUE"""),"English")</f>
        <v>English</v>
      </c>
      <c r="W3359" s="6" t="str">
        <f>IFERROR(__xludf.DUMMYFUNCTION("""COMPUTED_VALUE"""),"[]")</f>
        <v>[]</v>
      </c>
      <c r="X3359" s="6" t="str">
        <f>IFERROR(__xludf.DUMMYFUNCTION("""COMPUTED_VALUE"""),"Enrolled")</f>
        <v>Enrolled</v>
      </c>
    </row>
    <row r="3360">
      <c r="A3360" s="6" t="str">
        <f>IFERROR(__xludf.DUMMYFUNCTION("""COMPUTED_VALUE"""),"064-6262")</f>
        <v>064-6262</v>
      </c>
      <c r="B3360" s="6" t="str">
        <f>IFERROR(__xludf.DUMMYFUNCTION("""COMPUTED_VALUE"""),"64")</f>
        <v>64</v>
      </c>
      <c r="C3360" s="6" t="str">
        <f>IFERROR(__xludf.DUMMYFUNCTION("""COMPUTED_VALUE"""),"6262")</f>
        <v>6262</v>
      </c>
      <c r="D3360" s="6" t="str">
        <f>IFERROR(__xludf.DUMMYFUNCTION("""COMPUTED_VALUE"""),"Mariana")</f>
        <v>Mariana</v>
      </c>
      <c r="E3360" s="6" t="str">
        <f>IFERROR(__xludf.DUMMYFUNCTION("""COMPUTED_VALUE"""),"")</f>
        <v/>
      </c>
      <c r="F3360" s="6" t="str">
        <f>IFERROR(__xludf.DUMMYFUNCTION("""COMPUTED_VALUE"""),"Garcia Von Steinberg")</f>
        <v>Garcia Von Steinberg</v>
      </c>
      <c r="G3360" s="6" t="str">
        <f>IFERROR(__xludf.DUMMYFUNCTION("""COMPUTED_VALUE"""),"03/04/2011")</f>
        <v>03/04/2011</v>
      </c>
      <c r="H3360" s="6" t="str">
        <f>IFERROR(__xludf.DUMMYFUNCTION("""COMPUTED_VALUE"""),"Self Identify")</f>
        <v>Self Identify</v>
      </c>
      <c r="I3360" s="6" t="str">
        <f>IFERROR(__xludf.DUMMYFUNCTION("""COMPUTED_VALUE"""),"High School")</f>
        <v>High School</v>
      </c>
      <c r="J3360" s="6" t="str">
        <f>IFERROR(__xludf.DUMMYFUNCTION("""COMPUTED_VALUE"""),"9")</f>
        <v>9</v>
      </c>
      <c r="K3360" s="6" t="str">
        <f>IFERROR(__xludf.DUMMYFUNCTION("""COMPUTED_VALUE"""),"mariana_garciavonste@stu.ortrail.k12.or.us")</f>
        <v>mariana_garciavonste@stu.ortrail.k12.or.us</v>
      </c>
      <c r="L3360" s="6" t="str">
        <f>IFERROR(__xludf.DUMMYFUNCTION("""COMPUTED_VALUE"""),"Oregon Trail School District 46")</f>
        <v>Oregon Trail School District 46</v>
      </c>
      <c r="M3360" s="6" t="str">
        <f>IFERROR(__xludf.DUMMYFUNCTION("""COMPUTED_VALUE"""),"Sandy High School")</f>
        <v>Sandy High School</v>
      </c>
      <c r="N3360" s="6" t="str">
        <f>IFERROR(__xludf.DUMMYFUNCTION("""COMPUTED_VALUE"""),"")</f>
        <v/>
      </c>
      <c r="O3360" s="87" t="str">
        <f>IFERROR(__xludf.DUMMYFUNCTION("""COMPUTED_VALUE"""),"https://drive.google.com/drive/folders/10T2cTQHqEJZqE-st6uFKPoI?usp=share_link")</f>
        <v>https://drive.google.com/drive/folders/10T2cTQHqEJZqE-st6uFKPoI?usp=share_link</v>
      </c>
      <c r="P3360" s="6" t="str">
        <f>IFERROR(__xludf.DUMMYFUNCTION("""COMPUTED_VALUE"""),"Mariana Garcia Von Steinberg")</f>
        <v>Mariana Garcia Von Steinberg</v>
      </c>
      <c r="Q3360" s="6" t="str">
        <f>IFERROR(__xludf.DUMMYFUNCTION("""COMPUTED_VALUE"""),"HS")</f>
        <v>HS</v>
      </c>
      <c r="R3360" s="6">
        <f>IFERROR(__xludf.DUMMYFUNCTION("""COMPUTED_VALUE"""),0.0)</f>
        <v>0</v>
      </c>
      <c r="S3360" s="6" t="str">
        <f>IFERROR(__xludf.DUMMYFUNCTION("""COMPUTED_VALUE"""),"Megan Montellano")</f>
        <v>Megan Montellano</v>
      </c>
      <c r="T3360" s="6" t="str">
        <f>IFERROR(__xludf.DUMMYFUNCTION("""COMPUTED_VALUE"""),"megan.montellano@ortrail.k12.or.us")</f>
        <v>megan.montellano@ortrail.k12.or.us</v>
      </c>
      <c r="U3360" s="6" t="str">
        <f>IFERROR(__xludf.DUMMYFUNCTION("""COMPUTED_VALUE"""),"9")</f>
        <v>9</v>
      </c>
      <c r="V3360" s="6" t="str">
        <f>IFERROR(__xludf.DUMMYFUNCTION("""COMPUTED_VALUE"""),"English")</f>
        <v>English</v>
      </c>
      <c r="W3360" s="6" t="str">
        <f>IFERROR(__xludf.DUMMYFUNCTION("""COMPUTED_VALUE"""),"[]")</f>
        <v>[]</v>
      </c>
      <c r="X3360" s="6" t="str">
        <f>IFERROR(__xludf.DUMMYFUNCTION("""COMPUTED_VALUE"""),"Enrolled")</f>
        <v>Enrolled</v>
      </c>
    </row>
    <row r="3361">
      <c r="A3361" s="6" t="str">
        <f>IFERROR(__xludf.DUMMYFUNCTION("""COMPUTED_VALUE"""),"064-6266")</f>
        <v>064-6266</v>
      </c>
      <c r="B3361" s="6" t="str">
        <f>IFERROR(__xludf.DUMMYFUNCTION("""COMPUTED_VALUE"""),"64")</f>
        <v>64</v>
      </c>
      <c r="C3361" s="6" t="str">
        <f>IFERROR(__xludf.DUMMYFUNCTION("""COMPUTED_VALUE"""),"6266")</f>
        <v>6266</v>
      </c>
      <c r="D3361" s="6" t="str">
        <f>IFERROR(__xludf.DUMMYFUNCTION("""COMPUTED_VALUE"""),"Eulalia")</f>
        <v>Eulalia</v>
      </c>
      <c r="E3361" s="6" t="str">
        <f>IFERROR(__xludf.DUMMYFUNCTION("""COMPUTED_VALUE"""),"")</f>
        <v/>
      </c>
      <c r="F3361" s="6" t="str">
        <f>IFERROR(__xludf.DUMMYFUNCTION("""COMPUTED_VALUE"""),"Miguel Pedro")</f>
        <v>Miguel Pedro</v>
      </c>
      <c r="G3361" s="6" t="str">
        <f>IFERROR(__xludf.DUMMYFUNCTION("""COMPUTED_VALUE"""),"01/03/2010")</f>
        <v>01/03/2010</v>
      </c>
      <c r="H3361" s="6" t="str">
        <f>IFERROR(__xludf.DUMMYFUNCTION("""COMPUTED_VALUE"""),"Self Identify")</f>
        <v>Self Identify</v>
      </c>
      <c r="I3361" s="6" t="str">
        <f>IFERROR(__xludf.DUMMYFUNCTION("""COMPUTED_VALUE"""),"High School")</f>
        <v>High School</v>
      </c>
      <c r="J3361" s="6" t="str">
        <f>IFERROR(__xludf.DUMMYFUNCTION("""COMPUTED_VALUE"""),"10")</f>
        <v>10</v>
      </c>
      <c r="K3361" s="6" t="str">
        <f>IFERROR(__xludf.DUMMYFUNCTION("""COMPUTED_VALUE"""),"griselda_miguelpedro@stu.ortrail.k12.or.us")</f>
        <v>griselda_miguelpedro@stu.ortrail.k12.or.us</v>
      </c>
      <c r="L3361" s="6" t="str">
        <f>IFERROR(__xludf.DUMMYFUNCTION("""COMPUTED_VALUE"""),"Oregon Trail School District 46")</f>
        <v>Oregon Trail School District 46</v>
      </c>
      <c r="M3361" s="6" t="str">
        <f>IFERROR(__xludf.DUMMYFUNCTION("""COMPUTED_VALUE"""),"Sandy High School")</f>
        <v>Sandy High School</v>
      </c>
      <c r="N3361" s="6" t="str">
        <f>IFERROR(__xludf.DUMMYFUNCTION("""COMPUTED_VALUE"""),"")</f>
        <v/>
      </c>
      <c r="O3361" s="87" t="str">
        <f>IFERROR(__xludf.DUMMYFUNCTION("""COMPUTED_VALUE"""),"https://drive.google.com/drive/folders/10T2cTQHqEJZqE-st6uFKPoI?usp=share_link")</f>
        <v>https://drive.google.com/drive/folders/10T2cTQHqEJZqE-st6uFKPoI?usp=share_link</v>
      </c>
      <c r="P3361" s="6" t="str">
        <f>IFERROR(__xludf.DUMMYFUNCTION("""COMPUTED_VALUE"""),"Eulalia Miguel Pedro")</f>
        <v>Eulalia Miguel Pedro</v>
      </c>
      <c r="Q3361" s="6" t="str">
        <f>IFERROR(__xludf.DUMMYFUNCTION("""COMPUTED_VALUE"""),"HS")</f>
        <v>HS</v>
      </c>
      <c r="R3361" s="6">
        <f>IFERROR(__xludf.DUMMYFUNCTION("""COMPUTED_VALUE"""),0.0)</f>
        <v>0</v>
      </c>
      <c r="S3361" s="6" t="str">
        <f>IFERROR(__xludf.DUMMYFUNCTION("""COMPUTED_VALUE"""),"Megan Montellano")</f>
        <v>Megan Montellano</v>
      </c>
      <c r="T3361" s="6" t="str">
        <f>IFERROR(__xludf.DUMMYFUNCTION("""COMPUTED_VALUE"""),"megan.montellano@ortrail.k12.or.us")</f>
        <v>megan.montellano@ortrail.k12.or.us</v>
      </c>
      <c r="U3361" s="6" t="str">
        <f>IFERROR(__xludf.DUMMYFUNCTION("""COMPUTED_VALUE"""),"10")</f>
        <v>10</v>
      </c>
      <c r="V3361" s="6" t="str">
        <f>IFERROR(__xludf.DUMMYFUNCTION("""COMPUTED_VALUE"""),"English")</f>
        <v>English</v>
      </c>
      <c r="W3361" s="6" t="str">
        <f>IFERROR(__xludf.DUMMYFUNCTION("""COMPUTED_VALUE"""),"[]")</f>
        <v>[]</v>
      </c>
      <c r="X3361" s="6" t="str">
        <f>IFERROR(__xludf.DUMMYFUNCTION("""COMPUTED_VALUE"""),"Enrolled")</f>
        <v>Enrolled</v>
      </c>
    </row>
    <row r="3362">
      <c r="A3362" s="6" t="str">
        <f>IFERROR(__xludf.DUMMYFUNCTION("""COMPUTED_VALUE"""),"064-6267")</f>
        <v>064-6267</v>
      </c>
      <c r="B3362" s="6" t="str">
        <f>IFERROR(__xludf.DUMMYFUNCTION("""COMPUTED_VALUE"""),"64")</f>
        <v>64</v>
      </c>
      <c r="C3362" s="6" t="str">
        <f>IFERROR(__xludf.DUMMYFUNCTION("""COMPUTED_VALUE"""),"6267")</f>
        <v>6267</v>
      </c>
      <c r="D3362" s="6" t="str">
        <f>IFERROR(__xludf.DUMMYFUNCTION("""COMPUTED_VALUE"""),"Juan")</f>
        <v>Juan</v>
      </c>
      <c r="E3362" s="6" t="str">
        <f>IFERROR(__xludf.DUMMYFUNCTION("""COMPUTED_VALUE"""),"")</f>
        <v/>
      </c>
      <c r="F3362" s="6" t="str">
        <f>IFERROR(__xludf.DUMMYFUNCTION("""COMPUTED_VALUE"""),"Paz Damian")</f>
        <v>Paz Damian</v>
      </c>
      <c r="G3362" s="6" t="str">
        <f>IFERROR(__xludf.DUMMYFUNCTION("""COMPUTED_VALUE"""),"04/24/2010")</f>
        <v>04/24/2010</v>
      </c>
      <c r="H3362" s="6" t="str">
        <f>IFERROR(__xludf.DUMMYFUNCTION("""COMPUTED_VALUE"""),"Self Identify")</f>
        <v>Self Identify</v>
      </c>
      <c r="I3362" s="6" t="str">
        <f>IFERROR(__xludf.DUMMYFUNCTION("""COMPUTED_VALUE"""),"High School")</f>
        <v>High School</v>
      </c>
      <c r="J3362" s="6" t="str">
        <f>IFERROR(__xludf.DUMMYFUNCTION("""COMPUTED_VALUE"""),"9")</f>
        <v>9</v>
      </c>
      <c r="K3362" s="6" t="str">
        <f>IFERROR(__xludf.DUMMYFUNCTION("""COMPUTED_VALUE"""),"juan_pazdamian@stu.ortrail.k12.or.us")</f>
        <v>juan_pazdamian@stu.ortrail.k12.or.us</v>
      </c>
      <c r="L3362" s="6" t="str">
        <f>IFERROR(__xludf.DUMMYFUNCTION("""COMPUTED_VALUE"""),"Oregon Trail School District 46")</f>
        <v>Oregon Trail School District 46</v>
      </c>
      <c r="M3362" s="6" t="str">
        <f>IFERROR(__xludf.DUMMYFUNCTION("""COMPUTED_VALUE"""),"Sandy High School")</f>
        <v>Sandy High School</v>
      </c>
      <c r="N3362" s="6" t="str">
        <f>IFERROR(__xludf.DUMMYFUNCTION("""COMPUTED_VALUE"""),"")</f>
        <v/>
      </c>
      <c r="O3362" s="87" t="str">
        <f>IFERROR(__xludf.DUMMYFUNCTION("""COMPUTED_VALUE"""),"https://drive.google.com/drive/folders/10T2cTQHqEJZqE-st6uFKPoI?usp=share_link")</f>
        <v>https://drive.google.com/drive/folders/10T2cTQHqEJZqE-st6uFKPoI?usp=share_link</v>
      </c>
      <c r="P3362" s="6" t="str">
        <f>IFERROR(__xludf.DUMMYFUNCTION("""COMPUTED_VALUE"""),"Juan Paz Damian")</f>
        <v>Juan Paz Damian</v>
      </c>
      <c r="Q3362" s="6" t="str">
        <f>IFERROR(__xludf.DUMMYFUNCTION("""COMPUTED_VALUE"""),"HS")</f>
        <v>HS</v>
      </c>
      <c r="R3362" s="6">
        <f>IFERROR(__xludf.DUMMYFUNCTION("""COMPUTED_VALUE"""),0.0)</f>
        <v>0</v>
      </c>
      <c r="S3362" s="6" t="str">
        <f>IFERROR(__xludf.DUMMYFUNCTION("""COMPUTED_VALUE"""),"Megan Montellano")</f>
        <v>Megan Montellano</v>
      </c>
      <c r="T3362" s="6" t="str">
        <f>IFERROR(__xludf.DUMMYFUNCTION("""COMPUTED_VALUE"""),"megan.montellano@ortrail.k12.or.us")</f>
        <v>megan.montellano@ortrail.k12.or.us</v>
      </c>
      <c r="U3362" s="6" t="str">
        <f>IFERROR(__xludf.DUMMYFUNCTION("""COMPUTED_VALUE"""),"9")</f>
        <v>9</v>
      </c>
      <c r="V3362" s="6" t="str">
        <f>IFERROR(__xludf.DUMMYFUNCTION("""COMPUTED_VALUE"""),"English")</f>
        <v>English</v>
      </c>
      <c r="W3362" s="6" t="str">
        <f>IFERROR(__xludf.DUMMYFUNCTION("""COMPUTED_VALUE"""),"[]")</f>
        <v>[]</v>
      </c>
      <c r="X3362" s="6" t="str">
        <f>IFERROR(__xludf.DUMMYFUNCTION("""COMPUTED_VALUE"""),"Enrolled")</f>
        <v>Enrolled</v>
      </c>
    </row>
    <row r="3363">
      <c r="A3363" s="6" t="str">
        <f>IFERROR(__xludf.DUMMYFUNCTION("""COMPUTED_VALUE"""),"064-6268")</f>
        <v>064-6268</v>
      </c>
      <c r="B3363" s="6" t="str">
        <f>IFERROR(__xludf.DUMMYFUNCTION("""COMPUTED_VALUE"""),"64")</f>
        <v>64</v>
      </c>
      <c r="C3363" s="6" t="str">
        <f>IFERROR(__xludf.DUMMYFUNCTION("""COMPUTED_VALUE"""),"6268")</f>
        <v>6268</v>
      </c>
      <c r="D3363" s="6" t="str">
        <f>IFERROR(__xludf.DUMMYFUNCTION("""COMPUTED_VALUE"""),"Juana")</f>
        <v>Juana</v>
      </c>
      <c r="E3363" s="6" t="str">
        <f>IFERROR(__xludf.DUMMYFUNCTION("""COMPUTED_VALUE"""),"")</f>
        <v/>
      </c>
      <c r="F3363" s="6" t="str">
        <f>IFERROR(__xludf.DUMMYFUNCTION("""COMPUTED_VALUE"""),"Pedro Juan")</f>
        <v>Pedro Juan</v>
      </c>
      <c r="G3363" s="6" t="str">
        <f>IFERROR(__xludf.DUMMYFUNCTION("""COMPUTED_VALUE"""),"10/30/2007")</f>
        <v>10/30/2007</v>
      </c>
      <c r="H3363" s="6" t="str">
        <f>IFERROR(__xludf.DUMMYFUNCTION("""COMPUTED_VALUE"""),"Self Identify")</f>
        <v>Self Identify</v>
      </c>
      <c r="I3363" s="6" t="str">
        <f>IFERROR(__xludf.DUMMYFUNCTION("""COMPUTED_VALUE"""),"High School")</f>
        <v>High School</v>
      </c>
      <c r="J3363" s="6" t="str">
        <f>IFERROR(__xludf.DUMMYFUNCTION("""COMPUTED_VALUE"""),"12")</f>
        <v>12</v>
      </c>
      <c r="K3363" s="6" t="str">
        <f>IFERROR(__xludf.DUMMYFUNCTION("""COMPUTED_VALUE"""),"juana_pedrojuan@stu.ortrail.k12.or.us")</f>
        <v>juana_pedrojuan@stu.ortrail.k12.or.us</v>
      </c>
      <c r="L3363" s="6" t="str">
        <f>IFERROR(__xludf.DUMMYFUNCTION("""COMPUTED_VALUE"""),"Oregon Trail School District 46")</f>
        <v>Oregon Trail School District 46</v>
      </c>
      <c r="M3363" s="6" t="str">
        <f>IFERROR(__xludf.DUMMYFUNCTION("""COMPUTED_VALUE"""),"Sandy High School")</f>
        <v>Sandy High School</v>
      </c>
      <c r="N3363" s="6" t="str">
        <f>IFERROR(__xludf.DUMMYFUNCTION("""COMPUTED_VALUE"""),"")</f>
        <v/>
      </c>
      <c r="O3363" s="87" t="str">
        <f>IFERROR(__xludf.DUMMYFUNCTION("""COMPUTED_VALUE"""),"https://drive.google.com/drive/folders/10T2cTQHqEJZqE-st6uFKPoI?usp=share_link")</f>
        <v>https://drive.google.com/drive/folders/10T2cTQHqEJZqE-st6uFKPoI?usp=share_link</v>
      </c>
      <c r="P3363" s="6" t="str">
        <f>IFERROR(__xludf.DUMMYFUNCTION("""COMPUTED_VALUE"""),"Juana Pedro Juan")</f>
        <v>Juana Pedro Juan</v>
      </c>
      <c r="Q3363" s="6" t="str">
        <f>IFERROR(__xludf.DUMMYFUNCTION("""COMPUTED_VALUE"""),"HS")</f>
        <v>HS</v>
      </c>
      <c r="R3363" s="6">
        <f>IFERROR(__xludf.DUMMYFUNCTION("""COMPUTED_VALUE"""),0.0)</f>
        <v>0</v>
      </c>
      <c r="S3363" s="6" t="str">
        <f>IFERROR(__xludf.DUMMYFUNCTION("""COMPUTED_VALUE"""),"Megan Montellano")</f>
        <v>Megan Montellano</v>
      </c>
      <c r="T3363" s="6" t="str">
        <f>IFERROR(__xludf.DUMMYFUNCTION("""COMPUTED_VALUE"""),"megan.montellano@ortrail.k12.or.us")</f>
        <v>megan.montellano@ortrail.k12.or.us</v>
      </c>
      <c r="U3363" s="6" t="str">
        <f>IFERROR(__xludf.DUMMYFUNCTION("""COMPUTED_VALUE"""),"12")</f>
        <v>12</v>
      </c>
      <c r="V3363" s="6" t="str">
        <f>IFERROR(__xludf.DUMMYFUNCTION("""COMPUTED_VALUE"""),"English")</f>
        <v>English</v>
      </c>
      <c r="W3363" s="6" t="str">
        <f>IFERROR(__xludf.DUMMYFUNCTION("""COMPUTED_VALUE"""),"[]")</f>
        <v>[]</v>
      </c>
      <c r="X3363" s="6" t="str">
        <f>IFERROR(__xludf.DUMMYFUNCTION("""COMPUTED_VALUE"""),"Enrolled")</f>
        <v>Enrolled</v>
      </c>
    </row>
    <row r="3364">
      <c r="A3364" s="6" t="str">
        <f>IFERROR(__xludf.DUMMYFUNCTION("""COMPUTED_VALUE"""),"064-6269")</f>
        <v>064-6269</v>
      </c>
      <c r="B3364" s="6" t="str">
        <f>IFERROR(__xludf.DUMMYFUNCTION("""COMPUTED_VALUE"""),"64")</f>
        <v>64</v>
      </c>
      <c r="C3364" s="6" t="str">
        <f>IFERROR(__xludf.DUMMYFUNCTION("""COMPUTED_VALUE"""),"6269")</f>
        <v>6269</v>
      </c>
      <c r="D3364" s="6" t="str">
        <f>IFERROR(__xludf.DUMMYFUNCTION("""COMPUTED_VALUE"""),"Maria")</f>
        <v>Maria</v>
      </c>
      <c r="E3364" s="6" t="str">
        <f>IFERROR(__xludf.DUMMYFUNCTION("""COMPUTED_VALUE"""),"")</f>
        <v/>
      </c>
      <c r="F3364" s="6" t="str">
        <f>IFERROR(__xludf.DUMMYFUNCTION("""COMPUTED_VALUE"""),"Pedro Juan")</f>
        <v>Pedro Juan</v>
      </c>
      <c r="G3364" s="6" t="str">
        <f>IFERROR(__xludf.DUMMYFUNCTION("""COMPUTED_VALUE"""),"06/02/2010")</f>
        <v>06/02/2010</v>
      </c>
      <c r="H3364" s="6" t="str">
        <f>IFERROR(__xludf.DUMMYFUNCTION("""COMPUTED_VALUE"""),"Self Identify")</f>
        <v>Self Identify</v>
      </c>
      <c r="I3364" s="6" t="str">
        <f>IFERROR(__xludf.DUMMYFUNCTION("""COMPUTED_VALUE"""),"High School")</f>
        <v>High School</v>
      </c>
      <c r="J3364" s="6" t="str">
        <f>IFERROR(__xludf.DUMMYFUNCTION("""COMPUTED_VALUE"""),"10")</f>
        <v>10</v>
      </c>
      <c r="K3364" s="6" t="str">
        <f>IFERROR(__xludf.DUMMYFUNCTION("""COMPUTED_VALUE"""),"maria_pedrojuan@stu.ortrail.k12.or.us")</f>
        <v>maria_pedrojuan@stu.ortrail.k12.or.us</v>
      </c>
      <c r="L3364" s="6" t="str">
        <f>IFERROR(__xludf.DUMMYFUNCTION("""COMPUTED_VALUE"""),"Oregon Trail School District 46")</f>
        <v>Oregon Trail School District 46</v>
      </c>
      <c r="M3364" s="6" t="str">
        <f>IFERROR(__xludf.DUMMYFUNCTION("""COMPUTED_VALUE"""),"Sandy High School")</f>
        <v>Sandy High School</v>
      </c>
      <c r="N3364" s="6" t="str">
        <f>IFERROR(__xludf.DUMMYFUNCTION("""COMPUTED_VALUE"""),"")</f>
        <v/>
      </c>
      <c r="O3364" s="87" t="str">
        <f>IFERROR(__xludf.DUMMYFUNCTION("""COMPUTED_VALUE"""),"https://drive.google.com/drive/folders/10T2cTQHqEJZqE-st6uFKPoI?usp=share_link")</f>
        <v>https://drive.google.com/drive/folders/10T2cTQHqEJZqE-st6uFKPoI?usp=share_link</v>
      </c>
      <c r="P3364" s="6" t="str">
        <f>IFERROR(__xludf.DUMMYFUNCTION("""COMPUTED_VALUE"""),"Maria Pedro Juan")</f>
        <v>Maria Pedro Juan</v>
      </c>
      <c r="Q3364" s="6" t="str">
        <f>IFERROR(__xludf.DUMMYFUNCTION("""COMPUTED_VALUE"""),"HS")</f>
        <v>HS</v>
      </c>
      <c r="R3364" s="6">
        <f>IFERROR(__xludf.DUMMYFUNCTION("""COMPUTED_VALUE"""),0.0)</f>
        <v>0</v>
      </c>
      <c r="S3364" s="6" t="str">
        <f>IFERROR(__xludf.DUMMYFUNCTION("""COMPUTED_VALUE"""),"Megan Montellano")</f>
        <v>Megan Montellano</v>
      </c>
      <c r="T3364" s="6" t="str">
        <f>IFERROR(__xludf.DUMMYFUNCTION("""COMPUTED_VALUE"""),"megan.montellano@ortrail.k12.or.us")</f>
        <v>megan.montellano@ortrail.k12.or.us</v>
      </c>
      <c r="U3364" s="6" t="str">
        <f>IFERROR(__xludf.DUMMYFUNCTION("""COMPUTED_VALUE"""),"10")</f>
        <v>10</v>
      </c>
      <c r="V3364" s="6" t="str">
        <f>IFERROR(__xludf.DUMMYFUNCTION("""COMPUTED_VALUE"""),"English")</f>
        <v>English</v>
      </c>
      <c r="W3364" s="6" t="str">
        <f>IFERROR(__xludf.DUMMYFUNCTION("""COMPUTED_VALUE"""),"[]")</f>
        <v>[]</v>
      </c>
      <c r="X3364" s="6" t="str">
        <f>IFERROR(__xludf.DUMMYFUNCTION("""COMPUTED_VALUE"""),"Enrolled")</f>
        <v>Enrolled</v>
      </c>
    </row>
    <row r="3365">
      <c r="A3365" s="6" t="str">
        <f>IFERROR(__xludf.DUMMYFUNCTION("""COMPUTED_VALUE"""),"064-6271")</f>
        <v>064-6271</v>
      </c>
      <c r="B3365" s="6" t="str">
        <f>IFERROR(__xludf.DUMMYFUNCTION("""COMPUTED_VALUE"""),"64")</f>
        <v>64</v>
      </c>
      <c r="C3365" s="6" t="str">
        <f>IFERROR(__xludf.DUMMYFUNCTION("""COMPUTED_VALUE"""),"6271")</f>
        <v>6271</v>
      </c>
      <c r="D3365" s="6" t="str">
        <f>IFERROR(__xludf.DUMMYFUNCTION("""COMPUTED_VALUE"""),"Jacob")</f>
        <v>Jacob</v>
      </c>
      <c r="E3365" s="6" t="str">
        <f>IFERROR(__xludf.DUMMYFUNCTION("""COMPUTED_VALUE"""),"")</f>
        <v/>
      </c>
      <c r="F3365" s="6" t="str">
        <f>IFERROR(__xludf.DUMMYFUNCTION("""COMPUTED_VALUE"""),"Salas")</f>
        <v>Salas</v>
      </c>
      <c r="G3365" s="6" t="str">
        <f>IFERROR(__xludf.DUMMYFUNCTION("""COMPUTED_VALUE"""),"05/06/2011")</f>
        <v>05/06/2011</v>
      </c>
      <c r="H3365" s="6" t="str">
        <f>IFERROR(__xludf.DUMMYFUNCTION("""COMPUTED_VALUE"""),"Self Identify")</f>
        <v>Self Identify</v>
      </c>
      <c r="I3365" s="6" t="str">
        <f>IFERROR(__xludf.DUMMYFUNCTION("""COMPUTED_VALUE"""),"High School")</f>
        <v>High School</v>
      </c>
      <c r="J3365" s="6" t="str">
        <f>IFERROR(__xludf.DUMMYFUNCTION("""COMPUTED_VALUE"""),"9")</f>
        <v>9</v>
      </c>
      <c r="K3365" s="6" t="str">
        <f>IFERROR(__xludf.DUMMYFUNCTION("""COMPUTED_VALUE"""),"jacob_salas@stu.ortrail.k12.or.us")</f>
        <v>jacob_salas@stu.ortrail.k12.or.us</v>
      </c>
      <c r="L3365" s="6" t="str">
        <f>IFERROR(__xludf.DUMMYFUNCTION("""COMPUTED_VALUE"""),"Oregon Trail School District 46")</f>
        <v>Oregon Trail School District 46</v>
      </c>
      <c r="M3365" s="6" t="str">
        <f>IFERROR(__xludf.DUMMYFUNCTION("""COMPUTED_VALUE"""),"Sandy High School")</f>
        <v>Sandy High School</v>
      </c>
      <c r="N3365" s="6" t="str">
        <f>IFERROR(__xludf.DUMMYFUNCTION("""COMPUTED_VALUE"""),"")</f>
        <v/>
      </c>
      <c r="O3365" s="87" t="str">
        <f>IFERROR(__xludf.DUMMYFUNCTION("""COMPUTED_VALUE"""),"https://drive.google.com/drive/folders/10T2cTQHqEJZqE-st6uFKPoI?usp=share_link")</f>
        <v>https://drive.google.com/drive/folders/10T2cTQHqEJZqE-st6uFKPoI?usp=share_link</v>
      </c>
      <c r="P3365" s="6" t="str">
        <f>IFERROR(__xludf.DUMMYFUNCTION("""COMPUTED_VALUE"""),"Jacob Salas")</f>
        <v>Jacob Salas</v>
      </c>
      <c r="Q3365" s="6" t="str">
        <f>IFERROR(__xludf.DUMMYFUNCTION("""COMPUTED_VALUE"""),"HS")</f>
        <v>HS</v>
      </c>
      <c r="R3365" s="6">
        <f>IFERROR(__xludf.DUMMYFUNCTION("""COMPUTED_VALUE"""),0.0)</f>
        <v>0</v>
      </c>
      <c r="S3365" s="6" t="str">
        <f>IFERROR(__xludf.DUMMYFUNCTION("""COMPUTED_VALUE"""),"Megan Montellano")</f>
        <v>Megan Montellano</v>
      </c>
      <c r="T3365" s="6" t="str">
        <f>IFERROR(__xludf.DUMMYFUNCTION("""COMPUTED_VALUE"""),"megan.montellano@ortrail.k12.or.us")</f>
        <v>megan.montellano@ortrail.k12.or.us</v>
      </c>
      <c r="U3365" s="6" t="str">
        <f>IFERROR(__xludf.DUMMYFUNCTION("""COMPUTED_VALUE"""),"9")</f>
        <v>9</v>
      </c>
      <c r="V3365" s="6" t="str">
        <f>IFERROR(__xludf.DUMMYFUNCTION("""COMPUTED_VALUE"""),"English")</f>
        <v>English</v>
      </c>
      <c r="W3365" s="6" t="str">
        <f>IFERROR(__xludf.DUMMYFUNCTION("""COMPUTED_VALUE"""),"[]")</f>
        <v>[]</v>
      </c>
      <c r="X3365" s="6" t="str">
        <f>IFERROR(__xludf.DUMMYFUNCTION("""COMPUTED_VALUE"""),"Enrolled")</f>
        <v>Enrolled</v>
      </c>
    </row>
    <row r="3366">
      <c r="A3366" s="6" t="str">
        <f>IFERROR(__xludf.DUMMYFUNCTION("""COMPUTED_VALUE"""),"064-6272")</f>
        <v>064-6272</v>
      </c>
      <c r="B3366" s="6" t="str">
        <f>IFERROR(__xludf.DUMMYFUNCTION("""COMPUTED_VALUE"""),"64")</f>
        <v>64</v>
      </c>
      <c r="C3366" s="6" t="str">
        <f>IFERROR(__xludf.DUMMYFUNCTION("""COMPUTED_VALUE"""),"6272")</f>
        <v>6272</v>
      </c>
      <c r="D3366" s="6" t="str">
        <f>IFERROR(__xludf.DUMMYFUNCTION("""COMPUTED_VALUE"""),"Landon")</f>
        <v>Landon</v>
      </c>
      <c r="E3366" s="6" t="str">
        <f>IFERROR(__xludf.DUMMYFUNCTION("""COMPUTED_VALUE"""),"")</f>
        <v/>
      </c>
      <c r="F3366" s="6" t="str">
        <f>IFERROR(__xludf.DUMMYFUNCTION("""COMPUTED_VALUE"""),"Brown")</f>
        <v>Brown</v>
      </c>
      <c r="G3366" s="6" t="str">
        <f>IFERROR(__xludf.DUMMYFUNCTION("""COMPUTED_VALUE"""),"10/25/2008")</f>
        <v>10/25/2008</v>
      </c>
      <c r="H3366" s="6" t="str">
        <f>IFERROR(__xludf.DUMMYFUNCTION("""COMPUTED_VALUE"""),"Self Identify")</f>
        <v>Self Identify</v>
      </c>
      <c r="I3366" s="6" t="str">
        <f>IFERROR(__xludf.DUMMYFUNCTION("""COMPUTED_VALUE"""),"High School")</f>
        <v>High School</v>
      </c>
      <c r="J3366" s="6" t="str">
        <f>IFERROR(__xludf.DUMMYFUNCTION("""COMPUTED_VALUE"""),"11")</f>
        <v>11</v>
      </c>
      <c r="K3366" s="6" t="str">
        <f>IFERROR(__xludf.DUMMYFUNCTION("""COMPUTED_VALUE"""),"landon_brown@stu.ortrail.k12.or.us")</f>
        <v>landon_brown@stu.ortrail.k12.or.us</v>
      </c>
      <c r="L3366" s="6" t="str">
        <f>IFERROR(__xludf.DUMMYFUNCTION("""COMPUTED_VALUE"""),"Oregon Trail School District 46")</f>
        <v>Oregon Trail School District 46</v>
      </c>
      <c r="M3366" s="6" t="str">
        <f>IFERROR(__xludf.DUMMYFUNCTION("""COMPUTED_VALUE"""),"Sandy High School")</f>
        <v>Sandy High School</v>
      </c>
      <c r="N3366" s="6" t="str">
        <f>IFERROR(__xludf.DUMMYFUNCTION("""COMPUTED_VALUE"""),"")</f>
        <v/>
      </c>
      <c r="O3366" s="87" t="str">
        <f>IFERROR(__xludf.DUMMYFUNCTION("""COMPUTED_VALUE"""),"https://drive.google.com/drive/folders/10T2cTQHqEJZqE-st6uFKPoI?usp=share_link")</f>
        <v>https://drive.google.com/drive/folders/10T2cTQHqEJZqE-st6uFKPoI?usp=share_link</v>
      </c>
      <c r="P3366" s="6" t="str">
        <f>IFERROR(__xludf.DUMMYFUNCTION("""COMPUTED_VALUE"""),"Landon Brown")</f>
        <v>Landon Brown</v>
      </c>
      <c r="Q3366" s="6" t="str">
        <f>IFERROR(__xludf.DUMMYFUNCTION("""COMPUTED_VALUE"""),"HS")</f>
        <v>HS</v>
      </c>
      <c r="R3366" s="6">
        <f>IFERROR(__xludf.DUMMYFUNCTION("""COMPUTED_VALUE"""),0.0)</f>
        <v>0</v>
      </c>
      <c r="S3366" s="6" t="str">
        <f>IFERROR(__xludf.DUMMYFUNCTION("""COMPUTED_VALUE"""),"Megan Montellano")</f>
        <v>Megan Montellano</v>
      </c>
      <c r="T3366" s="6" t="str">
        <f>IFERROR(__xludf.DUMMYFUNCTION("""COMPUTED_VALUE"""),"megan.montellano@ortrail.k12.or.us")</f>
        <v>megan.montellano@ortrail.k12.or.us</v>
      </c>
      <c r="U3366" s="6" t="str">
        <f>IFERROR(__xludf.DUMMYFUNCTION("""COMPUTED_VALUE"""),"11")</f>
        <v>11</v>
      </c>
      <c r="V3366" s="6" t="str">
        <f>IFERROR(__xludf.DUMMYFUNCTION("""COMPUTED_VALUE"""),"English")</f>
        <v>English</v>
      </c>
      <c r="W3366" s="6" t="str">
        <f>IFERROR(__xludf.DUMMYFUNCTION("""COMPUTED_VALUE"""),"[]")</f>
        <v>[]</v>
      </c>
      <c r="X3366" s="6" t="str">
        <f>IFERROR(__xludf.DUMMYFUNCTION("""COMPUTED_VALUE"""),"Enrolled")</f>
        <v>Enrolled</v>
      </c>
    </row>
    <row r="3367">
      <c r="A3367" s="6" t="str">
        <f>IFERROR(__xludf.DUMMYFUNCTION("""COMPUTED_VALUE"""),"064-6273")</f>
        <v>064-6273</v>
      </c>
      <c r="B3367" s="6" t="str">
        <f>IFERROR(__xludf.DUMMYFUNCTION("""COMPUTED_VALUE"""),"64")</f>
        <v>64</v>
      </c>
      <c r="C3367" s="6" t="str">
        <f>IFERROR(__xludf.DUMMYFUNCTION("""COMPUTED_VALUE"""),"6273")</f>
        <v>6273</v>
      </c>
      <c r="D3367" s="6" t="str">
        <f>IFERROR(__xludf.DUMMYFUNCTION("""COMPUTED_VALUE"""),"Junieliz")</f>
        <v>Junieliz</v>
      </c>
      <c r="E3367" s="6" t="str">
        <f>IFERROR(__xludf.DUMMYFUNCTION("""COMPUTED_VALUE"""),"")</f>
        <v/>
      </c>
      <c r="F3367" s="6" t="str">
        <f>IFERROR(__xludf.DUMMYFUNCTION("""COMPUTED_VALUE"""),"Castro Matias")</f>
        <v>Castro Matias</v>
      </c>
      <c r="G3367" s="6" t="str">
        <f>IFERROR(__xludf.DUMMYFUNCTION("""COMPUTED_VALUE"""),"05/12/2010")</f>
        <v>05/12/2010</v>
      </c>
      <c r="H3367" s="6" t="str">
        <f>IFERROR(__xludf.DUMMYFUNCTION("""COMPUTED_VALUE"""),"Self Identify")</f>
        <v>Self Identify</v>
      </c>
      <c r="I3367" s="6" t="str">
        <f>IFERROR(__xludf.DUMMYFUNCTION("""COMPUTED_VALUE"""),"High School")</f>
        <v>High School</v>
      </c>
      <c r="J3367" s="6" t="str">
        <f>IFERROR(__xludf.DUMMYFUNCTION("""COMPUTED_VALUE"""),"10")</f>
        <v>10</v>
      </c>
      <c r="K3367" s="6" t="str">
        <f>IFERROR(__xludf.DUMMYFUNCTION("""COMPUTED_VALUE"""),"junieliz_castromatia@stu.ortrail.k12.or.us")</f>
        <v>junieliz_castromatia@stu.ortrail.k12.or.us</v>
      </c>
      <c r="L3367" s="6" t="str">
        <f>IFERROR(__xludf.DUMMYFUNCTION("""COMPUTED_VALUE"""),"Oregon Trail School District 46")</f>
        <v>Oregon Trail School District 46</v>
      </c>
      <c r="M3367" s="6" t="str">
        <f>IFERROR(__xludf.DUMMYFUNCTION("""COMPUTED_VALUE"""),"Sandy High School")</f>
        <v>Sandy High School</v>
      </c>
      <c r="N3367" s="6" t="str">
        <f>IFERROR(__xludf.DUMMYFUNCTION("""COMPUTED_VALUE"""),"")</f>
        <v/>
      </c>
      <c r="O3367" s="87" t="str">
        <f>IFERROR(__xludf.DUMMYFUNCTION("""COMPUTED_VALUE"""),"https://drive.google.com/drive/folders/10T2cTQHqEJZqE-st6uFKPoI?usp=share_link")</f>
        <v>https://drive.google.com/drive/folders/10T2cTQHqEJZqE-st6uFKPoI?usp=share_link</v>
      </c>
      <c r="P3367" s="6" t="str">
        <f>IFERROR(__xludf.DUMMYFUNCTION("""COMPUTED_VALUE"""),"Junieliz Castro Matias")</f>
        <v>Junieliz Castro Matias</v>
      </c>
      <c r="Q3367" s="6" t="str">
        <f>IFERROR(__xludf.DUMMYFUNCTION("""COMPUTED_VALUE"""),"HS")</f>
        <v>HS</v>
      </c>
      <c r="R3367" s="6">
        <f>IFERROR(__xludf.DUMMYFUNCTION("""COMPUTED_VALUE"""),0.0)</f>
        <v>0</v>
      </c>
      <c r="S3367" s="6" t="str">
        <f>IFERROR(__xludf.DUMMYFUNCTION("""COMPUTED_VALUE"""),"Megan Montellano")</f>
        <v>Megan Montellano</v>
      </c>
      <c r="T3367" s="6" t="str">
        <f>IFERROR(__xludf.DUMMYFUNCTION("""COMPUTED_VALUE"""),"megan.montellano@ortrail.k12.or.us")</f>
        <v>megan.montellano@ortrail.k12.or.us</v>
      </c>
      <c r="U3367" s="6" t="str">
        <f>IFERROR(__xludf.DUMMYFUNCTION("""COMPUTED_VALUE"""),"10")</f>
        <v>10</v>
      </c>
      <c r="V3367" s="6" t="str">
        <f>IFERROR(__xludf.DUMMYFUNCTION("""COMPUTED_VALUE"""),"English")</f>
        <v>English</v>
      </c>
      <c r="W3367" s="6" t="str">
        <f>IFERROR(__xludf.DUMMYFUNCTION("""COMPUTED_VALUE"""),"[]")</f>
        <v>[]</v>
      </c>
      <c r="X3367" s="6" t="str">
        <f>IFERROR(__xludf.DUMMYFUNCTION("""COMPUTED_VALUE"""),"Enrolled")</f>
        <v>Enrolled</v>
      </c>
    </row>
    <row r="3368">
      <c r="A3368" s="6" t="str">
        <f>IFERROR(__xludf.DUMMYFUNCTION("""COMPUTED_VALUE"""),"064-6276")</f>
        <v>064-6276</v>
      </c>
      <c r="B3368" s="6" t="str">
        <f>IFERROR(__xludf.DUMMYFUNCTION("""COMPUTED_VALUE"""),"64")</f>
        <v>64</v>
      </c>
      <c r="C3368" s="6" t="str">
        <f>IFERROR(__xludf.DUMMYFUNCTION("""COMPUTED_VALUE"""),"6276")</f>
        <v>6276</v>
      </c>
      <c r="D3368" s="6" t="str">
        <f>IFERROR(__xludf.DUMMYFUNCTION("""COMPUTED_VALUE"""),"Ellie")</f>
        <v>Ellie</v>
      </c>
      <c r="E3368" s="6" t="str">
        <f>IFERROR(__xludf.DUMMYFUNCTION("""COMPUTED_VALUE"""),"")</f>
        <v/>
      </c>
      <c r="F3368" s="6" t="str">
        <f>IFERROR(__xludf.DUMMYFUNCTION("""COMPUTED_VALUE"""),"Connealy")</f>
        <v>Connealy</v>
      </c>
      <c r="G3368" s="6" t="str">
        <f>IFERROR(__xludf.DUMMYFUNCTION("""COMPUTED_VALUE"""),"11/05/2008")</f>
        <v>11/05/2008</v>
      </c>
      <c r="H3368" s="6" t="str">
        <f>IFERROR(__xludf.DUMMYFUNCTION("""COMPUTED_VALUE"""),"Self Identify")</f>
        <v>Self Identify</v>
      </c>
      <c r="I3368" s="6" t="str">
        <f>IFERROR(__xludf.DUMMYFUNCTION("""COMPUTED_VALUE"""),"High School")</f>
        <v>High School</v>
      </c>
      <c r="J3368" s="6" t="str">
        <f>IFERROR(__xludf.DUMMYFUNCTION("""COMPUTED_VALUE"""),"11")</f>
        <v>11</v>
      </c>
      <c r="K3368" s="6" t="str">
        <f>IFERROR(__xludf.DUMMYFUNCTION("""COMPUTED_VALUE"""),"ellie_connealy@stu.ortrail.k12.or.us")</f>
        <v>ellie_connealy@stu.ortrail.k12.or.us</v>
      </c>
      <c r="L3368" s="6" t="str">
        <f>IFERROR(__xludf.DUMMYFUNCTION("""COMPUTED_VALUE"""),"Oregon Trail School District 46")</f>
        <v>Oregon Trail School District 46</v>
      </c>
      <c r="M3368" s="6" t="str">
        <f>IFERROR(__xludf.DUMMYFUNCTION("""COMPUTED_VALUE"""),"Sandy High School")</f>
        <v>Sandy High School</v>
      </c>
      <c r="N3368" s="6" t="str">
        <f>IFERROR(__xludf.DUMMYFUNCTION("""COMPUTED_VALUE"""),"")</f>
        <v/>
      </c>
      <c r="O3368" s="87" t="str">
        <f>IFERROR(__xludf.DUMMYFUNCTION("""COMPUTED_VALUE"""),"https://drive.google.com/drive/folders/10T2cTQHqEJZqE-st6uFKPoI?usp=share_link")</f>
        <v>https://drive.google.com/drive/folders/10T2cTQHqEJZqE-st6uFKPoI?usp=share_link</v>
      </c>
      <c r="P3368" s="6" t="str">
        <f>IFERROR(__xludf.DUMMYFUNCTION("""COMPUTED_VALUE"""),"Ellie Connealy")</f>
        <v>Ellie Connealy</v>
      </c>
      <c r="Q3368" s="6" t="str">
        <f>IFERROR(__xludf.DUMMYFUNCTION("""COMPUTED_VALUE"""),"HS")</f>
        <v>HS</v>
      </c>
      <c r="R3368" s="6">
        <f>IFERROR(__xludf.DUMMYFUNCTION("""COMPUTED_VALUE"""),0.0)</f>
        <v>0</v>
      </c>
      <c r="S3368" s="6" t="str">
        <f>IFERROR(__xludf.DUMMYFUNCTION("""COMPUTED_VALUE"""),"Megan Montellano")</f>
        <v>Megan Montellano</v>
      </c>
      <c r="T3368" s="6" t="str">
        <f>IFERROR(__xludf.DUMMYFUNCTION("""COMPUTED_VALUE"""),"megan.montellano@ortrail.k12.or.us")</f>
        <v>megan.montellano@ortrail.k12.or.us</v>
      </c>
      <c r="U3368" s="6" t="str">
        <f>IFERROR(__xludf.DUMMYFUNCTION("""COMPUTED_VALUE"""),"11")</f>
        <v>11</v>
      </c>
      <c r="V3368" s="6" t="str">
        <f>IFERROR(__xludf.DUMMYFUNCTION("""COMPUTED_VALUE"""),"English")</f>
        <v>English</v>
      </c>
      <c r="W3368" s="6" t="str">
        <f>IFERROR(__xludf.DUMMYFUNCTION("""COMPUTED_VALUE"""),"[]")</f>
        <v>[]</v>
      </c>
      <c r="X3368" s="6" t="str">
        <f>IFERROR(__xludf.DUMMYFUNCTION("""COMPUTED_VALUE"""),"Enrolled")</f>
        <v>Enrolled</v>
      </c>
    </row>
    <row r="3369">
      <c r="A3369" s="6" t="str">
        <f>IFERROR(__xludf.DUMMYFUNCTION("""COMPUTED_VALUE"""),"064-6278")</f>
        <v>064-6278</v>
      </c>
      <c r="B3369" s="6" t="str">
        <f>IFERROR(__xludf.DUMMYFUNCTION("""COMPUTED_VALUE"""),"64")</f>
        <v>64</v>
      </c>
      <c r="C3369" s="6" t="str">
        <f>IFERROR(__xludf.DUMMYFUNCTION("""COMPUTED_VALUE"""),"6278")</f>
        <v>6278</v>
      </c>
      <c r="D3369" s="6" t="str">
        <f>IFERROR(__xludf.DUMMYFUNCTION("""COMPUTED_VALUE"""),"Kane")</f>
        <v>Kane</v>
      </c>
      <c r="E3369" s="6" t="str">
        <f>IFERROR(__xludf.DUMMYFUNCTION("""COMPUTED_VALUE"""),"")</f>
        <v/>
      </c>
      <c r="F3369" s="6" t="str">
        <f>IFERROR(__xludf.DUMMYFUNCTION("""COMPUTED_VALUE"""),"Eichorst")</f>
        <v>Eichorst</v>
      </c>
      <c r="G3369" s="6" t="str">
        <f>IFERROR(__xludf.DUMMYFUNCTION("""COMPUTED_VALUE"""),"08/24/2009")</f>
        <v>08/24/2009</v>
      </c>
      <c r="H3369" s="6" t="str">
        <f>IFERROR(__xludf.DUMMYFUNCTION("""COMPUTED_VALUE"""),"Self Identify")</f>
        <v>Self Identify</v>
      </c>
      <c r="I3369" s="6" t="str">
        <f>IFERROR(__xludf.DUMMYFUNCTION("""COMPUTED_VALUE"""),"High School")</f>
        <v>High School</v>
      </c>
      <c r="J3369" s="6" t="str">
        <f>IFERROR(__xludf.DUMMYFUNCTION("""COMPUTED_VALUE"""),"10")</f>
        <v>10</v>
      </c>
      <c r="K3369" s="6" t="str">
        <f>IFERROR(__xludf.DUMMYFUNCTION("""COMPUTED_VALUE"""),"kane_eichorst@stu.ortrail.k12.or.us")</f>
        <v>kane_eichorst@stu.ortrail.k12.or.us</v>
      </c>
      <c r="L3369" s="6" t="str">
        <f>IFERROR(__xludf.DUMMYFUNCTION("""COMPUTED_VALUE"""),"Oregon Trail School District 46")</f>
        <v>Oregon Trail School District 46</v>
      </c>
      <c r="M3369" s="6" t="str">
        <f>IFERROR(__xludf.DUMMYFUNCTION("""COMPUTED_VALUE"""),"Sandy High School")</f>
        <v>Sandy High School</v>
      </c>
      <c r="N3369" s="6" t="str">
        <f>IFERROR(__xludf.DUMMYFUNCTION("""COMPUTED_VALUE"""),"")</f>
        <v/>
      </c>
      <c r="O3369" s="87" t="str">
        <f>IFERROR(__xludf.DUMMYFUNCTION("""COMPUTED_VALUE"""),"https://drive.google.com/drive/folders/10T2cTQHqEJZqE-st6uFKPoI?usp=share_link")</f>
        <v>https://drive.google.com/drive/folders/10T2cTQHqEJZqE-st6uFKPoI?usp=share_link</v>
      </c>
      <c r="P3369" s="6" t="str">
        <f>IFERROR(__xludf.DUMMYFUNCTION("""COMPUTED_VALUE"""),"Kane Eichorst")</f>
        <v>Kane Eichorst</v>
      </c>
      <c r="Q3369" s="6" t="str">
        <f>IFERROR(__xludf.DUMMYFUNCTION("""COMPUTED_VALUE"""),"HS")</f>
        <v>HS</v>
      </c>
      <c r="R3369" s="6">
        <f>IFERROR(__xludf.DUMMYFUNCTION("""COMPUTED_VALUE"""),0.0)</f>
        <v>0</v>
      </c>
      <c r="S3369" s="6" t="str">
        <f>IFERROR(__xludf.DUMMYFUNCTION("""COMPUTED_VALUE"""),"Megan Montellano")</f>
        <v>Megan Montellano</v>
      </c>
      <c r="T3369" s="6" t="str">
        <f>IFERROR(__xludf.DUMMYFUNCTION("""COMPUTED_VALUE"""),"megan.montellano@ortrail.k12.or.us")</f>
        <v>megan.montellano@ortrail.k12.or.us</v>
      </c>
      <c r="U3369" s="6" t="str">
        <f>IFERROR(__xludf.DUMMYFUNCTION("""COMPUTED_VALUE"""),"10")</f>
        <v>10</v>
      </c>
      <c r="V3369" s="6" t="str">
        <f>IFERROR(__xludf.DUMMYFUNCTION("""COMPUTED_VALUE"""),"English")</f>
        <v>English</v>
      </c>
      <c r="W3369" s="6" t="str">
        <f>IFERROR(__xludf.DUMMYFUNCTION("""COMPUTED_VALUE"""),"[]")</f>
        <v>[]</v>
      </c>
      <c r="X3369" s="6" t="str">
        <f>IFERROR(__xludf.DUMMYFUNCTION("""COMPUTED_VALUE"""),"Enrolled")</f>
        <v>Enrolled</v>
      </c>
    </row>
    <row r="3370">
      <c r="A3370" s="6" t="str">
        <f>IFERROR(__xludf.DUMMYFUNCTION("""COMPUTED_VALUE"""),"064-6279")</f>
        <v>064-6279</v>
      </c>
      <c r="B3370" s="6" t="str">
        <f>IFERROR(__xludf.DUMMYFUNCTION("""COMPUTED_VALUE"""),"64")</f>
        <v>64</v>
      </c>
      <c r="C3370" s="6" t="str">
        <f>IFERROR(__xludf.DUMMYFUNCTION("""COMPUTED_VALUE"""),"6279")</f>
        <v>6279</v>
      </c>
      <c r="D3370" s="6" t="str">
        <f>IFERROR(__xludf.DUMMYFUNCTION("""COMPUTED_VALUE"""),"Anthony")</f>
        <v>Anthony</v>
      </c>
      <c r="E3370" s="6" t="str">
        <f>IFERROR(__xludf.DUMMYFUNCTION("""COMPUTED_VALUE"""),"")</f>
        <v/>
      </c>
      <c r="F3370" s="6" t="str">
        <f>IFERROR(__xludf.DUMMYFUNCTION("""COMPUTED_VALUE"""),"Elias")</f>
        <v>Elias</v>
      </c>
      <c r="G3370" s="6" t="str">
        <f>IFERROR(__xludf.DUMMYFUNCTION("""COMPUTED_VALUE"""),"01/20/2010")</f>
        <v>01/20/2010</v>
      </c>
      <c r="H3370" s="6" t="str">
        <f>IFERROR(__xludf.DUMMYFUNCTION("""COMPUTED_VALUE"""),"M")</f>
        <v>M</v>
      </c>
      <c r="I3370" s="6" t="str">
        <f>IFERROR(__xludf.DUMMYFUNCTION("""COMPUTED_VALUE"""),"High School")</f>
        <v>High School</v>
      </c>
      <c r="J3370" s="6" t="str">
        <f>IFERROR(__xludf.DUMMYFUNCTION("""COMPUTED_VALUE"""),"10")</f>
        <v>10</v>
      </c>
      <c r="K3370" s="6" t="str">
        <f>IFERROR(__xludf.DUMMYFUNCTION("""COMPUTED_VALUE"""),"anthony_elias@stu.ortrail.k12.or.us")</f>
        <v>anthony_elias@stu.ortrail.k12.or.us</v>
      </c>
      <c r="L3370" s="6" t="str">
        <f>IFERROR(__xludf.DUMMYFUNCTION("""COMPUTED_VALUE"""),"Oregon Trail School District 46")</f>
        <v>Oregon Trail School District 46</v>
      </c>
      <c r="M3370" s="6" t="str">
        <f>IFERROR(__xludf.DUMMYFUNCTION("""COMPUTED_VALUE"""),"Sandy High School")</f>
        <v>Sandy High School</v>
      </c>
      <c r="N3370" s="6" t="str">
        <f>IFERROR(__xludf.DUMMYFUNCTION("""COMPUTED_VALUE"""),"")</f>
        <v/>
      </c>
      <c r="O3370" s="87" t="str">
        <f>IFERROR(__xludf.DUMMYFUNCTION("""COMPUTED_VALUE"""),"https://drive.google.com/drive/folders/10T2cTQHqEJZqE-st6uFKPoI?usp=share_link")</f>
        <v>https://drive.google.com/drive/folders/10T2cTQHqEJZqE-st6uFKPoI?usp=share_link</v>
      </c>
      <c r="P3370" s="6" t="str">
        <f>IFERROR(__xludf.DUMMYFUNCTION("""COMPUTED_VALUE"""),"Anthony Elias")</f>
        <v>Anthony Elias</v>
      </c>
      <c r="Q3370" s="6" t="str">
        <f>IFERROR(__xludf.DUMMYFUNCTION("""COMPUTED_VALUE"""),"HS")</f>
        <v>HS</v>
      </c>
      <c r="R3370" s="6">
        <f>IFERROR(__xludf.DUMMYFUNCTION("""COMPUTED_VALUE"""),0.0)</f>
        <v>0</v>
      </c>
      <c r="S3370" s="6" t="str">
        <f>IFERROR(__xludf.DUMMYFUNCTION("""COMPUTED_VALUE"""),"Megan Montellano")</f>
        <v>Megan Montellano</v>
      </c>
      <c r="T3370" s="6" t="str">
        <f>IFERROR(__xludf.DUMMYFUNCTION("""COMPUTED_VALUE"""),"megan.montellano@ortrail.k12.or.us")</f>
        <v>megan.montellano@ortrail.k12.or.us</v>
      </c>
      <c r="U3370" s="6" t="str">
        <f>IFERROR(__xludf.DUMMYFUNCTION("""COMPUTED_VALUE"""),"10")</f>
        <v>10</v>
      </c>
      <c r="V3370" s="6" t="str">
        <f>IFERROR(__xludf.DUMMYFUNCTION("""COMPUTED_VALUE"""),"English")</f>
        <v>English</v>
      </c>
      <c r="W3370" s="6" t="str">
        <f>IFERROR(__xludf.DUMMYFUNCTION("""COMPUTED_VALUE"""),"[]")</f>
        <v>[]</v>
      </c>
      <c r="X3370" s="6" t="str">
        <f>IFERROR(__xludf.DUMMYFUNCTION("""COMPUTED_VALUE"""),"Enrolled")</f>
        <v>Enrolled</v>
      </c>
    </row>
    <row r="3371">
      <c r="A3371" s="6" t="str">
        <f>IFERROR(__xludf.DUMMYFUNCTION("""COMPUTED_VALUE"""),"064-6280")</f>
        <v>064-6280</v>
      </c>
      <c r="B3371" s="6" t="str">
        <f>IFERROR(__xludf.DUMMYFUNCTION("""COMPUTED_VALUE"""),"64")</f>
        <v>64</v>
      </c>
      <c r="C3371" s="6" t="str">
        <f>IFERROR(__xludf.DUMMYFUNCTION("""COMPUTED_VALUE"""),"6280")</f>
        <v>6280</v>
      </c>
      <c r="D3371" s="6" t="str">
        <f>IFERROR(__xludf.DUMMYFUNCTION("""COMPUTED_VALUE"""),"Marco")</f>
        <v>Marco</v>
      </c>
      <c r="E3371" s="6" t="str">
        <f>IFERROR(__xludf.DUMMYFUNCTION("""COMPUTED_VALUE"""),"")</f>
        <v/>
      </c>
      <c r="F3371" s="6" t="str">
        <f>IFERROR(__xludf.DUMMYFUNCTION("""COMPUTED_VALUE"""),"Elias Molina")</f>
        <v>Elias Molina</v>
      </c>
      <c r="G3371" s="6" t="str">
        <f>IFERROR(__xludf.DUMMYFUNCTION("""COMPUTED_VALUE"""),"09/25/2007")</f>
        <v>09/25/2007</v>
      </c>
      <c r="H3371" s="6" t="str">
        <f>IFERROR(__xludf.DUMMYFUNCTION("""COMPUTED_VALUE"""),"M")</f>
        <v>M</v>
      </c>
      <c r="I3371" s="6" t="str">
        <f>IFERROR(__xludf.DUMMYFUNCTION("""COMPUTED_VALUE"""),"High School")</f>
        <v>High School</v>
      </c>
      <c r="J3371" s="6" t="str">
        <f>IFERROR(__xludf.DUMMYFUNCTION("""COMPUTED_VALUE"""),"12")</f>
        <v>12</v>
      </c>
      <c r="K3371" s="6" t="str">
        <f>IFERROR(__xludf.DUMMYFUNCTION("""COMPUTED_VALUE"""),"marco_eliasmolina@stu.ortrail.k12.or.us")</f>
        <v>marco_eliasmolina@stu.ortrail.k12.or.us</v>
      </c>
      <c r="L3371" s="6" t="str">
        <f>IFERROR(__xludf.DUMMYFUNCTION("""COMPUTED_VALUE"""),"Oregon Trail School District 46")</f>
        <v>Oregon Trail School District 46</v>
      </c>
      <c r="M3371" s="6" t="str">
        <f>IFERROR(__xludf.DUMMYFUNCTION("""COMPUTED_VALUE"""),"Sandy High School")</f>
        <v>Sandy High School</v>
      </c>
      <c r="N3371" s="6" t="str">
        <f>IFERROR(__xludf.DUMMYFUNCTION("""COMPUTED_VALUE"""),"")</f>
        <v/>
      </c>
      <c r="O3371" s="87" t="str">
        <f>IFERROR(__xludf.DUMMYFUNCTION("""COMPUTED_VALUE"""),"https://drive.google.com/drive/folders/10T2cTQHqEJZqE-st6uFKPoI?usp=share_link")</f>
        <v>https://drive.google.com/drive/folders/10T2cTQHqEJZqE-st6uFKPoI?usp=share_link</v>
      </c>
      <c r="P3371" s="6" t="str">
        <f>IFERROR(__xludf.DUMMYFUNCTION("""COMPUTED_VALUE"""),"Marco Elias Molina")</f>
        <v>Marco Elias Molina</v>
      </c>
      <c r="Q3371" s="6" t="str">
        <f>IFERROR(__xludf.DUMMYFUNCTION("""COMPUTED_VALUE"""),"HS")</f>
        <v>HS</v>
      </c>
      <c r="R3371" s="6">
        <f>IFERROR(__xludf.DUMMYFUNCTION("""COMPUTED_VALUE"""),0.0)</f>
        <v>0</v>
      </c>
      <c r="S3371" s="6" t="str">
        <f>IFERROR(__xludf.DUMMYFUNCTION("""COMPUTED_VALUE"""),"Megan Montellano")</f>
        <v>Megan Montellano</v>
      </c>
      <c r="T3371" s="6" t="str">
        <f>IFERROR(__xludf.DUMMYFUNCTION("""COMPUTED_VALUE"""),"megan.montellano@ortrail.k12.or.us")</f>
        <v>megan.montellano@ortrail.k12.or.us</v>
      </c>
      <c r="U3371" s="6" t="str">
        <f>IFERROR(__xludf.DUMMYFUNCTION("""COMPUTED_VALUE"""),"12")</f>
        <v>12</v>
      </c>
      <c r="V3371" s="6" t="str">
        <f>IFERROR(__xludf.DUMMYFUNCTION("""COMPUTED_VALUE"""),"English")</f>
        <v>English</v>
      </c>
      <c r="W3371" s="6" t="str">
        <f>IFERROR(__xludf.DUMMYFUNCTION("""COMPUTED_VALUE"""),"[]")</f>
        <v>[]</v>
      </c>
      <c r="X3371" s="6" t="str">
        <f>IFERROR(__xludf.DUMMYFUNCTION("""COMPUTED_VALUE"""),"Enrolled")</f>
        <v>Enrolled</v>
      </c>
    </row>
    <row r="3372">
      <c r="A3372" s="6" t="str">
        <f>IFERROR(__xludf.DUMMYFUNCTION("""COMPUTED_VALUE"""),"064-6283")</f>
        <v>064-6283</v>
      </c>
      <c r="B3372" s="6" t="str">
        <f>IFERROR(__xludf.DUMMYFUNCTION("""COMPUTED_VALUE"""),"64")</f>
        <v>64</v>
      </c>
      <c r="C3372" s="6" t="str">
        <f>IFERROR(__xludf.DUMMYFUNCTION("""COMPUTED_VALUE"""),"6283")</f>
        <v>6283</v>
      </c>
      <c r="D3372" s="6" t="str">
        <f>IFERROR(__xludf.DUMMYFUNCTION("""COMPUTED_VALUE"""),"Morgan")</f>
        <v>Morgan</v>
      </c>
      <c r="E3372" s="6" t="str">
        <f>IFERROR(__xludf.DUMMYFUNCTION("""COMPUTED_VALUE"""),"")</f>
        <v/>
      </c>
      <c r="F3372" s="6" t="str">
        <f>IFERROR(__xludf.DUMMYFUNCTION("""COMPUTED_VALUE"""),"Griffith")</f>
        <v>Griffith</v>
      </c>
      <c r="G3372" s="6" t="str">
        <f>IFERROR(__xludf.DUMMYFUNCTION("""COMPUTED_VALUE"""),"08/09/2009")</f>
        <v>08/09/2009</v>
      </c>
      <c r="H3372" s="6" t="str">
        <f>IFERROR(__xludf.DUMMYFUNCTION("""COMPUTED_VALUE"""),"Self Identify")</f>
        <v>Self Identify</v>
      </c>
      <c r="I3372" s="6" t="str">
        <f>IFERROR(__xludf.DUMMYFUNCTION("""COMPUTED_VALUE"""),"High School")</f>
        <v>High School</v>
      </c>
      <c r="J3372" s="6" t="str">
        <f>IFERROR(__xludf.DUMMYFUNCTION("""COMPUTED_VALUE"""),"11")</f>
        <v>11</v>
      </c>
      <c r="K3372" s="6" t="str">
        <f>IFERROR(__xludf.DUMMYFUNCTION("""COMPUTED_VALUE"""),"morgan_griffith@stu.ortrail.k12.or.us")</f>
        <v>morgan_griffith@stu.ortrail.k12.or.us</v>
      </c>
      <c r="L3372" s="6" t="str">
        <f>IFERROR(__xludf.DUMMYFUNCTION("""COMPUTED_VALUE"""),"Oregon Trail School District 46")</f>
        <v>Oregon Trail School District 46</v>
      </c>
      <c r="M3372" s="6" t="str">
        <f>IFERROR(__xludf.DUMMYFUNCTION("""COMPUTED_VALUE"""),"Sandy High School")</f>
        <v>Sandy High School</v>
      </c>
      <c r="N3372" s="6" t="str">
        <f>IFERROR(__xludf.DUMMYFUNCTION("""COMPUTED_VALUE"""),"")</f>
        <v/>
      </c>
      <c r="O3372" s="87" t="str">
        <f>IFERROR(__xludf.DUMMYFUNCTION("""COMPUTED_VALUE"""),"https://drive.google.com/drive/folders/10T2cTQHqEJZqE-st6uFKPoI?usp=share_link")</f>
        <v>https://drive.google.com/drive/folders/10T2cTQHqEJZqE-st6uFKPoI?usp=share_link</v>
      </c>
      <c r="P3372" s="6" t="str">
        <f>IFERROR(__xludf.DUMMYFUNCTION("""COMPUTED_VALUE"""),"Morgan Griffith")</f>
        <v>Morgan Griffith</v>
      </c>
      <c r="Q3372" s="6" t="str">
        <f>IFERROR(__xludf.DUMMYFUNCTION("""COMPUTED_VALUE"""),"HS")</f>
        <v>HS</v>
      </c>
      <c r="R3372" s="6">
        <f>IFERROR(__xludf.DUMMYFUNCTION("""COMPUTED_VALUE"""),0.0)</f>
        <v>0</v>
      </c>
      <c r="S3372" s="6" t="str">
        <f>IFERROR(__xludf.DUMMYFUNCTION("""COMPUTED_VALUE"""),"Megan Montellano")</f>
        <v>Megan Montellano</v>
      </c>
      <c r="T3372" s="6" t="str">
        <f>IFERROR(__xludf.DUMMYFUNCTION("""COMPUTED_VALUE"""),"megan.montellano@ortrail.k12.or.us")</f>
        <v>megan.montellano@ortrail.k12.or.us</v>
      </c>
      <c r="U3372" s="6" t="str">
        <f>IFERROR(__xludf.DUMMYFUNCTION("""COMPUTED_VALUE"""),"11")</f>
        <v>11</v>
      </c>
      <c r="V3372" s="6" t="str">
        <f>IFERROR(__xludf.DUMMYFUNCTION("""COMPUTED_VALUE"""),"English")</f>
        <v>English</v>
      </c>
      <c r="W3372" s="6" t="str">
        <f>IFERROR(__xludf.DUMMYFUNCTION("""COMPUTED_VALUE"""),"[]")</f>
        <v>[]</v>
      </c>
      <c r="X3372" s="6" t="str">
        <f>IFERROR(__xludf.DUMMYFUNCTION("""COMPUTED_VALUE"""),"Enrolled")</f>
        <v>Enrolled</v>
      </c>
    </row>
    <row r="3373">
      <c r="A3373" s="6" t="str">
        <f>IFERROR(__xludf.DUMMYFUNCTION("""COMPUTED_VALUE"""),"064-6285")</f>
        <v>064-6285</v>
      </c>
      <c r="B3373" s="6" t="str">
        <f>IFERROR(__xludf.DUMMYFUNCTION("""COMPUTED_VALUE"""),"64")</f>
        <v>64</v>
      </c>
      <c r="C3373" s="6" t="str">
        <f>IFERROR(__xludf.DUMMYFUNCTION("""COMPUTED_VALUE"""),"6285")</f>
        <v>6285</v>
      </c>
      <c r="D3373" s="6" t="str">
        <f>IFERROR(__xludf.DUMMYFUNCTION("""COMPUTED_VALUE"""),"Adan")</f>
        <v>Adan</v>
      </c>
      <c r="E3373" s="6" t="str">
        <f>IFERROR(__xludf.DUMMYFUNCTION("""COMPUTED_VALUE"""),"")</f>
        <v/>
      </c>
      <c r="F3373" s="6" t="str">
        <f>IFERROR(__xludf.DUMMYFUNCTION("""COMPUTED_VALUE"""),"Herrera")</f>
        <v>Herrera</v>
      </c>
      <c r="G3373" s="6" t="str">
        <f>IFERROR(__xludf.DUMMYFUNCTION("""COMPUTED_VALUE"""),"01/11/2010")</f>
        <v>01/11/2010</v>
      </c>
      <c r="H3373" s="6" t="str">
        <f>IFERROR(__xludf.DUMMYFUNCTION("""COMPUTED_VALUE"""),"Self Identify")</f>
        <v>Self Identify</v>
      </c>
      <c r="I3373" s="6" t="str">
        <f>IFERROR(__xludf.DUMMYFUNCTION("""COMPUTED_VALUE"""),"High School")</f>
        <v>High School</v>
      </c>
      <c r="J3373" s="6" t="str">
        <f>IFERROR(__xludf.DUMMYFUNCTION("""COMPUTED_VALUE"""),"10")</f>
        <v>10</v>
      </c>
      <c r="K3373" s="6" t="str">
        <f>IFERROR(__xludf.DUMMYFUNCTION("""COMPUTED_VALUE"""),"adan_herrera@stu.ortrail.k12.or.us")</f>
        <v>adan_herrera@stu.ortrail.k12.or.us</v>
      </c>
      <c r="L3373" s="6" t="str">
        <f>IFERROR(__xludf.DUMMYFUNCTION("""COMPUTED_VALUE"""),"Oregon Trail School District 46")</f>
        <v>Oregon Trail School District 46</v>
      </c>
      <c r="M3373" s="6" t="str">
        <f>IFERROR(__xludf.DUMMYFUNCTION("""COMPUTED_VALUE"""),"Sandy High School")</f>
        <v>Sandy High School</v>
      </c>
      <c r="N3373" s="6" t="str">
        <f>IFERROR(__xludf.DUMMYFUNCTION("""COMPUTED_VALUE"""),"")</f>
        <v/>
      </c>
      <c r="O3373" s="87" t="str">
        <f>IFERROR(__xludf.DUMMYFUNCTION("""COMPUTED_VALUE"""),"https://drive.google.com/drive/folders/10T2cTQHqEJZqE-st6uFKPoI?usp=share_link")</f>
        <v>https://drive.google.com/drive/folders/10T2cTQHqEJZqE-st6uFKPoI?usp=share_link</v>
      </c>
      <c r="P3373" s="6" t="str">
        <f>IFERROR(__xludf.DUMMYFUNCTION("""COMPUTED_VALUE"""),"Adan Herrera")</f>
        <v>Adan Herrera</v>
      </c>
      <c r="Q3373" s="6" t="str">
        <f>IFERROR(__xludf.DUMMYFUNCTION("""COMPUTED_VALUE"""),"HS")</f>
        <v>HS</v>
      </c>
      <c r="R3373" s="6">
        <f>IFERROR(__xludf.DUMMYFUNCTION("""COMPUTED_VALUE"""),0.0)</f>
        <v>0</v>
      </c>
      <c r="S3373" s="6" t="str">
        <f>IFERROR(__xludf.DUMMYFUNCTION("""COMPUTED_VALUE"""),"Megan Montellano")</f>
        <v>Megan Montellano</v>
      </c>
      <c r="T3373" s="6" t="str">
        <f>IFERROR(__xludf.DUMMYFUNCTION("""COMPUTED_VALUE"""),"megan.montellano@ortrail.k12.or.us")</f>
        <v>megan.montellano@ortrail.k12.or.us</v>
      </c>
      <c r="U3373" s="6" t="str">
        <f>IFERROR(__xludf.DUMMYFUNCTION("""COMPUTED_VALUE"""),"10")</f>
        <v>10</v>
      </c>
      <c r="V3373" s="6" t="str">
        <f>IFERROR(__xludf.DUMMYFUNCTION("""COMPUTED_VALUE"""),"English")</f>
        <v>English</v>
      </c>
      <c r="W3373" s="6" t="str">
        <f>IFERROR(__xludf.DUMMYFUNCTION("""COMPUTED_VALUE"""),"[]")</f>
        <v>[]</v>
      </c>
      <c r="X3373" s="6" t="str">
        <f>IFERROR(__xludf.DUMMYFUNCTION("""COMPUTED_VALUE"""),"Enrolled")</f>
        <v>Enrolled</v>
      </c>
    </row>
    <row r="3374">
      <c r="A3374" s="6" t="str">
        <f>IFERROR(__xludf.DUMMYFUNCTION("""COMPUTED_VALUE"""),"064-6287")</f>
        <v>064-6287</v>
      </c>
      <c r="B3374" s="6" t="str">
        <f>IFERROR(__xludf.DUMMYFUNCTION("""COMPUTED_VALUE"""),"64")</f>
        <v>64</v>
      </c>
      <c r="C3374" s="6" t="str">
        <f>IFERROR(__xludf.DUMMYFUNCTION("""COMPUTED_VALUE"""),"6287")</f>
        <v>6287</v>
      </c>
      <c r="D3374" s="6" t="str">
        <f>IFERROR(__xludf.DUMMYFUNCTION("""COMPUTED_VALUE"""),"Connor")</f>
        <v>Connor</v>
      </c>
      <c r="E3374" s="6" t="str">
        <f>IFERROR(__xludf.DUMMYFUNCTION("""COMPUTED_VALUE"""),"")</f>
        <v/>
      </c>
      <c r="F3374" s="6" t="str">
        <f>IFERROR(__xludf.DUMMYFUNCTION("""COMPUTED_VALUE"""),"Jurgens")</f>
        <v>Jurgens</v>
      </c>
      <c r="G3374" s="6" t="str">
        <f>IFERROR(__xludf.DUMMYFUNCTION("""COMPUTED_VALUE"""),"02/23/2008")</f>
        <v>02/23/2008</v>
      </c>
      <c r="H3374" s="6" t="str">
        <f>IFERROR(__xludf.DUMMYFUNCTION("""COMPUTED_VALUE"""),"Self Identify")</f>
        <v>Self Identify</v>
      </c>
      <c r="I3374" s="6" t="str">
        <f>IFERROR(__xludf.DUMMYFUNCTION("""COMPUTED_VALUE"""),"High School")</f>
        <v>High School</v>
      </c>
      <c r="J3374" s="6" t="str">
        <f>IFERROR(__xludf.DUMMYFUNCTION("""COMPUTED_VALUE"""),"12")</f>
        <v>12</v>
      </c>
      <c r="K3374" s="6" t="str">
        <f>IFERROR(__xludf.DUMMYFUNCTION("""COMPUTED_VALUE"""),"connor_jurgens@stu.ortrail.k12.or.us")</f>
        <v>connor_jurgens@stu.ortrail.k12.or.us</v>
      </c>
      <c r="L3374" s="6" t="str">
        <f>IFERROR(__xludf.DUMMYFUNCTION("""COMPUTED_VALUE"""),"Oregon Trail School District 46")</f>
        <v>Oregon Trail School District 46</v>
      </c>
      <c r="M3374" s="6" t="str">
        <f>IFERROR(__xludf.DUMMYFUNCTION("""COMPUTED_VALUE"""),"Sandy High School")</f>
        <v>Sandy High School</v>
      </c>
      <c r="N3374" s="6" t="str">
        <f>IFERROR(__xludf.DUMMYFUNCTION("""COMPUTED_VALUE"""),"")</f>
        <v/>
      </c>
      <c r="O3374" s="87" t="str">
        <f>IFERROR(__xludf.DUMMYFUNCTION("""COMPUTED_VALUE"""),"https://drive.google.com/drive/folders/10T2cTQHqEJZqE-st6uFKPoI?usp=share_link")</f>
        <v>https://drive.google.com/drive/folders/10T2cTQHqEJZqE-st6uFKPoI?usp=share_link</v>
      </c>
      <c r="P3374" s="6" t="str">
        <f>IFERROR(__xludf.DUMMYFUNCTION("""COMPUTED_VALUE"""),"Connor Jurgens")</f>
        <v>Connor Jurgens</v>
      </c>
      <c r="Q3374" s="6" t="str">
        <f>IFERROR(__xludf.DUMMYFUNCTION("""COMPUTED_VALUE"""),"HS")</f>
        <v>HS</v>
      </c>
      <c r="R3374" s="6">
        <f>IFERROR(__xludf.DUMMYFUNCTION("""COMPUTED_VALUE"""),0.0)</f>
        <v>0</v>
      </c>
      <c r="S3374" s="6" t="str">
        <f>IFERROR(__xludf.DUMMYFUNCTION("""COMPUTED_VALUE"""),"Megan Montellano")</f>
        <v>Megan Montellano</v>
      </c>
      <c r="T3374" s="6" t="str">
        <f>IFERROR(__xludf.DUMMYFUNCTION("""COMPUTED_VALUE"""),"megan.montellano@ortrail.k12.or.us")</f>
        <v>megan.montellano@ortrail.k12.or.us</v>
      </c>
      <c r="U3374" s="6" t="str">
        <f>IFERROR(__xludf.DUMMYFUNCTION("""COMPUTED_VALUE"""),"12")</f>
        <v>12</v>
      </c>
      <c r="V3374" s="6" t="str">
        <f>IFERROR(__xludf.DUMMYFUNCTION("""COMPUTED_VALUE"""),"English")</f>
        <v>English</v>
      </c>
      <c r="W3374" s="6" t="str">
        <f>IFERROR(__xludf.DUMMYFUNCTION("""COMPUTED_VALUE"""),"[]")</f>
        <v>[]</v>
      </c>
      <c r="X3374" s="6" t="str">
        <f>IFERROR(__xludf.DUMMYFUNCTION("""COMPUTED_VALUE"""),"Enrolled")</f>
        <v>Enrolled</v>
      </c>
    </row>
    <row r="3375">
      <c r="A3375" s="6" t="str">
        <f>IFERROR(__xludf.DUMMYFUNCTION("""COMPUTED_VALUE"""),"064-6289")</f>
        <v>064-6289</v>
      </c>
      <c r="B3375" s="6" t="str">
        <f>IFERROR(__xludf.DUMMYFUNCTION("""COMPUTED_VALUE"""),"64")</f>
        <v>64</v>
      </c>
      <c r="C3375" s="6" t="str">
        <f>IFERROR(__xludf.DUMMYFUNCTION("""COMPUTED_VALUE"""),"6289")</f>
        <v>6289</v>
      </c>
      <c r="D3375" s="6" t="str">
        <f>IFERROR(__xludf.DUMMYFUNCTION("""COMPUTED_VALUE"""),"Jesus")</f>
        <v>Jesus</v>
      </c>
      <c r="E3375" s="6" t="str">
        <f>IFERROR(__xludf.DUMMYFUNCTION("""COMPUTED_VALUE"""),"")</f>
        <v/>
      </c>
      <c r="F3375" s="6" t="str">
        <f>IFERROR(__xludf.DUMMYFUNCTION("""COMPUTED_VALUE"""),"Mendez Garcia")</f>
        <v>Mendez Garcia</v>
      </c>
      <c r="G3375" s="6" t="str">
        <f>IFERROR(__xludf.DUMMYFUNCTION("""COMPUTED_VALUE"""),"02/05/2009")</f>
        <v>02/05/2009</v>
      </c>
      <c r="H3375" s="6" t="str">
        <f>IFERROR(__xludf.DUMMYFUNCTION("""COMPUTED_VALUE"""),"Self Identify")</f>
        <v>Self Identify</v>
      </c>
      <c r="I3375" s="6" t="str">
        <f>IFERROR(__xludf.DUMMYFUNCTION("""COMPUTED_VALUE"""),"High School")</f>
        <v>High School</v>
      </c>
      <c r="J3375" s="6" t="str">
        <f>IFERROR(__xludf.DUMMYFUNCTION("""COMPUTED_VALUE"""),"11")</f>
        <v>11</v>
      </c>
      <c r="K3375" s="6" t="str">
        <f>IFERROR(__xludf.DUMMYFUNCTION("""COMPUTED_VALUE"""),"jesus_mendezgarcia@stu.ortrail.k12.or.us")</f>
        <v>jesus_mendezgarcia@stu.ortrail.k12.or.us</v>
      </c>
      <c r="L3375" s="6" t="str">
        <f>IFERROR(__xludf.DUMMYFUNCTION("""COMPUTED_VALUE"""),"Oregon Trail School District 46")</f>
        <v>Oregon Trail School District 46</v>
      </c>
      <c r="M3375" s="6" t="str">
        <f>IFERROR(__xludf.DUMMYFUNCTION("""COMPUTED_VALUE"""),"Sandy High School")</f>
        <v>Sandy High School</v>
      </c>
      <c r="N3375" s="6" t="str">
        <f>IFERROR(__xludf.DUMMYFUNCTION("""COMPUTED_VALUE"""),"")</f>
        <v/>
      </c>
      <c r="O3375" s="87" t="str">
        <f>IFERROR(__xludf.DUMMYFUNCTION("""COMPUTED_VALUE"""),"https://drive.google.com/drive/folders/10T2cTQHqEJZqE-st6uFKPoI?usp=share_link")</f>
        <v>https://drive.google.com/drive/folders/10T2cTQHqEJZqE-st6uFKPoI?usp=share_link</v>
      </c>
      <c r="P3375" s="6" t="str">
        <f>IFERROR(__xludf.DUMMYFUNCTION("""COMPUTED_VALUE"""),"Jesus Mendez Garcia")</f>
        <v>Jesus Mendez Garcia</v>
      </c>
      <c r="Q3375" s="6" t="str">
        <f>IFERROR(__xludf.DUMMYFUNCTION("""COMPUTED_VALUE"""),"HS")</f>
        <v>HS</v>
      </c>
      <c r="R3375" s="6">
        <f>IFERROR(__xludf.DUMMYFUNCTION("""COMPUTED_VALUE"""),0.0)</f>
        <v>0</v>
      </c>
      <c r="S3375" s="6" t="str">
        <f>IFERROR(__xludf.DUMMYFUNCTION("""COMPUTED_VALUE"""),"Megan Montellano")</f>
        <v>Megan Montellano</v>
      </c>
      <c r="T3375" s="6" t="str">
        <f>IFERROR(__xludf.DUMMYFUNCTION("""COMPUTED_VALUE"""),"megan.montellano@ortrail.k12.or.us")</f>
        <v>megan.montellano@ortrail.k12.or.us</v>
      </c>
      <c r="U3375" s="6" t="str">
        <f>IFERROR(__xludf.DUMMYFUNCTION("""COMPUTED_VALUE"""),"11")</f>
        <v>11</v>
      </c>
      <c r="V3375" s="6" t="str">
        <f>IFERROR(__xludf.DUMMYFUNCTION("""COMPUTED_VALUE"""),"English")</f>
        <v>English</v>
      </c>
      <c r="W3375" s="6" t="str">
        <f>IFERROR(__xludf.DUMMYFUNCTION("""COMPUTED_VALUE"""),"[]")</f>
        <v>[]</v>
      </c>
      <c r="X3375" s="6" t="str">
        <f>IFERROR(__xludf.DUMMYFUNCTION("""COMPUTED_VALUE"""),"Enrolled")</f>
        <v>Enrolled</v>
      </c>
    </row>
    <row r="3376">
      <c r="A3376" s="6" t="str">
        <f>IFERROR(__xludf.DUMMYFUNCTION("""COMPUTED_VALUE"""),"064-6292")</f>
        <v>064-6292</v>
      </c>
      <c r="B3376" s="6" t="str">
        <f>IFERROR(__xludf.DUMMYFUNCTION("""COMPUTED_VALUE"""),"64")</f>
        <v>64</v>
      </c>
      <c r="C3376" s="6" t="str">
        <f>IFERROR(__xludf.DUMMYFUNCTION("""COMPUTED_VALUE"""),"6292")</f>
        <v>6292</v>
      </c>
      <c r="D3376" s="6" t="str">
        <f>IFERROR(__xludf.DUMMYFUNCTION("""COMPUTED_VALUE"""),"Averie")</f>
        <v>Averie</v>
      </c>
      <c r="E3376" s="6" t="str">
        <f>IFERROR(__xludf.DUMMYFUNCTION("""COMPUTED_VALUE"""),"")</f>
        <v/>
      </c>
      <c r="F3376" s="6" t="str">
        <f>IFERROR(__xludf.DUMMYFUNCTION("""COMPUTED_VALUE"""),"Paschelke")</f>
        <v>Paschelke</v>
      </c>
      <c r="G3376" s="6" t="str">
        <f>IFERROR(__xludf.DUMMYFUNCTION("""COMPUTED_VALUE"""),"01/24/2008")</f>
        <v>01/24/2008</v>
      </c>
      <c r="H3376" s="6" t="str">
        <f>IFERROR(__xludf.DUMMYFUNCTION("""COMPUTED_VALUE"""),"Self Identify")</f>
        <v>Self Identify</v>
      </c>
      <c r="I3376" s="6" t="str">
        <f>IFERROR(__xludf.DUMMYFUNCTION("""COMPUTED_VALUE"""),"High School")</f>
        <v>High School</v>
      </c>
      <c r="J3376" s="6" t="str">
        <f>IFERROR(__xludf.DUMMYFUNCTION("""COMPUTED_VALUE"""),"12")</f>
        <v>12</v>
      </c>
      <c r="K3376" s="6" t="str">
        <f>IFERROR(__xludf.DUMMYFUNCTION("""COMPUTED_VALUE"""),"averie_paschelke@stu.ortrail.k12.or.us")</f>
        <v>averie_paschelke@stu.ortrail.k12.or.us</v>
      </c>
      <c r="L3376" s="6" t="str">
        <f>IFERROR(__xludf.DUMMYFUNCTION("""COMPUTED_VALUE"""),"Oregon Trail School District 46")</f>
        <v>Oregon Trail School District 46</v>
      </c>
      <c r="M3376" s="6" t="str">
        <f>IFERROR(__xludf.DUMMYFUNCTION("""COMPUTED_VALUE"""),"Sandy High School")</f>
        <v>Sandy High School</v>
      </c>
      <c r="N3376" s="6" t="str">
        <f>IFERROR(__xludf.DUMMYFUNCTION("""COMPUTED_VALUE"""),"")</f>
        <v/>
      </c>
      <c r="O3376" s="87" t="str">
        <f>IFERROR(__xludf.DUMMYFUNCTION("""COMPUTED_VALUE"""),"https://drive.google.com/drive/folders/10T2cTQHqEJZqE-st6uFKPoI?usp=share_link")</f>
        <v>https://drive.google.com/drive/folders/10T2cTQHqEJZqE-st6uFKPoI?usp=share_link</v>
      </c>
      <c r="P3376" s="6" t="str">
        <f>IFERROR(__xludf.DUMMYFUNCTION("""COMPUTED_VALUE"""),"Averie Paschelke")</f>
        <v>Averie Paschelke</v>
      </c>
      <c r="Q3376" s="6" t="str">
        <f>IFERROR(__xludf.DUMMYFUNCTION("""COMPUTED_VALUE"""),"HS")</f>
        <v>HS</v>
      </c>
      <c r="R3376" s="6">
        <f>IFERROR(__xludf.DUMMYFUNCTION("""COMPUTED_VALUE"""),0.0)</f>
        <v>0</v>
      </c>
      <c r="S3376" s="6" t="str">
        <f>IFERROR(__xludf.DUMMYFUNCTION("""COMPUTED_VALUE"""),"Megan Montellano")</f>
        <v>Megan Montellano</v>
      </c>
      <c r="T3376" s="6" t="str">
        <f>IFERROR(__xludf.DUMMYFUNCTION("""COMPUTED_VALUE"""),"megan.montellano@ortrail.k12.or.us")</f>
        <v>megan.montellano@ortrail.k12.or.us</v>
      </c>
      <c r="U3376" s="6" t="str">
        <f>IFERROR(__xludf.DUMMYFUNCTION("""COMPUTED_VALUE"""),"12")</f>
        <v>12</v>
      </c>
      <c r="V3376" s="6" t="str">
        <f>IFERROR(__xludf.DUMMYFUNCTION("""COMPUTED_VALUE"""),"English")</f>
        <v>English</v>
      </c>
      <c r="W3376" s="6" t="str">
        <f>IFERROR(__xludf.DUMMYFUNCTION("""COMPUTED_VALUE"""),"[]")</f>
        <v>[]</v>
      </c>
      <c r="X3376" s="6" t="str">
        <f>IFERROR(__xludf.DUMMYFUNCTION("""COMPUTED_VALUE"""),"Enrolled")</f>
        <v>Enrolled</v>
      </c>
    </row>
    <row r="3377">
      <c r="A3377" s="6" t="str">
        <f>IFERROR(__xludf.DUMMYFUNCTION("""COMPUTED_VALUE"""),"064-6293")</f>
        <v>064-6293</v>
      </c>
      <c r="B3377" s="6" t="str">
        <f>IFERROR(__xludf.DUMMYFUNCTION("""COMPUTED_VALUE"""),"64")</f>
        <v>64</v>
      </c>
      <c r="C3377" s="6" t="str">
        <f>IFERROR(__xludf.DUMMYFUNCTION("""COMPUTED_VALUE"""),"6293")</f>
        <v>6293</v>
      </c>
      <c r="D3377" s="6" t="str">
        <f>IFERROR(__xludf.DUMMYFUNCTION("""COMPUTED_VALUE"""),"Logan")</f>
        <v>Logan</v>
      </c>
      <c r="E3377" s="6" t="str">
        <f>IFERROR(__xludf.DUMMYFUNCTION("""COMPUTED_VALUE"""),"")</f>
        <v/>
      </c>
      <c r="F3377" s="6" t="str">
        <f>IFERROR(__xludf.DUMMYFUNCTION("""COMPUTED_VALUE"""),"Pickens")</f>
        <v>Pickens</v>
      </c>
      <c r="G3377" s="6" t="str">
        <f>IFERROR(__xludf.DUMMYFUNCTION("""COMPUTED_VALUE"""),"01/14/2010")</f>
        <v>01/14/2010</v>
      </c>
      <c r="H3377" s="6" t="str">
        <f>IFERROR(__xludf.DUMMYFUNCTION("""COMPUTED_VALUE"""),"Self Identify")</f>
        <v>Self Identify</v>
      </c>
      <c r="I3377" s="6" t="str">
        <f>IFERROR(__xludf.DUMMYFUNCTION("""COMPUTED_VALUE"""),"High School")</f>
        <v>High School</v>
      </c>
      <c r="J3377" s="6" t="str">
        <f>IFERROR(__xludf.DUMMYFUNCTION("""COMPUTED_VALUE"""),"10")</f>
        <v>10</v>
      </c>
      <c r="K3377" s="6" t="str">
        <f>IFERROR(__xludf.DUMMYFUNCTION("""COMPUTED_VALUE"""),"logan_pickens@stu.ortrail.k12.or.us")</f>
        <v>logan_pickens@stu.ortrail.k12.or.us</v>
      </c>
      <c r="L3377" s="6" t="str">
        <f>IFERROR(__xludf.DUMMYFUNCTION("""COMPUTED_VALUE"""),"Oregon Trail School District 46")</f>
        <v>Oregon Trail School District 46</v>
      </c>
      <c r="M3377" s="6" t="str">
        <f>IFERROR(__xludf.DUMMYFUNCTION("""COMPUTED_VALUE"""),"Sandy High School")</f>
        <v>Sandy High School</v>
      </c>
      <c r="N3377" s="6" t="str">
        <f>IFERROR(__xludf.DUMMYFUNCTION("""COMPUTED_VALUE"""),"")</f>
        <v/>
      </c>
      <c r="O3377" s="87" t="str">
        <f>IFERROR(__xludf.DUMMYFUNCTION("""COMPUTED_VALUE"""),"https://drive.google.com/drive/folders/10T2cTQHqEJZqE-st6uFKPoI?usp=share_link")</f>
        <v>https://drive.google.com/drive/folders/10T2cTQHqEJZqE-st6uFKPoI?usp=share_link</v>
      </c>
      <c r="P3377" s="6" t="str">
        <f>IFERROR(__xludf.DUMMYFUNCTION("""COMPUTED_VALUE"""),"Logan Pickens")</f>
        <v>Logan Pickens</v>
      </c>
      <c r="Q3377" s="6" t="str">
        <f>IFERROR(__xludf.DUMMYFUNCTION("""COMPUTED_VALUE"""),"HS")</f>
        <v>HS</v>
      </c>
      <c r="R3377" s="6">
        <f>IFERROR(__xludf.DUMMYFUNCTION("""COMPUTED_VALUE"""),0.0)</f>
        <v>0</v>
      </c>
      <c r="S3377" s="6" t="str">
        <f>IFERROR(__xludf.DUMMYFUNCTION("""COMPUTED_VALUE"""),"Megan Montellano")</f>
        <v>Megan Montellano</v>
      </c>
      <c r="T3377" s="6" t="str">
        <f>IFERROR(__xludf.DUMMYFUNCTION("""COMPUTED_VALUE"""),"megan.montellano@ortrail.k12.or.us")</f>
        <v>megan.montellano@ortrail.k12.or.us</v>
      </c>
      <c r="U3377" s="6" t="str">
        <f>IFERROR(__xludf.DUMMYFUNCTION("""COMPUTED_VALUE"""),"10")</f>
        <v>10</v>
      </c>
      <c r="V3377" s="6" t="str">
        <f>IFERROR(__xludf.DUMMYFUNCTION("""COMPUTED_VALUE"""),"English")</f>
        <v>English</v>
      </c>
      <c r="W3377" s="6" t="str">
        <f>IFERROR(__xludf.DUMMYFUNCTION("""COMPUTED_VALUE"""),"[]")</f>
        <v>[]</v>
      </c>
      <c r="X3377" s="6" t="str">
        <f>IFERROR(__xludf.DUMMYFUNCTION("""COMPUTED_VALUE"""),"Enrolled")</f>
        <v>Enrolled</v>
      </c>
    </row>
    <row r="3378">
      <c r="A3378" s="6" t="str">
        <f>IFERROR(__xludf.DUMMYFUNCTION("""COMPUTED_VALUE"""),"064-6295")</f>
        <v>064-6295</v>
      </c>
      <c r="B3378" s="6" t="str">
        <f>IFERROR(__xludf.DUMMYFUNCTION("""COMPUTED_VALUE"""),"64")</f>
        <v>64</v>
      </c>
      <c r="C3378" s="6" t="str">
        <f>IFERROR(__xludf.DUMMYFUNCTION("""COMPUTED_VALUE"""),"6295")</f>
        <v>6295</v>
      </c>
      <c r="D3378" s="6" t="str">
        <f>IFERROR(__xludf.DUMMYFUNCTION("""COMPUTED_VALUE"""),"Michael")</f>
        <v>Michael</v>
      </c>
      <c r="E3378" s="6" t="str">
        <f>IFERROR(__xludf.DUMMYFUNCTION("""COMPUTED_VALUE"""),"")</f>
        <v/>
      </c>
      <c r="F3378" s="6" t="str">
        <f>IFERROR(__xludf.DUMMYFUNCTION("""COMPUTED_VALUE"""),"Quintero")</f>
        <v>Quintero</v>
      </c>
      <c r="G3378" s="6" t="str">
        <f>IFERROR(__xludf.DUMMYFUNCTION("""COMPUTED_VALUE"""),"12/28/2009")</f>
        <v>12/28/2009</v>
      </c>
      <c r="H3378" s="6" t="str">
        <f>IFERROR(__xludf.DUMMYFUNCTION("""COMPUTED_VALUE"""),"Self Identify")</f>
        <v>Self Identify</v>
      </c>
      <c r="I3378" s="6" t="str">
        <f>IFERROR(__xludf.DUMMYFUNCTION("""COMPUTED_VALUE"""),"High School")</f>
        <v>High School</v>
      </c>
      <c r="J3378" s="6" t="str">
        <f>IFERROR(__xludf.DUMMYFUNCTION("""COMPUTED_VALUE"""),"10")</f>
        <v>10</v>
      </c>
      <c r="K3378" s="6" t="str">
        <f>IFERROR(__xludf.DUMMYFUNCTION("""COMPUTED_VALUE"""),"michael_quintero@stu.ortrail.k12.or.us")</f>
        <v>michael_quintero@stu.ortrail.k12.or.us</v>
      </c>
      <c r="L3378" s="6" t="str">
        <f>IFERROR(__xludf.DUMMYFUNCTION("""COMPUTED_VALUE"""),"Oregon Trail School District 46")</f>
        <v>Oregon Trail School District 46</v>
      </c>
      <c r="M3378" s="6" t="str">
        <f>IFERROR(__xludf.DUMMYFUNCTION("""COMPUTED_VALUE"""),"Sandy High School")</f>
        <v>Sandy High School</v>
      </c>
      <c r="N3378" s="6" t="str">
        <f>IFERROR(__xludf.DUMMYFUNCTION("""COMPUTED_VALUE"""),"")</f>
        <v/>
      </c>
      <c r="O3378" s="87" t="str">
        <f>IFERROR(__xludf.DUMMYFUNCTION("""COMPUTED_VALUE"""),"https://drive.google.com/drive/folders/10T2cTQHqEJZqE-st6uFKPoI?usp=share_link")</f>
        <v>https://drive.google.com/drive/folders/10T2cTQHqEJZqE-st6uFKPoI?usp=share_link</v>
      </c>
      <c r="P3378" s="6" t="str">
        <f>IFERROR(__xludf.DUMMYFUNCTION("""COMPUTED_VALUE"""),"Michael Quintero")</f>
        <v>Michael Quintero</v>
      </c>
      <c r="Q3378" s="6" t="str">
        <f>IFERROR(__xludf.DUMMYFUNCTION("""COMPUTED_VALUE"""),"HS")</f>
        <v>HS</v>
      </c>
      <c r="R3378" s="6">
        <f>IFERROR(__xludf.DUMMYFUNCTION("""COMPUTED_VALUE"""),0.0)</f>
        <v>0</v>
      </c>
      <c r="S3378" s="6" t="str">
        <f>IFERROR(__xludf.DUMMYFUNCTION("""COMPUTED_VALUE"""),"Megan Montellano")</f>
        <v>Megan Montellano</v>
      </c>
      <c r="T3378" s="6" t="str">
        <f>IFERROR(__xludf.DUMMYFUNCTION("""COMPUTED_VALUE"""),"megan.montellano@ortrail.k12.or.us")</f>
        <v>megan.montellano@ortrail.k12.or.us</v>
      </c>
      <c r="U3378" s="6" t="str">
        <f>IFERROR(__xludf.DUMMYFUNCTION("""COMPUTED_VALUE"""),"10")</f>
        <v>10</v>
      </c>
      <c r="V3378" s="6" t="str">
        <f>IFERROR(__xludf.DUMMYFUNCTION("""COMPUTED_VALUE"""),"English")</f>
        <v>English</v>
      </c>
      <c r="W3378" s="6" t="str">
        <f>IFERROR(__xludf.DUMMYFUNCTION("""COMPUTED_VALUE"""),"[]")</f>
        <v>[]</v>
      </c>
      <c r="X3378" s="6" t="str">
        <f>IFERROR(__xludf.DUMMYFUNCTION("""COMPUTED_VALUE"""),"Enrolled")</f>
        <v>Enrolled</v>
      </c>
    </row>
    <row r="3379">
      <c r="A3379" s="6" t="str">
        <f>IFERROR(__xludf.DUMMYFUNCTION("""COMPUTED_VALUE"""),"064-6299")</f>
        <v>064-6299</v>
      </c>
      <c r="B3379" s="6" t="str">
        <f>IFERROR(__xludf.DUMMYFUNCTION("""COMPUTED_VALUE"""),"64")</f>
        <v>64</v>
      </c>
      <c r="C3379" s="6" t="str">
        <f>IFERROR(__xludf.DUMMYFUNCTION("""COMPUTED_VALUE"""),"6299")</f>
        <v>6299</v>
      </c>
      <c r="D3379" s="6" t="str">
        <f>IFERROR(__xludf.DUMMYFUNCTION("""COMPUTED_VALUE"""),"Jonathan")</f>
        <v>Jonathan</v>
      </c>
      <c r="E3379" s="6" t="str">
        <f>IFERROR(__xludf.DUMMYFUNCTION("""COMPUTED_VALUE"""),"")</f>
        <v/>
      </c>
      <c r="F3379" s="6" t="str">
        <f>IFERROR(__xludf.DUMMYFUNCTION("""COMPUTED_VALUE"""),"Tremblay")</f>
        <v>Tremblay</v>
      </c>
      <c r="G3379" s="6" t="str">
        <f>IFERROR(__xludf.DUMMYFUNCTION("""COMPUTED_VALUE"""),"11/02/2007")</f>
        <v>11/02/2007</v>
      </c>
      <c r="H3379" s="6" t="str">
        <f>IFERROR(__xludf.DUMMYFUNCTION("""COMPUTED_VALUE"""),"Self Identify")</f>
        <v>Self Identify</v>
      </c>
      <c r="I3379" s="6" t="str">
        <f>IFERROR(__xludf.DUMMYFUNCTION("""COMPUTED_VALUE"""),"High School")</f>
        <v>High School</v>
      </c>
      <c r="J3379" s="6" t="str">
        <f>IFERROR(__xludf.DUMMYFUNCTION("""COMPUTED_VALUE"""),"12")</f>
        <v>12</v>
      </c>
      <c r="K3379" s="6" t="str">
        <f>IFERROR(__xludf.DUMMYFUNCTION("""COMPUTED_VALUE"""),"jonny_tremblay@stu.ortrail.k12.or.us")</f>
        <v>jonny_tremblay@stu.ortrail.k12.or.us</v>
      </c>
      <c r="L3379" s="6" t="str">
        <f>IFERROR(__xludf.DUMMYFUNCTION("""COMPUTED_VALUE"""),"Oregon Trail School District 46")</f>
        <v>Oregon Trail School District 46</v>
      </c>
      <c r="M3379" s="6" t="str">
        <f>IFERROR(__xludf.DUMMYFUNCTION("""COMPUTED_VALUE"""),"Sandy High School")</f>
        <v>Sandy High School</v>
      </c>
      <c r="N3379" s="6" t="str">
        <f>IFERROR(__xludf.DUMMYFUNCTION("""COMPUTED_VALUE"""),"")</f>
        <v/>
      </c>
      <c r="O3379" s="87" t="str">
        <f>IFERROR(__xludf.DUMMYFUNCTION("""COMPUTED_VALUE"""),"https://drive.google.com/drive/folders/10T2cTQHqEJZqE-st6uFKPoI?usp=share_link")</f>
        <v>https://drive.google.com/drive/folders/10T2cTQHqEJZqE-st6uFKPoI?usp=share_link</v>
      </c>
      <c r="P3379" s="6" t="str">
        <f>IFERROR(__xludf.DUMMYFUNCTION("""COMPUTED_VALUE"""),"Jonathan Tremblay")</f>
        <v>Jonathan Tremblay</v>
      </c>
      <c r="Q3379" s="6" t="str">
        <f>IFERROR(__xludf.DUMMYFUNCTION("""COMPUTED_VALUE"""),"HS")</f>
        <v>HS</v>
      </c>
      <c r="R3379" s="6">
        <f>IFERROR(__xludf.DUMMYFUNCTION("""COMPUTED_VALUE"""),0.0)</f>
        <v>0</v>
      </c>
      <c r="S3379" s="6" t="str">
        <f>IFERROR(__xludf.DUMMYFUNCTION("""COMPUTED_VALUE"""),"Megan Montellano")</f>
        <v>Megan Montellano</v>
      </c>
      <c r="T3379" s="6" t="str">
        <f>IFERROR(__xludf.DUMMYFUNCTION("""COMPUTED_VALUE"""),"megan.montellano@ortrail.k12.or.us")</f>
        <v>megan.montellano@ortrail.k12.or.us</v>
      </c>
      <c r="U3379" s="6" t="str">
        <f>IFERROR(__xludf.DUMMYFUNCTION("""COMPUTED_VALUE"""),"12")</f>
        <v>12</v>
      </c>
      <c r="V3379" s="6" t="str">
        <f>IFERROR(__xludf.DUMMYFUNCTION("""COMPUTED_VALUE"""),"English")</f>
        <v>English</v>
      </c>
      <c r="W3379" s="6" t="str">
        <f>IFERROR(__xludf.DUMMYFUNCTION("""COMPUTED_VALUE"""),"[]")</f>
        <v>[]</v>
      </c>
      <c r="X3379" s="6" t="str">
        <f>IFERROR(__xludf.DUMMYFUNCTION("""COMPUTED_VALUE"""),"Enrolled")</f>
        <v>Enrolled</v>
      </c>
    </row>
    <row r="3380">
      <c r="A3380" s="6" t="str">
        <f>IFERROR(__xludf.DUMMYFUNCTION("""COMPUTED_VALUE"""),"064-6300")</f>
        <v>064-6300</v>
      </c>
      <c r="B3380" s="6" t="str">
        <f>IFERROR(__xludf.DUMMYFUNCTION("""COMPUTED_VALUE"""),"64")</f>
        <v>64</v>
      </c>
      <c r="C3380" s="6" t="str">
        <f>IFERROR(__xludf.DUMMYFUNCTION("""COMPUTED_VALUE"""),"6300")</f>
        <v>6300</v>
      </c>
      <c r="D3380" s="6" t="str">
        <f>IFERROR(__xludf.DUMMYFUNCTION("""COMPUTED_VALUE"""),"Isabella")</f>
        <v>Isabella</v>
      </c>
      <c r="E3380" s="6" t="str">
        <f>IFERROR(__xludf.DUMMYFUNCTION("""COMPUTED_VALUE"""),"")</f>
        <v/>
      </c>
      <c r="F3380" s="6" t="str">
        <f>IFERROR(__xludf.DUMMYFUNCTION("""COMPUTED_VALUE"""),"Arroyo")</f>
        <v>Arroyo</v>
      </c>
      <c r="G3380" s="6" t="str">
        <f>IFERROR(__xludf.DUMMYFUNCTION("""COMPUTED_VALUE"""),"01/04/2010")</f>
        <v>01/04/2010</v>
      </c>
      <c r="H3380" s="6" t="str">
        <f>IFERROR(__xludf.DUMMYFUNCTION("""COMPUTED_VALUE"""),"Self Identify")</f>
        <v>Self Identify</v>
      </c>
      <c r="I3380" s="6" t="str">
        <f>IFERROR(__xludf.DUMMYFUNCTION("""COMPUTED_VALUE"""),"High School")</f>
        <v>High School</v>
      </c>
      <c r="J3380" s="6" t="str">
        <f>IFERROR(__xludf.DUMMYFUNCTION("""COMPUTED_VALUE"""),"10")</f>
        <v>10</v>
      </c>
      <c r="K3380" s="6" t="str">
        <f>IFERROR(__xludf.DUMMYFUNCTION("""COMPUTED_VALUE"""),"isabella_arroyo@stu.ortrail.k12.or.us")</f>
        <v>isabella_arroyo@stu.ortrail.k12.or.us</v>
      </c>
      <c r="L3380" s="6" t="str">
        <f>IFERROR(__xludf.DUMMYFUNCTION("""COMPUTED_VALUE"""),"Oregon Trail School District 46")</f>
        <v>Oregon Trail School District 46</v>
      </c>
      <c r="M3380" s="6" t="str">
        <f>IFERROR(__xludf.DUMMYFUNCTION("""COMPUTED_VALUE"""),"Sandy High School")</f>
        <v>Sandy High School</v>
      </c>
      <c r="N3380" s="6" t="str">
        <f>IFERROR(__xludf.DUMMYFUNCTION("""COMPUTED_VALUE"""),"")</f>
        <v/>
      </c>
      <c r="O3380" s="87" t="str">
        <f>IFERROR(__xludf.DUMMYFUNCTION("""COMPUTED_VALUE"""),"https://drive.google.com/drive/folders/10T2cTQHqEJZqE-st6uFKPoI?usp=share_link")</f>
        <v>https://drive.google.com/drive/folders/10T2cTQHqEJZqE-st6uFKPoI?usp=share_link</v>
      </c>
      <c r="P3380" s="6" t="str">
        <f>IFERROR(__xludf.DUMMYFUNCTION("""COMPUTED_VALUE"""),"Isabella Arroyo")</f>
        <v>Isabella Arroyo</v>
      </c>
      <c r="Q3380" s="6" t="str">
        <f>IFERROR(__xludf.DUMMYFUNCTION("""COMPUTED_VALUE"""),"HS")</f>
        <v>HS</v>
      </c>
      <c r="R3380" s="6">
        <f>IFERROR(__xludf.DUMMYFUNCTION("""COMPUTED_VALUE"""),0.0)</f>
        <v>0</v>
      </c>
      <c r="S3380" s="6" t="str">
        <f>IFERROR(__xludf.DUMMYFUNCTION("""COMPUTED_VALUE"""),"Megan Montellano")</f>
        <v>Megan Montellano</v>
      </c>
      <c r="T3380" s="6" t="str">
        <f>IFERROR(__xludf.DUMMYFUNCTION("""COMPUTED_VALUE"""),"megan.montellano@ortrail.k12.or.us")</f>
        <v>megan.montellano@ortrail.k12.or.us</v>
      </c>
      <c r="U3380" s="6" t="str">
        <f>IFERROR(__xludf.DUMMYFUNCTION("""COMPUTED_VALUE"""),"10")</f>
        <v>10</v>
      </c>
      <c r="V3380" s="6" t="str">
        <f>IFERROR(__xludf.DUMMYFUNCTION("""COMPUTED_VALUE"""),"English")</f>
        <v>English</v>
      </c>
      <c r="W3380" s="6" t="str">
        <f>IFERROR(__xludf.DUMMYFUNCTION("""COMPUTED_VALUE"""),"[]")</f>
        <v>[]</v>
      </c>
      <c r="X3380" s="6" t="str">
        <f>IFERROR(__xludf.DUMMYFUNCTION("""COMPUTED_VALUE"""),"Enrolled")</f>
        <v>Enrolled</v>
      </c>
    </row>
    <row r="3381">
      <c r="A3381" s="6" t="str">
        <f>IFERROR(__xludf.DUMMYFUNCTION("""COMPUTED_VALUE"""),"064-6304")</f>
        <v>064-6304</v>
      </c>
      <c r="B3381" s="6" t="str">
        <f>IFERROR(__xludf.DUMMYFUNCTION("""COMPUTED_VALUE"""),"64")</f>
        <v>64</v>
      </c>
      <c r="C3381" s="6" t="str">
        <f>IFERROR(__xludf.DUMMYFUNCTION("""COMPUTED_VALUE"""),"6304")</f>
        <v>6304</v>
      </c>
      <c r="D3381" s="6" t="str">
        <f>IFERROR(__xludf.DUMMYFUNCTION("""COMPUTED_VALUE"""),"Payton")</f>
        <v>Payton</v>
      </c>
      <c r="E3381" s="6" t="str">
        <f>IFERROR(__xludf.DUMMYFUNCTION("""COMPUTED_VALUE"""),"")</f>
        <v/>
      </c>
      <c r="F3381" s="6" t="str">
        <f>IFERROR(__xludf.DUMMYFUNCTION("""COMPUTED_VALUE"""),"Cornett")</f>
        <v>Cornett</v>
      </c>
      <c r="G3381" s="6" t="str">
        <f>IFERROR(__xludf.DUMMYFUNCTION("""COMPUTED_VALUE"""),"02/26/2010")</f>
        <v>02/26/2010</v>
      </c>
      <c r="H3381" s="6" t="str">
        <f>IFERROR(__xludf.DUMMYFUNCTION("""COMPUTED_VALUE"""),"Self Identify")</f>
        <v>Self Identify</v>
      </c>
      <c r="I3381" s="6" t="str">
        <f>IFERROR(__xludf.DUMMYFUNCTION("""COMPUTED_VALUE"""),"High School")</f>
        <v>High School</v>
      </c>
      <c r="J3381" s="6" t="str">
        <f>IFERROR(__xludf.DUMMYFUNCTION("""COMPUTED_VALUE"""),"10")</f>
        <v>10</v>
      </c>
      <c r="K3381" s="6" t="str">
        <f>IFERROR(__xludf.DUMMYFUNCTION("""COMPUTED_VALUE"""),"payton_cornett@stu.ortrail.k12.or.us")</f>
        <v>payton_cornett@stu.ortrail.k12.or.us</v>
      </c>
      <c r="L3381" s="6" t="str">
        <f>IFERROR(__xludf.DUMMYFUNCTION("""COMPUTED_VALUE"""),"Oregon Trail School District 46")</f>
        <v>Oregon Trail School District 46</v>
      </c>
      <c r="M3381" s="6" t="str">
        <f>IFERROR(__xludf.DUMMYFUNCTION("""COMPUTED_VALUE"""),"Sandy High School")</f>
        <v>Sandy High School</v>
      </c>
      <c r="N3381" s="6" t="str">
        <f>IFERROR(__xludf.DUMMYFUNCTION("""COMPUTED_VALUE"""),"")</f>
        <v/>
      </c>
      <c r="O3381" s="87" t="str">
        <f>IFERROR(__xludf.DUMMYFUNCTION("""COMPUTED_VALUE"""),"https://drive.google.com/drive/folders/10T2cTQHqEJZqE-st6uFKPoI?usp=share_link")</f>
        <v>https://drive.google.com/drive/folders/10T2cTQHqEJZqE-st6uFKPoI?usp=share_link</v>
      </c>
      <c r="P3381" s="6" t="str">
        <f>IFERROR(__xludf.DUMMYFUNCTION("""COMPUTED_VALUE"""),"Payton Cornett")</f>
        <v>Payton Cornett</v>
      </c>
      <c r="Q3381" s="6" t="str">
        <f>IFERROR(__xludf.DUMMYFUNCTION("""COMPUTED_VALUE"""),"HS")</f>
        <v>HS</v>
      </c>
      <c r="R3381" s="6">
        <f>IFERROR(__xludf.DUMMYFUNCTION("""COMPUTED_VALUE"""),0.0)</f>
        <v>0</v>
      </c>
      <c r="S3381" s="6" t="str">
        <f>IFERROR(__xludf.DUMMYFUNCTION("""COMPUTED_VALUE"""),"Megan Montellano")</f>
        <v>Megan Montellano</v>
      </c>
      <c r="T3381" s="6" t="str">
        <f>IFERROR(__xludf.DUMMYFUNCTION("""COMPUTED_VALUE"""),"megan.montellano@ortrail.k12.or.us")</f>
        <v>megan.montellano@ortrail.k12.or.us</v>
      </c>
      <c r="U3381" s="6" t="str">
        <f>IFERROR(__xludf.DUMMYFUNCTION("""COMPUTED_VALUE"""),"10")</f>
        <v>10</v>
      </c>
      <c r="V3381" s="6" t="str">
        <f>IFERROR(__xludf.DUMMYFUNCTION("""COMPUTED_VALUE"""),"English")</f>
        <v>English</v>
      </c>
      <c r="W3381" s="6" t="str">
        <f>IFERROR(__xludf.DUMMYFUNCTION("""COMPUTED_VALUE"""),"[]")</f>
        <v>[]</v>
      </c>
      <c r="X3381" s="6" t="str">
        <f>IFERROR(__xludf.DUMMYFUNCTION("""COMPUTED_VALUE"""),"Enrolled")</f>
        <v>Enrolled</v>
      </c>
    </row>
    <row r="3382">
      <c r="A3382" s="6" t="str">
        <f>IFERROR(__xludf.DUMMYFUNCTION("""COMPUTED_VALUE"""),"064-6310")</f>
        <v>064-6310</v>
      </c>
      <c r="B3382" s="6" t="str">
        <f>IFERROR(__xludf.DUMMYFUNCTION("""COMPUTED_VALUE"""),"64")</f>
        <v>64</v>
      </c>
      <c r="C3382" s="6" t="str">
        <f>IFERROR(__xludf.DUMMYFUNCTION("""COMPUTED_VALUE"""),"6310")</f>
        <v>6310</v>
      </c>
      <c r="D3382" s="6" t="str">
        <f>IFERROR(__xludf.DUMMYFUNCTION("""COMPUTED_VALUE"""),"Ariela")</f>
        <v>Ariela</v>
      </c>
      <c r="E3382" s="6" t="str">
        <f>IFERROR(__xludf.DUMMYFUNCTION("""COMPUTED_VALUE"""),"")</f>
        <v/>
      </c>
      <c r="F3382" s="6" t="str">
        <f>IFERROR(__xludf.DUMMYFUNCTION("""COMPUTED_VALUE"""),"Guerrero")</f>
        <v>Guerrero</v>
      </c>
      <c r="G3382" s="6" t="str">
        <f>IFERROR(__xludf.DUMMYFUNCTION("""COMPUTED_VALUE"""),"12/14/2009")</f>
        <v>12/14/2009</v>
      </c>
      <c r="H3382" s="6" t="str">
        <f>IFERROR(__xludf.DUMMYFUNCTION("""COMPUTED_VALUE"""),"Self Identify")</f>
        <v>Self Identify</v>
      </c>
      <c r="I3382" s="6" t="str">
        <f>IFERROR(__xludf.DUMMYFUNCTION("""COMPUTED_VALUE"""),"High School")</f>
        <v>High School</v>
      </c>
      <c r="J3382" s="6" t="str">
        <f>IFERROR(__xludf.DUMMYFUNCTION("""COMPUTED_VALUE"""),"10")</f>
        <v>10</v>
      </c>
      <c r="K3382" s="6" t="str">
        <f>IFERROR(__xludf.DUMMYFUNCTION("""COMPUTED_VALUE"""),"ariela_guerrero@stu.ortrail.k12.or.us")</f>
        <v>ariela_guerrero@stu.ortrail.k12.or.us</v>
      </c>
      <c r="L3382" s="6" t="str">
        <f>IFERROR(__xludf.DUMMYFUNCTION("""COMPUTED_VALUE"""),"Oregon Trail School District 46")</f>
        <v>Oregon Trail School District 46</v>
      </c>
      <c r="M3382" s="6" t="str">
        <f>IFERROR(__xludf.DUMMYFUNCTION("""COMPUTED_VALUE"""),"Sandy High School")</f>
        <v>Sandy High School</v>
      </c>
      <c r="N3382" s="6" t="str">
        <f>IFERROR(__xludf.DUMMYFUNCTION("""COMPUTED_VALUE"""),"")</f>
        <v/>
      </c>
      <c r="O3382" s="87" t="str">
        <f>IFERROR(__xludf.DUMMYFUNCTION("""COMPUTED_VALUE"""),"https://drive.google.com/drive/folders/10T2cTQHqEJZqE-st6uFKPoI?usp=share_link")</f>
        <v>https://drive.google.com/drive/folders/10T2cTQHqEJZqE-st6uFKPoI?usp=share_link</v>
      </c>
      <c r="P3382" s="6" t="str">
        <f>IFERROR(__xludf.DUMMYFUNCTION("""COMPUTED_VALUE"""),"Ariela Guerrero")</f>
        <v>Ariela Guerrero</v>
      </c>
      <c r="Q3382" s="6" t="str">
        <f>IFERROR(__xludf.DUMMYFUNCTION("""COMPUTED_VALUE"""),"HS")</f>
        <v>HS</v>
      </c>
      <c r="R3382" s="6">
        <f>IFERROR(__xludf.DUMMYFUNCTION("""COMPUTED_VALUE"""),0.0)</f>
        <v>0</v>
      </c>
      <c r="S3382" s="6" t="str">
        <f>IFERROR(__xludf.DUMMYFUNCTION("""COMPUTED_VALUE"""),"Megan Montellano")</f>
        <v>Megan Montellano</v>
      </c>
      <c r="T3382" s="6" t="str">
        <f>IFERROR(__xludf.DUMMYFUNCTION("""COMPUTED_VALUE"""),"megan.montellano@ortrail.k12.or.us")</f>
        <v>megan.montellano@ortrail.k12.or.us</v>
      </c>
      <c r="U3382" s="6" t="str">
        <f>IFERROR(__xludf.DUMMYFUNCTION("""COMPUTED_VALUE"""),"10")</f>
        <v>10</v>
      </c>
      <c r="V3382" s="6" t="str">
        <f>IFERROR(__xludf.DUMMYFUNCTION("""COMPUTED_VALUE"""),"English")</f>
        <v>English</v>
      </c>
      <c r="W3382" s="6" t="str">
        <f>IFERROR(__xludf.DUMMYFUNCTION("""COMPUTED_VALUE"""),"[]")</f>
        <v>[]</v>
      </c>
      <c r="X3382" s="6" t="str">
        <f>IFERROR(__xludf.DUMMYFUNCTION("""COMPUTED_VALUE"""),"Enrolled")</f>
        <v>Enrolled</v>
      </c>
    </row>
    <row r="3383">
      <c r="A3383" s="6" t="str">
        <f>IFERROR(__xludf.DUMMYFUNCTION("""COMPUTED_VALUE"""),"064-6314")</f>
        <v>064-6314</v>
      </c>
      <c r="B3383" s="6" t="str">
        <f>IFERROR(__xludf.DUMMYFUNCTION("""COMPUTED_VALUE"""),"64")</f>
        <v>64</v>
      </c>
      <c r="C3383" s="6" t="str">
        <f>IFERROR(__xludf.DUMMYFUNCTION("""COMPUTED_VALUE"""),"6314")</f>
        <v>6314</v>
      </c>
      <c r="D3383" s="6" t="str">
        <f>IFERROR(__xludf.DUMMYFUNCTION("""COMPUTED_VALUE"""),"Olivia")</f>
        <v>Olivia</v>
      </c>
      <c r="E3383" s="6" t="str">
        <f>IFERROR(__xludf.DUMMYFUNCTION("""COMPUTED_VALUE"""),"")</f>
        <v/>
      </c>
      <c r="F3383" s="6" t="str">
        <f>IFERROR(__xludf.DUMMYFUNCTION("""COMPUTED_VALUE"""),"Litehiser")</f>
        <v>Litehiser</v>
      </c>
      <c r="G3383" s="6" t="str">
        <f>IFERROR(__xludf.DUMMYFUNCTION("""COMPUTED_VALUE"""),"05/16/2010")</f>
        <v>05/16/2010</v>
      </c>
      <c r="H3383" s="6" t="str">
        <f>IFERROR(__xludf.DUMMYFUNCTION("""COMPUTED_VALUE"""),"Self Identify")</f>
        <v>Self Identify</v>
      </c>
      <c r="I3383" s="6" t="str">
        <f>IFERROR(__xludf.DUMMYFUNCTION("""COMPUTED_VALUE"""),"High School")</f>
        <v>High School</v>
      </c>
      <c r="J3383" s="6" t="str">
        <f>IFERROR(__xludf.DUMMYFUNCTION("""COMPUTED_VALUE"""),"10")</f>
        <v>10</v>
      </c>
      <c r="K3383" s="6" t="str">
        <f>IFERROR(__xludf.DUMMYFUNCTION("""COMPUTED_VALUE"""),"olivia_litehiser@stu.ortrail.k12.or.us")</f>
        <v>olivia_litehiser@stu.ortrail.k12.or.us</v>
      </c>
      <c r="L3383" s="6" t="str">
        <f>IFERROR(__xludf.DUMMYFUNCTION("""COMPUTED_VALUE"""),"Oregon Trail School District 46")</f>
        <v>Oregon Trail School District 46</v>
      </c>
      <c r="M3383" s="6" t="str">
        <f>IFERROR(__xludf.DUMMYFUNCTION("""COMPUTED_VALUE"""),"Sandy High School")</f>
        <v>Sandy High School</v>
      </c>
      <c r="N3383" s="6" t="str">
        <f>IFERROR(__xludf.DUMMYFUNCTION("""COMPUTED_VALUE"""),"")</f>
        <v/>
      </c>
      <c r="O3383" s="87" t="str">
        <f>IFERROR(__xludf.DUMMYFUNCTION("""COMPUTED_VALUE"""),"https://drive.google.com/drive/folders/10T2cTQHqEJZqE-st6uFKPoI?usp=share_link")</f>
        <v>https://drive.google.com/drive/folders/10T2cTQHqEJZqE-st6uFKPoI?usp=share_link</v>
      </c>
      <c r="P3383" s="6" t="str">
        <f>IFERROR(__xludf.DUMMYFUNCTION("""COMPUTED_VALUE"""),"Olivia Litehiser")</f>
        <v>Olivia Litehiser</v>
      </c>
      <c r="Q3383" s="6" t="str">
        <f>IFERROR(__xludf.DUMMYFUNCTION("""COMPUTED_VALUE"""),"HS")</f>
        <v>HS</v>
      </c>
      <c r="R3383" s="6">
        <f>IFERROR(__xludf.DUMMYFUNCTION("""COMPUTED_VALUE"""),0.0)</f>
        <v>0</v>
      </c>
      <c r="S3383" s="6" t="str">
        <f>IFERROR(__xludf.DUMMYFUNCTION("""COMPUTED_VALUE"""),"Megan Montellano")</f>
        <v>Megan Montellano</v>
      </c>
      <c r="T3383" s="6" t="str">
        <f>IFERROR(__xludf.DUMMYFUNCTION("""COMPUTED_VALUE"""),"megan.montellano@ortrail.k12.or.us")</f>
        <v>megan.montellano@ortrail.k12.or.us</v>
      </c>
      <c r="U3383" s="6" t="str">
        <f>IFERROR(__xludf.DUMMYFUNCTION("""COMPUTED_VALUE"""),"10")</f>
        <v>10</v>
      </c>
      <c r="V3383" s="6" t="str">
        <f>IFERROR(__xludf.DUMMYFUNCTION("""COMPUTED_VALUE"""),"English")</f>
        <v>English</v>
      </c>
      <c r="W3383" s="6" t="str">
        <f>IFERROR(__xludf.DUMMYFUNCTION("""COMPUTED_VALUE"""),"[]")</f>
        <v>[]</v>
      </c>
      <c r="X3383" s="6" t="str">
        <f>IFERROR(__xludf.DUMMYFUNCTION("""COMPUTED_VALUE"""),"Enrolled")</f>
        <v>Enrolled</v>
      </c>
    </row>
    <row r="3384">
      <c r="A3384" s="6" t="str">
        <f>IFERROR(__xludf.DUMMYFUNCTION("""COMPUTED_VALUE"""),"064-6316")</f>
        <v>064-6316</v>
      </c>
      <c r="B3384" s="6" t="str">
        <f>IFERROR(__xludf.DUMMYFUNCTION("""COMPUTED_VALUE"""),"64")</f>
        <v>64</v>
      </c>
      <c r="C3384" s="6" t="str">
        <f>IFERROR(__xludf.DUMMYFUNCTION("""COMPUTED_VALUE"""),"6316")</f>
        <v>6316</v>
      </c>
      <c r="D3384" s="6" t="str">
        <f>IFERROR(__xludf.DUMMYFUNCTION("""COMPUTED_VALUE"""),"Bradley")</f>
        <v>Bradley</v>
      </c>
      <c r="E3384" s="6" t="str">
        <f>IFERROR(__xludf.DUMMYFUNCTION("""COMPUTED_VALUE"""),"")</f>
        <v/>
      </c>
      <c r="F3384" s="6" t="str">
        <f>IFERROR(__xludf.DUMMYFUNCTION("""COMPUTED_VALUE"""),"Nelson")</f>
        <v>Nelson</v>
      </c>
      <c r="G3384" s="6" t="str">
        <f>IFERROR(__xludf.DUMMYFUNCTION("""COMPUTED_VALUE"""),"05/07/2008")</f>
        <v>05/07/2008</v>
      </c>
      <c r="H3384" s="6" t="str">
        <f>IFERROR(__xludf.DUMMYFUNCTION("""COMPUTED_VALUE"""),"Self Identify")</f>
        <v>Self Identify</v>
      </c>
      <c r="I3384" s="6" t="str">
        <f>IFERROR(__xludf.DUMMYFUNCTION("""COMPUTED_VALUE"""),"High School")</f>
        <v>High School</v>
      </c>
      <c r="J3384" s="6" t="str">
        <f>IFERROR(__xludf.DUMMYFUNCTION("""COMPUTED_VALUE"""),"12")</f>
        <v>12</v>
      </c>
      <c r="K3384" s="6" t="str">
        <f>IFERROR(__xludf.DUMMYFUNCTION("""COMPUTED_VALUE"""),"bradley_nelson@stu.ortrail.k12.or.us")</f>
        <v>bradley_nelson@stu.ortrail.k12.or.us</v>
      </c>
      <c r="L3384" s="6" t="str">
        <f>IFERROR(__xludf.DUMMYFUNCTION("""COMPUTED_VALUE"""),"Oregon Trail School District 46")</f>
        <v>Oregon Trail School District 46</v>
      </c>
      <c r="M3384" s="6" t="str">
        <f>IFERROR(__xludf.DUMMYFUNCTION("""COMPUTED_VALUE"""),"Sandy High School")</f>
        <v>Sandy High School</v>
      </c>
      <c r="N3384" s="6" t="str">
        <f>IFERROR(__xludf.DUMMYFUNCTION("""COMPUTED_VALUE"""),"")</f>
        <v/>
      </c>
      <c r="O3384" s="87" t="str">
        <f>IFERROR(__xludf.DUMMYFUNCTION("""COMPUTED_VALUE"""),"https://drive.google.com/drive/folders/10T2cTQHqEJZqE-st6uFKPoI?usp=share_link")</f>
        <v>https://drive.google.com/drive/folders/10T2cTQHqEJZqE-st6uFKPoI?usp=share_link</v>
      </c>
      <c r="P3384" s="6" t="str">
        <f>IFERROR(__xludf.DUMMYFUNCTION("""COMPUTED_VALUE"""),"Bradley Nelson")</f>
        <v>Bradley Nelson</v>
      </c>
      <c r="Q3384" s="6" t="str">
        <f>IFERROR(__xludf.DUMMYFUNCTION("""COMPUTED_VALUE"""),"HS")</f>
        <v>HS</v>
      </c>
      <c r="R3384" s="6">
        <f>IFERROR(__xludf.DUMMYFUNCTION("""COMPUTED_VALUE"""),0.0)</f>
        <v>0</v>
      </c>
      <c r="S3384" s="6" t="str">
        <f>IFERROR(__xludf.DUMMYFUNCTION("""COMPUTED_VALUE"""),"Megan Montellano")</f>
        <v>Megan Montellano</v>
      </c>
      <c r="T3384" s="6" t="str">
        <f>IFERROR(__xludf.DUMMYFUNCTION("""COMPUTED_VALUE"""),"megan.montellano@ortrail.k12.or.us")</f>
        <v>megan.montellano@ortrail.k12.or.us</v>
      </c>
      <c r="U3384" s="6" t="str">
        <f>IFERROR(__xludf.DUMMYFUNCTION("""COMPUTED_VALUE"""),"12")</f>
        <v>12</v>
      </c>
      <c r="V3384" s="6" t="str">
        <f>IFERROR(__xludf.DUMMYFUNCTION("""COMPUTED_VALUE"""),"English")</f>
        <v>English</v>
      </c>
      <c r="W3384" s="6" t="str">
        <f>IFERROR(__xludf.DUMMYFUNCTION("""COMPUTED_VALUE"""),"[]")</f>
        <v>[]</v>
      </c>
      <c r="X3384" s="6" t="str">
        <f>IFERROR(__xludf.DUMMYFUNCTION("""COMPUTED_VALUE"""),"Enrolled")</f>
        <v>Enrolled</v>
      </c>
    </row>
    <row r="3385">
      <c r="A3385" s="6" t="str">
        <f>IFERROR(__xludf.DUMMYFUNCTION("""COMPUTED_VALUE"""),"064-6318")</f>
        <v>064-6318</v>
      </c>
      <c r="B3385" s="6" t="str">
        <f>IFERROR(__xludf.DUMMYFUNCTION("""COMPUTED_VALUE"""),"64")</f>
        <v>64</v>
      </c>
      <c r="C3385" s="6" t="str">
        <f>IFERROR(__xludf.DUMMYFUNCTION("""COMPUTED_VALUE"""),"6318")</f>
        <v>6318</v>
      </c>
      <c r="D3385" s="6" t="str">
        <f>IFERROR(__xludf.DUMMYFUNCTION("""COMPUTED_VALUE"""),"Brooklyn")</f>
        <v>Brooklyn</v>
      </c>
      <c r="E3385" s="6" t="str">
        <f>IFERROR(__xludf.DUMMYFUNCTION("""COMPUTED_VALUE"""),"")</f>
        <v/>
      </c>
      <c r="F3385" s="6" t="str">
        <f>IFERROR(__xludf.DUMMYFUNCTION("""COMPUTED_VALUE"""),"Papenfuss")</f>
        <v>Papenfuss</v>
      </c>
      <c r="G3385" s="6" t="str">
        <f>IFERROR(__xludf.DUMMYFUNCTION("""COMPUTED_VALUE"""),"04/27/2010")</f>
        <v>04/27/2010</v>
      </c>
      <c r="H3385" s="6" t="str">
        <f>IFERROR(__xludf.DUMMYFUNCTION("""COMPUTED_VALUE"""),"Self Identify")</f>
        <v>Self Identify</v>
      </c>
      <c r="I3385" s="6" t="str">
        <f>IFERROR(__xludf.DUMMYFUNCTION("""COMPUTED_VALUE"""),"High School")</f>
        <v>High School</v>
      </c>
      <c r="J3385" s="6" t="str">
        <f>IFERROR(__xludf.DUMMYFUNCTION("""COMPUTED_VALUE"""),"10")</f>
        <v>10</v>
      </c>
      <c r="K3385" s="6" t="str">
        <f>IFERROR(__xludf.DUMMYFUNCTION("""COMPUTED_VALUE"""),"brooklyn_papenfuss@stu.ortrail.k12.or.us")</f>
        <v>brooklyn_papenfuss@stu.ortrail.k12.or.us</v>
      </c>
      <c r="L3385" s="6" t="str">
        <f>IFERROR(__xludf.DUMMYFUNCTION("""COMPUTED_VALUE"""),"Oregon Trail School District 46")</f>
        <v>Oregon Trail School District 46</v>
      </c>
      <c r="M3385" s="6" t="str">
        <f>IFERROR(__xludf.DUMMYFUNCTION("""COMPUTED_VALUE"""),"Sandy High School")</f>
        <v>Sandy High School</v>
      </c>
      <c r="N3385" s="6" t="str">
        <f>IFERROR(__xludf.DUMMYFUNCTION("""COMPUTED_VALUE"""),"")</f>
        <v/>
      </c>
      <c r="O3385" s="87" t="str">
        <f>IFERROR(__xludf.DUMMYFUNCTION("""COMPUTED_VALUE"""),"https://drive.google.com/drive/folders/10T2cTQHqEJZqE-st6uFKPoI?usp=share_link")</f>
        <v>https://drive.google.com/drive/folders/10T2cTQHqEJZqE-st6uFKPoI?usp=share_link</v>
      </c>
      <c r="P3385" s="6" t="str">
        <f>IFERROR(__xludf.DUMMYFUNCTION("""COMPUTED_VALUE"""),"Brooklyn Papenfuss")</f>
        <v>Brooklyn Papenfuss</v>
      </c>
      <c r="Q3385" s="6" t="str">
        <f>IFERROR(__xludf.DUMMYFUNCTION("""COMPUTED_VALUE"""),"HS")</f>
        <v>HS</v>
      </c>
      <c r="R3385" s="6">
        <f>IFERROR(__xludf.DUMMYFUNCTION("""COMPUTED_VALUE"""),0.0)</f>
        <v>0</v>
      </c>
      <c r="S3385" s="6" t="str">
        <f>IFERROR(__xludf.DUMMYFUNCTION("""COMPUTED_VALUE"""),"Megan Montellano")</f>
        <v>Megan Montellano</v>
      </c>
      <c r="T3385" s="6" t="str">
        <f>IFERROR(__xludf.DUMMYFUNCTION("""COMPUTED_VALUE"""),"megan.montellano@ortrail.k12.or.us")</f>
        <v>megan.montellano@ortrail.k12.or.us</v>
      </c>
      <c r="U3385" s="6" t="str">
        <f>IFERROR(__xludf.DUMMYFUNCTION("""COMPUTED_VALUE"""),"10")</f>
        <v>10</v>
      </c>
      <c r="V3385" s="6" t="str">
        <f>IFERROR(__xludf.DUMMYFUNCTION("""COMPUTED_VALUE"""),"English")</f>
        <v>English</v>
      </c>
      <c r="W3385" s="6" t="str">
        <f>IFERROR(__xludf.DUMMYFUNCTION("""COMPUTED_VALUE"""),"[]")</f>
        <v>[]</v>
      </c>
      <c r="X3385" s="6" t="str">
        <f>IFERROR(__xludf.DUMMYFUNCTION("""COMPUTED_VALUE"""),"Enrolled")</f>
        <v>Enrolled</v>
      </c>
    </row>
    <row r="3386">
      <c r="A3386" s="6" t="str">
        <f>IFERROR(__xludf.DUMMYFUNCTION("""COMPUTED_VALUE"""),"064-6319")</f>
        <v>064-6319</v>
      </c>
      <c r="B3386" s="6" t="str">
        <f>IFERROR(__xludf.DUMMYFUNCTION("""COMPUTED_VALUE"""),"64")</f>
        <v>64</v>
      </c>
      <c r="C3386" s="6" t="str">
        <f>IFERROR(__xludf.DUMMYFUNCTION("""COMPUTED_VALUE"""),"6319")</f>
        <v>6319</v>
      </c>
      <c r="D3386" s="6" t="str">
        <f>IFERROR(__xludf.DUMMYFUNCTION("""COMPUTED_VALUE"""),"Kanai")</f>
        <v>Kanai</v>
      </c>
      <c r="E3386" s="6" t="str">
        <f>IFERROR(__xludf.DUMMYFUNCTION("""COMPUTED_VALUE"""),"")</f>
        <v/>
      </c>
      <c r="F3386" s="6" t="str">
        <f>IFERROR(__xludf.DUMMYFUNCTION("""COMPUTED_VALUE"""),"Pennebaker")</f>
        <v>Pennebaker</v>
      </c>
      <c r="G3386" s="6" t="str">
        <f>IFERROR(__xludf.DUMMYFUNCTION("""COMPUTED_VALUE"""),"10/23/2008")</f>
        <v>10/23/2008</v>
      </c>
      <c r="H3386" s="6" t="str">
        <f>IFERROR(__xludf.DUMMYFUNCTION("""COMPUTED_VALUE"""),"Self Identify")</f>
        <v>Self Identify</v>
      </c>
      <c r="I3386" s="6" t="str">
        <f>IFERROR(__xludf.DUMMYFUNCTION("""COMPUTED_VALUE"""),"High School")</f>
        <v>High School</v>
      </c>
      <c r="J3386" s="6" t="str">
        <f>IFERROR(__xludf.DUMMYFUNCTION("""COMPUTED_VALUE"""),"11")</f>
        <v>11</v>
      </c>
      <c r="K3386" s="6" t="str">
        <f>IFERROR(__xludf.DUMMYFUNCTION("""COMPUTED_VALUE"""),"kanai_pennebaker@stu.ortrail.k12.or.us")</f>
        <v>kanai_pennebaker@stu.ortrail.k12.or.us</v>
      </c>
      <c r="L3386" s="6" t="str">
        <f>IFERROR(__xludf.DUMMYFUNCTION("""COMPUTED_VALUE"""),"Oregon Trail School District 46")</f>
        <v>Oregon Trail School District 46</v>
      </c>
      <c r="M3386" s="6" t="str">
        <f>IFERROR(__xludf.DUMMYFUNCTION("""COMPUTED_VALUE"""),"Sandy High School")</f>
        <v>Sandy High School</v>
      </c>
      <c r="N3386" s="6" t="str">
        <f>IFERROR(__xludf.DUMMYFUNCTION("""COMPUTED_VALUE"""),"")</f>
        <v/>
      </c>
      <c r="O3386" s="87" t="str">
        <f>IFERROR(__xludf.DUMMYFUNCTION("""COMPUTED_VALUE"""),"https://drive.google.com/drive/folders/10T2cTQHqEJZqE-st6uFKPoI?usp=share_link")</f>
        <v>https://drive.google.com/drive/folders/10T2cTQHqEJZqE-st6uFKPoI?usp=share_link</v>
      </c>
      <c r="P3386" s="6" t="str">
        <f>IFERROR(__xludf.DUMMYFUNCTION("""COMPUTED_VALUE"""),"Kanai Pennebaker")</f>
        <v>Kanai Pennebaker</v>
      </c>
      <c r="Q3386" s="6" t="str">
        <f>IFERROR(__xludf.DUMMYFUNCTION("""COMPUTED_VALUE"""),"HS")</f>
        <v>HS</v>
      </c>
      <c r="R3386" s="6">
        <f>IFERROR(__xludf.DUMMYFUNCTION("""COMPUTED_VALUE"""),0.0)</f>
        <v>0</v>
      </c>
      <c r="S3386" s="6" t="str">
        <f>IFERROR(__xludf.DUMMYFUNCTION("""COMPUTED_VALUE"""),"Megan Montellano")</f>
        <v>Megan Montellano</v>
      </c>
      <c r="T3386" s="6" t="str">
        <f>IFERROR(__xludf.DUMMYFUNCTION("""COMPUTED_VALUE"""),"megan.montellano@ortrail.k12.or.us")</f>
        <v>megan.montellano@ortrail.k12.or.us</v>
      </c>
      <c r="U3386" s="6" t="str">
        <f>IFERROR(__xludf.DUMMYFUNCTION("""COMPUTED_VALUE"""),"11")</f>
        <v>11</v>
      </c>
      <c r="V3386" s="6" t="str">
        <f>IFERROR(__xludf.DUMMYFUNCTION("""COMPUTED_VALUE"""),"English")</f>
        <v>English</v>
      </c>
      <c r="W3386" s="6" t="str">
        <f>IFERROR(__xludf.DUMMYFUNCTION("""COMPUTED_VALUE"""),"[]")</f>
        <v>[]</v>
      </c>
      <c r="X3386" s="6" t="str">
        <f>IFERROR(__xludf.DUMMYFUNCTION("""COMPUTED_VALUE"""),"Enrolled")</f>
        <v>Enrolled</v>
      </c>
    </row>
    <row r="3387">
      <c r="A3387" s="6" t="str">
        <f>IFERROR(__xludf.DUMMYFUNCTION("""COMPUTED_VALUE"""),"064-6320")</f>
        <v>064-6320</v>
      </c>
      <c r="B3387" s="6" t="str">
        <f>IFERROR(__xludf.DUMMYFUNCTION("""COMPUTED_VALUE"""),"64")</f>
        <v>64</v>
      </c>
      <c r="C3387" s="6" t="str">
        <f>IFERROR(__xludf.DUMMYFUNCTION("""COMPUTED_VALUE"""),"6320")</f>
        <v>6320</v>
      </c>
      <c r="D3387" s="6" t="str">
        <f>IFERROR(__xludf.DUMMYFUNCTION("""COMPUTED_VALUE"""),"Mia")</f>
        <v>Mia</v>
      </c>
      <c r="E3387" s="6" t="str">
        <f>IFERROR(__xludf.DUMMYFUNCTION("""COMPUTED_VALUE"""),"")</f>
        <v/>
      </c>
      <c r="F3387" s="6" t="str">
        <f>IFERROR(__xludf.DUMMYFUNCTION("""COMPUTED_VALUE"""),"Ramirez-Lira")</f>
        <v>Ramirez-Lira</v>
      </c>
      <c r="G3387" s="6" t="str">
        <f>IFERROR(__xludf.DUMMYFUNCTION("""COMPUTED_VALUE"""),"01/31/2011")</f>
        <v>01/31/2011</v>
      </c>
      <c r="H3387" s="6" t="str">
        <f>IFERROR(__xludf.DUMMYFUNCTION("""COMPUTED_VALUE"""),"Self Identify")</f>
        <v>Self Identify</v>
      </c>
      <c r="I3387" s="6" t="str">
        <f>IFERROR(__xludf.DUMMYFUNCTION("""COMPUTED_VALUE"""),"High School")</f>
        <v>High School</v>
      </c>
      <c r="J3387" s="6" t="str">
        <f>IFERROR(__xludf.DUMMYFUNCTION("""COMPUTED_VALUE"""),"9")</f>
        <v>9</v>
      </c>
      <c r="K3387" s="6" t="str">
        <f>IFERROR(__xludf.DUMMYFUNCTION("""COMPUTED_VALUE"""),"mia_ramirezlira@stu.ortrail.k12.or.us")</f>
        <v>mia_ramirezlira@stu.ortrail.k12.or.us</v>
      </c>
      <c r="L3387" s="6" t="str">
        <f>IFERROR(__xludf.DUMMYFUNCTION("""COMPUTED_VALUE"""),"Oregon Trail School District 46")</f>
        <v>Oregon Trail School District 46</v>
      </c>
      <c r="M3387" s="6" t="str">
        <f>IFERROR(__xludf.DUMMYFUNCTION("""COMPUTED_VALUE"""),"Sandy High School")</f>
        <v>Sandy High School</v>
      </c>
      <c r="N3387" s="6" t="str">
        <f>IFERROR(__xludf.DUMMYFUNCTION("""COMPUTED_VALUE"""),"")</f>
        <v/>
      </c>
      <c r="O3387" s="87" t="str">
        <f>IFERROR(__xludf.DUMMYFUNCTION("""COMPUTED_VALUE"""),"https://drive.google.com/drive/folders/10T2cTQHqEJZqE-st6uFKPoI?usp=share_link")</f>
        <v>https://drive.google.com/drive/folders/10T2cTQHqEJZqE-st6uFKPoI?usp=share_link</v>
      </c>
      <c r="P3387" s="6" t="str">
        <f>IFERROR(__xludf.DUMMYFUNCTION("""COMPUTED_VALUE"""),"Mia Ramirez-Lira")</f>
        <v>Mia Ramirez-Lira</v>
      </c>
      <c r="Q3387" s="6" t="str">
        <f>IFERROR(__xludf.DUMMYFUNCTION("""COMPUTED_VALUE"""),"HS")</f>
        <v>HS</v>
      </c>
      <c r="R3387" s="6">
        <f>IFERROR(__xludf.DUMMYFUNCTION("""COMPUTED_VALUE"""),0.0)</f>
        <v>0</v>
      </c>
      <c r="S3387" s="6" t="str">
        <f>IFERROR(__xludf.DUMMYFUNCTION("""COMPUTED_VALUE"""),"Megan Montellano")</f>
        <v>Megan Montellano</v>
      </c>
      <c r="T3387" s="6" t="str">
        <f>IFERROR(__xludf.DUMMYFUNCTION("""COMPUTED_VALUE"""),"megan.montellano@ortrail.k12.or.us")</f>
        <v>megan.montellano@ortrail.k12.or.us</v>
      </c>
      <c r="U3387" s="6" t="str">
        <f>IFERROR(__xludf.DUMMYFUNCTION("""COMPUTED_VALUE"""),"9")</f>
        <v>9</v>
      </c>
      <c r="V3387" s="6" t="str">
        <f>IFERROR(__xludf.DUMMYFUNCTION("""COMPUTED_VALUE"""),"English")</f>
        <v>English</v>
      </c>
      <c r="W3387" s="6" t="str">
        <f>IFERROR(__xludf.DUMMYFUNCTION("""COMPUTED_VALUE"""),"[]")</f>
        <v>[]</v>
      </c>
      <c r="X3387" s="6" t="str">
        <f>IFERROR(__xludf.DUMMYFUNCTION("""COMPUTED_VALUE"""),"Enrolled")</f>
        <v>Enrolled</v>
      </c>
    </row>
    <row r="3388">
      <c r="A3388" s="6" t="str">
        <f>IFERROR(__xludf.DUMMYFUNCTION("""COMPUTED_VALUE"""),"064-6321")</f>
        <v>064-6321</v>
      </c>
      <c r="B3388" s="6" t="str">
        <f>IFERROR(__xludf.DUMMYFUNCTION("""COMPUTED_VALUE"""),"64")</f>
        <v>64</v>
      </c>
      <c r="C3388" s="6" t="str">
        <f>IFERROR(__xludf.DUMMYFUNCTION("""COMPUTED_VALUE"""),"6321")</f>
        <v>6321</v>
      </c>
      <c r="D3388" s="6" t="str">
        <f>IFERROR(__xludf.DUMMYFUNCTION("""COMPUTED_VALUE"""),"Tate")</f>
        <v>Tate</v>
      </c>
      <c r="E3388" s="6" t="str">
        <f>IFERROR(__xludf.DUMMYFUNCTION("""COMPUTED_VALUE"""),"")</f>
        <v/>
      </c>
      <c r="F3388" s="6" t="str">
        <f>IFERROR(__xludf.DUMMYFUNCTION("""COMPUTED_VALUE"""),"Ridgway")</f>
        <v>Ridgway</v>
      </c>
      <c r="G3388" s="6" t="str">
        <f>IFERROR(__xludf.DUMMYFUNCTION("""COMPUTED_VALUE"""),"12/01/2009")</f>
        <v>12/01/2009</v>
      </c>
      <c r="H3388" s="6" t="str">
        <f>IFERROR(__xludf.DUMMYFUNCTION("""COMPUTED_VALUE"""),"Self Identify")</f>
        <v>Self Identify</v>
      </c>
      <c r="I3388" s="6" t="str">
        <f>IFERROR(__xludf.DUMMYFUNCTION("""COMPUTED_VALUE"""),"High School")</f>
        <v>High School</v>
      </c>
      <c r="J3388" s="6" t="str">
        <f>IFERROR(__xludf.DUMMYFUNCTION("""COMPUTED_VALUE"""),"10")</f>
        <v>10</v>
      </c>
      <c r="K3388" s="6" t="str">
        <f>IFERROR(__xludf.DUMMYFUNCTION("""COMPUTED_VALUE"""),"tate_ridgway@stu.ortrail.k12.or.us")</f>
        <v>tate_ridgway@stu.ortrail.k12.or.us</v>
      </c>
      <c r="L3388" s="6" t="str">
        <f>IFERROR(__xludf.DUMMYFUNCTION("""COMPUTED_VALUE"""),"Oregon Trail School District 46")</f>
        <v>Oregon Trail School District 46</v>
      </c>
      <c r="M3388" s="6" t="str">
        <f>IFERROR(__xludf.DUMMYFUNCTION("""COMPUTED_VALUE"""),"Sandy High School")</f>
        <v>Sandy High School</v>
      </c>
      <c r="N3388" s="6" t="str">
        <f>IFERROR(__xludf.DUMMYFUNCTION("""COMPUTED_VALUE"""),"")</f>
        <v/>
      </c>
      <c r="O3388" s="87" t="str">
        <f>IFERROR(__xludf.DUMMYFUNCTION("""COMPUTED_VALUE"""),"https://drive.google.com/drive/folders/10T2cTQHqEJZqE-st6uFKPoI?usp=share_link")</f>
        <v>https://drive.google.com/drive/folders/10T2cTQHqEJZqE-st6uFKPoI?usp=share_link</v>
      </c>
      <c r="P3388" s="6" t="str">
        <f>IFERROR(__xludf.DUMMYFUNCTION("""COMPUTED_VALUE"""),"Tate Ridgway")</f>
        <v>Tate Ridgway</v>
      </c>
      <c r="Q3388" s="6" t="str">
        <f>IFERROR(__xludf.DUMMYFUNCTION("""COMPUTED_VALUE"""),"HS")</f>
        <v>HS</v>
      </c>
      <c r="R3388" s="6">
        <f>IFERROR(__xludf.DUMMYFUNCTION("""COMPUTED_VALUE"""),0.0)</f>
        <v>0</v>
      </c>
      <c r="S3388" s="6" t="str">
        <f>IFERROR(__xludf.DUMMYFUNCTION("""COMPUTED_VALUE"""),"Megan Montellano")</f>
        <v>Megan Montellano</v>
      </c>
      <c r="T3388" s="6" t="str">
        <f>IFERROR(__xludf.DUMMYFUNCTION("""COMPUTED_VALUE"""),"megan.montellano@ortrail.k12.or.us")</f>
        <v>megan.montellano@ortrail.k12.or.us</v>
      </c>
      <c r="U3388" s="6" t="str">
        <f>IFERROR(__xludf.DUMMYFUNCTION("""COMPUTED_VALUE"""),"10")</f>
        <v>10</v>
      </c>
      <c r="V3388" s="6" t="str">
        <f>IFERROR(__xludf.DUMMYFUNCTION("""COMPUTED_VALUE"""),"English")</f>
        <v>English</v>
      </c>
      <c r="W3388" s="6" t="str">
        <f>IFERROR(__xludf.DUMMYFUNCTION("""COMPUTED_VALUE"""),"[]")</f>
        <v>[]</v>
      </c>
      <c r="X3388" s="6" t="str">
        <f>IFERROR(__xludf.DUMMYFUNCTION("""COMPUTED_VALUE"""),"Enrolled")</f>
        <v>Enrolled</v>
      </c>
    </row>
    <row r="3389">
      <c r="A3389" s="6" t="str">
        <f>IFERROR(__xludf.DUMMYFUNCTION("""COMPUTED_VALUE"""),"064-6322")</f>
        <v>064-6322</v>
      </c>
      <c r="B3389" s="6" t="str">
        <f>IFERROR(__xludf.DUMMYFUNCTION("""COMPUTED_VALUE"""),"64")</f>
        <v>64</v>
      </c>
      <c r="C3389" s="6" t="str">
        <f>IFERROR(__xludf.DUMMYFUNCTION("""COMPUTED_VALUE"""),"6322")</f>
        <v>6322</v>
      </c>
      <c r="D3389" s="6" t="str">
        <f>IFERROR(__xludf.DUMMYFUNCTION("""COMPUTED_VALUE"""),"Kaitlyn")</f>
        <v>Kaitlyn</v>
      </c>
      <c r="E3389" s="6" t="str">
        <f>IFERROR(__xludf.DUMMYFUNCTION("""COMPUTED_VALUE"""),"")</f>
        <v/>
      </c>
      <c r="F3389" s="6" t="str">
        <f>IFERROR(__xludf.DUMMYFUNCTION("""COMPUTED_VALUE"""),"Smit")</f>
        <v>Smit</v>
      </c>
      <c r="G3389" s="6" t="str">
        <f>IFERROR(__xludf.DUMMYFUNCTION("""COMPUTED_VALUE"""),"10/16/2008")</f>
        <v>10/16/2008</v>
      </c>
      <c r="H3389" s="6" t="str">
        <f>IFERROR(__xludf.DUMMYFUNCTION("""COMPUTED_VALUE"""),"Self Identify")</f>
        <v>Self Identify</v>
      </c>
      <c r="I3389" s="6" t="str">
        <f>IFERROR(__xludf.DUMMYFUNCTION("""COMPUTED_VALUE"""),"High School")</f>
        <v>High School</v>
      </c>
      <c r="J3389" s="6" t="str">
        <f>IFERROR(__xludf.DUMMYFUNCTION("""COMPUTED_VALUE"""),"11")</f>
        <v>11</v>
      </c>
      <c r="K3389" s="6" t="str">
        <f>IFERROR(__xludf.DUMMYFUNCTION("""COMPUTED_VALUE"""),"kaitlyn_smit@stu.ortrail.k12.or.us")</f>
        <v>kaitlyn_smit@stu.ortrail.k12.or.us</v>
      </c>
      <c r="L3389" s="6" t="str">
        <f>IFERROR(__xludf.DUMMYFUNCTION("""COMPUTED_VALUE"""),"Oregon Trail School District 46")</f>
        <v>Oregon Trail School District 46</v>
      </c>
      <c r="M3389" s="6" t="str">
        <f>IFERROR(__xludf.DUMMYFUNCTION("""COMPUTED_VALUE"""),"Sandy High School")</f>
        <v>Sandy High School</v>
      </c>
      <c r="N3389" s="6" t="str">
        <f>IFERROR(__xludf.DUMMYFUNCTION("""COMPUTED_VALUE"""),"")</f>
        <v/>
      </c>
      <c r="O3389" s="87" t="str">
        <f>IFERROR(__xludf.DUMMYFUNCTION("""COMPUTED_VALUE"""),"https://drive.google.com/drive/folders/10T2cTQHqEJZqE-st6uFKPoI?usp=share_link")</f>
        <v>https://drive.google.com/drive/folders/10T2cTQHqEJZqE-st6uFKPoI?usp=share_link</v>
      </c>
      <c r="P3389" s="6" t="str">
        <f>IFERROR(__xludf.DUMMYFUNCTION("""COMPUTED_VALUE"""),"Kaitlyn Smit")</f>
        <v>Kaitlyn Smit</v>
      </c>
      <c r="Q3389" s="6" t="str">
        <f>IFERROR(__xludf.DUMMYFUNCTION("""COMPUTED_VALUE"""),"HS")</f>
        <v>HS</v>
      </c>
      <c r="R3389" s="6">
        <f>IFERROR(__xludf.DUMMYFUNCTION("""COMPUTED_VALUE"""),0.0)</f>
        <v>0</v>
      </c>
      <c r="S3389" s="6" t="str">
        <f>IFERROR(__xludf.DUMMYFUNCTION("""COMPUTED_VALUE"""),"Megan Montellano")</f>
        <v>Megan Montellano</v>
      </c>
      <c r="T3389" s="6" t="str">
        <f>IFERROR(__xludf.DUMMYFUNCTION("""COMPUTED_VALUE"""),"megan.montellano@ortrail.k12.or.us")</f>
        <v>megan.montellano@ortrail.k12.or.us</v>
      </c>
      <c r="U3389" s="6" t="str">
        <f>IFERROR(__xludf.DUMMYFUNCTION("""COMPUTED_VALUE"""),"11")</f>
        <v>11</v>
      </c>
      <c r="V3389" s="6" t="str">
        <f>IFERROR(__xludf.DUMMYFUNCTION("""COMPUTED_VALUE"""),"English")</f>
        <v>English</v>
      </c>
      <c r="W3389" s="6" t="str">
        <f>IFERROR(__xludf.DUMMYFUNCTION("""COMPUTED_VALUE"""),"[]")</f>
        <v>[]</v>
      </c>
      <c r="X3389" s="6" t="str">
        <f>IFERROR(__xludf.DUMMYFUNCTION("""COMPUTED_VALUE"""),"Enrolled")</f>
        <v>Enrolled</v>
      </c>
    </row>
    <row r="3390">
      <c r="A3390" s="6" t="str">
        <f>IFERROR(__xludf.DUMMYFUNCTION("""COMPUTED_VALUE"""),"064-6328")</f>
        <v>064-6328</v>
      </c>
      <c r="B3390" s="6" t="str">
        <f>IFERROR(__xludf.DUMMYFUNCTION("""COMPUTED_VALUE"""),"64")</f>
        <v>64</v>
      </c>
      <c r="C3390" s="6" t="str">
        <f>IFERROR(__xludf.DUMMYFUNCTION("""COMPUTED_VALUE"""),"6328")</f>
        <v>6328</v>
      </c>
      <c r="D3390" s="6" t="str">
        <f>IFERROR(__xludf.DUMMYFUNCTION("""COMPUTED_VALUE"""),"Elijah")</f>
        <v>Elijah</v>
      </c>
      <c r="E3390" s="6" t="str">
        <f>IFERROR(__xludf.DUMMYFUNCTION("""COMPUTED_VALUE"""),"")</f>
        <v/>
      </c>
      <c r="F3390" s="6" t="str">
        <f>IFERROR(__xludf.DUMMYFUNCTION("""COMPUTED_VALUE"""),"Wortz")</f>
        <v>Wortz</v>
      </c>
      <c r="G3390" s="6" t="str">
        <f>IFERROR(__xludf.DUMMYFUNCTION("""COMPUTED_VALUE"""),"07/13/2009")</f>
        <v>07/13/2009</v>
      </c>
      <c r="H3390" s="6" t="str">
        <f>IFERROR(__xludf.DUMMYFUNCTION("""COMPUTED_VALUE"""),"Self Identify")</f>
        <v>Self Identify</v>
      </c>
      <c r="I3390" s="6" t="str">
        <f>IFERROR(__xludf.DUMMYFUNCTION("""COMPUTED_VALUE"""),"High School")</f>
        <v>High School</v>
      </c>
      <c r="J3390" s="6" t="str">
        <f>IFERROR(__xludf.DUMMYFUNCTION("""COMPUTED_VALUE"""),"10")</f>
        <v>10</v>
      </c>
      <c r="K3390" s="6" t="str">
        <f>IFERROR(__xludf.DUMMYFUNCTION("""COMPUTED_VALUE"""),"elijah_wortz@stu.ortrail.k12.or.us")</f>
        <v>elijah_wortz@stu.ortrail.k12.or.us</v>
      </c>
      <c r="L3390" s="6" t="str">
        <f>IFERROR(__xludf.DUMMYFUNCTION("""COMPUTED_VALUE"""),"Oregon Trail School District 46")</f>
        <v>Oregon Trail School District 46</v>
      </c>
      <c r="M3390" s="6" t="str">
        <f>IFERROR(__xludf.DUMMYFUNCTION("""COMPUTED_VALUE"""),"Sandy High School")</f>
        <v>Sandy High School</v>
      </c>
      <c r="N3390" s="6" t="str">
        <f>IFERROR(__xludf.DUMMYFUNCTION("""COMPUTED_VALUE"""),"")</f>
        <v/>
      </c>
      <c r="O3390" s="87" t="str">
        <f>IFERROR(__xludf.DUMMYFUNCTION("""COMPUTED_VALUE"""),"https://drive.google.com/drive/folders/10T2cTQHqEJZqE-st6uFKPoI?usp=share_link")</f>
        <v>https://drive.google.com/drive/folders/10T2cTQHqEJZqE-st6uFKPoI?usp=share_link</v>
      </c>
      <c r="P3390" s="6" t="str">
        <f>IFERROR(__xludf.DUMMYFUNCTION("""COMPUTED_VALUE"""),"Elijah Wortz")</f>
        <v>Elijah Wortz</v>
      </c>
      <c r="Q3390" s="6" t="str">
        <f>IFERROR(__xludf.DUMMYFUNCTION("""COMPUTED_VALUE"""),"HS")</f>
        <v>HS</v>
      </c>
      <c r="R3390" s="6">
        <f>IFERROR(__xludf.DUMMYFUNCTION("""COMPUTED_VALUE"""),0.0)</f>
        <v>0</v>
      </c>
      <c r="S3390" s="6" t="str">
        <f>IFERROR(__xludf.DUMMYFUNCTION("""COMPUTED_VALUE"""),"Megan Montellano")</f>
        <v>Megan Montellano</v>
      </c>
      <c r="T3390" s="6" t="str">
        <f>IFERROR(__xludf.DUMMYFUNCTION("""COMPUTED_VALUE"""),"megan.montellano@ortrail.k12.or.us")</f>
        <v>megan.montellano@ortrail.k12.or.us</v>
      </c>
      <c r="U3390" s="6" t="str">
        <f>IFERROR(__xludf.DUMMYFUNCTION("""COMPUTED_VALUE"""),"10")</f>
        <v>10</v>
      </c>
      <c r="V3390" s="6" t="str">
        <f>IFERROR(__xludf.DUMMYFUNCTION("""COMPUTED_VALUE"""),"English")</f>
        <v>English</v>
      </c>
      <c r="W3390" s="6" t="str">
        <f>IFERROR(__xludf.DUMMYFUNCTION("""COMPUTED_VALUE"""),"[]")</f>
        <v>[]</v>
      </c>
      <c r="X3390" s="6" t="str">
        <f>IFERROR(__xludf.DUMMYFUNCTION("""COMPUTED_VALUE"""),"Enrolled")</f>
        <v>Enrolled</v>
      </c>
    </row>
    <row r="3391">
      <c r="A3391" s="6" t="str">
        <f>IFERROR(__xludf.DUMMYFUNCTION("""COMPUTED_VALUE"""),"064-6329")</f>
        <v>064-6329</v>
      </c>
      <c r="B3391" s="6" t="str">
        <f>IFERROR(__xludf.DUMMYFUNCTION("""COMPUTED_VALUE"""),"64")</f>
        <v>64</v>
      </c>
      <c r="C3391" s="6" t="str">
        <f>IFERROR(__xludf.DUMMYFUNCTION("""COMPUTED_VALUE"""),"6329")</f>
        <v>6329</v>
      </c>
      <c r="D3391" s="6" t="str">
        <f>IFERROR(__xludf.DUMMYFUNCTION("""COMPUTED_VALUE"""),"Stella")</f>
        <v>Stella</v>
      </c>
      <c r="E3391" s="6" t="str">
        <f>IFERROR(__xludf.DUMMYFUNCTION("""COMPUTED_VALUE"""),"")</f>
        <v/>
      </c>
      <c r="F3391" s="6" t="str">
        <f>IFERROR(__xludf.DUMMYFUNCTION("""COMPUTED_VALUE"""),"Andresen")</f>
        <v>Andresen</v>
      </c>
      <c r="G3391" s="6" t="str">
        <f>IFERROR(__xludf.DUMMYFUNCTION("""COMPUTED_VALUE"""),"01/07/2010")</f>
        <v>01/07/2010</v>
      </c>
      <c r="H3391" s="6" t="str">
        <f>IFERROR(__xludf.DUMMYFUNCTION("""COMPUTED_VALUE"""),"Self Identify")</f>
        <v>Self Identify</v>
      </c>
      <c r="I3391" s="6" t="str">
        <f>IFERROR(__xludf.DUMMYFUNCTION("""COMPUTED_VALUE"""),"High School")</f>
        <v>High School</v>
      </c>
      <c r="J3391" s="6" t="str">
        <f>IFERROR(__xludf.DUMMYFUNCTION("""COMPUTED_VALUE"""),"10")</f>
        <v>10</v>
      </c>
      <c r="K3391" s="6" t="str">
        <f>IFERROR(__xludf.DUMMYFUNCTION("""COMPUTED_VALUE"""),"stella_andresen@stu.ortrail.k12.or.us")</f>
        <v>stella_andresen@stu.ortrail.k12.or.us</v>
      </c>
      <c r="L3391" s="6" t="str">
        <f>IFERROR(__xludf.DUMMYFUNCTION("""COMPUTED_VALUE"""),"Oregon Trail School District 46")</f>
        <v>Oregon Trail School District 46</v>
      </c>
      <c r="M3391" s="6" t="str">
        <f>IFERROR(__xludf.DUMMYFUNCTION("""COMPUTED_VALUE"""),"Sandy High School")</f>
        <v>Sandy High School</v>
      </c>
      <c r="N3391" s="6" t="str">
        <f>IFERROR(__xludf.DUMMYFUNCTION("""COMPUTED_VALUE"""),"")</f>
        <v/>
      </c>
      <c r="O3391" s="87" t="str">
        <f>IFERROR(__xludf.DUMMYFUNCTION("""COMPUTED_VALUE"""),"https://drive.google.com/drive/folders/10T2cTQHqEJZqE-st6uFKPoI?usp=share_link")</f>
        <v>https://drive.google.com/drive/folders/10T2cTQHqEJZqE-st6uFKPoI?usp=share_link</v>
      </c>
      <c r="P3391" s="6" t="str">
        <f>IFERROR(__xludf.DUMMYFUNCTION("""COMPUTED_VALUE"""),"Stella Andresen")</f>
        <v>Stella Andresen</v>
      </c>
      <c r="Q3391" s="6" t="str">
        <f>IFERROR(__xludf.DUMMYFUNCTION("""COMPUTED_VALUE"""),"HS")</f>
        <v>HS</v>
      </c>
      <c r="R3391" s="6">
        <f>IFERROR(__xludf.DUMMYFUNCTION("""COMPUTED_VALUE"""),0.0)</f>
        <v>0</v>
      </c>
      <c r="S3391" s="6" t="str">
        <f>IFERROR(__xludf.DUMMYFUNCTION("""COMPUTED_VALUE"""),"Edgar Montellano")</f>
        <v>Edgar Montellano</v>
      </c>
      <c r="T3391" s="6" t="str">
        <f>IFERROR(__xludf.DUMMYFUNCTION("""COMPUTED_VALUE"""),"edgar.montellano@ortrail.k12.or.us")</f>
        <v>edgar.montellano@ortrail.k12.or.us</v>
      </c>
      <c r="U3391" s="6" t="str">
        <f>IFERROR(__xludf.DUMMYFUNCTION("""COMPUTED_VALUE"""),"10")</f>
        <v>10</v>
      </c>
      <c r="V3391" s="6" t="str">
        <f>IFERROR(__xludf.DUMMYFUNCTION("""COMPUTED_VALUE"""),"Englsih")</f>
        <v>Englsih</v>
      </c>
      <c r="W3391" s="6" t="str">
        <f>IFERROR(__xludf.DUMMYFUNCTION("""COMPUTED_VALUE"""),"[]")</f>
        <v>[]</v>
      </c>
      <c r="X3391" s="6" t="str">
        <f>IFERROR(__xludf.DUMMYFUNCTION("""COMPUTED_VALUE"""),"Enrolled")</f>
        <v>Enrolled</v>
      </c>
    </row>
    <row r="3392">
      <c r="A3392" s="6" t="str">
        <f>IFERROR(__xludf.DUMMYFUNCTION("""COMPUTED_VALUE"""),"064-6330")</f>
        <v>064-6330</v>
      </c>
      <c r="B3392" s="6" t="str">
        <f>IFERROR(__xludf.DUMMYFUNCTION("""COMPUTED_VALUE"""),"64")</f>
        <v>64</v>
      </c>
      <c r="C3392" s="6" t="str">
        <f>IFERROR(__xludf.DUMMYFUNCTION("""COMPUTED_VALUE"""),"6330")</f>
        <v>6330</v>
      </c>
      <c r="D3392" s="6" t="str">
        <f>IFERROR(__xludf.DUMMYFUNCTION("""COMPUTED_VALUE"""),"Elijah")</f>
        <v>Elijah</v>
      </c>
      <c r="E3392" s="6" t="str">
        <f>IFERROR(__xludf.DUMMYFUNCTION("""COMPUTED_VALUE"""),"")</f>
        <v/>
      </c>
      <c r="F3392" s="6" t="str">
        <f>IFERROR(__xludf.DUMMYFUNCTION("""COMPUTED_VALUE"""),"Becerra")</f>
        <v>Becerra</v>
      </c>
      <c r="G3392" s="6" t="str">
        <f>IFERROR(__xludf.DUMMYFUNCTION("""COMPUTED_VALUE"""),"07/05/2010")</f>
        <v>07/05/2010</v>
      </c>
      <c r="H3392" s="6" t="str">
        <f>IFERROR(__xludf.DUMMYFUNCTION("""COMPUTED_VALUE"""),"Self Identify")</f>
        <v>Self Identify</v>
      </c>
      <c r="I3392" s="6" t="str">
        <f>IFERROR(__xludf.DUMMYFUNCTION("""COMPUTED_VALUE"""),"High School")</f>
        <v>High School</v>
      </c>
      <c r="J3392" s="6" t="str">
        <f>IFERROR(__xludf.DUMMYFUNCTION("""COMPUTED_VALUE"""),"10")</f>
        <v>10</v>
      </c>
      <c r="K3392" s="6" t="str">
        <f>IFERROR(__xludf.DUMMYFUNCTION("""COMPUTED_VALUE"""),"elijah_becerra@stu.ortrail.k12.or.us")</f>
        <v>elijah_becerra@stu.ortrail.k12.or.us</v>
      </c>
      <c r="L3392" s="6" t="str">
        <f>IFERROR(__xludf.DUMMYFUNCTION("""COMPUTED_VALUE"""),"Oregon Trail School District 46")</f>
        <v>Oregon Trail School District 46</v>
      </c>
      <c r="M3392" s="6" t="str">
        <f>IFERROR(__xludf.DUMMYFUNCTION("""COMPUTED_VALUE"""),"Sandy High School")</f>
        <v>Sandy High School</v>
      </c>
      <c r="N3392" s="6" t="str">
        <f>IFERROR(__xludf.DUMMYFUNCTION("""COMPUTED_VALUE"""),"")</f>
        <v/>
      </c>
      <c r="O3392" s="87" t="str">
        <f>IFERROR(__xludf.DUMMYFUNCTION("""COMPUTED_VALUE"""),"https://drive.google.com/drive/folders/10T2cTQHqEJZqE-st6uFKPoI?usp=share_link")</f>
        <v>https://drive.google.com/drive/folders/10T2cTQHqEJZqE-st6uFKPoI?usp=share_link</v>
      </c>
      <c r="P3392" s="6" t="str">
        <f>IFERROR(__xludf.DUMMYFUNCTION("""COMPUTED_VALUE"""),"Elijah Becerra")</f>
        <v>Elijah Becerra</v>
      </c>
      <c r="Q3392" s="6" t="str">
        <f>IFERROR(__xludf.DUMMYFUNCTION("""COMPUTED_VALUE"""),"HS")</f>
        <v>HS</v>
      </c>
      <c r="R3392" s="6">
        <f>IFERROR(__xludf.DUMMYFUNCTION("""COMPUTED_VALUE"""),0.0)</f>
        <v>0</v>
      </c>
      <c r="S3392" s="6" t="str">
        <f>IFERROR(__xludf.DUMMYFUNCTION("""COMPUTED_VALUE"""),"Edgar Montellano")</f>
        <v>Edgar Montellano</v>
      </c>
      <c r="T3392" s="6" t="str">
        <f>IFERROR(__xludf.DUMMYFUNCTION("""COMPUTED_VALUE"""),"edgar.montellano@ortrail.k12.or.us")</f>
        <v>edgar.montellano@ortrail.k12.or.us</v>
      </c>
      <c r="U3392" s="6" t="str">
        <f>IFERROR(__xludf.DUMMYFUNCTION("""COMPUTED_VALUE"""),"10")</f>
        <v>10</v>
      </c>
      <c r="V3392" s="6" t="str">
        <f>IFERROR(__xludf.DUMMYFUNCTION("""COMPUTED_VALUE"""),"English")</f>
        <v>English</v>
      </c>
      <c r="W3392" s="6" t="str">
        <f>IFERROR(__xludf.DUMMYFUNCTION("""COMPUTED_VALUE"""),"[]")</f>
        <v>[]</v>
      </c>
      <c r="X3392" s="6" t="str">
        <f>IFERROR(__xludf.DUMMYFUNCTION("""COMPUTED_VALUE"""),"Enrolled")</f>
        <v>Enrolled</v>
      </c>
    </row>
    <row r="3393">
      <c r="A3393" s="6" t="str">
        <f>IFERROR(__xludf.DUMMYFUNCTION("""COMPUTED_VALUE"""),"064-6331")</f>
        <v>064-6331</v>
      </c>
      <c r="B3393" s="6" t="str">
        <f>IFERROR(__xludf.DUMMYFUNCTION("""COMPUTED_VALUE"""),"64")</f>
        <v>64</v>
      </c>
      <c r="C3393" s="6" t="str">
        <f>IFERROR(__xludf.DUMMYFUNCTION("""COMPUTED_VALUE"""),"6331")</f>
        <v>6331</v>
      </c>
      <c r="D3393" s="6" t="str">
        <f>IFERROR(__xludf.DUMMYFUNCTION("""COMPUTED_VALUE"""),"Finn")</f>
        <v>Finn</v>
      </c>
      <c r="E3393" s="6" t="str">
        <f>IFERROR(__xludf.DUMMYFUNCTION("""COMPUTED_VALUE"""),"")</f>
        <v/>
      </c>
      <c r="F3393" s="6" t="str">
        <f>IFERROR(__xludf.DUMMYFUNCTION("""COMPUTED_VALUE"""),"Born")</f>
        <v>Born</v>
      </c>
      <c r="G3393" s="6" t="str">
        <f>IFERROR(__xludf.DUMMYFUNCTION("""COMPUTED_VALUE"""),"09/08/2009")</f>
        <v>09/08/2009</v>
      </c>
      <c r="H3393" s="6" t="str">
        <f>IFERROR(__xludf.DUMMYFUNCTION("""COMPUTED_VALUE"""),"Self Identify")</f>
        <v>Self Identify</v>
      </c>
      <c r="I3393" s="6" t="str">
        <f>IFERROR(__xludf.DUMMYFUNCTION("""COMPUTED_VALUE"""),"High School")</f>
        <v>High School</v>
      </c>
      <c r="J3393" s="6" t="str">
        <f>IFERROR(__xludf.DUMMYFUNCTION("""COMPUTED_VALUE"""),"10")</f>
        <v>10</v>
      </c>
      <c r="K3393" s="6" t="str">
        <f>IFERROR(__xludf.DUMMYFUNCTION("""COMPUTED_VALUE"""),"finn_born@stu.ortrail.k12.or.us")</f>
        <v>finn_born@stu.ortrail.k12.or.us</v>
      </c>
      <c r="L3393" s="6" t="str">
        <f>IFERROR(__xludf.DUMMYFUNCTION("""COMPUTED_VALUE"""),"Oregon Trail School District 46")</f>
        <v>Oregon Trail School District 46</v>
      </c>
      <c r="M3393" s="6" t="str">
        <f>IFERROR(__xludf.DUMMYFUNCTION("""COMPUTED_VALUE"""),"Sandy High School")</f>
        <v>Sandy High School</v>
      </c>
      <c r="N3393" s="6" t="str">
        <f>IFERROR(__xludf.DUMMYFUNCTION("""COMPUTED_VALUE"""),"")</f>
        <v/>
      </c>
      <c r="O3393" s="87" t="str">
        <f>IFERROR(__xludf.DUMMYFUNCTION("""COMPUTED_VALUE"""),"https://drive.google.com/drive/folders/10T2cTQHqEJZqE-st6uFKPoI?usp=share_link")</f>
        <v>https://drive.google.com/drive/folders/10T2cTQHqEJZqE-st6uFKPoI?usp=share_link</v>
      </c>
      <c r="P3393" s="6" t="str">
        <f>IFERROR(__xludf.DUMMYFUNCTION("""COMPUTED_VALUE"""),"Finn Born")</f>
        <v>Finn Born</v>
      </c>
      <c r="Q3393" s="6" t="str">
        <f>IFERROR(__xludf.DUMMYFUNCTION("""COMPUTED_VALUE"""),"HS")</f>
        <v>HS</v>
      </c>
      <c r="R3393" s="6">
        <f>IFERROR(__xludf.DUMMYFUNCTION("""COMPUTED_VALUE"""),0.0)</f>
        <v>0</v>
      </c>
      <c r="S3393" s="6" t="str">
        <f>IFERROR(__xludf.DUMMYFUNCTION("""COMPUTED_VALUE"""),"Edgar Montellano")</f>
        <v>Edgar Montellano</v>
      </c>
      <c r="T3393" s="6" t="str">
        <f>IFERROR(__xludf.DUMMYFUNCTION("""COMPUTED_VALUE"""),"edgar.montellano@ortrail.k12.or.us")</f>
        <v>edgar.montellano@ortrail.k12.or.us</v>
      </c>
      <c r="U3393" s="6" t="str">
        <f>IFERROR(__xludf.DUMMYFUNCTION("""COMPUTED_VALUE"""),"10")</f>
        <v>10</v>
      </c>
      <c r="V3393" s="6" t="str">
        <f>IFERROR(__xludf.DUMMYFUNCTION("""COMPUTED_VALUE"""),"English")</f>
        <v>English</v>
      </c>
      <c r="W3393" s="6" t="str">
        <f>IFERROR(__xludf.DUMMYFUNCTION("""COMPUTED_VALUE"""),"[]")</f>
        <v>[]</v>
      </c>
      <c r="X3393" s="6" t="str">
        <f>IFERROR(__xludf.DUMMYFUNCTION("""COMPUTED_VALUE"""),"Enrolled")</f>
        <v>Enrolled</v>
      </c>
    </row>
    <row r="3394">
      <c r="A3394" s="6" t="str">
        <f>IFERROR(__xludf.DUMMYFUNCTION("""COMPUTED_VALUE"""),"064-6334")</f>
        <v>064-6334</v>
      </c>
      <c r="B3394" s="6" t="str">
        <f>IFERROR(__xludf.DUMMYFUNCTION("""COMPUTED_VALUE"""),"64")</f>
        <v>64</v>
      </c>
      <c r="C3394" s="6" t="str">
        <f>IFERROR(__xludf.DUMMYFUNCTION("""COMPUTED_VALUE"""),"6334")</f>
        <v>6334</v>
      </c>
      <c r="D3394" s="6" t="str">
        <f>IFERROR(__xludf.DUMMYFUNCTION("""COMPUTED_VALUE"""),"Kayla")</f>
        <v>Kayla</v>
      </c>
      <c r="E3394" s="6" t="str">
        <f>IFERROR(__xludf.DUMMYFUNCTION("""COMPUTED_VALUE"""),"")</f>
        <v/>
      </c>
      <c r="F3394" s="6" t="str">
        <f>IFERROR(__xludf.DUMMYFUNCTION("""COMPUTED_VALUE"""),"Copeland")</f>
        <v>Copeland</v>
      </c>
      <c r="G3394" s="6" t="str">
        <f>IFERROR(__xludf.DUMMYFUNCTION("""COMPUTED_VALUE"""),"12/26/2009")</f>
        <v>12/26/2009</v>
      </c>
      <c r="H3394" s="6" t="str">
        <f>IFERROR(__xludf.DUMMYFUNCTION("""COMPUTED_VALUE"""),"Self Identify")</f>
        <v>Self Identify</v>
      </c>
      <c r="I3394" s="6" t="str">
        <f>IFERROR(__xludf.DUMMYFUNCTION("""COMPUTED_VALUE"""),"High School")</f>
        <v>High School</v>
      </c>
      <c r="J3394" s="6" t="str">
        <f>IFERROR(__xludf.DUMMYFUNCTION("""COMPUTED_VALUE"""),"10")</f>
        <v>10</v>
      </c>
      <c r="K3394" s="6" t="str">
        <f>IFERROR(__xludf.DUMMYFUNCTION("""COMPUTED_VALUE"""),"kayla_copeland@stu.ortrail.k12.or.us")</f>
        <v>kayla_copeland@stu.ortrail.k12.or.us</v>
      </c>
      <c r="L3394" s="6" t="str">
        <f>IFERROR(__xludf.DUMMYFUNCTION("""COMPUTED_VALUE"""),"Oregon Trail School District 46")</f>
        <v>Oregon Trail School District 46</v>
      </c>
      <c r="M3394" s="6" t="str">
        <f>IFERROR(__xludf.DUMMYFUNCTION("""COMPUTED_VALUE"""),"Sandy High School")</f>
        <v>Sandy High School</v>
      </c>
      <c r="N3394" s="6" t="str">
        <f>IFERROR(__xludf.DUMMYFUNCTION("""COMPUTED_VALUE"""),"")</f>
        <v/>
      </c>
      <c r="O3394" s="87" t="str">
        <f>IFERROR(__xludf.DUMMYFUNCTION("""COMPUTED_VALUE"""),"https://drive.google.com/drive/folders/10T2cTQHqEJZqE-st6uFKPoI?usp=share_link")</f>
        <v>https://drive.google.com/drive/folders/10T2cTQHqEJZqE-st6uFKPoI?usp=share_link</v>
      </c>
      <c r="P3394" s="6" t="str">
        <f>IFERROR(__xludf.DUMMYFUNCTION("""COMPUTED_VALUE"""),"Kayla Copeland")</f>
        <v>Kayla Copeland</v>
      </c>
      <c r="Q3394" s="6" t="str">
        <f>IFERROR(__xludf.DUMMYFUNCTION("""COMPUTED_VALUE"""),"HS")</f>
        <v>HS</v>
      </c>
      <c r="R3394" s="6">
        <f>IFERROR(__xludf.DUMMYFUNCTION("""COMPUTED_VALUE"""),0.0)</f>
        <v>0</v>
      </c>
      <c r="S3394" s="6" t="str">
        <f>IFERROR(__xludf.DUMMYFUNCTION("""COMPUTED_VALUE"""),"Edgar Montellano")</f>
        <v>Edgar Montellano</v>
      </c>
      <c r="T3394" s="6" t="str">
        <f>IFERROR(__xludf.DUMMYFUNCTION("""COMPUTED_VALUE"""),"edgar.montellano@ortrail.k12.or.us")</f>
        <v>edgar.montellano@ortrail.k12.or.us</v>
      </c>
      <c r="U3394" s="6" t="str">
        <f>IFERROR(__xludf.DUMMYFUNCTION("""COMPUTED_VALUE"""),"10")</f>
        <v>10</v>
      </c>
      <c r="V3394" s="6" t="str">
        <f>IFERROR(__xludf.DUMMYFUNCTION("""COMPUTED_VALUE"""),"English")</f>
        <v>English</v>
      </c>
      <c r="W3394" s="6" t="str">
        <f>IFERROR(__xludf.DUMMYFUNCTION("""COMPUTED_VALUE"""),"[]")</f>
        <v>[]</v>
      </c>
      <c r="X3394" s="6" t="str">
        <f>IFERROR(__xludf.DUMMYFUNCTION("""COMPUTED_VALUE"""),"Enrolled")</f>
        <v>Enrolled</v>
      </c>
    </row>
    <row r="3395">
      <c r="A3395" s="6" t="str">
        <f>IFERROR(__xludf.DUMMYFUNCTION("""COMPUTED_VALUE"""),"064-6336")</f>
        <v>064-6336</v>
      </c>
      <c r="B3395" s="6" t="str">
        <f>IFERROR(__xludf.DUMMYFUNCTION("""COMPUTED_VALUE"""),"64")</f>
        <v>64</v>
      </c>
      <c r="C3395" s="6" t="str">
        <f>IFERROR(__xludf.DUMMYFUNCTION("""COMPUTED_VALUE"""),"6336")</f>
        <v>6336</v>
      </c>
      <c r="D3395" s="6" t="str">
        <f>IFERROR(__xludf.DUMMYFUNCTION("""COMPUTED_VALUE"""),"Payton")</f>
        <v>Payton</v>
      </c>
      <c r="E3395" s="6" t="str">
        <f>IFERROR(__xludf.DUMMYFUNCTION("""COMPUTED_VALUE"""),"")</f>
        <v/>
      </c>
      <c r="F3395" s="6" t="str">
        <f>IFERROR(__xludf.DUMMYFUNCTION("""COMPUTED_VALUE"""),"Haney")</f>
        <v>Haney</v>
      </c>
      <c r="G3395" s="6" t="str">
        <f>IFERROR(__xludf.DUMMYFUNCTION("""COMPUTED_VALUE"""),"08/22/2009")</f>
        <v>08/22/2009</v>
      </c>
      <c r="H3395" s="6" t="str">
        <f>IFERROR(__xludf.DUMMYFUNCTION("""COMPUTED_VALUE"""),"Self Identify")</f>
        <v>Self Identify</v>
      </c>
      <c r="I3395" s="6" t="str">
        <f>IFERROR(__xludf.DUMMYFUNCTION("""COMPUTED_VALUE"""),"High School")</f>
        <v>High School</v>
      </c>
      <c r="J3395" s="6" t="str">
        <f>IFERROR(__xludf.DUMMYFUNCTION("""COMPUTED_VALUE"""),"11")</f>
        <v>11</v>
      </c>
      <c r="K3395" s="6" t="str">
        <f>IFERROR(__xludf.DUMMYFUNCTION("""COMPUTED_VALUE"""),"payton_haney@stu.ortrail.k12.or.us")</f>
        <v>payton_haney@stu.ortrail.k12.or.us</v>
      </c>
      <c r="L3395" s="6" t="str">
        <f>IFERROR(__xludf.DUMMYFUNCTION("""COMPUTED_VALUE"""),"Oregon Trail School District 46")</f>
        <v>Oregon Trail School District 46</v>
      </c>
      <c r="M3395" s="6" t="str">
        <f>IFERROR(__xludf.DUMMYFUNCTION("""COMPUTED_VALUE"""),"Sandy High School")</f>
        <v>Sandy High School</v>
      </c>
      <c r="N3395" s="6" t="str">
        <f>IFERROR(__xludf.DUMMYFUNCTION("""COMPUTED_VALUE"""),"")</f>
        <v/>
      </c>
      <c r="O3395" s="87" t="str">
        <f>IFERROR(__xludf.DUMMYFUNCTION("""COMPUTED_VALUE"""),"https://drive.google.com/drive/folders/10T2cTQHqEJZqE-st6uFKPoI?usp=share_link")</f>
        <v>https://drive.google.com/drive/folders/10T2cTQHqEJZqE-st6uFKPoI?usp=share_link</v>
      </c>
      <c r="P3395" s="6" t="str">
        <f>IFERROR(__xludf.DUMMYFUNCTION("""COMPUTED_VALUE"""),"Payton Haney")</f>
        <v>Payton Haney</v>
      </c>
      <c r="Q3395" s="6" t="str">
        <f>IFERROR(__xludf.DUMMYFUNCTION("""COMPUTED_VALUE"""),"HS")</f>
        <v>HS</v>
      </c>
      <c r="R3395" s="6">
        <f>IFERROR(__xludf.DUMMYFUNCTION("""COMPUTED_VALUE"""),0.0)</f>
        <v>0</v>
      </c>
      <c r="S3395" s="6" t="str">
        <f>IFERROR(__xludf.DUMMYFUNCTION("""COMPUTED_VALUE"""),"Edgar Montellano")</f>
        <v>Edgar Montellano</v>
      </c>
      <c r="T3395" s="6" t="str">
        <f>IFERROR(__xludf.DUMMYFUNCTION("""COMPUTED_VALUE"""),"edgar.montellano@ortrail.k12.or.us")</f>
        <v>edgar.montellano@ortrail.k12.or.us</v>
      </c>
      <c r="U3395" s="6" t="str">
        <f>IFERROR(__xludf.DUMMYFUNCTION("""COMPUTED_VALUE"""),"11")</f>
        <v>11</v>
      </c>
      <c r="V3395" s="6" t="str">
        <f>IFERROR(__xludf.DUMMYFUNCTION("""COMPUTED_VALUE"""),"English")</f>
        <v>English</v>
      </c>
      <c r="W3395" s="6" t="str">
        <f>IFERROR(__xludf.DUMMYFUNCTION("""COMPUTED_VALUE"""),"[]")</f>
        <v>[]</v>
      </c>
      <c r="X3395" s="6" t="str">
        <f>IFERROR(__xludf.DUMMYFUNCTION("""COMPUTED_VALUE"""),"Enrolled")</f>
        <v>Enrolled</v>
      </c>
    </row>
    <row r="3396">
      <c r="A3396" s="6" t="str">
        <f>IFERROR(__xludf.DUMMYFUNCTION("""COMPUTED_VALUE"""),"064-6337")</f>
        <v>064-6337</v>
      </c>
      <c r="B3396" s="6" t="str">
        <f>IFERROR(__xludf.DUMMYFUNCTION("""COMPUTED_VALUE"""),"64")</f>
        <v>64</v>
      </c>
      <c r="C3396" s="6" t="str">
        <f>IFERROR(__xludf.DUMMYFUNCTION("""COMPUTED_VALUE"""),"6337")</f>
        <v>6337</v>
      </c>
      <c r="D3396" s="6" t="str">
        <f>IFERROR(__xludf.DUMMYFUNCTION("""COMPUTED_VALUE"""),"Avery")</f>
        <v>Avery</v>
      </c>
      <c r="E3396" s="6" t="str">
        <f>IFERROR(__xludf.DUMMYFUNCTION("""COMPUTED_VALUE"""),"")</f>
        <v/>
      </c>
      <c r="F3396" s="6" t="str">
        <f>IFERROR(__xludf.DUMMYFUNCTION("""COMPUTED_VALUE"""),"Hawkins")</f>
        <v>Hawkins</v>
      </c>
      <c r="G3396" s="6" t="str">
        <f>IFERROR(__xludf.DUMMYFUNCTION("""COMPUTED_VALUE"""),"08/25/2008")</f>
        <v>08/25/2008</v>
      </c>
      <c r="H3396" s="6" t="str">
        <f>IFERROR(__xludf.DUMMYFUNCTION("""COMPUTED_VALUE"""),"M")</f>
        <v>M</v>
      </c>
      <c r="I3396" s="6" t="str">
        <f>IFERROR(__xludf.DUMMYFUNCTION("""COMPUTED_VALUE"""),"High School")</f>
        <v>High School</v>
      </c>
      <c r="J3396" s="6" t="str">
        <f>IFERROR(__xludf.DUMMYFUNCTION("""COMPUTED_VALUE"""),"12")</f>
        <v>12</v>
      </c>
      <c r="K3396" s="6" t="str">
        <f>IFERROR(__xludf.DUMMYFUNCTION("""COMPUTED_VALUE"""),"averyj_hawkins@stu.ortrail.k12.or.us")</f>
        <v>averyj_hawkins@stu.ortrail.k12.or.us</v>
      </c>
      <c r="L3396" s="6" t="str">
        <f>IFERROR(__xludf.DUMMYFUNCTION("""COMPUTED_VALUE"""),"Oregon Trail School District 46")</f>
        <v>Oregon Trail School District 46</v>
      </c>
      <c r="M3396" s="6" t="str">
        <f>IFERROR(__xludf.DUMMYFUNCTION("""COMPUTED_VALUE"""),"")</f>
        <v/>
      </c>
      <c r="N3396" s="6" t="str">
        <f>IFERROR(__xludf.DUMMYFUNCTION("""COMPUTED_VALUE"""),"")</f>
        <v/>
      </c>
      <c r="O3396" s="87" t="str">
        <f>IFERROR(__xludf.DUMMYFUNCTION("""COMPUTED_VALUE"""),"https://drive.google.com/drive/folders/10T2cTQHqEJZqE-st6uFKPoI?usp=share_link")</f>
        <v>https://drive.google.com/drive/folders/10T2cTQHqEJZqE-st6uFKPoI?usp=share_link</v>
      </c>
      <c r="P3396" s="6" t="str">
        <f>IFERROR(__xludf.DUMMYFUNCTION("""COMPUTED_VALUE"""),"Avery Hawkins")</f>
        <v>Avery Hawkins</v>
      </c>
      <c r="Q3396" s="6" t="str">
        <f>IFERROR(__xludf.DUMMYFUNCTION("""COMPUTED_VALUE"""),"HS")</f>
        <v>HS</v>
      </c>
      <c r="R3396" s="6">
        <f>IFERROR(__xludf.DUMMYFUNCTION("""COMPUTED_VALUE"""),0.0)</f>
        <v>0</v>
      </c>
      <c r="S3396" s="6" t="str">
        <f>IFERROR(__xludf.DUMMYFUNCTION("""COMPUTED_VALUE"""),"Genevra Self")</f>
        <v>Genevra Self</v>
      </c>
      <c r="T3396" s="6" t="str">
        <f>IFERROR(__xludf.DUMMYFUNCTION("""COMPUTED_VALUE"""),"genevra.self@studient.com")</f>
        <v>genevra.self@studient.com</v>
      </c>
      <c r="U3396" s="6" t="str">
        <f>IFERROR(__xludf.DUMMYFUNCTION("""COMPUTED_VALUE"""),"12")</f>
        <v>12</v>
      </c>
      <c r="V3396" s="6" t="str">
        <f>IFERROR(__xludf.DUMMYFUNCTION("""COMPUTED_VALUE"""),"English")</f>
        <v>English</v>
      </c>
      <c r="W3396" s="6" t="str">
        <f>IFERROR(__xludf.DUMMYFUNCTION("""COMPUTED_VALUE"""),"[]")</f>
        <v>[]</v>
      </c>
      <c r="X3396" s="6" t="str">
        <f>IFERROR(__xludf.DUMMYFUNCTION("""COMPUTED_VALUE"""),"Enrolled")</f>
        <v>Enrolled</v>
      </c>
    </row>
    <row r="3397">
      <c r="A3397" s="6" t="str">
        <f>IFERROR(__xludf.DUMMYFUNCTION("""COMPUTED_VALUE"""),"064-6338")</f>
        <v>064-6338</v>
      </c>
      <c r="B3397" s="6" t="str">
        <f>IFERROR(__xludf.DUMMYFUNCTION("""COMPUTED_VALUE"""),"64")</f>
        <v>64</v>
      </c>
      <c r="C3397" s="6" t="str">
        <f>IFERROR(__xludf.DUMMYFUNCTION("""COMPUTED_VALUE"""),"6338")</f>
        <v>6338</v>
      </c>
      <c r="D3397" s="6" t="str">
        <f>IFERROR(__xludf.DUMMYFUNCTION("""COMPUTED_VALUE"""),"Evelyn")</f>
        <v>Evelyn</v>
      </c>
      <c r="E3397" s="6" t="str">
        <f>IFERROR(__xludf.DUMMYFUNCTION("""COMPUTED_VALUE"""),"")</f>
        <v/>
      </c>
      <c r="F3397" s="6" t="str">
        <f>IFERROR(__xludf.DUMMYFUNCTION("""COMPUTED_VALUE"""),"Helmink")</f>
        <v>Helmink</v>
      </c>
      <c r="G3397" s="6" t="str">
        <f>IFERROR(__xludf.DUMMYFUNCTION("""COMPUTED_VALUE"""),"01/24/2010")</f>
        <v>01/24/2010</v>
      </c>
      <c r="H3397" s="6" t="str">
        <f>IFERROR(__xludf.DUMMYFUNCTION("""COMPUTED_VALUE"""),"Self Identify")</f>
        <v>Self Identify</v>
      </c>
      <c r="I3397" s="6" t="str">
        <f>IFERROR(__xludf.DUMMYFUNCTION("""COMPUTED_VALUE"""),"High School")</f>
        <v>High School</v>
      </c>
      <c r="J3397" s="6" t="str">
        <f>IFERROR(__xludf.DUMMYFUNCTION("""COMPUTED_VALUE"""),"10")</f>
        <v>10</v>
      </c>
      <c r="K3397" s="6" t="str">
        <f>IFERROR(__xludf.DUMMYFUNCTION("""COMPUTED_VALUE"""),"evelyn_helmink@stu.ortrail.k12.or.us")</f>
        <v>evelyn_helmink@stu.ortrail.k12.or.us</v>
      </c>
      <c r="L3397" s="6" t="str">
        <f>IFERROR(__xludf.DUMMYFUNCTION("""COMPUTED_VALUE"""),"Oregon Trail School District 46")</f>
        <v>Oregon Trail School District 46</v>
      </c>
      <c r="M3397" s="6" t="str">
        <f>IFERROR(__xludf.DUMMYFUNCTION("""COMPUTED_VALUE"""),"Sandy High School")</f>
        <v>Sandy High School</v>
      </c>
      <c r="N3397" s="6" t="str">
        <f>IFERROR(__xludf.DUMMYFUNCTION("""COMPUTED_VALUE"""),"")</f>
        <v/>
      </c>
      <c r="O3397" s="87" t="str">
        <f>IFERROR(__xludf.DUMMYFUNCTION("""COMPUTED_VALUE"""),"https://drive.google.com/drive/folders/10T2cTQHqEJZqE-st6uFKPoI?usp=share_link")</f>
        <v>https://drive.google.com/drive/folders/10T2cTQHqEJZqE-st6uFKPoI?usp=share_link</v>
      </c>
      <c r="P3397" s="6" t="str">
        <f>IFERROR(__xludf.DUMMYFUNCTION("""COMPUTED_VALUE"""),"Evelyn Helmink")</f>
        <v>Evelyn Helmink</v>
      </c>
      <c r="Q3397" s="6" t="str">
        <f>IFERROR(__xludf.DUMMYFUNCTION("""COMPUTED_VALUE"""),"HS")</f>
        <v>HS</v>
      </c>
      <c r="R3397" s="6">
        <f>IFERROR(__xludf.DUMMYFUNCTION("""COMPUTED_VALUE"""),0.0)</f>
        <v>0</v>
      </c>
      <c r="S3397" s="6" t="str">
        <f>IFERROR(__xludf.DUMMYFUNCTION("""COMPUTED_VALUE"""),"Edgar Montellano")</f>
        <v>Edgar Montellano</v>
      </c>
      <c r="T3397" s="6" t="str">
        <f>IFERROR(__xludf.DUMMYFUNCTION("""COMPUTED_VALUE"""),"edgar.montellano@ortrail.k12.or.us")</f>
        <v>edgar.montellano@ortrail.k12.or.us</v>
      </c>
      <c r="U3397" s="6" t="str">
        <f>IFERROR(__xludf.DUMMYFUNCTION("""COMPUTED_VALUE"""),"10")</f>
        <v>10</v>
      </c>
      <c r="V3397" s="6" t="str">
        <f>IFERROR(__xludf.DUMMYFUNCTION("""COMPUTED_VALUE"""),"English")</f>
        <v>English</v>
      </c>
      <c r="W3397" s="6" t="str">
        <f>IFERROR(__xludf.DUMMYFUNCTION("""COMPUTED_VALUE"""),"[]")</f>
        <v>[]</v>
      </c>
      <c r="X3397" s="6" t="str">
        <f>IFERROR(__xludf.DUMMYFUNCTION("""COMPUTED_VALUE"""),"Enrolled")</f>
        <v>Enrolled</v>
      </c>
    </row>
    <row r="3398">
      <c r="A3398" s="6" t="str">
        <f>IFERROR(__xludf.DUMMYFUNCTION("""COMPUTED_VALUE"""),"064-6341")</f>
        <v>064-6341</v>
      </c>
      <c r="B3398" s="6" t="str">
        <f>IFERROR(__xludf.DUMMYFUNCTION("""COMPUTED_VALUE"""),"64")</f>
        <v>64</v>
      </c>
      <c r="C3398" s="6" t="str">
        <f>IFERROR(__xludf.DUMMYFUNCTION("""COMPUTED_VALUE"""),"6341")</f>
        <v>6341</v>
      </c>
      <c r="D3398" s="6" t="str">
        <f>IFERROR(__xludf.DUMMYFUNCTION("""COMPUTED_VALUE"""),"James")</f>
        <v>James</v>
      </c>
      <c r="E3398" s="6" t="str">
        <f>IFERROR(__xludf.DUMMYFUNCTION("""COMPUTED_VALUE"""),"")</f>
        <v/>
      </c>
      <c r="F3398" s="6" t="str">
        <f>IFERROR(__xludf.DUMMYFUNCTION("""COMPUTED_VALUE"""),"Kim")</f>
        <v>Kim</v>
      </c>
      <c r="G3398" s="6" t="str">
        <f>IFERROR(__xludf.DUMMYFUNCTION("""COMPUTED_VALUE"""),"10/28/2009")</f>
        <v>10/28/2009</v>
      </c>
      <c r="H3398" s="6" t="str">
        <f>IFERROR(__xludf.DUMMYFUNCTION("""COMPUTED_VALUE"""),"Self Identify")</f>
        <v>Self Identify</v>
      </c>
      <c r="I3398" s="6" t="str">
        <f>IFERROR(__xludf.DUMMYFUNCTION("""COMPUTED_VALUE"""),"High School")</f>
        <v>High School</v>
      </c>
      <c r="J3398" s="6" t="str">
        <f>IFERROR(__xludf.DUMMYFUNCTION("""COMPUTED_VALUE"""),"10")</f>
        <v>10</v>
      </c>
      <c r="K3398" s="6" t="str">
        <f>IFERROR(__xludf.DUMMYFUNCTION("""COMPUTED_VALUE"""),"james_kim@stu.ortrail.k12.or.us")</f>
        <v>james_kim@stu.ortrail.k12.or.us</v>
      </c>
      <c r="L3398" s="6" t="str">
        <f>IFERROR(__xludf.DUMMYFUNCTION("""COMPUTED_VALUE"""),"Oregon Trail School District 46")</f>
        <v>Oregon Trail School District 46</v>
      </c>
      <c r="M3398" s="6" t="str">
        <f>IFERROR(__xludf.DUMMYFUNCTION("""COMPUTED_VALUE"""),"Sandy High School")</f>
        <v>Sandy High School</v>
      </c>
      <c r="N3398" s="6" t="str">
        <f>IFERROR(__xludf.DUMMYFUNCTION("""COMPUTED_VALUE"""),"")</f>
        <v/>
      </c>
      <c r="O3398" s="87" t="str">
        <f>IFERROR(__xludf.DUMMYFUNCTION("""COMPUTED_VALUE"""),"https://drive.google.com/drive/folders/10T2cTQHqEJZqE-st6uFKPoI?usp=share_link")</f>
        <v>https://drive.google.com/drive/folders/10T2cTQHqEJZqE-st6uFKPoI?usp=share_link</v>
      </c>
      <c r="P3398" s="6" t="str">
        <f>IFERROR(__xludf.DUMMYFUNCTION("""COMPUTED_VALUE"""),"James Kim")</f>
        <v>James Kim</v>
      </c>
      <c r="Q3398" s="6" t="str">
        <f>IFERROR(__xludf.DUMMYFUNCTION("""COMPUTED_VALUE"""),"HS")</f>
        <v>HS</v>
      </c>
      <c r="R3398" s="6">
        <f>IFERROR(__xludf.DUMMYFUNCTION("""COMPUTED_VALUE"""),0.0)</f>
        <v>0</v>
      </c>
      <c r="S3398" s="6" t="str">
        <f>IFERROR(__xludf.DUMMYFUNCTION("""COMPUTED_VALUE"""),"Edgar Montellano")</f>
        <v>Edgar Montellano</v>
      </c>
      <c r="T3398" s="6" t="str">
        <f>IFERROR(__xludf.DUMMYFUNCTION("""COMPUTED_VALUE"""),"edgar.montellano@ortrail.k12.or.us")</f>
        <v>edgar.montellano@ortrail.k12.or.us</v>
      </c>
      <c r="U3398" s="6" t="str">
        <f>IFERROR(__xludf.DUMMYFUNCTION("""COMPUTED_VALUE"""),"10")</f>
        <v>10</v>
      </c>
      <c r="V3398" s="6" t="str">
        <f>IFERROR(__xludf.DUMMYFUNCTION("""COMPUTED_VALUE"""),"English")</f>
        <v>English</v>
      </c>
      <c r="W3398" s="6" t="str">
        <f>IFERROR(__xludf.DUMMYFUNCTION("""COMPUTED_VALUE"""),"[]")</f>
        <v>[]</v>
      </c>
      <c r="X3398" s="6" t="str">
        <f>IFERROR(__xludf.DUMMYFUNCTION("""COMPUTED_VALUE"""),"Enrolled")</f>
        <v>Enrolled</v>
      </c>
    </row>
    <row r="3399">
      <c r="A3399" s="6" t="str">
        <f>IFERROR(__xludf.DUMMYFUNCTION("""COMPUTED_VALUE"""),"064-6344")</f>
        <v>064-6344</v>
      </c>
      <c r="B3399" s="6" t="str">
        <f>IFERROR(__xludf.DUMMYFUNCTION("""COMPUTED_VALUE"""),"64")</f>
        <v>64</v>
      </c>
      <c r="C3399" s="6" t="str">
        <f>IFERROR(__xludf.DUMMYFUNCTION("""COMPUTED_VALUE"""),"6344")</f>
        <v>6344</v>
      </c>
      <c r="D3399" s="6" t="str">
        <f>IFERROR(__xludf.DUMMYFUNCTION("""COMPUTED_VALUE"""),"Marli")</f>
        <v>Marli</v>
      </c>
      <c r="E3399" s="6" t="str">
        <f>IFERROR(__xludf.DUMMYFUNCTION("""COMPUTED_VALUE"""),"")</f>
        <v/>
      </c>
      <c r="F3399" s="6" t="str">
        <f>IFERROR(__xludf.DUMMYFUNCTION("""COMPUTED_VALUE"""),"McGarrah")</f>
        <v>McGarrah</v>
      </c>
      <c r="G3399" s="6" t="str">
        <f>IFERROR(__xludf.DUMMYFUNCTION("""COMPUTED_VALUE"""),"03/26/2010")</f>
        <v>03/26/2010</v>
      </c>
      <c r="H3399" s="6" t="str">
        <f>IFERROR(__xludf.DUMMYFUNCTION("""COMPUTED_VALUE"""),"Self Identify")</f>
        <v>Self Identify</v>
      </c>
      <c r="I3399" s="6" t="str">
        <f>IFERROR(__xludf.DUMMYFUNCTION("""COMPUTED_VALUE"""),"High School")</f>
        <v>High School</v>
      </c>
      <c r="J3399" s="6" t="str">
        <f>IFERROR(__xludf.DUMMYFUNCTION("""COMPUTED_VALUE"""),"10")</f>
        <v>10</v>
      </c>
      <c r="K3399" s="6" t="str">
        <f>IFERROR(__xludf.DUMMYFUNCTION("""COMPUTED_VALUE"""),"marli_mcgarrah@stu.ortrail.k12.or.us")</f>
        <v>marli_mcgarrah@stu.ortrail.k12.or.us</v>
      </c>
      <c r="L3399" s="6" t="str">
        <f>IFERROR(__xludf.DUMMYFUNCTION("""COMPUTED_VALUE"""),"Oregon Trail School District 46")</f>
        <v>Oregon Trail School District 46</v>
      </c>
      <c r="M3399" s="6" t="str">
        <f>IFERROR(__xludf.DUMMYFUNCTION("""COMPUTED_VALUE"""),"Sandy High School")</f>
        <v>Sandy High School</v>
      </c>
      <c r="N3399" s="6" t="str">
        <f>IFERROR(__xludf.DUMMYFUNCTION("""COMPUTED_VALUE"""),"")</f>
        <v/>
      </c>
      <c r="O3399" s="87" t="str">
        <f>IFERROR(__xludf.DUMMYFUNCTION("""COMPUTED_VALUE"""),"https://drive.google.com/drive/folders/10T2cTQHqEJZqE-st6uFKPoI?usp=share_link")</f>
        <v>https://drive.google.com/drive/folders/10T2cTQHqEJZqE-st6uFKPoI?usp=share_link</v>
      </c>
      <c r="P3399" s="6" t="str">
        <f>IFERROR(__xludf.DUMMYFUNCTION("""COMPUTED_VALUE"""),"Marli McGarrah")</f>
        <v>Marli McGarrah</v>
      </c>
      <c r="Q3399" s="6" t="str">
        <f>IFERROR(__xludf.DUMMYFUNCTION("""COMPUTED_VALUE"""),"HS")</f>
        <v>HS</v>
      </c>
      <c r="R3399" s="6">
        <f>IFERROR(__xludf.DUMMYFUNCTION("""COMPUTED_VALUE"""),0.0)</f>
        <v>0</v>
      </c>
      <c r="S3399" s="6" t="str">
        <f>IFERROR(__xludf.DUMMYFUNCTION("""COMPUTED_VALUE"""),"Edgar Montellano")</f>
        <v>Edgar Montellano</v>
      </c>
      <c r="T3399" s="6" t="str">
        <f>IFERROR(__xludf.DUMMYFUNCTION("""COMPUTED_VALUE"""),"edgar.montellano@ortrail.k12.or.us")</f>
        <v>edgar.montellano@ortrail.k12.or.us</v>
      </c>
      <c r="U3399" s="6" t="str">
        <f>IFERROR(__xludf.DUMMYFUNCTION("""COMPUTED_VALUE"""),"10")</f>
        <v>10</v>
      </c>
      <c r="V3399" s="6" t="str">
        <f>IFERROR(__xludf.DUMMYFUNCTION("""COMPUTED_VALUE"""),"English")</f>
        <v>English</v>
      </c>
      <c r="W3399" s="6" t="str">
        <f>IFERROR(__xludf.DUMMYFUNCTION("""COMPUTED_VALUE"""),"[]")</f>
        <v>[]</v>
      </c>
      <c r="X3399" s="6" t="str">
        <f>IFERROR(__xludf.DUMMYFUNCTION("""COMPUTED_VALUE"""),"Enrolled")</f>
        <v>Enrolled</v>
      </c>
    </row>
    <row r="3400">
      <c r="A3400" s="6" t="str">
        <f>IFERROR(__xludf.DUMMYFUNCTION("""COMPUTED_VALUE"""),"064-6345")</f>
        <v>064-6345</v>
      </c>
      <c r="B3400" s="6" t="str">
        <f>IFERROR(__xludf.DUMMYFUNCTION("""COMPUTED_VALUE"""),"64")</f>
        <v>64</v>
      </c>
      <c r="C3400" s="6" t="str">
        <f>IFERROR(__xludf.DUMMYFUNCTION("""COMPUTED_VALUE"""),"6345")</f>
        <v>6345</v>
      </c>
      <c r="D3400" s="6" t="str">
        <f>IFERROR(__xludf.DUMMYFUNCTION("""COMPUTED_VALUE"""),"MaggieLee")</f>
        <v>MaggieLee</v>
      </c>
      <c r="E3400" s="6" t="str">
        <f>IFERROR(__xludf.DUMMYFUNCTION("""COMPUTED_VALUE"""),"")</f>
        <v/>
      </c>
      <c r="F3400" s="6" t="str">
        <f>IFERROR(__xludf.DUMMYFUNCTION("""COMPUTED_VALUE"""),"Moore")</f>
        <v>Moore</v>
      </c>
      <c r="G3400" s="6" t="str">
        <f>IFERROR(__xludf.DUMMYFUNCTION("""COMPUTED_VALUE"""),"05/06/2008")</f>
        <v>05/06/2008</v>
      </c>
      <c r="H3400" s="6" t="str">
        <f>IFERROR(__xludf.DUMMYFUNCTION("""COMPUTED_VALUE"""),"Self Identify")</f>
        <v>Self Identify</v>
      </c>
      <c r="I3400" s="6" t="str">
        <f>IFERROR(__xludf.DUMMYFUNCTION("""COMPUTED_VALUE"""),"High School")</f>
        <v>High School</v>
      </c>
      <c r="J3400" s="6" t="str">
        <f>IFERROR(__xludf.DUMMYFUNCTION("""COMPUTED_VALUE"""),"11")</f>
        <v>11</v>
      </c>
      <c r="K3400" s="6" t="str">
        <f>IFERROR(__xludf.DUMMYFUNCTION("""COMPUTED_VALUE"""),"maggie_moore@stu.ortrail.k12.or.us")</f>
        <v>maggie_moore@stu.ortrail.k12.or.us</v>
      </c>
      <c r="L3400" s="6" t="str">
        <f>IFERROR(__xludf.DUMMYFUNCTION("""COMPUTED_VALUE"""),"Oregon Trail School District 46")</f>
        <v>Oregon Trail School District 46</v>
      </c>
      <c r="M3400" s="6" t="str">
        <f>IFERROR(__xludf.DUMMYFUNCTION("""COMPUTED_VALUE"""),"Sandy High School")</f>
        <v>Sandy High School</v>
      </c>
      <c r="N3400" s="6" t="str">
        <f>IFERROR(__xludf.DUMMYFUNCTION("""COMPUTED_VALUE"""),"")</f>
        <v/>
      </c>
      <c r="O3400" s="87" t="str">
        <f>IFERROR(__xludf.DUMMYFUNCTION("""COMPUTED_VALUE"""),"https://drive.google.com/drive/folders/10T2cTQHqEJZqE-st6uFKPoI?usp=share_link")</f>
        <v>https://drive.google.com/drive/folders/10T2cTQHqEJZqE-st6uFKPoI?usp=share_link</v>
      </c>
      <c r="P3400" s="6" t="str">
        <f>IFERROR(__xludf.DUMMYFUNCTION("""COMPUTED_VALUE"""),"MaggieLee Moore")</f>
        <v>MaggieLee Moore</v>
      </c>
      <c r="Q3400" s="6" t="str">
        <f>IFERROR(__xludf.DUMMYFUNCTION("""COMPUTED_VALUE"""),"HS")</f>
        <v>HS</v>
      </c>
      <c r="R3400" s="6">
        <f>IFERROR(__xludf.DUMMYFUNCTION("""COMPUTED_VALUE"""),0.0)</f>
        <v>0</v>
      </c>
      <c r="S3400" s="6" t="str">
        <f>IFERROR(__xludf.DUMMYFUNCTION("""COMPUTED_VALUE"""),"Edgar Montellano")</f>
        <v>Edgar Montellano</v>
      </c>
      <c r="T3400" s="6" t="str">
        <f>IFERROR(__xludf.DUMMYFUNCTION("""COMPUTED_VALUE"""),"edgar.montellano@ortrail.k12.or.us")</f>
        <v>edgar.montellano@ortrail.k12.or.us</v>
      </c>
      <c r="U3400" s="6" t="str">
        <f>IFERROR(__xludf.DUMMYFUNCTION("""COMPUTED_VALUE"""),"11")</f>
        <v>11</v>
      </c>
      <c r="V3400" s="6" t="str">
        <f>IFERROR(__xludf.DUMMYFUNCTION("""COMPUTED_VALUE"""),"English")</f>
        <v>English</v>
      </c>
      <c r="W3400" s="6" t="str">
        <f>IFERROR(__xludf.DUMMYFUNCTION("""COMPUTED_VALUE"""),"[]")</f>
        <v>[]</v>
      </c>
      <c r="X3400" s="6" t="str">
        <f>IFERROR(__xludf.DUMMYFUNCTION("""COMPUTED_VALUE"""),"Enrolled")</f>
        <v>Enrolled</v>
      </c>
    </row>
    <row r="3401">
      <c r="A3401" s="6" t="str">
        <f>IFERROR(__xludf.DUMMYFUNCTION("""COMPUTED_VALUE"""),"064-6347")</f>
        <v>064-6347</v>
      </c>
      <c r="B3401" s="6" t="str">
        <f>IFERROR(__xludf.DUMMYFUNCTION("""COMPUTED_VALUE"""),"64")</f>
        <v>64</v>
      </c>
      <c r="C3401" s="6" t="str">
        <f>IFERROR(__xludf.DUMMYFUNCTION("""COMPUTED_VALUE"""),"6347")</f>
        <v>6347</v>
      </c>
      <c r="D3401" s="6" t="str">
        <f>IFERROR(__xludf.DUMMYFUNCTION("""COMPUTED_VALUE"""),"Nathan")</f>
        <v>Nathan</v>
      </c>
      <c r="E3401" s="6" t="str">
        <f>IFERROR(__xludf.DUMMYFUNCTION("""COMPUTED_VALUE"""),"")</f>
        <v/>
      </c>
      <c r="F3401" s="6" t="str">
        <f>IFERROR(__xludf.DUMMYFUNCTION("""COMPUTED_VALUE"""),"Pacheco")</f>
        <v>Pacheco</v>
      </c>
      <c r="G3401" s="6" t="str">
        <f>IFERROR(__xludf.DUMMYFUNCTION("""COMPUTED_VALUE"""),"03/12/2009")</f>
        <v>03/12/2009</v>
      </c>
      <c r="H3401" s="6" t="str">
        <f>IFERROR(__xludf.DUMMYFUNCTION("""COMPUTED_VALUE"""),"Self Identify")</f>
        <v>Self Identify</v>
      </c>
      <c r="I3401" s="6" t="str">
        <f>IFERROR(__xludf.DUMMYFUNCTION("""COMPUTED_VALUE"""),"High School")</f>
        <v>High School</v>
      </c>
      <c r="J3401" s="6" t="str">
        <f>IFERROR(__xludf.DUMMYFUNCTION("""COMPUTED_VALUE"""),"11")</f>
        <v>11</v>
      </c>
      <c r="K3401" s="6" t="str">
        <f>IFERROR(__xludf.DUMMYFUNCTION("""COMPUTED_VALUE"""),"nathan_pacheco@stu.ortrail.k12.or.us")</f>
        <v>nathan_pacheco@stu.ortrail.k12.or.us</v>
      </c>
      <c r="L3401" s="6" t="str">
        <f>IFERROR(__xludf.DUMMYFUNCTION("""COMPUTED_VALUE"""),"Oregon Trail School District 46")</f>
        <v>Oregon Trail School District 46</v>
      </c>
      <c r="M3401" s="6" t="str">
        <f>IFERROR(__xludf.DUMMYFUNCTION("""COMPUTED_VALUE"""),"Sandy High School")</f>
        <v>Sandy High School</v>
      </c>
      <c r="N3401" s="6" t="str">
        <f>IFERROR(__xludf.DUMMYFUNCTION("""COMPUTED_VALUE"""),"")</f>
        <v/>
      </c>
      <c r="O3401" s="87" t="str">
        <f>IFERROR(__xludf.DUMMYFUNCTION("""COMPUTED_VALUE"""),"https://drive.google.com/drive/folders/10T2cTQHqEJZqE-st6uFKPoI?usp=share_link")</f>
        <v>https://drive.google.com/drive/folders/10T2cTQHqEJZqE-st6uFKPoI?usp=share_link</v>
      </c>
      <c r="P3401" s="6" t="str">
        <f>IFERROR(__xludf.DUMMYFUNCTION("""COMPUTED_VALUE"""),"Nathan Pacheco")</f>
        <v>Nathan Pacheco</v>
      </c>
      <c r="Q3401" s="6" t="str">
        <f>IFERROR(__xludf.DUMMYFUNCTION("""COMPUTED_VALUE"""),"HS")</f>
        <v>HS</v>
      </c>
      <c r="R3401" s="6">
        <f>IFERROR(__xludf.DUMMYFUNCTION("""COMPUTED_VALUE"""),0.0)</f>
        <v>0</v>
      </c>
      <c r="S3401" s="6" t="str">
        <f>IFERROR(__xludf.DUMMYFUNCTION("""COMPUTED_VALUE"""),"Edgar Montellano")</f>
        <v>Edgar Montellano</v>
      </c>
      <c r="T3401" s="6" t="str">
        <f>IFERROR(__xludf.DUMMYFUNCTION("""COMPUTED_VALUE"""),"edgar.montellano@ortrail.k12.or.us")</f>
        <v>edgar.montellano@ortrail.k12.or.us</v>
      </c>
      <c r="U3401" s="6" t="str">
        <f>IFERROR(__xludf.DUMMYFUNCTION("""COMPUTED_VALUE"""),"11")</f>
        <v>11</v>
      </c>
      <c r="V3401" s="6" t="str">
        <f>IFERROR(__xludf.DUMMYFUNCTION("""COMPUTED_VALUE"""),"English")</f>
        <v>English</v>
      </c>
      <c r="W3401" s="6" t="str">
        <f>IFERROR(__xludf.DUMMYFUNCTION("""COMPUTED_VALUE"""),"[]")</f>
        <v>[]</v>
      </c>
      <c r="X3401" s="6" t="str">
        <f>IFERROR(__xludf.DUMMYFUNCTION("""COMPUTED_VALUE"""),"Enrolled")</f>
        <v>Enrolled</v>
      </c>
    </row>
    <row r="3402">
      <c r="A3402" s="6" t="str">
        <f>IFERROR(__xludf.DUMMYFUNCTION("""COMPUTED_VALUE"""),"064-6349")</f>
        <v>064-6349</v>
      </c>
      <c r="B3402" s="6" t="str">
        <f>IFERROR(__xludf.DUMMYFUNCTION("""COMPUTED_VALUE"""),"64")</f>
        <v>64</v>
      </c>
      <c r="C3402" s="6" t="str">
        <f>IFERROR(__xludf.DUMMYFUNCTION("""COMPUTED_VALUE"""),"6349")</f>
        <v>6349</v>
      </c>
      <c r="D3402" s="6" t="str">
        <f>IFERROR(__xludf.DUMMYFUNCTION("""COMPUTED_VALUE"""),"Cody")</f>
        <v>Cody</v>
      </c>
      <c r="E3402" s="6" t="str">
        <f>IFERROR(__xludf.DUMMYFUNCTION("""COMPUTED_VALUE"""),"")</f>
        <v/>
      </c>
      <c r="F3402" s="6" t="str">
        <f>IFERROR(__xludf.DUMMYFUNCTION("""COMPUTED_VALUE"""),"Price")</f>
        <v>Price</v>
      </c>
      <c r="G3402" s="6" t="str">
        <f>IFERROR(__xludf.DUMMYFUNCTION("""COMPUTED_VALUE"""),"01/30/2010")</f>
        <v>01/30/2010</v>
      </c>
      <c r="H3402" s="6" t="str">
        <f>IFERROR(__xludf.DUMMYFUNCTION("""COMPUTED_VALUE"""),"Self Identify")</f>
        <v>Self Identify</v>
      </c>
      <c r="I3402" s="6" t="str">
        <f>IFERROR(__xludf.DUMMYFUNCTION("""COMPUTED_VALUE"""),"High School")</f>
        <v>High School</v>
      </c>
      <c r="J3402" s="6" t="str">
        <f>IFERROR(__xludf.DUMMYFUNCTION("""COMPUTED_VALUE"""),"10")</f>
        <v>10</v>
      </c>
      <c r="K3402" s="6" t="str">
        <f>IFERROR(__xludf.DUMMYFUNCTION("""COMPUTED_VALUE"""),"cody_price@stu.ortrail.k12.or.us")</f>
        <v>cody_price@stu.ortrail.k12.or.us</v>
      </c>
      <c r="L3402" s="6" t="str">
        <f>IFERROR(__xludf.DUMMYFUNCTION("""COMPUTED_VALUE"""),"Oregon Trail School District 46")</f>
        <v>Oregon Trail School District 46</v>
      </c>
      <c r="M3402" s="6" t="str">
        <f>IFERROR(__xludf.DUMMYFUNCTION("""COMPUTED_VALUE"""),"Sandy High School")</f>
        <v>Sandy High School</v>
      </c>
      <c r="N3402" s="6" t="str">
        <f>IFERROR(__xludf.DUMMYFUNCTION("""COMPUTED_VALUE"""),"")</f>
        <v/>
      </c>
      <c r="O3402" s="87" t="str">
        <f>IFERROR(__xludf.DUMMYFUNCTION("""COMPUTED_VALUE"""),"https://drive.google.com/drive/folders/10T2cTQHqEJZqE-st6uFKPoI?usp=share_link")</f>
        <v>https://drive.google.com/drive/folders/10T2cTQHqEJZqE-st6uFKPoI?usp=share_link</v>
      </c>
      <c r="P3402" s="6" t="str">
        <f>IFERROR(__xludf.DUMMYFUNCTION("""COMPUTED_VALUE"""),"Cody Price")</f>
        <v>Cody Price</v>
      </c>
      <c r="Q3402" s="6" t="str">
        <f>IFERROR(__xludf.DUMMYFUNCTION("""COMPUTED_VALUE"""),"HS")</f>
        <v>HS</v>
      </c>
      <c r="R3402" s="6">
        <f>IFERROR(__xludf.DUMMYFUNCTION("""COMPUTED_VALUE"""),0.0)</f>
        <v>0</v>
      </c>
      <c r="S3402" s="6" t="str">
        <f>IFERROR(__xludf.DUMMYFUNCTION("""COMPUTED_VALUE"""),"Edgar Montellano")</f>
        <v>Edgar Montellano</v>
      </c>
      <c r="T3402" s="6" t="str">
        <f>IFERROR(__xludf.DUMMYFUNCTION("""COMPUTED_VALUE"""),"edgar.montellano@ortrail.k12.or.us")</f>
        <v>edgar.montellano@ortrail.k12.or.us</v>
      </c>
      <c r="U3402" s="6" t="str">
        <f>IFERROR(__xludf.DUMMYFUNCTION("""COMPUTED_VALUE"""),"10")</f>
        <v>10</v>
      </c>
      <c r="V3402" s="6" t="str">
        <f>IFERROR(__xludf.DUMMYFUNCTION("""COMPUTED_VALUE"""),"English")</f>
        <v>English</v>
      </c>
      <c r="W3402" s="6" t="str">
        <f>IFERROR(__xludf.DUMMYFUNCTION("""COMPUTED_VALUE"""),"[]")</f>
        <v>[]</v>
      </c>
      <c r="X3402" s="6" t="str">
        <f>IFERROR(__xludf.DUMMYFUNCTION("""COMPUTED_VALUE"""),"Enrolled")</f>
        <v>Enrolled</v>
      </c>
    </row>
    <row r="3403">
      <c r="A3403" s="6" t="str">
        <f>IFERROR(__xludf.DUMMYFUNCTION("""COMPUTED_VALUE"""),"064-6351")</f>
        <v>064-6351</v>
      </c>
      <c r="B3403" s="6" t="str">
        <f>IFERROR(__xludf.DUMMYFUNCTION("""COMPUTED_VALUE"""),"64")</f>
        <v>64</v>
      </c>
      <c r="C3403" s="6" t="str">
        <f>IFERROR(__xludf.DUMMYFUNCTION("""COMPUTED_VALUE"""),"6351")</f>
        <v>6351</v>
      </c>
      <c r="D3403" s="6" t="str">
        <f>IFERROR(__xludf.DUMMYFUNCTION("""COMPUTED_VALUE"""),"Taryn")</f>
        <v>Taryn</v>
      </c>
      <c r="E3403" s="6" t="str">
        <f>IFERROR(__xludf.DUMMYFUNCTION("""COMPUTED_VALUE"""),"")</f>
        <v/>
      </c>
      <c r="F3403" s="6" t="str">
        <f>IFERROR(__xludf.DUMMYFUNCTION("""COMPUTED_VALUE"""),"Reardon")</f>
        <v>Reardon</v>
      </c>
      <c r="G3403" s="6" t="str">
        <f>IFERROR(__xludf.DUMMYFUNCTION("""COMPUTED_VALUE"""),"05/22/2010")</f>
        <v>05/22/2010</v>
      </c>
      <c r="H3403" s="6" t="str">
        <f>IFERROR(__xludf.DUMMYFUNCTION("""COMPUTED_VALUE"""),"Self Identify")</f>
        <v>Self Identify</v>
      </c>
      <c r="I3403" s="6" t="str">
        <f>IFERROR(__xludf.DUMMYFUNCTION("""COMPUTED_VALUE"""),"High School")</f>
        <v>High School</v>
      </c>
      <c r="J3403" s="6" t="str">
        <f>IFERROR(__xludf.DUMMYFUNCTION("""COMPUTED_VALUE"""),"10")</f>
        <v>10</v>
      </c>
      <c r="K3403" s="6" t="str">
        <f>IFERROR(__xludf.DUMMYFUNCTION("""COMPUTED_VALUE"""),"taryn_reardon@stu.ortrail.k12.or.us")</f>
        <v>taryn_reardon@stu.ortrail.k12.or.us</v>
      </c>
      <c r="L3403" s="6" t="str">
        <f>IFERROR(__xludf.DUMMYFUNCTION("""COMPUTED_VALUE"""),"Oregon Trail School District 46")</f>
        <v>Oregon Trail School District 46</v>
      </c>
      <c r="M3403" s="6" t="str">
        <f>IFERROR(__xludf.DUMMYFUNCTION("""COMPUTED_VALUE"""),"Sandy High School")</f>
        <v>Sandy High School</v>
      </c>
      <c r="N3403" s="6" t="str">
        <f>IFERROR(__xludf.DUMMYFUNCTION("""COMPUTED_VALUE"""),"")</f>
        <v/>
      </c>
      <c r="O3403" s="87" t="str">
        <f>IFERROR(__xludf.DUMMYFUNCTION("""COMPUTED_VALUE"""),"https://drive.google.com/drive/folders/10T2cTQHqEJZqE-st6uFKPoI?usp=share_link")</f>
        <v>https://drive.google.com/drive/folders/10T2cTQHqEJZqE-st6uFKPoI?usp=share_link</v>
      </c>
      <c r="P3403" s="6" t="str">
        <f>IFERROR(__xludf.DUMMYFUNCTION("""COMPUTED_VALUE"""),"Taryn Reardon")</f>
        <v>Taryn Reardon</v>
      </c>
      <c r="Q3403" s="6" t="str">
        <f>IFERROR(__xludf.DUMMYFUNCTION("""COMPUTED_VALUE"""),"HS")</f>
        <v>HS</v>
      </c>
      <c r="R3403" s="6">
        <f>IFERROR(__xludf.DUMMYFUNCTION("""COMPUTED_VALUE"""),0.0)</f>
        <v>0</v>
      </c>
      <c r="S3403" s="6" t="str">
        <f>IFERROR(__xludf.DUMMYFUNCTION("""COMPUTED_VALUE"""),"Edgar Montellano")</f>
        <v>Edgar Montellano</v>
      </c>
      <c r="T3403" s="6" t="str">
        <f>IFERROR(__xludf.DUMMYFUNCTION("""COMPUTED_VALUE"""),"edgar.montellano@ortrail.k12.or.us")</f>
        <v>edgar.montellano@ortrail.k12.or.us</v>
      </c>
      <c r="U3403" s="6" t="str">
        <f>IFERROR(__xludf.DUMMYFUNCTION("""COMPUTED_VALUE"""),"10")</f>
        <v>10</v>
      </c>
      <c r="V3403" s="6" t="str">
        <f>IFERROR(__xludf.DUMMYFUNCTION("""COMPUTED_VALUE"""),"English")</f>
        <v>English</v>
      </c>
      <c r="W3403" s="6" t="str">
        <f>IFERROR(__xludf.DUMMYFUNCTION("""COMPUTED_VALUE"""),"[]")</f>
        <v>[]</v>
      </c>
      <c r="X3403" s="6" t="str">
        <f>IFERROR(__xludf.DUMMYFUNCTION("""COMPUTED_VALUE"""),"Enrolled")</f>
        <v>Enrolled</v>
      </c>
    </row>
    <row r="3404">
      <c r="A3404" s="6" t="str">
        <f>IFERROR(__xludf.DUMMYFUNCTION("""COMPUTED_VALUE"""),"064-6352")</f>
        <v>064-6352</v>
      </c>
      <c r="B3404" s="6" t="str">
        <f>IFERROR(__xludf.DUMMYFUNCTION("""COMPUTED_VALUE"""),"64")</f>
        <v>64</v>
      </c>
      <c r="C3404" s="6" t="str">
        <f>IFERROR(__xludf.DUMMYFUNCTION("""COMPUTED_VALUE"""),"6352")</f>
        <v>6352</v>
      </c>
      <c r="D3404" s="6" t="str">
        <f>IFERROR(__xludf.DUMMYFUNCTION("""COMPUTED_VALUE"""),"Cody")</f>
        <v>Cody</v>
      </c>
      <c r="E3404" s="6" t="str">
        <f>IFERROR(__xludf.DUMMYFUNCTION("""COMPUTED_VALUE"""),"")</f>
        <v/>
      </c>
      <c r="F3404" s="6" t="str">
        <f>IFERROR(__xludf.DUMMYFUNCTION("""COMPUTED_VALUE"""),"Rinard")</f>
        <v>Rinard</v>
      </c>
      <c r="G3404" s="6" t="str">
        <f>IFERROR(__xludf.DUMMYFUNCTION("""COMPUTED_VALUE"""),"02/22/2008")</f>
        <v>02/22/2008</v>
      </c>
      <c r="H3404" s="6" t="str">
        <f>IFERROR(__xludf.DUMMYFUNCTION("""COMPUTED_VALUE"""),"Self Identify")</f>
        <v>Self Identify</v>
      </c>
      <c r="I3404" s="6" t="str">
        <f>IFERROR(__xludf.DUMMYFUNCTION("""COMPUTED_VALUE"""),"High School")</f>
        <v>High School</v>
      </c>
      <c r="J3404" s="6" t="str">
        <f>IFERROR(__xludf.DUMMYFUNCTION("""COMPUTED_VALUE"""),"12")</f>
        <v>12</v>
      </c>
      <c r="K3404" s="6" t="str">
        <f>IFERROR(__xludf.DUMMYFUNCTION("""COMPUTED_VALUE"""),"cody_rinard@stu.ortrail.k12.or.us")</f>
        <v>cody_rinard@stu.ortrail.k12.or.us</v>
      </c>
      <c r="L3404" s="6" t="str">
        <f>IFERROR(__xludf.DUMMYFUNCTION("""COMPUTED_VALUE"""),"Oregon Trail School District 46")</f>
        <v>Oregon Trail School District 46</v>
      </c>
      <c r="M3404" s="6" t="str">
        <f>IFERROR(__xludf.DUMMYFUNCTION("""COMPUTED_VALUE"""),"Sandy High School")</f>
        <v>Sandy High School</v>
      </c>
      <c r="N3404" s="6" t="str">
        <f>IFERROR(__xludf.DUMMYFUNCTION("""COMPUTED_VALUE"""),"")</f>
        <v/>
      </c>
      <c r="O3404" s="87" t="str">
        <f>IFERROR(__xludf.DUMMYFUNCTION("""COMPUTED_VALUE"""),"https://drive.google.com/drive/folders/10T2cTQHqEJZqE-st6uFKPoI?usp=share_link")</f>
        <v>https://drive.google.com/drive/folders/10T2cTQHqEJZqE-st6uFKPoI?usp=share_link</v>
      </c>
      <c r="P3404" s="6" t="str">
        <f>IFERROR(__xludf.DUMMYFUNCTION("""COMPUTED_VALUE"""),"Cody Rinard")</f>
        <v>Cody Rinard</v>
      </c>
      <c r="Q3404" s="6" t="str">
        <f>IFERROR(__xludf.DUMMYFUNCTION("""COMPUTED_VALUE"""),"HS")</f>
        <v>HS</v>
      </c>
      <c r="R3404" s="6">
        <f>IFERROR(__xludf.DUMMYFUNCTION("""COMPUTED_VALUE"""),0.0)</f>
        <v>0</v>
      </c>
      <c r="S3404" s="6" t="str">
        <f>IFERROR(__xludf.DUMMYFUNCTION("""COMPUTED_VALUE"""),"Edgar Montellano")</f>
        <v>Edgar Montellano</v>
      </c>
      <c r="T3404" s="6" t="str">
        <f>IFERROR(__xludf.DUMMYFUNCTION("""COMPUTED_VALUE"""),"edgar.montellano@ortrail.k12.or.us")</f>
        <v>edgar.montellano@ortrail.k12.or.us</v>
      </c>
      <c r="U3404" s="6" t="str">
        <f>IFERROR(__xludf.DUMMYFUNCTION("""COMPUTED_VALUE"""),"12")</f>
        <v>12</v>
      </c>
      <c r="V3404" s="6" t="str">
        <f>IFERROR(__xludf.DUMMYFUNCTION("""COMPUTED_VALUE"""),"English")</f>
        <v>English</v>
      </c>
      <c r="W3404" s="6" t="str">
        <f>IFERROR(__xludf.DUMMYFUNCTION("""COMPUTED_VALUE"""),"[]")</f>
        <v>[]</v>
      </c>
      <c r="X3404" s="6" t="str">
        <f>IFERROR(__xludf.DUMMYFUNCTION("""COMPUTED_VALUE"""),"Enrolled")</f>
        <v>Enrolled</v>
      </c>
    </row>
    <row r="3405">
      <c r="A3405" s="6" t="str">
        <f>IFERROR(__xludf.DUMMYFUNCTION("""COMPUTED_VALUE"""),"064-6355")</f>
        <v>064-6355</v>
      </c>
      <c r="B3405" s="6" t="str">
        <f>IFERROR(__xludf.DUMMYFUNCTION("""COMPUTED_VALUE"""),"64")</f>
        <v>64</v>
      </c>
      <c r="C3405" s="6" t="str">
        <f>IFERROR(__xludf.DUMMYFUNCTION("""COMPUTED_VALUE"""),"6355")</f>
        <v>6355</v>
      </c>
      <c r="D3405" s="6" t="str">
        <f>IFERROR(__xludf.DUMMYFUNCTION("""COMPUTED_VALUE"""),"Xavier")</f>
        <v>Xavier</v>
      </c>
      <c r="E3405" s="6" t="str">
        <f>IFERROR(__xludf.DUMMYFUNCTION("""COMPUTED_VALUE"""),"")</f>
        <v/>
      </c>
      <c r="F3405" s="6" t="str">
        <f>IFERROR(__xludf.DUMMYFUNCTION("""COMPUTED_VALUE"""),"Torres")</f>
        <v>Torres</v>
      </c>
      <c r="G3405" s="6" t="str">
        <f>IFERROR(__xludf.DUMMYFUNCTION("""COMPUTED_VALUE"""),"09/20/2009")</f>
        <v>09/20/2009</v>
      </c>
      <c r="H3405" s="6" t="str">
        <f>IFERROR(__xludf.DUMMYFUNCTION("""COMPUTED_VALUE"""),"Self Identify")</f>
        <v>Self Identify</v>
      </c>
      <c r="I3405" s="6" t="str">
        <f>IFERROR(__xludf.DUMMYFUNCTION("""COMPUTED_VALUE"""),"High School")</f>
        <v>High School</v>
      </c>
      <c r="J3405" s="6" t="str">
        <f>IFERROR(__xludf.DUMMYFUNCTION("""COMPUTED_VALUE"""),"10")</f>
        <v>10</v>
      </c>
      <c r="K3405" s="6" t="str">
        <f>IFERROR(__xludf.DUMMYFUNCTION("""COMPUTED_VALUE"""),"xavier_torres@stu.ortrail.k12.or.us")</f>
        <v>xavier_torres@stu.ortrail.k12.or.us</v>
      </c>
      <c r="L3405" s="6" t="str">
        <f>IFERROR(__xludf.DUMMYFUNCTION("""COMPUTED_VALUE"""),"Oregon Trail School District 46")</f>
        <v>Oregon Trail School District 46</v>
      </c>
      <c r="M3405" s="6" t="str">
        <f>IFERROR(__xludf.DUMMYFUNCTION("""COMPUTED_VALUE"""),"Sandy High School")</f>
        <v>Sandy High School</v>
      </c>
      <c r="N3405" s="6" t="str">
        <f>IFERROR(__xludf.DUMMYFUNCTION("""COMPUTED_VALUE"""),"")</f>
        <v/>
      </c>
      <c r="O3405" s="87" t="str">
        <f>IFERROR(__xludf.DUMMYFUNCTION("""COMPUTED_VALUE"""),"https://drive.google.com/drive/folders/10T2cTQHqEJZqE-st6uFKPoI?usp=share_link")</f>
        <v>https://drive.google.com/drive/folders/10T2cTQHqEJZqE-st6uFKPoI?usp=share_link</v>
      </c>
      <c r="P3405" s="6" t="str">
        <f>IFERROR(__xludf.DUMMYFUNCTION("""COMPUTED_VALUE"""),"Xavier Torres")</f>
        <v>Xavier Torres</v>
      </c>
      <c r="Q3405" s="6" t="str">
        <f>IFERROR(__xludf.DUMMYFUNCTION("""COMPUTED_VALUE"""),"HS")</f>
        <v>HS</v>
      </c>
      <c r="R3405" s="6">
        <f>IFERROR(__xludf.DUMMYFUNCTION("""COMPUTED_VALUE"""),0.0)</f>
        <v>0</v>
      </c>
      <c r="S3405" s="6" t="str">
        <f>IFERROR(__xludf.DUMMYFUNCTION("""COMPUTED_VALUE"""),"Edgar Montellano")</f>
        <v>Edgar Montellano</v>
      </c>
      <c r="T3405" s="6" t="str">
        <f>IFERROR(__xludf.DUMMYFUNCTION("""COMPUTED_VALUE"""),"edgar.montellano@ortrail.k12.or.us")</f>
        <v>edgar.montellano@ortrail.k12.or.us</v>
      </c>
      <c r="U3405" s="6" t="str">
        <f>IFERROR(__xludf.DUMMYFUNCTION("""COMPUTED_VALUE"""),"10")</f>
        <v>10</v>
      </c>
      <c r="V3405" s="6" t="str">
        <f>IFERROR(__xludf.DUMMYFUNCTION("""COMPUTED_VALUE"""),"English")</f>
        <v>English</v>
      </c>
      <c r="W3405" s="6" t="str">
        <f>IFERROR(__xludf.DUMMYFUNCTION("""COMPUTED_VALUE"""),"[]")</f>
        <v>[]</v>
      </c>
      <c r="X3405" s="6" t="str">
        <f>IFERROR(__xludf.DUMMYFUNCTION("""COMPUTED_VALUE"""),"Enrolled")</f>
        <v>Enrolled</v>
      </c>
    </row>
    <row r="3406">
      <c r="A3406" s="6" t="str">
        <f>IFERROR(__xludf.DUMMYFUNCTION("""COMPUTED_VALUE"""),"064-6358")</f>
        <v>064-6358</v>
      </c>
      <c r="B3406" s="6" t="str">
        <f>IFERROR(__xludf.DUMMYFUNCTION("""COMPUTED_VALUE"""),"64")</f>
        <v>64</v>
      </c>
      <c r="C3406" s="6" t="str">
        <f>IFERROR(__xludf.DUMMYFUNCTION("""COMPUTED_VALUE"""),"6358")</f>
        <v>6358</v>
      </c>
      <c r="D3406" s="6" t="str">
        <f>IFERROR(__xludf.DUMMYFUNCTION("""COMPUTED_VALUE"""),"Blake")</f>
        <v>Blake</v>
      </c>
      <c r="E3406" s="6" t="str">
        <f>IFERROR(__xludf.DUMMYFUNCTION("""COMPUTED_VALUE"""),"")</f>
        <v/>
      </c>
      <c r="F3406" s="6" t="str">
        <f>IFERROR(__xludf.DUMMYFUNCTION("""COMPUTED_VALUE"""),"Zook")</f>
        <v>Zook</v>
      </c>
      <c r="G3406" s="6" t="str">
        <f>IFERROR(__xludf.DUMMYFUNCTION("""COMPUTED_VALUE"""),"11/02/2009")</f>
        <v>11/02/2009</v>
      </c>
      <c r="H3406" s="6" t="str">
        <f>IFERROR(__xludf.DUMMYFUNCTION("""COMPUTED_VALUE"""),"Self Identify")</f>
        <v>Self Identify</v>
      </c>
      <c r="I3406" s="6" t="str">
        <f>IFERROR(__xludf.DUMMYFUNCTION("""COMPUTED_VALUE"""),"High School")</f>
        <v>High School</v>
      </c>
      <c r="J3406" s="6" t="str">
        <f>IFERROR(__xludf.DUMMYFUNCTION("""COMPUTED_VALUE"""),"10")</f>
        <v>10</v>
      </c>
      <c r="K3406" s="6" t="str">
        <f>IFERROR(__xludf.DUMMYFUNCTION("""COMPUTED_VALUE"""),"blake_zook@stu.ortrail.k12.or.us")</f>
        <v>blake_zook@stu.ortrail.k12.or.us</v>
      </c>
      <c r="L3406" s="6" t="str">
        <f>IFERROR(__xludf.DUMMYFUNCTION("""COMPUTED_VALUE"""),"Oregon Trail School District 46")</f>
        <v>Oregon Trail School District 46</v>
      </c>
      <c r="M3406" s="6" t="str">
        <f>IFERROR(__xludf.DUMMYFUNCTION("""COMPUTED_VALUE"""),"Sandy High School")</f>
        <v>Sandy High School</v>
      </c>
      <c r="N3406" s="6" t="str">
        <f>IFERROR(__xludf.DUMMYFUNCTION("""COMPUTED_VALUE"""),"")</f>
        <v/>
      </c>
      <c r="O3406" s="87" t="str">
        <f>IFERROR(__xludf.DUMMYFUNCTION("""COMPUTED_VALUE"""),"https://drive.google.com/drive/folders/10T2cTQHqEJZqE-st6uFKPoI?usp=share_link")</f>
        <v>https://drive.google.com/drive/folders/10T2cTQHqEJZqE-st6uFKPoI?usp=share_link</v>
      </c>
      <c r="P3406" s="6" t="str">
        <f>IFERROR(__xludf.DUMMYFUNCTION("""COMPUTED_VALUE"""),"Blake Zook")</f>
        <v>Blake Zook</v>
      </c>
      <c r="Q3406" s="6" t="str">
        <f>IFERROR(__xludf.DUMMYFUNCTION("""COMPUTED_VALUE"""),"HS")</f>
        <v>HS</v>
      </c>
      <c r="R3406" s="6">
        <f>IFERROR(__xludf.DUMMYFUNCTION("""COMPUTED_VALUE"""),0.0)</f>
        <v>0</v>
      </c>
      <c r="S3406" s="6" t="str">
        <f>IFERROR(__xludf.DUMMYFUNCTION("""COMPUTED_VALUE"""),"Edgar Montellano")</f>
        <v>Edgar Montellano</v>
      </c>
      <c r="T3406" s="6" t="str">
        <f>IFERROR(__xludf.DUMMYFUNCTION("""COMPUTED_VALUE"""),"edgar.montellano@ortrail.k12.or.us")</f>
        <v>edgar.montellano@ortrail.k12.or.us</v>
      </c>
      <c r="U3406" s="6" t="str">
        <f>IFERROR(__xludf.DUMMYFUNCTION("""COMPUTED_VALUE"""),"10")</f>
        <v>10</v>
      </c>
      <c r="V3406" s="6" t="str">
        <f>IFERROR(__xludf.DUMMYFUNCTION("""COMPUTED_VALUE"""),"English")</f>
        <v>English</v>
      </c>
      <c r="W3406" s="6" t="str">
        <f>IFERROR(__xludf.DUMMYFUNCTION("""COMPUTED_VALUE"""),"[]")</f>
        <v>[]</v>
      </c>
      <c r="X3406" s="6" t="str">
        <f>IFERROR(__xludf.DUMMYFUNCTION("""COMPUTED_VALUE"""),"Enrolled")</f>
        <v>Enrolled</v>
      </c>
    </row>
    <row r="3407">
      <c r="A3407" s="6" t="str">
        <f>IFERROR(__xludf.DUMMYFUNCTION("""COMPUTED_VALUE"""),"064-6359")</f>
        <v>064-6359</v>
      </c>
      <c r="B3407" s="6" t="str">
        <f>IFERROR(__xludf.DUMMYFUNCTION("""COMPUTED_VALUE"""),"64")</f>
        <v>64</v>
      </c>
      <c r="C3407" s="6" t="str">
        <f>IFERROR(__xludf.DUMMYFUNCTION("""COMPUTED_VALUE"""),"6359")</f>
        <v>6359</v>
      </c>
      <c r="D3407" s="6" t="str">
        <f>IFERROR(__xludf.DUMMYFUNCTION("""COMPUTED_VALUE"""),"Wesley")</f>
        <v>Wesley</v>
      </c>
      <c r="E3407" s="6" t="str">
        <f>IFERROR(__xludf.DUMMYFUNCTION("""COMPUTED_VALUE"""),"")</f>
        <v/>
      </c>
      <c r="F3407" s="6" t="str">
        <f>IFERROR(__xludf.DUMMYFUNCTION("""COMPUTED_VALUE"""),"Adams")</f>
        <v>Adams</v>
      </c>
      <c r="G3407" s="6" t="str">
        <f>IFERROR(__xludf.DUMMYFUNCTION("""COMPUTED_VALUE"""),"08/05/2010")</f>
        <v>08/05/2010</v>
      </c>
      <c r="H3407" s="6" t="str">
        <f>IFERROR(__xludf.DUMMYFUNCTION("""COMPUTED_VALUE"""),"Self Identify")</f>
        <v>Self Identify</v>
      </c>
      <c r="I3407" s="6" t="str">
        <f>IFERROR(__xludf.DUMMYFUNCTION("""COMPUTED_VALUE"""),"High School")</f>
        <v>High School</v>
      </c>
      <c r="J3407" s="6" t="str">
        <f>IFERROR(__xludf.DUMMYFUNCTION("""COMPUTED_VALUE"""),"10")</f>
        <v>10</v>
      </c>
      <c r="K3407" s="6" t="str">
        <f>IFERROR(__xludf.DUMMYFUNCTION("""COMPUTED_VALUE"""),"wes_adams@stu.ortrail.k12.or.us")</f>
        <v>wes_adams@stu.ortrail.k12.or.us</v>
      </c>
      <c r="L3407" s="6" t="str">
        <f>IFERROR(__xludf.DUMMYFUNCTION("""COMPUTED_VALUE"""),"Oregon Trail School District 46")</f>
        <v>Oregon Trail School District 46</v>
      </c>
      <c r="M3407" s="6" t="str">
        <f>IFERROR(__xludf.DUMMYFUNCTION("""COMPUTED_VALUE"""),"Sandy High School")</f>
        <v>Sandy High School</v>
      </c>
      <c r="N3407" s="6" t="str">
        <f>IFERROR(__xludf.DUMMYFUNCTION("""COMPUTED_VALUE"""),"")</f>
        <v/>
      </c>
      <c r="O3407" s="87" t="str">
        <f>IFERROR(__xludf.DUMMYFUNCTION("""COMPUTED_VALUE"""),"https://drive.google.com/drive/folders/10T2cTQHqEJZqE-st6uFKPoI?usp=share_link")</f>
        <v>https://drive.google.com/drive/folders/10T2cTQHqEJZqE-st6uFKPoI?usp=share_link</v>
      </c>
      <c r="P3407" s="6" t="str">
        <f>IFERROR(__xludf.DUMMYFUNCTION("""COMPUTED_VALUE"""),"Wesley Adams")</f>
        <v>Wesley Adams</v>
      </c>
      <c r="Q3407" s="6" t="str">
        <f>IFERROR(__xludf.DUMMYFUNCTION("""COMPUTED_VALUE"""),"HS")</f>
        <v>HS</v>
      </c>
      <c r="R3407" s="6">
        <f>IFERROR(__xludf.DUMMYFUNCTION("""COMPUTED_VALUE"""),0.0)</f>
        <v>0</v>
      </c>
      <c r="S3407" s="6" t="str">
        <f>IFERROR(__xludf.DUMMYFUNCTION("""COMPUTED_VALUE"""),"Zachariah Duell")</f>
        <v>Zachariah Duell</v>
      </c>
      <c r="T3407" s="6" t="str">
        <f>IFERROR(__xludf.DUMMYFUNCTION("""COMPUTED_VALUE"""),"zachariah.duell@ortrail.k12.or.us")</f>
        <v>zachariah.duell@ortrail.k12.or.us</v>
      </c>
      <c r="U3407" s="6" t="str">
        <f>IFERROR(__xludf.DUMMYFUNCTION("""COMPUTED_VALUE"""),"10")</f>
        <v>10</v>
      </c>
      <c r="V3407" s="6" t="str">
        <f>IFERROR(__xludf.DUMMYFUNCTION("""COMPUTED_VALUE"""),"English")</f>
        <v>English</v>
      </c>
      <c r="W3407" s="6" t="str">
        <f>IFERROR(__xludf.DUMMYFUNCTION("""COMPUTED_VALUE"""),"[]")</f>
        <v>[]</v>
      </c>
      <c r="X3407" s="6" t="str">
        <f>IFERROR(__xludf.DUMMYFUNCTION("""COMPUTED_VALUE"""),"Enrolled")</f>
        <v>Enrolled</v>
      </c>
    </row>
    <row r="3408">
      <c r="A3408" s="6" t="str">
        <f>IFERROR(__xludf.DUMMYFUNCTION("""COMPUTED_VALUE"""),"064-6360")</f>
        <v>064-6360</v>
      </c>
      <c r="B3408" s="6" t="str">
        <f>IFERROR(__xludf.DUMMYFUNCTION("""COMPUTED_VALUE"""),"64")</f>
        <v>64</v>
      </c>
      <c r="C3408" s="6" t="str">
        <f>IFERROR(__xludf.DUMMYFUNCTION("""COMPUTED_VALUE"""),"6360")</f>
        <v>6360</v>
      </c>
      <c r="D3408" s="6" t="str">
        <f>IFERROR(__xludf.DUMMYFUNCTION("""COMPUTED_VALUE"""),"Henry")</f>
        <v>Henry</v>
      </c>
      <c r="E3408" s="6" t="str">
        <f>IFERROR(__xludf.DUMMYFUNCTION("""COMPUTED_VALUE"""),"")</f>
        <v/>
      </c>
      <c r="F3408" s="6" t="str">
        <f>IFERROR(__xludf.DUMMYFUNCTION("""COMPUTED_VALUE"""),"Bird")</f>
        <v>Bird</v>
      </c>
      <c r="G3408" s="6" t="str">
        <f>IFERROR(__xludf.DUMMYFUNCTION("""COMPUTED_VALUE"""),"07/12/2010")</f>
        <v>07/12/2010</v>
      </c>
      <c r="H3408" s="6" t="str">
        <f>IFERROR(__xludf.DUMMYFUNCTION("""COMPUTED_VALUE"""),"Self Identify")</f>
        <v>Self Identify</v>
      </c>
      <c r="I3408" s="6" t="str">
        <f>IFERROR(__xludf.DUMMYFUNCTION("""COMPUTED_VALUE"""),"High School")</f>
        <v>High School</v>
      </c>
      <c r="J3408" s="6" t="str">
        <f>IFERROR(__xludf.DUMMYFUNCTION("""COMPUTED_VALUE"""),"10")</f>
        <v>10</v>
      </c>
      <c r="K3408" s="6" t="str">
        <f>IFERROR(__xludf.DUMMYFUNCTION("""COMPUTED_VALUE"""),"henry_bird@stu.ortrail.k12.or.us")</f>
        <v>henry_bird@stu.ortrail.k12.or.us</v>
      </c>
      <c r="L3408" s="6" t="str">
        <f>IFERROR(__xludf.DUMMYFUNCTION("""COMPUTED_VALUE"""),"Oregon Trail School District 46")</f>
        <v>Oregon Trail School District 46</v>
      </c>
      <c r="M3408" s="6" t="str">
        <f>IFERROR(__xludf.DUMMYFUNCTION("""COMPUTED_VALUE"""),"Sandy High School")</f>
        <v>Sandy High School</v>
      </c>
      <c r="N3408" s="6" t="str">
        <f>IFERROR(__xludf.DUMMYFUNCTION("""COMPUTED_VALUE"""),"")</f>
        <v/>
      </c>
      <c r="O3408" s="87" t="str">
        <f>IFERROR(__xludf.DUMMYFUNCTION("""COMPUTED_VALUE"""),"https://drive.google.com/drive/folders/10T2cTQHqEJZqE-st6uFKPoI?usp=share_link")</f>
        <v>https://drive.google.com/drive/folders/10T2cTQHqEJZqE-st6uFKPoI?usp=share_link</v>
      </c>
      <c r="P3408" s="6" t="str">
        <f>IFERROR(__xludf.DUMMYFUNCTION("""COMPUTED_VALUE"""),"Henry Bird")</f>
        <v>Henry Bird</v>
      </c>
      <c r="Q3408" s="6" t="str">
        <f>IFERROR(__xludf.DUMMYFUNCTION("""COMPUTED_VALUE"""),"HS")</f>
        <v>HS</v>
      </c>
      <c r="R3408" s="6">
        <f>IFERROR(__xludf.DUMMYFUNCTION("""COMPUTED_VALUE"""),0.0)</f>
        <v>0</v>
      </c>
      <c r="S3408" s="6" t="str">
        <f>IFERROR(__xludf.DUMMYFUNCTION("""COMPUTED_VALUE"""),"Zachariah Duell")</f>
        <v>Zachariah Duell</v>
      </c>
      <c r="T3408" s="6" t="str">
        <f>IFERROR(__xludf.DUMMYFUNCTION("""COMPUTED_VALUE"""),"zachariah.duell@ortrail.k12.or.us")</f>
        <v>zachariah.duell@ortrail.k12.or.us</v>
      </c>
      <c r="U3408" s="6" t="str">
        <f>IFERROR(__xludf.DUMMYFUNCTION("""COMPUTED_VALUE"""),"10")</f>
        <v>10</v>
      </c>
      <c r="V3408" s="6" t="str">
        <f>IFERROR(__xludf.DUMMYFUNCTION("""COMPUTED_VALUE"""),"English")</f>
        <v>English</v>
      </c>
      <c r="W3408" s="6" t="str">
        <f>IFERROR(__xludf.DUMMYFUNCTION("""COMPUTED_VALUE"""),"[]")</f>
        <v>[]</v>
      </c>
      <c r="X3408" s="6" t="str">
        <f>IFERROR(__xludf.DUMMYFUNCTION("""COMPUTED_VALUE"""),"Enrolled")</f>
        <v>Enrolled</v>
      </c>
    </row>
    <row r="3409">
      <c r="A3409" s="6" t="str">
        <f>IFERROR(__xludf.DUMMYFUNCTION("""COMPUTED_VALUE"""),"064-6361")</f>
        <v>064-6361</v>
      </c>
      <c r="B3409" s="6" t="str">
        <f>IFERROR(__xludf.DUMMYFUNCTION("""COMPUTED_VALUE"""),"64")</f>
        <v>64</v>
      </c>
      <c r="C3409" s="6" t="str">
        <f>IFERROR(__xludf.DUMMYFUNCTION("""COMPUTED_VALUE"""),"6361")</f>
        <v>6361</v>
      </c>
      <c r="D3409" s="6" t="str">
        <f>IFERROR(__xludf.DUMMYFUNCTION("""COMPUTED_VALUE"""),"Camdyn")</f>
        <v>Camdyn</v>
      </c>
      <c r="E3409" s="6" t="str">
        <f>IFERROR(__xludf.DUMMYFUNCTION("""COMPUTED_VALUE"""),"")</f>
        <v/>
      </c>
      <c r="F3409" s="6" t="str">
        <f>IFERROR(__xludf.DUMMYFUNCTION("""COMPUTED_VALUE"""),"Cubic")</f>
        <v>Cubic</v>
      </c>
      <c r="G3409" s="6" t="str">
        <f>IFERROR(__xludf.DUMMYFUNCTION("""COMPUTED_VALUE"""),"01/07/2010")</f>
        <v>01/07/2010</v>
      </c>
      <c r="H3409" s="6" t="str">
        <f>IFERROR(__xludf.DUMMYFUNCTION("""COMPUTED_VALUE"""),"Self Identify")</f>
        <v>Self Identify</v>
      </c>
      <c r="I3409" s="6" t="str">
        <f>IFERROR(__xludf.DUMMYFUNCTION("""COMPUTED_VALUE"""),"High School")</f>
        <v>High School</v>
      </c>
      <c r="J3409" s="6" t="str">
        <f>IFERROR(__xludf.DUMMYFUNCTION("""COMPUTED_VALUE"""),"10")</f>
        <v>10</v>
      </c>
      <c r="K3409" s="6" t="str">
        <f>IFERROR(__xludf.DUMMYFUNCTION("""COMPUTED_VALUE"""),"cammie_cubic@stu.ortrail.k12.or.us")</f>
        <v>cammie_cubic@stu.ortrail.k12.or.us</v>
      </c>
      <c r="L3409" s="6" t="str">
        <f>IFERROR(__xludf.DUMMYFUNCTION("""COMPUTED_VALUE"""),"Oregon Trail School District 46")</f>
        <v>Oregon Trail School District 46</v>
      </c>
      <c r="M3409" s="6" t="str">
        <f>IFERROR(__xludf.DUMMYFUNCTION("""COMPUTED_VALUE"""),"Sandy High School")</f>
        <v>Sandy High School</v>
      </c>
      <c r="N3409" s="6" t="str">
        <f>IFERROR(__xludf.DUMMYFUNCTION("""COMPUTED_VALUE"""),"")</f>
        <v/>
      </c>
      <c r="O3409" s="87" t="str">
        <f>IFERROR(__xludf.DUMMYFUNCTION("""COMPUTED_VALUE"""),"https://drive.google.com/drive/folders/10T2cTQHqEJZqE-st6uFKPoI?usp=share_link")</f>
        <v>https://drive.google.com/drive/folders/10T2cTQHqEJZqE-st6uFKPoI?usp=share_link</v>
      </c>
      <c r="P3409" s="6" t="str">
        <f>IFERROR(__xludf.DUMMYFUNCTION("""COMPUTED_VALUE"""),"Camdyn Cubic")</f>
        <v>Camdyn Cubic</v>
      </c>
      <c r="Q3409" s="6" t="str">
        <f>IFERROR(__xludf.DUMMYFUNCTION("""COMPUTED_VALUE"""),"HS")</f>
        <v>HS</v>
      </c>
      <c r="R3409" s="6">
        <f>IFERROR(__xludf.DUMMYFUNCTION("""COMPUTED_VALUE"""),0.0)</f>
        <v>0</v>
      </c>
      <c r="S3409" s="6" t="str">
        <f>IFERROR(__xludf.DUMMYFUNCTION("""COMPUTED_VALUE"""),"Zachariah Duell")</f>
        <v>Zachariah Duell</v>
      </c>
      <c r="T3409" s="6" t="str">
        <f>IFERROR(__xludf.DUMMYFUNCTION("""COMPUTED_VALUE"""),"zachariah.duell@ortrail.k12.or.us")</f>
        <v>zachariah.duell@ortrail.k12.or.us</v>
      </c>
      <c r="U3409" s="6" t="str">
        <f>IFERROR(__xludf.DUMMYFUNCTION("""COMPUTED_VALUE"""),"10")</f>
        <v>10</v>
      </c>
      <c r="V3409" s="6" t="str">
        <f>IFERROR(__xludf.DUMMYFUNCTION("""COMPUTED_VALUE"""),"English")</f>
        <v>English</v>
      </c>
      <c r="W3409" s="6" t="str">
        <f>IFERROR(__xludf.DUMMYFUNCTION("""COMPUTED_VALUE"""),"[]")</f>
        <v>[]</v>
      </c>
      <c r="X3409" s="6" t="str">
        <f>IFERROR(__xludf.DUMMYFUNCTION("""COMPUTED_VALUE"""),"Enrolled")</f>
        <v>Enrolled</v>
      </c>
    </row>
    <row r="3410">
      <c r="A3410" s="6" t="str">
        <f>IFERROR(__xludf.DUMMYFUNCTION("""COMPUTED_VALUE"""),"064-6364")</f>
        <v>064-6364</v>
      </c>
      <c r="B3410" s="6" t="str">
        <f>IFERROR(__xludf.DUMMYFUNCTION("""COMPUTED_VALUE"""),"64")</f>
        <v>64</v>
      </c>
      <c r="C3410" s="6" t="str">
        <f>IFERROR(__xludf.DUMMYFUNCTION("""COMPUTED_VALUE"""),"6364")</f>
        <v>6364</v>
      </c>
      <c r="D3410" s="6" t="str">
        <f>IFERROR(__xludf.DUMMYFUNCTION("""COMPUTED_VALUE"""),"Anthony")</f>
        <v>Anthony</v>
      </c>
      <c r="E3410" s="6" t="str">
        <f>IFERROR(__xludf.DUMMYFUNCTION("""COMPUTED_VALUE"""),"")</f>
        <v/>
      </c>
      <c r="F3410" s="6" t="str">
        <f>IFERROR(__xludf.DUMMYFUNCTION("""COMPUTED_VALUE"""),"McElheran")</f>
        <v>McElheran</v>
      </c>
      <c r="G3410" s="6" t="str">
        <f>IFERROR(__xludf.DUMMYFUNCTION("""COMPUTED_VALUE"""),"11/16/2009")</f>
        <v>11/16/2009</v>
      </c>
      <c r="H3410" s="6" t="str">
        <f>IFERROR(__xludf.DUMMYFUNCTION("""COMPUTED_VALUE"""),"Self Identify")</f>
        <v>Self Identify</v>
      </c>
      <c r="I3410" s="6" t="str">
        <f>IFERROR(__xludf.DUMMYFUNCTION("""COMPUTED_VALUE"""),"High School")</f>
        <v>High School</v>
      </c>
      <c r="J3410" s="6" t="str">
        <f>IFERROR(__xludf.DUMMYFUNCTION("""COMPUTED_VALUE"""),"10")</f>
        <v>10</v>
      </c>
      <c r="K3410" s="6" t="str">
        <f>IFERROR(__xludf.DUMMYFUNCTION("""COMPUTED_VALUE"""),"anthony_mcelheran@stu.ortrail.k12.or.us")</f>
        <v>anthony_mcelheran@stu.ortrail.k12.or.us</v>
      </c>
      <c r="L3410" s="6" t="str">
        <f>IFERROR(__xludf.DUMMYFUNCTION("""COMPUTED_VALUE"""),"Oregon Trail School District 46")</f>
        <v>Oregon Trail School District 46</v>
      </c>
      <c r="M3410" s="6" t="str">
        <f>IFERROR(__xludf.DUMMYFUNCTION("""COMPUTED_VALUE"""),"Sandy High School")</f>
        <v>Sandy High School</v>
      </c>
      <c r="N3410" s="6" t="str">
        <f>IFERROR(__xludf.DUMMYFUNCTION("""COMPUTED_VALUE"""),"")</f>
        <v/>
      </c>
      <c r="O3410" s="87" t="str">
        <f>IFERROR(__xludf.DUMMYFUNCTION("""COMPUTED_VALUE"""),"https://drive.google.com/drive/folders/10T2cTQHqEJZqE-st6uFKPoI?usp=share_link")</f>
        <v>https://drive.google.com/drive/folders/10T2cTQHqEJZqE-st6uFKPoI?usp=share_link</v>
      </c>
      <c r="P3410" s="6" t="str">
        <f>IFERROR(__xludf.DUMMYFUNCTION("""COMPUTED_VALUE"""),"Anthony McElheran")</f>
        <v>Anthony McElheran</v>
      </c>
      <c r="Q3410" s="6" t="str">
        <f>IFERROR(__xludf.DUMMYFUNCTION("""COMPUTED_VALUE"""),"HS")</f>
        <v>HS</v>
      </c>
      <c r="R3410" s="6">
        <f>IFERROR(__xludf.DUMMYFUNCTION("""COMPUTED_VALUE"""),0.0)</f>
        <v>0</v>
      </c>
      <c r="S3410" s="6" t="str">
        <f>IFERROR(__xludf.DUMMYFUNCTION("""COMPUTED_VALUE"""),"Zachariah Duell")</f>
        <v>Zachariah Duell</v>
      </c>
      <c r="T3410" s="6" t="str">
        <f>IFERROR(__xludf.DUMMYFUNCTION("""COMPUTED_VALUE"""),"zachariah.duell@ortrail.k12.or.us")</f>
        <v>zachariah.duell@ortrail.k12.or.us</v>
      </c>
      <c r="U3410" s="6" t="str">
        <f>IFERROR(__xludf.DUMMYFUNCTION("""COMPUTED_VALUE"""),"10")</f>
        <v>10</v>
      </c>
      <c r="V3410" s="6" t="str">
        <f>IFERROR(__xludf.DUMMYFUNCTION("""COMPUTED_VALUE"""),"English")</f>
        <v>English</v>
      </c>
      <c r="W3410" s="6" t="str">
        <f>IFERROR(__xludf.DUMMYFUNCTION("""COMPUTED_VALUE"""),"[]")</f>
        <v>[]</v>
      </c>
      <c r="X3410" s="6" t="str">
        <f>IFERROR(__xludf.DUMMYFUNCTION("""COMPUTED_VALUE"""),"Enrolled")</f>
        <v>Enrolled</v>
      </c>
    </row>
    <row r="3411">
      <c r="A3411" s="6" t="str">
        <f>IFERROR(__xludf.DUMMYFUNCTION("""COMPUTED_VALUE"""),"064-6366")</f>
        <v>064-6366</v>
      </c>
      <c r="B3411" s="6" t="str">
        <f>IFERROR(__xludf.DUMMYFUNCTION("""COMPUTED_VALUE"""),"64")</f>
        <v>64</v>
      </c>
      <c r="C3411" s="6" t="str">
        <f>IFERROR(__xludf.DUMMYFUNCTION("""COMPUTED_VALUE"""),"6366")</f>
        <v>6366</v>
      </c>
      <c r="D3411" s="6" t="str">
        <f>IFERROR(__xludf.DUMMYFUNCTION("""COMPUTED_VALUE"""),"Brayden")</f>
        <v>Brayden</v>
      </c>
      <c r="E3411" s="6" t="str">
        <f>IFERROR(__xludf.DUMMYFUNCTION("""COMPUTED_VALUE"""),"")</f>
        <v/>
      </c>
      <c r="F3411" s="6" t="str">
        <f>IFERROR(__xludf.DUMMYFUNCTION("""COMPUTED_VALUE"""),"Niiranen")</f>
        <v>Niiranen</v>
      </c>
      <c r="G3411" s="6" t="str">
        <f>IFERROR(__xludf.DUMMYFUNCTION("""COMPUTED_VALUE"""),"02/06/2009")</f>
        <v>02/06/2009</v>
      </c>
      <c r="H3411" s="6" t="str">
        <f>IFERROR(__xludf.DUMMYFUNCTION("""COMPUTED_VALUE"""),"Self Identify")</f>
        <v>Self Identify</v>
      </c>
      <c r="I3411" s="6" t="str">
        <f>IFERROR(__xludf.DUMMYFUNCTION("""COMPUTED_VALUE"""),"High School")</f>
        <v>High School</v>
      </c>
      <c r="J3411" s="6" t="str">
        <f>IFERROR(__xludf.DUMMYFUNCTION("""COMPUTED_VALUE"""),"10")</f>
        <v>10</v>
      </c>
      <c r="K3411" s="6" t="str">
        <f>IFERROR(__xludf.DUMMYFUNCTION("""COMPUTED_VALUE"""),"brayden_niiranen@stu.ortrail.k12.or.us")</f>
        <v>brayden_niiranen@stu.ortrail.k12.or.us</v>
      </c>
      <c r="L3411" s="6" t="str">
        <f>IFERROR(__xludf.DUMMYFUNCTION("""COMPUTED_VALUE"""),"Oregon Trail School District 46")</f>
        <v>Oregon Trail School District 46</v>
      </c>
      <c r="M3411" s="6" t="str">
        <f>IFERROR(__xludf.DUMMYFUNCTION("""COMPUTED_VALUE"""),"Sandy High School")</f>
        <v>Sandy High School</v>
      </c>
      <c r="N3411" s="6" t="str">
        <f>IFERROR(__xludf.DUMMYFUNCTION("""COMPUTED_VALUE"""),"")</f>
        <v/>
      </c>
      <c r="O3411" s="87" t="str">
        <f>IFERROR(__xludf.DUMMYFUNCTION("""COMPUTED_VALUE"""),"https://drive.google.com/drive/folders/10T2cTQHqEJZqE-st6uFKPoI?usp=share_link")</f>
        <v>https://drive.google.com/drive/folders/10T2cTQHqEJZqE-st6uFKPoI?usp=share_link</v>
      </c>
      <c r="P3411" s="6" t="str">
        <f>IFERROR(__xludf.DUMMYFUNCTION("""COMPUTED_VALUE"""),"Brayden Niiranen")</f>
        <v>Brayden Niiranen</v>
      </c>
      <c r="Q3411" s="6" t="str">
        <f>IFERROR(__xludf.DUMMYFUNCTION("""COMPUTED_VALUE"""),"HS")</f>
        <v>HS</v>
      </c>
      <c r="R3411" s="6">
        <f>IFERROR(__xludf.DUMMYFUNCTION("""COMPUTED_VALUE"""),0.0)</f>
        <v>0</v>
      </c>
      <c r="S3411" s="6" t="str">
        <f>IFERROR(__xludf.DUMMYFUNCTION("""COMPUTED_VALUE"""),"Zachariah Duell")</f>
        <v>Zachariah Duell</v>
      </c>
      <c r="T3411" s="6" t="str">
        <f>IFERROR(__xludf.DUMMYFUNCTION("""COMPUTED_VALUE"""),"zachariah.duell@ortrail.k12.or.us")</f>
        <v>zachariah.duell@ortrail.k12.or.us</v>
      </c>
      <c r="U3411" s="6" t="str">
        <f>IFERROR(__xludf.DUMMYFUNCTION("""COMPUTED_VALUE"""),"10")</f>
        <v>10</v>
      </c>
      <c r="V3411" s="6" t="str">
        <f>IFERROR(__xludf.DUMMYFUNCTION("""COMPUTED_VALUE"""),"English")</f>
        <v>English</v>
      </c>
      <c r="W3411" s="6" t="str">
        <f>IFERROR(__xludf.DUMMYFUNCTION("""COMPUTED_VALUE"""),"[]")</f>
        <v>[]</v>
      </c>
      <c r="X3411" s="6" t="str">
        <f>IFERROR(__xludf.DUMMYFUNCTION("""COMPUTED_VALUE"""),"Enrolled")</f>
        <v>Enrolled</v>
      </c>
    </row>
    <row r="3412">
      <c r="A3412" s="6" t="str">
        <f>IFERROR(__xludf.DUMMYFUNCTION("""COMPUTED_VALUE"""),"064-6368")</f>
        <v>064-6368</v>
      </c>
      <c r="B3412" s="6" t="str">
        <f>IFERROR(__xludf.DUMMYFUNCTION("""COMPUTED_VALUE"""),"64")</f>
        <v>64</v>
      </c>
      <c r="C3412" s="6" t="str">
        <f>IFERROR(__xludf.DUMMYFUNCTION("""COMPUTED_VALUE"""),"6368")</f>
        <v>6368</v>
      </c>
      <c r="D3412" s="6" t="str">
        <f>IFERROR(__xludf.DUMMYFUNCTION("""COMPUTED_VALUE"""),"Francisco")</f>
        <v>Francisco</v>
      </c>
      <c r="E3412" s="6" t="str">
        <f>IFERROR(__xludf.DUMMYFUNCTION("""COMPUTED_VALUE"""),"")</f>
        <v/>
      </c>
      <c r="F3412" s="6" t="str">
        <f>IFERROR(__xludf.DUMMYFUNCTION("""COMPUTED_VALUE"""),"Reyes Zavala")</f>
        <v>Reyes Zavala</v>
      </c>
      <c r="G3412" s="6" t="str">
        <f>IFERROR(__xludf.DUMMYFUNCTION("""COMPUTED_VALUE"""),"04/05/2010")</f>
        <v>04/05/2010</v>
      </c>
      <c r="H3412" s="6" t="str">
        <f>IFERROR(__xludf.DUMMYFUNCTION("""COMPUTED_VALUE"""),"Self Identify")</f>
        <v>Self Identify</v>
      </c>
      <c r="I3412" s="6" t="str">
        <f>IFERROR(__xludf.DUMMYFUNCTION("""COMPUTED_VALUE"""),"High School")</f>
        <v>High School</v>
      </c>
      <c r="J3412" s="6" t="str">
        <f>IFERROR(__xludf.DUMMYFUNCTION("""COMPUTED_VALUE"""),"10")</f>
        <v>10</v>
      </c>
      <c r="K3412" s="6" t="str">
        <f>IFERROR(__xludf.DUMMYFUNCTION("""COMPUTED_VALUE"""),"frankie_reyeszavala@stu.ortrail.k12.or.us")</f>
        <v>frankie_reyeszavala@stu.ortrail.k12.or.us</v>
      </c>
      <c r="L3412" s="6" t="str">
        <f>IFERROR(__xludf.DUMMYFUNCTION("""COMPUTED_VALUE"""),"Oregon Trail School District 46")</f>
        <v>Oregon Trail School District 46</v>
      </c>
      <c r="M3412" s="6" t="str">
        <f>IFERROR(__xludf.DUMMYFUNCTION("""COMPUTED_VALUE"""),"Sandy High School")</f>
        <v>Sandy High School</v>
      </c>
      <c r="N3412" s="6" t="str">
        <f>IFERROR(__xludf.DUMMYFUNCTION("""COMPUTED_VALUE"""),"")</f>
        <v/>
      </c>
      <c r="O3412" s="87" t="str">
        <f>IFERROR(__xludf.DUMMYFUNCTION("""COMPUTED_VALUE"""),"https://drive.google.com/drive/folders/10T2cTQHqEJZqE-st6uFKPoI?usp=share_link")</f>
        <v>https://drive.google.com/drive/folders/10T2cTQHqEJZqE-st6uFKPoI?usp=share_link</v>
      </c>
      <c r="P3412" s="6" t="str">
        <f>IFERROR(__xludf.DUMMYFUNCTION("""COMPUTED_VALUE"""),"Francisco Reyes Zavala")</f>
        <v>Francisco Reyes Zavala</v>
      </c>
      <c r="Q3412" s="6" t="str">
        <f>IFERROR(__xludf.DUMMYFUNCTION("""COMPUTED_VALUE"""),"HS")</f>
        <v>HS</v>
      </c>
      <c r="R3412" s="6">
        <f>IFERROR(__xludf.DUMMYFUNCTION("""COMPUTED_VALUE"""),0.0)</f>
        <v>0</v>
      </c>
      <c r="S3412" s="6" t="str">
        <f>IFERROR(__xludf.DUMMYFUNCTION("""COMPUTED_VALUE"""),"Zachariah Duell")</f>
        <v>Zachariah Duell</v>
      </c>
      <c r="T3412" s="6" t="str">
        <f>IFERROR(__xludf.DUMMYFUNCTION("""COMPUTED_VALUE"""),"zachariah.duell@ortrail.k12.or.us")</f>
        <v>zachariah.duell@ortrail.k12.or.us</v>
      </c>
      <c r="U3412" s="6" t="str">
        <f>IFERROR(__xludf.DUMMYFUNCTION("""COMPUTED_VALUE"""),"10")</f>
        <v>10</v>
      </c>
      <c r="V3412" s="6" t="str">
        <f>IFERROR(__xludf.DUMMYFUNCTION("""COMPUTED_VALUE"""),"English")</f>
        <v>English</v>
      </c>
      <c r="W3412" s="6" t="str">
        <f>IFERROR(__xludf.DUMMYFUNCTION("""COMPUTED_VALUE"""),"[]")</f>
        <v>[]</v>
      </c>
      <c r="X3412" s="6" t="str">
        <f>IFERROR(__xludf.DUMMYFUNCTION("""COMPUTED_VALUE"""),"Enrolled")</f>
        <v>Enrolled</v>
      </c>
    </row>
    <row r="3413">
      <c r="A3413" s="6" t="str">
        <f>IFERROR(__xludf.DUMMYFUNCTION("""COMPUTED_VALUE"""),"064-6370")</f>
        <v>064-6370</v>
      </c>
      <c r="B3413" s="6" t="str">
        <f>IFERROR(__xludf.DUMMYFUNCTION("""COMPUTED_VALUE"""),"64")</f>
        <v>64</v>
      </c>
      <c r="C3413" s="6" t="str">
        <f>IFERROR(__xludf.DUMMYFUNCTION("""COMPUTED_VALUE"""),"6370")</f>
        <v>6370</v>
      </c>
      <c r="D3413" s="6" t="str">
        <f>IFERROR(__xludf.DUMMYFUNCTION("""COMPUTED_VALUE"""),"Eliya")</f>
        <v>Eliya</v>
      </c>
      <c r="E3413" s="6" t="str">
        <f>IFERROR(__xludf.DUMMYFUNCTION("""COMPUTED_VALUE"""),"")</f>
        <v/>
      </c>
      <c r="F3413" s="6" t="str">
        <f>IFERROR(__xludf.DUMMYFUNCTION("""COMPUTED_VALUE"""),"Beeson")</f>
        <v>Beeson</v>
      </c>
      <c r="G3413" s="6" t="str">
        <f>IFERROR(__xludf.DUMMYFUNCTION("""COMPUTED_VALUE"""),"08/02/2008")</f>
        <v>08/02/2008</v>
      </c>
      <c r="H3413" s="6" t="str">
        <f>IFERROR(__xludf.DUMMYFUNCTION("""COMPUTED_VALUE"""),"Self Identify")</f>
        <v>Self Identify</v>
      </c>
      <c r="I3413" s="6" t="str">
        <f>IFERROR(__xludf.DUMMYFUNCTION("""COMPUTED_VALUE"""),"High School")</f>
        <v>High School</v>
      </c>
      <c r="J3413" s="6" t="str">
        <f>IFERROR(__xludf.DUMMYFUNCTION("""COMPUTED_VALUE"""),"12")</f>
        <v>12</v>
      </c>
      <c r="K3413" s="6" t="str">
        <f>IFERROR(__xludf.DUMMYFUNCTION("""COMPUTED_VALUE"""),"eliya_beeson@stu.ortrail.k12.or.us")</f>
        <v>eliya_beeson@stu.ortrail.k12.or.us</v>
      </c>
      <c r="L3413" s="6" t="str">
        <f>IFERROR(__xludf.DUMMYFUNCTION("""COMPUTED_VALUE"""),"Oregon Trail School District 46")</f>
        <v>Oregon Trail School District 46</v>
      </c>
      <c r="M3413" s="6" t="str">
        <f>IFERROR(__xludf.DUMMYFUNCTION("""COMPUTED_VALUE"""),"Sandy High School")</f>
        <v>Sandy High School</v>
      </c>
      <c r="N3413" s="6" t="str">
        <f>IFERROR(__xludf.DUMMYFUNCTION("""COMPUTED_VALUE"""),"")</f>
        <v/>
      </c>
      <c r="O3413" s="87" t="str">
        <f>IFERROR(__xludf.DUMMYFUNCTION("""COMPUTED_VALUE"""),"https://drive.google.com/drive/folders/10T2cTQHqEJZqE-st6uFKPoI?usp=share_link")</f>
        <v>https://drive.google.com/drive/folders/10T2cTQHqEJZqE-st6uFKPoI?usp=share_link</v>
      </c>
      <c r="P3413" s="6" t="str">
        <f>IFERROR(__xludf.DUMMYFUNCTION("""COMPUTED_VALUE"""),"Eliya Beeson")</f>
        <v>Eliya Beeson</v>
      </c>
      <c r="Q3413" s="6" t="str">
        <f>IFERROR(__xludf.DUMMYFUNCTION("""COMPUTED_VALUE"""),"HS")</f>
        <v>HS</v>
      </c>
      <c r="R3413" s="6">
        <f>IFERROR(__xludf.DUMMYFUNCTION("""COMPUTED_VALUE"""),0.0)</f>
        <v>0</v>
      </c>
      <c r="S3413" s="6" t="str">
        <f>IFERROR(__xludf.DUMMYFUNCTION("""COMPUTED_VALUE"""),"Tiffany Pfenning")</f>
        <v>Tiffany Pfenning</v>
      </c>
      <c r="T3413" s="6" t="str">
        <f>IFERROR(__xludf.DUMMYFUNCTION("""COMPUTED_VALUE"""),"tiffany.pfenning@ortrail.k12.or.us")</f>
        <v>tiffany.pfenning@ortrail.k12.or.us</v>
      </c>
      <c r="U3413" s="6" t="str">
        <f>IFERROR(__xludf.DUMMYFUNCTION("""COMPUTED_VALUE"""),"12")</f>
        <v>12</v>
      </c>
      <c r="V3413" s="6" t="str">
        <f>IFERROR(__xludf.DUMMYFUNCTION("""COMPUTED_VALUE"""),"English")</f>
        <v>English</v>
      </c>
      <c r="W3413" s="6" t="str">
        <f>IFERROR(__xludf.DUMMYFUNCTION("""COMPUTED_VALUE"""),"[]")</f>
        <v>[]</v>
      </c>
      <c r="X3413" s="6" t="str">
        <f>IFERROR(__xludf.DUMMYFUNCTION("""COMPUTED_VALUE"""),"Enrolled")</f>
        <v>Enrolled</v>
      </c>
    </row>
    <row r="3414">
      <c r="A3414" s="6" t="str">
        <f>IFERROR(__xludf.DUMMYFUNCTION("""COMPUTED_VALUE"""),"064-6375")</f>
        <v>064-6375</v>
      </c>
      <c r="B3414" s="6" t="str">
        <f>IFERROR(__xludf.DUMMYFUNCTION("""COMPUTED_VALUE"""),"64")</f>
        <v>64</v>
      </c>
      <c r="C3414" s="6" t="str">
        <f>IFERROR(__xludf.DUMMYFUNCTION("""COMPUTED_VALUE"""),"6375")</f>
        <v>6375</v>
      </c>
      <c r="D3414" s="6" t="str">
        <f>IFERROR(__xludf.DUMMYFUNCTION("""COMPUTED_VALUE"""),"Zackary")</f>
        <v>Zackary</v>
      </c>
      <c r="E3414" s="6" t="str">
        <f>IFERROR(__xludf.DUMMYFUNCTION("""COMPUTED_VALUE"""),"")</f>
        <v/>
      </c>
      <c r="F3414" s="6" t="str">
        <f>IFERROR(__xludf.DUMMYFUNCTION("""COMPUTED_VALUE"""),"Chatzigiannakos")</f>
        <v>Chatzigiannakos</v>
      </c>
      <c r="G3414" s="6" t="str">
        <f>IFERROR(__xludf.DUMMYFUNCTION("""COMPUTED_VALUE"""),"12/18/2010")</f>
        <v>12/18/2010</v>
      </c>
      <c r="H3414" s="6" t="str">
        <f>IFERROR(__xludf.DUMMYFUNCTION("""COMPUTED_VALUE"""),"Self Identify")</f>
        <v>Self Identify</v>
      </c>
      <c r="I3414" s="6" t="str">
        <f>IFERROR(__xludf.DUMMYFUNCTION("""COMPUTED_VALUE"""),"High School")</f>
        <v>High School</v>
      </c>
      <c r="J3414" s="6" t="str">
        <f>IFERROR(__xludf.DUMMYFUNCTION("""COMPUTED_VALUE"""),"9")</f>
        <v>9</v>
      </c>
      <c r="K3414" s="6" t="str">
        <f>IFERROR(__xludf.DUMMYFUNCTION("""COMPUTED_VALUE"""),"zackary_chatzigianna@stu.ortrail.k12.or.us")</f>
        <v>zackary_chatzigianna@stu.ortrail.k12.or.us</v>
      </c>
      <c r="L3414" s="6" t="str">
        <f>IFERROR(__xludf.DUMMYFUNCTION("""COMPUTED_VALUE"""),"Oregon Trail School District 46")</f>
        <v>Oregon Trail School District 46</v>
      </c>
      <c r="M3414" s="6" t="str">
        <f>IFERROR(__xludf.DUMMYFUNCTION("""COMPUTED_VALUE"""),"Sandy High School")</f>
        <v>Sandy High School</v>
      </c>
      <c r="N3414" s="6" t="str">
        <f>IFERROR(__xludf.DUMMYFUNCTION("""COMPUTED_VALUE"""),"")</f>
        <v/>
      </c>
      <c r="O3414" s="87" t="str">
        <f>IFERROR(__xludf.DUMMYFUNCTION("""COMPUTED_VALUE"""),"https://drive.google.com/drive/folders/10T2cTQHqEJZqE-st6uFKPoI?usp=share_link")</f>
        <v>https://drive.google.com/drive/folders/10T2cTQHqEJZqE-st6uFKPoI?usp=share_link</v>
      </c>
      <c r="P3414" s="6" t="str">
        <f>IFERROR(__xludf.DUMMYFUNCTION("""COMPUTED_VALUE"""),"Zackary Chatzigiannakos")</f>
        <v>Zackary Chatzigiannakos</v>
      </c>
      <c r="Q3414" s="6" t="str">
        <f>IFERROR(__xludf.DUMMYFUNCTION("""COMPUTED_VALUE"""),"HS")</f>
        <v>HS</v>
      </c>
      <c r="R3414" s="6">
        <f>IFERROR(__xludf.DUMMYFUNCTION("""COMPUTED_VALUE"""),0.0)</f>
        <v>0</v>
      </c>
      <c r="S3414" s="6" t="str">
        <f>IFERROR(__xludf.DUMMYFUNCTION("""COMPUTED_VALUE"""),"Tiffany Pfenning")</f>
        <v>Tiffany Pfenning</v>
      </c>
      <c r="T3414" s="6" t="str">
        <f>IFERROR(__xludf.DUMMYFUNCTION("""COMPUTED_VALUE"""),"tiffany.pfenning@ortrail.k12.or.us")</f>
        <v>tiffany.pfenning@ortrail.k12.or.us</v>
      </c>
      <c r="U3414" s="6" t="str">
        <f>IFERROR(__xludf.DUMMYFUNCTION("""COMPUTED_VALUE"""),"9")</f>
        <v>9</v>
      </c>
      <c r="V3414" s="6" t="str">
        <f>IFERROR(__xludf.DUMMYFUNCTION("""COMPUTED_VALUE"""),"English")</f>
        <v>English</v>
      </c>
      <c r="W3414" s="6" t="str">
        <f>IFERROR(__xludf.DUMMYFUNCTION("""COMPUTED_VALUE"""),"[]")</f>
        <v>[]</v>
      </c>
      <c r="X3414" s="6" t="str">
        <f>IFERROR(__xludf.DUMMYFUNCTION("""COMPUTED_VALUE"""),"Enrolled")</f>
        <v>Enrolled</v>
      </c>
    </row>
    <row r="3415">
      <c r="A3415" s="6" t="str">
        <f>IFERROR(__xludf.DUMMYFUNCTION("""COMPUTED_VALUE"""),"064-6377")</f>
        <v>064-6377</v>
      </c>
      <c r="B3415" s="6" t="str">
        <f>IFERROR(__xludf.DUMMYFUNCTION("""COMPUTED_VALUE"""),"64")</f>
        <v>64</v>
      </c>
      <c r="C3415" s="6" t="str">
        <f>IFERROR(__xludf.DUMMYFUNCTION("""COMPUTED_VALUE"""),"6377")</f>
        <v>6377</v>
      </c>
      <c r="D3415" s="6" t="str">
        <f>IFERROR(__xludf.DUMMYFUNCTION("""COMPUTED_VALUE"""),"Lukus")</f>
        <v>Lukus</v>
      </c>
      <c r="E3415" s="6" t="str">
        <f>IFERROR(__xludf.DUMMYFUNCTION("""COMPUTED_VALUE"""),"")</f>
        <v/>
      </c>
      <c r="F3415" s="6" t="str">
        <f>IFERROR(__xludf.DUMMYFUNCTION("""COMPUTED_VALUE"""),"Corpron")</f>
        <v>Corpron</v>
      </c>
      <c r="G3415" s="6" t="str">
        <f>IFERROR(__xludf.DUMMYFUNCTION("""COMPUTED_VALUE"""),"02/02/2009")</f>
        <v>02/02/2009</v>
      </c>
      <c r="H3415" s="6" t="str">
        <f>IFERROR(__xludf.DUMMYFUNCTION("""COMPUTED_VALUE"""),"Self Identify")</f>
        <v>Self Identify</v>
      </c>
      <c r="I3415" s="6" t="str">
        <f>IFERROR(__xludf.DUMMYFUNCTION("""COMPUTED_VALUE"""),"High School")</f>
        <v>High School</v>
      </c>
      <c r="J3415" s="6" t="str">
        <f>IFERROR(__xludf.DUMMYFUNCTION("""COMPUTED_VALUE"""),"11")</f>
        <v>11</v>
      </c>
      <c r="K3415" s="6" t="str">
        <f>IFERROR(__xludf.DUMMYFUNCTION("""COMPUTED_VALUE"""),"luke_corpron@stu.ortrail.k12.or.us")</f>
        <v>luke_corpron@stu.ortrail.k12.or.us</v>
      </c>
      <c r="L3415" s="6" t="str">
        <f>IFERROR(__xludf.DUMMYFUNCTION("""COMPUTED_VALUE"""),"Oregon Trail School District 46")</f>
        <v>Oregon Trail School District 46</v>
      </c>
      <c r="M3415" s="6" t="str">
        <f>IFERROR(__xludf.DUMMYFUNCTION("""COMPUTED_VALUE"""),"Sandy High School")</f>
        <v>Sandy High School</v>
      </c>
      <c r="N3415" s="6" t="str">
        <f>IFERROR(__xludf.DUMMYFUNCTION("""COMPUTED_VALUE"""),"")</f>
        <v/>
      </c>
      <c r="O3415" s="87" t="str">
        <f>IFERROR(__xludf.DUMMYFUNCTION("""COMPUTED_VALUE"""),"https://drive.google.com/drive/folders/10T2cTQHqEJZqE-st6uFKPoI?usp=share_link")</f>
        <v>https://drive.google.com/drive/folders/10T2cTQHqEJZqE-st6uFKPoI?usp=share_link</v>
      </c>
      <c r="P3415" s="6" t="str">
        <f>IFERROR(__xludf.DUMMYFUNCTION("""COMPUTED_VALUE"""),"Lukus Corpron")</f>
        <v>Lukus Corpron</v>
      </c>
      <c r="Q3415" s="6" t="str">
        <f>IFERROR(__xludf.DUMMYFUNCTION("""COMPUTED_VALUE"""),"HS")</f>
        <v>HS</v>
      </c>
      <c r="R3415" s="6">
        <f>IFERROR(__xludf.DUMMYFUNCTION("""COMPUTED_VALUE"""),0.0)</f>
        <v>0</v>
      </c>
      <c r="S3415" s="6" t="str">
        <f>IFERROR(__xludf.DUMMYFUNCTION("""COMPUTED_VALUE"""),"Tiffany Pfenning")</f>
        <v>Tiffany Pfenning</v>
      </c>
      <c r="T3415" s="6" t="str">
        <f>IFERROR(__xludf.DUMMYFUNCTION("""COMPUTED_VALUE"""),"tiffany.pfenning@ortrail.k12.or.us")</f>
        <v>tiffany.pfenning@ortrail.k12.or.us</v>
      </c>
      <c r="U3415" s="6" t="str">
        <f>IFERROR(__xludf.DUMMYFUNCTION("""COMPUTED_VALUE"""),"11")</f>
        <v>11</v>
      </c>
      <c r="V3415" s="6" t="str">
        <f>IFERROR(__xludf.DUMMYFUNCTION("""COMPUTED_VALUE"""),"English")</f>
        <v>English</v>
      </c>
      <c r="W3415" s="6" t="str">
        <f>IFERROR(__xludf.DUMMYFUNCTION("""COMPUTED_VALUE"""),"[]")</f>
        <v>[]</v>
      </c>
      <c r="X3415" s="6" t="str">
        <f>IFERROR(__xludf.DUMMYFUNCTION("""COMPUTED_VALUE"""),"Enrolled")</f>
        <v>Enrolled</v>
      </c>
    </row>
    <row r="3416">
      <c r="A3416" s="6" t="str">
        <f>IFERROR(__xludf.DUMMYFUNCTION("""COMPUTED_VALUE"""),"064-6378")</f>
        <v>064-6378</v>
      </c>
      <c r="B3416" s="6" t="str">
        <f>IFERROR(__xludf.DUMMYFUNCTION("""COMPUTED_VALUE"""),"64")</f>
        <v>64</v>
      </c>
      <c r="C3416" s="6" t="str">
        <f>IFERROR(__xludf.DUMMYFUNCTION("""COMPUTED_VALUE"""),"6378")</f>
        <v>6378</v>
      </c>
      <c r="D3416" s="6" t="str">
        <f>IFERROR(__xludf.DUMMYFUNCTION("""COMPUTED_VALUE"""),"Jesee")</f>
        <v>Jesee</v>
      </c>
      <c r="E3416" s="6" t="str">
        <f>IFERROR(__xludf.DUMMYFUNCTION("""COMPUTED_VALUE"""),"")</f>
        <v/>
      </c>
      <c r="F3416" s="6" t="str">
        <f>IFERROR(__xludf.DUMMYFUNCTION("""COMPUTED_VALUE"""),"Cox")</f>
        <v>Cox</v>
      </c>
      <c r="G3416" s="6" t="str">
        <f>IFERROR(__xludf.DUMMYFUNCTION("""COMPUTED_VALUE"""),"10/22/2008")</f>
        <v>10/22/2008</v>
      </c>
      <c r="H3416" s="6" t="str">
        <f>IFERROR(__xludf.DUMMYFUNCTION("""COMPUTED_VALUE"""),"Self Identify")</f>
        <v>Self Identify</v>
      </c>
      <c r="I3416" s="6" t="str">
        <f>IFERROR(__xludf.DUMMYFUNCTION("""COMPUTED_VALUE"""),"High School")</f>
        <v>High School</v>
      </c>
      <c r="J3416" s="6" t="str">
        <f>IFERROR(__xludf.DUMMYFUNCTION("""COMPUTED_VALUE"""),"11")</f>
        <v>11</v>
      </c>
      <c r="K3416" s="6" t="str">
        <f>IFERROR(__xludf.DUMMYFUNCTION("""COMPUTED_VALUE"""),"jesee_cox@stu.ortrail.k12.or.us")</f>
        <v>jesee_cox@stu.ortrail.k12.or.us</v>
      </c>
      <c r="L3416" s="6" t="str">
        <f>IFERROR(__xludf.DUMMYFUNCTION("""COMPUTED_VALUE"""),"Oregon Trail School District 46")</f>
        <v>Oregon Trail School District 46</v>
      </c>
      <c r="M3416" s="6" t="str">
        <f>IFERROR(__xludf.DUMMYFUNCTION("""COMPUTED_VALUE"""),"Sandy High School")</f>
        <v>Sandy High School</v>
      </c>
      <c r="N3416" s="6" t="str">
        <f>IFERROR(__xludf.DUMMYFUNCTION("""COMPUTED_VALUE"""),"")</f>
        <v/>
      </c>
      <c r="O3416" s="87" t="str">
        <f>IFERROR(__xludf.DUMMYFUNCTION("""COMPUTED_VALUE"""),"https://drive.google.com/drive/folders/10T2cTQHqEJZqE-st6uFKPoI?usp=share_link")</f>
        <v>https://drive.google.com/drive/folders/10T2cTQHqEJZqE-st6uFKPoI?usp=share_link</v>
      </c>
      <c r="P3416" s="6" t="str">
        <f>IFERROR(__xludf.DUMMYFUNCTION("""COMPUTED_VALUE"""),"Jesee Cox")</f>
        <v>Jesee Cox</v>
      </c>
      <c r="Q3416" s="6" t="str">
        <f>IFERROR(__xludf.DUMMYFUNCTION("""COMPUTED_VALUE"""),"HS")</f>
        <v>HS</v>
      </c>
      <c r="R3416" s="6">
        <f>IFERROR(__xludf.DUMMYFUNCTION("""COMPUTED_VALUE"""),0.0)</f>
        <v>0</v>
      </c>
      <c r="S3416" s="6" t="str">
        <f>IFERROR(__xludf.DUMMYFUNCTION("""COMPUTED_VALUE"""),"Tiffany Pfenning")</f>
        <v>Tiffany Pfenning</v>
      </c>
      <c r="T3416" s="6" t="str">
        <f>IFERROR(__xludf.DUMMYFUNCTION("""COMPUTED_VALUE"""),"tiffany.pfenning@ortrail.k12.or.us")</f>
        <v>tiffany.pfenning@ortrail.k12.or.us</v>
      </c>
      <c r="U3416" s="6" t="str">
        <f>IFERROR(__xludf.DUMMYFUNCTION("""COMPUTED_VALUE"""),"11")</f>
        <v>11</v>
      </c>
      <c r="V3416" s="6" t="str">
        <f>IFERROR(__xludf.DUMMYFUNCTION("""COMPUTED_VALUE"""),"English")</f>
        <v>English</v>
      </c>
      <c r="W3416" s="6" t="str">
        <f>IFERROR(__xludf.DUMMYFUNCTION("""COMPUTED_VALUE"""),"[]")</f>
        <v>[]</v>
      </c>
      <c r="X3416" s="6" t="str">
        <f>IFERROR(__xludf.DUMMYFUNCTION("""COMPUTED_VALUE"""),"Enrolled")</f>
        <v>Enrolled</v>
      </c>
    </row>
    <row r="3417">
      <c r="A3417" s="6" t="str">
        <f>IFERROR(__xludf.DUMMYFUNCTION("""COMPUTED_VALUE"""),"064-6380")</f>
        <v>064-6380</v>
      </c>
      <c r="B3417" s="6" t="str">
        <f>IFERROR(__xludf.DUMMYFUNCTION("""COMPUTED_VALUE"""),"64")</f>
        <v>64</v>
      </c>
      <c r="C3417" s="6" t="str">
        <f>IFERROR(__xludf.DUMMYFUNCTION("""COMPUTED_VALUE"""),"6380")</f>
        <v>6380</v>
      </c>
      <c r="D3417" s="6" t="str">
        <f>IFERROR(__xludf.DUMMYFUNCTION("""COMPUTED_VALUE"""),"Peyton")</f>
        <v>Peyton</v>
      </c>
      <c r="E3417" s="6" t="str">
        <f>IFERROR(__xludf.DUMMYFUNCTION("""COMPUTED_VALUE"""),"")</f>
        <v/>
      </c>
      <c r="F3417" s="6" t="str">
        <f>IFERROR(__xludf.DUMMYFUNCTION("""COMPUTED_VALUE"""),"Dodd")</f>
        <v>Dodd</v>
      </c>
      <c r="G3417" s="6" t="str">
        <f>IFERROR(__xludf.DUMMYFUNCTION("""COMPUTED_VALUE"""),"02/05/2009")</f>
        <v>02/05/2009</v>
      </c>
      <c r="H3417" s="6" t="str">
        <f>IFERROR(__xludf.DUMMYFUNCTION("""COMPUTED_VALUE"""),"Self Identify")</f>
        <v>Self Identify</v>
      </c>
      <c r="I3417" s="6" t="str">
        <f>IFERROR(__xludf.DUMMYFUNCTION("""COMPUTED_VALUE"""),"High School")</f>
        <v>High School</v>
      </c>
      <c r="J3417" s="6" t="str">
        <f>IFERROR(__xludf.DUMMYFUNCTION("""COMPUTED_VALUE"""),"11")</f>
        <v>11</v>
      </c>
      <c r="K3417" s="6" t="str">
        <f>IFERROR(__xludf.DUMMYFUNCTION("""COMPUTED_VALUE"""),"peyton_dodd@stu.ortrail.k12.or.us")</f>
        <v>peyton_dodd@stu.ortrail.k12.or.us</v>
      </c>
      <c r="L3417" s="6" t="str">
        <f>IFERROR(__xludf.DUMMYFUNCTION("""COMPUTED_VALUE"""),"Oregon Trail School District 46")</f>
        <v>Oregon Trail School District 46</v>
      </c>
      <c r="M3417" s="6" t="str">
        <f>IFERROR(__xludf.DUMMYFUNCTION("""COMPUTED_VALUE"""),"Sandy High School")</f>
        <v>Sandy High School</v>
      </c>
      <c r="N3417" s="6" t="str">
        <f>IFERROR(__xludf.DUMMYFUNCTION("""COMPUTED_VALUE"""),"")</f>
        <v/>
      </c>
      <c r="O3417" s="87" t="str">
        <f>IFERROR(__xludf.DUMMYFUNCTION("""COMPUTED_VALUE"""),"https://drive.google.com/drive/folders/10T2cTQHqEJZqE-st6uFKPoI?usp=share_link")</f>
        <v>https://drive.google.com/drive/folders/10T2cTQHqEJZqE-st6uFKPoI?usp=share_link</v>
      </c>
      <c r="P3417" s="6" t="str">
        <f>IFERROR(__xludf.DUMMYFUNCTION("""COMPUTED_VALUE"""),"Peyton Dodd")</f>
        <v>Peyton Dodd</v>
      </c>
      <c r="Q3417" s="6" t="str">
        <f>IFERROR(__xludf.DUMMYFUNCTION("""COMPUTED_VALUE"""),"HS")</f>
        <v>HS</v>
      </c>
      <c r="R3417" s="6">
        <f>IFERROR(__xludf.DUMMYFUNCTION("""COMPUTED_VALUE"""),0.0)</f>
        <v>0</v>
      </c>
      <c r="S3417" s="6" t="str">
        <f>IFERROR(__xludf.DUMMYFUNCTION("""COMPUTED_VALUE"""),"Tiffany Pfenning")</f>
        <v>Tiffany Pfenning</v>
      </c>
      <c r="T3417" s="6" t="str">
        <f>IFERROR(__xludf.DUMMYFUNCTION("""COMPUTED_VALUE"""),"tiffany.pfenning@ortrail.k12.or.us")</f>
        <v>tiffany.pfenning@ortrail.k12.or.us</v>
      </c>
      <c r="U3417" s="6" t="str">
        <f>IFERROR(__xludf.DUMMYFUNCTION("""COMPUTED_VALUE"""),"11")</f>
        <v>11</v>
      </c>
      <c r="V3417" s="6" t="str">
        <f>IFERROR(__xludf.DUMMYFUNCTION("""COMPUTED_VALUE"""),"English")</f>
        <v>English</v>
      </c>
      <c r="W3417" s="6" t="str">
        <f>IFERROR(__xludf.DUMMYFUNCTION("""COMPUTED_VALUE"""),"[]")</f>
        <v>[]</v>
      </c>
      <c r="X3417" s="6" t="str">
        <f>IFERROR(__xludf.DUMMYFUNCTION("""COMPUTED_VALUE"""),"Enrolled")</f>
        <v>Enrolled</v>
      </c>
    </row>
    <row r="3418">
      <c r="A3418" s="6" t="str">
        <f>IFERROR(__xludf.DUMMYFUNCTION("""COMPUTED_VALUE"""),"064-6383")</f>
        <v>064-6383</v>
      </c>
      <c r="B3418" s="6" t="str">
        <f>IFERROR(__xludf.DUMMYFUNCTION("""COMPUTED_VALUE"""),"64")</f>
        <v>64</v>
      </c>
      <c r="C3418" s="6" t="str">
        <f>IFERROR(__xludf.DUMMYFUNCTION("""COMPUTED_VALUE"""),"6383")</f>
        <v>6383</v>
      </c>
      <c r="D3418" s="6" t="str">
        <f>IFERROR(__xludf.DUMMYFUNCTION("""COMPUTED_VALUE"""),"Gisselle")</f>
        <v>Gisselle</v>
      </c>
      <c r="E3418" s="6" t="str">
        <f>IFERROR(__xludf.DUMMYFUNCTION("""COMPUTED_VALUE"""),"")</f>
        <v/>
      </c>
      <c r="F3418" s="6" t="str">
        <f>IFERROR(__xludf.DUMMYFUNCTION("""COMPUTED_VALUE"""),"Espino-Ramirez")</f>
        <v>Espino-Ramirez</v>
      </c>
      <c r="G3418" s="6" t="str">
        <f>IFERROR(__xludf.DUMMYFUNCTION("""COMPUTED_VALUE"""),"02/22/2008")</f>
        <v>02/22/2008</v>
      </c>
      <c r="H3418" s="6" t="str">
        <f>IFERROR(__xludf.DUMMYFUNCTION("""COMPUTED_VALUE"""),"Self Identify")</f>
        <v>Self Identify</v>
      </c>
      <c r="I3418" s="6" t="str">
        <f>IFERROR(__xludf.DUMMYFUNCTION("""COMPUTED_VALUE"""),"High School")</f>
        <v>High School</v>
      </c>
      <c r="J3418" s="6" t="str">
        <f>IFERROR(__xludf.DUMMYFUNCTION("""COMPUTED_VALUE"""),"12")</f>
        <v>12</v>
      </c>
      <c r="K3418" s="6" t="str">
        <f>IFERROR(__xludf.DUMMYFUNCTION("""COMPUTED_VALUE"""),"gisselle_espinoramir@stu.ortrail.k12.or.us")</f>
        <v>gisselle_espinoramir@stu.ortrail.k12.or.us</v>
      </c>
      <c r="L3418" s="6" t="str">
        <f>IFERROR(__xludf.DUMMYFUNCTION("""COMPUTED_VALUE"""),"Oregon Trail School District 46")</f>
        <v>Oregon Trail School District 46</v>
      </c>
      <c r="M3418" s="6" t="str">
        <f>IFERROR(__xludf.DUMMYFUNCTION("""COMPUTED_VALUE"""),"Sandy High School")</f>
        <v>Sandy High School</v>
      </c>
      <c r="N3418" s="6" t="str">
        <f>IFERROR(__xludf.DUMMYFUNCTION("""COMPUTED_VALUE"""),"")</f>
        <v/>
      </c>
      <c r="O3418" s="87" t="str">
        <f>IFERROR(__xludf.DUMMYFUNCTION("""COMPUTED_VALUE"""),"https://drive.google.com/drive/folders/10T2cTQHqEJZqE-st6uFKPoI?usp=share_link")</f>
        <v>https://drive.google.com/drive/folders/10T2cTQHqEJZqE-st6uFKPoI?usp=share_link</v>
      </c>
      <c r="P3418" s="6" t="str">
        <f>IFERROR(__xludf.DUMMYFUNCTION("""COMPUTED_VALUE"""),"Gisselle Espino-Ramirez")</f>
        <v>Gisselle Espino-Ramirez</v>
      </c>
      <c r="Q3418" s="6" t="str">
        <f>IFERROR(__xludf.DUMMYFUNCTION("""COMPUTED_VALUE"""),"HS")</f>
        <v>HS</v>
      </c>
      <c r="R3418" s="6">
        <f>IFERROR(__xludf.DUMMYFUNCTION("""COMPUTED_VALUE"""),0.0)</f>
        <v>0</v>
      </c>
      <c r="S3418" s="6" t="str">
        <f>IFERROR(__xludf.DUMMYFUNCTION("""COMPUTED_VALUE"""),"Tiffany Pfenning")</f>
        <v>Tiffany Pfenning</v>
      </c>
      <c r="T3418" s="6" t="str">
        <f>IFERROR(__xludf.DUMMYFUNCTION("""COMPUTED_VALUE"""),"tiffany.pfenning@ortrail.k12.or.us")</f>
        <v>tiffany.pfenning@ortrail.k12.or.us</v>
      </c>
      <c r="U3418" s="6" t="str">
        <f>IFERROR(__xludf.DUMMYFUNCTION("""COMPUTED_VALUE"""),"12")</f>
        <v>12</v>
      </c>
      <c r="V3418" s="6" t="str">
        <f>IFERROR(__xludf.DUMMYFUNCTION("""COMPUTED_VALUE"""),"English")</f>
        <v>English</v>
      </c>
      <c r="W3418" s="6" t="str">
        <f>IFERROR(__xludf.DUMMYFUNCTION("""COMPUTED_VALUE"""),"[]")</f>
        <v>[]</v>
      </c>
      <c r="X3418" s="6" t="str">
        <f>IFERROR(__xludf.DUMMYFUNCTION("""COMPUTED_VALUE"""),"Enrolled")</f>
        <v>Enrolled</v>
      </c>
    </row>
    <row r="3419">
      <c r="A3419" s="6" t="str">
        <f>IFERROR(__xludf.DUMMYFUNCTION("""COMPUTED_VALUE"""),"064-6384")</f>
        <v>064-6384</v>
      </c>
      <c r="B3419" s="6" t="str">
        <f>IFERROR(__xludf.DUMMYFUNCTION("""COMPUTED_VALUE"""),"64")</f>
        <v>64</v>
      </c>
      <c r="C3419" s="6" t="str">
        <f>IFERROR(__xludf.DUMMYFUNCTION("""COMPUTED_VALUE"""),"6384")</f>
        <v>6384</v>
      </c>
      <c r="D3419" s="6" t="str">
        <f>IFERROR(__xludf.DUMMYFUNCTION("""COMPUTED_VALUE"""),"Cristal")</f>
        <v>Cristal</v>
      </c>
      <c r="E3419" s="6" t="str">
        <f>IFERROR(__xludf.DUMMYFUNCTION("""COMPUTED_VALUE"""),"")</f>
        <v/>
      </c>
      <c r="F3419" s="6" t="str">
        <f>IFERROR(__xludf.DUMMYFUNCTION("""COMPUTED_VALUE"""),"Eufracio Perez")</f>
        <v>Eufracio Perez</v>
      </c>
      <c r="G3419" s="6" t="str">
        <f>IFERROR(__xludf.DUMMYFUNCTION("""COMPUTED_VALUE"""),"06/15/2009")</f>
        <v>06/15/2009</v>
      </c>
      <c r="H3419" s="6" t="str">
        <f>IFERROR(__xludf.DUMMYFUNCTION("""COMPUTED_VALUE"""),"Self Identify")</f>
        <v>Self Identify</v>
      </c>
      <c r="I3419" s="6" t="str">
        <f>IFERROR(__xludf.DUMMYFUNCTION("""COMPUTED_VALUE"""),"High School")</f>
        <v>High School</v>
      </c>
      <c r="J3419" s="6" t="str">
        <f>IFERROR(__xludf.DUMMYFUNCTION("""COMPUTED_VALUE"""),"11")</f>
        <v>11</v>
      </c>
      <c r="K3419" s="6" t="str">
        <f>IFERROR(__xludf.DUMMYFUNCTION("""COMPUTED_VALUE"""),"cristal_eufraciopere@stu.ortrail.k12.or.us")</f>
        <v>cristal_eufraciopere@stu.ortrail.k12.or.us</v>
      </c>
      <c r="L3419" s="6" t="str">
        <f>IFERROR(__xludf.DUMMYFUNCTION("""COMPUTED_VALUE"""),"Oregon Trail School District 46")</f>
        <v>Oregon Trail School District 46</v>
      </c>
      <c r="M3419" s="6" t="str">
        <f>IFERROR(__xludf.DUMMYFUNCTION("""COMPUTED_VALUE"""),"Sandy High School")</f>
        <v>Sandy High School</v>
      </c>
      <c r="N3419" s="6" t="str">
        <f>IFERROR(__xludf.DUMMYFUNCTION("""COMPUTED_VALUE"""),"")</f>
        <v/>
      </c>
      <c r="O3419" s="87" t="str">
        <f>IFERROR(__xludf.DUMMYFUNCTION("""COMPUTED_VALUE"""),"https://drive.google.com/drive/folders/10T2cTQHqEJZqE-st6uFKPoI?usp=share_link")</f>
        <v>https://drive.google.com/drive/folders/10T2cTQHqEJZqE-st6uFKPoI?usp=share_link</v>
      </c>
      <c r="P3419" s="6" t="str">
        <f>IFERROR(__xludf.DUMMYFUNCTION("""COMPUTED_VALUE"""),"Cristal Eufracio Perez")</f>
        <v>Cristal Eufracio Perez</v>
      </c>
      <c r="Q3419" s="6" t="str">
        <f>IFERROR(__xludf.DUMMYFUNCTION("""COMPUTED_VALUE"""),"HS")</f>
        <v>HS</v>
      </c>
      <c r="R3419" s="6">
        <f>IFERROR(__xludf.DUMMYFUNCTION("""COMPUTED_VALUE"""),0.0)</f>
        <v>0</v>
      </c>
      <c r="S3419" s="6" t="str">
        <f>IFERROR(__xludf.DUMMYFUNCTION("""COMPUTED_VALUE"""),"Tiffany Pfenning")</f>
        <v>Tiffany Pfenning</v>
      </c>
      <c r="T3419" s="6" t="str">
        <f>IFERROR(__xludf.DUMMYFUNCTION("""COMPUTED_VALUE"""),"tiffany.pfenning@ortrail.k12.or.us")</f>
        <v>tiffany.pfenning@ortrail.k12.or.us</v>
      </c>
      <c r="U3419" s="6" t="str">
        <f>IFERROR(__xludf.DUMMYFUNCTION("""COMPUTED_VALUE"""),"11")</f>
        <v>11</v>
      </c>
      <c r="V3419" s="6" t="str">
        <f>IFERROR(__xludf.DUMMYFUNCTION("""COMPUTED_VALUE"""),"English")</f>
        <v>English</v>
      </c>
      <c r="W3419" s="6" t="str">
        <f>IFERROR(__xludf.DUMMYFUNCTION("""COMPUTED_VALUE"""),"[]")</f>
        <v>[]</v>
      </c>
      <c r="X3419" s="6" t="str">
        <f>IFERROR(__xludf.DUMMYFUNCTION("""COMPUTED_VALUE"""),"Enrolled")</f>
        <v>Enrolled</v>
      </c>
    </row>
    <row r="3420">
      <c r="A3420" s="6" t="str">
        <f>IFERROR(__xludf.DUMMYFUNCTION("""COMPUTED_VALUE"""),"064-6386")</f>
        <v>064-6386</v>
      </c>
      <c r="B3420" s="6" t="str">
        <f>IFERROR(__xludf.DUMMYFUNCTION("""COMPUTED_VALUE"""),"64")</f>
        <v>64</v>
      </c>
      <c r="C3420" s="6" t="str">
        <f>IFERROR(__xludf.DUMMYFUNCTION("""COMPUTED_VALUE"""),"6386")</f>
        <v>6386</v>
      </c>
      <c r="D3420" s="6" t="str">
        <f>IFERROR(__xludf.DUMMYFUNCTION("""COMPUTED_VALUE"""),"Ocean")</f>
        <v>Ocean</v>
      </c>
      <c r="E3420" s="6" t="str">
        <f>IFERROR(__xludf.DUMMYFUNCTION("""COMPUTED_VALUE"""),"")</f>
        <v/>
      </c>
      <c r="F3420" s="6" t="str">
        <f>IFERROR(__xludf.DUMMYFUNCTION("""COMPUTED_VALUE"""),"Gable")</f>
        <v>Gable</v>
      </c>
      <c r="G3420" s="6" t="str">
        <f>IFERROR(__xludf.DUMMYFUNCTION("""COMPUTED_VALUE"""),"07/02/2010")</f>
        <v>07/02/2010</v>
      </c>
      <c r="H3420" s="6" t="str">
        <f>IFERROR(__xludf.DUMMYFUNCTION("""COMPUTED_VALUE"""),"Self Identify")</f>
        <v>Self Identify</v>
      </c>
      <c r="I3420" s="6" t="str">
        <f>IFERROR(__xludf.DUMMYFUNCTION("""COMPUTED_VALUE"""),"High School")</f>
        <v>High School</v>
      </c>
      <c r="J3420" s="6" t="str">
        <f>IFERROR(__xludf.DUMMYFUNCTION("""COMPUTED_VALUE"""),"10")</f>
        <v>10</v>
      </c>
      <c r="K3420" s="6" t="str">
        <f>IFERROR(__xludf.DUMMYFUNCTION("""COMPUTED_VALUE"""),"ocean_gable@stu.ortrail.k12.or.us")</f>
        <v>ocean_gable@stu.ortrail.k12.or.us</v>
      </c>
      <c r="L3420" s="6" t="str">
        <f>IFERROR(__xludf.DUMMYFUNCTION("""COMPUTED_VALUE"""),"Oregon Trail School District 46")</f>
        <v>Oregon Trail School District 46</v>
      </c>
      <c r="M3420" s="6" t="str">
        <f>IFERROR(__xludf.DUMMYFUNCTION("""COMPUTED_VALUE"""),"Sandy High School")</f>
        <v>Sandy High School</v>
      </c>
      <c r="N3420" s="6" t="str">
        <f>IFERROR(__xludf.DUMMYFUNCTION("""COMPUTED_VALUE"""),"")</f>
        <v/>
      </c>
      <c r="O3420" s="87" t="str">
        <f>IFERROR(__xludf.DUMMYFUNCTION("""COMPUTED_VALUE"""),"https://drive.google.com/drive/folders/10T2cTQHqEJZqE-st6uFKPoI?usp=share_link")</f>
        <v>https://drive.google.com/drive/folders/10T2cTQHqEJZqE-st6uFKPoI?usp=share_link</v>
      </c>
      <c r="P3420" s="6" t="str">
        <f>IFERROR(__xludf.DUMMYFUNCTION("""COMPUTED_VALUE"""),"Ocean Gable")</f>
        <v>Ocean Gable</v>
      </c>
      <c r="Q3420" s="6" t="str">
        <f>IFERROR(__xludf.DUMMYFUNCTION("""COMPUTED_VALUE"""),"HS")</f>
        <v>HS</v>
      </c>
      <c r="R3420" s="6">
        <f>IFERROR(__xludf.DUMMYFUNCTION("""COMPUTED_VALUE"""),0.0)</f>
        <v>0</v>
      </c>
      <c r="S3420" s="6" t="str">
        <f>IFERROR(__xludf.DUMMYFUNCTION("""COMPUTED_VALUE"""),"Tiffany Pfenning")</f>
        <v>Tiffany Pfenning</v>
      </c>
      <c r="T3420" s="6" t="str">
        <f>IFERROR(__xludf.DUMMYFUNCTION("""COMPUTED_VALUE"""),"tiffany.pfenning@ortrail.k12.or.us")</f>
        <v>tiffany.pfenning@ortrail.k12.or.us</v>
      </c>
      <c r="U3420" s="6" t="str">
        <f>IFERROR(__xludf.DUMMYFUNCTION("""COMPUTED_VALUE"""),"10")</f>
        <v>10</v>
      </c>
      <c r="V3420" s="6" t="str">
        <f>IFERROR(__xludf.DUMMYFUNCTION("""COMPUTED_VALUE"""),"English")</f>
        <v>English</v>
      </c>
      <c r="W3420" s="6" t="str">
        <f>IFERROR(__xludf.DUMMYFUNCTION("""COMPUTED_VALUE"""),"[]")</f>
        <v>[]</v>
      </c>
      <c r="X3420" s="6" t="str">
        <f>IFERROR(__xludf.DUMMYFUNCTION("""COMPUTED_VALUE"""),"Enrolled")</f>
        <v>Enrolled</v>
      </c>
    </row>
    <row r="3421">
      <c r="A3421" s="6" t="str">
        <f>IFERROR(__xludf.DUMMYFUNCTION("""COMPUTED_VALUE"""),"064-6387")</f>
        <v>064-6387</v>
      </c>
      <c r="B3421" s="6" t="str">
        <f>IFERROR(__xludf.DUMMYFUNCTION("""COMPUTED_VALUE"""),"64")</f>
        <v>64</v>
      </c>
      <c r="C3421" s="6" t="str">
        <f>IFERROR(__xludf.DUMMYFUNCTION("""COMPUTED_VALUE"""),"6387")</f>
        <v>6387</v>
      </c>
      <c r="D3421" s="6" t="str">
        <f>IFERROR(__xludf.DUMMYFUNCTION("""COMPUTED_VALUE"""),"Joshua")</f>
        <v>Joshua</v>
      </c>
      <c r="E3421" s="6" t="str">
        <f>IFERROR(__xludf.DUMMYFUNCTION("""COMPUTED_VALUE"""),"")</f>
        <v/>
      </c>
      <c r="F3421" s="6" t="str">
        <f>IFERROR(__xludf.DUMMYFUNCTION("""COMPUTED_VALUE"""),"Gallardo")</f>
        <v>Gallardo</v>
      </c>
      <c r="G3421" s="6" t="str">
        <f>IFERROR(__xludf.DUMMYFUNCTION("""COMPUTED_VALUE"""),"01/02/2008")</f>
        <v>01/02/2008</v>
      </c>
      <c r="H3421" s="6" t="str">
        <f>IFERROR(__xludf.DUMMYFUNCTION("""COMPUTED_VALUE"""),"M")</f>
        <v>M</v>
      </c>
      <c r="I3421" s="6" t="str">
        <f>IFERROR(__xludf.DUMMYFUNCTION("""COMPUTED_VALUE"""),"High School")</f>
        <v>High School</v>
      </c>
      <c r="J3421" s="6" t="str">
        <f>IFERROR(__xludf.DUMMYFUNCTION("""COMPUTED_VALUE"""),"12")</f>
        <v>12</v>
      </c>
      <c r="K3421" s="6" t="str">
        <f>IFERROR(__xludf.DUMMYFUNCTION("""COMPUTED_VALUE"""),"joshua_gallardo@stu.ortrail.k12.or.us")</f>
        <v>joshua_gallardo@stu.ortrail.k12.or.us</v>
      </c>
      <c r="L3421" s="6" t="str">
        <f>IFERROR(__xludf.DUMMYFUNCTION("""COMPUTED_VALUE"""),"Oregon Trail School District 46")</f>
        <v>Oregon Trail School District 46</v>
      </c>
      <c r="M3421" s="6" t="str">
        <f>IFERROR(__xludf.DUMMYFUNCTION("""COMPUTED_VALUE"""),"")</f>
        <v/>
      </c>
      <c r="N3421" s="6" t="str">
        <f>IFERROR(__xludf.DUMMYFUNCTION("""COMPUTED_VALUE"""),"")</f>
        <v/>
      </c>
      <c r="O3421" s="87" t="str">
        <f>IFERROR(__xludf.DUMMYFUNCTION("""COMPUTED_VALUE"""),"https://drive.google.com/drive/folders/10T2cTQHqEJZqE-st6uFKPoI?usp=share_link")</f>
        <v>https://drive.google.com/drive/folders/10T2cTQHqEJZqE-st6uFKPoI?usp=share_link</v>
      </c>
      <c r="P3421" s="6" t="str">
        <f>IFERROR(__xludf.DUMMYFUNCTION("""COMPUTED_VALUE"""),"Joshua Gallardo")</f>
        <v>Joshua Gallardo</v>
      </c>
      <c r="Q3421" s="6" t="str">
        <f>IFERROR(__xludf.DUMMYFUNCTION("""COMPUTED_VALUE"""),"HS")</f>
        <v>HS</v>
      </c>
      <c r="R3421" s="6">
        <f>IFERROR(__xludf.DUMMYFUNCTION("""COMPUTED_VALUE"""),0.0)</f>
        <v>0</v>
      </c>
      <c r="S3421" s="6" t="str">
        <f>IFERROR(__xludf.DUMMYFUNCTION("""COMPUTED_VALUE"""),"Genevra Self")</f>
        <v>Genevra Self</v>
      </c>
      <c r="T3421" s="6" t="str">
        <f>IFERROR(__xludf.DUMMYFUNCTION("""COMPUTED_VALUE"""),"genevra.self@studient.com")</f>
        <v>genevra.self@studient.com</v>
      </c>
      <c r="U3421" s="6" t="str">
        <f>IFERROR(__xludf.DUMMYFUNCTION("""COMPUTED_VALUE"""),"12")</f>
        <v>12</v>
      </c>
      <c r="V3421" s="6" t="str">
        <f>IFERROR(__xludf.DUMMYFUNCTION("""COMPUTED_VALUE"""),"English")</f>
        <v>English</v>
      </c>
      <c r="W3421" s="6" t="str">
        <f>IFERROR(__xludf.DUMMYFUNCTION("""COMPUTED_VALUE"""),"[]")</f>
        <v>[]</v>
      </c>
      <c r="X3421" s="6" t="str">
        <f>IFERROR(__xludf.DUMMYFUNCTION("""COMPUTED_VALUE"""),"Enrolled")</f>
        <v>Enrolled</v>
      </c>
    </row>
    <row r="3422">
      <c r="A3422" s="6" t="str">
        <f>IFERROR(__xludf.DUMMYFUNCTION("""COMPUTED_VALUE"""),"064-6395")</f>
        <v>064-6395</v>
      </c>
      <c r="B3422" s="6" t="str">
        <f>IFERROR(__xludf.DUMMYFUNCTION("""COMPUTED_VALUE"""),"64")</f>
        <v>64</v>
      </c>
      <c r="C3422" s="6" t="str">
        <f>IFERROR(__xludf.DUMMYFUNCTION("""COMPUTED_VALUE"""),"6395")</f>
        <v>6395</v>
      </c>
      <c r="D3422" s="6" t="str">
        <f>IFERROR(__xludf.DUMMYFUNCTION("""COMPUTED_VALUE"""),"Mason")</f>
        <v>Mason</v>
      </c>
      <c r="E3422" s="6" t="str">
        <f>IFERROR(__xludf.DUMMYFUNCTION("""COMPUTED_VALUE"""),"")</f>
        <v/>
      </c>
      <c r="F3422" s="6" t="str">
        <f>IFERROR(__xludf.DUMMYFUNCTION("""COMPUTED_VALUE"""),"Jensen Baker")</f>
        <v>Jensen Baker</v>
      </c>
      <c r="G3422" s="6" t="str">
        <f>IFERROR(__xludf.DUMMYFUNCTION("""COMPUTED_VALUE"""),"08/20/2009")</f>
        <v>08/20/2009</v>
      </c>
      <c r="H3422" s="6" t="str">
        <f>IFERROR(__xludf.DUMMYFUNCTION("""COMPUTED_VALUE"""),"Self Identify")</f>
        <v>Self Identify</v>
      </c>
      <c r="I3422" s="6" t="str">
        <f>IFERROR(__xludf.DUMMYFUNCTION("""COMPUTED_VALUE"""),"High School")</f>
        <v>High School</v>
      </c>
      <c r="J3422" s="6" t="str">
        <f>IFERROR(__xludf.DUMMYFUNCTION("""COMPUTED_VALUE"""),"11")</f>
        <v>11</v>
      </c>
      <c r="K3422" s="6" t="str">
        <f>IFERROR(__xludf.DUMMYFUNCTION("""COMPUTED_VALUE"""),"mason_jensenbaker@stu.ortrail.k12.or.us")</f>
        <v>mason_jensenbaker@stu.ortrail.k12.or.us</v>
      </c>
      <c r="L3422" s="6" t="str">
        <f>IFERROR(__xludf.DUMMYFUNCTION("""COMPUTED_VALUE"""),"Oregon Trail School District 46")</f>
        <v>Oregon Trail School District 46</v>
      </c>
      <c r="M3422" s="6" t="str">
        <f>IFERROR(__xludf.DUMMYFUNCTION("""COMPUTED_VALUE"""),"Sandy High School")</f>
        <v>Sandy High School</v>
      </c>
      <c r="N3422" s="6" t="str">
        <f>IFERROR(__xludf.DUMMYFUNCTION("""COMPUTED_VALUE"""),"")</f>
        <v/>
      </c>
      <c r="O3422" s="87" t="str">
        <f>IFERROR(__xludf.DUMMYFUNCTION("""COMPUTED_VALUE"""),"https://drive.google.com/drive/folders/10T2cTQHqEJZqE-st6uFKPoI?usp=share_link")</f>
        <v>https://drive.google.com/drive/folders/10T2cTQHqEJZqE-st6uFKPoI?usp=share_link</v>
      </c>
      <c r="P3422" s="6" t="str">
        <f>IFERROR(__xludf.DUMMYFUNCTION("""COMPUTED_VALUE"""),"Mason Jensen Baker")</f>
        <v>Mason Jensen Baker</v>
      </c>
      <c r="Q3422" s="6" t="str">
        <f>IFERROR(__xludf.DUMMYFUNCTION("""COMPUTED_VALUE"""),"HS")</f>
        <v>HS</v>
      </c>
      <c r="R3422" s="6">
        <f>IFERROR(__xludf.DUMMYFUNCTION("""COMPUTED_VALUE"""),0.0)</f>
        <v>0</v>
      </c>
      <c r="S3422" s="6" t="str">
        <f>IFERROR(__xludf.DUMMYFUNCTION("""COMPUTED_VALUE"""),"Tiffany Pfenning")</f>
        <v>Tiffany Pfenning</v>
      </c>
      <c r="T3422" s="6" t="str">
        <f>IFERROR(__xludf.DUMMYFUNCTION("""COMPUTED_VALUE"""),"tiffany.pfenning@ortrail.k12.or.us")</f>
        <v>tiffany.pfenning@ortrail.k12.or.us</v>
      </c>
      <c r="U3422" s="6" t="str">
        <f>IFERROR(__xludf.DUMMYFUNCTION("""COMPUTED_VALUE"""),"11")</f>
        <v>11</v>
      </c>
      <c r="V3422" s="6" t="str">
        <f>IFERROR(__xludf.DUMMYFUNCTION("""COMPUTED_VALUE"""),"English")</f>
        <v>English</v>
      </c>
      <c r="W3422" s="6" t="str">
        <f>IFERROR(__xludf.DUMMYFUNCTION("""COMPUTED_VALUE"""),"[]")</f>
        <v>[]</v>
      </c>
      <c r="X3422" s="6" t="str">
        <f>IFERROR(__xludf.DUMMYFUNCTION("""COMPUTED_VALUE"""),"Enrolled")</f>
        <v>Enrolled</v>
      </c>
    </row>
    <row r="3423">
      <c r="A3423" s="6" t="str">
        <f>IFERROR(__xludf.DUMMYFUNCTION("""COMPUTED_VALUE"""),"064-6396")</f>
        <v>064-6396</v>
      </c>
      <c r="B3423" s="6" t="str">
        <f>IFERROR(__xludf.DUMMYFUNCTION("""COMPUTED_VALUE"""),"64")</f>
        <v>64</v>
      </c>
      <c r="C3423" s="6" t="str">
        <f>IFERROR(__xludf.DUMMYFUNCTION("""COMPUTED_VALUE"""),"6396")</f>
        <v>6396</v>
      </c>
      <c r="D3423" s="6" t="str">
        <f>IFERROR(__xludf.DUMMYFUNCTION("""COMPUTED_VALUE"""),"Audrey")</f>
        <v>Audrey</v>
      </c>
      <c r="E3423" s="6" t="str">
        <f>IFERROR(__xludf.DUMMYFUNCTION("""COMPUTED_VALUE"""),"")</f>
        <v/>
      </c>
      <c r="F3423" s="6" t="str">
        <f>IFERROR(__xludf.DUMMYFUNCTION("""COMPUTED_VALUE"""),"Jimenez")</f>
        <v>Jimenez</v>
      </c>
      <c r="G3423" s="6" t="str">
        <f>IFERROR(__xludf.DUMMYFUNCTION("""COMPUTED_VALUE"""),"07/16/2009")</f>
        <v>07/16/2009</v>
      </c>
      <c r="H3423" s="6" t="str">
        <f>IFERROR(__xludf.DUMMYFUNCTION("""COMPUTED_VALUE"""),"Self Identify")</f>
        <v>Self Identify</v>
      </c>
      <c r="I3423" s="6" t="str">
        <f>IFERROR(__xludf.DUMMYFUNCTION("""COMPUTED_VALUE"""),"High School")</f>
        <v>High School</v>
      </c>
      <c r="J3423" s="6" t="str">
        <f>IFERROR(__xludf.DUMMYFUNCTION("""COMPUTED_VALUE"""),"11")</f>
        <v>11</v>
      </c>
      <c r="K3423" s="6" t="str">
        <f>IFERROR(__xludf.DUMMYFUNCTION("""COMPUTED_VALUE"""),"audrey_jimenez@stu.ortrail.k12.or.us")</f>
        <v>audrey_jimenez@stu.ortrail.k12.or.us</v>
      </c>
      <c r="L3423" s="6" t="str">
        <f>IFERROR(__xludf.DUMMYFUNCTION("""COMPUTED_VALUE"""),"Oregon Trail School District 46")</f>
        <v>Oregon Trail School District 46</v>
      </c>
      <c r="M3423" s="6" t="str">
        <f>IFERROR(__xludf.DUMMYFUNCTION("""COMPUTED_VALUE"""),"Sandy High School")</f>
        <v>Sandy High School</v>
      </c>
      <c r="N3423" s="6" t="str">
        <f>IFERROR(__xludf.DUMMYFUNCTION("""COMPUTED_VALUE"""),"")</f>
        <v/>
      </c>
      <c r="O3423" s="87" t="str">
        <f>IFERROR(__xludf.DUMMYFUNCTION("""COMPUTED_VALUE"""),"https://drive.google.com/drive/folders/10T2cTQHqEJZqE-st6uFKPoI?usp=share_link")</f>
        <v>https://drive.google.com/drive/folders/10T2cTQHqEJZqE-st6uFKPoI?usp=share_link</v>
      </c>
      <c r="P3423" s="6" t="str">
        <f>IFERROR(__xludf.DUMMYFUNCTION("""COMPUTED_VALUE"""),"Audrey Jimenez")</f>
        <v>Audrey Jimenez</v>
      </c>
      <c r="Q3423" s="6" t="str">
        <f>IFERROR(__xludf.DUMMYFUNCTION("""COMPUTED_VALUE"""),"HS")</f>
        <v>HS</v>
      </c>
      <c r="R3423" s="6">
        <f>IFERROR(__xludf.DUMMYFUNCTION("""COMPUTED_VALUE"""),0.0)</f>
        <v>0</v>
      </c>
      <c r="S3423" s="6" t="str">
        <f>IFERROR(__xludf.DUMMYFUNCTION("""COMPUTED_VALUE"""),"Tiffany Pfenning")</f>
        <v>Tiffany Pfenning</v>
      </c>
      <c r="T3423" s="6" t="str">
        <f>IFERROR(__xludf.DUMMYFUNCTION("""COMPUTED_VALUE"""),"tiffany.pfenning@ortrail.k12.or.us")</f>
        <v>tiffany.pfenning@ortrail.k12.or.us</v>
      </c>
      <c r="U3423" s="6" t="str">
        <f>IFERROR(__xludf.DUMMYFUNCTION("""COMPUTED_VALUE"""),"11")</f>
        <v>11</v>
      </c>
      <c r="V3423" s="6" t="str">
        <f>IFERROR(__xludf.DUMMYFUNCTION("""COMPUTED_VALUE"""),"English")</f>
        <v>English</v>
      </c>
      <c r="W3423" s="6" t="str">
        <f>IFERROR(__xludf.DUMMYFUNCTION("""COMPUTED_VALUE"""),"[]")</f>
        <v>[]</v>
      </c>
      <c r="X3423" s="6" t="str">
        <f>IFERROR(__xludf.DUMMYFUNCTION("""COMPUTED_VALUE"""),"Enrolled")</f>
        <v>Enrolled</v>
      </c>
    </row>
    <row r="3424">
      <c r="A3424" s="6" t="str">
        <f>IFERROR(__xludf.DUMMYFUNCTION("""COMPUTED_VALUE"""),"064-6398")</f>
        <v>064-6398</v>
      </c>
      <c r="B3424" s="6" t="str">
        <f>IFERROR(__xludf.DUMMYFUNCTION("""COMPUTED_VALUE"""),"64")</f>
        <v>64</v>
      </c>
      <c r="C3424" s="6" t="str">
        <f>IFERROR(__xludf.DUMMYFUNCTION("""COMPUTED_VALUE"""),"6398")</f>
        <v>6398</v>
      </c>
      <c r="D3424" s="6" t="str">
        <f>IFERROR(__xludf.DUMMYFUNCTION("""COMPUTED_VALUE"""),"Mya")</f>
        <v>Mya</v>
      </c>
      <c r="E3424" s="6" t="str">
        <f>IFERROR(__xludf.DUMMYFUNCTION("""COMPUTED_VALUE"""),"")</f>
        <v/>
      </c>
      <c r="F3424" s="6" t="str">
        <f>IFERROR(__xludf.DUMMYFUNCTION("""COMPUTED_VALUE"""),"Koehn")</f>
        <v>Koehn</v>
      </c>
      <c r="G3424" s="6" t="str">
        <f>IFERROR(__xludf.DUMMYFUNCTION("""COMPUTED_VALUE"""),"03/18/2008")</f>
        <v>03/18/2008</v>
      </c>
      <c r="H3424" s="6" t="str">
        <f>IFERROR(__xludf.DUMMYFUNCTION("""COMPUTED_VALUE"""),"Self Identify")</f>
        <v>Self Identify</v>
      </c>
      <c r="I3424" s="6" t="str">
        <f>IFERROR(__xludf.DUMMYFUNCTION("""COMPUTED_VALUE"""),"High School")</f>
        <v>High School</v>
      </c>
      <c r="J3424" s="6" t="str">
        <f>IFERROR(__xludf.DUMMYFUNCTION("""COMPUTED_VALUE"""),"12")</f>
        <v>12</v>
      </c>
      <c r="K3424" s="6" t="str">
        <f>IFERROR(__xludf.DUMMYFUNCTION("""COMPUTED_VALUE"""),"mya_koehn@stu.ortrail.k12.or.us")</f>
        <v>mya_koehn@stu.ortrail.k12.or.us</v>
      </c>
      <c r="L3424" s="6" t="str">
        <f>IFERROR(__xludf.DUMMYFUNCTION("""COMPUTED_VALUE"""),"Oregon Trail School District 46")</f>
        <v>Oregon Trail School District 46</v>
      </c>
      <c r="M3424" s="6" t="str">
        <f>IFERROR(__xludf.DUMMYFUNCTION("""COMPUTED_VALUE"""),"Sandy High School")</f>
        <v>Sandy High School</v>
      </c>
      <c r="N3424" s="6" t="str">
        <f>IFERROR(__xludf.DUMMYFUNCTION("""COMPUTED_VALUE"""),"")</f>
        <v/>
      </c>
      <c r="O3424" s="87" t="str">
        <f>IFERROR(__xludf.DUMMYFUNCTION("""COMPUTED_VALUE"""),"https://drive.google.com/drive/folders/10T2cTQHqEJZqE-st6uFKPoI?usp=share_link")</f>
        <v>https://drive.google.com/drive/folders/10T2cTQHqEJZqE-st6uFKPoI?usp=share_link</v>
      </c>
      <c r="P3424" s="6" t="str">
        <f>IFERROR(__xludf.DUMMYFUNCTION("""COMPUTED_VALUE"""),"Mya Koehn")</f>
        <v>Mya Koehn</v>
      </c>
      <c r="Q3424" s="6" t="str">
        <f>IFERROR(__xludf.DUMMYFUNCTION("""COMPUTED_VALUE"""),"HS")</f>
        <v>HS</v>
      </c>
      <c r="R3424" s="6">
        <f>IFERROR(__xludf.DUMMYFUNCTION("""COMPUTED_VALUE"""),0.0)</f>
        <v>0</v>
      </c>
      <c r="S3424" s="6" t="str">
        <f>IFERROR(__xludf.DUMMYFUNCTION("""COMPUTED_VALUE"""),"Tiffany Pfenning")</f>
        <v>Tiffany Pfenning</v>
      </c>
      <c r="T3424" s="6" t="str">
        <f>IFERROR(__xludf.DUMMYFUNCTION("""COMPUTED_VALUE"""),"tiffany.pfenning@ortrail.k12.or.us")</f>
        <v>tiffany.pfenning@ortrail.k12.or.us</v>
      </c>
      <c r="U3424" s="6" t="str">
        <f>IFERROR(__xludf.DUMMYFUNCTION("""COMPUTED_VALUE"""),"12")</f>
        <v>12</v>
      </c>
      <c r="V3424" s="6" t="str">
        <f>IFERROR(__xludf.DUMMYFUNCTION("""COMPUTED_VALUE"""),"English")</f>
        <v>English</v>
      </c>
      <c r="W3424" s="6" t="str">
        <f>IFERROR(__xludf.DUMMYFUNCTION("""COMPUTED_VALUE"""),"[]")</f>
        <v>[]</v>
      </c>
      <c r="X3424" s="6" t="str">
        <f>IFERROR(__xludf.DUMMYFUNCTION("""COMPUTED_VALUE"""),"Enrolled")</f>
        <v>Enrolled</v>
      </c>
    </row>
    <row r="3425">
      <c r="A3425" s="6" t="str">
        <f>IFERROR(__xludf.DUMMYFUNCTION("""COMPUTED_VALUE"""),"064-6399")</f>
        <v>064-6399</v>
      </c>
      <c r="B3425" s="6" t="str">
        <f>IFERROR(__xludf.DUMMYFUNCTION("""COMPUTED_VALUE"""),"64")</f>
        <v>64</v>
      </c>
      <c r="C3425" s="6" t="str">
        <f>IFERROR(__xludf.DUMMYFUNCTION("""COMPUTED_VALUE"""),"6399")</f>
        <v>6399</v>
      </c>
      <c r="D3425" s="6" t="str">
        <f>IFERROR(__xludf.DUMMYFUNCTION("""COMPUTED_VALUE"""),"Zakary")</f>
        <v>Zakary</v>
      </c>
      <c r="E3425" s="6" t="str">
        <f>IFERROR(__xludf.DUMMYFUNCTION("""COMPUTED_VALUE"""),"")</f>
        <v/>
      </c>
      <c r="F3425" s="6" t="str">
        <f>IFERROR(__xludf.DUMMYFUNCTION("""COMPUTED_VALUE"""),"Lane")</f>
        <v>Lane</v>
      </c>
      <c r="G3425" s="6" t="str">
        <f>IFERROR(__xludf.DUMMYFUNCTION("""COMPUTED_VALUE"""),"09/04/2009")</f>
        <v>09/04/2009</v>
      </c>
      <c r="H3425" s="6" t="str">
        <f>IFERROR(__xludf.DUMMYFUNCTION("""COMPUTED_VALUE"""),"Self Identify")</f>
        <v>Self Identify</v>
      </c>
      <c r="I3425" s="6" t="str">
        <f>IFERROR(__xludf.DUMMYFUNCTION("""COMPUTED_VALUE"""),"High School")</f>
        <v>High School</v>
      </c>
      <c r="J3425" s="6" t="str">
        <f>IFERROR(__xludf.DUMMYFUNCTION("""COMPUTED_VALUE"""),"10")</f>
        <v>10</v>
      </c>
      <c r="K3425" s="6" t="str">
        <f>IFERROR(__xludf.DUMMYFUNCTION("""COMPUTED_VALUE"""),"zakary_lane@stu.ortrail.k12.or.us")</f>
        <v>zakary_lane@stu.ortrail.k12.or.us</v>
      </c>
      <c r="L3425" s="6" t="str">
        <f>IFERROR(__xludf.DUMMYFUNCTION("""COMPUTED_VALUE"""),"Oregon Trail School District 46")</f>
        <v>Oregon Trail School District 46</v>
      </c>
      <c r="M3425" s="6" t="str">
        <f>IFERROR(__xludf.DUMMYFUNCTION("""COMPUTED_VALUE"""),"Sandy High School")</f>
        <v>Sandy High School</v>
      </c>
      <c r="N3425" s="6" t="str">
        <f>IFERROR(__xludf.DUMMYFUNCTION("""COMPUTED_VALUE"""),"")</f>
        <v/>
      </c>
      <c r="O3425" s="87" t="str">
        <f>IFERROR(__xludf.DUMMYFUNCTION("""COMPUTED_VALUE"""),"https://drive.google.com/drive/folders/10T2cTQHqEJZqE-st6uFKPoI?usp=share_link")</f>
        <v>https://drive.google.com/drive/folders/10T2cTQHqEJZqE-st6uFKPoI?usp=share_link</v>
      </c>
      <c r="P3425" s="6" t="str">
        <f>IFERROR(__xludf.DUMMYFUNCTION("""COMPUTED_VALUE"""),"Zakary Lane")</f>
        <v>Zakary Lane</v>
      </c>
      <c r="Q3425" s="6" t="str">
        <f>IFERROR(__xludf.DUMMYFUNCTION("""COMPUTED_VALUE"""),"HS")</f>
        <v>HS</v>
      </c>
      <c r="R3425" s="6">
        <f>IFERROR(__xludf.DUMMYFUNCTION("""COMPUTED_VALUE"""),0.0)</f>
        <v>0</v>
      </c>
      <c r="S3425" s="6" t="str">
        <f>IFERROR(__xludf.DUMMYFUNCTION("""COMPUTED_VALUE"""),"Tiffany Pfenning")</f>
        <v>Tiffany Pfenning</v>
      </c>
      <c r="T3425" s="6" t="str">
        <f>IFERROR(__xludf.DUMMYFUNCTION("""COMPUTED_VALUE"""),"tiffany.pfenning@ortrail.k12.or.us")</f>
        <v>tiffany.pfenning@ortrail.k12.or.us</v>
      </c>
      <c r="U3425" s="6" t="str">
        <f>IFERROR(__xludf.DUMMYFUNCTION("""COMPUTED_VALUE"""),"10")</f>
        <v>10</v>
      </c>
      <c r="V3425" s="6" t="str">
        <f>IFERROR(__xludf.DUMMYFUNCTION("""COMPUTED_VALUE"""),"English")</f>
        <v>English</v>
      </c>
      <c r="W3425" s="6" t="str">
        <f>IFERROR(__xludf.DUMMYFUNCTION("""COMPUTED_VALUE"""),"[]")</f>
        <v>[]</v>
      </c>
      <c r="X3425" s="6" t="str">
        <f>IFERROR(__xludf.DUMMYFUNCTION("""COMPUTED_VALUE"""),"Enrolled")</f>
        <v>Enrolled</v>
      </c>
    </row>
    <row r="3426">
      <c r="A3426" s="6" t="str">
        <f>IFERROR(__xludf.DUMMYFUNCTION("""COMPUTED_VALUE"""),"064-6400")</f>
        <v>064-6400</v>
      </c>
      <c r="B3426" s="6" t="str">
        <f>IFERROR(__xludf.DUMMYFUNCTION("""COMPUTED_VALUE"""),"64")</f>
        <v>64</v>
      </c>
      <c r="C3426" s="6" t="str">
        <f>IFERROR(__xludf.DUMMYFUNCTION("""COMPUTED_VALUE"""),"6400")</f>
        <v>6400</v>
      </c>
      <c r="D3426" s="6" t="str">
        <f>IFERROR(__xludf.DUMMYFUNCTION("""COMPUTED_VALUE"""),"Isla")</f>
        <v>Isla</v>
      </c>
      <c r="E3426" s="6" t="str">
        <f>IFERROR(__xludf.DUMMYFUNCTION("""COMPUTED_VALUE"""),"")</f>
        <v/>
      </c>
      <c r="F3426" s="6" t="str">
        <f>IFERROR(__xludf.DUMMYFUNCTION("""COMPUTED_VALUE"""),"Lerch")</f>
        <v>Lerch</v>
      </c>
      <c r="G3426" s="6" t="str">
        <f>IFERROR(__xludf.DUMMYFUNCTION("""COMPUTED_VALUE"""),"05/30/2010")</f>
        <v>05/30/2010</v>
      </c>
      <c r="H3426" s="6" t="str">
        <f>IFERROR(__xludf.DUMMYFUNCTION("""COMPUTED_VALUE"""),"Self Identify")</f>
        <v>Self Identify</v>
      </c>
      <c r="I3426" s="6" t="str">
        <f>IFERROR(__xludf.DUMMYFUNCTION("""COMPUTED_VALUE"""),"High School")</f>
        <v>High School</v>
      </c>
      <c r="J3426" s="6" t="str">
        <f>IFERROR(__xludf.DUMMYFUNCTION("""COMPUTED_VALUE"""),"10")</f>
        <v>10</v>
      </c>
      <c r="K3426" s="6" t="str">
        <f>IFERROR(__xludf.DUMMYFUNCTION("""COMPUTED_VALUE"""),"isla_lerch@stu.ortrail.k12.or.us")</f>
        <v>isla_lerch@stu.ortrail.k12.or.us</v>
      </c>
      <c r="L3426" s="6" t="str">
        <f>IFERROR(__xludf.DUMMYFUNCTION("""COMPUTED_VALUE"""),"Oregon Trail School District 46")</f>
        <v>Oregon Trail School District 46</v>
      </c>
      <c r="M3426" s="6" t="str">
        <f>IFERROR(__xludf.DUMMYFUNCTION("""COMPUTED_VALUE"""),"Sandy High School")</f>
        <v>Sandy High School</v>
      </c>
      <c r="N3426" s="6" t="str">
        <f>IFERROR(__xludf.DUMMYFUNCTION("""COMPUTED_VALUE"""),"")</f>
        <v/>
      </c>
      <c r="O3426" s="87" t="str">
        <f>IFERROR(__xludf.DUMMYFUNCTION("""COMPUTED_VALUE"""),"https://drive.google.com/drive/folders/10T2cTQHqEJZqE-st6uFKPoI?usp=share_link")</f>
        <v>https://drive.google.com/drive/folders/10T2cTQHqEJZqE-st6uFKPoI?usp=share_link</v>
      </c>
      <c r="P3426" s="6" t="str">
        <f>IFERROR(__xludf.DUMMYFUNCTION("""COMPUTED_VALUE"""),"Isla Lerch")</f>
        <v>Isla Lerch</v>
      </c>
      <c r="Q3426" s="6" t="str">
        <f>IFERROR(__xludf.DUMMYFUNCTION("""COMPUTED_VALUE"""),"HS")</f>
        <v>HS</v>
      </c>
      <c r="R3426" s="6">
        <f>IFERROR(__xludf.DUMMYFUNCTION("""COMPUTED_VALUE"""),0.0)</f>
        <v>0</v>
      </c>
      <c r="S3426" s="6" t="str">
        <f>IFERROR(__xludf.DUMMYFUNCTION("""COMPUTED_VALUE"""),"Tiffany Pfenning")</f>
        <v>Tiffany Pfenning</v>
      </c>
      <c r="T3426" s="6" t="str">
        <f>IFERROR(__xludf.DUMMYFUNCTION("""COMPUTED_VALUE"""),"tiffany.pfenning@ortrail.k12.or.us")</f>
        <v>tiffany.pfenning@ortrail.k12.or.us</v>
      </c>
      <c r="U3426" s="6" t="str">
        <f>IFERROR(__xludf.DUMMYFUNCTION("""COMPUTED_VALUE"""),"10")</f>
        <v>10</v>
      </c>
      <c r="V3426" s="6" t="str">
        <f>IFERROR(__xludf.DUMMYFUNCTION("""COMPUTED_VALUE"""),"English")</f>
        <v>English</v>
      </c>
      <c r="W3426" s="6" t="str">
        <f>IFERROR(__xludf.DUMMYFUNCTION("""COMPUTED_VALUE"""),"[]")</f>
        <v>[]</v>
      </c>
      <c r="X3426" s="6" t="str">
        <f>IFERROR(__xludf.DUMMYFUNCTION("""COMPUTED_VALUE"""),"Enrolled")</f>
        <v>Enrolled</v>
      </c>
    </row>
    <row r="3427">
      <c r="A3427" s="6" t="str">
        <f>IFERROR(__xludf.DUMMYFUNCTION("""COMPUTED_VALUE"""),"064-6407")</f>
        <v>064-6407</v>
      </c>
      <c r="B3427" s="6" t="str">
        <f>IFERROR(__xludf.DUMMYFUNCTION("""COMPUTED_VALUE"""),"64")</f>
        <v>64</v>
      </c>
      <c r="C3427" s="6" t="str">
        <f>IFERROR(__xludf.DUMMYFUNCTION("""COMPUTED_VALUE"""),"6407")</f>
        <v>6407</v>
      </c>
      <c r="D3427" s="6" t="str">
        <f>IFERROR(__xludf.DUMMYFUNCTION("""COMPUTED_VALUE"""),"Ryder")</f>
        <v>Ryder</v>
      </c>
      <c r="E3427" s="6" t="str">
        <f>IFERROR(__xludf.DUMMYFUNCTION("""COMPUTED_VALUE"""),"")</f>
        <v/>
      </c>
      <c r="F3427" s="6" t="str">
        <f>IFERROR(__xludf.DUMMYFUNCTION("""COMPUTED_VALUE"""),"Nielsen")</f>
        <v>Nielsen</v>
      </c>
      <c r="G3427" s="6" t="str">
        <f>IFERROR(__xludf.DUMMYFUNCTION("""COMPUTED_VALUE"""),"12/18/2008")</f>
        <v>12/18/2008</v>
      </c>
      <c r="H3427" s="6" t="str">
        <f>IFERROR(__xludf.DUMMYFUNCTION("""COMPUTED_VALUE"""),"Self Identify")</f>
        <v>Self Identify</v>
      </c>
      <c r="I3427" s="6" t="str">
        <f>IFERROR(__xludf.DUMMYFUNCTION("""COMPUTED_VALUE"""),"High School")</f>
        <v>High School</v>
      </c>
      <c r="J3427" s="6" t="str">
        <f>IFERROR(__xludf.DUMMYFUNCTION("""COMPUTED_VALUE"""),"11")</f>
        <v>11</v>
      </c>
      <c r="K3427" s="6" t="str">
        <f>IFERROR(__xludf.DUMMYFUNCTION("""COMPUTED_VALUE"""),"ryder_nielsen@stu.ortrail.k12.or.us")</f>
        <v>ryder_nielsen@stu.ortrail.k12.or.us</v>
      </c>
      <c r="L3427" s="6" t="str">
        <f>IFERROR(__xludf.DUMMYFUNCTION("""COMPUTED_VALUE"""),"Oregon Trail School District 46")</f>
        <v>Oregon Trail School District 46</v>
      </c>
      <c r="M3427" s="6" t="str">
        <f>IFERROR(__xludf.DUMMYFUNCTION("""COMPUTED_VALUE"""),"Sandy High School")</f>
        <v>Sandy High School</v>
      </c>
      <c r="N3427" s="6" t="str">
        <f>IFERROR(__xludf.DUMMYFUNCTION("""COMPUTED_VALUE"""),"")</f>
        <v/>
      </c>
      <c r="O3427" s="87" t="str">
        <f>IFERROR(__xludf.DUMMYFUNCTION("""COMPUTED_VALUE"""),"https://drive.google.com/drive/folders/10T2cTQHqEJZqE-st6uFKPoI?usp=share_link")</f>
        <v>https://drive.google.com/drive/folders/10T2cTQHqEJZqE-st6uFKPoI?usp=share_link</v>
      </c>
      <c r="P3427" s="6" t="str">
        <f>IFERROR(__xludf.DUMMYFUNCTION("""COMPUTED_VALUE"""),"Ryder Nielsen")</f>
        <v>Ryder Nielsen</v>
      </c>
      <c r="Q3427" s="6" t="str">
        <f>IFERROR(__xludf.DUMMYFUNCTION("""COMPUTED_VALUE"""),"HS")</f>
        <v>HS</v>
      </c>
      <c r="R3427" s="6">
        <f>IFERROR(__xludf.DUMMYFUNCTION("""COMPUTED_VALUE"""),0.0)</f>
        <v>0</v>
      </c>
      <c r="S3427" s="6" t="str">
        <f>IFERROR(__xludf.DUMMYFUNCTION("""COMPUTED_VALUE"""),"Tiffany Pfenning")</f>
        <v>Tiffany Pfenning</v>
      </c>
      <c r="T3427" s="6" t="str">
        <f>IFERROR(__xludf.DUMMYFUNCTION("""COMPUTED_VALUE"""),"tiffany.pfenning@ortrail.k12.or.us")</f>
        <v>tiffany.pfenning@ortrail.k12.or.us</v>
      </c>
      <c r="U3427" s="6" t="str">
        <f>IFERROR(__xludf.DUMMYFUNCTION("""COMPUTED_VALUE"""),"11")</f>
        <v>11</v>
      </c>
      <c r="V3427" s="6" t="str">
        <f>IFERROR(__xludf.DUMMYFUNCTION("""COMPUTED_VALUE"""),"English")</f>
        <v>English</v>
      </c>
      <c r="W3427" s="6" t="str">
        <f>IFERROR(__xludf.DUMMYFUNCTION("""COMPUTED_VALUE"""),"[]")</f>
        <v>[]</v>
      </c>
      <c r="X3427" s="6" t="str">
        <f>IFERROR(__xludf.DUMMYFUNCTION("""COMPUTED_VALUE"""),"Enrolled")</f>
        <v>Enrolled</v>
      </c>
    </row>
    <row r="3428">
      <c r="A3428" s="6" t="str">
        <f>IFERROR(__xludf.DUMMYFUNCTION("""COMPUTED_VALUE"""),"064-6408")</f>
        <v>064-6408</v>
      </c>
      <c r="B3428" s="6" t="str">
        <f>IFERROR(__xludf.DUMMYFUNCTION("""COMPUTED_VALUE"""),"64")</f>
        <v>64</v>
      </c>
      <c r="C3428" s="6" t="str">
        <f>IFERROR(__xludf.DUMMYFUNCTION("""COMPUTED_VALUE"""),"6408")</f>
        <v>6408</v>
      </c>
      <c r="D3428" s="6" t="str">
        <f>IFERROR(__xludf.DUMMYFUNCTION("""COMPUTED_VALUE"""),"Bruno")</f>
        <v>Bruno</v>
      </c>
      <c r="E3428" s="6" t="str">
        <f>IFERROR(__xludf.DUMMYFUNCTION("""COMPUTED_VALUE"""),"")</f>
        <v/>
      </c>
      <c r="F3428" s="6" t="str">
        <f>IFERROR(__xludf.DUMMYFUNCTION("""COMPUTED_VALUE"""),"Olmos")</f>
        <v>Olmos</v>
      </c>
      <c r="G3428" s="6" t="str">
        <f>IFERROR(__xludf.DUMMYFUNCTION("""COMPUTED_VALUE"""),"10/13/2010")</f>
        <v>10/13/2010</v>
      </c>
      <c r="H3428" s="6" t="str">
        <f>IFERROR(__xludf.DUMMYFUNCTION("""COMPUTED_VALUE"""),"Self Identify")</f>
        <v>Self Identify</v>
      </c>
      <c r="I3428" s="6" t="str">
        <f>IFERROR(__xludf.DUMMYFUNCTION("""COMPUTED_VALUE"""),"High School")</f>
        <v>High School</v>
      </c>
      <c r="J3428" s="6" t="str">
        <f>IFERROR(__xludf.DUMMYFUNCTION("""COMPUTED_VALUE"""),"9")</f>
        <v>9</v>
      </c>
      <c r="K3428" s="6" t="str">
        <f>IFERROR(__xludf.DUMMYFUNCTION("""COMPUTED_VALUE"""),"bruno_olmos@stu.ortrail.k12.or.us")</f>
        <v>bruno_olmos@stu.ortrail.k12.or.us</v>
      </c>
      <c r="L3428" s="6" t="str">
        <f>IFERROR(__xludf.DUMMYFUNCTION("""COMPUTED_VALUE"""),"Oregon Trail School District 46")</f>
        <v>Oregon Trail School District 46</v>
      </c>
      <c r="M3428" s="6" t="str">
        <f>IFERROR(__xludf.DUMMYFUNCTION("""COMPUTED_VALUE"""),"Sandy High School")</f>
        <v>Sandy High School</v>
      </c>
      <c r="N3428" s="6" t="str">
        <f>IFERROR(__xludf.DUMMYFUNCTION("""COMPUTED_VALUE"""),"")</f>
        <v/>
      </c>
      <c r="O3428" s="87" t="str">
        <f>IFERROR(__xludf.DUMMYFUNCTION("""COMPUTED_VALUE"""),"https://drive.google.com/drive/folders/10T2cTQHqEJZqE-st6uFKPoI?usp=share_link")</f>
        <v>https://drive.google.com/drive/folders/10T2cTQHqEJZqE-st6uFKPoI?usp=share_link</v>
      </c>
      <c r="P3428" s="6" t="str">
        <f>IFERROR(__xludf.DUMMYFUNCTION("""COMPUTED_VALUE"""),"Bruno Olmos")</f>
        <v>Bruno Olmos</v>
      </c>
      <c r="Q3428" s="6" t="str">
        <f>IFERROR(__xludf.DUMMYFUNCTION("""COMPUTED_VALUE"""),"HS")</f>
        <v>HS</v>
      </c>
      <c r="R3428" s="6">
        <f>IFERROR(__xludf.DUMMYFUNCTION("""COMPUTED_VALUE"""),0.0)</f>
        <v>0</v>
      </c>
      <c r="S3428" s="6" t="str">
        <f>IFERROR(__xludf.DUMMYFUNCTION("""COMPUTED_VALUE"""),"Tiffany Pfenning")</f>
        <v>Tiffany Pfenning</v>
      </c>
      <c r="T3428" s="6" t="str">
        <f>IFERROR(__xludf.DUMMYFUNCTION("""COMPUTED_VALUE"""),"tiffany.pfenning@ortrail.k12.or.us")</f>
        <v>tiffany.pfenning@ortrail.k12.or.us</v>
      </c>
      <c r="U3428" s="6" t="str">
        <f>IFERROR(__xludf.DUMMYFUNCTION("""COMPUTED_VALUE"""),"9")</f>
        <v>9</v>
      </c>
      <c r="V3428" s="6" t="str">
        <f>IFERROR(__xludf.DUMMYFUNCTION("""COMPUTED_VALUE"""),"English")</f>
        <v>English</v>
      </c>
      <c r="W3428" s="6" t="str">
        <f>IFERROR(__xludf.DUMMYFUNCTION("""COMPUTED_VALUE"""),"[]")</f>
        <v>[]</v>
      </c>
      <c r="X3428" s="6" t="str">
        <f>IFERROR(__xludf.DUMMYFUNCTION("""COMPUTED_VALUE"""),"Enrolled")</f>
        <v>Enrolled</v>
      </c>
    </row>
    <row r="3429">
      <c r="A3429" s="6" t="str">
        <f>IFERROR(__xludf.DUMMYFUNCTION("""COMPUTED_VALUE"""),"064-6409")</f>
        <v>064-6409</v>
      </c>
      <c r="B3429" s="6" t="str">
        <f>IFERROR(__xludf.DUMMYFUNCTION("""COMPUTED_VALUE"""),"64")</f>
        <v>64</v>
      </c>
      <c r="C3429" s="6" t="str">
        <f>IFERROR(__xludf.DUMMYFUNCTION("""COMPUTED_VALUE"""),"6409")</f>
        <v>6409</v>
      </c>
      <c r="D3429" s="6" t="str">
        <f>IFERROR(__xludf.DUMMYFUNCTION("""COMPUTED_VALUE"""),"Jeremiah")</f>
        <v>Jeremiah</v>
      </c>
      <c r="E3429" s="6" t="str">
        <f>IFERROR(__xludf.DUMMYFUNCTION("""COMPUTED_VALUE"""),"")</f>
        <v/>
      </c>
      <c r="F3429" s="6" t="str">
        <f>IFERROR(__xludf.DUMMYFUNCTION("""COMPUTED_VALUE"""),"Pachucki")</f>
        <v>Pachucki</v>
      </c>
      <c r="G3429" s="6" t="str">
        <f>IFERROR(__xludf.DUMMYFUNCTION("""COMPUTED_VALUE"""),"06/14/2008")</f>
        <v>06/14/2008</v>
      </c>
      <c r="H3429" s="6" t="str">
        <f>IFERROR(__xludf.DUMMYFUNCTION("""COMPUTED_VALUE"""),"Self Identify")</f>
        <v>Self Identify</v>
      </c>
      <c r="I3429" s="6" t="str">
        <f>IFERROR(__xludf.DUMMYFUNCTION("""COMPUTED_VALUE"""),"High School")</f>
        <v>High School</v>
      </c>
      <c r="J3429" s="6" t="str">
        <f>IFERROR(__xludf.DUMMYFUNCTION("""COMPUTED_VALUE"""),"11")</f>
        <v>11</v>
      </c>
      <c r="K3429" s="6" t="str">
        <f>IFERROR(__xludf.DUMMYFUNCTION("""COMPUTED_VALUE"""),"jeremiah_pachucki@stu.ortrail.k12.or.us")</f>
        <v>jeremiah_pachucki@stu.ortrail.k12.or.us</v>
      </c>
      <c r="L3429" s="6" t="str">
        <f>IFERROR(__xludf.DUMMYFUNCTION("""COMPUTED_VALUE"""),"Oregon Trail School District 46")</f>
        <v>Oregon Trail School District 46</v>
      </c>
      <c r="M3429" s="6" t="str">
        <f>IFERROR(__xludf.DUMMYFUNCTION("""COMPUTED_VALUE"""),"Sandy High School")</f>
        <v>Sandy High School</v>
      </c>
      <c r="N3429" s="6" t="str">
        <f>IFERROR(__xludf.DUMMYFUNCTION("""COMPUTED_VALUE"""),"")</f>
        <v/>
      </c>
      <c r="O3429" s="87" t="str">
        <f>IFERROR(__xludf.DUMMYFUNCTION("""COMPUTED_VALUE"""),"https://drive.google.com/drive/folders/10T2cTQHqEJZqE-st6uFKPoI?usp=share_link")</f>
        <v>https://drive.google.com/drive/folders/10T2cTQHqEJZqE-st6uFKPoI?usp=share_link</v>
      </c>
      <c r="P3429" s="6" t="str">
        <f>IFERROR(__xludf.DUMMYFUNCTION("""COMPUTED_VALUE"""),"Jeremiah Pachucki")</f>
        <v>Jeremiah Pachucki</v>
      </c>
      <c r="Q3429" s="6" t="str">
        <f>IFERROR(__xludf.DUMMYFUNCTION("""COMPUTED_VALUE"""),"HS")</f>
        <v>HS</v>
      </c>
      <c r="R3429" s="6">
        <f>IFERROR(__xludf.DUMMYFUNCTION("""COMPUTED_VALUE"""),0.0)</f>
        <v>0</v>
      </c>
      <c r="S3429" s="6" t="str">
        <f>IFERROR(__xludf.DUMMYFUNCTION("""COMPUTED_VALUE"""),"Tiffany Pfenning")</f>
        <v>Tiffany Pfenning</v>
      </c>
      <c r="T3429" s="6" t="str">
        <f>IFERROR(__xludf.DUMMYFUNCTION("""COMPUTED_VALUE"""),"tiffany.pfenning@ortrail.k12.or.us")</f>
        <v>tiffany.pfenning@ortrail.k12.or.us</v>
      </c>
      <c r="U3429" s="6" t="str">
        <f>IFERROR(__xludf.DUMMYFUNCTION("""COMPUTED_VALUE"""),"11")</f>
        <v>11</v>
      </c>
      <c r="V3429" s="6" t="str">
        <f>IFERROR(__xludf.DUMMYFUNCTION("""COMPUTED_VALUE"""),"English")</f>
        <v>English</v>
      </c>
      <c r="W3429" s="6" t="str">
        <f>IFERROR(__xludf.DUMMYFUNCTION("""COMPUTED_VALUE"""),"[]")</f>
        <v>[]</v>
      </c>
      <c r="X3429" s="6" t="str">
        <f>IFERROR(__xludf.DUMMYFUNCTION("""COMPUTED_VALUE"""),"Enrolled")</f>
        <v>Enrolled</v>
      </c>
    </row>
    <row r="3430">
      <c r="A3430" s="6" t="str">
        <f>IFERROR(__xludf.DUMMYFUNCTION("""COMPUTED_VALUE"""),"064-6411")</f>
        <v>064-6411</v>
      </c>
      <c r="B3430" s="6" t="str">
        <f>IFERROR(__xludf.DUMMYFUNCTION("""COMPUTED_VALUE"""),"64")</f>
        <v>64</v>
      </c>
      <c r="C3430" s="6" t="str">
        <f>IFERROR(__xludf.DUMMYFUNCTION("""COMPUTED_VALUE"""),"6411")</f>
        <v>6411</v>
      </c>
      <c r="D3430" s="6" t="str">
        <f>IFERROR(__xludf.DUMMYFUNCTION("""COMPUTED_VALUE"""),"Audrina")</f>
        <v>Audrina</v>
      </c>
      <c r="E3430" s="6" t="str">
        <f>IFERROR(__xludf.DUMMYFUNCTION("""COMPUTED_VALUE"""),"")</f>
        <v/>
      </c>
      <c r="F3430" s="6" t="str">
        <f>IFERROR(__xludf.DUMMYFUNCTION("""COMPUTED_VALUE"""),"Powell")</f>
        <v>Powell</v>
      </c>
      <c r="G3430" s="6" t="str">
        <f>IFERROR(__xludf.DUMMYFUNCTION("""COMPUTED_VALUE"""),"08/02/2010")</f>
        <v>08/02/2010</v>
      </c>
      <c r="H3430" s="6" t="str">
        <f>IFERROR(__xludf.DUMMYFUNCTION("""COMPUTED_VALUE"""),"Self Identify")</f>
        <v>Self Identify</v>
      </c>
      <c r="I3430" s="6" t="str">
        <f>IFERROR(__xludf.DUMMYFUNCTION("""COMPUTED_VALUE"""),"High School")</f>
        <v>High School</v>
      </c>
      <c r="J3430" s="6" t="str">
        <f>IFERROR(__xludf.DUMMYFUNCTION("""COMPUTED_VALUE"""),"10")</f>
        <v>10</v>
      </c>
      <c r="K3430" s="6" t="str">
        <f>IFERROR(__xludf.DUMMYFUNCTION("""COMPUTED_VALUE"""),"audrina_powell@stu.ortrail.k12.or.us")</f>
        <v>audrina_powell@stu.ortrail.k12.or.us</v>
      </c>
      <c r="L3430" s="6" t="str">
        <f>IFERROR(__xludf.DUMMYFUNCTION("""COMPUTED_VALUE"""),"Oregon Trail School District 46")</f>
        <v>Oregon Trail School District 46</v>
      </c>
      <c r="M3430" s="6" t="str">
        <f>IFERROR(__xludf.DUMMYFUNCTION("""COMPUTED_VALUE"""),"Sandy High School")</f>
        <v>Sandy High School</v>
      </c>
      <c r="N3430" s="6" t="str">
        <f>IFERROR(__xludf.DUMMYFUNCTION("""COMPUTED_VALUE"""),"")</f>
        <v/>
      </c>
      <c r="O3430" s="87" t="str">
        <f>IFERROR(__xludf.DUMMYFUNCTION("""COMPUTED_VALUE"""),"https://drive.google.com/drive/folders/10T2cTQHqEJZqE-st6uFKPoI?usp=share_link")</f>
        <v>https://drive.google.com/drive/folders/10T2cTQHqEJZqE-st6uFKPoI?usp=share_link</v>
      </c>
      <c r="P3430" s="6" t="str">
        <f>IFERROR(__xludf.DUMMYFUNCTION("""COMPUTED_VALUE"""),"Audrina Powell")</f>
        <v>Audrina Powell</v>
      </c>
      <c r="Q3430" s="6" t="str">
        <f>IFERROR(__xludf.DUMMYFUNCTION("""COMPUTED_VALUE"""),"HS")</f>
        <v>HS</v>
      </c>
      <c r="R3430" s="6">
        <f>IFERROR(__xludf.DUMMYFUNCTION("""COMPUTED_VALUE"""),0.0)</f>
        <v>0</v>
      </c>
      <c r="S3430" s="6" t="str">
        <f>IFERROR(__xludf.DUMMYFUNCTION("""COMPUTED_VALUE"""),"Tiffany Pfenning")</f>
        <v>Tiffany Pfenning</v>
      </c>
      <c r="T3430" s="6" t="str">
        <f>IFERROR(__xludf.DUMMYFUNCTION("""COMPUTED_VALUE"""),"tiffany.pfenning@ortrail.k12.or.us")</f>
        <v>tiffany.pfenning@ortrail.k12.or.us</v>
      </c>
      <c r="U3430" s="6" t="str">
        <f>IFERROR(__xludf.DUMMYFUNCTION("""COMPUTED_VALUE"""),"10")</f>
        <v>10</v>
      </c>
      <c r="V3430" s="6" t="str">
        <f>IFERROR(__xludf.DUMMYFUNCTION("""COMPUTED_VALUE"""),"English")</f>
        <v>English</v>
      </c>
      <c r="W3430" s="6" t="str">
        <f>IFERROR(__xludf.DUMMYFUNCTION("""COMPUTED_VALUE"""),"[]")</f>
        <v>[]</v>
      </c>
      <c r="X3430" s="6" t="str">
        <f>IFERROR(__xludf.DUMMYFUNCTION("""COMPUTED_VALUE"""),"Enrolled")</f>
        <v>Enrolled</v>
      </c>
    </row>
    <row r="3431">
      <c r="A3431" s="6" t="str">
        <f>IFERROR(__xludf.DUMMYFUNCTION("""COMPUTED_VALUE"""),"064-6412")</f>
        <v>064-6412</v>
      </c>
      <c r="B3431" s="6" t="str">
        <f>IFERROR(__xludf.DUMMYFUNCTION("""COMPUTED_VALUE"""),"64")</f>
        <v>64</v>
      </c>
      <c r="C3431" s="6" t="str">
        <f>IFERROR(__xludf.DUMMYFUNCTION("""COMPUTED_VALUE"""),"6412")</f>
        <v>6412</v>
      </c>
      <c r="D3431" s="6" t="str">
        <f>IFERROR(__xludf.DUMMYFUNCTION("""COMPUTED_VALUE"""),"Anjalina")</f>
        <v>Anjalina</v>
      </c>
      <c r="E3431" s="6" t="str">
        <f>IFERROR(__xludf.DUMMYFUNCTION("""COMPUTED_VALUE"""),"")</f>
        <v/>
      </c>
      <c r="F3431" s="6" t="str">
        <f>IFERROR(__xludf.DUMMYFUNCTION("""COMPUTED_VALUE"""),"Radulescu")</f>
        <v>Radulescu</v>
      </c>
      <c r="G3431" s="6" t="str">
        <f>IFERROR(__xludf.DUMMYFUNCTION("""COMPUTED_VALUE"""),"12/27/2010")</f>
        <v>12/27/2010</v>
      </c>
      <c r="H3431" s="6" t="str">
        <f>IFERROR(__xludf.DUMMYFUNCTION("""COMPUTED_VALUE"""),"Self Identify")</f>
        <v>Self Identify</v>
      </c>
      <c r="I3431" s="6" t="str">
        <f>IFERROR(__xludf.DUMMYFUNCTION("""COMPUTED_VALUE"""),"High School")</f>
        <v>High School</v>
      </c>
      <c r="J3431" s="6" t="str">
        <f>IFERROR(__xludf.DUMMYFUNCTION("""COMPUTED_VALUE"""),"9")</f>
        <v>9</v>
      </c>
      <c r="K3431" s="6" t="str">
        <f>IFERROR(__xludf.DUMMYFUNCTION("""COMPUTED_VALUE"""),"anjalina_radulescu@stu.ortrail.k12.or.us")</f>
        <v>anjalina_radulescu@stu.ortrail.k12.or.us</v>
      </c>
      <c r="L3431" s="6" t="str">
        <f>IFERROR(__xludf.DUMMYFUNCTION("""COMPUTED_VALUE"""),"Oregon Trail School District 46")</f>
        <v>Oregon Trail School District 46</v>
      </c>
      <c r="M3431" s="6" t="str">
        <f>IFERROR(__xludf.DUMMYFUNCTION("""COMPUTED_VALUE"""),"Sandy High School")</f>
        <v>Sandy High School</v>
      </c>
      <c r="N3431" s="6" t="str">
        <f>IFERROR(__xludf.DUMMYFUNCTION("""COMPUTED_VALUE"""),"")</f>
        <v/>
      </c>
      <c r="O3431" s="87" t="str">
        <f>IFERROR(__xludf.DUMMYFUNCTION("""COMPUTED_VALUE"""),"https://drive.google.com/drive/folders/10T2cTQHqEJZqE-st6uFKPoI?usp=share_link")</f>
        <v>https://drive.google.com/drive/folders/10T2cTQHqEJZqE-st6uFKPoI?usp=share_link</v>
      </c>
      <c r="P3431" s="6" t="str">
        <f>IFERROR(__xludf.DUMMYFUNCTION("""COMPUTED_VALUE"""),"Anjalina Radulescu")</f>
        <v>Anjalina Radulescu</v>
      </c>
      <c r="Q3431" s="6" t="str">
        <f>IFERROR(__xludf.DUMMYFUNCTION("""COMPUTED_VALUE"""),"HS")</f>
        <v>HS</v>
      </c>
      <c r="R3431" s="6">
        <f>IFERROR(__xludf.DUMMYFUNCTION("""COMPUTED_VALUE"""),0.0)</f>
        <v>0</v>
      </c>
      <c r="S3431" s="6" t="str">
        <f>IFERROR(__xludf.DUMMYFUNCTION("""COMPUTED_VALUE"""),"Tiffany Pfenning")</f>
        <v>Tiffany Pfenning</v>
      </c>
      <c r="T3431" s="6" t="str">
        <f>IFERROR(__xludf.DUMMYFUNCTION("""COMPUTED_VALUE"""),"tiffany.pfenning@ortrail.k12.or.us")</f>
        <v>tiffany.pfenning@ortrail.k12.or.us</v>
      </c>
      <c r="U3431" s="6" t="str">
        <f>IFERROR(__xludf.DUMMYFUNCTION("""COMPUTED_VALUE"""),"9")</f>
        <v>9</v>
      </c>
      <c r="V3431" s="6" t="str">
        <f>IFERROR(__xludf.DUMMYFUNCTION("""COMPUTED_VALUE"""),"English")</f>
        <v>English</v>
      </c>
      <c r="W3431" s="6" t="str">
        <f>IFERROR(__xludf.DUMMYFUNCTION("""COMPUTED_VALUE"""),"[]")</f>
        <v>[]</v>
      </c>
      <c r="X3431" s="6" t="str">
        <f>IFERROR(__xludf.DUMMYFUNCTION("""COMPUTED_VALUE"""),"Enrolled")</f>
        <v>Enrolled</v>
      </c>
    </row>
    <row r="3432">
      <c r="A3432" s="6" t="str">
        <f>IFERROR(__xludf.DUMMYFUNCTION("""COMPUTED_VALUE"""),"064-6413")</f>
        <v>064-6413</v>
      </c>
      <c r="B3432" s="6" t="str">
        <f>IFERROR(__xludf.DUMMYFUNCTION("""COMPUTED_VALUE"""),"64")</f>
        <v>64</v>
      </c>
      <c r="C3432" s="6" t="str">
        <f>IFERROR(__xludf.DUMMYFUNCTION("""COMPUTED_VALUE"""),"6413")</f>
        <v>6413</v>
      </c>
      <c r="D3432" s="6" t="str">
        <f>IFERROR(__xludf.DUMMYFUNCTION("""COMPUTED_VALUE"""),"Mireya")</f>
        <v>Mireya</v>
      </c>
      <c r="E3432" s="6" t="str">
        <f>IFERROR(__xludf.DUMMYFUNCTION("""COMPUTED_VALUE"""),"")</f>
        <v/>
      </c>
      <c r="F3432" s="6" t="str">
        <f>IFERROR(__xludf.DUMMYFUNCTION("""COMPUTED_VALUE"""),"Rosales DeJesus")</f>
        <v>Rosales DeJesus</v>
      </c>
      <c r="G3432" s="6" t="str">
        <f>IFERROR(__xludf.DUMMYFUNCTION("""COMPUTED_VALUE"""),"06/06/2009")</f>
        <v>06/06/2009</v>
      </c>
      <c r="H3432" s="6" t="str">
        <f>IFERROR(__xludf.DUMMYFUNCTION("""COMPUTED_VALUE"""),"Self Identify")</f>
        <v>Self Identify</v>
      </c>
      <c r="I3432" s="6" t="str">
        <f>IFERROR(__xludf.DUMMYFUNCTION("""COMPUTED_VALUE"""),"High School")</f>
        <v>High School</v>
      </c>
      <c r="J3432" s="6" t="str">
        <f>IFERROR(__xludf.DUMMYFUNCTION("""COMPUTED_VALUE"""),"11")</f>
        <v>11</v>
      </c>
      <c r="K3432" s="6" t="str">
        <f>IFERROR(__xludf.DUMMYFUNCTION("""COMPUTED_VALUE"""),"mireya_rosalesdejesu@stu.ortrail.k12.or.us")</f>
        <v>mireya_rosalesdejesu@stu.ortrail.k12.or.us</v>
      </c>
      <c r="L3432" s="6" t="str">
        <f>IFERROR(__xludf.DUMMYFUNCTION("""COMPUTED_VALUE"""),"Oregon Trail School District 46")</f>
        <v>Oregon Trail School District 46</v>
      </c>
      <c r="M3432" s="6" t="str">
        <f>IFERROR(__xludf.DUMMYFUNCTION("""COMPUTED_VALUE"""),"Sandy High School")</f>
        <v>Sandy High School</v>
      </c>
      <c r="N3432" s="6" t="str">
        <f>IFERROR(__xludf.DUMMYFUNCTION("""COMPUTED_VALUE"""),"")</f>
        <v/>
      </c>
      <c r="O3432" s="87" t="str">
        <f>IFERROR(__xludf.DUMMYFUNCTION("""COMPUTED_VALUE"""),"https://drive.google.com/drive/folders/10T2cTQHqEJZqE-st6uFKPoI?usp=share_link")</f>
        <v>https://drive.google.com/drive/folders/10T2cTQHqEJZqE-st6uFKPoI?usp=share_link</v>
      </c>
      <c r="P3432" s="6" t="str">
        <f>IFERROR(__xludf.DUMMYFUNCTION("""COMPUTED_VALUE"""),"Mireya Rosales DeJesus")</f>
        <v>Mireya Rosales DeJesus</v>
      </c>
      <c r="Q3432" s="6" t="str">
        <f>IFERROR(__xludf.DUMMYFUNCTION("""COMPUTED_VALUE"""),"HS")</f>
        <v>HS</v>
      </c>
      <c r="R3432" s="6">
        <f>IFERROR(__xludf.DUMMYFUNCTION("""COMPUTED_VALUE"""),0.0)</f>
        <v>0</v>
      </c>
      <c r="S3432" s="6" t="str">
        <f>IFERROR(__xludf.DUMMYFUNCTION("""COMPUTED_VALUE"""),"Tiffany Pfenning")</f>
        <v>Tiffany Pfenning</v>
      </c>
      <c r="T3432" s="6" t="str">
        <f>IFERROR(__xludf.DUMMYFUNCTION("""COMPUTED_VALUE"""),"tiffany.pfenning@ortrail.k12.or.us")</f>
        <v>tiffany.pfenning@ortrail.k12.or.us</v>
      </c>
      <c r="U3432" s="6" t="str">
        <f>IFERROR(__xludf.DUMMYFUNCTION("""COMPUTED_VALUE"""),"11")</f>
        <v>11</v>
      </c>
      <c r="V3432" s="6" t="str">
        <f>IFERROR(__xludf.DUMMYFUNCTION("""COMPUTED_VALUE"""),"English")</f>
        <v>English</v>
      </c>
      <c r="W3432" s="6" t="str">
        <f>IFERROR(__xludf.DUMMYFUNCTION("""COMPUTED_VALUE"""),"[]")</f>
        <v>[]</v>
      </c>
      <c r="X3432" s="6" t="str">
        <f>IFERROR(__xludf.DUMMYFUNCTION("""COMPUTED_VALUE"""),"Enrolled")</f>
        <v>Enrolled</v>
      </c>
    </row>
    <row r="3433">
      <c r="A3433" s="6" t="str">
        <f>IFERROR(__xludf.DUMMYFUNCTION("""COMPUTED_VALUE"""),"064-6416")</f>
        <v>064-6416</v>
      </c>
      <c r="B3433" s="6" t="str">
        <f>IFERROR(__xludf.DUMMYFUNCTION("""COMPUTED_VALUE"""),"64")</f>
        <v>64</v>
      </c>
      <c r="C3433" s="6" t="str">
        <f>IFERROR(__xludf.DUMMYFUNCTION("""COMPUTED_VALUE"""),"6416")</f>
        <v>6416</v>
      </c>
      <c r="D3433" s="6" t="str">
        <f>IFERROR(__xludf.DUMMYFUNCTION("""COMPUTED_VALUE"""),"Paisley")</f>
        <v>Paisley</v>
      </c>
      <c r="E3433" s="6" t="str">
        <f>IFERROR(__xludf.DUMMYFUNCTION("""COMPUTED_VALUE"""),"")</f>
        <v/>
      </c>
      <c r="F3433" s="6" t="str">
        <f>IFERROR(__xludf.DUMMYFUNCTION("""COMPUTED_VALUE"""),"Shannon")</f>
        <v>Shannon</v>
      </c>
      <c r="G3433" s="6" t="str">
        <f>IFERROR(__xludf.DUMMYFUNCTION("""COMPUTED_VALUE"""),"02/16/2010")</f>
        <v>02/16/2010</v>
      </c>
      <c r="H3433" s="6" t="str">
        <f>IFERROR(__xludf.DUMMYFUNCTION("""COMPUTED_VALUE"""),"Self Identify")</f>
        <v>Self Identify</v>
      </c>
      <c r="I3433" s="6" t="str">
        <f>IFERROR(__xludf.DUMMYFUNCTION("""COMPUTED_VALUE"""),"High School")</f>
        <v>High School</v>
      </c>
      <c r="J3433" s="6" t="str">
        <f>IFERROR(__xludf.DUMMYFUNCTION("""COMPUTED_VALUE"""),"9")</f>
        <v>9</v>
      </c>
      <c r="K3433" s="6" t="str">
        <f>IFERROR(__xludf.DUMMYFUNCTION("""COMPUTED_VALUE"""),"paisley_shannon@stu.ortrail.k12.or.us")</f>
        <v>paisley_shannon@stu.ortrail.k12.or.us</v>
      </c>
      <c r="L3433" s="6" t="str">
        <f>IFERROR(__xludf.DUMMYFUNCTION("""COMPUTED_VALUE"""),"Oregon Trail School District 46")</f>
        <v>Oregon Trail School District 46</v>
      </c>
      <c r="M3433" s="6" t="str">
        <f>IFERROR(__xludf.DUMMYFUNCTION("""COMPUTED_VALUE"""),"Sandy High School")</f>
        <v>Sandy High School</v>
      </c>
      <c r="N3433" s="6" t="str">
        <f>IFERROR(__xludf.DUMMYFUNCTION("""COMPUTED_VALUE"""),"")</f>
        <v/>
      </c>
      <c r="O3433" s="87" t="str">
        <f>IFERROR(__xludf.DUMMYFUNCTION("""COMPUTED_VALUE"""),"https://drive.google.com/drive/folders/10T2cTQHqEJZqE-st6uFKPoI?usp=share_link")</f>
        <v>https://drive.google.com/drive/folders/10T2cTQHqEJZqE-st6uFKPoI?usp=share_link</v>
      </c>
      <c r="P3433" s="6" t="str">
        <f>IFERROR(__xludf.DUMMYFUNCTION("""COMPUTED_VALUE"""),"Paisley Shannon")</f>
        <v>Paisley Shannon</v>
      </c>
      <c r="Q3433" s="6" t="str">
        <f>IFERROR(__xludf.DUMMYFUNCTION("""COMPUTED_VALUE"""),"HS")</f>
        <v>HS</v>
      </c>
      <c r="R3433" s="6">
        <f>IFERROR(__xludf.DUMMYFUNCTION("""COMPUTED_VALUE"""),0.0)</f>
        <v>0</v>
      </c>
      <c r="S3433" s="6" t="str">
        <f>IFERROR(__xludf.DUMMYFUNCTION("""COMPUTED_VALUE"""),"Trevor Jones")</f>
        <v>Trevor Jones</v>
      </c>
      <c r="T3433" s="6" t="str">
        <f>IFERROR(__xludf.DUMMYFUNCTION("""COMPUTED_VALUE"""),"trevor.jones@ortrail.k12.or.us")</f>
        <v>trevor.jones@ortrail.k12.or.us</v>
      </c>
      <c r="U3433" s="6" t="str">
        <f>IFERROR(__xludf.DUMMYFUNCTION("""COMPUTED_VALUE"""),"9")</f>
        <v>9</v>
      </c>
      <c r="V3433" s="6" t="str">
        <f>IFERROR(__xludf.DUMMYFUNCTION("""COMPUTED_VALUE"""),"English")</f>
        <v>English</v>
      </c>
      <c r="W3433" s="6" t="str">
        <f>IFERROR(__xludf.DUMMYFUNCTION("""COMPUTED_VALUE"""),"[]")</f>
        <v>[]</v>
      </c>
      <c r="X3433" s="6" t="str">
        <f>IFERROR(__xludf.DUMMYFUNCTION("""COMPUTED_VALUE"""),"Enrolled")</f>
        <v>Enrolled</v>
      </c>
    </row>
    <row r="3434">
      <c r="A3434" s="6" t="str">
        <f>IFERROR(__xludf.DUMMYFUNCTION("""COMPUTED_VALUE"""),"064-6418")</f>
        <v>064-6418</v>
      </c>
      <c r="B3434" s="6" t="str">
        <f>IFERROR(__xludf.DUMMYFUNCTION("""COMPUTED_VALUE"""),"64")</f>
        <v>64</v>
      </c>
      <c r="C3434" s="6" t="str">
        <f>IFERROR(__xludf.DUMMYFUNCTION("""COMPUTED_VALUE"""),"6418")</f>
        <v>6418</v>
      </c>
      <c r="D3434" s="6" t="str">
        <f>IFERROR(__xludf.DUMMYFUNCTION("""COMPUTED_VALUE"""),"Hope")</f>
        <v>Hope</v>
      </c>
      <c r="E3434" s="6" t="str">
        <f>IFERROR(__xludf.DUMMYFUNCTION("""COMPUTED_VALUE"""),"")</f>
        <v/>
      </c>
      <c r="F3434" s="6" t="str">
        <f>IFERROR(__xludf.DUMMYFUNCTION("""COMPUTED_VALUE"""),"Smead")</f>
        <v>Smead</v>
      </c>
      <c r="G3434" s="6" t="str">
        <f>IFERROR(__xludf.DUMMYFUNCTION("""COMPUTED_VALUE"""),"12/18/2008")</f>
        <v>12/18/2008</v>
      </c>
      <c r="H3434" s="6" t="str">
        <f>IFERROR(__xludf.DUMMYFUNCTION("""COMPUTED_VALUE"""),"Self Identify")</f>
        <v>Self Identify</v>
      </c>
      <c r="I3434" s="6" t="str">
        <f>IFERROR(__xludf.DUMMYFUNCTION("""COMPUTED_VALUE"""),"High School")</f>
        <v>High School</v>
      </c>
      <c r="J3434" s="6" t="str">
        <f>IFERROR(__xludf.DUMMYFUNCTION("""COMPUTED_VALUE"""),"11")</f>
        <v>11</v>
      </c>
      <c r="K3434" s="6" t="str">
        <f>IFERROR(__xludf.DUMMYFUNCTION("""COMPUTED_VALUE"""),"hope_smead@stu.ortrail.k12.or.us")</f>
        <v>hope_smead@stu.ortrail.k12.or.us</v>
      </c>
      <c r="L3434" s="6" t="str">
        <f>IFERROR(__xludf.DUMMYFUNCTION("""COMPUTED_VALUE"""),"Oregon Trail School District 46")</f>
        <v>Oregon Trail School District 46</v>
      </c>
      <c r="M3434" s="6" t="str">
        <f>IFERROR(__xludf.DUMMYFUNCTION("""COMPUTED_VALUE"""),"Sandy High School")</f>
        <v>Sandy High School</v>
      </c>
      <c r="N3434" s="6" t="str">
        <f>IFERROR(__xludf.DUMMYFUNCTION("""COMPUTED_VALUE"""),"")</f>
        <v/>
      </c>
      <c r="O3434" s="87" t="str">
        <f>IFERROR(__xludf.DUMMYFUNCTION("""COMPUTED_VALUE"""),"https://drive.google.com/drive/folders/10T2cTQHqEJZqE-st6uFKPoI?usp=share_link")</f>
        <v>https://drive.google.com/drive/folders/10T2cTQHqEJZqE-st6uFKPoI?usp=share_link</v>
      </c>
      <c r="P3434" s="6" t="str">
        <f>IFERROR(__xludf.DUMMYFUNCTION("""COMPUTED_VALUE"""),"Hope Smead")</f>
        <v>Hope Smead</v>
      </c>
      <c r="Q3434" s="6" t="str">
        <f>IFERROR(__xludf.DUMMYFUNCTION("""COMPUTED_VALUE"""),"HS")</f>
        <v>HS</v>
      </c>
      <c r="R3434" s="6">
        <f>IFERROR(__xludf.DUMMYFUNCTION("""COMPUTED_VALUE"""),0.0)</f>
        <v>0</v>
      </c>
      <c r="S3434" s="6" t="str">
        <f>IFERROR(__xludf.DUMMYFUNCTION("""COMPUTED_VALUE"""),"Tiffany Pfenning")</f>
        <v>Tiffany Pfenning</v>
      </c>
      <c r="T3434" s="6" t="str">
        <f>IFERROR(__xludf.DUMMYFUNCTION("""COMPUTED_VALUE"""),"tiffany.pfenning@ortrail.k12.or.us")</f>
        <v>tiffany.pfenning@ortrail.k12.or.us</v>
      </c>
      <c r="U3434" s="6" t="str">
        <f>IFERROR(__xludf.DUMMYFUNCTION("""COMPUTED_VALUE"""),"11")</f>
        <v>11</v>
      </c>
      <c r="V3434" s="6" t="str">
        <f>IFERROR(__xludf.DUMMYFUNCTION("""COMPUTED_VALUE"""),"English")</f>
        <v>English</v>
      </c>
      <c r="W3434" s="6" t="str">
        <f>IFERROR(__xludf.DUMMYFUNCTION("""COMPUTED_VALUE"""),"[]")</f>
        <v>[]</v>
      </c>
      <c r="X3434" s="6" t="str">
        <f>IFERROR(__xludf.DUMMYFUNCTION("""COMPUTED_VALUE"""),"Enrolled")</f>
        <v>Enrolled</v>
      </c>
    </row>
    <row r="3435">
      <c r="A3435" s="6" t="str">
        <f>IFERROR(__xludf.DUMMYFUNCTION("""COMPUTED_VALUE"""),"064-6421")</f>
        <v>064-6421</v>
      </c>
      <c r="B3435" s="6" t="str">
        <f>IFERROR(__xludf.DUMMYFUNCTION("""COMPUTED_VALUE"""),"64")</f>
        <v>64</v>
      </c>
      <c r="C3435" s="6" t="str">
        <f>IFERROR(__xludf.DUMMYFUNCTION("""COMPUTED_VALUE"""),"6421")</f>
        <v>6421</v>
      </c>
      <c r="D3435" s="6" t="str">
        <f>IFERROR(__xludf.DUMMYFUNCTION("""COMPUTED_VALUE"""),"Jacob")</f>
        <v>Jacob</v>
      </c>
      <c r="E3435" s="6" t="str">
        <f>IFERROR(__xludf.DUMMYFUNCTION("""COMPUTED_VALUE"""),"")</f>
        <v/>
      </c>
      <c r="F3435" s="6" t="str">
        <f>IFERROR(__xludf.DUMMYFUNCTION("""COMPUTED_VALUE"""),"Totton")</f>
        <v>Totton</v>
      </c>
      <c r="G3435" s="6" t="str">
        <f>IFERROR(__xludf.DUMMYFUNCTION("""COMPUTED_VALUE"""),"10/07/2009")</f>
        <v>10/07/2009</v>
      </c>
      <c r="H3435" s="6" t="str">
        <f>IFERROR(__xludf.DUMMYFUNCTION("""COMPUTED_VALUE"""),"Self Identify")</f>
        <v>Self Identify</v>
      </c>
      <c r="I3435" s="6" t="str">
        <f>IFERROR(__xludf.DUMMYFUNCTION("""COMPUTED_VALUE"""),"High School")</f>
        <v>High School</v>
      </c>
      <c r="J3435" s="6" t="str">
        <f>IFERROR(__xludf.DUMMYFUNCTION("""COMPUTED_VALUE"""),"10")</f>
        <v>10</v>
      </c>
      <c r="K3435" s="6" t="str">
        <f>IFERROR(__xludf.DUMMYFUNCTION("""COMPUTED_VALUE"""),"jacob_totton@stu.ortrail.k12.or.us")</f>
        <v>jacob_totton@stu.ortrail.k12.or.us</v>
      </c>
      <c r="L3435" s="6" t="str">
        <f>IFERROR(__xludf.DUMMYFUNCTION("""COMPUTED_VALUE"""),"Oregon Trail School District 46")</f>
        <v>Oregon Trail School District 46</v>
      </c>
      <c r="M3435" s="6" t="str">
        <f>IFERROR(__xludf.DUMMYFUNCTION("""COMPUTED_VALUE"""),"Sandy High School")</f>
        <v>Sandy High School</v>
      </c>
      <c r="N3435" s="6" t="str">
        <f>IFERROR(__xludf.DUMMYFUNCTION("""COMPUTED_VALUE"""),"")</f>
        <v/>
      </c>
      <c r="O3435" s="87" t="str">
        <f>IFERROR(__xludf.DUMMYFUNCTION("""COMPUTED_VALUE"""),"https://drive.google.com/drive/folders/10T2cTQHqEJZqE-st6uFKPoI?usp=share_link")</f>
        <v>https://drive.google.com/drive/folders/10T2cTQHqEJZqE-st6uFKPoI?usp=share_link</v>
      </c>
      <c r="P3435" s="6" t="str">
        <f>IFERROR(__xludf.DUMMYFUNCTION("""COMPUTED_VALUE"""),"Jacob Totton")</f>
        <v>Jacob Totton</v>
      </c>
      <c r="Q3435" s="6" t="str">
        <f>IFERROR(__xludf.DUMMYFUNCTION("""COMPUTED_VALUE"""),"HS")</f>
        <v>HS</v>
      </c>
      <c r="R3435" s="6">
        <f>IFERROR(__xludf.DUMMYFUNCTION("""COMPUTED_VALUE"""),0.0)</f>
        <v>0</v>
      </c>
      <c r="S3435" s="6" t="str">
        <f>IFERROR(__xludf.DUMMYFUNCTION("""COMPUTED_VALUE"""),"Tiffany Pfenning")</f>
        <v>Tiffany Pfenning</v>
      </c>
      <c r="T3435" s="6" t="str">
        <f>IFERROR(__xludf.DUMMYFUNCTION("""COMPUTED_VALUE"""),"tiffany.pfenning@ortrail.k12.or.us")</f>
        <v>tiffany.pfenning@ortrail.k12.or.us</v>
      </c>
      <c r="U3435" s="6" t="str">
        <f>IFERROR(__xludf.DUMMYFUNCTION("""COMPUTED_VALUE"""),"10")</f>
        <v>10</v>
      </c>
      <c r="V3435" s="6" t="str">
        <f>IFERROR(__xludf.DUMMYFUNCTION("""COMPUTED_VALUE"""),"English")</f>
        <v>English</v>
      </c>
      <c r="W3435" s="6" t="str">
        <f>IFERROR(__xludf.DUMMYFUNCTION("""COMPUTED_VALUE"""),"[]")</f>
        <v>[]</v>
      </c>
      <c r="X3435" s="6" t="str">
        <f>IFERROR(__xludf.DUMMYFUNCTION("""COMPUTED_VALUE"""),"Enrolled")</f>
        <v>Enrolled</v>
      </c>
    </row>
    <row r="3436">
      <c r="A3436" s="6" t="str">
        <f>IFERROR(__xludf.DUMMYFUNCTION("""COMPUTED_VALUE"""),"064-6423")</f>
        <v>064-6423</v>
      </c>
      <c r="B3436" s="6" t="str">
        <f>IFERROR(__xludf.DUMMYFUNCTION("""COMPUTED_VALUE"""),"64")</f>
        <v>64</v>
      </c>
      <c r="C3436" s="6" t="str">
        <f>IFERROR(__xludf.DUMMYFUNCTION("""COMPUTED_VALUE"""),"6423")</f>
        <v>6423</v>
      </c>
      <c r="D3436" s="6" t="str">
        <f>IFERROR(__xludf.DUMMYFUNCTION("""COMPUTED_VALUE"""),"Kourtney")</f>
        <v>Kourtney</v>
      </c>
      <c r="E3436" s="6" t="str">
        <f>IFERROR(__xludf.DUMMYFUNCTION("""COMPUTED_VALUE"""),"")</f>
        <v/>
      </c>
      <c r="F3436" s="6" t="str">
        <f>IFERROR(__xludf.DUMMYFUNCTION("""COMPUTED_VALUE"""),"Walker")</f>
        <v>Walker</v>
      </c>
      <c r="G3436" s="6" t="str">
        <f>IFERROR(__xludf.DUMMYFUNCTION("""COMPUTED_VALUE"""),"10/30/2010")</f>
        <v>10/30/2010</v>
      </c>
      <c r="H3436" s="6" t="str">
        <f>IFERROR(__xludf.DUMMYFUNCTION("""COMPUTED_VALUE"""),"Self Identify")</f>
        <v>Self Identify</v>
      </c>
      <c r="I3436" s="6" t="str">
        <f>IFERROR(__xludf.DUMMYFUNCTION("""COMPUTED_VALUE"""),"High School")</f>
        <v>High School</v>
      </c>
      <c r="J3436" s="6" t="str">
        <f>IFERROR(__xludf.DUMMYFUNCTION("""COMPUTED_VALUE"""),"9")</f>
        <v>9</v>
      </c>
      <c r="K3436" s="6" t="str">
        <f>IFERROR(__xludf.DUMMYFUNCTION("""COMPUTED_VALUE"""),"kourtney_walker@stu.ortrail.k12.or.us")</f>
        <v>kourtney_walker@stu.ortrail.k12.or.us</v>
      </c>
      <c r="L3436" s="6" t="str">
        <f>IFERROR(__xludf.DUMMYFUNCTION("""COMPUTED_VALUE"""),"Oregon Trail School District 46")</f>
        <v>Oregon Trail School District 46</v>
      </c>
      <c r="M3436" s="6" t="str">
        <f>IFERROR(__xludf.DUMMYFUNCTION("""COMPUTED_VALUE"""),"Sandy High School")</f>
        <v>Sandy High School</v>
      </c>
      <c r="N3436" s="6" t="str">
        <f>IFERROR(__xludf.DUMMYFUNCTION("""COMPUTED_VALUE"""),"")</f>
        <v/>
      </c>
      <c r="O3436" s="87" t="str">
        <f>IFERROR(__xludf.DUMMYFUNCTION("""COMPUTED_VALUE"""),"https://drive.google.com/drive/folders/10T2cTQHqEJZqE-st6uFKPoI?usp=share_link")</f>
        <v>https://drive.google.com/drive/folders/10T2cTQHqEJZqE-st6uFKPoI?usp=share_link</v>
      </c>
      <c r="P3436" s="6" t="str">
        <f>IFERROR(__xludf.DUMMYFUNCTION("""COMPUTED_VALUE"""),"Kourtney Walker")</f>
        <v>Kourtney Walker</v>
      </c>
      <c r="Q3436" s="6" t="str">
        <f>IFERROR(__xludf.DUMMYFUNCTION("""COMPUTED_VALUE"""),"HS")</f>
        <v>HS</v>
      </c>
      <c r="R3436" s="6">
        <f>IFERROR(__xludf.DUMMYFUNCTION("""COMPUTED_VALUE"""),0.0)</f>
        <v>0</v>
      </c>
      <c r="S3436" s="6" t="str">
        <f>IFERROR(__xludf.DUMMYFUNCTION("""COMPUTED_VALUE"""),"Tiffany Pfenning")</f>
        <v>Tiffany Pfenning</v>
      </c>
      <c r="T3436" s="6" t="str">
        <f>IFERROR(__xludf.DUMMYFUNCTION("""COMPUTED_VALUE"""),"tiffany.pfenning@ortrail.k12.or.us")</f>
        <v>tiffany.pfenning@ortrail.k12.or.us</v>
      </c>
      <c r="U3436" s="6" t="str">
        <f>IFERROR(__xludf.DUMMYFUNCTION("""COMPUTED_VALUE"""),"9")</f>
        <v>9</v>
      </c>
      <c r="V3436" s="6" t="str">
        <f>IFERROR(__xludf.DUMMYFUNCTION("""COMPUTED_VALUE"""),"English")</f>
        <v>English</v>
      </c>
      <c r="W3436" s="6" t="str">
        <f>IFERROR(__xludf.DUMMYFUNCTION("""COMPUTED_VALUE"""),"[]")</f>
        <v>[]</v>
      </c>
      <c r="X3436" s="6" t="str">
        <f>IFERROR(__xludf.DUMMYFUNCTION("""COMPUTED_VALUE"""),"Enrolled")</f>
        <v>Enrolled</v>
      </c>
    </row>
    <row r="3437">
      <c r="A3437" s="6" t="str">
        <f>IFERROR(__xludf.DUMMYFUNCTION("""COMPUTED_VALUE"""),"064-6426")</f>
        <v>064-6426</v>
      </c>
      <c r="B3437" s="6" t="str">
        <f>IFERROR(__xludf.DUMMYFUNCTION("""COMPUTED_VALUE"""),"64")</f>
        <v>64</v>
      </c>
      <c r="C3437" s="6" t="str">
        <f>IFERROR(__xludf.DUMMYFUNCTION("""COMPUTED_VALUE"""),"6426")</f>
        <v>6426</v>
      </c>
      <c r="D3437" s="6" t="str">
        <f>IFERROR(__xludf.DUMMYFUNCTION("""COMPUTED_VALUE"""),"Caira")</f>
        <v>Caira</v>
      </c>
      <c r="E3437" s="6" t="str">
        <f>IFERROR(__xludf.DUMMYFUNCTION("""COMPUTED_VALUE"""),"")</f>
        <v/>
      </c>
      <c r="F3437" s="6" t="str">
        <f>IFERROR(__xludf.DUMMYFUNCTION("""COMPUTED_VALUE"""),"West")</f>
        <v>West</v>
      </c>
      <c r="G3437" s="6" t="str">
        <f>IFERROR(__xludf.DUMMYFUNCTION("""COMPUTED_VALUE"""),"12/22/2008")</f>
        <v>12/22/2008</v>
      </c>
      <c r="H3437" s="6" t="str">
        <f>IFERROR(__xludf.DUMMYFUNCTION("""COMPUTED_VALUE"""),"Self Identify")</f>
        <v>Self Identify</v>
      </c>
      <c r="I3437" s="6" t="str">
        <f>IFERROR(__xludf.DUMMYFUNCTION("""COMPUTED_VALUE"""),"High School")</f>
        <v>High School</v>
      </c>
      <c r="J3437" s="6" t="str">
        <f>IFERROR(__xludf.DUMMYFUNCTION("""COMPUTED_VALUE"""),"11")</f>
        <v>11</v>
      </c>
      <c r="K3437" s="6" t="str">
        <f>IFERROR(__xludf.DUMMYFUNCTION("""COMPUTED_VALUE"""),"caira_west@stu.ortrail.k12.or.us")</f>
        <v>caira_west@stu.ortrail.k12.or.us</v>
      </c>
      <c r="L3437" s="6" t="str">
        <f>IFERROR(__xludf.DUMMYFUNCTION("""COMPUTED_VALUE"""),"Oregon Trail School District 46")</f>
        <v>Oregon Trail School District 46</v>
      </c>
      <c r="M3437" s="6" t="str">
        <f>IFERROR(__xludf.DUMMYFUNCTION("""COMPUTED_VALUE"""),"Sandy High School")</f>
        <v>Sandy High School</v>
      </c>
      <c r="N3437" s="6" t="str">
        <f>IFERROR(__xludf.DUMMYFUNCTION("""COMPUTED_VALUE"""),"")</f>
        <v/>
      </c>
      <c r="O3437" s="87" t="str">
        <f>IFERROR(__xludf.DUMMYFUNCTION("""COMPUTED_VALUE"""),"https://drive.google.com/drive/folders/10T2cTQHqEJZqE-st6uFKPoI?usp=share_link")</f>
        <v>https://drive.google.com/drive/folders/10T2cTQHqEJZqE-st6uFKPoI?usp=share_link</v>
      </c>
      <c r="P3437" s="6" t="str">
        <f>IFERROR(__xludf.DUMMYFUNCTION("""COMPUTED_VALUE"""),"Caira West")</f>
        <v>Caira West</v>
      </c>
      <c r="Q3437" s="6" t="str">
        <f>IFERROR(__xludf.DUMMYFUNCTION("""COMPUTED_VALUE"""),"HS")</f>
        <v>HS</v>
      </c>
      <c r="R3437" s="6">
        <f>IFERROR(__xludf.DUMMYFUNCTION("""COMPUTED_VALUE"""),0.0)</f>
        <v>0</v>
      </c>
      <c r="S3437" s="6" t="str">
        <f>IFERROR(__xludf.DUMMYFUNCTION("""COMPUTED_VALUE"""),"Tiffany Pfenning")</f>
        <v>Tiffany Pfenning</v>
      </c>
      <c r="T3437" s="6" t="str">
        <f>IFERROR(__xludf.DUMMYFUNCTION("""COMPUTED_VALUE"""),"tiffany.pfenning@ortrail.k12.or.us")</f>
        <v>tiffany.pfenning@ortrail.k12.or.us</v>
      </c>
      <c r="U3437" s="6" t="str">
        <f>IFERROR(__xludf.DUMMYFUNCTION("""COMPUTED_VALUE"""),"11")</f>
        <v>11</v>
      </c>
      <c r="V3437" s="6" t="str">
        <f>IFERROR(__xludf.DUMMYFUNCTION("""COMPUTED_VALUE"""),"English")</f>
        <v>English</v>
      </c>
      <c r="W3437" s="6" t="str">
        <f>IFERROR(__xludf.DUMMYFUNCTION("""COMPUTED_VALUE"""),"[]")</f>
        <v>[]</v>
      </c>
      <c r="X3437" s="6" t="str">
        <f>IFERROR(__xludf.DUMMYFUNCTION("""COMPUTED_VALUE"""),"Enrolled")</f>
        <v>Enrolled</v>
      </c>
    </row>
    <row r="3438">
      <c r="A3438" s="6" t="str">
        <f>IFERROR(__xludf.DUMMYFUNCTION("""COMPUTED_VALUE"""),"064-6427")</f>
        <v>064-6427</v>
      </c>
      <c r="B3438" s="6" t="str">
        <f>IFERROR(__xludf.DUMMYFUNCTION("""COMPUTED_VALUE"""),"64")</f>
        <v>64</v>
      </c>
      <c r="C3438" s="6" t="str">
        <f>IFERROR(__xludf.DUMMYFUNCTION("""COMPUTED_VALUE"""),"6427")</f>
        <v>6427</v>
      </c>
      <c r="D3438" s="6" t="str">
        <f>IFERROR(__xludf.DUMMYFUNCTION("""COMPUTED_VALUE"""),"Joshua")</f>
        <v>Joshua</v>
      </c>
      <c r="E3438" s="6" t="str">
        <f>IFERROR(__xludf.DUMMYFUNCTION("""COMPUTED_VALUE"""),"")</f>
        <v/>
      </c>
      <c r="F3438" s="6" t="str">
        <f>IFERROR(__xludf.DUMMYFUNCTION("""COMPUTED_VALUE"""),"Wicker")</f>
        <v>Wicker</v>
      </c>
      <c r="G3438" s="6" t="str">
        <f>IFERROR(__xludf.DUMMYFUNCTION("""COMPUTED_VALUE"""),"11/02/2008")</f>
        <v>11/02/2008</v>
      </c>
      <c r="H3438" s="6" t="str">
        <f>IFERROR(__xludf.DUMMYFUNCTION("""COMPUTED_VALUE"""),"Self Identify")</f>
        <v>Self Identify</v>
      </c>
      <c r="I3438" s="6" t="str">
        <f>IFERROR(__xludf.DUMMYFUNCTION("""COMPUTED_VALUE"""),"High School")</f>
        <v>High School</v>
      </c>
      <c r="J3438" s="6" t="str">
        <f>IFERROR(__xludf.DUMMYFUNCTION("""COMPUTED_VALUE"""),"11")</f>
        <v>11</v>
      </c>
      <c r="K3438" s="6" t="str">
        <f>IFERROR(__xludf.DUMMYFUNCTION("""COMPUTED_VALUE"""),"josh_wicker@stu.ortrail.k12.or.us")</f>
        <v>josh_wicker@stu.ortrail.k12.or.us</v>
      </c>
      <c r="L3438" s="6" t="str">
        <f>IFERROR(__xludf.DUMMYFUNCTION("""COMPUTED_VALUE"""),"Oregon Trail School District 46")</f>
        <v>Oregon Trail School District 46</v>
      </c>
      <c r="M3438" s="6" t="str">
        <f>IFERROR(__xludf.DUMMYFUNCTION("""COMPUTED_VALUE"""),"Sandy High School")</f>
        <v>Sandy High School</v>
      </c>
      <c r="N3438" s="6" t="str">
        <f>IFERROR(__xludf.DUMMYFUNCTION("""COMPUTED_VALUE"""),"")</f>
        <v/>
      </c>
      <c r="O3438" s="87" t="str">
        <f>IFERROR(__xludf.DUMMYFUNCTION("""COMPUTED_VALUE"""),"https://drive.google.com/drive/folders/10T2cTQHqEJZqE-st6uFKPoI?usp=share_link")</f>
        <v>https://drive.google.com/drive/folders/10T2cTQHqEJZqE-st6uFKPoI?usp=share_link</v>
      </c>
      <c r="P3438" s="6" t="str">
        <f>IFERROR(__xludf.DUMMYFUNCTION("""COMPUTED_VALUE"""),"Joshua Wicker")</f>
        <v>Joshua Wicker</v>
      </c>
      <c r="Q3438" s="6" t="str">
        <f>IFERROR(__xludf.DUMMYFUNCTION("""COMPUTED_VALUE"""),"HS")</f>
        <v>HS</v>
      </c>
      <c r="R3438" s="6">
        <f>IFERROR(__xludf.DUMMYFUNCTION("""COMPUTED_VALUE"""),0.0)</f>
        <v>0</v>
      </c>
      <c r="S3438" s="6" t="str">
        <f>IFERROR(__xludf.DUMMYFUNCTION("""COMPUTED_VALUE"""),"Tiffany Pfenning")</f>
        <v>Tiffany Pfenning</v>
      </c>
      <c r="T3438" s="6" t="str">
        <f>IFERROR(__xludf.DUMMYFUNCTION("""COMPUTED_VALUE"""),"tiffany.pfenning@ortrail.k12.or.us")</f>
        <v>tiffany.pfenning@ortrail.k12.or.us</v>
      </c>
      <c r="U3438" s="6" t="str">
        <f>IFERROR(__xludf.DUMMYFUNCTION("""COMPUTED_VALUE"""),"11")</f>
        <v>11</v>
      </c>
      <c r="V3438" s="6" t="str">
        <f>IFERROR(__xludf.DUMMYFUNCTION("""COMPUTED_VALUE"""),"English")</f>
        <v>English</v>
      </c>
      <c r="W3438" s="6" t="str">
        <f>IFERROR(__xludf.DUMMYFUNCTION("""COMPUTED_VALUE"""),"[]")</f>
        <v>[]</v>
      </c>
      <c r="X3438" s="6" t="str">
        <f>IFERROR(__xludf.DUMMYFUNCTION("""COMPUTED_VALUE"""),"Enrolled")</f>
        <v>Enrolled</v>
      </c>
    </row>
    <row r="3439">
      <c r="A3439" s="6" t="str">
        <f>IFERROR(__xludf.DUMMYFUNCTION("""COMPUTED_VALUE"""),"064-6428")</f>
        <v>064-6428</v>
      </c>
      <c r="B3439" s="6" t="str">
        <f>IFERROR(__xludf.DUMMYFUNCTION("""COMPUTED_VALUE"""),"64")</f>
        <v>64</v>
      </c>
      <c r="C3439" s="6" t="str">
        <f>IFERROR(__xludf.DUMMYFUNCTION("""COMPUTED_VALUE"""),"6428")</f>
        <v>6428</v>
      </c>
      <c r="D3439" s="6" t="str">
        <f>IFERROR(__xludf.DUMMYFUNCTION("""COMPUTED_VALUE"""),"Henley")</f>
        <v>Henley</v>
      </c>
      <c r="E3439" s="6" t="str">
        <f>IFERROR(__xludf.DUMMYFUNCTION("""COMPUTED_VALUE"""),"")</f>
        <v/>
      </c>
      <c r="F3439" s="6" t="str">
        <f>IFERROR(__xludf.DUMMYFUNCTION("""COMPUTED_VALUE"""),"Witten")</f>
        <v>Witten</v>
      </c>
      <c r="G3439" s="6" t="str">
        <f>IFERROR(__xludf.DUMMYFUNCTION("""COMPUTED_VALUE"""),"11/10/2010")</f>
        <v>11/10/2010</v>
      </c>
      <c r="H3439" s="6" t="str">
        <f>IFERROR(__xludf.DUMMYFUNCTION("""COMPUTED_VALUE"""),"Self Identify")</f>
        <v>Self Identify</v>
      </c>
      <c r="I3439" s="6" t="str">
        <f>IFERROR(__xludf.DUMMYFUNCTION("""COMPUTED_VALUE"""),"High School")</f>
        <v>High School</v>
      </c>
      <c r="J3439" s="6" t="str">
        <f>IFERROR(__xludf.DUMMYFUNCTION("""COMPUTED_VALUE"""),"9")</f>
        <v>9</v>
      </c>
      <c r="K3439" s="6" t="str">
        <f>IFERROR(__xludf.DUMMYFUNCTION("""COMPUTED_VALUE"""),"henley_witten@stu.ortrail.k12.or.us")</f>
        <v>henley_witten@stu.ortrail.k12.or.us</v>
      </c>
      <c r="L3439" s="6" t="str">
        <f>IFERROR(__xludf.DUMMYFUNCTION("""COMPUTED_VALUE"""),"Oregon Trail School District 46")</f>
        <v>Oregon Trail School District 46</v>
      </c>
      <c r="M3439" s="6" t="str">
        <f>IFERROR(__xludf.DUMMYFUNCTION("""COMPUTED_VALUE"""),"Sandy High School")</f>
        <v>Sandy High School</v>
      </c>
      <c r="N3439" s="6" t="str">
        <f>IFERROR(__xludf.DUMMYFUNCTION("""COMPUTED_VALUE"""),"")</f>
        <v/>
      </c>
      <c r="O3439" s="87" t="str">
        <f>IFERROR(__xludf.DUMMYFUNCTION("""COMPUTED_VALUE"""),"https://drive.google.com/drive/folders/10T2cTQHqEJZqE-st6uFKPoI?usp=share_link")</f>
        <v>https://drive.google.com/drive/folders/10T2cTQHqEJZqE-st6uFKPoI?usp=share_link</v>
      </c>
      <c r="P3439" s="6" t="str">
        <f>IFERROR(__xludf.DUMMYFUNCTION("""COMPUTED_VALUE"""),"Henley Witten")</f>
        <v>Henley Witten</v>
      </c>
      <c r="Q3439" s="6" t="str">
        <f>IFERROR(__xludf.DUMMYFUNCTION("""COMPUTED_VALUE"""),"HS")</f>
        <v>HS</v>
      </c>
      <c r="R3439" s="6">
        <f>IFERROR(__xludf.DUMMYFUNCTION("""COMPUTED_VALUE"""),0.0)</f>
        <v>0</v>
      </c>
      <c r="S3439" s="6" t="str">
        <f>IFERROR(__xludf.DUMMYFUNCTION("""COMPUTED_VALUE"""),"Tiffany Pfenning")</f>
        <v>Tiffany Pfenning</v>
      </c>
      <c r="T3439" s="6" t="str">
        <f>IFERROR(__xludf.DUMMYFUNCTION("""COMPUTED_VALUE"""),"tiffany.pfenning@ortrail.k12.or.us")</f>
        <v>tiffany.pfenning@ortrail.k12.or.us</v>
      </c>
      <c r="U3439" s="6" t="str">
        <f>IFERROR(__xludf.DUMMYFUNCTION("""COMPUTED_VALUE"""),"9")</f>
        <v>9</v>
      </c>
      <c r="V3439" s="6" t="str">
        <f>IFERROR(__xludf.DUMMYFUNCTION("""COMPUTED_VALUE"""),"English")</f>
        <v>English</v>
      </c>
      <c r="W3439" s="6" t="str">
        <f>IFERROR(__xludf.DUMMYFUNCTION("""COMPUTED_VALUE"""),"[]")</f>
        <v>[]</v>
      </c>
      <c r="X3439" s="6" t="str">
        <f>IFERROR(__xludf.DUMMYFUNCTION("""COMPUTED_VALUE"""),"Enrolled")</f>
        <v>Enrolled</v>
      </c>
    </row>
    <row r="3440">
      <c r="A3440" s="6" t="str">
        <f>IFERROR(__xludf.DUMMYFUNCTION("""COMPUTED_VALUE"""),"064-6429")</f>
        <v>064-6429</v>
      </c>
      <c r="B3440" s="6" t="str">
        <f>IFERROR(__xludf.DUMMYFUNCTION("""COMPUTED_VALUE"""),"64")</f>
        <v>64</v>
      </c>
      <c r="C3440" s="6" t="str">
        <f>IFERROR(__xludf.DUMMYFUNCTION("""COMPUTED_VALUE"""),"6429")</f>
        <v>6429</v>
      </c>
      <c r="D3440" s="6" t="str">
        <f>IFERROR(__xludf.DUMMYFUNCTION("""COMPUTED_VALUE"""),"Gabrielle")</f>
        <v>Gabrielle</v>
      </c>
      <c r="E3440" s="6" t="str">
        <f>IFERROR(__xludf.DUMMYFUNCTION("""COMPUTED_VALUE"""),"")</f>
        <v/>
      </c>
      <c r="F3440" s="6" t="str">
        <f>IFERROR(__xludf.DUMMYFUNCTION("""COMPUTED_VALUE"""),"Wrede")</f>
        <v>Wrede</v>
      </c>
      <c r="G3440" s="6" t="str">
        <f>IFERROR(__xludf.DUMMYFUNCTION("""COMPUTED_VALUE"""),"07/21/2010")</f>
        <v>07/21/2010</v>
      </c>
      <c r="H3440" s="6" t="str">
        <f>IFERROR(__xludf.DUMMYFUNCTION("""COMPUTED_VALUE"""),"Self Identify")</f>
        <v>Self Identify</v>
      </c>
      <c r="I3440" s="6" t="str">
        <f>IFERROR(__xludf.DUMMYFUNCTION("""COMPUTED_VALUE"""),"High School")</f>
        <v>High School</v>
      </c>
      <c r="J3440" s="6" t="str">
        <f>IFERROR(__xludf.DUMMYFUNCTION("""COMPUTED_VALUE"""),"10")</f>
        <v>10</v>
      </c>
      <c r="K3440" s="6" t="str">
        <f>IFERROR(__xludf.DUMMYFUNCTION("""COMPUTED_VALUE"""),"gabby_wrede@stu.ortrail.k12.or.us")</f>
        <v>gabby_wrede@stu.ortrail.k12.or.us</v>
      </c>
      <c r="L3440" s="6" t="str">
        <f>IFERROR(__xludf.DUMMYFUNCTION("""COMPUTED_VALUE"""),"Oregon Trail School District 46")</f>
        <v>Oregon Trail School District 46</v>
      </c>
      <c r="M3440" s="6" t="str">
        <f>IFERROR(__xludf.DUMMYFUNCTION("""COMPUTED_VALUE"""),"Sandy High School")</f>
        <v>Sandy High School</v>
      </c>
      <c r="N3440" s="6" t="str">
        <f>IFERROR(__xludf.DUMMYFUNCTION("""COMPUTED_VALUE"""),"")</f>
        <v/>
      </c>
      <c r="O3440" s="87" t="str">
        <f>IFERROR(__xludf.DUMMYFUNCTION("""COMPUTED_VALUE"""),"https://drive.google.com/drive/folders/10T2cTQHqEJZqE-st6uFKPoI?usp=share_link")</f>
        <v>https://drive.google.com/drive/folders/10T2cTQHqEJZqE-st6uFKPoI?usp=share_link</v>
      </c>
      <c r="P3440" s="6" t="str">
        <f>IFERROR(__xludf.DUMMYFUNCTION("""COMPUTED_VALUE"""),"Gabrielle Wrede")</f>
        <v>Gabrielle Wrede</v>
      </c>
      <c r="Q3440" s="6" t="str">
        <f>IFERROR(__xludf.DUMMYFUNCTION("""COMPUTED_VALUE"""),"HS")</f>
        <v>HS</v>
      </c>
      <c r="R3440" s="6">
        <f>IFERROR(__xludf.DUMMYFUNCTION("""COMPUTED_VALUE"""),0.0)</f>
        <v>0</v>
      </c>
      <c r="S3440" s="6" t="str">
        <f>IFERROR(__xludf.DUMMYFUNCTION("""COMPUTED_VALUE"""),"Tiffany Pfenning")</f>
        <v>Tiffany Pfenning</v>
      </c>
      <c r="T3440" s="6" t="str">
        <f>IFERROR(__xludf.DUMMYFUNCTION("""COMPUTED_VALUE"""),"tiffany.pfenning@ortrail.k12.or.us")</f>
        <v>tiffany.pfenning@ortrail.k12.or.us</v>
      </c>
      <c r="U3440" s="6" t="str">
        <f>IFERROR(__xludf.DUMMYFUNCTION("""COMPUTED_VALUE"""),"10")</f>
        <v>10</v>
      </c>
      <c r="V3440" s="6" t="str">
        <f>IFERROR(__xludf.DUMMYFUNCTION("""COMPUTED_VALUE"""),"English")</f>
        <v>English</v>
      </c>
      <c r="W3440" s="6" t="str">
        <f>IFERROR(__xludf.DUMMYFUNCTION("""COMPUTED_VALUE"""),"[]")</f>
        <v>[]</v>
      </c>
      <c r="X3440" s="6" t="str">
        <f>IFERROR(__xludf.DUMMYFUNCTION("""COMPUTED_VALUE"""),"Enrolled")</f>
        <v>Enrolled</v>
      </c>
    </row>
    <row r="3441">
      <c r="A3441" s="6" t="str">
        <f>IFERROR(__xludf.DUMMYFUNCTION("""COMPUTED_VALUE"""),"064-6430")</f>
        <v>064-6430</v>
      </c>
      <c r="B3441" s="6" t="str">
        <f>IFERROR(__xludf.DUMMYFUNCTION("""COMPUTED_VALUE"""),"64")</f>
        <v>64</v>
      </c>
      <c r="C3441" s="6" t="str">
        <f>IFERROR(__xludf.DUMMYFUNCTION("""COMPUTED_VALUE"""),"6430")</f>
        <v>6430</v>
      </c>
      <c r="D3441" s="6" t="str">
        <f>IFERROR(__xludf.DUMMYFUNCTION("""COMPUTED_VALUE"""),"Amerie")</f>
        <v>Amerie</v>
      </c>
      <c r="E3441" s="6" t="str">
        <f>IFERROR(__xludf.DUMMYFUNCTION("""COMPUTED_VALUE"""),"")</f>
        <v/>
      </c>
      <c r="F3441" s="6" t="str">
        <f>IFERROR(__xludf.DUMMYFUNCTION("""COMPUTED_VALUE"""),"Barber")</f>
        <v>Barber</v>
      </c>
      <c r="G3441" s="6" t="str">
        <f>IFERROR(__xludf.DUMMYFUNCTION("""COMPUTED_VALUE"""),"01/20/2010")</f>
        <v>01/20/2010</v>
      </c>
      <c r="H3441" s="6" t="str">
        <f>IFERROR(__xludf.DUMMYFUNCTION("""COMPUTED_VALUE"""),"Self Identify")</f>
        <v>Self Identify</v>
      </c>
      <c r="I3441" s="6" t="str">
        <f>IFERROR(__xludf.DUMMYFUNCTION("""COMPUTED_VALUE"""),"High School")</f>
        <v>High School</v>
      </c>
      <c r="J3441" s="6" t="str">
        <f>IFERROR(__xludf.DUMMYFUNCTION("""COMPUTED_VALUE"""),"10")</f>
        <v>10</v>
      </c>
      <c r="K3441" s="6" t="str">
        <f>IFERROR(__xludf.DUMMYFUNCTION("""COMPUTED_VALUE"""),"amerie_barber@stu.ortrail.k12.or.us")</f>
        <v>amerie_barber@stu.ortrail.k12.or.us</v>
      </c>
      <c r="L3441" s="6" t="str">
        <f>IFERROR(__xludf.DUMMYFUNCTION("""COMPUTED_VALUE"""),"Oregon Trail School District 46")</f>
        <v>Oregon Trail School District 46</v>
      </c>
      <c r="M3441" s="6" t="str">
        <f>IFERROR(__xludf.DUMMYFUNCTION("""COMPUTED_VALUE"""),"Sandy High School")</f>
        <v>Sandy High School</v>
      </c>
      <c r="N3441" s="6" t="str">
        <f>IFERROR(__xludf.DUMMYFUNCTION("""COMPUTED_VALUE"""),"")</f>
        <v/>
      </c>
      <c r="O3441" s="87" t="str">
        <f>IFERROR(__xludf.DUMMYFUNCTION("""COMPUTED_VALUE"""),"https://drive.google.com/drive/folders/10T2cTQHqEJZqE-st6uFKPoI?usp=share_link")</f>
        <v>https://drive.google.com/drive/folders/10T2cTQHqEJZqE-st6uFKPoI?usp=share_link</v>
      </c>
      <c r="P3441" s="6" t="str">
        <f>IFERROR(__xludf.DUMMYFUNCTION("""COMPUTED_VALUE"""),"Amerie Barber")</f>
        <v>Amerie Barber</v>
      </c>
      <c r="Q3441" s="6" t="str">
        <f>IFERROR(__xludf.DUMMYFUNCTION("""COMPUTED_VALUE"""),"HS")</f>
        <v>HS</v>
      </c>
      <c r="R3441" s="6">
        <f>IFERROR(__xludf.DUMMYFUNCTION("""COMPUTED_VALUE"""),0.0)</f>
        <v>0</v>
      </c>
      <c r="S3441" s="6" t="str">
        <f>IFERROR(__xludf.DUMMYFUNCTION("""COMPUTED_VALUE"""),"Clinton Davis")</f>
        <v>Clinton Davis</v>
      </c>
      <c r="T3441" s="6" t="str">
        <f>IFERROR(__xludf.DUMMYFUNCTION("""COMPUTED_VALUE"""),"clinton.davis@ortrail.k12.or.us")</f>
        <v>clinton.davis@ortrail.k12.or.us</v>
      </c>
      <c r="U3441" s="6" t="str">
        <f>IFERROR(__xludf.DUMMYFUNCTION("""COMPUTED_VALUE"""),"10")</f>
        <v>10</v>
      </c>
      <c r="V3441" s="6" t="str">
        <f>IFERROR(__xludf.DUMMYFUNCTION("""COMPUTED_VALUE"""),"English")</f>
        <v>English</v>
      </c>
      <c r="W3441" s="6" t="str">
        <f>IFERROR(__xludf.DUMMYFUNCTION("""COMPUTED_VALUE"""),"[]")</f>
        <v>[]</v>
      </c>
      <c r="X3441" s="6" t="str">
        <f>IFERROR(__xludf.DUMMYFUNCTION("""COMPUTED_VALUE"""),"Enrolled")</f>
        <v>Enrolled</v>
      </c>
    </row>
    <row r="3442">
      <c r="A3442" s="6" t="str">
        <f>IFERROR(__xludf.DUMMYFUNCTION("""COMPUTED_VALUE"""),"064-6431")</f>
        <v>064-6431</v>
      </c>
      <c r="B3442" s="6" t="str">
        <f>IFERROR(__xludf.DUMMYFUNCTION("""COMPUTED_VALUE"""),"64")</f>
        <v>64</v>
      </c>
      <c r="C3442" s="6" t="str">
        <f>IFERROR(__xludf.DUMMYFUNCTION("""COMPUTED_VALUE"""),"6431")</f>
        <v>6431</v>
      </c>
      <c r="D3442" s="6" t="str">
        <f>IFERROR(__xludf.DUMMYFUNCTION("""COMPUTED_VALUE"""),"Callahan")</f>
        <v>Callahan</v>
      </c>
      <c r="E3442" s="6" t="str">
        <f>IFERROR(__xludf.DUMMYFUNCTION("""COMPUTED_VALUE"""),"")</f>
        <v/>
      </c>
      <c r="F3442" s="6" t="str">
        <f>IFERROR(__xludf.DUMMYFUNCTION("""COMPUTED_VALUE"""),"Brune")</f>
        <v>Brune</v>
      </c>
      <c r="G3442" s="6" t="str">
        <f>IFERROR(__xludf.DUMMYFUNCTION("""COMPUTED_VALUE"""),"05/01/2009")</f>
        <v>05/01/2009</v>
      </c>
      <c r="H3442" s="6" t="str">
        <f>IFERROR(__xludf.DUMMYFUNCTION("""COMPUTED_VALUE"""),"Self Identify")</f>
        <v>Self Identify</v>
      </c>
      <c r="I3442" s="6" t="str">
        <f>IFERROR(__xludf.DUMMYFUNCTION("""COMPUTED_VALUE"""),"High School")</f>
        <v>High School</v>
      </c>
      <c r="J3442" s="6" t="str">
        <f>IFERROR(__xludf.DUMMYFUNCTION("""COMPUTED_VALUE"""),"11")</f>
        <v>11</v>
      </c>
      <c r="K3442" s="6" t="str">
        <f>IFERROR(__xludf.DUMMYFUNCTION("""COMPUTED_VALUE"""),"callahan_brune@stu.ortrail.k12.or.us")</f>
        <v>callahan_brune@stu.ortrail.k12.or.us</v>
      </c>
      <c r="L3442" s="6" t="str">
        <f>IFERROR(__xludf.DUMMYFUNCTION("""COMPUTED_VALUE"""),"Oregon Trail School District 46")</f>
        <v>Oregon Trail School District 46</v>
      </c>
      <c r="M3442" s="6" t="str">
        <f>IFERROR(__xludf.DUMMYFUNCTION("""COMPUTED_VALUE"""),"Sandy High School")</f>
        <v>Sandy High School</v>
      </c>
      <c r="N3442" s="6" t="str">
        <f>IFERROR(__xludf.DUMMYFUNCTION("""COMPUTED_VALUE"""),"")</f>
        <v/>
      </c>
      <c r="O3442" s="87" t="str">
        <f>IFERROR(__xludf.DUMMYFUNCTION("""COMPUTED_VALUE"""),"https://drive.google.com/drive/folders/10T2cTQHqEJZqE-st6uFKPoI?usp=share_link")</f>
        <v>https://drive.google.com/drive/folders/10T2cTQHqEJZqE-st6uFKPoI?usp=share_link</v>
      </c>
      <c r="P3442" s="6" t="str">
        <f>IFERROR(__xludf.DUMMYFUNCTION("""COMPUTED_VALUE"""),"Callahan Brune")</f>
        <v>Callahan Brune</v>
      </c>
      <c r="Q3442" s="6" t="str">
        <f>IFERROR(__xludf.DUMMYFUNCTION("""COMPUTED_VALUE"""),"HS")</f>
        <v>HS</v>
      </c>
      <c r="R3442" s="6">
        <f>IFERROR(__xludf.DUMMYFUNCTION("""COMPUTED_VALUE"""),0.0)</f>
        <v>0</v>
      </c>
      <c r="S3442" s="6" t="str">
        <f>IFERROR(__xludf.DUMMYFUNCTION("""COMPUTED_VALUE"""),"Clinton Davis")</f>
        <v>Clinton Davis</v>
      </c>
      <c r="T3442" s="6" t="str">
        <f>IFERROR(__xludf.DUMMYFUNCTION("""COMPUTED_VALUE"""),"clinton.davis@ortrail.k12.or.us")</f>
        <v>clinton.davis@ortrail.k12.or.us</v>
      </c>
      <c r="U3442" s="6" t="str">
        <f>IFERROR(__xludf.DUMMYFUNCTION("""COMPUTED_VALUE"""),"11")</f>
        <v>11</v>
      </c>
      <c r="V3442" s="6" t="str">
        <f>IFERROR(__xludf.DUMMYFUNCTION("""COMPUTED_VALUE"""),"English")</f>
        <v>English</v>
      </c>
      <c r="W3442" s="6" t="str">
        <f>IFERROR(__xludf.DUMMYFUNCTION("""COMPUTED_VALUE"""),"[]")</f>
        <v>[]</v>
      </c>
      <c r="X3442" s="6" t="str">
        <f>IFERROR(__xludf.DUMMYFUNCTION("""COMPUTED_VALUE"""),"Enrolled")</f>
        <v>Enrolled</v>
      </c>
    </row>
    <row r="3443">
      <c r="A3443" s="6" t="str">
        <f>IFERROR(__xludf.DUMMYFUNCTION("""COMPUTED_VALUE"""),"064-6435")</f>
        <v>064-6435</v>
      </c>
      <c r="B3443" s="6" t="str">
        <f>IFERROR(__xludf.DUMMYFUNCTION("""COMPUTED_VALUE"""),"64")</f>
        <v>64</v>
      </c>
      <c r="C3443" s="6" t="str">
        <f>IFERROR(__xludf.DUMMYFUNCTION("""COMPUTED_VALUE"""),"6435")</f>
        <v>6435</v>
      </c>
      <c r="D3443" s="6" t="str">
        <f>IFERROR(__xludf.DUMMYFUNCTION("""COMPUTED_VALUE"""),"Bailey")</f>
        <v>Bailey</v>
      </c>
      <c r="E3443" s="6" t="str">
        <f>IFERROR(__xludf.DUMMYFUNCTION("""COMPUTED_VALUE"""),"")</f>
        <v/>
      </c>
      <c r="F3443" s="6" t="str">
        <f>IFERROR(__xludf.DUMMYFUNCTION("""COMPUTED_VALUE"""),"Griffiths")</f>
        <v>Griffiths</v>
      </c>
      <c r="G3443" s="6" t="str">
        <f>IFERROR(__xludf.DUMMYFUNCTION("""COMPUTED_VALUE"""),"12/07/2008")</f>
        <v>12/07/2008</v>
      </c>
      <c r="H3443" s="6" t="str">
        <f>IFERROR(__xludf.DUMMYFUNCTION("""COMPUTED_VALUE"""),"Self Identify")</f>
        <v>Self Identify</v>
      </c>
      <c r="I3443" s="6" t="str">
        <f>IFERROR(__xludf.DUMMYFUNCTION("""COMPUTED_VALUE"""),"High School")</f>
        <v>High School</v>
      </c>
      <c r="J3443" s="6" t="str">
        <f>IFERROR(__xludf.DUMMYFUNCTION("""COMPUTED_VALUE"""),"11")</f>
        <v>11</v>
      </c>
      <c r="K3443" s="6" t="str">
        <f>IFERROR(__xludf.DUMMYFUNCTION("""COMPUTED_VALUE"""),"bailey_griffiths@stu.ortrail.k12.or.us")</f>
        <v>bailey_griffiths@stu.ortrail.k12.or.us</v>
      </c>
      <c r="L3443" s="6" t="str">
        <f>IFERROR(__xludf.DUMMYFUNCTION("""COMPUTED_VALUE"""),"Oregon Trail School District 46")</f>
        <v>Oregon Trail School District 46</v>
      </c>
      <c r="M3443" s="6" t="str">
        <f>IFERROR(__xludf.DUMMYFUNCTION("""COMPUTED_VALUE"""),"Sandy High School")</f>
        <v>Sandy High School</v>
      </c>
      <c r="N3443" s="6" t="str">
        <f>IFERROR(__xludf.DUMMYFUNCTION("""COMPUTED_VALUE"""),"")</f>
        <v/>
      </c>
      <c r="O3443" s="87" t="str">
        <f>IFERROR(__xludf.DUMMYFUNCTION("""COMPUTED_VALUE"""),"https://drive.google.com/drive/folders/10T2cTQHqEJZqE-st6uFKPoI?usp=share_link")</f>
        <v>https://drive.google.com/drive/folders/10T2cTQHqEJZqE-st6uFKPoI?usp=share_link</v>
      </c>
      <c r="P3443" s="6" t="str">
        <f>IFERROR(__xludf.DUMMYFUNCTION("""COMPUTED_VALUE"""),"Bailey Griffiths")</f>
        <v>Bailey Griffiths</v>
      </c>
      <c r="Q3443" s="6" t="str">
        <f>IFERROR(__xludf.DUMMYFUNCTION("""COMPUTED_VALUE"""),"HS")</f>
        <v>HS</v>
      </c>
      <c r="R3443" s="6">
        <f>IFERROR(__xludf.DUMMYFUNCTION("""COMPUTED_VALUE"""),0.0)</f>
        <v>0</v>
      </c>
      <c r="S3443" s="6" t="str">
        <f>IFERROR(__xludf.DUMMYFUNCTION("""COMPUTED_VALUE"""),"Clinton Davis")</f>
        <v>Clinton Davis</v>
      </c>
      <c r="T3443" s="6" t="str">
        <f>IFERROR(__xludf.DUMMYFUNCTION("""COMPUTED_VALUE"""),"clinton.davis@ortrail.k12.or.us")</f>
        <v>clinton.davis@ortrail.k12.or.us</v>
      </c>
      <c r="U3443" s="6" t="str">
        <f>IFERROR(__xludf.DUMMYFUNCTION("""COMPUTED_VALUE"""),"11")</f>
        <v>11</v>
      </c>
      <c r="V3443" s="6" t="str">
        <f>IFERROR(__xludf.DUMMYFUNCTION("""COMPUTED_VALUE"""),"English")</f>
        <v>English</v>
      </c>
      <c r="W3443" s="6" t="str">
        <f>IFERROR(__xludf.DUMMYFUNCTION("""COMPUTED_VALUE"""),"[]")</f>
        <v>[]</v>
      </c>
      <c r="X3443" s="6" t="str">
        <f>IFERROR(__xludf.DUMMYFUNCTION("""COMPUTED_VALUE"""),"Enrolled")</f>
        <v>Enrolled</v>
      </c>
    </row>
    <row r="3444">
      <c r="A3444" s="6" t="str">
        <f>IFERROR(__xludf.DUMMYFUNCTION("""COMPUTED_VALUE"""),"064-6439")</f>
        <v>064-6439</v>
      </c>
      <c r="B3444" s="6" t="str">
        <f>IFERROR(__xludf.DUMMYFUNCTION("""COMPUTED_VALUE"""),"64")</f>
        <v>64</v>
      </c>
      <c r="C3444" s="6" t="str">
        <f>IFERROR(__xludf.DUMMYFUNCTION("""COMPUTED_VALUE"""),"6439")</f>
        <v>6439</v>
      </c>
      <c r="D3444" s="6" t="str">
        <f>IFERROR(__xludf.DUMMYFUNCTION("""COMPUTED_VALUE"""),"Alexander")</f>
        <v>Alexander</v>
      </c>
      <c r="E3444" s="6" t="str">
        <f>IFERROR(__xludf.DUMMYFUNCTION("""COMPUTED_VALUE"""),"")</f>
        <v/>
      </c>
      <c r="F3444" s="6" t="str">
        <f>IFERROR(__xludf.DUMMYFUNCTION("""COMPUTED_VALUE"""),"Kornblum")</f>
        <v>Kornblum</v>
      </c>
      <c r="G3444" s="6" t="str">
        <f>IFERROR(__xludf.DUMMYFUNCTION("""COMPUTED_VALUE"""),"09/02/2009")</f>
        <v>09/02/2009</v>
      </c>
      <c r="H3444" s="6" t="str">
        <f>IFERROR(__xludf.DUMMYFUNCTION("""COMPUTED_VALUE"""),"Self Identify")</f>
        <v>Self Identify</v>
      </c>
      <c r="I3444" s="6" t="str">
        <f>IFERROR(__xludf.DUMMYFUNCTION("""COMPUTED_VALUE"""),"High School")</f>
        <v>High School</v>
      </c>
      <c r="J3444" s="6" t="str">
        <f>IFERROR(__xludf.DUMMYFUNCTION("""COMPUTED_VALUE"""),"10")</f>
        <v>10</v>
      </c>
      <c r="K3444" s="6" t="str">
        <f>IFERROR(__xludf.DUMMYFUNCTION("""COMPUTED_VALUE"""),"alex_kornblum@stu.ortrail.k12.or.us")</f>
        <v>alex_kornblum@stu.ortrail.k12.or.us</v>
      </c>
      <c r="L3444" s="6" t="str">
        <f>IFERROR(__xludf.DUMMYFUNCTION("""COMPUTED_VALUE"""),"Oregon Trail School District 46")</f>
        <v>Oregon Trail School District 46</v>
      </c>
      <c r="M3444" s="6" t="str">
        <f>IFERROR(__xludf.DUMMYFUNCTION("""COMPUTED_VALUE"""),"Sandy High School")</f>
        <v>Sandy High School</v>
      </c>
      <c r="N3444" s="6" t="str">
        <f>IFERROR(__xludf.DUMMYFUNCTION("""COMPUTED_VALUE"""),"")</f>
        <v/>
      </c>
      <c r="O3444" s="87" t="str">
        <f>IFERROR(__xludf.DUMMYFUNCTION("""COMPUTED_VALUE"""),"https://drive.google.com/drive/folders/10T2cTQHqEJZqE-st6uFKPoI?usp=share_link")</f>
        <v>https://drive.google.com/drive/folders/10T2cTQHqEJZqE-st6uFKPoI?usp=share_link</v>
      </c>
      <c r="P3444" s="6" t="str">
        <f>IFERROR(__xludf.DUMMYFUNCTION("""COMPUTED_VALUE"""),"Alexander Kornblum")</f>
        <v>Alexander Kornblum</v>
      </c>
      <c r="Q3444" s="6" t="str">
        <f>IFERROR(__xludf.DUMMYFUNCTION("""COMPUTED_VALUE"""),"HS")</f>
        <v>HS</v>
      </c>
      <c r="R3444" s="6">
        <f>IFERROR(__xludf.DUMMYFUNCTION("""COMPUTED_VALUE"""),0.0)</f>
        <v>0</v>
      </c>
      <c r="S3444" s="6" t="str">
        <f>IFERROR(__xludf.DUMMYFUNCTION("""COMPUTED_VALUE"""),"Clinton Davis")</f>
        <v>Clinton Davis</v>
      </c>
      <c r="T3444" s="6" t="str">
        <f>IFERROR(__xludf.DUMMYFUNCTION("""COMPUTED_VALUE"""),"clinton.davis@ortrail.k12.or.us")</f>
        <v>clinton.davis@ortrail.k12.or.us</v>
      </c>
      <c r="U3444" s="6" t="str">
        <f>IFERROR(__xludf.DUMMYFUNCTION("""COMPUTED_VALUE"""),"10")</f>
        <v>10</v>
      </c>
      <c r="V3444" s="6" t="str">
        <f>IFERROR(__xludf.DUMMYFUNCTION("""COMPUTED_VALUE"""),"English")</f>
        <v>English</v>
      </c>
      <c r="W3444" s="6" t="str">
        <f>IFERROR(__xludf.DUMMYFUNCTION("""COMPUTED_VALUE"""),"[]")</f>
        <v>[]</v>
      </c>
      <c r="X3444" s="6" t="str">
        <f>IFERROR(__xludf.DUMMYFUNCTION("""COMPUTED_VALUE"""),"Enrolled")</f>
        <v>Enrolled</v>
      </c>
    </row>
    <row r="3445">
      <c r="A3445" s="6" t="str">
        <f>IFERROR(__xludf.DUMMYFUNCTION("""COMPUTED_VALUE"""),"064-6441")</f>
        <v>064-6441</v>
      </c>
      <c r="B3445" s="6" t="str">
        <f>IFERROR(__xludf.DUMMYFUNCTION("""COMPUTED_VALUE"""),"64")</f>
        <v>64</v>
      </c>
      <c r="C3445" s="6" t="str">
        <f>IFERROR(__xludf.DUMMYFUNCTION("""COMPUTED_VALUE"""),"6441")</f>
        <v>6441</v>
      </c>
      <c r="D3445" s="6" t="str">
        <f>IFERROR(__xludf.DUMMYFUNCTION("""COMPUTED_VALUE"""),"Armanni")</f>
        <v>Armanni</v>
      </c>
      <c r="E3445" s="6" t="str">
        <f>IFERROR(__xludf.DUMMYFUNCTION("""COMPUTED_VALUE"""),"")</f>
        <v/>
      </c>
      <c r="F3445" s="6" t="str">
        <f>IFERROR(__xludf.DUMMYFUNCTION("""COMPUTED_VALUE"""),"Lopez-Felix")</f>
        <v>Lopez-Felix</v>
      </c>
      <c r="G3445" s="6" t="str">
        <f>IFERROR(__xludf.DUMMYFUNCTION("""COMPUTED_VALUE"""),"06/09/2011")</f>
        <v>06/09/2011</v>
      </c>
      <c r="H3445" s="6" t="str">
        <f>IFERROR(__xludf.DUMMYFUNCTION("""COMPUTED_VALUE"""),"Self Identify")</f>
        <v>Self Identify</v>
      </c>
      <c r="I3445" s="6" t="str">
        <f>IFERROR(__xludf.DUMMYFUNCTION("""COMPUTED_VALUE"""),"High School")</f>
        <v>High School</v>
      </c>
      <c r="J3445" s="6" t="str">
        <f>IFERROR(__xludf.DUMMYFUNCTION("""COMPUTED_VALUE"""),"9")</f>
        <v>9</v>
      </c>
      <c r="K3445" s="6" t="str">
        <f>IFERROR(__xludf.DUMMYFUNCTION("""COMPUTED_VALUE"""),"armanni_lopezfelix@stu.ortrail.k12.or.us")</f>
        <v>armanni_lopezfelix@stu.ortrail.k12.or.us</v>
      </c>
      <c r="L3445" s="6" t="str">
        <f>IFERROR(__xludf.DUMMYFUNCTION("""COMPUTED_VALUE"""),"Oregon Trail School District 46")</f>
        <v>Oregon Trail School District 46</v>
      </c>
      <c r="M3445" s="6" t="str">
        <f>IFERROR(__xludf.DUMMYFUNCTION("""COMPUTED_VALUE"""),"Sandy High School")</f>
        <v>Sandy High School</v>
      </c>
      <c r="N3445" s="6" t="str">
        <f>IFERROR(__xludf.DUMMYFUNCTION("""COMPUTED_VALUE"""),"")</f>
        <v/>
      </c>
      <c r="O3445" s="87" t="str">
        <f>IFERROR(__xludf.DUMMYFUNCTION("""COMPUTED_VALUE"""),"https://drive.google.com/drive/folders/10T2cTQHqEJZqE-st6uFKPoI?usp=share_link")</f>
        <v>https://drive.google.com/drive/folders/10T2cTQHqEJZqE-st6uFKPoI?usp=share_link</v>
      </c>
      <c r="P3445" s="6" t="str">
        <f>IFERROR(__xludf.DUMMYFUNCTION("""COMPUTED_VALUE"""),"Armanni Lopez-Felix")</f>
        <v>Armanni Lopez-Felix</v>
      </c>
      <c r="Q3445" s="6" t="str">
        <f>IFERROR(__xludf.DUMMYFUNCTION("""COMPUTED_VALUE"""),"HS")</f>
        <v>HS</v>
      </c>
      <c r="R3445" s="6">
        <f>IFERROR(__xludf.DUMMYFUNCTION("""COMPUTED_VALUE"""),0.0)</f>
        <v>0</v>
      </c>
      <c r="S3445" s="6" t="str">
        <f>IFERROR(__xludf.DUMMYFUNCTION("""COMPUTED_VALUE"""),"Clinton Davis")</f>
        <v>Clinton Davis</v>
      </c>
      <c r="T3445" s="6" t="str">
        <f>IFERROR(__xludf.DUMMYFUNCTION("""COMPUTED_VALUE"""),"clinton.davis@ortrail.k12.or.us")</f>
        <v>clinton.davis@ortrail.k12.or.us</v>
      </c>
      <c r="U3445" s="6" t="str">
        <f>IFERROR(__xludf.DUMMYFUNCTION("""COMPUTED_VALUE"""),"9")</f>
        <v>9</v>
      </c>
      <c r="V3445" s="6" t="str">
        <f>IFERROR(__xludf.DUMMYFUNCTION("""COMPUTED_VALUE"""),"English")</f>
        <v>English</v>
      </c>
      <c r="W3445" s="6" t="str">
        <f>IFERROR(__xludf.DUMMYFUNCTION("""COMPUTED_VALUE"""),"[]")</f>
        <v>[]</v>
      </c>
      <c r="X3445" s="6" t="str">
        <f>IFERROR(__xludf.DUMMYFUNCTION("""COMPUTED_VALUE"""),"Enrolled")</f>
        <v>Enrolled</v>
      </c>
    </row>
    <row r="3446">
      <c r="A3446" s="6" t="str">
        <f>IFERROR(__xludf.DUMMYFUNCTION("""COMPUTED_VALUE"""),"064-6443")</f>
        <v>064-6443</v>
      </c>
      <c r="B3446" s="6" t="str">
        <f>IFERROR(__xludf.DUMMYFUNCTION("""COMPUTED_VALUE"""),"64")</f>
        <v>64</v>
      </c>
      <c r="C3446" s="6" t="str">
        <f>IFERROR(__xludf.DUMMYFUNCTION("""COMPUTED_VALUE"""),"6443")</f>
        <v>6443</v>
      </c>
      <c r="D3446" s="6" t="str">
        <f>IFERROR(__xludf.DUMMYFUNCTION("""COMPUTED_VALUE"""),"Liam")</f>
        <v>Liam</v>
      </c>
      <c r="E3446" s="6" t="str">
        <f>IFERROR(__xludf.DUMMYFUNCTION("""COMPUTED_VALUE"""),"")</f>
        <v/>
      </c>
      <c r="F3446" s="6" t="str">
        <f>IFERROR(__xludf.DUMMYFUNCTION("""COMPUTED_VALUE"""),"McMillion")</f>
        <v>McMillion</v>
      </c>
      <c r="G3446" s="6" t="str">
        <f>IFERROR(__xludf.DUMMYFUNCTION("""COMPUTED_VALUE"""),"03/12/2008")</f>
        <v>03/12/2008</v>
      </c>
      <c r="H3446" s="6" t="str">
        <f>IFERROR(__xludf.DUMMYFUNCTION("""COMPUTED_VALUE"""),"Self Identify")</f>
        <v>Self Identify</v>
      </c>
      <c r="I3446" s="6" t="str">
        <f>IFERROR(__xludf.DUMMYFUNCTION("""COMPUTED_VALUE"""),"High School")</f>
        <v>High School</v>
      </c>
      <c r="J3446" s="6" t="str">
        <f>IFERROR(__xludf.DUMMYFUNCTION("""COMPUTED_VALUE"""),"12")</f>
        <v>12</v>
      </c>
      <c r="K3446" s="6" t="str">
        <f>IFERROR(__xludf.DUMMYFUNCTION("""COMPUTED_VALUE"""),"liam_mcmillion@stu.ortrail.k12.or.us")</f>
        <v>liam_mcmillion@stu.ortrail.k12.or.us</v>
      </c>
      <c r="L3446" s="6" t="str">
        <f>IFERROR(__xludf.DUMMYFUNCTION("""COMPUTED_VALUE"""),"Oregon Trail School District 46")</f>
        <v>Oregon Trail School District 46</v>
      </c>
      <c r="M3446" s="6" t="str">
        <f>IFERROR(__xludf.DUMMYFUNCTION("""COMPUTED_VALUE"""),"Sandy High School")</f>
        <v>Sandy High School</v>
      </c>
      <c r="N3446" s="6" t="str">
        <f>IFERROR(__xludf.DUMMYFUNCTION("""COMPUTED_VALUE"""),"")</f>
        <v/>
      </c>
      <c r="O3446" s="87" t="str">
        <f>IFERROR(__xludf.DUMMYFUNCTION("""COMPUTED_VALUE"""),"https://drive.google.com/drive/folders/10T2cTQHqEJZqE-st6uFKPoI?usp=share_link")</f>
        <v>https://drive.google.com/drive/folders/10T2cTQHqEJZqE-st6uFKPoI?usp=share_link</v>
      </c>
      <c r="P3446" s="6" t="str">
        <f>IFERROR(__xludf.DUMMYFUNCTION("""COMPUTED_VALUE"""),"Liam McMillion")</f>
        <v>Liam McMillion</v>
      </c>
      <c r="Q3446" s="6" t="str">
        <f>IFERROR(__xludf.DUMMYFUNCTION("""COMPUTED_VALUE"""),"HS")</f>
        <v>HS</v>
      </c>
      <c r="R3446" s="6">
        <f>IFERROR(__xludf.DUMMYFUNCTION("""COMPUTED_VALUE"""),0.0)</f>
        <v>0</v>
      </c>
      <c r="S3446" s="6" t="str">
        <f>IFERROR(__xludf.DUMMYFUNCTION("""COMPUTED_VALUE"""),"Clinton Davis")</f>
        <v>Clinton Davis</v>
      </c>
      <c r="T3446" s="6" t="str">
        <f>IFERROR(__xludf.DUMMYFUNCTION("""COMPUTED_VALUE"""),"clinton.davis@ortrail.k12.or.us")</f>
        <v>clinton.davis@ortrail.k12.or.us</v>
      </c>
      <c r="U3446" s="6" t="str">
        <f>IFERROR(__xludf.DUMMYFUNCTION("""COMPUTED_VALUE"""),"12")</f>
        <v>12</v>
      </c>
      <c r="V3446" s="6" t="str">
        <f>IFERROR(__xludf.DUMMYFUNCTION("""COMPUTED_VALUE"""),"English")</f>
        <v>English</v>
      </c>
      <c r="W3446" s="6" t="str">
        <f>IFERROR(__xludf.DUMMYFUNCTION("""COMPUTED_VALUE"""),"[]")</f>
        <v>[]</v>
      </c>
      <c r="X3446" s="6" t="str">
        <f>IFERROR(__xludf.DUMMYFUNCTION("""COMPUTED_VALUE"""),"Enrolled")</f>
        <v>Enrolled</v>
      </c>
    </row>
    <row r="3447">
      <c r="A3447" s="6" t="str">
        <f>IFERROR(__xludf.DUMMYFUNCTION("""COMPUTED_VALUE"""),"064-6446")</f>
        <v>064-6446</v>
      </c>
      <c r="B3447" s="6" t="str">
        <f>IFERROR(__xludf.DUMMYFUNCTION("""COMPUTED_VALUE"""),"64")</f>
        <v>64</v>
      </c>
      <c r="C3447" s="6" t="str">
        <f>IFERROR(__xludf.DUMMYFUNCTION("""COMPUTED_VALUE"""),"6446")</f>
        <v>6446</v>
      </c>
      <c r="D3447" s="6" t="str">
        <f>IFERROR(__xludf.DUMMYFUNCTION("""COMPUTED_VALUE"""),"Ella")</f>
        <v>Ella</v>
      </c>
      <c r="E3447" s="6" t="str">
        <f>IFERROR(__xludf.DUMMYFUNCTION("""COMPUTED_VALUE"""),"")</f>
        <v/>
      </c>
      <c r="F3447" s="6" t="str">
        <f>IFERROR(__xludf.DUMMYFUNCTION("""COMPUTED_VALUE"""),"Nguyen")</f>
        <v>Nguyen</v>
      </c>
      <c r="G3447" s="6" t="str">
        <f>IFERROR(__xludf.DUMMYFUNCTION("""COMPUTED_VALUE"""),"10/26/2009")</f>
        <v>10/26/2009</v>
      </c>
      <c r="H3447" s="6" t="str">
        <f>IFERROR(__xludf.DUMMYFUNCTION("""COMPUTED_VALUE"""),"Self Identify")</f>
        <v>Self Identify</v>
      </c>
      <c r="I3447" s="6" t="str">
        <f>IFERROR(__xludf.DUMMYFUNCTION("""COMPUTED_VALUE"""),"High School")</f>
        <v>High School</v>
      </c>
      <c r="J3447" s="6" t="str">
        <f>IFERROR(__xludf.DUMMYFUNCTION("""COMPUTED_VALUE"""),"10")</f>
        <v>10</v>
      </c>
      <c r="K3447" s="6" t="str">
        <f>IFERROR(__xludf.DUMMYFUNCTION("""COMPUTED_VALUE"""),"ella_nguyen@stu.ortrail.k12.or.us")</f>
        <v>ella_nguyen@stu.ortrail.k12.or.us</v>
      </c>
      <c r="L3447" s="6" t="str">
        <f>IFERROR(__xludf.DUMMYFUNCTION("""COMPUTED_VALUE"""),"Oregon Trail School District 46")</f>
        <v>Oregon Trail School District 46</v>
      </c>
      <c r="M3447" s="6" t="str">
        <f>IFERROR(__xludf.DUMMYFUNCTION("""COMPUTED_VALUE"""),"Sandy High School")</f>
        <v>Sandy High School</v>
      </c>
      <c r="N3447" s="6" t="str">
        <f>IFERROR(__xludf.DUMMYFUNCTION("""COMPUTED_VALUE"""),"")</f>
        <v/>
      </c>
      <c r="O3447" s="87" t="str">
        <f>IFERROR(__xludf.DUMMYFUNCTION("""COMPUTED_VALUE"""),"https://drive.google.com/drive/folders/10T2cTQHqEJZqE-st6uFKPoI?usp=share_link")</f>
        <v>https://drive.google.com/drive/folders/10T2cTQHqEJZqE-st6uFKPoI?usp=share_link</v>
      </c>
      <c r="P3447" s="6" t="str">
        <f>IFERROR(__xludf.DUMMYFUNCTION("""COMPUTED_VALUE"""),"Ella Nguyen")</f>
        <v>Ella Nguyen</v>
      </c>
      <c r="Q3447" s="6" t="str">
        <f>IFERROR(__xludf.DUMMYFUNCTION("""COMPUTED_VALUE"""),"HS")</f>
        <v>HS</v>
      </c>
      <c r="R3447" s="6">
        <f>IFERROR(__xludf.DUMMYFUNCTION("""COMPUTED_VALUE"""),0.0)</f>
        <v>0</v>
      </c>
      <c r="S3447" s="6" t="str">
        <f>IFERROR(__xludf.DUMMYFUNCTION("""COMPUTED_VALUE"""),"Clinton Davis")</f>
        <v>Clinton Davis</v>
      </c>
      <c r="T3447" s="6" t="str">
        <f>IFERROR(__xludf.DUMMYFUNCTION("""COMPUTED_VALUE"""),"clinton.davis@ortrail.k12.or.us")</f>
        <v>clinton.davis@ortrail.k12.or.us</v>
      </c>
      <c r="U3447" s="6" t="str">
        <f>IFERROR(__xludf.DUMMYFUNCTION("""COMPUTED_VALUE"""),"10")</f>
        <v>10</v>
      </c>
      <c r="V3447" s="6" t="str">
        <f>IFERROR(__xludf.DUMMYFUNCTION("""COMPUTED_VALUE"""),"English")</f>
        <v>English</v>
      </c>
      <c r="W3447" s="6" t="str">
        <f>IFERROR(__xludf.DUMMYFUNCTION("""COMPUTED_VALUE"""),"[]")</f>
        <v>[]</v>
      </c>
      <c r="X3447" s="6" t="str">
        <f>IFERROR(__xludf.DUMMYFUNCTION("""COMPUTED_VALUE"""),"Enrolled")</f>
        <v>Enrolled</v>
      </c>
    </row>
    <row r="3448">
      <c r="A3448" s="6" t="str">
        <f>IFERROR(__xludf.DUMMYFUNCTION("""COMPUTED_VALUE"""),"064-6447")</f>
        <v>064-6447</v>
      </c>
      <c r="B3448" s="6" t="str">
        <f>IFERROR(__xludf.DUMMYFUNCTION("""COMPUTED_VALUE"""),"64")</f>
        <v>64</v>
      </c>
      <c r="C3448" s="6" t="str">
        <f>IFERROR(__xludf.DUMMYFUNCTION("""COMPUTED_VALUE"""),"6447")</f>
        <v>6447</v>
      </c>
      <c r="D3448" s="6" t="str">
        <f>IFERROR(__xludf.DUMMYFUNCTION("""COMPUTED_VALUE"""),"Gunner")</f>
        <v>Gunner</v>
      </c>
      <c r="E3448" s="6" t="str">
        <f>IFERROR(__xludf.DUMMYFUNCTION("""COMPUTED_VALUE"""),"")</f>
        <v/>
      </c>
      <c r="F3448" s="6" t="str">
        <f>IFERROR(__xludf.DUMMYFUNCTION("""COMPUTED_VALUE"""),"Ober")</f>
        <v>Ober</v>
      </c>
      <c r="G3448" s="6" t="str">
        <f>IFERROR(__xludf.DUMMYFUNCTION("""COMPUTED_VALUE"""),"04/22/2009")</f>
        <v>04/22/2009</v>
      </c>
      <c r="H3448" s="6" t="str">
        <f>IFERROR(__xludf.DUMMYFUNCTION("""COMPUTED_VALUE"""),"Self Identify")</f>
        <v>Self Identify</v>
      </c>
      <c r="I3448" s="6" t="str">
        <f>IFERROR(__xludf.DUMMYFUNCTION("""COMPUTED_VALUE"""),"High School")</f>
        <v>High School</v>
      </c>
      <c r="J3448" s="6" t="str">
        <f>IFERROR(__xludf.DUMMYFUNCTION("""COMPUTED_VALUE"""),"11")</f>
        <v>11</v>
      </c>
      <c r="K3448" s="6" t="str">
        <f>IFERROR(__xludf.DUMMYFUNCTION("""COMPUTED_VALUE"""),"gunner_ober@stu.ortrail.k12.or.us")</f>
        <v>gunner_ober@stu.ortrail.k12.or.us</v>
      </c>
      <c r="L3448" s="6" t="str">
        <f>IFERROR(__xludf.DUMMYFUNCTION("""COMPUTED_VALUE"""),"Oregon Trail School District 46")</f>
        <v>Oregon Trail School District 46</v>
      </c>
      <c r="M3448" s="6" t="str">
        <f>IFERROR(__xludf.DUMMYFUNCTION("""COMPUTED_VALUE"""),"Sandy High School")</f>
        <v>Sandy High School</v>
      </c>
      <c r="N3448" s="6" t="str">
        <f>IFERROR(__xludf.DUMMYFUNCTION("""COMPUTED_VALUE"""),"")</f>
        <v/>
      </c>
      <c r="O3448" s="87" t="str">
        <f>IFERROR(__xludf.DUMMYFUNCTION("""COMPUTED_VALUE"""),"https://drive.google.com/drive/folders/10T2cTQHqEJZqE-st6uFKPoI?usp=share_link")</f>
        <v>https://drive.google.com/drive/folders/10T2cTQHqEJZqE-st6uFKPoI?usp=share_link</v>
      </c>
      <c r="P3448" s="6" t="str">
        <f>IFERROR(__xludf.DUMMYFUNCTION("""COMPUTED_VALUE"""),"Gunner Ober")</f>
        <v>Gunner Ober</v>
      </c>
      <c r="Q3448" s="6" t="str">
        <f>IFERROR(__xludf.DUMMYFUNCTION("""COMPUTED_VALUE"""),"HS")</f>
        <v>HS</v>
      </c>
      <c r="R3448" s="6">
        <f>IFERROR(__xludf.DUMMYFUNCTION("""COMPUTED_VALUE"""),0.0)</f>
        <v>0</v>
      </c>
      <c r="S3448" s="6" t="str">
        <f>IFERROR(__xludf.DUMMYFUNCTION("""COMPUTED_VALUE"""),"Clinton Davis")</f>
        <v>Clinton Davis</v>
      </c>
      <c r="T3448" s="6" t="str">
        <f>IFERROR(__xludf.DUMMYFUNCTION("""COMPUTED_VALUE"""),"clinton.davis@ortrail.k12.or.us")</f>
        <v>clinton.davis@ortrail.k12.or.us</v>
      </c>
      <c r="U3448" s="6" t="str">
        <f>IFERROR(__xludf.DUMMYFUNCTION("""COMPUTED_VALUE"""),"11")</f>
        <v>11</v>
      </c>
      <c r="V3448" s="6" t="str">
        <f>IFERROR(__xludf.DUMMYFUNCTION("""COMPUTED_VALUE"""),"English")</f>
        <v>English</v>
      </c>
      <c r="W3448" s="6" t="str">
        <f>IFERROR(__xludf.DUMMYFUNCTION("""COMPUTED_VALUE"""),"[]")</f>
        <v>[]</v>
      </c>
      <c r="X3448" s="6" t="str">
        <f>IFERROR(__xludf.DUMMYFUNCTION("""COMPUTED_VALUE"""),"Enrolled")</f>
        <v>Enrolled</v>
      </c>
    </row>
    <row r="3449">
      <c r="A3449" s="6" t="str">
        <f>IFERROR(__xludf.DUMMYFUNCTION("""COMPUTED_VALUE"""),"064-6450")</f>
        <v>064-6450</v>
      </c>
      <c r="B3449" s="6" t="str">
        <f>IFERROR(__xludf.DUMMYFUNCTION("""COMPUTED_VALUE"""),"64")</f>
        <v>64</v>
      </c>
      <c r="C3449" s="6" t="str">
        <f>IFERROR(__xludf.DUMMYFUNCTION("""COMPUTED_VALUE"""),"6450")</f>
        <v>6450</v>
      </c>
      <c r="D3449" s="6" t="str">
        <f>IFERROR(__xludf.DUMMYFUNCTION("""COMPUTED_VALUE"""),"Aspen")</f>
        <v>Aspen</v>
      </c>
      <c r="E3449" s="6" t="str">
        <f>IFERROR(__xludf.DUMMYFUNCTION("""COMPUTED_VALUE"""),"")</f>
        <v/>
      </c>
      <c r="F3449" s="6" t="str">
        <f>IFERROR(__xludf.DUMMYFUNCTION("""COMPUTED_VALUE"""),"Ruegger")</f>
        <v>Ruegger</v>
      </c>
      <c r="G3449" s="6" t="str">
        <f>IFERROR(__xludf.DUMMYFUNCTION("""COMPUTED_VALUE"""),"02/22/2010")</f>
        <v>02/22/2010</v>
      </c>
      <c r="H3449" s="6" t="str">
        <f>IFERROR(__xludf.DUMMYFUNCTION("""COMPUTED_VALUE"""),"Self Identify")</f>
        <v>Self Identify</v>
      </c>
      <c r="I3449" s="6" t="str">
        <f>IFERROR(__xludf.DUMMYFUNCTION("""COMPUTED_VALUE"""),"High School")</f>
        <v>High School</v>
      </c>
      <c r="J3449" s="6" t="str">
        <f>IFERROR(__xludf.DUMMYFUNCTION("""COMPUTED_VALUE"""),"10")</f>
        <v>10</v>
      </c>
      <c r="K3449" s="6" t="str">
        <f>IFERROR(__xludf.DUMMYFUNCTION("""COMPUTED_VALUE"""),"aspen_ruegger@stu.ortrail.k12.or.us")</f>
        <v>aspen_ruegger@stu.ortrail.k12.or.us</v>
      </c>
      <c r="L3449" s="6" t="str">
        <f>IFERROR(__xludf.DUMMYFUNCTION("""COMPUTED_VALUE"""),"Oregon Trail School District 46")</f>
        <v>Oregon Trail School District 46</v>
      </c>
      <c r="M3449" s="6" t="str">
        <f>IFERROR(__xludf.DUMMYFUNCTION("""COMPUTED_VALUE"""),"Sandy High School")</f>
        <v>Sandy High School</v>
      </c>
      <c r="N3449" s="6" t="str">
        <f>IFERROR(__xludf.DUMMYFUNCTION("""COMPUTED_VALUE"""),"")</f>
        <v/>
      </c>
      <c r="O3449" s="87" t="str">
        <f>IFERROR(__xludf.DUMMYFUNCTION("""COMPUTED_VALUE"""),"https://drive.google.com/drive/folders/10T2cTQHqEJZqE-st6uFKPoI?usp=share_link")</f>
        <v>https://drive.google.com/drive/folders/10T2cTQHqEJZqE-st6uFKPoI?usp=share_link</v>
      </c>
      <c r="P3449" s="6" t="str">
        <f>IFERROR(__xludf.DUMMYFUNCTION("""COMPUTED_VALUE"""),"Aspen Ruegger")</f>
        <v>Aspen Ruegger</v>
      </c>
      <c r="Q3449" s="6" t="str">
        <f>IFERROR(__xludf.DUMMYFUNCTION("""COMPUTED_VALUE"""),"HS")</f>
        <v>HS</v>
      </c>
      <c r="R3449" s="6">
        <f>IFERROR(__xludf.DUMMYFUNCTION("""COMPUTED_VALUE"""),0.0)</f>
        <v>0</v>
      </c>
      <c r="S3449" s="6" t="str">
        <f>IFERROR(__xludf.DUMMYFUNCTION("""COMPUTED_VALUE"""),"Clinton Davis")</f>
        <v>Clinton Davis</v>
      </c>
      <c r="T3449" s="6" t="str">
        <f>IFERROR(__xludf.DUMMYFUNCTION("""COMPUTED_VALUE"""),"clinton.davis@ortrail.k12.or.us")</f>
        <v>clinton.davis@ortrail.k12.or.us</v>
      </c>
      <c r="U3449" s="6" t="str">
        <f>IFERROR(__xludf.DUMMYFUNCTION("""COMPUTED_VALUE"""),"10")</f>
        <v>10</v>
      </c>
      <c r="V3449" s="6" t="str">
        <f>IFERROR(__xludf.DUMMYFUNCTION("""COMPUTED_VALUE"""),"English")</f>
        <v>English</v>
      </c>
      <c r="W3449" s="6" t="str">
        <f>IFERROR(__xludf.DUMMYFUNCTION("""COMPUTED_VALUE"""),"[]")</f>
        <v>[]</v>
      </c>
      <c r="X3449" s="6" t="str">
        <f>IFERROR(__xludf.DUMMYFUNCTION("""COMPUTED_VALUE"""),"Enrolled")</f>
        <v>Enrolled</v>
      </c>
    </row>
    <row r="3450">
      <c r="A3450" s="6" t="str">
        <f>IFERROR(__xludf.DUMMYFUNCTION("""COMPUTED_VALUE"""),"064-6453")</f>
        <v>064-6453</v>
      </c>
      <c r="B3450" s="6" t="str">
        <f>IFERROR(__xludf.DUMMYFUNCTION("""COMPUTED_VALUE"""),"64")</f>
        <v>64</v>
      </c>
      <c r="C3450" s="6" t="str">
        <f>IFERROR(__xludf.DUMMYFUNCTION("""COMPUTED_VALUE"""),"6453")</f>
        <v>6453</v>
      </c>
      <c r="D3450" s="6" t="str">
        <f>IFERROR(__xludf.DUMMYFUNCTION("""COMPUTED_VALUE"""),"Mace")</f>
        <v>Mace</v>
      </c>
      <c r="E3450" s="6" t="str">
        <f>IFERROR(__xludf.DUMMYFUNCTION("""COMPUTED_VALUE"""),"")</f>
        <v/>
      </c>
      <c r="F3450" s="6" t="str">
        <f>IFERROR(__xludf.DUMMYFUNCTION("""COMPUTED_VALUE"""),"Sweeney")</f>
        <v>Sweeney</v>
      </c>
      <c r="G3450" s="6" t="str">
        <f>IFERROR(__xludf.DUMMYFUNCTION("""COMPUTED_VALUE"""),"10/20/2009")</f>
        <v>10/20/2009</v>
      </c>
      <c r="H3450" s="6" t="str">
        <f>IFERROR(__xludf.DUMMYFUNCTION("""COMPUTED_VALUE"""),"Self Identify")</f>
        <v>Self Identify</v>
      </c>
      <c r="I3450" s="6" t="str">
        <f>IFERROR(__xludf.DUMMYFUNCTION("""COMPUTED_VALUE"""),"High School")</f>
        <v>High School</v>
      </c>
      <c r="J3450" s="6" t="str">
        <f>IFERROR(__xludf.DUMMYFUNCTION("""COMPUTED_VALUE"""),"10")</f>
        <v>10</v>
      </c>
      <c r="K3450" s="6" t="str">
        <f>IFERROR(__xludf.DUMMYFUNCTION("""COMPUTED_VALUE"""),"mace_sweeney@stu.ortrail.k12.or.us")</f>
        <v>mace_sweeney@stu.ortrail.k12.or.us</v>
      </c>
      <c r="L3450" s="6" t="str">
        <f>IFERROR(__xludf.DUMMYFUNCTION("""COMPUTED_VALUE"""),"Oregon Trail School District 46")</f>
        <v>Oregon Trail School District 46</v>
      </c>
      <c r="M3450" s="6" t="str">
        <f>IFERROR(__xludf.DUMMYFUNCTION("""COMPUTED_VALUE"""),"Sandy High School")</f>
        <v>Sandy High School</v>
      </c>
      <c r="N3450" s="6" t="str">
        <f>IFERROR(__xludf.DUMMYFUNCTION("""COMPUTED_VALUE"""),"")</f>
        <v/>
      </c>
      <c r="O3450" s="87" t="str">
        <f>IFERROR(__xludf.DUMMYFUNCTION("""COMPUTED_VALUE"""),"https://drive.google.com/drive/folders/10T2cTQHqEJZqE-st6uFKPoI?usp=share_link")</f>
        <v>https://drive.google.com/drive/folders/10T2cTQHqEJZqE-st6uFKPoI?usp=share_link</v>
      </c>
      <c r="P3450" s="6" t="str">
        <f>IFERROR(__xludf.DUMMYFUNCTION("""COMPUTED_VALUE"""),"Mace Sweeney")</f>
        <v>Mace Sweeney</v>
      </c>
      <c r="Q3450" s="6" t="str">
        <f>IFERROR(__xludf.DUMMYFUNCTION("""COMPUTED_VALUE"""),"HS")</f>
        <v>HS</v>
      </c>
      <c r="R3450" s="6">
        <f>IFERROR(__xludf.DUMMYFUNCTION("""COMPUTED_VALUE"""),0.0)</f>
        <v>0</v>
      </c>
      <c r="S3450" s="6" t="str">
        <f>IFERROR(__xludf.DUMMYFUNCTION("""COMPUTED_VALUE"""),"Clinton Davis")</f>
        <v>Clinton Davis</v>
      </c>
      <c r="T3450" s="6" t="str">
        <f>IFERROR(__xludf.DUMMYFUNCTION("""COMPUTED_VALUE"""),"clinton.davis@ortrail.k12.or.us")</f>
        <v>clinton.davis@ortrail.k12.or.us</v>
      </c>
      <c r="U3450" s="6" t="str">
        <f>IFERROR(__xludf.DUMMYFUNCTION("""COMPUTED_VALUE"""),"10")</f>
        <v>10</v>
      </c>
      <c r="V3450" s="6" t="str">
        <f>IFERROR(__xludf.DUMMYFUNCTION("""COMPUTED_VALUE"""),"English")</f>
        <v>English</v>
      </c>
      <c r="W3450" s="6" t="str">
        <f>IFERROR(__xludf.DUMMYFUNCTION("""COMPUTED_VALUE"""),"[]")</f>
        <v>[]</v>
      </c>
      <c r="X3450" s="6" t="str">
        <f>IFERROR(__xludf.DUMMYFUNCTION("""COMPUTED_VALUE"""),"Enrolled")</f>
        <v>Enrolled</v>
      </c>
    </row>
    <row r="3451">
      <c r="A3451" s="6" t="str">
        <f>IFERROR(__xludf.DUMMYFUNCTION("""COMPUTED_VALUE"""),"064-6456")</f>
        <v>064-6456</v>
      </c>
      <c r="B3451" s="6" t="str">
        <f>IFERROR(__xludf.DUMMYFUNCTION("""COMPUTED_VALUE"""),"64")</f>
        <v>64</v>
      </c>
      <c r="C3451" s="6" t="str">
        <f>IFERROR(__xludf.DUMMYFUNCTION("""COMPUTED_VALUE"""),"6456")</f>
        <v>6456</v>
      </c>
      <c r="D3451" s="6" t="str">
        <f>IFERROR(__xludf.DUMMYFUNCTION("""COMPUTED_VALUE"""),"Anthony")</f>
        <v>Anthony</v>
      </c>
      <c r="E3451" s="6" t="str">
        <f>IFERROR(__xludf.DUMMYFUNCTION("""COMPUTED_VALUE"""),"")</f>
        <v/>
      </c>
      <c r="F3451" s="6" t="str">
        <f>IFERROR(__xludf.DUMMYFUNCTION("""COMPUTED_VALUE"""),"Wickizer")</f>
        <v>Wickizer</v>
      </c>
      <c r="G3451" s="6" t="str">
        <f>IFERROR(__xludf.DUMMYFUNCTION("""COMPUTED_VALUE"""),"04/03/2009")</f>
        <v>04/03/2009</v>
      </c>
      <c r="H3451" s="6" t="str">
        <f>IFERROR(__xludf.DUMMYFUNCTION("""COMPUTED_VALUE"""),"Self Identify")</f>
        <v>Self Identify</v>
      </c>
      <c r="I3451" s="6" t="str">
        <f>IFERROR(__xludf.DUMMYFUNCTION("""COMPUTED_VALUE"""),"High School")</f>
        <v>High School</v>
      </c>
      <c r="J3451" s="6" t="str">
        <f>IFERROR(__xludf.DUMMYFUNCTION("""COMPUTED_VALUE"""),"11")</f>
        <v>11</v>
      </c>
      <c r="K3451" s="6" t="str">
        <f>IFERROR(__xludf.DUMMYFUNCTION("""COMPUTED_VALUE"""),"anthony_wickizer@stu.ortrail.k12.or.us")</f>
        <v>anthony_wickizer@stu.ortrail.k12.or.us</v>
      </c>
      <c r="L3451" s="6" t="str">
        <f>IFERROR(__xludf.DUMMYFUNCTION("""COMPUTED_VALUE"""),"Oregon Trail School District 46")</f>
        <v>Oregon Trail School District 46</v>
      </c>
      <c r="M3451" s="6" t="str">
        <f>IFERROR(__xludf.DUMMYFUNCTION("""COMPUTED_VALUE"""),"Sandy High School")</f>
        <v>Sandy High School</v>
      </c>
      <c r="N3451" s="6" t="str">
        <f>IFERROR(__xludf.DUMMYFUNCTION("""COMPUTED_VALUE"""),"")</f>
        <v/>
      </c>
      <c r="O3451" s="87" t="str">
        <f>IFERROR(__xludf.DUMMYFUNCTION("""COMPUTED_VALUE"""),"https://drive.google.com/drive/folders/10T2cTQHqEJZqE-st6uFKPoI?usp=share_link")</f>
        <v>https://drive.google.com/drive/folders/10T2cTQHqEJZqE-st6uFKPoI?usp=share_link</v>
      </c>
      <c r="P3451" s="6" t="str">
        <f>IFERROR(__xludf.DUMMYFUNCTION("""COMPUTED_VALUE"""),"Anthony Wickizer")</f>
        <v>Anthony Wickizer</v>
      </c>
      <c r="Q3451" s="6" t="str">
        <f>IFERROR(__xludf.DUMMYFUNCTION("""COMPUTED_VALUE"""),"HS")</f>
        <v>HS</v>
      </c>
      <c r="R3451" s="6">
        <f>IFERROR(__xludf.DUMMYFUNCTION("""COMPUTED_VALUE"""),0.0)</f>
        <v>0</v>
      </c>
      <c r="S3451" s="6" t="str">
        <f>IFERROR(__xludf.DUMMYFUNCTION("""COMPUTED_VALUE"""),"Clinton Davis")</f>
        <v>Clinton Davis</v>
      </c>
      <c r="T3451" s="6" t="str">
        <f>IFERROR(__xludf.DUMMYFUNCTION("""COMPUTED_VALUE"""),"clinton.davis@ortrail.k12.or.us")</f>
        <v>clinton.davis@ortrail.k12.or.us</v>
      </c>
      <c r="U3451" s="6" t="str">
        <f>IFERROR(__xludf.DUMMYFUNCTION("""COMPUTED_VALUE"""),"11")</f>
        <v>11</v>
      </c>
      <c r="V3451" s="6" t="str">
        <f>IFERROR(__xludf.DUMMYFUNCTION("""COMPUTED_VALUE"""),"English")</f>
        <v>English</v>
      </c>
      <c r="W3451" s="6" t="str">
        <f>IFERROR(__xludf.DUMMYFUNCTION("""COMPUTED_VALUE"""),"[]")</f>
        <v>[]</v>
      </c>
      <c r="X3451" s="6" t="str">
        <f>IFERROR(__xludf.DUMMYFUNCTION("""COMPUTED_VALUE"""),"Enrolled")</f>
        <v>Enrolled</v>
      </c>
    </row>
    <row r="3452">
      <c r="A3452" s="6" t="str">
        <f>IFERROR(__xludf.DUMMYFUNCTION("""COMPUTED_VALUE"""),"064-6457")</f>
        <v>064-6457</v>
      </c>
      <c r="B3452" s="6" t="str">
        <f>IFERROR(__xludf.DUMMYFUNCTION("""COMPUTED_VALUE"""),"64")</f>
        <v>64</v>
      </c>
      <c r="C3452" s="6" t="str">
        <f>IFERROR(__xludf.DUMMYFUNCTION("""COMPUTED_VALUE"""),"6457")</f>
        <v>6457</v>
      </c>
      <c r="D3452" s="6" t="str">
        <f>IFERROR(__xludf.DUMMYFUNCTION("""COMPUTED_VALUE"""),"Brighton")</f>
        <v>Brighton</v>
      </c>
      <c r="E3452" s="6" t="str">
        <f>IFERROR(__xludf.DUMMYFUNCTION("""COMPUTED_VALUE"""),"")</f>
        <v/>
      </c>
      <c r="F3452" s="6" t="str">
        <f>IFERROR(__xludf.DUMMYFUNCTION("""COMPUTED_VALUE"""),"Wilson")</f>
        <v>Wilson</v>
      </c>
      <c r="G3452" s="6" t="str">
        <f>IFERROR(__xludf.DUMMYFUNCTION("""COMPUTED_VALUE"""),"03/29/2010")</f>
        <v>03/29/2010</v>
      </c>
      <c r="H3452" s="6" t="str">
        <f>IFERROR(__xludf.DUMMYFUNCTION("""COMPUTED_VALUE"""),"Self Identify")</f>
        <v>Self Identify</v>
      </c>
      <c r="I3452" s="6" t="str">
        <f>IFERROR(__xludf.DUMMYFUNCTION("""COMPUTED_VALUE"""),"High School")</f>
        <v>High School</v>
      </c>
      <c r="J3452" s="6" t="str">
        <f>IFERROR(__xludf.DUMMYFUNCTION("""COMPUTED_VALUE"""),"10")</f>
        <v>10</v>
      </c>
      <c r="K3452" s="6" t="str">
        <f>IFERROR(__xludf.DUMMYFUNCTION("""COMPUTED_VALUE"""),"brighton_wilson@stu.ortrail.k12.or.us")</f>
        <v>brighton_wilson@stu.ortrail.k12.or.us</v>
      </c>
      <c r="L3452" s="6" t="str">
        <f>IFERROR(__xludf.DUMMYFUNCTION("""COMPUTED_VALUE"""),"Oregon Trail School District 46")</f>
        <v>Oregon Trail School District 46</v>
      </c>
      <c r="M3452" s="6" t="str">
        <f>IFERROR(__xludf.DUMMYFUNCTION("""COMPUTED_VALUE"""),"Sandy High School")</f>
        <v>Sandy High School</v>
      </c>
      <c r="N3452" s="6" t="str">
        <f>IFERROR(__xludf.DUMMYFUNCTION("""COMPUTED_VALUE"""),"")</f>
        <v/>
      </c>
      <c r="O3452" s="87" t="str">
        <f>IFERROR(__xludf.DUMMYFUNCTION("""COMPUTED_VALUE"""),"https://drive.google.com/drive/folders/10T2cTQHqEJZqE-st6uFKPoI?usp=share_link")</f>
        <v>https://drive.google.com/drive/folders/10T2cTQHqEJZqE-st6uFKPoI?usp=share_link</v>
      </c>
      <c r="P3452" s="6" t="str">
        <f>IFERROR(__xludf.DUMMYFUNCTION("""COMPUTED_VALUE"""),"Brighton Wilson")</f>
        <v>Brighton Wilson</v>
      </c>
      <c r="Q3452" s="6" t="str">
        <f>IFERROR(__xludf.DUMMYFUNCTION("""COMPUTED_VALUE"""),"HS")</f>
        <v>HS</v>
      </c>
      <c r="R3452" s="6">
        <f>IFERROR(__xludf.DUMMYFUNCTION("""COMPUTED_VALUE"""),0.0)</f>
        <v>0</v>
      </c>
      <c r="S3452" s="6" t="str">
        <f>IFERROR(__xludf.DUMMYFUNCTION("""COMPUTED_VALUE"""),"Clinton Davis")</f>
        <v>Clinton Davis</v>
      </c>
      <c r="T3452" s="6" t="str">
        <f>IFERROR(__xludf.DUMMYFUNCTION("""COMPUTED_VALUE"""),"clinton.davis@ortrail.k12.or.us")</f>
        <v>clinton.davis@ortrail.k12.or.us</v>
      </c>
      <c r="U3452" s="6" t="str">
        <f>IFERROR(__xludf.DUMMYFUNCTION("""COMPUTED_VALUE"""),"10")</f>
        <v>10</v>
      </c>
      <c r="V3452" s="6" t="str">
        <f>IFERROR(__xludf.DUMMYFUNCTION("""COMPUTED_VALUE"""),"English")</f>
        <v>English</v>
      </c>
      <c r="W3452" s="6" t="str">
        <f>IFERROR(__xludf.DUMMYFUNCTION("""COMPUTED_VALUE"""),"[]")</f>
        <v>[]</v>
      </c>
      <c r="X3452" s="6" t="str">
        <f>IFERROR(__xludf.DUMMYFUNCTION("""COMPUTED_VALUE"""),"Enrolled")</f>
        <v>Enrolled</v>
      </c>
    </row>
    <row r="3453">
      <c r="A3453" s="6" t="str">
        <f>IFERROR(__xludf.DUMMYFUNCTION("""COMPUTED_VALUE"""),"064-6458")</f>
        <v>064-6458</v>
      </c>
      <c r="B3453" s="6" t="str">
        <f>IFERROR(__xludf.DUMMYFUNCTION("""COMPUTED_VALUE"""),"64")</f>
        <v>64</v>
      </c>
      <c r="C3453" s="6" t="str">
        <f>IFERROR(__xludf.DUMMYFUNCTION("""COMPUTED_VALUE"""),"6458")</f>
        <v>6458</v>
      </c>
      <c r="D3453" s="6" t="str">
        <f>IFERROR(__xludf.DUMMYFUNCTION("""COMPUTED_VALUE"""),"Easton")</f>
        <v>Easton</v>
      </c>
      <c r="E3453" s="6" t="str">
        <f>IFERROR(__xludf.DUMMYFUNCTION("""COMPUTED_VALUE"""),"")</f>
        <v/>
      </c>
      <c r="F3453" s="6" t="str">
        <f>IFERROR(__xludf.DUMMYFUNCTION("""COMPUTED_VALUE"""),"Wood")</f>
        <v>Wood</v>
      </c>
      <c r="G3453" s="6" t="str">
        <f>IFERROR(__xludf.DUMMYFUNCTION("""COMPUTED_VALUE"""),"07/03/2011")</f>
        <v>07/03/2011</v>
      </c>
      <c r="H3453" s="6" t="str">
        <f>IFERROR(__xludf.DUMMYFUNCTION("""COMPUTED_VALUE"""),"Self Identify")</f>
        <v>Self Identify</v>
      </c>
      <c r="I3453" s="6" t="str">
        <f>IFERROR(__xludf.DUMMYFUNCTION("""COMPUTED_VALUE"""),"High School")</f>
        <v>High School</v>
      </c>
      <c r="J3453" s="6" t="str">
        <f>IFERROR(__xludf.DUMMYFUNCTION("""COMPUTED_VALUE"""),"9")</f>
        <v>9</v>
      </c>
      <c r="K3453" s="6" t="str">
        <f>IFERROR(__xludf.DUMMYFUNCTION("""COMPUTED_VALUE"""),"easton_wood@stu.ortrail.k12.or.us")</f>
        <v>easton_wood@stu.ortrail.k12.or.us</v>
      </c>
      <c r="L3453" s="6" t="str">
        <f>IFERROR(__xludf.DUMMYFUNCTION("""COMPUTED_VALUE"""),"Oregon Trail School District 46")</f>
        <v>Oregon Trail School District 46</v>
      </c>
      <c r="M3453" s="6" t="str">
        <f>IFERROR(__xludf.DUMMYFUNCTION("""COMPUTED_VALUE"""),"Sandy High School")</f>
        <v>Sandy High School</v>
      </c>
      <c r="N3453" s="6" t="str">
        <f>IFERROR(__xludf.DUMMYFUNCTION("""COMPUTED_VALUE"""),"")</f>
        <v/>
      </c>
      <c r="O3453" s="87" t="str">
        <f>IFERROR(__xludf.DUMMYFUNCTION("""COMPUTED_VALUE"""),"https://drive.google.com/drive/folders/10T2cTQHqEJZqE-st6uFKPoI?usp=share_link")</f>
        <v>https://drive.google.com/drive/folders/10T2cTQHqEJZqE-st6uFKPoI?usp=share_link</v>
      </c>
      <c r="P3453" s="6" t="str">
        <f>IFERROR(__xludf.DUMMYFUNCTION("""COMPUTED_VALUE"""),"Easton Wood")</f>
        <v>Easton Wood</v>
      </c>
      <c r="Q3453" s="6" t="str">
        <f>IFERROR(__xludf.DUMMYFUNCTION("""COMPUTED_VALUE"""),"HS")</f>
        <v>HS</v>
      </c>
      <c r="R3453" s="6">
        <f>IFERROR(__xludf.DUMMYFUNCTION("""COMPUTED_VALUE"""),0.0)</f>
        <v>0</v>
      </c>
      <c r="S3453" s="6" t="str">
        <f>IFERROR(__xludf.DUMMYFUNCTION("""COMPUTED_VALUE"""),"Clinton Davis")</f>
        <v>Clinton Davis</v>
      </c>
      <c r="T3453" s="6" t="str">
        <f>IFERROR(__xludf.DUMMYFUNCTION("""COMPUTED_VALUE"""),"clinton.davis@ortrail.k12.or.us")</f>
        <v>clinton.davis@ortrail.k12.or.us</v>
      </c>
      <c r="U3453" s="6" t="str">
        <f>IFERROR(__xludf.DUMMYFUNCTION("""COMPUTED_VALUE"""),"9")</f>
        <v>9</v>
      </c>
      <c r="V3453" s="6" t="str">
        <f>IFERROR(__xludf.DUMMYFUNCTION("""COMPUTED_VALUE"""),"English")</f>
        <v>English</v>
      </c>
      <c r="W3453" s="6" t="str">
        <f>IFERROR(__xludf.DUMMYFUNCTION("""COMPUTED_VALUE"""),"[]")</f>
        <v>[]</v>
      </c>
      <c r="X3453" s="6" t="str">
        <f>IFERROR(__xludf.DUMMYFUNCTION("""COMPUTED_VALUE"""),"Enrolled")</f>
        <v>Enrolled</v>
      </c>
    </row>
    <row r="3454">
      <c r="A3454" s="6" t="str">
        <f>IFERROR(__xludf.DUMMYFUNCTION("""COMPUTED_VALUE"""),"064-6461")</f>
        <v>064-6461</v>
      </c>
      <c r="B3454" s="6" t="str">
        <f>IFERROR(__xludf.DUMMYFUNCTION("""COMPUTED_VALUE"""),"64")</f>
        <v>64</v>
      </c>
      <c r="C3454" s="6" t="str">
        <f>IFERROR(__xludf.DUMMYFUNCTION("""COMPUTED_VALUE"""),"6461")</f>
        <v>6461</v>
      </c>
      <c r="D3454" s="6" t="str">
        <f>IFERROR(__xludf.DUMMYFUNCTION("""COMPUTED_VALUE"""),"Kendric")</f>
        <v>Kendric</v>
      </c>
      <c r="E3454" s="6" t="str">
        <f>IFERROR(__xludf.DUMMYFUNCTION("""COMPUTED_VALUE"""),"")</f>
        <v/>
      </c>
      <c r="F3454" s="6" t="str">
        <f>IFERROR(__xludf.DUMMYFUNCTION("""COMPUTED_VALUE"""),"Cereghino")</f>
        <v>Cereghino</v>
      </c>
      <c r="G3454" s="6" t="str">
        <f>IFERROR(__xludf.DUMMYFUNCTION("""COMPUTED_VALUE"""),"02/14/2008")</f>
        <v>02/14/2008</v>
      </c>
      <c r="H3454" s="6" t="str">
        <f>IFERROR(__xludf.DUMMYFUNCTION("""COMPUTED_VALUE"""),"Self Identify")</f>
        <v>Self Identify</v>
      </c>
      <c r="I3454" s="6" t="str">
        <f>IFERROR(__xludf.DUMMYFUNCTION("""COMPUTED_VALUE"""),"High School")</f>
        <v>High School</v>
      </c>
      <c r="J3454" s="6" t="str">
        <f>IFERROR(__xludf.DUMMYFUNCTION("""COMPUTED_VALUE"""),"11")</f>
        <v>11</v>
      </c>
      <c r="K3454" s="6" t="str">
        <f>IFERROR(__xludf.DUMMYFUNCTION("""COMPUTED_VALUE"""),"kendric_cereghino@stu.ortrail.k12.or.us")</f>
        <v>kendric_cereghino@stu.ortrail.k12.or.us</v>
      </c>
      <c r="L3454" s="6" t="str">
        <f>IFERROR(__xludf.DUMMYFUNCTION("""COMPUTED_VALUE"""),"Oregon Trail School District 46")</f>
        <v>Oregon Trail School District 46</v>
      </c>
      <c r="M3454" s="6" t="str">
        <f>IFERROR(__xludf.DUMMYFUNCTION("""COMPUTED_VALUE"""),"Sandy High School")</f>
        <v>Sandy High School</v>
      </c>
      <c r="N3454" s="6" t="str">
        <f>IFERROR(__xludf.DUMMYFUNCTION("""COMPUTED_VALUE"""),"")</f>
        <v/>
      </c>
      <c r="O3454" s="87" t="str">
        <f>IFERROR(__xludf.DUMMYFUNCTION("""COMPUTED_VALUE"""),"https://drive.google.com/drive/folders/10T2cTQHqEJZqE-st6uFKPoI?usp=share_link")</f>
        <v>https://drive.google.com/drive/folders/10T2cTQHqEJZqE-st6uFKPoI?usp=share_link</v>
      </c>
      <c r="P3454" s="6" t="str">
        <f>IFERROR(__xludf.DUMMYFUNCTION("""COMPUTED_VALUE"""),"Kendric Cereghino")</f>
        <v>Kendric Cereghino</v>
      </c>
      <c r="Q3454" s="6" t="str">
        <f>IFERROR(__xludf.DUMMYFUNCTION("""COMPUTED_VALUE"""),"HS")</f>
        <v>HS</v>
      </c>
      <c r="R3454" s="6">
        <f>IFERROR(__xludf.DUMMYFUNCTION("""COMPUTED_VALUE"""),0.0)</f>
        <v>0</v>
      </c>
      <c r="S3454" s="6" t="str">
        <f>IFERROR(__xludf.DUMMYFUNCTION("""COMPUTED_VALUE"""),"Trevor Jones")</f>
        <v>Trevor Jones</v>
      </c>
      <c r="T3454" s="6" t="str">
        <f>IFERROR(__xludf.DUMMYFUNCTION("""COMPUTED_VALUE"""),"trevor.jones@ortrail.k12.or.us")</f>
        <v>trevor.jones@ortrail.k12.or.us</v>
      </c>
      <c r="U3454" s="6" t="str">
        <f>IFERROR(__xludf.DUMMYFUNCTION("""COMPUTED_VALUE"""),"11")</f>
        <v>11</v>
      </c>
      <c r="V3454" s="6" t="str">
        <f>IFERROR(__xludf.DUMMYFUNCTION("""COMPUTED_VALUE"""),"English")</f>
        <v>English</v>
      </c>
      <c r="W3454" s="6" t="str">
        <f>IFERROR(__xludf.DUMMYFUNCTION("""COMPUTED_VALUE"""),"[]")</f>
        <v>[]</v>
      </c>
      <c r="X3454" s="6" t="str">
        <f>IFERROR(__xludf.DUMMYFUNCTION("""COMPUTED_VALUE"""),"Enrolled")</f>
        <v>Enrolled</v>
      </c>
    </row>
    <row r="3455">
      <c r="A3455" s="6" t="str">
        <f>IFERROR(__xludf.DUMMYFUNCTION("""COMPUTED_VALUE"""),"064-6463")</f>
        <v>064-6463</v>
      </c>
      <c r="B3455" s="6" t="str">
        <f>IFERROR(__xludf.DUMMYFUNCTION("""COMPUTED_VALUE"""),"64")</f>
        <v>64</v>
      </c>
      <c r="C3455" s="6" t="str">
        <f>IFERROR(__xludf.DUMMYFUNCTION("""COMPUTED_VALUE"""),"6463")</f>
        <v>6463</v>
      </c>
      <c r="D3455" s="6" t="str">
        <f>IFERROR(__xludf.DUMMYFUNCTION("""COMPUTED_VALUE"""),"Makaylah")</f>
        <v>Makaylah</v>
      </c>
      <c r="E3455" s="6" t="str">
        <f>IFERROR(__xludf.DUMMYFUNCTION("""COMPUTED_VALUE"""),"")</f>
        <v/>
      </c>
      <c r="F3455" s="6" t="str">
        <f>IFERROR(__xludf.DUMMYFUNCTION("""COMPUTED_VALUE"""),"Cupp")</f>
        <v>Cupp</v>
      </c>
      <c r="G3455" s="6" t="str">
        <f>IFERROR(__xludf.DUMMYFUNCTION("""COMPUTED_VALUE"""),"11/14/2008")</f>
        <v>11/14/2008</v>
      </c>
      <c r="H3455" s="6" t="str">
        <f>IFERROR(__xludf.DUMMYFUNCTION("""COMPUTED_VALUE"""),"Self Identify")</f>
        <v>Self Identify</v>
      </c>
      <c r="I3455" s="6" t="str">
        <f>IFERROR(__xludf.DUMMYFUNCTION("""COMPUTED_VALUE"""),"High School")</f>
        <v>High School</v>
      </c>
      <c r="J3455" s="6" t="str">
        <f>IFERROR(__xludf.DUMMYFUNCTION("""COMPUTED_VALUE"""),"11")</f>
        <v>11</v>
      </c>
      <c r="K3455" s="6" t="str">
        <f>IFERROR(__xludf.DUMMYFUNCTION("""COMPUTED_VALUE"""),"makaylah_cupp@stu.ortrail.k12.or.us")</f>
        <v>makaylah_cupp@stu.ortrail.k12.or.us</v>
      </c>
      <c r="L3455" s="6" t="str">
        <f>IFERROR(__xludf.DUMMYFUNCTION("""COMPUTED_VALUE"""),"Oregon Trail School District 46")</f>
        <v>Oregon Trail School District 46</v>
      </c>
      <c r="M3455" s="6" t="str">
        <f>IFERROR(__xludf.DUMMYFUNCTION("""COMPUTED_VALUE"""),"Sandy High School")</f>
        <v>Sandy High School</v>
      </c>
      <c r="N3455" s="6" t="str">
        <f>IFERROR(__xludf.DUMMYFUNCTION("""COMPUTED_VALUE"""),"")</f>
        <v/>
      </c>
      <c r="O3455" s="87" t="str">
        <f>IFERROR(__xludf.DUMMYFUNCTION("""COMPUTED_VALUE"""),"https://drive.google.com/drive/folders/10T2cTQHqEJZqE-st6uFKPoI?usp=share_link")</f>
        <v>https://drive.google.com/drive/folders/10T2cTQHqEJZqE-st6uFKPoI?usp=share_link</v>
      </c>
      <c r="P3455" s="6" t="str">
        <f>IFERROR(__xludf.DUMMYFUNCTION("""COMPUTED_VALUE"""),"Makaylah Cupp")</f>
        <v>Makaylah Cupp</v>
      </c>
      <c r="Q3455" s="6" t="str">
        <f>IFERROR(__xludf.DUMMYFUNCTION("""COMPUTED_VALUE"""),"HS")</f>
        <v>HS</v>
      </c>
      <c r="R3455" s="6">
        <f>IFERROR(__xludf.DUMMYFUNCTION("""COMPUTED_VALUE"""),0.0)</f>
        <v>0</v>
      </c>
      <c r="S3455" s="6" t="str">
        <f>IFERROR(__xludf.DUMMYFUNCTION("""COMPUTED_VALUE"""),"Trevor Jones")</f>
        <v>Trevor Jones</v>
      </c>
      <c r="T3455" s="6" t="str">
        <f>IFERROR(__xludf.DUMMYFUNCTION("""COMPUTED_VALUE"""),"trevor.jones@ortrail.k12.or.us")</f>
        <v>trevor.jones@ortrail.k12.or.us</v>
      </c>
      <c r="U3455" s="6" t="str">
        <f>IFERROR(__xludf.DUMMYFUNCTION("""COMPUTED_VALUE"""),"11")</f>
        <v>11</v>
      </c>
      <c r="V3455" s="6" t="str">
        <f>IFERROR(__xludf.DUMMYFUNCTION("""COMPUTED_VALUE"""),"English")</f>
        <v>English</v>
      </c>
      <c r="W3455" s="6" t="str">
        <f>IFERROR(__xludf.DUMMYFUNCTION("""COMPUTED_VALUE"""),"[]")</f>
        <v>[]</v>
      </c>
      <c r="X3455" s="6" t="str">
        <f>IFERROR(__xludf.DUMMYFUNCTION("""COMPUTED_VALUE"""),"Enrolled")</f>
        <v>Enrolled</v>
      </c>
    </row>
    <row r="3456">
      <c r="A3456" s="6" t="str">
        <f>IFERROR(__xludf.DUMMYFUNCTION("""COMPUTED_VALUE"""),"064-6464")</f>
        <v>064-6464</v>
      </c>
      <c r="B3456" s="6" t="str">
        <f>IFERROR(__xludf.DUMMYFUNCTION("""COMPUTED_VALUE"""),"64")</f>
        <v>64</v>
      </c>
      <c r="C3456" s="6" t="str">
        <f>IFERROR(__xludf.DUMMYFUNCTION("""COMPUTED_VALUE"""),"6464")</f>
        <v>6464</v>
      </c>
      <c r="D3456" s="6" t="str">
        <f>IFERROR(__xludf.DUMMYFUNCTION("""COMPUTED_VALUE"""),"Emanuel")</f>
        <v>Emanuel</v>
      </c>
      <c r="E3456" s="6" t="str">
        <f>IFERROR(__xludf.DUMMYFUNCTION("""COMPUTED_VALUE"""),"")</f>
        <v/>
      </c>
      <c r="F3456" s="6" t="str">
        <f>IFERROR(__xludf.DUMMYFUNCTION("""COMPUTED_VALUE"""),"Diaz Mendez")</f>
        <v>Diaz Mendez</v>
      </c>
      <c r="G3456" s="6" t="str">
        <f>IFERROR(__xludf.DUMMYFUNCTION("""COMPUTED_VALUE"""),"10/21/2010")</f>
        <v>10/21/2010</v>
      </c>
      <c r="H3456" s="6" t="str">
        <f>IFERROR(__xludf.DUMMYFUNCTION("""COMPUTED_VALUE"""),"Self Identify")</f>
        <v>Self Identify</v>
      </c>
      <c r="I3456" s="6" t="str">
        <f>IFERROR(__xludf.DUMMYFUNCTION("""COMPUTED_VALUE"""),"High School")</f>
        <v>High School</v>
      </c>
      <c r="J3456" s="6" t="str">
        <f>IFERROR(__xludf.DUMMYFUNCTION("""COMPUTED_VALUE"""),"9")</f>
        <v>9</v>
      </c>
      <c r="K3456" s="6" t="str">
        <f>IFERROR(__xludf.DUMMYFUNCTION("""COMPUTED_VALUE"""),"emanuel_diazmendez@stu.ortrail.k12.or.us")</f>
        <v>emanuel_diazmendez@stu.ortrail.k12.or.us</v>
      </c>
      <c r="L3456" s="6" t="str">
        <f>IFERROR(__xludf.DUMMYFUNCTION("""COMPUTED_VALUE"""),"Oregon Trail School District 46")</f>
        <v>Oregon Trail School District 46</v>
      </c>
      <c r="M3456" s="6" t="str">
        <f>IFERROR(__xludf.DUMMYFUNCTION("""COMPUTED_VALUE"""),"Sandy High School")</f>
        <v>Sandy High School</v>
      </c>
      <c r="N3456" s="6" t="str">
        <f>IFERROR(__xludf.DUMMYFUNCTION("""COMPUTED_VALUE"""),"")</f>
        <v/>
      </c>
      <c r="O3456" s="87" t="str">
        <f>IFERROR(__xludf.DUMMYFUNCTION("""COMPUTED_VALUE"""),"https://drive.google.com/drive/folders/10T2cTQHqEJZqE-st6uFKPoI?usp=share_link")</f>
        <v>https://drive.google.com/drive/folders/10T2cTQHqEJZqE-st6uFKPoI?usp=share_link</v>
      </c>
      <c r="P3456" s="6" t="str">
        <f>IFERROR(__xludf.DUMMYFUNCTION("""COMPUTED_VALUE"""),"Emanuel Diaz Mendez")</f>
        <v>Emanuel Diaz Mendez</v>
      </c>
      <c r="Q3456" s="6" t="str">
        <f>IFERROR(__xludf.DUMMYFUNCTION("""COMPUTED_VALUE"""),"HS")</f>
        <v>HS</v>
      </c>
      <c r="R3456" s="6">
        <f>IFERROR(__xludf.DUMMYFUNCTION("""COMPUTED_VALUE"""),0.0)</f>
        <v>0</v>
      </c>
      <c r="S3456" s="6" t="str">
        <f>IFERROR(__xludf.DUMMYFUNCTION("""COMPUTED_VALUE"""),"Trevor Jones")</f>
        <v>Trevor Jones</v>
      </c>
      <c r="T3456" s="6" t="str">
        <f>IFERROR(__xludf.DUMMYFUNCTION("""COMPUTED_VALUE"""),"trevor.jones@ortrail.k12.or.us")</f>
        <v>trevor.jones@ortrail.k12.or.us</v>
      </c>
      <c r="U3456" s="6" t="str">
        <f>IFERROR(__xludf.DUMMYFUNCTION("""COMPUTED_VALUE"""),"9")</f>
        <v>9</v>
      </c>
      <c r="V3456" s="6" t="str">
        <f>IFERROR(__xludf.DUMMYFUNCTION("""COMPUTED_VALUE"""),"English")</f>
        <v>English</v>
      </c>
      <c r="W3456" s="6" t="str">
        <f>IFERROR(__xludf.DUMMYFUNCTION("""COMPUTED_VALUE"""),"[]")</f>
        <v>[]</v>
      </c>
      <c r="X3456" s="6" t="str">
        <f>IFERROR(__xludf.DUMMYFUNCTION("""COMPUTED_VALUE"""),"Enrolled")</f>
        <v>Enrolled</v>
      </c>
    </row>
    <row r="3457">
      <c r="A3457" s="6" t="str">
        <f>IFERROR(__xludf.DUMMYFUNCTION("""COMPUTED_VALUE"""),"064-6465")</f>
        <v>064-6465</v>
      </c>
      <c r="B3457" s="6" t="str">
        <f>IFERROR(__xludf.DUMMYFUNCTION("""COMPUTED_VALUE"""),"64")</f>
        <v>64</v>
      </c>
      <c r="C3457" s="6" t="str">
        <f>IFERROR(__xludf.DUMMYFUNCTION("""COMPUTED_VALUE"""),"6465")</f>
        <v>6465</v>
      </c>
      <c r="D3457" s="6" t="str">
        <f>IFERROR(__xludf.DUMMYFUNCTION("""COMPUTED_VALUE"""),"Harry")</f>
        <v>Harry</v>
      </c>
      <c r="E3457" s="6" t="str">
        <f>IFERROR(__xludf.DUMMYFUNCTION("""COMPUTED_VALUE"""),"")</f>
        <v/>
      </c>
      <c r="F3457" s="6" t="str">
        <f>IFERROR(__xludf.DUMMYFUNCTION("""COMPUTED_VALUE"""),"Evans")</f>
        <v>Evans</v>
      </c>
      <c r="G3457" s="6" t="str">
        <f>IFERROR(__xludf.DUMMYFUNCTION("""COMPUTED_VALUE"""),"02/25/2009")</f>
        <v>02/25/2009</v>
      </c>
      <c r="H3457" s="6" t="str">
        <f>IFERROR(__xludf.DUMMYFUNCTION("""COMPUTED_VALUE"""),"Self Identify")</f>
        <v>Self Identify</v>
      </c>
      <c r="I3457" s="6" t="str">
        <f>IFERROR(__xludf.DUMMYFUNCTION("""COMPUTED_VALUE"""),"High School")</f>
        <v>High School</v>
      </c>
      <c r="J3457" s="6" t="str">
        <f>IFERROR(__xludf.DUMMYFUNCTION("""COMPUTED_VALUE"""),"11")</f>
        <v>11</v>
      </c>
      <c r="K3457" s="6" t="str">
        <f>IFERROR(__xludf.DUMMYFUNCTION("""COMPUTED_VALUE"""),"harry_evans@stu.ortrail.k12.or.us")</f>
        <v>harry_evans@stu.ortrail.k12.or.us</v>
      </c>
      <c r="L3457" s="6" t="str">
        <f>IFERROR(__xludf.DUMMYFUNCTION("""COMPUTED_VALUE"""),"Oregon Trail School District 46")</f>
        <v>Oregon Trail School District 46</v>
      </c>
      <c r="M3457" s="6" t="str">
        <f>IFERROR(__xludf.DUMMYFUNCTION("""COMPUTED_VALUE"""),"Sandy High School")</f>
        <v>Sandy High School</v>
      </c>
      <c r="N3457" s="6" t="str">
        <f>IFERROR(__xludf.DUMMYFUNCTION("""COMPUTED_VALUE"""),"")</f>
        <v/>
      </c>
      <c r="O3457" s="87" t="str">
        <f>IFERROR(__xludf.DUMMYFUNCTION("""COMPUTED_VALUE"""),"https://drive.google.com/drive/folders/10T2cTQHqEJZqE-st6uFKPoI?usp=share_link")</f>
        <v>https://drive.google.com/drive/folders/10T2cTQHqEJZqE-st6uFKPoI?usp=share_link</v>
      </c>
      <c r="P3457" s="6" t="str">
        <f>IFERROR(__xludf.DUMMYFUNCTION("""COMPUTED_VALUE"""),"Harry Evans")</f>
        <v>Harry Evans</v>
      </c>
      <c r="Q3457" s="6" t="str">
        <f>IFERROR(__xludf.DUMMYFUNCTION("""COMPUTED_VALUE"""),"HS")</f>
        <v>HS</v>
      </c>
      <c r="R3457" s="6">
        <f>IFERROR(__xludf.DUMMYFUNCTION("""COMPUTED_VALUE"""),0.0)</f>
        <v>0</v>
      </c>
      <c r="S3457" s="6" t="str">
        <f>IFERROR(__xludf.DUMMYFUNCTION("""COMPUTED_VALUE"""),"Trevor Jones")</f>
        <v>Trevor Jones</v>
      </c>
      <c r="T3457" s="6" t="str">
        <f>IFERROR(__xludf.DUMMYFUNCTION("""COMPUTED_VALUE"""),"trevor.jones@ortrail.k12.or.us")</f>
        <v>trevor.jones@ortrail.k12.or.us</v>
      </c>
      <c r="U3457" s="6" t="str">
        <f>IFERROR(__xludf.DUMMYFUNCTION("""COMPUTED_VALUE"""),"11")</f>
        <v>11</v>
      </c>
      <c r="V3457" s="6" t="str">
        <f>IFERROR(__xludf.DUMMYFUNCTION("""COMPUTED_VALUE"""),"English")</f>
        <v>English</v>
      </c>
      <c r="W3457" s="6" t="str">
        <f>IFERROR(__xludf.DUMMYFUNCTION("""COMPUTED_VALUE"""),"[]")</f>
        <v>[]</v>
      </c>
      <c r="X3457" s="6" t="str">
        <f>IFERROR(__xludf.DUMMYFUNCTION("""COMPUTED_VALUE"""),"Enrolled")</f>
        <v>Enrolled</v>
      </c>
    </row>
    <row r="3458">
      <c r="A3458" s="6" t="str">
        <f>IFERROR(__xludf.DUMMYFUNCTION("""COMPUTED_VALUE"""),"064-6468")</f>
        <v>064-6468</v>
      </c>
      <c r="B3458" s="6" t="str">
        <f>IFERROR(__xludf.DUMMYFUNCTION("""COMPUTED_VALUE"""),"64")</f>
        <v>64</v>
      </c>
      <c r="C3458" s="6" t="str">
        <f>IFERROR(__xludf.DUMMYFUNCTION("""COMPUTED_VALUE"""),"6468")</f>
        <v>6468</v>
      </c>
      <c r="D3458" s="6" t="str">
        <f>IFERROR(__xludf.DUMMYFUNCTION("""COMPUTED_VALUE"""),"Elizabeth")</f>
        <v>Elizabeth</v>
      </c>
      <c r="E3458" s="6" t="str">
        <f>IFERROR(__xludf.DUMMYFUNCTION("""COMPUTED_VALUE"""),"")</f>
        <v/>
      </c>
      <c r="F3458" s="6" t="str">
        <f>IFERROR(__xludf.DUMMYFUNCTION("""COMPUTED_VALUE"""),"Moya-Alcocer")</f>
        <v>Moya-Alcocer</v>
      </c>
      <c r="G3458" s="6" t="str">
        <f>IFERROR(__xludf.DUMMYFUNCTION("""COMPUTED_VALUE"""),"09/25/2008")</f>
        <v>09/25/2008</v>
      </c>
      <c r="H3458" s="6" t="str">
        <f>IFERROR(__xludf.DUMMYFUNCTION("""COMPUTED_VALUE"""),"Self Identify")</f>
        <v>Self Identify</v>
      </c>
      <c r="I3458" s="6" t="str">
        <f>IFERROR(__xludf.DUMMYFUNCTION("""COMPUTED_VALUE"""),"High School")</f>
        <v>High School</v>
      </c>
      <c r="J3458" s="6" t="str">
        <f>IFERROR(__xludf.DUMMYFUNCTION("""COMPUTED_VALUE"""),"11")</f>
        <v>11</v>
      </c>
      <c r="K3458" s="6" t="str">
        <f>IFERROR(__xludf.DUMMYFUNCTION("""COMPUTED_VALUE"""),"elizabeth_moyaalcoce@stu.ortrail.k12.or.us")</f>
        <v>elizabeth_moyaalcoce@stu.ortrail.k12.or.us</v>
      </c>
      <c r="L3458" s="6" t="str">
        <f>IFERROR(__xludf.DUMMYFUNCTION("""COMPUTED_VALUE"""),"Oregon Trail School District 46")</f>
        <v>Oregon Trail School District 46</v>
      </c>
      <c r="M3458" s="6" t="str">
        <f>IFERROR(__xludf.DUMMYFUNCTION("""COMPUTED_VALUE"""),"Sandy High School")</f>
        <v>Sandy High School</v>
      </c>
      <c r="N3458" s="6" t="str">
        <f>IFERROR(__xludf.DUMMYFUNCTION("""COMPUTED_VALUE"""),"")</f>
        <v/>
      </c>
      <c r="O3458" s="87" t="str">
        <f>IFERROR(__xludf.DUMMYFUNCTION("""COMPUTED_VALUE"""),"https://drive.google.com/drive/folders/10T2cTQHqEJZqE-st6uFKPoI?usp=share_link")</f>
        <v>https://drive.google.com/drive/folders/10T2cTQHqEJZqE-st6uFKPoI?usp=share_link</v>
      </c>
      <c r="P3458" s="6" t="str">
        <f>IFERROR(__xludf.DUMMYFUNCTION("""COMPUTED_VALUE"""),"Elizabeth Moya-Alcocer")</f>
        <v>Elizabeth Moya-Alcocer</v>
      </c>
      <c r="Q3458" s="6" t="str">
        <f>IFERROR(__xludf.DUMMYFUNCTION("""COMPUTED_VALUE"""),"HS")</f>
        <v>HS</v>
      </c>
      <c r="R3458" s="6">
        <f>IFERROR(__xludf.DUMMYFUNCTION("""COMPUTED_VALUE"""),0.0)</f>
        <v>0</v>
      </c>
      <c r="S3458" s="6" t="str">
        <f>IFERROR(__xludf.DUMMYFUNCTION("""COMPUTED_VALUE"""),"Trevor Jones")</f>
        <v>Trevor Jones</v>
      </c>
      <c r="T3458" s="6" t="str">
        <f>IFERROR(__xludf.DUMMYFUNCTION("""COMPUTED_VALUE"""),"trevor.jones@ortrail.k12.or.us")</f>
        <v>trevor.jones@ortrail.k12.or.us</v>
      </c>
      <c r="U3458" s="6" t="str">
        <f>IFERROR(__xludf.DUMMYFUNCTION("""COMPUTED_VALUE"""),"11")</f>
        <v>11</v>
      </c>
      <c r="V3458" s="6" t="str">
        <f>IFERROR(__xludf.DUMMYFUNCTION("""COMPUTED_VALUE"""),"English")</f>
        <v>English</v>
      </c>
      <c r="W3458" s="6" t="str">
        <f>IFERROR(__xludf.DUMMYFUNCTION("""COMPUTED_VALUE"""),"[]")</f>
        <v>[]</v>
      </c>
      <c r="X3458" s="6" t="str">
        <f>IFERROR(__xludf.DUMMYFUNCTION("""COMPUTED_VALUE"""),"Enrolled")</f>
        <v>Enrolled</v>
      </c>
    </row>
    <row r="3459">
      <c r="A3459" s="6" t="str">
        <f>IFERROR(__xludf.DUMMYFUNCTION("""COMPUTED_VALUE"""),"064-6474")</f>
        <v>064-6474</v>
      </c>
      <c r="B3459" s="6" t="str">
        <f>IFERROR(__xludf.DUMMYFUNCTION("""COMPUTED_VALUE"""),"64")</f>
        <v>64</v>
      </c>
      <c r="C3459" s="6" t="str">
        <f>IFERROR(__xludf.DUMMYFUNCTION("""COMPUTED_VALUE"""),"6474")</f>
        <v>6474</v>
      </c>
      <c r="D3459" s="6" t="str">
        <f>IFERROR(__xludf.DUMMYFUNCTION("""COMPUTED_VALUE"""),"Nathan")</f>
        <v>Nathan</v>
      </c>
      <c r="E3459" s="6" t="str">
        <f>IFERROR(__xludf.DUMMYFUNCTION("""COMPUTED_VALUE"""),"")</f>
        <v/>
      </c>
      <c r="F3459" s="6" t="str">
        <f>IFERROR(__xludf.DUMMYFUNCTION("""COMPUTED_VALUE"""),"Gianni")</f>
        <v>Gianni</v>
      </c>
      <c r="G3459" s="6" t="str">
        <f>IFERROR(__xludf.DUMMYFUNCTION("""COMPUTED_VALUE"""),"12/26/2010")</f>
        <v>12/26/2010</v>
      </c>
      <c r="H3459" s="6" t="str">
        <f>IFERROR(__xludf.DUMMYFUNCTION("""COMPUTED_VALUE"""),"Self Identify")</f>
        <v>Self Identify</v>
      </c>
      <c r="I3459" s="6" t="str">
        <f>IFERROR(__xludf.DUMMYFUNCTION("""COMPUTED_VALUE"""),"High School")</f>
        <v>High School</v>
      </c>
      <c r="J3459" s="6" t="str">
        <f>IFERROR(__xludf.DUMMYFUNCTION("""COMPUTED_VALUE"""),"9")</f>
        <v>9</v>
      </c>
      <c r="K3459" s="6" t="str">
        <f>IFERROR(__xludf.DUMMYFUNCTION("""COMPUTED_VALUE"""),"nathan_gianni@stu.ortrail.k12.or.us")</f>
        <v>nathan_gianni@stu.ortrail.k12.or.us</v>
      </c>
      <c r="L3459" s="6" t="str">
        <f>IFERROR(__xludf.DUMMYFUNCTION("""COMPUTED_VALUE"""),"Oregon Trail School District 46")</f>
        <v>Oregon Trail School District 46</v>
      </c>
      <c r="M3459" s="6" t="str">
        <f>IFERROR(__xludf.DUMMYFUNCTION("""COMPUTED_VALUE"""),"Sandy High School")</f>
        <v>Sandy High School</v>
      </c>
      <c r="N3459" s="6" t="str">
        <f>IFERROR(__xludf.DUMMYFUNCTION("""COMPUTED_VALUE"""),"")</f>
        <v/>
      </c>
      <c r="O3459" s="87" t="str">
        <f>IFERROR(__xludf.DUMMYFUNCTION("""COMPUTED_VALUE"""),"https://drive.google.com/drive/folders/10T2cTQHqEJZqE-st6uFKPoI?usp=share_link")</f>
        <v>https://drive.google.com/drive/folders/10T2cTQHqEJZqE-st6uFKPoI?usp=share_link</v>
      </c>
      <c r="P3459" s="6" t="str">
        <f>IFERROR(__xludf.DUMMYFUNCTION("""COMPUTED_VALUE"""),"Nathan Gianni")</f>
        <v>Nathan Gianni</v>
      </c>
      <c r="Q3459" s="6" t="str">
        <f>IFERROR(__xludf.DUMMYFUNCTION("""COMPUTED_VALUE"""),"HS")</f>
        <v>HS</v>
      </c>
      <c r="R3459" s="6">
        <f>IFERROR(__xludf.DUMMYFUNCTION("""COMPUTED_VALUE"""),0.0)</f>
        <v>0</v>
      </c>
      <c r="S3459" s="6" t="str">
        <f>IFERROR(__xludf.DUMMYFUNCTION("""COMPUTED_VALUE"""),"Trevor Jones")</f>
        <v>Trevor Jones</v>
      </c>
      <c r="T3459" s="6" t="str">
        <f>IFERROR(__xludf.DUMMYFUNCTION("""COMPUTED_VALUE"""),"trevor.jones@ortrail.k12.or.us")</f>
        <v>trevor.jones@ortrail.k12.or.us</v>
      </c>
      <c r="U3459" s="6" t="str">
        <f>IFERROR(__xludf.DUMMYFUNCTION("""COMPUTED_VALUE"""),"9")</f>
        <v>9</v>
      </c>
      <c r="V3459" s="6" t="str">
        <f>IFERROR(__xludf.DUMMYFUNCTION("""COMPUTED_VALUE"""),"English")</f>
        <v>English</v>
      </c>
      <c r="W3459" s="6" t="str">
        <f>IFERROR(__xludf.DUMMYFUNCTION("""COMPUTED_VALUE"""),"[]")</f>
        <v>[]</v>
      </c>
      <c r="X3459" s="6" t="str">
        <f>IFERROR(__xludf.DUMMYFUNCTION("""COMPUTED_VALUE"""),"Enrolled")</f>
        <v>Enrolled</v>
      </c>
    </row>
    <row r="3460">
      <c r="A3460" s="6" t="str">
        <f>IFERROR(__xludf.DUMMYFUNCTION("""COMPUTED_VALUE"""),"064-6475")</f>
        <v>064-6475</v>
      </c>
      <c r="B3460" s="6" t="str">
        <f>IFERROR(__xludf.DUMMYFUNCTION("""COMPUTED_VALUE"""),"64")</f>
        <v>64</v>
      </c>
      <c r="C3460" s="6" t="str">
        <f>IFERROR(__xludf.DUMMYFUNCTION("""COMPUTED_VALUE"""),"6475")</f>
        <v>6475</v>
      </c>
      <c r="D3460" s="6" t="str">
        <f>IFERROR(__xludf.DUMMYFUNCTION("""COMPUTED_VALUE"""),"Aidyn")</f>
        <v>Aidyn</v>
      </c>
      <c r="E3460" s="6" t="str">
        <f>IFERROR(__xludf.DUMMYFUNCTION("""COMPUTED_VALUE"""),"")</f>
        <v/>
      </c>
      <c r="F3460" s="6" t="str">
        <f>IFERROR(__xludf.DUMMYFUNCTION("""COMPUTED_VALUE"""),"Harshman")</f>
        <v>Harshman</v>
      </c>
      <c r="G3460" s="6" t="str">
        <f>IFERROR(__xludf.DUMMYFUNCTION("""COMPUTED_VALUE"""),"05/06/2011")</f>
        <v>05/06/2011</v>
      </c>
      <c r="H3460" s="6" t="str">
        <f>IFERROR(__xludf.DUMMYFUNCTION("""COMPUTED_VALUE"""),"Self Identify")</f>
        <v>Self Identify</v>
      </c>
      <c r="I3460" s="6" t="str">
        <f>IFERROR(__xludf.DUMMYFUNCTION("""COMPUTED_VALUE"""),"High School")</f>
        <v>High School</v>
      </c>
      <c r="J3460" s="6" t="str">
        <f>IFERROR(__xludf.DUMMYFUNCTION("""COMPUTED_VALUE"""),"9")</f>
        <v>9</v>
      </c>
      <c r="K3460" s="6" t="str">
        <f>IFERROR(__xludf.DUMMYFUNCTION("""COMPUTED_VALUE"""),"aidyn_harshman@stu.ortrail.k12.or.us")</f>
        <v>aidyn_harshman@stu.ortrail.k12.or.us</v>
      </c>
      <c r="L3460" s="6" t="str">
        <f>IFERROR(__xludf.DUMMYFUNCTION("""COMPUTED_VALUE"""),"Oregon Trail School District 46")</f>
        <v>Oregon Trail School District 46</v>
      </c>
      <c r="M3460" s="6" t="str">
        <f>IFERROR(__xludf.DUMMYFUNCTION("""COMPUTED_VALUE"""),"Sandy High School")</f>
        <v>Sandy High School</v>
      </c>
      <c r="N3460" s="6" t="str">
        <f>IFERROR(__xludf.DUMMYFUNCTION("""COMPUTED_VALUE"""),"")</f>
        <v/>
      </c>
      <c r="O3460" s="87" t="str">
        <f>IFERROR(__xludf.DUMMYFUNCTION("""COMPUTED_VALUE"""),"https://drive.google.com/drive/folders/10T2cTQHqEJZqE-st6uFKPoI?usp=share_link")</f>
        <v>https://drive.google.com/drive/folders/10T2cTQHqEJZqE-st6uFKPoI?usp=share_link</v>
      </c>
      <c r="P3460" s="6" t="str">
        <f>IFERROR(__xludf.DUMMYFUNCTION("""COMPUTED_VALUE"""),"Aidyn Harshman")</f>
        <v>Aidyn Harshman</v>
      </c>
      <c r="Q3460" s="6" t="str">
        <f>IFERROR(__xludf.DUMMYFUNCTION("""COMPUTED_VALUE"""),"HS")</f>
        <v>HS</v>
      </c>
      <c r="R3460" s="6">
        <f>IFERROR(__xludf.DUMMYFUNCTION("""COMPUTED_VALUE"""),0.0)</f>
        <v>0</v>
      </c>
      <c r="S3460" s="6" t="str">
        <f>IFERROR(__xludf.DUMMYFUNCTION("""COMPUTED_VALUE"""),"Trevor Jones")</f>
        <v>Trevor Jones</v>
      </c>
      <c r="T3460" s="6" t="str">
        <f>IFERROR(__xludf.DUMMYFUNCTION("""COMPUTED_VALUE"""),"trevor.jones@ortrail.k12.or.us")</f>
        <v>trevor.jones@ortrail.k12.or.us</v>
      </c>
      <c r="U3460" s="6" t="str">
        <f>IFERROR(__xludf.DUMMYFUNCTION("""COMPUTED_VALUE"""),"9")</f>
        <v>9</v>
      </c>
      <c r="V3460" s="6" t="str">
        <f>IFERROR(__xludf.DUMMYFUNCTION("""COMPUTED_VALUE"""),"English")</f>
        <v>English</v>
      </c>
      <c r="W3460" s="6" t="str">
        <f>IFERROR(__xludf.DUMMYFUNCTION("""COMPUTED_VALUE"""),"[]")</f>
        <v>[]</v>
      </c>
      <c r="X3460" s="6" t="str">
        <f>IFERROR(__xludf.DUMMYFUNCTION("""COMPUTED_VALUE"""),"Enrolled")</f>
        <v>Enrolled</v>
      </c>
    </row>
    <row r="3461">
      <c r="A3461" s="6" t="str">
        <f>IFERROR(__xludf.DUMMYFUNCTION("""COMPUTED_VALUE"""),"064-6477")</f>
        <v>064-6477</v>
      </c>
      <c r="B3461" s="6" t="str">
        <f>IFERROR(__xludf.DUMMYFUNCTION("""COMPUTED_VALUE"""),"64")</f>
        <v>64</v>
      </c>
      <c r="C3461" s="6" t="str">
        <f>IFERROR(__xludf.DUMMYFUNCTION("""COMPUTED_VALUE"""),"6477")</f>
        <v>6477</v>
      </c>
      <c r="D3461" s="6" t="str">
        <f>IFERROR(__xludf.DUMMYFUNCTION("""COMPUTED_VALUE"""),"Conner")</f>
        <v>Conner</v>
      </c>
      <c r="E3461" s="6" t="str">
        <f>IFERROR(__xludf.DUMMYFUNCTION("""COMPUTED_VALUE"""),"")</f>
        <v/>
      </c>
      <c r="F3461" s="6" t="str">
        <f>IFERROR(__xludf.DUMMYFUNCTION("""COMPUTED_VALUE"""),"Kilburn")</f>
        <v>Kilburn</v>
      </c>
      <c r="G3461" s="6" t="str">
        <f>IFERROR(__xludf.DUMMYFUNCTION("""COMPUTED_VALUE"""),"08/15/2011")</f>
        <v>08/15/2011</v>
      </c>
      <c r="H3461" s="6" t="str">
        <f>IFERROR(__xludf.DUMMYFUNCTION("""COMPUTED_VALUE"""),"Self Identify")</f>
        <v>Self Identify</v>
      </c>
      <c r="I3461" s="6" t="str">
        <f>IFERROR(__xludf.DUMMYFUNCTION("""COMPUTED_VALUE"""),"High School")</f>
        <v>High School</v>
      </c>
      <c r="J3461" s="6" t="str">
        <f>IFERROR(__xludf.DUMMYFUNCTION("""COMPUTED_VALUE"""),"9")</f>
        <v>9</v>
      </c>
      <c r="K3461" s="6" t="str">
        <f>IFERROR(__xludf.DUMMYFUNCTION("""COMPUTED_VALUE"""),"conner_kilburn@stu.ortrail.k12.or.us")</f>
        <v>conner_kilburn@stu.ortrail.k12.or.us</v>
      </c>
      <c r="L3461" s="6" t="str">
        <f>IFERROR(__xludf.DUMMYFUNCTION("""COMPUTED_VALUE"""),"Oregon Trail School District 46")</f>
        <v>Oregon Trail School District 46</v>
      </c>
      <c r="M3461" s="6" t="str">
        <f>IFERROR(__xludf.DUMMYFUNCTION("""COMPUTED_VALUE"""),"Sandy High School")</f>
        <v>Sandy High School</v>
      </c>
      <c r="N3461" s="6" t="str">
        <f>IFERROR(__xludf.DUMMYFUNCTION("""COMPUTED_VALUE"""),"")</f>
        <v/>
      </c>
      <c r="O3461" s="87" t="str">
        <f>IFERROR(__xludf.DUMMYFUNCTION("""COMPUTED_VALUE"""),"https://drive.google.com/drive/folders/10T2cTQHqEJZqE-st6uFKPoI?usp=share_link")</f>
        <v>https://drive.google.com/drive/folders/10T2cTQHqEJZqE-st6uFKPoI?usp=share_link</v>
      </c>
      <c r="P3461" s="6" t="str">
        <f>IFERROR(__xludf.DUMMYFUNCTION("""COMPUTED_VALUE"""),"Conner Kilburn")</f>
        <v>Conner Kilburn</v>
      </c>
      <c r="Q3461" s="6" t="str">
        <f>IFERROR(__xludf.DUMMYFUNCTION("""COMPUTED_VALUE"""),"HS")</f>
        <v>HS</v>
      </c>
      <c r="R3461" s="6">
        <f>IFERROR(__xludf.DUMMYFUNCTION("""COMPUTED_VALUE"""),0.0)</f>
        <v>0</v>
      </c>
      <c r="S3461" s="6" t="str">
        <f>IFERROR(__xludf.DUMMYFUNCTION("""COMPUTED_VALUE"""),"Trevor Jones")</f>
        <v>Trevor Jones</v>
      </c>
      <c r="T3461" s="6" t="str">
        <f>IFERROR(__xludf.DUMMYFUNCTION("""COMPUTED_VALUE"""),"trevor.jones@ortrail.k12.or.us")</f>
        <v>trevor.jones@ortrail.k12.or.us</v>
      </c>
      <c r="U3461" s="6" t="str">
        <f>IFERROR(__xludf.DUMMYFUNCTION("""COMPUTED_VALUE"""),"9")</f>
        <v>9</v>
      </c>
      <c r="V3461" s="6" t="str">
        <f>IFERROR(__xludf.DUMMYFUNCTION("""COMPUTED_VALUE"""),"English")</f>
        <v>English</v>
      </c>
      <c r="W3461" s="6" t="str">
        <f>IFERROR(__xludf.DUMMYFUNCTION("""COMPUTED_VALUE"""),"[]")</f>
        <v>[]</v>
      </c>
      <c r="X3461" s="6" t="str">
        <f>IFERROR(__xludf.DUMMYFUNCTION("""COMPUTED_VALUE"""),"Enrolled")</f>
        <v>Enrolled</v>
      </c>
    </row>
    <row r="3462">
      <c r="A3462" s="6" t="str">
        <f>IFERROR(__xludf.DUMMYFUNCTION("""COMPUTED_VALUE"""),"064-6479")</f>
        <v>064-6479</v>
      </c>
      <c r="B3462" s="6" t="str">
        <f>IFERROR(__xludf.DUMMYFUNCTION("""COMPUTED_VALUE"""),"64")</f>
        <v>64</v>
      </c>
      <c r="C3462" s="6" t="str">
        <f>IFERROR(__xludf.DUMMYFUNCTION("""COMPUTED_VALUE"""),"6479")</f>
        <v>6479</v>
      </c>
      <c r="D3462" s="6" t="str">
        <f>IFERROR(__xludf.DUMMYFUNCTION("""COMPUTED_VALUE"""),"Austin")</f>
        <v>Austin</v>
      </c>
      <c r="E3462" s="6" t="str">
        <f>IFERROR(__xludf.DUMMYFUNCTION("""COMPUTED_VALUE"""),"")</f>
        <v/>
      </c>
      <c r="F3462" s="6" t="str">
        <f>IFERROR(__xludf.DUMMYFUNCTION("""COMPUTED_VALUE"""),"Wilson")</f>
        <v>Wilson</v>
      </c>
      <c r="G3462" s="6" t="str">
        <f>IFERROR(__xludf.DUMMYFUNCTION("""COMPUTED_VALUE"""),"02/01/2009")</f>
        <v>02/01/2009</v>
      </c>
      <c r="H3462" s="6" t="str">
        <f>IFERROR(__xludf.DUMMYFUNCTION("""COMPUTED_VALUE"""),"Self Identify")</f>
        <v>Self Identify</v>
      </c>
      <c r="I3462" s="6" t="str">
        <f>IFERROR(__xludf.DUMMYFUNCTION("""COMPUTED_VALUE"""),"High School")</f>
        <v>High School</v>
      </c>
      <c r="J3462" s="6" t="str">
        <f>IFERROR(__xludf.DUMMYFUNCTION("""COMPUTED_VALUE"""),"10")</f>
        <v>10</v>
      </c>
      <c r="K3462" s="6" t="str">
        <f>IFERROR(__xludf.DUMMYFUNCTION("""COMPUTED_VALUE"""),"austin_wilson@stu.ortrail.k12.or.us")</f>
        <v>austin_wilson@stu.ortrail.k12.or.us</v>
      </c>
      <c r="L3462" s="6" t="str">
        <f>IFERROR(__xludf.DUMMYFUNCTION("""COMPUTED_VALUE"""),"Oregon Trail School District 46")</f>
        <v>Oregon Trail School District 46</v>
      </c>
      <c r="M3462" s="6" t="str">
        <f>IFERROR(__xludf.DUMMYFUNCTION("""COMPUTED_VALUE"""),"Sandy High School")</f>
        <v>Sandy High School</v>
      </c>
      <c r="N3462" s="6" t="str">
        <f>IFERROR(__xludf.DUMMYFUNCTION("""COMPUTED_VALUE"""),"")</f>
        <v/>
      </c>
      <c r="O3462" s="87" t="str">
        <f>IFERROR(__xludf.DUMMYFUNCTION("""COMPUTED_VALUE"""),"https://drive.google.com/drive/folders/10T2cTQHqEJZqE-st6uFKPoI?usp=share_link")</f>
        <v>https://drive.google.com/drive/folders/10T2cTQHqEJZqE-st6uFKPoI?usp=share_link</v>
      </c>
      <c r="P3462" s="6" t="str">
        <f>IFERROR(__xludf.DUMMYFUNCTION("""COMPUTED_VALUE"""),"Austin Wilson")</f>
        <v>Austin Wilson</v>
      </c>
      <c r="Q3462" s="6" t="str">
        <f>IFERROR(__xludf.DUMMYFUNCTION("""COMPUTED_VALUE"""),"HS")</f>
        <v>HS</v>
      </c>
      <c r="R3462" s="6">
        <f>IFERROR(__xludf.DUMMYFUNCTION("""COMPUTED_VALUE"""),0.0)</f>
        <v>0</v>
      </c>
      <c r="S3462" s="6" t="str">
        <f>IFERROR(__xludf.DUMMYFUNCTION("""COMPUTED_VALUE"""),"Lindsay Polk")</f>
        <v>Lindsay Polk</v>
      </c>
      <c r="T3462" s="6" t="str">
        <f>IFERROR(__xludf.DUMMYFUNCTION("""COMPUTED_VALUE"""),"lindsay.polk@ortrail.k12.or.us")</f>
        <v>lindsay.polk@ortrail.k12.or.us</v>
      </c>
      <c r="U3462" s="6" t="str">
        <f>IFERROR(__xludf.DUMMYFUNCTION("""COMPUTED_VALUE"""),"10")</f>
        <v>10</v>
      </c>
      <c r="V3462" s="6" t="str">
        <f>IFERROR(__xludf.DUMMYFUNCTION("""COMPUTED_VALUE"""),"English")</f>
        <v>English</v>
      </c>
      <c r="W3462" s="6" t="str">
        <f>IFERROR(__xludf.DUMMYFUNCTION("""COMPUTED_VALUE"""),"[]")</f>
        <v>[]</v>
      </c>
      <c r="X3462" s="6" t="str">
        <f>IFERROR(__xludf.DUMMYFUNCTION("""COMPUTED_VALUE"""),"Enrolled")</f>
        <v>Enrolled</v>
      </c>
    </row>
    <row r="3463">
      <c r="A3463" s="6" t="str">
        <f>IFERROR(__xludf.DUMMYFUNCTION("""COMPUTED_VALUE"""),"064-6480")</f>
        <v>064-6480</v>
      </c>
      <c r="B3463" s="6" t="str">
        <f>IFERROR(__xludf.DUMMYFUNCTION("""COMPUTED_VALUE"""),"64")</f>
        <v>64</v>
      </c>
      <c r="C3463" s="6" t="str">
        <f>IFERROR(__xludf.DUMMYFUNCTION("""COMPUTED_VALUE"""),"6480")</f>
        <v>6480</v>
      </c>
      <c r="D3463" s="6" t="str">
        <f>IFERROR(__xludf.DUMMYFUNCTION("""COMPUTED_VALUE"""),"Mason")</f>
        <v>Mason</v>
      </c>
      <c r="E3463" s="6" t="str">
        <f>IFERROR(__xludf.DUMMYFUNCTION("""COMPUTED_VALUE"""),"")</f>
        <v/>
      </c>
      <c r="F3463" s="6" t="str">
        <f>IFERROR(__xludf.DUMMYFUNCTION("""COMPUTED_VALUE"""),"Anderson Sulffridge")</f>
        <v>Anderson Sulffridge</v>
      </c>
      <c r="G3463" s="6" t="str">
        <f>IFERROR(__xludf.DUMMYFUNCTION("""COMPUTED_VALUE"""),"04/15/2011")</f>
        <v>04/15/2011</v>
      </c>
      <c r="H3463" s="6" t="str">
        <f>IFERROR(__xludf.DUMMYFUNCTION("""COMPUTED_VALUE"""),"Self Identify")</f>
        <v>Self Identify</v>
      </c>
      <c r="I3463" s="6" t="str">
        <f>IFERROR(__xludf.DUMMYFUNCTION("""COMPUTED_VALUE"""),"High School")</f>
        <v>High School</v>
      </c>
      <c r="J3463" s="6" t="str">
        <f>IFERROR(__xludf.DUMMYFUNCTION("""COMPUTED_VALUE"""),"9")</f>
        <v>9</v>
      </c>
      <c r="K3463" s="6" t="str">
        <f>IFERROR(__xludf.DUMMYFUNCTION("""COMPUTED_VALUE"""),"mason_andersonsulffr@stu.ortrail.k12.or.us")</f>
        <v>mason_andersonsulffr@stu.ortrail.k12.or.us</v>
      </c>
      <c r="L3463" s="6" t="str">
        <f>IFERROR(__xludf.DUMMYFUNCTION("""COMPUTED_VALUE"""),"Oregon Trail School District 46")</f>
        <v>Oregon Trail School District 46</v>
      </c>
      <c r="M3463" s="6" t="str">
        <f>IFERROR(__xludf.DUMMYFUNCTION("""COMPUTED_VALUE"""),"Sandy High School")</f>
        <v>Sandy High School</v>
      </c>
      <c r="N3463" s="6" t="str">
        <f>IFERROR(__xludf.DUMMYFUNCTION("""COMPUTED_VALUE"""),"")</f>
        <v/>
      </c>
      <c r="O3463" s="87" t="str">
        <f>IFERROR(__xludf.DUMMYFUNCTION("""COMPUTED_VALUE"""),"https://drive.google.com/drive/folders/10T2cTQHqEJZqE-st6uFKPoI?usp=share_link")</f>
        <v>https://drive.google.com/drive/folders/10T2cTQHqEJZqE-st6uFKPoI?usp=share_link</v>
      </c>
      <c r="P3463" s="6" t="str">
        <f>IFERROR(__xludf.DUMMYFUNCTION("""COMPUTED_VALUE"""),"Mason Anderson Sulffridge")</f>
        <v>Mason Anderson Sulffridge</v>
      </c>
      <c r="Q3463" s="6" t="str">
        <f>IFERROR(__xludf.DUMMYFUNCTION("""COMPUTED_VALUE"""),"HS")</f>
        <v>HS</v>
      </c>
      <c r="R3463" s="6">
        <f>IFERROR(__xludf.DUMMYFUNCTION("""COMPUTED_VALUE"""),0.0)</f>
        <v>0</v>
      </c>
      <c r="S3463" s="6" t="str">
        <f>IFERROR(__xludf.DUMMYFUNCTION("""COMPUTED_VALUE"""),"Trevor Jones")</f>
        <v>Trevor Jones</v>
      </c>
      <c r="T3463" s="6" t="str">
        <f>IFERROR(__xludf.DUMMYFUNCTION("""COMPUTED_VALUE"""),"trevor.jones@ortrail.k12.or.us")</f>
        <v>trevor.jones@ortrail.k12.or.us</v>
      </c>
      <c r="U3463" s="6" t="str">
        <f>IFERROR(__xludf.DUMMYFUNCTION("""COMPUTED_VALUE"""),"9")</f>
        <v>9</v>
      </c>
      <c r="V3463" s="6" t="str">
        <f>IFERROR(__xludf.DUMMYFUNCTION("""COMPUTED_VALUE"""),"English")</f>
        <v>English</v>
      </c>
      <c r="W3463" s="6" t="str">
        <f>IFERROR(__xludf.DUMMYFUNCTION("""COMPUTED_VALUE"""),"[]")</f>
        <v>[]</v>
      </c>
      <c r="X3463" s="6" t="str">
        <f>IFERROR(__xludf.DUMMYFUNCTION("""COMPUTED_VALUE"""),"Enrolled")</f>
        <v>Enrolled</v>
      </c>
    </row>
    <row r="3464">
      <c r="A3464" s="6" t="str">
        <f>IFERROR(__xludf.DUMMYFUNCTION("""COMPUTED_VALUE"""),"064-6484")</f>
        <v>064-6484</v>
      </c>
      <c r="B3464" s="6" t="str">
        <f>IFERROR(__xludf.DUMMYFUNCTION("""COMPUTED_VALUE"""),"64")</f>
        <v>64</v>
      </c>
      <c r="C3464" s="6" t="str">
        <f>IFERROR(__xludf.DUMMYFUNCTION("""COMPUTED_VALUE"""),"6484")</f>
        <v>6484</v>
      </c>
      <c r="D3464" s="6" t="str">
        <f>IFERROR(__xludf.DUMMYFUNCTION("""COMPUTED_VALUE"""),"Liam")</f>
        <v>Liam</v>
      </c>
      <c r="E3464" s="6" t="str">
        <f>IFERROR(__xludf.DUMMYFUNCTION("""COMPUTED_VALUE"""),"")</f>
        <v/>
      </c>
      <c r="F3464" s="6" t="str">
        <f>IFERROR(__xludf.DUMMYFUNCTION("""COMPUTED_VALUE"""),"McBroom")</f>
        <v>McBroom</v>
      </c>
      <c r="G3464" s="6" t="str">
        <f>IFERROR(__xludf.DUMMYFUNCTION("""COMPUTED_VALUE"""),"08/13/2010")</f>
        <v>08/13/2010</v>
      </c>
      <c r="H3464" s="6" t="str">
        <f>IFERROR(__xludf.DUMMYFUNCTION("""COMPUTED_VALUE"""),"Self Identify")</f>
        <v>Self Identify</v>
      </c>
      <c r="I3464" s="6" t="str">
        <f>IFERROR(__xludf.DUMMYFUNCTION("""COMPUTED_VALUE"""),"High School")</f>
        <v>High School</v>
      </c>
      <c r="J3464" s="6" t="str">
        <f>IFERROR(__xludf.DUMMYFUNCTION("""COMPUTED_VALUE"""),"9")</f>
        <v>9</v>
      </c>
      <c r="K3464" s="6" t="str">
        <f>IFERROR(__xludf.DUMMYFUNCTION("""COMPUTED_VALUE"""),"liam_mcbroom@stu.ortrail.k12.or.us")</f>
        <v>liam_mcbroom@stu.ortrail.k12.or.us</v>
      </c>
      <c r="L3464" s="6" t="str">
        <f>IFERROR(__xludf.DUMMYFUNCTION("""COMPUTED_VALUE"""),"Oregon Trail School District 46")</f>
        <v>Oregon Trail School District 46</v>
      </c>
      <c r="M3464" s="6" t="str">
        <f>IFERROR(__xludf.DUMMYFUNCTION("""COMPUTED_VALUE"""),"Sandy High School")</f>
        <v>Sandy High School</v>
      </c>
      <c r="N3464" s="6" t="str">
        <f>IFERROR(__xludf.DUMMYFUNCTION("""COMPUTED_VALUE"""),"")</f>
        <v/>
      </c>
      <c r="O3464" s="87" t="str">
        <f>IFERROR(__xludf.DUMMYFUNCTION("""COMPUTED_VALUE"""),"https://drive.google.com/drive/folders/10T2cTQHqEJZqE-st6uFKPoI?usp=share_link")</f>
        <v>https://drive.google.com/drive/folders/10T2cTQHqEJZqE-st6uFKPoI?usp=share_link</v>
      </c>
      <c r="P3464" s="6" t="str">
        <f>IFERROR(__xludf.DUMMYFUNCTION("""COMPUTED_VALUE"""),"Liam McBroom")</f>
        <v>Liam McBroom</v>
      </c>
      <c r="Q3464" s="6" t="str">
        <f>IFERROR(__xludf.DUMMYFUNCTION("""COMPUTED_VALUE"""),"HS")</f>
        <v>HS</v>
      </c>
      <c r="R3464" s="6">
        <f>IFERROR(__xludf.DUMMYFUNCTION("""COMPUTED_VALUE"""),0.0)</f>
        <v>0</v>
      </c>
      <c r="S3464" s="6" t="str">
        <f>IFERROR(__xludf.DUMMYFUNCTION("""COMPUTED_VALUE"""),"Trevor Jones")</f>
        <v>Trevor Jones</v>
      </c>
      <c r="T3464" s="6" t="str">
        <f>IFERROR(__xludf.DUMMYFUNCTION("""COMPUTED_VALUE"""),"trevor.jones@ortrail.k12.or.us")</f>
        <v>trevor.jones@ortrail.k12.or.us</v>
      </c>
      <c r="U3464" s="6" t="str">
        <f>IFERROR(__xludf.DUMMYFUNCTION("""COMPUTED_VALUE"""),"9")</f>
        <v>9</v>
      </c>
      <c r="V3464" s="6" t="str">
        <f>IFERROR(__xludf.DUMMYFUNCTION("""COMPUTED_VALUE"""),"English")</f>
        <v>English</v>
      </c>
      <c r="W3464" s="6" t="str">
        <f>IFERROR(__xludf.DUMMYFUNCTION("""COMPUTED_VALUE"""),"[]")</f>
        <v>[]</v>
      </c>
      <c r="X3464" s="6" t="str">
        <f>IFERROR(__xludf.DUMMYFUNCTION("""COMPUTED_VALUE"""),"Enrolled")</f>
        <v>Enrolled</v>
      </c>
    </row>
    <row r="3465">
      <c r="A3465" s="6" t="str">
        <f>IFERROR(__xludf.DUMMYFUNCTION("""COMPUTED_VALUE"""),"064-6486")</f>
        <v>064-6486</v>
      </c>
      <c r="B3465" s="6" t="str">
        <f>IFERROR(__xludf.DUMMYFUNCTION("""COMPUTED_VALUE"""),"64")</f>
        <v>64</v>
      </c>
      <c r="C3465" s="6" t="str">
        <f>IFERROR(__xludf.DUMMYFUNCTION("""COMPUTED_VALUE"""),"6486")</f>
        <v>6486</v>
      </c>
      <c r="D3465" s="6" t="str">
        <f>IFERROR(__xludf.DUMMYFUNCTION("""COMPUTED_VALUE"""),"Adelynn")</f>
        <v>Adelynn</v>
      </c>
      <c r="E3465" s="6" t="str">
        <f>IFERROR(__xludf.DUMMYFUNCTION("""COMPUTED_VALUE"""),"")</f>
        <v/>
      </c>
      <c r="F3465" s="6" t="str">
        <f>IFERROR(__xludf.DUMMYFUNCTION("""COMPUTED_VALUE"""),"Nutting")</f>
        <v>Nutting</v>
      </c>
      <c r="G3465" s="6" t="str">
        <f>IFERROR(__xludf.DUMMYFUNCTION("""COMPUTED_VALUE"""),"09/17/2010")</f>
        <v>09/17/2010</v>
      </c>
      <c r="H3465" s="6" t="str">
        <f>IFERROR(__xludf.DUMMYFUNCTION("""COMPUTED_VALUE"""),"Self Identify")</f>
        <v>Self Identify</v>
      </c>
      <c r="I3465" s="6" t="str">
        <f>IFERROR(__xludf.DUMMYFUNCTION("""COMPUTED_VALUE"""),"High School")</f>
        <v>High School</v>
      </c>
      <c r="J3465" s="6" t="str">
        <f>IFERROR(__xludf.DUMMYFUNCTION("""COMPUTED_VALUE"""),"9")</f>
        <v>9</v>
      </c>
      <c r="K3465" s="6" t="str">
        <f>IFERROR(__xludf.DUMMYFUNCTION("""COMPUTED_VALUE"""),"ady_nutting@stu.ortrail.k12.or.us")</f>
        <v>ady_nutting@stu.ortrail.k12.or.us</v>
      </c>
      <c r="L3465" s="6" t="str">
        <f>IFERROR(__xludf.DUMMYFUNCTION("""COMPUTED_VALUE"""),"Oregon Trail School District 46")</f>
        <v>Oregon Trail School District 46</v>
      </c>
      <c r="M3465" s="6" t="str">
        <f>IFERROR(__xludf.DUMMYFUNCTION("""COMPUTED_VALUE"""),"Sandy High School")</f>
        <v>Sandy High School</v>
      </c>
      <c r="N3465" s="6" t="str">
        <f>IFERROR(__xludf.DUMMYFUNCTION("""COMPUTED_VALUE"""),"")</f>
        <v/>
      </c>
      <c r="O3465" s="87" t="str">
        <f>IFERROR(__xludf.DUMMYFUNCTION("""COMPUTED_VALUE"""),"https://drive.google.com/drive/folders/10T2cTQHqEJZqE-st6uFKPoI?usp=share_link")</f>
        <v>https://drive.google.com/drive/folders/10T2cTQHqEJZqE-st6uFKPoI?usp=share_link</v>
      </c>
      <c r="P3465" s="6" t="str">
        <f>IFERROR(__xludf.DUMMYFUNCTION("""COMPUTED_VALUE"""),"Adelynn Nutting")</f>
        <v>Adelynn Nutting</v>
      </c>
      <c r="Q3465" s="6" t="str">
        <f>IFERROR(__xludf.DUMMYFUNCTION("""COMPUTED_VALUE"""),"HS")</f>
        <v>HS</v>
      </c>
      <c r="R3465" s="6">
        <f>IFERROR(__xludf.DUMMYFUNCTION("""COMPUTED_VALUE"""),0.0)</f>
        <v>0</v>
      </c>
      <c r="S3465" s="6" t="str">
        <f>IFERROR(__xludf.DUMMYFUNCTION("""COMPUTED_VALUE"""),"Taylor Sestric")</f>
        <v>Taylor Sestric</v>
      </c>
      <c r="T3465" s="6" t="str">
        <f>IFERROR(__xludf.DUMMYFUNCTION("""COMPUTED_VALUE"""),"taylor.fortin@ortrail.k12.or.us")</f>
        <v>taylor.fortin@ortrail.k12.or.us</v>
      </c>
      <c r="U3465" s="6" t="str">
        <f>IFERROR(__xludf.DUMMYFUNCTION("""COMPUTED_VALUE"""),"9")</f>
        <v>9</v>
      </c>
      <c r="V3465" s="6" t="str">
        <f>IFERROR(__xludf.DUMMYFUNCTION("""COMPUTED_VALUE"""),"English")</f>
        <v>English</v>
      </c>
      <c r="W3465" s="6" t="str">
        <f>IFERROR(__xludf.DUMMYFUNCTION("""COMPUTED_VALUE"""),"[]")</f>
        <v>[]</v>
      </c>
      <c r="X3465" s="6" t="str">
        <f>IFERROR(__xludf.DUMMYFUNCTION("""COMPUTED_VALUE"""),"Enrolled")</f>
        <v>Enrolled</v>
      </c>
    </row>
    <row r="3466">
      <c r="A3466" s="6" t="str">
        <f>IFERROR(__xludf.DUMMYFUNCTION("""COMPUTED_VALUE"""),"064-6489")</f>
        <v>064-6489</v>
      </c>
      <c r="B3466" s="6" t="str">
        <f>IFERROR(__xludf.DUMMYFUNCTION("""COMPUTED_VALUE"""),"64")</f>
        <v>64</v>
      </c>
      <c r="C3466" s="6" t="str">
        <f>IFERROR(__xludf.DUMMYFUNCTION("""COMPUTED_VALUE"""),"6489")</f>
        <v>6489</v>
      </c>
      <c r="D3466" s="6" t="str">
        <f>IFERROR(__xludf.DUMMYFUNCTION("""COMPUTED_VALUE"""),"Trenton")</f>
        <v>Trenton</v>
      </c>
      <c r="E3466" s="6" t="str">
        <f>IFERROR(__xludf.DUMMYFUNCTION("""COMPUTED_VALUE"""),"")</f>
        <v/>
      </c>
      <c r="F3466" s="6" t="str">
        <f>IFERROR(__xludf.DUMMYFUNCTION("""COMPUTED_VALUE"""),"Richardson")</f>
        <v>Richardson</v>
      </c>
      <c r="G3466" s="6" t="str">
        <f>IFERROR(__xludf.DUMMYFUNCTION("""COMPUTED_VALUE"""),"03/31/2009")</f>
        <v>03/31/2009</v>
      </c>
      <c r="H3466" s="6" t="str">
        <f>IFERROR(__xludf.DUMMYFUNCTION("""COMPUTED_VALUE"""),"Self Identify")</f>
        <v>Self Identify</v>
      </c>
      <c r="I3466" s="6" t="str">
        <f>IFERROR(__xludf.DUMMYFUNCTION("""COMPUTED_VALUE"""),"High School")</f>
        <v>High School</v>
      </c>
      <c r="J3466" s="6" t="str">
        <f>IFERROR(__xludf.DUMMYFUNCTION("""COMPUTED_VALUE"""),"11")</f>
        <v>11</v>
      </c>
      <c r="K3466" s="6" t="str">
        <f>IFERROR(__xludf.DUMMYFUNCTION("""COMPUTED_VALUE"""),"trenton_richardson@stu.ortrail.k12.or.us")</f>
        <v>trenton_richardson@stu.ortrail.k12.or.us</v>
      </c>
      <c r="L3466" s="6" t="str">
        <f>IFERROR(__xludf.DUMMYFUNCTION("""COMPUTED_VALUE"""),"Oregon Trail School District 46")</f>
        <v>Oregon Trail School District 46</v>
      </c>
      <c r="M3466" s="6" t="str">
        <f>IFERROR(__xludf.DUMMYFUNCTION("""COMPUTED_VALUE"""),"Sandy High School")</f>
        <v>Sandy High School</v>
      </c>
      <c r="N3466" s="6" t="str">
        <f>IFERROR(__xludf.DUMMYFUNCTION("""COMPUTED_VALUE"""),"")</f>
        <v/>
      </c>
      <c r="O3466" s="87" t="str">
        <f>IFERROR(__xludf.DUMMYFUNCTION("""COMPUTED_VALUE"""),"https://drive.google.com/drive/folders/10T2cTQHqEJZqE-st6uFKPoI?usp=share_link")</f>
        <v>https://drive.google.com/drive/folders/10T2cTQHqEJZqE-st6uFKPoI?usp=share_link</v>
      </c>
      <c r="P3466" s="6" t="str">
        <f>IFERROR(__xludf.DUMMYFUNCTION("""COMPUTED_VALUE"""),"Trenton Richardson")</f>
        <v>Trenton Richardson</v>
      </c>
      <c r="Q3466" s="6" t="str">
        <f>IFERROR(__xludf.DUMMYFUNCTION("""COMPUTED_VALUE"""),"HS")</f>
        <v>HS</v>
      </c>
      <c r="R3466" s="6">
        <f>IFERROR(__xludf.DUMMYFUNCTION("""COMPUTED_VALUE"""),0.0)</f>
        <v>0</v>
      </c>
      <c r="S3466" s="6" t="str">
        <f>IFERROR(__xludf.DUMMYFUNCTION("""COMPUTED_VALUE"""),"Molly Marple")</f>
        <v>Molly Marple</v>
      </c>
      <c r="T3466" s="6" t="str">
        <f>IFERROR(__xludf.DUMMYFUNCTION("""COMPUTED_VALUE"""),"molly.marple@ortrail.k12.or.us")</f>
        <v>molly.marple@ortrail.k12.or.us</v>
      </c>
      <c r="U3466" s="6" t="str">
        <f>IFERROR(__xludf.DUMMYFUNCTION("""COMPUTED_VALUE"""),"11")</f>
        <v>11</v>
      </c>
      <c r="V3466" s="6" t="str">
        <f>IFERROR(__xludf.DUMMYFUNCTION("""COMPUTED_VALUE"""),"English")</f>
        <v>English</v>
      </c>
      <c r="W3466" s="6" t="str">
        <f>IFERROR(__xludf.DUMMYFUNCTION("""COMPUTED_VALUE"""),"[]")</f>
        <v>[]</v>
      </c>
      <c r="X3466" s="6" t="str">
        <f>IFERROR(__xludf.DUMMYFUNCTION("""COMPUTED_VALUE"""),"Enrolled")</f>
        <v>Enrolled</v>
      </c>
    </row>
    <row r="3467">
      <c r="A3467" s="6" t="str">
        <f>IFERROR(__xludf.DUMMYFUNCTION("""COMPUTED_VALUE"""),"064-6492")</f>
        <v>064-6492</v>
      </c>
      <c r="B3467" s="6" t="str">
        <f>IFERROR(__xludf.DUMMYFUNCTION("""COMPUTED_VALUE"""),"64")</f>
        <v>64</v>
      </c>
      <c r="C3467" s="6" t="str">
        <f>IFERROR(__xludf.DUMMYFUNCTION("""COMPUTED_VALUE"""),"6492")</f>
        <v>6492</v>
      </c>
      <c r="D3467" s="6" t="str">
        <f>IFERROR(__xludf.DUMMYFUNCTION("""COMPUTED_VALUE"""),"Jayden")</f>
        <v>Jayden</v>
      </c>
      <c r="E3467" s="6" t="str">
        <f>IFERROR(__xludf.DUMMYFUNCTION("""COMPUTED_VALUE"""),"")</f>
        <v/>
      </c>
      <c r="F3467" s="6" t="str">
        <f>IFERROR(__xludf.DUMMYFUNCTION("""COMPUTED_VALUE"""),"Woodward-Schaffer")</f>
        <v>Woodward-Schaffer</v>
      </c>
      <c r="G3467" s="6" t="str">
        <f>IFERROR(__xludf.DUMMYFUNCTION("""COMPUTED_VALUE"""),"08/25/2010")</f>
        <v>08/25/2010</v>
      </c>
      <c r="H3467" s="6" t="str">
        <f>IFERROR(__xludf.DUMMYFUNCTION("""COMPUTED_VALUE"""),"Self Identify")</f>
        <v>Self Identify</v>
      </c>
      <c r="I3467" s="6" t="str">
        <f>IFERROR(__xludf.DUMMYFUNCTION("""COMPUTED_VALUE"""),"High School")</f>
        <v>High School</v>
      </c>
      <c r="J3467" s="6" t="str">
        <f>IFERROR(__xludf.DUMMYFUNCTION("""COMPUTED_VALUE"""),"9")</f>
        <v>9</v>
      </c>
      <c r="K3467" s="6" t="str">
        <f>IFERROR(__xludf.DUMMYFUNCTION("""COMPUTED_VALUE"""),"remy_woodwardschaffe@stu.ortrail.k12.or.us")</f>
        <v>remy_woodwardschaffe@stu.ortrail.k12.or.us</v>
      </c>
      <c r="L3467" s="6" t="str">
        <f>IFERROR(__xludf.DUMMYFUNCTION("""COMPUTED_VALUE"""),"Oregon Trail School District 46")</f>
        <v>Oregon Trail School District 46</v>
      </c>
      <c r="M3467" s="6" t="str">
        <f>IFERROR(__xludf.DUMMYFUNCTION("""COMPUTED_VALUE"""),"Sandy High School")</f>
        <v>Sandy High School</v>
      </c>
      <c r="N3467" s="6" t="str">
        <f>IFERROR(__xludf.DUMMYFUNCTION("""COMPUTED_VALUE"""),"")</f>
        <v/>
      </c>
      <c r="O3467" s="87" t="str">
        <f>IFERROR(__xludf.DUMMYFUNCTION("""COMPUTED_VALUE"""),"https://drive.google.com/drive/folders/10T2cTQHqEJZqE-st6uFKPoI?usp=share_link")</f>
        <v>https://drive.google.com/drive/folders/10T2cTQHqEJZqE-st6uFKPoI?usp=share_link</v>
      </c>
      <c r="P3467" s="6" t="str">
        <f>IFERROR(__xludf.DUMMYFUNCTION("""COMPUTED_VALUE"""),"Jayden Woodward-Schaffer")</f>
        <v>Jayden Woodward-Schaffer</v>
      </c>
      <c r="Q3467" s="6" t="str">
        <f>IFERROR(__xludf.DUMMYFUNCTION("""COMPUTED_VALUE"""),"HS")</f>
        <v>HS</v>
      </c>
      <c r="R3467" s="6">
        <f>IFERROR(__xludf.DUMMYFUNCTION("""COMPUTED_VALUE"""),0.0)</f>
        <v>0</v>
      </c>
      <c r="S3467" s="6" t="str">
        <f>IFERROR(__xludf.DUMMYFUNCTION("""COMPUTED_VALUE"""),"Trevor Jones")</f>
        <v>Trevor Jones</v>
      </c>
      <c r="T3467" s="6" t="str">
        <f>IFERROR(__xludf.DUMMYFUNCTION("""COMPUTED_VALUE"""),"trevor.jones@ortrail.k12.or.us")</f>
        <v>trevor.jones@ortrail.k12.or.us</v>
      </c>
      <c r="U3467" s="6" t="str">
        <f>IFERROR(__xludf.DUMMYFUNCTION("""COMPUTED_VALUE"""),"9")</f>
        <v>9</v>
      </c>
      <c r="V3467" s="6" t="str">
        <f>IFERROR(__xludf.DUMMYFUNCTION("""COMPUTED_VALUE"""),"English")</f>
        <v>English</v>
      </c>
      <c r="W3467" s="6" t="str">
        <f>IFERROR(__xludf.DUMMYFUNCTION("""COMPUTED_VALUE"""),"[]")</f>
        <v>[]</v>
      </c>
      <c r="X3467" s="6" t="str">
        <f>IFERROR(__xludf.DUMMYFUNCTION("""COMPUTED_VALUE"""),"Enrolled")</f>
        <v>Enrolled</v>
      </c>
    </row>
    <row r="3468">
      <c r="A3468" s="6" t="str">
        <f>IFERROR(__xludf.DUMMYFUNCTION("""COMPUTED_VALUE"""),"064-6494")</f>
        <v>064-6494</v>
      </c>
      <c r="B3468" s="6" t="str">
        <f>IFERROR(__xludf.DUMMYFUNCTION("""COMPUTED_VALUE"""),"64")</f>
        <v>64</v>
      </c>
      <c r="C3468" s="6" t="str">
        <f>IFERROR(__xludf.DUMMYFUNCTION("""COMPUTED_VALUE"""),"6494")</f>
        <v>6494</v>
      </c>
      <c r="D3468" s="6" t="str">
        <f>IFERROR(__xludf.DUMMYFUNCTION("""COMPUTED_VALUE"""),"Emma")</f>
        <v>Emma</v>
      </c>
      <c r="E3468" s="6" t="str">
        <f>IFERROR(__xludf.DUMMYFUNCTION("""COMPUTED_VALUE"""),"")</f>
        <v/>
      </c>
      <c r="F3468" s="6" t="str">
        <f>IFERROR(__xludf.DUMMYFUNCTION("""COMPUTED_VALUE"""),"Helbling")</f>
        <v>Helbling</v>
      </c>
      <c r="G3468" s="6" t="str">
        <f>IFERROR(__xludf.DUMMYFUNCTION("""COMPUTED_VALUE"""),"05/28/2009")</f>
        <v>05/28/2009</v>
      </c>
      <c r="H3468" s="6" t="str">
        <f>IFERROR(__xludf.DUMMYFUNCTION("""COMPUTED_VALUE"""),"Self Identify")</f>
        <v>Self Identify</v>
      </c>
      <c r="I3468" s="6" t="str">
        <f>IFERROR(__xludf.DUMMYFUNCTION("""COMPUTED_VALUE"""),"High School")</f>
        <v>High School</v>
      </c>
      <c r="J3468" s="6" t="str">
        <f>IFERROR(__xludf.DUMMYFUNCTION("""COMPUTED_VALUE"""),"11")</f>
        <v>11</v>
      </c>
      <c r="K3468" s="6" t="str">
        <f>IFERROR(__xludf.DUMMYFUNCTION("""COMPUTED_VALUE"""),"emma_helbling@stu.ortrail.k12.or.us")</f>
        <v>emma_helbling@stu.ortrail.k12.or.us</v>
      </c>
      <c r="L3468" s="6" t="str">
        <f>IFERROR(__xludf.DUMMYFUNCTION("""COMPUTED_VALUE"""),"Oregon Trail School District 46")</f>
        <v>Oregon Trail School District 46</v>
      </c>
      <c r="M3468" s="6" t="str">
        <f>IFERROR(__xludf.DUMMYFUNCTION("""COMPUTED_VALUE"""),"Sandy High School")</f>
        <v>Sandy High School</v>
      </c>
      <c r="N3468" s="6" t="str">
        <f>IFERROR(__xludf.DUMMYFUNCTION("""COMPUTED_VALUE"""),"")</f>
        <v/>
      </c>
      <c r="O3468" s="87" t="str">
        <f>IFERROR(__xludf.DUMMYFUNCTION("""COMPUTED_VALUE"""),"https://drive.google.com/drive/folders/10T2cTQHqEJZqE-st6uFKPoI?usp=share_link")</f>
        <v>https://drive.google.com/drive/folders/10T2cTQHqEJZqE-st6uFKPoI?usp=share_link</v>
      </c>
      <c r="P3468" s="6" t="str">
        <f>IFERROR(__xludf.DUMMYFUNCTION("""COMPUTED_VALUE"""),"Emma Helbling")</f>
        <v>Emma Helbling</v>
      </c>
      <c r="Q3468" s="6" t="str">
        <f>IFERROR(__xludf.DUMMYFUNCTION("""COMPUTED_VALUE"""),"HS")</f>
        <v>HS</v>
      </c>
      <c r="R3468" s="6">
        <f>IFERROR(__xludf.DUMMYFUNCTION("""COMPUTED_VALUE"""),0.0)</f>
        <v>0</v>
      </c>
      <c r="S3468" s="6" t="str">
        <f>IFERROR(__xludf.DUMMYFUNCTION("""COMPUTED_VALUE"""),"Trevor Jones")</f>
        <v>Trevor Jones</v>
      </c>
      <c r="T3468" s="6" t="str">
        <f>IFERROR(__xludf.DUMMYFUNCTION("""COMPUTED_VALUE"""),"trevor.jones@ortrail.k12.or.us")</f>
        <v>trevor.jones@ortrail.k12.or.us</v>
      </c>
      <c r="U3468" s="6" t="str">
        <f>IFERROR(__xludf.DUMMYFUNCTION("""COMPUTED_VALUE"""),"11")</f>
        <v>11</v>
      </c>
      <c r="V3468" s="6" t="str">
        <f>IFERROR(__xludf.DUMMYFUNCTION("""COMPUTED_VALUE"""),"English")</f>
        <v>English</v>
      </c>
      <c r="W3468" s="6" t="str">
        <f>IFERROR(__xludf.DUMMYFUNCTION("""COMPUTED_VALUE"""),"[]")</f>
        <v>[]</v>
      </c>
      <c r="X3468" s="6" t="str">
        <f>IFERROR(__xludf.DUMMYFUNCTION("""COMPUTED_VALUE"""),"Enrolled")</f>
        <v>Enrolled</v>
      </c>
    </row>
    <row r="3469">
      <c r="A3469" s="6" t="str">
        <f>IFERROR(__xludf.DUMMYFUNCTION("""COMPUTED_VALUE"""),"064-6496")</f>
        <v>064-6496</v>
      </c>
      <c r="B3469" s="6" t="str">
        <f>IFERROR(__xludf.DUMMYFUNCTION("""COMPUTED_VALUE"""),"64")</f>
        <v>64</v>
      </c>
      <c r="C3469" s="6" t="str">
        <f>IFERROR(__xludf.DUMMYFUNCTION("""COMPUTED_VALUE"""),"6496")</f>
        <v>6496</v>
      </c>
      <c r="D3469" s="6" t="str">
        <f>IFERROR(__xludf.DUMMYFUNCTION("""COMPUTED_VALUE"""),"Aspen")</f>
        <v>Aspen</v>
      </c>
      <c r="E3469" s="6" t="str">
        <f>IFERROR(__xludf.DUMMYFUNCTION("""COMPUTED_VALUE"""),"")</f>
        <v/>
      </c>
      <c r="F3469" s="6" t="str">
        <f>IFERROR(__xludf.DUMMYFUNCTION("""COMPUTED_VALUE"""),"Kidwell")</f>
        <v>Kidwell</v>
      </c>
      <c r="G3469" s="6" t="str">
        <f>IFERROR(__xludf.DUMMYFUNCTION("""COMPUTED_VALUE"""),"02/14/2011")</f>
        <v>02/14/2011</v>
      </c>
      <c r="H3469" s="6" t="str">
        <f>IFERROR(__xludf.DUMMYFUNCTION("""COMPUTED_VALUE"""),"Self Identify")</f>
        <v>Self Identify</v>
      </c>
      <c r="I3469" s="6" t="str">
        <f>IFERROR(__xludf.DUMMYFUNCTION("""COMPUTED_VALUE"""),"High School")</f>
        <v>High School</v>
      </c>
      <c r="J3469" s="6" t="str">
        <f>IFERROR(__xludf.DUMMYFUNCTION("""COMPUTED_VALUE"""),"9")</f>
        <v>9</v>
      </c>
      <c r="K3469" s="6" t="str">
        <f>IFERROR(__xludf.DUMMYFUNCTION("""COMPUTED_VALUE"""),"aspen_kidwell@stu.ortrail.k12.or.us")</f>
        <v>aspen_kidwell@stu.ortrail.k12.or.us</v>
      </c>
      <c r="L3469" s="6" t="str">
        <f>IFERROR(__xludf.DUMMYFUNCTION("""COMPUTED_VALUE"""),"Oregon Trail School District 46")</f>
        <v>Oregon Trail School District 46</v>
      </c>
      <c r="M3469" s="6" t="str">
        <f>IFERROR(__xludf.DUMMYFUNCTION("""COMPUTED_VALUE"""),"Sandy High School")</f>
        <v>Sandy High School</v>
      </c>
      <c r="N3469" s="6" t="str">
        <f>IFERROR(__xludf.DUMMYFUNCTION("""COMPUTED_VALUE"""),"")</f>
        <v/>
      </c>
      <c r="O3469" s="87" t="str">
        <f>IFERROR(__xludf.DUMMYFUNCTION("""COMPUTED_VALUE"""),"https://drive.google.com/drive/folders/10T2cTQHqEJZqE-st6uFKPoI?usp=share_link")</f>
        <v>https://drive.google.com/drive/folders/10T2cTQHqEJZqE-st6uFKPoI?usp=share_link</v>
      </c>
      <c r="P3469" s="6" t="str">
        <f>IFERROR(__xludf.DUMMYFUNCTION("""COMPUTED_VALUE"""),"Aspen Kidwell")</f>
        <v>Aspen Kidwell</v>
      </c>
      <c r="Q3469" s="6" t="str">
        <f>IFERROR(__xludf.DUMMYFUNCTION("""COMPUTED_VALUE"""),"HS")</f>
        <v>HS</v>
      </c>
      <c r="R3469" s="6">
        <f>IFERROR(__xludf.DUMMYFUNCTION("""COMPUTED_VALUE"""),0.0)</f>
        <v>0</v>
      </c>
      <c r="S3469" s="6" t="str">
        <f>IFERROR(__xludf.DUMMYFUNCTION("""COMPUTED_VALUE"""),"Trevor Jones")</f>
        <v>Trevor Jones</v>
      </c>
      <c r="T3469" s="6" t="str">
        <f>IFERROR(__xludf.DUMMYFUNCTION("""COMPUTED_VALUE"""),"trevor.jones@ortrail.k12.or.us")</f>
        <v>trevor.jones@ortrail.k12.or.us</v>
      </c>
      <c r="U3469" s="6" t="str">
        <f>IFERROR(__xludf.DUMMYFUNCTION("""COMPUTED_VALUE"""),"9")</f>
        <v>9</v>
      </c>
      <c r="V3469" s="6" t="str">
        <f>IFERROR(__xludf.DUMMYFUNCTION("""COMPUTED_VALUE"""),"English")</f>
        <v>English</v>
      </c>
      <c r="W3469" s="6" t="str">
        <f>IFERROR(__xludf.DUMMYFUNCTION("""COMPUTED_VALUE"""),"[]")</f>
        <v>[]</v>
      </c>
      <c r="X3469" s="6" t="str">
        <f>IFERROR(__xludf.DUMMYFUNCTION("""COMPUTED_VALUE"""),"Enrolled")</f>
        <v>Enrolled</v>
      </c>
    </row>
    <row r="3470">
      <c r="A3470" s="6" t="str">
        <f>IFERROR(__xludf.DUMMYFUNCTION("""COMPUTED_VALUE"""),"064-6499")</f>
        <v>064-6499</v>
      </c>
      <c r="B3470" s="6" t="str">
        <f>IFERROR(__xludf.DUMMYFUNCTION("""COMPUTED_VALUE"""),"64")</f>
        <v>64</v>
      </c>
      <c r="C3470" s="6" t="str">
        <f>IFERROR(__xludf.DUMMYFUNCTION("""COMPUTED_VALUE"""),"6499")</f>
        <v>6499</v>
      </c>
      <c r="D3470" s="6" t="str">
        <f>IFERROR(__xludf.DUMMYFUNCTION("""COMPUTED_VALUE"""),"Aidan")</f>
        <v>Aidan</v>
      </c>
      <c r="E3470" s="6" t="str">
        <f>IFERROR(__xludf.DUMMYFUNCTION("""COMPUTED_VALUE"""),"")</f>
        <v/>
      </c>
      <c r="F3470" s="6" t="str">
        <f>IFERROR(__xludf.DUMMYFUNCTION("""COMPUTED_VALUE"""),"Rodriguez")</f>
        <v>Rodriguez</v>
      </c>
      <c r="G3470" s="6" t="str">
        <f>IFERROR(__xludf.DUMMYFUNCTION("""COMPUTED_VALUE"""),"07/30/2009")</f>
        <v>07/30/2009</v>
      </c>
      <c r="H3470" s="6" t="str">
        <f>IFERROR(__xludf.DUMMYFUNCTION("""COMPUTED_VALUE"""),"Self Identify")</f>
        <v>Self Identify</v>
      </c>
      <c r="I3470" s="6" t="str">
        <f>IFERROR(__xludf.DUMMYFUNCTION("""COMPUTED_VALUE"""),"High School")</f>
        <v>High School</v>
      </c>
      <c r="J3470" s="6" t="str">
        <f>IFERROR(__xludf.DUMMYFUNCTION("""COMPUTED_VALUE"""),"10")</f>
        <v>10</v>
      </c>
      <c r="K3470" s="6" t="str">
        <f>IFERROR(__xludf.DUMMYFUNCTION("""COMPUTED_VALUE"""),"aidan_rodriguez@stu.ortrail.k12.or.us")</f>
        <v>aidan_rodriguez@stu.ortrail.k12.or.us</v>
      </c>
      <c r="L3470" s="6" t="str">
        <f>IFERROR(__xludf.DUMMYFUNCTION("""COMPUTED_VALUE"""),"Oregon Trail School District 46")</f>
        <v>Oregon Trail School District 46</v>
      </c>
      <c r="M3470" s="6" t="str">
        <f>IFERROR(__xludf.DUMMYFUNCTION("""COMPUTED_VALUE"""),"Sandy High School")</f>
        <v>Sandy High School</v>
      </c>
      <c r="N3470" s="6" t="str">
        <f>IFERROR(__xludf.DUMMYFUNCTION("""COMPUTED_VALUE"""),"")</f>
        <v/>
      </c>
      <c r="O3470" s="87" t="str">
        <f>IFERROR(__xludf.DUMMYFUNCTION("""COMPUTED_VALUE"""),"https://drive.google.com/drive/folders/10T2cTQHqEJZqE-st6uFKPoI?usp=share_link")</f>
        <v>https://drive.google.com/drive/folders/10T2cTQHqEJZqE-st6uFKPoI?usp=share_link</v>
      </c>
      <c r="P3470" s="6" t="str">
        <f>IFERROR(__xludf.DUMMYFUNCTION("""COMPUTED_VALUE"""),"Aidan Rodriguez")</f>
        <v>Aidan Rodriguez</v>
      </c>
      <c r="Q3470" s="6" t="str">
        <f>IFERROR(__xludf.DUMMYFUNCTION("""COMPUTED_VALUE"""),"HS")</f>
        <v>HS</v>
      </c>
      <c r="R3470" s="6">
        <f>IFERROR(__xludf.DUMMYFUNCTION("""COMPUTED_VALUE"""),0.0)</f>
        <v>0</v>
      </c>
      <c r="S3470" s="6" t="str">
        <f>IFERROR(__xludf.DUMMYFUNCTION("""COMPUTED_VALUE"""),"Lindsay Polk")</f>
        <v>Lindsay Polk</v>
      </c>
      <c r="T3470" s="6" t="str">
        <f>IFERROR(__xludf.DUMMYFUNCTION("""COMPUTED_VALUE"""),"lindsay.polk@ortrail.k12.or.us")</f>
        <v>lindsay.polk@ortrail.k12.or.us</v>
      </c>
      <c r="U3470" s="6" t="str">
        <f>IFERROR(__xludf.DUMMYFUNCTION("""COMPUTED_VALUE"""),"10")</f>
        <v>10</v>
      </c>
      <c r="V3470" s="6" t="str">
        <f>IFERROR(__xludf.DUMMYFUNCTION("""COMPUTED_VALUE"""),"English")</f>
        <v>English</v>
      </c>
      <c r="W3470" s="6" t="str">
        <f>IFERROR(__xludf.DUMMYFUNCTION("""COMPUTED_VALUE"""),"[]")</f>
        <v>[]</v>
      </c>
      <c r="X3470" s="6" t="str">
        <f>IFERROR(__xludf.DUMMYFUNCTION("""COMPUTED_VALUE"""),"Enrolled")</f>
        <v>Enrolled</v>
      </c>
    </row>
    <row r="3471">
      <c r="A3471" s="6" t="str">
        <f>IFERROR(__xludf.DUMMYFUNCTION("""COMPUTED_VALUE"""),"064-6500")</f>
        <v>064-6500</v>
      </c>
      <c r="B3471" s="6" t="str">
        <f>IFERROR(__xludf.DUMMYFUNCTION("""COMPUTED_VALUE"""),"64")</f>
        <v>64</v>
      </c>
      <c r="C3471" s="6" t="str">
        <f>IFERROR(__xludf.DUMMYFUNCTION("""COMPUTED_VALUE"""),"6500")</f>
        <v>6500</v>
      </c>
      <c r="D3471" s="6" t="str">
        <f>IFERROR(__xludf.DUMMYFUNCTION("""COMPUTED_VALUE"""),"Gavien")</f>
        <v>Gavien</v>
      </c>
      <c r="E3471" s="6" t="str">
        <f>IFERROR(__xludf.DUMMYFUNCTION("""COMPUTED_VALUE"""),"")</f>
        <v/>
      </c>
      <c r="F3471" s="6" t="str">
        <f>IFERROR(__xludf.DUMMYFUNCTION("""COMPUTED_VALUE"""),"Rodriguez")</f>
        <v>Rodriguez</v>
      </c>
      <c r="G3471" s="6" t="str">
        <f>IFERROR(__xludf.DUMMYFUNCTION("""COMPUTED_VALUE"""),"04/14/2009")</f>
        <v>04/14/2009</v>
      </c>
      <c r="H3471" s="6" t="str">
        <f>IFERROR(__xludf.DUMMYFUNCTION("""COMPUTED_VALUE"""),"Self Identify")</f>
        <v>Self Identify</v>
      </c>
      <c r="I3471" s="6" t="str">
        <f>IFERROR(__xludf.DUMMYFUNCTION("""COMPUTED_VALUE"""),"High School")</f>
        <v>High School</v>
      </c>
      <c r="J3471" s="6" t="str">
        <f>IFERROR(__xludf.DUMMYFUNCTION("""COMPUTED_VALUE"""),"11")</f>
        <v>11</v>
      </c>
      <c r="K3471" s="6" t="str">
        <f>IFERROR(__xludf.DUMMYFUNCTION("""COMPUTED_VALUE"""),"gavien_rodriguez@stu.ortrail.k12.or.us")</f>
        <v>gavien_rodriguez@stu.ortrail.k12.or.us</v>
      </c>
      <c r="L3471" s="6" t="str">
        <f>IFERROR(__xludf.DUMMYFUNCTION("""COMPUTED_VALUE"""),"Oregon Trail School District 46")</f>
        <v>Oregon Trail School District 46</v>
      </c>
      <c r="M3471" s="6" t="str">
        <f>IFERROR(__xludf.DUMMYFUNCTION("""COMPUTED_VALUE"""),"Sandy High School")</f>
        <v>Sandy High School</v>
      </c>
      <c r="N3471" s="6" t="str">
        <f>IFERROR(__xludf.DUMMYFUNCTION("""COMPUTED_VALUE"""),"")</f>
        <v/>
      </c>
      <c r="O3471" s="87" t="str">
        <f>IFERROR(__xludf.DUMMYFUNCTION("""COMPUTED_VALUE"""),"https://drive.google.com/drive/folders/10T2cTQHqEJZqE-st6uFKPoI?usp=share_link")</f>
        <v>https://drive.google.com/drive/folders/10T2cTQHqEJZqE-st6uFKPoI?usp=share_link</v>
      </c>
      <c r="P3471" s="6" t="str">
        <f>IFERROR(__xludf.DUMMYFUNCTION("""COMPUTED_VALUE"""),"Gavien Rodriguez")</f>
        <v>Gavien Rodriguez</v>
      </c>
      <c r="Q3471" s="6" t="str">
        <f>IFERROR(__xludf.DUMMYFUNCTION("""COMPUTED_VALUE"""),"HS")</f>
        <v>HS</v>
      </c>
      <c r="R3471" s="6">
        <f>IFERROR(__xludf.DUMMYFUNCTION("""COMPUTED_VALUE"""),0.0)</f>
        <v>0</v>
      </c>
      <c r="S3471" s="6" t="str">
        <f>IFERROR(__xludf.DUMMYFUNCTION("""COMPUTED_VALUE"""),"Trevor Jones")</f>
        <v>Trevor Jones</v>
      </c>
      <c r="T3471" s="6" t="str">
        <f>IFERROR(__xludf.DUMMYFUNCTION("""COMPUTED_VALUE"""),"trevor.jones@ortrail.k12.or.us")</f>
        <v>trevor.jones@ortrail.k12.or.us</v>
      </c>
      <c r="U3471" s="6" t="str">
        <f>IFERROR(__xludf.DUMMYFUNCTION("""COMPUTED_VALUE"""),"11")</f>
        <v>11</v>
      </c>
      <c r="V3471" s="6" t="str">
        <f>IFERROR(__xludf.DUMMYFUNCTION("""COMPUTED_VALUE"""),"English")</f>
        <v>English</v>
      </c>
      <c r="W3471" s="6" t="str">
        <f>IFERROR(__xludf.DUMMYFUNCTION("""COMPUTED_VALUE"""),"[]")</f>
        <v>[]</v>
      </c>
      <c r="X3471" s="6" t="str">
        <f>IFERROR(__xludf.DUMMYFUNCTION("""COMPUTED_VALUE"""),"Enrolled")</f>
        <v>Enrolled</v>
      </c>
    </row>
    <row r="3472">
      <c r="A3472" s="6" t="str">
        <f>IFERROR(__xludf.DUMMYFUNCTION("""COMPUTED_VALUE"""),"064-6501")</f>
        <v>064-6501</v>
      </c>
      <c r="B3472" s="6" t="str">
        <f>IFERROR(__xludf.DUMMYFUNCTION("""COMPUTED_VALUE"""),"64")</f>
        <v>64</v>
      </c>
      <c r="C3472" s="6" t="str">
        <f>IFERROR(__xludf.DUMMYFUNCTION("""COMPUTED_VALUE"""),"6501")</f>
        <v>6501</v>
      </c>
      <c r="D3472" s="6" t="str">
        <f>IFERROR(__xludf.DUMMYFUNCTION("""COMPUTED_VALUE"""),"Zackary")</f>
        <v>Zackary</v>
      </c>
      <c r="E3472" s="6" t="str">
        <f>IFERROR(__xludf.DUMMYFUNCTION("""COMPUTED_VALUE"""),"")</f>
        <v/>
      </c>
      <c r="F3472" s="6" t="str">
        <f>IFERROR(__xludf.DUMMYFUNCTION("""COMPUTED_VALUE"""),"Stofiel")</f>
        <v>Stofiel</v>
      </c>
      <c r="G3472" s="6" t="str">
        <f>IFERROR(__xludf.DUMMYFUNCTION("""COMPUTED_VALUE"""),"10/09/2009")</f>
        <v>10/09/2009</v>
      </c>
      <c r="H3472" s="6" t="str">
        <f>IFERROR(__xludf.DUMMYFUNCTION("""COMPUTED_VALUE"""),"Self Identify")</f>
        <v>Self Identify</v>
      </c>
      <c r="I3472" s="6" t="str">
        <f>IFERROR(__xludf.DUMMYFUNCTION("""COMPUTED_VALUE"""),"High School")</f>
        <v>High School</v>
      </c>
      <c r="J3472" s="6" t="str">
        <f>IFERROR(__xludf.DUMMYFUNCTION("""COMPUTED_VALUE"""),"10")</f>
        <v>10</v>
      </c>
      <c r="K3472" s="6" t="str">
        <f>IFERROR(__xludf.DUMMYFUNCTION("""COMPUTED_VALUE"""),"zackary_stofiel@stu.ortrail.k12.or.us")</f>
        <v>zackary_stofiel@stu.ortrail.k12.or.us</v>
      </c>
      <c r="L3472" s="6" t="str">
        <f>IFERROR(__xludf.DUMMYFUNCTION("""COMPUTED_VALUE"""),"Oregon Trail School District 46")</f>
        <v>Oregon Trail School District 46</v>
      </c>
      <c r="M3472" s="6" t="str">
        <f>IFERROR(__xludf.DUMMYFUNCTION("""COMPUTED_VALUE"""),"Sandy High School")</f>
        <v>Sandy High School</v>
      </c>
      <c r="N3472" s="6" t="str">
        <f>IFERROR(__xludf.DUMMYFUNCTION("""COMPUTED_VALUE"""),"")</f>
        <v/>
      </c>
      <c r="O3472" s="87" t="str">
        <f>IFERROR(__xludf.DUMMYFUNCTION("""COMPUTED_VALUE"""),"https://drive.google.com/drive/folders/10T2cTQHqEJZqE-st6uFKPoI?usp=share_link")</f>
        <v>https://drive.google.com/drive/folders/10T2cTQHqEJZqE-st6uFKPoI?usp=share_link</v>
      </c>
      <c r="P3472" s="6" t="str">
        <f>IFERROR(__xludf.DUMMYFUNCTION("""COMPUTED_VALUE"""),"Zackary Stofiel")</f>
        <v>Zackary Stofiel</v>
      </c>
      <c r="Q3472" s="6" t="str">
        <f>IFERROR(__xludf.DUMMYFUNCTION("""COMPUTED_VALUE"""),"HS")</f>
        <v>HS</v>
      </c>
      <c r="R3472" s="6">
        <f>IFERROR(__xludf.DUMMYFUNCTION("""COMPUTED_VALUE"""),0.0)</f>
        <v>0</v>
      </c>
      <c r="S3472" s="6" t="str">
        <f>IFERROR(__xludf.DUMMYFUNCTION("""COMPUTED_VALUE"""),"Lindsay Polk")</f>
        <v>Lindsay Polk</v>
      </c>
      <c r="T3472" s="6" t="str">
        <f>IFERROR(__xludf.DUMMYFUNCTION("""COMPUTED_VALUE"""),"lindsay.polk@ortrail.k12.or.us")</f>
        <v>lindsay.polk@ortrail.k12.or.us</v>
      </c>
      <c r="U3472" s="6" t="str">
        <f>IFERROR(__xludf.DUMMYFUNCTION("""COMPUTED_VALUE"""),"10")</f>
        <v>10</v>
      </c>
      <c r="V3472" s="6" t="str">
        <f>IFERROR(__xludf.DUMMYFUNCTION("""COMPUTED_VALUE"""),"English")</f>
        <v>English</v>
      </c>
      <c r="W3472" s="6" t="str">
        <f>IFERROR(__xludf.DUMMYFUNCTION("""COMPUTED_VALUE"""),"[]")</f>
        <v>[]</v>
      </c>
      <c r="X3472" s="6" t="str">
        <f>IFERROR(__xludf.DUMMYFUNCTION("""COMPUTED_VALUE"""),"Enrolled")</f>
        <v>Enrolled</v>
      </c>
    </row>
    <row r="3473">
      <c r="A3473" s="6" t="str">
        <f>IFERROR(__xludf.DUMMYFUNCTION("""COMPUTED_VALUE"""),"064-6503")</f>
        <v>064-6503</v>
      </c>
      <c r="B3473" s="6" t="str">
        <f>IFERROR(__xludf.DUMMYFUNCTION("""COMPUTED_VALUE"""),"64")</f>
        <v>64</v>
      </c>
      <c r="C3473" s="6" t="str">
        <f>IFERROR(__xludf.DUMMYFUNCTION("""COMPUTED_VALUE"""),"6503")</f>
        <v>6503</v>
      </c>
      <c r="D3473" s="6" t="str">
        <f>IFERROR(__xludf.DUMMYFUNCTION("""COMPUTED_VALUE"""),"Ezequiel")</f>
        <v>Ezequiel</v>
      </c>
      <c r="E3473" s="6" t="str">
        <f>IFERROR(__xludf.DUMMYFUNCTION("""COMPUTED_VALUE"""),"")</f>
        <v/>
      </c>
      <c r="F3473" s="6" t="str">
        <f>IFERROR(__xludf.DUMMYFUNCTION("""COMPUTED_VALUE"""),"Gutierez Gonzalez")</f>
        <v>Gutierez Gonzalez</v>
      </c>
      <c r="G3473" s="6" t="str">
        <f>IFERROR(__xludf.DUMMYFUNCTION("""COMPUTED_VALUE"""),"01/15/2009")</f>
        <v>01/15/2009</v>
      </c>
      <c r="H3473" s="6" t="str">
        <f>IFERROR(__xludf.DUMMYFUNCTION("""COMPUTED_VALUE"""),"Self Identify")</f>
        <v>Self Identify</v>
      </c>
      <c r="I3473" s="6" t="str">
        <f>IFERROR(__xludf.DUMMYFUNCTION("""COMPUTED_VALUE"""),"High School")</f>
        <v>High School</v>
      </c>
      <c r="J3473" s="6" t="str">
        <f>IFERROR(__xludf.DUMMYFUNCTION("""COMPUTED_VALUE"""),"11")</f>
        <v>11</v>
      </c>
      <c r="K3473" s="6" t="str">
        <f>IFERROR(__xludf.DUMMYFUNCTION("""COMPUTED_VALUE"""),"ezequiel_gutierezgon@stu.ortrail.k12.or.us")</f>
        <v>ezequiel_gutierezgon@stu.ortrail.k12.or.us</v>
      </c>
      <c r="L3473" s="6" t="str">
        <f>IFERROR(__xludf.DUMMYFUNCTION("""COMPUTED_VALUE"""),"Oregon Trail School District 46")</f>
        <v>Oregon Trail School District 46</v>
      </c>
      <c r="M3473" s="6" t="str">
        <f>IFERROR(__xludf.DUMMYFUNCTION("""COMPUTED_VALUE"""),"Sandy High School")</f>
        <v>Sandy High School</v>
      </c>
      <c r="N3473" s="6" t="str">
        <f>IFERROR(__xludf.DUMMYFUNCTION("""COMPUTED_VALUE"""),"")</f>
        <v/>
      </c>
      <c r="O3473" s="87" t="str">
        <f>IFERROR(__xludf.DUMMYFUNCTION("""COMPUTED_VALUE"""),"https://drive.google.com/drive/folders/10T2cTQHqEJZqE-st6uFKPoI?usp=share_link")</f>
        <v>https://drive.google.com/drive/folders/10T2cTQHqEJZqE-st6uFKPoI?usp=share_link</v>
      </c>
      <c r="P3473" s="6" t="str">
        <f>IFERROR(__xludf.DUMMYFUNCTION("""COMPUTED_VALUE"""),"Ezequiel Gutierez Gonzalez")</f>
        <v>Ezequiel Gutierez Gonzalez</v>
      </c>
      <c r="Q3473" s="6" t="str">
        <f>IFERROR(__xludf.DUMMYFUNCTION("""COMPUTED_VALUE"""),"HS")</f>
        <v>HS</v>
      </c>
      <c r="R3473" s="6">
        <f>IFERROR(__xludf.DUMMYFUNCTION("""COMPUTED_VALUE"""),0.0)</f>
        <v>0</v>
      </c>
      <c r="S3473" s="6" t="str">
        <f>IFERROR(__xludf.DUMMYFUNCTION("""COMPUTED_VALUE"""),"Megan Montellano")</f>
        <v>Megan Montellano</v>
      </c>
      <c r="T3473" s="6" t="str">
        <f>IFERROR(__xludf.DUMMYFUNCTION("""COMPUTED_VALUE"""),"megan.montellano@ortrail.k12.or.us")</f>
        <v>megan.montellano@ortrail.k12.or.us</v>
      </c>
      <c r="U3473" s="6" t="str">
        <f>IFERROR(__xludf.DUMMYFUNCTION("""COMPUTED_VALUE"""),"11")</f>
        <v>11</v>
      </c>
      <c r="V3473" s="6" t="str">
        <f>IFERROR(__xludf.DUMMYFUNCTION("""COMPUTED_VALUE"""),"English")</f>
        <v>English</v>
      </c>
      <c r="W3473" s="6" t="str">
        <f>IFERROR(__xludf.DUMMYFUNCTION("""COMPUTED_VALUE"""),"[]")</f>
        <v>[]</v>
      </c>
      <c r="X3473" s="6" t="str">
        <f>IFERROR(__xludf.DUMMYFUNCTION("""COMPUTED_VALUE"""),"Enrolled")</f>
        <v>Enrolled</v>
      </c>
    </row>
    <row r="3474">
      <c r="A3474" s="6" t="str">
        <f>IFERROR(__xludf.DUMMYFUNCTION("""COMPUTED_VALUE"""),"064-6504")</f>
        <v>064-6504</v>
      </c>
      <c r="B3474" s="6" t="str">
        <f>IFERROR(__xludf.DUMMYFUNCTION("""COMPUTED_VALUE"""),"64")</f>
        <v>64</v>
      </c>
      <c r="C3474" s="6" t="str">
        <f>IFERROR(__xludf.DUMMYFUNCTION("""COMPUTED_VALUE"""),"6504")</f>
        <v>6504</v>
      </c>
      <c r="D3474" s="6" t="str">
        <f>IFERROR(__xludf.DUMMYFUNCTION("""COMPUTED_VALUE"""),"Kamilee")</f>
        <v>Kamilee</v>
      </c>
      <c r="E3474" s="6" t="str">
        <f>IFERROR(__xludf.DUMMYFUNCTION("""COMPUTED_VALUE"""),"")</f>
        <v/>
      </c>
      <c r="F3474" s="6" t="str">
        <f>IFERROR(__xludf.DUMMYFUNCTION("""COMPUTED_VALUE"""),"Kent")</f>
        <v>Kent</v>
      </c>
      <c r="G3474" s="6" t="str">
        <f>IFERROR(__xludf.DUMMYFUNCTION("""COMPUTED_VALUE"""),"11/20/2009")</f>
        <v>11/20/2009</v>
      </c>
      <c r="H3474" s="6" t="str">
        <f>IFERROR(__xludf.DUMMYFUNCTION("""COMPUTED_VALUE"""),"Self Identify")</f>
        <v>Self Identify</v>
      </c>
      <c r="I3474" s="6" t="str">
        <f>IFERROR(__xludf.DUMMYFUNCTION("""COMPUTED_VALUE"""),"High School")</f>
        <v>High School</v>
      </c>
      <c r="J3474" s="6" t="str">
        <f>IFERROR(__xludf.DUMMYFUNCTION("""COMPUTED_VALUE"""),"9")</f>
        <v>9</v>
      </c>
      <c r="K3474" s="6" t="str">
        <f>IFERROR(__xludf.DUMMYFUNCTION("""COMPUTED_VALUE"""),"marie_kent@stu.ortrail.k12.or.us")</f>
        <v>marie_kent@stu.ortrail.k12.or.us</v>
      </c>
      <c r="L3474" s="6" t="str">
        <f>IFERROR(__xludf.DUMMYFUNCTION("""COMPUTED_VALUE"""),"Oregon Trail School District 46")</f>
        <v>Oregon Trail School District 46</v>
      </c>
      <c r="M3474" s="6" t="str">
        <f>IFERROR(__xludf.DUMMYFUNCTION("""COMPUTED_VALUE"""),"Sandy High School")</f>
        <v>Sandy High School</v>
      </c>
      <c r="N3474" s="6" t="str">
        <f>IFERROR(__xludf.DUMMYFUNCTION("""COMPUTED_VALUE"""),"")</f>
        <v/>
      </c>
      <c r="O3474" s="87" t="str">
        <f>IFERROR(__xludf.DUMMYFUNCTION("""COMPUTED_VALUE"""),"https://drive.google.com/drive/folders/10T2cTQHqEJZqE-st6uFKPoI?usp=share_link")</f>
        <v>https://drive.google.com/drive/folders/10T2cTQHqEJZqE-st6uFKPoI?usp=share_link</v>
      </c>
      <c r="P3474" s="6" t="str">
        <f>IFERROR(__xludf.DUMMYFUNCTION("""COMPUTED_VALUE"""),"Kamilee Kent")</f>
        <v>Kamilee Kent</v>
      </c>
      <c r="Q3474" s="6" t="str">
        <f>IFERROR(__xludf.DUMMYFUNCTION("""COMPUTED_VALUE"""),"HS")</f>
        <v>HS</v>
      </c>
      <c r="R3474" s="6">
        <f>IFERROR(__xludf.DUMMYFUNCTION("""COMPUTED_VALUE"""),0.0)</f>
        <v>0</v>
      </c>
      <c r="S3474" s="6" t="str">
        <f>IFERROR(__xludf.DUMMYFUNCTION("""COMPUTED_VALUE"""),"Trevor Jones")</f>
        <v>Trevor Jones</v>
      </c>
      <c r="T3474" s="6" t="str">
        <f>IFERROR(__xludf.DUMMYFUNCTION("""COMPUTED_VALUE"""),"trevor.jones@ortrail.k12.or.us")</f>
        <v>trevor.jones@ortrail.k12.or.us</v>
      </c>
      <c r="U3474" s="6" t="str">
        <f>IFERROR(__xludf.DUMMYFUNCTION("""COMPUTED_VALUE"""),"9")</f>
        <v>9</v>
      </c>
      <c r="V3474" s="6" t="str">
        <f>IFERROR(__xludf.DUMMYFUNCTION("""COMPUTED_VALUE"""),"English")</f>
        <v>English</v>
      </c>
      <c r="W3474" s="6" t="str">
        <f>IFERROR(__xludf.DUMMYFUNCTION("""COMPUTED_VALUE"""),"[]")</f>
        <v>[]</v>
      </c>
      <c r="X3474" s="6" t="str">
        <f>IFERROR(__xludf.DUMMYFUNCTION("""COMPUTED_VALUE"""),"Enrolled")</f>
        <v>Enrolled</v>
      </c>
    </row>
    <row r="3475">
      <c r="A3475" s="6" t="str">
        <f>IFERROR(__xludf.DUMMYFUNCTION("""COMPUTED_VALUE"""),"064-6507")</f>
        <v>064-6507</v>
      </c>
      <c r="B3475" s="6" t="str">
        <f>IFERROR(__xludf.DUMMYFUNCTION("""COMPUTED_VALUE"""),"64")</f>
        <v>64</v>
      </c>
      <c r="C3475" s="6" t="str">
        <f>IFERROR(__xludf.DUMMYFUNCTION("""COMPUTED_VALUE"""),"6507")</f>
        <v>6507</v>
      </c>
      <c r="D3475" s="6" t="str">
        <f>IFERROR(__xludf.DUMMYFUNCTION("""COMPUTED_VALUE"""),"Cody")</f>
        <v>Cody</v>
      </c>
      <c r="E3475" s="6" t="str">
        <f>IFERROR(__xludf.DUMMYFUNCTION("""COMPUTED_VALUE"""),"")</f>
        <v/>
      </c>
      <c r="F3475" s="6" t="str">
        <f>IFERROR(__xludf.DUMMYFUNCTION("""COMPUTED_VALUE"""),"Allsop")</f>
        <v>Allsop</v>
      </c>
      <c r="G3475" s="6" t="str">
        <f>IFERROR(__xludf.DUMMYFUNCTION("""COMPUTED_VALUE"""),"12/03/2007")</f>
        <v>12/03/2007</v>
      </c>
      <c r="H3475" s="6" t="str">
        <f>IFERROR(__xludf.DUMMYFUNCTION("""COMPUTED_VALUE"""),"Self Identify")</f>
        <v>Self Identify</v>
      </c>
      <c r="I3475" s="6" t="str">
        <f>IFERROR(__xludf.DUMMYFUNCTION("""COMPUTED_VALUE"""),"High School")</f>
        <v>High School</v>
      </c>
      <c r="J3475" s="6" t="str">
        <f>IFERROR(__xludf.DUMMYFUNCTION("""COMPUTED_VALUE"""),"12")</f>
        <v>12</v>
      </c>
      <c r="K3475" s="6" t="str">
        <f>IFERROR(__xludf.DUMMYFUNCTION("""COMPUTED_VALUE"""),"cody_allsop@stu.ortrail.k12.or.us")</f>
        <v>cody_allsop@stu.ortrail.k12.or.us</v>
      </c>
      <c r="L3475" s="6" t="str">
        <f>IFERROR(__xludf.DUMMYFUNCTION("""COMPUTED_VALUE"""),"Oregon Trail School District 46")</f>
        <v>Oregon Trail School District 46</v>
      </c>
      <c r="M3475" s="6" t="str">
        <f>IFERROR(__xludf.DUMMYFUNCTION("""COMPUTED_VALUE"""),"Sandy High School")</f>
        <v>Sandy High School</v>
      </c>
      <c r="N3475" s="6" t="str">
        <f>IFERROR(__xludf.DUMMYFUNCTION("""COMPUTED_VALUE"""),"")</f>
        <v/>
      </c>
      <c r="O3475" s="87" t="str">
        <f>IFERROR(__xludf.DUMMYFUNCTION("""COMPUTED_VALUE"""),"https://drive.google.com/drive/folders/10T2cTQHqEJZqE-st6uFKPoI?usp=share_link")</f>
        <v>https://drive.google.com/drive/folders/10T2cTQHqEJZqE-st6uFKPoI?usp=share_link</v>
      </c>
      <c r="P3475" s="6" t="str">
        <f>IFERROR(__xludf.DUMMYFUNCTION("""COMPUTED_VALUE"""),"Cody Allsop")</f>
        <v>Cody Allsop</v>
      </c>
      <c r="Q3475" s="6" t="str">
        <f>IFERROR(__xludf.DUMMYFUNCTION("""COMPUTED_VALUE"""),"HS")</f>
        <v>HS</v>
      </c>
      <c r="R3475" s="6">
        <f>IFERROR(__xludf.DUMMYFUNCTION("""COMPUTED_VALUE"""),0.0)</f>
        <v>0</v>
      </c>
      <c r="S3475" s="6" t="str">
        <f>IFERROR(__xludf.DUMMYFUNCTION("""COMPUTED_VALUE"""),"Lindsay Polk")</f>
        <v>Lindsay Polk</v>
      </c>
      <c r="T3475" s="6" t="str">
        <f>IFERROR(__xludf.DUMMYFUNCTION("""COMPUTED_VALUE"""),"lindsay.polk@ortrail.k12.or.us")</f>
        <v>lindsay.polk@ortrail.k12.or.us</v>
      </c>
      <c r="U3475" s="6" t="str">
        <f>IFERROR(__xludf.DUMMYFUNCTION("""COMPUTED_VALUE"""),"12")</f>
        <v>12</v>
      </c>
      <c r="V3475" s="6" t="str">
        <f>IFERROR(__xludf.DUMMYFUNCTION("""COMPUTED_VALUE"""),"English")</f>
        <v>English</v>
      </c>
      <c r="W3475" s="6" t="str">
        <f>IFERROR(__xludf.DUMMYFUNCTION("""COMPUTED_VALUE"""),"[]")</f>
        <v>[]</v>
      </c>
      <c r="X3475" s="6" t="str">
        <f>IFERROR(__xludf.DUMMYFUNCTION("""COMPUTED_VALUE"""),"Enrolled")</f>
        <v>Enrolled</v>
      </c>
    </row>
    <row r="3476">
      <c r="A3476" s="6" t="str">
        <f>IFERROR(__xludf.DUMMYFUNCTION("""COMPUTED_VALUE"""),"064-6510")</f>
        <v>064-6510</v>
      </c>
      <c r="B3476" s="6" t="str">
        <f>IFERROR(__xludf.DUMMYFUNCTION("""COMPUTED_VALUE"""),"64")</f>
        <v>64</v>
      </c>
      <c r="C3476" s="6" t="str">
        <f>IFERROR(__xludf.DUMMYFUNCTION("""COMPUTED_VALUE"""),"6510")</f>
        <v>6510</v>
      </c>
      <c r="D3476" s="6" t="str">
        <f>IFERROR(__xludf.DUMMYFUNCTION("""COMPUTED_VALUE"""),"Sidney")</f>
        <v>Sidney</v>
      </c>
      <c r="E3476" s="6" t="str">
        <f>IFERROR(__xludf.DUMMYFUNCTION("""COMPUTED_VALUE"""),"")</f>
        <v/>
      </c>
      <c r="F3476" s="6" t="str">
        <f>IFERROR(__xludf.DUMMYFUNCTION("""COMPUTED_VALUE"""),"Bacon")</f>
        <v>Bacon</v>
      </c>
      <c r="G3476" s="6" t="str">
        <f>IFERROR(__xludf.DUMMYFUNCTION("""COMPUTED_VALUE"""),"08/03/2007")</f>
        <v>08/03/2007</v>
      </c>
      <c r="H3476" s="6" t="str">
        <f>IFERROR(__xludf.DUMMYFUNCTION("""COMPUTED_VALUE"""),"Self Identify")</f>
        <v>Self Identify</v>
      </c>
      <c r="I3476" s="6" t="str">
        <f>IFERROR(__xludf.DUMMYFUNCTION("""COMPUTED_VALUE"""),"High School")</f>
        <v>High School</v>
      </c>
      <c r="J3476" s="6" t="str">
        <f>IFERROR(__xludf.DUMMYFUNCTION("""COMPUTED_VALUE"""),"12")</f>
        <v>12</v>
      </c>
      <c r="K3476" s="6" t="str">
        <f>IFERROR(__xludf.DUMMYFUNCTION("""COMPUTED_VALUE"""),"sidney_bacon@stu.ortrail.k12.or.us")</f>
        <v>sidney_bacon@stu.ortrail.k12.or.us</v>
      </c>
      <c r="L3476" s="6" t="str">
        <f>IFERROR(__xludf.DUMMYFUNCTION("""COMPUTED_VALUE"""),"Oregon Trail School District 46")</f>
        <v>Oregon Trail School District 46</v>
      </c>
      <c r="M3476" s="6" t="str">
        <f>IFERROR(__xludf.DUMMYFUNCTION("""COMPUTED_VALUE"""),"Sandy High School")</f>
        <v>Sandy High School</v>
      </c>
      <c r="N3476" s="6" t="str">
        <f>IFERROR(__xludf.DUMMYFUNCTION("""COMPUTED_VALUE"""),"")</f>
        <v/>
      </c>
      <c r="O3476" s="87" t="str">
        <f>IFERROR(__xludf.DUMMYFUNCTION("""COMPUTED_VALUE"""),"https://drive.google.com/drive/folders/10T2cTQHqEJZqE-st6uFKPoI?usp=share_link")</f>
        <v>https://drive.google.com/drive/folders/10T2cTQHqEJZqE-st6uFKPoI?usp=share_link</v>
      </c>
      <c r="P3476" s="6" t="str">
        <f>IFERROR(__xludf.DUMMYFUNCTION("""COMPUTED_VALUE"""),"Sidney Bacon")</f>
        <v>Sidney Bacon</v>
      </c>
      <c r="Q3476" s="6" t="str">
        <f>IFERROR(__xludf.DUMMYFUNCTION("""COMPUTED_VALUE"""),"HS")</f>
        <v>HS</v>
      </c>
      <c r="R3476" s="6">
        <f>IFERROR(__xludf.DUMMYFUNCTION("""COMPUTED_VALUE"""),0.0)</f>
        <v>0</v>
      </c>
      <c r="S3476" s="6" t="str">
        <f>IFERROR(__xludf.DUMMYFUNCTION("""COMPUTED_VALUE"""),"Molly Marple")</f>
        <v>Molly Marple</v>
      </c>
      <c r="T3476" s="6" t="str">
        <f>IFERROR(__xludf.DUMMYFUNCTION("""COMPUTED_VALUE"""),"molly.marple@ortrail.k12.or.us")</f>
        <v>molly.marple@ortrail.k12.or.us</v>
      </c>
      <c r="U3476" s="6" t="str">
        <f>IFERROR(__xludf.DUMMYFUNCTION("""COMPUTED_VALUE"""),"12")</f>
        <v>12</v>
      </c>
      <c r="V3476" s="6" t="str">
        <f>IFERROR(__xludf.DUMMYFUNCTION("""COMPUTED_VALUE"""),"English")</f>
        <v>English</v>
      </c>
      <c r="W3476" s="6" t="str">
        <f>IFERROR(__xludf.DUMMYFUNCTION("""COMPUTED_VALUE"""),"[]")</f>
        <v>[]</v>
      </c>
      <c r="X3476" s="6" t="str">
        <f>IFERROR(__xludf.DUMMYFUNCTION("""COMPUTED_VALUE"""),"Enrolled")</f>
        <v>Enrolled</v>
      </c>
    </row>
    <row r="3477">
      <c r="A3477" s="6" t="str">
        <f>IFERROR(__xludf.DUMMYFUNCTION("""COMPUTED_VALUE"""),"064-6512")</f>
        <v>064-6512</v>
      </c>
      <c r="B3477" s="6" t="str">
        <f>IFERROR(__xludf.DUMMYFUNCTION("""COMPUTED_VALUE"""),"64")</f>
        <v>64</v>
      </c>
      <c r="C3477" s="6" t="str">
        <f>IFERROR(__xludf.DUMMYFUNCTION("""COMPUTED_VALUE"""),"6512")</f>
        <v>6512</v>
      </c>
      <c r="D3477" s="6" t="str">
        <f>IFERROR(__xludf.DUMMYFUNCTION("""COMPUTED_VALUE"""),"Braylon")</f>
        <v>Braylon</v>
      </c>
      <c r="E3477" s="6" t="str">
        <f>IFERROR(__xludf.DUMMYFUNCTION("""COMPUTED_VALUE"""),"")</f>
        <v/>
      </c>
      <c r="F3477" s="6" t="str">
        <f>IFERROR(__xludf.DUMMYFUNCTION("""COMPUTED_VALUE"""),"Bell")</f>
        <v>Bell</v>
      </c>
      <c r="G3477" s="6" t="str">
        <f>IFERROR(__xludf.DUMMYFUNCTION("""COMPUTED_VALUE"""),"08/21/2010")</f>
        <v>08/21/2010</v>
      </c>
      <c r="H3477" s="6" t="str">
        <f>IFERROR(__xludf.DUMMYFUNCTION("""COMPUTED_VALUE"""),"Self Identify")</f>
        <v>Self Identify</v>
      </c>
      <c r="I3477" s="6" t="str">
        <f>IFERROR(__xludf.DUMMYFUNCTION("""COMPUTED_VALUE"""),"High School")</f>
        <v>High School</v>
      </c>
      <c r="J3477" s="6" t="str">
        <f>IFERROR(__xludf.DUMMYFUNCTION("""COMPUTED_VALUE"""),"10")</f>
        <v>10</v>
      </c>
      <c r="K3477" s="6" t="str">
        <f>IFERROR(__xludf.DUMMYFUNCTION("""COMPUTED_VALUE"""),"braylon_bell@stu.ortrail.k12.or.us")</f>
        <v>braylon_bell@stu.ortrail.k12.or.us</v>
      </c>
      <c r="L3477" s="6" t="str">
        <f>IFERROR(__xludf.DUMMYFUNCTION("""COMPUTED_VALUE"""),"Oregon Trail School District 46")</f>
        <v>Oregon Trail School District 46</v>
      </c>
      <c r="M3477" s="6" t="str">
        <f>IFERROR(__xludf.DUMMYFUNCTION("""COMPUTED_VALUE"""),"Sandy High School")</f>
        <v>Sandy High School</v>
      </c>
      <c r="N3477" s="6" t="str">
        <f>IFERROR(__xludf.DUMMYFUNCTION("""COMPUTED_VALUE"""),"")</f>
        <v/>
      </c>
      <c r="O3477" s="87" t="str">
        <f>IFERROR(__xludf.DUMMYFUNCTION("""COMPUTED_VALUE"""),"https://drive.google.com/drive/folders/10T2cTQHqEJZqE-st6uFKPoI?usp=share_link")</f>
        <v>https://drive.google.com/drive/folders/10T2cTQHqEJZqE-st6uFKPoI?usp=share_link</v>
      </c>
      <c r="P3477" s="6" t="str">
        <f>IFERROR(__xludf.DUMMYFUNCTION("""COMPUTED_VALUE"""),"Braylon Bell")</f>
        <v>Braylon Bell</v>
      </c>
      <c r="Q3477" s="6" t="str">
        <f>IFERROR(__xludf.DUMMYFUNCTION("""COMPUTED_VALUE"""),"HS")</f>
        <v>HS</v>
      </c>
      <c r="R3477" s="6">
        <f>IFERROR(__xludf.DUMMYFUNCTION("""COMPUTED_VALUE"""),0.0)</f>
        <v>0</v>
      </c>
      <c r="S3477" s="6" t="str">
        <f>IFERROR(__xludf.DUMMYFUNCTION("""COMPUTED_VALUE"""),"Lindsay Polk")</f>
        <v>Lindsay Polk</v>
      </c>
      <c r="T3477" s="6" t="str">
        <f>IFERROR(__xludf.DUMMYFUNCTION("""COMPUTED_VALUE"""),"lindsay.polk@ortrail.k12.or.us")</f>
        <v>lindsay.polk@ortrail.k12.or.us</v>
      </c>
      <c r="U3477" s="6" t="str">
        <f>IFERROR(__xludf.DUMMYFUNCTION("""COMPUTED_VALUE"""),"10")</f>
        <v>10</v>
      </c>
      <c r="V3477" s="6" t="str">
        <f>IFERROR(__xludf.DUMMYFUNCTION("""COMPUTED_VALUE"""),"English")</f>
        <v>English</v>
      </c>
      <c r="W3477" s="6" t="str">
        <f>IFERROR(__xludf.DUMMYFUNCTION("""COMPUTED_VALUE"""),"[]")</f>
        <v>[]</v>
      </c>
      <c r="X3477" s="6" t="str">
        <f>IFERROR(__xludf.DUMMYFUNCTION("""COMPUTED_VALUE"""),"Enrolled")</f>
        <v>Enrolled</v>
      </c>
    </row>
    <row r="3478">
      <c r="A3478" s="6" t="str">
        <f>IFERROR(__xludf.DUMMYFUNCTION("""COMPUTED_VALUE"""),"064-6513")</f>
        <v>064-6513</v>
      </c>
      <c r="B3478" s="6" t="str">
        <f>IFERROR(__xludf.DUMMYFUNCTION("""COMPUTED_VALUE"""),"64")</f>
        <v>64</v>
      </c>
      <c r="C3478" s="6" t="str">
        <f>IFERROR(__xludf.DUMMYFUNCTION("""COMPUTED_VALUE"""),"6513")</f>
        <v>6513</v>
      </c>
      <c r="D3478" s="6" t="str">
        <f>IFERROR(__xludf.DUMMYFUNCTION("""COMPUTED_VALUE"""),"Adam")</f>
        <v>Adam</v>
      </c>
      <c r="E3478" s="6" t="str">
        <f>IFERROR(__xludf.DUMMYFUNCTION("""COMPUTED_VALUE"""),"")</f>
        <v/>
      </c>
      <c r="F3478" s="6" t="str">
        <f>IFERROR(__xludf.DUMMYFUNCTION("""COMPUTED_VALUE"""),"Bray")</f>
        <v>Bray</v>
      </c>
      <c r="G3478" s="6" t="str">
        <f>IFERROR(__xludf.DUMMYFUNCTION("""COMPUTED_VALUE"""),"09/04/2009")</f>
        <v>09/04/2009</v>
      </c>
      <c r="H3478" s="6" t="str">
        <f>IFERROR(__xludf.DUMMYFUNCTION("""COMPUTED_VALUE"""),"Self Identify")</f>
        <v>Self Identify</v>
      </c>
      <c r="I3478" s="6" t="str">
        <f>IFERROR(__xludf.DUMMYFUNCTION("""COMPUTED_VALUE"""),"High School")</f>
        <v>High School</v>
      </c>
      <c r="J3478" s="6" t="str">
        <f>IFERROR(__xludf.DUMMYFUNCTION("""COMPUTED_VALUE"""),"10")</f>
        <v>10</v>
      </c>
      <c r="K3478" s="6" t="str">
        <f>IFERROR(__xludf.DUMMYFUNCTION("""COMPUTED_VALUE"""),"adam_bray@stu.ortrail.k12.or.us")</f>
        <v>adam_bray@stu.ortrail.k12.or.us</v>
      </c>
      <c r="L3478" s="6" t="str">
        <f>IFERROR(__xludf.DUMMYFUNCTION("""COMPUTED_VALUE"""),"Oregon Trail School District 46")</f>
        <v>Oregon Trail School District 46</v>
      </c>
      <c r="M3478" s="6" t="str">
        <f>IFERROR(__xludf.DUMMYFUNCTION("""COMPUTED_VALUE"""),"Sandy High School")</f>
        <v>Sandy High School</v>
      </c>
      <c r="N3478" s="6" t="str">
        <f>IFERROR(__xludf.DUMMYFUNCTION("""COMPUTED_VALUE"""),"")</f>
        <v/>
      </c>
      <c r="O3478" s="87" t="str">
        <f>IFERROR(__xludf.DUMMYFUNCTION("""COMPUTED_VALUE"""),"https://drive.google.com/drive/folders/10T2cTQHqEJZqE-st6uFKPoI?usp=share_link")</f>
        <v>https://drive.google.com/drive/folders/10T2cTQHqEJZqE-st6uFKPoI?usp=share_link</v>
      </c>
      <c r="P3478" s="6" t="str">
        <f>IFERROR(__xludf.DUMMYFUNCTION("""COMPUTED_VALUE"""),"Adam Bray")</f>
        <v>Adam Bray</v>
      </c>
      <c r="Q3478" s="6" t="str">
        <f>IFERROR(__xludf.DUMMYFUNCTION("""COMPUTED_VALUE"""),"HS")</f>
        <v>HS</v>
      </c>
      <c r="R3478" s="6">
        <f>IFERROR(__xludf.DUMMYFUNCTION("""COMPUTED_VALUE"""),0.0)</f>
        <v>0</v>
      </c>
      <c r="S3478" s="6" t="str">
        <f>IFERROR(__xludf.DUMMYFUNCTION("""COMPUTED_VALUE"""),"Lindsay Polk")</f>
        <v>Lindsay Polk</v>
      </c>
      <c r="T3478" s="6" t="str">
        <f>IFERROR(__xludf.DUMMYFUNCTION("""COMPUTED_VALUE"""),"lindsay.polk@ortrail.k12.or.us")</f>
        <v>lindsay.polk@ortrail.k12.or.us</v>
      </c>
      <c r="U3478" s="6" t="str">
        <f>IFERROR(__xludf.DUMMYFUNCTION("""COMPUTED_VALUE"""),"10")</f>
        <v>10</v>
      </c>
      <c r="V3478" s="6" t="str">
        <f>IFERROR(__xludf.DUMMYFUNCTION("""COMPUTED_VALUE"""),"English")</f>
        <v>English</v>
      </c>
      <c r="W3478" s="6" t="str">
        <f>IFERROR(__xludf.DUMMYFUNCTION("""COMPUTED_VALUE"""),"[]")</f>
        <v>[]</v>
      </c>
      <c r="X3478" s="6" t="str">
        <f>IFERROR(__xludf.DUMMYFUNCTION("""COMPUTED_VALUE"""),"Enrolled")</f>
        <v>Enrolled</v>
      </c>
    </row>
    <row r="3479">
      <c r="A3479" s="6" t="str">
        <f>IFERROR(__xludf.DUMMYFUNCTION("""COMPUTED_VALUE"""),"064-6514")</f>
        <v>064-6514</v>
      </c>
      <c r="B3479" s="6" t="str">
        <f>IFERROR(__xludf.DUMMYFUNCTION("""COMPUTED_VALUE"""),"64")</f>
        <v>64</v>
      </c>
      <c r="C3479" s="6" t="str">
        <f>IFERROR(__xludf.DUMMYFUNCTION("""COMPUTED_VALUE"""),"6514")</f>
        <v>6514</v>
      </c>
      <c r="D3479" s="6" t="str">
        <f>IFERROR(__xludf.DUMMYFUNCTION("""COMPUTED_VALUE"""),"Sophie")</f>
        <v>Sophie</v>
      </c>
      <c r="E3479" s="6" t="str">
        <f>IFERROR(__xludf.DUMMYFUNCTION("""COMPUTED_VALUE"""),"")</f>
        <v/>
      </c>
      <c r="F3479" s="6" t="str">
        <f>IFERROR(__xludf.DUMMYFUNCTION("""COMPUTED_VALUE"""),"Brow")</f>
        <v>Brow</v>
      </c>
      <c r="G3479" s="6" t="str">
        <f>IFERROR(__xludf.DUMMYFUNCTION("""COMPUTED_VALUE"""),"12/15/2008")</f>
        <v>12/15/2008</v>
      </c>
      <c r="H3479" s="6" t="str">
        <f>IFERROR(__xludf.DUMMYFUNCTION("""COMPUTED_VALUE"""),"Self Identify")</f>
        <v>Self Identify</v>
      </c>
      <c r="I3479" s="6" t="str">
        <f>IFERROR(__xludf.DUMMYFUNCTION("""COMPUTED_VALUE"""),"High School")</f>
        <v>High School</v>
      </c>
      <c r="J3479" s="6" t="str">
        <f>IFERROR(__xludf.DUMMYFUNCTION("""COMPUTED_VALUE"""),"10")</f>
        <v>10</v>
      </c>
      <c r="K3479" s="6" t="str">
        <f>IFERROR(__xludf.DUMMYFUNCTION("""COMPUTED_VALUE"""),"sophie_brow@stu.ortrail.k12.or.us")</f>
        <v>sophie_brow@stu.ortrail.k12.or.us</v>
      </c>
      <c r="L3479" s="6" t="str">
        <f>IFERROR(__xludf.DUMMYFUNCTION("""COMPUTED_VALUE"""),"Oregon Trail School District 46")</f>
        <v>Oregon Trail School District 46</v>
      </c>
      <c r="M3479" s="6" t="str">
        <f>IFERROR(__xludf.DUMMYFUNCTION("""COMPUTED_VALUE"""),"Sandy High School")</f>
        <v>Sandy High School</v>
      </c>
      <c r="N3479" s="6" t="str">
        <f>IFERROR(__xludf.DUMMYFUNCTION("""COMPUTED_VALUE"""),"")</f>
        <v/>
      </c>
      <c r="O3479" s="87" t="str">
        <f>IFERROR(__xludf.DUMMYFUNCTION("""COMPUTED_VALUE"""),"https://drive.google.com/drive/folders/10T2cTQHqEJZqE-st6uFKPoI?usp=share_link")</f>
        <v>https://drive.google.com/drive/folders/10T2cTQHqEJZqE-st6uFKPoI?usp=share_link</v>
      </c>
      <c r="P3479" s="6" t="str">
        <f>IFERROR(__xludf.DUMMYFUNCTION("""COMPUTED_VALUE"""),"Sophie Brow")</f>
        <v>Sophie Brow</v>
      </c>
      <c r="Q3479" s="6" t="str">
        <f>IFERROR(__xludf.DUMMYFUNCTION("""COMPUTED_VALUE"""),"HS")</f>
        <v>HS</v>
      </c>
      <c r="R3479" s="6">
        <f>IFERROR(__xludf.DUMMYFUNCTION("""COMPUTED_VALUE"""),0.0)</f>
        <v>0</v>
      </c>
      <c r="S3479" s="6" t="str">
        <f>IFERROR(__xludf.DUMMYFUNCTION("""COMPUTED_VALUE"""),"Lindsay Polk")</f>
        <v>Lindsay Polk</v>
      </c>
      <c r="T3479" s="6" t="str">
        <f>IFERROR(__xludf.DUMMYFUNCTION("""COMPUTED_VALUE"""),"lindsay.polk@ortrail.k12.or.us")</f>
        <v>lindsay.polk@ortrail.k12.or.us</v>
      </c>
      <c r="U3479" s="6" t="str">
        <f>IFERROR(__xludf.DUMMYFUNCTION("""COMPUTED_VALUE"""),"10")</f>
        <v>10</v>
      </c>
      <c r="V3479" s="6" t="str">
        <f>IFERROR(__xludf.DUMMYFUNCTION("""COMPUTED_VALUE"""),"English")</f>
        <v>English</v>
      </c>
      <c r="W3479" s="6" t="str">
        <f>IFERROR(__xludf.DUMMYFUNCTION("""COMPUTED_VALUE"""),"[]")</f>
        <v>[]</v>
      </c>
      <c r="X3479" s="6" t="str">
        <f>IFERROR(__xludf.DUMMYFUNCTION("""COMPUTED_VALUE"""),"Enrolled")</f>
        <v>Enrolled</v>
      </c>
    </row>
    <row r="3480">
      <c r="A3480" s="6" t="str">
        <f>IFERROR(__xludf.DUMMYFUNCTION("""COMPUTED_VALUE"""),"064-6516")</f>
        <v>064-6516</v>
      </c>
      <c r="B3480" s="6" t="str">
        <f>IFERROR(__xludf.DUMMYFUNCTION("""COMPUTED_VALUE"""),"64")</f>
        <v>64</v>
      </c>
      <c r="C3480" s="6" t="str">
        <f>IFERROR(__xludf.DUMMYFUNCTION("""COMPUTED_VALUE"""),"6516")</f>
        <v>6516</v>
      </c>
      <c r="D3480" s="6" t="str">
        <f>IFERROR(__xludf.DUMMYFUNCTION("""COMPUTED_VALUE"""),"Zake")</f>
        <v>Zake</v>
      </c>
      <c r="E3480" s="6" t="str">
        <f>IFERROR(__xludf.DUMMYFUNCTION("""COMPUTED_VALUE"""),"")</f>
        <v/>
      </c>
      <c r="F3480" s="6" t="str">
        <f>IFERROR(__xludf.DUMMYFUNCTION("""COMPUTED_VALUE"""),"Canham")</f>
        <v>Canham</v>
      </c>
      <c r="G3480" s="6" t="str">
        <f>IFERROR(__xludf.DUMMYFUNCTION("""COMPUTED_VALUE"""),"08/29/2009")</f>
        <v>08/29/2009</v>
      </c>
      <c r="H3480" s="6" t="str">
        <f>IFERROR(__xludf.DUMMYFUNCTION("""COMPUTED_VALUE"""),"Self Identify")</f>
        <v>Self Identify</v>
      </c>
      <c r="I3480" s="6" t="str">
        <f>IFERROR(__xludf.DUMMYFUNCTION("""COMPUTED_VALUE"""),"High School")</f>
        <v>High School</v>
      </c>
      <c r="J3480" s="6" t="str">
        <f>IFERROR(__xludf.DUMMYFUNCTION("""COMPUTED_VALUE"""),"10")</f>
        <v>10</v>
      </c>
      <c r="K3480" s="6" t="str">
        <f>IFERROR(__xludf.DUMMYFUNCTION("""COMPUTED_VALUE"""),"zake_canham@stu.ortrail.k12.or.us")</f>
        <v>zake_canham@stu.ortrail.k12.or.us</v>
      </c>
      <c r="L3480" s="6" t="str">
        <f>IFERROR(__xludf.DUMMYFUNCTION("""COMPUTED_VALUE"""),"Oregon Trail School District 46")</f>
        <v>Oregon Trail School District 46</v>
      </c>
      <c r="M3480" s="6" t="str">
        <f>IFERROR(__xludf.DUMMYFUNCTION("""COMPUTED_VALUE"""),"Sandy High School")</f>
        <v>Sandy High School</v>
      </c>
      <c r="N3480" s="6" t="str">
        <f>IFERROR(__xludf.DUMMYFUNCTION("""COMPUTED_VALUE"""),"")</f>
        <v/>
      </c>
      <c r="O3480" s="87" t="str">
        <f>IFERROR(__xludf.DUMMYFUNCTION("""COMPUTED_VALUE"""),"https://drive.google.com/drive/folders/10T2cTQHqEJZqE-st6uFKPoI?usp=share_link")</f>
        <v>https://drive.google.com/drive/folders/10T2cTQHqEJZqE-st6uFKPoI?usp=share_link</v>
      </c>
      <c r="P3480" s="6" t="str">
        <f>IFERROR(__xludf.DUMMYFUNCTION("""COMPUTED_VALUE"""),"Zake Canham")</f>
        <v>Zake Canham</v>
      </c>
      <c r="Q3480" s="6" t="str">
        <f>IFERROR(__xludf.DUMMYFUNCTION("""COMPUTED_VALUE"""),"HS")</f>
        <v>HS</v>
      </c>
      <c r="R3480" s="6">
        <f>IFERROR(__xludf.DUMMYFUNCTION("""COMPUTED_VALUE"""),0.0)</f>
        <v>0</v>
      </c>
      <c r="S3480" s="6" t="str">
        <f>IFERROR(__xludf.DUMMYFUNCTION("""COMPUTED_VALUE"""),"Lindsay Polk")</f>
        <v>Lindsay Polk</v>
      </c>
      <c r="T3480" s="6" t="str">
        <f>IFERROR(__xludf.DUMMYFUNCTION("""COMPUTED_VALUE"""),"lindsay.polk@ortrail.k12.or.us")</f>
        <v>lindsay.polk@ortrail.k12.or.us</v>
      </c>
      <c r="U3480" s="6" t="str">
        <f>IFERROR(__xludf.DUMMYFUNCTION("""COMPUTED_VALUE"""),"10")</f>
        <v>10</v>
      </c>
      <c r="V3480" s="6" t="str">
        <f>IFERROR(__xludf.DUMMYFUNCTION("""COMPUTED_VALUE"""),"English")</f>
        <v>English</v>
      </c>
      <c r="W3480" s="6" t="str">
        <f>IFERROR(__xludf.DUMMYFUNCTION("""COMPUTED_VALUE"""),"[]")</f>
        <v>[]</v>
      </c>
      <c r="X3480" s="6" t="str">
        <f>IFERROR(__xludf.DUMMYFUNCTION("""COMPUTED_VALUE"""),"Enrolled")</f>
        <v>Enrolled</v>
      </c>
    </row>
    <row r="3481">
      <c r="A3481" s="6" t="str">
        <f>IFERROR(__xludf.DUMMYFUNCTION("""COMPUTED_VALUE"""),"064-6518")</f>
        <v>064-6518</v>
      </c>
      <c r="B3481" s="6" t="str">
        <f>IFERROR(__xludf.DUMMYFUNCTION("""COMPUTED_VALUE"""),"64")</f>
        <v>64</v>
      </c>
      <c r="C3481" s="6" t="str">
        <f>IFERROR(__xludf.DUMMYFUNCTION("""COMPUTED_VALUE"""),"6518")</f>
        <v>6518</v>
      </c>
      <c r="D3481" s="6" t="str">
        <f>IFERROR(__xludf.DUMMYFUNCTION("""COMPUTED_VALUE"""),"Isaac")</f>
        <v>Isaac</v>
      </c>
      <c r="E3481" s="6" t="str">
        <f>IFERROR(__xludf.DUMMYFUNCTION("""COMPUTED_VALUE"""),"")</f>
        <v/>
      </c>
      <c r="F3481" s="6" t="str">
        <f>IFERROR(__xludf.DUMMYFUNCTION("""COMPUTED_VALUE"""),"Castro")</f>
        <v>Castro</v>
      </c>
      <c r="G3481" s="6" t="str">
        <f>IFERROR(__xludf.DUMMYFUNCTION("""COMPUTED_VALUE"""),"05/17/2010")</f>
        <v>05/17/2010</v>
      </c>
      <c r="H3481" s="6" t="str">
        <f>IFERROR(__xludf.DUMMYFUNCTION("""COMPUTED_VALUE"""),"Self Identify")</f>
        <v>Self Identify</v>
      </c>
      <c r="I3481" s="6" t="str">
        <f>IFERROR(__xludf.DUMMYFUNCTION("""COMPUTED_VALUE"""),"High School")</f>
        <v>High School</v>
      </c>
      <c r="J3481" s="6" t="str">
        <f>IFERROR(__xludf.DUMMYFUNCTION("""COMPUTED_VALUE"""),"10")</f>
        <v>10</v>
      </c>
      <c r="K3481" s="6" t="str">
        <f>IFERROR(__xludf.DUMMYFUNCTION("""COMPUTED_VALUE"""),"isaac_castro@stu.ortrail.k12.or.us")</f>
        <v>isaac_castro@stu.ortrail.k12.or.us</v>
      </c>
      <c r="L3481" s="6" t="str">
        <f>IFERROR(__xludf.DUMMYFUNCTION("""COMPUTED_VALUE"""),"Oregon Trail School District 46")</f>
        <v>Oregon Trail School District 46</v>
      </c>
      <c r="M3481" s="6" t="str">
        <f>IFERROR(__xludf.DUMMYFUNCTION("""COMPUTED_VALUE"""),"Sandy High School")</f>
        <v>Sandy High School</v>
      </c>
      <c r="N3481" s="6" t="str">
        <f>IFERROR(__xludf.DUMMYFUNCTION("""COMPUTED_VALUE"""),"")</f>
        <v/>
      </c>
      <c r="O3481" s="87" t="str">
        <f>IFERROR(__xludf.DUMMYFUNCTION("""COMPUTED_VALUE"""),"https://drive.google.com/drive/folders/10T2cTQHqEJZqE-st6uFKPoI?usp=share_link")</f>
        <v>https://drive.google.com/drive/folders/10T2cTQHqEJZqE-st6uFKPoI?usp=share_link</v>
      </c>
      <c r="P3481" s="6" t="str">
        <f>IFERROR(__xludf.DUMMYFUNCTION("""COMPUTED_VALUE"""),"Isaac Castro")</f>
        <v>Isaac Castro</v>
      </c>
      <c r="Q3481" s="6" t="str">
        <f>IFERROR(__xludf.DUMMYFUNCTION("""COMPUTED_VALUE"""),"HS")</f>
        <v>HS</v>
      </c>
      <c r="R3481" s="6">
        <f>IFERROR(__xludf.DUMMYFUNCTION("""COMPUTED_VALUE"""),0.0)</f>
        <v>0</v>
      </c>
      <c r="S3481" s="6" t="str">
        <f>IFERROR(__xludf.DUMMYFUNCTION("""COMPUTED_VALUE"""),"Lindsay Polk")</f>
        <v>Lindsay Polk</v>
      </c>
      <c r="T3481" s="6" t="str">
        <f>IFERROR(__xludf.DUMMYFUNCTION("""COMPUTED_VALUE"""),"lindsay.polk@ortrail.k12.or.us")</f>
        <v>lindsay.polk@ortrail.k12.or.us</v>
      </c>
      <c r="U3481" s="6" t="str">
        <f>IFERROR(__xludf.DUMMYFUNCTION("""COMPUTED_VALUE"""),"10")</f>
        <v>10</v>
      </c>
      <c r="V3481" s="6" t="str">
        <f>IFERROR(__xludf.DUMMYFUNCTION("""COMPUTED_VALUE"""),"English")</f>
        <v>English</v>
      </c>
      <c r="W3481" s="6" t="str">
        <f>IFERROR(__xludf.DUMMYFUNCTION("""COMPUTED_VALUE"""),"[]")</f>
        <v>[]</v>
      </c>
      <c r="X3481" s="6" t="str">
        <f>IFERROR(__xludf.DUMMYFUNCTION("""COMPUTED_VALUE"""),"Enrolled")</f>
        <v>Enrolled</v>
      </c>
    </row>
    <row r="3482">
      <c r="A3482" s="6" t="str">
        <f>IFERROR(__xludf.DUMMYFUNCTION("""COMPUTED_VALUE"""),"064-6519")</f>
        <v>064-6519</v>
      </c>
      <c r="B3482" s="6" t="str">
        <f>IFERROR(__xludf.DUMMYFUNCTION("""COMPUTED_VALUE"""),"64")</f>
        <v>64</v>
      </c>
      <c r="C3482" s="6" t="str">
        <f>IFERROR(__xludf.DUMMYFUNCTION("""COMPUTED_VALUE"""),"6519")</f>
        <v>6519</v>
      </c>
      <c r="D3482" s="6" t="str">
        <f>IFERROR(__xludf.DUMMYFUNCTION("""COMPUTED_VALUE"""),"Rhiley")</f>
        <v>Rhiley</v>
      </c>
      <c r="E3482" s="6" t="str">
        <f>IFERROR(__xludf.DUMMYFUNCTION("""COMPUTED_VALUE"""),"")</f>
        <v/>
      </c>
      <c r="F3482" s="6" t="str">
        <f>IFERROR(__xludf.DUMMYFUNCTION("""COMPUTED_VALUE"""),"Cox")</f>
        <v>Cox</v>
      </c>
      <c r="G3482" s="6" t="str">
        <f>IFERROR(__xludf.DUMMYFUNCTION("""COMPUTED_VALUE"""),"08/16/2009")</f>
        <v>08/16/2009</v>
      </c>
      <c r="H3482" s="6" t="str">
        <f>IFERROR(__xludf.DUMMYFUNCTION("""COMPUTED_VALUE"""),"Self Identify")</f>
        <v>Self Identify</v>
      </c>
      <c r="I3482" s="6" t="str">
        <f>IFERROR(__xludf.DUMMYFUNCTION("""COMPUTED_VALUE"""),"High School")</f>
        <v>High School</v>
      </c>
      <c r="J3482" s="6" t="str">
        <f>IFERROR(__xludf.DUMMYFUNCTION("""COMPUTED_VALUE"""),"10")</f>
        <v>10</v>
      </c>
      <c r="K3482" s="6" t="str">
        <f>IFERROR(__xludf.DUMMYFUNCTION("""COMPUTED_VALUE"""),"rhiley_cox@stu.ortrail.k12.or.us")</f>
        <v>rhiley_cox@stu.ortrail.k12.or.us</v>
      </c>
      <c r="L3482" s="6" t="str">
        <f>IFERROR(__xludf.DUMMYFUNCTION("""COMPUTED_VALUE"""),"Oregon Trail School District 46")</f>
        <v>Oregon Trail School District 46</v>
      </c>
      <c r="M3482" s="6" t="str">
        <f>IFERROR(__xludf.DUMMYFUNCTION("""COMPUTED_VALUE"""),"Sandy High School")</f>
        <v>Sandy High School</v>
      </c>
      <c r="N3482" s="6" t="str">
        <f>IFERROR(__xludf.DUMMYFUNCTION("""COMPUTED_VALUE"""),"")</f>
        <v/>
      </c>
      <c r="O3482" s="87" t="str">
        <f>IFERROR(__xludf.DUMMYFUNCTION("""COMPUTED_VALUE"""),"https://drive.google.com/drive/folders/10T2cTQHqEJZqE-st6uFKPoI?usp=share_link")</f>
        <v>https://drive.google.com/drive/folders/10T2cTQHqEJZqE-st6uFKPoI?usp=share_link</v>
      </c>
      <c r="P3482" s="6" t="str">
        <f>IFERROR(__xludf.DUMMYFUNCTION("""COMPUTED_VALUE"""),"Rhiley Cox")</f>
        <v>Rhiley Cox</v>
      </c>
      <c r="Q3482" s="6" t="str">
        <f>IFERROR(__xludf.DUMMYFUNCTION("""COMPUTED_VALUE"""),"HS")</f>
        <v>HS</v>
      </c>
      <c r="R3482" s="6">
        <f>IFERROR(__xludf.DUMMYFUNCTION("""COMPUTED_VALUE"""),0.0)</f>
        <v>0</v>
      </c>
      <c r="S3482" s="6" t="str">
        <f>IFERROR(__xludf.DUMMYFUNCTION("""COMPUTED_VALUE"""),"Lindsay Polk")</f>
        <v>Lindsay Polk</v>
      </c>
      <c r="T3482" s="6" t="str">
        <f>IFERROR(__xludf.DUMMYFUNCTION("""COMPUTED_VALUE"""),"lindsay.polk@ortrail.k12.or.us")</f>
        <v>lindsay.polk@ortrail.k12.or.us</v>
      </c>
      <c r="U3482" s="6" t="str">
        <f>IFERROR(__xludf.DUMMYFUNCTION("""COMPUTED_VALUE"""),"10")</f>
        <v>10</v>
      </c>
      <c r="V3482" s="6" t="str">
        <f>IFERROR(__xludf.DUMMYFUNCTION("""COMPUTED_VALUE"""),"English")</f>
        <v>English</v>
      </c>
      <c r="W3482" s="6" t="str">
        <f>IFERROR(__xludf.DUMMYFUNCTION("""COMPUTED_VALUE"""),"[]")</f>
        <v>[]</v>
      </c>
      <c r="X3482" s="6" t="str">
        <f>IFERROR(__xludf.DUMMYFUNCTION("""COMPUTED_VALUE"""),"Enrolled")</f>
        <v>Enrolled</v>
      </c>
    </row>
    <row r="3483">
      <c r="A3483" s="6" t="str">
        <f>IFERROR(__xludf.DUMMYFUNCTION("""COMPUTED_VALUE"""),"064-6520")</f>
        <v>064-6520</v>
      </c>
      <c r="B3483" s="6" t="str">
        <f>IFERROR(__xludf.DUMMYFUNCTION("""COMPUTED_VALUE"""),"64")</f>
        <v>64</v>
      </c>
      <c r="C3483" s="6" t="str">
        <f>IFERROR(__xludf.DUMMYFUNCTION("""COMPUTED_VALUE"""),"6520")</f>
        <v>6520</v>
      </c>
      <c r="D3483" s="6" t="str">
        <f>IFERROR(__xludf.DUMMYFUNCTION("""COMPUTED_VALUE"""),"Jayden")</f>
        <v>Jayden</v>
      </c>
      <c r="E3483" s="6" t="str">
        <f>IFERROR(__xludf.DUMMYFUNCTION("""COMPUTED_VALUE"""),"")</f>
        <v/>
      </c>
      <c r="F3483" s="6" t="str">
        <f>IFERROR(__xludf.DUMMYFUNCTION("""COMPUTED_VALUE"""),"Curl")</f>
        <v>Curl</v>
      </c>
      <c r="G3483" s="6" t="str">
        <f>IFERROR(__xludf.DUMMYFUNCTION("""COMPUTED_VALUE"""),"05/25/2010")</f>
        <v>05/25/2010</v>
      </c>
      <c r="H3483" s="6" t="str">
        <f>IFERROR(__xludf.DUMMYFUNCTION("""COMPUTED_VALUE"""),"Self Identify")</f>
        <v>Self Identify</v>
      </c>
      <c r="I3483" s="6" t="str">
        <f>IFERROR(__xludf.DUMMYFUNCTION("""COMPUTED_VALUE"""),"High School")</f>
        <v>High School</v>
      </c>
      <c r="J3483" s="6" t="str">
        <f>IFERROR(__xludf.DUMMYFUNCTION("""COMPUTED_VALUE"""),"10")</f>
        <v>10</v>
      </c>
      <c r="K3483" s="6" t="str">
        <f>IFERROR(__xludf.DUMMYFUNCTION("""COMPUTED_VALUE"""),"jayden_curl@stu.ortrail.k12.or.us")</f>
        <v>jayden_curl@stu.ortrail.k12.or.us</v>
      </c>
      <c r="L3483" s="6" t="str">
        <f>IFERROR(__xludf.DUMMYFUNCTION("""COMPUTED_VALUE"""),"Oregon Trail School District 46")</f>
        <v>Oregon Trail School District 46</v>
      </c>
      <c r="M3483" s="6" t="str">
        <f>IFERROR(__xludf.DUMMYFUNCTION("""COMPUTED_VALUE"""),"Sandy High School")</f>
        <v>Sandy High School</v>
      </c>
      <c r="N3483" s="6" t="str">
        <f>IFERROR(__xludf.DUMMYFUNCTION("""COMPUTED_VALUE"""),"")</f>
        <v/>
      </c>
      <c r="O3483" s="87" t="str">
        <f>IFERROR(__xludf.DUMMYFUNCTION("""COMPUTED_VALUE"""),"https://drive.google.com/drive/folders/10T2cTQHqEJZqE-st6uFKPoI?usp=share_link")</f>
        <v>https://drive.google.com/drive/folders/10T2cTQHqEJZqE-st6uFKPoI?usp=share_link</v>
      </c>
      <c r="P3483" s="6" t="str">
        <f>IFERROR(__xludf.DUMMYFUNCTION("""COMPUTED_VALUE"""),"Jayden Curl")</f>
        <v>Jayden Curl</v>
      </c>
      <c r="Q3483" s="6" t="str">
        <f>IFERROR(__xludf.DUMMYFUNCTION("""COMPUTED_VALUE"""),"HS")</f>
        <v>HS</v>
      </c>
      <c r="R3483" s="6">
        <f>IFERROR(__xludf.DUMMYFUNCTION("""COMPUTED_VALUE"""),0.0)</f>
        <v>0</v>
      </c>
      <c r="S3483" s="6" t="str">
        <f>IFERROR(__xludf.DUMMYFUNCTION("""COMPUTED_VALUE"""),"Lindsay Polk")</f>
        <v>Lindsay Polk</v>
      </c>
      <c r="T3483" s="6" t="str">
        <f>IFERROR(__xludf.DUMMYFUNCTION("""COMPUTED_VALUE"""),"lindsay.polk@ortrail.k12.or.us")</f>
        <v>lindsay.polk@ortrail.k12.or.us</v>
      </c>
      <c r="U3483" s="6" t="str">
        <f>IFERROR(__xludf.DUMMYFUNCTION("""COMPUTED_VALUE"""),"10")</f>
        <v>10</v>
      </c>
      <c r="V3483" s="6" t="str">
        <f>IFERROR(__xludf.DUMMYFUNCTION("""COMPUTED_VALUE"""),"English")</f>
        <v>English</v>
      </c>
      <c r="W3483" s="6" t="str">
        <f>IFERROR(__xludf.DUMMYFUNCTION("""COMPUTED_VALUE"""),"[]")</f>
        <v>[]</v>
      </c>
      <c r="X3483" s="6" t="str">
        <f>IFERROR(__xludf.DUMMYFUNCTION("""COMPUTED_VALUE"""),"Enrolled")</f>
        <v>Enrolled</v>
      </c>
    </row>
    <row r="3484">
      <c r="A3484" s="6" t="str">
        <f>IFERROR(__xludf.DUMMYFUNCTION("""COMPUTED_VALUE"""),"064-6522")</f>
        <v>064-6522</v>
      </c>
      <c r="B3484" s="6" t="str">
        <f>IFERROR(__xludf.DUMMYFUNCTION("""COMPUTED_VALUE"""),"64")</f>
        <v>64</v>
      </c>
      <c r="C3484" s="6" t="str">
        <f>IFERROR(__xludf.DUMMYFUNCTION("""COMPUTED_VALUE"""),"6522")</f>
        <v>6522</v>
      </c>
      <c r="D3484" s="6" t="str">
        <f>IFERROR(__xludf.DUMMYFUNCTION("""COMPUTED_VALUE"""),"Kellen")</f>
        <v>Kellen</v>
      </c>
      <c r="E3484" s="6" t="str">
        <f>IFERROR(__xludf.DUMMYFUNCTION("""COMPUTED_VALUE"""),"")</f>
        <v/>
      </c>
      <c r="F3484" s="6" t="str">
        <f>IFERROR(__xludf.DUMMYFUNCTION("""COMPUTED_VALUE"""),"Dill")</f>
        <v>Dill</v>
      </c>
      <c r="G3484" s="6" t="str">
        <f>IFERROR(__xludf.DUMMYFUNCTION("""COMPUTED_VALUE"""),"10/25/2009")</f>
        <v>10/25/2009</v>
      </c>
      <c r="H3484" s="6" t="str">
        <f>IFERROR(__xludf.DUMMYFUNCTION("""COMPUTED_VALUE"""),"Self Identify")</f>
        <v>Self Identify</v>
      </c>
      <c r="I3484" s="6" t="str">
        <f>IFERROR(__xludf.DUMMYFUNCTION("""COMPUTED_VALUE"""),"High School")</f>
        <v>High School</v>
      </c>
      <c r="J3484" s="6" t="str">
        <f>IFERROR(__xludf.DUMMYFUNCTION("""COMPUTED_VALUE"""),"10")</f>
        <v>10</v>
      </c>
      <c r="K3484" s="6" t="str">
        <f>IFERROR(__xludf.DUMMYFUNCTION("""COMPUTED_VALUE"""),"kellen_dill@stu.ortrail.k12.or.us")</f>
        <v>kellen_dill@stu.ortrail.k12.or.us</v>
      </c>
      <c r="L3484" s="6" t="str">
        <f>IFERROR(__xludf.DUMMYFUNCTION("""COMPUTED_VALUE"""),"Oregon Trail School District 46")</f>
        <v>Oregon Trail School District 46</v>
      </c>
      <c r="M3484" s="6" t="str">
        <f>IFERROR(__xludf.DUMMYFUNCTION("""COMPUTED_VALUE"""),"Sandy High School")</f>
        <v>Sandy High School</v>
      </c>
      <c r="N3484" s="6" t="str">
        <f>IFERROR(__xludf.DUMMYFUNCTION("""COMPUTED_VALUE"""),"")</f>
        <v/>
      </c>
      <c r="O3484" s="87" t="str">
        <f>IFERROR(__xludf.DUMMYFUNCTION("""COMPUTED_VALUE"""),"https://drive.google.com/drive/folders/10T2cTQHqEJZqE-st6uFKPoI?usp=share_link")</f>
        <v>https://drive.google.com/drive/folders/10T2cTQHqEJZqE-st6uFKPoI?usp=share_link</v>
      </c>
      <c r="P3484" s="6" t="str">
        <f>IFERROR(__xludf.DUMMYFUNCTION("""COMPUTED_VALUE"""),"Kellen Dill")</f>
        <v>Kellen Dill</v>
      </c>
      <c r="Q3484" s="6" t="str">
        <f>IFERROR(__xludf.DUMMYFUNCTION("""COMPUTED_VALUE"""),"HS")</f>
        <v>HS</v>
      </c>
      <c r="R3484" s="6">
        <f>IFERROR(__xludf.DUMMYFUNCTION("""COMPUTED_VALUE"""),0.0)</f>
        <v>0</v>
      </c>
      <c r="S3484" s="6" t="str">
        <f>IFERROR(__xludf.DUMMYFUNCTION("""COMPUTED_VALUE"""),"Lindsay Polk")</f>
        <v>Lindsay Polk</v>
      </c>
      <c r="T3484" s="6" t="str">
        <f>IFERROR(__xludf.DUMMYFUNCTION("""COMPUTED_VALUE"""),"lindsay.polk@ortrail.k12.or.us")</f>
        <v>lindsay.polk@ortrail.k12.or.us</v>
      </c>
      <c r="U3484" s="6" t="str">
        <f>IFERROR(__xludf.DUMMYFUNCTION("""COMPUTED_VALUE"""),"10")</f>
        <v>10</v>
      </c>
      <c r="V3484" s="6" t="str">
        <f>IFERROR(__xludf.DUMMYFUNCTION("""COMPUTED_VALUE"""),"English")</f>
        <v>English</v>
      </c>
      <c r="W3484" s="6" t="str">
        <f>IFERROR(__xludf.DUMMYFUNCTION("""COMPUTED_VALUE"""),"[]")</f>
        <v>[]</v>
      </c>
      <c r="X3484" s="6" t="str">
        <f>IFERROR(__xludf.DUMMYFUNCTION("""COMPUTED_VALUE"""),"Enrolled")</f>
        <v>Enrolled</v>
      </c>
    </row>
    <row r="3485">
      <c r="A3485" s="6" t="str">
        <f>IFERROR(__xludf.DUMMYFUNCTION("""COMPUTED_VALUE"""),"064-6524")</f>
        <v>064-6524</v>
      </c>
      <c r="B3485" s="6" t="str">
        <f>IFERROR(__xludf.DUMMYFUNCTION("""COMPUTED_VALUE"""),"64")</f>
        <v>64</v>
      </c>
      <c r="C3485" s="6" t="str">
        <f>IFERROR(__xludf.DUMMYFUNCTION("""COMPUTED_VALUE"""),"6524")</f>
        <v>6524</v>
      </c>
      <c r="D3485" s="6" t="str">
        <f>IFERROR(__xludf.DUMMYFUNCTION("""COMPUTED_VALUE"""),"Aaliyah")</f>
        <v>Aaliyah</v>
      </c>
      <c r="E3485" s="6" t="str">
        <f>IFERROR(__xludf.DUMMYFUNCTION("""COMPUTED_VALUE"""),"")</f>
        <v/>
      </c>
      <c r="F3485" s="6" t="str">
        <f>IFERROR(__xludf.DUMMYFUNCTION("""COMPUTED_VALUE"""),"Fisher")</f>
        <v>Fisher</v>
      </c>
      <c r="G3485" s="6" t="str">
        <f>IFERROR(__xludf.DUMMYFUNCTION("""COMPUTED_VALUE"""),"07/28/2007")</f>
        <v>07/28/2007</v>
      </c>
      <c r="H3485" s="6" t="str">
        <f>IFERROR(__xludf.DUMMYFUNCTION("""COMPUTED_VALUE"""),"Self Identify")</f>
        <v>Self Identify</v>
      </c>
      <c r="I3485" s="6" t="str">
        <f>IFERROR(__xludf.DUMMYFUNCTION("""COMPUTED_VALUE"""),"High School")</f>
        <v>High School</v>
      </c>
      <c r="J3485" s="6" t="str">
        <f>IFERROR(__xludf.DUMMYFUNCTION("""COMPUTED_VALUE"""),"12")</f>
        <v>12</v>
      </c>
      <c r="K3485" s="6" t="str">
        <f>IFERROR(__xludf.DUMMYFUNCTION("""COMPUTED_VALUE"""),"aaliyah_fisher@stu.ortrail.k12.or.us")</f>
        <v>aaliyah_fisher@stu.ortrail.k12.or.us</v>
      </c>
      <c r="L3485" s="6" t="str">
        <f>IFERROR(__xludf.DUMMYFUNCTION("""COMPUTED_VALUE"""),"Oregon Trail School District 46")</f>
        <v>Oregon Trail School District 46</v>
      </c>
      <c r="M3485" s="6" t="str">
        <f>IFERROR(__xludf.DUMMYFUNCTION("""COMPUTED_VALUE"""),"Sandy High School")</f>
        <v>Sandy High School</v>
      </c>
      <c r="N3485" s="6" t="str">
        <f>IFERROR(__xludf.DUMMYFUNCTION("""COMPUTED_VALUE"""),"")</f>
        <v/>
      </c>
      <c r="O3485" s="87" t="str">
        <f>IFERROR(__xludf.DUMMYFUNCTION("""COMPUTED_VALUE"""),"https://drive.google.com/drive/folders/10T2cTQHqEJZqE-st6uFKPoI?usp=share_link")</f>
        <v>https://drive.google.com/drive/folders/10T2cTQHqEJZqE-st6uFKPoI?usp=share_link</v>
      </c>
      <c r="P3485" s="6" t="str">
        <f>IFERROR(__xludf.DUMMYFUNCTION("""COMPUTED_VALUE"""),"Aaliyah Fisher")</f>
        <v>Aaliyah Fisher</v>
      </c>
      <c r="Q3485" s="6" t="str">
        <f>IFERROR(__xludf.DUMMYFUNCTION("""COMPUTED_VALUE"""),"HS")</f>
        <v>HS</v>
      </c>
      <c r="R3485" s="6">
        <f>IFERROR(__xludf.DUMMYFUNCTION("""COMPUTED_VALUE"""),0.0)</f>
        <v>0</v>
      </c>
      <c r="S3485" s="6" t="str">
        <f>IFERROR(__xludf.DUMMYFUNCTION("""COMPUTED_VALUE"""),"Molly Marple")</f>
        <v>Molly Marple</v>
      </c>
      <c r="T3485" s="6" t="str">
        <f>IFERROR(__xludf.DUMMYFUNCTION("""COMPUTED_VALUE"""),"molly.marple@ortrail.k12.or.us")</f>
        <v>molly.marple@ortrail.k12.or.us</v>
      </c>
      <c r="U3485" s="6" t="str">
        <f>IFERROR(__xludf.DUMMYFUNCTION("""COMPUTED_VALUE"""),"12")</f>
        <v>12</v>
      </c>
      <c r="V3485" s="6" t="str">
        <f>IFERROR(__xludf.DUMMYFUNCTION("""COMPUTED_VALUE"""),"English")</f>
        <v>English</v>
      </c>
      <c r="W3485" s="6" t="str">
        <f>IFERROR(__xludf.DUMMYFUNCTION("""COMPUTED_VALUE"""),"[]")</f>
        <v>[]</v>
      </c>
      <c r="X3485" s="6" t="str">
        <f>IFERROR(__xludf.DUMMYFUNCTION("""COMPUTED_VALUE"""),"Enrolled")</f>
        <v>Enrolled</v>
      </c>
    </row>
    <row r="3486">
      <c r="A3486" s="6" t="str">
        <f>IFERROR(__xludf.DUMMYFUNCTION("""COMPUTED_VALUE"""),"064-6527")</f>
        <v>064-6527</v>
      </c>
      <c r="B3486" s="6" t="str">
        <f>IFERROR(__xludf.DUMMYFUNCTION("""COMPUTED_VALUE"""),"64")</f>
        <v>64</v>
      </c>
      <c r="C3486" s="6" t="str">
        <f>IFERROR(__xludf.DUMMYFUNCTION("""COMPUTED_VALUE"""),"6527")</f>
        <v>6527</v>
      </c>
      <c r="D3486" s="6" t="str">
        <f>IFERROR(__xludf.DUMMYFUNCTION("""COMPUTED_VALUE"""),"Guillermo")</f>
        <v>Guillermo</v>
      </c>
      <c r="E3486" s="6" t="str">
        <f>IFERROR(__xludf.DUMMYFUNCTION("""COMPUTED_VALUE"""),"")</f>
        <v/>
      </c>
      <c r="F3486" s="6" t="str">
        <f>IFERROR(__xludf.DUMMYFUNCTION("""COMPUTED_VALUE"""),"Guerrero Gonzalez")</f>
        <v>Guerrero Gonzalez</v>
      </c>
      <c r="G3486" s="6" t="str">
        <f>IFERROR(__xludf.DUMMYFUNCTION("""COMPUTED_VALUE"""),"07/31/2009")</f>
        <v>07/31/2009</v>
      </c>
      <c r="H3486" s="6" t="str">
        <f>IFERROR(__xludf.DUMMYFUNCTION("""COMPUTED_VALUE"""),"Self Identify")</f>
        <v>Self Identify</v>
      </c>
      <c r="I3486" s="6" t="str">
        <f>IFERROR(__xludf.DUMMYFUNCTION("""COMPUTED_VALUE"""),"High School")</f>
        <v>High School</v>
      </c>
      <c r="J3486" s="6" t="str">
        <f>IFERROR(__xludf.DUMMYFUNCTION("""COMPUTED_VALUE"""),"10")</f>
        <v>10</v>
      </c>
      <c r="K3486" s="6" t="str">
        <f>IFERROR(__xludf.DUMMYFUNCTION("""COMPUTED_VALUE"""),"guillermo_guerrerogo@stu.ortrail.k12.or.us")</f>
        <v>guillermo_guerrerogo@stu.ortrail.k12.or.us</v>
      </c>
      <c r="L3486" s="6" t="str">
        <f>IFERROR(__xludf.DUMMYFUNCTION("""COMPUTED_VALUE"""),"Oregon Trail School District 46")</f>
        <v>Oregon Trail School District 46</v>
      </c>
      <c r="M3486" s="6" t="str">
        <f>IFERROR(__xludf.DUMMYFUNCTION("""COMPUTED_VALUE"""),"Sandy High School")</f>
        <v>Sandy High School</v>
      </c>
      <c r="N3486" s="6" t="str">
        <f>IFERROR(__xludf.DUMMYFUNCTION("""COMPUTED_VALUE"""),"")</f>
        <v/>
      </c>
      <c r="O3486" s="87" t="str">
        <f>IFERROR(__xludf.DUMMYFUNCTION("""COMPUTED_VALUE"""),"https://drive.google.com/drive/folders/10T2cTQHqEJZqE-st6uFKPoI?usp=share_link")</f>
        <v>https://drive.google.com/drive/folders/10T2cTQHqEJZqE-st6uFKPoI?usp=share_link</v>
      </c>
      <c r="P3486" s="6" t="str">
        <f>IFERROR(__xludf.DUMMYFUNCTION("""COMPUTED_VALUE"""),"Guillermo Guerrero Gonzalez")</f>
        <v>Guillermo Guerrero Gonzalez</v>
      </c>
      <c r="Q3486" s="6" t="str">
        <f>IFERROR(__xludf.DUMMYFUNCTION("""COMPUTED_VALUE"""),"HS")</f>
        <v>HS</v>
      </c>
      <c r="R3486" s="6">
        <f>IFERROR(__xludf.DUMMYFUNCTION("""COMPUTED_VALUE"""),0.0)</f>
        <v>0</v>
      </c>
      <c r="S3486" s="6" t="str">
        <f>IFERROR(__xludf.DUMMYFUNCTION("""COMPUTED_VALUE"""),"Lindsay Polk")</f>
        <v>Lindsay Polk</v>
      </c>
      <c r="T3486" s="6" t="str">
        <f>IFERROR(__xludf.DUMMYFUNCTION("""COMPUTED_VALUE"""),"lindsay.polk@ortrail.k12.or.us")</f>
        <v>lindsay.polk@ortrail.k12.or.us</v>
      </c>
      <c r="U3486" s="6" t="str">
        <f>IFERROR(__xludf.DUMMYFUNCTION("""COMPUTED_VALUE"""),"10")</f>
        <v>10</v>
      </c>
      <c r="V3486" s="6" t="str">
        <f>IFERROR(__xludf.DUMMYFUNCTION("""COMPUTED_VALUE"""),"English")</f>
        <v>English</v>
      </c>
      <c r="W3486" s="6" t="str">
        <f>IFERROR(__xludf.DUMMYFUNCTION("""COMPUTED_VALUE"""),"[]")</f>
        <v>[]</v>
      </c>
      <c r="X3486" s="6" t="str">
        <f>IFERROR(__xludf.DUMMYFUNCTION("""COMPUTED_VALUE"""),"Enrolled")</f>
        <v>Enrolled</v>
      </c>
    </row>
    <row r="3487">
      <c r="A3487" s="6" t="str">
        <f>IFERROR(__xludf.DUMMYFUNCTION("""COMPUTED_VALUE"""),"064-6528")</f>
        <v>064-6528</v>
      </c>
      <c r="B3487" s="6" t="str">
        <f>IFERROR(__xludf.DUMMYFUNCTION("""COMPUTED_VALUE"""),"64")</f>
        <v>64</v>
      </c>
      <c r="C3487" s="6" t="str">
        <f>IFERROR(__xludf.DUMMYFUNCTION("""COMPUTED_VALUE"""),"6528")</f>
        <v>6528</v>
      </c>
      <c r="D3487" s="6" t="str">
        <f>IFERROR(__xludf.DUMMYFUNCTION("""COMPUTED_VALUE"""),"Isabel")</f>
        <v>Isabel</v>
      </c>
      <c r="E3487" s="6" t="str">
        <f>IFERROR(__xludf.DUMMYFUNCTION("""COMPUTED_VALUE"""),"")</f>
        <v/>
      </c>
      <c r="F3487" s="6" t="str">
        <f>IFERROR(__xludf.DUMMYFUNCTION("""COMPUTED_VALUE"""),"Gutierrez Olmos")</f>
        <v>Gutierrez Olmos</v>
      </c>
      <c r="G3487" s="6" t="str">
        <f>IFERROR(__xludf.DUMMYFUNCTION("""COMPUTED_VALUE"""),"01/27/2008")</f>
        <v>01/27/2008</v>
      </c>
      <c r="H3487" s="6" t="str">
        <f>IFERROR(__xludf.DUMMYFUNCTION("""COMPUTED_VALUE"""),"Self Identify")</f>
        <v>Self Identify</v>
      </c>
      <c r="I3487" s="6" t="str">
        <f>IFERROR(__xludf.DUMMYFUNCTION("""COMPUTED_VALUE"""),"High School")</f>
        <v>High School</v>
      </c>
      <c r="J3487" s="6" t="str">
        <f>IFERROR(__xludf.DUMMYFUNCTION("""COMPUTED_VALUE"""),"12")</f>
        <v>12</v>
      </c>
      <c r="K3487" s="6" t="str">
        <f>IFERROR(__xludf.DUMMYFUNCTION("""COMPUTED_VALUE"""),"isabel_gutierrezolmo@stu.ortrail.k12.or.us")</f>
        <v>isabel_gutierrezolmo@stu.ortrail.k12.or.us</v>
      </c>
      <c r="L3487" s="6" t="str">
        <f>IFERROR(__xludf.DUMMYFUNCTION("""COMPUTED_VALUE"""),"Oregon Trail School District 46")</f>
        <v>Oregon Trail School District 46</v>
      </c>
      <c r="M3487" s="6" t="str">
        <f>IFERROR(__xludf.DUMMYFUNCTION("""COMPUTED_VALUE"""),"Sandy High School")</f>
        <v>Sandy High School</v>
      </c>
      <c r="N3487" s="6" t="str">
        <f>IFERROR(__xludf.DUMMYFUNCTION("""COMPUTED_VALUE"""),"")</f>
        <v/>
      </c>
      <c r="O3487" s="87" t="str">
        <f>IFERROR(__xludf.DUMMYFUNCTION("""COMPUTED_VALUE"""),"https://drive.google.com/drive/folders/10T2cTQHqEJZqE-st6uFKPoI?usp=share_link")</f>
        <v>https://drive.google.com/drive/folders/10T2cTQHqEJZqE-st6uFKPoI?usp=share_link</v>
      </c>
      <c r="P3487" s="6" t="str">
        <f>IFERROR(__xludf.DUMMYFUNCTION("""COMPUTED_VALUE"""),"Isabel Gutierrez Olmos")</f>
        <v>Isabel Gutierrez Olmos</v>
      </c>
      <c r="Q3487" s="6" t="str">
        <f>IFERROR(__xludf.DUMMYFUNCTION("""COMPUTED_VALUE"""),"HS")</f>
        <v>HS</v>
      </c>
      <c r="R3487" s="6">
        <f>IFERROR(__xludf.DUMMYFUNCTION("""COMPUTED_VALUE"""),0.0)</f>
        <v>0</v>
      </c>
      <c r="S3487" s="6" t="str">
        <f>IFERROR(__xludf.DUMMYFUNCTION("""COMPUTED_VALUE"""),"Lindsay Polk")</f>
        <v>Lindsay Polk</v>
      </c>
      <c r="T3487" s="6" t="str">
        <f>IFERROR(__xludf.DUMMYFUNCTION("""COMPUTED_VALUE"""),"lindsay.polk@ortrail.k12.or.us")</f>
        <v>lindsay.polk@ortrail.k12.or.us</v>
      </c>
      <c r="U3487" s="6" t="str">
        <f>IFERROR(__xludf.DUMMYFUNCTION("""COMPUTED_VALUE"""),"12")</f>
        <v>12</v>
      </c>
      <c r="V3487" s="6" t="str">
        <f>IFERROR(__xludf.DUMMYFUNCTION("""COMPUTED_VALUE"""),"English")</f>
        <v>English</v>
      </c>
      <c r="W3487" s="6" t="str">
        <f>IFERROR(__xludf.DUMMYFUNCTION("""COMPUTED_VALUE"""),"[]")</f>
        <v>[]</v>
      </c>
      <c r="X3487" s="6" t="str">
        <f>IFERROR(__xludf.DUMMYFUNCTION("""COMPUTED_VALUE"""),"Enrolled")</f>
        <v>Enrolled</v>
      </c>
    </row>
    <row r="3488">
      <c r="A3488" s="6" t="str">
        <f>IFERROR(__xludf.DUMMYFUNCTION("""COMPUTED_VALUE"""),"064-6531")</f>
        <v>064-6531</v>
      </c>
      <c r="B3488" s="6" t="str">
        <f>IFERROR(__xludf.DUMMYFUNCTION("""COMPUTED_VALUE"""),"64")</f>
        <v>64</v>
      </c>
      <c r="C3488" s="6" t="str">
        <f>IFERROR(__xludf.DUMMYFUNCTION("""COMPUTED_VALUE"""),"6531")</f>
        <v>6531</v>
      </c>
      <c r="D3488" s="6" t="str">
        <f>IFERROR(__xludf.DUMMYFUNCTION("""COMPUTED_VALUE"""),"Preston")</f>
        <v>Preston</v>
      </c>
      <c r="E3488" s="6" t="str">
        <f>IFERROR(__xludf.DUMMYFUNCTION("""COMPUTED_VALUE"""),"")</f>
        <v/>
      </c>
      <c r="F3488" s="6" t="str">
        <f>IFERROR(__xludf.DUMMYFUNCTION("""COMPUTED_VALUE"""),"Hooper")</f>
        <v>Hooper</v>
      </c>
      <c r="G3488" s="6" t="str">
        <f>IFERROR(__xludf.DUMMYFUNCTION("""COMPUTED_VALUE"""),"08/13/2009")</f>
        <v>08/13/2009</v>
      </c>
      <c r="H3488" s="6" t="str">
        <f>IFERROR(__xludf.DUMMYFUNCTION("""COMPUTED_VALUE"""),"Self Identify")</f>
        <v>Self Identify</v>
      </c>
      <c r="I3488" s="6" t="str">
        <f>IFERROR(__xludf.DUMMYFUNCTION("""COMPUTED_VALUE"""),"High School")</f>
        <v>High School</v>
      </c>
      <c r="J3488" s="6" t="str">
        <f>IFERROR(__xludf.DUMMYFUNCTION("""COMPUTED_VALUE"""),"10")</f>
        <v>10</v>
      </c>
      <c r="K3488" s="6" t="str">
        <f>IFERROR(__xludf.DUMMYFUNCTION("""COMPUTED_VALUE"""),"preston_hooper@stu.ortrail.k12.or.us")</f>
        <v>preston_hooper@stu.ortrail.k12.or.us</v>
      </c>
      <c r="L3488" s="6" t="str">
        <f>IFERROR(__xludf.DUMMYFUNCTION("""COMPUTED_VALUE"""),"Oregon Trail School District 46")</f>
        <v>Oregon Trail School District 46</v>
      </c>
      <c r="M3488" s="6" t="str">
        <f>IFERROR(__xludf.DUMMYFUNCTION("""COMPUTED_VALUE"""),"Sandy High School")</f>
        <v>Sandy High School</v>
      </c>
      <c r="N3488" s="6" t="str">
        <f>IFERROR(__xludf.DUMMYFUNCTION("""COMPUTED_VALUE"""),"")</f>
        <v/>
      </c>
      <c r="O3488" s="87" t="str">
        <f>IFERROR(__xludf.DUMMYFUNCTION("""COMPUTED_VALUE"""),"https://drive.google.com/drive/folders/10T2cTQHqEJZqE-st6uFKPoI?usp=share_link")</f>
        <v>https://drive.google.com/drive/folders/10T2cTQHqEJZqE-st6uFKPoI?usp=share_link</v>
      </c>
      <c r="P3488" s="6" t="str">
        <f>IFERROR(__xludf.DUMMYFUNCTION("""COMPUTED_VALUE"""),"Preston Hooper")</f>
        <v>Preston Hooper</v>
      </c>
      <c r="Q3488" s="6" t="str">
        <f>IFERROR(__xludf.DUMMYFUNCTION("""COMPUTED_VALUE"""),"HS")</f>
        <v>HS</v>
      </c>
      <c r="R3488" s="6">
        <f>IFERROR(__xludf.DUMMYFUNCTION("""COMPUTED_VALUE"""),0.0)</f>
        <v>0</v>
      </c>
      <c r="S3488" s="6" t="str">
        <f>IFERROR(__xludf.DUMMYFUNCTION("""COMPUTED_VALUE"""),"Lindsay Polk")</f>
        <v>Lindsay Polk</v>
      </c>
      <c r="T3488" s="6" t="str">
        <f>IFERROR(__xludf.DUMMYFUNCTION("""COMPUTED_VALUE"""),"lindsay.polk@ortrail.k12.or.us")</f>
        <v>lindsay.polk@ortrail.k12.or.us</v>
      </c>
      <c r="U3488" s="6" t="str">
        <f>IFERROR(__xludf.DUMMYFUNCTION("""COMPUTED_VALUE"""),"10")</f>
        <v>10</v>
      </c>
      <c r="V3488" s="6" t="str">
        <f>IFERROR(__xludf.DUMMYFUNCTION("""COMPUTED_VALUE"""),"English")</f>
        <v>English</v>
      </c>
      <c r="W3488" s="6" t="str">
        <f>IFERROR(__xludf.DUMMYFUNCTION("""COMPUTED_VALUE"""),"[]")</f>
        <v>[]</v>
      </c>
      <c r="X3488" s="6" t="str">
        <f>IFERROR(__xludf.DUMMYFUNCTION("""COMPUTED_VALUE"""),"Enrolled")</f>
        <v>Enrolled</v>
      </c>
    </row>
    <row r="3489">
      <c r="A3489" s="6" t="str">
        <f>IFERROR(__xludf.DUMMYFUNCTION("""COMPUTED_VALUE"""),"064-6534")</f>
        <v>064-6534</v>
      </c>
      <c r="B3489" s="6" t="str">
        <f>IFERROR(__xludf.DUMMYFUNCTION("""COMPUTED_VALUE"""),"64")</f>
        <v>64</v>
      </c>
      <c r="C3489" s="6" t="str">
        <f>IFERROR(__xludf.DUMMYFUNCTION("""COMPUTED_VALUE"""),"6534")</f>
        <v>6534</v>
      </c>
      <c r="D3489" s="6" t="str">
        <f>IFERROR(__xludf.DUMMYFUNCTION("""COMPUTED_VALUE"""),"Averie")</f>
        <v>Averie</v>
      </c>
      <c r="E3489" s="6" t="str">
        <f>IFERROR(__xludf.DUMMYFUNCTION("""COMPUTED_VALUE"""),"")</f>
        <v/>
      </c>
      <c r="F3489" s="6" t="str">
        <f>IFERROR(__xludf.DUMMYFUNCTION("""COMPUTED_VALUE"""),"Howard")</f>
        <v>Howard</v>
      </c>
      <c r="G3489" s="6" t="str">
        <f>IFERROR(__xludf.DUMMYFUNCTION("""COMPUTED_VALUE"""),"05/23/2008")</f>
        <v>05/23/2008</v>
      </c>
      <c r="H3489" s="6" t="str">
        <f>IFERROR(__xludf.DUMMYFUNCTION("""COMPUTED_VALUE"""),"Self Identify")</f>
        <v>Self Identify</v>
      </c>
      <c r="I3489" s="6" t="str">
        <f>IFERROR(__xludf.DUMMYFUNCTION("""COMPUTED_VALUE"""),"High School")</f>
        <v>High School</v>
      </c>
      <c r="J3489" s="6" t="str">
        <f>IFERROR(__xludf.DUMMYFUNCTION("""COMPUTED_VALUE"""),"12")</f>
        <v>12</v>
      </c>
      <c r="K3489" s="6" t="str">
        <f>IFERROR(__xludf.DUMMYFUNCTION("""COMPUTED_VALUE"""),"averie_howard@stu.ortrail.k12.or.us")</f>
        <v>averie_howard@stu.ortrail.k12.or.us</v>
      </c>
      <c r="L3489" s="6" t="str">
        <f>IFERROR(__xludf.DUMMYFUNCTION("""COMPUTED_VALUE"""),"Oregon Trail School District 46")</f>
        <v>Oregon Trail School District 46</v>
      </c>
      <c r="M3489" s="6" t="str">
        <f>IFERROR(__xludf.DUMMYFUNCTION("""COMPUTED_VALUE"""),"Sandy High School")</f>
        <v>Sandy High School</v>
      </c>
      <c r="N3489" s="6" t="str">
        <f>IFERROR(__xludf.DUMMYFUNCTION("""COMPUTED_VALUE"""),"")</f>
        <v/>
      </c>
      <c r="O3489" s="87" t="str">
        <f>IFERROR(__xludf.DUMMYFUNCTION("""COMPUTED_VALUE"""),"https://drive.google.com/drive/folders/10T2cTQHqEJZqE-st6uFKPoI?usp=share_link")</f>
        <v>https://drive.google.com/drive/folders/10T2cTQHqEJZqE-st6uFKPoI?usp=share_link</v>
      </c>
      <c r="P3489" s="6" t="str">
        <f>IFERROR(__xludf.DUMMYFUNCTION("""COMPUTED_VALUE"""),"Averie Howard")</f>
        <v>Averie Howard</v>
      </c>
      <c r="Q3489" s="6" t="str">
        <f>IFERROR(__xludf.DUMMYFUNCTION("""COMPUTED_VALUE"""),"HS")</f>
        <v>HS</v>
      </c>
      <c r="R3489" s="6">
        <f>IFERROR(__xludf.DUMMYFUNCTION("""COMPUTED_VALUE"""),0.0)</f>
        <v>0</v>
      </c>
      <c r="S3489" s="6" t="str">
        <f>IFERROR(__xludf.DUMMYFUNCTION("""COMPUTED_VALUE"""),"Lindsay Polk")</f>
        <v>Lindsay Polk</v>
      </c>
      <c r="T3489" s="6" t="str">
        <f>IFERROR(__xludf.DUMMYFUNCTION("""COMPUTED_VALUE"""),"lindsay.polk@ortrail.k12.or.us")</f>
        <v>lindsay.polk@ortrail.k12.or.us</v>
      </c>
      <c r="U3489" s="6" t="str">
        <f>IFERROR(__xludf.DUMMYFUNCTION("""COMPUTED_VALUE"""),"12")</f>
        <v>12</v>
      </c>
      <c r="V3489" s="6" t="str">
        <f>IFERROR(__xludf.DUMMYFUNCTION("""COMPUTED_VALUE"""),"English")</f>
        <v>English</v>
      </c>
      <c r="W3489" s="6" t="str">
        <f>IFERROR(__xludf.DUMMYFUNCTION("""COMPUTED_VALUE"""),"[]")</f>
        <v>[]</v>
      </c>
      <c r="X3489" s="6" t="str">
        <f>IFERROR(__xludf.DUMMYFUNCTION("""COMPUTED_VALUE"""),"Enrolled")</f>
        <v>Enrolled</v>
      </c>
    </row>
    <row r="3490">
      <c r="A3490" s="6" t="str">
        <f>IFERROR(__xludf.DUMMYFUNCTION("""COMPUTED_VALUE"""),"064-6537")</f>
        <v>064-6537</v>
      </c>
      <c r="B3490" s="6" t="str">
        <f>IFERROR(__xludf.DUMMYFUNCTION("""COMPUTED_VALUE"""),"64")</f>
        <v>64</v>
      </c>
      <c r="C3490" s="6" t="str">
        <f>IFERROR(__xludf.DUMMYFUNCTION("""COMPUTED_VALUE"""),"6537")</f>
        <v>6537</v>
      </c>
      <c r="D3490" s="6" t="str">
        <f>IFERROR(__xludf.DUMMYFUNCTION("""COMPUTED_VALUE"""),"Ashley")</f>
        <v>Ashley</v>
      </c>
      <c r="E3490" s="6" t="str">
        <f>IFERROR(__xludf.DUMMYFUNCTION("""COMPUTED_VALUE"""),"")</f>
        <v/>
      </c>
      <c r="F3490" s="6" t="str">
        <f>IFERROR(__xludf.DUMMYFUNCTION("""COMPUTED_VALUE"""),"James")</f>
        <v>James</v>
      </c>
      <c r="G3490" s="6" t="str">
        <f>IFERROR(__xludf.DUMMYFUNCTION("""COMPUTED_VALUE"""),"07/17/2009")</f>
        <v>07/17/2009</v>
      </c>
      <c r="H3490" s="6" t="str">
        <f>IFERROR(__xludf.DUMMYFUNCTION("""COMPUTED_VALUE"""),"Self Identify")</f>
        <v>Self Identify</v>
      </c>
      <c r="I3490" s="6" t="str">
        <f>IFERROR(__xludf.DUMMYFUNCTION("""COMPUTED_VALUE"""),"High School")</f>
        <v>High School</v>
      </c>
      <c r="J3490" s="6" t="str">
        <f>IFERROR(__xludf.DUMMYFUNCTION("""COMPUTED_VALUE"""),"10")</f>
        <v>10</v>
      </c>
      <c r="K3490" s="6" t="str">
        <f>IFERROR(__xludf.DUMMYFUNCTION("""COMPUTED_VALUE"""),"ashley_james@stu.ortrail.k12.or.us")</f>
        <v>ashley_james@stu.ortrail.k12.or.us</v>
      </c>
      <c r="L3490" s="6" t="str">
        <f>IFERROR(__xludf.DUMMYFUNCTION("""COMPUTED_VALUE"""),"Oregon Trail School District 46")</f>
        <v>Oregon Trail School District 46</v>
      </c>
      <c r="M3490" s="6" t="str">
        <f>IFERROR(__xludf.DUMMYFUNCTION("""COMPUTED_VALUE"""),"Sandy High School")</f>
        <v>Sandy High School</v>
      </c>
      <c r="N3490" s="6" t="str">
        <f>IFERROR(__xludf.DUMMYFUNCTION("""COMPUTED_VALUE"""),"")</f>
        <v/>
      </c>
      <c r="O3490" s="87" t="str">
        <f>IFERROR(__xludf.DUMMYFUNCTION("""COMPUTED_VALUE"""),"https://drive.google.com/drive/folders/10T2cTQHqEJZqE-st6uFKPoI?usp=share_link")</f>
        <v>https://drive.google.com/drive/folders/10T2cTQHqEJZqE-st6uFKPoI?usp=share_link</v>
      </c>
      <c r="P3490" s="6" t="str">
        <f>IFERROR(__xludf.DUMMYFUNCTION("""COMPUTED_VALUE"""),"Ashley James")</f>
        <v>Ashley James</v>
      </c>
      <c r="Q3490" s="6" t="str">
        <f>IFERROR(__xludf.DUMMYFUNCTION("""COMPUTED_VALUE"""),"HS")</f>
        <v>HS</v>
      </c>
      <c r="R3490" s="6">
        <f>IFERROR(__xludf.DUMMYFUNCTION("""COMPUTED_VALUE"""),0.0)</f>
        <v>0</v>
      </c>
      <c r="S3490" s="6" t="str">
        <f>IFERROR(__xludf.DUMMYFUNCTION("""COMPUTED_VALUE"""),"Lindsay Polk")</f>
        <v>Lindsay Polk</v>
      </c>
      <c r="T3490" s="6" t="str">
        <f>IFERROR(__xludf.DUMMYFUNCTION("""COMPUTED_VALUE"""),"lindsay.polk@ortrail.k12.or.us")</f>
        <v>lindsay.polk@ortrail.k12.or.us</v>
      </c>
      <c r="U3490" s="6" t="str">
        <f>IFERROR(__xludf.DUMMYFUNCTION("""COMPUTED_VALUE"""),"10")</f>
        <v>10</v>
      </c>
      <c r="V3490" s="6" t="str">
        <f>IFERROR(__xludf.DUMMYFUNCTION("""COMPUTED_VALUE"""),"English")</f>
        <v>English</v>
      </c>
      <c r="W3490" s="6" t="str">
        <f>IFERROR(__xludf.DUMMYFUNCTION("""COMPUTED_VALUE"""),"[]")</f>
        <v>[]</v>
      </c>
      <c r="X3490" s="6" t="str">
        <f>IFERROR(__xludf.DUMMYFUNCTION("""COMPUTED_VALUE"""),"Enrolled")</f>
        <v>Enrolled</v>
      </c>
    </row>
    <row r="3491">
      <c r="A3491" s="6" t="str">
        <f>IFERROR(__xludf.DUMMYFUNCTION("""COMPUTED_VALUE"""),"064-6540")</f>
        <v>064-6540</v>
      </c>
      <c r="B3491" s="6" t="str">
        <f>IFERROR(__xludf.DUMMYFUNCTION("""COMPUTED_VALUE"""),"64")</f>
        <v>64</v>
      </c>
      <c r="C3491" s="6" t="str">
        <f>IFERROR(__xludf.DUMMYFUNCTION("""COMPUTED_VALUE"""),"6540")</f>
        <v>6540</v>
      </c>
      <c r="D3491" s="6" t="str">
        <f>IFERROR(__xludf.DUMMYFUNCTION("""COMPUTED_VALUE"""),"Carter")</f>
        <v>Carter</v>
      </c>
      <c r="E3491" s="6" t="str">
        <f>IFERROR(__xludf.DUMMYFUNCTION("""COMPUTED_VALUE"""),"")</f>
        <v/>
      </c>
      <c r="F3491" s="6" t="str">
        <f>IFERROR(__xludf.DUMMYFUNCTION("""COMPUTED_VALUE"""),"Little")</f>
        <v>Little</v>
      </c>
      <c r="G3491" s="6" t="str">
        <f>IFERROR(__xludf.DUMMYFUNCTION("""COMPUTED_VALUE"""),"03/13/2008")</f>
        <v>03/13/2008</v>
      </c>
      <c r="H3491" s="6" t="str">
        <f>IFERROR(__xludf.DUMMYFUNCTION("""COMPUTED_VALUE"""),"Self Identify")</f>
        <v>Self Identify</v>
      </c>
      <c r="I3491" s="6" t="str">
        <f>IFERROR(__xludf.DUMMYFUNCTION("""COMPUTED_VALUE"""),"High School")</f>
        <v>High School</v>
      </c>
      <c r="J3491" s="6" t="str">
        <f>IFERROR(__xludf.DUMMYFUNCTION("""COMPUTED_VALUE"""),"12")</f>
        <v>12</v>
      </c>
      <c r="K3491" s="6" t="str">
        <f>IFERROR(__xludf.DUMMYFUNCTION("""COMPUTED_VALUE"""),"carter_little@stu.ortrail.k12.or.us")</f>
        <v>carter_little@stu.ortrail.k12.or.us</v>
      </c>
      <c r="L3491" s="6" t="str">
        <f>IFERROR(__xludf.DUMMYFUNCTION("""COMPUTED_VALUE"""),"Oregon Trail School District 46")</f>
        <v>Oregon Trail School District 46</v>
      </c>
      <c r="M3491" s="6" t="str">
        <f>IFERROR(__xludf.DUMMYFUNCTION("""COMPUTED_VALUE"""),"Sandy High School")</f>
        <v>Sandy High School</v>
      </c>
      <c r="N3491" s="6" t="str">
        <f>IFERROR(__xludf.DUMMYFUNCTION("""COMPUTED_VALUE"""),"")</f>
        <v/>
      </c>
      <c r="O3491" s="87" t="str">
        <f>IFERROR(__xludf.DUMMYFUNCTION("""COMPUTED_VALUE"""),"https://drive.google.com/drive/folders/10T2cTQHqEJZqE-st6uFKPoI?usp=share_link")</f>
        <v>https://drive.google.com/drive/folders/10T2cTQHqEJZqE-st6uFKPoI?usp=share_link</v>
      </c>
      <c r="P3491" s="6" t="str">
        <f>IFERROR(__xludf.DUMMYFUNCTION("""COMPUTED_VALUE"""),"Carter Little")</f>
        <v>Carter Little</v>
      </c>
      <c r="Q3491" s="6" t="str">
        <f>IFERROR(__xludf.DUMMYFUNCTION("""COMPUTED_VALUE"""),"HS")</f>
        <v>HS</v>
      </c>
      <c r="R3491" s="6">
        <f>IFERROR(__xludf.DUMMYFUNCTION("""COMPUTED_VALUE"""),0.0)</f>
        <v>0</v>
      </c>
      <c r="S3491" s="6" t="str">
        <f>IFERROR(__xludf.DUMMYFUNCTION("""COMPUTED_VALUE"""),"Lindsay Polk")</f>
        <v>Lindsay Polk</v>
      </c>
      <c r="T3491" s="6" t="str">
        <f>IFERROR(__xludf.DUMMYFUNCTION("""COMPUTED_VALUE"""),"lindsay.polk@ortrail.k12.or.us")</f>
        <v>lindsay.polk@ortrail.k12.or.us</v>
      </c>
      <c r="U3491" s="6" t="str">
        <f>IFERROR(__xludf.DUMMYFUNCTION("""COMPUTED_VALUE"""),"12")</f>
        <v>12</v>
      </c>
      <c r="V3491" s="6" t="str">
        <f>IFERROR(__xludf.DUMMYFUNCTION("""COMPUTED_VALUE"""),"English")</f>
        <v>English</v>
      </c>
      <c r="W3491" s="6" t="str">
        <f>IFERROR(__xludf.DUMMYFUNCTION("""COMPUTED_VALUE"""),"[]")</f>
        <v>[]</v>
      </c>
      <c r="X3491" s="6" t="str">
        <f>IFERROR(__xludf.DUMMYFUNCTION("""COMPUTED_VALUE"""),"Enrolled")</f>
        <v>Enrolled</v>
      </c>
    </row>
    <row r="3492">
      <c r="A3492" s="6" t="str">
        <f>IFERROR(__xludf.DUMMYFUNCTION("""COMPUTED_VALUE"""),"064-6545")</f>
        <v>064-6545</v>
      </c>
      <c r="B3492" s="6" t="str">
        <f>IFERROR(__xludf.DUMMYFUNCTION("""COMPUTED_VALUE"""),"64")</f>
        <v>64</v>
      </c>
      <c r="C3492" s="6" t="str">
        <f>IFERROR(__xludf.DUMMYFUNCTION("""COMPUTED_VALUE"""),"6545")</f>
        <v>6545</v>
      </c>
      <c r="D3492" s="6" t="str">
        <f>IFERROR(__xludf.DUMMYFUNCTION("""COMPUTED_VALUE"""),"John")</f>
        <v>John</v>
      </c>
      <c r="E3492" s="6" t="str">
        <f>IFERROR(__xludf.DUMMYFUNCTION("""COMPUTED_VALUE"""),"")</f>
        <v/>
      </c>
      <c r="F3492" s="6" t="str">
        <f>IFERROR(__xludf.DUMMYFUNCTION("""COMPUTED_VALUE"""),"Raitano")</f>
        <v>Raitano</v>
      </c>
      <c r="G3492" s="6" t="str">
        <f>IFERROR(__xludf.DUMMYFUNCTION("""COMPUTED_VALUE"""),"04/06/2010")</f>
        <v>04/06/2010</v>
      </c>
      <c r="H3492" s="6" t="str">
        <f>IFERROR(__xludf.DUMMYFUNCTION("""COMPUTED_VALUE"""),"Self Identify")</f>
        <v>Self Identify</v>
      </c>
      <c r="I3492" s="6" t="str">
        <f>IFERROR(__xludf.DUMMYFUNCTION("""COMPUTED_VALUE"""),"High School")</f>
        <v>High School</v>
      </c>
      <c r="J3492" s="6" t="str">
        <f>IFERROR(__xludf.DUMMYFUNCTION("""COMPUTED_VALUE"""),"10")</f>
        <v>10</v>
      </c>
      <c r="K3492" s="6" t="str">
        <f>IFERROR(__xludf.DUMMYFUNCTION("""COMPUTED_VALUE"""),"john_raitano@stu.ortrail.k12.or.us")</f>
        <v>john_raitano@stu.ortrail.k12.or.us</v>
      </c>
      <c r="L3492" s="6" t="str">
        <f>IFERROR(__xludf.DUMMYFUNCTION("""COMPUTED_VALUE"""),"Oregon Trail School District 46")</f>
        <v>Oregon Trail School District 46</v>
      </c>
      <c r="M3492" s="6" t="str">
        <f>IFERROR(__xludf.DUMMYFUNCTION("""COMPUTED_VALUE"""),"Sandy High School")</f>
        <v>Sandy High School</v>
      </c>
      <c r="N3492" s="6" t="str">
        <f>IFERROR(__xludf.DUMMYFUNCTION("""COMPUTED_VALUE"""),"")</f>
        <v/>
      </c>
      <c r="O3492" s="87" t="str">
        <f>IFERROR(__xludf.DUMMYFUNCTION("""COMPUTED_VALUE"""),"https://drive.google.com/drive/folders/10T2cTQHqEJZqE-st6uFKPoI?usp=share_link")</f>
        <v>https://drive.google.com/drive/folders/10T2cTQHqEJZqE-st6uFKPoI?usp=share_link</v>
      </c>
      <c r="P3492" s="6" t="str">
        <f>IFERROR(__xludf.DUMMYFUNCTION("""COMPUTED_VALUE"""),"John Raitano")</f>
        <v>John Raitano</v>
      </c>
      <c r="Q3492" s="6" t="str">
        <f>IFERROR(__xludf.DUMMYFUNCTION("""COMPUTED_VALUE"""),"HS")</f>
        <v>HS</v>
      </c>
      <c r="R3492" s="6">
        <f>IFERROR(__xludf.DUMMYFUNCTION("""COMPUTED_VALUE"""),0.0)</f>
        <v>0</v>
      </c>
      <c r="S3492" s="6" t="str">
        <f>IFERROR(__xludf.DUMMYFUNCTION("""COMPUTED_VALUE"""),"Lindsay Polk")</f>
        <v>Lindsay Polk</v>
      </c>
      <c r="T3492" s="6" t="str">
        <f>IFERROR(__xludf.DUMMYFUNCTION("""COMPUTED_VALUE"""),"lindsay.polk@ortrail.k12.or.us")</f>
        <v>lindsay.polk@ortrail.k12.or.us</v>
      </c>
      <c r="U3492" s="6" t="str">
        <f>IFERROR(__xludf.DUMMYFUNCTION("""COMPUTED_VALUE"""),"10")</f>
        <v>10</v>
      </c>
      <c r="V3492" s="6" t="str">
        <f>IFERROR(__xludf.DUMMYFUNCTION("""COMPUTED_VALUE"""),"English")</f>
        <v>English</v>
      </c>
      <c r="W3492" s="6" t="str">
        <f>IFERROR(__xludf.DUMMYFUNCTION("""COMPUTED_VALUE"""),"[]")</f>
        <v>[]</v>
      </c>
      <c r="X3492" s="6" t="str">
        <f>IFERROR(__xludf.DUMMYFUNCTION("""COMPUTED_VALUE"""),"Enrolled")</f>
        <v>Enrolled</v>
      </c>
    </row>
    <row r="3493">
      <c r="A3493" s="6" t="str">
        <f>IFERROR(__xludf.DUMMYFUNCTION("""COMPUTED_VALUE"""),"064-6550")</f>
        <v>064-6550</v>
      </c>
      <c r="B3493" s="6" t="str">
        <f>IFERROR(__xludf.DUMMYFUNCTION("""COMPUTED_VALUE"""),"64")</f>
        <v>64</v>
      </c>
      <c r="C3493" s="6" t="str">
        <f>IFERROR(__xludf.DUMMYFUNCTION("""COMPUTED_VALUE"""),"6550")</f>
        <v>6550</v>
      </c>
      <c r="D3493" s="6" t="str">
        <f>IFERROR(__xludf.DUMMYFUNCTION("""COMPUTED_VALUE"""),"Lylian")</f>
        <v>Lylian</v>
      </c>
      <c r="E3493" s="6" t="str">
        <f>IFERROR(__xludf.DUMMYFUNCTION("""COMPUTED_VALUE"""),"")</f>
        <v/>
      </c>
      <c r="F3493" s="6" t="str">
        <f>IFERROR(__xludf.DUMMYFUNCTION("""COMPUTED_VALUE"""),"Starkovich")</f>
        <v>Starkovich</v>
      </c>
      <c r="G3493" s="6" t="str">
        <f>IFERROR(__xludf.DUMMYFUNCTION("""COMPUTED_VALUE"""),"05/29/2010")</f>
        <v>05/29/2010</v>
      </c>
      <c r="H3493" s="6" t="str">
        <f>IFERROR(__xludf.DUMMYFUNCTION("""COMPUTED_VALUE"""),"F")</f>
        <v>F</v>
      </c>
      <c r="I3493" s="6" t="str">
        <f>IFERROR(__xludf.DUMMYFUNCTION("""COMPUTED_VALUE"""),"High School")</f>
        <v>High School</v>
      </c>
      <c r="J3493" s="6" t="str">
        <f>IFERROR(__xludf.DUMMYFUNCTION("""COMPUTED_VALUE"""),"10")</f>
        <v>10</v>
      </c>
      <c r="K3493" s="6" t="str">
        <f>IFERROR(__xludf.DUMMYFUNCTION("""COMPUTED_VALUE"""),"lily_starkovich@stu.ortrail.k12.or.us")</f>
        <v>lily_starkovich@stu.ortrail.k12.or.us</v>
      </c>
      <c r="L3493" s="6" t="str">
        <f>IFERROR(__xludf.DUMMYFUNCTION("""COMPUTED_VALUE"""),"Oregon Trail School District 46")</f>
        <v>Oregon Trail School District 46</v>
      </c>
      <c r="M3493" s="6" t="str">
        <f>IFERROR(__xludf.DUMMYFUNCTION("""COMPUTED_VALUE"""),"")</f>
        <v/>
      </c>
      <c r="N3493" s="6" t="str">
        <f>IFERROR(__xludf.DUMMYFUNCTION("""COMPUTED_VALUE"""),"")</f>
        <v/>
      </c>
      <c r="O3493" s="87" t="str">
        <f>IFERROR(__xludf.DUMMYFUNCTION("""COMPUTED_VALUE"""),"https://drive.google.com/drive/folders/10T2cTQHqEJZqE-st6uFKPoI?usp=share_link")</f>
        <v>https://drive.google.com/drive/folders/10T2cTQHqEJZqE-st6uFKPoI?usp=share_link</v>
      </c>
      <c r="P3493" s="6" t="str">
        <f>IFERROR(__xludf.DUMMYFUNCTION("""COMPUTED_VALUE"""),"Lylian Starkovich")</f>
        <v>Lylian Starkovich</v>
      </c>
      <c r="Q3493" s="6" t="str">
        <f>IFERROR(__xludf.DUMMYFUNCTION("""COMPUTED_VALUE"""),"HS")</f>
        <v>HS</v>
      </c>
      <c r="R3493" s="6">
        <f>IFERROR(__xludf.DUMMYFUNCTION("""COMPUTED_VALUE"""),0.0)</f>
        <v>0</v>
      </c>
      <c r="S3493" s="6" t="str">
        <f>IFERROR(__xludf.DUMMYFUNCTION("""COMPUTED_VALUE"""),"Genevra Self")</f>
        <v>Genevra Self</v>
      </c>
      <c r="T3493" s="6" t="str">
        <f>IFERROR(__xludf.DUMMYFUNCTION("""COMPUTED_VALUE"""),"genevra.self@studient.com")</f>
        <v>genevra.self@studient.com</v>
      </c>
      <c r="U3493" s="6" t="str">
        <f>IFERROR(__xludf.DUMMYFUNCTION("""COMPUTED_VALUE"""),"10")</f>
        <v>10</v>
      </c>
      <c r="V3493" s="6" t="str">
        <f>IFERROR(__xludf.DUMMYFUNCTION("""COMPUTED_VALUE"""),"English")</f>
        <v>English</v>
      </c>
      <c r="W3493" s="6" t="str">
        <f>IFERROR(__xludf.DUMMYFUNCTION("""COMPUTED_VALUE"""),"[]")</f>
        <v>[]</v>
      </c>
      <c r="X3493" s="6" t="str">
        <f>IFERROR(__xludf.DUMMYFUNCTION("""COMPUTED_VALUE"""),"Enrolled")</f>
        <v>Enrolled</v>
      </c>
    </row>
    <row r="3494">
      <c r="A3494" s="6" t="str">
        <f>IFERROR(__xludf.DUMMYFUNCTION("""COMPUTED_VALUE"""),"064-6551")</f>
        <v>064-6551</v>
      </c>
      <c r="B3494" s="6" t="str">
        <f>IFERROR(__xludf.DUMMYFUNCTION("""COMPUTED_VALUE"""),"64")</f>
        <v>64</v>
      </c>
      <c r="C3494" s="6" t="str">
        <f>IFERROR(__xludf.DUMMYFUNCTION("""COMPUTED_VALUE"""),"6551")</f>
        <v>6551</v>
      </c>
      <c r="D3494" s="6" t="str">
        <f>IFERROR(__xludf.DUMMYFUNCTION("""COMPUTED_VALUE"""),"Jax")</f>
        <v>Jax</v>
      </c>
      <c r="E3494" s="6" t="str">
        <f>IFERROR(__xludf.DUMMYFUNCTION("""COMPUTED_VALUE"""),"")</f>
        <v/>
      </c>
      <c r="F3494" s="6" t="str">
        <f>IFERROR(__xludf.DUMMYFUNCTION("""COMPUTED_VALUE"""),"Stephens")</f>
        <v>Stephens</v>
      </c>
      <c r="G3494" s="6" t="str">
        <f>IFERROR(__xludf.DUMMYFUNCTION("""COMPUTED_VALUE"""),"08/25/2010")</f>
        <v>08/25/2010</v>
      </c>
      <c r="H3494" s="6" t="str">
        <f>IFERROR(__xludf.DUMMYFUNCTION("""COMPUTED_VALUE"""),"Self Identify")</f>
        <v>Self Identify</v>
      </c>
      <c r="I3494" s="6" t="str">
        <f>IFERROR(__xludf.DUMMYFUNCTION("""COMPUTED_VALUE"""),"High School")</f>
        <v>High School</v>
      </c>
      <c r="J3494" s="6" t="str">
        <f>IFERROR(__xludf.DUMMYFUNCTION("""COMPUTED_VALUE"""),"10")</f>
        <v>10</v>
      </c>
      <c r="K3494" s="6" t="str">
        <f>IFERROR(__xludf.DUMMYFUNCTION("""COMPUTED_VALUE"""),"jax_stephens@stu.ortrail.k12.or.us")</f>
        <v>jax_stephens@stu.ortrail.k12.or.us</v>
      </c>
      <c r="L3494" s="6" t="str">
        <f>IFERROR(__xludf.DUMMYFUNCTION("""COMPUTED_VALUE"""),"Oregon Trail School District 46")</f>
        <v>Oregon Trail School District 46</v>
      </c>
      <c r="M3494" s="6" t="str">
        <f>IFERROR(__xludf.DUMMYFUNCTION("""COMPUTED_VALUE"""),"Sandy High School")</f>
        <v>Sandy High School</v>
      </c>
      <c r="N3494" s="6" t="str">
        <f>IFERROR(__xludf.DUMMYFUNCTION("""COMPUTED_VALUE"""),"")</f>
        <v/>
      </c>
      <c r="O3494" s="87" t="str">
        <f>IFERROR(__xludf.DUMMYFUNCTION("""COMPUTED_VALUE"""),"https://drive.google.com/drive/folders/10T2cTQHqEJZqE-st6uFKPoI?usp=share_link")</f>
        <v>https://drive.google.com/drive/folders/10T2cTQHqEJZqE-st6uFKPoI?usp=share_link</v>
      </c>
      <c r="P3494" s="6" t="str">
        <f>IFERROR(__xludf.DUMMYFUNCTION("""COMPUTED_VALUE"""),"Jax Stephens")</f>
        <v>Jax Stephens</v>
      </c>
      <c r="Q3494" s="6" t="str">
        <f>IFERROR(__xludf.DUMMYFUNCTION("""COMPUTED_VALUE"""),"HS")</f>
        <v>HS</v>
      </c>
      <c r="R3494" s="6">
        <f>IFERROR(__xludf.DUMMYFUNCTION("""COMPUTED_VALUE"""),0.0)</f>
        <v>0</v>
      </c>
      <c r="S3494" s="6" t="str">
        <f>IFERROR(__xludf.DUMMYFUNCTION("""COMPUTED_VALUE"""),"Lindsay Polk")</f>
        <v>Lindsay Polk</v>
      </c>
      <c r="T3494" s="6" t="str">
        <f>IFERROR(__xludf.DUMMYFUNCTION("""COMPUTED_VALUE"""),"lindsay.polk@ortrail.k12.or.us")</f>
        <v>lindsay.polk@ortrail.k12.or.us</v>
      </c>
      <c r="U3494" s="6" t="str">
        <f>IFERROR(__xludf.DUMMYFUNCTION("""COMPUTED_VALUE"""),"10")</f>
        <v>10</v>
      </c>
      <c r="V3494" s="6" t="str">
        <f>IFERROR(__xludf.DUMMYFUNCTION("""COMPUTED_VALUE"""),"English")</f>
        <v>English</v>
      </c>
      <c r="W3494" s="6" t="str">
        <f>IFERROR(__xludf.DUMMYFUNCTION("""COMPUTED_VALUE"""),"[]")</f>
        <v>[]</v>
      </c>
      <c r="X3494" s="6" t="str">
        <f>IFERROR(__xludf.DUMMYFUNCTION("""COMPUTED_VALUE"""),"Enrolled")</f>
        <v>Enrolled</v>
      </c>
    </row>
    <row r="3495">
      <c r="A3495" s="6" t="str">
        <f>IFERROR(__xludf.DUMMYFUNCTION("""COMPUTED_VALUE"""),"064-6553")</f>
        <v>064-6553</v>
      </c>
      <c r="B3495" s="6" t="str">
        <f>IFERROR(__xludf.DUMMYFUNCTION("""COMPUTED_VALUE"""),"64")</f>
        <v>64</v>
      </c>
      <c r="C3495" s="6" t="str">
        <f>IFERROR(__xludf.DUMMYFUNCTION("""COMPUTED_VALUE"""),"6553")</f>
        <v>6553</v>
      </c>
      <c r="D3495" s="6" t="str">
        <f>IFERROR(__xludf.DUMMYFUNCTION("""COMPUTED_VALUE"""),"Shaelise")</f>
        <v>Shaelise</v>
      </c>
      <c r="E3495" s="6" t="str">
        <f>IFERROR(__xludf.DUMMYFUNCTION("""COMPUTED_VALUE"""),"")</f>
        <v/>
      </c>
      <c r="F3495" s="6" t="str">
        <f>IFERROR(__xludf.DUMMYFUNCTION("""COMPUTED_VALUE"""),"Turley")</f>
        <v>Turley</v>
      </c>
      <c r="G3495" s="6" t="str">
        <f>IFERROR(__xludf.DUMMYFUNCTION("""COMPUTED_VALUE"""),"02/26/2008")</f>
        <v>02/26/2008</v>
      </c>
      <c r="H3495" s="6" t="str">
        <f>IFERROR(__xludf.DUMMYFUNCTION("""COMPUTED_VALUE"""),"F")</f>
        <v>F</v>
      </c>
      <c r="I3495" s="6" t="str">
        <f>IFERROR(__xludf.DUMMYFUNCTION("""COMPUTED_VALUE"""),"High School")</f>
        <v>High School</v>
      </c>
      <c r="J3495" s="6" t="str">
        <f>IFERROR(__xludf.DUMMYFUNCTION("""COMPUTED_VALUE"""),"12")</f>
        <v>12</v>
      </c>
      <c r="K3495" s="6" t="str">
        <f>IFERROR(__xludf.DUMMYFUNCTION("""COMPUTED_VALUE"""),"shae_turley@stu.ortrail.k12.or.us")</f>
        <v>shae_turley@stu.ortrail.k12.or.us</v>
      </c>
      <c r="L3495" s="6" t="str">
        <f>IFERROR(__xludf.DUMMYFUNCTION("""COMPUTED_VALUE"""),"Oregon Trail School District 46")</f>
        <v>Oregon Trail School District 46</v>
      </c>
      <c r="M3495" s="6" t="str">
        <f>IFERROR(__xludf.DUMMYFUNCTION("""COMPUTED_VALUE"""),"")</f>
        <v/>
      </c>
      <c r="N3495" s="6" t="str">
        <f>IFERROR(__xludf.DUMMYFUNCTION("""COMPUTED_VALUE"""),"")</f>
        <v/>
      </c>
      <c r="O3495" s="87" t="str">
        <f>IFERROR(__xludf.DUMMYFUNCTION("""COMPUTED_VALUE"""),"https://drive.google.com/drive/folders/10T2cTQHqEJZqE-st6uFKPoI?usp=share_link")</f>
        <v>https://drive.google.com/drive/folders/10T2cTQHqEJZqE-st6uFKPoI?usp=share_link</v>
      </c>
      <c r="P3495" s="6" t="str">
        <f>IFERROR(__xludf.DUMMYFUNCTION("""COMPUTED_VALUE"""),"Shaelise Turley")</f>
        <v>Shaelise Turley</v>
      </c>
      <c r="Q3495" s="6" t="str">
        <f>IFERROR(__xludf.DUMMYFUNCTION("""COMPUTED_VALUE"""),"HS")</f>
        <v>HS</v>
      </c>
      <c r="R3495" s="6">
        <f>IFERROR(__xludf.DUMMYFUNCTION("""COMPUTED_VALUE"""),0.0)</f>
        <v>0</v>
      </c>
      <c r="S3495" s="6" t="str">
        <f>IFERROR(__xludf.DUMMYFUNCTION("""COMPUTED_VALUE"""),"Genevra Self")</f>
        <v>Genevra Self</v>
      </c>
      <c r="T3495" s="6" t="str">
        <f>IFERROR(__xludf.DUMMYFUNCTION("""COMPUTED_VALUE"""),"genevra.self@studient.com")</f>
        <v>genevra.self@studient.com</v>
      </c>
      <c r="U3495" s="6" t="str">
        <f>IFERROR(__xludf.DUMMYFUNCTION("""COMPUTED_VALUE"""),"12")</f>
        <v>12</v>
      </c>
      <c r="V3495" s="6" t="str">
        <f>IFERROR(__xludf.DUMMYFUNCTION("""COMPUTED_VALUE"""),"English")</f>
        <v>English</v>
      </c>
      <c r="W3495" s="6" t="str">
        <f>IFERROR(__xludf.DUMMYFUNCTION("""COMPUTED_VALUE"""),"[]")</f>
        <v>[]</v>
      </c>
      <c r="X3495" s="6" t="str">
        <f>IFERROR(__xludf.DUMMYFUNCTION("""COMPUTED_VALUE"""),"Enrolled")</f>
        <v>Enrolled</v>
      </c>
    </row>
    <row r="3496">
      <c r="A3496" s="6" t="str">
        <f>IFERROR(__xludf.DUMMYFUNCTION("""COMPUTED_VALUE"""),"064-6555")</f>
        <v>064-6555</v>
      </c>
      <c r="B3496" s="6" t="str">
        <f>IFERROR(__xludf.DUMMYFUNCTION("""COMPUTED_VALUE"""),"64")</f>
        <v>64</v>
      </c>
      <c r="C3496" s="6" t="str">
        <f>IFERROR(__xludf.DUMMYFUNCTION("""COMPUTED_VALUE"""),"6555")</f>
        <v>6555</v>
      </c>
      <c r="D3496" s="6" t="str">
        <f>IFERROR(__xludf.DUMMYFUNCTION("""COMPUTED_VALUE"""),"Macayla")</f>
        <v>Macayla</v>
      </c>
      <c r="E3496" s="6" t="str">
        <f>IFERROR(__xludf.DUMMYFUNCTION("""COMPUTED_VALUE"""),"")</f>
        <v/>
      </c>
      <c r="F3496" s="6" t="str">
        <f>IFERROR(__xludf.DUMMYFUNCTION("""COMPUTED_VALUE"""),"Van horn")</f>
        <v>Van horn</v>
      </c>
      <c r="G3496" s="6" t="str">
        <f>IFERROR(__xludf.DUMMYFUNCTION("""COMPUTED_VALUE"""),"08/19/2010")</f>
        <v>08/19/2010</v>
      </c>
      <c r="H3496" s="6" t="str">
        <f>IFERROR(__xludf.DUMMYFUNCTION("""COMPUTED_VALUE"""),"Self Identify")</f>
        <v>Self Identify</v>
      </c>
      <c r="I3496" s="6" t="str">
        <f>IFERROR(__xludf.DUMMYFUNCTION("""COMPUTED_VALUE"""),"High School")</f>
        <v>High School</v>
      </c>
      <c r="J3496" s="6" t="str">
        <f>IFERROR(__xludf.DUMMYFUNCTION("""COMPUTED_VALUE"""),"10")</f>
        <v>10</v>
      </c>
      <c r="K3496" s="6" t="str">
        <f>IFERROR(__xludf.DUMMYFUNCTION("""COMPUTED_VALUE"""),"macayla_vanhorn@stu.ortrail.k12.or.us")</f>
        <v>macayla_vanhorn@stu.ortrail.k12.or.us</v>
      </c>
      <c r="L3496" s="6" t="str">
        <f>IFERROR(__xludf.DUMMYFUNCTION("""COMPUTED_VALUE"""),"Oregon Trail School District 46")</f>
        <v>Oregon Trail School District 46</v>
      </c>
      <c r="M3496" s="6" t="str">
        <f>IFERROR(__xludf.DUMMYFUNCTION("""COMPUTED_VALUE"""),"Sandy High School")</f>
        <v>Sandy High School</v>
      </c>
      <c r="N3496" s="6" t="str">
        <f>IFERROR(__xludf.DUMMYFUNCTION("""COMPUTED_VALUE"""),"")</f>
        <v/>
      </c>
      <c r="O3496" s="87" t="str">
        <f>IFERROR(__xludf.DUMMYFUNCTION("""COMPUTED_VALUE"""),"https://drive.google.com/drive/folders/10T2cTQHqEJZqE-st6uFKPoI?usp=share_link")</f>
        <v>https://drive.google.com/drive/folders/10T2cTQHqEJZqE-st6uFKPoI?usp=share_link</v>
      </c>
      <c r="P3496" s="6" t="str">
        <f>IFERROR(__xludf.DUMMYFUNCTION("""COMPUTED_VALUE"""),"Macayla Van horn")</f>
        <v>Macayla Van horn</v>
      </c>
      <c r="Q3496" s="6" t="str">
        <f>IFERROR(__xludf.DUMMYFUNCTION("""COMPUTED_VALUE"""),"HS")</f>
        <v>HS</v>
      </c>
      <c r="R3496" s="6">
        <f>IFERROR(__xludf.DUMMYFUNCTION("""COMPUTED_VALUE"""),0.0)</f>
        <v>0</v>
      </c>
      <c r="S3496" s="6" t="str">
        <f>IFERROR(__xludf.DUMMYFUNCTION("""COMPUTED_VALUE"""),"Lindsay Polk")</f>
        <v>Lindsay Polk</v>
      </c>
      <c r="T3496" s="6" t="str">
        <f>IFERROR(__xludf.DUMMYFUNCTION("""COMPUTED_VALUE"""),"lindsay.polk@ortrail.k12.or.us")</f>
        <v>lindsay.polk@ortrail.k12.or.us</v>
      </c>
      <c r="U3496" s="6" t="str">
        <f>IFERROR(__xludf.DUMMYFUNCTION("""COMPUTED_VALUE"""),"10")</f>
        <v>10</v>
      </c>
      <c r="V3496" s="6" t="str">
        <f>IFERROR(__xludf.DUMMYFUNCTION("""COMPUTED_VALUE"""),"English")</f>
        <v>English</v>
      </c>
      <c r="W3496" s="6" t="str">
        <f>IFERROR(__xludf.DUMMYFUNCTION("""COMPUTED_VALUE"""),"[]")</f>
        <v>[]</v>
      </c>
      <c r="X3496" s="6" t="str">
        <f>IFERROR(__xludf.DUMMYFUNCTION("""COMPUTED_VALUE"""),"Enrolled")</f>
        <v>Enrolled</v>
      </c>
    </row>
    <row r="3497">
      <c r="A3497" s="6" t="str">
        <f>IFERROR(__xludf.DUMMYFUNCTION("""COMPUTED_VALUE"""),"064-6556")</f>
        <v>064-6556</v>
      </c>
      <c r="B3497" s="6" t="str">
        <f>IFERROR(__xludf.DUMMYFUNCTION("""COMPUTED_VALUE"""),"64")</f>
        <v>64</v>
      </c>
      <c r="C3497" s="6" t="str">
        <f>IFERROR(__xludf.DUMMYFUNCTION("""COMPUTED_VALUE"""),"6556")</f>
        <v>6556</v>
      </c>
      <c r="D3497" s="6" t="str">
        <f>IFERROR(__xludf.DUMMYFUNCTION("""COMPUTED_VALUE"""),"Brooke")</f>
        <v>Brooke</v>
      </c>
      <c r="E3497" s="6" t="str">
        <f>IFERROR(__xludf.DUMMYFUNCTION("""COMPUTED_VALUE"""),"")</f>
        <v/>
      </c>
      <c r="F3497" s="6" t="str">
        <f>IFERROR(__xludf.DUMMYFUNCTION("""COMPUTED_VALUE"""),"Wilson")</f>
        <v>Wilson</v>
      </c>
      <c r="G3497" s="6" t="str">
        <f>IFERROR(__xludf.DUMMYFUNCTION("""COMPUTED_VALUE"""),"09/25/2009")</f>
        <v>09/25/2009</v>
      </c>
      <c r="H3497" s="6" t="str">
        <f>IFERROR(__xludf.DUMMYFUNCTION("""COMPUTED_VALUE"""),"Self Identify")</f>
        <v>Self Identify</v>
      </c>
      <c r="I3497" s="6" t="str">
        <f>IFERROR(__xludf.DUMMYFUNCTION("""COMPUTED_VALUE"""),"High School")</f>
        <v>High School</v>
      </c>
      <c r="J3497" s="6" t="str">
        <f>IFERROR(__xludf.DUMMYFUNCTION("""COMPUTED_VALUE"""),"10")</f>
        <v>10</v>
      </c>
      <c r="K3497" s="6" t="str">
        <f>IFERROR(__xludf.DUMMYFUNCTION("""COMPUTED_VALUE"""),"jax_wilson@stu.ortrail.k12.or.us")</f>
        <v>jax_wilson@stu.ortrail.k12.or.us</v>
      </c>
      <c r="L3497" s="6" t="str">
        <f>IFERROR(__xludf.DUMMYFUNCTION("""COMPUTED_VALUE"""),"Oregon Trail School District 46")</f>
        <v>Oregon Trail School District 46</v>
      </c>
      <c r="M3497" s="6" t="str">
        <f>IFERROR(__xludf.DUMMYFUNCTION("""COMPUTED_VALUE"""),"Sandy High School")</f>
        <v>Sandy High School</v>
      </c>
      <c r="N3497" s="6" t="str">
        <f>IFERROR(__xludf.DUMMYFUNCTION("""COMPUTED_VALUE"""),"")</f>
        <v/>
      </c>
      <c r="O3497" s="87" t="str">
        <f>IFERROR(__xludf.DUMMYFUNCTION("""COMPUTED_VALUE"""),"https://drive.google.com/drive/folders/10T2cTQHqEJZqE-st6uFKPoI?usp=share_link")</f>
        <v>https://drive.google.com/drive/folders/10T2cTQHqEJZqE-st6uFKPoI?usp=share_link</v>
      </c>
      <c r="P3497" s="6" t="str">
        <f>IFERROR(__xludf.DUMMYFUNCTION("""COMPUTED_VALUE"""),"Brooke Wilson")</f>
        <v>Brooke Wilson</v>
      </c>
      <c r="Q3497" s="6" t="str">
        <f>IFERROR(__xludf.DUMMYFUNCTION("""COMPUTED_VALUE"""),"HS")</f>
        <v>HS</v>
      </c>
      <c r="R3497" s="6">
        <f>IFERROR(__xludf.DUMMYFUNCTION("""COMPUTED_VALUE"""),0.0)</f>
        <v>0</v>
      </c>
      <c r="S3497" s="6" t="str">
        <f>IFERROR(__xludf.DUMMYFUNCTION("""COMPUTED_VALUE"""),"Lindsay Polk")</f>
        <v>Lindsay Polk</v>
      </c>
      <c r="T3497" s="6" t="str">
        <f>IFERROR(__xludf.DUMMYFUNCTION("""COMPUTED_VALUE"""),"lindsay.polk@ortrail.k12.or.us")</f>
        <v>lindsay.polk@ortrail.k12.or.us</v>
      </c>
      <c r="U3497" s="6" t="str">
        <f>IFERROR(__xludf.DUMMYFUNCTION("""COMPUTED_VALUE"""),"10")</f>
        <v>10</v>
      </c>
      <c r="V3497" s="6" t="str">
        <f>IFERROR(__xludf.DUMMYFUNCTION("""COMPUTED_VALUE"""),"English")</f>
        <v>English</v>
      </c>
      <c r="W3497" s="6" t="str">
        <f>IFERROR(__xludf.DUMMYFUNCTION("""COMPUTED_VALUE"""),"[]")</f>
        <v>[]</v>
      </c>
      <c r="X3497" s="6" t="str">
        <f>IFERROR(__xludf.DUMMYFUNCTION("""COMPUTED_VALUE"""),"Enrolled")</f>
        <v>Enrolled</v>
      </c>
    </row>
    <row r="3498">
      <c r="A3498" s="6" t="str">
        <f>IFERROR(__xludf.DUMMYFUNCTION("""COMPUTED_VALUE"""),"064-6558")</f>
        <v>064-6558</v>
      </c>
      <c r="B3498" s="6" t="str">
        <f>IFERROR(__xludf.DUMMYFUNCTION("""COMPUTED_VALUE"""),"64")</f>
        <v>64</v>
      </c>
      <c r="C3498" s="6" t="str">
        <f>IFERROR(__xludf.DUMMYFUNCTION("""COMPUTED_VALUE"""),"6558")</f>
        <v>6558</v>
      </c>
      <c r="D3498" s="6" t="str">
        <f>IFERROR(__xludf.DUMMYFUNCTION("""COMPUTED_VALUE"""),"Lucas")</f>
        <v>Lucas</v>
      </c>
      <c r="E3498" s="6" t="str">
        <f>IFERROR(__xludf.DUMMYFUNCTION("""COMPUTED_VALUE"""),"")</f>
        <v/>
      </c>
      <c r="F3498" s="6" t="str">
        <f>IFERROR(__xludf.DUMMYFUNCTION("""COMPUTED_VALUE"""),"Yung")</f>
        <v>Yung</v>
      </c>
      <c r="G3498" s="6" t="str">
        <f>IFERROR(__xludf.DUMMYFUNCTION("""COMPUTED_VALUE"""),"08/25/2008")</f>
        <v>08/25/2008</v>
      </c>
      <c r="H3498" s="6" t="str">
        <f>IFERROR(__xludf.DUMMYFUNCTION("""COMPUTED_VALUE"""),"Self Identify")</f>
        <v>Self Identify</v>
      </c>
      <c r="I3498" s="6" t="str">
        <f>IFERROR(__xludf.DUMMYFUNCTION("""COMPUTED_VALUE"""),"High School")</f>
        <v>High School</v>
      </c>
      <c r="J3498" s="6" t="str">
        <f>IFERROR(__xludf.DUMMYFUNCTION("""COMPUTED_VALUE"""),"12")</f>
        <v>12</v>
      </c>
      <c r="K3498" s="6" t="str">
        <f>IFERROR(__xludf.DUMMYFUNCTION("""COMPUTED_VALUE"""),"luke_yung@stu.ortrail.k12.or.us")</f>
        <v>luke_yung@stu.ortrail.k12.or.us</v>
      </c>
      <c r="L3498" s="6" t="str">
        <f>IFERROR(__xludf.DUMMYFUNCTION("""COMPUTED_VALUE"""),"Oregon Trail School District 46")</f>
        <v>Oregon Trail School District 46</v>
      </c>
      <c r="M3498" s="6" t="str">
        <f>IFERROR(__xludf.DUMMYFUNCTION("""COMPUTED_VALUE"""),"Sandy High School")</f>
        <v>Sandy High School</v>
      </c>
      <c r="N3498" s="6" t="str">
        <f>IFERROR(__xludf.DUMMYFUNCTION("""COMPUTED_VALUE"""),"")</f>
        <v/>
      </c>
      <c r="O3498" s="87" t="str">
        <f>IFERROR(__xludf.DUMMYFUNCTION("""COMPUTED_VALUE"""),"https://drive.google.com/drive/folders/10T2cTQHqEJZqE-st6uFKPoI?usp=share_link")</f>
        <v>https://drive.google.com/drive/folders/10T2cTQHqEJZqE-st6uFKPoI?usp=share_link</v>
      </c>
      <c r="P3498" s="6" t="str">
        <f>IFERROR(__xludf.DUMMYFUNCTION("""COMPUTED_VALUE"""),"Lucas Yung")</f>
        <v>Lucas Yung</v>
      </c>
      <c r="Q3498" s="6" t="str">
        <f>IFERROR(__xludf.DUMMYFUNCTION("""COMPUTED_VALUE"""),"HS")</f>
        <v>HS</v>
      </c>
      <c r="R3498" s="6">
        <f>IFERROR(__xludf.DUMMYFUNCTION("""COMPUTED_VALUE"""),0.0)</f>
        <v>0</v>
      </c>
      <c r="S3498" s="6" t="str">
        <f>IFERROR(__xludf.DUMMYFUNCTION("""COMPUTED_VALUE"""),"Lindsay Polk")</f>
        <v>Lindsay Polk</v>
      </c>
      <c r="T3498" s="6" t="str">
        <f>IFERROR(__xludf.DUMMYFUNCTION("""COMPUTED_VALUE"""),"lindsay.polk@ortrail.k12.or.us")</f>
        <v>lindsay.polk@ortrail.k12.or.us</v>
      </c>
      <c r="U3498" s="6" t="str">
        <f>IFERROR(__xludf.DUMMYFUNCTION("""COMPUTED_VALUE"""),"12")</f>
        <v>12</v>
      </c>
      <c r="V3498" s="6" t="str">
        <f>IFERROR(__xludf.DUMMYFUNCTION("""COMPUTED_VALUE"""),"English")</f>
        <v>English</v>
      </c>
      <c r="W3498" s="6" t="str">
        <f>IFERROR(__xludf.DUMMYFUNCTION("""COMPUTED_VALUE"""),"[]")</f>
        <v>[]</v>
      </c>
      <c r="X3498" s="6" t="str">
        <f>IFERROR(__xludf.DUMMYFUNCTION("""COMPUTED_VALUE"""),"Enrolled")</f>
        <v>Enrolled</v>
      </c>
    </row>
    <row r="3499">
      <c r="A3499" s="6" t="str">
        <f>IFERROR(__xludf.DUMMYFUNCTION("""COMPUTED_VALUE"""),"064-6559")</f>
        <v>064-6559</v>
      </c>
      <c r="B3499" s="6" t="str">
        <f>IFERROR(__xludf.DUMMYFUNCTION("""COMPUTED_VALUE"""),"64")</f>
        <v>64</v>
      </c>
      <c r="C3499" s="6" t="str">
        <f>IFERROR(__xludf.DUMMYFUNCTION("""COMPUTED_VALUE"""),"6559")</f>
        <v>6559</v>
      </c>
      <c r="D3499" s="6" t="str">
        <f>IFERROR(__xludf.DUMMYFUNCTION("""COMPUTED_VALUE"""),"Eli")</f>
        <v>Eli</v>
      </c>
      <c r="E3499" s="6" t="str">
        <f>IFERROR(__xludf.DUMMYFUNCTION("""COMPUTED_VALUE"""),"")</f>
        <v/>
      </c>
      <c r="F3499" s="6" t="str">
        <f>IFERROR(__xludf.DUMMYFUNCTION("""COMPUTED_VALUE"""),"Charbonneau")</f>
        <v>Charbonneau</v>
      </c>
      <c r="G3499" s="6" t="str">
        <f>IFERROR(__xludf.DUMMYFUNCTION("""COMPUTED_VALUE"""),"06/04/2010")</f>
        <v>06/04/2010</v>
      </c>
      <c r="H3499" s="6" t="str">
        <f>IFERROR(__xludf.DUMMYFUNCTION("""COMPUTED_VALUE"""),"Self Identify")</f>
        <v>Self Identify</v>
      </c>
      <c r="I3499" s="6" t="str">
        <f>IFERROR(__xludf.DUMMYFUNCTION("""COMPUTED_VALUE"""),"High School")</f>
        <v>High School</v>
      </c>
      <c r="J3499" s="6" t="str">
        <f>IFERROR(__xludf.DUMMYFUNCTION("""COMPUTED_VALUE"""),"9")</f>
        <v>9</v>
      </c>
      <c r="K3499" s="6" t="str">
        <f>IFERROR(__xludf.DUMMYFUNCTION("""COMPUTED_VALUE"""),"eli_charbonneau@stu.ortrail.k12.or.us")</f>
        <v>eli_charbonneau@stu.ortrail.k12.or.us</v>
      </c>
      <c r="L3499" s="6" t="str">
        <f>IFERROR(__xludf.DUMMYFUNCTION("""COMPUTED_VALUE"""),"Oregon Trail School District 46")</f>
        <v>Oregon Trail School District 46</v>
      </c>
      <c r="M3499" s="6" t="str">
        <f>IFERROR(__xludf.DUMMYFUNCTION("""COMPUTED_VALUE"""),"Sandy High School")</f>
        <v>Sandy High School</v>
      </c>
      <c r="N3499" s="6" t="str">
        <f>IFERROR(__xludf.DUMMYFUNCTION("""COMPUTED_VALUE"""),"")</f>
        <v/>
      </c>
      <c r="O3499" s="87" t="str">
        <f>IFERROR(__xludf.DUMMYFUNCTION("""COMPUTED_VALUE"""),"https://drive.google.com/drive/folders/10T2cTQHqEJZqE-st6uFKPoI?usp=share_link")</f>
        <v>https://drive.google.com/drive/folders/10T2cTQHqEJZqE-st6uFKPoI?usp=share_link</v>
      </c>
      <c r="P3499" s="6" t="str">
        <f>IFERROR(__xludf.DUMMYFUNCTION("""COMPUTED_VALUE"""),"Eli Charbonneau")</f>
        <v>Eli Charbonneau</v>
      </c>
      <c r="Q3499" s="6" t="str">
        <f>IFERROR(__xludf.DUMMYFUNCTION("""COMPUTED_VALUE"""),"HS")</f>
        <v>HS</v>
      </c>
      <c r="R3499" s="6">
        <f>IFERROR(__xludf.DUMMYFUNCTION("""COMPUTED_VALUE"""),0.0)</f>
        <v>0</v>
      </c>
      <c r="S3499" s="6" t="str">
        <f>IFERROR(__xludf.DUMMYFUNCTION("""COMPUTED_VALUE"""),"Molly Marple")</f>
        <v>Molly Marple</v>
      </c>
      <c r="T3499" s="6" t="str">
        <f>IFERROR(__xludf.DUMMYFUNCTION("""COMPUTED_VALUE"""),"molly.marple@ortrail.k12.or.us")</f>
        <v>molly.marple@ortrail.k12.or.us</v>
      </c>
      <c r="U3499" s="6" t="str">
        <f>IFERROR(__xludf.DUMMYFUNCTION("""COMPUTED_VALUE"""),"9")</f>
        <v>9</v>
      </c>
      <c r="V3499" s="6" t="str">
        <f>IFERROR(__xludf.DUMMYFUNCTION("""COMPUTED_VALUE"""),"English")</f>
        <v>English</v>
      </c>
      <c r="W3499" s="6" t="str">
        <f>IFERROR(__xludf.DUMMYFUNCTION("""COMPUTED_VALUE"""),"[]")</f>
        <v>[]</v>
      </c>
      <c r="X3499" s="6" t="str">
        <f>IFERROR(__xludf.DUMMYFUNCTION("""COMPUTED_VALUE"""),"Enrolled")</f>
        <v>Enrolled</v>
      </c>
    </row>
    <row r="3500">
      <c r="A3500" s="6" t="str">
        <f>IFERROR(__xludf.DUMMYFUNCTION("""COMPUTED_VALUE"""),"064-6560")</f>
        <v>064-6560</v>
      </c>
      <c r="B3500" s="6" t="str">
        <f>IFERROR(__xludf.DUMMYFUNCTION("""COMPUTED_VALUE"""),"64")</f>
        <v>64</v>
      </c>
      <c r="C3500" s="6" t="str">
        <f>IFERROR(__xludf.DUMMYFUNCTION("""COMPUTED_VALUE"""),"6560")</f>
        <v>6560</v>
      </c>
      <c r="D3500" s="6" t="str">
        <f>IFERROR(__xludf.DUMMYFUNCTION("""COMPUTED_VALUE"""),"Eliana")</f>
        <v>Eliana</v>
      </c>
      <c r="E3500" s="6" t="str">
        <f>IFERROR(__xludf.DUMMYFUNCTION("""COMPUTED_VALUE"""),"")</f>
        <v/>
      </c>
      <c r="F3500" s="6" t="str">
        <f>IFERROR(__xludf.DUMMYFUNCTION("""COMPUTED_VALUE"""),"Coulter")</f>
        <v>Coulter</v>
      </c>
      <c r="G3500" s="6" t="str">
        <f>IFERROR(__xludf.DUMMYFUNCTION("""COMPUTED_VALUE"""),"02/24/2010")</f>
        <v>02/24/2010</v>
      </c>
      <c r="H3500" s="6" t="str">
        <f>IFERROR(__xludf.DUMMYFUNCTION("""COMPUTED_VALUE"""),"Self Identify")</f>
        <v>Self Identify</v>
      </c>
      <c r="I3500" s="6" t="str">
        <f>IFERROR(__xludf.DUMMYFUNCTION("""COMPUTED_VALUE"""),"High School")</f>
        <v>High School</v>
      </c>
      <c r="J3500" s="6" t="str">
        <f>IFERROR(__xludf.DUMMYFUNCTION("""COMPUTED_VALUE"""),"10")</f>
        <v>10</v>
      </c>
      <c r="K3500" s="6" t="str">
        <f>IFERROR(__xludf.DUMMYFUNCTION("""COMPUTED_VALUE"""),"ellie_coulter@stu.ortrail.k12.or.us")</f>
        <v>ellie_coulter@stu.ortrail.k12.or.us</v>
      </c>
      <c r="L3500" s="6" t="str">
        <f>IFERROR(__xludf.DUMMYFUNCTION("""COMPUTED_VALUE"""),"Oregon Trail School District 46")</f>
        <v>Oregon Trail School District 46</v>
      </c>
      <c r="M3500" s="6" t="str">
        <f>IFERROR(__xludf.DUMMYFUNCTION("""COMPUTED_VALUE"""),"Sandy High School")</f>
        <v>Sandy High School</v>
      </c>
      <c r="N3500" s="6" t="str">
        <f>IFERROR(__xludf.DUMMYFUNCTION("""COMPUTED_VALUE"""),"")</f>
        <v/>
      </c>
      <c r="O3500" s="87" t="str">
        <f>IFERROR(__xludf.DUMMYFUNCTION("""COMPUTED_VALUE"""),"https://drive.google.com/drive/folders/10T2cTQHqEJZqE-st6uFKPoI?usp=share_link")</f>
        <v>https://drive.google.com/drive/folders/10T2cTQHqEJZqE-st6uFKPoI?usp=share_link</v>
      </c>
      <c r="P3500" s="6" t="str">
        <f>IFERROR(__xludf.DUMMYFUNCTION("""COMPUTED_VALUE"""),"Eliana Coulter")</f>
        <v>Eliana Coulter</v>
      </c>
      <c r="Q3500" s="6" t="str">
        <f>IFERROR(__xludf.DUMMYFUNCTION("""COMPUTED_VALUE"""),"HS")</f>
        <v>HS</v>
      </c>
      <c r="R3500" s="6">
        <f>IFERROR(__xludf.DUMMYFUNCTION("""COMPUTED_VALUE"""),0.0)</f>
        <v>0</v>
      </c>
      <c r="S3500" s="6" t="str">
        <f>IFERROR(__xludf.DUMMYFUNCTION("""COMPUTED_VALUE"""),"Molly Marple")</f>
        <v>Molly Marple</v>
      </c>
      <c r="T3500" s="6" t="str">
        <f>IFERROR(__xludf.DUMMYFUNCTION("""COMPUTED_VALUE"""),"molly.marple@ortrail.k12.or.us")</f>
        <v>molly.marple@ortrail.k12.or.us</v>
      </c>
      <c r="U3500" s="6" t="str">
        <f>IFERROR(__xludf.DUMMYFUNCTION("""COMPUTED_VALUE"""),"10")</f>
        <v>10</v>
      </c>
      <c r="V3500" s="6" t="str">
        <f>IFERROR(__xludf.DUMMYFUNCTION("""COMPUTED_VALUE"""),"English")</f>
        <v>English</v>
      </c>
      <c r="W3500" s="6" t="str">
        <f>IFERROR(__xludf.DUMMYFUNCTION("""COMPUTED_VALUE"""),"[]")</f>
        <v>[]</v>
      </c>
      <c r="X3500" s="6" t="str">
        <f>IFERROR(__xludf.DUMMYFUNCTION("""COMPUTED_VALUE"""),"Enrolled")</f>
        <v>Enrolled</v>
      </c>
    </row>
    <row r="3501">
      <c r="A3501" s="6" t="str">
        <f>IFERROR(__xludf.DUMMYFUNCTION("""COMPUTED_VALUE"""),"064-6562")</f>
        <v>064-6562</v>
      </c>
      <c r="B3501" s="6" t="str">
        <f>IFERROR(__xludf.DUMMYFUNCTION("""COMPUTED_VALUE"""),"64")</f>
        <v>64</v>
      </c>
      <c r="C3501" s="6" t="str">
        <f>IFERROR(__xludf.DUMMYFUNCTION("""COMPUTED_VALUE"""),"6562")</f>
        <v>6562</v>
      </c>
      <c r="D3501" s="6" t="str">
        <f>IFERROR(__xludf.DUMMYFUNCTION("""COMPUTED_VALUE"""),"Mario")</f>
        <v>Mario</v>
      </c>
      <c r="E3501" s="6" t="str">
        <f>IFERROR(__xludf.DUMMYFUNCTION("""COMPUTED_VALUE"""),"")</f>
        <v/>
      </c>
      <c r="F3501" s="6" t="str">
        <f>IFERROR(__xludf.DUMMYFUNCTION("""COMPUTED_VALUE"""),"Lampkin")</f>
        <v>Lampkin</v>
      </c>
      <c r="G3501" s="6" t="str">
        <f>IFERROR(__xludf.DUMMYFUNCTION("""COMPUTED_VALUE"""),"01/23/2009")</f>
        <v>01/23/2009</v>
      </c>
      <c r="H3501" s="6" t="str">
        <f>IFERROR(__xludf.DUMMYFUNCTION("""COMPUTED_VALUE"""),"Self Identify")</f>
        <v>Self Identify</v>
      </c>
      <c r="I3501" s="6" t="str">
        <f>IFERROR(__xludf.DUMMYFUNCTION("""COMPUTED_VALUE"""),"High School")</f>
        <v>High School</v>
      </c>
      <c r="J3501" s="6" t="str">
        <f>IFERROR(__xludf.DUMMYFUNCTION("""COMPUTED_VALUE"""),"11")</f>
        <v>11</v>
      </c>
      <c r="K3501" s="6" t="str">
        <f>IFERROR(__xludf.DUMMYFUNCTION("""COMPUTED_VALUE"""),"makaio_lampkin@stu.ortrail.k12.or.us")</f>
        <v>makaio_lampkin@stu.ortrail.k12.or.us</v>
      </c>
      <c r="L3501" s="6" t="str">
        <f>IFERROR(__xludf.DUMMYFUNCTION("""COMPUTED_VALUE"""),"Oregon Trail School District 46")</f>
        <v>Oregon Trail School District 46</v>
      </c>
      <c r="M3501" s="6" t="str">
        <f>IFERROR(__xludf.DUMMYFUNCTION("""COMPUTED_VALUE"""),"Sandy High School")</f>
        <v>Sandy High School</v>
      </c>
      <c r="N3501" s="6" t="str">
        <f>IFERROR(__xludf.DUMMYFUNCTION("""COMPUTED_VALUE"""),"")</f>
        <v/>
      </c>
      <c r="O3501" s="87" t="str">
        <f>IFERROR(__xludf.DUMMYFUNCTION("""COMPUTED_VALUE"""),"https://drive.google.com/drive/folders/10T2cTQHqEJZqE-st6uFKPoI?usp=share_link")</f>
        <v>https://drive.google.com/drive/folders/10T2cTQHqEJZqE-st6uFKPoI?usp=share_link</v>
      </c>
      <c r="P3501" s="6" t="str">
        <f>IFERROR(__xludf.DUMMYFUNCTION("""COMPUTED_VALUE"""),"Mario Lampkin")</f>
        <v>Mario Lampkin</v>
      </c>
      <c r="Q3501" s="6" t="str">
        <f>IFERROR(__xludf.DUMMYFUNCTION("""COMPUTED_VALUE"""),"HS")</f>
        <v>HS</v>
      </c>
      <c r="R3501" s="6">
        <f>IFERROR(__xludf.DUMMYFUNCTION("""COMPUTED_VALUE"""),0.0)</f>
        <v>0</v>
      </c>
      <c r="S3501" s="6" t="str">
        <f>IFERROR(__xludf.DUMMYFUNCTION("""COMPUTED_VALUE"""),"Molly Marple")</f>
        <v>Molly Marple</v>
      </c>
      <c r="T3501" s="6" t="str">
        <f>IFERROR(__xludf.DUMMYFUNCTION("""COMPUTED_VALUE"""),"molly.marple@ortrail.k12.or.us")</f>
        <v>molly.marple@ortrail.k12.or.us</v>
      </c>
      <c r="U3501" s="6" t="str">
        <f>IFERROR(__xludf.DUMMYFUNCTION("""COMPUTED_VALUE"""),"11")</f>
        <v>11</v>
      </c>
      <c r="V3501" s="6" t="str">
        <f>IFERROR(__xludf.DUMMYFUNCTION("""COMPUTED_VALUE"""),"English")</f>
        <v>English</v>
      </c>
      <c r="W3501" s="6" t="str">
        <f>IFERROR(__xludf.DUMMYFUNCTION("""COMPUTED_VALUE"""),"[]")</f>
        <v>[]</v>
      </c>
      <c r="X3501" s="6" t="str">
        <f>IFERROR(__xludf.DUMMYFUNCTION("""COMPUTED_VALUE"""),"Enrolled")</f>
        <v>Enrolled</v>
      </c>
    </row>
    <row r="3502">
      <c r="A3502" s="6" t="str">
        <f>IFERROR(__xludf.DUMMYFUNCTION("""COMPUTED_VALUE"""),"064-6565")</f>
        <v>064-6565</v>
      </c>
      <c r="B3502" s="6" t="str">
        <f>IFERROR(__xludf.DUMMYFUNCTION("""COMPUTED_VALUE"""),"64")</f>
        <v>64</v>
      </c>
      <c r="C3502" s="6" t="str">
        <f>IFERROR(__xludf.DUMMYFUNCTION("""COMPUTED_VALUE"""),"6565")</f>
        <v>6565</v>
      </c>
      <c r="D3502" s="6" t="str">
        <f>IFERROR(__xludf.DUMMYFUNCTION("""COMPUTED_VALUE"""),"Jacob")</f>
        <v>Jacob</v>
      </c>
      <c r="E3502" s="6" t="str">
        <f>IFERROR(__xludf.DUMMYFUNCTION("""COMPUTED_VALUE"""),"")</f>
        <v/>
      </c>
      <c r="F3502" s="6" t="str">
        <f>IFERROR(__xludf.DUMMYFUNCTION("""COMPUTED_VALUE"""),"Smith")</f>
        <v>Smith</v>
      </c>
      <c r="G3502" s="6" t="str">
        <f>IFERROR(__xludf.DUMMYFUNCTION("""COMPUTED_VALUE"""),"05/10/2009")</f>
        <v>05/10/2009</v>
      </c>
      <c r="H3502" s="6" t="str">
        <f>IFERROR(__xludf.DUMMYFUNCTION("""COMPUTED_VALUE"""),"Self Identify")</f>
        <v>Self Identify</v>
      </c>
      <c r="I3502" s="6" t="str">
        <f>IFERROR(__xludf.DUMMYFUNCTION("""COMPUTED_VALUE"""),"High School")</f>
        <v>High School</v>
      </c>
      <c r="J3502" s="6" t="str">
        <f>IFERROR(__xludf.DUMMYFUNCTION("""COMPUTED_VALUE"""),"11")</f>
        <v>11</v>
      </c>
      <c r="K3502" s="6" t="str">
        <f>IFERROR(__xludf.DUMMYFUNCTION("""COMPUTED_VALUE"""),"jacob_smith@stu.ortrail.k12.or.us")</f>
        <v>jacob_smith@stu.ortrail.k12.or.us</v>
      </c>
      <c r="L3502" s="6" t="str">
        <f>IFERROR(__xludf.DUMMYFUNCTION("""COMPUTED_VALUE"""),"Oregon Trail School District 46")</f>
        <v>Oregon Trail School District 46</v>
      </c>
      <c r="M3502" s="6" t="str">
        <f>IFERROR(__xludf.DUMMYFUNCTION("""COMPUTED_VALUE"""),"Sandy High School")</f>
        <v>Sandy High School</v>
      </c>
      <c r="N3502" s="6" t="str">
        <f>IFERROR(__xludf.DUMMYFUNCTION("""COMPUTED_VALUE"""),"")</f>
        <v/>
      </c>
      <c r="O3502" s="87" t="str">
        <f>IFERROR(__xludf.DUMMYFUNCTION("""COMPUTED_VALUE"""),"https://drive.google.com/drive/folders/10T2cTQHqEJZqE-st6uFKPoI?usp=share_link")</f>
        <v>https://drive.google.com/drive/folders/10T2cTQHqEJZqE-st6uFKPoI?usp=share_link</v>
      </c>
      <c r="P3502" s="6" t="str">
        <f>IFERROR(__xludf.DUMMYFUNCTION("""COMPUTED_VALUE"""),"Jacob Smith")</f>
        <v>Jacob Smith</v>
      </c>
      <c r="Q3502" s="6" t="str">
        <f>IFERROR(__xludf.DUMMYFUNCTION("""COMPUTED_VALUE"""),"HS")</f>
        <v>HS</v>
      </c>
      <c r="R3502" s="6">
        <f>IFERROR(__xludf.DUMMYFUNCTION("""COMPUTED_VALUE"""),0.0)</f>
        <v>0</v>
      </c>
      <c r="S3502" s="6" t="str">
        <f>IFERROR(__xludf.DUMMYFUNCTION("""COMPUTED_VALUE"""),"Molly Marple")</f>
        <v>Molly Marple</v>
      </c>
      <c r="T3502" s="6" t="str">
        <f>IFERROR(__xludf.DUMMYFUNCTION("""COMPUTED_VALUE"""),"molly.marple@ortrail.k12.or.us")</f>
        <v>molly.marple@ortrail.k12.or.us</v>
      </c>
      <c r="U3502" s="6" t="str">
        <f>IFERROR(__xludf.DUMMYFUNCTION("""COMPUTED_VALUE"""),"11")</f>
        <v>11</v>
      </c>
      <c r="V3502" s="6" t="str">
        <f>IFERROR(__xludf.DUMMYFUNCTION("""COMPUTED_VALUE"""),"English")</f>
        <v>English</v>
      </c>
      <c r="W3502" s="6" t="str">
        <f>IFERROR(__xludf.DUMMYFUNCTION("""COMPUTED_VALUE"""),"[]")</f>
        <v>[]</v>
      </c>
      <c r="X3502" s="6" t="str">
        <f>IFERROR(__xludf.DUMMYFUNCTION("""COMPUTED_VALUE"""),"Enrolled")</f>
        <v>Enrolled</v>
      </c>
    </row>
    <row r="3503">
      <c r="A3503" s="6" t="str">
        <f>IFERROR(__xludf.DUMMYFUNCTION("""COMPUTED_VALUE"""),"064-6572")</f>
        <v>064-6572</v>
      </c>
      <c r="B3503" s="6" t="str">
        <f>IFERROR(__xludf.DUMMYFUNCTION("""COMPUTED_VALUE"""),"64")</f>
        <v>64</v>
      </c>
      <c r="C3503" s="6" t="str">
        <f>IFERROR(__xludf.DUMMYFUNCTION("""COMPUTED_VALUE"""),"6572")</f>
        <v>6572</v>
      </c>
      <c r="D3503" s="6" t="str">
        <f>IFERROR(__xludf.DUMMYFUNCTION("""COMPUTED_VALUE"""),"Dayamy")</f>
        <v>Dayamy</v>
      </c>
      <c r="E3503" s="6" t="str">
        <f>IFERROR(__xludf.DUMMYFUNCTION("""COMPUTED_VALUE"""),"")</f>
        <v/>
      </c>
      <c r="F3503" s="6" t="str">
        <f>IFERROR(__xludf.DUMMYFUNCTION("""COMPUTED_VALUE"""),"Castro-Rose")</f>
        <v>Castro-Rose</v>
      </c>
      <c r="G3503" s="6" t="str">
        <f>IFERROR(__xludf.DUMMYFUNCTION("""COMPUTED_VALUE"""),"05/06/2011")</f>
        <v>05/06/2011</v>
      </c>
      <c r="H3503" s="6" t="str">
        <f>IFERROR(__xludf.DUMMYFUNCTION("""COMPUTED_VALUE"""),"F")</f>
        <v>F</v>
      </c>
      <c r="I3503" s="6" t="str">
        <f>IFERROR(__xludf.DUMMYFUNCTION("""COMPUTED_VALUE"""),"High School")</f>
        <v>High School</v>
      </c>
      <c r="J3503" s="6" t="str">
        <f>IFERROR(__xludf.DUMMYFUNCTION("""COMPUTED_VALUE"""),"9")</f>
        <v>9</v>
      </c>
      <c r="K3503" s="6" t="str">
        <f>IFERROR(__xludf.DUMMYFUNCTION("""COMPUTED_VALUE"""),"dayamy_castrorose@stu.ortrail.k12.or.us")</f>
        <v>dayamy_castrorose@stu.ortrail.k12.or.us</v>
      </c>
      <c r="L3503" s="6" t="str">
        <f>IFERROR(__xludf.DUMMYFUNCTION("""COMPUTED_VALUE"""),"Oregon Trail School District 46")</f>
        <v>Oregon Trail School District 46</v>
      </c>
      <c r="M3503" s="6" t="str">
        <f>IFERROR(__xludf.DUMMYFUNCTION("""COMPUTED_VALUE"""),"")</f>
        <v/>
      </c>
      <c r="N3503" s="6" t="str">
        <f>IFERROR(__xludf.DUMMYFUNCTION("""COMPUTED_VALUE"""),"")</f>
        <v/>
      </c>
      <c r="O3503" s="87" t="str">
        <f>IFERROR(__xludf.DUMMYFUNCTION("""COMPUTED_VALUE"""),"https://drive.google.com/drive/folders/10T2cTQHqEJZqE-st6uFKPoI?usp=share_link")</f>
        <v>https://drive.google.com/drive/folders/10T2cTQHqEJZqE-st6uFKPoI?usp=share_link</v>
      </c>
      <c r="P3503" s="6" t="str">
        <f>IFERROR(__xludf.DUMMYFUNCTION("""COMPUTED_VALUE"""),"Dayamy Castro-Rose")</f>
        <v>Dayamy Castro-Rose</v>
      </c>
      <c r="Q3503" s="6" t="str">
        <f>IFERROR(__xludf.DUMMYFUNCTION("""COMPUTED_VALUE"""),"HS")</f>
        <v>HS</v>
      </c>
      <c r="R3503" s="6">
        <f>IFERROR(__xludf.DUMMYFUNCTION("""COMPUTED_VALUE"""),0.0)</f>
        <v>0</v>
      </c>
      <c r="S3503" s="6" t="str">
        <f>IFERROR(__xludf.DUMMYFUNCTION("""COMPUTED_VALUE"""),"Genevra Self")</f>
        <v>Genevra Self</v>
      </c>
      <c r="T3503" s="6" t="str">
        <f>IFERROR(__xludf.DUMMYFUNCTION("""COMPUTED_VALUE"""),"genevra.self@studient.com")</f>
        <v>genevra.self@studient.com</v>
      </c>
      <c r="U3503" s="6" t="str">
        <f>IFERROR(__xludf.DUMMYFUNCTION("""COMPUTED_VALUE"""),"9")</f>
        <v>9</v>
      </c>
      <c r="V3503" s="6" t="str">
        <f>IFERROR(__xludf.DUMMYFUNCTION("""COMPUTED_VALUE"""),"English")</f>
        <v>English</v>
      </c>
      <c r="W3503" s="6" t="str">
        <f>IFERROR(__xludf.DUMMYFUNCTION("""COMPUTED_VALUE"""),"[]")</f>
        <v>[]</v>
      </c>
      <c r="X3503" s="6" t="str">
        <f>IFERROR(__xludf.DUMMYFUNCTION("""COMPUTED_VALUE"""),"Enrolled")</f>
        <v>Enrolled</v>
      </c>
    </row>
    <row r="3504">
      <c r="A3504" s="6" t="str">
        <f>IFERROR(__xludf.DUMMYFUNCTION("""COMPUTED_VALUE"""),"064-6573")</f>
        <v>064-6573</v>
      </c>
      <c r="B3504" s="6" t="str">
        <f>IFERROR(__xludf.DUMMYFUNCTION("""COMPUTED_VALUE"""),"64")</f>
        <v>64</v>
      </c>
      <c r="C3504" s="6" t="str">
        <f>IFERROR(__xludf.DUMMYFUNCTION("""COMPUTED_VALUE"""),"6573")</f>
        <v>6573</v>
      </c>
      <c r="D3504" s="6" t="str">
        <f>IFERROR(__xludf.DUMMYFUNCTION("""COMPUTED_VALUE"""),"Teagen")</f>
        <v>Teagen</v>
      </c>
      <c r="E3504" s="6" t="str">
        <f>IFERROR(__xludf.DUMMYFUNCTION("""COMPUTED_VALUE"""),"")</f>
        <v/>
      </c>
      <c r="F3504" s="6" t="str">
        <f>IFERROR(__xludf.DUMMYFUNCTION("""COMPUTED_VALUE"""),"Claus")</f>
        <v>Claus</v>
      </c>
      <c r="G3504" s="6" t="str">
        <f>IFERROR(__xludf.DUMMYFUNCTION("""COMPUTED_VALUE"""),"06/17/2009")</f>
        <v>06/17/2009</v>
      </c>
      <c r="H3504" s="6" t="str">
        <f>IFERROR(__xludf.DUMMYFUNCTION("""COMPUTED_VALUE"""),"Self Identify")</f>
        <v>Self Identify</v>
      </c>
      <c r="I3504" s="6" t="str">
        <f>IFERROR(__xludf.DUMMYFUNCTION("""COMPUTED_VALUE"""),"High School")</f>
        <v>High School</v>
      </c>
      <c r="J3504" s="6" t="str">
        <f>IFERROR(__xludf.DUMMYFUNCTION("""COMPUTED_VALUE"""),"10")</f>
        <v>10</v>
      </c>
      <c r="K3504" s="6" t="str">
        <f>IFERROR(__xludf.DUMMYFUNCTION("""COMPUTED_VALUE"""),"teagen_claus@stu.ortrail.k12.or.us")</f>
        <v>teagen_claus@stu.ortrail.k12.or.us</v>
      </c>
      <c r="L3504" s="6" t="str">
        <f>IFERROR(__xludf.DUMMYFUNCTION("""COMPUTED_VALUE"""),"Oregon Trail School District 46")</f>
        <v>Oregon Trail School District 46</v>
      </c>
      <c r="M3504" s="6" t="str">
        <f>IFERROR(__xludf.DUMMYFUNCTION("""COMPUTED_VALUE"""),"Sandy High School")</f>
        <v>Sandy High School</v>
      </c>
      <c r="N3504" s="6" t="str">
        <f>IFERROR(__xludf.DUMMYFUNCTION("""COMPUTED_VALUE"""),"")</f>
        <v/>
      </c>
      <c r="O3504" s="87" t="str">
        <f>IFERROR(__xludf.DUMMYFUNCTION("""COMPUTED_VALUE"""),"https://drive.google.com/drive/folders/10T2cTQHqEJZqE-st6uFKPoI?usp=share_link")</f>
        <v>https://drive.google.com/drive/folders/10T2cTQHqEJZqE-st6uFKPoI?usp=share_link</v>
      </c>
      <c r="P3504" s="6" t="str">
        <f>IFERROR(__xludf.DUMMYFUNCTION("""COMPUTED_VALUE"""),"Teagen Claus")</f>
        <v>Teagen Claus</v>
      </c>
      <c r="Q3504" s="6" t="str">
        <f>IFERROR(__xludf.DUMMYFUNCTION("""COMPUTED_VALUE"""),"HS")</f>
        <v>HS</v>
      </c>
      <c r="R3504" s="6">
        <f>IFERROR(__xludf.DUMMYFUNCTION("""COMPUTED_VALUE"""),0.0)</f>
        <v>0</v>
      </c>
      <c r="S3504" s="6" t="str">
        <f>IFERROR(__xludf.DUMMYFUNCTION("""COMPUTED_VALUE"""),"Ryan Cauch")</f>
        <v>Ryan Cauch</v>
      </c>
      <c r="T3504" s="6" t="str">
        <f>IFERROR(__xludf.DUMMYFUNCTION("""COMPUTED_VALUE"""),"ryan.cauch@ortrail.k12.or.us")</f>
        <v>ryan.cauch@ortrail.k12.or.us</v>
      </c>
      <c r="U3504" s="6" t="str">
        <f>IFERROR(__xludf.DUMMYFUNCTION("""COMPUTED_VALUE"""),"10")</f>
        <v>10</v>
      </c>
      <c r="V3504" s="6" t="str">
        <f>IFERROR(__xludf.DUMMYFUNCTION("""COMPUTED_VALUE"""),"English")</f>
        <v>English</v>
      </c>
      <c r="W3504" s="6" t="str">
        <f>IFERROR(__xludf.DUMMYFUNCTION("""COMPUTED_VALUE"""),"[]")</f>
        <v>[]</v>
      </c>
      <c r="X3504" s="6" t="str">
        <f>IFERROR(__xludf.DUMMYFUNCTION("""COMPUTED_VALUE"""),"Enrolled")</f>
        <v>Enrolled</v>
      </c>
    </row>
    <row r="3505">
      <c r="A3505" s="6" t="str">
        <f>IFERROR(__xludf.DUMMYFUNCTION("""COMPUTED_VALUE"""),"064-6577")</f>
        <v>064-6577</v>
      </c>
      <c r="B3505" s="6" t="str">
        <f>IFERROR(__xludf.DUMMYFUNCTION("""COMPUTED_VALUE"""),"64")</f>
        <v>64</v>
      </c>
      <c r="C3505" s="6" t="str">
        <f>IFERROR(__xludf.DUMMYFUNCTION("""COMPUTED_VALUE"""),"6577")</f>
        <v>6577</v>
      </c>
      <c r="D3505" s="6" t="str">
        <f>IFERROR(__xludf.DUMMYFUNCTION("""COMPUTED_VALUE"""),"Madison")</f>
        <v>Madison</v>
      </c>
      <c r="E3505" s="6" t="str">
        <f>IFERROR(__xludf.DUMMYFUNCTION("""COMPUTED_VALUE"""),"")</f>
        <v/>
      </c>
      <c r="F3505" s="6" t="str">
        <f>IFERROR(__xludf.DUMMYFUNCTION("""COMPUTED_VALUE"""),"Goodrick")</f>
        <v>Goodrick</v>
      </c>
      <c r="G3505" s="6" t="str">
        <f>IFERROR(__xludf.DUMMYFUNCTION("""COMPUTED_VALUE"""),"03/31/2010")</f>
        <v>03/31/2010</v>
      </c>
      <c r="H3505" s="6" t="str">
        <f>IFERROR(__xludf.DUMMYFUNCTION("""COMPUTED_VALUE"""),"Self Identify")</f>
        <v>Self Identify</v>
      </c>
      <c r="I3505" s="6" t="str">
        <f>IFERROR(__xludf.DUMMYFUNCTION("""COMPUTED_VALUE"""),"High School")</f>
        <v>High School</v>
      </c>
      <c r="J3505" s="6" t="str">
        <f>IFERROR(__xludf.DUMMYFUNCTION("""COMPUTED_VALUE"""),"10")</f>
        <v>10</v>
      </c>
      <c r="K3505" s="6" t="str">
        <f>IFERROR(__xludf.DUMMYFUNCTION("""COMPUTED_VALUE"""),"maddie_goodrick@stu.ortrail.k12.or.us")</f>
        <v>maddie_goodrick@stu.ortrail.k12.or.us</v>
      </c>
      <c r="L3505" s="6" t="str">
        <f>IFERROR(__xludf.DUMMYFUNCTION("""COMPUTED_VALUE"""),"Oregon Trail School District 46")</f>
        <v>Oregon Trail School District 46</v>
      </c>
      <c r="M3505" s="6" t="str">
        <f>IFERROR(__xludf.DUMMYFUNCTION("""COMPUTED_VALUE"""),"Sandy High School")</f>
        <v>Sandy High School</v>
      </c>
      <c r="N3505" s="6" t="str">
        <f>IFERROR(__xludf.DUMMYFUNCTION("""COMPUTED_VALUE"""),"")</f>
        <v/>
      </c>
      <c r="O3505" s="87" t="str">
        <f>IFERROR(__xludf.DUMMYFUNCTION("""COMPUTED_VALUE"""),"https://drive.google.com/drive/folders/10T2cTQHqEJZqE-st6uFKPoI?usp=share_link")</f>
        <v>https://drive.google.com/drive/folders/10T2cTQHqEJZqE-st6uFKPoI?usp=share_link</v>
      </c>
      <c r="P3505" s="6" t="str">
        <f>IFERROR(__xludf.DUMMYFUNCTION("""COMPUTED_VALUE"""),"Madison Goodrick")</f>
        <v>Madison Goodrick</v>
      </c>
      <c r="Q3505" s="6" t="str">
        <f>IFERROR(__xludf.DUMMYFUNCTION("""COMPUTED_VALUE"""),"HS")</f>
        <v>HS</v>
      </c>
      <c r="R3505" s="6">
        <f>IFERROR(__xludf.DUMMYFUNCTION("""COMPUTED_VALUE"""),0.0)</f>
        <v>0</v>
      </c>
      <c r="S3505" s="6" t="str">
        <f>IFERROR(__xludf.DUMMYFUNCTION("""COMPUTED_VALUE"""),"Ryan Cauch")</f>
        <v>Ryan Cauch</v>
      </c>
      <c r="T3505" s="6" t="str">
        <f>IFERROR(__xludf.DUMMYFUNCTION("""COMPUTED_VALUE"""),"ryan.cauch@ortrail.k12.or.us")</f>
        <v>ryan.cauch@ortrail.k12.or.us</v>
      </c>
      <c r="U3505" s="6" t="str">
        <f>IFERROR(__xludf.DUMMYFUNCTION("""COMPUTED_VALUE"""),"10")</f>
        <v>10</v>
      </c>
      <c r="V3505" s="6" t="str">
        <f>IFERROR(__xludf.DUMMYFUNCTION("""COMPUTED_VALUE"""),"English")</f>
        <v>English</v>
      </c>
      <c r="W3505" s="6" t="str">
        <f>IFERROR(__xludf.DUMMYFUNCTION("""COMPUTED_VALUE"""),"[]")</f>
        <v>[]</v>
      </c>
      <c r="X3505" s="6" t="str">
        <f>IFERROR(__xludf.DUMMYFUNCTION("""COMPUTED_VALUE"""),"Enrolled")</f>
        <v>Enrolled</v>
      </c>
    </row>
    <row r="3506">
      <c r="A3506" s="6" t="str">
        <f>IFERROR(__xludf.DUMMYFUNCTION("""COMPUTED_VALUE"""),"064-6578")</f>
        <v>064-6578</v>
      </c>
      <c r="B3506" s="6" t="str">
        <f>IFERROR(__xludf.DUMMYFUNCTION("""COMPUTED_VALUE"""),"64")</f>
        <v>64</v>
      </c>
      <c r="C3506" s="6" t="str">
        <f>IFERROR(__xludf.DUMMYFUNCTION("""COMPUTED_VALUE"""),"6578")</f>
        <v>6578</v>
      </c>
      <c r="D3506" s="6" t="str">
        <f>IFERROR(__xludf.DUMMYFUNCTION("""COMPUTED_VALUE"""),"Aiden")</f>
        <v>Aiden</v>
      </c>
      <c r="E3506" s="6" t="str">
        <f>IFERROR(__xludf.DUMMYFUNCTION("""COMPUTED_VALUE"""),"")</f>
        <v/>
      </c>
      <c r="F3506" s="6" t="str">
        <f>IFERROR(__xludf.DUMMYFUNCTION("""COMPUTED_VALUE"""),"Gray")</f>
        <v>Gray</v>
      </c>
      <c r="G3506" s="6" t="str">
        <f>IFERROR(__xludf.DUMMYFUNCTION("""COMPUTED_VALUE"""),"11/26/2009")</f>
        <v>11/26/2009</v>
      </c>
      <c r="H3506" s="6" t="str">
        <f>IFERROR(__xludf.DUMMYFUNCTION("""COMPUTED_VALUE"""),"Self Identify")</f>
        <v>Self Identify</v>
      </c>
      <c r="I3506" s="6" t="str">
        <f>IFERROR(__xludf.DUMMYFUNCTION("""COMPUTED_VALUE"""),"High School")</f>
        <v>High School</v>
      </c>
      <c r="J3506" s="6" t="str">
        <f>IFERROR(__xludf.DUMMYFUNCTION("""COMPUTED_VALUE"""),"10")</f>
        <v>10</v>
      </c>
      <c r="K3506" s="6" t="str">
        <f>IFERROR(__xludf.DUMMYFUNCTION("""COMPUTED_VALUE"""),"aiden_gray@stu.ortrail.k12.or.us")</f>
        <v>aiden_gray@stu.ortrail.k12.or.us</v>
      </c>
      <c r="L3506" s="6" t="str">
        <f>IFERROR(__xludf.DUMMYFUNCTION("""COMPUTED_VALUE"""),"Oregon Trail School District 46")</f>
        <v>Oregon Trail School District 46</v>
      </c>
      <c r="M3506" s="6" t="str">
        <f>IFERROR(__xludf.DUMMYFUNCTION("""COMPUTED_VALUE"""),"Sandy High School")</f>
        <v>Sandy High School</v>
      </c>
      <c r="N3506" s="6" t="str">
        <f>IFERROR(__xludf.DUMMYFUNCTION("""COMPUTED_VALUE"""),"")</f>
        <v/>
      </c>
      <c r="O3506" s="87" t="str">
        <f>IFERROR(__xludf.DUMMYFUNCTION("""COMPUTED_VALUE"""),"https://drive.google.com/drive/folders/10T2cTQHqEJZqE-st6uFKPoI?usp=share_link")</f>
        <v>https://drive.google.com/drive/folders/10T2cTQHqEJZqE-st6uFKPoI?usp=share_link</v>
      </c>
      <c r="P3506" s="6" t="str">
        <f>IFERROR(__xludf.DUMMYFUNCTION("""COMPUTED_VALUE"""),"Aiden Gray")</f>
        <v>Aiden Gray</v>
      </c>
      <c r="Q3506" s="6" t="str">
        <f>IFERROR(__xludf.DUMMYFUNCTION("""COMPUTED_VALUE"""),"HS")</f>
        <v>HS</v>
      </c>
      <c r="R3506" s="6">
        <f>IFERROR(__xludf.DUMMYFUNCTION("""COMPUTED_VALUE"""),0.0)</f>
        <v>0</v>
      </c>
      <c r="S3506" s="6" t="str">
        <f>IFERROR(__xludf.DUMMYFUNCTION("""COMPUTED_VALUE"""),"Ryan Cauch")</f>
        <v>Ryan Cauch</v>
      </c>
      <c r="T3506" s="6" t="str">
        <f>IFERROR(__xludf.DUMMYFUNCTION("""COMPUTED_VALUE"""),"ryan.cauch@ortrail.k12.or.us")</f>
        <v>ryan.cauch@ortrail.k12.or.us</v>
      </c>
      <c r="U3506" s="6" t="str">
        <f>IFERROR(__xludf.DUMMYFUNCTION("""COMPUTED_VALUE"""),"10")</f>
        <v>10</v>
      </c>
      <c r="V3506" s="6" t="str">
        <f>IFERROR(__xludf.DUMMYFUNCTION("""COMPUTED_VALUE"""),"English")</f>
        <v>English</v>
      </c>
      <c r="W3506" s="6" t="str">
        <f>IFERROR(__xludf.DUMMYFUNCTION("""COMPUTED_VALUE"""),"[]")</f>
        <v>[]</v>
      </c>
      <c r="X3506" s="6" t="str">
        <f>IFERROR(__xludf.DUMMYFUNCTION("""COMPUTED_VALUE"""),"Enrolled")</f>
        <v>Enrolled</v>
      </c>
    </row>
    <row r="3507">
      <c r="A3507" s="6" t="str">
        <f>IFERROR(__xludf.DUMMYFUNCTION("""COMPUTED_VALUE"""),"064-6579")</f>
        <v>064-6579</v>
      </c>
      <c r="B3507" s="6" t="str">
        <f>IFERROR(__xludf.DUMMYFUNCTION("""COMPUTED_VALUE"""),"64")</f>
        <v>64</v>
      </c>
      <c r="C3507" s="6" t="str">
        <f>IFERROR(__xludf.DUMMYFUNCTION("""COMPUTED_VALUE"""),"6579")</f>
        <v>6579</v>
      </c>
      <c r="D3507" s="6" t="str">
        <f>IFERROR(__xludf.DUMMYFUNCTION("""COMPUTED_VALUE"""),"Andrew")</f>
        <v>Andrew</v>
      </c>
      <c r="E3507" s="6" t="str">
        <f>IFERROR(__xludf.DUMMYFUNCTION("""COMPUTED_VALUE"""),"")</f>
        <v/>
      </c>
      <c r="F3507" s="6" t="str">
        <f>IFERROR(__xludf.DUMMYFUNCTION("""COMPUTED_VALUE"""),"Heininge")</f>
        <v>Heininge</v>
      </c>
      <c r="G3507" s="6" t="str">
        <f>IFERROR(__xludf.DUMMYFUNCTION("""COMPUTED_VALUE"""),"11/12/2010")</f>
        <v>11/12/2010</v>
      </c>
      <c r="H3507" s="6" t="str">
        <f>IFERROR(__xludf.DUMMYFUNCTION("""COMPUTED_VALUE"""),"Self Identify")</f>
        <v>Self Identify</v>
      </c>
      <c r="I3507" s="6" t="str">
        <f>IFERROR(__xludf.DUMMYFUNCTION("""COMPUTED_VALUE"""),"High School")</f>
        <v>High School</v>
      </c>
      <c r="J3507" s="6" t="str">
        <f>IFERROR(__xludf.DUMMYFUNCTION("""COMPUTED_VALUE"""),"9")</f>
        <v>9</v>
      </c>
      <c r="K3507" s="6" t="str">
        <f>IFERROR(__xludf.DUMMYFUNCTION("""COMPUTED_VALUE"""),"van_heininge@stu.ortrail.k12.or.us")</f>
        <v>van_heininge@stu.ortrail.k12.or.us</v>
      </c>
      <c r="L3507" s="6" t="str">
        <f>IFERROR(__xludf.DUMMYFUNCTION("""COMPUTED_VALUE"""),"Oregon Trail School District 46")</f>
        <v>Oregon Trail School District 46</v>
      </c>
      <c r="M3507" s="6" t="str">
        <f>IFERROR(__xludf.DUMMYFUNCTION("""COMPUTED_VALUE"""),"Sandy High School")</f>
        <v>Sandy High School</v>
      </c>
      <c r="N3507" s="6" t="str">
        <f>IFERROR(__xludf.DUMMYFUNCTION("""COMPUTED_VALUE"""),"")</f>
        <v/>
      </c>
      <c r="O3507" s="87" t="str">
        <f>IFERROR(__xludf.DUMMYFUNCTION("""COMPUTED_VALUE"""),"https://drive.google.com/drive/folders/10T2cTQHqEJZqE-st6uFKPoI?usp=share_link")</f>
        <v>https://drive.google.com/drive/folders/10T2cTQHqEJZqE-st6uFKPoI?usp=share_link</v>
      </c>
      <c r="P3507" s="6" t="str">
        <f>IFERROR(__xludf.DUMMYFUNCTION("""COMPUTED_VALUE"""),"Andrew Heininge")</f>
        <v>Andrew Heininge</v>
      </c>
      <c r="Q3507" s="6" t="str">
        <f>IFERROR(__xludf.DUMMYFUNCTION("""COMPUTED_VALUE"""),"HS")</f>
        <v>HS</v>
      </c>
      <c r="R3507" s="6">
        <f>IFERROR(__xludf.DUMMYFUNCTION("""COMPUTED_VALUE"""),0.0)</f>
        <v>0</v>
      </c>
      <c r="S3507" s="6" t="str">
        <f>IFERROR(__xludf.DUMMYFUNCTION("""COMPUTED_VALUE"""),"Ryan Cauch")</f>
        <v>Ryan Cauch</v>
      </c>
      <c r="T3507" s="6" t="str">
        <f>IFERROR(__xludf.DUMMYFUNCTION("""COMPUTED_VALUE"""),"ryan.cauch@ortrail.k12.or.us")</f>
        <v>ryan.cauch@ortrail.k12.or.us</v>
      </c>
      <c r="U3507" s="6" t="str">
        <f>IFERROR(__xludf.DUMMYFUNCTION("""COMPUTED_VALUE"""),"9")</f>
        <v>9</v>
      </c>
      <c r="V3507" s="6" t="str">
        <f>IFERROR(__xludf.DUMMYFUNCTION("""COMPUTED_VALUE"""),"English")</f>
        <v>English</v>
      </c>
      <c r="W3507" s="6" t="str">
        <f>IFERROR(__xludf.DUMMYFUNCTION("""COMPUTED_VALUE"""),"[]")</f>
        <v>[]</v>
      </c>
      <c r="X3507" s="6" t="str">
        <f>IFERROR(__xludf.DUMMYFUNCTION("""COMPUTED_VALUE"""),"Enrolled")</f>
        <v>Enrolled</v>
      </c>
    </row>
    <row r="3508">
      <c r="A3508" s="6" t="str">
        <f>IFERROR(__xludf.DUMMYFUNCTION("""COMPUTED_VALUE"""),"064-6580")</f>
        <v>064-6580</v>
      </c>
      <c r="B3508" s="6" t="str">
        <f>IFERROR(__xludf.DUMMYFUNCTION("""COMPUTED_VALUE"""),"64")</f>
        <v>64</v>
      </c>
      <c r="C3508" s="6" t="str">
        <f>IFERROR(__xludf.DUMMYFUNCTION("""COMPUTED_VALUE"""),"6580")</f>
        <v>6580</v>
      </c>
      <c r="D3508" s="6" t="str">
        <f>IFERROR(__xludf.DUMMYFUNCTION("""COMPUTED_VALUE"""),"Lonathon")</f>
        <v>Lonathon</v>
      </c>
      <c r="E3508" s="6" t="str">
        <f>IFERROR(__xludf.DUMMYFUNCTION("""COMPUTED_VALUE"""),"")</f>
        <v/>
      </c>
      <c r="F3508" s="6" t="str">
        <f>IFERROR(__xludf.DUMMYFUNCTION("""COMPUTED_VALUE"""),"Hollenbeck")</f>
        <v>Hollenbeck</v>
      </c>
      <c r="G3508" s="6" t="str">
        <f>IFERROR(__xludf.DUMMYFUNCTION("""COMPUTED_VALUE"""),"01/12/2007")</f>
        <v>01/12/2007</v>
      </c>
      <c r="H3508" s="6" t="str">
        <f>IFERROR(__xludf.DUMMYFUNCTION("""COMPUTED_VALUE"""),"Self Identify")</f>
        <v>Self Identify</v>
      </c>
      <c r="I3508" s="6" t="str">
        <f>IFERROR(__xludf.DUMMYFUNCTION("""COMPUTED_VALUE"""),"High School")</f>
        <v>High School</v>
      </c>
      <c r="J3508" s="6" t="str">
        <f>IFERROR(__xludf.DUMMYFUNCTION("""COMPUTED_VALUE"""),"12")</f>
        <v>12</v>
      </c>
      <c r="K3508" s="6" t="str">
        <f>IFERROR(__xludf.DUMMYFUNCTION("""COMPUTED_VALUE"""),"lonnie_hollenbeck@stu.ortrail.k12.or.us")</f>
        <v>lonnie_hollenbeck@stu.ortrail.k12.or.us</v>
      </c>
      <c r="L3508" s="6" t="str">
        <f>IFERROR(__xludf.DUMMYFUNCTION("""COMPUTED_VALUE"""),"Oregon Trail School District 46")</f>
        <v>Oregon Trail School District 46</v>
      </c>
      <c r="M3508" s="6" t="str">
        <f>IFERROR(__xludf.DUMMYFUNCTION("""COMPUTED_VALUE"""),"Sandy High School")</f>
        <v>Sandy High School</v>
      </c>
      <c r="N3508" s="6" t="str">
        <f>IFERROR(__xludf.DUMMYFUNCTION("""COMPUTED_VALUE"""),"")</f>
        <v/>
      </c>
      <c r="O3508" s="87" t="str">
        <f>IFERROR(__xludf.DUMMYFUNCTION("""COMPUTED_VALUE"""),"https://drive.google.com/drive/folders/10T2cTQHqEJZqE-st6uFKPoI?usp=share_link")</f>
        <v>https://drive.google.com/drive/folders/10T2cTQHqEJZqE-st6uFKPoI?usp=share_link</v>
      </c>
      <c r="P3508" s="6" t="str">
        <f>IFERROR(__xludf.DUMMYFUNCTION("""COMPUTED_VALUE"""),"Lonathon Hollenbeck")</f>
        <v>Lonathon Hollenbeck</v>
      </c>
      <c r="Q3508" s="6" t="str">
        <f>IFERROR(__xludf.DUMMYFUNCTION("""COMPUTED_VALUE"""),"HS")</f>
        <v>HS</v>
      </c>
      <c r="R3508" s="6">
        <f>IFERROR(__xludf.DUMMYFUNCTION("""COMPUTED_VALUE"""),0.0)</f>
        <v>0</v>
      </c>
      <c r="S3508" s="6" t="str">
        <f>IFERROR(__xludf.DUMMYFUNCTION("""COMPUTED_VALUE"""),"Ryan Cauch")</f>
        <v>Ryan Cauch</v>
      </c>
      <c r="T3508" s="6" t="str">
        <f>IFERROR(__xludf.DUMMYFUNCTION("""COMPUTED_VALUE"""),"ryan.cauch@ortrail.k12.or.us")</f>
        <v>ryan.cauch@ortrail.k12.or.us</v>
      </c>
      <c r="U3508" s="6" t="str">
        <f>IFERROR(__xludf.DUMMYFUNCTION("""COMPUTED_VALUE"""),"12")</f>
        <v>12</v>
      </c>
      <c r="V3508" s="6" t="str">
        <f>IFERROR(__xludf.DUMMYFUNCTION("""COMPUTED_VALUE"""),"English")</f>
        <v>English</v>
      </c>
      <c r="W3508" s="6" t="str">
        <f>IFERROR(__xludf.DUMMYFUNCTION("""COMPUTED_VALUE"""),"[]")</f>
        <v>[]</v>
      </c>
      <c r="X3508" s="6" t="str">
        <f>IFERROR(__xludf.DUMMYFUNCTION("""COMPUTED_VALUE"""),"Enrolled")</f>
        <v>Enrolled</v>
      </c>
    </row>
    <row r="3509">
      <c r="A3509" s="6" t="str">
        <f>IFERROR(__xludf.DUMMYFUNCTION("""COMPUTED_VALUE"""),"064-6581")</f>
        <v>064-6581</v>
      </c>
      <c r="B3509" s="6" t="str">
        <f>IFERROR(__xludf.DUMMYFUNCTION("""COMPUTED_VALUE"""),"64")</f>
        <v>64</v>
      </c>
      <c r="C3509" s="6" t="str">
        <f>IFERROR(__xludf.DUMMYFUNCTION("""COMPUTED_VALUE"""),"6581")</f>
        <v>6581</v>
      </c>
      <c r="D3509" s="6" t="str">
        <f>IFERROR(__xludf.DUMMYFUNCTION("""COMPUTED_VALUE"""),"Hayden")</f>
        <v>Hayden</v>
      </c>
      <c r="E3509" s="6" t="str">
        <f>IFERROR(__xludf.DUMMYFUNCTION("""COMPUTED_VALUE"""),"")</f>
        <v/>
      </c>
      <c r="F3509" s="6" t="str">
        <f>IFERROR(__xludf.DUMMYFUNCTION("""COMPUTED_VALUE"""),"Johnson")</f>
        <v>Johnson</v>
      </c>
      <c r="G3509" s="6" t="str">
        <f>IFERROR(__xludf.DUMMYFUNCTION("""COMPUTED_VALUE"""),"10/28/2009")</f>
        <v>10/28/2009</v>
      </c>
      <c r="H3509" s="6" t="str">
        <f>IFERROR(__xludf.DUMMYFUNCTION("""COMPUTED_VALUE"""),"M")</f>
        <v>M</v>
      </c>
      <c r="I3509" s="6" t="str">
        <f>IFERROR(__xludf.DUMMYFUNCTION("""COMPUTED_VALUE"""),"High School")</f>
        <v>High School</v>
      </c>
      <c r="J3509" s="6" t="str">
        <f>IFERROR(__xludf.DUMMYFUNCTION("""COMPUTED_VALUE"""),"10")</f>
        <v>10</v>
      </c>
      <c r="K3509" s="6" t="str">
        <f>IFERROR(__xludf.DUMMYFUNCTION("""COMPUTED_VALUE"""),"hayden_johnson@stu.ortrail.k12.or.us")</f>
        <v>hayden_johnson@stu.ortrail.k12.or.us</v>
      </c>
      <c r="L3509" s="6" t="str">
        <f>IFERROR(__xludf.DUMMYFUNCTION("""COMPUTED_VALUE"""),"Oregon Trail School District 46")</f>
        <v>Oregon Trail School District 46</v>
      </c>
      <c r="M3509" s="6" t="str">
        <f>IFERROR(__xludf.DUMMYFUNCTION("""COMPUTED_VALUE"""),"")</f>
        <v/>
      </c>
      <c r="N3509" s="6" t="str">
        <f>IFERROR(__xludf.DUMMYFUNCTION("""COMPUTED_VALUE"""),"")</f>
        <v/>
      </c>
      <c r="O3509" s="87" t="str">
        <f>IFERROR(__xludf.DUMMYFUNCTION("""COMPUTED_VALUE"""),"https://drive.google.com/drive/folders/10T2cTQHqEJZqE-st6uFKPoI?usp=share_link")</f>
        <v>https://drive.google.com/drive/folders/10T2cTQHqEJZqE-st6uFKPoI?usp=share_link</v>
      </c>
      <c r="P3509" s="6" t="str">
        <f>IFERROR(__xludf.DUMMYFUNCTION("""COMPUTED_VALUE"""),"Hayden Johnson")</f>
        <v>Hayden Johnson</v>
      </c>
      <c r="Q3509" s="6" t="str">
        <f>IFERROR(__xludf.DUMMYFUNCTION("""COMPUTED_VALUE"""),"HS")</f>
        <v>HS</v>
      </c>
      <c r="R3509" s="6">
        <f>IFERROR(__xludf.DUMMYFUNCTION("""COMPUTED_VALUE"""),0.0)</f>
        <v>0</v>
      </c>
      <c r="S3509" s="6" t="str">
        <f>IFERROR(__xludf.DUMMYFUNCTION("""COMPUTED_VALUE"""),"Genevra Self")</f>
        <v>Genevra Self</v>
      </c>
      <c r="T3509" s="6" t="str">
        <f>IFERROR(__xludf.DUMMYFUNCTION("""COMPUTED_VALUE"""),"genevra.self@studient.com")</f>
        <v>genevra.self@studient.com</v>
      </c>
      <c r="U3509" s="6" t="str">
        <f>IFERROR(__xludf.DUMMYFUNCTION("""COMPUTED_VALUE"""),"10")</f>
        <v>10</v>
      </c>
      <c r="V3509" s="6" t="str">
        <f>IFERROR(__xludf.DUMMYFUNCTION("""COMPUTED_VALUE"""),"English")</f>
        <v>English</v>
      </c>
      <c r="W3509" s="6" t="str">
        <f>IFERROR(__xludf.DUMMYFUNCTION("""COMPUTED_VALUE"""),"[]")</f>
        <v>[]</v>
      </c>
      <c r="X3509" s="6" t="str">
        <f>IFERROR(__xludf.DUMMYFUNCTION("""COMPUTED_VALUE"""),"Enrolled")</f>
        <v>Enrolled</v>
      </c>
    </row>
    <row r="3510">
      <c r="A3510" s="6" t="str">
        <f>IFERROR(__xludf.DUMMYFUNCTION("""COMPUTED_VALUE"""),"064-6583")</f>
        <v>064-6583</v>
      </c>
      <c r="B3510" s="6" t="str">
        <f>IFERROR(__xludf.DUMMYFUNCTION("""COMPUTED_VALUE"""),"64")</f>
        <v>64</v>
      </c>
      <c r="C3510" s="6" t="str">
        <f>IFERROR(__xludf.DUMMYFUNCTION("""COMPUTED_VALUE"""),"6583")</f>
        <v>6583</v>
      </c>
      <c r="D3510" s="6" t="str">
        <f>IFERROR(__xludf.DUMMYFUNCTION("""COMPUTED_VALUE"""),"Jackson")</f>
        <v>Jackson</v>
      </c>
      <c r="E3510" s="6" t="str">
        <f>IFERROR(__xludf.DUMMYFUNCTION("""COMPUTED_VALUE"""),"")</f>
        <v/>
      </c>
      <c r="F3510" s="6" t="str">
        <f>IFERROR(__xludf.DUMMYFUNCTION("""COMPUTED_VALUE"""),"Kultala")</f>
        <v>Kultala</v>
      </c>
      <c r="G3510" s="6" t="str">
        <f>IFERROR(__xludf.DUMMYFUNCTION("""COMPUTED_VALUE"""),"10/10/2006")</f>
        <v>10/10/2006</v>
      </c>
      <c r="H3510" s="6" t="str">
        <f>IFERROR(__xludf.DUMMYFUNCTION("""COMPUTED_VALUE"""),"M")</f>
        <v>M</v>
      </c>
      <c r="I3510" s="6" t="str">
        <f>IFERROR(__xludf.DUMMYFUNCTION("""COMPUTED_VALUE"""),"High School")</f>
        <v>High School</v>
      </c>
      <c r="J3510" s="6" t="str">
        <f>IFERROR(__xludf.DUMMYFUNCTION("""COMPUTED_VALUE"""),"12")</f>
        <v>12</v>
      </c>
      <c r="K3510" s="6" t="str">
        <f>IFERROR(__xludf.DUMMYFUNCTION("""COMPUTED_VALUE"""),"jackson_kultala@stu.ortrail.k12.or.us")</f>
        <v>jackson_kultala@stu.ortrail.k12.or.us</v>
      </c>
      <c r="L3510" s="6" t="str">
        <f>IFERROR(__xludf.DUMMYFUNCTION("""COMPUTED_VALUE"""),"Oregon Trail School District 46")</f>
        <v>Oregon Trail School District 46</v>
      </c>
      <c r="M3510" s="6" t="str">
        <f>IFERROR(__xludf.DUMMYFUNCTION("""COMPUTED_VALUE"""),"")</f>
        <v/>
      </c>
      <c r="N3510" s="6" t="str">
        <f>IFERROR(__xludf.DUMMYFUNCTION("""COMPUTED_VALUE"""),"")</f>
        <v/>
      </c>
      <c r="O3510" s="87" t="str">
        <f>IFERROR(__xludf.DUMMYFUNCTION("""COMPUTED_VALUE"""),"https://drive.google.com/drive/folders/10T2cTQHqEJZqE-st6uFKPoI?usp=share_link")</f>
        <v>https://drive.google.com/drive/folders/10T2cTQHqEJZqE-st6uFKPoI?usp=share_link</v>
      </c>
      <c r="P3510" s="6" t="str">
        <f>IFERROR(__xludf.DUMMYFUNCTION("""COMPUTED_VALUE"""),"Jackson Kultala")</f>
        <v>Jackson Kultala</v>
      </c>
      <c r="Q3510" s="6" t="str">
        <f>IFERROR(__xludf.DUMMYFUNCTION("""COMPUTED_VALUE"""),"HS")</f>
        <v>HS</v>
      </c>
      <c r="R3510" s="6">
        <f>IFERROR(__xludf.DUMMYFUNCTION("""COMPUTED_VALUE"""),0.0)</f>
        <v>0</v>
      </c>
      <c r="S3510" s="6" t="str">
        <f>IFERROR(__xludf.DUMMYFUNCTION("""COMPUTED_VALUE"""),"Genevra Self")</f>
        <v>Genevra Self</v>
      </c>
      <c r="T3510" s="6" t="str">
        <f>IFERROR(__xludf.DUMMYFUNCTION("""COMPUTED_VALUE"""),"genevra.self@studient.com")</f>
        <v>genevra.self@studient.com</v>
      </c>
      <c r="U3510" s="6" t="str">
        <f>IFERROR(__xludf.DUMMYFUNCTION("""COMPUTED_VALUE"""),"12")</f>
        <v>12</v>
      </c>
      <c r="V3510" s="6" t="str">
        <f>IFERROR(__xludf.DUMMYFUNCTION("""COMPUTED_VALUE"""),"English")</f>
        <v>English</v>
      </c>
      <c r="W3510" s="6" t="str">
        <f>IFERROR(__xludf.DUMMYFUNCTION("""COMPUTED_VALUE"""),"[]")</f>
        <v>[]</v>
      </c>
      <c r="X3510" s="6" t="str">
        <f>IFERROR(__xludf.DUMMYFUNCTION("""COMPUTED_VALUE"""),"Enrolled")</f>
        <v>Enrolled</v>
      </c>
    </row>
    <row r="3511">
      <c r="A3511" s="6" t="str">
        <f>IFERROR(__xludf.DUMMYFUNCTION("""COMPUTED_VALUE"""),"064-6585")</f>
        <v>064-6585</v>
      </c>
      <c r="B3511" s="6" t="str">
        <f>IFERROR(__xludf.DUMMYFUNCTION("""COMPUTED_VALUE"""),"64")</f>
        <v>64</v>
      </c>
      <c r="C3511" s="6" t="str">
        <f>IFERROR(__xludf.DUMMYFUNCTION("""COMPUTED_VALUE"""),"6585")</f>
        <v>6585</v>
      </c>
      <c r="D3511" s="6" t="str">
        <f>IFERROR(__xludf.DUMMYFUNCTION("""COMPUTED_VALUE"""),"Jonathon")</f>
        <v>Jonathon</v>
      </c>
      <c r="E3511" s="6" t="str">
        <f>IFERROR(__xludf.DUMMYFUNCTION("""COMPUTED_VALUE"""),"")</f>
        <v/>
      </c>
      <c r="F3511" s="6" t="str">
        <f>IFERROR(__xludf.DUMMYFUNCTION("""COMPUTED_VALUE"""),"Martin")</f>
        <v>Martin</v>
      </c>
      <c r="G3511" s="6" t="str">
        <f>IFERROR(__xludf.DUMMYFUNCTION("""COMPUTED_VALUE"""),"07/28/2010")</f>
        <v>07/28/2010</v>
      </c>
      <c r="H3511" s="6" t="str">
        <f>IFERROR(__xludf.DUMMYFUNCTION("""COMPUTED_VALUE"""),"Self Identify")</f>
        <v>Self Identify</v>
      </c>
      <c r="I3511" s="6" t="str">
        <f>IFERROR(__xludf.DUMMYFUNCTION("""COMPUTED_VALUE"""),"High School")</f>
        <v>High School</v>
      </c>
      <c r="J3511" s="6" t="str">
        <f>IFERROR(__xludf.DUMMYFUNCTION("""COMPUTED_VALUE"""),"10")</f>
        <v>10</v>
      </c>
      <c r="K3511" s="6" t="str">
        <f>IFERROR(__xludf.DUMMYFUNCTION("""COMPUTED_VALUE"""),"jon_martin@stu.ortrail.k12.or.us")</f>
        <v>jon_martin@stu.ortrail.k12.or.us</v>
      </c>
      <c r="L3511" s="6" t="str">
        <f>IFERROR(__xludf.DUMMYFUNCTION("""COMPUTED_VALUE"""),"Oregon Trail School District 46")</f>
        <v>Oregon Trail School District 46</v>
      </c>
      <c r="M3511" s="6" t="str">
        <f>IFERROR(__xludf.DUMMYFUNCTION("""COMPUTED_VALUE"""),"Sandy High School")</f>
        <v>Sandy High School</v>
      </c>
      <c r="N3511" s="6" t="str">
        <f>IFERROR(__xludf.DUMMYFUNCTION("""COMPUTED_VALUE"""),"")</f>
        <v/>
      </c>
      <c r="O3511" s="87" t="str">
        <f>IFERROR(__xludf.DUMMYFUNCTION("""COMPUTED_VALUE"""),"https://drive.google.com/drive/folders/10T2cTQHqEJZqE-st6uFKPoI?usp=share_link")</f>
        <v>https://drive.google.com/drive/folders/10T2cTQHqEJZqE-st6uFKPoI?usp=share_link</v>
      </c>
      <c r="P3511" s="6" t="str">
        <f>IFERROR(__xludf.DUMMYFUNCTION("""COMPUTED_VALUE"""),"Jonathon Martin")</f>
        <v>Jonathon Martin</v>
      </c>
      <c r="Q3511" s="6" t="str">
        <f>IFERROR(__xludf.DUMMYFUNCTION("""COMPUTED_VALUE"""),"HS")</f>
        <v>HS</v>
      </c>
      <c r="R3511" s="6">
        <f>IFERROR(__xludf.DUMMYFUNCTION("""COMPUTED_VALUE"""),0.0)</f>
        <v>0</v>
      </c>
      <c r="S3511" s="6" t="str">
        <f>IFERROR(__xludf.DUMMYFUNCTION("""COMPUTED_VALUE"""),"Ryan Cauch")</f>
        <v>Ryan Cauch</v>
      </c>
      <c r="T3511" s="6" t="str">
        <f>IFERROR(__xludf.DUMMYFUNCTION("""COMPUTED_VALUE"""),"ryan.cauch@ortrail.k12.or.us")</f>
        <v>ryan.cauch@ortrail.k12.or.us</v>
      </c>
      <c r="U3511" s="6" t="str">
        <f>IFERROR(__xludf.DUMMYFUNCTION("""COMPUTED_VALUE"""),"10")</f>
        <v>10</v>
      </c>
      <c r="V3511" s="6" t="str">
        <f>IFERROR(__xludf.DUMMYFUNCTION("""COMPUTED_VALUE"""),"English")</f>
        <v>English</v>
      </c>
      <c r="W3511" s="6" t="str">
        <f>IFERROR(__xludf.DUMMYFUNCTION("""COMPUTED_VALUE"""),"[]")</f>
        <v>[]</v>
      </c>
      <c r="X3511" s="6" t="str">
        <f>IFERROR(__xludf.DUMMYFUNCTION("""COMPUTED_VALUE"""),"Enrolled")</f>
        <v>Enrolled</v>
      </c>
    </row>
    <row r="3512">
      <c r="A3512" s="6" t="str">
        <f>IFERROR(__xludf.DUMMYFUNCTION("""COMPUTED_VALUE"""),"064-6590")</f>
        <v>064-6590</v>
      </c>
      <c r="B3512" s="6" t="str">
        <f>IFERROR(__xludf.DUMMYFUNCTION("""COMPUTED_VALUE"""),"64")</f>
        <v>64</v>
      </c>
      <c r="C3512" s="6" t="str">
        <f>IFERROR(__xludf.DUMMYFUNCTION("""COMPUTED_VALUE"""),"6590")</f>
        <v>6590</v>
      </c>
      <c r="D3512" s="6" t="str">
        <f>IFERROR(__xludf.DUMMYFUNCTION("""COMPUTED_VALUE"""),"Mason")</f>
        <v>Mason</v>
      </c>
      <c r="E3512" s="6" t="str">
        <f>IFERROR(__xludf.DUMMYFUNCTION("""COMPUTED_VALUE"""),"")</f>
        <v/>
      </c>
      <c r="F3512" s="6" t="str">
        <f>IFERROR(__xludf.DUMMYFUNCTION("""COMPUTED_VALUE"""),"Mixon")</f>
        <v>Mixon</v>
      </c>
      <c r="G3512" s="6" t="str">
        <f>IFERROR(__xludf.DUMMYFUNCTION("""COMPUTED_VALUE"""),"12/09/2008")</f>
        <v>12/09/2008</v>
      </c>
      <c r="H3512" s="6" t="str">
        <f>IFERROR(__xludf.DUMMYFUNCTION("""COMPUTED_VALUE"""),"Self Identify")</f>
        <v>Self Identify</v>
      </c>
      <c r="I3512" s="6" t="str">
        <f>IFERROR(__xludf.DUMMYFUNCTION("""COMPUTED_VALUE"""),"High School")</f>
        <v>High School</v>
      </c>
      <c r="J3512" s="6" t="str">
        <f>IFERROR(__xludf.DUMMYFUNCTION("""COMPUTED_VALUE"""),"11")</f>
        <v>11</v>
      </c>
      <c r="K3512" s="6" t="str">
        <f>IFERROR(__xludf.DUMMYFUNCTION("""COMPUTED_VALUE"""),"mason_mixon@stu.ortrail.k12.or.us")</f>
        <v>mason_mixon@stu.ortrail.k12.or.us</v>
      </c>
      <c r="L3512" s="6" t="str">
        <f>IFERROR(__xludf.DUMMYFUNCTION("""COMPUTED_VALUE"""),"Oregon Trail School District 46")</f>
        <v>Oregon Trail School District 46</v>
      </c>
      <c r="M3512" s="6" t="str">
        <f>IFERROR(__xludf.DUMMYFUNCTION("""COMPUTED_VALUE"""),"Sandy High School")</f>
        <v>Sandy High School</v>
      </c>
      <c r="N3512" s="6" t="str">
        <f>IFERROR(__xludf.DUMMYFUNCTION("""COMPUTED_VALUE"""),"")</f>
        <v/>
      </c>
      <c r="O3512" s="87" t="str">
        <f>IFERROR(__xludf.DUMMYFUNCTION("""COMPUTED_VALUE"""),"https://drive.google.com/drive/folders/10T2cTQHqEJZqE-st6uFKPoI?usp=share_link")</f>
        <v>https://drive.google.com/drive/folders/10T2cTQHqEJZqE-st6uFKPoI?usp=share_link</v>
      </c>
      <c r="P3512" s="6" t="str">
        <f>IFERROR(__xludf.DUMMYFUNCTION("""COMPUTED_VALUE"""),"Mason Mixon")</f>
        <v>Mason Mixon</v>
      </c>
      <c r="Q3512" s="6" t="str">
        <f>IFERROR(__xludf.DUMMYFUNCTION("""COMPUTED_VALUE"""),"HS")</f>
        <v>HS</v>
      </c>
      <c r="R3512" s="6">
        <f>IFERROR(__xludf.DUMMYFUNCTION("""COMPUTED_VALUE"""),0.0)</f>
        <v>0</v>
      </c>
      <c r="S3512" s="6" t="str">
        <f>IFERROR(__xludf.DUMMYFUNCTION("""COMPUTED_VALUE"""),"Ryan Cauch")</f>
        <v>Ryan Cauch</v>
      </c>
      <c r="T3512" s="6" t="str">
        <f>IFERROR(__xludf.DUMMYFUNCTION("""COMPUTED_VALUE"""),"ryan.cauch@ortrail.k12.or.us")</f>
        <v>ryan.cauch@ortrail.k12.or.us</v>
      </c>
      <c r="U3512" s="6" t="str">
        <f>IFERROR(__xludf.DUMMYFUNCTION("""COMPUTED_VALUE"""),"11")</f>
        <v>11</v>
      </c>
      <c r="V3512" s="6" t="str">
        <f>IFERROR(__xludf.DUMMYFUNCTION("""COMPUTED_VALUE"""),"English")</f>
        <v>English</v>
      </c>
      <c r="W3512" s="6" t="str">
        <f>IFERROR(__xludf.DUMMYFUNCTION("""COMPUTED_VALUE"""),"[]")</f>
        <v>[]</v>
      </c>
      <c r="X3512" s="6" t="str">
        <f>IFERROR(__xludf.DUMMYFUNCTION("""COMPUTED_VALUE"""),"Enrolled")</f>
        <v>Enrolled</v>
      </c>
    </row>
    <row r="3513">
      <c r="A3513" s="6" t="str">
        <f>IFERROR(__xludf.DUMMYFUNCTION("""COMPUTED_VALUE"""),"064-6591")</f>
        <v>064-6591</v>
      </c>
      <c r="B3513" s="6" t="str">
        <f>IFERROR(__xludf.DUMMYFUNCTION("""COMPUTED_VALUE"""),"64")</f>
        <v>64</v>
      </c>
      <c r="C3513" s="6" t="str">
        <f>IFERROR(__xludf.DUMMYFUNCTION("""COMPUTED_VALUE"""),"6591")</f>
        <v>6591</v>
      </c>
      <c r="D3513" s="6" t="str">
        <f>IFERROR(__xludf.DUMMYFUNCTION("""COMPUTED_VALUE"""),"Noble")</f>
        <v>Noble</v>
      </c>
      <c r="E3513" s="6" t="str">
        <f>IFERROR(__xludf.DUMMYFUNCTION("""COMPUTED_VALUE"""),"")</f>
        <v/>
      </c>
      <c r="F3513" s="6" t="str">
        <f>IFERROR(__xludf.DUMMYFUNCTION("""COMPUTED_VALUE"""),"Moore")</f>
        <v>Moore</v>
      </c>
      <c r="G3513" s="6" t="str">
        <f>IFERROR(__xludf.DUMMYFUNCTION("""COMPUTED_VALUE"""),"01/30/2008")</f>
        <v>01/30/2008</v>
      </c>
      <c r="H3513" s="6" t="str">
        <f>IFERROR(__xludf.DUMMYFUNCTION("""COMPUTED_VALUE"""),"Self Identify")</f>
        <v>Self Identify</v>
      </c>
      <c r="I3513" s="6" t="str">
        <f>IFERROR(__xludf.DUMMYFUNCTION("""COMPUTED_VALUE"""),"High School")</f>
        <v>High School</v>
      </c>
      <c r="J3513" s="6" t="str">
        <f>IFERROR(__xludf.DUMMYFUNCTION("""COMPUTED_VALUE"""),"12")</f>
        <v>12</v>
      </c>
      <c r="K3513" s="6" t="str">
        <f>IFERROR(__xludf.DUMMYFUNCTION("""COMPUTED_VALUE"""),"noble_moore@stu.ortrail.k12.or.us")</f>
        <v>noble_moore@stu.ortrail.k12.or.us</v>
      </c>
      <c r="L3513" s="6" t="str">
        <f>IFERROR(__xludf.DUMMYFUNCTION("""COMPUTED_VALUE"""),"Oregon Trail School District 46")</f>
        <v>Oregon Trail School District 46</v>
      </c>
      <c r="M3513" s="6" t="str">
        <f>IFERROR(__xludf.DUMMYFUNCTION("""COMPUTED_VALUE"""),"Sandy High School")</f>
        <v>Sandy High School</v>
      </c>
      <c r="N3513" s="6" t="str">
        <f>IFERROR(__xludf.DUMMYFUNCTION("""COMPUTED_VALUE"""),"")</f>
        <v/>
      </c>
      <c r="O3513" s="87" t="str">
        <f>IFERROR(__xludf.DUMMYFUNCTION("""COMPUTED_VALUE"""),"https://drive.google.com/drive/folders/10T2cTQHqEJZqE-st6uFKPoI?usp=share_link")</f>
        <v>https://drive.google.com/drive/folders/10T2cTQHqEJZqE-st6uFKPoI?usp=share_link</v>
      </c>
      <c r="P3513" s="6" t="str">
        <f>IFERROR(__xludf.DUMMYFUNCTION("""COMPUTED_VALUE"""),"Noble Moore")</f>
        <v>Noble Moore</v>
      </c>
      <c r="Q3513" s="6" t="str">
        <f>IFERROR(__xludf.DUMMYFUNCTION("""COMPUTED_VALUE"""),"HS")</f>
        <v>HS</v>
      </c>
      <c r="R3513" s="6">
        <f>IFERROR(__xludf.DUMMYFUNCTION("""COMPUTED_VALUE"""),0.0)</f>
        <v>0</v>
      </c>
      <c r="S3513" s="6" t="str">
        <f>IFERROR(__xludf.DUMMYFUNCTION("""COMPUTED_VALUE"""),"Ryan Cauch")</f>
        <v>Ryan Cauch</v>
      </c>
      <c r="T3513" s="6" t="str">
        <f>IFERROR(__xludf.DUMMYFUNCTION("""COMPUTED_VALUE"""),"ryan.cauch@ortrail.k12.or.us")</f>
        <v>ryan.cauch@ortrail.k12.or.us</v>
      </c>
      <c r="U3513" s="6" t="str">
        <f>IFERROR(__xludf.DUMMYFUNCTION("""COMPUTED_VALUE"""),"12")</f>
        <v>12</v>
      </c>
      <c r="V3513" s="6" t="str">
        <f>IFERROR(__xludf.DUMMYFUNCTION("""COMPUTED_VALUE"""),"English")</f>
        <v>English</v>
      </c>
      <c r="W3513" s="6" t="str">
        <f>IFERROR(__xludf.DUMMYFUNCTION("""COMPUTED_VALUE"""),"[]")</f>
        <v>[]</v>
      </c>
      <c r="X3513" s="6" t="str">
        <f>IFERROR(__xludf.DUMMYFUNCTION("""COMPUTED_VALUE"""),"Enrolled")</f>
        <v>Enrolled</v>
      </c>
    </row>
    <row r="3514">
      <c r="A3514" s="6" t="str">
        <f>IFERROR(__xludf.DUMMYFUNCTION("""COMPUTED_VALUE"""),"064-6593")</f>
        <v>064-6593</v>
      </c>
      <c r="B3514" s="6" t="str">
        <f>IFERROR(__xludf.DUMMYFUNCTION("""COMPUTED_VALUE"""),"64")</f>
        <v>64</v>
      </c>
      <c r="C3514" s="6" t="str">
        <f>IFERROR(__xludf.DUMMYFUNCTION("""COMPUTED_VALUE"""),"6593")</f>
        <v>6593</v>
      </c>
      <c r="D3514" s="6" t="str">
        <f>IFERROR(__xludf.DUMMYFUNCTION("""COMPUTED_VALUE"""),"Arianna")</f>
        <v>Arianna</v>
      </c>
      <c r="E3514" s="6" t="str">
        <f>IFERROR(__xludf.DUMMYFUNCTION("""COMPUTED_VALUE"""),"")</f>
        <v/>
      </c>
      <c r="F3514" s="6" t="str">
        <f>IFERROR(__xludf.DUMMYFUNCTION("""COMPUTED_VALUE"""),"Nolen")</f>
        <v>Nolen</v>
      </c>
      <c r="G3514" s="6" t="str">
        <f>IFERROR(__xludf.DUMMYFUNCTION("""COMPUTED_VALUE"""),"06/26/2009")</f>
        <v>06/26/2009</v>
      </c>
      <c r="H3514" s="6" t="str">
        <f>IFERROR(__xludf.DUMMYFUNCTION("""COMPUTED_VALUE"""),"Self Identify")</f>
        <v>Self Identify</v>
      </c>
      <c r="I3514" s="6" t="str">
        <f>IFERROR(__xludf.DUMMYFUNCTION("""COMPUTED_VALUE"""),"High School")</f>
        <v>High School</v>
      </c>
      <c r="J3514" s="6" t="str">
        <f>IFERROR(__xludf.DUMMYFUNCTION("""COMPUTED_VALUE"""),"11")</f>
        <v>11</v>
      </c>
      <c r="K3514" s="6" t="str">
        <f>IFERROR(__xludf.DUMMYFUNCTION("""COMPUTED_VALUE"""),"arianna_nolen@stu.ortrail.k12.or.us")</f>
        <v>arianna_nolen@stu.ortrail.k12.or.us</v>
      </c>
      <c r="L3514" s="6" t="str">
        <f>IFERROR(__xludf.DUMMYFUNCTION("""COMPUTED_VALUE"""),"Oregon Trail School District 46")</f>
        <v>Oregon Trail School District 46</v>
      </c>
      <c r="M3514" s="6" t="str">
        <f>IFERROR(__xludf.DUMMYFUNCTION("""COMPUTED_VALUE"""),"Sandy High School")</f>
        <v>Sandy High School</v>
      </c>
      <c r="N3514" s="6" t="str">
        <f>IFERROR(__xludf.DUMMYFUNCTION("""COMPUTED_VALUE"""),"")</f>
        <v/>
      </c>
      <c r="O3514" s="87" t="str">
        <f>IFERROR(__xludf.DUMMYFUNCTION("""COMPUTED_VALUE"""),"https://drive.google.com/drive/folders/10T2cTQHqEJZqE-st6uFKPoI?usp=share_link")</f>
        <v>https://drive.google.com/drive/folders/10T2cTQHqEJZqE-st6uFKPoI?usp=share_link</v>
      </c>
      <c r="P3514" s="6" t="str">
        <f>IFERROR(__xludf.DUMMYFUNCTION("""COMPUTED_VALUE"""),"Arianna Nolen")</f>
        <v>Arianna Nolen</v>
      </c>
      <c r="Q3514" s="6" t="str">
        <f>IFERROR(__xludf.DUMMYFUNCTION("""COMPUTED_VALUE"""),"HS")</f>
        <v>HS</v>
      </c>
      <c r="R3514" s="6">
        <f>IFERROR(__xludf.DUMMYFUNCTION("""COMPUTED_VALUE"""),0.0)</f>
        <v>0</v>
      </c>
      <c r="S3514" s="6" t="str">
        <f>IFERROR(__xludf.DUMMYFUNCTION("""COMPUTED_VALUE"""),"Ryan Cauch")</f>
        <v>Ryan Cauch</v>
      </c>
      <c r="T3514" s="6" t="str">
        <f>IFERROR(__xludf.DUMMYFUNCTION("""COMPUTED_VALUE"""),"ryan.cauch@ortrail.k12.or.us")</f>
        <v>ryan.cauch@ortrail.k12.or.us</v>
      </c>
      <c r="U3514" s="6" t="str">
        <f>IFERROR(__xludf.DUMMYFUNCTION("""COMPUTED_VALUE"""),"11")</f>
        <v>11</v>
      </c>
      <c r="V3514" s="6" t="str">
        <f>IFERROR(__xludf.DUMMYFUNCTION("""COMPUTED_VALUE"""),"English")</f>
        <v>English</v>
      </c>
      <c r="W3514" s="6" t="str">
        <f>IFERROR(__xludf.DUMMYFUNCTION("""COMPUTED_VALUE"""),"[]")</f>
        <v>[]</v>
      </c>
      <c r="X3514" s="6" t="str">
        <f>IFERROR(__xludf.DUMMYFUNCTION("""COMPUTED_VALUE"""),"Enrolled")</f>
        <v>Enrolled</v>
      </c>
    </row>
    <row r="3515">
      <c r="A3515" s="6" t="str">
        <f>IFERROR(__xludf.DUMMYFUNCTION("""COMPUTED_VALUE"""),"064-6597")</f>
        <v>064-6597</v>
      </c>
      <c r="B3515" s="6" t="str">
        <f>IFERROR(__xludf.DUMMYFUNCTION("""COMPUTED_VALUE"""),"64")</f>
        <v>64</v>
      </c>
      <c r="C3515" s="6" t="str">
        <f>IFERROR(__xludf.DUMMYFUNCTION("""COMPUTED_VALUE"""),"6597")</f>
        <v>6597</v>
      </c>
      <c r="D3515" s="6" t="str">
        <f>IFERROR(__xludf.DUMMYFUNCTION("""COMPUTED_VALUE"""),"Jonah")</f>
        <v>Jonah</v>
      </c>
      <c r="E3515" s="6" t="str">
        <f>IFERROR(__xludf.DUMMYFUNCTION("""COMPUTED_VALUE"""),"")</f>
        <v/>
      </c>
      <c r="F3515" s="6" t="str">
        <f>IFERROR(__xludf.DUMMYFUNCTION("""COMPUTED_VALUE"""),"Reynosa-Rice")</f>
        <v>Reynosa-Rice</v>
      </c>
      <c r="G3515" s="6" t="str">
        <f>IFERROR(__xludf.DUMMYFUNCTION("""COMPUTED_VALUE"""),"12/13/2010")</f>
        <v>12/13/2010</v>
      </c>
      <c r="H3515" s="6" t="str">
        <f>IFERROR(__xludf.DUMMYFUNCTION("""COMPUTED_VALUE"""),"Self Identify")</f>
        <v>Self Identify</v>
      </c>
      <c r="I3515" s="6" t="str">
        <f>IFERROR(__xludf.DUMMYFUNCTION("""COMPUTED_VALUE"""),"High School")</f>
        <v>High School</v>
      </c>
      <c r="J3515" s="6" t="str">
        <f>IFERROR(__xludf.DUMMYFUNCTION("""COMPUTED_VALUE"""),"9")</f>
        <v>9</v>
      </c>
      <c r="K3515" s="6" t="str">
        <f>IFERROR(__xludf.DUMMYFUNCTION("""COMPUTED_VALUE"""),"jonah_reynosarice@stu.ortrail.k12.or.us")</f>
        <v>jonah_reynosarice@stu.ortrail.k12.or.us</v>
      </c>
      <c r="L3515" s="6" t="str">
        <f>IFERROR(__xludf.DUMMYFUNCTION("""COMPUTED_VALUE"""),"Oregon Trail School District 46")</f>
        <v>Oregon Trail School District 46</v>
      </c>
      <c r="M3515" s="6" t="str">
        <f>IFERROR(__xludf.DUMMYFUNCTION("""COMPUTED_VALUE"""),"Sandy High School")</f>
        <v>Sandy High School</v>
      </c>
      <c r="N3515" s="6" t="str">
        <f>IFERROR(__xludf.DUMMYFUNCTION("""COMPUTED_VALUE"""),"")</f>
        <v/>
      </c>
      <c r="O3515" s="87" t="str">
        <f>IFERROR(__xludf.DUMMYFUNCTION("""COMPUTED_VALUE"""),"https://drive.google.com/drive/folders/10T2cTQHqEJZqE-st6uFKPoI?usp=share_link")</f>
        <v>https://drive.google.com/drive/folders/10T2cTQHqEJZqE-st6uFKPoI?usp=share_link</v>
      </c>
      <c r="P3515" s="6" t="str">
        <f>IFERROR(__xludf.DUMMYFUNCTION("""COMPUTED_VALUE"""),"Jonah Reynosa-Rice")</f>
        <v>Jonah Reynosa-Rice</v>
      </c>
      <c r="Q3515" s="6" t="str">
        <f>IFERROR(__xludf.DUMMYFUNCTION("""COMPUTED_VALUE"""),"HS")</f>
        <v>HS</v>
      </c>
      <c r="R3515" s="6">
        <f>IFERROR(__xludf.DUMMYFUNCTION("""COMPUTED_VALUE"""),0.0)</f>
        <v>0</v>
      </c>
      <c r="S3515" s="6" t="str">
        <f>IFERROR(__xludf.DUMMYFUNCTION("""COMPUTED_VALUE"""),"Ryan Cauch")</f>
        <v>Ryan Cauch</v>
      </c>
      <c r="T3515" s="6" t="str">
        <f>IFERROR(__xludf.DUMMYFUNCTION("""COMPUTED_VALUE"""),"ryan.cauch@ortrail.k12.or.us")</f>
        <v>ryan.cauch@ortrail.k12.or.us</v>
      </c>
      <c r="U3515" s="6" t="str">
        <f>IFERROR(__xludf.DUMMYFUNCTION("""COMPUTED_VALUE"""),"9")</f>
        <v>9</v>
      </c>
      <c r="V3515" s="6" t="str">
        <f>IFERROR(__xludf.DUMMYFUNCTION("""COMPUTED_VALUE"""),"English")</f>
        <v>English</v>
      </c>
      <c r="W3515" s="6" t="str">
        <f>IFERROR(__xludf.DUMMYFUNCTION("""COMPUTED_VALUE"""),"[]")</f>
        <v>[]</v>
      </c>
      <c r="X3515" s="6" t="str">
        <f>IFERROR(__xludf.DUMMYFUNCTION("""COMPUTED_VALUE"""),"Enrolled")</f>
        <v>Enrolled</v>
      </c>
    </row>
    <row r="3516">
      <c r="A3516" s="6" t="str">
        <f>IFERROR(__xludf.DUMMYFUNCTION("""COMPUTED_VALUE"""),"064-6599")</f>
        <v>064-6599</v>
      </c>
      <c r="B3516" s="6" t="str">
        <f>IFERROR(__xludf.DUMMYFUNCTION("""COMPUTED_VALUE"""),"64")</f>
        <v>64</v>
      </c>
      <c r="C3516" s="6" t="str">
        <f>IFERROR(__xludf.DUMMYFUNCTION("""COMPUTED_VALUE"""),"6599")</f>
        <v>6599</v>
      </c>
      <c r="D3516" s="6" t="str">
        <f>IFERROR(__xludf.DUMMYFUNCTION("""COMPUTED_VALUE"""),"Warrick")</f>
        <v>Warrick</v>
      </c>
      <c r="E3516" s="6" t="str">
        <f>IFERROR(__xludf.DUMMYFUNCTION("""COMPUTED_VALUE"""),"")</f>
        <v/>
      </c>
      <c r="F3516" s="6" t="str">
        <f>IFERROR(__xludf.DUMMYFUNCTION("""COMPUTED_VALUE"""),"Romey")</f>
        <v>Romey</v>
      </c>
      <c r="G3516" s="6" t="str">
        <f>IFERROR(__xludf.DUMMYFUNCTION("""COMPUTED_VALUE"""),"01/09/2008")</f>
        <v>01/09/2008</v>
      </c>
      <c r="H3516" s="6" t="str">
        <f>IFERROR(__xludf.DUMMYFUNCTION("""COMPUTED_VALUE"""),"Self Identify")</f>
        <v>Self Identify</v>
      </c>
      <c r="I3516" s="6" t="str">
        <f>IFERROR(__xludf.DUMMYFUNCTION("""COMPUTED_VALUE"""),"High School")</f>
        <v>High School</v>
      </c>
      <c r="J3516" s="6" t="str">
        <f>IFERROR(__xludf.DUMMYFUNCTION("""COMPUTED_VALUE"""),"12")</f>
        <v>12</v>
      </c>
      <c r="K3516" s="6" t="str">
        <f>IFERROR(__xludf.DUMMYFUNCTION("""COMPUTED_VALUE"""),"warrick_romey@stu.ortrail.k12.or.us")</f>
        <v>warrick_romey@stu.ortrail.k12.or.us</v>
      </c>
      <c r="L3516" s="6" t="str">
        <f>IFERROR(__xludf.DUMMYFUNCTION("""COMPUTED_VALUE"""),"Oregon Trail School District 46")</f>
        <v>Oregon Trail School District 46</v>
      </c>
      <c r="M3516" s="6" t="str">
        <f>IFERROR(__xludf.DUMMYFUNCTION("""COMPUTED_VALUE"""),"Sandy High School")</f>
        <v>Sandy High School</v>
      </c>
      <c r="N3516" s="6" t="str">
        <f>IFERROR(__xludf.DUMMYFUNCTION("""COMPUTED_VALUE"""),"")</f>
        <v/>
      </c>
      <c r="O3516" s="87" t="str">
        <f>IFERROR(__xludf.DUMMYFUNCTION("""COMPUTED_VALUE"""),"https://drive.google.com/drive/folders/10T2cTQHqEJZqE-st6uFKPoI?usp=share_link")</f>
        <v>https://drive.google.com/drive/folders/10T2cTQHqEJZqE-st6uFKPoI?usp=share_link</v>
      </c>
      <c r="P3516" s="6" t="str">
        <f>IFERROR(__xludf.DUMMYFUNCTION("""COMPUTED_VALUE"""),"Warrick Romey")</f>
        <v>Warrick Romey</v>
      </c>
      <c r="Q3516" s="6" t="str">
        <f>IFERROR(__xludf.DUMMYFUNCTION("""COMPUTED_VALUE"""),"HS")</f>
        <v>HS</v>
      </c>
      <c r="R3516" s="6">
        <f>IFERROR(__xludf.DUMMYFUNCTION("""COMPUTED_VALUE"""),0.0)</f>
        <v>0</v>
      </c>
      <c r="S3516" s="6" t="str">
        <f>IFERROR(__xludf.DUMMYFUNCTION("""COMPUTED_VALUE"""),"Ryan Cauch")</f>
        <v>Ryan Cauch</v>
      </c>
      <c r="T3516" s="6" t="str">
        <f>IFERROR(__xludf.DUMMYFUNCTION("""COMPUTED_VALUE"""),"ryan.cauch@ortrail.k12.or.us")</f>
        <v>ryan.cauch@ortrail.k12.or.us</v>
      </c>
      <c r="U3516" s="6" t="str">
        <f>IFERROR(__xludf.DUMMYFUNCTION("""COMPUTED_VALUE"""),"12")</f>
        <v>12</v>
      </c>
      <c r="V3516" s="6" t="str">
        <f>IFERROR(__xludf.DUMMYFUNCTION("""COMPUTED_VALUE"""),"English")</f>
        <v>English</v>
      </c>
      <c r="W3516" s="6" t="str">
        <f>IFERROR(__xludf.DUMMYFUNCTION("""COMPUTED_VALUE"""),"[]")</f>
        <v>[]</v>
      </c>
      <c r="X3516" s="6" t="str">
        <f>IFERROR(__xludf.DUMMYFUNCTION("""COMPUTED_VALUE"""),"Enrolled")</f>
        <v>Enrolled</v>
      </c>
    </row>
    <row r="3517">
      <c r="A3517" s="6" t="str">
        <f>IFERROR(__xludf.DUMMYFUNCTION("""COMPUTED_VALUE"""),"064-6600")</f>
        <v>064-6600</v>
      </c>
      <c r="B3517" s="6" t="str">
        <f>IFERROR(__xludf.DUMMYFUNCTION("""COMPUTED_VALUE"""),"64")</f>
        <v>64</v>
      </c>
      <c r="C3517" s="6" t="str">
        <f>IFERROR(__xludf.DUMMYFUNCTION("""COMPUTED_VALUE"""),"6600")</f>
        <v>6600</v>
      </c>
      <c r="D3517" s="6" t="str">
        <f>IFERROR(__xludf.DUMMYFUNCTION("""COMPUTED_VALUE"""),"Aiden")</f>
        <v>Aiden</v>
      </c>
      <c r="E3517" s="6" t="str">
        <f>IFERROR(__xludf.DUMMYFUNCTION("""COMPUTED_VALUE"""),"")</f>
        <v/>
      </c>
      <c r="F3517" s="6" t="str">
        <f>IFERROR(__xludf.DUMMYFUNCTION("""COMPUTED_VALUE"""),"Routh")</f>
        <v>Routh</v>
      </c>
      <c r="G3517" s="6" t="str">
        <f>IFERROR(__xludf.DUMMYFUNCTION("""COMPUTED_VALUE"""),"03/03/2008")</f>
        <v>03/03/2008</v>
      </c>
      <c r="H3517" s="6" t="str">
        <f>IFERROR(__xludf.DUMMYFUNCTION("""COMPUTED_VALUE"""),"Self Identify")</f>
        <v>Self Identify</v>
      </c>
      <c r="I3517" s="6" t="str">
        <f>IFERROR(__xludf.DUMMYFUNCTION("""COMPUTED_VALUE"""),"High School")</f>
        <v>High School</v>
      </c>
      <c r="J3517" s="6" t="str">
        <f>IFERROR(__xludf.DUMMYFUNCTION("""COMPUTED_VALUE"""),"12")</f>
        <v>12</v>
      </c>
      <c r="K3517" s="6" t="str">
        <f>IFERROR(__xludf.DUMMYFUNCTION("""COMPUTED_VALUE"""),"aiden_routh@stu.ortrail.k12.or.us")</f>
        <v>aiden_routh@stu.ortrail.k12.or.us</v>
      </c>
      <c r="L3517" s="6" t="str">
        <f>IFERROR(__xludf.DUMMYFUNCTION("""COMPUTED_VALUE"""),"Oregon Trail School District 46")</f>
        <v>Oregon Trail School District 46</v>
      </c>
      <c r="M3517" s="6" t="str">
        <f>IFERROR(__xludf.DUMMYFUNCTION("""COMPUTED_VALUE"""),"Sandy High School")</f>
        <v>Sandy High School</v>
      </c>
      <c r="N3517" s="6" t="str">
        <f>IFERROR(__xludf.DUMMYFUNCTION("""COMPUTED_VALUE"""),"")</f>
        <v/>
      </c>
      <c r="O3517" s="87" t="str">
        <f>IFERROR(__xludf.DUMMYFUNCTION("""COMPUTED_VALUE"""),"https://drive.google.com/drive/folders/10T2cTQHqEJZqE-st6uFKPoI?usp=share_link")</f>
        <v>https://drive.google.com/drive/folders/10T2cTQHqEJZqE-st6uFKPoI?usp=share_link</v>
      </c>
      <c r="P3517" s="6" t="str">
        <f>IFERROR(__xludf.DUMMYFUNCTION("""COMPUTED_VALUE"""),"Aiden Routh")</f>
        <v>Aiden Routh</v>
      </c>
      <c r="Q3517" s="6" t="str">
        <f>IFERROR(__xludf.DUMMYFUNCTION("""COMPUTED_VALUE"""),"HS")</f>
        <v>HS</v>
      </c>
      <c r="R3517" s="6">
        <f>IFERROR(__xludf.DUMMYFUNCTION("""COMPUTED_VALUE"""),0.0)</f>
        <v>0</v>
      </c>
      <c r="S3517" s="6" t="str">
        <f>IFERROR(__xludf.DUMMYFUNCTION("""COMPUTED_VALUE"""),"Ryan Cauch")</f>
        <v>Ryan Cauch</v>
      </c>
      <c r="T3517" s="6" t="str">
        <f>IFERROR(__xludf.DUMMYFUNCTION("""COMPUTED_VALUE"""),"ryan.cauch@ortrail.k12.or.us")</f>
        <v>ryan.cauch@ortrail.k12.or.us</v>
      </c>
      <c r="U3517" s="6" t="str">
        <f>IFERROR(__xludf.DUMMYFUNCTION("""COMPUTED_VALUE"""),"12")</f>
        <v>12</v>
      </c>
      <c r="V3517" s="6" t="str">
        <f>IFERROR(__xludf.DUMMYFUNCTION("""COMPUTED_VALUE"""),"English")</f>
        <v>English</v>
      </c>
      <c r="W3517" s="6" t="str">
        <f>IFERROR(__xludf.DUMMYFUNCTION("""COMPUTED_VALUE"""),"[]")</f>
        <v>[]</v>
      </c>
      <c r="X3517" s="6" t="str">
        <f>IFERROR(__xludf.DUMMYFUNCTION("""COMPUTED_VALUE"""),"Enrolled")</f>
        <v>Enrolled</v>
      </c>
    </row>
    <row r="3518">
      <c r="A3518" s="6" t="str">
        <f>IFERROR(__xludf.DUMMYFUNCTION("""COMPUTED_VALUE"""),"064-6603")</f>
        <v>064-6603</v>
      </c>
      <c r="B3518" s="6" t="str">
        <f>IFERROR(__xludf.DUMMYFUNCTION("""COMPUTED_VALUE"""),"64")</f>
        <v>64</v>
      </c>
      <c r="C3518" s="6" t="str">
        <f>IFERROR(__xludf.DUMMYFUNCTION("""COMPUTED_VALUE"""),"6603")</f>
        <v>6603</v>
      </c>
      <c r="D3518" s="6" t="str">
        <f>IFERROR(__xludf.DUMMYFUNCTION("""COMPUTED_VALUE"""),"Delaney")</f>
        <v>Delaney</v>
      </c>
      <c r="E3518" s="6" t="str">
        <f>IFERROR(__xludf.DUMMYFUNCTION("""COMPUTED_VALUE"""),"")</f>
        <v/>
      </c>
      <c r="F3518" s="6" t="str">
        <f>IFERROR(__xludf.DUMMYFUNCTION("""COMPUTED_VALUE"""),"Smith")</f>
        <v>Smith</v>
      </c>
      <c r="G3518" s="6" t="str">
        <f>IFERROR(__xludf.DUMMYFUNCTION("""COMPUTED_VALUE"""),"11/14/2008")</f>
        <v>11/14/2008</v>
      </c>
      <c r="H3518" s="6" t="str">
        <f>IFERROR(__xludf.DUMMYFUNCTION("""COMPUTED_VALUE"""),"Self Identify")</f>
        <v>Self Identify</v>
      </c>
      <c r="I3518" s="6" t="str">
        <f>IFERROR(__xludf.DUMMYFUNCTION("""COMPUTED_VALUE"""),"High School")</f>
        <v>High School</v>
      </c>
      <c r="J3518" s="6" t="str">
        <f>IFERROR(__xludf.DUMMYFUNCTION("""COMPUTED_VALUE"""),"10")</f>
        <v>10</v>
      </c>
      <c r="K3518" s="6" t="str">
        <f>IFERROR(__xludf.DUMMYFUNCTION("""COMPUTED_VALUE"""),"delaney_smith@stu.ortrail.k12.or.us")</f>
        <v>delaney_smith@stu.ortrail.k12.or.us</v>
      </c>
      <c r="L3518" s="6" t="str">
        <f>IFERROR(__xludf.DUMMYFUNCTION("""COMPUTED_VALUE"""),"Oregon Trail School District 46")</f>
        <v>Oregon Trail School District 46</v>
      </c>
      <c r="M3518" s="6" t="str">
        <f>IFERROR(__xludf.DUMMYFUNCTION("""COMPUTED_VALUE"""),"Sandy High School")</f>
        <v>Sandy High School</v>
      </c>
      <c r="N3518" s="6" t="str">
        <f>IFERROR(__xludf.DUMMYFUNCTION("""COMPUTED_VALUE"""),"")</f>
        <v/>
      </c>
      <c r="O3518" s="87" t="str">
        <f>IFERROR(__xludf.DUMMYFUNCTION("""COMPUTED_VALUE"""),"https://drive.google.com/drive/folders/10T2cTQHqEJZqE-st6uFKPoI?usp=share_link")</f>
        <v>https://drive.google.com/drive/folders/10T2cTQHqEJZqE-st6uFKPoI?usp=share_link</v>
      </c>
      <c r="P3518" s="6" t="str">
        <f>IFERROR(__xludf.DUMMYFUNCTION("""COMPUTED_VALUE"""),"Delaney Smith")</f>
        <v>Delaney Smith</v>
      </c>
      <c r="Q3518" s="6" t="str">
        <f>IFERROR(__xludf.DUMMYFUNCTION("""COMPUTED_VALUE"""),"HS")</f>
        <v>HS</v>
      </c>
      <c r="R3518" s="6">
        <f>IFERROR(__xludf.DUMMYFUNCTION("""COMPUTED_VALUE"""),0.0)</f>
        <v>0</v>
      </c>
      <c r="S3518" s="6" t="str">
        <f>IFERROR(__xludf.DUMMYFUNCTION("""COMPUTED_VALUE"""),"Ryan Cauch")</f>
        <v>Ryan Cauch</v>
      </c>
      <c r="T3518" s="6" t="str">
        <f>IFERROR(__xludf.DUMMYFUNCTION("""COMPUTED_VALUE"""),"ryan.cauch@ortrail.k12.or.us")</f>
        <v>ryan.cauch@ortrail.k12.or.us</v>
      </c>
      <c r="U3518" s="6" t="str">
        <f>IFERROR(__xludf.DUMMYFUNCTION("""COMPUTED_VALUE"""),"10")</f>
        <v>10</v>
      </c>
      <c r="V3518" s="6" t="str">
        <f>IFERROR(__xludf.DUMMYFUNCTION("""COMPUTED_VALUE"""),"English")</f>
        <v>English</v>
      </c>
      <c r="W3518" s="6" t="str">
        <f>IFERROR(__xludf.DUMMYFUNCTION("""COMPUTED_VALUE"""),"[]")</f>
        <v>[]</v>
      </c>
      <c r="X3518" s="6" t="str">
        <f>IFERROR(__xludf.DUMMYFUNCTION("""COMPUTED_VALUE"""),"Enrolled")</f>
        <v>Enrolled</v>
      </c>
    </row>
    <row r="3519">
      <c r="A3519" s="6" t="str">
        <f>IFERROR(__xludf.DUMMYFUNCTION("""COMPUTED_VALUE"""),"064-6605")</f>
        <v>064-6605</v>
      </c>
      <c r="B3519" s="6" t="str">
        <f>IFERROR(__xludf.DUMMYFUNCTION("""COMPUTED_VALUE"""),"64")</f>
        <v>64</v>
      </c>
      <c r="C3519" s="6" t="str">
        <f>IFERROR(__xludf.DUMMYFUNCTION("""COMPUTED_VALUE"""),"6605")</f>
        <v>6605</v>
      </c>
      <c r="D3519" s="6" t="str">
        <f>IFERROR(__xludf.DUMMYFUNCTION("""COMPUTED_VALUE"""),"Evelyn")</f>
        <v>Evelyn</v>
      </c>
      <c r="E3519" s="6" t="str">
        <f>IFERROR(__xludf.DUMMYFUNCTION("""COMPUTED_VALUE"""),"")</f>
        <v/>
      </c>
      <c r="F3519" s="6" t="str">
        <f>IFERROR(__xludf.DUMMYFUNCTION("""COMPUTED_VALUE"""),"Strand")</f>
        <v>Strand</v>
      </c>
      <c r="G3519" s="6" t="str">
        <f>IFERROR(__xludf.DUMMYFUNCTION("""COMPUTED_VALUE"""),"12/24/2008")</f>
        <v>12/24/2008</v>
      </c>
      <c r="H3519" s="6" t="str">
        <f>IFERROR(__xludf.DUMMYFUNCTION("""COMPUTED_VALUE"""),"Self Identify")</f>
        <v>Self Identify</v>
      </c>
      <c r="I3519" s="6" t="str">
        <f>IFERROR(__xludf.DUMMYFUNCTION("""COMPUTED_VALUE"""),"High School")</f>
        <v>High School</v>
      </c>
      <c r="J3519" s="6" t="str">
        <f>IFERROR(__xludf.DUMMYFUNCTION("""COMPUTED_VALUE"""),"11")</f>
        <v>11</v>
      </c>
      <c r="K3519" s="6" t="str">
        <f>IFERROR(__xludf.DUMMYFUNCTION("""COMPUTED_VALUE"""),"evelyn_strand@stu.ortrail.k12.or.us")</f>
        <v>evelyn_strand@stu.ortrail.k12.or.us</v>
      </c>
      <c r="L3519" s="6" t="str">
        <f>IFERROR(__xludf.DUMMYFUNCTION("""COMPUTED_VALUE"""),"Oregon Trail School District 46")</f>
        <v>Oregon Trail School District 46</v>
      </c>
      <c r="M3519" s="6" t="str">
        <f>IFERROR(__xludf.DUMMYFUNCTION("""COMPUTED_VALUE"""),"Sandy High School")</f>
        <v>Sandy High School</v>
      </c>
      <c r="N3519" s="6" t="str">
        <f>IFERROR(__xludf.DUMMYFUNCTION("""COMPUTED_VALUE"""),"")</f>
        <v/>
      </c>
      <c r="O3519" s="87" t="str">
        <f>IFERROR(__xludf.DUMMYFUNCTION("""COMPUTED_VALUE"""),"https://drive.google.com/drive/folders/10T2cTQHqEJZqE-st6uFKPoI?usp=share_link")</f>
        <v>https://drive.google.com/drive/folders/10T2cTQHqEJZqE-st6uFKPoI?usp=share_link</v>
      </c>
      <c r="P3519" s="6" t="str">
        <f>IFERROR(__xludf.DUMMYFUNCTION("""COMPUTED_VALUE"""),"Evelyn Strand")</f>
        <v>Evelyn Strand</v>
      </c>
      <c r="Q3519" s="6" t="str">
        <f>IFERROR(__xludf.DUMMYFUNCTION("""COMPUTED_VALUE"""),"HS")</f>
        <v>HS</v>
      </c>
      <c r="R3519" s="6">
        <f>IFERROR(__xludf.DUMMYFUNCTION("""COMPUTED_VALUE"""),0.0)</f>
        <v>0</v>
      </c>
      <c r="S3519" s="6" t="str">
        <f>IFERROR(__xludf.DUMMYFUNCTION("""COMPUTED_VALUE"""),"Ryan Cauch")</f>
        <v>Ryan Cauch</v>
      </c>
      <c r="T3519" s="6" t="str">
        <f>IFERROR(__xludf.DUMMYFUNCTION("""COMPUTED_VALUE"""),"ryan.cauch@ortrail.k12.or.us")</f>
        <v>ryan.cauch@ortrail.k12.or.us</v>
      </c>
      <c r="U3519" s="6" t="str">
        <f>IFERROR(__xludf.DUMMYFUNCTION("""COMPUTED_VALUE"""),"11")</f>
        <v>11</v>
      </c>
      <c r="V3519" s="6" t="str">
        <f>IFERROR(__xludf.DUMMYFUNCTION("""COMPUTED_VALUE"""),"English")</f>
        <v>English</v>
      </c>
      <c r="W3519" s="6" t="str">
        <f>IFERROR(__xludf.DUMMYFUNCTION("""COMPUTED_VALUE"""),"[]")</f>
        <v>[]</v>
      </c>
      <c r="X3519" s="6" t="str">
        <f>IFERROR(__xludf.DUMMYFUNCTION("""COMPUTED_VALUE"""),"Enrolled")</f>
        <v>Enrolled</v>
      </c>
    </row>
    <row r="3520">
      <c r="A3520" s="6" t="str">
        <f>IFERROR(__xludf.DUMMYFUNCTION("""COMPUTED_VALUE"""),"064-6608")</f>
        <v>064-6608</v>
      </c>
      <c r="B3520" s="6" t="str">
        <f>IFERROR(__xludf.DUMMYFUNCTION("""COMPUTED_VALUE"""),"64")</f>
        <v>64</v>
      </c>
      <c r="C3520" s="6" t="str">
        <f>IFERROR(__xludf.DUMMYFUNCTION("""COMPUTED_VALUE"""),"6608")</f>
        <v>6608</v>
      </c>
      <c r="D3520" s="6" t="str">
        <f>IFERROR(__xludf.DUMMYFUNCTION("""COMPUTED_VALUE"""),"Meadow")</f>
        <v>Meadow</v>
      </c>
      <c r="E3520" s="6" t="str">
        <f>IFERROR(__xludf.DUMMYFUNCTION("""COMPUTED_VALUE"""),"")</f>
        <v/>
      </c>
      <c r="F3520" s="6" t="str">
        <f>IFERROR(__xludf.DUMMYFUNCTION("""COMPUTED_VALUE"""),"Thorp")</f>
        <v>Thorp</v>
      </c>
      <c r="G3520" s="6" t="str">
        <f>IFERROR(__xludf.DUMMYFUNCTION("""COMPUTED_VALUE"""),"07/11/2008")</f>
        <v>07/11/2008</v>
      </c>
      <c r="H3520" s="6" t="str">
        <f>IFERROR(__xludf.DUMMYFUNCTION("""COMPUTED_VALUE"""),"F")</f>
        <v>F</v>
      </c>
      <c r="I3520" s="6" t="str">
        <f>IFERROR(__xludf.DUMMYFUNCTION("""COMPUTED_VALUE"""),"High School")</f>
        <v>High School</v>
      </c>
      <c r="J3520" s="6" t="str">
        <f>IFERROR(__xludf.DUMMYFUNCTION("""COMPUTED_VALUE"""),"11")</f>
        <v>11</v>
      </c>
      <c r="K3520" s="6" t="str">
        <f>IFERROR(__xludf.DUMMYFUNCTION("""COMPUTED_VALUE"""),"meadow_thorp@stu.ortrail.k12.or.us")</f>
        <v>meadow_thorp@stu.ortrail.k12.or.us</v>
      </c>
      <c r="L3520" s="6" t="str">
        <f>IFERROR(__xludf.DUMMYFUNCTION("""COMPUTED_VALUE"""),"Oregon Trail School District 46")</f>
        <v>Oregon Trail School District 46</v>
      </c>
      <c r="M3520" s="6" t="str">
        <f>IFERROR(__xludf.DUMMYFUNCTION("""COMPUTED_VALUE"""),"")</f>
        <v/>
      </c>
      <c r="N3520" s="6" t="str">
        <f>IFERROR(__xludf.DUMMYFUNCTION("""COMPUTED_VALUE"""),"")</f>
        <v/>
      </c>
      <c r="O3520" s="87" t="str">
        <f>IFERROR(__xludf.DUMMYFUNCTION("""COMPUTED_VALUE"""),"https://drive.google.com/drive/folders/10T2cTQHqEJZqE-st6uFKPoI?usp=share_link")</f>
        <v>https://drive.google.com/drive/folders/10T2cTQHqEJZqE-st6uFKPoI?usp=share_link</v>
      </c>
      <c r="P3520" s="6" t="str">
        <f>IFERROR(__xludf.DUMMYFUNCTION("""COMPUTED_VALUE"""),"Meadow Thorp")</f>
        <v>Meadow Thorp</v>
      </c>
      <c r="Q3520" s="6" t="str">
        <f>IFERROR(__xludf.DUMMYFUNCTION("""COMPUTED_VALUE"""),"HS")</f>
        <v>HS</v>
      </c>
      <c r="R3520" s="6">
        <f>IFERROR(__xludf.DUMMYFUNCTION("""COMPUTED_VALUE"""),0.0)</f>
        <v>0</v>
      </c>
      <c r="S3520" s="6" t="str">
        <f>IFERROR(__xludf.DUMMYFUNCTION("""COMPUTED_VALUE"""),"Genevra Self")</f>
        <v>Genevra Self</v>
      </c>
      <c r="T3520" s="6" t="str">
        <f>IFERROR(__xludf.DUMMYFUNCTION("""COMPUTED_VALUE"""),"genevra.self@studient.com")</f>
        <v>genevra.self@studient.com</v>
      </c>
      <c r="U3520" s="6" t="str">
        <f>IFERROR(__xludf.DUMMYFUNCTION("""COMPUTED_VALUE"""),"11")</f>
        <v>11</v>
      </c>
      <c r="V3520" s="6" t="str">
        <f>IFERROR(__xludf.DUMMYFUNCTION("""COMPUTED_VALUE"""),"English")</f>
        <v>English</v>
      </c>
      <c r="W3520" s="6" t="str">
        <f>IFERROR(__xludf.DUMMYFUNCTION("""COMPUTED_VALUE"""),"[]")</f>
        <v>[]</v>
      </c>
      <c r="X3520" s="6" t="str">
        <f>IFERROR(__xludf.DUMMYFUNCTION("""COMPUTED_VALUE"""),"Enrolled")</f>
        <v>Enrolled</v>
      </c>
    </row>
    <row r="3521">
      <c r="A3521" s="6" t="str">
        <f>IFERROR(__xludf.DUMMYFUNCTION("""COMPUTED_VALUE"""),"064-6609")</f>
        <v>064-6609</v>
      </c>
      <c r="B3521" s="6" t="str">
        <f>IFERROR(__xludf.DUMMYFUNCTION("""COMPUTED_VALUE"""),"64")</f>
        <v>64</v>
      </c>
      <c r="C3521" s="6" t="str">
        <f>IFERROR(__xludf.DUMMYFUNCTION("""COMPUTED_VALUE"""),"6609")</f>
        <v>6609</v>
      </c>
      <c r="D3521" s="6" t="str">
        <f>IFERROR(__xludf.DUMMYFUNCTION("""COMPUTED_VALUE"""),"Corbin")</f>
        <v>Corbin</v>
      </c>
      <c r="E3521" s="6" t="str">
        <f>IFERROR(__xludf.DUMMYFUNCTION("""COMPUTED_VALUE"""),"")</f>
        <v/>
      </c>
      <c r="F3521" s="6" t="str">
        <f>IFERROR(__xludf.DUMMYFUNCTION("""COMPUTED_VALUE"""),"Verley")</f>
        <v>Verley</v>
      </c>
      <c r="G3521" s="6" t="str">
        <f>IFERROR(__xludf.DUMMYFUNCTION("""COMPUTED_VALUE"""),"05/13/2010")</f>
        <v>05/13/2010</v>
      </c>
      <c r="H3521" s="6" t="str">
        <f>IFERROR(__xludf.DUMMYFUNCTION("""COMPUTED_VALUE"""),"Self Identify")</f>
        <v>Self Identify</v>
      </c>
      <c r="I3521" s="6" t="str">
        <f>IFERROR(__xludf.DUMMYFUNCTION("""COMPUTED_VALUE"""),"High School")</f>
        <v>High School</v>
      </c>
      <c r="J3521" s="6" t="str">
        <f>IFERROR(__xludf.DUMMYFUNCTION("""COMPUTED_VALUE"""),"10")</f>
        <v>10</v>
      </c>
      <c r="K3521" s="6" t="str">
        <f>IFERROR(__xludf.DUMMYFUNCTION("""COMPUTED_VALUE"""),"corbin_verley@stu.ortrail.k12.or.us")</f>
        <v>corbin_verley@stu.ortrail.k12.or.us</v>
      </c>
      <c r="L3521" s="6" t="str">
        <f>IFERROR(__xludf.DUMMYFUNCTION("""COMPUTED_VALUE"""),"Oregon Trail School District 46")</f>
        <v>Oregon Trail School District 46</v>
      </c>
      <c r="M3521" s="6" t="str">
        <f>IFERROR(__xludf.DUMMYFUNCTION("""COMPUTED_VALUE"""),"Sandy High School")</f>
        <v>Sandy High School</v>
      </c>
      <c r="N3521" s="6" t="str">
        <f>IFERROR(__xludf.DUMMYFUNCTION("""COMPUTED_VALUE"""),"")</f>
        <v/>
      </c>
      <c r="O3521" s="87" t="str">
        <f>IFERROR(__xludf.DUMMYFUNCTION("""COMPUTED_VALUE"""),"https://drive.google.com/drive/folders/10T2cTQHqEJZqE-st6uFKPoI?usp=share_link")</f>
        <v>https://drive.google.com/drive/folders/10T2cTQHqEJZqE-st6uFKPoI?usp=share_link</v>
      </c>
      <c r="P3521" s="6" t="str">
        <f>IFERROR(__xludf.DUMMYFUNCTION("""COMPUTED_VALUE"""),"Corbin Verley")</f>
        <v>Corbin Verley</v>
      </c>
      <c r="Q3521" s="6" t="str">
        <f>IFERROR(__xludf.DUMMYFUNCTION("""COMPUTED_VALUE"""),"HS")</f>
        <v>HS</v>
      </c>
      <c r="R3521" s="6">
        <f>IFERROR(__xludf.DUMMYFUNCTION("""COMPUTED_VALUE"""),0.0)</f>
        <v>0</v>
      </c>
      <c r="S3521" s="6" t="str">
        <f>IFERROR(__xludf.DUMMYFUNCTION("""COMPUTED_VALUE"""),"Ryan Cauch")</f>
        <v>Ryan Cauch</v>
      </c>
      <c r="T3521" s="6" t="str">
        <f>IFERROR(__xludf.DUMMYFUNCTION("""COMPUTED_VALUE"""),"ryan.cauch@ortrail.k12.or.us")</f>
        <v>ryan.cauch@ortrail.k12.or.us</v>
      </c>
      <c r="U3521" s="6" t="str">
        <f>IFERROR(__xludf.DUMMYFUNCTION("""COMPUTED_VALUE"""),"10")</f>
        <v>10</v>
      </c>
      <c r="V3521" s="6" t="str">
        <f>IFERROR(__xludf.DUMMYFUNCTION("""COMPUTED_VALUE"""),"English")</f>
        <v>English</v>
      </c>
      <c r="W3521" s="6" t="str">
        <f>IFERROR(__xludf.DUMMYFUNCTION("""COMPUTED_VALUE"""),"[]")</f>
        <v>[]</v>
      </c>
      <c r="X3521" s="6" t="str">
        <f>IFERROR(__xludf.DUMMYFUNCTION("""COMPUTED_VALUE"""),"Enrolled")</f>
        <v>Enrolled</v>
      </c>
    </row>
    <row r="3522">
      <c r="A3522" s="6" t="str">
        <f>IFERROR(__xludf.DUMMYFUNCTION("""COMPUTED_VALUE"""),"064-6610")</f>
        <v>064-6610</v>
      </c>
      <c r="B3522" s="6" t="str">
        <f>IFERROR(__xludf.DUMMYFUNCTION("""COMPUTED_VALUE"""),"64")</f>
        <v>64</v>
      </c>
      <c r="C3522" s="6" t="str">
        <f>IFERROR(__xludf.DUMMYFUNCTION("""COMPUTED_VALUE"""),"6610")</f>
        <v>6610</v>
      </c>
      <c r="D3522" s="6" t="str">
        <f>IFERROR(__xludf.DUMMYFUNCTION("""COMPUTED_VALUE"""),"Jax")</f>
        <v>Jax</v>
      </c>
      <c r="E3522" s="6" t="str">
        <f>IFERROR(__xludf.DUMMYFUNCTION("""COMPUTED_VALUE"""),"")</f>
        <v/>
      </c>
      <c r="F3522" s="6" t="str">
        <f>IFERROR(__xludf.DUMMYFUNCTION("""COMPUTED_VALUE"""),"Weisend")</f>
        <v>Weisend</v>
      </c>
      <c r="G3522" s="6" t="str">
        <f>IFERROR(__xludf.DUMMYFUNCTION("""COMPUTED_VALUE"""),"10/28/2009")</f>
        <v>10/28/2009</v>
      </c>
      <c r="H3522" s="6" t="str">
        <f>IFERROR(__xludf.DUMMYFUNCTION("""COMPUTED_VALUE"""),"Self Identify")</f>
        <v>Self Identify</v>
      </c>
      <c r="I3522" s="6" t="str">
        <f>IFERROR(__xludf.DUMMYFUNCTION("""COMPUTED_VALUE"""),"High School")</f>
        <v>High School</v>
      </c>
      <c r="J3522" s="6" t="str">
        <f>IFERROR(__xludf.DUMMYFUNCTION("""COMPUTED_VALUE"""),"10")</f>
        <v>10</v>
      </c>
      <c r="K3522" s="6" t="str">
        <f>IFERROR(__xludf.DUMMYFUNCTION("""COMPUTED_VALUE"""),"jax_weisend@stu.ortrail.k12.or.us")</f>
        <v>jax_weisend@stu.ortrail.k12.or.us</v>
      </c>
      <c r="L3522" s="6" t="str">
        <f>IFERROR(__xludf.DUMMYFUNCTION("""COMPUTED_VALUE"""),"Oregon Trail School District 46")</f>
        <v>Oregon Trail School District 46</v>
      </c>
      <c r="M3522" s="6" t="str">
        <f>IFERROR(__xludf.DUMMYFUNCTION("""COMPUTED_VALUE"""),"Sandy High School")</f>
        <v>Sandy High School</v>
      </c>
      <c r="N3522" s="6" t="str">
        <f>IFERROR(__xludf.DUMMYFUNCTION("""COMPUTED_VALUE"""),"")</f>
        <v/>
      </c>
      <c r="O3522" s="87" t="str">
        <f>IFERROR(__xludf.DUMMYFUNCTION("""COMPUTED_VALUE"""),"https://drive.google.com/drive/folders/10T2cTQHqEJZqE-st6uFKPoI?usp=share_link")</f>
        <v>https://drive.google.com/drive/folders/10T2cTQHqEJZqE-st6uFKPoI?usp=share_link</v>
      </c>
      <c r="P3522" s="6" t="str">
        <f>IFERROR(__xludf.DUMMYFUNCTION("""COMPUTED_VALUE"""),"Jax Weisend")</f>
        <v>Jax Weisend</v>
      </c>
      <c r="Q3522" s="6" t="str">
        <f>IFERROR(__xludf.DUMMYFUNCTION("""COMPUTED_VALUE"""),"HS")</f>
        <v>HS</v>
      </c>
      <c r="R3522" s="6">
        <f>IFERROR(__xludf.DUMMYFUNCTION("""COMPUTED_VALUE"""),0.0)</f>
        <v>0</v>
      </c>
      <c r="S3522" s="6" t="str">
        <f>IFERROR(__xludf.DUMMYFUNCTION("""COMPUTED_VALUE"""),"Ryan Cauch")</f>
        <v>Ryan Cauch</v>
      </c>
      <c r="T3522" s="6" t="str">
        <f>IFERROR(__xludf.DUMMYFUNCTION("""COMPUTED_VALUE"""),"ryan.cauch@ortrail.k12.or.us")</f>
        <v>ryan.cauch@ortrail.k12.or.us</v>
      </c>
      <c r="U3522" s="6" t="str">
        <f>IFERROR(__xludf.DUMMYFUNCTION("""COMPUTED_VALUE"""),"10")</f>
        <v>10</v>
      </c>
      <c r="V3522" s="6" t="str">
        <f>IFERROR(__xludf.DUMMYFUNCTION("""COMPUTED_VALUE"""),"English")</f>
        <v>English</v>
      </c>
      <c r="W3522" s="6" t="str">
        <f>IFERROR(__xludf.DUMMYFUNCTION("""COMPUTED_VALUE"""),"[]")</f>
        <v>[]</v>
      </c>
      <c r="X3522" s="6" t="str">
        <f>IFERROR(__xludf.DUMMYFUNCTION("""COMPUTED_VALUE"""),"Enrolled")</f>
        <v>Enrolled</v>
      </c>
    </row>
    <row r="3523">
      <c r="A3523" s="6" t="str">
        <f>IFERROR(__xludf.DUMMYFUNCTION("""COMPUTED_VALUE"""),"064-6611")</f>
        <v>064-6611</v>
      </c>
      <c r="B3523" s="6" t="str">
        <f>IFERROR(__xludf.DUMMYFUNCTION("""COMPUTED_VALUE"""),"64")</f>
        <v>64</v>
      </c>
      <c r="C3523" s="6" t="str">
        <f>IFERROR(__xludf.DUMMYFUNCTION("""COMPUTED_VALUE"""),"6611")</f>
        <v>6611</v>
      </c>
      <c r="D3523" s="6" t="str">
        <f>IFERROR(__xludf.DUMMYFUNCTION("""COMPUTED_VALUE"""),"Luis")</f>
        <v>Luis</v>
      </c>
      <c r="E3523" s="6" t="str">
        <f>IFERROR(__xludf.DUMMYFUNCTION("""COMPUTED_VALUE"""),"")</f>
        <v/>
      </c>
      <c r="F3523" s="6" t="str">
        <f>IFERROR(__xludf.DUMMYFUNCTION("""COMPUTED_VALUE"""),"Castillo")</f>
        <v>Castillo</v>
      </c>
      <c r="G3523" s="6" t="str">
        <f>IFERROR(__xludf.DUMMYFUNCTION("""COMPUTED_VALUE"""),"05/02/2011")</f>
        <v>05/02/2011</v>
      </c>
      <c r="H3523" s="6" t="str">
        <f>IFERROR(__xludf.DUMMYFUNCTION("""COMPUTED_VALUE"""),"M")</f>
        <v>M</v>
      </c>
      <c r="I3523" s="6" t="str">
        <f>IFERROR(__xludf.DUMMYFUNCTION("""COMPUTED_VALUE"""),"High School")</f>
        <v>High School</v>
      </c>
      <c r="J3523" s="6" t="str">
        <f>IFERROR(__xludf.DUMMYFUNCTION("""COMPUTED_VALUE"""),"9")</f>
        <v>9</v>
      </c>
      <c r="K3523" s="6" t="str">
        <f>IFERROR(__xludf.DUMMYFUNCTION("""COMPUTED_VALUE"""),"luis_castillo@stu.ortrail.k12.or.us")</f>
        <v>luis_castillo@stu.ortrail.k12.or.us</v>
      </c>
      <c r="L3523" s="6" t="str">
        <f>IFERROR(__xludf.DUMMYFUNCTION("""COMPUTED_VALUE"""),"Oregon Trail School District 46")</f>
        <v>Oregon Trail School District 46</v>
      </c>
      <c r="M3523" s="6" t="str">
        <f>IFERROR(__xludf.DUMMYFUNCTION("""COMPUTED_VALUE"""),"")</f>
        <v/>
      </c>
      <c r="N3523" s="6" t="str">
        <f>IFERROR(__xludf.DUMMYFUNCTION("""COMPUTED_VALUE"""),"")</f>
        <v/>
      </c>
      <c r="O3523" s="87" t="str">
        <f>IFERROR(__xludf.DUMMYFUNCTION("""COMPUTED_VALUE"""),"https://drive.google.com/drive/folders/10T2cTQHqEJZqE-st6uFKPoI?usp=share_link")</f>
        <v>https://drive.google.com/drive/folders/10T2cTQHqEJZqE-st6uFKPoI?usp=share_link</v>
      </c>
      <c r="P3523" s="6" t="str">
        <f>IFERROR(__xludf.DUMMYFUNCTION("""COMPUTED_VALUE"""),"Luis Castillo")</f>
        <v>Luis Castillo</v>
      </c>
      <c r="Q3523" s="6" t="str">
        <f>IFERROR(__xludf.DUMMYFUNCTION("""COMPUTED_VALUE"""),"HS")</f>
        <v>HS</v>
      </c>
      <c r="R3523" s="6">
        <f>IFERROR(__xludf.DUMMYFUNCTION("""COMPUTED_VALUE"""),0.0)</f>
        <v>0</v>
      </c>
      <c r="S3523" s="6" t="str">
        <f>IFERROR(__xludf.DUMMYFUNCTION("""COMPUTED_VALUE"""),"Genevra Self")</f>
        <v>Genevra Self</v>
      </c>
      <c r="T3523" s="6" t="str">
        <f>IFERROR(__xludf.DUMMYFUNCTION("""COMPUTED_VALUE"""),"genevra.self@studient.com")</f>
        <v>genevra.self@studient.com</v>
      </c>
      <c r="U3523" s="6" t="str">
        <f>IFERROR(__xludf.DUMMYFUNCTION("""COMPUTED_VALUE"""),"9")</f>
        <v>9</v>
      </c>
      <c r="V3523" s="6" t="str">
        <f>IFERROR(__xludf.DUMMYFUNCTION("""COMPUTED_VALUE"""),"Englsih")</f>
        <v>Englsih</v>
      </c>
      <c r="W3523" s="6" t="str">
        <f>IFERROR(__xludf.DUMMYFUNCTION("""COMPUTED_VALUE"""),"[]")</f>
        <v>[]</v>
      </c>
      <c r="X3523" s="6" t="str">
        <f>IFERROR(__xludf.DUMMYFUNCTION("""COMPUTED_VALUE"""),"Enrolled")</f>
        <v>Enrolled</v>
      </c>
    </row>
    <row r="3524">
      <c r="A3524" s="6" t="str">
        <f>IFERROR(__xludf.DUMMYFUNCTION("""COMPUTED_VALUE"""),"064-6612")</f>
        <v>064-6612</v>
      </c>
      <c r="B3524" s="6" t="str">
        <f>IFERROR(__xludf.DUMMYFUNCTION("""COMPUTED_VALUE"""),"64")</f>
        <v>64</v>
      </c>
      <c r="C3524" s="6" t="str">
        <f>IFERROR(__xludf.DUMMYFUNCTION("""COMPUTED_VALUE"""),"6612")</f>
        <v>6612</v>
      </c>
      <c r="D3524" s="6" t="str">
        <f>IFERROR(__xludf.DUMMYFUNCTION("""COMPUTED_VALUE"""),"Paxton")</f>
        <v>Paxton</v>
      </c>
      <c r="E3524" s="6" t="str">
        <f>IFERROR(__xludf.DUMMYFUNCTION("""COMPUTED_VALUE"""),"")</f>
        <v/>
      </c>
      <c r="F3524" s="6" t="str">
        <f>IFERROR(__xludf.DUMMYFUNCTION("""COMPUTED_VALUE"""),"Higuera")</f>
        <v>Higuera</v>
      </c>
      <c r="G3524" s="6" t="str">
        <f>IFERROR(__xludf.DUMMYFUNCTION("""COMPUTED_VALUE"""),"08/08/2010")</f>
        <v>08/08/2010</v>
      </c>
      <c r="H3524" s="6" t="str">
        <f>IFERROR(__xludf.DUMMYFUNCTION("""COMPUTED_VALUE"""),"M")</f>
        <v>M</v>
      </c>
      <c r="I3524" s="6" t="str">
        <f>IFERROR(__xludf.DUMMYFUNCTION("""COMPUTED_VALUE"""),"High School")</f>
        <v>High School</v>
      </c>
      <c r="J3524" s="6" t="str">
        <f>IFERROR(__xludf.DUMMYFUNCTION("""COMPUTED_VALUE"""),"10")</f>
        <v>10</v>
      </c>
      <c r="K3524" s="6" t="str">
        <f>IFERROR(__xludf.DUMMYFUNCTION("""COMPUTED_VALUE"""),"pax_higuera@stu.ortrail.k12.or.us")</f>
        <v>pax_higuera@stu.ortrail.k12.or.us</v>
      </c>
      <c r="L3524" s="6" t="str">
        <f>IFERROR(__xludf.DUMMYFUNCTION("""COMPUTED_VALUE"""),"Oregon Trail School District 46")</f>
        <v>Oregon Trail School District 46</v>
      </c>
      <c r="M3524" s="6" t="str">
        <f>IFERROR(__xludf.DUMMYFUNCTION("""COMPUTED_VALUE"""),"")</f>
        <v/>
      </c>
      <c r="N3524" s="6" t="str">
        <f>IFERROR(__xludf.DUMMYFUNCTION("""COMPUTED_VALUE"""),"")</f>
        <v/>
      </c>
      <c r="O3524" s="87" t="str">
        <f>IFERROR(__xludf.DUMMYFUNCTION("""COMPUTED_VALUE"""),"https://drive.google.com/drive/folders/10T2cTQHqEJZqE-st6uFKPoI?usp=share_link")</f>
        <v>https://drive.google.com/drive/folders/10T2cTQHqEJZqE-st6uFKPoI?usp=share_link</v>
      </c>
      <c r="P3524" s="6" t="str">
        <f>IFERROR(__xludf.DUMMYFUNCTION("""COMPUTED_VALUE"""),"Paxton Higuera")</f>
        <v>Paxton Higuera</v>
      </c>
      <c r="Q3524" s="6" t="str">
        <f>IFERROR(__xludf.DUMMYFUNCTION("""COMPUTED_VALUE"""),"HS")</f>
        <v>HS</v>
      </c>
      <c r="R3524" s="6">
        <f>IFERROR(__xludf.DUMMYFUNCTION("""COMPUTED_VALUE"""),0.0)</f>
        <v>0</v>
      </c>
      <c r="S3524" s="6" t="str">
        <f>IFERROR(__xludf.DUMMYFUNCTION("""COMPUTED_VALUE"""),"Genevra Self")</f>
        <v>Genevra Self</v>
      </c>
      <c r="T3524" s="6" t="str">
        <f>IFERROR(__xludf.DUMMYFUNCTION("""COMPUTED_VALUE"""),"genevra.self@studient.com")</f>
        <v>genevra.self@studient.com</v>
      </c>
      <c r="U3524" s="6" t="str">
        <f>IFERROR(__xludf.DUMMYFUNCTION("""COMPUTED_VALUE"""),"10")</f>
        <v>10</v>
      </c>
      <c r="V3524" s="6" t="str">
        <f>IFERROR(__xludf.DUMMYFUNCTION("""COMPUTED_VALUE"""),"Englsih")</f>
        <v>Englsih</v>
      </c>
      <c r="W3524" s="6" t="str">
        <f>IFERROR(__xludf.DUMMYFUNCTION("""COMPUTED_VALUE"""),"[]")</f>
        <v>[]</v>
      </c>
      <c r="X3524" s="6" t="str">
        <f>IFERROR(__xludf.DUMMYFUNCTION("""COMPUTED_VALUE"""),"Enrolled")</f>
        <v>Enrolled</v>
      </c>
    </row>
    <row r="3525">
      <c r="A3525" s="6" t="str">
        <f>IFERROR(__xludf.DUMMYFUNCTION("""COMPUTED_VALUE"""),"064-6615")</f>
        <v>064-6615</v>
      </c>
      <c r="B3525" s="6" t="str">
        <f>IFERROR(__xludf.DUMMYFUNCTION("""COMPUTED_VALUE"""),"64")</f>
        <v>64</v>
      </c>
      <c r="C3525" s="6" t="str">
        <f>IFERROR(__xludf.DUMMYFUNCTION("""COMPUTED_VALUE"""),"6615")</f>
        <v>6615</v>
      </c>
      <c r="D3525" s="6" t="str">
        <f>IFERROR(__xludf.DUMMYFUNCTION("""COMPUTED_VALUE"""),"Joseph")</f>
        <v>Joseph</v>
      </c>
      <c r="E3525" s="6" t="str">
        <f>IFERROR(__xludf.DUMMYFUNCTION("""COMPUTED_VALUE"""),"")</f>
        <v/>
      </c>
      <c r="F3525" s="6" t="str">
        <f>IFERROR(__xludf.DUMMYFUNCTION("""COMPUTED_VALUE"""),"Linfoot")</f>
        <v>Linfoot</v>
      </c>
      <c r="G3525" s="6" t="str">
        <f>IFERROR(__xludf.DUMMYFUNCTION("""COMPUTED_VALUE"""),"03/17/2009")</f>
        <v>03/17/2009</v>
      </c>
      <c r="H3525" s="6" t="str">
        <f>IFERROR(__xludf.DUMMYFUNCTION("""COMPUTED_VALUE"""),"M")</f>
        <v>M</v>
      </c>
      <c r="I3525" s="6" t="str">
        <f>IFERROR(__xludf.DUMMYFUNCTION("""COMPUTED_VALUE"""),"High School")</f>
        <v>High School</v>
      </c>
      <c r="J3525" s="6" t="str">
        <f>IFERROR(__xludf.DUMMYFUNCTION("""COMPUTED_VALUE"""),"11")</f>
        <v>11</v>
      </c>
      <c r="K3525" s="6" t="str">
        <f>IFERROR(__xludf.DUMMYFUNCTION("""COMPUTED_VALUE"""),"joseph_linfoot@stu.ortrail.k12.or.us")</f>
        <v>joseph_linfoot@stu.ortrail.k12.or.us</v>
      </c>
      <c r="L3525" s="6" t="str">
        <f>IFERROR(__xludf.DUMMYFUNCTION("""COMPUTED_VALUE"""),"Oregon Trail School District 46")</f>
        <v>Oregon Trail School District 46</v>
      </c>
      <c r="M3525" s="6" t="str">
        <f>IFERROR(__xludf.DUMMYFUNCTION("""COMPUTED_VALUE"""),"")</f>
        <v/>
      </c>
      <c r="N3525" s="6" t="str">
        <f>IFERROR(__xludf.DUMMYFUNCTION("""COMPUTED_VALUE"""),"")</f>
        <v/>
      </c>
      <c r="O3525" s="87" t="str">
        <f>IFERROR(__xludf.DUMMYFUNCTION("""COMPUTED_VALUE"""),"https://drive.google.com/drive/folders/10T2cTQHqEJZqE-st6uFKPoI?usp=share_link")</f>
        <v>https://drive.google.com/drive/folders/10T2cTQHqEJZqE-st6uFKPoI?usp=share_link</v>
      </c>
      <c r="P3525" s="6" t="str">
        <f>IFERROR(__xludf.DUMMYFUNCTION("""COMPUTED_VALUE"""),"Joseph Linfoot")</f>
        <v>Joseph Linfoot</v>
      </c>
      <c r="Q3525" s="6" t="str">
        <f>IFERROR(__xludf.DUMMYFUNCTION("""COMPUTED_VALUE"""),"HS")</f>
        <v>HS</v>
      </c>
      <c r="R3525" s="6">
        <f>IFERROR(__xludf.DUMMYFUNCTION("""COMPUTED_VALUE"""),0.0)</f>
        <v>0</v>
      </c>
      <c r="S3525" s="6" t="str">
        <f>IFERROR(__xludf.DUMMYFUNCTION("""COMPUTED_VALUE"""),"Genevra Self")</f>
        <v>Genevra Self</v>
      </c>
      <c r="T3525" s="6" t="str">
        <f>IFERROR(__xludf.DUMMYFUNCTION("""COMPUTED_VALUE"""),"genevra.self@studient.com")</f>
        <v>genevra.self@studient.com</v>
      </c>
      <c r="U3525" s="6" t="str">
        <f>IFERROR(__xludf.DUMMYFUNCTION("""COMPUTED_VALUE"""),"11")</f>
        <v>11</v>
      </c>
      <c r="V3525" s="6" t="str">
        <f>IFERROR(__xludf.DUMMYFUNCTION("""COMPUTED_VALUE"""),"Englsih")</f>
        <v>Englsih</v>
      </c>
      <c r="W3525" s="6" t="str">
        <f>IFERROR(__xludf.DUMMYFUNCTION("""COMPUTED_VALUE"""),"[]")</f>
        <v>[]</v>
      </c>
      <c r="X3525" s="6" t="str">
        <f>IFERROR(__xludf.DUMMYFUNCTION("""COMPUTED_VALUE"""),"Enrolled")</f>
        <v>Enrolled</v>
      </c>
    </row>
    <row r="3526">
      <c r="A3526" s="6" t="str">
        <f>IFERROR(__xludf.DUMMYFUNCTION("""COMPUTED_VALUE"""),"064-6618")</f>
        <v>064-6618</v>
      </c>
      <c r="B3526" s="6" t="str">
        <f>IFERROR(__xludf.DUMMYFUNCTION("""COMPUTED_VALUE"""),"64")</f>
        <v>64</v>
      </c>
      <c r="C3526" s="6" t="str">
        <f>IFERROR(__xludf.DUMMYFUNCTION("""COMPUTED_VALUE"""),"6618")</f>
        <v>6618</v>
      </c>
      <c r="D3526" s="6" t="str">
        <f>IFERROR(__xludf.DUMMYFUNCTION("""COMPUTED_VALUE"""),"Owen")</f>
        <v>Owen</v>
      </c>
      <c r="E3526" s="6" t="str">
        <f>IFERROR(__xludf.DUMMYFUNCTION("""COMPUTED_VALUE"""),"")</f>
        <v/>
      </c>
      <c r="F3526" s="6" t="str">
        <f>IFERROR(__xludf.DUMMYFUNCTION("""COMPUTED_VALUE"""),"Mundlin")</f>
        <v>Mundlin</v>
      </c>
      <c r="G3526" s="6" t="str">
        <f>IFERROR(__xludf.DUMMYFUNCTION("""COMPUTED_VALUE"""),"03/10/2010")</f>
        <v>03/10/2010</v>
      </c>
      <c r="H3526" s="6" t="str">
        <f>IFERROR(__xludf.DUMMYFUNCTION("""COMPUTED_VALUE"""),"M")</f>
        <v>M</v>
      </c>
      <c r="I3526" s="6" t="str">
        <f>IFERROR(__xludf.DUMMYFUNCTION("""COMPUTED_VALUE"""),"High School")</f>
        <v>High School</v>
      </c>
      <c r="J3526" s="6" t="str">
        <f>IFERROR(__xludf.DUMMYFUNCTION("""COMPUTED_VALUE"""),"10")</f>
        <v>10</v>
      </c>
      <c r="K3526" s="6" t="str">
        <f>IFERROR(__xludf.DUMMYFUNCTION("""COMPUTED_VALUE"""),"owen_mundlin@stu.ortrail.k12.or.us")</f>
        <v>owen_mundlin@stu.ortrail.k12.or.us</v>
      </c>
      <c r="L3526" s="6" t="str">
        <f>IFERROR(__xludf.DUMMYFUNCTION("""COMPUTED_VALUE"""),"Oregon Trail School District 46")</f>
        <v>Oregon Trail School District 46</v>
      </c>
      <c r="M3526" s="6" t="str">
        <f>IFERROR(__xludf.DUMMYFUNCTION("""COMPUTED_VALUE"""),"")</f>
        <v/>
      </c>
      <c r="N3526" s="6" t="str">
        <f>IFERROR(__xludf.DUMMYFUNCTION("""COMPUTED_VALUE"""),"")</f>
        <v/>
      </c>
      <c r="O3526" s="87" t="str">
        <f>IFERROR(__xludf.DUMMYFUNCTION("""COMPUTED_VALUE"""),"https://drive.google.com/drive/folders/10T2cTQHqEJZqE-st6uFKPoI?usp=share_link")</f>
        <v>https://drive.google.com/drive/folders/10T2cTQHqEJZqE-st6uFKPoI?usp=share_link</v>
      </c>
      <c r="P3526" s="6" t="str">
        <f>IFERROR(__xludf.DUMMYFUNCTION("""COMPUTED_VALUE"""),"Owen Mundlin")</f>
        <v>Owen Mundlin</v>
      </c>
      <c r="Q3526" s="6" t="str">
        <f>IFERROR(__xludf.DUMMYFUNCTION("""COMPUTED_VALUE"""),"HS")</f>
        <v>HS</v>
      </c>
      <c r="R3526" s="6">
        <f>IFERROR(__xludf.DUMMYFUNCTION("""COMPUTED_VALUE"""),0.0)</f>
        <v>0</v>
      </c>
      <c r="S3526" s="6" t="str">
        <f>IFERROR(__xludf.DUMMYFUNCTION("""COMPUTED_VALUE"""),"Genevra Self")</f>
        <v>Genevra Self</v>
      </c>
      <c r="T3526" s="6" t="str">
        <f>IFERROR(__xludf.DUMMYFUNCTION("""COMPUTED_VALUE"""),"genevra.self@studient.com")</f>
        <v>genevra.self@studient.com</v>
      </c>
      <c r="U3526" s="6" t="str">
        <f>IFERROR(__xludf.DUMMYFUNCTION("""COMPUTED_VALUE"""),"10")</f>
        <v>10</v>
      </c>
      <c r="V3526" s="6" t="str">
        <f>IFERROR(__xludf.DUMMYFUNCTION("""COMPUTED_VALUE"""),"Englsih")</f>
        <v>Englsih</v>
      </c>
      <c r="W3526" s="6" t="str">
        <f>IFERROR(__xludf.DUMMYFUNCTION("""COMPUTED_VALUE"""),"[]")</f>
        <v>[]</v>
      </c>
      <c r="X3526" s="6" t="str">
        <f>IFERROR(__xludf.DUMMYFUNCTION("""COMPUTED_VALUE"""),"Enrolled")</f>
        <v>Enrolled</v>
      </c>
    </row>
    <row r="3527">
      <c r="A3527" s="6" t="str">
        <f>IFERROR(__xludf.DUMMYFUNCTION("""COMPUTED_VALUE"""),"064-6619")</f>
        <v>064-6619</v>
      </c>
      <c r="B3527" s="6" t="str">
        <f>IFERROR(__xludf.DUMMYFUNCTION("""COMPUTED_VALUE"""),"64")</f>
        <v>64</v>
      </c>
      <c r="C3527" s="6" t="str">
        <f>IFERROR(__xludf.DUMMYFUNCTION("""COMPUTED_VALUE"""),"6619")</f>
        <v>6619</v>
      </c>
      <c r="D3527" s="6" t="str">
        <f>IFERROR(__xludf.DUMMYFUNCTION("""COMPUTED_VALUE"""),"Michael")</f>
        <v>Michael</v>
      </c>
      <c r="E3527" s="6" t="str">
        <f>IFERROR(__xludf.DUMMYFUNCTION("""COMPUTED_VALUE"""),"")</f>
        <v/>
      </c>
      <c r="F3527" s="6" t="str">
        <f>IFERROR(__xludf.DUMMYFUNCTION("""COMPUTED_VALUE"""),"Niemeier")</f>
        <v>Niemeier</v>
      </c>
      <c r="G3527" s="6" t="str">
        <f>IFERROR(__xludf.DUMMYFUNCTION("""COMPUTED_VALUE"""),"12/22/2010")</f>
        <v>12/22/2010</v>
      </c>
      <c r="H3527" s="6" t="str">
        <f>IFERROR(__xludf.DUMMYFUNCTION("""COMPUTED_VALUE"""),"M")</f>
        <v>M</v>
      </c>
      <c r="I3527" s="6" t="str">
        <f>IFERROR(__xludf.DUMMYFUNCTION("""COMPUTED_VALUE"""),"High School")</f>
        <v>High School</v>
      </c>
      <c r="J3527" s="6" t="str">
        <f>IFERROR(__xludf.DUMMYFUNCTION("""COMPUTED_VALUE"""),"9")</f>
        <v>9</v>
      </c>
      <c r="K3527" s="6" t="str">
        <f>IFERROR(__xludf.DUMMYFUNCTION("""COMPUTED_VALUE"""),"michael_niemeier@stu.ortrail.k12.or.us")</f>
        <v>michael_niemeier@stu.ortrail.k12.or.us</v>
      </c>
      <c r="L3527" s="6" t="str">
        <f>IFERROR(__xludf.DUMMYFUNCTION("""COMPUTED_VALUE"""),"Oregon Trail School District 46")</f>
        <v>Oregon Trail School District 46</v>
      </c>
      <c r="M3527" s="6" t="str">
        <f>IFERROR(__xludf.DUMMYFUNCTION("""COMPUTED_VALUE"""),"")</f>
        <v/>
      </c>
      <c r="N3527" s="6" t="str">
        <f>IFERROR(__xludf.DUMMYFUNCTION("""COMPUTED_VALUE"""),"")</f>
        <v/>
      </c>
      <c r="O3527" s="87" t="str">
        <f>IFERROR(__xludf.DUMMYFUNCTION("""COMPUTED_VALUE"""),"https://drive.google.com/drive/folders/10T2cTQHqEJZqE-st6uFKPoI?usp=share_link")</f>
        <v>https://drive.google.com/drive/folders/10T2cTQHqEJZqE-st6uFKPoI?usp=share_link</v>
      </c>
      <c r="P3527" s="6" t="str">
        <f>IFERROR(__xludf.DUMMYFUNCTION("""COMPUTED_VALUE"""),"Michael Niemeier")</f>
        <v>Michael Niemeier</v>
      </c>
      <c r="Q3527" s="6" t="str">
        <f>IFERROR(__xludf.DUMMYFUNCTION("""COMPUTED_VALUE"""),"HS")</f>
        <v>HS</v>
      </c>
      <c r="R3527" s="6">
        <f>IFERROR(__xludf.DUMMYFUNCTION("""COMPUTED_VALUE"""),0.0)</f>
        <v>0</v>
      </c>
      <c r="S3527" s="6" t="str">
        <f>IFERROR(__xludf.DUMMYFUNCTION("""COMPUTED_VALUE"""),"Genevra Self")</f>
        <v>Genevra Self</v>
      </c>
      <c r="T3527" s="6" t="str">
        <f>IFERROR(__xludf.DUMMYFUNCTION("""COMPUTED_VALUE"""),"genevra.self@studient.com")</f>
        <v>genevra.self@studient.com</v>
      </c>
      <c r="U3527" s="6" t="str">
        <f>IFERROR(__xludf.DUMMYFUNCTION("""COMPUTED_VALUE"""),"9")</f>
        <v>9</v>
      </c>
      <c r="V3527" s="6" t="str">
        <f>IFERROR(__xludf.DUMMYFUNCTION("""COMPUTED_VALUE"""),"Englsih")</f>
        <v>Englsih</v>
      </c>
      <c r="W3527" s="6" t="str">
        <f>IFERROR(__xludf.DUMMYFUNCTION("""COMPUTED_VALUE"""),"[]")</f>
        <v>[]</v>
      </c>
      <c r="X3527" s="6" t="str">
        <f>IFERROR(__xludf.DUMMYFUNCTION("""COMPUTED_VALUE"""),"Enrolled")</f>
        <v>Enrolled</v>
      </c>
    </row>
    <row r="3528">
      <c r="A3528" s="6" t="str">
        <f>IFERROR(__xludf.DUMMYFUNCTION("""COMPUTED_VALUE"""),"064-6621")</f>
        <v>064-6621</v>
      </c>
      <c r="B3528" s="6" t="str">
        <f>IFERROR(__xludf.DUMMYFUNCTION("""COMPUTED_VALUE"""),"64")</f>
        <v>64</v>
      </c>
      <c r="C3528" s="6" t="str">
        <f>IFERROR(__xludf.DUMMYFUNCTION("""COMPUTED_VALUE"""),"6621")</f>
        <v>6621</v>
      </c>
      <c r="D3528" s="6" t="str">
        <f>IFERROR(__xludf.DUMMYFUNCTION("""COMPUTED_VALUE"""),"Sarah")</f>
        <v>Sarah</v>
      </c>
      <c r="E3528" s="6" t="str">
        <f>IFERROR(__xludf.DUMMYFUNCTION("""COMPUTED_VALUE"""),"")</f>
        <v/>
      </c>
      <c r="F3528" s="6" t="str">
        <f>IFERROR(__xludf.DUMMYFUNCTION("""COMPUTED_VALUE"""),"Rubin")</f>
        <v>Rubin</v>
      </c>
      <c r="G3528" s="6" t="str">
        <f>IFERROR(__xludf.DUMMYFUNCTION("""COMPUTED_VALUE"""),"06/30/2011")</f>
        <v>06/30/2011</v>
      </c>
      <c r="H3528" s="6" t="str">
        <f>IFERROR(__xludf.DUMMYFUNCTION("""COMPUTED_VALUE"""),"F")</f>
        <v>F</v>
      </c>
      <c r="I3528" s="6" t="str">
        <f>IFERROR(__xludf.DUMMYFUNCTION("""COMPUTED_VALUE"""),"High School")</f>
        <v>High School</v>
      </c>
      <c r="J3528" s="6" t="str">
        <f>IFERROR(__xludf.DUMMYFUNCTION("""COMPUTED_VALUE"""),"9")</f>
        <v>9</v>
      </c>
      <c r="K3528" s="6" t="str">
        <f>IFERROR(__xludf.DUMMYFUNCTION("""COMPUTED_VALUE"""),"sarah_rubin@stu.ortrail.k12.or.us")</f>
        <v>sarah_rubin@stu.ortrail.k12.or.us</v>
      </c>
      <c r="L3528" s="6" t="str">
        <f>IFERROR(__xludf.DUMMYFUNCTION("""COMPUTED_VALUE"""),"Oregon Trail School District 46")</f>
        <v>Oregon Trail School District 46</v>
      </c>
      <c r="M3528" s="6" t="str">
        <f>IFERROR(__xludf.DUMMYFUNCTION("""COMPUTED_VALUE"""),"")</f>
        <v/>
      </c>
      <c r="N3528" s="6" t="str">
        <f>IFERROR(__xludf.DUMMYFUNCTION("""COMPUTED_VALUE"""),"")</f>
        <v/>
      </c>
      <c r="O3528" s="87" t="str">
        <f>IFERROR(__xludf.DUMMYFUNCTION("""COMPUTED_VALUE"""),"https://drive.google.com/drive/folders/10T2cTQHqEJZqE-st6uFKPoI?usp=share_link")</f>
        <v>https://drive.google.com/drive/folders/10T2cTQHqEJZqE-st6uFKPoI?usp=share_link</v>
      </c>
      <c r="P3528" s="6" t="str">
        <f>IFERROR(__xludf.DUMMYFUNCTION("""COMPUTED_VALUE"""),"Sarah Rubin")</f>
        <v>Sarah Rubin</v>
      </c>
      <c r="Q3528" s="6" t="str">
        <f>IFERROR(__xludf.DUMMYFUNCTION("""COMPUTED_VALUE"""),"HS")</f>
        <v>HS</v>
      </c>
      <c r="R3528" s="6">
        <f>IFERROR(__xludf.DUMMYFUNCTION("""COMPUTED_VALUE"""),0.0)</f>
        <v>0</v>
      </c>
      <c r="S3528" s="6" t="str">
        <f>IFERROR(__xludf.DUMMYFUNCTION("""COMPUTED_VALUE"""),"Genevra Self")</f>
        <v>Genevra Self</v>
      </c>
      <c r="T3528" s="6" t="str">
        <f>IFERROR(__xludf.DUMMYFUNCTION("""COMPUTED_VALUE"""),"genevra.self@studient.com")</f>
        <v>genevra.self@studient.com</v>
      </c>
      <c r="U3528" s="6" t="str">
        <f>IFERROR(__xludf.DUMMYFUNCTION("""COMPUTED_VALUE"""),"9")</f>
        <v>9</v>
      </c>
      <c r="V3528" s="6" t="str">
        <f>IFERROR(__xludf.DUMMYFUNCTION("""COMPUTED_VALUE"""),"Englsih")</f>
        <v>Englsih</v>
      </c>
      <c r="W3528" s="6" t="str">
        <f>IFERROR(__xludf.DUMMYFUNCTION("""COMPUTED_VALUE"""),"[]")</f>
        <v>[]</v>
      </c>
      <c r="X3528" s="6" t="str">
        <f>IFERROR(__xludf.DUMMYFUNCTION("""COMPUTED_VALUE"""),"Enrolled")</f>
        <v>Enrolled</v>
      </c>
    </row>
    <row r="3529">
      <c r="A3529" s="6" t="str">
        <f>IFERROR(__xludf.DUMMYFUNCTION("""COMPUTED_VALUE"""),"064-6623")</f>
        <v>064-6623</v>
      </c>
      <c r="B3529" s="6" t="str">
        <f>IFERROR(__xludf.DUMMYFUNCTION("""COMPUTED_VALUE"""),"64")</f>
        <v>64</v>
      </c>
      <c r="C3529" s="6" t="str">
        <f>IFERROR(__xludf.DUMMYFUNCTION("""COMPUTED_VALUE"""),"6623")</f>
        <v>6623</v>
      </c>
      <c r="D3529" s="6" t="str">
        <f>IFERROR(__xludf.DUMMYFUNCTION("""COMPUTED_VALUE"""),"Branden")</f>
        <v>Branden</v>
      </c>
      <c r="E3529" s="6" t="str">
        <f>IFERROR(__xludf.DUMMYFUNCTION("""COMPUTED_VALUE"""),"")</f>
        <v/>
      </c>
      <c r="F3529" s="6" t="str">
        <f>IFERROR(__xludf.DUMMYFUNCTION("""COMPUTED_VALUE"""),"VanWagner")</f>
        <v>VanWagner</v>
      </c>
      <c r="G3529" s="6" t="str">
        <f>IFERROR(__xludf.DUMMYFUNCTION("""COMPUTED_VALUE"""),"10/05/2009")</f>
        <v>10/05/2009</v>
      </c>
      <c r="H3529" s="6" t="str">
        <f>IFERROR(__xludf.DUMMYFUNCTION("""COMPUTED_VALUE"""),"M")</f>
        <v>M</v>
      </c>
      <c r="I3529" s="6" t="str">
        <f>IFERROR(__xludf.DUMMYFUNCTION("""COMPUTED_VALUE"""),"High School")</f>
        <v>High School</v>
      </c>
      <c r="J3529" s="6" t="str">
        <f>IFERROR(__xludf.DUMMYFUNCTION("""COMPUTED_VALUE"""),"10")</f>
        <v>10</v>
      </c>
      <c r="K3529" s="6" t="str">
        <f>IFERROR(__xludf.DUMMYFUNCTION("""COMPUTED_VALUE"""),"branden_vanwagner@stu.ortrail.k12.or.us")</f>
        <v>branden_vanwagner@stu.ortrail.k12.or.us</v>
      </c>
      <c r="L3529" s="6" t="str">
        <f>IFERROR(__xludf.DUMMYFUNCTION("""COMPUTED_VALUE"""),"Oregon Trail School District 46")</f>
        <v>Oregon Trail School District 46</v>
      </c>
      <c r="M3529" s="6" t="str">
        <f>IFERROR(__xludf.DUMMYFUNCTION("""COMPUTED_VALUE"""),"")</f>
        <v/>
      </c>
      <c r="N3529" s="6" t="str">
        <f>IFERROR(__xludf.DUMMYFUNCTION("""COMPUTED_VALUE"""),"")</f>
        <v/>
      </c>
      <c r="O3529" s="87" t="str">
        <f>IFERROR(__xludf.DUMMYFUNCTION("""COMPUTED_VALUE"""),"https://drive.google.com/drive/folders/10T2cTQHqEJZqE-st6uFKPoI?usp=share_link")</f>
        <v>https://drive.google.com/drive/folders/10T2cTQHqEJZqE-st6uFKPoI?usp=share_link</v>
      </c>
      <c r="P3529" s="6" t="str">
        <f>IFERROR(__xludf.DUMMYFUNCTION("""COMPUTED_VALUE"""),"Branden VanWagner")</f>
        <v>Branden VanWagner</v>
      </c>
      <c r="Q3529" s="6" t="str">
        <f>IFERROR(__xludf.DUMMYFUNCTION("""COMPUTED_VALUE"""),"HS")</f>
        <v>HS</v>
      </c>
      <c r="R3529" s="6">
        <f>IFERROR(__xludf.DUMMYFUNCTION("""COMPUTED_VALUE"""),0.0)</f>
        <v>0</v>
      </c>
      <c r="S3529" s="6" t="str">
        <f>IFERROR(__xludf.DUMMYFUNCTION("""COMPUTED_VALUE"""),"Genevra Self")</f>
        <v>Genevra Self</v>
      </c>
      <c r="T3529" s="6" t="str">
        <f>IFERROR(__xludf.DUMMYFUNCTION("""COMPUTED_VALUE"""),"genevra.self@studient.com")</f>
        <v>genevra.self@studient.com</v>
      </c>
      <c r="U3529" s="6" t="str">
        <f>IFERROR(__xludf.DUMMYFUNCTION("""COMPUTED_VALUE"""),"10")</f>
        <v>10</v>
      </c>
      <c r="V3529" s="6" t="str">
        <f>IFERROR(__xludf.DUMMYFUNCTION("""COMPUTED_VALUE"""),"Englsih")</f>
        <v>Englsih</v>
      </c>
      <c r="W3529" s="6" t="str">
        <f>IFERROR(__xludf.DUMMYFUNCTION("""COMPUTED_VALUE"""),"[]")</f>
        <v>[]</v>
      </c>
      <c r="X3529" s="6" t="str">
        <f>IFERROR(__xludf.DUMMYFUNCTION("""COMPUTED_VALUE"""),"Enrolled")</f>
        <v>Enrolled</v>
      </c>
    </row>
    <row r="3530">
      <c r="A3530" s="6" t="str">
        <f>IFERROR(__xludf.DUMMYFUNCTION("""COMPUTED_VALUE"""),"064-6624")</f>
        <v>064-6624</v>
      </c>
      <c r="B3530" s="6" t="str">
        <f>IFERROR(__xludf.DUMMYFUNCTION("""COMPUTED_VALUE"""),"64")</f>
        <v>64</v>
      </c>
      <c r="C3530" s="6" t="str">
        <f>IFERROR(__xludf.DUMMYFUNCTION("""COMPUTED_VALUE"""),"6624")</f>
        <v>6624</v>
      </c>
      <c r="D3530" s="6" t="str">
        <f>IFERROR(__xludf.DUMMYFUNCTION("""COMPUTED_VALUE"""),"Nicollette")</f>
        <v>Nicollette</v>
      </c>
      <c r="E3530" s="6" t="str">
        <f>IFERROR(__xludf.DUMMYFUNCTION("""COMPUTED_VALUE"""),"")</f>
        <v/>
      </c>
      <c r="F3530" s="6" t="str">
        <f>IFERROR(__xludf.DUMMYFUNCTION("""COMPUTED_VALUE"""),"Roberts")</f>
        <v>Roberts</v>
      </c>
      <c r="G3530" s="6" t="str">
        <f>IFERROR(__xludf.DUMMYFUNCTION("""COMPUTED_VALUE"""),"08/13/2014")</f>
        <v>08/13/2014</v>
      </c>
      <c r="H3530" s="6" t="str">
        <f>IFERROR(__xludf.DUMMYFUNCTION("""COMPUTED_VALUE"""),"Self Identify")</f>
        <v>Self Identify</v>
      </c>
      <c r="I3530" s="6" t="str">
        <f>IFERROR(__xludf.DUMMYFUNCTION("""COMPUTED_VALUE"""),"Middle School")</f>
        <v>Middle School</v>
      </c>
      <c r="J3530" s="6" t="str">
        <f>IFERROR(__xludf.DUMMYFUNCTION("""COMPUTED_VALUE"""),"6")</f>
        <v>6</v>
      </c>
      <c r="K3530" s="6" t="str">
        <f>IFERROR(__xludf.DUMMYFUNCTION("""COMPUTED_VALUE"""),"nicollette.roberts@stu.ortrail.k12.or.us")</f>
        <v>nicollette.roberts@stu.ortrail.k12.or.us</v>
      </c>
      <c r="L3530" s="6" t="str">
        <f>IFERROR(__xludf.DUMMYFUNCTION("""COMPUTED_VALUE"""),"Oregon Trail School District 46")</f>
        <v>Oregon Trail School District 46</v>
      </c>
      <c r="M3530" s="6" t="str">
        <f>IFERROR(__xludf.DUMMYFUNCTION("""COMPUTED_VALUE"""),"Welches Middle School")</f>
        <v>Welches Middle School</v>
      </c>
      <c r="N3530" s="6" t="str">
        <f>IFERROR(__xludf.DUMMYFUNCTION("""COMPUTED_VALUE"""),"")</f>
        <v/>
      </c>
      <c r="O3530" s="87" t="str">
        <f>IFERROR(__xludf.DUMMYFUNCTION("""COMPUTED_VALUE"""),"https://drive.google.com/drive/folders/10T2cTQHqEJZqE-st6uFKPoI?usp=share_link")</f>
        <v>https://drive.google.com/drive/folders/10T2cTQHqEJZqE-st6uFKPoI?usp=share_link</v>
      </c>
      <c r="P3530" s="6" t="str">
        <f>IFERROR(__xludf.DUMMYFUNCTION("""COMPUTED_VALUE"""),"Nicollette Roberts")</f>
        <v>Nicollette Roberts</v>
      </c>
      <c r="Q3530" s="6" t="str">
        <f>IFERROR(__xludf.DUMMYFUNCTION("""COMPUTED_VALUE"""),"MS")</f>
        <v>MS</v>
      </c>
      <c r="R3530" s="6">
        <f>IFERROR(__xludf.DUMMYFUNCTION("""COMPUTED_VALUE"""),0.0)</f>
        <v>0</v>
      </c>
      <c r="S3530" s="6" t="str">
        <f>IFERROR(__xludf.DUMMYFUNCTION("""COMPUTED_VALUE"""),"Nicole Kellim")</f>
        <v>Nicole Kellim</v>
      </c>
      <c r="T3530" s="6" t="str">
        <f>IFERROR(__xludf.DUMMYFUNCTION("""COMPUTED_VALUE"""),"nicole.kellim@ortrail.k12.or.us")</f>
        <v>nicole.kellim@ortrail.k12.or.us</v>
      </c>
      <c r="U3530" s="6" t="str">
        <f>IFERROR(__xludf.DUMMYFUNCTION("""COMPUTED_VALUE"""),"6")</f>
        <v>6</v>
      </c>
      <c r="V3530" s="6" t="str">
        <f>IFERROR(__xludf.DUMMYFUNCTION("""COMPUTED_VALUE"""),"English")</f>
        <v>English</v>
      </c>
      <c r="W3530" s="6" t="str">
        <f>IFERROR(__xludf.DUMMYFUNCTION("""COMPUTED_VALUE"""),"[]")</f>
        <v>[]</v>
      </c>
      <c r="X3530" s="6" t="str">
        <f>IFERROR(__xludf.DUMMYFUNCTION("""COMPUTED_VALUE"""),"Enrolled")</f>
        <v>Enrolled</v>
      </c>
    </row>
    <row r="3531">
      <c r="A3531" s="6" t="str">
        <f>IFERROR(__xludf.DUMMYFUNCTION("""COMPUTED_VALUE"""),"064-6625")</f>
        <v>064-6625</v>
      </c>
      <c r="B3531" s="6" t="str">
        <f>IFERROR(__xludf.DUMMYFUNCTION("""COMPUTED_VALUE"""),"64")</f>
        <v>64</v>
      </c>
      <c r="C3531" s="6" t="str">
        <f>IFERROR(__xludf.DUMMYFUNCTION("""COMPUTED_VALUE"""),"6625")</f>
        <v>6625</v>
      </c>
      <c r="D3531" s="6" t="str">
        <f>IFERROR(__xludf.DUMMYFUNCTION("""COMPUTED_VALUE"""),"Alex")</f>
        <v>Alex</v>
      </c>
      <c r="E3531" s="6" t="str">
        <f>IFERROR(__xludf.DUMMYFUNCTION("""COMPUTED_VALUE"""),"")</f>
        <v/>
      </c>
      <c r="F3531" s="6" t="str">
        <f>IFERROR(__xludf.DUMMYFUNCTION("""COMPUTED_VALUE"""),"Chilton")</f>
        <v>Chilton</v>
      </c>
      <c r="G3531" s="6" t="str">
        <f>IFERROR(__xludf.DUMMYFUNCTION("""COMPUTED_VALUE"""),"04/23/2012")</f>
        <v>04/23/2012</v>
      </c>
      <c r="H3531" s="6" t="str">
        <f>IFERROR(__xludf.DUMMYFUNCTION("""COMPUTED_VALUE"""),"Self Identify")</f>
        <v>Self Identify</v>
      </c>
      <c r="I3531" s="6" t="str">
        <f>IFERROR(__xludf.DUMMYFUNCTION("""COMPUTED_VALUE"""),"Middle School")</f>
        <v>Middle School</v>
      </c>
      <c r="J3531" s="6" t="str">
        <f>IFERROR(__xludf.DUMMYFUNCTION("""COMPUTED_VALUE"""),"8")</f>
        <v>8</v>
      </c>
      <c r="K3531" s="6" t="str">
        <f>IFERROR(__xludf.DUMMYFUNCTION("""COMPUTED_VALUE"""),"alex.chilton@stu.ortrail.k12.or.us")</f>
        <v>alex.chilton@stu.ortrail.k12.or.us</v>
      </c>
      <c r="L3531" s="6" t="str">
        <f>IFERROR(__xludf.DUMMYFUNCTION("""COMPUTED_VALUE"""),"Oregon Trail School District 46")</f>
        <v>Oregon Trail School District 46</v>
      </c>
      <c r="M3531" s="6" t="str">
        <f>IFERROR(__xludf.DUMMYFUNCTION("""COMPUTED_VALUE"""),"Welches Middle School Original Instruction")</f>
        <v>Welches Middle School Original Instruction</v>
      </c>
      <c r="N3531" s="6" t="str">
        <f>IFERROR(__xludf.DUMMYFUNCTION("""COMPUTED_VALUE"""),"")</f>
        <v/>
      </c>
      <c r="O3531" s="87" t="str">
        <f>IFERROR(__xludf.DUMMYFUNCTION("""COMPUTED_VALUE"""),"https://drive.google.com/drive/folders/10T2cTQHqEJZqE-st6uFKPoI?usp=share_link")</f>
        <v>https://drive.google.com/drive/folders/10T2cTQHqEJZqE-st6uFKPoI?usp=share_link</v>
      </c>
      <c r="P3531" s="6" t="str">
        <f>IFERROR(__xludf.DUMMYFUNCTION("""COMPUTED_VALUE"""),"Alex Chilton")</f>
        <v>Alex Chilton</v>
      </c>
      <c r="Q3531" s="6" t="str">
        <f>IFERROR(__xludf.DUMMYFUNCTION("""COMPUTED_VALUE"""),"MS")</f>
        <v>MS</v>
      </c>
      <c r="R3531" s="6">
        <f>IFERROR(__xludf.DUMMYFUNCTION("""COMPUTED_VALUE"""),0.0)</f>
        <v>0</v>
      </c>
      <c r="S3531" s="6" t="str">
        <f>IFERROR(__xludf.DUMMYFUNCTION("""COMPUTED_VALUE"""),"Genevra Self")</f>
        <v>Genevra Self</v>
      </c>
      <c r="T3531" s="6" t="str">
        <f>IFERROR(__xludf.DUMMYFUNCTION("""COMPUTED_VALUE"""),"genevra.self@studient.com")</f>
        <v>genevra.self@studient.com</v>
      </c>
      <c r="U3531" s="6" t="str">
        <f>IFERROR(__xludf.DUMMYFUNCTION("""COMPUTED_VALUE"""),"8")</f>
        <v>8</v>
      </c>
      <c r="V3531" s="6" t="str">
        <f>IFERROR(__xludf.DUMMYFUNCTION("""COMPUTED_VALUE"""),"English")</f>
        <v>English</v>
      </c>
      <c r="W3531" s="6" t="str">
        <f>IFERROR(__xludf.DUMMYFUNCTION("""COMPUTED_VALUE"""),"[]")</f>
        <v>[]</v>
      </c>
      <c r="X3531" s="6" t="str">
        <f>IFERROR(__xludf.DUMMYFUNCTION("""COMPUTED_VALUE"""),"Enrolled")</f>
        <v>Enrolled</v>
      </c>
    </row>
    <row r="3532">
      <c r="A3532" s="6" t="str">
        <f>IFERROR(__xludf.DUMMYFUNCTION("""COMPUTED_VALUE"""),"064-6627")</f>
        <v>064-6627</v>
      </c>
      <c r="B3532" s="6" t="str">
        <f>IFERROR(__xludf.DUMMYFUNCTION("""COMPUTED_VALUE"""),"64")</f>
        <v>64</v>
      </c>
      <c r="C3532" s="6" t="str">
        <f>IFERROR(__xludf.DUMMYFUNCTION("""COMPUTED_VALUE"""),"6627")</f>
        <v>6627</v>
      </c>
      <c r="D3532" s="6" t="str">
        <f>IFERROR(__xludf.DUMMYFUNCTION("""COMPUTED_VALUE"""),"Sydney")</f>
        <v>Sydney</v>
      </c>
      <c r="E3532" s="6" t="str">
        <f>IFERROR(__xludf.DUMMYFUNCTION("""COMPUTED_VALUE"""),"")</f>
        <v/>
      </c>
      <c r="F3532" s="6" t="str">
        <f>IFERROR(__xludf.DUMMYFUNCTION("""COMPUTED_VALUE"""),"McConkey")</f>
        <v>McConkey</v>
      </c>
      <c r="G3532" s="6" t="str">
        <f>IFERROR(__xludf.DUMMYFUNCTION("""COMPUTED_VALUE"""),"01/24/2014")</f>
        <v>01/24/2014</v>
      </c>
      <c r="H3532" s="6" t="str">
        <f>IFERROR(__xludf.DUMMYFUNCTION("""COMPUTED_VALUE"""),"Self Identify")</f>
        <v>Self Identify</v>
      </c>
      <c r="I3532" s="6" t="str">
        <f>IFERROR(__xludf.DUMMYFUNCTION("""COMPUTED_VALUE"""),"Level 1")</f>
        <v>Level 1</v>
      </c>
      <c r="J3532" s="6" t="str">
        <f>IFERROR(__xludf.DUMMYFUNCTION("""COMPUTED_VALUE"""),"3")</f>
        <v>3</v>
      </c>
      <c r="K3532" s="6" t="str">
        <f>IFERROR(__xludf.DUMMYFUNCTION("""COMPUTED_VALUE"""),"sydney_mcconkey@stu.ortrail.k12.or.us")</f>
        <v>sydney_mcconkey@stu.ortrail.k12.or.us</v>
      </c>
      <c r="L3532" s="6" t="str">
        <f>IFERROR(__xludf.DUMMYFUNCTION("""COMPUTED_VALUE"""),"Oregon Trail School District 46")</f>
        <v>Oregon Trail School District 46</v>
      </c>
      <c r="M3532" s="6" t="str">
        <f>IFERROR(__xludf.DUMMYFUNCTION("""COMPUTED_VALUE"""),"Welches Elementary School")</f>
        <v>Welches Elementary School</v>
      </c>
      <c r="N3532" s="6" t="str">
        <f>IFERROR(__xludf.DUMMYFUNCTION("""COMPUTED_VALUE"""),"")</f>
        <v/>
      </c>
      <c r="O3532" s="87" t="str">
        <f>IFERROR(__xludf.DUMMYFUNCTION("""COMPUTED_VALUE"""),"https://drive.google.com/drive/folders/10T2cTQHqEJZqE-st6uFKPoI?usp=share_link")</f>
        <v>https://drive.google.com/drive/folders/10T2cTQHqEJZqE-st6uFKPoI?usp=share_link</v>
      </c>
      <c r="P3532" s="6" t="str">
        <f>IFERROR(__xludf.DUMMYFUNCTION("""COMPUTED_VALUE"""),"Sydney McConkey")</f>
        <v>Sydney McConkey</v>
      </c>
      <c r="Q3532" s="6" t="str">
        <f>IFERROR(__xludf.DUMMYFUNCTION("""COMPUTED_VALUE"""),"L1")</f>
        <v>L1</v>
      </c>
      <c r="R3532" s="6">
        <f>IFERROR(__xludf.DUMMYFUNCTION("""COMPUTED_VALUE"""),1.0)</f>
        <v>1</v>
      </c>
      <c r="S3532" s="6" t="str">
        <f>IFERROR(__xludf.DUMMYFUNCTION("""COMPUTED_VALUE"""),"Daniel Winans")</f>
        <v>Daniel Winans</v>
      </c>
      <c r="T3532" s="6" t="str">
        <f>IFERROR(__xludf.DUMMYFUNCTION("""COMPUTED_VALUE"""),"daniel.winans@ortrail.k12.or.us")</f>
        <v>daniel.winans@ortrail.k12.or.us</v>
      </c>
      <c r="U3532" s="6" t="str">
        <f>IFERROR(__xludf.DUMMYFUNCTION("""COMPUTED_VALUE"""),"3")</f>
        <v>3</v>
      </c>
      <c r="V3532" s="6" t="str">
        <f>IFERROR(__xludf.DUMMYFUNCTION("""COMPUTED_VALUE"""),"English")</f>
        <v>English</v>
      </c>
      <c r="W3532" s="6" t="str">
        <f>IFERROR(__xludf.DUMMYFUNCTION("""COMPUTED_VALUE"""),"[]")</f>
        <v>[]</v>
      </c>
      <c r="X3532" s="6" t="str">
        <f>IFERROR(__xludf.DUMMYFUNCTION("""COMPUTED_VALUE"""),"Enrolled")</f>
        <v>Enrolled</v>
      </c>
    </row>
    <row r="3533">
      <c r="A3533" s="6" t="str">
        <f>IFERROR(__xludf.DUMMYFUNCTION("""COMPUTED_VALUE"""),"064-6628")</f>
        <v>064-6628</v>
      </c>
      <c r="B3533" s="6" t="str">
        <f>IFERROR(__xludf.DUMMYFUNCTION("""COMPUTED_VALUE"""),"64")</f>
        <v>64</v>
      </c>
      <c r="C3533" s="6" t="str">
        <f>IFERROR(__xludf.DUMMYFUNCTION("""COMPUTED_VALUE"""),"6628")</f>
        <v>6628</v>
      </c>
      <c r="D3533" s="6" t="str">
        <f>IFERROR(__xludf.DUMMYFUNCTION("""COMPUTED_VALUE"""),"Javier")</f>
        <v>Javier</v>
      </c>
      <c r="E3533" s="6" t="str">
        <f>IFERROR(__xludf.DUMMYFUNCTION("""COMPUTED_VALUE"""),"")</f>
        <v/>
      </c>
      <c r="F3533" s="6" t="str">
        <f>IFERROR(__xludf.DUMMYFUNCTION("""COMPUTED_VALUE"""),"Lamance")</f>
        <v>Lamance</v>
      </c>
      <c r="G3533" s="6" t="str">
        <f>IFERROR(__xludf.DUMMYFUNCTION("""COMPUTED_VALUE"""),"01/01/2017")</f>
        <v>01/01/2017</v>
      </c>
      <c r="H3533" s="6" t="str">
        <f>IFERROR(__xludf.DUMMYFUNCTION("""COMPUTED_VALUE"""),"Self Identify")</f>
        <v>Self Identify</v>
      </c>
      <c r="I3533" s="6" t="str">
        <f>IFERROR(__xludf.DUMMYFUNCTION("""COMPUTED_VALUE"""),"Level 1")</f>
        <v>Level 1</v>
      </c>
      <c r="J3533" s="6" t="str">
        <f>IFERROR(__xludf.DUMMYFUNCTION("""COMPUTED_VALUE"""),"3")</f>
        <v>3</v>
      </c>
      <c r="K3533" s="6" t="str">
        <f>IFERROR(__xludf.DUMMYFUNCTION("""COMPUTED_VALUE"""),"javier_lamance@stu.ortrail.k12.or.us")</f>
        <v>javier_lamance@stu.ortrail.k12.or.us</v>
      </c>
      <c r="L3533" s="6" t="str">
        <f>IFERROR(__xludf.DUMMYFUNCTION("""COMPUTED_VALUE"""),"Oregon Trail School District 46")</f>
        <v>Oregon Trail School District 46</v>
      </c>
      <c r="M3533" s="6" t="str">
        <f>IFERROR(__xludf.DUMMYFUNCTION("""COMPUTED_VALUE"""),"Welches Elementary School")</f>
        <v>Welches Elementary School</v>
      </c>
      <c r="N3533" s="6" t="str">
        <f>IFERROR(__xludf.DUMMYFUNCTION("""COMPUTED_VALUE"""),"")</f>
        <v/>
      </c>
      <c r="O3533" s="87" t="str">
        <f>IFERROR(__xludf.DUMMYFUNCTION("""COMPUTED_VALUE"""),"https://drive.google.com/drive/folders/10T2cTQHqEJZqE-st6uFKPoI?usp=share_link")</f>
        <v>https://drive.google.com/drive/folders/10T2cTQHqEJZqE-st6uFKPoI?usp=share_link</v>
      </c>
      <c r="P3533" s="6" t="str">
        <f>IFERROR(__xludf.DUMMYFUNCTION("""COMPUTED_VALUE"""),"Javier Lamance")</f>
        <v>Javier Lamance</v>
      </c>
      <c r="Q3533" s="6" t="str">
        <f>IFERROR(__xludf.DUMMYFUNCTION("""COMPUTED_VALUE"""),"L1")</f>
        <v>L1</v>
      </c>
      <c r="R3533" s="6">
        <f>IFERROR(__xludf.DUMMYFUNCTION("""COMPUTED_VALUE"""),1.0)</f>
        <v>1</v>
      </c>
      <c r="S3533" s="6" t="str">
        <f>IFERROR(__xludf.DUMMYFUNCTION("""COMPUTED_VALUE"""),"Daniel Winans")</f>
        <v>Daniel Winans</v>
      </c>
      <c r="T3533" s="6" t="str">
        <f>IFERROR(__xludf.DUMMYFUNCTION("""COMPUTED_VALUE"""),"daniel.winans@ortrail.k12.or.us")</f>
        <v>daniel.winans@ortrail.k12.or.us</v>
      </c>
      <c r="U3533" s="6" t="str">
        <f>IFERROR(__xludf.DUMMYFUNCTION("""COMPUTED_VALUE"""),"3")</f>
        <v>3</v>
      </c>
      <c r="V3533" s="6" t="str">
        <f>IFERROR(__xludf.DUMMYFUNCTION("""COMPUTED_VALUE"""),"English")</f>
        <v>English</v>
      </c>
      <c r="W3533" s="6" t="str">
        <f>IFERROR(__xludf.DUMMYFUNCTION("""COMPUTED_VALUE"""),"[]")</f>
        <v>[]</v>
      </c>
      <c r="X3533" s="6" t="str">
        <f>IFERROR(__xludf.DUMMYFUNCTION("""COMPUTED_VALUE"""),"Enrolled")</f>
        <v>Enrolled</v>
      </c>
    </row>
    <row r="3534">
      <c r="A3534" s="6" t="str">
        <f>IFERROR(__xludf.DUMMYFUNCTION("""COMPUTED_VALUE"""),"064-6630")</f>
        <v>064-6630</v>
      </c>
      <c r="B3534" s="6" t="str">
        <f>IFERROR(__xludf.DUMMYFUNCTION("""COMPUTED_VALUE"""),"64")</f>
        <v>64</v>
      </c>
      <c r="C3534" s="6" t="str">
        <f>IFERROR(__xludf.DUMMYFUNCTION("""COMPUTED_VALUE"""),"6630")</f>
        <v>6630</v>
      </c>
      <c r="D3534" s="6" t="str">
        <f>IFERROR(__xludf.DUMMYFUNCTION("""COMPUTED_VALUE"""),"Jordyn")</f>
        <v>Jordyn</v>
      </c>
      <c r="E3534" s="6" t="str">
        <f>IFERROR(__xludf.DUMMYFUNCTION("""COMPUTED_VALUE"""),"")</f>
        <v/>
      </c>
      <c r="F3534" s="6" t="str">
        <f>IFERROR(__xludf.DUMMYFUNCTION("""COMPUTED_VALUE"""),"Linfoot")</f>
        <v>Linfoot</v>
      </c>
      <c r="G3534" s="6" t="str">
        <f>IFERROR(__xludf.DUMMYFUNCTION("""COMPUTED_VALUE"""),"08/10/2017")</f>
        <v>08/10/2017</v>
      </c>
      <c r="H3534" s="6" t="str">
        <f>IFERROR(__xludf.DUMMYFUNCTION("""COMPUTED_VALUE"""),"Self Identify")</f>
        <v>Self Identify</v>
      </c>
      <c r="I3534" s="6" t="str">
        <f>IFERROR(__xludf.DUMMYFUNCTION("""COMPUTED_VALUE"""),"Level 1")</f>
        <v>Level 1</v>
      </c>
      <c r="J3534" s="6" t="str">
        <f>IFERROR(__xludf.DUMMYFUNCTION("""COMPUTED_VALUE"""),"3")</f>
        <v>3</v>
      </c>
      <c r="K3534" s="6" t="str">
        <f>IFERROR(__xludf.DUMMYFUNCTION("""COMPUTED_VALUE"""),"jordyn_linfoot@stu.ortrail.k12.or.us")</f>
        <v>jordyn_linfoot@stu.ortrail.k12.or.us</v>
      </c>
      <c r="L3534" s="6" t="str">
        <f>IFERROR(__xludf.DUMMYFUNCTION("""COMPUTED_VALUE"""),"Oregon Trail School District 46")</f>
        <v>Oregon Trail School District 46</v>
      </c>
      <c r="M3534" s="6" t="str">
        <f>IFERROR(__xludf.DUMMYFUNCTION("""COMPUTED_VALUE"""),"Welches Elementary School")</f>
        <v>Welches Elementary School</v>
      </c>
      <c r="N3534" s="6" t="str">
        <f>IFERROR(__xludf.DUMMYFUNCTION("""COMPUTED_VALUE"""),"")</f>
        <v/>
      </c>
      <c r="O3534" s="87" t="str">
        <f>IFERROR(__xludf.DUMMYFUNCTION("""COMPUTED_VALUE"""),"https://drive.google.com/drive/folders/10T2cTQHqEJZqE-st6uFKPoI?usp=share_link")</f>
        <v>https://drive.google.com/drive/folders/10T2cTQHqEJZqE-st6uFKPoI?usp=share_link</v>
      </c>
      <c r="P3534" s="6" t="str">
        <f>IFERROR(__xludf.DUMMYFUNCTION("""COMPUTED_VALUE"""),"Jordyn Linfoot")</f>
        <v>Jordyn Linfoot</v>
      </c>
      <c r="Q3534" s="6" t="str">
        <f>IFERROR(__xludf.DUMMYFUNCTION("""COMPUTED_VALUE"""),"L1")</f>
        <v>L1</v>
      </c>
      <c r="R3534" s="6">
        <f>IFERROR(__xludf.DUMMYFUNCTION("""COMPUTED_VALUE"""),1.0)</f>
        <v>1</v>
      </c>
      <c r="S3534" s="6" t="str">
        <f>IFERROR(__xludf.DUMMYFUNCTION("""COMPUTED_VALUE"""),"Daniel Winans")</f>
        <v>Daniel Winans</v>
      </c>
      <c r="T3534" s="6" t="str">
        <f>IFERROR(__xludf.DUMMYFUNCTION("""COMPUTED_VALUE"""),"daniel.winans@ortrail.k12.or.us")</f>
        <v>daniel.winans@ortrail.k12.or.us</v>
      </c>
      <c r="U3534" s="6" t="str">
        <f>IFERROR(__xludf.DUMMYFUNCTION("""COMPUTED_VALUE"""),"3")</f>
        <v>3</v>
      </c>
      <c r="V3534" s="6" t="str">
        <f>IFERROR(__xludf.DUMMYFUNCTION("""COMPUTED_VALUE"""),"English")</f>
        <v>English</v>
      </c>
      <c r="W3534" s="6" t="str">
        <f>IFERROR(__xludf.DUMMYFUNCTION("""COMPUTED_VALUE"""),"[]")</f>
        <v>[]</v>
      </c>
      <c r="X3534" s="6" t="str">
        <f>IFERROR(__xludf.DUMMYFUNCTION("""COMPUTED_VALUE"""),"Enrolled")</f>
        <v>Enrolled</v>
      </c>
    </row>
    <row r="3535">
      <c r="A3535" s="6" t="str">
        <f>IFERROR(__xludf.DUMMYFUNCTION("""COMPUTED_VALUE"""),"064-6631")</f>
        <v>064-6631</v>
      </c>
      <c r="B3535" s="6" t="str">
        <f>IFERROR(__xludf.DUMMYFUNCTION("""COMPUTED_VALUE"""),"64")</f>
        <v>64</v>
      </c>
      <c r="C3535" s="6" t="str">
        <f>IFERROR(__xludf.DUMMYFUNCTION("""COMPUTED_VALUE"""),"6631")</f>
        <v>6631</v>
      </c>
      <c r="D3535" s="6" t="str">
        <f>IFERROR(__xludf.DUMMYFUNCTION("""COMPUTED_VALUE"""),"Lucas")</f>
        <v>Lucas</v>
      </c>
      <c r="E3535" s="6" t="str">
        <f>IFERROR(__xludf.DUMMYFUNCTION("""COMPUTED_VALUE"""),"")</f>
        <v/>
      </c>
      <c r="F3535" s="6" t="str">
        <f>IFERROR(__xludf.DUMMYFUNCTION("""COMPUTED_VALUE"""),"Roberts")</f>
        <v>Roberts</v>
      </c>
      <c r="G3535" s="6" t="str">
        <f>IFERROR(__xludf.DUMMYFUNCTION("""COMPUTED_VALUE"""),"02/16/2017")</f>
        <v>02/16/2017</v>
      </c>
      <c r="H3535" s="6" t="str">
        <f>IFERROR(__xludf.DUMMYFUNCTION("""COMPUTED_VALUE"""),"Self Identify")</f>
        <v>Self Identify</v>
      </c>
      <c r="I3535" s="6" t="str">
        <f>IFERROR(__xludf.DUMMYFUNCTION("""COMPUTED_VALUE"""),"Level 1")</f>
        <v>Level 1</v>
      </c>
      <c r="J3535" s="6" t="str">
        <f>IFERROR(__xludf.DUMMYFUNCTION("""COMPUTED_VALUE"""),"3")</f>
        <v>3</v>
      </c>
      <c r="K3535" s="6" t="str">
        <f>IFERROR(__xludf.DUMMYFUNCTION("""COMPUTED_VALUE"""),"lucasa_roberts@stu.ortrail.k12.or.us")</f>
        <v>lucasa_roberts@stu.ortrail.k12.or.us</v>
      </c>
      <c r="L3535" s="6" t="str">
        <f>IFERROR(__xludf.DUMMYFUNCTION("""COMPUTED_VALUE"""),"Oregon Trail School District 46")</f>
        <v>Oregon Trail School District 46</v>
      </c>
      <c r="M3535" s="6" t="str">
        <f>IFERROR(__xludf.DUMMYFUNCTION("""COMPUTED_VALUE"""),"Welches Elementary School")</f>
        <v>Welches Elementary School</v>
      </c>
      <c r="N3535" s="6" t="str">
        <f>IFERROR(__xludf.DUMMYFUNCTION("""COMPUTED_VALUE"""),"")</f>
        <v/>
      </c>
      <c r="O3535" s="87" t="str">
        <f>IFERROR(__xludf.DUMMYFUNCTION("""COMPUTED_VALUE"""),"https://drive.google.com/drive/folders/10T2cTQHqEJZqE-st6uFKPoI?usp=share_link")</f>
        <v>https://drive.google.com/drive/folders/10T2cTQHqEJZqE-st6uFKPoI?usp=share_link</v>
      </c>
      <c r="P3535" s="6" t="str">
        <f>IFERROR(__xludf.DUMMYFUNCTION("""COMPUTED_VALUE"""),"Lucas Roberts")</f>
        <v>Lucas Roberts</v>
      </c>
      <c r="Q3535" s="6" t="str">
        <f>IFERROR(__xludf.DUMMYFUNCTION("""COMPUTED_VALUE"""),"L1")</f>
        <v>L1</v>
      </c>
      <c r="R3535" s="6">
        <f>IFERROR(__xludf.DUMMYFUNCTION("""COMPUTED_VALUE"""),1.0)</f>
        <v>1</v>
      </c>
      <c r="S3535" s="6" t="str">
        <f>IFERROR(__xludf.DUMMYFUNCTION("""COMPUTED_VALUE"""),"Daniel Winans")</f>
        <v>Daniel Winans</v>
      </c>
      <c r="T3535" s="6" t="str">
        <f>IFERROR(__xludf.DUMMYFUNCTION("""COMPUTED_VALUE"""),"daniel.winans@ortrail.k12.or.us")</f>
        <v>daniel.winans@ortrail.k12.or.us</v>
      </c>
      <c r="U3535" s="6" t="str">
        <f>IFERROR(__xludf.DUMMYFUNCTION("""COMPUTED_VALUE"""),"3")</f>
        <v>3</v>
      </c>
      <c r="V3535" s="6" t="str">
        <f>IFERROR(__xludf.DUMMYFUNCTION("""COMPUTED_VALUE"""),"English")</f>
        <v>English</v>
      </c>
      <c r="W3535" s="6" t="str">
        <f>IFERROR(__xludf.DUMMYFUNCTION("""COMPUTED_VALUE"""),"[]")</f>
        <v>[]</v>
      </c>
      <c r="X3535" s="6" t="str">
        <f>IFERROR(__xludf.DUMMYFUNCTION("""COMPUTED_VALUE"""),"Enrolled")</f>
        <v>Enrolled</v>
      </c>
    </row>
    <row r="3536">
      <c r="A3536" s="6" t="str">
        <f>IFERROR(__xludf.DUMMYFUNCTION("""COMPUTED_VALUE"""),"064-6632")</f>
        <v>064-6632</v>
      </c>
      <c r="B3536" s="6" t="str">
        <f>IFERROR(__xludf.DUMMYFUNCTION("""COMPUTED_VALUE"""),"64")</f>
        <v>64</v>
      </c>
      <c r="C3536" s="6" t="str">
        <f>IFERROR(__xludf.DUMMYFUNCTION("""COMPUTED_VALUE"""),"6632")</f>
        <v>6632</v>
      </c>
      <c r="D3536" s="6" t="str">
        <f>IFERROR(__xludf.DUMMYFUNCTION("""COMPUTED_VALUE"""),"Jack")</f>
        <v>Jack</v>
      </c>
      <c r="E3536" s="6" t="str">
        <f>IFERROR(__xludf.DUMMYFUNCTION("""COMPUTED_VALUE"""),"")</f>
        <v/>
      </c>
      <c r="F3536" s="6" t="str">
        <f>IFERROR(__xludf.DUMMYFUNCTION("""COMPUTED_VALUE"""),"Sloss")</f>
        <v>Sloss</v>
      </c>
      <c r="G3536" s="6" t="str">
        <f>IFERROR(__xludf.DUMMYFUNCTION("""COMPUTED_VALUE"""),"02/08/2017")</f>
        <v>02/08/2017</v>
      </c>
      <c r="H3536" s="6" t="str">
        <f>IFERROR(__xludf.DUMMYFUNCTION("""COMPUTED_VALUE"""),"Self Identify")</f>
        <v>Self Identify</v>
      </c>
      <c r="I3536" s="6" t="str">
        <f>IFERROR(__xludf.DUMMYFUNCTION("""COMPUTED_VALUE"""),"Level 1")</f>
        <v>Level 1</v>
      </c>
      <c r="J3536" s="6" t="str">
        <f>IFERROR(__xludf.DUMMYFUNCTION("""COMPUTED_VALUE"""),"3")</f>
        <v>3</v>
      </c>
      <c r="K3536" s="6" t="str">
        <f>IFERROR(__xludf.DUMMYFUNCTION("""COMPUTED_VALUE"""),"jack_sloss@stu.ortrail.k12.or.us")</f>
        <v>jack_sloss@stu.ortrail.k12.or.us</v>
      </c>
      <c r="L3536" s="6" t="str">
        <f>IFERROR(__xludf.DUMMYFUNCTION("""COMPUTED_VALUE"""),"Oregon Trail School District 46")</f>
        <v>Oregon Trail School District 46</v>
      </c>
      <c r="M3536" s="6" t="str">
        <f>IFERROR(__xludf.DUMMYFUNCTION("""COMPUTED_VALUE"""),"Welches Elementary School")</f>
        <v>Welches Elementary School</v>
      </c>
      <c r="N3536" s="6" t="str">
        <f>IFERROR(__xludf.DUMMYFUNCTION("""COMPUTED_VALUE"""),"")</f>
        <v/>
      </c>
      <c r="O3536" s="87" t="str">
        <f>IFERROR(__xludf.DUMMYFUNCTION("""COMPUTED_VALUE"""),"https://drive.google.com/drive/folders/10T2cTQHqEJZqE-st6uFKPoI?usp=share_link")</f>
        <v>https://drive.google.com/drive/folders/10T2cTQHqEJZqE-st6uFKPoI?usp=share_link</v>
      </c>
      <c r="P3536" s="6" t="str">
        <f>IFERROR(__xludf.DUMMYFUNCTION("""COMPUTED_VALUE"""),"Jack Sloss")</f>
        <v>Jack Sloss</v>
      </c>
      <c r="Q3536" s="6" t="str">
        <f>IFERROR(__xludf.DUMMYFUNCTION("""COMPUTED_VALUE"""),"L1")</f>
        <v>L1</v>
      </c>
      <c r="R3536" s="6">
        <f>IFERROR(__xludf.DUMMYFUNCTION("""COMPUTED_VALUE"""),1.0)</f>
        <v>1</v>
      </c>
      <c r="S3536" s="6" t="str">
        <f>IFERROR(__xludf.DUMMYFUNCTION("""COMPUTED_VALUE"""),"Daniel Winans")</f>
        <v>Daniel Winans</v>
      </c>
      <c r="T3536" s="6" t="str">
        <f>IFERROR(__xludf.DUMMYFUNCTION("""COMPUTED_VALUE"""),"daniel.winans@ortrail.k12.or.us")</f>
        <v>daniel.winans@ortrail.k12.or.us</v>
      </c>
      <c r="U3536" s="6" t="str">
        <f>IFERROR(__xludf.DUMMYFUNCTION("""COMPUTED_VALUE"""),"3")</f>
        <v>3</v>
      </c>
      <c r="V3536" s="6" t="str">
        <f>IFERROR(__xludf.DUMMYFUNCTION("""COMPUTED_VALUE"""),"English")</f>
        <v>English</v>
      </c>
      <c r="W3536" s="6" t="str">
        <f>IFERROR(__xludf.DUMMYFUNCTION("""COMPUTED_VALUE"""),"[]")</f>
        <v>[]</v>
      </c>
      <c r="X3536" s="6" t="str">
        <f>IFERROR(__xludf.DUMMYFUNCTION("""COMPUTED_VALUE"""),"Enrolled")</f>
        <v>Enrolled</v>
      </c>
    </row>
    <row r="3537">
      <c r="A3537" s="6" t="str">
        <f>IFERROR(__xludf.DUMMYFUNCTION("""COMPUTED_VALUE"""),"064-6633")</f>
        <v>064-6633</v>
      </c>
      <c r="B3537" s="6" t="str">
        <f>IFERROR(__xludf.DUMMYFUNCTION("""COMPUTED_VALUE"""),"64")</f>
        <v>64</v>
      </c>
      <c r="C3537" s="6" t="str">
        <f>IFERROR(__xludf.DUMMYFUNCTION("""COMPUTED_VALUE"""),"6633")</f>
        <v>6633</v>
      </c>
      <c r="D3537" s="6" t="str">
        <f>IFERROR(__xludf.DUMMYFUNCTION("""COMPUTED_VALUE"""),"Gracie")</f>
        <v>Gracie</v>
      </c>
      <c r="E3537" s="6" t="str">
        <f>IFERROR(__xludf.DUMMYFUNCTION("""COMPUTED_VALUE"""),"")</f>
        <v/>
      </c>
      <c r="F3537" s="6" t="str">
        <f>IFERROR(__xludf.DUMMYFUNCTION("""COMPUTED_VALUE"""),"Orton")</f>
        <v>Orton</v>
      </c>
      <c r="G3537" s="6" t="str">
        <f>IFERROR(__xludf.DUMMYFUNCTION("""COMPUTED_VALUE"""),"11/10/2016")</f>
        <v>11/10/2016</v>
      </c>
      <c r="H3537" s="6" t="str">
        <f>IFERROR(__xludf.DUMMYFUNCTION("""COMPUTED_VALUE"""),"Self Identify")</f>
        <v>Self Identify</v>
      </c>
      <c r="I3537" s="6" t="str">
        <f>IFERROR(__xludf.DUMMYFUNCTION("""COMPUTED_VALUE"""),"Level 1")</f>
        <v>Level 1</v>
      </c>
      <c r="J3537" s="6" t="str">
        <f>IFERROR(__xludf.DUMMYFUNCTION("""COMPUTED_VALUE"""),"3")</f>
        <v>3</v>
      </c>
      <c r="K3537" s="6" t="str">
        <f>IFERROR(__xludf.DUMMYFUNCTION("""COMPUTED_VALUE"""),"gracie_orton@stu.ortrail.k12.or.us")</f>
        <v>gracie_orton@stu.ortrail.k12.or.us</v>
      </c>
      <c r="L3537" s="6" t="str">
        <f>IFERROR(__xludf.DUMMYFUNCTION("""COMPUTED_VALUE"""),"Oregon Trail School District 46")</f>
        <v>Oregon Trail School District 46</v>
      </c>
      <c r="M3537" s="6" t="str">
        <f>IFERROR(__xludf.DUMMYFUNCTION("""COMPUTED_VALUE"""),"Welches Elementary School")</f>
        <v>Welches Elementary School</v>
      </c>
      <c r="N3537" s="6" t="str">
        <f>IFERROR(__xludf.DUMMYFUNCTION("""COMPUTED_VALUE"""),"")</f>
        <v/>
      </c>
      <c r="O3537" s="87" t="str">
        <f>IFERROR(__xludf.DUMMYFUNCTION("""COMPUTED_VALUE"""),"https://drive.google.com/drive/folders/10T2cTQHqEJZqE-st6uFKPoI?usp=share_link")</f>
        <v>https://drive.google.com/drive/folders/10T2cTQHqEJZqE-st6uFKPoI?usp=share_link</v>
      </c>
      <c r="P3537" s="6" t="str">
        <f>IFERROR(__xludf.DUMMYFUNCTION("""COMPUTED_VALUE"""),"Gracie Orton")</f>
        <v>Gracie Orton</v>
      </c>
      <c r="Q3537" s="6" t="str">
        <f>IFERROR(__xludf.DUMMYFUNCTION("""COMPUTED_VALUE"""),"L1")</f>
        <v>L1</v>
      </c>
      <c r="R3537" s="6">
        <f>IFERROR(__xludf.DUMMYFUNCTION("""COMPUTED_VALUE"""),1.0)</f>
        <v>1</v>
      </c>
      <c r="S3537" s="6" t="str">
        <f>IFERROR(__xludf.DUMMYFUNCTION("""COMPUTED_VALUE"""),"Daniel Winans")</f>
        <v>Daniel Winans</v>
      </c>
      <c r="T3537" s="6" t="str">
        <f>IFERROR(__xludf.DUMMYFUNCTION("""COMPUTED_VALUE"""),"daniel.winans@ortrail.k12.or.us")</f>
        <v>daniel.winans@ortrail.k12.or.us</v>
      </c>
      <c r="U3537" s="6" t="str">
        <f>IFERROR(__xludf.DUMMYFUNCTION("""COMPUTED_VALUE"""),"3")</f>
        <v>3</v>
      </c>
      <c r="V3537" s="6" t="str">
        <f>IFERROR(__xludf.DUMMYFUNCTION("""COMPUTED_VALUE"""),"English")</f>
        <v>English</v>
      </c>
      <c r="W3537" s="6" t="str">
        <f>IFERROR(__xludf.DUMMYFUNCTION("""COMPUTED_VALUE"""),"[]")</f>
        <v>[]</v>
      </c>
      <c r="X3537" s="6" t="str">
        <f>IFERROR(__xludf.DUMMYFUNCTION("""COMPUTED_VALUE"""),"Enrolled")</f>
        <v>Enrolled</v>
      </c>
    </row>
    <row r="3538">
      <c r="A3538" s="6" t="str">
        <f>IFERROR(__xludf.DUMMYFUNCTION("""COMPUTED_VALUE"""),"064-6634")</f>
        <v>064-6634</v>
      </c>
      <c r="B3538" s="6" t="str">
        <f>IFERROR(__xludf.DUMMYFUNCTION("""COMPUTED_VALUE"""),"64")</f>
        <v>64</v>
      </c>
      <c r="C3538" s="6" t="str">
        <f>IFERROR(__xludf.DUMMYFUNCTION("""COMPUTED_VALUE"""),"6634")</f>
        <v>6634</v>
      </c>
      <c r="D3538" s="6" t="str">
        <f>IFERROR(__xludf.DUMMYFUNCTION("""COMPUTED_VALUE"""),"William")</f>
        <v>William</v>
      </c>
      <c r="E3538" s="6" t="str">
        <f>IFERROR(__xludf.DUMMYFUNCTION("""COMPUTED_VALUE"""),"")</f>
        <v/>
      </c>
      <c r="F3538" s="6" t="str">
        <f>IFERROR(__xludf.DUMMYFUNCTION("""COMPUTED_VALUE"""),"Bergeson")</f>
        <v>Bergeson</v>
      </c>
      <c r="G3538" s="6" t="str">
        <f>IFERROR(__xludf.DUMMYFUNCTION("""COMPUTED_VALUE"""),"06/11/2017")</f>
        <v>06/11/2017</v>
      </c>
      <c r="H3538" s="6" t="str">
        <f>IFERROR(__xludf.DUMMYFUNCTION("""COMPUTED_VALUE"""),"Self Identify")</f>
        <v>Self Identify</v>
      </c>
      <c r="I3538" s="6" t="str">
        <f>IFERROR(__xludf.DUMMYFUNCTION("""COMPUTED_VALUE"""),"Level 1")</f>
        <v>Level 1</v>
      </c>
      <c r="J3538" s="6" t="str">
        <f>IFERROR(__xludf.DUMMYFUNCTION("""COMPUTED_VALUE"""),"3")</f>
        <v>3</v>
      </c>
      <c r="K3538" s="6" t="str">
        <f>IFERROR(__xludf.DUMMYFUNCTION("""COMPUTED_VALUE"""),"william_bergeson@stu.ortrail.k12.or.us")</f>
        <v>william_bergeson@stu.ortrail.k12.or.us</v>
      </c>
      <c r="L3538" s="6" t="str">
        <f>IFERROR(__xludf.DUMMYFUNCTION("""COMPUTED_VALUE"""),"Oregon Trail School District 46")</f>
        <v>Oregon Trail School District 46</v>
      </c>
      <c r="M3538" s="6" t="str">
        <f>IFERROR(__xludf.DUMMYFUNCTION("""COMPUTED_VALUE"""),"Welches Elementary School")</f>
        <v>Welches Elementary School</v>
      </c>
      <c r="N3538" s="6" t="str">
        <f>IFERROR(__xludf.DUMMYFUNCTION("""COMPUTED_VALUE"""),"")</f>
        <v/>
      </c>
      <c r="O3538" s="87" t="str">
        <f>IFERROR(__xludf.DUMMYFUNCTION("""COMPUTED_VALUE"""),"https://drive.google.com/drive/folders/10T2cTQHqEJZqE-st6uFKPoI?usp=share_link")</f>
        <v>https://drive.google.com/drive/folders/10T2cTQHqEJZqE-st6uFKPoI?usp=share_link</v>
      </c>
      <c r="P3538" s="6" t="str">
        <f>IFERROR(__xludf.DUMMYFUNCTION("""COMPUTED_VALUE"""),"William Bergeson")</f>
        <v>William Bergeson</v>
      </c>
      <c r="Q3538" s="6" t="str">
        <f>IFERROR(__xludf.DUMMYFUNCTION("""COMPUTED_VALUE"""),"L1")</f>
        <v>L1</v>
      </c>
      <c r="R3538" s="6">
        <f>IFERROR(__xludf.DUMMYFUNCTION("""COMPUTED_VALUE"""),1.0)</f>
        <v>1</v>
      </c>
      <c r="S3538" s="6" t="str">
        <f>IFERROR(__xludf.DUMMYFUNCTION("""COMPUTED_VALUE"""),"Daniel Winans")</f>
        <v>Daniel Winans</v>
      </c>
      <c r="T3538" s="6" t="str">
        <f>IFERROR(__xludf.DUMMYFUNCTION("""COMPUTED_VALUE"""),"daniel.winans@ortrail.k12.or.us")</f>
        <v>daniel.winans@ortrail.k12.or.us</v>
      </c>
      <c r="U3538" s="6" t="str">
        <f>IFERROR(__xludf.DUMMYFUNCTION("""COMPUTED_VALUE"""),"3")</f>
        <v>3</v>
      </c>
      <c r="V3538" s="6" t="str">
        <f>IFERROR(__xludf.DUMMYFUNCTION("""COMPUTED_VALUE"""),"English")</f>
        <v>English</v>
      </c>
      <c r="W3538" s="6" t="str">
        <f>IFERROR(__xludf.DUMMYFUNCTION("""COMPUTED_VALUE"""),"[]")</f>
        <v>[]</v>
      </c>
      <c r="X3538" s="6" t="str">
        <f>IFERROR(__xludf.DUMMYFUNCTION("""COMPUTED_VALUE"""),"Enrolled")</f>
        <v>Enrolled</v>
      </c>
    </row>
    <row r="3539">
      <c r="A3539" s="6" t="str">
        <f>IFERROR(__xludf.DUMMYFUNCTION("""COMPUTED_VALUE"""),"064-6635")</f>
        <v>064-6635</v>
      </c>
      <c r="B3539" s="6" t="str">
        <f>IFERROR(__xludf.DUMMYFUNCTION("""COMPUTED_VALUE"""),"64")</f>
        <v>64</v>
      </c>
      <c r="C3539" s="6" t="str">
        <f>IFERROR(__xludf.DUMMYFUNCTION("""COMPUTED_VALUE"""),"6635")</f>
        <v>6635</v>
      </c>
      <c r="D3539" s="6" t="str">
        <f>IFERROR(__xludf.DUMMYFUNCTION("""COMPUTED_VALUE"""),"Neveah")</f>
        <v>Neveah</v>
      </c>
      <c r="E3539" s="6" t="str">
        <f>IFERROR(__xludf.DUMMYFUNCTION("""COMPUTED_VALUE"""),"")</f>
        <v/>
      </c>
      <c r="F3539" s="6" t="str">
        <f>IFERROR(__xludf.DUMMYFUNCTION("""COMPUTED_VALUE"""),"Lutz")</f>
        <v>Lutz</v>
      </c>
      <c r="G3539" s="6" t="str">
        <f>IFERROR(__xludf.DUMMYFUNCTION("""COMPUTED_VALUE"""),"01/12/2017")</f>
        <v>01/12/2017</v>
      </c>
      <c r="H3539" s="6" t="str">
        <f>IFERROR(__xludf.DUMMYFUNCTION("""COMPUTED_VALUE"""),"Self Identify")</f>
        <v>Self Identify</v>
      </c>
      <c r="I3539" s="6" t="str">
        <f>IFERROR(__xludf.DUMMYFUNCTION("""COMPUTED_VALUE"""),"Level 1")</f>
        <v>Level 1</v>
      </c>
      <c r="J3539" s="6" t="str">
        <f>IFERROR(__xludf.DUMMYFUNCTION("""COMPUTED_VALUE"""),"3")</f>
        <v>3</v>
      </c>
      <c r="K3539" s="6" t="str">
        <f>IFERROR(__xludf.DUMMYFUNCTION("""COMPUTED_VALUE"""),"nevaeh_lutzmelendez@stu.ortrail.k12.or.us")</f>
        <v>nevaeh_lutzmelendez@stu.ortrail.k12.or.us</v>
      </c>
      <c r="L3539" s="6" t="str">
        <f>IFERROR(__xludf.DUMMYFUNCTION("""COMPUTED_VALUE"""),"Oregon Trail School District 46")</f>
        <v>Oregon Trail School District 46</v>
      </c>
      <c r="M3539" s="6" t="str">
        <f>IFERROR(__xludf.DUMMYFUNCTION("""COMPUTED_VALUE"""),"Welches Elementary School")</f>
        <v>Welches Elementary School</v>
      </c>
      <c r="N3539" s="6" t="str">
        <f>IFERROR(__xludf.DUMMYFUNCTION("""COMPUTED_VALUE"""),"")</f>
        <v/>
      </c>
      <c r="O3539" s="87" t="str">
        <f>IFERROR(__xludf.DUMMYFUNCTION("""COMPUTED_VALUE"""),"https://drive.google.com/drive/folders/10T2cTQHqEJZqE-st6uFKPoI?usp=share_link")</f>
        <v>https://drive.google.com/drive/folders/10T2cTQHqEJZqE-st6uFKPoI?usp=share_link</v>
      </c>
      <c r="P3539" s="6" t="str">
        <f>IFERROR(__xludf.DUMMYFUNCTION("""COMPUTED_VALUE"""),"Neveah Lutz")</f>
        <v>Neveah Lutz</v>
      </c>
      <c r="Q3539" s="6" t="str">
        <f>IFERROR(__xludf.DUMMYFUNCTION("""COMPUTED_VALUE"""),"L1")</f>
        <v>L1</v>
      </c>
      <c r="R3539" s="6">
        <f>IFERROR(__xludf.DUMMYFUNCTION("""COMPUTED_VALUE"""),1.0)</f>
        <v>1</v>
      </c>
      <c r="S3539" s="6" t="str">
        <f>IFERROR(__xludf.DUMMYFUNCTION("""COMPUTED_VALUE"""),"Daniel Winans")</f>
        <v>Daniel Winans</v>
      </c>
      <c r="T3539" s="6" t="str">
        <f>IFERROR(__xludf.DUMMYFUNCTION("""COMPUTED_VALUE"""),"daniel.winans@ortrail.k12.or.us")</f>
        <v>daniel.winans@ortrail.k12.or.us</v>
      </c>
      <c r="U3539" s="6" t="str">
        <f>IFERROR(__xludf.DUMMYFUNCTION("""COMPUTED_VALUE"""),"3")</f>
        <v>3</v>
      </c>
      <c r="V3539" s="6" t="str">
        <f>IFERROR(__xludf.DUMMYFUNCTION("""COMPUTED_VALUE"""),"English")</f>
        <v>English</v>
      </c>
      <c r="W3539" s="6" t="str">
        <f>IFERROR(__xludf.DUMMYFUNCTION("""COMPUTED_VALUE"""),"[]")</f>
        <v>[]</v>
      </c>
      <c r="X3539" s="6" t="str">
        <f>IFERROR(__xludf.DUMMYFUNCTION("""COMPUTED_VALUE"""),"Enrolled")</f>
        <v>Enrolled</v>
      </c>
    </row>
    <row r="3540">
      <c r="A3540" s="6" t="str">
        <f>IFERROR(__xludf.DUMMYFUNCTION("""COMPUTED_VALUE"""),"064-6636")</f>
        <v>064-6636</v>
      </c>
      <c r="B3540" s="6" t="str">
        <f>IFERROR(__xludf.DUMMYFUNCTION("""COMPUTED_VALUE"""),"64")</f>
        <v>64</v>
      </c>
      <c r="C3540" s="6" t="str">
        <f>IFERROR(__xludf.DUMMYFUNCTION("""COMPUTED_VALUE"""),"6636")</f>
        <v>6636</v>
      </c>
      <c r="D3540" s="6" t="str">
        <f>IFERROR(__xludf.DUMMYFUNCTION("""COMPUTED_VALUE"""),"Rowdi")</f>
        <v>Rowdi</v>
      </c>
      <c r="E3540" s="6" t="str">
        <f>IFERROR(__xludf.DUMMYFUNCTION("""COMPUTED_VALUE"""),"")</f>
        <v/>
      </c>
      <c r="F3540" s="6" t="str">
        <f>IFERROR(__xludf.DUMMYFUNCTION("""COMPUTED_VALUE"""),"Bodrero")</f>
        <v>Bodrero</v>
      </c>
      <c r="G3540" s="6" t="str">
        <f>IFERROR(__xludf.DUMMYFUNCTION("""COMPUTED_VALUE"""),"08/15/2016")</f>
        <v>08/15/2016</v>
      </c>
      <c r="H3540" s="6" t="str">
        <f>IFERROR(__xludf.DUMMYFUNCTION("""COMPUTED_VALUE"""),"Self Identify")</f>
        <v>Self Identify</v>
      </c>
      <c r="I3540" s="6" t="str">
        <f>IFERROR(__xludf.DUMMYFUNCTION("""COMPUTED_VALUE"""),"Level 2")</f>
        <v>Level 2</v>
      </c>
      <c r="J3540" s="6" t="str">
        <f>IFERROR(__xludf.DUMMYFUNCTION("""COMPUTED_VALUE"""),"4")</f>
        <v>4</v>
      </c>
      <c r="K3540" s="6" t="str">
        <f>IFERROR(__xludf.DUMMYFUNCTION("""COMPUTED_VALUE"""),"rowdi_bodrero@stu.ortrail.k12.or.us")</f>
        <v>rowdi_bodrero@stu.ortrail.k12.or.us</v>
      </c>
      <c r="L3540" s="6" t="str">
        <f>IFERROR(__xludf.DUMMYFUNCTION("""COMPUTED_VALUE"""),"Oregon Trail School District 46")</f>
        <v>Oregon Trail School District 46</v>
      </c>
      <c r="M3540" s="6" t="str">
        <f>IFERROR(__xludf.DUMMYFUNCTION("""COMPUTED_VALUE"""),"Welches Elementary School")</f>
        <v>Welches Elementary School</v>
      </c>
      <c r="N3540" s="6" t="str">
        <f>IFERROR(__xludf.DUMMYFUNCTION("""COMPUTED_VALUE"""),"")</f>
        <v/>
      </c>
      <c r="O3540" s="87" t="str">
        <f>IFERROR(__xludf.DUMMYFUNCTION("""COMPUTED_VALUE"""),"https://drive.google.com/drive/folders/10T2cTQHqEJZqE-st6uFKPoI?usp=share_link")</f>
        <v>https://drive.google.com/drive/folders/10T2cTQHqEJZqE-st6uFKPoI?usp=share_link</v>
      </c>
      <c r="P3540" s="6" t="str">
        <f>IFERROR(__xludf.DUMMYFUNCTION("""COMPUTED_VALUE"""),"Rowdi Bodrero")</f>
        <v>Rowdi Bodrero</v>
      </c>
      <c r="Q3540" s="6" t="str">
        <f>IFERROR(__xludf.DUMMYFUNCTION("""COMPUTED_VALUE"""),"L2")</f>
        <v>L2</v>
      </c>
      <c r="R3540" s="6">
        <f>IFERROR(__xludf.DUMMYFUNCTION("""COMPUTED_VALUE"""),2.0)</f>
        <v>2</v>
      </c>
      <c r="S3540" s="6" t="str">
        <f>IFERROR(__xludf.DUMMYFUNCTION("""COMPUTED_VALUE"""),"Sharon Nobel")</f>
        <v>Sharon Nobel</v>
      </c>
      <c r="T3540" s="6" t="str">
        <f>IFERROR(__xludf.DUMMYFUNCTION("""COMPUTED_VALUE"""),"sharon.nobel@ortrail.k12.or.us")</f>
        <v>sharon.nobel@ortrail.k12.or.us</v>
      </c>
      <c r="U3540" s="6" t="str">
        <f>IFERROR(__xludf.DUMMYFUNCTION("""COMPUTED_VALUE"""),"4")</f>
        <v>4</v>
      </c>
      <c r="V3540" s="6" t="str">
        <f>IFERROR(__xludf.DUMMYFUNCTION("""COMPUTED_VALUE"""),"English")</f>
        <v>English</v>
      </c>
      <c r="W3540" s="6" t="str">
        <f>IFERROR(__xludf.DUMMYFUNCTION("""COMPUTED_VALUE"""),"[]")</f>
        <v>[]</v>
      </c>
      <c r="X3540" s="6" t="str">
        <f>IFERROR(__xludf.DUMMYFUNCTION("""COMPUTED_VALUE"""),"Enrolled")</f>
        <v>Enrolled</v>
      </c>
    </row>
    <row r="3541">
      <c r="A3541" s="6" t="str">
        <f>IFERROR(__xludf.DUMMYFUNCTION("""COMPUTED_VALUE"""),"064-6637")</f>
        <v>064-6637</v>
      </c>
      <c r="B3541" s="6" t="str">
        <f>IFERROR(__xludf.DUMMYFUNCTION("""COMPUTED_VALUE"""),"64")</f>
        <v>64</v>
      </c>
      <c r="C3541" s="6" t="str">
        <f>IFERROR(__xludf.DUMMYFUNCTION("""COMPUTED_VALUE"""),"6637")</f>
        <v>6637</v>
      </c>
      <c r="D3541" s="6" t="str">
        <f>IFERROR(__xludf.DUMMYFUNCTION("""COMPUTED_VALUE"""),"Jaxon")</f>
        <v>Jaxon</v>
      </c>
      <c r="E3541" s="6" t="str">
        <f>IFERROR(__xludf.DUMMYFUNCTION("""COMPUTED_VALUE"""),"")</f>
        <v/>
      </c>
      <c r="F3541" s="6" t="str">
        <f>IFERROR(__xludf.DUMMYFUNCTION("""COMPUTED_VALUE"""),"Arnell")</f>
        <v>Arnell</v>
      </c>
      <c r="G3541" s="6" t="str">
        <f>IFERROR(__xludf.DUMMYFUNCTION("""COMPUTED_VALUE"""),"11/18/2014")</f>
        <v>11/18/2014</v>
      </c>
      <c r="H3541" s="6" t="str">
        <f>IFERROR(__xludf.DUMMYFUNCTION("""COMPUTED_VALUE"""),"Self Identify")</f>
        <v>Self Identify</v>
      </c>
      <c r="I3541" s="6" t="str">
        <f>IFERROR(__xludf.DUMMYFUNCTION("""COMPUTED_VALUE"""),"Level 2")</f>
        <v>Level 2</v>
      </c>
      <c r="J3541" s="6" t="str">
        <f>IFERROR(__xludf.DUMMYFUNCTION("""COMPUTED_VALUE"""),"4")</f>
        <v>4</v>
      </c>
      <c r="K3541" s="6" t="str">
        <f>IFERROR(__xludf.DUMMYFUNCTION("""COMPUTED_VALUE"""),"jaxon_arnell@stu.ortrail.k12.or.us")</f>
        <v>jaxon_arnell@stu.ortrail.k12.or.us</v>
      </c>
      <c r="L3541" s="6" t="str">
        <f>IFERROR(__xludf.DUMMYFUNCTION("""COMPUTED_VALUE"""),"Oregon Trail School District 46")</f>
        <v>Oregon Trail School District 46</v>
      </c>
      <c r="M3541" s="6" t="str">
        <f>IFERROR(__xludf.DUMMYFUNCTION("""COMPUTED_VALUE"""),"Welches Elementary School")</f>
        <v>Welches Elementary School</v>
      </c>
      <c r="N3541" s="6" t="str">
        <f>IFERROR(__xludf.DUMMYFUNCTION("""COMPUTED_VALUE"""),"")</f>
        <v/>
      </c>
      <c r="O3541" s="87" t="str">
        <f>IFERROR(__xludf.DUMMYFUNCTION("""COMPUTED_VALUE"""),"https://drive.google.com/drive/folders/10T2cTQHqEJZqE-st6uFKPoI?usp=share_link")</f>
        <v>https://drive.google.com/drive/folders/10T2cTQHqEJZqE-st6uFKPoI?usp=share_link</v>
      </c>
      <c r="P3541" s="6" t="str">
        <f>IFERROR(__xludf.DUMMYFUNCTION("""COMPUTED_VALUE"""),"Jaxon Arnell")</f>
        <v>Jaxon Arnell</v>
      </c>
      <c r="Q3541" s="6" t="str">
        <f>IFERROR(__xludf.DUMMYFUNCTION("""COMPUTED_VALUE"""),"L2")</f>
        <v>L2</v>
      </c>
      <c r="R3541" s="6">
        <f>IFERROR(__xludf.DUMMYFUNCTION("""COMPUTED_VALUE"""),2.0)</f>
        <v>2</v>
      </c>
      <c r="S3541" s="6" t="str">
        <f>IFERROR(__xludf.DUMMYFUNCTION("""COMPUTED_VALUE"""),"Sharon Nobel")</f>
        <v>Sharon Nobel</v>
      </c>
      <c r="T3541" s="6" t="str">
        <f>IFERROR(__xludf.DUMMYFUNCTION("""COMPUTED_VALUE"""),"sharon.nobel@ortrail.k12.or.us")</f>
        <v>sharon.nobel@ortrail.k12.or.us</v>
      </c>
      <c r="U3541" s="6" t="str">
        <f>IFERROR(__xludf.DUMMYFUNCTION("""COMPUTED_VALUE"""),"4")</f>
        <v>4</v>
      </c>
      <c r="V3541" s="6" t="str">
        <f>IFERROR(__xludf.DUMMYFUNCTION("""COMPUTED_VALUE"""),"English")</f>
        <v>English</v>
      </c>
      <c r="W3541" s="6" t="str">
        <f>IFERROR(__xludf.DUMMYFUNCTION("""COMPUTED_VALUE"""),"[]")</f>
        <v>[]</v>
      </c>
      <c r="X3541" s="6" t="str">
        <f>IFERROR(__xludf.DUMMYFUNCTION("""COMPUTED_VALUE"""),"Enrolled")</f>
        <v>Enrolled</v>
      </c>
    </row>
    <row r="3542">
      <c r="A3542" s="6" t="str">
        <f>IFERROR(__xludf.DUMMYFUNCTION("""COMPUTED_VALUE"""),"064-6638")</f>
        <v>064-6638</v>
      </c>
      <c r="B3542" s="6" t="str">
        <f>IFERROR(__xludf.DUMMYFUNCTION("""COMPUTED_VALUE"""),"64")</f>
        <v>64</v>
      </c>
      <c r="C3542" s="6" t="str">
        <f>IFERROR(__xludf.DUMMYFUNCTION("""COMPUTED_VALUE"""),"6638")</f>
        <v>6638</v>
      </c>
      <c r="D3542" s="6" t="str">
        <f>IFERROR(__xludf.DUMMYFUNCTION("""COMPUTED_VALUE"""),"Evan")</f>
        <v>Evan</v>
      </c>
      <c r="E3542" s="6" t="str">
        <f>IFERROR(__xludf.DUMMYFUNCTION("""COMPUTED_VALUE"""),"")</f>
        <v/>
      </c>
      <c r="F3542" s="6" t="str">
        <f>IFERROR(__xludf.DUMMYFUNCTION("""COMPUTED_VALUE"""),"Skaggs")</f>
        <v>Skaggs</v>
      </c>
      <c r="G3542" s="6" t="str">
        <f>IFERROR(__xludf.DUMMYFUNCTION("""COMPUTED_VALUE"""),"07/04/2015")</f>
        <v>07/04/2015</v>
      </c>
      <c r="H3542" s="6" t="str">
        <f>IFERROR(__xludf.DUMMYFUNCTION("""COMPUTED_VALUE"""),"Self Identify")</f>
        <v>Self Identify</v>
      </c>
      <c r="I3542" s="6" t="str">
        <f>IFERROR(__xludf.DUMMYFUNCTION("""COMPUTED_VALUE"""),"Level 2")</f>
        <v>Level 2</v>
      </c>
      <c r="J3542" s="6" t="str">
        <f>IFERROR(__xludf.DUMMYFUNCTION("""COMPUTED_VALUE"""),"4")</f>
        <v>4</v>
      </c>
      <c r="K3542" s="6" t="str">
        <f>IFERROR(__xludf.DUMMYFUNCTION("""COMPUTED_VALUE"""),"evan_skaggs@stu.ortrail.k12.or.us")</f>
        <v>evan_skaggs@stu.ortrail.k12.or.us</v>
      </c>
      <c r="L3542" s="6" t="str">
        <f>IFERROR(__xludf.DUMMYFUNCTION("""COMPUTED_VALUE"""),"Oregon Trail School District 46")</f>
        <v>Oregon Trail School District 46</v>
      </c>
      <c r="M3542" s="6" t="str">
        <f>IFERROR(__xludf.DUMMYFUNCTION("""COMPUTED_VALUE"""),"Welches Elementary School")</f>
        <v>Welches Elementary School</v>
      </c>
      <c r="N3542" s="6" t="str">
        <f>IFERROR(__xludf.DUMMYFUNCTION("""COMPUTED_VALUE"""),"")</f>
        <v/>
      </c>
      <c r="O3542" s="87" t="str">
        <f>IFERROR(__xludf.DUMMYFUNCTION("""COMPUTED_VALUE"""),"https://drive.google.com/drive/folders/10T2cTQHqEJZqE-st6uFKPoI?usp=share_link")</f>
        <v>https://drive.google.com/drive/folders/10T2cTQHqEJZqE-st6uFKPoI?usp=share_link</v>
      </c>
      <c r="P3542" s="6" t="str">
        <f>IFERROR(__xludf.DUMMYFUNCTION("""COMPUTED_VALUE"""),"Evan Skaggs")</f>
        <v>Evan Skaggs</v>
      </c>
      <c r="Q3542" s="6" t="str">
        <f>IFERROR(__xludf.DUMMYFUNCTION("""COMPUTED_VALUE"""),"L2")</f>
        <v>L2</v>
      </c>
      <c r="R3542" s="6">
        <f>IFERROR(__xludf.DUMMYFUNCTION("""COMPUTED_VALUE"""),2.0)</f>
        <v>2</v>
      </c>
      <c r="S3542" s="6" t="str">
        <f>IFERROR(__xludf.DUMMYFUNCTION("""COMPUTED_VALUE"""),"Sara King")</f>
        <v>Sara King</v>
      </c>
      <c r="T3542" s="6" t="str">
        <f>IFERROR(__xludf.DUMMYFUNCTION("""COMPUTED_VALUE"""),"sara.king@ortrail.k12.or.us")</f>
        <v>sara.king@ortrail.k12.or.us</v>
      </c>
      <c r="U3542" s="6" t="str">
        <f>IFERROR(__xludf.DUMMYFUNCTION("""COMPUTED_VALUE"""),"4")</f>
        <v>4</v>
      </c>
      <c r="V3542" s="6" t="str">
        <f>IFERROR(__xludf.DUMMYFUNCTION("""COMPUTED_VALUE"""),"English")</f>
        <v>English</v>
      </c>
      <c r="W3542" s="6" t="str">
        <f>IFERROR(__xludf.DUMMYFUNCTION("""COMPUTED_VALUE"""),"[]")</f>
        <v>[]</v>
      </c>
      <c r="X3542" s="6" t="str">
        <f>IFERROR(__xludf.DUMMYFUNCTION("""COMPUTED_VALUE"""),"Enrolled")</f>
        <v>Enrolled</v>
      </c>
    </row>
    <row r="3543">
      <c r="A3543" s="6" t="str">
        <f>IFERROR(__xludf.DUMMYFUNCTION("""COMPUTED_VALUE"""),"064-6639")</f>
        <v>064-6639</v>
      </c>
      <c r="B3543" s="6" t="str">
        <f>IFERROR(__xludf.DUMMYFUNCTION("""COMPUTED_VALUE"""),"64")</f>
        <v>64</v>
      </c>
      <c r="C3543" s="6" t="str">
        <f>IFERROR(__xludf.DUMMYFUNCTION("""COMPUTED_VALUE"""),"6639")</f>
        <v>6639</v>
      </c>
      <c r="D3543" s="6" t="str">
        <f>IFERROR(__xludf.DUMMYFUNCTION("""COMPUTED_VALUE"""),"Chandler")</f>
        <v>Chandler</v>
      </c>
      <c r="E3543" s="6" t="str">
        <f>IFERROR(__xludf.DUMMYFUNCTION("""COMPUTED_VALUE"""),"")</f>
        <v/>
      </c>
      <c r="F3543" s="6" t="str">
        <f>IFERROR(__xludf.DUMMYFUNCTION("""COMPUTED_VALUE"""),"Burke")</f>
        <v>Burke</v>
      </c>
      <c r="G3543" s="6" t="str">
        <f>IFERROR(__xludf.DUMMYFUNCTION("""COMPUTED_VALUE"""),"03/05/2016")</f>
        <v>03/05/2016</v>
      </c>
      <c r="H3543" s="6" t="str">
        <f>IFERROR(__xludf.DUMMYFUNCTION("""COMPUTED_VALUE"""),"Self Identify")</f>
        <v>Self Identify</v>
      </c>
      <c r="I3543" s="6" t="str">
        <f>IFERROR(__xludf.DUMMYFUNCTION("""COMPUTED_VALUE"""),"Level 2")</f>
        <v>Level 2</v>
      </c>
      <c r="J3543" s="6" t="str">
        <f>IFERROR(__xludf.DUMMYFUNCTION("""COMPUTED_VALUE"""),"4")</f>
        <v>4</v>
      </c>
      <c r="K3543" s="6" t="str">
        <f>IFERROR(__xludf.DUMMYFUNCTION("""COMPUTED_VALUE"""),"chandler_burke@stu.ortrail.k12.or.us")</f>
        <v>chandler_burke@stu.ortrail.k12.or.us</v>
      </c>
      <c r="L3543" s="6" t="str">
        <f>IFERROR(__xludf.DUMMYFUNCTION("""COMPUTED_VALUE"""),"Oregon Trail School District 46")</f>
        <v>Oregon Trail School District 46</v>
      </c>
      <c r="M3543" s="6" t="str">
        <f>IFERROR(__xludf.DUMMYFUNCTION("""COMPUTED_VALUE"""),"Welches Elementary School")</f>
        <v>Welches Elementary School</v>
      </c>
      <c r="N3543" s="6" t="str">
        <f>IFERROR(__xludf.DUMMYFUNCTION("""COMPUTED_VALUE"""),"")</f>
        <v/>
      </c>
      <c r="O3543" s="87" t="str">
        <f>IFERROR(__xludf.DUMMYFUNCTION("""COMPUTED_VALUE"""),"https://drive.google.com/drive/folders/10T2cTQHqEJZqE-st6uFKPoI?usp=share_link")</f>
        <v>https://drive.google.com/drive/folders/10T2cTQHqEJZqE-st6uFKPoI?usp=share_link</v>
      </c>
      <c r="P3543" s="6" t="str">
        <f>IFERROR(__xludf.DUMMYFUNCTION("""COMPUTED_VALUE"""),"Chandler Burke")</f>
        <v>Chandler Burke</v>
      </c>
      <c r="Q3543" s="6" t="str">
        <f>IFERROR(__xludf.DUMMYFUNCTION("""COMPUTED_VALUE"""),"L2")</f>
        <v>L2</v>
      </c>
      <c r="R3543" s="6">
        <f>IFERROR(__xludf.DUMMYFUNCTION("""COMPUTED_VALUE"""),2.0)</f>
        <v>2</v>
      </c>
      <c r="S3543" s="6" t="str">
        <f>IFERROR(__xludf.DUMMYFUNCTION("""COMPUTED_VALUE"""),"Sara King")</f>
        <v>Sara King</v>
      </c>
      <c r="T3543" s="6" t="str">
        <f>IFERROR(__xludf.DUMMYFUNCTION("""COMPUTED_VALUE"""),"sara.king@ortrail.k12.or.us")</f>
        <v>sara.king@ortrail.k12.or.us</v>
      </c>
      <c r="U3543" s="6" t="str">
        <f>IFERROR(__xludf.DUMMYFUNCTION("""COMPUTED_VALUE"""),"4")</f>
        <v>4</v>
      </c>
      <c r="V3543" s="6" t="str">
        <f>IFERROR(__xludf.DUMMYFUNCTION("""COMPUTED_VALUE"""),"English")</f>
        <v>English</v>
      </c>
      <c r="W3543" s="6" t="str">
        <f>IFERROR(__xludf.DUMMYFUNCTION("""COMPUTED_VALUE"""),"[]")</f>
        <v>[]</v>
      </c>
      <c r="X3543" s="6" t="str">
        <f>IFERROR(__xludf.DUMMYFUNCTION("""COMPUTED_VALUE"""),"Enrolled")</f>
        <v>Enrolled</v>
      </c>
    </row>
    <row r="3544">
      <c r="A3544" s="6" t="str">
        <f>IFERROR(__xludf.DUMMYFUNCTION("""COMPUTED_VALUE"""),"064-6640")</f>
        <v>064-6640</v>
      </c>
      <c r="B3544" s="6" t="str">
        <f>IFERROR(__xludf.DUMMYFUNCTION("""COMPUTED_VALUE"""),"64")</f>
        <v>64</v>
      </c>
      <c r="C3544" s="6" t="str">
        <f>IFERROR(__xludf.DUMMYFUNCTION("""COMPUTED_VALUE"""),"6640")</f>
        <v>6640</v>
      </c>
      <c r="D3544" s="6" t="str">
        <f>IFERROR(__xludf.DUMMYFUNCTION("""COMPUTED_VALUE"""),"Vyolet")</f>
        <v>Vyolet</v>
      </c>
      <c r="E3544" s="6" t="str">
        <f>IFERROR(__xludf.DUMMYFUNCTION("""COMPUTED_VALUE"""),"")</f>
        <v/>
      </c>
      <c r="F3544" s="6" t="str">
        <f>IFERROR(__xludf.DUMMYFUNCTION("""COMPUTED_VALUE"""),"Billingsley")</f>
        <v>Billingsley</v>
      </c>
      <c r="G3544" s="6" t="str">
        <f>IFERROR(__xludf.DUMMYFUNCTION("""COMPUTED_VALUE"""),"02/13/2016")</f>
        <v>02/13/2016</v>
      </c>
      <c r="H3544" s="6" t="str">
        <f>IFERROR(__xludf.DUMMYFUNCTION("""COMPUTED_VALUE"""),"Self Identify")</f>
        <v>Self Identify</v>
      </c>
      <c r="I3544" s="6" t="str">
        <f>IFERROR(__xludf.DUMMYFUNCTION("""COMPUTED_VALUE"""),"Level 2")</f>
        <v>Level 2</v>
      </c>
      <c r="J3544" s="6" t="str">
        <f>IFERROR(__xludf.DUMMYFUNCTION("""COMPUTED_VALUE"""),"4")</f>
        <v>4</v>
      </c>
      <c r="K3544" s="6" t="str">
        <f>IFERROR(__xludf.DUMMYFUNCTION("""COMPUTED_VALUE"""),"vyolet_billingsley@stu.ortrail.k12.or.us")</f>
        <v>vyolet_billingsley@stu.ortrail.k12.or.us</v>
      </c>
      <c r="L3544" s="6" t="str">
        <f>IFERROR(__xludf.DUMMYFUNCTION("""COMPUTED_VALUE"""),"Oregon Trail School District 46")</f>
        <v>Oregon Trail School District 46</v>
      </c>
      <c r="M3544" s="6" t="str">
        <f>IFERROR(__xludf.DUMMYFUNCTION("""COMPUTED_VALUE"""),"Welches Elementary School")</f>
        <v>Welches Elementary School</v>
      </c>
      <c r="N3544" s="6" t="str">
        <f>IFERROR(__xludf.DUMMYFUNCTION("""COMPUTED_VALUE"""),"")</f>
        <v/>
      </c>
      <c r="O3544" s="87" t="str">
        <f>IFERROR(__xludf.DUMMYFUNCTION("""COMPUTED_VALUE"""),"https://drive.google.com/drive/folders/10T2cTQHqEJZqE-st6uFKPoI?usp=share_link")</f>
        <v>https://drive.google.com/drive/folders/10T2cTQHqEJZqE-st6uFKPoI?usp=share_link</v>
      </c>
      <c r="P3544" s="6" t="str">
        <f>IFERROR(__xludf.DUMMYFUNCTION("""COMPUTED_VALUE"""),"Vyolet Billingsley")</f>
        <v>Vyolet Billingsley</v>
      </c>
      <c r="Q3544" s="6" t="str">
        <f>IFERROR(__xludf.DUMMYFUNCTION("""COMPUTED_VALUE"""),"L2")</f>
        <v>L2</v>
      </c>
      <c r="R3544" s="6">
        <f>IFERROR(__xludf.DUMMYFUNCTION("""COMPUTED_VALUE"""),2.0)</f>
        <v>2</v>
      </c>
      <c r="S3544" s="6" t="str">
        <f>IFERROR(__xludf.DUMMYFUNCTION("""COMPUTED_VALUE"""),"Sharon Nobel")</f>
        <v>Sharon Nobel</v>
      </c>
      <c r="T3544" s="6" t="str">
        <f>IFERROR(__xludf.DUMMYFUNCTION("""COMPUTED_VALUE"""),"sharon.nobel@ortrail.k12.or.us")</f>
        <v>sharon.nobel@ortrail.k12.or.us</v>
      </c>
      <c r="U3544" s="6" t="str">
        <f>IFERROR(__xludf.DUMMYFUNCTION("""COMPUTED_VALUE"""),"4")</f>
        <v>4</v>
      </c>
      <c r="V3544" s="6" t="str">
        <f>IFERROR(__xludf.DUMMYFUNCTION("""COMPUTED_VALUE"""),"English")</f>
        <v>English</v>
      </c>
      <c r="W3544" s="6" t="str">
        <f>IFERROR(__xludf.DUMMYFUNCTION("""COMPUTED_VALUE"""),"[]")</f>
        <v>[]</v>
      </c>
      <c r="X3544" s="6" t="str">
        <f>IFERROR(__xludf.DUMMYFUNCTION("""COMPUTED_VALUE"""),"Enrolled")</f>
        <v>Enrolled</v>
      </c>
    </row>
    <row r="3545">
      <c r="A3545" s="6" t="str">
        <f>IFERROR(__xludf.DUMMYFUNCTION("""COMPUTED_VALUE"""),"064-6641")</f>
        <v>064-6641</v>
      </c>
      <c r="B3545" s="6" t="str">
        <f>IFERROR(__xludf.DUMMYFUNCTION("""COMPUTED_VALUE"""),"64")</f>
        <v>64</v>
      </c>
      <c r="C3545" s="6" t="str">
        <f>IFERROR(__xludf.DUMMYFUNCTION("""COMPUTED_VALUE"""),"6641")</f>
        <v>6641</v>
      </c>
      <c r="D3545" s="6" t="str">
        <f>IFERROR(__xludf.DUMMYFUNCTION("""COMPUTED_VALUE"""),"Madisyn")</f>
        <v>Madisyn</v>
      </c>
      <c r="E3545" s="6" t="str">
        <f>IFERROR(__xludf.DUMMYFUNCTION("""COMPUTED_VALUE"""),"")</f>
        <v/>
      </c>
      <c r="F3545" s="6" t="str">
        <f>IFERROR(__xludf.DUMMYFUNCTION("""COMPUTED_VALUE"""),"Streuver")</f>
        <v>Streuver</v>
      </c>
      <c r="G3545" s="6" t="str">
        <f>IFERROR(__xludf.DUMMYFUNCTION("""COMPUTED_VALUE"""),"10/08/2015")</f>
        <v>10/08/2015</v>
      </c>
      <c r="H3545" s="6" t="str">
        <f>IFERROR(__xludf.DUMMYFUNCTION("""COMPUTED_VALUE"""),"Self Identify")</f>
        <v>Self Identify</v>
      </c>
      <c r="I3545" s="6" t="str">
        <f>IFERROR(__xludf.DUMMYFUNCTION("""COMPUTED_VALUE"""),"Level 2")</f>
        <v>Level 2</v>
      </c>
      <c r="J3545" s="6" t="str">
        <f>IFERROR(__xludf.DUMMYFUNCTION("""COMPUTED_VALUE"""),"4")</f>
        <v>4</v>
      </c>
      <c r="K3545" s="6" t="str">
        <f>IFERROR(__xludf.DUMMYFUNCTION("""COMPUTED_VALUE"""),"madisyn_struever@stu.ortrail.k12.or.us")</f>
        <v>madisyn_struever@stu.ortrail.k12.or.us</v>
      </c>
      <c r="L3545" s="6" t="str">
        <f>IFERROR(__xludf.DUMMYFUNCTION("""COMPUTED_VALUE"""),"Oregon Trail School District 46")</f>
        <v>Oregon Trail School District 46</v>
      </c>
      <c r="M3545" s="6" t="str">
        <f>IFERROR(__xludf.DUMMYFUNCTION("""COMPUTED_VALUE"""),"Welches Elementary School")</f>
        <v>Welches Elementary School</v>
      </c>
      <c r="N3545" s="6" t="str">
        <f>IFERROR(__xludf.DUMMYFUNCTION("""COMPUTED_VALUE"""),"")</f>
        <v/>
      </c>
      <c r="O3545" s="87" t="str">
        <f>IFERROR(__xludf.DUMMYFUNCTION("""COMPUTED_VALUE"""),"https://drive.google.com/drive/folders/10T2cTQHqEJZqE-st6uFKPoI?usp=share_link")</f>
        <v>https://drive.google.com/drive/folders/10T2cTQHqEJZqE-st6uFKPoI?usp=share_link</v>
      </c>
      <c r="P3545" s="6" t="str">
        <f>IFERROR(__xludf.DUMMYFUNCTION("""COMPUTED_VALUE"""),"Madisyn Streuver")</f>
        <v>Madisyn Streuver</v>
      </c>
      <c r="Q3545" s="6" t="str">
        <f>IFERROR(__xludf.DUMMYFUNCTION("""COMPUTED_VALUE"""),"L2")</f>
        <v>L2</v>
      </c>
      <c r="R3545" s="6">
        <f>IFERROR(__xludf.DUMMYFUNCTION("""COMPUTED_VALUE"""),2.0)</f>
        <v>2</v>
      </c>
      <c r="S3545" s="6" t="str">
        <f>IFERROR(__xludf.DUMMYFUNCTION("""COMPUTED_VALUE"""),"Sharon Nobel")</f>
        <v>Sharon Nobel</v>
      </c>
      <c r="T3545" s="6" t="str">
        <f>IFERROR(__xludf.DUMMYFUNCTION("""COMPUTED_VALUE"""),"sharon.nobel@ortrail.k12.or.us")</f>
        <v>sharon.nobel@ortrail.k12.or.us</v>
      </c>
      <c r="U3545" s="6" t="str">
        <f>IFERROR(__xludf.DUMMYFUNCTION("""COMPUTED_VALUE"""),"4")</f>
        <v>4</v>
      </c>
      <c r="V3545" s="6" t="str">
        <f>IFERROR(__xludf.DUMMYFUNCTION("""COMPUTED_VALUE"""),"English")</f>
        <v>English</v>
      </c>
      <c r="W3545" s="6" t="str">
        <f>IFERROR(__xludf.DUMMYFUNCTION("""COMPUTED_VALUE"""),"[]")</f>
        <v>[]</v>
      </c>
      <c r="X3545" s="6" t="str">
        <f>IFERROR(__xludf.DUMMYFUNCTION("""COMPUTED_VALUE"""),"Enrolled")</f>
        <v>Enrolled</v>
      </c>
    </row>
    <row r="3546">
      <c r="A3546" s="6" t="str">
        <f>IFERROR(__xludf.DUMMYFUNCTION("""COMPUTED_VALUE"""),"064-6642")</f>
        <v>064-6642</v>
      </c>
      <c r="B3546" s="6" t="str">
        <f>IFERROR(__xludf.DUMMYFUNCTION("""COMPUTED_VALUE"""),"64")</f>
        <v>64</v>
      </c>
      <c r="C3546" s="6" t="str">
        <f>IFERROR(__xludf.DUMMYFUNCTION("""COMPUTED_VALUE"""),"6642")</f>
        <v>6642</v>
      </c>
      <c r="D3546" s="6" t="str">
        <f>IFERROR(__xludf.DUMMYFUNCTION("""COMPUTED_VALUE"""),"Isabella")</f>
        <v>Isabella</v>
      </c>
      <c r="E3546" s="6" t="str">
        <f>IFERROR(__xludf.DUMMYFUNCTION("""COMPUTED_VALUE"""),"")</f>
        <v/>
      </c>
      <c r="F3546" s="6" t="str">
        <f>IFERROR(__xludf.DUMMYFUNCTION("""COMPUTED_VALUE"""),"Villarreal")</f>
        <v>Villarreal</v>
      </c>
      <c r="G3546" s="6" t="str">
        <f>IFERROR(__xludf.DUMMYFUNCTION("""COMPUTED_VALUE"""),"12/05/2015")</f>
        <v>12/05/2015</v>
      </c>
      <c r="H3546" s="6" t="str">
        <f>IFERROR(__xludf.DUMMYFUNCTION("""COMPUTED_VALUE"""),"female")</f>
        <v>female</v>
      </c>
      <c r="I3546" s="6" t="str">
        <f>IFERROR(__xludf.DUMMYFUNCTION("""COMPUTED_VALUE"""),"Level 2")</f>
        <v>Level 2</v>
      </c>
      <c r="J3546" s="6" t="str">
        <f>IFERROR(__xludf.DUMMYFUNCTION("""COMPUTED_VALUE"""),"4")</f>
        <v>4</v>
      </c>
      <c r="K3546" s="6" t="str">
        <f>IFERROR(__xludf.DUMMYFUNCTION("""COMPUTED_VALUE"""),"isabella_villarreal@stu.ortrail.k12.or.us")</f>
        <v>isabella_villarreal@stu.ortrail.k12.or.us</v>
      </c>
      <c r="L3546" s="6" t="str">
        <f>IFERROR(__xludf.DUMMYFUNCTION("""COMPUTED_VALUE"""),"Oregon Trail School District 46")</f>
        <v>Oregon Trail School District 46</v>
      </c>
      <c r="M3546" s="6" t="str">
        <f>IFERROR(__xludf.DUMMYFUNCTION("""COMPUTED_VALUE"""),"Welches Elementary School")</f>
        <v>Welches Elementary School</v>
      </c>
      <c r="N3546" s="6" t="str">
        <f>IFERROR(__xludf.DUMMYFUNCTION("""COMPUTED_VALUE"""),"")</f>
        <v/>
      </c>
      <c r="O3546" s="87" t="str">
        <f>IFERROR(__xludf.DUMMYFUNCTION("""COMPUTED_VALUE"""),"https://drive.google.com/drive/folders/10T2cTQHqEJZqE-st6uFKPoI?usp=share_link")</f>
        <v>https://drive.google.com/drive/folders/10T2cTQHqEJZqE-st6uFKPoI?usp=share_link</v>
      </c>
      <c r="P3546" s="6" t="str">
        <f>IFERROR(__xludf.DUMMYFUNCTION("""COMPUTED_VALUE"""),"Isabella Villarreal")</f>
        <v>Isabella Villarreal</v>
      </c>
      <c r="Q3546" s="6" t="str">
        <f>IFERROR(__xludf.DUMMYFUNCTION("""COMPUTED_VALUE"""),"L2")</f>
        <v>L2</v>
      </c>
      <c r="R3546" s="6">
        <f>IFERROR(__xludf.DUMMYFUNCTION("""COMPUTED_VALUE"""),2.0)</f>
        <v>2</v>
      </c>
      <c r="S3546" s="6" t="str">
        <f>IFERROR(__xludf.DUMMYFUNCTION("""COMPUTED_VALUE"""),"Sharon Nobel")</f>
        <v>Sharon Nobel</v>
      </c>
      <c r="T3546" s="6" t="str">
        <f>IFERROR(__xludf.DUMMYFUNCTION("""COMPUTED_VALUE"""),"sharon.nobel@ortrail.k12.or.us")</f>
        <v>sharon.nobel@ortrail.k12.or.us</v>
      </c>
      <c r="U3546" s="6" t="str">
        <f>IFERROR(__xludf.DUMMYFUNCTION("""COMPUTED_VALUE"""),"4")</f>
        <v>4</v>
      </c>
      <c r="V3546" s="6" t="str">
        <f>IFERROR(__xludf.DUMMYFUNCTION("""COMPUTED_VALUE"""),"English")</f>
        <v>English</v>
      </c>
      <c r="W3546" s="6" t="str">
        <f>IFERROR(__xludf.DUMMYFUNCTION("""COMPUTED_VALUE"""),"[]")</f>
        <v>[]</v>
      </c>
      <c r="X3546" s="6" t="str">
        <f>IFERROR(__xludf.DUMMYFUNCTION("""COMPUTED_VALUE"""),"Enrolled")</f>
        <v>Enrolled</v>
      </c>
    </row>
    <row r="3547">
      <c r="A3547" s="6" t="str">
        <f>IFERROR(__xludf.DUMMYFUNCTION("""COMPUTED_VALUE"""),"064-6643")</f>
        <v>064-6643</v>
      </c>
      <c r="B3547" s="6" t="str">
        <f>IFERROR(__xludf.DUMMYFUNCTION("""COMPUTED_VALUE"""),"64")</f>
        <v>64</v>
      </c>
      <c r="C3547" s="6" t="str">
        <f>IFERROR(__xludf.DUMMYFUNCTION("""COMPUTED_VALUE"""),"6643")</f>
        <v>6643</v>
      </c>
      <c r="D3547" s="6" t="str">
        <f>IFERROR(__xludf.DUMMYFUNCTION("""COMPUTED_VALUE"""),"Adelyn")</f>
        <v>Adelyn</v>
      </c>
      <c r="E3547" s="6" t="str">
        <f>IFERROR(__xludf.DUMMYFUNCTION("""COMPUTED_VALUE"""),"")</f>
        <v/>
      </c>
      <c r="F3547" s="6" t="str">
        <f>IFERROR(__xludf.DUMMYFUNCTION("""COMPUTED_VALUE"""),"Chilton")</f>
        <v>Chilton</v>
      </c>
      <c r="G3547" s="6" t="str">
        <f>IFERROR(__xludf.DUMMYFUNCTION("""COMPUTED_VALUE"""),"05/24/2016")</f>
        <v>05/24/2016</v>
      </c>
      <c r="H3547" s="6" t="str">
        <f>IFERROR(__xludf.DUMMYFUNCTION("""COMPUTED_VALUE"""),"Self Identify")</f>
        <v>Self Identify</v>
      </c>
      <c r="I3547" s="6" t="str">
        <f>IFERROR(__xludf.DUMMYFUNCTION("""COMPUTED_VALUE"""),"Level 2")</f>
        <v>Level 2</v>
      </c>
      <c r="J3547" s="6" t="str">
        <f>IFERROR(__xludf.DUMMYFUNCTION("""COMPUTED_VALUE"""),"4")</f>
        <v>4</v>
      </c>
      <c r="K3547" s="6" t="str">
        <f>IFERROR(__xludf.DUMMYFUNCTION("""COMPUTED_VALUE"""),"addie_chilton@stu.ortrail.k12.or.us")</f>
        <v>addie_chilton@stu.ortrail.k12.or.us</v>
      </c>
      <c r="L3547" s="6" t="str">
        <f>IFERROR(__xludf.DUMMYFUNCTION("""COMPUTED_VALUE"""),"Oregon Trail School District 46")</f>
        <v>Oregon Trail School District 46</v>
      </c>
      <c r="M3547" s="6" t="str">
        <f>IFERROR(__xludf.DUMMYFUNCTION("""COMPUTED_VALUE"""),"Welches Elementary School")</f>
        <v>Welches Elementary School</v>
      </c>
      <c r="N3547" s="6" t="str">
        <f>IFERROR(__xludf.DUMMYFUNCTION("""COMPUTED_VALUE"""),"")</f>
        <v/>
      </c>
      <c r="O3547" s="87" t="str">
        <f>IFERROR(__xludf.DUMMYFUNCTION("""COMPUTED_VALUE"""),"https://drive.google.com/drive/folders/10T2cTQHqEJZqE-st6uFKPoI?usp=share_link")</f>
        <v>https://drive.google.com/drive/folders/10T2cTQHqEJZqE-st6uFKPoI?usp=share_link</v>
      </c>
      <c r="P3547" s="6" t="str">
        <f>IFERROR(__xludf.DUMMYFUNCTION("""COMPUTED_VALUE"""),"Adelyn Chilton")</f>
        <v>Adelyn Chilton</v>
      </c>
      <c r="Q3547" s="6" t="str">
        <f>IFERROR(__xludf.DUMMYFUNCTION("""COMPUTED_VALUE"""),"L2")</f>
        <v>L2</v>
      </c>
      <c r="R3547" s="6">
        <f>IFERROR(__xludf.DUMMYFUNCTION("""COMPUTED_VALUE"""),2.0)</f>
        <v>2</v>
      </c>
      <c r="S3547" s="6" t="str">
        <f>IFERROR(__xludf.DUMMYFUNCTION("""COMPUTED_VALUE"""),"Sara King")</f>
        <v>Sara King</v>
      </c>
      <c r="T3547" s="6" t="str">
        <f>IFERROR(__xludf.DUMMYFUNCTION("""COMPUTED_VALUE"""),"sara.king@ortrail.k12.or.us")</f>
        <v>sara.king@ortrail.k12.or.us</v>
      </c>
      <c r="U3547" s="6" t="str">
        <f>IFERROR(__xludf.DUMMYFUNCTION("""COMPUTED_VALUE"""),"4")</f>
        <v>4</v>
      </c>
      <c r="V3547" s="6" t="str">
        <f>IFERROR(__xludf.DUMMYFUNCTION("""COMPUTED_VALUE"""),"English")</f>
        <v>English</v>
      </c>
      <c r="W3547" s="6" t="str">
        <f>IFERROR(__xludf.DUMMYFUNCTION("""COMPUTED_VALUE"""),"[]")</f>
        <v>[]</v>
      </c>
      <c r="X3547" s="6" t="str">
        <f>IFERROR(__xludf.DUMMYFUNCTION("""COMPUTED_VALUE"""),"Enrolled")</f>
        <v>Enrolled</v>
      </c>
    </row>
    <row r="3548">
      <c r="A3548" s="6" t="str">
        <f>IFERROR(__xludf.DUMMYFUNCTION("""COMPUTED_VALUE"""),"064-6644")</f>
        <v>064-6644</v>
      </c>
      <c r="B3548" s="6" t="str">
        <f>IFERROR(__xludf.DUMMYFUNCTION("""COMPUTED_VALUE"""),"64")</f>
        <v>64</v>
      </c>
      <c r="C3548" s="6" t="str">
        <f>IFERROR(__xludf.DUMMYFUNCTION("""COMPUTED_VALUE"""),"6644")</f>
        <v>6644</v>
      </c>
      <c r="D3548" s="6" t="str">
        <f>IFERROR(__xludf.DUMMYFUNCTION("""COMPUTED_VALUE"""),"Iris")</f>
        <v>Iris</v>
      </c>
      <c r="E3548" s="6" t="str">
        <f>IFERROR(__xludf.DUMMYFUNCTION("""COMPUTED_VALUE"""),"")</f>
        <v/>
      </c>
      <c r="F3548" s="6" t="str">
        <f>IFERROR(__xludf.DUMMYFUNCTION("""COMPUTED_VALUE"""),"Wilson")</f>
        <v>Wilson</v>
      </c>
      <c r="G3548" s="6" t="str">
        <f>IFERROR(__xludf.DUMMYFUNCTION("""COMPUTED_VALUE"""),"12/22/2015")</f>
        <v>12/22/2015</v>
      </c>
      <c r="H3548" s="6" t="str">
        <f>IFERROR(__xludf.DUMMYFUNCTION("""COMPUTED_VALUE"""),"Self Identify")</f>
        <v>Self Identify</v>
      </c>
      <c r="I3548" s="6" t="str">
        <f>IFERROR(__xludf.DUMMYFUNCTION("""COMPUTED_VALUE"""),"Level 2")</f>
        <v>Level 2</v>
      </c>
      <c r="J3548" s="6" t="str">
        <f>IFERROR(__xludf.DUMMYFUNCTION("""COMPUTED_VALUE"""),"4")</f>
        <v>4</v>
      </c>
      <c r="K3548" s="6" t="str">
        <f>IFERROR(__xludf.DUMMYFUNCTION("""COMPUTED_VALUE"""),"iris_wilson@stu.ortrail.k12.or.us")</f>
        <v>iris_wilson@stu.ortrail.k12.or.us</v>
      </c>
      <c r="L3548" s="6" t="str">
        <f>IFERROR(__xludf.DUMMYFUNCTION("""COMPUTED_VALUE"""),"Oregon Trail School District 46")</f>
        <v>Oregon Trail School District 46</v>
      </c>
      <c r="M3548" s="6" t="str">
        <f>IFERROR(__xludf.DUMMYFUNCTION("""COMPUTED_VALUE"""),"Welches Elementary School")</f>
        <v>Welches Elementary School</v>
      </c>
      <c r="N3548" s="6" t="str">
        <f>IFERROR(__xludf.DUMMYFUNCTION("""COMPUTED_VALUE"""),"")</f>
        <v/>
      </c>
      <c r="O3548" s="87" t="str">
        <f>IFERROR(__xludf.DUMMYFUNCTION("""COMPUTED_VALUE"""),"https://drive.google.com/drive/folders/10T2cTQHqEJZqE-st6uFKPoI?usp=share_link")</f>
        <v>https://drive.google.com/drive/folders/10T2cTQHqEJZqE-st6uFKPoI?usp=share_link</v>
      </c>
      <c r="P3548" s="6" t="str">
        <f>IFERROR(__xludf.DUMMYFUNCTION("""COMPUTED_VALUE"""),"Iris Wilson")</f>
        <v>Iris Wilson</v>
      </c>
      <c r="Q3548" s="6" t="str">
        <f>IFERROR(__xludf.DUMMYFUNCTION("""COMPUTED_VALUE"""),"L2")</f>
        <v>L2</v>
      </c>
      <c r="R3548" s="6">
        <f>IFERROR(__xludf.DUMMYFUNCTION("""COMPUTED_VALUE"""),2.0)</f>
        <v>2</v>
      </c>
      <c r="S3548" s="6" t="str">
        <f>IFERROR(__xludf.DUMMYFUNCTION("""COMPUTED_VALUE"""),"Sharon Nobel")</f>
        <v>Sharon Nobel</v>
      </c>
      <c r="T3548" s="6" t="str">
        <f>IFERROR(__xludf.DUMMYFUNCTION("""COMPUTED_VALUE"""),"sharon.nobel@ortrail.k12.or.us")</f>
        <v>sharon.nobel@ortrail.k12.or.us</v>
      </c>
      <c r="U3548" s="6" t="str">
        <f>IFERROR(__xludf.DUMMYFUNCTION("""COMPUTED_VALUE"""),"4")</f>
        <v>4</v>
      </c>
      <c r="V3548" s="6" t="str">
        <f>IFERROR(__xludf.DUMMYFUNCTION("""COMPUTED_VALUE"""),"English")</f>
        <v>English</v>
      </c>
      <c r="W3548" s="6" t="str">
        <f>IFERROR(__xludf.DUMMYFUNCTION("""COMPUTED_VALUE"""),"[]")</f>
        <v>[]</v>
      </c>
      <c r="X3548" s="6" t="str">
        <f>IFERROR(__xludf.DUMMYFUNCTION("""COMPUTED_VALUE"""),"Enrolled")</f>
        <v>Enrolled</v>
      </c>
    </row>
    <row r="3549">
      <c r="A3549" s="6" t="str">
        <f>IFERROR(__xludf.DUMMYFUNCTION("""COMPUTED_VALUE"""),"064-6645")</f>
        <v>064-6645</v>
      </c>
      <c r="B3549" s="6" t="str">
        <f>IFERROR(__xludf.DUMMYFUNCTION("""COMPUTED_VALUE"""),"64")</f>
        <v>64</v>
      </c>
      <c r="C3549" s="6" t="str">
        <f>IFERROR(__xludf.DUMMYFUNCTION("""COMPUTED_VALUE"""),"6645")</f>
        <v>6645</v>
      </c>
      <c r="D3549" s="6" t="str">
        <f>IFERROR(__xludf.DUMMYFUNCTION("""COMPUTED_VALUE"""),"Ruby")</f>
        <v>Ruby</v>
      </c>
      <c r="E3549" s="6" t="str">
        <f>IFERROR(__xludf.DUMMYFUNCTION("""COMPUTED_VALUE"""),"")</f>
        <v/>
      </c>
      <c r="F3549" s="6" t="str">
        <f>IFERROR(__xludf.DUMMYFUNCTION("""COMPUTED_VALUE"""),"Johnson")</f>
        <v>Johnson</v>
      </c>
      <c r="G3549" s="6" t="str">
        <f>IFERROR(__xludf.DUMMYFUNCTION("""COMPUTED_VALUE"""),"04/06/2016")</f>
        <v>04/06/2016</v>
      </c>
      <c r="H3549" s="6" t="str">
        <f>IFERROR(__xludf.DUMMYFUNCTION("""COMPUTED_VALUE"""),"Self Identify")</f>
        <v>Self Identify</v>
      </c>
      <c r="I3549" s="6" t="str">
        <f>IFERROR(__xludf.DUMMYFUNCTION("""COMPUTED_VALUE"""),"Level 2")</f>
        <v>Level 2</v>
      </c>
      <c r="J3549" s="6" t="str">
        <f>IFERROR(__xludf.DUMMYFUNCTION("""COMPUTED_VALUE"""),"4")</f>
        <v>4</v>
      </c>
      <c r="K3549" s="6" t="str">
        <f>IFERROR(__xludf.DUMMYFUNCTION("""COMPUTED_VALUE"""),"ruby_johnson@stu.ortrail.k12.or.us")</f>
        <v>ruby_johnson@stu.ortrail.k12.or.us</v>
      </c>
      <c r="L3549" s="6" t="str">
        <f>IFERROR(__xludf.DUMMYFUNCTION("""COMPUTED_VALUE"""),"Oregon Trail School District 46")</f>
        <v>Oregon Trail School District 46</v>
      </c>
      <c r="M3549" s="6" t="str">
        <f>IFERROR(__xludf.DUMMYFUNCTION("""COMPUTED_VALUE"""),"Welches Elementary School")</f>
        <v>Welches Elementary School</v>
      </c>
      <c r="N3549" s="6" t="str">
        <f>IFERROR(__xludf.DUMMYFUNCTION("""COMPUTED_VALUE"""),"")</f>
        <v/>
      </c>
      <c r="O3549" s="87" t="str">
        <f>IFERROR(__xludf.DUMMYFUNCTION("""COMPUTED_VALUE"""),"https://drive.google.com/drive/folders/10T2cTQHqEJZqE-st6uFKPoI?usp=share_link")</f>
        <v>https://drive.google.com/drive/folders/10T2cTQHqEJZqE-st6uFKPoI?usp=share_link</v>
      </c>
      <c r="P3549" s="6" t="str">
        <f>IFERROR(__xludf.DUMMYFUNCTION("""COMPUTED_VALUE"""),"Ruby Johnson")</f>
        <v>Ruby Johnson</v>
      </c>
      <c r="Q3549" s="6" t="str">
        <f>IFERROR(__xludf.DUMMYFUNCTION("""COMPUTED_VALUE"""),"L2")</f>
        <v>L2</v>
      </c>
      <c r="R3549" s="6">
        <f>IFERROR(__xludf.DUMMYFUNCTION("""COMPUTED_VALUE"""),2.0)</f>
        <v>2</v>
      </c>
      <c r="S3549" s="6" t="str">
        <f>IFERROR(__xludf.DUMMYFUNCTION("""COMPUTED_VALUE"""),"Sharon Nobel")</f>
        <v>Sharon Nobel</v>
      </c>
      <c r="T3549" s="6" t="str">
        <f>IFERROR(__xludf.DUMMYFUNCTION("""COMPUTED_VALUE"""),"sharon.nobel@ortrail.k12.or.us")</f>
        <v>sharon.nobel@ortrail.k12.or.us</v>
      </c>
      <c r="U3549" s="6" t="str">
        <f>IFERROR(__xludf.DUMMYFUNCTION("""COMPUTED_VALUE"""),"4")</f>
        <v>4</v>
      </c>
      <c r="V3549" s="6" t="str">
        <f>IFERROR(__xludf.DUMMYFUNCTION("""COMPUTED_VALUE"""),"English")</f>
        <v>English</v>
      </c>
      <c r="W3549" s="6" t="str">
        <f>IFERROR(__xludf.DUMMYFUNCTION("""COMPUTED_VALUE"""),"[]")</f>
        <v>[]</v>
      </c>
      <c r="X3549" s="6" t="str">
        <f>IFERROR(__xludf.DUMMYFUNCTION("""COMPUTED_VALUE"""),"Enrolled")</f>
        <v>Enrolled</v>
      </c>
    </row>
    <row r="3550">
      <c r="A3550" s="6" t="str">
        <f>IFERROR(__xludf.DUMMYFUNCTION("""COMPUTED_VALUE"""),"064-6646")</f>
        <v>064-6646</v>
      </c>
      <c r="B3550" s="6" t="str">
        <f>IFERROR(__xludf.DUMMYFUNCTION("""COMPUTED_VALUE"""),"64")</f>
        <v>64</v>
      </c>
      <c r="C3550" s="6" t="str">
        <f>IFERROR(__xludf.DUMMYFUNCTION("""COMPUTED_VALUE"""),"6646")</f>
        <v>6646</v>
      </c>
      <c r="D3550" s="6" t="str">
        <f>IFERROR(__xludf.DUMMYFUNCTION("""COMPUTED_VALUE"""),"Aurora")</f>
        <v>Aurora</v>
      </c>
      <c r="E3550" s="6" t="str">
        <f>IFERROR(__xludf.DUMMYFUNCTION("""COMPUTED_VALUE"""),"")</f>
        <v/>
      </c>
      <c r="F3550" s="6" t="str">
        <f>IFERROR(__xludf.DUMMYFUNCTION("""COMPUTED_VALUE"""),"Hayes")</f>
        <v>Hayes</v>
      </c>
      <c r="G3550" s="6" t="str">
        <f>IFERROR(__xludf.DUMMYFUNCTION("""COMPUTED_VALUE"""),"08/11/2016")</f>
        <v>08/11/2016</v>
      </c>
      <c r="H3550" s="6" t="str">
        <f>IFERROR(__xludf.DUMMYFUNCTION("""COMPUTED_VALUE"""),"Self Identify")</f>
        <v>Self Identify</v>
      </c>
      <c r="I3550" s="6" t="str">
        <f>IFERROR(__xludf.DUMMYFUNCTION("""COMPUTED_VALUE"""),"Level 2")</f>
        <v>Level 2</v>
      </c>
      <c r="J3550" s="6" t="str">
        <f>IFERROR(__xludf.DUMMYFUNCTION("""COMPUTED_VALUE"""),"4")</f>
        <v>4</v>
      </c>
      <c r="K3550" s="6" t="str">
        <f>IFERROR(__xludf.DUMMYFUNCTION("""COMPUTED_VALUE"""),"aurora_hayes@stu.ortrail.k12.or.us")</f>
        <v>aurora_hayes@stu.ortrail.k12.or.us</v>
      </c>
      <c r="L3550" s="6" t="str">
        <f>IFERROR(__xludf.DUMMYFUNCTION("""COMPUTED_VALUE"""),"Oregon Trail School District 46")</f>
        <v>Oregon Trail School District 46</v>
      </c>
      <c r="M3550" s="6" t="str">
        <f>IFERROR(__xludf.DUMMYFUNCTION("""COMPUTED_VALUE"""),"Welches Elementary School")</f>
        <v>Welches Elementary School</v>
      </c>
      <c r="N3550" s="6" t="str">
        <f>IFERROR(__xludf.DUMMYFUNCTION("""COMPUTED_VALUE"""),"")</f>
        <v/>
      </c>
      <c r="O3550" s="87" t="str">
        <f>IFERROR(__xludf.DUMMYFUNCTION("""COMPUTED_VALUE"""),"https://drive.google.com/drive/folders/10T2cTQHqEJZqE-st6uFKPoI?usp=share_link")</f>
        <v>https://drive.google.com/drive/folders/10T2cTQHqEJZqE-st6uFKPoI?usp=share_link</v>
      </c>
      <c r="P3550" s="6" t="str">
        <f>IFERROR(__xludf.DUMMYFUNCTION("""COMPUTED_VALUE"""),"Aurora Hayes")</f>
        <v>Aurora Hayes</v>
      </c>
      <c r="Q3550" s="6" t="str">
        <f>IFERROR(__xludf.DUMMYFUNCTION("""COMPUTED_VALUE"""),"L2")</f>
        <v>L2</v>
      </c>
      <c r="R3550" s="6">
        <f>IFERROR(__xludf.DUMMYFUNCTION("""COMPUTED_VALUE"""),2.0)</f>
        <v>2</v>
      </c>
      <c r="S3550" s="6" t="str">
        <f>IFERROR(__xludf.DUMMYFUNCTION("""COMPUTED_VALUE"""),"Sharon Nobel")</f>
        <v>Sharon Nobel</v>
      </c>
      <c r="T3550" s="6" t="str">
        <f>IFERROR(__xludf.DUMMYFUNCTION("""COMPUTED_VALUE"""),"sharon.nobel@ortrail.k12.or.us")</f>
        <v>sharon.nobel@ortrail.k12.or.us</v>
      </c>
      <c r="U3550" s="6" t="str">
        <f>IFERROR(__xludf.DUMMYFUNCTION("""COMPUTED_VALUE"""),"4")</f>
        <v>4</v>
      </c>
      <c r="V3550" s="6" t="str">
        <f>IFERROR(__xludf.DUMMYFUNCTION("""COMPUTED_VALUE"""),"English")</f>
        <v>English</v>
      </c>
      <c r="W3550" s="6" t="str">
        <f>IFERROR(__xludf.DUMMYFUNCTION("""COMPUTED_VALUE"""),"[]")</f>
        <v>[]</v>
      </c>
      <c r="X3550" s="6" t="str">
        <f>IFERROR(__xludf.DUMMYFUNCTION("""COMPUTED_VALUE"""),"Enrolled")</f>
        <v>Enrolled</v>
      </c>
    </row>
    <row r="3551">
      <c r="A3551" s="6" t="str">
        <f>IFERROR(__xludf.DUMMYFUNCTION("""COMPUTED_VALUE"""),"064-6647")</f>
        <v>064-6647</v>
      </c>
      <c r="B3551" s="6" t="str">
        <f>IFERROR(__xludf.DUMMYFUNCTION("""COMPUTED_VALUE"""),"64")</f>
        <v>64</v>
      </c>
      <c r="C3551" s="6" t="str">
        <f>IFERROR(__xludf.DUMMYFUNCTION("""COMPUTED_VALUE"""),"6647")</f>
        <v>6647</v>
      </c>
      <c r="D3551" s="6" t="str">
        <f>IFERROR(__xludf.DUMMYFUNCTION("""COMPUTED_VALUE"""),"Arby")</f>
        <v>Arby</v>
      </c>
      <c r="E3551" s="6" t="str">
        <f>IFERROR(__xludf.DUMMYFUNCTION("""COMPUTED_VALUE"""),"")</f>
        <v/>
      </c>
      <c r="F3551" s="6" t="str">
        <f>IFERROR(__xludf.DUMMYFUNCTION("""COMPUTED_VALUE"""),"Lamance")</f>
        <v>Lamance</v>
      </c>
      <c r="G3551" s="6" t="str">
        <f>IFERROR(__xludf.DUMMYFUNCTION("""COMPUTED_VALUE"""),"03/10/2015")</f>
        <v>03/10/2015</v>
      </c>
      <c r="H3551" s="6" t="str">
        <f>IFERROR(__xludf.DUMMYFUNCTION("""COMPUTED_VALUE"""),"Self Identify")</f>
        <v>Self Identify</v>
      </c>
      <c r="I3551" s="6" t="str">
        <f>IFERROR(__xludf.DUMMYFUNCTION("""COMPUTED_VALUE"""),"Level 2")</f>
        <v>Level 2</v>
      </c>
      <c r="J3551" s="6" t="str">
        <f>IFERROR(__xludf.DUMMYFUNCTION("""COMPUTED_VALUE"""),"5")</f>
        <v>5</v>
      </c>
      <c r="K3551" s="6" t="str">
        <f>IFERROR(__xludf.DUMMYFUNCTION("""COMPUTED_VALUE"""),"arby_lamance@stu.ortrail.k12.or.us")</f>
        <v>arby_lamance@stu.ortrail.k12.or.us</v>
      </c>
      <c r="L3551" s="6" t="str">
        <f>IFERROR(__xludf.DUMMYFUNCTION("""COMPUTED_VALUE"""),"Oregon Trail School District 46")</f>
        <v>Oregon Trail School District 46</v>
      </c>
      <c r="M3551" s="6" t="str">
        <f>IFERROR(__xludf.DUMMYFUNCTION("""COMPUTED_VALUE"""),"Welches Elementary School")</f>
        <v>Welches Elementary School</v>
      </c>
      <c r="N3551" s="6" t="str">
        <f>IFERROR(__xludf.DUMMYFUNCTION("""COMPUTED_VALUE"""),"")</f>
        <v/>
      </c>
      <c r="O3551" s="87" t="str">
        <f>IFERROR(__xludf.DUMMYFUNCTION("""COMPUTED_VALUE"""),"https://drive.google.com/drive/folders/10T2cTQHqEJZqE-st6uFKPoI?usp=share_link")</f>
        <v>https://drive.google.com/drive/folders/10T2cTQHqEJZqE-st6uFKPoI?usp=share_link</v>
      </c>
      <c r="P3551" s="6" t="str">
        <f>IFERROR(__xludf.DUMMYFUNCTION("""COMPUTED_VALUE"""),"Arby Lamance")</f>
        <v>Arby Lamance</v>
      </c>
      <c r="Q3551" s="6" t="str">
        <f>IFERROR(__xludf.DUMMYFUNCTION("""COMPUTED_VALUE"""),"L2")</f>
        <v>L2</v>
      </c>
      <c r="R3551" s="6">
        <f>IFERROR(__xludf.DUMMYFUNCTION("""COMPUTED_VALUE"""),2.0)</f>
        <v>2</v>
      </c>
      <c r="S3551" s="6" t="str">
        <f>IFERROR(__xludf.DUMMYFUNCTION("""COMPUTED_VALUE"""),"Sara King")</f>
        <v>Sara King</v>
      </c>
      <c r="T3551" s="6" t="str">
        <f>IFERROR(__xludf.DUMMYFUNCTION("""COMPUTED_VALUE"""),"sara.king@ortrail.k12.or.us")</f>
        <v>sara.king@ortrail.k12.or.us</v>
      </c>
      <c r="U3551" s="6" t="str">
        <f>IFERROR(__xludf.DUMMYFUNCTION("""COMPUTED_VALUE"""),"5")</f>
        <v>5</v>
      </c>
      <c r="V3551" s="6" t="str">
        <f>IFERROR(__xludf.DUMMYFUNCTION("""COMPUTED_VALUE"""),"English")</f>
        <v>English</v>
      </c>
      <c r="W3551" s="6" t="str">
        <f>IFERROR(__xludf.DUMMYFUNCTION("""COMPUTED_VALUE"""),"[]")</f>
        <v>[]</v>
      </c>
      <c r="X3551" s="6" t="str">
        <f>IFERROR(__xludf.DUMMYFUNCTION("""COMPUTED_VALUE"""),"Enrolled")</f>
        <v>Enrolled</v>
      </c>
    </row>
    <row r="3552">
      <c r="A3552" s="6" t="str">
        <f>IFERROR(__xludf.DUMMYFUNCTION("""COMPUTED_VALUE"""),"064-6648")</f>
        <v>064-6648</v>
      </c>
      <c r="B3552" s="6" t="str">
        <f>IFERROR(__xludf.DUMMYFUNCTION("""COMPUTED_VALUE"""),"64")</f>
        <v>64</v>
      </c>
      <c r="C3552" s="6" t="str">
        <f>IFERROR(__xludf.DUMMYFUNCTION("""COMPUTED_VALUE"""),"6648")</f>
        <v>6648</v>
      </c>
      <c r="D3552" s="6" t="str">
        <f>IFERROR(__xludf.DUMMYFUNCTION("""COMPUTED_VALUE"""),"Greg")</f>
        <v>Greg</v>
      </c>
      <c r="E3552" s="6" t="str">
        <f>IFERROR(__xludf.DUMMYFUNCTION("""COMPUTED_VALUE"""),"")</f>
        <v/>
      </c>
      <c r="F3552" s="6" t="str">
        <f>IFERROR(__xludf.DUMMYFUNCTION("""COMPUTED_VALUE"""),"Burke")</f>
        <v>Burke</v>
      </c>
      <c r="G3552" s="6" t="str">
        <f>IFERROR(__xludf.DUMMYFUNCTION("""COMPUTED_VALUE"""),"04/23/2014")</f>
        <v>04/23/2014</v>
      </c>
      <c r="H3552" s="6" t="str">
        <f>IFERROR(__xludf.DUMMYFUNCTION("""COMPUTED_VALUE"""),"Self Identify")</f>
        <v>Self Identify</v>
      </c>
      <c r="I3552" s="6" t="str">
        <f>IFERROR(__xludf.DUMMYFUNCTION("""COMPUTED_VALUE"""),"Level 2")</f>
        <v>Level 2</v>
      </c>
      <c r="J3552" s="6" t="str">
        <f>IFERROR(__xludf.DUMMYFUNCTION("""COMPUTED_VALUE"""),"5")</f>
        <v>5</v>
      </c>
      <c r="K3552" s="6" t="str">
        <f>IFERROR(__xludf.DUMMYFUNCTION("""COMPUTED_VALUE"""),"greg_burke@stu.ortrail.k12.or.us")</f>
        <v>greg_burke@stu.ortrail.k12.or.us</v>
      </c>
      <c r="L3552" s="6" t="str">
        <f>IFERROR(__xludf.DUMMYFUNCTION("""COMPUTED_VALUE"""),"Oregon Trail School District 46")</f>
        <v>Oregon Trail School District 46</v>
      </c>
      <c r="M3552" s="6" t="str">
        <f>IFERROR(__xludf.DUMMYFUNCTION("""COMPUTED_VALUE"""),"Welches Elementary School")</f>
        <v>Welches Elementary School</v>
      </c>
      <c r="N3552" s="6" t="str">
        <f>IFERROR(__xludf.DUMMYFUNCTION("""COMPUTED_VALUE"""),"")</f>
        <v/>
      </c>
      <c r="O3552" s="87" t="str">
        <f>IFERROR(__xludf.DUMMYFUNCTION("""COMPUTED_VALUE"""),"https://drive.google.com/drive/folders/10T2cTQHqEJZqE-st6uFKPoI?usp=share_link")</f>
        <v>https://drive.google.com/drive/folders/10T2cTQHqEJZqE-st6uFKPoI?usp=share_link</v>
      </c>
      <c r="P3552" s="6" t="str">
        <f>IFERROR(__xludf.DUMMYFUNCTION("""COMPUTED_VALUE"""),"Greg Burke")</f>
        <v>Greg Burke</v>
      </c>
      <c r="Q3552" s="6" t="str">
        <f>IFERROR(__xludf.DUMMYFUNCTION("""COMPUTED_VALUE"""),"L2")</f>
        <v>L2</v>
      </c>
      <c r="R3552" s="6">
        <f>IFERROR(__xludf.DUMMYFUNCTION("""COMPUTED_VALUE"""),2.0)</f>
        <v>2</v>
      </c>
      <c r="S3552" s="6" t="str">
        <f>IFERROR(__xludf.DUMMYFUNCTION("""COMPUTED_VALUE"""),"Kalee Robertson")</f>
        <v>Kalee Robertson</v>
      </c>
      <c r="T3552" s="6" t="str">
        <f>IFERROR(__xludf.DUMMYFUNCTION("""COMPUTED_VALUE"""),"kalee.robertson@ortrail.k12.or.us")</f>
        <v>kalee.robertson@ortrail.k12.or.us</v>
      </c>
      <c r="U3552" s="6" t="str">
        <f>IFERROR(__xludf.DUMMYFUNCTION("""COMPUTED_VALUE"""),"5")</f>
        <v>5</v>
      </c>
      <c r="V3552" s="6" t="str">
        <f>IFERROR(__xludf.DUMMYFUNCTION("""COMPUTED_VALUE"""),"English")</f>
        <v>English</v>
      </c>
      <c r="W3552" s="6" t="str">
        <f>IFERROR(__xludf.DUMMYFUNCTION("""COMPUTED_VALUE"""),"[]")</f>
        <v>[]</v>
      </c>
      <c r="X3552" s="6" t="str">
        <f>IFERROR(__xludf.DUMMYFUNCTION("""COMPUTED_VALUE"""),"Enrolled")</f>
        <v>Enrolled</v>
      </c>
    </row>
    <row r="3553">
      <c r="A3553" s="6" t="str">
        <f>IFERROR(__xludf.DUMMYFUNCTION("""COMPUTED_VALUE"""),"064-6649")</f>
        <v>064-6649</v>
      </c>
      <c r="B3553" s="6" t="str">
        <f>IFERROR(__xludf.DUMMYFUNCTION("""COMPUTED_VALUE"""),"64")</f>
        <v>64</v>
      </c>
      <c r="C3553" s="6" t="str">
        <f>IFERROR(__xludf.DUMMYFUNCTION("""COMPUTED_VALUE"""),"6649")</f>
        <v>6649</v>
      </c>
      <c r="D3553" s="6" t="str">
        <f>IFERROR(__xludf.DUMMYFUNCTION("""COMPUTED_VALUE"""),"Michael")</f>
        <v>Michael</v>
      </c>
      <c r="E3553" s="6" t="str">
        <f>IFERROR(__xludf.DUMMYFUNCTION("""COMPUTED_VALUE"""),"")</f>
        <v/>
      </c>
      <c r="F3553" s="6" t="str">
        <f>IFERROR(__xludf.DUMMYFUNCTION("""COMPUTED_VALUE"""),"Martinez-Olmos")</f>
        <v>Martinez-Olmos</v>
      </c>
      <c r="G3553" s="6" t="str">
        <f>IFERROR(__xludf.DUMMYFUNCTION("""COMPUTED_VALUE"""),"08/14/2015")</f>
        <v>08/14/2015</v>
      </c>
      <c r="H3553" s="6" t="str">
        <f>IFERROR(__xludf.DUMMYFUNCTION("""COMPUTED_VALUE"""),"Self Identify")</f>
        <v>Self Identify</v>
      </c>
      <c r="I3553" s="6" t="str">
        <f>IFERROR(__xludf.DUMMYFUNCTION("""COMPUTED_VALUE"""),"Level 2")</f>
        <v>Level 2</v>
      </c>
      <c r="J3553" s="6" t="str">
        <f>IFERROR(__xludf.DUMMYFUNCTION("""COMPUTED_VALUE"""),"5")</f>
        <v>5</v>
      </c>
      <c r="K3553" s="6" t="str">
        <f>IFERROR(__xludf.DUMMYFUNCTION("""COMPUTED_VALUE"""),"michael_martinezolmo@stu.ortrail.k12.or.us")</f>
        <v>michael_martinezolmo@stu.ortrail.k12.or.us</v>
      </c>
      <c r="L3553" s="6" t="str">
        <f>IFERROR(__xludf.DUMMYFUNCTION("""COMPUTED_VALUE"""),"Oregon Trail School District 46")</f>
        <v>Oregon Trail School District 46</v>
      </c>
      <c r="M3553" s="6" t="str">
        <f>IFERROR(__xludf.DUMMYFUNCTION("""COMPUTED_VALUE"""),"Welches Elementary School")</f>
        <v>Welches Elementary School</v>
      </c>
      <c r="N3553" s="6" t="str">
        <f>IFERROR(__xludf.DUMMYFUNCTION("""COMPUTED_VALUE"""),"")</f>
        <v/>
      </c>
      <c r="O3553" s="87" t="str">
        <f>IFERROR(__xludf.DUMMYFUNCTION("""COMPUTED_VALUE"""),"https://drive.google.com/drive/folders/10T2cTQHqEJZqE-st6uFKPoI?usp=share_link")</f>
        <v>https://drive.google.com/drive/folders/10T2cTQHqEJZqE-st6uFKPoI?usp=share_link</v>
      </c>
      <c r="P3553" s="6" t="str">
        <f>IFERROR(__xludf.DUMMYFUNCTION("""COMPUTED_VALUE"""),"Michael Martinez-Olmos")</f>
        <v>Michael Martinez-Olmos</v>
      </c>
      <c r="Q3553" s="6" t="str">
        <f>IFERROR(__xludf.DUMMYFUNCTION("""COMPUTED_VALUE"""),"L2")</f>
        <v>L2</v>
      </c>
      <c r="R3553" s="6">
        <f>IFERROR(__xludf.DUMMYFUNCTION("""COMPUTED_VALUE"""),2.0)</f>
        <v>2</v>
      </c>
      <c r="S3553" s="6" t="str">
        <f>IFERROR(__xludf.DUMMYFUNCTION("""COMPUTED_VALUE"""),"Sara King")</f>
        <v>Sara King</v>
      </c>
      <c r="T3553" s="6" t="str">
        <f>IFERROR(__xludf.DUMMYFUNCTION("""COMPUTED_VALUE"""),"sara.king@ortrail.k12.or.us")</f>
        <v>sara.king@ortrail.k12.or.us</v>
      </c>
      <c r="U3553" s="6" t="str">
        <f>IFERROR(__xludf.DUMMYFUNCTION("""COMPUTED_VALUE"""),"5")</f>
        <v>5</v>
      </c>
      <c r="V3553" s="6" t="str">
        <f>IFERROR(__xludf.DUMMYFUNCTION("""COMPUTED_VALUE"""),"English")</f>
        <v>English</v>
      </c>
      <c r="W3553" s="6" t="str">
        <f>IFERROR(__xludf.DUMMYFUNCTION("""COMPUTED_VALUE"""),"[]")</f>
        <v>[]</v>
      </c>
      <c r="X3553" s="6" t="str">
        <f>IFERROR(__xludf.DUMMYFUNCTION("""COMPUTED_VALUE"""),"Enrolled")</f>
        <v>Enrolled</v>
      </c>
    </row>
    <row r="3554">
      <c r="A3554" s="6" t="str">
        <f>IFERROR(__xludf.DUMMYFUNCTION("""COMPUTED_VALUE"""),"064-6650")</f>
        <v>064-6650</v>
      </c>
      <c r="B3554" s="6" t="str">
        <f>IFERROR(__xludf.DUMMYFUNCTION("""COMPUTED_VALUE"""),"64")</f>
        <v>64</v>
      </c>
      <c r="C3554" s="6" t="str">
        <f>IFERROR(__xludf.DUMMYFUNCTION("""COMPUTED_VALUE"""),"6650")</f>
        <v>6650</v>
      </c>
      <c r="D3554" s="6" t="str">
        <f>IFERROR(__xludf.DUMMYFUNCTION("""COMPUTED_VALUE"""),"Shade")</f>
        <v>Shade</v>
      </c>
      <c r="E3554" s="6" t="str">
        <f>IFERROR(__xludf.DUMMYFUNCTION("""COMPUTED_VALUE"""),"")</f>
        <v/>
      </c>
      <c r="F3554" s="6" t="str">
        <f>IFERROR(__xludf.DUMMYFUNCTION("""COMPUTED_VALUE"""),"Snail")</f>
        <v>Snail</v>
      </c>
      <c r="G3554" s="6" t="str">
        <f>IFERROR(__xludf.DUMMYFUNCTION("""COMPUTED_VALUE"""),"08/13/2015")</f>
        <v>08/13/2015</v>
      </c>
      <c r="H3554" s="6" t="str">
        <f>IFERROR(__xludf.DUMMYFUNCTION("""COMPUTED_VALUE"""),"Self Identify")</f>
        <v>Self Identify</v>
      </c>
      <c r="I3554" s="6" t="str">
        <f>IFERROR(__xludf.DUMMYFUNCTION("""COMPUTED_VALUE"""),"Level 2")</f>
        <v>Level 2</v>
      </c>
      <c r="J3554" s="6" t="str">
        <f>IFERROR(__xludf.DUMMYFUNCTION("""COMPUTED_VALUE"""),"5")</f>
        <v>5</v>
      </c>
      <c r="K3554" s="6" t="str">
        <f>IFERROR(__xludf.DUMMYFUNCTION("""COMPUTED_VALUE"""),"shade_snail@stu.ortrail.k12.or.us")</f>
        <v>shade_snail@stu.ortrail.k12.or.us</v>
      </c>
      <c r="L3554" s="6" t="str">
        <f>IFERROR(__xludf.DUMMYFUNCTION("""COMPUTED_VALUE"""),"Oregon Trail School District 46")</f>
        <v>Oregon Trail School District 46</v>
      </c>
      <c r="M3554" s="6" t="str">
        <f>IFERROR(__xludf.DUMMYFUNCTION("""COMPUTED_VALUE"""),"Welches Elementary School")</f>
        <v>Welches Elementary School</v>
      </c>
      <c r="N3554" s="6" t="str">
        <f>IFERROR(__xludf.DUMMYFUNCTION("""COMPUTED_VALUE"""),"")</f>
        <v/>
      </c>
      <c r="O3554" s="87" t="str">
        <f>IFERROR(__xludf.DUMMYFUNCTION("""COMPUTED_VALUE"""),"https://drive.google.com/drive/folders/10T2cTQHqEJZqE-st6uFKPoI?usp=share_link")</f>
        <v>https://drive.google.com/drive/folders/10T2cTQHqEJZqE-st6uFKPoI?usp=share_link</v>
      </c>
      <c r="P3554" s="6" t="str">
        <f>IFERROR(__xludf.DUMMYFUNCTION("""COMPUTED_VALUE"""),"Shade Snail")</f>
        <v>Shade Snail</v>
      </c>
      <c r="Q3554" s="6" t="str">
        <f>IFERROR(__xludf.DUMMYFUNCTION("""COMPUTED_VALUE"""),"L2")</f>
        <v>L2</v>
      </c>
      <c r="R3554" s="6">
        <f>IFERROR(__xludf.DUMMYFUNCTION("""COMPUTED_VALUE"""),2.0)</f>
        <v>2</v>
      </c>
      <c r="S3554" s="6" t="str">
        <f>IFERROR(__xludf.DUMMYFUNCTION("""COMPUTED_VALUE"""),"Kalee Robertson")</f>
        <v>Kalee Robertson</v>
      </c>
      <c r="T3554" s="6" t="str">
        <f>IFERROR(__xludf.DUMMYFUNCTION("""COMPUTED_VALUE"""),"kalee.robertson@ortrail.k12.or.us")</f>
        <v>kalee.robertson@ortrail.k12.or.us</v>
      </c>
      <c r="U3554" s="6" t="str">
        <f>IFERROR(__xludf.DUMMYFUNCTION("""COMPUTED_VALUE"""),"5")</f>
        <v>5</v>
      </c>
      <c r="V3554" s="6" t="str">
        <f>IFERROR(__xludf.DUMMYFUNCTION("""COMPUTED_VALUE"""),"English")</f>
        <v>English</v>
      </c>
      <c r="W3554" s="6" t="str">
        <f>IFERROR(__xludf.DUMMYFUNCTION("""COMPUTED_VALUE"""),"[]")</f>
        <v>[]</v>
      </c>
      <c r="X3554" s="6" t="str">
        <f>IFERROR(__xludf.DUMMYFUNCTION("""COMPUTED_VALUE"""),"Enrolled")</f>
        <v>Enrolled</v>
      </c>
    </row>
    <row r="3555">
      <c r="A3555" s="6" t="str">
        <f>IFERROR(__xludf.DUMMYFUNCTION("""COMPUTED_VALUE"""),"064-6651")</f>
        <v>064-6651</v>
      </c>
      <c r="B3555" s="6" t="str">
        <f>IFERROR(__xludf.DUMMYFUNCTION("""COMPUTED_VALUE"""),"64")</f>
        <v>64</v>
      </c>
      <c r="C3555" s="6" t="str">
        <f>IFERROR(__xludf.DUMMYFUNCTION("""COMPUTED_VALUE"""),"6651")</f>
        <v>6651</v>
      </c>
      <c r="D3555" s="6" t="str">
        <f>IFERROR(__xludf.DUMMYFUNCTION("""COMPUTED_VALUE"""),"Xavier")</f>
        <v>Xavier</v>
      </c>
      <c r="E3555" s="6" t="str">
        <f>IFERROR(__xludf.DUMMYFUNCTION("""COMPUTED_VALUE"""),"")</f>
        <v/>
      </c>
      <c r="F3555" s="6" t="str">
        <f>IFERROR(__xludf.DUMMYFUNCTION("""COMPUTED_VALUE"""),"Rosoury")</f>
        <v>Rosoury</v>
      </c>
      <c r="G3555" s="6" t="str">
        <f>IFERROR(__xludf.DUMMYFUNCTION("""COMPUTED_VALUE"""),"04/28/2015")</f>
        <v>04/28/2015</v>
      </c>
      <c r="H3555" s="6" t="str">
        <f>IFERROR(__xludf.DUMMYFUNCTION("""COMPUTED_VALUE"""),"Self Identify")</f>
        <v>Self Identify</v>
      </c>
      <c r="I3555" s="6" t="str">
        <f>IFERROR(__xludf.DUMMYFUNCTION("""COMPUTED_VALUE"""),"Level 2")</f>
        <v>Level 2</v>
      </c>
      <c r="J3555" s="6" t="str">
        <f>IFERROR(__xludf.DUMMYFUNCTION("""COMPUTED_VALUE"""),"5")</f>
        <v>5</v>
      </c>
      <c r="K3555" s="6" t="str">
        <f>IFERROR(__xludf.DUMMYFUNCTION("""COMPUTED_VALUE"""),"xavier_rosoury@stu.ortrail.k12.or.us")</f>
        <v>xavier_rosoury@stu.ortrail.k12.or.us</v>
      </c>
      <c r="L3555" s="6" t="str">
        <f>IFERROR(__xludf.DUMMYFUNCTION("""COMPUTED_VALUE"""),"Oregon Trail School District 46")</f>
        <v>Oregon Trail School District 46</v>
      </c>
      <c r="M3555" s="6" t="str">
        <f>IFERROR(__xludf.DUMMYFUNCTION("""COMPUTED_VALUE"""),"Welches Elementary School")</f>
        <v>Welches Elementary School</v>
      </c>
      <c r="N3555" s="6" t="str">
        <f>IFERROR(__xludf.DUMMYFUNCTION("""COMPUTED_VALUE"""),"")</f>
        <v/>
      </c>
      <c r="O3555" s="87" t="str">
        <f>IFERROR(__xludf.DUMMYFUNCTION("""COMPUTED_VALUE"""),"https://drive.google.com/drive/folders/10T2cTQHqEJZqE-st6uFKPoI?usp=share_link")</f>
        <v>https://drive.google.com/drive/folders/10T2cTQHqEJZqE-st6uFKPoI?usp=share_link</v>
      </c>
      <c r="P3555" s="6" t="str">
        <f>IFERROR(__xludf.DUMMYFUNCTION("""COMPUTED_VALUE"""),"Xavier Rosoury")</f>
        <v>Xavier Rosoury</v>
      </c>
      <c r="Q3555" s="6" t="str">
        <f>IFERROR(__xludf.DUMMYFUNCTION("""COMPUTED_VALUE"""),"L2")</f>
        <v>L2</v>
      </c>
      <c r="R3555" s="6">
        <f>IFERROR(__xludf.DUMMYFUNCTION("""COMPUTED_VALUE"""),2.0)</f>
        <v>2</v>
      </c>
      <c r="S3555" s="6" t="str">
        <f>IFERROR(__xludf.DUMMYFUNCTION("""COMPUTED_VALUE"""),"Kalee Robertson")</f>
        <v>Kalee Robertson</v>
      </c>
      <c r="T3555" s="6" t="str">
        <f>IFERROR(__xludf.DUMMYFUNCTION("""COMPUTED_VALUE"""),"kalee.robertson@ortrail.k12.or.us")</f>
        <v>kalee.robertson@ortrail.k12.or.us</v>
      </c>
      <c r="U3555" s="6" t="str">
        <f>IFERROR(__xludf.DUMMYFUNCTION("""COMPUTED_VALUE"""),"5")</f>
        <v>5</v>
      </c>
      <c r="V3555" s="6" t="str">
        <f>IFERROR(__xludf.DUMMYFUNCTION("""COMPUTED_VALUE"""),"English")</f>
        <v>English</v>
      </c>
      <c r="W3555" s="6" t="str">
        <f>IFERROR(__xludf.DUMMYFUNCTION("""COMPUTED_VALUE"""),"[]")</f>
        <v>[]</v>
      </c>
      <c r="X3555" s="6" t="str">
        <f>IFERROR(__xludf.DUMMYFUNCTION("""COMPUTED_VALUE"""),"Enrolled")</f>
        <v>Enrolled</v>
      </c>
    </row>
    <row r="3556">
      <c r="A3556" s="6" t="str">
        <f>IFERROR(__xludf.DUMMYFUNCTION("""COMPUTED_VALUE"""),"064-6652")</f>
        <v>064-6652</v>
      </c>
      <c r="B3556" s="6" t="str">
        <f>IFERROR(__xludf.DUMMYFUNCTION("""COMPUTED_VALUE"""),"64")</f>
        <v>64</v>
      </c>
      <c r="C3556" s="6" t="str">
        <f>IFERROR(__xludf.DUMMYFUNCTION("""COMPUTED_VALUE"""),"6652")</f>
        <v>6652</v>
      </c>
      <c r="D3556" s="6" t="str">
        <f>IFERROR(__xludf.DUMMYFUNCTION("""COMPUTED_VALUE"""),"Landon")</f>
        <v>Landon</v>
      </c>
      <c r="E3556" s="6" t="str">
        <f>IFERROR(__xludf.DUMMYFUNCTION("""COMPUTED_VALUE"""),"")</f>
        <v/>
      </c>
      <c r="F3556" s="6" t="str">
        <f>IFERROR(__xludf.DUMMYFUNCTION("""COMPUTED_VALUE"""),"Ray")</f>
        <v>Ray</v>
      </c>
      <c r="G3556" s="6" t="str">
        <f>IFERROR(__xludf.DUMMYFUNCTION("""COMPUTED_VALUE"""),"03/25/2015")</f>
        <v>03/25/2015</v>
      </c>
      <c r="H3556" s="6" t="str">
        <f>IFERROR(__xludf.DUMMYFUNCTION("""COMPUTED_VALUE"""),"Self Identify")</f>
        <v>Self Identify</v>
      </c>
      <c r="I3556" s="6" t="str">
        <f>IFERROR(__xludf.DUMMYFUNCTION("""COMPUTED_VALUE"""),"Level 2")</f>
        <v>Level 2</v>
      </c>
      <c r="J3556" s="6" t="str">
        <f>IFERROR(__xludf.DUMMYFUNCTION("""COMPUTED_VALUE"""),"5")</f>
        <v>5</v>
      </c>
      <c r="K3556" s="6" t="str">
        <f>IFERROR(__xludf.DUMMYFUNCTION("""COMPUTED_VALUE"""),"bubba_ray@stu.ortrail.k12.or.us")</f>
        <v>bubba_ray@stu.ortrail.k12.or.us</v>
      </c>
      <c r="L3556" s="6" t="str">
        <f>IFERROR(__xludf.DUMMYFUNCTION("""COMPUTED_VALUE"""),"Oregon Trail School District 46")</f>
        <v>Oregon Trail School District 46</v>
      </c>
      <c r="M3556" s="6" t="str">
        <f>IFERROR(__xludf.DUMMYFUNCTION("""COMPUTED_VALUE"""),"Welches Elementary School")</f>
        <v>Welches Elementary School</v>
      </c>
      <c r="N3556" s="6" t="str">
        <f>IFERROR(__xludf.DUMMYFUNCTION("""COMPUTED_VALUE"""),"")</f>
        <v/>
      </c>
      <c r="O3556" s="87" t="str">
        <f>IFERROR(__xludf.DUMMYFUNCTION("""COMPUTED_VALUE"""),"https://drive.google.com/drive/folders/10T2cTQHqEJZqE-st6uFKPoI?usp=share_link")</f>
        <v>https://drive.google.com/drive/folders/10T2cTQHqEJZqE-st6uFKPoI?usp=share_link</v>
      </c>
      <c r="P3556" s="6" t="str">
        <f>IFERROR(__xludf.DUMMYFUNCTION("""COMPUTED_VALUE"""),"Landon Ray")</f>
        <v>Landon Ray</v>
      </c>
      <c r="Q3556" s="6" t="str">
        <f>IFERROR(__xludf.DUMMYFUNCTION("""COMPUTED_VALUE"""),"L2")</f>
        <v>L2</v>
      </c>
      <c r="R3556" s="6">
        <f>IFERROR(__xludf.DUMMYFUNCTION("""COMPUTED_VALUE"""),2.0)</f>
        <v>2</v>
      </c>
      <c r="S3556" s="6" t="str">
        <f>IFERROR(__xludf.DUMMYFUNCTION("""COMPUTED_VALUE"""),"Sara King")</f>
        <v>Sara King</v>
      </c>
      <c r="T3556" s="6" t="str">
        <f>IFERROR(__xludf.DUMMYFUNCTION("""COMPUTED_VALUE"""),"sara.king@ortrail.k12.or.us")</f>
        <v>sara.king@ortrail.k12.or.us</v>
      </c>
      <c r="U3556" s="6" t="str">
        <f>IFERROR(__xludf.DUMMYFUNCTION("""COMPUTED_VALUE"""),"5")</f>
        <v>5</v>
      </c>
      <c r="V3556" s="6" t="str">
        <f>IFERROR(__xludf.DUMMYFUNCTION("""COMPUTED_VALUE"""),"English")</f>
        <v>English</v>
      </c>
      <c r="W3556" s="6" t="str">
        <f>IFERROR(__xludf.DUMMYFUNCTION("""COMPUTED_VALUE"""),"[]")</f>
        <v>[]</v>
      </c>
      <c r="X3556" s="6" t="str">
        <f>IFERROR(__xludf.DUMMYFUNCTION("""COMPUTED_VALUE"""),"Enrolled")</f>
        <v>Enrolled</v>
      </c>
    </row>
    <row r="3557">
      <c r="A3557" s="6" t="str">
        <f>IFERROR(__xludf.DUMMYFUNCTION("""COMPUTED_VALUE"""),"064-6653")</f>
        <v>064-6653</v>
      </c>
      <c r="B3557" s="6" t="str">
        <f>IFERROR(__xludf.DUMMYFUNCTION("""COMPUTED_VALUE"""),"64")</f>
        <v>64</v>
      </c>
      <c r="C3557" s="6" t="str">
        <f>IFERROR(__xludf.DUMMYFUNCTION("""COMPUTED_VALUE"""),"6653")</f>
        <v>6653</v>
      </c>
      <c r="D3557" s="6" t="str">
        <f>IFERROR(__xludf.DUMMYFUNCTION("""COMPUTED_VALUE"""),"Isaac")</f>
        <v>Isaac</v>
      </c>
      <c r="E3557" s="6" t="str">
        <f>IFERROR(__xludf.DUMMYFUNCTION("""COMPUTED_VALUE"""),"")</f>
        <v/>
      </c>
      <c r="F3557" s="6" t="str">
        <f>IFERROR(__xludf.DUMMYFUNCTION("""COMPUTED_VALUE"""),"Gallardo-Ruiz")</f>
        <v>Gallardo-Ruiz</v>
      </c>
      <c r="G3557" s="6" t="str">
        <f>IFERROR(__xludf.DUMMYFUNCTION("""COMPUTED_VALUE"""),"06/23/2015")</f>
        <v>06/23/2015</v>
      </c>
      <c r="H3557" s="6" t="str">
        <f>IFERROR(__xludf.DUMMYFUNCTION("""COMPUTED_VALUE"""),"Self Identify")</f>
        <v>Self Identify</v>
      </c>
      <c r="I3557" s="6" t="str">
        <f>IFERROR(__xludf.DUMMYFUNCTION("""COMPUTED_VALUE"""),"Level 2")</f>
        <v>Level 2</v>
      </c>
      <c r="J3557" s="6" t="str">
        <f>IFERROR(__xludf.DUMMYFUNCTION("""COMPUTED_VALUE"""),"5")</f>
        <v>5</v>
      </c>
      <c r="K3557" s="6" t="str">
        <f>IFERROR(__xludf.DUMMYFUNCTION("""COMPUTED_VALUE"""),"isaac_gallardoruiz@stu.ortrail.k12.or.us")</f>
        <v>isaac_gallardoruiz@stu.ortrail.k12.or.us</v>
      </c>
      <c r="L3557" s="6" t="str">
        <f>IFERROR(__xludf.DUMMYFUNCTION("""COMPUTED_VALUE"""),"Oregon Trail School District 46")</f>
        <v>Oregon Trail School District 46</v>
      </c>
      <c r="M3557" s="6" t="str">
        <f>IFERROR(__xludf.DUMMYFUNCTION("""COMPUTED_VALUE"""),"Welches Elementary School")</f>
        <v>Welches Elementary School</v>
      </c>
      <c r="N3557" s="6" t="str">
        <f>IFERROR(__xludf.DUMMYFUNCTION("""COMPUTED_VALUE"""),"")</f>
        <v/>
      </c>
      <c r="O3557" s="87" t="str">
        <f>IFERROR(__xludf.DUMMYFUNCTION("""COMPUTED_VALUE"""),"https://drive.google.com/drive/folders/10T2cTQHqEJZqE-st6uFKPoI?usp=share_link")</f>
        <v>https://drive.google.com/drive/folders/10T2cTQHqEJZqE-st6uFKPoI?usp=share_link</v>
      </c>
      <c r="P3557" s="6" t="str">
        <f>IFERROR(__xludf.DUMMYFUNCTION("""COMPUTED_VALUE"""),"Isaac Gallardo-Ruiz")</f>
        <v>Isaac Gallardo-Ruiz</v>
      </c>
      <c r="Q3557" s="6" t="str">
        <f>IFERROR(__xludf.DUMMYFUNCTION("""COMPUTED_VALUE"""),"L2")</f>
        <v>L2</v>
      </c>
      <c r="R3557" s="6">
        <f>IFERROR(__xludf.DUMMYFUNCTION("""COMPUTED_VALUE"""),2.0)</f>
        <v>2</v>
      </c>
      <c r="S3557" s="6" t="str">
        <f>IFERROR(__xludf.DUMMYFUNCTION("""COMPUTED_VALUE"""),"Kalee Robertson")</f>
        <v>Kalee Robertson</v>
      </c>
      <c r="T3557" s="6" t="str">
        <f>IFERROR(__xludf.DUMMYFUNCTION("""COMPUTED_VALUE"""),"kalee.robertson@ortrail.k12.or.us")</f>
        <v>kalee.robertson@ortrail.k12.or.us</v>
      </c>
      <c r="U3557" s="6" t="str">
        <f>IFERROR(__xludf.DUMMYFUNCTION("""COMPUTED_VALUE"""),"5")</f>
        <v>5</v>
      </c>
      <c r="V3557" s="6" t="str">
        <f>IFERROR(__xludf.DUMMYFUNCTION("""COMPUTED_VALUE"""),"English")</f>
        <v>English</v>
      </c>
      <c r="W3557" s="6" t="str">
        <f>IFERROR(__xludf.DUMMYFUNCTION("""COMPUTED_VALUE"""),"[]")</f>
        <v>[]</v>
      </c>
      <c r="X3557" s="6" t="str">
        <f>IFERROR(__xludf.DUMMYFUNCTION("""COMPUTED_VALUE"""),"Enrolled")</f>
        <v>Enrolled</v>
      </c>
    </row>
    <row r="3558">
      <c r="A3558" s="6" t="str">
        <f>IFERROR(__xludf.DUMMYFUNCTION("""COMPUTED_VALUE"""),"064-6654")</f>
        <v>064-6654</v>
      </c>
      <c r="B3558" s="6" t="str">
        <f>IFERROR(__xludf.DUMMYFUNCTION("""COMPUTED_VALUE"""),"64")</f>
        <v>64</v>
      </c>
      <c r="C3558" s="6" t="str">
        <f>IFERROR(__xludf.DUMMYFUNCTION("""COMPUTED_VALUE"""),"6654")</f>
        <v>6654</v>
      </c>
      <c r="D3558" s="6" t="str">
        <f>IFERROR(__xludf.DUMMYFUNCTION("""COMPUTED_VALUE"""),"Lucas")</f>
        <v>Lucas</v>
      </c>
      <c r="E3558" s="6" t="str">
        <f>IFERROR(__xludf.DUMMYFUNCTION("""COMPUTED_VALUE"""),"")</f>
        <v/>
      </c>
      <c r="F3558" s="6" t="str">
        <f>IFERROR(__xludf.DUMMYFUNCTION("""COMPUTED_VALUE"""),"Olmos-Vazquez")</f>
        <v>Olmos-Vazquez</v>
      </c>
      <c r="G3558" s="6" t="str">
        <f>IFERROR(__xludf.DUMMYFUNCTION("""COMPUTED_VALUE"""),"08/25/2015")</f>
        <v>08/25/2015</v>
      </c>
      <c r="H3558" s="6" t="str">
        <f>IFERROR(__xludf.DUMMYFUNCTION("""COMPUTED_VALUE"""),"Self Identify")</f>
        <v>Self Identify</v>
      </c>
      <c r="I3558" s="6" t="str">
        <f>IFERROR(__xludf.DUMMYFUNCTION("""COMPUTED_VALUE"""),"Level 2")</f>
        <v>Level 2</v>
      </c>
      <c r="J3558" s="6" t="str">
        <f>IFERROR(__xludf.DUMMYFUNCTION("""COMPUTED_VALUE"""),"5")</f>
        <v>5</v>
      </c>
      <c r="K3558" s="6" t="str">
        <f>IFERROR(__xludf.DUMMYFUNCTION("""COMPUTED_VALUE"""),"lucas_olmosvazquez@stu.ortrail.k12.or.us")</f>
        <v>lucas_olmosvazquez@stu.ortrail.k12.or.us</v>
      </c>
      <c r="L3558" s="6" t="str">
        <f>IFERROR(__xludf.DUMMYFUNCTION("""COMPUTED_VALUE"""),"Oregon Trail School District 46")</f>
        <v>Oregon Trail School District 46</v>
      </c>
      <c r="M3558" s="6" t="str">
        <f>IFERROR(__xludf.DUMMYFUNCTION("""COMPUTED_VALUE"""),"Welches Elementary School")</f>
        <v>Welches Elementary School</v>
      </c>
      <c r="N3558" s="6" t="str">
        <f>IFERROR(__xludf.DUMMYFUNCTION("""COMPUTED_VALUE"""),"")</f>
        <v/>
      </c>
      <c r="O3558" s="87" t="str">
        <f>IFERROR(__xludf.DUMMYFUNCTION("""COMPUTED_VALUE"""),"https://drive.google.com/drive/folders/10T2cTQHqEJZqE-st6uFKPoI?usp=share_link")</f>
        <v>https://drive.google.com/drive/folders/10T2cTQHqEJZqE-st6uFKPoI?usp=share_link</v>
      </c>
      <c r="P3558" s="6" t="str">
        <f>IFERROR(__xludf.DUMMYFUNCTION("""COMPUTED_VALUE"""),"Lucas Olmos-Vazquez")</f>
        <v>Lucas Olmos-Vazquez</v>
      </c>
      <c r="Q3558" s="6" t="str">
        <f>IFERROR(__xludf.DUMMYFUNCTION("""COMPUTED_VALUE"""),"L2")</f>
        <v>L2</v>
      </c>
      <c r="R3558" s="6">
        <f>IFERROR(__xludf.DUMMYFUNCTION("""COMPUTED_VALUE"""),2.0)</f>
        <v>2</v>
      </c>
      <c r="S3558" s="6" t="str">
        <f>IFERROR(__xludf.DUMMYFUNCTION("""COMPUTED_VALUE"""),"Kalee Robertson")</f>
        <v>Kalee Robertson</v>
      </c>
      <c r="T3558" s="6" t="str">
        <f>IFERROR(__xludf.DUMMYFUNCTION("""COMPUTED_VALUE"""),"kalee.robertson@ortrail.k12.or.us")</f>
        <v>kalee.robertson@ortrail.k12.or.us</v>
      </c>
      <c r="U3558" s="6" t="str">
        <f>IFERROR(__xludf.DUMMYFUNCTION("""COMPUTED_VALUE"""),"5")</f>
        <v>5</v>
      </c>
      <c r="V3558" s="6" t="str">
        <f>IFERROR(__xludf.DUMMYFUNCTION("""COMPUTED_VALUE"""),"English")</f>
        <v>English</v>
      </c>
      <c r="W3558" s="6" t="str">
        <f>IFERROR(__xludf.DUMMYFUNCTION("""COMPUTED_VALUE"""),"[]")</f>
        <v>[]</v>
      </c>
      <c r="X3558" s="6" t="str">
        <f>IFERROR(__xludf.DUMMYFUNCTION("""COMPUTED_VALUE"""),"Enrolled")</f>
        <v>Enrolled</v>
      </c>
    </row>
    <row r="3559">
      <c r="A3559" s="6" t="str">
        <f>IFERROR(__xludf.DUMMYFUNCTION("""COMPUTED_VALUE"""),"064-6655")</f>
        <v>064-6655</v>
      </c>
      <c r="B3559" s="6" t="str">
        <f>IFERROR(__xludf.DUMMYFUNCTION("""COMPUTED_VALUE"""),"64")</f>
        <v>64</v>
      </c>
      <c r="C3559" s="6" t="str">
        <f>IFERROR(__xludf.DUMMYFUNCTION("""COMPUTED_VALUE"""),"6655")</f>
        <v>6655</v>
      </c>
      <c r="D3559" s="6" t="str">
        <f>IFERROR(__xludf.DUMMYFUNCTION("""COMPUTED_VALUE"""),"James")</f>
        <v>James</v>
      </c>
      <c r="E3559" s="6" t="str">
        <f>IFERROR(__xludf.DUMMYFUNCTION("""COMPUTED_VALUE"""),"")</f>
        <v/>
      </c>
      <c r="F3559" s="6" t="str">
        <f>IFERROR(__xludf.DUMMYFUNCTION("""COMPUTED_VALUE"""),"Ortiz")</f>
        <v>Ortiz</v>
      </c>
      <c r="G3559" s="6" t="str">
        <f>IFERROR(__xludf.DUMMYFUNCTION("""COMPUTED_VALUE"""),"07/08/2015")</f>
        <v>07/08/2015</v>
      </c>
      <c r="H3559" s="6" t="str">
        <f>IFERROR(__xludf.DUMMYFUNCTION("""COMPUTED_VALUE"""),"Self Identify")</f>
        <v>Self Identify</v>
      </c>
      <c r="I3559" s="6" t="str">
        <f>IFERROR(__xludf.DUMMYFUNCTION("""COMPUTED_VALUE"""),"Level 2")</f>
        <v>Level 2</v>
      </c>
      <c r="J3559" s="6" t="str">
        <f>IFERROR(__xludf.DUMMYFUNCTION("""COMPUTED_VALUE"""),"5")</f>
        <v>5</v>
      </c>
      <c r="K3559" s="6" t="str">
        <f>IFERROR(__xludf.DUMMYFUNCTION("""COMPUTED_VALUE"""),"james_ortiz@stu.ortrail.k12.or.us")</f>
        <v>james_ortiz@stu.ortrail.k12.or.us</v>
      </c>
      <c r="L3559" s="6" t="str">
        <f>IFERROR(__xludf.DUMMYFUNCTION("""COMPUTED_VALUE"""),"Oregon Trail School District 46")</f>
        <v>Oregon Trail School District 46</v>
      </c>
      <c r="M3559" s="6" t="str">
        <f>IFERROR(__xludf.DUMMYFUNCTION("""COMPUTED_VALUE"""),"Welches Elementary School")</f>
        <v>Welches Elementary School</v>
      </c>
      <c r="N3559" s="6" t="str">
        <f>IFERROR(__xludf.DUMMYFUNCTION("""COMPUTED_VALUE"""),"")</f>
        <v/>
      </c>
      <c r="O3559" s="87" t="str">
        <f>IFERROR(__xludf.DUMMYFUNCTION("""COMPUTED_VALUE"""),"https://drive.google.com/drive/folders/10T2cTQHqEJZqE-st6uFKPoI?usp=share_link")</f>
        <v>https://drive.google.com/drive/folders/10T2cTQHqEJZqE-st6uFKPoI?usp=share_link</v>
      </c>
      <c r="P3559" s="6" t="str">
        <f>IFERROR(__xludf.DUMMYFUNCTION("""COMPUTED_VALUE"""),"James Ortiz")</f>
        <v>James Ortiz</v>
      </c>
      <c r="Q3559" s="6" t="str">
        <f>IFERROR(__xludf.DUMMYFUNCTION("""COMPUTED_VALUE"""),"L2")</f>
        <v>L2</v>
      </c>
      <c r="R3559" s="6">
        <f>IFERROR(__xludf.DUMMYFUNCTION("""COMPUTED_VALUE"""),2.0)</f>
        <v>2</v>
      </c>
      <c r="S3559" s="6" t="str">
        <f>IFERROR(__xludf.DUMMYFUNCTION("""COMPUTED_VALUE"""),"Sara King")</f>
        <v>Sara King</v>
      </c>
      <c r="T3559" s="6" t="str">
        <f>IFERROR(__xludf.DUMMYFUNCTION("""COMPUTED_VALUE"""),"sara.king@ortrail.k12.or.us")</f>
        <v>sara.king@ortrail.k12.or.us</v>
      </c>
      <c r="U3559" s="6" t="str">
        <f>IFERROR(__xludf.DUMMYFUNCTION("""COMPUTED_VALUE"""),"5")</f>
        <v>5</v>
      </c>
      <c r="V3559" s="6" t="str">
        <f>IFERROR(__xludf.DUMMYFUNCTION("""COMPUTED_VALUE"""),"English")</f>
        <v>English</v>
      </c>
      <c r="W3559" s="6" t="str">
        <f>IFERROR(__xludf.DUMMYFUNCTION("""COMPUTED_VALUE"""),"[]")</f>
        <v>[]</v>
      </c>
      <c r="X3559" s="6" t="str">
        <f>IFERROR(__xludf.DUMMYFUNCTION("""COMPUTED_VALUE"""),"Enrolled")</f>
        <v>Enrolled</v>
      </c>
    </row>
    <row r="3560">
      <c r="A3560" s="6" t="str">
        <f>IFERROR(__xludf.DUMMYFUNCTION("""COMPUTED_VALUE"""),"064-6656")</f>
        <v>064-6656</v>
      </c>
      <c r="B3560" s="6" t="str">
        <f>IFERROR(__xludf.DUMMYFUNCTION("""COMPUTED_VALUE"""),"64")</f>
        <v>64</v>
      </c>
      <c r="C3560" s="6" t="str">
        <f>IFERROR(__xludf.DUMMYFUNCTION("""COMPUTED_VALUE"""),"6656")</f>
        <v>6656</v>
      </c>
      <c r="D3560" s="6" t="str">
        <f>IFERROR(__xludf.DUMMYFUNCTION("""COMPUTED_VALUE"""),"Alli")</f>
        <v>Alli</v>
      </c>
      <c r="E3560" s="6" t="str">
        <f>IFERROR(__xludf.DUMMYFUNCTION("""COMPUTED_VALUE"""),"")</f>
        <v/>
      </c>
      <c r="F3560" s="6" t="str">
        <f>IFERROR(__xludf.DUMMYFUNCTION("""COMPUTED_VALUE"""),"Bayne")</f>
        <v>Bayne</v>
      </c>
      <c r="G3560" s="6" t="str">
        <f>IFERROR(__xludf.DUMMYFUNCTION("""COMPUTED_VALUE"""),"08/30/2015")</f>
        <v>08/30/2015</v>
      </c>
      <c r="H3560" s="6" t="str">
        <f>IFERROR(__xludf.DUMMYFUNCTION("""COMPUTED_VALUE"""),"Self Identify")</f>
        <v>Self Identify</v>
      </c>
      <c r="I3560" s="6" t="str">
        <f>IFERROR(__xludf.DUMMYFUNCTION("""COMPUTED_VALUE"""),"Level 2")</f>
        <v>Level 2</v>
      </c>
      <c r="J3560" s="6" t="str">
        <f>IFERROR(__xludf.DUMMYFUNCTION("""COMPUTED_VALUE"""),"5")</f>
        <v>5</v>
      </c>
      <c r="K3560" s="6" t="str">
        <f>IFERROR(__xludf.DUMMYFUNCTION("""COMPUTED_VALUE"""),"alli_bayne@stu.ortrail.k12.or.us")</f>
        <v>alli_bayne@stu.ortrail.k12.or.us</v>
      </c>
      <c r="L3560" s="6" t="str">
        <f>IFERROR(__xludf.DUMMYFUNCTION("""COMPUTED_VALUE"""),"Oregon Trail School District 46")</f>
        <v>Oregon Trail School District 46</v>
      </c>
      <c r="M3560" s="6" t="str">
        <f>IFERROR(__xludf.DUMMYFUNCTION("""COMPUTED_VALUE"""),"Welches Elementary School")</f>
        <v>Welches Elementary School</v>
      </c>
      <c r="N3560" s="6" t="str">
        <f>IFERROR(__xludf.DUMMYFUNCTION("""COMPUTED_VALUE"""),"")</f>
        <v/>
      </c>
      <c r="O3560" s="87" t="str">
        <f>IFERROR(__xludf.DUMMYFUNCTION("""COMPUTED_VALUE"""),"https://drive.google.com/drive/folders/10T2cTQHqEJZqE-st6uFKPoI?usp=share_link")</f>
        <v>https://drive.google.com/drive/folders/10T2cTQHqEJZqE-st6uFKPoI?usp=share_link</v>
      </c>
      <c r="P3560" s="6" t="str">
        <f>IFERROR(__xludf.DUMMYFUNCTION("""COMPUTED_VALUE"""),"Alli Bayne")</f>
        <v>Alli Bayne</v>
      </c>
      <c r="Q3560" s="6" t="str">
        <f>IFERROR(__xludf.DUMMYFUNCTION("""COMPUTED_VALUE"""),"L2")</f>
        <v>L2</v>
      </c>
      <c r="R3560" s="6">
        <f>IFERROR(__xludf.DUMMYFUNCTION("""COMPUTED_VALUE"""),2.0)</f>
        <v>2</v>
      </c>
      <c r="S3560" s="6" t="str">
        <f>IFERROR(__xludf.DUMMYFUNCTION("""COMPUTED_VALUE"""),"Sara King")</f>
        <v>Sara King</v>
      </c>
      <c r="T3560" s="6" t="str">
        <f>IFERROR(__xludf.DUMMYFUNCTION("""COMPUTED_VALUE"""),"sara.king@ortrail.k12.or.us")</f>
        <v>sara.king@ortrail.k12.or.us</v>
      </c>
      <c r="U3560" s="6" t="str">
        <f>IFERROR(__xludf.DUMMYFUNCTION("""COMPUTED_VALUE"""),"5")</f>
        <v>5</v>
      </c>
      <c r="V3560" s="6" t="str">
        <f>IFERROR(__xludf.DUMMYFUNCTION("""COMPUTED_VALUE"""),"English")</f>
        <v>English</v>
      </c>
      <c r="W3560" s="6" t="str">
        <f>IFERROR(__xludf.DUMMYFUNCTION("""COMPUTED_VALUE"""),"[]")</f>
        <v>[]</v>
      </c>
      <c r="X3560" s="6" t="str">
        <f>IFERROR(__xludf.DUMMYFUNCTION("""COMPUTED_VALUE"""),"Enrolled")</f>
        <v>Enrolled</v>
      </c>
    </row>
    <row r="3561">
      <c r="A3561" s="6" t="str">
        <f>IFERROR(__xludf.DUMMYFUNCTION("""COMPUTED_VALUE"""),"064-6657")</f>
        <v>064-6657</v>
      </c>
      <c r="B3561" s="6" t="str">
        <f>IFERROR(__xludf.DUMMYFUNCTION("""COMPUTED_VALUE"""),"64")</f>
        <v>64</v>
      </c>
      <c r="C3561" s="6" t="str">
        <f>IFERROR(__xludf.DUMMYFUNCTION("""COMPUTED_VALUE"""),"6657")</f>
        <v>6657</v>
      </c>
      <c r="D3561" s="6" t="str">
        <f>IFERROR(__xludf.DUMMYFUNCTION("""COMPUTED_VALUE"""),"Kennedy")</f>
        <v>Kennedy</v>
      </c>
      <c r="E3561" s="6" t="str">
        <f>IFERROR(__xludf.DUMMYFUNCTION("""COMPUTED_VALUE"""),"")</f>
        <v/>
      </c>
      <c r="F3561" s="6" t="str">
        <f>IFERROR(__xludf.DUMMYFUNCTION("""COMPUTED_VALUE"""),"Morrow")</f>
        <v>Morrow</v>
      </c>
      <c r="G3561" s="6" t="str">
        <f>IFERROR(__xludf.DUMMYFUNCTION("""COMPUTED_VALUE"""),"12/31/2014")</f>
        <v>12/31/2014</v>
      </c>
      <c r="H3561" s="6" t="str">
        <f>IFERROR(__xludf.DUMMYFUNCTION("""COMPUTED_VALUE"""),"Self Identify")</f>
        <v>Self Identify</v>
      </c>
      <c r="I3561" s="6" t="str">
        <f>IFERROR(__xludf.DUMMYFUNCTION("""COMPUTED_VALUE"""),"Level 2")</f>
        <v>Level 2</v>
      </c>
      <c r="J3561" s="6" t="str">
        <f>IFERROR(__xludf.DUMMYFUNCTION("""COMPUTED_VALUE"""),"5")</f>
        <v>5</v>
      </c>
      <c r="K3561" s="6" t="str">
        <f>IFERROR(__xludf.DUMMYFUNCTION("""COMPUTED_VALUE"""),"kennedy_morrow@stu.ortrail.k12.or.us")</f>
        <v>kennedy_morrow@stu.ortrail.k12.or.us</v>
      </c>
      <c r="L3561" s="6" t="str">
        <f>IFERROR(__xludf.DUMMYFUNCTION("""COMPUTED_VALUE"""),"Oregon Trail School District 46")</f>
        <v>Oregon Trail School District 46</v>
      </c>
      <c r="M3561" s="6" t="str">
        <f>IFERROR(__xludf.DUMMYFUNCTION("""COMPUTED_VALUE"""),"Welches Elementary School")</f>
        <v>Welches Elementary School</v>
      </c>
      <c r="N3561" s="6" t="str">
        <f>IFERROR(__xludf.DUMMYFUNCTION("""COMPUTED_VALUE"""),"")</f>
        <v/>
      </c>
      <c r="O3561" s="87" t="str">
        <f>IFERROR(__xludf.DUMMYFUNCTION("""COMPUTED_VALUE"""),"https://drive.google.com/drive/folders/10T2cTQHqEJZqE-st6uFKPoI?usp=share_link")</f>
        <v>https://drive.google.com/drive/folders/10T2cTQHqEJZqE-st6uFKPoI?usp=share_link</v>
      </c>
      <c r="P3561" s="6" t="str">
        <f>IFERROR(__xludf.DUMMYFUNCTION("""COMPUTED_VALUE"""),"Kennedy Morrow")</f>
        <v>Kennedy Morrow</v>
      </c>
      <c r="Q3561" s="6" t="str">
        <f>IFERROR(__xludf.DUMMYFUNCTION("""COMPUTED_VALUE"""),"L2")</f>
        <v>L2</v>
      </c>
      <c r="R3561" s="6">
        <f>IFERROR(__xludf.DUMMYFUNCTION("""COMPUTED_VALUE"""),2.0)</f>
        <v>2</v>
      </c>
      <c r="S3561" s="6" t="str">
        <f>IFERROR(__xludf.DUMMYFUNCTION("""COMPUTED_VALUE"""),"Sara King")</f>
        <v>Sara King</v>
      </c>
      <c r="T3561" s="6" t="str">
        <f>IFERROR(__xludf.DUMMYFUNCTION("""COMPUTED_VALUE"""),"sara.king@ortrail.k12.or.us")</f>
        <v>sara.king@ortrail.k12.or.us</v>
      </c>
      <c r="U3561" s="6" t="str">
        <f>IFERROR(__xludf.DUMMYFUNCTION("""COMPUTED_VALUE"""),"5")</f>
        <v>5</v>
      </c>
      <c r="V3561" s="6" t="str">
        <f>IFERROR(__xludf.DUMMYFUNCTION("""COMPUTED_VALUE"""),"English")</f>
        <v>English</v>
      </c>
      <c r="W3561" s="6" t="str">
        <f>IFERROR(__xludf.DUMMYFUNCTION("""COMPUTED_VALUE"""),"[]")</f>
        <v>[]</v>
      </c>
      <c r="X3561" s="6" t="str">
        <f>IFERROR(__xludf.DUMMYFUNCTION("""COMPUTED_VALUE"""),"Enrolled")</f>
        <v>Enrolled</v>
      </c>
    </row>
    <row r="3562">
      <c r="A3562" s="6" t="str">
        <f>IFERROR(__xludf.DUMMYFUNCTION("""COMPUTED_VALUE"""),"064-6658")</f>
        <v>064-6658</v>
      </c>
      <c r="B3562" s="6" t="str">
        <f>IFERROR(__xludf.DUMMYFUNCTION("""COMPUTED_VALUE"""),"64")</f>
        <v>64</v>
      </c>
      <c r="C3562" s="6" t="str">
        <f>IFERROR(__xludf.DUMMYFUNCTION("""COMPUTED_VALUE"""),"6658")</f>
        <v>6658</v>
      </c>
      <c r="D3562" s="6" t="str">
        <f>IFERROR(__xludf.DUMMYFUNCTION("""COMPUTED_VALUE"""),"Abel")</f>
        <v>Abel</v>
      </c>
      <c r="E3562" s="6" t="str">
        <f>IFERROR(__xludf.DUMMYFUNCTION("""COMPUTED_VALUE"""),"")</f>
        <v/>
      </c>
      <c r="F3562" s="6" t="str">
        <f>IFERROR(__xludf.DUMMYFUNCTION("""COMPUTED_VALUE"""),"McConkey")</f>
        <v>McConkey</v>
      </c>
      <c r="G3562" s="6" t="str">
        <f>IFERROR(__xludf.DUMMYFUNCTION("""COMPUTED_VALUE"""),"03/19/2015")</f>
        <v>03/19/2015</v>
      </c>
      <c r="H3562" s="6" t="str">
        <f>IFERROR(__xludf.DUMMYFUNCTION("""COMPUTED_VALUE"""),"Self Identify")</f>
        <v>Self Identify</v>
      </c>
      <c r="I3562" s="6" t="str">
        <f>IFERROR(__xludf.DUMMYFUNCTION("""COMPUTED_VALUE"""),"Level 2")</f>
        <v>Level 2</v>
      </c>
      <c r="J3562" s="6" t="str">
        <f>IFERROR(__xludf.DUMMYFUNCTION("""COMPUTED_VALUE"""),"5")</f>
        <v>5</v>
      </c>
      <c r="K3562" s="6" t="str">
        <f>IFERROR(__xludf.DUMMYFUNCTION("""COMPUTED_VALUE"""),"abel_mcconkey@stu.ortrail.k12.or.us")</f>
        <v>abel_mcconkey@stu.ortrail.k12.or.us</v>
      </c>
      <c r="L3562" s="6" t="str">
        <f>IFERROR(__xludf.DUMMYFUNCTION("""COMPUTED_VALUE"""),"Oregon Trail School District 46")</f>
        <v>Oregon Trail School District 46</v>
      </c>
      <c r="M3562" s="6" t="str">
        <f>IFERROR(__xludf.DUMMYFUNCTION("""COMPUTED_VALUE"""),"Welches Elementary School")</f>
        <v>Welches Elementary School</v>
      </c>
      <c r="N3562" s="6" t="str">
        <f>IFERROR(__xludf.DUMMYFUNCTION("""COMPUTED_VALUE"""),"")</f>
        <v/>
      </c>
      <c r="O3562" s="87" t="str">
        <f>IFERROR(__xludf.DUMMYFUNCTION("""COMPUTED_VALUE"""),"https://drive.google.com/drive/folders/10T2cTQHqEJZqE-st6uFKPoI?usp=share_link")</f>
        <v>https://drive.google.com/drive/folders/10T2cTQHqEJZqE-st6uFKPoI?usp=share_link</v>
      </c>
      <c r="P3562" s="6" t="str">
        <f>IFERROR(__xludf.DUMMYFUNCTION("""COMPUTED_VALUE"""),"Abel McConkey")</f>
        <v>Abel McConkey</v>
      </c>
      <c r="Q3562" s="6" t="str">
        <f>IFERROR(__xludf.DUMMYFUNCTION("""COMPUTED_VALUE"""),"L2")</f>
        <v>L2</v>
      </c>
      <c r="R3562" s="6">
        <f>IFERROR(__xludf.DUMMYFUNCTION("""COMPUTED_VALUE"""),2.0)</f>
        <v>2</v>
      </c>
      <c r="S3562" s="6" t="str">
        <f>IFERROR(__xludf.DUMMYFUNCTION("""COMPUTED_VALUE"""),"Sara King")</f>
        <v>Sara King</v>
      </c>
      <c r="T3562" s="6" t="str">
        <f>IFERROR(__xludf.DUMMYFUNCTION("""COMPUTED_VALUE"""),"sara.king@ortrail.k12.or.us")</f>
        <v>sara.king@ortrail.k12.or.us</v>
      </c>
      <c r="U3562" s="6" t="str">
        <f>IFERROR(__xludf.DUMMYFUNCTION("""COMPUTED_VALUE"""),"5")</f>
        <v>5</v>
      </c>
      <c r="V3562" s="6" t="str">
        <f>IFERROR(__xludf.DUMMYFUNCTION("""COMPUTED_VALUE"""),"English")</f>
        <v>English</v>
      </c>
      <c r="W3562" s="6" t="str">
        <f>IFERROR(__xludf.DUMMYFUNCTION("""COMPUTED_VALUE"""),"[]")</f>
        <v>[]</v>
      </c>
      <c r="X3562" s="6" t="str">
        <f>IFERROR(__xludf.DUMMYFUNCTION("""COMPUTED_VALUE"""),"Enrolled")</f>
        <v>Enrolled</v>
      </c>
    </row>
    <row r="3563">
      <c r="A3563" s="6" t="str">
        <f>IFERROR(__xludf.DUMMYFUNCTION("""COMPUTED_VALUE"""),"064-6659")</f>
        <v>064-6659</v>
      </c>
      <c r="B3563" s="6" t="str">
        <f>IFERROR(__xludf.DUMMYFUNCTION("""COMPUTED_VALUE"""),"64")</f>
        <v>64</v>
      </c>
      <c r="C3563" s="6" t="str">
        <f>IFERROR(__xludf.DUMMYFUNCTION("""COMPUTED_VALUE"""),"6659")</f>
        <v>6659</v>
      </c>
      <c r="D3563" s="6" t="str">
        <f>IFERROR(__xludf.DUMMYFUNCTION("""COMPUTED_VALUE"""),"Lilly")</f>
        <v>Lilly</v>
      </c>
      <c r="E3563" s="6" t="str">
        <f>IFERROR(__xludf.DUMMYFUNCTION("""COMPUTED_VALUE"""),"")</f>
        <v/>
      </c>
      <c r="F3563" s="6" t="str">
        <f>IFERROR(__xludf.DUMMYFUNCTION("""COMPUTED_VALUE"""),"Gunderman")</f>
        <v>Gunderman</v>
      </c>
      <c r="G3563" s="6" t="str">
        <f>IFERROR(__xludf.DUMMYFUNCTION("""COMPUTED_VALUE"""),"08/21/2015")</f>
        <v>08/21/2015</v>
      </c>
      <c r="H3563" s="6" t="str">
        <f>IFERROR(__xludf.DUMMYFUNCTION("""COMPUTED_VALUE"""),"Self Identify")</f>
        <v>Self Identify</v>
      </c>
      <c r="I3563" s="6" t="str">
        <f>IFERROR(__xludf.DUMMYFUNCTION("""COMPUTED_VALUE"""),"Level 2")</f>
        <v>Level 2</v>
      </c>
      <c r="J3563" s="6" t="str">
        <f>IFERROR(__xludf.DUMMYFUNCTION("""COMPUTED_VALUE"""),"5")</f>
        <v>5</v>
      </c>
      <c r="K3563" s="6" t="str">
        <f>IFERROR(__xludf.DUMMYFUNCTION("""COMPUTED_VALUE"""),"lilly_gunderman@stu.ortrail.k12.or.us")</f>
        <v>lilly_gunderman@stu.ortrail.k12.or.us</v>
      </c>
      <c r="L3563" s="6" t="str">
        <f>IFERROR(__xludf.DUMMYFUNCTION("""COMPUTED_VALUE"""),"Oregon Trail School District 46")</f>
        <v>Oregon Trail School District 46</v>
      </c>
      <c r="M3563" s="6" t="str">
        <f>IFERROR(__xludf.DUMMYFUNCTION("""COMPUTED_VALUE"""),"Welches Elementary School")</f>
        <v>Welches Elementary School</v>
      </c>
      <c r="N3563" s="6" t="str">
        <f>IFERROR(__xludf.DUMMYFUNCTION("""COMPUTED_VALUE"""),"")</f>
        <v/>
      </c>
      <c r="O3563" s="87" t="str">
        <f>IFERROR(__xludf.DUMMYFUNCTION("""COMPUTED_VALUE"""),"https://drive.google.com/drive/folders/10T2cTQHqEJZqE-st6uFKPoI?usp=share_link")</f>
        <v>https://drive.google.com/drive/folders/10T2cTQHqEJZqE-st6uFKPoI?usp=share_link</v>
      </c>
      <c r="P3563" s="6" t="str">
        <f>IFERROR(__xludf.DUMMYFUNCTION("""COMPUTED_VALUE"""),"Lilly Gunderman")</f>
        <v>Lilly Gunderman</v>
      </c>
      <c r="Q3563" s="6" t="str">
        <f>IFERROR(__xludf.DUMMYFUNCTION("""COMPUTED_VALUE"""),"L2")</f>
        <v>L2</v>
      </c>
      <c r="R3563" s="6">
        <f>IFERROR(__xludf.DUMMYFUNCTION("""COMPUTED_VALUE"""),2.0)</f>
        <v>2</v>
      </c>
      <c r="S3563" s="6" t="str">
        <f>IFERROR(__xludf.DUMMYFUNCTION("""COMPUTED_VALUE"""),"Sara King")</f>
        <v>Sara King</v>
      </c>
      <c r="T3563" s="6" t="str">
        <f>IFERROR(__xludf.DUMMYFUNCTION("""COMPUTED_VALUE"""),"sara.king@ortrail.k12.or.us")</f>
        <v>sara.king@ortrail.k12.or.us</v>
      </c>
      <c r="U3563" s="6" t="str">
        <f>IFERROR(__xludf.DUMMYFUNCTION("""COMPUTED_VALUE"""),"5")</f>
        <v>5</v>
      </c>
      <c r="V3563" s="6" t="str">
        <f>IFERROR(__xludf.DUMMYFUNCTION("""COMPUTED_VALUE"""),"English")</f>
        <v>English</v>
      </c>
      <c r="W3563" s="6" t="str">
        <f>IFERROR(__xludf.DUMMYFUNCTION("""COMPUTED_VALUE"""),"[]")</f>
        <v>[]</v>
      </c>
      <c r="X3563" s="6" t="str">
        <f>IFERROR(__xludf.DUMMYFUNCTION("""COMPUTED_VALUE"""),"Enrolled")</f>
        <v>Enrolled</v>
      </c>
    </row>
    <row r="3564">
      <c r="A3564" s="6" t="str">
        <f>IFERROR(__xludf.DUMMYFUNCTION("""COMPUTED_VALUE"""),"064-6660")</f>
        <v>064-6660</v>
      </c>
      <c r="B3564" s="6" t="str">
        <f>IFERROR(__xludf.DUMMYFUNCTION("""COMPUTED_VALUE"""),"64")</f>
        <v>64</v>
      </c>
      <c r="C3564" s="6" t="str">
        <f>IFERROR(__xludf.DUMMYFUNCTION("""COMPUTED_VALUE"""),"6660")</f>
        <v>6660</v>
      </c>
      <c r="D3564" s="6" t="str">
        <f>IFERROR(__xludf.DUMMYFUNCTION("""COMPUTED_VALUE"""),"Ava")</f>
        <v>Ava</v>
      </c>
      <c r="E3564" s="6" t="str">
        <f>IFERROR(__xludf.DUMMYFUNCTION("""COMPUTED_VALUE"""),"")</f>
        <v/>
      </c>
      <c r="F3564" s="6" t="str">
        <f>IFERROR(__xludf.DUMMYFUNCTION("""COMPUTED_VALUE"""),"Roberts")</f>
        <v>Roberts</v>
      </c>
      <c r="G3564" s="6" t="str">
        <f>IFERROR(__xludf.DUMMYFUNCTION("""COMPUTED_VALUE"""),"09/20/2014")</f>
        <v>09/20/2014</v>
      </c>
      <c r="H3564" s="6" t="str">
        <f>IFERROR(__xludf.DUMMYFUNCTION("""COMPUTED_VALUE"""),"Self Identify")</f>
        <v>Self Identify</v>
      </c>
      <c r="I3564" s="6" t="str">
        <f>IFERROR(__xludf.DUMMYFUNCTION("""COMPUTED_VALUE"""),"Level 2")</f>
        <v>Level 2</v>
      </c>
      <c r="J3564" s="6" t="str">
        <f>IFERROR(__xludf.DUMMYFUNCTION("""COMPUTED_VALUE"""),"5")</f>
        <v>5</v>
      </c>
      <c r="K3564" s="6" t="str">
        <f>IFERROR(__xludf.DUMMYFUNCTION("""COMPUTED_VALUE"""),"ava_roberts@stu.ortrail.k12.or.us")</f>
        <v>ava_roberts@stu.ortrail.k12.or.us</v>
      </c>
      <c r="L3564" s="6" t="str">
        <f>IFERROR(__xludf.DUMMYFUNCTION("""COMPUTED_VALUE"""),"Oregon Trail School District 46")</f>
        <v>Oregon Trail School District 46</v>
      </c>
      <c r="M3564" s="6" t="str">
        <f>IFERROR(__xludf.DUMMYFUNCTION("""COMPUTED_VALUE"""),"Welches Elementary School")</f>
        <v>Welches Elementary School</v>
      </c>
      <c r="N3564" s="6" t="str">
        <f>IFERROR(__xludf.DUMMYFUNCTION("""COMPUTED_VALUE"""),"")</f>
        <v/>
      </c>
      <c r="O3564" s="87" t="str">
        <f>IFERROR(__xludf.DUMMYFUNCTION("""COMPUTED_VALUE"""),"https://drive.google.com/drive/folders/10T2cTQHqEJZqE-st6uFKPoI?usp=share_link")</f>
        <v>https://drive.google.com/drive/folders/10T2cTQHqEJZqE-st6uFKPoI?usp=share_link</v>
      </c>
      <c r="P3564" s="6" t="str">
        <f>IFERROR(__xludf.DUMMYFUNCTION("""COMPUTED_VALUE"""),"Ava Roberts")</f>
        <v>Ava Roberts</v>
      </c>
      <c r="Q3564" s="6" t="str">
        <f>IFERROR(__xludf.DUMMYFUNCTION("""COMPUTED_VALUE"""),"L2")</f>
        <v>L2</v>
      </c>
      <c r="R3564" s="6">
        <f>IFERROR(__xludf.DUMMYFUNCTION("""COMPUTED_VALUE"""),2.0)</f>
        <v>2</v>
      </c>
      <c r="S3564" s="6" t="str">
        <f>IFERROR(__xludf.DUMMYFUNCTION("""COMPUTED_VALUE"""),"Sara King")</f>
        <v>Sara King</v>
      </c>
      <c r="T3564" s="6" t="str">
        <f>IFERROR(__xludf.DUMMYFUNCTION("""COMPUTED_VALUE"""),"sara.king@ortrail.k12.or.us")</f>
        <v>sara.king@ortrail.k12.or.us</v>
      </c>
      <c r="U3564" s="6" t="str">
        <f>IFERROR(__xludf.DUMMYFUNCTION("""COMPUTED_VALUE"""),"5")</f>
        <v>5</v>
      </c>
      <c r="V3564" s="6" t="str">
        <f>IFERROR(__xludf.DUMMYFUNCTION("""COMPUTED_VALUE"""),"English")</f>
        <v>English</v>
      </c>
      <c r="W3564" s="6" t="str">
        <f>IFERROR(__xludf.DUMMYFUNCTION("""COMPUTED_VALUE"""),"[]")</f>
        <v>[]</v>
      </c>
      <c r="X3564" s="6" t="str">
        <f>IFERROR(__xludf.DUMMYFUNCTION("""COMPUTED_VALUE"""),"Enrolled")</f>
        <v>Enrolled</v>
      </c>
    </row>
    <row r="3565">
      <c r="A3565" s="6" t="str">
        <f>IFERROR(__xludf.DUMMYFUNCTION("""COMPUTED_VALUE"""),"064-6661")</f>
        <v>064-6661</v>
      </c>
      <c r="B3565" s="6" t="str">
        <f>IFERROR(__xludf.DUMMYFUNCTION("""COMPUTED_VALUE"""),"64")</f>
        <v>64</v>
      </c>
      <c r="C3565" s="6" t="str">
        <f>IFERROR(__xludf.DUMMYFUNCTION("""COMPUTED_VALUE"""),"6661")</f>
        <v>6661</v>
      </c>
      <c r="D3565" s="6" t="str">
        <f>IFERROR(__xludf.DUMMYFUNCTION("""COMPUTED_VALUE"""),"Oliver")</f>
        <v>Oliver</v>
      </c>
      <c r="E3565" s="6" t="str">
        <f>IFERROR(__xludf.DUMMYFUNCTION("""COMPUTED_VALUE"""),"")</f>
        <v/>
      </c>
      <c r="F3565" s="6" t="str">
        <f>IFERROR(__xludf.DUMMYFUNCTION("""COMPUTED_VALUE"""),"Covelle")</f>
        <v>Covelle</v>
      </c>
      <c r="G3565" s="6" t="str">
        <f>IFERROR(__xludf.DUMMYFUNCTION("""COMPUTED_VALUE"""),"01/15/2017")</f>
        <v>01/15/2017</v>
      </c>
      <c r="H3565" s="6" t="str">
        <f>IFERROR(__xludf.DUMMYFUNCTION("""COMPUTED_VALUE"""),"Self Identify")</f>
        <v>Self Identify</v>
      </c>
      <c r="I3565" s="6" t="str">
        <f>IFERROR(__xludf.DUMMYFUNCTION("""COMPUTED_VALUE"""),"Level 1")</f>
        <v>Level 1</v>
      </c>
      <c r="J3565" s="6" t="str">
        <f>IFERROR(__xludf.DUMMYFUNCTION("""COMPUTED_VALUE"""),"3")</f>
        <v>3</v>
      </c>
      <c r="K3565" s="6" t="str">
        <f>IFERROR(__xludf.DUMMYFUNCTION("""COMPUTED_VALUE"""),"oliver_covelle@stu.ortrail.k12.or.us")</f>
        <v>oliver_covelle@stu.ortrail.k12.or.us</v>
      </c>
      <c r="L3565" s="6" t="str">
        <f>IFERROR(__xludf.DUMMYFUNCTION("""COMPUTED_VALUE"""),"Oregon Trail School District 46")</f>
        <v>Oregon Trail School District 46</v>
      </c>
      <c r="M3565" s="6" t="str">
        <f>IFERROR(__xludf.DUMMYFUNCTION("""COMPUTED_VALUE"""),"Welches Elementary School")</f>
        <v>Welches Elementary School</v>
      </c>
      <c r="N3565" s="6" t="str">
        <f>IFERROR(__xludf.DUMMYFUNCTION("""COMPUTED_VALUE"""),"")</f>
        <v/>
      </c>
      <c r="O3565" s="87" t="str">
        <f>IFERROR(__xludf.DUMMYFUNCTION("""COMPUTED_VALUE"""),"https://drive.google.com/drive/folders/10T2cTQHqEJZqE-st6uFKPoI?usp=share_link")</f>
        <v>https://drive.google.com/drive/folders/10T2cTQHqEJZqE-st6uFKPoI?usp=share_link</v>
      </c>
      <c r="P3565" s="6" t="str">
        <f>IFERROR(__xludf.DUMMYFUNCTION("""COMPUTED_VALUE"""),"Oliver Covelle")</f>
        <v>Oliver Covelle</v>
      </c>
      <c r="Q3565" s="6" t="str">
        <f>IFERROR(__xludf.DUMMYFUNCTION("""COMPUTED_VALUE"""),"L1")</f>
        <v>L1</v>
      </c>
      <c r="R3565" s="6">
        <f>IFERROR(__xludf.DUMMYFUNCTION("""COMPUTED_VALUE"""),1.0)</f>
        <v>1</v>
      </c>
      <c r="S3565" s="6" t="str">
        <f>IFERROR(__xludf.DUMMYFUNCTION("""COMPUTED_VALUE"""),"Daniel Winans")</f>
        <v>Daniel Winans</v>
      </c>
      <c r="T3565" s="6" t="str">
        <f>IFERROR(__xludf.DUMMYFUNCTION("""COMPUTED_VALUE"""),"daniel.winans@ortrail.k12.or.us")</f>
        <v>daniel.winans@ortrail.k12.or.us</v>
      </c>
      <c r="U3565" s="6" t="str">
        <f>IFERROR(__xludf.DUMMYFUNCTION("""COMPUTED_VALUE"""),"3")</f>
        <v>3</v>
      </c>
      <c r="V3565" s="6" t="str">
        <f>IFERROR(__xludf.DUMMYFUNCTION("""COMPUTED_VALUE"""),"English")</f>
        <v>English</v>
      </c>
      <c r="W3565" s="6" t="str">
        <f>IFERROR(__xludf.DUMMYFUNCTION("""COMPUTED_VALUE"""),"[]")</f>
        <v>[]</v>
      </c>
      <c r="X3565" s="6" t="str">
        <f>IFERROR(__xludf.DUMMYFUNCTION("""COMPUTED_VALUE"""),"Enrolled")</f>
        <v>Enrolled</v>
      </c>
    </row>
    <row r="3566">
      <c r="A3566" s="6" t="str">
        <f>IFERROR(__xludf.DUMMYFUNCTION("""COMPUTED_VALUE"""),"064-6663")</f>
        <v>064-6663</v>
      </c>
      <c r="B3566" s="6" t="str">
        <f>IFERROR(__xludf.DUMMYFUNCTION("""COMPUTED_VALUE"""),"64")</f>
        <v>64</v>
      </c>
      <c r="C3566" s="6" t="str">
        <f>IFERROR(__xludf.DUMMYFUNCTION("""COMPUTED_VALUE"""),"6663")</f>
        <v>6663</v>
      </c>
      <c r="D3566" s="6" t="str">
        <f>IFERROR(__xludf.DUMMYFUNCTION("""COMPUTED_VALUE"""),"Avery")</f>
        <v>Avery</v>
      </c>
      <c r="E3566" s="6" t="str">
        <f>IFERROR(__xludf.DUMMYFUNCTION("""COMPUTED_VALUE"""),"")</f>
        <v/>
      </c>
      <c r="F3566" s="6" t="str">
        <f>IFERROR(__xludf.DUMMYFUNCTION("""COMPUTED_VALUE"""),"Gallagher")</f>
        <v>Gallagher</v>
      </c>
      <c r="G3566" s="6" t="str">
        <f>IFERROR(__xludf.DUMMYFUNCTION("""COMPUTED_VALUE"""),"02/03/2017")</f>
        <v>02/03/2017</v>
      </c>
      <c r="H3566" s="6" t="str">
        <f>IFERROR(__xludf.DUMMYFUNCTION("""COMPUTED_VALUE"""),"Self Identify")</f>
        <v>Self Identify</v>
      </c>
      <c r="I3566" s="6" t="str">
        <f>IFERROR(__xludf.DUMMYFUNCTION("""COMPUTED_VALUE"""),"Level 1")</f>
        <v>Level 1</v>
      </c>
      <c r="J3566" s="6" t="str">
        <f>IFERROR(__xludf.DUMMYFUNCTION("""COMPUTED_VALUE"""),"3")</f>
        <v>3</v>
      </c>
      <c r="K3566" s="6" t="str">
        <f>IFERROR(__xludf.DUMMYFUNCTION("""COMPUTED_VALUE"""),"avery_gallagher@stu.ortrail.k12.or.us")</f>
        <v>avery_gallagher@stu.ortrail.k12.or.us</v>
      </c>
      <c r="L3566" s="6" t="str">
        <f>IFERROR(__xludf.DUMMYFUNCTION("""COMPUTED_VALUE"""),"Oregon Trail School District 46")</f>
        <v>Oregon Trail School District 46</v>
      </c>
      <c r="M3566" s="6" t="str">
        <f>IFERROR(__xludf.DUMMYFUNCTION("""COMPUTED_VALUE"""),"Welches Elementary School")</f>
        <v>Welches Elementary School</v>
      </c>
      <c r="N3566" s="6" t="str">
        <f>IFERROR(__xludf.DUMMYFUNCTION("""COMPUTED_VALUE"""),"")</f>
        <v/>
      </c>
      <c r="O3566" s="87" t="str">
        <f>IFERROR(__xludf.DUMMYFUNCTION("""COMPUTED_VALUE"""),"https://drive.google.com/drive/folders/10T2cTQHqEJZqE-st6uFKPoI?usp=share_link")</f>
        <v>https://drive.google.com/drive/folders/10T2cTQHqEJZqE-st6uFKPoI?usp=share_link</v>
      </c>
      <c r="P3566" s="6" t="str">
        <f>IFERROR(__xludf.DUMMYFUNCTION("""COMPUTED_VALUE"""),"Avery Gallagher")</f>
        <v>Avery Gallagher</v>
      </c>
      <c r="Q3566" s="6" t="str">
        <f>IFERROR(__xludf.DUMMYFUNCTION("""COMPUTED_VALUE"""),"L1")</f>
        <v>L1</v>
      </c>
      <c r="R3566" s="6">
        <f>IFERROR(__xludf.DUMMYFUNCTION("""COMPUTED_VALUE"""),1.0)</f>
        <v>1</v>
      </c>
      <c r="S3566" s="6" t="str">
        <f>IFERROR(__xludf.DUMMYFUNCTION("""COMPUTED_VALUE"""),"Daniel Winans")</f>
        <v>Daniel Winans</v>
      </c>
      <c r="T3566" s="6" t="str">
        <f>IFERROR(__xludf.DUMMYFUNCTION("""COMPUTED_VALUE"""),"daniel.winans@ortrail.k12.or.us")</f>
        <v>daniel.winans@ortrail.k12.or.us</v>
      </c>
      <c r="U3566" s="6" t="str">
        <f>IFERROR(__xludf.DUMMYFUNCTION("""COMPUTED_VALUE"""),"3")</f>
        <v>3</v>
      </c>
      <c r="V3566" s="6" t="str">
        <f>IFERROR(__xludf.DUMMYFUNCTION("""COMPUTED_VALUE"""),"English")</f>
        <v>English</v>
      </c>
      <c r="W3566" s="6" t="str">
        <f>IFERROR(__xludf.DUMMYFUNCTION("""COMPUTED_VALUE"""),"[]")</f>
        <v>[]</v>
      </c>
      <c r="X3566" s="6" t="str">
        <f>IFERROR(__xludf.DUMMYFUNCTION("""COMPUTED_VALUE"""),"Enrolled")</f>
        <v>Enrolled</v>
      </c>
    </row>
    <row r="3567">
      <c r="A3567" s="6" t="str">
        <f>IFERROR(__xludf.DUMMYFUNCTION("""COMPUTED_VALUE"""),"064-6664")</f>
        <v>064-6664</v>
      </c>
      <c r="B3567" s="6" t="str">
        <f>IFERROR(__xludf.DUMMYFUNCTION("""COMPUTED_VALUE"""),"64")</f>
        <v>64</v>
      </c>
      <c r="C3567" s="6" t="str">
        <f>IFERROR(__xludf.DUMMYFUNCTION("""COMPUTED_VALUE"""),"6664")</f>
        <v>6664</v>
      </c>
      <c r="D3567" s="6" t="str">
        <f>IFERROR(__xludf.DUMMYFUNCTION("""COMPUTED_VALUE"""),"Sauvianna")</f>
        <v>Sauvianna</v>
      </c>
      <c r="E3567" s="6" t="str">
        <f>IFERROR(__xludf.DUMMYFUNCTION("""COMPUTED_VALUE"""),"")</f>
        <v/>
      </c>
      <c r="F3567" s="6" t="str">
        <f>IFERROR(__xludf.DUMMYFUNCTION("""COMPUTED_VALUE"""),"Garrity")</f>
        <v>Garrity</v>
      </c>
      <c r="G3567" s="6" t="str">
        <f>IFERROR(__xludf.DUMMYFUNCTION("""COMPUTED_VALUE"""),"08/21/2017")</f>
        <v>08/21/2017</v>
      </c>
      <c r="H3567" s="6" t="str">
        <f>IFERROR(__xludf.DUMMYFUNCTION("""COMPUTED_VALUE"""),"Self Identify")</f>
        <v>Self Identify</v>
      </c>
      <c r="I3567" s="6" t="str">
        <f>IFERROR(__xludf.DUMMYFUNCTION("""COMPUTED_VALUE"""),"Level 1")</f>
        <v>Level 1</v>
      </c>
      <c r="J3567" s="6" t="str">
        <f>IFERROR(__xludf.DUMMYFUNCTION("""COMPUTED_VALUE"""),"3")</f>
        <v>3</v>
      </c>
      <c r="K3567" s="6" t="str">
        <f>IFERROR(__xludf.DUMMYFUNCTION("""COMPUTED_VALUE"""),"sauvie_garrity@stu.ortrail.k12.or.us")</f>
        <v>sauvie_garrity@stu.ortrail.k12.or.us</v>
      </c>
      <c r="L3567" s="6" t="str">
        <f>IFERROR(__xludf.DUMMYFUNCTION("""COMPUTED_VALUE"""),"Oregon Trail School District 46")</f>
        <v>Oregon Trail School District 46</v>
      </c>
      <c r="M3567" s="6" t="str">
        <f>IFERROR(__xludf.DUMMYFUNCTION("""COMPUTED_VALUE"""),"Welches Elementary School")</f>
        <v>Welches Elementary School</v>
      </c>
      <c r="N3567" s="6" t="str">
        <f>IFERROR(__xludf.DUMMYFUNCTION("""COMPUTED_VALUE"""),"")</f>
        <v/>
      </c>
      <c r="O3567" s="87" t="str">
        <f>IFERROR(__xludf.DUMMYFUNCTION("""COMPUTED_VALUE"""),"https://drive.google.com/drive/folders/10T2cTQHqEJZqE-st6uFKPoI?usp=share_link")</f>
        <v>https://drive.google.com/drive/folders/10T2cTQHqEJZqE-st6uFKPoI?usp=share_link</v>
      </c>
      <c r="P3567" s="6" t="str">
        <f>IFERROR(__xludf.DUMMYFUNCTION("""COMPUTED_VALUE"""),"Sauvianna Garrity")</f>
        <v>Sauvianna Garrity</v>
      </c>
      <c r="Q3567" s="6" t="str">
        <f>IFERROR(__xludf.DUMMYFUNCTION("""COMPUTED_VALUE"""),"L1")</f>
        <v>L1</v>
      </c>
      <c r="R3567" s="6">
        <f>IFERROR(__xludf.DUMMYFUNCTION("""COMPUTED_VALUE"""),1.0)</f>
        <v>1</v>
      </c>
      <c r="S3567" s="6" t="str">
        <f>IFERROR(__xludf.DUMMYFUNCTION("""COMPUTED_VALUE"""),"Daniel Winans")</f>
        <v>Daniel Winans</v>
      </c>
      <c r="T3567" s="6" t="str">
        <f>IFERROR(__xludf.DUMMYFUNCTION("""COMPUTED_VALUE"""),"daniel.winans@ortrail.k12.or.us")</f>
        <v>daniel.winans@ortrail.k12.or.us</v>
      </c>
      <c r="U3567" s="6" t="str">
        <f>IFERROR(__xludf.DUMMYFUNCTION("""COMPUTED_VALUE"""),"3")</f>
        <v>3</v>
      </c>
      <c r="V3567" s="6" t="str">
        <f>IFERROR(__xludf.DUMMYFUNCTION("""COMPUTED_VALUE"""),"English")</f>
        <v>English</v>
      </c>
      <c r="W3567" s="6" t="str">
        <f>IFERROR(__xludf.DUMMYFUNCTION("""COMPUTED_VALUE"""),"[]")</f>
        <v>[]</v>
      </c>
      <c r="X3567" s="6" t="str">
        <f>IFERROR(__xludf.DUMMYFUNCTION("""COMPUTED_VALUE"""),"Enrolled")</f>
        <v>Enrolled</v>
      </c>
    </row>
    <row r="3568">
      <c r="A3568" s="6" t="str">
        <f>IFERROR(__xludf.DUMMYFUNCTION("""COMPUTED_VALUE"""),"064-6665")</f>
        <v>064-6665</v>
      </c>
      <c r="B3568" s="6" t="str">
        <f>IFERROR(__xludf.DUMMYFUNCTION("""COMPUTED_VALUE"""),"64")</f>
        <v>64</v>
      </c>
      <c r="C3568" s="6" t="str">
        <f>IFERROR(__xludf.DUMMYFUNCTION("""COMPUTED_VALUE"""),"6665")</f>
        <v>6665</v>
      </c>
      <c r="D3568" s="6" t="str">
        <f>IFERROR(__xludf.DUMMYFUNCTION("""COMPUTED_VALUE"""),"Jadon")</f>
        <v>Jadon</v>
      </c>
      <c r="E3568" s="6" t="str">
        <f>IFERROR(__xludf.DUMMYFUNCTION("""COMPUTED_VALUE"""),"")</f>
        <v/>
      </c>
      <c r="F3568" s="6" t="str">
        <f>IFERROR(__xludf.DUMMYFUNCTION("""COMPUTED_VALUE"""),"Hornor")</f>
        <v>Hornor</v>
      </c>
      <c r="G3568" s="6" t="str">
        <f>IFERROR(__xludf.DUMMYFUNCTION("""COMPUTED_VALUE"""),"05/28/2017")</f>
        <v>05/28/2017</v>
      </c>
      <c r="H3568" s="6" t="str">
        <f>IFERROR(__xludf.DUMMYFUNCTION("""COMPUTED_VALUE"""),"Self Identify")</f>
        <v>Self Identify</v>
      </c>
      <c r="I3568" s="6" t="str">
        <f>IFERROR(__xludf.DUMMYFUNCTION("""COMPUTED_VALUE"""),"Level 1")</f>
        <v>Level 1</v>
      </c>
      <c r="J3568" s="6" t="str">
        <f>IFERROR(__xludf.DUMMYFUNCTION("""COMPUTED_VALUE"""),"3")</f>
        <v>3</v>
      </c>
      <c r="K3568" s="6" t="str">
        <f>IFERROR(__xludf.DUMMYFUNCTION("""COMPUTED_VALUE"""),"jadon_hornor@stu.ortrail.k12.or.us")</f>
        <v>jadon_hornor@stu.ortrail.k12.or.us</v>
      </c>
      <c r="L3568" s="6" t="str">
        <f>IFERROR(__xludf.DUMMYFUNCTION("""COMPUTED_VALUE"""),"Oregon Trail School District 46")</f>
        <v>Oregon Trail School District 46</v>
      </c>
      <c r="M3568" s="6" t="str">
        <f>IFERROR(__xludf.DUMMYFUNCTION("""COMPUTED_VALUE"""),"Welches Elementary School")</f>
        <v>Welches Elementary School</v>
      </c>
      <c r="N3568" s="6" t="str">
        <f>IFERROR(__xludf.DUMMYFUNCTION("""COMPUTED_VALUE"""),"")</f>
        <v/>
      </c>
      <c r="O3568" s="87" t="str">
        <f>IFERROR(__xludf.DUMMYFUNCTION("""COMPUTED_VALUE"""),"https://drive.google.com/drive/folders/10T2cTQHqEJZqE-st6uFKPoI?usp=share_link")</f>
        <v>https://drive.google.com/drive/folders/10T2cTQHqEJZqE-st6uFKPoI?usp=share_link</v>
      </c>
      <c r="P3568" s="6" t="str">
        <f>IFERROR(__xludf.DUMMYFUNCTION("""COMPUTED_VALUE"""),"Jadon Hornor")</f>
        <v>Jadon Hornor</v>
      </c>
      <c r="Q3568" s="6" t="str">
        <f>IFERROR(__xludf.DUMMYFUNCTION("""COMPUTED_VALUE"""),"L1")</f>
        <v>L1</v>
      </c>
      <c r="R3568" s="6">
        <f>IFERROR(__xludf.DUMMYFUNCTION("""COMPUTED_VALUE"""),1.0)</f>
        <v>1</v>
      </c>
      <c r="S3568" s="6" t="str">
        <f>IFERROR(__xludf.DUMMYFUNCTION("""COMPUTED_VALUE"""),"Daniel Winans")</f>
        <v>Daniel Winans</v>
      </c>
      <c r="T3568" s="6" t="str">
        <f>IFERROR(__xludf.DUMMYFUNCTION("""COMPUTED_VALUE"""),"daniel.winans@ortrail.k12.or.us")</f>
        <v>daniel.winans@ortrail.k12.or.us</v>
      </c>
      <c r="U3568" s="6" t="str">
        <f>IFERROR(__xludf.DUMMYFUNCTION("""COMPUTED_VALUE"""),"3")</f>
        <v>3</v>
      </c>
      <c r="V3568" s="6" t="str">
        <f>IFERROR(__xludf.DUMMYFUNCTION("""COMPUTED_VALUE"""),"English")</f>
        <v>English</v>
      </c>
      <c r="W3568" s="6" t="str">
        <f>IFERROR(__xludf.DUMMYFUNCTION("""COMPUTED_VALUE"""),"[]")</f>
        <v>[]</v>
      </c>
      <c r="X3568" s="6" t="str">
        <f>IFERROR(__xludf.DUMMYFUNCTION("""COMPUTED_VALUE"""),"Enrolled")</f>
        <v>Enrolled</v>
      </c>
    </row>
    <row r="3569">
      <c r="A3569" s="6" t="str">
        <f>IFERROR(__xludf.DUMMYFUNCTION("""COMPUTED_VALUE"""),"064-6666")</f>
        <v>064-6666</v>
      </c>
      <c r="B3569" s="6" t="str">
        <f>IFERROR(__xludf.DUMMYFUNCTION("""COMPUTED_VALUE"""),"64")</f>
        <v>64</v>
      </c>
      <c r="C3569" s="6" t="str">
        <f>IFERROR(__xludf.DUMMYFUNCTION("""COMPUTED_VALUE"""),"6666")</f>
        <v>6666</v>
      </c>
      <c r="D3569" s="6" t="str">
        <f>IFERROR(__xludf.DUMMYFUNCTION("""COMPUTED_VALUE"""),"Juniper")</f>
        <v>Juniper</v>
      </c>
      <c r="E3569" s="6" t="str">
        <f>IFERROR(__xludf.DUMMYFUNCTION("""COMPUTED_VALUE"""),"")</f>
        <v/>
      </c>
      <c r="F3569" s="6" t="str">
        <f>IFERROR(__xludf.DUMMYFUNCTION("""COMPUTED_VALUE"""),"Hufford")</f>
        <v>Hufford</v>
      </c>
      <c r="G3569" s="6" t="str">
        <f>IFERROR(__xludf.DUMMYFUNCTION("""COMPUTED_VALUE"""),"10/18/2016")</f>
        <v>10/18/2016</v>
      </c>
      <c r="H3569" s="6" t="str">
        <f>IFERROR(__xludf.DUMMYFUNCTION("""COMPUTED_VALUE"""),"Self Identify")</f>
        <v>Self Identify</v>
      </c>
      <c r="I3569" s="6" t="str">
        <f>IFERROR(__xludf.DUMMYFUNCTION("""COMPUTED_VALUE"""),"Level 1")</f>
        <v>Level 1</v>
      </c>
      <c r="J3569" s="6" t="str">
        <f>IFERROR(__xludf.DUMMYFUNCTION("""COMPUTED_VALUE"""),"3")</f>
        <v>3</v>
      </c>
      <c r="K3569" s="6" t="str">
        <f>IFERROR(__xludf.DUMMYFUNCTION("""COMPUTED_VALUE"""),"juniper_hufford@stu.ortrail.k12.or.us")</f>
        <v>juniper_hufford@stu.ortrail.k12.or.us</v>
      </c>
      <c r="L3569" s="6" t="str">
        <f>IFERROR(__xludf.DUMMYFUNCTION("""COMPUTED_VALUE"""),"Oregon Trail School District 46")</f>
        <v>Oregon Trail School District 46</v>
      </c>
      <c r="M3569" s="6" t="str">
        <f>IFERROR(__xludf.DUMMYFUNCTION("""COMPUTED_VALUE"""),"Welches Elementary School")</f>
        <v>Welches Elementary School</v>
      </c>
      <c r="N3569" s="6" t="str">
        <f>IFERROR(__xludf.DUMMYFUNCTION("""COMPUTED_VALUE"""),"")</f>
        <v/>
      </c>
      <c r="O3569" s="87" t="str">
        <f>IFERROR(__xludf.DUMMYFUNCTION("""COMPUTED_VALUE"""),"https://drive.google.com/drive/folders/10T2cTQHqEJZqE-st6uFKPoI?usp=share_link")</f>
        <v>https://drive.google.com/drive/folders/10T2cTQHqEJZqE-st6uFKPoI?usp=share_link</v>
      </c>
      <c r="P3569" s="6" t="str">
        <f>IFERROR(__xludf.DUMMYFUNCTION("""COMPUTED_VALUE"""),"Juniper Hufford")</f>
        <v>Juniper Hufford</v>
      </c>
      <c r="Q3569" s="6" t="str">
        <f>IFERROR(__xludf.DUMMYFUNCTION("""COMPUTED_VALUE"""),"L1")</f>
        <v>L1</v>
      </c>
      <c r="R3569" s="6">
        <f>IFERROR(__xludf.DUMMYFUNCTION("""COMPUTED_VALUE"""),1.0)</f>
        <v>1</v>
      </c>
      <c r="S3569" s="6" t="str">
        <f>IFERROR(__xludf.DUMMYFUNCTION("""COMPUTED_VALUE"""),"Daniel Winans")</f>
        <v>Daniel Winans</v>
      </c>
      <c r="T3569" s="6" t="str">
        <f>IFERROR(__xludf.DUMMYFUNCTION("""COMPUTED_VALUE"""),"daniel.winans@ortrail.k12.or.us")</f>
        <v>daniel.winans@ortrail.k12.or.us</v>
      </c>
      <c r="U3569" s="6" t="str">
        <f>IFERROR(__xludf.DUMMYFUNCTION("""COMPUTED_VALUE"""),"3")</f>
        <v>3</v>
      </c>
      <c r="V3569" s="6" t="str">
        <f>IFERROR(__xludf.DUMMYFUNCTION("""COMPUTED_VALUE"""),"English")</f>
        <v>English</v>
      </c>
      <c r="W3569" s="6" t="str">
        <f>IFERROR(__xludf.DUMMYFUNCTION("""COMPUTED_VALUE"""),"[]")</f>
        <v>[]</v>
      </c>
      <c r="X3569" s="6" t="str">
        <f>IFERROR(__xludf.DUMMYFUNCTION("""COMPUTED_VALUE"""),"Enrolled")</f>
        <v>Enrolled</v>
      </c>
    </row>
    <row r="3570">
      <c r="A3570" s="6" t="str">
        <f>IFERROR(__xludf.DUMMYFUNCTION("""COMPUTED_VALUE"""),"064-6667")</f>
        <v>064-6667</v>
      </c>
      <c r="B3570" s="6" t="str">
        <f>IFERROR(__xludf.DUMMYFUNCTION("""COMPUTED_VALUE"""),"64")</f>
        <v>64</v>
      </c>
      <c r="C3570" s="6" t="str">
        <f>IFERROR(__xludf.DUMMYFUNCTION("""COMPUTED_VALUE"""),"6667")</f>
        <v>6667</v>
      </c>
      <c r="D3570" s="6" t="str">
        <f>IFERROR(__xludf.DUMMYFUNCTION("""COMPUTED_VALUE"""),"Layla")</f>
        <v>Layla</v>
      </c>
      <c r="E3570" s="6" t="str">
        <f>IFERROR(__xludf.DUMMYFUNCTION("""COMPUTED_VALUE"""),"")</f>
        <v/>
      </c>
      <c r="F3570" s="6" t="str">
        <f>IFERROR(__xludf.DUMMYFUNCTION("""COMPUTED_VALUE"""),"Lynch")</f>
        <v>Lynch</v>
      </c>
      <c r="G3570" s="6" t="str">
        <f>IFERROR(__xludf.DUMMYFUNCTION("""COMPUTED_VALUE"""),"09/30/2016")</f>
        <v>09/30/2016</v>
      </c>
      <c r="H3570" s="6" t="str">
        <f>IFERROR(__xludf.DUMMYFUNCTION("""COMPUTED_VALUE"""),"Self Identify")</f>
        <v>Self Identify</v>
      </c>
      <c r="I3570" s="6" t="str">
        <f>IFERROR(__xludf.DUMMYFUNCTION("""COMPUTED_VALUE"""),"Level 1")</f>
        <v>Level 1</v>
      </c>
      <c r="J3570" s="6" t="str">
        <f>IFERROR(__xludf.DUMMYFUNCTION("""COMPUTED_VALUE"""),"3")</f>
        <v>3</v>
      </c>
      <c r="K3570" s="6" t="str">
        <f>IFERROR(__xludf.DUMMYFUNCTION("""COMPUTED_VALUE"""),"layla_lynch@stu.ortrail.k12.or.us")</f>
        <v>layla_lynch@stu.ortrail.k12.or.us</v>
      </c>
      <c r="L3570" s="6" t="str">
        <f>IFERROR(__xludf.DUMMYFUNCTION("""COMPUTED_VALUE"""),"Oregon Trail School District 46")</f>
        <v>Oregon Trail School District 46</v>
      </c>
      <c r="M3570" s="6" t="str">
        <f>IFERROR(__xludf.DUMMYFUNCTION("""COMPUTED_VALUE"""),"Welches Elementary School")</f>
        <v>Welches Elementary School</v>
      </c>
      <c r="N3570" s="6" t="str">
        <f>IFERROR(__xludf.DUMMYFUNCTION("""COMPUTED_VALUE"""),"")</f>
        <v/>
      </c>
      <c r="O3570" s="87" t="str">
        <f>IFERROR(__xludf.DUMMYFUNCTION("""COMPUTED_VALUE"""),"https://drive.google.com/drive/folders/10T2cTQHqEJZqE-st6uFKPoI?usp=share_link")</f>
        <v>https://drive.google.com/drive/folders/10T2cTQHqEJZqE-st6uFKPoI?usp=share_link</v>
      </c>
      <c r="P3570" s="6" t="str">
        <f>IFERROR(__xludf.DUMMYFUNCTION("""COMPUTED_VALUE"""),"Layla Lynch")</f>
        <v>Layla Lynch</v>
      </c>
      <c r="Q3570" s="6" t="str">
        <f>IFERROR(__xludf.DUMMYFUNCTION("""COMPUTED_VALUE"""),"L1")</f>
        <v>L1</v>
      </c>
      <c r="R3570" s="6">
        <f>IFERROR(__xludf.DUMMYFUNCTION("""COMPUTED_VALUE"""),1.0)</f>
        <v>1</v>
      </c>
      <c r="S3570" s="6" t="str">
        <f>IFERROR(__xludf.DUMMYFUNCTION("""COMPUTED_VALUE"""),"Daniel Winans")</f>
        <v>Daniel Winans</v>
      </c>
      <c r="T3570" s="6" t="str">
        <f>IFERROR(__xludf.DUMMYFUNCTION("""COMPUTED_VALUE"""),"daniel.winans@ortrail.k12.or.us")</f>
        <v>daniel.winans@ortrail.k12.or.us</v>
      </c>
      <c r="U3570" s="6" t="str">
        <f>IFERROR(__xludf.DUMMYFUNCTION("""COMPUTED_VALUE"""),"3")</f>
        <v>3</v>
      </c>
      <c r="V3570" s="6" t="str">
        <f>IFERROR(__xludf.DUMMYFUNCTION("""COMPUTED_VALUE"""),"English")</f>
        <v>English</v>
      </c>
      <c r="W3570" s="6" t="str">
        <f>IFERROR(__xludf.DUMMYFUNCTION("""COMPUTED_VALUE"""),"[]")</f>
        <v>[]</v>
      </c>
      <c r="X3570" s="6" t="str">
        <f>IFERROR(__xludf.DUMMYFUNCTION("""COMPUTED_VALUE"""),"Enrolled")</f>
        <v>Enrolled</v>
      </c>
    </row>
    <row r="3571">
      <c r="A3571" s="6" t="str">
        <f>IFERROR(__xludf.DUMMYFUNCTION("""COMPUTED_VALUE"""),"064-6668")</f>
        <v>064-6668</v>
      </c>
      <c r="B3571" s="6" t="str">
        <f>IFERROR(__xludf.DUMMYFUNCTION("""COMPUTED_VALUE"""),"64")</f>
        <v>64</v>
      </c>
      <c r="C3571" s="6" t="str">
        <f>IFERROR(__xludf.DUMMYFUNCTION("""COMPUTED_VALUE"""),"6668")</f>
        <v>6668</v>
      </c>
      <c r="D3571" s="6" t="str">
        <f>IFERROR(__xludf.DUMMYFUNCTION("""COMPUTED_VALUE"""),"Alidalyn")</f>
        <v>Alidalyn</v>
      </c>
      <c r="E3571" s="6" t="str">
        <f>IFERROR(__xludf.DUMMYFUNCTION("""COMPUTED_VALUE"""),"")</f>
        <v/>
      </c>
      <c r="F3571" s="6" t="str">
        <f>IFERROR(__xludf.DUMMYFUNCTION("""COMPUTED_VALUE"""),"MacDonald")</f>
        <v>MacDonald</v>
      </c>
      <c r="G3571" s="6" t="str">
        <f>IFERROR(__xludf.DUMMYFUNCTION("""COMPUTED_VALUE"""),"02/11/2017")</f>
        <v>02/11/2017</v>
      </c>
      <c r="H3571" s="6" t="str">
        <f>IFERROR(__xludf.DUMMYFUNCTION("""COMPUTED_VALUE"""),"Self Identify")</f>
        <v>Self Identify</v>
      </c>
      <c r="I3571" s="6" t="str">
        <f>IFERROR(__xludf.DUMMYFUNCTION("""COMPUTED_VALUE"""),"Level 1")</f>
        <v>Level 1</v>
      </c>
      <c r="J3571" s="6" t="str">
        <f>IFERROR(__xludf.DUMMYFUNCTION("""COMPUTED_VALUE"""),"3")</f>
        <v>3</v>
      </c>
      <c r="K3571" s="6" t="str">
        <f>IFERROR(__xludf.DUMMYFUNCTION("""COMPUTED_VALUE"""),"alida_macdonald@stu.ortrail.k12.or.us")</f>
        <v>alida_macdonald@stu.ortrail.k12.or.us</v>
      </c>
      <c r="L3571" s="6" t="str">
        <f>IFERROR(__xludf.DUMMYFUNCTION("""COMPUTED_VALUE"""),"Oregon Trail School District 46")</f>
        <v>Oregon Trail School District 46</v>
      </c>
      <c r="M3571" s="6" t="str">
        <f>IFERROR(__xludf.DUMMYFUNCTION("""COMPUTED_VALUE"""),"Welches Elementary School")</f>
        <v>Welches Elementary School</v>
      </c>
      <c r="N3571" s="6" t="str">
        <f>IFERROR(__xludf.DUMMYFUNCTION("""COMPUTED_VALUE"""),"")</f>
        <v/>
      </c>
      <c r="O3571" s="87" t="str">
        <f>IFERROR(__xludf.DUMMYFUNCTION("""COMPUTED_VALUE"""),"https://drive.google.com/drive/folders/10T2cTQHqEJZqE-st6uFKPoI?usp=share_link")</f>
        <v>https://drive.google.com/drive/folders/10T2cTQHqEJZqE-st6uFKPoI?usp=share_link</v>
      </c>
      <c r="P3571" s="6" t="str">
        <f>IFERROR(__xludf.DUMMYFUNCTION("""COMPUTED_VALUE"""),"Alidalyn MacDonald")</f>
        <v>Alidalyn MacDonald</v>
      </c>
      <c r="Q3571" s="6" t="str">
        <f>IFERROR(__xludf.DUMMYFUNCTION("""COMPUTED_VALUE"""),"L1")</f>
        <v>L1</v>
      </c>
      <c r="R3571" s="6">
        <f>IFERROR(__xludf.DUMMYFUNCTION("""COMPUTED_VALUE"""),1.0)</f>
        <v>1</v>
      </c>
      <c r="S3571" s="6" t="str">
        <f>IFERROR(__xludf.DUMMYFUNCTION("""COMPUTED_VALUE"""),"Daniel Winans")</f>
        <v>Daniel Winans</v>
      </c>
      <c r="T3571" s="6" t="str">
        <f>IFERROR(__xludf.DUMMYFUNCTION("""COMPUTED_VALUE"""),"daniel.winans@ortrail.k12.or.us")</f>
        <v>daniel.winans@ortrail.k12.or.us</v>
      </c>
      <c r="U3571" s="6" t="str">
        <f>IFERROR(__xludf.DUMMYFUNCTION("""COMPUTED_VALUE"""),"3")</f>
        <v>3</v>
      </c>
      <c r="V3571" s="6" t="str">
        <f>IFERROR(__xludf.DUMMYFUNCTION("""COMPUTED_VALUE"""),"English")</f>
        <v>English</v>
      </c>
      <c r="W3571" s="6" t="str">
        <f>IFERROR(__xludf.DUMMYFUNCTION("""COMPUTED_VALUE"""),"[]")</f>
        <v>[]</v>
      </c>
      <c r="X3571" s="6" t="str">
        <f>IFERROR(__xludf.DUMMYFUNCTION("""COMPUTED_VALUE"""),"Enrolled")</f>
        <v>Enrolled</v>
      </c>
    </row>
    <row r="3572">
      <c r="A3572" s="6" t="str">
        <f>IFERROR(__xludf.DUMMYFUNCTION("""COMPUTED_VALUE"""),"064-6669")</f>
        <v>064-6669</v>
      </c>
      <c r="B3572" s="6" t="str">
        <f>IFERROR(__xludf.DUMMYFUNCTION("""COMPUTED_VALUE"""),"64")</f>
        <v>64</v>
      </c>
      <c r="C3572" s="6" t="str">
        <f>IFERROR(__xludf.DUMMYFUNCTION("""COMPUTED_VALUE"""),"6669")</f>
        <v>6669</v>
      </c>
      <c r="D3572" s="6" t="str">
        <f>IFERROR(__xludf.DUMMYFUNCTION("""COMPUTED_VALUE"""),"Jacoby")</f>
        <v>Jacoby</v>
      </c>
      <c r="E3572" s="6" t="str">
        <f>IFERROR(__xludf.DUMMYFUNCTION("""COMPUTED_VALUE"""),"")</f>
        <v/>
      </c>
      <c r="F3572" s="6" t="str">
        <f>IFERROR(__xludf.DUMMYFUNCTION("""COMPUTED_VALUE"""),"Martin")</f>
        <v>Martin</v>
      </c>
      <c r="G3572" s="6" t="str">
        <f>IFERROR(__xludf.DUMMYFUNCTION("""COMPUTED_VALUE"""),"11/08/2016")</f>
        <v>11/08/2016</v>
      </c>
      <c r="H3572" s="6" t="str">
        <f>IFERROR(__xludf.DUMMYFUNCTION("""COMPUTED_VALUE"""),"Self Identify")</f>
        <v>Self Identify</v>
      </c>
      <c r="I3572" s="6" t="str">
        <f>IFERROR(__xludf.DUMMYFUNCTION("""COMPUTED_VALUE"""),"Level 1")</f>
        <v>Level 1</v>
      </c>
      <c r="J3572" s="6" t="str">
        <f>IFERROR(__xludf.DUMMYFUNCTION("""COMPUTED_VALUE"""),"3")</f>
        <v>3</v>
      </c>
      <c r="K3572" s="6" t="str">
        <f>IFERROR(__xludf.DUMMYFUNCTION("""COMPUTED_VALUE"""),"jacoby_martin@stu.ortrail.k12.or.us")</f>
        <v>jacoby_martin@stu.ortrail.k12.or.us</v>
      </c>
      <c r="L3572" s="6" t="str">
        <f>IFERROR(__xludf.DUMMYFUNCTION("""COMPUTED_VALUE"""),"Oregon Trail School District 46")</f>
        <v>Oregon Trail School District 46</v>
      </c>
      <c r="M3572" s="6" t="str">
        <f>IFERROR(__xludf.DUMMYFUNCTION("""COMPUTED_VALUE"""),"Welches Elementary School")</f>
        <v>Welches Elementary School</v>
      </c>
      <c r="N3572" s="6" t="str">
        <f>IFERROR(__xludf.DUMMYFUNCTION("""COMPUTED_VALUE"""),"")</f>
        <v/>
      </c>
      <c r="O3572" s="87" t="str">
        <f>IFERROR(__xludf.DUMMYFUNCTION("""COMPUTED_VALUE"""),"https://drive.google.com/drive/folders/10T2cTQHqEJZqE-st6uFKPoI?usp=share_link")</f>
        <v>https://drive.google.com/drive/folders/10T2cTQHqEJZqE-st6uFKPoI?usp=share_link</v>
      </c>
      <c r="P3572" s="6" t="str">
        <f>IFERROR(__xludf.DUMMYFUNCTION("""COMPUTED_VALUE"""),"Jacoby Martin")</f>
        <v>Jacoby Martin</v>
      </c>
      <c r="Q3572" s="6" t="str">
        <f>IFERROR(__xludf.DUMMYFUNCTION("""COMPUTED_VALUE"""),"L1")</f>
        <v>L1</v>
      </c>
      <c r="R3572" s="6">
        <f>IFERROR(__xludf.DUMMYFUNCTION("""COMPUTED_VALUE"""),1.0)</f>
        <v>1</v>
      </c>
      <c r="S3572" s="6" t="str">
        <f>IFERROR(__xludf.DUMMYFUNCTION("""COMPUTED_VALUE"""),"Daniel Winans")</f>
        <v>Daniel Winans</v>
      </c>
      <c r="T3572" s="6" t="str">
        <f>IFERROR(__xludf.DUMMYFUNCTION("""COMPUTED_VALUE"""),"daniel.winans@ortrail.k12.or.us")</f>
        <v>daniel.winans@ortrail.k12.or.us</v>
      </c>
      <c r="U3572" s="6" t="str">
        <f>IFERROR(__xludf.DUMMYFUNCTION("""COMPUTED_VALUE"""),"3")</f>
        <v>3</v>
      </c>
      <c r="V3572" s="6" t="str">
        <f>IFERROR(__xludf.DUMMYFUNCTION("""COMPUTED_VALUE"""),"English")</f>
        <v>English</v>
      </c>
      <c r="W3572" s="6" t="str">
        <f>IFERROR(__xludf.DUMMYFUNCTION("""COMPUTED_VALUE"""),"[]")</f>
        <v>[]</v>
      </c>
      <c r="X3572" s="6" t="str">
        <f>IFERROR(__xludf.DUMMYFUNCTION("""COMPUTED_VALUE"""),"Enrolled")</f>
        <v>Enrolled</v>
      </c>
    </row>
    <row r="3573">
      <c r="A3573" s="6" t="str">
        <f>IFERROR(__xludf.DUMMYFUNCTION("""COMPUTED_VALUE"""),"064-6670")</f>
        <v>064-6670</v>
      </c>
      <c r="B3573" s="6" t="str">
        <f>IFERROR(__xludf.DUMMYFUNCTION("""COMPUTED_VALUE"""),"64")</f>
        <v>64</v>
      </c>
      <c r="C3573" s="6" t="str">
        <f>IFERROR(__xludf.DUMMYFUNCTION("""COMPUTED_VALUE"""),"6670")</f>
        <v>6670</v>
      </c>
      <c r="D3573" s="6" t="str">
        <f>IFERROR(__xludf.DUMMYFUNCTION("""COMPUTED_VALUE"""),"Daniel")</f>
        <v>Daniel</v>
      </c>
      <c r="E3573" s="6" t="str">
        <f>IFERROR(__xludf.DUMMYFUNCTION("""COMPUTED_VALUE"""),"")</f>
        <v/>
      </c>
      <c r="F3573" s="6" t="str">
        <f>IFERROR(__xludf.DUMMYFUNCTION("""COMPUTED_VALUE"""),"Martinez-Olmos")</f>
        <v>Martinez-Olmos</v>
      </c>
      <c r="G3573" s="6" t="str">
        <f>IFERROR(__xludf.DUMMYFUNCTION("""COMPUTED_VALUE"""),"03/19/2017")</f>
        <v>03/19/2017</v>
      </c>
      <c r="H3573" s="6" t="str">
        <f>IFERROR(__xludf.DUMMYFUNCTION("""COMPUTED_VALUE"""),"Self Identify")</f>
        <v>Self Identify</v>
      </c>
      <c r="I3573" s="6" t="str">
        <f>IFERROR(__xludf.DUMMYFUNCTION("""COMPUTED_VALUE"""),"Level 1")</f>
        <v>Level 1</v>
      </c>
      <c r="J3573" s="6" t="str">
        <f>IFERROR(__xludf.DUMMYFUNCTION("""COMPUTED_VALUE"""),"3")</f>
        <v>3</v>
      </c>
      <c r="K3573" s="6" t="str">
        <f>IFERROR(__xludf.DUMMYFUNCTION("""COMPUTED_VALUE"""),"daniel_martinezolmos@stu.ortrail.k12.or.us")</f>
        <v>daniel_martinezolmos@stu.ortrail.k12.or.us</v>
      </c>
      <c r="L3573" s="6" t="str">
        <f>IFERROR(__xludf.DUMMYFUNCTION("""COMPUTED_VALUE"""),"Oregon Trail School District 46")</f>
        <v>Oregon Trail School District 46</v>
      </c>
      <c r="M3573" s="6" t="str">
        <f>IFERROR(__xludf.DUMMYFUNCTION("""COMPUTED_VALUE"""),"Welches Elementary School")</f>
        <v>Welches Elementary School</v>
      </c>
      <c r="N3573" s="6" t="str">
        <f>IFERROR(__xludf.DUMMYFUNCTION("""COMPUTED_VALUE"""),"")</f>
        <v/>
      </c>
      <c r="O3573" s="87" t="str">
        <f>IFERROR(__xludf.DUMMYFUNCTION("""COMPUTED_VALUE"""),"https://drive.google.com/drive/folders/10T2cTQHqEJZqE-st6uFKPoI?usp=share_link")</f>
        <v>https://drive.google.com/drive/folders/10T2cTQHqEJZqE-st6uFKPoI?usp=share_link</v>
      </c>
      <c r="P3573" s="6" t="str">
        <f>IFERROR(__xludf.DUMMYFUNCTION("""COMPUTED_VALUE"""),"Daniel Martinez-Olmos")</f>
        <v>Daniel Martinez-Olmos</v>
      </c>
      <c r="Q3573" s="6" t="str">
        <f>IFERROR(__xludf.DUMMYFUNCTION("""COMPUTED_VALUE"""),"L1")</f>
        <v>L1</v>
      </c>
      <c r="R3573" s="6">
        <f>IFERROR(__xludf.DUMMYFUNCTION("""COMPUTED_VALUE"""),1.0)</f>
        <v>1</v>
      </c>
      <c r="S3573" s="6" t="str">
        <f>IFERROR(__xludf.DUMMYFUNCTION("""COMPUTED_VALUE"""),"Daniel Winans")</f>
        <v>Daniel Winans</v>
      </c>
      <c r="T3573" s="6" t="str">
        <f>IFERROR(__xludf.DUMMYFUNCTION("""COMPUTED_VALUE"""),"daniel.winans@ortrail.k12.or.us")</f>
        <v>daniel.winans@ortrail.k12.or.us</v>
      </c>
      <c r="U3573" s="6" t="str">
        <f>IFERROR(__xludf.DUMMYFUNCTION("""COMPUTED_VALUE"""),"3")</f>
        <v>3</v>
      </c>
      <c r="V3573" s="6" t="str">
        <f>IFERROR(__xludf.DUMMYFUNCTION("""COMPUTED_VALUE"""),"English")</f>
        <v>English</v>
      </c>
      <c r="W3573" s="6" t="str">
        <f>IFERROR(__xludf.DUMMYFUNCTION("""COMPUTED_VALUE"""),"[]")</f>
        <v>[]</v>
      </c>
      <c r="X3573" s="6" t="str">
        <f>IFERROR(__xludf.DUMMYFUNCTION("""COMPUTED_VALUE"""),"Enrolled")</f>
        <v>Enrolled</v>
      </c>
    </row>
    <row r="3574">
      <c r="A3574" s="6" t="str">
        <f>IFERROR(__xludf.DUMMYFUNCTION("""COMPUTED_VALUE"""),"064-6671")</f>
        <v>064-6671</v>
      </c>
      <c r="B3574" s="6" t="str">
        <f>IFERROR(__xludf.DUMMYFUNCTION("""COMPUTED_VALUE"""),"64")</f>
        <v>64</v>
      </c>
      <c r="C3574" s="6" t="str">
        <f>IFERROR(__xludf.DUMMYFUNCTION("""COMPUTED_VALUE"""),"6671")</f>
        <v>6671</v>
      </c>
      <c r="D3574" s="6" t="str">
        <f>IFERROR(__xludf.DUMMYFUNCTION("""COMPUTED_VALUE"""),"Cedar")</f>
        <v>Cedar</v>
      </c>
      <c r="E3574" s="6" t="str">
        <f>IFERROR(__xludf.DUMMYFUNCTION("""COMPUTED_VALUE"""),"")</f>
        <v/>
      </c>
      <c r="F3574" s="6" t="str">
        <f>IFERROR(__xludf.DUMMYFUNCTION("""COMPUTED_VALUE"""),"McCaslin")</f>
        <v>McCaslin</v>
      </c>
      <c r="G3574" s="6" t="str">
        <f>IFERROR(__xludf.DUMMYFUNCTION("""COMPUTED_VALUE"""),"01/05/2017")</f>
        <v>01/05/2017</v>
      </c>
      <c r="H3574" s="6" t="str">
        <f>IFERROR(__xludf.DUMMYFUNCTION("""COMPUTED_VALUE"""),"Self Identify")</f>
        <v>Self Identify</v>
      </c>
      <c r="I3574" s="6" t="str">
        <f>IFERROR(__xludf.DUMMYFUNCTION("""COMPUTED_VALUE"""),"Level 1")</f>
        <v>Level 1</v>
      </c>
      <c r="J3574" s="6" t="str">
        <f>IFERROR(__xludf.DUMMYFUNCTION("""COMPUTED_VALUE"""),"3")</f>
        <v>3</v>
      </c>
      <c r="K3574" s="6" t="str">
        <f>IFERROR(__xludf.DUMMYFUNCTION("""COMPUTED_VALUE"""),"cedar_mccaslin@stu.ortrail.k12.or.us")</f>
        <v>cedar_mccaslin@stu.ortrail.k12.or.us</v>
      </c>
      <c r="L3574" s="6" t="str">
        <f>IFERROR(__xludf.DUMMYFUNCTION("""COMPUTED_VALUE"""),"Oregon Trail School District 46")</f>
        <v>Oregon Trail School District 46</v>
      </c>
      <c r="M3574" s="6" t="str">
        <f>IFERROR(__xludf.DUMMYFUNCTION("""COMPUTED_VALUE"""),"Welches Elementary School")</f>
        <v>Welches Elementary School</v>
      </c>
      <c r="N3574" s="6" t="str">
        <f>IFERROR(__xludf.DUMMYFUNCTION("""COMPUTED_VALUE"""),"")</f>
        <v/>
      </c>
      <c r="O3574" s="87" t="str">
        <f>IFERROR(__xludf.DUMMYFUNCTION("""COMPUTED_VALUE"""),"https://drive.google.com/drive/folders/10T2cTQHqEJZqE-st6uFKPoI?usp=share_link")</f>
        <v>https://drive.google.com/drive/folders/10T2cTQHqEJZqE-st6uFKPoI?usp=share_link</v>
      </c>
      <c r="P3574" s="6" t="str">
        <f>IFERROR(__xludf.DUMMYFUNCTION("""COMPUTED_VALUE"""),"Cedar McCaslin")</f>
        <v>Cedar McCaslin</v>
      </c>
      <c r="Q3574" s="6" t="str">
        <f>IFERROR(__xludf.DUMMYFUNCTION("""COMPUTED_VALUE"""),"L1")</f>
        <v>L1</v>
      </c>
      <c r="R3574" s="6">
        <f>IFERROR(__xludf.DUMMYFUNCTION("""COMPUTED_VALUE"""),1.0)</f>
        <v>1</v>
      </c>
      <c r="S3574" s="6" t="str">
        <f>IFERROR(__xludf.DUMMYFUNCTION("""COMPUTED_VALUE"""),"Daniel Winans")</f>
        <v>Daniel Winans</v>
      </c>
      <c r="T3574" s="6" t="str">
        <f>IFERROR(__xludf.DUMMYFUNCTION("""COMPUTED_VALUE"""),"daniel.winans@ortrail.k12.or.us")</f>
        <v>daniel.winans@ortrail.k12.or.us</v>
      </c>
      <c r="U3574" s="6" t="str">
        <f>IFERROR(__xludf.DUMMYFUNCTION("""COMPUTED_VALUE"""),"3")</f>
        <v>3</v>
      </c>
      <c r="V3574" s="6" t="str">
        <f>IFERROR(__xludf.DUMMYFUNCTION("""COMPUTED_VALUE"""),"English")</f>
        <v>English</v>
      </c>
      <c r="W3574" s="6" t="str">
        <f>IFERROR(__xludf.DUMMYFUNCTION("""COMPUTED_VALUE"""),"[]")</f>
        <v>[]</v>
      </c>
      <c r="X3574" s="6" t="str">
        <f>IFERROR(__xludf.DUMMYFUNCTION("""COMPUTED_VALUE"""),"Enrolled")</f>
        <v>Enrolled</v>
      </c>
    </row>
    <row r="3575">
      <c r="A3575" s="6" t="str">
        <f>IFERROR(__xludf.DUMMYFUNCTION("""COMPUTED_VALUE"""),"064-6672")</f>
        <v>064-6672</v>
      </c>
      <c r="B3575" s="6" t="str">
        <f>IFERROR(__xludf.DUMMYFUNCTION("""COMPUTED_VALUE"""),"64")</f>
        <v>64</v>
      </c>
      <c r="C3575" s="6" t="str">
        <f>IFERROR(__xludf.DUMMYFUNCTION("""COMPUTED_VALUE"""),"6672")</f>
        <v>6672</v>
      </c>
      <c r="D3575" s="6" t="str">
        <f>IFERROR(__xludf.DUMMYFUNCTION("""COMPUTED_VALUE"""),"Asher")</f>
        <v>Asher</v>
      </c>
      <c r="E3575" s="6" t="str">
        <f>IFERROR(__xludf.DUMMYFUNCTION("""COMPUTED_VALUE"""),"")</f>
        <v/>
      </c>
      <c r="F3575" s="6" t="str">
        <f>IFERROR(__xludf.DUMMYFUNCTION("""COMPUTED_VALUE"""),"Nygren")</f>
        <v>Nygren</v>
      </c>
      <c r="G3575" s="6" t="str">
        <f>IFERROR(__xludf.DUMMYFUNCTION("""COMPUTED_VALUE"""),"03/30/2017")</f>
        <v>03/30/2017</v>
      </c>
      <c r="H3575" s="6" t="str">
        <f>IFERROR(__xludf.DUMMYFUNCTION("""COMPUTED_VALUE"""),"Self Identify")</f>
        <v>Self Identify</v>
      </c>
      <c r="I3575" s="6" t="str">
        <f>IFERROR(__xludf.DUMMYFUNCTION("""COMPUTED_VALUE"""),"Level 1")</f>
        <v>Level 1</v>
      </c>
      <c r="J3575" s="6" t="str">
        <f>IFERROR(__xludf.DUMMYFUNCTION("""COMPUTED_VALUE"""),"3")</f>
        <v>3</v>
      </c>
      <c r="K3575" s="6" t="str">
        <f>IFERROR(__xludf.DUMMYFUNCTION("""COMPUTED_VALUE"""),"asher_nygren@stu.ortrail.k12.or.us")</f>
        <v>asher_nygren@stu.ortrail.k12.or.us</v>
      </c>
      <c r="L3575" s="6" t="str">
        <f>IFERROR(__xludf.DUMMYFUNCTION("""COMPUTED_VALUE"""),"Oregon Trail School District 46")</f>
        <v>Oregon Trail School District 46</v>
      </c>
      <c r="M3575" s="6" t="str">
        <f>IFERROR(__xludf.DUMMYFUNCTION("""COMPUTED_VALUE"""),"Welches Elementary School")</f>
        <v>Welches Elementary School</v>
      </c>
      <c r="N3575" s="6" t="str">
        <f>IFERROR(__xludf.DUMMYFUNCTION("""COMPUTED_VALUE"""),"")</f>
        <v/>
      </c>
      <c r="O3575" s="87" t="str">
        <f>IFERROR(__xludf.DUMMYFUNCTION("""COMPUTED_VALUE"""),"https://drive.google.com/drive/folders/10T2cTQHqEJZqE-st6uFKPoI?usp=share_link")</f>
        <v>https://drive.google.com/drive/folders/10T2cTQHqEJZqE-st6uFKPoI?usp=share_link</v>
      </c>
      <c r="P3575" s="6" t="str">
        <f>IFERROR(__xludf.DUMMYFUNCTION("""COMPUTED_VALUE"""),"Asher Nygren")</f>
        <v>Asher Nygren</v>
      </c>
      <c r="Q3575" s="6" t="str">
        <f>IFERROR(__xludf.DUMMYFUNCTION("""COMPUTED_VALUE"""),"L1")</f>
        <v>L1</v>
      </c>
      <c r="R3575" s="6">
        <f>IFERROR(__xludf.DUMMYFUNCTION("""COMPUTED_VALUE"""),1.0)</f>
        <v>1</v>
      </c>
      <c r="S3575" s="6" t="str">
        <f>IFERROR(__xludf.DUMMYFUNCTION("""COMPUTED_VALUE"""),"Daniel Winans")</f>
        <v>Daniel Winans</v>
      </c>
      <c r="T3575" s="6" t="str">
        <f>IFERROR(__xludf.DUMMYFUNCTION("""COMPUTED_VALUE"""),"daniel.winans@ortrail.k12.or.us")</f>
        <v>daniel.winans@ortrail.k12.or.us</v>
      </c>
      <c r="U3575" s="6" t="str">
        <f>IFERROR(__xludf.DUMMYFUNCTION("""COMPUTED_VALUE"""),"3")</f>
        <v>3</v>
      </c>
      <c r="V3575" s="6" t="str">
        <f>IFERROR(__xludf.DUMMYFUNCTION("""COMPUTED_VALUE"""),"English")</f>
        <v>English</v>
      </c>
      <c r="W3575" s="6" t="str">
        <f>IFERROR(__xludf.DUMMYFUNCTION("""COMPUTED_VALUE"""),"[]")</f>
        <v>[]</v>
      </c>
      <c r="X3575" s="6" t="str">
        <f>IFERROR(__xludf.DUMMYFUNCTION("""COMPUTED_VALUE"""),"Enrolled")</f>
        <v>Enrolled</v>
      </c>
    </row>
    <row r="3576">
      <c r="A3576" s="6" t="str">
        <f>IFERROR(__xludf.DUMMYFUNCTION("""COMPUTED_VALUE"""),"064-6673")</f>
        <v>064-6673</v>
      </c>
      <c r="B3576" s="6" t="str">
        <f>IFERROR(__xludf.DUMMYFUNCTION("""COMPUTED_VALUE"""),"64")</f>
        <v>64</v>
      </c>
      <c r="C3576" s="6" t="str">
        <f>IFERROR(__xludf.DUMMYFUNCTION("""COMPUTED_VALUE"""),"6673")</f>
        <v>6673</v>
      </c>
      <c r="D3576" s="6" t="str">
        <f>IFERROR(__xludf.DUMMYFUNCTION("""COMPUTED_VALUE"""),"Darrell")</f>
        <v>Darrell</v>
      </c>
      <c r="E3576" s="6" t="str">
        <f>IFERROR(__xludf.DUMMYFUNCTION("""COMPUTED_VALUE"""),"")</f>
        <v/>
      </c>
      <c r="F3576" s="6" t="str">
        <f>IFERROR(__xludf.DUMMYFUNCTION("""COMPUTED_VALUE"""),"Rosen")</f>
        <v>Rosen</v>
      </c>
      <c r="G3576" s="6" t="str">
        <f>IFERROR(__xludf.DUMMYFUNCTION("""COMPUTED_VALUE"""),"10/14/2016")</f>
        <v>10/14/2016</v>
      </c>
      <c r="H3576" s="6" t="str">
        <f>IFERROR(__xludf.DUMMYFUNCTION("""COMPUTED_VALUE"""),"Self Identify")</f>
        <v>Self Identify</v>
      </c>
      <c r="I3576" s="6" t="str">
        <f>IFERROR(__xludf.DUMMYFUNCTION("""COMPUTED_VALUE"""),"Level 1")</f>
        <v>Level 1</v>
      </c>
      <c r="J3576" s="6" t="str">
        <f>IFERROR(__xludf.DUMMYFUNCTION("""COMPUTED_VALUE"""),"3")</f>
        <v>3</v>
      </c>
      <c r="K3576" s="6" t="str">
        <f>IFERROR(__xludf.DUMMYFUNCTION("""COMPUTED_VALUE"""),"darrell_rosen@stu.ortrail.k12.or.us")</f>
        <v>darrell_rosen@stu.ortrail.k12.or.us</v>
      </c>
      <c r="L3576" s="6" t="str">
        <f>IFERROR(__xludf.DUMMYFUNCTION("""COMPUTED_VALUE"""),"Oregon Trail School District 46")</f>
        <v>Oregon Trail School District 46</v>
      </c>
      <c r="M3576" s="6" t="str">
        <f>IFERROR(__xludf.DUMMYFUNCTION("""COMPUTED_VALUE"""),"Welches Elementary School")</f>
        <v>Welches Elementary School</v>
      </c>
      <c r="N3576" s="6" t="str">
        <f>IFERROR(__xludf.DUMMYFUNCTION("""COMPUTED_VALUE"""),"")</f>
        <v/>
      </c>
      <c r="O3576" s="87" t="str">
        <f>IFERROR(__xludf.DUMMYFUNCTION("""COMPUTED_VALUE"""),"https://drive.google.com/drive/folders/10T2cTQHqEJZqE-st6uFKPoI?usp=share_link")</f>
        <v>https://drive.google.com/drive/folders/10T2cTQHqEJZqE-st6uFKPoI?usp=share_link</v>
      </c>
      <c r="P3576" s="6" t="str">
        <f>IFERROR(__xludf.DUMMYFUNCTION("""COMPUTED_VALUE"""),"Darrell Rosen")</f>
        <v>Darrell Rosen</v>
      </c>
      <c r="Q3576" s="6" t="str">
        <f>IFERROR(__xludf.DUMMYFUNCTION("""COMPUTED_VALUE"""),"L1")</f>
        <v>L1</v>
      </c>
      <c r="R3576" s="6">
        <f>IFERROR(__xludf.DUMMYFUNCTION("""COMPUTED_VALUE"""),1.0)</f>
        <v>1</v>
      </c>
      <c r="S3576" s="6" t="str">
        <f>IFERROR(__xludf.DUMMYFUNCTION("""COMPUTED_VALUE"""),"Daniel Winans")</f>
        <v>Daniel Winans</v>
      </c>
      <c r="T3576" s="6" t="str">
        <f>IFERROR(__xludf.DUMMYFUNCTION("""COMPUTED_VALUE"""),"daniel.winans@ortrail.k12.or.us")</f>
        <v>daniel.winans@ortrail.k12.or.us</v>
      </c>
      <c r="U3576" s="6" t="str">
        <f>IFERROR(__xludf.DUMMYFUNCTION("""COMPUTED_VALUE"""),"3")</f>
        <v>3</v>
      </c>
      <c r="V3576" s="6" t="str">
        <f>IFERROR(__xludf.DUMMYFUNCTION("""COMPUTED_VALUE"""),"English")</f>
        <v>English</v>
      </c>
      <c r="W3576" s="6" t="str">
        <f>IFERROR(__xludf.DUMMYFUNCTION("""COMPUTED_VALUE"""),"[]")</f>
        <v>[]</v>
      </c>
      <c r="X3576" s="6" t="str">
        <f>IFERROR(__xludf.DUMMYFUNCTION("""COMPUTED_VALUE"""),"Enrolled")</f>
        <v>Enrolled</v>
      </c>
    </row>
    <row r="3577">
      <c r="A3577" s="6" t="str">
        <f>IFERROR(__xludf.DUMMYFUNCTION("""COMPUTED_VALUE"""),"064-6675")</f>
        <v>064-6675</v>
      </c>
      <c r="B3577" s="6" t="str">
        <f>IFERROR(__xludf.DUMMYFUNCTION("""COMPUTED_VALUE"""),"64")</f>
        <v>64</v>
      </c>
      <c r="C3577" s="6" t="str">
        <f>IFERROR(__xludf.DUMMYFUNCTION("""COMPUTED_VALUE"""),"6675")</f>
        <v>6675</v>
      </c>
      <c r="D3577" s="6" t="str">
        <f>IFERROR(__xludf.DUMMYFUNCTION("""COMPUTED_VALUE"""),"Cora")</f>
        <v>Cora</v>
      </c>
      <c r="E3577" s="6" t="str">
        <f>IFERROR(__xludf.DUMMYFUNCTION("""COMPUTED_VALUE"""),"")</f>
        <v/>
      </c>
      <c r="F3577" s="6" t="str">
        <f>IFERROR(__xludf.DUMMYFUNCTION("""COMPUTED_VALUE"""),"Spicer")</f>
        <v>Spicer</v>
      </c>
      <c r="G3577" s="6" t="str">
        <f>IFERROR(__xludf.DUMMYFUNCTION("""COMPUTED_VALUE"""),"05/31/2017")</f>
        <v>05/31/2017</v>
      </c>
      <c r="H3577" s="6" t="str">
        <f>IFERROR(__xludf.DUMMYFUNCTION("""COMPUTED_VALUE"""),"Self Identify")</f>
        <v>Self Identify</v>
      </c>
      <c r="I3577" s="6" t="str">
        <f>IFERROR(__xludf.DUMMYFUNCTION("""COMPUTED_VALUE"""),"Level 1")</f>
        <v>Level 1</v>
      </c>
      <c r="J3577" s="6" t="str">
        <f>IFERROR(__xludf.DUMMYFUNCTION("""COMPUTED_VALUE"""),"3")</f>
        <v>3</v>
      </c>
      <c r="K3577" s="6" t="str">
        <f>IFERROR(__xludf.DUMMYFUNCTION("""COMPUTED_VALUE"""),"cora_spicer@stu.ortrail.k12.or.us")</f>
        <v>cora_spicer@stu.ortrail.k12.or.us</v>
      </c>
      <c r="L3577" s="6" t="str">
        <f>IFERROR(__xludf.DUMMYFUNCTION("""COMPUTED_VALUE"""),"Oregon Trail School District 46")</f>
        <v>Oregon Trail School District 46</v>
      </c>
      <c r="M3577" s="6" t="str">
        <f>IFERROR(__xludf.DUMMYFUNCTION("""COMPUTED_VALUE"""),"Welches Elementary School")</f>
        <v>Welches Elementary School</v>
      </c>
      <c r="N3577" s="6" t="str">
        <f>IFERROR(__xludf.DUMMYFUNCTION("""COMPUTED_VALUE"""),"")</f>
        <v/>
      </c>
      <c r="O3577" s="87" t="str">
        <f>IFERROR(__xludf.DUMMYFUNCTION("""COMPUTED_VALUE"""),"https://drive.google.com/drive/folders/10T2cTQHqEJZqE-st6uFKPoI?usp=share_link")</f>
        <v>https://drive.google.com/drive/folders/10T2cTQHqEJZqE-st6uFKPoI?usp=share_link</v>
      </c>
      <c r="P3577" s="6" t="str">
        <f>IFERROR(__xludf.DUMMYFUNCTION("""COMPUTED_VALUE"""),"Cora Spicer")</f>
        <v>Cora Spicer</v>
      </c>
      <c r="Q3577" s="6" t="str">
        <f>IFERROR(__xludf.DUMMYFUNCTION("""COMPUTED_VALUE"""),"L1")</f>
        <v>L1</v>
      </c>
      <c r="R3577" s="6">
        <f>IFERROR(__xludf.DUMMYFUNCTION("""COMPUTED_VALUE"""),1.0)</f>
        <v>1</v>
      </c>
      <c r="S3577" s="6" t="str">
        <f>IFERROR(__xludf.DUMMYFUNCTION("""COMPUTED_VALUE"""),"Daniel Winans")</f>
        <v>Daniel Winans</v>
      </c>
      <c r="T3577" s="6" t="str">
        <f>IFERROR(__xludf.DUMMYFUNCTION("""COMPUTED_VALUE"""),"daniel.winans@ortrail.k12.or.us")</f>
        <v>daniel.winans@ortrail.k12.or.us</v>
      </c>
      <c r="U3577" s="6" t="str">
        <f>IFERROR(__xludf.DUMMYFUNCTION("""COMPUTED_VALUE"""),"3")</f>
        <v>3</v>
      </c>
      <c r="V3577" s="6" t="str">
        <f>IFERROR(__xludf.DUMMYFUNCTION("""COMPUTED_VALUE"""),"English")</f>
        <v>English</v>
      </c>
      <c r="W3577" s="6" t="str">
        <f>IFERROR(__xludf.DUMMYFUNCTION("""COMPUTED_VALUE"""),"[]")</f>
        <v>[]</v>
      </c>
      <c r="X3577" s="6" t="str">
        <f>IFERROR(__xludf.DUMMYFUNCTION("""COMPUTED_VALUE"""),"Enrolled")</f>
        <v>Enrolled</v>
      </c>
    </row>
    <row r="3578">
      <c r="A3578" s="6" t="str">
        <f>IFERROR(__xludf.DUMMYFUNCTION("""COMPUTED_VALUE"""),"064-6676")</f>
        <v>064-6676</v>
      </c>
      <c r="B3578" s="6" t="str">
        <f>IFERROR(__xludf.DUMMYFUNCTION("""COMPUTED_VALUE"""),"64")</f>
        <v>64</v>
      </c>
      <c r="C3578" s="6" t="str">
        <f>IFERROR(__xludf.DUMMYFUNCTION("""COMPUTED_VALUE"""),"6676")</f>
        <v>6676</v>
      </c>
      <c r="D3578" s="6" t="str">
        <f>IFERROR(__xludf.DUMMYFUNCTION("""COMPUTED_VALUE"""),"Owen")</f>
        <v>Owen</v>
      </c>
      <c r="E3578" s="6" t="str">
        <f>IFERROR(__xludf.DUMMYFUNCTION("""COMPUTED_VALUE"""),"")</f>
        <v/>
      </c>
      <c r="F3578" s="6" t="str">
        <f>IFERROR(__xludf.DUMMYFUNCTION("""COMPUTED_VALUE"""),"Clemmer")</f>
        <v>Clemmer</v>
      </c>
      <c r="G3578" s="6" t="str">
        <f>IFERROR(__xludf.DUMMYFUNCTION("""COMPUTED_VALUE"""),"10/02/2015")</f>
        <v>10/02/2015</v>
      </c>
      <c r="H3578" s="6" t="str">
        <f>IFERROR(__xludf.DUMMYFUNCTION("""COMPUTED_VALUE"""),"Self Identify")</f>
        <v>Self Identify</v>
      </c>
      <c r="I3578" s="6" t="str">
        <f>IFERROR(__xludf.DUMMYFUNCTION("""COMPUTED_VALUE"""),"Level 2")</f>
        <v>Level 2</v>
      </c>
      <c r="J3578" s="6" t="str">
        <f>IFERROR(__xludf.DUMMYFUNCTION("""COMPUTED_VALUE"""),"4")</f>
        <v>4</v>
      </c>
      <c r="K3578" s="6" t="str">
        <f>IFERROR(__xludf.DUMMYFUNCTION("""COMPUTED_VALUE"""),"owen_clemmer@stu.ortrail.k12.or.us")</f>
        <v>owen_clemmer@stu.ortrail.k12.or.us</v>
      </c>
      <c r="L3578" s="6" t="str">
        <f>IFERROR(__xludf.DUMMYFUNCTION("""COMPUTED_VALUE"""),"Oregon Trail School District 46")</f>
        <v>Oregon Trail School District 46</v>
      </c>
      <c r="M3578" s="6" t="str">
        <f>IFERROR(__xludf.DUMMYFUNCTION("""COMPUTED_VALUE"""),"Welches Elementary School")</f>
        <v>Welches Elementary School</v>
      </c>
      <c r="N3578" s="6" t="str">
        <f>IFERROR(__xludf.DUMMYFUNCTION("""COMPUTED_VALUE"""),"")</f>
        <v/>
      </c>
      <c r="O3578" s="87" t="str">
        <f>IFERROR(__xludf.DUMMYFUNCTION("""COMPUTED_VALUE"""),"https://drive.google.com/drive/folders/10T2cTQHqEJZqE-st6uFKPoI?usp=share_link")</f>
        <v>https://drive.google.com/drive/folders/10T2cTQHqEJZqE-st6uFKPoI?usp=share_link</v>
      </c>
      <c r="P3578" s="6" t="str">
        <f>IFERROR(__xludf.DUMMYFUNCTION("""COMPUTED_VALUE"""),"Owen Clemmer")</f>
        <v>Owen Clemmer</v>
      </c>
      <c r="Q3578" s="6" t="str">
        <f>IFERROR(__xludf.DUMMYFUNCTION("""COMPUTED_VALUE"""),"L2")</f>
        <v>L2</v>
      </c>
      <c r="R3578" s="6">
        <f>IFERROR(__xludf.DUMMYFUNCTION("""COMPUTED_VALUE"""),2.0)</f>
        <v>2</v>
      </c>
      <c r="S3578" s="6" t="str">
        <f>IFERROR(__xludf.DUMMYFUNCTION("""COMPUTED_VALUE"""),"Sharon Nobel")</f>
        <v>Sharon Nobel</v>
      </c>
      <c r="T3578" s="6" t="str">
        <f>IFERROR(__xludf.DUMMYFUNCTION("""COMPUTED_VALUE"""),"sharon.nobel@ortrail.k12.or.us")</f>
        <v>sharon.nobel@ortrail.k12.or.us</v>
      </c>
      <c r="U3578" s="6" t="str">
        <f>IFERROR(__xludf.DUMMYFUNCTION("""COMPUTED_VALUE"""),"4")</f>
        <v>4</v>
      </c>
      <c r="V3578" s="6" t="str">
        <f>IFERROR(__xludf.DUMMYFUNCTION("""COMPUTED_VALUE"""),"English")</f>
        <v>English</v>
      </c>
      <c r="W3578" s="6" t="str">
        <f>IFERROR(__xludf.DUMMYFUNCTION("""COMPUTED_VALUE"""),"[]")</f>
        <v>[]</v>
      </c>
      <c r="X3578" s="6" t="str">
        <f>IFERROR(__xludf.DUMMYFUNCTION("""COMPUTED_VALUE"""),"Enrolled")</f>
        <v>Enrolled</v>
      </c>
    </row>
    <row r="3579">
      <c r="A3579" s="6" t="str">
        <f>IFERROR(__xludf.DUMMYFUNCTION("""COMPUTED_VALUE"""),"064-6677")</f>
        <v>064-6677</v>
      </c>
      <c r="B3579" s="6" t="str">
        <f>IFERROR(__xludf.DUMMYFUNCTION("""COMPUTED_VALUE"""),"64")</f>
        <v>64</v>
      </c>
      <c r="C3579" s="6" t="str">
        <f>IFERROR(__xludf.DUMMYFUNCTION("""COMPUTED_VALUE"""),"6677")</f>
        <v>6677</v>
      </c>
      <c r="D3579" s="6" t="str">
        <f>IFERROR(__xludf.DUMMYFUNCTION("""COMPUTED_VALUE"""),"Valeria")</f>
        <v>Valeria</v>
      </c>
      <c r="E3579" s="6" t="str">
        <f>IFERROR(__xludf.DUMMYFUNCTION("""COMPUTED_VALUE"""),"")</f>
        <v/>
      </c>
      <c r="F3579" s="6" t="str">
        <f>IFERROR(__xludf.DUMMYFUNCTION("""COMPUTED_VALUE"""),"Cruz Martinez")</f>
        <v>Cruz Martinez</v>
      </c>
      <c r="G3579" s="6" t="str">
        <f>IFERROR(__xludf.DUMMYFUNCTION("""COMPUTED_VALUE"""),"10/30/2015")</f>
        <v>10/30/2015</v>
      </c>
      <c r="H3579" s="6" t="str">
        <f>IFERROR(__xludf.DUMMYFUNCTION("""COMPUTED_VALUE"""),"Self Identify")</f>
        <v>Self Identify</v>
      </c>
      <c r="I3579" s="6" t="str">
        <f>IFERROR(__xludf.DUMMYFUNCTION("""COMPUTED_VALUE"""),"Level 2")</f>
        <v>Level 2</v>
      </c>
      <c r="J3579" s="6" t="str">
        <f>IFERROR(__xludf.DUMMYFUNCTION("""COMPUTED_VALUE"""),"4")</f>
        <v>4</v>
      </c>
      <c r="K3579" s="6" t="str">
        <f>IFERROR(__xludf.DUMMYFUNCTION("""COMPUTED_VALUE"""),"valeria_cruzmartinez@stu.ortrail.k12.or.us")</f>
        <v>valeria_cruzmartinez@stu.ortrail.k12.or.us</v>
      </c>
      <c r="L3579" s="6" t="str">
        <f>IFERROR(__xludf.DUMMYFUNCTION("""COMPUTED_VALUE"""),"Oregon Trail School District 46")</f>
        <v>Oregon Trail School District 46</v>
      </c>
      <c r="M3579" s="6" t="str">
        <f>IFERROR(__xludf.DUMMYFUNCTION("""COMPUTED_VALUE"""),"Welches Elementary School")</f>
        <v>Welches Elementary School</v>
      </c>
      <c r="N3579" s="6" t="str">
        <f>IFERROR(__xludf.DUMMYFUNCTION("""COMPUTED_VALUE"""),"")</f>
        <v/>
      </c>
      <c r="O3579" s="87" t="str">
        <f>IFERROR(__xludf.DUMMYFUNCTION("""COMPUTED_VALUE"""),"https://drive.google.com/drive/folders/10T2cTQHqEJZqE-st6uFKPoI?usp=share_link")</f>
        <v>https://drive.google.com/drive/folders/10T2cTQHqEJZqE-st6uFKPoI?usp=share_link</v>
      </c>
      <c r="P3579" s="6" t="str">
        <f>IFERROR(__xludf.DUMMYFUNCTION("""COMPUTED_VALUE"""),"Valeria Cruz Martinez")</f>
        <v>Valeria Cruz Martinez</v>
      </c>
      <c r="Q3579" s="6" t="str">
        <f>IFERROR(__xludf.DUMMYFUNCTION("""COMPUTED_VALUE"""),"L2")</f>
        <v>L2</v>
      </c>
      <c r="R3579" s="6">
        <f>IFERROR(__xludf.DUMMYFUNCTION("""COMPUTED_VALUE"""),2.0)</f>
        <v>2</v>
      </c>
      <c r="S3579" s="6" t="str">
        <f>IFERROR(__xludf.DUMMYFUNCTION("""COMPUTED_VALUE"""),"Sharon Nobel")</f>
        <v>Sharon Nobel</v>
      </c>
      <c r="T3579" s="6" t="str">
        <f>IFERROR(__xludf.DUMMYFUNCTION("""COMPUTED_VALUE"""),"sharon.nobel@ortrail.k12.or.us")</f>
        <v>sharon.nobel@ortrail.k12.or.us</v>
      </c>
      <c r="U3579" s="6" t="str">
        <f>IFERROR(__xludf.DUMMYFUNCTION("""COMPUTED_VALUE"""),"4")</f>
        <v>4</v>
      </c>
      <c r="V3579" s="6" t="str">
        <f>IFERROR(__xludf.DUMMYFUNCTION("""COMPUTED_VALUE"""),"English")</f>
        <v>English</v>
      </c>
      <c r="W3579" s="6" t="str">
        <f>IFERROR(__xludf.DUMMYFUNCTION("""COMPUTED_VALUE"""),"[]")</f>
        <v>[]</v>
      </c>
      <c r="X3579" s="6" t="str">
        <f>IFERROR(__xludf.DUMMYFUNCTION("""COMPUTED_VALUE"""),"Enrolled")</f>
        <v>Enrolled</v>
      </c>
    </row>
    <row r="3580">
      <c r="A3580" s="6" t="str">
        <f>IFERROR(__xludf.DUMMYFUNCTION("""COMPUTED_VALUE"""),"064-6678")</f>
        <v>064-6678</v>
      </c>
      <c r="B3580" s="6" t="str">
        <f>IFERROR(__xludf.DUMMYFUNCTION("""COMPUTED_VALUE"""),"64")</f>
        <v>64</v>
      </c>
      <c r="C3580" s="6" t="str">
        <f>IFERROR(__xludf.DUMMYFUNCTION("""COMPUTED_VALUE"""),"6678")</f>
        <v>6678</v>
      </c>
      <c r="D3580" s="6" t="str">
        <f>IFERROR(__xludf.DUMMYFUNCTION("""COMPUTED_VALUE"""),"Avery")</f>
        <v>Avery</v>
      </c>
      <c r="E3580" s="6" t="str">
        <f>IFERROR(__xludf.DUMMYFUNCTION("""COMPUTED_VALUE"""),"")</f>
        <v/>
      </c>
      <c r="F3580" s="6" t="str">
        <f>IFERROR(__xludf.DUMMYFUNCTION("""COMPUTED_VALUE"""),"Day")</f>
        <v>Day</v>
      </c>
      <c r="G3580" s="6" t="str">
        <f>IFERROR(__xludf.DUMMYFUNCTION("""COMPUTED_VALUE"""),"03/29/2015")</f>
        <v>03/29/2015</v>
      </c>
      <c r="H3580" s="6" t="str">
        <f>IFERROR(__xludf.DUMMYFUNCTION("""COMPUTED_VALUE"""),"Self Identify")</f>
        <v>Self Identify</v>
      </c>
      <c r="I3580" s="6" t="str">
        <f>IFERROR(__xludf.DUMMYFUNCTION("""COMPUTED_VALUE"""),"Level 2")</f>
        <v>Level 2</v>
      </c>
      <c r="J3580" s="6" t="str">
        <f>IFERROR(__xludf.DUMMYFUNCTION("""COMPUTED_VALUE"""),"4")</f>
        <v>4</v>
      </c>
      <c r="K3580" s="6" t="str">
        <f>IFERROR(__xludf.DUMMYFUNCTION("""COMPUTED_VALUE"""),"avery_day@stu.ortrail.k12.or.us")</f>
        <v>avery_day@stu.ortrail.k12.or.us</v>
      </c>
      <c r="L3580" s="6" t="str">
        <f>IFERROR(__xludf.DUMMYFUNCTION("""COMPUTED_VALUE"""),"Oregon Trail School District 46")</f>
        <v>Oregon Trail School District 46</v>
      </c>
      <c r="M3580" s="6" t="str">
        <f>IFERROR(__xludf.DUMMYFUNCTION("""COMPUTED_VALUE"""),"Welches Elementary School")</f>
        <v>Welches Elementary School</v>
      </c>
      <c r="N3580" s="6" t="str">
        <f>IFERROR(__xludf.DUMMYFUNCTION("""COMPUTED_VALUE"""),"")</f>
        <v/>
      </c>
      <c r="O3580" s="87" t="str">
        <f>IFERROR(__xludf.DUMMYFUNCTION("""COMPUTED_VALUE"""),"https://drive.google.com/drive/folders/10T2cTQHqEJZqE-st6uFKPoI?usp=share_link")</f>
        <v>https://drive.google.com/drive/folders/10T2cTQHqEJZqE-st6uFKPoI?usp=share_link</v>
      </c>
      <c r="P3580" s="6" t="str">
        <f>IFERROR(__xludf.DUMMYFUNCTION("""COMPUTED_VALUE"""),"Avery Day")</f>
        <v>Avery Day</v>
      </c>
      <c r="Q3580" s="6" t="str">
        <f>IFERROR(__xludf.DUMMYFUNCTION("""COMPUTED_VALUE"""),"L2")</f>
        <v>L2</v>
      </c>
      <c r="R3580" s="6">
        <f>IFERROR(__xludf.DUMMYFUNCTION("""COMPUTED_VALUE"""),2.0)</f>
        <v>2</v>
      </c>
      <c r="S3580" s="6" t="str">
        <f>IFERROR(__xludf.DUMMYFUNCTION("""COMPUTED_VALUE"""),"Sharon Nobel")</f>
        <v>Sharon Nobel</v>
      </c>
      <c r="T3580" s="6" t="str">
        <f>IFERROR(__xludf.DUMMYFUNCTION("""COMPUTED_VALUE"""),"sharon.nobel@ortrail.k12.or.us")</f>
        <v>sharon.nobel@ortrail.k12.or.us</v>
      </c>
      <c r="U3580" s="6" t="str">
        <f>IFERROR(__xludf.DUMMYFUNCTION("""COMPUTED_VALUE"""),"4")</f>
        <v>4</v>
      </c>
      <c r="V3580" s="6" t="str">
        <f>IFERROR(__xludf.DUMMYFUNCTION("""COMPUTED_VALUE"""),"English")</f>
        <v>English</v>
      </c>
      <c r="W3580" s="6" t="str">
        <f>IFERROR(__xludf.DUMMYFUNCTION("""COMPUTED_VALUE"""),"[]")</f>
        <v>[]</v>
      </c>
      <c r="X3580" s="6" t="str">
        <f>IFERROR(__xludf.DUMMYFUNCTION("""COMPUTED_VALUE"""),"Enrolled")</f>
        <v>Enrolled</v>
      </c>
    </row>
    <row r="3581">
      <c r="A3581" s="6" t="str">
        <f>IFERROR(__xludf.DUMMYFUNCTION("""COMPUTED_VALUE"""),"064-6679")</f>
        <v>064-6679</v>
      </c>
      <c r="B3581" s="6" t="str">
        <f>IFERROR(__xludf.DUMMYFUNCTION("""COMPUTED_VALUE"""),"64")</f>
        <v>64</v>
      </c>
      <c r="C3581" s="6" t="str">
        <f>IFERROR(__xludf.DUMMYFUNCTION("""COMPUTED_VALUE"""),"6679")</f>
        <v>6679</v>
      </c>
      <c r="D3581" s="6" t="str">
        <f>IFERROR(__xludf.DUMMYFUNCTION("""COMPUTED_VALUE"""),"Addison")</f>
        <v>Addison</v>
      </c>
      <c r="E3581" s="6" t="str">
        <f>IFERROR(__xludf.DUMMYFUNCTION("""COMPUTED_VALUE"""),"")</f>
        <v/>
      </c>
      <c r="F3581" s="6" t="str">
        <f>IFERROR(__xludf.DUMMYFUNCTION("""COMPUTED_VALUE"""),"Dieter")</f>
        <v>Dieter</v>
      </c>
      <c r="G3581" s="6" t="str">
        <f>IFERROR(__xludf.DUMMYFUNCTION("""COMPUTED_VALUE"""),"03/11/2016")</f>
        <v>03/11/2016</v>
      </c>
      <c r="H3581" s="6" t="str">
        <f>IFERROR(__xludf.DUMMYFUNCTION("""COMPUTED_VALUE"""),"Self Identify")</f>
        <v>Self Identify</v>
      </c>
      <c r="I3581" s="6" t="str">
        <f>IFERROR(__xludf.DUMMYFUNCTION("""COMPUTED_VALUE"""),"Level 2")</f>
        <v>Level 2</v>
      </c>
      <c r="J3581" s="6" t="str">
        <f>IFERROR(__xludf.DUMMYFUNCTION("""COMPUTED_VALUE"""),"4")</f>
        <v>4</v>
      </c>
      <c r="K3581" s="6" t="str">
        <f>IFERROR(__xludf.DUMMYFUNCTION("""COMPUTED_VALUE"""),"addison_dieter@stu.ortrail.k12.or.us")</f>
        <v>addison_dieter@stu.ortrail.k12.or.us</v>
      </c>
      <c r="L3581" s="6" t="str">
        <f>IFERROR(__xludf.DUMMYFUNCTION("""COMPUTED_VALUE"""),"Oregon Trail School District 46")</f>
        <v>Oregon Trail School District 46</v>
      </c>
      <c r="M3581" s="6" t="str">
        <f>IFERROR(__xludf.DUMMYFUNCTION("""COMPUTED_VALUE"""),"Welches Elementary School")</f>
        <v>Welches Elementary School</v>
      </c>
      <c r="N3581" s="6" t="str">
        <f>IFERROR(__xludf.DUMMYFUNCTION("""COMPUTED_VALUE"""),"")</f>
        <v/>
      </c>
      <c r="O3581" s="87" t="str">
        <f>IFERROR(__xludf.DUMMYFUNCTION("""COMPUTED_VALUE"""),"https://drive.google.com/drive/folders/10T2cTQHqEJZqE-st6uFKPoI?usp=share_link")</f>
        <v>https://drive.google.com/drive/folders/10T2cTQHqEJZqE-st6uFKPoI?usp=share_link</v>
      </c>
      <c r="P3581" s="6" t="str">
        <f>IFERROR(__xludf.DUMMYFUNCTION("""COMPUTED_VALUE"""),"Addison Dieter")</f>
        <v>Addison Dieter</v>
      </c>
      <c r="Q3581" s="6" t="str">
        <f>IFERROR(__xludf.DUMMYFUNCTION("""COMPUTED_VALUE"""),"L2")</f>
        <v>L2</v>
      </c>
      <c r="R3581" s="6">
        <f>IFERROR(__xludf.DUMMYFUNCTION("""COMPUTED_VALUE"""),2.0)</f>
        <v>2</v>
      </c>
      <c r="S3581" s="6" t="str">
        <f>IFERROR(__xludf.DUMMYFUNCTION("""COMPUTED_VALUE"""),"Sara King")</f>
        <v>Sara King</v>
      </c>
      <c r="T3581" s="6" t="str">
        <f>IFERROR(__xludf.DUMMYFUNCTION("""COMPUTED_VALUE"""),"sara.king@ortrail.k12.or.us")</f>
        <v>sara.king@ortrail.k12.or.us</v>
      </c>
      <c r="U3581" s="6" t="str">
        <f>IFERROR(__xludf.DUMMYFUNCTION("""COMPUTED_VALUE"""),"4")</f>
        <v>4</v>
      </c>
      <c r="V3581" s="6" t="str">
        <f>IFERROR(__xludf.DUMMYFUNCTION("""COMPUTED_VALUE"""),"English")</f>
        <v>English</v>
      </c>
      <c r="W3581" s="6" t="str">
        <f>IFERROR(__xludf.DUMMYFUNCTION("""COMPUTED_VALUE"""),"[]")</f>
        <v>[]</v>
      </c>
      <c r="X3581" s="6" t="str">
        <f>IFERROR(__xludf.DUMMYFUNCTION("""COMPUTED_VALUE"""),"Enrolled")</f>
        <v>Enrolled</v>
      </c>
    </row>
    <row r="3582">
      <c r="A3582" s="6" t="str">
        <f>IFERROR(__xludf.DUMMYFUNCTION("""COMPUTED_VALUE"""),"064-6680")</f>
        <v>064-6680</v>
      </c>
      <c r="B3582" s="6" t="str">
        <f>IFERROR(__xludf.DUMMYFUNCTION("""COMPUTED_VALUE"""),"64")</f>
        <v>64</v>
      </c>
      <c r="C3582" s="6" t="str">
        <f>IFERROR(__xludf.DUMMYFUNCTION("""COMPUTED_VALUE"""),"6680")</f>
        <v>6680</v>
      </c>
      <c r="D3582" s="6" t="str">
        <f>IFERROR(__xludf.DUMMYFUNCTION("""COMPUTED_VALUE"""),"Theodore")</f>
        <v>Theodore</v>
      </c>
      <c r="E3582" s="6" t="str">
        <f>IFERROR(__xludf.DUMMYFUNCTION("""COMPUTED_VALUE"""),"")</f>
        <v/>
      </c>
      <c r="F3582" s="6" t="str">
        <f>IFERROR(__xludf.DUMMYFUNCTION("""COMPUTED_VALUE"""),"Egging")</f>
        <v>Egging</v>
      </c>
      <c r="G3582" s="6" t="str">
        <f>IFERROR(__xludf.DUMMYFUNCTION("""COMPUTED_VALUE"""),"04/17/2016")</f>
        <v>04/17/2016</v>
      </c>
      <c r="H3582" s="6" t="str">
        <f>IFERROR(__xludf.DUMMYFUNCTION("""COMPUTED_VALUE"""),"Self Identify")</f>
        <v>Self Identify</v>
      </c>
      <c r="I3582" s="6" t="str">
        <f>IFERROR(__xludf.DUMMYFUNCTION("""COMPUTED_VALUE"""),"Level 2")</f>
        <v>Level 2</v>
      </c>
      <c r="J3582" s="6" t="str">
        <f>IFERROR(__xludf.DUMMYFUNCTION("""COMPUTED_VALUE"""),"4")</f>
        <v>4</v>
      </c>
      <c r="K3582" s="6" t="str">
        <f>IFERROR(__xludf.DUMMYFUNCTION("""COMPUTED_VALUE"""),"theo_egging@stu.ortrail.k12.or.us")</f>
        <v>theo_egging@stu.ortrail.k12.or.us</v>
      </c>
      <c r="L3582" s="6" t="str">
        <f>IFERROR(__xludf.DUMMYFUNCTION("""COMPUTED_VALUE"""),"Oregon Trail School District 46")</f>
        <v>Oregon Trail School District 46</v>
      </c>
      <c r="M3582" s="6" t="str">
        <f>IFERROR(__xludf.DUMMYFUNCTION("""COMPUTED_VALUE"""),"Welches Elementary School")</f>
        <v>Welches Elementary School</v>
      </c>
      <c r="N3582" s="6" t="str">
        <f>IFERROR(__xludf.DUMMYFUNCTION("""COMPUTED_VALUE"""),"")</f>
        <v/>
      </c>
      <c r="O3582" s="87" t="str">
        <f>IFERROR(__xludf.DUMMYFUNCTION("""COMPUTED_VALUE"""),"https://drive.google.com/drive/folders/10T2cTQHqEJZqE-st6uFKPoI?usp=share_link")</f>
        <v>https://drive.google.com/drive/folders/10T2cTQHqEJZqE-st6uFKPoI?usp=share_link</v>
      </c>
      <c r="P3582" s="6" t="str">
        <f>IFERROR(__xludf.DUMMYFUNCTION("""COMPUTED_VALUE"""),"Theodore Egging")</f>
        <v>Theodore Egging</v>
      </c>
      <c r="Q3582" s="6" t="str">
        <f>IFERROR(__xludf.DUMMYFUNCTION("""COMPUTED_VALUE"""),"L2")</f>
        <v>L2</v>
      </c>
      <c r="R3582" s="6">
        <f>IFERROR(__xludf.DUMMYFUNCTION("""COMPUTED_VALUE"""),2.0)</f>
        <v>2</v>
      </c>
      <c r="S3582" s="6" t="str">
        <f>IFERROR(__xludf.DUMMYFUNCTION("""COMPUTED_VALUE"""),"Sara King")</f>
        <v>Sara King</v>
      </c>
      <c r="T3582" s="6" t="str">
        <f>IFERROR(__xludf.DUMMYFUNCTION("""COMPUTED_VALUE"""),"sara.king@ortrail.k12.or.us")</f>
        <v>sara.king@ortrail.k12.or.us</v>
      </c>
      <c r="U3582" s="6" t="str">
        <f>IFERROR(__xludf.DUMMYFUNCTION("""COMPUTED_VALUE"""),"4")</f>
        <v>4</v>
      </c>
      <c r="V3582" s="6" t="str">
        <f>IFERROR(__xludf.DUMMYFUNCTION("""COMPUTED_VALUE"""),"English")</f>
        <v>English</v>
      </c>
      <c r="W3582" s="6" t="str">
        <f>IFERROR(__xludf.DUMMYFUNCTION("""COMPUTED_VALUE"""),"[]")</f>
        <v>[]</v>
      </c>
      <c r="X3582" s="6" t="str">
        <f>IFERROR(__xludf.DUMMYFUNCTION("""COMPUTED_VALUE"""),"Enrolled")</f>
        <v>Enrolled</v>
      </c>
    </row>
    <row r="3583">
      <c r="A3583" s="6" t="str">
        <f>IFERROR(__xludf.DUMMYFUNCTION("""COMPUTED_VALUE"""),"064-6681")</f>
        <v>064-6681</v>
      </c>
      <c r="B3583" s="6" t="str">
        <f>IFERROR(__xludf.DUMMYFUNCTION("""COMPUTED_VALUE"""),"64")</f>
        <v>64</v>
      </c>
      <c r="C3583" s="6" t="str">
        <f>IFERROR(__xludf.DUMMYFUNCTION("""COMPUTED_VALUE"""),"6681")</f>
        <v>6681</v>
      </c>
      <c r="D3583" s="6" t="str">
        <f>IFERROR(__xludf.DUMMYFUNCTION("""COMPUTED_VALUE"""),"Onyx")</f>
        <v>Onyx</v>
      </c>
      <c r="E3583" s="6" t="str">
        <f>IFERROR(__xludf.DUMMYFUNCTION("""COMPUTED_VALUE"""),"")</f>
        <v/>
      </c>
      <c r="F3583" s="6" t="str">
        <f>IFERROR(__xludf.DUMMYFUNCTION("""COMPUTED_VALUE"""),"Eng-Nagels")</f>
        <v>Eng-Nagels</v>
      </c>
      <c r="G3583" s="6" t="str">
        <f>IFERROR(__xludf.DUMMYFUNCTION("""COMPUTED_VALUE"""),"03/31/2016")</f>
        <v>03/31/2016</v>
      </c>
      <c r="H3583" s="6" t="str">
        <f>IFERROR(__xludf.DUMMYFUNCTION("""COMPUTED_VALUE"""),"Self Identify")</f>
        <v>Self Identify</v>
      </c>
      <c r="I3583" s="6" t="str">
        <f>IFERROR(__xludf.DUMMYFUNCTION("""COMPUTED_VALUE"""),"Level 2")</f>
        <v>Level 2</v>
      </c>
      <c r="J3583" s="6" t="str">
        <f>IFERROR(__xludf.DUMMYFUNCTION("""COMPUTED_VALUE"""),"4")</f>
        <v>4</v>
      </c>
      <c r="K3583" s="6" t="str">
        <f>IFERROR(__xludf.DUMMYFUNCTION("""COMPUTED_VALUE"""),"onyx_engnagels@stu.ortrail.k12.or.us")</f>
        <v>onyx_engnagels@stu.ortrail.k12.or.us</v>
      </c>
      <c r="L3583" s="6" t="str">
        <f>IFERROR(__xludf.DUMMYFUNCTION("""COMPUTED_VALUE"""),"Oregon Trail School District 46")</f>
        <v>Oregon Trail School District 46</v>
      </c>
      <c r="M3583" s="6" t="str">
        <f>IFERROR(__xludf.DUMMYFUNCTION("""COMPUTED_VALUE"""),"Welches Elementary School")</f>
        <v>Welches Elementary School</v>
      </c>
      <c r="N3583" s="6" t="str">
        <f>IFERROR(__xludf.DUMMYFUNCTION("""COMPUTED_VALUE"""),"")</f>
        <v/>
      </c>
      <c r="O3583" s="87" t="str">
        <f>IFERROR(__xludf.DUMMYFUNCTION("""COMPUTED_VALUE"""),"https://drive.google.com/drive/folders/10T2cTQHqEJZqE-st6uFKPoI?usp=share_link")</f>
        <v>https://drive.google.com/drive/folders/10T2cTQHqEJZqE-st6uFKPoI?usp=share_link</v>
      </c>
      <c r="P3583" s="6" t="str">
        <f>IFERROR(__xludf.DUMMYFUNCTION("""COMPUTED_VALUE"""),"Onyx Eng-Nagels")</f>
        <v>Onyx Eng-Nagels</v>
      </c>
      <c r="Q3583" s="6" t="str">
        <f>IFERROR(__xludf.DUMMYFUNCTION("""COMPUTED_VALUE"""),"L2")</f>
        <v>L2</v>
      </c>
      <c r="R3583" s="6">
        <f>IFERROR(__xludf.DUMMYFUNCTION("""COMPUTED_VALUE"""),2.0)</f>
        <v>2</v>
      </c>
      <c r="S3583" s="6" t="str">
        <f>IFERROR(__xludf.DUMMYFUNCTION("""COMPUTED_VALUE"""),"Sharon Nobel")</f>
        <v>Sharon Nobel</v>
      </c>
      <c r="T3583" s="6" t="str">
        <f>IFERROR(__xludf.DUMMYFUNCTION("""COMPUTED_VALUE"""),"sharon.nobel@ortrail.k12.or.us")</f>
        <v>sharon.nobel@ortrail.k12.or.us</v>
      </c>
      <c r="U3583" s="6" t="str">
        <f>IFERROR(__xludf.DUMMYFUNCTION("""COMPUTED_VALUE"""),"4")</f>
        <v>4</v>
      </c>
      <c r="V3583" s="6" t="str">
        <f>IFERROR(__xludf.DUMMYFUNCTION("""COMPUTED_VALUE"""),"English")</f>
        <v>English</v>
      </c>
      <c r="W3583" s="6" t="str">
        <f>IFERROR(__xludf.DUMMYFUNCTION("""COMPUTED_VALUE"""),"[]")</f>
        <v>[]</v>
      </c>
      <c r="X3583" s="6" t="str">
        <f>IFERROR(__xludf.DUMMYFUNCTION("""COMPUTED_VALUE"""),"Enrolled")</f>
        <v>Enrolled</v>
      </c>
    </row>
    <row r="3584">
      <c r="A3584" s="6" t="str">
        <f>IFERROR(__xludf.DUMMYFUNCTION("""COMPUTED_VALUE"""),"064-6682")</f>
        <v>064-6682</v>
      </c>
      <c r="B3584" s="6" t="str">
        <f>IFERROR(__xludf.DUMMYFUNCTION("""COMPUTED_VALUE"""),"64")</f>
        <v>64</v>
      </c>
      <c r="C3584" s="6" t="str">
        <f>IFERROR(__xludf.DUMMYFUNCTION("""COMPUTED_VALUE"""),"6682")</f>
        <v>6682</v>
      </c>
      <c r="D3584" s="6" t="str">
        <f>IFERROR(__xludf.DUMMYFUNCTION("""COMPUTED_VALUE"""),"McKenzie")</f>
        <v>McKenzie</v>
      </c>
      <c r="E3584" s="6" t="str">
        <f>IFERROR(__xludf.DUMMYFUNCTION("""COMPUTED_VALUE"""),"")</f>
        <v/>
      </c>
      <c r="F3584" s="6" t="str">
        <f>IFERROR(__xludf.DUMMYFUNCTION("""COMPUTED_VALUE"""),"Evans")</f>
        <v>Evans</v>
      </c>
      <c r="G3584" s="6" t="str">
        <f>IFERROR(__xludf.DUMMYFUNCTION("""COMPUTED_VALUE"""),"03/29/2016")</f>
        <v>03/29/2016</v>
      </c>
      <c r="H3584" s="6" t="str">
        <f>IFERROR(__xludf.DUMMYFUNCTION("""COMPUTED_VALUE"""),"Self Identify")</f>
        <v>Self Identify</v>
      </c>
      <c r="I3584" s="6" t="str">
        <f>IFERROR(__xludf.DUMMYFUNCTION("""COMPUTED_VALUE"""),"Level 2")</f>
        <v>Level 2</v>
      </c>
      <c r="J3584" s="6" t="str">
        <f>IFERROR(__xludf.DUMMYFUNCTION("""COMPUTED_VALUE"""),"4")</f>
        <v>4</v>
      </c>
      <c r="K3584" s="6" t="str">
        <f>IFERROR(__xludf.DUMMYFUNCTION("""COMPUTED_VALUE"""),"mckenzie_evans@stu.ortrail.k12.or.us")</f>
        <v>mckenzie_evans@stu.ortrail.k12.or.us</v>
      </c>
      <c r="L3584" s="6" t="str">
        <f>IFERROR(__xludf.DUMMYFUNCTION("""COMPUTED_VALUE"""),"Oregon Trail School District 46")</f>
        <v>Oregon Trail School District 46</v>
      </c>
      <c r="M3584" s="6" t="str">
        <f>IFERROR(__xludf.DUMMYFUNCTION("""COMPUTED_VALUE"""),"Welches Elementary School")</f>
        <v>Welches Elementary School</v>
      </c>
      <c r="N3584" s="6" t="str">
        <f>IFERROR(__xludf.DUMMYFUNCTION("""COMPUTED_VALUE"""),"")</f>
        <v/>
      </c>
      <c r="O3584" s="87" t="str">
        <f>IFERROR(__xludf.DUMMYFUNCTION("""COMPUTED_VALUE"""),"https://drive.google.com/drive/folders/10T2cTQHqEJZqE-st6uFKPoI?usp=share_link")</f>
        <v>https://drive.google.com/drive/folders/10T2cTQHqEJZqE-st6uFKPoI?usp=share_link</v>
      </c>
      <c r="P3584" s="6" t="str">
        <f>IFERROR(__xludf.DUMMYFUNCTION("""COMPUTED_VALUE"""),"McKenzie Evans")</f>
        <v>McKenzie Evans</v>
      </c>
      <c r="Q3584" s="6" t="str">
        <f>IFERROR(__xludf.DUMMYFUNCTION("""COMPUTED_VALUE"""),"L2")</f>
        <v>L2</v>
      </c>
      <c r="R3584" s="6">
        <f>IFERROR(__xludf.DUMMYFUNCTION("""COMPUTED_VALUE"""),2.0)</f>
        <v>2</v>
      </c>
      <c r="S3584" s="6" t="str">
        <f>IFERROR(__xludf.DUMMYFUNCTION("""COMPUTED_VALUE"""),"Sharon Nobel")</f>
        <v>Sharon Nobel</v>
      </c>
      <c r="T3584" s="6" t="str">
        <f>IFERROR(__xludf.DUMMYFUNCTION("""COMPUTED_VALUE"""),"sharon.nobel@ortrail.k12.or.us")</f>
        <v>sharon.nobel@ortrail.k12.or.us</v>
      </c>
      <c r="U3584" s="6" t="str">
        <f>IFERROR(__xludf.DUMMYFUNCTION("""COMPUTED_VALUE"""),"4")</f>
        <v>4</v>
      </c>
      <c r="V3584" s="6" t="str">
        <f>IFERROR(__xludf.DUMMYFUNCTION("""COMPUTED_VALUE"""),"English")</f>
        <v>English</v>
      </c>
      <c r="W3584" s="6" t="str">
        <f>IFERROR(__xludf.DUMMYFUNCTION("""COMPUTED_VALUE"""),"[]")</f>
        <v>[]</v>
      </c>
      <c r="X3584" s="6" t="str">
        <f>IFERROR(__xludf.DUMMYFUNCTION("""COMPUTED_VALUE"""),"Enrolled")</f>
        <v>Enrolled</v>
      </c>
    </row>
    <row r="3585">
      <c r="A3585" s="6" t="str">
        <f>IFERROR(__xludf.DUMMYFUNCTION("""COMPUTED_VALUE"""),"064-6683")</f>
        <v>064-6683</v>
      </c>
      <c r="B3585" s="6" t="str">
        <f>IFERROR(__xludf.DUMMYFUNCTION("""COMPUTED_VALUE"""),"64")</f>
        <v>64</v>
      </c>
      <c r="C3585" s="6" t="str">
        <f>IFERROR(__xludf.DUMMYFUNCTION("""COMPUTED_VALUE"""),"6683")</f>
        <v>6683</v>
      </c>
      <c r="D3585" s="6" t="str">
        <f>IFERROR(__xludf.DUMMYFUNCTION("""COMPUTED_VALUE"""),"Brynn")</f>
        <v>Brynn</v>
      </c>
      <c r="E3585" s="6" t="str">
        <f>IFERROR(__xludf.DUMMYFUNCTION("""COMPUTED_VALUE"""),"")</f>
        <v/>
      </c>
      <c r="F3585" s="6" t="str">
        <f>IFERROR(__xludf.DUMMYFUNCTION("""COMPUTED_VALUE"""),"Fischer")</f>
        <v>Fischer</v>
      </c>
      <c r="G3585" s="6" t="str">
        <f>IFERROR(__xludf.DUMMYFUNCTION("""COMPUTED_VALUE"""),"08/25/2016")</f>
        <v>08/25/2016</v>
      </c>
      <c r="H3585" s="6" t="str">
        <f>IFERROR(__xludf.DUMMYFUNCTION("""COMPUTED_VALUE"""),"Self Identify")</f>
        <v>Self Identify</v>
      </c>
      <c r="I3585" s="6" t="str">
        <f>IFERROR(__xludf.DUMMYFUNCTION("""COMPUTED_VALUE"""),"Level 2")</f>
        <v>Level 2</v>
      </c>
      <c r="J3585" s="6" t="str">
        <f>IFERROR(__xludf.DUMMYFUNCTION("""COMPUTED_VALUE"""),"4")</f>
        <v>4</v>
      </c>
      <c r="K3585" s="6" t="str">
        <f>IFERROR(__xludf.DUMMYFUNCTION("""COMPUTED_VALUE"""),"brynn_fischer@stu.ortrail.k12.or.us")</f>
        <v>brynn_fischer@stu.ortrail.k12.or.us</v>
      </c>
      <c r="L3585" s="6" t="str">
        <f>IFERROR(__xludf.DUMMYFUNCTION("""COMPUTED_VALUE"""),"Oregon Trail School District 46")</f>
        <v>Oregon Trail School District 46</v>
      </c>
      <c r="M3585" s="6" t="str">
        <f>IFERROR(__xludf.DUMMYFUNCTION("""COMPUTED_VALUE"""),"Welches Elementary School")</f>
        <v>Welches Elementary School</v>
      </c>
      <c r="N3585" s="6" t="str">
        <f>IFERROR(__xludf.DUMMYFUNCTION("""COMPUTED_VALUE"""),"")</f>
        <v/>
      </c>
      <c r="O3585" s="87" t="str">
        <f>IFERROR(__xludf.DUMMYFUNCTION("""COMPUTED_VALUE"""),"https://drive.google.com/drive/folders/10T2cTQHqEJZqE-st6uFKPoI?usp=share_link")</f>
        <v>https://drive.google.com/drive/folders/10T2cTQHqEJZqE-st6uFKPoI?usp=share_link</v>
      </c>
      <c r="P3585" s="6" t="str">
        <f>IFERROR(__xludf.DUMMYFUNCTION("""COMPUTED_VALUE"""),"Brynn Fischer")</f>
        <v>Brynn Fischer</v>
      </c>
      <c r="Q3585" s="6" t="str">
        <f>IFERROR(__xludf.DUMMYFUNCTION("""COMPUTED_VALUE"""),"L2")</f>
        <v>L2</v>
      </c>
      <c r="R3585" s="6">
        <f>IFERROR(__xludf.DUMMYFUNCTION("""COMPUTED_VALUE"""),2.0)</f>
        <v>2</v>
      </c>
      <c r="S3585" s="6" t="str">
        <f>IFERROR(__xludf.DUMMYFUNCTION("""COMPUTED_VALUE"""),"Sara King")</f>
        <v>Sara King</v>
      </c>
      <c r="T3585" s="6" t="str">
        <f>IFERROR(__xludf.DUMMYFUNCTION("""COMPUTED_VALUE"""),"sara.king@ortrail.k12.or.us")</f>
        <v>sara.king@ortrail.k12.or.us</v>
      </c>
      <c r="U3585" s="6" t="str">
        <f>IFERROR(__xludf.DUMMYFUNCTION("""COMPUTED_VALUE"""),"4")</f>
        <v>4</v>
      </c>
      <c r="V3585" s="6" t="str">
        <f>IFERROR(__xludf.DUMMYFUNCTION("""COMPUTED_VALUE"""),"English")</f>
        <v>English</v>
      </c>
      <c r="W3585" s="6" t="str">
        <f>IFERROR(__xludf.DUMMYFUNCTION("""COMPUTED_VALUE"""),"[]")</f>
        <v>[]</v>
      </c>
      <c r="X3585" s="6" t="str">
        <f>IFERROR(__xludf.DUMMYFUNCTION("""COMPUTED_VALUE"""),"Enrolled")</f>
        <v>Enrolled</v>
      </c>
    </row>
    <row r="3586">
      <c r="A3586" s="6" t="str">
        <f>IFERROR(__xludf.DUMMYFUNCTION("""COMPUTED_VALUE"""),"064-6684")</f>
        <v>064-6684</v>
      </c>
      <c r="B3586" s="6" t="str">
        <f>IFERROR(__xludf.DUMMYFUNCTION("""COMPUTED_VALUE"""),"64")</f>
        <v>64</v>
      </c>
      <c r="C3586" s="6" t="str">
        <f>IFERROR(__xludf.DUMMYFUNCTION("""COMPUTED_VALUE"""),"6684")</f>
        <v>6684</v>
      </c>
      <c r="D3586" s="6" t="str">
        <f>IFERROR(__xludf.DUMMYFUNCTION("""COMPUTED_VALUE"""),"Ryder")</f>
        <v>Ryder</v>
      </c>
      <c r="E3586" s="6" t="str">
        <f>IFERROR(__xludf.DUMMYFUNCTION("""COMPUTED_VALUE"""),"")</f>
        <v/>
      </c>
      <c r="F3586" s="6" t="str">
        <f>IFERROR(__xludf.DUMMYFUNCTION("""COMPUTED_VALUE"""),"Fleischmann")</f>
        <v>Fleischmann</v>
      </c>
      <c r="G3586" s="6" t="str">
        <f>IFERROR(__xludf.DUMMYFUNCTION("""COMPUTED_VALUE"""),"10/27/2015")</f>
        <v>10/27/2015</v>
      </c>
      <c r="H3586" s="6" t="str">
        <f>IFERROR(__xludf.DUMMYFUNCTION("""COMPUTED_VALUE"""),"Self Identify")</f>
        <v>Self Identify</v>
      </c>
      <c r="I3586" s="6" t="str">
        <f>IFERROR(__xludf.DUMMYFUNCTION("""COMPUTED_VALUE"""),"Level 2")</f>
        <v>Level 2</v>
      </c>
      <c r="J3586" s="6" t="str">
        <f>IFERROR(__xludf.DUMMYFUNCTION("""COMPUTED_VALUE"""),"4")</f>
        <v>4</v>
      </c>
      <c r="K3586" s="6" t="str">
        <f>IFERROR(__xludf.DUMMYFUNCTION("""COMPUTED_VALUE"""),"ryder_fleischmann@stu.ortrail.k12.or.us")</f>
        <v>ryder_fleischmann@stu.ortrail.k12.or.us</v>
      </c>
      <c r="L3586" s="6" t="str">
        <f>IFERROR(__xludf.DUMMYFUNCTION("""COMPUTED_VALUE"""),"Oregon Trail School District 46")</f>
        <v>Oregon Trail School District 46</v>
      </c>
      <c r="M3586" s="6" t="str">
        <f>IFERROR(__xludf.DUMMYFUNCTION("""COMPUTED_VALUE"""),"Welches Elementary School")</f>
        <v>Welches Elementary School</v>
      </c>
      <c r="N3586" s="6" t="str">
        <f>IFERROR(__xludf.DUMMYFUNCTION("""COMPUTED_VALUE"""),"")</f>
        <v/>
      </c>
      <c r="O3586" s="87" t="str">
        <f>IFERROR(__xludf.DUMMYFUNCTION("""COMPUTED_VALUE"""),"https://drive.google.com/drive/folders/10T2cTQHqEJZqE-st6uFKPoI?usp=share_link")</f>
        <v>https://drive.google.com/drive/folders/10T2cTQHqEJZqE-st6uFKPoI?usp=share_link</v>
      </c>
      <c r="P3586" s="6" t="str">
        <f>IFERROR(__xludf.DUMMYFUNCTION("""COMPUTED_VALUE"""),"Ryder Fleischmann")</f>
        <v>Ryder Fleischmann</v>
      </c>
      <c r="Q3586" s="6" t="str">
        <f>IFERROR(__xludf.DUMMYFUNCTION("""COMPUTED_VALUE"""),"L2")</f>
        <v>L2</v>
      </c>
      <c r="R3586" s="6">
        <f>IFERROR(__xludf.DUMMYFUNCTION("""COMPUTED_VALUE"""),2.0)</f>
        <v>2</v>
      </c>
      <c r="S3586" s="6" t="str">
        <f>IFERROR(__xludf.DUMMYFUNCTION("""COMPUTED_VALUE"""),"Sara King")</f>
        <v>Sara King</v>
      </c>
      <c r="T3586" s="6" t="str">
        <f>IFERROR(__xludf.DUMMYFUNCTION("""COMPUTED_VALUE"""),"sara.king@ortrail.k12.or.us")</f>
        <v>sara.king@ortrail.k12.or.us</v>
      </c>
      <c r="U3586" s="6" t="str">
        <f>IFERROR(__xludf.DUMMYFUNCTION("""COMPUTED_VALUE"""),"4")</f>
        <v>4</v>
      </c>
      <c r="V3586" s="6" t="str">
        <f>IFERROR(__xludf.DUMMYFUNCTION("""COMPUTED_VALUE"""),"English")</f>
        <v>English</v>
      </c>
      <c r="W3586" s="6" t="str">
        <f>IFERROR(__xludf.DUMMYFUNCTION("""COMPUTED_VALUE"""),"[]")</f>
        <v>[]</v>
      </c>
      <c r="X3586" s="6" t="str">
        <f>IFERROR(__xludf.DUMMYFUNCTION("""COMPUTED_VALUE"""),"Enrolled")</f>
        <v>Enrolled</v>
      </c>
    </row>
    <row r="3587">
      <c r="A3587" s="6" t="str">
        <f>IFERROR(__xludf.DUMMYFUNCTION("""COMPUTED_VALUE"""),"064-6685")</f>
        <v>064-6685</v>
      </c>
      <c r="B3587" s="6" t="str">
        <f>IFERROR(__xludf.DUMMYFUNCTION("""COMPUTED_VALUE"""),"64")</f>
        <v>64</v>
      </c>
      <c r="C3587" s="6" t="str">
        <f>IFERROR(__xludf.DUMMYFUNCTION("""COMPUTED_VALUE"""),"6685")</f>
        <v>6685</v>
      </c>
      <c r="D3587" s="6" t="str">
        <f>IFERROR(__xludf.DUMMYFUNCTION("""COMPUTED_VALUE"""),"Soleil")</f>
        <v>Soleil</v>
      </c>
      <c r="E3587" s="6" t="str">
        <f>IFERROR(__xludf.DUMMYFUNCTION("""COMPUTED_VALUE"""),"")</f>
        <v/>
      </c>
      <c r="F3587" s="6" t="str">
        <f>IFERROR(__xludf.DUMMYFUNCTION("""COMPUTED_VALUE"""),"Freeman")</f>
        <v>Freeman</v>
      </c>
      <c r="G3587" s="6" t="str">
        <f>IFERROR(__xludf.DUMMYFUNCTION("""COMPUTED_VALUE"""),"07/05/2016")</f>
        <v>07/05/2016</v>
      </c>
      <c r="H3587" s="6" t="str">
        <f>IFERROR(__xludf.DUMMYFUNCTION("""COMPUTED_VALUE"""),"Self Identify")</f>
        <v>Self Identify</v>
      </c>
      <c r="I3587" s="6" t="str">
        <f>IFERROR(__xludf.DUMMYFUNCTION("""COMPUTED_VALUE"""),"Level 2")</f>
        <v>Level 2</v>
      </c>
      <c r="J3587" s="6" t="str">
        <f>IFERROR(__xludf.DUMMYFUNCTION("""COMPUTED_VALUE"""),"4")</f>
        <v>4</v>
      </c>
      <c r="K3587" s="6" t="str">
        <f>IFERROR(__xludf.DUMMYFUNCTION("""COMPUTED_VALUE"""),"soleil_freeman@stu.ortrail.k12.or.us")</f>
        <v>soleil_freeman@stu.ortrail.k12.or.us</v>
      </c>
      <c r="L3587" s="6" t="str">
        <f>IFERROR(__xludf.DUMMYFUNCTION("""COMPUTED_VALUE"""),"Oregon Trail School District 46")</f>
        <v>Oregon Trail School District 46</v>
      </c>
      <c r="M3587" s="6" t="str">
        <f>IFERROR(__xludf.DUMMYFUNCTION("""COMPUTED_VALUE"""),"Welches Elementary School")</f>
        <v>Welches Elementary School</v>
      </c>
      <c r="N3587" s="6" t="str">
        <f>IFERROR(__xludf.DUMMYFUNCTION("""COMPUTED_VALUE"""),"")</f>
        <v/>
      </c>
      <c r="O3587" s="87" t="str">
        <f>IFERROR(__xludf.DUMMYFUNCTION("""COMPUTED_VALUE"""),"https://drive.google.com/drive/folders/10T2cTQHqEJZqE-st6uFKPoI?usp=share_link")</f>
        <v>https://drive.google.com/drive/folders/10T2cTQHqEJZqE-st6uFKPoI?usp=share_link</v>
      </c>
      <c r="P3587" s="6" t="str">
        <f>IFERROR(__xludf.DUMMYFUNCTION("""COMPUTED_VALUE"""),"Soleil Freeman")</f>
        <v>Soleil Freeman</v>
      </c>
      <c r="Q3587" s="6" t="str">
        <f>IFERROR(__xludf.DUMMYFUNCTION("""COMPUTED_VALUE"""),"L2")</f>
        <v>L2</v>
      </c>
      <c r="R3587" s="6">
        <f>IFERROR(__xludf.DUMMYFUNCTION("""COMPUTED_VALUE"""),2.0)</f>
        <v>2</v>
      </c>
      <c r="S3587" s="6" t="str">
        <f>IFERROR(__xludf.DUMMYFUNCTION("""COMPUTED_VALUE"""),"Sharon Nobel")</f>
        <v>Sharon Nobel</v>
      </c>
      <c r="T3587" s="6" t="str">
        <f>IFERROR(__xludf.DUMMYFUNCTION("""COMPUTED_VALUE"""),"sharon.nobel@ortrail.k12.or.us")</f>
        <v>sharon.nobel@ortrail.k12.or.us</v>
      </c>
      <c r="U3587" s="6" t="str">
        <f>IFERROR(__xludf.DUMMYFUNCTION("""COMPUTED_VALUE"""),"4")</f>
        <v>4</v>
      </c>
      <c r="V3587" s="6" t="str">
        <f>IFERROR(__xludf.DUMMYFUNCTION("""COMPUTED_VALUE"""),"English")</f>
        <v>English</v>
      </c>
      <c r="W3587" s="6" t="str">
        <f>IFERROR(__xludf.DUMMYFUNCTION("""COMPUTED_VALUE"""),"[]")</f>
        <v>[]</v>
      </c>
      <c r="X3587" s="6" t="str">
        <f>IFERROR(__xludf.DUMMYFUNCTION("""COMPUTED_VALUE"""),"Enrolled")</f>
        <v>Enrolled</v>
      </c>
    </row>
    <row r="3588">
      <c r="A3588" s="6" t="str">
        <f>IFERROR(__xludf.DUMMYFUNCTION("""COMPUTED_VALUE"""),"064-6686")</f>
        <v>064-6686</v>
      </c>
      <c r="B3588" s="6" t="str">
        <f>IFERROR(__xludf.DUMMYFUNCTION("""COMPUTED_VALUE"""),"64")</f>
        <v>64</v>
      </c>
      <c r="C3588" s="6" t="str">
        <f>IFERROR(__xludf.DUMMYFUNCTION("""COMPUTED_VALUE"""),"6686")</f>
        <v>6686</v>
      </c>
      <c r="D3588" s="6" t="str">
        <f>IFERROR(__xludf.DUMMYFUNCTION("""COMPUTED_VALUE"""),"Jackson")</f>
        <v>Jackson</v>
      </c>
      <c r="E3588" s="6" t="str">
        <f>IFERROR(__xludf.DUMMYFUNCTION("""COMPUTED_VALUE"""),"")</f>
        <v/>
      </c>
      <c r="F3588" s="6" t="str">
        <f>IFERROR(__xludf.DUMMYFUNCTION("""COMPUTED_VALUE"""),"Jennings")</f>
        <v>Jennings</v>
      </c>
      <c r="G3588" s="6" t="str">
        <f>IFERROR(__xludf.DUMMYFUNCTION("""COMPUTED_VALUE"""),"06/30/2016")</f>
        <v>06/30/2016</v>
      </c>
      <c r="H3588" s="6" t="str">
        <f>IFERROR(__xludf.DUMMYFUNCTION("""COMPUTED_VALUE"""),"Self Identify")</f>
        <v>Self Identify</v>
      </c>
      <c r="I3588" s="6" t="str">
        <f>IFERROR(__xludf.DUMMYFUNCTION("""COMPUTED_VALUE"""),"Level 2")</f>
        <v>Level 2</v>
      </c>
      <c r="J3588" s="6" t="str">
        <f>IFERROR(__xludf.DUMMYFUNCTION("""COMPUTED_VALUE"""),"4")</f>
        <v>4</v>
      </c>
      <c r="K3588" s="6" t="str">
        <f>IFERROR(__xludf.DUMMYFUNCTION("""COMPUTED_VALUE"""),"jack_jennings@stu.ortrail.k12.or.us")</f>
        <v>jack_jennings@stu.ortrail.k12.or.us</v>
      </c>
      <c r="L3588" s="6" t="str">
        <f>IFERROR(__xludf.DUMMYFUNCTION("""COMPUTED_VALUE"""),"Oregon Trail School District 46")</f>
        <v>Oregon Trail School District 46</v>
      </c>
      <c r="M3588" s="6" t="str">
        <f>IFERROR(__xludf.DUMMYFUNCTION("""COMPUTED_VALUE"""),"Welches Elementary School")</f>
        <v>Welches Elementary School</v>
      </c>
      <c r="N3588" s="6" t="str">
        <f>IFERROR(__xludf.DUMMYFUNCTION("""COMPUTED_VALUE"""),"")</f>
        <v/>
      </c>
      <c r="O3588" s="87" t="str">
        <f>IFERROR(__xludf.DUMMYFUNCTION("""COMPUTED_VALUE"""),"https://drive.google.com/drive/folders/10T2cTQHqEJZqE-st6uFKPoI?usp=share_link")</f>
        <v>https://drive.google.com/drive/folders/10T2cTQHqEJZqE-st6uFKPoI?usp=share_link</v>
      </c>
      <c r="P3588" s="6" t="str">
        <f>IFERROR(__xludf.DUMMYFUNCTION("""COMPUTED_VALUE"""),"Jackson Jennings")</f>
        <v>Jackson Jennings</v>
      </c>
      <c r="Q3588" s="6" t="str">
        <f>IFERROR(__xludf.DUMMYFUNCTION("""COMPUTED_VALUE"""),"L2")</f>
        <v>L2</v>
      </c>
      <c r="R3588" s="6">
        <f>IFERROR(__xludf.DUMMYFUNCTION("""COMPUTED_VALUE"""),2.0)</f>
        <v>2</v>
      </c>
      <c r="S3588" s="6" t="str">
        <f>IFERROR(__xludf.DUMMYFUNCTION("""COMPUTED_VALUE"""),"Sharon Nobel")</f>
        <v>Sharon Nobel</v>
      </c>
      <c r="T3588" s="6" t="str">
        <f>IFERROR(__xludf.DUMMYFUNCTION("""COMPUTED_VALUE"""),"sharon.nobel@ortrail.k12.or.us")</f>
        <v>sharon.nobel@ortrail.k12.or.us</v>
      </c>
      <c r="U3588" s="6" t="str">
        <f>IFERROR(__xludf.DUMMYFUNCTION("""COMPUTED_VALUE"""),"4")</f>
        <v>4</v>
      </c>
      <c r="V3588" s="6" t="str">
        <f>IFERROR(__xludf.DUMMYFUNCTION("""COMPUTED_VALUE"""),"English")</f>
        <v>English</v>
      </c>
      <c r="W3588" s="6" t="str">
        <f>IFERROR(__xludf.DUMMYFUNCTION("""COMPUTED_VALUE"""),"[]")</f>
        <v>[]</v>
      </c>
      <c r="X3588" s="6" t="str">
        <f>IFERROR(__xludf.DUMMYFUNCTION("""COMPUTED_VALUE"""),"Enrolled")</f>
        <v>Enrolled</v>
      </c>
    </row>
    <row r="3589">
      <c r="A3589" s="6" t="str">
        <f>IFERROR(__xludf.DUMMYFUNCTION("""COMPUTED_VALUE"""),"064-6687")</f>
        <v>064-6687</v>
      </c>
      <c r="B3589" s="6" t="str">
        <f>IFERROR(__xludf.DUMMYFUNCTION("""COMPUTED_VALUE"""),"64")</f>
        <v>64</v>
      </c>
      <c r="C3589" s="6" t="str">
        <f>IFERROR(__xludf.DUMMYFUNCTION("""COMPUTED_VALUE"""),"6687")</f>
        <v>6687</v>
      </c>
      <c r="D3589" s="6" t="str">
        <f>IFERROR(__xludf.DUMMYFUNCTION("""COMPUTED_VALUE"""),"Graham")</f>
        <v>Graham</v>
      </c>
      <c r="E3589" s="6" t="str">
        <f>IFERROR(__xludf.DUMMYFUNCTION("""COMPUTED_VALUE"""),"")</f>
        <v/>
      </c>
      <c r="F3589" s="6" t="str">
        <f>IFERROR(__xludf.DUMMYFUNCTION("""COMPUTED_VALUE"""),"Kanable")</f>
        <v>Kanable</v>
      </c>
      <c r="G3589" s="6" t="str">
        <f>IFERROR(__xludf.DUMMYFUNCTION("""COMPUTED_VALUE"""),"12/21/2015")</f>
        <v>12/21/2015</v>
      </c>
      <c r="H3589" s="6" t="str">
        <f>IFERROR(__xludf.DUMMYFUNCTION("""COMPUTED_VALUE"""),"Self Identify")</f>
        <v>Self Identify</v>
      </c>
      <c r="I3589" s="6" t="str">
        <f>IFERROR(__xludf.DUMMYFUNCTION("""COMPUTED_VALUE"""),"Level 2")</f>
        <v>Level 2</v>
      </c>
      <c r="J3589" s="6" t="str">
        <f>IFERROR(__xludf.DUMMYFUNCTION("""COMPUTED_VALUE"""),"4")</f>
        <v>4</v>
      </c>
      <c r="K3589" s="6" t="str">
        <f>IFERROR(__xludf.DUMMYFUNCTION("""COMPUTED_VALUE"""),"graham_kanable@stu.ortrail.k12.or.us")</f>
        <v>graham_kanable@stu.ortrail.k12.or.us</v>
      </c>
      <c r="L3589" s="6" t="str">
        <f>IFERROR(__xludf.DUMMYFUNCTION("""COMPUTED_VALUE"""),"Oregon Trail School District 46")</f>
        <v>Oregon Trail School District 46</v>
      </c>
      <c r="M3589" s="6" t="str">
        <f>IFERROR(__xludf.DUMMYFUNCTION("""COMPUTED_VALUE"""),"Welches Elementary School")</f>
        <v>Welches Elementary School</v>
      </c>
      <c r="N3589" s="6" t="str">
        <f>IFERROR(__xludf.DUMMYFUNCTION("""COMPUTED_VALUE"""),"")</f>
        <v/>
      </c>
      <c r="O3589" s="87" t="str">
        <f>IFERROR(__xludf.DUMMYFUNCTION("""COMPUTED_VALUE"""),"https://drive.google.com/drive/folders/10T2cTQHqEJZqE-st6uFKPoI?usp=share_link")</f>
        <v>https://drive.google.com/drive/folders/10T2cTQHqEJZqE-st6uFKPoI?usp=share_link</v>
      </c>
      <c r="P3589" s="6" t="str">
        <f>IFERROR(__xludf.DUMMYFUNCTION("""COMPUTED_VALUE"""),"Graham Kanable")</f>
        <v>Graham Kanable</v>
      </c>
      <c r="Q3589" s="6" t="str">
        <f>IFERROR(__xludf.DUMMYFUNCTION("""COMPUTED_VALUE"""),"L2")</f>
        <v>L2</v>
      </c>
      <c r="R3589" s="6">
        <f>IFERROR(__xludf.DUMMYFUNCTION("""COMPUTED_VALUE"""),2.0)</f>
        <v>2</v>
      </c>
      <c r="S3589" s="6" t="str">
        <f>IFERROR(__xludf.DUMMYFUNCTION("""COMPUTED_VALUE"""),"Sharon Nobel")</f>
        <v>Sharon Nobel</v>
      </c>
      <c r="T3589" s="6" t="str">
        <f>IFERROR(__xludf.DUMMYFUNCTION("""COMPUTED_VALUE"""),"sharon.nobel@ortrail.k12.or.us")</f>
        <v>sharon.nobel@ortrail.k12.or.us</v>
      </c>
      <c r="U3589" s="6" t="str">
        <f>IFERROR(__xludf.DUMMYFUNCTION("""COMPUTED_VALUE"""),"4")</f>
        <v>4</v>
      </c>
      <c r="V3589" s="6" t="str">
        <f>IFERROR(__xludf.DUMMYFUNCTION("""COMPUTED_VALUE"""),"English")</f>
        <v>English</v>
      </c>
      <c r="W3589" s="6" t="str">
        <f>IFERROR(__xludf.DUMMYFUNCTION("""COMPUTED_VALUE"""),"[]")</f>
        <v>[]</v>
      </c>
      <c r="X3589" s="6" t="str">
        <f>IFERROR(__xludf.DUMMYFUNCTION("""COMPUTED_VALUE"""),"Enrolled")</f>
        <v>Enrolled</v>
      </c>
    </row>
    <row r="3590">
      <c r="A3590" s="6" t="str">
        <f>IFERROR(__xludf.DUMMYFUNCTION("""COMPUTED_VALUE"""),"064-6688")</f>
        <v>064-6688</v>
      </c>
      <c r="B3590" s="6" t="str">
        <f>IFERROR(__xludf.DUMMYFUNCTION("""COMPUTED_VALUE"""),"64")</f>
        <v>64</v>
      </c>
      <c r="C3590" s="6" t="str">
        <f>IFERROR(__xludf.DUMMYFUNCTION("""COMPUTED_VALUE"""),"6688")</f>
        <v>6688</v>
      </c>
      <c r="D3590" s="6" t="str">
        <f>IFERROR(__xludf.DUMMYFUNCTION("""COMPUTED_VALUE"""),"Calum")</f>
        <v>Calum</v>
      </c>
      <c r="E3590" s="6" t="str">
        <f>IFERROR(__xludf.DUMMYFUNCTION("""COMPUTED_VALUE"""),"")</f>
        <v/>
      </c>
      <c r="F3590" s="6" t="str">
        <f>IFERROR(__xludf.DUMMYFUNCTION("""COMPUTED_VALUE"""),"Kayser")</f>
        <v>Kayser</v>
      </c>
      <c r="G3590" s="6" t="str">
        <f>IFERROR(__xludf.DUMMYFUNCTION("""COMPUTED_VALUE"""),"08/18/2016")</f>
        <v>08/18/2016</v>
      </c>
      <c r="H3590" s="6" t="str">
        <f>IFERROR(__xludf.DUMMYFUNCTION("""COMPUTED_VALUE"""),"Self Identify")</f>
        <v>Self Identify</v>
      </c>
      <c r="I3590" s="6" t="str">
        <f>IFERROR(__xludf.DUMMYFUNCTION("""COMPUTED_VALUE"""),"Level 2")</f>
        <v>Level 2</v>
      </c>
      <c r="J3590" s="6" t="str">
        <f>IFERROR(__xludf.DUMMYFUNCTION("""COMPUTED_VALUE"""),"4")</f>
        <v>4</v>
      </c>
      <c r="K3590" s="6" t="str">
        <f>IFERROR(__xludf.DUMMYFUNCTION("""COMPUTED_VALUE"""),"calum_kayser@stu.ortrail.k12.or.us")</f>
        <v>calum_kayser@stu.ortrail.k12.or.us</v>
      </c>
      <c r="L3590" s="6" t="str">
        <f>IFERROR(__xludf.DUMMYFUNCTION("""COMPUTED_VALUE"""),"Oregon Trail School District 46")</f>
        <v>Oregon Trail School District 46</v>
      </c>
      <c r="M3590" s="6" t="str">
        <f>IFERROR(__xludf.DUMMYFUNCTION("""COMPUTED_VALUE"""),"Welches Elementary School")</f>
        <v>Welches Elementary School</v>
      </c>
      <c r="N3590" s="6" t="str">
        <f>IFERROR(__xludf.DUMMYFUNCTION("""COMPUTED_VALUE"""),"")</f>
        <v/>
      </c>
      <c r="O3590" s="87" t="str">
        <f>IFERROR(__xludf.DUMMYFUNCTION("""COMPUTED_VALUE"""),"https://drive.google.com/drive/folders/10T2cTQHqEJZqE-st6uFKPoI?usp=share_link")</f>
        <v>https://drive.google.com/drive/folders/10T2cTQHqEJZqE-st6uFKPoI?usp=share_link</v>
      </c>
      <c r="P3590" s="6" t="str">
        <f>IFERROR(__xludf.DUMMYFUNCTION("""COMPUTED_VALUE"""),"Calum Kayser")</f>
        <v>Calum Kayser</v>
      </c>
      <c r="Q3590" s="6" t="str">
        <f>IFERROR(__xludf.DUMMYFUNCTION("""COMPUTED_VALUE"""),"L2")</f>
        <v>L2</v>
      </c>
      <c r="R3590" s="6">
        <f>IFERROR(__xludf.DUMMYFUNCTION("""COMPUTED_VALUE"""),2.0)</f>
        <v>2</v>
      </c>
      <c r="S3590" s="6" t="str">
        <f>IFERROR(__xludf.DUMMYFUNCTION("""COMPUTED_VALUE"""),"Sharon Nobel")</f>
        <v>Sharon Nobel</v>
      </c>
      <c r="T3590" s="6" t="str">
        <f>IFERROR(__xludf.DUMMYFUNCTION("""COMPUTED_VALUE"""),"sharon.nobel@ortrail.k12.or.us")</f>
        <v>sharon.nobel@ortrail.k12.or.us</v>
      </c>
      <c r="U3590" s="6" t="str">
        <f>IFERROR(__xludf.DUMMYFUNCTION("""COMPUTED_VALUE"""),"4")</f>
        <v>4</v>
      </c>
      <c r="V3590" s="6" t="str">
        <f>IFERROR(__xludf.DUMMYFUNCTION("""COMPUTED_VALUE"""),"English")</f>
        <v>English</v>
      </c>
      <c r="W3590" s="6" t="str">
        <f>IFERROR(__xludf.DUMMYFUNCTION("""COMPUTED_VALUE"""),"[]")</f>
        <v>[]</v>
      </c>
      <c r="X3590" s="6" t="str">
        <f>IFERROR(__xludf.DUMMYFUNCTION("""COMPUTED_VALUE"""),"Enrolled")</f>
        <v>Enrolled</v>
      </c>
    </row>
    <row r="3591">
      <c r="A3591" s="6" t="str">
        <f>IFERROR(__xludf.DUMMYFUNCTION("""COMPUTED_VALUE"""),"064-6689")</f>
        <v>064-6689</v>
      </c>
      <c r="B3591" s="6" t="str">
        <f>IFERROR(__xludf.DUMMYFUNCTION("""COMPUTED_VALUE"""),"64")</f>
        <v>64</v>
      </c>
      <c r="C3591" s="6" t="str">
        <f>IFERROR(__xludf.DUMMYFUNCTION("""COMPUTED_VALUE"""),"6689")</f>
        <v>6689</v>
      </c>
      <c r="D3591" s="6" t="str">
        <f>IFERROR(__xludf.DUMMYFUNCTION("""COMPUTED_VALUE"""),"Orion")</f>
        <v>Orion</v>
      </c>
      <c r="E3591" s="6" t="str">
        <f>IFERROR(__xludf.DUMMYFUNCTION("""COMPUTED_VALUE"""),"")</f>
        <v/>
      </c>
      <c r="F3591" s="6" t="str">
        <f>IFERROR(__xludf.DUMMYFUNCTION("""COMPUTED_VALUE"""),"Kobek")</f>
        <v>Kobek</v>
      </c>
      <c r="G3591" s="6" t="str">
        <f>IFERROR(__xludf.DUMMYFUNCTION("""COMPUTED_VALUE"""),"02/23/2016")</f>
        <v>02/23/2016</v>
      </c>
      <c r="H3591" s="6" t="str">
        <f>IFERROR(__xludf.DUMMYFUNCTION("""COMPUTED_VALUE"""),"Self Identify")</f>
        <v>Self Identify</v>
      </c>
      <c r="I3591" s="6" t="str">
        <f>IFERROR(__xludf.DUMMYFUNCTION("""COMPUTED_VALUE"""),"Level 2")</f>
        <v>Level 2</v>
      </c>
      <c r="J3591" s="6" t="str">
        <f>IFERROR(__xludf.DUMMYFUNCTION("""COMPUTED_VALUE"""),"4")</f>
        <v>4</v>
      </c>
      <c r="K3591" s="6" t="str">
        <f>IFERROR(__xludf.DUMMYFUNCTION("""COMPUTED_VALUE"""),"orion_kobek@stu.ortrail.k12.or.us")</f>
        <v>orion_kobek@stu.ortrail.k12.or.us</v>
      </c>
      <c r="L3591" s="6" t="str">
        <f>IFERROR(__xludf.DUMMYFUNCTION("""COMPUTED_VALUE"""),"Oregon Trail School District 46")</f>
        <v>Oregon Trail School District 46</v>
      </c>
      <c r="M3591" s="6" t="str">
        <f>IFERROR(__xludf.DUMMYFUNCTION("""COMPUTED_VALUE"""),"Welches Elementary School")</f>
        <v>Welches Elementary School</v>
      </c>
      <c r="N3591" s="6" t="str">
        <f>IFERROR(__xludf.DUMMYFUNCTION("""COMPUTED_VALUE"""),"")</f>
        <v/>
      </c>
      <c r="O3591" s="87" t="str">
        <f>IFERROR(__xludf.DUMMYFUNCTION("""COMPUTED_VALUE"""),"https://drive.google.com/drive/folders/10T2cTQHqEJZqE-st6uFKPoI?usp=share_link")</f>
        <v>https://drive.google.com/drive/folders/10T2cTQHqEJZqE-st6uFKPoI?usp=share_link</v>
      </c>
      <c r="P3591" s="6" t="str">
        <f>IFERROR(__xludf.DUMMYFUNCTION("""COMPUTED_VALUE"""),"Orion Kobek")</f>
        <v>Orion Kobek</v>
      </c>
      <c r="Q3591" s="6" t="str">
        <f>IFERROR(__xludf.DUMMYFUNCTION("""COMPUTED_VALUE"""),"L2")</f>
        <v>L2</v>
      </c>
      <c r="R3591" s="6">
        <f>IFERROR(__xludf.DUMMYFUNCTION("""COMPUTED_VALUE"""),2.0)</f>
        <v>2</v>
      </c>
      <c r="S3591" s="6" t="str">
        <f>IFERROR(__xludf.DUMMYFUNCTION("""COMPUTED_VALUE"""),"Sara King")</f>
        <v>Sara King</v>
      </c>
      <c r="T3591" s="6" t="str">
        <f>IFERROR(__xludf.DUMMYFUNCTION("""COMPUTED_VALUE"""),"sara.king@ortrail.k12.or.us")</f>
        <v>sara.king@ortrail.k12.or.us</v>
      </c>
      <c r="U3591" s="6" t="str">
        <f>IFERROR(__xludf.DUMMYFUNCTION("""COMPUTED_VALUE"""),"4")</f>
        <v>4</v>
      </c>
      <c r="V3591" s="6" t="str">
        <f>IFERROR(__xludf.DUMMYFUNCTION("""COMPUTED_VALUE"""),"English")</f>
        <v>English</v>
      </c>
      <c r="W3591" s="6" t="str">
        <f>IFERROR(__xludf.DUMMYFUNCTION("""COMPUTED_VALUE"""),"[]")</f>
        <v>[]</v>
      </c>
      <c r="X3591" s="6" t="str">
        <f>IFERROR(__xludf.DUMMYFUNCTION("""COMPUTED_VALUE"""),"Enrolled")</f>
        <v>Enrolled</v>
      </c>
    </row>
    <row r="3592">
      <c r="A3592" s="6" t="str">
        <f>IFERROR(__xludf.DUMMYFUNCTION("""COMPUTED_VALUE"""),"064-6690")</f>
        <v>064-6690</v>
      </c>
      <c r="B3592" s="6" t="str">
        <f>IFERROR(__xludf.DUMMYFUNCTION("""COMPUTED_VALUE"""),"64")</f>
        <v>64</v>
      </c>
      <c r="C3592" s="6" t="str">
        <f>IFERROR(__xludf.DUMMYFUNCTION("""COMPUTED_VALUE"""),"6690")</f>
        <v>6690</v>
      </c>
      <c r="D3592" s="6" t="str">
        <f>IFERROR(__xludf.DUMMYFUNCTION("""COMPUTED_VALUE"""),"Ember")</f>
        <v>Ember</v>
      </c>
      <c r="E3592" s="6" t="str">
        <f>IFERROR(__xludf.DUMMYFUNCTION("""COMPUTED_VALUE"""),"")</f>
        <v/>
      </c>
      <c r="F3592" s="6" t="str">
        <f>IFERROR(__xludf.DUMMYFUNCTION("""COMPUTED_VALUE"""),"MacInnis")</f>
        <v>MacInnis</v>
      </c>
      <c r="G3592" s="6" t="str">
        <f>IFERROR(__xludf.DUMMYFUNCTION("""COMPUTED_VALUE"""),"08/12/2016")</f>
        <v>08/12/2016</v>
      </c>
      <c r="H3592" s="6" t="str">
        <f>IFERROR(__xludf.DUMMYFUNCTION("""COMPUTED_VALUE"""),"Self Identify")</f>
        <v>Self Identify</v>
      </c>
      <c r="I3592" s="6" t="str">
        <f>IFERROR(__xludf.DUMMYFUNCTION("""COMPUTED_VALUE"""),"Level 2")</f>
        <v>Level 2</v>
      </c>
      <c r="J3592" s="6" t="str">
        <f>IFERROR(__xludf.DUMMYFUNCTION("""COMPUTED_VALUE"""),"4")</f>
        <v>4</v>
      </c>
      <c r="K3592" s="6" t="str">
        <f>IFERROR(__xludf.DUMMYFUNCTION("""COMPUTED_VALUE"""),"ember_macinnis@stu.ortrail.k12.or.us")</f>
        <v>ember_macinnis@stu.ortrail.k12.or.us</v>
      </c>
      <c r="L3592" s="6" t="str">
        <f>IFERROR(__xludf.DUMMYFUNCTION("""COMPUTED_VALUE"""),"Oregon Trail School District 46")</f>
        <v>Oregon Trail School District 46</v>
      </c>
      <c r="M3592" s="6" t="str">
        <f>IFERROR(__xludf.DUMMYFUNCTION("""COMPUTED_VALUE"""),"Welches Elementary School")</f>
        <v>Welches Elementary School</v>
      </c>
      <c r="N3592" s="6" t="str">
        <f>IFERROR(__xludf.DUMMYFUNCTION("""COMPUTED_VALUE"""),"")</f>
        <v/>
      </c>
      <c r="O3592" s="87" t="str">
        <f>IFERROR(__xludf.DUMMYFUNCTION("""COMPUTED_VALUE"""),"https://drive.google.com/drive/folders/10T2cTQHqEJZqE-st6uFKPoI?usp=share_link")</f>
        <v>https://drive.google.com/drive/folders/10T2cTQHqEJZqE-st6uFKPoI?usp=share_link</v>
      </c>
      <c r="P3592" s="6" t="str">
        <f>IFERROR(__xludf.DUMMYFUNCTION("""COMPUTED_VALUE"""),"Ember MacInnis")</f>
        <v>Ember MacInnis</v>
      </c>
      <c r="Q3592" s="6" t="str">
        <f>IFERROR(__xludf.DUMMYFUNCTION("""COMPUTED_VALUE"""),"L2")</f>
        <v>L2</v>
      </c>
      <c r="R3592" s="6">
        <f>IFERROR(__xludf.DUMMYFUNCTION("""COMPUTED_VALUE"""),2.0)</f>
        <v>2</v>
      </c>
      <c r="S3592" s="6" t="str">
        <f>IFERROR(__xludf.DUMMYFUNCTION("""COMPUTED_VALUE"""),"Sharon Nobel")</f>
        <v>Sharon Nobel</v>
      </c>
      <c r="T3592" s="6" t="str">
        <f>IFERROR(__xludf.DUMMYFUNCTION("""COMPUTED_VALUE"""),"sharon.nobel@ortrail.k12.or.us")</f>
        <v>sharon.nobel@ortrail.k12.or.us</v>
      </c>
      <c r="U3592" s="6" t="str">
        <f>IFERROR(__xludf.DUMMYFUNCTION("""COMPUTED_VALUE"""),"4")</f>
        <v>4</v>
      </c>
      <c r="V3592" s="6" t="str">
        <f>IFERROR(__xludf.DUMMYFUNCTION("""COMPUTED_VALUE"""),"English")</f>
        <v>English</v>
      </c>
      <c r="W3592" s="6" t="str">
        <f>IFERROR(__xludf.DUMMYFUNCTION("""COMPUTED_VALUE"""),"[]")</f>
        <v>[]</v>
      </c>
      <c r="X3592" s="6" t="str">
        <f>IFERROR(__xludf.DUMMYFUNCTION("""COMPUTED_VALUE"""),"Enrolled")</f>
        <v>Enrolled</v>
      </c>
    </row>
    <row r="3593">
      <c r="A3593" s="6" t="str">
        <f>IFERROR(__xludf.DUMMYFUNCTION("""COMPUTED_VALUE"""),"064-6691")</f>
        <v>064-6691</v>
      </c>
      <c r="B3593" s="6" t="str">
        <f>IFERROR(__xludf.DUMMYFUNCTION("""COMPUTED_VALUE"""),"64")</f>
        <v>64</v>
      </c>
      <c r="C3593" s="6" t="str">
        <f>IFERROR(__xludf.DUMMYFUNCTION("""COMPUTED_VALUE"""),"6691")</f>
        <v>6691</v>
      </c>
      <c r="D3593" s="6" t="str">
        <f>IFERROR(__xludf.DUMMYFUNCTION("""COMPUTED_VALUE"""),"Grayson")</f>
        <v>Grayson</v>
      </c>
      <c r="E3593" s="6" t="str">
        <f>IFERROR(__xludf.DUMMYFUNCTION("""COMPUTED_VALUE"""),"")</f>
        <v/>
      </c>
      <c r="F3593" s="6" t="str">
        <f>IFERROR(__xludf.DUMMYFUNCTION("""COMPUTED_VALUE"""),"Mckamey")</f>
        <v>Mckamey</v>
      </c>
      <c r="G3593" s="6" t="str">
        <f>IFERROR(__xludf.DUMMYFUNCTION("""COMPUTED_VALUE"""),"06/18/2016")</f>
        <v>06/18/2016</v>
      </c>
      <c r="H3593" s="6" t="str">
        <f>IFERROR(__xludf.DUMMYFUNCTION("""COMPUTED_VALUE"""),"Self Identify")</f>
        <v>Self Identify</v>
      </c>
      <c r="I3593" s="6" t="str">
        <f>IFERROR(__xludf.DUMMYFUNCTION("""COMPUTED_VALUE"""),"Level 2")</f>
        <v>Level 2</v>
      </c>
      <c r="J3593" s="6" t="str">
        <f>IFERROR(__xludf.DUMMYFUNCTION("""COMPUTED_VALUE"""),"4")</f>
        <v>4</v>
      </c>
      <c r="K3593" s="6" t="str">
        <f>IFERROR(__xludf.DUMMYFUNCTION("""COMPUTED_VALUE"""),"gray_mckamey@stu.ortrail.k12.or.us")</f>
        <v>gray_mckamey@stu.ortrail.k12.or.us</v>
      </c>
      <c r="L3593" s="6" t="str">
        <f>IFERROR(__xludf.DUMMYFUNCTION("""COMPUTED_VALUE"""),"Oregon Trail School District 46")</f>
        <v>Oregon Trail School District 46</v>
      </c>
      <c r="M3593" s="6" t="str">
        <f>IFERROR(__xludf.DUMMYFUNCTION("""COMPUTED_VALUE"""),"Welches Elementary School")</f>
        <v>Welches Elementary School</v>
      </c>
      <c r="N3593" s="6" t="str">
        <f>IFERROR(__xludf.DUMMYFUNCTION("""COMPUTED_VALUE"""),"")</f>
        <v/>
      </c>
      <c r="O3593" s="87" t="str">
        <f>IFERROR(__xludf.DUMMYFUNCTION("""COMPUTED_VALUE"""),"https://drive.google.com/drive/folders/10T2cTQHqEJZqE-st6uFKPoI?usp=share_link")</f>
        <v>https://drive.google.com/drive/folders/10T2cTQHqEJZqE-st6uFKPoI?usp=share_link</v>
      </c>
      <c r="P3593" s="6" t="str">
        <f>IFERROR(__xludf.DUMMYFUNCTION("""COMPUTED_VALUE"""),"Grayson Mckamey")</f>
        <v>Grayson Mckamey</v>
      </c>
      <c r="Q3593" s="6" t="str">
        <f>IFERROR(__xludf.DUMMYFUNCTION("""COMPUTED_VALUE"""),"L2")</f>
        <v>L2</v>
      </c>
      <c r="R3593" s="6">
        <f>IFERROR(__xludf.DUMMYFUNCTION("""COMPUTED_VALUE"""),2.0)</f>
        <v>2</v>
      </c>
      <c r="S3593" s="6" t="str">
        <f>IFERROR(__xludf.DUMMYFUNCTION("""COMPUTED_VALUE"""),"Sharon Nobel")</f>
        <v>Sharon Nobel</v>
      </c>
      <c r="T3593" s="6" t="str">
        <f>IFERROR(__xludf.DUMMYFUNCTION("""COMPUTED_VALUE"""),"sharon.nobel@ortrail.k12.or.us")</f>
        <v>sharon.nobel@ortrail.k12.or.us</v>
      </c>
      <c r="U3593" s="6" t="str">
        <f>IFERROR(__xludf.DUMMYFUNCTION("""COMPUTED_VALUE"""),"4")</f>
        <v>4</v>
      </c>
      <c r="V3593" s="6" t="str">
        <f>IFERROR(__xludf.DUMMYFUNCTION("""COMPUTED_VALUE"""),"English")</f>
        <v>English</v>
      </c>
      <c r="W3593" s="6" t="str">
        <f>IFERROR(__xludf.DUMMYFUNCTION("""COMPUTED_VALUE"""),"[]")</f>
        <v>[]</v>
      </c>
      <c r="X3593" s="6" t="str">
        <f>IFERROR(__xludf.DUMMYFUNCTION("""COMPUTED_VALUE"""),"Enrolled")</f>
        <v>Enrolled</v>
      </c>
    </row>
    <row r="3594">
      <c r="A3594" s="6" t="str">
        <f>IFERROR(__xludf.DUMMYFUNCTION("""COMPUTED_VALUE"""),"064-6692")</f>
        <v>064-6692</v>
      </c>
      <c r="B3594" s="6" t="str">
        <f>IFERROR(__xludf.DUMMYFUNCTION("""COMPUTED_VALUE"""),"64")</f>
        <v>64</v>
      </c>
      <c r="C3594" s="6" t="str">
        <f>IFERROR(__xludf.DUMMYFUNCTION("""COMPUTED_VALUE"""),"6692")</f>
        <v>6692</v>
      </c>
      <c r="D3594" s="6" t="str">
        <f>IFERROR(__xludf.DUMMYFUNCTION("""COMPUTED_VALUE"""),"Emerson")</f>
        <v>Emerson</v>
      </c>
      <c r="E3594" s="6" t="str">
        <f>IFERROR(__xludf.DUMMYFUNCTION("""COMPUTED_VALUE"""),"")</f>
        <v/>
      </c>
      <c r="F3594" s="6" t="str">
        <f>IFERROR(__xludf.DUMMYFUNCTION("""COMPUTED_VALUE"""),"Moreno")</f>
        <v>Moreno</v>
      </c>
      <c r="G3594" s="6" t="str">
        <f>IFERROR(__xludf.DUMMYFUNCTION("""COMPUTED_VALUE"""),"07/01/2016")</f>
        <v>07/01/2016</v>
      </c>
      <c r="H3594" s="6" t="str">
        <f>IFERROR(__xludf.DUMMYFUNCTION("""COMPUTED_VALUE"""),"Self Identify")</f>
        <v>Self Identify</v>
      </c>
      <c r="I3594" s="6" t="str">
        <f>IFERROR(__xludf.DUMMYFUNCTION("""COMPUTED_VALUE"""),"Level 2")</f>
        <v>Level 2</v>
      </c>
      <c r="J3594" s="6" t="str">
        <f>IFERROR(__xludf.DUMMYFUNCTION("""COMPUTED_VALUE"""),"4")</f>
        <v>4</v>
      </c>
      <c r="K3594" s="6" t="str">
        <f>IFERROR(__xludf.DUMMYFUNCTION("""COMPUTED_VALUE"""),"emerson_moreno@stu.ortrail.k12.or.us")</f>
        <v>emerson_moreno@stu.ortrail.k12.or.us</v>
      </c>
      <c r="L3594" s="6" t="str">
        <f>IFERROR(__xludf.DUMMYFUNCTION("""COMPUTED_VALUE"""),"Oregon Trail School District 46")</f>
        <v>Oregon Trail School District 46</v>
      </c>
      <c r="M3594" s="6" t="str">
        <f>IFERROR(__xludf.DUMMYFUNCTION("""COMPUTED_VALUE"""),"Welches Elementary School")</f>
        <v>Welches Elementary School</v>
      </c>
      <c r="N3594" s="6" t="str">
        <f>IFERROR(__xludf.DUMMYFUNCTION("""COMPUTED_VALUE"""),"")</f>
        <v/>
      </c>
      <c r="O3594" s="87" t="str">
        <f>IFERROR(__xludf.DUMMYFUNCTION("""COMPUTED_VALUE"""),"https://drive.google.com/drive/folders/10T2cTQHqEJZqE-st6uFKPoI?usp=share_link")</f>
        <v>https://drive.google.com/drive/folders/10T2cTQHqEJZqE-st6uFKPoI?usp=share_link</v>
      </c>
      <c r="P3594" s="6" t="str">
        <f>IFERROR(__xludf.DUMMYFUNCTION("""COMPUTED_VALUE"""),"Emerson Moreno")</f>
        <v>Emerson Moreno</v>
      </c>
      <c r="Q3594" s="6" t="str">
        <f>IFERROR(__xludf.DUMMYFUNCTION("""COMPUTED_VALUE"""),"L2")</f>
        <v>L2</v>
      </c>
      <c r="R3594" s="6">
        <f>IFERROR(__xludf.DUMMYFUNCTION("""COMPUTED_VALUE"""),2.0)</f>
        <v>2</v>
      </c>
      <c r="S3594" s="6" t="str">
        <f>IFERROR(__xludf.DUMMYFUNCTION("""COMPUTED_VALUE"""),"Sara King")</f>
        <v>Sara King</v>
      </c>
      <c r="T3594" s="6" t="str">
        <f>IFERROR(__xludf.DUMMYFUNCTION("""COMPUTED_VALUE"""),"sara.king@ortrail.k12.or.us")</f>
        <v>sara.king@ortrail.k12.or.us</v>
      </c>
      <c r="U3594" s="6" t="str">
        <f>IFERROR(__xludf.DUMMYFUNCTION("""COMPUTED_VALUE"""),"4")</f>
        <v>4</v>
      </c>
      <c r="V3594" s="6" t="str">
        <f>IFERROR(__xludf.DUMMYFUNCTION("""COMPUTED_VALUE"""),"English")</f>
        <v>English</v>
      </c>
      <c r="W3594" s="6" t="str">
        <f>IFERROR(__xludf.DUMMYFUNCTION("""COMPUTED_VALUE"""),"[]")</f>
        <v>[]</v>
      </c>
      <c r="X3594" s="6" t="str">
        <f>IFERROR(__xludf.DUMMYFUNCTION("""COMPUTED_VALUE"""),"Enrolled")</f>
        <v>Enrolled</v>
      </c>
    </row>
    <row r="3595">
      <c r="A3595" s="6" t="str">
        <f>IFERROR(__xludf.DUMMYFUNCTION("""COMPUTED_VALUE"""),"064-6693")</f>
        <v>064-6693</v>
      </c>
      <c r="B3595" s="6" t="str">
        <f>IFERROR(__xludf.DUMMYFUNCTION("""COMPUTED_VALUE"""),"64")</f>
        <v>64</v>
      </c>
      <c r="C3595" s="6" t="str">
        <f>IFERROR(__xludf.DUMMYFUNCTION("""COMPUTED_VALUE"""),"6693")</f>
        <v>6693</v>
      </c>
      <c r="D3595" s="6" t="str">
        <f>IFERROR(__xludf.DUMMYFUNCTION("""COMPUTED_VALUE"""),"Oliver")</f>
        <v>Oliver</v>
      </c>
      <c r="E3595" s="6" t="str">
        <f>IFERROR(__xludf.DUMMYFUNCTION("""COMPUTED_VALUE"""),"")</f>
        <v/>
      </c>
      <c r="F3595" s="6" t="str">
        <f>IFERROR(__xludf.DUMMYFUNCTION("""COMPUTED_VALUE"""),"Ostrander")</f>
        <v>Ostrander</v>
      </c>
      <c r="G3595" s="6" t="str">
        <f>IFERROR(__xludf.DUMMYFUNCTION("""COMPUTED_VALUE"""),"01/09/2016")</f>
        <v>01/09/2016</v>
      </c>
      <c r="H3595" s="6" t="str">
        <f>IFERROR(__xludf.DUMMYFUNCTION("""COMPUTED_VALUE"""),"Self Identify")</f>
        <v>Self Identify</v>
      </c>
      <c r="I3595" s="6" t="str">
        <f>IFERROR(__xludf.DUMMYFUNCTION("""COMPUTED_VALUE"""),"Level 2")</f>
        <v>Level 2</v>
      </c>
      <c r="J3595" s="6" t="str">
        <f>IFERROR(__xludf.DUMMYFUNCTION("""COMPUTED_VALUE"""),"4")</f>
        <v>4</v>
      </c>
      <c r="K3595" s="6" t="str">
        <f>IFERROR(__xludf.DUMMYFUNCTION("""COMPUTED_VALUE"""),"oliver_ostrander@stu.ortrail.k12.or.us")</f>
        <v>oliver_ostrander@stu.ortrail.k12.or.us</v>
      </c>
      <c r="L3595" s="6" t="str">
        <f>IFERROR(__xludf.DUMMYFUNCTION("""COMPUTED_VALUE"""),"Oregon Trail School District 46")</f>
        <v>Oregon Trail School District 46</v>
      </c>
      <c r="M3595" s="6" t="str">
        <f>IFERROR(__xludf.DUMMYFUNCTION("""COMPUTED_VALUE"""),"Welches Elementary School")</f>
        <v>Welches Elementary School</v>
      </c>
      <c r="N3595" s="6" t="str">
        <f>IFERROR(__xludf.DUMMYFUNCTION("""COMPUTED_VALUE"""),"")</f>
        <v/>
      </c>
      <c r="O3595" s="87" t="str">
        <f>IFERROR(__xludf.DUMMYFUNCTION("""COMPUTED_VALUE"""),"https://drive.google.com/drive/folders/10T2cTQHqEJZqE-st6uFKPoI?usp=share_link")</f>
        <v>https://drive.google.com/drive/folders/10T2cTQHqEJZqE-st6uFKPoI?usp=share_link</v>
      </c>
      <c r="P3595" s="6" t="str">
        <f>IFERROR(__xludf.DUMMYFUNCTION("""COMPUTED_VALUE"""),"Oliver Ostrander")</f>
        <v>Oliver Ostrander</v>
      </c>
      <c r="Q3595" s="6" t="str">
        <f>IFERROR(__xludf.DUMMYFUNCTION("""COMPUTED_VALUE"""),"L2")</f>
        <v>L2</v>
      </c>
      <c r="R3595" s="6">
        <f>IFERROR(__xludf.DUMMYFUNCTION("""COMPUTED_VALUE"""),2.0)</f>
        <v>2</v>
      </c>
      <c r="S3595" s="6" t="str">
        <f>IFERROR(__xludf.DUMMYFUNCTION("""COMPUTED_VALUE"""),"Sharon Nobel")</f>
        <v>Sharon Nobel</v>
      </c>
      <c r="T3595" s="6" t="str">
        <f>IFERROR(__xludf.DUMMYFUNCTION("""COMPUTED_VALUE"""),"sharon.nobel@ortrail.k12.or.us")</f>
        <v>sharon.nobel@ortrail.k12.or.us</v>
      </c>
      <c r="U3595" s="6" t="str">
        <f>IFERROR(__xludf.DUMMYFUNCTION("""COMPUTED_VALUE"""),"4")</f>
        <v>4</v>
      </c>
      <c r="V3595" s="6" t="str">
        <f>IFERROR(__xludf.DUMMYFUNCTION("""COMPUTED_VALUE"""),"English")</f>
        <v>English</v>
      </c>
      <c r="W3595" s="6" t="str">
        <f>IFERROR(__xludf.DUMMYFUNCTION("""COMPUTED_VALUE"""),"[]")</f>
        <v>[]</v>
      </c>
      <c r="X3595" s="6" t="str">
        <f>IFERROR(__xludf.DUMMYFUNCTION("""COMPUTED_VALUE"""),"Enrolled")</f>
        <v>Enrolled</v>
      </c>
    </row>
    <row r="3596">
      <c r="A3596" s="6" t="str">
        <f>IFERROR(__xludf.DUMMYFUNCTION("""COMPUTED_VALUE"""),"064-6694")</f>
        <v>064-6694</v>
      </c>
      <c r="B3596" s="6" t="str">
        <f>IFERROR(__xludf.DUMMYFUNCTION("""COMPUTED_VALUE"""),"64")</f>
        <v>64</v>
      </c>
      <c r="C3596" s="6" t="str">
        <f>IFERROR(__xludf.DUMMYFUNCTION("""COMPUTED_VALUE"""),"6694")</f>
        <v>6694</v>
      </c>
      <c r="D3596" s="6" t="str">
        <f>IFERROR(__xludf.DUMMYFUNCTION("""COMPUTED_VALUE"""),"Lane")</f>
        <v>Lane</v>
      </c>
      <c r="E3596" s="6" t="str">
        <f>IFERROR(__xludf.DUMMYFUNCTION("""COMPUTED_VALUE"""),"")</f>
        <v/>
      </c>
      <c r="F3596" s="6" t="str">
        <f>IFERROR(__xludf.DUMMYFUNCTION("""COMPUTED_VALUE"""),"Park")</f>
        <v>Park</v>
      </c>
      <c r="G3596" s="6" t="str">
        <f>IFERROR(__xludf.DUMMYFUNCTION("""COMPUTED_VALUE"""),"07/09/2016")</f>
        <v>07/09/2016</v>
      </c>
      <c r="H3596" s="6" t="str">
        <f>IFERROR(__xludf.DUMMYFUNCTION("""COMPUTED_VALUE"""),"Self Identify")</f>
        <v>Self Identify</v>
      </c>
      <c r="I3596" s="6" t="str">
        <f>IFERROR(__xludf.DUMMYFUNCTION("""COMPUTED_VALUE"""),"Level 2")</f>
        <v>Level 2</v>
      </c>
      <c r="J3596" s="6" t="str">
        <f>IFERROR(__xludf.DUMMYFUNCTION("""COMPUTED_VALUE"""),"4")</f>
        <v>4</v>
      </c>
      <c r="K3596" s="6" t="str">
        <f>IFERROR(__xludf.DUMMYFUNCTION("""COMPUTED_VALUE"""),"lane_park@stu.ortrail.k12.or.us")</f>
        <v>lane_park@stu.ortrail.k12.or.us</v>
      </c>
      <c r="L3596" s="6" t="str">
        <f>IFERROR(__xludf.DUMMYFUNCTION("""COMPUTED_VALUE"""),"Oregon Trail School District 46")</f>
        <v>Oregon Trail School District 46</v>
      </c>
      <c r="M3596" s="6" t="str">
        <f>IFERROR(__xludf.DUMMYFUNCTION("""COMPUTED_VALUE"""),"Welches Elementary School")</f>
        <v>Welches Elementary School</v>
      </c>
      <c r="N3596" s="6" t="str">
        <f>IFERROR(__xludf.DUMMYFUNCTION("""COMPUTED_VALUE"""),"")</f>
        <v/>
      </c>
      <c r="O3596" s="87" t="str">
        <f>IFERROR(__xludf.DUMMYFUNCTION("""COMPUTED_VALUE"""),"https://drive.google.com/drive/folders/10T2cTQHqEJZqE-st6uFKPoI?usp=share_link")</f>
        <v>https://drive.google.com/drive/folders/10T2cTQHqEJZqE-st6uFKPoI?usp=share_link</v>
      </c>
      <c r="P3596" s="6" t="str">
        <f>IFERROR(__xludf.DUMMYFUNCTION("""COMPUTED_VALUE"""),"Lane Park")</f>
        <v>Lane Park</v>
      </c>
      <c r="Q3596" s="6" t="str">
        <f>IFERROR(__xludf.DUMMYFUNCTION("""COMPUTED_VALUE"""),"L2")</f>
        <v>L2</v>
      </c>
      <c r="R3596" s="6">
        <f>IFERROR(__xludf.DUMMYFUNCTION("""COMPUTED_VALUE"""),2.0)</f>
        <v>2</v>
      </c>
      <c r="S3596" s="6" t="str">
        <f>IFERROR(__xludf.DUMMYFUNCTION("""COMPUTED_VALUE"""),"Sharon Nobel")</f>
        <v>Sharon Nobel</v>
      </c>
      <c r="T3596" s="6" t="str">
        <f>IFERROR(__xludf.DUMMYFUNCTION("""COMPUTED_VALUE"""),"sharon.nobel@ortrail.k12.or.us")</f>
        <v>sharon.nobel@ortrail.k12.or.us</v>
      </c>
      <c r="U3596" s="6" t="str">
        <f>IFERROR(__xludf.DUMMYFUNCTION("""COMPUTED_VALUE"""),"4")</f>
        <v>4</v>
      </c>
      <c r="V3596" s="6" t="str">
        <f>IFERROR(__xludf.DUMMYFUNCTION("""COMPUTED_VALUE"""),"English")</f>
        <v>English</v>
      </c>
      <c r="W3596" s="6" t="str">
        <f>IFERROR(__xludf.DUMMYFUNCTION("""COMPUTED_VALUE"""),"[]")</f>
        <v>[]</v>
      </c>
      <c r="X3596" s="6" t="str">
        <f>IFERROR(__xludf.DUMMYFUNCTION("""COMPUTED_VALUE"""),"Enrolled")</f>
        <v>Enrolled</v>
      </c>
    </row>
    <row r="3597">
      <c r="A3597" s="6" t="str">
        <f>IFERROR(__xludf.DUMMYFUNCTION("""COMPUTED_VALUE"""),"064-6695")</f>
        <v>064-6695</v>
      </c>
      <c r="B3597" s="6" t="str">
        <f>IFERROR(__xludf.DUMMYFUNCTION("""COMPUTED_VALUE"""),"64")</f>
        <v>64</v>
      </c>
      <c r="C3597" s="6" t="str">
        <f>IFERROR(__xludf.DUMMYFUNCTION("""COMPUTED_VALUE"""),"6695")</f>
        <v>6695</v>
      </c>
      <c r="D3597" s="6" t="str">
        <f>IFERROR(__xludf.DUMMYFUNCTION("""COMPUTED_VALUE"""),"Abel")</f>
        <v>Abel</v>
      </c>
      <c r="E3597" s="6" t="str">
        <f>IFERROR(__xludf.DUMMYFUNCTION("""COMPUTED_VALUE"""),"")</f>
        <v/>
      </c>
      <c r="F3597" s="6" t="str">
        <f>IFERROR(__xludf.DUMMYFUNCTION("""COMPUTED_VALUE"""),"Pfeiler")</f>
        <v>Pfeiler</v>
      </c>
      <c r="G3597" s="6" t="str">
        <f>IFERROR(__xludf.DUMMYFUNCTION("""COMPUTED_VALUE"""),"06/08/2016")</f>
        <v>06/08/2016</v>
      </c>
      <c r="H3597" s="6" t="str">
        <f>IFERROR(__xludf.DUMMYFUNCTION("""COMPUTED_VALUE"""),"Self Identify")</f>
        <v>Self Identify</v>
      </c>
      <c r="I3597" s="6" t="str">
        <f>IFERROR(__xludf.DUMMYFUNCTION("""COMPUTED_VALUE"""),"Level 2")</f>
        <v>Level 2</v>
      </c>
      <c r="J3597" s="6" t="str">
        <f>IFERROR(__xludf.DUMMYFUNCTION("""COMPUTED_VALUE"""),"4")</f>
        <v>4</v>
      </c>
      <c r="K3597" s="6" t="str">
        <f>IFERROR(__xludf.DUMMYFUNCTION("""COMPUTED_VALUE"""),"abel_pfeiler@stu.ortrail.k12.or.us")</f>
        <v>abel_pfeiler@stu.ortrail.k12.or.us</v>
      </c>
      <c r="L3597" s="6" t="str">
        <f>IFERROR(__xludf.DUMMYFUNCTION("""COMPUTED_VALUE"""),"Oregon Trail School District 46")</f>
        <v>Oregon Trail School District 46</v>
      </c>
      <c r="M3597" s="6" t="str">
        <f>IFERROR(__xludf.DUMMYFUNCTION("""COMPUTED_VALUE"""),"Welches Elementary School")</f>
        <v>Welches Elementary School</v>
      </c>
      <c r="N3597" s="6" t="str">
        <f>IFERROR(__xludf.DUMMYFUNCTION("""COMPUTED_VALUE"""),"")</f>
        <v/>
      </c>
      <c r="O3597" s="87" t="str">
        <f>IFERROR(__xludf.DUMMYFUNCTION("""COMPUTED_VALUE"""),"https://drive.google.com/drive/folders/10T2cTQHqEJZqE-st6uFKPoI?usp=share_link")</f>
        <v>https://drive.google.com/drive/folders/10T2cTQHqEJZqE-st6uFKPoI?usp=share_link</v>
      </c>
      <c r="P3597" s="6" t="str">
        <f>IFERROR(__xludf.DUMMYFUNCTION("""COMPUTED_VALUE"""),"Abel Pfeiler")</f>
        <v>Abel Pfeiler</v>
      </c>
      <c r="Q3597" s="6" t="str">
        <f>IFERROR(__xludf.DUMMYFUNCTION("""COMPUTED_VALUE"""),"L2")</f>
        <v>L2</v>
      </c>
      <c r="R3597" s="6">
        <f>IFERROR(__xludf.DUMMYFUNCTION("""COMPUTED_VALUE"""),2.0)</f>
        <v>2</v>
      </c>
      <c r="S3597" s="6" t="str">
        <f>IFERROR(__xludf.DUMMYFUNCTION("""COMPUTED_VALUE"""),"Sharon Nobel")</f>
        <v>Sharon Nobel</v>
      </c>
      <c r="T3597" s="6" t="str">
        <f>IFERROR(__xludf.DUMMYFUNCTION("""COMPUTED_VALUE"""),"sharon.nobel@ortrail.k12.or.us")</f>
        <v>sharon.nobel@ortrail.k12.or.us</v>
      </c>
      <c r="U3597" s="6" t="str">
        <f>IFERROR(__xludf.DUMMYFUNCTION("""COMPUTED_VALUE"""),"4")</f>
        <v>4</v>
      </c>
      <c r="V3597" s="6" t="str">
        <f>IFERROR(__xludf.DUMMYFUNCTION("""COMPUTED_VALUE"""),"English")</f>
        <v>English</v>
      </c>
      <c r="W3597" s="6" t="str">
        <f>IFERROR(__xludf.DUMMYFUNCTION("""COMPUTED_VALUE"""),"[]")</f>
        <v>[]</v>
      </c>
      <c r="X3597" s="6" t="str">
        <f>IFERROR(__xludf.DUMMYFUNCTION("""COMPUTED_VALUE"""),"Enrolled")</f>
        <v>Enrolled</v>
      </c>
    </row>
    <row r="3598">
      <c r="A3598" s="6" t="str">
        <f>IFERROR(__xludf.DUMMYFUNCTION("""COMPUTED_VALUE"""),"064-6696")</f>
        <v>064-6696</v>
      </c>
      <c r="B3598" s="6" t="str">
        <f>IFERROR(__xludf.DUMMYFUNCTION("""COMPUTED_VALUE"""),"64")</f>
        <v>64</v>
      </c>
      <c r="C3598" s="6" t="str">
        <f>IFERROR(__xludf.DUMMYFUNCTION("""COMPUTED_VALUE"""),"6696")</f>
        <v>6696</v>
      </c>
      <c r="D3598" s="6" t="str">
        <f>IFERROR(__xludf.DUMMYFUNCTION("""COMPUTED_VALUE"""),"Rose")</f>
        <v>Rose</v>
      </c>
      <c r="E3598" s="6" t="str">
        <f>IFERROR(__xludf.DUMMYFUNCTION("""COMPUTED_VALUE"""),"")</f>
        <v/>
      </c>
      <c r="F3598" s="6" t="str">
        <f>IFERROR(__xludf.DUMMYFUNCTION("""COMPUTED_VALUE"""),"Rogers")</f>
        <v>Rogers</v>
      </c>
      <c r="G3598" s="6" t="str">
        <f>IFERROR(__xludf.DUMMYFUNCTION("""COMPUTED_VALUE"""),"10/05/2015")</f>
        <v>10/05/2015</v>
      </c>
      <c r="H3598" s="6" t="str">
        <f>IFERROR(__xludf.DUMMYFUNCTION("""COMPUTED_VALUE"""),"Self Identify")</f>
        <v>Self Identify</v>
      </c>
      <c r="I3598" s="6" t="str">
        <f>IFERROR(__xludf.DUMMYFUNCTION("""COMPUTED_VALUE"""),"Level 2")</f>
        <v>Level 2</v>
      </c>
      <c r="J3598" s="6" t="str">
        <f>IFERROR(__xludf.DUMMYFUNCTION("""COMPUTED_VALUE"""),"4")</f>
        <v>4</v>
      </c>
      <c r="K3598" s="6" t="str">
        <f>IFERROR(__xludf.DUMMYFUNCTION("""COMPUTED_VALUE"""),"rose_rogers@stu.ortrail.k12.or.us")</f>
        <v>rose_rogers@stu.ortrail.k12.or.us</v>
      </c>
      <c r="L3598" s="6" t="str">
        <f>IFERROR(__xludf.DUMMYFUNCTION("""COMPUTED_VALUE"""),"Oregon Trail School District 46")</f>
        <v>Oregon Trail School District 46</v>
      </c>
      <c r="M3598" s="6" t="str">
        <f>IFERROR(__xludf.DUMMYFUNCTION("""COMPUTED_VALUE"""),"Welches Elementary School")</f>
        <v>Welches Elementary School</v>
      </c>
      <c r="N3598" s="6" t="str">
        <f>IFERROR(__xludf.DUMMYFUNCTION("""COMPUTED_VALUE"""),"")</f>
        <v/>
      </c>
      <c r="O3598" s="87" t="str">
        <f>IFERROR(__xludf.DUMMYFUNCTION("""COMPUTED_VALUE"""),"https://drive.google.com/drive/folders/10T2cTQHqEJZqE-st6uFKPoI?usp=share_link")</f>
        <v>https://drive.google.com/drive/folders/10T2cTQHqEJZqE-st6uFKPoI?usp=share_link</v>
      </c>
      <c r="P3598" s="6" t="str">
        <f>IFERROR(__xludf.DUMMYFUNCTION("""COMPUTED_VALUE"""),"Rose Rogers")</f>
        <v>Rose Rogers</v>
      </c>
      <c r="Q3598" s="6" t="str">
        <f>IFERROR(__xludf.DUMMYFUNCTION("""COMPUTED_VALUE"""),"L2")</f>
        <v>L2</v>
      </c>
      <c r="R3598" s="6">
        <f>IFERROR(__xludf.DUMMYFUNCTION("""COMPUTED_VALUE"""),2.0)</f>
        <v>2</v>
      </c>
      <c r="S3598" s="6" t="str">
        <f>IFERROR(__xludf.DUMMYFUNCTION("""COMPUTED_VALUE"""),"Sara King")</f>
        <v>Sara King</v>
      </c>
      <c r="T3598" s="6" t="str">
        <f>IFERROR(__xludf.DUMMYFUNCTION("""COMPUTED_VALUE"""),"sara.king@ortrail.k12.or.us")</f>
        <v>sara.king@ortrail.k12.or.us</v>
      </c>
      <c r="U3598" s="6" t="str">
        <f>IFERROR(__xludf.DUMMYFUNCTION("""COMPUTED_VALUE"""),"4")</f>
        <v>4</v>
      </c>
      <c r="V3598" s="6" t="str">
        <f>IFERROR(__xludf.DUMMYFUNCTION("""COMPUTED_VALUE"""),"English")</f>
        <v>English</v>
      </c>
      <c r="W3598" s="6" t="str">
        <f>IFERROR(__xludf.DUMMYFUNCTION("""COMPUTED_VALUE"""),"[]")</f>
        <v>[]</v>
      </c>
      <c r="X3598" s="6" t="str">
        <f>IFERROR(__xludf.DUMMYFUNCTION("""COMPUTED_VALUE"""),"Enrolled")</f>
        <v>Enrolled</v>
      </c>
    </row>
    <row r="3599">
      <c r="A3599" s="6" t="str">
        <f>IFERROR(__xludf.DUMMYFUNCTION("""COMPUTED_VALUE"""),"064-6697")</f>
        <v>064-6697</v>
      </c>
      <c r="B3599" s="6" t="str">
        <f>IFERROR(__xludf.DUMMYFUNCTION("""COMPUTED_VALUE"""),"64")</f>
        <v>64</v>
      </c>
      <c r="C3599" s="6" t="str">
        <f>IFERROR(__xludf.DUMMYFUNCTION("""COMPUTED_VALUE"""),"6697")</f>
        <v>6697</v>
      </c>
      <c r="D3599" s="6" t="str">
        <f>IFERROR(__xludf.DUMMYFUNCTION("""COMPUTED_VALUE"""),"Isabella")</f>
        <v>Isabella</v>
      </c>
      <c r="E3599" s="6" t="str">
        <f>IFERROR(__xludf.DUMMYFUNCTION("""COMPUTED_VALUE"""),"")</f>
        <v/>
      </c>
      <c r="F3599" s="6" t="str">
        <f>IFERROR(__xludf.DUMMYFUNCTION("""COMPUTED_VALUE"""),"Ross")</f>
        <v>Ross</v>
      </c>
      <c r="G3599" s="6" t="str">
        <f>IFERROR(__xludf.DUMMYFUNCTION("""COMPUTED_VALUE"""),"05/14/2016")</f>
        <v>05/14/2016</v>
      </c>
      <c r="H3599" s="6" t="str">
        <f>IFERROR(__xludf.DUMMYFUNCTION("""COMPUTED_VALUE"""),"Self Identify")</f>
        <v>Self Identify</v>
      </c>
      <c r="I3599" s="6" t="str">
        <f>IFERROR(__xludf.DUMMYFUNCTION("""COMPUTED_VALUE"""),"Level 2")</f>
        <v>Level 2</v>
      </c>
      <c r="J3599" s="6" t="str">
        <f>IFERROR(__xludf.DUMMYFUNCTION("""COMPUTED_VALUE"""),"4")</f>
        <v>4</v>
      </c>
      <c r="K3599" s="6" t="str">
        <f>IFERROR(__xludf.DUMMYFUNCTION("""COMPUTED_VALUE"""),"isabella_ross@stu.ortrail.k12.or.us")</f>
        <v>isabella_ross@stu.ortrail.k12.or.us</v>
      </c>
      <c r="L3599" s="6" t="str">
        <f>IFERROR(__xludf.DUMMYFUNCTION("""COMPUTED_VALUE"""),"Oregon Trail School District 46")</f>
        <v>Oregon Trail School District 46</v>
      </c>
      <c r="M3599" s="6" t="str">
        <f>IFERROR(__xludf.DUMMYFUNCTION("""COMPUTED_VALUE"""),"Welches Elementary School")</f>
        <v>Welches Elementary School</v>
      </c>
      <c r="N3599" s="6" t="str">
        <f>IFERROR(__xludf.DUMMYFUNCTION("""COMPUTED_VALUE"""),"")</f>
        <v/>
      </c>
      <c r="O3599" s="87" t="str">
        <f>IFERROR(__xludf.DUMMYFUNCTION("""COMPUTED_VALUE"""),"https://drive.google.com/drive/folders/10T2cTQHqEJZqE-st6uFKPoI?usp=share_link")</f>
        <v>https://drive.google.com/drive/folders/10T2cTQHqEJZqE-st6uFKPoI?usp=share_link</v>
      </c>
      <c r="P3599" s="6" t="str">
        <f>IFERROR(__xludf.DUMMYFUNCTION("""COMPUTED_VALUE"""),"Isabella Ross")</f>
        <v>Isabella Ross</v>
      </c>
      <c r="Q3599" s="6" t="str">
        <f>IFERROR(__xludf.DUMMYFUNCTION("""COMPUTED_VALUE"""),"L2")</f>
        <v>L2</v>
      </c>
      <c r="R3599" s="6">
        <f>IFERROR(__xludf.DUMMYFUNCTION("""COMPUTED_VALUE"""),2.0)</f>
        <v>2</v>
      </c>
      <c r="S3599" s="6" t="str">
        <f>IFERROR(__xludf.DUMMYFUNCTION("""COMPUTED_VALUE"""),"Sharon Nobel")</f>
        <v>Sharon Nobel</v>
      </c>
      <c r="T3599" s="6" t="str">
        <f>IFERROR(__xludf.DUMMYFUNCTION("""COMPUTED_VALUE"""),"sharon.nobel@ortrail.k12.or.us")</f>
        <v>sharon.nobel@ortrail.k12.or.us</v>
      </c>
      <c r="U3599" s="6" t="str">
        <f>IFERROR(__xludf.DUMMYFUNCTION("""COMPUTED_VALUE"""),"4")</f>
        <v>4</v>
      </c>
      <c r="V3599" s="6" t="str">
        <f>IFERROR(__xludf.DUMMYFUNCTION("""COMPUTED_VALUE"""),"English")</f>
        <v>English</v>
      </c>
      <c r="W3599" s="6" t="str">
        <f>IFERROR(__xludf.DUMMYFUNCTION("""COMPUTED_VALUE"""),"[]")</f>
        <v>[]</v>
      </c>
      <c r="X3599" s="6" t="str">
        <f>IFERROR(__xludf.DUMMYFUNCTION("""COMPUTED_VALUE"""),"Enrolled")</f>
        <v>Enrolled</v>
      </c>
    </row>
    <row r="3600">
      <c r="A3600" s="6" t="str">
        <f>IFERROR(__xludf.DUMMYFUNCTION("""COMPUTED_VALUE"""),"064-6698")</f>
        <v>064-6698</v>
      </c>
      <c r="B3600" s="6" t="str">
        <f>IFERROR(__xludf.DUMMYFUNCTION("""COMPUTED_VALUE"""),"64")</f>
        <v>64</v>
      </c>
      <c r="C3600" s="6" t="str">
        <f>IFERROR(__xludf.DUMMYFUNCTION("""COMPUTED_VALUE"""),"6698")</f>
        <v>6698</v>
      </c>
      <c r="D3600" s="6" t="str">
        <f>IFERROR(__xludf.DUMMYFUNCTION("""COMPUTED_VALUE"""),"Eli")</f>
        <v>Eli</v>
      </c>
      <c r="E3600" s="6" t="str">
        <f>IFERROR(__xludf.DUMMYFUNCTION("""COMPUTED_VALUE"""),"")</f>
        <v/>
      </c>
      <c r="F3600" s="6" t="str">
        <f>IFERROR(__xludf.DUMMYFUNCTION("""COMPUTED_VALUE"""),"Stearns")</f>
        <v>Stearns</v>
      </c>
      <c r="G3600" s="6" t="str">
        <f>IFERROR(__xludf.DUMMYFUNCTION("""COMPUTED_VALUE"""),"01/30/2016")</f>
        <v>01/30/2016</v>
      </c>
      <c r="H3600" s="6" t="str">
        <f>IFERROR(__xludf.DUMMYFUNCTION("""COMPUTED_VALUE"""),"Self Identify")</f>
        <v>Self Identify</v>
      </c>
      <c r="I3600" s="6" t="str">
        <f>IFERROR(__xludf.DUMMYFUNCTION("""COMPUTED_VALUE"""),"Level 2")</f>
        <v>Level 2</v>
      </c>
      <c r="J3600" s="6" t="str">
        <f>IFERROR(__xludf.DUMMYFUNCTION("""COMPUTED_VALUE"""),"4")</f>
        <v>4</v>
      </c>
      <c r="K3600" s="6" t="str">
        <f>IFERROR(__xludf.DUMMYFUNCTION("""COMPUTED_VALUE"""),"eli_stearns@stu.ortrail.k12.or.us")</f>
        <v>eli_stearns@stu.ortrail.k12.or.us</v>
      </c>
      <c r="L3600" s="6" t="str">
        <f>IFERROR(__xludf.DUMMYFUNCTION("""COMPUTED_VALUE"""),"Oregon Trail School District 46")</f>
        <v>Oregon Trail School District 46</v>
      </c>
      <c r="M3600" s="6" t="str">
        <f>IFERROR(__xludf.DUMMYFUNCTION("""COMPUTED_VALUE"""),"Welches Elementary School")</f>
        <v>Welches Elementary School</v>
      </c>
      <c r="N3600" s="6" t="str">
        <f>IFERROR(__xludf.DUMMYFUNCTION("""COMPUTED_VALUE"""),"")</f>
        <v/>
      </c>
      <c r="O3600" s="87" t="str">
        <f>IFERROR(__xludf.DUMMYFUNCTION("""COMPUTED_VALUE"""),"https://drive.google.com/drive/folders/10T2cTQHqEJZqE-st6uFKPoI?usp=share_link")</f>
        <v>https://drive.google.com/drive/folders/10T2cTQHqEJZqE-st6uFKPoI?usp=share_link</v>
      </c>
      <c r="P3600" s="6" t="str">
        <f>IFERROR(__xludf.DUMMYFUNCTION("""COMPUTED_VALUE"""),"Eli Stearns")</f>
        <v>Eli Stearns</v>
      </c>
      <c r="Q3600" s="6" t="str">
        <f>IFERROR(__xludf.DUMMYFUNCTION("""COMPUTED_VALUE"""),"L2")</f>
        <v>L2</v>
      </c>
      <c r="R3600" s="6">
        <f>IFERROR(__xludf.DUMMYFUNCTION("""COMPUTED_VALUE"""),2.0)</f>
        <v>2</v>
      </c>
      <c r="S3600" s="6" t="str">
        <f>IFERROR(__xludf.DUMMYFUNCTION("""COMPUTED_VALUE"""),"Sara King")</f>
        <v>Sara King</v>
      </c>
      <c r="T3600" s="6" t="str">
        <f>IFERROR(__xludf.DUMMYFUNCTION("""COMPUTED_VALUE"""),"sara.king@ortrail.k12.or.us")</f>
        <v>sara.king@ortrail.k12.or.us</v>
      </c>
      <c r="U3600" s="6" t="str">
        <f>IFERROR(__xludf.DUMMYFUNCTION("""COMPUTED_VALUE"""),"4")</f>
        <v>4</v>
      </c>
      <c r="V3600" s="6" t="str">
        <f>IFERROR(__xludf.DUMMYFUNCTION("""COMPUTED_VALUE"""),"English")</f>
        <v>English</v>
      </c>
      <c r="W3600" s="6" t="str">
        <f>IFERROR(__xludf.DUMMYFUNCTION("""COMPUTED_VALUE"""),"[]")</f>
        <v>[]</v>
      </c>
      <c r="X3600" s="6" t="str">
        <f>IFERROR(__xludf.DUMMYFUNCTION("""COMPUTED_VALUE"""),"Enrolled")</f>
        <v>Enrolled</v>
      </c>
    </row>
    <row r="3601">
      <c r="A3601" s="6" t="str">
        <f>IFERROR(__xludf.DUMMYFUNCTION("""COMPUTED_VALUE"""),"064-6700")</f>
        <v>064-6700</v>
      </c>
      <c r="B3601" s="6" t="str">
        <f>IFERROR(__xludf.DUMMYFUNCTION("""COMPUTED_VALUE"""),"64")</f>
        <v>64</v>
      </c>
      <c r="C3601" s="6" t="str">
        <f>IFERROR(__xludf.DUMMYFUNCTION("""COMPUTED_VALUE"""),"6700")</f>
        <v>6700</v>
      </c>
      <c r="D3601" s="6" t="str">
        <f>IFERROR(__xludf.DUMMYFUNCTION("""COMPUTED_VALUE"""),"Aspen")</f>
        <v>Aspen</v>
      </c>
      <c r="E3601" s="6" t="str">
        <f>IFERROR(__xludf.DUMMYFUNCTION("""COMPUTED_VALUE"""),"")</f>
        <v/>
      </c>
      <c r="F3601" s="6" t="str">
        <f>IFERROR(__xludf.DUMMYFUNCTION("""COMPUTED_VALUE"""),"Adkins")</f>
        <v>Adkins</v>
      </c>
      <c r="G3601" s="6" t="str">
        <f>IFERROR(__xludf.DUMMYFUNCTION("""COMPUTED_VALUE"""),"07/15/2015")</f>
        <v>07/15/2015</v>
      </c>
      <c r="H3601" s="6" t="str">
        <f>IFERROR(__xludf.DUMMYFUNCTION("""COMPUTED_VALUE"""),"Self Identify")</f>
        <v>Self Identify</v>
      </c>
      <c r="I3601" s="6" t="str">
        <f>IFERROR(__xludf.DUMMYFUNCTION("""COMPUTED_VALUE"""),"Level 2")</f>
        <v>Level 2</v>
      </c>
      <c r="J3601" s="6" t="str">
        <f>IFERROR(__xludf.DUMMYFUNCTION("""COMPUTED_VALUE"""),"5")</f>
        <v>5</v>
      </c>
      <c r="K3601" s="6" t="str">
        <f>IFERROR(__xludf.DUMMYFUNCTION("""COMPUTED_VALUE"""),"aspen_adkins@stu.ortrail.k12.or.us")</f>
        <v>aspen_adkins@stu.ortrail.k12.or.us</v>
      </c>
      <c r="L3601" s="6" t="str">
        <f>IFERROR(__xludf.DUMMYFUNCTION("""COMPUTED_VALUE"""),"Oregon Trail School District 46")</f>
        <v>Oregon Trail School District 46</v>
      </c>
      <c r="M3601" s="6" t="str">
        <f>IFERROR(__xludf.DUMMYFUNCTION("""COMPUTED_VALUE"""),"Welches Elementary School")</f>
        <v>Welches Elementary School</v>
      </c>
      <c r="N3601" s="6" t="str">
        <f>IFERROR(__xludf.DUMMYFUNCTION("""COMPUTED_VALUE"""),"")</f>
        <v/>
      </c>
      <c r="O3601" s="87" t="str">
        <f>IFERROR(__xludf.DUMMYFUNCTION("""COMPUTED_VALUE"""),"https://drive.google.com/drive/folders/10T2cTQHqEJZqE-st6uFKPoI?usp=share_link")</f>
        <v>https://drive.google.com/drive/folders/10T2cTQHqEJZqE-st6uFKPoI?usp=share_link</v>
      </c>
      <c r="P3601" s="6" t="str">
        <f>IFERROR(__xludf.DUMMYFUNCTION("""COMPUTED_VALUE"""),"Aspen Adkins")</f>
        <v>Aspen Adkins</v>
      </c>
      <c r="Q3601" s="6" t="str">
        <f>IFERROR(__xludf.DUMMYFUNCTION("""COMPUTED_VALUE"""),"L2")</f>
        <v>L2</v>
      </c>
      <c r="R3601" s="6">
        <f>IFERROR(__xludf.DUMMYFUNCTION("""COMPUTED_VALUE"""),2.0)</f>
        <v>2</v>
      </c>
      <c r="S3601" s="6" t="str">
        <f>IFERROR(__xludf.DUMMYFUNCTION("""COMPUTED_VALUE"""),"Sara King")</f>
        <v>Sara King</v>
      </c>
      <c r="T3601" s="6" t="str">
        <f>IFERROR(__xludf.DUMMYFUNCTION("""COMPUTED_VALUE"""),"sara.king@ortrail.k12.or.us")</f>
        <v>sara.king@ortrail.k12.or.us</v>
      </c>
      <c r="U3601" s="6" t="str">
        <f>IFERROR(__xludf.DUMMYFUNCTION("""COMPUTED_VALUE"""),"5")</f>
        <v>5</v>
      </c>
      <c r="V3601" s="6" t="str">
        <f>IFERROR(__xludf.DUMMYFUNCTION("""COMPUTED_VALUE"""),"English")</f>
        <v>English</v>
      </c>
      <c r="W3601" s="6" t="str">
        <f>IFERROR(__xludf.DUMMYFUNCTION("""COMPUTED_VALUE"""),"[]")</f>
        <v>[]</v>
      </c>
      <c r="X3601" s="6" t="str">
        <f>IFERROR(__xludf.DUMMYFUNCTION("""COMPUTED_VALUE"""),"Enrolled")</f>
        <v>Enrolled</v>
      </c>
    </row>
    <row r="3602">
      <c r="A3602" s="6" t="str">
        <f>IFERROR(__xludf.DUMMYFUNCTION("""COMPUTED_VALUE"""),"064-6701")</f>
        <v>064-6701</v>
      </c>
      <c r="B3602" s="6" t="str">
        <f>IFERROR(__xludf.DUMMYFUNCTION("""COMPUTED_VALUE"""),"64")</f>
        <v>64</v>
      </c>
      <c r="C3602" s="6" t="str">
        <f>IFERROR(__xludf.DUMMYFUNCTION("""COMPUTED_VALUE"""),"6701")</f>
        <v>6701</v>
      </c>
      <c r="D3602" s="6" t="str">
        <f>IFERROR(__xludf.DUMMYFUNCTION("""COMPUTED_VALUE"""),"Jason")</f>
        <v>Jason</v>
      </c>
      <c r="E3602" s="6" t="str">
        <f>IFERROR(__xludf.DUMMYFUNCTION("""COMPUTED_VALUE"""),"")</f>
        <v/>
      </c>
      <c r="F3602" s="6" t="str">
        <f>IFERROR(__xludf.DUMMYFUNCTION("""COMPUTED_VALUE"""),"Brown")</f>
        <v>Brown</v>
      </c>
      <c r="G3602" s="6" t="str">
        <f>IFERROR(__xludf.DUMMYFUNCTION("""COMPUTED_VALUE"""),"04/10/2015")</f>
        <v>04/10/2015</v>
      </c>
      <c r="H3602" s="6" t="str">
        <f>IFERROR(__xludf.DUMMYFUNCTION("""COMPUTED_VALUE"""),"Self Identify")</f>
        <v>Self Identify</v>
      </c>
      <c r="I3602" s="6" t="str">
        <f>IFERROR(__xludf.DUMMYFUNCTION("""COMPUTED_VALUE"""),"Level 2")</f>
        <v>Level 2</v>
      </c>
      <c r="J3602" s="6" t="str">
        <f>IFERROR(__xludf.DUMMYFUNCTION("""COMPUTED_VALUE"""),"5")</f>
        <v>5</v>
      </c>
      <c r="K3602" s="6" t="str">
        <f>IFERROR(__xludf.DUMMYFUNCTION("""COMPUTED_VALUE"""),"jason_brown@stu.ortrail.k12.or.us")</f>
        <v>jason_brown@stu.ortrail.k12.or.us</v>
      </c>
      <c r="L3602" s="6" t="str">
        <f>IFERROR(__xludf.DUMMYFUNCTION("""COMPUTED_VALUE"""),"Oregon Trail School District 46")</f>
        <v>Oregon Trail School District 46</v>
      </c>
      <c r="M3602" s="6" t="str">
        <f>IFERROR(__xludf.DUMMYFUNCTION("""COMPUTED_VALUE"""),"Welches Elementary School")</f>
        <v>Welches Elementary School</v>
      </c>
      <c r="N3602" s="6" t="str">
        <f>IFERROR(__xludf.DUMMYFUNCTION("""COMPUTED_VALUE"""),"")</f>
        <v/>
      </c>
      <c r="O3602" s="87" t="str">
        <f>IFERROR(__xludf.DUMMYFUNCTION("""COMPUTED_VALUE"""),"https://drive.google.com/drive/folders/10T2cTQHqEJZqE-st6uFKPoI?usp=share_link")</f>
        <v>https://drive.google.com/drive/folders/10T2cTQHqEJZqE-st6uFKPoI?usp=share_link</v>
      </c>
      <c r="P3602" s="6" t="str">
        <f>IFERROR(__xludf.DUMMYFUNCTION("""COMPUTED_VALUE"""),"Jason Brown")</f>
        <v>Jason Brown</v>
      </c>
      <c r="Q3602" s="6" t="str">
        <f>IFERROR(__xludf.DUMMYFUNCTION("""COMPUTED_VALUE"""),"L2")</f>
        <v>L2</v>
      </c>
      <c r="R3602" s="6">
        <f>IFERROR(__xludf.DUMMYFUNCTION("""COMPUTED_VALUE"""),2.0)</f>
        <v>2</v>
      </c>
      <c r="S3602" s="6" t="str">
        <f>IFERROR(__xludf.DUMMYFUNCTION("""COMPUTED_VALUE"""),"Kalee Robertson")</f>
        <v>Kalee Robertson</v>
      </c>
      <c r="T3602" s="6" t="str">
        <f>IFERROR(__xludf.DUMMYFUNCTION("""COMPUTED_VALUE"""),"kalee.robertson@ortrail.k12.or.us")</f>
        <v>kalee.robertson@ortrail.k12.or.us</v>
      </c>
      <c r="U3602" s="6" t="str">
        <f>IFERROR(__xludf.DUMMYFUNCTION("""COMPUTED_VALUE"""),"5")</f>
        <v>5</v>
      </c>
      <c r="V3602" s="6" t="str">
        <f>IFERROR(__xludf.DUMMYFUNCTION("""COMPUTED_VALUE"""),"English")</f>
        <v>English</v>
      </c>
      <c r="W3602" s="6" t="str">
        <f>IFERROR(__xludf.DUMMYFUNCTION("""COMPUTED_VALUE"""),"[]")</f>
        <v>[]</v>
      </c>
      <c r="X3602" s="6" t="str">
        <f>IFERROR(__xludf.DUMMYFUNCTION("""COMPUTED_VALUE"""),"Enrolled")</f>
        <v>Enrolled</v>
      </c>
    </row>
    <row r="3603">
      <c r="A3603" s="6" t="str">
        <f>IFERROR(__xludf.DUMMYFUNCTION("""COMPUTED_VALUE"""),"064-6702")</f>
        <v>064-6702</v>
      </c>
      <c r="B3603" s="6" t="str">
        <f>IFERROR(__xludf.DUMMYFUNCTION("""COMPUTED_VALUE"""),"64")</f>
        <v>64</v>
      </c>
      <c r="C3603" s="6" t="str">
        <f>IFERROR(__xludf.DUMMYFUNCTION("""COMPUTED_VALUE"""),"6702")</f>
        <v>6702</v>
      </c>
      <c r="D3603" s="6" t="str">
        <f>IFERROR(__xludf.DUMMYFUNCTION("""COMPUTED_VALUE"""),"Mazzy")</f>
        <v>Mazzy</v>
      </c>
      <c r="E3603" s="6" t="str">
        <f>IFERROR(__xludf.DUMMYFUNCTION("""COMPUTED_VALUE"""),"")</f>
        <v/>
      </c>
      <c r="F3603" s="6" t="str">
        <f>IFERROR(__xludf.DUMMYFUNCTION("""COMPUTED_VALUE"""),"Carrier")</f>
        <v>Carrier</v>
      </c>
      <c r="G3603" s="6" t="str">
        <f>IFERROR(__xludf.DUMMYFUNCTION("""COMPUTED_VALUE"""),"04/19/2015")</f>
        <v>04/19/2015</v>
      </c>
      <c r="H3603" s="6" t="str">
        <f>IFERROR(__xludf.DUMMYFUNCTION("""COMPUTED_VALUE"""),"Self Identify")</f>
        <v>Self Identify</v>
      </c>
      <c r="I3603" s="6" t="str">
        <f>IFERROR(__xludf.DUMMYFUNCTION("""COMPUTED_VALUE"""),"Level 2")</f>
        <v>Level 2</v>
      </c>
      <c r="J3603" s="6" t="str">
        <f>IFERROR(__xludf.DUMMYFUNCTION("""COMPUTED_VALUE"""),"5")</f>
        <v>5</v>
      </c>
      <c r="K3603" s="6" t="str">
        <f>IFERROR(__xludf.DUMMYFUNCTION("""COMPUTED_VALUE"""),"mazzy_carrier@stu.ortrail.k12.or.us")</f>
        <v>mazzy_carrier@stu.ortrail.k12.or.us</v>
      </c>
      <c r="L3603" s="6" t="str">
        <f>IFERROR(__xludf.DUMMYFUNCTION("""COMPUTED_VALUE"""),"Oregon Trail School District 46")</f>
        <v>Oregon Trail School District 46</v>
      </c>
      <c r="M3603" s="6" t="str">
        <f>IFERROR(__xludf.DUMMYFUNCTION("""COMPUTED_VALUE"""),"Welches Elementary School")</f>
        <v>Welches Elementary School</v>
      </c>
      <c r="N3603" s="6" t="str">
        <f>IFERROR(__xludf.DUMMYFUNCTION("""COMPUTED_VALUE"""),"")</f>
        <v/>
      </c>
      <c r="O3603" s="87" t="str">
        <f>IFERROR(__xludf.DUMMYFUNCTION("""COMPUTED_VALUE"""),"https://drive.google.com/drive/folders/10T2cTQHqEJZqE-st6uFKPoI?usp=share_link")</f>
        <v>https://drive.google.com/drive/folders/10T2cTQHqEJZqE-st6uFKPoI?usp=share_link</v>
      </c>
      <c r="P3603" s="6" t="str">
        <f>IFERROR(__xludf.DUMMYFUNCTION("""COMPUTED_VALUE"""),"Mazzy Carrier")</f>
        <v>Mazzy Carrier</v>
      </c>
      <c r="Q3603" s="6" t="str">
        <f>IFERROR(__xludf.DUMMYFUNCTION("""COMPUTED_VALUE"""),"L2")</f>
        <v>L2</v>
      </c>
      <c r="R3603" s="6">
        <f>IFERROR(__xludf.DUMMYFUNCTION("""COMPUTED_VALUE"""),2.0)</f>
        <v>2</v>
      </c>
      <c r="S3603" s="6" t="str">
        <f>IFERROR(__xludf.DUMMYFUNCTION("""COMPUTED_VALUE"""),"Kalee Robertson")</f>
        <v>Kalee Robertson</v>
      </c>
      <c r="T3603" s="6" t="str">
        <f>IFERROR(__xludf.DUMMYFUNCTION("""COMPUTED_VALUE"""),"kalee.robertson@ortrail.k12.or.us")</f>
        <v>kalee.robertson@ortrail.k12.or.us</v>
      </c>
      <c r="U3603" s="6" t="str">
        <f>IFERROR(__xludf.DUMMYFUNCTION("""COMPUTED_VALUE"""),"5")</f>
        <v>5</v>
      </c>
      <c r="V3603" s="6" t="str">
        <f>IFERROR(__xludf.DUMMYFUNCTION("""COMPUTED_VALUE"""),"English")</f>
        <v>English</v>
      </c>
      <c r="W3603" s="6" t="str">
        <f>IFERROR(__xludf.DUMMYFUNCTION("""COMPUTED_VALUE"""),"[]")</f>
        <v>[]</v>
      </c>
      <c r="X3603" s="6" t="str">
        <f>IFERROR(__xludf.DUMMYFUNCTION("""COMPUTED_VALUE"""),"Enrolled")</f>
        <v>Enrolled</v>
      </c>
    </row>
    <row r="3604">
      <c r="A3604" s="6" t="str">
        <f>IFERROR(__xludf.DUMMYFUNCTION("""COMPUTED_VALUE"""),"064-6703")</f>
        <v>064-6703</v>
      </c>
      <c r="B3604" s="6" t="str">
        <f>IFERROR(__xludf.DUMMYFUNCTION("""COMPUTED_VALUE"""),"64")</f>
        <v>64</v>
      </c>
      <c r="C3604" s="6" t="str">
        <f>IFERROR(__xludf.DUMMYFUNCTION("""COMPUTED_VALUE"""),"6703")</f>
        <v>6703</v>
      </c>
      <c r="D3604" s="6" t="str">
        <f>IFERROR(__xludf.DUMMYFUNCTION("""COMPUTED_VALUE"""),"Charlotte")</f>
        <v>Charlotte</v>
      </c>
      <c r="E3604" s="6" t="str">
        <f>IFERROR(__xludf.DUMMYFUNCTION("""COMPUTED_VALUE"""),"")</f>
        <v/>
      </c>
      <c r="F3604" s="6" t="str">
        <f>IFERROR(__xludf.DUMMYFUNCTION("""COMPUTED_VALUE"""),"Fondersmith")</f>
        <v>Fondersmith</v>
      </c>
      <c r="G3604" s="6" t="str">
        <f>IFERROR(__xludf.DUMMYFUNCTION("""COMPUTED_VALUE"""),"09/30/2014")</f>
        <v>09/30/2014</v>
      </c>
      <c r="H3604" s="6" t="str">
        <f>IFERROR(__xludf.DUMMYFUNCTION("""COMPUTED_VALUE"""),"Self Identify")</f>
        <v>Self Identify</v>
      </c>
      <c r="I3604" s="6" t="str">
        <f>IFERROR(__xludf.DUMMYFUNCTION("""COMPUTED_VALUE"""),"Level 2")</f>
        <v>Level 2</v>
      </c>
      <c r="J3604" s="6" t="str">
        <f>IFERROR(__xludf.DUMMYFUNCTION("""COMPUTED_VALUE"""),"5")</f>
        <v>5</v>
      </c>
      <c r="K3604" s="6" t="str">
        <f>IFERROR(__xludf.DUMMYFUNCTION("""COMPUTED_VALUE"""),"charlotte_fondersmit@stu.ortrail.k12.or.us")</f>
        <v>charlotte_fondersmit@stu.ortrail.k12.or.us</v>
      </c>
      <c r="L3604" s="6" t="str">
        <f>IFERROR(__xludf.DUMMYFUNCTION("""COMPUTED_VALUE"""),"Oregon Trail School District 46")</f>
        <v>Oregon Trail School District 46</v>
      </c>
      <c r="M3604" s="6" t="str">
        <f>IFERROR(__xludf.DUMMYFUNCTION("""COMPUTED_VALUE"""),"Welches Elementary School")</f>
        <v>Welches Elementary School</v>
      </c>
      <c r="N3604" s="6" t="str">
        <f>IFERROR(__xludf.DUMMYFUNCTION("""COMPUTED_VALUE"""),"")</f>
        <v/>
      </c>
      <c r="O3604" s="87" t="str">
        <f>IFERROR(__xludf.DUMMYFUNCTION("""COMPUTED_VALUE"""),"https://drive.google.com/drive/folders/10T2cTQHqEJZqE-st6uFKPoI?usp=share_link")</f>
        <v>https://drive.google.com/drive/folders/10T2cTQHqEJZqE-st6uFKPoI?usp=share_link</v>
      </c>
      <c r="P3604" s="6" t="str">
        <f>IFERROR(__xludf.DUMMYFUNCTION("""COMPUTED_VALUE"""),"Charlotte Fondersmith")</f>
        <v>Charlotte Fondersmith</v>
      </c>
      <c r="Q3604" s="6" t="str">
        <f>IFERROR(__xludf.DUMMYFUNCTION("""COMPUTED_VALUE"""),"L2")</f>
        <v>L2</v>
      </c>
      <c r="R3604" s="6">
        <f>IFERROR(__xludf.DUMMYFUNCTION("""COMPUTED_VALUE"""),2.0)</f>
        <v>2</v>
      </c>
      <c r="S3604" s="6" t="str">
        <f>IFERROR(__xludf.DUMMYFUNCTION("""COMPUTED_VALUE"""),"Kalee Robertson")</f>
        <v>Kalee Robertson</v>
      </c>
      <c r="T3604" s="6" t="str">
        <f>IFERROR(__xludf.DUMMYFUNCTION("""COMPUTED_VALUE"""),"kalee.robertson@ortrail.k12.or.us")</f>
        <v>kalee.robertson@ortrail.k12.or.us</v>
      </c>
      <c r="U3604" s="6" t="str">
        <f>IFERROR(__xludf.DUMMYFUNCTION("""COMPUTED_VALUE"""),"5")</f>
        <v>5</v>
      </c>
      <c r="V3604" s="6" t="str">
        <f>IFERROR(__xludf.DUMMYFUNCTION("""COMPUTED_VALUE"""),"English")</f>
        <v>English</v>
      </c>
      <c r="W3604" s="6" t="str">
        <f>IFERROR(__xludf.DUMMYFUNCTION("""COMPUTED_VALUE"""),"[]")</f>
        <v>[]</v>
      </c>
      <c r="X3604" s="6" t="str">
        <f>IFERROR(__xludf.DUMMYFUNCTION("""COMPUTED_VALUE"""),"Enrolled")</f>
        <v>Enrolled</v>
      </c>
    </row>
    <row r="3605">
      <c r="A3605" s="6" t="str">
        <f>IFERROR(__xludf.DUMMYFUNCTION("""COMPUTED_VALUE"""),"064-6704")</f>
        <v>064-6704</v>
      </c>
      <c r="B3605" s="6" t="str">
        <f>IFERROR(__xludf.DUMMYFUNCTION("""COMPUTED_VALUE"""),"64")</f>
        <v>64</v>
      </c>
      <c r="C3605" s="6" t="str">
        <f>IFERROR(__xludf.DUMMYFUNCTION("""COMPUTED_VALUE"""),"6704")</f>
        <v>6704</v>
      </c>
      <c r="D3605" s="6" t="str">
        <f>IFERROR(__xludf.DUMMYFUNCTION("""COMPUTED_VALUE"""),"Kingston")</f>
        <v>Kingston</v>
      </c>
      <c r="E3605" s="6" t="str">
        <f>IFERROR(__xludf.DUMMYFUNCTION("""COMPUTED_VALUE"""),"")</f>
        <v/>
      </c>
      <c r="F3605" s="6" t="str">
        <f>IFERROR(__xludf.DUMMYFUNCTION("""COMPUTED_VALUE"""),"Glenn")</f>
        <v>Glenn</v>
      </c>
      <c r="G3605" s="6" t="str">
        <f>IFERROR(__xludf.DUMMYFUNCTION("""COMPUTED_VALUE"""),"06/01/2015")</f>
        <v>06/01/2015</v>
      </c>
      <c r="H3605" s="6" t="str">
        <f>IFERROR(__xludf.DUMMYFUNCTION("""COMPUTED_VALUE"""),"Self Identify")</f>
        <v>Self Identify</v>
      </c>
      <c r="I3605" s="6" t="str">
        <f>IFERROR(__xludf.DUMMYFUNCTION("""COMPUTED_VALUE"""),"Level 2")</f>
        <v>Level 2</v>
      </c>
      <c r="J3605" s="6" t="str">
        <f>IFERROR(__xludf.DUMMYFUNCTION("""COMPUTED_VALUE"""),"5")</f>
        <v>5</v>
      </c>
      <c r="K3605" s="6" t="str">
        <f>IFERROR(__xludf.DUMMYFUNCTION("""COMPUTED_VALUE"""),"kingston_glenn@stu.ortrail.k12.or.us")</f>
        <v>kingston_glenn@stu.ortrail.k12.or.us</v>
      </c>
      <c r="L3605" s="6" t="str">
        <f>IFERROR(__xludf.DUMMYFUNCTION("""COMPUTED_VALUE"""),"Oregon Trail School District 46")</f>
        <v>Oregon Trail School District 46</v>
      </c>
      <c r="M3605" s="6" t="str">
        <f>IFERROR(__xludf.DUMMYFUNCTION("""COMPUTED_VALUE"""),"Welches Elementary School")</f>
        <v>Welches Elementary School</v>
      </c>
      <c r="N3605" s="6" t="str">
        <f>IFERROR(__xludf.DUMMYFUNCTION("""COMPUTED_VALUE"""),"")</f>
        <v/>
      </c>
      <c r="O3605" s="87" t="str">
        <f>IFERROR(__xludf.DUMMYFUNCTION("""COMPUTED_VALUE"""),"https://drive.google.com/drive/folders/10T2cTQHqEJZqE-st6uFKPoI?usp=share_link")</f>
        <v>https://drive.google.com/drive/folders/10T2cTQHqEJZqE-st6uFKPoI?usp=share_link</v>
      </c>
      <c r="P3605" s="6" t="str">
        <f>IFERROR(__xludf.DUMMYFUNCTION("""COMPUTED_VALUE"""),"Kingston Glenn")</f>
        <v>Kingston Glenn</v>
      </c>
      <c r="Q3605" s="6" t="str">
        <f>IFERROR(__xludf.DUMMYFUNCTION("""COMPUTED_VALUE"""),"L2")</f>
        <v>L2</v>
      </c>
      <c r="R3605" s="6">
        <f>IFERROR(__xludf.DUMMYFUNCTION("""COMPUTED_VALUE"""),2.0)</f>
        <v>2</v>
      </c>
      <c r="S3605" s="6" t="str">
        <f>IFERROR(__xludf.DUMMYFUNCTION("""COMPUTED_VALUE"""),"Kalee Robertson")</f>
        <v>Kalee Robertson</v>
      </c>
      <c r="T3605" s="6" t="str">
        <f>IFERROR(__xludf.DUMMYFUNCTION("""COMPUTED_VALUE"""),"kalee.robertson@ortrail.k12.or.us")</f>
        <v>kalee.robertson@ortrail.k12.or.us</v>
      </c>
      <c r="U3605" s="6" t="str">
        <f>IFERROR(__xludf.DUMMYFUNCTION("""COMPUTED_VALUE"""),"5")</f>
        <v>5</v>
      </c>
      <c r="V3605" s="6" t="str">
        <f>IFERROR(__xludf.DUMMYFUNCTION("""COMPUTED_VALUE"""),"English")</f>
        <v>English</v>
      </c>
      <c r="W3605" s="6" t="str">
        <f>IFERROR(__xludf.DUMMYFUNCTION("""COMPUTED_VALUE"""),"[]")</f>
        <v>[]</v>
      </c>
      <c r="X3605" s="6" t="str">
        <f>IFERROR(__xludf.DUMMYFUNCTION("""COMPUTED_VALUE"""),"Enrolled")</f>
        <v>Enrolled</v>
      </c>
    </row>
    <row r="3606">
      <c r="A3606" s="6" t="str">
        <f>IFERROR(__xludf.DUMMYFUNCTION("""COMPUTED_VALUE"""),"064-6705")</f>
        <v>064-6705</v>
      </c>
      <c r="B3606" s="6" t="str">
        <f>IFERROR(__xludf.DUMMYFUNCTION("""COMPUTED_VALUE"""),"64")</f>
        <v>64</v>
      </c>
      <c r="C3606" s="6" t="str">
        <f>IFERROR(__xludf.DUMMYFUNCTION("""COMPUTED_VALUE"""),"6705")</f>
        <v>6705</v>
      </c>
      <c r="D3606" s="6" t="str">
        <f>IFERROR(__xludf.DUMMYFUNCTION("""COMPUTED_VALUE"""),"Brooklyn")</f>
        <v>Brooklyn</v>
      </c>
      <c r="E3606" s="6" t="str">
        <f>IFERROR(__xludf.DUMMYFUNCTION("""COMPUTED_VALUE"""),"")</f>
        <v/>
      </c>
      <c r="F3606" s="6" t="str">
        <f>IFERROR(__xludf.DUMMYFUNCTION("""COMPUTED_VALUE"""),"Grandy")</f>
        <v>Grandy</v>
      </c>
      <c r="G3606" s="6" t="str">
        <f>IFERROR(__xludf.DUMMYFUNCTION("""COMPUTED_VALUE"""),"10/26/2014")</f>
        <v>10/26/2014</v>
      </c>
      <c r="H3606" s="6" t="str">
        <f>IFERROR(__xludf.DUMMYFUNCTION("""COMPUTED_VALUE"""),"Self Identify")</f>
        <v>Self Identify</v>
      </c>
      <c r="I3606" s="6" t="str">
        <f>IFERROR(__xludf.DUMMYFUNCTION("""COMPUTED_VALUE"""),"Level 2")</f>
        <v>Level 2</v>
      </c>
      <c r="J3606" s="6" t="str">
        <f>IFERROR(__xludf.DUMMYFUNCTION("""COMPUTED_VALUE"""),"5")</f>
        <v>5</v>
      </c>
      <c r="K3606" s="6" t="str">
        <f>IFERROR(__xludf.DUMMYFUNCTION("""COMPUTED_VALUE"""),"brooklyn_grandy@stu.ortrail.k12.or.us")</f>
        <v>brooklyn_grandy@stu.ortrail.k12.or.us</v>
      </c>
      <c r="L3606" s="6" t="str">
        <f>IFERROR(__xludf.DUMMYFUNCTION("""COMPUTED_VALUE"""),"Oregon Trail School District 46")</f>
        <v>Oregon Trail School District 46</v>
      </c>
      <c r="M3606" s="6" t="str">
        <f>IFERROR(__xludf.DUMMYFUNCTION("""COMPUTED_VALUE"""),"Welches Elementary School")</f>
        <v>Welches Elementary School</v>
      </c>
      <c r="N3606" s="6" t="str">
        <f>IFERROR(__xludf.DUMMYFUNCTION("""COMPUTED_VALUE"""),"")</f>
        <v/>
      </c>
      <c r="O3606" s="87" t="str">
        <f>IFERROR(__xludf.DUMMYFUNCTION("""COMPUTED_VALUE"""),"https://drive.google.com/drive/folders/10T2cTQHqEJZqE-st6uFKPoI?usp=share_link")</f>
        <v>https://drive.google.com/drive/folders/10T2cTQHqEJZqE-st6uFKPoI?usp=share_link</v>
      </c>
      <c r="P3606" s="6" t="str">
        <f>IFERROR(__xludf.DUMMYFUNCTION("""COMPUTED_VALUE"""),"Brooklyn Grandy")</f>
        <v>Brooklyn Grandy</v>
      </c>
      <c r="Q3606" s="6" t="str">
        <f>IFERROR(__xludf.DUMMYFUNCTION("""COMPUTED_VALUE"""),"L2")</f>
        <v>L2</v>
      </c>
      <c r="R3606" s="6">
        <f>IFERROR(__xludf.DUMMYFUNCTION("""COMPUTED_VALUE"""),2.0)</f>
        <v>2</v>
      </c>
      <c r="S3606" s="6" t="str">
        <f>IFERROR(__xludf.DUMMYFUNCTION("""COMPUTED_VALUE"""),"Kalee Robertson")</f>
        <v>Kalee Robertson</v>
      </c>
      <c r="T3606" s="6" t="str">
        <f>IFERROR(__xludf.DUMMYFUNCTION("""COMPUTED_VALUE"""),"kalee.robertson@ortrail.k12.or.us")</f>
        <v>kalee.robertson@ortrail.k12.or.us</v>
      </c>
      <c r="U3606" s="6" t="str">
        <f>IFERROR(__xludf.DUMMYFUNCTION("""COMPUTED_VALUE"""),"5")</f>
        <v>5</v>
      </c>
      <c r="V3606" s="6" t="str">
        <f>IFERROR(__xludf.DUMMYFUNCTION("""COMPUTED_VALUE"""),"English")</f>
        <v>English</v>
      </c>
      <c r="W3606" s="6" t="str">
        <f>IFERROR(__xludf.DUMMYFUNCTION("""COMPUTED_VALUE"""),"[]")</f>
        <v>[]</v>
      </c>
      <c r="X3606" s="6" t="str">
        <f>IFERROR(__xludf.DUMMYFUNCTION("""COMPUTED_VALUE"""),"Enrolled")</f>
        <v>Enrolled</v>
      </c>
    </row>
    <row r="3607">
      <c r="A3607" s="6" t="str">
        <f>IFERROR(__xludf.DUMMYFUNCTION("""COMPUTED_VALUE"""),"064-6706")</f>
        <v>064-6706</v>
      </c>
      <c r="B3607" s="6" t="str">
        <f>IFERROR(__xludf.DUMMYFUNCTION("""COMPUTED_VALUE"""),"64")</f>
        <v>64</v>
      </c>
      <c r="C3607" s="6" t="str">
        <f>IFERROR(__xludf.DUMMYFUNCTION("""COMPUTED_VALUE"""),"6706")</f>
        <v>6706</v>
      </c>
      <c r="D3607" s="6" t="str">
        <f>IFERROR(__xludf.DUMMYFUNCTION("""COMPUTED_VALUE"""),"Jonathan")</f>
        <v>Jonathan</v>
      </c>
      <c r="E3607" s="6" t="str">
        <f>IFERROR(__xludf.DUMMYFUNCTION("""COMPUTED_VALUE"""),"")</f>
        <v/>
      </c>
      <c r="F3607" s="6" t="str">
        <f>IFERROR(__xludf.DUMMYFUNCTION("""COMPUTED_VALUE"""),"Harrell")</f>
        <v>Harrell</v>
      </c>
      <c r="G3607" s="6" t="str">
        <f>IFERROR(__xludf.DUMMYFUNCTION("""COMPUTED_VALUE"""),"12/20/2014")</f>
        <v>12/20/2014</v>
      </c>
      <c r="H3607" s="6" t="str">
        <f>IFERROR(__xludf.DUMMYFUNCTION("""COMPUTED_VALUE"""),"Self Identify")</f>
        <v>Self Identify</v>
      </c>
      <c r="I3607" s="6" t="str">
        <f>IFERROR(__xludf.DUMMYFUNCTION("""COMPUTED_VALUE"""),"Level 2")</f>
        <v>Level 2</v>
      </c>
      <c r="J3607" s="6" t="str">
        <f>IFERROR(__xludf.DUMMYFUNCTION("""COMPUTED_VALUE"""),"5")</f>
        <v>5</v>
      </c>
      <c r="K3607" s="6" t="str">
        <f>IFERROR(__xludf.DUMMYFUNCTION("""COMPUTED_VALUE"""),"jj_harrell@stu.ortrail.k12.or.us")</f>
        <v>jj_harrell@stu.ortrail.k12.or.us</v>
      </c>
      <c r="L3607" s="6" t="str">
        <f>IFERROR(__xludf.DUMMYFUNCTION("""COMPUTED_VALUE"""),"Oregon Trail School District 46")</f>
        <v>Oregon Trail School District 46</v>
      </c>
      <c r="M3607" s="6" t="str">
        <f>IFERROR(__xludf.DUMMYFUNCTION("""COMPUTED_VALUE"""),"Welches Elementary School")</f>
        <v>Welches Elementary School</v>
      </c>
      <c r="N3607" s="6" t="str">
        <f>IFERROR(__xludf.DUMMYFUNCTION("""COMPUTED_VALUE"""),"")</f>
        <v/>
      </c>
      <c r="O3607" s="87" t="str">
        <f>IFERROR(__xludf.DUMMYFUNCTION("""COMPUTED_VALUE"""),"https://drive.google.com/drive/folders/10T2cTQHqEJZqE-st6uFKPoI?usp=share_link")</f>
        <v>https://drive.google.com/drive/folders/10T2cTQHqEJZqE-st6uFKPoI?usp=share_link</v>
      </c>
      <c r="P3607" s="6" t="str">
        <f>IFERROR(__xludf.DUMMYFUNCTION("""COMPUTED_VALUE"""),"Jonathan Harrell")</f>
        <v>Jonathan Harrell</v>
      </c>
      <c r="Q3607" s="6" t="str">
        <f>IFERROR(__xludf.DUMMYFUNCTION("""COMPUTED_VALUE"""),"L2")</f>
        <v>L2</v>
      </c>
      <c r="R3607" s="6">
        <f>IFERROR(__xludf.DUMMYFUNCTION("""COMPUTED_VALUE"""),2.0)</f>
        <v>2</v>
      </c>
      <c r="S3607" s="6" t="str">
        <f>IFERROR(__xludf.DUMMYFUNCTION("""COMPUTED_VALUE"""),"Kalee Robertson")</f>
        <v>Kalee Robertson</v>
      </c>
      <c r="T3607" s="6" t="str">
        <f>IFERROR(__xludf.DUMMYFUNCTION("""COMPUTED_VALUE"""),"kalee.robertson@ortrail.k12.or.us")</f>
        <v>kalee.robertson@ortrail.k12.or.us</v>
      </c>
      <c r="U3607" s="6" t="str">
        <f>IFERROR(__xludf.DUMMYFUNCTION("""COMPUTED_VALUE"""),"5")</f>
        <v>5</v>
      </c>
      <c r="V3607" s="6" t="str">
        <f>IFERROR(__xludf.DUMMYFUNCTION("""COMPUTED_VALUE"""),"English")</f>
        <v>English</v>
      </c>
      <c r="W3607" s="6" t="str">
        <f>IFERROR(__xludf.DUMMYFUNCTION("""COMPUTED_VALUE"""),"[]")</f>
        <v>[]</v>
      </c>
      <c r="X3607" s="6" t="str">
        <f>IFERROR(__xludf.DUMMYFUNCTION("""COMPUTED_VALUE"""),"Enrolled")</f>
        <v>Enrolled</v>
      </c>
    </row>
    <row r="3608">
      <c r="A3608" s="6" t="str">
        <f>IFERROR(__xludf.DUMMYFUNCTION("""COMPUTED_VALUE"""),"064-6707")</f>
        <v>064-6707</v>
      </c>
      <c r="B3608" s="6" t="str">
        <f>IFERROR(__xludf.DUMMYFUNCTION("""COMPUTED_VALUE"""),"64")</f>
        <v>64</v>
      </c>
      <c r="C3608" s="6" t="str">
        <f>IFERROR(__xludf.DUMMYFUNCTION("""COMPUTED_VALUE"""),"6707")</f>
        <v>6707</v>
      </c>
      <c r="D3608" s="6" t="str">
        <f>IFERROR(__xludf.DUMMYFUNCTION("""COMPUTED_VALUE"""),"Ferryn")</f>
        <v>Ferryn</v>
      </c>
      <c r="E3608" s="6" t="str">
        <f>IFERROR(__xludf.DUMMYFUNCTION("""COMPUTED_VALUE"""),"")</f>
        <v/>
      </c>
      <c r="F3608" s="6" t="str">
        <f>IFERROR(__xludf.DUMMYFUNCTION("""COMPUTED_VALUE"""),"Hoopes")</f>
        <v>Hoopes</v>
      </c>
      <c r="G3608" s="6" t="str">
        <f>IFERROR(__xludf.DUMMYFUNCTION("""COMPUTED_VALUE"""),"09/21/2014")</f>
        <v>09/21/2014</v>
      </c>
      <c r="H3608" s="6" t="str">
        <f>IFERROR(__xludf.DUMMYFUNCTION("""COMPUTED_VALUE"""),"Self Identify")</f>
        <v>Self Identify</v>
      </c>
      <c r="I3608" s="6" t="str">
        <f>IFERROR(__xludf.DUMMYFUNCTION("""COMPUTED_VALUE"""),"Level 2")</f>
        <v>Level 2</v>
      </c>
      <c r="J3608" s="6" t="str">
        <f>IFERROR(__xludf.DUMMYFUNCTION("""COMPUTED_VALUE"""),"5")</f>
        <v>5</v>
      </c>
      <c r="K3608" s="6" t="str">
        <f>IFERROR(__xludf.DUMMYFUNCTION("""COMPUTED_VALUE"""),"ferryn_hoopes@stu.ortrail.k12.or.us")</f>
        <v>ferryn_hoopes@stu.ortrail.k12.or.us</v>
      </c>
      <c r="L3608" s="6" t="str">
        <f>IFERROR(__xludf.DUMMYFUNCTION("""COMPUTED_VALUE"""),"Oregon Trail School District 46")</f>
        <v>Oregon Trail School District 46</v>
      </c>
      <c r="M3608" s="6" t="str">
        <f>IFERROR(__xludf.DUMMYFUNCTION("""COMPUTED_VALUE"""),"Welches Elementary School")</f>
        <v>Welches Elementary School</v>
      </c>
      <c r="N3608" s="6" t="str">
        <f>IFERROR(__xludf.DUMMYFUNCTION("""COMPUTED_VALUE"""),"")</f>
        <v/>
      </c>
      <c r="O3608" s="87" t="str">
        <f>IFERROR(__xludf.DUMMYFUNCTION("""COMPUTED_VALUE"""),"https://drive.google.com/drive/folders/10T2cTQHqEJZqE-st6uFKPoI?usp=share_link")</f>
        <v>https://drive.google.com/drive/folders/10T2cTQHqEJZqE-st6uFKPoI?usp=share_link</v>
      </c>
      <c r="P3608" s="6" t="str">
        <f>IFERROR(__xludf.DUMMYFUNCTION("""COMPUTED_VALUE"""),"Ferryn Hoopes")</f>
        <v>Ferryn Hoopes</v>
      </c>
      <c r="Q3608" s="6" t="str">
        <f>IFERROR(__xludf.DUMMYFUNCTION("""COMPUTED_VALUE"""),"L2")</f>
        <v>L2</v>
      </c>
      <c r="R3608" s="6">
        <f>IFERROR(__xludf.DUMMYFUNCTION("""COMPUTED_VALUE"""),2.0)</f>
        <v>2</v>
      </c>
      <c r="S3608" s="6" t="str">
        <f>IFERROR(__xludf.DUMMYFUNCTION("""COMPUTED_VALUE"""),"Kalee Robertson")</f>
        <v>Kalee Robertson</v>
      </c>
      <c r="T3608" s="6" t="str">
        <f>IFERROR(__xludf.DUMMYFUNCTION("""COMPUTED_VALUE"""),"kalee.robertson@ortrail.k12.or.us")</f>
        <v>kalee.robertson@ortrail.k12.or.us</v>
      </c>
      <c r="U3608" s="6" t="str">
        <f>IFERROR(__xludf.DUMMYFUNCTION("""COMPUTED_VALUE"""),"5")</f>
        <v>5</v>
      </c>
      <c r="V3608" s="6" t="str">
        <f>IFERROR(__xludf.DUMMYFUNCTION("""COMPUTED_VALUE"""),"English")</f>
        <v>English</v>
      </c>
      <c r="W3608" s="6" t="str">
        <f>IFERROR(__xludf.DUMMYFUNCTION("""COMPUTED_VALUE"""),"[]")</f>
        <v>[]</v>
      </c>
      <c r="X3608" s="6" t="str">
        <f>IFERROR(__xludf.DUMMYFUNCTION("""COMPUTED_VALUE"""),"Enrolled")</f>
        <v>Enrolled</v>
      </c>
    </row>
    <row r="3609">
      <c r="A3609" s="6" t="str">
        <f>IFERROR(__xludf.DUMMYFUNCTION("""COMPUTED_VALUE"""),"064-6708")</f>
        <v>064-6708</v>
      </c>
      <c r="B3609" s="6" t="str">
        <f>IFERROR(__xludf.DUMMYFUNCTION("""COMPUTED_VALUE"""),"64")</f>
        <v>64</v>
      </c>
      <c r="C3609" s="6" t="str">
        <f>IFERROR(__xludf.DUMMYFUNCTION("""COMPUTED_VALUE"""),"6708")</f>
        <v>6708</v>
      </c>
      <c r="D3609" s="6" t="str">
        <f>IFERROR(__xludf.DUMMYFUNCTION("""COMPUTED_VALUE"""),"Caleb")</f>
        <v>Caleb</v>
      </c>
      <c r="E3609" s="6" t="str">
        <f>IFERROR(__xludf.DUMMYFUNCTION("""COMPUTED_VALUE"""),"")</f>
        <v/>
      </c>
      <c r="F3609" s="6" t="str">
        <f>IFERROR(__xludf.DUMMYFUNCTION("""COMPUTED_VALUE"""),"Kaiser")</f>
        <v>Kaiser</v>
      </c>
      <c r="G3609" s="6" t="str">
        <f>IFERROR(__xludf.DUMMYFUNCTION("""COMPUTED_VALUE"""),"12/17/2014")</f>
        <v>12/17/2014</v>
      </c>
      <c r="H3609" s="6" t="str">
        <f>IFERROR(__xludf.DUMMYFUNCTION("""COMPUTED_VALUE"""),"Self Identify")</f>
        <v>Self Identify</v>
      </c>
      <c r="I3609" s="6" t="str">
        <f>IFERROR(__xludf.DUMMYFUNCTION("""COMPUTED_VALUE"""),"Level 2")</f>
        <v>Level 2</v>
      </c>
      <c r="J3609" s="6" t="str">
        <f>IFERROR(__xludf.DUMMYFUNCTION("""COMPUTED_VALUE"""),"5")</f>
        <v>5</v>
      </c>
      <c r="K3609" s="6" t="str">
        <f>IFERROR(__xludf.DUMMYFUNCTION("""COMPUTED_VALUE"""),"caleb_kaiser@stu.ortrail.k12.or.us")</f>
        <v>caleb_kaiser@stu.ortrail.k12.or.us</v>
      </c>
      <c r="L3609" s="6" t="str">
        <f>IFERROR(__xludf.DUMMYFUNCTION("""COMPUTED_VALUE"""),"Oregon Trail School District 46")</f>
        <v>Oregon Trail School District 46</v>
      </c>
      <c r="M3609" s="6" t="str">
        <f>IFERROR(__xludf.DUMMYFUNCTION("""COMPUTED_VALUE"""),"Welches Elementary School")</f>
        <v>Welches Elementary School</v>
      </c>
      <c r="N3609" s="6" t="str">
        <f>IFERROR(__xludf.DUMMYFUNCTION("""COMPUTED_VALUE"""),"")</f>
        <v/>
      </c>
      <c r="O3609" s="87" t="str">
        <f>IFERROR(__xludf.DUMMYFUNCTION("""COMPUTED_VALUE"""),"https://drive.google.com/drive/folders/10T2cTQHqEJZqE-st6uFKPoI?usp=share_link")</f>
        <v>https://drive.google.com/drive/folders/10T2cTQHqEJZqE-st6uFKPoI?usp=share_link</v>
      </c>
      <c r="P3609" s="6" t="str">
        <f>IFERROR(__xludf.DUMMYFUNCTION("""COMPUTED_VALUE"""),"Caleb Kaiser")</f>
        <v>Caleb Kaiser</v>
      </c>
      <c r="Q3609" s="6" t="str">
        <f>IFERROR(__xludf.DUMMYFUNCTION("""COMPUTED_VALUE"""),"L2")</f>
        <v>L2</v>
      </c>
      <c r="R3609" s="6">
        <f>IFERROR(__xludf.DUMMYFUNCTION("""COMPUTED_VALUE"""),2.0)</f>
        <v>2</v>
      </c>
      <c r="S3609" s="6" t="str">
        <f>IFERROR(__xludf.DUMMYFUNCTION("""COMPUTED_VALUE"""),"Kalee Robertson")</f>
        <v>Kalee Robertson</v>
      </c>
      <c r="T3609" s="6" t="str">
        <f>IFERROR(__xludf.DUMMYFUNCTION("""COMPUTED_VALUE"""),"kalee.robertson@ortrail.k12.or.us")</f>
        <v>kalee.robertson@ortrail.k12.or.us</v>
      </c>
      <c r="U3609" s="6" t="str">
        <f>IFERROR(__xludf.DUMMYFUNCTION("""COMPUTED_VALUE"""),"5")</f>
        <v>5</v>
      </c>
      <c r="V3609" s="6" t="str">
        <f>IFERROR(__xludf.DUMMYFUNCTION("""COMPUTED_VALUE"""),"English")</f>
        <v>English</v>
      </c>
      <c r="W3609" s="6" t="str">
        <f>IFERROR(__xludf.DUMMYFUNCTION("""COMPUTED_VALUE"""),"[]")</f>
        <v>[]</v>
      </c>
      <c r="X3609" s="6" t="str">
        <f>IFERROR(__xludf.DUMMYFUNCTION("""COMPUTED_VALUE"""),"Enrolled")</f>
        <v>Enrolled</v>
      </c>
    </row>
    <row r="3610">
      <c r="A3610" s="6" t="str">
        <f>IFERROR(__xludf.DUMMYFUNCTION("""COMPUTED_VALUE"""),"064-6709")</f>
        <v>064-6709</v>
      </c>
      <c r="B3610" s="6" t="str">
        <f>IFERROR(__xludf.DUMMYFUNCTION("""COMPUTED_VALUE"""),"64")</f>
        <v>64</v>
      </c>
      <c r="C3610" s="6" t="str">
        <f>IFERROR(__xludf.DUMMYFUNCTION("""COMPUTED_VALUE"""),"6709")</f>
        <v>6709</v>
      </c>
      <c r="D3610" s="6" t="str">
        <f>IFERROR(__xludf.DUMMYFUNCTION("""COMPUTED_VALUE"""),"Kainoa")</f>
        <v>Kainoa</v>
      </c>
      <c r="E3610" s="6" t="str">
        <f>IFERROR(__xludf.DUMMYFUNCTION("""COMPUTED_VALUE"""),"")</f>
        <v/>
      </c>
      <c r="F3610" s="6" t="str">
        <f>IFERROR(__xludf.DUMMYFUNCTION("""COMPUTED_VALUE"""),"Kindle")</f>
        <v>Kindle</v>
      </c>
      <c r="G3610" s="6" t="str">
        <f>IFERROR(__xludf.DUMMYFUNCTION("""COMPUTED_VALUE"""),"01/12/2015")</f>
        <v>01/12/2015</v>
      </c>
      <c r="H3610" s="6" t="str">
        <f>IFERROR(__xludf.DUMMYFUNCTION("""COMPUTED_VALUE"""),"Self Identify")</f>
        <v>Self Identify</v>
      </c>
      <c r="I3610" s="6" t="str">
        <f>IFERROR(__xludf.DUMMYFUNCTION("""COMPUTED_VALUE"""),"Level 2")</f>
        <v>Level 2</v>
      </c>
      <c r="J3610" s="6" t="str">
        <f>IFERROR(__xludf.DUMMYFUNCTION("""COMPUTED_VALUE"""),"5")</f>
        <v>5</v>
      </c>
      <c r="K3610" s="6" t="str">
        <f>IFERROR(__xludf.DUMMYFUNCTION("""COMPUTED_VALUE"""),"kai_kindle@stu.ortrail.k12.or.us")</f>
        <v>kai_kindle@stu.ortrail.k12.or.us</v>
      </c>
      <c r="L3610" s="6" t="str">
        <f>IFERROR(__xludf.DUMMYFUNCTION("""COMPUTED_VALUE"""),"Oregon Trail School District 46")</f>
        <v>Oregon Trail School District 46</v>
      </c>
      <c r="M3610" s="6" t="str">
        <f>IFERROR(__xludf.DUMMYFUNCTION("""COMPUTED_VALUE"""),"Welches Elementary School")</f>
        <v>Welches Elementary School</v>
      </c>
      <c r="N3610" s="6" t="str">
        <f>IFERROR(__xludf.DUMMYFUNCTION("""COMPUTED_VALUE"""),"")</f>
        <v/>
      </c>
      <c r="O3610" s="87" t="str">
        <f>IFERROR(__xludf.DUMMYFUNCTION("""COMPUTED_VALUE"""),"https://drive.google.com/drive/folders/10T2cTQHqEJZqE-st6uFKPoI?usp=share_link")</f>
        <v>https://drive.google.com/drive/folders/10T2cTQHqEJZqE-st6uFKPoI?usp=share_link</v>
      </c>
      <c r="P3610" s="6" t="str">
        <f>IFERROR(__xludf.DUMMYFUNCTION("""COMPUTED_VALUE"""),"Kainoa Kindle")</f>
        <v>Kainoa Kindle</v>
      </c>
      <c r="Q3610" s="6" t="str">
        <f>IFERROR(__xludf.DUMMYFUNCTION("""COMPUTED_VALUE"""),"L2")</f>
        <v>L2</v>
      </c>
      <c r="R3610" s="6">
        <f>IFERROR(__xludf.DUMMYFUNCTION("""COMPUTED_VALUE"""),2.0)</f>
        <v>2</v>
      </c>
      <c r="S3610" s="6" t="str">
        <f>IFERROR(__xludf.DUMMYFUNCTION("""COMPUTED_VALUE"""),"Kalee Robertson")</f>
        <v>Kalee Robertson</v>
      </c>
      <c r="T3610" s="6" t="str">
        <f>IFERROR(__xludf.DUMMYFUNCTION("""COMPUTED_VALUE"""),"kalee.robertson@ortrail.k12.or.us")</f>
        <v>kalee.robertson@ortrail.k12.or.us</v>
      </c>
      <c r="U3610" s="6" t="str">
        <f>IFERROR(__xludf.DUMMYFUNCTION("""COMPUTED_VALUE"""),"5")</f>
        <v>5</v>
      </c>
      <c r="V3610" s="6" t="str">
        <f>IFERROR(__xludf.DUMMYFUNCTION("""COMPUTED_VALUE"""),"English")</f>
        <v>English</v>
      </c>
      <c r="W3610" s="6" t="str">
        <f>IFERROR(__xludf.DUMMYFUNCTION("""COMPUTED_VALUE"""),"[]")</f>
        <v>[]</v>
      </c>
      <c r="X3610" s="6" t="str">
        <f>IFERROR(__xludf.DUMMYFUNCTION("""COMPUTED_VALUE"""),"Enrolled")</f>
        <v>Enrolled</v>
      </c>
    </row>
    <row r="3611">
      <c r="A3611" s="6" t="str">
        <f>IFERROR(__xludf.DUMMYFUNCTION("""COMPUTED_VALUE"""),"064-6710")</f>
        <v>064-6710</v>
      </c>
      <c r="B3611" s="6" t="str">
        <f>IFERROR(__xludf.DUMMYFUNCTION("""COMPUTED_VALUE"""),"64")</f>
        <v>64</v>
      </c>
      <c r="C3611" s="6" t="str">
        <f>IFERROR(__xludf.DUMMYFUNCTION("""COMPUTED_VALUE"""),"6710")</f>
        <v>6710</v>
      </c>
      <c r="D3611" s="6" t="str">
        <f>IFERROR(__xludf.DUMMYFUNCTION("""COMPUTED_VALUE"""),"Finley")</f>
        <v>Finley</v>
      </c>
      <c r="E3611" s="6" t="str">
        <f>IFERROR(__xludf.DUMMYFUNCTION("""COMPUTED_VALUE"""),"")</f>
        <v/>
      </c>
      <c r="F3611" s="6" t="str">
        <f>IFERROR(__xludf.DUMMYFUNCTION("""COMPUTED_VALUE"""),"Lampkin")</f>
        <v>Lampkin</v>
      </c>
      <c r="G3611" s="6" t="str">
        <f>IFERROR(__xludf.DUMMYFUNCTION("""COMPUTED_VALUE"""),"09/26/2014")</f>
        <v>09/26/2014</v>
      </c>
      <c r="H3611" s="6" t="str">
        <f>IFERROR(__xludf.DUMMYFUNCTION("""COMPUTED_VALUE"""),"Self Identify")</f>
        <v>Self Identify</v>
      </c>
      <c r="I3611" s="6" t="str">
        <f>IFERROR(__xludf.DUMMYFUNCTION("""COMPUTED_VALUE"""),"Level 2")</f>
        <v>Level 2</v>
      </c>
      <c r="J3611" s="6" t="str">
        <f>IFERROR(__xludf.DUMMYFUNCTION("""COMPUTED_VALUE"""),"5")</f>
        <v>5</v>
      </c>
      <c r="K3611" s="6" t="str">
        <f>IFERROR(__xludf.DUMMYFUNCTION("""COMPUTED_VALUE"""),"finley_lampkin@stu.ortrail.k12.or.us")</f>
        <v>finley_lampkin@stu.ortrail.k12.or.us</v>
      </c>
      <c r="L3611" s="6" t="str">
        <f>IFERROR(__xludf.DUMMYFUNCTION("""COMPUTED_VALUE"""),"Oregon Trail School District 46")</f>
        <v>Oregon Trail School District 46</v>
      </c>
      <c r="M3611" s="6" t="str">
        <f>IFERROR(__xludf.DUMMYFUNCTION("""COMPUTED_VALUE"""),"Welches Elementary School")</f>
        <v>Welches Elementary School</v>
      </c>
      <c r="N3611" s="6" t="str">
        <f>IFERROR(__xludf.DUMMYFUNCTION("""COMPUTED_VALUE"""),"")</f>
        <v/>
      </c>
      <c r="O3611" s="87" t="str">
        <f>IFERROR(__xludf.DUMMYFUNCTION("""COMPUTED_VALUE"""),"https://drive.google.com/drive/folders/10T2cTQHqEJZqE-st6uFKPoI?usp=share_link")</f>
        <v>https://drive.google.com/drive/folders/10T2cTQHqEJZqE-st6uFKPoI?usp=share_link</v>
      </c>
      <c r="P3611" s="6" t="str">
        <f>IFERROR(__xludf.DUMMYFUNCTION("""COMPUTED_VALUE"""),"Finley Lampkin")</f>
        <v>Finley Lampkin</v>
      </c>
      <c r="Q3611" s="6" t="str">
        <f>IFERROR(__xludf.DUMMYFUNCTION("""COMPUTED_VALUE"""),"L2")</f>
        <v>L2</v>
      </c>
      <c r="R3611" s="6">
        <f>IFERROR(__xludf.DUMMYFUNCTION("""COMPUTED_VALUE"""),2.0)</f>
        <v>2</v>
      </c>
      <c r="S3611" s="6" t="str">
        <f>IFERROR(__xludf.DUMMYFUNCTION("""COMPUTED_VALUE"""),"Kalee Robertson")</f>
        <v>Kalee Robertson</v>
      </c>
      <c r="T3611" s="6" t="str">
        <f>IFERROR(__xludf.DUMMYFUNCTION("""COMPUTED_VALUE"""),"kalee.robertson@ortrail.k12.or.us")</f>
        <v>kalee.robertson@ortrail.k12.or.us</v>
      </c>
      <c r="U3611" s="6" t="str">
        <f>IFERROR(__xludf.DUMMYFUNCTION("""COMPUTED_VALUE"""),"5")</f>
        <v>5</v>
      </c>
      <c r="V3611" s="6" t="str">
        <f>IFERROR(__xludf.DUMMYFUNCTION("""COMPUTED_VALUE"""),"English")</f>
        <v>English</v>
      </c>
      <c r="W3611" s="6" t="str">
        <f>IFERROR(__xludf.DUMMYFUNCTION("""COMPUTED_VALUE"""),"[]")</f>
        <v>[]</v>
      </c>
      <c r="X3611" s="6" t="str">
        <f>IFERROR(__xludf.DUMMYFUNCTION("""COMPUTED_VALUE"""),"Enrolled")</f>
        <v>Enrolled</v>
      </c>
    </row>
    <row r="3612">
      <c r="A3612" s="6" t="str">
        <f>IFERROR(__xludf.DUMMYFUNCTION("""COMPUTED_VALUE"""),"064-6711")</f>
        <v>064-6711</v>
      </c>
      <c r="B3612" s="6" t="str">
        <f>IFERROR(__xludf.DUMMYFUNCTION("""COMPUTED_VALUE"""),"64")</f>
        <v>64</v>
      </c>
      <c r="C3612" s="6" t="str">
        <f>IFERROR(__xludf.DUMMYFUNCTION("""COMPUTED_VALUE"""),"6711")</f>
        <v>6711</v>
      </c>
      <c r="D3612" s="6" t="str">
        <f>IFERROR(__xludf.DUMMYFUNCTION("""COMPUTED_VALUE"""),"Tiko")</f>
        <v>Tiko</v>
      </c>
      <c r="E3612" s="6" t="str">
        <f>IFERROR(__xludf.DUMMYFUNCTION("""COMPUTED_VALUE"""),"")</f>
        <v/>
      </c>
      <c r="F3612" s="6" t="str">
        <f>IFERROR(__xludf.DUMMYFUNCTION("""COMPUTED_VALUE"""),"Moreno")</f>
        <v>Moreno</v>
      </c>
      <c r="G3612" s="6" t="str">
        <f>IFERROR(__xludf.DUMMYFUNCTION("""COMPUTED_VALUE"""),"03/03/2015")</f>
        <v>03/03/2015</v>
      </c>
      <c r="H3612" s="6" t="str">
        <f>IFERROR(__xludf.DUMMYFUNCTION("""COMPUTED_VALUE"""),"Self Identify")</f>
        <v>Self Identify</v>
      </c>
      <c r="I3612" s="6" t="str">
        <f>IFERROR(__xludf.DUMMYFUNCTION("""COMPUTED_VALUE"""),"Level 2")</f>
        <v>Level 2</v>
      </c>
      <c r="J3612" s="6" t="str">
        <f>IFERROR(__xludf.DUMMYFUNCTION("""COMPUTED_VALUE"""),"5")</f>
        <v>5</v>
      </c>
      <c r="K3612" s="6" t="str">
        <f>IFERROR(__xludf.DUMMYFUNCTION("""COMPUTED_VALUE"""),"tiko_moreno@stu.ortrail.k12.or.us")</f>
        <v>tiko_moreno@stu.ortrail.k12.or.us</v>
      </c>
      <c r="L3612" s="6" t="str">
        <f>IFERROR(__xludf.DUMMYFUNCTION("""COMPUTED_VALUE"""),"Oregon Trail School District 46")</f>
        <v>Oregon Trail School District 46</v>
      </c>
      <c r="M3612" s="6" t="str">
        <f>IFERROR(__xludf.DUMMYFUNCTION("""COMPUTED_VALUE"""),"Welches Elementary School")</f>
        <v>Welches Elementary School</v>
      </c>
      <c r="N3612" s="6" t="str">
        <f>IFERROR(__xludf.DUMMYFUNCTION("""COMPUTED_VALUE"""),"")</f>
        <v/>
      </c>
      <c r="O3612" s="87" t="str">
        <f>IFERROR(__xludf.DUMMYFUNCTION("""COMPUTED_VALUE"""),"https://drive.google.com/drive/folders/10T2cTQHqEJZqE-st6uFKPoI?usp=share_link")</f>
        <v>https://drive.google.com/drive/folders/10T2cTQHqEJZqE-st6uFKPoI?usp=share_link</v>
      </c>
      <c r="P3612" s="6" t="str">
        <f>IFERROR(__xludf.DUMMYFUNCTION("""COMPUTED_VALUE"""),"Tiko Moreno")</f>
        <v>Tiko Moreno</v>
      </c>
      <c r="Q3612" s="6" t="str">
        <f>IFERROR(__xludf.DUMMYFUNCTION("""COMPUTED_VALUE"""),"L2")</f>
        <v>L2</v>
      </c>
      <c r="R3612" s="6">
        <f>IFERROR(__xludf.DUMMYFUNCTION("""COMPUTED_VALUE"""),2.0)</f>
        <v>2</v>
      </c>
      <c r="S3612" s="6" t="str">
        <f>IFERROR(__xludf.DUMMYFUNCTION("""COMPUTED_VALUE"""),"Kalee Robertson")</f>
        <v>Kalee Robertson</v>
      </c>
      <c r="T3612" s="6" t="str">
        <f>IFERROR(__xludf.DUMMYFUNCTION("""COMPUTED_VALUE"""),"kalee.robertson@ortrail.k12.or.us")</f>
        <v>kalee.robertson@ortrail.k12.or.us</v>
      </c>
      <c r="U3612" s="6" t="str">
        <f>IFERROR(__xludf.DUMMYFUNCTION("""COMPUTED_VALUE"""),"5")</f>
        <v>5</v>
      </c>
      <c r="V3612" s="6" t="str">
        <f>IFERROR(__xludf.DUMMYFUNCTION("""COMPUTED_VALUE"""),"English")</f>
        <v>English</v>
      </c>
      <c r="W3612" s="6" t="str">
        <f>IFERROR(__xludf.DUMMYFUNCTION("""COMPUTED_VALUE"""),"[]")</f>
        <v>[]</v>
      </c>
      <c r="X3612" s="6" t="str">
        <f>IFERROR(__xludf.DUMMYFUNCTION("""COMPUTED_VALUE"""),"Enrolled")</f>
        <v>Enrolled</v>
      </c>
    </row>
    <row r="3613">
      <c r="A3613" s="6" t="str">
        <f>IFERROR(__xludf.DUMMYFUNCTION("""COMPUTED_VALUE"""),"064-6712")</f>
        <v>064-6712</v>
      </c>
      <c r="B3613" s="6" t="str">
        <f>IFERROR(__xludf.DUMMYFUNCTION("""COMPUTED_VALUE"""),"64")</f>
        <v>64</v>
      </c>
      <c r="C3613" s="6" t="str">
        <f>IFERROR(__xludf.DUMMYFUNCTION("""COMPUTED_VALUE"""),"6712")</f>
        <v>6712</v>
      </c>
      <c r="D3613" s="6" t="str">
        <f>IFERROR(__xludf.DUMMYFUNCTION("""COMPUTED_VALUE"""),"Uriah")</f>
        <v>Uriah</v>
      </c>
      <c r="E3613" s="6" t="str">
        <f>IFERROR(__xludf.DUMMYFUNCTION("""COMPUTED_VALUE"""),"")</f>
        <v/>
      </c>
      <c r="F3613" s="6" t="str">
        <f>IFERROR(__xludf.DUMMYFUNCTION("""COMPUTED_VALUE"""),"Nygren")</f>
        <v>Nygren</v>
      </c>
      <c r="G3613" s="6" t="str">
        <f>IFERROR(__xludf.DUMMYFUNCTION("""COMPUTED_VALUE"""),"07/08/2015")</f>
        <v>07/08/2015</v>
      </c>
      <c r="H3613" s="6" t="str">
        <f>IFERROR(__xludf.DUMMYFUNCTION("""COMPUTED_VALUE"""),"Self Identify")</f>
        <v>Self Identify</v>
      </c>
      <c r="I3613" s="6" t="str">
        <f>IFERROR(__xludf.DUMMYFUNCTION("""COMPUTED_VALUE"""),"Level 2")</f>
        <v>Level 2</v>
      </c>
      <c r="J3613" s="6" t="str">
        <f>IFERROR(__xludf.DUMMYFUNCTION("""COMPUTED_VALUE"""),"5")</f>
        <v>5</v>
      </c>
      <c r="K3613" s="6" t="str">
        <f>IFERROR(__xludf.DUMMYFUNCTION("""COMPUTED_VALUE"""),"uriah_nygren@stu.ortrail.k12.or.us")</f>
        <v>uriah_nygren@stu.ortrail.k12.or.us</v>
      </c>
      <c r="L3613" s="6" t="str">
        <f>IFERROR(__xludf.DUMMYFUNCTION("""COMPUTED_VALUE"""),"Oregon Trail School District 46")</f>
        <v>Oregon Trail School District 46</v>
      </c>
      <c r="M3613" s="6" t="str">
        <f>IFERROR(__xludf.DUMMYFUNCTION("""COMPUTED_VALUE"""),"Welches Elementary School")</f>
        <v>Welches Elementary School</v>
      </c>
      <c r="N3613" s="6" t="str">
        <f>IFERROR(__xludf.DUMMYFUNCTION("""COMPUTED_VALUE"""),"")</f>
        <v/>
      </c>
      <c r="O3613" s="87" t="str">
        <f>IFERROR(__xludf.DUMMYFUNCTION("""COMPUTED_VALUE"""),"https://drive.google.com/drive/folders/10T2cTQHqEJZqE-st6uFKPoI?usp=share_link")</f>
        <v>https://drive.google.com/drive/folders/10T2cTQHqEJZqE-st6uFKPoI?usp=share_link</v>
      </c>
      <c r="P3613" s="6" t="str">
        <f>IFERROR(__xludf.DUMMYFUNCTION("""COMPUTED_VALUE"""),"Uriah Nygren")</f>
        <v>Uriah Nygren</v>
      </c>
      <c r="Q3613" s="6" t="str">
        <f>IFERROR(__xludf.DUMMYFUNCTION("""COMPUTED_VALUE"""),"L2")</f>
        <v>L2</v>
      </c>
      <c r="R3613" s="6">
        <f>IFERROR(__xludf.DUMMYFUNCTION("""COMPUTED_VALUE"""),2.0)</f>
        <v>2</v>
      </c>
      <c r="S3613" s="6" t="str">
        <f>IFERROR(__xludf.DUMMYFUNCTION("""COMPUTED_VALUE"""),"Kalee Robertson")</f>
        <v>Kalee Robertson</v>
      </c>
      <c r="T3613" s="6" t="str">
        <f>IFERROR(__xludf.DUMMYFUNCTION("""COMPUTED_VALUE"""),"kalee.robertson@ortrail.k12.or.us")</f>
        <v>kalee.robertson@ortrail.k12.or.us</v>
      </c>
      <c r="U3613" s="6" t="str">
        <f>IFERROR(__xludf.DUMMYFUNCTION("""COMPUTED_VALUE"""),"5")</f>
        <v>5</v>
      </c>
      <c r="V3613" s="6" t="str">
        <f>IFERROR(__xludf.DUMMYFUNCTION("""COMPUTED_VALUE"""),"English")</f>
        <v>English</v>
      </c>
      <c r="W3613" s="6" t="str">
        <f>IFERROR(__xludf.DUMMYFUNCTION("""COMPUTED_VALUE"""),"[]")</f>
        <v>[]</v>
      </c>
      <c r="X3613" s="6" t="str">
        <f>IFERROR(__xludf.DUMMYFUNCTION("""COMPUTED_VALUE"""),"Enrolled")</f>
        <v>Enrolled</v>
      </c>
    </row>
    <row r="3614">
      <c r="A3614" s="6" t="str">
        <f>IFERROR(__xludf.DUMMYFUNCTION("""COMPUTED_VALUE"""),"064-6713")</f>
        <v>064-6713</v>
      </c>
      <c r="B3614" s="6" t="str">
        <f>IFERROR(__xludf.DUMMYFUNCTION("""COMPUTED_VALUE"""),"64")</f>
        <v>64</v>
      </c>
      <c r="C3614" s="6" t="str">
        <f>IFERROR(__xludf.DUMMYFUNCTION("""COMPUTED_VALUE"""),"6713")</f>
        <v>6713</v>
      </c>
      <c r="D3614" s="6" t="str">
        <f>IFERROR(__xludf.DUMMYFUNCTION("""COMPUTED_VALUE"""),"Alexander")</f>
        <v>Alexander</v>
      </c>
      <c r="E3614" s="6" t="str">
        <f>IFERROR(__xludf.DUMMYFUNCTION("""COMPUTED_VALUE"""),"")</f>
        <v/>
      </c>
      <c r="F3614" s="6" t="str">
        <f>IFERROR(__xludf.DUMMYFUNCTION("""COMPUTED_VALUE"""),"Pavilionis-Vucinich")</f>
        <v>Pavilionis-Vucinich</v>
      </c>
      <c r="G3614" s="6" t="str">
        <f>IFERROR(__xludf.DUMMYFUNCTION("""COMPUTED_VALUE"""),"08/11/2015")</f>
        <v>08/11/2015</v>
      </c>
      <c r="H3614" s="6" t="str">
        <f>IFERROR(__xludf.DUMMYFUNCTION("""COMPUTED_VALUE"""),"Self Identify")</f>
        <v>Self Identify</v>
      </c>
      <c r="I3614" s="6" t="str">
        <f>IFERROR(__xludf.DUMMYFUNCTION("""COMPUTED_VALUE"""),"Level 2")</f>
        <v>Level 2</v>
      </c>
      <c r="J3614" s="6" t="str">
        <f>IFERROR(__xludf.DUMMYFUNCTION("""COMPUTED_VALUE"""),"5")</f>
        <v>5</v>
      </c>
      <c r="K3614" s="6" t="str">
        <f>IFERROR(__xludf.DUMMYFUNCTION("""COMPUTED_VALUE"""),"alexander_pavilionis@stu.ortrail.k12.or.us")</f>
        <v>alexander_pavilionis@stu.ortrail.k12.or.us</v>
      </c>
      <c r="L3614" s="6" t="str">
        <f>IFERROR(__xludf.DUMMYFUNCTION("""COMPUTED_VALUE"""),"Oregon Trail School District 46")</f>
        <v>Oregon Trail School District 46</v>
      </c>
      <c r="M3614" s="6" t="str">
        <f>IFERROR(__xludf.DUMMYFUNCTION("""COMPUTED_VALUE"""),"Welches Elementary School")</f>
        <v>Welches Elementary School</v>
      </c>
      <c r="N3614" s="6" t="str">
        <f>IFERROR(__xludf.DUMMYFUNCTION("""COMPUTED_VALUE"""),"")</f>
        <v/>
      </c>
      <c r="O3614" s="87" t="str">
        <f>IFERROR(__xludf.DUMMYFUNCTION("""COMPUTED_VALUE"""),"https://drive.google.com/drive/folders/10T2cTQHqEJZqE-st6uFKPoI?usp=share_link")</f>
        <v>https://drive.google.com/drive/folders/10T2cTQHqEJZqE-st6uFKPoI?usp=share_link</v>
      </c>
      <c r="P3614" s="6" t="str">
        <f>IFERROR(__xludf.DUMMYFUNCTION("""COMPUTED_VALUE"""),"Alexander Pavilionis-Vucinich")</f>
        <v>Alexander Pavilionis-Vucinich</v>
      </c>
      <c r="Q3614" s="6" t="str">
        <f>IFERROR(__xludf.DUMMYFUNCTION("""COMPUTED_VALUE"""),"L2")</f>
        <v>L2</v>
      </c>
      <c r="R3614" s="6">
        <f>IFERROR(__xludf.DUMMYFUNCTION("""COMPUTED_VALUE"""),2.0)</f>
        <v>2</v>
      </c>
      <c r="S3614" s="6" t="str">
        <f>IFERROR(__xludf.DUMMYFUNCTION("""COMPUTED_VALUE"""),"Kalee Robertson")</f>
        <v>Kalee Robertson</v>
      </c>
      <c r="T3614" s="6" t="str">
        <f>IFERROR(__xludf.DUMMYFUNCTION("""COMPUTED_VALUE"""),"kalee.robertson@ortrail.k12.or.us")</f>
        <v>kalee.robertson@ortrail.k12.or.us</v>
      </c>
      <c r="U3614" s="6" t="str">
        <f>IFERROR(__xludf.DUMMYFUNCTION("""COMPUTED_VALUE"""),"5")</f>
        <v>5</v>
      </c>
      <c r="V3614" s="6" t="str">
        <f>IFERROR(__xludf.DUMMYFUNCTION("""COMPUTED_VALUE"""),"English")</f>
        <v>English</v>
      </c>
      <c r="W3614" s="6" t="str">
        <f>IFERROR(__xludf.DUMMYFUNCTION("""COMPUTED_VALUE"""),"[]")</f>
        <v>[]</v>
      </c>
      <c r="X3614" s="6" t="str">
        <f>IFERROR(__xludf.DUMMYFUNCTION("""COMPUTED_VALUE"""),"Enrolled")</f>
        <v>Enrolled</v>
      </c>
    </row>
    <row r="3615">
      <c r="A3615" s="6" t="str">
        <f>IFERROR(__xludf.DUMMYFUNCTION("""COMPUTED_VALUE"""),"064-6714")</f>
        <v>064-6714</v>
      </c>
      <c r="B3615" s="6" t="str">
        <f>IFERROR(__xludf.DUMMYFUNCTION("""COMPUTED_VALUE"""),"64")</f>
        <v>64</v>
      </c>
      <c r="C3615" s="6" t="str">
        <f>IFERROR(__xludf.DUMMYFUNCTION("""COMPUTED_VALUE"""),"6714")</f>
        <v>6714</v>
      </c>
      <c r="D3615" s="6" t="str">
        <f>IFERROR(__xludf.DUMMYFUNCTION("""COMPUTED_VALUE"""),"Maddox")</f>
        <v>Maddox</v>
      </c>
      <c r="E3615" s="6" t="str">
        <f>IFERROR(__xludf.DUMMYFUNCTION("""COMPUTED_VALUE"""),"")</f>
        <v/>
      </c>
      <c r="F3615" s="6" t="str">
        <f>IFERROR(__xludf.DUMMYFUNCTION("""COMPUTED_VALUE"""),"Prudence")</f>
        <v>Prudence</v>
      </c>
      <c r="G3615" s="6" t="str">
        <f>IFERROR(__xludf.DUMMYFUNCTION("""COMPUTED_VALUE"""),"11/04/2014")</f>
        <v>11/04/2014</v>
      </c>
      <c r="H3615" s="6" t="str">
        <f>IFERROR(__xludf.DUMMYFUNCTION("""COMPUTED_VALUE"""),"Self Identify")</f>
        <v>Self Identify</v>
      </c>
      <c r="I3615" s="6" t="str">
        <f>IFERROR(__xludf.DUMMYFUNCTION("""COMPUTED_VALUE"""),"Level 2")</f>
        <v>Level 2</v>
      </c>
      <c r="J3615" s="6" t="str">
        <f>IFERROR(__xludf.DUMMYFUNCTION("""COMPUTED_VALUE"""),"5")</f>
        <v>5</v>
      </c>
      <c r="K3615" s="6" t="str">
        <f>IFERROR(__xludf.DUMMYFUNCTION("""COMPUTED_VALUE"""),"maddox_prudence@stu.ortrail.k12.or.us")</f>
        <v>maddox_prudence@stu.ortrail.k12.or.us</v>
      </c>
      <c r="L3615" s="6" t="str">
        <f>IFERROR(__xludf.DUMMYFUNCTION("""COMPUTED_VALUE"""),"Oregon Trail School District 46")</f>
        <v>Oregon Trail School District 46</v>
      </c>
      <c r="M3615" s="6" t="str">
        <f>IFERROR(__xludf.DUMMYFUNCTION("""COMPUTED_VALUE"""),"Welches Elementary School")</f>
        <v>Welches Elementary School</v>
      </c>
      <c r="N3615" s="6" t="str">
        <f>IFERROR(__xludf.DUMMYFUNCTION("""COMPUTED_VALUE"""),"")</f>
        <v/>
      </c>
      <c r="O3615" s="87" t="str">
        <f>IFERROR(__xludf.DUMMYFUNCTION("""COMPUTED_VALUE"""),"https://drive.google.com/drive/folders/10T2cTQHqEJZqE-st6uFKPoI?usp=share_link")</f>
        <v>https://drive.google.com/drive/folders/10T2cTQHqEJZqE-st6uFKPoI?usp=share_link</v>
      </c>
      <c r="P3615" s="6" t="str">
        <f>IFERROR(__xludf.DUMMYFUNCTION("""COMPUTED_VALUE"""),"Maddox Prudence")</f>
        <v>Maddox Prudence</v>
      </c>
      <c r="Q3615" s="6" t="str">
        <f>IFERROR(__xludf.DUMMYFUNCTION("""COMPUTED_VALUE"""),"L2")</f>
        <v>L2</v>
      </c>
      <c r="R3615" s="6">
        <f>IFERROR(__xludf.DUMMYFUNCTION("""COMPUTED_VALUE"""),2.0)</f>
        <v>2</v>
      </c>
      <c r="S3615" s="6" t="str">
        <f>IFERROR(__xludf.DUMMYFUNCTION("""COMPUTED_VALUE"""),"Kalee Robertson")</f>
        <v>Kalee Robertson</v>
      </c>
      <c r="T3615" s="6" t="str">
        <f>IFERROR(__xludf.DUMMYFUNCTION("""COMPUTED_VALUE"""),"kalee.robertson@ortrail.k12.or.us")</f>
        <v>kalee.robertson@ortrail.k12.or.us</v>
      </c>
      <c r="U3615" s="6" t="str">
        <f>IFERROR(__xludf.DUMMYFUNCTION("""COMPUTED_VALUE"""),"5")</f>
        <v>5</v>
      </c>
      <c r="V3615" s="6" t="str">
        <f>IFERROR(__xludf.DUMMYFUNCTION("""COMPUTED_VALUE"""),"English")</f>
        <v>English</v>
      </c>
      <c r="W3615" s="6" t="str">
        <f>IFERROR(__xludf.DUMMYFUNCTION("""COMPUTED_VALUE"""),"[]")</f>
        <v>[]</v>
      </c>
      <c r="X3615" s="6" t="str">
        <f>IFERROR(__xludf.DUMMYFUNCTION("""COMPUTED_VALUE"""),"Enrolled")</f>
        <v>Enrolled</v>
      </c>
    </row>
    <row r="3616">
      <c r="A3616" s="6" t="str">
        <f>IFERROR(__xludf.DUMMYFUNCTION("""COMPUTED_VALUE"""),"064-6715")</f>
        <v>064-6715</v>
      </c>
      <c r="B3616" s="6" t="str">
        <f>IFERROR(__xludf.DUMMYFUNCTION("""COMPUTED_VALUE"""),"64")</f>
        <v>64</v>
      </c>
      <c r="C3616" s="6" t="str">
        <f>IFERROR(__xludf.DUMMYFUNCTION("""COMPUTED_VALUE"""),"6715")</f>
        <v>6715</v>
      </c>
      <c r="D3616" s="6" t="str">
        <f>IFERROR(__xludf.DUMMYFUNCTION("""COMPUTED_VALUE"""),"Austin")</f>
        <v>Austin</v>
      </c>
      <c r="E3616" s="6" t="str">
        <f>IFERROR(__xludf.DUMMYFUNCTION("""COMPUTED_VALUE"""),"")</f>
        <v/>
      </c>
      <c r="F3616" s="6" t="str">
        <f>IFERROR(__xludf.DUMMYFUNCTION("""COMPUTED_VALUE"""),"Rundell")</f>
        <v>Rundell</v>
      </c>
      <c r="G3616" s="6" t="str">
        <f>IFERROR(__xludf.DUMMYFUNCTION("""COMPUTED_VALUE"""),"03/06/2015")</f>
        <v>03/06/2015</v>
      </c>
      <c r="H3616" s="6" t="str">
        <f>IFERROR(__xludf.DUMMYFUNCTION("""COMPUTED_VALUE"""),"Self Identify")</f>
        <v>Self Identify</v>
      </c>
      <c r="I3616" s="6" t="str">
        <f>IFERROR(__xludf.DUMMYFUNCTION("""COMPUTED_VALUE"""),"Level 2")</f>
        <v>Level 2</v>
      </c>
      <c r="J3616" s="6" t="str">
        <f>IFERROR(__xludf.DUMMYFUNCTION("""COMPUTED_VALUE"""),"5")</f>
        <v>5</v>
      </c>
      <c r="K3616" s="6" t="str">
        <f>IFERROR(__xludf.DUMMYFUNCTION("""COMPUTED_VALUE"""),"austin_rundell@stu.ortrail.k12.or.us")</f>
        <v>austin_rundell@stu.ortrail.k12.or.us</v>
      </c>
      <c r="L3616" s="6" t="str">
        <f>IFERROR(__xludf.DUMMYFUNCTION("""COMPUTED_VALUE"""),"Oregon Trail School District 46")</f>
        <v>Oregon Trail School District 46</v>
      </c>
      <c r="M3616" s="6" t="str">
        <f>IFERROR(__xludf.DUMMYFUNCTION("""COMPUTED_VALUE"""),"Welches Elementary School")</f>
        <v>Welches Elementary School</v>
      </c>
      <c r="N3616" s="6" t="str">
        <f>IFERROR(__xludf.DUMMYFUNCTION("""COMPUTED_VALUE"""),"")</f>
        <v/>
      </c>
      <c r="O3616" s="87" t="str">
        <f>IFERROR(__xludf.DUMMYFUNCTION("""COMPUTED_VALUE"""),"https://drive.google.com/drive/folders/10T2cTQHqEJZqE-st6uFKPoI?usp=share_link")</f>
        <v>https://drive.google.com/drive/folders/10T2cTQHqEJZqE-st6uFKPoI?usp=share_link</v>
      </c>
      <c r="P3616" s="6" t="str">
        <f>IFERROR(__xludf.DUMMYFUNCTION("""COMPUTED_VALUE"""),"Austin Rundell")</f>
        <v>Austin Rundell</v>
      </c>
      <c r="Q3616" s="6" t="str">
        <f>IFERROR(__xludf.DUMMYFUNCTION("""COMPUTED_VALUE"""),"L2")</f>
        <v>L2</v>
      </c>
      <c r="R3616" s="6">
        <f>IFERROR(__xludf.DUMMYFUNCTION("""COMPUTED_VALUE"""),2.0)</f>
        <v>2</v>
      </c>
      <c r="S3616" s="6" t="str">
        <f>IFERROR(__xludf.DUMMYFUNCTION("""COMPUTED_VALUE"""),"Kalee Robertson")</f>
        <v>Kalee Robertson</v>
      </c>
      <c r="T3616" s="6" t="str">
        <f>IFERROR(__xludf.DUMMYFUNCTION("""COMPUTED_VALUE"""),"kalee.robertson@ortrail.k12.or.us")</f>
        <v>kalee.robertson@ortrail.k12.or.us</v>
      </c>
      <c r="U3616" s="6" t="str">
        <f>IFERROR(__xludf.DUMMYFUNCTION("""COMPUTED_VALUE"""),"5")</f>
        <v>5</v>
      </c>
      <c r="V3616" s="6" t="str">
        <f>IFERROR(__xludf.DUMMYFUNCTION("""COMPUTED_VALUE"""),"English")</f>
        <v>English</v>
      </c>
      <c r="W3616" s="6" t="str">
        <f>IFERROR(__xludf.DUMMYFUNCTION("""COMPUTED_VALUE"""),"[]")</f>
        <v>[]</v>
      </c>
      <c r="X3616" s="6" t="str">
        <f>IFERROR(__xludf.DUMMYFUNCTION("""COMPUTED_VALUE"""),"Enrolled")</f>
        <v>Enrolled</v>
      </c>
    </row>
    <row r="3617">
      <c r="A3617" s="6" t="str">
        <f>IFERROR(__xludf.DUMMYFUNCTION("""COMPUTED_VALUE"""),"064-6717")</f>
        <v>064-6717</v>
      </c>
      <c r="B3617" s="6" t="str">
        <f>IFERROR(__xludf.DUMMYFUNCTION("""COMPUTED_VALUE"""),"64")</f>
        <v>64</v>
      </c>
      <c r="C3617" s="6" t="str">
        <f>IFERROR(__xludf.DUMMYFUNCTION("""COMPUTED_VALUE"""),"6717")</f>
        <v>6717</v>
      </c>
      <c r="D3617" s="6" t="str">
        <f>IFERROR(__xludf.DUMMYFUNCTION("""COMPUTED_VALUE"""),"Adrien")</f>
        <v>Adrien</v>
      </c>
      <c r="E3617" s="6" t="str">
        <f>IFERROR(__xludf.DUMMYFUNCTION("""COMPUTED_VALUE"""),"")</f>
        <v/>
      </c>
      <c r="F3617" s="6" t="str">
        <f>IFERROR(__xludf.DUMMYFUNCTION("""COMPUTED_VALUE"""),"Sloyka")</f>
        <v>Sloyka</v>
      </c>
      <c r="G3617" s="6" t="str">
        <f>IFERROR(__xludf.DUMMYFUNCTION("""COMPUTED_VALUE"""),"04/22/2015")</f>
        <v>04/22/2015</v>
      </c>
      <c r="H3617" s="6" t="str">
        <f>IFERROR(__xludf.DUMMYFUNCTION("""COMPUTED_VALUE"""),"Self Identify")</f>
        <v>Self Identify</v>
      </c>
      <c r="I3617" s="6" t="str">
        <f>IFERROR(__xludf.DUMMYFUNCTION("""COMPUTED_VALUE"""),"Level 2")</f>
        <v>Level 2</v>
      </c>
      <c r="J3617" s="6" t="str">
        <f>IFERROR(__xludf.DUMMYFUNCTION("""COMPUTED_VALUE"""),"5")</f>
        <v>5</v>
      </c>
      <c r="K3617" s="6" t="str">
        <f>IFERROR(__xludf.DUMMYFUNCTION("""COMPUTED_VALUE"""),"adrien_sloyka@stu.ortrail.k12.or.us")</f>
        <v>adrien_sloyka@stu.ortrail.k12.or.us</v>
      </c>
      <c r="L3617" s="6" t="str">
        <f>IFERROR(__xludf.DUMMYFUNCTION("""COMPUTED_VALUE"""),"Oregon Trail School District 46")</f>
        <v>Oregon Trail School District 46</v>
      </c>
      <c r="M3617" s="6" t="str">
        <f>IFERROR(__xludf.DUMMYFUNCTION("""COMPUTED_VALUE"""),"Welches Elementary School")</f>
        <v>Welches Elementary School</v>
      </c>
      <c r="N3617" s="6" t="str">
        <f>IFERROR(__xludf.DUMMYFUNCTION("""COMPUTED_VALUE"""),"")</f>
        <v/>
      </c>
      <c r="O3617" s="87" t="str">
        <f>IFERROR(__xludf.DUMMYFUNCTION("""COMPUTED_VALUE"""),"https://drive.google.com/drive/folders/10T2cTQHqEJZqE-st6uFKPoI?usp=share_link")</f>
        <v>https://drive.google.com/drive/folders/10T2cTQHqEJZqE-st6uFKPoI?usp=share_link</v>
      </c>
      <c r="P3617" s="6" t="str">
        <f>IFERROR(__xludf.DUMMYFUNCTION("""COMPUTED_VALUE"""),"Adrien Sloyka")</f>
        <v>Adrien Sloyka</v>
      </c>
      <c r="Q3617" s="6" t="str">
        <f>IFERROR(__xludf.DUMMYFUNCTION("""COMPUTED_VALUE"""),"L2")</f>
        <v>L2</v>
      </c>
      <c r="R3617" s="6">
        <f>IFERROR(__xludf.DUMMYFUNCTION("""COMPUTED_VALUE"""),2.0)</f>
        <v>2</v>
      </c>
      <c r="S3617" s="6" t="str">
        <f>IFERROR(__xludf.DUMMYFUNCTION("""COMPUTED_VALUE"""),"Kalee Robertson")</f>
        <v>Kalee Robertson</v>
      </c>
      <c r="T3617" s="6" t="str">
        <f>IFERROR(__xludf.DUMMYFUNCTION("""COMPUTED_VALUE"""),"kalee.robertson@ortrail.k12.or.us")</f>
        <v>kalee.robertson@ortrail.k12.or.us</v>
      </c>
      <c r="U3617" s="6" t="str">
        <f>IFERROR(__xludf.DUMMYFUNCTION("""COMPUTED_VALUE"""),"5")</f>
        <v>5</v>
      </c>
      <c r="V3617" s="6" t="str">
        <f>IFERROR(__xludf.DUMMYFUNCTION("""COMPUTED_VALUE"""),"English")</f>
        <v>English</v>
      </c>
      <c r="W3617" s="6" t="str">
        <f>IFERROR(__xludf.DUMMYFUNCTION("""COMPUTED_VALUE"""),"[]")</f>
        <v>[]</v>
      </c>
      <c r="X3617" s="6" t="str">
        <f>IFERROR(__xludf.DUMMYFUNCTION("""COMPUTED_VALUE"""),"Enrolled")</f>
        <v>Enrolled</v>
      </c>
    </row>
    <row r="3618">
      <c r="A3618" s="6" t="str">
        <f>IFERROR(__xludf.DUMMYFUNCTION("""COMPUTED_VALUE"""),"064-6718")</f>
        <v>064-6718</v>
      </c>
      <c r="B3618" s="6" t="str">
        <f>IFERROR(__xludf.DUMMYFUNCTION("""COMPUTED_VALUE"""),"64")</f>
        <v>64</v>
      </c>
      <c r="C3618" s="6" t="str">
        <f>IFERROR(__xludf.DUMMYFUNCTION("""COMPUTED_VALUE"""),"6718")</f>
        <v>6718</v>
      </c>
      <c r="D3618" s="6" t="str">
        <f>IFERROR(__xludf.DUMMYFUNCTION("""COMPUTED_VALUE"""),"Reya")</f>
        <v>Reya</v>
      </c>
      <c r="E3618" s="6" t="str">
        <f>IFERROR(__xludf.DUMMYFUNCTION("""COMPUTED_VALUE"""),"")</f>
        <v/>
      </c>
      <c r="F3618" s="6" t="str">
        <f>IFERROR(__xludf.DUMMYFUNCTION("""COMPUTED_VALUE"""),"Thomason")</f>
        <v>Thomason</v>
      </c>
      <c r="G3618" s="6" t="str">
        <f>IFERROR(__xludf.DUMMYFUNCTION("""COMPUTED_VALUE"""),"12/22/2014")</f>
        <v>12/22/2014</v>
      </c>
      <c r="H3618" s="6" t="str">
        <f>IFERROR(__xludf.DUMMYFUNCTION("""COMPUTED_VALUE"""),"Self Identify")</f>
        <v>Self Identify</v>
      </c>
      <c r="I3618" s="6" t="str">
        <f>IFERROR(__xludf.DUMMYFUNCTION("""COMPUTED_VALUE"""),"Level 2")</f>
        <v>Level 2</v>
      </c>
      <c r="J3618" s="6" t="str">
        <f>IFERROR(__xludf.DUMMYFUNCTION("""COMPUTED_VALUE"""),"5")</f>
        <v>5</v>
      </c>
      <c r="K3618" s="6" t="str">
        <f>IFERROR(__xludf.DUMMYFUNCTION("""COMPUTED_VALUE"""),"reya_thomason@stu.ortrail.k12.or.us")</f>
        <v>reya_thomason@stu.ortrail.k12.or.us</v>
      </c>
      <c r="L3618" s="6" t="str">
        <f>IFERROR(__xludf.DUMMYFUNCTION("""COMPUTED_VALUE"""),"Oregon Trail School District 46")</f>
        <v>Oregon Trail School District 46</v>
      </c>
      <c r="M3618" s="6" t="str">
        <f>IFERROR(__xludf.DUMMYFUNCTION("""COMPUTED_VALUE"""),"Welches Elementary School")</f>
        <v>Welches Elementary School</v>
      </c>
      <c r="N3618" s="6" t="str">
        <f>IFERROR(__xludf.DUMMYFUNCTION("""COMPUTED_VALUE"""),"")</f>
        <v/>
      </c>
      <c r="O3618" s="87" t="str">
        <f>IFERROR(__xludf.DUMMYFUNCTION("""COMPUTED_VALUE"""),"https://drive.google.com/drive/folders/10T2cTQHqEJZqE-st6uFKPoI?usp=share_link")</f>
        <v>https://drive.google.com/drive/folders/10T2cTQHqEJZqE-st6uFKPoI?usp=share_link</v>
      </c>
      <c r="P3618" s="6" t="str">
        <f>IFERROR(__xludf.DUMMYFUNCTION("""COMPUTED_VALUE"""),"Reya Thomason")</f>
        <v>Reya Thomason</v>
      </c>
      <c r="Q3618" s="6" t="str">
        <f>IFERROR(__xludf.DUMMYFUNCTION("""COMPUTED_VALUE"""),"L2")</f>
        <v>L2</v>
      </c>
      <c r="R3618" s="6">
        <f>IFERROR(__xludf.DUMMYFUNCTION("""COMPUTED_VALUE"""),2.0)</f>
        <v>2</v>
      </c>
      <c r="S3618" s="6" t="str">
        <f>IFERROR(__xludf.DUMMYFUNCTION("""COMPUTED_VALUE"""),"Kalee Robertson")</f>
        <v>Kalee Robertson</v>
      </c>
      <c r="T3618" s="6" t="str">
        <f>IFERROR(__xludf.DUMMYFUNCTION("""COMPUTED_VALUE"""),"kalee.robertson@ortrail.k12.or.us")</f>
        <v>kalee.robertson@ortrail.k12.or.us</v>
      </c>
      <c r="U3618" s="6" t="str">
        <f>IFERROR(__xludf.DUMMYFUNCTION("""COMPUTED_VALUE"""),"5")</f>
        <v>5</v>
      </c>
      <c r="V3618" s="6" t="str">
        <f>IFERROR(__xludf.DUMMYFUNCTION("""COMPUTED_VALUE"""),"English")</f>
        <v>English</v>
      </c>
      <c r="W3618" s="6" t="str">
        <f>IFERROR(__xludf.DUMMYFUNCTION("""COMPUTED_VALUE"""),"[]")</f>
        <v>[]</v>
      </c>
      <c r="X3618" s="6" t="str">
        <f>IFERROR(__xludf.DUMMYFUNCTION("""COMPUTED_VALUE"""),"Enrolled")</f>
        <v>Enrolled</v>
      </c>
    </row>
    <row r="3619">
      <c r="A3619" s="6" t="str">
        <f>IFERROR(__xludf.DUMMYFUNCTION("""COMPUTED_VALUE"""),"064-6719")</f>
        <v>064-6719</v>
      </c>
      <c r="B3619" s="6" t="str">
        <f>IFERROR(__xludf.DUMMYFUNCTION("""COMPUTED_VALUE"""),"64")</f>
        <v>64</v>
      </c>
      <c r="C3619" s="6" t="str">
        <f>IFERROR(__xludf.DUMMYFUNCTION("""COMPUTED_VALUE"""),"6719")</f>
        <v>6719</v>
      </c>
      <c r="D3619" s="6" t="str">
        <f>IFERROR(__xludf.DUMMYFUNCTION("""COMPUTED_VALUE"""),"Finley")</f>
        <v>Finley</v>
      </c>
      <c r="E3619" s="6" t="str">
        <f>IFERROR(__xludf.DUMMYFUNCTION("""COMPUTED_VALUE"""),"")</f>
        <v/>
      </c>
      <c r="F3619" s="6" t="str">
        <f>IFERROR(__xludf.DUMMYFUNCTION("""COMPUTED_VALUE"""),"Tull")</f>
        <v>Tull</v>
      </c>
      <c r="G3619" s="6" t="str">
        <f>IFERROR(__xludf.DUMMYFUNCTION("""COMPUTED_VALUE"""),"11/26/2014")</f>
        <v>11/26/2014</v>
      </c>
      <c r="H3619" s="6" t="str">
        <f>IFERROR(__xludf.DUMMYFUNCTION("""COMPUTED_VALUE"""),"Self Identify")</f>
        <v>Self Identify</v>
      </c>
      <c r="I3619" s="6" t="str">
        <f>IFERROR(__xludf.DUMMYFUNCTION("""COMPUTED_VALUE"""),"Level 2")</f>
        <v>Level 2</v>
      </c>
      <c r="J3619" s="6" t="str">
        <f>IFERROR(__xludf.DUMMYFUNCTION("""COMPUTED_VALUE"""),"5")</f>
        <v>5</v>
      </c>
      <c r="K3619" s="6" t="str">
        <f>IFERROR(__xludf.DUMMYFUNCTION("""COMPUTED_VALUE"""),"finn_tull@stu.ortrail.k12.or.us")</f>
        <v>finn_tull@stu.ortrail.k12.or.us</v>
      </c>
      <c r="L3619" s="6" t="str">
        <f>IFERROR(__xludf.DUMMYFUNCTION("""COMPUTED_VALUE"""),"Oregon Trail School District 46")</f>
        <v>Oregon Trail School District 46</v>
      </c>
      <c r="M3619" s="6" t="str">
        <f>IFERROR(__xludf.DUMMYFUNCTION("""COMPUTED_VALUE"""),"Welches Elementary School")</f>
        <v>Welches Elementary School</v>
      </c>
      <c r="N3619" s="6" t="str">
        <f>IFERROR(__xludf.DUMMYFUNCTION("""COMPUTED_VALUE"""),"")</f>
        <v/>
      </c>
      <c r="O3619" s="87" t="str">
        <f>IFERROR(__xludf.DUMMYFUNCTION("""COMPUTED_VALUE"""),"https://drive.google.com/drive/folders/10T2cTQHqEJZqE-st6uFKPoI?usp=share_link")</f>
        <v>https://drive.google.com/drive/folders/10T2cTQHqEJZqE-st6uFKPoI?usp=share_link</v>
      </c>
      <c r="P3619" s="6" t="str">
        <f>IFERROR(__xludf.DUMMYFUNCTION("""COMPUTED_VALUE"""),"Finley Tull")</f>
        <v>Finley Tull</v>
      </c>
      <c r="Q3619" s="6" t="str">
        <f>IFERROR(__xludf.DUMMYFUNCTION("""COMPUTED_VALUE"""),"L2")</f>
        <v>L2</v>
      </c>
      <c r="R3619" s="6">
        <f>IFERROR(__xludf.DUMMYFUNCTION("""COMPUTED_VALUE"""),2.0)</f>
        <v>2</v>
      </c>
      <c r="S3619" s="6" t="str">
        <f>IFERROR(__xludf.DUMMYFUNCTION("""COMPUTED_VALUE"""),"Kalee Robertson")</f>
        <v>Kalee Robertson</v>
      </c>
      <c r="T3619" s="6" t="str">
        <f>IFERROR(__xludf.DUMMYFUNCTION("""COMPUTED_VALUE"""),"kalee.robertson@ortrail.k12.or.us")</f>
        <v>kalee.robertson@ortrail.k12.or.us</v>
      </c>
      <c r="U3619" s="6" t="str">
        <f>IFERROR(__xludf.DUMMYFUNCTION("""COMPUTED_VALUE"""),"5")</f>
        <v>5</v>
      </c>
      <c r="V3619" s="6" t="str">
        <f>IFERROR(__xludf.DUMMYFUNCTION("""COMPUTED_VALUE"""),"English")</f>
        <v>English</v>
      </c>
      <c r="W3619" s="6" t="str">
        <f>IFERROR(__xludf.DUMMYFUNCTION("""COMPUTED_VALUE"""),"[]")</f>
        <v>[]</v>
      </c>
      <c r="X3619" s="6" t="str">
        <f>IFERROR(__xludf.DUMMYFUNCTION("""COMPUTED_VALUE"""),"Enrolled")</f>
        <v>Enrolled</v>
      </c>
    </row>
    <row r="3620">
      <c r="A3620" s="6" t="str">
        <f>IFERROR(__xludf.DUMMYFUNCTION("""COMPUTED_VALUE"""),"064-6747")</f>
        <v>064-6747</v>
      </c>
      <c r="B3620" s="6" t="str">
        <f>IFERROR(__xludf.DUMMYFUNCTION("""COMPUTED_VALUE"""),"64")</f>
        <v>64</v>
      </c>
      <c r="C3620" s="6" t="str">
        <f>IFERROR(__xludf.DUMMYFUNCTION("""COMPUTED_VALUE"""),"6747")</f>
        <v>6747</v>
      </c>
      <c r="D3620" s="6" t="str">
        <f>IFERROR(__xludf.DUMMYFUNCTION("""COMPUTED_VALUE"""),"Brayden")</f>
        <v>Brayden</v>
      </c>
      <c r="E3620" s="6" t="str">
        <f>IFERROR(__xludf.DUMMYFUNCTION("""COMPUTED_VALUE"""),"")</f>
        <v/>
      </c>
      <c r="F3620" s="6" t="str">
        <f>IFERROR(__xludf.DUMMYFUNCTION("""COMPUTED_VALUE"""),"Bailey")</f>
        <v>Bailey</v>
      </c>
      <c r="G3620" s="6" t="str">
        <f>IFERROR(__xludf.DUMMYFUNCTION("""COMPUTED_VALUE"""),"01/19/2013")</f>
        <v>01/19/2013</v>
      </c>
      <c r="H3620" s="6" t="str">
        <f>IFERROR(__xludf.DUMMYFUNCTION("""COMPUTED_VALUE"""),"Self Identify")</f>
        <v>Self Identify</v>
      </c>
      <c r="I3620" s="6" t="str">
        <f>IFERROR(__xludf.DUMMYFUNCTION("""COMPUTED_VALUE"""),"Middle School")</f>
        <v>Middle School</v>
      </c>
      <c r="J3620" s="6" t="str">
        <f>IFERROR(__xludf.DUMMYFUNCTION("""COMPUTED_VALUE"""),"7")</f>
        <v>7</v>
      </c>
      <c r="K3620" s="6" t="str">
        <f>IFERROR(__xludf.DUMMYFUNCTION("""COMPUTED_VALUE"""),"brayden_bailey@stu.ortrail.k12.or.us")</f>
        <v>brayden_bailey@stu.ortrail.k12.or.us</v>
      </c>
      <c r="L3620" s="6" t="str">
        <f>IFERROR(__xludf.DUMMYFUNCTION("""COMPUTED_VALUE"""),"Oregon Trail School District 46")</f>
        <v>Oregon Trail School District 46</v>
      </c>
      <c r="M3620" s="6" t="str">
        <f>IFERROR(__xludf.DUMMYFUNCTION("""COMPUTED_VALUE"""),"Welches Middle School Original Instruction")</f>
        <v>Welches Middle School Original Instruction</v>
      </c>
      <c r="N3620" s="6" t="str">
        <f>IFERROR(__xludf.DUMMYFUNCTION("""COMPUTED_VALUE"""),"")</f>
        <v/>
      </c>
      <c r="O3620" s="87" t="str">
        <f>IFERROR(__xludf.DUMMYFUNCTION("""COMPUTED_VALUE"""),"https://drive.google.com/drive/folders/10T2cTQHqEJZqE-st6uFKPoI?usp=share_link")</f>
        <v>https://drive.google.com/drive/folders/10T2cTQHqEJZqE-st6uFKPoI?usp=share_link</v>
      </c>
      <c r="P3620" s="6" t="str">
        <f>IFERROR(__xludf.DUMMYFUNCTION("""COMPUTED_VALUE"""),"Brayden Bailey")</f>
        <v>Brayden Bailey</v>
      </c>
      <c r="Q3620" s="6" t="str">
        <f>IFERROR(__xludf.DUMMYFUNCTION("""COMPUTED_VALUE"""),"MS")</f>
        <v>MS</v>
      </c>
      <c r="R3620" s="6">
        <f>IFERROR(__xludf.DUMMYFUNCTION("""COMPUTED_VALUE"""),0.0)</f>
        <v>0</v>
      </c>
      <c r="S3620" s="6" t="str">
        <f>IFERROR(__xludf.DUMMYFUNCTION("""COMPUTED_VALUE""")," ")</f>
        <v> </v>
      </c>
      <c r="T3620" s="6" t="str">
        <f>IFERROR(__xludf.DUMMYFUNCTION("""COMPUTED_VALUE"""),"")</f>
        <v/>
      </c>
      <c r="U3620" s="6" t="str">
        <f>IFERROR(__xludf.DUMMYFUNCTION("""COMPUTED_VALUE"""),"7")</f>
        <v>7</v>
      </c>
      <c r="V3620" s="6" t="str">
        <f>IFERROR(__xludf.DUMMYFUNCTION("""COMPUTED_VALUE"""),"English")</f>
        <v>English</v>
      </c>
      <c r="W3620" s="6" t="str">
        <f>IFERROR(__xludf.DUMMYFUNCTION("""COMPUTED_VALUE"""),"[]")</f>
        <v>[]</v>
      </c>
      <c r="X3620" s="6" t="str">
        <f>IFERROR(__xludf.DUMMYFUNCTION("""COMPUTED_VALUE"""),"Enrolled")</f>
        <v>Enrolled</v>
      </c>
    </row>
    <row r="3621">
      <c r="A3621" s="6" t="str">
        <f>IFERROR(__xludf.DUMMYFUNCTION("""COMPUTED_VALUE"""),"064-6861")</f>
        <v>064-6861</v>
      </c>
      <c r="B3621" s="6" t="str">
        <f>IFERROR(__xludf.DUMMYFUNCTION("""COMPUTED_VALUE"""),"64")</f>
        <v>64</v>
      </c>
      <c r="C3621" s="6" t="str">
        <f>IFERROR(__xludf.DUMMYFUNCTION("""COMPUTED_VALUE"""),"6861")</f>
        <v>6861</v>
      </c>
      <c r="D3621" s="6" t="str">
        <f>IFERROR(__xludf.DUMMYFUNCTION("""COMPUTED_VALUE"""),"Aaden")</f>
        <v>Aaden</v>
      </c>
      <c r="E3621" s="6" t="str">
        <f>IFERROR(__xludf.DUMMYFUNCTION("""COMPUTED_VALUE"""),"")</f>
        <v/>
      </c>
      <c r="F3621" s="6" t="str">
        <f>IFERROR(__xludf.DUMMYFUNCTION("""COMPUTED_VALUE"""),"Gavic")</f>
        <v>Gavic</v>
      </c>
      <c r="G3621" s="6" t="str">
        <f>IFERROR(__xludf.DUMMYFUNCTION("""COMPUTED_VALUE"""),"10/14/2011")</f>
        <v>10/14/2011</v>
      </c>
      <c r="H3621" s="6" t="str">
        <f>IFERROR(__xludf.DUMMYFUNCTION("""COMPUTED_VALUE"""),"Self Identify")</f>
        <v>Self Identify</v>
      </c>
      <c r="I3621" s="6" t="str">
        <f>IFERROR(__xludf.DUMMYFUNCTION("""COMPUTED_VALUE"""),"Middle School")</f>
        <v>Middle School</v>
      </c>
      <c r="J3621" s="6" t="str">
        <f>IFERROR(__xludf.DUMMYFUNCTION("""COMPUTED_VALUE"""),"8")</f>
        <v>8</v>
      </c>
      <c r="K3621" s="6" t="str">
        <f>IFERROR(__xludf.DUMMYFUNCTION("""COMPUTED_VALUE"""),"aaden_gavic@stu.ortrail.k12.or.us")</f>
        <v>aaden_gavic@stu.ortrail.k12.or.us</v>
      </c>
      <c r="L3621" s="6" t="str">
        <f>IFERROR(__xludf.DUMMYFUNCTION("""COMPUTED_VALUE"""),"Oregon Trail School District 46")</f>
        <v>Oregon Trail School District 46</v>
      </c>
      <c r="M3621" s="6" t="str">
        <f>IFERROR(__xludf.DUMMYFUNCTION("""COMPUTED_VALUE"""),"Middle SchoolBLAP")</f>
        <v>Middle SchoolBLAP</v>
      </c>
      <c r="N3621" s="6" t="str">
        <f>IFERROR(__xludf.DUMMYFUNCTION("""COMPUTED_VALUE"""),"")</f>
        <v/>
      </c>
      <c r="O3621" s="87" t="str">
        <f>IFERROR(__xludf.DUMMYFUNCTION("""COMPUTED_VALUE"""),"https://drive.google.com/drive/folders/10T2cTQHqEJZqE-st6uFKPoI?usp=share_link")</f>
        <v>https://drive.google.com/drive/folders/10T2cTQHqEJZqE-st6uFKPoI?usp=share_link</v>
      </c>
      <c r="P3621" s="6" t="str">
        <f>IFERROR(__xludf.DUMMYFUNCTION("""COMPUTED_VALUE"""),"Aaden Gavic")</f>
        <v>Aaden Gavic</v>
      </c>
      <c r="Q3621" s="6" t="str">
        <f>IFERROR(__xludf.DUMMYFUNCTION("""COMPUTED_VALUE"""),"MS")</f>
        <v>MS</v>
      </c>
      <c r="R3621" s="6">
        <f>IFERROR(__xludf.DUMMYFUNCTION("""COMPUTED_VALUE"""),0.0)</f>
        <v>0</v>
      </c>
      <c r="S3621" s="6" t="str">
        <f>IFERROR(__xludf.DUMMYFUNCTION("""COMPUTED_VALUE"""),"Tracy Wells")</f>
        <v>Tracy Wells</v>
      </c>
      <c r="T3621" s="6" t="str">
        <f>IFERROR(__xludf.DUMMYFUNCTION("""COMPUTED_VALUE"""),"tracy.wells@ortrail.12.or.us")</f>
        <v>tracy.wells@ortrail.12.or.us</v>
      </c>
      <c r="U3621" s="6" t="str">
        <f>IFERROR(__xludf.DUMMYFUNCTION("""COMPUTED_VALUE"""),"8")</f>
        <v>8</v>
      </c>
      <c r="V3621" s="6" t="str">
        <f>IFERROR(__xludf.DUMMYFUNCTION("""COMPUTED_VALUE"""),"English")</f>
        <v>English</v>
      </c>
      <c r="W3621" s="6" t="str">
        <f>IFERROR(__xludf.DUMMYFUNCTION("""COMPUTED_VALUE"""),"[]")</f>
        <v>[]</v>
      </c>
      <c r="X3621" s="6" t="str">
        <f>IFERROR(__xludf.DUMMYFUNCTION("""COMPUTED_VALUE"""),"Enrolled")</f>
        <v>Enrolled</v>
      </c>
    </row>
    <row r="3622">
      <c r="A3622" s="6" t="str">
        <f>IFERROR(__xludf.DUMMYFUNCTION("""COMPUTED_VALUE"""),"064-6972")</f>
        <v>064-6972</v>
      </c>
      <c r="B3622" s="6" t="str">
        <f>IFERROR(__xludf.DUMMYFUNCTION("""COMPUTED_VALUE"""),"64")</f>
        <v>64</v>
      </c>
      <c r="C3622" s="6" t="str">
        <f>IFERROR(__xludf.DUMMYFUNCTION("""COMPUTED_VALUE"""),"6972")</f>
        <v>6972</v>
      </c>
      <c r="D3622" s="6" t="str">
        <f>IFERROR(__xludf.DUMMYFUNCTION("""COMPUTED_VALUE"""),"Holden")</f>
        <v>Holden</v>
      </c>
      <c r="E3622" s="6" t="str">
        <f>IFERROR(__xludf.DUMMYFUNCTION("""COMPUTED_VALUE"""),"")</f>
        <v/>
      </c>
      <c r="F3622" s="6" t="str">
        <f>IFERROR(__xludf.DUMMYFUNCTION("""COMPUTED_VALUE"""),"Moody")</f>
        <v>Moody</v>
      </c>
      <c r="G3622" s="6" t="str">
        <f>IFERROR(__xludf.DUMMYFUNCTION("""COMPUTED_VALUE"""),"08/21/2014")</f>
        <v>08/21/2014</v>
      </c>
      <c r="H3622" s="6" t="str">
        <f>IFERROR(__xludf.DUMMYFUNCTION("""COMPUTED_VALUE"""),"Self Identify")</f>
        <v>Self Identify</v>
      </c>
      <c r="I3622" s="6" t="str">
        <f>IFERROR(__xludf.DUMMYFUNCTION("""COMPUTED_VALUE"""),"Middle School")</f>
        <v>Middle School</v>
      </c>
      <c r="J3622" s="6" t="str">
        <f>IFERROR(__xludf.DUMMYFUNCTION("""COMPUTED_VALUE"""),"6")</f>
        <v>6</v>
      </c>
      <c r="K3622" s="6" t="str">
        <f>IFERROR(__xludf.DUMMYFUNCTION("""COMPUTED_VALUE"""),"holden_moody@stu.ortrail.k12.or.us")</f>
        <v>holden_moody@stu.ortrail.k12.or.us</v>
      </c>
      <c r="L3622" s="6" t="str">
        <f>IFERROR(__xludf.DUMMYFUNCTION("""COMPUTED_VALUE"""),"Oregon Trail School District 46")</f>
        <v>Oregon Trail School District 46</v>
      </c>
      <c r="M3622" s="6" t="str">
        <f>IFERROR(__xludf.DUMMYFUNCTION("""COMPUTED_VALUE"""),"Cedar Ridge Middle School")</f>
        <v>Cedar Ridge Middle School</v>
      </c>
      <c r="N3622" s="6" t="str">
        <f>IFERROR(__xludf.DUMMYFUNCTION("""COMPUTED_VALUE"""),"")</f>
        <v/>
      </c>
      <c r="O3622" s="87" t="str">
        <f>IFERROR(__xludf.DUMMYFUNCTION("""COMPUTED_VALUE"""),"https://drive.google.com/drive/folders/10T2cTQHqEJZqE-st6uFKPoI?usp=share_link")</f>
        <v>https://drive.google.com/drive/folders/10T2cTQHqEJZqE-st6uFKPoI?usp=share_link</v>
      </c>
      <c r="P3622" s="6" t="str">
        <f>IFERROR(__xludf.DUMMYFUNCTION("""COMPUTED_VALUE"""),"Holden Moody")</f>
        <v>Holden Moody</v>
      </c>
      <c r="Q3622" s="6" t="str">
        <f>IFERROR(__xludf.DUMMYFUNCTION("""COMPUTED_VALUE"""),"MS")</f>
        <v>MS</v>
      </c>
      <c r="R3622" s="6">
        <f>IFERROR(__xludf.DUMMYFUNCTION("""COMPUTED_VALUE"""),0.0)</f>
        <v>0</v>
      </c>
      <c r="S3622" s="6" t="str">
        <f>IFERROR(__xludf.DUMMYFUNCTION("""COMPUTED_VALUE"""),"Jennifer Gross")</f>
        <v>Jennifer Gross</v>
      </c>
      <c r="T3622" s="6" t="str">
        <f>IFERROR(__xludf.DUMMYFUNCTION("""COMPUTED_VALUE"""),"jenifer.gross@ortrail.k12.or.us")</f>
        <v>jenifer.gross@ortrail.k12.or.us</v>
      </c>
      <c r="U3622" s="6" t="str">
        <f>IFERROR(__xludf.DUMMYFUNCTION("""COMPUTED_VALUE"""),"6")</f>
        <v>6</v>
      </c>
      <c r="V3622" s="6" t="str">
        <f>IFERROR(__xludf.DUMMYFUNCTION("""COMPUTED_VALUE"""),"English")</f>
        <v>English</v>
      </c>
      <c r="W3622" s="6" t="str">
        <f>IFERROR(__xludf.DUMMYFUNCTION("""COMPUTED_VALUE"""),"[]")</f>
        <v>[]</v>
      </c>
      <c r="X3622" s="6" t="str">
        <f>IFERROR(__xludf.DUMMYFUNCTION("""COMPUTED_VALUE"""),"Enrolled")</f>
        <v>Enrolled</v>
      </c>
    </row>
    <row r="3623">
      <c r="A3623" s="6" t="str">
        <f>IFERROR(__xludf.DUMMYFUNCTION("""COMPUTED_VALUE"""),"064-6973")</f>
        <v>064-6973</v>
      </c>
      <c r="B3623" s="6" t="str">
        <f>IFERROR(__xludf.DUMMYFUNCTION("""COMPUTED_VALUE"""),"64")</f>
        <v>64</v>
      </c>
      <c r="C3623" s="6" t="str">
        <f>IFERROR(__xludf.DUMMYFUNCTION("""COMPUTED_VALUE"""),"6973")</f>
        <v>6973</v>
      </c>
      <c r="D3623" s="6" t="str">
        <f>IFERROR(__xludf.DUMMYFUNCTION("""COMPUTED_VALUE"""),"Bentley")</f>
        <v>Bentley</v>
      </c>
      <c r="E3623" s="6" t="str">
        <f>IFERROR(__xludf.DUMMYFUNCTION("""COMPUTED_VALUE"""),"")</f>
        <v/>
      </c>
      <c r="F3623" s="6" t="str">
        <f>IFERROR(__xludf.DUMMYFUNCTION("""COMPUTED_VALUE"""),"Bailey")</f>
        <v>Bailey</v>
      </c>
      <c r="G3623" s="6" t="str">
        <f>IFERROR(__xludf.DUMMYFUNCTION("""COMPUTED_VALUE"""),"05/20/2016")</f>
        <v>05/20/2016</v>
      </c>
      <c r="H3623" s="6" t="str">
        <f>IFERROR(__xludf.DUMMYFUNCTION("""COMPUTED_VALUE"""),"Self Identify")</f>
        <v>Self Identify</v>
      </c>
      <c r="I3623" s="6" t="str">
        <f>IFERROR(__xludf.DUMMYFUNCTION("""COMPUTED_VALUE"""),"Level 2")</f>
        <v>Level 2</v>
      </c>
      <c r="J3623" s="6" t="str">
        <f>IFERROR(__xludf.DUMMYFUNCTION("""COMPUTED_VALUE"""),"4")</f>
        <v>4</v>
      </c>
      <c r="K3623" s="6" t="str">
        <f>IFERROR(__xludf.DUMMYFUNCTION("""COMPUTED_VALUE"""),"bentley_bailey@stu.ortrail.k12.or.us")</f>
        <v>bentley_bailey@stu.ortrail.k12.or.us</v>
      </c>
      <c r="L3623" s="6" t="str">
        <f>IFERROR(__xludf.DUMMYFUNCTION("""COMPUTED_VALUE"""),"Oregon Trail School District 46")</f>
        <v>Oregon Trail School District 46</v>
      </c>
      <c r="M3623" s="6" t="str">
        <f>IFERROR(__xludf.DUMMYFUNCTION("""COMPUTED_VALUE"""),"Welches Elementary School")</f>
        <v>Welches Elementary School</v>
      </c>
      <c r="N3623" s="6" t="str">
        <f>IFERROR(__xludf.DUMMYFUNCTION("""COMPUTED_VALUE"""),"")</f>
        <v/>
      </c>
      <c r="O3623" s="87" t="str">
        <f>IFERROR(__xludf.DUMMYFUNCTION("""COMPUTED_VALUE"""),"https://drive.google.com/drive/folders/10T2cTQHqEJZqE-st6uFKPoI?usp=share_link")</f>
        <v>https://drive.google.com/drive/folders/10T2cTQHqEJZqE-st6uFKPoI?usp=share_link</v>
      </c>
      <c r="P3623" s="6" t="str">
        <f>IFERROR(__xludf.DUMMYFUNCTION("""COMPUTED_VALUE"""),"Bentley Bailey")</f>
        <v>Bentley Bailey</v>
      </c>
      <c r="Q3623" s="6" t="str">
        <f>IFERROR(__xludf.DUMMYFUNCTION("""COMPUTED_VALUE"""),"L2")</f>
        <v>L2</v>
      </c>
      <c r="R3623" s="6">
        <f>IFERROR(__xludf.DUMMYFUNCTION("""COMPUTED_VALUE"""),2.0)</f>
        <v>2</v>
      </c>
      <c r="S3623" s="6" t="str">
        <f>IFERROR(__xludf.DUMMYFUNCTION("""COMPUTED_VALUE"""),"Sara King")</f>
        <v>Sara King</v>
      </c>
      <c r="T3623" s="6" t="str">
        <f>IFERROR(__xludf.DUMMYFUNCTION("""COMPUTED_VALUE"""),"sara.king@ortrail.k12.or.us")</f>
        <v>sara.king@ortrail.k12.or.us</v>
      </c>
      <c r="U3623" s="6" t="str">
        <f>IFERROR(__xludf.DUMMYFUNCTION("""COMPUTED_VALUE"""),"4")</f>
        <v>4</v>
      </c>
      <c r="V3623" s="6" t="str">
        <f>IFERROR(__xludf.DUMMYFUNCTION("""COMPUTED_VALUE"""),"English")</f>
        <v>English</v>
      </c>
      <c r="W3623" s="6" t="str">
        <f>IFERROR(__xludf.DUMMYFUNCTION("""COMPUTED_VALUE"""),"[]")</f>
        <v>[]</v>
      </c>
      <c r="X3623" s="6" t="str">
        <f>IFERROR(__xludf.DUMMYFUNCTION("""COMPUTED_VALUE"""),"Enrolled")</f>
        <v>Enrolled</v>
      </c>
    </row>
    <row r="3624">
      <c r="A3624" s="6" t="str">
        <f>IFERROR(__xludf.DUMMYFUNCTION("""COMPUTED_VALUE"""),"064-6974")</f>
        <v>064-6974</v>
      </c>
      <c r="B3624" s="6" t="str">
        <f>IFERROR(__xludf.DUMMYFUNCTION("""COMPUTED_VALUE"""),"64")</f>
        <v>64</v>
      </c>
      <c r="C3624" s="6" t="str">
        <f>IFERROR(__xludf.DUMMYFUNCTION("""COMPUTED_VALUE"""),"6974")</f>
        <v>6974</v>
      </c>
      <c r="D3624" s="6" t="str">
        <f>IFERROR(__xludf.DUMMYFUNCTION("""COMPUTED_VALUE"""),"Guillaume")</f>
        <v>Guillaume</v>
      </c>
      <c r="E3624" s="6" t="str">
        <f>IFERROR(__xludf.DUMMYFUNCTION("""COMPUTED_VALUE"""),"")</f>
        <v/>
      </c>
      <c r="F3624" s="6" t="str">
        <f>IFERROR(__xludf.DUMMYFUNCTION("""COMPUTED_VALUE"""),"Attiogbe")</f>
        <v>Attiogbe</v>
      </c>
      <c r="G3624" s="6" t="str">
        <f>IFERROR(__xludf.DUMMYFUNCTION("""COMPUTED_VALUE"""),"10/16/2013")</f>
        <v>10/16/2013</v>
      </c>
      <c r="H3624" s="6" t="str">
        <f>IFERROR(__xludf.DUMMYFUNCTION("""COMPUTED_VALUE"""),"Self Identify")</f>
        <v>Self Identify</v>
      </c>
      <c r="I3624" s="6" t="str">
        <f>IFERROR(__xludf.DUMMYFUNCTION("""COMPUTED_VALUE"""),"Middle School")</f>
        <v>Middle School</v>
      </c>
      <c r="J3624" s="6" t="str">
        <f>IFERROR(__xludf.DUMMYFUNCTION("""COMPUTED_VALUE"""),"6")</f>
        <v>6</v>
      </c>
      <c r="K3624" s="6" t="str">
        <f>IFERROR(__xludf.DUMMYFUNCTION("""COMPUTED_VALUE"""),"junior_attiogbe@stu.ortrail.k12.or.us")</f>
        <v>junior_attiogbe@stu.ortrail.k12.or.us</v>
      </c>
      <c r="L3624" s="6" t="str">
        <f>IFERROR(__xludf.DUMMYFUNCTION("""COMPUTED_VALUE"""),"Oregon Trail School District 46")</f>
        <v>Oregon Trail School District 46</v>
      </c>
      <c r="M3624" s="6" t="str">
        <f>IFERROR(__xludf.DUMMYFUNCTION("""COMPUTED_VALUE"""),"Cedar Ridge Middle School")</f>
        <v>Cedar Ridge Middle School</v>
      </c>
      <c r="N3624" s="6" t="str">
        <f>IFERROR(__xludf.DUMMYFUNCTION("""COMPUTED_VALUE"""),"")</f>
        <v/>
      </c>
      <c r="O3624" s="87" t="str">
        <f>IFERROR(__xludf.DUMMYFUNCTION("""COMPUTED_VALUE"""),"https://drive.google.com/drive/folders/10T2cTQHqEJZqE-st6uFKPoI?usp=share_link")</f>
        <v>https://drive.google.com/drive/folders/10T2cTQHqEJZqE-st6uFKPoI?usp=share_link</v>
      </c>
      <c r="P3624" s="6" t="str">
        <f>IFERROR(__xludf.DUMMYFUNCTION("""COMPUTED_VALUE"""),"Guillaume Attiogbe")</f>
        <v>Guillaume Attiogbe</v>
      </c>
      <c r="Q3624" s="6" t="str">
        <f>IFERROR(__xludf.DUMMYFUNCTION("""COMPUTED_VALUE"""),"MS")</f>
        <v>MS</v>
      </c>
      <c r="R3624" s="6">
        <f>IFERROR(__xludf.DUMMYFUNCTION("""COMPUTED_VALUE"""),0.0)</f>
        <v>0</v>
      </c>
      <c r="S3624" s="6" t="str">
        <f>IFERROR(__xludf.DUMMYFUNCTION("""COMPUTED_VALUE"""),"Sarah McIntyre")</f>
        <v>Sarah McIntyre</v>
      </c>
      <c r="T3624" s="6" t="str">
        <f>IFERROR(__xludf.DUMMYFUNCTION("""COMPUTED_VALUE"""),"sarah.mcintyre@ortrail.k12.or.us")</f>
        <v>sarah.mcintyre@ortrail.k12.or.us</v>
      </c>
      <c r="U3624" s="6" t="str">
        <f>IFERROR(__xludf.DUMMYFUNCTION("""COMPUTED_VALUE"""),"6")</f>
        <v>6</v>
      </c>
      <c r="V3624" s="6" t="str">
        <f>IFERROR(__xludf.DUMMYFUNCTION("""COMPUTED_VALUE"""),"English")</f>
        <v>English</v>
      </c>
      <c r="W3624" s="6" t="str">
        <f>IFERROR(__xludf.DUMMYFUNCTION("""COMPUTED_VALUE"""),"[]")</f>
        <v>[]</v>
      </c>
      <c r="X3624" s="6" t="str">
        <f>IFERROR(__xludf.DUMMYFUNCTION("""COMPUTED_VALUE"""),"Enrolled")</f>
        <v>Enrolled</v>
      </c>
    </row>
    <row r="3625">
      <c r="A3625" s="6" t="str">
        <f>IFERROR(__xludf.DUMMYFUNCTION("""COMPUTED_VALUE"""),"064-6975")</f>
        <v>064-6975</v>
      </c>
      <c r="B3625" s="6" t="str">
        <f>IFERROR(__xludf.DUMMYFUNCTION("""COMPUTED_VALUE"""),"64")</f>
        <v>64</v>
      </c>
      <c r="C3625" s="6" t="str">
        <f>IFERROR(__xludf.DUMMYFUNCTION("""COMPUTED_VALUE"""),"6975")</f>
        <v>6975</v>
      </c>
      <c r="D3625" s="6" t="str">
        <f>IFERROR(__xludf.DUMMYFUNCTION("""COMPUTED_VALUE"""),"Wendy")</f>
        <v>Wendy</v>
      </c>
      <c r="E3625" s="6" t="str">
        <f>IFERROR(__xludf.DUMMYFUNCTION("""COMPUTED_VALUE"""),"")</f>
        <v/>
      </c>
      <c r="F3625" s="6" t="str">
        <f>IFERROR(__xludf.DUMMYFUNCTION("""COMPUTED_VALUE"""),"Pelaez")</f>
        <v>Pelaez</v>
      </c>
      <c r="G3625" s="6" t="str">
        <f>IFERROR(__xludf.DUMMYFUNCTION("""COMPUTED_VALUE"""),"09/28/2013")</f>
        <v>09/28/2013</v>
      </c>
      <c r="H3625" s="6" t="str">
        <f>IFERROR(__xludf.DUMMYFUNCTION("""COMPUTED_VALUE"""),"Self Identify")</f>
        <v>Self Identify</v>
      </c>
      <c r="I3625" s="6" t="str">
        <f>IFERROR(__xludf.DUMMYFUNCTION("""COMPUTED_VALUE"""),"Middle School")</f>
        <v>Middle School</v>
      </c>
      <c r="J3625" s="6" t="str">
        <f>IFERROR(__xludf.DUMMYFUNCTION("""COMPUTED_VALUE"""),"6")</f>
        <v>6</v>
      </c>
      <c r="K3625" s="6" t="str">
        <f>IFERROR(__xludf.DUMMYFUNCTION("""COMPUTED_VALUE"""),"wendy_pelaez@stu.ortrail.k12.or.us")</f>
        <v>wendy_pelaez@stu.ortrail.k12.or.us</v>
      </c>
      <c r="L3625" s="6" t="str">
        <f>IFERROR(__xludf.DUMMYFUNCTION("""COMPUTED_VALUE"""),"Oregon Trail School District 46")</f>
        <v>Oregon Trail School District 46</v>
      </c>
      <c r="M3625" s="6" t="str">
        <f>IFERROR(__xludf.DUMMYFUNCTION("""COMPUTED_VALUE"""),"Cedar Ridge Middle School")</f>
        <v>Cedar Ridge Middle School</v>
      </c>
      <c r="N3625" s="6" t="str">
        <f>IFERROR(__xludf.DUMMYFUNCTION("""COMPUTED_VALUE"""),"")</f>
        <v/>
      </c>
      <c r="O3625" s="87" t="str">
        <f>IFERROR(__xludf.DUMMYFUNCTION("""COMPUTED_VALUE"""),"https://drive.google.com/drive/folders/10T2cTQHqEJZqE-st6uFKPoI?usp=share_link")</f>
        <v>https://drive.google.com/drive/folders/10T2cTQHqEJZqE-st6uFKPoI?usp=share_link</v>
      </c>
      <c r="P3625" s="6" t="str">
        <f>IFERROR(__xludf.DUMMYFUNCTION("""COMPUTED_VALUE"""),"Wendy Pelaez")</f>
        <v>Wendy Pelaez</v>
      </c>
      <c r="Q3625" s="6" t="str">
        <f>IFERROR(__xludf.DUMMYFUNCTION("""COMPUTED_VALUE"""),"MS")</f>
        <v>MS</v>
      </c>
      <c r="R3625" s="6">
        <f>IFERROR(__xludf.DUMMYFUNCTION("""COMPUTED_VALUE"""),0.0)</f>
        <v>0</v>
      </c>
      <c r="S3625" s="6" t="str">
        <f>IFERROR(__xludf.DUMMYFUNCTION("""COMPUTED_VALUE"""),"Maria Ruiz-Perez")</f>
        <v>Maria Ruiz-Perez</v>
      </c>
      <c r="T3625" s="6" t="str">
        <f>IFERROR(__xludf.DUMMYFUNCTION("""COMPUTED_VALUE"""),"maria.perez@ortrail.k12.or.us")</f>
        <v>maria.perez@ortrail.k12.or.us</v>
      </c>
      <c r="U3625" s="6" t="str">
        <f>IFERROR(__xludf.DUMMYFUNCTION("""COMPUTED_VALUE"""),"6")</f>
        <v>6</v>
      </c>
      <c r="V3625" s="6" t="str">
        <f>IFERROR(__xludf.DUMMYFUNCTION("""COMPUTED_VALUE"""),"English")</f>
        <v>English</v>
      </c>
      <c r="W3625" s="6" t="str">
        <f>IFERROR(__xludf.DUMMYFUNCTION("""COMPUTED_VALUE"""),"[]")</f>
        <v>[]</v>
      </c>
      <c r="X3625" s="6" t="str">
        <f>IFERROR(__xludf.DUMMYFUNCTION("""COMPUTED_VALUE"""),"Enrolled")</f>
        <v>Enrolled</v>
      </c>
    </row>
    <row r="3626">
      <c r="A3626" s="6" t="str">
        <f>IFERROR(__xludf.DUMMYFUNCTION("""COMPUTED_VALUE"""),"064-6976")</f>
        <v>064-6976</v>
      </c>
      <c r="B3626" s="6" t="str">
        <f>IFERROR(__xludf.DUMMYFUNCTION("""COMPUTED_VALUE"""),"64")</f>
        <v>64</v>
      </c>
      <c r="C3626" s="6" t="str">
        <f>IFERROR(__xludf.DUMMYFUNCTION("""COMPUTED_VALUE"""),"6976")</f>
        <v>6976</v>
      </c>
      <c r="D3626" s="6" t="str">
        <f>IFERROR(__xludf.DUMMYFUNCTION("""COMPUTED_VALUE"""),"Lily")</f>
        <v>Lily</v>
      </c>
      <c r="E3626" s="6" t="str">
        <f>IFERROR(__xludf.DUMMYFUNCTION("""COMPUTED_VALUE"""),"")</f>
        <v/>
      </c>
      <c r="F3626" s="6" t="str">
        <f>IFERROR(__xludf.DUMMYFUNCTION("""COMPUTED_VALUE"""),"Noblin")</f>
        <v>Noblin</v>
      </c>
      <c r="G3626" s="6" t="str">
        <f>IFERROR(__xludf.DUMMYFUNCTION("""COMPUTED_VALUE"""),"01/20/2012")</f>
        <v>01/20/2012</v>
      </c>
      <c r="H3626" s="6" t="str">
        <f>IFERROR(__xludf.DUMMYFUNCTION("""COMPUTED_VALUE"""),"Self Identify")</f>
        <v>Self Identify</v>
      </c>
      <c r="I3626" s="6" t="str">
        <f>IFERROR(__xludf.DUMMYFUNCTION("""COMPUTED_VALUE"""),"Middle School")</f>
        <v>Middle School</v>
      </c>
      <c r="J3626" s="6" t="str">
        <f>IFERROR(__xludf.DUMMYFUNCTION("""COMPUTED_VALUE"""),"8")</f>
        <v>8</v>
      </c>
      <c r="K3626" s="6" t="str">
        <f>IFERROR(__xludf.DUMMYFUNCTION("""COMPUTED_VALUE"""),"lily_noblin@stu.ortrail.k12.or.us")</f>
        <v>lily_noblin@stu.ortrail.k12.or.us</v>
      </c>
      <c r="L3626" s="6" t="str">
        <f>IFERROR(__xludf.DUMMYFUNCTION("""COMPUTED_VALUE"""),"Oregon Trail School District 46")</f>
        <v>Oregon Trail School District 46</v>
      </c>
      <c r="M3626" s="6" t="str">
        <f>IFERROR(__xludf.DUMMYFUNCTION("""COMPUTED_VALUE"""),"Cedar Ridge Middle School")</f>
        <v>Cedar Ridge Middle School</v>
      </c>
      <c r="N3626" s="6" t="str">
        <f>IFERROR(__xludf.DUMMYFUNCTION("""COMPUTED_VALUE"""),"")</f>
        <v/>
      </c>
      <c r="O3626" s="87" t="str">
        <f>IFERROR(__xludf.DUMMYFUNCTION("""COMPUTED_VALUE"""),"https://drive.google.com/drive/folders/10T2cTQHqEJZqE-st6uFKPoI?usp=share_link")</f>
        <v>https://drive.google.com/drive/folders/10T2cTQHqEJZqE-st6uFKPoI?usp=share_link</v>
      </c>
      <c r="P3626" s="6" t="str">
        <f>IFERROR(__xludf.DUMMYFUNCTION("""COMPUTED_VALUE"""),"Lily Noblin")</f>
        <v>Lily Noblin</v>
      </c>
      <c r="Q3626" s="6" t="str">
        <f>IFERROR(__xludf.DUMMYFUNCTION("""COMPUTED_VALUE"""),"MS")</f>
        <v>MS</v>
      </c>
      <c r="R3626" s="6">
        <f>IFERROR(__xludf.DUMMYFUNCTION("""COMPUTED_VALUE"""),0.0)</f>
        <v>0</v>
      </c>
      <c r="S3626" s="6" t="str">
        <f>IFERROR(__xludf.DUMMYFUNCTION("""COMPUTED_VALUE"""),"Kim Gallucci")</f>
        <v>Kim Gallucci</v>
      </c>
      <c r="T3626" s="6" t="str">
        <f>IFERROR(__xludf.DUMMYFUNCTION("""COMPUTED_VALUE"""),"kim.gallucci@ortrail.k12.or.us")</f>
        <v>kim.gallucci@ortrail.k12.or.us</v>
      </c>
      <c r="U3626" s="6" t="str">
        <f>IFERROR(__xludf.DUMMYFUNCTION("""COMPUTED_VALUE"""),"8")</f>
        <v>8</v>
      </c>
      <c r="V3626" s="6" t="str">
        <f>IFERROR(__xludf.DUMMYFUNCTION("""COMPUTED_VALUE"""),"English")</f>
        <v>English</v>
      </c>
      <c r="W3626" s="6" t="str">
        <f>IFERROR(__xludf.DUMMYFUNCTION("""COMPUTED_VALUE"""),"[]")</f>
        <v>[]</v>
      </c>
      <c r="X3626" s="6" t="str">
        <f>IFERROR(__xludf.DUMMYFUNCTION("""COMPUTED_VALUE"""),"Enrolled")</f>
        <v>Enrolled</v>
      </c>
    </row>
    <row r="3627">
      <c r="A3627" s="6" t="str">
        <f>IFERROR(__xludf.DUMMYFUNCTION("""COMPUTED_VALUE"""),"064-6977")</f>
        <v>064-6977</v>
      </c>
      <c r="B3627" s="6" t="str">
        <f>IFERROR(__xludf.DUMMYFUNCTION("""COMPUTED_VALUE"""),"64")</f>
        <v>64</v>
      </c>
      <c r="C3627" s="6" t="str">
        <f>IFERROR(__xludf.DUMMYFUNCTION("""COMPUTED_VALUE"""),"6977")</f>
        <v>6977</v>
      </c>
      <c r="D3627" s="6" t="str">
        <f>IFERROR(__xludf.DUMMYFUNCTION("""COMPUTED_VALUE"""),"Aiden")</f>
        <v>Aiden</v>
      </c>
      <c r="E3627" s="6" t="str">
        <f>IFERROR(__xludf.DUMMYFUNCTION("""COMPUTED_VALUE"""),"")</f>
        <v/>
      </c>
      <c r="F3627" s="6" t="str">
        <f>IFERROR(__xludf.DUMMYFUNCTION("""COMPUTED_VALUE"""),"Gaul")</f>
        <v>Gaul</v>
      </c>
      <c r="G3627" s="6" t="str">
        <f>IFERROR(__xludf.DUMMYFUNCTION("""COMPUTED_VALUE"""),"04/10/2014")</f>
        <v>04/10/2014</v>
      </c>
      <c r="H3627" s="6" t="str">
        <f>IFERROR(__xludf.DUMMYFUNCTION("""COMPUTED_VALUE"""),"Self Identify")</f>
        <v>Self Identify</v>
      </c>
      <c r="I3627" s="6" t="str">
        <f>IFERROR(__xludf.DUMMYFUNCTION("""COMPUTED_VALUE"""),"Middle School")</f>
        <v>Middle School</v>
      </c>
      <c r="J3627" s="6" t="str">
        <f>IFERROR(__xludf.DUMMYFUNCTION("""COMPUTED_VALUE"""),"6")</f>
        <v>6</v>
      </c>
      <c r="K3627" s="6" t="str">
        <f>IFERROR(__xludf.DUMMYFUNCTION("""COMPUTED_VALUE"""),"aiden_gaul@stu.ortrail.k12.or.us")</f>
        <v>aiden_gaul@stu.ortrail.k12.or.us</v>
      </c>
      <c r="L3627" s="6" t="str">
        <f>IFERROR(__xludf.DUMMYFUNCTION("""COMPUTED_VALUE"""),"Oregon Trail School District 46")</f>
        <v>Oregon Trail School District 46</v>
      </c>
      <c r="M3627" s="6" t="str">
        <f>IFERROR(__xludf.DUMMYFUNCTION("""COMPUTED_VALUE"""),"Cedar Ridge Middle School")</f>
        <v>Cedar Ridge Middle School</v>
      </c>
      <c r="N3627" s="6" t="str">
        <f>IFERROR(__xludf.DUMMYFUNCTION("""COMPUTED_VALUE"""),"")</f>
        <v/>
      </c>
      <c r="O3627" s="87" t="str">
        <f>IFERROR(__xludf.DUMMYFUNCTION("""COMPUTED_VALUE"""),"https://drive.google.com/drive/folders/10T2cTQHqEJZqE-st6uFKPoI?usp=share_link")</f>
        <v>https://drive.google.com/drive/folders/10T2cTQHqEJZqE-st6uFKPoI?usp=share_link</v>
      </c>
      <c r="P3627" s="6" t="str">
        <f>IFERROR(__xludf.DUMMYFUNCTION("""COMPUTED_VALUE"""),"Aiden Gaul")</f>
        <v>Aiden Gaul</v>
      </c>
      <c r="Q3627" s="6" t="str">
        <f>IFERROR(__xludf.DUMMYFUNCTION("""COMPUTED_VALUE"""),"MS")</f>
        <v>MS</v>
      </c>
      <c r="R3627" s="6">
        <f>IFERROR(__xludf.DUMMYFUNCTION("""COMPUTED_VALUE"""),0.0)</f>
        <v>0</v>
      </c>
      <c r="S3627" s="6" t="str">
        <f>IFERROR(__xludf.DUMMYFUNCTION("""COMPUTED_VALUE"""),"Sarah McIntyre")</f>
        <v>Sarah McIntyre</v>
      </c>
      <c r="T3627" s="6" t="str">
        <f>IFERROR(__xludf.DUMMYFUNCTION("""COMPUTED_VALUE"""),"sarah.mcintyre@ortrail.k12.or.us")</f>
        <v>sarah.mcintyre@ortrail.k12.or.us</v>
      </c>
      <c r="U3627" s="6" t="str">
        <f>IFERROR(__xludf.DUMMYFUNCTION("""COMPUTED_VALUE"""),"6")</f>
        <v>6</v>
      </c>
      <c r="V3627" s="6" t="str">
        <f>IFERROR(__xludf.DUMMYFUNCTION("""COMPUTED_VALUE"""),"English")</f>
        <v>English</v>
      </c>
      <c r="W3627" s="6" t="str">
        <f>IFERROR(__xludf.DUMMYFUNCTION("""COMPUTED_VALUE"""),"[]")</f>
        <v>[]</v>
      </c>
      <c r="X3627" s="6" t="str">
        <f>IFERROR(__xludf.DUMMYFUNCTION("""COMPUTED_VALUE"""),"Enrolled")</f>
        <v>Enrolled</v>
      </c>
    </row>
    <row r="3628">
      <c r="A3628" s="6" t="str">
        <f>IFERROR(__xludf.DUMMYFUNCTION("""COMPUTED_VALUE"""),"064-6978")</f>
        <v>064-6978</v>
      </c>
      <c r="B3628" s="6" t="str">
        <f>IFERROR(__xludf.DUMMYFUNCTION("""COMPUTED_VALUE"""),"64")</f>
        <v>64</v>
      </c>
      <c r="C3628" s="6" t="str">
        <f>IFERROR(__xludf.DUMMYFUNCTION("""COMPUTED_VALUE"""),"6978")</f>
        <v>6978</v>
      </c>
      <c r="D3628" s="6" t="str">
        <f>IFERROR(__xludf.DUMMYFUNCTION("""COMPUTED_VALUE"""),"Skylar")</f>
        <v>Skylar</v>
      </c>
      <c r="E3628" s="6" t="str">
        <f>IFERROR(__xludf.DUMMYFUNCTION("""COMPUTED_VALUE"""),"")</f>
        <v/>
      </c>
      <c r="F3628" s="6" t="str">
        <f>IFERROR(__xludf.DUMMYFUNCTION("""COMPUTED_VALUE"""),"Welker")</f>
        <v>Welker</v>
      </c>
      <c r="G3628" s="6" t="str">
        <f>IFERROR(__xludf.DUMMYFUNCTION("""COMPUTED_VALUE"""),"03/18/2014")</f>
        <v>03/18/2014</v>
      </c>
      <c r="H3628" s="6" t="str">
        <f>IFERROR(__xludf.DUMMYFUNCTION("""COMPUTED_VALUE"""),"Self Identify")</f>
        <v>Self Identify</v>
      </c>
      <c r="I3628" s="6" t="str">
        <f>IFERROR(__xludf.DUMMYFUNCTION("""COMPUTED_VALUE"""),"Middle School")</f>
        <v>Middle School</v>
      </c>
      <c r="J3628" s="6" t="str">
        <f>IFERROR(__xludf.DUMMYFUNCTION("""COMPUTED_VALUE"""),"6")</f>
        <v>6</v>
      </c>
      <c r="K3628" s="6" t="str">
        <f>IFERROR(__xludf.DUMMYFUNCTION("""COMPUTED_VALUE"""),"skylar_weiker@stu.ortrail.k12.or.us")</f>
        <v>skylar_weiker@stu.ortrail.k12.or.us</v>
      </c>
      <c r="L3628" s="6" t="str">
        <f>IFERROR(__xludf.DUMMYFUNCTION("""COMPUTED_VALUE"""),"Oregon Trail School District 46")</f>
        <v>Oregon Trail School District 46</v>
      </c>
      <c r="M3628" s="6" t="str">
        <f>IFERROR(__xludf.DUMMYFUNCTION("""COMPUTED_VALUE"""),"Cedar Ridge Middle School")</f>
        <v>Cedar Ridge Middle School</v>
      </c>
      <c r="N3628" s="6" t="str">
        <f>IFERROR(__xludf.DUMMYFUNCTION("""COMPUTED_VALUE"""),"")</f>
        <v/>
      </c>
      <c r="O3628" s="87" t="str">
        <f>IFERROR(__xludf.DUMMYFUNCTION("""COMPUTED_VALUE"""),"https://drive.google.com/drive/folders/10T2cTQHqEJZqE-st6uFKPoI?usp=share_link")</f>
        <v>https://drive.google.com/drive/folders/10T2cTQHqEJZqE-st6uFKPoI?usp=share_link</v>
      </c>
      <c r="P3628" s="6" t="str">
        <f>IFERROR(__xludf.DUMMYFUNCTION("""COMPUTED_VALUE"""),"Skylar Welker")</f>
        <v>Skylar Welker</v>
      </c>
      <c r="Q3628" s="6" t="str">
        <f>IFERROR(__xludf.DUMMYFUNCTION("""COMPUTED_VALUE"""),"MS")</f>
        <v>MS</v>
      </c>
      <c r="R3628" s="6">
        <f>IFERROR(__xludf.DUMMYFUNCTION("""COMPUTED_VALUE"""),0.0)</f>
        <v>0</v>
      </c>
      <c r="S3628" s="6" t="str">
        <f>IFERROR(__xludf.DUMMYFUNCTION("""COMPUTED_VALUE"""),"Sarah McIntyre")</f>
        <v>Sarah McIntyre</v>
      </c>
      <c r="T3628" s="6" t="str">
        <f>IFERROR(__xludf.DUMMYFUNCTION("""COMPUTED_VALUE"""),"sarah.mcintyre@ortrail.k12.or.us")</f>
        <v>sarah.mcintyre@ortrail.k12.or.us</v>
      </c>
      <c r="U3628" s="6" t="str">
        <f>IFERROR(__xludf.DUMMYFUNCTION("""COMPUTED_VALUE"""),"6")</f>
        <v>6</v>
      </c>
      <c r="V3628" s="6" t="str">
        <f>IFERROR(__xludf.DUMMYFUNCTION("""COMPUTED_VALUE"""),"English")</f>
        <v>English</v>
      </c>
      <c r="W3628" s="6" t="str">
        <f>IFERROR(__xludf.DUMMYFUNCTION("""COMPUTED_VALUE"""),"[]")</f>
        <v>[]</v>
      </c>
      <c r="X3628" s="6" t="str">
        <f>IFERROR(__xludf.DUMMYFUNCTION("""COMPUTED_VALUE"""),"Enrolled")</f>
        <v>Enrolled</v>
      </c>
    </row>
    <row r="3629">
      <c r="A3629" s="6" t="str">
        <f>IFERROR(__xludf.DUMMYFUNCTION("""COMPUTED_VALUE"""),"064-6979")</f>
        <v>064-6979</v>
      </c>
      <c r="B3629" s="6" t="str">
        <f>IFERROR(__xludf.DUMMYFUNCTION("""COMPUTED_VALUE"""),"64")</f>
        <v>64</v>
      </c>
      <c r="C3629" s="6" t="str">
        <f>IFERROR(__xludf.DUMMYFUNCTION("""COMPUTED_VALUE"""),"6979")</f>
        <v>6979</v>
      </c>
      <c r="D3629" s="6" t="str">
        <f>IFERROR(__xludf.DUMMYFUNCTION("""COMPUTED_VALUE"""),"Giselle")</f>
        <v>Giselle</v>
      </c>
      <c r="E3629" s="6" t="str">
        <f>IFERROR(__xludf.DUMMYFUNCTION("""COMPUTED_VALUE"""),"")</f>
        <v/>
      </c>
      <c r="F3629" s="6" t="str">
        <f>IFERROR(__xludf.DUMMYFUNCTION("""COMPUTED_VALUE"""),"Gomez Ruelas")</f>
        <v>Gomez Ruelas</v>
      </c>
      <c r="G3629" s="6" t="str">
        <f>IFERROR(__xludf.DUMMYFUNCTION("""COMPUTED_VALUE"""),"08/10/2012")</f>
        <v>08/10/2012</v>
      </c>
      <c r="H3629" s="6" t="str">
        <f>IFERROR(__xludf.DUMMYFUNCTION("""COMPUTED_VALUE"""),"Self Identify")</f>
        <v>Self Identify</v>
      </c>
      <c r="I3629" s="6" t="str">
        <f>IFERROR(__xludf.DUMMYFUNCTION("""COMPUTED_VALUE"""),"Middle School")</f>
        <v>Middle School</v>
      </c>
      <c r="J3629" s="6" t="str">
        <f>IFERROR(__xludf.DUMMYFUNCTION("""COMPUTED_VALUE"""),"8")</f>
        <v>8</v>
      </c>
      <c r="K3629" s="6" t="str">
        <f>IFERROR(__xludf.DUMMYFUNCTION("""COMPUTED_VALUE"""),"giselle_gomezruelas@stu.ortrail.k12.or.us")</f>
        <v>giselle_gomezruelas@stu.ortrail.k12.or.us</v>
      </c>
      <c r="L3629" s="6" t="str">
        <f>IFERROR(__xludf.DUMMYFUNCTION("""COMPUTED_VALUE"""),"Oregon Trail School District 46")</f>
        <v>Oregon Trail School District 46</v>
      </c>
      <c r="M3629" s="6" t="str">
        <f>IFERROR(__xludf.DUMMYFUNCTION("""COMPUTED_VALUE"""),"Cedar Ridge Middle School")</f>
        <v>Cedar Ridge Middle School</v>
      </c>
      <c r="N3629" s="6" t="str">
        <f>IFERROR(__xludf.DUMMYFUNCTION("""COMPUTED_VALUE"""),"")</f>
        <v/>
      </c>
      <c r="O3629" s="87" t="str">
        <f>IFERROR(__xludf.DUMMYFUNCTION("""COMPUTED_VALUE"""),"https://drive.google.com/drive/folders/10T2cTQHqEJZqE-st6uFKPoI?usp=share_link")</f>
        <v>https://drive.google.com/drive/folders/10T2cTQHqEJZqE-st6uFKPoI?usp=share_link</v>
      </c>
      <c r="P3629" s="6" t="str">
        <f>IFERROR(__xludf.DUMMYFUNCTION("""COMPUTED_VALUE"""),"Giselle Gomez Ruelas")</f>
        <v>Giselle Gomez Ruelas</v>
      </c>
      <c r="Q3629" s="6" t="str">
        <f>IFERROR(__xludf.DUMMYFUNCTION("""COMPUTED_VALUE"""),"MS")</f>
        <v>MS</v>
      </c>
      <c r="R3629" s="6">
        <f>IFERROR(__xludf.DUMMYFUNCTION("""COMPUTED_VALUE"""),0.0)</f>
        <v>0</v>
      </c>
      <c r="S3629" s="6" t="str">
        <f>IFERROR(__xludf.DUMMYFUNCTION("""COMPUTED_VALUE"""),"Maria Ruiz-Perez")</f>
        <v>Maria Ruiz-Perez</v>
      </c>
      <c r="T3629" s="6" t="str">
        <f>IFERROR(__xludf.DUMMYFUNCTION("""COMPUTED_VALUE"""),"maria.perez@ortrail.k12.or.us")</f>
        <v>maria.perez@ortrail.k12.or.us</v>
      </c>
      <c r="U3629" s="6" t="str">
        <f>IFERROR(__xludf.DUMMYFUNCTION("""COMPUTED_VALUE"""),"8")</f>
        <v>8</v>
      </c>
      <c r="V3629" s="6" t="str">
        <f>IFERROR(__xludf.DUMMYFUNCTION("""COMPUTED_VALUE"""),"English")</f>
        <v>English</v>
      </c>
      <c r="W3629" s="6" t="str">
        <f>IFERROR(__xludf.DUMMYFUNCTION("""COMPUTED_VALUE"""),"[]")</f>
        <v>[]</v>
      </c>
      <c r="X3629" s="6" t="str">
        <f>IFERROR(__xludf.DUMMYFUNCTION("""COMPUTED_VALUE"""),"Enrolled")</f>
        <v>Enrolled</v>
      </c>
    </row>
    <row r="3630">
      <c r="A3630" s="6" t="str">
        <f>IFERROR(__xludf.DUMMYFUNCTION("""COMPUTED_VALUE"""),"064-6980")</f>
        <v>064-6980</v>
      </c>
      <c r="B3630" s="6" t="str">
        <f>IFERROR(__xludf.DUMMYFUNCTION("""COMPUTED_VALUE"""),"64")</f>
        <v>64</v>
      </c>
      <c r="C3630" s="6" t="str">
        <f>IFERROR(__xludf.DUMMYFUNCTION("""COMPUTED_VALUE"""),"6980")</f>
        <v>6980</v>
      </c>
      <c r="D3630" s="6" t="str">
        <f>IFERROR(__xludf.DUMMYFUNCTION("""COMPUTED_VALUE"""),"Axel")</f>
        <v>Axel</v>
      </c>
      <c r="E3630" s="6" t="str">
        <f>IFERROR(__xludf.DUMMYFUNCTION("""COMPUTED_VALUE"""),"")</f>
        <v/>
      </c>
      <c r="F3630" s="6" t="str">
        <f>IFERROR(__xludf.DUMMYFUNCTION("""COMPUTED_VALUE"""),"Ramos Ramirez")</f>
        <v>Ramos Ramirez</v>
      </c>
      <c r="G3630" s="6" t="str">
        <f>IFERROR(__xludf.DUMMYFUNCTION("""COMPUTED_VALUE"""),"07/19/2013")</f>
        <v>07/19/2013</v>
      </c>
      <c r="H3630" s="6" t="str">
        <f>IFERROR(__xludf.DUMMYFUNCTION("""COMPUTED_VALUE"""),"Self Identify")</f>
        <v>Self Identify</v>
      </c>
      <c r="I3630" s="6" t="str">
        <f>IFERROR(__xludf.DUMMYFUNCTION("""COMPUTED_VALUE"""),"Middle School")</f>
        <v>Middle School</v>
      </c>
      <c r="J3630" s="6" t="str">
        <f>IFERROR(__xludf.DUMMYFUNCTION("""COMPUTED_VALUE"""),"7")</f>
        <v>7</v>
      </c>
      <c r="K3630" s="6" t="str">
        <f>IFERROR(__xludf.DUMMYFUNCTION("""COMPUTED_VALUE"""),"axel_ramosramirez@stu.ortrail.k12.or.us")</f>
        <v>axel_ramosramirez@stu.ortrail.k12.or.us</v>
      </c>
      <c r="L3630" s="6" t="str">
        <f>IFERROR(__xludf.DUMMYFUNCTION("""COMPUTED_VALUE"""),"Oregon Trail School District 46")</f>
        <v>Oregon Trail School District 46</v>
      </c>
      <c r="M3630" s="6" t="str">
        <f>IFERROR(__xludf.DUMMYFUNCTION("""COMPUTED_VALUE"""),"Cedar Ridge Middle School")</f>
        <v>Cedar Ridge Middle School</v>
      </c>
      <c r="N3630" s="6" t="str">
        <f>IFERROR(__xludf.DUMMYFUNCTION("""COMPUTED_VALUE"""),"")</f>
        <v/>
      </c>
      <c r="O3630" s="87" t="str">
        <f>IFERROR(__xludf.DUMMYFUNCTION("""COMPUTED_VALUE"""),"https://drive.google.com/drive/folders/10T2cTQHqEJZqE-st6uFKPoI?usp=share_link")</f>
        <v>https://drive.google.com/drive/folders/10T2cTQHqEJZqE-st6uFKPoI?usp=share_link</v>
      </c>
      <c r="P3630" s="6" t="str">
        <f>IFERROR(__xludf.DUMMYFUNCTION("""COMPUTED_VALUE"""),"Axel Ramos Ramirez")</f>
        <v>Axel Ramos Ramirez</v>
      </c>
      <c r="Q3630" s="6" t="str">
        <f>IFERROR(__xludf.DUMMYFUNCTION("""COMPUTED_VALUE"""),"MS")</f>
        <v>MS</v>
      </c>
      <c r="R3630" s="6">
        <f>IFERROR(__xludf.DUMMYFUNCTION("""COMPUTED_VALUE"""),0.0)</f>
        <v>0</v>
      </c>
      <c r="S3630" s="6" t="str">
        <f>IFERROR(__xludf.DUMMYFUNCTION("""COMPUTED_VALUE"""),"Maria Ruiz-Perez")</f>
        <v>Maria Ruiz-Perez</v>
      </c>
      <c r="T3630" s="6" t="str">
        <f>IFERROR(__xludf.DUMMYFUNCTION("""COMPUTED_VALUE"""),"maria.perez@ortrail.k12.or.us")</f>
        <v>maria.perez@ortrail.k12.or.us</v>
      </c>
      <c r="U3630" s="6" t="str">
        <f>IFERROR(__xludf.DUMMYFUNCTION("""COMPUTED_VALUE"""),"7")</f>
        <v>7</v>
      </c>
      <c r="V3630" s="6" t="str">
        <f>IFERROR(__xludf.DUMMYFUNCTION("""COMPUTED_VALUE"""),"English")</f>
        <v>English</v>
      </c>
      <c r="W3630" s="6" t="str">
        <f>IFERROR(__xludf.DUMMYFUNCTION("""COMPUTED_VALUE"""),"[]")</f>
        <v>[]</v>
      </c>
      <c r="X3630" s="6" t="str">
        <f>IFERROR(__xludf.DUMMYFUNCTION("""COMPUTED_VALUE"""),"Enrolled")</f>
        <v>Enrolled</v>
      </c>
    </row>
    <row r="3631">
      <c r="A3631" s="6" t="str">
        <f>IFERROR(__xludf.DUMMYFUNCTION("""COMPUTED_VALUE"""),"064-6981")</f>
        <v>064-6981</v>
      </c>
      <c r="B3631" s="6" t="str">
        <f>IFERROR(__xludf.DUMMYFUNCTION("""COMPUTED_VALUE"""),"64")</f>
        <v>64</v>
      </c>
      <c r="C3631" s="6" t="str">
        <f>IFERROR(__xludf.DUMMYFUNCTION("""COMPUTED_VALUE"""),"6981")</f>
        <v>6981</v>
      </c>
      <c r="D3631" s="6" t="str">
        <f>IFERROR(__xludf.DUMMYFUNCTION("""COMPUTED_VALUE"""),"Skylar")</f>
        <v>Skylar</v>
      </c>
      <c r="E3631" s="6" t="str">
        <f>IFERROR(__xludf.DUMMYFUNCTION("""COMPUTED_VALUE"""),"")</f>
        <v/>
      </c>
      <c r="F3631" s="6" t="str">
        <f>IFERROR(__xludf.DUMMYFUNCTION("""COMPUTED_VALUE"""),"Kettner")</f>
        <v>Kettner</v>
      </c>
      <c r="G3631" s="6" t="str">
        <f>IFERROR(__xludf.DUMMYFUNCTION("""COMPUTED_VALUE"""),"09/19/2013")</f>
        <v>09/19/2013</v>
      </c>
      <c r="H3631" s="6" t="str">
        <f>IFERROR(__xludf.DUMMYFUNCTION("""COMPUTED_VALUE"""),"Self Identify")</f>
        <v>Self Identify</v>
      </c>
      <c r="I3631" s="6" t="str">
        <f>IFERROR(__xludf.DUMMYFUNCTION("""COMPUTED_VALUE"""),"Middle School")</f>
        <v>Middle School</v>
      </c>
      <c r="J3631" s="6" t="str">
        <f>IFERROR(__xludf.DUMMYFUNCTION("""COMPUTED_VALUE"""),"6")</f>
        <v>6</v>
      </c>
      <c r="K3631" s="6" t="str">
        <f>IFERROR(__xludf.DUMMYFUNCTION("""COMPUTED_VALUE"""),"skylar_kettner@stu.ortrail.k12.or.us")</f>
        <v>skylar_kettner@stu.ortrail.k12.or.us</v>
      </c>
      <c r="L3631" s="6" t="str">
        <f>IFERROR(__xludf.DUMMYFUNCTION("""COMPUTED_VALUE"""),"Oregon Trail School District 46")</f>
        <v>Oregon Trail School District 46</v>
      </c>
      <c r="M3631" s="6" t="str">
        <f>IFERROR(__xludf.DUMMYFUNCTION("""COMPUTED_VALUE"""),"Cedar Ridge Middle School")</f>
        <v>Cedar Ridge Middle School</v>
      </c>
      <c r="N3631" s="6" t="str">
        <f>IFERROR(__xludf.DUMMYFUNCTION("""COMPUTED_VALUE"""),"")</f>
        <v/>
      </c>
      <c r="O3631" s="87" t="str">
        <f>IFERROR(__xludf.DUMMYFUNCTION("""COMPUTED_VALUE"""),"https://drive.google.com/drive/folders/10T2cTQHqEJZqE-st6uFKPoI?usp=share_link")</f>
        <v>https://drive.google.com/drive/folders/10T2cTQHqEJZqE-st6uFKPoI?usp=share_link</v>
      </c>
      <c r="P3631" s="6" t="str">
        <f>IFERROR(__xludf.DUMMYFUNCTION("""COMPUTED_VALUE"""),"Skylar Kettner")</f>
        <v>Skylar Kettner</v>
      </c>
      <c r="Q3631" s="6" t="str">
        <f>IFERROR(__xludf.DUMMYFUNCTION("""COMPUTED_VALUE"""),"MS")</f>
        <v>MS</v>
      </c>
      <c r="R3631" s="6">
        <f>IFERROR(__xludf.DUMMYFUNCTION("""COMPUTED_VALUE"""),0.0)</f>
        <v>0</v>
      </c>
      <c r="S3631" s="6" t="str">
        <f>IFERROR(__xludf.DUMMYFUNCTION("""COMPUTED_VALUE"""),"Kim Gallucci")</f>
        <v>Kim Gallucci</v>
      </c>
      <c r="T3631" s="6" t="str">
        <f>IFERROR(__xludf.DUMMYFUNCTION("""COMPUTED_VALUE"""),"kim.gallucci@ortrail.k12.or.us")</f>
        <v>kim.gallucci@ortrail.k12.or.us</v>
      </c>
      <c r="U3631" s="6" t="str">
        <f>IFERROR(__xludf.DUMMYFUNCTION("""COMPUTED_VALUE"""),"6")</f>
        <v>6</v>
      </c>
      <c r="V3631" s="6" t="str">
        <f>IFERROR(__xludf.DUMMYFUNCTION("""COMPUTED_VALUE"""),"English")</f>
        <v>English</v>
      </c>
      <c r="W3631" s="6" t="str">
        <f>IFERROR(__xludf.DUMMYFUNCTION("""COMPUTED_VALUE"""),"[]")</f>
        <v>[]</v>
      </c>
      <c r="X3631" s="6" t="str">
        <f>IFERROR(__xludf.DUMMYFUNCTION("""COMPUTED_VALUE"""),"Enrolled")</f>
        <v>Enrolled</v>
      </c>
    </row>
    <row r="3632">
      <c r="A3632" s="6" t="str">
        <f>IFERROR(__xludf.DUMMYFUNCTION("""COMPUTED_VALUE"""),"064-6982")</f>
        <v>064-6982</v>
      </c>
      <c r="B3632" s="6" t="str">
        <f>IFERROR(__xludf.DUMMYFUNCTION("""COMPUTED_VALUE"""),"64")</f>
        <v>64</v>
      </c>
      <c r="C3632" s="6" t="str">
        <f>IFERROR(__xludf.DUMMYFUNCTION("""COMPUTED_VALUE"""),"6982")</f>
        <v>6982</v>
      </c>
      <c r="D3632" s="6" t="str">
        <f>IFERROR(__xludf.DUMMYFUNCTION("""COMPUTED_VALUE"""),"Axel")</f>
        <v>Axel</v>
      </c>
      <c r="E3632" s="6" t="str">
        <f>IFERROR(__xludf.DUMMYFUNCTION("""COMPUTED_VALUE"""),"")</f>
        <v/>
      </c>
      <c r="F3632" s="6" t="str">
        <f>IFERROR(__xludf.DUMMYFUNCTION("""COMPUTED_VALUE"""),"Castaneda Barragan")</f>
        <v>Castaneda Barragan</v>
      </c>
      <c r="G3632" s="6" t="str">
        <f>IFERROR(__xludf.DUMMYFUNCTION("""COMPUTED_VALUE"""),"09/03/2013")</f>
        <v>09/03/2013</v>
      </c>
      <c r="H3632" s="6" t="str">
        <f>IFERROR(__xludf.DUMMYFUNCTION("""COMPUTED_VALUE"""),"Self Identify")</f>
        <v>Self Identify</v>
      </c>
      <c r="I3632" s="6" t="str">
        <f>IFERROR(__xludf.DUMMYFUNCTION("""COMPUTED_VALUE"""),"Middle School")</f>
        <v>Middle School</v>
      </c>
      <c r="J3632" s="6" t="str">
        <f>IFERROR(__xludf.DUMMYFUNCTION("""COMPUTED_VALUE"""),"6")</f>
        <v>6</v>
      </c>
      <c r="K3632" s="6" t="str">
        <f>IFERROR(__xludf.DUMMYFUNCTION("""COMPUTED_VALUE"""),"axel_castanedabarrag@stu.ortrail.k12.or.us")</f>
        <v>axel_castanedabarrag@stu.ortrail.k12.or.us</v>
      </c>
      <c r="L3632" s="6" t="str">
        <f>IFERROR(__xludf.DUMMYFUNCTION("""COMPUTED_VALUE"""),"Oregon Trail School District 46")</f>
        <v>Oregon Trail School District 46</v>
      </c>
      <c r="M3632" s="6" t="str">
        <f>IFERROR(__xludf.DUMMYFUNCTION("""COMPUTED_VALUE"""),"Cedar Ridge Middle School")</f>
        <v>Cedar Ridge Middle School</v>
      </c>
      <c r="N3632" s="6" t="str">
        <f>IFERROR(__xludf.DUMMYFUNCTION("""COMPUTED_VALUE"""),"")</f>
        <v/>
      </c>
      <c r="O3632" s="87" t="str">
        <f>IFERROR(__xludf.DUMMYFUNCTION("""COMPUTED_VALUE"""),"https://drive.google.com/drive/folders/10T2cTQHqEJZqE-st6uFKPoI?usp=share_link")</f>
        <v>https://drive.google.com/drive/folders/10T2cTQHqEJZqE-st6uFKPoI?usp=share_link</v>
      </c>
      <c r="P3632" s="6" t="str">
        <f>IFERROR(__xludf.DUMMYFUNCTION("""COMPUTED_VALUE"""),"Axel Castaneda Barragan")</f>
        <v>Axel Castaneda Barragan</v>
      </c>
      <c r="Q3632" s="6" t="str">
        <f>IFERROR(__xludf.DUMMYFUNCTION("""COMPUTED_VALUE"""),"MS")</f>
        <v>MS</v>
      </c>
      <c r="R3632" s="6">
        <f>IFERROR(__xludf.DUMMYFUNCTION("""COMPUTED_VALUE"""),0.0)</f>
        <v>0</v>
      </c>
      <c r="S3632" s="6" t="str">
        <f>IFERROR(__xludf.DUMMYFUNCTION("""COMPUTED_VALUE"""),"Maria Ruiz-Perez")</f>
        <v>Maria Ruiz-Perez</v>
      </c>
      <c r="T3632" s="6" t="str">
        <f>IFERROR(__xludf.DUMMYFUNCTION("""COMPUTED_VALUE"""),"maria.perez@ortrail.k12.or.us")</f>
        <v>maria.perez@ortrail.k12.or.us</v>
      </c>
      <c r="U3632" s="6" t="str">
        <f>IFERROR(__xludf.DUMMYFUNCTION("""COMPUTED_VALUE"""),"6")</f>
        <v>6</v>
      </c>
      <c r="V3632" s="6" t="str">
        <f>IFERROR(__xludf.DUMMYFUNCTION("""COMPUTED_VALUE"""),"English")</f>
        <v>English</v>
      </c>
      <c r="W3632" s="6" t="str">
        <f>IFERROR(__xludf.DUMMYFUNCTION("""COMPUTED_VALUE"""),"[]")</f>
        <v>[]</v>
      </c>
      <c r="X3632" s="6" t="str">
        <f>IFERROR(__xludf.DUMMYFUNCTION("""COMPUTED_VALUE"""),"Enrolled")</f>
        <v>Enrolled</v>
      </c>
    </row>
    <row r="3633">
      <c r="A3633" s="6" t="str">
        <f>IFERROR(__xludf.DUMMYFUNCTION("""COMPUTED_VALUE"""),"064-6986")</f>
        <v>064-6986</v>
      </c>
      <c r="B3633" s="6" t="str">
        <f>IFERROR(__xludf.DUMMYFUNCTION("""COMPUTED_VALUE"""),"64")</f>
        <v>64</v>
      </c>
      <c r="C3633" s="6" t="str">
        <f>IFERROR(__xludf.DUMMYFUNCTION("""COMPUTED_VALUE"""),"6986")</f>
        <v>6986</v>
      </c>
      <c r="D3633" s="6" t="str">
        <f>IFERROR(__xludf.DUMMYFUNCTION("""COMPUTED_VALUE"""),"Michael")</f>
        <v>Michael</v>
      </c>
      <c r="E3633" s="6" t="str">
        <f>IFERROR(__xludf.DUMMYFUNCTION("""COMPUTED_VALUE"""),"")</f>
        <v/>
      </c>
      <c r="F3633" s="6" t="str">
        <f>IFERROR(__xludf.DUMMYFUNCTION("""COMPUTED_VALUE"""),"Baez")</f>
        <v>Baez</v>
      </c>
      <c r="G3633" s="6" t="str">
        <f>IFERROR(__xludf.DUMMYFUNCTION("""COMPUTED_VALUE"""),"04/28/2001")</f>
        <v>04/28/2001</v>
      </c>
      <c r="H3633" s="6" t="str">
        <f>IFERROR(__xludf.DUMMYFUNCTION("""COMPUTED_VALUE"""),"Self Identify")</f>
        <v>Self Identify</v>
      </c>
      <c r="I3633" s="6" t="str">
        <f>IFERROR(__xludf.DUMMYFUNCTION("""COMPUTED_VALUE"""),"High School")</f>
        <v>High School</v>
      </c>
      <c r="J3633" s="6" t="str">
        <f>IFERROR(__xludf.DUMMYFUNCTION("""COMPUTED_VALUE"""),"9")</f>
        <v>9</v>
      </c>
      <c r="K3633" s="6" t="str">
        <f>IFERROR(__xludf.DUMMYFUNCTION("""COMPUTED_VALUE"""),"mike_baez@stu.ortrail.k12.or.us")</f>
        <v>mike_baez@stu.ortrail.k12.or.us</v>
      </c>
      <c r="L3633" s="6" t="str">
        <f>IFERROR(__xludf.DUMMYFUNCTION("""COMPUTED_VALUE"""),"Oregon Trail School District 46")</f>
        <v>Oregon Trail School District 46</v>
      </c>
      <c r="M3633" s="6" t="str">
        <f>IFERROR(__xludf.DUMMYFUNCTION("""COMPUTED_VALUE"""),"Sandy High School")</f>
        <v>Sandy High School</v>
      </c>
      <c r="N3633" s="6" t="str">
        <f>IFERROR(__xludf.DUMMYFUNCTION("""COMPUTED_VALUE"""),"")</f>
        <v/>
      </c>
      <c r="O3633" s="87" t="str">
        <f>IFERROR(__xludf.DUMMYFUNCTION("""COMPUTED_VALUE"""),"https://drive.google.com/drive/folders/10T2cTQHqEJZqE-st6uFKPoI?usp=share_link")</f>
        <v>https://drive.google.com/drive/folders/10T2cTQHqEJZqE-st6uFKPoI?usp=share_link</v>
      </c>
      <c r="P3633" s="6" t="str">
        <f>IFERROR(__xludf.DUMMYFUNCTION("""COMPUTED_VALUE"""),"Michael Baez")</f>
        <v>Michael Baez</v>
      </c>
      <c r="Q3633" s="6" t="str">
        <f>IFERROR(__xludf.DUMMYFUNCTION("""COMPUTED_VALUE"""),"HS")</f>
        <v>HS</v>
      </c>
      <c r="R3633" s="6">
        <f>IFERROR(__xludf.DUMMYFUNCTION("""COMPUTED_VALUE"""),0.0)</f>
        <v>0</v>
      </c>
      <c r="S3633" s="6" t="str">
        <f>IFERROR(__xludf.DUMMYFUNCTION("""COMPUTED_VALUE"""),"Taylor Sestric")</f>
        <v>Taylor Sestric</v>
      </c>
      <c r="T3633" s="6" t="str">
        <f>IFERROR(__xludf.DUMMYFUNCTION("""COMPUTED_VALUE"""),"taylor.fortin@ortrail.k12.or.us")</f>
        <v>taylor.fortin@ortrail.k12.or.us</v>
      </c>
      <c r="U3633" s="6" t="str">
        <f>IFERROR(__xludf.DUMMYFUNCTION("""COMPUTED_VALUE"""),"9")</f>
        <v>9</v>
      </c>
      <c r="V3633" s="6" t="str">
        <f>IFERROR(__xludf.DUMMYFUNCTION("""COMPUTED_VALUE"""),"English")</f>
        <v>English</v>
      </c>
      <c r="W3633" s="6" t="str">
        <f>IFERROR(__xludf.DUMMYFUNCTION("""COMPUTED_VALUE"""),"[]")</f>
        <v>[]</v>
      </c>
      <c r="X3633" s="6" t="str">
        <f>IFERROR(__xludf.DUMMYFUNCTION("""COMPUTED_VALUE"""),"Enrolled")</f>
        <v>Enrolled</v>
      </c>
    </row>
    <row r="3634">
      <c r="A3634" s="6" t="str">
        <f>IFERROR(__xludf.DUMMYFUNCTION("""COMPUTED_VALUE"""),"064-6987")</f>
        <v>064-6987</v>
      </c>
      <c r="B3634" s="6" t="str">
        <f>IFERROR(__xludf.DUMMYFUNCTION("""COMPUTED_VALUE"""),"64")</f>
        <v>64</v>
      </c>
      <c r="C3634" s="6" t="str">
        <f>IFERROR(__xludf.DUMMYFUNCTION("""COMPUTED_VALUE"""),"6987")</f>
        <v>6987</v>
      </c>
      <c r="D3634" s="6" t="str">
        <f>IFERROR(__xludf.DUMMYFUNCTION("""COMPUTED_VALUE"""),"Eddie")</f>
        <v>Eddie</v>
      </c>
      <c r="E3634" s="6" t="str">
        <f>IFERROR(__xludf.DUMMYFUNCTION("""COMPUTED_VALUE"""),"")</f>
        <v/>
      </c>
      <c r="F3634" s="6" t="str">
        <f>IFERROR(__xludf.DUMMYFUNCTION("""COMPUTED_VALUE"""),"Chable Gasser")</f>
        <v>Chable Gasser</v>
      </c>
      <c r="G3634" s="6" t="str">
        <f>IFERROR(__xludf.DUMMYFUNCTION("""COMPUTED_VALUE"""),"10/02/2010")</f>
        <v>10/02/2010</v>
      </c>
      <c r="H3634" s="6" t="str">
        <f>IFERROR(__xludf.DUMMYFUNCTION("""COMPUTED_VALUE"""),"Self Identify")</f>
        <v>Self Identify</v>
      </c>
      <c r="I3634" s="6" t="str">
        <f>IFERROR(__xludf.DUMMYFUNCTION("""COMPUTED_VALUE"""),"High School")</f>
        <v>High School</v>
      </c>
      <c r="J3634" s="6" t="str">
        <f>IFERROR(__xludf.DUMMYFUNCTION("""COMPUTED_VALUE"""),"9")</f>
        <v>9</v>
      </c>
      <c r="K3634" s="6" t="str">
        <f>IFERROR(__xludf.DUMMYFUNCTION("""COMPUTED_VALUE"""),"eddie_chablegasser@stu.ortrail.k12.or.us")</f>
        <v>eddie_chablegasser@stu.ortrail.k12.or.us</v>
      </c>
      <c r="L3634" s="6" t="str">
        <f>IFERROR(__xludf.DUMMYFUNCTION("""COMPUTED_VALUE"""),"Oregon Trail School District 46")</f>
        <v>Oregon Trail School District 46</v>
      </c>
      <c r="M3634" s="6" t="str">
        <f>IFERROR(__xludf.DUMMYFUNCTION("""COMPUTED_VALUE"""),"Sandy High School")</f>
        <v>Sandy High School</v>
      </c>
      <c r="N3634" s="6" t="str">
        <f>IFERROR(__xludf.DUMMYFUNCTION("""COMPUTED_VALUE"""),"")</f>
        <v/>
      </c>
      <c r="O3634" s="87" t="str">
        <f>IFERROR(__xludf.DUMMYFUNCTION("""COMPUTED_VALUE"""),"https://drive.google.com/drive/folders/10T2cTQHqEJZqE-st6uFKPoI?usp=share_link")</f>
        <v>https://drive.google.com/drive/folders/10T2cTQHqEJZqE-st6uFKPoI?usp=share_link</v>
      </c>
      <c r="P3634" s="6" t="str">
        <f>IFERROR(__xludf.DUMMYFUNCTION("""COMPUTED_VALUE"""),"Eddie Chable Gasser")</f>
        <v>Eddie Chable Gasser</v>
      </c>
      <c r="Q3634" s="6" t="str">
        <f>IFERROR(__xludf.DUMMYFUNCTION("""COMPUTED_VALUE"""),"HS")</f>
        <v>HS</v>
      </c>
      <c r="R3634" s="6">
        <f>IFERROR(__xludf.DUMMYFUNCTION("""COMPUTED_VALUE"""),0.0)</f>
        <v>0</v>
      </c>
      <c r="S3634" s="6" t="str">
        <f>IFERROR(__xludf.DUMMYFUNCTION("""COMPUTED_VALUE"""),"Taylor Sestric")</f>
        <v>Taylor Sestric</v>
      </c>
      <c r="T3634" s="6" t="str">
        <f>IFERROR(__xludf.DUMMYFUNCTION("""COMPUTED_VALUE"""),"taylor.fortin@ortrail.k12.or.us")</f>
        <v>taylor.fortin@ortrail.k12.or.us</v>
      </c>
      <c r="U3634" s="6" t="str">
        <f>IFERROR(__xludf.DUMMYFUNCTION("""COMPUTED_VALUE"""),"9")</f>
        <v>9</v>
      </c>
      <c r="V3634" s="6" t="str">
        <f>IFERROR(__xludf.DUMMYFUNCTION("""COMPUTED_VALUE"""),"English")</f>
        <v>English</v>
      </c>
      <c r="W3634" s="6" t="str">
        <f>IFERROR(__xludf.DUMMYFUNCTION("""COMPUTED_VALUE"""),"[]")</f>
        <v>[]</v>
      </c>
      <c r="X3634" s="6" t="str">
        <f>IFERROR(__xludf.DUMMYFUNCTION("""COMPUTED_VALUE"""),"Enrolled")</f>
        <v>Enrolled</v>
      </c>
    </row>
    <row r="3635">
      <c r="A3635" s="6" t="str">
        <f>IFERROR(__xludf.DUMMYFUNCTION("""COMPUTED_VALUE"""),"064-6988")</f>
        <v>064-6988</v>
      </c>
      <c r="B3635" s="6" t="str">
        <f>IFERROR(__xludf.DUMMYFUNCTION("""COMPUTED_VALUE"""),"64")</f>
        <v>64</v>
      </c>
      <c r="C3635" s="6" t="str">
        <f>IFERROR(__xludf.DUMMYFUNCTION("""COMPUTED_VALUE"""),"6988")</f>
        <v>6988</v>
      </c>
      <c r="D3635" s="6" t="str">
        <f>IFERROR(__xludf.DUMMYFUNCTION("""COMPUTED_VALUE"""),"Julian")</f>
        <v>Julian</v>
      </c>
      <c r="E3635" s="6" t="str">
        <f>IFERROR(__xludf.DUMMYFUNCTION("""COMPUTED_VALUE"""),"")</f>
        <v/>
      </c>
      <c r="F3635" s="6" t="str">
        <f>IFERROR(__xludf.DUMMYFUNCTION("""COMPUTED_VALUE"""),"Gribben")</f>
        <v>Gribben</v>
      </c>
      <c r="G3635" s="6" t="str">
        <f>IFERROR(__xludf.DUMMYFUNCTION("""COMPUTED_VALUE"""),"02/24/2011")</f>
        <v>02/24/2011</v>
      </c>
      <c r="H3635" s="6" t="str">
        <f>IFERROR(__xludf.DUMMYFUNCTION("""COMPUTED_VALUE"""),"Self Identify")</f>
        <v>Self Identify</v>
      </c>
      <c r="I3635" s="6" t="str">
        <f>IFERROR(__xludf.DUMMYFUNCTION("""COMPUTED_VALUE"""),"High School")</f>
        <v>High School</v>
      </c>
      <c r="J3635" s="6" t="str">
        <f>IFERROR(__xludf.DUMMYFUNCTION("""COMPUTED_VALUE"""),"9")</f>
        <v>9</v>
      </c>
      <c r="K3635" s="6" t="str">
        <f>IFERROR(__xludf.DUMMYFUNCTION("""COMPUTED_VALUE"""),"julian_gribben@stu.ortrail.k12.or.us")</f>
        <v>julian_gribben@stu.ortrail.k12.or.us</v>
      </c>
      <c r="L3635" s="6" t="str">
        <f>IFERROR(__xludf.DUMMYFUNCTION("""COMPUTED_VALUE"""),"Oregon Trail School District 46")</f>
        <v>Oregon Trail School District 46</v>
      </c>
      <c r="M3635" s="6" t="str">
        <f>IFERROR(__xludf.DUMMYFUNCTION("""COMPUTED_VALUE"""),"Sandy High School")</f>
        <v>Sandy High School</v>
      </c>
      <c r="N3635" s="6" t="str">
        <f>IFERROR(__xludf.DUMMYFUNCTION("""COMPUTED_VALUE"""),"")</f>
        <v/>
      </c>
      <c r="O3635" s="87" t="str">
        <f>IFERROR(__xludf.DUMMYFUNCTION("""COMPUTED_VALUE"""),"https://drive.google.com/drive/folders/10T2cTQHqEJZqE-st6uFKPoI?usp=share_link")</f>
        <v>https://drive.google.com/drive/folders/10T2cTQHqEJZqE-st6uFKPoI?usp=share_link</v>
      </c>
      <c r="P3635" s="6" t="str">
        <f>IFERROR(__xludf.DUMMYFUNCTION("""COMPUTED_VALUE"""),"Julian Gribben")</f>
        <v>Julian Gribben</v>
      </c>
      <c r="Q3635" s="6" t="str">
        <f>IFERROR(__xludf.DUMMYFUNCTION("""COMPUTED_VALUE"""),"HS")</f>
        <v>HS</v>
      </c>
      <c r="R3635" s="6">
        <f>IFERROR(__xludf.DUMMYFUNCTION("""COMPUTED_VALUE"""),0.0)</f>
        <v>0</v>
      </c>
      <c r="S3635" s="6" t="str">
        <f>IFERROR(__xludf.DUMMYFUNCTION("""COMPUTED_VALUE"""),"Taylor Sestric")</f>
        <v>Taylor Sestric</v>
      </c>
      <c r="T3635" s="6" t="str">
        <f>IFERROR(__xludf.DUMMYFUNCTION("""COMPUTED_VALUE"""),"taylor.fortin@ortrail.k12.or.us")</f>
        <v>taylor.fortin@ortrail.k12.or.us</v>
      </c>
      <c r="U3635" s="6" t="str">
        <f>IFERROR(__xludf.DUMMYFUNCTION("""COMPUTED_VALUE"""),"9")</f>
        <v>9</v>
      </c>
      <c r="V3635" s="6" t="str">
        <f>IFERROR(__xludf.DUMMYFUNCTION("""COMPUTED_VALUE"""),"English")</f>
        <v>English</v>
      </c>
      <c r="W3635" s="6" t="str">
        <f>IFERROR(__xludf.DUMMYFUNCTION("""COMPUTED_VALUE"""),"[]")</f>
        <v>[]</v>
      </c>
      <c r="X3635" s="6" t="str">
        <f>IFERROR(__xludf.DUMMYFUNCTION("""COMPUTED_VALUE"""),"Enrolled")</f>
        <v>Enrolled</v>
      </c>
    </row>
    <row r="3636">
      <c r="A3636" s="6" t="str">
        <f>IFERROR(__xludf.DUMMYFUNCTION("""COMPUTED_VALUE"""),"064-6990")</f>
        <v>064-6990</v>
      </c>
      <c r="B3636" s="6" t="str">
        <f>IFERROR(__xludf.DUMMYFUNCTION("""COMPUTED_VALUE"""),"64")</f>
        <v>64</v>
      </c>
      <c r="C3636" s="6" t="str">
        <f>IFERROR(__xludf.DUMMYFUNCTION("""COMPUTED_VALUE"""),"6990")</f>
        <v>6990</v>
      </c>
      <c r="D3636" s="6" t="str">
        <f>IFERROR(__xludf.DUMMYFUNCTION("""COMPUTED_VALUE"""),"Mirella")</f>
        <v>Mirella</v>
      </c>
      <c r="E3636" s="6" t="str">
        <f>IFERROR(__xludf.DUMMYFUNCTION("""COMPUTED_VALUE"""),"")</f>
        <v/>
      </c>
      <c r="F3636" s="6" t="str">
        <f>IFERROR(__xludf.DUMMYFUNCTION("""COMPUTED_VALUE"""),"Gomez")</f>
        <v>Gomez</v>
      </c>
      <c r="G3636" s="6" t="str">
        <f>IFERROR(__xludf.DUMMYFUNCTION("""COMPUTED_VALUE"""),"09/14/2007")</f>
        <v>09/14/2007</v>
      </c>
      <c r="H3636" s="6" t="str">
        <f>IFERROR(__xludf.DUMMYFUNCTION("""COMPUTED_VALUE"""),"Self Identify")</f>
        <v>Self Identify</v>
      </c>
      <c r="I3636" s="6" t="str">
        <f>IFERROR(__xludf.DUMMYFUNCTION("""COMPUTED_VALUE"""),"High School")</f>
        <v>High School</v>
      </c>
      <c r="J3636" s="6" t="str">
        <f>IFERROR(__xludf.DUMMYFUNCTION("""COMPUTED_VALUE"""),"12")</f>
        <v>12</v>
      </c>
      <c r="K3636" s="6" t="str">
        <f>IFERROR(__xludf.DUMMYFUNCTION("""COMPUTED_VALUE"""),"mirella_gomez@stu.ortrail.k12.or.us")</f>
        <v>mirella_gomez@stu.ortrail.k12.or.us</v>
      </c>
      <c r="L3636" s="6" t="str">
        <f>IFERROR(__xludf.DUMMYFUNCTION("""COMPUTED_VALUE"""),"Oregon Trail School District 46")</f>
        <v>Oregon Trail School District 46</v>
      </c>
      <c r="M3636" s="6" t="str">
        <f>IFERROR(__xludf.DUMMYFUNCTION("""COMPUTED_VALUE"""),"Sandy High School")</f>
        <v>Sandy High School</v>
      </c>
      <c r="N3636" s="6" t="str">
        <f>IFERROR(__xludf.DUMMYFUNCTION("""COMPUTED_VALUE"""),"")</f>
        <v/>
      </c>
      <c r="O3636" s="87" t="str">
        <f>IFERROR(__xludf.DUMMYFUNCTION("""COMPUTED_VALUE"""),"https://drive.google.com/drive/folders/10T2cTQHqEJZqE-st6uFKPoI?usp=share_link")</f>
        <v>https://drive.google.com/drive/folders/10T2cTQHqEJZqE-st6uFKPoI?usp=share_link</v>
      </c>
      <c r="P3636" s="6" t="str">
        <f>IFERROR(__xludf.DUMMYFUNCTION("""COMPUTED_VALUE"""),"Mirella Gomez")</f>
        <v>Mirella Gomez</v>
      </c>
      <c r="Q3636" s="6" t="str">
        <f>IFERROR(__xludf.DUMMYFUNCTION("""COMPUTED_VALUE"""),"HS")</f>
        <v>HS</v>
      </c>
      <c r="R3636" s="6">
        <f>IFERROR(__xludf.DUMMYFUNCTION("""COMPUTED_VALUE"""),0.0)</f>
        <v>0</v>
      </c>
      <c r="S3636" s="6" t="str">
        <f>IFERROR(__xludf.DUMMYFUNCTION("""COMPUTED_VALUE"""),"Megan Montellano")</f>
        <v>Megan Montellano</v>
      </c>
      <c r="T3636" s="6" t="str">
        <f>IFERROR(__xludf.DUMMYFUNCTION("""COMPUTED_VALUE"""),"megan.montellano@ortrail.k12.or.us")</f>
        <v>megan.montellano@ortrail.k12.or.us</v>
      </c>
      <c r="U3636" s="6" t="str">
        <f>IFERROR(__xludf.DUMMYFUNCTION("""COMPUTED_VALUE"""),"12")</f>
        <v>12</v>
      </c>
      <c r="V3636" s="6" t="str">
        <f>IFERROR(__xludf.DUMMYFUNCTION("""COMPUTED_VALUE"""),"English")</f>
        <v>English</v>
      </c>
      <c r="W3636" s="6" t="str">
        <f>IFERROR(__xludf.DUMMYFUNCTION("""COMPUTED_VALUE"""),"[]")</f>
        <v>[]</v>
      </c>
      <c r="X3636" s="6" t="str">
        <f>IFERROR(__xludf.DUMMYFUNCTION("""COMPUTED_VALUE"""),"Enrolled")</f>
        <v>Enrolled</v>
      </c>
    </row>
    <row r="3637">
      <c r="A3637" s="6" t="str">
        <f>IFERROR(__xludf.DUMMYFUNCTION("""COMPUTED_VALUE"""),"064-6993")</f>
        <v>064-6993</v>
      </c>
      <c r="B3637" s="6" t="str">
        <f>IFERROR(__xludf.DUMMYFUNCTION("""COMPUTED_VALUE"""),"64")</f>
        <v>64</v>
      </c>
      <c r="C3637" s="6" t="str">
        <f>IFERROR(__xludf.DUMMYFUNCTION("""COMPUTED_VALUE"""),"6993")</f>
        <v>6993</v>
      </c>
      <c r="D3637" s="6" t="str">
        <f>IFERROR(__xludf.DUMMYFUNCTION("""COMPUTED_VALUE"""),"Aaniyah")</f>
        <v>Aaniyah</v>
      </c>
      <c r="E3637" s="6" t="str">
        <f>IFERROR(__xludf.DUMMYFUNCTION("""COMPUTED_VALUE"""),"")</f>
        <v/>
      </c>
      <c r="F3637" s="6" t="str">
        <f>IFERROR(__xludf.DUMMYFUNCTION("""COMPUTED_VALUE"""),"Stanfill")</f>
        <v>Stanfill</v>
      </c>
      <c r="G3637" s="6" t="str">
        <f>IFERROR(__xludf.DUMMYFUNCTION("""COMPUTED_VALUE"""),"05/26/2011")</f>
        <v>05/26/2011</v>
      </c>
      <c r="H3637" s="6" t="str">
        <f>IFERROR(__xludf.DUMMYFUNCTION("""COMPUTED_VALUE"""),"Self Identify")</f>
        <v>Self Identify</v>
      </c>
      <c r="I3637" s="6" t="str">
        <f>IFERROR(__xludf.DUMMYFUNCTION("""COMPUTED_VALUE"""),"High School")</f>
        <v>High School</v>
      </c>
      <c r="J3637" s="6" t="str">
        <f>IFERROR(__xludf.DUMMYFUNCTION("""COMPUTED_VALUE"""),"9")</f>
        <v>9</v>
      </c>
      <c r="K3637" s="6" t="str">
        <f>IFERROR(__xludf.DUMMYFUNCTION("""COMPUTED_VALUE"""),"aaniyah_stanfill@stu.ortrail.k12.or.us")</f>
        <v>aaniyah_stanfill@stu.ortrail.k12.or.us</v>
      </c>
      <c r="L3637" s="6" t="str">
        <f>IFERROR(__xludf.DUMMYFUNCTION("""COMPUTED_VALUE"""),"Oregon Trail School District 46")</f>
        <v>Oregon Trail School District 46</v>
      </c>
      <c r="M3637" s="6" t="str">
        <f>IFERROR(__xludf.DUMMYFUNCTION("""COMPUTED_VALUE"""),"Sandy High School")</f>
        <v>Sandy High School</v>
      </c>
      <c r="N3637" s="6" t="str">
        <f>IFERROR(__xludf.DUMMYFUNCTION("""COMPUTED_VALUE"""),"")</f>
        <v/>
      </c>
      <c r="O3637" s="87" t="str">
        <f>IFERROR(__xludf.DUMMYFUNCTION("""COMPUTED_VALUE"""),"https://drive.google.com/drive/folders/10T2cTQHqEJZqE-st6uFKPoI?usp=share_link")</f>
        <v>https://drive.google.com/drive/folders/10T2cTQHqEJZqE-st6uFKPoI?usp=share_link</v>
      </c>
      <c r="P3637" s="6" t="str">
        <f>IFERROR(__xludf.DUMMYFUNCTION("""COMPUTED_VALUE"""),"Aaniyah Stanfill")</f>
        <v>Aaniyah Stanfill</v>
      </c>
      <c r="Q3637" s="6" t="str">
        <f>IFERROR(__xludf.DUMMYFUNCTION("""COMPUTED_VALUE"""),"HS")</f>
        <v>HS</v>
      </c>
      <c r="R3637" s="6">
        <f>IFERROR(__xludf.DUMMYFUNCTION("""COMPUTED_VALUE"""),0.0)</f>
        <v>0</v>
      </c>
      <c r="S3637" s="6" t="str">
        <f>IFERROR(__xludf.DUMMYFUNCTION("""COMPUTED_VALUE"""),"Megan Montellano")</f>
        <v>Megan Montellano</v>
      </c>
      <c r="T3637" s="6" t="str">
        <f>IFERROR(__xludf.DUMMYFUNCTION("""COMPUTED_VALUE"""),"megan.montellano@ortrail.k12.or.us")</f>
        <v>megan.montellano@ortrail.k12.or.us</v>
      </c>
      <c r="U3637" s="6" t="str">
        <f>IFERROR(__xludf.DUMMYFUNCTION("""COMPUTED_VALUE"""),"9")</f>
        <v>9</v>
      </c>
      <c r="V3637" s="6" t="str">
        <f>IFERROR(__xludf.DUMMYFUNCTION("""COMPUTED_VALUE"""),"English")</f>
        <v>English</v>
      </c>
      <c r="W3637" s="6" t="str">
        <f>IFERROR(__xludf.DUMMYFUNCTION("""COMPUTED_VALUE"""),"[]")</f>
        <v>[]</v>
      </c>
      <c r="X3637" s="6" t="str">
        <f>IFERROR(__xludf.DUMMYFUNCTION("""COMPUTED_VALUE"""),"Enrolled")</f>
        <v>Enrolled</v>
      </c>
    </row>
    <row r="3638">
      <c r="A3638" s="6" t="str">
        <f>IFERROR(__xludf.DUMMYFUNCTION("""COMPUTED_VALUE"""),"064-6994")</f>
        <v>064-6994</v>
      </c>
      <c r="B3638" s="6" t="str">
        <f>IFERROR(__xludf.DUMMYFUNCTION("""COMPUTED_VALUE"""),"64")</f>
        <v>64</v>
      </c>
      <c r="C3638" s="6" t="str">
        <f>IFERROR(__xludf.DUMMYFUNCTION("""COMPUTED_VALUE"""),"6994")</f>
        <v>6994</v>
      </c>
      <c r="D3638" s="6" t="str">
        <f>IFERROR(__xludf.DUMMYFUNCTION("""COMPUTED_VALUE"""),"Luke")</f>
        <v>Luke</v>
      </c>
      <c r="E3638" s="6" t="str">
        <f>IFERROR(__xludf.DUMMYFUNCTION("""COMPUTED_VALUE"""),"")</f>
        <v/>
      </c>
      <c r="F3638" s="6" t="str">
        <f>IFERROR(__xludf.DUMMYFUNCTION("""COMPUTED_VALUE"""),"Summers")</f>
        <v>Summers</v>
      </c>
      <c r="G3638" s="6" t="str">
        <f>IFERROR(__xludf.DUMMYFUNCTION("""COMPUTED_VALUE"""),"04/17/2009")</f>
        <v>04/17/2009</v>
      </c>
      <c r="H3638" s="6" t="str">
        <f>IFERROR(__xludf.DUMMYFUNCTION("""COMPUTED_VALUE"""),"Self Identify")</f>
        <v>Self Identify</v>
      </c>
      <c r="I3638" s="6" t="str">
        <f>IFERROR(__xludf.DUMMYFUNCTION("""COMPUTED_VALUE"""),"High School")</f>
        <v>High School</v>
      </c>
      <c r="J3638" s="6" t="str">
        <f>IFERROR(__xludf.DUMMYFUNCTION("""COMPUTED_VALUE"""),"11")</f>
        <v>11</v>
      </c>
      <c r="K3638" s="6" t="str">
        <f>IFERROR(__xludf.DUMMYFUNCTION("""COMPUTED_VALUE"""),"luke_summers@stu.ortrail.k12.or.us")</f>
        <v>luke_summers@stu.ortrail.k12.or.us</v>
      </c>
      <c r="L3638" s="6" t="str">
        <f>IFERROR(__xludf.DUMMYFUNCTION("""COMPUTED_VALUE"""),"Oregon Trail School District 46")</f>
        <v>Oregon Trail School District 46</v>
      </c>
      <c r="M3638" s="6" t="str">
        <f>IFERROR(__xludf.DUMMYFUNCTION("""COMPUTED_VALUE"""),"Sandy High School")</f>
        <v>Sandy High School</v>
      </c>
      <c r="N3638" s="6" t="str">
        <f>IFERROR(__xludf.DUMMYFUNCTION("""COMPUTED_VALUE"""),"")</f>
        <v/>
      </c>
      <c r="O3638" s="87" t="str">
        <f>IFERROR(__xludf.DUMMYFUNCTION("""COMPUTED_VALUE"""),"https://drive.google.com/drive/folders/10T2cTQHqEJZqE-st6uFKPoI?usp=share_link")</f>
        <v>https://drive.google.com/drive/folders/10T2cTQHqEJZqE-st6uFKPoI?usp=share_link</v>
      </c>
      <c r="P3638" s="6" t="str">
        <f>IFERROR(__xludf.DUMMYFUNCTION("""COMPUTED_VALUE"""),"Luke Summers")</f>
        <v>Luke Summers</v>
      </c>
      <c r="Q3638" s="6" t="str">
        <f>IFERROR(__xludf.DUMMYFUNCTION("""COMPUTED_VALUE"""),"HS")</f>
        <v>HS</v>
      </c>
      <c r="R3638" s="6">
        <f>IFERROR(__xludf.DUMMYFUNCTION("""COMPUTED_VALUE"""),0.0)</f>
        <v>0</v>
      </c>
      <c r="S3638" s="6" t="str">
        <f>IFERROR(__xludf.DUMMYFUNCTION("""COMPUTED_VALUE"""),"Megan Montellano")</f>
        <v>Megan Montellano</v>
      </c>
      <c r="T3638" s="6" t="str">
        <f>IFERROR(__xludf.DUMMYFUNCTION("""COMPUTED_VALUE"""),"megan.montellano@ortrail.k12.or.us")</f>
        <v>megan.montellano@ortrail.k12.or.us</v>
      </c>
      <c r="U3638" s="6" t="str">
        <f>IFERROR(__xludf.DUMMYFUNCTION("""COMPUTED_VALUE"""),"11")</f>
        <v>11</v>
      </c>
      <c r="V3638" s="6" t="str">
        <f>IFERROR(__xludf.DUMMYFUNCTION("""COMPUTED_VALUE"""),"English")</f>
        <v>English</v>
      </c>
      <c r="W3638" s="6" t="str">
        <f>IFERROR(__xludf.DUMMYFUNCTION("""COMPUTED_VALUE"""),"[]")</f>
        <v>[]</v>
      </c>
      <c r="X3638" s="6" t="str">
        <f>IFERROR(__xludf.DUMMYFUNCTION("""COMPUTED_VALUE"""),"Enrolled")</f>
        <v>Enrolled</v>
      </c>
    </row>
    <row r="3639">
      <c r="A3639" s="6" t="str">
        <f>IFERROR(__xludf.DUMMYFUNCTION("""COMPUTED_VALUE"""),"064-6996")</f>
        <v>064-6996</v>
      </c>
      <c r="B3639" s="6" t="str">
        <f>IFERROR(__xludf.DUMMYFUNCTION("""COMPUTED_VALUE"""),"64")</f>
        <v>64</v>
      </c>
      <c r="C3639" s="6" t="str">
        <f>IFERROR(__xludf.DUMMYFUNCTION("""COMPUTED_VALUE"""),"6996")</f>
        <v>6996</v>
      </c>
      <c r="D3639" s="6" t="str">
        <f>IFERROR(__xludf.DUMMYFUNCTION("""COMPUTED_VALUE"""),"Uriel")</f>
        <v>Uriel</v>
      </c>
      <c r="E3639" s="6" t="str">
        <f>IFERROR(__xludf.DUMMYFUNCTION("""COMPUTED_VALUE"""),"")</f>
        <v/>
      </c>
      <c r="F3639" s="6" t="str">
        <f>IFERROR(__xludf.DUMMYFUNCTION("""COMPUTED_VALUE"""),"Hernandez Aldana")</f>
        <v>Hernandez Aldana</v>
      </c>
      <c r="G3639" s="6" t="str">
        <f>IFERROR(__xludf.DUMMYFUNCTION("""COMPUTED_VALUE"""),"07/18/2010")</f>
        <v>07/18/2010</v>
      </c>
      <c r="H3639" s="6" t="str">
        <f>IFERROR(__xludf.DUMMYFUNCTION("""COMPUTED_VALUE"""),"Self Identify")</f>
        <v>Self Identify</v>
      </c>
      <c r="I3639" s="6" t="str">
        <f>IFERROR(__xludf.DUMMYFUNCTION("""COMPUTED_VALUE"""),"High School")</f>
        <v>High School</v>
      </c>
      <c r="J3639" s="6" t="str">
        <f>IFERROR(__xludf.DUMMYFUNCTION("""COMPUTED_VALUE"""),"10")</f>
        <v>10</v>
      </c>
      <c r="K3639" s="6" t="str">
        <f>IFERROR(__xludf.DUMMYFUNCTION("""COMPUTED_VALUE"""),"udy_hernandezaldana@stu.ortrail.k12.or.us")</f>
        <v>udy_hernandezaldana@stu.ortrail.k12.or.us</v>
      </c>
      <c r="L3639" s="6" t="str">
        <f>IFERROR(__xludf.DUMMYFUNCTION("""COMPUTED_VALUE"""),"Oregon Trail School District 46")</f>
        <v>Oregon Trail School District 46</v>
      </c>
      <c r="M3639" s="6" t="str">
        <f>IFERROR(__xludf.DUMMYFUNCTION("""COMPUTED_VALUE"""),"Sandy High School")</f>
        <v>Sandy High School</v>
      </c>
      <c r="N3639" s="6" t="str">
        <f>IFERROR(__xludf.DUMMYFUNCTION("""COMPUTED_VALUE"""),"")</f>
        <v/>
      </c>
      <c r="O3639" s="87" t="str">
        <f>IFERROR(__xludf.DUMMYFUNCTION("""COMPUTED_VALUE"""),"https://drive.google.com/drive/folders/10T2cTQHqEJZqE-st6uFKPoI?usp=share_link")</f>
        <v>https://drive.google.com/drive/folders/10T2cTQHqEJZqE-st6uFKPoI?usp=share_link</v>
      </c>
      <c r="P3639" s="6" t="str">
        <f>IFERROR(__xludf.DUMMYFUNCTION("""COMPUTED_VALUE"""),"Uriel Hernandez Aldana")</f>
        <v>Uriel Hernandez Aldana</v>
      </c>
      <c r="Q3639" s="6" t="str">
        <f>IFERROR(__xludf.DUMMYFUNCTION("""COMPUTED_VALUE"""),"HS")</f>
        <v>HS</v>
      </c>
      <c r="R3639" s="6">
        <f>IFERROR(__xludf.DUMMYFUNCTION("""COMPUTED_VALUE"""),0.0)</f>
        <v>0</v>
      </c>
      <c r="S3639" s="6" t="str">
        <f>IFERROR(__xludf.DUMMYFUNCTION("""COMPUTED_VALUE"""),"Zachariah Duell")</f>
        <v>Zachariah Duell</v>
      </c>
      <c r="T3639" s="6" t="str">
        <f>IFERROR(__xludf.DUMMYFUNCTION("""COMPUTED_VALUE"""),"zachariah.duell@ortrail.k12.or.us")</f>
        <v>zachariah.duell@ortrail.k12.or.us</v>
      </c>
      <c r="U3639" s="6" t="str">
        <f>IFERROR(__xludf.DUMMYFUNCTION("""COMPUTED_VALUE"""),"10")</f>
        <v>10</v>
      </c>
      <c r="V3639" s="6" t="str">
        <f>IFERROR(__xludf.DUMMYFUNCTION("""COMPUTED_VALUE"""),"English")</f>
        <v>English</v>
      </c>
      <c r="W3639" s="6" t="str">
        <f>IFERROR(__xludf.DUMMYFUNCTION("""COMPUTED_VALUE"""),"[]")</f>
        <v>[]</v>
      </c>
      <c r="X3639" s="6" t="str">
        <f>IFERROR(__xludf.DUMMYFUNCTION("""COMPUTED_VALUE"""),"Enrolled")</f>
        <v>Enrolled</v>
      </c>
    </row>
    <row r="3640">
      <c r="A3640" s="6" t="str">
        <f>IFERROR(__xludf.DUMMYFUNCTION("""COMPUTED_VALUE"""),"064-6999")</f>
        <v>064-6999</v>
      </c>
      <c r="B3640" s="6" t="str">
        <f>IFERROR(__xludf.DUMMYFUNCTION("""COMPUTED_VALUE"""),"64")</f>
        <v>64</v>
      </c>
      <c r="C3640" s="6" t="str">
        <f>IFERROR(__xludf.DUMMYFUNCTION("""COMPUTED_VALUE"""),"6999")</f>
        <v>6999</v>
      </c>
      <c r="D3640" s="6" t="str">
        <f>IFERROR(__xludf.DUMMYFUNCTION("""COMPUTED_VALUE"""),"Jordan")</f>
        <v>Jordan</v>
      </c>
      <c r="E3640" s="6" t="str">
        <f>IFERROR(__xludf.DUMMYFUNCTION("""COMPUTED_VALUE"""),"")</f>
        <v/>
      </c>
      <c r="F3640" s="6" t="str">
        <f>IFERROR(__xludf.DUMMYFUNCTION("""COMPUTED_VALUE"""),"Daugherty")</f>
        <v>Daugherty</v>
      </c>
      <c r="G3640" s="6" t="str">
        <f>IFERROR(__xludf.DUMMYFUNCTION("""COMPUTED_VALUE"""),"09/22/2010")</f>
        <v>09/22/2010</v>
      </c>
      <c r="H3640" s="6" t="str">
        <f>IFERROR(__xludf.DUMMYFUNCTION("""COMPUTED_VALUE"""),"Self Identify")</f>
        <v>Self Identify</v>
      </c>
      <c r="I3640" s="6" t="str">
        <f>IFERROR(__xludf.DUMMYFUNCTION("""COMPUTED_VALUE"""),"High School")</f>
        <v>High School</v>
      </c>
      <c r="J3640" s="6" t="str">
        <f>IFERROR(__xludf.DUMMYFUNCTION("""COMPUTED_VALUE"""),"9")</f>
        <v>9</v>
      </c>
      <c r="K3640" s="6" t="str">
        <f>IFERROR(__xludf.DUMMYFUNCTION("""COMPUTED_VALUE"""),"jordan_daugherty@stu.ortrail.k12.or.us")</f>
        <v>jordan_daugherty@stu.ortrail.k12.or.us</v>
      </c>
      <c r="L3640" s="6" t="str">
        <f>IFERROR(__xludf.DUMMYFUNCTION("""COMPUTED_VALUE"""),"Oregon Trail School District 46")</f>
        <v>Oregon Trail School District 46</v>
      </c>
      <c r="M3640" s="6" t="str">
        <f>IFERROR(__xludf.DUMMYFUNCTION("""COMPUTED_VALUE"""),"Sandy High School")</f>
        <v>Sandy High School</v>
      </c>
      <c r="N3640" s="6" t="str">
        <f>IFERROR(__xludf.DUMMYFUNCTION("""COMPUTED_VALUE"""),"")</f>
        <v/>
      </c>
      <c r="O3640" s="87" t="str">
        <f>IFERROR(__xludf.DUMMYFUNCTION("""COMPUTED_VALUE"""),"https://drive.google.com/drive/folders/10T2cTQHqEJZqE-st6uFKPoI?usp=share_link")</f>
        <v>https://drive.google.com/drive/folders/10T2cTQHqEJZqE-st6uFKPoI?usp=share_link</v>
      </c>
      <c r="P3640" s="6" t="str">
        <f>IFERROR(__xludf.DUMMYFUNCTION("""COMPUTED_VALUE"""),"Jordan Daugherty")</f>
        <v>Jordan Daugherty</v>
      </c>
      <c r="Q3640" s="6" t="str">
        <f>IFERROR(__xludf.DUMMYFUNCTION("""COMPUTED_VALUE"""),"HS")</f>
        <v>HS</v>
      </c>
      <c r="R3640" s="6">
        <f>IFERROR(__xludf.DUMMYFUNCTION("""COMPUTED_VALUE"""),0.0)</f>
        <v>0</v>
      </c>
      <c r="S3640" s="6" t="str">
        <f>IFERROR(__xludf.DUMMYFUNCTION("""COMPUTED_VALUE"""),"Tiffany Pfenning")</f>
        <v>Tiffany Pfenning</v>
      </c>
      <c r="T3640" s="6" t="str">
        <f>IFERROR(__xludf.DUMMYFUNCTION("""COMPUTED_VALUE"""),"tiffany.pfenning@ortrail.k12.or.us")</f>
        <v>tiffany.pfenning@ortrail.k12.or.us</v>
      </c>
      <c r="U3640" s="6" t="str">
        <f>IFERROR(__xludf.DUMMYFUNCTION("""COMPUTED_VALUE"""),"9")</f>
        <v>9</v>
      </c>
      <c r="V3640" s="6" t="str">
        <f>IFERROR(__xludf.DUMMYFUNCTION("""COMPUTED_VALUE"""),"English")</f>
        <v>English</v>
      </c>
      <c r="W3640" s="6" t="str">
        <f>IFERROR(__xludf.DUMMYFUNCTION("""COMPUTED_VALUE"""),"[]")</f>
        <v>[]</v>
      </c>
      <c r="X3640" s="6" t="str">
        <f>IFERROR(__xludf.DUMMYFUNCTION("""COMPUTED_VALUE"""),"Enrolled")</f>
        <v>Enrolled</v>
      </c>
    </row>
    <row r="3641">
      <c r="A3641" s="6" t="str">
        <f>IFERROR(__xludf.DUMMYFUNCTION("""COMPUTED_VALUE"""),"064-7000")</f>
        <v>064-7000</v>
      </c>
      <c r="B3641" s="6" t="str">
        <f>IFERROR(__xludf.DUMMYFUNCTION("""COMPUTED_VALUE"""),"64")</f>
        <v>64</v>
      </c>
      <c r="C3641" s="6" t="str">
        <f>IFERROR(__xludf.DUMMYFUNCTION("""COMPUTED_VALUE"""),"7000")</f>
        <v>7000</v>
      </c>
      <c r="D3641" s="6" t="str">
        <f>IFERROR(__xludf.DUMMYFUNCTION("""COMPUTED_VALUE"""),"Alexandra")</f>
        <v>Alexandra</v>
      </c>
      <c r="E3641" s="6" t="str">
        <f>IFERROR(__xludf.DUMMYFUNCTION("""COMPUTED_VALUE"""),"")</f>
        <v/>
      </c>
      <c r="F3641" s="6" t="str">
        <f>IFERROR(__xludf.DUMMYFUNCTION("""COMPUTED_VALUE"""),"Duncan")</f>
        <v>Duncan</v>
      </c>
      <c r="G3641" s="6" t="str">
        <f>IFERROR(__xludf.DUMMYFUNCTION("""COMPUTED_VALUE"""),"11/21/2007")</f>
        <v>11/21/2007</v>
      </c>
      <c r="H3641" s="6" t="str">
        <f>IFERROR(__xludf.DUMMYFUNCTION("""COMPUTED_VALUE"""),"Self Identify")</f>
        <v>Self Identify</v>
      </c>
      <c r="I3641" s="6" t="str">
        <f>IFERROR(__xludf.DUMMYFUNCTION("""COMPUTED_VALUE"""),"High School")</f>
        <v>High School</v>
      </c>
      <c r="J3641" s="6" t="str">
        <f>IFERROR(__xludf.DUMMYFUNCTION("""COMPUTED_VALUE"""),"12")</f>
        <v>12</v>
      </c>
      <c r="K3641" s="6" t="str">
        <f>IFERROR(__xludf.DUMMYFUNCTION("""COMPUTED_VALUE"""),"lexi_duncan@stu.ortrail.k12.or.us")</f>
        <v>lexi_duncan@stu.ortrail.k12.or.us</v>
      </c>
      <c r="L3641" s="6" t="str">
        <f>IFERROR(__xludf.DUMMYFUNCTION("""COMPUTED_VALUE"""),"Oregon Trail School District 46")</f>
        <v>Oregon Trail School District 46</v>
      </c>
      <c r="M3641" s="6" t="str">
        <f>IFERROR(__xludf.DUMMYFUNCTION("""COMPUTED_VALUE"""),"Sandy High School")</f>
        <v>Sandy High School</v>
      </c>
      <c r="N3641" s="6" t="str">
        <f>IFERROR(__xludf.DUMMYFUNCTION("""COMPUTED_VALUE"""),"")</f>
        <v/>
      </c>
      <c r="O3641" s="87" t="str">
        <f>IFERROR(__xludf.DUMMYFUNCTION("""COMPUTED_VALUE"""),"https://drive.google.com/drive/folders/10T2cTQHqEJZqE-st6uFKPoI?usp=share_link")</f>
        <v>https://drive.google.com/drive/folders/10T2cTQHqEJZqE-st6uFKPoI?usp=share_link</v>
      </c>
      <c r="P3641" s="6" t="str">
        <f>IFERROR(__xludf.DUMMYFUNCTION("""COMPUTED_VALUE"""),"Alexandra Duncan")</f>
        <v>Alexandra Duncan</v>
      </c>
      <c r="Q3641" s="6" t="str">
        <f>IFERROR(__xludf.DUMMYFUNCTION("""COMPUTED_VALUE"""),"HS")</f>
        <v>HS</v>
      </c>
      <c r="R3641" s="6">
        <f>IFERROR(__xludf.DUMMYFUNCTION("""COMPUTED_VALUE"""),0.0)</f>
        <v>0</v>
      </c>
      <c r="S3641" s="6" t="str">
        <f>IFERROR(__xludf.DUMMYFUNCTION("""COMPUTED_VALUE"""),"Tiffany Pfenning")</f>
        <v>Tiffany Pfenning</v>
      </c>
      <c r="T3641" s="6" t="str">
        <f>IFERROR(__xludf.DUMMYFUNCTION("""COMPUTED_VALUE"""),"tiffany.pfenning@ortrail.k12.or.us")</f>
        <v>tiffany.pfenning@ortrail.k12.or.us</v>
      </c>
      <c r="U3641" s="6" t="str">
        <f>IFERROR(__xludf.DUMMYFUNCTION("""COMPUTED_VALUE"""),"12")</f>
        <v>12</v>
      </c>
      <c r="V3641" s="6" t="str">
        <f>IFERROR(__xludf.DUMMYFUNCTION("""COMPUTED_VALUE"""),"English")</f>
        <v>English</v>
      </c>
      <c r="W3641" s="6" t="str">
        <f>IFERROR(__xludf.DUMMYFUNCTION("""COMPUTED_VALUE"""),"[]")</f>
        <v>[]</v>
      </c>
      <c r="X3641" s="6" t="str">
        <f>IFERROR(__xludf.DUMMYFUNCTION("""COMPUTED_VALUE"""),"Enrolled")</f>
        <v>Enrolled</v>
      </c>
    </row>
    <row r="3642">
      <c r="A3642" s="6" t="str">
        <f>IFERROR(__xludf.DUMMYFUNCTION("""COMPUTED_VALUE"""),"064-7002")</f>
        <v>064-7002</v>
      </c>
      <c r="B3642" s="6" t="str">
        <f>IFERROR(__xludf.DUMMYFUNCTION("""COMPUTED_VALUE"""),"64")</f>
        <v>64</v>
      </c>
      <c r="C3642" s="6" t="str">
        <f>IFERROR(__xludf.DUMMYFUNCTION("""COMPUTED_VALUE"""),"7002")</f>
        <v>7002</v>
      </c>
      <c r="D3642" s="6" t="str">
        <f>IFERROR(__xludf.DUMMYFUNCTION("""COMPUTED_VALUE"""),"Rome")</f>
        <v>Rome</v>
      </c>
      <c r="E3642" s="6" t="str">
        <f>IFERROR(__xludf.DUMMYFUNCTION("""COMPUTED_VALUE"""),"")</f>
        <v/>
      </c>
      <c r="F3642" s="6" t="str">
        <f>IFERROR(__xludf.DUMMYFUNCTION("""COMPUTED_VALUE"""),"Riganetti")</f>
        <v>Riganetti</v>
      </c>
      <c r="G3642" s="6" t="str">
        <f>IFERROR(__xludf.DUMMYFUNCTION("""COMPUTED_VALUE"""),"07/25/2010")</f>
        <v>07/25/2010</v>
      </c>
      <c r="H3642" s="6" t="str">
        <f>IFERROR(__xludf.DUMMYFUNCTION("""COMPUTED_VALUE"""),"Self Identify")</f>
        <v>Self Identify</v>
      </c>
      <c r="I3642" s="6" t="str">
        <f>IFERROR(__xludf.DUMMYFUNCTION("""COMPUTED_VALUE"""),"High School")</f>
        <v>High School</v>
      </c>
      <c r="J3642" s="6" t="str">
        <f>IFERROR(__xludf.DUMMYFUNCTION("""COMPUTED_VALUE"""),"10")</f>
        <v>10</v>
      </c>
      <c r="K3642" s="6" t="str">
        <f>IFERROR(__xludf.DUMMYFUNCTION("""COMPUTED_VALUE"""),"rome_riganetti@stu.ortrail.k12.or.us")</f>
        <v>rome_riganetti@stu.ortrail.k12.or.us</v>
      </c>
      <c r="L3642" s="6" t="str">
        <f>IFERROR(__xludf.DUMMYFUNCTION("""COMPUTED_VALUE"""),"Oregon Trail School District 46")</f>
        <v>Oregon Trail School District 46</v>
      </c>
      <c r="M3642" s="6" t="str">
        <f>IFERROR(__xludf.DUMMYFUNCTION("""COMPUTED_VALUE"""),"Sandy High School")</f>
        <v>Sandy High School</v>
      </c>
      <c r="N3642" s="6" t="str">
        <f>IFERROR(__xludf.DUMMYFUNCTION("""COMPUTED_VALUE"""),"")</f>
        <v/>
      </c>
      <c r="O3642" s="87" t="str">
        <f>IFERROR(__xludf.DUMMYFUNCTION("""COMPUTED_VALUE"""),"https://drive.google.com/drive/folders/10T2cTQHqEJZqE-st6uFKPoI?usp=share_link")</f>
        <v>https://drive.google.com/drive/folders/10T2cTQHqEJZqE-st6uFKPoI?usp=share_link</v>
      </c>
      <c r="P3642" s="6" t="str">
        <f>IFERROR(__xludf.DUMMYFUNCTION("""COMPUTED_VALUE"""),"Rome Riganetti")</f>
        <v>Rome Riganetti</v>
      </c>
      <c r="Q3642" s="6" t="str">
        <f>IFERROR(__xludf.DUMMYFUNCTION("""COMPUTED_VALUE"""),"HS")</f>
        <v>HS</v>
      </c>
      <c r="R3642" s="6">
        <f>IFERROR(__xludf.DUMMYFUNCTION("""COMPUTED_VALUE"""),0.0)</f>
        <v>0</v>
      </c>
      <c r="S3642" s="6" t="str">
        <f>IFERROR(__xludf.DUMMYFUNCTION("""COMPUTED_VALUE"""),"Tiffany Pfenning")</f>
        <v>Tiffany Pfenning</v>
      </c>
      <c r="T3642" s="6" t="str">
        <f>IFERROR(__xludf.DUMMYFUNCTION("""COMPUTED_VALUE"""),"tiffany.pfenning@ortrail.k12.or.us")</f>
        <v>tiffany.pfenning@ortrail.k12.or.us</v>
      </c>
      <c r="U3642" s="6" t="str">
        <f>IFERROR(__xludf.DUMMYFUNCTION("""COMPUTED_VALUE"""),"10")</f>
        <v>10</v>
      </c>
      <c r="V3642" s="6" t="str">
        <f>IFERROR(__xludf.DUMMYFUNCTION("""COMPUTED_VALUE"""),"English")</f>
        <v>English</v>
      </c>
      <c r="W3642" s="6" t="str">
        <f>IFERROR(__xludf.DUMMYFUNCTION("""COMPUTED_VALUE"""),"[]")</f>
        <v>[]</v>
      </c>
      <c r="X3642" s="6" t="str">
        <f>IFERROR(__xludf.DUMMYFUNCTION("""COMPUTED_VALUE"""),"Enrolled")</f>
        <v>Enrolled</v>
      </c>
    </row>
    <row r="3643">
      <c r="A3643" s="6" t="str">
        <f>IFERROR(__xludf.DUMMYFUNCTION("""COMPUTED_VALUE"""),"064-7003")</f>
        <v>064-7003</v>
      </c>
      <c r="B3643" s="6" t="str">
        <f>IFERROR(__xludf.DUMMYFUNCTION("""COMPUTED_VALUE"""),"64")</f>
        <v>64</v>
      </c>
      <c r="C3643" s="6" t="str">
        <f>IFERROR(__xludf.DUMMYFUNCTION("""COMPUTED_VALUE"""),"7003")</f>
        <v>7003</v>
      </c>
      <c r="D3643" s="6" t="str">
        <f>IFERROR(__xludf.DUMMYFUNCTION("""COMPUTED_VALUE"""),"Riley")</f>
        <v>Riley</v>
      </c>
      <c r="E3643" s="6" t="str">
        <f>IFERROR(__xludf.DUMMYFUNCTION("""COMPUTED_VALUE"""),"")</f>
        <v/>
      </c>
      <c r="F3643" s="6" t="str">
        <f>IFERROR(__xludf.DUMMYFUNCTION("""COMPUTED_VALUE"""),"Tran")</f>
        <v>Tran</v>
      </c>
      <c r="G3643" s="6" t="str">
        <f>IFERROR(__xludf.DUMMYFUNCTION("""COMPUTED_VALUE"""),"09/12/2010")</f>
        <v>09/12/2010</v>
      </c>
      <c r="H3643" s="6" t="str">
        <f>IFERROR(__xludf.DUMMYFUNCTION("""COMPUTED_VALUE"""),"Self Identify")</f>
        <v>Self Identify</v>
      </c>
      <c r="I3643" s="6" t="str">
        <f>IFERROR(__xludf.DUMMYFUNCTION("""COMPUTED_VALUE"""),"High School")</f>
        <v>High School</v>
      </c>
      <c r="J3643" s="6" t="str">
        <f>IFERROR(__xludf.DUMMYFUNCTION("""COMPUTED_VALUE"""),"9")</f>
        <v>9</v>
      </c>
      <c r="K3643" s="6" t="str">
        <f>IFERROR(__xludf.DUMMYFUNCTION("""COMPUTED_VALUE"""),"riley_tran@stu.ortrail.k12.or.us")</f>
        <v>riley_tran@stu.ortrail.k12.or.us</v>
      </c>
      <c r="L3643" s="6" t="str">
        <f>IFERROR(__xludf.DUMMYFUNCTION("""COMPUTED_VALUE"""),"Oregon Trail School District 46")</f>
        <v>Oregon Trail School District 46</v>
      </c>
      <c r="M3643" s="6" t="str">
        <f>IFERROR(__xludf.DUMMYFUNCTION("""COMPUTED_VALUE"""),"Sandy High School")</f>
        <v>Sandy High School</v>
      </c>
      <c r="N3643" s="6" t="str">
        <f>IFERROR(__xludf.DUMMYFUNCTION("""COMPUTED_VALUE"""),"")</f>
        <v/>
      </c>
      <c r="O3643" s="87" t="str">
        <f>IFERROR(__xludf.DUMMYFUNCTION("""COMPUTED_VALUE"""),"https://drive.google.com/drive/folders/10T2cTQHqEJZqE-st6uFKPoI?usp=share_link")</f>
        <v>https://drive.google.com/drive/folders/10T2cTQHqEJZqE-st6uFKPoI?usp=share_link</v>
      </c>
      <c r="P3643" s="6" t="str">
        <f>IFERROR(__xludf.DUMMYFUNCTION("""COMPUTED_VALUE"""),"Riley Tran")</f>
        <v>Riley Tran</v>
      </c>
      <c r="Q3643" s="6" t="str">
        <f>IFERROR(__xludf.DUMMYFUNCTION("""COMPUTED_VALUE"""),"HS")</f>
        <v>HS</v>
      </c>
      <c r="R3643" s="6">
        <f>IFERROR(__xludf.DUMMYFUNCTION("""COMPUTED_VALUE"""),0.0)</f>
        <v>0</v>
      </c>
      <c r="S3643" s="6" t="str">
        <f>IFERROR(__xludf.DUMMYFUNCTION("""COMPUTED_VALUE"""),"Tiffany Pfenning")</f>
        <v>Tiffany Pfenning</v>
      </c>
      <c r="T3643" s="6" t="str">
        <f>IFERROR(__xludf.DUMMYFUNCTION("""COMPUTED_VALUE"""),"tiffany.pfenning@ortrail.k12.or.us")</f>
        <v>tiffany.pfenning@ortrail.k12.or.us</v>
      </c>
      <c r="U3643" s="6" t="str">
        <f>IFERROR(__xludf.DUMMYFUNCTION("""COMPUTED_VALUE"""),"9")</f>
        <v>9</v>
      </c>
      <c r="V3643" s="6" t="str">
        <f>IFERROR(__xludf.DUMMYFUNCTION("""COMPUTED_VALUE"""),"English")</f>
        <v>English</v>
      </c>
      <c r="W3643" s="6" t="str">
        <f>IFERROR(__xludf.DUMMYFUNCTION("""COMPUTED_VALUE"""),"[]")</f>
        <v>[]</v>
      </c>
      <c r="X3643" s="6" t="str">
        <f>IFERROR(__xludf.DUMMYFUNCTION("""COMPUTED_VALUE"""),"Enrolled")</f>
        <v>Enrolled</v>
      </c>
    </row>
    <row r="3644">
      <c r="A3644" s="6" t="str">
        <f>IFERROR(__xludf.DUMMYFUNCTION("""COMPUTED_VALUE"""),"064-7004")</f>
        <v>064-7004</v>
      </c>
      <c r="B3644" s="6" t="str">
        <f>IFERROR(__xludf.DUMMYFUNCTION("""COMPUTED_VALUE"""),"64")</f>
        <v>64</v>
      </c>
      <c r="C3644" s="6" t="str">
        <f>IFERROR(__xludf.DUMMYFUNCTION("""COMPUTED_VALUE"""),"7004")</f>
        <v>7004</v>
      </c>
      <c r="D3644" s="6" t="str">
        <f>IFERROR(__xludf.DUMMYFUNCTION("""COMPUTED_VALUE"""),"Jonathan")</f>
        <v>Jonathan</v>
      </c>
      <c r="E3644" s="6" t="str">
        <f>IFERROR(__xludf.DUMMYFUNCTION("""COMPUTED_VALUE"""),"")</f>
        <v/>
      </c>
      <c r="F3644" s="6" t="str">
        <f>IFERROR(__xludf.DUMMYFUNCTION("""COMPUTED_VALUE"""),"Wood")</f>
        <v>Wood</v>
      </c>
      <c r="G3644" s="6" t="str">
        <f>IFERROR(__xludf.DUMMYFUNCTION("""COMPUTED_VALUE"""),"06/27/2010")</f>
        <v>06/27/2010</v>
      </c>
      <c r="H3644" s="6" t="str">
        <f>IFERROR(__xludf.DUMMYFUNCTION("""COMPUTED_VALUE"""),"Self Identify")</f>
        <v>Self Identify</v>
      </c>
      <c r="I3644" s="6" t="str">
        <f>IFERROR(__xludf.DUMMYFUNCTION("""COMPUTED_VALUE"""),"High School")</f>
        <v>High School</v>
      </c>
      <c r="J3644" s="6" t="str">
        <f>IFERROR(__xludf.DUMMYFUNCTION("""COMPUTED_VALUE"""),"9")</f>
        <v>9</v>
      </c>
      <c r="K3644" s="6" t="str">
        <f>IFERROR(__xludf.DUMMYFUNCTION("""COMPUTED_VALUE"""),"jonathan_wood@stu.ortrail.k12.or.us")</f>
        <v>jonathan_wood@stu.ortrail.k12.or.us</v>
      </c>
      <c r="L3644" s="6" t="str">
        <f>IFERROR(__xludf.DUMMYFUNCTION("""COMPUTED_VALUE"""),"Oregon Trail School District 46")</f>
        <v>Oregon Trail School District 46</v>
      </c>
      <c r="M3644" s="6" t="str">
        <f>IFERROR(__xludf.DUMMYFUNCTION("""COMPUTED_VALUE"""),"Sandy High School")</f>
        <v>Sandy High School</v>
      </c>
      <c r="N3644" s="6" t="str">
        <f>IFERROR(__xludf.DUMMYFUNCTION("""COMPUTED_VALUE"""),"")</f>
        <v/>
      </c>
      <c r="O3644" s="87" t="str">
        <f>IFERROR(__xludf.DUMMYFUNCTION("""COMPUTED_VALUE"""),"https://drive.google.com/drive/folders/10T2cTQHqEJZqE-st6uFKPoI?usp=share_link")</f>
        <v>https://drive.google.com/drive/folders/10T2cTQHqEJZqE-st6uFKPoI?usp=share_link</v>
      </c>
      <c r="P3644" s="6" t="str">
        <f>IFERROR(__xludf.DUMMYFUNCTION("""COMPUTED_VALUE"""),"Jonathan Wood")</f>
        <v>Jonathan Wood</v>
      </c>
      <c r="Q3644" s="6" t="str">
        <f>IFERROR(__xludf.DUMMYFUNCTION("""COMPUTED_VALUE"""),"HS")</f>
        <v>HS</v>
      </c>
      <c r="R3644" s="6">
        <f>IFERROR(__xludf.DUMMYFUNCTION("""COMPUTED_VALUE"""),0.0)</f>
        <v>0</v>
      </c>
      <c r="S3644" s="6" t="str">
        <f>IFERROR(__xludf.DUMMYFUNCTION("""COMPUTED_VALUE"""),"Tiffany Pfenning")</f>
        <v>Tiffany Pfenning</v>
      </c>
      <c r="T3644" s="6" t="str">
        <f>IFERROR(__xludf.DUMMYFUNCTION("""COMPUTED_VALUE"""),"tiffany.pfenning@ortrail.k12.or.us")</f>
        <v>tiffany.pfenning@ortrail.k12.or.us</v>
      </c>
      <c r="U3644" s="6" t="str">
        <f>IFERROR(__xludf.DUMMYFUNCTION("""COMPUTED_VALUE"""),"9")</f>
        <v>9</v>
      </c>
      <c r="V3644" s="6" t="str">
        <f>IFERROR(__xludf.DUMMYFUNCTION("""COMPUTED_VALUE"""),"English")</f>
        <v>English</v>
      </c>
      <c r="W3644" s="6" t="str">
        <f>IFERROR(__xludf.DUMMYFUNCTION("""COMPUTED_VALUE"""),"[]")</f>
        <v>[]</v>
      </c>
      <c r="X3644" s="6" t="str">
        <f>IFERROR(__xludf.DUMMYFUNCTION("""COMPUTED_VALUE"""),"Enrolled")</f>
        <v>Enrolled</v>
      </c>
    </row>
    <row r="3645">
      <c r="A3645" s="6" t="str">
        <f>IFERROR(__xludf.DUMMYFUNCTION("""COMPUTED_VALUE"""),"064-7005")</f>
        <v>064-7005</v>
      </c>
      <c r="B3645" s="6" t="str">
        <f>IFERROR(__xludf.DUMMYFUNCTION("""COMPUTED_VALUE"""),"64")</f>
        <v>64</v>
      </c>
      <c r="C3645" s="6" t="str">
        <f>IFERROR(__xludf.DUMMYFUNCTION("""COMPUTED_VALUE"""),"7005")</f>
        <v>7005</v>
      </c>
      <c r="D3645" s="6" t="str">
        <f>IFERROR(__xludf.DUMMYFUNCTION("""COMPUTED_VALUE"""),"Sydney")</f>
        <v>Sydney</v>
      </c>
      <c r="E3645" s="6" t="str">
        <f>IFERROR(__xludf.DUMMYFUNCTION("""COMPUTED_VALUE"""),"")</f>
        <v/>
      </c>
      <c r="F3645" s="6" t="str">
        <f>IFERROR(__xludf.DUMMYFUNCTION("""COMPUTED_VALUE"""),"Flabetich")</f>
        <v>Flabetich</v>
      </c>
      <c r="G3645" s="6" t="str">
        <f>IFERROR(__xludf.DUMMYFUNCTION("""COMPUTED_VALUE"""),"04/13/2011")</f>
        <v>04/13/2011</v>
      </c>
      <c r="H3645" s="6" t="str">
        <f>IFERROR(__xludf.DUMMYFUNCTION("""COMPUTED_VALUE"""),"Self Identify")</f>
        <v>Self Identify</v>
      </c>
      <c r="I3645" s="6" t="str">
        <f>IFERROR(__xludf.DUMMYFUNCTION("""COMPUTED_VALUE"""),"High School")</f>
        <v>High School</v>
      </c>
      <c r="J3645" s="6" t="str">
        <f>IFERROR(__xludf.DUMMYFUNCTION("""COMPUTED_VALUE"""),"9")</f>
        <v>9</v>
      </c>
      <c r="K3645" s="6" t="str">
        <f>IFERROR(__xludf.DUMMYFUNCTION("""COMPUTED_VALUE"""),"sydney_flabetich@stu.ortrail.k12.or.us")</f>
        <v>sydney_flabetich@stu.ortrail.k12.or.us</v>
      </c>
      <c r="L3645" s="6" t="str">
        <f>IFERROR(__xludf.DUMMYFUNCTION("""COMPUTED_VALUE"""),"Oregon Trail School District 46")</f>
        <v>Oregon Trail School District 46</v>
      </c>
      <c r="M3645" s="6" t="str">
        <f>IFERROR(__xludf.DUMMYFUNCTION("""COMPUTED_VALUE"""),"Sandy High School")</f>
        <v>Sandy High School</v>
      </c>
      <c r="N3645" s="6" t="str">
        <f>IFERROR(__xludf.DUMMYFUNCTION("""COMPUTED_VALUE"""),"")</f>
        <v/>
      </c>
      <c r="O3645" s="87" t="str">
        <f>IFERROR(__xludf.DUMMYFUNCTION("""COMPUTED_VALUE"""),"https://drive.google.com/drive/folders/10T2cTQHqEJZqE-st6uFKPoI?usp=share_link")</f>
        <v>https://drive.google.com/drive/folders/10T2cTQHqEJZqE-st6uFKPoI?usp=share_link</v>
      </c>
      <c r="P3645" s="6" t="str">
        <f>IFERROR(__xludf.DUMMYFUNCTION("""COMPUTED_VALUE"""),"Sydney Flabetich")</f>
        <v>Sydney Flabetich</v>
      </c>
      <c r="Q3645" s="6" t="str">
        <f>IFERROR(__xludf.DUMMYFUNCTION("""COMPUTED_VALUE"""),"HS")</f>
        <v>HS</v>
      </c>
      <c r="R3645" s="6">
        <f>IFERROR(__xludf.DUMMYFUNCTION("""COMPUTED_VALUE"""),0.0)</f>
        <v>0</v>
      </c>
      <c r="S3645" s="6" t="str">
        <f>IFERROR(__xludf.DUMMYFUNCTION("""COMPUTED_VALUE"""),"Clinton Davis")</f>
        <v>Clinton Davis</v>
      </c>
      <c r="T3645" s="6" t="str">
        <f>IFERROR(__xludf.DUMMYFUNCTION("""COMPUTED_VALUE"""),"clinton.davis@ortrail.k12.or.us")</f>
        <v>clinton.davis@ortrail.k12.or.us</v>
      </c>
      <c r="U3645" s="6" t="str">
        <f>IFERROR(__xludf.DUMMYFUNCTION("""COMPUTED_VALUE"""),"9")</f>
        <v>9</v>
      </c>
      <c r="V3645" s="6" t="str">
        <f>IFERROR(__xludf.DUMMYFUNCTION("""COMPUTED_VALUE"""),"English")</f>
        <v>English</v>
      </c>
      <c r="W3645" s="6" t="str">
        <f>IFERROR(__xludf.DUMMYFUNCTION("""COMPUTED_VALUE"""),"[]")</f>
        <v>[]</v>
      </c>
      <c r="X3645" s="6" t="str">
        <f>IFERROR(__xludf.DUMMYFUNCTION("""COMPUTED_VALUE"""),"Enrolled")</f>
        <v>Enrolled</v>
      </c>
    </row>
    <row r="3646">
      <c r="A3646" s="6" t="str">
        <f>IFERROR(__xludf.DUMMYFUNCTION("""COMPUTED_VALUE"""),"064-7006")</f>
        <v>064-7006</v>
      </c>
      <c r="B3646" s="6" t="str">
        <f>IFERROR(__xludf.DUMMYFUNCTION("""COMPUTED_VALUE"""),"64")</f>
        <v>64</v>
      </c>
      <c r="C3646" s="6" t="str">
        <f>IFERROR(__xludf.DUMMYFUNCTION("""COMPUTED_VALUE"""),"7006")</f>
        <v>7006</v>
      </c>
      <c r="D3646" s="6" t="str">
        <f>IFERROR(__xludf.DUMMYFUNCTION("""COMPUTED_VALUE"""),"Parker")</f>
        <v>Parker</v>
      </c>
      <c r="E3646" s="6" t="str">
        <f>IFERROR(__xludf.DUMMYFUNCTION("""COMPUTED_VALUE"""),"")</f>
        <v/>
      </c>
      <c r="F3646" s="6" t="str">
        <f>IFERROR(__xludf.DUMMYFUNCTION("""COMPUTED_VALUE"""),"Sands")</f>
        <v>Sands</v>
      </c>
      <c r="G3646" s="6" t="str">
        <f>IFERROR(__xludf.DUMMYFUNCTION("""COMPUTED_VALUE"""),"03/14/2009")</f>
        <v>03/14/2009</v>
      </c>
      <c r="H3646" s="6" t="str">
        <f>IFERROR(__xludf.DUMMYFUNCTION("""COMPUTED_VALUE"""),"Self Identify")</f>
        <v>Self Identify</v>
      </c>
      <c r="I3646" s="6" t="str">
        <f>IFERROR(__xludf.DUMMYFUNCTION("""COMPUTED_VALUE"""),"High School")</f>
        <v>High School</v>
      </c>
      <c r="J3646" s="6" t="str">
        <f>IFERROR(__xludf.DUMMYFUNCTION("""COMPUTED_VALUE"""),"11")</f>
        <v>11</v>
      </c>
      <c r="K3646" s="6" t="str">
        <f>IFERROR(__xludf.DUMMYFUNCTION("""COMPUTED_VALUE"""),"parker_sands@stu.ortrail.k12.or.us")</f>
        <v>parker_sands@stu.ortrail.k12.or.us</v>
      </c>
      <c r="L3646" s="6" t="str">
        <f>IFERROR(__xludf.DUMMYFUNCTION("""COMPUTED_VALUE"""),"Oregon Trail School District 46")</f>
        <v>Oregon Trail School District 46</v>
      </c>
      <c r="M3646" s="6" t="str">
        <f>IFERROR(__xludf.DUMMYFUNCTION("""COMPUTED_VALUE"""),"Sandy High School")</f>
        <v>Sandy High School</v>
      </c>
      <c r="N3646" s="6" t="str">
        <f>IFERROR(__xludf.DUMMYFUNCTION("""COMPUTED_VALUE"""),"")</f>
        <v/>
      </c>
      <c r="O3646" s="87" t="str">
        <f>IFERROR(__xludf.DUMMYFUNCTION("""COMPUTED_VALUE"""),"https://drive.google.com/drive/folders/10T2cTQHqEJZqE-st6uFKPoI?usp=share_link")</f>
        <v>https://drive.google.com/drive/folders/10T2cTQHqEJZqE-st6uFKPoI?usp=share_link</v>
      </c>
      <c r="P3646" s="6" t="str">
        <f>IFERROR(__xludf.DUMMYFUNCTION("""COMPUTED_VALUE"""),"Parker Sands")</f>
        <v>Parker Sands</v>
      </c>
      <c r="Q3646" s="6" t="str">
        <f>IFERROR(__xludf.DUMMYFUNCTION("""COMPUTED_VALUE"""),"HS")</f>
        <v>HS</v>
      </c>
      <c r="R3646" s="6">
        <f>IFERROR(__xludf.DUMMYFUNCTION("""COMPUTED_VALUE"""),0.0)</f>
        <v>0</v>
      </c>
      <c r="S3646" s="6" t="str">
        <f>IFERROR(__xludf.DUMMYFUNCTION("""COMPUTED_VALUE"""),"Clinton Davis")</f>
        <v>Clinton Davis</v>
      </c>
      <c r="T3646" s="6" t="str">
        <f>IFERROR(__xludf.DUMMYFUNCTION("""COMPUTED_VALUE"""),"clinton.davis@ortrail.k12.or.us")</f>
        <v>clinton.davis@ortrail.k12.or.us</v>
      </c>
      <c r="U3646" s="6" t="str">
        <f>IFERROR(__xludf.DUMMYFUNCTION("""COMPUTED_VALUE"""),"11")</f>
        <v>11</v>
      </c>
      <c r="V3646" s="6" t="str">
        <f>IFERROR(__xludf.DUMMYFUNCTION("""COMPUTED_VALUE"""),"English")</f>
        <v>English</v>
      </c>
      <c r="W3646" s="6" t="str">
        <f>IFERROR(__xludf.DUMMYFUNCTION("""COMPUTED_VALUE"""),"[]")</f>
        <v>[]</v>
      </c>
      <c r="X3646" s="6" t="str">
        <f>IFERROR(__xludf.DUMMYFUNCTION("""COMPUTED_VALUE"""),"Enrolled")</f>
        <v>Enrolled</v>
      </c>
    </row>
    <row r="3647">
      <c r="A3647" s="6" t="str">
        <f>IFERROR(__xludf.DUMMYFUNCTION("""COMPUTED_VALUE"""),"064-7007")</f>
        <v>064-7007</v>
      </c>
      <c r="B3647" s="6" t="str">
        <f>IFERROR(__xludf.DUMMYFUNCTION("""COMPUTED_VALUE"""),"64")</f>
        <v>64</v>
      </c>
      <c r="C3647" s="6" t="str">
        <f>IFERROR(__xludf.DUMMYFUNCTION("""COMPUTED_VALUE"""),"7007")</f>
        <v>7007</v>
      </c>
      <c r="D3647" s="6" t="str">
        <f>IFERROR(__xludf.DUMMYFUNCTION("""COMPUTED_VALUE"""),"Miguel")</f>
        <v>Miguel</v>
      </c>
      <c r="E3647" s="6" t="str">
        <f>IFERROR(__xludf.DUMMYFUNCTION("""COMPUTED_VALUE"""),"")</f>
        <v/>
      </c>
      <c r="F3647" s="6" t="str">
        <f>IFERROR(__xludf.DUMMYFUNCTION("""COMPUTED_VALUE"""),"De Leon")</f>
        <v>De Leon</v>
      </c>
      <c r="G3647" s="6" t="str">
        <f>IFERROR(__xludf.DUMMYFUNCTION("""COMPUTED_VALUE"""),"08/03/2009")</f>
        <v>08/03/2009</v>
      </c>
      <c r="H3647" s="6" t="str">
        <f>IFERROR(__xludf.DUMMYFUNCTION("""COMPUTED_VALUE"""),"Self Identify")</f>
        <v>Self Identify</v>
      </c>
      <c r="I3647" s="6" t="str">
        <f>IFERROR(__xludf.DUMMYFUNCTION("""COMPUTED_VALUE"""),"High School")</f>
        <v>High School</v>
      </c>
      <c r="J3647" s="6" t="str">
        <f>IFERROR(__xludf.DUMMYFUNCTION("""COMPUTED_VALUE"""),"11")</f>
        <v>11</v>
      </c>
      <c r="K3647" s="6" t="str">
        <f>IFERROR(__xludf.DUMMYFUNCTION("""COMPUTED_VALUE"""),"miguel_deleon@stu.ortrail.k12.or.us")</f>
        <v>miguel_deleon@stu.ortrail.k12.or.us</v>
      </c>
      <c r="L3647" s="6" t="str">
        <f>IFERROR(__xludf.DUMMYFUNCTION("""COMPUTED_VALUE"""),"Oregon Trail School District 46")</f>
        <v>Oregon Trail School District 46</v>
      </c>
      <c r="M3647" s="6" t="str">
        <f>IFERROR(__xludf.DUMMYFUNCTION("""COMPUTED_VALUE"""),"Sandy High School")</f>
        <v>Sandy High School</v>
      </c>
      <c r="N3647" s="6" t="str">
        <f>IFERROR(__xludf.DUMMYFUNCTION("""COMPUTED_VALUE"""),"")</f>
        <v/>
      </c>
      <c r="O3647" s="87" t="str">
        <f>IFERROR(__xludf.DUMMYFUNCTION("""COMPUTED_VALUE"""),"https://drive.google.com/drive/folders/10T2cTQHqEJZqE-st6uFKPoI?usp=share_link")</f>
        <v>https://drive.google.com/drive/folders/10T2cTQHqEJZqE-st6uFKPoI?usp=share_link</v>
      </c>
      <c r="P3647" s="6" t="str">
        <f>IFERROR(__xludf.DUMMYFUNCTION("""COMPUTED_VALUE"""),"Miguel De Leon")</f>
        <v>Miguel De Leon</v>
      </c>
      <c r="Q3647" s="6" t="str">
        <f>IFERROR(__xludf.DUMMYFUNCTION("""COMPUTED_VALUE"""),"HS")</f>
        <v>HS</v>
      </c>
      <c r="R3647" s="6">
        <f>IFERROR(__xludf.DUMMYFUNCTION("""COMPUTED_VALUE"""),0.0)</f>
        <v>0</v>
      </c>
      <c r="S3647" s="6" t="str">
        <f>IFERROR(__xludf.DUMMYFUNCTION("""COMPUTED_VALUE"""),"Trevor Jones")</f>
        <v>Trevor Jones</v>
      </c>
      <c r="T3647" s="6" t="str">
        <f>IFERROR(__xludf.DUMMYFUNCTION("""COMPUTED_VALUE"""),"trevor.jones@ortrail.k12.or.us")</f>
        <v>trevor.jones@ortrail.k12.or.us</v>
      </c>
      <c r="U3647" s="6" t="str">
        <f>IFERROR(__xludf.DUMMYFUNCTION("""COMPUTED_VALUE"""),"11")</f>
        <v>11</v>
      </c>
      <c r="V3647" s="6" t="str">
        <f>IFERROR(__xludf.DUMMYFUNCTION("""COMPUTED_VALUE"""),"English")</f>
        <v>English</v>
      </c>
      <c r="W3647" s="6" t="str">
        <f>IFERROR(__xludf.DUMMYFUNCTION("""COMPUTED_VALUE"""),"[]")</f>
        <v>[]</v>
      </c>
      <c r="X3647" s="6" t="str">
        <f>IFERROR(__xludf.DUMMYFUNCTION("""COMPUTED_VALUE"""),"Enrolled")</f>
        <v>Enrolled</v>
      </c>
    </row>
    <row r="3648">
      <c r="A3648" s="6" t="str">
        <f>IFERROR(__xludf.DUMMYFUNCTION("""COMPUTED_VALUE"""),"064-7008")</f>
        <v>064-7008</v>
      </c>
      <c r="B3648" s="6" t="str">
        <f>IFERROR(__xludf.DUMMYFUNCTION("""COMPUTED_VALUE"""),"64")</f>
        <v>64</v>
      </c>
      <c r="C3648" s="6" t="str">
        <f>IFERROR(__xludf.DUMMYFUNCTION("""COMPUTED_VALUE"""),"7008")</f>
        <v>7008</v>
      </c>
      <c r="D3648" s="6" t="str">
        <f>IFERROR(__xludf.DUMMYFUNCTION("""COMPUTED_VALUE"""),"Fara")</f>
        <v>Fara</v>
      </c>
      <c r="E3648" s="6" t="str">
        <f>IFERROR(__xludf.DUMMYFUNCTION("""COMPUTED_VALUE"""),"")</f>
        <v/>
      </c>
      <c r="F3648" s="6" t="str">
        <f>IFERROR(__xludf.DUMMYFUNCTION("""COMPUTED_VALUE"""),"Fouts")</f>
        <v>Fouts</v>
      </c>
      <c r="G3648" s="6" t="str">
        <f>IFERROR(__xludf.DUMMYFUNCTION("""COMPUTED_VALUE"""),"04/19/2011")</f>
        <v>04/19/2011</v>
      </c>
      <c r="H3648" s="6" t="str">
        <f>IFERROR(__xludf.DUMMYFUNCTION("""COMPUTED_VALUE"""),"Self Identify")</f>
        <v>Self Identify</v>
      </c>
      <c r="I3648" s="6" t="str">
        <f>IFERROR(__xludf.DUMMYFUNCTION("""COMPUTED_VALUE"""),"High School")</f>
        <v>High School</v>
      </c>
      <c r="J3648" s="6" t="str">
        <f>IFERROR(__xludf.DUMMYFUNCTION("""COMPUTED_VALUE"""),"9")</f>
        <v>9</v>
      </c>
      <c r="K3648" s="6" t="str">
        <f>IFERROR(__xludf.DUMMYFUNCTION("""COMPUTED_VALUE"""),"fara_fouts@stu.ortrail.k12.or.us")</f>
        <v>fara_fouts@stu.ortrail.k12.or.us</v>
      </c>
      <c r="L3648" s="6" t="str">
        <f>IFERROR(__xludf.DUMMYFUNCTION("""COMPUTED_VALUE"""),"Oregon Trail School District 46")</f>
        <v>Oregon Trail School District 46</v>
      </c>
      <c r="M3648" s="6" t="str">
        <f>IFERROR(__xludf.DUMMYFUNCTION("""COMPUTED_VALUE"""),"Sandy High School")</f>
        <v>Sandy High School</v>
      </c>
      <c r="N3648" s="6" t="str">
        <f>IFERROR(__xludf.DUMMYFUNCTION("""COMPUTED_VALUE"""),"")</f>
        <v/>
      </c>
      <c r="O3648" s="87" t="str">
        <f>IFERROR(__xludf.DUMMYFUNCTION("""COMPUTED_VALUE"""),"https://drive.google.com/drive/folders/10T2cTQHqEJZqE-st6uFKPoI?usp=share_link")</f>
        <v>https://drive.google.com/drive/folders/10T2cTQHqEJZqE-st6uFKPoI?usp=share_link</v>
      </c>
      <c r="P3648" s="6" t="str">
        <f>IFERROR(__xludf.DUMMYFUNCTION("""COMPUTED_VALUE"""),"Fara Fouts")</f>
        <v>Fara Fouts</v>
      </c>
      <c r="Q3648" s="6" t="str">
        <f>IFERROR(__xludf.DUMMYFUNCTION("""COMPUTED_VALUE"""),"HS")</f>
        <v>HS</v>
      </c>
      <c r="R3648" s="6">
        <f>IFERROR(__xludf.DUMMYFUNCTION("""COMPUTED_VALUE"""),0.0)</f>
        <v>0</v>
      </c>
      <c r="S3648" s="6" t="str">
        <f>IFERROR(__xludf.DUMMYFUNCTION("""COMPUTED_VALUE"""),"Trevor Jones")</f>
        <v>Trevor Jones</v>
      </c>
      <c r="T3648" s="6" t="str">
        <f>IFERROR(__xludf.DUMMYFUNCTION("""COMPUTED_VALUE"""),"trevor.jones@ortrail.k12.or.us")</f>
        <v>trevor.jones@ortrail.k12.or.us</v>
      </c>
      <c r="U3648" s="6" t="str">
        <f>IFERROR(__xludf.DUMMYFUNCTION("""COMPUTED_VALUE"""),"9")</f>
        <v>9</v>
      </c>
      <c r="V3648" s="6" t="str">
        <f>IFERROR(__xludf.DUMMYFUNCTION("""COMPUTED_VALUE"""),"English")</f>
        <v>English</v>
      </c>
      <c r="W3648" s="6" t="str">
        <f>IFERROR(__xludf.DUMMYFUNCTION("""COMPUTED_VALUE"""),"[]")</f>
        <v>[]</v>
      </c>
      <c r="X3648" s="6" t="str">
        <f>IFERROR(__xludf.DUMMYFUNCTION("""COMPUTED_VALUE"""),"Enrolled")</f>
        <v>Enrolled</v>
      </c>
    </row>
    <row r="3649">
      <c r="A3649" s="6" t="str">
        <f>IFERROR(__xludf.DUMMYFUNCTION("""COMPUTED_VALUE"""),"064-7009")</f>
        <v>064-7009</v>
      </c>
      <c r="B3649" s="6" t="str">
        <f>IFERROR(__xludf.DUMMYFUNCTION("""COMPUTED_VALUE"""),"64")</f>
        <v>64</v>
      </c>
      <c r="C3649" s="6" t="str">
        <f>IFERROR(__xludf.DUMMYFUNCTION("""COMPUTED_VALUE"""),"7009")</f>
        <v>7009</v>
      </c>
      <c r="D3649" s="6" t="str">
        <f>IFERROR(__xludf.DUMMYFUNCTION("""COMPUTED_VALUE"""),"Javan")</f>
        <v>Javan</v>
      </c>
      <c r="E3649" s="6" t="str">
        <f>IFERROR(__xludf.DUMMYFUNCTION("""COMPUTED_VALUE"""),"")</f>
        <v/>
      </c>
      <c r="F3649" s="6" t="str">
        <f>IFERROR(__xludf.DUMMYFUNCTION("""COMPUTED_VALUE"""),"Gibbens")</f>
        <v>Gibbens</v>
      </c>
      <c r="G3649" s="6" t="str">
        <f>IFERROR(__xludf.DUMMYFUNCTION("""COMPUTED_VALUE"""),"04/10/2010")</f>
        <v>04/10/2010</v>
      </c>
      <c r="H3649" s="6" t="str">
        <f>IFERROR(__xludf.DUMMYFUNCTION("""COMPUTED_VALUE"""),"Self Identify")</f>
        <v>Self Identify</v>
      </c>
      <c r="I3649" s="6" t="str">
        <f>IFERROR(__xludf.DUMMYFUNCTION("""COMPUTED_VALUE"""),"High School")</f>
        <v>High School</v>
      </c>
      <c r="J3649" s="6" t="str">
        <f>IFERROR(__xludf.DUMMYFUNCTION("""COMPUTED_VALUE"""),"10")</f>
        <v>10</v>
      </c>
      <c r="K3649" s="6" t="str">
        <f>IFERROR(__xludf.DUMMYFUNCTION("""COMPUTED_VALUE"""),"javan_gibbens@stu.ortrail.k12.or.us")</f>
        <v>javan_gibbens@stu.ortrail.k12.or.us</v>
      </c>
      <c r="L3649" s="6" t="str">
        <f>IFERROR(__xludf.DUMMYFUNCTION("""COMPUTED_VALUE"""),"Oregon Trail School District 46")</f>
        <v>Oregon Trail School District 46</v>
      </c>
      <c r="M3649" s="6" t="str">
        <f>IFERROR(__xludf.DUMMYFUNCTION("""COMPUTED_VALUE"""),"Sandy High School")</f>
        <v>Sandy High School</v>
      </c>
      <c r="N3649" s="6" t="str">
        <f>IFERROR(__xludf.DUMMYFUNCTION("""COMPUTED_VALUE"""),"")</f>
        <v/>
      </c>
      <c r="O3649" s="87" t="str">
        <f>IFERROR(__xludf.DUMMYFUNCTION("""COMPUTED_VALUE"""),"https://drive.google.com/drive/folders/10T2cTQHqEJZqE-st6uFKPoI?usp=share_link")</f>
        <v>https://drive.google.com/drive/folders/10T2cTQHqEJZqE-st6uFKPoI?usp=share_link</v>
      </c>
      <c r="P3649" s="6" t="str">
        <f>IFERROR(__xludf.DUMMYFUNCTION("""COMPUTED_VALUE"""),"Javan Gibbens")</f>
        <v>Javan Gibbens</v>
      </c>
      <c r="Q3649" s="6" t="str">
        <f>IFERROR(__xludf.DUMMYFUNCTION("""COMPUTED_VALUE"""),"HS")</f>
        <v>HS</v>
      </c>
      <c r="R3649" s="6">
        <f>IFERROR(__xludf.DUMMYFUNCTION("""COMPUTED_VALUE"""),0.0)</f>
        <v>0</v>
      </c>
      <c r="S3649" s="6" t="str">
        <f>IFERROR(__xludf.DUMMYFUNCTION("""COMPUTED_VALUE"""),"Lindsay Polk")</f>
        <v>Lindsay Polk</v>
      </c>
      <c r="T3649" s="6" t="str">
        <f>IFERROR(__xludf.DUMMYFUNCTION("""COMPUTED_VALUE"""),"lindsay.polk@ortrail.k12.or.us")</f>
        <v>lindsay.polk@ortrail.k12.or.us</v>
      </c>
      <c r="U3649" s="6" t="str">
        <f>IFERROR(__xludf.DUMMYFUNCTION("""COMPUTED_VALUE"""),"10")</f>
        <v>10</v>
      </c>
      <c r="V3649" s="6" t="str">
        <f>IFERROR(__xludf.DUMMYFUNCTION("""COMPUTED_VALUE"""),"English")</f>
        <v>English</v>
      </c>
      <c r="W3649" s="6" t="str">
        <f>IFERROR(__xludf.DUMMYFUNCTION("""COMPUTED_VALUE"""),"[]")</f>
        <v>[]</v>
      </c>
      <c r="X3649" s="6" t="str">
        <f>IFERROR(__xludf.DUMMYFUNCTION("""COMPUTED_VALUE"""),"Enrolled")</f>
        <v>Enrolled</v>
      </c>
    </row>
    <row r="3650">
      <c r="A3650" s="6" t="str">
        <f>IFERROR(__xludf.DUMMYFUNCTION("""COMPUTED_VALUE"""),"064-7012")</f>
        <v>064-7012</v>
      </c>
      <c r="B3650" s="6" t="str">
        <f>IFERROR(__xludf.DUMMYFUNCTION("""COMPUTED_VALUE"""),"64")</f>
        <v>64</v>
      </c>
      <c r="C3650" s="6" t="str">
        <f>IFERROR(__xludf.DUMMYFUNCTION("""COMPUTED_VALUE"""),"7012")</f>
        <v>7012</v>
      </c>
      <c r="D3650" s="6" t="str">
        <f>IFERROR(__xludf.DUMMYFUNCTION("""COMPUTED_VALUE"""),"Jamari")</f>
        <v>Jamari</v>
      </c>
      <c r="E3650" s="6" t="str">
        <f>IFERROR(__xludf.DUMMYFUNCTION("""COMPUTED_VALUE"""),"")</f>
        <v/>
      </c>
      <c r="F3650" s="6" t="str">
        <f>IFERROR(__xludf.DUMMYFUNCTION("""COMPUTED_VALUE"""),"Anderson")</f>
        <v>Anderson</v>
      </c>
      <c r="G3650" s="6" t="str">
        <f>IFERROR(__xludf.DUMMYFUNCTION("""COMPUTED_VALUE"""),"07/08/2006")</f>
        <v>07/08/2006</v>
      </c>
      <c r="H3650" s="6" t="str">
        <f>IFERROR(__xludf.DUMMYFUNCTION("""COMPUTED_VALUE"""),"Self Identify")</f>
        <v>Self Identify</v>
      </c>
      <c r="I3650" s="6" t="str">
        <f>IFERROR(__xludf.DUMMYFUNCTION("""COMPUTED_VALUE"""),"High School")</f>
        <v>High School</v>
      </c>
      <c r="J3650" s="6" t="str">
        <f>IFERROR(__xludf.DUMMYFUNCTION("""COMPUTED_VALUE"""),"12")</f>
        <v>12</v>
      </c>
      <c r="K3650" s="6" t="str">
        <f>IFERROR(__xludf.DUMMYFUNCTION("""COMPUTED_VALUE"""),"jamari_anderson@stu.ortrail.k12.or.us")</f>
        <v>jamari_anderson@stu.ortrail.k12.or.us</v>
      </c>
      <c r="L3650" s="6" t="str">
        <f>IFERROR(__xludf.DUMMYFUNCTION("""COMPUTED_VALUE"""),"Oregon Trail School District 46")</f>
        <v>Oregon Trail School District 46</v>
      </c>
      <c r="M3650" s="6" t="str">
        <f>IFERROR(__xludf.DUMMYFUNCTION("""COMPUTED_VALUE"""),"Sandy High School")</f>
        <v>Sandy High School</v>
      </c>
      <c r="N3650" s="6" t="str">
        <f>IFERROR(__xludf.DUMMYFUNCTION("""COMPUTED_VALUE"""),"")</f>
        <v/>
      </c>
      <c r="O3650" s="87" t="str">
        <f>IFERROR(__xludf.DUMMYFUNCTION("""COMPUTED_VALUE"""),"https://drive.google.com/drive/folders/10T2cTQHqEJZqE-st6uFKPoI?usp=share_link")</f>
        <v>https://drive.google.com/drive/folders/10T2cTQHqEJZqE-st6uFKPoI?usp=share_link</v>
      </c>
      <c r="P3650" s="6" t="str">
        <f>IFERROR(__xludf.DUMMYFUNCTION("""COMPUTED_VALUE"""),"Jamari Anderson")</f>
        <v>Jamari Anderson</v>
      </c>
      <c r="Q3650" s="6" t="str">
        <f>IFERROR(__xludf.DUMMYFUNCTION("""COMPUTED_VALUE"""),"HS")</f>
        <v>HS</v>
      </c>
      <c r="R3650" s="6">
        <f>IFERROR(__xludf.DUMMYFUNCTION("""COMPUTED_VALUE"""),0.0)</f>
        <v>0</v>
      </c>
      <c r="S3650" s="6" t="str">
        <f>IFERROR(__xludf.DUMMYFUNCTION("""COMPUTED_VALUE"""),"Ryan Cauch")</f>
        <v>Ryan Cauch</v>
      </c>
      <c r="T3650" s="6" t="str">
        <f>IFERROR(__xludf.DUMMYFUNCTION("""COMPUTED_VALUE"""),"ryan.cauch@ortrail.k12.or.us")</f>
        <v>ryan.cauch@ortrail.k12.or.us</v>
      </c>
      <c r="U3650" s="6" t="str">
        <f>IFERROR(__xludf.DUMMYFUNCTION("""COMPUTED_VALUE"""),"12")</f>
        <v>12</v>
      </c>
      <c r="V3650" s="6" t="str">
        <f>IFERROR(__xludf.DUMMYFUNCTION("""COMPUTED_VALUE"""),"English")</f>
        <v>English</v>
      </c>
      <c r="W3650" s="6" t="str">
        <f>IFERROR(__xludf.DUMMYFUNCTION("""COMPUTED_VALUE"""),"[]")</f>
        <v>[]</v>
      </c>
      <c r="X3650" s="6" t="str">
        <f>IFERROR(__xludf.DUMMYFUNCTION("""COMPUTED_VALUE"""),"Enrolled")</f>
        <v>Enrolled</v>
      </c>
    </row>
    <row r="3651">
      <c r="A3651" s="6" t="str">
        <f>IFERROR(__xludf.DUMMYFUNCTION("""COMPUTED_VALUE"""),"064-7013")</f>
        <v>064-7013</v>
      </c>
      <c r="B3651" s="6" t="str">
        <f>IFERROR(__xludf.DUMMYFUNCTION("""COMPUTED_VALUE"""),"64")</f>
        <v>64</v>
      </c>
      <c r="C3651" s="6" t="str">
        <f>IFERROR(__xludf.DUMMYFUNCTION("""COMPUTED_VALUE"""),"7013")</f>
        <v>7013</v>
      </c>
      <c r="D3651" s="6" t="str">
        <f>IFERROR(__xludf.DUMMYFUNCTION("""COMPUTED_VALUE"""),"David")</f>
        <v>David</v>
      </c>
      <c r="E3651" s="6" t="str">
        <f>IFERROR(__xludf.DUMMYFUNCTION("""COMPUTED_VALUE"""),"")</f>
        <v/>
      </c>
      <c r="F3651" s="6" t="str">
        <f>IFERROR(__xludf.DUMMYFUNCTION("""COMPUTED_VALUE"""),"Aguirre-Moya")</f>
        <v>Aguirre-Moya</v>
      </c>
      <c r="G3651" s="6" t="str">
        <f>IFERROR(__xludf.DUMMYFUNCTION("""COMPUTED_VALUE"""),"08/04/2010")</f>
        <v>08/04/2010</v>
      </c>
      <c r="H3651" s="6" t="str">
        <f>IFERROR(__xludf.DUMMYFUNCTION("""COMPUTED_VALUE"""),"male")</f>
        <v>male</v>
      </c>
      <c r="I3651" s="6" t="str">
        <f>IFERROR(__xludf.DUMMYFUNCTION("""COMPUTED_VALUE"""),"High School")</f>
        <v>High School</v>
      </c>
      <c r="J3651" s="6" t="str">
        <f>IFERROR(__xludf.DUMMYFUNCTION("""COMPUTED_VALUE"""),"9")</f>
        <v>9</v>
      </c>
      <c r="K3651" s="6" t="str">
        <f>IFERROR(__xludf.DUMMYFUNCTION("""COMPUTED_VALUE"""),"david_aguirremoya@stu.ortrail.k12.or.us")</f>
        <v>david_aguirremoya@stu.ortrail.k12.or.us</v>
      </c>
      <c r="L3651" s="6" t="str">
        <f>IFERROR(__xludf.DUMMYFUNCTION("""COMPUTED_VALUE"""),"Oregon Trail School District 46")</f>
        <v>Oregon Trail School District 46</v>
      </c>
      <c r="M3651" s="6" t="str">
        <f>IFERROR(__xludf.DUMMYFUNCTION("""COMPUTED_VALUE"""),"")</f>
        <v/>
      </c>
      <c r="N3651" s="6" t="str">
        <f>IFERROR(__xludf.DUMMYFUNCTION("""COMPUTED_VALUE"""),"")</f>
        <v/>
      </c>
      <c r="O3651" s="87" t="str">
        <f>IFERROR(__xludf.DUMMYFUNCTION("""COMPUTED_VALUE"""),"https://drive.google.com/drive/folders/10T2cTQHqEJZqE-st6uFKPoI?usp=share_link")</f>
        <v>https://drive.google.com/drive/folders/10T2cTQHqEJZqE-st6uFKPoI?usp=share_link</v>
      </c>
      <c r="P3651" s="6" t="str">
        <f>IFERROR(__xludf.DUMMYFUNCTION("""COMPUTED_VALUE"""),"David Aguirre-Moya")</f>
        <v>David Aguirre-Moya</v>
      </c>
      <c r="Q3651" s="6" t="str">
        <f>IFERROR(__xludf.DUMMYFUNCTION("""COMPUTED_VALUE"""),"HS")</f>
        <v>HS</v>
      </c>
      <c r="R3651" s="6">
        <f>IFERROR(__xludf.DUMMYFUNCTION("""COMPUTED_VALUE"""),0.0)</f>
        <v>0</v>
      </c>
      <c r="S3651" s="6" t="str">
        <f>IFERROR(__xludf.DUMMYFUNCTION("""COMPUTED_VALUE""")," ")</f>
        <v> </v>
      </c>
      <c r="T3651" s="6" t="str">
        <f>IFERROR(__xludf.DUMMYFUNCTION("""COMPUTED_VALUE"""),"")</f>
        <v/>
      </c>
      <c r="U3651" s="6" t="str">
        <f>IFERROR(__xludf.DUMMYFUNCTION("""COMPUTED_VALUE"""),"9")</f>
        <v>9</v>
      </c>
      <c r="V3651" s="6" t="str">
        <f>IFERROR(__xludf.DUMMYFUNCTION("""COMPUTED_VALUE"""),"English")</f>
        <v>English</v>
      </c>
      <c r="W3651" s="6" t="str">
        <f>IFERROR(__xludf.DUMMYFUNCTION("""COMPUTED_VALUE"""),"[]")</f>
        <v>[]</v>
      </c>
      <c r="X3651" s="6" t="str">
        <f>IFERROR(__xludf.DUMMYFUNCTION("""COMPUTED_VALUE"""),"Enrolled")</f>
        <v>Enrolled</v>
      </c>
    </row>
    <row r="3652">
      <c r="A3652" s="6" t="str">
        <f>IFERROR(__xludf.DUMMYFUNCTION("""COMPUTED_VALUE"""),"064-7015")</f>
        <v>064-7015</v>
      </c>
      <c r="B3652" s="6" t="str">
        <f>IFERROR(__xludf.DUMMYFUNCTION("""COMPUTED_VALUE"""),"64")</f>
        <v>64</v>
      </c>
      <c r="C3652" s="6" t="str">
        <f>IFERROR(__xludf.DUMMYFUNCTION("""COMPUTED_VALUE"""),"7015")</f>
        <v>7015</v>
      </c>
      <c r="D3652" s="6" t="str">
        <f>IFERROR(__xludf.DUMMYFUNCTION("""COMPUTED_VALUE"""),"Gianna")</f>
        <v>Gianna</v>
      </c>
      <c r="E3652" s="6" t="str">
        <f>IFERROR(__xludf.DUMMYFUNCTION("""COMPUTED_VALUE"""),"")</f>
        <v/>
      </c>
      <c r="F3652" s="6" t="str">
        <f>IFERROR(__xludf.DUMMYFUNCTION("""COMPUTED_VALUE"""),"Camara")</f>
        <v>Camara</v>
      </c>
      <c r="G3652" s="6" t="str">
        <f>IFERROR(__xludf.DUMMYFUNCTION("""COMPUTED_VALUE"""),"09/03/2010")</f>
        <v>09/03/2010</v>
      </c>
      <c r="H3652" s="6" t="str">
        <f>IFERROR(__xludf.DUMMYFUNCTION("""COMPUTED_VALUE"""),"female")</f>
        <v>female</v>
      </c>
      <c r="I3652" s="6" t="str">
        <f>IFERROR(__xludf.DUMMYFUNCTION("""COMPUTED_VALUE"""),"High School")</f>
        <v>High School</v>
      </c>
      <c r="J3652" s="6" t="str">
        <f>IFERROR(__xludf.DUMMYFUNCTION("""COMPUTED_VALUE"""),"9")</f>
        <v>9</v>
      </c>
      <c r="K3652" s="6" t="str">
        <f>IFERROR(__xludf.DUMMYFUNCTION("""COMPUTED_VALUE"""),"gianna_camara@stu.ortrail.k12.or.us")</f>
        <v>gianna_camara@stu.ortrail.k12.or.us</v>
      </c>
      <c r="L3652" s="6" t="str">
        <f>IFERROR(__xludf.DUMMYFUNCTION("""COMPUTED_VALUE"""),"Oregon Trail School District 46")</f>
        <v>Oregon Trail School District 46</v>
      </c>
      <c r="M3652" s="6" t="str">
        <f>IFERROR(__xludf.DUMMYFUNCTION("""COMPUTED_VALUE"""),"")</f>
        <v/>
      </c>
      <c r="N3652" s="6" t="str">
        <f>IFERROR(__xludf.DUMMYFUNCTION("""COMPUTED_VALUE"""),"")</f>
        <v/>
      </c>
      <c r="O3652" s="87" t="str">
        <f>IFERROR(__xludf.DUMMYFUNCTION("""COMPUTED_VALUE"""),"https://drive.google.com/drive/folders/10T2cTQHqEJZqE-st6uFKPoI?usp=share_link")</f>
        <v>https://drive.google.com/drive/folders/10T2cTQHqEJZqE-st6uFKPoI?usp=share_link</v>
      </c>
      <c r="P3652" s="6" t="str">
        <f>IFERROR(__xludf.DUMMYFUNCTION("""COMPUTED_VALUE"""),"Gianna Camara")</f>
        <v>Gianna Camara</v>
      </c>
      <c r="Q3652" s="6" t="str">
        <f>IFERROR(__xludf.DUMMYFUNCTION("""COMPUTED_VALUE"""),"HS")</f>
        <v>HS</v>
      </c>
      <c r="R3652" s="6">
        <f>IFERROR(__xludf.DUMMYFUNCTION("""COMPUTED_VALUE"""),0.0)</f>
        <v>0</v>
      </c>
      <c r="S3652" s="6" t="str">
        <f>IFERROR(__xludf.DUMMYFUNCTION("""COMPUTED_VALUE""")," ")</f>
        <v> </v>
      </c>
      <c r="T3652" s="6" t="str">
        <f>IFERROR(__xludf.DUMMYFUNCTION("""COMPUTED_VALUE"""),"")</f>
        <v/>
      </c>
      <c r="U3652" s="6" t="str">
        <f>IFERROR(__xludf.DUMMYFUNCTION("""COMPUTED_VALUE"""),"9")</f>
        <v>9</v>
      </c>
      <c r="V3652" s="6" t="str">
        <f>IFERROR(__xludf.DUMMYFUNCTION("""COMPUTED_VALUE"""),"English")</f>
        <v>English</v>
      </c>
      <c r="W3652" s="6" t="str">
        <f>IFERROR(__xludf.DUMMYFUNCTION("""COMPUTED_VALUE"""),"[]")</f>
        <v>[]</v>
      </c>
      <c r="X3652" s="6" t="str">
        <f>IFERROR(__xludf.DUMMYFUNCTION("""COMPUTED_VALUE"""),"Enrolled")</f>
        <v>Enrolled</v>
      </c>
    </row>
    <row r="3653">
      <c r="A3653" s="6" t="str">
        <f>IFERROR(__xludf.DUMMYFUNCTION("""COMPUTED_VALUE"""),"064-7016")</f>
        <v>064-7016</v>
      </c>
      <c r="B3653" s="6" t="str">
        <f>IFERROR(__xludf.DUMMYFUNCTION("""COMPUTED_VALUE"""),"64")</f>
        <v>64</v>
      </c>
      <c r="C3653" s="6" t="str">
        <f>IFERROR(__xludf.DUMMYFUNCTION("""COMPUTED_VALUE"""),"7016")</f>
        <v>7016</v>
      </c>
      <c r="D3653" s="6" t="str">
        <f>IFERROR(__xludf.DUMMYFUNCTION("""COMPUTED_VALUE"""),"Mayren")</f>
        <v>Mayren</v>
      </c>
      <c r="E3653" s="6" t="str">
        <f>IFERROR(__xludf.DUMMYFUNCTION("""COMPUTED_VALUE"""),"")</f>
        <v/>
      </c>
      <c r="F3653" s="6" t="str">
        <f>IFERROR(__xludf.DUMMYFUNCTION("""COMPUTED_VALUE"""),"Carrillo Maximo")</f>
        <v>Carrillo Maximo</v>
      </c>
      <c r="G3653" s="6" t="str">
        <f>IFERROR(__xludf.DUMMYFUNCTION("""COMPUTED_VALUE"""),"05/05/2011")</f>
        <v>05/05/2011</v>
      </c>
      <c r="H3653" s="6" t="str">
        <f>IFERROR(__xludf.DUMMYFUNCTION("""COMPUTED_VALUE"""),"female")</f>
        <v>female</v>
      </c>
      <c r="I3653" s="6" t="str">
        <f>IFERROR(__xludf.DUMMYFUNCTION("""COMPUTED_VALUE"""),"High School")</f>
        <v>High School</v>
      </c>
      <c r="J3653" s="6" t="str">
        <f>IFERROR(__xludf.DUMMYFUNCTION("""COMPUTED_VALUE"""),"9")</f>
        <v>9</v>
      </c>
      <c r="K3653" s="6" t="str">
        <f>IFERROR(__xludf.DUMMYFUNCTION("""COMPUTED_VALUE"""),"mayren_carrillomaxim@stu.ortrail.k12.or.us")</f>
        <v>mayren_carrillomaxim@stu.ortrail.k12.or.us</v>
      </c>
      <c r="L3653" s="6" t="str">
        <f>IFERROR(__xludf.DUMMYFUNCTION("""COMPUTED_VALUE"""),"Oregon Trail School District 46")</f>
        <v>Oregon Trail School District 46</v>
      </c>
      <c r="M3653" s="6" t="str">
        <f>IFERROR(__xludf.DUMMYFUNCTION("""COMPUTED_VALUE"""),"")</f>
        <v/>
      </c>
      <c r="N3653" s="6" t="str">
        <f>IFERROR(__xludf.DUMMYFUNCTION("""COMPUTED_VALUE"""),"")</f>
        <v/>
      </c>
      <c r="O3653" s="87" t="str">
        <f>IFERROR(__xludf.DUMMYFUNCTION("""COMPUTED_VALUE"""),"https://drive.google.com/drive/folders/10T2cTQHqEJZqE-st6uFKPoI?usp=share_link")</f>
        <v>https://drive.google.com/drive/folders/10T2cTQHqEJZqE-st6uFKPoI?usp=share_link</v>
      </c>
      <c r="P3653" s="6" t="str">
        <f>IFERROR(__xludf.DUMMYFUNCTION("""COMPUTED_VALUE"""),"Mayren Carrillo Maximo")</f>
        <v>Mayren Carrillo Maximo</v>
      </c>
      <c r="Q3653" s="6" t="str">
        <f>IFERROR(__xludf.DUMMYFUNCTION("""COMPUTED_VALUE"""),"HS")</f>
        <v>HS</v>
      </c>
      <c r="R3653" s="6">
        <f>IFERROR(__xludf.DUMMYFUNCTION("""COMPUTED_VALUE"""),0.0)</f>
        <v>0</v>
      </c>
      <c r="S3653" s="6" t="str">
        <f>IFERROR(__xludf.DUMMYFUNCTION("""COMPUTED_VALUE""")," ")</f>
        <v> </v>
      </c>
      <c r="T3653" s="6" t="str">
        <f>IFERROR(__xludf.DUMMYFUNCTION("""COMPUTED_VALUE"""),"")</f>
        <v/>
      </c>
      <c r="U3653" s="6" t="str">
        <f>IFERROR(__xludf.DUMMYFUNCTION("""COMPUTED_VALUE"""),"9")</f>
        <v>9</v>
      </c>
      <c r="V3653" s="6" t="str">
        <f>IFERROR(__xludf.DUMMYFUNCTION("""COMPUTED_VALUE"""),"English")</f>
        <v>English</v>
      </c>
      <c r="W3653" s="6" t="str">
        <f>IFERROR(__xludf.DUMMYFUNCTION("""COMPUTED_VALUE"""),"[]")</f>
        <v>[]</v>
      </c>
      <c r="X3653" s="6" t="str">
        <f>IFERROR(__xludf.DUMMYFUNCTION("""COMPUTED_VALUE"""),"Enrolled")</f>
        <v>Enrolled</v>
      </c>
    </row>
    <row r="3654">
      <c r="A3654" s="6" t="str">
        <f>IFERROR(__xludf.DUMMYFUNCTION("""COMPUTED_VALUE"""),"064-7019")</f>
        <v>064-7019</v>
      </c>
      <c r="B3654" s="6" t="str">
        <f>IFERROR(__xludf.DUMMYFUNCTION("""COMPUTED_VALUE"""),"64")</f>
        <v>64</v>
      </c>
      <c r="C3654" s="6" t="str">
        <f>IFERROR(__xludf.DUMMYFUNCTION("""COMPUTED_VALUE"""),"7019")</f>
        <v>7019</v>
      </c>
      <c r="D3654" s="6" t="str">
        <f>IFERROR(__xludf.DUMMYFUNCTION("""COMPUTED_VALUE"""),"Julissa")</f>
        <v>Julissa</v>
      </c>
      <c r="E3654" s="6" t="str">
        <f>IFERROR(__xludf.DUMMYFUNCTION("""COMPUTED_VALUE"""),"")</f>
        <v/>
      </c>
      <c r="F3654" s="6" t="str">
        <f>IFERROR(__xludf.DUMMYFUNCTION("""COMPUTED_VALUE"""),"Duran Chacon")</f>
        <v>Duran Chacon</v>
      </c>
      <c r="G3654" s="6" t="str">
        <f>IFERROR(__xludf.DUMMYFUNCTION("""COMPUTED_VALUE"""),"06/01/2010")</f>
        <v>06/01/2010</v>
      </c>
      <c r="H3654" s="6" t="str">
        <f>IFERROR(__xludf.DUMMYFUNCTION("""COMPUTED_VALUE"""),"female")</f>
        <v>female</v>
      </c>
      <c r="I3654" s="6" t="str">
        <f>IFERROR(__xludf.DUMMYFUNCTION("""COMPUTED_VALUE"""),"High School")</f>
        <v>High School</v>
      </c>
      <c r="J3654" s="6" t="str">
        <f>IFERROR(__xludf.DUMMYFUNCTION("""COMPUTED_VALUE"""),"10")</f>
        <v>10</v>
      </c>
      <c r="K3654" s="6" t="str">
        <f>IFERROR(__xludf.DUMMYFUNCTION("""COMPUTED_VALUE"""),"julissa_duranchacon@stu.ortrail.k12.or.us")</f>
        <v>julissa_duranchacon@stu.ortrail.k12.or.us</v>
      </c>
      <c r="L3654" s="6" t="str">
        <f>IFERROR(__xludf.DUMMYFUNCTION("""COMPUTED_VALUE"""),"Oregon Trail School District 46")</f>
        <v>Oregon Trail School District 46</v>
      </c>
      <c r="M3654" s="6" t="str">
        <f>IFERROR(__xludf.DUMMYFUNCTION("""COMPUTED_VALUE"""),"")</f>
        <v/>
      </c>
      <c r="N3654" s="6" t="str">
        <f>IFERROR(__xludf.DUMMYFUNCTION("""COMPUTED_VALUE"""),"")</f>
        <v/>
      </c>
      <c r="O3654" s="87" t="str">
        <f>IFERROR(__xludf.DUMMYFUNCTION("""COMPUTED_VALUE"""),"https://drive.google.com/drive/folders/10T2cTQHqEJZqE-st6uFKPoI?usp=share_link")</f>
        <v>https://drive.google.com/drive/folders/10T2cTQHqEJZqE-st6uFKPoI?usp=share_link</v>
      </c>
      <c r="P3654" s="6" t="str">
        <f>IFERROR(__xludf.DUMMYFUNCTION("""COMPUTED_VALUE"""),"Julissa Duran Chacon")</f>
        <v>Julissa Duran Chacon</v>
      </c>
      <c r="Q3654" s="6" t="str">
        <f>IFERROR(__xludf.DUMMYFUNCTION("""COMPUTED_VALUE"""),"HS")</f>
        <v>HS</v>
      </c>
      <c r="R3654" s="6">
        <f>IFERROR(__xludf.DUMMYFUNCTION("""COMPUTED_VALUE"""),0.0)</f>
        <v>0</v>
      </c>
      <c r="S3654" s="6" t="str">
        <f>IFERROR(__xludf.DUMMYFUNCTION("""COMPUTED_VALUE""")," ")</f>
        <v> </v>
      </c>
      <c r="T3654" s="6" t="str">
        <f>IFERROR(__xludf.DUMMYFUNCTION("""COMPUTED_VALUE"""),"")</f>
        <v/>
      </c>
      <c r="U3654" s="6" t="str">
        <f>IFERROR(__xludf.DUMMYFUNCTION("""COMPUTED_VALUE"""),"10")</f>
        <v>10</v>
      </c>
      <c r="V3654" s="6" t="str">
        <f>IFERROR(__xludf.DUMMYFUNCTION("""COMPUTED_VALUE"""),"English")</f>
        <v>English</v>
      </c>
      <c r="W3654" s="6" t="str">
        <f>IFERROR(__xludf.DUMMYFUNCTION("""COMPUTED_VALUE"""),"[]")</f>
        <v>[]</v>
      </c>
      <c r="X3654" s="6" t="str">
        <f>IFERROR(__xludf.DUMMYFUNCTION("""COMPUTED_VALUE"""),"Enrolled")</f>
        <v>Enrolled</v>
      </c>
    </row>
    <row r="3655">
      <c r="A3655" s="6" t="str">
        <f>IFERROR(__xludf.DUMMYFUNCTION("""COMPUTED_VALUE"""),"064-7023")</f>
        <v>064-7023</v>
      </c>
      <c r="B3655" s="6" t="str">
        <f>IFERROR(__xludf.DUMMYFUNCTION("""COMPUTED_VALUE"""),"64")</f>
        <v>64</v>
      </c>
      <c r="C3655" s="6" t="str">
        <f>IFERROR(__xludf.DUMMYFUNCTION("""COMPUTED_VALUE"""),"7023")</f>
        <v>7023</v>
      </c>
      <c r="D3655" s="6" t="str">
        <f>IFERROR(__xludf.DUMMYFUNCTION("""COMPUTED_VALUE"""),"Karen")</f>
        <v>Karen</v>
      </c>
      <c r="E3655" s="6" t="str">
        <f>IFERROR(__xludf.DUMMYFUNCTION("""COMPUTED_VALUE"""),"")</f>
        <v/>
      </c>
      <c r="F3655" s="6" t="str">
        <f>IFERROR(__xludf.DUMMYFUNCTION("""COMPUTED_VALUE"""),"Garcia")</f>
        <v>Garcia</v>
      </c>
      <c r="G3655" s="6" t="str">
        <f>IFERROR(__xludf.DUMMYFUNCTION("""COMPUTED_VALUE"""),"11/16/2010")</f>
        <v>11/16/2010</v>
      </c>
      <c r="H3655" s="6" t="str">
        <f>IFERROR(__xludf.DUMMYFUNCTION("""COMPUTED_VALUE"""),"female")</f>
        <v>female</v>
      </c>
      <c r="I3655" s="6" t="str">
        <f>IFERROR(__xludf.DUMMYFUNCTION("""COMPUTED_VALUE"""),"High School")</f>
        <v>High School</v>
      </c>
      <c r="J3655" s="6" t="str">
        <f>IFERROR(__xludf.DUMMYFUNCTION("""COMPUTED_VALUE"""),"9")</f>
        <v>9</v>
      </c>
      <c r="K3655" s="6" t="str">
        <f>IFERROR(__xludf.DUMMYFUNCTION("""COMPUTED_VALUE"""),"karen_garcia@stu.ortrail.k12.or.us")</f>
        <v>karen_garcia@stu.ortrail.k12.or.us</v>
      </c>
      <c r="L3655" s="6" t="str">
        <f>IFERROR(__xludf.DUMMYFUNCTION("""COMPUTED_VALUE"""),"Oregon Trail School District 46")</f>
        <v>Oregon Trail School District 46</v>
      </c>
      <c r="M3655" s="6" t="str">
        <f>IFERROR(__xludf.DUMMYFUNCTION("""COMPUTED_VALUE"""),"")</f>
        <v/>
      </c>
      <c r="N3655" s="6" t="str">
        <f>IFERROR(__xludf.DUMMYFUNCTION("""COMPUTED_VALUE"""),"")</f>
        <v/>
      </c>
      <c r="O3655" s="87" t="str">
        <f>IFERROR(__xludf.DUMMYFUNCTION("""COMPUTED_VALUE"""),"https://drive.google.com/drive/folders/10T2cTQHqEJZqE-st6uFKPoI?usp=share_link")</f>
        <v>https://drive.google.com/drive/folders/10T2cTQHqEJZqE-st6uFKPoI?usp=share_link</v>
      </c>
      <c r="P3655" s="6" t="str">
        <f>IFERROR(__xludf.DUMMYFUNCTION("""COMPUTED_VALUE"""),"Karen Garcia")</f>
        <v>Karen Garcia</v>
      </c>
      <c r="Q3655" s="6" t="str">
        <f>IFERROR(__xludf.DUMMYFUNCTION("""COMPUTED_VALUE"""),"HS")</f>
        <v>HS</v>
      </c>
      <c r="R3655" s="6">
        <f>IFERROR(__xludf.DUMMYFUNCTION("""COMPUTED_VALUE"""),0.0)</f>
        <v>0</v>
      </c>
      <c r="S3655" s="6" t="str">
        <f>IFERROR(__xludf.DUMMYFUNCTION("""COMPUTED_VALUE""")," ")</f>
        <v> </v>
      </c>
      <c r="T3655" s="6" t="str">
        <f>IFERROR(__xludf.DUMMYFUNCTION("""COMPUTED_VALUE"""),"")</f>
        <v/>
      </c>
      <c r="U3655" s="6" t="str">
        <f>IFERROR(__xludf.DUMMYFUNCTION("""COMPUTED_VALUE"""),"9")</f>
        <v>9</v>
      </c>
      <c r="V3655" s="6" t="str">
        <f>IFERROR(__xludf.DUMMYFUNCTION("""COMPUTED_VALUE"""),"English")</f>
        <v>English</v>
      </c>
      <c r="W3655" s="6" t="str">
        <f>IFERROR(__xludf.DUMMYFUNCTION("""COMPUTED_VALUE"""),"[]")</f>
        <v>[]</v>
      </c>
      <c r="X3655" s="6" t="str">
        <f>IFERROR(__xludf.DUMMYFUNCTION("""COMPUTED_VALUE"""),"Enrolled")</f>
        <v>Enrolled</v>
      </c>
    </row>
    <row r="3656">
      <c r="A3656" s="6" t="str">
        <f>IFERROR(__xludf.DUMMYFUNCTION("""COMPUTED_VALUE"""),"064-7024")</f>
        <v>064-7024</v>
      </c>
      <c r="B3656" s="6" t="str">
        <f>IFERROR(__xludf.DUMMYFUNCTION("""COMPUTED_VALUE"""),"64")</f>
        <v>64</v>
      </c>
      <c r="C3656" s="6" t="str">
        <f>IFERROR(__xludf.DUMMYFUNCTION("""COMPUTED_VALUE"""),"7024")</f>
        <v>7024</v>
      </c>
      <c r="D3656" s="6" t="str">
        <f>IFERROR(__xludf.DUMMYFUNCTION("""COMPUTED_VALUE"""),"Gerardo")</f>
        <v>Gerardo</v>
      </c>
      <c r="E3656" s="6" t="str">
        <f>IFERROR(__xludf.DUMMYFUNCTION("""COMPUTED_VALUE"""),"")</f>
        <v/>
      </c>
      <c r="F3656" s="6" t="str">
        <f>IFERROR(__xludf.DUMMYFUNCTION("""COMPUTED_VALUE"""),"Garcia Melesio")</f>
        <v>Garcia Melesio</v>
      </c>
      <c r="G3656" s="6" t="str">
        <f>IFERROR(__xludf.DUMMYFUNCTION("""COMPUTED_VALUE"""),"01/01/2011")</f>
        <v>01/01/2011</v>
      </c>
      <c r="H3656" s="6" t="str">
        <f>IFERROR(__xludf.DUMMYFUNCTION("""COMPUTED_VALUE"""),"male")</f>
        <v>male</v>
      </c>
      <c r="I3656" s="6" t="str">
        <f>IFERROR(__xludf.DUMMYFUNCTION("""COMPUTED_VALUE"""),"High School")</f>
        <v>High School</v>
      </c>
      <c r="J3656" s="6" t="str">
        <f>IFERROR(__xludf.DUMMYFUNCTION("""COMPUTED_VALUE"""),"9")</f>
        <v>9</v>
      </c>
      <c r="K3656" s="6" t="str">
        <f>IFERROR(__xludf.DUMMYFUNCTION("""COMPUTED_VALUE"""),"gerardo_garciamelesi@stu.ortrail.k12.or.us")</f>
        <v>gerardo_garciamelesi@stu.ortrail.k12.or.us</v>
      </c>
      <c r="L3656" s="6" t="str">
        <f>IFERROR(__xludf.DUMMYFUNCTION("""COMPUTED_VALUE"""),"Oregon Trail School District 46")</f>
        <v>Oregon Trail School District 46</v>
      </c>
      <c r="M3656" s="6" t="str">
        <f>IFERROR(__xludf.DUMMYFUNCTION("""COMPUTED_VALUE"""),"")</f>
        <v/>
      </c>
      <c r="N3656" s="6" t="str">
        <f>IFERROR(__xludf.DUMMYFUNCTION("""COMPUTED_VALUE"""),"")</f>
        <v/>
      </c>
      <c r="O3656" s="87" t="str">
        <f>IFERROR(__xludf.DUMMYFUNCTION("""COMPUTED_VALUE"""),"https://drive.google.com/drive/folders/10T2cTQHqEJZqE-st6uFKPoI?usp=share_link")</f>
        <v>https://drive.google.com/drive/folders/10T2cTQHqEJZqE-st6uFKPoI?usp=share_link</v>
      </c>
      <c r="P3656" s="6" t="str">
        <f>IFERROR(__xludf.DUMMYFUNCTION("""COMPUTED_VALUE"""),"Gerardo Garcia Melesio")</f>
        <v>Gerardo Garcia Melesio</v>
      </c>
      <c r="Q3656" s="6" t="str">
        <f>IFERROR(__xludf.DUMMYFUNCTION("""COMPUTED_VALUE"""),"HS")</f>
        <v>HS</v>
      </c>
      <c r="R3656" s="6">
        <f>IFERROR(__xludf.DUMMYFUNCTION("""COMPUTED_VALUE"""),0.0)</f>
        <v>0</v>
      </c>
      <c r="S3656" s="6" t="str">
        <f>IFERROR(__xludf.DUMMYFUNCTION("""COMPUTED_VALUE""")," ")</f>
        <v> </v>
      </c>
      <c r="T3656" s="6" t="str">
        <f>IFERROR(__xludf.DUMMYFUNCTION("""COMPUTED_VALUE"""),"")</f>
        <v/>
      </c>
      <c r="U3656" s="6" t="str">
        <f>IFERROR(__xludf.DUMMYFUNCTION("""COMPUTED_VALUE"""),"9")</f>
        <v>9</v>
      </c>
      <c r="V3656" s="6" t="str">
        <f>IFERROR(__xludf.DUMMYFUNCTION("""COMPUTED_VALUE"""),"English")</f>
        <v>English</v>
      </c>
      <c r="W3656" s="6" t="str">
        <f>IFERROR(__xludf.DUMMYFUNCTION("""COMPUTED_VALUE"""),"[]")</f>
        <v>[]</v>
      </c>
      <c r="X3656" s="6" t="str">
        <f>IFERROR(__xludf.DUMMYFUNCTION("""COMPUTED_VALUE"""),"Enrolled")</f>
        <v>Enrolled</v>
      </c>
    </row>
    <row r="3657">
      <c r="A3657" s="6" t="str">
        <f>IFERROR(__xludf.DUMMYFUNCTION("""COMPUTED_VALUE"""),"064-7025")</f>
        <v>064-7025</v>
      </c>
      <c r="B3657" s="6" t="str">
        <f>IFERROR(__xludf.DUMMYFUNCTION("""COMPUTED_VALUE"""),"64")</f>
        <v>64</v>
      </c>
      <c r="C3657" s="6" t="str">
        <f>IFERROR(__xludf.DUMMYFUNCTION("""COMPUTED_VALUE"""),"7025")</f>
        <v>7025</v>
      </c>
      <c r="D3657" s="6" t="str">
        <f>IFERROR(__xludf.DUMMYFUNCTION("""COMPUTED_VALUE"""),"Alonso")</f>
        <v>Alonso</v>
      </c>
      <c r="E3657" s="6" t="str">
        <f>IFERROR(__xludf.DUMMYFUNCTION("""COMPUTED_VALUE"""),"")</f>
        <v/>
      </c>
      <c r="F3657" s="6" t="str">
        <f>IFERROR(__xludf.DUMMYFUNCTION("""COMPUTED_VALUE"""),"Gonzalez Paz")</f>
        <v>Gonzalez Paz</v>
      </c>
      <c r="G3657" s="6" t="str">
        <f>IFERROR(__xludf.DUMMYFUNCTION("""COMPUTED_VALUE"""),"04/25/2010")</f>
        <v>04/25/2010</v>
      </c>
      <c r="H3657" s="6" t="str">
        <f>IFERROR(__xludf.DUMMYFUNCTION("""COMPUTED_VALUE"""),"male")</f>
        <v>male</v>
      </c>
      <c r="I3657" s="6" t="str">
        <f>IFERROR(__xludf.DUMMYFUNCTION("""COMPUTED_VALUE"""),"High School")</f>
        <v>High School</v>
      </c>
      <c r="J3657" s="6" t="str">
        <f>IFERROR(__xludf.DUMMYFUNCTION("""COMPUTED_VALUE"""),"9")</f>
        <v>9</v>
      </c>
      <c r="K3657" s="6" t="str">
        <f>IFERROR(__xludf.DUMMYFUNCTION("""COMPUTED_VALUE"""),"alonso_gonzalezpaz@stu.ortrail.k12.or.us")</f>
        <v>alonso_gonzalezpaz@stu.ortrail.k12.or.us</v>
      </c>
      <c r="L3657" s="6" t="str">
        <f>IFERROR(__xludf.DUMMYFUNCTION("""COMPUTED_VALUE"""),"Oregon Trail School District 46")</f>
        <v>Oregon Trail School District 46</v>
      </c>
      <c r="M3657" s="6" t="str">
        <f>IFERROR(__xludf.DUMMYFUNCTION("""COMPUTED_VALUE"""),"")</f>
        <v/>
      </c>
      <c r="N3657" s="6" t="str">
        <f>IFERROR(__xludf.DUMMYFUNCTION("""COMPUTED_VALUE"""),"")</f>
        <v/>
      </c>
      <c r="O3657" s="87" t="str">
        <f>IFERROR(__xludf.DUMMYFUNCTION("""COMPUTED_VALUE"""),"https://drive.google.com/drive/folders/10T2cTQHqEJZqE-st6uFKPoI?usp=share_link")</f>
        <v>https://drive.google.com/drive/folders/10T2cTQHqEJZqE-st6uFKPoI?usp=share_link</v>
      </c>
      <c r="P3657" s="6" t="str">
        <f>IFERROR(__xludf.DUMMYFUNCTION("""COMPUTED_VALUE"""),"Alonso Gonzalez Paz")</f>
        <v>Alonso Gonzalez Paz</v>
      </c>
      <c r="Q3657" s="6" t="str">
        <f>IFERROR(__xludf.DUMMYFUNCTION("""COMPUTED_VALUE"""),"HS")</f>
        <v>HS</v>
      </c>
      <c r="R3657" s="6">
        <f>IFERROR(__xludf.DUMMYFUNCTION("""COMPUTED_VALUE"""),0.0)</f>
        <v>0</v>
      </c>
      <c r="S3657" s="6" t="str">
        <f>IFERROR(__xludf.DUMMYFUNCTION("""COMPUTED_VALUE""")," ")</f>
        <v> </v>
      </c>
      <c r="T3657" s="6" t="str">
        <f>IFERROR(__xludf.DUMMYFUNCTION("""COMPUTED_VALUE"""),"")</f>
        <v/>
      </c>
      <c r="U3657" s="6" t="str">
        <f>IFERROR(__xludf.DUMMYFUNCTION("""COMPUTED_VALUE"""),"9")</f>
        <v>9</v>
      </c>
      <c r="V3657" s="6" t="str">
        <f>IFERROR(__xludf.DUMMYFUNCTION("""COMPUTED_VALUE"""),"English")</f>
        <v>English</v>
      </c>
      <c r="W3657" s="6" t="str">
        <f>IFERROR(__xludf.DUMMYFUNCTION("""COMPUTED_VALUE"""),"[]")</f>
        <v>[]</v>
      </c>
      <c r="X3657" s="6" t="str">
        <f>IFERROR(__xludf.DUMMYFUNCTION("""COMPUTED_VALUE"""),"Enrolled")</f>
        <v>Enrolled</v>
      </c>
    </row>
    <row r="3658">
      <c r="A3658" s="6" t="str">
        <f>IFERROR(__xludf.DUMMYFUNCTION("""COMPUTED_VALUE"""),"064-7027")</f>
        <v>064-7027</v>
      </c>
      <c r="B3658" s="6" t="str">
        <f>IFERROR(__xludf.DUMMYFUNCTION("""COMPUTED_VALUE"""),"64")</f>
        <v>64</v>
      </c>
      <c r="C3658" s="6" t="str">
        <f>IFERROR(__xludf.DUMMYFUNCTION("""COMPUTED_VALUE"""),"7027")</f>
        <v>7027</v>
      </c>
      <c r="D3658" s="6" t="str">
        <f>IFERROR(__xludf.DUMMYFUNCTION("""COMPUTED_VALUE"""),"Nayomie")</f>
        <v>Nayomie</v>
      </c>
      <c r="E3658" s="6" t="str">
        <f>IFERROR(__xludf.DUMMYFUNCTION("""COMPUTED_VALUE"""),"")</f>
        <v/>
      </c>
      <c r="F3658" s="6" t="str">
        <f>IFERROR(__xludf.DUMMYFUNCTION("""COMPUTED_VALUE"""),"Montiel")</f>
        <v>Montiel</v>
      </c>
      <c r="G3658" s="6" t="str">
        <f>IFERROR(__xludf.DUMMYFUNCTION("""COMPUTED_VALUE"""),"08/29/2010")</f>
        <v>08/29/2010</v>
      </c>
      <c r="H3658" s="6" t="str">
        <f>IFERROR(__xludf.DUMMYFUNCTION("""COMPUTED_VALUE"""),"female")</f>
        <v>female</v>
      </c>
      <c r="I3658" s="6" t="str">
        <f>IFERROR(__xludf.DUMMYFUNCTION("""COMPUTED_VALUE"""),"High School")</f>
        <v>High School</v>
      </c>
      <c r="J3658" s="6" t="str">
        <f>IFERROR(__xludf.DUMMYFUNCTION("""COMPUTED_VALUE"""),"10")</f>
        <v>10</v>
      </c>
      <c r="K3658" s="6" t="str">
        <f>IFERROR(__xludf.DUMMYFUNCTION("""COMPUTED_VALUE"""),"nayomie_montiel@stu.ortrail.k12.or.us")</f>
        <v>nayomie_montiel@stu.ortrail.k12.or.us</v>
      </c>
      <c r="L3658" s="6" t="str">
        <f>IFERROR(__xludf.DUMMYFUNCTION("""COMPUTED_VALUE"""),"Oregon Trail School District 46")</f>
        <v>Oregon Trail School District 46</v>
      </c>
      <c r="M3658" s="6" t="str">
        <f>IFERROR(__xludf.DUMMYFUNCTION("""COMPUTED_VALUE"""),"")</f>
        <v/>
      </c>
      <c r="N3658" s="6" t="str">
        <f>IFERROR(__xludf.DUMMYFUNCTION("""COMPUTED_VALUE"""),"")</f>
        <v/>
      </c>
      <c r="O3658" s="87" t="str">
        <f>IFERROR(__xludf.DUMMYFUNCTION("""COMPUTED_VALUE"""),"https://drive.google.com/drive/folders/10T2cTQHqEJZqE-st6uFKPoI?usp=share_link")</f>
        <v>https://drive.google.com/drive/folders/10T2cTQHqEJZqE-st6uFKPoI?usp=share_link</v>
      </c>
      <c r="P3658" s="6" t="str">
        <f>IFERROR(__xludf.DUMMYFUNCTION("""COMPUTED_VALUE"""),"Nayomie Montiel")</f>
        <v>Nayomie Montiel</v>
      </c>
      <c r="Q3658" s="6" t="str">
        <f>IFERROR(__xludf.DUMMYFUNCTION("""COMPUTED_VALUE"""),"HS")</f>
        <v>HS</v>
      </c>
      <c r="R3658" s="6">
        <f>IFERROR(__xludf.DUMMYFUNCTION("""COMPUTED_VALUE"""),0.0)</f>
        <v>0</v>
      </c>
      <c r="S3658" s="6" t="str">
        <f>IFERROR(__xludf.DUMMYFUNCTION("""COMPUTED_VALUE""")," ")</f>
        <v> </v>
      </c>
      <c r="T3658" s="6" t="str">
        <f>IFERROR(__xludf.DUMMYFUNCTION("""COMPUTED_VALUE"""),"")</f>
        <v/>
      </c>
      <c r="U3658" s="6" t="str">
        <f>IFERROR(__xludf.DUMMYFUNCTION("""COMPUTED_VALUE"""),"10")</f>
        <v>10</v>
      </c>
      <c r="V3658" s="6" t="str">
        <f>IFERROR(__xludf.DUMMYFUNCTION("""COMPUTED_VALUE"""),"English")</f>
        <v>English</v>
      </c>
      <c r="W3658" s="6" t="str">
        <f>IFERROR(__xludf.DUMMYFUNCTION("""COMPUTED_VALUE"""),"[]")</f>
        <v>[]</v>
      </c>
      <c r="X3658" s="6" t="str">
        <f>IFERROR(__xludf.DUMMYFUNCTION("""COMPUTED_VALUE"""),"Enrolled")</f>
        <v>Enrolled</v>
      </c>
    </row>
    <row r="3659">
      <c r="A3659" s="6" t="str">
        <f>IFERROR(__xludf.DUMMYFUNCTION("""COMPUTED_VALUE"""),"064-7028")</f>
        <v>064-7028</v>
      </c>
      <c r="B3659" s="6" t="str">
        <f>IFERROR(__xludf.DUMMYFUNCTION("""COMPUTED_VALUE"""),"64")</f>
        <v>64</v>
      </c>
      <c r="C3659" s="6" t="str">
        <f>IFERROR(__xludf.DUMMYFUNCTION("""COMPUTED_VALUE"""),"7028")</f>
        <v>7028</v>
      </c>
      <c r="D3659" s="6" t="str">
        <f>IFERROR(__xludf.DUMMYFUNCTION("""COMPUTED_VALUE"""),"Renata")</f>
        <v>Renata</v>
      </c>
      <c r="E3659" s="6" t="str">
        <f>IFERROR(__xludf.DUMMYFUNCTION("""COMPUTED_VALUE"""),"")</f>
        <v/>
      </c>
      <c r="F3659" s="6" t="str">
        <f>IFERROR(__xludf.DUMMYFUNCTION("""COMPUTED_VALUE"""),"Moreno Rodriguez")</f>
        <v>Moreno Rodriguez</v>
      </c>
      <c r="G3659" s="6" t="str">
        <f>IFERROR(__xludf.DUMMYFUNCTION("""COMPUTED_VALUE"""),"09/10/2010")</f>
        <v>09/10/2010</v>
      </c>
      <c r="H3659" s="6" t="str">
        <f>IFERROR(__xludf.DUMMYFUNCTION("""COMPUTED_VALUE"""),"female")</f>
        <v>female</v>
      </c>
      <c r="I3659" s="6" t="str">
        <f>IFERROR(__xludf.DUMMYFUNCTION("""COMPUTED_VALUE"""),"High School")</f>
        <v>High School</v>
      </c>
      <c r="J3659" s="6" t="str">
        <f>IFERROR(__xludf.DUMMYFUNCTION("""COMPUTED_VALUE"""),"9")</f>
        <v>9</v>
      </c>
      <c r="K3659" s="6" t="str">
        <f>IFERROR(__xludf.DUMMYFUNCTION("""COMPUTED_VALUE"""),"renata_morenorodrigu@stu.ortrail.k12.or.us")</f>
        <v>renata_morenorodrigu@stu.ortrail.k12.or.us</v>
      </c>
      <c r="L3659" s="6" t="str">
        <f>IFERROR(__xludf.DUMMYFUNCTION("""COMPUTED_VALUE"""),"Oregon Trail School District 46")</f>
        <v>Oregon Trail School District 46</v>
      </c>
      <c r="M3659" s="6" t="str">
        <f>IFERROR(__xludf.DUMMYFUNCTION("""COMPUTED_VALUE"""),"")</f>
        <v/>
      </c>
      <c r="N3659" s="6" t="str">
        <f>IFERROR(__xludf.DUMMYFUNCTION("""COMPUTED_VALUE"""),"")</f>
        <v/>
      </c>
      <c r="O3659" s="87" t="str">
        <f>IFERROR(__xludf.DUMMYFUNCTION("""COMPUTED_VALUE"""),"https://drive.google.com/drive/folders/10T2cTQHqEJZqE-st6uFKPoI?usp=share_link")</f>
        <v>https://drive.google.com/drive/folders/10T2cTQHqEJZqE-st6uFKPoI?usp=share_link</v>
      </c>
      <c r="P3659" s="6" t="str">
        <f>IFERROR(__xludf.DUMMYFUNCTION("""COMPUTED_VALUE"""),"Renata Moreno Rodriguez")</f>
        <v>Renata Moreno Rodriguez</v>
      </c>
      <c r="Q3659" s="6" t="str">
        <f>IFERROR(__xludf.DUMMYFUNCTION("""COMPUTED_VALUE"""),"HS")</f>
        <v>HS</v>
      </c>
      <c r="R3659" s="6">
        <f>IFERROR(__xludf.DUMMYFUNCTION("""COMPUTED_VALUE"""),0.0)</f>
        <v>0</v>
      </c>
      <c r="S3659" s="6" t="str">
        <f>IFERROR(__xludf.DUMMYFUNCTION("""COMPUTED_VALUE""")," ")</f>
        <v> </v>
      </c>
      <c r="T3659" s="6" t="str">
        <f>IFERROR(__xludf.DUMMYFUNCTION("""COMPUTED_VALUE"""),"")</f>
        <v/>
      </c>
      <c r="U3659" s="6" t="str">
        <f>IFERROR(__xludf.DUMMYFUNCTION("""COMPUTED_VALUE"""),"9")</f>
        <v>9</v>
      </c>
      <c r="V3659" s="6" t="str">
        <f>IFERROR(__xludf.DUMMYFUNCTION("""COMPUTED_VALUE"""),"English")</f>
        <v>English</v>
      </c>
      <c r="W3659" s="6" t="str">
        <f>IFERROR(__xludf.DUMMYFUNCTION("""COMPUTED_VALUE"""),"[]")</f>
        <v>[]</v>
      </c>
      <c r="X3659" s="6" t="str">
        <f>IFERROR(__xludf.DUMMYFUNCTION("""COMPUTED_VALUE"""),"Enrolled")</f>
        <v>Enrolled</v>
      </c>
    </row>
    <row r="3660">
      <c r="A3660" s="6" t="str">
        <f>IFERROR(__xludf.DUMMYFUNCTION("""COMPUTED_VALUE"""),"064-7029")</f>
        <v>064-7029</v>
      </c>
      <c r="B3660" s="6" t="str">
        <f>IFERROR(__xludf.DUMMYFUNCTION("""COMPUTED_VALUE"""),"64")</f>
        <v>64</v>
      </c>
      <c r="C3660" s="6" t="str">
        <f>IFERROR(__xludf.DUMMYFUNCTION("""COMPUTED_VALUE"""),"7029")</f>
        <v>7029</v>
      </c>
      <c r="D3660" s="6" t="str">
        <f>IFERROR(__xludf.DUMMYFUNCTION("""COMPUTED_VALUE"""),"Roselyn")</f>
        <v>Roselyn</v>
      </c>
      <c r="E3660" s="6" t="str">
        <f>IFERROR(__xludf.DUMMYFUNCTION("""COMPUTED_VALUE"""),"")</f>
        <v/>
      </c>
      <c r="F3660" s="6" t="str">
        <f>IFERROR(__xludf.DUMMYFUNCTION("""COMPUTED_VALUE"""),"Pacheco Tello")</f>
        <v>Pacheco Tello</v>
      </c>
      <c r="G3660" s="6" t="str">
        <f>IFERROR(__xludf.DUMMYFUNCTION("""COMPUTED_VALUE"""),"04/22/2011")</f>
        <v>04/22/2011</v>
      </c>
      <c r="H3660" s="6" t="str">
        <f>IFERROR(__xludf.DUMMYFUNCTION("""COMPUTED_VALUE"""),"female")</f>
        <v>female</v>
      </c>
      <c r="I3660" s="6" t="str">
        <f>IFERROR(__xludf.DUMMYFUNCTION("""COMPUTED_VALUE"""),"High School")</f>
        <v>High School</v>
      </c>
      <c r="J3660" s="6" t="str">
        <f>IFERROR(__xludf.DUMMYFUNCTION("""COMPUTED_VALUE"""),"9")</f>
        <v>9</v>
      </c>
      <c r="K3660" s="6" t="str">
        <f>IFERROR(__xludf.DUMMYFUNCTION("""COMPUTED_VALUE"""),"roselyn_pachecotello@stu.ortrail.k12.or.us")</f>
        <v>roselyn_pachecotello@stu.ortrail.k12.or.us</v>
      </c>
      <c r="L3660" s="6" t="str">
        <f>IFERROR(__xludf.DUMMYFUNCTION("""COMPUTED_VALUE"""),"Oregon Trail School District 46")</f>
        <v>Oregon Trail School District 46</v>
      </c>
      <c r="M3660" s="6" t="str">
        <f>IFERROR(__xludf.DUMMYFUNCTION("""COMPUTED_VALUE"""),"")</f>
        <v/>
      </c>
      <c r="N3660" s="6" t="str">
        <f>IFERROR(__xludf.DUMMYFUNCTION("""COMPUTED_VALUE"""),"")</f>
        <v/>
      </c>
      <c r="O3660" s="87" t="str">
        <f>IFERROR(__xludf.DUMMYFUNCTION("""COMPUTED_VALUE"""),"https://drive.google.com/drive/folders/10T2cTQHqEJZqE-st6uFKPoI?usp=share_link")</f>
        <v>https://drive.google.com/drive/folders/10T2cTQHqEJZqE-st6uFKPoI?usp=share_link</v>
      </c>
      <c r="P3660" s="6" t="str">
        <f>IFERROR(__xludf.DUMMYFUNCTION("""COMPUTED_VALUE"""),"Roselyn Pacheco Tello")</f>
        <v>Roselyn Pacheco Tello</v>
      </c>
      <c r="Q3660" s="6" t="str">
        <f>IFERROR(__xludf.DUMMYFUNCTION("""COMPUTED_VALUE"""),"HS")</f>
        <v>HS</v>
      </c>
      <c r="R3660" s="6">
        <f>IFERROR(__xludf.DUMMYFUNCTION("""COMPUTED_VALUE"""),0.0)</f>
        <v>0</v>
      </c>
      <c r="S3660" s="6" t="str">
        <f>IFERROR(__xludf.DUMMYFUNCTION("""COMPUTED_VALUE""")," ")</f>
        <v> </v>
      </c>
      <c r="T3660" s="6" t="str">
        <f>IFERROR(__xludf.DUMMYFUNCTION("""COMPUTED_VALUE"""),"")</f>
        <v/>
      </c>
      <c r="U3660" s="6" t="str">
        <f>IFERROR(__xludf.DUMMYFUNCTION("""COMPUTED_VALUE"""),"9")</f>
        <v>9</v>
      </c>
      <c r="V3660" s="6" t="str">
        <f>IFERROR(__xludf.DUMMYFUNCTION("""COMPUTED_VALUE"""),"English")</f>
        <v>English</v>
      </c>
      <c r="W3660" s="6" t="str">
        <f>IFERROR(__xludf.DUMMYFUNCTION("""COMPUTED_VALUE"""),"[]")</f>
        <v>[]</v>
      </c>
      <c r="X3660" s="6" t="str">
        <f>IFERROR(__xludf.DUMMYFUNCTION("""COMPUTED_VALUE"""),"Enrolled")</f>
        <v>Enrolled</v>
      </c>
    </row>
    <row r="3661">
      <c r="A3661" s="6" t="str">
        <f>IFERROR(__xludf.DUMMYFUNCTION("""COMPUTED_VALUE"""),"064-7031")</f>
        <v>064-7031</v>
      </c>
      <c r="B3661" s="6" t="str">
        <f>IFERROR(__xludf.DUMMYFUNCTION("""COMPUTED_VALUE"""),"64")</f>
        <v>64</v>
      </c>
      <c r="C3661" s="6" t="str">
        <f>IFERROR(__xludf.DUMMYFUNCTION("""COMPUTED_VALUE"""),"7031")</f>
        <v>7031</v>
      </c>
      <c r="D3661" s="6" t="str">
        <f>IFERROR(__xludf.DUMMYFUNCTION("""COMPUTED_VALUE"""),"Danisha")</f>
        <v>Danisha</v>
      </c>
      <c r="E3661" s="6" t="str">
        <f>IFERROR(__xludf.DUMMYFUNCTION("""COMPUTED_VALUE"""),"")</f>
        <v/>
      </c>
      <c r="F3661" s="6" t="str">
        <f>IFERROR(__xludf.DUMMYFUNCTION("""COMPUTED_VALUE"""),"Perez")</f>
        <v>Perez</v>
      </c>
      <c r="G3661" s="6" t="str">
        <f>IFERROR(__xludf.DUMMYFUNCTION("""COMPUTED_VALUE"""),"02/02/2011")</f>
        <v>02/02/2011</v>
      </c>
      <c r="H3661" s="6" t="str">
        <f>IFERROR(__xludf.DUMMYFUNCTION("""COMPUTED_VALUE"""),"female")</f>
        <v>female</v>
      </c>
      <c r="I3661" s="6" t="str">
        <f>IFERROR(__xludf.DUMMYFUNCTION("""COMPUTED_VALUE"""),"High School")</f>
        <v>High School</v>
      </c>
      <c r="J3661" s="6" t="str">
        <f>IFERROR(__xludf.DUMMYFUNCTION("""COMPUTED_VALUE"""),"9")</f>
        <v>9</v>
      </c>
      <c r="K3661" s="6" t="str">
        <f>IFERROR(__xludf.DUMMYFUNCTION("""COMPUTED_VALUE"""),"danisha_perez@stu.ortrail.k12.or.us")</f>
        <v>danisha_perez@stu.ortrail.k12.or.us</v>
      </c>
      <c r="L3661" s="6" t="str">
        <f>IFERROR(__xludf.DUMMYFUNCTION("""COMPUTED_VALUE"""),"Oregon Trail School District 46")</f>
        <v>Oregon Trail School District 46</v>
      </c>
      <c r="M3661" s="6" t="str">
        <f>IFERROR(__xludf.DUMMYFUNCTION("""COMPUTED_VALUE"""),"")</f>
        <v/>
      </c>
      <c r="N3661" s="6" t="str">
        <f>IFERROR(__xludf.DUMMYFUNCTION("""COMPUTED_VALUE"""),"")</f>
        <v/>
      </c>
      <c r="O3661" s="87" t="str">
        <f>IFERROR(__xludf.DUMMYFUNCTION("""COMPUTED_VALUE"""),"https://drive.google.com/drive/folders/10T2cTQHqEJZqE-st6uFKPoI?usp=share_link")</f>
        <v>https://drive.google.com/drive/folders/10T2cTQHqEJZqE-st6uFKPoI?usp=share_link</v>
      </c>
      <c r="P3661" s="6" t="str">
        <f>IFERROR(__xludf.DUMMYFUNCTION("""COMPUTED_VALUE"""),"Danisha Perez")</f>
        <v>Danisha Perez</v>
      </c>
      <c r="Q3661" s="6" t="str">
        <f>IFERROR(__xludf.DUMMYFUNCTION("""COMPUTED_VALUE"""),"HS")</f>
        <v>HS</v>
      </c>
      <c r="R3661" s="6">
        <f>IFERROR(__xludf.DUMMYFUNCTION("""COMPUTED_VALUE"""),0.0)</f>
        <v>0</v>
      </c>
      <c r="S3661" s="6" t="str">
        <f>IFERROR(__xludf.DUMMYFUNCTION("""COMPUTED_VALUE""")," ")</f>
        <v> </v>
      </c>
      <c r="T3661" s="6" t="str">
        <f>IFERROR(__xludf.DUMMYFUNCTION("""COMPUTED_VALUE"""),"")</f>
        <v/>
      </c>
      <c r="U3661" s="6" t="str">
        <f>IFERROR(__xludf.DUMMYFUNCTION("""COMPUTED_VALUE"""),"9")</f>
        <v>9</v>
      </c>
      <c r="V3661" s="6" t="str">
        <f>IFERROR(__xludf.DUMMYFUNCTION("""COMPUTED_VALUE"""),"English")</f>
        <v>English</v>
      </c>
      <c r="W3661" s="6" t="str">
        <f>IFERROR(__xludf.DUMMYFUNCTION("""COMPUTED_VALUE"""),"[]")</f>
        <v>[]</v>
      </c>
      <c r="X3661" s="6" t="str">
        <f>IFERROR(__xludf.DUMMYFUNCTION("""COMPUTED_VALUE"""),"Enrolled")</f>
        <v>Enrolled</v>
      </c>
    </row>
    <row r="3662">
      <c r="A3662" s="6" t="str">
        <f>IFERROR(__xludf.DUMMYFUNCTION("""COMPUTED_VALUE"""),"064-7032")</f>
        <v>064-7032</v>
      </c>
      <c r="B3662" s="6" t="str">
        <f>IFERROR(__xludf.DUMMYFUNCTION("""COMPUTED_VALUE"""),"64")</f>
        <v>64</v>
      </c>
      <c r="C3662" s="6" t="str">
        <f>IFERROR(__xludf.DUMMYFUNCTION("""COMPUTED_VALUE"""),"7032")</f>
        <v>7032</v>
      </c>
      <c r="D3662" s="6" t="str">
        <f>IFERROR(__xludf.DUMMYFUNCTION("""COMPUTED_VALUE"""),"Aileen")</f>
        <v>Aileen</v>
      </c>
      <c r="E3662" s="6" t="str">
        <f>IFERROR(__xludf.DUMMYFUNCTION("""COMPUTED_VALUE"""),"")</f>
        <v/>
      </c>
      <c r="F3662" s="6" t="str">
        <f>IFERROR(__xludf.DUMMYFUNCTION("""COMPUTED_VALUE"""),"Roldan Argueta")</f>
        <v>Roldan Argueta</v>
      </c>
      <c r="G3662" s="6" t="str">
        <f>IFERROR(__xludf.DUMMYFUNCTION("""COMPUTED_VALUE"""),"12/31/2007")</f>
        <v>12/31/2007</v>
      </c>
      <c r="H3662" s="6" t="str">
        <f>IFERROR(__xludf.DUMMYFUNCTION("""COMPUTED_VALUE"""),"female")</f>
        <v>female</v>
      </c>
      <c r="I3662" s="6" t="str">
        <f>IFERROR(__xludf.DUMMYFUNCTION("""COMPUTED_VALUE"""),"High School")</f>
        <v>High School</v>
      </c>
      <c r="J3662" s="6" t="str">
        <f>IFERROR(__xludf.DUMMYFUNCTION("""COMPUTED_VALUE"""),"12")</f>
        <v>12</v>
      </c>
      <c r="K3662" s="6" t="str">
        <f>IFERROR(__xludf.DUMMYFUNCTION("""COMPUTED_VALUE"""),"aileen_roldanargueta@stu.ortrail.k12.or.us")</f>
        <v>aileen_roldanargueta@stu.ortrail.k12.or.us</v>
      </c>
      <c r="L3662" s="6" t="str">
        <f>IFERROR(__xludf.DUMMYFUNCTION("""COMPUTED_VALUE"""),"Oregon Trail School District 46")</f>
        <v>Oregon Trail School District 46</v>
      </c>
      <c r="M3662" s="6" t="str">
        <f>IFERROR(__xludf.DUMMYFUNCTION("""COMPUTED_VALUE"""),"")</f>
        <v/>
      </c>
      <c r="N3662" s="6" t="str">
        <f>IFERROR(__xludf.DUMMYFUNCTION("""COMPUTED_VALUE"""),"")</f>
        <v/>
      </c>
      <c r="O3662" s="87" t="str">
        <f>IFERROR(__xludf.DUMMYFUNCTION("""COMPUTED_VALUE"""),"https://drive.google.com/drive/folders/10T2cTQHqEJZqE-st6uFKPoI?usp=share_link")</f>
        <v>https://drive.google.com/drive/folders/10T2cTQHqEJZqE-st6uFKPoI?usp=share_link</v>
      </c>
      <c r="P3662" s="6" t="str">
        <f>IFERROR(__xludf.DUMMYFUNCTION("""COMPUTED_VALUE"""),"Aileen Roldan Argueta")</f>
        <v>Aileen Roldan Argueta</v>
      </c>
      <c r="Q3662" s="6" t="str">
        <f>IFERROR(__xludf.DUMMYFUNCTION("""COMPUTED_VALUE"""),"HS")</f>
        <v>HS</v>
      </c>
      <c r="R3662" s="6">
        <f>IFERROR(__xludf.DUMMYFUNCTION("""COMPUTED_VALUE"""),0.0)</f>
        <v>0</v>
      </c>
      <c r="S3662" s="6" t="str">
        <f>IFERROR(__xludf.DUMMYFUNCTION("""COMPUTED_VALUE""")," ")</f>
        <v> </v>
      </c>
      <c r="T3662" s="6" t="str">
        <f>IFERROR(__xludf.DUMMYFUNCTION("""COMPUTED_VALUE"""),"")</f>
        <v/>
      </c>
      <c r="U3662" s="6" t="str">
        <f>IFERROR(__xludf.DUMMYFUNCTION("""COMPUTED_VALUE"""),"12")</f>
        <v>12</v>
      </c>
      <c r="V3662" s="6" t="str">
        <f>IFERROR(__xludf.DUMMYFUNCTION("""COMPUTED_VALUE"""),"English")</f>
        <v>English</v>
      </c>
      <c r="W3662" s="6" t="str">
        <f>IFERROR(__xludf.DUMMYFUNCTION("""COMPUTED_VALUE"""),"[]")</f>
        <v>[]</v>
      </c>
      <c r="X3662" s="6" t="str">
        <f>IFERROR(__xludf.DUMMYFUNCTION("""COMPUTED_VALUE"""),"Enrolled")</f>
        <v>Enrolled</v>
      </c>
    </row>
    <row r="3663">
      <c r="A3663" s="6" t="str">
        <f>IFERROR(__xludf.DUMMYFUNCTION("""COMPUTED_VALUE"""),"064-7034")</f>
        <v>064-7034</v>
      </c>
      <c r="B3663" s="6" t="str">
        <f>IFERROR(__xludf.DUMMYFUNCTION("""COMPUTED_VALUE"""),"64")</f>
        <v>64</v>
      </c>
      <c r="C3663" s="6" t="str">
        <f>IFERROR(__xludf.DUMMYFUNCTION("""COMPUTED_VALUE"""),"7034")</f>
        <v>7034</v>
      </c>
      <c r="D3663" s="6" t="str">
        <f>IFERROR(__xludf.DUMMYFUNCTION("""COMPUTED_VALUE"""),"Joban")</f>
        <v>Joban</v>
      </c>
      <c r="E3663" s="6" t="str">
        <f>IFERROR(__xludf.DUMMYFUNCTION("""COMPUTED_VALUE"""),"")</f>
        <v/>
      </c>
      <c r="F3663" s="6" t="str">
        <f>IFERROR(__xludf.DUMMYFUNCTION("""COMPUTED_VALUE"""),"Trevizo-Perez")</f>
        <v>Trevizo-Perez</v>
      </c>
      <c r="G3663" s="6" t="str">
        <f>IFERROR(__xludf.DUMMYFUNCTION("""COMPUTED_VALUE"""),"04/21/2008")</f>
        <v>04/21/2008</v>
      </c>
      <c r="H3663" s="6" t="str">
        <f>IFERROR(__xludf.DUMMYFUNCTION("""COMPUTED_VALUE"""),"male")</f>
        <v>male</v>
      </c>
      <c r="I3663" s="6" t="str">
        <f>IFERROR(__xludf.DUMMYFUNCTION("""COMPUTED_VALUE"""),"High School")</f>
        <v>High School</v>
      </c>
      <c r="J3663" s="6" t="str">
        <f>IFERROR(__xludf.DUMMYFUNCTION("""COMPUTED_VALUE"""),"12")</f>
        <v>12</v>
      </c>
      <c r="K3663" s="6" t="str">
        <f>IFERROR(__xludf.DUMMYFUNCTION("""COMPUTED_VALUE"""),"joban_trevizoperez@stu.ortrail.k12.or.us")</f>
        <v>joban_trevizoperez@stu.ortrail.k12.or.us</v>
      </c>
      <c r="L3663" s="6" t="str">
        <f>IFERROR(__xludf.DUMMYFUNCTION("""COMPUTED_VALUE"""),"Oregon Trail School District 46")</f>
        <v>Oregon Trail School District 46</v>
      </c>
      <c r="M3663" s="6" t="str">
        <f>IFERROR(__xludf.DUMMYFUNCTION("""COMPUTED_VALUE"""),"")</f>
        <v/>
      </c>
      <c r="N3663" s="6" t="str">
        <f>IFERROR(__xludf.DUMMYFUNCTION("""COMPUTED_VALUE"""),"")</f>
        <v/>
      </c>
      <c r="O3663" s="87" t="str">
        <f>IFERROR(__xludf.DUMMYFUNCTION("""COMPUTED_VALUE"""),"https://drive.google.com/drive/folders/10T2cTQHqEJZqE-st6uFKPoI?usp=share_link")</f>
        <v>https://drive.google.com/drive/folders/10T2cTQHqEJZqE-st6uFKPoI?usp=share_link</v>
      </c>
      <c r="P3663" s="6" t="str">
        <f>IFERROR(__xludf.DUMMYFUNCTION("""COMPUTED_VALUE"""),"Joban Trevizo-Perez")</f>
        <v>Joban Trevizo-Perez</v>
      </c>
      <c r="Q3663" s="6" t="str">
        <f>IFERROR(__xludf.DUMMYFUNCTION("""COMPUTED_VALUE"""),"HS")</f>
        <v>HS</v>
      </c>
      <c r="R3663" s="6">
        <f>IFERROR(__xludf.DUMMYFUNCTION("""COMPUTED_VALUE"""),0.0)</f>
        <v>0</v>
      </c>
      <c r="S3663" s="6" t="str">
        <f>IFERROR(__xludf.DUMMYFUNCTION("""COMPUTED_VALUE""")," ")</f>
        <v> </v>
      </c>
      <c r="T3663" s="6" t="str">
        <f>IFERROR(__xludf.DUMMYFUNCTION("""COMPUTED_VALUE"""),"")</f>
        <v/>
      </c>
      <c r="U3663" s="6" t="str">
        <f>IFERROR(__xludf.DUMMYFUNCTION("""COMPUTED_VALUE"""),"12")</f>
        <v>12</v>
      </c>
      <c r="V3663" s="6" t="str">
        <f>IFERROR(__xludf.DUMMYFUNCTION("""COMPUTED_VALUE"""),"English")</f>
        <v>English</v>
      </c>
      <c r="W3663" s="6" t="str">
        <f>IFERROR(__xludf.DUMMYFUNCTION("""COMPUTED_VALUE"""),"[]")</f>
        <v>[]</v>
      </c>
      <c r="X3663" s="6" t="str">
        <f>IFERROR(__xludf.DUMMYFUNCTION("""COMPUTED_VALUE"""),"Enrolled")</f>
        <v>Enrolled</v>
      </c>
    </row>
    <row r="3664">
      <c r="A3664" s="6" t="str">
        <f>IFERROR(__xludf.DUMMYFUNCTION("""COMPUTED_VALUE"""),"064-7176")</f>
        <v>064-7176</v>
      </c>
      <c r="B3664" s="6" t="str">
        <f>IFERROR(__xludf.DUMMYFUNCTION("""COMPUTED_VALUE"""),"64")</f>
        <v>64</v>
      </c>
      <c r="C3664" s="6" t="str">
        <f>IFERROR(__xludf.DUMMYFUNCTION("""COMPUTED_VALUE"""),"7176")</f>
        <v>7176</v>
      </c>
      <c r="D3664" s="6" t="str">
        <f>IFERROR(__xludf.DUMMYFUNCTION("""COMPUTED_VALUE"""),"Jacob")</f>
        <v>Jacob</v>
      </c>
      <c r="E3664" s="6" t="str">
        <f>IFERROR(__xludf.DUMMYFUNCTION("""COMPUTED_VALUE"""),"")</f>
        <v/>
      </c>
      <c r="F3664" s="6" t="str">
        <f>IFERROR(__xludf.DUMMYFUNCTION("""COMPUTED_VALUE"""),"Macias")</f>
        <v>Macias</v>
      </c>
      <c r="G3664" s="6" t="str">
        <f>IFERROR(__xludf.DUMMYFUNCTION("""COMPUTED_VALUE"""),"07/27/2013")</f>
        <v>07/27/2013</v>
      </c>
      <c r="H3664" s="6" t="str">
        <f>IFERROR(__xludf.DUMMYFUNCTION("""COMPUTED_VALUE"""),"Self Identify")</f>
        <v>Self Identify</v>
      </c>
      <c r="I3664" s="6" t="str">
        <f>IFERROR(__xludf.DUMMYFUNCTION("""COMPUTED_VALUE"""),"Middle School")</f>
        <v>Middle School</v>
      </c>
      <c r="J3664" s="6" t="str">
        <f>IFERROR(__xludf.DUMMYFUNCTION("""COMPUTED_VALUE"""),"6")</f>
        <v>6</v>
      </c>
      <c r="K3664" s="6" t="str">
        <f>IFERROR(__xludf.DUMMYFUNCTION("""COMPUTED_VALUE"""),"jacob_macias@stu.ortrail.k12.or.us")</f>
        <v>jacob_macias@stu.ortrail.k12.or.us</v>
      </c>
      <c r="L3664" s="6" t="str">
        <f>IFERROR(__xludf.DUMMYFUNCTION("""COMPUTED_VALUE"""),"Oregon Trail School District 46")</f>
        <v>Oregon Trail School District 46</v>
      </c>
      <c r="M3664" s="6" t="str">
        <f>IFERROR(__xludf.DUMMYFUNCTION("""COMPUTED_VALUE"""),"Cedar Ridge Middle School")</f>
        <v>Cedar Ridge Middle School</v>
      </c>
      <c r="N3664" s="6" t="str">
        <f>IFERROR(__xludf.DUMMYFUNCTION("""COMPUTED_VALUE"""),"")</f>
        <v/>
      </c>
      <c r="O3664" s="87" t="str">
        <f>IFERROR(__xludf.DUMMYFUNCTION("""COMPUTED_VALUE"""),"https://drive.google.com/drive/folders/10T2cTQHqEJZqE-st6uFKPoI?usp=share_link")</f>
        <v>https://drive.google.com/drive/folders/10T2cTQHqEJZqE-st6uFKPoI?usp=share_link</v>
      </c>
      <c r="P3664" s="6" t="str">
        <f>IFERROR(__xludf.DUMMYFUNCTION("""COMPUTED_VALUE"""),"Jacob Macias")</f>
        <v>Jacob Macias</v>
      </c>
      <c r="Q3664" s="6" t="str">
        <f>IFERROR(__xludf.DUMMYFUNCTION("""COMPUTED_VALUE"""),"MS")</f>
        <v>MS</v>
      </c>
      <c r="R3664" s="6">
        <f>IFERROR(__xludf.DUMMYFUNCTION("""COMPUTED_VALUE"""),0.0)</f>
        <v>0</v>
      </c>
      <c r="S3664" s="6" t="str">
        <f>IFERROR(__xludf.DUMMYFUNCTION("""COMPUTED_VALUE"""),"Lan Green")</f>
        <v>Lan Green</v>
      </c>
      <c r="T3664" s="6" t="str">
        <f>IFERROR(__xludf.DUMMYFUNCTION("""COMPUTED_VALUE"""),"lan.green@ortrail.k12.or.us")</f>
        <v>lan.green@ortrail.k12.or.us</v>
      </c>
      <c r="U3664" s="6" t="str">
        <f>IFERROR(__xludf.DUMMYFUNCTION("""COMPUTED_VALUE"""),"6")</f>
        <v>6</v>
      </c>
      <c r="V3664" s="6" t="str">
        <f>IFERROR(__xludf.DUMMYFUNCTION("""COMPUTED_VALUE"""),"")</f>
        <v/>
      </c>
      <c r="W3664" s="6" t="str">
        <f>IFERROR(__xludf.DUMMYFUNCTION("""COMPUTED_VALUE"""),"[]")</f>
        <v>[]</v>
      </c>
      <c r="X3664" s="6" t="str">
        <f>IFERROR(__xludf.DUMMYFUNCTION("""COMPUTED_VALUE"""),"Enrolled")</f>
        <v>Enrolled</v>
      </c>
    </row>
    <row r="3665">
      <c r="A3665" s="6" t="str">
        <f>IFERROR(__xludf.DUMMYFUNCTION("""COMPUTED_VALUE"""),"064-7177")</f>
        <v>064-7177</v>
      </c>
      <c r="B3665" s="6" t="str">
        <f>IFERROR(__xludf.DUMMYFUNCTION("""COMPUTED_VALUE"""),"64")</f>
        <v>64</v>
      </c>
      <c r="C3665" s="6" t="str">
        <f>IFERROR(__xludf.DUMMYFUNCTION("""COMPUTED_VALUE"""),"7177")</f>
        <v>7177</v>
      </c>
      <c r="D3665" s="6" t="str">
        <f>IFERROR(__xludf.DUMMYFUNCTION("""COMPUTED_VALUE"""),"Ella")</f>
        <v>Ella</v>
      </c>
      <c r="E3665" s="6" t="str">
        <f>IFERROR(__xludf.DUMMYFUNCTION("""COMPUTED_VALUE"""),"")</f>
        <v/>
      </c>
      <c r="F3665" s="6" t="str">
        <f>IFERROR(__xludf.DUMMYFUNCTION("""COMPUTED_VALUE"""),"Root")</f>
        <v>Root</v>
      </c>
      <c r="G3665" s="6" t="str">
        <f>IFERROR(__xludf.DUMMYFUNCTION("""COMPUTED_VALUE"""),"02/16/2012")</f>
        <v>02/16/2012</v>
      </c>
      <c r="H3665" s="6" t="str">
        <f>IFERROR(__xludf.DUMMYFUNCTION("""COMPUTED_VALUE"""),"female")</f>
        <v>female</v>
      </c>
      <c r="I3665" s="6" t="str">
        <f>IFERROR(__xludf.DUMMYFUNCTION("""COMPUTED_VALUE"""),"Middle School")</f>
        <v>Middle School</v>
      </c>
      <c r="J3665" s="6" t="str">
        <f>IFERROR(__xludf.DUMMYFUNCTION("""COMPUTED_VALUE"""),"8")</f>
        <v>8</v>
      </c>
      <c r="K3665" s="6" t="str">
        <f>IFERROR(__xludf.DUMMYFUNCTION("""COMPUTED_VALUE"""),"ella_root@stu.ortrail.k12.or.us")</f>
        <v>ella_root@stu.ortrail.k12.or.us</v>
      </c>
      <c r="L3665" s="6" t="str">
        <f>IFERROR(__xludf.DUMMYFUNCTION("""COMPUTED_VALUE"""),"Oregon Trail School District 46")</f>
        <v>Oregon Trail School District 46</v>
      </c>
      <c r="M3665" s="6" t="str">
        <f>IFERROR(__xludf.DUMMYFUNCTION("""COMPUTED_VALUE"""),"")</f>
        <v/>
      </c>
      <c r="N3665" s="6" t="str">
        <f>IFERROR(__xludf.DUMMYFUNCTION("""COMPUTED_VALUE"""),"")</f>
        <v/>
      </c>
      <c r="O3665" s="87" t="str">
        <f>IFERROR(__xludf.DUMMYFUNCTION("""COMPUTED_VALUE"""),"https://drive.google.com/drive/folders/10T2cTQHqEJZqE-st6uFKPoI?usp=share_link")</f>
        <v>https://drive.google.com/drive/folders/10T2cTQHqEJZqE-st6uFKPoI?usp=share_link</v>
      </c>
      <c r="P3665" s="6" t="str">
        <f>IFERROR(__xludf.DUMMYFUNCTION("""COMPUTED_VALUE"""),"Ella Root")</f>
        <v>Ella Root</v>
      </c>
      <c r="Q3665" s="6" t="str">
        <f>IFERROR(__xludf.DUMMYFUNCTION("""COMPUTED_VALUE"""),"MS")</f>
        <v>MS</v>
      </c>
      <c r="R3665" s="6">
        <f>IFERROR(__xludf.DUMMYFUNCTION("""COMPUTED_VALUE"""),0.0)</f>
        <v>0</v>
      </c>
      <c r="S3665" s="6" t="str">
        <f>IFERROR(__xludf.DUMMYFUNCTION("""COMPUTED_VALUE""")," ")</f>
        <v> </v>
      </c>
      <c r="T3665" s="6" t="str">
        <f>IFERROR(__xludf.DUMMYFUNCTION("""COMPUTED_VALUE"""),"")</f>
        <v/>
      </c>
      <c r="U3665" s="6" t="str">
        <f>IFERROR(__xludf.DUMMYFUNCTION("""COMPUTED_VALUE"""),"8")</f>
        <v>8</v>
      </c>
      <c r="V3665" s="6" t="str">
        <f>IFERROR(__xludf.DUMMYFUNCTION("""COMPUTED_VALUE"""),"")</f>
        <v/>
      </c>
      <c r="W3665" s="6" t="str">
        <f>IFERROR(__xludf.DUMMYFUNCTION("""COMPUTED_VALUE"""),"[]")</f>
        <v>[]</v>
      </c>
      <c r="X3665" s="6" t="str">
        <f>IFERROR(__xludf.DUMMYFUNCTION("""COMPUTED_VALUE"""),"Enrolled")</f>
        <v>Enrolled</v>
      </c>
    </row>
    <row r="3666">
      <c r="A3666" s="6" t="str">
        <f>IFERROR(__xludf.DUMMYFUNCTION("""COMPUTED_VALUE"""),"064-7181")</f>
        <v>064-7181</v>
      </c>
      <c r="B3666" s="6" t="str">
        <f>IFERROR(__xludf.DUMMYFUNCTION("""COMPUTED_VALUE"""),"64")</f>
        <v>64</v>
      </c>
      <c r="C3666" s="6" t="str">
        <f>IFERROR(__xludf.DUMMYFUNCTION("""COMPUTED_VALUE"""),"7181")</f>
        <v>7181</v>
      </c>
      <c r="D3666" s="6" t="str">
        <f>IFERROR(__xludf.DUMMYFUNCTION("""COMPUTED_VALUE"""),"Mack M.")</f>
        <v>Mack M.</v>
      </c>
      <c r="E3666" s="6" t="str">
        <f>IFERROR(__xludf.DUMMYFUNCTION("""COMPUTED_VALUE"""),"")</f>
        <v/>
      </c>
      <c r="F3666" s="6" t="str">
        <f>IFERROR(__xludf.DUMMYFUNCTION("""COMPUTED_VALUE"""),"Mclarty")</f>
        <v>Mclarty</v>
      </c>
      <c r="G3666" s="6" t="str">
        <f>IFERROR(__xludf.DUMMYFUNCTION("""COMPUTED_VALUE"""),"10/01/2013")</f>
        <v>10/01/2013</v>
      </c>
      <c r="H3666" s="6" t="str">
        <f>IFERROR(__xludf.DUMMYFUNCTION("""COMPUTED_VALUE"""),"Self Identify")</f>
        <v>Self Identify</v>
      </c>
      <c r="I3666" s="6" t="str">
        <f>IFERROR(__xludf.DUMMYFUNCTION("""COMPUTED_VALUE"""),"Middle School")</f>
        <v>Middle School</v>
      </c>
      <c r="J3666" s="6" t="str">
        <f>IFERROR(__xludf.DUMMYFUNCTION("""COMPUTED_VALUE"""),"6")</f>
        <v>6</v>
      </c>
      <c r="K3666" s="6" t="str">
        <f>IFERROR(__xludf.DUMMYFUNCTION("""COMPUTED_VALUE"""),"mack_mclarty@stu.ortrail.k12.or.us")</f>
        <v>mack_mclarty@stu.ortrail.k12.or.us</v>
      </c>
      <c r="L3666" s="6" t="str">
        <f>IFERROR(__xludf.DUMMYFUNCTION("""COMPUTED_VALUE"""),"Oregon Trail School District 46")</f>
        <v>Oregon Trail School District 46</v>
      </c>
      <c r="M3666" s="6" t="str">
        <f>IFERROR(__xludf.DUMMYFUNCTION("""COMPUTED_VALUE"""),"")</f>
        <v/>
      </c>
      <c r="N3666" s="6" t="str">
        <f>IFERROR(__xludf.DUMMYFUNCTION("""COMPUTED_VALUE"""),"")</f>
        <v/>
      </c>
      <c r="O3666" s="87" t="str">
        <f>IFERROR(__xludf.DUMMYFUNCTION("""COMPUTED_VALUE"""),"https://drive.google.com/drive/folders/10T2cTQHqEJZqE-st6uFKPoI?usp=share_link")</f>
        <v>https://drive.google.com/drive/folders/10T2cTQHqEJZqE-st6uFKPoI?usp=share_link</v>
      </c>
      <c r="P3666" s="6" t="str">
        <f>IFERROR(__xludf.DUMMYFUNCTION("""COMPUTED_VALUE"""),"Mack M. Mclarty")</f>
        <v>Mack M. Mclarty</v>
      </c>
      <c r="Q3666" s="6" t="str">
        <f>IFERROR(__xludf.DUMMYFUNCTION("""COMPUTED_VALUE"""),"MS")</f>
        <v>MS</v>
      </c>
      <c r="R3666" s="6">
        <f>IFERROR(__xludf.DUMMYFUNCTION("""COMPUTED_VALUE"""),0.0)</f>
        <v>0</v>
      </c>
      <c r="S3666" s="6" t="str">
        <f>IFERROR(__xludf.DUMMYFUNCTION("""COMPUTED_VALUE"""),"Genevra Self")</f>
        <v>Genevra Self</v>
      </c>
      <c r="T3666" s="6" t="str">
        <f>IFERROR(__xludf.DUMMYFUNCTION("""COMPUTED_VALUE"""),"genevra.self@studient.com")</f>
        <v>genevra.self@studient.com</v>
      </c>
      <c r="U3666" s="6" t="str">
        <f>IFERROR(__xludf.DUMMYFUNCTION("""COMPUTED_VALUE"""),"6")</f>
        <v>6</v>
      </c>
      <c r="V3666" s="6" t="str">
        <f>IFERROR(__xludf.DUMMYFUNCTION("""COMPUTED_VALUE"""),"")</f>
        <v/>
      </c>
      <c r="W3666" s="6" t="str">
        <f>IFERROR(__xludf.DUMMYFUNCTION("""COMPUTED_VALUE"""),"[]")</f>
        <v>[]</v>
      </c>
      <c r="X3666" s="6" t="str">
        <f>IFERROR(__xludf.DUMMYFUNCTION("""COMPUTED_VALUE"""),"Enrolled")</f>
        <v>Enrolled</v>
      </c>
    </row>
    <row r="3667">
      <c r="A3667" s="6" t="str">
        <f>IFERROR(__xludf.DUMMYFUNCTION("""COMPUTED_VALUE"""),"064-7281")</f>
        <v>064-7281</v>
      </c>
      <c r="B3667" s="6" t="str">
        <f>IFERROR(__xludf.DUMMYFUNCTION("""COMPUTED_VALUE"""),"64")</f>
        <v>64</v>
      </c>
      <c r="C3667" s="6" t="str">
        <f>IFERROR(__xludf.DUMMYFUNCTION("""COMPUTED_VALUE"""),"7281")</f>
        <v>7281</v>
      </c>
      <c r="D3667" s="6" t="str">
        <f>IFERROR(__xludf.DUMMYFUNCTION("""COMPUTED_VALUE"""),"Juan")</f>
        <v>Juan</v>
      </c>
      <c r="E3667" s="6" t="str">
        <f>IFERROR(__xludf.DUMMYFUNCTION("""COMPUTED_VALUE"""),"")</f>
        <v/>
      </c>
      <c r="F3667" s="6" t="str">
        <f>IFERROR(__xludf.DUMMYFUNCTION("""COMPUTED_VALUE"""),"Romero Perez")</f>
        <v>Romero Perez</v>
      </c>
      <c r="G3667" s="6" t="str">
        <f>IFERROR(__xludf.DUMMYFUNCTION("""COMPUTED_VALUE"""),"10/29/2009")</f>
        <v>10/29/2009</v>
      </c>
      <c r="H3667" s="6" t="str">
        <f>IFERROR(__xludf.DUMMYFUNCTION("""COMPUTED_VALUE"""),"Self Identify")</f>
        <v>Self Identify</v>
      </c>
      <c r="I3667" s="6" t="str">
        <f>IFERROR(__xludf.DUMMYFUNCTION("""COMPUTED_VALUE"""),"High School")</f>
        <v>High School</v>
      </c>
      <c r="J3667" s="6" t="str">
        <f>IFERROR(__xludf.DUMMYFUNCTION("""COMPUTED_VALUE"""),"10")</f>
        <v>10</v>
      </c>
      <c r="K3667" s="6" t="str">
        <f>IFERROR(__xludf.DUMMYFUNCTION("""COMPUTED_VALUE"""),"juan_romeroperez@stu.ortrail.k12.or.us")</f>
        <v>juan_romeroperez@stu.ortrail.k12.or.us</v>
      </c>
      <c r="L3667" s="6" t="str">
        <f>IFERROR(__xludf.DUMMYFUNCTION("""COMPUTED_VALUE"""),"Oregon Trail School District 46")</f>
        <v>Oregon Trail School District 46</v>
      </c>
      <c r="M3667" s="6" t="str">
        <f>IFERROR(__xludf.DUMMYFUNCTION("""COMPUTED_VALUE"""),"Sandy High School")</f>
        <v>Sandy High School</v>
      </c>
      <c r="N3667" s="6" t="str">
        <f>IFERROR(__xludf.DUMMYFUNCTION("""COMPUTED_VALUE"""),"")</f>
        <v/>
      </c>
      <c r="O3667" s="87" t="str">
        <f>IFERROR(__xludf.DUMMYFUNCTION("""COMPUTED_VALUE"""),"https://drive.google.com/drive/folders/10T2cTQHqEJZqE-st6uFKPoI?usp=share_link")</f>
        <v>https://drive.google.com/drive/folders/10T2cTQHqEJZqE-st6uFKPoI?usp=share_link</v>
      </c>
      <c r="P3667" s="6" t="str">
        <f>IFERROR(__xludf.DUMMYFUNCTION("""COMPUTED_VALUE"""),"Juan Romero Perez")</f>
        <v>Juan Romero Perez</v>
      </c>
      <c r="Q3667" s="6" t="str">
        <f>IFERROR(__xludf.DUMMYFUNCTION("""COMPUTED_VALUE"""),"HS")</f>
        <v>HS</v>
      </c>
      <c r="R3667" s="6">
        <f>IFERROR(__xludf.DUMMYFUNCTION("""COMPUTED_VALUE"""),0.0)</f>
        <v>0</v>
      </c>
      <c r="S3667" s="6" t="str">
        <f>IFERROR(__xludf.DUMMYFUNCTION("""COMPUTED_VALUE"""),"Lindsay Polk")</f>
        <v>Lindsay Polk</v>
      </c>
      <c r="T3667" s="6" t="str">
        <f>IFERROR(__xludf.DUMMYFUNCTION("""COMPUTED_VALUE"""),"lindsay.polk@ortrail.k12.or.us")</f>
        <v>lindsay.polk@ortrail.k12.or.us</v>
      </c>
      <c r="U3667" s="6" t="str">
        <f>IFERROR(__xludf.DUMMYFUNCTION("""COMPUTED_VALUE"""),"10")</f>
        <v>10</v>
      </c>
      <c r="V3667" s="6" t="str">
        <f>IFERROR(__xludf.DUMMYFUNCTION("""COMPUTED_VALUE"""),"English")</f>
        <v>English</v>
      </c>
      <c r="W3667" s="6" t="str">
        <f>IFERROR(__xludf.DUMMYFUNCTION("""COMPUTED_VALUE"""),"[]")</f>
        <v>[]</v>
      </c>
      <c r="X3667" s="6" t="str">
        <f>IFERROR(__xludf.DUMMYFUNCTION("""COMPUTED_VALUE"""),"Enrolled")</f>
        <v>Enrolled</v>
      </c>
    </row>
    <row r="3668">
      <c r="A3668" s="6" t="str">
        <f>IFERROR(__xludf.DUMMYFUNCTION("""COMPUTED_VALUE"""),"064-7282")</f>
        <v>064-7282</v>
      </c>
      <c r="B3668" s="6" t="str">
        <f>IFERROR(__xludf.DUMMYFUNCTION("""COMPUTED_VALUE"""),"64")</f>
        <v>64</v>
      </c>
      <c r="C3668" s="6" t="str">
        <f>IFERROR(__xludf.DUMMYFUNCTION("""COMPUTED_VALUE"""),"7282")</f>
        <v>7282</v>
      </c>
      <c r="D3668" s="6" t="str">
        <f>IFERROR(__xludf.DUMMYFUNCTION("""COMPUTED_VALUE"""),"Rylynn")</f>
        <v>Rylynn</v>
      </c>
      <c r="E3668" s="6" t="str">
        <f>IFERROR(__xludf.DUMMYFUNCTION("""COMPUTED_VALUE"""),"")</f>
        <v/>
      </c>
      <c r="F3668" s="6" t="str">
        <f>IFERROR(__xludf.DUMMYFUNCTION("""COMPUTED_VALUE"""),"Damm")</f>
        <v>Damm</v>
      </c>
      <c r="G3668" s="6" t="str">
        <f>IFERROR(__xludf.DUMMYFUNCTION("""COMPUTED_VALUE"""),"04/26/2013")</f>
        <v>04/26/2013</v>
      </c>
      <c r="H3668" s="6" t="str">
        <f>IFERROR(__xludf.DUMMYFUNCTION("""COMPUTED_VALUE"""),"Self Identify")</f>
        <v>Self Identify</v>
      </c>
      <c r="I3668" s="6" t="str">
        <f>IFERROR(__xludf.DUMMYFUNCTION("""COMPUTED_VALUE"""),"Middle School")</f>
        <v>Middle School</v>
      </c>
      <c r="J3668" s="6" t="str">
        <f>IFERROR(__xludf.DUMMYFUNCTION("""COMPUTED_VALUE"""),"7")</f>
        <v>7</v>
      </c>
      <c r="K3668" s="6" t="str">
        <f>IFERROR(__xludf.DUMMYFUNCTION("""COMPUTED_VALUE"""),"rylynn_damm@stu.ortrail.k12.or.us")</f>
        <v>rylynn_damm@stu.ortrail.k12.or.us</v>
      </c>
      <c r="L3668" s="6" t="str">
        <f>IFERROR(__xludf.DUMMYFUNCTION("""COMPUTED_VALUE"""),"Oregon Trail School District 46")</f>
        <v>Oregon Trail School District 46</v>
      </c>
      <c r="M3668" s="6" t="str">
        <f>IFERROR(__xludf.DUMMYFUNCTION("""COMPUTED_VALUE"""),"Cedar Ridge Middle School")</f>
        <v>Cedar Ridge Middle School</v>
      </c>
      <c r="N3668" s="6" t="str">
        <f>IFERROR(__xludf.DUMMYFUNCTION("""COMPUTED_VALUE"""),"")</f>
        <v/>
      </c>
      <c r="O3668" s="87" t="str">
        <f>IFERROR(__xludf.DUMMYFUNCTION("""COMPUTED_VALUE"""),"https://drive.google.com/drive/folders/10T2cTQHqEJZqE-st6uFKPoI?usp=share_link")</f>
        <v>https://drive.google.com/drive/folders/10T2cTQHqEJZqE-st6uFKPoI?usp=share_link</v>
      </c>
      <c r="P3668" s="6" t="str">
        <f>IFERROR(__xludf.DUMMYFUNCTION("""COMPUTED_VALUE"""),"Rylynn Damm")</f>
        <v>Rylynn Damm</v>
      </c>
      <c r="Q3668" s="6" t="str">
        <f>IFERROR(__xludf.DUMMYFUNCTION("""COMPUTED_VALUE"""),"MS")</f>
        <v>MS</v>
      </c>
      <c r="R3668" s="6">
        <f>IFERROR(__xludf.DUMMYFUNCTION("""COMPUTED_VALUE"""),0.0)</f>
        <v>0</v>
      </c>
      <c r="S3668" s="6" t="str">
        <f>IFERROR(__xludf.DUMMYFUNCTION("""COMPUTED_VALUE"""),"Ryan Shanks")</f>
        <v>Ryan Shanks</v>
      </c>
      <c r="T3668" s="6" t="str">
        <f>IFERROR(__xludf.DUMMYFUNCTION("""COMPUTED_VALUE"""),"ryan.shanks@ortrail.k12.or.us")</f>
        <v>ryan.shanks@ortrail.k12.or.us</v>
      </c>
      <c r="U3668" s="6" t="str">
        <f>IFERROR(__xludf.DUMMYFUNCTION("""COMPUTED_VALUE"""),"7")</f>
        <v>7</v>
      </c>
      <c r="V3668" s="6" t="str">
        <f>IFERROR(__xludf.DUMMYFUNCTION("""COMPUTED_VALUE"""),"English")</f>
        <v>English</v>
      </c>
      <c r="W3668" s="6" t="str">
        <f>IFERROR(__xludf.DUMMYFUNCTION("""COMPUTED_VALUE"""),"[]")</f>
        <v>[]</v>
      </c>
      <c r="X3668" s="6" t="str">
        <f>IFERROR(__xludf.DUMMYFUNCTION("""COMPUTED_VALUE"""),"Enrolled")</f>
        <v>Enrolled</v>
      </c>
    </row>
    <row r="3669">
      <c r="A3669" s="6" t="str">
        <f>IFERROR(__xludf.DUMMYFUNCTION("""COMPUTED_VALUE"""),"064-7283")</f>
        <v>064-7283</v>
      </c>
      <c r="B3669" s="6" t="str">
        <f>IFERROR(__xludf.DUMMYFUNCTION("""COMPUTED_VALUE"""),"64")</f>
        <v>64</v>
      </c>
      <c r="C3669" s="6" t="str">
        <f>IFERROR(__xludf.DUMMYFUNCTION("""COMPUTED_VALUE"""),"7283")</f>
        <v>7283</v>
      </c>
      <c r="D3669" s="6" t="str">
        <f>IFERROR(__xludf.DUMMYFUNCTION("""COMPUTED_VALUE"""),"Rylie")</f>
        <v>Rylie</v>
      </c>
      <c r="E3669" s="6" t="str">
        <f>IFERROR(__xludf.DUMMYFUNCTION("""COMPUTED_VALUE"""),"")</f>
        <v/>
      </c>
      <c r="F3669" s="6" t="str">
        <f>IFERROR(__xludf.DUMMYFUNCTION("""COMPUTED_VALUE"""),"Walters")</f>
        <v>Walters</v>
      </c>
      <c r="G3669" s="6" t="str">
        <f>IFERROR(__xludf.DUMMYFUNCTION("""COMPUTED_VALUE"""),"01/24/2011")</f>
        <v>01/24/2011</v>
      </c>
      <c r="H3669" s="6" t="str">
        <f>IFERROR(__xludf.DUMMYFUNCTION("""COMPUTED_VALUE"""),"Self Identify")</f>
        <v>Self Identify</v>
      </c>
      <c r="I3669" s="6" t="str">
        <f>IFERROR(__xludf.DUMMYFUNCTION("""COMPUTED_VALUE"""),"High School")</f>
        <v>High School</v>
      </c>
      <c r="J3669" s="6" t="str">
        <f>IFERROR(__xludf.DUMMYFUNCTION("""COMPUTED_VALUE"""),"9")</f>
        <v>9</v>
      </c>
      <c r="K3669" s="6" t="str">
        <f>IFERROR(__xludf.DUMMYFUNCTION("""COMPUTED_VALUE"""),"rylie_walters@stu.ortrail.k12.or.us")</f>
        <v>rylie_walters@stu.ortrail.k12.or.us</v>
      </c>
      <c r="L3669" s="6" t="str">
        <f>IFERROR(__xludf.DUMMYFUNCTION("""COMPUTED_VALUE"""),"Oregon Trail School District 46")</f>
        <v>Oregon Trail School District 46</v>
      </c>
      <c r="M3669" s="6" t="str">
        <f>IFERROR(__xludf.DUMMYFUNCTION("""COMPUTED_VALUE"""),"Sandy High School")</f>
        <v>Sandy High School</v>
      </c>
      <c r="N3669" s="6" t="str">
        <f>IFERROR(__xludf.DUMMYFUNCTION("""COMPUTED_VALUE"""),"")</f>
        <v/>
      </c>
      <c r="O3669" s="87" t="str">
        <f>IFERROR(__xludf.DUMMYFUNCTION("""COMPUTED_VALUE"""),"https://drive.google.com/drive/folders/10T2cTQHqEJZqE-st6uFKPoI?usp=share_link")</f>
        <v>https://drive.google.com/drive/folders/10T2cTQHqEJZqE-st6uFKPoI?usp=share_link</v>
      </c>
      <c r="P3669" s="6" t="str">
        <f>IFERROR(__xludf.DUMMYFUNCTION("""COMPUTED_VALUE"""),"Rylie Walters")</f>
        <v>Rylie Walters</v>
      </c>
      <c r="Q3669" s="6" t="str">
        <f>IFERROR(__xludf.DUMMYFUNCTION("""COMPUTED_VALUE"""),"HS")</f>
        <v>HS</v>
      </c>
      <c r="R3669" s="6">
        <f>IFERROR(__xludf.DUMMYFUNCTION("""COMPUTED_VALUE"""),0.0)</f>
        <v>0</v>
      </c>
      <c r="S3669" s="6" t="str">
        <f>IFERROR(__xludf.DUMMYFUNCTION("""COMPUTED_VALUE"""),"Tiffany Pfenning")</f>
        <v>Tiffany Pfenning</v>
      </c>
      <c r="T3669" s="6" t="str">
        <f>IFERROR(__xludf.DUMMYFUNCTION("""COMPUTED_VALUE"""),"tiffany.pfenning@ortrail.k12.or.us")</f>
        <v>tiffany.pfenning@ortrail.k12.or.us</v>
      </c>
      <c r="U3669" s="6" t="str">
        <f>IFERROR(__xludf.DUMMYFUNCTION("""COMPUTED_VALUE"""),"9")</f>
        <v>9</v>
      </c>
      <c r="V3669" s="6" t="str">
        <f>IFERROR(__xludf.DUMMYFUNCTION("""COMPUTED_VALUE"""),"English")</f>
        <v>English</v>
      </c>
      <c r="W3669" s="6" t="str">
        <f>IFERROR(__xludf.DUMMYFUNCTION("""COMPUTED_VALUE"""),"[]")</f>
        <v>[]</v>
      </c>
      <c r="X3669" s="6" t="str">
        <f>IFERROR(__xludf.DUMMYFUNCTION("""COMPUTED_VALUE"""),"Enrolled")</f>
        <v>Enrolled</v>
      </c>
    </row>
    <row r="3670">
      <c r="A3670" s="6" t="str">
        <f>IFERROR(__xludf.DUMMYFUNCTION("""COMPUTED_VALUE"""),"064-7285")</f>
        <v>064-7285</v>
      </c>
      <c r="B3670" s="6" t="str">
        <f>IFERROR(__xludf.DUMMYFUNCTION("""COMPUTED_VALUE"""),"64")</f>
        <v>64</v>
      </c>
      <c r="C3670" s="6" t="str">
        <f>IFERROR(__xludf.DUMMYFUNCTION("""COMPUTED_VALUE"""),"7285")</f>
        <v>7285</v>
      </c>
      <c r="D3670" s="6" t="str">
        <f>IFERROR(__xludf.DUMMYFUNCTION("""COMPUTED_VALUE"""),"Zackery")</f>
        <v>Zackery</v>
      </c>
      <c r="E3670" s="6" t="str">
        <f>IFERROR(__xludf.DUMMYFUNCTION("""COMPUTED_VALUE"""),"")</f>
        <v/>
      </c>
      <c r="F3670" s="6" t="str">
        <f>IFERROR(__xludf.DUMMYFUNCTION("""COMPUTED_VALUE"""),"Willard")</f>
        <v>Willard</v>
      </c>
      <c r="G3670" s="6" t="str">
        <f>IFERROR(__xludf.DUMMYFUNCTION("""COMPUTED_VALUE"""),"05/13/2009")</f>
        <v>05/13/2009</v>
      </c>
      <c r="H3670" s="6" t="str">
        <f>IFERROR(__xludf.DUMMYFUNCTION("""COMPUTED_VALUE"""),"Self Identify")</f>
        <v>Self Identify</v>
      </c>
      <c r="I3670" s="6" t="str">
        <f>IFERROR(__xludf.DUMMYFUNCTION("""COMPUTED_VALUE"""),"High School")</f>
        <v>High School</v>
      </c>
      <c r="J3670" s="6" t="str">
        <f>IFERROR(__xludf.DUMMYFUNCTION("""COMPUTED_VALUE"""),"11")</f>
        <v>11</v>
      </c>
      <c r="K3670" s="6" t="str">
        <f>IFERROR(__xludf.DUMMYFUNCTION("""COMPUTED_VALUE"""),"zack_willard@stu.ortrail.k12.or.us")</f>
        <v>zack_willard@stu.ortrail.k12.or.us</v>
      </c>
      <c r="L3670" s="6" t="str">
        <f>IFERROR(__xludf.DUMMYFUNCTION("""COMPUTED_VALUE"""),"Oregon Trail School District 46")</f>
        <v>Oregon Trail School District 46</v>
      </c>
      <c r="M3670" s="6" t="str">
        <f>IFERROR(__xludf.DUMMYFUNCTION("""COMPUTED_VALUE"""),"Sandy High School")</f>
        <v>Sandy High School</v>
      </c>
      <c r="N3670" s="6" t="str">
        <f>IFERROR(__xludf.DUMMYFUNCTION("""COMPUTED_VALUE"""),"")</f>
        <v/>
      </c>
      <c r="O3670" s="87" t="str">
        <f>IFERROR(__xludf.DUMMYFUNCTION("""COMPUTED_VALUE"""),"https://drive.google.com/drive/folders/10T2cTQHqEJZqE-st6uFKPoI?usp=share_link")</f>
        <v>https://drive.google.com/drive/folders/10T2cTQHqEJZqE-st6uFKPoI?usp=share_link</v>
      </c>
      <c r="P3670" s="6" t="str">
        <f>IFERROR(__xludf.DUMMYFUNCTION("""COMPUTED_VALUE"""),"Zackery Willard")</f>
        <v>Zackery Willard</v>
      </c>
      <c r="Q3670" s="6" t="str">
        <f>IFERROR(__xludf.DUMMYFUNCTION("""COMPUTED_VALUE"""),"HS")</f>
        <v>HS</v>
      </c>
      <c r="R3670" s="6">
        <f>IFERROR(__xludf.DUMMYFUNCTION("""COMPUTED_VALUE"""),0.0)</f>
        <v>0</v>
      </c>
      <c r="S3670" s="6" t="str">
        <f>IFERROR(__xludf.DUMMYFUNCTION("""COMPUTED_VALUE"""),"Megan Montellano")</f>
        <v>Megan Montellano</v>
      </c>
      <c r="T3670" s="6" t="str">
        <f>IFERROR(__xludf.DUMMYFUNCTION("""COMPUTED_VALUE"""),"megan.montellano@ortrail.k12.or.us")</f>
        <v>megan.montellano@ortrail.k12.or.us</v>
      </c>
      <c r="U3670" s="6" t="str">
        <f>IFERROR(__xludf.DUMMYFUNCTION("""COMPUTED_VALUE"""),"11")</f>
        <v>11</v>
      </c>
      <c r="V3670" s="6" t="str">
        <f>IFERROR(__xludf.DUMMYFUNCTION("""COMPUTED_VALUE"""),"English")</f>
        <v>English</v>
      </c>
      <c r="W3670" s="6" t="str">
        <f>IFERROR(__xludf.DUMMYFUNCTION("""COMPUTED_VALUE"""),"[]")</f>
        <v>[]</v>
      </c>
      <c r="X3670" s="6" t="str">
        <f>IFERROR(__xludf.DUMMYFUNCTION("""COMPUTED_VALUE"""),"Enrolled")</f>
        <v>Enrolled</v>
      </c>
    </row>
    <row r="3671">
      <c r="A3671" s="6" t="str">
        <f>IFERROR(__xludf.DUMMYFUNCTION("""COMPUTED_VALUE"""),"064-7287")</f>
        <v>064-7287</v>
      </c>
      <c r="B3671" s="6" t="str">
        <f>IFERROR(__xludf.DUMMYFUNCTION("""COMPUTED_VALUE"""),"64")</f>
        <v>64</v>
      </c>
      <c r="C3671" s="6" t="str">
        <f>IFERROR(__xludf.DUMMYFUNCTION("""COMPUTED_VALUE"""),"7287")</f>
        <v>7287</v>
      </c>
      <c r="D3671" s="6" t="str">
        <f>IFERROR(__xludf.DUMMYFUNCTION("""COMPUTED_VALUE"""),"Julian")</f>
        <v>Julian</v>
      </c>
      <c r="E3671" s="6" t="str">
        <f>IFERROR(__xludf.DUMMYFUNCTION("""COMPUTED_VALUE"""),"")</f>
        <v/>
      </c>
      <c r="F3671" s="6" t="str">
        <f>IFERROR(__xludf.DUMMYFUNCTION("""COMPUTED_VALUE"""),"Patton")</f>
        <v>Patton</v>
      </c>
      <c r="G3671" s="6" t="str">
        <f>IFERROR(__xludf.DUMMYFUNCTION("""COMPUTED_VALUE"""),"05/28/2011")</f>
        <v>05/28/2011</v>
      </c>
      <c r="H3671" s="6" t="str">
        <f>IFERROR(__xludf.DUMMYFUNCTION("""COMPUTED_VALUE"""),"Self Identify")</f>
        <v>Self Identify</v>
      </c>
      <c r="I3671" s="6" t="str">
        <f>IFERROR(__xludf.DUMMYFUNCTION("""COMPUTED_VALUE"""),"High School")</f>
        <v>High School</v>
      </c>
      <c r="J3671" s="6" t="str">
        <f>IFERROR(__xludf.DUMMYFUNCTION("""COMPUTED_VALUE"""),"9")</f>
        <v>9</v>
      </c>
      <c r="K3671" s="6" t="str">
        <f>IFERROR(__xludf.DUMMYFUNCTION("""COMPUTED_VALUE"""),"julian_patton@stu.ortrail.k12.or.us")</f>
        <v>julian_patton@stu.ortrail.k12.or.us</v>
      </c>
      <c r="L3671" s="6" t="str">
        <f>IFERROR(__xludf.DUMMYFUNCTION("""COMPUTED_VALUE"""),"Oregon Trail School District 46")</f>
        <v>Oregon Trail School District 46</v>
      </c>
      <c r="M3671" s="6" t="str">
        <f>IFERROR(__xludf.DUMMYFUNCTION("""COMPUTED_VALUE"""),"Sandy High School")</f>
        <v>Sandy High School</v>
      </c>
      <c r="N3671" s="6" t="str">
        <f>IFERROR(__xludf.DUMMYFUNCTION("""COMPUTED_VALUE"""),"")</f>
        <v/>
      </c>
      <c r="O3671" s="87" t="str">
        <f>IFERROR(__xludf.DUMMYFUNCTION("""COMPUTED_VALUE"""),"https://drive.google.com/drive/folders/10T2cTQHqEJZqE-st6uFKPoI?usp=share_link")</f>
        <v>https://drive.google.com/drive/folders/10T2cTQHqEJZqE-st6uFKPoI?usp=share_link</v>
      </c>
      <c r="P3671" s="6" t="str">
        <f>IFERROR(__xludf.DUMMYFUNCTION("""COMPUTED_VALUE"""),"Julian Patton")</f>
        <v>Julian Patton</v>
      </c>
      <c r="Q3671" s="6" t="str">
        <f>IFERROR(__xludf.DUMMYFUNCTION("""COMPUTED_VALUE"""),"HS")</f>
        <v>HS</v>
      </c>
      <c r="R3671" s="6">
        <f>IFERROR(__xludf.DUMMYFUNCTION("""COMPUTED_VALUE"""),0.0)</f>
        <v>0</v>
      </c>
      <c r="S3671" s="6" t="str">
        <f>IFERROR(__xludf.DUMMYFUNCTION("""COMPUTED_VALUE"""),"Trevor Jones")</f>
        <v>Trevor Jones</v>
      </c>
      <c r="T3671" s="6" t="str">
        <f>IFERROR(__xludf.DUMMYFUNCTION("""COMPUTED_VALUE"""),"trevor.jones@ortrail.k12.or.us")</f>
        <v>trevor.jones@ortrail.k12.or.us</v>
      </c>
      <c r="U3671" s="6" t="str">
        <f>IFERROR(__xludf.DUMMYFUNCTION("""COMPUTED_VALUE"""),"9")</f>
        <v>9</v>
      </c>
      <c r="V3671" s="6" t="str">
        <f>IFERROR(__xludf.DUMMYFUNCTION("""COMPUTED_VALUE"""),"English")</f>
        <v>English</v>
      </c>
      <c r="W3671" s="6" t="str">
        <f>IFERROR(__xludf.DUMMYFUNCTION("""COMPUTED_VALUE"""),"[]")</f>
        <v>[]</v>
      </c>
      <c r="X3671" s="6" t="str">
        <f>IFERROR(__xludf.DUMMYFUNCTION("""COMPUTED_VALUE"""),"Enrolled")</f>
        <v>Enrolled</v>
      </c>
    </row>
    <row r="3672">
      <c r="A3672" s="6" t="str">
        <f>IFERROR(__xludf.DUMMYFUNCTION("""COMPUTED_VALUE"""),"064-7289")</f>
        <v>064-7289</v>
      </c>
      <c r="B3672" s="6" t="str">
        <f>IFERROR(__xludf.DUMMYFUNCTION("""COMPUTED_VALUE"""),"64")</f>
        <v>64</v>
      </c>
      <c r="C3672" s="6" t="str">
        <f>IFERROR(__xludf.DUMMYFUNCTION("""COMPUTED_VALUE"""),"7289")</f>
        <v>7289</v>
      </c>
      <c r="D3672" s="6" t="str">
        <f>IFERROR(__xludf.DUMMYFUNCTION("""COMPUTED_VALUE"""),"Isabel")</f>
        <v>Isabel</v>
      </c>
      <c r="E3672" s="6" t="str">
        <f>IFERROR(__xludf.DUMMYFUNCTION("""COMPUTED_VALUE"""),"")</f>
        <v/>
      </c>
      <c r="F3672" s="6" t="str">
        <f>IFERROR(__xludf.DUMMYFUNCTION("""COMPUTED_VALUE"""),"Morones")</f>
        <v>Morones</v>
      </c>
      <c r="G3672" s="6" t="str">
        <f>IFERROR(__xludf.DUMMYFUNCTION("""COMPUTED_VALUE"""),"07/14/2010")</f>
        <v>07/14/2010</v>
      </c>
      <c r="H3672" s="6" t="str">
        <f>IFERROR(__xludf.DUMMYFUNCTION("""COMPUTED_VALUE"""),"Self Identify")</f>
        <v>Self Identify</v>
      </c>
      <c r="I3672" s="6" t="str">
        <f>IFERROR(__xludf.DUMMYFUNCTION("""COMPUTED_VALUE"""),"High School")</f>
        <v>High School</v>
      </c>
      <c r="J3672" s="6" t="str">
        <f>IFERROR(__xludf.DUMMYFUNCTION("""COMPUTED_VALUE"""),"10")</f>
        <v>10</v>
      </c>
      <c r="K3672" s="6" t="str">
        <f>IFERROR(__xludf.DUMMYFUNCTION("""COMPUTED_VALUE"""),"izzy_morones@stu.ortrail.k12.or.us")</f>
        <v>izzy_morones@stu.ortrail.k12.or.us</v>
      </c>
      <c r="L3672" s="6" t="str">
        <f>IFERROR(__xludf.DUMMYFUNCTION("""COMPUTED_VALUE"""),"Oregon Trail School District 46")</f>
        <v>Oregon Trail School District 46</v>
      </c>
      <c r="M3672" s="6" t="str">
        <f>IFERROR(__xludf.DUMMYFUNCTION("""COMPUTED_VALUE"""),"Sandy High School")</f>
        <v>Sandy High School</v>
      </c>
      <c r="N3672" s="6" t="str">
        <f>IFERROR(__xludf.DUMMYFUNCTION("""COMPUTED_VALUE"""),"")</f>
        <v/>
      </c>
      <c r="O3672" s="87" t="str">
        <f>IFERROR(__xludf.DUMMYFUNCTION("""COMPUTED_VALUE"""),"https://drive.google.com/drive/folders/10T2cTQHqEJZqE-st6uFKPoI?usp=share_link")</f>
        <v>https://drive.google.com/drive/folders/10T2cTQHqEJZqE-st6uFKPoI?usp=share_link</v>
      </c>
      <c r="P3672" s="6" t="str">
        <f>IFERROR(__xludf.DUMMYFUNCTION("""COMPUTED_VALUE"""),"Isabel Morones")</f>
        <v>Isabel Morones</v>
      </c>
      <c r="Q3672" s="6" t="str">
        <f>IFERROR(__xludf.DUMMYFUNCTION("""COMPUTED_VALUE"""),"HS")</f>
        <v>HS</v>
      </c>
      <c r="R3672" s="6">
        <f>IFERROR(__xludf.DUMMYFUNCTION("""COMPUTED_VALUE"""),0.0)</f>
        <v>0</v>
      </c>
      <c r="S3672" s="6" t="str">
        <f>IFERROR(__xludf.DUMMYFUNCTION("""COMPUTED_VALUE"""),"Molly Marple")</f>
        <v>Molly Marple</v>
      </c>
      <c r="T3672" s="6" t="str">
        <f>IFERROR(__xludf.DUMMYFUNCTION("""COMPUTED_VALUE"""),"molly.marple@ortrail.k12.or.us")</f>
        <v>molly.marple@ortrail.k12.or.us</v>
      </c>
      <c r="U3672" s="6" t="str">
        <f>IFERROR(__xludf.DUMMYFUNCTION("""COMPUTED_VALUE"""),"10")</f>
        <v>10</v>
      </c>
      <c r="V3672" s="6" t="str">
        <f>IFERROR(__xludf.DUMMYFUNCTION("""COMPUTED_VALUE"""),"Englsih")</f>
        <v>Englsih</v>
      </c>
      <c r="W3672" s="6" t="str">
        <f>IFERROR(__xludf.DUMMYFUNCTION("""COMPUTED_VALUE"""),"[]")</f>
        <v>[]</v>
      </c>
      <c r="X3672" s="6" t="str">
        <f>IFERROR(__xludf.DUMMYFUNCTION("""COMPUTED_VALUE"""),"Enrolled")</f>
        <v>Enrolled</v>
      </c>
    </row>
    <row r="3673">
      <c r="A3673" s="6" t="str">
        <f>IFERROR(__xludf.DUMMYFUNCTION("""COMPUTED_VALUE"""),"064-7338")</f>
        <v>064-7338</v>
      </c>
      <c r="B3673" s="6" t="str">
        <f>IFERROR(__xludf.DUMMYFUNCTION("""COMPUTED_VALUE"""),"64")</f>
        <v>64</v>
      </c>
      <c r="C3673" s="6" t="str">
        <f>IFERROR(__xludf.DUMMYFUNCTION("""COMPUTED_VALUE"""),"7338")</f>
        <v>7338</v>
      </c>
      <c r="D3673" s="6" t="str">
        <f>IFERROR(__xludf.DUMMYFUNCTION("""COMPUTED_VALUE"""),"Riley")</f>
        <v>Riley</v>
      </c>
      <c r="E3673" s="6" t="str">
        <f>IFERROR(__xludf.DUMMYFUNCTION("""COMPUTED_VALUE"""),"")</f>
        <v/>
      </c>
      <c r="F3673" s="6" t="str">
        <f>IFERROR(__xludf.DUMMYFUNCTION("""COMPUTED_VALUE"""),"Stark")</f>
        <v>Stark</v>
      </c>
      <c r="G3673" s="6" t="str">
        <f>IFERROR(__xludf.DUMMYFUNCTION("""COMPUTED_VALUE"""),"07/27/2012")</f>
        <v>07/27/2012</v>
      </c>
      <c r="H3673" s="6" t="str">
        <f>IFERROR(__xludf.DUMMYFUNCTION("""COMPUTED_VALUE"""),"Self Identify")</f>
        <v>Self Identify</v>
      </c>
      <c r="I3673" s="6" t="str">
        <f>IFERROR(__xludf.DUMMYFUNCTION("""COMPUTED_VALUE"""),"Middle School")</f>
        <v>Middle School</v>
      </c>
      <c r="J3673" s="6" t="str">
        <f>IFERROR(__xludf.DUMMYFUNCTION("""COMPUTED_VALUE"""),"8")</f>
        <v>8</v>
      </c>
      <c r="K3673" s="6" t="str">
        <f>IFERROR(__xludf.DUMMYFUNCTION("""COMPUTED_VALUE"""),"riley_stark@stu.ortrail.k12.or.us")</f>
        <v>riley_stark@stu.ortrail.k12.or.us</v>
      </c>
      <c r="L3673" s="6" t="str">
        <f>IFERROR(__xludf.DUMMYFUNCTION("""COMPUTED_VALUE"""),"Oregon Trail School District 46")</f>
        <v>Oregon Trail School District 46</v>
      </c>
      <c r="M3673" s="6" t="str">
        <f>IFERROR(__xludf.DUMMYFUNCTION("""COMPUTED_VALUE"""),"Cedar Ridge Middle School")</f>
        <v>Cedar Ridge Middle School</v>
      </c>
      <c r="N3673" s="6" t="str">
        <f>IFERROR(__xludf.DUMMYFUNCTION("""COMPUTED_VALUE"""),"")</f>
        <v/>
      </c>
      <c r="O3673" s="87" t="str">
        <f>IFERROR(__xludf.DUMMYFUNCTION("""COMPUTED_VALUE"""),"https://drive.google.com/drive/folders/10T2cTQHqEJZqE-st6uFKPoI?usp=share_link")</f>
        <v>https://drive.google.com/drive/folders/10T2cTQHqEJZqE-st6uFKPoI?usp=share_link</v>
      </c>
      <c r="P3673" s="6" t="str">
        <f>IFERROR(__xludf.DUMMYFUNCTION("""COMPUTED_VALUE"""),"Riley Stark")</f>
        <v>Riley Stark</v>
      </c>
      <c r="Q3673" s="6" t="str">
        <f>IFERROR(__xludf.DUMMYFUNCTION("""COMPUTED_VALUE"""),"MS")</f>
        <v>MS</v>
      </c>
      <c r="R3673" s="6">
        <f>IFERROR(__xludf.DUMMYFUNCTION("""COMPUTED_VALUE"""),0.0)</f>
        <v>0</v>
      </c>
      <c r="S3673" s="6" t="str">
        <f>IFERROR(__xludf.DUMMYFUNCTION("""COMPUTED_VALUE"""),"Jeremy Wedell")</f>
        <v>Jeremy Wedell</v>
      </c>
      <c r="T3673" s="6" t="str">
        <f>IFERROR(__xludf.DUMMYFUNCTION("""COMPUTED_VALUE"""),"jeremy.wedell@ortrail.k12.or.us")</f>
        <v>jeremy.wedell@ortrail.k12.or.us</v>
      </c>
      <c r="U3673" s="6" t="str">
        <f>IFERROR(__xludf.DUMMYFUNCTION("""COMPUTED_VALUE"""),"8")</f>
        <v>8</v>
      </c>
      <c r="V3673" s="6" t="str">
        <f>IFERROR(__xludf.DUMMYFUNCTION("""COMPUTED_VALUE"""),"English")</f>
        <v>English</v>
      </c>
      <c r="W3673" s="6" t="str">
        <f>IFERROR(__xludf.DUMMYFUNCTION("""COMPUTED_VALUE"""),"[]")</f>
        <v>[]</v>
      </c>
      <c r="X3673" s="6" t="str">
        <f>IFERROR(__xludf.DUMMYFUNCTION("""COMPUTED_VALUE"""),"Enrolled")</f>
        <v>Enrolled</v>
      </c>
    </row>
    <row r="3674">
      <c r="A3674" s="6" t="str">
        <f>IFERROR(__xludf.DUMMYFUNCTION("""COMPUTED_VALUE"""),"064-7373")</f>
        <v>064-7373</v>
      </c>
      <c r="B3674" s="6" t="str">
        <f>IFERROR(__xludf.DUMMYFUNCTION("""COMPUTED_VALUE"""),"64")</f>
        <v>64</v>
      </c>
      <c r="C3674" s="6" t="str">
        <f>IFERROR(__xludf.DUMMYFUNCTION("""COMPUTED_VALUE"""),"7373")</f>
        <v>7373</v>
      </c>
      <c r="D3674" s="6" t="str">
        <f>IFERROR(__xludf.DUMMYFUNCTION("""COMPUTED_VALUE"""),"Alexis")</f>
        <v>Alexis</v>
      </c>
      <c r="E3674" s="6" t="str">
        <f>IFERROR(__xludf.DUMMYFUNCTION("""COMPUTED_VALUE"""),"")</f>
        <v/>
      </c>
      <c r="F3674" s="6" t="str">
        <f>IFERROR(__xludf.DUMMYFUNCTION("""COMPUTED_VALUE"""),"Blasdell")</f>
        <v>Blasdell</v>
      </c>
      <c r="G3674" s="6" t="str">
        <f>IFERROR(__xludf.DUMMYFUNCTION("""COMPUTED_VALUE"""),"11/19/2009")</f>
        <v>11/19/2009</v>
      </c>
      <c r="H3674" s="6" t="str">
        <f>IFERROR(__xludf.DUMMYFUNCTION("""COMPUTED_VALUE"""),"Self Identify")</f>
        <v>Self Identify</v>
      </c>
      <c r="I3674" s="6" t="str">
        <f>IFERROR(__xludf.DUMMYFUNCTION("""COMPUTED_VALUE"""),"High School")</f>
        <v>High School</v>
      </c>
      <c r="J3674" s="6" t="str">
        <f>IFERROR(__xludf.DUMMYFUNCTION("""COMPUTED_VALUE"""),"10")</f>
        <v>10</v>
      </c>
      <c r="K3674" s="6" t="str">
        <f>IFERROR(__xludf.DUMMYFUNCTION("""COMPUTED_VALUE"""),"alexis_blasdell@stu.ortrail.k12.or.us")</f>
        <v>alexis_blasdell@stu.ortrail.k12.or.us</v>
      </c>
      <c r="L3674" s="6" t="str">
        <f>IFERROR(__xludf.DUMMYFUNCTION("""COMPUTED_VALUE"""),"Oregon Trail School District 46")</f>
        <v>Oregon Trail School District 46</v>
      </c>
      <c r="M3674" s="6" t="str">
        <f>IFERROR(__xludf.DUMMYFUNCTION("""COMPUTED_VALUE"""),"Sandy High School")</f>
        <v>Sandy High School</v>
      </c>
      <c r="N3674" s="6" t="str">
        <f>IFERROR(__xludf.DUMMYFUNCTION("""COMPUTED_VALUE"""),"")</f>
        <v/>
      </c>
      <c r="O3674" s="87" t="str">
        <f>IFERROR(__xludf.DUMMYFUNCTION("""COMPUTED_VALUE"""),"https://drive.google.com/drive/folders/10T2cTQHqEJZqE-st6uFKPoI?usp=share_link")</f>
        <v>https://drive.google.com/drive/folders/10T2cTQHqEJZqE-st6uFKPoI?usp=share_link</v>
      </c>
      <c r="P3674" s="6" t="str">
        <f>IFERROR(__xludf.DUMMYFUNCTION("""COMPUTED_VALUE"""),"Alexis Blasdell")</f>
        <v>Alexis Blasdell</v>
      </c>
      <c r="Q3674" s="6" t="str">
        <f>IFERROR(__xludf.DUMMYFUNCTION("""COMPUTED_VALUE"""),"HS")</f>
        <v>HS</v>
      </c>
      <c r="R3674" s="6">
        <f>IFERROR(__xludf.DUMMYFUNCTION("""COMPUTED_VALUE"""),0.0)</f>
        <v>0</v>
      </c>
      <c r="S3674" s="6" t="str">
        <f>IFERROR(__xludf.DUMMYFUNCTION("""COMPUTED_VALUE"""),"Megan Montellano")</f>
        <v>Megan Montellano</v>
      </c>
      <c r="T3674" s="6" t="str">
        <f>IFERROR(__xludf.DUMMYFUNCTION("""COMPUTED_VALUE"""),"megan.montellano@ortrail.k12.or.us")</f>
        <v>megan.montellano@ortrail.k12.or.us</v>
      </c>
      <c r="U3674" s="6" t="str">
        <f>IFERROR(__xludf.DUMMYFUNCTION("""COMPUTED_VALUE"""),"10")</f>
        <v>10</v>
      </c>
      <c r="V3674" s="6" t="str">
        <f>IFERROR(__xludf.DUMMYFUNCTION("""COMPUTED_VALUE"""),"English")</f>
        <v>English</v>
      </c>
      <c r="W3674" s="6" t="str">
        <f>IFERROR(__xludf.DUMMYFUNCTION("""COMPUTED_VALUE"""),"[]")</f>
        <v>[]</v>
      </c>
      <c r="X3674" s="6" t="str">
        <f>IFERROR(__xludf.DUMMYFUNCTION("""COMPUTED_VALUE"""),"Enrolled")</f>
        <v>Enrolled</v>
      </c>
    </row>
    <row r="3675">
      <c r="A3675" s="6" t="str">
        <f>IFERROR(__xludf.DUMMYFUNCTION("""COMPUTED_VALUE"""),"064-7378")</f>
        <v>064-7378</v>
      </c>
      <c r="B3675" s="6" t="str">
        <f>IFERROR(__xludf.DUMMYFUNCTION("""COMPUTED_VALUE"""),"64")</f>
        <v>64</v>
      </c>
      <c r="C3675" s="6" t="str">
        <f>IFERROR(__xludf.DUMMYFUNCTION("""COMPUTED_VALUE"""),"7378")</f>
        <v>7378</v>
      </c>
      <c r="D3675" s="6" t="str">
        <f>IFERROR(__xludf.DUMMYFUNCTION("""COMPUTED_VALUE"""),"Noah")</f>
        <v>Noah</v>
      </c>
      <c r="E3675" s="6" t="str">
        <f>IFERROR(__xludf.DUMMYFUNCTION("""COMPUTED_VALUE"""),"")</f>
        <v/>
      </c>
      <c r="F3675" s="6" t="str">
        <f>IFERROR(__xludf.DUMMYFUNCTION("""COMPUTED_VALUE"""),"Rogers")</f>
        <v>Rogers</v>
      </c>
      <c r="G3675" s="6" t="str">
        <f>IFERROR(__xludf.DUMMYFUNCTION("""COMPUTED_VALUE"""),"03/28/2013")</f>
        <v>03/28/2013</v>
      </c>
      <c r="H3675" s="6" t="str">
        <f>IFERROR(__xludf.DUMMYFUNCTION("""COMPUTED_VALUE"""),"Self Identify")</f>
        <v>Self Identify</v>
      </c>
      <c r="I3675" s="6" t="str">
        <f>IFERROR(__xludf.DUMMYFUNCTION("""COMPUTED_VALUE"""),"Middle School")</f>
        <v>Middle School</v>
      </c>
      <c r="J3675" s="6" t="str">
        <f>IFERROR(__xludf.DUMMYFUNCTION("""COMPUTED_VALUE"""),"7")</f>
        <v>7</v>
      </c>
      <c r="K3675" s="6" t="str">
        <f>IFERROR(__xludf.DUMMYFUNCTION("""COMPUTED_VALUE"""),"noah_rogers@stu.ortrail.k12.or.us")</f>
        <v>noah_rogers@stu.ortrail.k12.or.us</v>
      </c>
      <c r="L3675" s="6" t="str">
        <f>IFERROR(__xludf.DUMMYFUNCTION("""COMPUTED_VALUE"""),"Oregon Trail School District 46")</f>
        <v>Oregon Trail School District 46</v>
      </c>
      <c r="M3675" s="6" t="str">
        <f>IFERROR(__xludf.DUMMYFUNCTION("""COMPUTED_VALUE"""),"Cedar Ridge Middle School")</f>
        <v>Cedar Ridge Middle School</v>
      </c>
      <c r="N3675" s="6" t="str">
        <f>IFERROR(__xludf.DUMMYFUNCTION("""COMPUTED_VALUE"""),"")</f>
        <v/>
      </c>
      <c r="O3675" s="87" t="str">
        <f>IFERROR(__xludf.DUMMYFUNCTION("""COMPUTED_VALUE"""),"https://drive.google.com/drive/folders/10T2cTQHqEJZqE-st6uFKPoI?usp=share_link")</f>
        <v>https://drive.google.com/drive/folders/10T2cTQHqEJZqE-st6uFKPoI?usp=share_link</v>
      </c>
      <c r="P3675" s="6" t="str">
        <f>IFERROR(__xludf.DUMMYFUNCTION("""COMPUTED_VALUE"""),"Noah Rogers")</f>
        <v>Noah Rogers</v>
      </c>
      <c r="Q3675" s="6" t="str">
        <f>IFERROR(__xludf.DUMMYFUNCTION("""COMPUTED_VALUE"""),"MS")</f>
        <v>MS</v>
      </c>
      <c r="R3675" s="6">
        <f>IFERROR(__xludf.DUMMYFUNCTION("""COMPUTED_VALUE"""),0.0)</f>
        <v>0</v>
      </c>
      <c r="S3675" s="6" t="str">
        <f>IFERROR(__xludf.DUMMYFUNCTION("""COMPUTED_VALUE"""),"Jennifer Gross")</f>
        <v>Jennifer Gross</v>
      </c>
      <c r="T3675" s="6" t="str">
        <f>IFERROR(__xludf.DUMMYFUNCTION("""COMPUTED_VALUE"""),"jenifer.gross@ortrail.k12.or.us")</f>
        <v>jenifer.gross@ortrail.k12.or.us</v>
      </c>
      <c r="U3675" s="6" t="str">
        <f>IFERROR(__xludf.DUMMYFUNCTION("""COMPUTED_VALUE"""),"7")</f>
        <v>7</v>
      </c>
      <c r="V3675" s="6" t="str">
        <f>IFERROR(__xludf.DUMMYFUNCTION("""COMPUTED_VALUE"""),"")</f>
        <v/>
      </c>
      <c r="W3675" s="6" t="str">
        <f>IFERROR(__xludf.DUMMYFUNCTION("""COMPUTED_VALUE"""),"[]")</f>
        <v>[]</v>
      </c>
      <c r="X3675" s="6" t="str">
        <f>IFERROR(__xludf.DUMMYFUNCTION("""COMPUTED_VALUE"""),"Enrolled")</f>
        <v>Enrolled</v>
      </c>
    </row>
    <row r="3676">
      <c r="A3676" s="6" t="str">
        <f>IFERROR(__xludf.DUMMYFUNCTION("""COMPUTED_VALUE"""),"064-7427")</f>
        <v>064-7427</v>
      </c>
      <c r="B3676" s="6" t="str">
        <f>IFERROR(__xludf.DUMMYFUNCTION("""COMPUTED_VALUE"""),"64")</f>
        <v>64</v>
      </c>
      <c r="C3676" s="6" t="str">
        <f>IFERROR(__xludf.DUMMYFUNCTION("""COMPUTED_VALUE"""),"7427")</f>
        <v>7427</v>
      </c>
      <c r="D3676" s="6" t="str">
        <f>IFERROR(__xludf.DUMMYFUNCTION("""COMPUTED_VALUE"""),"Kyrie")</f>
        <v>Kyrie</v>
      </c>
      <c r="E3676" s="6" t="str">
        <f>IFERROR(__xludf.DUMMYFUNCTION("""COMPUTED_VALUE"""),"")</f>
        <v/>
      </c>
      <c r="F3676" s="6" t="str">
        <f>IFERROR(__xludf.DUMMYFUNCTION("""COMPUTED_VALUE"""),"Lawrence")</f>
        <v>Lawrence</v>
      </c>
      <c r="G3676" s="6" t="str">
        <f>IFERROR(__xludf.DUMMYFUNCTION("""COMPUTED_VALUE"""),"09/01/2015")</f>
        <v>09/01/2015</v>
      </c>
      <c r="H3676" s="6" t="str">
        <f>IFERROR(__xludf.DUMMYFUNCTION("""COMPUTED_VALUE"""),"Self Identify")</f>
        <v>Self Identify</v>
      </c>
      <c r="I3676" s="6" t="str">
        <f>IFERROR(__xludf.DUMMYFUNCTION("""COMPUTED_VALUE"""),"Level 2")</f>
        <v>Level 2</v>
      </c>
      <c r="J3676" s="6" t="str">
        <f>IFERROR(__xludf.DUMMYFUNCTION("""COMPUTED_VALUE"""),"5")</f>
        <v>5</v>
      </c>
      <c r="K3676" s="6" t="str">
        <f>IFERROR(__xludf.DUMMYFUNCTION("""COMPUTED_VALUE"""),"kyrie_lawrence@stu.ortrail.k12.or.us")</f>
        <v>kyrie_lawrence@stu.ortrail.k12.or.us</v>
      </c>
      <c r="L3676" s="6" t="str">
        <f>IFERROR(__xludf.DUMMYFUNCTION("""COMPUTED_VALUE"""),"Oregon Trail School District 46")</f>
        <v>Oregon Trail School District 46</v>
      </c>
      <c r="M3676" s="6" t="str">
        <f>IFERROR(__xludf.DUMMYFUNCTION("""COMPUTED_VALUE"""),"Kelso Elementary School")</f>
        <v>Kelso Elementary School</v>
      </c>
      <c r="N3676" s="6" t="str">
        <f>IFERROR(__xludf.DUMMYFUNCTION("""COMPUTED_VALUE"""),"")</f>
        <v/>
      </c>
      <c r="O3676" s="87" t="str">
        <f>IFERROR(__xludf.DUMMYFUNCTION("""COMPUTED_VALUE"""),"https://drive.google.com/drive/folders/10T2cTQHqEJZqE-st6uFKPoI?usp=share_link")</f>
        <v>https://drive.google.com/drive/folders/10T2cTQHqEJZqE-st6uFKPoI?usp=share_link</v>
      </c>
      <c r="P3676" s="6" t="str">
        <f>IFERROR(__xludf.DUMMYFUNCTION("""COMPUTED_VALUE"""),"Kyrie Lawrence")</f>
        <v>Kyrie Lawrence</v>
      </c>
      <c r="Q3676" s="6" t="str">
        <f>IFERROR(__xludf.DUMMYFUNCTION("""COMPUTED_VALUE"""),"L2")</f>
        <v>L2</v>
      </c>
      <c r="R3676" s="6">
        <f>IFERROR(__xludf.DUMMYFUNCTION("""COMPUTED_VALUE"""),2.0)</f>
        <v>2</v>
      </c>
      <c r="S3676" s="6" t="str">
        <f>IFERROR(__xludf.DUMMYFUNCTION("""COMPUTED_VALUE"""),"Jessica Minch")</f>
        <v>Jessica Minch</v>
      </c>
      <c r="T3676" s="6" t="str">
        <f>IFERROR(__xludf.DUMMYFUNCTION("""COMPUTED_VALUE"""),"jessica.minch@ortrail.k12.or.us")</f>
        <v>jessica.minch@ortrail.k12.or.us</v>
      </c>
      <c r="U3676" s="6" t="str">
        <f>IFERROR(__xludf.DUMMYFUNCTION("""COMPUTED_VALUE"""),"5")</f>
        <v>5</v>
      </c>
      <c r="V3676" s="6" t="str">
        <f>IFERROR(__xludf.DUMMYFUNCTION("""COMPUTED_VALUE"""),"")</f>
        <v/>
      </c>
      <c r="W3676" s="6" t="str">
        <f>IFERROR(__xludf.DUMMYFUNCTION("""COMPUTED_VALUE"""),"[]")</f>
        <v>[]</v>
      </c>
      <c r="X3676" s="6" t="str">
        <f>IFERROR(__xludf.DUMMYFUNCTION("""COMPUTED_VALUE"""),"Enrolled")</f>
        <v>Enrolled</v>
      </c>
    </row>
    <row r="3677">
      <c r="A3677" s="6" t="str">
        <f>IFERROR(__xludf.DUMMYFUNCTION("""COMPUTED_VALUE"""),"064-7428")</f>
        <v>064-7428</v>
      </c>
      <c r="B3677" s="6" t="str">
        <f>IFERROR(__xludf.DUMMYFUNCTION("""COMPUTED_VALUE"""),"64")</f>
        <v>64</v>
      </c>
      <c r="C3677" s="6" t="str">
        <f>IFERROR(__xludf.DUMMYFUNCTION("""COMPUTED_VALUE"""),"7428")</f>
        <v>7428</v>
      </c>
      <c r="D3677" s="6" t="str">
        <f>IFERROR(__xludf.DUMMYFUNCTION("""COMPUTED_VALUE"""),"Paislee")</f>
        <v>Paislee</v>
      </c>
      <c r="E3677" s="6" t="str">
        <f>IFERROR(__xludf.DUMMYFUNCTION("""COMPUTED_VALUE"""),"")</f>
        <v/>
      </c>
      <c r="F3677" s="6" t="str">
        <f>IFERROR(__xludf.DUMMYFUNCTION("""COMPUTED_VALUE"""),"Gantenbein")</f>
        <v>Gantenbein</v>
      </c>
      <c r="G3677" s="6" t="str">
        <f>IFERROR(__xludf.DUMMYFUNCTION("""COMPUTED_VALUE"""),"12/13/2014")</f>
        <v>12/13/2014</v>
      </c>
      <c r="H3677" s="6" t="str">
        <f>IFERROR(__xludf.DUMMYFUNCTION("""COMPUTED_VALUE"""),"Self Identify")</f>
        <v>Self Identify</v>
      </c>
      <c r="I3677" s="6" t="str">
        <f>IFERROR(__xludf.DUMMYFUNCTION("""COMPUTED_VALUE"""),"Level 2")</f>
        <v>Level 2</v>
      </c>
      <c r="J3677" s="6" t="str">
        <f>IFERROR(__xludf.DUMMYFUNCTION("""COMPUTED_VALUE"""),"5")</f>
        <v>5</v>
      </c>
      <c r="K3677" s="6" t="str">
        <f>IFERROR(__xludf.DUMMYFUNCTION("""COMPUTED_VALUE"""),"paislee_gantenbein@stu.ortrail.k12.or.us")</f>
        <v>paislee_gantenbein@stu.ortrail.k12.or.us</v>
      </c>
      <c r="L3677" s="6" t="str">
        <f>IFERROR(__xludf.DUMMYFUNCTION("""COMPUTED_VALUE"""),"Oregon Trail School District 46")</f>
        <v>Oregon Trail School District 46</v>
      </c>
      <c r="M3677" s="6" t="str">
        <f>IFERROR(__xludf.DUMMYFUNCTION("""COMPUTED_VALUE"""),"Kelso Elementary School")</f>
        <v>Kelso Elementary School</v>
      </c>
      <c r="N3677" s="6" t="str">
        <f>IFERROR(__xludf.DUMMYFUNCTION("""COMPUTED_VALUE"""),"")</f>
        <v/>
      </c>
      <c r="O3677" s="87" t="str">
        <f>IFERROR(__xludf.DUMMYFUNCTION("""COMPUTED_VALUE"""),"https://drive.google.com/drive/folders/10T2cTQHqEJZqE-st6uFKPoI?usp=share_link")</f>
        <v>https://drive.google.com/drive/folders/10T2cTQHqEJZqE-st6uFKPoI?usp=share_link</v>
      </c>
      <c r="P3677" s="6" t="str">
        <f>IFERROR(__xludf.DUMMYFUNCTION("""COMPUTED_VALUE"""),"Paislee Gantenbein")</f>
        <v>Paislee Gantenbein</v>
      </c>
      <c r="Q3677" s="6" t="str">
        <f>IFERROR(__xludf.DUMMYFUNCTION("""COMPUTED_VALUE"""),"L2")</f>
        <v>L2</v>
      </c>
      <c r="R3677" s="6">
        <f>IFERROR(__xludf.DUMMYFUNCTION("""COMPUTED_VALUE"""),2.0)</f>
        <v>2</v>
      </c>
      <c r="S3677" s="6" t="str">
        <f>IFERROR(__xludf.DUMMYFUNCTION("""COMPUTED_VALUE"""),"Nicole Sellin")</f>
        <v>Nicole Sellin</v>
      </c>
      <c r="T3677" s="6" t="str">
        <f>IFERROR(__xludf.DUMMYFUNCTION("""COMPUTED_VALUE"""),"nicole.sellin@ortrail.k12.or.us")</f>
        <v>nicole.sellin@ortrail.k12.or.us</v>
      </c>
      <c r="U3677" s="6" t="str">
        <f>IFERROR(__xludf.DUMMYFUNCTION("""COMPUTED_VALUE"""),"5")</f>
        <v>5</v>
      </c>
      <c r="V3677" s="6" t="str">
        <f>IFERROR(__xludf.DUMMYFUNCTION("""COMPUTED_VALUE"""),"")</f>
        <v/>
      </c>
      <c r="W3677" s="6" t="str">
        <f>IFERROR(__xludf.DUMMYFUNCTION("""COMPUTED_VALUE"""),"[]")</f>
        <v>[]</v>
      </c>
      <c r="X3677" s="6" t="str">
        <f>IFERROR(__xludf.DUMMYFUNCTION("""COMPUTED_VALUE"""),"Enrolled")</f>
        <v>Enrolled</v>
      </c>
    </row>
    <row r="3678">
      <c r="A3678" s="6" t="str">
        <f>IFERROR(__xludf.DUMMYFUNCTION("""COMPUTED_VALUE"""),"064-7429")</f>
        <v>064-7429</v>
      </c>
      <c r="B3678" s="6" t="str">
        <f>IFERROR(__xludf.DUMMYFUNCTION("""COMPUTED_VALUE"""),"64")</f>
        <v>64</v>
      </c>
      <c r="C3678" s="6" t="str">
        <f>IFERROR(__xludf.DUMMYFUNCTION("""COMPUTED_VALUE"""),"7429")</f>
        <v>7429</v>
      </c>
      <c r="D3678" s="6" t="str">
        <f>IFERROR(__xludf.DUMMYFUNCTION("""COMPUTED_VALUE"""),"Oscar")</f>
        <v>Oscar</v>
      </c>
      <c r="E3678" s="6" t="str">
        <f>IFERROR(__xludf.DUMMYFUNCTION("""COMPUTED_VALUE"""),"")</f>
        <v/>
      </c>
      <c r="F3678" s="6" t="str">
        <f>IFERROR(__xludf.DUMMYFUNCTION("""COMPUTED_VALUE"""),"Martinez Reyes")</f>
        <v>Martinez Reyes</v>
      </c>
      <c r="G3678" s="6" t="str">
        <f>IFERROR(__xludf.DUMMYFUNCTION("""COMPUTED_VALUE"""),"11/17/2016")</f>
        <v>11/17/2016</v>
      </c>
      <c r="H3678" s="6" t="str">
        <f>IFERROR(__xludf.DUMMYFUNCTION("""COMPUTED_VALUE"""),"Self Identify")</f>
        <v>Self Identify</v>
      </c>
      <c r="I3678" s="6" t="str">
        <f>IFERROR(__xludf.DUMMYFUNCTION("""COMPUTED_VALUE"""),"Level 1")</f>
        <v>Level 1</v>
      </c>
      <c r="J3678" s="6" t="str">
        <f>IFERROR(__xludf.DUMMYFUNCTION("""COMPUTED_VALUE"""),"3")</f>
        <v>3</v>
      </c>
      <c r="K3678" s="6" t="str">
        <f>IFERROR(__xludf.DUMMYFUNCTION("""COMPUTED_VALUE"""),"alex_martinezreyes@stu.ortrail.k12.or.us")</f>
        <v>alex_martinezreyes@stu.ortrail.k12.or.us</v>
      </c>
      <c r="L3678" s="6" t="str">
        <f>IFERROR(__xludf.DUMMYFUNCTION("""COMPUTED_VALUE"""),"Oregon Trail School District 46")</f>
        <v>Oregon Trail School District 46</v>
      </c>
      <c r="M3678" s="6" t="str">
        <f>IFERROR(__xludf.DUMMYFUNCTION("""COMPUTED_VALUE"""),"")</f>
        <v/>
      </c>
      <c r="N3678" s="6" t="str">
        <f>IFERROR(__xludf.DUMMYFUNCTION("""COMPUTED_VALUE"""),"")</f>
        <v/>
      </c>
      <c r="O3678" s="87" t="str">
        <f>IFERROR(__xludf.DUMMYFUNCTION("""COMPUTED_VALUE"""),"https://drive.google.com/drive/folders/10T2cTQHqEJZqE-st6uFKPoI?usp=share_link")</f>
        <v>https://drive.google.com/drive/folders/10T2cTQHqEJZqE-st6uFKPoI?usp=share_link</v>
      </c>
      <c r="P3678" s="6" t="str">
        <f>IFERROR(__xludf.DUMMYFUNCTION("""COMPUTED_VALUE"""),"Oscar Martinez Reyes")</f>
        <v>Oscar Martinez Reyes</v>
      </c>
      <c r="Q3678" s="6" t="str">
        <f>IFERROR(__xludf.DUMMYFUNCTION("""COMPUTED_VALUE"""),"L1")</f>
        <v>L1</v>
      </c>
      <c r="R3678" s="6">
        <f>IFERROR(__xludf.DUMMYFUNCTION("""COMPUTED_VALUE"""),1.0)</f>
        <v>1</v>
      </c>
      <c r="S3678" s="6" t="str">
        <f>IFERROR(__xludf.DUMMYFUNCTION("""COMPUTED_VALUE""")," ")</f>
        <v> </v>
      </c>
      <c r="T3678" s="6" t="str">
        <f>IFERROR(__xludf.DUMMYFUNCTION("""COMPUTED_VALUE"""),"")</f>
        <v/>
      </c>
      <c r="U3678" s="6" t="str">
        <f>IFERROR(__xludf.DUMMYFUNCTION("""COMPUTED_VALUE"""),"3")</f>
        <v>3</v>
      </c>
      <c r="V3678" s="6" t="str">
        <f>IFERROR(__xludf.DUMMYFUNCTION("""COMPUTED_VALUE"""),"")</f>
        <v/>
      </c>
      <c r="W3678" s="6" t="str">
        <f>IFERROR(__xludf.DUMMYFUNCTION("""COMPUTED_VALUE"""),"[]")</f>
        <v>[]</v>
      </c>
      <c r="X3678" s="6" t="str">
        <f>IFERROR(__xludf.DUMMYFUNCTION("""COMPUTED_VALUE"""),"Enrolled")</f>
        <v>Enrolled</v>
      </c>
    </row>
    <row r="3679">
      <c r="A3679" s="6" t="str">
        <f>IFERROR(__xludf.DUMMYFUNCTION("""COMPUTED_VALUE"""),"064-7468")</f>
        <v>064-7468</v>
      </c>
      <c r="B3679" s="6" t="str">
        <f>IFERROR(__xludf.DUMMYFUNCTION("""COMPUTED_VALUE"""),"64")</f>
        <v>64</v>
      </c>
      <c r="C3679" s="6" t="str">
        <f>IFERROR(__xludf.DUMMYFUNCTION("""COMPUTED_VALUE"""),"7468")</f>
        <v>7468</v>
      </c>
      <c r="D3679" s="6" t="str">
        <f>IFERROR(__xludf.DUMMYFUNCTION("""COMPUTED_VALUE"""),"Kaiden")</f>
        <v>Kaiden</v>
      </c>
      <c r="E3679" s="6" t="str">
        <f>IFERROR(__xludf.DUMMYFUNCTION("""COMPUTED_VALUE"""),"")</f>
        <v/>
      </c>
      <c r="F3679" s="6" t="str">
        <f>IFERROR(__xludf.DUMMYFUNCTION("""COMPUTED_VALUE"""),"Green")</f>
        <v>Green</v>
      </c>
      <c r="G3679" s="6" t="str">
        <f>IFERROR(__xludf.DUMMYFUNCTION("""COMPUTED_VALUE"""),"10/26/2011")</f>
        <v>10/26/2011</v>
      </c>
      <c r="H3679" s="6" t="str">
        <f>IFERROR(__xludf.DUMMYFUNCTION("""COMPUTED_VALUE"""),"Self Identify")</f>
        <v>Self Identify</v>
      </c>
      <c r="I3679" s="6" t="str">
        <f>IFERROR(__xludf.DUMMYFUNCTION("""COMPUTED_VALUE"""),"Middle School")</f>
        <v>Middle School</v>
      </c>
      <c r="J3679" s="6" t="str">
        <f>IFERROR(__xludf.DUMMYFUNCTION("""COMPUTED_VALUE"""),"8")</f>
        <v>8</v>
      </c>
      <c r="K3679" s="6" t="str">
        <f>IFERROR(__xludf.DUMMYFUNCTION("""COMPUTED_VALUE"""),"kaiden_green@stu.ortrail.k12.or.us")</f>
        <v>kaiden_green@stu.ortrail.k12.or.us</v>
      </c>
      <c r="L3679" s="6" t="str">
        <f>IFERROR(__xludf.DUMMYFUNCTION("""COMPUTED_VALUE"""),"Oregon Trail School District 46")</f>
        <v>Oregon Trail School District 46</v>
      </c>
      <c r="M3679" s="6" t="str">
        <f>IFERROR(__xludf.DUMMYFUNCTION("""COMPUTED_VALUE"""),"Cedar Ridge Middle School")</f>
        <v>Cedar Ridge Middle School</v>
      </c>
      <c r="N3679" s="6" t="str">
        <f>IFERROR(__xludf.DUMMYFUNCTION("""COMPUTED_VALUE"""),"")</f>
        <v/>
      </c>
      <c r="O3679" s="87" t="str">
        <f>IFERROR(__xludf.DUMMYFUNCTION("""COMPUTED_VALUE"""),"https://drive.google.com/drive/folders/10T2cTQHqEJZqE-st6uFKPoI?usp=share_link")</f>
        <v>https://drive.google.com/drive/folders/10T2cTQHqEJZqE-st6uFKPoI?usp=share_link</v>
      </c>
      <c r="P3679" s="6" t="str">
        <f>IFERROR(__xludf.DUMMYFUNCTION("""COMPUTED_VALUE"""),"Kaiden Green")</f>
        <v>Kaiden Green</v>
      </c>
      <c r="Q3679" s="6" t="str">
        <f>IFERROR(__xludf.DUMMYFUNCTION("""COMPUTED_VALUE"""),"MS")</f>
        <v>MS</v>
      </c>
      <c r="R3679" s="6">
        <f>IFERROR(__xludf.DUMMYFUNCTION("""COMPUTED_VALUE"""),0.0)</f>
        <v>0</v>
      </c>
      <c r="S3679" s="6" t="str">
        <f>IFERROR(__xludf.DUMMYFUNCTION("""COMPUTED_VALUE"""),"Jeremy Wedell")</f>
        <v>Jeremy Wedell</v>
      </c>
      <c r="T3679" s="6" t="str">
        <f>IFERROR(__xludf.DUMMYFUNCTION("""COMPUTED_VALUE"""),"jeremy.wedell@ortrail.k12.or.us")</f>
        <v>jeremy.wedell@ortrail.k12.or.us</v>
      </c>
      <c r="U3679" s="6" t="str">
        <f>IFERROR(__xludf.DUMMYFUNCTION("""COMPUTED_VALUE"""),"8")</f>
        <v>8</v>
      </c>
      <c r="V3679" s="6" t="str">
        <f>IFERROR(__xludf.DUMMYFUNCTION("""COMPUTED_VALUE"""),"English")</f>
        <v>English</v>
      </c>
      <c r="W3679" s="6" t="str">
        <f>IFERROR(__xludf.DUMMYFUNCTION("""COMPUTED_VALUE"""),"[]")</f>
        <v>[]</v>
      </c>
      <c r="X3679" s="6" t="str">
        <f>IFERROR(__xludf.DUMMYFUNCTION("""COMPUTED_VALUE"""),"Enrolled")</f>
        <v>Enrolled</v>
      </c>
    </row>
    <row r="3680">
      <c r="A3680" s="6" t="str">
        <f>IFERROR(__xludf.DUMMYFUNCTION("""COMPUTED_VALUE"""),"064-7469")</f>
        <v>064-7469</v>
      </c>
      <c r="B3680" s="6" t="str">
        <f>IFERROR(__xludf.DUMMYFUNCTION("""COMPUTED_VALUE"""),"64")</f>
        <v>64</v>
      </c>
      <c r="C3680" s="6" t="str">
        <f>IFERROR(__xludf.DUMMYFUNCTION("""COMPUTED_VALUE"""),"7469")</f>
        <v>7469</v>
      </c>
      <c r="D3680" s="6" t="str">
        <f>IFERROR(__xludf.DUMMYFUNCTION("""COMPUTED_VALUE"""),"Aubury")</f>
        <v>Aubury</v>
      </c>
      <c r="E3680" s="6" t="str">
        <f>IFERROR(__xludf.DUMMYFUNCTION("""COMPUTED_VALUE"""),"")</f>
        <v/>
      </c>
      <c r="F3680" s="6" t="str">
        <f>IFERROR(__xludf.DUMMYFUNCTION("""COMPUTED_VALUE"""),"Gregory")</f>
        <v>Gregory</v>
      </c>
      <c r="G3680" s="6" t="str">
        <f>IFERROR(__xludf.DUMMYFUNCTION("""COMPUTED_VALUE"""),"09/19/2011")</f>
        <v>09/19/2011</v>
      </c>
      <c r="H3680" s="6" t="str">
        <f>IFERROR(__xludf.DUMMYFUNCTION("""COMPUTED_VALUE"""),"Self Identify")</f>
        <v>Self Identify</v>
      </c>
      <c r="I3680" s="6" t="str">
        <f>IFERROR(__xludf.DUMMYFUNCTION("""COMPUTED_VALUE"""),"Middle School")</f>
        <v>Middle School</v>
      </c>
      <c r="J3680" s="6" t="str">
        <f>IFERROR(__xludf.DUMMYFUNCTION("""COMPUTED_VALUE"""),"8")</f>
        <v>8</v>
      </c>
      <c r="K3680" s="6" t="str">
        <f>IFERROR(__xludf.DUMMYFUNCTION("""COMPUTED_VALUE"""),"aubury_gregory@stu.ortrail.k12.or.us")</f>
        <v>aubury_gregory@stu.ortrail.k12.or.us</v>
      </c>
      <c r="L3680" s="6" t="str">
        <f>IFERROR(__xludf.DUMMYFUNCTION("""COMPUTED_VALUE"""),"Oregon Trail School District 46")</f>
        <v>Oregon Trail School District 46</v>
      </c>
      <c r="M3680" s="6" t="str">
        <f>IFERROR(__xludf.DUMMYFUNCTION("""COMPUTED_VALUE"""),"Boring Middle School")</f>
        <v>Boring Middle School</v>
      </c>
      <c r="N3680" s="6" t="str">
        <f>IFERROR(__xludf.DUMMYFUNCTION("""COMPUTED_VALUE"""),"")</f>
        <v/>
      </c>
      <c r="O3680" s="87" t="str">
        <f>IFERROR(__xludf.DUMMYFUNCTION("""COMPUTED_VALUE"""),"https://drive.google.com/drive/folders/10T2cTQHqEJZqE-st6uFKPoI?usp=share_link")</f>
        <v>https://drive.google.com/drive/folders/10T2cTQHqEJZqE-st6uFKPoI?usp=share_link</v>
      </c>
      <c r="P3680" s="6" t="str">
        <f>IFERROR(__xludf.DUMMYFUNCTION("""COMPUTED_VALUE"""),"Aubury Gregory")</f>
        <v>Aubury Gregory</v>
      </c>
      <c r="Q3680" s="6" t="str">
        <f>IFERROR(__xludf.DUMMYFUNCTION("""COMPUTED_VALUE"""),"MS")</f>
        <v>MS</v>
      </c>
      <c r="R3680" s="6">
        <f>IFERROR(__xludf.DUMMYFUNCTION("""COMPUTED_VALUE"""),0.0)</f>
        <v>0</v>
      </c>
      <c r="S3680" s="6" t="str">
        <f>IFERROR(__xludf.DUMMYFUNCTION("""COMPUTED_VALUE"""),"Amanda Bruce")</f>
        <v>Amanda Bruce</v>
      </c>
      <c r="T3680" s="6" t="str">
        <f>IFERROR(__xludf.DUMMYFUNCTION("""COMPUTED_VALUE"""),"amanda.bruce@ortrail.k12.or.us")</f>
        <v>amanda.bruce@ortrail.k12.or.us</v>
      </c>
      <c r="U3680" s="6" t="str">
        <f>IFERROR(__xludf.DUMMYFUNCTION("""COMPUTED_VALUE"""),"8")</f>
        <v>8</v>
      </c>
      <c r="V3680" s="6" t="str">
        <f>IFERROR(__xludf.DUMMYFUNCTION("""COMPUTED_VALUE"""),"English")</f>
        <v>English</v>
      </c>
      <c r="W3680" s="6" t="str">
        <f>IFERROR(__xludf.DUMMYFUNCTION("""COMPUTED_VALUE"""),"[]")</f>
        <v>[]</v>
      </c>
      <c r="X3680" s="6" t="str">
        <f>IFERROR(__xludf.DUMMYFUNCTION("""COMPUTED_VALUE"""),"Enrolled")</f>
        <v>Enrolled</v>
      </c>
    </row>
    <row r="3681">
      <c r="A3681" s="6" t="str">
        <f>IFERROR(__xludf.DUMMYFUNCTION("""COMPUTED_VALUE"""),"064-7470")</f>
        <v>064-7470</v>
      </c>
      <c r="B3681" s="6" t="str">
        <f>IFERROR(__xludf.DUMMYFUNCTION("""COMPUTED_VALUE"""),"64")</f>
        <v>64</v>
      </c>
      <c r="C3681" s="6" t="str">
        <f>IFERROR(__xludf.DUMMYFUNCTION("""COMPUTED_VALUE"""),"7470")</f>
        <v>7470</v>
      </c>
      <c r="D3681" s="6" t="str">
        <f>IFERROR(__xludf.DUMMYFUNCTION("""COMPUTED_VALUE"""),"Autumn")</f>
        <v>Autumn</v>
      </c>
      <c r="E3681" s="6" t="str">
        <f>IFERROR(__xludf.DUMMYFUNCTION("""COMPUTED_VALUE"""),"")</f>
        <v/>
      </c>
      <c r="F3681" s="6" t="str">
        <f>IFERROR(__xludf.DUMMYFUNCTION("""COMPUTED_VALUE"""),"Gregory")</f>
        <v>Gregory</v>
      </c>
      <c r="G3681" s="6" t="str">
        <f>IFERROR(__xludf.DUMMYFUNCTION("""COMPUTED_VALUE"""),"09/19/2011")</f>
        <v>09/19/2011</v>
      </c>
      <c r="H3681" s="6" t="str">
        <f>IFERROR(__xludf.DUMMYFUNCTION("""COMPUTED_VALUE"""),"Self Identify")</f>
        <v>Self Identify</v>
      </c>
      <c r="I3681" s="6" t="str">
        <f>IFERROR(__xludf.DUMMYFUNCTION("""COMPUTED_VALUE"""),"Middle School")</f>
        <v>Middle School</v>
      </c>
      <c r="J3681" s="6" t="str">
        <f>IFERROR(__xludf.DUMMYFUNCTION("""COMPUTED_VALUE"""),"8")</f>
        <v>8</v>
      </c>
      <c r="K3681" s="6" t="str">
        <f>IFERROR(__xludf.DUMMYFUNCTION("""COMPUTED_VALUE"""),"autumn_gregory@stu.ortrail.k12.or.us")</f>
        <v>autumn_gregory@stu.ortrail.k12.or.us</v>
      </c>
      <c r="L3681" s="6" t="str">
        <f>IFERROR(__xludf.DUMMYFUNCTION("""COMPUTED_VALUE"""),"Oregon Trail School District 46")</f>
        <v>Oregon Trail School District 46</v>
      </c>
      <c r="M3681" s="6" t="str">
        <f>IFERROR(__xludf.DUMMYFUNCTION("""COMPUTED_VALUE"""),"Boring Middle School")</f>
        <v>Boring Middle School</v>
      </c>
      <c r="N3681" s="6" t="str">
        <f>IFERROR(__xludf.DUMMYFUNCTION("""COMPUTED_VALUE"""),"")</f>
        <v/>
      </c>
      <c r="O3681" s="87" t="str">
        <f>IFERROR(__xludf.DUMMYFUNCTION("""COMPUTED_VALUE"""),"https://drive.google.com/drive/folders/10T2cTQHqEJZqE-st6uFKPoI?usp=share_link")</f>
        <v>https://drive.google.com/drive/folders/10T2cTQHqEJZqE-st6uFKPoI?usp=share_link</v>
      </c>
      <c r="P3681" s="6" t="str">
        <f>IFERROR(__xludf.DUMMYFUNCTION("""COMPUTED_VALUE"""),"Autumn Gregory")</f>
        <v>Autumn Gregory</v>
      </c>
      <c r="Q3681" s="6" t="str">
        <f>IFERROR(__xludf.DUMMYFUNCTION("""COMPUTED_VALUE"""),"MS")</f>
        <v>MS</v>
      </c>
      <c r="R3681" s="6">
        <f>IFERROR(__xludf.DUMMYFUNCTION("""COMPUTED_VALUE"""),0.0)</f>
        <v>0</v>
      </c>
      <c r="S3681" s="6" t="str">
        <f>IFERROR(__xludf.DUMMYFUNCTION("""COMPUTED_VALUE"""),"Amanda Bruce")</f>
        <v>Amanda Bruce</v>
      </c>
      <c r="T3681" s="6" t="str">
        <f>IFERROR(__xludf.DUMMYFUNCTION("""COMPUTED_VALUE"""),"amanda.bruce@ortrail.k12.or.us")</f>
        <v>amanda.bruce@ortrail.k12.or.us</v>
      </c>
      <c r="U3681" s="6" t="str">
        <f>IFERROR(__xludf.DUMMYFUNCTION("""COMPUTED_VALUE"""),"8")</f>
        <v>8</v>
      </c>
      <c r="V3681" s="6" t="str">
        <f>IFERROR(__xludf.DUMMYFUNCTION("""COMPUTED_VALUE"""),"English")</f>
        <v>English</v>
      </c>
      <c r="W3681" s="6" t="str">
        <f>IFERROR(__xludf.DUMMYFUNCTION("""COMPUTED_VALUE"""),"[]")</f>
        <v>[]</v>
      </c>
      <c r="X3681" s="6" t="str">
        <f>IFERROR(__xludf.DUMMYFUNCTION("""COMPUTED_VALUE"""),"Enrolled")</f>
        <v>Enrolled</v>
      </c>
    </row>
    <row r="3682">
      <c r="A3682" s="6" t="str">
        <f>IFERROR(__xludf.DUMMYFUNCTION("""COMPUTED_VALUE"""),"064-7471")</f>
        <v>064-7471</v>
      </c>
      <c r="B3682" s="6" t="str">
        <f>IFERROR(__xludf.DUMMYFUNCTION("""COMPUTED_VALUE"""),"64")</f>
        <v>64</v>
      </c>
      <c r="C3682" s="6" t="str">
        <f>IFERROR(__xludf.DUMMYFUNCTION("""COMPUTED_VALUE"""),"7471")</f>
        <v>7471</v>
      </c>
      <c r="D3682" s="6" t="str">
        <f>IFERROR(__xludf.DUMMYFUNCTION("""COMPUTED_VALUE"""),"Paige")</f>
        <v>Paige</v>
      </c>
      <c r="E3682" s="6" t="str">
        <f>IFERROR(__xludf.DUMMYFUNCTION("""COMPUTED_VALUE"""),"")</f>
        <v/>
      </c>
      <c r="F3682" s="6" t="str">
        <f>IFERROR(__xludf.DUMMYFUNCTION("""COMPUTED_VALUE"""),"Gregory")</f>
        <v>Gregory</v>
      </c>
      <c r="G3682" s="6" t="str">
        <f>IFERROR(__xludf.DUMMYFUNCTION("""COMPUTED_VALUE"""),"07/18/2013")</f>
        <v>07/18/2013</v>
      </c>
      <c r="H3682" s="6" t="str">
        <f>IFERROR(__xludf.DUMMYFUNCTION("""COMPUTED_VALUE"""),"Self Identify")</f>
        <v>Self Identify</v>
      </c>
      <c r="I3682" s="6" t="str">
        <f>IFERROR(__xludf.DUMMYFUNCTION("""COMPUTED_VALUE"""),"Middle School")</f>
        <v>Middle School</v>
      </c>
      <c r="J3682" s="6" t="str">
        <f>IFERROR(__xludf.DUMMYFUNCTION("""COMPUTED_VALUE"""),"7")</f>
        <v>7</v>
      </c>
      <c r="K3682" s="6" t="str">
        <f>IFERROR(__xludf.DUMMYFUNCTION("""COMPUTED_VALUE"""),"paige_gregory@stu.ortrail.k12.or.us")</f>
        <v>paige_gregory@stu.ortrail.k12.or.us</v>
      </c>
      <c r="L3682" s="6" t="str">
        <f>IFERROR(__xludf.DUMMYFUNCTION("""COMPUTED_VALUE"""),"Oregon Trail School District 46")</f>
        <v>Oregon Trail School District 46</v>
      </c>
      <c r="M3682" s="6" t="str">
        <f>IFERROR(__xludf.DUMMYFUNCTION("""COMPUTED_VALUE"""),"Boring Middle School")</f>
        <v>Boring Middle School</v>
      </c>
      <c r="N3682" s="6" t="str">
        <f>IFERROR(__xludf.DUMMYFUNCTION("""COMPUTED_VALUE"""),"")</f>
        <v/>
      </c>
      <c r="O3682" s="87" t="str">
        <f>IFERROR(__xludf.DUMMYFUNCTION("""COMPUTED_VALUE"""),"https://drive.google.com/drive/folders/10T2cTQHqEJZqE-st6uFKPoI?usp=share_link")</f>
        <v>https://drive.google.com/drive/folders/10T2cTQHqEJZqE-st6uFKPoI?usp=share_link</v>
      </c>
      <c r="P3682" s="6" t="str">
        <f>IFERROR(__xludf.DUMMYFUNCTION("""COMPUTED_VALUE"""),"Paige Gregory")</f>
        <v>Paige Gregory</v>
      </c>
      <c r="Q3682" s="6" t="str">
        <f>IFERROR(__xludf.DUMMYFUNCTION("""COMPUTED_VALUE"""),"MS")</f>
        <v>MS</v>
      </c>
      <c r="R3682" s="6">
        <f>IFERROR(__xludf.DUMMYFUNCTION("""COMPUTED_VALUE"""),0.0)</f>
        <v>0</v>
      </c>
      <c r="S3682" s="6" t="str">
        <f>IFERROR(__xludf.DUMMYFUNCTION("""COMPUTED_VALUE"""),"Amanda Bruce")</f>
        <v>Amanda Bruce</v>
      </c>
      <c r="T3682" s="6" t="str">
        <f>IFERROR(__xludf.DUMMYFUNCTION("""COMPUTED_VALUE"""),"amanda.bruce@ortrail.k12.or.us")</f>
        <v>amanda.bruce@ortrail.k12.or.us</v>
      </c>
      <c r="U3682" s="6" t="str">
        <f>IFERROR(__xludf.DUMMYFUNCTION("""COMPUTED_VALUE"""),"7")</f>
        <v>7</v>
      </c>
      <c r="V3682" s="6" t="str">
        <f>IFERROR(__xludf.DUMMYFUNCTION("""COMPUTED_VALUE"""),"English")</f>
        <v>English</v>
      </c>
      <c r="W3682" s="6" t="str">
        <f>IFERROR(__xludf.DUMMYFUNCTION("""COMPUTED_VALUE"""),"[]")</f>
        <v>[]</v>
      </c>
      <c r="X3682" s="6" t="str">
        <f>IFERROR(__xludf.DUMMYFUNCTION("""COMPUTED_VALUE"""),"Enrolled")</f>
        <v>Enrolled</v>
      </c>
    </row>
    <row r="3683">
      <c r="A3683" s="6" t="str">
        <f>IFERROR(__xludf.DUMMYFUNCTION("""COMPUTED_VALUE"""),"064-7472")</f>
        <v>064-7472</v>
      </c>
      <c r="B3683" s="6" t="str">
        <f>IFERROR(__xludf.DUMMYFUNCTION("""COMPUTED_VALUE"""),"64")</f>
        <v>64</v>
      </c>
      <c r="C3683" s="6" t="str">
        <f>IFERROR(__xludf.DUMMYFUNCTION("""COMPUTED_VALUE"""),"7472")</f>
        <v>7472</v>
      </c>
      <c r="D3683" s="6" t="str">
        <f>IFERROR(__xludf.DUMMYFUNCTION("""COMPUTED_VALUE"""),"Sky")</f>
        <v>Sky</v>
      </c>
      <c r="E3683" s="6" t="str">
        <f>IFERROR(__xludf.DUMMYFUNCTION("""COMPUTED_VALUE"""),"")</f>
        <v/>
      </c>
      <c r="F3683" s="6" t="str">
        <f>IFERROR(__xludf.DUMMYFUNCTION("""COMPUTED_VALUE"""),"Wolf")</f>
        <v>Wolf</v>
      </c>
      <c r="G3683" s="6" t="str">
        <f>IFERROR(__xludf.DUMMYFUNCTION("""COMPUTED_VALUE"""),"08/04/2014")</f>
        <v>08/04/2014</v>
      </c>
      <c r="H3683" s="6" t="str">
        <f>IFERROR(__xludf.DUMMYFUNCTION("""COMPUTED_VALUE"""),"Self Identify")</f>
        <v>Self Identify</v>
      </c>
      <c r="I3683" s="6" t="str">
        <f>IFERROR(__xludf.DUMMYFUNCTION("""COMPUTED_VALUE"""),"Middle School")</f>
        <v>Middle School</v>
      </c>
      <c r="J3683" s="6" t="str">
        <f>IFERROR(__xludf.DUMMYFUNCTION("""COMPUTED_VALUE"""),"6")</f>
        <v>6</v>
      </c>
      <c r="K3683" s="6" t="str">
        <f>IFERROR(__xludf.DUMMYFUNCTION("""COMPUTED_VALUE"""),"sky_wolf@stu.ortrail.k12.or.us")</f>
        <v>sky_wolf@stu.ortrail.k12.or.us</v>
      </c>
      <c r="L3683" s="6" t="str">
        <f>IFERROR(__xludf.DUMMYFUNCTION("""COMPUTED_VALUE"""),"Oregon Trail School District 46")</f>
        <v>Oregon Trail School District 46</v>
      </c>
      <c r="M3683" s="6" t="str">
        <f>IFERROR(__xludf.DUMMYFUNCTION("""COMPUTED_VALUE"""),"Boring Middle School")</f>
        <v>Boring Middle School</v>
      </c>
      <c r="N3683" s="6" t="str">
        <f>IFERROR(__xludf.DUMMYFUNCTION("""COMPUTED_VALUE"""),"")</f>
        <v/>
      </c>
      <c r="O3683" s="87" t="str">
        <f>IFERROR(__xludf.DUMMYFUNCTION("""COMPUTED_VALUE"""),"https://drive.google.com/drive/folders/10T2cTQHqEJZqE-st6uFKPoI?usp=share_link")</f>
        <v>https://drive.google.com/drive/folders/10T2cTQHqEJZqE-st6uFKPoI?usp=share_link</v>
      </c>
      <c r="P3683" s="6" t="str">
        <f>IFERROR(__xludf.DUMMYFUNCTION("""COMPUTED_VALUE"""),"Sky Wolf")</f>
        <v>Sky Wolf</v>
      </c>
      <c r="Q3683" s="6" t="str">
        <f>IFERROR(__xludf.DUMMYFUNCTION("""COMPUTED_VALUE"""),"MS")</f>
        <v>MS</v>
      </c>
      <c r="R3683" s="6">
        <f>IFERROR(__xludf.DUMMYFUNCTION("""COMPUTED_VALUE"""),0.0)</f>
        <v>0</v>
      </c>
      <c r="S3683" s="6" t="str">
        <f>IFERROR(__xludf.DUMMYFUNCTION("""COMPUTED_VALUE"""),"Amanda Bruce")</f>
        <v>Amanda Bruce</v>
      </c>
      <c r="T3683" s="6" t="str">
        <f>IFERROR(__xludf.DUMMYFUNCTION("""COMPUTED_VALUE"""),"amanda.bruce@ortrail.k12.or.us")</f>
        <v>amanda.bruce@ortrail.k12.or.us</v>
      </c>
      <c r="U3683" s="6" t="str">
        <f>IFERROR(__xludf.DUMMYFUNCTION("""COMPUTED_VALUE"""),"6")</f>
        <v>6</v>
      </c>
      <c r="V3683" s="6" t="str">
        <f>IFERROR(__xludf.DUMMYFUNCTION("""COMPUTED_VALUE"""),"English")</f>
        <v>English</v>
      </c>
      <c r="W3683" s="6" t="str">
        <f>IFERROR(__xludf.DUMMYFUNCTION("""COMPUTED_VALUE"""),"[]")</f>
        <v>[]</v>
      </c>
      <c r="X3683" s="6" t="str">
        <f>IFERROR(__xludf.DUMMYFUNCTION("""COMPUTED_VALUE"""),"Enrolled")</f>
        <v>Enrolled</v>
      </c>
    </row>
    <row r="3684">
      <c r="A3684" s="6" t="str">
        <f>IFERROR(__xludf.DUMMYFUNCTION("""COMPUTED_VALUE"""),"064-7473")</f>
        <v>064-7473</v>
      </c>
      <c r="B3684" s="6" t="str">
        <f>IFERROR(__xludf.DUMMYFUNCTION("""COMPUTED_VALUE"""),"64")</f>
        <v>64</v>
      </c>
      <c r="C3684" s="6" t="str">
        <f>IFERROR(__xludf.DUMMYFUNCTION("""COMPUTED_VALUE"""),"7473")</f>
        <v>7473</v>
      </c>
      <c r="D3684" s="6" t="str">
        <f>IFERROR(__xludf.DUMMYFUNCTION("""COMPUTED_VALUE"""),"Amelia")</f>
        <v>Amelia</v>
      </c>
      <c r="E3684" s="6" t="str">
        <f>IFERROR(__xludf.DUMMYFUNCTION("""COMPUTED_VALUE"""),"")</f>
        <v/>
      </c>
      <c r="F3684" s="6" t="str">
        <f>IFERROR(__xludf.DUMMYFUNCTION("""COMPUTED_VALUE"""),"Ireland")</f>
        <v>Ireland</v>
      </c>
      <c r="G3684" s="6" t="str">
        <f>IFERROR(__xludf.DUMMYFUNCTION("""COMPUTED_VALUE"""),"05/20/2012")</f>
        <v>05/20/2012</v>
      </c>
      <c r="H3684" s="6" t="str">
        <f>IFERROR(__xludf.DUMMYFUNCTION("""COMPUTED_VALUE"""),"Self Identify")</f>
        <v>Self Identify</v>
      </c>
      <c r="I3684" s="6" t="str">
        <f>IFERROR(__xludf.DUMMYFUNCTION("""COMPUTED_VALUE"""),"Middle School")</f>
        <v>Middle School</v>
      </c>
      <c r="J3684" s="6" t="str">
        <f>IFERROR(__xludf.DUMMYFUNCTION("""COMPUTED_VALUE"""),"7")</f>
        <v>7</v>
      </c>
      <c r="K3684" s="6" t="str">
        <f>IFERROR(__xludf.DUMMYFUNCTION("""COMPUTED_VALUE"""),"baxter_ireland@stu.ortrail.k12.or.us")</f>
        <v>baxter_ireland@stu.ortrail.k12.or.us</v>
      </c>
      <c r="L3684" s="6" t="str">
        <f>IFERROR(__xludf.DUMMYFUNCTION("""COMPUTED_VALUE"""),"Oregon Trail School District 46")</f>
        <v>Oregon Trail School District 46</v>
      </c>
      <c r="M3684" s="6" t="str">
        <f>IFERROR(__xludf.DUMMYFUNCTION("""COMPUTED_VALUE"""),"Boring Middle School")</f>
        <v>Boring Middle School</v>
      </c>
      <c r="N3684" s="6" t="str">
        <f>IFERROR(__xludf.DUMMYFUNCTION("""COMPUTED_VALUE"""),"")</f>
        <v/>
      </c>
      <c r="O3684" s="87" t="str">
        <f>IFERROR(__xludf.DUMMYFUNCTION("""COMPUTED_VALUE"""),"https://drive.google.com/drive/folders/10T2cTQHqEJZqE-st6uFKPoI?usp=share_link")</f>
        <v>https://drive.google.com/drive/folders/10T2cTQHqEJZqE-st6uFKPoI?usp=share_link</v>
      </c>
      <c r="P3684" s="6" t="str">
        <f>IFERROR(__xludf.DUMMYFUNCTION("""COMPUTED_VALUE"""),"Amelia Ireland")</f>
        <v>Amelia Ireland</v>
      </c>
      <c r="Q3684" s="6" t="str">
        <f>IFERROR(__xludf.DUMMYFUNCTION("""COMPUTED_VALUE"""),"MS")</f>
        <v>MS</v>
      </c>
      <c r="R3684" s="6">
        <f>IFERROR(__xludf.DUMMYFUNCTION("""COMPUTED_VALUE"""),0.0)</f>
        <v>0</v>
      </c>
      <c r="S3684" s="6" t="str">
        <f>IFERROR(__xludf.DUMMYFUNCTION("""COMPUTED_VALUE"""),"Amanda Bruce")</f>
        <v>Amanda Bruce</v>
      </c>
      <c r="T3684" s="6" t="str">
        <f>IFERROR(__xludf.DUMMYFUNCTION("""COMPUTED_VALUE"""),"amanda.bruce@ortrail.k12.or.us")</f>
        <v>amanda.bruce@ortrail.k12.or.us</v>
      </c>
      <c r="U3684" s="6" t="str">
        <f>IFERROR(__xludf.DUMMYFUNCTION("""COMPUTED_VALUE"""),"7")</f>
        <v>7</v>
      </c>
      <c r="V3684" s="6" t="str">
        <f>IFERROR(__xludf.DUMMYFUNCTION("""COMPUTED_VALUE"""),"English")</f>
        <v>English</v>
      </c>
      <c r="W3684" s="6" t="str">
        <f>IFERROR(__xludf.DUMMYFUNCTION("""COMPUTED_VALUE"""),"[]")</f>
        <v>[]</v>
      </c>
      <c r="X3684" s="6" t="str">
        <f>IFERROR(__xludf.DUMMYFUNCTION("""COMPUTED_VALUE"""),"Enrolled")</f>
        <v>Enrolled</v>
      </c>
    </row>
    <row r="3685">
      <c r="A3685" s="6" t="str">
        <f>IFERROR(__xludf.DUMMYFUNCTION("""COMPUTED_VALUE"""),"064-7475")</f>
        <v>064-7475</v>
      </c>
      <c r="B3685" s="6" t="str">
        <f>IFERROR(__xludf.DUMMYFUNCTION("""COMPUTED_VALUE"""),"64")</f>
        <v>64</v>
      </c>
      <c r="C3685" s="6" t="str">
        <f>IFERROR(__xludf.DUMMYFUNCTION("""COMPUTED_VALUE"""),"7475")</f>
        <v>7475</v>
      </c>
      <c r="D3685" s="6" t="str">
        <f>IFERROR(__xludf.DUMMYFUNCTION("""COMPUTED_VALUE"""),"Joseph")</f>
        <v>Joseph</v>
      </c>
      <c r="E3685" s="6" t="str">
        <f>IFERROR(__xludf.DUMMYFUNCTION("""COMPUTED_VALUE"""),"")</f>
        <v/>
      </c>
      <c r="F3685" s="6" t="str">
        <f>IFERROR(__xludf.DUMMYFUNCTION("""COMPUTED_VALUE"""),"Bernard")</f>
        <v>Bernard</v>
      </c>
      <c r="G3685" s="6" t="str">
        <f>IFERROR(__xludf.DUMMYFUNCTION("""COMPUTED_VALUE"""),"03/17/2014")</f>
        <v>03/17/2014</v>
      </c>
      <c r="H3685" s="6" t="str">
        <f>IFERROR(__xludf.DUMMYFUNCTION("""COMPUTED_VALUE"""),"self_identify")</f>
        <v>self_identify</v>
      </c>
      <c r="I3685" s="6" t="str">
        <f>IFERROR(__xludf.DUMMYFUNCTION("""COMPUTED_VALUE"""),"Middle School")</f>
        <v>Middle School</v>
      </c>
      <c r="J3685" s="6" t="str">
        <f>IFERROR(__xludf.DUMMYFUNCTION("""COMPUTED_VALUE"""),"6")</f>
        <v>6</v>
      </c>
      <c r="K3685" s="6" t="str">
        <f>IFERROR(__xludf.DUMMYFUNCTION("""COMPUTED_VALUE"""),"joseph_bernard@stu.ortrail.k12.or.us")</f>
        <v>joseph_bernard@stu.ortrail.k12.or.us</v>
      </c>
      <c r="L3685" s="6" t="str">
        <f>IFERROR(__xludf.DUMMYFUNCTION("""COMPUTED_VALUE"""),"Oregon Trail School District 46")</f>
        <v>Oregon Trail School District 46</v>
      </c>
      <c r="M3685" s="6" t="str">
        <f>IFERROR(__xludf.DUMMYFUNCTION("""COMPUTED_VALUE"""),"Boring Middle School")</f>
        <v>Boring Middle School</v>
      </c>
      <c r="N3685" s="6" t="str">
        <f>IFERROR(__xludf.DUMMYFUNCTION("""COMPUTED_VALUE"""),"")</f>
        <v/>
      </c>
      <c r="O3685" s="87" t="str">
        <f>IFERROR(__xludf.DUMMYFUNCTION("""COMPUTED_VALUE"""),"https://drive.google.com/drive/folders/10T2cTQHqEJZqE-st6uFKPoI?usp=share_link")</f>
        <v>https://drive.google.com/drive/folders/10T2cTQHqEJZqE-st6uFKPoI?usp=share_link</v>
      </c>
      <c r="P3685" s="6" t="str">
        <f>IFERROR(__xludf.DUMMYFUNCTION("""COMPUTED_VALUE"""),"Joseph Bernard")</f>
        <v>Joseph Bernard</v>
      </c>
      <c r="Q3685" s="6" t="str">
        <f>IFERROR(__xludf.DUMMYFUNCTION("""COMPUTED_VALUE"""),"MS")</f>
        <v>MS</v>
      </c>
      <c r="R3685" s="6">
        <f>IFERROR(__xludf.DUMMYFUNCTION("""COMPUTED_VALUE"""),0.0)</f>
        <v>0</v>
      </c>
      <c r="S3685" s="6" t="str">
        <f>IFERROR(__xludf.DUMMYFUNCTION("""COMPUTED_VALUE"""),"Nicole Sellin")</f>
        <v>Nicole Sellin</v>
      </c>
      <c r="T3685" s="6" t="str">
        <f>IFERROR(__xludf.DUMMYFUNCTION("""COMPUTED_VALUE"""),"nicole.sellin@ortrail.k12.or.us")</f>
        <v>nicole.sellin@ortrail.k12.or.us</v>
      </c>
      <c r="U3685" s="6" t="str">
        <f>IFERROR(__xludf.DUMMYFUNCTION("""COMPUTED_VALUE"""),"6")</f>
        <v>6</v>
      </c>
      <c r="V3685" s="6" t="str">
        <f>IFERROR(__xludf.DUMMYFUNCTION("""COMPUTED_VALUE"""),"")</f>
        <v/>
      </c>
      <c r="W3685" s="6" t="str">
        <f>IFERROR(__xludf.DUMMYFUNCTION("""COMPUTED_VALUE"""),"[]")</f>
        <v>[]</v>
      </c>
      <c r="X3685" s="6" t="str">
        <f>IFERROR(__xludf.DUMMYFUNCTION("""COMPUTED_VALUE"""),"Enrolled")</f>
        <v>Enrolled</v>
      </c>
    </row>
    <row r="3686">
      <c r="A3686" s="6" t="str">
        <f>IFERROR(__xludf.DUMMYFUNCTION("""COMPUTED_VALUE"""),"064-7622")</f>
        <v>064-7622</v>
      </c>
      <c r="B3686" s="6" t="str">
        <f>IFERROR(__xludf.DUMMYFUNCTION("""COMPUTED_VALUE"""),"64")</f>
        <v>64</v>
      </c>
      <c r="C3686" s="6" t="str">
        <f>IFERROR(__xludf.DUMMYFUNCTION("""COMPUTED_VALUE"""),"7622")</f>
        <v>7622</v>
      </c>
      <c r="D3686" s="6" t="str">
        <f>IFERROR(__xludf.DUMMYFUNCTION("""COMPUTED_VALUE"""),"Aaron")</f>
        <v>Aaron</v>
      </c>
      <c r="E3686" s="6" t="str">
        <f>IFERROR(__xludf.DUMMYFUNCTION("""COMPUTED_VALUE"""),"")</f>
        <v/>
      </c>
      <c r="F3686" s="6" t="str">
        <f>IFERROR(__xludf.DUMMYFUNCTION("""COMPUTED_VALUE"""),"Daugherty")</f>
        <v>Daugherty</v>
      </c>
      <c r="G3686" s="6" t="str">
        <f>IFERROR(__xludf.DUMMYFUNCTION("""COMPUTED_VALUE"""),"07/21/2011")</f>
        <v>07/21/2011</v>
      </c>
      <c r="H3686" s="6" t="str">
        <f>IFERROR(__xludf.DUMMYFUNCTION("""COMPUTED_VALUE"""),"male")</f>
        <v>male</v>
      </c>
      <c r="I3686" s="6" t="str">
        <f>IFERROR(__xludf.DUMMYFUNCTION("""COMPUTED_VALUE"""),"High School")</f>
        <v>High School</v>
      </c>
      <c r="J3686" s="6" t="str">
        <f>IFERROR(__xludf.DUMMYFUNCTION("""COMPUTED_VALUE"""),"9")</f>
        <v>9</v>
      </c>
      <c r="K3686" s="6" t="str">
        <f>IFERROR(__xludf.DUMMYFUNCTION("""COMPUTED_VALUE"""),"aaron_daugherty@stu.ortrail.k12.or.us")</f>
        <v>aaron_daugherty@stu.ortrail.k12.or.us</v>
      </c>
      <c r="L3686" s="6" t="str">
        <f>IFERROR(__xludf.DUMMYFUNCTION("""COMPUTED_VALUE"""),"Oregon Trail School District 46")</f>
        <v>Oregon Trail School District 46</v>
      </c>
      <c r="M3686" s="6" t="str">
        <f>IFERROR(__xludf.DUMMYFUNCTION("""COMPUTED_VALUE"""),"")</f>
        <v/>
      </c>
      <c r="N3686" s="6" t="str">
        <f>IFERROR(__xludf.DUMMYFUNCTION("""COMPUTED_VALUE"""),"")</f>
        <v/>
      </c>
      <c r="O3686" s="87" t="str">
        <f>IFERROR(__xludf.DUMMYFUNCTION("""COMPUTED_VALUE"""),"https://drive.google.com/drive/folders/10T2cTQHqEJZqE-st6uFKPoI?usp=share_link")</f>
        <v>https://drive.google.com/drive/folders/10T2cTQHqEJZqE-st6uFKPoI?usp=share_link</v>
      </c>
      <c r="P3686" s="6" t="str">
        <f>IFERROR(__xludf.DUMMYFUNCTION("""COMPUTED_VALUE"""),"Aaron Daugherty")</f>
        <v>Aaron Daugherty</v>
      </c>
      <c r="Q3686" s="6" t="str">
        <f>IFERROR(__xludf.DUMMYFUNCTION("""COMPUTED_VALUE"""),"HS")</f>
        <v>HS</v>
      </c>
      <c r="R3686" s="6">
        <f>IFERROR(__xludf.DUMMYFUNCTION("""COMPUTED_VALUE"""),0.0)</f>
        <v>0</v>
      </c>
      <c r="S3686" s="6" t="str">
        <f>IFERROR(__xludf.DUMMYFUNCTION("""COMPUTED_VALUE""")," ")</f>
        <v> </v>
      </c>
      <c r="T3686" s="6" t="str">
        <f>IFERROR(__xludf.DUMMYFUNCTION("""COMPUTED_VALUE"""),"")</f>
        <v/>
      </c>
      <c r="U3686" s="6" t="str">
        <f>IFERROR(__xludf.DUMMYFUNCTION("""COMPUTED_VALUE"""),"9")</f>
        <v>9</v>
      </c>
      <c r="V3686" s="6" t="str">
        <f>IFERROR(__xludf.DUMMYFUNCTION("""COMPUTED_VALUE"""),"English")</f>
        <v>English</v>
      </c>
      <c r="W3686" s="6" t="str">
        <f>IFERROR(__xludf.DUMMYFUNCTION("""COMPUTED_VALUE"""),"[]")</f>
        <v>[]</v>
      </c>
      <c r="X3686" s="6" t="str">
        <f>IFERROR(__xludf.DUMMYFUNCTION("""COMPUTED_VALUE"""),"Enrolled")</f>
        <v>Enrolled</v>
      </c>
    </row>
    <row r="3687">
      <c r="A3687" s="6" t="str">
        <f>IFERROR(__xludf.DUMMYFUNCTION("""COMPUTED_VALUE"""),"064-7878")</f>
        <v>064-7878</v>
      </c>
      <c r="B3687" s="6" t="str">
        <f>IFERROR(__xludf.DUMMYFUNCTION("""COMPUTED_VALUE"""),"64")</f>
        <v>64</v>
      </c>
      <c r="C3687" s="6" t="str">
        <f>IFERROR(__xludf.DUMMYFUNCTION("""COMPUTED_VALUE"""),"7878")</f>
        <v>7878</v>
      </c>
      <c r="D3687" s="6" t="str">
        <f>IFERROR(__xludf.DUMMYFUNCTION("""COMPUTED_VALUE"""),"Ashleey")</f>
        <v>Ashleey</v>
      </c>
      <c r="E3687" s="6" t="str">
        <f>IFERROR(__xludf.DUMMYFUNCTION("""COMPUTED_VALUE"""),"")</f>
        <v/>
      </c>
      <c r="F3687" s="6" t="str">
        <f>IFERROR(__xludf.DUMMYFUNCTION("""COMPUTED_VALUE"""),"Campos")</f>
        <v>Campos</v>
      </c>
      <c r="G3687" s="6" t="str">
        <f>IFERROR(__xludf.DUMMYFUNCTION("""COMPUTED_VALUE"""),"09/15/2011")</f>
        <v>09/15/2011</v>
      </c>
      <c r="H3687" s="6" t="str">
        <f>IFERROR(__xludf.DUMMYFUNCTION("""COMPUTED_VALUE"""),"Self Identify")</f>
        <v>Self Identify</v>
      </c>
      <c r="I3687" s="6" t="str">
        <f>IFERROR(__xludf.DUMMYFUNCTION("""COMPUTED_VALUE"""),"High School")</f>
        <v>High School</v>
      </c>
      <c r="J3687" s="6" t="str">
        <f>IFERROR(__xludf.DUMMYFUNCTION("""COMPUTED_VALUE"""),"9")</f>
        <v>9</v>
      </c>
      <c r="K3687" s="6" t="str">
        <f>IFERROR(__xludf.DUMMYFUNCTION("""COMPUTED_VALUE"""),"ashleey.campos@stu.ortrail.k12.or.us")</f>
        <v>ashleey.campos@stu.ortrail.k12.or.us</v>
      </c>
      <c r="L3687" s="6" t="str">
        <f>IFERROR(__xludf.DUMMYFUNCTION("""COMPUTED_VALUE"""),"Oregon Trail School District 46")</f>
        <v>Oregon Trail School District 46</v>
      </c>
      <c r="M3687" s="6" t="str">
        <f>IFERROR(__xludf.DUMMYFUNCTION("""COMPUTED_VALUE"""),"Sandy High School")</f>
        <v>Sandy High School</v>
      </c>
      <c r="N3687" s="6" t="str">
        <f>IFERROR(__xludf.DUMMYFUNCTION("""COMPUTED_VALUE"""),"")</f>
        <v/>
      </c>
      <c r="O3687" s="87" t="str">
        <f>IFERROR(__xludf.DUMMYFUNCTION("""COMPUTED_VALUE"""),"https://drive.google.com/drive/folders/10T2cTQHqEJZqE-st6uFKPoI?usp=share_link")</f>
        <v>https://drive.google.com/drive/folders/10T2cTQHqEJZqE-st6uFKPoI?usp=share_link</v>
      </c>
      <c r="P3687" s="6" t="str">
        <f>IFERROR(__xludf.DUMMYFUNCTION("""COMPUTED_VALUE"""),"Ashleey Campos")</f>
        <v>Ashleey Campos</v>
      </c>
      <c r="Q3687" s="6" t="str">
        <f>IFERROR(__xludf.DUMMYFUNCTION("""COMPUTED_VALUE"""),"HS")</f>
        <v>HS</v>
      </c>
      <c r="R3687" s="6">
        <f>IFERROR(__xludf.DUMMYFUNCTION("""COMPUTED_VALUE"""),0.0)</f>
        <v>0</v>
      </c>
      <c r="S3687" s="6" t="str">
        <f>IFERROR(__xludf.DUMMYFUNCTION("""COMPUTED_VALUE"""),"Trevor Jones")</f>
        <v>Trevor Jones</v>
      </c>
      <c r="T3687" s="6" t="str">
        <f>IFERROR(__xludf.DUMMYFUNCTION("""COMPUTED_VALUE"""),"trevor.jones@ortrail.k12.or.us")</f>
        <v>trevor.jones@ortrail.k12.or.us</v>
      </c>
      <c r="U3687" s="6" t="str">
        <f>IFERROR(__xludf.DUMMYFUNCTION("""COMPUTED_VALUE"""),"9")</f>
        <v>9</v>
      </c>
      <c r="V3687" s="6" t="str">
        <f>IFERROR(__xludf.DUMMYFUNCTION("""COMPUTED_VALUE"""),"")</f>
        <v/>
      </c>
      <c r="W3687" s="6" t="str">
        <f>IFERROR(__xludf.DUMMYFUNCTION("""COMPUTED_VALUE"""),"[]")</f>
        <v>[]</v>
      </c>
      <c r="X3687" s="6" t="str">
        <f>IFERROR(__xludf.DUMMYFUNCTION("""COMPUTED_VALUE"""),"Enrolled")</f>
        <v>Enrolled</v>
      </c>
    </row>
    <row r="3688">
      <c r="A3688" s="6" t="str">
        <f>IFERROR(__xludf.DUMMYFUNCTION("""COMPUTED_VALUE"""),"064-7881")</f>
        <v>064-7881</v>
      </c>
      <c r="B3688" s="6" t="str">
        <f>IFERROR(__xludf.DUMMYFUNCTION("""COMPUTED_VALUE"""),"64")</f>
        <v>64</v>
      </c>
      <c r="C3688" s="6" t="str">
        <f>IFERROR(__xludf.DUMMYFUNCTION("""COMPUTED_VALUE"""),"7881")</f>
        <v>7881</v>
      </c>
      <c r="D3688" s="6" t="str">
        <f>IFERROR(__xludf.DUMMYFUNCTION("""COMPUTED_VALUE"""),"Marco")</f>
        <v>Marco</v>
      </c>
      <c r="E3688" s="6" t="str">
        <f>IFERROR(__xludf.DUMMYFUNCTION("""COMPUTED_VALUE"""),"")</f>
        <v/>
      </c>
      <c r="F3688" s="6" t="str">
        <f>IFERROR(__xludf.DUMMYFUNCTION("""COMPUTED_VALUE"""),"Elias Molina")</f>
        <v>Elias Molina</v>
      </c>
      <c r="G3688" s="6" t="str">
        <f>IFERROR(__xludf.DUMMYFUNCTION("""COMPUTED_VALUE"""),"01/20/2010")</f>
        <v>01/20/2010</v>
      </c>
      <c r="H3688" s="6" t="str">
        <f>IFERROR(__xludf.DUMMYFUNCTION("""COMPUTED_VALUE"""),"Self Identify")</f>
        <v>Self Identify</v>
      </c>
      <c r="I3688" s="6" t="str">
        <f>IFERROR(__xludf.DUMMYFUNCTION("""COMPUTED_VALUE"""),"High School")</f>
        <v>High School</v>
      </c>
      <c r="J3688" s="6" t="str">
        <f>IFERROR(__xludf.DUMMYFUNCTION("""COMPUTED_VALUE"""),"10")</f>
        <v>10</v>
      </c>
      <c r="K3688" s="6" t="str">
        <f>IFERROR(__xludf.DUMMYFUNCTION("""COMPUTED_VALUE"""),"marco.eliasmolina@stu.ortrail.k12.or.us")</f>
        <v>marco.eliasmolina@stu.ortrail.k12.or.us</v>
      </c>
      <c r="L3688" s="6" t="str">
        <f>IFERROR(__xludf.DUMMYFUNCTION("""COMPUTED_VALUE"""),"Oregon Trail School District 46")</f>
        <v>Oregon Trail School District 46</v>
      </c>
      <c r="M3688" s="6" t="str">
        <f>IFERROR(__xludf.DUMMYFUNCTION("""COMPUTED_VALUE"""),"Sandy High School")</f>
        <v>Sandy High School</v>
      </c>
      <c r="N3688" s="6" t="str">
        <f>IFERROR(__xludf.DUMMYFUNCTION("""COMPUTED_VALUE"""),"")</f>
        <v/>
      </c>
      <c r="O3688" s="87" t="str">
        <f>IFERROR(__xludf.DUMMYFUNCTION("""COMPUTED_VALUE"""),"https://drive.google.com/drive/folders/10T2cTQHqEJZqE-st6uFKPoI?usp=share_link")</f>
        <v>https://drive.google.com/drive/folders/10T2cTQHqEJZqE-st6uFKPoI?usp=share_link</v>
      </c>
      <c r="P3688" s="6" t="str">
        <f>IFERROR(__xludf.DUMMYFUNCTION("""COMPUTED_VALUE"""),"Marco Elias Molina")</f>
        <v>Marco Elias Molina</v>
      </c>
      <c r="Q3688" s="6" t="str">
        <f>IFERROR(__xludf.DUMMYFUNCTION("""COMPUTED_VALUE"""),"HS")</f>
        <v>HS</v>
      </c>
      <c r="R3688" s="6">
        <f>IFERROR(__xludf.DUMMYFUNCTION("""COMPUTED_VALUE"""),0.0)</f>
        <v>0</v>
      </c>
      <c r="S3688" s="6" t="str">
        <f>IFERROR(__xludf.DUMMYFUNCTION("""COMPUTED_VALUE"""),"Megan Montellano")</f>
        <v>Megan Montellano</v>
      </c>
      <c r="T3688" s="6" t="str">
        <f>IFERROR(__xludf.DUMMYFUNCTION("""COMPUTED_VALUE"""),"megan.montellano@ortrail.k12.or.us")</f>
        <v>megan.montellano@ortrail.k12.or.us</v>
      </c>
      <c r="U3688" s="6" t="str">
        <f>IFERROR(__xludf.DUMMYFUNCTION("""COMPUTED_VALUE"""),"10")</f>
        <v>10</v>
      </c>
      <c r="V3688" s="6" t="str">
        <f>IFERROR(__xludf.DUMMYFUNCTION("""COMPUTED_VALUE"""),"")</f>
        <v/>
      </c>
      <c r="W3688" s="6" t="str">
        <f>IFERROR(__xludf.DUMMYFUNCTION("""COMPUTED_VALUE"""),"[]")</f>
        <v>[]</v>
      </c>
      <c r="X3688" s="6" t="str">
        <f>IFERROR(__xludf.DUMMYFUNCTION("""COMPUTED_VALUE"""),"Enrolled")</f>
        <v>Enrolled</v>
      </c>
    </row>
    <row r="3689">
      <c r="A3689" s="6" t="str">
        <f>IFERROR(__xludf.DUMMYFUNCTION("""COMPUTED_VALUE"""),"064-7882")</f>
        <v>064-7882</v>
      </c>
      <c r="B3689" s="6" t="str">
        <f>IFERROR(__xludf.DUMMYFUNCTION("""COMPUTED_VALUE"""),"64")</f>
        <v>64</v>
      </c>
      <c r="C3689" s="6" t="str">
        <f>IFERROR(__xludf.DUMMYFUNCTION("""COMPUTED_VALUE"""),"7882")</f>
        <v>7882</v>
      </c>
      <c r="D3689" s="6" t="str">
        <f>IFERROR(__xludf.DUMMYFUNCTION("""COMPUTED_VALUE"""),"Robert")</f>
        <v>Robert</v>
      </c>
      <c r="E3689" s="6" t="str">
        <f>IFERROR(__xludf.DUMMYFUNCTION("""COMPUTED_VALUE"""),"")</f>
        <v/>
      </c>
      <c r="F3689" s="6" t="str">
        <f>IFERROR(__xludf.DUMMYFUNCTION("""COMPUTED_VALUE"""),"Golden")</f>
        <v>Golden</v>
      </c>
      <c r="G3689" s="6" t="str">
        <f>IFERROR(__xludf.DUMMYFUNCTION("""COMPUTED_VALUE"""),"06/05/2010")</f>
        <v>06/05/2010</v>
      </c>
      <c r="H3689" s="6" t="str">
        <f>IFERROR(__xludf.DUMMYFUNCTION("""COMPUTED_VALUE"""),"Self Identify")</f>
        <v>Self Identify</v>
      </c>
      <c r="I3689" s="6" t="str">
        <f>IFERROR(__xludf.DUMMYFUNCTION("""COMPUTED_VALUE"""),"High School")</f>
        <v>High School</v>
      </c>
      <c r="J3689" s="6" t="str">
        <f>IFERROR(__xludf.DUMMYFUNCTION("""COMPUTED_VALUE"""),"9")</f>
        <v>9</v>
      </c>
      <c r="K3689" s="6" t="str">
        <f>IFERROR(__xludf.DUMMYFUNCTION("""COMPUTED_VALUE"""),"robert.golden@stu.ortrail.k12.or.us")</f>
        <v>robert.golden@stu.ortrail.k12.or.us</v>
      </c>
      <c r="L3689" s="6" t="str">
        <f>IFERROR(__xludf.DUMMYFUNCTION("""COMPUTED_VALUE"""),"Oregon Trail School District 46")</f>
        <v>Oregon Trail School District 46</v>
      </c>
      <c r="M3689" s="6" t="str">
        <f>IFERROR(__xludf.DUMMYFUNCTION("""COMPUTED_VALUE"""),"Sandy High School")</f>
        <v>Sandy High School</v>
      </c>
      <c r="N3689" s="6" t="str">
        <f>IFERROR(__xludf.DUMMYFUNCTION("""COMPUTED_VALUE"""),"")</f>
        <v/>
      </c>
      <c r="O3689" s="87" t="str">
        <f>IFERROR(__xludf.DUMMYFUNCTION("""COMPUTED_VALUE"""),"https://drive.google.com/drive/folders/10T2cTQHqEJZqE-st6uFKPoI?usp=share_link")</f>
        <v>https://drive.google.com/drive/folders/10T2cTQHqEJZqE-st6uFKPoI?usp=share_link</v>
      </c>
      <c r="P3689" s="6" t="str">
        <f>IFERROR(__xludf.DUMMYFUNCTION("""COMPUTED_VALUE"""),"Robert Golden")</f>
        <v>Robert Golden</v>
      </c>
      <c r="Q3689" s="6" t="str">
        <f>IFERROR(__xludf.DUMMYFUNCTION("""COMPUTED_VALUE"""),"HS")</f>
        <v>HS</v>
      </c>
      <c r="R3689" s="6">
        <f>IFERROR(__xludf.DUMMYFUNCTION("""COMPUTED_VALUE"""),0.0)</f>
        <v>0</v>
      </c>
      <c r="S3689" s="6" t="str">
        <f>IFERROR(__xludf.DUMMYFUNCTION("""COMPUTED_VALUE"""),"Molly Marple")</f>
        <v>Molly Marple</v>
      </c>
      <c r="T3689" s="6" t="str">
        <f>IFERROR(__xludf.DUMMYFUNCTION("""COMPUTED_VALUE"""),"molly.marple@ortrail.k12.or.us")</f>
        <v>molly.marple@ortrail.k12.or.us</v>
      </c>
      <c r="U3689" s="6" t="str">
        <f>IFERROR(__xludf.DUMMYFUNCTION("""COMPUTED_VALUE"""),"9")</f>
        <v>9</v>
      </c>
      <c r="V3689" s="6" t="str">
        <f>IFERROR(__xludf.DUMMYFUNCTION("""COMPUTED_VALUE"""),"")</f>
        <v/>
      </c>
      <c r="W3689" s="6" t="str">
        <f>IFERROR(__xludf.DUMMYFUNCTION("""COMPUTED_VALUE"""),"[]")</f>
        <v>[]</v>
      </c>
      <c r="X3689" s="6" t="str">
        <f>IFERROR(__xludf.DUMMYFUNCTION("""COMPUTED_VALUE"""),"Enrolled")</f>
        <v>Enrolled</v>
      </c>
    </row>
    <row r="3690">
      <c r="A3690" s="6" t="str">
        <f>IFERROR(__xludf.DUMMYFUNCTION("""COMPUTED_VALUE"""),"064-7884")</f>
        <v>064-7884</v>
      </c>
      <c r="B3690" s="6" t="str">
        <f>IFERROR(__xludf.DUMMYFUNCTION("""COMPUTED_VALUE"""),"64")</f>
        <v>64</v>
      </c>
      <c r="C3690" s="6" t="str">
        <f>IFERROR(__xludf.DUMMYFUNCTION("""COMPUTED_VALUE"""),"7884")</f>
        <v>7884</v>
      </c>
      <c r="D3690" s="6" t="str">
        <f>IFERROR(__xludf.DUMMYFUNCTION("""COMPUTED_VALUE"""),"Joseph")</f>
        <v>Joseph</v>
      </c>
      <c r="E3690" s="6" t="str">
        <f>IFERROR(__xludf.DUMMYFUNCTION("""COMPUTED_VALUE"""),"")</f>
        <v/>
      </c>
      <c r="F3690" s="6" t="str">
        <f>IFERROR(__xludf.DUMMYFUNCTION("""COMPUTED_VALUE"""),"Bernard")</f>
        <v>Bernard</v>
      </c>
      <c r="G3690" s="6" t="str">
        <f>IFERROR(__xludf.DUMMYFUNCTION("""COMPUTED_VALUE"""),"03/17/2014")</f>
        <v>03/17/2014</v>
      </c>
      <c r="H3690" s="6" t="str">
        <f>IFERROR(__xludf.DUMMYFUNCTION("""COMPUTED_VALUE"""),"Self Identify")</f>
        <v>Self Identify</v>
      </c>
      <c r="I3690" s="6" t="str">
        <f>IFERROR(__xludf.DUMMYFUNCTION("""COMPUTED_VALUE"""),"Middle School")</f>
        <v>Middle School</v>
      </c>
      <c r="J3690" s="6" t="str">
        <f>IFERROR(__xludf.DUMMYFUNCTION("""COMPUTED_VALUE"""),"6")</f>
        <v>6</v>
      </c>
      <c r="K3690" s="6" t="str">
        <f>IFERROR(__xludf.DUMMYFUNCTION("""COMPUTED_VALUE"""),"joseph.bernard@stu.ortrail.k12.or.us")</f>
        <v>joseph.bernard@stu.ortrail.k12.or.us</v>
      </c>
      <c r="L3690" s="6" t="str">
        <f>IFERROR(__xludf.DUMMYFUNCTION("""COMPUTED_VALUE"""),"Oregon Trail School District 46")</f>
        <v>Oregon Trail School District 46</v>
      </c>
      <c r="M3690" s="6" t="str">
        <f>IFERROR(__xludf.DUMMYFUNCTION("""COMPUTED_VALUE"""),"Boring Middle School")</f>
        <v>Boring Middle School</v>
      </c>
      <c r="N3690" s="6" t="str">
        <f>IFERROR(__xludf.DUMMYFUNCTION("""COMPUTED_VALUE"""),"")</f>
        <v/>
      </c>
      <c r="O3690" s="87" t="str">
        <f>IFERROR(__xludf.DUMMYFUNCTION("""COMPUTED_VALUE"""),"https://drive.google.com/drive/folders/10T2cTQHqEJZqE-st6uFKPoI?usp=share_link")</f>
        <v>https://drive.google.com/drive/folders/10T2cTQHqEJZqE-st6uFKPoI?usp=share_link</v>
      </c>
      <c r="P3690" s="6" t="str">
        <f>IFERROR(__xludf.DUMMYFUNCTION("""COMPUTED_VALUE"""),"Joseph Bernard")</f>
        <v>Joseph Bernard</v>
      </c>
      <c r="Q3690" s="6" t="str">
        <f>IFERROR(__xludf.DUMMYFUNCTION("""COMPUTED_VALUE"""),"MS")</f>
        <v>MS</v>
      </c>
      <c r="R3690" s="6">
        <f>IFERROR(__xludf.DUMMYFUNCTION("""COMPUTED_VALUE"""),0.0)</f>
        <v>0</v>
      </c>
      <c r="S3690" s="6" t="str">
        <f>IFERROR(__xludf.DUMMYFUNCTION("""COMPUTED_VALUE"""),"David Beitler")</f>
        <v>David Beitler</v>
      </c>
      <c r="T3690" s="6" t="str">
        <f>IFERROR(__xludf.DUMMYFUNCTION("""COMPUTED_VALUE"""),"david.beitler@ortrail.k12.or.us")</f>
        <v>david.beitler@ortrail.k12.or.us</v>
      </c>
      <c r="U3690" s="6" t="str">
        <f>IFERROR(__xludf.DUMMYFUNCTION("""COMPUTED_VALUE"""),"6")</f>
        <v>6</v>
      </c>
      <c r="V3690" s="6" t="str">
        <f>IFERROR(__xludf.DUMMYFUNCTION("""COMPUTED_VALUE"""),"")</f>
        <v/>
      </c>
      <c r="W3690" s="6" t="str">
        <f>IFERROR(__xludf.DUMMYFUNCTION("""COMPUTED_VALUE"""),"[]")</f>
        <v>[]</v>
      </c>
      <c r="X3690" s="6" t="str">
        <f>IFERROR(__xludf.DUMMYFUNCTION("""COMPUTED_VALUE"""),"Enrolled")</f>
        <v>Enrolled</v>
      </c>
    </row>
    <row r="3691">
      <c r="A3691" s="6" t="str">
        <f>IFERROR(__xludf.DUMMYFUNCTION("""COMPUTED_VALUE"""),"064-7886")</f>
        <v>064-7886</v>
      </c>
      <c r="B3691" s="6" t="str">
        <f>IFERROR(__xludf.DUMMYFUNCTION("""COMPUTED_VALUE"""),"64")</f>
        <v>64</v>
      </c>
      <c r="C3691" s="6" t="str">
        <f>IFERROR(__xludf.DUMMYFUNCTION("""COMPUTED_VALUE"""),"7886")</f>
        <v>7886</v>
      </c>
      <c r="D3691" s="6" t="str">
        <f>IFERROR(__xludf.DUMMYFUNCTION("""COMPUTED_VALUE"""),"Kyrie")</f>
        <v>Kyrie</v>
      </c>
      <c r="E3691" s="6" t="str">
        <f>IFERROR(__xludf.DUMMYFUNCTION("""COMPUTED_VALUE"""),"")</f>
        <v/>
      </c>
      <c r="F3691" s="6" t="str">
        <f>IFERROR(__xludf.DUMMYFUNCTION("""COMPUTED_VALUE"""),"Lawrence")</f>
        <v>Lawrence</v>
      </c>
      <c r="G3691" s="6" t="str">
        <f>IFERROR(__xludf.DUMMYFUNCTION("""COMPUTED_VALUE"""),"09/01/2015")</f>
        <v>09/01/2015</v>
      </c>
      <c r="H3691" s="6" t="str">
        <f>IFERROR(__xludf.DUMMYFUNCTION("""COMPUTED_VALUE"""),"Self Identify")</f>
        <v>Self Identify</v>
      </c>
      <c r="I3691" s="6" t="str">
        <f>IFERROR(__xludf.DUMMYFUNCTION("""COMPUTED_VALUE"""),"Level 2")</f>
        <v>Level 2</v>
      </c>
      <c r="J3691" s="6" t="str">
        <f>IFERROR(__xludf.DUMMYFUNCTION("""COMPUTED_VALUE"""),"5")</f>
        <v>5</v>
      </c>
      <c r="K3691" s="6" t="str">
        <f>IFERROR(__xludf.DUMMYFUNCTION("""COMPUTED_VALUE"""),"kyrie.lawrence@stu.ortrail.k12.or.us")</f>
        <v>kyrie.lawrence@stu.ortrail.k12.or.us</v>
      </c>
      <c r="L3691" s="6" t="str">
        <f>IFERROR(__xludf.DUMMYFUNCTION("""COMPUTED_VALUE"""),"Oregon Trail School District 46")</f>
        <v>Oregon Trail School District 46</v>
      </c>
      <c r="M3691" s="6" t="str">
        <f>IFERROR(__xludf.DUMMYFUNCTION("""COMPUTED_VALUE"""),"Kelso Elementary School")</f>
        <v>Kelso Elementary School</v>
      </c>
      <c r="N3691" s="6" t="str">
        <f>IFERROR(__xludf.DUMMYFUNCTION("""COMPUTED_VALUE"""),"")</f>
        <v/>
      </c>
      <c r="O3691" s="87" t="str">
        <f>IFERROR(__xludf.DUMMYFUNCTION("""COMPUTED_VALUE"""),"https://drive.google.com/drive/folders/10T2cTQHqEJZqE-st6uFKPoI?usp=share_link")</f>
        <v>https://drive.google.com/drive/folders/10T2cTQHqEJZqE-st6uFKPoI?usp=share_link</v>
      </c>
      <c r="P3691" s="6" t="str">
        <f>IFERROR(__xludf.DUMMYFUNCTION("""COMPUTED_VALUE"""),"Kyrie Lawrence")</f>
        <v>Kyrie Lawrence</v>
      </c>
      <c r="Q3691" s="6" t="str">
        <f>IFERROR(__xludf.DUMMYFUNCTION("""COMPUTED_VALUE"""),"L2")</f>
        <v>L2</v>
      </c>
      <c r="R3691" s="6">
        <f>IFERROR(__xludf.DUMMYFUNCTION("""COMPUTED_VALUE"""),2.0)</f>
        <v>2</v>
      </c>
      <c r="S3691" s="6" t="str">
        <f>IFERROR(__xludf.DUMMYFUNCTION("""COMPUTED_VALUE"""),"Jessica Minch")</f>
        <v>Jessica Minch</v>
      </c>
      <c r="T3691" s="6" t="str">
        <f>IFERROR(__xludf.DUMMYFUNCTION("""COMPUTED_VALUE"""),"jessica.minch@ortrail.k12.or.us")</f>
        <v>jessica.minch@ortrail.k12.or.us</v>
      </c>
      <c r="U3691" s="6" t="str">
        <f>IFERROR(__xludf.DUMMYFUNCTION("""COMPUTED_VALUE"""),"5")</f>
        <v>5</v>
      </c>
      <c r="V3691" s="6" t="str">
        <f>IFERROR(__xludf.DUMMYFUNCTION("""COMPUTED_VALUE"""),"")</f>
        <v/>
      </c>
      <c r="W3691" s="6" t="str">
        <f>IFERROR(__xludf.DUMMYFUNCTION("""COMPUTED_VALUE"""),"[]")</f>
        <v>[]</v>
      </c>
      <c r="X3691" s="6" t="str">
        <f>IFERROR(__xludf.DUMMYFUNCTION("""COMPUTED_VALUE"""),"Enrolled")</f>
        <v>Enrolled</v>
      </c>
    </row>
    <row r="3692">
      <c r="A3692" s="6" t="str">
        <f>IFERROR(__xludf.DUMMYFUNCTION("""COMPUTED_VALUE"""),"064-8031")</f>
        <v>064-8031</v>
      </c>
      <c r="B3692" s="6" t="str">
        <f>IFERROR(__xludf.DUMMYFUNCTION("""COMPUTED_VALUE"""),"64")</f>
        <v>64</v>
      </c>
      <c r="C3692" s="6" t="str">
        <f>IFERROR(__xludf.DUMMYFUNCTION("""COMPUTED_VALUE"""),"8031")</f>
        <v>8031</v>
      </c>
      <c r="D3692" s="6" t="str">
        <f>IFERROR(__xludf.DUMMYFUNCTION("""COMPUTED_VALUE"""),"Manny")</f>
        <v>Manny</v>
      </c>
      <c r="E3692" s="6" t="str">
        <f>IFERROR(__xludf.DUMMYFUNCTION("""COMPUTED_VALUE"""),"")</f>
        <v/>
      </c>
      <c r="F3692" s="6" t="str">
        <f>IFERROR(__xludf.DUMMYFUNCTION("""COMPUTED_VALUE"""),"Jalos")</f>
        <v>Jalos</v>
      </c>
      <c r="G3692" s="6" t="str">
        <f>IFERROR(__xludf.DUMMYFUNCTION("""COMPUTED_VALUE"""),"10/21/2013")</f>
        <v>10/21/2013</v>
      </c>
      <c r="H3692" s="6" t="str">
        <f>IFERROR(__xludf.DUMMYFUNCTION("""COMPUTED_VALUE"""),"Self Identify")</f>
        <v>Self Identify</v>
      </c>
      <c r="I3692" s="6" t="str">
        <f>IFERROR(__xludf.DUMMYFUNCTION("""COMPUTED_VALUE"""),"Middle School")</f>
        <v>Middle School</v>
      </c>
      <c r="J3692" s="6" t="str">
        <f>IFERROR(__xludf.DUMMYFUNCTION("""COMPUTED_VALUE"""),"6")</f>
        <v>6</v>
      </c>
      <c r="K3692" s="6" t="str">
        <f>IFERROR(__xludf.DUMMYFUNCTION("""COMPUTED_VALUE"""),"manny_jalos@stu.ortrail.k12.or.us")</f>
        <v>manny_jalos@stu.ortrail.k12.or.us</v>
      </c>
      <c r="L3692" s="6" t="str">
        <f>IFERROR(__xludf.DUMMYFUNCTION("""COMPUTED_VALUE"""),"Oregon Trail School District 46")</f>
        <v>Oregon Trail School District 46</v>
      </c>
      <c r="M3692" s="6" t="str">
        <f>IFERROR(__xludf.DUMMYFUNCTION("""COMPUTED_VALUE"""),"")</f>
        <v/>
      </c>
      <c r="N3692" s="6" t="str">
        <f>IFERROR(__xludf.DUMMYFUNCTION("""COMPUTED_VALUE"""),"")</f>
        <v/>
      </c>
      <c r="O3692" s="87" t="str">
        <f>IFERROR(__xludf.DUMMYFUNCTION("""COMPUTED_VALUE"""),"https://drive.google.com/drive/folders/10T2cTQHqEJZqE-st6uFKPoI?usp=share_link")</f>
        <v>https://drive.google.com/drive/folders/10T2cTQHqEJZqE-st6uFKPoI?usp=share_link</v>
      </c>
      <c r="P3692" s="6" t="str">
        <f>IFERROR(__xludf.DUMMYFUNCTION("""COMPUTED_VALUE"""),"Manny Jalos")</f>
        <v>Manny Jalos</v>
      </c>
      <c r="Q3692" s="6" t="str">
        <f>IFERROR(__xludf.DUMMYFUNCTION("""COMPUTED_VALUE"""),"MS")</f>
        <v>MS</v>
      </c>
      <c r="R3692" s="6">
        <f>IFERROR(__xludf.DUMMYFUNCTION("""COMPUTED_VALUE"""),0.0)</f>
        <v>0</v>
      </c>
      <c r="S3692" s="6" t="str">
        <f>IFERROR(__xludf.DUMMYFUNCTION("""COMPUTED_VALUE""")," ")</f>
        <v> </v>
      </c>
      <c r="T3692" s="6" t="str">
        <f>IFERROR(__xludf.DUMMYFUNCTION("""COMPUTED_VALUE"""),"")</f>
        <v/>
      </c>
      <c r="U3692" s="6" t="str">
        <f>IFERROR(__xludf.DUMMYFUNCTION("""COMPUTED_VALUE"""),"6")</f>
        <v>6</v>
      </c>
      <c r="V3692" s="6" t="str">
        <f>IFERROR(__xludf.DUMMYFUNCTION("""COMPUTED_VALUE"""),"")</f>
        <v/>
      </c>
      <c r="W3692" s="6" t="str">
        <f>IFERROR(__xludf.DUMMYFUNCTION("""COMPUTED_VALUE"""),"[]")</f>
        <v>[]</v>
      </c>
      <c r="X3692" s="6" t="str">
        <f>IFERROR(__xludf.DUMMYFUNCTION("""COMPUTED_VALUE"""),"Enrolled")</f>
        <v>Enrolled</v>
      </c>
    </row>
    <row r="3693">
      <c r="A3693" s="6" t="str">
        <f>IFERROR(__xludf.DUMMYFUNCTION("""COMPUTED_VALUE"""),"064-8033")</f>
        <v>064-8033</v>
      </c>
      <c r="B3693" s="6" t="str">
        <f>IFERROR(__xludf.DUMMYFUNCTION("""COMPUTED_VALUE"""),"64")</f>
        <v>64</v>
      </c>
      <c r="C3693" s="6" t="str">
        <f>IFERROR(__xludf.DUMMYFUNCTION("""COMPUTED_VALUE"""),"8033")</f>
        <v>8033</v>
      </c>
      <c r="D3693" s="6" t="str">
        <f>IFERROR(__xludf.DUMMYFUNCTION("""COMPUTED_VALUE"""),"Emily")</f>
        <v>Emily</v>
      </c>
      <c r="E3693" s="6" t="str">
        <f>IFERROR(__xludf.DUMMYFUNCTION("""COMPUTED_VALUE"""),"")</f>
        <v/>
      </c>
      <c r="F3693" s="6" t="str">
        <f>IFERROR(__xludf.DUMMYFUNCTION("""COMPUTED_VALUE"""),"Dowler")</f>
        <v>Dowler</v>
      </c>
      <c r="G3693" s="6" t="str">
        <f>IFERROR(__xludf.DUMMYFUNCTION("""COMPUTED_VALUE"""),"09/10/2012")</f>
        <v>09/10/2012</v>
      </c>
      <c r="H3693" s="6" t="str">
        <f>IFERROR(__xludf.DUMMYFUNCTION("""COMPUTED_VALUE"""),"female")</f>
        <v>female</v>
      </c>
      <c r="I3693" s="6" t="str">
        <f>IFERROR(__xludf.DUMMYFUNCTION("""COMPUTED_VALUE"""),"Middle School")</f>
        <v>Middle School</v>
      </c>
      <c r="J3693" s="6" t="str">
        <f>IFERROR(__xludf.DUMMYFUNCTION("""COMPUTED_VALUE"""),"7")</f>
        <v>7</v>
      </c>
      <c r="K3693" s="6" t="str">
        <f>IFERROR(__xludf.DUMMYFUNCTION("""COMPUTED_VALUE"""),"emily_dowler@stu.ortrail.k12.or.us")</f>
        <v>emily_dowler@stu.ortrail.k12.or.us</v>
      </c>
      <c r="L3693" s="6" t="str">
        <f>IFERROR(__xludf.DUMMYFUNCTION("""COMPUTED_VALUE"""),"Oregon Trail School District 46")</f>
        <v>Oregon Trail School District 46</v>
      </c>
      <c r="M3693" s="6" t="str">
        <f>IFERROR(__xludf.DUMMYFUNCTION("""COMPUTED_VALUE"""),"")</f>
        <v/>
      </c>
      <c r="N3693" s="6" t="str">
        <f>IFERROR(__xludf.DUMMYFUNCTION("""COMPUTED_VALUE"""),"")</f>
        <v/>
      </c>
      <c r="O3693" s="87" t="str">
        <f>IFERROR(__xludf.DUMMYFUNCTION("""COMPUTED_VALUE"""),"https://drive.google.com/drive/folders/10T2cTQHqEJZqE-st6uFKPoI?usp=share_link")</f>
        <v>https://drive.google.com/drive/folders/10T2cTQHqEJZqE-st6uFKPoI?usp=share_link</v>
      </c>
      <c r="P3693" s="6" t="str">
        <f>IFERROR(__xludf.DUMMYFUNCTION("""COMPUTED_VALUE"""),"Emily Dowler")</f>
        <v>Emily Dowler</v>
      </c>
      <c r="Q3693" s="6" t="str">
        <f>IFERROR(__xludf.DUMMYFUNCTION("""COMPUTED_VALUE"""),"MS")</f>
        <v>MS</v>
      </c>
      <c r="R3693" s="6">
        <f>IFERROR(__xludf.DUMMYFUNCTION("""COMPUTED_VALUE"""),0.0)</f>
        <v>0</v>
      </c>
      <c r="S3693" s="6" t="str">
        <f>IFERROR(__xludf.DUMMYFUNCTION("""COMPUTED_VALUE""")," ")</f>
        <v> </v>
      </c>
      <c r="T3693" s="6" t="str">
        <f>IFERROR(__xludf.DUMMYFUNCTION("""COMPUTED_VALUE"""),"")</f>
        <v/>
      </c>
      <c r="U3693" s="6" t="str">
        <f>IFERROR(__xludf.DUMMYFUNCTION("""COMPUTED_VALUE"""),"7")</f>
        <v>7</v>
      </c>
      <c r="V3693" s="6" t="str">
        <f>IFERROR(__xludf.DUMMYFUNCTION("""COMPUTED_VALUE"""),"")</f>
        <v/>
      </c>
      <c r="W3693" s="6" t="str">
        <f>IFERROR(__xludf.DUMMYFUNCTION("""COMPUTED_VALUE"""),"[]")</f>
        <v>[]</v>
      </c>
      <c r="X3693" s="6" t="str">
        <f>IFERROR(__xludf.DUMMYFUNCTION("""COMPUTED_VALUE"""),"Enrolled")</f>
        <v>Enrolled</v>
      </c>
    </row>
    <row r="3694">
      <c r="A3694" s="6" t="str">
        <f>IFERROR(__xludf.DUMMYFUNCTION("""COMPUTED_VALUE"""),"064-8034")</f>
        <v>064-8034</v>
      </c>
      <c r="B3694" s="6" t="str">
        <f>IFERROR(__xludf.DUMMYFUNCTION("""COMPUTED_VALUE"""),"64")</f>
        <v>64</v>
      </c>
      <c r="C3694" s="6" t="str">
        <f>IFERROR(__xludf.DUMMYFUNCTION("""COMPUTED_VALUE"""),"8034")</f>
        <v>8034</v>
      </c>
      <c r="D3694" s="6" t="str">
        <f>IFERROR(__xludf.DUMMYFUNCTION("""COMPUTED_VALUE"""),"Bentley")</f>
        <v>Bentley</v>
      </c>
      <c r="E3694" s="6" t="str">
        <f>IFERROR(__xludf.DUMMYFUNCTION("""COMPUTED_VALUE"""),"")</f>
        <v/>
      </c>
      <c r="F3694" s="6" t="str">
        <f>IFERROR(__xludf.DUMMYFUNCTION("""COMPUTED_VALUE"""),"Newstrom")</f>
        <v>Newstrom</v>
      </c>
      <c r="G3694" s="6" t="str">
        <f>IFERROR(__xludf.DUMMYFUNCTION("""COMPUTED_VALUE"""),"01/28/2012")</f>
        <v>01/28/2012</v>
      </c>
      <c r="H3694" s="6" t="str">
        <f>IFERROR(__xludf.DUMMYFUNCTION("""COMPUTED_VALUE"""),"Self Identify")</f>
        <v>Self Identify</v>
      </c>
      <c r="I3694" s="6" t="str">
        <f>IFERROR(__xludf.DUMMYFUNCTION("""COMPUTED_VALUE"""),"Middle School")</f>
        <v>Middle School</v>
      </c>
      <c r="J3694" s="6" t="str">
        <f>IFERROR(__xludf.DUMMYFUNCTION("""COMPUTED_VALUE"""),"7")</f>
        <v>7</v>
      </c>
      <c r="K3694" s="6" t="str">
        <f>IFERROR(__xludf.DUMMYFUNCTION("""COMPUTED_VALUE"""),"bentley_newstrom@stu.ortrail.k12.or.us")</f>
        <v>bentley_newstrom@stu.ortrail.k12.or.us</v>
      </c>
      <c r="L3694" s="6" t="str">
        <f>IFERROR(__xludf.DUMMYFUNCTION("""COMPUTED_VALUE"""),"Oregon Trail School District 46")</f>
        <v>Oregon Trail School District 46</v>
      </c>
      <c r="M3694" s="6" t="str">
        <f>IFERROR(__xludf.DUMMYFUNCTION("""COMPUTED_VALUE"""),"")</f>
        <v/>
      </c>
      <c r="N3694" s="6" t="str">
        <f>IFERROR(__xludf.DUMMYFUNCTION("""COMPUTED_VALUE"""),"")</f>
        <v/>
      </c>
      <c r="O3694" s="87" t="str">
        <f>IFERROR(__xludf.DUMMYFUNCTION("""COMPUTED_VALUE"""),"https://drive.google.com/drive/folders/10T2cTQHqEJZqE-st6uFKPoI?usp=share_link")</f>
        <v>https://drive.google.com/drive/folders/10T2cTQHqEJZqE-st6uFKPoI?usp=share_link</v>
      </c>
      <c r="P3694" s="6" t="str">
        <f>IFERROR(__xludf.DUMMYFUNCTION("""COMPUTED_VALUE"""),"Bentley Newstrom")</f>
        <v>Bentley Newstrom</v>
      </c>
      <c r="Q3694" s="6" t="str">
        <f>IFERROR(__xludf.DUMMYFUNCTION("""COMPUTED_VALUE"""),"MS")</f>
        <v>MS</v>
      </c>
      <c r="R3694" s="6">
        <f>IFERROR(__xludf.DUMMYFUNCTION("""COMPUTED_VALUE"""),0.0)</f>
        <v>0</v>
      </c>
      <c r="S3694" s="6" t="str">
        <f>IFERROR(__xludf.DUMMYFUNCTION("""COMPUTED_VALUE""")," ")</f>
        <v> </v>
      </c>
      <c r="T3694" s="6" t="str">
        <f>IFERROR(__xludf.DUMMYFUNCTION("""COMPUTED_VALUE"""),"")</f>
        <v/>
      </c>
      <c r="U3694" s="6" t="str">
        <f>IFERROR(__xludf.DUMMYFUNCTION("""COMPUTED_VALUE"""),"7")</f>
        <v>7</v>
      </c>
      <c r="V3694" s="6" t="str">
        <f>IFERROR(__xludf.DUMMYFUNCTION("""COMPUTED_VALUE"""),"")</f>
        <v/>
      </c>
      <c r="W3694" s="6" t="str">
        <f>IFERROR(__xludf.DUMMYFUNCTION("""COMPUTED_VALUE"""),"[]")</f>
        <v>[]</v>
      </c>
      <c r="X3694" s="6" t="str">
        <f>IFERROR(__xludf.DUMMYFUNCTION("""COMPUTED_VALUE"""),"Enrolled")</f>
        <v>Enrolled</v>
      </c>
    </row>
    <row r="3695">
      <c r="A3695" s="6" t="str">
        <f>IFERROR(__xludf.DUMMYFUNCTION("""COMPUTED_VALUE"""),"064-8068")</f>
        <v>064-8068</v>
      </c>
      <c r="B3695" s="6" t="str">
        <f>IFERROR(__xludf.DUMMYFUNCTION("""COMPUTED_VALUE"""),"64")</f>
        <v>64</v>
      </c>
      <c r="C3695" s="6" t="str">
        <f>IFERROR(__xludf.DUMMYFUNCTION("""COMPUTED_VALUE"""),"8068")</f>
        <v>8068</v>
      </c>
      <c r="D3695" s="6" t="str">
        <f>IFERROR(__xludf.DUMMYFUNCTION("""COMPUTED_VALUE"""),"Adams")</f>
        <v>Adams</v>
      </c>
      <c r="E3695" s="6" t="str">
        <f>IFERROR(__xludf.DUMMYFUNCTION("""COMPUTED_VALUE"""),"")</f>
        <v/>
      </c>
      <c r="F3695" s="6" t="str">
        <f>IFERROR(__xludf.DUMMYFUNCTION("""COMPUTED_VALUE"""),"Ziyaar")</f>
        <v>Ziyaar</v>
      </c>
      <c r="G3695" s="6" t="str">
        <f>IFERROR(__xludf.DUMMYFUNCTION("""COMPUTED_VALUE"""),"11/24/2012")</f>
        <v>11/24/2012</v>
      </c>
      <c r="H3695" s="6" t="str">
        <f>IFERROR(__xludf.DUMMYFUNCTION("""COMPUTED_VALUE"""),"male")</f>
        <v>male</v>
      </c>
      <c r="I3695" s="6" t="str">
        <f>IFERROR(__xludf.DUMMYFUNCTION("""COMPUTED_VALUE"""),"Middle School")</f>
        <v>Middle School</v>
      </c>
      <c r="J3695" s="6" t="str">
        <f>IFERROR(__xludf.DUMMYFUNCTION("""COMPUTED_VALUE"""),"6")</f>
        <v>6</v>
      </c>
      <c r="K3695" s="6" t="str">
        <f>IFERROR(__xludf.DUMMYFUNCTION("""COMPUTED_VALUE"""),"ziyaar_adams@stu.ortrail.k12.or.us")</f>
        <v>ziyaar_adams@stu.ortrail.k12.or.us</v>
      </c>
      <c r="L3695" s="6" t="str">
        <f>IFERROR(__xludf.DUMMYFUNCTION("""COMPUTED_VALUE"""),"Oregon Trail School District 46")</f>
        <v>Oregon Trail School District 46</v>
      </c>
      <c r="M3695" s="6" t="str">
        <f>IFERROR(__xludf.DUMMYFUNCTION("""COMPUTED_VALUE"""),"Cedar Ridge Middle")</f>
        <v>Cedar Ridge Middle</v>
      </c>
      <c r="N3695" s="6" t="str">
        <f>IFERROR(__xludf.DUMMYFUNCTION("""COMPUTED_VALUE"""),"")</f>
        <v/>
      </c>
      <c r="O3695" s="87" t="str">
        <f>IFERROR(__xludf.DUMMYFUNCTION("""COMPUTED_VALUE"""),"https://drive.google.com/drive/folders/10T2cTQHqEJZqE-st6uFKPoI?usp=share_link")</f>
        <v>https://drive.google.com/drive/folders/10T2cTQHqEJZqE-st6uFKPoI?usp=share_link</v>
      </c>
      <c r="P3695" s="6" t="str">
        <f>IFERROR(__xludf.DUMMYFUNCTION("""COMPUTED_VALUE"""),"Adams Ziyaar")</f>
        <v>Adams Ziyaar</v>
      </c>
      <c r="Q3695" s="6" t="str">
        <f>IFERROR(__xludf.DUMMYFUNCTION("""COMPUTED_VALUE"""),"MS")</f>
        <v>MS</v>
      </c>
      <c r="R3695" s="6">
        <f>IFERROR(__xludf.DUMMYFUNCTION("""COMPUTED_VALUE"""),0.0)</f>
        <v>0</v>
      </c>
      <c r="S3695" s="6" t="str">
        <f>IFERROR(__xludf.DUMMYFUNCTION("""COMPUTED_VALUE"""),"Kim Gallucci")</f>
        <v>Kim Gallucci</v>
      </c>
      <c r="T3695" s="6" t="str">
        <f>IFERROR(__xludf.DUMMYFUNCTION("""COMPUTED_VALUE"""),"kim.gallucci@ortrail.k12.or.us")</f>
        <v>kim.gallucci@ortrail.k12.or.us</v>
      </c>
      <c r="U3695" s="6" t="str">
        <f>IFERROR(__xludf.DUMMYFUNCTION("""COMPUTED_VALUE"""),"6")</f>
        <v>6</v>
      </c>
      <c r="V3695" s="6" t="str">
        <f>IFERROR(__xludf.DUMMYFUNCTION("""COMPUTED_VALUE"""),"English")</f>
        <v>English</v>
      </c>
      <c r="W3695" s="6" t="str">
        <f>IFERROR(__xludf.DUMMYFUNCTION("""COMPUTED_VALUE"""),"[]")</f>
        <v>[]</v>
      </c>
      <c r="X3695" s="6" t="str">
        <f>IFERROR(__xludf.DUMMYFUNCTION("""COMPUTED_VALUE"""),"Enrolled")</f>
        <v>Enrolled</v>
      </c>
    </row>
    <row r="3696">
      <c r="A3696" s="6" t="str">
        <f>IFERROR(__xludf.DUMMYFUNCTION("""COMPUTED_VALUE"""),"064-8069")</f>
        <v>064-8069</v>
      </c>
      <c r="B3696" s="6" t="str">
        <f>IFERROR(__xludf.DUMMYFUNCTION("""COMPUTED_VALUE"""),"64")</f>
        <v>64</v>
      </c>
      <c r="C3696" s="6" t="str">
        <f>IFERROR(__xludf.DUMMYFUNCTION("""COMPUTED_VALUE"""),"8069")</f>
        <v>8069</v>
      </c>
      <c r="D3696" s="6" t="str">
        <f>IFERROR(__xludf.DUMMYFUNCTION("""COMPUTED_VALUE"""),"Jasmine")</f>
        <v>Jasmine</v>
      </c>
      <c r="E3696" s="6" t="str">
        <f>IFERROR(__xludf.DUMMYFUNCTION("""COMPUTED_VALUE"""),"")</f>
        <v/>
      </c>
      <c r="F3696" s="6" t="str">
        <f>IFERROR(__xludf.DUMMYFUNCTION("""COMPUTED_VALUE"""),"Mudreiko-Morozova")</f>
        <v>Mudreiko-Morozova</v>
      </c>
      <c r="G3696" s="6" t="str">
        <f>IFERROR(__xludf.DUMMYFUNCTION("""COMPUTED_VALUE"""),"01/01/2013")</f>
        <v>01/01/2013</v>
      </c>
      <c r="H3696" s="6" t="str">
        <f>IFERROR(__xludf.DUMMYFUNCTION("""COMPUTED_VALUE"""),"female")</f>
        <v>female</v>
      </c>
      <c r="I3696" s="6" t="str">
        <f>IFERROR(__xludf.DUMMYFUNCTION("""COMPUTED_VALUE"""),"Middle School")</f>
        <v>Middle School</v>
      </c>
      <c r="J3696" s="6" t="str">
        <f>IFERROR(__xludf.DUMMYFUNCTION("""COMPUTED_VALUE"""),"7")</f>
        <v>7</v>
      </c>
      <c r="K3696" s="6" t="str">
        <f>IFERROR(__xludf.DUMMYFUNCTION("""COMPUTED_VALUE"""),"jasmine_mudreikomoro@stu.ortrail.k12.or.us")</f>
        <v>jasmine_mudreikomoro@stu.ortrail.k12.or.us</v>
      </c>
      <c r="L3696" s="6" t="str">
        <f>IFERROR(__xludf.DUMMYFUNCTION("""COMPUTED_VALUE"""),"Oregon Trail School District 46")</f>
        <v>Oregon Trail School District 46</v>
      </c>
      <c r="M3696" s="6" t="str">
        <f>IFERROR(__xludf.DUMMYFUNCTION("""COMPUTED_VALUE"""),"Cedar Ridge Middle")</f>
        <v>Cedar Ridge Middle</v>
      </c>
      <c r="N3696" s="6" t="str">
        <f>IFERROR(__xludf.DUMMYFUNCTION("""COMPUTED_VALUE"""),"")</f>
        <v/>
      </c>
      <c r="O3696" s="87" t="str">
        <f>IFERROR(__xludf.DUMMYFUNCTION("""COMPUTED_VALUE"""),"https://drive.google.com/drive/folders/10T2cTQHqEJZqE-st6uFKPoI?usp=share_link")</f>
        <v>https://drive.google.com/drive/folders/10T2cTQHqEJZqE-st6uFKPoI?usp=share_link</v>
      </c>
      <c r="P3696" s="6" t="str">
        <f>IFERROR(__xludf.DUMMYFUNCTION("""COMPUTED_VALUE"""),"Jasmine Mudreiko-Morozova")</f>
        <v>Jasmine Mudreiko-Morozova</v>
      </c>
      <c r="Q3696" s="6" t="str">
        <f>IFERROR(__xludf.DUMMYFUNCTION("""COMPUTED_VALUE"""),"MS")</f>
        <v>MS</v>
      </c>
      <c r="R3696" s="6">
        <f>IFERROR(__xludf.DUMMYFUNCTION("""COMPUTED_VALUE"""),0.0)</f>
        <v>0</v>
      </c>
      <c r="S3696" s="6" t="str">
        <f>IFERROR(__xludf.DUMMYFUNCTION("""COMPUTED_VALUE"""),"Ryan Shanks")</f>
        <v>Ryan Shanks</v>
      </c>
      <c r="T3696" s="6" t="str">
        <f>IFERROR(__xludf.DUMMYFUNCTION("""COMPUTED_VALUE"""),"ryan.shanks@ortrail.k12.or.us")</f>
        <v>ryan.shanks@ortrail.k12.or.us</v>
      </c>
      <c r="U3696" s="6" t="str">
        <f>IFERROR(__xludf.DUMMYFUNCTION("""COMPUTED_VALUE"""),"7")</f>
        <v>7</v>
      </c>
      <c r="V3696" s="6" t="str">
        <f>IFERROR(__xludf.DUMMYFUNCTION("""COMPUTED_VALUE"""),"English")</f>
        <v>English</v>
      </c>
      <c r="W3696" s="6" t="str">
        <f>IFERROR(__xludf.DUMMYFUNCTION("""COMPUTED_VALUE"""),"[]")</f>
        <v>[]</v>
      </c>
      <c r="X3696" s="6" t="str">
        <f>IFERROR(__xludf.DUMMYFUNCTION("""COMPUTED_VALUE"""),"Enrolled")</f>
        <v>Enrolled</v>
      </c>
    </row>
    <row r="3697">
      <c r="A3697" s="6" t="str">
        <f>IFERROR(__xludf.DUMMYFUNCTION("""COMPUTED_VALUE"""),"064-8070")</f>
        <v>064-8070</v>
      </c>
      <c r="B3697" s="6" t="str">
        <f>IFERROR(__xludf.DUMMYFUNCTION("""COMPUTED_VALUE"""),"64")</f>
        <v>64</v>
      </c>
      <c r="C3697" s="6" t="str">
        <f>IFERROR(__xludf.DUMMYFUNCTION("""COMPUTED_VALUE"""),"8070")</f>
        <v>8070</v>
      </c>
      <c r="D3697" s="6" t="str">
        <f>IFERROR(__xludf.DUMMYFUNCTION("""COMPUTED_VALUE"""),"Thomas")</f>
        <v>Thomas</v>
      </c>
      <c r="E3697" s="6" t="str">
        <f>IFERROR(__xludf.DUMMYFUNCTION("""COMPUTED_VALUE"""),"")</f>
        <v/>
      </c>
      <c r="F3697" s="6" t="str">
        <f>IFERROR(__xludf.DUMMYFUNCTION("""COMPUTED_VALUE"""),"Wall")</f>
        <v>Wall</v>
      </c>
      <c r="G3697" s="6" t="str">
        <f>IFERROR(__xludf.DUMMYFUNCTION("""COMPUTED_VALUE"""),"01/27/2014")</f>
        <v>01/27/2014</v>
      </c>
      <c r="H3697" s="6" t="str">
        <f>IFERROR(__xludf.DUMMYFUNCTION("""COMPUTED_VALUE"""),"male")</f>
        <v>male</v>
      </c>
      <c r="I3697" s="6" t="str">
        <f>IFERROR(__xludf.DUMMYFUNCTION("""COMPUTED_VALUE"""),"Middle School")</f>
        <v>Middle School</v>
      </c>
      <c r="J3697" s="6" t="str">
        <f>IFERROR(__xludf.DUMMYFUNCTION("""COMPUTED_VALUE"""),"6")</f>
        <v>6</v>
      </c>
      <c r="K3697" s="6" t="str">
        <f>IFERROR(__xludf.DUMMYFUNCTION("""COMPUTED_VALUE"""),"thomas_wall@stu.ortrail.k12.or.us")</f>
        <v>thomas_wall@stu.ortrail.k12.or.us</v>
      </c>
      <c r="L3697" s="6" t="str">
        <f>IFERROR(__xludf.DUMMYFUNCTION("""COMPUTED_VALUE"""),"Oregon Trail School District 46")</f>
        <v>Oregon Trail School District 46</v>
      </c>
      <c r="M3697" s="6" t="str">
        <f>IFERROR(__xludf.DUMMYFUNCTION("""COMPUTED_VALUE"""),"Cedar Ridge Middle")</f>
        <v>Cedar Ridge Middle</v>
      </c>
      <c r="N3697" s="6" t="str">
        <f>IFERROR(__xludf.DUMMYFUNCTION("""COMPUTED_VALUE"""),"")</f>
        <v/>
      </c>
      <c r="O3697" s="87" t="str">
        <f>IFERROR(__xludf.DUMMYFUNCTION("""COMPUTED_VALUE"""),"https://drive.google.com/drive/folders/10T2cTQHqEJZqE-st6uFKPoI?usp=share_link")</f>
        <v>https://drive.google.com/drive/folders/10T2cTQHqEJZqE-st6uFKPoI?usp=share_link</v>
      </c>
      <c r="P3697" s="6" t="str">
        <f>IFERROR(__xludf.DUMMYFUNCTION("""COMPUTED_VALUE"""),"Thomas Wall")</f>
        <v>Thomas Wall</v>
      </c>
      <c r="Q3697" s="6" t="str">
        <f>IFERROR(__xludf.DUMMYFUNCTION("""COMPUTED_VALUE"""),"MS")</f>
        <v>MS</v>
      </c>
      <c r="R3697" s="6">
        <f>IFERROR(__xludf.DUMMYFUNCTION("""COMPUTED_VALUE"""),0.0)</f>
        <v>0</v>
      </c>
      <c r="S3697" s="6" t="str">
        <f>IFERROR(__xludf.DUMMYFUNCTION("""COMPUTED_VALUE"""),"Sophia Kahl")</f>
        <v>Sophia Kahl</v>
      </c>
      <c r="T3697" s="6" t="str">
        <f>IFERROR(__xludf.DUMMYFUNCTION("""COMPUTED_VALUE"""),"sophia.kahl@ortrail.k12.or.us")</f>
        <v>sophia.kahl@ortrail.k12.or.us</v>
      </c>
      <c r="U3697" s="6" t="str">
        <f>IFERROR(__xludf.DUMMYFUNCTION("""COMPUTED_VALUE"""),"6")</f>
        <v>6</v>
      </c>
      <c r="V3697" s="6" t="str">
        <f>IFERROR(__xludf.DUMMYFUNCTION("""COMPUTED_VALUE"""),"English")</f>
        <v>English</v>
      </c>
      <c r="W3697" s="6" t="str">
        <f>IFERROR(__xludf.DUMMYFUNCTION("""COMPUTED_VALUE"""),"[]")</f>
        <v>[]</v>
      </c>
      <c r="X3697" s="6" t="str">
        <f>IFERROR(__xludf.DUMMYFUNCTION("""COMPUTED_VALUE"""),"Enrolled")</f>
        <v>Enrolled</v>
      </c>
    </row>
    <row r="3698">
      <c r="A3698" s="6" t="str">
        <f>IFERROR(__xludf.DUMMYFUNCTION("""COMPUTED_VALUE"""),"064-8129")</f>
        <v>064-8129</v>
      </c>
      <c r="B3698" s="6" t="str">
        <f>IFERROR(__xludf.DUMMYFUNCTION("""COMPUTED_VALUE"""),"64")</f>
        <v>64</v>
      </c>
      <c r="C3698" s="6" t="str">
        <f>IFERROR(__xludf.DUMMYFUNCTION("""COMPUTED_VALUE"""),"8129")</f>
        <v>8129</v>
      </c>
      <c r="D3698" s="6" t="str">
        <f>IFERROR(__xludf.DUMMYFUNCTION("""COMPUTED_VALUE"""),"Oliver")</f>
        <v>Oliver</v>
      </c>
      <c r="E3698" s="6" t="str">
        <f>IFERROR(__xludf.DUMMYFUNCTION("""COMPUTED_VALUE"""),"")</f>
        <v/>
      </c>
      <c r="F3698" s="6" t="str">
        <f>IFERROR(__xludf.DUMMYFUNCTION("""COMPUTED_VALUE"""),"Lawry")</f>
        <v>Lawry</v>
      </c>
      <c r="G3698" s="6" t="str">
        <f>IFERROR(__xludf.DUMMYFUNCTION("""COMPUTED_VALUE"""),"12/14/2015")</f>
        <v>12/14/2015</v>
      </c>
      <c r="H3698" s="6" t="str">
        <f>IFERROR(__xludf.DUMMYFUNCTION("""COMPUTED_VALUE"""),"Self Identify")</f>
        <v>Self Identify</v>
      </c>
      <c r="I3698" s="6" t="str">
        <f>IFERROR(__xludf.DUMMYFUNCTION("""COMPUTED_VALUE"""),"Level 2")</f>
        <v>Level 2</v>
      </c>
      <c r="J3698" s="6" t="str">
        <f>IFERROR(__xludf.DUMMYFUNCTION("""COMPUTED_VALUE"""),"4")</f>
        <v>4</v>
      </c>
      <c r="K3698" s="6" t="str">
        <f>IFERROR(__xludf.DUMMYFUNCTION("""COMPUTED_VALUE"""),"oliver_lawry@stu.ortrail.k12.or.us")</f>
        <v>oliver_lawry@stu.ortrail.k12.or.us</v>
      </c>
      <c r="L3698" s="6" t="str">
        <f>IFERROR(__xludf.DUMMYFUNCTION("""COMPUTED_VALUE"""),"Oregon Trail School District 46")</f>
        <v>Oregon Trail School District 46</v>
      </c>
      <c r="M3698" s="6" t="str">
        <f>IFERROR(__xludf.DUMMYFUNCTION("""COMPUTED_VALUE"""),"")</f>
        <v/>
      </c>
      <c r="N3698" s="6" t="str">
        <f>IFERROR(__xludf.DUMMYFUNCTION("""COMPUTED_VALUE"""),"")</f>
        <v/>
      </c>
      <c r="O3698" s="87" t="str">
        <f>IFERROR(__xludf.DUMMYFUNCTION("""COMPUTED_VALUE"""),"https://drive.google.com/drive/folders/10T2cTQHqEJZqE-st6uFKPoI?usp=share_link")</f>
        <v>https://drive.google.com/drive/folders/10T2cTQHqEJZqE-st6uFKPoI?usp=share_link</v>
      </c>
      <c r="P3698" s="6" t="str">
        <f>IFERROR(__xludf.DUMMYFUNCTION("""COMPUTED_VALUE"""),"Oliver Lawry")</f>
        <v>Oliver Lawry</v>
      </c>
      <c r="Q3698" s="6" t="str">
        <f>IFERROR(__xludf.DUMMYFUNCTION("""COMPUTED_VALUE"""),"L2")</f>
        <v>L2</v>
      </c>
      <c r="R3698" s="6">
        <f>IFERROR(__xludf.DUMMYFUNCTION("""COMPUTED_VALUE"""),2.0)</f>
        <v>2</v>
      </c>
      <c r="S3698" s="6" t="str">
        <f>IFERROR(__xludf.DUMMYFUNCTION("""COMPUTED_VALUE""")," ")</f>
        <v> </v>
      </c>
      <c r="T3698" s="6" t="str">
        <f>IFERROR(__xludf.DUMMYFUNCTION("""COMPUTED_VALUE"""),"")</f>
        <v/>
      </c>
      <c r="U3698" s="6" t="str">
        <f>IFERROR(__xludf.DUMMYFUNCTION("""COMPUTED_VALUE"""),"4")</f>
        <v>4</v>
      </c>
      <c r="V3698" s="6" t="str">
        <f>IFERROR(__xludf.DUMMYFUNCTION("""COMPUTED_VALUE"""),"")</f>
        <v/>
      </c>
      <c r="W3698" s="6" t="str">
        <f>IFERROR(__xludf.DUMMYFUNCTION("""COMPUTED_VALUE"""),"[]")</f>
        <v>[]</v>
      </c>
      <c r="X3698" s="6" t="str">
        <f>IFERROR(__xludf.DUMMYFUNCTION("""COMPUTED_VALUE"""),"Enrolled")</f>
        <v>Enrolled</v>
      </c>
    </row>
    <row r="3699">
      <c r="A3699" s="6" t="str">
        <f>IFERROR(__xludf.DUMMYFUNCTION("""COMPUTED_VALUE"""),"064-8181")</f>
        <v>064-8181</v>
      </c>
      <c r="B3699" s="6" t="str">
        <f>IFERROR(__xludf.DUMMYFUNCTION("""COMPUTED_VALUE"""),"64")</f>
        <v>64</v>
      </c>
      <c r="C3699" s="6" t="str">
        <f>IFERROR(__xludf.DUMMYFUNCTION("""COMPUTED_VALUE"""),"8181")</f>
        <v>8181</v>
      </c>
      <c r="D3699" s="6" t="str">
        <f>IFERROR(__xludf.DUMMYFUNCTION("""COMPUTED_VALUE"""),"Kyana")</f>
        <v>Kyana</v>
      </c>
      <c r="E3699" s="6" t="str">
        <f>IFERROR(__xludf.DUMMYFUNCTION("""COMPUTED_VALUE"""),"")</f>
        <v/>
      </c>
      <c r="F3699" s="6" t="str">
        <f>IFERROR(__xludf.DUMMYFUNCTION("""COMPUTED_VALUE"""),"Lopez")</f>
        <v>Lopez</v>
      </c>
      <c r="G3699" s="6" t="str">
        <f>IFERROR(__xludf.DUMMYFUNCTION("""COMPUTED_VALUE"""),"08/02/2009")</f>
        <v>08/02/2009</v>
      </c>
      <c r="H3699" s="6" t="str">
        <f>IFERROR(__xludf.DUMMYFUNCTION("""COMPUTED_VALUE"""),"Self Identify")</f>
        <v>Self Identify</v>
      </c>
      <c r="I3699" s="6" t="str">
        <f>IFERROR(__xludf.DUMMYFUNCTION("""COMPUTED_VALUE"""),"High School")</f>
        <v>High School</v>
      </c>
      <c r="J3699" s="6" t="str">
        <f>IFERROR(__xludf.DUMMYFUNCTION("""COMPUTED_VALUE"""),"11")</f>
        <v>11</v>
      </c>
      <c r="K3699" s="6" t="str">
        <f>IFERROR(__xludf.DUMMYFUNCTION("""COMPUTED_VALUE"""),"kyana_cocomlopez@stu.ortrail.k12.or.us")</f>
        <v>kyana_cocomlopez@stu.ortrail.k12.or.us</v>
      </c>
      <c r="L3699" s="6" t="str">
        <f>IFERROR(__xludf.DUMMYFUNCTION("""COMPUTED_VALUE"""),"Oregon Trail School District 46")</f>
        <v>Oregon Trail School District 46</v>
      </c>
      <c r="M3699" s="6" t="str">
        <f>IFERROR(__xludf.DUMMYFUNCTION("""COMPUTED_VALUE"""),"")</f>
        <v/>
      </c>
      <c r="N3699" s="6" t="str">
        <f>IFERROR(__xludf.DUMMYFUNCTION("""COMPUTED_VALUE"""),"")</f>
        <v/>
      </c>
      <c r="O3699" s="87" t="str">
        <f>IFERROR(__xludf.DUMMYFUNCTION("""COMPUTED_VALUE"""),"https://drive.google.com/drive/folders/10T2cTQHqEJZqE-st6uFKPoI?usp=share_link")</f>
        <v>https://drive.google.com/drive/folders/10T2cTQHqEJZqE-st6uFKPoI?usp=share_link</v>
      </c>
      <c r="P3699" s="6" t="str">
        <f>IFERROR(__xludf.DUMMYFUNCTION("""COMPUTED_VALUE"""),"Kyana Lopez")</f>
        <v>Kyana Lopez</v>
      </c>
      <c r="Q3699" s="6" t="str">
        <f>IFERROR(__xludf.DUMMYFUNCTION("""COMPUTED_VALUE"""),"HS")</f>
        <v>HS</v>
      </c>
      <c r="R3699" s="6">
        <f>IFERROR(__xludf.DUMMYFUNCTION("""COMPUTED_VALUE"""),0.0)</f>
        <v>0</v>
      </c>
      <c r="S3699" s="6" t="str">
        <f>IFERROR(__xludf.DUMMYFUNCTION("""COMPUTED_VALUE""")," ")</f>
        <v> </v>
      </c>
      <c r="T3699" s="6" t="str">
        <f>IFERROR(__xludf.DUMMYFUNCTION("""COMPUTED_VALUE"""),"")</f>
        <v/>
      </c>
      <c r="U3699" s="6" t="str">
        <f>IFERROR(__xludf.DUMMYFUNCTION("""COMPUTED_VALUE"""),"11")</f>
        <v>11</v>
      </c>
      <c r="V3699" s="6" t="str">
        <f>IFERROR(__xludf.DUMMYFUNCTION("""COMPUTED_VALUE"""),"")</f>
        <v/>
      </c>
      <c r="W3699" s="6" t="str">
        <f>IFERROR(__xludf.DUMMYFUNCTION("""COMPUTED_VALUE"""),"[]")</f>
        <v>[]</v>
      </c>
      <c r="X3699" s="6" t="str">
        <f>IFERROR(__xludf.DUMMYFUNCTION("""COMPUTED_VALUE"""),"Enrolled")</f>
        <v>Enrolled</v>
      </c>
    </row>
    <row r="3700">
      <c r="A3700" s="6" t="str">
        <f>IFERROR(__xludf.DUMMYFUNCTION("""COMPUTED_VALUE"""),"064-8702")</f>
        <v>064-8702</v>
      </c>
      <c r="B3700" s="6" t="str">
        <f>IFERROR(__xludf.DUMMYFUNCTION("""COMPUTED_VALUE"""),"64")</f>
        <v>64</v>
      </c>
      <c r="C3700" s="6" t="str">
        <f>IFERROR(__xludf.DUMMYFUNCTION("""COMPUTED_VALUE"""),"8702")</f>
        <v>8702</v>
      </c>
      <c r="D3700" s="6" t="str">
        <f>IFERROR(__xludf.DUMMYFUNCTION("""COMPUTED_VALUE"""),"Quintin")</f>
        <v>Quintin</v>
      </c>
      <c r="E3700" s="6" t="str">
        <f>IFERROR(__xludf.DUMMYFUNCTION("""COMPUTED_VALUE"""),"")</f>
        <v/>
      </c>
      <c r="F3700" s="6" t="str">
        <f>IFERROR(__xludf.DUMMYFUNCTION("""COMPUTED_VALUE"""),"Buck")</f>
        <v>Buck</v>
      </c>
      <c r="G3700" s="6" t="str">
        <f>IFERROR(__xludf.DUMMYFUNCTION("""COMPUTED_VALUE"""),"02/11/2013")</f>
        <v>02/11/2013</v>
      </c>
      <c r="H3700" s="6" t="str">
        <f>IFERROR(__xludf.DUMMYFUNCTION("""COMPUTED_VALUE"""),"Self Identify")</f>
        <v>Self Identify</v>
      </c>
      <c r="I3700" s="6" t="str">
        <f>IFERROR(__xludf.DUMMYFUNCTION("""COMPUTED_VALUE"""),"Middle School")</f>
        <v>Middle School</v>
      </c>
      <c r="J3700" s="6" t="str">
        <f>IFERROR(__xludf.DUMMYFUNCTION("""COMPUTED_VALUE"""),"7")</f>
        <v>7</v>
      </c>
      <c r="K3700" s="6" t="str">
        <f>IFERROR(__xludf.DUMMYFUNCTION("""COMPUTED_VALUE"""),"quintin_buck@stu.ortrail.k12.or.us")</f>
        <v>quintin_buck@stu.ortrail.k12.or.us</v>
      </c>
      <c r="L3700" s="6" t="str">
        <f>IFERROR(__xludf.DUMMYFUNCTION("""COMPUTED_VALUE"""),"Oregon Trail School District 46")</f>
        <v>Oregon Trail School District 46</v>
      </c>
      <c r="M3700" s="6" t="str">
        <f>IFERROR(__xludf.DUMMYFUNCTION("""COMPUTED_VALUE"""),"")</f>
        <v/>
      </c>
      <c r="N3700" s="6" t="str">
        <f>IFERROR(__xludf.DUMMYFUNCTION("""COMPUTED_VALUE"""),"")</f>
        <v/>
      </c>
      <c r="O3700" s="87" t="str">
        <f>IFERROR(__xludf.DUMMYFUNCTION("""COMPUTED_VALUE"""),"https://drive.google.com/drive/folders/10T2cTQHqEJZqE-st6uFKPoI?usp=share_link")</f>
        <v>https://drive.google.com/drive/folders/10T2cTQHqEJZqE-st6uFKPoI?usp=share_link</v>
      </c>
      <c r="P3700" s="6" t="str">
        <f>IFERROR(__xludf.DUMMYFUNCTION("""COMPUTED_VALUE"""),"Quintin Buck")</f>
        <v>Quintin Buck</v>
      </c>
      <c r="Q3700" s="6" t="str">
        <f>IFERROR(__xludf.DUMMYFUNCTION("""COMPUTED_VALUE"""),"MS")</f>
        <v>MS</v>
      </c>
      <c r="R3700" s="6">
        <f>IFERROR(__xludf.DUMMYFUNCTION("""COMPUTED_VALUE"""),0.0)</f>
        <v>0</v>
      </c>
      <c r="S3700" s="6" t="str">
        <f>IFERROR(__xludf.DUMMYFUNCTION("""COMPUTED_VALUE""")," ")</f>
        <v> </v>
      </c>
      <c r="T3700" s="6" t="str">
        <f>IFERROR(__xludf.DUMMYFUNCTION("""COMPUTED_VALUE"""),"")</f>
        <v/>
      </c>
      <c r="U3700" s="6" t="str">
        <f>IFERROR(__xludf.DUMMYFUNCTION("""COMPUTED_VALUE"""),"7")</f>
        <v>7</v>
      </c>
      <c r="V3700" s="6" t="str">
        <f>IFERROR(__xludf.DUMMYFUNCTION("""COMPUTED_VALUE"""),"")</f>
        <v/>
      </c>
      <c r="W3700" s="6" t="str">
        <f>IFERROR(__xludf.DUMMYFUNCTION("""COMPUTED_VALUE"""),"[]")</f>
        <v>[]</v>
      </c>
      <c r="X3700" s="6" t="str">
        <f>IFERROR(__xludf.DUMMYFUNCTION("""COMPUTED_VALUE"""),"Enrolled")</f>
        <v>Enrolled</v>
      </c>
    </row>
    <row r="3701">
      <c r="A3701" s="6" t="str">
        <f>IFERROR(__xludf.DUMMYFUNCTION("""COMPUTED_VALUE"""),"064-8792")</f>
        <v>064-8792</v>
      </c>
      <c r="B3701" s="6" t="str">
        <f>IFERROR(__xludf.DUMMYFUNCTION("""COMPUTED_VALUE"""),"64")</f>
        <v>64</v>
      </c>
      <c r="C3701" s="6" t="str">
        <f>IFERROR(__xludf.DUMMYFUNCTION("""COMPUTED_VALUE"""),"8792")</f>
        <v>8792</v>
      </c>
      <c r="D3701" s="6" t="str">
        <f>IFERROR(__xludf.DUMMYFUNCTION("""COMPUTED_VALUE"""),"Claire")</f>
        <v>Claire</v>
      </c>
      <c r="E3701" s="6" t="str">
        <f>IFERROR(__xludf.DUMMYFUNCTION("""COMPUTED_VALUE"""),"")</f>
        <v/>
      </c>
      <c r="F3701" s="6" t="str">
        <f>IFERROR(__xludf.DUMMYFUNCTION("""COMPUTED_VALUE"""),"Moss")</f>
        <v>Moss</v>
      </c>
      <c r="G3701" s="6" t="str">
        <f>IFERROR(__xludf.DUMMYFUNCTION("""COMPUTED_VALUE"""),"03/18/2016")</f>
        <v>03/18/2016</v>
      </c>
      <c r="H3701" s="6" t="str">
        <f>IFERROR(__xludf.DUMMYFUNCTION("""COMPUTED_VALUE"""),"female")</f>
        <v>female</v>
      </c>
      <c r="I3701" s="6" t="str">
        <f>IFERROR(__xludf.DUMMYFUNCTION("""COMPUTED_VALUE"""),"Level 2")</f>
        <v>Level 2</v>
      </c>
      <c r="J3701" s="6" t="str">
        <f>IFERROR(__xludf.DUMMYFUNCTION("""COMPUTED_VALUE"""),"4")</f>
        <v>4</v>
      </c>
      <c r="K3701" s="6" t="str">
        <f>IFERROR(__xludf.DUMMYFUNCTION("""COMPUTED_VALUE"""),"claire_moss@stu.ortrail.k12.or.us")</f>
        <v>claire_moss@stu.ortrail.k12.or.us</v>
      </c>
      <c r="L3701" s="6" t="str">
        <f>IFERROR(__xludf.DUMMYFUNCTION("""COMPUTED_VALUE"""),"Oregon Trail School District 46")</f>
        <v>Oregon Trail School District 46</v>
      </c>
      <c r="M3701" s="6" t="str">
        <f>IFERROR(__xludf.DUMMYFUNCTION("""COMPUTED_VALUE"""),"")</f>
        <v/>
      </c>
      <c r="N3701" s="6" t="str">
        <f>IFERROR(__xludf.DUMMYFUNCTION("""COMPUTED_VALUE"""),"")</f>
        <v/>
      </c>
      <c r="O3701" s="87" t="str">
        <f>IFERROR(__xludf.DUMMYFUNCTION("""COMPUTED_VALUE"""),"https://drive.google.com/drive/folders/10T2cTQHqEJZqE-st6uFKPoI?usp=share_link")</f>
        <v>https://drive.google.com/drive/folders/10T2cTQHqEJZqE-st6uFKPoI?usp=share_link</v>
      </c>
      <c r="P3701" s="6" t="str">
        <f>IFERROR(__xludf.DUMMYFUNCTION("""COMPUTED_VALUE"""),"Claire Moss")</f>
        <v>Claire Moss</v>
      </c>
      <c r="Q3701" s="6" t="str">
        <f>IFERROR(__xludf.DUMMYFUNCTION("""COMPUTED_VALUE"""),"L2")</f>
        <v>L2</v>
      </c>
      <c r="R3701" s="6">
        <f>IFERROR(__xludf.DUMMYFUNCTION("""COMPUTED_VALUE"""),2.0)</f>
        <v>2</v>
      </c>
      <c r="S3701" s="6" t="str">
        <f>IFERROR(__xludf.DUMMYFUNCTION("""COMPUTED_VALUE"""),"Samantha Scherer")</f>
        <v>Samantha Scherer</v>
      </c>
      <c r="T3701" s="6" t="str">
        <f>IFERROR(__xludf.DUMMYFUNCTION("""COMPUTED_VALUE"""),"samantha.scherer@ortrail.k12.or.us")</f>
        <v>samantha.scherer@ortrail.k12.or.us</v>
      </c>
      <c r="U3701" s="6" t="str">
        <f>IFERROR(__xludf.DUMMYFUNCTION("""COMPUTED_VALUE"""),"4")</f>
        <v>4</v>
      </c>
      <c r="V3701" s="6" t="str">
        <f>IFERROR(__xludf.DUMMYFUNCTION("""COMPUTED_VALUE"""),"English")</f>
        <v>English</v>
      </c>
      <c r="W3701" s="6" t="str">
        <f>IFERROR(__xludf.DUMMYFUNCTION("""COMPUTED_VALUE"""),"[]")</f>
        <v>[]</v>
      </c>
      <c r="X3701" s="6" t="str">
        <f>IFERROR(__xludf.DUMMYFUNCTION("""COMPUTED_VALUE"""),"Enrolled")</f>
        <v>Enrolled</v>
      </c>
    </row>
    <row r="3702">
      <c r="A3702" s="6" t="str">
        <f>IFERROR(__xludf.DUMMYFUNCTION("""COMPUTED_VALUE"""),"064-8793")</f>
        <v>064-8793</v>
      </c>
      <c r="B3702" s="6" t="str">
        <f>IFERROR(__xludf.DUMMYFUNCTION("""COMPUTED_VALUE"""),"64")</f>
        <v>64</v>
      </c>
      <c r="C3702" s="6" t="str">
        <f>IFERROR(__xludf.DUMMYFUNCTION("""COMPUTED_VALUE"""),"8793")</f>
        <v>8793</v>
      </c>
      <c r="D3702" s="6" t="str">
        <f>IFERROR(__xludf.DUMMYFUNCTION("""COMPUTED_VALUE"""),"Cali")</f>
        <v>Cali</v>
      </c>
      <c r="E3702" s="6" t="str">
        <f>IFERROR(__xludf.DUMMYFUNCTION("""COMPUTED_VALUE"""),"")</f>
        <v/>
      </c>
      <c r="F3702" s="6" t="str">
        <f>IFERROR(__xludf.DUMMYFUNCTION("""COMPUTED_VALUE"""),"Lopez")</f>
        <v>Lopez</v>
      </c>
      <c r="G3702" s="6" t="str">
        <f>IFERROR(__xludf.DUMMYFUNCTION("""COMPUTED_VALUE"""),"03/23/2017")</f>
        <v>03/23/2017</v>
      </c>
      <c r="H3702" s="6" t="str">
        <f>IFERROR(__xludf.DUMMYFUNCTION("""COMPUTED_VALUE"""),"female")</f>
        <v>female</v>
      </c>
      <c r="I3702" s="6" t="str">
        <f>IFERROR(__xludf.DUMMYFUNCTION("""COMPUTED_VALUE"""),"Level 1")</f>
        <v>Level 1</v>
      </c>
      <c r="J3702" s="6" t="str">
        <f>IFERROR(__xludf.DUMMYFUNCTION("""COMPUTED_VALUE"""),"3")</f>
        <v>3</v>
      </c>
      <c r="K3702" s="6" t="str">
        <f>IFERROR(__xludf.DUMMYFUNCTION("""COMPUTED_VALUE"""),"cali_lopez@stu.ortrail.k12.or.us")</f>
        <v>cali_lopez@stu.ortrail.k12.or.us</v>
      </c>
      <c r="L3702" s="6" t="str">
        <f>IFERROR(__xludf.DUMMYFUNCTION("""COMPUTED_VALUE"""),"Oregon Trail School District 46")</f>
        <v>Oregon Trail School District 46</v>
      </c>
      <c r="M3702" s="6" t="str">
        <f>IFERROR(__xludf.DUMMYFUNCTION("""COMPUTED_VALUE"""),"")</f>
        <v/>
      </c>
      <c r="N3702" s="6" t="str">
        <f>IFERROR(__xludf.DUMMYFUNCTION("""COMPUTED_VALUE"""),"")</f>
        <v/>
      </c>
      <c r="O3702" s="87" t="str">
        <f>IFERROR(__xludf.DUMMYFUNCTION("""COMPUTED_VALUE"""),"https://drive.google.com/drive/folders/10T2cTQHqEJZqE-st6uFKPoI?usp=share_link")</f>
        <v>https://drive.google.com/drive/folders/10T2cTQHqEJZqE-st6uFKPoI?usp=share_link</v>
      </c>
      <c r="P3702" s="6" t="str">
        <f>IFERROR(__xludf.DUMMYFUNCTION("""COMPUTED_VALUE"""),"Cali Lopez")</f>
        <v>Cali Lopez</v>
      </c>
      <c r="Q3702" s="6" t="str">
        <f>IFERROR(__xludf.DUMMYFUNCTION("""COMPUTED_VALUE"""),"L1")</f>
        <v>L1</v>
      </c>
      <c r="R3702" s="6">
        <f>IFERROR(__xludf.DUMMYFUNCTION("""COMPUTED_VALUE"""),1.0)</f>
        <v>1</v>
      </c>
      <c r="S3702" s="6" t="str">
        <f>IFERROR(__xludf.DUMMYFUNCTION("""COMPUTED_VALUE"""),"Marisa Hazelton")</f>
        <v>Marisa Hazelton</v>
      </c>
      <c r="T3702" s="6" t="str">
        <f>IFERROR(__xludf.DUMMYFUNCTION("""COMPUTED_VALUE"""),"marisa.hazelton@ortrail.k12.or.us")</f>
        <v>marisa.hazelton@ortrail.k12.or.us</v>
      </c>
      <c r="U3702" s="6" t="str">
        <f>IFERROR(__xludf.DUMMYFUNCTION("""COMPUTED_VALUE"""),"3")</f>
        <v>3</v>
      </c>
      <c r="V3702" s="6" t="str">
        <f>IFERROR(__xludf.DUMMYFUNCTION("""COMPUTED_VALUE"""),"English")</f>
        <v>English</v>
      </c>
      <c r="W3702" s="6" t="str">
        <f>IFERROR(__xludf.DUMMYFUNCTION("""COMPUTED_VALUE"""),"[]")</f>
        <v>[]</v>
      </c>
      <c r="X3702" s="6" t="str">
        <f>IFERROR(__xludf.DUMMYFUNCTION("""COMPUTED_VALUE"""),"Enrolled")</f>
        <v>Enrolled</v>
      </c>
    </row>
    <row r="3703">
      <c r="A3703" s="6" t="str">
        <f>IFERROR(__xludf.DUMMYFUNCTION("""COMPUTED_VALUE"""),"064-8863")</f>
        <v>064-8863</v>
      </c>
      <c r="B3703" s="6" t="str">
        <f>IFERROR(__xludf.DUMMYFUNCTION("""COMPUTED_VALUE"""),"64")</f>
        <v>64</v>
      </c>
      <c r="C3703" s="6" t="str">
        <f>IFERROR(__xludf.DUMMYFUNCTION("""COMPUTED_VALUE"""),"8863")</f>
        <v>8863</v>
      </c>
      <c r="D3703" s="6" t="str">
        <f>IFERROR(__xludf.DUMMYFUNCTION("""COMPUTED_VALUE"""),"Allison")</f>
        <v>Allison</v>
      </c>
      <c r="E3703" s="6" t="str">
        <f>IFERROR(__xludf.DUMMYFUNCTION("""COMPUTED_VALUE"""),"")</f>
        <v/>
      </c>
      <c r="F3703" s="6" t="str">
        <f>IFERROR(__xludf.DUMMYFUNCTION("""COMPUTED_VALUE"""),"Nolen")</f>
        <v>Nolen</v>
      </c>
      <c r="G3703" s="6" t="str">
        <f>IFERROR(__xludf.DUMMYFUNCTION("""COMPUTED_VALUE"""),"04/29/2011")</f>
        <v>04/29/2011</v>
      </c>
      <c r="H3703" s="6" t="str">
        <f>IFERROR(__xludf.DUMMYFUNCTION("""COMPUTED_VALUE"""),"Self Identify")</f>
        <v>Self Identify</v>
      </c>
      <c r="I3703" s="6" t="str">
        <f>IFERROR(__xludf.DUMMYFUNCTION("""COMPUTED_VALUE"""),"Middle School")</f>
        <v>Middle School</v>
      </c>
      <c r="J3703" s="6" t="str">
        <f>IFERROR(__xludf.DUMMYFUNCTION("""COMPUTED_VALUE"""),"8")</f>
        <v>8</v>
      </c>
      <c r="K3703" s="6" t="str">
        <f>IFERROR(__xludf.DUMMYFUNCTION("""COMPUTED_VALUE"""),"allison_nolen@stu.ortrail.k12.or.us")</f>
        <v>allison_nolen@stu.ortrail.k12.or.us</v>
      </c>
      <c r="L3703" s="6" t="str">
        <f>IFERROR(__xludf.DUMMYFUNCTION("""COMPUTED_VALUE"""),"Oregon Trail School District 46")</f>
        <v>Oregon Trail School District 46</v>
      </c>
      <c r="M3703" s="6" t="str">
        <f>IFERROR(__xludf.DUMMYFUNCTION("""COMPUTED_VALUE"""),"")</f>
        <v/>
      </c>
      <c r="N3703" s="6" t="str">
        <f>IFERROR(__xludf.DUMMYFUNCTION("""COMPUTED_VALUE"""),"")</f>
        <v/>
      </c>
      <c r="O3703" s="87" t="str">
        <f>IFERROR(__xludf.DUMMYFUNCTION("""COMPUTED_VALUE"""),"https://drive.google.com/drive/folders/10T2cTQHqEJZqE-st6uFKPoI?usp=share_link")</f>
        <v>https://drive.google.com/drive/folders/10T2cTQHqEJZqE-st6uFKPoI?usp=share_link</v>
      </c>
      <c r="P3703" s="6" t="str">
        <f>IFERROR(__xludf.DUMMYFUNCTION("""COMPUTED_VALUE"""),"Allison Nolen")</f>
        <v>Allison Nolen</v>
      </c>
      <c r="Q3703" s="6" t="str">
        <f>IFERROR(__xludf.DUMMYFUNCTION("""COMPUTED_VALUE"""),"MS")</f>
        <v>MS</v>
      </c>
      <c r="R3703" s="6">
        <f>IFERROR(__xludf.DUMMYFUNCTION("""COMPUTED_VALUE"""),0.0)</f>
        <v>0</v>
      </c>
      <c r="S3703" s="6" t="str">
        <f>IFERROR(__xludf.DUMMYFUNCTION("""COMPUTED_VALUE""")," ")</f>
        <v> </v>
      </c>
      <c r="T3703" s="6" t="str">
        <f>IFERROR(__xludf.DUMMYFUNCTION("""COMPUTED_VALUE"""),"")</f>
        <v/>
      </c>
      <c r="U3703" s="6" t="str">
        <f>IFERROR(__xludf.DUMMYFUNCTION("""COMPUTED_VALUE"""),"8")</f>
        <v>8</v>
      </c>
      <c r="V3703" s="6" t="str">
        <f>IFERROR(__xludf.DUMMYFUNCTION("""COMPUTED_VALUE"""),"")</f>
        <v/>
      </c>
      <c r="W3703" s="6" t="str">
        <f>IFERROR(__xludf.DUMMYFUNCTION("""COMPUTED_VALUE"""),"[]")</f>
        <v>[]</v>
      </c>
      <c r="X3703" s="6" t="str">
        <f>IFERROR(__xludf.DUMMYFUNCTION("""COMPUTED_VALUE"""),"Enrolled")</f>
        <v>Enrolled</v>
      </c>
    </row>
    <row r="3704">
      <c r="A3704" s="6" t="str">
        <f>IFERROR(__xludf.DUMMYFUNCTION("""COMPUTED_VALUE"""),"064-9077")</f>
        <v>064-9077</v>
      </c>
      <c r="B3704" s="6" t="str">
        <f>IFERROR(__xludf.DUMMYFUNCTION("""COMPUTED_VALUE"""),"64")</f>
        <v>64</v>
      </c>
      <c r="C3704" s="6" t="str">
        <f>IFERROR(__xludf.DUMMYFUNCTION("""COMPUTED_VALUE"""),"9077")</f>
        <v>9077</v>
      </c>
      <c r="D3704" s="6" t="str">
        <f>IFERROR(__xludf.DUMMYFUNCTION("""COMPUTED_VALUE"""),"Jude")</f>
        <v>Jude</v>
      </c>
      <c r="E3704" s="6" t="str">
        <f>IFERROR(__xludf.DUMMYFUNCTION("""COMPUTED_VALUE"""),"")</f>
        <v/>
      </c>
      <c r="F3704" s="6" t="str">
        <f>IFERROR(__xludf.DUMMYFUNCTION("""COMPUTED_VALUE"""),"Brooks")</f>
        <v>Brooks</v>
      </c>
      <c r="G3704" s="6" t="str">
        <f>IFERROR(__xludf.DUMMYFUNCTION("""COMPUTED_VALUE"""),"10/19/2011")</f>
        <v>10/19/2011</v>
      </c>
      <c r="H3704" s="6" t="str">
        <f>IFERROR(__xludf.DUMMYFUNCTION("""COMPUTED_VALUE"""),"male")</f>
        <v>male</v>
      </c>
      <c r="I3704" s="6" t="str">
        <f>IFERROR(__xludf.DUMMYFUNCTION("""COMPUTED_VALUE"""),"Middle School")</f>
        <v>Middle School</v>
      </c>
      <c r="J3704" s="6" t="str">
        <f>IFERROR(__xludf.DUMMYFUNCTION("""COMPUTED_VALUE"""),"8")</f>
        <v>8</v>
      </c>
      <c r="K3704" s="6" t="str">
        <f>IFERROR(__xludf.DUMMYFUNCTION("""COMPUTED_VALUE"""),"jude_brooks@stu.ortrail.k12.or.us")</f>
        <v>jude_brooks@stu.ortrail.k12.or.us</v>
      </c>
      <c r="L3704" s="6" t="str">
        <f>IFERROR(__xludf.DUMMYFUNCTION("""COMPUTED_VALUE"""),"Oregon Trail School District 46")</f>
        <v>Oregon Trail School District 46</v>
      </c>
      <c r="M3704" s="6" t="str">
        <f>IFERROR(__xludf.DUMMYFUNCTION("""COMPUTED_VALUE"""),"")</f>
        <v/>
      </c>
      <c r="N3704" s="6" t="str">
        <f>IFERROR(__xludf.DUMMYFUNCTION("""COMPUTED_VALUE"""),"")</f>
        <v/>
      </c>
      <c r="O3704" s="87" t="str">
        <f>IFERROR(__xludf.DUMMYFUNCTION("""COMPUTED_VALUE"""),"https://drive.google.com/drive/folders/10T2cTQHqEJZqE-st6uFKPoI?usp=share_link")</f>
        <v>https://drive.google.com/drive/folders/10T2cTQHqEJZqE-st6uFKPoI?usp=share_link</v>
      </c>
      <c r="P3704" s="6" t="str">
        <f>IFERROR(__xludf.DUMMYFUNCTION("""COMPUTED_VALUE"""),"Jude Brooks")</f>
        <v>Jude Brooks</v>
      </c>
      <c r="Q3704" s="6" t="str">
        <f>IFERROR(__xludf.DUMMYFUNCTION("""COMPUTED_VALUE"""),"MS")</f>
        <v>MS</v>
      </c>
      <c r="R3704" s="6">
        <f>IFERROR(__xludf.DUMMYFUNCTION("""COMPUTED_VALUE"""),0.0)</f>
        <v>0</v>
      </c>
      <c r="S3704" s="6" t="str">
        <f>IFERROR(__xludf.DUMMYFUNCTION("""COMPUTED_VALUE"""),"Kim Gallucci")</f>
        <v>Kim Gallucci</v>
      </c>
      <c r="T3704" s="6" t="str">
        <f>IFERROR(__xludf.DUMMYFUNCTION("""COMPUTED_VALUE"""),"kim.gallucci@ortrail.k12.or.us")</f>
        <v>kim.gallucci@ortrail.k12.or.us</v>
      </c>
      <c r="U3704" s="6" t="str">
        <f>IFERROR(__xludf.DUMMYFUNCTION("""COMPUTED_VALUE"""),"8")</f>
        <v>8</v>
      </c>
      <c r="V3704" s="6" t="str">
        <f>IFERROR(__xludf.DUMMYFUNCTION("""COMPUTED_VALUE"""),"English")</f>
        <v>English</v>
      </c>
      <c r="W3704" s="6" t="str">
        <f>IFERROR(__xludf.DUMMYFUNCTION("""COMPUTED_VALUE"""),"[]")</f>
        <v>[]</v>
      </c>
      <c r="X3704" s="6" t="str">
        <f>IFERROR(__xludf.DUMMYFUNCTION("""COMPUTED_VALUE"""),"Enrolled")</f>
        <v>Enrolled</v>
      </c>
    </row>
    <row r="3705">
      <c r="A3705" s="6" t="str">
        <f>IFERROR(__xludf.DUMMYFUNCTION("""COMPUTED_VALUE"""),"065-4276")</f>
        <v>065-4276</v>
      </c>
      <c r="B3705" s="6" t="str">
        <f>IFERROR(__xludf.DUMMYFUNCTION("""COMPUTED_VALUE"""),"65")</f>
        <v>65</v>
      </c>
      <c r="C3705" s="6" t="str">
        <f>IFERROR(__xludf.DUMMYFUNCTION("""COMPUTED_VALUE"""),"4276")</f>
        <v>4276</v>
      </c>
      <c r="D3705" s="6" t="str">
        <f>IFERROR(__xludf.DUMMYFUNCTION("""COMPUTED_VALUE"""),"Avery")</f>
        <v>Avery</v>
      </c>
      <c r="E3705" s="6" t="str">
        <f>IFERROR(__xludf.DUMMYFUNCTION("""COMPUTED_VALUE"""),"")</f>
        <v/>
      </c>
      <c r="F3705" s="6" t="str">
        <f>IFERROR(__xludf.DUMMYFUNCTION("""COMPUTED_VALUE"""),"Baker")</f>
        <v>Baker</v>
      </c>
      <c r="G3705" s="6" t="str">
        <f>IFERROR(__xludf.DUMMYFUNCTION("""COMPUTED_VALUE"""),"07/05/2014")</f>
        <v>07/05/2014</v>
      </c>
      <c r="H3705" s="6" t="str">
        <f>IFERROR(__xludf.DUMMYFUNCTION("""COMPUTED_VALUE"""),"Self Identify")</f>
        <v>Self Identify</v>
      </c>
      <c r="I3705" s="6" t="str">
        <f>IFERROR(__xludf.DUMMYFUNCTION("""COMPUTED_VALUE"""),"Middle School")</f>
        <v>Middle School</v>
      </c>
      <c r="J3705" s="6" t="str">
        <f>IFERROR(__xludf.DUMMYFUNCTION("""COMPUTED_VALUE"""),"6")</f>
        <v>6</v>
      </c>
      <c r="K3705" s="6" t="str">
        <f>IFERROR(__xludf.DUMMYFUNCTION("""COMPUTED_VALUE"""),"avery.baker@2hourlearning.com")</f>
        <v>avery.baker@2hourlearning.com</v>
      </c>
      <c r="L3705" s="6" t="str">
        <f>IFERROR(__xludf.DUMMYFUNCTION("""COMPUTED_VALUE"""),"Immaculate Academy")</f>
        <v>Immaculate Academy</v>
      </c>
      <c r="M3705" s="6" t="str">
        <f>IFERROR(__xludf.DUMMYFUNCTION("""COMPUTED_VALUE"""),"")</f>
        <v/>
      </c>
      <c r="N3705" s="6" t="str">
        <f>IFERROR(__xludf.DUMMYFUNCTION("""COMPUTED_VALUE"""),"")</f>
        <v/>
      </c>
      <c r="O3705" s="87" t="str">
        <f>IFERROR(__xludf.DUMMYFUNCTION("""COMPUTED_VALUE"""),"https://drive.google.com/drive/folders/10T2cTQHqEJZqE-st6uFKPoI?usp=share_link")</f>
        <v>https://drive.google.com/drive/folders/10T2cTQHqEJZqE-st6uFKPoI?usp=share_link</v>
      </c>
      <c r="P3705" s="6" t="str">
        <f>IFERROR(__xludf.DUMMYFUNCTION("""COMPUTED_VALUE"""),"Avery Baker")</f>
        <v>Avery Baker</v>
      </c>
      <c r="Q3705" s="6" t="str">
        <f>IFERROR(__xludf.DUMMYFUNCTION("""COMPUTED_VALUE"""),"MS")</f>
        <v>MS</v>
      </c>
      <c r="R3705" s="6">
        <f>IFERROR(__xludf.DUMMYFUNCTION("""COMPUTED_VALUE"""),0.0)</f>
        <v>0</v>
      </c>
      <c r="S3705" s="6" t="str">
        <f>IFERROR(__xludf.DUMMYFUNCTION("""COMPUTED_VALUE""")," ")</f>
        <v> </v>
      </c>
      <c r="T3705" s="6" t="str">
        <f>IFERROR(__xludf.DUMMYFUNCTION("""COMPUTED_VALUE"""),"")</f>
        <v/>
      </c>
      <c r="U3705" s="6" t="str">
        <f>IFERROR(__xludf.DUMMYFUNCTION("""COMPUTED_VALUE"""),"6")</f>
        <v>6</v>
      </c>
      <c r="V3705" s="6" t="str">
        <f>IFERROR(__xludf.DUMMYFUNCTION("""COMPUTED_VALUE"""),"")</f>
        <v/>
      </c>
      <c r="W3705" s="6" t="str">
        <f>IFERROR(__xludf.DUMMYFUNCTION("""COMPUTED_VALUE"""),"[]")</f>
        <v>[]</v>
      </c>
      <c r="X3705" s="6" t="str">
        <f>IFERROR(__xludf.DUMMYFUNCTION("""COMPUTED_VALUE"""),"Pending Review")</f>
        <v>Pending Review</v>
      </c>
    </row>
    <row r="3706">
      <c r="A3706" s="6" t="str">
        <f>IFERROR(__xludf.DUMMYFUNCTION("""COMPUTED_VALUE"""),"065-6890")</f>
        <v>065-6890</v>
      </c>
      <c r="B3706" s="6" t="str">
        <f>IFERROR(__xludf.DUMMYFUNCTION("""COMPUTED_VALUE"""),"65")</f>
        <v>65</v>
      </c>
      <c r="C3706" s="6" t="str">
        <f>IFERROR(__xludf.DUMMYFUNCTION("""COMPUTED_VALUE"""),"6890")</f>
        <v>6890</v>
      </c>
      <c r="D3706" s="6" t="str">
        <f>IFERROR(__xludf.DUMMYFUNCTION("""COMPUTED_VALUE"""),"Damian")</f>
        <v>Damian</v>
      </c>
      <c r="E3706" s="6" t="str">
        <f>IFERROR(__xludf.DUMMYFUNCTION("""COMPUTED_VALUE"""),"")</f>
        <v/>
      </c>
      <c r="F3706" s="6" t="str">
        <f>IFERROR(__xludf.DUMMYFUNCTION("""COMPUTED_VALUE"""),"Abdel-Malak")</f>
        <v>Abdel-Malak</v>
      </c>
      <c r="G3706" s="6" t="str">
        <f>IFERROR(__xludf.DUMMYFUNCTION("""COMPUTED_VALUE"""),"11/11/2019")</f>
        <v>11/11/2019</v>
      </c>
      <c r="H3706" s="6" t="str">
        <f>IFERROR(__xludf.DUMMYFUNCTION("""COMPUTED_VALUE"""),"male")</f>
        <v>male</v>
      </c>
      <c r="I3706" s="6" t="str">
        <f>IFERROR(__xludf.DUMMYFUNCTION("""COMPUTED_VALUE"""),"Learning Lab")</f>
        <v>Learning Lab</v>
      </c>
      <c r="J3706" s="6" t="str">
        <f>IFERROR(__xludf.DUMMYFUNCTION("""COMPUTED_VALUE"""),"K")</f>
        <v>K</v>
      </c>
      <c r="K3706" s="6" t="str">
        <f>IFERROR(__xludf.DUMMYFUNCTION("""COMPUTED_VALUE"""),"damian.abdelmalak@2hourlearning.com")</f>
        <v>damian.abdelmalak@2hourlearning.com</v>
      </c>
      <c r="L3706" s="6" t="str">
        <f>IFERROR(__xludf.DUMMYFUNCTION("""COMPUTED_VALUE"""),"Immaculate Academy")</f>
        <v>Immaculate Academy</v>
      </c>
      <c r="M3706" s="6" t="str">
        <f>IFERROR(__xludf.DUMMYFUNCTION("""COMPUTED_VALUE"""),"")</f>
        <v/>
      </c>
      <c r="N3706" s="6" t="str">
        <f>IFERROR(__xludf.DUMMYFUNCTION("""COMPUTED_VALUE"""),"")</f>
        <v/>
      </c>
      <c r="O3706" s="87" t="str">
        <f>IFERROR(__xludf.DUMMYFUNCTION("""COMPUTED_VALUE"""),"https://drive.google.com/drive/folders/10T2cTQHqEJZqE-st6uFKPoI?usp=share_link")</f>
        <v>https://drive.google.com/drive/folders/10T2cTQHqEJZqE-st6uFKPoI?usp=share_link</v>
      </c>
      <c r="P3706" s="6" t="str">
        <f>IFERROR(__xludf.DUMMYFUNCTION("""COMPUTED_VALUE"""),"Damian Abdel-Malak")</f>
        <v>Damian Abdel-Malak</v>
      </c>
      <c r="Q3706" s="6" t="str">
        <f>IFERROR(__xludf.DUMMYFUNCTION("""COMPUTED_VALUE"""),"LL")</f>
        <v>LL</v>
      </c>
      <c r="R3706" s="6">
        <f>IFERROR(__xludf.DUMMYFUNCTION("""COMPUTED_VALUE"""),0.0)</f>
        <v>0</v>
      </c>
      <c r="S3706" s="6" t="str">
        <f>IFERROR(__xludf.DUMMYFUNCTION("""COMPUTED_VALUE""")," ")</f>
        <v> </v>
      </c>
      <c r="T3706" s="6" t="str">
        <f>IFERROR(__xludf.DUMMYFUNCTION("""COMPUTED_VALUE"""),"")</f>
        <v/>
      </c>
      <c r="U3706" s="6" t="str">
        <f>IFERROR(__xludf.DUMMYFUNCTION("""COMPUTED_VALUE"""),"K")</f>
        <v>K</v>
      </c>
      <c r="V3706" s="6" t="str">
        <f>IFERROR(__xludf.DUMMYFUNCTION("""COMPUTED_VALUE"""),"English")</f>
        <v>English</v>
      </c>
      <c r="W3706" s="6" t="str">
        <f>IFERROR(__xludf.DUMMYFUNCTION("""COMPUTED_VALUE"""),"[]")</f>
        <v>[]</v>
      </c>
      <c r="X3706" s="6" t="str">
        <f>IFERROR(__xludf.DUMMYFUNCTION("""COMPUTED_VALUE"""),"Enrolled")</f>
        <v>Enrolled</v>
      </c>
    </row>
    <row r="3707">
      <c r="A3707" s="6" t="str">
        <f>IFERROR(__xludf.DUMMYFUNCTION("""COMPUTED_VALUE"""),"065-6891")</f>
        <v>065-6891</v>
      </c>
      <c r="B3707" s="6" t="str">
        <f>IFERROR(__xludf.DUMMYFUNCTION("""COMPUTED_VALUE"""),"65")</f>
        <v>65</v>
      </c>
      <c r="C3707" s="6" t="str">
        <f>IFERROR(__xludf.DUMMYFUNCTION("""COMPUTED_VALUE"""),"6891")</f>
        <v>6891</v>
      </c>
      <c r="D3707" s="6" t="str">
        <f>IFERROR(__xludf.DUMMYFUNCTION("""COMPUTED_VALUE"""),"Julian")</f>
        <v>Julian</v>
      </c>
      <c r="E3707" s="6" t="str">
        <f>IFERROR(__xludf.DUMMYFUNCTION("""COMPUTED_VALUE"""),"")</f>
        <v/>
      </c>
      <c r="F3707" s="6" t="str">
        <f>IFERROR(__xludf.DUMMYFUNCTION("""COMPUTED_VALUE"""),"Abdel-Malak")</f>
        <v>Abdel-Malak</v>
      </c>
      <c r="G3707" s="6" t="str">
        <f>IFERROR(__xludf.DUMMYFUNCTION("""COMPUTED_VALUE"""),"12/21/2013")</f>
        <v>12/21/2013</v>
      </c>
      <c r="H3707" s="6" t="str">
        <f>IFERROR(__xludf.DUMMYFUNCTION("""COMPUTED_VALUE"""),"male")</f>
        <v>male</v>
      </c>
      <c r="I3707" s="6" t="str">
        <f>IFERROR(__xludf.DUMMYFUNCTION("""COMPUTED_VALUE"""),"Middle School")</f>
        <v>Middle School</v>
      </c>
      <c r="J3707" s="6" t="str">
        <f>IFERROR(__xludf.DUMMYFUNCTION("""COMPUTED_VALUE"""),"6")</f>
        <v>6</v>
      </c>
      <c r="K3707" s="6" t="str">
        <f>IFERROR(__xludf.DUMMYFUNCTION("""COMPUTED_VALUE"""),"julian.abdelmalak@2hourlearning.com")</f>
        <v>julian.abdelmalak@2hourlearning.com</v>
      </c>
      <c r="L3707" s="6" t="str">
        <f>IFERROR(__xludf.DUMMYFUNCTION("""COMPUTED_VALUE"""),"Immaculate Academy")</f>
        <v>Immaculate Academy</v>
      </c>
      <c r="M3707" s="6" t="str">
        <f>IFERROR(__xludf.DUMMYFUNCTION("""COMPUTED_VALUE"""),"")</f>
        <v/>
      </c>
      <c r="N3707" s="6" t="str">
        <f>IFERROR(__xludf.DUMMYFUNCTION("""COMPUTED_VALUE"""),"")</f>
        <v/>
      </c>
      <c r="O3707" s="87" t="str">
        <f>IFERROR(__xludf.DUMMYFUNCTION("""COMPUTED_VALUE"""),"https://drive.google.com/drive/folders/10T2cTQHqEJZqE-st6uFKPoI?usp=share_link")</f>
        <v>https://drive.google.com/drive/folders/10T2cTQHqEJZqE-st6uFKPoI?usp=share_link</v>
      </c>
      <c r="P3707" s="6" t="str">
        <f>IFERROR(__xludf.DUMMYFUNCTION("""COMPUTED_VALUE"""),"Julian Abdel-Malak")</f>
        <v>Julian Abdel-Malak</v>
      </c>
      <c r="Q3707" s="6" t="str">
        <f>IFERROR(__xludf.DUMMYFUNCTION("""COMPUTED_VALUE"""),"MS")</f>
        <v>MS</v>
      </c>
      <c r="R3707" s="6">
        <f>IFERROR(__xludf.DUMMYFUNCTION("""COMPUTED_VALUE"""),0.0)</f>
        <v>0</v>
      </c>
      <c r="S3707" s="6" t="str">
        <f>IFERROR(__xludf.DUMMYFUNCTION("""COMPUTED_VALUE""")," ")</f>
        <v> </v>
      </c>
      <c r="T3707" s="6" t="str">
        <f>IFERROR(__xludf.DUMMYFUNCTION("""COMPUTED_VALUE"""),"")</f>
        <v/>
      </c>
      <c r="U3707" s="6" t="str">
        <f>IFERROR(__xludf.DUMMYFUNCTION("""COMPUTED_VALUE"""),"6")</f>
        <v>6</v>
      </c>
      <c r="V3707" s="6" t="str">
        <f>IFERROR(__xludf.DUMMYFUNCTION("""COMPUTED_VALUE"""),"English")</f>
        <v>English</v>
      </c>
      <c r="W3707" s="6" t="str">
        <f>IFERROR(__xludf.DUMMYFUNCTION("""COMPUTED_VALUE"""),"[]")</f>
        <v>[]</v>
      </c>
      <c r="X3707" s="6" t="str">
        <f>IFERROR(__xludf.DUMMYFUNCTION("""COMPUTED_VALUE"""),"Enrolled")</f>
        <v>Enrolled</v>
      </c>
    </row>
    <row r="3708">
      <c r="A3708" s="6" t="str">
        <f>IFERROR(__xludf.DUMMYFUNCTION("""COMPUTED_VALUE"""),"065-6892")</f>
        <v>065-6892</v>
      </c>
      <c r="B3708" s="6" t="str">
        <f>IFERROR(__xludf.DUMMYFUNCTION("""COMPUTED_VALUE"""),"65")</f>
        <v>65</v>
      </c>
      <c r="C3708" s="6" t="str">
        <f>IFERROR(__xludf.DUMMYFUNCTION("""COMPUTED_VALUE"""),"6892")</f>
        <v>6892</v>
      </c>
      <c r="D3708" s="6" t="str">
        <f>IFERROR(__xludf.DUMMYFUNCTION("""COMPUTED_VALUE"""),"Kayley")</f>
        <v>Kayley</v>
      </c>
      <c r="E3708" s="6" t="str">
        <f>IFERROR(__xludf.DUMMYFUNCTION("""COMPUTED_VALUE"""),"")</f>
        <v/>
      </c>
      <c r="F3708" s="6" t="str">
        <f>IFERROR(__xludf.DUMMYFUNCTION("""COMPUTED_VALUE"""),"Jaeger")</f>
        <v>Jaeger</v>
      </c>
      <c r="G3708" s="6" t="str">
        <f>IFERROR(__xludf.DUMMYFUNCTION("""COMPUTED_VALUE"""),"03/23/2018")</f>
        <v>03/23/2018</v>
      </c>
      <c r="H3708" s="6" t="str">
        <f>IFERROR(__xludf.DUMMYFUNCTION("""COMPUTED_VALUE"""),"female")</f>
        <v>female</v>
      </c>
      <c r="I3708" s="6" t="str">
        <f>IFERROR(__xludf.DUMMYFUNCTION("""COMPUTED_VALUE"""),"Level 1")</f>
        <v>Level 1</v>
      </c>
      <c r="J3708" s="6" t="str">
        <f>IFERROR(__xludf.DUMMYFUNCTION("""COMPUTED_VALUE"""),"2")</f>
        <v>2</v>
      </c>
      <c r="K3708" s="6" t="str">
        <f>IFERROR(__xludf.DUMMYFUNCTION("""COMPUTED_VALUE"""),"kayley.jaeger@2hourlearning.com")</f>
        <v>kayley.jaeger@2hourlearning.com</v>
      </c>
      <c r="L3708" s="6" t="str">
        <f>IFERROR(__xludf.DUMMYFUNCTION("""COMPUTED_VALUE"""),"Immaculate Academy")</f>
        <v>Immaculate Academy</v>
      </c>
      <c r="M3708" s="6" t="str">
        <f>IFERROR(__xludf.DUMMYFUNCTION("""COMPUTED_VALUE"""),"")</f>
        <v/>
      </c>
      <c r="N3708" s="6" t="str">
        <f>IFERROR(__xludf.DUMMYFUNCTION("""COMPUTED_VALUE"""),"")</f>
        <v/>
      </c>
      <c r="O3708" s="87" t="str">
        <f>IFERROR(__xludf.DUMMYFUNCTION("""COMPUTED_VALUE"""),"https://drive.google.com/drive/folders/10T2cTQHqEJZqE-st6uFKPoI?usp=share_link")</f>
        <v>https://drive.google.com/drive/folders/10T2cTQHqEJZqE-st6uFKPoI?usp=share_link</v>
      </c>
      <c r="P3708" s="6" t="str">
        <f>IFERROR(__xludf.DUMMYFUNCTION("""COMPUTED_VALUE"""),"Kayley Jaeger")</f>
        <v>Kayley Jaeger</v>
      </c>
      <c r="Q3708" s="6" t="str">
        <f>IFERROR(__xludf.DUMMYFUNCTION("""COMPUTED_VALUE"""),"L1")</f>
        <v>L1</v>
      </c>
      <c r="R3708" s="6">
        <f>IFERROR(__xludf.DUMMYFUNCTION("""COMPUTED_VALUE"""),1.0)</f>
        <v>1</v>
      </c>
      <c r="S3708" s="6" t="str">
        <f>IFERROR(__xludf.DUMMYFUNCTION("""COMPUTED_VALUE""")," ")</f>
        <v> </v>
      </c>
      <c r="T3708" s="6" t="str">
        <f>IFERROR(__xludf.DUMMYFUNCTION("""COMPUTED_VALUE"""),"")</f>
        <v/>
      </c>
      <c r="U3708" s="6" t="str">
        <f>IFERROR(__xludf.DUMMYFUNCTION("""COMPUTED_VALUE"""),"2")</f>
        <v>2</v>
      </c>
      <c r="V3708" s="6" t="str">
        <f>IFERROR(__xludf.DUMMYFUNCTION("""COMPUTED_VALUE"""),"English")</f>
        <v>English</v>
      </c>
      <c r="W3708" s="6" t="str">
        <f>IFERROR(__xludf.DUMMYFUNCTION("""COMPUTED_VALUE"""),"[]")</f>
        <v>[]</v>
      </c>
      <c r="X3708" s="6" t="str">
        <f>IFERROR(__xludf.DUMMYFUNCTION("""COMPUTED_VALUE"""),"Enrolled")</f>
        <v>Enrolled</v>
      </c>
    </row>
    <row r="3709">
      <c r="A3709" s="6" t="str">
        <f>IFERROR(__xludf.DUMMYFUNCTION("""COMPUTED_VALUE"""),"065-6893")</f>
        <v>065-6893</v>
      </c>
      <c r="B3709" s="6" t="str">
        <f>IFERROR(__xludf.DUMMYFUNCTION("""COMPUTED_VALUE"""),"65")</f>
        <v>65</v>
      </c>
      <c r="C3709" s="6" t="str">
        <f>IFERROR(__xludf.DUMMYFUNCTION("""COMPUTED_VALUE"""),"6893")</f>
        <v>6893</v>
      </c>
      <c r="D3709" s="6" t="str">
        <f>IFERROR(__xludf.DUMMYFUNCTION("""COMPUTED_VALUE"""),"Emiliano")</f>
        <v>Emiliano</v>
      </c>
      <c r="E3709" s="6" t="str">
        <f>IFERROR(__xludf.DUMMYFUNCTION("""COMPUTED_VALUE"""),"")</f>
        <v/>
      </c>
      <c r="F3709" s="6" t="str">
        <f>IFERROR(__xludf.DUMMYFUNCTION("""COMPUTED_VALUE"""),"Reyes")</f>
        <v>Reyes</v>
      </c>
      <c r="G3709" s="6" t="str">
        <f>IFERROR(__xludf.DUMMYFUNCTION("""COMPUTED_VALUE"""),"07/26/2014")</f>
        <v>07/26/2014</v>
      </c>
      <c r="H3709" s="6" t="str">
        <f>IFERROR(__xludf.DUMMYFUNCTION("""COMPUTED_VALUE"""),"male")</f>
        <v>male</v>
      </c>
      <c r="I3709" s="6" t="str">
        <f>IFERROR(__xludf.DUMMYFUNCTION("""COMPUTED_VALUE"""),"Middle School")</f>
        <v>Middle School</v>
      </c>
      <c r="J3709" s="6" t="str">
        <f>IFERROR(__xludf.DUMMYFUNCTION("""COMPUTED_VALUE"""),"6")</f>
        <v>6</v>
      </c>
      <c r="K3709" s="6" t="str">
        <f>IFERROR(__xludf.DUMMYFUNCTION("""COMPUTED_VALUE"""),"emiliano.reyes@2hourlearning.com")</f>
        <v>emiliano.reyes@2hourlearning.com</v>
      </c>
      <c r="L3709" s="6" t="str">
        <f>IFERROR(__xludf.DUMMYFUNCTION("""COMPUTED_VALUE"""),"Immaculate Academy")</f>
        <v>Immaculate Academy</v>
      </c>
      <c r="M3709" s="6" t="str">
        <f>IFERROR(__xludf.DUMMYFUNCTION("""COMPUTED_VALUE"""),"")</f>
        <v/>
      </c>
      <c r="N3709" s="6" t="str">
        <f>IFERROR(__xludf.DUMMYFUNCTION("""COMPUTED_VALUE"""),"")</f>
        <v/>
      </c>
      <c r="O3709" s="87" t="str">
        <f>IFERROR(__xludf.DUMMYFUNCTION("""COMPUTED_VALUE"""),"https://drive.google.com/drive/folders/10T2cTQHqEJZqE-st6uFKPoI?usp=share_link")</f>
        <v>https://drive.google.com/drive/folders/10T2cTQHqEJZqE-st6uFKPoI?usp=share_link</v>
      </c>
      <c r="P3709" s="6" t="str">
        <f>IFERROR(__xludf.DUMMYFUNCTION("""COMPUTED_VALUE"""),"Emiliano Reyes")</f>
        <v>Emiliano Reyes</v>
      </c>
      <c r="Q3709" s="6" t="str">
        <f>IFERROR(__xludf.DUMMYFUNCTION("""COMPUTED_VALUE"""),"MS")</f>
        <v>MS</v>
      </c>
      <c r="R3709" s="6">
        <f>IFERROR(__xludf.DUMMYFUNCTION("""COMPUTED_VALUE"""),0.0)</f>
        <v>0</v>
      </c>
      <c r="S3709" s="6" t="str">
        <f>IFERROR(__xludf.DUMMYFUNCTION("""COMPUTED_VALUE""")," ")</f>
        <v> </v>
      </c>
      <c r="T3709" s="6" t="str">
        <f>IFERROR(__xludf.DUMMYFUNCTION("""COMPUTED_VALUE"""),"")</f>
        <v/>
      </c>
      <c r="U3709" s="6" t="str">
        <f>IFERROR(__xludf.DUMMYFUNCTION("""COMPUTED_VALUE"""),"6")</f>
        <v>6</v>
      </c>
      <c r="V3709" s="6" t="str">
        <f>IFERROR(__xludf.DUMMYFUNCTION("""COMPUTED_VALUE"""),"English")</f>
        <v>English</v>
      </c>
      <c r="W3709" s="6" t="str">
        <f>IFERROR(__xludf.DUMMYFUNCTION("""COMPUTED_VALUE"""),"[]")</f>
        <v>[]</v>
      </c>
      <c r="X3709" s="6" t="str">
        <f>IFERROR(__xludf.DUMMYFUNCTION("""COMPUTED_VALUE"""),"Enrolled")</f>
        <v>Enrolled</v>
      </c>
    </row>
    <row r="3710">
      <c r="A3710" s="6" t="str">
        <f>IFERROR(__xludf.DUMMYFUNCTION("""COMPUTED_VALUE"""),"065-6894")</f>
        <v>065-6894</v>
      </c>
      <c r="B3710" s="6" t="str">
        <f>IFERROR(__xludf.DUMMYFUNCTION("""COMPUTED_VALUE"""),"65")</f>
        <v>65</v>
      </c>
      <c r="C3710" s="6" t="str">
        <f>IFERROR(__xludf.DUMMYFUNCTION("""COMPUTED_VALUE"""),"6894")</f>
        <v>6894</v>
      </c>
      <c r="D3710" s="6" t="str">
        <f>IFERROR(__xludf.DUMMYFUNCTION("""COMPUTED_VALUE"""),"Thiago")</f>
        <v>Thiago</v>
      </c>
      <c r="E3710" s="6" t="str">
        <f>IFERROR(__xludf.DUMMYFUNCTION("""COMPUTED_VALUE"""),"")</f>
        <v/>
      </c>
      <c r="F3710" s="6" t="str">
        <f>IFERROR(__xludf.DUMMYFUNCTION("""COMPUTED_VALUE"""),"Reyes")</f>
        <v>Reyes</v>
      </c>
      <c r="G3710" s="6" t="str">
        <f>IFERROR(__xludf.DUMMYFUNCTION("""COMPUTED_VALUE"""),"07/26/2014")</f>
        <v>07/26/2014</v>
      </c>
      <c r="H3710" s="6" t="str">
        <f>IFERROR(__xludf.DUMMYFUNCTION("""COMPUTED_VALUE"""),"male")</f>
        <v>male</v>
      </c>
      <c r="I3710" s="6" t="str">
        <f>IFERROR(__xludf.DUMMYFUNCTION("""COMPUTED_VALUE"""),"Middle School")</f>
        <v>Middle School</v>
      </c>
      <c r="J3710" s="6" t="str">
        <f>IFERROR(__xludf.DUMMYFUNCTION("""COMPUTED_VALUE"""),"6")</f>
        <v>6</v>
      </c>
      <c r="K3710" s="6" t="str">
        <f>IFERROR(__xludf.DUMMYFUNCTION("""COMPUTED_VALUE"""),"thiago.reyes@2hourlearning.com")</f>
        <v>thiago.reyes@2hourlearning.com</v>
      </c>
      <c r="L3710" s="6" t="str">
        <f>IFERROR(__xludf.DUMMYFUNCTION("""COMPUTED_VALUE"""),"Immaculate Academy")</f>
        <v>Immaculate Academy</v>
      </c>
      <c r="M3710" s="6" t="str">
        <f>IFERROR(__xludf.DUMMYFUNCTION("""COMPUTED_VALUE"""),"")</f>
        <v/>
      </c>
      <c r="N3710" s="6" t="str">
        <f>IFERROR(__xludf.DUMMYFUNCTION("""COMPUTED_VALUE"""),"")</f>
        <v/>
      </c>
      <c r="O3710" s="87" t="str">
        <f>IFERROR(__xludf.DUMMYFUNCTION("""COMPUTED_VALUE"""),"https://drive.google.com/drive/folders/10T2cTQHqEJZqE-st6uFKPoI?usp=share_link")</f>
        <v>https://drive.google.com/drive/folders/10T2cTQHqEJZqE-st6uFKPoI?usp=share_link</v>
      </c>
      <c r="P3710" s="6" t="str">
        <f>IFERROR(__xludf.DUMMYFUNCTION("""COMPUTED_VALUE"""),"Thiago Reyes")</f>
        <v>Thiago Reyes</v>
      </c>
      <c r="Q3710" s="6" t="str">
        <f>IFERROR(__xludf.DUMMYFUNCTION("""COMPUTED_VALUE"""),"MS")</f>
        <v>MS</v>
      </c>
      <c r="R3710" s="6">
        <f>IFERROR(__xludf.DUMMYFUNCTION("""COMPUTED_VALUE"""),0.0)</f>
        <v>0</v>
      </c>
      <c r="S3710" s="6" t="str">
        <f>IFERROR(__xludf.DUMMYFUNCTION("""COMPUTED_VALUE""")," ")</f>
        <v> </v>
      </c>
      <c r="T3710" s="6" t="str">
        <f>IFERROR(__xludf.DUMMYFUNCTION("""COMPUTED_VALUE"""),"")</f>
        <v/>
      </c>
      <c r="U3710" s="6" t="str">
        <f>IFERROR(__xludf.DUMMYFUNCTION("""COMPUTED_VALUE"""),"6")</f>
        <v>6</v>
      </c>
      <c r="V3710" s="6" t="str">
        <f>IFERROR(__xludf.DUMMYFUNCTION("""COMPUTED_VALUE"""),"English")</f>
        <v>English</v>
      </c>
      <c r="W3710" s="6" t="str">
        <f>IFERROR(__xludf.DUMMYFUNCTION("""COMPUTED_VALUE"""),"[]")</f>
        <v>[]</v>
      </c>
      <c r="X3710" s="6" t="str">
        <f>IFERROR(__xludf.DUMMYFUNCTION("""COMPUTED_VALUE"""),"Enrolled")</f>
        <v>Enrolled</v>
      </c>
    </row>
    <row r="3711">
      <c r="A3711" s="6" t="str">
        <f>IFERROR(__xludf.DUMMYFUNCTION("""COMPUTED_VALUE"""),"065-6895")</f>
        <v>065-6895</v>
      </c>
      <c r="B3711" s="6" t="str">
        <f>IFERROR(__xludf.DUMMYFUNCTION("""COMPUTED_VALUE"""),"65")</f>
        <v>65</v>
      </c>
      <c r="C3711" s="6" t="str">
        <f>IFERROR(__xludf.DUMMYFUNCTION("""COMPUTED_VALUE"""),"6895")</f>
        <v>6895</v>
      </c>
      <c r="D3711" s="6" t="str">
        <f>IFERROR(__xludf.DUMMYFUNCTION("""COMPUTED_VALUE"""),"Tessa")</f>
        <v>Tessa</v>
      </c>
      <c r="E3711" s="6" t="str">
        <f>IFERROR(__xludf.DUMMYFUNCTION("""COMPUTED_VALUE"""),"")</f>
        <v/>
      </c>
      <c r="F3711" s="6" t="str">
        <f>IFERROR(__xludf.DUMMYFUNCTION("""COMPUTED_VALUE"""),"Rogers")</f>
        <v>Rogers</v>
      </c>
      <c r="G3711" s="6" t="str">
        <f>IFERROR(__xludf.DUMMYFUNCTION("""COMPUTED_VALUE"""),"11/20/2017")</f>
        <v>11/20/2017</v>
      </c>
      <c r="H3711" s="6" t="str">
        <f>IFERROR(__xludf.DUMMYFUNCTION("""COMPUTED_VALUE"""),"female")</f>
        <v>female</v>
      </c>
      <c r="I3711" s="6" t="str">
        <f>IFERROR(__xludf.DUMMYFUNCTION("""COMPUTED_VALUE"""),"Level 1")</f>
        <v>Level 1</v>
      </c>
      <c r="J3711" s="6" t="str">
        <f>IFERROR(__xludf.DUMMYFUNCTION("""COMPUTED_VALUE"""),"2")</f>
        <v>2</v>
      </c>
      <c r="K3711" s="6" t="str">
        <f>IFERROR(__xludf.DUMMYFUNCTION("""COMPUTED_VALUE"""),"tessa.rogers@2hourlearning.com")</f>
        <v>tessa.rogers@2hourlearning.com</v>
      </c>
      <c r="L3711" s="6" t="str">
        <f>IFERROR(__xludf.DUMMYFUNCTION("""COMPUTED_VALUE"""),"Immaculate Academy")</f>
        <v>Immaculate Academy</v>
      </c>
      <c r="M3711" s="6" t="str">
        <f>IFERROR(__xludf.DUMMYFUNCTION("""COMPUTED_VALUE"""),"")</f>
        <v/>
      </c>
      <c r="N3711" s="6" t="str">
        <f>IFERROR(__xludf.DUMMYFUNCTION("""COMPUTED_VALUE"""),"")</f>
        <v/>
      </c>
      <c r="O3711" s="87" t="str">
        <f>IFERROR(__xludf.DUMMYFUNCTION("""COMPUTED_VALUE"""),"https://drive.google.com/drive/folders/10T2cTQHqEJZqE-st6uFKPoI?usp=share_link")</f>
        <v>https://drive.google.com/drive/folders/10T2cTQHqEJZqE-st6uFKPoI?usp=share_link</v>
      </c>
      <c r="P3711" s="6" t="str">
        <f>IFERROR(__xludf.DUMMYFUNCTION("""COMPUTED_VALUE"""),"Tessa Rogers")</f>
        <v>Tessa Rogers</v>
      </c>
      <c r="Q3711" s="6" t="str">
        <f>IFERROR(__xludf.DUMMYFUNCTION("""COMPUTED_VALUE"""),"L1")</f>
        <v>L1</v>
      </c>
      <c r="R3711" s="6">
        <f>IFERROR(__xludf.DUMMYFUNCTION("""COMPUTED_VALUE"""),1.0)</f>
        <v>1</v>
      </c>
      <c r="S3711" s="6" t="str">
        <f>IFERROR(__xludf.DUMMYFUNCTION("""COMPUTED_VALUE""")," ")</f>
        <v> </v>
      </c>
      <c r="T3711" s="6" t="str">
        <f>IFERROR(__xludf.DUMMYFUNCTION("""COMPUTED_VALUE"""),"")</f>
        <v/>
      </c>
      <c r="U3711" s="6" t="str">
        <f>IFERROR(__xludf.DUMMYFUNCTION("""COMPUTED_VALUE"""),"2")</f>
        <v>2</v>
      </c>
      <c r="V3711" s="6" t="str">
        <f>IFERROR(__xludf.DUMMYFUNCTION("""COMPUTED_VALUE"""),"English")</f>
        <v>English</v>
      </c>
      <c r="W3711" s="6" t="str">
        <f>IFERROR(__xludf.DUMMYFUNCTION("""COMPUTED_VALUE"""),"[]")</f>
        <v>[]</v>
      </c>
      <c r="X3711" s="6" t="str">
        <f>IFERROR(__xludf.DUMMYFUNCTION("""COMPUTED_VALUE"""),"Enrolled")</f>
        <v>Enrolled</v>
      </c>
    </row>
    <row r="3712">
      <c r="A3712" s="6" t="str">
        <f>IFERROR(__xludf.DUMMYFUNCTION("""COMPUTED_VALUE"""),"065-6896")</f>
        <v>065-6896</v>
      </c>
      <c r="B3712" s="6" t="str">
        <f>IFERROR(__xludf.DUMMYFUNCTION("""COMPUTED_VALUE"""),"65")</f>
        <v>65</v>
      </c>
      <c r="C3712" s="6" t="str">
        <f>IFERROR(__xludf.DUMMYFUNCTION("""COMPUTED_VALUE"""),"6896")</f>
        <v>6896</v>
      </c>
      <c r="D3712" s="6" t="str">
        <f>IFERROR(__xludf.DUMMYFUNCTION("""COMPUTED_VALUE"""),"Antonio")</f>
        <v>Antonio</v>
      </c>
      <c r="E3712" s="6" t="str">
        <f>IFERROR(__xludf.DUMMYFUNCTION("""COMPUTED_VALUE"""),"")</f>
        <v/>
      </c>
      <c r="F3712" s="6" t="str">
        <f>IFERROR(__xludf.DUMMYFUNCTION("""COMPUTED_VALUE"""),"Spano")</f>
        <v>Spano</v>
      </c>
      <c r="G3712" s="6" t="str">
        <f>IFERROR(__xludf.DUMMYFUNCTION("""COMPUTED_VALUE"""),"05/23/2014")</f>
        <v>05/23/2014</v>
      </c>
      <c r="H3712" s="6" t="str">
        <f>IFERROR(__xludf.DUMMYFUNCTION("""COMPUTED_VALUE"""),"male")</f>
        <v>male</v>
      </c>
      <c r="I3712" s="6" t="str">
        <f>IFERROR(__xludf.DUMMYFUNCTION("""COMPUTED_VALUE"""),"Middle School")</f>
        <v>Middle School</v>
      </c>
      <c r="J3712" s="6" t="str">
        <f>IFERROR(__xludf.DUMMYFUNCTION("""COMPUTED_VALUE"""),"6")</f>
        <v>6</v>
      </c>
      <c r="K3712" s="6" t="str">
        <f>IFERROR(__xludf.DUMMYFUNCTION("""COMPUTED_VALUE"""),"antonio.spano@2hourlearning.com")</f>
        <v>antonio.spano@2hourlearning.com</v>
      </c>
      <c r="L3712" s="6" t="str">
        <f>IFERROR(__xludf.DUMMYFUNCTION("""COMPUTED_VALUE"""),"Immaculate Academy")</f>
        <v>Immaculate Academy</v>
      </c>
      <c r="M3712" s="6" t="str">
        <f>IFERROR(__xludf.DUMMYFUNCTION("""COMPUTED_VALUE"""),"")</f>
        <v/>
      </c>
      <c r="N3712" s="6" t="str">
        <f>IFERROR(__xludf.DUMMYFUNCTION("""COMPUTED_VALUE"""),"")</f>
        <v/>
      </c>
      <c r="O3712" s="87" t="str">
        <f>IFERROR(__xludf.DUMMYFUNCTION("""COMPUTED_VALUE"""),"https://drive.google.com/drive/folders/10T2cTQHqEJZqE-st6uFKPoI?usp=share_link")</f>
        <v>https://drive.google.com/drive/folders/10T2cTQHqEJZqE-st6uFKPoI?usp=share_link</v>
      </c>
      <c r="P3712" s="6" t="str">
        <f>IFERROR(__xludf.DUMMYFUNCTION("""COMPUTED_VALUE"""),"Antonio Spano")</f>
        <v>Antonio Spano</v>
      </c>
      <c r="Q3712" s="6" t="str">
        <f>IFERROR(__xludf.DUMMYFUNCTION("""COMPUTED_VALUE"""),"MS")</f>
        <v>MS</v>
      </c>
      <c r="R3712" s="6">
        <f>IFERROR(__xludf.DUMMYFUNCTION("""COMPUTED_VALUE"""),0.0)</f>
        <v>0</v>
      </c>
      <c r="S3712" s="6" t="str">
        <f>IFERROR(__xludf.DUMMYFUNCTION("""COMPUTED_VALUE""")," ")</f>
        <v> </v>
      </c>
      <c r="T3712" s="6" t="str">
        <f>IFERROR(__xludf.DUMMYFUNCTION("""COMPUTED_VALUE"""),"")</f>
        <v/>
      </c>
      <c r="U3712" s="6" t="str">
        <f>IFERROR(__xludf.DUMMYFUNCTION("""COMPUTED_VALUE"""),"6")</f>
        <v>6</v>
      </c>
      <c r="V3712" s="6" t="str">
        <f>IFERROR(__xludf.DUMMYFUNCTION("""COMPUTED_VALUE"""),"English")</f>
        <v>English</v>
      </c>
      <c r="W3712" s="6" t="str">
        <f>IFERROR(__xludf.DUMMYFUNCTION("""COMPUTED_VALUE"""),"[]")</f>
        <v>[]</v>
      </c>
      <c r="X3712" s="6" t="str">
        <f>IFERROR(__xludf.DUMMYFUNCTION("""COMPUTED_VALUE"""),"Enrolled")</f>
        <v>Enrolled</v>
      </c>
    </row>
    <row r="3713">
      <c r="A3713" s="6" t="str">
        <f>IFERROR(__xludf.DUMMYFUNCTION("""COMPUTED_VALUE"""),"065-6897")</f>
        <v>065-6897</v>
      </c>
      <c r="B3713" s="6" t="str">
        <f>IFERROR(__xludf.DUMMYFUNCTION("""COMPUTED_VALUE"""),"65")</f>
        <v>65</v>
      </c>
      <c r="C3713" s="6" t="str">
        <f>IFERROR(__xludf.DUMMYFUNCTION("""COMPUTED_VALUE"""),"6897")</f>
        <v>6897</v>
      </c>
      <c r="D3713" s="6" t="str">
        <f>IFERROR(__xludf.DUMMYFUNCTION("""COMPUTED_VALUE"""),"Enzo")</f>
        <v>Enzo</v>
      </c>
      <c r="E3713" s="6" t="str">
        <f>IFERROR(__xludf.DUMMYFUNCTION("""COMPUTED_VALUE"""),"")</f>
        <v/>
      </c>
      <c r="F3713" s="6" t="str">
        <f>IFERROR(__xludf.DUMMYFUNCTION("""COMPUTED_VALUE"""),"Spano")</f>
        <v>Spano</v>
      </c>
      <c r="G3713" s="6" t="str">
        <f>IFERROR(__xludf.DUMMYFUNCTION("""COMPUTED_VALUE"""),"08/02/2020")</f>
        <v>08/02/2020</v>
      </c>
      <c r="H3713" s="6" t="str">
        <f>IFERROR(__xludf.DUMMYFUNCTION("""COMPUTED_VALUE"""),"male")</f>
        <v>male</v>
      </c>
      <c r="I3713" s="6" t="str">
        <f>IFERROR(__xludf.DUMMYFUNCTION("""COMPUTED_VALUE"""),"Learning Lab")</f>
        <v>Learning Lab</v>
      </c>
      <c r="J3713" s="6" t="str">
        <f>IFERROR(__xludf.DUMMYFUNCTION("""COMPUTED_VALUE"""),"K")</f>
        <v>K</v>
      </c>
      <c r="K3713" s="6" t="str">
        <f>IFERROR(__xludf.DUMMYFUNCTION("""COMPUTED_VALUE"""),"enzo.spano@2hourlearning.com")</f>
        <v>enzo.spano@2hourlearning.com</v>
      </c>
      <c r="L3713" s="6" t="str">
        <f>IFERROR(__xludf.DUMMYFUNCTION("""COMPUTED_VALUE"""),"Immaculate Academy")</f>
        <v>Immaculate Academy</v>
      </c>
      <c r="M3713" s="6" t="str">
        <f>IFERROR(__xludf.DUMMYFUNCTION("""COMPUTED_VALUE"""),"")</f>
        <v/>
      </c>
      <c r="N3713" s="6" t="str">
        <f>IFERROR(__xludf.DUMMYFUNCTION("""COMPUTED_VALUE"""),"")</f>
        <v/>
      </c>
      <c r="O3713" s="87" t="str">
        <f>IFERROR(__xludf.DUMMYFUNCTION("""COMPUTED_VALUE"""),"https://drive.google.com/drive/folders/10T2cTQHqEJZqE-st6uFKPoI?usp=share_link")</f>
        <v>https://drive.google.com/drive/folders/10T2cTQHqEJZqE-st6uFKPoI?usp=share_link</v>
      </c>
      <c r="P3713" s="6" t="str">
        <f>IFERROR(__xludf.DUMMYFUNCTION("""COMPUTED_VALUE"""),"Enzo Spano")</f>
        <v>Enzo Spano</v>
      </c>
      <c r="Q3713" s="6" t="str">
        <f>IFERROR(__xludf.DUMMYFUNCTION("""COMPUTED_VALUE"""),"LL")</f>
        <v>LL</v>
      </c>
      <c r="R3713" s="6">
        <f>IFERROR(__xludf.DUMMYFUNCTION("""COMPUTED_VALUE"""),0.0)</f>
        <v>0</v>
      </c>
      <c r="S3713" s="6" t="str">
        <f>IFERROR(__xludf.DUMMYFUNCTION("""COMPUTED_VALUE""")," ")</f>
        <v> </v>
      </c>
      <c r="T3713" s="6" t="str">
        <f>IFERROR(__xludf.DUMMYFUNCTION("""COMPUTED_VALUE"""),"")</f>
        <v/>
      </c>
      <c r="U3713" s="6" t="str">
        <f>IFERROR(__xludf.DUMMYFUNCTION("""COMPUTED_VALUE"""),"K")</f>
        <v>K</v>
      </c>
      <c r="V3713" s="6" t="str">
        <f>IFERROR(__xludf.DUMMYFUNCTION("""COMPUTED_VALUE"""),"English")</f>
        <v>English</v>
      </c>
      <c r="W3713" s="6" t="str">
        <f>IFERROR(__xludf.DUMMYFUNCTION("""COMPUTED_VALUE"""),"[]")</f>
        <v>[]</v>
      </c>
      <c r="X3713" s="6" t="str">
        <f>IFERROR(__xludf.DUMMYFUNCTION("""COMPUTED_VALUE"""),"Enrolled")</f>
        <v>Enrolled</v>
      </c>
    </row>
    <row r="3714">
      <c r="A3714" s="6" t="str">
        <f>IFERROR(__xludf.DUMMYFUNCTION("""COMPUTED_VALUE"""),"065-6898")</f>
        <v>065-6898</v>
      </c>
      <c r="B3714" s="6" t="str">
        <f>IFERROR(__xludf.DUMMYFUNCTION("""COMPUTED_VALUE"""),"65")</f>
        <v>65</v>
      </c>
      <c r="C3714" s="6" t="str">
        <f>IFERROR(__xludf.DUMMYFUNCTION("""COMPUTED_VALUE"""),"6898")</f>
        <v>6898</v>
      </c>
      <c r="D3714" s="6" t="str">
        <f>IFERROR(__xludf.DUMMYFUNCTION("""COMPUTED_VALUE"""),"Ellie")</f>
        <v>Ellie</v>
      </c>
      <c r="E3714" s="6" t="str">
        <f>IFERROR(__xludf.DUMMYFUNCTION("""COMPUTED_VALUE"""),"")</f>
        <v/>
      </c>
      <c r="F3714" s="6" t="str">
        <f>IFERROR(__xludf.DUMMYFUNCTION("""COMPUTED_VALUE"""),"Valladares")</f>
        <v>Valladares</v>
      </c>
      <c r="G3714" s="6" t="str">
        <f>IFERROR(__xludf.DUMMYFUNCTION("""COMPUTED_VALUE"""),"01/15/2020")</f>
        <v>01/15/2020</v>
      </c>
      <c r="H3714" s="6" t="str">
        <f>IFERROR(__xludf.DUMMYFUNCTION("""COMPUTED_VALUE"""),"female")</f>
        <v>female</v>
      </c>
      <c r="I3714" s="6" t="str">
        <f>IFERROR(__xludf.DUMMYFUNCTION("""COMPUTED_VALUE"""),"Learning Lab")</f>
        <v>Learning Lab</v>
      </c>
      <c r="J3714" s="6" t="str">
        <f>IFERROR(__xludf.DUMMYFUNCTION("""COMPUTED_VALUE"""),"K")</f>
        <v>K</v>
      </c>
      <c r="K3714" s="6" t="str">
        <f>IFERROR(__xludf.DUMMYFUNCTION("""COMPUTED_VALUE"""),"ellie.valladares@2hourlearning.com")</f>
        <v>ellie.valladares@2hourlearning.com</v>
      </c>
      <c r="L3714" s="6" t="str">
        <f>IFERROR(__xludf.DUMMYFUNCTION("""COMPUTED_VALUE"""),"Immaculate Academy")</f>
        <v>Immaculate Academy</v>
      </c>
      <c r="M3714" s="6" t="str">
        <f>IFERROR(__xludf.DUMMYFUNCTION("""COMPUTED_VALUE"""),"")</f>
        <v/>
      </c>
      <c r="N3714" s="6" t="str">
        <f>IFERROR(__xludf.DUMMYFUNCTION("""COMPUTED_VALUE"""),"")</f>
        <v/>
      </c>
      <c r="O3714" s="87" t="str">
        <f>IFERROR(__xludf.DUMMYFUNCTION("""COMPUTED_VALUE"""),"https://drive.google.com/drive/folders/10T2cTQHqEJZqE-st6uFKPoI?usp=share_link")</f>
        <v>https://drive.google.com/drive/folders/10T2cTQHqEJZqE-st6uFKPoI?usp=share_link</v>
      </c>
      <c r="P3714" s="6" t="str">
        <f>IFERROR(__xludf.DUMMYFUNCTION("""COMPUTED_VALUE"""),"Ellie Valladares")</f>
        <v>Ellie Valladares</v>
      </c>
      <c r="Q3714" s="6" t="str">
        <f>IFERROR(__xludf.DUMMYFUNCTION("""COMPUTED_VALUE"""),"LL")</f>
        <v>LL</v>
      </c>
      <c r="R3714" s="6">
        <f>IFERROR(__xludf.DUMMYFUNCTION("""COMPUTED_VALUE"""),0.0)</f>
        <v>0</v>
      </c>
      <c r="S3714" s="6" t="str">
        <f>IFERROR(__xludf.DUMMYFUNCTION("""COMPUTED_VALUE""")," ")</f>
        <v> </v>
      </c>
      <c r="T3714" s="6" t="str">
        <f>IFERROR(__xludf.DUMMYFUNCTION("""COMPUTED_VALUE"""),"")</f>
        <v/>
      </c>
      <c r="U3714" s="6" t="str">
        <f>IFERROR(__xludf.DUMMYFUNCTION("""COMPUTED_VALUE"""),"K")</f>
        <v>K</v>
      </c>
      <c r="V3714" s="6" t="str">
        <f>IFERROR(__xludf.DUMMYFUNCTION("""COMPUTED_VALUE"""),"English")</f>
        <v>English</v>
      </c>
      <c r="W3714" s="6" t="str">
        <f>IFERROR(__xludf.DUMMYFUNCTION("""COMPUTED_VALUE"""),"[]")</f>
        <v>[]</v>
      </c>
      <c r="X3714" s="6" t="str">
        <f>IFERROR(__xludf.DUMMYFUNCTION("""COMPUTED_VALUE"""),"Enrolled")</f>
        <v>Enrolled</v>
      </c>
    </row>
    <row r="3715">
      <c r="A3715" s="6" t="str">
        <f>IFERROR(__xludf.DUMMYFUNCTION("""COMPUTED_VALUE"""),"066-6744")</f>
        <v>066-6744</v>
      </c>
      <c r="B3715" s="6" t="str">
        <f>IFERROR(__xludf.DUMMYFUNCTION("""COMPUTED_VALUE"""),"66")</f>
        <v>66</v>
      </c>
      <c r="C3715" s="6" t="str">
        <f>IFERROR(__xludf.DUMMYFUNCTION("""COMPUTED_VALUE"""),"6744")</f>
        <v>6744</v>
      </c>
      <c r="D3715" s="6" t="str">
        <f>IFERROR(__xludf.DUMMYFUNCTION("""COMPUTED_VALUE"""),"Talia")</f>
        <v>Talia</v>
      </c>
      <c r="E3715" s="6" t="str">
        <f>IFERROR(__xludf.DUMMYFUNCTION("""COMPUTED_VALUE"""),"")</f>
        <v/>
      </c>
      <c r="F3715" s="6" t="str">
        <f>IFERROR(__xludf.DUMMYFUNCTION("""COMPUTED_VALUE"""),"Braithwaite")</f>
        <v>Braithwaite</v>
      </c>
      <c r="G3715" s="6" t="str">
        <f>IFERROR(__xludf.DUMMYFUNCTION("""COMPUTED_VALUE"""),"07/20/2015")</f>
        <v>07/20/2015</v>
      </c>
      <c r="H3715" s="6" t="str">
        <f>IFERROR(__xludf.DUMMYFUNCTION("""COMPUTED_VALUE"""),"female")</f>
        <v>female</v>
      </c>
      <c r="I3715" s="6" t="str">
        <f>IFERROR(__xludf.DUMMYFUNCTION("""COMPUTED_VALUE"""),"Level 2")</f>
        <v>Level 2</v>
      </c>
      <c r="J3715" s="6" t="str">
        <f>IFERROR(__xludf.DUMMYFUNCTION("""COMPUTED_VALUE"""),"4")</f>
        <v>4</v>
      </c>
      <c r="K3715" s="6" t="str">
        <f>IFERROR(__xludf.DUMMYFUNCTION("""COMPUTED_VALUE"""),"talia.braithwaite@2hourlearning.com")</f>
        <v>talia.braithwaite@2hourlearning.com</v>
      </c>
      <c r="L3715" s="6" t="str">
        <f>IFERROR(__xludf.DUMMYFUNCTION("""COMPUTED_VALUE"""),"ScienceSIS")</f>
        <v>ScienceSIS</v>
      </c>
      <c r="M3715" s="6" t="str">
        <f>IFERROR(__xludf.DUMMYFUNCTION("""COMPUTED_VALUE"""),"")</f>
        <v/>
      </c>
      <c r="N3715" s="6" t="str">
        <f>IFERROR(__xludf.DUMMYFUNCTION("""COMPUTED_VALUE"""),"")</f>
        <v/>
      </c>
      <c r="O3715" s="87" t="str">
        <f>IFERROR(__xludf.DUMMYFUNCTION("""COMPUTED_VALUE"""),"https://drive.google.com/drive/folders/10T2cTQHqEJZqE-st6uFKPoI?usp=share_link")</f>
        <v>https://drive.google.com/drive/folders/10T2cTQHqEJZqE-st6uFKPoI?usp=share_link</v>
      </c>
      <c r="P3715" s="6" t="str">
        <f>IFERROR(__xludf.DUMMYFUNCTION("""COMPUTED_VALUE"""),"Talia Braithwaite")</f>
        <v>Talia Braithwaite</v>
      </c>
      <c r="Q3715" s="6" t="str">
        <f>IFERROR(__xludf.DUMMYFUNCTION("""COMPUTED_VALUE"""),"L2")</f>
        <v>L2</v>
      </c>
      <c r="R3715" s="6">
        <f>IFERROR(__xludf.DUMMYFUNCTION("""COMPUTED_VALUE"""),2.0)</f>
        <v>2</v>
      </c>
      <c r="S3715" s="6" t="str">
        <f>IFERROR(__xludf.DUMMYFUNCTION("""COMPUTED_VALUE""")," ")</f>
        <v> </v>
      </c>
      <c r="T3715" s="6" t="str">
        <f>IFERROR(__xludf.DUMMYFUNCTION("""COMPUTED_VALUE"""),"")</f>
        <v/>
      </c>
      <c r="U3715" s="6" t="str">
        <f>IFERROR(__xludf.DUMMYFUNCTION("""COMPUTED_VALUE"""),"4")</f>
        <v>4</v>
      </c>
      <c r="V3715" s="6" t="str">
        <f>IFERROR(__xludf.DUMMYFUNCTION("""COMPUTED_VALUE"""),"")</f>
        <v/>
      </c>
      <c r="W3715" s="6" t="str">
        <f>IFERROR(__xludf.DUMMYFUNCTION("""COMPUTED_VALUE"""),"[]")</f>
        <v>[]</v>
      </c>
      <c r="X3715" s="6" t="str">
        <f>IFERROR(__xludf.DUMMYFUNCTION("""COMPUTED_VALUE"""),"Enrolled")</f>
        <v>Enrolled</v>
      </c>
    </row>
    <row r="3716">
      <c r="A3716" s="6" t="str">
        <f>IFERROR(__xludf.DUMMYFUNCTION("""COMPUTED_VALUE"""),"066-6746")</f>
        <v>066-6746</v>
      </c>
      <c r="B3716" s="6" t="str">
        <f>IFERROR(__xludf.DUMMYFUNCTION("""COMPUTED_VALUE"""),"66")</f>
        <v>66</v>
      </c>
      <c r="C3716" s="6" t="str">
        <f>IFERROR(__xludf.DUMMYFUNCTION("""COMPUTED_VALUE"""),"6746")</f>
        <v>6746</v>
      </c>
      <c r="D3716" s="6" t="str">
        <f>IFERROR(__xludf.DUMMYFUNCTION("""COMPUTED_VALUE"""),"Kennedi")</f>
        <v>Kennedi</v>
      </c>
      <c r="E3716" s="6" t="str">
        <f>IFERROR(__xludf.DUMMYFUNCTION("""COMPUTED_VALUE"""),"")</f>
        <v/>
      </c>
      <c r="F3716" s="6" t="str">
        <f>IFERROR(__xludf.DUMMYFUNCTION("""COMPUTED_VALUE"""),"Bruning")</f>
        <v>Bruning</v>
      </c>
      <c r="G3716" s="6" t="str">
        <f>IFERROR(__xludf.DUMMYFUNCTION("""COMPUTED_VALUE"""),"12/13/2014")</f>
        <v>12/13/2014</v>
      </c>
      <c r="H3716" s="6" t="str">
        <f>IFERROR(__xludf.DUMMYFUNCTION("""COMPUTED_VALUE"""),"female")</f>
        <v>female</v>
      </c>
      <c r="I3716" s="6" t="str">
        <f>IFERROR(__xludf.DUMMYFUNCTION("""COMPUTED_VALUE"""),"Level 2")</f>
        <v>Level 2</v>
      </c>
      <c r="J3716" s="6" t="str">
        <f>IFERROR(__xludf.DUMMYFUNCTION("""COMPUTED_VALUE"""),"5")</f>
        <v>5</v>
      </c>
      <c r="K3716" s="6" t="str">
        <f>IFERROR(__xludf.DUMMYFUNCTION("""COMPUTED_VALUE"""),"kennedi.bruning@2hourlearning.com")</f>
        <v>kennedi.bruning@2hourlearning.com</v>
      </c>
      <c r="L3716" s="6" t="str">
        <f>IFERROR(__xludf.DUMMYFUNCTION("""COMPUTED_VALUE"""),"ScienceSIS")</f>
        <v>ScienceSIS</v>
      </c>
      <c r="M3716" s="6" t="str">
        <f>IFERROR(__xludf.DUMMYFUNCTION("""COMPUTED_VALUE"""),"")</f>
        <v/>
      </c>
      <c r="N3716" s="6" t="str">
        <f>IFERROR(__xludf.DUMMYFUNCTION("""COMPUTED_VALUE"""),"")</f>
        <v/>
      </c>
      <c r="O3716" s="87" t="str">
        <f>IFERROR(__xludf.DUMMYFUNCTION("""COMPUTED_VALUE"""),"https://drive.google.com/drive/folders/10T2cTQHqEJZqE-st6uFKPoI?usp=share_link")</f>
        <v>https://drive.google.com/drive/folders/10T2cTQHqEJZqE-st6uFKPoI?usp=share_link</v>
      </c>
      <c r="P3716" s="6" t="str">
        <f>IFERROR(__xludf.DUMMYFUNCTION("""COMPUTED_VALUE"""),"Kennedi Bruning")</f>
        <v>Kennedi Bruning</v>
      </c>
      <c r="Q3716" s="6" t="str">
        <f>IFERROR(__xludf.DUMMYFUNCTION("""COMPUTED_VALUE"""),"L2")</f>
        <v>L2</v>
      </c>
      <c r="R3716" s="6">
        <f>IFERROR(__xludf.DUMMYFUNCTION("""COMPUTED_VALUE"""),2.0)</f>
        <v>2</v>
      </c>
      <c r="S3716" s="6" t="str">
        <f>IFERROR(__xludf.DUMMYFUNCTION("""COMPUTED_VALUE""")," ")</f>
        <v> </v>
      </c>
      <c r="T3716" s="6" t="str">
        <f>IFERROR(__xludf.DUMMYFUNCTION("""COMPUTED_VALUE"""),"")</f>
        <v/>
      </c>
      <c r="U3716" s="6" t="str">
        <f>IFERROR(__xludf.DUMMYFUNCTION("""COMPUTED_VALUE"""),"5")</f>
        <v>5</v>
      </c>
      <c r="V3716" s="6" t="str">
        <f>IFERROR(__xludf.DUMMYFUNCTION("""COMPUTED_VALUE"""),"")</f>
        <v/>
      </c>
      <c r="W3716" s="6" t="str">
        <f>IFERROR(__xludf.DUMMYFUNCTION("""COMPUTED_VALUE"""),"[]")</f>
        <v>[]</v>
      </c>
      <c r="X3716" s="6" t="str">
        <f>IFERROR(__xludf.DUMMYFUNCTION("""COMPUTED_VALUE"""),"Enrolled")</f>
        <v>Enrolled</v>
      </c>
    </row>
    <row r="3717">
      <c r="A3717" s="6" t="str">
        <f>IFERROR(__xludf.DUMMYFUNCTION("""COMPUTED_VALUE"""),"066-6748")</f>
        <v>066-6748</v>
      </c>
      <c r="B3717" s="6" t="str">
        <f>IFERROR(__xludf.DUMMYFUNCTION("""COMPUTED_VALUE"""),"66")</f>
        <v>66</v>
      </c>
      <c r="C3717" s="6" t="str">
        <f>IFERROR(__xludf.DUMMYFUNCTION("""COMPUTED_VALUE"""),"6748")</f>
        <v>6748</v>
      </c>
      <c r="D3717" s="6" t="str">
        <f>IFERROR(__xludf.DUMMYFUNCTION("""COMPUTED_VALUE"""),"Rozariah")</f>
        <v>Rozariah</v>
      </c>
      <c r="E3717" s="6" t="str">
        <f>IFERROR(__xludf.DUMMYFUNCTION("""COMPUTED_VALUE"""),"")</f>
        <v/>
      </c>
      <c r="F3717" s="6" t="str">
        <f>IFERROR(__xludf.DUMMYFUNCTION("""COMPUTED_VALUE"""),"Coney")</f>
        <v>Coney</v>
      </c>
      <c r="G3717" s="6" t="str">
        <f>IFERROR(__xludf.DUMMYFUNCTION("""COMPUTED_VALUE"""),"12/11/2014")</f>
        <v>12/11/2014</v>
      </c>
      <c r="H3717" s="6" t="str">
        <f>IFERROR(__xludf.DUMMYFUNCTION("""COMPUTED_VALUE"""),"female")</f>
        <v>female</v>
      </c>
      <c r="I3717" s="6" t="str">
        <f>IFERROR(__xludf.DUMMYFUNCTION("""COMPUTED_VALUE"""),"Level 2")</f>
        <v>Level 2</v>
      </c>
      <c r="J3717" s="6" t="str">
        <f>IFERROR(__xludf.DUMMYFUNCTION("""COMPUTED_VALUE"""),"5")</f>
        <v>5</v>
      </c>
      <c r="K3717" s="6" t="str">
        <f>IFERROR(__xludf.DUMMYFUNCTION("""COMPUTED_VALUE"""),"rozariah.coney@2hourlearning.com")</f>
        <v>rozariah.coney@2hourlearning.com</v>
      </c>
      <c r="L3717" s="6" t="str">
        <f>IFERROR(__xludf.DUMMYFUNCTION("""COMPUTED_VALUE"""),"ScienceSIS")</f>
        <v>ScienceSIS</v>
      </c>
      <c r="M3717" s="6" t="str">
        <f>IFERROR(__xludf.DUMMYFUNCTION("""COMPUTED_VALUE"""),"")</f>
        <v/>
      </c>
      <c r="N3717" s="6" t="str">
        <f>IFERROR(__xludf.DUMMYFUNCTION("""COMPUTED_VALUE"""),"")</f>
        <v/>
      </c>
      <c r="O3717" s="87" t="str">
        <f>IFERROR(__xludf.DUMMYFUNCTION("""COMPUTED_VALUE"""),"https://drive.google.com/drive/folders/10T2cTQHqEJZqE-st6uFKPoI?usp=share_link")</f>
        <v>https://drive.google.com/drive/folders/10T2cTQHqEJZqE-st6uFKPoI?usp=share_link</v>
      </c>
      <c r="P3717" s="6" t="str">
        <f>IFERROR(__xludf.DUMMYFUNCTION("""COMPUTED_VALUE"""),"Rozariah Coney")</f>
        <v>Rozariah Coney</v>
      </c>
      <c r="Q3717" s="6" t="str">
        <f>IFERROR(__xludf.DUMMYFUNCTION("""COMPUTED_VALUE"""),"L2")</f>
        <v>L2</v>
      </c>
      <c r="R3717" s="6">
        <f>IFERROR(__xludf.DUMMYFUNCTION("""COMPUTED_VALUE"""),2.0)</f>
        <v>2</v>
      </c>
      <c r="S3717" s="6" t="str">
        <f>IFERROR(__xludf.DUMMYFUNCTION("""COMPUTED_VALUE""")," ")</f>
        <v> </v>
      </c>
      <c r="T3717" s="6" t="str">
        <f>IFERROR(__xludf.DUMMYFUNCTION("""COMPUTED_VALUE"""),"")</f>
        <v/>
      </c>
      <c r="U3717" s="6" t="str">
        <f>IFERROR(__xludf.DUMMYFUNCTION("""COMPUTED_VALUE"""),"5")</f>
        <v>5</v>
      </c>
      <c r="V3717" s="6" t="str">
        <f>IFERROR(__xludf.DUMMYFUNCTION("""COMPUTED_VALUE"""),"")</f>
        <v/>
      </c>
      <c r="W3717" s="6" t="str">
        <f>IFERROR(__xludf.DUMMYFUNCTION("""COMPUTED_VALUE"""),"[]")</f>
        <v>[]</v>
      </c>
      <c r="X3717" s="6" t="str">
        <f>IFERROR(__xludf.DUMMYFUNCTION("""COMPUTED_VALUE"""),"Enrolled")</f>
        <v>Enrolled</v>
      </c>
    </row>
    <row r="3718">
      <c r="A3718" s="6" t="str">
        <f>IFERROR(__xludf.DUMMYFUNCTION("""COMPUTED_VALUE"""),"066-6751")</f>
        <v>066-6751</v>
      </c>
      <c r="B3718" s="6" t="str">
        <f>IFERROR(__xludf.DUMMYFUNCTION("""COMPUTED_VALUE"""),"66")</f>
        <v>66</v>
      </c>
      <c r="C3718" s="6" t="str">
        <f>IFERROR(__xludf.DUMMYFUNCTION("""COMPUTED_VALUE"""),"6751")</f>
        <v>6751</v>
      </c>
      <c r="D3718" s="6" t="str">
        <f>IFERROR(__xludf.DUMMYFUNCTION("""COMPUTED_VALUE"""),"Mackenzie")</f>
        <v>Mackenzie</v>
      </c>
      <c r="E3718" s="6" t="str">
        <f>IFERROR(__xludf.DUMMYFUNCTION("""COMPUTED_VALUE"""),"")</f>
        <v/>
      </c>
      <c r="F3718" s="6" t="str">
        <f>IFERROR(__xludf.DUMMYFUNCTION("""COMPUTED_VALUE"""),"Crum")</f>
        <v>Crum</v>
      </c>
      <c r="G3718" s="6" t="str">
        <f>IFERROR(__xludf.DUMMYFUNCTION("""COMPUTED_VALUE"""),"02/25/2016")</f>
        <v>02/25/2016</v>
      </c>
      <c r="H3718" s="6" t="str">
        <f>IFERROR(__xludf.DUMMYFUNCTION("""COMPUTED_VALUE"""),"female")</f>
        <v>female</v>
      </c>
      <c r="I3718" s="6" t="str">
        <f>IFERROR(__xludf.DUMMYFUNCTION("""COMPUTED_VALUE"""),"Level 2")</f>
        <v>Level 2</v>
      </c>
      <c r="J3718" s="6" t="str">
        <f>IFERROR(__xludf.DUMMYFUNCTION("""COMPUTED_VALUE"""),"4")</f>
        <v>4</v>
      </c>
      <c r="K3718" s="6" t="str">
        <f>IFERROR(__xludf.DUMMYFUNCTION("""COMPUTED_VALUE"""),"mackenzie.crum@2hourlearning.com")</f>
        <v>mackenzie.crum@2hourlearning.com</v>
      </c>
      <c r="L3718" s="6" t="str">
        <f>IFERROR(__xludf.DUMMYFUNCTION("""COMPUTED_VALUE"""),"ScienceSIS")</f>
        <v>ScienceSIS</v>
      </c>
      <c r="M3718" s="6" t="str">
        <f>IFERROR(__xludf.DUMMYFUNCTION("""COMPUTED_VALUE"""),"")</f>
        <v/>
      </c>
      <c r="N3718" s="6" t="str">
        <f>IFERROR(__xludf.DUMMYFUNCTION("""COMPUTED_VALUE"""),"")</f>
        <v/>
      </c>
      <c r="O3718" s="87" t="str">
        <f>IFERROR(__xludf.DUMMYFUNCTION("""COMPUTED_VALUE"""),"https://drive.google.com/drive/folders/10T2cTQHqEJZqE-st6uFKPoI?usp=share_link")</f>
        <v>https://drive.google.com/drive/folders/10T2cTQHqEJZqE-st6uFKPoI?usp=share_link</v>
      </c>
      <c r="P3718" s="6" t="str">
        <f>IFERROR(__xludf.DUMMYFUNCTION("""COMPUTED_VALUE"""),"Mackenzie Crum")</f>
        <v>Mackenzie Crum</v>
      </c>
      <c r="Q3718" s="6" t="str">
        <f>IFERROR(__xludf.DUMMYFUNCTION("""COMPUTED_VALUE"""),"L2")</f>
        <v>L2</v>
      </c>
      <c r="R3718" s="6">
        <f>IFERROR(__xludf.DUMMYFUNCTION("""COMPUTED_VALUE"""),2.0)</f>
        <v>2</v>
      </c>
      <c r="S3718" s="6" t="str">
        <f>IFERROR(__xludf.DUMMYFUNCTION("""COMPUTED_VALUE""")," ")</f>
        <v> </v>
      </c>
      <c r="T3718" s="6" t="str">
        <f>IFERROR(__xludf.DUMMYFUNCTION("""COMPUTED_VALUE"""),"")</f>
        <v/>
      </c>
      <c r="U3718" s="6" t="str">
        <f>IFERROR(__xludf.DUMMYFUNCTION("""COMPUTED_VALUE"""),"4")</f>
        <v>4</v>
      </c>
      <c r="V3718" s="6" t="str">
        <f>IFERROR(__xludf.DUMMYFUNCTION("""COMPUTED_VALUE"""),"")</f>
        <v/>
      </c>
      <c r="W3718" s="6" t="str">
        <f>IFERROR(__xludf.DUMMYFUNCTION("""COMPUTED_VALUE"""),"[]")</f>
        <v>[]</v>
      </c>
      <c r="X3718" s="6" t="str">
        <f>IFERROR(__xludf.DUMMYFUNCTION("""COMPUTED_VALUE"""),"Enrolled")</f>
        <v>Enrolled</v>
      </c>
    </row>
    <row r="3719">
      <c r="A3719" s="6" t="str">
        <f>IFERROR(__xludf.DUMMYFUNCTION("""COMPUTED_VALUE"""),"066-6752")</f>
        <v>066-6752</v>
      </c>
      <c r="B3719" s="6" t="str">
        <f>IFERROR(__xludf.DUMMYFUNCTION("""COMPUTED_VALUE"""),"66")</f>
        <v>66</v>
      </c>
      <c r="C3719" s="6" t="str">
        <f>IFERROR(__xludf.DUMMYFUNCTION("""COMPUTED_VALUE"""),"6752")</f>
        <v>6752</v>
      </c>
      <c r="D3719" s="6" t="str">
        <f>IFERROR(__xludf.DUMMYFUNCTION("""COMPUTED_VALUE"""),"Jaedyn-Lee")</f>
        <v>Jaedyn-Lee</v>
      </c>
      <c r="E3719" s="6" t="str">
        <f>IFERROR(__xludf.DUMMYFUNCTION("""COMPUTED_VALUE"""),"")</f>
        <v/>
      </c>
      <c r="F3719" s="6" t="str">
        <f>IFERROR(__xludf.DUMMYFUNCTION("""COMPUTED_VALUE"""),"Daniels")</f>
        <v>Daniels</v>
      </c>
      <c r="G3719" s="6" t="str">
        <f>IFERROR(__xludf.DUMMYFUNCTION("""COMPUTED_VALUE"""),"07/11/2014")</f>
        <v>07/11/2014</v>
      </c>
      <c r="H3719" s="6" t="str">
        <f>IFERROR(__xludf.DUMMYFUNCTION("""COMPUTED_VALUE"""),"female")</f>
        <v>female</v>
      </c>
      <c r="I3719" s="6" t="str">
        <f>IFERROR(__xludf.DUMMYFUNCTION("""COMPUTED_VALUE"""),"Middle School")</f>
        <v>Middle School</v>
      </c>
      <c r="J3719" s="6" t="str">
        <f>IFERROR(__xludf.DUMMYFUNCTION("""COMPUTED_VALUE"""),"6")</f>
        <v>6</v>
      </c>
      <c r="K3719" s="6" t="str">
        <f>IFERROR(__xludf.DUMMYFUNCTION("""COMPUTED_VALUE"""),"jaedyn-lee.daniels@2hourlearning.com")</f>
        <v>jaedyn-lee.daniels@2hourlearning.com</v>
      </c>
      <c r="L3719" s="6" t="str">
        <f>IFERROR(__xludf.DUMMYFUNCTION("""COMPUTED_VALUE"""),"ScienceSIS")</f>
        <v>ScienceSIS</v>
      </c>
      <c r="M3719" s="6" t="str">
        <f>IFERROR(__xludf.DUMMYFUNCTION("""COMPUTED_VALUE"""),"")</f>
        <v/>
      </c>
      <c r="N3719" s="6" t="str">
        <f>IFERROR(__xludf.DUMMYFUNCTION("""COMPUTED_VALUE"""),"")</f>
        <v/>
      </c>
      <c r="O3719" s="87" t="str">
        <f>IFERROR(__xludf.DUMMYFUNCTION("""COMPUTED_VALUE"""),"https://drive.google.com/drive/folders/10T2cTQHqEJZqE-st6uFKPoI?usp=share_link")</f>
        <v>https://drive.google.com/drive/folders/10T2cTQHqEJZqE-st6uFKPoI?usp=share_link</v>
      </c>
      <c r="P3719" s="6" t="str">
        <f>IFERROR(__xludf.DUMMYFUNCTION("""COMPUTED_VALUE"""),"Jaedyn-Lee Daniels")</f>
        <v>Jaedyn-Lee Daniels</v>
      </c>
      <c r="Q3719" s="6" t="str">
        <f>IFERROR(__xludf.DUMMYFUNCTION("""COMPUTED_VALUE"""),"MS")</f>
        <v>MS</v>
      </c>
      <c r="R3719" s="6">
        <f>IFERROR(__xludf.DUMMYFUNCTION("""COMPUTED_VALUE"""),0.0)</f>
        <v>0</v>
      </c>
      <c r="S3719" s="6" t="str">
        <f>IFERROR(__xludf.DUMMYFUNCTION("""COMPUTED_VALUE""")," ")</f>
        <v> </v>
      </c>
      <c r="T3719" s="6" t="str">
        <f>IFERROR(__xludf.DUMMYFUNCTION("""COMPUTED_VALUE"""),"")</f>
        <v/>
      </c>
      <c r="U3719" s="6" t="str">
        <f>IFERROR(__xludf.DUMMYFUNCTION("""COMPUTED_VALUE"""),"6")</f>
        <v>6</v>
      </c>
      <c r="V3719" s="6" t="str">
        <f>IFERROR(__xludf.DUMMYFUNCTION("""COMPUTED_VALUE"""),"")</f>
        <v/>
      </c>
      <c r="W3719" s="6" t="str">
        <f>IFERROR(__xludf.DUMMYFUNCTION("""COMPUTED_VALUE"""),"[]")</f>
        <v>[]</v>
      </c>
      <c r="X3719" s="6" t="str">
        <f>IFERROR(__xludf.DUMMYFUNCTION("""COMPUTED_VALUE"""),"Enrolled")</f>
        <v>Enrolled</v>
      </c>
    </row>
    <row r="3720">
      <c r="A3720" s="6" t="str">
        <f>IFERROR(__xludf.DUMMYFUNCTION("""COMPUTED_VALUE"""),"066-6753")</f>
        <v>066-6753</v>
      </c>
      <c r="B3720" s="6" t="str">
        <f>IFERROR(__xludf.DUMMYFUNCTION("""COMPUTED_VALUE"""),"66")</f>
        <v>66</v>
      </c>
      <c r="C3720" s="6" t="str">
        <f>IFERROR(__xludf.DUMMYFUNCTION("""COMPUTED_VALUE"""),"6753")</f>
        <v>6753</v>
      </c>
      <c r="D3720" s="6" t="str">
        <f>IFERROR(__xludf.DUMMYFUNCTION("""COMPUTED_VALUE"""),"Malaya")</f>
        <v>Malaya</v>
      </c>
      <c r="E3720" s="6" t="str">
        <f>IFERROR(__xludf.DUMMYFUNCTION("""COMPUTED_VALUE"""),"")</f>
        <v/>
      </c>
      <c r="F3720" s="6" t="str">
        <f>IFERROR(__xludf.DUMMYFUNCTION("""COMPUTED_VALUE"""),"Dove")</f>
        <v>Dove</v>
      </c>
      <c r="G3720" s="6" t="str">
        <f>IFERROR(__xludf.DUMMYFUNCTION("""COMPUTED_VALUE"""),"01/27/2014")</f>
        <v>01/27/2014</v>
      </c>
      <c r="H3720" s="6" t="str">
        <f>IFERROR(__xludf.DUMMYFUNCTION("""COMPUTED_VALUE"""),"female")</f>
        <v>female</v>
      </c>
      <c r="I3720" s="6" t="str">
        <f>IFERROR(__xludf.DUMMYFUNCTION("""COMPUTED_VALUE"""),"Middle School")</f>
        <v>Middle School</v>
      </c>
      <c r="J3720" s="6" t="str">
        <f>IFERROR(__xludf.DUMMYFUNCTION("""COMPUTED_VALUE"""),"6")</f>
        <v>6</v>
      </c>
      <c r="K3720" s="6" t="str">
        <f>IFERROR(__xludf.DUMMYFUNCTION("""COMPUTED_VALUE"""),"malaya.dove@2hourlearning.com")</f>
        <v>malaya.dove@2hourlearning.com</v>
      </c>
      <c r="L3720" s="6" t="str">
        <f>IFERROR(__xludf.DUMMYFUNCTION("""COMPUTED_VALUE"""),"ScienceSIS")</f>
        <v>ScienceSIS</v>
      </c>
      <c r="M3720" s="6" t="str">
        <f>IFERROR(__xludf.DUMMYFUNCTION("""COMPUTED_VALUE"""),"")</f>
        <v/>
      </c>
      <c r="N3720" s="6" t="str">
        <f>IFERROR(__xludf.DUMMYFUNCTION("""COMPUTED_VALUE"""),"")</f>
        <v/>
      </c>
      <c r="O3720" s="87" t="str">
        <f>IFERROR(__xludf.DUMMYFUNCTION("""COMPUTED_VALUE"""),"https://drive.google.com/drive/folders/10T2cTQHqEJZqE-st6uFKPoI?usp=share_link")</f>
        <v>https://drive.google.com/drive/folders/10T2cTQHqEJZqE-st6uFKPoI?usp=share_link</v>
      </c>
      <c r="P3720" s="6" t="str">
        <f>IFERROR(__xludf.DUMMYFUNCTION("""COMPUTED_VALUE"""),"Malaya Dove")</f>
        <v>Malaya Dove</v>
      </c>
      <c r="Q3720" s="6" t="str">
        <f>IFERROR(__xludf.DUMMYFUNCTION("""COMPUTED_VALUE"""),"MS")</f>
        <v>MS</v>
      </c>
      <c r="R3720" s="6">
        <f>IFERROR(__xludf.DUMMYFUNCTION("""COMPUTED_VALUE"""),0.0)</f>
        <v>0</v>
      </c>
      <c r="S3720" s="6" t="str">
        <f>IFERROR(__xludf.DUMMYFUNCTION("""COMPUTED_VALUE""")," ")</f>
        <v> </v>
      </c>
      <c r="T3720" s="6" t="str">
        <f>IFERROR(__xludf.DUMMYFUNCTION("""COMPUTED_VALUE"""),"")</f>
        <v/>
      </c>
      <c r="U3720" s="6" t="str">
        <f>IFERROR(__xludf.DUMMYFUNCTION("""COMPUTED_VALUE"""),"6")</f>
        <v>6</v>
      </c>
      <c r="V3720" s="6" t="str">
        <f>IFERROR(__xludf.DUMMYFUNCTION("""COMPUTED_VALUE"""),"")</f>
        <v/>
      </c>
      <c r="W3720" s="6" t="str">
        <f>IFERROR(__xludf.DUMMYFUNCTION("""COMPUTED_VALUE"""),"[]")</f>
        <v>[]</v>
      </c>
      <c r="X3720" s="6" t="str">
        <f>IFERROR(__xludf.DUMMYFUNCTION("""COMPUTED_VALUE"""),"Enrolled")</f>
        <v>Enrolled</v>
      </c>
    </row>
    <row r="3721">
      <c r="A3721" s="6" t="str">
        <f>IFERROR(__xludf.DUMMYFUNCTION("""COMPUTED_VALUE"""),"066-6755")</f>
        <v>066-6755</v>
      </c>
      <c r="B3721" s="6" t="str">
        <f>IFERROR(__xludf.DUMMYFUNCTION("""COMPUTED_VALUE"""),"66")</f>
        <v>66</v>
      </c>
      <c r="C3721" s="6" t="str">
        <f>IFERROR(__xludf.DUMMYFUNCTION("""COMPUTED_VALUE"""),"6755")</f>
        <v>6755</v>
      </c>
      <c r="D3721" s="6" t="str">
        <f>IFERROR(__xludf.DUMMYFUNCTION("""COMPUTED_VALUE"""),"Noelle")</f>
        <v>Noelle</v>
      </c>
      <c r="E3721" s="6" t="str">
        <f>IFERROR(__xludf.DUMMYFUNCTION("""COMPUTED_VALUE"""),"")</f>
        <v/>
      </c>
      <c r="F3721" s="6" t="str">
        <f>IFERROR(__xludf.DUMMYFUNCTION("""COMPUTED_VALUE"""),"Fedele")</f>
        <v>Fedele</v>
      </c>
      <c r="G3721" s="6" t="str">
        <f>IFERROR(__xludf.DUMMYFUNCTION("""COMPUTED_VALUE"""),"06/17/2014")</f>
        <v>06/17/2014</v>
      </c>
      <c r="H3721" s="6" t="str">
        <f>IFERROR(__xludf.DUMMYFUNCTION("""COMPUTED_VALUE"""),"female")</f>
        <v>female</v>
      </c>
      <c r="I3721" s="6" t="str">
        <f>IFERROR(__xludf.DUMMYFUNCTION("""COMPUTED_VALUE"""),"Middle School")</f>
        <v>Middle School</v>
      </c>
      <c r="J3721" s="6" t="str">
        <f>IFERROR(__xludf.DUMMYFUNCTION("""COMPUTED_VALUE"""),"6")</f>
        <v>6</v>
      </c>
      <c r="K3721" s="6" t="str">
        <f>IFERROR(__xludf.DUMMYFUNCTION("""COMPUTED_VALUE"""),"noelle.fedele@2hourlearning.com")</f>
        <v>noelle.fedele@2hourlearning.com</v>
      </c>
      <c r="L3721" s="6" t="str">
        <f>IFERROR(__xludf.DUMMYFUNCTION("""COMPUTED_VALUE"""),"ScienceSIS")</f>
        <v>ScienceSIS</v>
      </c>
      <c r="M3721" s="6" t="str">
        <f>IFERROR(__xludf.DUMMYFUNCTION("""COMPUTED_VALUE"""),"")</f>
        <v/>
      </c>
      <c r="N3721" s="6" t="str">
        <f>IFERROR(__xludf.DUMMYFUNCTION("""COMPUTED_VALUE"""),"")</f>
        <v/>
      </c>
      <c r="O3721" s="87" t="str">
        <f>IFERROR(__xludf.DUMMYFUNCTION("""COMPUTED_VALUE"""),"https://drive.google.com/drive/folders/10T2cTQHqEJZqE-st6uFKPoI?usp=share_link")</f>
        <v>https://drive.google.com/drive/folders/10T2cTQHqEJZqE-st6uFKPoI?usp=share_link</v>
      </c>
      <c r="P3721" s="6" t="str">
        <f>IFERROR(__xludf.DUMMYFUNCTION("""COMPUTED_VALUE"""),"Noelle Fedele")</f>
        <v>Noelle Fedele</v>
      </c>
      <c r="Q3721" s="6" t="str">
        <f>IFERROR(__xludf.DUMMYFUNCTION("""COMPUTED_VALUE"""),"MS")</f>
        <v>MS</v>
      </c>
      <c r="R3721" s="6">
        <f>IFERROR(__xludf.DUMMYFUNCTION("""COMPUTED_VALUE"""),0.0)</f>
        <v>0</v>
      </c>
      <c r="S3721" s="6" t="str">
        <f>IFERROR(__xludf.DUMMYFUNCTION("""COMPUTED_VALUE""")," ")</f>
        <v> </v>
      </c>
      <c r="T3721" s="6" t="str">
        <f>IFERROR(__xludf.DUMMYFUNCTION("""COMPUTED_VALUE"""),"")</f>
        <v/>
      </c>
      <c r="U3721" s="6" t="str">
        <f>IFERROR(__xludf.DUMMYFUNCTION("""COMPUTED_VALUE"""),"6")</f>
        <v>6</v>
      </c>
      <c r="V3721" s="6" t="str">
        <f>IFERROR(__xludf.DUMMYFUNCTION("""COMPUTED_VALUE"""),"")</f>
        <v/>
      </c>
      <c r="W3721" s="6" t="str">
        <f>IFERROR(__xludf.DUMMYFUNCTION("""COMPUTED_VALUE"""),"[]")</f>
        <v>[]</v>
      </c>
      <c r="X3721" s="6" t="str">
        <f>IFERROR(__xludf.DUMMYFUNCTION("""COMPUTED_VALUE"""),"Enrolled")</f>
        <v>Enrolled</v>
      </c>
    </row>
    <row r="3722">
      <c r="A3722" s="6" t="str">
        <f>IFERROR(__xludf.DUMMYFUNCTION("""COMPUTED_VALUE"""),"066-6756")</f>
        <v>066-6756</v>
      </c>
      <c r="B3722" s="6" t="str">
        <f>IFERROR(__xludf.DUMMYFUNCTION("""COMPUTED_VALUE"""),"66")</f>
        <v>66</v>
      </c>
      <c r="C3722" s="6" t="str">
        <f>IFERROR(__xludf.DUMMYFUNCTION("""COMPUTED_VALUE"""),"6756")</f>
        <v>6756</v>
      </c>
      <c r="D3722" s="6" t="str">
        <f>IFERROR(__xludf.DUMMYFUNCTION("""COMPUTED_VALUE"""),"Charlotte")</f>
        <v>Charlotte</v>
      </c>
      <c r="E3722" s="6" t="str">
        <f>IFERROR(__xludf.DUMMYFUNCTION("""COMPUTED_VALUE"""),"")</f>
        <v/>
      </c>
      <c r="F3722" s="6" t="str">
        <f>IFERROR(__xludf.DUMMYFUNCTION("""COMPUTED_VALUE"""),"Fedele")</f>
        <v>Fedele</v>
      </c>
      <c r="G3722" s="6" t="str">
        <f>IFERROR(__xludf.DUMMYFUNCTION("""COMPUTED_VALUE"""),"06/28/2017")</f>
        <v>06/28/2017</v>
      </c>
      <c r="H3722" s="6" t="str">
        <f>IFERROR(__xludf.DUMMYFUNCTION("""COMPUTED_VALUE"""),"female")</f>
        <v>female</v>
      </c>
      <c r="I3722" s="6" t="str">
        <f>IFERROR(__xludf.DUMMYFUNCTION("""COMPUTED_VALUE"""),"Level 1")</f>
        <v>Level 1</v>
      </c>
      <c r="J3722" s="6" t="str">
        <f>IFERROR(__xludf.DUMMYFUNCTION("""COMPUTED_VALUE"""),"3")</f>
        <v>3</v>
      </c>
      <c r="K3722" s="6" t="str">
        <f>IFERROR(__xludf.DUMMYFUNCTION("""COMPUTED_VALUE"""),"charlotte.fedele@2hourlearning.com")</f>
        <v>charlotte.fedele@2hourlearning.com</v>
      </c>
      <c r="L3722" s="6" t="str">
        <f>IFERROR(__xludf.DUMMYFUNCTION("""COMPUTED_VALUE"""),"ScienceSIS")</f>
        <v>ScienceSIS</v>
      </c>
      <c r="M3722" s="6" t="str">
        <f>IFERROR(__xludf.DUMMYFUNCTION("""COMPUTED_VALUE"""),"")</f>
        <v/>
      </c>
      <c r="N3722" s="6" t="str">
        <f>IFERROR(__xludf.DUMMYFUNCTION("""COMPUTED_VALUE"""),"")</f>
        <v/>
      </c>
      <c r="O3722" s="87" t="str">
        <f>IFERROR(__xludf.DUMMYFUNCTION("""COMPUTED_VALUE"""),"https://drive.google.com/drive/folders/10T2cTQHqEJZqE-st6uFKPoI?usp=share_link")</f>
        <v>https://drive.google.com/drive/folders/10T2cTQHqEJZqE-st6uFKPoI?usp=share_link</v>
      </c>
      <c r="P3722" s="6" t="str">
        <f>IFERROR(__xludf.DUMMYFUNCTION("""COMPUTED_VALUE"""),"Charlotte Fedele")</f>
        <v>Charlotte Fedele</v>
      </c>
      <c r="Q3722" s="6" t="str">
        <f>IFERROR(__xludf.DUMMYFUNCTION("""COMPUTED_VALUE"""),"L1")</f>
        <v>L1</v>
      </c>
      <c r="R3722" s="6">
        <f>IFERROR(__xludf.DUMMYFUNCTION("""COMPUTED_VALUE"""),1.0)</f>
        <v>1</v>
      </c>
      <c r="S3722" s="6" t="str">
        <f>IFERROR(__xludf.DUMMYFUNCTION("""COMPUTED_VALUE""")," ")</f>
        <v> </v>
      </c>
      <c r="T3722" s="6" t="str">
        <f>IFERROR(__xludf.DUMMYFUNCTION("""COMPUTED_VALUE"""),"")</f>
        <v/>
      </c>
      <c r="U3722" s="6" t="str">
        <f>IFERROR(__xludf.DUMMYFUNCTION("""COMPUTED_VALUE"""),"3")</f>
        <v>3</v>
      </c>
      <c r="V3722" s="6" t="str">
        <f>IFERROR(__xludf.DUMMYFUNCTION("""COMPUTED_VALUE"""),"")</f>
        <v/>
      </c>
      <c r="W3722" s="6" t="str">
        <f>IFERROR(__xludf.DUMMYFUNCTION("""COMPUTED_VALUE"""),"[]")</f>
        <v>[]</v>
      </c>
      <c r="X3722" s="6" t="str">
        <f>IFERROR(__xludf.DUMMYFUNCTION("""COMPUTED_VALUE"""),"Enrolled")</f>
        <v>Enrolled</v>
      </c>
    </row>
    <row r="3723">
      <c r="A3723" s="6" t="str">
        <f>IFERROR(__xludf.DUMMYFUNCTION("""COMPUTED_VALUE"""),"066-6757")</f>
        <v>066-6757</v>
      </c>
      <c r="B3723" s="6" t="str">
        <f>IFERROR(__xludf.DUMMYFUNCTION("""COMPUTED_VALUE"""),"66")</f>
        <v>66</v>
      </c>
      <c r="C3723" s="6" t="str">
        <f>IFERROR(__xludf.DUMMYFUNCTION("""COMPUTED_VALUE"""),"6757")</f>
        <v>6757</v>
      </c>
      <c r="D3723" s="6" t="str">
        <f>IFERROR(__xludf.DUMMYFUNCTION("""COMPUTED_VALUE"""),"Abbie")</f>
        <v>Abbie</v>
      </c>
      <c r="E3723" s="6" t="str">
        <f>IFERROR(__xludf.DUMMYFUNCTION("""COMPUTED_VALUE"""),"")</f>
        <v/>
      </c>
      <c r="F3723" s="6" t="str">
        <f>IFERROR(__xludf.DUMMYFUNCTION("""COMPUTED_VALUE"""),"Gale")</f>
        <v>Gale</v>
      </c>
      <c r="G3723" s="6" t="str">
        <f>IFERROR(__xludf.DUMMYFUNCTION("""COMPUTED_VALUE"""),"08/20/2017")</f>
        <v>08/20/2017</v>
      </c>
      <c r="H3723" s="6" t="str">
        <f>IFERROR(__xludf.DUMMYFUNCTION("""COMPUTED_VALUE"""),"female")</f>
        <v>female</v>
      </c>
      <c r="I3723" s="6" t="str">
        <f>IFERROR(__xludf.DUMMYFUNCTION("""COMPUTED_VALUE"""),"Level 1")</f>
        <v>Level 1</v>
      </c>
      <c r="J3723" s="6" t="str">
        <f>IFERROR(__xludf.DUMMYFUNCTION("""COMPUTED_VALUE"""),"3")</f>
        <v>3</v>
      </c>
      <c r="K3723" s="6" t="str">
        <f>IFERROR(__xludf.DUMMYFUNCTION("""COMPUTED_VALUE"""),"abbie.gale@2hourlearning.com")</f>
        <v>abbie.gale@2hourlearning.com</v>
      </c>
      <c r="L3723" s="6" t="str">
        <f>IFERROR(__xludf.DUMMYFUNCTION("""COMPUTED_VALUE"""),"ScienceSIS")</f>
        <v>ScienceSIS</v>
      </c>
      <c r="M3723" s="6" t="str">
        <f>IFERROR(__xludf.DUMMYFUNCTION("""COMPUTED_VALUE"""),"")</f>
        <v/>
      </c>
      <c r="N3723" s="6" t="str">
        <f>IFERROR(__xludf.DUMMYFUNCTION("""COMPUTED_VALUE"""),"")</f>
        <v/>
      </c>
      <c r="O3723" s="87" t="str">
        <f>IFERROR(__xludf.DUMMYFUNCTION("""COMPUTED_VALUE"""),"https://drive.google.com/drive/folders/10T2cTQHqEJZqE-st6uFKPoI?usp=share_link")</f>
        <v>https://drive.google.com/drive/folders/10T2cTQHqEJZqE-st6uFKPoI?usp=share_link</v>
      </c>
      <c r="P3723" s="6" t="str">
        <f>IFERROR(__xludf.DUMMYFUNCTION("""COMPUTED_VALUE"""),"Abbie Gale")</f>
        <v>Abbie Gale</v>
      </c>
      <c r="Q3723" s="6" t="str">
        <f>IFERROR(__xludf.DUMMYFUNCTION("""COMPUTED_VALUE"""),"L1")</f>
        <v>L1</v>
      </c>
      <c r="R3723" s="6">
        <f>IFERROR(__xludf.DUMMYFUNCTION("""COMPUTED_VALUE"""),1.0)</f>
        <v>1</v>
      </c>
      <c r="S3723" s="6" t="str">
        <f>IFERROR(__xludf.DUMMYFUNCTION("""COMPUTED_VALUE""")," ")</f>
        <v> </v>
      </c>
      <c r="T3723" s="6" t="str">
        <f>IFERROR(__xludf.DUMMYFUNCTION("""COMPUTED_VALUE"""),"")</f>
        <v/>
      </c>
      <c r="U3723" s="6" t="str">
        <f>IFERROR(__xludf.DUMMYFUNCTION("""COMPUTED_VALUE"""),"3")</f>
        <v>3</v>
      </c>
      <c r="V3723" s="6" t="str">
        <f>IFERROR(__xludf.DUMMYFUNCTION("""COMPUTED_VALUE"""),"")</f>
        <v/>
      </c>
      <c r="W3723" s="6" t="str">
        <f>IFERROR(__xludf.DUMMYFUNCTION("""COMPUTED_VALUE"""),"[]")</f>
        <v>[]</v>
      </c>
      <c r="X3723" s="6" t="str">
        <f>IFERROR(__xludf.DUMMYFUNCTION("""COMPUTED_VALUE"""),"Enrolled")</f>
        <v>Enrolled</v>
      </c>
    </row>
    <row r="3724">
      <c r="A3724" s="6" t="str">
        <f>IFERROR(__xludf.DUMMYFUNCTION("""COMPUTED_VALUE"""),"066-6758")</f>
        <v>066-6758</v>
      </c>
      <c r="B3724" s="6" t="str">
        <f>IFERROR(__xludf.DUMMYFUNCTION("""COMPUTED_VALUE"""),"66")</f>
        <v>66</v>
      </c>
      <c r="C3724" s="6" t="str">
        <f>IFERROR(__xludf.DUMMYFUNCTION("""COMPUTED_VALUE"""),"6758")</f>
        <v>6758</v>
      </c>
      <c r="D3724" s="6" t="str">
        <f>IFERROR(__xludf.DUMMYFUNCTION("""COMPUTED_VALUE"""),"Ava")</f>
        <v>Ava</v>
      </c>
      <c r="E3724" s="6" t="str">
        <f>IFERROR(__xludf.DUMMYFUNCTION("""COMPUTED_VALUE"""),"")</f>
        <v/>
      </c>
      <c r="F3724" s="6" t="str">
        <f>IFERROR(__xludf.DUMMYFUNCTION("""COMPUTED_VALUE"""),"Glover")</f>
        <v>Glover</v>
      </c>
      <c r="G3724" s="6" t="str">
        <f>IFERROR(__xludf.DUMMYFUNCTION("""COMPUTED_VALUE"""),"07/02/2016")</f>
        <v>07/02/2016</v>
      </c>
      <c r="H3724" s="6" t="str">
        <f>IFERROR(__xludf.DUMMYFUNCTION("""COMPUTED_VALUE"""),"female")</f>
        <v>female</v>
      </c>
      <c r="I3724" s="6" t="str">
        <f>IFERROR(__xludf.DUMMYFUNCTION("""COMPUTED_VALUE"""),"Level 2")</f>
        <v>Level 2</v>
      </c>
      <c r="J3724" s="6" t="str">
        <f>IFERROR(__xludf.DUMMYFUNCTION("""COMPUTED_VALUE"""),"4")</f>
        <v>4</v>
      </c>
      <c r="K3724" s="6" t="str">
        <f>IFERROR(__xludf.DUMMYFUNCTION("""COMPUTED_VALUE"""),"ava.glover@2hourlearning.com")</f>
        <v>ava.glover@2hourlearning.com</v>
      </c>
      <c r="L3724" s="6" t="str">
        <f>IFERROR(__xludf.DUMMYFUNCTION("""COMPUTED_VALUE"""),"ScienceSIS")</f>
        <v>ScienceSIS</v>
      </c>
      <c r="M3724" s="6" t="str">
        <f>IFERROR(__xludf.DUMMYFUNCTION("""COMPUTED_VALUE"""),"")</f>
        <v/>
      </c>
      <c r="N3724" s="6" t="str">
        <f>IFERROR(__xludf.DUMMYFUNCTION("""COMPUTED_VALUE"""),"")</f>
        <v/>
      </c>
      <c r="O3724" s="87" t="str">
        <f>IFERROR(__xludf.DUMMYFUNCTION("""COMPUTED_VALUE"""),"https://drive.google.com/drive/folders/10T2cTQHqEJZqE-st6uFKPoI?usp=share_link")</f>
        <v>https://drive.google.com/drive/folders/10T2cTQHqEJZqE-st6uFKPoI?usp=share_link</v>
      </c>
      <c r="P3724" s="6" t="str">
        <f>IFERROR(__xludf.DUMMYFUNCTION("""COMPUTED_VALUE"""),"Ava Glover")</f>
        <v>Ava Glover</v>
      </c>
      <c r="Q3724" s="6" t="str">
        <f>IFERROR(__xludf.DUMMYFUNCTION("""COMPUTED_VALUE"""),"L2")</f>
        <v>L2</v>
      </c>
      <c r="R3724" s="6">
        <f>IFERROR(__xludf.DUMMYFUNCTION("""COMPUTED_VALUE"""),2.0)</f>
        <v>2</v>
      </c>
      <c r="S3724" s="6" t="str">
        <f>IFERROR(__xludf.DUMMYFUNCTION("""COMPUTED_VALUE""")," ")</f>
        <v> </v>
      </c>
      <c r="T3724" s="6" t="str">
        <f>IFERROR(__xludf.DUMMYFUNCTION("""COMPUTED_VALUE"""),"")</f>
        <v/>
      </c>
      <c r="U3724" s="6" t="str">
        <f>IFERROR(__xludf.DUMMYFUNCTION("""COMPUTED_VALUE"""),"4")</f>
        <v>4</v>
      </c>
      <c r="V3724" s="6" t="str">
        <f>IFERROR(__xludf.DUMMYFUNCTION("""COMPUTED_VALUE"""),"")</f>
        <v/>
      </c>
      <c r="W3724" s="6" t="str">
        <f>IFERROR(__xludf.DUMMYFUNCTION("""COMPUTED_VALUE"""),"[]")</f>
        <v>[]</v>
      </c>
      <c r="X3724" s="6" t="str">
        <f>IFERROR(__xludf.DUMMYFUNCTION("""COMPUTED_VALUE"""),"Enrolled")</f>
        <v>Enrolled</v>
      </c>
    </row>
    <row r="3725">
      <c r="A3725" s="6" t="str">
        <f>IFERROR(__xludf.DUMMYFUNCTION("""COMPUTED_VALUE"""),"066-6759")</f>
        <v>066-6759</v>
      </c>
      <c r="B3725" s="6" t="str">
        <f>IFERROR(__xludf.DUMMYFUNCTION("""COMPUTED_VALUE"""),"66")</f>
        <v>66</v>
      </c>
      <c r="C3725" s="6" t="str">
        <f>IFERROR(__xludf.DUMMYFUNCTION("""COMPUTED_VALUE"""),"6759")</f>
        <v>6759</v>
      </c>
      <c r="D3725" s="6" t="str">
        <f>IFERROR(__xludf.DUMMYFUNCTION("""COMPUTED_VALUE"""),"June")</f>
        <v>June</v>
      </c>
      <c r="E3725" s="6" t="str">
        <f>IFERROR(__xludf.DUMMYFUNCTION("""COMPUTED_VALUE"""),"")</f>
        <v/>
      </c>
      <c r="F3725" s="6" t="str">
        <f>IFERROR(__xludf.DUMMYFUNCTION("""COMPUTED_VALUE"""),"Hardy")</f>
        <v>Hardy</v>
      </c>
      <c r="G3725" s="6" t="str">
        <f>IFERROR(__xludf.DUMMYFUNCTION("""COMPUTED_VALUE"""),"04/08/2017")</f>
        <v>04/08/2017</v>
      </c>
      <c r="H3725" s="6" t="str">
        <f>IFERROR(__xludf.DUMMYFUNCTION("""COMPUTED_VALUE"""),"female")</f>
        <v>female</v>
      </c>
      <c r="I3725" s="6" t="str">
        <f>IFERROR(__xludf.DUMMYFUNCTION("""COMPUTED_VALUE"""),"Level 1")</f>
        <v>Level 1</v>
      </c>
      <c r="J3725" s="6" t="str">
        <f>IFERROR(__xludf.DUMMYFUNCTION("""COMPUTED_VALUE"""),"3")</f>
        <v>3</v>
      </c>
      <c r="K3725" s="6" t="str">
        <f>IFERROR(__xludf.DUMMYFUNCTION("""COMPUTED_VALUE"""),"june.hardy@2hourlearning.com")</f>
        <v>june.hardy@2hourlearning.com</v>
      </c>
      <c r="L3725" s="6" t="str">
        <f>IFERROR(__xludf.DUMMYFUNCTION("""COMPUTED_VALUE"""),"ScienceSIS")</f>
        <v>ScienceSIS</v>
      </c>
      <c r="M3725" s="6" t="str">
        <f>IFERROR(__xludf.DUMMYFUNCTION("""COMPUTED_VALUE"""),"")</f>
        <v/>
      </c>
      <c r="N3725" s="6" t="str">
        <f>IFERROR(__xludf.DUMMYFUNCTION("""COMPUTED_VALUE"""),"")</f>
        <v/>
      </c>
      <c r="O3725" s="87" t="str">
        <f>IFERROR(__xludf.DUMMYFUNCTION("""COMPUTED_VALUE"""),"https://drive.google.com/drive/folders/10T2cTQHqEJZqE-st6uFKPoI?usp=share_link")</f>
        <v>https://drive.google.com/drive/folders/10T2cTQHqEJZqE-st6uFKPoI?usp=share_link</v>
      </c>
      <c r="P3725" s="6" t="str">
        <f>IFERROR(__xludf.DUMMYFUNCTION("""COMPUTED_VALUE"""),"June Hardy")</f>
        <v>June Hardy</v>
      </c>
      <c r="Q3725" s="6" t="str">
        <f>IFERROR(__xludf.DUMMYFUNCTION("""COMPUTED_VALUE"""),"L1")</f>
        <v>L1</v>
      </c>
      <c r="R3725" s="6">
        <f>IFERROR(__xludf.DUMMYFUNCTION("""COMPUTED_VALUE"""),1.0)</f>
        <v>1</v>
      </c>
      <c r="S3725" s="6" t="str">
        <f>IFERROR(__xludf.DUMMYFUNCTION("""COMPUTED_VALUE""")," ")</f>
        <v> </v>
      </c>
      <c r="T3725" s="6" t="str">
        <f>IFERROR(__xludf.DUMMYFUNCTION("""COMPUTED_VALUE"""),"")</f>
        <v/>
      </c>
      <c r="U3725" s="6" t="str">
        <f>IFERROR(__xludf.DUMMYFUNCTION("""COMPUTED_VALUE"""),"3")</f>
        <v>3</v>
      </c>
      <c r="V3725" s="6" t="str">
        <f>IFERROR(__xludf.DUMMYFUNCTION("""COMPUTED_VALUE"""),"")</f>
        <v/>
      </c>
      <c r="W3725" s="6" t="str">
        <f>IFERROR(__xludf.DUMMYFUNCTION("""COMPUTED_VALUE"""),"[]")</f>
        <v>[]</v>
      </c>
      <c r="X3725" s="6" t="str">
        <f>IFERROR(__xludf.DUMMYFUNCTION("""COMPUTED_VALUE"""),"Enrolled")</f>
        <v>Enrolled</v>
      </c>
    </row>
    <row r="3726">
      <c r="A3726" s="6" t="str">
        <f>IFERROR(__xludf.DUMMYFUNCTION("""COMPUTED_VALUE"""),"066-6760")</f>
        <v>066-6760</v>
      </c>
      <c r="B3726" s="6" t="str">
        <f>IFERROR(__xludf.DUMMYFUNCTION("""COMPUTED_VALUE"""),"66")</f>
        <v>66</v>
      </c>
      <c r="C3726" s="6" t="str">
        <f>IFERROR(__xludf.DUMMYFUNCTION("""COMPUTED_VALUE"""),"6760")</f>
        <v>6760</v>
      </c>
      <c r="D3726" s="6" t="str">
        <f>IFERROR(__xludf.DUMMYFUNCTION("""COMPUTED_VALUE"""),"Aneila")</f>
        <v>Aneila</v>
      </c>
      <c r="E3726" s="6" t="str">
        <f>IFERROR(__xludf.DUMMYFUNCTION("""COMPUTED_VALUE"""),"")</f>
        <v/>
      </c>
      <c r="F3726" s="6" t="str">
        <f>IFERROR(__xludf.DUMMYFUNCTION("""COMPUTED_VALUE"""),"Harris")</f>
        <v>Harris</v>
      </c>
      <c r="G3726" s="6" t="str">
        <f>IFERROR(__xludf.DUMMYFUNCTION("""COMPUTED_VALUE"""),"06/05/2017")</f>
        <v>06/05/2017</v>
      </c>
      <c r="H3726" s="6" t="str">
        <f>IFERROR(__xludf.DUMMYFUNCTION("""COMPUTED_VALUE"""),"female")</f>
        <v>female</v>
      </c>
      <c r="I3726" s="6" t="str">
        <f>IFERROR(__xludf.DUMMYFUNCTION("""COMPUTED_VALUE"""),"Level 1")</f>
        <v>Level 1</v>
      </c>
      <c r="J3726" s="6" t="str">
        <f>IFERROR(__xludf.DUMMYFUNCTION("""COMPUTED_VALUE"""),"3")</f>
        <v>3</v>
      </c>
      <c r="K3726" s="6" t="str">
        <f>IFERROR(__xludf.DUMMYFUNCTION("""COMPUTED_VALUE"""),"aneila.harris@2hourlearning.com")</f>
        <v>aneila.harris@2hourlearning.com</v>
      </c>
      <c r="L3726" s="6" t="str">
        <f>IFERROR(__xludf.DUMMYFUNCTION("""COMPUTED_VALUE"""),"ScienceSIS")</f>
        <v>ScienceSIS</v>
      </c>
      <c r="M3726" s="6" t="str">
        <f>IFERROR(__xludf.DUMMYFUNCTION("""COMPUTED_VALUE"""),"")</f>
        <v/>
      </c>
      <c r="N3726" s="6" t="str">
        <f>IFERROR(__xludf.DUMMYFUNCTION("""COMPUTED_VALUE"""),"")</f>
        <v/>
      </c>
      <c r="O3726" s="87" t="str">
        <f>IFERROR(__xludf.DUMMYFUNCTION("""COMPUTED_VALUE"""),"https://drive.google.com/drive/folders/10T2cTQHqEJZqE-st6uFKPoI?usp=share_link")</f>
        <v>https://drive.google.com/drive/folders/10T2cTQHqEJZqE-st6uFKPoI?usp=share_link</v>
      </c>
      <c r="P3726" s="6" t="str">
        <f>IFERROR(__xludf.DUMMYFUNCTION("""COMPUTED_VALUE"""),"Aneila Harris")</f>
        <v>Aneila Harris</v>
      </c>
      <c r="Q3726" s="6" t="str">
        <f>IFERROR(__xludf.DUMMYFUNCTION("""COMPUTED_VALUE"""),"L1")</f>
        <v>L1</v>
      </c>
      <c r="R3726" s="6">
        <f>IFERROR(__xludf.DUMMYFUNCTION("""COMPUTED_VALUE"""),1.0)</f>
        <v>1</v>
      </c>
      <c r="S3726" s="6" t="str">
        <f>IFERROR(__xludf.DUMMYFUNCTION("""COMPUTED_VALUE""")," ")</f>
        <v> </v>
      </c>
      <c r="T3726" s="6" t="str">
        <f>IFERROR(__xludf.DUMMYFUNCTION("""COMPUTED_VALUE"""),"")</f>
        <v/>
      </c>
      <c r="U3726" s="6" t="str">
        <f>IFERROR(__xludf.DUMMYFUNCTION("""COMPUTED_VALUE"""),"3")</f>
        <v>3</v>
      </c>
      <c r="V3726" s="6" t="str">
        <f>IFERROR(__xludf.DUMMYFUNCTION("""COMPUTED_VALUE"""),"")</f>
        <v/>
      </c>
      <c r="W3726" s="6" t="str">
        <f>IFERROR(__xludf.DUMMYFUNCTION("""COMPUTED_VALUE"""),"[]")</f>
        <v>[]</v>
      </c>
      <c r="X3726" s="6" t="str">
        <f>IFERROR(__xludf.DUMMYFUNCTION("""COMPUTED_VALUE"""),"Enrolled")</f>
        <v>Enrolled</v>
      </c>
    </row>
    <row r="3727">
      <c r="A3727" s="6" t="str">
        <f>IFERROR(__xludf.DUMMYFUNCTION("""COMPUTED_VALUE"""),"066-6761")</f>
        <v>066-6761</v>
      </c>
      <c r="B3727" s="6" t="str">
        <f>IFERROR(__xludf.DUMMYFUNCTION("""COMPUTED_VALUE"""),"66")</f>
        <v>66</v>
      </c>
      <c r="C3727" s="6" t="str">
        <f>IFERROR(__xludf.DUMMYFUNCTION("""COMPUTED_VALUE"""),"6761")</f>
        <v>6761</v>
      </c>
      <c r="D3727" s="6" t="str">
        <f>IFERROR(__xludf.DUMMYFUNCTION("""COMPUTED_VALUE"""),"Hannah")</f>
        <v>Hannah</v>
      </c>
      <c r="E3727" s="6" t="str">
        <f>IFERROR(__xludf.DUMMYFUNCTION("""COMPUTED_VALUE"""),"")</f>
        <v/>
      </c>
      <c r="F3727" s="6" t="str">
        <f>IFERROR(__xludf.DUMMYFUNCTION("""COMPUTED_VALUE"""),"Holifield")</f>
        <v>Holifield</v>
      </c>
      <c r="G3727" s="6" t="str">
        <f>IFERROR(__xludf.DUMMYFUNCTION("""COMPUTED_VALUE"""),"08/07/2013")</f>
        <v>08/07/2013</v>
      </c>
      <c r="H3727" s="6" t="str">
        <f>IFERROR(__xludf.DUMMYFUNCTION("""COMPUTED_VALUE"""),"female")</f>
        <v>female</v>
      </c>
      <c r="I3727" s="6" t="str">
        <f>IFERROR(__xludf.DUMMYFUNCTION("""COMPUTED_VALUE"""),"Middle School")</f>
        <v>Middle School</v>
      </c>
      <c r="J3727" s="6" t="str">
        <f>IFERROR(__xludf.DUMMYFUNCTION("""COMPUTED_VALUE"""),"6")</f>
        <v>6</v>
      </c>
      <c r="K3727" s="6" t="str">
        <f>IFERROR(__xludf.DUMMYFUNCTION("""COMPUTED_VALUE"""),"hannah.holifield@2hourlearning.com")</f>
        <v>hannah.holifield@2hourlearning.com</v>
      </c>
      <c r="L3727" s="6" t="str">
        <f>IFERROR(__xludf.DUMMYFUNCTION("""COMPUTED_VALUE"""),"ScienceSIS")</f>
        <v>ScienceSIS</v>
      </c>
      <c r="M3727" s="6" t="str">
        <f>IFERROR(__xludf.DUMMYFUNCTION("""COMPUTED_VALUE"""),"")</f>
        <v/>
      </c>
      <c r="N3727" s="6" t="str">
        <f>IFERROR(__xludf.DUMMYFUNCTION("""COMPUTED_VALUE"""),"")</f>
        <v/>
      </c>
      <c r="O3727" s="87" t="str">
        <f>IFERROR(__xludf.DUMMYFUNCTION("""COMPUTED_VALUE"""),"https://drive.google.com/drive/folders/10T2cTQHqEJZqE-st6uFKPoI?usp=share_link")</f>
        <v>https://drive.google.com/drive/folders/10T2cTQHqEJZqE-st6uFKPoI?usp=share_link</v>
      </c>
      <c r="P3727" s="6" t="str">
        <f>IFERROR(__xludf.DUMMYFUNCTION("""COMPUTED_VALUE"""),"Hannah Holifield")</f>
        <v>Hannah Holifield</v>
      </c>
      <c r="Q3727" s="6" t="str">
        <f>IFERROR(__xludf.DUMMYFUNCTION("""COMPUTED_VALUE"""),"MS")</f>
        <v>MS</v>
      </c>
      <c r="R3727" s="6">
        <f>IFERROR(__xludf.DUMMYFUNCTION("""COMPUTED_VALUE"""),0.0)</f>
        <v>0</v>
      </c>
      <c r="S3727" s="6" t="str">
        <f>IFERROR(__xludf.DUMMYFUNCTION("""COMPUTED_VALUE""")," ")</f>
        <v> </v>
      </c>
      <c r="T3727" s="6" t="str">
        <f>IFERROR(__xludf.DUMMYFUNCTION("""COMPUTED_VALUE"""),"")</f>
        <v/>
      </c>
      <c r="U3727" s="6" t="str">
        <f>IFERROR(__xludf.DUMMYFUNCTION("""COMPUTED_VALUE"""),"6")</f>
        <v>6</v>
      </c>
      <c r="V3727" s="6" t="str">
        <f>IFERROR(__xludf.DUMMYFUNCTION("""COMPUTED_VALUE"""),"English")</f>
        <v>English</v>
      </c>
      <c r="W3727" s="6" t="str">
        <f>IFERROR(__xludf.DUMMYFUNCTION("""COMPUTED_VALUE"""),"[]")</f>
        <v>[]</v>
      </c>
      <c r="X3727" s="6" t="str">
        <f>IFERROR(__xludf.DUMMYFUNCTION("""COMPUTED_VALUE"""),"Enrolled")</f>
        <v>Enrolled</v>
      </c>
    </row>
    <row r="3728">
      <c r="A3728" s="6" t="str">
        <f>IFERROR(__xludf.DUMMYFUNCTION("""COMPUTED_VALUE"""),"066-6762")</f>
        <v>066-6762</v>
      </c>
      <c r="B3728" s="6" t="str">
        <f>IFERROR(__xludf.DUMMYFUNCTION("""COMPUTED_VALUE"""),"66")</f>
        <v>66</v>
      </c>
      <c r="C3728" s="6" t="str">
        <f>IFERROR(__xludf.DUMMYFUNCTION("""COMPUTED_VALUE"""),"6762")</f>
        <v>6762</v>
      </c>
      <c r="D3728" s="6" t="str">
        <f>IFERROR(__xludf.DUMMYFUNCTION("""COMPUTED_VALUE"""),"Peyton")</f>
        <v>Peyton</v>
      </c>
      <c r="E3728" s="6" t="str">
        <f>IFERROR(__xludf.DUMMYFUNCTION("""COMPUTED_VALUE"""),"")</f>
        <v/>
      </c>
      <c r="F3728" s="6" t="str">
        <f>IFERROR(__xludf.DUMMYFUNCTION("""COMPUTED_VALUE"""),"Holsey")</f>
        <v>Holsey</v>
      </c>
      <c r="G3728" s="6" t="str">
        <f>IFERROR(__xludf.DUMMYFUNCTION("""COMPUTED_VALUE"""),"04/25/2017")</f>
        <v>04/25/2017</v>
      </c>
      <c r="H3728" s="6" t="str">
        <f>IFERROR(__xludf.DUMMYFUNCTION("""COMPUTED_VALUE"""),"female")</f>
        <v>female</v>
      </c>
      <c r="I3728" s="6" t="str">
        <f>IFERROR(__xludf.DUMMYFUNCTION("""COMPUTED_VALUE"""),"Level 1")</f>
        <v>Level 1</v>
      </c>
      <c r="J3728" s="6" t="str">
        <f>IFERROR(__xludf.DUMMYFUNCTION("""COMPUTED_VALUE"""),"3")</f>
        <v>3</v>
      </c>
      <c r="K3728" s="6" t="str">
        <f>IFERROR(__xludf.DUMMYFUNCTION("""COMPUTED_VALUE"""),"peyton.holsey@2hourlearning.com")</f>
        <v>peyton.holsey@2hourlearning.com</v>
      </c>
      <c r="L3728" s="6" t="str">
        <f>IFERROR(__xludf.DUMMYFUNCTION("""COMPUTED_VALUE"""),"ScienceSIS")</f>
        <v>ScienceSIS</v>
      </c>
      <c r="M3728" s="6" t="str">
        <f>IFERROR(__xludf.DUMMYFUNCTION("""COMPUTED_VALUE"""),"")</f>
        <v/>
      </c>
      <c r="N3728" s="6" t="str">
        <f>IFERROR(__xludf.DUMMYFUNCTION("""COMPUTED_VALUE"""),"")</f>
        <v/>
      </c>
      <c r="O3728" s="87" t="str">
        <f>IFERROR(__xludf.DUMMYFUNCTION("""COMPUTED_VALUE"""),"https://drive.google.com/drive/folders/10T2cTQHqEJZqE-st6uFKPoI?usp=share_link")</f>
        <v>https://drive.google.com/drive/folders/10T2cTQHqEJZqE-st6uFKPoI?usp=share_link</v>
      </c>
      <c r="P3728" s="6" t="str">
        <f>IFERROR(__xludf.DUMMYFUNCTION("""COMPUTED_VALUE"""),"Peyton Holsey")</f>
        <v>Peyton Holsey</v>
      </c>
      <c r="Q3728" s="6" t="str">
        <f>IFERROR(__xludf.DUMMYFUNCTION("""COMPUTED_VALUE"""),"L1")</f>
        <v>L1</v>
      </c>
      <c r="R3728" s="6">
        <f>IFERROR(__xludf.DUMMYFUNCTION("""COMPUTED_VALUE"""),1.0)</f>
        <v>1</v>
      </c>
      <c r="S3728" s="6" t="str">
        <f>IFERROR(__xludf.DUMMYFUNCTION("""COMPUTED_VALUE""")," ")</f>
        <v> </v>
      </c>
      <c r="T3728" s="6" t="str">
        <f>IFERROR(__xludf.DUMMYFUNCTION("""COMPUTED_VALUE"""),"")</f>
        <v/>
      </c>
      <c r="U3728" s="6" t="str">
        <f>IFERROR(__xludf.DUMMYFUNCTION("""COMPUTED_VALUE"""),"3")</f>
        <v>3</v>
      </c>
      <c r="V3728" s="6" t="str">
        <f>IFERROR(__xludf.DUMMYFUNCTION("""COMPUTED_VALUE"""),"English")</f>
        <v>English</v>
      </c>
      <c r="W3728" s="6" t="str">
        <f>IFERROR(__xludf.DUMMYFUNCTION("""COMPUTED_VALUE"""),"[]")</f>
        <v>[]</v>
      </c>
      <c r="X3728" s="6" t="str">
        <f>IFERROR(__xludf.DUMMYFUNCTION("""COMPUTED_VALUE"""),"Enrolled")</f>
        <v>Enrolled</v>
      </c>
    </row>
    <row r="3729">
      <c r="A3729" s="6" t="str">
        <f>IFERROR(__xludf.DUMMYFUNCTION("""COMPUTED_VALUE"""),"066-6763")</f>
        <v>066-6763</v>
      </c>
      <c r="B3729" s="6" t="str">
        <f>IFERROR(__xludf.DUMMYFUNCTION("""COMPUTED_VALUE"""),"66")</f>
        <v>66</v>
      </c>
      <c r="C3729" s="6" t="str">
        <f>IFERROR(__xludf.DUMMYFUNCTION("""COMPUTED_VALUE"""),"6763")</f>
        <v>6763</v>
      </c>
      <c r="D3729" s="6" t="str">
        <f>IFERROR(__xludf.DUMMYFUNCTION("""COMPUTED_VALUE"""),"Moriah")</f>
        <v>Moriah</v>
      </c>
      <c r="E3729" s="6" t="str">
        <f>IFERROR(__xludf.DUMMYFUNCTION("""COMPUTED_VALUE"""),"")</f>
        <v/>
      </c>
      <c r="F3729" s="6" t="str">
        <f>IFERROR(__xludf.DUMMYFUNCTION("""COMPUTED_VALUE"""),"Johnson")</f>
        <v>Johnson</v>
      </c>
      <c r="G3729" s="6" t="str">
        <f>IFERROR(__xludf.DUMMYFUNCTION("""COMPUTED_VALUE"""),"12/31/2015")</f>
        <v>12/31/2015</v>
      </c>
      <c r="H3729" s="6" t="str">
        <f>IFERROR(__xludf.DUMMYFUNCTION("""COMPUTED_VALUE"""),"female")</f>
        <v>female</v>
      </c>
      <c r="I3729" s="6" t="str">
        <f>IFERROR(__xludf.DUMMYFUNCTION("""COMPUTED_VALUE"""),"Level 2")</f>
        <v>Level 2</v>
      </c>
      <c r="J3729" s="6" t="str">
        <f>IFERROR(__xludf.DUMMYFUNCTION("""COMPUTED_VALUE"""),"4")</f>
        <v>4</v>
      </c>
      <c r="K3729" s="6" t="str">
        <f>IFERROR(__xludf.DUMMYFUNCTION("""COMPUTED_VALUE"""),"moriah.johnson@2hourlearning.com")</f>
        <v>moriah.johnson@2hourlearning.com</v>
      </c>
      <c r="L3729" s="6" t="str">
        <f>IFERROR(__xludf.DUMMYFUNCTION("""COMPUTED_VALUE"""),"ScienceSIS")</f>
        <v>ScienceSIS</v>
      </c>
      <c r="M3729" s="6" t="str">
        <f>IFERROR(__xludf.DUMMYFUNCTION("""COMPUTED_VALUE"""),"")</f>
        <v/>
      </c>
      <c r="N3729" s="6" t="str">
        <f>IFERROR(__xludf.DUMMYFUNCTION("""COMPUTED_VALUE"""),"")</f>
        <v/>
      </c>
      <c r="O3729" s="87" t="str">
        <f>IFERROR(__xludf.DUMMYFUNCTION("""COMPUTED_VALUE"""),"https://drive.google.com/drive/folders/10T2cTQHqEJZqE-st6uFKPoI?usp=share_link")</f>
        <v>https://drive.google.com/drive/folders/10T2cTQHqEJZqE-st6uFKPoI?usp=share_link</v>
      </c>
      <c r="P3729" s="6" t="str">
        <f>IFERROR(__xludf.DUMMYFUNCTION("""COMPUTED_VALUE"""),"Moriah Johnson")</f>
        <v>Moriah Johnson</v>
      </c>
      <c r="Q3729" s="6" t="str">
        <f>IFERROR(__xludf.DUMMYFUNCTION("""COMPUTED_VALUE"""),"L2")</f>
        <v>L2</v>
      </c>
      <c r="R3729" s="6">
        <f>IFERROR(__xludf.DUMMYFUNCTION("""COMPUTED_VALUE"""),2.0)</f>
        <v>2</v>
      </c>
      <c r="S3729" s="6" t="str">
        <f>IFERROR(__xludf.DUMMYFUNCTION("""COMPUTED_VALUE""")," ")</f>
        <v> </v>
      </c>
      <c r="T3729" s="6" t="str">
        <f>IFERROR(__xludf.DUMMYFUNCTION("""COMPUTED_VALUE"""),"")</f>
        <v/>
      </c>
      <c r="U3729" s="6" t="str">
        <f>IFERROR(__xludf.DUMMYFUNCTION("""COMPUTED_VALUE"""),"4")</f>
        <v>4</v>
      </c>
      <c r="V3729" s="6" t="str">
        <f>IFERROR(__xludf.DUMMYFUNCTION("""COMPUTED_VALUE"""),"English")</f>
        <v>English</v>
      </c>
      <c r="W3729" s="6" t="str">
        <f>IFERROR(__xludf.DUMMYFUNCTION("""COMPUTED_VALUE"""),"[]")</f>
        <v>[]</v>
      </c>
      <c r="X3729" s="6" t="str">
        <f>IFERROR(__xludf.DUMMYFUNCTION("""COMPUTED_VALUE"""),"Enrolled")</f>
        <v>Enrolled</v>
      </c>
    </row>
    <row r="3730">
      <c r="A3730" s="6" t="str">
        <f>IFERROR(__xludf.DUMMYFUNCTION("""COMPUTED_VALUE"""),"066-6764")</f>
        <v>066-6764</v>
      </c>
      <c r="B3730" s="6" t="str">
        <f>IFERROR(__xludf.DUMMYFUNCTION("""COMPUTED_VALUE"""),"66")</f>
        <v>66</v>
      </c>
      <c r="C3730" s="6" t="str">
        <f>IFERROR(__xludf.DUMMYFUNCTION("""COMPUTED_VALUE"""),"6764")</f>
        <v>6764</v>
      </c>
      <c r="D3730" s="6" t="str">
        <f>IFERROR(__xludf.DUMMYFUNCTION("""COMPUTED_VALUE"""),"Kayla")</f>
        <v>Kayla</v>
      </c>
      <c r="E3730" s="6" t="str">
        <f>IFERROR(__xludf.DUMMYFUNCTION("""COMPUTED_VALUE"""),"")</f>
        <v/>
      </c>
      <c r="F3730" s="6" t="str">
        <f>IFERROR(__xludf.DUMMYFUNCTION("""COMPUTED_VALUE"""),"Johnson")</f>
        <v>Johnson</v>
      </c>
      <c r="G3730" s="6" t="str">
        <f>IFERROR(__xludf.DUMMYFUNCTION("""COMPUTED_VALUE"""),"09/13/2017")</f>
        <v>09/13/2017</v>
      </c>
      <c r="H3730" s="6" t="str">
        <f>IFERROR(__xludf.DUMMYFUNCTION("""COMPUTED_VALUE"""),"female")</f>
        <v>female</v>
      </c>
      <c r="I3730" s="6" t="str">
        <f>IFERROR(__xludf.DUMMYFUNCTION("""COMPUTED_VALUE"""),"Level 1")</f>
        <v>Level 1</v>
      </c>
      <c r="J3730" s="6" t="str">
        <f>IFERROR(__xludf.DUMMYFUNCTION("""COMPUTED_VALUE"""),"3")</f>
        <v>3</v>
      </c>
      <c r="K3730" s="6" t="str">
        <f>IFERROR(__xludf.DUMMYFUNCTION("""COMPUTED_VALUE"""),"kayla.johnson@2hourlearning.com")</f>
        <v>kayla.johnson@2hourlearning.com</v>
      </c>
      <c r="L3730" s="6" t="str">
        <f>IFERROR(__xludf.DUMMYFUNCTION("""COMPUTED_VALUE"""),"ScienceSIS")</f>
        <v>ScienceSIS</v>
      </c>
      <c r="M3730" s="6" t="str">
        <f>IFERROR(__xludf.DUMMYFUNCTION("""COMPUTED_VALUE"""),"")</f>
        <v/>
      </c>
      <c r="N3730" s="6" t="str">
        <f>IFERROR(__xludf.DUMMYFUNCTION("""COMPUTED_VALUE"""),"")</f>
        <v/>
      </c>
      <c r="O3730" s="87" t="str">
        <f>IFERROR(__xludf.DUMMYFUNCTION("""COMPUTED_VALUE"""),"https://drive.google.com/drive/folders/10T2cTQHqEJZqE-st6uFKPoI?usp=share_link")</f>
        <v>https://drive.google.com/drive/folders/10T2cTQHqEJZqE-st6uFKPoI?usp=share_link</v>
      </c>
      <c r="P3730" s="6" t="str">
        <f>IFERROR(__xludf.DUMMYFUNCTION("""COMPUTED_VALUE"""),"Kayla Johnson")</f>
        <v>Kayla Johnson</v>
      </c>
      <c r="Q3730" s="6" t="str">
        <f>IFERROR(__xludf.DUMMYFUNCTION("""COMPUTED_VALUE"""),"L1")</f>
        <v>L1</v>
      </c>
      <c r="R3730" s="6">
        <f>IFERROR(__xludf.DUMMYFUNCTION("""COMPUTED_VALUE"""),1.0)</f>
        <v>1</v>
      </c>
      <c r="S3730" s="6" t="str">
        <f>IFERROR(__xludf.DUMMYFUNCTION("""COMPUTED_VALUE""")," ")</f>
        <v> </v>
      </c>
      <c r="T3730" s="6" t="str">
        <f>IFERROR(__xludf.DUMMYFUNCTION("""COMPUTED_VALUE"""),"")</f>
        <v/>
      </c>
      <c r="U3730" s="6" t="str">
        <f>IFERROR(__xludf.DUMMYFUNCTION("""COMPUTED_VALUE"""),"3")</f>
        <v>3</v>
      </c>
      <c r="V3730" s="6" t="str">
        <f>IFERROR(__xludf.DUMMYFUNCTION("""COMPUTED_VALUE"""),"English")</f>
        <v>English</v>
      </c>
      <c r="W3730" s="6" t="str">
        <f>IFERROR(__xludf.DUMMYFUNCTION("""COMPUTED_VALUE"""),"[]")</f>
        <v>[]</v>
      </c>
      <c r="X3730" s="6" t="str">
        <f>IFERROR(__xludf.DUMMYFUNCTION("""COMPUTED_VALUE"""),"Enrolled")</f>
        <v>Enrolled</v>
      </c>
    </row>
    <row r="3731">
      <c r="A3731" s="6" t="str">
        <f>IFERROR(__xludf.DUMMYFUNCTION("""COMPUTED_VALUE"""),"066-6765")</f>
        <v>066-6765</v>
      </c>
      <c r="B3731" s="6" t="str">
        <f>IFERROR(__xludf.DUMMYFUNCTION("""COMPUTED_VALUE"""),"66")</f>
        <v>66</v>
      </c>
      <c r="C3731" s="6" t="str">
        <f>IFERROR(__xludf.DUMMYFUNCTION("""COMPUTED_VALUE"""),"6765")</f>
        <v>6765</v>
      </c>
      <c r="D3731" s="6" t="str">
        <f>IFERROR(__xludf.DUMMYFUNCTION("""COMPUTED_VALUE"""),"Emily")</f>
        <v>Emily</v>
      </c>
      <c r="E3731" s="6" t="str">
        <f>IFERROR(__xludf.DUMMYFUNCTION("""COMPUTED_VALUE"""),"")</f>
        <v/>
      </c>
      <c r="F3731" s="6" t="str">
        <f>IFERROR(__xludf.DUMMYFUNCTION("""COMPUTED_VALUE"""),"Johnson")</f>
        <v>Johnson</v>
      </c>
      <c r="G3731" s="6" t="str">
        <f>IFERROR(__xludf.DUMMYFUNCTION("""COMPUTED_VALUE"""),"10/10/2017")</f>
        <v>10/10/2017</v>
      </c>
      <c r="H3731" s="6" t="str">
        <f>IFERROR(__xludf.DUMMYFUNCTION("""COMPUTED_VALUE"""),"female")</f>
        <v>female</v>
      </c>
      <c r="I3731" s="6" t="str">
        <f>IFERROR(__xludf.DUMMYFUNCTION("""COMPUTED_VALUE"""),"Level 1")</f>
        <v>Level 1</v>
      </c>
      <c r="J3731" s="6" t="str">
        <f>IFERROR(__xludf.DUMMYFUNCTION("""COMPUTED_VALUE"""),"3")</f>
        <v>3</v>
      </c>
      <c r="K3731" s="6" t="str">
        <f>IFERROR(__xludf.DUMMYFUNCTION("""COMPUTED_VALUE"""),"emily.johnson@2hourlearning.com")</f>
        <v>emily.johnson@2hourlearning.com</v>
      </c>
      <c r="L3731" s="6" t="str">
        <f>IFERROR(__xludf.DUMMYFUNCTION("""COMPUTED_VALUE"""),"ScienceSIS")</f>
        <v>ScienceSIS</v>
      </c>
      <c r="M3731" s="6" t="str">
        <f>IFERROR(__xludf.DUMMYFUNCTION("""COMPUTED_VALUE"""),"")</f>
        <v/>
      </c>
      <c r="N3731" s="6" t="str">
        <f>IFERROR(__xludf.DUMMYFUNCTION("""COMPUTED_VALUE"""),"")</f>
        <v/>
      </c>
      <c r="O3731" s="87" t="str">
        <f>IFERROR(__xludf.DUMMYFUNCTION("""COMPUTED_VALUE"""),"https://drive.google.com/drive/folders/10T2cTQHqEJZqE-st6uFKPoI?usp=share_link")</f>
        <v>https://drive.google.com/drive/folders/10T2cTQHqEJZqE-st6uFKPoI?usp=share_link</v>
      </c>
      <c r="P3731" s="6" t="str">
        <f>IFERROR(__xludf.DUMMYFUNCTION("""COMPUTED_VALUE"""),"Emily Johnson")</f>
        <v>Emily Johnson</v>
      </c>
      <c r="Q3731" s="6" t="str">
        <f>IFERROR(__xludf.DUMMYFUNCTION("""COMPUTED_VALUE"""),"L1")</f>
        <v>L1</v>
      </c>
      <c r="R3731" s="6">
        <f>IFERROR(__xludf.DUMMYFUNCTION("""COMPUTED_VALUE"""),1.0)</f>
        <v>1</v>
      </c>
      <c r="S3731" s="6" t="str">
        <f>IFERROR(__xludf.DUMMYFUNCTION("""COMPUTED_VALUE""")," ")</f>
        <v> </v>
      </c>
      <c r="T3731" s="6" t="str">
        <f>IFERROR(__xludf.DUMMYFUNCTION("""COMPUTED_VALUE"""),"")</f>
        <v/>
      </c>
      <c r="U3731" s="6" t="str">
        <f>IFERROR(__xludf.DUMMYFUNCTION("""COMPUTED_VALUE"""),"3")</f>
        <v>3</v>
      </c>
      <c r="V3731" s="6" t="str">
        <f>IFERROR(__xludf.DUMMYFUNCTION("""COMPUTED_VALUE"""),"English")</f>
        <v>English</v>
      </c>
      <c r="W3731" s="6" t="str">
        <f>IFERROR(__xludf.DUMMYFUNCTION("""COMPUTED_VALUE"""),"[]")</f>
        <v>[]</v>
      </c>
      <c r="X3731" s="6" t="str">
        <f>IFERROR(__xludf.DUMMYFUNCTION("""COMPUTED_VALUE"""),"Enrolled")</f>
        <v>Enrolled</v>
      </c>
    </row>
    <row r="3732">
      <c r="A3732" s="6" t="str">
        <f>IFERROR(__xludf.DUMMYFUNCTION("""COMPUTED_VALUE"""),"066-6766")</f>
        <v>066-6766</v>
      </c>
      <c r="B3732" s="6" t="str">
        <f>IFERROR(__xludf.DUMMYFUNCTION("""COMPUTED_VALUE"""),"66")</f>
        <v>66</v>
      </c>
      <c r="C3732" s="6" t="str">
        <f>IFERROR(__xludf.DUMMYFUNCTION("""COMPUTED_VALUE"""),"6766")</f>
        <v>6766</v>
      </c>
      <c r="D3732" s="6" t="str">
        <f>IFERROR(__xludf.DUMMYFUNCTION("""COMPUTED_VALUE"""),"Kennedi")</f>
        <v>Kennedi</v>
      </c>
      <c r="E3732" s="6" t="str">
        <f>IFERROR(__xludf.DUMMYFUNCTION("""COMPUTED_VALUE"""),"")</f>
        <v/>
      </c>
      <c r="F3732" s="6" t="str">
        <f>IFERROR(__xludf.DUMMYFUNCTION("""COMPUTED_VALUE"""),"Jones Parsons")</f>
        <v>Jones Parsons</v>
      </c>
      <c r="G3732" s="6" t="str">
        <f>IFERROR(__xludf.DUMMYFUNCTION("""COMPUTED_VALUE"""),"05/15/2017")</f>
        <v>05/15/2017</v>
      </c>
      <c r="H3732" s="6" t="str">
        <f>IFERROR(__xludf.DUMMYFUNCTION("""COMPUTED_VALUE"""),"female")</f>
        <v>female</v>
      </c>
      <c r="I3732" s="6" t="str">
        <f>IFERROR(__xludf.DUMMYFUNCTION("""COMPUTED_VALUE"""),"Level 1")</f>
        <v>Level 1</v>
      </c>
      <c r="J3732" s="6" t="str">
        <f>IFERROR(__xludf.DUMMYFUNCTION("""COMPUTED_VALUE"""),"3")</f>
        <v>3</v>
      </c>
      <c r="K3732" s="6" t="str">
        <f>IFERROR(__xludf.DUMMYFUNCTION("""COMPUTED_VALUE"""),"kennedi.jonesparsons@2hourlearning.com")</f>
        <v>kennedi.jonesparsons@2hourlearning.com</v>
      </c>
      <c r="L3732" s="6" t="str">
        <f>IFERROR(__xludf.DUMMYFUNCTION("""COMPUTED_VALUE"""),"ScienceSIS")</f>
        <v>ScienceSIS</v>
      </c>
      <c r="M3732" s="6" t="str">
        <f>IFERROR(__xludf.DUMMYFUNCTION("""COMPUTED_VALUE"""),"")</f>
        <v/>
      </c>
      <c r="N3732" s="6" t="str">
        <f>IFERROR(__xludf.DUMMYFUNCTION("""COMPUTED_VALUE"""),"")</f>
        <v/>
      </c>
      <c r="O3732" s="87" t="str">
        <f>IFERROR(__xludf.DUMMYFUNCTION("""COMPUTED_VALUE"""),"https://drive.google.com/drive/folders/10T2cTQHqEJZqE-st6uFKPoI?usp=share_link")</f>
        <v>https://drive.google.com/drive/folders/10T2cTQHqEJZqE-st6uFKPoI?usp=share_link</v>
      </c>
      <c r="P3732" s="6" t="str">
        <f>IFERROR(__xludf.DUMMYFUNCTION("""COMPUTED_VALUE"""),"Kennedi Jones Parsons")</f>
        <v>Kennedi Jones Parsons</v>
      </c>
      <c r="Q3732" s="6" t="str">
        <f>IFERROR(__xludf.DUMMYFUNCTION("""COMPUTED_VALUE"""),"L1")</f>
        <v>L1</v>
      </c>
      <c r="R3732" s="6">
        <f>IFERROR(__xludf.DUMMYFUNCTION("""COMPUTED_VALUE"""),1.0)</f>
        <v>1</v>
      </c>
      <c r="S3732" s="6" t="str">
        <f>IFERROR(__xludf.DUMMYFUNCTION("""COMPUTED_VALUE""")," ")</f>
        <v> </v>
      </c>
      <c r="T3732" s="6" t="str">
        <f>IFERROR(__xludf.DUMMYFUNCTION("""COMPUTED_VALUE"""),"")</f>
        <v/>
      </c>
      <c r="U3732" s="6" t="str">
        <f>IFERROR(__xludf.DUMMYFUNCTION("""COMPUTED_VALUE"""),"3")</f>
        <v>3</v>
      </c>
      <c r="V3732" s="6" t="str">
        <f>IFERROR(__xludf.DUMMYFUNCTION("""COMPUTED_VALUE"""),"English")</f>
        <v>English</v>
      </c>
      <c r="W3732" s="6" t="str">
        <f>IFERROR(__xludf.DUMMYFUNCTION("""COMPUTED_VALUE"""),"[]")</f>
        <v>[]</v>
      </c>
      <c r="X3732" s="6" t="str">
        <f>IFERROR(__xludf.DUMMYFUNCTION("""COMPUTED_VALUE"""),"Enrolled")</f>
        <v>Enrolled</v>
      </c>
    </row>
    <row r="3733">
      <c r="A3733" s="6" t="str">
        <f>IFERROR(__xludf.DUMMYFUNCTION("""COMPUTED_VALUE"""),"066-6767")</f>
        <v>066-6767</v>
      </c>
      <c r="B3733" s="6" t="str">
        <f>IFERROR(__xludf.DUMMYFUNCTION("""COMPUTED_VALUE"""),"66")</f>
        <v>66</v>
      </c>
      <c r="C3733" s="6" t="str">
        <f>IFERROR(__xludf.DUMMYFUNCTION("""COMPUTED_VALUE"""),"6767")</f>
        <v>6767</v>
      </c>
      <c r="D3733" s="6" t="str">
        <f>IFERROR(__xludf.DUMMYFUNCTION("""COMPUTED_VALUE"""),"Keziah")</f>
        <v>Keziah</v>
      </c>
      <c r="E3733" s="6" t="str">
        <f>IFERROR(__xludf.DUMMYFUNCTION("""COMPUTED_VALUE"""),"")</f>
        <v/>
      </c>
      <c r="F3733" s="6" t="str">
        <f>IFERROR(__xludf.DUMMYFUNCTION("""COMPUTED_VALUE"""),"Joseph")</f>
        <v>Joseph</v>
      </c>
      <c r="G3733" s="6" t="str">
        <f>IFERROR(__xludf.DUMMYFUNCTION("""COMPUTED_VALUE"""),"06/13/2016")</f>
        <v>06/13/2016</v>
      </c>
      <c r="H3733" s="6" t="str">
        <f>IFERROR(__xludf.DUMMYFUNCTION("""COMPUTED_VALUE"""),"female")</f>
        <v>female</v>
      </c>
      <c r="I3733" s="6" t="str">
        <f>IFERROR(__xludf.DUMMYFUNCTION("""COMPUTED_VALUE"""),"Level 2")</f>
        <v>Level 2</v>
      </c>
      <c r="J3733" s="6" t="str">
        <f>IFERROR(__xludf.DUMMYFUNCTION("""COMPUTED_VALUE"""),"5")</f>
        <v>5</v>
      </c>
      <c r="K3733" s="6" t="str">
        <f>IFERROR(__xludf.DUMMYFUNCTION("""COMPUTED_VALUE"""),"keziah.joseph@2hourlearning.com")</f>
        <v>keziah.joseph@2hourlearning.com</v>
      </c>
      <c r="L3733" s="6" t="str">
        <f>IFERROR(__xludf.DUMMYFUNCTION("""COMPUTED_VALUE"""),"ScienceSIS")</f>
        <v>ScienceSIS</v>
      </c>
      <c r="M3733" s="6" t="str">
        <f>IFERROR(__xludf.DUMMYFUNCTION("""COMPUTED_VALUE"""),"")</f>
        <v/>
      </c>
      <c r="N3733" s="6" t="str">
        <f>IFERROR(__xludf.DUMMYFUNCTION("""COMPUTED_VALUE"""),"")</f>
        <v/>
      </c>
      <c r="O3733" s="87" t="str">
        <f>IFERROR(__xludf.DUMMYFUNCTION("""COMPUTED_VALUE"""),"https://drive.google.com/drive/folders/10T2cTQHqEJZqE-st6uFKPoI?usp=share_link")</f>
        <v>https://drive.google.com/drive/folders/10T2cTQHqEJZqE-st6uFKPoI?usp=share_link</v>
      </c>
      <c r="P3733" s="6" t="str">
        <f>IFERROR(__xludf.DUMMYFUNCTION("""COMPUTED_VALUE"""),"Keziah Joseph")</f>
        <v>Keziah Joseph</v>
      </c>
      <c r="Q3733" s="6" t="str">
        <f>IFERROR(__xludf.DUMMYFUNCTION("""COMPUTED_VALUE"""),"L2")</f>
        <v>L2</v>
      </c>
      <c r="R3733" s="6">
        <f>IFERROR(__xludf.DUMMYFUNCTION("""COMPUTED_VALUE"""),2.0)</f>
        <v>2</v>
      </c>
      <c r="S3733" s="6" t="str">
        <f>IFERROR(__xludf.DUMMYFUNCTION("""COMPUTED_VALUE""")," ")</f>
        <v> </v>
      </c>
      <c r="T3733" s="6" t="str">
        <f>IFERROR(__xludf.DUMMYFUNCTION("""COMPUTED_VALUE"""),"")</f>
        <v/>
      </c>
      <c r="U3733" s="6" t="str">
        <f>IFERROR(__xludf.DUMMYFUNCTION("""COMPUTED_VALUE"""),"5")</f>
        <v>5</v>
      </c>
      <c r="V3733" s="6" t="str">
        <f>IFERROR(__xludf.DUMMYFUNCTION("""COMPUTED_VALUE"""),"English")</f>
        <v>English</v>
      </c>
      <c r="W3733" s="6" t="str">
        <f>IFERROR(__xludf.DUMMYFUNCTION("""COMPUTED_VALUE"""),"[]")</f>
        <v>[]</v>
      </c>
      <c r="X3733" s="6" t="str">
        <f>IFERROR(__xludf.DUMMYFUNCTION("""COMPUTED_VALUE"""),"Enrolled")</f>
        <v>Enrolled</v>
      </c>
    </row>
    <row r="3734">
      <c r="A3734" s="6" t="str">
        <f>IFERROR(__xludf.DUMMYFUNCTION("""COMPUTED_VALUE"""),"066-6768")</f>
        <v>066-6768</v>
      </c>
      <c r="B3734" s="6" t="str">
        <f>IFERROR(__xludf.DUMMYFUNCTION("""COMPUTED_VALUE"""),"66")</f>
        <v>66</v>
      </c>
      <c r="C3734" s="6" t="str">
        <f>IFERROR(__xludf.DUMMYFUNCTION("""COMPUTED_VALUE"""),"6768")</f>
        <v>6768</v>
      </c>
      <c r="D3734" s="6" t="str">
        <f>IFERROR(__xludf.DUMMYFUNCTION("""COMPUTED_VALUE"""),"Paija")</f>
        <v>Paija</v>
      </c>
      <c r="E3734" s="6" t="str">
        <f>IFERROR(__xludf.DUMMYFUNCTION("""COMPUTED_VALUE"""),"")</f>
        <v/>
      </c>
      <c r="F3734" s="6" t="str">
        <f>IFERROR(__xludf.DUMMYFUNCTION("""COMPUTED_VALUE"""),"Kemp")</f>
        <v>Kemp</v>
      </c>
      <c r="G3734" s="6" t="str">
        <f>IFERROR(__xludf.DUMMYFUNCTION("""COMPUTED_VALUE"""),"01/13/2014")</f>
        <v>01/13/2014</v>
      </c>
      <c r="H3734" s="6" t="str">
        <f>IFERROR(__xludf.DUMMYFUNCTION("""COMPUTED_VALUE"""),"female")</f>
        <v>female</v>
      </c>
      <c r="I3734" s="6" t="str">
        <f>IFERROR(__xludf.DUMMYFUNCTION("""COMPUTED_VALUE"""),"Middle School")</f>
        <v>Middle School</v>
      </c>
      <c r="J3734" s="6" t="str">
        <f>IFERROR(__xludf.DUMMYFUNCTION("""COMPUTED_VALUE"""),"6")</f>
        <v>6</v>
      </c>
      <c r="K3734" s="6" t="str">
        <f>IFERROR(__xludf.DUMMYFUNCTION("""COMPUTED_VALUE"""),"paija.kemp@2hourlearning.com")</f>
        <v>paija.kemp@2hourlearning.com</v>
      </c>
      <c r="L3734" s="6" t="str">
        <f>IFERROR(__xludf.DUMMYFUNCTION("""COMPUTED_VALUE"""),"ScienceSIS")</f>
        <v>ScienceSIS</v>
      </c>
      <c r="M3734" s="6" t="str">
        <f>IFERROR(__xludf.DUMMYFUNCTION("""COMPUTED_VALUE"""),"")</f>
        <v/>
      </c>
      <c r="N3734" s="6" t="str">
        <f>IFERROR(__xludf.DUMMYFUNCTION("""COMPUTED_VALUE"""),"")</f>
        <v/>
      </c>
      <c r="O3734" s="87" t="str">
        <f>IFERROR(__xludf.DUMMYFUNCTION("""COMPUTED_VALUE"""),"https://drive.google.com/drive/folders/10T2cTQHqEJZqE-st6uFKPoI?usp=share_link")</f>
        <v>https://drive.google.com/drive/folders/10T2cTQHqEJZqE-st6uFKPoI?usp=share_link</v>
      </c>
      <c r="P3734" s="6" t="str">
        <f>IFERROR(__xludf.DUMMYFUNCTION("""COMPUTED_VALUE"""),"Paija Kemp")</f>
        <v>Paija Kemp</v>
      </c>
      <c r="Q3734" s="6" t="str">
        <f>IFERROR(__xludf.DUMMYFUNCTION("""COMPUTED_VALUE"""),"MS")</f>
        <v>MS</v>
      </c>
      <c r="R3734" s="6">
        <f>IFERROR(__xludf.DUMMYFUNCTION("""COMPUTED_VALUE"""),0.0)</f>
        <v>0</v>
      </c>
      <c r="S3734" s="6" t="str">
        <f>IFERROR(__xludf.DUMMYFUNCTION("""COMPUTED_VALUE""")," ")</f>
        <v> </v>
      </c>
      <c r="T3734" s="6" t="str">
        <f>IFERROR(__xludf.DUMMYFUNCTION("""COMPUTED_VALUE"""),"")</f>
        <v/>
      </c>
      <c r="U3734" s="6" t="str">
        <f>IFERROR(__xludf.DUMMYFUNCTION("""COMPUTED_VALUE"""),"6")</f>
        <v>6</v>
      </c>
      <c r="V3734" s="6" t="str">
        <f>IFERROR(__xludf.DUMMYFUNCTION("""COMPUTED_VALUE"""),"English")</f>
        <v>English</v>
      </c>
      <c r="W3734" s="6" t="str">
        <f>IFERROR(__xludf.DUMMYFUNCTION("""COMPUTED_VALUE"""),"[]")</f>
        <v>[]</v>
      </c>
      <c r="X3734" s="6" t="str">
        <f>IFERROR(__xludf.DUMMYFUNCTION("""COMPUTED_VALUE"""),"Enrolled")</f>
        <v>Enrolled</v>
      </c>
    </row>
    <row r="3735">
      <c r="A3735" s="6" t="str">
        <f>IFERROR(__xludf.DUMMYFUNCTION("""COMPUTED_VALUE"""),"066-6771")</f>
        <v>066-6771</v>
      </c>
      <c r="B3735" s="6" t="str">
        <f>IFERROR(__xludf.DUMMYFUNCTION("""COMPUTED_VALUE"""),"66")</f>
        <v>66</v>
      </c>
      <c r="C3735" s="6" t="str">
        <f>IFERROR(__xludf.DUMMYFUNCTION("""COMPUTED_VALUE"""),"6771")</f>
        <v>6771</v>
      </c>
      <c r="D3735" s="6" t="str">
        <f>IFERROR(__xludf.DUMMYFUNCTION("""COMPUTED_VALUE"""),"Mia")</f>
        <v>Mia</v>
      </c>
      <c r="E3735" s="6" t="str">
        <f>IFERROR(__xludf.DUMMYFUNCTION("""COMPUTED_VALUE"""),"")</f>
        <v/>
      </c>
      <c r="F3735" s="6" t="str">
        <f>IFERROR(__xludf.DUMMYFUNCTION("""COMPUTED_VALUE"""),"Miller")</f>
        <v>Miller</v>
      </c>
      <c r="G3735" s="6" t="str">
        <f>IFERROR(__xludf.DUMMYFUNCTION("""COMPUTED_VALUE"""),"07/06/2017")</f>
        <v>07/06/2017</v>
      </c>
      <c r="H3735" s="6" t="str">
        <f>IFERROR(__xludf.DUMMYFUNCTION("""COMPUTED_VALUE"""),"female")</f>
        <v>female</v>
      </c>
      <c r="I3735" s="6" t="str">
        <f>IFERROR(__xludf.DUMMYFUNCTION("""COMPUTED_VALUE"""),"Level 1")</f>
        <v>Level 1</v>
      </c>
      <c r="J3735" s="6" t="str">
        <f>IFERROR(__xludf.DUMMYFUNCTION("""COMPUTED_VALUE"""),"3")</f>
        <v>3</v>
      </c>
      <c r="K3735" s="6" t="str">
        <f>IFERROR(__xludf.DUMMYFUNCTION("""COMPUTED_VALUE"""),"mia.miller.1@2hourlearning.com")</f>
        <v>mia.miller.1@2hourlearning.com</v>
      </c>
      <c r="L3735" s="6" t="str">
        <f>IFERROR(__xludf.DUMMYFUNCTION("""COMPUTED_VALUE"""),"ScienceSIS")</f>
        <v>ScienceSIS</v>
      </c>
      <c r="M3735" s="6" t="str">
        <f>IFERROR(__xludf.DUMMYFUNCTION("""COMPUTED_VALUE"""),"")</f>
        <v/>
      </c>
      <c r="N3735" s="6" t="str">
        <f>IFERROR(__xludf.DUMMYFUNCTION("""COMPUTED_VALUE"""),"")</f>
        <v/>
      </c>
      <c r="O3735" s="87" t="str">
        <f>IFERROR(__xludf.DUMMYFUNCTION("""COMPUTED_VALUE"""),"https://drive.google.com/drive/folders/10T2cTQHqEJZqE-st6uFKPoI?usp=share_link")</f>
        <v>https://drive.google.com/drive/folders/10T2cTQHqEJZqE-st6uFKPoI?usp=share_link</v>
      </c>
      <c r="P3735" s="6" t="str">
        <f>IFERROR(__xludf.DUMMYFUNCTION("""COMPUTED_VALUE"""),"Mia Miller")</f>
        <v>Mia Miller</v>
      </c>
      <c r="Q3735" s="6" t="str">
        <f>IFERROR(__xludf.DUMMYFUNCTION("""COMPUTED_VALUE"""),"L1")</f>
        <v>L1</v>
      </c>
      <c r="R3735" s="6">
        <f>IFERROR(__xludf.DUMMYFUNCTION("""COMPUTED_VALUE"""),1.0)</f>
        <v>1</v>
      </c>
      <c r="S3735" s="6" t="str">
        <f>IFERROR(__xludf.DUMMYFUNCTION("""COMPUTED_VALUE""")," ")</f>
        <v> </v>
      </c>
      <c r="T3735" s="6" t="str">
        <f>IFERROR(__xludf.DUMMYFUNCTION("""COMPUTED_VALUE"""),"")</f>
        <v/>
      </c>
      <c r="U3735" s="6" t="str">
        <f>IFERROR(__xludf.DUMMYFUNCTION("""COMPUTED_VALUE"""),"3")</f>
        <v>3</v>
      </c>
      <c r="V3735" s="6" t="str">
        <f>IFERROR(__xludf.DUMMYFUNCTION("""COMPUTED_VALUE"""),"English")</f>
        <v>English</v>
      </c>
      <c r="W3735" s="6" t="str">
        <f>IFERROR(__xludf.DUMMYFUNCTION("""COMPUTED_VALUE"""),"[]")</f>
        <v>[]</v>
      </c>
      <c r="X3735" s="6" t="str">
        <f>IFERROR(__xludf.DUMMYFUNCTION("""COMPUTED_VALUE"""),"Enrolled")</f>
        <v>Enrolled</v>
      </c>
    </row>
    <row r="3736">
      <c r="A3736" s="6" t="str">
        <f>IFERROR(__xludf.DUMMYFUNCTION("""COMPUTED_VALUE"""),"066-6773")</f>
        <v>066-6773</v>
      </c>
      <c r="B3736" s="6" t="str">
        <f>IFERROR(__xludf.DUMMYFUNCTION("""COMPUTED_VALUE"""),"66")</f>
        <v>66</v>
      </c>
      <c r="C3736" s="6" t="str">
        <f>IFERROR(__xludf.DUMMYFUNCTION("""COMPUTED_VALUE"""),"6773")</f>
        <v>6773</v>
      </c>
      <c r="D3736" s="6" t="str">
        <f>IFERROR(__xludf.DUMMYFUNCTION("""COMPUTED_VALUE"""),"Ataijah")</f>
        <v>Ataijah</v>
      </c>
      <c r="E3736" s="6" t="str">
        <f>IFERROR(__xludf.DUMMYFUNCTION("""COMPUTED_VALUE"""),"")</f>
        <v/>
      </c>
      <c r="F3736" s="6" t="str">
        <f>IFERROR(__xludf.DUMMYFUNCTION("""COMPUTED_VALUE"""),"Mitchell")</f>
        <v>Mitchell</v>
      </c>
      <c r="G3736" s="6" t="str">
        <f>IFERROR(__xludf.DUMMYFUNCTION("""COMPUTED_VALUE"""),"04/28/2016")</f>
        <v>04/28/2016</v>
      </c>
      <c r="H3736" s="6" t="str">
        <f>IFERROR(__xludf.DUMMYFUNCTION("""COMPUTED_VALUE"""),"female")</f>
        <v>female</v>
      </c>
      <c r="I3736" s="6" t="str">
        <f>IFERROR(__xludf.DUMMYFUNCTION("""COMPUTED_VALUE"""),"Level 2")</f>
        <v>Level 2</v>
      </c>
      <c r="J3736" s="6" t="str">
        <f>IFERROR(__xludf.DUMMYFUNCTION("""COMPUTED_VALUE"""),"4")</f>
        <v>4</v>
      </c>
      <c r="K3736" s="6" t="str">
        <f>IFERROR(__xludf.DUMMYFUNCTION("""COMPUTED_VALUE"""),"ataijah.mitchell@2hourlearning.com")</f>
        <v>ataijah.mitchell@2hourlearning.com</v>
      </c>
      <c r="L3736" s="6" t="str">
        <f>IFERROR(__xludf.DUMMYFUNCTION("""COMPUTED_VALUE"""),"ScienceSIS")</f>
        <v>ScienceSIS</v>
      </c>
      <c r="M3736" s="6" t="str">
        <f>IFERROR(__xludf.DUMMYFUNCTION("""COMPUTED_VALUE"""),"")</f>
        <v/>
      </c>
      <c r="N3736" s="6" t="str">
        <f>IFERROR(__xludf.DUMMYFUNCTION("""COMPUTED_VALUE"""),"")</f>
        <v/>
      </c>
      <c r="O3736" s="87" t="str">
        <f>IFERROR(__xludf.DUMMYFUNCTION("""COMPUTED_VALUE"""),"https://drive.google.com/drive/folders/10T2cTQHqEJZqE-st6uFKPoI?usp=share_link")</f>
        <v>https://drive.google.com/drive/folders/10T2cTQHqEJZqE-st6uFKPoI?usp=share_link</v>
      </c>
      <c r="P3736" s="6" t="str">
        <f>IFERROR(__xludf.DUMMYFUNCTION("""COMPUTED_VALUE"""),"Ataijah Mitchell")</f>
        <v>Ataijah Mitchell</v>
      </c>
      <c r="Q3736" s="6" t="str">
        <f>IFERROR(__xludf.DUMMYFUNCTION("""COMPUTED_VALUE"""),"L2")</f>
        <v>L2</v>
      </c>
      <c r="R3736" s="6">
        <f>IFERROR(__xludf.DUMMYFUNCTION("""COMPUTED_VALUE"""),2.0)</f>
        <v>2</v>
      </c>
      <c r="S3736" s="6" t="str">
        <f>IFERROR(__xludf.DUMMYFUNCTION("""COMPUTED_VALUE""")," ")</f>
        <v> </v>
      </c>
      <c r="T3736" s="6" t="str">
        <f>IFERROR(__xludf.DUMMYFUNCTION("""COMPUTED_VALUE"""),"")</f>
        <v/>
      </c>
      <c r="U3736" s="6" t="str">
        <f>IFERROR(__xludf.DUMMYFUNCTION("""COMPUTED_VALUE"""),"4")</f>
        <v>4</v>
      </c>
      <c r="V3736" s="6" t="str">
        <f>IFERROR(__xludf.DUMMYFUNCTION("""COMPUTED_VALUE"""),"English")</f>
        <v>English</v>
      </c>
      <c r="W3736" s="6" t="str">
        <f>IFERROR(__xludf.DUMMYFUNCTION("""COMPUTED_VALUE"""),"[]")</f>
        <v>[]</v>
      </c>
      <c r="X3736" s="6" t="str">
        <f>IFERROR(__xludf.DUMMYFUNCTION("""COMPUTED_VALUE"""),"Enrolled")</f>
        <v>Enrolled</v>
      </c>
    </row>
    <row r="3737">
      <c r="A3737" s="6" t="str">
        <f>IFERROR(__xludf.DUMMYFUNCTION("""COMPUTED_VALUE"""),"066-6774")</f>
        <v>066-6774</v>
      </c>
      <c r="B3737" s="6" t="str">
        <f>IFERROR(__xludf.DUMMYFUNCTION("""COMPUTED_VALUE"""),"66")</f>
        <v>66</v>
      </c>
      <c r="C3737" s="6" t="str">
        <f>IFERROR(__xludf.DUMMYFUNCTION("""COMPUTED_VALUE"""),"6774")</f>
        <v>6774</v>
      </c>
      <c r="D3737" s="6" t="str">
        <f>IFERROR(__xludf.DUMMYFUNCTION("""COMPUTED_VALUE"""),"Armoni")</f>
        <v>Armoni</v>
      </c>
      <c r="E3737" s="6" t="str">
        <f>IFERROR(__xludf.DUMMYFUNCTION("""COMPUTED_VALUE"""),"")</f>
        <v/>
      </c>
      <c r="F3737" s="6" t="str">
        <f>IFERROR(__xludf.DUMMYFUNCTION("""COMPUTED_VALUE"""),"Nelson")</f>
        <v>Nelson</v>
      </c>
      <c r="G3737" s="6" t="str">
        <f>IFERROR(__xludf.DUMMYFUNCTION("""COMPUTED_VALUE"""),"10/27/2015")</f>
        <v>10/27/2015</v>
      </c>
      <c r="H3737" s="6" t="str">
        <f>IFERROR(__xludf.DUMMYFUNCTION("""COMPUTED_VALUE"""),"female")</f>
        <v>female</v>
      </c>
      <c r="I3737" s="6" t="str">
        <f>IFERROR(__xludf.DUMMYFUNCTION("""COMPUTED_VALUE"""),"Level 2")</f>
        <v>Level 2</v>
      </c>
      <c r="J3737" s="6" t="str">
        <f>IFERROR(__xludf.DUMMYFUNCTION("""COMPUTED_VALUE"""),"4")</f>
        <v>4</v>
      </c>
      <c r="K3737" s="6" t="str">
        <f>IFERROR(__xludf.DUMMYFUNCTION("""COMPUTED_VALUE"""),"armoni.nelson@2hourlearning.com")</f>
        <v>armoni.nelson@2hourlearning.com</v>
      </c>
      <c r="L3737" s="6" t="str">
        <f>IFERROR(__xludf.DUMMYFUNCTION("""COMPUTED_VALUE"""),"ScienceSIS")</f>
        <v>ScienceSIS</v>
      </c>
      <c r="M3737" s="6" t="str">
        <f>IFERROR(__xludf.DUMMYFUNCTION("""COMPUTED_VALUE"""),"")</f>
        <v/>
      </c>
      <c r="N3737" s="6" t="str">
        <f>IFERROR(__xludf.DUMMYFUNCTION("""COMPUTED_VALUE"""),"")</f>
        <v/>
      </c>
      <c r="O3737" s="87" t="str">
        <f>IFERROR(__xludf.DUMMYFUNCTION("""COMPUTED_VALUE"""),"https://drive.google.com/drive/folders/10T2cTQHqEJZqE-st6uFKPoI?usp=share_link")</f>
        <v>https://drive.google.com/drive/folders/10T2cTQHqEJZqE-st6uFKPoI?usp=share_link</v>
      </c>
      <c r="P3737" s="6" t="str">
        <f>IFERROR(__xludf.DUMMYFUNCTION("""COMPUTED_VALUE"""),"Armoni Nelson")</f>
        <v>Armoni Nelson</v>
      </c>
      <c r="Q3737" s="6" t="str">
        <f>IFERROR(__xludf.DUMMYFUNCTION("""COMPUTED_VALUE"""),"L2")</f>
        <v>L2</v>
      </c>
      <c r="R3737" s="6">
        <f>IFERROR(__xludf.DUMMYFUNCTION("""COMPUTED_VALUE"""),2.0)</f>
        <v>2</v>
      </c>
      <c r="S3737" s="6" t="str">
        <f>IFERROR(__xludf.DUMMYFUNCTION("""COMPUTED_VALUE""")," ")</f>
        <v> </v>
      </c>
      <c r="T3737" s="6" t="str">
        <f>IFERROR(__xludf.DUMMYFUNCTION("""COMPUTED_VALUE"""),"")</f>
        <v/>
      </c>
      <c r="U3737" s="6" t="str">
        <f>IFERROR(__xludf.DUMMYFUNCTION("""COMPUTED_VALUE"""),"4")</f>
        <v>4</v>
      </c>
      <c r="V3737" s="6" t="str">
        <f>IFERROR(__xludf.DUMMYFUNCTION("""COMPUTED_VALUE"""),"English")</f>
        <v>English</v>
      </c>
      <c r="W3737" s="6" t="str">
        <f>IFERROR(__xludf.DUMMYFUNCTION("""COMPUTED_VALUE"""),"[]")</f>
        <v>[]</v>
      </c>
      <c r="X3737" s="6" t="str">
        <f>IFERROR(__xludf.DUMMYFUNCTION("""COMPUTED_VALUE"""),"Enrolled")</f>
        <v>Enrolled</v>
      </c>
    </row>
    <row r="3738">
      <c r="A3738" s="6" t="str">
        <f>IFERROR(__xludf.DUMMYFUNCTION("""COMPUTED_VALUE"""),"066-6775")</f>
        <v>066-6775</v>
      </c>
      <c r="B3738" s="6" t="str">
        <f>IFERROR(__xludf.DUMMYFUNCTION("""COMPUTED_VALUE"""),"66")</f>
        <v>66</v>
      </c>
      <c r="C3738" s="6" t="str">
        <f>IFERROR(__xludf.DUMMYFUNCTION("""COMPUTED_VALUE"""),"6775")</f>
        <v>6775</v>
      </c>
      <c r="D3738" s="6" t="str">
        <f>IFERROR(__xludf.DUMMYFUNCTION("""COMPUTED_VALUE"""),"Trinity")</f>
        <v>Trinity</v>
      </c>
      <c r="E3738" s="6" t="str">
        <f>IFERROR(__xludf.DUMMYFUNCTION("""COMPUTED_VALUE"""),"")</f>
        <v/>
      </c>
      <c r="F3738" s="6" t="str">
        <f>IFERROR(__xludf.DUMMYFUNCTION("""COMPUTED_VALUE"""),"Peoples")</f>
        <v>Peoples</v>
      </c>
      <c r="G3738" s="6" t="str">
        <f>IFERROR(__xludf.DUMMYFUNCTION("""COMPUTED_VALUE"""),"10/27/2016")</f>
        <v>10/27/2016</v>
      </c>
      <c r="H3738" s="6" t="str">
        <f>IFERROR(__xludf.DUMMYFUNCTION("""COMPUTED_VALUE"""),"female")</f>
        <v>female</v>
      </c>
      <c r="I3738" s="6" t="str">
        <f>IFERROR(__xludf.DUMMYFUNCTION("""COMPUTED_VALUE"""),"Level 1")</f>
        <v>Level 1</v>
      </c>
      <c r="J3738" s="6" t="str">
        <f>IFERROR(__xludf.DUMMYFUNCTION("""COMPUTED_VALUE"""),"3")</f>
        <v>3</v>
      </c>
      <c r="K3738" s="6" t="str">
        <f>IFERROR(__xludf.DUMMYFUNCTION("""COMPUTED_VALUE"""),"trinity.peoples@2hourlearning.com")</f>
        <v>trinity.peoples@2hourlearning.com</v>
      </c>
      <c r="L3738" s="6" t="str">
        <f>IFERROR(__xludf.DUMMYFUNCTION("""COMPUTED_VALUE"""),"ScienceSIS")</f>
        <v>ScienceSIS</v>
      </c>
      <c r="M3738" s="6" t="str">
        <f>IFERROR(__xludf.DUMMYFUNCTION("""COMPUTED_VALUE"""),"")</f>
        <v/>
      </c>
      <c r="N3738" s="6" t="str">
        <f>IFERROR(__xludf.DUMMYFUNCTION("""COMPUTED_VALUE"""),"")</f>
        <v/>
      </c>
      <c r="O3738" s="87" t="str">
        <f>IFERROR(__xludf.DUMMYFUNCTION("""COMPUTED_VALUE"""),"https://drive.google.com/drive/folders/10T2cTQHqEJZqE-st6uFKPoI?usp=share_link")</f>
        <v>https://drive.google.com/drive/folders/10T2cTQHqEJZqE-st6uFKPoI?usp=share_link</v>
      </c>
      <c r="P3738" s="6" t="str">
        <f>IFERROR(__xludf.DUMMYFUNCTION("""COMPUTED_VALUE"""),"Trinity Peoples")</f>
        <v>Trinity Peoples</v>
      </c>
      <c r="Q3738" s="6" t="str">
        <f>IFERROR(__xludf.DUMMYFUNCTION("""COMPUTED_VALUE"""),"L1")</f>
        <v>L1</v>
      </c>
      <c r="R3738" s="6">
        <f>IFERROR(__xludf.DUMMYFUNCTION("""COMPUTED_VALUE"""),1.0)</f>
        <v>1</v>
      </c>
      <c r="S3738" s="6" t="str">
        <f>IFERROR(__xludf.DUMMYFUNCTION("""COMPUTED_VALUE""")," ")</f>
        <v> </v>
      </c>
      <c r="T3738" s="6" t="str">
        <f>IFERROR(__xludf.DUMMYFUNCTION("""COMPUTED_VALUE"""),"")</f>
        <v/>
      </c>
      <c r="U3738" s="6" t="str">
        <f>IFERROR(__xludf.DUMMYFUNCTION("""COMPUTED_VALUE"""),"3")</f>
        <v>3</v>
      </c>
      <c r="V3738" s="6" t="str">
        <f>IFERROR(__xludf.DUMMYFUNCTION("""COMPUTED_VALUE"""),"English")</f>
        <v>English</v>
      </c>
      <c r="W3738" s="6" t="str">
        <f>IFERROR(__xludf.DUMMYFUNCTION("""COMPUTED_VALUE"""),"[]")</f>
        <v>[]</v>
      </c>
      <c r="X3738" s="6" t="str">
        <f>IFERROR(__xludf.DUMMYFUNCTION("""COMPUTED_VALUE"""),"Enrolled")</f>
        <v>Enrolled</v>
      </c>
    </row>
    <row r="3739">
      <c r="A3739" s="6" t="str">
        <f>IFERROR(__xludf.DUMMYFUNCTION("""COMPUTED_VALUE"""),"066-6776")</f>
        <v>066-6776</v>
      </c>
      <c r="B3739" s="6" t="str">
        <f>IFERROR(__xludf.DUMMYFUNCTION("""COMPUTED_VALUE"""),"66")</f>
        <v>66</v>
      </c>
      <c r="C3739" s="6" t="str">
        <f>IFERROR(__xludf.DUMMYFUNCTION("""COMPUTED_VALUE"""),"6776")</f>
        <v>6776</v>
      </c>
      <c r="D3739" s="6" t="str">
        <f>IFERROR(__xludf.DUMMYFUNCTION("""COMPUTED_VALUE"""),"Jermanee")</f>
        <v>Jermanee</v>
      </c>
      <c r="E3739" s="6" t="str">
        <f>IFERROR(__xludf.DUMMYFUNCTION("""COMPUTED_VALUE"""),"")</f>
        <v/>
      </c>
      <c r="F3739" s="6" t="str">
        <f>IFERROR(__xludf.DUMMYFUNCTION("""COMPUTED_VALUE"""),"Perry")</f>
        <v>Perry</v>
      </c>
      <c r="G3739" s="6" t="str">
        <f>IFERROR(__xludf.DUMMYFUNCTION("""COMPUTED_VALUE"""),"07/30/2015")</f>
        <v>07/30/2015</v>
      </c>
      <c r="H3739" s="6" t="str">
        <f>IFERROR(__xludf.DUMMYFUNCTION("""COMPUTED_VALUE"""),"female")</f>
        <v>female</v>
      </c>
      <c r="I3739" s="6" t="str">
        <f>IFERROR(__xludf.DUMMYFUNCTION("""COMPUTED_VALUE"""),"Level 2")</f>
        <v>Level 2</v>
      </c>
      <c r="J3739" s="6" t="str">
        <f>IFERROR(__xludf.DUMMYFUNCTION("""COMPUTED_VALUE"""),"5")</f>
        <v>5</v>
      </c>
      <c r="K3739" s="6" t="str">
        <f>IFERROR(__xludf.DUMMYFUNCTION("""COMPUTED_VALUE"""),"jermanee.perry@2hourlearning.com")</f>
        <v>jermanee.perry@2hourlearning.com</v>
      </c>
      <c r="L3739" s="6" t="str">
        <f>IFERROR(__xludf.DUMMYFUNCTION("""COMPUTED_VALUE"""),"ScienceSIS")</f>
        <v>ScienceSIS</v>
      </c>
      <c r="M3739" s="6" t="str">
        <f>IFERROR(__xludf.DUMMYFUNCTION("""COMPUTED_VALUE"""),"")</f>
        <v/>
      </c>
      <c r="N3739" s="6" t="str">
        <f>IFERROR(__xludf.DUMMYFUNCTION("""COMPUTED_VALUE"""),"")</f>
        <v/>
      </c>
      <c r="O3739" s="87" t="str">
        <f>IFERROR(__xludf.DUMMYFUNCTION("""COMPUTED_VALUE"""),"https://drive.google.com/drive/folders/10T2cTQHqEJZqE-st6uFKPoI?usp=share_link")</f>
        <v>https://drive.google.com/drive/folders/10T2cTQHqEJZqE-st6uFKPoI?usp=share_link</v>
      </c>
      <c r="P3739" s="6" t="str">
        <f>IFERROR(__xludf.DUMMYFUNCTION("""COMPUTED_VALUE"""),"Jermanee Perry")</f>
        <v>Jermanee Perry</v>
      </c>
      <c r="Q3739" s="6" t="str">
        <f>IFERROR(__xludf.DUMMYFUNCTION("""COMPUTED_VALUE"""),"L2")</f>
        <v>L2</v>
      </c>
      <c r="R3739" s="6">
        <f>IFERROR(__xludf.DUMMYFUNCTION("""COMPUTED_VALUE"""),2.0)</f>
        <v>2</v>
      </c>
      <c r="S3739" s="6" t="str">
        <f>IFERROR(__xludf.DUMMYFUNCTION("""COMPUTED_VALUE""")," ")</f>
        <v> </v>
      </c>
      <c r="T3739" s="6" t="str">
        <f>IFERROR(__xludf.DUMMYFUNCTION("""COMPUTED_VALUE"""),"")</f>
        <v/>
      </c>
      <c r="U3739" s="6" t="str">
        <f>IFERROR(__xludf.DUMMYFUNCTION("""COMPUTED_VALUE"""),"5")</f>
        <v>5</v>
      </c>
      <c r="V3739" s="6" t="str">
        <f>IFERROR(__xludf.DUMMYFUNCTION("""COMPUTED_VALUE"""),"English")</f>
        <v>English</v>
      </c>
      <c r="W3739" s="6" t="str">
        <f>IFERROR(__xludf.DUMMYFUNCTION("""COMPUTED_VALUE"""),"[]")</f>
        <v>[]</v>
      </c>
      <c r="X3739" s="6" t="str">
        <f>IFERROR(__xludf.DUMMYFUNCTION("""COMPUTED_VALUE"""),"Enrolled")</f>
        <v>Enrolled</v>
      </c>
    </row>
    <row r="3740">
      <c r="A3740" s="6" t="str">
        <f>IFERROR(__xludf.DUMMYFUNCTION("""COMPUTED_VALUE"""),"066-6779")</f>
        <v>066-6779</v>
      </c>
      <c r="B3740" s="6" t="str">
        <f>IFERROR(__xludf.DUMMYFUNCTION("""COMPUTED_VALUE"""),"66")</f>
        <v>66</v>
      </c>
      <c r="C3740" s="6" t="str">
        <f>IFERROR(__xludf.DUMMYFUNCTION("""COMPUTED_VALUE"""),"6779")</f>
        <v>6779</v>
      </c>
      <c r="D3740" s="6" t="str">
        <f>IFERROR(__xludf.DUMMYFUNCTION("""COMPUTED_VALUE"""),"Amelia")</f>
        <v>Amelia</v>
      </c>
      <c r="E3740" s="6" t="str">
        <f>IFERROR(__xludf.DUMMYFUNCTION("""COMPUTED_VALUE"""),"")</f>
        <v/>
      </c>
      <c r="F3740" s="6" t="str">
        <f>IFERROR(__xludf.DUMMYFUNCTION("""COMPUTED_VALUE"""),"Taylor")</f>
        <v>Taylor</v>
      </c>
      <c r="G3740" s="6" t="str">
        <f>IFERROR(__xludf.DUMMYFUNCTION("""COMPUTED_VALUE"""),"11/05/2015")</f>
        <v>11/05/2015</v>
      </c>
      <c r="H3740" s="6" t="str">
        <f>IFERROR(__xludf.DUMMYFUNCTION("""COMPUTED_VALUE"""),"female")</f>
        <v>female</v>
      </c>
      <c r="I3740" s="6" t="str">
        <f>IFERROR(__xludf.DUMMYFUNCTION("""COMPUTED_VALUE"""),"Level 2")</f>
        <v>Level 2</v>
      </c>
      <c r="J3740" s="6" t="str">
        <f>IFERROR(__xludf.DUMMYFUNCTION("""COMPUTED_VALUE"""),"4")</f>
        <v>4</v>
      </c>
      <c r="K3740" s="6" t="str">
        <f>IFERROR(__xludf.DUMMYFUNCTION("""COMPUTED_VALUE"""),"amelia.taylor@2hourlearning.com")</f>
        <v>amelia.taylor@2hourlearning.com</v>
      </c>
      <c r="L3740" s="6" t="str">
        <f>IFERROR(__xludf.DUMMYFUNCTION("""COMPUTED_VALUE"""),"ScienceSIS")</f>
        <v>ScienceSIS</v>
      </c>
      <c r="M3740" s="6" t="str">
        <f>IFERROR(__xludf.DUMMYFUNCTION("""COMPUTED_VALUE"""),"")</f>
        <v/>
      </c>
      <c r="N3740" s="6" t="str">
        <f>IFERROR(__xludf.DUMMYFUNCTION("""COMPUTED_VALUE"""),"")</f>
        <v/>
      </c>
      <c r="O3740" s="87" t="str">
        <f>IFERROR(__xludf.DUMMYFUNCTION("""COMPUTED_VALUE"""),"https://drive.google.com/drive/folders/10T2cTQHqEJZqE-st6uFKPoI?usp=share_link")</f>
        <v>https://drive.google.com/drive/folders/10T2cTQHqEJZqE-st6uFKPoI?usp=share_link</v>
      </c>
      <c r="P3740" s="6" t="str">
        <f>IFERROR(__xludf.DUMMYFUNCTION("""COMPUTED_VALUE"""),"Amelia Taylor")</f>
        <v>Amelia Taylor</v>
      </c>
      <c r="Q3740" s="6" t="str">
        <f>IFERROR(__xludf.DUMMYFUNCTION("""COMPUTED_VALUE"""),"L2")</f>
        <v>L2</v>
      </c>
      <c r="R3740" s="6">
        <f>IFERROR(__xludf.DUMMYFUNCTION("""COMPUTED_VALUE"""),2.0)</f>
        <v>2</v>
      </c>
      <c r="S3740" s="6" t="str">
        <f>IFERROR(__xludf.DUMMYFUNCTION("""COMPUTED_VALUE""")," ")</f>
        <v> </v>
      </c>
      <c r="T3740" s="6" t="str">
        <f>IFERROR(__xludf.DUMMYFUNCTION("""COMPUTED_VALUE"""),"")</f>
        <v/>
      </c>
      <c r="U3740" s="6" t="str">
        <f>IFERROR(__xludf.DUMMYFUNCTION("""COMPUTED_VALUE"""),"4")</f>
        <v>4</v>
      </c>
      <c r="V3740" s="6" t="str">
        <f>IFERROR(__xludf.DUMMYFUNCTION("""COMPUTED_VALUE"""),"English")</f>
        <v>English</v>
      </c>
      <c r="W3740" s="6" t="str">
        <f>IFERROR(__xludf.DUMMYFUNCTION("""COMPUTED_VALUE"""),"[]")</f>
        <v>[]</v>
      </c>
      <c r="X3740" s="6" t="str">
        <f>IFERROR(__xludf.DUMMYFUNCTION("""COMPUTED_VALUE"""),"Enrolled")</f>
        <v>Enrolled</v>
      </c>
    </row>
    <row r="3741">
      <c r="A3741" s="6" t="str">
        <f>IFERROR(__xludf.DUMMYFUNCTION("""COMPUTED_VALUE"""),"066-6781")</f>
        <v>066-6781</v>
      </c>
      <c r="B3741" s="6" t="str">
        <f>IFERROR(__xludf.DUMMYFUNCTION("""COMPUTED_VALUE"""),"66")</f>
        <v>66</v>
      </c>
      <c r="C3741" s="6" t="str">
        <f>IFERROR(__xludf.DUMMYFUNCTION("""COMPUTED_VALUE"""),"6781")</f>
        <v>6781</v>
      </c>
      <c r="D3741" s="6" t="str">
        <f>IFERROR(__xludf.DUMMYFUNCTION("""COMPUTED_VALUE"""),"Taylan")</f>
        <v>Taylan</v>
      </c>
      <c r="E3741" s="6" t="str">
        <f>IFERROR(__xludf.DUMMYFUNCTION("""COMPUTED_VALUE"""),"")</f>
        <v/>
      </c>
      <c r="F3741" s="6" t="str">
        <f>IFERROR(__xludf.DUMMYFUNCTION("""COMPUTED_VALUE"""),"Watkins")</f>
        <v>Watkins</v>
      </c>
      <c r="G3741" s="6" t="str">
        <f>IFERROR(__xludf.DUMMYFUNCTION("""COMPUTED_VALUE"""),"07/08/2016")</f>
        <v>07/08/2016</v>
      </c>
      <c r="H3741" s="6" t="str">
        <f>IFERROR(__xludf.DUMMYFUNCTION("""COMPUTED_VALUE"""),"female")</f>
        <v>female</v>
      </c>
      <c r="I3741" s="6" t="str">
        <f>IFERROR(__xludf.DUMMYFUNCTION("""COMPUTED_VALUE"""),"Level 2")</f>
        <v>Level 2</v>
      </c>
      <c r="J3741" s="6" t="str">
        <f>IFERROR(__xludf.DUMMYFUNCTION("""COMPUTED_VALUE"""),"4")</f>
        <v>4</v>
      </c>
      <c r="K3741" s="6" t="str">
        <f>IFERROR(__xludf.DUMMYFUNCTION("""COMPUTED_VALUE"""),"taylan.watkins@2hourlearning.com")</f>
        <v>taylan.watkins@2hourlearning.com</v>
      </c>
      <c r="L3741" s="6" t="str">
        <f>IFERROR(__xludf.DUMMYFUNCTION("""COMPUTED_VALUE"""),"ScienceSIS")</f>
        <v>ScienceSIS</v>
      </c>
      <c r="M3741" s="6" t="str">
        <f>IFERROR(__xludf.DUMMYFUNCTION("""COMPUTED_VALUE"""),"")</f>
        <v/>
      </c>
      <c r="N3741" s="6" t="str">
        <f>IFERROR(__xludf.DUMMYFUNCTION("""COMPUTED_VALUE"""),"")</f>
        <v/>
      </c>
      <c r="O3741" s="87" t="str">
        <f>IFERROR(__xludf.DUMMYFUNCTION("""COMPUTED_VALUE"""),"https://drive.google.com/drive/folders/10T2cTQHqEJZqE-st6uFKPoI?usp=share_link")</f>
        <v>https://drive.google.com/drive/folders/10T2cTQHqEJZqE-st6uFKPoI?usp=share_link</v>
      </c>
      <c r="P3741" s="6" t="str">
        <f>IFERROR(__xludf.DUMMYFUNCTION("""COMPUTED_VALUE"""),"Taylan Watkins")</f>
        <v>Taylan Watkins</v>
      </c>
      <c r="Q3741" s="6" t="str">
        <f>IFERROR(__xludf.DUMMYFUNCTION("""COMPUTED_VALUE"""),"L2")</f>
        <v>L2</v>
      </c>
      <c r="R3741" s="6">
        <f>IFERROR(__xludf.DUMMYFUNCTION("""COMPUTED_VALUE"""),2.0)</f>
        <v>2</v>
      </c>
      <c r="S3741" s="6" t="str">
        <f>IFERROR(__xludf.DUMMYFUNCTION("""COMPUTED_VALUE""")," ")</f>
        <v> </v>
      </c>
      <c r="T3741" s="6" t="str">
        <f>IFERROR(__xludf.DUMMYFUNCTION("""COMPUTED_VALUE"""),"")</f>
        <v/>
      </c>
      <c r="U3741" s="6" t="str">
        <f>IFERROR(__xludf.DUMMYFUNCTION("""COMPUTED_VALUE"""),"4")</f>
        <v>4</v>
      </c>
      <c r="V3741" s="6" t="str">
        <f>IFERROR(__xludf.DUMMYFUNCTION("""COMPUTED_VALUE"""),"English")</f>
        <v>English</v>
      </c>
      <c r="W3741" s="6" t="str">
        <f>IFERROR(__xludf.DUMMYFUNCTION("""COMPUTED_VALUE"""),"[]")</f>
        <v>[]</v>
      </c>
      <c r="X3741" s="6" t="str">
        <f>IFERROR(__xludf.DUMMYFUNCTION("""COMPUTED_VALUE"""),"Enrolled")</f>
        <v>Enrolled</v>
      </c>
    </row>
    <row r="3742">
      <c r="A3742" s="6" t="str">
        <f>IFERROR(__xludf.DUMMYFUNCTION("""COMPUTED_VALUE"""),"066-6782")</f>
        <v>066-6782</v>
      </c>
      <c r="B3742" s="6" t="str">
        <f>IFERROR(__xludf.DUMMYFUNCTION("""COMPUTED_VALUE"""),"66")</f>
        <v>66</v>
      </c>
      <c r="C3742" s="6" t="str">
        <f>IFERROR(__xludf.DUMMYFUNCTION("""COMPUTED_VALUE"""),"6782")</f>
        <v>6782</v>
      </c>
      <c r="D3742" s="6" t="str">
        <f>IFERROR(__xludf.DUMMYFUNCTION("""COMPUTED_VALUE"""),"Tionne")</f>
        <v>Tionne</v>
      </c>
      <c r="E3742" s="6" t="str">
        <f>IFERROR(__xludf.DUMMYFUNCTION("""COMPUTED_VALUE"""),"")</f>
        <v/>
      </c>
      <c r="F3742" s="6" t="str">
        <f>IFERROR(__xludf.DUMMYFUNCTION("""COMPUTED_VALUE"""),"Watts")</f>
        <v>Watts</v>
      </c>
      <c r="G3742" s="6" t="str">
        <f>IFERROR(__xludf.DUMMYFUNCTION("""COMPUTED_VALUE"""),"06/18/2016")</f>
        <v>06/18/2016</v>
      </c>
      <c r="H3742" s="6" t="str">
        <f>IFERROR(__xludf.DUMMYFUNCTION("""COMPUTED_VALUE"""),"female")</f>
        <v>female</v>
      </c>
      <c r="I3742" s="6" t="str">
        <f>IFERROR(__xludf.DUMMYFUNCTION("""COMPUTED_VALUE"""),"Level 2")</f>
        <v>Level 2</v>
      </c>
      <c r="J3742" s="6" t="str">
        <f>IFERROR(__xludf.DUMMYFUNCTION("""COMPUTED_VALUE"""),"4")</f>
        <v>4</v>
      </c>
      <c r="K3742" s="6" t="str">
        <f>IFERROR(__xludf.DUMMYFUNCTION("""COMPUTED_VALUE"""),"tionne.watts@2hourlearning.com")</f>
        <v>tionne.watts@2hourlearning.com</v>
      </c>
      <c r="L3742" s="6" t="str">
        <f>IFERROR(__xludf.DUMMYFUNCTION("""COMPUTED_VALUE"""),"ScienceSIS")</f>
        <v>ScienceSIS</v>
      </c>
      <c r="M3742" s="6" t="str">
        <f>IFERROR(__xludf.DUMMYFUNCTION("""COMPUTED_VALUE"""),"")</f>
        <v/>
      </c>
      <c r="N3742" s="6" t="str">
        <f>IFERROR(__xludf.DUMMYFUNCTION("""COMPUTED_VALUE"""),"")</f>
        <v/>
      </c>
      <c r="O3742" s="87" t="str">
        <f>IFERROR(__xludf.DUMMYFUNCTION("""COMPUTED_VALUE"""),"https://drive.google.com/drive/folders/10T2cTQHqEJZqE-st6uFKPoI?usp=share_link")</f>
        <v>https://drive.google.com/drive/folders/10T2cTQHqEJZqE-st6uFKPoI?usp=share_link</v>
      </c>
      <c r="P3742" s="6" t="str">
        <f>IFERROR(__xludf.DUMMYFUNCTION("""COMPUTED_VALUE"""),"Tionne Watts")</f>
        <v>Tionne Watts</v>
      </c>
      <c r="Q3742" s="6" t="str">
        <f>IFERROR(__xludf.DUMMYFUNCTION("""COMPUTED_VALUE"""),"L2")</f>
        <v>L2</v>
      </c>
      <c r="R3742" s="6">
        <f>IFERROR(__xludf.DUMMYFUNCTION("""COMPUTED_VALUE"""),2.0)</f>
        <v>2</v>
      </c>
      <c r="S3742" s="6" t="str">
        <f>IFERROR(__xludf.DUMMYFUNCTION("""COMPUTED_VALUE""")," ")</f>
        <v> </v>
      </c>
      <c r="T3742" s="6" t="str">
        <f>IFERROR(__xludf.DUMMYFUNCTION("""COMPUTED_VALUE"""),"")</f>
        <v/>
      </c>
      <c r="U3742" s="6" t="str">
        <f>IFERROR(__xludf.DUMMYFUNCTION("""COMPUTED_VALUE"""),"4")</f>
        <v>4</v>
      </c>
      <c r="V3742" s="6" t="str">
        <f>IFERROR(__xludf.DUMMYFUNCTION("""COMPUTED_VALUE"""),"English")</f>
        <v>English</v>
      </c>
      <c r="W3742" s="6" t="str">
        <f>IFERROR(__xludf.DUMMYFUNCTION("""COMPUTED_VALUE"""),"[]")</f>
        <v>[]</v>
      </c>
      <c r="X3742" s="6" t="str">
        <f>IFERROR(__xludf.DUMMYFUNCTION("""COMPUTED_VALUE"""),"Enrolled")</f>
        <v>Enrolled</v>
      </c>
    </row>
    <row r="3743">
      <c r="A3743" s="6" t="str">
        <f>IFERROR(__xludf.DUMMYFUNCTION("""COMPUTED_VALUE"""),"066-6783")</f>
        <v>066-6783</v>
      </c>
      <c r="B3743" s="6" t="str">
        <f>IFERROR(__xludf.DUMMYFUNCTION("""COMPUTED_VALUE"""),"66")</f>
        <v>66</v>
      </c>
      <c r="C3743" s="6" t="str">
        <f>IFERROR(__xludf.DUMMYFUNCTION("""COMPUTED_VALUE"""),"6783")</f>
        <v>6783</v>
      </c>
      <c r="D3743" s="6" t="str">
        <f>IFERROR(__xludf.DUMMYFUNCTION("""COMPUTED_VALUE"""),"Lauren")</f>
        <v>Lauren</v>
      </c>
      <c r="E3743" s="6" t="str">
        <f>IFERROR(__xludf.DUMMYFUNCTION("""COMPUTED_VALUE"""),"")</f>
        <v/>
      </c>
      <c r="F3743" s="6" t="str">
        <f>IFERROR(__xludf.DUMMYFUNCTION("""COMPUTED_VALUE"""),"Whitty")</f>
        <v>Whitty</v>
      </c>
      <c r="G3743" s="6" t="str">
        <f>IFERROR(__xludf.DUMMYFUNCTION("""COMPUTED_VALUE"""),"09/02/2015")</f>
        <v>09/02/2015</v>
      </c>
      <c r="H3743" s="6" t="str">
        <f>IFERROR(__xludf.DUMMYFUNCTION("""COMPUTED_VALUE"""),"female")</f>
        <v>female</v>
      </c>
      <c r="I3743" s="6" t="str">
        <f>IFERROR(__xludf.DUMMYFUNCTION("""COMPUTED_VALUE"""),"Level 2")</f>
        <v>Level 2</v>
      </c>
      <c r="J3743" s="6" t="str">
        <f>IFERROR(__xludf.DUMMYFUNCTION("""COMPUTED_VALUE"""),"4")</f>
        <v>4</v>
      </c>
      <c r="K3743" s="6" t="str">
        <f>IFERROR(__xludf.DUMMYFUNCTION("""COMPUTED_VALUE"""),"lauren.whitty@2hourlearning.com")</f>
        <v>lauren.whitty@2hourlearning.com</v>
      </c>
      <c r="L3743" s="6" t="str">
        <f>IFERROR(__xludf.DUMMYFUNCTION("""COMPUTED_VALUE"""),"ScienceSIS")</f>
        <v>ScienceSIS</v>
      </c>
      <c r="M3743" s="6" t="str">
        <f>IFERROR(__xludf.DUMMYFUNCTION("""COMPUTED_VALUE"""),"")</f>
        <v/>
      </c>
      <c r="N3743" s="6" t="str">
        <f>IFERROR(__xludf.DUMMYFUNCTION("""COMPUTED_VALUE"""),"")</f>
        <v/>
      </c>
      <c r="O3743" s="87" t="str">
        <f>IFERROR(__xludf.DUMMYFUNCTION("""COMPUTED_VALUE"""),"https://drive.google.com/drive/folders/10T2cTQHqEJZqE-st6uFKPoI?usp=share_link")</f>
        <v>https://drive.google.com/drive/folders/10T2cTQHqEJZqE-st6uFKPoI?usp=share_link</v>
      </c>
      <c r="P3743" s="6" t="str">
        <f>IFERROR(__xludf.DUMMYFUNCTION("""COMPUTED_VALUE"""),"Lauren Whitty")</f>
        <v>Lauren Whitty</v>
      </c>
      <c r="Q3743" s="6" t="str">
        <f>IFERROR(__xludf.DUMMYFUNCTION("""COMPUTED_VALUE"""),"L2")</f>
        <v>L2</v>
      </c>
      <c r="R3743" s="6">
        <f>IFERROR(__xludf.DUMMYFUNCTION("""COMPUTED_VALUE"""),2.0)</f>
        <v>2</v>
      </c>
      <c r="S3743" s="6" t="str">
        <f>IFERROR(__xludf.DUMMYFUNCTION("""COMPUTED_VALUE""")," ")</f>
        <v> </v>
      </c>
      <c r="T3743" s="6" t="str">
        <f>IFERROR(__xludf.DUMMYFUNCTION("""COMPUTED_VALUE"""),"")</f>
        <v/>
      </c>
      <c r="U3743" s="6" t="str">
        <f>IFERROR(__xludf.DUMMYFUNCTION("""COMPUTED_VALUE"""),"4")</f>
        <v>4</v>
      </c>
      <c r="V3743" s="6" t="str">
        <f>IFERROR(__xludf.DUMMYFUNCTION("""COMPUTED_VALUE"""),"English")</f>
        <v>English</v>
      </c>
      <c r="W3743" s="6" t="str">
        <f>IFERROR(__xludf.DUMMYFUNCTION("""COMPUTED_VALUE"""),"[]")</f>
        <v>[]</v>
      </c>
      <c r="X3743" s="6" t="str">
        <f>IFERROR(__xludf.DUMMYFUNCTION("""COMPUTED_VALUE"""),"Enrolled")</f>
        <v>Enrolled</v>
      </c>
    </row>
    <row r="3744">
      <c r="A3744" s="6" t="str">
        <f>IFERROR(__xludf.DUMMYFUNCTION("""COMPUTED_VALUE"""),"066-6784")</f>
        <v>066-6784</v>
      </c>
      <c r="B3744" s="6" t="str">
        <f>IFERROR(__xludf.DUMMYFUNCTION("""COMPUTED_VALUE"""),"66")</f>
        <v>66</v>
      </c>
      <c r="C3744" s="6" t="str">
        <f>IFERROR(__xludf.DUMMYFUNCTION("""COMPUTED_VALUE"""),"6784")</f>
        <v>6784</v>
      </c>
      <c r="D3744" s="6" t="str">
        <f>IFERROR(__xludf.DUMMYFUNCTION("""COMPUTED_VALUE"""),"Cobie")</f>
        <v>Cobie</v>
      </c>
      <c r="E3744" s="6" t="str">
        <f>IFERROR(__xludf.DUMMYFUNCTION("""COMPUTED_VALUE"""),"")</f>
        <v/>
      </c>
      <c r="F3744" s="6" t="str">
        <f>IFERROR(__xludf.DUMMYFUNCTION("""COMPUTED_VALUE"""),"Willie")</f>
        <v>Willie</v>
      </c>
      <c r="G3744" s="6" t="str">
        <f>IFERROR(__xludf.DUMMYFUNCTION("""COMPUTED_VALUE"""),"07/10/2017")</f>
        <v>07/10/2017</v>
      </c>
      <c r="H3744" s="6" t="str">
        <f>IFERROR(__xludf.DUMMYFUNCTION("""COMPUTED_VALUE"""),"female")</f>
        <v>female</v>
      </c>
      <c r="I3744" s="6" t="str">
        <f>IFERROR(__xludf.DUMMYFUNCTION("""COMPUTED_VALUE"""),"Level 1")</f>
        <v>Level 1</v>
      </c>
      <c r="J3744" s="6" t="str">
        <f>IFERROR(__xludf.DUMMYFUNCTION("""COMPUTED_VALUE"""),"3")</f>
        <v>3</v>
      </c>
      <c r="K3744" s="6" t="str">
        <f>IFERROR(__xludf.DUMMYFUNCTION("""COMPUTED_VALUE"""),"cobie.willie@2hourlearning.com")</f>
        <v>cobie.willie@2hourlearning.com</v>
      </c>
      <c r="L3744" s="6" t="str">
        <f>IFERROR(__xludf.DUMMYFUNCTION("""COMPUTED_VALUE"""),"ScienceSIS")</f>
        <v>ScienceSIS</v>
      </c>
      <c r="M3744" s="6" t="str">
        <f>IFERROR(__xludf.DUMMYFUNCTION("""COMPUTED_VALUE"""),"")</f>
        <v/>
      </c>
      <c r="N3744" s="6" t="str">
        <f>IFERROR(__xludf.DUMMYFUNCTION("""COMPUTED_VALUE"""),"")</f>
        <v/>
      </c>
      <c r="O3744" s="87" t="str">
        <f>IFERROR(__xludf.DUMMYFUNCTION("""COMPUTED_VALUE"""),"https://drive.google.com/drive/folders/10T2cTQHqEJZqE-st6uFKPoI?usp=share_link")</f>
        <v>https://drive.google.com/drive/folders/10T2cTQHqEJZqE-st6uFKPoI?usp=share_link</v>
      </c>
      <c r="P3744" s="6" t="str">
        <f>IFERROR(__xludf.DUMMYFUNCTION("""COMPUTED_VALUE"""),"Cobie Willie")</f>
        <v>Cobie Willie</v>
      </c>
      <c r="Q3744" s="6" t="str">
        <f>IFERROR(__xludf.DUMMYFUNCTION("""COMPUTED_VALUE"""),"L1")</f>
        <v>L1</v>
      </c>
      <c r="R3744" s="6">
        <f>IFERROR(__xludf.DUMMYFUNCTION("""COMPUTED_VALUE"""),1.0)</f>
        <v>1</v>
      </c>
      <c r="S3744" s="6" t="str">
        <f>IFERROR(__xludf.DUMMYFUNCTION("""COMPUTED_VALUE""")," ")</f>
        <v> </v>
      </c>
      <c r="T3744" s="6" t="str">
        <f>IFERROR(__xludf.DUMMYFUNCTION("""COMPUTED_VALUE"""),"")</f>
        <v/>
      </c>
      <c r="U3744" s="6" t="str">
        <f>IFERROR(__xludf.DUMMYFUNCTION("""COMPUTED_VALUE"""),"3")</f>
        <v>3</v>
      </c>
      <c r="V3744" s="6" t="str">
        <f>IFERROR(__xludf.DUMMYFUNCTION("""COMPUTED_VALUE"""),"English")</f>
        <v>English</v>
      </c>
      <c r="W3744" s="6" t="str">
        <f>IFERROR(__xludf.DUMMYFUNCTION("""COMPUTED_VALUE"""),"[]")</f>
        <v>[]</v>
      </c>
      <c r="X3744" s="6" t="str">
        <f>IFERROR(__xludf.DUMMYFUNCTION("""COMPUTED_VALUE"""),"Enrolled")</f>
        <v>Enrolled</v>
      </c>
    </row>
    <row r="3745">
      <c r="A3745" s="6" t="str">
        <f>IFERROR(__xludf.DUMMYFUNCTION("""COMPUTED_VALUE"""),"066-6785")</f>
        <v>066-6785</v>
      </c>
      <c r="B3745" s="6" t="str">
        <f>IFERROR(__xludf.DUMMYFUNCTION("""COMPUTED_VALUE"""),"66")</f>
        <v>66</v>
      </c>
      <c r="C3745" s="6" t="str">
        <f>IFERROR(__xludf.DUMMYFUNCTION("""COMPUTED_VALUE"""),"6785")</f>
        <v>6785</v>
      </c>
      <c r="D3745" s="6" t="str">
        <f>IFERROR(__xludf.DUMMYFUNCTION("""COMPUTED_VALUE"""),"Berkeley")</f>
        <v>Berkeley</v>
      </c>
      <c r="E3745" s="6" t="str">
        <f>IFERROR(__xludf.DUMMYFUNCTION("""COMPUTED_VALUE"""),"")</f>
        <v/>
      </c>
      <c r="F3745" s="6" t="str">
        <f>IFERROR(__xludf.DUMMYFUNCTION("""COMPUTED_VALUE"""),"Willie")</f>
        <v>Willie</v>
      </c>
      <c r="G3745" s="6" t="str">
        <f>IFERROR(__xludf.DUMMYFUNCTION("""COMPUTED_VALUE"""),"11/17/2015")</f>
        <v>11/17/2015</v>
      </c>
      <c r="H3745" s="6" t="str">
        <f>IFERROR(__xludf.DUMMYFUNCTION("""COMPUTED_VALUE"""),"female")</f>
        <v>female</v>
      </c>
      <c r="I3745" s="6" t="str">
        <f>IFERROR(__xludf.DUMMYFUNCTION("""COMPUTED_VALUE"""),"Level 2")</f>
        <v>Level 2</v>
      </c>
      <c r="J3745" s="6" t="str">
        <f>IFERROR(__xludf.DUMMYFUNCTION("""COMPUTED_VALUE"""),"4")</f>
        <v>4</v>
      </c>
      <c r="K3745" s="6" t="str">
        <f>IFERROR(__xludf.DUMMYFUNCTION("""COMPUTED_VALUE"""),"berkeley.willie@2hourlearning.com")</f>
        <v>berkeley.willie@2hourlearning.com</v>
      </c>
      <c r="L3745" s="6" t="str">
        <f>IFERROR(__xludf.DUMMYFUNCTION("""COMPUTED_VALUE"""),"ScienceSIS")</f>
        <v>ScienceSIS</v>
      </c>
      <c r="M3745" s="6" t="str">
        <f>IFERROR(__xludf.DUMMYFUNCTION("""COMPUTED_VALUE"""),"")</f>
        <v/>
      </c>
      <c r="N3745" s="6" t="str">
        <f>IFERROR(__xludf.DUMMYFUNCTION("""COMPUTED_VALUE"""),"")</f>
        <v/>
      </c>
      <c r="O3745" s="87" t="str">
        <f>IFERROR(__xludf.DUMMYFUNCTION("""COMPUTED_VALUE"""),"https://drive.google.com/drive/folders/10T2cTQHqEJZqE-st6uFKPoI?usp=share_link")</f>
        <v>https://drive.google.com/drive/folders/10T2cTQHqEJZqE-st6uFKPoI?usp=share_link</v>
      </c>
      <c r="P3745" s="6" t="str">
        <f>IFERROR(__xludf.DUMMYFUNCTION("""COMPUTED_VALUE"""),"Berkeley Willie")</f>
        <v>Berkeley Willie</v>
      </c>
      <c r="Q3745" s="6" t="str">
        <f>IFERROR(__xludf.DUMMYFUNCTION("""COMPUTED_VALUE"""),"L2")</f>
        <v>L2</v>
      </c>
      <c r="R3745" s="6">
        <f>IFERROR(__xludf.DUMMYFUNCTION("""COMPUTED_VALUE"""),2.0)</f>
        <v>2</v>
      </c>
      <c r="S3745" s="6" t="str">
        <f>IFERROR(__xludf.DUMMYFUNCTION("""COMPUTED_VALUE""")," ")</f>
        <v> </v>
      </c>
      <c r="T3745" s="6" t="str">
        <f>IFERROR(__xludf.DUMMYFUNCTION("""COMPUTED_VALUE"""),"")</f>
        <v/>
      </c>
      <c r="U3745" s="6" t="str">
        <f>IFERROR(__xludf.DUMMYFUNCTION("""COMPUTED_VALUE"""),"4")</f>
        <v>4</v>
      </c>
      <c r="V3745" s="6" t="str">
        <f>IFERROR(__xludf.DUMMYFUNCTION("""COMPUTED_VALUE"""),"English")</f>
        <v>English</v>
      </c>
      <c r="W3745" s="6" t="str">
        <f>IFERROR(__xludf.DUMMYFUNCTION("""COMPUTED_VALUE"""),"[]")</f>
        <v>[]</v>
      </c>
      <c r="X3745" s="6" t="str">
        <f>IFERROR(__xludf.DUMMYFUNCTION("""COMPUTED_VALUE"""),"Enrolled")</f>
        <v>Enrolled</v>
      </c>
    </row>
    <row r="3746">
      <c r="A3746" s="6" t="str">
        <f>IFERROR(__xludf.DUMMYFUNCTION("""COMPUTED_VALUE"""),"066-6786")</f>
        <v>066-6786</v>
      </c>
      <c r="B3746" s="6" t="str">
        <f>IFERROR(__xludf.DUMMYFUNCTION("""COMPUTED_VALUE"""),"66")</f>
        <v>66</v>
      </c>
      <c r="C3746" s="6" t="str">
        <f>IFERROR(__xludf.DUMMYFUNCTION("""COMPUTED_VALUE"""),"6786")</f>
        <v>6786</v>
      </c>
      <c r="D3746" s="6" t="str">
        <f>IFERROR(__xludf.DUMMYFUNCTION("""COMPUTED_VALUE"""),"Angelina")</f>
        <v>Angelina</v>
      </c>
      <c r="E3746" s="6" t="str">
        <f>IFERROR(__xludf.DUMMYFUNCTION("""COMPUTED_VALUE"""),"")</f>
        <v/>
      </c>
      <c r="F3746" s="6" t="str">
        <f>IFERROR(__xludf.DUMMYFUNCTION("""COMPUTED_VALUE"""),"Willie")</f>
        <v>Willie</v>
      </c>
      <c r="G3746" s="6" t="str">
        <f>IFERROR(__xludf.DUMMYFUNCTION("""COMPUTED_VALUE"""),"03/25/2014")</f>
        <v>03/25/2014</v>
      </c>
      <c r="H3746" s="6" t="str">
        <f>IFERROR(__xludf.DUMMYFUNCTION("""COMPUTED_VALUE"""),"female")</f>
        <v>female</v>
      </c>
      <c r="I3746" s="6" t="str">
        <f>IFERROR(__xludf.DUMMYFUNCTION("""COMPUTED_VALUE"""),"Middle School")</f>
        <v>Middle School</v>
      </c>
      <c r="J3746" s="6" t="str">
        <f>IFERROR(__xludf.DUMMYFUNCTION("""COMPUTED_VALUE"""),"6")</f>
        <v>6</v>
      </c>
      <c r="K3746" s="6" t="str">
        <f>IFERROR(__xludf.DUMMYFUNCTION("""COMPUTED_VALUE"""),"angelina.willie@2hourlearning.com")</f>
        <v>angelina.willie@2hourlearning.com</v>
      </c>
      <c r="L3746" s="6" t="str">
        <f>IFERROR(__xludf.DUMMYFUNCTION("""COMPUTED_VALUE"""),"ScienceSIS")</f>
        <v>ScienceSIS</v>
      </c>
      <c r="M3746" s="6" t="str">
        <f>IFERROR(__xludf.DUMMYFUNCTION("""COMPUTED_VALUE"""),"")</f>
        <v/>
      </c>
      <c r="N3746" s="6" t="str">
        <f>IFERROR(__xludf.DUMMYFUNCTION("""COMPUTED_VALUE"""),"")</f>
        <v/>
      </c>
      <c r="O3746" s="87" t="str">
        <f>IFERROR(__xludf.DUMMYFUNCTION("""COMPUTED_VALUE"""),"https://drive.google.com/drive/folders/10T2cTQHqEJZqE-st6uFKPoI?usp=share_link")</f>
        <v>https://drive.google.com/drive/folders/10T2cTQHqEJZqE-st6uFKPoI?usp=share_link</v>
      </c>
      <c r="P3746" s="6" t="str">
        <f>IFERROR(__xludf.DUMMYFUNCTION("""COMPUTED_VALUE"""),"Angelina Willie")</f>
        <v>Angelina Willie</v>
      </c>
      <c r="Q3746" s="6" t="str">
        <f>IFERROR(__xludf.DUMMYFUNCTION("""COMPUTED_VALUE"""),"MS")</f>
        <v>MS</v>
      </c>
      <c r="R3746" s="6">
        <f>IFERROR(__xludf.DUMMYFUNCTION("""COMPUTED_VALUE"""),0.0)</f>
        <v>0</v>
      </c>
      <c r="S3746" s="6" t="str">
        <f>IFERROR(__xludf.DUMMYFUNCTION("""COMPUTED_VALUE""")," ")</f>
        <v> </v>
      </c>
      <c r="T3746" s="6" t="str">
        <f>IFERROR(__xludf.DUMMYFUNCTION("""COMPUTED_VALUE"""),"")</f>
        <v/>
      </c>
      <c r="U3746" s="6" t="str">
        <f>IFERROR(__xludf.DUMMYFUNCTION("""COMPUTED_VALUE"""),"6")</f>
        <v>6</v>
      </c>
      <c r="V3746" s="6" t="str">
        <f>IFERROR(__xludf.DUMMYFUNCTION("""COMPUTED_VALUE"""),"English")</f>
        <v>English</v>
      </c>
      <c r="W3746" s="6" t="str">
        <f>IFERROR(__xludf.DUMMYFUNCTION("""COMPUTED_VALUE"""),"[]")</f>
        <v>[]</v>
      </c>
      <c r="X3746" s="6" t="str">
        <f>IFERROR(__xludf.DUMMYFUNCTION("""COMPUTED_VALUE"""),"Enrolled")</f>
        <v>Enrolled</v>
      </c>
    </row>
    <row r="3747">
      <c r="A3747" s="6" t="str">
        <f>IFERROR(__xludf.DUMMYFUNCTION("""COMPUTED_VALUE"""),"066-6787")</f>
        <v>066-6787</v>
      </c>
      <c r="B3747" s="6" t="str">
        <f>IFERROR(__xludf.DUMMYFUNCTION("""COMPUTED_VALUE"""),"66")</f>
        <v>66</v>
      </c>
      <c r="C3747" s="6" t="str">
        <f>IFERROR(__xludf.DUMMYFUNCTION("""COMPUTED_VALUE"""),"6787")</f>
        <v>6787</v>
      </c>
      <c r="D3747" s="6" t="str">
        <f>IFERROR(__xludf.DUMMYFUNCTION("""COMPUTED_VALUE"""),"Adaline")</f>
        <v>Adaline</v>
      </c>
      <c r="E3747" s="6" t="str">
        <f>IFERROR(__xludf.DUMMYFUNCTION("""COMPUTED_VALUE"""),"")</f>
        <v/>
      </c>
      <c r="F3747" s="6" t="str">
        <f>IFERROR(__xludf.DUMMYFUNCTION("""COMPUTED_VALUE"""),"Wright")</f>
        <v>Wright</v>
      </c>
      <c r="G3747" s="6" t="str">
        <f>IFERROR(__xludf.DUMMYFUNCTION("""COMPUTED_VALUE"""),"05/19/2018")</f>
        <v>05/19/2018</v>
      </c>
      <c r="H3747" s="6" t="str">
        <f>IFERROR(__xludf.DUMMYFUNCTION("""COMPUTED_VALUE"""),"female")</f>
        <v>female</v>
      </c>
      <c r="I3747" s="6" t="str">
        <f>IFERROR(__xludf.DUMMYFUNCTION("""COMPUTED_VALUE"""),"Level 1")</f>
        <v>Level 1</v>
      </c>
      <c r="J3747" s="6" t="str">
        <f>IFERROR(__xludf.DUMMYFUNCTION("""COMPUTED_VALUE"""),"3")</f>
        <v>3</v>
      </c>
      <c r="K3747" s="6" t="str">
        <f>IFERROR(__xludf.DUMMYFUNCTION("""COMPUTED_VALUE"""),"adaline.wright@2hourlearning.com")</f>
        <v>adaline.wright@2hourlearning.com</v>
      </c>
      <c r="L3747" s="6" t="str">
        <f>IFERROR(__xludf.DUMMYFUNCTION("""COMPUTED_VALUE"""),"ScienceSIS")</f>
        <v>ScienceSIS</v>
      </c>
      <c r="M3747" s="6" t="str">
        <f>IFERROR(__xludf.DUMMYFUNCTION("""COMPUTED_VALUE"""),"")</f>
        <v/>
      </c>
      <c r="N3747" s="6" t="str">
        <f>IFERROR(__xludf.DUMMYFUNCTION("""COMPUTED_VALUE"""),"")</f>
        <v/>
      </c>
      <c r="O3747" s="87" t="str">
        <f>IFERROR(__xludf.DUMMYFUNCTION("""COMPUTED_VALUE"""),"https://drive.google.com/drive/folders/10T2cTQHqEJZqE-st6uFKPoI?usp=share_link")</f>
        <v>https://drive.google.com/drive/folders/10T2cTQHqEJZqE-st6uFKPoI?usp=share_link</v>
      </c>
      <c r="P3747" s="6" t="str">
        <f>IFERROR(__xludf.DUMMYFUNCTION("""COMPUTED_VALUE"""),"Adaline Wright")</f>
        <v>Adaline Wright</v>
      </c>
      <c r="Q3747" s="6" t="str">
        <f>IFERROR(__xludf.DUMMYFUNCTION("""COMPUTED_VALUE"""),"L1")</f>
        <v>L1</v>
      </c>
      <c r="R3747" s="6">
        <f>IFERROR(__xludf.DUMMYFUNCTION("""COMPUTED_VALUE"""),1.0)</f>
        <v>1</v>
      </c>
      <c r="S3747" s="6" t="str">
        <f>IFERROR(__xludf.DUMMYFUNCTION("""COMPUTED_VALUE""")," ")</f>
        <v> </v>
      </c>
      <c r="T3747" s="6" t="str">
        <f>IFERROR(__xludf.DUMMYFUNCTION("""COMPUTED_VALUE"""),"")</f>
        <v/>
      </c>
      <c r="U3747" s="6" t="str">
        <f>IFERROR(__xludf.DUMMYFUNCTION("""COMPUTED_VALUE"""),"3")</f>
        <v>3</v>
      </c>
      <c r="V3747" s="6" t="str">
        <f>IFERROR(__xludf.DUMMYFUNCTION("""COMPUTED_VALUE"""),"English")</f>
        <v>English</v>
      </c>
      <c r="W3747" s="6" t="str">
        <f>IFERROR(__xludf.DUMMYFUNCTION("""COMPUTED_VALUE"""),"[]")</f>
        <v>[]</v>
      </c>
      <c r="X3747" s="6" t="str">
        <f>IFERROR(__xludf.DUMMYFUNCTION("""COMPUTED_VALUE"""),"Enrolled")</f>
        <v>Enrolled</v>
      </c>
    </row>
    <row r="3748">
      <c r="A3748" s="6" t="str">
        <f>IFERROR(__xludf.DUMMYFUNCTION("""COMPUTED_VALUE"""),"066-6789")</f>
        <v>066-6789</v>
      </c>
      <c r="B3748" s="6" t="str">
        <f>IFERROR(__xludf.DUMMYFUNCTION("""COMPUTED_VALUE"""),"66")</f>
        <v>66</v>
      </c>
      <c r="C3748" s="6" t="str">
        <f>IFERROR(__xludf.DUMMYFUNCTION("""COMPUTED_VALUE"""),"6789")</f>
        <v>6789</v>
      </c>
      <c r="D3748" s="6" t="str">
        <f>IFERROR(__xludf.DUMMYFUNCTION("""COMPUTED_VALUE"""),"Bailee")</f>
        <v>Bailee</v>
      </c>
      <c r="E3748" s="6" t="str">
        <f>IFERROR(__xludf.DUMMYFUNCTION("""COMPUTED_VALUE"""),"")</f>
        <v/>
      </c>
      <c r="F3748" s="6" t="str">
        <f>IFERROR(__xludf.DUMMYFUNCTION("""COMPUTED_VALUE"""),"Westbrook")</f>
        <v>Westbrook</v>
      </c>
      <c r="G3748" s="6" t="str">
        <f>IFERROR(__xludf.DUMMYFUNCTION("""COMPUTED_VALUE"""),"02/11/2017")</f>
        <v>02/11/2017</v>
      </c>
      <c r="H3748" s="6" t="str">
        <f>IFERROR(__xludf.DUMMYFUNCTION("""COMPUTED_VALUE"""),"female")</f>
        <v>female</v>
      </c>
      <c r="I3748" s="6" t="str">
        <f>IFERROR(__xludf.DUMMYFUNCTION("""COMPUTED_VALUE"""),"Level 1")</f>
        <v>Level 1</v>
      </c>
      <c r="J3748" s="6" t="str">
        <f>IFERROR(__xludf.DUMMYFUNCTION("""COMPUTED_VALUE"""),"3")</f>
        <v>3</v>
      </c>
      <c r="K3748" s="6" t="str">
        <f>IFERROR(__xludf.DUMMYFUNCTION("""COMPUTED_VALUE"""),"bailee.westbrook@2hourlearning.com")</f>
        <v>bailee.westbrook@2hourlearning.com</v>
      </c>
      <c r="L3748" s="6" t="str">
        <f>IFERROR(__xludf.DUMMYFUNCTION("""COMPUTED_VALUE"""),"ScienceSIS")</f>
        <v>ScienceSIS</v>
      </c>
      <c r="M3748" s="6" t="str">
        <f>IFERROR(__xludf.DUMMYFUNCTION("""COMPUTED_VALUE"""),"")</f>
        <v/>
      </c>
      <c r="N3748" s="6" t="str">
        <f>IFERROR(__xludf.DUMMYFUNCTION("""COMPUTED_VALUE"""),"")</f>
        <v/>
      </c>
      <c r="O3748" s="87" t="str">
        <f>IFERROR(__xludf.DUMMYFUNCTION("""COMPUTED_VALUE"""),"https://drive.google.com/drive/folders/10T2cTQHqEJZqE-st6uFKPoI?usp=share_link")</f>
        <v>https://drive.google.com/drive/folders/10T2cTQHqEJZqE-st6uFKPoI?usp=share_link</v>
      </c>
      <c r="P3748" s="6" t="str">
        <f>IFERROR(__xludf.DUMMYFUNCTION("""COMPUTED_VALUE"""),"Bailee Westbrook")</f>
        <v>Bailee Westbrook</v>
      </c>
      <c r="Q3748" s="6" t="str">
        <f>IFERROR(__xludf.DUMMYFUNCTION("""COMPUTED_VALUE"""),"L1")</f>
        <v>L1</v>
      </c>
      <c r="R3748" s="6">
        <f>IFERROR(__xludf.DUMMYFUNCTION("""COMPUTED_VALUE"""),1.0)</f>
        <v>1</v>
      </c>
      <c r="S3748" s="6" t="str">
        <f>IFERROR(__xludf.DUMMYFUNCTION("""COMPUTED_VALUE""")," ")</f>
        <v> </v>
      </c>
      <c r="T3748" s="6" t="str">
        <f>IFERROR(__xludf.DUMMYFUNCTION("""COMPUTED_VALUE"""),"")</f>
        <v/>
      </c>
      <c r="U3748" s="6" t="str">
        <f>IFERROR(__xludf.DUMMYFUNCTION("""COMPUTED_VALUE"""),"3")</f>
        <v>3</v>
      </c>
      <c r="V3748" s="6" t="str">
        <f>IFERROR(__xludf.DUMMYFUNCTION("""COMPUTED_VALUE"""),"")</f>
        <v/>
      </c>
      <c r="W3748" s="6" t="str">
        <f>IFERROR(__xludf.DUMMYFUNCTION("""COMPUTED_VALUE"""),"[]")</f>
        <v>[]</v>
      </c>
      <c r="X3748" s="6" t="str">
        <f>IFERROR(__xludf.DUMMYFUNCTION("""COMPUTED_VALUE"""),"Enrolled")</f>
        <v>Enrolled</v>
      </c>
    </row>
    <row r="3749">
      <c r="A3749" s="6" t="str">
        <f>IFERROR(__xludf.DUMMYFUNCTION("""COMPUTED_VALUE"""),"066-6791")</f>
        <v>066-6791</v>
      </c>
      <c r="B3749" s="6" t="str">
        <f>IFERROR(__xludf.DUMMYFUNCTION("""COMPUTED_VALUE"""),"66")</f>
        <v>66</v>
      </c>
      <c r="C3749" s="6" t="str">
        <f>IFERROR(__xludf.DUMMYFUNCTION("""COMPUTED_VALUE"""),"6791")</f>
        <v>6791</v>
      </c>
      <c r="D3749" s="6" t="str">
        <f>IFERROR(__xludf.DUMMYFUNCTION("""COMPUTED_VALUE"""),"E’Niyah")</f>
        <v>E’Niyah</v>
      </c>
      <c r="E3749" s="6" t="str">
        <f>IFERROR(__xludf.DUMMYFUNCTION("""COMPUTED_VALUE"""),"")</f>
        <v/>
      </c>
      <c r="F3749" s="6" t="str">
        <f>IFERROR(__xludf.DUMMYFUNCTION("""COMPUTED_VALUE"""),"Manuel")</f>
        <v>Manuel</v>
      </c>
      <c r="G3749" s="6" t="str">
        <f>IFERROR(__xludf.DUMMYFUNCTION("""COMPUTED_VALUE"""),"04/30/2016")</f>
        <v>04/30/2016</v>
      </c>
      <c r="H3749" s="6" t="str">
        <f>IFERROR(__xludf.DUMMYFUNCTION("""COMPUTED_VALUE"""),"female")</f>
        <v>female</v>
      </c>
      <c r="I3749" s="6" t="str">
        <f>IFERROR(__xludf.DUMMYFUNCTION("""COMPUTED_VALUE"""),"Level 2")</f>
        <v>Level 2</v>
      </c>
      <c r="J3749" s="6" t="str">
        <f>IFERROR(__xludf.DUMMYFUNCTION("""COMPUTED_VALUE"""),"4")</f>
        <v>4</v>
      </c>
      <c r="K3749" s="6" t="str">
        <f>IFERROR(__xludf.DUMMYFUNCTION("""COMPUTED_VALUE"""),"eniyah.manuel@2hourlearning.com")</f>
        <v>eniyah.manuel@2hourlearning.com</v>
      </c>
      <c r="L3749" s="6" t="str">
        <f>IFERROR(__xludf.DUMMYFUNCTION("""COMPUTED_VALUE"""),"ScienceSIS")</f>
        <v>ScienceSIS</v>
      </c>
      <c r="M3749" s="6" t="str">
        <f>IFERROR(__xludf.DUMMYFUNCTION("""COMPUTED_VALUE"""),"")</f>
        <v/>
      </c>
      <c r="N3749" s="6" t="str">
        <f>IFERROR(__xludf.DUMMYFUNCTION("""COMPUTED_VALUE"""),"")</f>
        <v/>
      </c>
      <c r="O3749" s="87" t="str">
        <f>IFERROR(__xludf.DUMMYFUNCTION("""COMPUTED_VALUE"""),"https://drive.google.com/drive/folders/10T2cTQHqEJZqE-st6uFKPoI?usp=share_link")</f>
        <v>https://drive.google.com/drive/folders/10T2cTQHqEJZqE-st6uFKPoI?usp=share_link</v>
      </c>
      <c r="P3749" s="6" t="str">
        <f>IFERROR(__xludf.DUMMYFUNCTION("""COMPUTED_VALUE"""),"E’Niyah Manuel")</f>
        <v>E’Niyah Manuel</v>
      </c>
      <c r="Q3749" s="6" t="str">
        <f>IFERROR(__xludf.DUMMYFUNCTION("""COMPUTED_VALUE"""),"L2")</f>
        <v>L2</v>
      </c>
      <c r="R3749" s="6">
        <f>IFERROR(__xludf.DUMMYFUNCTION("""COMPUTED_VALUE"""),2.0)</f>
        <v>2</v>
      </c>
      <c r="S3749" s="6" t="str">
        <f>IFERROR(__xludf.DUMMYFUNCTION("""COMPUTED_VALUE""")," ")</f>
        <v> </v>
      </c>
      <c r="T3749" s="6" t="str">
        <f>IFERROR(__xludf.DUMMYFUNCTION("""COMPUTED_VALUE"""),"")</f>
        <v/>
      </c>
      <c r="U3749" s="6" t="str">
        <f>IFERROR(__xludf.DUMMYFUNCTION("""COMPUTED_VALUE"""),"4")</f>
        <v>4</v>
      </c>
      <c r="V3749" s="6" t="str">
        <f>IFERROR(__xludf.DUMMYFUNCTION("""COMPUTED_VALUE"""),"")</f>
        <v/>
      </c>
      <c r="W3749" s="6" t="str">
        <f>IFERROR(__xludf.DUMMYFUNCTION("""COMPUTED_VALUE"""),"[]")</f>
        <v>[]</v>
      </c>
      <c r="X3749" s="6" t="str">
        <f>IFERROR(__xludf.DUMMYFUNCTION("""COMPUTED_VALUE"""),"Enrolled")</f>
        <v>Enrolled</v>
      </c>
    </row>
    <row r="3750">
      <c r="A3750" s="6" t="str">
        <f>IFERROR(__xludf.DUMMYFUNCTION("""COMPUTED_VALUE"""),"066-7204")</f>
        <v>066-7204</v>
      </c>
      <c r="B3750" s="6" t="str">
        <f>IFERROR(__xludf.DUMMYFUNCTION("""COMPUTED_VALUE"""),"66")</f>
        <v>66</v>
      </c>
      <c r="C3750" s="6" t="str">
        <f>IFERROR(__xludf.DUMMYFUNCTION("""COMPUTED_VALUE"""),"7204")</f>
        <v>7204</v>
      </c>
      <c r="D3750" s="6" t="str">
        <f>IFERROR(__xludf.DUMMYFUNCTION("""COMPUTED_VALUE"""),"Alana")</f>
        <v>Alana</v>
      </c>
      <c r="E3750" s="6" t="str">
        <f>IFERROR(__xludf.DUMMYFUNCTION("""COMPUTED_VALUE"""),"")</f>
        <v/>
      </c>
      <c r="F3750" s="6" t="str">
        <f>IFERROR(__xludf.DUMMYFUNCTION("""COMPUTED_VALUE"""),"Fowler")</f>
        <v>Fowler</v>
      </c>
      <c r="G3750" s="6" t="str">
        <f>IFERROR(__xludf.DUMMYFUNCTION("""COMPUTED_VALUE"""),"11/24/2017")</f>
        <v>11/24/2017</v>
      </c>
      <c r="H3750" s="6" t="str">
        <f>IFERROR(__xludf.DUMMYFUNCTION("""COMPUTED_VALUE"""),"female")</f>
        <v>female</v>
      </c>
      <c r="I3750" s="6" t="str">
        <f>IFERROR(__xludf.DUMMYFUNCTION("""COMPUTED_VALUE"""),"Level 1")</f>
        <v>Level 1</v>
      </c>
      <c r="J3750" s="6" t="str">
        <f>IFERROR(__xludf.DUMMYFUNCTION("""COMPUTED_VALUE"""),"2")</f>
        <v>2</v>
      </c>
      <c r="K3750" s="6" t="str">
        <f>IFERROR(__xludf.DUMMYFUNCTION("""COMPUTED_VALUE"""),"alana.fowler@2hourlearning.com")</f>
        <v>alana.fowler@2hourlearning.com</v>
      </c>
      <c r="L3750" s="6" t="str">
        <f>IFERROR(__xludf.DUMMYFUNCTION("""COMPUTED_VALUE"""),"ScienceSIS")</f>
        <v>ScienceSIS</v>
      </c>
      <c r="M3750" s="6" t="str">
        <f>IFERROR(__xludf.DUMMYFUNCTION("""COMPUTED_VALUE"""),"")</f>
        <v/>
      </c>
      <c r="N3750" s="6" t="str">
        <f>IFERROR(__xludf.DUMMYFUNCTION("""COMPUTED_VALUE"""),"")</f>
        <v/>
      </c>
      <c r="O3750" s="87" t="str">
        <f>IFERROR(__xludf.DUMMYFUNCTION("""COMPUTED_VALUE"""),"https://drive.google.com/drive/folders/10T2cTQHqEJZqE-st6uFKPoI?usp=share_link")</f>
        <v>https://drive.google.com/drive/folders/10T2cTQHqEJZqE-st6uFKPoI?usp=share_link</v>
      </c>
      <c r="P3750" s="6" t="str">
        <f>IFERROR(__xludf.DUMMYFUNCTION("""COMPUTED_VALUE"""),"Alana Fowler")</f>
        <v>Alana Fowler</v>
      </c>
      <c r="Q3750" s="6" t="str">
        <f>IFERROR(__xludf.DUMMYFUNCTION("""COMPUTED_VALUE"""),"L1")</f>
        <v>L1</v>
      </c>
      <c r="R3750" s="6">
        <f>IFERROR(__xludf.DUMMYFUNCTION("""COMPUTED_VALUE"""),1.0)</f>
        <v>1</v>
      </c>
      <c r="S3750" s="6" t="str">
        <f>IFERROR(__xludf.DUMMYFUNCTION("""COMPUTED_VALUE""")," ")</f>
        <v> </v>
      </c>
      <c r="T3750" s="6" t="str">
        <f>IFERROR(__xludf.DUMMYFUNCTION("""COMPUTED_VALUE"""),"")</f>
        <v/>
      </c>
      <c r="U3750" s="6" t="str">
        <f>IFERROR(__xludf.DUMMYFUNCTION("""COMPUTED_VALUE"""),"2")</f>
        <v>2</v>
      </c>
      <c r="V3750" s="6" t="str">
        <f>IFERROR(__xludf.DUMMYFUNCTION("""COMPUTED_VALUE"""),"English")</f>
        <v>English</v>
      </c>
      <c r="W3750" s="6" t="str">
        <f>IFERROR(__xludf.DUMMYFUNCTION("""COMPUTED_VALUE"""),"[]")</f>
        <v>[]</v>
      </c>
      <c r="X3750" s="6" t="str">
        <f>IFERROR(__xludf.DUMMYFUNCTION("""COMPUTED_VALUE"""),"Enrolled")</f>
        <v>Enrolled</v>
      </c>
    </row>
    <row r="3751">
      <c r="A3751" s="6" t="str">
        <f>IFERROR(__xludf.DUMMYFUNCTION("""COMPUTED_VALUE"""),"066-7205")</f>
        <v>066-7205</v>
      </c>
      <c r="B3751" s="6" t="str">
        <f>IFERROR(__xludf.DUMMYFUNCTION("""COMPUTED_VALUE"""),"66")</f>
        <v>66</v>
      </c>
      <c r="C3751" s="6" t="str">
        <f>IFERROR(__xludf.DUMMYFUNCTION("""COMPUTED_VALUE"""),"7205")</f>
        <v>7205</v>
      </c>
      <c r="D3751" s="6" t="str">
        <f>IFERROR(__xludf.DUMMYFUNCTION("""COMPUTED_VALUE"""),"Layla")</f>
        <v>Layla</v>
      </c>
      <c r="E3751" s="6" t="str">
        <f>IFERROR(__xludf.DUMMYFUNCTION("""COMPUTED_VALUE"""),"")</f>
        <v/>
      </c>
      <c r="F3751" s="6" t="str">
        <f>IFERROR(__xludf.DUMMYFUNCTION("""COMPUTED_VALUE"""),"Elsayed")</f>
        <v>Elsayed</v>
      </c>
      <c r="G3751" s="6" t="str">
        <f>IFERROR(__xludf.DUMMYFUNCTION("""COMPUTED_VALUE"""),"08/12/2016")</f>
        <v>08/12/2016</v>
      </c>
      <c r="H3751" s="6" t="str">
        <f>IFERROR(__xludf.DUMMYFUNCTION("""COMPUTED_VALUE"""),"female")</f>
        <v>female</v>
      </c>
      <c r="I3751" s="6" t="str">
        <f>IFERROR(__xludf.DUMMYFUNCTION("""COMPUTED_VALUE"""),"Level 2")</f>
        <v>Level 2</v>
      </c>
      <c r="J3751" s="6" t="str">
        <f>IFERROR(__xludf.DUMMYFUNCTION("""COMPUTED_VALUE"""),"4")</f>
        <v>4</v>
      </c>
      <c r="K3751" s="6" t="str">
        <f>IFERROR(__xludf.DUMMYFUNCTION("""COMPUTED_VALUE"""),"layla.elsayed@2hourlearning.com")</f>
        <v>layla.elsayed@2hourlearning.com</v>
      </c>
      <c r="L3751" s="6" t="str">
        <f>IFERROR(__xludf.DUMMYFUNCTION("""COMPUTED_VALUE"""),"ScienceSIS")</f>
        <v>ScienceSIS</v>
      </c>
      <c r="M3751" s="6" t="str">
        <f>IFERROR(__xludf.DUMMYFUNCTION("""COMPUTED_VALUE"""),"")</f>
        <v/>
      </c>
      <c r="N3751" s="6" t="str">
        <f>IFERROR(__xludf.DUMMYFUNCTION("""COMPUTED_VALUE"""),"")</f>
        <v/>
      </c>
      <c r="O3751" s="87" t="str">
        <f>IFERROR(__xludf.DUMMYFUNCTION("""COMPUTED_VALUE"""),"https://drive.google.com/drive/folders/10T2cTQHqEJZqE-st6uFKPoI?usp=share_link")</f>
        <v>https://drive.google.com/drive/folders/10T2cTQHqEJZqE-st6uFKPoI?usp=share_link</v>
      </c>
      <c r="P3751" s="6" t="str">
        <f>IFERROR(__xludf.DUMMYFUNCTION("""COMPUTED_VALUE"""),"Layla Elsayed")</f>
        <v>Layla Elsayed</v>
      </c>
      <c r="Q3751" s="6" t="str">
        <f>IFERROR(__xludf.DUMMYFUNCTION("""COMPUTED_VALUE"""),"L2")</f>
        <v>L2</v>
      </c>
      <c r="R3751" s="6">
        <f>IFERROR(__xludf.DUMMYFUNCTION("""COMPUTED_VALUE"""),2.0)</f>
        <v>2</v>
      </c>
      <c r="S3751" s="6" t="str">
        <f>IFERROR(__xludf.DUMMYFUNCTION("""COMPUTED_VALUE""")," ")</f>
        <v> </v>
      </c>
      <c r="T3751" s="6" t="str">
        <f>IFERROR(__xludf.DUMMYFUNCTION("""COMPUTED_VALUE"""),"")</f>
        <v/>
      </c>
      <c r="U3751" s="6" t="str">
        <f>IFERROR(__xludf.DUMMYFUNCTION("""COMPUTED_VALUE"""),"4")</f>
        <v>4</v>
      </c>
      <c r="V3751" s="6" t="str">
        <f>IFERROR(__xludf.DUMMYFUNCTION("""COMPUTED_VALUE"""),"English")</f>
        <v>English</v>
      </c>
      <c r="W3751" s="6" t="str">
        <f>IFERROR(__xludf.DUMMYFUNCTION("""COMPUTED_VALUE"""),"[]")</f>
        <v>[]</v>
      </c>
      <c r="X3751" s="6" t="str">
        <f>IFERROR(__xludf.DUMMYFUNCTION("""COMPUTED_VALUE"""),"Enrolled")</f>
        <v>Enrolled</v>
      </c>
    </row>
    <row r="3752">
      <c r="A3752" s="6" t="str">
        <f>IFERROR(__xludf.DUMMYFUNCTION("""COMPUTED_VALUE"""),"066-7206")</f>
        <v>066-7206</v>
      </c>
      <c r="B3752" s="6" t="str">
        <f>IFERROR(__xludf.DUMMYFUNCTION("""COMPUTED_VALUE"""),"66")</f>
        <v>66</v>
      </c>
      <c r="C3752" s="6" t="str">
        <f>IFERROR(__xludf.DUMMYFUNCTION("""COMPUTED_VALUE"""),"7206")</f>
        <v>7206</v>
      </c>
      <c r="D3752" s="6" t="str">
        <f>IFERROR(__xludf.DUMMYFUNCTION("""COMPUTED_VALUE"""),"Zoe")</f>
        <v>Zoe</v>
      </c>
      <c r="E3752" s="6" t="str">
        <f>IFERROR(__xludf.DUMMYFUNCTION("""COMPUTED_VALUE"""),"")</f>
        <v/>
      </c>
      <c r="F3752" s="6" t="str">
        <f>IFERROR(__xludf.DUMMYFUNCTION("""COMPUTED_VALUE"""),"Smith")</f>
        <v>Smith</v>
      </c>
      <c r="G3752" s="6" t="str">
        <f>IFERROR(__xludf.DUMMYFUNCTION("""COMPUTED_VALUE"""),"03/27/2017")</f>
        <v>03/27/2017</v>
      </c>
      <c r="H3752" s="6" t="str">
        <f>IFERROR(__xludf.DUMMYFUNCTION("""COMPUTED_VALUE"""),"female")</f>
        <v>female</v>
      </c>
      <c r="I3752" s="6" t="str">
        <f>IFERROR(__xludf.DUMMYFUNCTION("""COMPUTED_VALUE"""),"Level 1")</f>
        <v>Level 1</v>
      </c>
      <c r="J3752" s="6" t="str">
        <f>IFERROR(__xludf.DUMMYFUNCTION("""COMPUTED_VALUE"""),"3")</f>
        <v>3</v>
      </c>
      <c r="K3752" s="6" t="str">
        <f>IFERROR(__xludf.DUMMYFUNCTION("""COMPUTED_VALUE"""),"zoe.smith@2hourlearning.com")</f>
        <v>zoe.smith@2hourlearning.com</v>
      </c>
      <c r="L3752" s="6" t="str">
        <f>IFERROR(__xludf.DUMMYFUNCTION("""COMPUTED_VALUE"""),"ScienceSIS")</f>
        <v>ScienceSIS</v>
      </c>
      <c r="M3752" s="6" t="str">
        <f>IFERROR(__xludf.DUMMYFUNCTION("""COMPUTED_VALUE"""),"")</f>
        <v/>
      </c>
      <c r="N3752" s="6" t="str">
        <f>IFERROR(__xludf.DUMMYFUNCTION("""COMPUTED_VALUE"""),"")</f>
        <v/>
      </c>
      <c r="O3752" s="87" t="str">
        <f>IFERROR(__xludf.DUMMYFUNCTION("""COMPUTED_VALUE"""),"https://drive.google.com/drive/folders/10T2cTQHqEJZqE-st6uFKPoI?usp=share_link")</f>
        <v>https://drive.google.com/drive/folders/10T2cTQHqEJZqE-st6uFKPoI?usp=share_link</v>
      </c>
      <c r="P3752" s="6" t="str">
        <f>IFERROR(__xludf.DUMMYFUNCTION("""COMPUTED_VALUE"""),"Zoe Smith")</f>
        <v>Zoe Smith</v>
      </c>
      <c r="Q3752" s="6" t="str">
        <f>IFERROR(__xludf.DUMMYFUNCTION("""COMPUTED_VALUE"""),"L1")</f>
        <v>L1</v>
      </c>
      <c r="R3752" s="6">
        <f>IFERROR(__xludf.DUMMYFUNCTION("""COMPUTED_VALUE"""),1.0)</f>
        <v>1</v>
      </c>
      <c r="S3752" s="6" t="str">
        <f>IFERROR(__xludf.DUMMYFUNCTION("""COMPUTED_VALUE""")," ")</f>
        <v> </v>
      </c>
      <c r="T3752" s="6" t="str">
        <f>IFERROR(__xludf.DUMMYFUNCTION("""COMPUTED_VALUE"""),"")</f>
        <v/>
      </c>
      <c r="U3752" s="6" t="str">
        <f>IFERROR(__xludf.DUMMYFUNCTION("""COMPUTED_VALUE"""),"3")</f>
        <v>3</v>
      </c>
      <c r="V3752" s="6" t="str">
        <f>IFERROR(__xludf.DUMMYFUNCTION("""COMPUTED_VALUE"""),"English")</f>
        <v>English</v>
      </c>
      <c r="W3752" s="6" t="str">
        <f>IFERROR(__xludf.DUMMYFUNCTION("""COMPUTED_VALUE"""),"[]")</f>
        <v>[]</v>
      </c>
      <c r="X3752" s="6" t="str">
        <f>IFERROR(__xludf.DUMMYFUNCTION("""COMPUTED_VALUE"""),"Enrolled")</f>
        <v>Enrolled</v>
      </c>
    </row>
    <row r="3753">
      <c r="A3753" s="6" t="str">
        <f>IFERROR(__xludf.DUMMYFUNCTION("""COMPUTED_VALUE"""),"066-7207")</f>
        <v>066-7207</v>
      </c>
      <c r="B3753" s="6" t="str">
        <f>IFERROR(__xludf.DUMMYFUNCTION("""COMPUTED_VALUE"""),"66")</f>
        <v>66</v>
      </c>
      <c r="C3753" s="6" t="str">
        <f>IFERROR(__xludf.DUMMYFUNCTION("""COMPUTED_VALUE"""),"7207")</f>
        <v>7207</v>
      </c>
      <c r="D3753" s="6" t="str">
        <f>IFERROR(__xludf.DUMMYFUNCTION("""COMPUTED_VALUE"""),"Sydnea")</f>
        <v>Sydnea</v>
      </c>
      <c r="E3753" s="6" t="str">
        <f>IFERROR(__xludf.DUMMYFUNCTION("""COMPUTED_VALUE"""),"")</f>
        <v/>
      </c>
      <c r="F3753" s="6" t="str">
        <f>IFERROR(__xludf.DUMMYFUNCTION("""COMPUTED_VALUE"""),"Baker")</f>
        <v>Baker</v>
      </c>
      <c r="G3753" s="6" t="str">
        <f>IFERROR(__xludf.DUMMYFUNCTION("""COMPUTED_VALUE"""),"04/13/2018")</f>
        <v>04/13/2018</v>
      </c>
      <c r="H3753" s="6" t="str">
        <f>IFERROR(__xludf.DUMMYFUNCTION("""COMPUTED_VALUE"""),"female")</f>
        <v>female</v>
      </c>
      <c r="I3753" s="6" t="str">
        <f>IFERROR(__xludf.DUMMYFUNCTION("""COMPUTED_VALUE"""),"Level 1")</f>
        <v>Level 1</v>
      </c>
      <c r="J3753" s="6" t="str">
        <f>IFERROR(__xludf.DUMMYFUNCTION("""COMPUTED_VALUE"""),"2")</f>
        <v>2</v>
      </c>
      <c r="K3753" s="6" t="str">
        <f>IFERROR(__xludf.DUMMYFUNCTION("""COMPUTED_VALUE"""),"sydnea.baker@2hourlearning.com")</f>
        <v>sydnea.baker@2hourlearning.com</v>
      </c>
      <c r="L3753" s="6" t="str">
        <f>IFERROR(__xludf.DUMMYFUNCTION("""COMPUTED_VALUE"""),"ScienceSIS")</f>
        <v>ScienceSIS</v>
      </c>
      <c r="M3753" s="6" t="str">
        <f>IFERROR(__xludf.DUMMYFUNCTION("""COMPUTED_VALUE"""),"")</f>
        <v/>
      </c>
      <c r="N3753" s="6" t="str">
        <f>IFERROR(__xludf.DUMMYFUNCTION("""COMPUTED_VALUE"""),"")</f>
        <v/>
      </c>
      <c r="O3753" s="87" t="str">
        <f>IFERROR(__xludf.DUMMYFUNCTION("""COMPUTED_VALUE"""),"https://drive.google.com/drive/folders/10T2cTQHqEJZqE-st6uFKPoI?usp=share_link")</f>
        <v>https://drive.google.com/drive/folders/10T2cTQHqEJZqE-st6uFKPoI?usp=share_link</v>
      </c>
      <c r="P3753" s="6" t="str">
        <f>IFERROR(__xludf.DUMMYFUNCTION("""COMPUTED_VALUE"""),"Sydnea Baker")</f>
        <v>Sydnea Baker</v>
      </c>
      <c r="Q3753" s="6" t="str">
        <f>IFERROR(__xludf.DUMMYFUNCTION("""COMPUTED_VALUE"""),"L1")</f>
        <v>L1</v>
      </c>
      <c r="R3753" s="6">
        <f>IFERROR(__xludf.DUMMYFUNCTION("""COMPUTED_VALUE"""),1.0)</f>
        <v>1</v>
      </c>
      <c r="S3753" s="6" t="str">
        <f>IFERROR(__xludf.DUMMYFUNCTION("""COMPUTED_VALUE""")," ")</f>
        <v> </v>
      </c>
      <c r="T3753" s="6" t="str">
        <f>IFERROR(__xludf.DUMMYFUNCTION("""COMPUTED_VALUE"""),"")</f>
        <v/>
      </c>
      <c r="U3753" s="6" t="str">
        <f>IFERROR(__xludf.DUMMYFUNCTION("""COMPUTED_VALUE"""),"2")</f>
        <v>2</v>
      </c>
      <c r="V3753" s="6" t="str">
        <f>IFERROR(__xludf.DUMMYFUNCTION("""COMPUTED_VALUE"""),"English")</f>
        <v>English</v>
      </c>
      <c r="W3753" s="6" t="str">
        <f>IFERROR(__xludf.DUMMYFUNCTION("""COMPUTED_VALUE"""),"[]")</f>
        <v>[]</v>
      </c>
      <c r="X3753" s="6" t="str">
        <f>IFERROR(__xludf.DUMMYFUNCTION("""COMPUTED_VALUE"""),"Enrolled")</f>
        <v>Enrolled</v>
      </c>
    </row>
    <row r="3754">
      <c r="A3754" s="6" t="str">
        <f>IFERROR(__xludf.DUMMYFUNCTION("""COMPUTED_VALUE"""),"068-10058")</f>
        <v>068-10058</v>
      </c>
      <c r="B3754" s="6" t="str">
        <f>IFERROR(__xludf.DUMMYFUNCTION("""COMPUTED_VALUE"""),"68")</f>
        <v>68</v>
      </c>
      <c r="C3754" s="6" t="str">
        <f>IFERROR(__xludf.DUMMYFUNCTION("""COMPUTED_VALUE"""),"10058")</f>
        <v>10058</v>
      </c>
      <c r="D3754" s="6" t="str">
        <f>IFERROR(__xludf.DUMMYFUNCTION("""COMPUTED_VALUE"""),"Eiden")</f>
        <v>Eiden</v>
      </c>
      <c r="E3754" s="6" t="str">
        <f>IFERROR(__xludf.DUMMYFUNCTION("""COMPUTED_VALUE"""),"")</f>
        <v/>
      </c>
      <c r="F3754" s="6" t="str">
        <f>IFERROR(__xludf.DUMMYFUNCTION("""COMPUTED_VALUE"""),"Abidos")</f>
        <v>Abidos</v>
      </c>
      <c r="G3754" s="6" t="str">
        <f>IFERROR(__xludf.DUMMYFUNCTION("""COMPUTED_VALUE"""),"02/16/2008")</f>
        <v>02/16/2008</v>
      </c>
      <c r="H3754" s="6" t="str">
        <f>IFERROR(__xludf.DUMMYFUNCTION("""COMPUTED_VALUE"""),"Self Identify")</f>
        <v>Self Identify</v>
      </c>
      <c r="I3754" s="6" t="str">
        <f>IFERROR(__xludf.DUMMYFUNCTION("""COMPUTED_VALUE"""),"High School")</f>
        <v>High School</v>
      </c>
      <c r="J3754" s="6" t="str">
        <f>IFERROR(__xludf.DUMMYFUNCTION("""COMPUTED_VALUE"""),"12")</f>
        <v>12</v>
      </c>
      <c r="K3754" s="6" t="str">
        <f>IFERROR(__xludf.DUMMYFUNCTION("""COMPUTED_VALUE"""),"eiden.abidos@2hourlearning.com")</f>
        <v>eiden.abidos@2hourlearning.com</v>
      </c>
      <c r="L3754" s="6" t="str">
        <f>IFERROR(__xludf.DUMMYFUNCTION("""COMPUTED_VALUE"""),"SPIRE Academy")</f>
        <v>SPIRE Academy</v>
      </c>
      <c r="M3754" s="6" t="str">
        <f>IFERROR(__xludf.DUMMYFUNCTION("""COMPUTED_VALUE"""),"")</f>
        <v/>
      </c>
      <c r="N3754" s="6" t="str">
        <f>IFERROR(__xludf.DUMMYFUNCTION("""COMPUTED_VALUE"""),"")</f>
        <v/>
      </c>
      <c r="O3754" s="87" t="str">
        <f>IFERROR(__xludf.DUMMYFUNCTION("""COMPUTED_VALUE"""),"https://drive.google.com/drive/folders/10T2cTQHqEJZqE-st6uFKPoI?usp=share_link")</f>
        <v>https://drive.google.com/drive/folders/10T2cTQHqEJZqE-st6uFKPoI?usp=share_link</v>
      </c>
      <c r="P3754" s="6" t="str">
        <f>IFERROR(__xludf.DUMMYFUNCTION("""COMPUTED_VALUE"""),"Eiden Abidos")</f>
        <v>Eiden Abidos</v>
      </c>
      <c r="Q3754" s="6" t="str">
        <f>IFERROR(__xludf.DUMMYFUNCTION("""COMPUTED_VALUE"""),"HS")</f>
        <v>HS</v>
      </c>
      <c r="R3754" s="6">
        <f>IFERROR(__xludf.DUMMYFUNCTION("""COMPUTED_VALUE"""),0.0)</f>
        <v>0</v>
      </c>
      <c r="S3754" s="6" t="str">
        <f>IFERROR(__xludf.DUMMYFUNCTION("""COMPUTED_VALUE""")," ")</f>
        <v> </v>
      </c>
      <c r="T3754" s="6" t="str">
        <f>IFERROR(__xludf.DUMMYFUNCTION("""COMPUTED_VALUE"""),"")</f>
        <v/>
      </c>
      <c r="U3754" s="6" t="str">
        <f>IFERROR(__xludf.DUMMYFUNCTION("""COMPUTED_VALUE"""),"12")</f>
        <v>12</v>
      </c>
      <c r="V3754" s="6" t="str">
        <f>IFERROR(__xludf.DUMMYFUNCTION("""COMPUTED_VALUE"""),"English")</f>
        <v>English</v>
      </c>
      <c r="W3754" s="6" t="str">
        <f>IFERROR(__xludf.DUMMYFUNCTION("""COMPUTED_VALUE"""),"[]")</f>
        <v>[]</v>
      </c>
      <c r="X3754" s="6" t="str">
        <f>IFERROR(__xludf.DUMMYFUNCTION("""COMPUTED_VALUE"""),"Enrolled")</f>
        <v>Enrolled</v>
      </c>
    </row>
    <row r="3755">
      <c r="A3755" s="6" t="str">
        <f>IFERROR(__xludf.DUMMYFUNCTION("""COMPUTED_VALUE"""),"068-10059")</f>
        <v>068-10059</v>
      </c>
      <c r="B3755" s="6" t="str">
        <f>IFERROR(__xludf.DUMMYFUNCTION("""COMPUTED_VALUE"""),"68")</f>
        <v>68</v>
      </c>
      <c r="C3755" s="6" t="str">
        <f>IFERROR(__xludf.DUMMYFUNCTION("""COMPUTED_VALUE"""),"10059")</f>
        <v>10059</v>
      </c>
      <c r="D3755" s="6" t="str">
        <f>IFERROR(__xludf.DUMMYFUNCTION("""COMPUTED_VALUE"""),"Hoor")</f>
        <v>Hoor</v>
      </c>
      <c r="E3755" s="6" t="str">
        <f>IFERROR(__xludf.DUMMYFUNCTION("""COMPUTED_VALUE"""),"")</f>
        <v/>
      </c>
      <c r="F3755" s="6" t="str">
        <f>IFERROR(__xludf.DUMMYFUNCTION("""COMPUTED_VALUE"""),"Alkarain")</f>
        <v>Alkarain</v>
      </c>
      <c r="G3755" s="6" t="str">
        <f>IFERROR(__xludf.DUMMYFUNCTION("""COMPUTED_VALUE"""),"01/07/2008")</f>
        <v>01/07/2008</v>
      </c>
      <c r="H3755" s="6" t="str">
        <f>IFERROR(__xludf.DUMMYFUNCTION("""COMPUTED_VALUE"""),"Self Identify")</f>
        <v>Self Identify</v>
      </c>
      <c r="I3755" s="6" t="str">
        <f>IFERROR(__xludf.DUMMYFUNCTION("""COMPUTED_VALUE"""),"High School")</f>
        <v>High School</v>
      </c>
      <c r="J3755" s="6" t="str">
        <f>IFERROR(__xludf.DUMMYFUNCTION("""COMPUTED_VALUE"""),"12")</f>
        <v>12</v>
      </c>
      <c r="K3755" s="6" t="str">
        <f>IFERROR(__xludf.DUMMYFUNCTION("""COMPUTED_VALUE"""),"hoor.alkarain@2hourlearning.com")</f>
        <v>hoor.alkarain@2hourlearning.com</v>
      </c>
      <c r="L3755" s="6" t="str">
        <f>IFERROR(__xludf.DUMMYFUNCTION("""COMPUTED_VALUE"""),"SPIRE Academy")</f>
        <v>SPIRE Academy</v>
      </c>
      <c r="M3755" s="6" t="str">
        <f>IFERROR(__xludf.DUMMYFUNCTION("""COMPUTED_VALUE"""),"")</f>
        <v/>
      </c>
      <c r="N3755" s="6" t="str">
        <f>IFERROR(__xludf.DUMMYFUNCTION("""COMPUTED_VALUE"""),"")</f>
        <v/>
      </c>
      <c r="O3755" s="87" t="str">
        <f>IFERROR(__xludf.DUMMYFUNCTION("""COMPUTED_VALUE"""),"https://drive.google.com/drive/folders/10T2cTQHqEJZqE-st6uFKPoI?usp=share_link")</f>
        <v>https://drive.google.com/drive/folders/10T2cTQHqEJZqE-st6uFKPoI?usp=share_link</v>
      </c>
      <c r="P3755" s="6" t="str">
        <f>IFERROR(__xludf.DUMMYFUNCTION("""COMPUTED_VALUE"""),"Hoor Alkarain")</f>
        <v>Hoor Alkarain</v>
      </c>
      <c r="Q3755" s="6" t="str">
        <f>IFERROR(__xludf.DUMMYFUNCTION("""COMPUTED_VALUE"""),"HS")</f>
        <v>HS</v>
      </c>
      <c r="R3755" s="6">
        <f>IFERROR(__xludf.DUMMYFUNCTION("""COMPUTED_VALUE"""),0.0)</f>
        <v>0</v>
      </c>
      <c r="S3755" s="6" t="str">
        <f>IFERROR(__xludf.DUMMYFUNCTION("""COMPUTED_VALUE""")," ")</f>
        <v> </v>
      </c>
      <c r="T3755" s="6" t="str">
        <f>IFERROR(__xludf.DUMMYFUNCTION("""COMPUTED_VALUE"""),"")</f>
        <v/>
      </c>
      <c r="U3755" s="6" t="str">
        <f>IFERROR(__xludf.DUMMYFUNCTION("""COMPUTED_VALUE"""),"12")</f>
        <v>12</v>
      </c>
      <c r="V3755" s="6" t="str">
        <f>IFERROR(__xludf.DUMMYFUNCTION("""COMPUTED_VALUE"""),"English")</f>
        <v>English</v>
      </c>
      <c r="W3755" s="6" t="str">
        <f>IFERROR(__xludf.DUMMYFUNCTION("""COMPUTED_VALUE"""),"[]")</f>
        <v>[]</v>
      </c>
      <c r="X3755" s="6" t="str">
        <f>IFERROR(__xludf.DUMMYFUNCTION("""COMPUTED_VALUE"""),"Enrolled")</f>
        <v>Enrolled</v>
      </c>
    </row>
    <row r="3756">
      <c r="A3756" s="6" t="str">
        <f>IFERROR(__xludf.DUMMYFUNCTION("""COMPUTED_VALUE"""),"068-10060")</f>
        <v>068-10060</v>
      </c>
      <c r="B3756" s="6" t="str">
        <f>IFERROR(__xludf.DUMMYFUNCTION("""COMPUTED_VALUE"""),"68")</f>
        <v>68</v>
      </c>
      <c r="C3756" s="6" t="str">
        <f>IFERROR(__xludf.DUMMYFUNCTION("""COMPUTED_VALUE"""),"10060")</f>
        <v>10060</v>
      </c>
      <c r="D3756" s="6" t="str">
        <f>IFERROR(__xludf.DUMMYFUNCTION("""COMPUTED_VALUE"""),"Helena")</f>
        <v>Helena</v>
      </c>
      <c r="E3756" s="6" t="str">
        <f>IFERROR(__xludf.DUMMYFUNCTION("""COMPUTED_VALUE"""),"")</f>
        <v/>
      </c>
      <c r="F3756" s="6" t="str">
        <f>IFERROR(__xludf.DUMMYFUNCTION("""COMPUTED_VALUE"""),"Alvarez de Arcaya Kikeeva")</f>
        <v>Alvarez de Arcaya Kikeeva</v>
      </c>
      <c r="G3756" s="6" t="str">
        <f>IFERROR(__xludf.DUMMYFUNCTION("""COMPUTED_VALUE"""),"04/01/2009")</f>
        <v>04/01/2009</v>
      </c>
      <c r="H3756" s="6" t="str">
        <f>IFERROR(__xludf.DUMMYFUNCTION("""COMPUTED_VALUE"""),"Self Identify")</f>
        <v>Self Identify</v>
      </c>
      <c r="I3756" s="6" t="str">
        <f>IFERROR(__xludf.DUMMYFUNCTION("""COMPUTED_VALUE"""),"High School")</f>
        <v>High School</v>
      </c>
      <c r="J3756" s="6" t="str">
        <f>IFERROR(__xludf.DUMMYFUNCTION("""COMPUTED_VALUE"""),"11")</f>
        <v>11</v>
      </c>
      <c r="K3756" s="6" t="str">
        <f>IFERROR(__xludf.DUMMYFUNCTION("""COMPUTED_VALUE"""),"helena.alvarezdearcayakikeeva@2hourlearning.com")</f>
        <v>helena.alvarezdearcayakikeeva@2hourlearning.com</v>
      </c>
      <c r="L3756" s="6" t="str">
        <f>IFERROR(__xludf.DUMMYFUNCTION("""COMPUTED_VALUE"""),"SPIRE Academy")</f>
        <v>SPIRE Academy</v>
      </c>
      <c r="M3756" s="6" t="str">
        <f>IFERROR(__xludf.DUMMYFUNCTION("""COMPUTED_VALUE"""),"")</f>
        <v/>
      </c>
      <c r="N3756" s="6" t="str">
        <f>IFERROR(__xludf.DUMMYFUNCTION("""COMPUTED_VALUE"""),"")</f>
        <v/>
      </c>
      <c r="O3756" s="87" t="str">
        <f>IFERROR(__xludf.DUMMYFUNCTION("""COMPUTED_VALUE"""),"https://drive.google.com/drive/folders/10T2cTQHqEJZqE-st6uFKPoI?usp=share_link")</f>
        <v>https://drive.google.com/drive/folders/10T2cTQHqEJZqE-st6uFKPoI?usp=share_link</v>
      </c>
      <c r="P3756" s="6" t="str">
        <f>IFERROR(__xludf.DUMMYFUNCTION("""COMPUTED_VALUE"""),"Helena Alvarez de Arcaya Kikeeva")</f>
        <v>Helena Alvarez de Arcaya Kikeeva</v>
      </c>
      <c r="Q3756" s="6" t="str">
        <f>IFERROR(__xludf.DUMMYFUNCTION("""COMPUTED_VALUE"""),"HS")</f>
        <v>HS</v>
      </c>
      <c r="R3756" s="6">
        <f>IFERROR(__xludf.DUMMYFUNCTION("""COMPUTED_VALUE"""),0.0)</f>
        <v>0</v>
      </c>
      <c r="S3756" s="6" t="str">
        <f>IFERROR(__xludf.DUMMYFUNCTION("""COMPUTED_VALUE""")," ")</f>
        <v> </v>
      </c>
      <c r="T3756" s="6" t="str">
        <f>IFERROR(__xludf.DUMMYFUNCTION("""COMPUTED_VALUE"""),"")</f>
        <v/>
      </c>
      <c r="U3756" s="6" t="str">
        <f>IFERROR(__xludf.DUMMYFUNCTION("""COMPUTED_VALUE"""),"11")</f>
        <v>11</v>
      </c>
      <c r="V3756" s="6" t="str">
        <f>IFERROR(__xludf.DUMMYFUNCTION("""COMPUTED_VALUE"""),"English")</f>
        <v>English</v>
      </c>
      <c r="W3756" s="6" t="str">
        <f>IFERROR(__xludf.DUMMYFUNCTION("""COMPUTED_VALUE"""),"[]")</f>
        <v>[]</v>
      </c>
      <c r="X3756" s="6" t="str">
        <f>IFERROR(__xludf.DUMMYFUNCTION("""COMPUTED_VALUE"""),"Enrolled")</f>
        <v>Enrolled</v>
      </c>
    </row>
    <row r="3757">
      <c r="A3757" s="6" t="str">
        <f>IFERROR(__xludf.DUMMYFUNCTION("""COMPUTED_VALUE"""),"068-10061")</f>
        <v>068-10061</v>
      </c>
      <c r="B3757" s="6" t="str">
        <f>IFERROR(__xludf.DUMMYFUNCTION("""COMPUTED_VALUE"""),"68")</f>
        <v>68</v>
      </c>
      <c r="C3757" s="6" t="str">
        <f>IFERROR(__xludf.DUMMYFUNCTION("""COMPUTED_VALUE"""),"10061")</f>
        <v>10061</v>
      </c>
      <c r="D3757" s="6" t="str">
        <f>IFERROR(__xludf.DUMMYFUNCTION("""COMPUTED_VALUE"""),"Carlos Gabriel")</f>
        <v>Carlos Gabriel</v>
      </c>
      <c r="E3757" s="6" t="str">
        <f>IFERROR(__xludf.DUMMYFUNCTION("""COMPUTED_VALUE"""),"")</f>
        <v/>
      </c>
      <c r="F3757" s="6" t="str">
        <f>IFERROR(__xludf.DUMMYFUNCTION("""COMPUTED_VALUE"""),"Franca Varejao De Angelo")</f>
        <v>Franca Varejao De Angelo</v>
      </c>
      <c r="G3757" s="6" t="str">
        <f>IFERROR(__xludf.DUMMYFUNCTION("""COMPUTED_VALUE"""),"09/28/2008")</f>
        <v>09/28/2008</v>
      </c>
      <c r="H3757" s="6" t="str">
        <f>IFERROR(__xludf.DUMMYFUNCTION("""COMPUTED_VALUE"""),"Self Identify")</f>
        <v>Self Identify</v>
      </c>
      <c r="I3757" s="6" t="str">
        <f>IFERROR(__xludf.DUMMYFUNCTION("""COMPUTED_VALUE"""),"High School")</f>
        <v>High School</v>
      </c>
      <c r="J3757" s="6" t="str">
        <f>IFERROR(__xludf.DUMMYFUNCTION("""COMPUTED_VALUE"""),"11")</f>
        <v>11</v>
      </c>
      <c r="K3757" s="6" t="str">
        <f>IFERROR(__xludf.DUMMYFUNCTION("""COMPUTED_VALUE"""),"carlosgabriel.francavarejaodeangelo@2hourlearning.com")</f>
        <v>carlosgabriel.francavarejaodeangelo@2hourlearning.com</v>
      </c>
      <c r="L3757" s="6" t="str">
        <f>IFERROR(__xludf.DUMMYFUNCTION("""COMPUTED_VALUE"""),"SPIRE Academy")</f>
        <v>SPIRE Academy</v>
      </c>
      <c r="M3757" s="6" t="str">
        <f>IFERROR(__xludf.DUMMYFUNCTION("""COMPUTED_VALUE"""),"")</f>
        <v/>
      </c>
      <c r="N3757" s="6" t="str">
        <f>IFERROR(__xludf.DUMMYFUNCTION("""COMPUTED_VALUE"""),"")</f>
        <v/>
      </c>
      <c r="O3757" s="87" t="str">
        <f>IFERROR(__xludf.DUMMYFUNCTION("""COMPUTED_VALUE"""),"https://drive.google.com/drive/folders/10T2cTQHqEJZqE-st6uFKPoI?usp=share_link")</f>
        <v>https://drive.google.com/drive/folders/10T2cTQHqEJZqE-st6uFKPoI?usp=share_link</v>
      </c>
      <c r="P3757" s="6" t="str">
        <f>IFERROR(__xludf.DUMMYFUNCTION("""COMPUTED_VALUE"""),"Carlos Gabriel Franca Varejao De Angelo")</f>
        <v>Carlos Gabriel Franca Varejao De Angelo</v>
      </c>
      <c r="Q3757" s="6" t="str">
        <f>IFERROR(__xludf.DUMMYFUNCTION("""COMPUTED_VALUE"""),"HS")</f>
        <v>HS</v>
      </c>
      <c r="R3757" s="6">
        <f>IFERROR(__xludf.DUMMYFUNCTION("""COMPUTED_VALUE"""),0.0)</f>
        <v>0</v>
      </c>
      <c r="S3757" s="6" t="str">
        <f>IFERROR(__xludf.DUMMYFUNCTION("""COMPUTED_VALUE""")," ")</f>
        <v> </v>
      </c>
      <c r="T3757" s="6" t="str">
        <f>IFERROR(__xludf.DUMMYFUNCTION("""COMPUTED_VALUE"""),"")</f>
        <v/>
      </c>
      <c r="U3757" s="6" t="str">
        <f>IFERROR(__xludf.DUMMYFUNCTION("""COMPUTED_VALUE"""),"11")</f>
        <v>11</v>
      </c>
      <c r="V3757" s="6" t="str">
        <f>IFERROR(__xludf.DUMMYFUNCTION("""COMPUTED_VALUE"""),"English")</f>
        <v>English</v>
      </c>
      <c r="W3757" s="6" t="str">
        <f>IFERROR(__xludf.DUMMYFUNCTION("""COMPUTED_VALUE"""),"[]")</f>
        <v>[]</v>
      </c>
      <c r="X3757" s="6" t="str">
        <f>IFERROR(__xludf.DUMMYFUNCTION("""COMPUTED_VALUE"""),"Enrolled")</f>
        <v>Enrolled</v>
      </c>
    </row>
    <row r="3758">
      <c r="A3758" s="6" t="str">
        <f>IFERROR(__xludf.DUMMYFUNCTION("""COMPUTED_VALUE"""),"068-10062")</f>
        <v>068-10062</v>
      </c>
      <c r="B3758" s="6" t="str">
        <f>IFERROR(__xludf.DUMMYFUNCTION("""COMPUTED_VALUE"""),"68")</f>
        <v>68</v>
      </c>
      <c r="C3758" s="6" t="str">
        <f>IFERROR(__xludf.DUMMYFUNCTION("""COMPUTED_VALUE"""),"10062")</f>
        <v>10062</v>
      </c>
      <c r="D3758" s="6" t="str">
        <f>IFERROR(__xludf.DUMMYFUNCTION("""COMPUTED_VALUE"""),"Amirlangui")</f>
        <v>Amirlangui</v>
      </c>
      <c r="E3758" s="6" t="str">
        <f>IFERROR(__xludf.DUMMYFUNCTION("""COMPUTED_VALUE"""),"")</f>
        <v/>
      </c>
      <c r="F3758" s="6" t="str">
        <f>IFERROR(__xludf.DUMMYFUNCTION("""COMPUTED_VALUE"""),"Ariunsukh")</f>
        <v>Ariunsukh</v>
      </c>
      <c r="G3758" s="6" t="str">
        <f>IFERROR(__xludf.DUMMYFUNCTION("""COMPUTED_VALUE"""),"05/24/2009")</f>
        <v>05/24/2009</v>
      </c>
      <c r="H3758" s="6" t="str">
        <f>IFERROR(__xludf.DUMMYFUNCTION("""COMPUTED_VALUE"""),"Self Identify")</f>
        <v>Self Identify</v>
      </c>
      <c r="I3758" s="6" t="str">
        <f>IFERROR(__xludf.DUMMYFUNCTION("""COMPUTED_VALUE"""),"High School")</f>
        <v>High School</v>
      </c>
      <c r="J3758" s="6" t="str">
        <f>IFERROR(__xludf.DUMMYFUNCTION("""COMPUTED_VALUE"""),"11")</f>
        <v>11</v>
      </c>
      <c r="K3758" s="6" t="str">
        <f>IFERROR(__xludf.DUMMYFUNCTION("""COMPUTED_VALUE"""),"amirlangui.ariunsukh@2hourlearning.com")</f>
        <v>amirlangui.ariunsukh@2hourlearning.com</v>
      </c>
      <c r="L3758" s="6" t="str">
        <f>IFERROR(__xludf.DUMMYFUNCTION("""COMPUTED_VALUE"""),"SPIRE Academy")</f>
        <v>SPIRE Academy</v>
      </c>
      <c r="M3758" s="6" t="str">
        <f>IFERROR(__xludf.DUMMYFUNCTION("""COMPUTED_VALUE"""),"")</f>
        <v/>
      </c>
      <c r="N3758" s="6" t="str">
        <f>IFERROR(__xludf.DUMMYFUNCTION("""COMPUTED_VALUE"""),"")</f>
        <v/>
      </c>
      <c r="O3758" s="87" t="str">
        <f>IFERROR(__xludf.DUMMYFUNCTION("""COMPUTED_VALUE"""),"https://drive.google.com/drive/folders/10T2cTQHqEJZqE-st6uFKPoI?usp=share_link")</f>
        <v>https://drive.google.com/drive/folders/10T2cTQHqEJZqE-st6uFKPoI?usp=share_link</v>
      </c>
      <c r="P3758" s="6" t="str">
        <f>IFERROR(__xludf.DUMMYFUNCTION("""COMPUTED_VALUE"""),"Amirlangui Ariunsukh")</f>
        <v>Amirlangui Ariunsukh</v>
      </c>
      <c r="Q3758" s="6" t="str">
        <f>IFERROR(__xludf.DUMMYFUNCTION("""COMPUTED_VALUE"""),"HS")</f>
        <v>HS</v>
      </c>
      <c r="R3758" s="6">
        <f>IFERROR(__xludf.DUMMYFUNCTION("""COMPUTED_VALUE"""),0.0)</f>
        <v>0</v>
      </c>
      <c r="S3758" s="6" t="str">
        <f>IFERROR(__xludf.DUMMYFUNCTION("""COMPUTED_VALUE""")," ")</f>
        <v> </v>
      </c>
      <c r="T3758" s="6" t="str">
        <f>IFERROR(__xludf.DUMMYFUNCTION("""COMPUTED_VALUE"""),"")</f>
        <v/>
      </c>
      <c r="U3758" s="6" t="str">
        <f>IFERROR(__xludf.DUMMYFUNCTION("""COMPUTED_VALUE"""),"11")</f>
        <v>11</v>
      </c>
      <c r="V3758" s="6" t="str">
        <f>IFERROR(__xludf.DUMMYFUNCTION("""COMPUTED_VALUE"""),"English")</f>
        <v>English</v>
      </c>
      <c r="W3758" s="6" t="str">
        <f>IFERROR(__xludf.DUMMYFUNCTION("""COMPUTED_VALUE"""),"[]")</f>
        <v>[]</v>
      </c>
      <c r="X3758" s="6" t="str">
        <f>IFERROR(__xludf.DUMMYFUNCTION("""COMPUTED_VALUE"""),"Enrolled")</f>
        <v>Enrolled</v>
      </c>
    </row>
    <row r="3759">
      <c r="A3759" s="6" t="str">
        <f>IFERROR(__xludf.DUMMYFUNCTION("""COMPUTED_VALUE"""),"068-10063")</f>
        <v>068-10063</v>
      </c>
      <c r="B3759" s="6" t="str">
        <f>IFERROR(__xludf.DUMMYFUNCTION("""COMPUTED_VALUE"""),"68")</f>
        <v>68</v>
      </c>
      <c r="C3759" s="6" t="str">
        <f>IFERROR(__xludf.DUMMYFUNCTION("""COMPUTED_VALUE"""),"10063")</f>
        <v>10063</v>
      </c>
      <c r="D3759" s="6" t="str">
        <f>IFERROR(__xludf.DUMMYFUNCTION("""COMPUTED_VALUE"""),"Yalguun")</f>
        <v>Yalguun</v>
      </c>
      <c r="E3759" s="6" t="str">
        <f>IFERROR(__xludf.DUMMYFUNCTION("""COMPUTED_VALUE"""),"")</f>
        <v/>
      </c>
      <c r="F3759" s="6" t="str">
        <f>IFERROR(__xludf.DUMMYFUNCTION("""COMPUTED_VALUE"""),"Ariunsukh")</f>
        <v>Ariunsukh</v>
      </c>
      <c r="G3759" s="6" t="str">
        <f>IFERROR(__xludf.DUMMYFUNCTION("""COMPUTED_VALUE"""),"03/05/2011")</f>
        <v>03/05/2011</v>
      </c>
      <c r="H3759" s="6" t="str">
        <f>IFERROR(__xludf.DUMMYFUNCTION("""COMPUTED_VALUE"""),"Self Identify")</f>
        <v>Self Identify</v>
      </c>
      <c r="I3759" s="6" t="str">
        <f>IFERROR(__xludf.DUMMYFUNCTION("""COMPUTED_VALUE"""),"High School")</f>
        <v>High School</v>
      </c>
      <c r="J3759" s="6" t="str">
        <f>IFERROR(__xludf.DUMMYFUNCTION("""COMPUTED_VALUE"""),"9")</f>
        <v>9</v>
      </c>
      <c r="K3759" s="6" t="str">
        <f>IFERROR(__xludf.DUMMYFUNCTION("""COMPUTED_VALUE"""),"yalguun.ariunsukh@2hourlearning.com")</f>
        <v>yalguun.ariunsukh@2hourlearning.com</v>
      </c>
      <c r="L3759" s="6" t="str">
        <f>IFERROR(__xludf.DUMMYFUNCTION("""COMPUTED_VALUE"""),"SPIRE Academy")</f>
        <v>SPIRE Academy</v>
      </c>
      <c r="M3759" s="6" t="str">
        <f>IFERROR(__xludf.DUMMYFUNCTION("""COMPUTED_VALUE"""),"")</f>
        <v/>
      </c>
      <c r="N3759" s="6" t="str">
        <f>IFERROR(__xludf.DUMMYFUNCTION("""COMPUTED_VALUE"""),"")</f>
        <v/>
      </c>
      <c r="O3759" s="87" t="str">
        <f>IFERROR(__xludf.DUMMYFUNCTION("""COMPUTED_VALUE"""),"https://drive.google.com/drive/folders/10T2cTQHqEJZqE-st6uFKPoI?usp=share_link")</f>
        <v>https://drive.google.com/drive/folders/10T2cTQHqEJZqE-st6uFKPoI?usp=share_link</v>
      </c>
      <c r="P3759" s="6" t="str">
        <f>IFERROR(__xludf.DUMMYFUNCTION("""COMPUTED_VALUE"""),"Yalguun Ariunsukh")</f>
        <v>Yalguun Ariunsukh</v>
      </c>
      <c r="Q3759" s="6" t="str">
        <f>IFERROR(__xludf.DUMMYFUNCTION("""COMPUTED_VALUE"""),"HS")</f>
        <v>HS</v>
      </c>
      <c r="R3759" s="6">
        <f>IFERROR(__xludf.DUMMYFUNCTION("""COMPUTED_VALUE"""),0.0)</f>
        <v>0</v>
      </c>
      <c r="S3759" s="6" t="str">
        <f>IFERROR(__xludf.DUMMYFUNCTION("""COMPUTED_VALUE""")," ")</f>
        <v> </v>
      </c>
      <c r="T3759" s="6" t="str">
        <f>IFERROR(__xludf.DUMMYFUNCTION("""COMPUTED_VALUE"""),"")</f>
        <v/>
      </c>
      <c r="U3759" s="6" t="str">
        <f>IFERROR(__xludf.DUMMYFUNCTION("""COMPUTED_VALUE"""),"9")</f>
        <v>9</v>
      </c>
      <c r="V3759" s="6" t="str">
        <f>IFERROR(__xludf.DUMMYFUNCTION("""COMPUTED_VALUE"""),"English")</f>
        <v>English</v>
      </c>
      <c r="W3759" s="6" t="str">
        <f>IFERROR(__xludf.DUMMYFUNCTION("""COMPUTED_VALUE"""),"[]")</f>
        <v>[]</v>
      </c>
      <c r="X3759" s="6" t="str">
        <f>IFERROR(__xludf.DUMMYFUNCTION("""COMPUTED_VALUE"""),"Enrolled")</f>
        <v>Enrolled</v>
      </c>
    </row>
    <row r="3760">
      <c r="A3760" s="6" t="str">
        <f>IFERROR(__xludf.DUMMYFUNCTION("""COMPUTED_VALUE"""),"068-10064")</f>
        <v>068-10064</v>
      </c>
      <c r="B3760" s="6" t="str">
        <f>IFERROR(__xludf.DUMMYFUNCTION("""COMPUTED_VALUE"""),"68")</f>
        <v>68</v>
      </c>
      <c r="C3760" s="6" t="str">
        <f>IFERROR(__xludf.DUMMYFUNCTION("""COMPUTED_VALUE"""),"10064")</f>
        <v>10064</v>
      </c>
      <c r="D3760" s="6" t="str">
        <f>IFERROR(__xludf.DUMMYFUNCTION("""COMPUTED_VALUE"""),"Aitor")</f>
        <v>Aitor</v>
      </c>
      <c r="E3760" s="6" t="str">
        <f>IFERROR(__xludf.DUMMYFUNCTION("""COMPUTED_VALUE"""),"")</f>
        <v/>
      </c>
      <c r="F3760" s="6" t="str">
        <f>IFERROR(__xludf.DUMMYFUNCTION("""COMPUTED_VALUE"""),"Ausin Pascua")</f>
        <v>Ausin Pascua</v>
      </c>
      <c r="G3760" s="6" t="str">
        <f>IFERROR(__xludf.DUMMYFUNCTION("""COMPUTED_VALUE"""),"09/04/2008")</f>
        <v>09/04/2008</v>
      </c>
      <c r="H3760" s="6" t="str">
        <f>IFERROR(__xludf.DUMMYFUNCTION("""COMPUTED_VALUE"""),"Self Identify")</f>
        <v>Self Identify</v>
      </c>
      <c r="I3760" s="6" t="str">
        <f>IFERROR(__xludf.DUMMYFUNCTION("""COMPUTED_VALUE"""),"High School")</f>
        <v>High School</v>
      </c>
      <c r="J3760" s="6" t="str">
        <f>IFERROR(__xludf.DUMMYFUNCTION("""COMPUTED_VALUE"""),"12")</f>
        <v>12</v>
      </c>
      <c r="K3760" s="6" t="str">
        <f>IFERROR(__xludf.DUMMYFUNCTION("""COMPUTED_VALUE"""),"aitor.ausinpascua@2hourlearning.com")</f>
        <v>aitor.ausinpascua@2hourlearning.com</v>
      </c>
      <c r="L3760" s="6" t="str">
        <f>IFERROR(__xludf.DUMMYFUNCTION("""COMPUTED_VALUE"""),"SPIRE Academy")</f>
        <v>SPIRE Academy</v>
      </c>
      <c r="M3760" s="6" t="str">
        <f>IFERROR(__xludf.DUMMYFUNCTION("""COMPUTED_VALUE"""),"")</f>
        <v/>
      </c>
      <c r="N3760" s="6" t="str">
        <f>IFERROR(__xludf.DUMMYFUNCTION("""COMPUTED_VALUE"""),"")</f>
        <v/>
      </c>
      <c r="O3760" s="87" t="str">
        <f>IFERROR(__xludf.DUMMYFUNCTION("""COMPUTED_VALUE"""),"https://drive.google.com/drive/folders/10T2cTQHqEJZqE-st6uFKPoI?usp=share_link")</f>
        <v>https://drive.google.com/drive/folders/10T2cTQHqEJZqE-st6uFKPoI?usp=share_link</v>
      </c>
      <c r="P3760" s="6" t="str">
        <f>IFERROR(__xludf.DUMMYFUNCTION("""COMPUTED_VALUE"""),"Aitor Ausin Pascua")</f>
        <v>Aitor Ausin Pascua</v>
      </c>
      <c r="Q3760" s="6" t="str">
        <f>IFERROR(__xludf.DUMMYFUNCTION("""COMPUTED_VALUE"""),"HS")</f>
        <v>HS</v>
      </c>
      <c r="R3760" s="6">
        <f>IFERROR(__xludf.DUMMYFUNCTION("""COMPUTED_VALUE"""),0.0)</f>
        <v>0</v>
      </c>
      <c r="S3760" s="6" t="str">
        <f>IFERROR(__xludf.DUMMYFUNCTION("""COMPUTED_VALUE""")," ")</f>
        <v> </v>
      </c>
      <c r="T3760" s="6" t="str">
        <f>IFERROR(__xludf.DUMMYFUNCTION("""COMPUTED_VALUE"""),"")</f>
        <v/>
      </c>
      <c r="U3760" s="6" t="str">
        <f>IFERROR(__xludf.DUMMYFUNCTION("""COMPUTED_VALUE"""),"12")</f>
        <v>12</v>
      </c>
      <c r="V3760" s="6" t="str">
        <f>IFERROR(__xludf.DUMMYFUNCTION("""COMPUTED_VALUE"""),"English")</f>
        <v>English</v>
      </c>
      <c r="W3760" s="6" t="str">
        <f>IFERROR(__xludf.DUMMYFUNCTION("""COMPUTED_VALUE"""),"[]")</f>
        <v>[]</v>
      </c>
      <c r="X3760" s="6" t="str">
        <f>IFERROR(__xludf.DUMMYFUNCTION("""COMPUTED_VALUE"""),"Enrolled")</f>
        <v>Enrolled</v>
      </c>
    </row>
    <row r="3761">
      <c r="A3761" s="6" t="str">
        <f>IFERROR(__xludf.DUMMYFUNCTION("""COMPUTED_VALUE"""),"068-10065")</f>
        <v>068-10065</v>
      </c>
      <c r="B3761" s="6" t="str">
        <f>IFERROR(__xludf.DUMMYFUNCTION("""COMPUTED_VALUE"""),"68")</f>
        <v>68</v>
      </c>
      <c r="C3761" s="6" t="str">
        <f>IFERROR(__xludf.DUMMYFUNCTION("""COMPUTED_VALUE"""),"10065")</f>
        <v>10065</v>
      </c>
      <c r="D3761" s="6" t="str">
        <f>IFERROR(__xludf.DUMMYFUNCTION("""COMPUTED_VALUE"""),"Ana Lara")</f>
        <v>Ana Lara</v>
      </c>
      <c r="E3761" s="6" t="str">
        <f>IFERROR(__xludf.DUMMYFUNCTION("""COMPUTED_VALUE"""),"")</f>
        <v/>
      </c>
      <c r="F3761" s="6" t="str">
        <f>IFERROR(__xludf.DUMMYFUNCTION("""COMPUTED_VALUE"""),"Azevedo")</f>
        <v>Azevedo</v>
      </c>
      <c r="G3761" s="6" t="str">
        <f>IFERROR(__xludf.DUMMYFUNCTION("""COMPUTED_VALUE"""),"05/03/2009")</f>
        <v>05/03/2009</v>
      </c>
      <c r="H3761" s="6" t="str">
        <f>IFERROR(__xludf.DUMMYFUNCTION("""COMPUTED_VALUE"""),"Self Identify")</f>
        <v>Self Identify</v>
      </c>
      <c r="I3761" s="6" t="str">
        <f>IFERROR(__xludf.DUMMYFUNCTION("""COMPUTED_VALUE"""),"High School")</f>
        <v>High School</v>
      </c>
      <c r="J3761" s="6" t="str">
        <f>IFERROR(__xludf.DUMMYFUNCTION("""COMPUTED_VALUE"""),"11")</f>
        <v>11</v>
      </c>
      <c r="K3761" s="6" t="str">
        <f>IFERROR(__xludf.DUMMYFUNCTION("""COMPUTED_VALUE"""),"analara.azevedo@2hourlearning.com")</f>
        <v>analara.azevedo@2hourlearning.com</v>
      </c>
      <c r="L3761" s="6" t="str">
        <f>IFERROR(__xludf.DUMMYFUNCTION("""COMPUTED_VALUE"""),"SPIRE Academy")</f>
        <v>SPIRE Academy</v>
      </c>
      <c r="M3761" s="6" t="str">
        <f>IFERROR(__xludf.DUMMYFUNCTION("""COMPUTED_VALUE"""),"")</f>
        <v/>
      </c>
      <c r="N3761" s="6" t="str">
        <f>IFERROR(__xludf.DUMMYFUNCTION("""COMPUTED_VALUE"""),"")</f>
        <v/>
      </c>
      <c r="O3761" s="87" t="str">
        <f>IFERROR(__xludf.DUMMYFUNCTION("""COMPUTED_VALUE"""),"https://drive.google.com/drive/folders/10T2cTQHqEJZqE-st6uFKPoI?usp=share_link")</f>
        <v>https://drive.google.com/drive/folders/10T2cTQHqEJZqE-st6uFKPoI?usp=share_link</v>
      </c>
      <c r="P3761" s="6" t="str">
        <f>IFERROR(__xludf.DUMMYFUNCTION("""COMPUTED_VALUE"""),"Ana Lara Azevedo")</f>
        <v>Ana Lara Azevedo</v>
      </c>
      <c r="Q3761" s="6" t="str">
        <f>IFERROR(__xludf.DUMMYFUNCTION("""COMPUTED_VALUE"""),"HS")</f>
        <v>HS</v>
      </c>
      <c r="R3761" s="6">
        <f>IFERROR(__xludf.DUMMYFUNCTION("""COMPUTED_VALUE"""),0.0)</f>
        <v>0</v>
      </c>
      <c r="S3761" s="6" t="str">
        <f>IFERROR(__xludf.DUMMYFUNCTION("""COMPUTED_VALUE""")," ")</f>
        <v> </v>
      </c>
      <c r="T3761" s="6" t="str">
        <f>IFERROR(__xludf.DUMMYFUNCTION("""COMPUTED_VALUE"""),"")</f>
        <v/>
      </c>
      <c r="U3761" s="6" t="str">
        <f>IFERROR(__xludf.DUMMYFUNCTION("""COMPUTED_VALUE"""),"11")</f>
        <v>11</v>
      </c>
      <c r="V3761" s="6" t="str">
        <f>IFERROR(__xludf.DUMMYFUNCTION("""COMPUTED_VALUE"""),"English")</f>
        <v>English</v>
      </c>
      <c r="W3761" s="6" t="str">
        <f>IFERROR(__xludf.DUMMYFUNCTION("""COMPUTED_VALUE"""),"[]")</f>
        <v>[]</v>
      </c>
      <c r="X3761" s="6" t="str">
        <f>IFERROR(__xludf.DUMMYFUNCTION("""COMPUTED_VALUE"""),"Enrolled")</f>
        <v>Enrolled</v>
      </c>
    </row>
    <row r="3762">
      <c r="A3762" s="6" t="str">
        <f>IFERROR(__xludf.DUMMYFUNCTION("""COMPUTED_VALUE"""),"068-10066")</f>
        <v>068-10066</v>
      </c>
      <c r="B3762" s="6" t="str">
        <f>IFERROR(__xludf.DUMMYFUNCTION("""COMPUTED_VALUE"""),"68")</f>
        <v>68</v>
      </c>
      <c r="C3762" s="6" t="str">
        <f>IFERROR(__xludf.DUMMYFUNCTION("""COMPUTED_VALUE"""),"10066")</f>
        <v>10066</v>
      </c>
      <c r="D3762" s="6" t="str">
        <f>IFERROR(__xludf.DUMMYFUNCTION("""COMPUTED_VALUE"""),"Swan")</f>
        <v>Swan</v>
      </c>
      <c r="E3762" s="6" t="str">
        <f>IFERROR(__xludf.DUMMYFUNCTION("""COMPUTED_VALUE"""),"")</f>
        <v/>
      </c>
      <c r="F3762" s="6" t="str">
        <f>IFERROR(__xludf.DUMMYFUNCTION("""COMPUTED_VALUE"""),"Bailly")</f>
        <v>Bailly</v>
      </c>
      <c r="G3762" s="6" t="str">
        <f>IFERROR(__xludf.DUMMYFUNCTION("""COMPUTED_VALUE"""),"07/20/2007")</f>
        <v>07/20/2007</v>
      </c>
      <c r="H3762" s="6" t="str">
        <f>IFERROR(__xludf.DUMMYFUNCTION("""COMPUTED_VALUE"""),"Self Identify")</f>
        <v>Self Identify</v>
      </c>
      <c r="I3762" s="6" t="str">
        <f>IFERROR(__xludf.DUMMYFUNCTION("""COMPUTED_VALUE"""),"High School")</f>
        <v>High School</v>
      </c>
      <c r="J3762" s="6" t="str">
        <f>IFERROR(__xludf.DUMMYFUNCTION("""COMPUTED_VALUE"""),"12")</f>
        <v>12</v>
      </c>
      <c r="K3762" s="6" t="str">
        <f>IFERROR(__xludf.DUMMYFUNCTION("""COMPUTED_VALUE"""),"swan.bailly@2hourlearning.com")</f>
        <v>swan.bailly@2hourlearning.com</v>
      </c>
      <c r="L3762" s="6" t="str">
        <f>IFERROR(__xludf.DUMMYFUNCTION("""COMPUTED_VALUE"""),"SPIRE Academy")</f>
        <v>SPIRE Academy</v>
      </c>
      <c r="M3762" s="6" t="str">
        <f>IFERROR(__xludf.DUMMYFUNCTION("""COMPUTED_VALUE"""),"")</f>
        <v/>
      </c>
      <c r="N3762" s="6" t="str">
        <f>IFERROR(__xludf.DUMMYFUNCTION("""COMPUTED_VALUE"""),"")</f>
        <v/>
      </c>
      <c r="O3762" s="87" t="str">
        <f>IFERROR(__xludf.DUMMYFUNCTION("""COMPUTED_VALUE"""),"https://drive.google.com/drive/folders/10T2cTQHqEJZqE-st6uFKPoI?usp=share_link")</f>
        <v>https://drive.google.com/drive/folders/10T2cTQHqEJZqE-st6uFKPoI?usp=share_link</v>
      </c>
      <c r="P3762" s="6" t="str">
        <f>IFERROR(__xludf.DUMMYFUNCTION("""COMPUTED_VALUE"""),"Swan Bailly")</f>
        <v>Swan Bailly</v>
      </c>
      <c r="Q3762" s="6" t="str">
        <f>IFERROR(__xludf.DUMMYFUNCTION("""COMPUTED_VALUE"""),"HS")</f>
        <v>HS</v>
      </c>
      <c r="R3762" s="6">
        <f>IFERROR(__xludf.DUMMYFUNCTION("""COMPUTED_VALUE"""),0.0)</f>
        <v>0</v>
      </c>
      <c r="S3762" s="6" t="str">
        <f>IFERROR(__xludf.DUMMYFUNCTION("""COMPUTED_VALUE""")," ")</f>
        <v> </v>
      </c>
      <c r="T3762" s="6" t="str">
        <f>IFERROR(__xludf.DUMMYFUNCTION("""COMPUTED_VALUE"""),"")</f>
        <v/>
      </c>
      <c r="U3762" s="6" t="str">
        <f>IFERROR(__xludf.DUMMYFUNCTION("""COMPUTED_VALUE"""),"12")</f>
        <v>12</v>
      </c>
      <c r="V3762" s="6" t="str">
        <f>IFERROR(__xludf.DUMMYFUNCTION("""COMPUTED_VALUE"""),"English")</f>
        <v>English</v>
      </c>
      <c r="W3762" s="6" t="str">
        <f>IFERROR(__xludf.DUMMYFUNCTION("""COMPUTED_VALUE"""),"[]")</f>
        <v>[]</v>
      </c>
      <c r="X3762" s="6" t="str">
        <f>IFERROR(__xludf.DUMMYFUNCTION("""COMPUTED_VALUE"""),"Enrolled")</f>
        <v>Enrolled</v>
      </c>
    </row>
    <row r="3763">
      <c r="A3763" s="6" t="str">
        <f>IFERROR(__xludf.DUMMYFUNCTION("""COMPUTED_VALUE"""),"068-10067")</f>
        <v>068-10067</v>
      </c>
      <c r="B3763" s="6" t="str">
        <f>IFERROR(__xludf.DUMMYFUNCTION("""COMPUTED_VALUE"""),"68")</f>
        <v>68</v>
      </c>
      <c r="C3763" s="6" t="str">
        <f>IFERROR(__xludf.DUMMYFUNCTION("""COMPUTED_VALUE"""),"10067")</f>
        <v>10067</v>
      </c>
      <c r="D3763" s="6" t="str">
        <f>IFERROR(__xludf.DUMMYFUNCTION("""COMPUTED_VALUE"""),"Joe")</f>
        <v>Joe</v>
      </c>
      <c r="E3763" s="6" t="str">
        <f>IFERROR(__xludf.DUMMYFUNCTION("""COMPUTED_VALUE"""),"")</f>
        <v/>
      </c>
      <c r="F3763" s="6" t="str">
        <f>IFERROR(__xludf.DUMMYFUNCTION("""COMPUTED_VALUE"""),"Baldwin")</f>
        <v>Baldwin</v>
      </c>
      <c r="G3763" s="6" t="str">
        <f>IFERROR(__xludf.DUMMYFUNCTION("""COMPUTED_VALUE"""),"01/08/2007")</f>
        <v>01/08/2007</v>
      </c>
      <c r="H3763" s="6" t="str">
        <f>IFERROR(__xludf.DUMMYFUNCTION("""COMPUTED_VALUE"""),"Self Identify")</f>
        <v>Self Identify</v>
      </c>
      <c r="I3763" s="6" t="str">
        <f>IFERROR(__xludf.DUMMYFUNCTION("""COMPUTED_VALUE"""),"High School")</f>
        <v>High School</v>
      </c>
      <c r="J3763" s="6" t="str">
        <f>IFERROR(__xludf.DUMMYFUNCTION("""COMPUTED_VALUE"""),"12")</f>
        <v>12</v>
      </c>
      <c r="K3763" s="6" t="str">
        <f>IFERROR(__xludf.DUMMYFUNCTION("""COMPUTED_VALUE"""),"joe.baldwin@2hourlearning.com")</f>
        <v>joe.baldwin@2hourlearning.com</v>
      </c>
      <c r="L3763" s="6" t="str">
        <f>IFERROR(__xludf.DUMMYFUNCTION("""COMPUTED_VALUE"""),"SPIRE Academy")</f>
        <v>SPIRE Academy</v>
      </c>
      <c r="M3763" s="6" t="str">
        <f>IFERROR(__xludf.DUMMYFUNCTION("""COMPUTED_VALUE"""),"")</f>
        <v/>
      </c>
      <c r="N3763" s="6" t="str">
        <f>IFERROR(__xludf.DUMMYFUNCTION("""COMPUTED_VALUE"""),"")</f>
        <v/>
      </c>
      <c r="O3763" s="87" t="str">
        <f>IFERROR(__xludf.DUMMYFUNCTION("""COMPUTED_VALUE"""),"https://drive.google.com/drive/folders/10T2cTQHqEJZqE-st6uFKPoI?usp=share_link")</f>
        <v>https://drive.google.com/drive/folders/10T2cTQHqEJZqE-st6uFKPoI?usp=share_link</v>
      </c>
      <c r="P3763" s="6" t="str">
        <f>IFERROR(__xludf.DUMMYFUNCTION("""COMPUTED_VALUE"""),"Joe Baldwin")</f>
        <v>Joe Baldwin</v>
      </c>
      <c r="Q3763" s="6" t="str">
        <f>IFERROR(__xludf.DUMMYFUNCTION("""COMPUTED_VALUE"""),"HS")</f>
        <v>HS</v>
      </c>
      <c r="R3763" s="6">
        <f>IFERROR(__xludf.DUMMYFUNCTION("""COMPUTED_VALUE"""),0.0)</f>
        <v>0</v>
      </c>
      <c r="S3763" s="6" t="str">
        <f>IFERROR(__xludf.DUMMYFUNCTION("""COMPUTED_VALUE""")," ")</f>
        <v> </v>
      </c>
      <c r="T3763" s="6" t="str">
        <f>IFERROR(__xludf.DUMMYFUNCTION("""COMPUTED_VALUE"""),"")</f>
        <v/>
      </c>
      <c r="U3763" s="6" t="str">
        <f>IFERROR(__xludf.DUMMYFUNCTION("""COMPUTED_VALUE"""),"12")</f>
        <v>12</v>
      </c>
      <c r="V3763" s="6" t="str">
        <f>IFERROR(__xludf.DUMMYFUNCTION("""COMPUTED_VALUE"""),"English")</f>
        <v>English</v>
      </c>
      <c r="W3763" s="6" t="str">
        <f>IFERROR(__xludf.DUMMYFUNCTION("""COMPUTED_VALUE"""),"[]")</f>
        <v>[]</v>
      </c>
      <c r="X3763" s="6" t="str">
        <f>IFERROR(__xludf.DUMMYFUNCTION("""COMPUTED_VALUE"""),"Enrolled")</f>
        <v>Enrolled</v>
      </c>
    </row>
    <row r="3764">
      <c r="A3764" s="6" t="str">
        <f>IFERROR(__xludf.DUMMYFUNCTION("""COMPUTED_VALUE"""),"068-10068")</f>
        <v>068-10068</v>
      </c>
      <c r="B3764" s="6" t="str">
        <f>IFERROR(__xludf.DUMMYFUNCTION("""COMPUTED_VALUE"""),"68")</f>
        <v>68</v>
      </c>
      <c r="C3764" s="6" t="str">
        <f>IFERROR(__xludf.DUMMYFUNCTION("""COMPUTED_VALUE"""),"10068")</f>
        <v>10068</v>
      </c>
      <c r="D3764" s="6" t="str">
        <f>IFERROR(__xludf.DUMMYFUNCTION("""COMPUTED_VALUE"""),"Theo")</f>
        <v>Theo</v>
      </c>
      <c r="E3764" s="6" t="str">
        <f>IFERROR(__xludf.DUMMYFUNCTION("""COMPUTED_VALUE"""),"")</f>
        <v/>
      </c>
      <c r="F3764" s="6" t="str">
        <f>IFERROR(__xludf.DUMMYFUNCTION("""COMPUTED_VALUE"""),"Bartels")</f>
        <v>Bartels</v>
      </c>
      <c r="G3764" s="6" t="str">
        <f>IFERROR(__xludf.DUMMYFUNCTION("""COMPUTED_VALUE"""),"03/29/2009")</f>
        <v>03/29/2009</v>
      </c>
      <c r="H3764" s="6" t="str">
        <f>IFERROR(__xludf.DUMMYFUNCTION("""COMPUTED_VALUE"""),"Self Identify")</f>
        <v>Self Identify</v>
      </c>
      <c r="I3764" s="6" t="str">
        <f>IFERROR(__xludf.DUMMYFUNCTION("""COMPUTED_VALUE"""),"High School")</f>
        <v>High School</v>
      </c>
      <c r="J3764" s="6" t="str">
        <f>IFERROR(__xludf.DUMMYFUNCTION("""COMPUTED_VALUE"""),"11")</f>
        <v>11</v>
      </c>
      <c r="K3764" s="6" t="str">
        <f>IFERROR(__xludf.DUMMYFUNCTION("""COMPUTED_VALUE"""),"theo.bartels@2hourlearning.com")</f>
        <v>theo.bartels@2hourlearning.com</v>
      </c>
      <c r="L3764" s="6" t="str">
        <f>IFERROR(__xludf.DUMMYFUNCTION("""COMPUTED_VALUE"""),"SPIRE Academy")</f>
        <v>SPIRE Academy</v>
      </c>
      <c r="M3764" s="6" t="str">
        <f>IFERROR(__xludf.DUMMYFUNCTION("""COMPUTED_VALUE"""),"")</f>
        <v/>
      </c>
      <c r="N3764" s="6" t="str">
        <f>IFERROR(__xludf.DUMMYFUNCTION("""COMPUTED_VALUE"""),"")</f>
        <v/>
      </c>
      <c r="O3764" s="87" t="str">
        <f>IFERROR(__xludf.DUMMYFUNCTION("""COMPUTED_VALUE"""),"https://drive.google.com/drive/folders/10T2cTQHqEJZqE-st6uFKPoI?usp=share_link")</f>
        <v>https://drive.google.com/drive/folders/10T2cTQHqEJZqE-st6uFKPoI?usp=share_link</v>
      </c>
      <c r="P3764" s="6" t="str">
        <f>IFERROR(__xludf.DUMMYFUNCTION("""COMPUTED_VALUE"""),"Theo Bartels")</f>
        <v>Theo Bartels</v>
      </c>
      <c r="Q3764" s="6" t="str">
        <f>IFERROR(__xludf.DUMMYFUNCTION("""COMPUTED_VALUE"""),"HS")</f>
        <v>HS</v>
      </c>
      <c r="R3764" s="6">
        <f>IFERROR(__xludf.DUMMYFUNCTION("""COMPUTED_VALUE"""),0.0)</f>
        <v>0</v>
      </c>
      <c r="S3764" s="6" t="str">
        <f>IFERROR(__xludf.DUMMYFUNCTION("""COMPUTED_VALUE""")," ")</f>
        <v> </v>
      </c>
      <c r="T3764" s="6" t="str">
        <f>IFERROR(__xludf.DUMMYFUNCTION("""COMPUTED_VALUE"""),"")</f>
        <v/>
      </c>
      <c r="U3764" s="6" t="str">
        <f>IFERROR(__xludf.DUMMYFUNCTION("""COMPUTED_VALUE"""),"11")</f>
        <v>11</v>
      </c>
      <c r="V3764" s="6" t="str">
        <f>IFERROR(__xludf.DUMMYFUNCTION("""COMPUTED_VALUE"""),"English")</f>
        <v>English</v>
      </c>
      <c r="W3764" s="6" t="str">
        <f>IFERROR(__xludf.DUMMYFUNCTION("""COMPUTED_VALUE"""),"[]")</f>
        <v>[]</v>
      </c>
      <c r="X3764" s="6" t="str">
        <f>IFERROR(__xludf.DUMMYFUNCTION("""COMPUTED_VALUE"""),"Enrolled")</f>
        <v>Enrolled</v>
      </c>
    </row>
    <row r="3765">
      <c r="A3765" s="6" t="str">
        <f>IFERROR(__xludf.DUMMYFUNCTION("""COMPUTED_VALUE"""),"068-10069")</f>
        <v>068-10069</v>
      </c>
      <c r="B3765" s="6" t="str">
        <f>IFERROR(__xludf.DUMMYFUNCTION("""COMPUTED_VALUE"""),"68")</f>
        <v>68</v>
      </c>
      <c r="C3765" s="6" t="str">
        <f>IFERROR(__xludf.DUMMYFUNCTION("""COMPUTED_VALUE"""),"10069")</f>
        <v>10069</v>
      </c>
      <c r="D3765" s="6" t="str">
        <f>IFERROR(__xludf.DUMMYFUNCTION("""COMPUTED_VALUE"""),"Yeva")</f>
        <v>Yeva</v>
      </c>
      <c r="E3765" s="6" t="str">
        <f>IFERROR(__xludf.DUMMYFUNCTION("""COMPUTED_VALUE"""),"")</f>
        <v/>
      </c>
      <c r="F3765" s="6" t="str">
        <f>IFERROR(__xludf.DUMMYFUNCTION("""COMPUTED_VALUE"""),"Baygot")</f>
        <v>Baygot</v>
      </c>
      <c r="G3765" s="6" t="str">
        <f>IFERROR(__xludf.DUMMYFUNCTION("""COMPUTED_VALUE"""),"09/05/2008")</f>
        <v>09/05/2008</v>
      </c>
      <c r="H3765" s="6" t="str">
        <f>IFERROR(__xludf.DUMMYFUNCTION("""COMPUTED_VALUE"""),"Self Identify")</f>
        <v>Self Identify</v>
      </c>
      <c r="I3765" s="6" t="str">
        <f>IFERROR(__xludf.DUMMYFUNCTION("""COMPUTED_VALUE"""),"High School")</f>
        <v>High School</v>
      </c>
      <c r="J3765" s="6" t="str">
        <f>IFERROR(__xludf.DUMMYFUNCTION("""COMPUTED_VALUE"""),"11")</f>
        <v>11</v>
      </c>
      <c r="K3765" s="6" t="str">
        <f>IFERROR(__xludf.DUMMYFUNCTION("""COMPUTED_VALUE"""),"yeva.baygot@2hourlearning.com")</f>
        <v>yeva.baygot@2hourlearning.com</v>
      </c>
      <c r="L3765" s="6" t="str">
        <f>IFERROR(__xludf.DUMMYFUNCTION("""COMPUTED_VALUE"""),"SPIRE Academy")</f>
        <v>SPIRE Academy</v>
      </c>
      <c r="M3765" s="6" t="str">
        <f>IFERROR(__xludf.DUMMYFUNCTION("""COMPUTED_VALUE"""),"")</f>
        <v/>
      </c>
      <c r="N3765" s="6" t="str">
        <f>IFERROR(__xludf.DUMMYFUNCTION("""COMPUTED_VALUE"""),"")</f>
        <v/>
      </c>
      <c r="O3765" s="87" t="str">
        <f>IFERROR(__xludf.DUMMYFUNCTION("""COMPUTED_VALUE"""),"https://drive.google.com/drive/folders/10T2cTQHqEJZqE-st6uFKPoI?usp=share_link")</f>
        <v>https://drive.google.com/drive/folders/10T2cTQHqEJZqE-st6uFKPoI?usp=share_link</v>
      </c>
      <c r="P3765" s="6" t="str">
        <f>IFERROR(__xludf.DUMMYFUNCTION("""COMPUTED_VALUE"""),"Yeva Baygot")</f>
        <v>Yeva Baygot</v>
      </c>
      <c r="Q3765" s="6" t="str">
        <f>IFERROR(__xludf.DUMMYFUNCTION("""COMPUTED_VALUE"""),"HS")</f>
        <v>HS</v>
      </c>
      <c r="R3765" s="6">
        <f>IFERROR(__xludf.DUMMYFUNCTION("""COMPUTED_VALUE"""),0.0)</f>
        <v>0</v>
      </c>
      <c r="S3765" s="6" t="str">
        <f>IFERROR(__xludf.DUMMYFUNCTION("""COMPUTED_VALUE""")," ")</f>
        <v> </v>
      </c>
      <c r="T3765" s="6" t="str">
        <f>IFERROR(__xludf.DUMMYFUNCTION("""COMPUTED_VALUE"""),"")</f>
        <v/>
      </c>
      <c r="U3765" s="6" t="str">
        <f>IFERROR(__xludf.DUMMYFUNCTION("""COMPUTED_VALUE"""),"11")</f>
        <v>11</v>
      </c>
      <c r="V3765" s="6" t="str">
        <f>IFERROR(__xludf.DUMMYFUNCTION("""COMPUTED_VALUE"""),"English")</f>
        <v>English</v>
      </c>
      <c r="W3765" s="6" t="str">
        <f>IFERROR(__xludf.DUMMYFUNCTION("""COMPUTED_VALUE"""),"[]")</f>
        <v>[]</v>
      </c>
      <c r="X3765" s="6" t="str">
        <f>IFERROR(__xludf.DUMMYFUNCTION("""COMPUTED_VALUE"""),"Enrolled")</f>
        <v>Enrolled</v>
      </c>
    </row>
    <row r="3766">
      <c r="A3766" s="6" t="str">
        <f>IFERROR(__xludf.DUMMYFUNCTION("""COMPUTED_VALUE"""),"068-10070")</f>
        <v>068-10070</v>
      </c>
      <c r="B3766" s="6" t="str">
        <f>IFERROR(__xludf.DUMMYFUNCTION("""COMPUTED_VALUE"""),"68")</f>
        <v>68</v>
      </c>
      <c r="C3766" s="6" t="str">
        <f>IFERROR(__xludf.DUMMYFUNCTION("""COMPUTED_VALUE"""),"10070")</f>
        <v>10070</v>
      </c>
      <c r="D3766" s="6" t="str">
        <f>IFERROR(__xludf.DUMMYFUNCTION("""COMPUTED_VALUE"""),"Nathanael")</f>
        <v>Nathanael</v>
      </c>
      <c r="E3766" s="6" t="str">
        <f>IFERROR(__xludf.DUMMYFUNCTION("""COMPUTED_VALUE"""),"")</f>
        <v/>
      </c>
      <c r="F3766" s="6" t="str">
        <f>IFERROR(__xludf.DUMMYFUNCTION("""COMPUTED_VALUE"""),"Beyene")</f>
        <v>Beyene</v>
      </c>
      <c r="G3766" s="6" t="str">
        <f>IFERROR(__xludf.DUMMYFUNCTION("""COMPUTED_VALUE"""),"04/15/2009")</f>
        <v>04/15/2009</v>
      </c>
      <c r="H3766" s="6" t="str">
        <f>IFERROR(__xludf.DUMMYFUNCTION("""COMPUTED_VALUE"""),"Self Identify")</f>
        <v>Self Identify</v>
      </c>
      <c r="I3766" s="6" t="str">
        <f>IFERROR(__xludf.DUMMYFUNCTION("""COMPUTED_VALUE"""),"High School")</f>
        <v>High School</v>
      </c>
      <c r="J3766" s="6" t="str">
        <f>IFERROR(__xludf.DUMMYFUNCTION("""COMPUTED_VALUE"""),"11")</f>
        <v>11</v>
      </c>
      <c r="K3766" s="6" t="str">
        <f>IFERROR(__xludf.DUMMYFUNCTION("""COMPUTED_VALUE"""),"nathanael.beyene@2hourlearning.com")</f>
        <v>nathanael.beyene@2hourlearning.com</v>
      </c>
      <c r="L3766" s="6" t="str">
        <f>IFERROR(__xludf.DUMMYFUNCTION("""COMPUTED_VALUE"""),"SPIRE Academy")</f>
        <v>SPIRE Academy</v>
      </c>
      <c r="M3766" s="6" t="str">
        <f>IFERROR(__xludf.DUMMYFUNCTION("""COMPUTED_VALUE"""),"")</f>
        <v/>
      </c>
      <c r="N3766" s="6" t="str">
        <f>IFERROR(__xludf.DUMMYFUNCTION("""COMPUTED_VALUE"""),"")</f>
        <v/>
      </c>
      <c r="O3766" s="87" t="str">
        <f>IFERROR(__xludf.DUMMYFUNCTION("""COMPUTED_VALUE"""),"https://drive.google.com/drive/folders/10T2cTQHqEJZqE-st6uFKPoI?usp=share_link")</f>
        <v>https://drive.google.com/drive/folders/10T2cTQHqEJZqE-st6uFKPoI?usp=share_link</v>
      </c>
      <c r="P3766" s="6" t="str">
        <f>IFERROR(__xludf.DUMMYFUNCTION("""COMPUTED_VALUE"""),"Nathanael Beyene")</f>
        <v>Nathanael Beyene</v>
      </c>
      <c r="Q3766" s="6" t="str">
        <f>IFERROR(__xludf.DUMMYFUNCTION("""COMPUTED_VALUE"""),"HS")</f>
        <v>HS</v>
      </c>
      <c r="R3766" s="6">
        <f>IFERROR(__xludf.DUMMYFUNCTION("""COMPUTED_VALUE"""),0.0)</f>
        <v>0</v>
      </c>
      <c r="S3766" s="6" t="str">
        <f>IFERROR(__xludf.DUMMYFUNCTION("""COMPUTED_VALUE""")," ")</f>
        <v> </v>
      </c>
      <c r="T3766" s="6" t="str">
        <f>IFERROR(__xludf.DUMMYFUNCTION("""COMPUTED_VALUE"""),"")</f>
        <v/>
      </c>
      <c r="U3766" s="6" t="str">
        <f>IFERROR(__xludf.DUMMYFUNCTION("""COMPUTED_VALUE"""),"11")</f>
        <v>11</v>
      </c>
      <c r="V3766" s="6" t="str">
        <f>IFERROR(__xludf.DUMMYFUNCTION("""COMPUTED_VALUE"""),"English")</f>
        <v>English</v>
      </c>
      <c r="W3766" s="6" t="str">
        <f>IFERROR(__xludf.DUMMYFUNCTION("""COMPUTED_VALUE"""),"[]")</f>
        <v>[]</v>
      </c>
      <c r="X3766" s="6" t="str">
        <f>IFERROR(__xludf.DUMMYFUNCTION("""COMPUTED_VALUE"""),"Enrolled")</f>
        <v>Enrolled</v>
      </c>
    </row>
    <row r="3767">
      <c r="A3767" s="6" t="str">
        <f>IFERROR(__xludf.DUMMYFUNCTION("""COMPUTED_VALUE"""),"068-10071")</f>
        <v>068-10071</v>
      </c>
      <c r="B3767" s="6" t="str">
        <f>IFERROR(__xludf.DUMMYFUNCTION("""COMPUTED_VALUE"""),"68")</f>
        <v>68</v>
      </c>
      <c r="C3767" s="6" t="str">
        <f>IFERROR(__xludf.DUMMYFUNCTION("""COMPUTED_VALUE"""),"10071")</f>
        <v>10071</v>
      </c>
      <c r="D3767" s="6" t="str">
        <f>IFERROR(__xludf.DUMMYFUNCTION("""COMPUTED_VALUE"""),"Tarris")</f>
        <v>Tarris</v>
      </c>
      <c r="E3767" s="6" t="str">
        <f>IFERROR(__xludf.DUMMYFUNCTION("""COMPUTED_VALUE"""),"")</f>
        <v/>
      </c>
      <c r="F3767" s="6" t="str">
        <f>IFERROR(__xludf.DUMMYFUNCTION("""COMPUTED_VALUE"""),"Bouie")</f>
        <v>Bouie</v>
      </c>
      <c r="G3767" s="6" t="str">
        <f>IFERROR(__xludf.DUMMYFUNCTION("""COMPUTED_VALUE"""),"04/24/2008")</f>
        <v>04/24/2008</v>
      </c>
      <c r="H3767" s="6" t="str">
        <f>IFERROR(__xludf.DUMMYFUNCTION("""COMPUTED_VALUE"""),"Self Identify")</f>
        <v>Self Identify</v>
      </c>
      <c r="I3767" s="6" t="str">
        <f>IFERROR(__xludf.DUMMYFUNCTION("""COMPUTED_VALUE"""),"High School")</f>
        <v>High School</v>
      </c>
      <c r="J3767" s="6" t="str">
        <f>IFERROR(__xludf.DUMMYFUNCTION("""COMPUTED_VALUE"""),"12")</f>
        <v>12</v>
      </c>
      <c r="K3767" s="6" t="str">
        <f>IFERROR(__xludf.DUMMYFUNCTION("""COMPUTED_VALUE"""),"tarris.bouie@2hourlearning.com")</f>
        <v>tarris.bouie@2hourlearning.com</v>
      </c>
      <c r="L3767" s="6" t="str">
        <f>IFERROR(__xludf.DUMMYFUNCTION("""COMPUTED_VALUE"""),"SPIRE Academy")</f>
        <v>SPIRE Academy</v>
      </c>
      <c r="M3767" s="6" t="str">
        <f>IFERROR(__xludf.DUMMYFUNCTION("""COMPUTED_VALUE"""),"")</f>
        <v/>
      </c>
      <c r="N3767" s="6" t="str">
        <f>IFERROR(__xludf.DUMMYFUNCTION("""COMPUTED_VALUE"""),"")</f>
        <v/>
      </c>
      <c r="O3767" s="87" t="str">
        <f>IFERROR(__xludf.DUMMYFUNCTION("""COMPUTED_VALUE"""),"https://drive.google.com/drive/folders/10T2cTQHqEJZqE-st6uFKPoI?usp=share_link")</f>
        <v>https://drive.google.com/drive/folders/10T2cTQHqEJZqE-st6uFKPoI?usp=share_link</v>
      </c>
      <c r="P3767" s="6" t="str">
        <f>IFERROR(__xludf.DUMMYFUNCTION("""COMPUTED_VALUE"""),"Tarris Bouie")</f>
        <v>Tarris Bouie</v>
      </c>
      <c r="Q3767" s="6" t="str">
        <f>IFERROR(__xludf.DUMMYFUNCTION("""COMPUTED_VALUE"""),"HS")</f>
        <v>HS</v>
      </c>
      <c r="R3767" s="6">
        <f>IFERROR(__xludf.DUMMYFUNCTION("""COMPUTED_VALUE"""),0.0)</f>
        <v>0</v>
      </c>
      <c r="S3767" s="6" t="str">
        <f>IFERROR(__xludf.DUMMYFUNCTION("""COMPUTED_VALUE""")," ")</f>
        <v> </v>
      </c>
      <c r="T3767" s="6" t="str">
        <f>IFERROR(__xludf.DUMMYFUNCTION("""COMPUTED_VALUE"""),"")</f>
        <v/>
      </c>
      <c r="U3767" s="6" t="str">
        <f>IFERROR(__xludf.DUMMYFUNCTION("""COMPUTED_VALUE"""),"12")</f>
        <v>12</v>
      </c>
      <c r="V3767" s="6" t="str">
        <f>IFERROR(__xludf.DUMMYFUNCTION("""COMPUTED_VALUE"""),"English")</f>
        <v>English</v>
      </c>
      <c r="W3767" s="6" t="str">
        <f>IFERROR(__xludf.DUMMYFUNCTION("""COMPUTED_VALUE"""),"[]")</f>
        <v>[]</v>
      </c>
      <c r="X3767" s="6" t="str">
        <f>IFERROR(__xludf.DUMMYFUNCTION("""COMPUTED_VALUE"""),"Enrolled")</f>
        <v>Enrolled</v>
      </c>
    </row>
    <row r="3768">
      <c r="A3768" s="6" t="str">
        <f>IFERROR(__xludf.DUMMYFUNCTION("""COMPUTED_VALUE"""),"068-10072")</f>
        <v>068-10072</v>
      </c>
      <c r="B3768" s="6" t="str">
        <f>IFERROR(__xludf.DUMMYFUNCTION("""COMPUTED_VALUE"""),"68")</f>
        <v>68</v>
      </c>
      <c r="C3768" s="6" t="str">
        <f>IFERROR(__xludf.DUMMYFUNCTION("""COMPUTED_VALUE"""),"10072")</f>
        <v>10072</v>
      </c>
      <c r="D3768" s="6" t="str">
        <f>IFERROR(__xludf.DUMMYFUNCTION("""COMPUTED_VALUE"""),"Hunter")</f>
        <v>Hunter</v>
      </c>
      <c r="E3768" s="6" t="str">
        <f>IFERROR(__xludf.DUMMYFUNCTION("""COMPUTED_VALUE"""),"")</f>
        <v/>
      </c>
      <c r="F3768" s="6" t="str">
        <f>IFERROR(__xludf.DUMMYFUNCTION("""COMPUTED_VALUE"""),"Botting")</f>
        <v>Botting</v>
      </c>
      <c r="G3768" s="6" t="str">
        <f>IFERROR(__xludf.DUMMYFUNCTION("""COMPUTED_VALUE"""),"11/17/2007")</f>
        <v>11/17/2007</v>
      </c>
      <c r="H3768" s="6" t="str">
        <f>IFERROR(__xludf.DUMMYFUNCTION("""COMPUTED_VALUE"""),"Self Identify")</f>
        <v>Self Identify</v>
      </c>
      <c r="I3768" s="6" t="str">
        <f>IFERROR(__xludf.DUMMYFUNCTION("""COMPUTED_VALUE"""),"High School")</f>
        <v>High School</v>
      </c>
      <c r="J3768" s="6" t="str">
        <f>IFERROR(__xludf.DUMMYFUNCTION("""COMPUTED_VALUE"""),"12")</f>
        <v>12</v>
      </c>
      <c r="K3768" s="6" t="str">
        <f>IFERROR(__xludf.DUMMYFUNCTION("""COMPUTED_VALUE"""),"hunter.botting@2hourlearning.com")</f>
        <v>hunter.botting@2hourlearning.com</v>
      </c>
      <c r="L3768" s="6" t="str">
        <f>IFERROR(__xludf.DUMMYFUNCTION("""COMPUTED_VALUE"""),"SPIRE Academy")</f>
        <v>SPIRE Academy</v>
      </c>
      <c r="M3768" s="6" t="str">
        <f>IFERROR(__xludf.DUMMYFUNCTION("""COMPUTED_VALUE"""),"")</f>
        <v/>
      </c>
      <c r="N3768" s="6" t="str">
        <f>IFERROR(__xludf.DUMMYFUNCTION("""COMPUTED_VALUE"""),"")</f>
        <v/>
      </c>
      <c r="O3768" s="87" t="str">
        <f>IFERROR(__xludf.DUMMYFUNCTION("""COMPUTED_VALUE"""),"https://drive.google.com/drive/folders/10T2cTQHqEJZqE-st6uFKPoI?usp=share_link")</f>
        <v>https://drive.google.com/drive/folders/10T2cTQHqEJZqE-st6uFKPoI?usp=share_link</v>
      </c>
      <c r="P3768" s="6" t="str">
        <f>IFERROR(__xludf.DUMMYFUNCTION("""COMPUTED_VALUE"""),"Hunter Botting")</f>
        <v>Hunter Botting</v>
      </c>
      <c r="Q3768" s="6" t="str">
        <f>IFERROR(__xludf.DUMMYFUNCTION("""COMPUTED_VALUE"""),"HS")</f>
        <v>HS</v>
      </c>
      <c r="R3768" s="6">
        <f>IFERROR(__xludf.DUMMYFUNCTION("""COMPUTED_VALUE"""),0.0)</f>
        <v>0</v>
      </c>
      <c r="S3768" s="6" t="str">
        <f>IFERROR(__xludf.DUMMYFUNCTION("""COMPUTED_VALUE""")," ")</f>
        <v> </v>
      </c>
      <c r="T3768" s="6" t="str">
        <f>IFERROR(__xludf.DUMMYFUNCTION("""COMPUTED_VALUE"""),"")</f>
        <v/>
      </c>
      <c r="U3768" s="6" t="str">
        <f>IFERROR(__xludf.DUMMYFUNCTION("""COMPUTED_VALUE"""),"12")</f>
        <v>12</v>
      </c>
      <c r="V3768" s="6" t="str">
        <f>IFERROR(__xludf.DUMMYFUNCTION("""COMPUTED_VALUE"""),"English")</f>
        <v>English</v>
      </c>
      <c r="W3768" s="6" t="str">
        <f>IFERROR(__xludf.DUMMYFUNCTION("""COMPUTED_VALUE"""),"[]")</f>
        <v>[]</v>
      </c>
      <c r="X3768" s="6" t="str">
        <f>IFERROR(__xludf.DUMMYFUNCTION("""COMPUTED_VALUE"""),"Enrolled")</f>
        <v>Enrolled</v>
      </c>
    </row>
    <row r="3769">
      <c r="A3769" s="6" t="str">
        <f>IFERROR(__xludf.DUMMYFUNCTION("""COMPUTED_VALUE"""),"068-10073")</f>
        <v>068-10073</v>
      </c>
      <c r="B3769" s="6" t="str">
        <f>IFERROR(__xludf.DUMMYFUNCTION("""COMPUTED_VALUE"""),"68")</f>
        <v>68</v>
      </c>
      <c r="C3769" s="6" t="str">
        <f>IFERROR(__xludf.DUMMYFUNCTION("""COMPUTED_VALUE"""),"10073")</f>
        <v>10073</v>
      </c>
      <c r="D3769" s="6" t="str">
        <f>IFERROR(__xludf.DUMMYFUNCTION("""COMPUTED_VALUE"""),"Isabella")</f>
        <v>Isabella</v>
      </c>
      <c r="E3769" s="6" t="str">
        <f>IFERROR(__xludf.DUMMYFUNCTION("""COMPUTED_VALUE"""),"")</f>
        <v/>
      </c>
      <c r="F3769" s="6" t="str">
        <f>IFERROR(__xludf.DUMMYFUNCTION("""COMPUTED_VALUE"""),"Boyd")</f>
        <v>Boyd</v>
      </c>
      <c r="G3769" s="6" t="str">
        <f>IFERROR(__xludf.DUMMYFUNCTION("""COMPUTED_VALUE"""),"01/07/2009")</f>
        <v>01/07/2009</v>
      </c>
      <c r="H3769" s="6" t="str">
        <f>IFERROR(__xludf.DUMMYFUNCTION("""COMPUTED_VALUE"""),"Self Identify")</f>
        <v>Self Identify</v>
      </c>
      <c r="I3769" s="6" t="str">
        <f>IFERROR(__xludf.DUMMYFUNCTION("""COMPUTED_VALUE"""),"High School")</f>
        <v>High School</v>
      </c>
      <c r="J3769" s="6" t="str">
        <f>IFERROR(__xludf.DUMMYFUNCTION("""COMPUTED_VALUE"""),"10")</f>
        <v>10</v>
      </c>
      <c r="K3769" s="6" t="str">
        <f>IFERROR(__xludf.DUMMYFUNCTION("""COMPUTED_VALUE"""),"isabella.boyd@2hourlearning.com")</f>
        <v>isabella.boyd@2hourlearning.com</v>
      </c>
      <c r="L3769" s="6" t="str">
        <f>IFERROR(__xludf.DUMMYFUNCTION("""COMPUTED_VALUE"""),"SPIRE Academy")</f>
        <v>SPIRE Academy</v>
      </c>
      <c r="M3769" s="6" t="str">
        <f>IFERROR(__xludf.DUMMYFUNCTION("""COMPUTED_VALUE"""),"")</f>
        <v/>
      </c>
      <c r="N3769" s="6" t="str">
        <f>IFERROR(__xludf.DUMMYFUNCTION("""COMPUTED_VALUE"""),"")</f>
        <v/>
      </c>
      <c r="O3769" s="87" t="str">
        <f>IFERROR(__xludf.DUMMYFUNCTION("""COMPUTED_VALUE"""),"https://drive.google.com/drive/folders/10T2cTQHqEJZqE-st6uFKPoI?usp=share_link")</f>
        <v>https://drive.google.com/drive/folders/10T2cTQHqEJZqE-st6uFKPoI?usp=share_link</v>
      </c>
      <c r="P3769" s="6" t="str">
        <f>IFERROR(__xludf.DUMMYFUNCTION("""COMPUTED_VALUE"""),"Isabella Boyd")</f>
        <v>Isabella Boyd</v>
      </c>
      <c r="Q3769" s="6" t="str">
        <f>IFERROR(__xludf.DUMMYFUNCTION("""COMPUTED_VALUE"""),"HS")</f>
        <v>HS</v>
      </c>
      <c r="R3769" s="6">
        <f>IFERROR(__xludf.DUMMYFUNCTION("""COMPUTED_VALUE"""),0.0)</f>
        <v>0</v>
      </c>
      <c r="S3769" s="6" t="str">
        <f>IFERROR(__xludf.DUMMYFUNCTION("""COMPUTED_VALUE""")," ")</f>
        <v> </v>
      </c>
      <c r="T3769" s="6" t="str">
        <f>IFERROR(__xludf.DUMMYFUNCTION("""COMPUTED_VALUE"""),"")</f>
        <v/>
      </c>
      <c r="U3769" s="6" t="str">
        <f>IFERROR(__xludf.DUMMYFUNCTION("""COMPUTED_VALUE"""),"10")</f>
        <v>10</v>
      </c>
      <c r="V3769" s="6" t="str">
        <f>IFERROR(__xludf.DUMMYFUNCTION("""COMPUTED_VALUE"""),"English")</f>
        <v>English</v>
      </c>
      <c r="W3769" s="6" t="str">
        <f>IFERROR(__xludf.DUMMYFUNCTION("""COMPUTED_VALUE"""),"[]")</f>
        <v>[]</v>
      </c>
      <c r="X3769" s="6" t="str">
        <f>IFERROR(__xludf.DUMMYFUNCTION("""COMPUTED_VALUE"""),"Enrolled")</f>
        <v>Enrolled</v>
      </c>
    </row>
    <row r="3770">
      <c r="A3770" s="6" t="str">
        <f>IFERROR(__xludf.DUMMYFUNCTION("""COMPUTED_VALUE"""),"068-10074")</f>
        <v>068-10074</v>
      </c>
      <c r="B3770" s="6" t="str">
        <f>IFERROR(__xludf.DUMMYFUNCTION("""COMPUTED_VALUE"""),"68")</f>
        <v>68</v>
      </c>
      <c r="C3770" s="6" t="str">
        <f>IFERROR(__xludf.DUMMYFUNCTION("""COMPUTED_VALUE"""),"10074")</f>
        <v>10074</v>
      </c>
      <c r="D3770" s="6" t="str">
        <f>IFERROR(__xludf.DUMMYFUNCTION("""COMPUTED_VALUE"""),"Ella")</f>
        <v>Ella</v>
      </c>
      <c r="E3770" s="6" t="str">
        <f>IFERROR(__xludf.DUMMYFUNCTION("""COMPUTED_VALUE"""),"")</f>
        <v/>
      </c>
      <c r="F3770" s="6" t="str">
        <f>IFERROR(__xludf.DUMMYFUNCTION("""COMPUTED_VALUE"""),"Brodrick")</f>
        <v>Brodrick</v>
      </c>
      <c r="G3770" s="6" t="str">
        <f>IFERROR(__xludf.DUMMYFUNCTION("""COMPUTED_VALUE"""),"05/11/2007")</f>
        <v>05/11/2007</v>
      </c>
      <c r="H3770" s="6" t="str">
        <f>IFERROR(__xludf.DUMMYFUNCTION("""COMPUTED_VALUE"""),"Self Identify")</f>
        <v>Self Identify</v>
      </c>
      <c r="I3770" s="6" t="str">
        <f>IFERROR(__xludf.DUMMYFUNCTION("""COMPUTED_VALUE"""),"High School")</f>
        <v>High School</v>
      </c>
      <c r="J3770" s="6" t="str">
        <f>IFERROR(__xludf.DUMMYFUNCTION("""COMPUTED_VALUE"""),"11")</f>
        <v>11</v>
      </c>
      <c r="K3770" s="6" t="str">
        <f>IFERROR(__xludf.DUMMYFUNCTION("""COMPUTED_VALUE"""),"ella.brodrick@2hourlearning.com")</f>
        <v>ella.brodrick@2hourlearning.com</v>
      </c>
      <c r="L3770" s="6" t="str">
        <f>IFERROR(__xludf.DUMMYFUNCTION("""COMPUTED_VALUE"""),"SPIRE Academy")</f>
        <v>SPIRE Academy</v>
      </c>
      <c r="M3770" s="6" t="str">
        <f>IFERROR(__xludf.DUMMYFUNCTION("""COMPUTED_VALUE"""),"")</f>
        <v/>
      </c>
      <c r="N3770" s="6" t="str">
        <f>IFERROR(__xludf.DUMMYFUNCTION("""COMPUTED_VALUE"""),"")</f>
        <v/>
      </c>
      <c r="O3770" s="87" t="str">
        <f>IFERROR(__xludf.DUMMYFUNCTION("""COMPUTED_VALUE"""),"https://drive.google.com/drive/folders/10T2cTQHqEJZqE-st6uFKPoI?usp=share_link")</f>
        <v>https://drive.google.com/drive/folders/10T2cTQHqEJZqE-st6uFKPoI?usp=share_link</v>
      </c>
      <c r="P3770" s="6" t="str">
        <f>IFERROR(__xludf.DUMMYFUNCTION("""COMPUTED_VALUE"""),"Ella Brodrick")</f>
        <v>Ella Brodrick</v>
      </c>
      <c r="Q3770" s="6" t="str">
        <f>IFERROR(__xludf.DUMMYFUNCTION("""COMPUTED_VALUE"""),"HS")</f>
        <v>HS</v>
      </c>
      <c r="R3770" s="6">
        <f>IFERROR(__xludf.DUMMYFUNCTION("""COMPUTED_VALUE"""),0.0)</f>
        <v>0</v>
      </c>
      <c r="S3770" s="6" t="str">
        <f>IFERROR(__xludf.DUMMYFUNCTION("""COMPUTED_VALUE""")," ")</f>
        <v> </v>
      </c>
      <c r="T3770" s="6" t="str">
        <f>IFERROR(__xludf.DUMMYFUNCTION("""COMPUTED_VALUE"""),"")</f>
        <v/>
      </c>
      <c r="U3770" s="6" t="str">
        <f>IFERROR(__xludf.DUMMYFUNCTION("""COMPUTED_VALUE"""),"11")</f>
        <v>11</v>
      </c>
      <c r="V3770" s="6" t="str">
        <f>IFERROR(__xludf.DUMMYFUNCTION("""COMPUTED_VALUE"""),"English")</f>
        <v>English</v>
      </c>
      <c r="W3770" s="6" t="str">
        <f>IFERROR(__xludf.DUMMYFUNCTION("""COMPUTED_VALUE"""),"[]")</f>
        <v>[]</v>
      </c>
      <c r="X3770" s="6" t="str">
        <f>IFERROR(__xludf.DUMMYFUNCTION("""COMPUTED_VALUE"""),"Enrolled")</f>
        <v>Enrolled</v>
      </c>
    </row>
    <row r="3771">
      <c r="A3771" s="6" t="str">
        <f>IFERROR(__xludf.DUMMYFUNCTION("""COMPUTED_VALUE"""),"068-10075")</f>
        <v>068-10075</v>
      </c>
      <c r="B3771" s="6" t="str">
        <f>IFERROR(__xludf.DUMMYFUNCTION("""COMPUTED_VALUE"""),"68")</f>
        <v>68</v>
      </c>
      <c r="C3771" s="6" t="str">
        <f>IFERROR(__xludf.DUMMYFUNCTION("""COMPUTED_VALUE"""),"10075")</f>
        <v>10075</v>
      </c>
      <c r="D3771" s="6" t="str">
        <f>IFERROR(__xludf.DUMMYFUNCTION("""COMPUTED_VALUE"""),"Lucca")</f>
        <v>Lucca</v>
      </c>
      <c r="E3771" s="6" t="str">
        <f>IFERROR(__xludf.DUMMYFUNCTION("""COMPUTED_VALUE"""),"")</f>
        <v/>
      </c>
      <c r="F3771" s="6" t="str">
        <f>IFERROR(__xludf.DUMMYFUNCTION("""COMPUTED_VALUE"""),"Brito Signorini")</f>
        <v>Brito Signorini</v>
      </c>
      <c r="G3771" s="6" t="str">
        <f>IFERROR(__xludf.DUMMYFUNCTION("""COMPUTED_VALUE"""),"09/13/2008")</f>
        <v>09/13/2008</v>
      </c>
      <c r="H3771" s="6" t="str">
        <f>IFERROR(__xludf.DUMMYFUNCTION("""COMPUTED_VALUE"""),"Self Identify")</f>
        <v>Self Identify</v>
      </c>
      <c r="I3771" s="6" t="str">
        <f>IFERROR(__xludf.DUMMYFUNCTION("""COMPUTED_VALUE"""),"High School")</f>
        <v>High School</v>
      </c>
      <c r="J3771" s="6" t="str">
        <f>IFERROR(__xludf.DUMMYFUNCTION("""COMPUTED_VALUE"""),"11")</f>
        <v>11</v>
      </c>
      <c r="K3771" s="6" t="str">
        <f>IFERROR(__xludf.DUMMYFUNCTION("""COMPUTED_VALUE"""),"lucca.britosignorini@2hourlearning.com")</f>
        <v>lucca.britosignorini@2hourlearning.com</v>
      </c>
      <c r="L3771" s="6" t="str">
        <f>IFERROR(__xludf.DUMMYFUNCTION("""COMPUTED_VALUE"""),"SPIRE Academy")</f>
        <v>SPIRE Academy</v>
      </c>
      <c r="M3771" s="6" t="str">
        <f>IFERROR(__xludf.DUMMYFUNCTION("""COMPUTED_VALUE"""),"")</f>
        <v/>
      </c>
      <c r="N3771" s="6" t="str">
        <f>IFERROR(__xludf.DUMMYFUNCTION("""COMPUTED_VALUE"""),"")</f>
        <v/>
      </c>
      <c r="O3771" s="87" t="str">
        <f>IFERROR(__xludf.DUMMYFUNCTION("""COMPUTED_VALUE"""),"https://drive.google.com/drive/folders/10T2cTQHqEJZqE-st6uFKPoI?usp=share_link")</f>
        <v>https://drive.google.com/drive/folders/10T2cTQHqEJZqE-st6uFKPoI?usp=share_link</v>
      </c>
      <c r="P3771" s="6" t="str">
        <f>IFERROR(__xludf.DUMMYFUNCTION("""COMPUTED_VALUE"""),"Lucca Brito Signorini")</f>
        <v>Lucca Brito Signorini</v>
      </c>
      <c r="Q3771" s="6" t="str">
        <f>IFERROR(__xludf.DUMMYFUNCTION("""COMPUTED_VALUE"""),"HS")</f>
        <v>HS</v>
      </c>
      <c r="R3771" s="6">
        <f>IFERROR(__xludf.DUMMYFUNCTION("""COMPUTED_VALUE"""),0.0)</f>
        <v>0</v>
      </c>
      <c r="S3771" s="6" t="str">
        <f>IFERROR(__xludf.DUMMYFUNCTION("""COMPUTED_VALUE""")," ")</f>
        <v> </v>
      </c>
      <c r="T3771" s="6" t="str">
        <f>IFERROR(__xludf.DUMMYFUNCTION("""COMPUTED_VALUE"""),"")</f>
        <v/>
      </c>
      <c r="U3771" s="6" t="str">
        <f>IFERROR(__xludf.DUMMYFUNCTION("""COMPUTED_VALUE"""),"11")</f>
        <v>11</v>
      </c>
      <c r="V3771" s="6" t="str">
        <f>IFERROR(__xludf.DUMMYFUNCTION("""COMPUTED_VALUE"""),"English")</f>
        <v>English</v>
      </c>
      <c r="W3771" s="6" t="str">
        <f>IFERROR(__xludf.DUMMYFUNCTION("""COMPUTED_VALUE"""),"[]")</f>
        <v>[]</v>
      </c>
      <c r="X3771" s="6" t="str">
        <f>IFERROR(__xludf.DUMMYFUNCTION("""COMPUTED_VALUE"""),"Enrolled")</f>
        <v>Enrolled</v>
      </c>
    </row>
    <row r="3772">
      <c r="A3772" s="6" t="str">
        <f>IFERROR(__xludf.DUMMYFUNCTION("""COMPUTED_VALUE"""),"068-10076")</f>
        <v>068-10076</v>
      </c>
      <c r="B3772" s="6" t="str">
        <f>IFERROR(__xludf.DUMMYFUNCTION("""COMPUTED_VALUE"""),"68")</f>
        <v>68</v>
      </c>
      <c r="C3772" s="6" t="str">
        <f>IFERROR(__xludf.DUMMYFUNCTION("""COMPUTED_VALUE"""),"10076")</f>
        <v>10076</v>
      </c>
      <c r="D3772" s="6" t="str">
        <f>IFERROR(__xludf.DUMMYFUNCTION("""COMPUTED_VALUE"""),"Zachery")</f>
        <v>Zachery</v>
      </c>
      <c r="E3772" s="6" t="str">
        <f>IFERROR(__xludf.DUMMYFUNCTION("""COMPUTED_VALUE"""),"")</f>
        <v/>
      </c>
      <c r="F3772" s="6" t="str">
        <f>IFERROR(__xludf.DUMMYFUNCTION("""COMPUTED_VALUE"""),"Brown")</f>
        <v>Brown</v>
      </c>
      <c r="G3772" s="6" t="str">
        <f>IFERROR(__xludf.DUMMYFUNCTION("""COMPUTED_VALUE"""),"06/30/2011")</f>
        <v>06/30/2011</v>
      </c>
      <c r="H3772" s="6" t="str">
        <f>IFERROR(__xludf.DUMMYFUNCTION("""COMPUTED_VALUE"""),"Self Identify")</f>
        <v>Self Identify</v>
      </c>
      <c r="I3772" s="6" t="str">
        <f>IFERROR(__xludf.DUMMYFUNCTION("""COMPUTED_VALUE"""),"High School")</f>
        <v>High School</v>
      </c>
      <c r="J3772" s="6" t="str">
        <f>IFERROR(__xludf.DUMMYFUNCTION("""COMPUTED_VALUE"""),"9")</f>
        <v>9</v>
      </c>
      <c r="K3772" s="6" t="str">
        <f>IFERROR(__xludf.DUMMYFUNCTION("""COMPUTED_VALUE"""),"zachery.brown@2hourlearning.com")</f>
        <v>zachery.brown@2hourlearning.com</v>
      </c>
      <c r="L3772" s="6" t="str">
        <f>IFERROR(__xludf.DUMMYFUNCTION("""COMPUTED_VALUE"""),"SPIRE Academy")</f>
        <v>SPIRE Academy</v>
      </c>
      <c r="M3772" s="6" t="str">
        <f>IFERROR(__xludf.DUMMYFUNCTION("""COMPUTED_VALUE"""),"")</f>
        <v/>
      </c>
      <c r="N3772" s="6" t="str">
        <f>IFERROR(__xludf.DUMMYFUNCTION("""COMPUTED_VALUE"""),"")</f>
        <v/>
      </c>
      <c r="O3772" s="87" t="str">
        <f>IFERROR(__xludf.DUMMYFUNCTION("""COMPUTED_VALUE"""),"https://drive.google.com/drive/folders/10T2cTQHqEJZqE-st6uFKPoI?usp=share_link")</f>
        <v>https://drive.google.com/drive/folders/10T2cTQHqEJZqE-st6uFKPoI?usp=share_link</v>
      </c>
      <c r="P3772" s="6" t="str">
        <f>IFERROR(__xludf.DUMMYFUNCTION("""COMPUTED_VALUE"""),"Zachery Brown")</f>
        <v>Zachery Brown</v>
      </c>
      <c r="Q3772" s="6" t="str">
        <f>IFERROR(__xludf.DUMMYFUNCTION("""COMPUTED_VALUE"""),"HS")</f>
        <v>HS</v>
      </c>
      <c r="R3772" s="6">
        <f>IFERROR(__xludf.DUMMYFUNCTION("""COMPUTED_VALUE"""),0.0)</f>
        <v>0</v>
      </c>
      <c r="S3772" s="6" t="str">
        <f>IFERROR(__xludf.DUMMYFUNCTION("""COMPUTED_VALUE""")," ")</f>
        <v> </v>
      </c>
      <c r="T3772" s="6" t="str">
        <f>IFERROR(__xludf.DUMMYFUNCTION("""COMPUTED_VALUE"""),"")</f>
        <v/>
      </c>
      <c r="U3772" s="6" t="str">
        <f>IFERROR(__xludf.DUMMYFUNCTION("""COMPUTED_VALUE"""),"9")</f>
        <v>9</v>
      </c>
      <c r="V3772" s="6" t="str">
        <f>IFERROR(__xludf.DUMMYFUNCTION("""COMPUTED_VALUE"""),"English")</f>
        <v>English</v>
      </c>
      <c r="W3772" s="6" t="str">
        <f>IFERROR(__xludf.DUMMYFUNCTION("""COMPUTED_VALUE"""),"[]")</f>
        <v>[]</v>
      </c>
      <c r="X3772" s="6" t="str">
        <f>IFERROR(__xludf.DUMMYFUNCTION("""COMPUTED_VALUE"""),"Enrolled")</f>
        <v>Enrolled</v>
      </c>
    </row>
    <row r="3773">
      <c r="A3773" s="6" t="str">
        <f>IFERROR(__xludf.DUMMYFUNCTION("""COMPUTED_VALUE"""),"068-10077")</f>
        <v>068-10077</v>
      </c>
      <c r="B3773" s="6" t="str">
        <f>IFERROR(__xludf.DUMMYFUNCTION("""COMPUTED_VALUE"""),"68")</f>
        <v>68</v>
      </c>
      <c r="C3773" s="6" t="str">
        <f>IFERROR(__xludf.DUMMYFUNCTION("""COMPUTED_VALUE"""),"10077")</f>
        <v>10077</v>
      </c>
      <c r="D3773" s="6" t="str">
        <f>IFERROR(__xludf.DUMMYFUNCTION("""COMPUTED_VALUE"""),"Enguun")</f>
        <v>Enguun</v>
      </c>
      <c r="E3773" s="6" t="str">
        <f>IFERROR(__xludf.DUMMYFUNCTION("""COMPUTED_VALUE"""),"")</f>
        <v/>
      </c>
      <c r="F3773" s="6" t="str">
        <f>IFERROR(__xludf.DUMMYFUNCTION("""COMPUTED_VALUE"""),"Buren")</f>
        <v>Buren</v>
      </c>
      <c r="G3773" s="6" t="str">
        <f>IFERROR(__xludf.DUMMYFUNCTION("""COMPUTED_VALUE"""),"03/24/2009")</f>
        <v>03/24/2009</v>
      </c>
      <c r="H3773" s="6" t="str">
        <f>IFERROR(__xludf.DUMMYFUNCTION("""COMPUTED_VALUE"""),"Self Identify")</f>
        <v>Self Identify</v>
      </c>
      <c r="I3773" s="6" t="str">
        <f>IFERROR(__xludf.DUMMYFUNCTION("""COMPUTED_VALUE"""),"High School")</f>
        <v>High School</v>
      </c>
      <c r="J3773" s="6" t="str">
        <f>IFERROR(__xludf.DUMMYFUNCTION("""COMPUTED_VALUE"""),"12")</f>
        <v>12</v>
      </c>
      <c r="K3773" s="6" t="str">
        <f>IFERROR(__xludf.DUMMYFUNCTION("""COMPUTED_VALUE"""),"enguun.buren@2hourlearning.com")</f>
        <v>enguun.buren@2hourlearning.com</v>
      </c>
      <c r="L3773" s="6" t="str">
        <f>IFERROR(__xludf.DUMMYFUNCTION("""COMPUTED_VALUE"""),"SPIRE Academy")</f>
        <v>SPIRE Academy</v>
      </c>
      <c r="M3773" s="6" t="str">
        <f>IFERROR(__xludf.DUMMYFUNCTION("""COMPUTED_VALUE"""),"")</f>
        <v/>
      </c>
      <c r="N3773" s="6" t="str">
        <f>IFERROR(__xludf.DUMMYFUNCTION("""COMPUTED_VALUE"""),"")</f>
        <v/>
      </c>
      <c r="O3773" s="87" t="str">
        <f>IFERROR(__xludf.DUMMYFUNCTION("""COMPUTED_VALUE"""),"https://drive.google.com/drive/folders/10T2cTQHqEJZqE-st6uFKPoI?usp=share_link")</f>
        <v>https://drive.google.com/drive/folders/10T2cTQHqEJZqE-st6uFKPoI?usp=share_link</v>
      </c>
      <c r="P3773" s="6" t="str">
        <f>IFERROR(__xludf.DUMMYFUNCTION("""COMPUTED_VALUE"""),"Enguun Buren")</f>
        <v>Enguun Buren</v>
      </c>
      <c r="Q3773" s="6" t="str">
        <f>IFERROR(__xludf.DUMMYFUNCTION("""COMPUTED_VALUE"""),"HS")</f>
        <v>HS</v>
      </c>
      <c r="R3773" s="6">
        <f>IFERROR(__xludf.DUMMYFUNCTION("""COMPUTED_VALUE"""),0.0)</f>
        <v>0</v>
      </c>
      <c r="S3773" s="6" t="str">
        <f>IFERROR(__xludf.DUMMYFUNCTION("""COMPUTED_VALUE""")," ")</f>
        <v> </v>
      </c>
      <c r="T3773" s="6" t="str">
        <f>IFERROR(__xludf.DUMMYFUNCTION("""COMPUTED_VALUE"""),"")</f>
        <v/>
      </c>
      <c r="U3773" s="6" t="str">
        <f>IFERROR(__xludf.DUMMYFUNCTION("""COMPUTED_VALUE"""),"12")</f>
        <v>12</v>
      </c>
      <c r="V3773" s="6" t="str">
        <f>IFERROR(__xludf.DUMMYFUNCTION("""COMPUTED_VALUE"""),"English")</f>
        <v>English</v>
      </c>
      <c r="W3773" s="6" t="str">
        <f>IFERROR(__xludf.DUMMYFUNCTION("""COMPUTED_VALUE"""),"[]")</f>
        <v>[]</v>
      </c>
      <c r="X3773" s="6" t="str">
        <f>IFERROR(__xludf.DUMMYFUNCTION("""COMPUTED_VALUE"""),"Enrolled")</f>
        <v>Enrolled</v>
      </c>
    </row>
    <row r="3774">
      <c r="A3774" s="6" t="str">
        <f>IFERROR(__xludf.DUMMYFUNCTION("""COMPUTED_VALUE"""),"068-10078")</f>
        <v>068-10078</v>
      </c>
      <c r="B3774" s="6" t="str">
        <f>IFERROR(__xludf.DUMMYFUNCTION("""COMPUTED_VALUE"""),"68")</f>
        <v>68</v>
      </c>
      <c r="C3774" s="6" t="str">
        <f>IFERROR(__xludf.DUMMYFUNCTION("""COMPUTED_VALUE"""),"10078")</f>
        <v>10078</v>
      </c>
      <c r="D3774" s="6" t="str">
        <f>IFERROR(__xludf.DUMMYFUNCTION("""COMPUTED_VALUE"""),"Abigail")</f>
        <v>Abigail</v>
      </c>
      <c r="E3774" s="6" t="str">
        <f>IFERROR(__xludf.DUMMYFUNCTION("""COMPUTED_VALUE"""),"")</f>
        <v/>
      </c>
      <c r="F3774" s="6" t="str">
        <f>IFERROR(__xludf.DUMMYFUNCTION("""COMPUTED_VALUE"""),"Buzza")</f>
        <v>Buzza</v>
      </c>
      <c r="G3774" s="6" t="str">
        <f>IFERROR(__xludf.DUMMYFUNCTION("""COMPUTED_VALUE"""),"10/19/2009")</f>
        <v>10/19/2009</v>
      </c>
      <c r="H3774" s="6" t="str">
        <f>IFERROR(__xludf.DUMMYFUNCTION("""COMPUTED_VALUE"""),"Self Identify")</f>
        <v>Self Identify</v>
      </c>
      <c r="I3774" s="6" t="str">
        <f>IFERROR(__xludf.DUMMYFUNCTION("""COMPUTED_VALUE"""),"High School")</f>
        <v>High School</v>
      </c>
      <c r="J3774" s="6" t="str">
        <f>IFERROR(__xludf.DUMMYFUNCTION("""COMPUTED_VALUE"""),"10")</f>
        <v>10</v>
      </c>
      <c r="K3774" s="6" t="str">
        <f>IFERROR(__xludf.DUMMYFUNCTION("""COMPUTED_VALUE"""),"abigail.buzza@2hourlearning.com")</f>
        <v>abigail.buzza@2hourlearning.com</v>
      </c>
      <c r="L3774" s="6" t="str">
        <f>IFERROR(__xludf.DUMMYFUNCTION("""COMPUTED_VALUE"""),"SPIRE Academy")</f>
        <v>SPIRE Academy</v>
      </c>
      <c r="M3774" s="6" t="str">
        <f>IFERROR(__xludf.DUMMYFUNCTION("""COMPUTED_VALUE"""),"")</f>
        <v/>
      </c>
      <c r="N3774" s="6" t="str">
        <f>IFERROR(__xludf.DUMMYFUNCTION("""COMPUTED_VALUE"""),"")</f>
        <v/>
      </c>
      <c r="O3774" s="87" t="str">
        <f>IFERROR(__xludf.DUMMYFUNCTION("""COMPUTED_VALUE"""),"https://drive.google.com/drive/folders/10T2cTQHqEJZqE-st6uFKPoI?usp=share_link")</f>
        <v>https://drive.google.com/drive/folders/10T2cTQHqEJZqE-st6uFKPoI?usp=share_link</v>
      </c>
      <c r="P3774" s="6" t="str">
        <f>IFERROR(__xludf.DUMMYFUNCTION("""COMPUTED_VALUE"""),"Abigail Buzza")</f>
        <v>Abigail Buzza</v>
      </c>
      <c r="Q3774" s="6" t="str">
        <f>IFERROR(__xludf.DUMMYFUNCTION("""COMPUTED_VALUE"""),"HS")</f>
        <v>HS</v>
      </c>
      <c r="R3774" s="6">
        <f>IFERROR(__xludf.DUMMYFUNCTION("""COMPUTED_VALUE"""),0.0)</f>
        <v>0</v>
      </c>
      <c r="S3774" s="6" t="str">
        <f>IFERROR(__xludf.DUMMYFUNCTION("""COMPUTED_VALUE""")," ")</f>
        <v> </v>
      </c>
      <c r="T3774" s="6" t="str">
        <f>IFERROR(__xludf.DUMMYFUNCTION("""COMPUTED_VALUE"""),"")</f>
        <v/>
      </c>
      <c r="U3774" s="6" t="str">
        <f>IFERROR(__xludf.DUMMYFUNCTION("""COMPUTED_VALUE"""),"10")</f>
        <v>10</v>
      </c>
      <c r="V3774" s="6" t="str">
        <f>IFERROR(__xludf.DUMMYFUNCTION("""COMPUTED_VALUE"""),"English")</f>
        <v>English</v>
      </c>
      <c r="W3774" s="6" t="str">
        <f>IFERROR(__xludf.DUMMYFUNCTION("""COMPUTED_VALUE"""),"[]")</f>
        <v>[]</v>
      </c>
      <c r="X3774" s="6" t="str">
        <f>IFERROR(__xludf.DUMMYFUNCTION("""COMPUTED_VALUE"""),"Enrolled")</f>
        <v>Enrolled</v>
      </c>
    </row>
    <row r="3775">
      <c r="A3775" s="6" t="str">
        <f>IFERROR(__xludf.DUMMYFUNCTION("""COMPUTED_VALUE"""),"068-10079")</f>
        <v>068-10079</v>
      </c>
      <c r="B3775" s="6" t="str">
        <f>IFERROR(__xludf.DUMMYFUNCTION("""COMPUTED_VALUE"""),"68")</f>
        <v>68</v>
      </c>
      <c r="C3775" s="6" t="str">
        <f>IFERROR(__xludf.DUMMYFUNCTION("""COMPUTED_VALUE"""),"10079")</f>
        <v>10079</v>
      </c>
      <c r="D3775" s="6" t="str">
        <f>IFERROR(__xludf.DUMMYFUNCTION("""COMPUTED_VALUE"""),"Elizabeth")</f>
        <v>Elizabeth</v>
      </c>
      <c r="E3775" s="6" t="str">
        <f>IFERROR(__xludf.DUMMYFUNCTION("""COMPUTED_VALUE"""),"")</f>
        <v/>
      </c>
      <c r="F3775" s="6" t="str">
        <f>IFERROR(__xludf.DUMMYFUNCTION("""COMPUTED_VALUE"""),"Campbell")</f>
        <v>Campbell</v>
      </c>
      <c r="G3775" s="6" t="str">
        <f>IFERROR(__xludf.DUMMYFUNCTION("""COMPUTED_VALUE"""),"07/15/2008")</f>
        <v>07/15/2008</v>
      </c>
      <c r="H3775" s="6" t="str">
        <f>IFERROR(__xludf.DUMMYFUNCTION("""COMPUTED_VALUE"""),"Self Identify")</f>
        <v>Self Identify</v>
      </c>
      <c r="I3775" s="6" t="str">
        <f>IFERROR(__xludf.DUMMYFUNCTION("""COMPUTED_VALUE"""),"High School")</f>
        <v>High School</v>
      </c>
      <c r="J3775" s="6" t="str">
        <f>IFERROR(__xludf.DUMMYFUNCTION("""COMPUTED_VALUE"""),"12")</f>
        <v>12</v>
      </c>
      <c r="K3775" s="6" t="str">
        <f>IFERROR(__xludf.DUMMYFUNCTION("""COMPUTED_VALUE"""),"elizabeth.campbell@2hourlearning.com")</f>
        <v>elizabeth.campbell@2hourlearning.com</v>
      </c>
      <c r="L3775" s="6" t="str">
        <f>IFERROR(__xludf.DUMMYFUNCTION("""COMPUTED_VALUE"""),"SPIRE Academy")</f>
        <v>SPIRE Academy</v>
      </c>
      <c r="M3775" s="6" t="str">
        <f>IFERROR(__xludf.DUMMYFUNCTION("""COMPUTED_VALUE"""),"")</f>
        <v/>
      </c>
      <c r="N3775" s="6" t="str">
        <f>IFERROR(__xludf.DUMMYFUNCTION("""COMPUTED_VALUE"""),"")</f>
        <v/>
      </c>
      <c r="O3775" s="87" t="str">
        <f>IFERROR(__xludf.DUMMYFUNCTION("""COMPUTED_VALUE"""),"https://drive.google.com/drive/folders/10T2cTQHqEJZqE-st6uFKPoI?usp=share_link")</f>
        <v>https://drive.google.com/drive/folders/10T2cTQHqEJZqE-st6uFKPoI?usp=share_link</v>
      </c>
      <c r="P3775" s="6" t="str">
        <f>IFERROR(__xludf.DUMMYFUNCTION("""COMPUTED_VALUE"""),"Elizabeth Campbell")</f>
        <v>Elizabeth Campbell</v>
      </c>
      <c r="Q3775" s="6" t="str">
        <f>IFERROR(__xludf.DUMMYFUNCTION("""COMPUTED_VALUE"""),"HS")</f>
        <v>HS</v>
      </c>
      <c r="R3775" s="6">
        <f>IFERROR(__xludf.DUMMYFUNCTION("""COMPUTED_VALUE"""),0.0)</f>
        <v>0</v>
      </c>
      <c r="S3775" s="6" t="str">
        <f>IFERROR(__xludf.DUMMYFUNCTION("""COMPUTED_VALUE""")," ")</f>
        <v> </v>
      </c>
      <c r="T3775" s="6" t="str">
        <f>IFERROR(__xludf.DUMMYFUNCTION("""COMPUTED_VALUE"""),"")</f>
        <v/>
      </c>
      <c r="U3775" s="6" t="str">
        <f>IFERROR(__xludf.DUMMYFUNCTION("""COMPUTED_VALUE"""),"12")</f>
        <v>12</v>
      </c>
      <c r="V3775" s="6" t="str">
        <f>IFERROR(__xludf.DUMMYFUNCTION("""COMPUTED_VALUE"""),"English")</f>
        <v>English</v>
      </c>
      <c r="W3775" s="6" t="str">
        <f>IFERROR(__xludf.DUMMYFUNCTION("""COMPUTED_VALUE"""),"[]")</f>
        <v>[]</v>
      </c>
      <c r="X3775" s="6" t="str">
        <f>IFERROR(__xludf.DUMMYFUNCTION("""COMPUTED_VALUE"""),"Enrolled")</f>
        <v>Enrolled</v>
      </c>
    </row>
    <row r="3776">
      <c r="A3776" s="6" t="str">
        <f>IFERROR(__xludf.DUMMYFUNCTION("""COMPUTED_VALUE"""),"068-10080")</f>
        <v>068-10080</v>
      </c>
      <c r="B3776" s="6" t="str">
        <f>IFERROR(__xludf.DUMMYFUNCTION("""COMPUTED_VALUE"""),"68")</f>
        <v>68</v>
      </c>
      <c r="C3776" s="6" t="str">
        <f>IFERROR(__xludf.DUMMYFUNCTION("""COMPUTED_VALUE"""),"10080")</f>
        <v>10080</v>
      </c>
      <c r="D3776" s="6" t="str">
        <f>IFERROR(__xludf.DUMMYFUNCTION("""COMPUTED_VALUE"""),"Kyhanna")</f>
        <v>Kyhanna</v>
      </c>
      <c r="E3776" s="6" t="str">
        <f>IFERROR(__xludf.DUMMYFUNCTION("""COMPUTED_VALUE"""),"")</f>
        <v/>
      </c>
      <c r="F3776" s="6" t="str">
        <f>IFERROR(__xludf.DUMMYFUNCTION("""COMPUTED_VALUE"""),"Campbell")</f>
        <v>Campbell</v>
      </c>
      <c r="G3776" s="6" t="str">
        <f>IFERROR(__xludf.DUMMYFUNCTION("""COMPUTED_VALUE"""),"05/13/2009")</f>
        <v>05/13/2009</v>
      </c>
      <c r="H3776" s="6" t="str">
        <f>IFERROR(__xludf.DUMMYFUNCTION("""COMPUTED_VALUE"""),"Self Identify")</f>
        <v>Self Identify</v>
      </c>
      <c r="I3776" s="6" t="str">
        <f>IFERROR(__xludf.DUMMYFUNCTION("""COMPUTED_VALUE"""),"High School")</f>
        <v>High School</v>
      </c>
      <c r="J3776" s="6" t="str">
        <f>IFERROR(__xludf.DUMMYFUNCTION("""COMPUTED_VALUE"""),"10")</f>
        <v>10</v>
      </c>
      <c r="K3776" s="6" t="str">
        <f>IFERROR(__xludf.DUMMYFUNCTION("""COMPUTED_VALUE"""),"kyhanna.campbell@2hourlearning.com")</f>
        <v>kyhanna.campbell@2hourlearning.com</v>
      </c>
      <c r="L3776" s="6" t="str">
        <f>IFERROR(__xludf.DUMMYFUNCTION("""COMPUTED_VALUE"""),"SPIRE Academy")</f>
        <v>SPIRE Academy</v>
      </c>
      <c r="M3776" s="6" t="str">
        <f>IFERROR(__xludf.DUMMYFUNCTION("""COMPUTED_VALUE"""),"")</f>
        <v/>
      </c>
      <c r="N3776" s="6" t="str">
        <f>IFERROR(__xludf.DUMMYFUNCTION("""COMPUTED_VALUE"""),"")</f>
        <v/>
      </c>
      <c r="O3776" s="87" t="str">
        <f>IFERROR(__xludf.DUMMYFUNCTION("""COMPUTED_VALUE"""),"https://drive.google.com/drive/folders/10T2cTQHqEJZqE-st6uFKPoI?usp=share_link")</f>
        <v>https://drive.google.com/drive/folders/10T2cTQHqEJZqE-st6uFKPoI?usp=share_link</v>
      </c>
      <c r="P3776" s="6" t="str">
        <f>IFERROR(__xludf.DUMMYFUNCTION("""COMPUTED_VALUE"""),"Kyhanna Campbell")</f>
        <v>Kyhanna Campbell</v>
      </c>
      <c r="Q3776" s="6" t="str">
        <f>IFERROR(__xludf.DUMMYFUNCTION("""COMPUTED_VALUE"""),"HS")</f>
        <v>HS</v>
      </c>
      <c r="R3776" s="6">
        <f>IFERROR(__xludf.DUMMYFUNCTION("""COMPUTED_VALUE"""),0.0)</f>
        <v>0</v>
      </c>
      <c r="S3776" s="6" t="str">
        <f>IFERROR(__xludf.DUMMYFUNCTION("""COMPUTED_VALUE""")," ")</f>
        <v> </v>
      </c>
      <c r="T3776" s="6" t="str">
        <f>IFERROR(__xludf.DUMMYFUNCTION("""COMPUTED_VALUE"""),"")</f>
        <v/>
      </c>
      <c r="U3776" s="6" t="str">
        <f>IFERROR(__xludf.DUMMYFUNCTION("""COMPUTED_VALUE"""),"10")</f>
        <v>10</v>
      </c>
      <c r="V3776" s="6" t="str">
        <f>IFERROR(__xludf.DUMMYFUNCTION("""COMPUTED_VALUE"""),"English")</f>
        <v>English</v>
      </c>
      <c r="W3776" s="6" t="str">
        <f>IFERROR(__xludf.DUMMYFUNCTION("""COMPUTED_VALUE"""),"[]")</f>
        <v>[]</v>
      </c>
      <c r="X3776" s="6" t="str">
        <f>IFERROR(__xludf.DUMMYFUNCTION("""COMPUTED_VALUE"""),"Enrolled")</f>
        <v>Enrolled</v>
      </c>
    </row>
    <row r="3777">
      <c r="A3777" s="6" t="str">
        <f>IFERROR(__xludf.DUMMYFUNCTION("""COMPUTED_VALUE"""),"068-10081")</f>
        <v>068-10081</v>
      </c>
      <c r="B3777" s="6" t="str">
        <f>IFERROR(__xludf.DUMMYFUNCTION("""COMPUTED_VALUE"""),"68")</f>
        <v>68</v>
      </c>
      <c r="C3777" s="6" t="str">
        <f>IFERROR(__xludf.DUMMYFUNCTION("""COMPUTED_VALUE"""),"10081")</f>
        <v>10081</v>
      </c>
      <c r="D3777" s="6" t="str">
        <f>IFERROR(__xludf.DUMMYFUNCTION("""COMPUTED_VALUE"""),"Colton")</f>
        <v>Colton</v>
      </c>
      <c r="E3777" s="6" t="str">
        <f>IFERROR(__xludf.DUMMYFUNCTION("""COMPUTED_VALUE"""),"")</f>
        <v/>
      </c>
      <c r="F3777" s="6" t="str">
        <f>IFERROR(__xludf.DUMMYFUNCTION("""COMPUTED_VALUE"""),"Carrick")</f>
        <v>Carrick</v>
      </c>
      <c r="G3777" s="6" t="str">
        <f>IFERROR(__xludf.DUMMYFUNCTION("""COMPUTED_VALUE"""),"10/24/2009")</f>
        <v>10/24/2009</v>
      </c>
      <c r="H3777" s="6" t="str">
        <f>IFERROR(__xludf.DUMMYFUNCTION("""COMPUTED_VALUE"""),"Self Identify")</f>
        <v>Self Identify</v>
      </c>
      <c r="I3777" s="6" t="str">
        <f>IFERROR(__xludf.DUMMYFUNCTION("""COMPUTED_VALUE"""),"High School")</f>
        <v>High School</v>
      </c>
      <c r="J3777" s="6" t="str">
        <f>IFERROR(__xludf.DUMMYFUNCTION("""COMPUTED_VALUE"""),"10")</f>
        <v>10</v>
      </c>
      <c r="K3777" s="6" t="str">
        <f>IFERROR(__xludf.DUMMYFUNCTION("""COMPUTED_VALUE"""),"colton.carrick@2hourlearning.com")</f>
        <v>colton.carrick@2hourlearning.com</v>
      </c>
      <c r="L3777" s="6" t="str">
        <f>IFERROR(__xludf.DUMMYFUNCTION("""COMPUTED_VALUE"""),"SPIRE Academy")</f>
        <v>SPIRE Academy</v>
      </c>
      <c r="M3777" s="6" t="str">
        <f>IFERROR(__xludf.DUMMYFUNCTION("""COMPUTED_VALUE"""),"")</f>
        <v/>
      </c>
      <c r="N3777" s="6" t="str">
        <f>IFERROR(__xludf.DUMMYFUNCTION("""COMPUTED_VALUE"""),"")</f>
        <v/>
      </c>
      <c r="O3777" s="87" t="str">
        <f>IFERROR(__xludf.DUMMYFUNCTION("""COMPUTED_VALUE"""),"https://drive.google.com/drive/folders/10T2cTQHqEJZqE-st6uFKPoI?usp=share_link")</f>
        <v>https://drive.google.com/drive/folders/10T2cTQHqEJZqE-st6uFKPoI?usp=share_link</v>
      </c>
      <c r="P3777" s="6" t="str">
        <f>IFERROR(__xludf.DUMMYFUNCTION("""COMPUTED_VALUE"""),"Colton Carrick")</f>
        <v>Colton Carrick</v>
      </c>
      <c r="Q3777" s="6" t="str">
        <f>IFERROR(__xludf.DUMMYFUNCTION("""COMPUTED_VALUE"""),"HS")</f>
        <v>HS</v>
      </c>
      <c r="R3777" s="6">
        <f>IFERROR(__xludf.DUMMYFUNCTION("""COMPUTED_VALUE"""),0.0)</f>
        <v>0</v>
      </c>
      <c r="S3777" s="6" t="str">
        <f>IFERROR(__xludf.DUMMYFUNCTION("""COMPUTED_VALUE""")," ")</f>
        <v> </v>
      </c>
      <c r="T3777" s="6" t="str">
        <f>IFERROR(__xludf.DUMMYFUNCTION("""COMPUTED_VALUE"""),"")</f>
        <v/>
      </c>
      <c r="U3777" s="6" t="str">
        <f>IFERROR(__xludf.DUMMYFUNCTION("""COMPUTED_VALUE"""),"10")</f>
        <v>10</v>
      </c>
      <c r="V3777" s="6" t="str">
        <f>IFERROR(__xludf.DUMMYFUNCTION("""COMPUTED_VALUE"""),"English")</f>
        <v>English</v>
      </c>
      <c r="W3777" s="6" t="str">
        <f>IFERROR(__xludf.DUMMYFUNCTION("""COMPUTED_VALUE"""),"[]")</f>
        <v>[]</v>
      </c>
      <c r="X3777" s="6" t="str">
        <f>IFERROR(__xludf.DUMMYFUNCTION("""COMPUTED_VALUE"""),"Enrolled")</f>
        <v>Enrolled</v>
      </c>
    </row>
    <row r="3778">
      <c r="A3778" s="6" t="str">
        <f>IFERROR(__xludf.DUMMYFUNCTION("""COMPUTED_VALUE"""),"068-10082")</f>
        <v>068-10082</v>
      </c>
      <c r="B3778" s="6" t="str">
        <f>IFERROR(__xludf.DUMMYFUNCTION("""COMPUTED_VALUE"""),"68")</f>
        <v>68</v>
      </c>
      <c r="C3778" s="6" t="str">
        <f>IFERROR(__xludf.DUMMYFUNCTION("""COMPUTED_VALUE"""),"10082")</f>
        <v>10082</v>
      </c>
      <c r="D3778" s="6" t="str">
        <f>IFERROR(__xludf.DUMMYFUNCTION("""COMPUTED_VALUE"""),"Sofia")</f>
        <v>Sofia</v>
      </c>
      <c r="E3778" s="6" t="str">
        <f>IFERROR(__xludf.DUMMYFUNCTION("""COMPUTED_VALUE"""),"")</f>
        <v/>
      </c>
      <c r="F3778" s="6" t="str">
        <f>IFERROR(__xludf.DUMMYFUNCTION("""COMPUTED_VALUE"""),"Casares Herrasti")</f>
        <v>Casares Herrasti</v>
      </c>
      <c r="G3778" s="6" t="str">
        <f>IFERROR(__xludf.DUMMYFUNCTION("""COMPUTED_VALUE"""),"04/25/2007")</f>
        <v>04/25/2007</v>
      </c>
      <c r="H3778" s="6" t="str">
        <f>IFERROR(__xludf.DUMMYFUNCTION("""COMPUTED_VALUE"""),"Self Identify")</f>
        <v>Self Identify</v>
      </c>
      <c r="I3778" s="6" t="str">
        <f>IFERROR(__xludf.DUMMYFUNCTION("""COMPUTED_VALUE"""),"High School")</f>
        <v>High School</v>
      </c>
      <c r="J3778" s="6" t="str">
        <f>IFERROR(__xludf.DUMMYFUNCTION("""COMPUTED_VALUE"""),"12")</f>
        <v>12</v>
      </c>
      <c r="K3778" s="6" t="str">
        <f>IFERROR(__xludf.DUMMYFUNCTION("""COMPUTED_VALUE"""),"sofia.casaresherrasti@2hourlearning.com")</f>
        <v>sofia.casaresherrasti@2hourlearning.com</v>
      </c>
      <c r="L3778" s="6" t="str">
        <f>IFERROR(__xludf.DUMMYFUNCTION("""COMPUTED_VALUE"""),"SPIRE Academy")</f>
        <v>SPIRE Academy</v>
      </c>
      <c r="M3778" s="6" t="str">
        <f>IFERROR(__xludf.DUMMYFUNCTION("""COMPUTED_VALUE"""),"")</f>
        <v/>
      </c>
      <c r="N3778" s="6" t="str">
        <f>IFERROR(__xludf.DUMMYFUNCTION("""COMPUTED_VALUE"""),"")</f>
        <v/>
      </c>
      <c r="O3778" s="87" t="str">
        <f>IFERROR(__xludf.DUMMYFUNCTION("""COMPUTED_VALUE"""),"https://drive.google.com/drive/folders/10T2cTQHqEJZqE-st6uFKPoI?usp=share_link")</f>
        <v>https://drive.google.com/drive/folders/10T2cTQHqEJZqE-st6uFKPoI?usp=share_link</v>
      </c>
      <c r="P3778" s="6" t="str">
        <f>IFERROR(__xludf.DUMMYFUNCTION("""COMPUTED_VALUE"""),"Sofia Casares Herrasti")</f>
        <v>Sofia Casares Herrasti</v>
      </c>
      <c r="Q3778" s="6" t="str">
        <f>IFERROR(__xludf.DUMMYFUNCTION("""COMPUTED_VALUE"""),"HS")</f>
        <v>HS</v>
      </c>
      <c r="R3778" s="6">
        <f>IFERROR(__xludf.DUMMYFUNCTION("""COMPUTED_VALUE"""),0.0)</f>
        <v>0</v>
      </c>
      <c r="S3778" s="6" t="str">
        <f>IFERROR(__xludf.DUMMYFUNCTION("""COMPUTED_VALUE""")," ")</f>
        <v> </v>
      </c>
      <c r="T3778" s="6" t="str">
        <f>IFERROR(__xludf.DUMMYFUNCTION("""COMPUTED_VALUE"""),"")</f>
        <v/>
      </c>
      <c r="U3778" s="6" t="str">
        <f>IFERROR(__xludf.DUMMYFUNCTION("""COMPUTED_VALUE"""),"12")</f>
        <v>12</v>
      </c>
      <c r="V3778" s="6" t="str">
        <f>IFERROR(__xludf.DUMMYFUNCTION("""COMPUTED_VALUE"""),"English")</f>
        <v>English</v>
      </c>
      <c r="W3778" s="6" t="str">
        <f>IFERROR(__xludf.DUMMYFUNCTION("""COMPUTED_VALUE"""),"[]")</f>
        <v>[]</v>
      </c>
      <c r="X3778" s="6" t="str">
        <f>IFERROR(__xludf.DUMMYFUNCTION("""COMPUTED_VALUE"""),"Enrolled")</f>
        <v>Enrolled</v>
      </c>
    </row>
    <row r="3779">
      <c r="A3779" s="6" t="str">
        <f>IFERROR(__xludf.DUMMYFUNCTION("""COMPUTED_VALUE"""),"068-10083")</f>
        <v>068-10083</v>
      </c>
      <c r="B3779" s="6" t="str">
        <f>IFERROR(__xludf.DUMMYFUNCTION("""COMPUTED_VALUE"""),"68")</f>
        <v>68</v>
      </c>
      <c r="C3779" s="6" t="str">
        <f>IFERROR(__xludf.DUMMYFUNCTION("""COMPUTED_VALUE"""),"10083")</f>
        <v>10083</v>
      </c>
      <c r="D3779" s="6" t="str">
        <f>IFERROR(__xludf.DUMMYFUNCTION("""COMPUTED_VALUE"""),"Vivianna")</f>
        <v>Vivianna</v>
      </c>
      <c r="E3779" s="6" t="str">
        <f>IFERROR(__xludf.DUMMYFUNCTION("""COMPUTED_VALUE"""),"")</f>
        <v/>
      </c>
      <c r="F3779" s="6" t="str">
        <f>IFERROR(__xludf.DUMMYFUNCTION("""COMPUTED_VALUE"""),"Cellini")</f>
        <v>Cellini</v>
      </c>
      <c r="G3779" s="6" t="str">
        <f>IFERROR(__xludf.DUMMYFUNCTION("""COMPUTED_VALUE"""),"02/25/2010")</f>
        <v>02/25/2010</v>
      </c>
      <c r="H3779" s="6" t="str">
        <f>IFERROR(__xludf.DUMMYFUNCTION("""COMPUTED_VALUE"""),"Self Identify")</f>
        <v>Self Identify</v>
      </c>
      <c r="I3779" s="6" t="str">
        <f>IFERROR(__xludf.DUMMYFUNCTION("""COMPUTED_VALUE"""),"High School")</f>
        <v>High School</v>
      </c>
      <c r="J3779" s="6" t="str">
        <f>IFERROR(__xludf.DUMMYFUNCTION("""COMPUTED_VALUE"""),"10")</f>
        <v>10</v>
      </c>
      <c r="K3779" s="6" t="str">
        <f>IFERROR(__xludf.DUMMYFUNCTION("""COMPUTED_VALUE"""),"vivianna.cellini@2hourlearning.com")</f>
        <v>vivianna.cellini@2hourlearning.com</v>
      </c>
      <c r="L3779" s="6" t="str">
        <f>IFERROR(__xludf.DUMMYFUNCTION("""COMPUTED_VALUE"""),"SPIRE Academy")</f>
        <v>SPIRE Academy</v>
      </c>
      <c r="M3779" s="6" t="str">
        <f>IFERROR(__xludf.DUMMYFUNCTION("""COMPUTED_VALUE"""),"")</f>
        <v/>
      </c>
      <c r="N3779" s="6" t="str">
        <f>IFERROR(__xludf.DUMMYFUNCTION("""COMPUTED_VALUE"""),"")</f>
        <v/>
      </c>
      <c r="O3779" s="87" t="str">
        <f>IFERROR(__xludf.DUMMYFUNCTION("""COMPUTED_VALUE"""),"https://drive.google.com/drive/folders/10T2cTQHqEJZqE-st6uFKPoI?usp=share_link")</f>
        <v>https://drive.google.com/drive/folders/10T2cTQHqEJZqE-st6uFKPoI?usp=share_link</v>
      </c>
      <c r="P3779" s="6" t="str">
        <f>IFERROR(__xludf.DUMMYFUNCTION("""COMPUTED_VALUE"""),"Vivianna Cellini")</f>
        <v>Vivianna Cellini</v>
      </c>
      <c r="Q3779" s="6" t="str">
        <f>IFERROR(__xludf.DUMMYFUNCTION("""COMPUTED_VALUE"""),"HS")</f>
        <v>HS</v>
      </c>
      <c r="R3779" s="6">
        <f>IFERROR(__xludf.DUMMYFUNCTION("""COMPUTED_VALUE"""),0.0)</f>
        <v>0</v>
      </c>
      <c r="S3779" s="6" t="str">
        <f>IFERROR(__xludf.DUMMYFUNCTION("""COMPUTED_VALUE""")," ")</f>
        <v> </v>
      </c>
      <c r="T3779" s="6" t="str">
        <f>IFERROR(__xludf.DUMMYFUNCTION("""COMPUTED_VALUE"""),"")</f>
        <v/>
      </c>
      <c r="U3779" s="6" t="str">
        <f>IFERROR(__xludf.DUMMYFUNCTION("""COMPUTED_VALUE"""),"10")</f>
        <v>10</v>
      </c>
      <c r="V3779" s="6" t="str">
        <f>IFERROR(__xludf.DUMMYFUNCTION("""COMPUTED_VALUE"""),"English")</f>
        <v>English</v>
      </c>
      <c r="W3779" s="6" t="str">
        <f>IFERROR(__xludf.DUMMYFUNCTION("""COMPUTED_VALUE"""),"[]")</f>
        <v>[]</v>
      </c>
      <c r="X3779" s="6" t="str">
        <f>IFERROR(__xludf.DUMMYFUNCTION("""COMPUTED_VALUE"""),"Enrolled")</f>
        <v>Enrolled</v>
      </c>
    </row>
    <row r="3780">
      <c r="A3780" s="6" t="str">
        <f>IFERROR(__xludf.DUMMYFUNCTION("""COMPUTED_VALUE"""),"068-10084")</f>
        <v>068-10084</v>
      </c>
      <c r="B3780" s="6" t="str">
        <f>IFERROR(__xludf.DUMMYFUNCTION("""COMPUTED_VALUE"""),"68")</f>
        <v>68</v>
      </c>
      <c r="C3780" s="6" t="str">
        <f>IFERROR(__xludf.DUMMYFUNCTION("""COMPUTED_VALUE"""),"10084")</f>
        <v>10084</v>
      </c>
      <c r="D3780" s="6" t="str">
        <f>IFERROR(__xludf.DUMMYFUNCTION("""COMPUTED_VALUE"""),"Akarshit")</f>
        <v>Akarshit</v>
      </c>
      <c r="E3780" s="6" t="str">
        <f>IFERROR(__xludf.DUMMYFUNCTION("""COMPUTED_VALUE"""),"")</f>
        <v/>
      </c>
      <c r="F3780" s="6" t="str">
        <f>IFERROR(__xludf.DUMMYFUNCTION("""COMPUTED_VALUE"""),"Chawla")</f>
        <v>Chawla</v>
      </c>
      <c r="G3780" s="6" t="str">
        <f>IFERROR(__xludf.DUMMYFUNCTION("""COMPUTED_VALUE"""),"01/28/2009")</f>
        <v>01/28/2009</v>
      </c>
      <c r="H3780" s="6" t="str">
        <f>IFERROR(__xludf.DUMMYFUNCTION("""COMPUTED_VALUE"""),"Self Identify")</f>
        <v>Self Identify</v>
      </c>
      <c r="I3780" s="6" t="str">
        <f>IFERROR(__xludf.DUMMYFUNCTION("""COMPUTED_VALUE"""),"High School")</f>
        <v>High School</v>
      </c>
      <c r="J3780" s="6" t="str">
        <f>IFERROR(__xludf.DUMMYFUNCTION("""COMPUTED_VALUE"""),"11")</f>
        <v>11</v>
      </c>
      <c r="K3780" s="6" t="str">
        <f>IFERROR(__xludf.DUMMYFUNCTION("""COMPUTED_VALUE"""),"akarshit.chawla@2hourlearning.com")</f>
        <v>akarshit.chawla@2hourlearning.com</v>
      </c>
      <c r="L3780" s="6" t="str">
        <f>IFERROR(__xludf.DUMMYFUNCTION("""COMPUTED_VALUE"""),"SPIRE Academy")</f>
        <v>SPIRE Academy</v>
      </c>
      <c r="M3780" s="6" t="str">
        <f>IFERROR(__xludf.DUMMYFUNCTION("""COMPUTED_VALUE"""),"")</f>
        <v/>
      </c>
      <c r="N3780" s="6" t="str">
        <f>IFERROR(__xludf.DUMMYFUNCTION("""COMPUTED_VALUE"""),"")</f>
        <v/>
      </c>
      <c r="O3780" s="87" t="str">
        <f>IFERROR(__xludf.DUMMYFUNCTION("""COMPUTED_VALUE"""),"https://drive.google.com/drive/folders/10T2cTQHqEJZqE-st6uFKPoI?usp=share_link")</f>
        <v>https://drive.google.com/drive/folders/10T2cTQHqEJZqE-st6uFKPoI?usp=share_link</v>
      </c>
      <c r="P3780" s="6" t="str">
        <f>IFERROR(__xludf.DUMMYFUNCTION("""COMPUTED_VALUE"""),"Akarshit Chawla")</f>
        <v>Akarshit Chawla</v>
      </c>
      <c r="Q3780" s="6" t="str">
        <f>IFERROR(__xludf.DUMMYFUNCTION("""COMPUTED_VALUE"""),"HS")</f>
        <v>HS</v>
      </c>
      <c r="R3780" s="6">
        <f>IFERROR(__xludf.DUMMYFUNCTION("""COMPUTED_VALUE"""),0.0)</f>
        <v>0</v>
      </c>
      <c r="S3780" s="6" t="str">
        <f>IFERROR(__xludf.DUMMYFUNCTION("""COMPUTED_VALUE""")," ")</f>
        <v> </v>
      </c>
      <c r="T3780" s="6" t="str">
        <f>IFERROR(__xludf.DUMMYFUNCTION("""COMPUTED_VALUE"""),"")</f>
        <v/>
      </c>
      <c r="U3780" s="6" t="str">
        <f>IFERROR(__xludf.DUMMYFUNCTION("""COMPUTED_VALUE"""),"11")</f>
        <v>11</v>
      </c>
      <c r="V3780" s="6" t="str">
        <f>IFERROR(__xludf.DUMMYFUNCTION("""COMPUTED_VALUE"""),"English")</f>
        <v>English</v>
      </c>
      <c r="W3780" s="6" t="str">
        <f>IFERROR(__xludf.DUMMYFUNCTION("""COMPUTED_VALUE"""),"[]")</f>
        <v>[]</v>
      </c>
      <c r="X3780" s="6" t="str">
        <f>IFERROR(__xludf.DUMMYFUNCTION("""COMPUTED_VALUE"""),"Enrolled")</f>
        <v>Enrolled</v>
      </c>
    </row>
    <row r="3781">
      <c r="A3781" s="6" t="str">
        <f>IFERROR(__xludf.DUMMYFUNCTION("""COMPUTED_VALUE"""),"068-10085")</f>
        <v>068-10085</v>
      </c>
      <c r="B3781" s="6" t="str">
        <f>IFERROR(__xludf.DUMMYFUNCTION("""COMPUTED_VALUE"""),"68")</f>
        <v>68</v>
      </c>
      <c r="C3781" s="6" t="str">
        <f>IFERROR(__xludf.DUMMYFUNCTION("""COMPUTED_VALUE"""),"10085")</f>
        <v>10085</v>
      </c>
      <c r="D3781" s="6" t="str">
        <f>IFERROR(__xludf.DUMMYFUNCTION("""COMPUTED_VALUE"""),"Hailey")</f>
        <v>Hailey</v>
      </c>
      <c r="E3781" s="6" t="str">
        <f>IFERROR(__xludf.DUMMYFUNCTION("""COMPUTED_VALUE"""),"")</f>
        <v/>
      </c>
      <c r="F3781" s="6" t="str">
        <f>IFERROR(__xludf.DUMMYFUNCTION("""COMPUTED_VALUE"""),"Chiddle")</f>
        <v>Chiddle</v>
      </c>
      <c r="G3781" s="6" t="str">
        <f>IFERROR(__xludf.DUMMYFUNCTION("""COMPUTED_VALUE"""),"06/25/2010")</f>
        <v>06/25/2010</v>
      </c>
      <c r="H3781" s="6" t="str">
        <f>IFERROR(__xludf.DUMMYFUNCTION("""COMPUTED_VALUE"""),"Self Identify")</f>
        <v>Self Identify</v>
      </c>
      <c r="I3781" s="6" t="str">
        <f>IFERROR(__xludf.DUMMYFUNCTION("""COMPUTED_VALUE"""),"High School")</f>
        <v>High School</v>
      </c>
      <c r="J3781" s="6" t="str">
        <f>IFERROR(__xludf.DUMMYFUNCTION("""COMPUTED_VALUE"""),"10")</f>
        <v>10</v>
      </c>
      <c r="K3781" s="6" t="str">
        <f>IFERROR(__xludf.DUMMYFUNCTION("""COMPUTED_VALUE"""),"hailey.chiddle@2hourlearning.com")</f>
        <v>hailey.chiddle@2hourlearning.com</v>
      </c>
      <c r="L3781" s="6" t="str">
        <f>IFERROR(__xludf.DUMMYFUNCTION("""COMPUTED_VALUE"""),"SPIRE Academy")</f>
        <v>SPIRE Academy</v>
      </c>
      <c r="M3781" s="6" t="str">
        <f>IFERROR(__xludf.DUMMYFUNCTION("""COMPUTED_VALUE"""),"")</f>
        <v/>
      </c>
      <c r="N3781" s="6" t="str">
        <f>IFERROR(__xludf.DUMMYFUNCTION("""COMPUTED_VALUE"""),"")</f>
        <v/>
      </c>
      <c r="O3781" s="87" t="str">
        <f>IFERROR(__xludf.DUMMYFUNCTION("""COMPUTED_VALUE"""),"https://drive.google.com/drive/folders/10T2cTQHqEJZqE-st6uFKPoI?usp=share_link")</f>
        <v>https://drive.google.com/drive/folders/10T2cTQHqEJZqE-st6uFKPoI?usp=share_link</v>
      </c>
      <c r="P3781" s="6" t="str">
        <f>IFERROR(__xludf.DUMMYFUNCTION("""COMPUTED_VALUE"""),"Hailey Chiddle")</f>
        <v>Hailey Chiddle</v>
      </c>
      <c r="Q3781" s="6" t="str">
        <f>IFERROR(__xludf.DUMMYFUNCTION("""COMPUTED_VALUE"""),"HS")</f>
        <v>HS</v>
      </c>
      <c r="R3781" s="6">
        <f>IFERROR(__xludf.DUMMYFUNCTION("""COMPUTED_VALUE"""),0.0)</f>
        <v>0</v>
      </c>
      <c r="S3781" s="6" t="str">
        <f>IFERROR(__xludf.DUMMYFUNCTION("""COMPUTED_VALUE""")," ")</f>
        <v> </v>
      </c>
      <c r="T3781" s="6" t="str">
        <f>IFERROR(__xludf.DUMMYFUNCTION("""COMPUTED_VALUE"""),"")</f>
        <v/>
      </c>
      <c r="U3781" s="6" t="str">
        <f>IFERROR(__xludf.DUMMYFUNCTION("""COMPUTED_VALUE"""),"10")</f>
        <v>10</v>
      </c>
      <c r="V3781" s="6" t="str">
        <f>IFERROR(__xludf.DUMMYFUNCTION("""COMPUTED_VALUE"""),"English")</f>
        <v>English</v>
      </c>
      <c r="W3781" s="6" t="str">
        <f>IFERROR(__xludf.DUMMYFUNCTION("""COMPUTED_VALUE"""),"[]")</f>
        <v>[]</v>
      </c>
      <c r="X3781" s="6" t="str">
        <f>IFERROR(__xludf.DUMMYFUNCTION("""COMPUTED_VALUE"""),"Enrolled")</f>
        <v>Enrolled</v>
      </c>
    </row>
    <row r="3782">
      <c r="A3782" s="6" t="str">
        <f>IFERROR(__xludf.DUMMYFUNCTION("""COMPUTED_VALUE"""),"068-10086")</f>
        <v>068-10086</v>
      </c>
      <c r="B3782" s="6" t="str">
        <f>IFERROR(__xludf.DUMMYFUNCTION("""COMPUTED_VALUE"""),"68")</f>
        <v>68</v>
      </c>
      <c r="C3782" s="6" t="str">
        <f>IFERROR(__xludf.DUMMYFUNCTION("""COMPUTED_VALUE"""),"10086")</f>
        <v>10086</v>
      </c>
      <c r="D3782" s="6" t="str">
        <f>IFERROR(__xludf.DUMMYFUNCTION("""COMPUTED_VALUE"""),"Charles")</f>
        <v>Charles</v>
      </c>
      <c r="E3782" s="6" t="str">
        <f>IFERROR(__xludf.DUMMYFUNCTION("""COMPUTED_VALUE"""),"")</f>
        <v/>
      </c>
      <c r="F3782" s="6" t="str">
        <f>IFERROR(__xludf.DUMMYFUNCTION("""COMPUTED_VALUE"""),"Chienggan Pur")</f>
        <v>Chienggan Pur</v>
      </c>
      <c r="G3782" s="6" t="str">
        <f>IFERROR(__xludf.DUMMYFUNCTION("""COMPUTED_VALUE"""),"09/15/2008")</f>
        <v>09/15/2008</v>
      </c>
      <c r="H3782" s="6" t="str">
        <f>IFERROR(__xludf.DUMMYFUNCTION("""COMPUTED_VALUE"""),"Self Identify")</f>
        <v>Self Identify</v>
      </c>
      <c r="I3782" s="6" t="str">
        <f>IFERROR(__xludf.DUMMYFUNCTION("""COMPUTED_VALUE"""),"High School")</f>
        <v>High School</v>
      </c>
      <c r="J3782" s="6" t="str">
        <f>IFERROR(__xludf.DUMMYFUNCTION("""COMPUTED_VALUE"""),"11")</f>
        <v>11</v>
      </c>
      <c r="K3782" s="6" t="str">
        <f>IFERROR(__xludf.DUMMYFUNCTION("""COMPUTED_VALUE"""),"charles.chiengganpur@2hourlearning.com")</f>
        <v>charles.chiengganpur@2hourlearning.com</v>
      </c>
      <c r="L3782" s="6" t="str">
        <f>IFERROR(__xludf.DUMMYFUNCTION("""COMPUTED_VALUE"""),"SPIRE Academy")</f>
        <v>SPIRE Academy</v>
      </c>
      <c r="M3782" s="6" t="str">
        <f>IFERROR(__xludf.DUMMYFUNCTION("""COMPUTED_VALUE"""),"")</f>
        <v/>
      </c>
      <c r="N3782" s="6" t="str">
        <f>IFERROR(__xludf.DUMMYFUNCTION("""COMPUTED_VALUE"""),"")</f>
        <v/>
      </c>
      <c r="O3782" s="87" t="str">
        <f>IFERROR(__xludf.DUMMYFUNCTION("""COMPUTED_VALUE"""),"https://drive.google.com/drive/folders/10T2cTQHqEJZqE-st6uFKPoI?usp=share_link")</f>
        <v>https://drive.google.com/drive/folders/10T2cTQHqEJZqE-st6uFKPoI?usp=share_link</v>
      </c>
      <c r="P3782" s="6" t="str">
        <f>IFERROR(__xludf.DUMMYFUNCTION("""COMPUTED_VALUE"""),"Charles Chienggan Pur")</f>
        <v>Charles Chienggan Pur</v>
      </c>
      <c r="Q3782" s="6" t="str">
        <f>IFERROR(__xludf.DUMMYFUNCTION("""COMPUTED_VALUE"""),"HS")</f>
        <v>HS</v>
      </c>
      <c r="R3782" s="6">
        <f>IFERROR(__xludf.DUMMYFUNCTION("""COMPUTED_VALUE"""),0.0)</f>
        <v>0</v>
      </c>
      <c r="S3782" s="6" t="str">
        <f>IFERROR(__xludf.DUMMYFUNCTION("""COMPUTED_VALUE""")," ")</f>
        <v> </v>
      </c>
      <c r="T3782" s="6" t="str">
        <f>IFERROR(__xludf.DUMMYFUNCTION("""COMPUTED_VALUE"""),"")</f>
        <v/>
      </c>
      <c r="U3782" s="6" t="str">
        <f>IFERROR(__xludf.DUMMYFUNCTION("""COMPUTED_VALUE"""),"11")</f>
        <v>11</v>
      </c>
      <c r="V3782" s="6" t="str">
        <f>IFERROR(__xludf.DUMMYFUNCTION("""COMPUTED_VALUE"""),"English")</f>
        <v>English</v>
      </c>
      <c r="W3782" s="6" t="str">
        <f>IFERROR(__xludf.DUMMYFUNCTION("""COMPUTED_VALUE"""),"[]")</f>
        <v>[]</v>
      </c>
      <c r="X3782" s="6" t="str">
        <f>IFERROR(__xludf.DUMMYFUNCTION("""COMPUTED_VALUE"""),"Enrolled")</f>
        <v>Enrolled</v>
      </c>
    </row>
    <row r="3783">
      <c r="A3783" s="6" t="str">
        <f>IFERROR(__xludf.DUMMYFUNCTION("""COMPUTED_VALUE"""),"068-10087")</f>
        <v>068-10087</v>
      </c>
      <c r="B3783" s="6" t="str">
        <f>IFERROR(__xludf.DUMMYFUNCTION("""COMPUTED_VALUE"""),"68")</f>
        <v>68</v>
      </c>
      <c r="C3783" s="6" t="str">
        <f>IFERROR(__xludf.DUMMYFUNCTION("""COMPUTED_VALUE"""),"10087")</f>
        <v>10087</v>
      </c>
      <c r="D3783" s="6" t="str">
        <f>IFERROR(__xludf.DUMMYFUNCTION("""COMPUTED_VALUE"""),"Pimnard")</f>
        <v>Pimnard</v>
      </c>
      <c r="E3783" s="6" t="str">
        <f>IFERROR(__xludf.DUMMYFUNCTION("""COMPUTED_VALUE"""),"")</f>
        <v/>
      </c>
      <c r="F3783" s="6" t="str">
        <f>IFERROR(__xludf.DUMMYFUNCTION("""COMPUTED_VALUE"""),"Chuleekorn")</f>
        <v>Chuleekorn</v>
      </c>
      <c r="G3783" s="6" t="str">
        <f>IFERROR(__xludf.DUMMYFUNCTION("""COMPUTED_VALUE"""),"01/02/2008")</f>
        <v>01/02/2008</v>
      </c>
      <c r="H3783" s="6" t="str">
        <f>IFERROR(__xludf.DUMMYFUNCTION("""COMPUTED_VALUE"""),"Self Identify")</f>
        <v>Self Identify</v>
      </c>
      <c r="I3783" s="6" t="str">
        <f>IFERROR(__xludf.DUMMYFUNCTION("""COMPUTED_VALUE"""),"High School")</f>
        <v>High School</v>
      </c>
      <c r="J3783" s="6" t="str">
        <f>IFERROR(__xludf.DUMMYFUNCTION("""COMPUTED_VALUE"""),"11")</f>
        <v>11</v>
      </c>
      <c r="K3783" s="6" t="str">
        <f>IFERROR(__xludf.DUMMYFUNCTION("""COMPUTED_VALUE"""),"pimnard.chuleekorn@2hourlearning.com")</f>
        <v>pimnard.chuleekorn@2hourlearning.com</v>
      </c>
      <c r="L3783" s="6" t="str">
        <f>IFERROR(__xludf.DUMMYFUNCTION("""COMPUTED_VALUE"""),"SPIRE Academy")</f>
        <v>SPIRE Academy</v>
      </c>
      <c r="M3783" s="6" t="str">
        <f>IFERROR(__xludf.DUMMYFUNCTION("""COMPUTED_VALUE"""),"")</f>
        <v/>
      </c>
      <c r="N3783" s="6" t="str">
        <f>IFERROR(__xludf.DUMMYFUNCTION("""COMPUTED_VALUE"""),"")</f>
        <v/>
      </c>
      <c r="O3783" s="87" t="str">
        <f>IFERROR(__xludf.DUMMYFUNCTION("""COMPUTED_VALUE"""),"https://drive.google.com/drive/folders/10T2cTQHqEJZqE-st6uFKPoI?usp=share_link")</f>
        <v>https://drive.google.com/drive/folders/10T2cTQHqEJZqE-st6uFKPoI?usp=share_link</v>
      </c>
      <c r="P3783" s="6" t="str">
        <f>IFERROR(__xludf.DUMMYFUNCTION("""COMPUTED_VALUE"""),"Pimnard Chuleekorn")</f>
        <v>Pimnard Chuleekorn</v>
      </c>
      <c r="Q3783" s="6" t="str">
        <f>IFERROR(__xludf.DUMMYFUNCTION("""COMPUTED_VALUE"""),"HS")</f>
        <v>HS</v>
      </c>
      <c r="R3783" s="6">
        <f>IFERROR(__xludf.DUMMYFUNCTION("""COMPUTED_VALUE"""),0.0)</f>
        <v>0</v>
      </c>
      <c r="S3783" s="6" t="str">
        <f>IFERROR(__xludf.DUMMYFUNCTION("""COMPUTED_VALUE""")," ")</f>
        <v> </v>
      </c>
      <c r="T3783" s="6" t="str">
        <f>IFERROR(__xludf.DUMMYFUNCTION("""COMPUTED_VALUE"""),"")</f>
        <v/>
      </c>
      <c r="U3783" s="6" t="str">
        <f>IFERROR(__xludf.DUMMYFUNCTION("""COMPUTED_VALUE"""),"11")</f>
        <v>11</v>
      </c>
      <c r="V3783" s="6" t="str">
        <f>IFERROR(__xludf.DUMMYFUNCTION("""COMPUTED_VALUE"""),"English")</f>
        <v>English</v>
      </c>
      <c r="W3783" s="6" t="str">
        <f>IFERROR(__xludf.DUMMYFUNCTION("""COMPUTED_VALUE"""),"[]")</f>
        <v>[]</v>
      </c>
      <c r="X3783" s="6" t="str">
        <f>IFERROR(__xludf.DUMMYFUNCTION("""COMPUTED_VALUE"""),"Enrolled")</f>
        <v>Enrolled</v>
      </c>
    </row>
    <row r="3784">
      <c r="A3784" s="6" t="str">
        <f>IFERROR(__xludf.DUMMYFUNCTION("""COMPUTED_VALUE"""),"068-10088")</f>
        <v>068-10088</v>
      </c>
      <c r="B3784" s="6" t="str">
        <f>IFERROR(__xludf.DUMMYFUNCTION("""COMPUTED_VALUE"""),"68")</f>
        <v>68</v>
      </c>
      <c r="C3784" s="6" t="str">
        <f>IFERROR(__xludf.DUMMYFUNCTION("""COMPUTED_VALUE"""),"10088")</f>
        <v>10088</v>
      </c>
      <c r="D3784" s="6" t="str">
        <f>IFERROR(__xludf.DUMMYFUNCTION("""COMPUTED_VALUE"""),"Ulises")</f>
        <v>Ulises</v>
      </c>
      <c r="E3784" s="6" t="str">
        <f>IFERROR(__xludf.DUMMYFUNCTION("""COMPUTED_VALUE"""),"")</f>
        <v/>
      </c>
      <c r="F3784" s="6" t="str">
        <f>IFERROR(__xludf.DUMMYFUNCTION("""COMPUTED_VALUE"""),"Cordoba")</f>
        <v>Cordoba</v>
      </c>
      <c r="G3784" s="6" t="str">
        <f>IFERROR(__xludf.DUMMYFUNCTION("""COMPUTED_VALUE"""),"07/04/2008")</f>
        <v>07/04/2008</v>
      </c>
      <c r="H3784" s="6" t="str">
        <f>IFERROR(__xludf.DUMMYFUNCTION("""COMPUTED_VALUE"""),"Self Identify")</f>
        <v>Self Identify</v>
      </c>
      <c r="I3784" s="6" t="str">
        <f>IFERROR(__xludf.DUMMYFUNCTION("""COMPUTED_VALUE"""),"High School")</f>
        <v>High School</v>
      </c>
      <c r="J3784" s="6" t="str">
        <f>IFERROR(__xludf.DUMMYFUNCTION("""COMPUTED_VALUE"""),"11")</f>
        <v>11</v>
      </c>
      <c r="K3784" s="6" t="str">
        <f>IFERROR(__xludf.DUMMYFUNCTION("""COMPUTED_VALUE"""),"ulises.cordoba@2hourlearning.com")</f>
        <v>ulises.cordoba@2hourlearning.com</v>
      </c>
      <c r="L3784" s="6" t="str">
        <f>IFERROR(__xludf.DUMMYFUNCTION("""COMPUTED_VALUE"""),"SPIRE Academy")</f>
        <v>SPIRE Academy</v>
      </c>
      <c r="M3784" s="6" t="str">
        <f>IFERROR(__xludf.DUMMYFUNCTION("""COMPUTED_VALUE"""),"")</f>
        <v/>
      </c>
      <c r="N3784" s="6" t="str">
        <f>IFERROR(__xludf.DUMMYFUNCTION("""COMPUTED_VALUE"""),"")</f>
        <v/>
      </c>
      <c r="O3784" s="87" t="str">
        <f>IFERROR(__xludf.DUMMYFUNCTION("""COMPUTED_VALUE"""),"https://drive.google.com/drive/folders/10T2cTQHqEJZqE-st6uFKPoI?usp=share_link")</f>
        <v>https://drive.google.com/drive/folders/10T2cTQHqEJZqE-st6uFKPoI?usp=share_link</v>
      </c>
      <c r="P3784" s="6" t="str">
        <f>IFERROR(__xludf.DUMMYFUNCTION("""COMPUTED_VALUE"""),"Ulises Cordoba")</f>
        <v>Ulises Cordoba</v>
      </c>
      <c r="Q3784" s="6" t="str">
        <f>IFERROR(__xludf.DUMMYFUNCTION("""COMPUTED_VALUE"""),"HS")</f>
        <v>HS</v>
      </c>
      <c r="R3784" s="6">
        <f>IFERROR(__xludf.DUMMYFUNCTION("""COMPUTED_VALUE"""),0.0)</f>
        <v>0</v>
      </c>
      <c r="S3784" s="6" t="str">
        <f>IFERROR(__xludf.DUMMYFUNCTION("""COMPUTED_VALUE""")," ")</f>
        <v> </v>
      </c>
      <c r="T3784" s="6" t="str">
        <f>IFERROR(__xludf.DUMMYFUNCTION("""COMPUTED_VALUE"""),"")</f>
        <v/>
      </c>
      <c r="U3784" s="6" t="str">
        <f>IFERROR(__xludf.DUMMYFUNCTION("""COMPUTED_VALUE"""),"11")</f>
        <v>11</v>
      </c>
      <c r="V3784" s="6" t="str">
        <f>IFERROR(__xludf.DUMMYFUNCTION("""COMPUTED_VALUE"""),"English")</f>
        <v>English</v>
      </c>
      <c r="W3784" s="6" t="str">
        <f>IFERROR(__xludf.DUMMYFUNCTION("""COMPUTED_VALUE"""),"[]")</f>
        <v>[]</v>
      </c>
      <c r="X3784" s="6" t="str">
        <f>IFERROR(__xludf.DUMMYFUNCTION("""COMPUTED_VALUE"""),"Enrolled")</f>
        <v>Enrolled</v>
      </c>
    </row>
    <row r="3785">
      <c r="A3785" s="6" t="str">
        <f>IFERROR(__xludf.DUMMYFUNCTION("""COMPUTED_VALUE"""),"068-10089")</f>
        <v>068-10089</v>
      </c>
      <c r="B3785" s="6" t="str">
        <f>IFERROR(__xludf.DUMMYFUNCTION("""COMPUTED_VALUE"""),"68")</f>
        <v>68</v>
      </c>
      <c r="C3785" s="6" t="str">
        <f>IFERROR(__xludf.DUMMYFUNCTION("""COMPUTED_VALUE"""),"10089")</f>
        <v>10089</v>
      </c>
      <c r="D3785" s="6" t="str">
        <f>IFERROR(__xludf.DUMMYFUNCTION("""COMPUTED_VALUE"""),"Luca")</f>
        <v>Luca</v>
      </c>
      <c r="E3785" s="6" t="str">
        <f>IFERROR(__xludf.DUMMYFUNCTION("""COMPUTED_VALUE"""),"")</f>
        <v/>
      </c>
      <c r="F3785" s="6" t="str">
        <f>IFERROR(__xludf.DUMMYFUNCTION("""COMPUTED_VALUE"""),"Contadini")</f>
        <v>Contadini</v>
      </c>
      <c r="G3785" s="6" t="str">
        <f>IFERROR(__xludf.DUMMYFUNCTION("""COMPUTED_VALUE"""),"11/19/2008")</f>
        <v>11/19/2008</v>
      </c>
      <c r="H3785" s="6" t="str">
        <f>IFERROR(__xludf.DUMMYFUNCTION("""COMPUTED_VALUE"""),"Self Identify")</f>
        <v>Self Identify</v>
      </c>
      <c r="I3785" s="6" t="str">
        <f>IFERROR(__xludf.DUMMYFUNCTION("""COMPUTED_VALUE"""),"High School")</f>
        <v>High School</v>
      </c>
      <c r="J3785" s="6" t="str">
        <f>IFERROR(__xludf.DUMMYFUNCTION("""COMPUTED_VALUE"""),"12")</f>
        <v>12</v>
      </c>
      <c r="K3785" s="6" t="str">
        <f>IFERROR(__xludf.DUMMYFUNCTION("""COMPUTED_VALUE"""),"luca.contadini@2hourlearning.com")</f>
        <v>luca.contadini@2hourlearning.com</v>
      </c>
      <c r="L3785" s="6" t="str">
        <f>IFERROR(__xludf.DUMMYFUNCTION("""COMPUTED_VALUE"""),"SPIRE Academy")</f>
        <v>SPIRE Academy</v>
      </c>
      <c r="M3785" s="6" t="str">
        <f>IFERROR(__xludf.DUMMYFUNCTION("""COMPUTED_VALUE"""),"")</f>
        <v/>
      </c>
      <c r="N3785" s="6" t="str">
        <f>IFERROR(__xludf.DUMMYFUNCTION("""COMPUTED_VALUE"""),"")</f>
        <v/>
      </c>
      <c r="O3785" s="87" t="str">
        <f>IFERROR(__xludf.DUMMYFUNCTION("""COMPUTED_VALUE"""),"https://drive.google.com/drive/folders/10T2cTQHqEJZqE-st6uFKPoI?usp=share_link")</f>
        <v>https://drive.google.com/drive/folders/10T2cTQHqEJZqE-st6uFKPoI?usp=share_link</v>
      </c>
      <c r="P3785" s="6" t="str">
        <f>IFERROR(__xludf.DUMMYFUNCTION("""COMPUTED_VALUE"""),"Luca Contadini")</f>
        <v>Luca Contadini</v>
      </c>
      <c r="Q3785" s="6" t="str">
        <f>IFERROR(__xludf.DUMMYFUNCTION("""COMPUTED_VALUE"""),"HS")</f>
        <v>HS</v>
      </c>
      <c r="R3785" s="6">
        <f>IFERROR(__xludf.DUMMYFUNCTION("""COMPUTED_VALUE"""),0.0)</f>
        <v>0</v>
      </c>
      <c r="S3785" s="6" t="str">
        <f>IFERROR(__xludf.DUMMYFUNCTION("""COMPUTED_VALUE""")," ")</f>
        <v> </v>
      </c>
      <c r="T3785" s="6" t="str">
        <f>IFERROR(__xludf.DUMMYFUNCTION("""COMPUTED_VALUE"""),"")</f>
        <v/>
      </c>
      <c r="U3785" s="6" t="str">
        <f>IFERROR(__xludf.DUMMYFUNCTION("""COMPUTED_VALUE"""),"12")</f>
        <v>12</v>
      </c>
      <c r="V3785" s="6" t="str">
        <f>IFERROR(__xludf.DUMMYFUNCTION("""COMPUTED_VALUE"""),"English")</f>
        <v>English</v>
      </c>
      <c r="W3785" s="6" t="str">
        <f>IFERROR(__xludf.DUMMYFUNCTION("""COMPUTED_VALUE"""),"[]")</f>
        <v>[]</v>
      </c>
      <c r="X3785" s="6" t="str">
        <f>IFERROR(__xludf.DUMMYFUNCTION("""COMPUTED_VALUE"""),"Enrolled")</f>
        <v>Enrolled</v>
      </c>
    </row>
    <row r="3786">
      <c r="A3786" s="6" t="str">
        <f>IFERROR(__xludf.DUMMYFUNCTION("""COMPUTED_VALUE"""),"068-10090")</f>
        <v>068-10090</v>
      </c>
      <c r="B3786" s="6" t="str">
        <f>IFERROR(__xludf.DUMMYFUNCTION("""COMPUTED_VALUE"""),"68")</f>
        <v>68</v>
      </c>
      <c r="C3786" s="6" t="str">
        <f>IFERROR(__xludf.DUMMYFUNCTION("""COMPUTED_VALUE"""),"10090")</f>
        <v>10090</v>
      </c>
      <c r="D3786" s="6" t="str">
        <f>IFERROR(__xludf.DUMMYFUNCTION("""COMPUTED_VALUE"""),"Ariyana")</f>
        <v>Ariyana</v>
      </c>
      <c r="E3786" s="6" t="str">
        <f>IFERROR(__xludf.DUMMYFUNCTION("""COMPUTED_VALUE"""),"")</f>
        <v/>
      </c>
      <c r="F3786" s="6" t="str">
        <f>IFERROR(__xludf.DUMMYFUNCTION("""COMPUTED_VALUE"""),"Cradle")</f>
        <v>Cradle</v>
      </c>
      <c r="G3786" s="6" t="str">
        <f>IFERROR(__xludf.DUMMYFUNCTION("""COMPUTED_VALUE"""),"01/23/2008")</f>
        <v>01/23/2008</v>
      </c>
      <c r="H3786" s="6" t="str">
        <f>IFERROR(__xludf.DUMMYFUNCTION("""COMPUTED_VALUE"""),"Self Identify")</f>
        <v>Self Identify</v>
      </c>
      <c r="I3786" s="6" t="str">
        <f>IFERROR(__xludf.DUMMYFUNCTION("""COMPUTED_VALUE"""),"High School")</f>
        <v>High School</v>
      </c>
      <c r="J3786" s="6" t="str">
        <f>IFERROR(__xludf.DUMMYFUNCTION("""COMPUTED_VALUE"""),"12")</f>
        <v>12</v>
      </c>
      <c r="K3786" s="6" t="str">
        <f>IFERROR(__xludf.DUMMYFUNCTION("""COMPUTED_VALUE"""),"ariyana.cradle@2hourlearning.com")</f>
        <v>ariyana.cradle@2hourlearning.com</v>
      </c>
      <c r="L3786" s="6" t="str">
        <f>IFERROR(__xludf.DUMMYFUNCTION("""COMPUTED_VALUE"""),"SPIRE Academy")</f>
        <v>SPIRE Academy</v>
      </c>
      <c r="M3786" s="6" t="str">
        <f>IFERROR(__xludf.DUMMYFUNCTION("""COMPUTED_VALUE"""),"")</f>
        <v/>
      </c>
      <c r="N3786" s="6" t="str">
        <f>IFERROR(__xludf.DUMMYFUNCTION("""COMPUTED_VALUE"""),"")</f>
        <v/>
      </c>
      <c r="O3786" s="87" t="str">
        <f>IFERROR(__xludf.DUMMYFUNCTION("""COMPUTED_VALUE"""),"https://drive.google.com/drive/folders/10T2cTQHqEJZqE-st6uFKPoI?usp=share_link")</f>
        <v>https://drive.google.com/drive/folders/10T2cTQHqEJZqE-st6uFKPoI?usp=share_link</v>
      </c>
      <c r="P3786" s="6" t="str">
        <f>IFERROR(__xludf.DUMMYFUNCTION("""COMPUTED_VALUE"""),"Ariyana Cradle")</f>
        <v>Ariyana Cradle</v>
      </c>
      <c r="Q3786" s="6" t="str">
        <f>IFERROR(__xludf.DUMMYFUNCTION("""COMPUTED_VALUE"""),"HS")</f>
        <v>HS</v>
      </c>
      <c r="R3786" s="6">
        <f>IFERROR(__xludf.DUMMYFUNCTION("""COMPUTED_VALUE"""),0.0)</f>
        <v>0</v>
      </c>
      <c r="S3786" s="6" t="str">
        <f>IFERROR(__xludf.DUMMYFUNCTION("""COMPUTED_VALUE""")," ")</f>
        <v> </v>
      </c>
      <c r="T3786" s="6" t="str">
        <f>IFERROR(__xludf.DUMMYFUNCTION("""COMPUTED_VALUE"""),"")</f>
        <v/>
      </c>
      <c r="U3786" s="6" t="str">
        <f>IFERROR(__xludf.DUMMYFUNCTION("""COMPUTED_VALUE"""),"12")</f>
        <v>12</v>
      </c>
      <c r="V3786" s="6" t="str">
        <f>IFERROR(__xludf.DUMMYFUNCTION("""COMPUTED_VALUE"""),"English")</f>
        <v>English</v>
      </c>
      <c r="W3786" s="6" t="str">
        <f>IFERROR(__xludf.DUMMYFUNCTION("""COMPUTED_VALUE"""),"[]")</f>
        <v>[]</v>
      </c>
      <c r="X3786" s="6" t="str">
        <f>IFERROR(__xludf.DUMMYFUNCTION("""COMPUTED_VALUE"""),"Enrolled")</f>
        <v>Enrolled</v>
      </c>
    </row>
    <row r="3787">
      <c r="A3787" s="6" t="str">
        <f>IFERROR(__xludf.DUMMYFUNCTION("""COMPUTED_VALUE"""),"068-10091")</f>
        <v>068-10091</v>
      </c>
      <c r="B3787" s="6" t="str">
        <f>IFERROR(__xludf.DUMMYFUNCTION("""COMPUTED_VALUE"""),"68")</f>
        <v>68</v>
      </c>
      <c r="C3787" s="6" t="str">
        <f>IFERROR(__xludf.DUMMYFUNCTION("""COMPUTED_VALUE"""),"10091")</f>
        <v>10091</v>
      </c>
      <c r="D3787" s="6" t="str">
        <f>IFERROR(__xludf.DUMMYFUNCTION("""COMPUTED_VALUE"""),"Darrell")</f>
        <v>Darrell</v>
      </c>
      <c r="E3787" s="6" t="str">
        <f>IFERROR(__xludf.DUMMYFUNCTION("""COMPUTED_VALUE"""),"")</f>
        <v/>
      </c>
      <c r="F3787" s="6" t="str">
        <f>IFERROR(__xludf.DUMMYFUNCTION("""COMPUTED_VALUE"""),"Davis")</f>
        <v>Davis</v>
      </c>
      <c r="G3787" s="6" t="str">
        <f>IFERROR(__xludf.DUMMYFUNCTION("""COMPUTED_VALUE"""),"04/16/2009")</f>
        <v>04/16/2009</v>
      </c>
      <c r="H3787" s="6" t="str">
        <f>IFERROR(__xludf.DUMMYFUNCTION("""COMPUTED_VALUE"""),"Self Identify")</f>
        <v>Self Identify</v>
      </c>
      <c r="I3787" s="6" t="str">
        <f>IFERROR(__xludf.DUMMYFUNCTION("""COMPUTED_VALUE"""),"High School")</f>
        <v>High School</v>
      </c>
      <c r="J3787" s="6" t="str">
        <f>IFERROR(__xludf.DUMMYFUNCTION("""COMPUTED_VALUE"""),"11")</f>
        <v>11</v>
      </c>
      <c r="K3787" s="6" t="str">
        <f>IFERROR(__xludf.DUMMYFUNCTION("""COMPUTED_VALUE"""),"darrell.davis@2hourlearning.com")</f>
        <v>darrell.davis@2hourlearning.com</v>
      </c>
      <c r="L3787" s="6" t="str">
        <f>IFERROR(__xludf.DUMMYFUNCTION("""COMPUTED_VALUE"""),"SPIRE Academy")</f>
        <v>SPIRE Academy</v>
      </c>
      <c r="M3787" s="6" t="str">
        <f>IFERROR(__xludf.DUMMYFUNCTION("""COMPUTED_VALUE"""),"")</f>
        <v/>
      </c>
      <c r="N3787" s="6" t="str">
        <f>IFERROR(__xludf.DUMMYFUNCTION("""COMPUTED_VALUE"""),"")</f>
        <v/>
      </c>
      <c r="O3787" s="87" t="str">
        <f>IFERROR(__xludf.DUMMYFUNCTION("""COMPUTED_VALUE"""),"https://drive.google.com/drive/folders/10T2cTQHqEJZqE-st6uFKPoI?usp=share_link")</f>
        <v>https://drive.google.com/drive/folders/10T2cTQHqEJZqE-st6uFKPoI?usp=share_link</v>
      </c>
      <c r="P3787" s="6" t="str">
        <f>IFERROR(__xludf.DUMMYFUNCTION("""COMPUTED_VALUE"""),"Darrell Davis")</f>
        <v>Darrell Davis</v>
      </c>
      <c r="Q3787" s="6" t="str">
        <f>IFERROR(__xludf.DUMMYFUNCTION("""COMPUTED_VALUE"""),"HS")</f>
        <v>HS</v>
      </c>
      <c r="R3787" s="6">
        <f>IFERROR(__xludf.DUMMYFUNCTION("""COMPUTED_VALUE"""),0.0)</f>
        <v>0</v>
      </c>
      <c r="S3787" s="6" t="str">
        <f>IFERROR(__xludf.DUMMYFUNCTION("""COMPUTED_VALUE""")," ")</f>
        <v> </v>
      </c>
      <c r="T3787" s="6" t="str">
        <f>IFERROR(__xludf.DUMMYFUNCTION("""COMPUTED_VALUE"""),"")</f>
        <v/>
      </c>
      <c r="U3787" s="6" t="str">
        <f>IFERROR(__xludf.DUMMYFUNCTION("""COMPUTED_VALUE"""),"11")</f>
        <v>11</v>
      </c>
      <c r="V3787" s="6" t="str">
        <f>IFERROR(__xludf.DUMMYFUNCTION("""COMPUTED_VALUE"""),"English")</f>
        <v>English</v>
      </c>
      <c r="W3787" s="6" t="str">
        <f>IFERROR(__xludf.DUMMYFUNCTION("""COMPUTED_VALUE"""),"[]")</f>
        <v>[]</v>
      </c>
      <c r="X3787" s="6" t="str">
        <f>IFERROR(__xludf.DUMMYFUNCTION("""COMPUTED_VALUE"""),"Enrolled")</f>
        <v>Enrolled</v>
      </c>
    </row>
    <row r="3788">
      <c r="A3788" s="6" t="str">
        <f>IFERROR(__xludf.DUMMYFUNCTION("""COMPUTED_VALUE"""),"068-10092")</f>
        <v>068-10092</v>
      </c>
      <c r="B3788" s="6" t="str">
        <f>IFERROR(__xludf.DUMMYFUNCTION("""COMPUTED_VALUE"""),"68")</f>
        <v>68</v>
      </c>
      <c r="C3788" s="6" t="str">
        <f>IFERROR(__xludf.DUMMYFUNCTION("""COMPUTED_VALUE"""),"10092")</f>
        <v>10092</v>
      </c>
      <c r="D3788" s="6" t="str">
        <f>IFERROR(__xludf.DUMMYFUNCTION("""COMPUTED_VALUE"""),"George")</f>
        <v>George</v>
      </c>
      <c r="E3788" s="6" t="str">
        <f>IFERROR(__xludf.DUMMYFUNCTION("""COMPUTED_VALUE"""),"")</f>
        <v/>
      </c>
      <c r="F3788" s="6" t="str">
        <f>IFERROR(__xludf.DUMMYFUNCTION("""COMPUTED_VALUE"""),"Dayco Green")</f>
        <v>Dayco Green</v>
      </c>
      <c r="G3788" s="6" t="str">
        <f>IFERROR(__xludf.DUMMYFUNCTION("""COMPUTED_VALUE"""),"02/16/2008")</f>
        <v>02/16/2008</v>
      </c>
      <c r="H3788" s="6" t="str">
        <f>IFERROR(__xludf.DUMMYFUNCTION("""COMPUTED_VALUE"""),"Self Identify")</f>
        <v>Self Identify</v>
      </c>
      <c r="I3788" s="6" t="str">
        <f>IFERROR(__xludf.DUMMYFUNCTION("""COMPUTED_VALUE"""),"High School")</f>
        <v>High School</v>
      </c>
      <c r="J3788" s="6" t="str">
        <f>IFERROR(__xludf.DUMMYFUNCTION("""COMPUTED_VALUE"""),"11")</f>
        <v>11</v>
      </c>
      <c r="K3788" s="6" t="str">
        <f>IFERROR(__xludf.DUMMYFUNCTION("""COMPUTED_VALUE"""),"george.daycogreen@2hourlearning.com")</f>
        <v>george.daycogreen@2hourlearning.com</v>
      </c>
      <c r="L3788" s="6" t="str">
        <f>IFERROR(__xludf.DUMMYFUNCTION("""COMPUTED_VALUE"""),"SPIRE Academy")</f>
        <v>SPIRE Academy</v>
      </c>
      <c r="M3788" s="6" t="str">
        <f>IFERROR(__xludf.DUMMYFUNCTION("""COMPUTED_VALUE"""),"")</f>
        <v/>
      </c>
      <c r="N3788" s="6" t="str">
        <f>IFERROR(__xludf.DUMMYFUNCTION("""COMPUTED_VALUE"""),"")</f>
        <v/>
      </c>
      <c r="O3788" s="87" t="str">
        <f>IFERROR(__xludf.DUMMYFUNCTION("""COMPUTED_VALUE"""),"https://drive.google.com/drive/folders/10T2cTQHqEJZqE-st6uFKPoI?usp=share_link")</f>
        <v>https://drive.google.com/drive/folders/10T2cTQHqEJZqE-st6uFKPoI?usp=share_link</v>
      </c>
      <c r="P3788" s="6" t="str">
        <f>IFERROR(__xludf.DUMMYFUNCTION("""COMPUTED_VALUE"""),"George Dayco Green")</f>
        <v>George Dayco Green</v>
      </c>
      <c r="Q3788" s="6" t="str">
        <f>IFERROR(__xludf.DUMMYFUNCTION("""COMPUTED_VALUE"""),"HS")</f>
        <v>HS</v>
      </c>
      <c r="R3788" s="6">
        <f>IFERROR(__xludf.DUMMYFUNCTION("""COMPUTED_VALUE"""),0.0)</f>
        <v>0</v>
      </c>
      <c r="S3788" s="6" t="str">
        <f>IFERROR(__xludf.DUMMYFUNCTION("""COMPUTED_VALUE""")," ")</f>
        <v> </v>
      </c>
      <c r="T3788" s="6" t="str">
        <f>IFERROR(__xludf.DUMMYFUNCTION("""COMPUTED_VALUE"""),"")</f>
        <v/>
      </c>
      <c r="U3788" s="6" t="str">
        <f>IFERROR(__xludf.DUMMYFUNCTION("""COMPUTED_VALUE"""),"11")</f>
        <v>11</v>
      </c>
      <c r="V3788" s="6" t="str">
        <f>IFERROR(__xludf.DUMMYFUNCTION("""COMPUTED_VALUE"""),"English")</f>
        <v>English</v>
      </c>
      <c r="W3788" s="6" t="str">
        <f>IFERROR(__xludf.DUMMYFUNCTION("""COMPUTED_VALUE"""),"[]")</f>
        <v>[]</v>
      </c>
      <c r="X3788" s="6" t="str">
        <f>IFERROR(__xludf.DUMMYFUNCTION("""COMPUTED_VALUE"""),"Enrolled")</f>
        <v>Enrolled</v>
      </c>
    </row>
    <row r="3789">
      <c r="A3789" s="6" t="str">
        <f>IFERROR(__xludf.DUMMYFUNCTION("""COMPUTED_VALUE"""),"068-10093")</f>
        <v>068-10093</v>
      </c>
      <c r="B3789" s="6" t="str">
        <f>IFERROR(__xludf.DUMMYFUNCTION("""COMPUTED_VALUE"""),"68")</f>
        <v>68</v>
      </c>
      <c r="C3789" s="6" t="str">
        <f>IFERROR(__xludf.DUMMYFUNCTION("""COMPUTED_VALUE"""),"10093")</f>
        <v>10093</v>
      </c>
      <c r="D3789" s="6" t="str">
        <f>IFERROR(__xludf.DUMMYFUNCTION("""COMPUTED_VALUE"""),"Giovanna")</f>
        <v>Giovanna</v>
      </c>
      <c r="E3789" s="6" t="str">
        <f>IFERROR(__xludf.DUMMYFUNCTION("""COMPUTED_VALUE"""),"")</f>
        <v/>
      </c>
      <c r="F3789" s="6" t="str">
        <f>IFERROR(__xludf.DUMMYFUNCTION("""COMPUTED_VALUE"""),"De Grazia")</f>
        <v>De Grazia</v>
      </c>
      <c r="G3789" s="6" t="str">
        <f>IFERROR(__xludf.DUMMYFUNCTION("""COMPUTED_VALUE"""),"12/09/2008")</f>
        <v>12/09/2008</v>
      </c>
      <c r="H3789" s="6" t="str">
        <f>IFERROR(__xludf.DUMMYFUNCTION("""COMPUTED_VALUE"""),"Self Identify")</f>
        <v>Self Identify</v>
      </c>
      <c r="I3789" s="6" t="str">
        <f>IFERROR(__xludf.DUMMYFUNCTION("""COMPUTED_VALUE"""),"High School")</f>
        <v>High School</v>
      </c>
      <c r="J3789" s="6" t="str">
        <f>IFERROR(__xludf.DUMMYFUNCTION("""COMPUTED_VALUE"""),"11")</f>
        <v>11</v>
      </c>
      <c r="K3789" s="6" t="str">
        <f>IFERROR(__xludf.DUMMYFUNCTION("""COMPUTED_VALUE"""),"giovanna.degrazia@2hourlearning.com")</f>
        <v>giovanna.degrazia@2hourlearning.com</v>
      </c>
      <c r="L3789" s="6" t="str">
        <f>IFERROR(__xludf.DUMMYFUNCTION("""COMPUTED_VALUE"""),"SPIRE Academy")</f>
        <v>SPIRE Academy</v>
      </c>
      <c r="M3789" s="6" t="str">
        <f>IFERROR(__xludf.DUMMYFUNCTION("""COMPUTED_VALUE"""),"")</f>
        <v/>
      </c>
      <c r="N3789" s="6" t="str">
        <f>IFERROR(__xludf.DUMMYFUNCTION("""COMPUTED_VALUE"""),"")</f>
        <v/>
      </c>
      <c r="O3789" s="87" t="str">
        <f>IFERROR(__xludf.DUMMYFUNCTION("""COMPUTED_VALUE"""),"https://drive.google.com/drive/folders/10T2cTQHqEJZqE-st6uFKPoI?usp=share_link")</f>
        <v>https://drive.google.com/drive/folders/10T2cTQHqEJZqE-st6uFKPoI?usp=share_link</v>
      </c>
      <c r="P3789" s="6" t="str">
        <f>IFERROR(__xludf.DUMMYFUNCTION("""COMPUTED_VALUE"""),"Giovanna De Grazia")</f>
        <v>Giovanna De Grazia</v>
      </c>
      <c r="Q3789" s="6" t="str">
        <f>IFERROR(__xludf.DUMMYFUNCTION("""COMPUTED_VALUE"""),"HS")</f>
        <v>HS</v>
      </c>
      <c r="R3789" s="6">
        <f>IFERROR(__xludf.DUMMYFUNCTION("""COMPUTED_VALUE"""),0.0)</f>
        <v>0</v>
      </c>
      <c r="S3789" s="6" t="str">
        <f>IFERROR(__xludf.DUMMYFUNCTION("""COMPUTED_VALUE""")," ")</f>
        <v> </v>
      </c>
      <c r="T3789" s="6" t="str">
        <f>IFERROR(__xludf.DUMMYFUNCTION("""COMPUTED_VALUE"""),"")</f>
        <v/>
      </c>
      <c r="U3789" s="6" t="str">
        <f>IFERROR(__xludf.DUMMYFUNCTION("""COMPUTED_VALUE"""),"11")</f>
        <v>11</v>
      </c>
      <c r="V3789" s="6" t="str">
        <f>IFERROR(__xludf.DUMMYFUNCTION("""COMPUTED_VALUE"""),"English")</f>
        <v>English</v>
      </c>
      <c r="W3789" s="6" t="str">
        <f>IFERROR(__xludf.DUMMYFUNCTION("""COMPUTED_VALUE"""),"[]")</f>
        <v>[]</v>
      </c>
      <c r="X3789" s="6" t="str">
        <f>IFERROR(__xludf.DUMMYFUNCTION("""COMPUTED_VALUE"""),"Enrolled")</f>
        <v>Enrolled</v>
      </c>
    </row>
    <row r="3790">
      <c r="A3790" s="6" t="str">
        <f>IFERROR(__xludf.DUMMYFUNCTION("""COMPUTED_VALUE"""),"068-10094")</f>
        <v>068-10094</v>
      </c>
      <c r="B3790" s="6" t="str">
        <f>IFERROR(__xludf.DUMMYFUNCTION("""COMPUTED_VALUE"""),"68")</f>
        <v>68</v>
      </c>
      <c r="C3790" s="6" t="str">
        <f>IFERROR(__xludf.DUMMYFUNCTION("""COMPUTED_VALUE"""),"10094")</f>
        <v>10094</v>
      </c>
      <c r="D3790" s="6" t="str">
        <f>IFERROR(__xludf.DUMMYFUNCTION("""COMPUTED_VALUE"""),"Sofia")</f>
        <v>Sofia</v>
      </c>
      <c r="E3790" s="6" t="str">
        <f>IFERROR(__xludf.DUMMYFUNCTION("""COMPUTED_VALUE"""),"")</f>
        <v/>
      </c>
      <c r="F3790" s="6" t="str">
        <f>IFERROR(__xludf.DUMMYFUNCTION("""COMPUTED_VALUE"""),"De Grazia")</f>
        <v>De Grazia</v>
      </c>
      <c r="G3790" s="6" t="str">
        <f>IFERROR(__xludf.DUMMYFUNCTION("""COMPUTED_VALUE"""),"12/09/2008")</f>
        <v>12/09/2008</v>
      </c>
      <c r="H3790" s="6" t="str">
        <f>IFERROR(__xludf.DUMMYFUNCTION("""COMPUTED_VALUE"""),"Self Identify")</f>
        <v>Self Identify</v>
      </c>
      <c r="I3790" s="6" t="str">
        <f>IFERROR(__xludf.DUMMYFUNCTION("""COMPUTED_VALUE"""),"High School")</f>
        <v>High School</v>
      </c>
      <c r="J3790" s="6" t="str">
        <f>IFERROR(__xludf.DUMMYFUNCTION("""COMPUTED_VALUE"""),"11")</f>
        <v>11</v>
      </c>
      <c r="K3790" s="6" t="str">
        <f>IFERROR(__xludf.DUMMYFUNCTION("""COMPUTED_VALUE"""),"sofia.degrazia@2hourlearning.com")</f>
        <v>sofia.degrazia@2hourlearning.com</v>
      </c>
      <c r="L3790" s="6" t="str">
        <f>IFERROR(__xludf.DUMMYFUNCTION("""COMPUTED_VALUE"""),"SPIRE Academy")</f>
        <v>SPIRE Academy</v>
      </c>
      <c r="M3790" s="6" t="str">
        <f>IFERROR(__xludf.DUMMYFUNCTION("""COMPUTED_VALUE"""),"")</f>
        <v/>
      </c>
      <c r="N3790" s="6" t="str">
        <f>IFERROR(__xludf.DUMMYFUNCTION("""COMPUTED_VALUE"""),"")</f>
        <v/>
      </c>
      <c r="O3790" s="87" t="str">
        <f>IFERROR(__xludf.DUMMYFUNCTION("""COMPUTED_VALUE"""),"https://drive.google.com/drive/folders/10T2cTQHqEJZqE-st6uFKPoI?usp=share_link")</f>
        <v>https://drive.google.com/drive/folders/10T2cTQHqEJZqE-st6uFKPoI?usp=share_link</v>
      </c>
      <c r="P3790" s="6" t="str">
        <f>IFERROR(__xludf.DUMMYFUNCTION("""COMPUTED_VALUE"""),"Sofia De Grazia")</f>
        <v>Sofia De Grazia</v>
      </c>
      <c r="Q3790" s="6" t="str">
        <f>IFERROR(__xludf.DUMMYFUNCTION("""COMPUTED_VALUE"""),"HS")</f>
        <v>HS</v>
      </c>
      <c r="R3790" s="6">
        <f>IFERROR(__xludf.DUMMYFUNCTION("""COMPUTED_VALUE"""),0.0)</f>
        <v>0</v>
      </c>
      <c r="S3790" s="6" t="str">
        <f>IFERROR(__xludf.DUMMYFUNCTION("""COMPUTED_VALUE""")," ")</f>
        <v> </v>
      </c>
      <c r="T3790" s="6" t="str">
        <f>IFERROR(__xludf.DUMMYFUNCTION("""COMPUTED_VALUE"""),"")</f>
        <v/>
      </c>
      <c r="U3790" s="6" t="str">
        <f>IFERROR(__xludf.DUMMYFUNCTION("""COMPUTED_VALUE"""),"11")</f>
        <v>11</v>
      </c>
      <c r="V3790" s="6" t="str">
        <f>IFERROR(__xludf.DUMMYFUNCTION("""COMPUTED_VALUE"""),"English")</f>
        <v>English</v>
      </c>
      <c r="W3790" s="6" t="str">
        <f>IFERROR(__xludf.DUMMYFUNCTION("""COMPUTED_VALUE"""),"[]")</f>
        <v>[]</v>
      </c>
      <c r="X3790" s="6" t="str">
        <f>IFERROR(__xludf.DUMMYFUNCTION("""COMPUTED_VALUE"""),"Enrolled")</f>
        <v>Enrolled</v>
      </c>
    </row>
    <row r="3791">
      <c r="A3791" s="6" t="str">
        <f>IFERROR(__xludf.DUMMYFUNCTION("""COMPUTED_VALUE"""),"068-10095")</f>
        <v>068-10095</v>
      </c>
      <c r="B3791" s="6" t="str">
        <f>IFERROR(__xludf.DUMMYFUNCTION("""COMPUTED_VALUE"""),"68")</f>
        <v>68</v>
      </c>
      <c r="C3791" s="6" t="str">
        <f>IFERROR(__xludf.DUMMYFUNCTION("""COMPUTED_VALUE"""),"10095")</f>
        <v>10095</v>
      </c>
      <c r="D3791" s="6" t="str">
        <f>IFERROR(__xludf.DUMMYFUNCTION("""COMPUTED_VALUE"""),"Daniel")</f>
        <v>Daniel</v>
      </c>
      <c r="E3791" s="6" t="str">
        <f>IFERROR(__xludf.DUMMYFUNCTION("""COMPUTED_VALUE"""),"")</f>
        <v/>
      </c>
      <c r="F3791" s="6" t="str">
        <f>IFERROR(__xludf.DUMMYFUNCTION("""COMPUTED_VALUE"""),"De la Fuente")</f>
        <v>De la Fuente</v>
      </c>
      <c r="G3791" s="6" t="str">
        <f>IFERROR(__xludf.DUMMYFUNCTION("""COMPUTED_VALUE"""),"11/21/2011")</f>
        <v>11/21/2011</v>
      </c>
      <c r="H3791" s="6" t="str">
        <f>IFERROR(__xludf.DUMMYFUNCTION("""COMPUTED_VALUE"""),"Self Identify")</f>
        <v>Self Identify</v>
      </c>
      <c r="I3791" s="6" t="str">
        <f>IFERROR(__xludf.DUMMYFUNCTION("""COMPUTED_VALUE"""),"High School")</f>
        <v>High School</v>
      </c>
      <c r="J3791" s="6" t="str">
        <f>IFERROR(__xludf.DUMMYFUNCTION("""COMPUTED_VALUE"""),"9")</f>
        <v>9</v>
      </c>
      <c r="K3791" s="6" t="str">
        <f>IFERROR(__xludf.DUMMYFUNCTION("""COMPUTED_VALUE"""),"daniel.delafuente@2hourlearning.com")</f>
        <v>daniel.delafuente@2hourlearning.com</v>
      </c>
      <c r="L3791" s="6" t="str">
        <f>IFERROR(__xludf.DUMMYFUNCTION("""COMPUTED_VALUE"""),"SPIRE Academy")</f>
        <v>SPIRE Academy</v>
      </c>
      <c r="M3791" s="6" t="str">
        <f>IFERROR(__xludf.DUMMYFUNCTION("""COMPUTED_VALUE"""),"")</f>
        <v/>
      </c>
      <c r="N3791" s="6" t="str">
        <f>IFERROR(__xludf.DUMMYFUNCTION("""COMPUTED_VALUE"""),"")</f>
        <v/>
      </c>
      <c r="O3791" s="87" t="str">
        <f>IFERROR(__xludf.DUMMYFUNCTION("""COMPUTED_VALUE"""),"https://drive.google.com/drive/folders/10T2cTQHqEJZqE-st6uFKPoI?usp=share_link")</f>
        <v>https://drive.google.com/drive/folders/10T2cTQHqEJZqE-st6uFKPoI?usp=share_link</v>
      </c>
      <c r="P3791" s="6" t="str">
        <f>IFERROR(__xludf.DUMMYFUNCTION("""COMPUTED_VALUE"""),"Daniel De la Fuente")</f>
        <v>Daniel De la Fuente</v>
      </c>
      <c r="Q3791" s="6" t="str">
        <f>IFERROR(__xludf.DUMMYFUNCTION("""COMPUTED_VALUE"""),"HS")</f>
        <v>HS</v>
      </c>
      <c r="R3791" s="6">
        <f>IFERROR(__xludf.DUMMYFUNCTION("""COMPUTED_VALUE"""),0.0)</f>
        <v>0</v>
      </c>
      <c r="S3791" s="6" t="str">
        <f>IFERROR(__xludf.DUMMYFUNCTION("""COMPUTED_VALUE""")," ")</f>
        <v> </v>
      </c>
      <c r="T3791" s="6" t="str">
        <f>IFERROR(__xludf.DUMMYFUNCTION("""COMPUTED_VALUE"""),"")</f>
        <v/>
      </c>
      <c r="U3791" s="6" t="str">
        <f>IFERROR(__xludf.DUMMYFUNCTION("""COMPUTED_VALUE"""),"9")</f>
        <v>9</v>
      </c>
      <c r="V3791" s="6" t="str">
        <f>IFERROR(__xludf.DUMMYFUNCTION("""COMPUTED_VALUE"""),"English")</f>
        <v>English</v>
      </c>
      <c r="W3791" s="6" t="str">
        <f>IFERROR(__xludf.DUMMYFUNCTION("""COMPUTED_VALUE"""),"[]")</f>
        <v>[]</v>
      </c>
      <c r="X3791" s="6" t="str">
        <f>IFERROR(__xludf.DUMMYFUNCTION("""COMPUTED_VALUE"""),"Enrolled")</f>
        <v>Enrolled</v>
      </c>
    </row>
    <row r="3792">
      <c r="A3792" s="6" t="str">
        <f>IFERROR(__xludf.DUMMYFUNCTION("""COMPUTED_VALUE"""),"068-10096")</f>
        <v>068-10096</v>
      </c>
      <c r="B3792" s="6" t="str">
        <f>IFERROR(__xludf.DUMMYFUNCTION("""COMPUTED_VALUE"""),"68")</f>
        <v>68</v>
      </c>
      <c r="C3792" s="6" t="str">
        <f>IFERROR(__xludf.DUMMYFUNCTION("""COMPUTED_VALUE"""),"10096")</f>
        <v>10096</v>
      </c>
      <c r="D3792" s="6" t="str">
        <f>IFERROR(__xludf.DUMMYFUNCTION("""COMPUTED_VALUE"""),"Jimena")</f>
        <v>Jimena</v>
      </c>
      <c r="E3792" s="6" t="str">
        <f>IFERROR(__xludf.DUMMYFUNCTION("""COMPUTED_VALUE"""),"")</f>
        <v/>
      </c>
      <c r="F3792" s="6" t="str">
        <f>IFERROR(__xludf.DUMMYFUNCTION("""COMPUTED_VALUE"""),"De Lucas Gomez")</f>
        <v>De Lucas Gomez</v>
      </c>
      <c r="G3792" s="6" t="str">
        <f>IFERROR(__xludf.DUMMYFUNCTION("""COMPUTED_VALUE"""),"03/17/2010")</f>
        <v>03/17/2010</v>
      </c>
      <c r="H3792" s="6" t="str">
        <f>IFERROR(__xludf.DUMMYFUNCTION("""COMPUTED_VALUE"""),"Self Identify")</f>
        <v>Self Identify</v>
      </c>
      <c r="I3792" s="6" t="str">
        <f>IFERROR(__xludf.DUMMYFUNCTION("""COMPUTED_VALUE"""),"High School")</f>
        <v>High School</v>
      </c>
      <c r="J3792" s="6" t="str">
        <f>IFERROR(__xludf.DUMMYFUNCTION("""COMPUTED_VALUE"""),"10")</f>
        <v>10</v>
      </c>
      <c r="K3792" s="6" t="str">
        <f>IFERROR(__xludf.DUMMYFUNCTION("""COMPUTED_VALUE"""),"jimena.delucasgomez@2hourlearning.com")</f>
        <v>jimena.delucasgomez@2hourlearning.com</v>
      </c>
      <c r="L3792" s="6" t="str">
        <f>IFERROR(__xludf.DUMMYFUNCTION("""COMPUTED_VALUE"""),"SPIRE Academy")</f>
        <v>SPIRE Academy</v>
      </c>
      <c r="M3792" s="6" t="str">
        <f>IFERROR(__xludf.DUMMYFUNCTION("""COMPUTED_VALUE"""),"")</f>
        <v/>
      </c>
      <c r="N3792" s="6" t="str">
        <f>IFERROR(__xludf.DUMMYFUNCTION("""COMPUTED_VALUE"""),"")</f>
        <v/>
      </c>
      <c r="O3792" s="87" t="str">
        <f>IFERROR(__xludf.DUMMYFUNCTION("""COMPUTED_VALUE"""),"https://drive.google.com/drive/folders/10T2cTQHqEJZqE-st6uFKPoI?usp=share_link")</f>
        <v>https://drive.google.com/drive/folders/10T2cTQHqEJZqE-st6uFKPoI?usp=share_link</v>
      </c>
      <c r="P3792" s="6" t="str">
        <f>IFERROR(__xludf.DUMMYFUNCTION("""COMPUTED_VALUE"""),"Jimena De Lucas Gomez")</f>
        <v>Jimena De Lucas Gomez</v>
      </c>
      <c r="Q3792" s="6" t="str">
        <f>IFERROR(__xludf.DUMMYFUNCTION("""COMPUTED_VALUE"""),"HS")</f>
        <v>HS</v>
      </c>
      <c r="R3792" s="6">
        <f>IFERROR(__xludf.DUMMYFUNCTION("""COMPUTED_VALUE"""),0.0)</f>
        <v>0</v>
      </c>
      <c r="S3792" s="6" t="str">
        <f>IFERROR(__xludf.DUMMYFUNCTION("""COMPUTED_VALUE""")," ")</f>
        <v> </v>
      </c>
      <c r="T3792" s="6" t="str">
        <f>IFERROR(__xludf.DUMMYFUNCTION("""COMPUTED_VALUE"""),"")</f>
        <v/>
      </c>
      <c r="U3792" s="6" t="str">
        <f>IFERROR(__xludf.DUMMYFUNCTION("""COMPUTED_VALUE"""),"10")</f>
        <v>10</v>
      </c>
      <c r="V3792" s="6" t="str">
        <f>IFERROR(__xludf.DUMMYFUNCTION("""COMPUTED_VALUE"""),"English")</f>
        <v>English</v>
      </c>
      <c r="W3792" s="6" t="str">
        <f>IFERROR(__xludf.DUMMYFUNCTION("""COMPUTED_VALUE"""),"[]")</f>
        <v>[]</v>
      </c>
      <c r="X3792" s="6" t="str">
        <f>IFERROR(__xludf.DUMMYFUNCTION("""COMPUTED_VALUE"""),"Enrolled")</f>
        <v>Enrolled</v>
      </c>
    </row>
    <row r="3793">
      <c r="A3793" s="6" t="str">
        <f>IFERROR(__xludf.DUMMYFUNCTION("""COMPUTED_VALUE"""),"068-10097")</f>
        <v>068-10097</v>
      </c>
      <c r="B3793" s="6" t="str">
        <f>IFERROR(__xludf.DUMMYFUNCTION("""COMPUTED_VALUE"""),"68")</f>
        <v>68</v>
      </c>
      <c r="C3793" s="6" t="str">
        <f>IFERROR(__xludf.DUMMYFUNCTION("""COMPUTED_VALUE"""),"10097")</f>
        <v>10097</v>
      </c>
      <c r="D3793" s="6" t="str">
        <f>IFERROR(__xludf.DUMMYFUNCTION("""COMPUTED_VALUE"""),"Joseph")</f>
        <v>Joseph</v>
      </c>
      <c r="E3793" s="6" t="str">
        <f>IFERROR(__xludf.DUMMYFUNCTION("""COMPUTED_VALUE"""),"")</f>
        <v/>
      </c>
      <c r="F3793" s="6" t="str">
        <f>IFERROR(__xludf.DUMMYFUNCTION("""COMPUTED_VALUE"""),"DeLaGarza")</f>
        <v>DeLaGarza</v>
      </c>
      <c r="G3793" s="6" t="str">
        <f>IFERROR(__xludf.DUMMYFUNCTION("""COMPUTED_VALUE"""),"10/25/2007")</f>
        <v>10/25/2007</v>
      </c>
      <c r="H3793" s="6" t="str">
        <f>IFERROR(__xludf.DUMMYFUNCTION("""COMPUTED_VALUE"""),"Self Identify")</f>
        <v>Self Identify</v>
      </c>
      <c r="I3793" s="6" t="str">
        <f>IFERROR(__xludf.DUMMYFUNCTION("""COMPUTED_VALUE"""),"High School")</f>
        <v>High School</v>
      </c>
      <c r="J3793" s="6" t="str">
        <f>IFERROR(__xludf.DUMMYFUNCTION("""COMPUTED_VALUE"""),"12")</f>
        <v>12</v>
      </c>
      <c r="K3793" s="6" t="str">
        <f>IFERROR(__xludf.DUMMYFUNCTION("""COMPUTED_VALUE"""),"joseph.delagarza@2hourlearning.com")</f>
        <v>joseph.delagarza@2hourlearning.com</v>
      </c>
      <c r="L3793" s="6" t="str">
        <f>IFERROR(__xludf.DUMMYFUNCTION("""COMPUTED_VALUE"""),"SPIRE Academy")</f>
        <v>SPIRE Academy</v>
      </c>
      <c r="M3793" s="6" t="str">
        <f>IFERROR(__xludf.DUMMYFUNCTION("""COMPUTED_VALUE"""),"")</f>
        <v/>
      </c>
      <c r="N3793" s="6" t="str">
        <f>IFERROR(__xludf.DUMMYFUNCTION("""COMPUTED_VALUE"""),"")</f>
        <v/>
      </c>
      <c r="O3793" s="87" t="str">
        <f>IFERROR(__xludf.DUMMYFUNCTION("""COMPUTED_VALUE"""),"https://drive.google.com/drive/folders/10T2cTQHqEJZqE-st6uFKPoI?usp=share_link")</f>
        <v>https://drive.google.com/drive/folders/10T2cTQHqEJZqE-st6uFKPoI?usp=share_link</v>
      </c>
      <c r="P3793" s="6" t="str">
        <f>IFERROR(__xludf.DUMMYFUNCTION("""COMPUTED_VALUE"""),"Joseph DeLaGarza")</f>
        <v>Joseph DeLaGarza</v>
      </c>
      <c r="Q3793" s="6" t="str">
        <f>IFERROR(__xludf.DUMMYFUNCTION("""COMPUTED_VALUE"""),"HS")</f>
        <v>HS</v>
      </c>
      <c r="R3793" s="6">
        <f>IFERROR(__xludf.DUMMYFUNCTION("""COMPUTED_VALUE"""),0.0)</f>
        <v>0</v>
      </c>
      <c r="S3793" s="6" t="str">
        <f>IFERROR(__xludf.DUMMYFUNCTION("""COMPUTED_VALUE""")," ")</f>
        <v> </v>
      </c>
      <c r="T3793" s="6" t="str">
        <f>IFERROR(__xludf.DUMMYFUNCTION("""COMPUTED_VALUE"""),"")</f>
        <v/>
      </c>
      <c r="U3793" s="6" t="str">
        <f>IFERROR(__xludf.DUMMYFUNCTION("""COMPUTED_VALUE"""),"12")</f>
        <v>12</v>
      </c>
      <c r="V3793" s="6" t="str">
        <f>IFERROR(__xludf.DUMMYFUNCTION("""COMPUTED_VALUE"""),"English")</f>
        <v>English</v>
      </c>
      <c r="W3793" s="6" t="str">
        <f>IFERROR(__xludf.DUMMYFUNCTION("""COMPUTED_VALUE"""),"[]")</f>
        <v>[]</v>
      </c>
      <c r="X3793" s="6" t="str">
        <f>IFERROR(__xludf.DUMMYFUNCTION("""COMPUTED_VALUE"""),"Enrolled")</f>
        <v>Enrolled</v>
      </c>
    </row>
    <row r="3794">
      <c r="A3794" s="6" t="str">
        <f>IFERROR(__xludf.DUMMYFUNCTION("""COMPUTED_VALUE"""),"068-10098")</f>
        <v>068-10098</v>
      </c>
      <c r="B3794" s="6" t="str">
        <f>IFERROR(__xludf.DUMMYFUNCTION("""COMPUTED_VALUE"""),"68")</f>
        <v>68</v>
      </c>
      <c r="C3794" s="6" t="str">
        <f>IFERROR(__xludf.DUMMYFUNCTION("""COMPUTED_VALUE"""),"10098")</f>
        <v>10098</v>
      </c>
      <c r="D3794" s="6" t="str">
        <f>IFERROR(__xludf.DUMMYFUNCTION("""COMPUTED_VALUE"""),"John")</f>
        <v>John</v>
      </c>
      <c r="E3794" s="6" t="str">
        <f>IFERROR(__xludf.DUMMYFUNCTION("""COMPUTED_VALUE"""),"")</f>
        <v/>
      </c>
      <c r="F3794" s="6" t="str">
        <f>IFERROR(__xludf.DUMMYFUNCTION("""COMPUTED_VALUE"""),"Denton")</f>
        <v>Denton</v>
      </c>
      <c r="G3794" s="6" t="str">
        <f>IFERROR(__xludf.DUMMYFUNCTION("""COMPUTED_VALUE"""),"10/13/2010")</f>
        <v>10/13/2010</v>
      </c>
      <c r="H3794" s="6" t="str">
        <f>IFERROR(__xludf.DUMMYFUNCTION("""COMPUTED_VALUE"""),"Self Identify")</f>
        <v>Self Identify</v>
      </c>
      <c r="I3794" s="6" t="str">
        <f>IFERROR(__xludf.DUMMYFUNCTION("""COMPUTED_VALUE"""),"High School")</f>
        <v>High School</v>
      </c>
      <c r="J3794" s="6" t="str">
        <f>IFERROR(__xludf.DUMMYFUNCTION("""COMPUTED_VALUE"""),"10")</f>
        <v>10</v>
      </c>
      <c r="K3794" s="6" t="str">
        <f>IFERROR(__xludf.DUMMYFUNCTION("""COMPUTED_VALUE"""),"john.denton@2hourlearning.com")</f>
        <v>john.denton@2hourlearning.com</v>
      </c>
      <c r="L3794" s="6" t="str">
        <f>IFERROR(__xludf.DUMMYFUNCTION("""COMPUTED_VALUE"""),"SPIRE Academy")</f>
        <v>SPIRE Academy</v>
      </c>
      <c r="M3794" s="6" t="str">
        <f>IFERROR(__xludf.DUMMYFUNCTION("""COMPUTED_VALUE"""),"")</f>
        <v/>
      </c>
      <c r="N3794" s="6" t="str">
        <f>IFERROR(__xludf.DUMMYFUNCTION("""COMPUTED_VALUE"""),"")</f>
        <v/>
      </c>
      <c r="O3794" s="87" t="str">
        <f>IFERROR(__xludf.DUMMYFUNCTION("""COMPUTED_VALUE"""),"https://drive.google.com/drive/folders/10T2cTQHqEJZqE-st6uFKPoI?usp=share_link")</f>
        <v>https://drive.google.com/drive/folders/10T2cTQHqEJZqE-st6uFKPoI?usp=share_link</v>
      </c>
      <c r="P3794" s="6" t="str">
        <f>IFERROR(__xludf.DUMMYFUNCTION("""COMPUTED_VALUE"""),"John Denton")</f>
        <v>John Denton</v>
      </c>
      <c r="Q3794" s="6" t="str">
        <f>IFERROR(__xludf.DUMMYFUNCTION("""COMPUTED_VALUE"""),"HS")</f>
        <v>HS</v>
      </c>
      <c r="R3794" s="6">
        <f>IFERROR(__xludf.DUMMYFUNCTION("""COMPUTED_VALUE"""),0.0)</f>
        <v>0</v>
      </c>
      <c r="S3794" s="6" t="str">
        <f>IFERROR(__xludf.DUMMYFUNCTION("""COMPUTED_VALUE""")," ")</f>
        <v> </v>
      </c>
      <c r="T3794" s="6" t="str">
        <f>IFERROR(__xludf.DUMMYFUNCTION("""COMPUTED_VALUE"""),"")</f>
        <v/>
      </c>
      <c r="U3794" s="6" t="str">
        <f>IFERROR(__xludf.DUMMYFUNCTION("""COMPUTED_VALUE"""),"10")</f>
        <v>10</v>
      </c>
      <c r="V3794" s="6" t="str">
        <f>IFERROR(__xludf.DUMMYFUNCTION("""COMPUTED_VALUE"""),"English")</f>
        <v>English</v>
      </c>
      <c r="W3794" s="6" t="str">
        <f>IFERROR(__xludf.DUMMYFUNCTION("""COMPUTED_VALUE"""),"[]")</f>
        <v>[]</v>
      </c>
      <c r="X3794" s="6" t="str">
        <f>IFERROR(__xludf.DUMMYFUNCTION("""COMPUTED_VALUE"""),"Enrolled")</f>
        <v>Enrolled</v>
      </c>
    </row>
    <row r="3795">
      <c r="A3795" s="6" t="str">
        <f>IFERROR(__xludf.DUMMYFUNCTION("""COMPUTED_VALUE"""),"068-10099")</f>
        <v>068-10099</v>
      </c>
      <c r="B3795" s="6" t="str">
        <f>IFERROR(__xludf.DUMMYFUNCTION("""COMPUTED_VALUE"""),"68")</f>
        <v>68</v>
      </c>
      <c r="C3795" s="6" t="str">
        <f>IFERROR(__xludf.DUMMYFUNCTION("""COMPUTED_VALUE"""),"10099")</f>
        <v>10099</v>
      </c>
      <c r="D3795" s="6" t="str">
        <f>IFERROR(__xludf.DUMMYFUNCTION("""COMPUTED_VALUE"""),"Diego")</f>
        <v>Diego</v>
      </c>
      <c r="E3795" s="6" t="str">
        <f>IFERROR(__xludf.DUMMYFUNCTION("""COMPUTED_VALUE"""),"")</f>
        <v/>
      </c>
      <c r="F3795" s="6" t="str">
        <f>IFERROR(__xludf.DUMMYFUNCTION("""COMPUTED_VALUE"""),"Diaz Franco")</f>
        <v>Diaz Franco</v>
      </c>
      <c r="G3795" s="6" t="str">
        <f>IFERROR(__xludf.DUMMYFUNCTION("""COMPUTED_VALUE"""),"12/14/2009")</f>
        <v>12/14/2009</v>
      </c>
      <c r="H3795" s="6" t="str">
        <f>IFERROR(__xludf.DUMMYFUNCTION("""COMPUTED_VALUE"""),"Self Identify")</f>
        <v>Self Identify</v>
      </c>
      <c r="I3795" s="6" t="str">
        <f>IFERROR(__xludf.DUMMYFUNCTION("""COMPUTED_VALUE"""),"High School")</f>
        <v>High School</v>
      </c>
      <c r="J3795" s="6" t="str">
        <f>IFERROR(__xludf.DUMMYFUNCTION("""COMPUTED_VALUE"""),"10")</f>
        <v>10</v>
      </c>
      <c r="K3795" s="6" t="str">
        <f>IFERROR(__xludf.DUMMYFUNCTION("""COMPUTED_VALUE"""),"diego.diazfranco@2hourlearning.com")</f>
        <v>diego.diazfranco@2hourlearning.com</v>
      </c>
      <c r="L3795" s="6" t="str">
        <f>IFERROR(__xludf.DUMMYFUNCTION("""COMPUTED_VALUE"""),"SPIRE Academy")</f>
        <v>SPIRE Academy</v>
      </c>
      <c r="M3795" s="6" t="str">
        <f>IFERROR(__xludf.DUMMYFUNCTION("""COMPUTED_VALUE"""),"")</f>
        <v/>
      </c>
      <c r="N3795" s="6" t="str">
        <f>IFERROR(__xludf.DUMMYFUNCTION("""COMPUTED_VALUE"""),"")</f>
        <v/>
      </c>
      <c r="O3795" s="87" t="str">
        <f>IFERROR(__xludf.DUMMYFUNCTION("""COMPUTED_VALUE"""),"https://drive.google.com/drive/folders/10T2cTQHqEJZqE-st6uFKPoI?usp=share_link")</f>
        <v>https://drive.google.com/drive/folders/10T2cTQHqEJZqE-st6uFKPoI?usp=share_link</v>
      </c>
      <c r="P3795" s="6" t="str">
        <f>IFERROR(__xludf.DUMMYFUNCTION("""COMPUTED_VALUE"""),"Diego Diaz Franco")</f>
        <v>Diego Diaz Franco</v>
      </c>
      <c r="Q3795" s="6" t="str">
        <f>IFERROR(__xludf.DUMMYFUNCTION("""COMPUTED_VALUE"""),"HS")</f>
        <v>HS</v>
      </c>
      <c r="R3795" s="6">
        <f>IFERROR(__xludf.DUMMYFUNCTION("""COMPUTED_VALUE"""),0.0)</f>
        <v>0</v>
      </c>
      <c r="S3795" s="6" t="str">
        <f>IFERROR(__xludf.DUMMYFUNCTION("""COMPUTED_VALUE""")," ")</f>
        <v> </v>
      </c>
      <c r="T3795" s="6" t="str">
        <f>IFERROR(__xludf.DUMMYFUNCTION("""COMPUTED_VALUE"""),"")</f>
        <v/>
      </c>
      <c r="U3795" s="6" t="str">
        <f>IFERROR(__xludf.DUMMYFUNCTION("""COMPUTED_VALUE"""),"10")</f>
        <v>10</v>
      </c>
      <c r="V3795" s="6" t="str">
        <f>IFERROR(__xludf.DUMMYFUNCTION("""COMPUTED_VALUE"""),"English")</f>
        <v>English</v>
      </c>
      <c r="W3795" s="6" t="str">
        <f>IFERROR(__xludf.DUMMYFUNCTION("""COMPUTED_VALUE"""),"[]")</f>
        <v>[]</v>
      </c>
      <c r="X3795" s="6" t="str">
        <f>IFERROR(__xludf.DUMMYFUNCTION("""COMPUTED_VALUE"""),"Enrolled")</f>
        <v>Enrolled</v>
      </c>
    </row>
    <row r="3796">
      <c r="A3796" s="6" t="str">
        <f>IFERROR(__xludf.DUMMYFUNCTION("""COMPUTED_VALUE"""),"068-10100")</f>
        <v>068-10100</v>
      </c>
      <c r="B3796" s="6" t="str">
        <f>IFERROR(__xludf.DUMMYFUNCTION("""COMPUTED_VALUE"""),"68")</f>
        <v>68</v>
      </c>
      <c r="C3796" s="6" t="str">
        <f>IFERROR(__xludf.DUMMYFUNCTION("""COMPUTED_VALUE"""),"10100")</f>
        <v>10100</v>
      </c>
      <c r="D3796" s="6" t="str">
        <f>IFERROR(__xludf.DUMMYFUNCTION("""COMPUTED_VALUE"""),"Jason")</f>
        <v>Jason</v>
      </c>
      <c r="E3796" s="6" t="str">
        <f>IFERROR(__xludf.DUMMYFUNCTION("""COMPUTED_VALUE"""),"")</f>
        <v/>
      </c>
      <c r="F3796" s="6" t="str">
        <f>IFERROR(__xludf.DUMMYFUNCTION("""COMPUTED_VALUE"""),"Dube")</f>
        <v>Dube</v>
      </c>
      <c r="G3796" s="6" t="str">
        <f>IFERROR(__xludf.DUMMYFUNCTION("""COMPUTED_VALUE"""),"07/04/2009")</f>
        <v>07/04/2009</v>
      </c>
      <c r="H3796" s="6" t="str">
        <f>IFERROR(__xludf.DUMMYFUNCTION("""COMPUTED_VALUE"""),"Self Identify")</f>
        <v>Self Identify</v>
      </c>
      <c r="I3796" s="6" t="str">
        <f>IFERROR(__xludf.DUMMYFUNCTION("""COMPUTED_VALUE"""),"High School")</f>
        <v>High School</v>
      </c>
      <c r="J3796" s="6" t="str">
        <f>IFERROR(__xludf.DUMMYFUNCTION("""COMPUTED_VALUE"""),"10")</f>
        <v>10</v>
      </c>
      <c r="K3796" s="6" t="str">
        <f>IFERROR(__xludf.DUMMYFUNCTION("""COMPUTED_VALUE"""),"jason.dube@2hourlearning.com")</f>
        <v>jason.dube@2hourlearning.com</v>
      </c>
      <c r="L3796" s="6" t="str">
        <f>IFERROR(__xludf.DUMMYFUNCTION("""COMPUTED_VALUE"""),"SPIRE Academy")</f>
        <v>SPIRE Academy</v>
      </c>
      <c r="M3796" s="6" t="str">
        <f>IFERROR(__xludf.DUMMYFUNCTION("""COMPUTED_VALUE"""),"")</f>
        <v/>
      </c>
      <c r="N3796" s="6" t="str">
        <f>IFERROR(__xludf.DUMMYFUNCTION("""COMPUTED_VALUE"""),"")</f>
        <v/>
      </c>
      <c r="O3796" s="87" t="str">
        <f>IFERROR(__xludf.DUMMYFUNCTION("""COMPUTED_VALUE"""),"https://drive.google.com/drive/folders/10T2cTQHqEJZqE-st6uFKPoI?usp=share_link")</f>
        <v>https://drive.google.com/drive/folders/10T2cTQHqEJZqE-st6uFKPoI?usp=share_link</v>
      </c>
      <c r="P3796" s="6" t="str">
        <f>IFERROR(__xludf.DUMMYFUNCTION("""COMPUTED_VALUE"""),"Jason Dube")</f>
        <v>Jason Dube</v>
      </c>
      <c r="Q3796" s="6" t="str">
        <f>IFERROR(__xludf.DUMMYFUNCTION("""COMPUTED_VALUE"""),"HS")</f>
        <v>HS</v>
      </c>
      <c r="R3796" s="6">
        <f>IFERROR(__xludf.DUMMYFUNCTION("""COMPUTED_VALUE"""),0.0)</f>
        <v>0</v>
      </c>
      <c r="S3796" s="6" t="str">
        <f>IFERROR(__xludf.DUMMYFUNCTION("""COMPUTED_VALUE""")," ")</f>
        <v> </v>
      </c>
      <c r="T3796" s="6" t="str">
        <f>IFERROR(__xludf.DUMMYFUNCTION("""COMPUTED_VALUE"""),"")</f>
        <v/>
      </c>
      <c r="U3796" s="6" t="str">
        <f>IFERROR(__xludf.DUMMYFUNCTION("""COMPUTED_VALUE"""),"10")</f>
        <v>10</v>
      </c>
      <c r="V3796" s="6" t="str">
        <f>IFERROR(__xludf.DUMMYFUNCTION("""COMPUTED_VALUE"""),"English")</f>
        <v>English</v>
      </c>
      <c r="W3796" s="6" t="str">
        <f>IFERROR(__xludf.DUMMYFUNCTION("""COMPUTED_VALUE"""),"[]")</f>
        <v>[]</v>
      </c>
      <c r="X3796" s="6" t="str">
        <f>IFERROR(__xludf.DUMMYFUNCTION("""COMPUTED_VALUE"""),"Enrolled")</f>
        <v>Enrolled</v>
      </c>
    </row>
    <row r="3797">
      <c r="A3797" s="6" t="str">
        <f>IFERROR(__xludf.DUMMYFUNCTION("""COMPUTED_VALUE"""),"068-10101")</f>
        <v>068-10101</v>
      </c>
      <c r="B3797" s="6" t="str">
        <f>IFERROR(__xludf.DUMMYFUNCTION("""COMPUTED_VALUE"""),"68")</f>
        <v>68</v>
      </c>
      <c r="C3797" s="6" t="str">
        <f>IFERROR(__xludf.DUMMYFUNCTION("""COMPUTED_VALUE"""),"10101")</f>
        <v>10101</v>
      </c>
      <c r="D3797" s="6" t="str">
        <f>IFERROR(__xludf.DUMMYFUNCTION("""COMPUTED_VALUE"""),"Robert")</f>
        <v>Robert</v>
      </c>
      <c r="E3797" s="6" t="str">
        <f>IFERROR(__xludf.DUMMYFUNCTION("""COMPUTED_VALUE"""),"")</f>
        <v/>
      </c>
      <c r="F3797" s="6" t="str">
        <f>IFERROR(__xludf.DUMMYFUNCTION("""COMPUTED_VALUE"""),"Dunne")</f>
        <v>Dunne</v>
      </c>
      <c r="G3797" s="6" t="str">
        <f>IFERROR(__xludf.DUMMYFUNCTION("""COMPUTED_VALUE"""),"03/28/2006")</f>
        <v>03/28/2006</v>
      </c>
      <c r="H3797" s="6" t="str">
        <f>IFERROR(__xludf.DUMMYFUNCTION("""COMPUTED_VALUE"""),"Self Identify")</f>
        <v>Self Identify</v>
      </c>
      <c r="I3797" s="6" t="str">
        <f>IFERROR(__xludf.DUMMYFUNCTION("""COMPUTED_VALUE"""),"High School")</f>
        <v>High School</v>
      </c>
      <c r="J3797" s="6" t="str">
        <f>IFERROR(__xludf.DUMMYFUNCTION("""COMPUTED_VALUE"""),"12")</f>
        <v>12</v>
      </c>
      <c r="K3797" s="6" t="str">
        <f>IFERROR(__xludf.DUMMYFUNCTION("""COMPUTED_VALUE"""),"robert.dunne@2hourlearning.com")</f>
        <v>robert.dunne@2hourlearning.com</v>
      </c>
      <c r="L3797" s="6" t="str">
        <f>IFERROR(__xludf.DUMMYFUNCTION("""COMPUTED_VALUE"""),"SPIRE Academy")</f>
        <v>SPIRE Academy</v>
      </c>
      <c r="M3797" s="6" t="str">
        <f>IFERROR(__xludf.DUMMYFUNCTION("""COMPUTED_VALUE"""),"")</f>
        <v/>
      </c>
      <c r="N3797" s="6" t="str">
        <f>IFERROR(__xludf.DUMMYFUNCTION("""COMPUTED_VALUE"""),"")</f>
        <v/>
      </c>
      <c r="O3797" s="87" t="str">
        <f>IFERROR(__xludf.DUMMYFUNCTION("""COMPUTED_VALUE"""),"https://drive.google.com/drive/folders/10T2cTQHqEJZqE-st6uFKPoI?usp=share_link")</f>
        <v>https://drive.google.com/drive/folders/10T2cTQHqEJZqE-st6uFKPoI?usp=share_link</v>
      </c>
      <c r="P3797" s="6" t="str">
        <f>IFERROR(__xludf.DUMMYFUNCTION("""COMPUTED_VALUE"""),"Robert Dunne")</f>
        <v>Robert Dunne</v>
      </c>
      <c r="Q3797" s="6" t="str">
        <f>IFERROR(__xludf.DUMMYFUNCTION("""COMPUTED_VALUE"""),"HS")</f>
        <v>HS</v>
      </c>
      <c r="R3797" s="6">
        <f>IFERROR(__xludf.DUMMYFUNCTION("""COMPUTED_VALUE"""),0.0)</f>
        <v>0</v>
      </c>
      <c r="S3797" s="6" t="str">
        <f>IFERROR(__xludf.DUMMYFUNCTION("""COMPUTED_VALUE""")," ")</f>
        <v> </v>
      </c>
      <c r="T3797" s="6" t="str">
        <f>IFERROR(__xludf.DUMMYFUNCTION("""COMPUTED_VALUE"""),"")</f>
        <v/>
      </c>
      <c r="U3797" s="6" t="str">
        <f>IFERROR(__xludf.DUMMYFUNCTION("""COMPUTED_VALUE"""),"12")</f>
        <v>12</v>
      </c>
      <c r="V3797" s="6" t="str">
        <f>IFERROR(__xludf.DUMMYFUNCTION("""COMPUTED_VALUE"""),"English")</f>
        <v>English</v>
      </c>
      <c r="W3797" s="6" t="str">
        <f>IFERROR(__xludf.DUMMYFUNCTION("""COMPUTED_VALUE"""),"[]")</f>
        <v>[]</v>
      </c>
      <c r="X3797" s="6" t="str">
        <f>IFERROR(__xludf.DUMMYFUNCTION("""COMPUTED_VALUE"""),"Enrolled")</f>
        <v>Enrolled</v>
      </c>
    </row>
    <row r="3798">
      <c r="A3798" s="6" t="str">
        <f>IFERROR(__xludf.DUMMYFUNCTION("""COMPUTED_VALUE"""),"068-10102")</f>
        <v>068-10102</v>
      </c>
      <c r="B3798" s="6" t="str">
        <f>IFERROR(__xludf.DUMMYFUNCTION("""COMPUTED_VALUE"""),"68")</f>
        <v>68</v>
      </c>
      <c r="C3798" s="6" t="str">
        <f>IFERROR(__xludf.DUMMYFUNCTION("""COMPUTED_VALUE"""),"10102")</f>
        <v>10102</v>
      </c>
      <c r="D3798" s="6" t="str">
        <f>IFERROR(__xludf.DUMMYFUNCTION("""COMPUTED_VALUE"""),"Tobechi")</f>
        <v>Tobechi</v>
      </c>
      <c r="E3798" s="6" t="str">
        <f>IFERROR(__xludf.DUMMYFUNCTION("""COMPUTED_VALUE"""),"")</f>
        <v/>
      </c>
      <c r="F3798" s="6" t="str">
        <f>IFERROR(__xludf.DUMMYFUNCTION("""COMPUTED_VALUE"""),"Ejezie")</f>
        <v>Ejezie</v>
      </c>
      <c r="G3798" s="6" t="str">
        <f>IFERROR(__xludf.DUMMYFUNCTION("""COMPUTED_VALUE"""),"08/21/2007")</f>
        <v>08/21/2007</v>
      </c>
      <c r="H3798" s="6" t="str">
        <f>IFERROR(__xludf.DUMMYFUNCTION("""COMPUTED_VALUE"""),"Self Identify")</f>
        <v>Self Identify</v>
      </c>
      <c r="I3798" s="6" t="str">
        <f>IFERROR(__xludf.DUMMYFUNCTION("""COMPUTED_VALUE"""),"High School")</f>
        <v>High School</v>
      </c>
      <c r="J3798" s="6" t="str">
        <f>IFERROR(__xludf.DUMMYFUNCTION("""COMPUTED_VALUE"""),"12")</f>
        <v>12</v>
      </c>
      <c r="K3798" s="6" t="str">
        <f>IFERROR(__xludf.DUMMYFUNCTION("""COMPUTED_VALUE"""),"tobechi.ejezie@2hourlearning.com")</f>
        <v>tobechi.ejezie@2hourlearning.com</v>
      </c>
      <c r="L3798" s="6" t="str">
        <f>IFERROR(__xludf.DUMMYFUNCTION("""COMPUTED_VALUE"""),"SPIRE Academy")</f>
        <v>SPIRE Academy</v>
      </c>
      <c r="M3798" s="6" t="str">
        <f>IFERROR(__xludf.DUMMYFUNCTION("""COMPUTED_VALUE"""),"")</f>
        <v/>
      </c>
      <c r="N3798" s="6" t="str">
        <f>IFERROR(__xludf.DUMMYFUNCTION("""COMPUTED_VALUE"""),"")</f>
        <v/>
      </c>
      <c r="O3798" s="87" t="str">
        <f>IFERROR(__xludf.DUMMYFUNCTION("""COMPUTED_VALUE"""),"https://drive.google.com/drive/folders/10T2cTQHqEJZqE-st6uFKPoI?usp=share_link")</f>
        <v>https://drive.google.com/drive/folders/10T2cTQHqEJZqE-st6uFKPoI?usp=share_link</v>
      </c>
      <c r="P3798" s="6" t="str">
        <f>IFERROR(__xludf.DUMMYFUNCTION("""COMPUTED_VALUE"""),"Tobechi Ejezie")</f>
        <v>Tobechi Ejezie</v>
      </c>
      <c r="Q3798" s="6" t="str">
        <f>IFERROR(__xludf.DUMMYFUNCTION("""COMPUTED_VALUE"""),"HS")</f>
        <v>HS</v>
      </c>
      <c r="R3798" s="6">
        <f>IFERROR(__xludf.DUMMYFUNCTION("""COMPUTED_VALUE"""),0.0)</f>
        <v>0</v>
      </c>
      <c r="S3798" s="6" t="str">
        <f>IFERROR(__xludf.DUMMYFUNCTION("""COMPUTED_VALUE""")," ")</f>
        <v> </v>
      </c>
      <c r="T3798" s="6" t="str">
        <f>IFERROR(__xludf.DUMMYFUNCTION("""COMPUTED_VALUE"""),"")</f>
        <v/>
      </c>
      <c r="U3798" s="6" t="str">
        <f>IFERROR(__xludf.DUMMYFUNCTION("""COMPUTED_VALUE"""),"12")</f>
        <v>12</v>
      </c>
      <c r="V3798" s="6" t="str">
        <f>IFERROR(__xludf.DUMMYFUNCTION("""COMPUTED_VALUE"""),"English")</f>
        <v>English</v>
      </c>
      <c r="W3798" s="6" t="str">
        <f>IFERROR(__xludf.DUMMYFUNCTION("""COMPUTED_VALUE"""),"[]")</f>
        <v>[]</v>
      </c>
      <c r="X3798" s="6" t="str">
        <f>IFERROR(__xludf.DUMMYFUNCTION("""COMPUTED_VALUE"""),"Enrolled")</f>
        <v>Enrolled</v>
      </c>
    </row>
    <row r="3799">
      <c r="A3799" s="6" t="str">
        <f>IFERROR(__xludf.DUMMYFUNCTION("""COMPUTED_VALUE"""),"068-10103")</f>
        <v>068-10103</v>
      </c>
      <c r="B3799" s="6" t="str">
        <f>IFERROR(__xludf.DUMMYFUNCTION("""COMPUTED_VALUE"""),"68")</f>
        <v>68</v>
      </c>
      <c r="C3799" s="6" t="str">
        <f>IFERROR(__xludf.DUMMYFUNCTION("""COMPUTED_VALUE"""),"10103")</f>
        <v>10103</v>
      </c>
      <c r="D3799" s="6" t="str">
        <f>IFERROR(__xludf.DUMMYFUNCTION("""COMPUTED_VALUE"""),"Sophie")</f>
        <v>Sophie</v>
      </c>
      <c r="E3799" s="6" t="str">
        <f>IFERROR(__xludf.DUMMYFUNCTION("""COMPUTED_VALUE"""),"")</f>
        <v/>
      </c>
      <c r="F3799" s="6" t="str">
        <f>IFERROR(__xludf.DUMMYFUNCTION("""COMPUTED_VALUE"""),"Erbsloh")</f>
        <v>Erbsloh</v>
      </c>
      <c r="G3799" s="6" t="str">
        <f>IFERROR(__xludf.DUMMYFUNCTION("""COMPUTED_VALUE"""),"02/18/2009")</f>
        <v>02/18/2009</v>
      </c>
      <c r="H3799" s="6" t="str">
        <f>IFERROR(__xludf.DUMMYFUNCTION("""COMPUTED_VALUE"""),"Self Identify")</f>
        <v>Self Identify</v>
      </c>
      <c r="I3799" s="6" t="str">
        <f>IFERROR(__xludf.DUMMYFUNCTION("""COMPUTED_VALUE"""),"High School")</f>
        <v>High School</v>
      </c>
      <c r="J3799" s="6" t="str">
        <f>IFERROR(__xludf.DUMMYFUNCTION("""COMPUTED_VALUE"""),"11")</f>
        <v>11</v>
      </c>
      <c r="K3799" s="6" t="str">
        <f>IFERROR(__xludf.DUMMYFUNCTION("""COMPUTED_VALUE"""),"sophie.erbsloh@2hourlearning.com")</f>
        <v>sophie.erbsloh@2hourlearning.com</v>
      </c>
      <c r="L3799" s="6" t="str">
        <f>IFERROR(__xludf.DUMMYFUNCTION("""COMPUTED_VALUE"""),"SPIRE Academy")</f>
        <v>SPIRE Academy</v>
      </c>
      <c r="M3799" s="6" t="str">
        <f>IFERROR(__xludf.DUMMYFUNCTION("""COMPUTED_VALUE"""),"")</f>
        <v/>
      </c>
      <c r="N3799" s="6" t="str">
        <f>IFERROR(__xludf.DUMMYFUNCTION("""COMPUTED_VALUE"""),"")</f>
        <v/>
      </c>
      <c r="O3799" s="87" t="str">
        <f>IFERROR(__xludf.DUMMYFUNCTION("""COMPUTED_VALUE"""),"https://drive.google.com/drive/folders/10T2cTQHqEJZqE-st6uFKPoI?usp=share_link")</f>
        <v>https://drive.google.com/drive/folders/10T2cTQHqEJZqE-st6uFKPoI?usp=share_link</v>
      </c>
      <c r="P3799" s="6" t="str">
        <f>IFERROR(__xludf.DUMMYFUNCTION("""COMPUTED_VALUE"""),"Sophie Erbsloh")</f>
        <v>Sophie Erbsloh</v>
      </c>
      <c r="Q3799" s="6" t="str">
        <f>IFERROR(__xludf.DUMMYFUNCTION("""COMPUTED_VALUE"""),"HS")</f>
        <v>HS</v>
      </c>
      <c r="R3799" s="6">
        <f>IFERROR(__xludf.DUMMYFUNCTION("""COMPUTED_VALUE"""),0.0)</f>
        <v>0</v>
      </c>
      <c r="S3799" s="6" t="str">
        <f>IFERROR(__xludf.DUMMYFUNCTION("""COMPUTED_VALUE""")," ")</f>
        <v> </v>
      </c>
      <c r="T3799" s="6" t="str">
        <f>IFERROR(__xludf.DUMMYFUNCTION("""COMPUTED_VALUE"""),"")</f>
        <v/>
      </c>
      <c r="U3799" s="6" t="str">
        <f>IFERROR(__xludf.DUMMYFUNCTION("""COMPUTED_VALUE"""),"11")</f>
        <v>11</v>
      </c>
      <c r="V3799" s="6" t="str">
        <f>IFERROR(__xludf.DUMMYFUNCTION("""COMPUTED_VALUE"""),"English")</f>
        <v>English</v>
      </c>
      <c r="W3799" s="6" t="str">
        <f>IFERROR(__xludf.DUMMYFUNCTION("""COMPUTED_VALUE"""),"[]")</f>
        <v>[]</v>
      </c>
      <c r="X3799" s="6" t="str">
        <f>IFERROR(__xludf.DUMMYFUNCTION("""COMPUTED_VALUE"""),"Enrolled")</f>
        <v>Enrolled</v>
      </c>
    </row>
    <row r="3800">
      <c r="A3800" s="6" t="str">
        <f>IFERROR(__xludf.DUMMYFUNCTION("""COMPUTED_VALUE"""),"068-10104")</f>
        <v>068-10104</v>
      </c>
      <c r="B3800" s="6" t="str">
        <f>IFERROR(__xludf.DUMMYFUNCTION("""COMPUTED_VALUE"""),"68")</f>
        <v>68</v>
      </c>
      <c r="C3800" s="6" t="str">
        <f>IFERROR(__xludf.DUMMYFUNCTION("""COMPUTED_VALUE"""),"10104")</f>
        <v>10104</v>
      </c>
      <c r="D3800" s="6" t="str">
        <f>IFERROR(__xludf.DUMMYFUNCTION("""COMPUTED_VALUE"""),"Itgel")</f>
        <v>Itgel</v>
      </c>
      <c r="E3800" s="6" t="str">
        <f>IFERROR(__xludf.DUMMYFUNCTION("""COMPUTED_VALUE"""),"")</f>
        <v/>
      </c>
      <c r="F3800" s="6" t="str">
        <f>IFERROR(__xludf.DUMMYFUNCTION("""COMPUTED_VALUE"""),"Erkhembayar")</f>
        <v>Erkhembayar</v>
      </c>
      <c r="G3800" s="6" t="str">
        <f>IFERROR(__xludf.DUMMYFUNCTION("""COMPUTED_VALUE"""),"09/27/2007")</f>
        <v>09/27/2007</v>
      </c>
      <c r="H3800" s="6" t="str">
        <f>IFERROR(__xludf.DUMMYFUNCTION("""COMPUTED_VALUE"""),"Self Identify")</f>
        <v>Self Identify</v>
      </c>
      <c r="I3800" s="6" t="str">
        <f>IFERROR(__xludf.DUMMYFUNCTION("""COMPUTED_VALUE"""),"High School")</f>
        <v>High School</v>
      </c>
      <c r="J3800" s="6" t="str">
        <f>IFERROR(__xludf.DUMMYFUNCTION("""COMPUTED_VALUE"""),"11")</f>
        <v>11</v>
      </c>
      <c r="K3800" s="6" t="str">
        <f>IFERROR(__xludf.DUMMYFUNCTION("""COMPUTED_VALUE"""),"itgel.erkhembayar@2hourlearning.com")</f>
        <v>itgel.erkhembayar@2hourlearning.com</v>
      </c>
      <c r="L3800" s="6" t="str">
        <f>IFERROR(__xludf.DUMMYFUNCTION("""COMPUTED_VALUE"""),"SPIRE Academy")</f>
        <v>SPIRE Academy</v>
      </c>
      <c r="M3800" s="6" t="str">
        <f>IFERROR(__xludf.DUMMYFUNCTION("""COMPUTED_VALUE"""),"")</f>
        <v/>
      </c>
      <c r="N3800" s="6" t="str">
        <f>IFERROR(__xludf.DUMMYFUNCTION("""COMPUTED_VALUE"""),"")</f>
        <v/>
      </c>
      <c r="O3800" s="87" t="str">
        <f>IFERROR(__xludf.DUMMYFUNCTION("""COMPUTED_VALUE"""),"https://drive.google.com/drive/folders/10T2cTQHqEJZqE-st6uFKPoI?usp=share_link")</f>
        <v>https://drive.google.com/drive/folders/10T2cTQHqEJZqE-st6uFKPoI?usp=share_link</v>
      </c>
      <c r="P3800" s="6" t="str">
        <f>IFERROR(__xludf.DUMMYFUNCTION("""COMPUTED_VALUE"""),"Itgel Erkhembayar")</f>
        <v>Itgel Erkhembayar</v>
      </c>
      <c r="Q3800" s="6" t="str">
        <f>IFERROR(__xludf.DUMMYFUNCTION("""COMPUTED_VALUE"""),"HS")</f>
        <v>HS</v>
      </c>
      <c r="R3800" s="6">
        <f>IFERROR(__xludf.DUMMYFUNCTION("""COMPUTED_VALUE"""),0.0)</f>
        <v>0</v>
      </c>
      <c r="S3800" s="6" t="str">
        <f>IFERROR(__xludf.DUMMYFUNCTION("""COMPUTED_VALUE""")," ")</f>
        <v> </v>
      </c>
      <c r="T3800" s="6" t="str">
        <f>IFERROR(__xludf.DUMMYFUNCTION("""COMPUTED_VALUE"""),"")</f>
        <v/>
      </c>
      <c r="U3800" s="6" t="str">
        <f>IFERROR(__xludf.DUMMYFUNCTION("""COMPUTED_VALUE"""),"11")</f>
        <v>11</v>
      </c>
      <c r="V3800" s="6" t="str">
        <f>IFERROR(__xludf.DUMMYFUNCTION("""COMPUTED_VALUE"""),"English")</f>
        <v>English</v>
      </c>
      <c r="W3800" s="6" t="str">
        <f>IFERROR(__xludf.DUMMYFUNCTION("""COMPUTED_VALUE"""),"[]")</f>
        <v>[]</v>
      </c>
      <c r="X3800" s="6" t="str">
        <f>IFERROR(__xludf.DUMMYFUNCTION("""COMPUTED_VALUE"""),"Enrolled")</f>
        <v>Enrolled</v>
      </c>
    </row>
    <row r="3801">
      <c r="A3801" s="6" t="str">
        <f>IFERROR(__xludf.DUMMYFUNCTION("""COMPUTED_VALUE"""),"068-10105")</f>
        <v>068-10105</v>
      </c>
      <c r="B3801" s="6" t="str">
        <f>IFERROR(__xludf.DUMMYFUNCTION("""COMPUTED_VALUE"""),"68")</f>
        <v>68</v>
      </c>
      <c r="C3801" s="6" t="str">
        <f>IFERROR(__xludf.DUMMYFUNCTION("""COMPUTED_VALUE"""),"10105")</f>
        <v>10105</v>
      </c>
      <c r="D3801" s="6" t="str">
        <f>IFERROR(__xludf.DUMMYFUNCTION("""COMPUTED_VALUE"""),"Ximena")</f>
        <v>Ximena</v>
      </c>
      <c r="E3801" s="6" t="str">
        <f>IFERROR(__xludf.DUMMYFUNCTION("""COMPUTED_VALUE"""),"")</f>
        <v/>
      </c>
      <c r="F3801" s="6" t="str">
        <f>IFERROR(__xludf.DUMMYFUNCTION("""COMPUTED_VALUE"""),"Escutia Juarez")</f>
        <v>Escutia Juarez</v>
      </c>
      <c r="G3801" s="6" t="str">
        <f>IFERROR(__xludf.DUMMYFUNCTION("""COMPUTED_VALUE"""),"12/04/2008")</f>
        <v>12/04/2008</v>
      </c>
      <c r="H3801" s="6" t="str">
        <f>IFERROR(__xludf.DUMMYFUNCTION("""COMPUTED_VALUE"""),"Self Identify")</f>
        <v>Self Identify</v>
      </c>
      <c r="I3801" s="6" t="str">
        <f>IFERROR(__xludf.DUMMYFUNCTION("""COMPUTED_VALUE"""),"High School")</f>
        <v>High School</v>
      </c>
      <c r="J3801" s="6" t="str">
        <f>IFERROR(__xludf.DUMMYFUNCTION("""COMPUTED_VALUE"""),"11")</f>
        <v>11</v>
      </c>
      <c r="K3801" s="6" t="str">
        <f>IFERROR(__xludf.DUMMYFUNCTION("""COMPUTED_VALUE"""),"ximena.escutiajuarez@2hourlearning.com")</f>
        <v>ximena.escutiajuarez@2hourlearning.com</v>
      </c>
      <c r="L3801" s="6" t="str">
        <f>IFERROR(__xludf.DUMMYFUNCTION("""COMPUTED_VALUE"""),"SPIRE Academy")</f>
        <v>SPIRE Academy</v>
      </c>
      <c r="M3801" s="6" t="str">
        <f>IFERROR(__xludf.DUMMYFUNCTION("""COMPUTED_VALUE"""),"")</f>
        <v/>
      </c>
      <c r="N3801" s="6" t="str">
        <f>IFERROR(__xludf.DUMMYFUNCTION("""COMPUTED_VALUE"""),"")</f>
        <v/>
      </c>
      <c r="O3801" s="87" t="str">
        <f>IFERROR(__xludf.DUMMYFUNCTION("""COMPUTED_VALUE"""),"https://drive.google.com/drive/folders/10T2cTQHqEJZqE-st6uFKPoI?usp=share_link")</f>
        <v>https://drive.google.com/drive/folders/10T2cTQHqEJZqE-st6uFKPoI?usp=share_link</v>
      </c>
      <c r="P3801" s="6" t="str">
        <f>IFERROR(__xludf.DUMMYFUNCTION("""COMPUTED_VALUE"""),"Ximena Escutia Juarez")</f>
        <v>Ximena Escutia Juarez</v>
      </c>
      <c r="Q3801" s="6" t="str">
        <f>IFERROR(__xludf.DUMMYFUNCTION("""COMPUTED_VALUE"""),"HS")</f>
        <v>HS</v>
      </c>
      <c r="R3801" s="6">
        <f>IFERROR(__xludf.DUMMYFUNCTION("""COMPUTED_VALUE"""),0.0)</f>
        <v>0</v>
      </c>
      <c r="S3801" s="6" t="str">
        <f>IFERROR(__xludf.DUMMYFUNCTION("""COMPUTED_VALUE""")," ")</f>
        <v> </v>
      </c>
      <c r="T3801" s="6" t="str">
        <f>IFERROR(__xludf.DUMMYFUNCTION("""COMPUTED_VALUE"""),"")</f>
        <v/>
      </c>
      <c r="U3801" s="6" t="str">
        <f>IFERROR(__xludf.DUMMYFUNCTION("""COMPUTED_VALUE"""),"11")</f>
        <v>11</v>
      </c>
      <c r="V3801" s="6" t="str">
        <f>IFERROR(__xludf.DUMMYFUNCTION("""COMPUTED_VALUE"""),"English")</f>
        <v>English</v>
      </c>
      <c r="W3801" s="6" t="str">
        <f>IFERROR(__xludf.DUMMYFUNCTION("""COMPUTED_VALUE"""),"[]")</f>
        <v>[]</v>
      </c>
      <c r="X3801" s="6" t="str">
        <f>IFERROR(__xludf.DUMMYFUNCTION("""COMPUTED_VALUE"""),"Enrolled")</f>
        <v>Enrolled</v>
      </c>
    </row>
    <row r="3802">
      <c r="A3802" s="6" t="str">
        <f>IFERROR(__xludf.DUMMYFUNCTION("""COMPUTED_VALUE"""),"068-10106")</f>
        <v>068-10106</v>
      </c>
      <c r="B3802" s="6" t="str">
        <f>IFERROR(__xludf.DUMMYFUNCTION("""COMPUTED_VALUE"""),"68")</f>
        <v>68</v>
      </c>
      <c r="C3802" s="6" t="str">
        <f>IFERROR(__xludf.DUMMYFUNCTION("""COMPUTED_VALUE"""),"10106")</f>
        <v>10106</v>
      </c>
      <c r="D3802" s="6" t="str">
        <f>IFERROR(__xludf.DUMMYFUNCTION("""COMPUTED_VALUE"""),"Jillian")</f>
        <v>Jillian</v>
      </c>
      <c r="E3802" s="6" t="str">
        <f>IFERROR(__xludf.DUMMYFUNCTION("""COMPUTED_VALUE"""),"")</f>
        <v/>
      </c>
      <c r="F3802" s="6" t="str">
        <f>IFERROR(__xludf.DUMMYFUNCTION("""COMPUTED_VALUE"""),"Evans")</f>
        <v>Evans</v>
      </c>
      <c r="G3802" s="6" t="str">
        <f>IFERROR(__xludf.DUMMYFUNCTION("""COMPUTED_VALUE"""),"06/08/2010")</f>
        <v>06/08/2010</v>
      </c>
      <c r="H3802" s="6" t="str">
        <f>IFERROR(__xludf.DUMMYFUNCTION("""COMPUTED_VALUE"""),"Self Identify")</f>
        <v>Self Identify</v>
      </c>
      <c r="I3802" s="6" t="str">
        <f>IFERROR(__xludf.DUMMYFUNCTION("""COMPUTED_VALUE"""),"High School")</f>
        <v>High School</v>
      </c>
      <c r="J3802" s="6" t="str">
        <f>IFERROR(__xludf.DUMMYFUNCTION("""COMPUTED_VALUE"""),"10")</f>
        <v>10</v>
      </c>
      <c r="K3802" s="6" t="str">
        <f>IFERROR(__xludf.DUMMYFUNCTION("""COMPUTED_VALUE"""),"jillian.evans@2hourlearning.com")</f>
        <v>jillian.evans@2hourlearning.com</v>
      </c>
      <c r="L3802" s="6" t="str">
        <f>IFERROR(__xludf.DUMMYFUNCTION("""COMPUTED_VALUE"""),"SPIRE Academy")</f>
        <v>SPIRE Academy</v>
      </c>
      <c r="M3802" s="6" t="str">
        <f>IFERROR(__xludf.DUMMYFUNCTION("""COMPUTED_VALUE"""),"")</f>
        <v/>
      </c>
      <c r="N3802" s="6" t="str">
        <f>IFERROR(__xludf.DUMMYFUNCTION("""COMPUTED_VALUE"""),"")</f>
        <v/>
      </c>
      <c r="O3802" s="87" t="str">
        <f>IFERROR(__xludf.DUMMYFUNCTION("""COMPUTED_VALUE"""),"https://drive.google.com/drive/folders/10T2cTQHqEJZqE-st6uFKPoI?usp=share_link")</f>
        <v>https://drive.google.com/drive/folders/10T2cTQHqEJZqE-st6uFKPoI?usp=share_link</v>
      </c>
      <c r="P3802" s="6" t="str">
        <f>IFERROR(__xludf.DUMMYFUNCTION("""COMPUTED_VALUE"""),"Jillian Evans")</f>
        <v>Jillian Evans</v>
      </c>
      <c r="Q3802" s="6" t="str">
        <f>IFERROR(__xludf.DUMMYFUNCTION("""COMPUTED_VALUE"""),"HS")</f>
        <v>HS</v>
      </c>
      <c r="R3802" s="6">
        <f>IFERROR(__xludf.DUMMYFUNCTION("""COMPUTED_VALUE"""),0.0)</f>
        <v>0</v>
      </c>
      <c r="S3802" s="6" t="str">
        <f>IFERROR(__xludf.DUMMYFUNCTION("""COMPUTED_VALUE""")," ")</f>
        <v> </v>
      </c>
      <c r="T3802" s="6" t="str">
        <f>IFERROR(__xludf.DUMMYFUNCTION("""COMPUTED_VALUE"""),"")</f>
        <v/>
      </c>
      <c r="U3802" s="6" t="str">
        <f>IFERROR(__xludf.DUMMYFUNCTION("""COMPUTED_VALUE"""),"10")</f>
        <v>10</v>
      </c>
      <c r="V3802" s="6" t="str">
        <f>IFERROR(__xludf.DUMMYFUNCTION("""COMPUTED_VALUE"""),"English")</f>
        <v>English</v>
      </c>
      <c r="W3802" s="6" t="str">
        <f>IFERROR(__xludf.DUMMYFUNCTION("""COMPUTED_VALUE"""),"[]")</f>
        <v>[]</v>
      </c>
      <c r="X3802" s="6" t="str">
        <f>IFERROR(__xludf.DUMMYFUNCTION("""COMPUTED_VALUE"""),"Enrolled")</f>
        <v>Enrolled</v>
      </c>
    </row>
    <row r="3803">
      <c r="A3803" s="6" t="str">
        <f>IFERROR(__xludf.DUMMYFUNCTION("""COMPUTED_VALUE"""),"068-10107")</f>
        <v>068-10107</v>
      </c>
      <c r="B3803" s="6" t="str">
        <f>IFERROR(__xludf.DUMMYFUNCTION("""COMPUTED_VALUE"""),"68")</f>
        <v>68</v>
      </c>
      <c r="C3803" s="6" t="str">
        <f>IFERROR(__xludf.DUMMYFUNCTION("""COMPUTED_VALUE"""),"10107")</f>
        <v>10107</v>
      </c>
      <c r="D3803" s="6" t="str">
        <f>IFERROR(__xludf.DUMMYFUNCTION("""COMPUTED_VALUE"""),"Charles")</f>
        <v>Charles</v>
      </c>
      <c r="E3803" s="6" t="str">
        <f>IFERROR(__xludf.DUMMYFUNCTION("""COMPUTED_VALUE"""),"")</f>
        <v/>
      </c>
      <c r="F3803" s="6" t="str">
        <f>IFERROR(__xludf.DUMMYFUNCTION("""COMPUTED_VALUE"""),"Felde")</f>
        <v>Felde</v>
      </c>
      <c r="G3803" s="6" t="str">
        <f>IFERROR(__xludf.DUMMYFUNCTION("""COMPUTED_VALUE"""),"03/28/2009")</f>
        <v>03/28/2009</v>
      </c>
      <c r="H3803" s="6" t="str">
        <f>IFERROR(__xludf.DUMMYFUNCTION("""COMPUTED_VALUE"""),"Self Identify")</f>
        <v>Self Identify</v>
      </c>
      <c r="I3803" s="6" t="str">
        <f>IFERROR(__xludf.DUMMYFUNCTION("""COMPUTED_VALUE"""),"High School")</f>
        <v>High School</v>
      </c>
      <c r="J3803" s="6" t="str">
        <f>IFERROR(__xludf.DUMMYFUNCTION("""COMPUTED_VALUE"""),"11")</f>
        <v>11</v>
      </c>
      <c r="K3803" s="6" t="str">
        <f>IFERROR(__xludf.DUMMYFUNCTION("""COMPUTED_VALUE"""),"charles.felde@2hourlearning.com")</f>
        <v>charles.felde@2hourlearning.com</v>
      </c>
      <c r="L3803" s="6" t="str">
        <f>IFERROR(__xludf.DUMMYFUNCTION("""COMPUTED_VALUE"""),"SPIRE Academy")</f>
        <v>SPIRE Academy</v>
      </c>
      <c r="M3803" s="6" t="str">
        <f>IFERROR(__xludf.DUMMYFUNCTION("""COMPUTED_VALUE"""),"")</f>
        <v/>
      </c>
      <c r="N3803" s="6" t="str">
        <f>IFERROR(__xludf.DUMMYFUNCTION("""COMPUTED_VALUE"""),"")</f>
        <v/>
      </c>
      <c r="O3803" s="87" t="str">
        <f>IFERROR(__xludf.DUMMYFUNCTION("""COMPUTED_VALUE"""),"https://drive.google.com/drive/folders/10T2cTQHqEJZqE-st6uFKPoI?usp=share_link")</f>
        <v>https://drive.google.com/drive/folders/10T2cTQHqEJZqE-st6uFKPoI?usp=share_link</v>
      </c>
      <c r="P3803" s="6" t="str">
        <f>IFERROR(__xludf.DUMMYFUNCTION("""COMPUTED_VALUE"""),"Charles Felde")</f>
        <v>Charles Felde</v>
      </c>
      <c r="Q3803" s="6" t="str">
        <f>IFERROR(__xludf.DUMMYFUNCTION("""COMPUTED_VALUE"""),"HS")</f>
        <v>HS</v>
      </c>
      <c r="R3803" s="6">
        <f>IFERROR(__xludf.DUMMYFUNCTION("""COMPUTED_VALUE"""),0.0)</f>
        <v>0</v>
      </c>
      <c r="S3803" s="6" t="str">
        <f>IFERROR(__xludf.DUMMYFUNCTION("""COMPUTED_VALUE""")," ")</f>
        <v> </v>
      </c>
      <c r="T3803" s="6" t="str">
        <f>IFERROR(__xludf.DUMMYFUNCTION("""COMPUTED_VALUE"""),"")</f>
        <v/>
      </c>
      <c r="U3803" s="6" t="str">
        <f>IFERROR(__xludf.DUMMYFUNCTION("""COMPUTED_VALUE"""),"11")</f>
        <v>11</v>
      </c>
      <c r="V3803" s="6" t="str">
        <f>IFERROR(__xludf.DUMMYFUNCTION("""COMPUTED_VALUE"""),"English")</f>
        <v>English</v>
      </c>
      <c r="W3803" s="6" t="str">
        <f>IFERROR(__xludf.DUMMYFUNCTION("""COMPUTED_VALUE"""),"[]")</f>
        <v>[]</v>
      </c>
      <c r="X3803" s="6" t="str">
        <f>IFERROR(__xludf.DUMMYFUNCTION("""COMPUTED_VALUE"""),"Enrolled")</f>
        <v>Enrolled</v>
      </c>
    </row>
    <row r="3804">
      <c r="A3804" s="6" t="str">
        <f>IFERROR(__xludf.DUMMYFUNCTION("""COMPUTED_VALUE"""),"068-10108")</f>
        <v>068-10108</v>
      </c>
      <c r="B3804" s="6" t="str">
        <f>IFERROR(__xludf.DUMMYFUNCTION("""COMPUTED_VALUE"""),"68")</f>
        <v>68</v>
      </c>
      <c r="C3804" s="6" t="str">
        <f>IFERROR(__xludf.DUMMYFUNCTION("""COMPUTED_VALUE"""),"10108")</f>
        <v>10108</v>
      </c>
      <c r="D3804" s="6" t="str">
        <f>IFERROR(__xludf.DUMMYFUNCTION("""COMPUTED_VALUE"""),"Adalaina")</f>
        <v>Adalaina</v>
      </c>
      <c r="E3804" s="6" t="str">
        <f>IFERROR(__xludf.DUMMYFUNCTION("""COMPUTED_VALUE"""),"")</f>
        <v/>
      </c>
      <c r="F3804" s="6" t="str">
        <f>IFERROR(__xludf.DUMMYFUNCTION("""COMPUTED_VALUE"""),"Fender")</f>
        <v>Fender</v>
      </c>
      <c r="G3804" s="6" t="str">
        <f>IFERROR(__xludf.DUMMYFUNCTION("""COMPUTED_VALUE"""),"07/02/2009")</f>
        <v>07/02/2009</v>
      </c>
      <c r="H3804" s="6" t="str">
        <f>IFERROR(__xludf.DUMMYFUNCTION("""COMPUTED_VALUE"""),"Self Identify")</f>
        <v>Self Identify</v>
      </c>
      <c r="I3804" s="6" t="str">
        <f>IFERROR(__xludf.DUMMYFUNCTION("""COMPUTED_VALUE"""),"High School")</f>
        <v>High School</v>
      </c>
      <c r="J3804" s="6" t="str">
        <f>IFERROR(__xludf.DUMMYFUNCTION("""COMPUTED_VALUE"""),"11")</f>
        <v>11</v>
      </c>
      <c r="K3804" s="6" t="str">
        <f>IFERROR(__xludf.DUMMYFUNCTION("""COMPUTED_VALUE"""),"adalaina.fender@2hourlearning.com")</f>
        <v>adalaina.fender@2hourlearning.com</v>
      </c>
      <c r="L3804" s="6" t="str">
        <f>IFERROR(__xludf.DUMMYFUNCTION("""COMPUTED_VALUE"""),"SPIRE Academy")</f>
        <v>SPIRE Academy</v>
      </c>
      <c r="M3804" s="6" t="str">
        <f>IFERROR(__xludf.DUMMYFUNCTION("""COMPUTED_VALUE"""),"")</f>
        <v/>
      </c>
      <c r="N3804" s="6" t="str">
        <f>IFERROR(__xludf.DUMMYFUNCTION("""COMPUTED_VALUE"""),"")</f>
        <v/>
      </c>
      <c r="O3804" s="87" t="str">
        <f>IFERROR(__xludf.DUMMYFUNCTION("""COMPUTED_VALUE"""),"https://drive.google.com/drive/folders/10T2cTQHqEJZqE-st6uFKPoI?usp=share_link")</f>
        <v>https://drive.google.com/drive/folders/10T2cTQHqEJZqE-st6uFKPoI?usp=share_link</v>
      </c>
      <c r="P3804" s="6" t="str">
        <f>IFERROR(__xludf.DUMMYFUNCTION("""COMPUTED_VALUE"""),"Adalaina Fender")</f>
        <v>Adalaina Fender</v>
      </c>
      <c r="Q3804" s="6" t="str">
        <f>IFERROR(__xludf.DUMMYFUNCTION("""COMPUTED_VALUE"""),"HS")</f>
        <v>HS</v>
      </c>
      <c r="R3804" s="6">
        <f>IFERROR(__xludf.DUMMYFUNCTION("""COMPUTED_VALUE"""),0.0)</f>
        <v>0</v>
      </c>
      <c r="S3804" s="6" t="str">
        <f>IFERROR(__xludf.DUMMYFUNCTION("""COMPUTED_VALUE""")," ")</f>
        <v> </v>
      </c>
      <c r="T3804" s="6" t="str">
        <f>IFERROR(__xludf.DUMMYFUNCTION("""COMPUTED_VALUE"""),"")</f>
        <v/>
      </c>
      <c r="U3804" s="6" t="str">
        <f>IFERROR(__xludf.DUMMYFUNCTION("""COMPUTED_VALUE"""),"11")</f>
        <v>11</v>
      </c>
      <c r="V3804" s="6" t="str">
        <f>IFERROR(__xludf.DUMMYFUNCTION("""COMPUTED_VALUE"""),"English")</f>
        <v>English</v>
      </c>
      <c r="W3804" s="6" t="str">
        <f>IFERROR(__xludf.DUMMYFUNCTION("""COMPUTED_VALUE"""),"[]")</f>
        <v>[]</v>
      </c>
      <c r="X3804" s="6" t="str">
        <f>IFERROR(__xludf.DUMMYFUNCTION("""COMPUTED_VALUE"""),"Enrolled")</f>
        <v>Enrolled</v>
      </c>
    </row>
    <row r="3805">
      <c r="A3805" s="6" t="str">
        <f>IFERROR(__xludf.DUMMYFUNCTION("""COMPUTED_VALUE"""),"068-10109")</f>
        <v>068-10109</v>
      </c>
      <c r="B3805" s="6" t="str">
        <f>IFERROR(__xludf.DUMMYFUNCTION("""COMPUTED_VALUE"""),"68")</f>
        <v>68</v>
      </c>
      <c r="C3805" s="6" t="str">
        <f>IFERROR(__xludf.DUMMYFUNCTION("""COMPUTED_VALUE"""),"10109")</f>
        <v>10109</v>
      </c>
      <c r="D3805" s="6" t="str">
        <f>IFERROR(__xludf.DUMMYFUNCTION("""COMPUTED_VALUE"""),"Rebecca")</f>
        <v>Rebecca</v>
      </c>
      <c r="E3805" s="6" t="str">
        <f>IFERROR(__xludf.DUMMYFUNCTION("""COMPUTED_VALUE"""),"")</f>
        <v/>
      </c>
      <c r="F3805" s="6" t="str">
        <f>IFERROR(__xludf.DUMMYFUNCTION("""COMPUTED_VALUE"""),"Flores")</f>
        <v>Flores</v>
      </c>
      <c r="G3805" s="6" t="str">
        <f>IFERROR(__xludf.DUMMYFUNCTION("""COMPUTED_VALUE"""),"02/09/2010")</f>
        <v>02/09/2010</v>
      </c>
      <c r="H3805" s="6" t="str">
        <f>IFERROR(__xludf.DUMMYFUNCTION("""COMPUTED_VALUE"""),"Self Identify")</f>
        <v>Self Identify</v>
      </c>
      <c r="I3805" s="6" t="str">
        <f>IFERROR(__xludf.DUMMYFUNCTION("""COMPUTED_VALUE"""),"High School")</f>
        <v>High School</v>
      </c>
      <c r="J3805" s="6" t="str">
        <f>IFERROR(__xludf.DUMMYFUNCTION("""COMPUTED_VALUE"""),"10")</f>
        <v>10</v>
      </c>
      <c r="K3805" s="6" t="str">
        <f>IFERROR(__xludf.DUMMYFUNCTION("""COMPUTED_VALUE"""),"rebecca.flores@2hourlearning.com")</f>
        <v>rebecca.flores@2hourlearning.com</v>
      </c>
      <c r="L3805" s="6" t="str">
        <f>IFERROR(__xludf.DUMMYFUNCTION("""COMPUTED_VALUE"""),"SPIRE Academy")</f>
        <v>SPIRE Academy</v>
      </c>
      <c r="M3805" s="6" t="str">
        <f>IFERROR(__xludf.DUMMYFUNCTION("""COMPUTED_VALUE"""),"")</f>
        <v/>
      </c>
      <c r="N3805" s="6" t="str">
        <f>IFERROR(__xludf.DUMMYFUNCTION("""COMPUTED_VALUE"""),"")</f>
        <v/>
      </c>
      <c r="O3805" s="87" t="str">
        <f>IFERROR(__xludf.DUMMYFUNCTION("""COMPUTED_VALUE"""),"https://drive.google.com/drive/folders/10T2cTQHqEJZqE-st6uFKPoI?usp=share_link")</f>
        <v>https://drive.google.com/drive/folders/10T2cTQHqEJZqE-st6uFKPoI?usp=share_link</v>
      </c>
      <c r="P3805" s="6" t="str">
        <f>IFERROR(__xludf.DUMMYFUNCTION("""COMPUTED_VALUE"""),"Rebecca Flores")</f>
        <v>Rebecca Flores</v>
      </c>
      <c r="Q3805" s="6" t="str">
        <f>IFERROR(__xludf.DUMMYFUNCTION("""COMPUTED_VALUE"""),"HS")</f>
        <v>HS</v>
      </c>
      <c r="R3805" s="6">
        <f>IFERROR(__xludf.DUMMYFUNCTION("""COMPUTED_VALUE"""),0.0)</f>
        <v>0</v>
      </c>
      <c r="S3805" s="6" t="str">
        <f>IFERROR(__xludf.DUMMYFUNCTION("""COMPUTED_VALUE""")," ")</f>
        <v> </v>
      </c>
      <c r="T3805" s="6" t="str">
        <f>IFERROR(__xludf.DUMMYFUNCTION("""COMPUTED_VALUE"""),"")</f>
        <v/>
      </c>
      <c r="U3805" s="6" t="str">
        <f>IFERROR(__xludf.DUMMYFUNCTION("""COMPUTED_VALUE"""),"10")</f>
        <v>10</v>
      </c>
      <c r="V3805" s="6" t="str">
        <f>IFERROR(__xludf.DUMMYFUNCTION("""COMPUTED_VALUE"""),"English")</f>
        <v>English</v>
      </c>
      <c r="W3805" s="6" t="str">
        <f>IFERROR(__xludf.DUMMYFUNCTION("""COMPUTED_VALUE"""),"[]")</f>
        <v>[]</v>
      </c>
      <c r="X3805" s="6" t="str">
        <f>IFERROR(__xludf.DUMMYFUNCTION("""COMPUTED_VALUE"""),"Enrolled")</f>
        <v>Enrolled</v>
      </c>
    </row>
    <row r="3806">
      <c r="A3806" s="6" t="str">
        <f>IFERROR(__xludf.DUMMYFUNCTION("""COMPUTED_VALUE"""),"068-10110")</f>
        <v>068-10110</v>
      </c>
      <c r="B3806" s="6" t="str">
        <f>IFERROR(__xludf.DUMMYFUNCTION("""COMPUTED_VALUE"""),"68")</f>
        <v>68</v>
      </c>
      <c r="C3806" s="6" t="str">
        <f>IFERROR(__xludf.DUMMYFUNCTION("""COMPUTED_VALUE"""),"10110")</f>
        <v>10110</v>
      </c>
      <c r="D3806" s="6" t="str">
        <f>IFERROR(__xludf.DUMMYFUNCTION("""COMPUTED_VALUE"""),"Liam")</f>
        <v>Liam</v>
      </c>
      <c r="E3806" s="6" t="str">
        <f>IFERROR(__xludf.DUMMYFUNCTION("""COMPUTED_VALUE"""),"")</f>
        <v/>
      </c>
      <c r="F3806" s="6" t="str">
        <f>IFERROR(__xludf.DUMMYFUNCTION("""COMPUTED_VALUE"""),"Ford Ramoon")</f>
        <v>Ford Ramoon</v>
      </c>
      <c r="G3806" s="6" t="str">
        <f>IFERROR(__xludf.DUMMYFUNCTION("""COMPUTED_VALUE"""),"12/03/2009")</f>
        <v>12/03/2009</v>
      </c>
      <c r="H3806" s="6" t="str">
        <f>IFERROR(__xludf.DUMMYFUNCTION("""COMPUTED_VALUE"""),"Self Identify")</f>
        <v>Self Identify</v>
      </c>
      <c r="I3806" s="6" t="str">
        <f>IFERROR(__xludf.DUMMYFUNCTION("""COMPUTED_VALUE"""),"High School")</f>
        <v>High School</v>
      </c>
      <c r="J3806" s="6" t="str">
        <f>IFERROR(__xludf.DUMMYFUNCTION("""COMPUTED_VALUE"""),"11")</f>
        <v>11</v>
      </c>
      <c r="K3806" s="6" t="str">
        <f>IFERROR(__xludf.DUMMYFUNCTION("""COMPUTED_VALUE"""),"liam.fordramoon@2hourlearning.com")</f>
        <v>liam.fordramoon@2hourlearning.com</v>
      </c>
      <c r="L3806" s="6" t="str">
        <f>IFERROR(__xludf.DUMMYFUNCTION("""COMPUTED_VALUE"""),"SPIRE Academy")</f>
        <v>SPIRE Academy</v>
      </c>
      <c r="M3806" s="6" t="str">
        <f>IFERROR(__xludf.DUMMYFUNCTION("""COMPUTED_VALUE"""),"")</f>
        <v/>
      </c>
      <c r="N3806" s="6" t="str">
        <f>IFERROR(__xludf.DUMMYFUNCTION("""COMPUTED_VALUE"""),"")</f>
        <v/>
      </c>
      <c r="O3806" s="87" t="str">
        <f>IFERROR(__xludf.DUMMYFUNCTION("""COMPUTED_VALUE"""),"https://drive.google.com/drive/folders/10T2cTQHqEJZqE-st6uFKPoI?usp=share_link")</f>
        <v>https://drive.google.com/drive/folders/10T2cTQHqEJZqE-st6uFKPoI?usp=share_link</v>
      </c>
      <c r="P3806" s="6" t="str">
        <f>IFERROR(__xludf.DUMMYFUNCTION("""COMPUTED_VALUE"""),"Liam Ford Ramoon")</f>
        <v>Liam Ford Ramoon</v>
      </c>
      <c r="Q3806" s="6" t="str">
        <f>IFERROR(__xludf.DUMMYFUNCTION("""COMPUTED_VALUE"""),"HS")</f>
        <v>HS</v>
      </c>
      <c r="R3806" s="6">
        <f>IFERROR(__xludf.DUMMYFUNCTION("""COMPUTED_VALUE"""),0.0)</f>
        <v>0</v>
      </c>
      <c r="S3806" s="6" t="str">
        <f>IFERROR(__xludf.DUMMYFUNCTION("""COMPUTED_VALUE""")," ")</f>
        <v> </v>
      </c>
      <c r="T3806" s="6" t="str">
        <f>IFERROR(__xludf.DUMMYFUNCTION("""COMPUTED_VALUE"""),"")</f>
        <v/>
      </c>
      <c r="U3806" s="6" t="str">
        <f>IFERROR(__xludf.DUMMYFUNCTION("""COMPUTED_VALUE"""),"11")</f>
        <v>11</v>
      </c>
      <c r="V3806" s="6" t="str">
        <f>IFERROR(__xludf.DUMMYFUNCTION("""COMPUTED_VALUE"""),"English")</f>
        <v>English</v>
      </c>
      <c r="W3806" s="6" t="str">
        <f>IFERROR(__xludf.DUMMYFUNCTION("""COMPUTED_VALUE"""),"[]")</f>
        <v>[]</v>
      </c>
      <c r="X3806" s="6" t="str">
        <f>IFERROR(__xludf.DUMMYFUNCTION("""COMPUTED_VALUE"""),"Enrolled")</f>
        <v>Enrolled</v>
      </c>
    </row>
    <row r="3807">
      <c r="A3807" s="6" t="str">
        <f>IFERROR(__xludf.DUMMYFUNCTION("""COMPUTED_VALUE"""),"068-10111")</f>
        <v>068-10111</v>
      </c>
      <c r="B3807" s="6" t="str">
        <f>IFERROR(__xludf.DUMMYFUNCTION("""COMPUTED_VALUE"""),"68")</f>
        <v>68</v>
      </c>
      <c r="C3807" s="6" t="str">
        <f>IFERROR(__xludf.DUMMYFUNCTION("""COMPUTED_VALUE"""),"10111")</f>
        <v>10111</v>
      </c>
      <c r="D3807" s="6" t="str">
        <f>IFERROR(__xludf.DUMMYFUNCTION("""COMPUTED_VALUE"""),"Phillip")</f>
        <v>Phillip</v>
      </c>
      <c r="E3807" s="6" t="str">
        <f>IFERROR(__xludf.DUMMYFUNCTION("""COMPUTED_VALUE"""),"")</f>
        <v/>
      </c>
      <c r="F3807" s="6" t="str">
        <f>IFERROR(__xludf.DUMMYFUNCTION("""COMPUTED_VALUE"""),"Ford")</f>
        <v>Ford</v>
      </c>
      <c r="G3807" s="6" t="str">
        <f>IFERROR(__xludf.DUMMYFUNCTION("""COMPUTED_VALUE"""),"08/15/2008")</f>
        <v>08/15/2008</v>
      </c>
      <c r="H3807" s="6" t="str">
        <f>IFERROR(__xludf.DUMMYFUNCTION("""COMPUTED_VALUE"""),"Self Identify")</f>
        <v>Self Identify</v>
      </c>
      <c r="I3807" s="6" t="str">
        <f>IFERROR(__xludf.DUMMYFUNCTION("""COMPUTED_VALUE"""),"High School")</f>
        <v>High School</v>
      </c>
      <c r="J3807" s="6" t="str">
        <f>IFERROR(__xludf.DUMMYFUNCTION("""COMPUTED_VALUE"""),"12")</f>
        <v>12</v>
      </c>
      <c r="K3807" s="6" t="str">
        <f>IFERROR(__xludf.DUMMYFUNCTION("""COMPUTED_VALUE"""),"phillip.ford@2hourlearning.com")</f>
        <v>phillip.ford@2hourlearning.com</v>
      </c>
      <c r="L3807" s="6" t="str">
        <f>IFERROR(__xludf.DUMMYFUNCTION("""COMPUTED_VALUE"""),"SPIRE Academy")</f>
        <v>SPIRE Academy</v>
      </c>
      <c r="M3807" s="6" t="str">
        <f>IFERROR(__xludf.DUMMYFUNCTION("""COMPUTED_VALUE"""),"")</f>
        <v/>
      </c>
      <c r="N3807" s="6" t="str">
        <f>IFERROR(__xludf.DUMMYFUNCTION("""COMPUTED_VALUE"""),"")</f>
        <v/>
      </c>
      <c r="O3807" s="87" t="str">
        <f>IFERROR(__xludf.DUMMYFUNCTION("""COMPUTED_VALUE"""),"https://drive.google.com/drive/folders/10T2cTQHqEJZqE-st6uFKPoI?usp=share_link")</f>
        <v>https://drive.google.com/drive/folders/10T2cTQHqEJZqE-st6uFKPoI?usp=share_link</v>
      </c>
      <c r="P3807" s="6" t="str">
        <f>IFERROR(__xludf.DUMMYFUNCTION("""COMPUTED_VALUE"""),"Phillip Ford")</f>
        <v>Phillip Ford</v>
      </c>
      <c r="Q3807" s="6" t="str">
        <f>IFERROR(__xludf.DUMMYFUNCTION("""COMPUTED_VALUE"""),"HS")</f>
        <v>HS</v>
      </c>
      <c r="R3807" s="6">
        <f>IFERROR(__xludf.DUMMYFUNCTION("""COMPUTED_VALUE"""),0.0)</f>
        <v>0</v>
      </c>
      <c r="S3807" s="6" t="str">
        <f>IFERROR(__xludf.DUMMYFUNCTION("""COMPUTED_VALUE""")," ")</f>
        <v> </v>
      </c>
      <c r="T3807" s="6" t="str">
        <f>IFERROR(__xludf.DUMMYFUNCTION("""COMPUTED_VALUE"""),"")</f>
        <v/>
      </c>
      <c r="U3807" s="6" t="str">
        <f>IFERROR(__xludf.DUMMYFUNCTION("""COMPUTED_VALUE"""),"12")</f>
        <v>12</v>
      </c>
      <c r="V3807" s="6" t="str">
        <f>IFERROR(__xludf.DUMMYFUNCTION("""COMPUTED_VALUE"""),"English")</f>
        <v>English</v>
      </c>
      <c r="W3807" s="6" t="str">
        <f>IFERROR(__xludf.DUMMYFUNCTION("""COMPUTED_VALUE"""),"[]")</f>
        <v>[]</v>
      </c>
      <c r="X3807" s="6" t="str">
        <f>IFERROR(__xludf.DUMMYFUNCTION("""COMPUTED_VALUE"""),"Enrolled")</f>
        <v>Enrolled</v>
      </c>
    </row>
    <row r="3808">
      <c r="A3808" s="6" t="str">
        <f>IFERROR(__xludf.DUMMYFUNCTION("""COMPUTED_VALUE"""),"068-10112")</f>
        <v>068-10112</v>
      </c>
      <c r="B3808" s="6" t="str">
        <f>IFERROR(__xludf.DUMMYFUNCTION("""COMPUTED_VALUE"""),"68")</f>
        <v>68</v>
      </c>
      <c r="C3808" s="6" t="str">
        <f>IFERROR(__xludf.DUMMYFUNCTION("""COMPUTED_VALUE"""),"10112")</f>
        <v>10112</v>
      </c>
      <c r="D3808" s="6" t="str">
        <f>IFERROR(__xludf.DUMMYFUNCTION("""COMPUTED_VALUE"""),"Murilo")</f>
        <v>Murilo</v>
      </c>
      <c r="E3808" s="6" t="str">
        <f>IFERROR(__xludf.DUMMYFUNCTION("""COMPUTED_VALUE"""),"")</f>
        <v/>
      </c>
      <c r="F3808" s="6" t="str">
        <f>IFERROR(__xludf.DUMMYFUNCTION("""COMPUTED_VALUE"""),"Franco")</f>
        <v>Franco</v>
      </c>
      <c r="G3808" s="6" t="str">
        <f>IFERROR(__xludf.DUMMYFUNCTION("""COMPUTED_VALUE"""),"01/02/2010")</f>
        <v>01/02/2010</v>
      </c>
      <c r="H3808" s="6" t="str">
        <f>IFERROR(__xludf.DUMMYFUNCTION("""COMPUTED_VALUE"""),"Self Identify")</f>
        <v>Self Identify</v>
      </c>
      <c r="I3808" s="6" t="str">
        <f>IFERROR(__xludf.DUMMYFUNCTION("""COMPUTED_VALUE"""),"High School")</f>
        <v>High School</v>
      </c>
      <c r="J3808" s="6" t="str">
        <f>IFERROR(__xludf.DUMMYFUNCTION("""COMPUTED_VALUE"""),"10")</f>
        <v>10</v>
      </c>
      <c r="K3808" s="6" t="str">
        <f>IFERROR(__xludf.DUMMYFUNCTION("""COMPUTED_VALUE"""),"murilo.franco@2hourlearning.com")</f>
        <v>murilo.franco@2hourlearning.com</v>
      </c>
      <c r="L3808" s="6" t="str">
        <f>IFERROR(__xludf.DUMMYFUNCTION("""COMPUTED_VALUE"""),"SPIRE Academy")</f>
        <v>SPIRE Academy</v>
      </c>
      <c r="M3808" s="6" t="str">
        <f>IFERROR(__xludf.DUMMYFUNCTION("""COMPUTED_VALUE"""),"")</f>
        <v/>
      </c>
      <c r="N3808" s="6" t="str">
        <f>IFERROR(__xludf.DUMMYFUNCTION("""COMPUTED_VALUE"""),"")</f>
        <v/>
      </c>
      <c r="O3808" s="87" t="str">
        <f>IFERROR(__xludf.DUMMYFUNCTION("""COMPUTED_VALUE"""),"https://drive.google.com/drive/folders/10T2cTQHqEJZqE-st6uFKPoI?usp=share_link")</f>
        <v>https://drive.google.com/drive/folders/10T2cTQHqEJZqE-st6uFKPoI?usp=share_link</v>
      </c>
      <c r="P3808" s="6" t="str">
        <f>IFERROR(__xludf.DUMMYFUNCTION("""COMPUTED_VALUE"""),"Murilo Franco")</f>
        <v>Murilo Franco</v>
      </c>
      <c r="Q3808" s="6" t="str">
        <f>IFERROR(__xludf.DUMMYFUNCTION("""COMPUTED_VALUE"""),"HS")</f>
        <v>HS</v>
      </c>
      <c r="R3808" s="6">
        <f>IFERROR(__xludf.DUMMYFUNCTION("""COMPUTED_VALUE"""),0.0)</f>
        <v>0</v>
      </c>
      <c r="S3808" s="6" t="str">
        <f>IFERROR(__xludf.DUMMYFUNCTION("""COMPUTED_VALUE""")," ")</f>
        <v> </v>
      </c>
      <c r="T3808" s="6" t="str">
        <f>IFERROR(__xludf.DUMMYFUNCTION("""COMPUTED_VALUE"""),"")</f>
        <v/>
      </c>
      <c r="U3808" s="6" t="str">
        <f>IFERROR(__xludf.DUMMYFUNCTION("""COMPUTED_VALUE"""),"10")</f>
        <v>10</v>
      </c>
      <c r="V3808" s="6" t="str">
        <f>IFERROR(__xludf.DUMMYFUNCTION("""COMPUTED_VALUE"""),"English")</f>
        <v>English</v>
      </c>
      <c r="W3808" s="6" t="str">
        <f>IFERROR(__xludf.DUMMYFUNCTION("""COMPUTED_VALUE"""),"[]")</f>
        <v>[]</v>
      </c>
      <c r="X3808" s="6" t="str">
        <f>IFERROR(__xludf.DUMMYFUNCTION("""COMPUTED_VALUE"""),"Enrolled")</f>
        <v>Enrolled</v>
      </c>
    </row>
    <row r="3809">
      <c r="A3809" s="6" t="str">
        <f>IFERROR(__xludf.DUMMYFUNCTION("""COMPUTED_VALUE"""),"068-10113")</f>
        <v>068-10113</v>
      </c>
      <c r="B3809" s="6" t="str">
        <f>IFERROR(__xludf.DUMMYFUNCTION("""COMPUTED_VALUE"""),"68")</f>
        <v>68</v>
      </c>
      <c r="C3809" s="6" t="str">
        <f>IFERROR(__xludf.DUMMYFUNCTION("""COMPUTED_VALUE"""),"10113")</f>
        <v>10113</v>
      </c>
      <c r="D3809" s="6" t="str">
        <f>IFERROR(__xludf.DUMMYFUNCTION("""COMPUTED_VALUE"""),"Ezekiel")</f>
        <v>Ezekiel</v>
      </c>
      <c r="E3809" s="6" t="str">
        <f>IFERROR(__xludf.DUMMYFUNCTION("""COMPUTED_VALUE"""),"")</f>
        <v/>
      </c>
      <c r="F3809" s="6" t="str">
        <f>IFERROR(__xludf.DUMMYFUNCTION("""COMPUTED_VALUE"""),"Fue")</f>
        <v>Fue</v>
      </c>
      <c r="G3809" s="6" t="str">
        <f>IFERROR(__xludf.DUMMYFUNCTION("""COMPUTED_VALUE"""),"10/13/2010")</f>
        <v>10/13/2010</v>
      </c>
      <c r="H3809" s="6" t="str">
        <f>IFERROR(__xludf.DUMMYFUNCTION("""COMPUTED_VALUE"""),"Self Identify")</f>
        <v>Self Identify</v>
      </c>
      <c r="I3809" s="6" t="str">
        <f>IFERROR(__xludf.DUMMYFUNCTION("""COMPUTED_VALUE"""),"High School")</f>
        <v>High School</v>
      </c>
      <c r="J3809" s="6" t="str">
        <f>IFERROR(__xludf.DUMMYFUNCTION("""COMPUTED_VALUE"""),"10")</f>
        <v>10</v>
      </c>
      <c r="K3809" s="6" t="str">
        <f>IFERROR(__xludf.DUMMYFUNCTION("""COMPUTED_VALUE"""),"ezekiel.fue@2hourlearning.com")</f>
        <v>ezekiel.fue@2hourlearning.com</v>
      </c>
      <c r="L3809" s="6" t="str">
        <f>IFERROR(__xludf.DUMMYFUNCTION("""COMPUTED_VALUE"""),"SPIRE Academy")</f>
        <v>SPIRE Academy</v>
      </c>
      <c r="M3809" s="6" t="str">
        <f>IFERROR(__xludf.DUMMYFUNCTION("""COMPUTED_VALUE"""),"")</f>
        <v/>
      </c>
      <c r="N3809" s="6" t="str">
        <f>IFERROR(__xludf.DUMMYFUNCTION("""COMPUTED_VALUE"""),"")</f>
        <v/>
      </c>
      <c r="O3809" s="87" t="str">
        <f>IFERROR(__xludf.DUMMYFUNCTION("""COMPUTED_VALUE"""),"https://drive.google.com/drive/folders/10T2cTQHqEJZqE-st6uFKPoI?usp=share_link")</f>
        <v>https://drive.google.com/drive/folders/10T2cTQHqEJZqE-st6uFKPoI?usp=share_link</v>
      </c>
      <c r="P3809" s="6" t="str">
        <f>IFERROR(__xludf.DUMMYFUNCTION("""COMPUTED_VALUE"""),"Ezekiel Fue")</f>
        <v>Ezekiel Fue</v>
      </c>
      <c r="Q3809" s="6" t="str">
        <f>IFERROR(__xludf.DUMMYFUNCTION("""COMPUTED_VALUE"""),"HS")</f>
        <v>HS</v>
      </c>
      <c r="R3809" s="6">
        <f>IFERROR(__xludf.DUMMYFUNCTION("""COMPUTED_VALUE"""),0.0)</f>
        <v>0</v>
      </c>
      <c r="S3809" s="6" t="str">
        <f>IFERROR(__xludf.DUMMYFUNCTION("""COMPUTED_VALUE""")," ")</f>
        <v> </v>
      </c>
      <c r="T3809" s="6" t="str">
        <f>IFERROR(__xludf.DUMMYFUNCTION("""COMPUTED_VALUE"""),"")</f>
        <v/>
      </c>
      <c r="U3809" s="6" t="str">
        <f>IFERROR(__xludf.DUMMYFUNCTION("""COMPUTED_VALUE"""),"10")</f>
        <v>10</v>
      </c>
      <c r="V3809" s="6" t="str">
        <f>IFERROR(__xludf.DUMMYFUNCTION("""COMPUTED_VALUE"""),"English")</f>
        <v>English</v>
      </c>
      <c r="W3809" s="6" t="str">
        <f>IFERROR(__xludf.DUMMYFUNCTION("""COMPUTED_VALUE"""),"[]")</f>
        <v>[]</v>
      </c>
      <c r="X3809" s="6" t="str">
        <f>IFERROR(__xludf.DUMMYFUNCTION("""COMPUTED_VALUE"""),"Enrolled")</f>
        <v>Enrolled</v>
      </c>
    </row>
    <row r="3810">
      <c r="A3810" s="6" t="str">
        <f>IFERROR(__xludf.DUMMYFUNCTION("""COMPUTED_VALUE"""),"068-10114")</f>
        <v>068-10114</v>
      </c>
      <c r="B3810" s="6" t="str">
        <f>IFERROR(__xludf.DUMMYFUNCTION("""COMPUTED_VALUE"""),"68")</f>
        <v>68</v>
      </c>
      <c r="C3810" s="6" t="str">
        <f>IFERROR(__xludf.DUMMYFUNCTION("""COMPUTED_VALUE"""),"10114")</f>
        <v>10114</v>
      </c>
      <c r="D3810" s="6" t="str">
        <f>IFERROR(__xludf.DUMMYFUNCTION("""COMPUTED_VALUE"""),"John")</f>
        <v>John</v>
      </c>
      <c r="E3810" s="6" t="str">
        <f>IFERROR(__xludf.DUMMYFUNCTION("""COMPUTED_VALUE"""),"")</f>
        <v/>
      </c>
      <c r="F3810" s="6" t="str">
        <f>IFERROR(__xludf.DUMMYFUNCTION("""COMPUTED_VALUE"""),"Fue")</f>
        <v>Fue</v>
      </c>
      <c r="G3810" s="6" t="str">
        <f>IFERROR(__xludf.DUMMYFUNCTION("""COMPUTED_VALUE"""),"03/10/2007")</f>
        <v>03/10/2007</v>
      </c>
      <c r="H3810" s="6" t="str">
        <f>IFERROR(__xludf.DUMMYFUNCTION("""COMPUTED_VALUE"""),"Self Identify")</f>
        <v>Self Identify</v>
      </c>
      <c r="I3810" s="6" t="str">
        <f>IFERROR(__xludf.DUMMYFUNCTION("""COMPUTED_VALUE"""),"High School")</f>
        <v>High School</v>
      </c>
      <c r="J3810" s="6" t="str">
        <f>IFERROR(__xludf.DUMMYFUNCTION("""COMPUTED_VALUE"""),"12")</f>
        <v>12</v>
      </c>
      <c r="K3810" s="6" t="str">
        <f>IFERROR(__xludf.DUMMYFUNCTION("""COMPUTED_VALUE"""),"john.fue@2hourlearning.com")</f>
        <v>john.fue@2hourlearning.com</v>
      </c>
      <c r="L3810" s="6" t="str">
        <f>IFERROR(__xludf.DUMMYFUNCTION("""COMPUTED_VALUE"""),"SPIRE Academy")</f>
        <v>SPIRE Academy</v>
      </c>
      <c r="M3810" s="6" t="str">
        <f>IFERROR(__xludf.DUMMYFUNCTION("""COMPUTED_VALUE"""),"")</f>
        <v/>
      </c>
      <c r="N3810" s="6" t="str">
        <f>IFERROR(__xludf.DUMMYFUNCTION("""COMPUTED_VALUE"""),"")</f>
        <v/>
      </c>
      <c r="O3810" s="87" t="str">
        <f>IFERROR(__xludf.DUMMYFUNCTION("""COMPUTED_VALUE"""),"https://drive.google.com/drive/folders/10T2cTQHqEJZqE-st6uFKPoI?usp=share_link")</f>
        <v>https://drive.google.com/drive/folders/10T2cTQHqEJZqE-st6uFKPoI?usp=share_link</v>
      </c>
      <c r="P3810" s="6" t="str">
        <f>IFERROR(__xludf.DUMMYFUNCTION("""COMPUTED_VALUE"""),"John Fue")</f>
        <v>John Fue</v>
      </c>
      <c r="Q3810" s="6" t="str">
        <f>IFERROR(__xludf.DUMMYFUNCTION("""COMPUTED_VALUE"""),"HS")</f>
        <v>HS</v>
      </c>
      <c r="R3810" s="6">
        <f>IFERROR(__xludf.DUMMYFUNCTION("""COMPUTED_VALUE"""),0.0)</f>
        <v>0</v>
      </c>
      <c r="S3810" s="6" t="str">
        <f>IFERROR(__xludf.DUMMYFUNCTION("""COMPUTED_VALUE""")," ")</f>
        <v> </v>
      </c>
      <c r="T3810" s="6" t="str">
        <f>IFERROR(__xludf.DUMMYFUNCTION("""COMPUTED_VALUE"""),"")</f>
        <v/>
      </c>
      <c r="U3810" s="6" t="str">
        <f>IFERROR(__xludf.DUMMYFUNCTION("""COMPUTED_VALUE"""),"12")</f>
        <v>12</v>
      </c>
      <c r="V3810" s="6" t="str">
        <f>IFERROR(__xludf.DUMMYFUNCTION("""COMPUTED_VALUE"""),"English")</f>
        <v>English</v>
      </c>
      <c r="W3810" s="6" t="str">
        <f>IFERROR(__xludf.DUMMYFUNCTION("""COMPUTED_VALUE"""),"[]")</f>
        <v>[]</v>
      </c>
      <c r="X3810" s="6" t="str">
        <f>IFERROR(__xludf.DUMMYFUNCTION("""COMPUTED_VALUE"""),"Enrolled")</f>
        <v>Enrolled</v>
      </c>
    </row>
    <row r="3811">
      <c r="A3811" s="6" t="str">
        <f>IFERROR(__xludf.DUMMYFUNCTION("""COMPUTED_VALUE"""),"068-10115")</f>
        <v>068-10115</v>
      </c>
      <c r="B3811" s="6" t="str">
        <f>IFERROR(__xludf.DUMMYFUNCTION("""COMPUTED_VALUE"""),"68")</f>
        <v>68</v>
      </c>
      <c r="C3811" s="6" t="str">
        <f>IFERROR(__xludf.DUMMYFUNCTION("""COMPUTED_VALUE"""),"10115")</f>
        <v>10115</v>
      </c>
      <c r="D3811" s="6" t="str">
        <f>IFERROR(__xludf.DUMMYFUNCTION("""COMPUTED_VALUE"""),"Ethan")</f>
        <v>Ethan</v>
      </c>
      <c r="E3811" s="6" t="str">
        <f>IFERROR(__xludf.DUMMYFUNCTION("""COMPUTED_VALUE"""),"")</f>
        <v/>
      </c>
      <c r="F3811" s="6" t="str">
        <f>IFERROR(__xludf.DUMMYFUNCTION("""COMPUTED_VALUE"""),"Gaynor")</f>
        <v>Gaynor</v>
      </c>
      <c r="G3811" s="6" t="str">
        <f>IFERROR(__xludf.DUMMYFUNCTION("""COMPUTED_VALUE"""),"10/14/2008")</f>
        <v>10/14/2008</v>
      </c>
      <c r="H3811" s="6" t="str">
        <f>IFERROR(__xludf.DUMMYFUNCTION("""COMPUTED_VALUE"""),"Self Identify")</f>
        <v>Self Identify</v>
      </c>
      <c r="I3811" s="6" t="str">
        <f>IFERROR(__xludf.DUMMYFUNCTION("""COMPUTED_VALUE"""),"High School")</f>
        <v>High School</v>
      </c>
      <c r="J3811" s="6" t="str">
        <f>IFERROR(__xludf.DUMMYFUNCTION("""COMPUTED_VALUE"""),"11")</f>
        <v>11</v>
      </c>
      <c r="K3811" s="6" t="str">
        <f>IFERROR(__xludf.DUMMYFUNCTION("""COMPUTED_VALUE"""),"ethan.gaynor@2hourlearning.com")</f>
        <v>ethan.gaynor@2hourlearning.com</v>
      </c>
      <c r="L3811" s="6" t="str">
        <f>IFERROR(__xludf.DUMMYFUNCTION("""COMPUTED_VALUE"""),"SPIRE Academy")</f>
        <v>SPIRE Academy</v>
      </c>
      <c r="M3811" s="6" t="str">
        <f>IFERROR(__xludf.DUMMYFUNCTION("""COMPUTED_VALUE"""),"")</f>
        <v/>
      </c>
      <c r="N3811" s="6" t="str">
        <f>IFERROR(__xludf.DUMMYFUNCTION("""COMPUTED_VALUE"""),"")</f>
        <v/>
      </c>
      <c r="O3811" s="87" t="str">
        <f>IFERROR(__xludf.DUMMYFUNCTION("""COMPUTED_VALUE"""),"https://drive.google.com/drive/folders/10T2cTQHqEJZqE-st6uFKPoI?usp=share_link")</f>
        <v>https://drive.google.com/drive/folders/10T2cTQHqEJZqE-st6uFKPoI?usp=share_link</v>
      </c>
      <c r="P3811" s="6" t="str">
        <f>IFERROR(__xludf.DUMMYFUNCTION("""COMPUTED_VALUE"""),"Ethan Gaynor")</f>
        <v>Ethan Gaynor</v>
      </c>
      <c r="Q3811" s="6" t="str">
        <f>IFERROR(__xludf.DUMMYFUNCTION("""COMPUTED_VALUE"""),"HS")</f>
        <v>HS</v>
      </c>
      <c r="R3811" s="6">
        <f>IFERROR(__xludf.DUMMYFUNCTION("""COMPUTED_VALUE"""),0.0)</f>
        <v>0</v>
      </c>
      <c r="S3811" s="6" t="str">
        <f>IFERROR(__xludf.DUMMYFUNCTION("""COMPUTED_VALUE""")," ")</f>
        <v> </v>
      </c>
      <c r="T3811" s="6" t="str">
        <f>IFERROR(__xludf.DUMMYFUNCTION("""COMPUTED_VALUE"""),"")</f>
        <v/>
      </c>
      <c r="U3811" s="6" t="str">
        <f>IFERROR(__xludf.DUMMYFUNCTION("""COMPUTED_VALUE"""),"11")</f>
        <v>11</v>
      </c>
      <c r="V3811" s="6" t="str">
        <f>IFERROR(__xludf.DUMMYFUNCTION("""COMPUTED_VALUE"""),"English")</f>
        <v>English</v>
      </c>
      <c r="W3811" s="6" t="str">
        <f>IFERROR(__xludf.DUMMYFUNCTION("""COMPUTED_VALUE"""),"[]")</f>
        <v>[]</v>
      </c>
      <c r="X3811" s="6" t="str">
        <f>IFERROR(__xludf.DUMMYFUNCTION("""COMPUTED_VALUE"""),"Enrolled")</f>
        <v>Enrolled</v>
      </c>
    </row>
    <row r="3812">
      <c r="A3812" s="6" t="str">
        <f>IFERROR(__xludf.DUMMYFUNCTION("""COMPUTED_VALUE"""),"068-10116")</f>
        <v>068-10116</v>
      </c>
      <c r="B3812" s="6" t="str">
        <f>IFERROR(__xludf.DUMMYFUNCTION("""COMPUTED_VALUE"""),"68")</f>
        <v>68</v>
      </c>
      <c r="C3812" s="6" t="str">
        <f>IFERROR(__xludf.DUMMYFUNCTION("""COMPUTED_VALUE"""),"10116")</f>
        <v>10116</v>
      </c>
      <c r="D3812" s="6" t="str">
        <f>IFERROR(__xludf.DUMMYFUNCTION("""COMPUTED_VALUE"""),"King")</f>
        <v>King</v>
      </c>
      <c r="E3812" s="6" t="str">
        <f>IFERROR(__xludf.DUMMYFUNCTION("""COMPUTED_VALUE"""),"")</f>
        <v/>
      </c>
      <c r="F3812" s="6" t="str">
        <f>IFERROR(__xludf.DUMMYFUNCTION("""COMPUTED_VALUE"""),"Gibson")</f>
        <v>Gibson</v>
      </c>
      <c r="G3812" s="6" t="str">
        <f>IFERROR(__xludf.DUMMYFUNCTION("""COMPUTED_VALUE"""),"09/11/2007")</f>
        <v>09/11/2007</v>
      </c>
      <c r="H3812" s="6" t="str">
        <f>IFERROR(__xludf.DUMMYFUNCTION("""COMPUTED_VALUE"""),"Self Identify")</f>
        <v>Self Identify</v>
      </c>
      <c r="I3812" s="6" t="str">
        <f>IFERROR(__xludf.DUMMYFUNCTION("""COMPUTED_VALUE"""),"High School")</f>
        <v>High School</v>
      </c>
      <c r="J3812" s="6" t="str">
        <f>IFERROR(__xludf.DUMMYFUNCTION("""COMPUTED_VALUE"""),"11")</f>
        <v>11</v>
      </c>
      <c r="K3812" s="6" t="str">
        <f>IFERROR(__xludf.DUMMYFUNCTION("""COMPUTED_VALUE"""),"king.gibson@2hourlearning.com")</f>
        <v>king.gibson@2hourlearning.com</v>
      </c>
      <c r="L3812" s="6" t="str">
        <f>IFERROR(__xludf.DUMMYFUNCTION("""COMPUTED_VALUE"""),"SPIRE Academy")</f>
        <v>SPIRE Academy</v>
      </c>
      <c r="M3812" s="6" t="str">
        <f>IFERROR(__xludf.DUMMYFUNCTION("""COMPUTED_VALUE"""),"")</f>
        <v/>
      </c>
      <c r="N3812" s="6" t="str">
        <f>IFERROR(__xludf.DUMMYFUNCTION("""COMPUTED_VALUE"""),"")</f>
        <v/>
      </c>
      <c r="O3812" s="87" t="str">
        <f>IFERROR(__xludf.DUMMYFUNCTION("""COMPUTED_VALUE"""),"https://drive.google.com/drive/folders/10T2cTQHqEJZqE-st6uFKPoI?usp=share_link")</f>
        <v>https://drive.google.com/drive/folders/10T2cTQHqEJZqE-st6uFKPoI?usp=share_link</v>
      </c>
      <c r="P3812" s="6" t="str">
        <f>IFERROR(__xludf.DUMMYFUNCTION("""COMPUTED_VALUE"""),"King Gibson")</f>
        <v>King Gibson</v>
      </c>
      <c r="Q3812" s="6" t="str">
        <f>IFERROR(__xludf.DUMMYFUNCTION("""COMPUTED_VALUE"""),"HS")</f>
        <v>HS</v>
      </c>
      <c r="R3812" s="6">
        <f>IFERROR(__xludf.DUMMYFUNCTION("""COMPUTED_VALUE"""),0.0)</f>
        <v>0</v>
      </c>
      <c r="S3812" s="6" t="str">
        <f>IFERROR(__xludf.DUMMYFUNCTION("""COMPUTED_VALUE""")," ")</f>
        <v> </v>
      </c>
      <c r="T3812" s="6" t="str">
        <f>IFERROR(__xludf.DUMMYFUNCTION("""COMPUTED_VALUE"""),"")</f>
        <v/>
      </c>
      <c r="U3812" s="6" t="str">
        <f>IFERROR(__xludf.DUMMYFUNCTION("""COMPUTED_VALUE"""),"11")</f>
        <v>11</v>
      </c>
      <c r="V3812" s="6" t="str">
        <f>IFERROR(__xludf.DUMMYFUNCTION("""COMPUTED_VALUE"""),"English")</f>
        <v>English</v>
      </c>
      <c r="W3812" s="6" t="str">
        <f>IFERROR(__xludf.DUMMYFUNCTION("""COMPUTED_VALUE"""),"[]")</f>
        <v>[]</v>
      </c>
      <c r="X3812" s="6" t="str">
        <f>IFERROR(__xludf.DUMMYFUNCTION("""COMPUTED_VALUE"""),"Enrolled")</f>
        <v>Enrolled</v>
      </c>
    </row>
    <row r="3813">
      <c r="A3813" s="6" t="str">
        <f>IFERROR(__xludf.DUMMYFUNCTION("""COMPUTED_VALUE"""),"068-10117")</f>
        <v>068-10117</v>
      </c>
      <c r="B3813" s="6" t="str">
        <f>IFERROR(__xludf.DUMMYFUNCTION("""COMPUTED_VALUE"""),"68")</f>
        <v>68</v>
      </c>
      <c r="C3813" s="6" t="str">
        <f>IFERROR(__xludf.DUMMYFUNCTION("""COMPUTED_VALUE"""),"10117")</f>
        <v>10117</v>
      </c>
      <c r="D3813" s="6" t="str">
        <f>IFERROR(__xludf.DUMMYFUNCTION("""COMPUTED_VALUE"""),"Aryan")</f>
        <v>Aryan</v>
      </c>
      <c r="E3813" s="6" t="str">
        <f>IFERROR(__xludf.DUMMYFUNCTION("""COMPUTED_VALUE"""),"")</f>
        <v/>
      </c>
      <c r="F3813" s="6" t="str">
        <f>IFERROR(__xludf.DUMMYFUNCTION("""COMPUTED_VALUE"""),"Gomes")</f>
        <v>Gomes</v>
      </c>
      <c r="G3813" s="6" t="str">
        <f>IFERROR(__xludf.DUMMYFUNCTION("""COMPUTED_VALUE"""),"08/28/2007")</f>
        <v>08/28/2007</v>
      </c>
      <c r="H3813" s="6" t="str">
        <f>IFERROR(__xludf.DUMMYFUNCTION("""COMPUTED_VALUE"""),"Self Identify")</f>
        <v>Self Identify</v>
      </c>
      <c r="I3813" s="6" t="str">
        <f>IFERROR(__xludf.DUMMYFUNCTION("""COMPUTED_VALUE"""),"High School")</f>
        <v>High School</v>
      </c>
      <c r="J3813" s="6" t="str">
        <f>IFERROR(__xludf.DUMMYFUNCTION("""COMPUTED_VALUE"""),"12")</f>
        <v>12</v>
      </c>
      <c r="K3813" s="6" t="str">
        <f>IFERROR(__xludf.DUMMYFUNCTION("""COMPUTED_VALUE"""),"aryan.gomes@2hourlearning.com")</f>
        <v>aryan.gomes@2hourlearning.com</v>
      </c>
      <c r="L3813" s="6" t="str">
        <f>IFERROR(__xludf.DUMMYFUNCTION("""COMPUTED_VALUE"""),"SPIRE Academy")</f>
        <v>SPIRE Academy</v>
      </c>
      <c r="M3813" s="6" t="str">
        <f>IFERROR(__xludf.DUMMYFUNCTION("""COMPUTED_VALUE"""),"")</f>
        <v/>
      </c>
      <c r="N3813" s="6" t="str">
        <f>IFERROR(__xludf.DUMMYFUNCTION("""COMPUTED_VALUE"""),"")</f>
        <v/>
      </c>
      <c r="O3813" s="87" t="str">
        <f>IFERROR(__xludf.DUMMYFUNCTION("""COMPUTED_VALUE"""),"https://drive.google.com/drive/folders/10T2cTQHqEJZqE-st6uFKPoI?usp=share_link")</f>
        <v>https://drive.google.com/drive/folders/10T2cTQHqEJZqE-st6uFKPoI?usp=share_link</v>
      </c>
      <c r="P3813" s="6" t="str">
        <f>IFERROR(__xludf.DUMMYFUNCTION("""COMPUTED_VALUE"""),"Aryan Gomes")</f>
        <v>Aryan Gomes</v>
      </c>
      <c r="Q3813" s="6" t="str">
        <f>IFERROR(__xludf.DUMMYFUNCTION("""COMPUTED_VALUE"""),"HS")</f>
        <v>HS</v>
      </c>
      <c r="R3813" s="6">
        <f>IFERROR(__xludf.DUMMYFUNCTION("""COMPUTED_VALUE"""),0.0)</f>
        <v>0</v>
      </c>
      <c r="S3813" s="6" t="str">
        <f>IFERROR(__xludf.DUMMYFUNCTION("""COMPUTED_VALUE""")," ")</f>
        <v> </v>
      </c>
      <c r="T3813" s="6" t="str">
        <f>IFERROR(__xludf.DUMMYFUNCTION("""COMPUTED_VALUE"""),"")</f>
        <v/>
      </c>
      <c r="U3813" s="6" t="str">
        <f>IFERROR(__xludf.DUMMYFUNCTION("""COMPUTED_VALUE"""),"12")</f>
        <v>12</v>
      </c>
      <c r="V3813" s="6" t="str">
        <f>IFERROR(__xludf.DUMMYFUNCTION("""COMPUTED_VALUE"""),"English")</f>
        <v>English</v>
      </c>
      <c r="W3813" s="6" t="str">
        <f>IFERROR(__xludf.DUMMYFUNCTION("""COMPUTED_VALUE"""),"[]")</f>
        <v>[]</v>
      </c>
      <c r="X3813" s="6" t="str">
        <f>IFERROR(__xludf.DUMMYFUNCTION("""COMPUTED_VALUE"""),"Enrolled")</f>
        <v>Enrolled</v>
      </c>
    </row>
    <row r="3814">
      <c r="A3814" s="6" t="str">
        <f>IFERROR(__xludf.DUMMYFUNCTION("""COMPUTED_VALUE"""),"068-10118")</f>
        <v>068-10118</v>
      </c>
      <c r="B3814" s="6" t="str">
        <f>IFERROR(__xludf.DUMMYFUNCTION("""COMPUTED_VALUE"""),"68")</f>
        <v>68</v>
      </c>
      <c r="C3814" s="6" t="str">
        <f>IFERROR(__xludf.DUMMYFUNCTION("""COMPUTED_VALUE"""),"10118")</f>
        <v>10118</v>
      </c>
      <c r="D3814" s="6" t="str">
        <f>IFERROR(__xludf.DUMMYFUNCTION("""COMPUTED_VALUE"""),"Julianie")</f>
        <v>Julianie</v>
      </c>
      <c r="E3814" s="6" t="str">
        <f>IFERROR(__xludf.DUMMYFUNCTION("""COMPUTED_VALUE"""),"")</f>
        <v/>
      </c>
      <c r="F3814" s="6" t="str">
        <f>IFERROR(__xludf.DUMMYFUNCTION("""COMPUTED_VALUE"""),"Gonzague")</f>
        <v>Gonzague</v>
      </c>
      <c r="G3814" s="6" t="str">
        <f>IFERROR(__xludf.DUMMYFUNCTION("""COMPUTED_VALUE"""),"05/05/2011")</f>
        <v>05/05/2011</v>
      </c>
      <c r="H3814" s="6" t="str">
        <f>IFERROR(__xludf.DUMMYFUNCTION("""COMPUTED_VALUE"""),"Self Identify")</f>
        <v>Self Identify</v>
      </c>
      <c r="I3814" s="6" t="str">
        <f>IFERROR(__xludf.DUMMYFUNCTION("""COMPUTED_VALUE"""),"High School")</f>
        <v>High School</v>
      </c>
      <c r="J3814" s="6" t="str">
        <f>IFERROR(__xludf.DUMMYFUNCTION("""COMPUTED_VALUE"""),"9")</f>
        <v>9</v>
      </c>
      <c r="K3814" s="6" t="str">
        <f>IFERROR(__xludf.DUMMYFUNCTION("""COMPUTED_VALUE"""),"julianie.gonzague@2hourlearning.com")</f>
        <v>julianie.gonzague@2hourlearning.com</v>
      </c>
      <c r="L3814" s="6" t="str">
        <f>IFERROR(__xludf.DUMMYFUNCTION("""COMPUTED_VALUE"""),"SPIRE Academy")</f>
        <v>SPIRE Academy</v>
      </c>
      <c r="M3814" s="6" t="str">
        <f>IFERROR(__xludf.DUMMYFUNCTION("""COMPUTED_VALUE"""),"")</f>
        <v/>
      </c>
      <c r="N3814" s="6" t="str">
        <f>IFERROR(__xludf.DUMMYFUNCTION("""COMPUTED_VALUE"""),"")</f>
        <v/>
      </c>
      <c r="O3814" s="87" t="str">
        <f>IFERROR(__xludf.DUMMYFUNCTION("""COMPUTED_VALUE"""),"https://drive.google.com/drive/folders/10T2cTQHqEJZqE-st6uFKPoI?usp=share_link")</f>
        <v>https://drive.google.com/drive/folders/10T2cTQHqEJZqE-st6uFKPoI?usp=share_link</v>
      </c>
      <c r="P3814" s="6" t="str">
        <f>IFERROR(__xludf.DUMMYFUNCTION("""COMPUTED_VALUE"""),"Julianie Gonzague")</f>
        <v>Julianie Gonzague</v>
      </c>
      <c r="Q3814" s="6" t="str">
        <f>IFERROR(__xludf.DUMMYFUNCTION("""COMPUTED_VALUE"""),"HS")</f>
        <v>HS</v>
      </c>
      <c r="R3814" s="6">
        <f>IFERROR(__xludf.DUMMYFUNCTION("""COMPUTED_VALUE"""),0.0)</f>
        <v>0</v>
      </c>
      <c r="S3814" s="6" t="str">
        <f>IFERROR(__xludf.DUMMYFUNCTION("""COMPUTED_VALUE""")," ")</f>
        <v> </v>
      </c>
      <c r="T3814" s="6" t="str">
        <f>IFERROR(__xludf.DUMMYFUNCTION("""COMPUTED_VALUE"""),"")</f>
        <v/>
      </c>
      <c r="U3814" s="6" t="str">
        <f>IFERROR(__xludf.DUMMYFUNCTION("""COMPUTED_VALUE"""),"9")</f>
        <v>9</v>
      </c>
      <c r="V3814" s="6" t="str">
        <f>IFERROR(__xludf.DUMMYFUNCTION("""COMPUTED_VALUE"""),"English")</f>
        <v>English</v>
      </c>
      <c r="W3814" s="6" t="str">
        <f>IFERROR(__xludf.DUMMYFUNCTION("""COMPUTED_VALUE"""),"[]")</f>
        <v>[]</v>
      </c>
      <c r="X3814" s="6" t="str">
        <f>IFERROR(__xludf.DUMMYFUNCTION("""COMPUTED_VALUE"""),"Enrolled")</f>
        <v>Enrolled</v>
      </c>
    </row>
    <row r="3815">
      <c r="A3815" s="6" t="str">
        <f>IFERROR(__xludf.DUMMYFUNCTION("""COMPUTED_VALUE"""),"068-10119")</f>
        <v>068-10119</v>
      </c>
      <c r="B3815" s="6" t="str">
        <f>IFERROR(__xludf.DUMMYFUNCTION("""COMPUTED_VALUE"""),"68")</f>
        <v>68</v>
      </c>
      <c r="C3815" s="6" t="str">
        <f>IFERROR(__xludf.DUMMYFUNCTION("""COMPUTED_VALUE"""),"10119")</f>
        <v>10119</v>
      </c>
      <c r="D3815" s="6" t="str">
        <f>IFERROR(__xludf.DUMMYFUNCTION("""COMPUTED_VALUE"""),"Mateo")</f>
        <v>Mateo</v>
      </c>
      <c r="E3815" s="6" t="str">
        <f>IFERROR(__xludf.DUMMYFUNCTION("""COMPUTED_VALUE"""),"")</f>
        <v/>
      </c>
      <c r="F3815" s="6" t="str">
        <f>IFERROR(__xludf.DUMMYFUNCTION("""COMPUTED_VALUE"""),"Gonzalo German")</f>
        <v>Gonzalo German</v>
      </c>
      <c r="G3815" s="6" t="str">
        <f>IFERROR(__xludf.DUMMYFUNCTION("""COMPUTED_VALUE"""),"04/29/2010")</f>
        <v>04/29/2010</v>
      </c>
      <c r="H3815" s="6" t="str">
        <f>IFERROR(__xludf.DUMMYFUNCTION("""COMPUTED_VALUE"""),"Self Identify")</f>
        <v>Self Identify</v>
      </c>
      <c r="I3815" s="6" t="str">
        <f>IFERROR(__xludf.DUMMYFUNCTION("""COMPUTED_VALUE"""),"High School")</f>
        <v>High School</v>
      </c>
      <c r="J3815" s="6" t="str">
        <f>IFERROR(__xludf.DUMMYFUNCTION("""COMPUTED_VALUE"""),"10")</f>
        <v>10</v>
      </c>
      <c r="K3815" s="6" t="str">
        <f>IFERROR(__xludf.DUMMYFUNCTION("""COMPUTED_VALUE"""),"mateo.gonzalogerman@2hourlearning.com")</f>
        <v>mateo.gonzalogerman@2hourlearning.com</v>
      </c>
      <c r="L3815" s="6" t="str">
        <f>IFERROR(__xludf.DUMMYFUNCTION("""COMPUTED_VALUE"""),"SPIRE Academy")</f>
        <v>SPIRE Academy</v>
      </c>
      <c r="M3815" s="6" t="str">
        <f>IFERROR(__xludf.DUMMYFUNCTION("""COMPUTED_VALUE"""),"")</f>
        <v/>
      </c>
      <c r="N3815" s="6" t="str">
        <f>IFERROR(__xludf.DUMMYFUNCTION("""COMPUTED_VALUE"""),"")</f>
        <v/>
      </c>
      <c r="O3815" s="87" t="str">
        <f>IFERROR(__xludf.DUMMYFUNCTION("""COMPUTED_VALUE"""),"https://drive.google.com/drive/folders/10T2cTQHqEJZqE-st6uFKPoI?usp=share_link")</f>
        <v>https://drive.google.com/drive/folders/10T2cTQHqEJZqE-st6uFKPoI?usp=share_link</v>
      </c>
      <c r="P3815" s="6" t="str">
        <f>IFERROR(__xludf.DUMMYFUNCTION("""COMPUTED_VALUE"""),"Mateo Gonzalo German")</f>
        <v>Mateo Gonzalo German</v>
      </c>
      <c r="Q3815" s="6" t="str">
        <f>IFERROR(__xludf.DUMMYFUNCTION("""COMPUTED_VALUE"""),"HS")</f>
        <v>HS</v>
      </c>
      <c r="R3815" s="6">
        <f>IFERROR(__xludf.DUMMYFUNCTION("""COMPUTED_VALUE"""),0.0)</f>
        <v>0</v>
      </c>
      <c r="S3815" s="6" t="str">
        <f>IFERROR(__xludf.DUMMYFUNCTION("""COMPUTED_VALUE""")," ")</f>
        <v> </v>
      </c>
      <c r="T3815" s="6" t="str">
        <f>IFERROR(__xludf.DUMMYFUNCTION("""COMPUTED_VALUE"""),"")</f>
        <v/>
      </c>
      <c r="U3815" s="6" t="str">
        <f>IFERROR(__xludf.DUMMYFUNCTION("""COMPUTED_VALUE"""),"10")</f>
        <v>10</v>
      </c>
      <c r="V3815" s="6" t="str">
        <f>IFERROR(__xludf.DUMMYFUNCTION("""COMPUTED_VALUE"""),"English")</f>
        <v>English</v>
      </c>
      <c r="W3815" s="6" t="str">
        <f>IFERROR(__xludf.DUMMYFUNCTION("""COMPUTED_VALUE"""),"[]")</f>
        <v>[]</v>
      </c>
      <c r="X3815" s="6" t="str">
        <f>IFERROR(__xludf.DUMMYFUNCTION("""COMPUTED_VALUE"""),"Enrolled")</f>
        <v>Enrolled</v>
      </c>
    </row>
    <row r="3816">
      <c r="A3816" s="6" t="str">
        <f>IFERROR(__xludf.DUMMYFUNCTION("""COMPUTED_VALUE"""),"068-10120")</f>
        <v>068-10120</v>
      </c>
      <c r="B3816" s="6" t="str">
        <f>IFERROR(__xludf.DUMMYFUNCTION("""COMPUTED_VALUE"""),"68")</f>
        <v>68</v>
      </c>
      <c r="C3816" s="6" t="str">
        <f>IFERROR(__xludf.DUMMYFUNCTION("""COMPUTED_VALUE"""),"10120")</f>
        <v>10120</v>
      </c>
      <c r="D3816" s="6" t="str">
        <f>IFERROR(__xludf.DUMMYFUNCTION("""COMPUTED_VALUE"""),"Anthony")</f>
        <v>Anthony</v>
      </c>
      <c r="E3816" s="6" t="str">
        <f>IFERROR(__xludf.DUMMYFUNCTION("""COMPUTED_VALUE"""),"")</f>
        <v/>
      </c>
      <c r="F3816" s="6" t="str">
        <f>IFERROR(__xludf.DUMMYFUNCTION("""COMPUTED_VALUE"""),"Goring")</f>
        <v>Goring</v>
      </c>
      <c r="G3816" s="6" t="str">
        <f>IFERROR(__xludf.DUMMYFUNCTION("""COMPUTED_VALUE"""),"04/09/2008")</f>
        <v>04/09/2008</v>
      </c>
      <c r="H3816" s="6" t="str">
        <f>IFERROR(__xludf.DUMMYFUNCTION("""COMPUTED_VALUE"""),"Self Identify")</f>
        <v>Self Identify</v>
      </c>
      <c r="I3816" s="6" t="str">
        <f>IFERROR(__xludf.DUMMYFUNCTION("""COMPUTED_VALUE"""),"High School")</f>
        <v>High School</v>
      </c>
      <c r="J3816" s="6" t="str">
        <f>IFERROR(__xludf.DUMMYFUNCTION("""COMPUTED_VALUE"""),"10")</f>
        <v>10</v>
      </c>
      <c r="K3816" s="6" t="str">
        <f>IFERROR(__xludf.DUMMYFUNCTION("""COMPUTED_VALUE"""),"anthony.goring@2hourlearning.com")</f>
        <v>anthony.goring@2hourlearning.com</v>
      </c>
      <c r="L3816" s="6" t="str">
        <f>IFERROR(__xludf.DUMMYFUNCTION("""COMPUTED_VALUE"""),"SPIRE Academy")</f>
        <v>SPIRE Academy</v>
      </c>
      <c r="M3816" s="6" t="str">
        <f>IFERROR(__xludf.DUMMYFUNCTION("""COMPUTED_VALUE"""),"")</f>
        <v/>
      </c>
      <c r="N3816" s="6" t="str">
        <f>IFERROR(__xludf.DUMMYFUNCTION("""COMPUTED_VALUE"""),"")</f>
        <v/>
      </c>
      <c r="O3816" s="87" t="str">
        <f>IFERROR(__xludf.DUMMYFUNCTION("""COMPUTED_VALUE"""),"https://drive.google.com/drive/folders/10T2cTQHqEJZqE-st6uFKPoI?usp=share_link")</f>
        <v>https://drive.google.com/drive/folders/10T2cTQHqEJZqE-st6uFKPoI?usp=share_link</v>
      </c>
      <c r="P3816" s="6" t="str">
        <f>IFERROR(__xludf.DUMMYFUNCTION("""COMPUTED_VALUE"""),"Anthony Goring")</f>
        <v>Anthony Goring</v>
      </c>
      <c r="Q3816" s="6" t="str">
        <f>IFERROR(__xludf.DUMMYFUNCTION("""COMPUTED_VALUE"""),"HS")</f>
        <v>HS</v>
      </c>
      <c r="R3816" s="6">
        <f>IFERROR(__xludf.DUMMYFUNCTION("""COMPUTED_VALUE"""),0.0)</f>
        <v>0</v>
      </c>
      <c r="S3816" s="6" t="str">
        <f>IFERROR(__xludf.DUMMYFUNCTION("""COMPUTED_VALUE""")," ")</f>
        <v> </v>
      </c>
      <c r="T3816" s="6" t="str">
        <f>IFERROR(__xludf.DUMMYFUNCTION("""COMPUTED_VALUE"""),"")</f>
        <v/>
      </c>
      <c r="U3816" s="6" t="str">
        <f>IFERROR(__xludf.DUMMYFUNCTION("""COMPUTED_VALUE"""),"10")</f>
        <v>10</v>
      </c>
      <c r="V3816" s="6" t="str">
        <f>IFERROR(__xludf.DUMMYFUNCTION("""COMPUTED_VALUE"""),"English")</f>
        <v>English</v>
      </c>
      <c r="W3816" s="6" t="str">
        <f>IFERROR(__xludf.DUMMYFUNCTION("""COMPUTED_VALUE"""),"[]")</f>
        <v>[]</v>
      </c>
      <c r="X3816" s="6" t="str">
        <f>IFERROR(__xludf.DUMMYFUNCTION("""COMPUTED_VALUE"""),"Enrolled")</f>
        <v>Enrolled</v>
      </c>
    </row>
    <row r="3817">
      <c r="A3817" s="6" t="str">
        <f>IFERROR(__xludf.DUMMYFUNCTION("""COMPUTED_VALUE"""),"068-10121")</f>
        <v>068-10121</v>
      </c>
      <c r="B3817" s="6" t="str">
        <f>IFERROR(__xludf.DUMMYFUNCTION("""COMPUTED_VALUE"""),"68")</f>
        <v>68</v>
      </c>
      <c r="C3817" s="6" t="str">
        <f>IFERROR(__xludf.DUMMYFUNCTION("""COMPUTED_VALUE"""),"10121")</f>
        <v>10121</v>
      </c>
      <c r="D3817" s="6" t="str">
        <f>IFERROR(__xludf.DUMMYFUNCTION("""COMPUTED_VALUE"""),"Clarence")</f>
        <v>Clarence</v>
      </c>
      <c r="E3817" s="6" t="str">
        <f>IFERROR(__xludf.DUMMYFUNCTION("""COMPUTED_VALUE"""),"")</f>
        <v/>
      </c>
      <c r="F3817" s="6" t="str">
        <f>IFERROR(__xludf.DUMMYFUNCTION("""COMPUTED_VALUE"""),"Gourreau")</f>
        <v>Gourreau</v>
      </c>
      <c r="G3817" s="6" t="str">
        <f>IFERROR(__xludf.DUMMYFUNCTION("""COMPUTED_VALUE"""),"09/11/2009")</f>
        <v>09/11/2009</v>
      </c>
      <c r="H3817" s="6" t="str">
        <f>IFERROR(__xludf.DUMMYFUNCTION("""COMPUTED_VALUE"""),"Self Identify")</f>
        <v>Self Identify</v>
      </c>
      <c r="I3817" s="6" t="str">
        <f>IFERROR(__xludf.DUMMYFUNCTION("""COMPUTED_VALUE"""),"High School")</f>
        <v>High School</v>
      </c>
      <c r="J3817" s="6" t="str">
        <f>IFERROR(__xludf.DUMMYFUNCTION("""COMPUTED_VALUE"""),"11")</f>
        <v>11</v>
      </c>
      <c r="K3817" s="6" t="str">
        <f>IFERROR(__xludf.DUMMYFUNCTION("""COMPUTED_VALUE"""),"clarence.gourreau@2hourlearning.com")</f>
        <v>clarence.gourreau@2hourlearning.com</v>
      </c>
      <c r="L3817" s="6" t="str">
        <f>IFERROR(__xludf.DUMMYFUNCTION("""COMPUTED_VALUE"""),"SPIRE Academy")</f>
        <v>SPIRE Academy</v>
      </c>
      <c r="M3817" s="6" t="str">
        <f>IFERROR(__xludf.DUMMYFUNCTION("""COMPUTED_VALUE"""),"")</f>
        <v/>
      </c>
      <c r="N3817" s="6" t="str">
        <f>IFERROR(__xludf.DUMMYFUNCTION("""COMPUTED_VALUE"""),"")</f>
        <v/>
      </c>
      <c r="O3817" s="87" t="str">
        <f>IFERROR(__xludf.DUMMYFUNCTION("""COMPUTED_VALUE"""),"https://drive.google.com/drive/folders/10T2cTQHqEJZqE-st6uFKPoI?usp=share_link")</f>
        <v>https://drive.google.com/drive/folders/10T2cTQHqEJZqE-st6uFKPoI?usp=share_link</v>
      </c>
      <c r="P3817" s="6" t="str">
        <f>IFERROR(__xludf.DUMMYFUNCTION("""COMPUTED_VALUE"""),"Clarence Gourreau")</f>
        <v>Clarence Gourreau</v>
      </c>
      <c r="Q3817" s="6" t="str">
        <f>IFERROR(__xludf.DUMMYFUNCTION("""COMPUTED_VALUE"""),"HS")</f>
        <v>HS</v>
      </c>
      <c r="R3817" s="6">
        <f>IFERROR(__xludf.DUMMYFUNCTION("""COMPUTED_VALUE"""),0.0)</f>
        <v>0</v>
      </c>
      <c r="S3817" s="6" t="str">
        <f>IFERROR(__xludf.DUMMYFUNCTION("""COMPUTED_VALUE""")," ")</f>
        <v> </v>
      </c>
      <c r="T3817" s="6" t="str">
        <f>IFERROR(__xludf.DUMMYFUNCTION("""COMPUTED_VALUE"""),"")</f>
        <v/>
      </c>
      <c r="U3817" s="6" t="str">
        <f>IFERROR(__xludf.DUMMYFUNCTION("""COMPUTED_VALUE"""),"11")</f>
        <v>11</v>
      </c>
      <c r="V3817" s="6" t="str">
        <f>IFERROR(__xludf.DUMMYFUNCTION("""COMPUTED_VALUE"""),"English")</f>
        <v>English</v>
      </c>
      <c r="W3817" s="6" t="str">
        <f>IFERROR(__xludf.DUMMYFUNCTION("""COMPUTED_VALUE"""),"[]")</f>
        <v>[]</v>
      </c>
      <c r="X3817" s="6" t="str">
        <f>IFERROR(__xludf.DUMMYFUNCTION("""COMPUTED_VALUE"""),"Enrolled")</f>
        <v>Enrolled</v>
      </c>
    </row>
    <row r="3818">
      <c r="A3818" s="6" t="str">
        <f>IFERROR(__xludf.DUMMYFUNCTION("""COMPUTED_VALUE"""),"068-10122")</f>
        <v>068-10122</v>
      </c>
      <c r="B3818" s="6" t="str">
        <f>IFERROR(__xludf.DUMMYFUNCTION("""COMPUTED_VALUE"""),"68")</f>
        <v>68</v>
      </c>
      <c r="C3818" s="6" t="str">
        <f>IFERROR(__xludf.DUMMYFUNCTION("""COMPUTED_VALUE"""),"10122")</f>
        <v>10122</v>
      </c>
      <c r="D3818" s="6" t="str">
        <f>IFERROR(__xludf.DUMMYFUNCTION("""COMPUTED_VALUE"""),"Benicio")</f>
        <v>Benicio</v>
      </c>
      <c r="E3818" s="6" t="str">
        <f>IFERROR(__xludf.DUMMYFUNCTION("""COMPUTED_VALUE"""),"")</f>
        <v/>
      </c>
      <c r="F3818" s="6" t="str">
        <f>IFERROR(__xludf.DUMMYFUNCTION("""COMPUTED_VALUE"""),"Gouvea Tagliaferro Lopes")</f>
        <v>Gouvea Tagliaferro Lopes</v>
      </c>
      <c r="G3818" s="6" t="str">
        <f>IFERROR(__xludf.DUMMYFUNCTION("""COMPUTED_VALUE"""),"02/22/2009")</f>
        <v>02/22/2009</v>
      </c>
      <c r="H3818" s="6" t="str">
        <f>IFERROR(__xludf.DUMMYFUNCTION("""COMPUTED_VALUE"""),"Self Identify")</f>
        <v>Self Identify</v>
      </c>
      <c r="I3818" s="6" t="str">
        <f>IFERROR(__xludf.DUMMYFUNCTION("""COMPUTED_VALUE"""),"High School")</f>
        <v>High School</v>
      </c>
      <c r="J3818" s="6" t="str">
        <f>IFERROR(__xludf.DUMMYFUNCTION("""COMPUTED_VALUE"""),"11")</f>
        <v>11</v>
      </c>
      <c r="K3818" s="6" t="str">
        <f>IFERROR(__xludf.DUMMYFUNCTION("""COMPUTED_VALUE"""),"benicio.gouveatagliaferrolopes@2hourlearning.com")</f>
        <v>benicio.gouveatagliaferrolopes@2hourlearning.com</v>
      </c>
      <c r="L3818" s="6" t="str">
        <f>IFERROR(__xludf.DUMMYFUNCTION("""COMPUTED_VALUE"""),"SPIRE Academy")</f>
        <v>SPIRE Academy</v>
      </c>
      <c r="M3818" s="6" t="str">
        <f>IFERROR(__xludf.DUMMYFUNCTION("""COMPUTED_VALUE"""),"")</f>
        <v/>
      </c>
      <c r="N3818" s="6" t="str">
        <f>IFERROR(__xludf.DUMMYFUNCTION("""COMPUTED_VALUE"""),"")</f>
        <v/>
      </c>
      <c r="O3818" s="87" t="str">
        <f>IFERROR(__xludf.DUMMYFUNCTION("""COMPUTED_VALUE"""),"https://drive.google.com/drive/folders/10T2cTQHqEJZqE-st6uFKPoI?usp=share_link")</f>
        <v>https://drive.google.com/drive/folders/10T2cTQHqEJZqE-st6uFKPoI?usp=share_link</v>
      </c>
      <c r="P3818" s="6" t="str">
        <f>IFERROR(__xludf.DUMMYFUNCTION("""COMPUTED_VALUE"""),"Benicio Gouvea Tagliaferro Lopes")</f>
        <v>Benicio Gouvea Tagliaferro Lopes</v>
      </c>
      <c r="Q3818" s="6" t="str">
        <f>IFERROR(__xludf.DUMMYFUNCTION("""COMPUTED_VALUE"""),"HS")</f>
        <v>HS</v>
      </c>
      <c r="R3818" s="6">
        <f>IFERROR(__xludf.DUMMYFUNCTION("""COMPUTED_VALUE"""),0.0)</f>
        <v>0</v>
      </c>
      <c r="S3818" s="6" t="str">
        <f>IFERROR(__xludf.DUMMYFUNCTION("""COMPUTED_VALUE""")," ")</f>
        <v> </v>
      </c>
      <c r="T3818" s="6" t="str">
        <f>IFERROR(__xludf.DUMMYFUNCTION("""COMPUTED_VALUE"""),"")</f>
        <v/>
      </c>
      <c r="U3818" s="6" t="str">
        <f>IFERROR(__xludf.DUMMYFUNCTION("""COMPUTED_VALUE"""),"11")</f>
        <v>11</v>
      </c>
      <c r="V3818" s="6" t="str">
        <f>IFERROR(__xludf.DUMMYFUNCTION("""COMPUTED_VALUE"""),"English")</f>
        <v>English</v>
      </c>
      <c r="W3818" s="6" t="str">
        <f>IFERROR(__xludf.DUMMYFUNCTION("""COMPUTED_VALUE"""),"[]")</f>
        <v>[]</v>
      </c>
      <c r="X3818" s="6" t="str">
        <f>IFERROR(__xludf.DUMMYFUNCTION("""COMPUTED_VALUE"""),"Enrolled")</f>
        <v>Enrolled</v>
      </c>
    </row>
    <row r="3819">
      <c r="A3819" s="6" t="str">
        <f>IFERROR(__xludf.DUMMYFUNCTION("""COMPUTED_VALUE"""),"068-10123")</f>
        <v>068-10123</v>
      </c>
      <c r="B3819" s="6" t="str">
        <f>IFERROR(__xludf.DUMMYFUNCTION("""COMPUTED_VALUE"""),"68")</f>
        <v>68</v>
      </c>
      <c r="C3819" s="6" t="str">
        <f>IFERROR(__xludf.DUMMYFUNCTION("""COMPUTED_VALUE"""),"10123")</f>
        <v>10123</v>
      </c>
      <c r="D3819" s="6" t="str">
        <f>IFERROR(__xludf.DUMMYFUNCTION("""COMPUTED_VALUE"""),"Elena")</f>
        <v>Elena</v>
      </c>
      <c r="E3819" s="6" t="str">
        <f>IFERROR(__xludf.DUMMYFUNCTION("""COMPUTED_VALUE"""),"")</f>
        <v/>
      </c>
      <c r="F3819" s="6" t="str">
        <f>IFERROR(__xludf.DUMMYFUNCTION("""COMPUTED_VALUE"""),"Guggemoos")</f>
        <v>Guggemoos</v>
      </c>
      <c r="G3819" s="6" t="str">
        <f>IFERROR(__xludf.DUMMYFUNCTION("""COMPUTED_VALUE"""),"02/22/2010")</f>
        <v>02/22/2010</v>
      </c>
      <c r="H3819" s="6" t="str">
        <f>IFERROR(__xludf.DUMMYFUNCTION("""COMPUTED_VALUE"""),"Self Identify")</f>
        <v>Self Identify</v>
      </c>
      <c r="I3819" s="6" t="str">
        <f>IFERROR(__xludf.DUMMYFUNCTION("""COMPUTED_VALUE"""),"High School")</f>
        <v>High School</v>
      </c>
      <c r="J3819" s="6" t="str">
        <f>IFERROR(__xludf.DUMMYFUNCTION("""COMPUTED_VALUE"""),"12")</f>
        <v>12</v>
      </c>
      <c r="K3819" s="6" t="str">
        <f>IFERROR(__xludf.DUMMYFUNCTION("""COMPUTED_VALUE"""),"elena.guggemoos@2hourlearning.com")</f>
        <v>elena.guggemoos@2hourlearning.com</v>
      </c>
      <c r="L3819" s="6" t="str">
        <f>IFERROR(__xludf.DUMMYFUNCTION("""COMPUTED_VALUE"""),"SPIRE Academy")</f>
        <v>SPIRE Academy</v>
      </c>
      <c r="M3819" s="6" t="str">
        <f>IFERROR(__xludf.DUMMYFUNCTION("""COMPUTED_VALUE"""),"")</f>
        <v/>
      </c>
      <c r="N3819" s="6" t="str">
        <f>IFERROR(__xludf.DUMMYFUNCTION("""COMPUTED_VALUE"""),"")</f>
        <v/>
      </c>
      <c r="O3819" s="87" t="str">
        <f>IFERROR(__xludf.DUMMYFUNCTION("""COMPUTED_VALUE"""),"https://drive.google.com/drive/folders/10T2cTQHqEJZqE-st6uFKPoI?usp=share_link")</f>
        <v>https://drive.google.com/drive/folders/10T2cTQHqEJZqE-st6uFKPoI?usp=share_link</v>
      </c>
      <c r="P3819" s="6" t="str">
        <f>IFERROR(__xludf.DUMMYFUNCTION("""COMPUTED_VALUE"""),"Elena Guggemoos")</f>
        <v>Elena Guggemoos</v>
      </c>
      <c r="Q3819" s="6" t="str">
        <f>IFERROR(__xludf.DUMMYFUNCTION("""COMPUTED_VALUE"""),"HS")</f>
        <v>HS</v>
      </c>
      <c r="R3819" s="6">
        <f>IFERROR(__xludf.DUMMYFUNCTION("""COMPUTED_VALUE"""),0.0)</f>
        <v>0</v>
      </c>
      <c r="S3819" s="6" t="str">
        <f>IFERROR(__xludf.DUMMYFUNCTION("""COMPUTED_VALUE""")," ")</f>
        <v> </v>
      </c>
      <c r="T3819" s="6" t="str">
        <f>IFERROR(__xludf.DUMMYFUNCTION("""COMPUTED_VALUE"""),"")</f>
        <v/>
      </c>
      <c r="U3819" s="6" t="str">
        <f>IFERROR(__xludf.DUMMYFUNCTION("""COMPUTED_VALUE"""),"12")</f>
        <v>12</v>
      </c>
      <c r="V3819" s="6" t="str">
        <f>IFERROR(__xludf.DUMMYFUNCTION("""COMPUTED_VALUE"""),"English")</f>
        <v>English</v>
      </c>
      <c r="W3819" s="6" t="str">
        <f>IFERROR(__xludf.DUMMYFUNCTION("""COMPUTED_VALUE"""),"[]")</f>
        <v>[]</v>
      </c>
      <c r="X3819" s="6" t="str">
        <f>IFERROR(__xludf.DUMMYFUNCTION("""COMPUTED_VALUE"""),"Enrolled")</f>
        <v>Enrolled</v>
      </c>
    </row>
    <row r="3820">
      <c r="A3820" s="6" t="str">
        <f>IFERROR(__xludf.DUMMYFUNCTION("""COMPUTED_VALUE"""),"068-10124")</f>
        <v>068-10124</v>
      </c>
      <c r="B3820" s="6" t="str">
        <f>IFERROR(__xludf.DUMMYFUNCTION("""COMPUTED_VALUE"""),"68")</f>
        <v>68</v>
      </c>
      <c r="C3820" s="6" t="str">
        <f>IFERROR(__xludf.DUMMYFUNCTION("""COMPUTED_VALUE"""),"10124")</f>
        <v>10124</v>
      </c>
      <c r="D3820" s="6" t="str">
        <f>IFERROR(__xludf.DUMMYFUNCTION("""COMPUTED_VALUE"""),"Dakota")</f>
        <v>Dakota</v>
      </c>
      <c r="E3820" s="6" t="str">
        <f>IFERROR(__xludf.DUMMYFUNCTION("""COMPUTED_VALUE"""),"")</f>
        <v/>
      </c>
      <c r="F3820" s="6" t="str">
        <f>IFERROR(__xludf.DUMMYFUNCTION("""COMPUTED_VALUE"""),"Guidry")</f>
        <v>Guidry</v>
      </c>
      <c r="G3820" s="6" t="str">
        <f>IFERROR(__xludf.DUMMYFUNCTION("""COMPUTED_VALUE"""),"08/07/2009")</f>
        <v>08/07/2009</v>
      </c>
      <c r="H3820" s="6" t="str">
        <f>IFERROR(__xludf.DUMMYFUNCTION("""COMPUTED_VALUE"""),"Self Identify")</f>
        <v>Self Identify</v>
      </c>
      <c r="I3820" s="6" t="str">
        <f>IFERROR(__xludf.DUMMYFUNCTION("""COMPUTED_VALUE"""),"High School")</f>
        <v>High School</v>
      </c>
      <c r="J3820" s="6" t="str">
        <f>IFERROR(__xludf.DUMMYFUNCTION("""COMPUTED_VALUE"""),"11")</f>
        <v>11</v>
      </c>
      <c r="K3820" s="6" t="str">
        <f>IFERROR(__xludf.DUMMYFUNCTION("""COMPUTED_VALUE"""),"dakota.guidry@2hourlearning.com")</f>
        <v>dakota.guidry@2hourlearning.com</v>
      </c>
      <c r="L3820" s="6" t="str">
        <f>IFERROR(__xludf.DUMMYFUNCTION("""COMPUTED_VALUE"""),"SPIRE Academy")</f>
        <v>SPIRE Academy</v>
      </c>
      <c r="M3820" s="6" t="str">
        <f>IFERROR(__xludf.DUMMYFUNCTION("""COMPUTED_VALUE"""),"")</f>
        <v/>
      </c>
      <c r="N3820" s="6" t="str">
        <f>IFERROR(__xludf.DUMMYFUNCTION("""COMPUTED_VALUE"""),"")</f>
        <v/>
      </c>
      <c r="O3820" s="87" t="str">
        <f>IFERROR(__xludf.DUMMYFUNCTION("""COMPUTED_VALUE"""),"https://drive.google.com/drive/folders/10T2cTQHqEJZqE-st6uFKPoI?usp=share_link")</f>
        <v>https://drive.google.com/drive/folders/10T2cTQHqEJZqE-st6uFKPoI?usp=share_link</v>
      </c>
      <c r="P3820" s="6" t="str">
        <f>IFERROR(__xludf.DUMMYFUNCTION("""COMPUTED_VALUE"""),"Dakota Guidry")</f>
        <v>Dakota Guidry</v>
      </c>
      <c r="Q3820" s="6" t="str">
        <f>IFERROR(__xludf.DUMMYFUNCTION("""COMPUTED_VALUE"""),"HS")</f>
        <v>HS</v>
      </c>
      <c r="R3820" s="6">
        <f>IFERROR(__xludf.DUMMYFUNCTION("""COMPUTED_VALUE"""),0.0)</f>
        <v>0</v>
      </c>
      <c r="S3820" s="6" t="str">
        <f>IFERROR(__xludf.DUMMYFUNCTION("""COMPUTED_VALUE""")," ")</f>
        <v> </v>
      </c>
      <c r="T3820" s="6" t="str">
        <f>IFERROR(__xludf.DUMMYFUNCTION("""COMPUTED_VALUE"""),"")</f>
        <v/>
      </c>
      <c r="U3820" s="6" t="str">
        <f>IFERROR(__xludf.DUMMYFUNCTION("""COMPUTED_VALUE"""),"11")</f>
        <v>11</v>
      </c>
      <c r="V3820" s="6" t="str">
        <f>IFERROR(__xludf.DUMMYFUNCTION("""COMPUTED_VALUE"""),"English")</f>
        <v>English</v>
      </c>
      <c r="W3820" s="6" t="str">
        <f>IFERROR(__xludf.DUMMYFUNCTION("""COMPUTED_VALUE"""),"[]")</f>
        <v>[]</v>
      </c>
      <c r="X3820" s="6" t="str">
        <f>IFERROR(__xludf.DUMMYFUNCTION("""COMPUTED_VALUE"""),"Enrolled")</f>
        <v>Enrolled</v>
      </c>
    </row>
    <row r="3821">
      <c r="A3821" s="6" t="str">
        <f>IFERROR(__xludf.DUMMYFUNCTION("""COMPUTED_VALUE"""),"068-10125")</f>
        <v>068-10125</v>
      </c>
      <c r="B3821" s="6" t="str">
        <f>IFERROR(__xludf.DUMMYFUNCTION("""COMPUTED_VALUE"""),"68")</f>
        <v>68</v>
      </c>
      <c r="C3821" s="6" t="str">
        <f>IFERROR(__xludf.DUMMYFUNCTION("""COMPUTED_VALUE"""),"10125")</f>
        <v>10125</v>
      </c>
      <c r="D3821" s="6" t="str">
        <f>IFERROR(__xludf.DUMMYFUNCTION("""COMPUTED_VALUE"""),"Abigail")</f>
        <v>Abigail</v>
      </c>
      <c r="E3821" s="6" t="str">
        <f>IFERROR(__xludf.DUMMYFUNCTION("""COMPUTED_VALUE"""),"")</f>
        <v/>
      </c>
      <c r="F3821" s="6" t="str">
        <f>IFERROR(__xludf.DUMMYFUNCTION("""COMPUTED_VALUE"""),"Haden")</f>
        <v>Haden</v>
      </c>
      <c r="G3821" s="6" t="str">
        <f>IFERROR(__xludf.DUMMYFUNCTION("""COMPUTED_VALUE"""),"03/16/2010")</f>
        <v>03/16/2010</v>
      </c>
      <c r="H3821" s="6" t="str">
        <f>IFERROR(__xludf.DUMMYFUNCTION("""COMPUTED_VALUE"""),"Self Identify")</f>
        <v>Self Identify</v>
      </c>
      <c r="I3821" s="6" t="str">
        <f>IFERROR(__xludf.DUMMYFUNCTION("""COMPUTED_VALUE"""),"High School")</f>
        <v>High School</v>
      </c>
      <c r="J3821" s="6" t="str">
        <f>IFERROR(__xludf.DUMMYFUNCTION("""COMPUTED_VALUE"""),"10")</f>
        <v>10</v>
      </c>
      <c r="K3821" s="6" t="str">
        <f>IFERROR(__xludf.DUMMYFUNCTION("""COMPUTED_VALUE"""),"abigail.haden@2hourlearning.com")</f>
        <v>abigail.haden@2hourlearning.com</v>
      </c>
      <c r="L3821" s="6" t="str">
        <f>IFERROR(__xludf.DUMMYFUNCTION("""COMPUTED_VALUE"""),"SPIRE Academy")</f>
        <v>SPIRE Academy</v>
      </c>
      <c r="M3821" s="6" t="str">
        <f>IFERROR(__xludf.DUMMYFUNCTION("""COMPUTED_VALUE"""),"")</f>
        <v/>
      </c>
      <c r="N3821" s="6" t="str">
        <f>IFERROR(__xludf.DUMMYFUNCTION("""COMPUTED_VALUE"""),"")</f>
        <v/>
      </c>
      <c r="O3821" s="87" t="str">
        <f>IFERROR(__xludf.DUMMYFUNCTION("""COMPUTED_VALUE"""),"https://drive.google.com/drive/folders/10T2cTQHqEJZqE-st6uFKPoI?usp=share_link")</f>
        <v>https://drive.google.com/drive/folders/10T2cTQHqEJZqE-st6uFKPoI?usp=share_link</v>
      </c>
      <c r="P3821" s="6" t="str">
        <f>IFERROR(__xludf.DUMMYFUNCTION("""COMPUTED_VALUE"""),"Abigail Haden")</f>
        <v>Abigail Haden</v>
      </c>
      <c r="Q3821" s="6" t="str">
        <f>IFERROR(__xludf.DUMMYFUNCTION("""COMPUTED_VALUE"""),"HS")</f>
        <v>HS</v>
      </c>
      <c r="R3821" s="6">
        <f>IFERROR(__xludf.DUMMYFUNCTION("""COMPUTED_VALUE"""),0.0)</f>
        <v>0</v>
      </c>
      <c r="S3821" s="6" t="str">
        <f>IFERROR(__xludf.DUMMYFUNCTION("""COMPUTED_VALUE""")," ")</f>
        <v> </v>
      </c>
      <c r="T3821" s="6" t="str">
        <f>IFERROR(__xludf.DUMMYFUNCTION("""COMPUTED_VALUE"""),"")</f>
        <v/>
      </c>
      <c r="U3821" s="6" t="str">
        <f>IFERROR(__xludf.DUMMYFUNCTION("""COMPUTED_VALUE"""),"10")</f>
        <v>10</v>
      </c>
      <c r="V3821" s="6" t="str">
        <f>IFERROR(__xludf.DUMMYFUNCTION("""COMPUTED_VALUE"""),"English")</f>
        <v>English</v>
      </c>
      <c r="W3821" s="6" t="str">
        <f>IFERROR(__xludf.DUMMYFUNCTION("""COMPUTED_VALUE"""),"[]")</f>
        <v>[]</v>
      </c>
      <c r="X3821" s="6" t="str">
        <f>IFERROR(__xludf.DUMMYFUNCTION("""COMPUTED_VALUE"""),"Enrolled")</f>
        <v>Enrolled</v>
      </c>
    </row>
    <row r="3822">
      <c r="A3822" s="6" t="str">
        <f>IFERROR(__xludf.DUMMYFUNCTION("""COMPUTED_VALUE"""),"068-10126")</f>
        <v>068-10126</v>
      </c>
      <c r="B3822" s="6" t="str">
        <f>IFERROR(__xludf.DUMMYFUNCTION("""COMPUTED_VALUE"""),"68")</f>
        <v>68</v>
      </c>
      <c r="C3822" s="6" t="str">
        <f>IFERROR(__xludf.DUMMYFUNCTION("""COMPUTED_VALUE"""),"10126")</f>
        <v>10126</v>
      </c>
      <c r="D3822" s="6" t="str">
        <f>IFERROR(__xludf.DUMMYFUNCTION("""COMPUTED_VALUE"""),"Harmon")</f>
        <v>Harmon</v>
      </c>
      <c r="E3822" s="6" t="str">
        <f>IFERROR(__xludf.DUMMYFUNCTION("""COMPUTED_VALUE"""),"")</f>
        <v/>
      </c>
      <c r="F3822" s="6" t="str">
        <f>IFERROR(__xludf.DUMMYFUNCTION("""COMPUTED_VALUE"""),"Hailemichael")</f>
        <v>Hailemichael</v>
      </c>
      <c r="G3822" s="6" t="str">
        <f>IFERROR(__xludf.DUMMYFUNCTION("""COMPUTED_VALUE"""),"10/29/2006")</f>
        <v>10/29/2006</v>
      </c>
      <c r="H3822" s="6" t="str">
        <f>IFERROR(__xludf.DUMMYFUNCTION("""COMPUTED_VALUE"""),"Self Identify")</f>
        <v>Self Identify</v>
      </c>
      <c r="I3822" s="6" t="str">
        <f>IFERROR(__xludf.DUMMYFUNCTION("""COMPUTED_VALUE"""),"High School")</f>
        <v>High School</v>
      </c>
      <c r="J3822" s="6" t="str">
        <f>IFERROR(__xludf.DUMMYFUNCTION("""COMPUTED_VALUE"""),"12")</f>
        <v>12</v>
      </c>
      <c r="K3822" s="6" t="str">
        <f>IFERROR(__xludf.DUMMYFUNCTION("""COMPUTED_VALUE"""),"harmon.hailemichael@2hourlearning.com")</f>
        <v>harmon.hailemichael@2hourlearning.com</v>
      </c>
      <c r="L3822" s="6" t="str">
        <f>IFERROR(__xludf.DUMMYFUNCTION("""COMPUTED_VALUE"""),"SPIRE Academy")</f>
        <v>SPIRE Academy</v>
      </c>
      <c r="M3822" s="6" t="str">
        <f>IFERROR(__xludf.DUMMYFUNCTION("""COMPUTED_VALUE"""),"")</f>
        <v/>
      </c>
      <c r="N3822" s="6" t="str">
        <f>IFERROR(__xludf.DUMMYFUNCTION("""COMPUTED_VALUE"""),"")</f>
        <v/>
      </c>
      <c r="O3822" s="87" t="str">
        <f>IFERROR(__xludf.DUMMYFUNCTION("""COMPUTED_VALUE"""),"https://drive.google.com/drive/folders/10T2cTQHqEJZqE-st6uFKPoI?usp=share_link")</f>
        <v>https://drive.google.com/drive/folders/10T2cTQHqEJZqE-st6uFKPoI?usp=share_link</v>
      </c>
      <c r="P3822" s="6" t="str">
        <f>IFERROR(__xludf.DUMMYFUNCTION("""COMPUTED_VALUE"""),"Harmon Hailemichael")</f>
        <v>Harmon Hailemichael</v>
      </c>
      <c r="Q3822" s="6" t="str">
        <f>IFERROR(__xludf.DUMMYFUNCTION("""COMPUTED_VALUE"""),"HS")</f>
        <v>HS</v>
      </c>
      <c r="R3822" s="6">
        <f>IFERROR(__xludf.DUMMYFUNCTION("""COMPUTED_VALUE"""),0.0)</f>
        <v>0</v>
      </c>
      <c r="S3822" s="6" t="str">
        <f>IFERROR(__xludf.DUMMYFUNCTION("""COMPUTED_VALUE""")," ")</f>
        <v> </v>
      </c>
      <c r="T3822" s="6" t="str">
        <f>IFERROR(__xludf.DUMMYFUNCTION("""COMPUTED_VALUE"""),"")</f>
        <v/>
      </c>
      <c r="U3822" s="6" t="str">
        <f>IFERROR(__xludf.DUMMYFUNCTION("""COMPUTED_VALUE"""),"12")</f>
        <v>12</v>
      </c>
      <c r="V3822" s="6" t="str">
        <f>IFERROR(__xludf.DUMMYFUNCTION("""COMPUTED_VALUE"""),"English")</f>
        <v>English</v>
      </c>
      <c r="W3822" s="6" t="str">
        <f>IFERROR(__xludf.DUMMYFUNCTION("""COMPUTED_VALUE"""),"[]")</f>
        <v>[]</v>
      </c>
      <c r="X3822" s="6" t="str">
        <f>IFERROR(__xludf.DUMMYFUNCTION("""COMPUTED_VALUE"""),"Enrolled")</f>
        <v>Enrolled</v>
      </c>
    </row>
    <row r="3823">
      <c r="A3823" s="6" t="str">
        <f>IFERROR(__xludf.DUMMYFUNCTION("""COMPUTED_VALUE"""),"068-10127")</f>
        <v>068-10127</v>
      </c>
      <c r="B3823" s="6" t="str">
        <f>IFERROR(__xludf.DUMMYFUNCTION("""COMPUTED_VALUE"""),"68")</f>
        <v>68</v>
      </c>
      <c r="C3823" s="6" t="str">
        <f>IFERROR(__xludf.DUMMYFUNCTION("""COMPUTED_VALUE"""),"10127")</f>
        <v>10127</v>
      </c>
      <c r="D3823" s="6" t="str">
        <f>IFERROR(__xludf.DUMMYFUNCTION("""COMPUTED_VALUE"""),"Samuel")</f>
        <v>Samuel</v>
      </c>
      <c r="E3823" s="6" t="str">
        <f>IFERROR(__xludf.DUMMYFUNCTION("""COMPUTED_VALUE"""),"")</f>
        <v/>
      </c>
      <c r="F3823" s="6" t="str">
        <f>IFERROR(__xludf.DUMMYFUNCTION("""COMPUTED_VALUE"""),"Harvey")</f>
        <v>Harvey</v>
      </c>
      <c r="G3823" s="6" t="str">
        <f>IFERROR(__xludf.DUMMYFUNCTION("""COMPUTED_VALUE"""),"10/15/2009")</f>
        <v>10/15/2009</v>
      </c>
      <c r="H3823" s="6" t="str">
        <f>IFERROR(__xludf.DUMMYFUNCTION("""COMPUTED_VALUE"""),"Self Identify")</f>
        <v>Self Identify</v>
      </c>
      <c r="I3823" s="6" t="str">
        <f>IFERROR(__xludf.DUMMYFUNCTION("""COMPUTED_VALUE"""),"High School")</f>
        <v>High School</v>
      </c>
      <c r="J3823" s="6" t="str">
        <f>IFERROR(__xludf.DUMMYFUNCTION("""COMPUTED_VALUE"""),"12")</f>
        <v>12</v>
      </c>
      <c r="K3823" s="6" t="str">
        <f>IFERROR(__xludf.DUMMYFUNCTION("""COMPUTED_VALUE"""),"samuel.harvey@2hourlearning.com")</f>
        <v>samuel.harvey@2hourlearning.com</v>
      </c>
      <c r="L3823" s="6" t="str">
        <f>IFERROR(__xludf.DUMMYFUNCTION("""COMPUTED_VALUE"""),"SPIRE Academy")</f>
        <v>SPIRE Academy</v>
      </c>
      <c r="M3823" s="6" t="str">
        <f>IFERROR(__xludf.DUMMYFUNCTION("""COMPUTED_VALUE"""),"")</f>
        <v/>
      </c>
      <c r="N3823" s="6" t="str">
        <f>IFERROR(__xludf.DUMMYFUNCTION("""COMPUTED_VALUE"""),"")</f>
        <v/>
      </c>
      <c r="O3823" s="87" t="str">
        <f>IFERROR(__xludf.DUMMYFUNCTION("""COMPUTED_VALUE"""),"https://drive.google.com/drive/folders/10T2cTQHqEJZqE-st6uFKPoI?usp=share_link")</f>
        <v>https://drive.google.com/drive/folders/10T2cTQHqEJZqE-st6uFKPoI?usp=share_link</v>
      </c>
      <c r="P3823" s="6" t="str">
        <f>IFERROR(__xludf.DUMMYFUNCTION("""COMPUTED_VALUE"""),"Samuel Harvey")</f>
        <v>Samuel Harvey</v>
      </c>
      <c r="Q3823" s="6" t="str">
        <f>IFERROR(__xludf.DUMMYFUNCTION("""COMPUTED_VALUE"""),"HS")</f>
        <v>HS</v>
      </c>
      <c r="R3823" s="6">
        <f>IFERROR(__xludf.DUMMYFUNCTION("""COMPUTED_VALUE"""),0.0)</f>
        <v>0</v>
      </c>
      <c r="S3823" s="6" t="str">
        <f>IFERROR(__xludf.DUMMYFUNCTION("""COMPUTED_VALUE""")," ")</f>
        <v> </v>
      </c>
      <c r="T3823" s="6" t="str">
        <f>IFERROR(__xludf.DUMMYFUNCTION("""COMPUTED_VALUE"""),"")</f>
        <v/>
      </c>
      <c r="U3823" s="6" t="str">
        <f>IFERROR(__xludf.DUMMYFUNCTION("""COMPUTED_VALUE"""),"12")</f>
        <v>12</v>
      </c>
      <c r="V3823" s="6" t="str">
        <f>IFERROR(__xludf.DUMMYFUNCTION("""COMPUTED_VALUE"""),"English")</f>
        <v>English</v>
      </c>
      <c r="W3823" s="6" t="str">
        <f>IFERROR(__xludf.DUMMYFUNCTION("""COMPUTED_VALUE"""),"[]")</f>
        <v>[]</v>
      </c>
      <c r="X3823" s="6" t="str">
        <f>IFERROR(__xludf.DUMMYFUNCTION("""COMPUTED_VALUE"""),"Enrolled")</f>
        <v>Enrolled</v>
      </c>
    </row>
    <row r="3824">
      <c r="A3824" s="6" t="str">
        <f>IFERROR(__xludf.DUMMYFUNCTION("""COMPUTED_VALUE"""),"068-10128")</f>
        <v>068-10128</v>
      </c>
      <c r="B3824" s="6" t="str">
        <f>IFERROR(__xludf.DUMMYFUNCTION("""COMPUTED_VALUE"""),"68")</f>
        <v>68</v>
      </c>
      <c r="C3824" s="6" t="str">
        <f>IFERROR(__xludf.DUMMYFUNCTION("""COMPUTED_VALUE"""),"10128")</f>
        <v>10128</v>
      </c>
      <c r="D3824" s="6" t="str">
        <f>IFERROR(__xludf.DUMMYFUNCTION("""COMPUTED_VALUE"""),"Saleem")</f>
        <v>Saleem</v>
      </c>
      <c r="E3824" s="6" t="str">
        <f>IFERROR(__xludf.DUMMYFUNCTION("""COMPUTED_VALUE"""),"")</f>
        <v/>
      </c>
      <c r="F3824" s="6" t="str">
        <f>IFERROR(__xludf.DUMMYFUNCTION("""COMPUTED_VALUE"""),"Hassoun")</f>
        <v>Hassoun</v>
      </c>
      <c r="G3824" s="6" t="str">
        <f>IFERROR(__xludf.DUMMYFUNCTION("""COMPUTED_VALUE"""),"03/23/2008")</f>
        <v>03/23/2008</v>
      </c>
      <c r="H3824" s="6" t="str">
        <f>IFERROR(__xludf.DUMMYFUNCTION("""COMPUTED_VALUE"""),"Self Identify")</f>
        <v>Self Identify</v>
      </c>
      <c r="I3824" s="6" t="str">
        <f>IFERROR(__xludf.DUMMYFUNCTION("""COMPUTED_VALUE"""),"High School")</f>
        <v>High School</v>
      </c>
      <c r="J3824" s="6" t="str">
        <f>IFERROR(__xludf.DUMMYFUNCTION("""COMPUTED_VALUE"""),"11")</f>
        <v>11</v>
      </c>
      <c r="K3824" s="6" t="str">
        <f>IFERROR(__xludf.DUMMYFUNCTION("""COMPUTED_VALUE"""),"saleem.hassoun@2hourlearning.com")</f>
        <v>saleem.hassoun@2hourlearning.com</v>
      </c>
      <c r="L3824" s="6" t="str">
        <f>IFERROR(__xludf.DUMMYFUNCTION("""COMPUTED_VALUE"""),"SPIRE Academy")</f>
        <v>SPIRE Academy</v>
      </c>
      <c r="M3824" s="6" t="str">
        <f>IFERROR(__xludf.DUMMYFUNCTION("""COMPUTED_VALUE"""),"")</f>
        <v/>
      </c>
      <c r="N3824" s="6" t="str">
        <f>IFERROR(__xludf.DUMMYFUNCTION("""COMPUTED_VALUE"""),"")</f>
        <v/>
      </c>
      <c r="O3824" s="87" t="str">
        <f>IFERROR(__xludf.DUMMYFUNCTION("""COMPUTED_VALUE"""),"https://drive.google.com/drive/folders/10T2cTQHqEJZqE-st6uFKPoI?usp=share_link")</f>
        <v>https://drive.google.com/drive/folders/10T2cTQHqEJZqE-st6uFKPoI?usp=share_link</v>
      </c>
      <c r="P3824" s="6" t="str">
        <f>IFERROR(__xludf.DUMMYFUNCTION("""COMPUTED_VALUE"""),"Saleem Hassoun")</f>
        <v>Saleem Hassoun</v>
      </c>
      <c r="Q3824" s="6" t="str">
        <f>IFERROR(__xludf.DUMMYFUNCTION("""COMPUTED_VALUE"""),"HS")</f>
        <v>HS</v>
      </c>
      <c r="R3824" s="6">
        <f>IFERROR(__xludf.DUMMYFUNCTION("""COMPUTED_VALUE"""),0.0)</f>
        <v>0</v>
      </c>
      <c r="S3824" s="6" t="str">
        <f>IFERROR(__xludf.DUMMYFUNCTION("""COMPUTED_VALUE""")," ")</f>
        <v> </v>
      </c>
      <c r="T3824" s="6" t="str">
        <f>IFERROR(__xludf.DUMMYFUNCTION("""COMPUTED_VALUE"""),"")</f>
        <v/>
      </c>
      <c r="U3824" s="6" t="str">
        <f>IFERROR(__xludf.DUMMYFUNCTION("""COMPUTED_VALUE"""),"11")</f>
        <v>11</v>
      </c>
      <c r="V3824" s="6" t="str">
        <f>IFERROR(__xludf.DUMMYFUNCTION("""COMPUTED_VALUE"""),"English")</f>
        <v>English</v>
      </c>
      <c r="W3824" s="6" t="str">
        <f>IFERROR(__xludf.DUMMYFUNCTION("""COMPUTED_VALUE"""),"[]")</f>
        <v>[]</v>
      </c>
      <c r="X3824" s="6" t="str">
        <f>IFERROR(__xludf.DUMMYFUNCTION("""COMPUTED_VALUE"""),"Enrolled")</f>
        <v>Enrolled</v>
      </c>
    </row>
    <row r="3825">
      <c r="A3825" s="6" t="str">
        <f>IFERROR(__xludf.DUMMYFUNCTION("""COMPUTED_VALUE"""),"068-10129")</f>
        <v>068-10129</v>
      </c>
      <c r="B3825" s="6" t="str">
        <f>IFERROR(__xludf.DUMMYFUNCTION("""COMPUTED_VALUE"""),"68")</f>
        <v>68</v>
      </c>
      <c r="C3825" s="6" t="str">
        <f>IFERROR(__xludf.DUMMYFUNCTION("""COMPUTED_VALUE"""),"10129")</f>
        <v>10129</v>
      </c>
      <c r="D3825" s="6" t="str">
        <f>IFERROR(__xludf.DUMMYFUNCTION("""COMPUTED_VALUE"""),"Taressa")</f>
        <v>Taressa</v>
      </c>
      <c r="E3825" s="6" t="str">
        <f>IFERROR(__xludf.DUMMYFUNCTION("""COMPUTED_VALUE"""),"")</f>
        <v/>
      </c>
      <c r="F3825" s="6" t="str">
        <f>IFERROR(__xludf.DUMMYFUNCTION("""COMPUTED_VALUE"""),"Hennes")</f>
        <v>Hennes</v>
      </c>
      <c r="G3825" s="6" t="str">
        <f>IFERROR(__xludf.DUMMYFUNCTION("""COMPUTED_VALUE"""),"02/13/2009")</f>
        <v>02/13/2009</v>
      </c>
      <c r="H3825" s="6" t="str">
        <f>IFERROR(__xludf.DUMMYFUNCTION("""COMPUTED_VALUE"""),"Self Identify")</f>
        <v>Self Identify</v>
      </c>
      <c r="I3825" s="6" t="str">
        <f>IFERROR(__xludf.DUMMYFUNCTION("""COMPUTED_VALUE"""),"High School")</f>
        <v>High School</v>
      </c>
      <c r="J3825" s="6" t="str">
        <f>IFERROR(__xludf.DUMMYFUNCTION("""COMPUTED_VALUE"""),"11")</f>
        <v>11</v>
      </c>
      <c r="K3825" s="6" t="str">
        <f>IFERROR(__xludf.DUMMYFUNCTION("""COMPUTED_VALUE"""),"taressa.hennes@2hourlearning.com")</f>
        <v>taressa.hennes@2hourlearning.com</v>
      </c>
      <c r="L3825" s="6" t="str">
        <f>IFERROR(__xludf.DUMMYFUNCTION("""COMPUTED_VALUE"""),"SPIRE Academy")</f>
        <v>SPIRE Academy</v>
      </c>
      <c r="M3825" s="6" t="str">
        <f>IFERROR(__xludf.DUMMYFUNCTION("""COMPUTED_VALUE"""),"")</f>
        <v/>
      </c>
      <c r="N3825" s="6" t="str">
        <f>IFERROR(__xludf.DUMMYFUNCTION("""COMPUTED_VALUE"""),"")</f>
        <v/>
      </c>
      <c r="O3825" s="87" t="str">
        <f>IFERROR(__xludf.DUMMYFUNCTION("""COMPUTED_VALUE"""),"https://drive.google.com/drive/folders/10T2cTQHqEJZqE-st6uFKPoI?usp=share_link")</f>
        <v>https://drive.google.com/drive/folders/10T2cTQHqEJZqE-st6uFKPoI?usp=share_link</v>
      </c>
      <c r="P3825" s="6" t="str">
        <f>IFERROR(__xludf.DUMMYFUNCTION("""COMPUTED_VALUE"""),"Taressa Hennes")</f>
        <v>Taressa Hennes</v>
      </c>
      <c r="Q3825" s="6" t="str">
        <f>IFERROR(__xludf.DUMMYFUNCTION("""COMPUTED_VALUE"""),"HS")</f>
        <v>HS</v>
      </c>
      <c r="R3825" s="6">
        <f>IFERROR(__xludf.DUMMYFUNCTION("""COMPUTED_VALUE"""),0.0)</f>
        <v>0</v>
      </c>
      <c r="S3825" s="6" t="str">
        <f>IFERROR(__xludf.DUMMYFUNCTION("""COMPUTED_VALUE""")," ")</f>
        <v> </v>
      </c>
      <c r="T3825" s="6" t="str">
        <f>IFERROR(__xludf.DUMMYFUNCTION("""COMPUTED_VALUE"""),"")</f>
        <v/>
      </c>
      <c r="U3825" s="6" t="str">
        <f>IFERROR(__xludf.DUMMYFUNCTION("""COMPUTED_VALUE"""),"11")</f>
        <v>11</v>
      </c>
      <c r="V3825" s="6" t="str">
        <f>IFERROR(__xludf.DUMMYFUNCTION("""COMPUTED_VALUE"""),"English")</f>
        <v>English</v>
      </c>
      <c r="W3825" s="6" t="str">
        <f>IFERROR(__xludf.DUMMYFUNCTION("""COMPUTED_VALUE"""),"[]")</f>
        <v>[]</v>
      </c>
      <c r="X3825" s="6" t="str">
        <f>IFERROR(__xludf.DUMMYFUNCTION("""COMPUTED_VALUE"""),"Enrolled")</f>
        <v>Enrolled</v>
      </c>
    </row>
    <row r="3826">
      <c r="A3826" s="6" t="str">
        <f>IFERROR(__xludf.DUMMYFUNCTION("""COMPUTED_VALUE"""),"068-10130")</f>
        <v>068-10130</v>
      </c>
      <c r="B3826" s="6" t="str">
        <f>IFERROR(__xludf.DUMMYFUNCTION("""COMPUTED_VALUE"""),"68")</f>
        <v>68</v>
      </c>
      <c r="C3826" s="6" t="str">
        <f>IFERROR(__xludf.DUMMYFUNCTION("""COMPUTED_VALUE"""),"10130")</f>
        <v>10130</v>
      </c>
      <c r="D3826" s="6" t="str">
        <f>IFERROR(__xludf.DUMMYFUNCTION("""COMPUTED_VALUE"""),"DaQuana")</f>
        <v>DaQuana</v>
      </c>
      <c r="E3826" s="6" t="str">
        <f>IFERROR(__xludf.DUMMYFUNCTION("""COMPUTED_VALUE"""),"")</f>
        <v/>
      </c>
      <c r="F3826" s="6" t="str">
        <f>IFERROR(__xludf.DUMMYFUNCTION("""COMPUTED_VALUE"""),"Howell")</f>
        <v>Howell</v>
      </c>
      <c r="G3826" s="6" t="str">
        <f>IFERROR(__xludf.DUMMYFUNCTION("""COMPUTED_VALUE"""),"08/06/2010")</f>
        <v>08/06/2010</v>
      </c>
      <c r="H3826" s="6" t="str">
        <f>IFERROR(__xludf.DUMMYFUNCTION("""COMPUTED_VALUE"""),"Self Identify")</f>
        <v>Self Identify</v>
      </c>
      <c r="I3826" s="6" t="str">
        <f>IFERROR(__xludf.DUMMYFUNCTION("""COMPUTED_VALUE"""),"High School")</f>
        <v>High School</v>
      </c>
      <c r="J3826" s="6" t="str">
        <f>IFERROR(__xludf.DUMMYFUNCTION("""COMPUTED_VALUE"""),"10")</f>
        <v>10</v>
      </c>
      <c r="K3826" s="6" t="str">
        <f>IFERROR(__xludf.DUMMYFUNCTION("""COMPUTED_VALUE"""),"daquana.howell@2hourlearning.com")</f>
        <v>daquana.howell@2hourlearning.com</v>
      </c>
      <c r="L3826" s="6" t="str">
        <f>IFERROR(__xludf.DUMMYFUNCTION("""COMPUTED_VALUE"""),"SPIRE Academy")</f>
        <v>SPIRE Academy</v>
      </c>
      <c r="M3826" s="6" t="str">
        <f>IFERROR(__xludf.DUMMYFUNCTION("""COMPUTED_VALUE"""),"")</f>
        <v/>
      </c>
      <c r="N3826" s="6" t="str">
        <f>IFERROR(__xludf.DUMMYFUNCTION("""COMPUTED_VALUE"""),"")</f>
        <v/>
      </c>
      <c r="O3826" s="87" t="str">
        <f>IFERROR(__xludf.DUMMYFUNCTION("""COMPUTED_VALUE"""),"https://drive.google.com/drive/folders/10T2cTQHqEJZqE-st6uFKPoI?usp=share_link")</f>
        <v>https://drive.google.com/drive/folders/10T2cTQHqEJZqE-st6uFKPoI?usp=share_link</v>
      </c>
      <c r="P3826" s="6" t="str">
        <f>IFERROR(__xludf.DUMMYFUNCTION("""COMPUTED_VALUE"""),"DaQuana Howell")</f>
        <v>DaQuana Howell</v>
      </c>
      <c r="Q3826" s="6" t="str">
        <f>IFERROR(__xludf.DUMMYFUNCTION("""COMPUTED_VALUE"""),"HS")</f>
        <v>HS</v>
      </c>
      <c r="R3826" s="6">
        <f>IFERROR(__xludf.DUMMYFUNCTION("""COMPUTED_VALUE"""),0.0)</f>
        <v>0</v>
      </c>
      <c r="S3826" s="6" t="str">
        <f>IFERROR(__xludf.DUMMYFUNCTION("""COMPUTED_VALUE""")," ")</f>
        <v> </v>
      </c>
      <c r="T3826" s="6" t="str">
        <f>IFERROR(__xludf.DUMMYFUNCTION("""COMPUTED_VALUE"""),"")</f>
        <v/>
      </c>
      <c r="U3826" s="6" t="str">
        <f>IFERROR(__xludf.DUMMYFUNCTION("""COMPUTED_VALUE"""),"10")</f>
        <v>10</v>
      </c>
      <c r="V3826" s="6" t="str">
        <f>IFERROR(__xludf.DUMMYFUNCTION("""COMPUTED_VALUE"""),"English")</f>
        <v>English</v>
      </c>
      <c r="W3826" s="6" t="str">
        <f>IFERROR(__xludf.DUMMYFUNCTION("""COMPUTED_VALUE"""),"[]")</f>
        <v>[]</v>
      </c>
      <c r="X3826" s="6" t="str">
        <f>IFERROR(__xludf.DUMMYFUNCTION("""COMPUTED_VALUE"""),"Enrolled")</f>
        <v>Enrolled</v>
      </c>
    </row>
    <row r="3827">
      <c r="A3827" s="6" t="str">
        <f>IFERROR(__xludf.DUMMYFUNCTION("""COMPUTED_VALUE"""),"068-10131")</f>
        <v>068-10131</v>
      </c>
      <c r="B3827" s="6" t="str">
        <f>IFERROR(__xludf.DUMMYFUNCTION("""COMPUTED_VALUE"""),"68")</f>
        <v>68</v>
      </c>
      <c r="C3827" s="6" t="str">
        <f>IFERROR(__xludf.DUMMYFUNCTION("""COMPUTED_VALUE"""),"10131")</f>
        <v>10131</v>
      </c>
      <c r="D3827" s="6" t="str">
        <f>IFERROR(__xludf.DUMMYFUNCTION("""COMPUTED_VALUE"""),"Daniel")</f>
        <v>Daniel</v>
      </c>
      <c r="E3827" s="6" t="str">
        <f>IFERROR(__xludf.DUMMYFUNCTION("""COMPUTED_VALUE"""),"")</f>
        <v/>
      </c>
      <c r="F3827" s="6" t="str">
        <f>IFERROR(__xludf.DUMMYFUNCTION("""COMPUTED_VALUE"""),"Humphrey")</f>
        <v>Humphrey</v>
      </c>
      <c r="G3827" s="6" t="str">
        <f>IFERROR(__xludf.DUMMYFUNCTION("""COMPUTED_VALUE"""),"08/13/2007")</f>
        <v>08/13/2007</v>
      </c>
      <c r="H3827" s="6" t="str">
        <f>IFERROR(__xludf.DUMMYFUNCTION("""COMPUTED_VALUE"""),"Self Identify")</f>
        <v>Self Identify</v>
      </c>
      <c r="I3827" s="6" t="str">
        <f>IFERROR(__xludf.DUMMYFUNCTION("""COMPUTED_VALUE"""),"High School")</f>
        <v>High School</v>
      </c>
      <c r="J3827" s="6" t="str">
        <f>IFERROR(__xludf.DUMMYFUNCTION("""COMPUTED_VALUE"""),"12")</f>
        <v>12</v>
      </c>
      <c r="K3827" s="6" t="str">
        <f>IFERROR(__xludf.DUMMYFUNCTION("""COMPUTED_VALUE"""),"daniel.humphrey@2hourlearning.com")</f>
        <v>daniel.humphrey@2hourlearning.com</v>
      </c>
      <c r="L3827" s="6" t="str">
        <f>IFERROR(__xludf.DUMMYFUNCTION("""COMPUTED_VALUE"""),"SPIRE Academy")</f>
        <v>SPIRE Academy</v>
      </c>
      <c r="M3827" s="6" t="str">
        <f>IFERROR(__xludf.DUMMYFUNCTION("""COMPUTED_VALUE"""),"")</f>
        <v/>
      </c>
      <c r="N3827" s="6" t="str">
        <f>IFERROR(__xludf.DUMMYFUNCTION("""COMPUTED_VALUE"""),"")</f>
        <v/>
      </c>
      <c r="O3827" s="87" t="str">
        <f>IFERROR(__xludf.DUMMYFUNCTION("""COMPUTED_VALUE"""),"https://drive.google.com/drive/folders/10T2cTQHqEJZqE-st6uFKPoI?usp=share_link")</f>
        <v>https://drive.google.com/drive/folders/10T2cTQHqEJZqE-st6uFKPoI?usp=share_link</v>
      </c>
      <c r="P3827" s="6" t="str">
        <f>IFERROR(__xludf.DUMMYFUNCTION("""COMPUTED_VALUE"""),"Daniel Humphrey")</f>
        <v>Daniel Humphrey</v>
      </c>
      <c r="Q3827" s="6" t="str">
        <f>IFERROR(__xludf.DUMMYFUNCTION("""COMPUTED_VALUE"""),"HS")</f>
        <v>HS</v>
      </c>
      <c r="R3827" s="6">
        <f>IFERROR(__xludf.DUMMYFUNCTION("""COMPUTED_VALUE"""),0.0)</f>
        <v>0</v>
      </c>
      <c r="S3827" s="6" t="str">
        <f>IFERROR(__xludf.DUMMYFUNCTION("""COMPUTED_VALUE""")," ")</f>
        <v> </v>
      </c>
      <c r="T3827" s="6" t="str">
        <f>IFERROR(__xludf.DUMMYFUNCTION("""COMPUTED_VALUE"""),"")</f>
        <v/>
      </c>
      <c r="U3827" s="6" t="str">
        <f>IFERROR(__xludf.DUMMYFUNCTION("""COMPUTED_VALUE"""),"12")</f>
        <v>12</v>
      </c>
      <c r="V3827" s="6" t="str">
        <f>IFERROR(__xludf.DUMMYFUNCTION("""COMPUTED_VALUE"""),"English")</f>
        <v>English</v>
      </c>
      <c r="W3827" s="6" t="str">
        <f>IFERROR(__xludf.DUMMYFUNCTION("""COMPUTED_VALUE"""),"[]")</f>
        <v>[]</v>
      </c>
      <c r="X3827" s="6" t="str">
        <f>IFERROR(__xludf.DUMMYFUNCTION("""COMPUTED_VALUE"""),"Enrolled")</f>
        <v>Enrolled</v>
      </c>
    </row>
    <row r="3828">
      <c r="A3828" s="6" t="str">
        <f>IFERROR(__xludf.DUMMYFUNCTION("""COMPUTED_VALUE"""),"068-10132")</f>
        <v>068-10132</v>
      </c>
      <c r="B3828" s="6" t="str">
        <f>IFERROR(__xludf.DUMMYFUNCTION("""COMPUTED_VALUE"""),"68")</f>
        <v>68</v>
      </c>
      <c r="C3828" s="6" t="str">
        <f>IFERROR(__xludf.DUMMYFUNCTION("""COMPUTED_VALUE"""),"10132")</f>
        <v>10132</v>
      </c>
      <c r="D3828" s="6" t="str">
        <f>IFERROR(__xludf.DUMMYFUNCTION("""COMPUTED_VALUE"""),"Cohen")</f>
        <v>Cohen</v>
      </c>
      <c r="E3828" s="6" t="str">
        <f>IFERROR(__xludf.DUMMYFUNCTION("""COMPUTED_VALUE"""),"")</f>
        <v/>
      </c>
      <c r="F3828" s="6" t="str">
        <f>IFERROR(__xludf.DUMMYFUNCTION("""COMPUTED_VALUE"""),"Hyatt")</f>
        <v>Hyatt</v>
      </c>
      <c r="G3828" s="6" t="str">
        <f>IFERROR(__xludf.DUMMYFUNCTION("""COMPUTED_VALUE"""),"06/07/2007")</f>
        <v>06/07/2007</v>
      </c>
      <c r="H3828" s="6" t="str">
        <f>IFERROR(__xludf.DUMMYFUNCTION("""COMPUTED_VALUE"""),"Self Identify")</f>
        <v>Self Identify</v>
      </c>
      <c r="I3828" s="6" t="str">
        <f>IFERROR(__xludf.DUMMYFUNCTION("""COMPUTED_VALUE"""),"High School")</f>
        <v>High School</v>
      </c>
      <c r="J3828" s="6" t="str">
        <f>IFERROR(__xludf.DUMMYFUNCTION("""COMPUTED_VALUE"""),"12")</f>
        <v>12</v>
      </c>
      <c r="K3828" s="6" t="str">
        <f>IFERROR(__xludf.DUMMYFUNCTION("""COMPUTED_VALUE"""),"cohen.hyatt@2hourlearning.com")</f>
        <v>cohen.hyatt@2hourlearning.com</v>
      </c>
      <c r="L3828" s="6" t="str">
        <f>IFERROR(__xludf.DUMMYFUNCTION("""COMPUTED_VALUE"""),"SPIRE Academy")</f>
        <v>SPIRE Academy</v>
      </c>
      <c r="M3828" s="6" t="str">
        <f>IFERROR(__xludf.DUMMYFUNCTION("""COMPUTED_VALUE"""),"")</f>
        <v/>
      </c>
      <c r="N3828" s="6" t="str">
        <f>IFERROR(__xludf.DUMMYFUNCTION("""COMPUTED_VALUE"""),"")</f>
        <v/>
      </c>
      <c r="O3828" s="87" t="str">
        <f>IFERROR(__xludf.DUMMYFUNCTION("""COMPUTED_VALUE"""),"https://drive.google.com/drive/folders/10T2cTQHqEJZqE-st6uFKPoI?usp=share_link")</f>
        <v>https://drive.google.com/drive/folders/10T2cTQHqEJZqE-st6uFKPoI?usp=share_link</v>
      </c>
      <c r="P3828" s="6" t="str">
        <f>IFERROR(__xludf.DUMMYFUNCTION("""COMPUTED_VALUE"""),"Cohen Hyatt")</f>
        <v>Cohen Hyatt</v>
      </c>
      <c r="Q3828" s="6" t="str">
        <f>IFERROR(__xludf.DUMMYFUNCTION("""COMPUTED_VALUE"""),"HS")</f>
        <v>HS</v>
      </c>
      <c r="R3828" s="6">
        <f>IFERROR(__xludf.DUMMYFUNCTION("""COMPUTED_VALUE"""),0.0)</f>
        <v>0</v>
      </c>
      <c r="S3828" s="6" t="str">
        <f>IFERROR(__xludf.DUMMYFUNCTION("""COMPUTED_VALUE""")," ")</f>
        <v> </v>
      </c>
      <c r="T3828" s="6" t="str">
        <f>IFERROR(__xludf.DUMMYFUNCTION("""COMPUTED_VALUE"""),"")</f>
        <v/>
      </c>
      <c r="U3828" s="6" t="str">
        <f>IFERROR(__xludf.DUMMYFUNCTION("""COMPUTED_VALUE"""),"12")</f>
        <v>12</v>
      </c>
      <c r="V3828" s="6" t="str">
        <f>IFERROR(__xludf.DUMMYFUNCTION("""COMPUTED_VALUE"""),"English")</f>
        <v>English</v>
      </c>
      <c r="W3828" s="6" t="str">
        <f>IFERROR(__xludf.DUMMYFUNCTION("""COMPUTED_VALUE"""),"[]")</f>
        <v>[]</v>
      </c>
      <c r="X3828" s="6" t="str">
        <f>IFERROR(__xludf.DUMMYFUNCTION("""COMPUTED_VALUE"""),"Enrolled")</f>
        <v>Enrolled</v>
      </c>
    </row>
    <row r="3829">
      <c r="A3829" s="6" t="str">
        <f>IFERROR(__xludf.DUMMYFUNCTION("""COMPUTED_VALUE"""),"068-10133")</f>
        <v>068-10133</v>
      </c>
      <c r="B3829" s="6" t="str">
        <f>IFERROR(__xludf.DUMMYFUNCTION("""COMPUTED_VALUE"""),"68")</f>
        <v>68</v>
      </c>
      <c r="C3829" s="6" t="str">
        <f>IFERROR(__xludf.DUMMYFUNCTION("""COMPUTED_VALUE"""),"10133")</f>
        <v>10133</v>
      </c>
      <c r="D3829" s="6" t="str">
        <f>IFERROR(__xludf.DUMMYFUNCTION("""COMPUTED_VALUE"""),"Galder")</f>
        <v>Galder</v>
      </c>
      <c r="E3829" s="6" t="str">
        <f>IFERROR(__xludf.DUMMYFUNCTION("""COMPUTED_VALUE"""),"")</f>
        <v/>
      </c>
      <c r="F3829" s="6" t="str">
        <f>IFERROR(__xludf.DUMMYFUNCTION("""COMPUTED_VALUE"""),"Idiakez San Jose")</f>
        <v>Idiakez San Jose</v>
      </c>
      <c r="G3829" s="6" t="str">
        <f>IFERROR(__xludf.DUMMYFUNCTION("""COMPUTED_VALUE"""),"01/15/2008")</f>
        <v>01/15/2008</v>
      </c>
      <c r="H3829" s="6" t="str">
        <f>IFERROR(__xludf.DUMMYFUNCTION("""COMPUTED_VALUE"""),"Self Identify")</f>
        <v>Self Identify</v>
      </c>
      <c r="I3829" s="6" t="str">
        <f>IFERROR(__xludf.DUMMYFUNCTION("""COMPUTED_VALUE"""),"High School")</f>
        <v>High School</v>
      </c>
      <c r="J3829" s="6" t="str">
        <f>IFERROR(__xludf.DUMMYFUNCTION("""COMPUTED_VALUE"""),"12")</f>
        <v>12</v>
      </c>
      <c r="K3829" s="6" t="str">
        <f>IFERROR(__xludf.DUMMYFUNCTION("""COMPUTED_VALUE"""),"galder.idiakezsanjose@2hourlearning.com")</f>
        <v>galder.idiakezsanjose@2hourlearning.com</v>
      </c>
      <c r="L3829" s="6" t="str">
        <f>IFERROR(__xludf.DUMMYFUNCTION("""COMPUTED_VALUE"""),"SPIRE Academy")</f>
        <v>SPIRE Academy</v>
      </c>
      <c r="M3829" s="6" t="str">
        <f>IFERROR(__xludf.DUMMYFUNCTION("""COMPUTED_VALUE"""),"")</f>
        <v/>
      </c>
      <c r="N3829" s="6" t="str">
        <f>IFERROR(__xludf.DUMMYFUNCTION("""COMPUTED_VALUE"""),"")</f>
        <v/>
      </c>
      <c r="O3829" s="87" t="str">
        <f>IFERROR(__xludf.DUMMYFUNCTION("""COMPUTED_VALUE"""),"https://drive.google.com/drive/folders/10T2cTQHqEJZqE-st6uFKPoI?usp=share_link")</f>
        <v>https://drive.google.com/drive/folders/10T2cTQHqEJZqE-st6uFKPoI?usp=share_link</v>
      </c>
      <c r="P3829" s="6" t="str">
        <f>IFERROR(__xludf.DUMMYFUNCTION("""COMPUTED_VALUE"""),"Galder Idiakez San Jose")</f>
        <v>Galder Idiakez San Jose</v>
      </c>
      <c r="Q3829" s="6" t="str">
        <f>IFERROR(__xludf.DUMMYFUNCTION("""COMPUTED_VALUE"""),"HS")</f>
        <v>HS</v>
      </c>
      <c r="R3829" s="6">
        <f>IFERROR(__xludf.DUMMYFUNCTION("""COMPUTED_VALUE"""),0.0)</f>
        <v>0</v>
      </c>
      <c r="S3829" s="6" t="str">
        <f>IFERROR(__xludf.DUMMYFUNCTION("""COMPUTED_VALUE""")," ")</f>
        <v> </v>
      </c>
      <c r="T3829" s="6" t="str">
        <f>IFERROR(__xludf.DUMMYFUNCTION("""COMPUTED_VALUE"""),"")</f>
        <v/>
      </c>
      <c r="U3829" s="6" t="str">
        <f>IFERROR(__xludf.DUMMYFUNCTION("""COMPUTED_VALUE"""),"12")</f>
        <v>12</v>
      </c>
      <c r="V3829" s="6" t="str">
        <f>IFERROR(__xludf.DUMMYFUNCTION("""COMPUTED_VALUE"""),"English")</f>
        <v>English</v>
      </c>
      <c r="W3829" s="6" t="str">
        <f>IFERROR(__xludf.DUMMYFUNCTION("""COMPUTED_VALUE"""),"[]")</f>
        <v>[]</v>
      </c>
      <c r="X3829" s="6" t="str">
        <f>IFERROR(__xludf.DUMMYFUNCTION("""COMPUTED_VALUE"""),"Enrolled")</f>
        <v>Enrolled</v>
      </c>
    </row>
    <row r="3830">
      <c r="A3830" s="6" t="str">
        <f>IFERROR(__xludf.DUMMYFUNCTION("""COMPUTED_VALUE"""),"068-10134")</f>
        <v>068-10134</v>
      </c>
      <c r="B3830" s="6" t="str">
        <f>IFERROR(__xludf.DUMMYFUNCTION("""COMPUTED_VALUE"""),"68")</f>
        <v>68</v>
      </c>
      <c r="C3830" s="6" t="str">
        <f>IFERROR(__xludf.DUMMYFUNCTION("""COMPUTED_VALUE"""),"10134")</f>
        <v>10134</v>
      </c>
      <c r="D3830" s="6" t="str">
        <f>IFERROR(__xludf.DUMMYFUNCTION("""COMPUTED_VALUE"""),"Maelie")</f>
        <v>Maelie</v>
      </c>
      <c r="E3830" s="6" t="str">
        <f>IFERROR(__xludf.DUMMYFUNCTION("""COMPUTED_VALUE"""),"")</f>
        <v/>
      </c>
      <c r="F3830" s="6" t="str">
        <f>IFERROR(__xludf.DUMMYFUNCTION("""COMPUTED_VALUE"""),"Jantzem")</f>
        <v>Jantzem</v>
      </c>
      <c r="G3830" s="6" t="str">
        <f>IFERROR(__xludf.DUMMYFUNCTION("""COMPUTED_VALUE"""),"06/03/2008")</f>
        <v>06/03/2008</v>
      </c>
      <c r="H3830" s="6" t="str">
        <f>IFERROR(__xludf.DUMMYFUNCTION("""COMPUTED_VALUE"""),"Self Identify")</f>
        <v>Self Identify</v>
      </c>
      <c r="I3830" s="6" t="str">
        <f>IFERROR(__xludf.DUMMYFUNCTION("""COMPUTED_VALUE"""),"High School")</f>
        <v>High School</v>
      </c>
      <c r="J3830" s="6" t="str">
        <f>IFERROR(__xludf.DUMMYFUNCTION("""COMPUTED_VALUE"""),"12")</f>
        <v>12</v>
      </c>
      <c r="K3830" s="6" t="str">
        <f>IFERROR(__xludf.DUMMYFUNCTION("""COMPUTED_VALUE"""),"maelie.jantzem@2hourlearning.com")</f>
        <v>maelie.jantzem@2hourlearning.com</v>
      </c>
      <c r="L3830" s="6" t="str">
        <f>IFERROR(__xludf.DUMMYFUNCTION("""COMPUTED_VALUE"""),"SPIRE Academy")</f>
        <v>SPIRE Academy</v>
      </c>
      <c r="M3830" s="6" t="str">
        <f>IFERROR(__xludf.DUMMYFUNCTION("""COMPUTED_VALUE"""),"")</f>
        <v/>
      </c>
      <c r="N3830" s="6" t="str">
        <f>IFERROR(__xludf.DUMMYFUNCTION("""COMPUTED_VALUE"""),"")</f>
        <v/>
      </c>
      <c r="O3830" s="87" t="str">
        <f>IFERROR(__xludf.DUMMYFUNCTION("""COMPUTED_VALUE"""),"https://drive.google.com/drive/folders/10T2cTQHqEJZqE-st6uFKPoI?usp=share_link")</f>
        <v>https://drive.google.com/drive/folders/10T2cTQHqEJZqE-st6uFKPoI?usp=share_link</v>
      </c>
      <c r="P3830" s="6" t="str">
        <f>IFERROR(__xludf.DUMMYFUNCTION("""COMPUTED_VALUE"""),"Maelie Jantzem")</f>
        <v>Maelie Jantzem</v>
      </c>
      <c r="Q3830" s="6" t="str">
        <f>IFERROR(__xludf.DUMMYFUNCTION("""COMPUTED_VALUE"""),"HS")</f>
        <v>HS</v>
      </c>
      <c r="R3830" s="6">
        <f>IFERROR(__xludf.DUMMYFUNCTION("""COMPUTED_VALUE"""),0.0)</f>
        <v>0</v>
      </c>
      <c r="S3830" s="6" t="str">
        <f>IFERROR(__xludf.DUMMYFUNCTION("""COMPUTED_VALUE""")," ")</f>
        <v> </v>
      </c>
      <c r="T3830" s="6" t="str">
        <f>IFERROR(__xludf.DUMMYFUNCTION("""COMPUTED_VALUE"""),"")</f>
        <v/>
      </c>
      <c r="U3830" s="6" t="str">
        <f>IFERROR(__xludf.DUMMYFUNCTION("""COMPUTED_VALUE"""),"12")</f>
        <v>12</v>
      </c>
      <c r="V3830" s="6" t="str">
        <f>IFERROR(__xludf.DUMMYFUNCTION("""COMPUTED_VALUE"""),"English")</f>
        <v>English</v>
      </c>
      <c r="W3830" s="6" t="str">
        <f>IFERROR(__xludf.DUMMYFUNCTION("""COMPUTED_VALUE"""),"[]")</f>
        <v>[]</v>
      </c>
      <c r="X3830" s="6" t="str">
        <f>IFERROR(__xludf.DUMMYFUNCTION("""COMPUTED_VALUE"""),"Enrolled")</f>
        <v>Enrolled</v>
      </c>
    </row>
    <row r="3831">
      <c r="A3831" s="6" t="str">
        <f>IFERROR(__xludf.DUMMYFUNCTION("""COMPUTED_VALUE"""),"068-10135")</f>
        <v>068-10135</v>
      </c>
      <c r="B3831" s="6" t="str">
        <f>IFERROR(__xludf.DUMMYFUNCTION("""COMPUTED_VALUE"""),"68")</f>
        <v>68</v>
      </c>
      <c r="C3831" s="6" t="str">
        <f>IFERROR(__xludf.DUMMYFUNCTION("""COMPUTED_VALUE"""),"10135")</f>
        <v>10135</v>
      </c>
      <c r="D3831" s="6" t="str">
        <f>IFERROR(__xludf.DUMMYFUNCTION("""COMPUTED_VALUE"""),"Zion")</f>
        <v>Zion</v>
      </c>
      <c r="E3831" s="6" t="str">
        <f>IFERROR(__xludf.DUMMYFUNCTION("""COMPUTED_VALUE"""),"")</f>
        <v/>
      </c>
      <c r="F3831" s="6" t="str">
        <f>IFERROR(__xludf.DUMMYFUNCTION("""COMPUTED_VALUE"""),"John Baptiste")</f>
        <v>John Baptiste</v>
      </c>
      <c r="G3831" s="6" t="str">
        <f>IFERROR(__xludf.DUMMYFUNCTION("""COMPUTED_VALUE"""),"02/25/2010")</f>
        <v>02/25/2010</v>
      </c>
      <c r="H3831" s="6" t="str">
        <f>IFERROR(__xludf.DUMMYFUNCTION("""COMPUTED_VALUE"""),"Self Identify")</f>
        <v>Self Identify</v>
      </c>
      <c r="I3831" s="6" t="str">
        <f>IFERROR(__xludf.DUMMYFUNCTION("""COMPUTED_VALUE"""),"High School")</f>
        <v>High School</v>
      </c>
      <c r="J3831" s="6" t="str">
        <f>IFERROR(__xludf.DUMMYFUNCTION("""COMPUTED_VALUE"""),"10")</f>
        <v>10</v>
      </c>
      <c r="K3831" s="6" t="str">
        <f>IFERROR(__xludf.DUMMYFUNCTION("""COMPUTED_VALUE"""),"zion.johnbaptiste@2hourlearning.com")</f>
        <v>zion.johnbaptiste@2hourlearning.com</v>
      </c>
      <c r="L3831" s="6" t="str">
        <f>IFERROR(__xludf.DUMMYFUNCTION("""COMPUTED_VALUE"""),"SPIRE Academy")</f>
        <v>SPIRE Academy</v>
      </c>
      <c r="M3831" s="6" t="str">
        <f>IFERROR(__xludf.DUMMYFUNCTION("""COMPUTED_VALUE"""),"")</f>
        <v/>
      </c>
      <c r="N3831" s="6" t="str">
        <f>IFERROR(__xludf.DUMMYFUNCTION("""COMPUTED_VALUE"""),"")</f>
        <v/>
      </c>
      <c r="O3831" s="87" t="str">
        <f>IFERROR(__xludf.DUMMYFUNCTION("""COMPUTED_VALUE"""),"https://drive.google.com/drive/folders/10T2cTQHqEJZqE-st6uFKPoI?usp=share_link")</f>
        <v>https://drive.google.com/drive/folders/10T2cTQHqEJZqE-st6uFKPoI?usp=share_link</v>
      </c>
      <c r="P3831" s="6" t="str">
        <f>IFERROR(__xludf.DUMMYFUNCTION("""COMPUTED_VALUE"""),"Zion John Baptiste")</f>
        <v>Zion John Baptiste</v>
      </c>
      <c r="Q3831" s="6" t="str">
        <f>IFERROR(__xludf.DUMMYFUNCTION("""COMPUTED_VALUE"""),"HS")</f>
        <v>HS</v>
      </c>
      <c r="R3831" s="6">
        <f>IFERROR(__xludf.DUMMYFUNCTION("""COMPUTED_VALUE"""),0.0)</f>
        <v>0</v>
      </c>
      <c r="S3831" s="6" t="str">
        <f>IFERROR(__xludf.DUMMYFUNCTION("""COMPUTED_VALUE""")," ")</f>
        <v> </v>
      </c>
      <c r="T3831" s="6" t="str">
        <f>IFERROR(__xludf.DUMMYFUNCTION("""COMPUTED_VALUE"""),"")</f>
        <v/>
      </c>
      <c r="U3831" s="6" t="str">
        <f>IFERROR(__xludf.DUMMYFUNCTION("""COMPUTED_VALUE"""),"10")</f>
        <v>10</v>
      </c>
      <c r="V3831" s="6" t="str">
        <f>IFERROR(__xludf.DUMMYFUNCTION("""COMPUTED_VALUE"""),"English")</f>
        <v>English</v>
      </c>
      <c r="W3831" s="6" t="str">
        <f>IFERROR(__xludf.DUMMYFUNCTION("""COMPUTED_VALUE"""),"[]")</f>
        <v>[]</v>
      </c>
      <c r="X3831" s="6" t="str">
        <f>IFERROR(__xludf.DUMMYFUNCTION("""COMPUTED_VALUE"""),"Enrolled")</f>
        <v>Enrolled</v>
      </c>
    </row>
    <row r="3832">
      <c r="A3832" s="6" t="str">
        <f>IFERROR(__xludf.DUMMYFUNCTION("""COMPUTED_VALUE"""),"068-10136")</f>
        <v>068-10136</v>
      </c>
      <c r="B3832" s="6" t="str">
        <f>IFERROR(__xludf.DUMMYFUNCTION("""COMPUTED_VALUE"""),"68")</f>
        <v>68</v>
      </c>
      <c r="C3832" s="6" t="str">
        <f>IFERROR(__xludf.DUMMYFUNCTION("""COMPUTED_VALUE"""),"10136")</f>
        <v>10136</v>
      </c>
      <c r="D3832" s="6" t="str">
        <f>IFERROR(__xludf.DUMMYFUNCTION("""COMPUTED_VALUE"""),"Lucas")</f>
        <v>Lucas</v>
      </c>
      <c r="E3832" s="6" t="str">
        <f>IFERROR(__xludf.DUMMYFUNCTION("""COMPUTED_VALUE"""),"")</f>
        <v/>
      </c>
      <c r="F3832" s="6" t="str">
        <f>IFERROR(__xludf.DUMMYFUNCTION("""COMPUTED_VALUE"""),"Josephine")</f>
        <v>Josephine</v>
      </c>
      <c r="G3832" s="6" t="str">
        <f>IFERROR(__xludf.DUMMYFUNCTION("""COMPUTED_VALUE"""),"06/19/2009")</f>
        <v>06/19/2009</v>
      </c>
      <c r="H3832" s="6" t="str">
        <f>IFERROR(__xludf.DUMMYFUNCTION("""COMPUTED_VALUE"""),"Self Identify")</f>
        <v>Self Identify</v>
      </c>
      <c r="I3832" s="6" t="str">
        <f>IFERROR(__xludf.DUMMYFUNCTION("""COMPUTED_VALUE"""),"High School")</f>
        <v>High School</v>
      </c>
      <c r="J3832" s="6" t="str">
        <f>IFERROR(__xludf.DUMMYFUNCTION("""COMPUTED_VALUE"""),"12")</f>
        <v>12</v>
      </c>
      <c r="K3832" s="6" t="str">
        <f>IFERROR(__xludf.DUMMYFUNCTION("""COMPUTED_VALUE"""),"lucas.josephine@2hourlearning.com")</f>
        <v>lucas.josephine@2hourlearning.com</v>
      </c>
      <c r="L3832" s="6" t="str">
        <f>IFERROR(__xludf.DUMMYFUNCTION("""COMPUTED_VALUE"""),"SPIRE Academy")</f>
        <v>SPIRE Academy</v>
      </c>
      <c r="M3832" s="6" t="str">
        <f>IFERROR(__xludf.DUMMYFUNCTION("""COMPUTED_VALUE"""),"")</f>
        <v/>
      </c>
      <c r="N3832" s="6" t="str">
        <f>IFERROR(__xludf.DUMMYFUNCTION("""COMPUTED_VALUE"""),"")</f>
        <v/>
      </c>
      <c r="O3832" s="87" t="str">
        <f>IFERROR(__xludf.DUMMYFUNCTION("""COMPUTED_VALUE"""),"https://drive.google.com/drive/folders/10T2cTQHqEJZqE-st6uFKPoI?usp=share_link")</f>
        <v>https://drive.google.com/drive/folders/10T2cTQHqEJZqE-st6uFKPoI?usp=share_link</v>
      </c>
      <c r="P3832" s="6" t="str">
        <f>IFERROR(__xludf.DUMMYFUNCTION("""COMPUTED_VALUE"""),"Lucas Josephine")</f>
        <v>Lucas Josephine</v>
      </c>
      <c r="Q3832" s="6" t="str">
        <f>IFERROR(__xludf.DUMMYFUNCTION("""COMPUTED_VALUE"""),"HS")</f>
        <v>HS</v>
      </c>
      <c r="R3832" s="6">
        <f>IFERROR(__xludf.DUMMYFUNCTION("""COMPUTED_VALUE"""),0.0)</f>
        <v>0</v>
      </c>
      <c r="S3832" s="6" t="str">
        <f>IFERROR(__xludf.DUMMYFUNCTION("""COMPUTED_VALUE""")," ")</f>
        <v> </v>
      </c>
      <c r="T3832" s="6" t="str">
        <f>IFERROR(__xludf.DUMMYFUNCTION("""COMPUTED_VALUE"""),"")</f>
        <v/>
      </c>
      <c r="U3832" s="6" t="str">
        <f>IFERROR(__xludf.DUMMYFUNCTION("""COMPUTED_VALUE"""),"12")</f>
        <v>12</v>
      </c>
      <c r="V3832" s="6" t="str">
        <f>IFERROR(__xludf.DUMMYFUNCTION("""COMPUTED_VALUE"""),"English")</f>
        <v>English</v>
      </c>
      <c r="W3832" s="6" t="str">
        <f>IFERROR(__xludf.DUMMYFUNCTION("""COMPUTED_VALUE"""),"[]")</f>
        <v>[]</v>
      </c>
      <c r="X3832" s="6" t="str">
        <f>IFERROR(__xludf.DUMMYFUNCTION("""COMPUTED_VALUE"""),"Enrolled")</f>
        <v>Enrolled</v>
      </c>
    </row>
    <row r="3833">
      <c r="A3833" s="6" t="str">
        <f>IFERROR(__xludf.DUMMYFUNCTION("""COMPUTED_VALUE"""),"068-10137")</f>
        <v>068-10137</v>
      </c>
      <c r="B3833" s="6" t="str">
        <f>IFERROR(__xludf.DUMMYFUNCTION("""COMPUTED_VALUE"""),"68")</f>
        <v>68</v>
      </c>
      <c r="C3833" s="6" t="str">
        <f>IFERROR(__xludf.DUMMYFUNCTION("""COMPUTED_VALUE"""),"10137")</f>
        <v>10137</v>
      </c>
      <c r="D3833" s="6" t="str">
        <f>IFERROR(__xludf.DUMMYFUNCTION("""COMPUTED_VALUE"""),"Coline")</f>
        <v>Coline</v>
      </c>
      <c r="E3833" s="6" t="str">
        <f>IFERROR(__xludf.DUMMYFUNCTION("""COMPUTED_VALUE"""),"")</f>
        <v/>
      </c>
      <c r="F3833" s="6" t="str">
        <f>IFERROR(__xludf.DUMMYFUNCTION("""COMPUTED_VALUE"""),"Jung")</f>
        <v>Jung</v>
      </c>
      <c r="G3833" s="6" t="str">
        <f>IFERROR(__xludf.DUMMYFUNCTION("""COMPUTED_VALUE"""),"04/15/2009")</f>
        <v>04/15/2009</v>
      </c>
      <c r="H3833" s="6" t="str">
        <f>IFERROR(__xludf.DUMMYFUNCTION("""COMPUTED_VALUE"""),"Self Identify")</f>
        <v>Self Identify</v>
      </c>
      <c r="I3833" s="6" t="str">
        <f>IFERROR(__xludf.DUMMYFUNCTION("""COMPUTED_VALUE"""),"High School")</f>
        <v>High School</v>
      </c>
      <c r="J3833" s="6" t="str">
        <f>IFERROR(__xludf.DUMMYFUNCTION("""COMPUTED_VALUE"""),"11")</f>
        <v>11</v>
      </c>
      <c r="K3833" s="6" t="str">
        <f>IFERROR(__xludf.DUMMYFUNCTION("""COMPUTED_VALUE"""),"coline.jung@2hourlearning.com")</f>
        <v>coline.jung@2hourlearning.com</v>
      </c>
      <c r="L3833" s="6" t="str">
        <f>IFERROR(__xludf.DUMMYFUNCTION("""COMPUTED_VALUE"""),"SPIRE Academy")</f>
        <v>SPIRE Academy</v>
      </c>
      <c r="M3833" s="6" t="str">
        <f>IFERROR(__xludf.DUMMYFUNCTION("""COMPUTED_VALUE"""),"")</f>
        <v/>
      </c>
      <c r="N3833" s="6" t="str">
        <f>IFERROR(__xludf.DUMMYFUNCTION("""COMPUTED_VALUE"""),"")</f>
        <v/>
      </c>
      <c r="O3833" s="87" t="str">
        <f>IFERROR(__xludf.DUMMYFUNCTION("""COMPUTED_VALUE"""),"https://drive.google.com/drive/folders/10T2cTQHqEJZqE-st6uFKPoI?usp=share_link")</f>
        <v>https://drive.google.com/drive/folders/10T2cTQHqEJZqE-st6uFKPoI?usp=share_link</v>
      </c>
      <c r="P3833" s="6" t="str">
        <f>IFERROR(__xludf.DUMMYFUNCTION("""COMPUTED_VALUE"""),"Coline Jung")</f>
        <v>Coline Jung</v>
      </c>
      <c r="Q3833" s="6" t="str">
        <f>IFERROR(__xludf.DUMMYFUNCTION("""COMPUTED_VALUE"""),"HS")</f>
        <v>HS</v>
      </c>
      <c r="R3833" s="6">
        <f>IFERROR(__xludf.DUMMYFUNCTION("""COMPUTED_VALUE"""),0.0)</f>
        <v>0</v>
      </c>
      <c r="S3833" s="6" t="str">
        <f>IFERROR(__xludf.DUMMYFUNCTION("""COMPUTED_VALUE""")," ")</f>
        <v> </v>
      </c>
      <c r="T3833" s="6" t="str">
        <f>IFERROR(__xludf.DUMMYFUNCTION("""COMPUTED_VALUE"""),"")</f>
        <v/>
      </c>
      <c r="U3833" s="6" t="str">
        <f>IFERROR(__xludf.DUMMYFUNCTION("""COMPUTED_VALUE"""),"11")</f>
        <v>11</v>
      </c>
      <c r="V3833" s="6" t="str">
        <f>IFERROR(__xludf.DUMMYFUNCTION("""COMPUTED_VALUE"""),"English")</f>
        <v>English</v>
      </c>
      <c r="W3833" s="6" t="str">
        <f>IFERROR(__xludf.DUMMYFUNCTION("""COMPUTED_VALUE"""),"[]")</f>
        <v>[]</v>
      </c>
      <c r="X3833" s="6" t="str">
        <f>IFERROR(__xludf.DUMMYFUNCTION("""COMPUTED_VALUE"""),"Enrolled")</f>
        <v>Enrolled</v>
      </c>
    </row>
    <row r="3834">
      <c r="A3834" s="6" t="str">
        <f>IFERROR(__xludf.DUMMYFUNCTION("""COMPUTED_VALUE"""),"068-10138")</f>
        <v>068-10138</v>
      </c>
      <c r="B3834" s="6" t="str">
        <f>IFERROR(__xludf.DUMMYFUNCTION("""COMPUTED_VALUE"""),"68")</f>
        <v>68</v>
      </c>
      <c r="C3834" s="6" t="str">
        <f>IFERROR(__xludf.DUMMYFUNCTION("""COMPUTED_VALUE"""),"10138")</f>
        <v>10138</v>
      </c>
      <c r="D3834" s="6" t="str">
        <f>IFERROR(__xludf.DUMMYFUNCTION("""COMPUTED_VALUE"""),"David")</f>
        <v>David</v>
      </c>
      <c r="E3834" s="6" t="str">
        <f>IFERROR(__xludf.DUMMYFUNCTION("""COMPUTED_VALUE"""),"")</f>
        <v/>
      </c>
      <c r="F3834" s="6" t="str">
        <f>IFERROR(__xludf.DUMMYFUNCTION("""COMPUTED_VALUE"""),"Kagirwa")</f>
        <v>Kagirwa</v>
      </c>
      <c r="G3834" s="6" t="str">
        <f>IFERROR(__xludf.DUMMYFUNCTION("""COMPUTED_VALUE"""),"01/16/2009")</f>
        <v>01/16/2009</v>
      </c>
      <c r="H3834" s="6" t="str">
        <f>IFERROR(__xludf.DUMMYFUNCTION("""COMPUTED_VALUE"""),"Self Identify")</f>
        <v>Self Identify</v>
      </c>
      <c r="I3834" s="6" t="str">
        <f>IFERROR(__xludf.DUMMYFUNCTION("""COMPUTED_VALUE"""),"High School")</f>
        <v>High School</v>
      </c>
      <c r="J3834" s="6" t="str">
        <f>IFERROR(__xludf.DUMMYFUNCTION("""COMPUTED_VALUE"""),"11")</f>
        <v>11</v>
      </c>
      <c r="K3834" s="6" t="str">
        <f>IFERROR(__xludf.DUMMYFUNCTION("""COMPUTED_VALUE"""),"david.kagirwa@2hourlearning.com")</f>
        <v>david.kagirwa@2hourlearning.com</v>
      </c>
      <c r="L3834" s="6" t="str">
        <f>IFERROR(__xludf.DUMMYFUNCTION("""COMPUTED_VALUE"""),"SPIRE Academy")</f>
        <v>SPIRE Academy</v>
      </c>
      <c r="M3834" s="6" t="str">
        <f>IFERROR(__xludf.DUMMYFUNCTION("""COMPUTED_VALUE"""),"")</f>
        <v/>
      </c>
      <c r="N3834" s="6" t="str">
        <f>IFERROR(__xludf.DUMMYFUNCTION("""COMPUTED_VALUE"""),"")</f>
        <v/>
      </c>
      <c r="O3834" s="87" t="str">
        <f>IFERROR(__xludf.DUMMYFUNCTION("""COMPUTED_VALUE"""),"https://drive.google.com/drive/folders/10T2cTQHqEJZqE-st6uFKPoI?usp=share_link")</f>
        <v>https://drive.google.com/drive/folders/10T2cTQHqEJZqE-st6uFKPoI?usp=share_link</v>
      </c>
      <c r="P3834" s="6" t="str">
        <f>IFERROR(__xludf.DUMMYFUNCTION("""COMPUTED_VALUE"""),"David Kagirwa")</f>
        <v>David Kagirwa</v>
      </c>
      <c r="Q3834" s="6" t="str">
        <f>IFERROR(__xludf.DUMMYFUNCTION("""COMPUTED_VALUE"""),"HS")</f>
        <v>HS</v>
      </c>
      <c r="R3834" s="6">
        <f>IFERROR(__xludf.DUMMYFUNCTION("""COMPUTED_VALUE"""),0.0)</f>
        <v>0</v>
      </c>
      <c r="S3834" s="6" t="str">
        <f>IFERROR(__xludf.DUMMYFUNCTION("""COMPUTED_VALUE""")," ")</f>
        <v> </v>
      </c>
      <c r="T3834" s="6" t="str">
        <f>IFERROR(__xludf.DUMMYFUNCTION("""COMPUTED_VALUE"""),"")</f>
        <v/>
      </c>
      <c r="U3834" s="6" t="str">
        <f>IFERROR(__xludf.DUMMYFUNCTION("""COMPUTED_VALUE"""),"11")</f>
        <v>11</v>
      </c>
      <c r="V3834" s="6" t="str">
        <f>IFERROR(__xludf.DUMMYFUNCTION("""COMPUTED_VALUE"""),"English")</f>
        <v>English</v>
      </c>
      <c r="W3834" s="6" t="str">
        <f>IFERROR(__xludf.DUMMYFUNCTION("""COMPUTED_VALUE"""),"[]")</f>
        <v>[]</v>
      </c>
      <c r="X3834" s="6" t="str">
        <f>IFERROR(__xludf.DUMMYFUNCTION("""COMPUTED_VALUE"""),"Enrolled")</f>
        <v>Enrolled</v>
      </c>
    </row>
    <row r="3835">
      <c r="A3835" s="6" t="str">
        <f>IFERROR(__xludf.DUMMYFUNCTION("""COMPUTED_VALUE"""),"068-10139")</f>
        <v>068-10139</v>
      </c>
      <c r="B3835" s="6" t="str">
        <f>IFERROR(__xludf.DUMMYFUNCTION("""COMPUTED_VALUE"""),"68")</f>
        <v>68</v>
      </c>
      <c r="C3835" s="6" t="str">
        <f>IFERROR(__xludf.DUMMYFUNCTION("""COMPUTED_VALUE"""),"10139")</f>
        <v>10139</v>
      </c>
      <c r="D3835" s="6" t="str">
        <f>IFERROR(__xludf.DUMMYFUNCTION("""COMPUTED_VALUE"""),"John")</f>
        <v>John</v>
      </c>
      <c r="E3835" s="6" t="str">
        <f>IFERROR(__xludf.DUMMYFUNCTION("""COMPUTED_VALUE"""),"")</f>
        <v/>
      </c>
      <c r="F3835" s="6" t="str">
        <f>IFERROR(__xludf.DUMMYFUNCTION("""COMPUTED_VALUE"""),"Kariuki")</f>
        <v>Kariuki</v>
      </c>
      <c r="G3835" s="6" t="str">
        <f>IFERROR(__xludf.DUMMYFUNCTION("""COMPUTED_VALUE"""),"02/12/2007")</f>
        <v>02/12/2007</v>
      </c>
      <c r="H3835" s="6" t="str">
        <f>IFERROR(__xludf.DUMMYFUNCTION("""COMPUTED_VALUE"""),"Self Identify")</f>
        <v>Self Identify</v>
      </c>
      <c r="I3835" s="6" t="str">
        <f>IFERROR(__xludf.DUMMYFUNCTION("""COMPUTED_VALUE"""),"High School")</f>
        <v>High School</v>
      </c>
      <c r="J3835" s="6" t="str">
        <f>IFERROR(__xludf.DUMMYFUNCTION("""COMPUTED_VALUE"""),"12")</f>
        <v>12</v>
      </c>
      <c r="K3835" s="6" t="str">
        <f>IFERROR(__xludf.DUMMYFUNCTION("""COMPUTED_VALUE"""),"john.kariuki@2hourlearning.com")</f>
        <v>john.kariuki@2hourlearning.com</v>
      </c>
      <c r="L3835" s="6" t="str">
        <f>IFERROR(__xludf.DUMMYFUNCTION("""COMPUTED_VALUE"""),"SPIRE Academy")</f>
        <v>SPIRE Academy</v>
      </c>
      <c r="M3835" s="6" t="str">
        <f>IFERROR(__xludf.DUMMYFUNCTION("""COMPUTED_VALUE"""),"")</f>
        <v/>
      </c>
      <c r="N3835" s="6" t="str">
        <f>IFERROR(__xludf.DUMMYFUNCTION("""COMPUTED_VALUE"""),"")</f>
        <v/>
      </c>
      <c r="O3835" s="87" t="str">
        <f>IFERROR(__xludf.DUMMYFUNCTION("""COMPUTED_VALUE"""),"https://drive.google.com/drive/folders/10T2cTQHqEJZqE-st6uFKPoI?usp=share_link")</f>
        <v>https://drive.google.com/drive/folders/10T2cTQHqEJZqE-st6uFKPoI?usp=share_link</v>
      </c>
      <c r="P3835" s="6" t="str">
        <f>IFERROR(__xludf.DUMMYFUNCTION("""COMPUTED_VALUE"""),"John Kariuki")</f>
        <v>John Kariuki</v>
      </c>
      <c r="Q3835" s="6" t="str">
        <f>IFERROR(__xludf.DUMMYFUNCTION("""COMPUTED_VALUE"""),"HS")</f>
        <v>HS</v>
      </c>
      <c r="R3835" s="6">
        <f>IFERROR(__xludf.DUMMYFUNCTION("""COMPUTED_VALUE"""),0.0)</f>
        <v>0</v>
      </c>
      <c r="S3835" s="6" t="str">
        <f>IFERROR(__xludf.DUMMYFUNCTION("""COMPUTED_VALUE""")," ")</f>
        <v> </v>
      </c>
      <c r="T3835" s="6" t="str">
        <f>IFERROR(__xludf.DUMMYFUNCTION("""COMPUTED_VALUE"""),"")</f>
        <v/>
      </c>
      <c r="U3835" s="6" t="str">
        <f>IFERROR(__xludf.DUMMYFUNCTION("""COMPUTED_VALUE"""),"12")</f>
        <v>12</v>
      </c>
      <c r="V3835" s="6" t="str">
        <f>IFERROR(__xludf.DUMMYFUNCTION("""COMPUTED_VALUE"""),"English")</f>
        <v>English</v>
      </c>
      <c r="W3835" s="6" t="str">
        <f>IFERROR(__xludf.DUMMYFUNCTION("""COMPUTED_VALUE"""),"[]")</f>
        <v>[]</v>
      </c>
      <c r="X3835" s="6" t="str">
        <f>IFERROR(__xludf.DUMMYFUNCTION("""COMPUTED_VALUE"""),"Enrolled")</f>
        <v>Enrolled</v>
      </c>
    </row>
    <row r="3836">
      <c r="A3836" s="6" t="str">
        <f>IFERROR(__xludf.DUMMYFUNCTION("""COMPUTED_VALUE"""),"068-10140")</f>
        <v>068-10140</v>
      </c>
      <c r="B3836" s="6" t="str">
        <f>IFERROR(__xludf.DUMMYFUNCTION("""COMPUTED_VALUE"""),"68")</f>
        <v>68</v>
      </c>
      <c r="C3836" s="6" t="str">
        <f>IFERROR(__xludf.DUMMYFUNCTION("""COMPUTED_VALUE"""),"10140")</f>
        <v>10140</v>
      </c>
      <c r="D3836" s="6" t="str">
        <f>IFERROR(__xludf.DUMMYFUNCTION("""COMPUTED_VALUE"""),"Sophia")</f>
        <v>Sophia</v>
      </c>
      <c r="E3836" s="6" t="str">
        <f>IFERROR(__xludf.DUMMYFUNCTION("""COMPUTED_VALUE"""),"")</f>
        <v/>
      </c>
      <c r="F3836" s="6" t="str">
        <f>IFERROR(__xludf.DUMMYFUNCTION("""COMPUTED_VALUE"""),"Kereky")</f>
        <v>Kereky</v>
      </c>
      <c r="G3836" s="6" t="str">
        <f>IFERROR(__xludf.DUMMYFUNCTION("""COMPUTED_VALUE"""),"04/08/2010")</f>
        <v>04/08/2010</v>
      </c>
      <c r="H3836" s="6" t="str">
        <f>IFERROR(__xludf.DUMMYFUNCTION("""COMPUTED_VALUE"""),"Self Identify")</f>
        <v>Self Identify</v>
      </c>
      <c r="I3836" s="6" t="str">
        <f>IFERROR(__xludf.DUMMYFUNCTION("""COMPUTED_VALUE"""),"High School")</f>
        <v>High School</v>
      </c>
      <c r="J3836" s="6" t="str">
        <f>IFERROR(__xludf.DUMMYFUNCTION("""COMPUTED_VALUE"""),"10")</f>
        <v>10</v>
      </c>
      <c r="K3836" s="6" t="str">
        <f>IFERROR(__xludf.DUMMYFUNCTION("""COMPUTED_VALUE"""),"sophia.kereky@2hourlearning.com")</f>
        <v>sophia.kereky@2hourlearning.com</v>
      </c>
      <c r="L3836" s="6" t="str">
        <f>IFERROR(__xludf.DUMMYFUNCTION("""COMPUTED_VALUE"""),"SPIRE Academy")</f>
        <v>SPIRE Academy</v>
      </c>
      <c r="M3836" s="6" t="str">
        <f>IFERROR(__xludf.DUMMYFUNCTION("""COMPUTED_VALUE"""),"")</f>
        <v/>
      </c>
      <c r="N3836" s="6" t="str">
        <f>IFERROR(__xludf.DUMMYFUNCTION("""COMPUTED_VALUE"""),"")</f>
        <v/>
      </c>
      <c r="O3836" s="87" t="str">
        <f>IFERROR(__xludf.DUMMYFUNCTION("""COMPUTED_VALUE"""),"https://drive.google.com/drive/folders/10T2cTQHqEJZqE-st6uFKPoI?usp=share_link")</f>
        <v>https://drive.google.com/drive/folders/10T2cTQHqEJZqE-st6uFKPoI?usp=share_link</v>
      </c>
      <c r="P3836" s="6" t="str">
        <f>IFERROR(__xludf.DUMMYFUNCTION("""COMPUTED_VALUE"""),"Sophia Kereky")</f>
        <v>Sophia Kereky</v>
      </c>
      <c r="Q3836" s="6" t="str">
        <f>IFERROR(__xludf.DUMMYFUNCTION("""COMPUTED_VALUE"""),"HS")</f>
        <v>HS</v>
      </c>
      <c r="R3836" s="6">
        <f>IFERROR(__xludf.DUMMYFUNCTION("""COMPUTED_VALUE"""),0.0)</f>
        <v>0</v>
      </c>
      <c r="S3836" s="6" t="str">
        <f>IFERROR(__xludf.DUMMYFUNCTION("""COMPUTED_VALUE""")," ")</f>
        <v> </v>
      </c>
      <c r="T3836" s="6" t="str">
        <f>IFERROR(__xludf.DUMMYFUNCTION("""COMPUTED_VALUE"""),"")</f>
        <v/>
      </c>
      <c r="U3836" s="6" t="str">
        <f>IFERROR(__xludf.DUMMYFUNCTION("""COMPUTED_VALUE"""),"10")</f>
        <v>10</v>
      </c>
      <c r="V3836" s="6" t="str">
        <f>IFERROR(__xludf.DUMMYFUNCTION("""COMPUTED_VALUE"""),"English")</f>
        <v>English</v>
      </c>
      <c r="W3836" s="6" t="str">
        <f>IFERROR(__xludf.DUMMYFUNCTION("""COMPUTED_VALUE"""),"[]")</f>
        <v>[]</v>
      </c>
      <c r="X3836" s="6" t="str">
        <f>IFERROR(__xludf.DUMMYFUNCTION("""COMPUTED_VALUE"""),"Enrolled")</f>
        <v>Enrolled</v>
      </c>
    </row>
    <row r="3837">
      <c r="A3837" s="6" t="str">
        <f>IFERROR(__xludf.DUMMYFUNCTION("""COMPUTED_VALUE"""),"068-10141")</f>
        <v>068-10141</v>
      </c>
      <c r="B3837" s="6" t="str">
        <f>IFERROR(__xludf.DUMMYFUNCTION("""COMPUTED_VALUE"""),"68")</f>
        <v>68</v>
      </c>
      <c r="C3837" s="6" t="str">
        <f>IFERROR(__xludf.DUMMYFUNCTION("""COMPUTED_VALUE"""),"10141")</f>
        <v>10141</v>
      </c>
      <c r="D3837" s="6" t="str">
        <f>IFERROR(__xludf.DUMMYFUNCTION("""COMPUTED_VALUE"""),"Aiden")</f>
        <v>Aiden</v>
      </c>
      <c r="E3837" s="6" t="str">
        <f>IFERROR(__xludf.DUMMYFUNCTION("""COMPUTED_VALUE"""),"")</f>
        <v/>
      </c>
      <c r="F3837" s="6" t="str">
        <f>IFERROR(__xludf.DUMMYFUNCTION("""COMPUTED_VALUE"""),"Kim")</f>
        <v>Kim</v>
      </c>
      <c r="G3837" s="6" t="str">
        <f>IFERROR(__xludf.DUMMYFUNCTION("""COMPUTED_VALUE"""),"07/20/2011")</f>
        <v>07/20/2011</v>
      </c>
      <c r="H3837" s="6" t="str">
        <f>IFERROR(__xludf.DUMMYFUNCTION("""COMPUTED_VALUE"""),"Self Identify")</f>
        <v>Self Identify</v>
      </c>
      <c r="I3837" s="6" t="str">
        <f>IFERROR(__xludf.DUMMYFUNCTION("""COMPUTED_VALUE"""),"High School")</f>
        <v>High School</v>
      </c>
      <c r="J3837" s="6" t="str">
        <f>IFERROR(__xludf.DUMMYFUNCTION("""COMPUTED_VALUE"""),"9")</f>
        <v>9</v>
      </c>
      <c r="K3837" s="6" t="str">
        <f>IFERROR(__xludf.DUMMYFUNCTION("""COMPUTED_VALUE"""),"aiden.kim@2hourlearning.com")</f>
        <v>aiden.kim@2hourlearning.com</v>
      </c>
      <c r="L3837" s="6" t="str">
        <f>IFERROR(__xludf.DUMMYFUNCTION("""COMPUTED_VALUE"""),"SPIRE Academy")</f>
        <v>SPIRE Academy</v>
      </c>
      <c r="M3837" s="6" t="str">
        <f>IFERROR(__xludf.DUMMYFUNCTION("""COMPUTED_VALUE"""),"")</f>
        <v/>
      </c>
      <c r="N3837" s="6" t="str">
        <f>IFERROR(__xludf.DUMMYFUNCTION("""COMPUTED_VALUE"""),"")</f>
        <v/>
      </c>
      <c r="O3837" s="87" t="str">
        <f>IFERROR(__xludf.DUMMYFUNCTION("""COMPUTED_VALUE"""),"https://drive.google.com/drive/folders/10T2cTQHqEJZqE-st6uFKPoI?usp=share_link")</f>
        <v>https://drive.google.com/drive/folders/10T2cTQHqEJZqE-st6uFKPoI?usp=share_link</v>
      </c>
      <c r="P3837" s="6" t="str">
        <f>IFERROR(__xludf.DUMMYFUNCTION("""COMPUTED_VALUE"""),"Aiden Kim")</f>
        <v>Aiden Kim</v>
      </c>
      <c r="Q3837" s="6" t="str">
        <f>IFERROR(__xludf.DUMMYFUNCTION("""COMPUTED_VALUE"""),"HS")</f>
        <v>HS</v>
      </c>
      <c r="R3837" s="6">
        <f>IFERROR(__xludf.DUMMYFUNCTION("""COMPUTED_VALUE"""),0.0)</f>
        <v>0</v>
      </c>
      <c r="S3837" s="6" t="str">
        <f>IFERROR(__xludf.DUMMYFUNCTION("""COMPUTED_VALUE""")," ")</f>
        <v> </v>
      </c>
      <c r="T3837" s="6" t="str">
        <f>IFERROR(__xludf.DUMMYFUNCTION("""COMPUTED_VALUE"""),"")</f>
        <v/>
      </c>
      <c r="U3837" s="6" t="str">
        <f>IFERROR(__xludf.DUMMYFUNCTION("""COMPUTED_VALUE"""),"9")</f>
        <v>9</v>
      </c>
      <c r="V3837" s="6" t="str">
        <f>IFERROR(__xludf.DUMMYFUNCTION("""COMPUTED_VALUE"""),"English")</f>
        <v>English</v>
      </c>
      <c r="W3837" s="6" t="str">
        <f>IFERROR(__xludf.DUMMYFUNCTION("""COMPUTED_VALUE"""),"[]")</f>
        <v>[]</v>
      </c>
      <c r="X3837" s="6" t="str">
        <f>IFERROR(__xludf.DUMMYFUNCTION("""COMPUTED_VALUE"""),"Enrolled")</f>
        <v>Enrolled</v>
      </c>
    </row>
    <row r="3838">
      <c r="A3838" s="6" t="str">
        <f>IFERROR(__xludf.DUMMYFUNCTION("""COMPUTED_VALUE"""),"068-10142")</f>
        <v>068-10142</v>
      </c>
      <c r="B3838" s="6" t="str">
        <f>IFERROR(__xludf.DUMMYFUNCTION("""COMPUTED_VALUE"""),"68")</f>
        <v>68</v>
      </c>
      <c r="C3838" s="6" t="str">
        <f>IFERROR(__xludf.DUMMYFUNCTION("""COMPUTED_VALUE"""),"10142")</f>
        <v>10142</v>
      </c>
      <c r="D3838" s="6" t="str">
        <f>IFERROR(__xludf.DUMMYFUNCTION("""COMPUTED_VALUE"""),"Berta")</f>
        <v>Berta</v>
      </c>
      <c r="E3838" s="6" t="str">
        <f>IFERROR(__xludf.DUMMYFUNCTION("""COMPUTED_VALUE"""),"")</f>
        <v/>
      </c>
      <c r="F3838" s="6" t="str">
        <f>IFERROR(__xludf.DUMMYFUNCTION("""COMPUTED_VALUE"""),"Kondrataite")</f>
        <v>Kondrataite</v>
      </c>
      <c r="G3838" s="6" t="str">
        <f>IFERROR(__xludf.DUMMYFUNCTION("""COMPUTED_VALUE"""),"06/26/2008")</f>
        <v>06/26/2008</v>
      </c>
      <c r="H3838" s="6" t="str">
        <f>IFERROR(__xludf.DUMMYFUNCTION("""COMPUTED_VALUE"""),"Self Identify")</f>
        <v>Self Identify</v>
      </c>
      <c r="I3838" s="6" t="str">
        <f>IFERROR(__xludf.DUMMYFUNCTION("""COMPUTED_VALUE"""),"High School")</f>
        <v>High School</v>
      </c>
      <c r="J3838" s="6" t="str">
        <f>IFERROR(__xludf.DUMMYFUNCTION("""COMPUTED_VALUE"""),"12")</f>
        <v>12</v>
      </c>
      <c r="K3838" s="6" t="str">
        <f>IFERROR(__xludf.DUMMYFUNCTION("""COMPUTED_VALUE"""),"berta.kondrataite@2hourlearning.com")</f>
        <v>berta.kondrataite@2hourlearning.com</v>
      </c>
      <c r="L3838" s="6" t="str">
        <f>IFERROR(__xludf.DUMMYFUNCTION("""COMPUTED_VALUE"""),"SPIRE Academy")</f>
        <v>SPIRE Academy</v>
      </c>
      <c r="M3838" s="6" t="str">
        <f>IFERROR(__xludf.DUMMYFUNCTION("""COMPUTED_VALUE"""),"")</f>
        <v/>
      </c>
      <c r="N3838" s="6" t="str">
        <f>IFERROR(__xludf.DUMMYFUNCTION("""COMPUTED_VALUE"""),"")</f>
        <v/>
      </c>
      <c r="O3838" s="87" t="str">
        <f>IFERROR(__xludf.DUMMYFUNCTION("""COMPUTED_VALUE"""),"https://drive.google.com/drive/folders/10T2cTQHqEJZqE-st6uFKPoI?usp=share_link")</f>
        <v>https://drive.google.com/drive/folders/10T2cTQHqEJZqE-st6uFKPoI?usp=share_link</v>
      </c>
      <c r="P3838" s="6" t="str">
        <f>IFERROR(__xludf.DUMMYFUNCTION("""COMPUTED_VALUE"""),"Berta Kondrataite")</f>
        <v>Berta Kondrataite</v>
      </c>
      <c r="Q3838" s="6" t="str">
        <f>IFERROR(__xludf.DUMMYFUNCTION("""COMPUTED_VALUE"""),"HS")</f>
        <v>HS</v>
      </c>
      <c r="R3838" s="6">
        <f>IFERROR(__xludf.DUMMYFUNCTION("""COMPUTED_VALUE"""),0.0)</f>
        <v>0</v>
      </c>
      <c r="S3838" s="6" t="str">
        <f>IFERROR(__xludf.DUMMYFUNCTION("""COMPUTED_VALUE""")," ")</f>
        <v> </v>
      </c>
      <c r="T3838" s="6" t="str">
        <f>IFERROR(__xludf.DUMMYFUNCTION("""COMPUTED_VALUE"""),"")</f>
        <v/>
      </c>
      <c r="U3838" s="6" t="str">
        <f>IFERROR(__xludf.DUMMYFUNCTION("""COMPUTED_VALUE"""),"12")</f>
        <v>12</v>
      </c>
      <c r="V3838" s="6" t="str">
        <f>IFERROR(__xludf.DUMMYFUNCTION("""COMPUTED_VALUE"""),"English")</f>
        <v>English</v>
      </c>
      <c r="W3838" s="6" t="str">
        <f>IFERROR(__xludf.DUMMYFUNCTION("""COMPUTED_VALUE"""),"[]")</f>
        <v>[]</v>
      </c>
      <c r="X3838" s="6" t="str">
        <f>IFERROR(__xludf.DUMMYFUNCTION("""COMPUTED_VALUE"""),"Enrolled")</f>
        <v>Enrolled</v>
      </c>
    </row>
    <row r="3839">
      <c r="A3839" s="6" t="str">
        <f>IFERROR(__xludf.DUMMYFUNCTION("""COMPUTED_VALUE"""),"068-10143")</f>
        <v>068-10143</v>
      </c>
      <c r="B3839" s="6" t="str">
        <f>IFERROR(__xludf.DUMMYFUNCTION("""COMPUTED_VALUE"""),"68")</f>
        <v>68</v>
      </c>
      <c r="C3839" s="6" t="str">
        <f>IFERROR(__xludf.DUMMYFUNCTION("""COMPUTED_VALUE"""),"10143")</f>
        <v>10143</v>
      </c>
      <c r="D3839" s="6" t="str">
        <f>IFERROR(__xludf.DUMMYFUNCTION("""COMPUTED_VALUE"""),"Rodrigo")</f>
        <v>Rodrigo</v>
      </c>
      <c r="E3839" s="6" t="str">
        <f>IFERROR(__xludf.DUMMYFUNCTION("""COMPUTED_VALUE"""),"")</f>
        <v/>
      </c>
      <c r="F3839" s="6" t="str">
        <f>IFERROR(__xludf.DUMMYFUNCTION("""COMPUTED_VALUE"""),"Labrador Vega")</f>
        <v>Labrador Vega</v>
      </c>
      <c r="G3839" s="6" t="str">
        <f>IFERROR(__xludf.DUMMYFUNCTION("""COMPUTED_VALUE"""),"10/01/2008")</f>
        <v>10/01/2008</v>
      </c>
      <c r="H3839" s="6" t="str">
        <f>IFERROR(__xludf.DUMMYFUNCTION("""COMPUTED_VALUE"""),"Self Identify")</f>
        <v>Self Identify</v>
      </c>
      <c r="I3839" s="6" t="str">
        <f>IFERROR(__xludf.DUMMYFUNCTION("""COMPUTED_VALUE"""),"High School")</f>
        <v>High School</v>
      </c>
      <c r="J3839" s="6" t="str">
        <f>IFERROR(__xludf.DUMMYFUNCTION("""COMPUTED_VALUE"""),"12")</f>
        <v>12</v>
      </c>
      <c r="K3839" s="6" t="str">
        <f>IFERROR(__xludf.DUMMYFUNCTION("""COMPUTED_VALUE"""),"rodrigo.labradorvega@2hourlearning.com")</f>
        <v>rodrigo.labradorvega@2hourlearning.com</v>
      </c>
      <c r="L3839" s="6" t="str">
        <f>IFERROR(__xludf.DUMMYFUNCTION("""COMPUTED_VALUE"""),"SPIRE Academy")</f>
        <v>SPIRE Academy</v>
      </c>
      <c r="M3839" s="6" t="str">
        <f>IFERROR(__xludf.DUMMYFUNCTION("""COMPUTED_VALUE"""),"")</f>
        <v/>
      </c>
      <c r="N3839" s="6" t="str">
        <f>IFERROR(__xludf.DUMMYFUNCTION("""COMPUTED_VALUE"""),"")</f>
        <v/>
      </c>
      <c r="O3839" s="87" t="str">
        <f>IFERROR(__xludf.DUMMYFUNCTION("""COMPUTED_VALUE"""),"https://drive.google.com/drive/folders/10T2cTQHqEJZqE-st6uFKPoI?usp=share_link")</f>
        <v>https://drive.google.com/drive/folders/10T2cTQHqEJZqE-st6uFKPoI?usp=share_link</v>
      </c>
      <c r="P3839" s="6" t="str">
        <f>IFERROR(__xludf.DUMMYFUNCTION("""COMPUTED_VALUE"""),"Rodrigo Labrador Vega")</f>
        <v>Rodrigo Labrador Vega</v>
      </c>
      <c r="Q3839" s="6" t="str">
        <f>IFERROR(__xludf.DUMMYFUNCTION("""COMPUTED_VALUE"""),"HS")</f>
        <v>HS</v>
      </c>
      <c r="R3839" s="6">
        <f>IFERROR(__xludf.DUMMYFUNCTION("""COMPUTED_VALUE"""),0.0)</f>
        <v>0</v>
      </c>
      <c r="S3839" s="6" t="str">
        <f>IFERROR(__xludf.DUMMYFUNCTION("""COMPUTED_VALUE""")," ")</f>
        <v> </v>
      </c>
      <c r="T3839" s="6" t="str">
        <f>IFERROR(__xludf.DUMMYFUNCTION("""COMPUTED_VALUE"""),"")</f>
        <v/>
      </c>
      <c r="U3839" s="6" t="str">
        <f>IFERROR(__xludf.DUMMYFUNCTION("""COMPUTED_VALUE"""),"12")</f>
        <v>12</v>
      </c>
      <c r="V3839" s="6" t="str">
        <f>IFERROR(__xludf.DUMMYFUNCTION("""COMPUTED_VALUE"""),"English")</f>
        <v>English</v>
      </c>
      <c r="W3839" s="6" t="str">
        <f>IFERROR(__xludf.DUMMYFUNCTION("""COMPUTED_VALUE"""),"[]")</f>
        <v>[]</v>
      </c>
      <c r="X3839" s="6" t="str">
        <f>IFERROR(__xludf.DUMMYFUNCTION("""COMPUTED_VALUE"""),"Enrolled")</f>
        <v>Enrolled</v>
      </c>
    </row>
    <row r="3840">
      <c r="A3840" s="6" t="str">
        <f>IFERROR(__xludf.DUMMYFUNCTION("""COMPUTED_VALUE"""),"068-10144")</f>
        <v>068-10144</v>
      </c>
      <c r="B3840" s="6" t="str">
        <f>IFERROR(__xludf.DUMMYFUNCTION("""COMPUTED_VALUE"""),"68")</f>
        <v>68</v>
      </c>
      <c r="C3840" s="6" t="str">
        <f>IFERROR(__xludf.DUMMYFUNCTION("""COMPUTED_VALUE"""),"10144")</f>
        <v>10144</v>
      </c>
      <c r="D3840" s="6" t="str">
        <f>IFERROR(__xludf.DUMMYFUNCTION("""COMPUTED_VALUE"""),"Paul")</f>
        <v>Paul</v>
      </c>
      <c r="E3840" s="6" t="str">
        <f>IFERROR(__xludf.DUMMYFUNCTION("""COMPUTED_VALUE"""),"")</f>
        <v/>
      </c>
      <c r="F3840" s="6" t="str">
        <f>IFERROR(__xludf.DUMMYFUNCTION("""COMPUTED_VALUE"""),"Laskibar")</f>
        <v>Laskibar</v>
      </c>
      <c r="G3840" s="6" t="str">
        <f>IFERROR(__xludf.DUMMYFUNCTION("""COMPUTED_VALUE"""),"02/05/2008")</f>
        <v>02/05/2008</v>
      </c>
      <c r="H3840" s="6" t="str">
        <f>IFERROR(__xludf.DUMMYFUNCTION("""COMPUTED_VALUE"""),"Self Identify")</f>
        <v>Self Identify</v>
      </c>
      <c r="I3840" s="6" t="str">
        <f>IFERROR(__xludf.DUMMYFUNCTION("""COMPUTED_VALUE"""),"High School")</f>
        <v>High School</v>
      </c>
      <c r="J3840" s="6" t="str">
        <f>IFERROR(__xludf.DUMMYFUNCTION("""COMPUTED_VALUE"""),"12")</f>
        <v>12</v>
      </c>
      <c r="K3840" s="6" t="str">
        <f>IFERROR(__xludf.DUMMYFUNCTION("""COMPUTED_VALUE"""),"paul.laskibar@2hourlearning.com")</f>
        <v>paul.laskibar@2hourlearning.com</v>
      </c>
      <c r="L3840" s="6" t="str">
        <f>IFERROR(__xludf.DUMMYFUNCTION("""COMPUTED_VALUE"""),"SPIRE Academy")</f>
        <v>SPIRE Academy</v>
      </c>
      <c r="M3840" s="6" t="str">
        <f>IFERROR(__xludf.DUMMYFUNCTION("""COMPUTED_VALUE"""),"")</f>
        <v/>
      </c>
      <c r="N3840" s="6" t="str">
        <f>IFERROR(__xludf.DUMMYFUNCTION("""COMPUTED_VALUE"""),"")</f>
        <v/>
      </c>
      <c r="O3840" s="87" t="str">
        <f>IFERROR(__xludf.DUMMYFUNCTION("""COMPUTED_VALUE"""),"https://drive.google.com/drive/folders/10T2cTQHqEJZqE-st6uFKPoI?usp=share_link")</f>
        <v>https://drive.google.com/drive/folders/10T2cTQHqEJZqE-st6uFKPoI?usp=share_link</v>
      </c>
      <c r="P3840" s="6" t="str">
        <f>IFERROR(__xludf.DUMMYFUNCTION("""COMPUTED_VALUE"""),"Paul Laskibar")</f>
        <v>Paul Laskibar</v>
      </c>
      <c r="Q3840" s="6" t="str">
        <f>IFERROR(__xludf.DUMMYFUNCTION("""COMPUTED_VALUE"""),"HS")</f>
        <v>HS</v>
      </c>
      <c r="R3840" s="6">
        <f>IFERROR(__xludf.DUMMYFUNCTION("""COMPUTED_VALUE"""),0.0)</f>
        <v>0</v>
      </c>
      <c r="S3840" s="6" t="str">
        <f>IFERROR(__xludf.DUMMYFUNCTION("""COMPUTED_VALUE""")," ")</f>
        <v> </v>
      </c>
      <c r="T3840" s="6" t="str">
        <f>IFERROR(__xludf.DUMMYFUNCTION("""COMPUTED_VALUE"""),"")</f>
        <v/>
      </c>
      <c r="U3840" s="6" t="str">
        <f>IFERROR(__xludf.DUMMYFUNCTION("""COMPUTED_VALUE"""),"12")</f>
        <v>12</v>
      </c>
      <c r="V3840" s="6" t="str">
        <f>IFERROR(__xludf.DUMMYFUNCTION("""COMPUTED_VALUE"""),"English")</f>
        <v>English</v>
      </c>
      <c r="W3840" s="6" t="str">
        <f>IFERROR(__xludf.DUMMYFUNCTION("""COMPUTED_VALUE"""),"[]")</f>
        <v>[]</v>
      </c>
      <c r="X3840" s="6" t="str">
        <f>IFERROR(__xludf.DUMMYFUNCTION("""COMPUTED_VALUE"""),"Enrolled")</f>
        <v>Enrolled</v>
      </c>
    </row>
    <row r="3841">
      <c r="A3841" s="6" t="str">
        <f>IFERROR(__xludf.DUMMYFUNCTION("""COMPUTED_VALUE"""),"068-10145")</f>
        <v>068-10145</v>
      </c>
      <c r="B3841" s="6" t="str">
        <f>IFERROR(__xludf.DUMMYFUNCTION("""COMPUTED_VALUE"""),"68")</f>
        <v>68</v>
      </c>
      <c r="C3841" s="6" t="str">
        <f>IFERROR(__xludf.DUMMYFUNCTION("""COMPUTED_VALUE"""),"10145")</f>
        <v>10145</v>
      </c>
      <c r="D3841" s="6" t="str">
        <f>IFERROR(__xludf.DUMMYFUNCTION("""COMPUTED_VALUE"""),"Mateo")</f>
        <v>Mateo</v>
      </c>
      <c r="E3841" s="6" t="str">
        <f>IFERROR(__xludf.DUMMYFUNCTION("""COMPUTED_VALUE"""),"")</f>
        <v/>
      </c>
      <c r="F3841" s="6" t="str">
        <f>IFERROR(__xludf.DUMMYFUNCTION("""COMPUTED_VALUE"""),"Lazo")</f>
        <v>Lazo</v>
      </c>
      <c r="G3841" s="6" t="str">
        <f>IFERROR(__xludf.DUMMYFUNCTION("""COMPUTED_VALUE"""),"02/14/2008")</f>
        <v>02/14/2008</v>
      </c>
      <c r="H3841" s="6" t="str">
        <f>IFERROR(__xludf.DUMMYFUNCTION("""COMPUTED_VALUE"""),"Self Identify")</f>
        <v>Self Identify</v>
      </c>
      <c r="I3841" s="6" t="str">
        <f>IFERROR(__xludf.DUMMYFUNCTION("""COMPUTED_VALUE"""),"High School")</f>
        <v>High School</v>
      </c>
      <c r="J3841" s="6" t="str">
        <f>IFERROR(__xludf.DUMMYFUNCTION("""COMPUTED_VALUE"""),"12")</f>
        <v>12</v>
      </c>
      <c r="K3841" s="6" t="str">
        <f>IFERROR(__xludf.DUMMYFUNCTION("""COMPUTED_VALUE"""),"mateo.lazo@2hourlearning.com")</f>
        <v>mateo.lazo@2hourlearning.com</v>
      </c>
      <c r="L3841" s="6" t="str">
        <f>IFERROR(__xludf.DUMMYFUNCTION("""COMPUTED_VALUE"""),"SPIRE Academy")</f>
        <v>SPIRE Academy</v>
      </c>
      <c r="M3841" s="6" t="str">
        <f>IFERROR(__xludf.DUMMYFUNCTION("""COMPUTED_VALUE"""),"")</f>
        <v/>
      </c>
      <c r="N3841" s="6" t="str">
        <f>IFERROR(__xludf.DUMMYFUNCTION("""COMPUTED_VALUE"""),"")</f>
        <v/>
      </c>
      <c r="O3841" s="87" t="str">
        <f>IFERROR(__xludf.DUMMYFUNCTION("""COMPUTED_VALUE"""),"https://drive.google.com/drive/folders/10T2cTQHqEJZqE-st6uFKPoI?usp=share_link")</f>
        <v>https://drive.google.com/drive/folders/10T2cTQHqEJZqE-st6uFKPoI?usp=share_link</v>
      </c>
      <c r="P3841" s="6" t="str">
        <f>IFERROR(__xludf.DUMMYFUNCTION("""COMPUTED_VALUE"""),"Mateo Lazo")</f>
        <v>Mateo Lazo</v>
      </c>
      <c r="Q3841" s="6" t="str">
        <f>IFERROR(__xludf.DUMMYFUNCTION("""COMPUTED_VALUE"""),"HS")</f>
        <v>HS</v>
      </c>
      <c r="R3841" s="6">
        <f>IFERROR(__xludf.DUMMYFUNCTION("""COMPUTED_VALUE"""),0.0)</f>
        <v>0</v>
      </c>
      <c r="S3841" s="6" t="str">
        <f>IFERROR(__xludf.DUMMYFUNCTION("""COMPUTED_VALUE""")," ")</f>
        <v> </v>
      </c>
      <c r="T3841" s="6" t="str">
        <f>IFERROR(__xludf.DUMMYFUNCTION("""COMPUTED_VALUE"""),"")</f>
        <v/>
      </c>
      <c r="U3841" s="6" t="str">
        <f>IFERROR(__xludf.DUMMYFUNCTION("""COMPUTED_VALUE"""),"12")</f>
        <v>12</v>
      </c>
      <c r="V3841" s="6" t="str">
        <f>IFERROR(__xludf.DUMMYFUNCTION("""COMPUTED_VALUE"""),"English")</f>
        <v>English</v>
      </c>
      <c r="W3841" s="6" t="str">
        <f>IFERROR(__xludf.DUMMYFUNCTION("""COMPUTED_VALUE"""),"[]")</f>
        <v>[]</v>
      </c>
      <c r="X3841" s="6" t="str">
        <f>IFERROR(__xludf.DUMMYFUNCTION("""COMPUTED_VALUE"""),"Enrolled")</f>
        <v>Enrolled</v>
      </c>
    </row>
    <row r="3842">
      <c r="A3842" s="6" t="str">
        <f>IFERROR(__xludf.DUMMYFUNCTION("""COMPUTED_VALUE"""),"068-10146")</f>
        <v>068-10146</v>
      </c>
      <c r="B3842" s="6" t="str">
        <f>IFERROR(__xludf.DUMMYFUNCTION("""COMPUTED_VALUE"""),"68")</f>
        <v>68</v>
      </c>
      <c r="C3842" s="6" t="str">
        <f>IFERROR(__xludf.DUMMYFUNCTION("""COMPUTED_VALUE"""),"10146")</f>
        <v>10146</v>
      </c>
      <c r="D3842" s="6" t="str">
        <f>IFERROR(__xludf.DUMMYFUNCTION("""COMPUTED_VALUE"""),"Kim")</f>
        <v>Kim</v>
      </c>
      <c r="E3842" s="6" t="str">
        <f>IFERROR(__xludf.DUMMYFUNCTION("""COMPUTED_VALUE"""),"")</f>
        <v/>
      </c>
      <c r="F3842" s="6" t="str">
        <f>IFERROR(__xludf.DUMMYFUNCTION("""COMPUTED_VALUE"""),"Leon")</f>
        <v>Leon</v>
      </c>
      <c r="G3842" s="6" t="str">
        <f>IFERROR(__xludf.DUMMYFUNCTION("""COMPUTED_VALUE"""),"03/18/2008")</f>
        <v>03/18/2008</v>
      </c>
      <c r="H3842" s="6" t="str">
        <f>IFERROR(__xludf.DUMMYFUNCTION("""COMPUTED_VALUE"""),"Self Identify")</f>
        <v>Self Identify</v>
      </c>
      <c r="I3842" s="6" t="str">
        <f>IFERROR(__xludf.DUMMYFUNCTION("""COMPUTED_VALUE"""),"High School")</f>
        <v>High School</v>
      </c>
      <c r="J3842" s="6" t="str">
        <f>IFERROR(__xludf.DUMMYFUNCTION("""COMPUTED_VALUE"""),"12")</f>
        <v>12</v>
      </c>
      <c r="K3842" s="6" t="str">
        <f>IFERROR(__xludf.DUMMYFUNCTION("""COMPUTED_VALUE"""),"kim.leon@2hourlearning.com")</f>
        <v>kim.leon@2hourlearning.com</v>
      </c>
      <c r="L3842" s="6" t="str">
        <f>IFERROR(__xludf.DUMMYFUNCTION("""COMPUTED_VALUE"""),"SPIRE Academy")</f>
        <v>SPIRE Academy</v>
      </c>
      <c r="M3842" s="6" t="str">
        <f>IFERROR(__xludf.DUMMYFUNCTION("""COMPUTED_VALUE"""),"")</f>
        <v/>
      </c>
      <c r="N3842" s="6" t="str">
        <f>IFERROR(__xludf.DUMMYFUNCTION("""COMPUTED_VALUE"""),"")</f>
        <v/>
      </c>
      <c r="O3842" s="87" t="str">
        <f>IFERROR(__xludf.DUMMYFUNCTION("""COMPUTED_VALUE"""),"https://drive.google.com/drive/folders/10T2cTQHqEJZqE-st6uFKPoI?usp=share_link")</f>
        <v>https://drive.google.com/drive/folders/10T2cTQHqEJZqE-st6uFKPoI?usp=share_link</v>
      </c>
      <c r="P3842" s="6" t="str">
        <f>IFERROR(__xludf.DUMMYFUNCTION("""COMPUTED_VALUE"""),"Kim Leon")</f>
        <v>Kim Leon</v>
      </c>
      <c r="Q3842" s="6" t="str">
        <f>IFERROR(__xludf.DUMMYFUNCTION("""COMPUTED_VALUE"""),"HS")</f>
        <v>HS</v>
      </c>
      <c r="R3842" s="6">
        <f>IFERROR(__xludf.DUMMYFUNCTION("""COMPUTED_VALUE"""),0.0)</f>
        <v>0</v>
      </c>
      <c r="S3842" s="6" t="str">
        <f>IFERROR(__xludf.DUMMYFUNCTION("""COMPUTED_VALUE""")," ")</f>
        <v> </v>
      </c>
      <c r="T3842" s="6" t="str">
        <f>IFERROR(__xludf.DUMMYFUNCTION("""COMPUTED_VALUE"""),"")</f>
        <v/>
      </c>
      <c r="U3842" s="6" t="str">
        <f>IFERROR(__xludf.DUMMYFUNCTION("""COMPUTED_VALUE"""),"12")</f>
        <v>12</v>
      </c>
      <c r="V3842" s="6" t="str">
        <f>IFERROR(__xludf.DUMMYFUNCTION("""COMPUTED_VALUE"""),"English")</f>
        <v>English</v>
      </c>
      <c r="W3842" s="6" t="str">
        <f>IFERROR(__xludf.DUMMYFUNCTION("""COMPUTED_VALUE"""),"[]")</f>
        <v>[]</v>
      </c>
      <c r="X3842" s="6" t="str">
        <f>IFERROR(__xludf.DUMMYFUNCTION("""COMPUTED_VALUE"""),"Enrolled")</f>
        <v>Enrolled</v>
      </c>
    </row>
    <row r="3843">
      <c r="A3843" s="6" t="str">
        <f>IFERROR(__xludf.DUMMYFUNCTION("""COMPUTED_VALUE"""),"068-10147")</f>
        <v>068-10147</v>
      </c>
      <c r="B3843" s="6" t="str">
        <f>IFERROR(__xludf.DUMMYFUNCTION("""COMPUTED_VALUE"""),"68")</f>
        <v>68</v>
      </c>
      <c r="C3843" s="6" t="str">
        <f>IFERROR(__xludf.DUMMYFUNCTION("""COMPUTED_VALUE"""),"10147")</f>
        <v>10147</v>
      </c>
      <c r="D3843" s="6" t="str">
        <f>IFERROR(__xludf.DUMMYFUNCTION("""COMPUTED_VALUE"""),"Yasmin")</f>
        <v>Yasmin</v>
      </c>
      <c r="E3843" s="6" t="str">
        <f>IFERROR(__xludf.DUMMYFUNCTION("""COMPUTED_VALUE"""),"")</f>
        <v/>
      </c>
      <c r="F3843" s="6" t="str">
        <f>IFERROR(__xludf.DUMMYFUNCTION("""COMPUTED_VALUE"""),"Lotfallya")</f>
        <v>Lotfallya</v>
      </c>
      <c r="G3843" s="6" t="str">
        <f>IFERROR(__xludf.DUMMYFUNCTION("""COMPUTED_VALUE"""),"10/08/2010")</f>
        <v>10/08/2010</v>
      </c>
      <c r="H3843" s="6" t="str">
        <f>IFERROR(__xludf.DUMMYFUNCTION("""COMPUTED_VALUE"""),"Self Identify")</f>
        <v>Self Identify</v>
      </c>
      <c r="I3843" s="6" t="str">
        <f>IFERROR(__xludf.DUMMYFUNCTION("""COMPUTED_VALUE"""),"High School")</f>
        <v>High School</v>
      </c>
      <c r="J3843" s="6" t="str">
        <f>IFERROR(__xludf.DUMMYFUNCTION("""COMPUTED_VALUE"""),"9")</f>
        <v>9</v>
      </c>
      <c r="K3843" s="6" t="str">
        <f>IFERROR(__xludf.DUMMYFUNCTION("""COMPUTED_VALUE"""),"yasmin.lotfallya@2hourlearning.com")</f>
        <v>yasmin.lotfallya@2hourlearning.com</v>
      </c>
      <c r="L3843" s="6" t="str">
        <f>IFERROR(__xludf.DUMMYFUNCTION("""COMPUTED_VALUE"""),"SPIRE Academy")</f>
        <v>SPIRE Academy</v>
      </c>
      <c r="M3843" s="6" t="str">
        <f>IFERROR(__xludf.DUMMYFUNCTION("""COMPUTED_VALUE"""),"")</f>
        <v/>
      </c>
      <c r="N3843" s="6" t="str">
        <f>IFERROR(__xludf.DUMMYFUNCTION("""COMPUTED_VALUE"""),"")</f>
        <v/>
      </c>
      <c r="O3843" s="87" t="str">
        <f>IFERROR(__xludf.DUMMYFUNCTION("""COMPUTED_VALUE"""),"https://drive.google.com/drive/folders/10T2cTQHqEJZqE-st6uFKPoI?usp=share_link")</f>
        <v>https://drive.google.com/drive/folders/10T2cTQHqEJZqE-st6uFKPoI?usp=share_link</v>
      </c>
      <c r="P3843" s="6" t="str">
        <f>IFERROR(__xludf.DUMMYFUNCTION("""COMPUTED_VALUE"""),"Yasmin Lotfallya")</f>
        <v>Yasmin Lotfallya</v>
      </c>
      <c r="Q3843" s="6" t="str">
        <f>IFERROR(__xludf.DUMMYFUNCTION("""COMPUTED_VALUE"""),"HS")</f>
        <v>HS</v>
      </c>
      <c r="R3843" s="6">
        <f>IFERROR(__xludf.DUMMYFUNCTION("""COMPUTED_VALUE"""),0.0)</f>
        <v>0</v>
      </c>
      <c r="S3843" s="6" t="str">
        <f>IFERROR(__xludf.DUMMYFUNCTION("""COMPUTED_VALUE""")," ")</f>
        <v> </v>
      </c>
      <c r="T3843" s="6" t="str">
        <f>IFERROR(__xludf.DUMMYFUNCTION("""COMPUTED_VALUE"""),"")</f>
        <v/>
      </c>
      <c r="U3843" s="6" t="str">
        <f>IFERROR(__xludf.DUMMYFUNCTION("""COMPUTED_VALUE"""),"9")</f>
        <v>9</v>
      </c>
      <c r="V3843" s="6" t="str">
        <f>IFERROR(__xludf.DUMMYFUNCTION("""COMPUTED_VALUE"""),"English")</f>
        <v>English</v>
      </c>
      <c r="W3843" s="6" t="str">
        <f>IFERROR(__xludf.DUMMYFUNCTION("""COMPUTED_VALUE"""),"[]")</f>
        <v>[]</v>
      </c>
      <c r="X3843" s="6" t="str">
        <f>IFERROR(__xludf.DUMMYFUNCTION("""COMPUTED_VALUE"""),"Enrolled")</f>
        <v>Enrolled</v>
      </c>
    </row>
    <row r="3844">
      <c r="A3844" s="6" t="str">
        <f>IFERROR(__xludf.DUMMYFUNCTION("""COMPUTED_VALUE"""),"068-10148")</f>
        <v>068-10148</v>
      </c>
      <c r="B3844" s="6" t="str">
        <f>IFERROR(__xludf.DUMMYFUNCTION("""COMPUTED_VALUE"""),"68")</f>
        <v>68</v>
      </c>
      <c r="C3844" s="6" t="str">
        <f>IFERROR(__xludf.DUMMYFUNCTION("""COMPUTED_VALUE"""),"10148")</f>
        <v>10148</v>
      </c>
      <c r="D3844" s="6" t="str">
        <f>IFERROR(__xludf.DUMMYFUNCTION("""COMPUTED_VALUE"""),"Rocco")</f>
        <v>Rocco</v>
      </c>
      <c r="E3844" s="6" t="str">
        <f>IFERROR(__xludf.DUMMYFUNCTION("""COMPUTED_VALUE"""),"")</f>
        <v/>
      </c>
      <c r="F3844" s="6" t="str">
        <f>IFERROR(__xludf.DUMMYFUNCTION("""COMPUTED_VALUE"""),"Luciano")</f>
        <v>Luciano</v>
      </c>
      <c r="G3844" s="6" t="str">
        <f>IFERROR(__xludf.DUMMYFUNCTION("""COMPUTED_VALUE"""),"11/20/2008")</f>
        <v>11/20/2008</v>
      </c>
      <c r="H3844" s="6" t="str">
        <f>IFERROR(__xludf.DUMMYFUNCTION("""COMPUTED_VALUE"""),"Self Identify")</f>
        <v>Self Identify</v>
      </c>
      <c r="I3844" s="6" t="str">
        <f>IFERROR(__xludf.DUMMYFUNCTION("""COMPUTED_VALUE"""),"High School")</f>
        <v>High School</v>
      </c>
      <c r="J3844" s="6" t="str">
        <f>IFERROR(__xludf.DUMMYFUNCTION("""COMPUTED_VALUE"""),"11")</f>
        <v>11</v>
      </c>
      <c r="K3844" s="6" t="str">
        <f>IFERROR(__xludf.DUMMYFUNCTION("""COMPUTED_VALUE"""),"rocco.luciano@2hourlearning.com")</f>
        <v>rocco.luciano@2hourlearning.com</v>
      </c>
      <c r="L3844" s="6" t="str">
        <f>IFERROR(__xludf.DUMMYFUNCTION("""COMPUTED_VALUE"""),"SPIRE Academy")</f>
        <v>SPIRE Academy</v>
      </c>
      <c r="M3844" s="6" t="str">
        <f>IFERROR(__xludf.DUMMYFUNCTION("""COMPUTED_VALUE"""),"")</f>
        <v/>
      </c>
      <c r="N3844" s="6" t="str">
        <f>IFERROR(__xludf.DUMMYFUNCTION("""COMPUTED_VALUE"""),"")</f>
        <v/>
      </c>
      <c r="O3844" s="87" t="str">
        <f>IFERROR(__xludf.DUMMYFUNCTION("""COMPUTED_VALUE"""),"https://drive.google.com/drive/folders/10T2cTQHqEJZqE-st6uFKPoI?usp=share_link")</f>
        <v>https://drive.google.com/drive/folders/10T2cTQHqEJZqE-st6uFKPoI?usp=share_link</v>
      </c>
      <c r="P3844" s="6" t="str">
        <f>IFERROR(__xludf.DUMMYFUNCTION("""COMPUTED_VALUE"""),"Rocco Luciano")</f>
        <v>Rocco Luciano</v>
      </c>
      <c r="Q3844" s="6" t="str">
        <f>IFERROR(__xludf.DUMMYFUNCTION("""COMPUTED_VALUE"""),"HS")</f>
        <v>HS</v>
      </c>
      <c r="R3844" s="6">
        <f>IFERROR(__xludf.DUMMYFUNCTION("""COMPUTED_VALUE"""),0.0)</f>
        <v>0</v>
      </c>
      <c r="S3844" s="6" t="str">
        <f>IFERROR(__xludf.DUMMYFUNCTION("""COMPUTED_VALUE""")," ")</f>
        <v> </v>
      </c>
      <c r="T3844" s="6" t="str">
        <f>IFERROR(__xludf.DUMMYFUNCTION("""COMPUTED_VALUE"""),"")</f>
        <v/>
      </c>
      <c r="U3844" s="6" t="str">
        <f>IFERROR(__xludf.DUMMYFUNCTION("""COMPUTED_VALUE"""),"11")</f>
        <v>11</v>
      </c>
      <c r="V3844" s="6" t="str">
        <f>IFERROR(__xludf.DUMMYFUNCTION("""COMPUTED_VALUE"""),"English")</f>
        <v>English</v>
      </c>
      <c r="W3844" s="6" t="str">
        <f>IFERROR(__xludf.DUMMYFUNCTION("""COMPUTED_VALUE"""),"[]")</f>
        <v>[]</v>
      </c>
      <c r="X3844" s="6" t="str">
        <f>IFERROR(__xludf.DUMMYFUNCTION("""COMPUTED_VALUE"""),"Enrolled")</f>
        <v>Enrolled</v>
      </c>
    </row>
    <row r="3845">
      <c r="A3845" s="6" t="str">
        <f>IFERROR(__xludf.DUMMYFUNCTION("""COMPUTED_VALUE"""),"068-10149")</f>
        <v>068-10149</v>
      </c>
      <c r="B3845" s="6" t="str">
        <f>IFERROR(__xludf.DUMMYFUNCTION("""COMPUTED_VALUE"""),"68")</f>
        <v>68</v>
      </c>
      <c r="C3845" s="6" t="str">
        <f>IFERROR(__xludf.DUMMYFUNCTION("""COMPUTED_VALUE"""),"10149")</f>
        <v>10149</v>
      </c>
      <c r="D3845" s="6" t="str">
        <f>IFERROR(__xludf.DUMMYFUNCTION("""COMPUTED_VALUE"""),"Maxwell")</f>
        <v>Maxwell</v>
      </c>
      <c r="E3845" s="6" t="str">
        <f>IFERROR(__xludf.DUMMYFUNCTION("""COMPUTED_VALUE"""),"")</f>
        <v/>
      </c>
      <c r="F3845" s="6" t="str">
        <f>IFERROR(__xludf.DUMMYFUNCTION("""COMPUTED_VALUE"""),"Machum")</f>
        <v>Machum</v>
      </c>
      <c r="G3845" s="6" t="str">
        <f>IFERROR(__xludf.DUMMYFUNCTION("""COMPUTED_VALUE"""),"02/11/2008")</f>
        <v>02/11/2008</v>
      </c>
      <c r="H3845" s="6" t="str">
        <f>IFERROR(__xludf.DUMMYFUNCTION("""COMPUTED_VALUE"""),"Self Identify")</f>
        <v>Self Identify</v>
      </c>
      <c r="I3845" s="6" t="str">
        <f>IFERROR(__xludf.DUMMYFUNCTION("""COMPUTED_VALUE"""),"High School")</f>
        <v>High School</v>
      </c>
      <c r="J3845" s="6" t="str">
        <f>IFERROR(__xludf.DUMMYFUNCTION("""COMPUTED_VALUE"""),"11")</f>
        <v>11</v>
      </c>
      <c r="K3845" s="6" t="str">
        <f>IFERROR(__xludf.DUMMYFUNCTION("""COMPUTED_VALUE"""),"maxwell.machum@2hourlearning.com")</f>
        <v>maxwell.machum@2hourlearning.com</v>
      </c>
      <c r="L3845" s="6" t="str">
        <f>IFERROR(__xludf.DUMMYFUNCTION("""COMPUTED_VALUE"""),"SPIRE Academy")</f>
        <v>SPIRE Academy</v>
      </c>
      <c r="M3845" s="6" t="str">
        <f>IFERROR(__xludf.DUMMYFUNCTION("""COMPUTED_VALUE"""),"")</f>
        <v/>
      </c>
      <c r="N3845" s="6" t="str">
        <f>IFERROR(__xludf.DUMMYFUNCTION("""COMPUTED_VALUE"""),"")</f>
        <v/>
      </c>
      <c r="O3845" s="87" t="str">
        <f>IFERROR(__xludf.DUMMYFUNCTION("""COMPUTED_VALUE"""),"https://drive.google.com/drive/folders/10T2cTQHqEJZqE-st6uFKPoI?usp=share_link")</f>
        <v>https://drive.google.com/drive/folders/10T2cTQHqEJZqE-st6uFKPoI?usp=share_link</v>
      </c>
      <c r="P3845" s="6" t="str">
        <f>IFERROR(__xludf.DUMMYFUNCTION("""COMPUTED_VALUE"""),"Maxwell Machum")</f>
        <v>Maxwell Machum</v>
      </c>
      <c r="Q3845" s="6" t="str">
        <f>IFERROR(__xludf.DUMMYFUNCTION("""COMPUTED_VALUE"""),"HS")</f>
        <v>HS</v>
      </c>
      <c r="R3845" s="6">
        <f>IFERROR(__xludf.DUMMYFUNCTION("""COMPUTED_VALUE"""),0.0)</f>
        <v>0</v>
      </c>
      <c r="S3845" s="6" t="str">
        <f>IFERROR(__xludf.DUMMYFUNCTION("""COMPUTED_VALUE""")," ")</f>
        <v> </v>
      </c>
      <c r="T3845" s="6" t="str">
        <f>IFERROR(__xludf.DUMMYFUNCTION("""COMPUTED_VALUE"""),"")</f>
        <v/>
      </c>
      <c r="U3845" s="6" t="str">
        <f>IFERROR(__xludf.DUMMYFUNCTION("""COMPUTED_VALUE"""),"11")</f>
        <v>11</v>
      </c>
      <c r="V3845" s="6" t="str">
        <f>IFERROR(__xludf.DUMMYFUNCTION("""COMPUTED_VALUE"""),"English")</f>
        <v>English</v>
      </c>
      <c r="W3845" s="6" t="str">
        <f>IFERROR(__xludf.DUMMYFUNCTION("""COMPUTED_VALUE"""),"[]")</f>
        <v>[]</v>
      </c>
      <c r="X3845" s="6" t="str">
        <f>IFERROR(__xludf.DUMMYFUNCTION("""COMPUTED_VALUE"""),"Enrolled")</f>
        <v>Enrolled</v>
      </c>
    </row>
    <row r="3846">
      <c r="A3846" s="6" t="str">
        <f>IFERROR(__xludf.DUMMYFUNCTION("""COMPUTED_VALUE"""),"068-10150")</f>
        <v>068-10150</v>
      </c>
      <c r="B3846" s="6" t="str">
        <f>IFERROR(__xludf.DUMMYFUNCTION("""COMPUTED_VALUE"""),"68")</f>
        <v>68</v>
      </c>
      <c r="C3846" s="6" t="str">
        <f>IFERROR(__xludf.DUMMYFUNCTION("""COMPUTED_VALUE"""),"10150")</f>
        <v>10150</v>
      </c>
      <c r="D3846" s="6" t="str">
        <f>IFERROR(__xludf.DUMMYFUNCTION("""COMPUTED_VALUE"""),"Ikhlas")</f>
        <v>Ikhlas</v>
      </c>
      <c r="E3846" s="6" t="str">
        <f>IFERROR(__xludf.DUMMYFUNCTION("""COMPUTED_VALUE"""),"")</f>
        <v/>
      </c>
      <c r="F3846" s="6" t="str">
        <f>IFERROR(__xludf.DUMMYFUNCTION("""COMPUTED_VALUE"""),"Makhremov")</f>
        <v>Makhremov</v>
      </c>
      <c r="G3846" s="6" t="str">
        <f>IFERROR(__xludf.DUMMYFUNCTION("""COMPUTED_VALUE"""),"04/19/2008")</f>
        <v>04/19/2008</v>
      </c>
      <c r="H3846" s="6" t="str">
        <f>IFERROR(__xludf.DUMMYFUNCTION("""COMPUTED_VALUE"""),"Self Identify")</f>
        <v>Self Identify</v>
      </c>
      <c r="I3846" s="6" t="str">
        <f>IFERROR(__xludf.DUMMYFUNCTION("""COMPUTED_VALUE"""),"High School")</f>
        <v>High School</v>
      </c>
      <c r="J3846" s="6" t="str">
        <f>IFERROR(__xludf.DUMMYFUNCTION("""COMPUTED_VALUE"""),"10")</f>
        <v>10</v>
      </c>
      <c r="K3846" s="6" t="str">
        <f>IFERROR(__xludf.DUMMYFUNCTION("""COMPUTED_VALUE"""),"ikhlas.makhremov@2hourlearning.com")</f>
        <v>ikhlas.makhremov@2hourlearning.com</v>
      </c>
      <c r="L3846" s="6" t="str">
        <f>IFERROR(__xludf.DUMMYFUNCTION("""COMPUTED_VALUE"""),"SPIRE Academy")</f>
        <v>SPIRE Academy</v>
      </c>
      <c r="M3846" s="6" t="str">
        <f>IFERROR(__xludf.DUMMYFUNCTION("""COMPUTED_VALUE"""),"")</f>
        <v/>
      </c>
      <c r="N3846" s="6" t="str">
        <f>IFERROR(__xludf.DUMMYFUNCTION("""COMPUTED_VALUE"""),"")</f>
        <v/>
      </c>
      <c r="O3846" s="87" t="str">
        <f>IFERROR(__xludf.DUMMYFUNCTION("""COMPUTED_VALUE"""),"https://drive.google.com/drive/folders/10T2cTQHqEJZqE-st6uFKPoI?usp=share_link")</f>
        <v>https://drive.google.com/drive/folders/10T2cTQHqEJZqE-st6uFKPoI?usp=share_link</v>
      </c>
      <c r="P3846" s="6" t="str">
        <f>IFERROR(__xludf.DUMMYFUNCTION("""COMPUTED_VALUE"""),"Ikhlas Makhremov")</f>
        <v>Ikhlas Makhremov</v>
      </c>
      <c r="Q3846" s="6" t="str">
        <f>IFERROR(__xludf.DUMMYFUNCTION("""COMPUTED_VALUE"""),"HS")</f>
        <v>HS</v>
      </c>
      <c r="R3846" s="6">
        <f>IFERROR(__xludf.DUMMYFUNCTION("""COMPUTED_VALUE"""),0.0)</f>
        <v>0</v>
      </c>
      <c r="S3846" s="6" t="str">
        <f>IFERROR(__xludf.DUMMYFUNCTION("""COMPUTED_VALUE""")," ")</f>
        <v> </v>
      </c>
      <c r="T3846" s="6" t="str">
        <f>IFERROR(__xludf.DUMMYFUNCTION("""COMPUTED_VALUE"""),"")</f>
        <v/>
      </c>
      <c r="U3846" s="6" t="str">
        <f>IFERROR(__xludf.DUMMYFUNCTION("""COMPUTED_VALUE"""),"10")</f>
        <v>10</v>
      </c>
      <c r="V3846" s="6" t="str">
        <f>IFERROR(__xludf.DUMMYFUNCTION("""COMPUTED_VALUE"""),"English")</f>
        <v>English</v>
      </c>
      <c r="W3846" s="6" t="str">
        <f>IFERROR(__xludf.DUMMYFUNCTION("""COMPUTED_VALUE"""),"[]")</f>
        <v>[]</v>
      </c>
      <c r="X3846" s="6" t="str">
        <f>IFERROR(__xludf.DUMMYFUNCTION("""COMPUTED_VALUE"""),"Enrolled")</f>
        <v>Enrolled</v>
      </c>
    </row>
    <row r="3847">
      <c r="A3847" s="6" t="str">
        <f>IFERROR(__xludf.DUMMYFUNCTION("""COMPUTED_VALUE"""),"068-10151")</f>
        <v>068-10151</v>
      </c>
      <c r="B3847" s="6" t="str">
        <f>IFERROR(__xludf.DUMMYFUNCTION("""COMPUTED_VALUE"""),"68")</f>
        <v>68</v>
      </c>
      <c r="C3847" s="6" t="str">
        <f>IFERROR(__xludf.DUMMYFUNCTION("""COMPUTED_VALUE"""),"10151")</f>
        <v>10151</v>
      </c>
      <c r="D3847" s="6" t="str">
        <f>IFERROR(__xludf.DUMMYFUNCTION("""COMPUTED_VALUE"""),"Evan")</f>
        <v>Evan</v>
      </c>
      <c r="E3847" s="6" t="str">
        <f>IFERROR(__xludf.DUMMYFUNCTION("""COMPUTED_VALUE"""),"")</f>
        <v/>
      </c>
      <c r="F3847" s="6" t="str">
        <f>IFERROR(__xludf.DUMMYFUNCTION("""COMPUTED_VALUE"""),"Marchand")</f>
        <v>Marchand</v>
      </c>
      <c r="G3847" s="6" t="str">
        <f>IFERROR(__xludf.DUMMYFUNCTION("""COMPUTED_VALUE"""),"08/11/2007")</f>
        <v>08/11/2007</v>
      </c>
      <c r="H3847" s="6" t="str">
        <f>IFERROR(__xludf.DUMMYFUNCTION("""COMPUTED_VALUE"""),"Self Identify")</f>
        <v>Self Identify</v>
      </c>
      <c r="I3847" s="6" t="str">
        <f>IFERROR(__xludf.DUMMYFUNCTION("""COMPUTED_VALUE"""),"High School")</f>
        <v>High School</v>
      </c>
      <c r="J3847" s="6" t="str">
        <f>IFERROR(__xludf.DUMMYFUNCTION("""COMPUTED_VALUE"""),"12")</f>
        <v>12</v>
      </c>
      <c r="K3847" s="6" t="str">
        <f>IFERROR(__xludf.DUMMYFUNCTION("""COMPUTED_VALUE"""),"evan.marchand@2hourlearning.com")</f>
        <v>evan.marchand@2hourlearning.com</v>
      </c>
      <c r="L3847" s="6" t="str">
        <f>IFERROR(__xludf.DUMMYFUNCTION("""COMPUTED_VALUE"""),"SPIRE Academy")</f>
        <v>SPIRE Academy</v>
      </c>
      <c r="M3847" s="6" t="str">
        <f>IFERROR(__xludf.DUMMYFUNCTION("""COMPUTED_VALUE"""),"")</f>
        <v/>
      </c>
      <c r="N3847" s="6" t="str">
        <f>IFERROR(__xludf.DUMMYFUNCTION("""COMPUTED_VALUE"""),"")</f>
        <v/>
      </c>
      <c r="O3847" s="87" t="str">
        <f>IFERROR(__xludf.DUMMYFUNCTION("""COMPUTED_VALUE"""),"https://drive.google.com/drive/folders/10T2cTQHqEJZqE-st6uFKPoI?usp=share_link")</f>
        <v>https://drive.google.com/drive/folders/10T2cTQHqEJZqE-st6uFKPoI?usp=share_link</v>
      </c>
      <c r="P3847" s="6" t="str">
        <f>IFERROR(__xludf.DUMMYFUNCTION("""COMPUTED_VALUE"""),"Evan Marchand")</f>
        <v>Evan Marchand</v>
      </c>
      <c r="Q3847" s="6" t="str">
        <f>IFERROR(__xludf.DUMMYFUNCTION("""COMPUTED_VALUE"""),"HS")</f>
        <v>HS</v>
      </c>
      <c r="R3847" s="6">
        <f>IFERROR(__xludf.DUMMYFUNCTION("""COMPUTED_VALUE"""),0.0)</f>
        <v>0</v>
      </c>
      <c r="S3847" s="6" t="str">
        <f>IFERROR(__xludf.DUMMYFUNCTION("""COMPUTED_VALUE""")," ")</f>
        <v> </v>
      </c>
      <c r="T3847" s="6" t="str">
        <f>IFERROR(__xludf.DUMMYFUNCTION("""COMPUTED_VALUE"""),"")</f>
        <v/>
      </c>
      <c r="U3847" s="6" t="str">
        <f>IFERROR(__xludf.DUMMYFUNCTION("""COMPUTED_VALUE"""),"12")</f>
        <v>12</v>
      </c>
      <c r="V3847" s="6" t="str">
        <f>IFERROR(__xludf.DUMMYFUNCTION("""COMPUTED_VALUE"""),"English")</f>
        <v>English</v>
      </c>
      <c r="W3847" s="6" t="str">
        <f>IFERROR(__xludf.DUMMYFUNCTION("""COMPUTED_VALUE"""),"[]")</f>
        <v>[]</v>
      </c>
      <c r="X3847" s="6" t="str">
        <f>IFERROR(__xludf.DUMMYFUNCTION("""COMPUTED_VALUE"""),"Enrolled")</f>
        <v>Enrolled</v>
      </c>
    </row>
    <row r="3848">
      <c r="A3848" s="6" t="str">
        <f>IFERROR(__xludf.DUMMYFUNCTION("""COMPUTED_VALUE"""),"068-10152")</f>
        <v>068-10152</v>
      </c>
      <c r="B3848" s="6" t="str">
        <f>IFERROR(__xludf.DUMMYFUNCTION("""COMPUTED_VALUE"""),"68")</f>
        <v>68</v>
      </c>
      <c r="C3848" s="6" t="str">
        <f>IFERROR(__xludf.DUMMYFUNCTION("""COMPUTED_VALUE"""),"10152")</f>
        <v>10152</v>
      </c>
      <c r="D3848" s="6" t="str">
        <f>IFERROR(__xludf.DUMMYFUNCTION("""COMPUTED_VALUE"""),"Cain")</f>
        <v>Cain</v>
      </c>
      <c r="E3848" s="6" t="str">
        <f>IFERROR(__xludf.DUMMYFUNCTION("""COMPUTED_VALUE"""),"")</f>
        <v/>
      </c>
      <c r="F3848" s="6" t="str">
        <f>IFERROR(__xludf.DUMMYFUNCTION("""COMPUTED_VALUE"""),"Martin")</f>
        <v>Martin</v>
      </c>
      <c r="G3848" s="6" t="str">
        <f>IFERROR(__xludf.DUMMYFUNCTION("""COMPUTED_VALUE"""),"04/15/2008")</f>
        <v>04/15/2008</v>
      </c>
      <c r="H3848" s="6" t="str">
        <f>IFERROR(__xludf.DUMMYFUNCTION("""COMPUTED_VALUE"""),"Self Identify")</f>
        <v>Self Identify</v>
      </c>
      <c r="I3848" s="6" t="str">
        <f>IFERROR(__xludf.DUMMYFUNCTION("""COMPUTED_VALUE"""),"High School")</f>
        <v>High School</v>
      </c>
      <c r="J3848" s="6" t="str">
        <f>IFERROR(__xludf.DUMMYFUNCTION("""COMPUTED_VALUE"""),"12")</f>
        <v>12</v>
      </c>
      <c r="K3848" s="6" t="str">
        <f>IFERROR(__xludf.DUMMYFUNCTION("""COMPUTED_VALUE"""),"cain.martin@2hourlearning.com")</f>
        <v>cain.martin@2hourlearning.com</v>
      </c>
      <c r="L3848" s="6" t="str">
        <f>IFERROR(__xludf.DUMMYFUNCTION("""COMPUTED_VALUE"""),"SPIRE Academy")</f>
        <v>SPIRE Academy</v>
      </c>
      <c r="M3848" s="6" t="str">
        <f>IFERROR(__xludf.DUMMYFUNCTION("""COMPUTED_VALUE"""),"")</f>
        <v/>
      </c>
      <c r="N3848" s="6" t="str">
        <f>IFERROR(__xludf.DUMMYFUNCTION("""COMPUTED_VALUE"""),"")</f>
        <v/>
      </c>
      <c r="O3848" s="87" t="str">
        <f>IFERROR(__xludf.DUMMYFUNCTION("""COMPUTED_VALUE"""),"https://drive.google.com/drive/folders/10T2cTQHqEJZqE-st6uFKPoI?usp=share_link")</f>
        <v>https://drive.google.com/drive/folders/10T2cTQHqEJZqE-st6uFKPoI?usp=share_link</v>
      </c>
      <c r="P3848" s="6" t="str">
        <f>IFERROR(__xludf.DUMMYFUNCTION("""COMPUTED_VALUE"""),"Cain Martin")</f>
        <v>Cain Martin</v>
      </c>
      <c r="Q3848" s="6" t="str">
        <f>IFERROR(__xludf.DUMMYFUNCTION("""COMPUTED_VALUE"""),"HS")</f>
        <v>HS</v>
      </c>
      <c r="R3848" s="6">
        <f>IFERROR(__xludf.DUMMYFUNCTION("""COMPUTED_VALUE"""),0.0)</f>
        <v>0</v>
      </c>
      <c r="S3848" s="6" t="str">
        <f>IFERROR(__xludf.DUMMYFUNCTION("""COMPUTED_VALUE""")," ")</f>
        <v> </v>
      </c>
      <c r="T3848" s="6" t="str">
        <f>IFERROR(__xludf.DUMMYFUNCTION("""COMPUTED_VALUE"""),"")</f>
        <v/>
      </c>
      <c r="U3848" s="6" t="str">
        <f>IFERROR(__xludf.DUMMYFUNCTION("""COMPUTED_VALUE"""),"12")</f>
        <v>12</v>
      </c>
      <c r="V3848" s="6" t="str">
        <f>IFERROR(__xludf.DUMMYFUNCTION("""COMPUTED_VALUE"""),"English")</f>
        <v>English</v>
      </c>
      <c r="W3848" s="6" t="str">
        <f>IFERROR(__xludf.DUMMYFUNCTION("""COMPUTED_VALUE"""),"[]")</f>
        <v>[]</v>
      </c>
      <c r="X3848" s="6" t="str">
        <f>IFERROR(__xludf.DUMMYFUNCTION("""COMPUTED_VALUE"""),"Enrolled")</f>
        <v>Enrolled</v>
      </c>
    </row>
    <row r="3849">
      <c r="A3849" s="6" t="str">
        <f>IFERROR(__xludf.DUMMYFUNCTION("""COMPUTED_VALUE"""),"068-10153")</f>
        <v>068-10153</v>
      </c>
      <c r="B3849" s="6" t="str">
        <f>IFERROR(__xludf.DUMMYFUNCTION("""COMPUTED_VALUE"""),"68")</f>
        <v>68</v>
      </c>
      <c r="C3849" s="6" t="str">
        <f>IFERROR(__xludf.DUMMYFUNCTION("""COMPUTED_VALUE"""),"10153")</f>
        <v>10153</v>
      </c>
      <c r="D3849" s="6" t="str">
        <f>IFERROR(__xludf.DUMMYFUNCTION("""COMPUTED_VALUE"""),"Balma")</f>
        <v>Balma</v>
      </c>
      <c r="E3849" s="6" t="str">
        <f>IFERROR(__xludf.DUMMYFUNCTION("""COMPUTED_VALUE"""),"")</f>
        <v/>
      </c>
      <c r="F3849" s="6" t="str">
        <f>IFERROR(__xludf.DUMMYFUNCTION("""COMPUTED_VALUE"""),"Matellanes Garcia")</f>
        <v>Matellanes Garcia</v>
      </c>
      <c r="G3849" s="6" t="str">
        <f>IFERROR(__xludf.DUMMYFUNCTION("""COMPUTED_VALUE"""),"03/16/2008")</f>
        <v>03/16/2008</v>
      </c>
      <c r="H3849" s="6" t="str">
        <f>IFERROR(__xludf.DUMMYFUNCTION("""COMPUTED_VALUE"""),"Self Identify")</f>
        <v>Self Identify</v>
      </c>
      <c r="I3849" s="6" t="str">
        <f>IFERROR(__xludf.DUMMYFUNCTION("""COMPUTED_VALUE"""),"High School")</f>
        <v>High School</v>
      </c>
      <c r="J3849" s="6" t="str">
        <f>IFERROR(__xludf.DUMMYFUNCTION("""COMPUTED_VALUE"""),"12")</f>
        <v>12</v>
      </c>
      <c r="K3849" s="6" t="str">
        <f>IFERROR(__xludf.DUMMYFUNCTION("""COMPUTED_VALUE"""),"balma.matellanesgarcia@2hourlearning.com")</f>
        <v>balma.matellanesgarcia@2hourlearning.com</v>
      </c>
      <c r="L3849" s="6" t="str">
        <f>IFERROR(__xludf.DUMMYFUNCTION("""COMPUTED_VALUE"""),"SPIRE Academy")</f>
        <v>SPIRE Academy</v>
      </c>
      <c r="M3849" s="6" t="str">
        <f>IFERROR(__xludf.DUMMYFUNCTION("""COMPUTED_VALUE"""),"")</f>
        <v/>
      </c>
      <c r="N3849" s="6" t="str">
        <f>IFERROR(__xludf.DUMMYFUNCTION("""COMPUTED_VALUE"""),"")</f>
        <v/>
      </c>
      <c r="O3849" s="87" t="str">
        <f>IFERROR(__xludf.DUMMYFUNCTION("""COMPUTED_VALUE"""),"https://drive.google.com/drive/folders/10T2cTQHqEJZqE-st6uFKPoI?usp=share_link")</f>
        <v>https://drive.google.com/drive/folders/10T2cTQHqEJZqE-st6uFKPoI?usp=share_link</v>
      </c>
      <c r="P3849" s="6" t="str">
        <f>IFERROR(__xludf.DUMMYFUNCTION("""COMPUTED_VALUE"""),"Balma Matellanes Garcia")</f>
        <v>Balma Matellanes Garcia</v>
      </c>
      <c r="Q3849" s="6" t="str">
        <f>IFERROR(__xludf.DUMMYFUNCTION("""COMPUTED_VALUE"""),"HS")</f>
        <v>HS</v>
      </c>
      <c r="R3849" s="6">
        <f>IFERROR(__xludf.DUMMYFUNCTION("""COMPUTED_VALUE"""),0.0)</f>
        <v>0</v>
      </c>
      <c r="S3849" s="6" t="str">
        <f>IFERROR(__xludf.DUMMYFUNCTION("""COMPUTED_VALUE""")," ")</f>
        <v> </v>
      </c>
      <c r="T3849" s="6" t="str">
        <f>IFERROR(__xludf.DUMMYFUNCTION("""COMPUTED_VALUE"""),"")</f>
        <v/>
      </c>
      <c r="U3849" s="6" t="str">
        <f>IFERROR(__xludf.DUMMYFUNCTION("""COMPUTED_VALUE"""),"12")</f>
        <v>12</v>
      </c>
      <c r="V3849" s="6" t="str">
        <f>IFERROR(__xludf.DUMMYFUNCTION("""COMPUTED_VALUE"""),"English")</f>
        <v>English</v>
      </c>
      <c r="W3849" s="6" t="str">
        <f>IFERROR(__xludf.DUMMYFUNCTION("""COMPUTED_VALUE"""),"[]")</f>
        <v>[]</v>
      </c>
      <c r="X3849" s="6" t="str">
        <f>IFERROR(__xludf.DUMMYFUNCTION("""COMPUTED_VALUE"""),"Enrolled")</f>
        <v>Enrolled</v>
      </c>
    </row>
    <row r="3850">
      <c r="A3850" s="6" t="str">
        <f>IFERROR(__xludf.DUMMYFUNCTION("""COMPUTED_VALUE"""),"068-10154")</f>
        <v>068-10154</v>
      </c>
      <c r="B3850" s="6" t="str">
        <f>IFERROR(__xludf.DUMMYFUNCTION("""COMPUTED_VALUE"""),"68")</f>
        <v>68</v>
      </c>
      <c r="C3850" s="6" t="str">
        <f>IFERROR(__xludf.DUMMYFUNCTION("""COMPUTED_VALUE"""),"10154")</f>
        <v>10154</v>
      </c>
      <c r="D3850" s="6" t="str">
        <f>IFERROR(__xludf.DUMMYFUNCTION("""COMPUTED_VALUE"""),"Kaylee")</f>
        <v>Kaylee</v>
      </c>
      <c r="E3850" s="6" t="str">
        <f>IFERROR(__xludf.DUMMYFUNCTION("""COMPUTED_VALUE"""),"")</f>
        <v/>
      </c>
      <c r="F3850" s="6" t="str">
        <f>IFERROR(__xludf.DUMMYFUNCTION("""COMPUTED_VALUE"""),"McIntyre")</f>
        <v>McIntyre</v>
      </c>
      <c r="G3850" s="6" t="str">
        <f>IFERROR(__xludf.DUMMYFUNCTION("""COMPUTED_VALUE"""),"08/14/2008")</f>
        <v>08/14/2008</v>
      </c>
      <c r="H3850" s="6" t="str">
        <f>IFERROR(__xludf.DUMMYFUNCTION("""COMPUTED_VALUE"""),"Self Identify")</f>
        <v>Self Identify</v>
      </c>
      <c r="I3850" s="6" t="str">
        <f>IFERROR(__xludf.DUMMYFUNCTION("""COMPUTED_VALUE"""),"High School")</f>
        <v>High School</v>
      </c>
      <c r="J3850" s="6" t="str">
        <f>IFERROR(__xludf.DUMMYFUNCTION("""COMPUTED_VALUE"""),"12")</f>
        <v>12</v>
      </c>
      <c r="K3850" s="6" t="str">
        <f>IFERROR(__xludf.DUMMYFUNCTION("""COMPUTED_VALUE"""),"kaylee.mcintyre@2hourlearning.com")</f>
        <v>kaylee.mcintyre@2hourlearning.com</v>
      </c>
      <c r="L3850" s="6" t="str">
        <f>IFERROR(__xludf.DUMMYFUNCTION("""COMPUTED_VALUE"""),"SPIRE Academy")</f>
        <v>SPIRE Academy</v>
      </c>
      <c r="M3850" s="6" t="str">
        <f>IFERROR(__xludf.DUMMYFUNCTION("""COMPUTED_VALUE"""),"")</f>
        <v/>
      </c>
      <c r="N3850" s="6" t="str">
        <f>IFERROR(__xludf.DUMMYFUNCTION("""COMPUTED_VALUE"""),"")</f>
        <v/>
      </c>
      <c r="O3850" s="87" t="str">
        <f>IFERROR(__xludf.DUMMYFUNCTION("""COMPUTED_VALUE"""),"https://drive.google.com/drive/folders/10T2cTQHqEJZqE-st6uFKPoI?usp=share_link")</f>
        <v>https://drive.google.com/drive/folders/10T2cTQHqEJZqE-st6uFKPoI?usp=share_link</v>
      </c>
      <c r="P3850" s="6" t="str">
        <f>IFERROR(__xludf.DUMMYFUNCTION("""COMPUTED_VALUE"""),"Kaylee McIntyre")</f>
        <v>Kaylee McIntyre</v>
      </c>
      <c r="Q3850" s="6" t="str">
        <f>IFERROR(__xludf.DUMMYFUNCTION("""COMPUTED_VALUE"""),"HS")</f>
        <v>HS</v>
      </c>
      <c r="R3850" s="6">
        <f>IFERROR(__xludf.DUMMYFUNCTION("""COMPUTED_VALUE"""),0.0)</f>
        <v>0</v>
      </c>
      <c r="S3850" s="6" t="str">
        <f>IFERROR(__xludf.DUMMYFUNCTION("""COMPUTED_VALUE""")," ")</f>
        <v> </v>
      </c>
      <c r="T3850" s="6" t="str">
        <f>IFERROR(__xludf.DUMMYFUNCTION("""COMPUTED_VALUE"""),"")</f>
        <v/>
      </c>
      <c r="U3850" s="6" t="str">
        <f>IFERROR(__xludf.DUMMYFUNCTION("""COMPUTED_VALUE"""),"12")</f>
        <v>12</v>
      </c>
      <c r="V3850" s="6" t="str">
        <f>IFERROR(__xludf.DUMMYFUNCTION("""COMPUTED_VALUE"""),"English")</f>
        <v>English</v>
      </c>
      <c r="W3850" s="6" t="str">
        <f>IFERROR(__xludf.DUMMYFUNCTION("""COMPUTED_VALUE"""),"[]")</f>
        <v>[]</v>
      </c>
      <c r="X3850" s="6" t="str">
        <f>IFERROR(__xludf.DUMMYFUNCTION("""COMPUTED_VALUE"""),"Enrolled")</f>
        <v>Enrolled</v>
      </c>
    </row>
    <row r="3851">
      <c r="A3851" s="6" t="str">
        <f>IFERROR(__xludf.DUMMYFUNCTION("""COMPUTED_VALUE"""),"068-10155")</f>
        <v>068-10155</v>
      </c>
      <c r="B3851" s="6" t="str">
        <f>IFERROR(__xludf.DUMMYFUNCTION("""COMPUTED_VALUE"""),"68")</f>
        <v>68</v>
      </c>
      <c r="C3851" s="6" t="str">
        <f>IFERROR(__xludf.DUMMYFUNCTION("""COMPUTED_VALUE"""),"10155")</f>
        <v>10155</v>
      </c>
      <c r="D3851" s="6" t="str">
        <f>IFERROR(__xludf.DUMMYFUNCTION("""COMPUTED_VALUE"""),"James")</f>
        <v>James</v>
      </c>
      <c r="E3851" s="6" t="str">
        <f>IFERROR(__xludf.DUMMYFUNCTION("""COMPUTED_VALUE"""),"")</f>
        <v/>
      </c>
      <c r="F3851" s="6" t="str">
        <f>IFERROR(__xludf.DUMMYFUNCTION("""COMPUTED_VALUE"""),"Meinke")</f>
        <v>Meinke</v>
      </c>
      <c r="G3851" s="6" t="str">
        <f>IFERROR(__xludf.DUMMYFUNCTION("""COMPUTED_VALUE"""),"03/06/2008")</f>
        <v>03/06/2008</v>
      </c>
      <c r="H3851" s="6" t="str">
        <f>IFERROR(__xludf.DUMMYFUNCTION("""COMPUTED_VALUE"""),"Self Identify")</f>
        <v>Self Identify</v>
      </c>
      <c r="I3851" s="6" t="str">
        <f>IFERROR(__xludf.DUMMYFUNCTION("""COMPUTED_VALUE"""),"High School")</f>
        <v>High School</v>
      </c>
      <c r="J3851" s="6" t="str">
        <f>IFERROR(__xludf.DUMMYFUNCTION("""COMPUTED_VALUE"""),"12")</f>
        <v>12</v>
      </c>
      <c r="K3851" s="6" t="str">
        <f>IFERROR(__xludf.DUMMYFUNCTION("""COMPUTED_VALUE"""),"james.meinke@2hourlearning.com")</f>
        <v>james.meinke@2hourlearning.com</v>
      </c>
      <c r="L3851" s="6" t="str">
        <f>IFERROR(__xludf.DUMMYFUNCTION("""COMPUTED_VALUE"""),"SPIRE Academy")</f>
        <v>SPIRE Academy</v>
      </c>
      <c r="M3851" s="6" t="str">
        <f>IFERROR(__xludf.DUMMYFUNCTION("""COMPUTED_VALUE"""),"")</f>
        <v/>
      </c>
      <c r="N3851" s="6" t="str">
        <f>IFERROR(__xludf.DUMMYFUNCTION("""COMPUTED_VALUE"""),"")</f>
        <v/>
      </c>
      <c r="O3851" s="87" t="str">
        <f>IFERROR(__xludf.DUMMYFUNCTION("""COMPUTED_VALUE"""),"https://drive.google.com/drive/folders/10T2cTQHqEJZqE-st6uFKPoI?usp=share_link")</f>
        <v>https://drive.google.com/drive/folders/10T2cTQHqEJZqE-st6uFKPoI?usp=share_link</v>
      </c>
      <c r="P3851" s="6" t="str">
        <f>IFERROR(__xludf.DUMMYFUNCTION("""COMPUTED_VALUE"""),"James Meinke")</f>
        <v>James Meinke</v>
      </c>
      <c r="Q3851" s="6" t="str">
        <f>IFERROR(__xludf.DUMMYFUNCTION("""COMPUTED_VALUE"""),"HS")</f>
        <v>HS</v>
      </c>
      <c r="R3851" s="6">
        <f>IFERROR(__xludf.DUMMYFUNCTION("""COMPUTED_VALUE"""),0.0)</f>
        <v>0</v>
      </c>
      <c r="S3851" s="6" t="str">
        <f>IFERROR(__xludf.DUMMYFUNCTION("""COMPUTED_VALUE""")," ")</f>
        <v> </v>
      </c>
      <c r="T3851" s="6" t="str">
        <f>IFERROR(__xludf.DUMMYFUNCTION("""COMPUTED_VALUE"""),"")</f>
        <v/>
      </c>
      <c r="U3851" s="6" t="str">
        <f>IFERROR(__xludf.DUMMYFUNCTION("""COMPUTED_VALUE"""),"12")</f>
        <v>12</v>
      </c>
      <c r="V3851" s="6" t="str">
        <f>IFERROR(__xludf.DUMMYFUNCTION("""COMPUTED_VALUE"""),"English")</f>
        <v>English</v>
      </c>
      <c r="W3851" s="6" t="str">
        <f>IFERROR(__xludf.DUMMYFUNCTION("""COMPUTED_VALUE"""),"[]")</f>
        <v>[]</v>
      </c>
      <c r="X3851" s="6" t="str">
        <f>IFERROR(__xludf.DUMMYFUNCTION("""COMPUTED_VALUE"""),"Enrolled")</f>
        <v>Enrolled</v>
      </c>
    </row>
    <row r="3852">
      <c r="A3852" s="6" t="str">
        <f>IFERROR(__xludf.DUMMYFUNCTION("""COMPUTED_VALUE"""),"068-10156")</f>
        <v>068-10156</v>
      </c>
      <c r="B3852" s="6" t="str">
        <f>IFERROR(__xludf.DUMMYFUNCTION("""COMPUTED_VALUE"""),"68")</f>
        <v>68</v>
      </c>
      <c r="C3852" s="6" t="str">
        <f>IFERROR(__xludf.DUMMYFUNCTION("""COMPUTED_VALUE"""),"10156")</f>
        <v>10156</v>
      </c>
      <c r="D3852" s="6" t="str">
        <f>IFERROR(__xludf.DUMMYFUNCTION("""COMPUTED_VALUE"""),"Giannis")</f>
        <v>Giannis</v>
      </c>
      <c r="E3852" s="6" t="str">
        <f>IFERROR(__xludf.DUMMYFUNCTION("""COMPUTED_VALUE"""),"")</f>
        <v/>
      </c>
      <c r="F3852" s="6" t="str">
        <f>IFERROR(__xludf.DUMMYFUNCTION("""COMPUTED_VALUE"""),"Michelidakis")</f>
        <v>Michelidakis</v>
      </c>
      <c r="G3852" s="6" t="str">
        <f>IFERROR(__xludf.DUMMYFUNCTION("""COMPUTED_VALUE"""),"01/25/2009")</f>
        <v>01/25/2009</v>
      </c>
      <c r="H3852" s="6" t="str">
        <f>IFERROR(__xludf.DUMMYFUNCTION("""COMPUTED_VALUE"""),"Self Identify")</f>
        <v>Self Identify</v>
      </c>
      <c r="I3852" s="6" t="str">
        <f>IFERROR(__xludf.DUMMYFUNCTION("""COMPUTED_VALUE"""),"High School")</f>
        <v>High School</v>
      </c>
      <c r="J3852" s="6" t="str">
        <f>IFERROR(__xludf.DUMMYFUNCTION("""COMPUTED_VALUE"""),"11")</f>
        <v>11</v>
      </c>
      <c r="K3852" s="6" t="str">
        <f>IFERROR(__xludf.DUMMYFUNCTION("""COMPUTED_VALUE"""),"giannis.michelidakis@2hourlearning.com")</f>
        <v>giannis.michelidakis@2hourlearning.com</v>
      </c>
      <c r="L3852" s="6" t="str">
        <f>IFERROR(__xludf.DUMMYFUNCTION("""COMPUTED_VALUE"""),"SPIRE Academy")</f>
        <v>SPIRE Academy</v>
      </c>
      <c r="M3852" s="6" t="str">
        <f>IFERROR(__xludf.DUMMYFUNCTION("""COMPUTED_VALUE"""),"")</f>
        <v/>
      </c>
      <c r="N3852" s="6" t="str">
        <f>IFERROR(__xludf.DUMMYFUNCTION("""COMPUTED_VALUE"""),"")</f>
        <v/>
      </c>
      <c r="O3852" s="87" t="str">
        <f>IFERROR(__xludf.DUMMYFUNCTION("""COMPUTED_VALUE"""),"https://drive.google.com/drive/folders/10T2cTQHqEJZqE-st6uFKPoI?usp=share_link")</f>
        <v>https://drive.google.com/drive/folders/10T2cTQHqEJZqE-st6uFKPoI?usp=share_link</v>
      </c>
      <c r="P3852" s="6" t="str">
        <f>IFERROR(__xludf.DUMMYFUNCTION("""COMPUTED_VALUE"""),"Giannis Michelidakis")</f>
        <v>Giannis Michelidakis</v>
      </c>
      <c r="Q3852" s="6" t="str">
        <f>IFERROR(__xludf.DUMMYFUNCTION("""COMPUTED_VALUE"""),"HS")</f>
        <v>HS</v>
      </c>
      <c r="R3852" s="6">
        <f>IFERROR(__xludf.DUMMYFUNCTION("""COMPUTED_VALUE"""),0.0)</f>
        <v>0</v>
      </c>
      <c r="S3852" s="6" t="str">
        <f>IFERROR(__xludf.DUMMYFUNCTION("""COMPUTED_VALUE""")," ")</f>
        <v> </v>
      </c>
      <c r="T3852" s="6" t="str">
        <f>IFERROR(__xludf.DUMMYFUNCTION("""COMPUTED_VALUE"""),"")</f>
        <v/>
      </c>
      <c r="U3852" s="6" t="str">
        <f>IFERROR(__xludf.DUMMYFUNCTION("""COMPUTED_VALUE"""),"11")</f>
        <v>11</v>
      </c>
      <c r="V3852" s="6" t="str">
        <f>IFERROR(__xludf.DUMMYFUNCTION("""COMPUTED_VALUE"""),"English")</f>
        <v>English</v>
      </c>
      <c r="W3852" s="6" t="str">
        <f>IFERROR(__xludf.DUMMYFUNCTION("""COMPUTED_VALUE"""),"[]")</f>
        <v>[]</v>
      </c>
      <c r="X3852" s="6" t="str">
        <f>IFERROR(__xludf.DUMMYFUNCTION("""COMPUTED_VALUE"""),"Enrolled")</f>
        <v>Enrolled</v>
      </c>
    </row>
    <row r="3853">
      <c r="A3853" s="6" t="str">
        <f>IFERROR(__xludf.DUMMYFUNCTION("""COMPUTED_VALUE"""),"068-10157")</f>
        <v>068-10157</v>
      </c>
      <c r="B3853" s="6" t="str">
        <f>IFERROR(__xludf.DUMMYFUNCTION("""COMPUTED_VALUE"""),"68")</f>
        <v>68</v>
      </c>
      <c r="C3853" s="6" t="str">
        <f>IFERROR(__xludf.DUMMYFUNCTION("""COMPUTED_VALUE"""),"10157")</f>
        <v>10157</v>
      </c>
      <c r="D3853" s="6" t="str">
        <f>IFERROR(__xludf.DUMMYFUNCTION("""COMPUTED_VALUE"""),"Olivia")</f>
        <v>Olivia</v>
      </c>
      <c r="E3853" s="6" t="str">
        <f>IFERROR(__xludf.DUMMYFUNCTION("""COMPUTED_VALUE"""),"")</f>
        <v/>
      </c>
      <c r="F3853" s="6" t="str">
        <f>IFERROR(__xludf.DUMMYFUNCTION("""COMPUTED_VALUE"""),"Miranda Melia")</f>
        <v>Miranda Melia</v>
      </c>
      <c r="G3853" s="6" t="str">
        <f>IFERROR(__xludf.DUMMYFUNCTION("""COMPUTED_VALUE"""),"01/10/2009")</f>
        <v>01/10/2009</v>
      </c>
      <c r="H3853" s="6" t="str">
        <f>IFERROR(__xludf.DUMMYFUNCTION("""COMPUTED_VALUE"""),"Self Identify")</f>
        <v>Self Identify</v>
      </c>
      <c r="I3853" s="6" t="str">
        <f>IFERROR(__xludf.DUMMYFUNCTION("""COMPUTED_VALUE"""),"High School")</f>
        <v>High School</v>
      </c>
      <c r="J3853" s="6" t="str">
        <f>IFERROR(__xludf.DUMMYFUNCTION("""COMPUTED_VALUE"""),"11")</f>
        <v>11</v>
      </c>
      <c r="K3853" s="6" t="str">
        <f>IFERROR(__xludf.DUMMYFUNCTION("""COMPUTED_VALUE"""),"olivia.mirandamelia@2hourlearning.com")</f>
        <v>olivia.mirandamelia@2hourlearning.com</v>
      </c>
      <c r="L3853" s="6" t="str">
        <f>IFERROR(__xludf.DUMMYFUNCTION("""COMPUTED_VALUE"""),"SPIRE Academy")</f>
        <v>SPIRE Academy</v>
      </c>
      <c r="M3853" s="6" t="str">
        <f>IFERROR(__xludf.DUMMYFUNCTION("""COMPUTED_VALUE"""),"")</f>
        <v/>
      </c>
      <c r="N3853" s="6" t="str">
        <f>IFERROR(__xludf.DUMMYFUNCTION("""COMPUTED_VALUE"""),"")</f>
        <v/>
      </c>
      <c r="O3853" s="87" t="str">
        <f>IFERROR(__xludf.DUMMYFUNCTION("""COMPUTED_VALUE"""),"https://drive.google.com/drive/folders/10T2cTQHqEJZqE-st6uFKPoI?usp=share_link")</f>
        <v>https://drive.google.com/drive/folders/10T2cTQHqEJZqE-st6uFKPoI?usp=share_link</v>
      </c>
      <c r="P3853" s="6" t="str">
        <f>IFERROR(__xludf.DUMMYFUNCTION("""COMPUTED_VALUE"""),"Olivia Miranda Melia")</f>
        <v>Olivia Miranda Melia</v>
      </c>
      <c r="Q3853" s="6" t="str">
        <f>IFERROR(__xludf.DUMMYFUNCTION("""COMPUTED_VALUE"""),"HS")</f>
        <v>HS</v>
      </c>
      <c r="R3853" s="6">
        <f>IFERROR(__xludf.DUMMYFUNCTION("""COMPUTED_VALUE"""),0.0)</f>
        <v>0</v>
      </c>
      <c r="S3853" s="6" t="str">
        <f>IFERROR(__xludf.DUMMYFUNCTION("""COMPUTED_VALUE""")," ")</f>
        <v> </v>
      </c>
      <c r="T3853" s="6" t="str">
        <f>IFERROR(__xludf.DUMMYFUNCTION("""COMPUTED_VALUE"""),"")</f>
        <v/>
      </c>
      <c r="U3853" s="6" t="str">
        <f>IFERROR(__xludf.DUMMYFUNCTION("""COMPUTED_VALUE"""),"11")</f>
        <v>11</v>
      </c>
      <c r="V3853" s="6" t="str">
        <f>IFERROR(__xludf.DUMMYFUNCTION("""COMPUTED_VALUE"""),"English")</f>
        <v>English</v>
      </c>
      <c r="W3853" s="6" t="str">
        <f>IFERROR(__xludf.DUMMYFUNCTION("""COMPUTED_VALUE"""),"[]")</f>
        <v>[]</v>
      </c>
      <c r="X3853" s="6" t="str">
        <f>IFERROR(__xludf.DUMMYFUNCTION("""COMPUTED_VALUE"""),"Enrolled")</f>
        <v>Enrolled</v>
      </c>
    </row>
    <row r="3854">
      <c r="A3854" s="6" t="str">
        <f>IFERROR(__xludf.DUMMYFUNCTION("""COMPUTED_VALUE"""),"068-10158")</f>
        <v>068-10158</v>
      </c>
      <c r="B3854" s="6" t="str">
        <f>IFERROR(__xludf.DUMMYFUNCTION("""COMPUTED_VALUE"""),"68")</f>
        <v>68</v>
      </c>
      <c r="C3854" s="6" t="str">
        <f>IFERROR(__xludf.DUMMYFUNCTION("""COMPUTED_VALUE"""),"10158")</f>
        <v>10158</v>
      </c>
      <c r="D3854" s="6" t="str">
        <f>IFERROR(__xludf.DUMMYFUNCTION("""COMPUTED_VALUE"""),"Jaylan")</f>
        <v>Jaylan</v>
      </c>
      <c r="E3854" s="6" t="str">
        <f>IFERROR(__xludf.DUMMYFUNCTION("""COMPUTED_VALUE"""),"")</f>
        <v/>
      </c>
      <c r="F3854" s="6" t="str">
        <f>IFERROR(__xludf.DUMMYFUNCTION("""COMPUTED_VALUE"""),"Mitchell")</f>
        <v>Mitchell</v>
      </c>
      <c r="G3854" s="6" t="str">
        <f>IFERROR(__xludf.DUMMYFUNCTION("""COMPUTED_VALUE"""),"07/14/2008")</f>
        <v>07/14/2008</v>
      </c>
      <c r="H3854" s="6" t="str">
        <f>IFERROR(__xludf.DUMMYFUNCTION("""COMPUTED_VALUE"""),"Self Identify")</f>
        <v>Self Identify</v>
      </c>
      <c r="I3854" s="6" t="str">
        <f>IFERROR(__xludf.DUMMYFUNCTION("""COMPUTED_VALUE"""),"High School")</f>
        <v>High School</v>
      </c>
      <c r="J3854" s="6" t="str">
        <f>IFERROR(__xludf.DUMMYFUNCTION("""COMPUTED_VALUE"""),"11")</f>
        <v>11</v>
      </c>
      <c r="K3854" s="6" t="str">
        <f>IFERROR(__xludf.DUMMYFUNCTION("""COMPUTED_VALUE"""),"jaylan.mitchell@2hourlearning.com")</f>
        <v>jaylan.mitchell@2hourlearning.com</v>
      </c>
      <c r="L3854" s="6" t="str">
        <f>IFERROR(__xludf.DUMMYFUNCTION("""COMPUTED_VALUE"""),"SPIRE Academy")</f>
        <v>SPIRE Academy</v>
      </c>
      <c r="M3854" s="6" t="str">
        <f>IFERROR(__xludf.DUMMYFUNCTION("""COMPUTED_VALUE"""),"")</f>
        <v/>
      </c>
      <c r="N3854" s="6" t="str">
        <f>IFERROR(__xludf.DUMMYFUNCTION("""COMPUTED_VALUE"""),"")</f>
        <v/>
      </c>
      <c r="O3854" s="87" t="str">
        <f>IFERROR(__xludf.DUMMYFUNCTION("""COMPUTED_VALUE"""),"https://drive.google.com/drive/folders/10T2cTQHqEJZqE-st6uFKPoI?usp=share_link")</f>
        <v>https://drive.google.com/drive/folders/10T2cTQHqEJZqE-st6uFKPoI?usp=share_link</v>
      </c>
      <c r="P3854" s="6" t="str">
        <f>IFERROR(__xludf.DUMMYFUNCTION("""COMPUTED_VALUE"""),"Jaylan Mitchell")</f>
        <v>Jaylan Mitchell</v>
      </c>
      <c r="Q3854" s="6" t="str">
        <f>IFERROR(__xludf.DUMMYFUNCTION("""COMPUTED_VALUE"""),"HS")</f>
        <v>HS</v>
      </c>
      <c r="R3854" s="6">
        <f>IFERROR(__xludf.DUMMYFUNCTION("""COMPUTED_VALUE"""),0.0)</f>
        <v>0</v>
      </c>
      <c r="S3854" s="6" t="str">
        <f>IFERROR(__xludf.DUMMYFUNCTION("""COMPUTED_VALUE""")," ")</f>
        <v> </v>
      </c>
      <c r="T3854" s="6" t="str">
        <f>IFERROR(__xludf.DUMMYFUNCTION("""COMPUTED_VALUE"""),"")</f>
        <v/>
      </c>
      <c r="U3854" s="6" t="str">
        <f>IFERROR(__xludf.DUMMYFUNCTION("""COMPUTED_VALUE"""),"11")</f>
        <v>11</v>
      </c>
      <c r="V3854" s="6" t="str">
        <f>IFERROR(__xludf.DUMMYFUNCTION("""COMPUTED_VALUE"""),"English")</f>
        <v>English</v>
      </c>
      <c r="W3854" s="6" t="str">
        <f>IFERROR(__xludf.DUMMYFUNCTION("""COMPUTED_VALUE"""),"[]")</f>
        <v>[]</v>
      </c>
      <c r="X3854" s="6" t="str">
        <f>IFERROR(__xludf.DUMMYFUNCTION("""COMPUTED_VALUE"""),"Enrolled")</f>
        <v>Enrolled</v>
      </c>
    </row>
    <row r="3855">
      <c r="A3855" s="6" t="str">
        <f>IFERROR(__xludf.DUMMYFUNCTION("""COMPUTED_VALUE"""),"068-10159")</f>
        <v>068-10159</v>
      </c>
      <c r="B3855" s="6" t="str">
        <f>IFERROR(__xludf.DUMMYFUNCTION("""COMPUTED_VALUE"""),"68")</f>
        <v>68</v>
      </c>
      <c r="C3855" s="6" t="str">
        <f>IFERROR(__xludf.DUMMYFUNCTION("""COMPUTED_VALUE"""),"10159")</f>
        <v>10159</v>
      </c>
      <c r="D3855" s="6" t="str">
        <f>IFERROR(__xludf.DUMMYFUNCTION("""COMPUTED_VALUE"""),"Maeline")</f>
        <v>Maeline</v>
      </c>
      <c r="E3855" s="6" t="str">
        <f>IFERROR(__xludf.DUMMYFUNCTION("""COMPUTED_VALUE"""),"")</f>
        <v/>
      </c>
      <c r="F3855" s="6" t="str">
        <f>IFERROR(__xludf.DUMMYFUNCTION("""COMPUTED_VALUE"""),"Monet")</f>
        <v>Monet</v>
      </c>
      <c r="G3855" s="6" t="str">
        <f>IFERROR(__xludf.DUMMYFUNCTION("""COMPUTED_VALUE"""),"08/30/2010")</f>
        <v>08/30/2010</v>
      </c>
      <c r="H3855" s="6" t="str">
        <f>IFERROR(__xludf.DUMMYFUNCTION("""COMPUTED_VALUE"""),"Self Identify")</f>
        <v>Self Identify</v>
      </c>
      <c r="I3855" s="6" t="str">
        <f>IFERROR(__xludf.DUMMYFUNCTION("""COMPUTED_VALUE"""),"High School")</f>
        <v>High School</v>
      </c>
      <c r="J3855" s="6" t="str">
        <f>IFERROR(__xludf.DUMMYFUNCTION("""COMPUTED_VALUE"""),"10")</f>
        <v>10</v>
      </c>
      <c r="K3855" s="6" t="str">
        <f>IFERROR(__xludf.DUMMYFUNCTION("""COMPUTED_VALUE"""),"maeline.monet@2hourlearning.com")</f>
        <v>maeline.monet@2hourlearning.com</v>
      </c>
      <c r="L3855" s="6" t="str">
        <f>IFERROR(__xludf.DUMMYFUNCTION("""COMPUTED_VALUE"""),"SPIRE Academy")</f>
        <v>SPIRE Academy</v>
      </c>
      <c r="M3855" s="6" t="str">
        <f>IFERROR(__xludf.DUMMYFUNCTION("""COMPUTED_VALUE"""),"")</f>
        <v/>
      </c>
      <c r="N3855" s="6" t="str">
        <f>IFERROR(__xludf.DUMMYFUNCTION("""COMPUTED_VALUE"""),"")</f>
        <v/>
      </c>
      <c r="O3855" s="87" t="str">
        <f>IFERROR(__xludf.DUMMYFUNCTION("""COMPUTED_VALUE"""),"https://drive.google.com/drive/folders/10T2cTQHqEJZqE-st6uFKPoI?usp=share_link")</f>
        <v>https://drive.google.com/drive/folders/10T2cTQHqEJZqE-st6uFKPoI?usp=share_link</v>
      </c>
      <c r="P3855" s="6" t="str">
        <f>IFERROR(__xludf.DUMMYFUNCTION("""COMPUTED_VALUE"""),"Maeline Monet")</f>
        <v>Maeline Monet</v>
      </c>
      <c r="Q3855" s="6" t="str">
        <f>IFERROR(__xludf.DUMMYFUNCTION("""COMPUTED_VALUE"""),"HS")</f>
        <v>HS</v>
      </c>
      <c r="R3855" s="6">
        <f>IFERROR(__xludf.DUMMYFUNCTION("""COMPUTED_VALUE"""),0.0)</f>
        <v>0</v>
      </c>
      <c r="S3855" s="6" t="str">
        <f>IFERROR(__xludf.DUMMYFUNCTION("""COMPUTED_VALUE""")," ")</f>
        <v> </v>
      </c>
      <c r="T3855" s="6" t="str">
        <f>IFERROR(__xludf.DUMMYFUNCTION("""COMPUTED_VALUE"""),"")</f>
        <v/>
      </c>
      <c r="U3855" s="6" t="str">
        <f>IFERROR(__xludf.DUMMYFUNCTION("""COMPUTED_VALUE"""),"10")</f>
        <v>10</v>
      </c>
      <c r="V3855" s="6" t="str">
        <f>IFERROR(__xludf.DUMMYFUNCTION("""COMPUTED_VALUE"""),"English")</f>
        <v>English</v>
      </c>
      <c r="W3855" s="6" t="str">
        <f>IFERROR(__xludf.DUMMYFUNCTION("""COMPUTED_VALUE"""),"[]")</f>
        <v>[]</v>
      </c>
      <c r="X3855" s="6" t="str">
        <f>IFERROR(__xludf.DUMMYFUNCTION("""COMPUTED_VALUE"""),"Enrolled")</f>
        <v>Enrolled</v>
      </c>
    </row>
    <row r="3856">
      <c r="A3856" s="6" t="str">
        <f>IFERROR(__xludf.DUMMYFUNCTION("""COMPUTED_VALUE"""),"068-10160")</f>
        <v>068-10160</v>
      </c>
      <c r="B3856" s="6" t="str">
        <f>IFERROR(__xludf.DUMMYFUNCTION("""COMPUTED_VALUE"""),"68")</f>
        <v>68</v>
      </c>
      <c r="C3856" s="6" t="str">
        <f>IFERROR(__xludf.DUMMYFUNCTION("""COMPUTED_VALUE"""),"10160")</f>
        <v>10160</v>
      </c>
      <c r="D3856" s="6" t="str">
        <f>IFERROR(__xludf.DUMMYFUNCTION("""COMPUTED_VALUE"""),"Jon")</f>
        <v>Jon</v>
      </c>
      <c r="E3856" s="6" t="str">
        <f>IFERROR(__xludf.DUMMYFUNCTION("""COMPUTED_VALUE"""),"")</f>
        <v/>
      </c>
      <c r="F3856" s="6" t="str">
        <f>IFERROR(__xludf.DUMMYFUNCTION("""COMPUTED_VALUE"""),"Musser")</f>
        <v>Musser</v>
      </c>
      <c r="G3856" s="6" t="str">
        <f>IFERROR(__xludf.DUMMYFUNCTION("""COMPUTED_VALUE"""),"04/25/2008")</f>
        <v>04/25/2008</v>
      </c>
      <c r="H3856" s="6" t="str">
        <f>IFERROR(__xludf.DUMMYFUNCTION("""COMPUTED_VALUE"""),"Self Identify")</f>
        <v>Self Identify</v>
      </c>
      <c r="I3856" s="6" t="str">
        <f>IFERROR(__xludf.DUMMYFUNCTION("""COMPUTED_VALUE"""),"High School")</f>
        <v>High School</v>
      </c>
      <c r="J3856" s="6" t="str">
        <f>IFERROR(__xludf.DUMMYFUNCTION("""COMPUTED_VALUE"""),"11")</f>
        <v>11</v>
      </c>
      <c r="K3856" s="6" t="str">
        <f>IFERROR(__xludf.DUMMYFUNCTION("""COMPUTED_VALUE"""),"jon.musser@2hourlearning.com")</f>
        <v>jon.musser@2hourlearning.com</v>
      </c>
      <c r="L3856" s="6" t="str">
        <f>IFERROR(__xludf.DUMMYFUNCTION("""COMPUTED_VALUE"""),"SPIRE Academy")</f>
        <v>SPIRE Academy</v>
      </c>
      <c r="M3856" s="6" t="str">
        <f>IFERROR(__xludf.DUMMYFUNCTION("""COMPUTED_VALUE"""),"")</f>
        <v/>
      </c>
      <c r="N3856" s="6" t="str">
        <f>IFERROR(__xludf.DUMMYFUNCTION("""COMPUTED_VALUE"""),"")</f>
        <v/>
      </c>
      <c r="O3856" s="87" t="str">
        <f>IFERROR(__xludf.DUMMYFUNCTION("""COMPUTED_VALUE"""),"https://drive.google.com/drive/folders/10T2cTQHqEJZqE-st6uFKPoI?usp=share_link")</f>
        <v>https://drive.google.com/drive/folders/10T2cTQHqEJZqE-st6uFKPoI?usp=share_link</v>
      </c>
      <c r="P3856" s="6" t="str">
        <f>IFERROR(__xludf.DUMMYFUNCTION("""COMPUTED_VALUE"""),"Jon Musser")</f>
        <v>Jon Musser</v>
      </c>
      <c r="Q3856" s="6" t="str">
        <f>IFERROR(__xludf.DUMMYFUNCTION("""COMPUTED_VALUE"""),"HS")</f>
        <v>HS</v>
      </c>
      <c r="R3856" s="6">
        <f>IFERROR(__xludf.DUMMYFUNCTION("""COMPUTED_VALUE"""),0.0)</f>
        <v>0</v>
      </c>
      <c r="S3856" s="6" t="str">
        <f>IFERROR(__xludf.DUMMYFUNCTION("""COMPUTED_VALUE""")," ")</f>
        <v> </v>
      </c>
      <c r="T3856" s="6" t="str">
        <f>IFERROR(__xludf.DUMMYFUNCTION("""COMPUTED_VALUE"""),"")</f>
        <v/>
      </c>
      <c r="U3856" s="6" t="str">
        <f>IFERROR(__xludf.DUMMYFUNCTION("""COMPUTED_VALUE"""),"11")</f>
        <v>11</v>
      </c>
      <c r="V3856" s="6" t="str">
        <f>IFERROR(__xludf.DUMMYFUNCTION("""COMPUTED_VALUE"""),"English")</f>
        <v>English</v>
      </c>
      <c r="W3856" s="6" t="str">
        <f>IFERROR(__xludf.DUMMYFUNCTION("""COMPUTED_VALUE"""),"[]")</f>
        <v>[]</v>
      </c>
      <c r="X3856" s="6" t="str">
        <f>IFERROR(__xludf.DUMMYFUNCTION("""COMPUTED_VALUE"""),"Enrolled")</f>
        <v>Enrolled</v>
      </c>
    </row>
    <row r="3857">
      <c r="A3857" s="6" t="str">
        <f>IFERROR(__xludf.DUMMYFUNCTION("""COMPUTED_VALUE"""),"068-10161")</f>
        <v>068-10161</v>
      </c>
      <c r="B3857" s="6" t="str">
        <f>IFERROR(__xludf.DUMMYFUNCTION("""COMPUTED_VALUE"""),"68")</f>
        <v>68</v>
      </c>
      <c r="C3857" s="6" t="str">
        <f>IFERROR(__xludf.DUMMYFUNCTION("""COMPUTED_VALUE"""),"10161")</f>
        <v>10161</v>
      </c>
      <c r="D3857" s="6" t="str">
        <f>IFERROR(__xludf.DUMMYFUNCTION("""COMPUTED_VALUE"""),"Roy")</f>
        <v>Roy</v>
      </c>
      <c r="E3857" s="6" t="str">
        <f>IFERROR(__xludf.DUMMYFUNCTION("""COMPUTED_VALUE"""),"")</f>
        <v/>
      </c>
      <c r="F3857" s="6" t="str">
        <f>IFERROR(__xludf.DUMMYFUNCTION("""COMPUTED_VALUE"""),"Mutimba")</f>
        <v>Mutimba</v>
      </c>
      <c r="G3857" s="6" t="str">
        <f>IFERROR(__xludf.DUMMYFUNCTION("""COMPUTED_VALUE"""),"08/23/2008")</f>
        <v>08/23/2008</v>
      </c>
      <c r="H3857" s="6" t="str">
        <f>IFERROR(__xludf.DUMMYFUNCTION("""COMPUTED_VALUE"""),"Self Identify")</f>
        <v>Self Identify</v>
      </c>
      <c r="I3857" s="6" t="str">
        <f>IFERROR(__xludf.DUMMYFUNCTION("""COMPUTED_VALUE"""),"High School")</f>
        <v>High School</v>
      </c>
      <c r="J3857" s="6" t="str">
        <f>IFERROR(__xludf.DUMMYFUNCTION("""COMPUTED_VALUE"""),"12")</f>
        <v>12</v>
      </c>
      <c r="K3857" s="6" t="str">
        <f>IFERROR(__xludf.DUMMYFUNCTION("""COMPUTED_VALUE"""),"roy.mutimba@2hourlearning.com")</f>
        <v>roy.mutimba@2hourlearning.com</v>
      </c>
      <c r="L3857" s="6" t="str">
        <f>IFERROR(__xludf.DUMMYFUNCTION("""COMPUTED_VALUE"""),"SPIRE Academy")</f>
        <v>SPIRE Academy</v>
      </c>
      <c r="M3857" s="6" t="str">
        <f>IFERROR(__xludf.DUMMYFUNCTION("""COMPUTED_VALUE"""),"")</f>
        <v/>
      </c>
      <c r="N3857" s="6" t="str">
        <f>IFERROR(__xludf.DUMMYFUNCTION("""COMPUTED_VALUE"""),"")</f>
        <v/>
      </c>
      <c r="O3857" s="87" t="str">
        <f>IFERROR(__xludf.DUMMYFUNCTION("""COMPUTED_VALUE"""),"https://drive.google.com/drive/folders/10T2cTQHqEJZqE-st6uFKPoI?usp=share_link")</f>
        <v>https://drive.google.com/drive/folders/10T2cTQHqEJZqE-st6uFKPoI?usp=share_link</v>
      </c>
      <c r="P3857" s="6" t="str">
        <f>IFERROR(__xludf.DUMMYFUNCTION("""COMPUTED_VALUE"""),"Roy Mutimba")</f>
        <v>Roy Mutimba</v>
      </c>
      <c r="Q3857" s="6" t="str">
        <f>IFERROR(__xludf.DUMMYFUNCTION("""COMPUTED_VALUE"""),"HS")</f>
        <v>HS</v>
      </c>
      <c r="R3857" s="6">
        <f>IFERROR(__xludf.DUMMYFUNCTION("""COMPUTED_VALUE"""),0.0)</f>
        <v>0</v>
      </c>
      <c r="S3857" s="6" t="str">
        <f>IFERROR(__xludf.DUMMYFUNCTION("""COMPUTED_VALUE""")," ")</f>
        <v> </v>
      </c>
      <c r="T3857" s="6" t="str">
        <f>IFERROR(__xludf.DUMMYFUNCTION("""COMPUTED_VALUE"""),"")</f>
        <v/>
      </c>
      <c r="U3857" s="6" t="str">
        <f>IFERROR(__xludf.DUMMYFUNCTION("""COMPUTED_VALUE"""),"12")</f>
        <v>12</v>
      </c>
      <c r="V3857" s="6" t="str">
        <f>IFERROR(__xludf.DUMMYFUNCTION("""COMPUTED_VALUE"""),"English")</f>
        <v>English</v>
      </c>
      <c r="W3857" s="6" t="str">
        <f>IFERROR(__xludf.DUMMYFUNCTION("""COMPUTED_VALUE"""),"[]")</f>
        <v>[]</v>
      </c>
      <c r="X3857" s="6" t="str">
        <f>IFERROR(__xludf.DUMMYFUNCTION("""COMPUTED_VALUE"""),"Enrolled")</f>
        <v>Enrolled</v>
      </c>
    </row>
    <row r="3858">
      <c r="A3858" s="6" t="str">
        <f>IFERROR(__xludf.DUMMYFUNCTION("""COMPUTED_VALUE"""),"068-10162")</f>
        <v>068-10162</v>
      </c>
      <c r="B3858" s="6" t="str">
        <f>IFERROR(__xludf.DUMMYFUNCTION("""COMPUTED_VALUE"""),"68")</f>
        <v>68</v>
      </c>
      <c r="C3858" s="6" t="str">
        <f>IFERROR(__xludf.DUMMYFUNCTION("""COMPUTED_VALUE"""),"10162")</f>
        <v>10162</v>
      </c>
      <c r="D3858" s="6" t="str">
        <f>IFERROR(__xludf.DUMMYFUNCTION("""COMPUTED_VALUE"""),"Jack")</f>
        <v>Jack</v>
      </c>
      <c r="E3858" s="6" t="str">
        <f>IFERROR(__xludf.DUMMYFUNCTION("""COMPUTED_VALUE"""),"")</f>
        <v/>
      </c>
      <c r="F3858" s="6" t="str">
        <f>IFERROR(__xludf.DUMMYFUNCTION("""COMPUTED_VALUE"""),"Narens")</f>
        <v>Narens</v>
      </c>
      <c r="G3858" s="6" t="str">
        <f>IFERROR(__xludf.DUMMYFUNCTION("""COMPUTED_VALUE"""),"10/21/2008")</f>
        <v>10/21/2008</v>
      </c>
      <c r="H3858" s="6" t="str">
        <f>IFERROR(__xludf.DUMMYFUNCTION("""COMPUTED_VALUE"""),"Self Identify")</f>
        <v>Self Identify</v>
      </c>
      <c r="I3858" s="6" t="str">
        <f>IFERROR(__xludf.DUMMYFUNCTION("""COMPUTED_VALUE"""),"High School")</f>
        <v>High School</v>
      </c>
      <c r="J3858" s="6" t="str">
        <f>IFERROR(__xludf.DUMMYFUNCTION("""COMPUTED_VALUE"""),"11")</f>
        <v>11</v>
      </c>
      <c r="K3858" s="6" t="str">
        <f>IFERROR(__xludf.DUMMYFUNCTION("""COMPUTED_VALUE"""),"jack.narens@2hourlearning.com")</f>
        <v>jack.narens@2hourlearning.com</v>
      </c>
      <c r="L3858" s="6" t="str">
        <f>IFERROR(__xludf.DUMMYFUNCTION("""COMPUTED_VALUE"""),"SPIRE Academy")</f>
        <v>SPIRE Academy</v>
      </c>
      <c r="M3858" s="6" t="str">
        <f>IFERROR(__xludf.DUMMYFUNCTION("""COMPUTED_VALUE"""),"")</f>
        <v/>
      </c>
      <c r="N3858" s="6" t="str">
        <f>IFERROR(__xludf.DUMMYFUNCTION("""COMPUTED_VALUE"""),"")</f>
        <v/>
      </c>
      <c r="O3858" s="87" t="str">
        <f>IFERROR(__xludf.DUMMYFUNCTION("""COMPUTED_VALUE"""),"https://drive.google.com/drive/folders/10T2cTQHqEJZqE-st6uFKPoI?usp=share_link")</f>
        <v>https://drive.google.com/drive/folders/10T2cTQHqEJZqE-st6uFKPoI?usp=share_link</v>
      </c>
      <c r="P3858" s="6" t="str">
        <f>IFERROR(__xludf.DUMMYFUNCTION("""COMPUTED_VALUE"""),"Jack Narens")</f>
        <v>Jack Narens</v>
      </c>
      <c r="Q3858" s="6" t="str">
        <f>IFERROR(__xludf.DUMMYFUNCTION("""COMPUTED_VALUE"""),"HS")</f>
        <v>HS</v>
      </c>
      <c r="R3858" s="6">
        <f>IFERROR(__xludf.DUMMYFUNCTION("""COMPUTED_VALUE"""),0.0)</f>
        <v>0</v>
      </c>
      <c r="S3858" s="6" t="str">
        <f>IFERROR(__xludf.DUMMYFUNCTION("""COMPUTED_VALUE""")," ")</f>
        <v> </v>
      </c>
      <c r="T3858" s="6" t="str">
        <f>IFERROR(__xludf.DUMMYFUNCTION("""COMPUTED_VALUE"""),"")</f>
        <v/>
      </c>
      <c r="U3858" s="6" t="str">
        <f>IFERROR(__xludf.DUMMYFUNCTION("""COMPUTED_VALUE"""),"11")</f>
        <v>11</v>
      </c>
      <c r="V3858" s="6" t="str">
        <f>IFERROR(__xludf.DUMMYFUNCTION("""COMPUTED_VALUE"""),"English")</f>
        <v>English</v>
      </c>
      <c r="W3858" s="6" t="str">
        <f>IFERROR(__xludf.DUMMYFUNCTION("""COMPUTED_VALUE"""),"[]")</f>
        <v>[]</v>
      </c>
      <c r="X3858" s="6" t="str">
        <f>IFERROR(__xludf.DUMMYFUNCTION("""COMPUTED_VALUE"""),"Enrolled")</f>
        <v>Enrolled</v>
      </c>
    </row>
    <row r="3859">
      <c r="A3859" s="6" t="str">
        <f>IFERROR(__xludf.DUMMYFUNCTION("""COMPUTED_VALUE"""),"068-10163")</f>
        <v>068-10163</v>
      </c>
      <c r="B3859" s="6" t="str">
        <f>IFERROR(__xludf.DUMMYFUNCTION("""COMPUTED_VALUE"""),"68")</f>
        <v>68</v>
      </c>
      <c r="C3859" s="6" t="str">
        <f>IFERROR(__xludf.DUMMYFUNCTION("""COMPUTED_VALUE"""),"10163")</f>
        <v>10163</v>
      </c>
      <c r="D3859" s="6" t="str">
        <f>IFERROR(__xludf.DUMMYFUNCTION("""COMPUTED_VALUE"""),"Nil")</f>
        <v>Nil</v>
      </c>
      <c r="E3859" s="6" t="str">
        <f>IFERROR(__xludf.DUMMYFUNCTION("""COMPUTED_VALUE"""),"")</f>
        <v/>
      </c>
      <c r="F3859" s="6" t="str">
        <f>IFERROR(__xludf.DUMMYFUNCTION("""COMPUTED_VALUE"""),"Narros")</f>
        <v>Narros</v>
      </c>
      <c r="G3859" s="6" t="str">
        <f>IFERROR(__xludf.DUMMYFUNCTION("""COMPUTED_VALUE"""),"10/01/2008")</f>
        <v>10/01/2008</v>
      </c>
      <c r="H3859" s="6" t="str">
        <f>IFERROR(__xludf.DUMMYFUNCTION("""COMPUTED_VALUE"""),"Self Identify")</f>
        <v>Self Identify</v>
      </c>
      <c r="I3859" s="6" t="str">
        <f>IFERROR(__xludf.DUMMYFUNCTION("""COMPUTED_VALUE"""),"High School")</f>
        <v>High School</v>
      </c>
      <c r="J3859" s="6" t="str">
        <f>IFERROR(__xludf.DUMMYFUNCTION("""COMPUTED_VALUE"""),"12")</f>
        <v>12</v>
      </c>
      <c r="K3859" s="6" t="str">
        <f>IFERROR(__xludf.DUMMYFUNCTION("""COMPUTED_VALUE"""),"nil.narros@2hourlearning.com")</f>
        <v>nil.narros@2hourlearning.com</v>
      </c>
      <c r="L3859" s="6" t="str">
        <f>IFERROR(__xludf.DUMMYFUNCTION("""COMPUTED_VALUE"""),"SPIRE Academy")</f>
        <v>SPIRE Academy</v>
      </c>
      <c r="M3859" s="6" t="str">
        <f>IFERROR(__xludf.DUMMYFUNCTION("""COMPUTED_VALUE"""),"")</f>
        <v/>
      </c>
      <c r="N3859" s="6" t="str">
        <f>IFERROR(__xludf.DUMMYFUNCTION("""COMPUTED_VALUE"""),"")</f>
        <v/>
      </c>
      <c r="O3859" s="87" t="str">
        <f>IFERROR(__xludf.DUMMYFUNCTION("""COMPUTED_VALUE"""),"https://drive.google.com/drive/folders/10T2cTQHqEJZqE-st6uFKPoI?usp=share_link")</f>
        <v>https://drive.google.com/drive/folders/10T2cTQHqEJZqE-st6uFKPoI?usp=share_link</v>
      </c>
      <c r="P3859" s="6" t="str">
        <f>IFERROR(__xludf.DUMMYFUNCTION("""COMPUTED_VALUE"""),"Nil Narros")</f>
        <v>Nil Narros</v>
      </c>
      <c r="Q3859" s="6" t="str">
        <f>IFERROR(__xludf.DUMMYFUNCTION("""COMPUTED_VALUE"""),"HS")</f>
        <v>HS</v>
      </c>
      <c r="R3859" s="6">
        <f>IFERROR(__xludf.DUMMYFUNCTION("""COMPUTED_VALUE"""),0.0)</f>
        <v>0</v>
      </c>
      <c r="S3859" s="6" t="str">
        <f>IFERROR(__xludf.DUMMYFUNCTION("""COMPUTED_VALUE""")," ")</f>
        <v> </v>
      </c>
      <c r="T3859" s="6" t="str">
        <f>IFERROR(__xludf.DUMMYFUNCTION("""COMPUTED_VALUE"""),"")</f>
        <v/>
      </c>
      <c r="U3859" s="6" t="str">
        <f>IFERROR(__xludf.DUMMYFUNCTION("""COMPUTED_VALUE"""),"12")</f>
        <v>12</v>
      </c>
      <c r="V3859" s="6" t="str">
        <f>IFERROR(__xludf.DUMMYFUNCTION("""COMPUTED_VALUE"""),"English")</f>
        <v>English</v>
      </c>
      <c r="W3859" s="6" t="str">
        <f>IFERROR(__xludf.DUMMYFUNCTION("""COMPUTED_VALUE"""),"[]")</f>
        <v>[]</v>
      </c>
      <c r="X3859" s="6" t="str">
        <f>IFERROR(__xludf.DUMMYFUNCTION("""COMPUTED_VALUE"""),"Enrolled")</f>
        <v>Enrolled</v>
      </c>
    </row>
    <row r="3860">
      <c r="A3860" s="6" t="str">
        <f>IFERROR(__xludf.DUMMYFUNCTION("""COMPUTED_VALUE"""),"068-10164")</f>
        <v>068-10164</v>
      </c>
      <c r="B3860" s="6" t="str">
        <f>IFERROR(__xludf.DUMMYFUNCTION("""COMPUTED_VALUE"""),"68")</f>
        <v>68</v>
      </c>
      <c r="C3860" s="6" t="str">
        <f>IFERROR(__xludf.DUMMYFUNCTION("""COMPUTED_VALUE"""),"10164")</f>
        <v>10164</v>
      </c>
      <c r="D3860" s="6" t="str">
        <f>IFERROR(__xludf.DUMMYFUNCTION("""COMPUTED_VALUE"""),"Nolan")</f>
        <v>Nolan</v>
      </c>
      <c r="E3860" s="6" t="str">
        <f>IFERROR(__xludf.DUMMYFUNCTION("""COMPUTED_VALUE"""),"")</f>
        <v/>
      </c>
      <c r="F3860" s="6" t="str">
        <f>IFERROR(__xludf.DUMMYFUNCTION("""COMPUTED_VALUE"""),"Nelson")</f>
        <v>Nelson</v>
      </c>
      <c r="G3860" s="6" t="str">
        <f>IFERROR(__xludf.DUMMYFUNCTION("""COMPUTED_VALUE"""),"11/05/2008")</f>
        <v>11/05/2008</v>
      </c>
      <c r="H3860" s="6" t="str">
        <f>IFERROR(__xludf.DUMMYFUNCTION("""COMPUTED_VALUE"""),"Self Identify")</f>
        <v>Self Identify</v>
      </c>
      <c r="I3860" s="6" t="str">
        <f>IFERROR(__xludf.DUMMYFUNCTION("""COMPUTED_VALUE"""),"High School")</f>
        <v>High School</v>
      </c>
      <c r="J3860" s="6" t="str">
        <f>IFERROR(__xludf.DUMMYFUNCTION("""COMPUTED_VALUE"""),"11")</f>
        <v>11</v>
      </c>
      <c r="K3860" s="6" t="str">
        <f>IFERROR(__xludf.DUMMYFUNCTION("""COMPUTED_VALUE"""),"nolan.nelson@2hourlearning.com")</f>
        <v>nolan.nelson@2hourlearning.com</v>
      </c>
      <c r="L3860" s="6" t="str">
        <f>IFERROR(__xludf.DUMMYFUNCTION("""COMPUTED_VALUE"""),"SPIRE Academy")</f>
        <v>SPIRE Academy</v>
      </c>
      <c r="M3860" s="6" t="str">
        <f>IFERROR(__xludf.DUMMYFUNCTION("""COMPUTED_VALUE"""),"")</f>
        <v/>
      </c>
      <c r="N3860" s="6" t="str">
        <f>IFERROR(__xludf.DUMMYFUNCTION("""COMPUTED_VALUE"""),"")</f>
        <v/>
      </c>
      <c r="O3860" s="87" t="str">
        <f>IFERROR(__xludf.DUMMYFUNCTION("""COMPUTED_VALUE"""),"https://drive.google.com/drive/folders/10T2cTQHqEJZqE-st6uFKPoI?usp=share_link")</f>
        <v>https://drive.google.com/drive/folders/10T2cTQHqEJZqE-st6uFKPoI?usp=share_link</v>
      </c>
      <c r="P3860" s="6" t="str">
        <f>IFERROR(__xludf.DUMMYFUNCTION("""COMPUTED_VALUE"""),"Nolan Nelson")</f>
        <v>Nolan Nelson</v>
      </c>
      <c r="Q3860" s="6" t="str">
        <f>IFERROR(__xludf.DUMMYFUNCTION("""COMPUTED_VALUE"""),"HS")</f>
        <v>HS</v>
      </c>
      <c r="R3860" s="6">
        <f>IFERROR(__xludf.DUMMYFUNCTION("""COMPUTED_VALUE"""),0.0)</f>
        <v>0</v>
      </c>
      <c r="S3860" s="6" t="str">
        <f>IFERROR(__xludf.DUMMYFUNCTION("""COMPUTED_VALUE""")," ")</f>
        <v> </v>
      </c>
      <c r="T3860" s="6" t="str">
        <f>IFERROR(__xludf.DUMMYFUNCTION("""COMPUTED_VALUE"""),"")</f>
        <v/>
      </c>
      <c r="U3860" s="6" t="str">
        <f>IFERROR(__xludf.DUMMYFUNCTION("""COMPUTED_VALUE"""),"11")</f>
        <v>11</v>
      </c>
      <c r="V3860" s="6" t="str">
        <f>IFERROR(__xludf.DUMMYFUNCTION("""COMPUTED_VALUE"""),"English")</f>
        <v>English</v>
      </c>
      <c r="W3860" s="6" t="str">
        <f>IFERROR(__xludf.DUMMYFUNCTION("""COMPUTED_VALUE"""),"[]")</f>
        <v>[]</v>
      </c>
      <c r="X3860" s="6" t="str">
        <f>IFERROR(__xludf.DUMMYFUNCTION("""COMPUTED_VALUE"""),"Enrolled")</f>
        <v>Enrolled</v>
      </c>
    </row>
    <row r="3861">
      <c r="A3861" s="6" t="str">
        <f>IFERROR(__xludf.DUMMYFUNCTION("""COMPUTED_VALUE"""),"068-10165")</f>
        <v>068-10165</v>
      </c>
      <c r="B3861" s="6" t="str">
        <f>IFERROR(__xludf.DUMMYFUNCTION("""COMPUTED_VALUE"""),"68")</f>
        <v>68</v>
      </c>
      <c r="C3861" s="6" t="str">
        <f>IFERROR(__xludf.DUMMYFUNCTION("""COMPUTED_VALUE"""),"10165")</f>
        <v>10165</v>
      </c>
      <c r="D3861" s="6" t="str">
        <f>IFERROR(__xludf.DUMMYFUNCTION("""COMPUTED_VALUE"""),"Prachaya")</f>
        <v>Prachaya</v>
      </c>
      <c r="E3861" s="6" t="str">
        <f>IFERROR(__xludf.DUMMYFUNCTION("""COMPUTED_VALUE"""),"")</f>
        <v/>
      </c>
      <c r="F3861" s="6" t="str">
        <f>IFERROR(__xludf.DUMMYFUNCTION("""COMPUTED_VALUE"""),"Ngamboonsin")</f>
        <v>Ngamboonsin</v>
      </c>
      <c r="G3861" s="6" t="str">
        <f>IFERROR(__xludf.DUMMYFUNCTION("""COMPUTED_VALUE"""),"01/23/2010")</f>
        <v>01/23/2010</v>
      </c>
      <c r="H3861" s="6" t="str">
        <f>IFERROR(__xludf.DUMMYFUNCTION("""COMPUTED_VALUE"""),"Self Identify")</f>
        <v>Self Identify</v>
      </c>
      <c r="I3861" s="6" t="str">
        <f>IFERROR(__xludf.DUMMYFUNCTION("""COMPUTED_VALUE"""),"High School")</f>
        <v>High School</v>
      </c>
      <c r="J3861" s="6" t="str">
        <f>IFERROR(__xludf.DUMMYFUNCTION("""COMPUTED_VALUE"""),"10")</f>
        <v>10</v>
      </c>
      <c r="K3861" s="6" t="str">
        <f>IFERROR(__xludf.DUMMYFUNCTION("""COMPUTED_VALUE"""),"prachaya.ngamboonsin@2hourlearning.com")</f>
        <v>prachaya.ngamboonsin@2hourlearning.com</v>
      </c>
      <c r="L3861" s="6" t="str">
        <f>IFERROR(__xludf.DUMMYFUNCTION("""COMPUTED_VALUE"""),"SPIRE Academy")</f>
        <v>SPIRE Academy</v>
      </c>
      <c r="M3861" s="6" t="str">
        <f>IFERROR(__xludf.DUMMYFUNCTION("""COMPUTED_VALUE"""),"")</f>
        <v/>
      </c>
      <c r="N3861" s="6" t="str">
        <f>IFERROR(__xludf.DUMMYFUNCTION("""COMPUTED_VALUE"""),"")</f>
        <v/>
      </c>
      <c r="O3861" s="87" t="str">
        <f>IFERROR(__xludf.DUMMYFUNCTION("""COMPUTED_VALUE"""),"https://drive.google.com/drive/folders/10T2cTQHqEJZqE-st6uFKPoI?usp=share_link")</f>
        <v>https://drive.google.com/drive/folders/10T2cTQHqEJZqE-st6uFKPoI?usp=share_link</v>
      </c>
      <c r="P3861" s="6" t="str">
        <f>IFERROR(__xludf.DUMMYFUNCTION("""COMPUTED_VALUE"""),"Prachaya Ngamboonsin")</f>
        <v>Prachaya Ngamboonsin</v>
      </c>
      <c r="Q3861" s="6" t="str">
        <f>IFERROR(__xludf.DUMMYFUNCTION("""COMPUTED_VALUE"""),"HS")</f>
        <v>HS</v>
      </c>
      <c r="R3861" s="6">
        <f>IFERROR(__xludf.DUMMYFUNCTION("""COMPUTED_VALUE"""),0.0)</f>
        <v>0</v>
      </c>
      <c r="S3861" s="6" t="str">
        <f>IFERROR(__xludf.DUMMYFUNCTION("""COMPUTED_VALUE""")," ")</f>
        <v> </v>
      </c>
      <c r="T3861" s="6" t="str">
        <f>IFERROR(__xludf.DUMMYFUNCTION("""COMPUTED_VALUE"""),"")</f>
        <v/>
      </c>
      <c r="U3861" s="6" t="str">
        <f>IFERROR(__xludf.DUMMYFUNCTION("""COMPUTED_VALUE"""),"10")</f>
        <v>10</v>
      </c>
      <c r="V3861" s="6" t="str">
        <f>IFERROR(__xludf.DUMMYFUNCTION("""COMPUTED_VALUE"""),"English")</f>
        <v>English</v>
      </c>
      <c r="W3861" s="6" t="str">
        <f>IFERROR(__xludf.DUMMYFUNCTION("""COMPUTED_VALUE"""),"[]")</f>
        <v>[]</v>
      </c>
      <c r="X3861" s="6" t="str">
        <f>IFERROR(__xludf.DUMMYFUNCTION("""COMPUTED_VALUE"""),"Enrolled")</f>
        <v>Enrolled</v>
      </c>
    </row>
    <row r="3862">
      <c r="A3862" s="6" t="str">
        <f>IFERROR(__xludf.DUMMYFUNCTION("""COMPUTED_VALUE"""),"068-10166")</f>
        <v>068-10166</v>
      </c>
      <c r="B3862" s="6" t="str">
        <f>IFERROR(__xludf.DUMMYFUNCTION("""COMPUTED_VALUE"""),"68")</f>
        <v>68</v>
      </c>
      <c r="C3862" s="6" t="str">
        <f>IFERROR(__xludf.DUMMYFUNCTION("""COMPUTED_VALUE"""),"10166")</f>
        <v>10166</v>
      </c>
      <c r="D3862" s="6" t="str">
        <f>IFERROR(__xludf.DUMMYFUNCTION("""COMPUTED_VALUE"""),"Harrison")</f>
        <v>Harrison</v>
      </c>
      <c r="E3862" s="6" t="str">
        <f>IFERROR(__xludf.DUMMYFUNCTION("""COMPUTED_VALUE"""),"")</f>
        <v/>
      </c>
      <c r="F3862" s="6" t="str">
        <f>IFERROR(__xludf.DUMMYFUNCTION("""COMPUTED_VALUE"""),"Norman")</f>
        <v>Norman</v>
      </c>
      <c r="G3862" s="6" t="str">
        <f>IFERROR(__xludf.DUMMYFUNCTION("""COMPUTED_VALUE"""),"05/24/2009")</f>
        <v>05/24/2009</v>
      </c>
      <c r="H3862" s="6" t="str">
        <f>IFERROR(__xludf.DUMMYFUNCTION("""COMPUTED_VALUE"""),"Self Identify")</f>
        <v>Self Identify</v>
      </c>
      <c r="I3862" s="6" t="str">
        <f>IFERROR(__xludf.DUMMYFUNCTION("""COMPUTED_VALUE"""),"High School")</f>
        <v>High School</v>
      </c>
      <c r="J3862" s="6" t="str">
        <f>IFERROR(__xludf.DUMMYFUNCTION("""COMPUTED_VALUE"""),"11")</f>
        <v>11</v>
      </c>
      <c r="K3862" s="6" t="str">
        <f>IFERROR(__xludf.DUMMYFUNCTION("""COMPUTED_VALUE"""),"harrison.norman@2hourlearning.com")</f>
        <v>harrison.norman@2hourlearning.com</v>
      </c>
      <c r="L3862" s="6" t="str">
        <f>IFERROR(__xludf.DUMMYFUNCTION("""COMPUTED_VALUE"""),"SPIRE Academy")</f>
        <v>SPIRE Academy</v>
      </c>
      <c r="M3862" s="6" t="str">
        <f>IFERROR(__xludf.DUMMYFUNCTION("""COMPUTED_VALUE"""),"")</f>
        <v/>
      </c>
      <c r="N3862" s="6" t="str">
        <f>IFERROR(__xludf.DUMMYFUNCTION("""COMPUTED_VALUE"""),"")</f>
        <v/>
      </c>
      <c r="O3862" s="87" t="str">
        <f>IFERROR(__xludf.DUMMYFUNCTION("""COMPUTED_VALUE"""),"https://drive.google.com/drive/folders/10T2cTQHqEJZqE-st6uFKPoI?usp=share_link")</f>
        <v>https://drive.google.com/drive/folders/10T2cTQHqEJZqE-st6uFKPoI?usp=share_link</v>
      </c>
      <c r="P3862" s="6" t="str">
        <f>IFERROR(__xludf.DUMMYFUNCTION("""COMPUTED_VALUE"""),"Harrison Norman")</f>
        <v>Harrison Norman</v>
      </c>
      <c r="Q3862" s="6" t="str">
        <f>IFERROR(__xludf.DUMMYFUNCTION("""COMPUTED_VALUE"""),"HS")</f>
        <v>HS</v>
      </c>
      <c r="R3862" s="6">
        <f>IFERROR(__xludf.DUMMYFUNCTION("""COMPUTED_VALUE"""),0.0)</f>
        <v>0</v>
      </c>
      <c r="S3862" s="6" t="str">
        <f>IFERROR(__xludf.DUMMYFUNCTION("""COMPUTED_VALUE""")," ")</f>
        <v> </v>
      </c>
      <c r="T3862" s="6" t="str">
        <f>IFERROR(__xludf.DUMMYFUNCTION("""COMPUTED_VALUE"""),"")</f>
        <v/>
      </c>
      <c r="U3862" s="6" t="str">
        <f>IFERROR(__xludf.DUMMYFUNCTION("""COMPUTED_VALUE"""),"11")</f>
        <v>11</v>
      </c>
      <c r="V3862" s="6" t="str">
        <f>IFERROR(__xludf.DUMMYFUNCTION("""COMPUTED_VALUE"""),"English")</f>
        <v>English</v>
      </c>
      <c r="W3862" s="6" t="str">
        <f>IFERROR(__xludf.DUMMYFUNCTION("""COMPUTED_VALUE"""),"[]")</f>
        <v>[]</v>
      </c>
      <c r="X3862" s="6" t="str">
        <f>IFERROR(__xludf.DUMMYFUNCTION("""COMPUTED_VALUE"""),"Enrolled")</f>
        <v>Enrolled</v>
      </c>
    </row>
    <row r="3863">
      <c r="A3863" s="6" t="str">
        <f>IFERROR(__xludf.DUMMYFUNCTION("""COMPUTED_VALUE"""),"068-10167")</f>
        <v>068-10167</v>
      </c>
      <c r="B3863" s="6" t="str">
        <f>IFERROR(__xludf.DUMMYFUNCTION("""COMPUTED_VALUE"""),"68")</f>
        <v>68</v>
      </c>
      <c r="C3863" s="6" t="str">
        <f>IFERROR(__xludf.DUMMYFUNCTION("""COMPUTED_VALUE"""),"10167")</f>
        <v>10167</v>
      </c>
      <c r="D3863" s="6" t="str">
        <f>IFERROR(__xludf.DUMMYFUNCTION("""COMPUTED_VALUE"""),"Charles")</f>
        <v>Charles</v>
      </c>
      <c r="E3863" s="6" t="str">
        <f>IFERROR(__xludf.DUMMYFUNCTION("""COMPUTED_VALUE"""),"")</f>
        <v/>
      </c>
      <c r="F3863" s="6" t="str">
        <f>IFERROR(__xludf.DUMMYFUNCTION("""COMPUTED_VALUE"""),"Nye")</f>
        <v>Nye</v>
      </c>
      <c r="G3863" s="6" t="str">
        <f>IFERROR(__xludf.DUMMYFUNCTION("""COMPUTED_VALUE"""),"12/18/2008")</f>
        <v>12/18/2008</v>
      </c>
      <c r="H3863" s="6" t="str">
        <f>IFERROR(__xludf.DUMMYFUNCTION("""COMPUTED_VALUE"""),"Self Identify")</f>
        <v>Self Identify</v>
      </c>
      <c r="I3863" s="6" t="str">
        <f>IFERROR(__xludf.DUMMYFUNCTION("""COMPUTED_VALUE"""),"High School")</f>
        <v>High School</v>
      </c>
      <c r="J3863" s="6" t="str">
        <f>IFERROR(__xludf.DUMMYFUNCTION("""COMPUTED_VALUE"""),"11")</f>
        <v>11</v>
      </c>
      <c r="K3863" s="6" t="str">
        <f>IFERROR(__xludf.DUMMYFUNCTION("""COMPUTED_VALUE"""),"charles.nye@2hourlearning.com")</f>
        <v>charles.nye@2hourlearning.com</v>
      </c>
      <c r="L3863" s="6" t="str">
        <f>IFERROR(__xludf.DUMMYFUNCTION("""COMPUTED_VALUE"""),"SPIRE Academy")</f>
        <v>SPIRE Academy</v>
      </c>
      <c r="M3863" s="6" t="str">
        <f>IFERROR(__xludf.DUMMYFUNCTION("""COMPUTED_VALUE"""),"")</f>
        <v/>
      </c>
      <c r="N3863" s="6" t="str">
        <f>IFERROR(__xludf.DUMMYFUNCTION("""COMPUTED_VALUE"""),"")</f>
        <v/>
      </c>
      <c r="O3863" s="87" t="str">
        <f>IFERROR(__xludf.DUMMYFUNCTION("""COMPUTED_VALUE"""),"https://drive.google.com/drive/folders/10T2cTQHqEJZqE-st6uFKPoI?usp=share_link")</f>
        <v>https://drive.google.com/drive/folders/10T2cTQHqEJZqE-st6uFKPoI?usp=share_link</v>
      </c>
      <c r="P3863" s="6" t="str">
        <f>IFERROR(__xludf.DUMMYFUNCTION("""COMPUTED_VALUE"""),"Charles Nye")</f>
        <v>Charles Nye</v>
      </c>
      <c r="Q3863" s="6" t="str">
        <f>IFERROR(__xludf.DUMMYFUNCTION("""COMPUTED_VALUE"""),"HS")</f>
        <v>HS</v>
      </c>
      <c r="R3863" s="6">
        <f>IFERROR(__xludf.DUMMYFUNCTION("""COMPUTED_VALUE"""),0.0)</f>
        <v>0</v>
      </c>
      <c r="S3863" s="6" t="str">
        <f>IFERROR(__xludf.DUMMYFUNCTION("""COMPUTED_VALUE""")," ")</f>
        <v> </v>
      </c>
      <c r="T3863" s="6" t="str">
        <f>IFERROR(__xludf.DUMMYFUNCTION("""COMPUTED_VALUE"""),"")</f>
        <v/>
      </c>
      <c r="U3863" s="6" t="str">
        <f>IFERROR(__xludf.DUMMYFUNCTION("""COMPUTED_VALUE"""),"11")</f>
        <v>11</v>
      </c>
      <c r="V3863" s="6" t="str">
        <f>IFERROR(__xludf.DUMMYFUNCTION("""COMPUTED_VALUE"""),"English")</f>
        <v>English</v>
      </c>
      <c r="W3863" s="6" t="str">
        <f>IFERROR(__xludf.DUMMYFUNCTION("""COMPUTED_VALUE"""),"[]")</f>
        <v>[]</v>
      </c>
      <c r="X3863" s="6" t="str">
        <f>IFERROR(__xludf.DUMMYFUNCTION("""COMPUTED_VALUE"""),"Enrolled")</f>
        <v>Enrolled</v>
      </c>
    </row>
    <row r="3864">
      <c r="A3864" s="6" t="str">
        <f>IFERROR(__xludf.DUMMYFUNCTION("""COMPUTED_VALUE"""),"068-10168")</f>
        <v>068-10168</v>
      </c>
      <c r="B3864" s="6" t="str">
        <f>IFERROR(__xludf.DUMMYFUNCTION("""COMPUTED_VALUE"""),"68")</f>
        <v>68</v>
      </c>
      <c r="C3864" s="6" t="str">
        <f>IFERROR(__xludf.DUMMYFUNCTION("""COMPUTED_VALUE"""),"10168")</f>
        <v>10168</v>
      </c>
      <c r="D3864" s="6" t="str">
        <f>IFERROR(__xludf.DUMMYFUNCTION("""COMPUTED_VALUE"""),"Ethan")</f>
        <v>Ethan</v>
      </c>
      <c r="E3864" s="6" t="str">
        <f>IFERROR(__xludf.DUMMYFUNCTION("""COMPUTED_VALUE"""),"")</f>
        <v/>
      </c>
      <c r="F3864" s="6" t="str">
        <f>IFERROR(__xludf.DUMMYFUNCTION("""COMPUTED_VALUE"""),"Ostrander")</f>
        <v>Ostrander</v>
      </c>
      <c r="G3864" s="6" t="str">
        <f>IFERROR(__xludf.DUMMYFUNCTION("""COMPUTED_VALUE"""),"02/13/2009")</f>
        <v>02/13/2009</v>
      </c>
      <c r="H3864" s="6" t="str">
        <f>IFERROR(__xludf.DUMMYFUNCTION("""COMPUTED_VALUE"""),"Self Identify")</f>
        <v>Self Identify</v>
      </c>
      <c r="I3864" s="6" t="str">
        <f>IFERROR(__xludf.DUMMYFUNCTION("""COMPUTED_VALUE"""),"High School")</f>
        <v>High School</v>
      </c>
      <c r="J3864" s="6" t="str">
        <f>IFERROR(__xludf.DUMMYFUNCTION("""COMPUTED_VALUE"""),"11")</f>
        <v>11</v>
      </c>
      <c r="K3864" s="6" t="str">
        <f>IFERROR(__xludf.DUMMYFUNCTION("""COMPUTED_VALUE"""),"ethan.ostrander@2hourlearning.com")</f>
        <v>ethan.ostrander@2hourlearning.com</v>
      </c>
      <c r="L3864" s="6" t="str">
        <f>IFERROR(__xludf.DUMMYFUNCTION("""COMPUTED_VALUE"""),"SPIRE Academy")</f>
        <v>SPIRE Academy</v>
      </c>
      <c r="M3864" s="6" t="str">
        <f>IFERROR(__xludf.DUMMYFUNCTION("""COMPUTED_VALUE"""),"")</f>
        <v/>
      </c>
      <c r="N3864" s="6" t="str">
        <f>IFERROR(__xludf.DUMMYFUNCTION("""COMPUTED_VALUE"""),"")</f>
        <v/>
      </c>
      <c r="O3864" s="87" t="str">
        <f>IFERROR(__xludf.DUMMYFUNCTION("""COMPUTED_VALUE"""),"https://drive.google.com/drive/folders/10T2cTQHqEJZqE-st6uFKPoI?usp=share_link")</f>
        <v>https://drive.google.com/drive/folders/10T2cTQHqEJZqE-st6uFKPoI?usp=share_link</v>
      </c>
      <c r="P3864" s="6" t="str">
        <f>IFERROR(__xludf.DUMMYFUNCTION("""COMPUTED_VALUE"""),"Ethan Ostrander")</f>
        <v>Ethan Ostrander</v>
      </c>
      <c r="Q3864" s="6" t="str">
        <f>IFERROR(__xludf.DUMMYFUNCTION("""COMPUTED_VALUE"""),"HS")</f>
        <v>HS</v>
      </c>
      <c r="R3864" s="6">
        <f>IFERROR(__xludf.DUMMYFUNCTION("""COMPUTED_VALUE"""),0.0)</f>
        <v>0</v>
      </c>
      <c r="S3864" s="6" t="str">
        <f>IFERROR(__xludf.DUMMYFUNCTION("""COMPUTED_VALUE""")," ")</f>
        <v> </v>
      </c>
      <c r="T3864" s="6" t="str">
        <f>IFERROR(__xludf.DUMMYFUNCTION("""COMPUTED_VALUE"""),"")</f>
        <v/>
      </c>
      <c r="U3864" s="6" t="str">
        <f>IFERROR(__xludf.DUMMYFUNCTION("""COMPUTED_VALUE"""),"11")</f>
        <v>11</v>
      </c>
      <c r="V3864" s="6" t="str">
        <f>IFERROR(__xludf.DUMMYFUNCTION("""COMPUTED_VALUE"""),"English")</f>
        <v>English</v>
      </c>
      <c r="W3864" s="6" t="str">
        <f>IFERROR(__xludf.DUMMYFUNCTION("""COMPUTED_VALUE"""),"[]")</f>
        <v>[]</v>
      </c>
      <c r="X3864" s="6" t="str">
        <f>IFERROR(__xludf.DUMMYFUNCTION("""COMPUTED_VALUE"""),"Enrolled")</f>
        <v>Enrolled</v>
      </c>
    </row>
    <row r="3865">
      <c r="A3865" s="6" t="str">
        <f>IFERROR(__xludf.DUMMYFUNCTION("""COMPUTED_VALUE"""),"068-10169")</f>
        <v>068-10169</v>
      </c>
      <c r="B3865" s="6" t="str">
        <f>IFERROR(__xludf.DUMMYFUNCTION("""COMPUTED_VALUE"""),"68")</f>
        <v>68</v>
      </c>
      <c r="C3865" s="6" t="str">
        <f>IFERROR(__xludf.DUMMYFUNCTION("""COMPUTED_VALUE"""),"10169")</f>
        <v>10169</v>
      </c>
      <c r="D3865" s="6" t="str">
        <f>IFERROR(__xludf.DUMMYFUNCTION("""COMPUTED_VALUE"""),"Emin")</f>
        <v>Emin</v>
      </c>
      <c r="E3865" s="6" t="str">
        <f>IFERROR(__xludf.DUMMYFUNCTION("""COMPUTED_VALUE"""),"")</f>
        <v/>
      </c>
      <c r="F3865" s="6" t="str">
        <f>IFERROR(__xludf.DUMMYFUNCTION("""COMPUTED_VALUE"""),"Oganesyan")</f>
        <v>Oganesyan</v>
      </c>
      <c r="G3865" s="6" t="str">
        <f>IFERROR(__xludf.DUMMYFUNCTION("""COMPUTED_VALUE"""),"07/16/2010")</f>
        <v>07/16/2010</v>
      </c>
      <c r="H3865" s="6" t="str">
        <f>IFERROR(__xludf.DUMMYFUNCTION("""COMPUTED_VALUE"""),"Self Identify")</f>
        <v>Self Identify</v>
      </c>
      <c r="I3865" s="6" t="str">
        <f>IFERROR(__xludf.DUMMYFUNCTION("""COMPUTED_VALUE"""),"High School")</f>
        <v>High School</v>
      </c>
      <c r="J3865" s="6" t="str">
        <f>IFERROR(__xludf.DUMMYFUNCTION("""COMPUTED_VALUE"""),"10")</f>
        <v>10</v>
      </c>
      <c r="K3865" s="6" t="str">
        <f>IFERROR(__xludf.DUMMYFUNCTION("""COMPUTED_VALUE"""),"emin.oganesyan@2hourlearning.com")</f>
        <v>emin.oganesyan@2hourlearning.com</v>
      </c>
      <c r="L3865" s="6" t="str">
        <f>IFERROR(__xludf.DUMMYFUNCTION("""COMPUTED_VALUE"""),"SPIRE Academy")</f>
        <v>SPIRE Academy</v>
      </c>
      <c r="M3865" s="6" t="str">
        <f>IFERROR(__xludf.DUMMYFUNCTION("""COMPUTED_VALUE"""),"")</f>
        <v/>
      </c>
      <c r="N3865" s="6" t="str">
        <f>IFERROR(__xludf.DUMMYFUNCTION("""COMPUTED_VALUE"""),"")</f>
        <v/>
      </c>
      <c r="O3865" s="87" t="str">
        <f>IFERROR(__xludf.DUMMYFUNCTION("""COMPUTED_VALUE"""),"https://drive.google.com/drive/folders/10T2cTQHqEJZqE-st6uFKPoI?usp=share_link")</f>
        <v>https://drive.google.com/drive/folders/10T2cTQHqEJZqE-st6uFKPoI?usp=share_link</v>
      </c>
      <c r="P3865" s="6" t="str">
        <f>IFERROR(__xludf.DUMMYFUNCTION("""COMPUTED_VALUE"""),"Emin Oganesyan")</f>
        <v>Emin Oganesyan</v>
      </c>
      <c r="Q3865" s="6" t="str">
        <f>IFERROR(__xludf.DUMMYFUNCTION("""COMPUTED_VALUE"""),"HS")</f>
        <v>HS</v>
      </c>
      <c r="R3865" s="6">
        <f>IFERROR(__xludf.DUMMYFUNCTION("""COMPUTED_VALUE"""),0.0)</f>
        <v>0</v>
      </c>
      <c r="S3865" s="6" t="str">
        <f>IFERROR(__xludf.DUMMYFUNCTION("""COMPUTED_VALUE""")," ")</f>
        <v> </v>
      </c>
      <c r="T3865" s="6" t="str">
        <f>IFERROR(__xludf.DUMMYFUNCTION("""COMPUTED_VALUE"""),"")</f>
        <v/>
      </c>
      <c r="U3865" s="6" t="str">
        <f>IFERROR(__xludf.DUMMYFUNCTION("""COMPUTED_VALUE"""),"10")</f>
        <v>10</v>
      </c>
      <c r="V3865" s="6" t="str">
        <f>IFERROR(__xludf.DUMMYFUNCTION("""COMPUTED_VALUE"""),"English")</f>
        <v>English</v>
      </c>
      <c r="W3865" s="6" t="str">
        <f>IFERROR(__xludf.DUMMYFUNCTION("""COMPUTED_VALUE"""),"[]")</f>
        <v>[]</v>
      </c>
      <c r="X3865" s="6" t="str">
        <f>IFERROR(__xludf.DUMMYFUNCTION("""COMPUTED_VALUE"""),"Enrolled")</f>
        <v>Enrolled</v>
      </c>
    </row>
    <row r="3866">
      <c r="A3866" s="6" t="str">
        <f>IFERROR(__xludf.DUMMYFUNCTION("""COMPUTED_VALUE"""),"068-10170")</f>
        <v>068-10170</v>
      </c>
      <c r="B3866" s="6" t="str">
        <f>IFERROR(__xludf.DUMMYFUNCTION("""COMPUTED_VALUE"""),"68")</f>
        <v>68</v>
      </c>
      <c r="C3866" s="6" t="str">
        <f>IFERROR(__xludf.DUMMYFUNCTION("""COMPUTED_VALUE"""),"10170")</f>
        <v>10170</v>
      </c>
      <c r="D3866" s="6" t="str">
        <f>IFERROR(__xludf.DUMMYFUNCTION("""COMPUTED_VALUE"""),"Yair")</f>
        <v>Yair</v>
      </c>
      <c r="E3866" s="6" t="str">
        <f>IFERROR(__xludf.DUMMYFUNCTION("""COMPUTED_VALUE"""),"")</f>
        <v/>
      </c>
      <c r="F3866" s="6" t="str">
        <f>IFERROR(__xludf.DUMMYFUNCTION("""COMPUTED_VALUE"""),"Olano Barrero")</f>
        <v>Olano Barrero</v>
      </c>
      <c r="G3866" s="6" t="str">
        <f>IFERROR(__xludf.DUMMYFUNCTION("""COMPUTED_VALUE"""),"09/01/2009")</f>
        <v>09/01/2009</v>
      </c>
      <c r="H3866" s="6" t="str">
        <f>IFERROR(__xludf.DUMMYFUNCTION("""COMPUTED_VALUE"""),"Self Identify")</f>
        <v>Self Identify</v>
      </c>
      <c r="I3866" s="6" t="str">
        <f>IFERROR(__xludf.DUMMYFUNCTION("""COMPUTED_VALUE"""),"High School")</f>
        <v>High School</v>
      </c>
      <c r="J3866" s="6" t="str">
        <f>IFERROR(__xludf.DUMMYFUNCTION("""COMPUTED_VALUE"""),"10")</f>
        <v>10</v>
      </c>
      <c r="K3866" s="6" t="str">
        <f>IFERROR(__xludf.DUMMYFUNCTION("""COMPUTED_VALUE"""),"yair.olanobarrero@2hourlearning.com")</f>
        <v>yair.olanobarrero@2hourlearning.com</v>
      </c>
      <c r="L3866" s="6" t="str">
        <f>IFERROR(__xludf.DUMMYFUNCTION("""COMPUTED_VALUE"""),"SPIRE Academy")</f>
        <v>SPIRE Academy</v>
      </c>
      <c r="M3866" s="6" t="str">
        <f>IFERROR(__xludf.DUMMYFUNCTION("""COMPUTED_VALUE"""),"")</f>
        <v/>
      </c>
      <c r="N3866" s="6" t="str">
        <f>IFERROR(__xludf.DUMMYFUNCTION("""COMPUTED_VALUE"""),"")</f>
        <v/>
      </c>
      <c r="O3866" s="87" t="str">
        <f>IFERROR(__xludf.DUMMYFUNCTION("""COMPUTED_VALUE"""),"https://drive.google.com/drive/folders/10T2cTQHqEJZqE-st6uFKPoI?usp=share_link")</f>
        <v>https://drive.google.com/drive/folders/10T2cTQHqEJZqE-st6uFKPoI?usp=share_link</v>
      </c>
      <c r="P3866" s="6" t="str">
        <f>IFERROR(__xludf.DUMMYFUNCTION("""COMPUTED_VALUE"""),"Yair Olano Barrero")</f>
        <v>Yair Olano Barrero</v>
      </c>
      <c r="Q3866" s="6" t="str">
        <f>IFERROR(__xludf.DUMMYFUNCTION("""COMPUTED_VALUE"""),"HS")</f>
        <v>HS</v>
      </c>
      <c r="R3866" s="6">
        <f>IFERROR(__xludf.DUMMYFUNCTION("""COMPUTED_VALUE"""),0.0)</f>
        <v>0</v>
      </c>
      <c r="S3866" s="6" t="str">
        <f>IFERROR(__xludf.DUMMYFUNCTION("""COMPUTED_VALUE""")," ")</f>
        <v> </v>
      </c>
      <c r="T3866" s="6" t="str">
        <f>IFERROR(__xludf.DUMMYFUNCTION("""COMPUTED_VALUE"""),"")</f>
        <v/>
      </c>
      <c r="U3866" s="6" t="str">
        <f>IFERROR(__xludf.DUMMYFUNCTION("""COMPUTED_VALUE"""),"10")</f>
        <v>10</v>
      </c>
      <c r="V3866" s="6" t="str">
        <f>IFERROR(__xludf.DUMMYFUNCTION("""COMPUTED_VALUE"""),"English")</f>
        <v>English</v>
      </c>
      <c r="W3866" s="6" t="str">
        <f>IFERROR(__xludf.DUMMYFUNCTION("""COMPUTED_VALUE"""),"[]")</f>
        <v>[]</v>
      </c>
      <c r="X3866" s="6" t="str">
        <f>IFERROR(__xludf.DUMMYFUNCTION("""COMPUTED_VALUE"""),"Enrolled")</f>
        <v>Enrolled</v>
      </c>
    </row>
    <row r="3867">
      <c r="A3867" s="6" t="str">
        <f>IFERROR(__xludf.DUMMYFUNCTION("""COMPUTED_VALUE"""),"068-10171")</f>
        <v>068-10171</v>
      </c>
      <c r="B3867" s="6" t="str">
        <f>IFERROR(__xludf.DUMMYFUNCTION("""COMPUTED_VALUE"""),"68")</f>
        <v>68</v>
      </c>
      <c r="C3867" s="6" t="str">
        <f>IFERROR(__xludf.DUMMYFUNCTION("""COMPUTED_VALUE"""),"10171")</f>
        <v>10171</v>
      </c>
      <c r="D3867" s="6" t="str">
        <f>IFERROR(__xludf.DUMMYFUNCTION("""COMPUTED_VALUE"""),"Rafael")</f>
        <v>Rafael</v>
      </c>
      <c r="E3867" s="6" t="str">
        <f>IFERROR(__xludf.DUMMYFUNCTION("""COMPUTED_VALUE"""),"")</f>
        <v/>
      </c>
      <c r="F3867" s="6" t="str">
        <f>IFERROR(__xludf.DUMMYFUNCTION("""COMPUTED_VALUE"""),"Oliveira")</f>
        <v>Oliveira</v>
      </c>
      <c r="G3867" s="6" t="str">
        <f>IFERROR(__xludf.DUMMYFUNCTION("""COMPUTED_VALUE"""),"01/28/2010")</f>
        <v>01/28/2010</v>
      </c>
      <c r="H3867" s="6" t="str">
        <f>IFERROR(__xludf.DUMMYFUNCTION("""COMPUTED_VALUE"""),"Self Identify")</f>
        <v>Self Identify</v>
      </c>
      <c r="I3867" s="6" t="str">
        <f>IFERROR(__xludf.DUMMYFUNCTION("""COMPUTED_VALUE"""),"High School")</f>
        <v>High School</v>
      </c>
      <c r="J3867" s="6" t="str">
        <f>IFERROR(__xludf.DUMMYFUNCTION("""COMPUTED_VALUE"""),"10")</f>
        <v>10</v>
      </c>
      <c r="K3867" s="6" t="str">
        <f>IFERROR(__xludf.DUMMYFUNCTION("""COMPUTED_VALUE"""),"rafael.oliveira@2hourlearning.com")</f>
        <v>rafael.oliveira@2hourlearning.com</v>
      </c>
      <c r="L3867" s="6" t="str">
        <f>IFERROR(__xludf.DUMMYFUNCTION("""COMPUTED_VALUE"""),"SPIRE Academy")</f>
        <v>SPIRE Academy</v>
      </c>
      <c r="M3867" s="6" t="str">
        <f>IFERROR(__xludf.DUMMYFUNCTION("""COMPUTED_VALUE"""),"")</f>
        <v/>
      </c>
      <c r="N3867" s="6" t="str">
        <f>IFERROR(__xludf.DUMMYFUNCTION("""COMPUTED_VALUE"""),"")</f>
        <v/>
      </c>
      <c r="O3867" s="87" t="str">
        <f>IFERROR(__xludf.DUMMYFUNCTION("""COMPUTED_VALUE"""),"https://drive.google.com/drive/folders/10T2cTQHqEJZqE-st6uFKPoI?usp=share_link")</f>
        <v>https://drive.google.com/drive/folders/10T2cTQHqEJZqE-st6uFKPoI?usp=share_link</v>
      </c>
      <c r="P3867" s="6" t="str">
        <f>IFERROR(__xludf.DUMMYFUNCTION("""COMPUTED_VALUE"""),"Rafael Oliveira")</f>
        <v>Rafael Oliveira</v>
      </c>
      <c r="Q3867" s="6" t="str">
        <f>IFERROR(__xludf.DUMMYFUNCTION("""COMPUTED_VALUE"""),"HS")</f>
        <v>HS</v>
      </c>
      <c r="R3867" s="6">
        <f>IFERROR(__xludf.DUMMYFUNCTION("""COMPUTED_VALUE"""),0.0)</f>
        <v>0</v>
      </c>
      <c r="S3867" s="6" t="str">
        <f>IFERROR(__xludf.DUMMYFUNCTION("""COMPUTED_VALUE""")," ")</f>
        <v> </v>
      </c>
      <c r="T3867" s="6" t="str">
        <f>IFERROR(__xludf.DUMMYFUNCTION("""COMPUTED_VALUE"""),"")</f>
        <v/>
      </c>
      <c r="U3867" s="6" t="str">
        <f>IFERROR(__xludf.DUMMYFUNCTION("""COMPUTED_VALUE"""),"10")</f>
        <v>10</v>
      </c>
      <c r="V3867" s="6" t="str">
        <f>IFERROR(__xludf.DUMMYFUNCTION("""COMPUTED_VALUE"""),"English")</f>
        <v>English</v>
      </c>
      <c r="W3867" s="6" t="str">
        <f>IFERROR(__xludf.DUMMYFUNCTION("""COMPUTED_VALUE"""),"[]")</f>
        <v>[]</v>
      </c>
      <c r="X3867" s="6" t="str">
        <f>IFERROR(__xludf.DUMMYFUNCTION("""COMPUTED_VALUE"""),"Enrolled")</f>
        <v>Enrolled</v>
      </c>
    </row>
    <row r="3868">
      <c r="A3868" s="6" t="str">
        <f>IFERROR(__xludf.DUMMYFUNCTION("""COMPUTED_VALUE"""),"068-10172")</f>
        <v>068-10172</v>
      </c>
      <c r="B3868" s="6" t="str">
        <f>IFERROR(__xludf.DUMMYFUNCTION("""COMPUTED_VALUE"""),"68")</f>
        <v>68</v>
      </c>
      <c r="C3868" s="6" t="str">
        <f>IFERROR(__xludf.DUMMYFUNCTION("""COMPUTED_VALUE"""),"10172")</f>
        <v>10172</v>
      </c>
      <c r="D3868" s="6" t="str">
        <f>IFERROR(__xludf.DUMMYFUNCTION("""COMPUTED_VALUE"""),"Nicolas")</f>
        <v>Nicolas</v>
      </c>
      <c r="E3868" s="6" t="str">
        <f>IFERROR(__xludf.DUMMYFUNCTION("""COMPUTED_VALUE"""),"")</f>
        <v/>
      </c>
      <c r="F3868" s="6" t="str">
        <f>IFERROR(__xludf.DUMMYFUNCTION("""COMPUTED_VALUE"""),"Olesen")</f>
        <v>Olesen</v>
      </c>
      <c r="G3868" s="6" t="str">
        <f>IFERROR(__xludf.DUMMYFUNCTION("""COMPUTED_VALUE"""),"04/29/2008")</f>
        <v>04/29/2008</v>
      </c>
      <c r="H3868" s="6" t="str">
        <f>IFERROR(__xludf.DUMMYFUNCTION("""COMPUTED_VALUE"""),"Self Identify")</f>
        <v>Self Identify</v>
      </c>
      <c r="I3868" s="6" t="str">
        <f>IFERROR(__xludf.DUMMYFUNCTION("""COMPUTED_VALUE"""),"High School")</f>
        <v>High School</v>
      </c>
      <c r="J3868" s="6" t="str">
        <f>IFERROR(__xludf.DUMMYFUNCTION("""COMPUTED_VALUE"""),"12")</f>
        <v>12</v>
      </c>
      <c r="K3868" s="6" t="str">
        <f>IFERROR(__xludf.DUMMYFUNCTION("""COMPUTED_VALUE"""),"nicolas.olesen@2hourlearning.com")</f>
        <v>nicolas.olesen@2hourlearning.com</v>
      </c>
      <c r="L3868" s="6" t="str">
        <f>IFERROR(__xludf.DUMMYFUNCTION("""COMPUTED_VALUE"""),"SPIRE Academy")</f>
        <v>SPIRE Academy</v>
      </c>
      <c r="M3868" s="6" t="str">
        <f>IFERROR(__xludf.DUMMYFUNCTION("""COMPUTED_VALUE"""),"")</f>
        <v/>
      </c>
      <c r="N3868" s="6" t="str">
        <f>IFERROR(__xludf.DUMMYFUNCTION("""COMPUTED_VALUE"""),"")</f>
        <v/>
      </c>
      <c r="O3868" s="87" t="str">
        <f>IFERROR(__xludf.DUMMYFUNCTION("""COMPUTED_VALUE"""),"https://drive.google.com/drive/folders/10T2cTQHqEJZqE-st6uFKPoI?usp=share_link")</f>
        <v>https://drive.google.com/drive/folders/10T2cTQHqEJZqE-st6uFKPoI?usp=share_link</v>
      </c>
      <c r="P3868" s="6" t="str">
        <f>IFERROR(__xludf.DUMMYFUNCTION("""COMPUTED_VALUE"""),"Nicolas Olesen")</f>
        <v>Nicolas Olesen</v>
      </c>
      <c r="Q3868" s="6" t="str">
        <f>IFERROR(__xludf.DUMMYFUNCTION("""COMPUTED_VALUE"""),"HS")</f>
        <v>HS</v>
      </c>
      <c r="R3868" s="6">
        <f>IFERROR(__xludf.DUMMYFUNCTION("""COMPUTED_VALUE"""),0.0)</f>
        <v>0</v>
      </c>
      <c r="S3868" s="6" t="str">
        <f>IFERROR(__xludf.DUMMYFUNCTION("""COMPUTED_VALUE""")," ")</f>
        <v> </v>
      </c>
      <c r="T3868" s="6" t="str">
        <f>IFERROR(__xludf.DUMMYFUNCTION("""COMPUTED_VALUE"""),"")</f>
        <v/>
      </c>
      <c r="U3868" s="6" t="str">
        <f>IFERROR(__xludf.DUMMYFUNCTION("""COMPUTED_VALUE"""),"12")</f>
        <v>12</v>
      </c>
      <c r="V3868" s="6" t="str">
        <f>IFERROR(__xludf.DUMMYFUNCTION("""COMPUTED_VALUE"""),"English")</f>
        <v>English</v>
      </c>
      <c r="W3868" s="6" t="str">
        <f>IFERROR(__xludf.DUMMYFUNCTION("""COMPUTED_VALUE"""),"[]")</f>
        <v>[]</v>
      </c>
      <c r="X3868" s="6" t="str">
        <f>IFERROR(__xludf.DUMMYFUNCTION("""COMPUTED_VALUE"""),"Enrolled")</f>
        <v>Enrolled</v>
      </c>
    </row>
    <row r="3869">
      <c r="A3869" s="6" t="str">
        <f>IFERROR(__xludf.DUMMYFUNCTION("""COMPUTED_VALUE"""),"068-10173")</f>
        <v>068-10173</v>
      </c>
      <c r="B3869" s="6" t="str">
        <f>IFERROR(__xludf.DUMMYFUNCTION("""COMPUTED_VALUE"""),"68")</f>
        <v>68</v>
      </c>
      <c r="C3869" s="6" t="str">
        <f>IFERROR(__xludf.DUMMYFUNCTION("""COMPUTED_VALUE"""),"10173")</f>
        <v>10173</v>
      </c>
      <c r="D3869" s="6" t="str">
        <f>IFERROR(__xludf.DUMMYFUNCTION("""COMPUTED_VALUE"""),"Chukwuemeka")</f>
        <v>Chukwuemeka</v>
      </c>
      <c r="E3869" s="6" t="str">
        <f>IFERROR(__xludf.DUMMYFUNCTION("""COMPUTED_VALUE"""),"")</f>
        <v/>
      </c>
      <c r="F3869" s="6" t="str">
        <f>IFERROR(__xludf.DUMMYFUNCTION("""COMPUTED_VALUE"""),"Oranu")</f>
        <v>Oranu</v>
      </c>
      <c r="G3869" s="6" t="str">
        <f>IFERROR(__xludf.DUMMYFUNCTION("""COMPUTED_VALUE"""),"01/01/2009")</f>
        <v>01/01/2009</v>
      </c>
      <c r="H3869" s="6" t="str">
        <f>IFERROR(__xludf.DUMMYFUNCTION("""COMPUTED_VALUE"""),"Self Identify")</f>
        <v>Self Identify</v>
      </c>
      <c r="I3869" s="6" t="str">
        <f>IFERROR(__xludf.DUMMYFUNCTION("""COMPUTED_VALUE"""),"High School")</f>
        <v>High School</v>
      </c>
      <c r="J3869" s="6" t="str">
        <f>IFERROR(__xludf.DUMMYFUNCTION("""COMPUTED_VALUE"""),"11")</f>
        <v>11</v>
      </c>
      <c r="K3869" s="6" t="str">
        <f>IFERROR(__xludf.DUMMYFUNCTION("""COMPUTED_VALUE"""),"chukwuemeka.oranu@2hourlearning.com")</f>
        <v>chukwuemeka.oranu@2hourlearning.com</v>
      </c>
      <c r="L3869" s="6" t="str">
        <f>IFERROR(__xludf.DUMMYFUNCTION("""COMPUTED_VALUE"""),"SPIRE Academy")</f>
        <v>SPIRE Academy</v>
      </c>
      <c r="M3869" s="6" t="str">
        <f>IFERROR(__xludf.DUMMYFUNCTION("""COMPUTED_VALUE"""),"")</f>
        <v/>
      </c>
      <c r="N3869" s="6" t="str">
        <f>IFERROR(__xludf.DUMMYFUNCTION("""COMPUTED_VALUE"""),"")</f>
        <v/>
      </c>
      <c r="O3869" s="87" t="str">
        <f>IFERROR(__xludf.DUMMYFUNCTION("""COMPUTED_VALUE"""),"https://drive.google.com/drive/folders/10T2cTQHqEJZqE-st6uFKPoI?usp=share_link")</f>
        <v>https://drive.google.com/drive/folders/10T2cTQHqEJZqE-st6uFKPoI?usp=share_link</v>
      </c>
      <c r="P3869" s="6" t="str">
        <f>IFERROR(__xludf.DUMMYFUNCTION("""COMPUTED_VALUE"""),"Chukwuemeka Oranu")</f>
        <v>Chukwuemeka Oranu</v>
      </c>
      <c r="Q3869" s="6" t="str">
        <f>IFERROR(__xludf.DUMMYFUNCTION("""COMPUTED_VALUE"""),"HS")</f>
        <v>HS</v>
      </c>
      <c r="R3869" s="6">
        <f>IFERROR(__xludf.DUMMYFUNCTION("""COMPUTED_VALUE"""),0.0)</f>
        <v>0</v>
      </c>
      <c r="S3869" s="6" t="str">
        <f>IFERROR(__xludf.DUMMYFUNCTION("""COMPUTED_VALUE""")," ")</f>
        <v> </v>
      </c>
      <c r="T3869" s="6" t="str">
        <f>IFERROR(__xludf.DUMMYFUNCTION("""COMPUTED_VALUE"""),"")</f>
        <v/>
      </c>
      <c r="U3869" s="6" t="str">
        <f>IFERROR(__xludf.DUMMYFUNCTION("""COMPUTED_VALUE"""),"11")</f>
        <v>11</v>
      </c>
      <c r="V3869" s="6" t="str">
        <f>IFERROR(__xludf.DUMMYFUNCTION("""COMPUTED_VALUE"""),"English")</f>
        <v>English</v>
      </c>
      <c r="W3869" s="6" t="str">
        <f>IFERROR(__xludf.DUMMYFUNCTION("""COMPUTED_VALUE"""),"[]")</f>
        <v>[]</v>
      </c>
      <c r="X3869" s="6" t="str">
        <f>IFERROR(__xludf.DUMMYFUNCTION("""COMPUTED_VALUE"""),"Enrolled")</f>
        <v>Enrolled</v>
      </c>
    </row>
    <row r="3870">
      <c r="A3870" s="6" t="str">
        <f>IFERROR(__xludf.DUMMYFUNCTION("""COMPUTED_VALUE"""),"068-10174")</f>
        <v>068-10174</v>
      </c>
      <c r="B3870" s="6" t="str">
        <f>IFERROR(__xludf.DUMMYFUNCTION("""COMPUTED_VALUE"""),"68")</f>
        <v>68</v>
      </c>
      <c r="C3870" s="6" t="str">
        <f>IFERROR(__xludf.DUMMYFUNCTION("""COMPUTED_VALUE"""),"10174")</f>
        <v>10174</v>
      </c>
      <c r="D3870" s="6" t="str">
        <f>IFERROR(__xludf.DUMMYFUNCTION("""COMPUTED_VALUE"""),"Hugo")</f>
        <v>Hugo</v>
      </c>
      <c r="E3870" s="6" t="str">
        <f>IFERROR(__xludf.DUMMYFUNCTION("""COMPUTED_VALUE"""),"")</f>
        <v/>
      </c>
      <c r="F3870" s="6" t="str">
        <f>IFERROR(__xludf.DUMMYFUNCTION("""COMPUTED_VALUE"""),"Palacios")</f>
        <v>Palacios</v>
      </c>
      <c r="G3870" s="6" t="str">
        <f>IFERROR(__xludf.DUMMYFUNCTION("""COMPUTED_VALUE"""),"10/29/2009")</f>
        <v>10/29/2009</v>
      </c>
      <c r="H3870" s="6" t="str">
        <f>IFERROR(__xludf.DUMMYFUNCTION("""COMPUTED_VALUE"""),"Self Identify")</f>
        <v>Self Identify</v>
      </c>
      <c r="I3870" s="6" t="str">
        <f>IFERROR(__xludf.DUMMYFUNCTION("""COMPUTED_VALUE"""),"High School")</f>
        <v>High School</v>
      </c>
      <c r="J3870" s="6" t="str">
        <f>IFERROR(__xludf.DUMMYFUNCTION("""COMPUTED_VALUE"""),"10")</f>
        <v>10</v>
      </c>
      <c r="K3870" s="6" t="str">
        <f>IFERROR(__xludf.DUMMYFUNCTION("""COMPUTED_VALUE"""),"hugo.palacios@2hourlearning.com")</f>
        <v>hugo.palacios@2hourlearning.com</v>
      </c>
      <c r="L3870" s="6" t="str">
        <f>IFERROR(__xludf.DUMMYFUNCTION("""COMPUTED_VALUE"""),"SPIRE Academy")</f>
        <v>SPIRE Academy</v>
      </c>
      <c r="M3870" s="6" t="str">
        <f>IFERROR(__xludf.DUMMYFUNCTION("""COMPUTED_VALUE"""),"")</f>
        <v/>
      </c>
      <c r="N3870" s="6" t="str">
        <f>IFERROR(__xludf.DUMMYFUNCTION("""COMPUTED_VALUE"""),"")</f>
        <v/>
      </c>
      <c r="O3870" s="87" t="str">
        <f>IFERROR(__xludf.DUMMYFUNCTION("""COMPUTED_VALUE"""),"https://drive.google.com/drive/folders/10T2cTQHqEJZqE-st6uFKPoI?usp=share_link")</f>
        <v>https://drive.google.com/drive/folders/10T2cTQHqEJZqE-st6uFKPoI?usp=share_link</v>
      </c>
      <c r="P3870" s="6" t="str">
        <f>IFERROR(__xludf.DUMMYFUNCTION("""COMPUTED_VALUE"""),"Hugo Palacios")</f>
        <v>Hugo Palacios</v>
      </c>
      <c r="Q3870" s="6" t="str">
        <f>IFERROR(__xludf.DUMMYFUNCTION("""COMPUTED_VALUE"""),"HS")</f>
        <v>HS</v>
      </c>
      <c r="R3870" s="6">
        <f>IFERROR(__xludf.DUMMYFUNCTION("""COMPUTED_VALUE"""),0.0)</f>
        <v>0</v>
      </c>
      <c r="S3870" s="6" t="str">
        <f>IFERROR(__xludf.DUMMYFUNCTION("""COMPUTED_VALUE""")," ")</f>
        <v> </v>
      </c>
      <c r="T3870" s="6" t="str">
        <f>IFERROR(__xludf.DUMMYFUNCTION("""COMPUTED_VALUE"""),"")</f>
        <v/>
      </c>
      <c r="U3870" s="6" t="str">
        <f>IFERROR(__xludf.DUMMYFUNCTION("""COMPUTED_VALUE"""),"10")</f>
        <v>10</v>
      </c>
      <c r="V3870" s="6" t="str">
        <f>IFERROR(__xludf.DUMMYFUNCTION("""COMPUTED_VALUE"""),"English")</f>
        <v>English</v>
      </c>
      <c r="W3870" s="6" t="str">
        <f>IFERROR(__xludf.DUMMYFUNCTION("""COMPUTED_VALUE"""),"[]")</f>
        <v>[]</v>
      </c>
      <c r="X3870" s="6" t="str">
        <f>IFERROR(__xludf.DUMMYFUNCTION("""COMPUTED_VALUE"""),"Enrolled")</f>
        <v>Enrolled</v>
      </c>
    </row>
    <row r="3871">
      <c r="A3871" s="6" t="str">
        <f>IFERROR(__xludf.DUMMYFUNCTION("""COMPUTED_VALUE"""),"068-10175")</f>
        <v>068-10175</v>
      </c>
      <c r="B3871" s="6" t="str">
        <f>IFERROR(__xludf.DUMMYFUNCTION("""COMPUTED_VALUE"""),"68")</f>
        <v>68</v>
      </c>
      <c r="C3871" s="6" t="str">
        <f>IFERROR(__xludf.DUMMYFUNCTION("""COMPUTED_VALUE"""),"10175")</f>
        <v>10175</v>
      </c>
      <c r="D3871" s="6" t="str">
        <f>IFERROR(__xludf.DUMMYFUNCTION("""COMPUTED_VALUE"""),"Aiden")</f>
        <v>Aiden</v>
      </c>
      <c r="E3871" s="6" t="str">
        <f>IFERROR(__xludf.DUMMYFUNCTION("""COMPUTED_VALUE"""),"")</f>
        <v/>
      </c>
      <c r="F3871" s="6" t="str">
        <f>IFERROR(__xludf.DUMMYFUNCTION("""COMPUTED_VALUE"""),"Palinkas")</f>
        <v>Palinkas</v>
      </c>
      <c r="G3871" s="6" t="str">
        <f>IFERROR(__xludf.DUMMYFUNCTION("""COMPUTED_VALUE"""),"12/17/2009")</f>
        <v>12/17/2009</v>
      </c>
      <c r="H3871" s="6" t="str">
        <f>IFERROR(__xludf.DUMMYFUNCTION("""COMPUTED_VALUE"""),"Self Identify")</f>
        <v>Self Identify</v>
      </c>
      <c r="I3871" s="6" t="str">
        <f>IFERROR(__xludf.DUMMYFUNCTION("""COMPUTED_VALUE"""),"High School")</f>
        <v>High School</v>
      </c>
      <c r="J3871" s="6" t="str">
        <f>IFERROR(__xludf.DUMMYFUNCTION("""COMPUTED_VALUE"""),"10")</f>
        <v>10</v>
      </c>
      <c r="K3871" s="6" t="str">
        <f>IFERROR(__xludf.DUMMYFUNCTION("""COMPUTED_VALUE"""),"aiden.palinkas@2hourlearning.com")</f>
        <v>aiden.palinkas@2hourlearning.com</v>
      </c>
      <c r="L3871" s="6" t="str">
        <f>IFERROR(__xludf.DUMMYFUNCTION("""COMPUTED_VALUE"""),"SPIRE Academy")</f>
        <v>SPIRE Academy</v>
      </c>
      <c r="M3871" s="6" t="str">
        <f>IFERROR(__xludf.DUMMYFUNCTION("""COMPUTED_VALUE"""),"")</f>
        <v/>
      </c>
      <c r="N3871" s="6" t="str">
        <f>IFERROR(__xludf.DUMMYFUNCTION("""COMPUTED_VALUE"""),"")</f>
        <v/>
      </c>
      <c r="O3871" s="87" t="str">
        <f>IFERROR(__xludf.DUMMYFUNCTION("""COMPUTED_VALUE"""),"https://drive.google.com/drive/folders/10T2cTQHqEJZqE-st6uFKPoI?usp=share_link")</f>
        <v>https://drive.google.com/drive/folders/10T2cTQHqEJZqE-st6uFKPoI?usp=share_link</v>
      </c>
      <c r="P3871" s="6" t="str">
        <f>IFERROR(__xludf.DUMMYFUNCTION("""COMPUTED_VALUE"""),"Aiden Palinkas")</f>
        <v>Aiden Palinkas</v>
      </c>
      <c r="Q3871" s="6" t="str">
        <f>IFERROR(__xludf.DUMMYFUNCTION("""COMPUTED_VALUE"""),"HS")</f>
        <v>HS</v>
      </c>
      <c r="R3871" s="6">
        <f>IFERROR(__xludf.DUMMYFUNCTION("""COMPUTED_VALUE"""),0.0)</f>
        <v>0</v>
      </c>
      <c r="S3871" s="6" t="str">
        <f>IFERROR(__xludf.DUMMYFUNCTION("""COMPUTED_VALUE""")," ")</f>
        <v> </v>
      </c>
      <c r="T3871" s="6" t="str">
        <f>IFERROR(__xludf.DUMMYFUNCTION("""COMPUTED_VALUE"""),"")</f>
        <v/>
      </c>
      <c r="U3871" s="6" t="str">
        <f>IFERROR(__xludf.DUMMYFUNCTION("""COMPUTED_VALUE"""),"10")</f>
        <v>10</v>
      </c>
      <c r="V3871" s="6" t="str">
        <f>IFERROR(__xludf.DUMMYFUNCTION("""COMPUTED_VALUE"""),"English")</f>
        <v>English</v>
      </c>
      <c r="W3871" s="6" t="str">
        <f>IFERROR(__xludf.DUMMYFUNCTION("""COMPUTED_VALUE"""),"[]")</f>
        <v>[]</v>
      </c>
      <c r="X3871" s="6" t="str">
        <f>IFERROR(__xludf.DUMMYFUNCTION("""COMPUTED_VALUE"""),"Enrolled")</f>
        <v>Enrolled</v>
      </c>
    </row>
    <row r="3872">
      <c r="A3872" s="6" t="str">
        <f>IFERROR(__xludf.DUMMYFUNCTION("""COMPUTED_VALUE"""),"068-10176")</f>
        <v>068-10176</v>
      </c>
      <c r="B3872" s="6" t="str">
        <f>IFERROR(__xludf.DUMMYFUNCTION("""COMPUTED_VALUE"""),"68")</f>
        <v>68</v>
      </c>
      <c r="C3872" s="6" t="str">
        <f>IFERROR(__xludf.DUMMYFUNCTION("""COMPUTED_VALUE"""),"10176")</f>
        <v>10176</v>
      </c>
      <c r="D3872" s="6" t="str">
        <f>IFERROR(__xludf.DUMMYFUNCTION("""COMPUTED_VALUE"""),"Jalen")</f>
        <v>Jalen</v>
      </c>
      <c r="E3872" s="6" t="str">
        <f>IFERROR(__xludf.DUMMYFUNCTION("""COMPUTED_VALUE"""),"")</f>
        <v/>
      </c>
      <c r="F3872" s="6" t="str">
        <f>IFERROR(__xludf.DUMMYFUNCTION("""COMPUTED_VALUE"""),"Parker")</f>
        <v>Parker</v>
      </c>
      <c r="G3872" s="6" t="str">
        <f>IFERROR(__xludf.DUMMYFUNCTION("""COMPUTED_VALUE"""),"05/08/2009")</f>
        <v>05/08/2009</v>
      </c>
      <c r="H3872" s="6" t="str">
        <f>IFERROR(__xludf.DUMMYFUNCTION("""COMPUTED_VALUE"""),"Self Identify")</f>
        <v>Self Identify</v>
      </c>
      <c r="I3872" s="6" t="str">
        <f>IFERROR(__xludf.DUMMYFUNCTION("""COMPUTED_VALUE"""),"High School")</f>
        <v>High School</v>
      </c>
      <c r="J3872" s="6" t="str">
        <f>IFERROR(__xludf.DUMMYFUNCTION("""COMPUTED_VALUE"""),"11")</f>
        <v>11</v>
      </c>
      <c r="K3872" s="6" t="str">
        <f>IFERROR(__xludf.DUMMYFUNCTION("""COMPUTED_VALUE"""),"jalen.parker@2hourlearning.com")</f>
        <v>jalen.parker@2hourlearning.com</v>
      </c>
      <c r="L3872" s="6" t="str">
        <f>IFERROR(__xludf.DUMMYFUNCTION("""COMPUTED_VALUE"""),"SPIRE Academy")</f>
        <v>SPIRE Academy</v>
      </c>
      <c r="M3872" s="6" t="str">
        <f>IFERROR(__xludf.DUMMYFUNCTION("""COMPUTED_VALUE"""),"")</f>
        <v/>
      </c>
      <c r="N3872" s="6" t="str">
        <f>IFERROR(__xludf.DUMMYFUNCTION("""COMPUTED_VALUE"""),"")</f>
        <v/>
      </c>
      <c r="O3872" s="87" t="str">
        <f>IFERROR(__xludf.DUMMYFUNCTION("""COMPUTED_VALUE"""),"https://drive.google.com/drive/folders/10T2cTQHqEJZqE-st6uFKPoI?usp=share_link")</f>
        <v>https://drive.google.com/drive/folders/10T2cTQHqEJZqE-st6uFKPoI?usp=share_link</v>
      </c>
      <c r="P3872" s="6" t="str">
        <f>IFERROR(__xludf.DUMMYFUNCTION("""COMPUTED_VALUE"""),"Jalen Parker")</f>
        <v>Jalen Parker</v>
      </c>
      <c r="Q3872" s="6" t="str">
        <f>IFERROR(__xludf.DUMMYFUNCTION("""COMPUTED_VALUE"""),"HS")</f>
        <v>HS</v>
      </c>
      <c r="R3872" s="6">
        <f>IFERROR(__xludf.DUMMYFUNCTION("""COMPUTED_VALUE"""),0.0)</f>
        <v>0</v>
      </c>
      <c r="S3872" s="6" t="str">
        <f>IFERROR(__xludf.DUMMYFUNCTION("""COMPUTED_VALUE""")," ")</f>
        <v> </v>
      </c>
      <c r="T3872" s="6" t="str">
        <f>IFERROR(__xludf.DUMMYFUNCTION("""COMPUTED_VALUE"""),"")</f>
        <v/>
      </c>
      <c r="U3872" s="6" t="str">
        <f>IFERROR(__xludf.DUMMYFUNCTION("""COMPUTED_VALUE"""),"11")</f>
        <v>11</v>
      </c>
      <c r="V3872" s="6" t="str">
        <f>IFERROR(__xludf.DUMMYFUNCTION("""COMPUTED_VALUE"""),"English")</f>
        <v>English</v>
      </c>
      <c r="W3872" s="6" t="str">
        <f>IFERROR(__xludf.DUMMYFUNCTION("""COMPUTED_VALUE"""),"[]")</f>
        <v>[]</v>
      </c>
      <c r="X3872" s="6" t="str">
        <f>IFERROR(__xludf.DUMMYFUNCTION("""COMPUTED_VALUE"""),"Enrolled")</f>
        <v>Enrolled</v>
      </c>
    </row>
    <row r="3873">
      <c r="A3873" s="6" t="str">
        <f>IFERROR(__xludf.DUMMYFUNCTION("""COMPUTED_VALUE"""),"068-10177")</f>
        <v>068-10177</v>
      </c>
      <c r="B3873" s="6" t="str">
        <f>IFERROR(__xludf.DUMMYFUNCTION("""COMPUTED_VALUE"""),"68")</f>
        <v>68</v>
      </c>
      <c r="C3873" s="6" t="str">
        <f>IFERROR(__xludf.DUMMYFUNCTION("""COMPUTED_VALUE"""),"10177")</f>
        <v>10177</v>
      </c>
      <c r="D3873" s="6" t="str">
        <f>IFERROR(__xludf.DUMMYFUNCTION("""COMPUTED_VALUE"""),"Elizaveta")</f>
        <v>Elizaveta</v>
      </c>
      <c r="E3873" s="6" t="str">
        <f>IFERROR(__xludf.DUMMYFUNCTION("""COMPUTED_VALUE"""),"")</f>
        <v/>
      </c>
      <c r="F3873" s="6" t="str">
        <f>IFERROR(__xludf.DUMMYFUNCTION("""COMPUTED_VALUE"""),"Pazukha")</f>
        <v>Pazukha</v>
      </c>
      <c r="G3873" s="6" t="str">
        <f>IFERROR(__xludf.DUMMYFUNCTION("""COMPUTED_VALUE"""),"04/25/2009")</f>
        <v>04/25/2009</v>
      </c>
      <c r="H3873" s="6" t="str">
        <f>IFERROR(__xludf.DUMMYFUNCTION("""COMPUTED_VALUE"""),"Self Identify")</f>
        <v>Self Identify</v>
      </c>
      <c r="I3873" s="6" t="str">
        <f>IFERROR(__xludf.DUMMYFUNCTION("""COMPUTED_VALUE"""),"High School")</f>
        <v>High School</v>
      </c>
      <c r="J3873" s="6" t="str">
        <f>IFERROR(__xludf.DUMMYFUNCTION("""COMPUTED_VALUE"""),"10")</f>
        <v>10</v>
      </c>
      <c r="K3873" s="6" t="str">
        <f>IFERROR(__xludf.DUMMYFUNCTION("""COMPUTED_VALUE"""),"elizaveta.pazukha@2hourlearning.com")</f>
        <v>elizaveta.pazukha@2hourlearning.com</v>
      </c>
      <c r="L3873" s="6" t="str">
        <f>IFERROR(__xludf.DUMMYFUNCTION("""COMPUTED_VALUE"""),"SPIRE Academy")</f>
        <v>SPIRE Academy</v>
      </c>
      <c r="M3873" s="6" t="str">
        <f>IFERROR(__xludf.DUMMYFUNCTION("""COMPUTED_VALUE"""),"")</f>
        <v/>
      </c>
      <c r="N3873" s="6" t="str">
        <f>IFERROR(__xludf.DUMMYFUNCTION("""COMPUTED_VALUE"""),"")</f>
        <v/>
      </c>
      <c r="O3873" s="87" t="str">
        <f>IFERROR(__xludf.DUMMYFUNCTION("""COMPUTED_VALUE"""),"https://drive.google.com/drive/folders/10T2cTQHqEJZqE-st6uFKPoI?usp=share_link")</f>
        <v>https://drive.google.com/drive/folders/10T2cTQHqEJZqE-st6uFKPoI?usp=share_link</v>
      </c>
      <c r="P3873" s="6" t="str">
        <f>IFERROR(__xludf.DUMMYFUNCTION("""COMPUTED_VALUE"""),"Elizaveta Pazukha")</f>
        <v>Elizaveta Pazukha</v>
      </c>
      <c r="Q3873" s="6" t="str">
        <f>IFERROR(__xludf.DUMMYFUNCTION("""COMPUTED_VALUE"""),"HS")</f>
        <v>HS</v>
      </c>
      <c r="R3873" s="6">
        <f>IFERROR(__xludf.DUMMYFUNCTION("""COMPUTED_VALUE"""),0.0)</f>
        <v>0</v>
      </c>
      <c r="S3873" s="6" t="str">
        <f>IFERROR(__xludf.DUMMYFUNCTION("""COMPUTED_VALUE""")," ")</f>
        <v> </v>
      </c>
      <c r="T3873" s="6" t="str">
        <f>IFERROR(__xludf.DUMMYFUNCTION("""COMPUTED_VALUE"""),"")</f>
        <v/>
      </c>
      <c r="U3873" s="6" t="str">
        <f>IFERROR(__xludf.DUMMYFUNCTION("""COMPUTED_VALUE"""),"10")</f>
        <v>10</v>
      </c>
      <c r="V3873" s="6" t="str">
        <f>IFERROR(__xludf.DUMMYFUNCTION("""COMPUTED_VALUE"""),"English")</f>
        <v>English</v>
      </c>
      <c r="W3873" s="6" t="str">
        <f>IFERROR(__xludf.DUMMYFUNCTION("""COMPUTED_VALUE"""),"[]")</f>
        <v>[]</v>
      </c>
      <c r="X3873" s="6" t="str">
        <f>IFERROR(__xludf.DUMMYFUNCTION("""COMPUTED_VALUE"""),"Enrolled")</f>
        <v>Enrolled</v>
      </c>
    </row>
    <row r="3874">
      <c r="A3874" s="6" t="str">
        <f>IFERROR(__xludf.DUMMYFUNCTION("""COMPUTED_VALUE"""),"068-10178")</f>
        <v>068-10178</v>
      </c>
      <c r="B3874" s="6" t="str">
        <f>IFERROR(__xludf.DUMMYFUNCTION("""COMPUTED_VALUE"""),"68")</f>
        <v>68</v>
      </c>
      <c r="C3874" s="6" t="str">
        <f>IFERROR(__xludf.DUMMYFUNCTION("""COMPUTED_VALUE"""),"10178")</f>
        <v>10178</v>
      </c>
      <c r="D3874" s="6" t="str">
        <f>IFERROR(__xludf.DUMMYFUNCTION("""COMPUTED_VALUE"""),"Joseph")</f>
        <v>Joseph</v>
      </c>
      <c r="E3874" s="6" t="str">
        <f>IFERROR(__xludf.DUMMYFUNCTION("""COMPUTED_VALUE"""),"")</f>
        <v/>
      </c>
      <c r="F3874" s="6" t="str">
        <f>IFERROR(__xludf.DUMMYFUNCTION("""COMPUTED_VALUE"""),"Pecore")</f>
        <v>Pecore</v>
      </c>
      <c r="G3874" s="6" t="str">
        <f>IFERROR(__xludf.DUMMYFUNCTION("""COMPUTED_VALUE"""),"01/07/2008")</f>
        <v>01/07/2008</v>
      </c>
      <c r="H3874" s="6" t="str">
        <f>IFERROR(__xludf.DUMMYFUNCTION("""COMPUTED_VALUE"""),"Self Identify")</f>
        <v>Self Identify</v>
      </c>
      <c r="I3874" s="6" t="str">
        <f>IFERROR(__xludf.DUMMYFUNCTION("""COMPUTED_VALUE"""),"High School")</f>
        <v>High School</v>
      </c>
      <c r="J3874" s="6" t="str">
        <f>IFERROR(__xludf.DUMMYFUNCTION("""COMPUTED_VALUE"""),"11")</f>
        <v>11</v>
      </c>
      <c r="K3874" s="6" t="str">
        <f>IFERROR(__xludf.DUMMYFUNCTION("""COMPUTED_VALUE"""),"joseph.pecore@2hourlearning.com")</f>
        <v>joseph.pecore@2hourlearning.com</v>
      </c>
      <c r="L3874" s="6" t="str">
        <f>IFERROR(__xludf.DUMMYFUNCTION("""COMPUTED_VALUE"""),"SPIRE Academy")</f>
        <v>SPIRE Academy</v>
      </c>
      <c r="M3874" s="6" t="str">
        <f>IFERROR(__xludf.DUMMYFUNCTION("""COMPUTED_VALUE"""),"")</f>
        <v/>
      </c>
      <c r="N3874" s="6" t="str">
        <f>IFERROR(__xludf.DUMMYFUNCTION("""COMPUTED_VALUE"""),"")</f>
        <v/>
      </c>
      <c r="O3874" s="87" t="str">
        <f>IFERROR(__xludf.DUMMYFUNCTION("""COMPUTED_VALUE"""),"https://drive.google.com/drive/folders/10T2cTQHqEJZqE-st6uFKPoI?usp=share_link")</f>
        <v>https://drive.google.com/drive/folders/10T2cTQHqEJZqE-st6uFKPoI?usp=share_link</v>
      </c>
      <c r="P3874" s="6" t="str">
        <f>IFERROR(__xludf.DUMMYFUNCTION("""COMPUTED_VALUE"""),"Joseph Pecore")</f>
        <v>Joseph Pecore</v>
      </c>
      <c r="Q3874" s="6" t="str">
        <f>IFERROR(__xludf.DUMMYFUNCTION("""COMPUTED_VALUE"""),"HS")</f>
        <v>HS</v>
      </c>
      <c r="R3874" s="6">
        <f>IFERROR(__xludf.DUMMYFUNCTION("""COMPUTED_VALUE"""),0.0)</f>
        <v>0</v>
      </c>
      <c r="S3874" s="6" t="str">
        <f>IFERROR(__xludf.DUMMYFUNCTION("""COMPUTED_VALUE""")," ")</f>
        <v> </v>
      </c>
      <c r="T3874" s="6" t="str">
        <f>IFERROR(__xludf.DUMMYFUNCTION("""COMPUTED_VALUE"""),"")</f>
        <v/>
      </c>
      <c r="U3874" s="6" t="str">
        <f>IFERROR(__xludf.DUMMYFUNCTION("""COMPUTED_VALUE"""),"11")</f>
        <v>11</v>
      </c>
      <c r="V3874" s="6" t="str">
        <f>IFERROR(__xludf.DUMMYFUNCTION("""COMPUTED_VALUE"""),"English")</f>
        <v>English</v>
      </c>
      <c r="W3874" s="6" t="str">
        <f>IFERROR(__xludf.DUMMYFUNCTION("""COMPUTED_VALUE"""),"[]")</f>
        <v>[]</v>
      </c>
      <c r="X3874" s="6" t="str">
        <f>IFERROR(__xludf.DUMMYFUNCTION("""COMPUTED_VALUE"""),"Enrolled")</f>
        <v>Enrolled</v>
      </c>
    </row>
    <row r="3875">
      <c r="A3875" s="6" t="str">
        <f>IFERROR(__xludf.DUMMYFUNCTION("""COMPUTED_VALUE"""),"068-10179")</f>
        <v>068-10179</v>
      </c>
      <c r="B3875" s="6" t="str">
        <f>IFERROR(__xludf.DUMMYFUNCTION("""COMPUTED_VALUE"""),"68")</f>
        <v>68</v>
      </c>
      <c r="C3875" s="6" t="str">
        <f>IFERROR(__xludf.DUMMYFUNCTION("""COMPUTED_VALUE"""),"10179")</f>
        <v>10179</v>
      </c>
      <c r="D3875" s="6" t="str">
        <f>IFERROR(__xludf.DUMMYFUNCTION("""COMPUTED_VALUE"""),"Ariadna")</f>
        <v>Ariadna</v>
      </c>
      <c r="E3875" s="6" t="str">
        <f>IFERROR(__xludf.DUMMYFUNCTION("""COMPUTED_VALUE"""),"")</f>
        <v/>
      </c>
      <c r="F3875" s="6" t="str">
        <f>IFERROR(__xludf.DUMMYFUNCTION("""COMPUTED_VALUE"""),"Perello")</f>
        <v>Perello</v>
      </c>
      <c r="G3875" s="6" t="str">
        <f>IFERROR(__xludf.DUMMYFUNCTION("""COMPUTED_VALUE"""),"04/21/2009")</f>
        <v>04/21/2009</v>
      </c>
      <c r="H3875" s="6" t="str">
        <f>IFERROR(__xludf.DUMMYFUNCTION("""COMPUTED_VALUE"""),"Self Identify")</f>
        <v>Self Identify</v>
      </c>
      <c r="I3875" s="6" t="str">
        <f>IFERROR(__xludf.DUMMYFUNCTION("""COMPUTED_VALUE"""),"High School")</f>
        <v>High School</v>
      </c>
      <c r="J3875" s="6" t="str">
        <f>IFERROR(__xludf.DUMMYFUNCTION("""COMPUTED_VALUE"""),"11")</f>
        <v>11</v>
      </c>
      <c r="K3875" s="6" t="str">
        <f>IFERROR(__xludf.DUMMYFUNCTION("""COMPUTED_VALUE"""),"ariadna.perello@2hourlearning.com")</f>
        <v>ariadna.perello@2hourlearning.com</v>
      </c>
      <c r="L3875" s="6" t="str">
        <f>IFERROR(__xludf.DUMMYFUNCTION("""COMPUTED_VALUE"""),"SPIRE Academy")</f>
        <v>SPIRE Academy</v>
      </c>
      <c r="M3875" s="6" t="str">
        <f>IFERROR(__xludf.DUMMYFUNCTION("""COMPUTED_VALUE"""),"")</f>
        <v/>
      </c>
      <c r="N3875" s="6" t="str">
        <f>IFERROR(__xludf.DUMMYFUNCTION("""COMPUTED_VALUE"""),"")</f>
        <v/>
      </c>
      <c r="O3875" s="87" t="str">
        <f>IFERROR(__xludf.DUMMYFUNCTION("""COMPUTED_VALUE"""),"https://drive.google.com/drive/folders/10T2cTQHqEJZqE-st6uFKPoI?usp=share_link")</f>
        <v>https://drive.google.com/drive/folders/10T2cTQHqEJZqE-st6uFKPoI?usp=share_link</v>
      </c>
      <c r="P3875" s="6" t="str">
        <f>IFERROR(__xludf.DUMMYFUNCTION("""COMPUTED_VALUE"""),"Ariadna Perello")</f>
        <v>Ariadna Perello</v>
      </c>
      <c r="Q3875" s="6" t="str">
        <f>IFERROR(__xludf.DUMMYFUNCTION("""COMPUTED_VALUE"""),"HS")</f>
        <v>HS</v>
      </c>
      <c r="R3875" s="6">
        <f>IFERROR(__xludf.DUMMYFUNCTION("""COMPUTED_VALUE"""),0.0)</f>
        <v>0</v>
      </c>
      <c r="S3875" s="6" t="str">
        <f>IFERROR(__xludf.DUMMYFUNCTION("""COMPUTED_VALUE""")," ")</f>
        <v> </v>
      </c>
      <c r="T3875" s="6" t="str">
        <f>IFERROR(__xludf.DUMMYFUNCTION("""COMPUTED_VALUE"""),"")</f>
        <v/>
      </c>
      <c r="U3875" s="6" t="str">
        <f>IFERROR(__xludf.DUMMYFUNCTION("""COMPUTED_VALUE"""),"11")</f>
        <v>11</v>
      </c>
      <c r="V3875" s="6" t="str">
        <f>IFERROR(__xludf.DUMMYFUNCTION("""COMPUTED_VALUE"""),"English")</f>
        <v>English</v>
      </c>
      <c r="W3875" s="6" t="str">
        <f>IFERROR(__xludf.DUMMYFUNCTION("""COMPUTED_VALUE"""),"[]")</f>
        <v>[]</v>
      </c>
      <c r="X3875" s="6" t="str">
        <f>IFERROR(__xludf.DUMMYFUNCTION("""COMPUTED_VALUE"""),"Enrolled")</f>
        <v>Enrolled</v>
      </c>
    </row>
    <row r="3876">
      <c r="A3876" s="6" t="str">
        <f>IFERROR(__xludf.DUMMYFUNCTION("""COMPUTED_VALUE"""),"068-10180")</f>
        <v>068-10180</v>
      </c>
      <c r="B3876" s="6" t="str">
        <f>IFERROR(__xludf.DUMMYFUNCTION("""COMPUTED_VALUE"""),"68")</f>
        <v>68</v>
      </c>
      <c r="C3876" s="6" t="str">
        <f>IFERROR(__xludf.DUMMYFUNCTION("""COMPUTED_VALUE"""),"10180")</f>
        <v>10180</v>
      </c>
      <c r="D3876" s="6" t="str">
        <f>IFERROR(__xludf.DUMMYFUNCTION("""COMPUTED_VALUE"""),"Ellis")</f>
        <v>Ellis</v>
      </c>
      <c r="E3876" s="6" t="str">
        <f>IFERROR(__xludf.DUMMYFUNCTION("""COMPUTED_VALUE"""),"")</f>
        <v/>
      </c>
      <c r="F3876" s="6" t="str">
        <f>IFERROR(__xludf.DUMMYFUNCTION("""COMPUTED_VALUE"""),"Perry")</f>
        <v>Perry</v>
      </c>
      <c r="G3876" s="6" t="str">
        <f>IFERROR(__xludf.DUMMYFUNCTION("""COMPUTED_VALUE"""),"05/31/2009")</f>
        <v>05/31/2009</v>
      </c>
      <c r="H3876" s="6" t="str">
        <f>IFERROR(__xludf.DUMMYFUNCTION("""COMPUTED_VALUE"""),"Self Identify")</f>
        <v>Self Identify</v>
      </c>
      <c r="I3876" s="6" t="str">
        <f>IFERROR(__xludf.DUMMYFUNCTION("""COMPUTED_VALUE"""),"High School")</f>
        <v>High School</v>
      </c>
      <c r="J3876" s="6" t="str">
        <f>IFERROR(__xludf.DUMMYFUNCTION("""COMPUTED_VALUE"""),"11")</f>
        <v>11</v>
      </c>
      <c r="K3876" s="6" t="str">
        <f>IFERROR(__xludf.DUMMYFUNCTION("""COMPUTED_VALUE"""),"ellis.perry@2hourlearning.com")</f>
        <v>ellis.perry@2hourlearning.com</v>
      </c>
      <c r="L3876" s="6" t="str">
        <f>IFERROR(__xludf.DUMMYFUNCTION("""COMPUTED_VALUE"""),"SPIRE Academy")</f>
        <v>SPIRE Academy</v>
      </c>
      <c r="M3876" s="6" t="str">
        <f>IFERROR(__xludf.DUMMYFUNCTION("""COMPUTED_VALUE"""),"")</f>
        <v/>
      </c>
      <c r="N3876" s="6" t="str">
        <f>IFERROR(__xludf.DUMMYFUNCTION("""COMPUTED_VALUE"""),"")</f>
        <v/>
      </c>
      <c r="O3876" s="87" t="str">
        <f>IFERROR(__xludf.DUMMYFUNCTION("""COMPUTED_VALUE"""),"https://drive.google.com/drive/folders/10T2cTQHqEJZqE-st6uFKPoI?usp=share_link")</f>
        <v>https://drive.google.com/drive/folders/10T2cTQHqEJZqE-st6uFKPoI?usp=share_link</v>
      </c>
      <c r="P3876" s="6" t="str">
        <f>IFERROR(__xludf.DUMMYFUNCTION("""COMPUTED_VALUE"""),"Ellis Perry")</f>
        <v>Ellis Perry</v>
      </c>
      <c r="Q3876" s="6" t="str">
        <f>IFERROR(__xludf.DUMMYFUNCTION("""COMPUTED_VALUE"""),"HS")</f>
        <v>HS</v>
      </c>
      <c r="R3876" s="6">
        <f>IFERROR(__xludf.DUMMYFUNCTION("""COMPUTED_VALUE"""),0.0)</f>
        <v>0</v>
      </c>
      <c r="S3876" s="6" t="str">
        <f>IFERROR(__xludf.DUMMYFUNCTION("""COMPUTED_VALUE""")," ")</f>
        <v> </v>
      </c>
      <c r="T3876" s="6" t="str">
        <f>IFERROR(__xludf.DUMMYFUNCTION("""COMPUTED_VALUE"""),"")</f>
        <v/>
      </c>
      <c r="U3876" s="6" t="str">
        <f>IFERROR(__xludf.DUMMYFUNCTION("""COMPUTED_VALUE"""),"11")</f>
        <v>11</v>
      </c>
      <c r="V3876" s="6" t="str">
        <f>IFERROR(__xludf.DUMMYFUNCTION("""COMPUTED_VALUE"""),"English")</f>
        <v>English</v>
      </c>
      <c r="W3876" s="6" t="str">
        <f>IFERROR(__xludf.DUMMYFUNCTION("""COMPUTED_VALUE"""),"[]")</f>
        <v>[]</v>
      </c>
      <c r="X3876" s="6" t="str">
        <f>IFERROR(__xludf.DUMMYFUNCTION("""COMPUTED_VALUE"""),"Enrolled")</f>
        <v>Enrolled</v>
      </c>
    </row>
    <row r="3877">
      <c r="A3877" s="6" t="str">
        <f>IFERROR(__xludf.DUMMYFUNCTION("""COMPUTED_VALUE"""),"068-10181")</f>
        <v>068-10181</v>
      </c>
      <c r="B3877" s="6" t="str">
        <f>IFERROR(__xludf.DUMMYFUNCTION("""COMPUTED_VALUE"""),"68")</f>
        <v>68</v>
      </c>
      <c r="C3877" s="6" t="str">
        <f>IFERROR(__xludf.DUMMYFUNCTION("""COMPUTED_VALUE"""),"10181")</f>
        <v>10181</v>
      </c>
      <c r="D3877" s="6" t="str">
        <f>IFERROR(__xludf.DUMMYFUNCTION("""COMPUTED_VALUE"""),"Emalee")</f>
        <v>Emalee</v>
      </c>
      <c r="E3877" s="6" t="str">
        <f>IFERROR(__xludf.DUMMYFUNCTION("""COMPUTED_VALUE"""),"")</f>
        <v/>
      </c>
      <c r="F3877" s="6" t="str">
        <f>IFERROR(__xludf.DUMMYFUNCTION("""COMPUTED_VALUE"""),"Poff")</f>
        <v>Poff</v>
      </c>
      <c r="G3877" s="6" t="str">
        <f>IFERROR(__xludf.DUMMYFUNCTION("""COMPUTED_VALUE"""),"05/27/2010")</f>
        <v>05/27/2010</v>
      </c>
      <c r="H3877" s="6" t="str">
        <f>IFERROR(__xludf.DUMMYFUNCTION("""COMPUTED_VALUE"""),"Self Identify")</f>
        <v>Self Identify</v>
      </c>
      <c r="I3877" s="6" t="str">
        <f>IFERROR(__xludf.DUMMYFUNCTION("""COMPUTED_VALUE"""),"High School")</f>
        <v>High School</v>
      </c>
      <c r="J3877" s="6" t="str">
        <f>IFERROR(__xludf.DUMMYFUNCTION("""COMPUTED_VALUE"""),"10")</f>
        <v>10</v>
      </c>
      <c r="K3877" s="6" t="str">
        <f>IFERROR(__xludf.DUMMYFUNCTION("""COMPUTED_VALUE"""),"emalee.poff@2hourlearning.com")</f>
        <v>emalee.poff@2hourlearning.com</v>
      </c>
      <c r="L3877" s="6" t="str">
        <f>IFERROR(__xludf.DUMMYFUNCTION("""COMPUTED_VALUE"""),"SPIRE Academy")</f>
        <v>SPIRE Academy</v>
      </c>
      <c r="M3877" s="6" t="str">
        <f>IFERROR(__xludf.DUMMYFUNCTION("""COMPUTED_VALUE"""),"")</f>
        <v/>
      </c>
      <c r="N3877" s="6" t="str">
        <f>IFERROR(__xludf.DUMMYFUNCTION("""COMPUTED_VALUE"""),"")</f>
        <v/>
      </c>
      <c r="O3877" s="87" t="str">
        <f>IFERROR(__xludf.DUMMYFUNCTION("""COMPUTED_VALUE"""),"https://drive.google.com/drive/folders/10T2cTQHqEJZqE-st6uFKPoI?usp=share_link")</f>
        <v>https://drive.google.com/drive/folders/10T2cTQHqEJZqE-st6uFKPoI?usp=share_link</v>
      </c>
      <c r="P3877" s="6" t="str">
        <f>IFERROR(__xludf.DUMMYFUNCTION("""COMPUTED_VALUE"""),"Emalee Poff")</f>
        <v>Emalee Poff</v>
      </c>
      <c r="Q3877" s="6" t="str">
        <f>IFERROR(__xludf.DUMMYFUNCTION("""COMPUTED_VALUE"""),"HS")</f>
        <v>HS</v>
      </c>
      <c r="R3877" s="6">
        <f>IFERROR(__xludf.DUMMYFUNCTION("""COMPUTED_VALUE"""),0.0)</f>
        <v>0</v>
      </c>
      <c r="S3877" s="6" t="str">
        <f>IFERROR(__xludf.DUMMYFUNCTION("""COMPUTED_VALUE""")," ")</f>
        <v> </v>
      </c>
      <c r="T3877" s="6" t="str">
        <f>IFERROR(__xludf.DUMMYFUNCTION("""COMPUTED_VALUE"""),"")</f>
        <v/>
      </c>
      <c r="U3877" s="6" t="str">
        <f>IFERROR(__xludf.DUMMYFUNCTION("""COMPUTED_VALUE"""),"10")</f>
        <v>10</v>
      </c>
      <c r="V3877" s="6" t="str">
        <f>IFERROR(__xludf.DUMMYFUNCTION("""COMPUTED_VALUE"""),"English")</f>
        <v>English</v>
      </c>
      <c r="W3877" s="6" t="str">
        <f>IFERROR(__xludf.DUMMYFUNCTION("""COMPUTED_VALUE"""),"[]")</f>
        <v>[]</v>
      </c>
      <c r="X3877" s="6" t="str">
        <f>IFERROR(__xludf.DUMMYFUNCTION("""COMPUTED_VALUE"""),"Enrolled")</f>
        <v>Enrolled</v>
      </c>
    </row>
    <row r="3878">
      <c r="A3878" s="6" t="str">
        <f>IFERROR(__xludf.DUMMYFUNCTION("""COMPUTED_VALUE"""),"068-10182")</f>
        <v>068-10182</v>
      </c>
      <c r="B3878" s="6" t="str">
        <f>IFERROR(__xludf.DUMMYFUNCTION("""COMPUTED_VALUE"""),"68")</f>
        <v>68</v>
      </c>
      <c r="C3878" s="6" t="str">
        <f>IFERROR(__xludf.DUMMYFUNCTION("""COMPUTED_VALUE"""),"10182")</f>
        <v>10182</v>
      </c>
      <c r="D3878" s="6" t="str">
        <f>IFERROR(__xludf.DUMMYFUNCTION("""COMPUTED_VALUE"""),"Jean Gabriel")</f>
        <v>Jean Gabriel</v>
      </c>
      <c r="E3878" s="6" t="str">
        <f>IFERROR(__xludf.DUMMYFUNCTION("""COMPUTED_VALUE"""),"")</f>
        <v/>
      </c>
      <c r="F3878" s="6" t="str">
        <f>IFERROR(__xludf.DUMMYFUNCTION("""COMPUTED_VALUE"""),"Ponte")</f>
        <v>Ponte</v>
      </c>
      <c r="G3878" s="6" t="str">
        <f>IFERROR(__xludf.DUMMYFUNCTION("""COMPUTED_VALUE"""),"12/06/2007")</f>
        <v>12/06/2007</v>
      </c>
      <c r="H3878" s="6" t="str">
        <f>IFERROR(__xludf.DUMMYFUNCTION("""COMPUTED_VALUE"""),"Self Identify")</f>
        <v>Self Identify</v>
      </c>
      <c r="I3878" s="6" t="str">
        <f>IFERROR(__xludf.DUMMYFUNCTION("""COMPUTED_VALUE"""),"High School")</f>
        <v>High School</v>
      </c>
      <c r="J3878" s="6" t="str">
        <f>IFERROR(__xludf.DUMMYFUNCTION("""COMPUTED_VALUE"""),"12")</f>
        <v>12</v>
      </c>
      <c r="K3878" s="6" t="str">
        <f>IFERROR(__xludf.DUMMYFUNCTION("""COMPUTED_VALUE"""),"jeangabriel.ponte@2hourlearning.com")</f>
        <v>jeangabriel.ponte@2hourlearning.com</v>
      </c>
      <c r="L3878" s="6" t="str">
        <f>IFERROR(__xludf.DUMMYFUNCTION("""COMPUTED_VALUE"""),"SPIRE Academy")</f>
        <v>SPIRE Academy</v>
      </c>
      <c r="M3878" s="6" t="str">
        <f>IFERROR(__xludf.DUMMYFUNCTION("""COMPUTED_VALUE"""),"")</f>
        <v/>
      </c>
      <c r="N3878" s="6" t="str">
        <f>IFERROR(__xludf.DUMMYFUNCTION("""COMPUTED_VALUE"""),"")</f>
        <v/>
      </c>
      <c r="O3878" s="87" t="str">
        <f>IFERROR(__xludf.DUMMYFUNCTION("""COMPUTED_VALUE"""),"https://drive.google.com/drive/folders/10T2cTQHqEJZqE-st6uFKPoI?usp=share_link")</f>
        <v>https://drive.google.com/drive/folders/10T2cTQHqEJZqE-st6uFKPoI?usp=share_link</v>
      </c>
      <c r="P3878" s="6" t="str">
        <f>IFERROR(__xludf.DUMMYFUNCTION("""COMPUTED_VALUE"""),"Jean Gabriel Ponte")</f>
        <v>Jean Gabriel Ponte</v>
      </c>
      <c r="Q3878" s="6" t="str">
        <f>IFERROR(__xludf.DUMMYFUNCTION("""COMPUTED_VALUE"""),"HS")</f>
        <v>HS</v>
      </c>
      <c r="R3878" s="6">
        <f>IFERROR(__xludf.DUMMYFUNCTION("""COMPUTED_VALUE"""),0.0)</f>
        <v>0</v>
      </c>
      <c r="S3878" s="6" t="str">
        <f>IFERROR(__xludf.DUMMYFUNCTION("""COMPUTED_VALUE""")," ")</f>
        <v> </v>
      </c>
      <c r="T3878" s="6" t="str">
        <f>IFERROR(__xludf.DUMMYFUNCTION("""COMPUTED_VALUE"""),"")</f>
        <v/>
      </c>
      <c r="U3878" s="6" t="str">
        <f>IFERROR(__xludf.DUMMYFUNCTION("""COMPUTED_VALUE"""),"12")</f>
        <v>12</v>
      </c>
      <c r="V3878" s="6" t="str">
        <f>IFERROR(__xludf.DUMMYFUNCTION("""COMPUTED_VALUE"""),"English")</f>
        <v>English</v>
      </c>
      <c r="W3878" s="6" t="str">
        <f>IFERROR(__xludf.DUMMYFUNCTION("""COMPUTED_VALUE"""),"[]")</f>
        <v>[]</v>
      </c>
      <c r="X3878" s="6" t="str">
        <f>IFERROR(__xludf.DUMMYFUNCTION("""COMPUTED_VALUE"""),"Enrolled")</f>
        <v>Enrolled</v>
      </c>
    </row>
    <row r="3879">
      <c r="A3879" s="6" t="str">
        <f>IFERROR(__xludf.DUMMYFUNCTION("""COMPUTED_VALUE"""),"068-10183")</f>
        <v>068-10183</v>
      </c>
      <c r="B3879" s="6" t="str">
        <f>IFERROR(__xludf.DUMMYFUNCTION("""COMPUTED_VALUE"""),"68")</f>
        <v>68</v>
      </c>
      <c r="C3879" s="6" t="str">
        <f>IFERROR(__xludf.DUMMYFUNCTION("""COMPUTED_VALUE"""),"10183")</f>
        <v>10183</v>
      </c>
      <c r="D3879" s="6" t="str">
        <f>IFERROR(__xludf.DUMMYFUNCTION("""COMPUTED_VALUE"""),"Huia")</f>
        <v>Huia</v>
      </c>
      <c r="E3879" s="6" t="str">
        <f>IFERROR(__xludf.DUMMYFUNCTION("""COMPUTED_VALUE"""),"")</f>
        <v/>
      </c>
      <c r="F3879" s="6" t="str">
        <f>IFERROR(__xludf.DUMMYFUNCTION("""COMPUTED_VALUE"""),"Pollock")</f>
        <v>Pollock</v>
      </c>
      <c r="G3879" s="6" t="str">
        <f>IFERROR(__xludf.DUMMYFUNCTION("""COMPUTED_VALUE"""),"12/05/2008")</f>
        <v>12/05/2008</v>
      </c>
      <c r="H3879" s="6" t="str">
        <f>IFERROR(__xludf.DUMMYFUNCTION("""COMPUTED_VALUE"""),"Self Identify")</f>
        <v>Self Identify</v>
      </c>
      <c r="I3879" s="6" t="str">
        <f>IFERROR(__xludf.DUMMYFUNCTION("""COMPUTED_VALUE"""),"High School")</f>
        <v>High School</v>
      </c>
      <c r="J3879" s="6" t="str">
        <f>IFERROR(__xludf.DUMMYFUNCTION("""COMPUTED_VALUE"""),"12")</f>
        <v>12</v>
      </c>
      <c r="K3879" s="6" t="str">
        <f>IFERROR(__xludf.DUMMYFUNCTION("""COMPUTED_VALUE"""),"huia.pollock@2hourlearning.com")</f>
        <v>huia.pollock@2hourlearning.com</v>
      </c>
      <c r="L3879" s="6" t="str">
        <f>IFERROR(__xludf.DUMMYFUNCTION("""COMPUTED_VALUE"""),"SPIRE Academy")</f>
        <v>SPIRE Academy</v>
      </c>
      <c r="M3879" s="6" t="str">
        <f>IFERROR(__xludf.DUMMYFUNCTION("""COMPUTED_VALUE"""),"")</f>
        <v/>
      </c>
      <c r="N3879" s="6" t="str">
        <f>IFERROR(__xludf.DUMMYFUNCTION("""COMPUTED_VALUE"""),"")</f>
        <v/>
      </c>
      <c r="O3879" s="87" t="str">
        <f>IFERROR(__xludf.DUMMYFUNCTION("""COMPUTED_VALUE"""),"https://drive.google.com/drive/folders/10T2cTQHqEJZqE-st6uFKPoI?usp=share_link")</f>
        <v>https://drive.google.com/drive/folders/10T2cTQHqEJZqE-st6uFKPoI?usp=share_link</v>
      </c>
      <c r="P3879" s="6" t="str">
        <f>IFERROR(__xludf.DUMMYFUNCTION("""COMPUTED_VALUE"""),"Huia Pollock")</f>
        <v>Huia Pollock</v>
      </c>
      <c r="Q3879" s="6" t="str">
        <f>IFERROR(__xludf.DUMMYFUNCTION("""COMPUTED_VALUE"""),"HS")</f>
        <v>HS</v>
      </c>
      <c r="R3879" s="6">
        <f>IFERROR(__xludf.DUMMYFUNCTION("""COMPUTED_VALUE"""),0.0)</f>
        <v>0</v>
      </c>
      <c r="S3879" s="6" t="str">
        <f>IFERROR(__xludf.DUMMYFUNCTION("""COMPUTED_VALUE""")," ")</f>
        <v> </v>
      </c>
      <c r="T3879" s="6" t="str">
        <f>IFERROR(__xludf.DUMMYFUNCTION("""COMPUTED_VALUE"""),"")</f>
        <v/>
      </c>
      <c r="U3879" s="6" t="str">
        <f>IFERROR(__xludf.DUMMYFUNCTION("""COMPUTED_VALUE"""),"12")</f>
        <v>12</v>
      </c>
      <c r="V3879" s="6" t="str">
        <f>IFERROR(__xludf.DUMMYFUNCTION("""COMPUTED_VALUE"""),"English")</f>
        <v>English</v>
      </c>
      <c r="W3879" s="6" t="str">
        <f>IFERROR(__xludf.DUMMYFUNCTION("""COMPUTED_VALUE"""),"[]")</f>
        <v>[]</v>
      </c>
      <c r="X3879" s="6" t="str">
        <f>IFERROR(__xludf.DUMMYFUNCTION("""COMPUTED_VALUE"""),"Enrolled")</f>
        <v>Enrolled</v>
      </c>
    </row>
    <row r="3880">
      <c r="A3880" s="6" t="str">
        <f>IFERROR(__xludf.DUMMYFUNCTION("""COMPUTED_VALUE"""),"068-10184")</f>
        <v>068-10184</v>
      </c>
      <c r="B3880" s="6" t="str">
        <f>IFERROR(__xludf.DUMMYFUNCTION("""COMPUTED_VALUE"""),"68")</f>
        <v>68</v>
      </c>
      <c r="C3880" s="6" t="str">
        <f>IFERROR(__xludf.DUMMYFUNCTION("""COMPUTED_VALUE"""),"10184")</f>
        <v>10184</v>
      </c>
      <c r="D3880" s="6" t="str">
        <f>IFERROR(__xludf.DUMMYFUNCTION("""COMPUTED_VALUE"""),"Aminah")</f>
        <v>Aminah</v>
      </c>
      <c r="E3880" s="6" t="str">
        <f>IFERROR(__xludf.DUMMYFUNCTION("""COMPUTED_VALUE"""),"")</f>
        <v/>
      </c>
      <c r="F3880" s="6" t="str">
        <f>IFERROR(__xludf.DUMMYFUNCTION("""COMPUTED_VALUE"""),"Prasad")</f>
        <v>Prasad</v>
      </c>
      <c r="G3880" s="6" t="str">
        <f>IFERROR(__xludf.DUMMYFUNCTION("""COMPUTED_VALUE"""),"04/29/2010")</f>
        <v>04/29/2010</v>
      </c>
      <c r="H3880" s="6" t="str">
        <f>IFERROR(__xludf.DUMMYFUNCTION("""COMPUTED_VALUE"""),"Self Identify")</f>
        <v>Self Identify</v>
      </c>
      <c r="I3880" s="6" t="str">
        <f>IFERROR(__xludf.DUMMYFUNCTION("""COMPUTED_VALUE"""),"High School")</f>
        <v>High School</v>
      </c>
      <c r="J3880" s="6" t="str">
        <f>IFERROR(__xludf.DUMMYFUNCTION("""COMPUTED_VALUE"""),"11")</f>
        <v>11</v>
      </c>
      <c r="K3880" s="6" t="str">
        <f>IFERROR(__xludf.DUMMYFUNCTION("""COMPUTED_VALUE"""),"aminah.prasad@2hourlearning.com")</f>
        <v>aminah.prasad@2hourlearning.com</v>
      </c>
      <c r="L3880" s="6" t="str">
        <f>IFERROR(__xludf.DUMMYFUNCTION("""COMPUTED_VALUE"""),"SPIRE Academy")</f>
        <v>SPIRE Academy</v>
      </c>
      <c r="M3880" s="6" t="str">
        <f>IFERROR(__xludf.DUMMYFUNCTION("""COMPUTED_VALUE"""),"")</f>
        <v/>
      </c>
      <c r="N3880" s="6" t="str">
        <f>IFERROR(__xludf.DUMMYFUNCTION("""COMPUTED_VALUE"""),"")</f>
        <v/>
      </c>
      <c r="O3880" s="87" t="str">
        <f>IFERROR(__xludf.DUMMYFUNCTION("""COMPUTED_VALUE"""),"https://drive.google.com/drive/folders/10T2cTQHqEJZqE-st6uFKPoI?usp=share_link")</f>
        <v>https://drive.google.com/drive/folders/10T2cTQHqEJZqE-st6uFKPoI?usp=share_link</v>
      </c>
      <c r="P3880" s="6" t="str">
        <f>IFERROR(__xludf.DUMMYFUNCTION("""COMPUTED_VALUE"""),"Aminah Prasad")</f>
        <v>Aminah Prasad</v>
      </c>
      <c r="Q3880" s="6" t="str">
        <f>IFERROR(__xludf.DUMMYFUNCTION("""COMPUTED_VALUE"""),"HS")</f>
        <v>HS</v>
      </c>
      <c r="R3880" s="6">
        <f>IFERROR(__xludf.DUMMYFUNCTION("""COMPUTED_VALUE"""),0.0)</f>
        <v>0</v>
      </c>
      <c r="S3880" s="6" t="str">
        <f>IFERROR(__xludf.DUMMYFUNCTION("""COMPUTED_VALUE""")," ")</f>
        <v> </v>
      </c>
      <c r="T3880" s="6" t="str">
        <f>IFERROR(__xludf.DUMMYFUNCTION("""COMPUTED_VALUE"""),"")</f>
        <v/>
      </c>
      <c r="U3880" s="6" t="str">
        <f>IFERROR(__xludf.DUMMYFUNCTION("""COMPUTED_VALUE"""),"11")</f>
        <v>11</v>
      </c>
      <c r="V3880" s="6" t="str">
        <f>IFERROR(__xludf.DUMMYFUNCTION("""COMPUTED_VALUE"""),"English")</f>
        <v>English</v>
      </c>
      <c r="W3880" s="6" t="str">
        <f>IFERROR(__xludf.DUMMYFUNCTION("""COMPUTED_VALUE"""),"[]")</f>
        <v>[]</v>
      </c>
      <c r="X3880" s="6" t="str">
        <f>IFERROR(__xludf.DUMMYFUNCTION("""COMPUTED_VALUE"""),"Enrolled")</f>
        <v>Enrolled</v>
      </c>
    </row>
    <row r="3881">
      <c r="A3881" s="6" t="str">
        <f>IFERROR(__xludf.DUMMYFUNCTION("""COMPUTED_VALUE"""),"068-10185")</f>
        <v>068-10185</v>
      </c>
      <c r="B3881" s="6" t="str">
        <f>IFERROR(__xludf.DUMMYFUNCTION("""COMPUTED_VALUE"""),"68")</f>
        <v>68</v>
      </c>
      <c r="C3881" s="6" t="str">
        <f>IFERROR(__xludf.DUMMYFUNCTION("""COMPUTED_VALUE"""),"10185")</f>
        <v>10185</v>
      </c>
      <c r="D3881" s="6" t="str">
        <f>IFERROR(__xludf.DUMMYFUNCTION("""COMPUTED_VALUE"""),"Safiya")</f>
        <v>Safiya</v>
      </c>
      <c r="E3881" s="6" t="str">
        <f>IFERROR(__xludf.DUMMYFUNCTION("""COMPUTED_VALUE"""),"")</f>
        <v/>
      </c>
      <c r="F3881" s="6" t="str">
        <f>IFERROR(__xludf.DUMMYFUNCTION("""COMPUTED_VALUE"""),"Prasad")</f>
        <v>Prasad</v>
      </c>
      <c r="G3881" s="6" t="str">
        <f>IFERROR(__xludf.DUMMYFUNCTION("""COMPUTED_VALUE"""),"04/29/2010")</f>
        <v>04/29/2010</v>
      </c>
      <c r="H3881" s="6" t="str">
        <f>IFERROR(__xludf.DUMMYFUNCTION("""COMPUTED_VALUE"""),"Self Identify")</f>
        <v>Self Identify</v>
      </c>
      <c r="I3881" s="6" t="str">
        <f>IFERROR(__xludf.DUMMYFUNCTION("""COMPUTED_VALUE"""),"High School")</f>
        <v>High School</v>
      </c>
      <c r="J3881" s="6" t="str">
        <f>IFERROR(__xludf.DUMMYFUNCTION("""COMPUTED_VALUE"""),"11")</f>
        <v>11</v>
      </c>
      <c r="K3881" s="6" t="str">
        <f>IFERROR(__xludf.DUMMYFUNCTION("""COMPUTED_VALUE"""),"safiya.prasad@2hourlearning.com")</f>
        <v>safiya.prasad@2hourlearning.com</v>
      </c>
      <c r="L3881" s="6" t="str">
        <f>IFERROR(__xludf.DUMMYFUNCTION("""COMPUTED_VALUE"""),"SPIRE Academy")</f>
        <v>SPIRE Academy</v>
      </c>
      <c r="M3881" s="6" t="str">
        <f>IFERROR(__xludf.DUMMYFUNCTION("""COMPUTED_VALUE"""),"")</f>
        <v/>
      </c>
      <c r="N3881" s="6" t="str">
        <f>IFERROR(__xludf.DUMMYFUNCTION("""COMPUTED_VALUE"""),"")</f>
        <v/>
      </c>
      <c r="O3881" s="87" t="str">
        <f>IFERROR(__xludf.DUMMYFUNCTION("""COMPUTED_VALUE"""),"https://drive.google.com/drive/folders/10T2cTQHqEJZqE-st6uFKPoI?usp=share_link")</f>
        <v>https://drive.google.com/drive/folders/10T2cTQHqEJZqE-st6uFKPoI?usp=share_link</v>
      </c>
      <c r="P3881" s="6" t="str">
        <f>IFERROR(__xludf.DUMMYFUNCTION("""COMPUTED_VALUE"""),"Safiya Prasad")</f>
        <v>Safiya Prasad</v>
      </c>
      <c r="Q3881" s="6" t="str">
        <f>IFERROR(__xludf.DUMMYFUNCTION("""COMPUTED_VALUE"""),"HS")</f>
        <v>HS</v>
      </c>
      <c r="R3881" s="6">
        <f>IFERROR(__xludf.DUMMYFUNCTION("""COMPUTED_VALUE"""),0.0)</f>
        <v>0</v>
      </c>
      <c r="S3881" s="6" t="str">
        <f>IFERROR(__xludf.DUMMYFUNCTION("""COMPUTED_VALUE""")," ")</f>
        <v> </v>
      </c>
      <c r="T3881" s="6" t="str">
        <f>IFERROR(__xludf.DUMMYFUNCTION("""COMPUTED_VALUE"""),"")</f>
        <v/>
      </c>
      <c r="U3881" s="6" t="str">
        <f>IFERROR(__xludf.DUMMYFUNCTION("""COMPUTED_VALUE"""),"11")</f>
        <v>11</v>
      </c>
      <c r="V3881" s="6" t="str">
        <f>IFERROR(__xludf.DUMMYFUNCTION("""COMPUTED_VALUE"""),"English")</f>
        <v>English</v>
      </c>
      <c r="W3881" s="6" t="str">
        <f>IFERROR(__xludf.DUMMYFUNCTION("""COMPUTED_VALUE"""),"[]")</f>
        <v>[]</v>
      </c>
      <c r="X3881" s="6" t="str">
        <f>IFERROR(__xludf.DUMMYFUNCTION("""COMPUTED_VALUE"""),"Enrolled")</f>
        <v>Enrolled</v>
      </c>
    </row>
    <row r="3882">
      <c r="A3882" s="6" t="str">
        <f>IFERROR(__xludf.DUMMYFUNCTION("""COMPUTED_VALUE"""),"068-10186")</f>
        <v>068-10186</v>
      </c>
      <c r="B3882" s="6" t="str">
        <f>IFERROR(__xludf.DUMMYFUNCTION("""COMPUTED_VALUE"""),"68")</f>
        <v>68</v>
      </c>
      <c r="C3882" s="6" t="str">
        <f>IFERROR(__xludf.DUMMYFUNCTION("""COMPUTED_VALUE"""),"10186")</f>
        <v>10186</v>
      </c>
      <c r="D3882" s="6" t="str">
        <f>IFERROR(__xludf.DUMMYFUNCTION("""COMPUTED_VALUE"""),"Arik")</f>
        <v>Arik</v>
      </c>
      <c r="E3882" s="6" t="str">
        <f>IFERROR(__xludf.DUMMYFUNCTION("""COMPUTED_VALUE"""),"")</f>
        <v/>
      </c>
      <c r="F3882" s="6" t="str">
        <f>IFERROR(__xludf.DUMMYFUNCTION("""COMPUTED_VALUE"""),"Rahman")</f>
        <v>Rahman</v>
      </c>
      <c r="G3882" s="6" t="str">
        <f>IFERROR(__xludf.DUMMYFUNCTION("""COMPUTED_VALUE"""),"06/10/2008")</f>
        <v>06/10/2008</v>
      </c>
      <c r="H3882" s="6" t="str">
        <f>IFERROR(__xludf.DUMMYFUNCTION("""COMPUTED_VALUE"""),"Self Identify")</f>
        <v>Self Identify</v>
      </c>
      <c r="I3882" s="6" t="str">
        <f>IFERROR(__xludf.DUMMYFUNCTION("""COMPUTED_VALUE"""),"High School")</f>
        <v>High School</v>
      </c>
      <c r="J3882" s="6" t="str">
        <f>IFERROR(__xludf.DUMMYFUNCTION("""COMPUTED_VALUE"""),"10")</f>
        <v>10</v>
      </c>
      <c r="K3882" s="6" t="str">
        <f>IFERROR(__xludf.DUMMYFUNCTION("""COMPUTED_VALUE"""),"arik.rahman@2hourlearning.com")</f>
        <v>arik.rahman@2hourlearning.com</v>
      </c>
      <c r="L3882" s="6" t="str">
        <f>IFERROR(__xludf.DUMMYFUNCTION("""COMPUTED_VALUE"""),"SPIRE Academy")</f>
        <v>SPIRE Academy</v>
      </c>
      <c r="M3882" s="6" t="str">
        <f>IFERROR(__xludf.DUMMYFUNCTION("""COMPUTED_VALUE"""),"")</f>
        <v/>
      </c>
      <c r="N3882" s="6" t="str">
        <f>IFERROR(__xludf.DUMMYFUNCTION("""COMPUTED_VALUE"""),"")</f>
        <v/>
      </c>
      <c r="O3882" s="87" t="str">
        <f>IFERROR(__xludf.DUMMYFUNCTION("""COMPUTED_VALUE"""),"https://drive.google.com/drive/folders/10T2cTQHqEJZqE-st6uFKPoI?usp=share_link")</f>
        <v>https://drive.google.com/drive/folders/10T2cTQHqEJZqE-st6uFKPoI?usp=share_link</v>
      </c>
      <c r="P3882" s="6" t="str">
        <f>IFERROR(__xludf.DUMMYFUNCTION("""COMPUTED_VALUE"""),"Arik Rahman")</f>
        <v>Arik Rahman</v>
      </c>
      <c r="Q3882" s="6" t="str">
        <f>IFERROR(__xludf.DUMMYFUNCTION("""COMPUTED_VALUE"""),"HS")</f>
        <v>HS</v>
      </c>
      <c r="R3882" s="6">
        <f>IFERROR(__xludf.DUMMYFUNCTION("""COMPUTED_VALUE"""),0.0)</f>
        <v>0</v>
      </c>
      <c r="S3882" s="6" t="str">
        <f>IFERROR(__xludf.DUMMYFUNCTION("""COMPUTED_VALUE""")," ")</f>
        <v> </v>
      </c>
      <c r="T3882" s="6" t="str">
        <f>IFERROR(__xludf.DUMMYFUNCTION("""COMPUTED_VALUE"""),"")</f>
        <v/>
      </c>
      <c r="U3882" s="6" t="str">
        <f>IFERROR(__xludf.DUMMYFUNCTION("""COMPUTED_VALUE"""),"10")</f>
        <v>10</v>
      </c>
      <c r="V3882" s="6" t="str">
        <f>IFERROR(__xludf.DUMMYFUNCTION("""COMPUTED_VALUE"""),"English")</f>
        <v>English</v>
      </c>
      <c r="W3882" s="6" t="str">
        <f>IFERROR(__xludf.DUMMYFUNCTION("""COMPUTED_VALUE"""),"[]")</f>
        <v>[]</v>
      </c>
      <c r="X3882" s="6" t="str">
        <f>IFERROR(__xludf.DUMMYFUNCTION("""COMPUTED_VALUE"""),"Enrolled")</f>
        <v>Enrolled</v>
      </c>
    </row>
    <row r="3883">
      <c r="A3883" s="6" t="str">
        <f>IFERROR(__xludf.DUMMYFUNCTION("""COMPUTED_VALUE"""),"068-10187")</f>
        <v>068-10187</v>
      </c>
      <c r="B3883" s="6" t="str">
        <f>IFERROR(__xludf.DUMMYFUNCTION("""COMPUTED_VALUE"""),"68")</f>
        <v>68</v>
      </c>
      <c r="C3883" s="6" t="str">
        <f>IFERROR(__xludf.DUMMYFUNCTION("""COMPUTED_VALUE"""),"10187")</f>
        <v>10187</v>
      </c>
      <c r="D3883" s="6" t="str">
        <f>IFERROR(__xludf.DUMMYFUNCTION("""COMPUTED_VALUE"""),"Izabella")</f>
        <v>Izabella</v>
      </c>
      <c r="E3883" s="6" t="str">
        <f>IFERROR(__xludf.DUMMYFUNCTION("""COMPUTED_VALUE"""),"")</f>
        <v/>
      </c>
      <c r="F3883" s="6" t="str">
        <f>IFERROR(__xludf.DUMMYFUNCTION("""COMPUTED_VALUE"""),"Rasmussen")</f>
        <v>Rasmussen</v>
      </c>
      <c r="G3883" s="6" t="str">
        <f>IFERROR(__xludf.DUMMYFUNCTION("""COMPUTED_VALUE"""),"03/23/2009")</f>
        <v>03/23/2009</v>
      </c>
      <c r="H3883" s="6" t="str">
        <f>IFERROR(__xludf.DUMMYFUNCTION("""COMPUTED_VALUE"""),"Self Identify")</f>
        <v>Self Identify</v>
      </c>
      <c r="I3883" s="6" t="str">
        <f>IFERROR(__xludf.DUMMYFUNCTION("""COMPUTED_VALUE"""),"High School")</f>
        <v>High School</v>
      </c>
      <c r="J3883" s="6" t="str">
        <f>IFERROR(__xludf.DUMMYFUNCTION("""COMPUTED_VALUE"""),"10")</f>
        <v>10</v>
      </c>
      <c r="K3883" s="6" t="str">
        <f>IFERROR(__xludf.DUMMYFUNCTION("""COMPUTED_VALUE"""),"izabella.rasmussen@2hourlearning.com")</f>
        <v>izabella.rasmussen@2hourlearning.com</v>
      </c>
      <c r="L3883" s="6" t="str">
        <f>IFERROR(__xludf.DUMMYFUNCTION("""COMPUTED_VALUE"""),"SPIRE Academy")</f>
        <v>SPIRE Academy</v>
      </c>
      <c r="M3883" s="6" t="str">
        <f>IFERROR(__xludf.DUMMYFUNCTION("""COMPUTED_VALUE"""),"")</f>
        <v/>
      </c>
      <c r="N3883" s="6" t="str">
        <f>IFERROR(__xludf.DUMMYFUNCTION("""COMPUTED_VALUE"""),"")</f>
        <v/>
      </c>
      <c r="O3883" s="87" t="str">
        <f>IFERROR(__xludf.DUMMYFUNCTION("""COMPUTED_VALUE"""),"https://drive.google.com/drive/folders/10T2cTQHqEJZqE-st6uFKPoI?usp=share_link")</f>
        <v>https://drive.google.com/drive/folders/10T2cTQHqEJZqE-st6uFKPoI?usp=share_link</v>
      </c>
      <c r="P3883" s="6" t="str">
        <f>IFERROR(__xludf.DUMMYFUNCTION("""COMPUTED_VALUE"""),"Izabella Rasmussen")</f>
        <v>Izabella Rasmussen</v>
      </c>
      <c r="Q3883" s="6" t="str">
        <f>IFERROR(__xludf.DUMMYFUNCTION("""COMPUTED_VALUE"""),"HS")</f>
        <v>HS</v>
      </c>
      <c r="R3883" s="6">
        <f>IFERROR(__xludf.DUMMYFUNCTION("""COMPUTED_VALUE"""),0.0)</f>
        <v>0</v>
      </c>
      <c r="S3883" s="6" t="str">
        <f>IFERROR(__xludf.DUMMYFUNCTION("""COMPUTED_VALUE""")," ")</f>
        <v> </v>
      </c>
      <c r="T3883" s="6" t="str">
        <f>IFERROR(__xludf.DUMMYFUNCTION("""COMPUTED_VALUE"""),"")</f>
        <v/>
      </c>
      <c r="U3883" s="6" t="str">
        <f>IFERROR(__xludf.DUMMYFUNCTION("""COMPUTED_VALUE"""),"10")</f>
        <v>10</v>
      </c>
      <c r="V3883" s="6" t="str">
        <f>IFERROR(__xludf.DUMMYFUNCTION("""COMPUTED_VALUE"""),"English")</f>
        <v>English</v>
      </c>
      <c r="W3883" s="6" t="str">
        <f>IFERROR(__xludf.DUMMYFUNCTION("""COMPUTED_VALUE"""),"[]")</f>
        <v>[]</v>
      </c>
      <c r="X3883" s="6" t="str">
        <f>IFERROR(__xludf.DUMMYFUNCTION("""COMPUTED_VALUE"""),"Enrolled")</f>
        <v>Enrolled</v>
      </c>
    </row>
    <row r="3884">
      <c r="A3884" s="6" t="str">
        <f>IFERROR(__xludf.DUMMYFUNCTION("""COMPUTED_VALUE"""),"068-10188")</f>
        <v>068-10188</v>
      </c>
      <c r="B3884" s="6" t="str">
        <f>IFERROR(__xludf.DUMMYFUNCTION("""COMPUTED_VALUE"""),"68")</f>
        <v>68</v>
      </c>
      <c r="C3884" s="6" t="str">
        <f>IFERROR(__xludf.DUMMYFUNCTION("""COMPUTED_VALUE"""),"10188")</f>
        <v>10188</v>
      </c>
      <c r="D3884" s="6" t="str">
        <f>IFERROR(__xludf.DUMMYFUNCTION("""COMPUTED_VALUE"""),"Jesse")</f>
        <v>Jesse</v>
      </c>
      <c r="E3884" s="6" t="str">
        <f>IFERROR(__xludf.DUMMYFUNCTION("""COMPUTED_VALUE"""),"")</f>
        <v/>
      </c>
      <c r="F3884" s="6" t="str">
        <f>IFERROR(__xludf.DUMMYFUNCTION("""COMPUTED_VALUE"""),"Reijans")</f>
        <v>Reijans</v>
      </c>
      <c r="G3884" s="6" t="str">
        <f>IFERROR(__xludf.DUMMYFUNCTION("""COMPUTED_VALUE"""),"03/29/2007")</f>
        <v>03/29/2007</v>
      </c>
      <c r="H3884" s="6" t="str">
        <f>IFERROR(__xludf.DUMMYFUNCTION("""COMPUTED_VALUE"""),"Self Identify")</f>
        <v>Self Identify</v>
      </c>
      <c r="I3884" s="6" t="str">
        <f>IFERROR(__xludf.DUMMYFUNCTION("""COMPUTED_VALUE"""),"High School")</f>
        <v>High School</v>
      </c>
      <c r="J3884" s="6" t="str">
        <f>IFERROR(__xludf.DUMMYFUNCTION("""COMPUTED_VALUE"""),"12")</f>
        <v>12</v>
      </c>
      <c r="K3884" s="6" t="str">
        <f>IFERROR(__xludf.DUMMYFUNCTION("""COMPUTED_VALUE"""),"jesse.reijans@2hourlearning.com")</f>
        <v>jesse.reijans@2hourlearning.com</v>
      </c>
      <c r="L3884" s="6" t="str">
        <f>IFERROR(__xludf.DUMMYFUNCTION("""COMPUTED_VALUE"""),"SPIRE Academy")</f>
        <v>SPIRE Academy</v>
      </c>
      <c r="M3884" s="6" t="str">
        <f>IFERROR(__xludf.DUMMYFUNCTION("""COMPUTED_VALUE"""),"")</f>
        <v/>
      </c>
      <c r="N3884" s="6" t="str">
        <f>IFERROR(__xludf.DUMMYFUNCTION("""COMPUTED_VALUE"""),"")</f>
        <v/>
      </c>
      <c r="O3884" s="87" t="str">
        <f>IFERROR(__xludf.DUMMYFUNCTION("""COMPUTED_VALUE"""),"https://drive.google.com/drive/folders/10T2cTQHqEJZqE-st6uFKPoI?usp=share_link")</f>
        <v>https://drive.google.com/drive/folders/10T2cTQHqEJZqE-st6uFKPoI?usp=share_link</v>
      </c>
      <c r="P3884" s="6" t="str">
        <f>IFERROR(__xludf.DUMMYFUNCTION("""COMPUTED_VALUE"""),"Jesse Reijans")</f>
        <v>Jesse Reijans</v>
      </c>
      <c r="Q3884" s="6" t="str">
        <f>IFERROR(__xludf.DUMMYFUNCTION("""COMPUTED_VALUE"""),"HS")</f>
        <v>HS</v>
      </c>
      <c r="R3884" s="6">
        <f>IFERROR(__xludf.DUMMYFUNCTION("""COMPUTED_VALUE"""),0.0)</f>
        <v>0</v>
      </c>
      <c r="S3884" s="6" t="str">
        <f>IFERROR(__xludf.DUMMYFUNCTION("""COMPUTED_VALUE""")," ")</f>
        <v> </v>
      </c>
      <c r="T3884" s="6" t="str">
        <f>IFERROR(__xludf.DUMMYFUNCTION("""COMPUTED_VALUE"""),"")</f>
        <v/>
      </c>
      <c r="U3884" s="6" t="str">
        <f>IFERROR(__xludf.DUMMYFUNCTION("""COMPUTED_VALUE"""),"12")</f>
        <v>12</v>
      </c>
      <c r="V3884" s="6" t="str">
        <f>IFERROR(__xludf.DUMMYFUNCTION("""COMPUTED_VALUE"""),"English")</f>
        <v>English</v>
      </c>
      <c r="W3884" s="6" t="str">
        <f>IFERROR(__xludf.DUMMYFUNCTION("""COMPUTED_VALUE"""),"[]")</f>
        <v>[]</v>
      </c>
      <c r="X3884" s="6" t="str">
        <f>IFERROR(__xludf.DUMMYFUNCTION("""COMPUTED_VALUE"""),"Enrolled")</f>
        <v>Enrolled</v>
      </c>
    </row>
    <row r="3885">
      <c r="A3885" s="6" t="str">
        <f>IFERROR(__xludf.DUMMYFUNCTION("""COMPUTED_VALUE"""),"068-10189")</f>
        <v>068-10189</v>
      </c>
      <c r="B3885" s="6" t="str">
        <f>IFERROR(__xludf.DUMMYFUNCTION("""COMPUTED_VALUE"""),"68")</f>
        <v>68</v>
      </c>
      <c r="C3885" s="6" t="str">
        <f>IFERROR(__xludf.DUMMYFUNCTION("""COMPUTED_VALUE"""),"10189")</f>
        <v>10189</v>
      </c>
      <c r="D3885" s="6" t="str">
        <f>IFERROR(__xludf.DUMMYFUNCTION("""COMPUTED_VALUE"""),"Jeffrey")</f>
        <v>Jeffrey</v>
      </c>
      <c r="E3885" s="6" t="str">
        <f>IFERROR(__xludf.DUMMYFUNCTION("""COMPUTED_VALUE"""),"")</f>
        <v/>
      </c>
      <c r="F3885" s="6" t="str">
        <f>IFERROR(__xludf.DUMMYFUNCTION("""COMPUTED_VALUE"""),"Reynolds")</f>
        <v>Reynolds</v>
      </c>
      <c r="G3885" s="6" t="str">
        <f>IFERROR(__xludf.DUMMYFUNCTION("""COMPUTED_VALUE"""),"02/04/2009")</f>
        <v>02/04/2009</v>
      </c>
      <c r="H3885" s="6" t="str">
        <f>IFERROR(__xludf.DUMMYFUNCTION("""COMPUTED_VALUE"""),"Self Identify")</f>
        <v>Self Identify</v>
      </c>
      <c r="I3885" s="6" t="str">
        <f>IFERROR(__xludf.DUMMYFUNCTION("""COMPUTED_VALUE"""),"High School")</f>
        <v>High School</v>
      </c>
      <c r="J3885" s="6" t="str">
        <f>IFERROR(__xludf.DUMMYFUNCTION("""COMPUTED_VALUE"""),"11")</f>
        <v>11</v>
      </c>
      <c r="K3885" s="6" t="str">
        <f>IFERROR(__xludf.DUMMYFUNCTION("""COMPUTED_VALUE"""),"jeffrey.reynolds@2hourlearning.com")</f>
        <v>jeffrey.reynolds@2hourlearning.com</v>
      </c>
      <c r="L3885" s="6" t="str">
        <f>IFERROR(__xludf.DUMMYFUNCTION("""COMPUTED_VALUE"""),"SPIRE Academy")</f>
        <v>SPIRE Academy</v>
      </c>
      <c r="M3885" s="6" t="str">
        <f>IFERROR(__xludf.DUMMYFUNCTION("""COMPUTED_VALUE"""),"")</f>
        <v/>
      </c>
      <c r="N3885" s="6" t="str">
        <f>IFERROR(__xludf.DUMMYFUNCTION("""COMPUTED_VALUE"""),"")</f>
        <v/>
      </c>
      <c r="O3885" s="87" t="str">
        <f>IFERROR(__xludf.DUMMYFUNCTION("""COMPUTED_VALUE"""),"https://drive.google.com/drive/folders/10T2cTQHqEJZqE-st6uFKPoI?usp=share_link")</f>
        <v>https://drive.google.com/drive/folders/10T2cTQHqEJZqE-st6uFKPoI?usp=share_link</v>
      </c>
      <c r="P3885" s="6" t="str">
        <f>IFERROR(__xludf.DUMMYFUNCTION("""COMPUTED_VALUE"""),"Jeffrey Reynolds")</f>
        <v>Jeffrey Reynolds</v>
      </c>
      <c r="Q3885" s="6" t="str">
        <f>IFERROR(__xludf.DUMMYFUNCTION("""COMPUTED_VALUE"""),"HS")</f>
        <v>HS</v>
      </c>
      <c r="R3885" s="6">
        <f>IFERROR(__xludf.DUMMYFUNCTION("""COMPUTED_VALUE"""),0.0)</f>
        <v>0</v>
      </c>
      <c r="S3885" s="6" t="str">
        <f>IFERROR(__xludf.DUMMYFUNCTION("""COMPUTED_VALUE""")," ")</f>
        <v> </v>
      </c>
      <c r="T3885" s="6" t="str">
        <f>IFERROR(__xludf.DUMMYFUNCTION("""COMPUTED_VALUE"""),"")</f>
        <v/>
      </c>
      <c r="U3885" s="6" t="str">
        <f>IFERROR(__xludf.DUMMYFUNCTION("""COMPUTED_VALUE"""),"11")</f>
        <v>11</v>
      </c>
      <c r="V3885" s="6" t="str">
        <f>IFERROR(__xludf.DUMMYFUNCTION("""COMPUTED_VALUE"""),"English")</f>
        <v>English</v>
      </c>
      <c r="W3885" s="6" t="str">
        <f>IFERROR(__xludf.DUMMYFUNCTION("""COMPUTED_VALUE"""),"[]")</f>
        <v>[]</v>
      </c>
      <c r="X3885" s="6" t="str">
        <f>IFERROR(__xludf.DUMMYFUNCTION("""COMPUTED_VALUE"""),"Enrolled")</f>
        <v>Enrolled</v>
      </c>
    </row>
    <row r="3886">
      <c r="A3886" s="6" t="str">
        <f>IFERROR(__xludf.DUMMYFUNCTION("""COMPUTED_VALUE"""),"068-10190")</f>
        <v>068-10190</v>
      </c>
      <c r="B3886" s="6" t="str">
        <f>IFERROR(__xludf.DUMMYFUNCTION("""COMPUTED_VALUE"""),"68")</f>
        <v>68</v>
      </c>
      <c r="C3886" s="6" t="str">
        <f>IFERROR(__xludf.DUMMYFUNCTION("""COMPUTED_VALUE"""),"10190")</f>
        <v>10190</v>
      </c>
      <c r="D3886" s="6" t="str">
        <f>IFERROR(__xludf.DUMMYFUNCTION("""COMPUTED_VALUE"""),"Claire")</f>
        <v>Claire</v>
      </c>
      <c r="E3886" s="6" t="str">
        <f>IFERROR(__xludf.DUMMYFUNCTION("""COMPUTED_VALUE"""),"")</f>
        <v/>
      </c>
      <c r="F3886" s="6" t="str">
        <f>IFERROR(__xludf.DUMMYFUNCTION("""COMPUTED_VALUE"""),"Restad")</f>
        <v>Restad</v>
      </c>
      <c r="G3886" s="6" t="str">
        <f>IFERROR(__xludf.DUMMYFUNCTION("""COMPUTED_VALUE"""),"09/11/2009")</f>
        <v>09/11/2009</v>
      </c>
      <c r="H3886" s="6" t="str">
        <f>IFERROR(__xludf.DUMMYFUNCTION("""COMPUTED_VALUE"""),"Self Identify")</f>
        <v>Self Identify</v>
      </c>
      <c r="I3886" s="6" t="str">
        <f>IFERROR(__xludf.DUMMYFUNCTION("""COMPUTED_VALUE"""),"High School")</f>
        <v>High School</v>
      </c>
      <c r="J3886" s="6" t="str">
        <f>IFERROR(__xludf.DUMMYFUNCTION("""COMPUTED_VALUE"""),"10")</f>
        <v>10</v>
      </c>
      <c r="K3886" s="6" t="str">
        <f>IFERROR(__xludf.DUMMYFUNCTION("""COMPUTED_VALUE"""),"claire.restad@2hourlearning.com")</f>
        <v>claire.restad@2hourlearning.com</v>
      </c>
      <c r="L3886" s="6" t="str">
        <f>IFERROR(__xludf.DUMMYFUNCTION("""COMPUTED_VALUE"""),"SPIRE Academy")</f>
        <v>SPIRE Academy</v>
      </c>
      <c r="M3886" s="6" t="str">
        <f>IFERROR(__xludf.DUMMYFUNCTION("""COMPUTED_VALUE"""),"")</f>
        <v/>
      </c>
      <c r="N3886" s="6" t="str">
        <f>IFERROR(__xludf.DUMMYFUNCTION("""COMPUTED_VALUE"""),"")</f>
        <v/>
      </c>
      <c r="O3886" s="87" t="str">
        <f>IFERROR(__xludf.DUMMYFUNCTION("""COMPUTED_VALUE"""),"https://drive.google.com/drive/folders/10T2cTQHqEJZqE-st6uFKPoI?usp=share_link")</f>
        <v>https://drive.google.com/drive/folders/10T2cTQHqEJZqE-st6uFKPoI?usp=share_link</v>
      </c>
      <c r="P3886" s="6" t="str">
        <f>IFERROR(__xludf.DUMMYFUNCTION("""COMPUTED_VALUE"""),"Claire Restad")</f>
        <v>Claire Restad</v>
      </c>
      <c r="Q3886" s="6" t="str">
        <f>IFERROR(__xludf.DUMMYFUNCTION("""COMPUTED_VALUE"""),"HS")</f>
        <v>HS</v>
      </c>
      <c r="R3886" s="6">
        <f>IFERROR(__xludf.DUMMYFUNCTION("""COMPUTED_VALUE"""),0.0)</f>
        <v>0</v>
      </c>
      <c r="S3886" s="6" t="str">
        <f>IFERROR(__xludf.DUMMYFUNCTION("""COMPUTED_VALUE""")," ")</f>
        <v> </v>
      </c>
      <c r="T3886" s="6" t="str">
        <f>IFERROR(__xludf.DUMMYFUNCTION("""COMPUTED_VALUE"""),"")</f>
        <v/>
      </c>
      <c r="U3886" s="6" t="str">
        <f>IFERROR(__xludf.DUMMYFUNCTION("""COMPUTED_VALUE"""),"10")</f>
        <v>10</v>
      </c>
      <c r="V3886" s="6" t="str">
        <f>IFERROR(__xludf.DUMMYFUNCTION("""COMPUTED_VALUE"""),"English")</f>
        <v>English</v>
      </c>
      <c r="W3886" s="6" t="str">
        <f>IFERROR(__xludf.DUMMYFUNCTION("""COMPUTED_VALUE"""),"[]")</f>
        <v>[]</v>
      </c>
      <c r="X3886" s="6" t="str">
        <f>IFERROR(__xludf.DUMMYFUNCTION("""COMPUTED_VALUE"""),"Enrolled")</f>
        <v>Enrolled</v>
      </c>
    </row>
    <row r="3887">
      <c r="A3887" s="6" t="str">
        <f>IFERROR(__xludf.DUMMYFUNCTION("""COMPUTED_VALUE"""),"068-10191")</f>
        <v>068-10191</v>
      </c>
      <c r="B3887" s="6" t="str">
        <f>IFERROR(__xludf.DUMMYFUNCTION("""COMPUTED_VALUE"""),"68")</f>
        <v>68</v>
      </c>
      <c r="C3887" s="6" t="str">
        <f>IFERROR(__xludf.DUMMYFUNCTION("""COMPUTED_VALUE"""),"10191")</f>
        <v>10191</v>
      </c>
      <c r="D3887" s="6" t="str">
        <f>IFERROR(__xludf.DUMMYFUNCTION("""COMPUTED_VALUE"""),"Manuel Angel")</f>
        <v>Manuel A_x0081_ngel</v>
      </c>
      <c r="E3887" s="6" t="str">
        <f>IFERROR(__xludf.DUMMYFUNCTION("""COMPUTED_VALUE"""),"")</f>
        <v/>
      </c>
      <c r="F3887" s="6" t="str">
        <f>IFERROR(__xludf.DUMMYFUNCTION("""COMPUTED_VALUE"""),"Rico Leitao")</f>
        <v>Rico Leitao</v>
      </c>
      <c r="G3887" s="6" t="str">
        <f>IFERROR(__xludf.DUMMYFUNCTION("""COMPUTED_VALUE"""),"06/07/2006")</f>
        <v>06/07/2006</v>
      </c>
      <c r="H3887" s="6" t="str">
        <f>IFERROR(__xludf.DUMMYFUNCTION("""COMPUTED_VALUE"""),"Self Identify")</f>
        <v>Self Identify</v>
      </c>
      <c r="I3887" s="6" t="str">
        <f>IFERROR(__xludf.DUMMYFUNCTION("""COMPUTED_VALUE"""),"High School")</f>
        <v>High School</v>
      </c>
      <c r="J3887" s="6" t="str">
        <f>IFERROR(__xludf.DUMMYFUNCTION("""COMPUTED_VALUE"""),"12")</f>
        <v>12</v>
      </c>
      <c r="K3887" s="6" t="str">
        <f>IFERROR(__xludf.DUMMYFUNCTION("""COMPUTED_VALUE"""),"manuelangel.ricoleitao@2hourlearning.com")</f>
        <v>manuelangel.ricoleitao@2hourlearning.com</v>
      </c>
      <c r="L3887" s="6" t="str">
        <f>IFERROR(__xludf.DUMMYFUNCTION("""COMPUTED_VALUE"""),"SPIRE Academy")</f>
        <v>SPIRE Academy</v>
      </c>
      <c r="M3887" s="6" t="str">
        <f>IFERROR(__xludf.DUMMYFUNCTION("""COMPUTED_VALUE"""),"")</f>
        <v/>
      </c>
      <c r="N3887" s="6" t="str">
        <f>IFERROR(__xludf.DUMMYFUNCTION("""COMPUTED_VALUE"""),"")</f>
        <v/>
      </c>
      <c r="O3887" s="87" t="str">
        <f>IFERROR(__xludf.DUMMYFUNCTION("""COMPUTED_VALUE"""),"https://drive.google.com/drive/folders/10T2cTQHqEJZqE-st6uFKPoI?usp=share_link")</f>
        <v>https://drive.google.com/drive/folders/10T2cTQHqEJZqE-st6uFKPoI?usp=share_link</v>
      </c>
      <c r="P3887" s="6" t="str">
        <f>IFERROR(__xludf.DUMMYFUNCTION("""COMPUTED_VALUE"""),"Manuel Angel Rico Leitao")</f>
        <v>Manuel A_x0081_ngel Rico Leitao</v>
      </c>
      <c r="Q3887" s="6" t="str">
        <f>IFERROR(__xludf.DUMMYFUNCTION("""COMPUTED_VALUE"""),"HS")</f>
        <v>HS</v>
      </c>
      <c r="R3887" s="6">
        <f>IFERROR(__xludf.DUMMYFUNCTION("""COMPUTED_VALUE"""),0.0)</f>
        <v>0</v>
      </c>
      <c r="S3887" s="6" t="str">
        <f>IFERROR(__xludf.DUMMYFUNCTION("""COMPUTED_VALUE""")," ")</f>
        <v> </v>
      </c>
      <c r="T3887" s="6" t="str">
        <f>IFERROR(__xludf.DUMMYFUNCTION("""COMPUTED_VALUE"""),"")</f>
        <v/>
      </c>
      <c r="U3887" s="6" t="str">
        <f>IFERROR(__xludf.DUMMYFUNCTION("""COMPUTED_VALUE"""),"12")</f>
        <v>12</v>
      </c>
      <c r="V3887" s="6" t="str">
        <f>IFERROR(__xludf.DUMMYFUNCTION("""COMPUTED_VALUE"""),"English")</f>
        <v>English</v>
      </c>
      <c r="W3887" s="6" t="str">
        <f>IFERROR(__xludf.DUMMYFUNCTION("""COMPUTED_VALUE"""),"[]")</f>
        <v>[]</v>
      </c>
      <c r="X3887" s="6" t="str">
        <f>IFERROR(__xludf.DUMMYFUNCTION("""COMPUTED_VALUE"""),"Enrolled")</f>
        <v>Enrolled</v>
      </c>
    </row>
    <row r="3888">
      <c r="A3888" s="6" t="str">
        <f>IFERROR(__xludf.DUMMYFUNCTION("""COMPUTED_VALUE"""),"068-10192")</f>
        <v>068-10192</v>
      </c>
      <c r="B3888" s="6" t="str">
        <f>IFERROR(__xludf.DUMMYFUNCTION("""COMPUTED_VALUE"""),"68")</f>
        <v>68</v>
      </c>
      <c r="C3888" s="6" t="str">
        <f>IFERROR(__xludf.DUMMYFUNCTION("""COMPUTED_VALUE"""),"10192")</f>
        <v>10192</v>
      </c>
      <c r="D3888" s="6" t="str">
        <f>IFERROR(__xludf.DUMMYFUNCTION("""COMPUTED_VALUE"""),"Dorian")</f>
        <v>Dorian</v>
      </c>
      <c r="E3888" s="6" t="str">
        <f>IFERROR(__xludf.DUMMYFUNCTION("""COMPUTED_VALUE"""),"")</f>
        <v/>
      </c>
      <c r="F3888" s="6" t="str">
        <f>IFERROR(__xludf.DUMMYFUNCTION("""COMPUTED_VALUE"""),"Rinaldo Komlan")</f>
        <v>Rinaldo Komlan</v>
      </c>
      <c r="G3888" s="6" t="str">
        <f>IFERROR(__xludf.DUMMYFUNCTION("""COMPUTED_VALUE"""),"12/20/2007")</f>
        <v>12/20/2007</v>
      </c>
      <c r="H3888" s="6" t="str">
        <f>IFERROR(__xludf.DUMMYFUNCTION("""COMPUTED_VALUE"""),"Self Identify")</f>
        <v>Self Identify</v>
      </c>
      <c r="I3888" s="6" t="str">
        <f>IFERROR(__xludf.DUMMYFUNCTION("""COMPUTED_VALUE"""),"High School")</f>
        <v>High School</v>
      </c>
      <c r="J3888" s="6" t="str">
        <f>IFERROR(__xludf.DUMMYFUNCTION("""COMPUTED_VALUE"""),"12")</f>
        <v>12</v>
      </c>
      <c r="K3888" s="6" t="str">
        <f>IFERROR(__xludf.DUMMYFUNCTION("""COMPUTED_VALUE"""),"dorian.rinaldokomlan@2hourlearning.com")</f>
        <v>dorian.rinaldokomlan@2hourlearning.com</v>
      </c>
      <c r="L3888" s="6" t="str">
        <f>IFERROR(__xludf.DUMMYFUNCTION("""COMPUTED_VALUE"""),"SPIRE Academy")</f>
        <v>SPIRE Academy</v>
      </c>
      <c r="M3888" s="6" t="str">
        <f>IFERROR(__xludf.DUMMYFUNCTION("""COMPUTED_VALUE"""),"")</f>
        <v/>
      </c>
      <c r="N3888" s="6" t="str">
        <f>IFERROR(__xludf.DUMMYFUNCTION("""COMPUTED_VALUE"""),"")</f>
        <v/>
      </c>
      <c r="O3888" s="87" t="str">
        <f>IFERROR(__xludf.DUMMYFUNCTION("""COMPUTED_VALUE"""),"https://drive.google.com/drive/folders/10T2cTQHqEJZqE-st6uFKPoI?usp=share_link")</f>
        <v>https://drive.google.com/drive/folders/10T2cTQHqEJZqE-st6uFKPoI?usp=share_link</v>
      </c>
      <c r="P3888" s="6" t="str">
        <f>IFERROR(__xludf.DUMMYFUNCTION("""COMPUTED_VALUE"""),"Dorian Rinaldo Komlan")</f>
        <v>Dorian Rinaldo Komlan</v>
      </c>
      <c r="Q3888" s="6" t="str">
        <f>IFERROR(__xludf.DUMMYFUNCTION("""COMPUTED_VALUE"""),"HS")</f>
        <v>HS</v>
      </c>
      <c r="R3888" s="6">
        <f>IFERROR(__xludf.DUMMYFUNCTION("""COMPUTED_VALUE"""),0.0)</f>
        <v>0</v>
      </c>
      <c r="S3888" s="6" t="str">
        <f>IFERROR(__xludf.DUMMYFUNCTION("""COMPUTED_VALUE""")," ")</f>
        <v> </v>
      </c>
      <c r="T3888" s="6" t="str">
        <f>IFERROR(__xludf.DUMMYFUNCTION("""COMPUTED_VALUE"""),"")</f>
        <v/>
      </c>
      <c r="U3888" s="6" t="str">
        <f>IFERROR(__xludf.DUMMYFUNCTION("""COMPUTED_VALUE"""),"12")</f>
        <v>12</v>
      </c>
      <c r="V3888" s="6" t="str">
        <f>IFERROR(__xludf.DUMMYFUNCTION("""COMPUTED_VALUE"""),"English")</f>
        <v>English</v>
      </c>
      <c r="W3888" s="6" t="str">
        <f>IFERROR(__xludf.DUMMYFUNCTION("""COMPUTED_VALUE"""),"[]")</f>
        <v>[]</v>
      </c>
      <c r="X3888" s="6" t="str">
        <f>IFERROR(__xludf.DUMMYFUNCTION("""COMPUTED_VALUE"""),"Enrolled")</f>
        <v>Enrolled</v>
      </c>
    </row>
    <row r="3889">
      <c r="A3889" s="6" t="str">
        <f>IFERROR(__xludf.DUMMYFUNCTION("""COMPUTED_VALUE"""),"068-10193")</f>
        <v>068-10193</v>
      </c>
      <c r="B3889" s="6" t="str">
        <f>IFERROR(__xludf.DUMMYFUNCTION("""COMPUTED_VALUE"""),"68")</f>
        <v>68</v>
      </c>
      <c r="C3889" s="6" t="str">
        <f>IFERROR(__xludf.DUMMYFUNCTION("""COMPUTED_VALUE"""),"10193")</f>
        <v>10193</v>
      </c>
      <c r="D3889" s="6" t="str">
        <f>IFERROR(__xludf.DUMMYFUNCTION("""COMPUTED_VALUE"""),"Kadia")</f>
        <v>Kadia</v>
      </c>
      <c r="E3889" s="6" t="str">
        <f>IFERROR(__xludf.DUMMYFUNCTION("""COMPUTED_VALUE"""),"")</f>
        <v/>
      </c>
      <c r="F3889" s="6" t="str">
        <f>IFERROR(__xludf.DUMMYFUNCTION("""COMPUTED_VALUE"""),"Rock")</f>
        <v>Rock</v>
      </c>
      <c r="G3889" s="6" t="str">
        <f>IFERROR(__xludf.DUMMYFUNCTION("""COMPUTED_VALUE"""),"10/26/2007")</f>
        <v>10/26/2007</v>
      </c>
      <c r="H3889" s="6" t="str">
        <f>IFERROR(__xludf.DUMMYFUNCTION("""COMPUTED_VALUE"""),"Self Identify")</f>
        <v>Self Identify</v>
      </c>
      <c r="I3889" s="6" t="str">
        <f>IFERROR(__xludf.DUMMYFUNCTION("""COMPUTED_VALUE"""),"High School")</f>
        <v>High School</v>
      </c>
      <c r="J3889" s="6" t="str">
        <f>IFERROR(__xludf.DUMMYFUNCTION("""COMPUTED_VALUE"""),"12")</f>
        <v>12</v>
      </c>
      <c r="K3889" s="6" t="str">
        <f>IFERROR(__xludf.DUMMYFUNCTION("""COMPUTED_VALUE"""),"kadia.rock@2hourlearning.com")</f>
        <v>kadia.rock@2hourlearning.com</v>
      </c>
      <c r="L3889" s="6" t="str">
        <f>IFERROR(__xludf.DUMMYFUNCTION("""COMPUTED_VALUE"""),"SPIRE Academy")</f>
        <v>SPIRE Academy</v>
      </c>
      <c r="M3889" s="6" t="str">
        <f>IFERROR(__xludf.DUMMYFUNCTION("""COMPUTED_VALUE"""),"")</f>
        <v/>
      </c>
      <c r="N3889" s="6" t="str">
        <f>IFERROR(__xludf.DUMMYFUNCTION("""COMPUTED_VALUE"""),"")</f>
        <v/>
      </c>
      <c r="O3889" s="87" t="str">
        <f>IFERROR(__xludf.DUMMYFUNCTION("""COMPUTED_VALUE"""),"https://drive.google.com/drive/folders/10T2cTQHqEJZqE-st6uFKPoI?usp=share_link")</f>
        <v>https://drive.google.com/drive/folders/10T2cTQHqEJZqE-st6uFKPoI?usp=share_link</v>
      </c>
      <c r="P3889" s="6" t="str">
        <f>IFERROR(__xludf.DUMMYFUNCTION("""COMPUTED_VALUE"""),"Kadia Rock")</f>
        <v>Kadia Rock</v>
      </c>
      <c r="Q3889" s="6" t="str">
        <f>IFERROR(__xludf.DUMMYFUNCTION("""COMPUTED_VALUE"""),"HS")</f>
        <v>HS</v>
      </c>
      <c r="R3889" s="6">
        <f>IFERROR(__xludf.DUMMYFUNCTION("""COMPUTED_VALUE"""),0.0)</f>
        <v>0</v>
      </c>
      <c r="S3889" s="6" t="str">
        <f>IFERROR(__xludf.DUMMYFUNCTION("""COMPUTED_VALUE""")," ")</f>
        <v> </v>
      </c>
      <c r="T3889" s="6" t="str">
        <f>IFERROR(__xludf.DUMMYFUNCTION("""COMPUTED_VALUE"""),"")</f>
        <v/>
      </c>
      <c r="U3889" s="6" t="str">
        <f>IFERROR(__xludf.DUMMYFUNCTION("""COMPUTED_VALUE"""),"12")</f>
        <v>12</v>
      </c>
      <c r="V3889" s="6" t="str">
        <f>IFERROR(__xludf.DUMMYFUNCTION("""COMPUTED_VALUE"""),"English")</f>
        <v>English</v>
      </c>
      <c r="W3889" s="6" t="str">
        <f>IFERROR(__xludf.DUMMYFUNCTION("""COMPUTED_VALUE"""),"[]")</f>
        <v>[]</v>
      </c>
      <c r="X3889" s="6" t="str">
        <f>IFERROR(__xludf.DUMMYFUNCTION("""COMPUTED_VALUE"""),"Enrolled")</f>
        <v>Enrolled</v>
      </c>
    </row>
    <row r="3890">
      <c r="A3890" s="6" t="str">
        <f>IFERROR(__xludf.DUMMYFUNCTION("""COMPUTED_VALUE"""),"068-10194")</f>
        <v>068-10194</v>
      </c>
      <c r="B3890" s="6" t="str">
        <f>IFERROR(__xludf.DUMMYFUNCTION("""COMPUTED_VALUE"""),"68")</f>
        <v>68</v>
      </c>
      <c r="C3890" s="6" t="str">
        <f>IFERROR(__xludf.DUMMYFUNCTION("""COMPUTED_VALUE"""),"10194")</f>
        <v>10194</v>
      </c>
      <c r="D3890" s="6" t="str">
        <f>IFERROR(__xludf.DUMMYFUNCTION("""COMPUTED_VALUE"""),"Edurne")</f>
        <v>Edurne</v>
      </c>
      <c r="E3890" s="6" t="str">
        <f>IFERROR(__xludf.DUMMYFUNCTION("""COMPUTED_VALUE"""),"")</f>
        <v/>
      </c>
      <c r="F3890" s="6" t="str">
        <f>IFERROR(__xludf.DUMMYFUNCTION("""COMPUTED_VALUE"""),"Rocafull Hinojosa")</f>
        <v>Rocafull Hinojosa</v>
      </c>
      <c r="G3890" s="6" t="str">
        <f>IFERROR(__xludf.DUMMYFUNCTION("""COMPUTED_VALUE"""),"01/29/2010")</f>
        <v>01/29/2010</v>
      </c>
      <c r="H3890" s="6" t="str">
        <f>IFERROR(__xludf.DUMMYFUNCTION("""COMPUTED_VALUE"""),"Self Identify")</f>
        <v>Self Identify</v>
      </c>
      <c r="I3890" s="6" t="str">
        <f>IFERROR(__xludf.DUMMYFUNCTION("""COMPUTED_VALUE"""),"High School")</f>
        <v>High School</v>
      </c>
      <c r="J3890" s="6" t="str">
        <f>IFERROR(__xludf.DUMMYFUNCTION("""COMPUTED_VALUE"""),"10")</f>
        <v>10</v>
      </c>
      <c r="K3890" s="6" t="str">
        <f>IFERROR(__xludf.DUMMYFUNCTION("""COMPUTED_VALUE"""),"edurne.rocafullhinojosa@2hourlearning.com")</f>
        <v>edurne.rocafullhinojosa@2hourlearning.com</v>
      </c>
      <c r="L3890" s="6" t="str">
        <f>IFERROR(__xludf.DUMMYFUNCTION("""COMPUTED_VALUE"""),"SPIRE Academy")</f>
        <v>SPIRE Academy</v>
      </c>
      <c r="M3890" s="6" t="str">
        <f>IFERROR(__xludf.DUMMYFUNCTION("""COMPUTED_VALUE"""),"")</f>
        <v/>
      </c>
      <c r="N3890" s="6" t="str">
        <f>IFERROR(__xludf.DUMMYFUNCTION("""COMPUTED_VALUE"""),"")</f>
        <v/>
      </c>
      <c r="O3890" s="87" t="str">
        <f>IFERROR(__xludf.DUMMYFUNCTION("""COMPUTED_VALUE"""),"https://drive.google.com/drive/folders/10T2cTQHqEJZqE-st6uFKPoI?usp=share_link")</f>
        <v>https://drive.google.com/drive/folders/10T2cTQHqEJZqE-st6uFKPoI?usp=share_link</v>
      </c>
      <c r="P3890" s="6" t="str">
        <f>IFERROR(__xludf.DUMMYFUNCTION("""COMPUTED_VALUE"""),"Edurne Rocafull Hinojosa")</f>
        <v>Edurne Rocafull Hinojosa</v>
      </c>
      <c r="Q3890" s="6" t="str">
        <f>IFERROR(__xludf.DUMMYFUNCTION("""COMPUTED_VALUE"""),"HS")</f>
        <v>HS</v>
      </c>
      <c r="R3890" s="6">
        <f>IFERROR(__xludf.DUMMYFUNCTION("""COMPUTED_VALUE"""),0.0)</f>
        <v>0</v>
      </c>
      <c r="S3890" s="6" t="str">
        <f>IFERROR(__xludf.DUMMYFUNCTION("""COMPUTED_VALUE""")," ")</f>
        <v> </v>
      </c>
      <c r="T3890" s="6" t="str">
        <f>IFERROR(__xludf.DUMMYFUNCTION("""COMPUTED_VALUE"""),"")</f>
        <v/>
      </c>
      <c r="U3890" s="6" t="str">
        <f>IFERROR(__xludf.DUMMYFUNCTION("""COMPUTED_VALUE"""),"10")</f>
        <v>10</v>
      </c>
      <c r="V3890" s="6" t="str">
        <f>IFERROR(__xludf.DUMMYFUNCTION("""COMPUTED_VALUE"""),"English")</f>
        <v>English</v>
      </c>
      <c r="W3890" s="6" t="str">
        <f>IFERROR(__xludf.DUMMYFUNCTION("""COMPUTED_VALUE"""),"[]")</f>
        <v>[]</v>
      </c>
      <c r="X3890" s="6" t="str">
        <f>IFERROR(__xludf.DUMMYFUNCTION("""COMPUTED_VALUE"""),"Enrolled")</f>
        <v>Enrolled</v>
      </c>
    </row>
    <row r="3891">
      <c r="A3891" s="6" t="str">
        <f>IFERROR(__xludf.DUMMYFUNCTION("""COMPUTED_VALUE"""),"068-10195")</f>
        <v>068-10195</v>
      </c>
      <c r="B3891" s="6" t="str">
        <f>IFERROR(__xludf.DUMMYFUNCTION("""COMPUTED_VALUE"""),"68")</f>
        <v>68</v>
      </c>
      <c r="C3891" s="6" t="str">
        <f>IFERROR(__xludf.DUMMYFUNCTION("""COMPUTED_VALUE"""),"10195")</f>
        <v>10195</v>
      </c>
      <c r="D3891" s="6" t="str">
        <f>IFERROR(__xludf.DUMMYFUNCTION("""COMPUTED_VALUE"""),"John")</f>
        <v>John</v>
      </c>
      <c r="E3891" s="6" t="str">
        <f>IFERROR(__xludf.DUMMYFUNCTION("""COMPUTED_VALUE"""),"")</f>
        <v/>
      </c>
      <c r="F3891" s="6" t="str">
        <f>IFERROR(__xludf.DUMMYFUNCTION("""COMPUTED_VALUE"""),"Robertson")</f>
        <v>Robertson</v>
      </c>
      <c r="G3891" s="6" t="str">
        <f>IFERROR(__xludf.DUMMYFUNCTION("""COMPUTED_VALUE"""),"03/23/2007")</f>
        <v>03/23/2007</v>
      </c>
      <c r="H3891" s="6" t="str">
        <f>IFERROR(__xludf.DUMMYFUNCTION("""COMPUTED_VALUE"""),"Self Identify")</f>
        <v>Self Identify</v>
      </c>
      <c r="I3891" s="6" t="str">
        <f>IFERROR(__xludf.DUMMYFUNCTION("""COMPUTED_VALUE"""),"High School")</f>
        <v>High School</v>
      </c>
      <c r="J3891" s="6" t="str">
        <f>IFERROR(__xludf.DUMMYFUNCTION("""COMPUTED_VALUE"""),"12")</f>
        <v>12</v>
      </c>
      <c r="K3891" s="6" t="str">
        <f>IFERROR(__xludf.DUMMYFUNCTION("""COMPUTED_VALUE"""),"john.robertson@2hourlearning.com")</f>
        <v>john.robertson@2hourlearning.com</v>
      </c>
      <c r="L3891" s="6" t="str">
        <f>IFERROR(__xludf.DUMMYFUNCTION("""COMPUTED_VALUE"""),"SPIRE Academy")</f>
        <v>SPIRE Academy</v>
      </c>
      <c r="M3891" s="6" t="str">
        <f>IFERROR(__xludf.DUMMYFUNCTION("""COMPUTED_VALUE"""),"")</f>
        <v/>
      </c>
      <c r="N3891" s="6" t="str">
        <f>IFERROR(__xludf.DUMMYFUNCTION("""COMPUTED_VALUE"""),"")</f>
        <v/>
      </c>
      <c r="O3891" s="87" t="str">
        <f>IFERROR(__xludf.DUMMYFUNCTION("""COMPUTED_VALUE"""),"https://drive.google.com/drive/folders/10T2cTQHqEJZqE-st6uFKPoI?usp=share_link")</f>
        <v>https://drive.google.com/drive/folders/10T2cTQHqEJZqE-st6uFKPoI?usp=share_link</v>
      </c>
      <c r="P3891" s="6" t="str">
        <f>IFERROR(__xludf.DUMMYFUNCTION("""COMPUTED_VALUE"""),"John Robertson")</f>
        <v>John Robertson</v>
      </c>
      <c r="Q3891" s="6" t="str">
        <f>IFERROR(__xludf.DUMMYFUNCTION("""COMPUTED_VALUE"""),"HS")</f>
        <v>HS</v>
      </c>
      <c r="R3891" s="6">
        <f>IFERROR(__xludf.DUMMYFUNCTION("""COMPUTED_VALUE"""),0.0)</f>
        <v>0</v>
      </c>
      <c r="S3891" s="6" t="str">
        <f>IFERROR(__xludf.DUMMYFUNCTION("""COMPUTED_VALUE""")," ")</f>
        <v> </v>
      </c>
      <c r="T3891" s="6" t="str">
        <f>IFERROR(__xludf.DUMMYFUNCTION("""COMPUTED_VALUE"""),"")</f>
        <v/>
      </c>
      <c r="U3891" s="6" t="str">
        <f>IFERROR(__xludf.DUMMYFUNCTION("""COMPUTED_VALUE"""),"12")</f>
        <v>12</v>
      </c>
      <c r="V3891" s="6" t="str">
        <f>IFERROR(__xludf.DUMMYFUNCTION("""COMPUTED_VALUE"""),"English")</f>
        <v>English</v>
      </c>
      <c r="W3891" s="6" t="str">
        <f>IFERROR(__xludf.DUMMYFUNCTION("""COMPUTED_VALUE"""),"[]")</f>
        <v>[]</v>
      </c>
      <c r="X3891" s="6" t="str">
        <f>IFERROR(__xludf.DUMMYFUNCTION("""COMPUTED_VALUE"""),"Enrolled")</f>
        <v>Enrolled</v>
      </c>
    </row>
    <row r="3892">
      <c r="A3892" s="6" t="str">
        <f>IFERROR(__xludf.DUMMYFUNCTION("""COMPUTED_VALUE"""),"068-10196")</f>
        <v>068-10196</v>
      </c>
      <c r="B3892" s="6" t="str">
        <f>IFERROR(__xludf.DUMMYFUNCTION("""COMPUTED_VALUE"""),"68")</f>
        <v>68</v>
      </c>
      <c r="C3892" s="6" t="str">
        <f>IFERROR(__xludf.DUMMYFUNCTION("""COMPUTED_VALUE"""),"10196")</f>
        <v>10196</v>
      </c>
      <c r="D3892" s="6" t="str">
        <f>IFERROR(__xludf.DUMMYFUNCTION("""COMPUTED_VALUE"""),"Carla")</f>
        <v>Carla</v>
      </c>
      <c r="E3892" s="6" t="str">
        <f>IFERROR(__xludf.DUMMYFUNCTION("""COMPUTED_VALUE"""),"")</f>
        <v/>
      </c>
      <c r="F3892" s="6" t="str">
        <f>IFERROR(__xludf.DUMMYFUNCTION("""COMPUTED_VALUE"""),"Rodriguez Esparza")</f>
        <v>Rodriguez Esparza</v>
      </c>
      <c r="G3892" s="6" t="str">
        <f>IFERROR(__xludf.DUMMYFUNCTION("""COMPUTED_VALUE"""),"03/24/2009")</f>
        <v>03/24/2009</v>
      </c>
      <c r="H3892" s="6" t="str">
        <f>IFERROR(__xludf.DUMMYFUNCTION("""COMPUTED_VALUE"""),"Self Identify")</f>
        <v>Self Identify</v>
      </c>
      <c r="I3892" s="6" t="str">
        <f>IFERROR(__xludf.DUMMYFUNCTION("""COMPUTED_VALUE"""),"High School")</f>
        <v>High School</v>
      </c>
      <c r="J3892" s="6" t="str">
        <f>IFERROR(__xludf.DUMMYFUNCTION("""COMPUTED_VALUE"""),"11")</f>
        <v>11</v>
      </c>
      <c r="K3892" s="6" t="str">
        <f>IFERROR(__xludf.DUMMYFUNCTION("""COMPUTED_VALUE"""),"carla.rodriguezesparza@2hourlearning.com")</f>
        <v>carla.rodriguezesparza@2hourlearning.com</v>
      </c>
      <c r="L3892" s="6" t="str">
        <f>IFERROR(__xludf.DUMMYFUNCTION("""COMPUTED_VALUE"""),"SPIRE Academy")</f>
        <v>SPIRE Academy</v>
      </c>
      <c r="M3892" s="6" t="str">
        <f>IFERROR(__xludf.DUMMYFUNCTION("""COMPUTED_VALUE"""),"")</f>
        <v/>
      </c>
      <c r="N3892" s="6" t="str">
        <f>IFERROR(__xludf.DUMMYFUNCTION("""COMPUTED_VALUE"""),"")</f>
        <v/>
      </c>
      <c r="O3892" s="87" t="str">
        <f>IFERROR(__xludf.DUMMYFUNCTION("""COMPUTED_VALUE"""),"https://drive.google.com/drive/folders/10T2cTQHqEJZqE-st6uFKPoI?usp=share_link")</f>
        <v>https://drive.google.com/drive/folders/10T2cTQHqEJZqE-st6uFKPoI?usp=share_link</v>
      </c>
      <c r="P3892" s="6" t="str">
        <f>IFERROR(__xludf.DUMMYFUNCTION("""COMPUTED_VALUE"""),"Carla Rodriguez Esparza")</f>
        <v>Carla Rodriguez Esparza</v>
      </c>
      <c r="Q3892" s="6" t="str">
        <f>IFERROR(__xludf.DUMMYFUNCTION("""COMPUTED_VALUE"""),"HS")</f>
        <v>HS</v>
      </c>
      <c r="R3892" s="6">
        <f>IFERROR(__xludf.DUMMYFUNCTION("""COMPUTED_VALUE"""),0.0)</f>
        <v>0</v>
      </c>
      <c r="S3892" s="6" t="str">
        <f>IFERROR(__xludf.DUMMYFUNCTION("""COMPUTED_VALUE""")," ")</f>
        <v> </v>
      </c>
      <c r="T3892" s="6" t="str">
        <f>IFERROR(__xludf.DUMMYFUNCTION("""COMPUTED_VALUE"""),"")</f>
        <v/>
      </c>
      <c r="U3892" s="6" t="str">
        <f>IFERROR(__xludf.DUMMYFUNCTION("""COMPUTED_VALUE"""),"11")</f>
        <v>11</v>
      </c>
      <c r="V3892" s="6" t="str">
        <f>IFERROR(__xludf.DUMMYFUNCTION("""COMPUTED_VALUE"""),"English")</f>
        <v>English</v>
      </c>
      <c r="W3892" s="6" t="str">
        <f>IFERROR(__xludf.DUMMYFUNCTION("""COMPUTED_VALUE"""),"[]")</f>
        <v>[]</v>
      </c>
      <c r="X3892" s="6" t="str">
        <f>IFERROR(__xludf.DUMMYFUNCTION("""COMPUTED_VALUE"""),"Enrolled")</f>
        <v>Enrolled</v>
      </c>
    </row>
    <row r="3893">
      <c r="A3893" s="6" t="str">
        <f>IFERROR(__xludf.DUMMYFUNCTION("""COMPUTED_VALUE"""),"068-10197")</f>
        <v>068-10197</v>
      </c>
      <c r="B3893" s="6" t="str">
        <f>IFERROR(__xludf.DUMMYFUNCTION("""COMPUTED_VALUE"""),"68")</f>
        <v>68</v>
      </c>
      <c r="C3893" s="6" t="str">
        <f>IFERROR(__xludf.DUMMYFUNCTION("""COMPUTED_VALUE"""),"10197")</f>
        <v>10197</v>
      </c>
      <c r="D3893" s="6" t="str">
        <f>IFERROR(__xludf.DUMMYFUNCTION("""COMPUTED_VALUE"""),"Madison")</f>
        <v>Madison</v>
      </c>
      <c r="E3893" s="6" t="str">
        <f>IFERROR(__xludf.DUMMYFUNCTION("""COMPUTED_VALUE"""),"")</f>
        <v/>
      </c>
      <c r="F3893" s="6" t="str">
        <f>IFERROR(__xludf.DUMMYFUNCTION("""COMPUTED_VALUE"""),"Roush")</f>
        <v>Roush</v>
      </c>
      <c r="G3893" s="6" t="str">
        <f>IFERROR(__xludf.DUMMYFUNCTION("""COMPUTED_VALUE"""),"09/06/2008")</f>
        <v>09/06/2008</v>
      </c>
      <c r="H3893" s="6" t="str">
        <f>IFERROR(__xludf.DUMMYFUNCTION("""COMPUTED_VALUE"""),"Self Identify")</f>
        <v>Self Identify</v>
      </c>
      <c r="I3893" s="6" t="str">
        <f>IFERROR(__xludf.DUMMYFUNCTION("""COMPUTED_VALUE"""),"High School")</f>
        <v>High School</v>
      </c>
      <c r="J3893" s="6" t="str">
        <f>IFERROR(__xludf.DUMMYFUNCTION("""COMPUTED_VALUE"""),"12")</f>
        <v>12</v>
      </c>
      <c r="K3893" s="6" t="str">
        <f>IFERROR(__xludf.DUMMYFUNCTION("""COMPUTED_VALUE"""),"madison.roush@2hourlearning.com")</f>
        <v>madison.roush@2hourlearning.com</v>
      </c>
      <c r="L3893" s="6" t="str">
        <f>IFERROR(__xludf.DUMMYFUNCTION("""COMPUTED_VALUE"""),"SPIRE Academy")</f>
        <v>SPIRE Academy</v>
      </c>
      <c r="M3893" s="6" t="str">
        <f>IFERROR(__xludf.DUMMYFUNCTION("""COMPUTED_VALUE"""),"")</f>
        <v/>
      </c>
      <c r="N3893" s="6" t="str">
        <f>IFERROR(__xludf.DUMMYFUNCTION("""COMPUTED_VALUE"""),"")</f>
        <v/>
      </c>
      <c r="O3893" s="87" t="str">
        <f>IFERROR(__xludf.DUMMYFUNCTION("""COMPUTED_VALUE"""),"https://drive.google.com/drive/folders/10T2cTQHqEJZqE-st6uFKPoI?usp=share_link")</f>
        <v>https://drive.google.com/drive/folders/10T2cTQHqEJZqE-st6uFKPoI?usp=share_link</v>
      </c>
      <c r="P3893" s="6" t="str">
        <f>IFERROR(__xludf.DUMMYFUNCTION("""COMPUTED_VALUE"""),"Madison Roush")</f>
        <v>Madison Roush</v>
      </c>
      <c r="Q3893" s="6" t="str">
        <f>IFERROR(__xludf.DUMMYFUNCTION("""COMPUTED_VALUE"""),"HS")</f>
        <v>HS</v>
      </c>
      <c r="R3893" s="6">
        <f>IFERROR(__xludf.DUMMYFUNCTION("""COMPUTED_VALUE"""),0.0)</f>
        <v>0</v>
      </c>
      <c r="S3893" s="6" t="str">
        <f>IFERROR(__xludf.DUMMYFUNCTION("""COMPUTED_VALUE""")," ")</f>
        <v> </v>
      </c>
      <c r="T3893" s="6" t="str">
        <f>IFERROR(__xludf.DUMMYFUNCTION("""COMPUTED_VALUE"""),"")</f>
        <v/>
      </c>
      <c r="U3893" s="6" t="str">
        <f>IFERROR(__xludf.DUMMYFUNCTION("""COMPUTED_VALUE"""),"12")</f>
        <v>12</v>
      </c>
      <c r="V3893" s="6" t="str">
        <f>IFERROR(__xludf.DUMMYFUNCTION("""COMPUTED_VALUE"""),"English")</f>
        <v>English</v>
      </c>
      <c r="W3893" s="6" t="str">
        <f>IFERROR(__xludf.DUMMYFUNCTION("""COMPUTED_VALUE"""),"[]")</f>
        <v>[]</v>
      </c>
      <c r="X3893" s="6" t="str">
        <f>IFERROR(__xludf.DUMMYFUNCTION("""COMPUTED_VALUE"""),"Enrolled")</f>
        <v>Enrolled</v>
      </c>
    </row>
    <row r="3894">
      <c r="A3894" s="6" t="str">
        <f>IFERROR(__xludf.DUMMYFUNCTION("""COMPUTED_VALUE"""),"068-10198")</f>
        <v>068-10198</v>
      </c>
      <c r="B3894" s="6" t="str">
        <f>IFERROR(__xludf.DUMMYFUNCTION("""COMPUTED_VALUE"""),"68")</f>
        <v>68</v>
      </c>
      <c r="C3894" s="6" t="str">
        <f>IFERROR(__xludf.DUMMYFUNCTION("""COMPUTED_VALUE"""),"10198")</f>
        <v>10198</v>
      </c>
      <c r="D3894" s="6" t="str">
        <f>IFERROR(__xludf.DUMMYFUNCTION("""COMPUTED_VALUE"""),"Ivan")</f>
        <v>Ivan</v>
      </c>
      <c r="E3894" s="6" t="str">
        <f>IFERROR(__xludf.DUMMYFUNCTION("""COMPUTED_VALUE"""),"")</f>
        <v/>
      </c>
      <c r="F3894" s="6" t="str">
        <f>IFERROR(__xludf.DUMMYFUNCTION("""COMPUTED_VALUE"""),"Royo Ruiz")</f>
        <v>Royo Ruiz</v>
      </c>
      <c r="G3894" s="6" t="str">
        <f>IFERROR(__xludf.DUMMYFUNCTION("""COMPUTED_VALUE"""),"09/13/2009")</f>
        <v>09/13/2009</v>
      </c>
      <c r="H3894" s="6" t="str">
        <f>IFERROR(__xludf.DUMMYFUNCTION("""COMPUTED_VALUE"""),"Self Identify")</f>
        <v>Self Identify</v>
      </c>
      <c r="I3894" s="6" t="str">
        <f>IFERROR(__xludf.DUMMYFUNCTION("""COMPUTED_VALUE"""),"High School")</f>
        <v>High School</v>
      </c>
      <c r="J3894" s="6" t="str">
        <f>IFERROR(__xludf.DUMMYFUNCTION("""COMPUTED_VALUE"""),"11")</f>
        <v>11</v>
      </c>
      <c r="K3894" s="6" t="str">
        <f>IFERROR(__xludf.DUMMYFUNCTION("""COMPUTED_VALUE"""),"ivan.royoruiz@2hourlearning.com")</f>
        <v>ivan.royoruiz@2hourlearning.com</v>
      </c>
      <c r="L3894" s="6" t="str">
        <f>IFERROR(__xludf.DUMMYFUNCTION("""COMPUTED_VALUE"""),"SPIRE Academy")</f>
        <v>SPIRE Academy</v>
      </c>
      <c r="M3894" s="6" t="str">
        <f>IFERROR(__xludf.DUMMYFUNCTION("""COMPUTED_VALUE"""),"")</f>
        <v/>
      </c>
      <c r="N3894" s="6" t="str">
        <f>IFERROR(__xludf.DUMMYFUNCTION("""COMPUTED_VALUE"""),"")</f>
        <v/>
      </c>
      <c r="O3894" s="87" t="str">
        <f>IFERROR(__xludf.DUMMYFUNCTION("""COMPUTED_VALUE"""),"https://drive.google.com/drive/folders/10T2cTQHqEJZqE-st6uFKPoI?usp=share_link")</f>
        <v>https://drive.google.com/drive/folders/10T2cTQHqEJZqE-st6uFKPoI?usp=share_link</v>
      </c>
      <c r="P3894" s="6" t="str">
        <f>IFERROR(__xludf.DUMMYFUNCTION("""COMPUTED_VALUE"""),"Ivan Royo Ruiz")</f>
        <v>Ivan Royo Ruiz</v>
      </c>
      <c r="Q3894" s="6" t="str">
        <f>IFERROR(__xludf.DUMMYFUNCTION("""COMPUTED_VALUE"""),"HS")</f>
        <v>HS</v>
      </c>
      <c r="R3894" s="6">
        <f>IFERROR(__xludf.DUMMYFUNCTION("""COMPUTED_VALUE"""),0.0)</f>
        <v>0</v>
      </c>
      <c r="S3894" s="6" t="str">
        <f>IFERROR(__xludf.DUMMYFUNCTION("""COMPUTED_VALUE""")," ")</f>
        <v> </v>
      </c>
      <c r="T3894" s="6" t="str">
        <f>IFERROR(__xludf.DUMMYFUNCTION("""COMPUTED_VALUE"""),"")</f>
        <v/>
      </c>
      <c r="U3894" s="6" t="str">
        <f>IFERROR(__xludf.DUMMYFUNCTION("""COMPUTED_VALUE"""),"11")</f>
        <v>11</v>
      </c>
      <c r="V3894" s="6" t="str">
        <f>IFERROR(__xludf.DUMMYFUNCTION("""COMPUTED_VALUE"""),"English")</f>
        <v>English</v>
      </c>
      <c r="W3894" s="6" t="str">
        <f>IFERROR(__xludf.DUMMYFUNCTION("""COMPUTED_VALUE"""),"[]")</f>
        <v>[]</v>
      </c>
      <c r="X3894" s="6" t="str">
        <f>IFERROR(__xludf.DUMMYFUNCTION("""COMPUTED_VALUE"""),"Enrolled")</f>
        <v>Enrolled</v>
      </c>
    </row>
    <row r="3895">
      <c r="A3895" s="6" t="str">
        <f>IFERROR(__xludf.DUMMYFUNCTION("""COMPUTED_VALUE"""),"068-10199")</f>
        <v>068-10199</v>
      </c>
      <c r="B3895" s="6" t="str">
        <f>IFERROR(__xludf.DUMMYFUNCTION("""COMPUTED_VALUE"""),"68")</f>
        <v>68</v>
      </c>
      <c r="C3895" s="6" t="str">
        <f>IFERROR(__xludf.DUMMYFUNCTION("""COMPUTED_VALUE"""),"10199")</f>
        <v>10199</v>
      </c>
      <c r="D3895" s="6" t="str">
        <f>IFERROR(__xludf.DUMMYFUNCTION("""COMPUTED_VALUE"""),"Laurel")</f>
        <v>Laurel</v>
      </c>
      <c r="E3895" s="6" t="str">
        <f>IFERROR(__xludf.DUMMYFUNCTION("""COMPUTED_VALUE"""),"")</f>
        <v/>
      </c>
      <c r="F3895" s="6" t="str">
        <f>IFERROR(__xludf.DUMMYFUNCTION("""COMPUTED_VALUE"""),"Ruck")</f>
        <v>Ruck</v>
      </c>
      <c r="G3895" s="6" t="str">
        <f>IFERROR(__xludf.DUMMYFUNCTION("""COMPUTED_VALUE"""),"12/25/2009")</f>
        <v>12/25/2009</v>
      </c>
      <c r="H3895" s="6" t="str">
        <f>IFERROR(__xludf.DUMMYFUNCTION("""COMPUTED_VALUE"""),"Self Identify")</f>
        <v>Self Identify</v>
      </c>
      <c r="I3895" s="6" t="str">
        <f>IFERROR(__xludf.DUMMYFUNCTION("""COMPUTED_VALUE"""),"High School")</f>
        <v>High School</v>
      </c>
      <c r="J3895" s="6" t="str">
        <f>IFERROR(__xludf.DUMMYFUNCTION("""COMPUTED_VALUE"""),"10")</f>
        <v>10</v>
      </c>
      <c r="K3895" s="6" t="str">
        <f>IFERROR(__xludf.DUMMYFUNCTION("""COMPUTED_VALUE"""),"laurel.ruck@2hourlearning.com")</f>
        <v>laurel.ruck@2hourlearning.com</v>
      </c>
      <c r="L3895" s="6" t="str">
        <f>IFERROR(__xludf.DUMMYFUNCTION("""COMPUTED_VALUE"""),"SPIRE Academy")</f>
        <v>SPIRE Academy</v>
      </c>
      <c r="M3895" s="6" t="str">
        <f>IFERROR(__xludf.DUMMYFUNCTION("""COMPUTED_VALUE"""),"")</f>
        <v/>
      </c>
      <c r="N3895" s="6" t="str">
        <f>IFERROR(__xludf.DUMMYFUNCTION("""COMPUTED_VALUE"""),"")</f>
        <v/>
      </c>
      <c r="O3895" s="87" t="str">
        <f>IFERROR(__xludf.DUMMYFUNCTION("""COMPUTED_VALUE"""),"https://drive.google.com/drive/folders/10T2cTQHqEJZqE-st6uFKPoI?usp=share_link")</f>
        <v>https://drive.google.com/drive/folders/10T2cTQHqEJZqE-st6uFKPoI?usp=share_link</v>
      </c>
      <c r="P3895" s="6" t="str">
        <f>IFERROR(__xludf.DUMMYFUNCTION("""COMPUTED_VALUE"""),"Laurel Ruck")</f>
        <v>Laurel Ruck</v>
      </c>
      <c r="Q3895" s="6" t="str">
        <f>IFERROR(__xludf.DUMMYFUNCTION("""COMPUTED_VALUE"""),"HS")</f>
        <v>HS</v>
      </c>
      <c r="R3895" s="6">
        <f>IFERROR(__xludf.DUMMYFUNCTION("""COMPUTED_VALUE"""),0.0)</f>
        <v>0</v>
      </c>
      <c r="S3895" s="6" t="str">
        <f>IFERROR(__xludf.DUMMYFUNCTION("""COMPUTED_VALUE""")," ")</f>
        <v> </v>
      </c>
      <c r="T3895" s="6" t="str">
        <f>IFERROR(__xludf.DUMMYFUNCTION("""COMPUTED_VALUE"""),"")</f>
        <v/>
      </c>
      <c r="U3895" s="6" t="str">
        <f>IFERROR(__xludf.DUMMYFUNCTION("""COMPUTED_VALUE"""),"10")</f>
        <v>10</v>
      </c>
      <c r="V3895" s="6" t="str">
        <f>IFERROR(__xludf.DUMMYFUNCTION("""COMPUTED_VALUE"""),"English")</f>
        <v>English</v>
      </c>
      <c r="W3895" s="6" t="str">
        <f>IFERROR(__xludf.DUMMYFUNCTION("""COMPUTED_VALUE"""),"[]")</f>
        <v>[]</v>
      </c>
      <c r="X3895" s="6" t="str">
        <f>IFERROR(__xludf.DUMMYFUNCTION("""COMPUTED_VALUE"""),"Enrolled")</f>
        <v>Enrolled</v>
      </c>
    </row>
    <row r="3896">
      <c r="A3896" s="6" t="str">
        <f>IFERROR(__xludf.DUMMYFUNCTION("""COMPUTED_VALUE"""),"068-10200")</f>
        <v>068-10200</v>
      </c>
      <c r="B3896" s="6" t="str">
        <f>IFERROR(__xludf.DUMMYFUNCTION("""COMPUTED_VALUE"""),"68")</f>
        <v>68</v>
      </c>
      <c r="C3896" s="6" t="str">
        <f>IFERROR(__xludf.DUMMYFUNCTION("""COMPUTED_VALUE"""),"10200")</f>
        <v>10200</v>
      </c>
      <c r="D3896" s="6" t="str">
        <f>IFERROR(__xludf.DUMMYFUNCTION("""COMPUTED_VALUE"""),"Taylor")</f>
        <v>Taylor</v>
      </c>
      <c r="E3896" s="6" t="str">
        <f>IFERROR(__xludf.DUMMYFUNCTION("""COMPUTED_VALUE"""),"")</f>
        <v/>
      </c>
      <c r="F3896" s="6" t="str">
        <f>IFERROR(__xludf.DUMMYFUNCTION("""COMPUTED_VALUE"""),"Schiemann")</f>
        <v>Schiemann</v>
      </c>
      <c r="G3896" s="6" t="str">
        <f>IFERROR(__xludf.DUMMYFUNCTION("""COMPUTED_VALUE"""),"05/10/2009")</f>
        <v>05/10/2009</v>
      </c>
      <c r="H3896" s="6" t="str">
        <f>IFERROR(__xludf.DUMMYFUNCTION("""COMPUTED_VALUE"""),"Self Identify")</f>
        <v>Self Identify</v>
      </c>
      <c r="I3896" s="6" t="str">
        <f>IFERROR(__xludf.DUMMYFUNCTION("""COMPUTED_VALUE"""),"High School")</f>
        <v>High School</v>
      </c>
      <c r="J3896" s="6" t="str">
        <f>IFERROR(__xludf.DUMMYFUNCTION("""COMPUTED_VALUE"""),"10")</f>
        <v>10</v>
      </c>
      <c r="K3896" s="6" t="str">
        <f>IFERROR(__xludf.DUMMYFUNCTION("""COMPUTED_VALUE"""),"taylor.schiemann@2hourlearning.com")</f>
        <v>taylor.schiemann@2hourlearning.com</v>
      </c>
      <c r="L3896" s="6" t="str">
        <f>IFERROR(__xludf.DUMMYFUNCTION("""COMPUTED_VALUE"""),"SPIRE Academy")</f>
        <v>SPIRE Academy</v>
      </c>
      <c r="M3896" s="6" t="str">
        <f>IFERROR(__xludf.DUMMYFUNCTION("""COMPUTED_VALUE"""),"")</f>
        <v/>
      </c>
      <c r="N3896" s="6" t="str">
        <f>IFERROR(__xludf.DUMMYFUNCTION("""COMPUTED_VALUE"""),"")</f>
        <v/>
      </c>
      <c r="O3896" s="87" t="str">
        <f>IFERROR(__xludf.DUMMYFUNCTION("""COMPUTED_VALUE"""),"https://drive.google.com/drive/folders/10T2cTQHqEJZqE-st6uFKPoI?usp=share_link")</f>
        <v>https://drive.google.com/drive/folders/10T2cTQHqEJZqE-st6uFKPoI?usp=share_link</v>
      </c>
      <c r="P3896" s="6" t="str">
        <f>IFERROR(__xludf.DUMMYFUNCTION("""COMPUTED_VALUE"""),"Taylor Schiemann")</f>
        <v>Taylor Schiemann</v>
      </c>
      <c r="Q3896" s="6" t="str">
        <f>IFERROR(__xludf.DUMMYFUNCTION("""COMPUTED_VALUE"""),"HS")</f>
        <v>HS</v>
      </c>
      <c r="R3896" s="6">
        <f>IFERROR(__xludf.DUMMYFUNCTION("""COMPUTED_VALUE"""),0.0)</f>
        <v>0</v>
      </c>
      <c r="S3896" s="6" t="str">
        <f>IFERROR(__xludf.DUMMYFUNCTION("""COMPUTED_VALUE""")," ")</f>
        <v> </v>
      </c>
      <c r="T3896" s="6" t="str">
        <f>IFERROR(__xludf.DUMMYFUNCTION("""COMPUTED_VALUE"""),"")</f>
        <v/>
      </c>
      <c r="U3896" s="6" t="str">
        <f>IFERROR(__xludf.DUMMYFUNCTION("""COMPUTED_VALUE"""),"10")</f>
        <v>10</v>
      </c>
      <c r="V3896" s="6" t="str">
        <f>IFERROR(__xludf.DUMMYFUNCTION("""COMPUTED_VALUE"""),"English")</f>
        <v>English</v>
      </c>
      <c r="W3896" s="6" t="str">
        <f>IFERROR(__xludf.DUMMYFUNCTION("""COMPUTED_VALUE"""),"[]")</f>
        <v>[]</v>
      </c>
      <c r="X3896" s="6" t="str">
        <f>IFERROR(__xludf.DUMMYFUNCTION("""COMPUTED_VALUE"""),"Enrolled")</f>
        <v>Enrolled</v>
      </c>
    </row>
    <row r="3897">
      <c r="A3897" s="6" t="str">
        <f>IFERROR(__xludf.DUMMYFUNCTION("""COMPUTED_VALUE"""),"068-10201")</f>
        <v>068-10201</v>
      </c>
      <c r="B3897" s="6" t="str">
        <f>IFERROR(__xludf.DUMMYFUNCTION("""COMPUTED_VALUE"""),"68")</f>
        <v>68</v>
      </c>
      <c r="C3897" s="6" t="str">
        <f>IFERROR(__xludf.DUMMYFUNCTION("""COMPUTED_VALUE"""),"10201")</f>
        <v>10201</v>
      </c>
      <c r="D3897" s="6" t="str">
        <f>IFERROR(__xludf.DUMMYFUNCTION("""COMPUTED_VALUE"""),"Felipe")</f>
        <v>Felipe</v>
      </c>
      <c r="E3897" s="6" t="str">
        <f>IFERROR(__xludf.DUMMYFUNCTION("""COMPUTED_VALUE"""),"")</f>
        <v/>
      </c>
      <c r="F3897" s="6" t="str">
        <f>IFERROR(__xludf.DUMMYFUNCTION("""COMPUTED_VALUE"""),"Schuler")</f>
        <v>Schuler</v>
      </c>
      <c r="G3897" s="6" t="str">
        <f>IFERROR(__xludf.DUMMYFUNCTION("""COMPUTED_VALUE"""),"04/02/2009")</f>
        <v>04/02/2009</v>
      </c>
      <c r="H3897" s="6" t="str">
        <f>IFERROR(__xludf.DUMMYFUNCTION("""COMPUTED_VALUE"""),"Self Identify")</f>
        <v>Self Identify</v>
      </c>
      <c r="I3897" s="6" t="str">
        <f>IFERROR(__xludf.DUMMYFUNCTION("""COMPUTED_VALUE"""),"High School")</f>
        <v>High School</v>
      </c>
      <c r="J3897" s="6" t="str">
        <f>IFERROR(__xludf.DUMMYFUNCTION("""COMPUTED_VALUE"""),"11")</f>
        <v>11</v>
      </c>
      <c r="K3897" s="6" t="str">
        <f>IFERROR(__xludf.DUMMYFUNCTION("""COMPUTED_VALUE"""),"felipe.schuler@2hourlearning.com")</f>
        <v>felipe.schuler@2hourlearning.com</v>
      </c>
      <c r="L3897" s="6" t="str">
        <f>IFERROR(__xludf.DUMMYFUNCTION("""COMPUTED_VALUE"""),"SPIRE Academy")</f>
        <v>SPIRE Academy</v>
      </c>
      <c r="M3897" s="6" t="str">
        <f>IFERROR(__xludf.DUMMYFUNCTION("""COMPUTED_VALUE"""),"")</f>
        <v/>
      </c>
      <c r="N3897" s="6" t="str">
        <f>IFERROR(__xludf.DUMMYFUNCTION("""COMPUTED_VALUE"""),"")</f>
        <v/>
      </c>
      <c r="O3897" s="87" t="str">
        <f>IFERROR(__xludf.DUMMYFUNCTION("""COMPUTED_VALUE"""),"https://drive.google.com/drive/folders/10T2cTQHqEJZqE-st6uFKPoI?usp=share_link")</f>
        <v>https://drive.google.com/drive/folders/10T2cTQHqEJZqE-st6uFKPoI?usp=share_link</v>
      </c>
      <c r="P3897" s="6" t="str">
        <f>IFERROR(__xludf.DUMMYFUNCTION("""COMPUTED_VALUE"""),"Felipe Schuler")</f>
        <v>Felipe Schuler</v>
      </c>
      <c r="Q3897" s="6" t="str">
        <f>IFERROR(__xludf.DUMMYFUNCTION("""COMPUTED_VALUE"""),"HS")</f>
        <v>HS</v>
      </c>
      <c r="R3897" s="6">
        <f>IFERROR(__xludf.DUMMYFUNCTION("""COMPUTED_VALUE"""),0.0)</f>
        <v>0</v>
      </c>
      <c r="S3897" s="6" t="str">
        <f>IFERROR(__xludf.DUMMYFUNCTION("""COMPUTED_VALUE""")," ")</f>
        <v> </v>
      </c>
      <c r="T3897" s="6" t="str">
        <f>IFERROR(__xludf.DUMMYFUNCTION("""COMPUTED_VALUE"""),"")</f>
        <v/>
      </c>
      <c r="U3897" s="6" t="str">
        <f>IFERROR(__xludf.DUMMYFUNCTION("""COMPUTED_VALUE"""),"11")</f>
        <v>11</v>
      </c>
      <c r="V3897" s="6" t="str">
        <f>IFERROR(__xludf.DUMMYFUNCTION("""COMPUTED_VALUE"""),"English")</f>
        <v>English</v>
      </c>
      <c r="W3897" s="6" t="str">
        <f>IFERROR(__xludf.DUMMYFUNCTION("""COMPUTED_VALUE"""),"[]")</f>
        <v>[]</v>
      </c>
      <c r="X3897" s="6" t="str">
        <f>IFERROR(__xludf.DUMMYFUNCTION("""COMPUTED_VALUE"""),"Enrolled")</f>
        <v>Enrolled</v>
      </c>
    </row>
    <row r="3898">
      <c r="A3898" s="6" t="str">
        <f>IFERROR(__xludf.DUMMYFUNCTION("""COMPUTED_VALUE"""),"068-10202")</f>
        <v>068-10202</v>
      </c>
      <c r="B3898" s="6" t="str">
        <f>IFERROR(__xludf.DUMMYFUNCTION("""COMPUTED_VALUE"""),"68")</f>
        <v>68</v>
      </c>
      <c r="C3898" s="6" t="str">
        <f>IFERROR(__xludf.DUMMYFUNCTION("""COMPUTED_VALUE"""),"10202")</f>
        <v>10202</v>
      </c>
      <c r="D3898" s="6" t="str">
        <f>IFERROR(__xludf.DUMMYFUNCTION("""COMPUTED_VALUE"""),"Heidi")</f>
        <v>Heidi</v>
      </c>
      <c r="E3898" s="6" t="str">
        <f>IFERROR(__xludf.DUMMYFUNCTION("""COMPUTED_VALUE"""),"")</f>
        <v/>
      </c>
      <c r="F3898" s="6" t="str">
        <f>IFERROR(__xludf.DUMMYFUNCTION("""COMPUTED_VALUE"""),"Schultz")</f>
        <v>Schultz</v>
      </c>
      <c r="G3898" s="6" t="str">
        <f>IFERROR(__xludf.DUMMYFUNCTION("""COMPUTED_VALUE"""),"11/07/2011")</f>
        <v>11/07/2011</v>
      </c>
      <c r="H3898" s="6" t="str">
        <f>IFERROR(__xludf.DUMMYFUNCTION("""COMPUTED_VALUE"""),"Self Identify")</f>
        <v>Self Identify</v>
      </c>
      <c r="I3898" s="6" t="str">
        <f>IFERROR(__xludf.DUMMYFUNCTION("""COMPUTED_VALUE"""),"High School")</f>
        <v>High School</v>
      </c>
      <c r="J3898" s="6" t="str">
        <f>IFERROR(__xludf.DUMMYFUNCTION("""COMPUTED_VALUE"""),"9")</f>
        <v>9</v>
      </c>
      <c r="K3898" s="6" t="str">
        <f>IFERROR(__xludf.DUMMYFUNCTION("""COMPUTED_VALUE"""),"heidi.schultz@2hourlearning.com")</f>
        <v>heidi.schultz@2hourlearning.com</v>
      </c>
      <c r="L3898" s="6" t="str">
        <f>IFERROR(__xludf.DUMMYFUNCTION("""COMPUTED_VALUE"""),"SPIRE Academy")</f>
        <v>SPIRE Academy</v>
      </c>
      <c r="M3898" s="6" t="str">
        <f>IFERROR(__xludf.DUMMYFUNCTION("""COMPUTED_VALUE"""),"")</f>
        <v/>
      </c>
      <c r="N3898" s="6" t="str">
        <f>IFERROR(__xludf.DUMMYFUNCTION("""COMPUTED_VALUE"""),"")</f>
        <v/>
      </c>
      <c r="O3898" s="87" t="str">
        <f>IFERROR(__xludf.DUMMYFUNCTION("""COMPUTED_VALUE"""),"https://drive.google.com/drive/folders/10T2cTQHqEJZqE-st6uFKPoI?usp=share_link")</f>
        <v>https://drive.google.com/drive/folders/10T2cTQHqEJZqE-st6uFKPoI?usp=share_link</v>
      </c>
      <c r="P3898" s="6" t="str">
        <f>IFERROR(__xludf.DUMMYFUNCTION("""COMPUTED_VALUE"""),"Heidi Schultz")</f>
        <v>Heidi Schultz</v>
      </c>
      <c r="Q3898" s="6" t="str">
        <f>IFERROR(__xludf.DUMMYFUNCTION("""COMPUTED_VALUE"""),"HS")</f>
        <v>HS</v>
      </c>
      <c r="R3898" s="6">
        <f>IFERROR(__xludf.DUMMYFUNCTION("""COMPUTED_VALUE"""),0.0)</f>
        <v>0</v>
      </c>
      <c r="S3898" s="6" t="str">
        <f>IFERROR(__xludf.DUMMYFUNCTION("""COMPUTED_VALUE""")," ")</f>
        <v> </v>
      </c>
      <c r="T3898" s="6" t="str">
        <f>IFERROR(__xludf.DUMMYFUNCTION("""COMPUTED_VALUE"""),"")</f>
        <v/>
      </c>
      <c r="U3898" s="6" t="str">
        <f>IFERROR(__xludf.DUMMYFUNCTION("""COMPUTED_VALUE"""),"9")</f>
        <v>9</v>
      </c>
      <c r="V3898" s="6" t="str">
        <f>IFERROR(__xludf.DUMMYFUNCTION("""COMPUTED_VALUE"""),"English")</f>
        <v>English</v>
      </c>
      <c r="W3898" s="6" t="str">
        <f>IFERROR(__xludf.DUMMYFUNCTION("""COMPUTED_VALUE"""),"[]")</f>
        <v>[]</v>
      </c>
      <c r="X3898" s="6" t="str">
        <f>IFERROR(__xludf.DUMMYFUNCTION("""COMPUTED_VALUE"""),"Enrolled")</f>
        <v>Enrolled</v>
      </c>
    </row>
    <row r="3899">
      <c r="A3899" s="6" t="str">
        <f>IFERROR(__xludf.DUMMYFUNCTION("""COMPUTED_VALUE"""),"068-10203")</f>
        <v>068-10203</v>
      </c>
      <c r="B3899" s="6" t="str">
        <f>IFERROR(__xludf.DUMMYFUNCTION("""COMPUTED_VALUE"""),"68")</f>
        <v>68</v>
      </c>
      <c r="C3899" s="6" t="str">
        <f>IFERROR(__xludf.DUMMYFUNCTION("""COMPUTED_VALUE"""),"10203")</f>
        <v>10203</v>
      </c>
      <c r="D3899" s="6" t="str">
        <f>IFERROR(__xludf.DUMMYFUNCTION("""COMPUTED_VALUE"""),"Henrik")</f>
        <v>Henrik</v>
      </c>
      <c r="E3899" s="6" t="str">
        <f>IFERROR(__xludf.DUMMYFUNCTION("""COMPUTED_VALUE"""),"")</f>
        <v/>
      </c>
      <c r="F3899" s="6" t="str">
        <f>IFERROR(__xludf.DUMMYFUNCTION("""COMPUTED_VALUE"""),"Schultz")</f>
        <v>Schultz</v>
      </c>
      <c r="G3899" s="6" t="str">
        <f>IFERROR(__xludf.DUMMYFUNCTION("""COMPUTED_VALUE"""),"01/06/2009")</f>
        <v>01/06/2009</v>
      </c>
      <c r="H3899" s="6" t="str">
        <f>IFERROR(__xludf.DUMMYFUNCTION("""COMPUTED_VALUE"""),"Self Identify")</f>
        <v>Self Identify</v>
      </c>
      <c r="I3899" s="6" t="str">
        <f>IFERROR(__xludf.DUMMYFUNCTION("""COMPUTED_VALUE"""),"High School")</f>
        <v>High School</v>
      </c>
      <c r="J3899" s="6" t="str">
        <f>IFERROR(__xludf.DUMMYFUNCTION("""COMPUTED_VALUE"""),"10")</f>
        <v>10</v>
      </c>
      <c r="K3899" s="6" t="str">
        <f>IFERROR(__xludf.DUMMYFUNCTION("""COMPUTED_VALUE"""),"henrik.schultz@2hourlearning.com")</f>
        <v>henrik.schultz@2hourlearning.com</v>
      </c>
      <c r="L3899" s="6" t="str">
        <f>IFERROR(__xludf.DUMMYFUNCTION("""COMPUTED_VALUE"""),"SPIRE Academy")</f>
        <v>SPIRE Academy</v>
      </c>
      <c r="M3899" s="6" t="str">
        <f>IFERROR(__xludf.DUMMYFUNCTION("""COMPUTED_VALUE"""),"")</f>
        <v/>
      </c>
      <c r="N3899" s="6" t="str">
        <f>IFERROR(__xludf.DUMMYFUNCTION("""COMPUTED_VALUE"""),"")</f>
        <v/>
      </c>
      <c r="O3899" s="87" t="str">
        <f>IFERROR(__xludf.DUMMYFUNCTION("""COMPUTED_VALUE"""),"https://drive.google.com/drive/folders/10T2cTQHqEJZqE-st6uFKPoI?usp=share_link")</f>
        <v>https://drive.google.com/drive/folders/10T2cTQHqEJZqE-st6uFKPoI?usp=share_link</v>
      </c>
      <c r="P3899" s="6" t="str">
        <f>IFERROR(__xludf.DUMMYFUNCTION("""COMPUTED_VALUE"""),"Henrik Schultz")</f>
        <v>Henrik Schultz</v>
      </c>
      <c r="Q3899" s="6" t="str">
        <f>IFERROR(__xludf.DUMMYFUNCTION("""COMPUTED_VALUE"""),"HS")</f>
        <v>HS</v>
      </c>
      <c r="R3899" s="6">
        <f>IFERROR(__xludf.DUMMYFUNCTION("""COMPUTED_VALUE"""),0.0)</f>
        <v>0</v>
      </c>
      <c r="S3899" s="6" t="str">
        <f>IFERROR(__xludf.DUMMYFUNCTION("""COMPUTED_VALUE""")," ")</f>
        <v> </v>
      </c>
      <c r="T3899" s="6" t="str">
        <f>IFERROR(__xludf.DUMMYFUNCTION("""COMPUTED_VALUE"""),"")</f>
        <v/>
      </c>
      <c r="U3899" s="6" t="str">
        <f>IFERROR(__xludf.DUMMYFUNCTION("""COMPUTED_VALUE"""),"10")</f>
        <v>10</v>
      </c>
      <c r="V3899" s="6" t="str">
        <f>IFERROR(__xludf.DUMMYFUNCTION("""COMPUTED_VALUE"""),"English")</f>
        <v>English</v>
      </c>
      <c r="W3899" s="6" t="str">
        <f>IFERROR(__xludf.DUMMYFUNCTION("""COMPUTED_VALUE"""),"[]")</f>
        <v>[]</v>
      </c>
      <c r="X3899" s="6" t="str">
        <f>IFERROR(__xludf.DUMMYFUNCTION("""COMPUTED_VALUE"""),"Enrolled")</f>
        <v>Enrolled</v>
      </c>
    </row>
    <row r="3900">
      <c r="A3900" s="6" t="str">
        <f>IFERROR(__xludf.DUMMYFUNCTION("""COMPUTED_VALUE"""),"068-10204")</f>
        <v>068-10204</v>
      </c>
      <c r="B3900" s="6" t="str">
        <f>IFERROR(__xludf.DUMMYFUNCTION("""COMPUTED_VALUE"""),"68")</f>
        <v>68</v>
      </c>
      <c r="C3900" s="6" t="str">
        <f>IFERROR(__xludf.DUMMYFUNCTION("""COMPUTED_VALUE"""),"10204")</f>
        <v>10204</v>
      </c>
      <c r="D3900" s="6" t="str">
        <f>IFERROR(__xludf.DUMMYFUNCTION("""COMPUTED_VALUE"""),"Rafael")</f>
        <v>Rafael</v>
      </c>
      <c r="E3900" s="6" t="str">
        <f>IFERROR(__xludf.DUMMYFUNCTION("""COMPUTED_VALUE"""),"")</f>
        <v/>
      </c>
      <c r="F3900" s="6" t="str">
        <f>IFERROR(__xludf.DUMMYFUNCTION("""COMPUTED_VALUE"""),"Schwartze")</f>
        <v>Schwartze</v>
      </c>
      <c r="G3900" s="6" t="str">
        <f>IFERROR(__xludf.DUMMYFUNCTION("""COMPUTED_VALUE"""),"10/30/2008")</f>
        <v>10/30/2008</v>
      </c>
      <c r="H3900" s="6" t="str">
        <f>IFERROR(__xludf.DUMMYFUNCTION("""COMPUTED_VALUE"""),"Self Identify")</f>
        <v>Self Identify</v>
      </c>
      <c r="I3900" s="6" t="str">
        <f>IFERROR(__xludf.DUMMYFUNCTION("""COMPUTED_VALUE"""),"High School")</f>
        <v>High School</v>
      </c>
      <c r="J3900" s="6" t="str">
        <f>IFERROR(__xludf.DUMMYFUNCTION("""COMPUTED_VALUE"""),"11")</f>
        <v>11</v>
      </c>
      <c r="K3900" s="6" t="str">
        <f>IFERROR(__xludf.DUMMYFUNCTION("""COMPUTED_VALUE"""),"rafael.schwartze@2hourlearning.com")</f>
        <v>rafael.schwartze@2hourlearning.com</v>
      </c>
      <c r="L3900" s="6" t="str">
        <f>IFERROR(__xludf.DUMMYFUNCTION("""COMPUTED_VALUE"""),"SPIRE Academy")</f>
        <v>SPIRE Academy</v>
      </c>
      <c r="M3900" s="6" t="str">
        <f>IFERROR(__xludf.DUMMYFUNCTION("""COMPUTED_VALUE"""),"")</f>
        <v/>
      </c>
      <c r="N3900" s="6" t="str">
        <f>IFERROR(__xludf.DUMMYFUNCTION("""COMPUTED_VALUE"""),"")</f>
        <v/>
      </c>
      <c r="O3900" s="87" t="str">
        <f>IFERROR(__xludf.DUMMYFUNCTION("""COMPUTED_VALUE"""),"https://drive.google.com/drive/folders/10T2cTQHqEJZqE-st6uFKPoI?usp=share_link")</f>
        <v>https://drive.google.com/drive/folders/10T2cTQHqEJZqE-st6uFKPoI?usp=share_link</v>
      </c>
      <c r="P3900" s="6" t="str">
        <f>IFERROR(__xludf.DUMMYFUNCTION("""COMPUTED_VALUE"""),"Rafael Schwartze")</f>
        <v>Rafael Schwartze</v>
      </c>
      <c r="Q3900" s="6" t="str">
        <f>IFERROR(__xludf.DUMMYFUNCTION("""COMPUTED_VALUE"""),"HS")</f>
        <v>HS</v>
      </c>
      <c r="R3900" s="6">
        <f>IFERROR(__xludf.DUMMYFUNCTION("""COMPUTED_VALUE"""),0.0)</f>
        <v>0</v>
      </c>
      <c r="S3900" s="6" t="str">
        <f>IFERROR(__xludf.DUMMYFUNCTION("""COMPUTED_VALUE""")," ")</f>
        <v> </v>
      </c>
      <c r="T3900" s="6" t="str">
        <f>IFERROR(__xludf.DUMMYFUNCTION("""COMPUTED_VALUE"""),"")</f>
        <v/>
      </c>
      <c r="U3900" s="6" t="str">
        <f>IFERROR(__xludf.DUMMYFUNCTION("""COMPUTED_VALUE"""),"11")</f>
        <v>11</v>
      </c>
      <c r="V3900" s="6" t="str">
        <f>IFERROR(__xludf.DUMMYFUNCTION("""COMPUTED_VALUE"""),"English")</f>
        <v>English</v>
      </c>
      <c r="W3900" s="6" t="str">
        <f>IFERROR(__xludf.DUMMYFUNCTION("""COMPUTED_VALUE"""),"[]")</f>
        <v>[]</v>
      </c>
      <c r="X3900" s="6" t="str">
        <f>IFERROR(__xludf.DUMMYFUNCTION("""COMPUTED_VALUE"""),"Enrolled")</f>
        <v>Enrolled</v>
      </c>
    </row>
    <row r="3901">
      <c r="A3901" s="6" t="str">
        <f>IFERROR(__xludf.DUMMYFUNCTION("""COMPUTED_VALUE"""),"068-10205")</f>
        <v>068-10205</v>
      </c>
      <c r="B3901" s="6" t="str">
        <f>IFERROR(__xludf.DUMMYFUNCTION("""COMPUTED_VALUE"""),"68")</f>
        <v>68</v>
      </c>
      <c r="C3901" s="6" t="str">
        <f>IFERROR(__xludf.DUMMYFUNCTION("""COMPUTED_VALUE"""),"10205")</f>
        <v>10205</v>
      </c>
      <c r="D3901" s="6" t="str">
        <f>IFERROR(__xludf.DUMMYFUNCTION("""COMPUTED_VALUE"""),"Noor")</f>
        <v>Noor</v>
      </c>
      <c r="E3901" s="6" t="str">
        <f>IFERROR(__xludf.DUMMYFUNCTION("""COMPUTED_VALUE"""),"")</f>
        <v/>
      </c>
      <c r="F3901" s="6" t="str">
        <f>IFERROR(__xludf.DUMMYFUNCTION("""COMPUTED_VALUE"""),"Segarra Guillen")</f>
        <v>Segarra Guillen</v>
      </c>
      <c r="G3901" s="6" t="str">
        <f>IFERROR(__xludf.DUMMYFUNCTION("""COMPUTED_VALUE"""),"01/14/2008")</f>
        <v>01/14/2008</v>
      </c>
      <c r="H3901" s="6" t="str">
        <f>IFERROR(__xludf.DUMMYFUNCTION("""COMPUTED_VALUE"""),"Self Identify")</f>
        <v>Self Identify</v>
      </c>
      <c r="I3901" s="6" t="str">
        <f>IFERROR(__xludf.DUMMYFUNCTION("""COMPUTED_VALUE"""),"High School")</f>
        <v>High School</v>
      </c>
      <c r="J3901" s="6" t="str">
        <f>IFERROR(__xludf.DUMMYFUNCTION("""COMPUTED_VALUE"""),"12")</f>
        <v>12</v>
      </c>
      <c r="K3901" s="6" t="str">
        <f>IFERROR(__xludf.DUMMYFUNCTION("""COMPUTED_VALUE"""),"noor.segarraguillen@2hourlearning.com")</f>
        <v>noor.segarraguillen@2hourlearning.com</v>
      </c>
      <c r="L3901" s="6" t="str">
        <f>IFERROR(__xludf.DUMMYFUNCTION("""COMPUTED_VALUE"""),"SPIRE Academy")</f>
        <v>SPIRE Academy</v>
      </c>
      <c r="M3901" s="6" t="str">
        <f>IFERROR(__xludf.DUMMYFUNCTION("""COMPUTED_VALUE"""),"SWM")</f>
        <v>SWM</v>
      </c>
      <c r="N3901" s="6" t="str">
        <f>IFERROR(__xludf.DUMMYFUNCTION("""COMPUTED_VALUE"""),"")</f>
        <v/>
      </c>
      <c r="O3901" s="87" t="str">
        <f>IFERROR(__xludf.DUMMYFUNCTION("""COMPUTED_VALUE"""),"https://drive.google.com/drive/folders/10T2cTQHqEJZqE-st6uFKPoI?usp=share_link")</f>
        <v>https://drive.google.com/drive/folders/10T2cTQHqEJZqE-st6uFKPoI?usp=share_link</v>
      </c>
      <c r="P3901" s="6" t="str">
        <f>IFERROR(__xludf.DUMMYFUNCTION("""COMPUTED_VALUE"""),"Noor Segarra Guillen")</f>
        <v>Noor Segarra Guillen</v>
      </c>
      <c r="Q3901" s="6" t="str">
        <f>IFERROR(__xludf.DUMMYFUNCTION("""COMPUTED_VALUE"""),"HS")</f>
        <v>HS</v>
      </c>
      <c r="R3901" s="6">
        <f>IFERROR(__xludf.DUMMYFUNCTION("""COMPUTED_VALUE"""),0.0)</f>
        <v>0</v>
      </c>
      <c r="S3901" s="6" t="str">
        <f>IFERROR(__xludf.DUMMYFUNCTION("""COMPUTED_VALUE""")," ")</f>
        <v> </v>
      </c>
      <c r="T3901" s="6" t="str">
        <f>IFERROR(__xludf.DUMMYFUNCTION("""COMPUTED_VALUE"""),"")</f>
        <v/>
      </c>
      <c r="U3901" s="6" t="str">
        <f>IFERROR(__xludf.DUMMYFUNCTION("""COMPUTED_VALUE"""),"12")</f>
        <v>12</v>
      </c>
      <c r="V3901" s="6" t="str">
        <f>IFERROR(__xludf.DUMMYFUNCTION("""COMPUTED_VALUE"""),"en_US")</f>
        <v>en_US</v>
      </c>
      <c r="W3901" s="6" t="str">
        <f>IFERROR(__xludf.DUMMYFUNCTION("""COMPUTED_VALUE"""),"[]")</f>
        <v>[]</v>
      </c>
      <c r="X3901" s="6" t="str">
        <f>IFERROR(__xludf.DUMMYFUNCTION("""COMPUTED_VALUE"""),"Enrolled")</f>
        <v>Enrolled</v>
      </c>
    </row>
    <row r="3902">
      <c r="A3902" s="6" t="str">
        <f>IFERROR(__xludf.DUMMYFUNCTION("""COMPUTED_VALUE"""),"068-10206")</f>
        <v>068-10206</v>
      </c>
      <c r="B3902" s="6" t="str">
        <f>IFERROR(__xludf.DUMMYFUNCTION("""COMPUTED_VALUE"""),"68")</f>
        <v>68</v>
      </c>
      <c r="C3902" s="6" t="str">
        <f>IFERROR(__xludf.DUMMYFUNCTION("""COMPUTED_VALUE"""),"10206")</f>
        <v>10206</v>
      </c>
      <c r="D3902" s="6" t="str">
        <f>IFERROR(__xludf.DUMMYFUNCTION("""COMPUTED_VALUE"""),"Dario")</f>
        <v>Dario</v>
      </c>
      <c r="E3902" s="6" t="str">
        <f>IFERROR(__xludf.DUMMYFUNCTION("""COMPUTED_VALUE"""),"")</f>
        <v/>
      </c>
      <c r="F3902" s="6" t="str">
        <f>IFERROR(__xludf.DUMMYFUNCTION("""COMPUTED_VALUE"""),"Sielva")</f>
        <v>Sielva</v>
      </c>
      <c r="G3902" s="6" t="str">
        <f>IFERROR(__xludf.DUMMYFUNCTION("""COMPUTED_VALUE"""),"06/26/2009")</f>
        <v>06/26/2009</v>
      </c>
      <c r="H3902" s="6" t="str">
        <f>IFERROR(__xludf.DUMMYFUNCTION("""COMPUTED_VALUE"""),"Self Identify")</f>
        <v>Self Identify</v>
      </c>
      <c r="I3902" s="6" t="str">
        <f>IFERROR(__xludf.DUMMYFUNCTION("""COMPUTED_VALUE"""),"High School")</f>
        <v>High School</v>
      </c>
      <c r="J3902" s="6" t="str">
        <f>IFERROR(__xludf.DUMMYFUNCTION("""COMPUTED_VALUE"""),"11")</f>
        <v>11</v>
      </c>
      <c r="K3902" s="6" t="str">
        <f>IFERROR(__xludf.DUMMYFUNCTION("""COMPUTED_VALUE"""),"dario.sielva@2hourlearning.com")</f>
        <v>dario.sielva@2hourlearning.com</v>
      </c>
      <c r="L3902" s="6" t="str">
        <f>IFERROR(__xludf.DUMMYFUNCTION("""COMPUTED_VALUE"""),"SPIRE Academy")</f>
        <v>SPIRE Academy</v>
      </c>
      <c r="M3902" s="6" t="str">
        <f>IFERROR(__xludf.DUMMYFUNCTION("""COMPUTED_VALUE"""),"")</f>
        <v/>
      </c>
      <c r="N3902" s="6" t="str">
        <f>IFERROR(__xludf.DUMMYFUNCTION("""COMPUTED_VALUE"""),"")</f>
        <v/>
      </c>
      <c r="O3902" s="87" t="str">
        <f>IFERROR(__xludf.DUMMYFUNCTION("""COMPUTED_VALUE"""),"https://drive.google.com/drive/folders/10T2cTQHqEJZqE-st6uFKPoI?usp=share_link")</f>
        <v>https://drive.google.com/drive/folders/10T2cTQHqEJZqE-st6uFKPoI?usp=share_link</v>
      </c>
      <c r="P3902" s="6" t="str">
        <f>IFERROR(__xludf.DUMMYFUNCTION("""COMPUTED_VALUE"""),"Dario Sielva")</f>
        <v>Dario Sielva</v>
      </c>
      <c r="Q3902" s="6" t="str">
        <f>IFERROR(__xludf.DUMMYFUNCTION("""COMPUTED_VALUE"""),"HS")</f>
        <v>HS</v>
      </c>
      <c r="R3902" s="6">
        <f>IFERROR(__xludf.DUMMYFUNCTION("""COMPUTED_VALUE"""),0.0)</f>
        <v>0</v>
      </c>
      <c r="S3902" s="6" t="str">
        <f>IFERROR(__xludf.DUMMYFUNCTION("""COMPUTED_VALUE""")," ")</f>
        <v> </v>
      </c>
      <c r="T3902" s="6" t="str">
        <f>IFERROR(__xludf.DUMMYFUNCTION("""COMPUTED_VALUE"""),"")</f>
        <v/>
      </c>
      <c r="U3902" s="6" t="str">
        <f>IFERROR(__xludf.DUMMYFUNCTION("""COMPUTED_VALUE"""),"11")</f>
        <v>11</v>
      </c>
      <c r="V3902" s="6" t="str">
        <f>IFERROR(__xludf.DUMMYFUNCTION("""COMPUTED_VALUE"""),"English")</f>
        <v>English</v>
      </c>
      <c r="W3902" s="6" t="str">
        <f>IFERROR(__xludf.DUMMYFUNCTION("""COMPUTED_VALUE"""),"[]")</f>
        <v>[]</v>
      </c>
      <c r="X3902" s="6" t="str">
        <f>IFERROR(__xludf.DUMMYFUNCTION("""COMPUTED_VALUE"""),"Enrolled")</f>
        <v>Enrolled</v>
      </c>
    </row>
    <row r="3903">
      <c r="A3903" s="6" t="str">
        <f>IFERROR(__xludf.DUMMYFUNCTION("""COMPUTED_VALUE"""),"068-10207")</f>
        <v>068-10207</v>
      </c>
      <c r="B3903" s="6" t="str">
        <f>IFERROR(__xludf.DUMMYFUNCTION("""COMPUTED_VALUE"""),"68")</f>
        <v>68</v>
      </c>
      <c r="C3903" s="6" t="str">
        <f>IFERROR(__xludf.DUMMYFUNCTION("""COMPUTED_VALUE"""),"10207")</f>
        <v>10207</v>
      </c>
      <c r="D3903" s="6" t="str">
        <f>IFERROR(__xludf.DUMMYFUNCTION("""COMPUTED_VALUE"""),"Lawson")</f>
        <v>Lawson</v>
      </c>
      <c r="E3903" s="6" t="str">
        <f>IFERROR(__xludf.DUMMYFUNCTION("""COMPUTED_VALUE"""),"")</f>
        <v/>
      </c>
      <c r="F3903" s="6" t="str">
        <f>IFERROR(__xludf.DUMMYFUNCTION("""COMPUTED_VALUE"""),"Sparks")</f>
        <v>Sparks</v>
      </c>
      <c r="G3903" s="6" t="str">
        <f>IFERROR(__xludf.DUMMYFUNCTION("""COMPUTED_VALUE"""),"06/05/2010")</f>
        <v>06/05/2010</v>
      </c>
      <c r="H3903" s="6" t="str">
        <f>IFERROR(__xludf.DUMMYFUNCTION("""COMPUTED_VALUE"""),"Self Identify")</f>
        <v>Self Identify</v>
      </c>
      <c r="I3903" s="6" t="str">
        <f>IFERROR(__xludf.DUMMYFUNCTION("""COMPUTED_VALUE"""),"High School")</f>
        <v>High School</v>
      </c>
      <c r="J3903" s="6" t="str">
        <f>IFERROR(__xludf.DUMMYFUNCTION("""COMPUTED_VALUE"""),"9")</f>
        <v>9</v>
      </c>
      <c r="K3903" s="6" t="str">
        <f>IFERROR(__xludf.DUMMYFUNCTION("""COMPUTED_VALUE"""),"lawson.sparks@2hourlearning.com")</f>
        <v>lawson.sparks@2hourlearning.com</v>
      </c>
      <c r="L3903" s="6" t="str">
        <f>IFERROR(__xludf.DUMMYFUNCTION("""COMPUTED_VALUE"""),"SPIRE Academy")</f>
        <v>SPIRE Academy</v>
      </c>
      <c r="M3903" s="6" t="str">
        <f>IFERROR(__xludf.DUMMYFUNCTION("""COMPUTED_VALUE"""),"")</f>
        <v/>
      </c>
      <c r="N3903" s="6" t="str">
        <f>IFERROR(__xludf.DUMMYFUNCTION("""COMPUTED_VALUE"""),"")</f>
        <v/>
      </c>
      <c r="O3903" s="87" t="str">
        <f>IFERROR(__xludf.DUMMYFUNCTION("""COMPUTED_VALUE"""),"https://drive.google.com/drive/folders/10T2cTQHqEJZqE-st6uFKPoI?usp=share_link")</f>
        <v>https://drive.google.com/drive/folders/10T2cTQHqEJZqE-st6uFKPoI?usp=share_link</v>
      </c>
      <c r="P3903" s="6" t="str">
        <f>IFERROR(__xludf.DUMMYFUNCTION("""COMPUTED_VALUE"""),"Lawson Sparks")</f>
        <v>Lawson Sparks</v>
      </c>
      <c r="Q3903" s="6" t="str">
        <f>IFERROR(__xludf.DUMMYFUNCTION("""COMPUTED_VALUE"""),"HS")</f>
        <v>HS</v>
      </c>
      <c r="R3903" s="6">
        <f>IFERROR(__xludf.DUMMYFUNCTION("""COMPUTED_VALUE"""),0.0)</f>
        <v>0</v>
      </c>
      <c r="S3903" s="6" t="str">
        <f>IFERROR(__xludf.DUMMYFUNCTION("""COMPUTED_VALUE""")," ")</f>
        <v> </v>
      </c>
      <c r="T3903" s="6" t="str">
        <f>IFERROR(__xludf.DUMMYFUNCTION("""COMPUTED_VALUE"""),"")</f>
        <v/>
      </c>
      <c r="U3903" s="6" t="str">
        <f>IFERROR(__xludf.DUMMYFUNCTION("""COMPUTED_VALUE"""),"9")</f>
        <v>9</v>
      </c>
      <c r="V3903" s="6" t="str">
        <f>IFERROR(__xludf.DUMMYFUNCTION("""COMPUTED_VALUE"""),"English")</f>
        <v>English</v>
      </c>
      <c r="W3903" s="6" t="str">
        <f>IFERROR(__xludf.DUMMYFUNCTION("""COMPUTED_VALUE"""),"[]")</f>
        <v>[]</v>
      </c>
      <c r="X3903" s="6" t="str">
        <f>IFERROR(__xludf.DUMMYFUNCTION("""COMPUTED_VALUE"""),"Enrolled")</f>
        <v>Enrolled</v>
      </c>
    </row>
    <row r="3904">
      <c r="A3904" s="6" t="str">
        <f>IFERROR(__xludf.DUMMYFUNCTION("""COMPUTED_VALUE"""),"068-10208")</f>
        <v>068-10208</v>
      </c>
      <c r="B3904" s="6" t="str">
        <f>IFERROR(__xludf.DUMMYFUNCTION("""COMPUTED_VALUE"""),"68")</f>
        <v>68</v>
      </c>
      <c r="C3904" s="6" t="str">
        <f>IFERROR(__xludf.DUMMYFUNCTION("""COMPUTED_VALUE"""),"10208")</f>
        <v>10208</v>
      </c>
      <c r="D3904" s="6" t="str">
        <f>IFERROR(__xludf.DUMMYFUNCTION("""COMPUTED_VALUE"""),"Dustin")</f>
        <v>Dustin</v>
      </c>
      <c r="E3904" s="6" t="str">
        <f>IFERROR(__xludf.DUMMYFUNCTION("""COMPUTED_VALUE"""),"")</f>
        <v/>
      </c>
      <c r="F3904" s="6" t="str">
        <f>IFERROR(__xludf.DUMMYFUNCTION("""COMPUTED_VALUE"""),"Sparkes")</f>
        <v>Sparkes</v>
      </c>
      <c r="G3904" s="6" t="str">
        <f>IFERROR(__xludf.DUMMYFUNCTION("""COMPUTED_VALUE"""),"10/28/2008")</f>
        <v>10/28/2008</v>
      </c>
      <c r="H3904" s="6" t="str">
        <f>IFERROR(__xludf.DUMMYFUNCTION("""COMPUTED_VALUE"""),"Self Identify")</f>
        <v>Self Identify</v>
      </c>
      <c r="I3904" s="6" t="str">
        <f>IFERROR(__xludf.DUMMYFUNCTION("""COMPUTED_VALUE"""),"High School")</f>
        <v>High School</v>
      </c>
      <c r="J3904" s="6" t="str">
        <f>IFERROR(__xludf.DUMMYFUNCTION("""COMPUTED_VALUE"""),"11")</f>
        <v>11</v>
      </c>
      <c r="K3904" s="6" t="str">
        <f>IFERROR(__xludf.DUMMYFUNCTION("""COMPUTED_VALUE"""),"dustin.sparkes@2hourlearning.com")</f>
        <v>dustin.sparkes@2hourlearning.com</v>
      </c>
      <c r="L3904" s="6" t="str">
        <f>IFERROR(__xludf.DUMMYFUNCTION("""COMPUTED_VALUE"""),"SPIRE Academy")</f>
        <v>SPIRE Academy</v>
      </c>
      <c r="M3904" s="6" t="str">
        <f>IFERROR(__xludf.DUMMYFUNCTION("""COMPUTED_VALUE"""),"")</f>
        <v/>
      </c>
      <c r="N3904" s="6" t="str">
        <f>IFERROR(__xludf.DUMMYFUNCTION("""COMPUTED_VALUE"""),"")</f>
        <v/>
      </c>
      <c r="O3904" s="87" t="str">
        <f>IFERROR(__xludf.DUMMYFUNCTION("""COMPUTED_VALUE"""),"https://drive.google.com/drive/folders/10T2cTQHqEJZqE-st6uFKPoI?usp=share_link")</f>
        <v>https://drive.google.com/drive/folders/10T2cTQHqEJZqE-st6uFKPoI?usp=share_link</v>
      </c>
      <c r="P3904" s="6" t="str">
        <f>IFERROR(__xludf.DUMMYFUNCTION("""COMPUTED_VALUE"""),"Dustin Sparkes")</f>
        <v>Dustin Sparkes</v>
      </c>
      <c r="Q3904" s="6" t="str">
        <f>IFERROR(__xludf.DUMMYFUNCTION("""COMPUTED_VALUE"""),"HS")</f>
        <v>HS</v>
      </c>
      <c r="R3904" s="6">
        <f>IFERROR(__xludf.DUMMYFUNCTION("""COMPUTED_VALUE"""),0.0)</f>
        <v>0</v>
      </c>
      <c r="S3904" s="6" t="str">
        <f>IFERROR(__xludf.DUMMYFUNCTION("""COMPUTED_VALUE""")," ")</f>
        <v> </v>
      </c>
      <c r="T3904" s="6" t="str">
        <f>IFERROR(__xludf.DUMMYFUNCTION("""COMPUTED_VALUE"""),"")</f>
        <v/>
      </c>
      <c r="U3904" s="6" t="str">
        <f>IFERROR(__xludf.DUMMYFUNCTION("""COMPUTED_VALUE"""),"11")</f>
        <v>11</v>
      </c>
      <c r="V3904" s="6" t="str">
        <f>IFERROR(__xludf.DUMMYFUNCTION("""COMPUTED_VALUE"""),"English")</f>
        <v>English</v>
      </c>
      <c r="W3904" s="6" t="str">
        <f>IFERROR(__xludf.DUMMYFUNCTION("""COMPUTED_VALUE"""),"[]")</f>
        <v>[]</v>
      </c>
      <c r="X3904" s="6" t="str">
        <f>IFERROR(__xludf.DUMMYFUNCTION("""COMPUTED_VALUE"""),"Enrolled")</f>
        <v>Enrolled</v>
      </c>
    </row>
    <row r="3905">
      <c r="A3905" s="6" t="str">
        <f>IFERROR(__xludf.DUMMYFUNCTION("""COMPUTED_VALUE"""),"068-10209")</f>
        <v>068-10209</v>
      </c>
      <c r="B3905" s="6" t="str">
        <f>IFERROR(__xludf.DUMMYFUNCTION("""COMPUTED_VALUE"""),"68")</f>
        <v>68</v>
      </c>
      <c r="C3905" s="6" t="str">
        <f>IFERROR(__xludf.DUMMYFUNCTION("""COMPUTED_VALUE"""),"10209")</f>
        <v>10209</v>
      </c>
      <c r="D3905" s="6" t="str">
        <f>IFERROR(__xludf.DUMMYFUNCTION("""COMPUTED_VALUE"""),"Michai")</f>
        <v>Michai</v>
      </c>
      <c r="E3905" s="6" t="str">
        <f>IFERROR(__xludf.DUMMYFUNCTION("""COMPUTED_VALUE"""),"")</f>
        <v/>
      </c>
      <c r="F3905" s="6" t="str">
        <f>IFERROR(__xludf.DUMMYFUNCTION("""COMPUTED_VALUE"""),"Smith")</f>
        <v>Smith</v>
      </c>
      <c r="G3905" s="6" t="str">
        <f>IFERROR(__xludf.DUMMYFUNCTION("""COMPUTED_VALUE"""),"06/18/2008")</f>
        <v>06/18/2008</v>
      </c>
      <c r="H3905" s="6" t="str">
        <f>IFERROR(__xludf.DUMMYFUNCTION("""COMPUTED_VALUE"""),"Self Identify")</f>
        <v>Self Identify</v>
      </c>
      <c r="I3905" s="6" t="str">
        <f>IFERROR(__xludf.DUMMYFUNCTION("""COMPUTED_VALUE"""),"High School")</f>
        <v>High School</v>
      </c>
      <c r="J3905" s="6" t="str">
        <f>IFERROR(__xludf.DUMMYFUNCTION("""COMPUTED_VALUE"""),"11")</f>
        <v>11</v>
      </c>
      <c r="K3905" s="6" t="str">
        <f>IFERROR(__xludf.DUMMYFUNCTION("""COMPUTED_VALUE"""),"michai.smith@2hourlearning.com")</f>
        <v>michai.smith@2hourlearning.com</v>
      </c>
      <c r="L3905" s="6" t="str">
        <f>IFERROR(__xludf.DUMMYFUNCTION("""COMPUTED_VALUE"""),"SPIRE Academy")</f>
        <v>SPIRE Academy</v>
      </c>
      <c r="M3905" s="6" t="str">
        <f>IFERROR(__xludf.DUMMYFUNCTION("""COMPUTED_VALUE"""),"")</f>
        <v/>
      </c>
      <c r="N3905" s="6" t="str">
        <f>IFERROR(__xludf.DUMMYFUNCTION("""COMPUTED_VALUE"""),"")</f>
        <v/>
      </c>
      <c r="O3905" s="87" t="str">
        <f>IFERROR(__xludf.DUMMYFUNCTION("""COMPUTED_VALUE"""),"https://drive.google.com/drive/folders/10T2cTQHqEJZqE-st6uFKPoI?usp=share_link")</f>
        <v>https://drive.google.com/drive/folders/10T2cTQHqEJZqE-st6uFKPoI?usp=share_link</v>
      </c>
      <c r="P3905" s="6" t="str">
        <f>IFERROR(__xludf.DUMMYFUNCTION("""COMPUTED_VALUE"""),"Michai Smith")</f>
        <v>Michai Smith</v>
      </c>
      <c r="Q3905" s="6" t="str">
        <f>IFERROR(__xludf.DUMMYFUNCTION("""COMPUTED_VALUE"""),"HS")</f>
        <v>HS</v>
      </c>
      <c r="R3905" s="6">
        <f>IFERROR(__xludf.DUMMYFUNCTION("""COMPUTED_VALUE"""),0.0)</f>
        <v>0</v>
      </c>
      <c r="S3905" s="6" t="str">
        <f>IFERROR(__xludf.DUMMYFUNCTION("""COMPUTED_VALUE""")," ")</f>
        <v> </v>
      </c>
      <c r="T3905" s="6" t="str">
        <f>IFERROR(__xludf.DUMMYFUNCTION("""COMPUTED_VALUE"""),"")</f>
        <v/>
      </c>
      <c r="U3905" s="6" t="str">
        <f>IFERROR(__xludf.DUMMYFUNCTION("""COMPUTED_VALUE"""),"11")</f>
        <v>11</v>
      </c>
      <c r="V3905" s="6" t="str">
        <f>IFERROR(__xludf.DUMMYFUNCTION("""COMPUTED_VALUE"""),"English")</f>
        <v>English</v>
      </c>
      <c r="W3905" s="6" t="str">
        <f>IFERROR(__xludf.DUMMYFUNCTION("""COMPUTED_VALUE"""),"[]")</f>
        <v>[]</v>
      </c>
      <c r="X3905" s="6" t="str">
        <f>IFERROR(__xludf.DUMMYFUNCTION("""COMPUTED_VALUE"""),"Enrolled")</f>
        <v>Enrolled</v>
      </c>
    </row>
    <row r="3906">
      <c r="A3906" s="6" t="str">
        <f>IFERROR(__xludf.DUMMYFUNCTION("""COMPUTED_VALUE"""),"068-10210")</f>
        <v>068-10210</v>
      </c>
      <c r="B3906" s="6" t="str">
        <f>IFERROR(__xludf.DUMMYFUNCTION("""COMPUTED_VALUE"""),"68")</f>
        <v>68</v>
      </c>
      <c r="C3906" s="6" t="str">
        <f>IFERROR(__xludf.DUMMYFUNCTION("""COMPUTED_VALUE"""),"10210")</f>
        <v>10210</v>
      </c>
      <c r="D3906" s="6" t="str">
        <f>IFERROR(__xludf.DUMMYFUNCTION("""COMPUTED_VALUE"""),"Cameron")</f>
        <v>Cameron</v>
      </c>
      <c r="E3906" s="6" t="str">
        <f>IFERROR(__xludf.DUMMYFUNCTION("""COMPUTED_VALUE"""),"")</f>
        <v/>
      </c>
      <c r="F3906" s="6" t="str">
        <f>IFERROR(__xludf.DUMMYFUNCTION("""COMPUTED_VALUE"""),"Steele")</f>
        <v>Steele</v>
      </c>
      <c r="G3906" s="6" t="str">
        <f>IFERROR(__xludf.DUMMYFUNCTION("""COMPUTED_VALUE"""),"07/19/2009")</f>
        <v>07/19/2009</v>
      </c>
      <c r="H3906" s="6" t="str">
        <f>IFERROR(__xludf.DUMMYFUNCTION("""COMPUTED_VALUE"""),"Self Identify")</f>
        <v>Self Identify</v>
      </c>
      <c r="I3906" s="6" t="str">
        <f>IFERROR(__xludf.DUMMYFUNCTION("""COMPUTED_VALUE"""),"High School")</f>
        <v>High School</v>
      </c>
      <c r="J3906" s="6" t="str">
        <f>IFERROR(__xludf.DUMMYFUNCTION("""COMPUTED_VALUE"""),"10")</f>
        <v>10</v>
      </c>
      <c r="K3906" s="6" t="str">
        <f>IFERROR(__xludf.DUMMYFUNCTION("""COMPUTED_VALUE"""),"cameron.steele@2hourlearning.com")</f>
        <v>cameron.steele@2hourlearning.com</v>
      </c>
      <c r="L3906" s="6" t="str">
        <f>IFERROR(__xludf.DUMMYFUNCTION("""COMPUTED_VALUE"""),"SPIRE Academy")</f>
        <v>SPIRE Academy</v>
      </c>
      <c r="M3906" s="6" t="str">
        <f>IFERROR(__xludf.DUMMYFUNCTION("""COMPUTED_VALUE"""),"")</f>
        <v/>
      </c>
      <c r="N3906" s="6" t="str">
        <f>IFERROR(__xludf.DUMMYFUNCTION("""COMPUTED_VALUE"""),"")</f>
        <v/>
      </c>
      <c r="O3906" s="87" t="str">
        <f>IFERROR(__xludf.DUMMYFUNCTION("""COMPUTED_VALUE"""),"https://drive.google.com/drive/folders/10T2cTQHqEJZqE-st6uFKPoI?usp=share_link")</f>
        <v>https://drive.google.com/drive/folders/10T2cTQHqEJZqE-st6uFKPoI?usp=share_link</v>
      </c>
      <c r="P3906" s="6" t="str">
        <f>IFERROR(__xludf.DUMMYFUNCTION("""COMPUTED_VALUE"""),"Cameron Steele")</f>
        <v>Cameron Steele</v>
      </c>
      <c r="Q3906" s="6" t="str">
        <f>IFERROR(__xludf.DUMMYFUNCTION("""COMPUTED_VALUE"""),"HS")</f>
        <v>HS</v>
      </c>
      <c r="R3906" s="6">
        <f>IFERROR(__xludf.DUMMYFUNCTION("""COMPUTED_VALUE"""),0.0)</f>
        <v>0</v>
      </c>
      <c r="S3906" s="6" t="str">
        <f>IFERROR(__xludf.DUMMYFUNCTION("""COMPUTED_VALUE""")," ")</f>
        <v> </v>
      </c>
      <c r="T3906" s="6" t="str">
        <f>IFERROR(__xludf.DUMMYFUNCTION("""COMPUTED_VALUE"""),"")</f>
        <v/>
      </c>
      <c r="U3906" s="6" t="str">
        <f>IFERROR(__xludf.DUMMYFUNCTION("""COMPUTED_VALUE"""),"10")</f>
        <v>10</v>
      </c>
      <c r="V3906" s="6" t="str">
        <f>IFERROR(__xludf.DUMMYFUNCTION("""COMPUTED_VALUE"""),"English")</f>
        <v>English</v>
      </c>
      <c r="W3906" s="6" t="str">
        <f>IFERROR(__xludf.DUMMYFUNCTION("""COMPUTED_VALUE"""),"[]")</f>
        <v>[]</v>
      </c>
      <c r="X3906" s="6" t="str">
        <f>IFERROR(__xludf.DUMMYFUNCTION("""COMPUTED_VALUE"""),"Enrolled")</f>
        <v>Enrolled</v>
      </c>
    </row>
    <row r="3907">
      <c r="A3907" s="6" t="str">
        <f>IFERROR(__xludf.DUMMYFUNCTION("""COMPUTED_VALUE"""),"068-10211")</f>
        <v>068-10211</v>
      </c>
      <c r="B3907" s="6" t="str">
        <f>IFERROR(__xludf.DUMMYFUNCTION("""COMPUTED_VALUE"""),"68")</f>
        <v>68</v>
      </c>
      <c r="C3907" s="6" t="str">
        <f>IFERROR(__xludf.DUMMYFUNCTION("""COMPUTED_VALUE"""),"10211")</f>
        <v>10211</v>
      </c>
      <c r="D3907" s="6" t="str">
        <f>IFERROR(__xludf.DUMMYFUNCTION("""COMPUTED_VALUE"""),"Umika")</f>
        <v>Umika</v>
      </c>
      <c r="E3907" s="6" t="str">
        <f>IFERROR(__xludf.DUMMYFUNCTION("""COMPUTED_VALUE"""),"")</f>
        <v/>
      </c>
      <c r="F3907" s="6" t="str">
        <f>IFERROR(__xludf.DUMMYFUNCTION("""COMPUTED_VALUE"""),"Suzuki")</f>
        <v>Suzuki</v>
      </c>
      <c r="G3907" s="6" t="str">
        <f>IFERROR(__xludf.DUMMYFUNCTION("""COMPUTED_VALUE"""),"01/12/2009")</f>
        <v>01/12/2009</v>
      </c>
      <c r="H3907" s="6" t="str">
        <f>IFERROR(__xludf.DUMMYFUNCTION("""COMPUTED_VALUE"""),"Self Identify")</f>
        <v>Self Identify</v>
      </c>
      <c r="I3907" s="6" t="str">
        <f>IFERROR(__xludf.DUMMYFUNCTION("""COMPUTED_VALUE"""),"High School")</f>
        <v>High School</v>
      </c>
      <c r="J3907" s="6" t="str">
        <f>IFERROR(__xludf.DUMMYFUNCTION("""COMPUTED_VALUE"""),"10")</f>
        <v>10</v>
      </c>
      <c r="K3907" s="6" t="str">
        <f>IFERROR(__xludf.DUMMYFUNCTION("""COMPUTED_VALUE"""),"umika.suzuki@2hourlearning.com")</f>
        <v>umika.suzuki@2hourlearning.com</v>
      </c>
      <c r="L3907" s="6" t="str">
        <f>IFERROR(__xludf.DUMMYFUNCTION("""COMPUTED_VALUE"""),"SPIRE Academy")</f>
        <v>SPIRE Academy</v>
      </c>
      <c r="M3907" s="6" t="str">
        <f>IFERROR(__xludf.DUMMYFUNCTION("""COMPUTED_VALUE"""),"")</f>
        <v/>
      </c>
      <c r="N3907" s="6" t="str">
        <f>IFERROR(__xludf.DUMMYFUNCTION("""COMPUTED_VALUE"""),"")</f>
        <v/>
      </c>
      <c r="O3907" s="87" t="str">
        <f>IFERROR(__xludf.DUMMYFUNCTION("""COMPUTED_VALUE"""),"https://drive.google.com/drive/folders/10T2cTQHqEJZqE-st6uFKPoI?usp=share_link")</f>
        <v>https://drive.google.com/drive/folders/10T2cTQHqEJZqE-st6uFKPoI?usp=share_link</v>
      </c>
      <c r="P3907" s="6" t="str">
        <f>IFERROR(__xludf.DUMMYFUNCTION("""COMPUTED_VALUE"""),"Umika Suzuki")</f>
        <v>Umika Suzuki</v>
      </c>
      <c r="Q3907" s="6" t="str">
        <f>IFERROR(__xludf.DUMMYFUNCTION("""COMPUTED_VALUE"""),"HS")</f>
        <v>HS</v>
      </c>
      <c r="R3907" s="6">
        <f>IFERROR(__xludf.DUMMYFUNCTION("""COMPUTED_VALUE"""),0.0)</f>
        <v>0</v>
      </c>
      <c r="S3907" s="6" t="str">
        <f>IFERROR(__xludf.DUMMYFUNCTION("""COMPUTED_VALUE""")," ")</f>
        <v> </v>
      </c>
      <c r="T3907" s="6" t="str">
        <f>IFERROR(__xludf.DUMMYFUNCTION("""COMPUTED_VALUE"""),"")</f>
        <v/>
      </c>
      <c r="U3907" s="6" t="str">
        <f>IFERROR(__xludf.DUMMYFUNCTION("""COMPUTED_VALUE"""),"10")</f>
        <v>10</v>
      </c>
      <c r="V3907" s="6" t="str">
        <f>IFERROR(__xludf.DUMMYFUNCTION("""COMPUTED_VALUE"""),"English")</f>
        <v>English</v>
      </c>
      <c r="W3907" s="6" t="str">
        <f>IFERROR(__xludf.DUMMYFUNCTION("""COMPUTED_VALUE"""),"[]")</f>
        <v>[]</v>
      </c>
      <c r="X3907" s="6" t="str">
        <f>IFERROR(__xludf.DUMMYFUNCTION("""COMPUTED_VALUE"""),"Enrolled")</f>
        <v>Enrolled</v>
      </c>
    </row>
    <row r="3908">
      <c r="A3908" s="6" t="str">
        <f>IFERROR(__xludf.DUMMYFUNCTION("""COMPUTED_VALUE"""),"068-10212")</f>
        <v>068-10212</v>
      </c>
      <c r="B3908" s="6" t="str">
        <f>IFERROR(__xludf.DUMMYFUNCTION("""COMPUTED_VALUE"""),"68")</f>
        <v>68</v>
      </c>
      <c r="C3908" s="6" t="str">
        <f>IFERROR(__xludf.DUMMYFUNCTION("""COMPUTED_VALUE"""),"10212")</f>
        <v>10212</v>
      </c>
      <c r="D3908" s="6" t="str">
        <f>IFERROR(__xludf.DUMMYFUNCTION("""COMPUTED_VALUE"""),"Laszlo")</f>
        <v>Laszlo</v>
      </c>
      <c r="E3908" s="6" t="str">
        <f>IFERROR(__xludf.DUMMYFUNCTION("""COMPUTED_VALUE"""),"")</f>
        <v/>
      </c>
      <c r="F3908" s="6" t="str">
        <f>IFERROR(__xludf.DUMMYFUNCTION("""COMPUTED_VALUE"""),"Szatmari")</f>
        <v>Szatmari</v>
      </c>
      <c r="G3908" s="6" t="str">
        <f>IFERROR(__xludf.DUMMYFUNCTION("""COMPUTED_VALUE"""),"01/18/2009")</f>
        <v>01/18/2009</v>
      </c>
      <c r="H3908" s="6" t="str">
        <f>IFERROR(__xludf.DUMMYFUNCTION("""COMPUTED_VALUE"""),"Self Identify")</f>
        <v>Self Identify</v>
      </c>
      <c r="I3908" s="6" t="str">
        <f>IFERROR(__xludf.DUMMYFUNCTION("""COMPUTED_VALUE"""),"High School")</f>
        <v>High School</v>
      </c>
      <c r="J3908" s="6" t="str">
        <f>IFERROR(__xludf.DUMMYFUNCTION("""COMPUTED_VALUE"""),"11")</f>
        <v>11</v>
      </c>
      <c r="K3908" s="6" t="str">
        <f>IFERROR(__xludf.DUMMYFUNCTION("""COMPUTED_VALUE"""),"laszlo.szatmari@2hourlearning.com")</f>
        <v>laszlo.szatmari@2hourlearning.com</v>
      </c>
      <c r="L3908" s="6" t="str">
        <f>IFERROR(__xludf.DUMMYFUNCTION("""COMPUTED_VALUE"""),"SPIRE Academy")</f>
        <v>SPIRE Academy</v>
      </c>
      <c r="M3908" s="6" t="str">
        <f>IFERROR(__xludf.DUMMYFUNCTION("""COMPUTED_VALUE"""),"")</f>
        <v/>
      </c>
      <c r="N3908" s="6" t="str">
        <f>IFERROR(__xludf.DUMMYFUNCTION("""COMPUTED_VALUE"""),"")</f>
        <v/>
      </c>
      <c r="O3908" s="87" t="str">
        <f>IFERROR(__xludf.DUMMYFUNCTION("""COMPUTED_VALUE"""),"https://drive.google.com/drive/folders/10T2cTQHqEJZqE-st6uFKPoI?usp=share_link")</f>
        <v>https://drive.google.com/drive/folders/10T2cTQHqEJZqE-st6uFKPoI?usp=share_link</v>
      </c>
      <c r="P3908" s="6" t="str">
        <f>IFERROR(__xludf.DUMMYFUNCTION("""COMPUTED_VALUE"""),"Laszlo Szatmari")</f>
        <v>Laszlo Szatmari</v>
      </c>
      <c r="Q3908" s="6" t="str">
        <f>IFERROR(__xludf.DUMMYFUNCTION("""COMPUTED_VALUE"""),"HS")</f>
        <v>HS</v>
      </c>
      <c r="R3908" s="6">
        <f>IFERROR(__xludf.DUMMYFUNCTION("""COMPUTED_VALUE"""),0.0)</f>
        <v>0</v>
      </c>
      <c r="S3908" s="6" t="str">
        <f>IFERROR(__xludf.DUMMYFUNCTION("""COMPUTED_VALUE""")," ")</f>
        <v> </v>
      </c>
      <c r="T3908" s="6" t="str">
        <f>IFERROR(__xludf.DUMMYFUNCTION("""COMPUTED_VALUE"""),"")</f>
        <v/>
      </c>
      <c r="U3908" s="6" t="str">
        <f>IFERROR(__xludf.DUMMYFUNCTION("""COMPUTED_VALUE"""),"11")</f>
        <v>11</v>
      </c>
      <c r="V3908" s="6" t="str">
        <f>IFERROR(__xludf.DUMMYFUNCTION("""COMPUTED_VALUE"""),"English")</f>
        <v>English</v>
      </c>
      <c r="W3908" s="6" t="str">
        <f>IFERROR(__xludf.DUMMYFUNCTION("""COMPUTED_VALUE"""),"[]")</f>
        <v>[]</v>
      </c>
      <c r="X3908" s="6" t="str">
        <f>IFERROR(__xludf.DUMMYFUNCTION("""COMPUTED_VALUE"""),"Enrolled")</f>
        <v>Enrolled</v>
      </c>
    </row>
    <row r="3909">
      <c r="A3909" s="6" t="str">
        <f>IFERROR(__xludf.DUMMYFUNCTION("""COMPUTED_VALUE"""),"068-10213")</f>
        <v>068-10213</v>
      </c>
      <c r="B3909" s="6" t="str">
        <f>IFERROR(__xludf.DUMMYFUNCTION("""COMPUTED_VALUE"""),"68")</f>
        <v>68</v>
      </c>
      <c r="C3909" s="6" t="str">
        <f>IFERROR(__xludf.DUMMYFUNCTION("""COMPUTED_VALUE"""),"10213")</f>
        <v>10213</v>
      </c>
      <c r="D3909" s="6" t="str">
        <f>IFERROR(__xludf.DUMMYFUNCTION("""COMPUTED_VALUE"""),"Noa")</f>
        <v>Noa</v>
      </c>
      <c r="E3909" s="6" t="str">
        <f>IFERROR(__xludf.DUMMYFUNCTION("""COMPUTED_VALUE"""),"")</f>
        <v/>
      </c>
      <c r="F3909" s="6" t="str">
        <f>IFERROR(__xludf.DUMMYFUNCTION("""COMPUTED_VALUE"""),"Tena Lopez")</f>
        <v>Tena Lopez</v>
      </c>
      <c r="G3909" s="6" t="str">
        <f>IFERROR(__xludf.DUMMYFUNCTION("""COMPUTED_VALUE"""),"03/17/2008")</f>
        <v>03/17/2008</v>
      </c>
      <c r="H3909" s="6" t="str">
        <f>IFERROR(__xludf.DUMMYFUNCTION("""COMPUTED_VALUE"""),"Self Identify")</f>
        <v>Self Identify</v>
      </c>
      <c r="I3909" s="6" t="str">
        <f>IFERROR(__xludf.DUMMYFUNCTION("""COMPUTED_VALUE"""),"High School")</f>
        <v>High School</v>
      </c>
      <c r="J3909" s="6" t="str">
        <f>IFERROR(__xludf.DUMMYFUNCTION("""COMPUTED_VALUE"""),"12")</f>
        <v>12</v>
      </c>
      <c r="K3909" s="6" t="str">
        <f>IFERROR(__xludf.DUMMYFUNCTION("""COMPUTED_VALUE"""),"noa.tenalopez@2hourlearning.com")</f>
        <v>noa.tenalopez@2hourlearning.com</v>
      </c>
      <c r="L3909" s="6" t="str">
        <f>IFERROR(__xludf.DUMMYFUNCTION("""COMPUTED_VALUE"""),"SPIRE Academy")</f>
        <v>SPIRE Academy</v>
      </c>
      <c r="M3909" s="6" t="str">
        <f>IFERROR(__xludf.DUMMYFUNCTION("""COMPUTED_VALUE"""),"WVB")</f>
        <v>WVB</v>
      </c>
      <c r="N3909" s="6" t="str">
        <f>IFERROR(__xludf.DUMMYFUNCTION("""COMPUTED_VALUE"""),"")</f>
        <v/>
      </c>
      <c r="O3909" s="87" t="str">
        <f>IFERROR(__xludf.DUMMYFUNCTION("""COMPUTED_VALUE"""),"https://drive.google.com/drive/folders/10T2cTQHqEJZqE-st6uFKPoI?usp=share_link")</f>
        <v>https://drive.google.com/drive/folders/10T2cTQHqEJZqE-st6uFKPoI?usp=share_link</v>
      </c>
      <c r="P3909" s="6" t="str">
        <f>IFERROR(__xludf.DUMMYFUNCTION("""COMPUTED_VALUE"""),"Noa Tena Lopez")</f>
        <v>Noa Tena Lopez</v>
      </c>
      <c r="Q3909" s="6" t="str">
        <f>IFERROR(__xludf.DUMMYFUNCTION("""COMPUTED_VALUE"""),"HS")</f>
        <v>HS</v>
      </c>
      <c r="R3909" s="6">
        <f>IFERROR(__xludf.DUMMYFUNCTION("""COMPUTED_VALUE"""),0.0)</f>
        <v>0</v>
      </c>
      <c r="S3909" s="6" t="str">
        <f>IFERROR(__xludf.DUMMYFUNCTION("""COMPUTED_VALUE""")," ")</f>
        <v> </v>
      </c>
      <c r="T3909" s="6" t="str">
        <f>IFERROR(__xludf.DUMMYFUNCTION("""COMPUTED_VALUE"""),"")</f>
        <v/>
      </c>
      <c r="U3909" s="6" t="str">
        <f>IFERROR(__xludf.DUMMYFUNCTION("""COMPUTED_VALUE"""),"12")</f>
        <v>12</v>
      </c>
      <c r="V3909" s="6" t="str">
        <f>IFERROR(__xludf.DUMMYFUNCTION("""COMPUTED_VALUE"""),"en_US")</f>
        <v>en_US</v>
      </c>
      <c r="W3909" s="6" t="str">
        <f>IFERROR(__xludf.DUMMYFUNCTION("""COMPUTED_VALUE"""),"[]")</f>
        <v>[]</v>
      </c>
      <c r="X3909" s="6" t="str">
        <f>IFERROR(__xludf.DUMMYFUNCTION("""COMPUTED_VALUE"""),"Enrolled")</f>
        <v>Enrolled</v>
      </c>
    </row>
    <row r="3910">
      <c r="A3910" s="6" t="str">
        <f>IFERROR(__xludf.DUMMYFUNCTION("""COMPUTED_VALUE"""),"068-10214")</f>
        <v>068-10214</v>
      </c>
      <c r="B3910" s="6" t="str">
        <f>IFERROR(__xludf.DUMMYFUNCTION("""COMPUTED_VALUE"""),"68")</f>
        <v>68</v>
      </c>
      <c r="C3910" s="6" t="str">
        <f>IFERROR(__xludf.DUMMYFUNCTION("""COMPUTED_VALUE"""),"10214")</f>
        <v>10214</v>
      </c>
      <c r="D3910" s="6" t="str">
        <f>IFERROR(__xludf.DUMMYFUNCTION("""COMPUTED_VALUE"""),"Jenna Marie")</f>
        <v>Jenna Marie</v>
      </c>
      <c r="E3910" s="6" t="str">
        <f>IFERROR(__xludf.DUMMYFUNCTION("""COMPUTED_VALUE"""),"")</f>
        <v/>
      </c>
      <c r="F3910" s="6" t="str">
        <f>IFERROR(__xludf.DUMMYFUNCTION("""COMPUTED_VALUE"""),"Thomas")</f>
        <v>Thomas</v>
      </c>
      <c r="G3910" s="6" t="str">
        <f>IFERROR(__xludf.DUMMYFUNCTION("""COMPUTED_VALUE"""),"04/22/2008")</f>
        <v>04/22/2008</v>
      </c>
      <c r="H3910" s="6" t="str">
        <f>IFERROR(__xludf.DUMMYFUNCTION("""COMPUTED_VALUE"""),"Self Identify")</f>
        <v>Self Identify</v>
      </c>
      <c r="I3910" s="6" t="str">
        <f>IFERROR(__xludf.DUMMYFUNCTION("""COMPUTED_VALUE"""),"High School")</f>
        <v>High School</v>
      </c>
      <c r="J3910" s="6" t="str">
        <f>IFERROR(__xludf.DUMMYFUNCTION("""COMPUTED_VALUE"""),"12")</f>
        <v>12</v>
      </c>
      <c r="K3910" s="6" t="str">
        <f>IFERROR(__xludf.DUMMYFUNCTION("""COMPUTED_VALUE"""),"jennamarie.thomas@2hourlearning.com")</f>
        <v>jennamarie.thomas@2hourlearning.com</v>
      </c>
      <c r="L3910" s="6" t="str">
        <f>IFERROR(__xludf.DUMMYFUNCTION("""COMPUTED_VALUE"""),"SPIRE Academy")</f>
        <v>SPIRE Academy</v>
      </c>
      <c r="M3910" s="6" t="str">
        <f>IFERROR(__xludf.DUMMYFUNCTION("""COMPUTED_VALUE"""),"")</f>
        <v/>
      </c>
      <c r="N3910" s="6" t="str">
        <f>IFERROR(__xludf.DUMMYFUNCTION("""COMPUTED_VALUE"""),"")</f>
        <v/>
      </c>
      <c r="O3910" s="87" t="str">
        <f>IFERROR(__xludf.DUMMYFUNCTION("""COMPUTED_VALUE"""),"https://drive.google.com/drive/folders/10T2cTQHqEJZqE-st6uFKPoI?usp=share_link")</f>
        <v>https://drive.google.com/drive/folders/10T2cTQHqEJZqE-st6uFKPoI?usp=share_link</v>
      </c>
      <c r="P3910" s="6" t="str">
        <f>IFERROR(__xludf.DUMMYFUNCTION("""COMPUTED_VALUE"""),"Jenna Marie Thomas")</f>
        <v>Jenna Marie Thomas</v>
      </c>
      <c r="Q3910" s="6" t="str">
        <f>IFERROR(__xludf.DUMMYFUNCTION("""COMPUTED_VALUE"""),"HS")</f>
        <v>HS</v>
      </c>
      <c r="R3910" s="6">
        <f>IFERROR(__xludf.DUMMYFUNCTION("""COMPUTED_VALUE"""),0.0)</f>
        <v>0</v>
      </c>
      <c r="S3910" s="6" t="str">
        <f>IFERROR(__xludf.DUMMYFUNCTION("""COMPUTED_VALUE""")," ")</f>
        <v> </v>
      </c>
      <c r="T3910" s="6" t="str">
        <f>IFERROR(__xludf.DUMMYFUNCTION("""COMPUTED_VALUE"""),"")</f>
        <v/>
      </c>
      <c r="U3910" s="6" t="str">
        <f>IFERROR(__xludf.DUMMYFUNCTION("""COMPUTED_VALUE"""),"12")</f>
        <v>12</v>
      </c>
      <c r="V3910" s="6" t="str">
        <f>IFERROR(__xludf.DUMMYFUNCTION("""COMPUTED_VALUE"""),"English")</f>
        <v>English</v>
      </c>
      <c r="W3910" s="6" t="str">
        <f>IFERROR(__xludf.DUMMYFUNCTION("""COMPUTED_VALUE"""),"[]")</f>
        <v>[]</v>
      </c>
      <c r="X3910" s="6" t="str">
        <f>IFERROR(__xludf.DUMMYFUNCTION("""COMPUTED_VALUE"""),"Enrolled")</f>
        <v>Enrolled</v>
      </c>
    </row>
    <row r="3911">
      <c r="A3911" s="6" t="str">
        <f>IFERROR(__xludf.DUMMYFUNCTION("""COMPUTED_VALUE"""),"068-10215")</f>
        <v>068-10215</v>
      </c>
      <c r="B3911" s="6" t="str">
        <f>IFERROR(__xludf.DUMMYFUNCTION("""COMPUTED_VALUE"""),"68")</f>
        <v>68</v>
      </c>
      <c r="C3911" s="6" t="str">
        <f>IFERROR(__xludf.DUMMYFUNCTION("""COMPUTED_VALUE"""),"10215")</f>
        <v>10215</v>
      </c>
      <c r="D3911" s="6" t="str">
        <f>IFERROR(__xludf.DUMMYFUNCTION("""COMPUTED_VALUE"""),"Asier")</f>
        <v>Asier</v>
      </c>
      <c r="E3911" s="6" t="str">
        <f>IFERROR(__xludf.DUMMYFUNCTION("""COMPUTED_VALUE"""),"")</f>
        <v/>
      </c>
      <c r="F3911" s="6" t="str">
        <f>IFERROR(__xludf.DUMMYFUNCTION("""COMPUTED_VALUE"""),"Tubio")</f>
        <v>Tubio</v>
      </c>
      <c r="G3911" s="6" t="str">
        <f>IFERROR(__xludf.DUMMYFUNCTION("""COMPUTED_VALUE"""),"05/02/2009")</f>
        <v>05/02/2009</v>
      </c>
      <c r="H3911" s="6" t="str">
        <f>IFERROR(__xludf.DUMMYFUNCTION("""COMPUTED_VALUE"""),"Self Identify")</f>
        <v>Self Identify</v>
      </c>
      <c r="I3911" s="6" t="str">
        <f>IFERROR(__xludf.DUMMYFUNCTION("""COMPUTED_VALUE"""),"High School")</f>
        <v>High School</v>
      </c>
      <c r="J3911" s="6" t="str">
        <f>IFERROR(__xludf.DUMMYFUNCTION("""COMPUTED_VALUE"""),"11")</f>
        <v>11</v>
      </c>
      <c r="K3911" s="6" t="str">
        <f>IFERROR(__xludf.DUMMYFUNCTION("""COMPUTED_VALUE"""),"asier.tubio@2hourlearning.com")</f>
        <v>asier.tubio@2hourlearning.com</v>
      </c>
      <c r="L3911" s="6" t="str">
        <f>IFERROR(__xludf.DUMMYFUNCTION("""COMPUTED_VALUE"""),"SPIRE Academy")</f>
        <v>SPIRE Academy</v>
      </c>
      <c r="M3911" s="6" t="str">
        <f>IFERROR(__xludf.DUMMYFUNCTION("""COMPUTED_VALUE"""),"")</f>
        <v/>
      </c>
      <c r="N3911" s="6" t="str">
        <f>IFERROR(__xludf.DUMMYFUNCTION("""COMPUTED_VALUE"""),"")</f>
        <v/>
      </c>
      <c r="O3911" s="87" t="str">
        <f>IFERROR(__xludf.DUMMYFUNCTION("""COMPUTED_VALUE"""),"https://drive.google.com/drive/folders/10T2cTQHqEJZqE-st6uFKPoI?usp=share_link")</f>
        <v>https://drive.google.com/drive/folders/10T2cTQHqEJZqE-st6uFKPoI?usp=share_link</v>
      </c>
      <c r="P3911" s="6" t="str">
        <f>IFERROR(__xludf.DUMMYFUNCTION("""COMPUTED_VALUE"""),"Asier Tubio")</f>
        <v>Asier Tubio</v>
      </c>
      <c r="Q3911" s="6" t="str">
        <f>IFERROR(__xludf.DUMMYFUNCTION("""COMPUTED_VALUE"""),"HS")</f>
        <v>HS</v>
      </c>
      <c r="R3911" s="6">
        <f>IFERROR(__xludf.DUMMYFUNCTION("""COMPUTED_VALUE"""),0.0)</f>
        <v>0</v>
      </c>
      <c r="S3911" s="6" t="str">
        <f>IFERROR(__xludf.DUMMYFUNCTION("""COMPUTED_VALUE""")," ")</f>
        <v> </v>
      </c>
      <c r="T3911" s="6" t="str">
        <f>IFERROR(__xludf.DUMMYFUNCTION("""COMPUTED_VALUE"""),"")</f>
        <v/>
      </c>
      <c r="U3911" s="6" t="str">
        <f>IFERROR(__xludf.DUMMYFUNCTION("""COMPUTED_VALUE"""),"11")</f>
        <v>11</v>
      </c>
      <c r="V3911" s="6" t="str">
        <f>IFERROR(__xludf.DUMMYFUNCTION("""COMPUTED_VALUE"""),"English")</f>
        <v>English</v>
      </c>
      <c r="W3911" s="6" t="str">
        <f>IFERROR(__xludf.DUMMYFUNCTION("""COMPUTED_VALUE"""),"[]")</f>
        <v>[]</v>
      </c>
      <c r="X3911" s="6" t="str">
        <f>IFERROR(__xludf.DUMMYFUNCTION("""COMPUTED_VALUE"""),"Enrolled")</f>
        <v>Enrolled</v>
      </c>
    </row>
    <row r="3912">
      <c r="A3912" s="6" t="str">
        <f>IFERROR(__xludf.DUMMYFUNCTION("""COMPUTED_VALUE"""),"068-10216")</f>
        <v>068-10216</v>
      </c>
      <c r="B3912" s="6" t="str">
        <f>IFERROR(__xludf.DUMMYFUNCTION("""COMPUTED_VALUE"""),"68")</f>
        <v>68</v>
      </c>
      <c r="C3912" s="6" t="str">
        <f>IFERROR(__xludf.DUMMYFUNCTION("""COMPUTED_VALUE"""),"10216")</f>
        <v>10216</v>
      </c>
      <c r="D3912" s="6" t="str">
        <f>IFERROR(__xludf.DUMMYFUNCTION("""COMPUTED_VALUE"""),"Kevin")</f>
        <v>Kevin</v>
      </c>
      <c r="E3912" s="6" t="str">
        <f>IFERROR(__xludf.DUMMYFUNCTION("""COMPUTED_VALUE"""),"")</f>
        <v/>
      </c>
      <c r="F3912" s="6" t="str">
        <f>IFERROR(__xludf.DUMMYFUNCTION("""COMPUTED_VALUE"""),"VanBuskirk")</f>
        <v>VanBuskirk</v>
      </c>
      <c r="G3912" s="6" t="str">
        <f>IFERROR(__xludf.DUMMYFUNCTION("""COMPUTED_VALUE"""),"03/03/2010")</f>
        <v>03/03/2010</v>
      </c>
      <c r="H3912" s="6" t="str">
        <f>IFERROR(__xludf.DUMMYFUNCTION("""COMPUTED_VALUE"""),"Self Identify")</f>
        <v>Self Identify</v>
      </c>
      <c r="I3912" s="6" t="str">
        <f>IFERROR(__xludf.DUMMYFUNCTION("""COMPUTED_VALUE"""),"High School")</f>
        <v>High School</v>
      </c>
      <c r="J3912" s="6" t="str">
        <f>IFERROR(__xludf.DUMMYFUNCTION("""COMPUTED_VALUE"""),"10")</f>
        <v>10</v>
      </c>
      <c r="K3912" s="6" t="str">
        <f>IFERROR(__xludf.DUMMYFUNCTION("""COMPUTED_VALUE"""),"kevin.vanbuskirk@2hourlearning.com")</f>
        <v>kevin.vanbuskirk@2hourlearning.com</v>
      </c>
      <c r="L3912" s="6" t="str">
        <f>IFERROR(__xludf.DUMMYFUNCTION("""COMPUTED_VALUE"""),"SPIRE Academy")</f>
        <v>SPIRE Academy</v>
      </c>
      <c r="M3912" s="6" t="str">
        <f>IFERROR(__xludf.DUMMYFUNCTION("""COMPUTED_VALUE"""),"")</f>
        <v/>
      </c>
      <c r="N3912" s="6" t="str">
        <f>IFERROR(__xludf.DUMMYFUNCTION("""COMPUTED_VALUE"""),"")</f>
        <v/>
      </c>
      <c r="O3912" s="87" t="str">
        <f>IFERROR(__xludf.DUMMYFUNCTION("""COMPUTED_VALUE"""),"https://drive.google.com/drive/folders/10T2cTQHqEJZqE-st6uFKPoI?usp=share_link")</f>
        <v>https://drive.google.com/drive/folders/10T2cTQHqEJZqE-st6uFKPoI?usp=share_link</v>
      </c>
      <c r="P3912" s="6" t="str">
        <f>IFERROR(__xludf.DUMMYFUNCTION("""COMPUTED_VALUE"""),"Kevin VanBuskirk")</f>
        <v>Kevin VanBuskirk</v>
      </c>
      <c r="Q3912" s="6" t="str">
        <f>IFERROR(__xludf.DUMMYFUNCTION("""COMPUTED_VALUE"""),"HS")</f>
        <v>HS</v>
      </c>
      <c r="R3912" s="6">
        <f>IFERROR(__xludf.DUMMYFUNCTION("""COMPUTED_VALUE"""),0.0)</f>
        <v>0</v>
      </c>
      <c r="S3912" s="6" t="str">
        <f>IFERROR(__xludf.DUMMYFUNCTION("""COMPUTED_VALUE""")," ")</f>
        <v> </v>
      </c>
      <c r="T3912" s="6" t="str">
        <f>IFERROR(__xludf.DUMMYFUNCTION("""COMPUTED_VALUE"""),"")</f>
        <v/>
      </c>
      <c r="U3912" s="6" t="str">
        <f>IFERROR(__xludf.DUMMYFUNCTION("""COMPUTED_VALUE"""),"10")</f>
        <v>10</v>
      </c>
      <c r="V3912" s="6" t="str">
        <f>IFERROR(__xludf.DUMMYFUNCTION("""COMPUTED_VALUE"""),"English")</f>
        <v>English</v>
      </c>
      <c r="W3912" s="6" t="str">
        <f>IFERROR(__xludf.DUMMYFUNCTION("""COMPUTED_VALUE"""),"[]")</f>
        <v>[]</v>
      </c>
      <c r="X3912" s="6" t="str">
        <f>IFERROR(__xludf.DUMMYFUNCTION("""COMPUTED_VALUE"""),"Enrolled")</f>
        <v>Enrolled</v>
      </c>
    </row>
    <row r="3913">
      <c r="A3913" s="6" t="str">
        <f>IFERROR(__xludf.DUMMYFUNCTION("""COMPUTED_VALUE"""),"068-10217")</f>
        <v>068-10217</v>
      </c>
      <c r="B3913" s="6" t="str">
        <f>IFERROR(__xludf.DUMMYFUNCTION("""COMPUTED_VALUE"""),"68")</f>
        <v>68</v>
      </c>
      <c r="C3913" s="6" t="str">
        <f>IFERROR(__xludf.DUMMYFUNCTION("""COMPUTED_VALUE"""),"10217")</f>
        <v>10217</v>
      </c>
      <c r="D3913" s="6" t="str">
        <f>IFERROR(__xludf.DUMMYFUNCTION("""COMPUTED_VALUE"""),"Nacho")</f>
        <v>Nacho</v>
      </c>
      <c r="E3913" s="6" t="str">
        <f>IFERROR(__xludf.DUMMYFUNCTION("""COMPUTED_VALUE"""),"")</f>
        <v/>
      </c>
      <c r="F3913" s="6" t="str">
        <f>IFERROR(__xludf.DUMMYFUNCTION("""COMPUTED_VALUE"""),"Varon")</f>
        <v>Varon</v>
      </c>
      <c r="G3913" s="6" t="str">
        <f>IFERROR(__xludf.DUMMYFUNCTION("""COMPUTED_VALUE"""),"12/24/2007")</f>
        <v>12/24/2007</v>
      </c>
      <c r="H3913" s="6" t="str">
        <f>IFERROR(__xludf.DUMMYFUNCTION("""COMPUTED_VALUE"""),"Self Identify")</f>
        <v>Self Identify</v>
      </c>
      <c r="I3913" s="6" t="str">
        <f>IFERROR(__xludf.DUMMYFUNCTION("""COMPUTED_VALUE"""),"High School")</f>
        <v>High School</v>
      </c>
      <c r="J3913" s="6" t="str">
        <f>IFERROR(__xludf.DUMMYFUNCTION("""COMPUTED_VALUE"""),"12")</f>
        <v>12</v>
      </c>
      <c r="K3913" s="6" t="str">
        <f>IFERROR(__xludf.DUMMYFUNCTION("""COMPUTED_VALUE"""),"nacho.varon@2hourlearning.com")</f>
        <v>nacho.varon@2hourlearning.com</v>
      </c>
      <c r="L3913" s="6" t="str">
        <f>IFERROR(__xludf.DUMMYFUNCTION("""COMPUTED_VALUE"""),"SPIRE Academy")</f>
        <v>SPIRE Academy</v>
      </c>
      <c r="M3913" s="6" t="str">
        <f>IFERROR(__xludf.DUMMYFUNCTION("""COMPUTED_VALUE"""),"")</f>
        <v/>
      </c>
      <c r="N3913" s="6" t="str">
        <f>IFERROR(__xludf.DUMMYFUNCTION("""COMPUTED_VALUE"""),"")</f>
        <v/>
      </c>
      <c r="O3913" s="87" t="str">
        <f>IFERROR(__xludf.DUMMYFUNCTION("""COMPUTED_VALUE"""),"https://drive.google.com/drive/folders/10T2cTQHqEJZqE-st6uFKPoI?usp=share_link")</f>
        <v>https://drive.google.com/drive/folders/10T2cTQHqEJZqE-st6uFKPoI?usp=share_link</v>
      </c>
      <c r="P3913" s="6" t="str">
        <f>IFERROR(__xludf.DUMMYFUNCTION("""COMPUTED_VALUE"""),"Nacho Varon")</f>
        <v>Nacho Varon</v>
      </c>
      <c r="Q3913" s="6" t="str">
        <f>IFERROR(__xludf.DUMMYFUNCTION("""COMPUTED_VALUE"""),"HS")</f>
        <v>HS</v>
      </c>
      <c r="R3913" s="6">
        <f>IFERROR(__xludf.DUMMYFUNCTION("""COMPUTED_VALUE"""),0.0)</f>
        <v>0</v>
      </c>
      <c r="S3913" s="6" t="str">
        <f>IFERROR(__xludf.DUMMYFUNCTION("""COMPUTED_VALUE""")," ")</f>
        <v> </v>
      </c>
      <c r="T3913" s="6" t="str">
        <f>IFERROR(__xludf.DUMMYFUNCTION("""COMPUTED_VALUE"""),"")</f>
        <v/>
      </c>
      <c r="U3913" s="6" t="str">
        <f>IFERROR(__xludf.DUMMYFUNCTION("""COMPUTED_VALUE"""),"12")</f>
        <v>12</v>
      </c>
      <c r="V3913" s="6" t="str">
        <f>IFERROR(__xludf.DUMMYFUNCTION("""COMPUTED_VALUE"""),"English")</f>
        <v>English</v>
      </c>
      <c r="W3913" s="6" t="str">
        <f>IFERROR(__xludf.DUMMYFUNCTION("""COMPUTED_VALUE"""),"[]")</f>
        <v>[]</v>
      </c>
      <c r="X3913" s="6" t="str">
        <f>IFERROR(__xludf.DUMMYFUNCTION("""COMPUTED_VALUE"""),"Enrolled")</f>
        <v>Enrolled</v>
      </c>
    </row>
    <row r="3914">
      <c r="A3914" s="6" t="str">
        <f>IFERROR(__xludf.DUMMYFUNCTION("""COMPUTED_VALUE"""),"068-10218")</f>
        <v>068-10218</v>
      </c>
      <c r="B3914" s="6" t="str">
        <f>IFERROR(__xludf.DUMMYFUNCTION("""COMPUTED_VALUE"""),"68")</f>
        <v>68</v>
      </c>
      <c r="C3914" s="6" t="str">
        <f>IFERROR(__xludf.DUMMYFUNCTION("""COMPUTED_VALUE"""),"10218")</f>
        <v>10218</v>
      </c>
      <c r="D3914" s="6" t="str">
        <f>IFERROR(__xludf.DUMMYFUNCTION("""COMPUTED_VALUE"""),"Daniel")</f>
        <v>Daniel</v>
      </c>
      <c r="E3914" s="6" t="str">
        <f>IFERROR(__xludf.DUMMYFUNCTION("""COMPUTED_VALUE"""),"")</f>
        <v/>
      </c>
      <c r="F3914" s="6" t="str">
        <f>IFERROR(__xludf.DUMMYFUNCTION("""COMPUTED_VALUE"""),"Verebi")</f>
        <v>Verebi</v>
      </c>
      <c r="G3914" s="6" t="str">
        <f>IFERROR(__xludf.DUMMYFUNCTION("""COMPUTED_VALUE"""),"03/15/2009")</f>
        <v>03/15/2009</v>
      </c>
      <c r="H3914" s="6" t="str">
        <f>IFERROR(__xludf.DUMMYFUNCTION("""COMPUTED_VALUE"""),"Self Identify")</f>
        <v>Self Identify</v>
      </c>
      <c r="I3914" s="6" t="str">
        <f>IFERROR(__xludf.DUMMYFUNCTION("""COMPUTED_VALUE"""),"High School")</f>
        <v>High School</v>
      </c>
      <c r="J3914" s="6" t="str">
        <f>IFERROR(__xludf.DUMMYFUNCTION("""COMPUTED_VALUE"""),"11")</f>
        <v>11</v>
      </c>
      <c r="K3914" s="6" t="str">
        <f>IFERROR(__xludf.DUMMYFUNCTION("""COMPUTED_VALUE"""),"daniel.verebi@2hourlearning.com")</f>
        <v>daniel.verebi@2hourlearning.com</v>
      </c>
      <c r="L3914" s="6" t="str">
        <f>IFERROR(__xludf.DUMMYFUNCTION("""COMPUTED_VALUE"""),"SPIRE Academy")</f>
        <v>SPIRE Academy</v>
      </c>
      <c r="M3914" s="6" t="str">
        <f>IFERROR(__xludf.DUMMYFUNCTION("""COMPUTED_VALUE"""),"")</f>
        <v/>
      </c>
      <c r="N3914" s="6" t="str">
        <f>IFERROR(__xludf.DUMMYFUNCTION("""COMPUTED_VALUE"""),"")</f>
        <v/>
      </c>
      <c r="O3914" s="87" t="str">
        <f>IFERROR(__xludf.DUMMYFUNCTION("""COMPUTED_VALUE"""),"https://drive.google.com/drive/folders/10T2cTQHqEJZqE-st6uFKPoI?usp=share_link")</f>
        <v>https://drive.google.com/drive/folders/10T2cTQHqEJZqE-st6uFKPoI?usp=share_link</v>
      </c>
      <c r="P3914" s="6" t="str">
        <f>IFERROR(__xludf.DUMMYFUNCTION("""COMPUTED_VALUE"""),"Daniel Verebi")</f>
        <v>Daniel Verebi</v>
      </c>
      <c r="Q3914" s="6" t="str">
        <f>IFERROR(__xludf.DUMMYFUNCTION("""COMPUTED_VALUE"""),"HS")</f>
        <v>HS</v>
      </c>
      <c r="R3914" s="6">
        <f>IFERROR(__xludf.DUMMYFUNCTION("""COMPUTED_VALUE"""),0.0)</f>
        <v>0</v>
      </c>
      <c r="S3914" s="6" t="str">
        <f>IFERROR(__xludf.DUMMYFUNCTION("""COMPUTED_VALUE""")," ")</f>
        <v> </v>
      </c>
      <c r="T3914" s="6" t="str">
        <f>IFERROR(__xludf.DUMMYFUNCTION("""COMPUTED_VALUE"""),"")</f>
        <v/>
      </c>
      <c r="U3914" s="6" t="str">
        <f>IFERROR(__xludf.DUMMYFUNCTION("""COMPUTED_VALUE"""),"11")</f>
        <v>11</v>
      </c>
      <c r="V3914" s="6" t="str">
        <f>IFERROR(__xludf.DUMMYFUNCTION("""COMPUTED_VALUE"""),"English")</f>
        <v>English</v>
      </c>
      <c r="W3914" s="6" t="str">
        <f>IFERROR(__xludf.DUMMYFUNCTION("""COMPUTED_VALUE"""),"[]")</f>
        <v>[]</v>
      </c>
      <c r="X3914" s="6" t="str">
        <f>IFERROR(__xludf.DUMMYFUNCTION("""COMPUTED_VALUE"""),"Enrolled")</f>
        <v>Enrolled</v>
      </c>
    </row>
    <row r="3915">
      <c r="A3915" s="6" t="str">
        <f>IFERROR(__xludf.DUMMYFUNCTION("""COMPUTED_VALUE"""),"068-10219")</f>
        <v>068-10219</v>
      </c>
      <c r="B3915" s="6" t="str">
        <f>IFERROR(__xludf.DUMMYFUNCTION("""COMPUTED_VALUE"""),"68")</f>
        <v>68</v>
      </c>
      <c r="C3915" s="6" t="str">
        <f>IFERROR(__xludf.DUMMYFUNCTION("""COMPUTED_VALUE"""),"10219")</f>
        <v>10219</v>
      </c>
      <c r="D3915" s="6" t="str">
        <f>IFERROR(__xludf.DUMMYFUNCTION("""COMPUTED_VALUE"""),"Samuel")</f>
        <v>Samuel</v>
      </c>
      <c r="E3915" s="6" t="str">
        <f>IFERROR(__xludf.DUMMYFUNCTION("""COMPUTED_VALUE"""),"")</f>
        <v/>
      </c>
      <c r="F3915" s="6" t="str">
        <f>IFERROR(__xludf.DUMMYFUNCTION("""COMPUTED_VALUE"""),"Viera")</f>
        <v>Viera</v>
      </c>
      <c r="G3915" s="6" t="str">
        <f>IFERROR(__xludf.DUMMYFUNCTION("""COMPUTED_VALUE"""),"01/09/2010")</f>
        <v>01/09/2010</v>
      </c>
      <c r="H3915" s="6" t="str">
        <f>IFERROR(__xludf.DUMMYFUNCTION("""COMPUTED_VALUE"""),"Self Identify")</f>
        <v>Self Identify</v>
      </c>
      <c r="I3915" s="6" t="str">
        <f>IFERROR(__xludf.DUMMYFUNCTION("""COMPUTED_VALUE"""),"High School")</f>
        <v>High School</v>
      </c>
      <c r="J3915" s="6" t="str">
        <f>IFERROR(__xludf.DUMMYFUNCTION("""COMPUTED_VALUE"""),"9")</f>
        <v>9</v>
      </c>
      <c r="K3915" s="6" t="str">
        <f>IFERROR(__xludf.DUMMYFUNCTION("""COMPUTED_VALUE"""),"samuel.viera@2hourlearning.com")</f>
        <v>samuel.viera@2hourlearning.com</v>
      </c>
      <c r="L3915" s="6" t="str">
        <f>IFERROR(__xludf.DUMMYFUNCTION("""COMPUTED_VALUE"""),"SPIRE Academy")</f>
        <v>SPIRE Academy</v>
      </c>
      <c r="M3915" s="6" t="str">
        <f>IFERROR(__xludf.DUMMYFUNCTION("""COMPUTED_VALUE"""),"")</f>
        <v/>
      </c>
      <c r="N3915" s="6" t="str">
        <f>IFERROR(__xludf.DUMMYFUNCTION("""COMPUTED_VALUE"""),"")</f>
        <v/>
      </c>
      <c r="O3915" s="87" t="str">
        <f>IFERROR(__xludf.DUMMYFUNCTION("""COMPUTED_VALUE"""),"https://drive.google.com/drive/folders/10T2cTQHqEJZqE-st6uFKPoI?usp=share_link")</f>
        <v>https://drive.google.com/drive/folders/10T2cTQHqEJZqE-st6uFKPoI?usp=share_link</v>
      </c>
      <c r="P3915" s="6" t="str">
        <f>IFERROR(__xludf.DUMMYFUNCTION("""COMPUTED_VALUE"""),"Samuel Viera")</f>
        <v>Samuel Viera</v>
      </c>
      <c r="Q3915" s="6" t="str">
        <f>IFERROR(__xludf.DUMMYFUNCTION("""COMPUTED_VALUE"""),"HS")</f>
        <v>HS</v>
      </c>
      <c r="R3915" s="6">
        <f>IFERROR(__xludf.DUMMYFUNCTION("""COMPUTED_VALUE"""),0.0)</f>
        <v>0</v>
      </c>
      <c r="S3915" s="6" t="str">
        <f>IFERROR(__xludf.DUMMYFUNCTION("""COMPUTED_VALUE""")," ")</f>
        <v> </v>
      </c>
      <c r="T3915" s="6" t="str">
        <f>IFERROR(__xludf.DUMMYFUNCTION("""COMPUTED_VALUE"""),"")</f>
        <v/>
      </c>
      <c r="U3915" s="6" t="str">
        <f>IFERROR(__xludf.DUMMYFUNCTION("""COMPUTED_VALUE"""),"9")</f>
        <v>9</v>
      </c>
      <c r="V3915" s="6" t="str">
        <f>IFERROR(__xludf.DUMMYFUNCTION("""COMPUTED_VALUE"""),"English")</f>
        <v>English</v>
      </c>
      <c r="W3915" s="6" t="str">
        <f>IFERROR(__xludf.DUMMYFUNCTION("""COMPUTED_VALUE"""),"[]")</f>
        <v>[]</v>
      </c>
      <c r="X3915" s="6" t="str">
        <f>IFERROR(__xludf.DUMMYFUNCTION("""COMPUTED_VALUE"""),"Enrolled")</f>
        <v>Enrolled</v>
      </c>
    </row>
    <row r="3916">
      <c r="A3916" s="6" t="str">
        <f>IFERROR(__xludf.DUMMYFUNCTION("""COMPUTED_VALUE"""),"068-10220")</f>
        <v>068-10220</v>
      </c>
      <c r="B3916" s="6" t="str">
        <f>IFERROR(__xludf.DUMMYFUNCTION("""COMPUTED_VALUE"""),"68")</f>
        <v>68</v>
      </c>
      <c r="C3916" s="6" t="str">
        <f>IFERROR(__xludf.DUMMYFUNCTION("""COMPUTED_VALUE"""),"10220")</f>
        <v>10220</v>
      </c>
      <c r="D3916" s="6" t="str">
        <f>IFERROR(__xludf.DUMMYFUNCTION("""COMPUTED_VALUE"""),"Fernanda")</f>
        <v>Fernanda</v>
      </c>
      <c r="E3916" s="6" t="str">
        <f>IFERROR(__xludf.DUMMYFUNCTION("""COMPUTED_VALUE"""),"")</f>
        <v/>
      </c>
      <c r="F3916" s="6" t="str">
        <f>IFERROR(__xludf.DUMMYFUNCTION("""COMPUTED_VALUE"""),"Villa Valdes")</f>
        <v>Villa Valdes</v>
      </c>
      <c r="G3916" s="6" t="str">
        <f>IFERROR(__xludf.DUMMYFUNCTION("""COMPUTED_VALUE"""),"08/08/2008")</f>
        <v>08/08/2008</v>
      </c>
      <c r="H3916" s="6" t="str">
        <f>IFERROR(__xludf.DUMMYFUNCTION("""COMPUTED_VALUE"""),"Self Identify")</f>
        <v>Self Identify</v>
      </c>
      <c r="I3916" s="6" t="str">
        <f>IFERROR(__xludf.DUMMYFUNCTION("""COMPUTED_VALUE"""),"High School")</f>
        <v>High School</v>
      </c>
      <c r="J3916" s="6" t="str">
        <f>IFERROR(__xludf.DUMMYFUNCTION("""COMPUTED_VALUE"""),"11")</f>
        <v>11</v>
      </c>
      <c r="K3916" s="6" t="str">
        <f>IFERROR(__xludf.DUMMYFUNCTION("""COMPUTED_VALUE"""),"fernanda.villavaldes@2hourlearning.com")</f>
        <v>fernanda.villavaldes@2hourlearning.com</v>
      </c>
      <c r="L3916" s="6" t="str">
        <f>IFERROR(__xludf.DUMMYFUNCTION("""COMPUTED_VALUE"""),"SPIRE Academy")</f>
        <v>SPIRE Academy</v>
      </c>
      <c r="M3916" s="6" t="str">
        <f>IFERROR(__xludf.DUMMYFUNCTION("""COMPUTED_VALUE"""),"")</f>
        <v/>
      </c>
      <c r="N3916" s="6" t="str">
        <f>IFERROR(__xludf.DUMMYFUNCTION("""COMPUTED_VALUE"""),"")</f>
        <v/>
      </c>
      <c r="O3916" s="87" t="str">
        <f>IFERROR(__xludf.DUMMYFUNCTION("""COMPUTED_VALUE"""),"https://drive.google.com/drive/folders/10T2cTQHqEJZqE-st6uFKPoI?usp=share_link")</f>
        <v>https://drive.google.com/drive/folders/10T2cTQHqEJZqE-st6uFKPoI?usp=share_link</v>
      </c>
      <c r="P3916" s="6" t="str">
        <f>IFERROR(__xludf.DUMMYFUNCTION("""COMPUTED_VALUE"""),"Fernanda Villa Valdes")</f>
        <v>Fernanda Villa Valdes</v>
      </c>
      <c r="Q3916" s="6" t="str">
        <f>IFERROR(__xludf.DUMMYFUNCTION("""COMPUTED_VALUE"""),"HS")</f>
        <v>HS</v>
      </c>
      <c r="R3916" s="6">
        <f>IFERROR(__xludf.DUMMYFUNCTION("""COMPUTED_VALUE"""),0.0)</f>
        <v>0</v>
      </c>
      <c r="S3916" s="6" t="str">
        <f>IFERROR(__xludf.DUMMYFUNCTION("""COMPUTED_VALUE""")," ")</f>
        <v> </v>
      </c>
      <c r="T3916" s="6" t="str">
        <f>IFERROR(__xludf.DUMMYFUNCTION("""COMPUTED_VALUE"""),"")</f>
        <v/>
      </c>
      <c r="U3916" s="6" t="str">
        <f>IFERROR(__xludf.DUMMYFUNCTION("""COMPUTED_VALUE"""),"11")</f>
        <v>11</v>
      </c>
      <c r="V3916" s="6" t="str">
        <f>IFERROR(__xludf.DUMMYFUNCTION("""COMPUTED_VALUE"""),"English")</f>
        <v>English</v>
      </c>
      <c r="W3916" s="6" t="str">
        <f>IFERROR(__xludf.DUMMYFUNCTION("""COMPUTED_VALUE"""),"[]")</f>
        <v>[]</v>
      </c>
      <c r="X3916" s="6" t="str">
        <f>IFERROR(__xludf.DUMMYFUNCTION("""COMPUTED_VALUE"""),"Enrolled")</f>
        <v>Enrolled</v>
      </c>
    </row>
    <row r="3917">
      <c r="A3917" s="6" t="str">
        <f>IFERROR(__xludf.DUMMYFUNCTION("""COMPUTED_VALUE"""),"068-10221")</f>
        <v>068-10221</v>
      </c>
      <c r="B3917" s="6" t="str">
        <f>IFERROR(__xludf.DUMMYFUNCTION("""COMPUTED_VALUE"""),"68")</f>
        <v>68</v>
      </c>
      <c r="C3917" s="6" t="str">
        <f>IFERROR(__xludf.DUMMYFUNCTION("""COMPUTED_VALUE"""),"10221")</f>
        <v>10221</v>
      </c>
      <c r="D3917" s="6" t="str">
        <f>IFERROR(__xludf.DUMMYFUNCTION("""COMPUTED_VALUE"""),"Eric")</f>
        <v>Eric</v>
      </c>
      <c r="E3917" s="6" t="str">
        <f>IFERROR(__xludf.DUMMYFUNCTION("""COMPUTED_VALUE"""),"")</f>
        <v/>
      </c>
      <c r="F3917" s="6" t="str">
        <f>IFERROR(__xludf.DUMMYFUNCTION("""COMPUTED_VALUE"""),"Vivolo")</f>
        <v>Vivolo</v>
      </c>
      <c r="G3917" s="6" t="str">
        <f>IFERROR(__xludf.DUMMYFUNCTION("""COMPUTED_VALUE"""),"09/18/2008")</f>
        <v>09/18/2008</v>
      </c>
      <c r="H3917" s="6" t="str">
        <f>IFERROR(__xludf.DUMMYFUNCTION("""COMPUTED_VALUE"""),"Self Identify")</f>
        <v>Self Identify</v>
      </c>
      <c r="I3917" s="6" t="str">
        <f>IFERROR(__xludf.DUMMYFUNCTION("""COMPUTED_VALUE"""),"High School")</f>
        <v>High School</v>
      </c>
      <c r="J3917" s="6" t="str">
        <f>IFERROR(__xludf.DUMMYFUNCTION("""COMPUTED_VALUE"""),"11")</f>
        <v>11</v>
      </c>
      <c r="K3917" s="6" t="str">
        <f>IFERROR(__xludf.DUMMYFUNCTION("""COMPUTED_VALUE"""),"eric.vivolo@2hourlearning.com")</f>
        <v>eric.vivolo@2hourlearning.com</v>
      </c>
      <c r="L3917" s="6" t="str">
        <f>IFERROR(__xludf.DUMMYFUNCTION("""COMPUTED_VALUE"""),"SPIRE Academy")</f>
        <v>SPIRE Academy</v>
      </c>
      <c r="M3917" s="6" t="str">
        <f>IFERROR(__xludf.DUMMYFUNCTION("""COMPUTED_VALUE"""),"")</f>
        <v/>
      </c>
      <c r="N3917" s="6" t="str">
        <f>IFERROR(__xludf.DUMMYFUNCTION("""COMPUTED_VALUE"""),"")</f>
        <v/>
      </c>
      <c r="O3917" s="87" t="str">
        <f>IFERROR(__xludf.DUMMYFUNCTION("""COMPUTED_VALUE"""),"https://drive.google.com/drive/folders/10T2cTQHqEJZqE-st6uFKPoI?usp=share_link")</f>
        <v>https://drive.google.com/drive/folders/10T2cTQHqEJZqE-st6uFKPoI?usp=share_link</v>
      </c>
      <c r="P3917" s="6" t="str">
        <f>IFERROR(__xludf.DUMMYFUNCTION("""COMPUTED_VALUE"""),"Eric Vivolo")</f>
        <v>Eric Vivolo</v>
      </c>
      <c r="Q3917" s="6" t="str">
        <f>IFERROR(__xludf.DUMMYFUNCTION("""COMPUTED_VALUE"""),"HS")</f>
        <v>HS</v>
      </c>
      <c r="R3917" s="6">
        <f>IFERROR(__xludf.DUMMYFUNCTION("""COMPUTED_VALUE"""),0.0)</f>
        <v>0</v>
      </c>
      <c r="S3917" s="6" t="str">
        <f>IFERROR(__xludf.DUMMYFUNCTION("""COMPUTED_VALUE""")," ")</f>
        <v> </v>
      </c>
      <c r="T3917" s="6" t="str">
        <f>IFERROR(__xludf.DUMMYFUNCTION("""COMPUTED_VALUE"""),"")</f>
        <v/>
      </c>
      <c r="U3917" s="6" t="str">
        <f>IFERROR(__xludf.DUMMYFUNCTION("""COMPUTED_VALUE"""),"11")</f>
        <v>11</v>
      </c>
      <c r="V3917" s="6" t="str">
        <f>IFERROR(__xludf.DUMMYFUNCTION("""COMPUTED_VALUE"""),"English")</f>
        <v>English</v>
      </c>
      <c r="W3917" s="6" t="str">
        <f>IFERROR(__xludf.DUMMYFUNCTION("""COMPUTED_VALUE"""),"[]")</f>
        <v>[]</v>
      </c>
      <c r="X3917" s="6" t="str">
        <f>IFERROR(__xludf.DUMMYFUNCTION("""COMPUTED_VALUE"""),"Enrolled")</f>
        <v>Enrolled</v>
      </c>
    </row>
    <row r="3918">
      <c r="A3918" s="6" t="str">
        <f>IFERROR(__xludf.DUMMYFUNCTION("""COMPUTED_VALUE"""),"068-10222")</f>
        <v>068-10222</v>
      </c>
      <c r="B3918" s="6" t="str">
        <f>IFERROR(__xludf.DUMMYFUNCTION("""COMPUTED_VALUE"""),"68")</f>
        <v>68</v>
      </c>
      <c r="C3918" s="6" t="str">
        <f>IFERROR(__xludf.DUMMYFUNCTION("""COMPUTED_VALUE"""),"10222")</f>
        <v>10222</v>
      </c>
      <c r="D3918" s="6" t="str">
        <f>IFERROR(__xludf.DUMMYFUNCTION("""COMPUTED_VALUE"""),"Michael")</f>
        <v>Michael</v>
      </c>
      <c r="E3918" s="6" t="str">
        <f>IFERROR(__xludf.DUMMYFUNCTION("""COMPUTED_VALUE"""),"")</f>
        <v/>
      </c>
      <c r="F3918" s="6" t="str">
        <f>IFERROR(__xludf.DUMMYFUNCTION("""COMPUTED_VALUE"""),"White")</f>
        <v>White</v>
      </c>
      <c r="G3918" s="6" t="str">
        <f>IFERROR(__xludf.DUMMYFUNCTION("""COMPUTED_VALUE"""),"11/12/2006")</f>
        <v>11/12/2006</v>
      </c>
      <c r="H3918" s="6" t="str">
        <f>IFERROR(__xludf.DUMMYFUNCTION("""COMPUTED_VALUE"""),"Self Identify")</f>
        <v>Self Identify</v>
      </c>
      <c r="I3918" s="6" t="str">
        <f>IFERROR(__xludf.DUMMYFUNCTION("""COMPUTED_VALUE"""),"High School")</f>
        <v>High School</v>
      </c>
      <c r="J3918" s="6" t="str">
        <f>IFERROR(__xludf.DUMMYFUNCTION("""COMPUTED_VALUE"""),"12")</f>
        <v>12</v>
      </c>
      <c r="K3918" s="6" t="str">
        <f>IFERROR(__xludf.DUMMYFUNCTION("""COMPUTED_VALUE"""),"michael.white@2hourlearning.com")</f>
        <v>michael.white@2hourlearning.com</v>
      </c>
      <c r="L3918" s="6" t="str">
        <f>IFERROR(__xludf.DUMMYFUNCTION("""COMPUTED_VALUE"""),"SPIRE Academy")</f>
        <v>SPIRE Academy</v>
      </c>
      <c r="M3918" s="6" t="str">
        <f>IFERROR(__xludf.DUMMYFUNCTION("""COMPUTED_VALUE"""),"")</f>
        <v/>
      </c>
      <c r="N3918" s="6" t="str">
        <f>IFERROR(__xludf.DUMMYFUNCTION("""COMPUTED_VALUE"""),"")</f>
        <v/>
      </c>
      <c r="O3918" s="87" t="str">
        <f>IFERROR(__xludf.DUMMYFUNCTION("""COMPUTED_VALUE"""),"https://drive.google.com/drive/folders/10T2cTQHqEJZqE-st6uFKPoI?usp=share_link")</f>
        <v>https://drive.google.com/drive/folders/10T2cTQHqEJZqE-st6uFKPoI?usp=share_link</v>
      </c>
      <c r="P3918" s="6" t="str">
        <f>IFERROR(__xludf.DUMMYFUNCTION("""COMPUTED_VALUE"""),"Michael White")</f>
        <v>Michael White</v>
      </c>
      <c r="Q3918" s="6" t="str">
        <f>IFERROR(__xludf.DUMMYFUNCTION("""COMPUTED_VALUE"""),"HS")</f>
        <v>HS</v>
      </c>
      <c r="R3918" s="6">
        <f>IFERROR(__xludf.DUMMYFUNCTION("""COMPUTED_VALUE"""),0.0)</f>
        <v>0</v>
      </c>
      <c r="S3918" s="6" t="str">
        <f>IFERROR(__xludf.DUMMYFUNCTION("""COMPUTED_VALUE""")," ")</f>
        <v> </v>
      </c>
      <c r="T3918" s="6" t="str">
        <f>IFERROR(__xludf.DUMMYFUNCTION("""COMPUTED_VALUE"""),"")</f>
        <v/>
      </c>
      <c r="U3918" s="6" t="str">
        <f>IFERROR(__xludf.DUMMYFUNCTION("""COMPUTED_VALUE"""),"12")</f>
        <v>12</v>
      </c>
      <c r="V3918" s="6" t="str">
        <f>IFERROR(__xludf.DUMMYFUNCTION("""COMPUTED_VALUE"""),"English")</f>
        <v>English</v>
      </c>
      <c r="W3918" s="6" t="str">
        <f>IFERROR(__xludf.DUMMYFUNCTION("""COMPUTED_VALUE"""),"[]")</f>
        <v>[]</v>
      </c>
      <c r="X3918" s="6" t="str">
        <f>IFERROR(__xludf.DUMMYFUNCTION("""COMPUTED_VALUE"""),"Enrolled")</f>
        <v>Enrolled</v>
      </c>
    </row>
    <row r="3919">
      <c r="A3919" s="6" t="str">
        <f>IFERROR(__xludf.DUMMYFUNCTION("""COMPUTED_VALUE"""),"068-10223")</f>
        <v>068-10223</v>
      </c>
      <c r="B3919" s="6" t="str">
        <f>IFERROR(__xludf.DUMMYFUNCTION("""COMPUTED_VALUE"""),"68")</f>
        <v>68</v>
      </c>
      <c r="C3919" s="6" t="str">
        <f>IFERROR(__xludf.DUMMYFUNCTION("""COMPUTED_VALUE"""),"10223")</f>
        <v>10223</v>
      </c>
      <c r="D3919" s="6" t="str">
        <f>IFERROR(__xludf.DUMMYFUNCTION("""COMPUTED_VALUE"""),"Isaiah")</f>
        <v>Isaiah</v>
      </c>
      <c r="E3919" s="6" t="str">
        <f>IFERROR(__xludf.DUMMYFUNCTION("""COMPUTED_VALUE"""),"")</f>
        <v/>
      </c>
      <c r="F3919" s="6" t="str">
        <f>IFERROR(__xludf.DUMMYFUNCTION("""COMPUTED_VALUE"""),"Williams")</f>
        <v>Williams</v>
      </c>
      <c r="G3919" s="6" t="str">
        <f>IFERROR(__xludf.DUMMYFUNCTION("""COMPUTED_VALUE"""),"02/20/2008")</f>
        <v>02/20/2008</v>
      </c>
      <c r="H3919" s="6" t="str">
        <f>IFERROR(__xludf.DUMMYFUNCTION("""COMPUTED_VALUE"""),"Self Identify")</f>
        <v>Self Identify</v>
      </c>
      <c r="I3919" s="6" t="str">
        <f>IFERROR(__xludf.DUMMYFUNCTION("""COMPUTED_VALUE"""),"High School")</f>
        <v>High School</v>
      </c>
      <c r="J3919" s="6" t="str">
        <f>IFERROR(__xludf.DUMMYFUNCTION("""COMPUTED_VALUE"""),"12")</f>
        <v>12</v>
      </c>
      <c r="K3919" s="6" t="str">
        <f>IFERROR(__xludf.DUMMYFUNCTION("""COMPUTED_VALUE"""),"isaiah.williams@2hourlearning.com")</f>
        <v>isaiah.williams@2hourlearning.com</v>
      </c>
      <c r="L3919" s="6" t="str">
        <f>IFERROR(__xludf.DUMMYFUNCTION("""COMPUTED_VALUE"""),"SPIRE Academy")</f>
        <v>SPIRE Academy</v>
      </c>
      <c r="M3919" s="6" t="str">
        <f>IFERROR(__xludf.DUMMYFUNCTION("""COMPUTED_VALUE"""),"")</f>
        <v/>
      </c>
      <c r="N3919" s="6" t="str">
        <f>IFERROR(__xludf.DUMMYFUNCTION("""COMPUTED_VALUE"""),"")</f>
        <v/>
      </c>
      <c r="O3919" s="87" t="str">
        <f>IFERROR(__xludf.DUMMYFUNCTION("""COMPUTED_VALUE"""),"https://drive.google.com/drive/folders/10T2cTQHqEJZqE-st6uFKPoI?usp=share_link")</f>
        <v>https://drive.google.com/drive/folders/10T2cTQHqEJZqE-st6uFKPoI?usp=share_link</v>
      </c>
      <c r="P3919" s="6" t="str">
        <f>IFERROR(__xludf.DUMMYFUNCTION("""COMPUTED_VALUE"""),"Isaiah Williams")</f>
        <v>Isaiah Williams</v>
      </c>
      <c r="Q3919" s="6" t="str">
        <f>IFERROR(__xludf.DUMMYFUNCTION("""COMPUTED_VALUE"""),"HS")</f>
        <v>HS</v>
      </c>
      <c r="R3919" s="6">
        <f>IFERROR(__xludf.DUMMYFUNCTION("""COMPUTED_VALUE"""),0.0)</f>
        <v>0</v>
      </c>
      <c r="S3919" s="6" t="str">
        <f>IFERROR(__xludf.DUMMYFUNCTION("""COMPUTED_VALUE""")," ")</f>
        <v> </v>
      </c>
      <c r="T3919" s="6" t="str">
        <f>IFERROR(__xludf.DUMMYFUNCTION("""COMPUTED_VALUE"""),"")</f>
        <v/>
      </c>
      <c r="U3919" s="6" t="str">
        <f>IFERROR(__xludf.DUMMYFUNCTION("""COMPUTED_VALUE"""),"12")</f>
        <v>12</v>
      </c>
      <c r="V3919" s="6" t="str">
        <f>IFERROR(__xludf.DUMMYFUNCTION("""COMPUTED_VALUE"""),"English")</f>
        <v>English</v>
      </c>
      <c r="W3919" s="6" t="str">
        <f>IFERROR(__xludf.DUMMYFUNCTION("""COMPUTED_VALUE"""),"[]")</f>
        <v>[]</v>
      </c>
      <c r="X3919" s="6" t="str">
        <f>IFERROR(__xludf.DUMMYFUNCTION("""COMPUTED_VALUE"""),"Enrolled")</f>
        <v>Enrolled</v>
      </c>
    </row>
    <row r="3920">
      <c r="A3920" s="6" t="str">
        <f>IFERROR(__xludf.DUMMYFUNCTION("""COMPUTED_VALUE"""),"068-10224")</f>
        <v>068-10224</v>
      </c>
      <c r="B3920" s="6" t="str">
        <f>IFERROR(__xludf.DUMMYFUNCTION("""COMPUTED_VALUE"""),"68")</f>
        <v>68</v>
      </c>
      <c r="C3920" s="6" t="str">
        <f>IFERROR(__xludf.DUMMYFUNCTION("""COMPUTED_VALUE"""),"10224")</f>
        <v>10224</v>
      </c>
      <c r="D3920" s="6" t="str">
        <f>IFERROR(__xludf.DUMMYFUNCTION("""COMPUTED_VALUE"""),"Kobe")</f>
        <v>Kobe</v>
      </c>
      <c r="E3920" s="6" t="str">
        <f>IFERROR(__xludf.DUMMYFUNCTION("""COMPUTED_VALUE"""),"")</f>
        <v/>
      </c>
      <c r="F3920" s="6" t="str">
        <f>IFERROR(__xludf.DUMMYFUNCTION("""COMPUTED_VALUE"""),"Williams")</f>
        <v>Williams</v>
      </c>
      <c r="G3920" s="6" t="str">
        <f>IFERROR(__xludf.DUMMYFUNCTION("""COMPUTED_VALUE"""),"04/24/2007")</f>
        <v>04/24/2007</v>
      </c>
      <c r="H3920" s="6" t="str">
        <f>IFERROR(__xludf.DUMMYFUNCTION("""COMPUTED_VALUE"""),"Self Identify")</f>
        <v>Self Identify</v>
      </c>
      <c r="I3920" s="6" t="str">
        <f>IFERROR(__xludf.DUMMYFUNCTION("""COMPUTED_VALUE"""),"High School")</f>
        <v>High School</v>
      </c>
      <c r="J3920" s="6" t="str">
        <f>IFERROR(__xludf.DUMMYFUNCTION("""COMPUTED_VALUE"""),"12")</f>
        <v>12</v>
      </c>
      <c r="K3920" s="6" t="str">
        <f>IFERROR(__xludf.DUMMYFUNCTION("""COMPUTED_VALUE"""),"kobe.williams@2hourlearning.com")</f>
        <v>kobe.williams@2hourlearning.com</v>
      </c>
      <c r="L3920" s="6" t="str">
        <f>IFERROR(__xludf.DUMMYFUNCTION("""COMPUTED_VALUE"""),"SPIRE Academy")</f>
        <v>SPIRE Academy</v>
      </c>
      <c r="M3920" s="6" t="str">
        <f>IFERROR(__xludf.DUMMYFUNCTION("""COMPUTED_VALUE"""),"")</f>
        <v/>
      </c>
      <c r="N3920" s="6" t="str">
        <f>IFERROR(__xludf.DUMMYFUNCTION("""COMPUTED_VALUE"""),"")</f>
        <v/>
      </c>
      <c r="O3920" s="87" t="str">
        <f>IFERROR(__xludf.DUMMYFUNCTION("""COMPUTED_VALUE"""),"https://drive.google.com/drive/folders/10T2cTQHqEJZqE-st6uFKPoI?usp=share_link")</f>
        <v>https://drive.google.com/drive/folders/10T2cTQHqEJZqE-st6uFKPoI?usp=share_link</v>
      </c>
      <c r="P3920" s="6" t="str">
        <f>IFERROR(__xludf.DUMMYFUNCTION("""COMPUTED_VALUE"""),"Kobe Williams")</f>
        <v>Kobe Williams</v>
      </c>
      <c r="Q3920" s="6" t="str">
        <f>IFERROR(__xludf.DUMMYFUNCTION("""COMPUTED_VALUE"""),"HS")</f>
        <v>HS</v>
      </c>
      <c r="R3920" s="6">
        <f>IFERROR(__xludf.DUMMYFUNCTION("""COMPUTED_VALUE"""),0.0)</f>
        <v>0</v>
      </c>
      <c r="S3920" s="6" t="str">
        <f>IFERROR(__xludf.DUMMYFUNCTION("""COMPUTED_VALUE""")," ")</f>
        <v> </v>
      </c>
      <c r="T3920" s="6" t="str">
        <f>IFERROR(__xludf.DUMMYFUNCTION("""COMPUTED_VALUE"""),"")</f>
        <v/>
      </c>
      <c r="U3920" s="6" t="str">
        <f>IFERROR(__xludf.DUMMYFUNCTION("""COMPUTED_VALUE"""),"12")</f>
        <v>12</v>
      </c>
      <c r="V3920" s="6" t="str">
        <f>IFERROR(__xludf.DUMMYFUNCTION("""COMPUTED_VALUE"""),"English")</f>
        <v>English</v>
      </c>
      <c r="W3920" s="6" t="str">
        <f>IFERROR(__xludf.DUMMYFUNCTION("""COMPUTED_VALUE"""),"[]")</f>
        <v>[]</v>
      </c>
      <c r="X3920" s="6" t="str">
        <f>IFERROR(__xludf.DUMMYFUNCTION("""COMPUTED_VALUE"""),"Enrolled")</f>
        <v>Enrolled</v>
      </c>
    </row>
    <row r="3921">
      <c r="A3921" s="6" t="str">
        <f>IFERROR(__xludf.DUMMYFUNCTION("""COMPUTED_VALUE"""),"068-10225")</f>
        <v>068-10225</v>
      </c>
      <c r="B3921" s="6" t="str">
        <f>IFERROR(__xludf.DUMMYFUNCTION("""COMPUTED_VALUE"""),"68")</f>
        <v>68</v>
      </c>
      <c r="C3921" s="6" t="str">
        <f>IFERROR(__xludf.DUMMYFUNCTION("""COMPUTED_VALUE"""),"10225")</f>
        <v>10225</v>
      </c>
      <c r="D3921" s="6" t="str">
        <f>IFERROR(__xludf.DUMMYFUNCTION("""COMPUTED_VALUE"""),"Timothy")</f>
        <v>Timothy</v>
      </c>
      <c r="E3921" s="6" t="str">
        <f>IFERROR(__xludf.DUMMYFUNCTION("""COMPUTED_VALUE"""),"")</f>
        <v/>
      </c>
      <c r="F3921" s="6" t="str">
        <f>IFERROR(__xludf.DUMMYFUNCTION("""COMPUTED_VALUE"""),"Windfelder")</f>
        <v>Windfelder</v>
      </c>
      <c r="G3921" s="6" t="str">
        <f>IFERROR(__xludf.DUMMYFUNCTION("""COMPUTED_VALUE"""),"06/09/2008")</f>
        <v>06/09/2008</v>
      </c>
      <c r="H3921" s="6" t="str">
        <f>IFERROR(__xludf.DUMMYFUNCTION("""COMPUTED_VALUE"""),"Self Identify")</f>
        <v>Self Identify</v>
      </c>
      <c r="I3921" s="6" t="str">
        <f>IFERROR(__xludf.DUMMYFUNCTION("""COMPUTED_VALUE"""),"High School")</f>
        <v>High School</v>
      </c>
      <c r="J3921" s="6" t="str">
        <f>IFERROR(__xludf.DUMMYFUNCTION("""COMPUTED_VALUE"""),"11")</f>
        <v>11</v>
      </c>
      <c r="K3921" s="6" t="str">
        <f>IFERROR(__xludf.DUMMYFUNCTION("""COMPUTED_VALUE"""),"timothy.windfelder@2hourlearning.com")</f>
        <v>timothy.windfelder@2hourlearning.com</v>
      </c>
      <c r="L3921" s="6" t="str">
        <f>IFERROR(__xludf.DUMMYFUNCTION("""COMPUTED_VALUE"""),"SPIRE Academy")</f>
        <v>SPIRE Academy</v>
      </c>
      <c r="M3921" s="6" t="str">
        <f>IFERROR(__xludf.DUMMYFUNCTION("""COMPUTED_VALUE"""),"")</f>
        <v/>
      </c>
      <c r="N3921" s="6" t="str">
        <f>IFERROR(__xludf.DUMMYFUNCTION("""COMPUTED_VALUE"""),"")</f>
        <v/>
      </c>
      <c r="O3921" s="87" t="str">
        <f>IFERROR(__xludf.DUMMYFUNCTION("""COMPUTED_VALUE"""),"https://drive.google.com/drive/folders/10T2cTQHqEJZqE-st6uFKPoI?usp=share_link")</f>
        <v>https://drive.google.com/drive/folders/10T2cTQHqEJZqE-st6uFKPoI?usp=share_link</v>
      </c>
      <c r="P3921" s="6" t="str">
        <f>IFERROR(__xludf.DUMMYFUNCTION("""COMPUTED_VALUE"""),"Timothy Windfelder")</f>
        <v>Timothy Windfelder</v>
      </c>
      <c r="Q3921" s="6" t="str">
        <f>IFERROR(__xludf.DUMMYFUNCTION("""COMPUTED_VALUE"""),"HS")</f>
        <v>HS</v>
      </c>
      <c r="R3921" s="6">
        <f>IFERROR(__xludf.DUMMYFUNCTION("""COMPUTED_VALUE"""),0.0)</f>
        <v>0</v>
      </c>
      <c r="S3921" s="6" t="str">
        <f>IFERROR(__xludf.DUMMYFUNCTION("""COMPUTED_VALUE""")," ")</f>
        <v> </v>
      </c>
      <c r="T3921" s="6" t="str">
        <f>IFERROR(__xludf.DUMMYFUNCTION("""COMPUTED_VALUE"""),"")</f>
        <v/>
      </c>
      <c r="U3921" s="6" t="str">
        <f>IFERROR(__xludf.DUMMYFUNCTION("""COMPUTED_VALUE"""),"11")</f>
        <v>11</v>
      </c>
      <c r="V3921" s="6" t="str">
        <f>IFERROR(__xludf.DUMMYFUNCTION("""COMPUTED_VALUE"""),"English")</f>
        <v>English</v>
      </c>
      <c r="W3921" s="6" t="str">
        <f>IFERROR(__xludf.DUMMYFUNCTION("""COMPUTED_VALUE"""),"[]")</f>
        <v>[]</v>
      </c>
      <c r="X3921" s="6" t="str">
        <f>IFERROR(__xludf.DUMMYFUNCTION("""COMPUTED_VALUE"""),"Enrolled")</f>
        <v>Enrolled</v>
      </c>
    </row>
    <row r="3922">
      <c r="A3922" s="6" t="str">
        <f>IFERROR(__xludf.DUMMYFUNCTION("""COMPUTED_VALUE"""),"068-10226")</f>
        <v>068-10226</v>
      </c>
      <c r="B3922" s="6" t="str">
        <f>IFERROR(__xludf.DUMMYFUNCTION("""COMPUTED_VALUE"""),"68")</f>
        <v>68</v>
      </c>
      <c r="C3922" s="6" t="str">
        <f>IFERROR(__xludf.DUMMYFUNCTION("""COMPUTED_VALUE"""),"10226")</f>
        <v>10226</v>
      </c>
      <c r="D3922" s="6" t="str">
        <f>IFERROR(__xludf.DUMMYFUNCTION("""COMPUTED_VALUE"""),"Alexandria")</f>
        <v>Alexandria</v>
      </c>
      <c r="E3922" s="6" t="str">
        <f>IFERROR(__xludf.DUMMYFUNCTION("""COMPUTED_VALUE"""),"")</f>
        <v/>
      </c>
      <c r="F3922" s="6" t="str">
        <f>IFERROR(__xludf.DUMMYFUNCTION("""COMPUTED_VALUE"""),"Young")</f>
        <v>Young</v>
      </c>
      <c r="G3922" s="6" t="str">
        <f>IFERROR(__xludf.DUMMYFUNCTION("""COMPUTED_VALUE"""),"01/30/2009")</f>
        <v>01/30/2009</v>
      </c>
      <c r="H3922" s="6" t="str">
        <f>IFERROR(__xludf.DUMMYFUNCTION("""COMPUTED_VALUE"""),"Self Identify")</f>
        <v>Self Identify</v>
      </c>
      <c r="I3922" s="6" t="str">
        <f>IFERROR(__xludf.DUMMYFUNCTION("""COMPUTED_VALUE"""),"High School")</f>
        <v>High School</v>
      </c>
      <c r="J3922" s="6" t="str">
        <f>IFERROR(__xludf.DUMMYFUNCTION("""COMPUTED_VALUE"""),"11")</f>
        <v>11</v>
      </c>
      <c r="K3922" s="6" t="str">
        <f>IFERROR(__xludf.DUMMYFUNCTION("""COMPUTED_VALUE"""),"alexandria.young@2hourlearning.com")</f>
        <v>alexandria.young@2hourlearning.com</v>
      </c>
      <c r="L3922" s="6" t="str">
        <f>IFERROR(__xludf.DUMMYFUNCTION("""COMPUTED_VALUE"""),"SPIRE Academy")</f>
        <v>SPIRE Academy</v>
      </c>
      <c r="M3922" s="6" t="str">
        <f>IFERROR(__xludf.DUMMYFUNCTION("""COMPUTED_VALUE"""),"")</f>
        <v/>
      </c>
      <c r="N3922" s="6" t="str">
        <f>IFERROR(__xludf.DUMMYFUNCTION("""COMPUTED_VALUE"""),"")</f>
        <v/>
      </c>
      <c r="O3922" s="87" t="str">
        <f>IFERROR(__xludf.DUMMYFUNCTION("""COMPUTED_VALUE"""),"https://drive.google.com/drive/folders/10T2cTQHqEJZqE-st6uFKPoI?usp=share_link")</f>
        <v>https://drive.google.com/drive/folders/10T2cTQHqEJZqE-st6uFKPoI?usp=share_link</v>
      </c>
      <c r="P3922" s="6" t="str">
        <f>IFERROR(__xludf.DUMMYFUNCTION("""COMPUTED_VALUE"""),"Alexandria Young")</f>
        <v>Alexandria Young</v>
      </c>
      <c r="Q3922" s="6" t="str">
        <f>IFERROR(__xludf.DUMMYFUNCTION("""COMPUTED_VALUE"""),"HS")</f>
        <v>HS</v>
      </c>
      <c r="R3922" s="6">
        <f>IFERROR(__xludf.DUMMYFUNCTION("""COMPUTED_VALUE"""),0.0)</f>
        <v>0</v>
      </c>
      <c r="S3922" s="6" t="str">
        <f>IFERROR(__xludf.DUMMYFUNCTION("""COMPUTED_VALUE""")," ")</f>
        <v> </v>
      </c>
      <c r="T3922" s="6" t="str">
        <f>IFERROR(__xludf.DUMMYFUNCTION("""COMPUTED_VALUE"""),"")</f>
        <v/>
      </c>
      <c r="U3922" s="6" t="str">
        <f>IFERROR(__xludf.DUMMYFUNCTION("""COMPUTED_VALUE"""),"11")</f>
        <v>11</v>
      </c>
      <c r="V3922" s="6" t="str">
        <f>IFERROR(__xludf.DUMMYFUNCTION("""COMPUTED_VALUE"""),"English")</f>
        <v>English</v>
      </c>
      <c r="W3922" s="6" t="str">
        <f>IFERROR(__xludf.DUMMYFUNCTION("""COMPUTED_VALUE"""),"[]")</f>
        <v>[]</v>
      </c>
      <c r="X3922" s="6" t="str">
        <f>IFERROR(__xludf.DUMMYFUNCTION("""COMPUTED_VALUE"""),"Enrolled")</f>
        <v>Enrolled</v>
      </c>
    </row>
    <row r="3923">
      <c r="A3923" s="6" t="str">
        <f>IFERROR(__xludf.DUMMYFUNCTION("""COMPUTED_VALUE"""),"068-10227")</f>
        <v>068-10227</v>
      </c>
      <c r="B3923" s="6" t="str">
        <f>IFERROR(__xludf.DUMMYFUNCTION("""COMPUTED_VALUE"""),"68")</f>
        <v>68</v>
      </c>
      <c r="C3923" s="6" t="str">
        <f>IFERROR(__xludf.DUMMYFUNCTION("""COMPUTED_VALUE"""),"10227")</f>
        <v>10227</v>
      </c>
      <c r="D3923" s="6" t="str">
        <f>IFERROR(__xludf.DUMMYFUNCTION("""COMPUTED_VALUE"""),"Riccardo")</f>
        <v>Riccardo</v>
      </c>
      <c r="E3923" s="6" t="str">
        <f>IFERROR(__xludf.DUMMYFUNCTION("""COMPUTED_VALUE"""),"")</f>
        <v/>
      </c>
      <c r="F3923" s="6" t="str">
        <f>IFERROR(__xludf.DUMMYFUNCTION("""COMPUTED_VALUE"""),"Zago")</f>
        <v>Zago</v>
      </c>
      <c r="G3923" s="6" t="str">
        <f>IFERROR(__xludf.DUMMYFUNCTION("""COMPUTED_VALUE"""),"06/20/2008")</f>
        <v>06/20/2008</v>
      </c>
      <c r="H3923" s="6" t="str">
        <f>IFERROR(__xludf.DUMMYFUNCTION("""COMPUTED_VALUE"""),"Self Identify")</f>
        <v>Self Identify</v>
      </c>
      <c r="I3923" s="6" t="str">
        <f>IFERROR(__xludf.DUMMYFUNCTION("""COMPUTED_VALUE"""),"High School")</f>
        <v>High School</v>
      </c>
      <c r="J3923" s="6" t="str">
        <f>IFERROR(__xludf.DUMMYFUNCTION("""COMPUTED_VALUE"""),"12")</f>
        <v>12</v>
      </c>
      <c r="K3923" s="6" t="str">
        <f>IFERROR(__xludf.DUMMYFUNCTION("""COMPUTED_VALUE"""),"riccardo.zago@2hourlearning.com")</f>
        <v>riccardo.zago@2hourlearning.com</v>
      </c>
      <c r="L3923" s="6" t="str">
        <f>IFERROR(__xludf.DUMMYFUNCTION("""COMPUTED_VALUE"""),"SPIRE Academy")</f>
        <v>SPIRE Academy</v>
      </c>
      <c r="M3923" s="6" t="str">
        <f>IFERROR(__xludf.DUMMYFUNCTION("""COMPUTED_VALUE"""),"")</f>
        <v/>
      </c>
      <c r="N3923" s="6" t="str">
        <f>IFERROR(__xludf.DUMMYFUNCTION("""COMPUTED_VALUE"""),"")</f>
        <v/>
      </c>
      <c r="O3923" s="87" t="str">
        <f>IFERROR(__xludf.DUMMYFUNCTION("""COMPUTED_VALUE"""),"https://drive.google.com/drive/folders/10T2cTQHqEJZqE-st6uFKPoI?usp=share_link")</f>
        <v>https://drive.google.com/drive/folders/10T2cTQHqEJZqE-st6uFKPoI?usp=share_link</v>
      </c>
      <c r="P3923" s="6" t="str">
        <f>IFERROR(__xludf.DUMMYFUNCTION("""COMPUTED_VALUE"""),"Riccardo Zago")</f>
        <v>Riccardo Zago</v>
      </c>
      <c r="Q3923" s="6" t="str">
        <f>IFERROR(__xludf.DUMMYFUNCTION("""COMPUTED_VALUE"""),"HS")</f>
        <v>HS</v>
      </c>
      <c r="R3923" s="6">
        <f>IFERROR(__xludf.DUMMYFUNCTION("""COMPUTED_VALUE"""),0.0)</f>
        <v>0</v>
      </c>
      <c r="S3923" s="6" t="str">
        <f>IFERROR(__xludf.DUMMYFUNCTION("""COMPUTED_VALUE""")," ")</f>
        <v> </v>
      </c>
      <c r="T3923" s="6" t="str">
        <f>IFERROR(__xludf.DUMMYFUNCTION("""COMPUTED_VALUE"""),"")</f>
        <v/>
      </c>
      <c r="U3923" s="6" t="str">
        <f>IFERROR(__xludf.DUMMYFUNCTION("""COMPUTED_VALUE"""),"12")</f>
        <v>12</v>
      </c>
      <c r="V3923" s="6" t="str">
        <f>IFERROR(__xludf.DUMMYFUNCTION("""COMPUTED_VALUE"""),"English")</f>
        <v>English</v>
      </c>
      <c r="W3923" s="6" t="str">
        <f>IFERROR(__xludf.DUMMYFUNCTION("""COMPUTED_VALUE"""),"[]")</f>
        <v>[]</v>
      </c>
      <c r="X3923" s="6" t="str">
        <f>IFERROR(__xludf.DUMMYFUNCTION("""COMPUTED_VALUE"""),"Enrolled")</f>
        <v>Enrolled</v>
      </c>
    </row>
    <row r="3924">
      <c r="A3924" s="6" t="str">
        <f>IFERROR(__xludf.DUMMYFUNCTION("""COMPUTED_VALUE"""),"068-10228")</f>
        <v>068-10228</v>
      </c>
      <c r="B3924" s="6" t="str">
        <f>IFERROR(__xludf.DUMMYFUNCTION("""COMPUTED_VALUE"""),"68")</f>
        <v>68</v>
      </c>
      <c r="C3924" s="6" t="str">
        <f>IFERROR(__xludf.DUMMYFUNCTION("""COMPUTED_VALUE"""),"10228")</f>
        <v>10228</v>
      </c>
      <c r="D3924" s="6" t="str">
        <f>IFERROR(__xludf.DUMMYFUNCTION("""COMPUTED_VALUE"""),"Madelyn")</f>
        <v>Madelyn</v>
      </c>
      <c r="E3924" s="6" t="str">
        <f>IFERROR(__xludf.DUMMYFUNCTION("""COMPUTED_VALUE"""),"")</f>
        <v/>
      </c>
      <c r="F3924" s="6" t="str">
        <f>IFERROR(__xludf.DUMMYFUNCTION("""COMPUTED_VALUE"""),"Zingg")</f>
        <v>Zingg</v>
      </c>
      <c r="G3924" s="6" t="str">
        <f>IFERROR(__xludf.DUMMYFUNCTION("""COMPUTED_VALUE"""),"07/22/2008")</f>
        <v>07/22/2008</v>
      </c>
      <c r="H3924" s="6" t="str">
        <f>IFERROR(__xludf.DUMMYFUNCTION("""COMPUTED_VALUE"""),"Self Identify")</f>
        <v>Self Identify</v>
      </c>
      <c r="I3924" s="6" t="str">
        <f>IFERROR(__xludf.DUMMYFUNCTION("""COMPUTED_VALUE"""),"High School")</f>
        <v>High School</v>
      </c>
      <c r="J3924" s="6" t="str">
        <f>IFERROR(__xludf.DUMMYFUNCTION("""COMPUTED_VALUE"""),"12")</f>
        <v>12</v>
      </c>
      <c r="K3924" s="6" t="str">
        <f>IFERROR(__xludf.DUMMYFUNCTION("""COMPUTED_VALUE"""),"madelyn.zingg@2hourlearning.com")</f>
        <v>madelyn.zingg@2hourlearning.com</v>
      </c>
      <c r="L3924" s="6" t="str">
        <f>IFERROR(__xludf.DUMMYFUNCTION("""COMPUTED_VALUE"""),"SPIRE Academy")</f>
        <v>SPIRE Academy</v>
      </c>
      <c r="M3924" s="6" t="str">
        <f>IFERROR(__xludf.DUMMYFUNCTION("""COMPUTED_VALUE"""),"")</f>
        <v/>
      </c>
      <c r="N3924" s="6" t="str">
        <f>IFERROR(__xludf.DUMMYFUNCTION("""COMPUTED_VALUE"""),"")</f>
        <v/>
      </c>
      <c r="O3924" s="87" t="str">
        <f>IFERROR(__xludf.DUMMYFUNCTION("""COMPUTED_VALUE"""),"https://drive.google.com/drive/folders/10T2cTQHqEJZqE-st6uFKPoI?usp=share_link")</f>
        <v>https://drive.google.com/drive/folders/10T2cTQHqEJZqE-st6uFKPoI?usp=share_link</v>
      </c>
      <c r="P3924" s="6" t="str">
        <f>IFERROR(__xludf.DUMMYFUNCTION("""COMPUTED_VALUE"""),"Madelyn Zingg")</f>
        <v>Madelyn Zingg</v>
      </c>
      <c r="Q3924" s="6" t="str">
        <f>IFERROR(__xludf.DUMMYFUNCTION("""COMPUTED_VALUE"""),"HS")</f>
        <v>HS</v>
      </c>
      <c r="R3924" s="6">
        <f>IFERROR(__xludf.DUMMYFUNCTION("""COMPUTED_VALUE"""),0.0)</f>
        <v>0</v>
      </c>
      <c r="S3924" s="6" t="str">
        <f>IFERROR(__xludf.DUMMYFUNCTION("""COMPUTED_VALUE""")," ")</f>
        <v> </v>
      </c>
      <c r="T3924" s="6" t="str">
        <f>IFERROR(__xludf.DUMMYFUNCTION("""COMPUTED_VALUE"""),"")</f>
        <v/>
      </c>
      <c r="U3924" s="6" t="str">
        <f>IFERROR(__xludf.DUMMYFUNCTION("""COMPUTED_VALUE"""),"12")</f>
        <v>12</v>
      </c>
      <c r="V3924" s="6" t="str">
        <f>IFERROR(__xludf.DUMMYFUNCTION("""COMPUTED_VALUE"""),"English")</f>
        <v>English</v>
      </c>
      <c r="W3924" s="6" t="str">
        <f>IFERROR(__xludf.DUMMYFUNCTION("""COMPUTED_VALUE"""),"[]")</f>
        <v>[]</v>
      </c>
      <c r="X3924" s="6" t="str">
        <f>IFERROR(__xludf.DUMMYFUNCTION("""COMPUTED_VALUE"""),"Enrolled")</f>
        <v>Enrolled</v>
      </c>
    </row>
    <row r="3925">
      <c r="A3925" s="6" t="str">
        <f>IFERROR(__xludf.DUMMYFUNCTION("""COMPUTED_VALUE"""),"068-10333")</f>
        <v>068-10333</v>
      </c>
      <c r="B3925" s="6" t="str">
        <f>IFERROR(__xludf.DUMMYFUNCTION("""COMPUTED_VALUE"""),"68")</f>
        <v>68</v>
      </c>
      <c r="C3925" s="6" t="str">
        <f>IFERROR(__xludf.DUMMYFUNCTION("""COMPUTED_VALUE"""),"10333")</f>
        <v>10333</v>
      </c>
      <c r="D3925" s="6" t="str">
        <f>IFERROR(__xludf.DUMMYFUNCTION("""COMPUTED_VALUE"""),"Soccoro")</f>
        <v>Soccoro</v>
      </c>
      <c r="E3925" s="6" t="str">
        <f>IFERROR(__xludf.DUMMYFUNCTION("""COMPUTED_VALUE"""),"")</f>
        <v/>
      </c>
      <c r="F3925" s="6" t="str">
        <f>IFERROR(__xludf.DUMMYFUNCTION("""COMPUTED_VALUE"""),"Bowen")</f>
        <v>Bowen</v>
      </c>
      <c r="G3925" s="6" t="str">
        <f>IFERROR(__xludf.DUMMYFUNCTION("""COMPUTED_VALUE"""),"09/25/2009")</f>
        <v>09/25/2009</v>
      </c>
      <c r="H3925" s="6" t="str">
        <f>IFERROR(__xludf.DUMMYFUNCTION("""COMPUTED_VALUE"""),"Self Identify")</f>
        <v>Self Identify</v>
      </c>
      <c r="I3925" s="6" t="str">
        <f>IFERROR(__xludf.DUMMYFUNCTION("""COMPUTED_VALUE"""),"High School")</f>
        <v>High School</v>
      </c>
      <c r="J3925" s="6" t="str">
        <f>IFERROR(__xludf.DUMMYFUNCTION("""COMPUTED_VALUE"""),"10")</f>
        <v>10</v>
      </c>
      <c r="K3925" s="6" t="str">
        <f>IFERROR(__xludf.DUMMYFUNCTION("""COMPUTED_VALUE"""),"soccoro.bowen@2hourlearning.com")</f>
        <v>soccoro.bowen@2hourlearning.com</v>
      </c>
      <c r="L3925" s="6" t="str">
        <f>IFERROR(__xludf.DUMMYFUNCTION("""COMPUTED_VALUE"""),"SPIRE Academy")</f>
        <v>SPIRE Academy</v>
      </c>
      <c r="M3925" s="6" t="str">
        <f>IFERROR(__xludf.DUMMYFUNCTION("""COMPUTED_VALUE"""),"SWM")</f>
        <v>SWM</v>
      </c>
      <c r="N3925" s="6" t="str">
        <f>IFERROR(__xludf.DUMMYFUNCTION("""COMPUTED_VALUE"""),"")</f>
        <v/>
      </c>
      <c r="O3925" s="87" t="str">
        <f>IFERROR(__xludf.DUMMYFUNCTION("""COMPUTED_VALUE"""),"https://drive.google.com/drive/folders/10T2cTQHqEJZqE-st6uFKPoI?usp=share_link")</f>
        <v>https://drive.google.com/drive/folders/10T2cTQHqEJZqE-st6uFKPoI?usp=share_link</v>
      </c>
      <c r="P3925" s="6" t="str">
        <f>IFERROR(__xludf.DUMMYFUNCTION("""COMPUTED_VALUE"""),"Soccoro Bowen")</f>
        <v>Soccoro Bowen</v>
      </c>
      <c r="Q3925" s="6" t="str">
        <f>IFERROR(__xludf.DUMMYFUNCTION("""COMPUTED_VALUE"""),"HS")</f>
        <v>HS</v>
      </c>
      <c r="R3925" s="6">
        <f>IFERROR(__xludf.DUMMYFUNCTION("""COMPUTED_VALUE"""),0.0)</f>
        <v>0</v>
      </c>
      <c r="S3925" s="6" t="str">
        <f>IFERROR(__xludf.DUMMYFUNCTION("""COMPUTED_VALUE""")," ")</f>
        <v> </v>
      </c>
      <c r="T3925" s="6" t="str">
        <f>IFERROR(__xludf.DUMMYFUNCTION("""COMPUTED_VALUE"""),"")</f>
        <v/>
      </c>
      <c r="U3925" s="6" t="str">
        <f>IFERROR(__xludf.DUMMYFUNCTION("""COMPUTED_VALUE"""),"10")</f>
        <v>10</v>
      </c>
      <c r="V3925" s="6" t="str">
        <f>IFERROR(__xludf.DUMMYFUNCTION("""COMPUTED_VALUE"""),"English")</f>
        <v>English</v>
      </c>
      <c r="W3925" s="6" t="str">
        <f>IFERROR(__xludf.DUMMYFUNCTION("""COMPUTED_VALUE"""),"[]")</f>
        <v>[]</v>
      </c>
      <c r="X3925" s="6" t="str">
        <f>IFERROR(__xludf.DUMMYFUNCTION("""COMPUTED_VALUE"""),"Enrolled")</f>
        <v>Enrolled</v>
      </c>
    </row>
    <row r="3926">
      <c r="A3926" s="6" t="str">
        <f>IFERROR(__xludf.DUMMYFUNCTION("""COMPUTED_VALUE"""),"068-10334")</f>
        <v>068-10334</v>
      </c>
      <c r="B3926" s="6" t="str">
        <f>IFERROR(__xludf.DUMMYFUNCTION("""COMPUTED_VALUE"""),"68")</f>
        <v>68</v>
      </c>
      <c r="C3926" s="6" t="str">
        <f>IFERROR(__xludf.DUMMYFUNCTION("""COMPUTED_VALUE"""),"10334")</f>
        <v>10334</v>
      </c>
      <c r="D3926" s="6" t="str">
        <f>IFERROR(__xludf.DUMMYFUNCTION("""COMPUTED_VALUE"""),"Hannah")</f>
        <v>Hannah</v>
      </c>
      <c r="E3926" s="6" t="str">
        <f>IFERROR(__xludf.DUMMYFUNCTION("""COMPUTED_VALUE"""),"")</f>
        <v/>
      </c>
      <c r="F3926" s="6" t="str">
        <f>IFERROR(__xludf.DUMMYFUNCTION("""COMPUTED_VALUE"""),"Campbell")</f>
        <v>Campbell</v>
      </c>
      <c r="G3926" s="6" t="str">
        <f>IFERROR(__xludf.DUMMYFUNCTION("""COMPUTED_VALUE"""),"04/01/2011")</f>
        <v>04/01/2011</v>
      </c>
      <c r="H3926" s="6" t="str">
        <f>IFERROR(__xludf.DUMMYFUNCTION("""COMPUTED_VALUE"""),"Self Identify")</f>
        <v>Self Identify</v>
      </c>
      <c r="I3926" s="6" t="str">
        <f>IFERROR(__xludf.DUMMYFUNCTION("""COMPUTED_VALUE"""),"High School")</f>
        <v>High School</v>
      </c>
      <c r="J3926" s="6" t="str">
        <f>IFERROR(__xludf.DUMMYFUNCTION("""COMPUTED_VALUE"""),"9")</f>
        <v>9</v>
      </c>
      <c r="K3926" s="6" t="str">
        <f>IFERROR(__xludf.DUMMYFUNCTION("""COMPUTED_VALUE"""),"hannah.campbell@2hourlearning.com")</f>
        <v>hannah.campbell@2hourlearning.com</v>
      </c>
      <c r="L3926" s="6" t="str">
        <f>IFERROR(__xludf.DUMMYFUNCTION("""COMPUTED_VALUE"""),"SPIRE Academy")</f>
        <v>SPIRE Academy</v>
      </c>
      <c r="M3926" s="6" t="str">
        <f>IFERROR(__xludf.DUMMYFUNCTION("""COMPUTED_VALUE"""),"WVB")</f>
        <v>WVB</v>
      </c>
      <c r="N3926" s="6" t="str">
        <f>IFERROR(__xludf.DUMMYFUNCTION("""COMPUTED_VALUE"""),"")</f>
        <v/>
      </c>
      <c r="O3926" s="87" t="str">
        <f>IFERROR(__xludf.DUMMYFUNCTION("""COMPUTED_VALUE"""),"https://drive.google.com/drive/folders/10T2cTQHqEJZqE-st6uFKPoI?usp=share_link")</f>
        <v>https://drive.google.com/drive/folders/10T2cTQHqEJZqE-st6uFKPoI?usp=share_link</v>
      </c>
      <c r="P3926" s="6" t="str">
        <f>IFERROR(__xludf.DUMMYFUNCTION("""COMPUTED_VALUE"""),"Hannah Campbell")</f>
        <v>Hannah Campbell</v>
      </c>
      <c r="Q3926" s="6" t="str">
        <f>IFERROR(__xludf.DUMMYFUNCTION("""COMPUTED_VALUE"""),"HS")</f>
        <v>HS</v>
      </c>
      <c r="R3926" s="6">
        <f>IFERROR(__xludf.DUMMYFUNCTION("""COMPUTED_VALUE"""),0.0)</f>
        <v>0</v>
      </c>
      <c r="S3926" s="6" t="str">
        <f>IFERROR(__xludf.DUMMYFUNCTION("""COMPUTED_VALUE""")," ")</f>
        <v> </v>
      </c>
      <c r="T3926" s="6" t="str">
        <f>IFERROR(__xludf.DUMMYFUNCTION("""COMPUTED_VALUE"""),"")</f>
        <v/>
      </c>
      <c r="U3926" s="6" t="str">
        <f>IFERROR(__xludf.DUMMYFUNCTION("""COMPUTED_VALUE"""),"9")</f>
        <v>9</v>
      </c>
      <c r="V3926" s="6" t="str">
        <f>IFERROR(__xludf.DUMMYFUNCTION("""COMPUTED_VALUE"""),"English")</f>
        <v>English</v>
      </c>
      <c r="W3926" s="6" t="str">
        <f>IFERROR(__xludf.DUMMYFUNCTION("""COMPUTED_VALUE"""),"[]")</f>
        <v>[]</v>
      </c>
      <c r="X3926" s="6" t="str">
        <f>IFERROR(__xludf.DUMMYFUNCTION("""COMPUTED_VALUE"""),"Enrolled")</f>
        <v>Enrolled</v>
      </c>
    </row>
    <row r="3927">
      <c r="A3927" s="6" t="str">
        <f>IFERROR(__xludf.DUMMYFUNCTION("""COMPUTED_VALUE"""),"068-10335")</f>
        <v>068-10335</v>
      </c>
      <c r="B3927" s="6" t="str">
        <f>IFERROR(__xludf.DUMMYFUNCTION("""COMPUTED_VALUE"""),"68")</f>
        <v>68</v>
      </c>
      <c r="C3927" s="6" t="str">
        <f>IFERROR(__xludf.DUMMYFUNCTION("""COMPUTED_VALUE"""),"10335")</f>
        <v>10335</v>
      </c>
      <c r="D3927" s="6" t="str">
        <f>IFERROR(__xludf.DUMMYFUNCTION("""COMPUTED_VALUE"""),"Reed")</f>
        <v>Reed</v>
      </c>
      <c r="E3927" s="6" t="str">
        <f>IFERROR(__xludf.DUMMYFUNCTION("""COMPUTED_VALUE"""),"")</f>
        <v/>
      </c>
      <c r="F3927" s="6" t="str">
        <f>IFERROR(__xludf.DUMMYFUNCTION("""COMPUTED_VALUE"""),"Cotton")</f>
        <v>Cotton</v>
      </c>
      <c r="G3927" s="6" t="str">
        <f>IFERROR(__xludf.DUMMYFUNCTION("""COMPUTED_VALUE"""),"12/23/2009")</f>
        <v>12/23/2009</v>
      </c>
      <c r="H3927" s="6" t="str">
        <f>IFERROR(__xludf.DUMMYFUNCTION("""COMPUTED_VALUE"""),"Self Identify")</f>
        <v>Self Identify</v>
      </c>
      <c r="I3927" s="6" t="str">
        <f>IFERROR(__xludf.DUMMYFUNCTION("""COMPUTED_VALUE"""),"High School")</f>
        <v>High School</v>
      </c>
      <c r="J3927" s="6" t="str">
        <f>IFERROR(__xludf.DUMMYFUNCTION("""COMPUTED_VALUE"""),"9")</f>
        <v>9</v>
      </c>
      <c r="K3927" s="6" t="str">
        <f>IFERROR(__xludf.DUMMYFUNCTION("""COMPUTED_VALUE"""),"reed.cotton@2hourlearning.com")</f>
        <v>reed.cotton@2hourlearning.com</v>
      </c>
      <c r="L3927" s="6" t="str">
        <f>IFERROR(__xludf.DUMMYFUNCTION("""COMPUTED_VALUE"""),"SPIRE Academy")</f>
        <v>SPIRE Academy</v>
      </c>
      <c r="M3927" s="6" t="str">
        <f>IFERROR(__xludf.DUMMYFUNCTION("""COMPUTED_VALUE"""),"MBBV")</f>
        <v>MBBV</v>
      </c>
      <c r="N3927" s="6" t="str">
        <f>IFERROR(__xludf.DUMMYFUNCTION("""COMPUTED_VALUE"""),"")</f>
        <v/>
      </c>
      <c r="O3927" s="87" t="str">
        <f>IFERROR(__xludf.DUMMYFUNCTION("""COMPUTED_VALUE"""),"https://drive.google.com/drive/folders/10T2cTQHqEJZqE-st6uFKPoI?usp=share_link")</f>
        <v>https://drive.google.com/drive/folders/10T2cTQHqEJZqE-st6uFKPoI?usp=share_link</v>
      </c>
      <c r="P3927" s="6" t="str">
        <f>IFERROR(__xludf.DUMMYFUNCTION("""COMPUTED_VALUE"""),"Reed Cotton")</f>
        <v>Reed Cotton</v>
      </c>
      <c r="Q3927" s="6" t="str">
        <f>IFERROR(__xludf.DUMMYFUNCTION("""COMPUTED_VALUE"""),"HS")</f>
        <v>HS</v>
      </c>
      <c r="R3927" s="6">
        <f>IFERROR(__xludf.DUMMYFUNCTION("""COMPUTED_VALUE"""),0.0)</f>
        <v>0</v>
      </c>
      <c r="S3927" s="6" t="str">
        <f>IFERROR(__xludf.DUMMYFUNCTION("""COMPUTED_VALUE""")," ")</f>
        <v> </v>
      </c>
      <c r="T3927" s="6" t="str">
        <f>IFERROR(__xludf.DUMMYFUNCTION("""COMPUTED_VALUE"""),"")</f>
        <v/>
      </c>
      <c r="U3927" s="6" t="str">
        <f>IFERROR(__xludf.DUMMYFUNCTION("""COMPUTED_VALUE"""),"9")</f>
        <v>9</v>
      </c>
      <c r="V3927" s="6" t="str">
        <f>IFERROR(__xludf.DUMMYFUNCTION("""COMPUTED_VALUE"""),"English")</f>
        <v>English</v>
      </c>
      <c r="W3927" s="6" t="str">
        <f>IFERROR(__xludf.DUMMYFUNCTION("""COMPUTED_VALUE"""),"[]")</f>
        <v>[]</v>
      </c>
      <c r="X3927" s="6" t="str">
        <f>IFERROR(__xludf.DUMMYFUNCTION("""COMPUTED_VALUE"""),"Enrolled")</f>
        <v>Enrolled</v>
      </c>
    </row>
    <row r="3928">
      <c r="A3928" s="6" t="str">
        <f>IFERROR(__xludf.DUMMYFUNCTION("""COMPUTED_VALUE"""),"068-10336")</f>
        <v>068-10336</v>
      </c>
      <c r="B3928" s="6" t="str">
        <f>IFERROR(__xludf.DUMMYFUNCTION("""COMPUTED_VALUE"""),"68")</f>
        <v>68</v>
      </c>
      <c r="C3928" s="6" t="str">
        <f>IFERROR(__xludf.DUMMYFUNCTION("""COMPUTED_VALUE"""),"10336")</f>
        <v>10336</v>
      </c>
      <c r="D3928" s="6" t="str">
        <f>IFERROR(__xludf.DUMMYFUNCTION("""COMPUTED_VALUE"""),"Erkhes")</f>
        <v>Erkhes</v>
      </c>
      <c r="E3928" s="6" t="str">
        <f>IFERROR(__xludf.DUMMYFUNCTION("""COMPUTED_VALUE"""),"")</f>
        <v/>
      </c>
      <c r="F3928" s="6" t="str">
        <f>IFERROR(__xludf.DUMMYFUNCTION("""COMPUTED_VALUE"""),"Enkhtur")</f>
        <v>Enkhtur</v>
      </c>
      <c r="G3928" s="6" t="str">
        <f>IFERROR(__xludf.DUMMYFUNCTION("""COMPUTED_VALUE"""),"02/22/2008")</f>
        <v>02/22/2008</v>
      </c>
      <c r="H3928" s="6" t="str">
        <f>IFERROR(__xludf.DUMMYFUNCTION("""COMPUTED_VALUE"""),"Self Identify")</f>
        <v>Self Identify</v>
      </c>
      <c r="I3928" s="6" t="str">
        <f>IFERROR(__xludf.DUMMYFUNCTION("""COMPUTED_VALUE"""),"High School")</f>
        <v>High School</v>
      </c>
      <c r="J3928" s="6" t="str">
        <f>IFERROR(__xludf.DUMMYFUNCTION("""COMPUTED_VALUE"""),"12")</f>
        <v>12</v>
      </c>
      <c r="K3928" s="6" t="str">
        <f>IFERROR(__xludf.DUMMYFUNCTION("""COMPUTED_VALUE"""),"erkhes.enkhtur@2hourlearning.com")</f>
        <v>erkhes.enkhtur@2hourlearning.com</v>
      </c>
      <c r="L3928" s="6" t="str">
        <f>IFERROR(__xludf.DUMMYFUNCTION("""COMPUTED_VALUE"""),"SPIRE Academy")</f>
        <v>SPIRE Academy</v>
      </c>
      <c r="M3928" s="6" t="str">
        <f>IFERROR(__xludf.DUMMYFUNCTION("""COMPUTED_VALUE"""),"SWM")</f>
        <v>SWM</v>
      </c>
      <c r="N3928" s="6" t="str">
        <f>IFERROR(__xludf.DUMMYFUNCTION("""COMPUTED_VALUE"""),"")</f>
        <v/>
      </c>
      <c r="O3928" s="87" t="str">
        <f>IFERROR(__xludf.DUMMYFUNCTION("""COMPUTED_VALUE"""),"https://drive.google.com/drive/folders/10T2cTQHqEJZqE-st6uFKPoI?usp=share_link")</f>
        <v>https://drive.google.com/drive/folders/10T2cTQHqEJZqE-st6uFKPoI?usp=share_link</v>
      </c>
      <c r="P3928" s="6" t="str">
        <f>IFERROR(__xludf.DUMMYFUNCTION("""COMPUTED_VALUE"""),"Erkhes Enkhtur")</f>
        <v>Erkhes Enkhtur</v>
      </c>
      <c r="Q3928" s="6" t="str">
        <f>IFERROR(__xludf.DUMMYFUNCTION("""COMPUTED_VALUE"""),"HS")</f>
        <v>HS</v>
      </c>
      <c r="R3928" s="6">
        <f>IFERROR(__xludf.DUMMYFUNCTION("""COMPUTED_VALUE"""),0.0)</f>
        <v>0</v>
      </c>
      <c r="S3928" s="6" t="str">
        <f>IFERROR(__xludf.DUMMYFUNCTION("""COMPUTED_VALUE""")," ")</f>
        <v> </v>
      </c>
      <c r="T3928" s="6" t="str">
        <f>IFERROR(__xludf.DUMMYFUNCTION("""COMPUTED_VALUE"""),"")</f>
        <v/>
      </c>
      <c r="U3928" s="6" t="str">
        <f>IFERROR(__xludf.DUMMYFUNCTION("""COMPUTED_VALUE"""),"12")</f>
        <v>12</v>
      </c>
      <c r="V3928" s="6" t="str">
        <f>IFERROR(__xludf.DUMMYFUNCTION("""COMPUTED_VALUE"""),"English")</f>
        <v>English</v>
      </c>
      <c r="W3928" s="6" t="str">
        <f>IFERROR(__xludf.DUMMYFUNCTION("""COMPUTED_VALUE"""),"[]")</f>
        <v>[]</v>
      </c>
      <c r="X3928" s="6" t="str">
        <f>IFERROR(__xludf.DUMMYFUNCTION("""COMPUTED_VALUE"""),"Enrolled")</f>
        <v>Enrolled</v>
      </c>
    </row>
    <row r="3929">
      <c r="A3929" s="6" t="str">
        <f>IFERROR(__xludf.DUMMYFUNCTION("""COMPUTED_VALUE"""),"068-10337")</f>
        <v>068-10337</v>
      </c>
      <c r="B3929" s="6" t="str">
        <f>IFERROR(__xludf.DUMMYFUNCTION("""COMPUTED_VALUE"""),"68")</f>
        <v>68</v>
      </c>
      <c r="C3929" s="6" t="str">
        <f>IFERROR(__xludf.DUMMYFUNCTION("""COMPUTED_VALUE"""),"10337")</f>
        <v>10337</v>
      </c>
      <c r="D3929" s="6" t="str">
        <f>IFERROR(__xludf.DUMMYFUNCTION("""COMPUTED_VALUE"""),"Ronald")</f>
        <v>Ronald</v>
      </c>
      <c r="E3929" s="6" t="str">
        <f>IFERROR(__xludf.DUMMYFUNCTION("""COMPUTED_VALUE"""),"")</f>
        <v/>
      </c>
      <c r="F3929" s="6" t="str">
        <f>IFERROR(__xludf.DUMMYFUNCTION("""COMPUTED_VALUE"""),"Ford")</f>
        <v>Ford</v>
      </c>
      <c r="G3929" s="6" t="str">
        <f>IFERROR(__xludf.DUMMYFUNCTION("""COMPUTED_VALUE"""),"09/28/2009")</f>
        <v>09/28/2009</v>
      </c>
      <c r="H3929" s="6" t="str">
        <f>IFERROR(__xludf.DUMMYFUNCTION("""COMPUTED_VALUE"""),"Self Identify")</f>
        <v>Self Identify</v>
      </c>
      <c r="I3929" s="6" t="str">
        <f>IFERROR(__xludf.DUMMYFUNCTION("""COMPUTED_VALUE"""),"High School")</f>
        <v>High School</v>
      </c>
      <c r="J3929" s="6" t="str">
        <f>IFERROR(__xludf.DUMMYFUNCTION("""COMPUTED_VALUE"""),"10")</f>
        <v>10</v>
      </c>
      <c r="K3929" s="6" t="str">
        <f>IFERROR(__xludf.DUMMYFUNCTION("""COMPUTED_VALUE"""),"ronald.ford@2hourlearning.com")</f>
        <v>ronald.ford@2hourlearning.com</v>
      </c>
      <c r="L3929" s="6" t="str">
        <f>IFERROR(__xludf.DUMMYFUNCTION("""COMPUTED_VALUE"""),"SPIRE Academy")</f>
        <v>SPIRE Academy</v>
      </c>
      <c r="M3929" s="6" t="str">
        <f>IFERROR(__xludf.DUMMYFUNCTION("""COMPUTED_VALUE"""),"T&amp;F")</f>
        <v>T&amp;F</v>
      </c>
      <c r="N3929" s="6" t="str">
        <f>IFERROR(__xludf.DUMMYFUNCTION("""COMPUTED_VALUE"""),"")</f>
        <v/>
      </c>
      <c r="O3929" s="87" t="str">
        <f>IFERROR(__xludf.DUMMYFUNCTION("""COMPUTED_VALUE"""),"https://drive.google.com/drive/folders/10T2cTQHqEJZqE-st6uFKPoI?usp=share_link")</f>
        <v>https://drive.google.com/drive/folders/10T2cTQHqEJZqE-st6uFKPoI?usp=share_link</v>
      </c>
      <c r="P3929" s="6" t="str">
        <f>IFERROR(__xludf.DUMMYFUNCTION("""COMPUTED_VALUE"""),"Ronald Ford")</f>
        <v>Ronald Ford</v>
      </c>
      <c r="Q3929" s="6" t="str">
        <f>IFERROR(__xludf.DUMMYFUNCTION("""COMPUTED_VALUE"""),"HS")</f>
        <v>HS</v>
      </c>
      <c r="R3929" s="6">
        <f>IFERROR(__xludf.DUMMYFUNCTION("""COMPUTED_VALUE"""),0.0)</f>
        <v>0</v>
      </c>
      <c r="S3929" s="6" t="str">
        <f>IFERROR(__xludf.DUMMYFUNCTION("""COMPUTED_VALUE""")," ")</f>
        <v> </v>
      </c>
      <c r="T3929" s="6" t="str">
        <f>IFERROR(__xludf.DUMMYFUNCTION("""COMPUTED_VALUE"""),"")</f>
        <v/>
      </c>
      <c r="U3929" s="6" t="str">
        <f>IFERROR(__xludf.DUMMYFUNCTION("""COMPUTED_VALUE"""),"10")</f>
        <v>10</v>
      </c>
      <c r="V3929" s="6" t="str">
        <f>IFERROR(__xludf.DUMMYFUNCTION("""COMPUTED_VALUE"""),"English")</f>
        <v>English</v>
      </c>
      <c r="W3929" s="6" t="str">
        <f>IFERROR(__xludf.DUMMYFUNCTION("""COMPUTED_VALUE"""),"[]")</f>
        <v>[]</v>
      </c>
      <c r="X3929" s="6" t="str">
        <f>IFERROR(__xludf.DUMMYFUNCTION("""COMPUTED_VALUE"""),"Enrolled")</f>
        <v>Enrolled</v>
      </c>
    </row>
    <row r="3930">
      <c r="A3930" s="6" t="str">
        <f>IFERROR(__xludf.DUMMYFUNCTION("""COMPUTED_VALUE"""),"068-10339")</f>
        <v>068-10339</v>
      </c>
      <c r="B3930" s="6" t="str">
        <f>IFERROR(__xludf.DUMMYFUNCTION("""COMPUTED_VALUE"""),"68")</f>
        <v>68</v>
      </c>
      <c r="C3930" s="6" t="str">
        <f>IFERROR(__xludf.DUMMYFUNCTION("""COMPUTED_VALUE"""),"10339")</f>
        <v>10339</v>
      </c>
      <c r="D3930" s="6" t="str">
        <f>IFERROR(__xludf.DUMMYFUNCTION("""COMPUTED_VALUE"""),"Alex")</f>
        <v>Alex</v>
      </c>
      <c r="E3930" s="6" t="str">
        <f>IFERROR(__xludf.DUMMYFUNCTION("""COMPUTED_VALUE"""),"")</f>
        <v/>
      </c>
      <c r="F3930" s="6" t="str">
        <f>IFERROR(__xludf.DUMMYFUNCTION("""COMPUTED_VALUE"""),"Irons")</f>
        <v>Irons</v>
      </c>
      <c r="G3930" s="6" t="str">
        <f>IFERROR(__xludf.DUMMYFUNCTION("""COMPUTED_VALUE"""),"03/15/2009")</f>
        <v>03/15/2009</v>
      </c>
      <c r="H3930" s="6" t="str">
        <f>IFERROR(__xludf.DUMMYFUNCTION("""COMPUTED_VALUE"""),"Self Identify")</f>
        <v>Self Identify</v>
      </c>
      <c r="I3930" s="6" t="str">
        <f>IFERROR(__xludf.DUMMYFUNCTION("""COMPUTED_VALUE"""),"High School")</f>
        <v>High School</v>
      </c>
      <c r="J3930" s="6" t="str">
        <f>IFERROR(__xludf.DUMMYFUNCTION("""COMPUTED_VALUE"""),"12")</f>
        <v>12</v>
      </c>
      <c r="K3930" s="6" t="str">
        <f>IFERROR(__xludf.DUMMYFUNCTION("""COMPUTED_VALUE"""),"alex.irons@2hourlearning.com")</f>
        <v>alex.irons@2hourlearning.com</v>
      </c>
      <c r="L3930" s="6" t="str">
        <f>IFERROR(__xludf.DUMMYFUNCTION("""COMPUTED_VALUE"""),"SPIRE Academy")</f>
        <v>SPIRE Academy</v>
      </c>
      <c r="M3930" s="6" t="str">
        <f>IFERROR(__xludf.DUMMYFUNCTION("""COMPUTED_VALUE"""),"T&amp;F")</f>
        <v>T&amp;F</v>
      </c>
      <c r="N3930" s="6" t="str">
        <f>IFERROR(__xludf.DUMMYFUNCTION("""COMPUTED_VALUE"""),"")</f>
        <v/>
      </c>
      <c r="O3930" s="87" t="str">
        <f>IFERROR(__xludf.DUMMYFUNCTION("""COMPUTED_VALUE"""),"https://drive.google.com/drive/folders/10T2cTQHqEJZqE-st6uFKPoI?usp=share_link")</f>
        <v>https://drive.google.com/drive/folders/10T2cTQHqEJZqE-st6uFKPoI?usp=share_link</v>
      </c>
      <c r="P3930" s="6" t="str">
        <f>IFERROR(__xludf.DUMMYFUNCTION("""COMPUTED_VALUE"""),"Alex Irons")</f>
        <v>Alex Irons</v>
      </c>
      <c r="Q3930" s="6" t="str">
        <f>IFERROR(__xludf.DUMMYFUNCTION("""COMPUTED_VALUE"""),"HS")</f>
        <v>HS</v>
      </c>
      <c r="R3930" s="6">
        <f>IFERROR(__xludf.DUMMYFUNCTION("""COMPUTED_VALUE"""),0.0)</f>
        <v>0</v>
      </c>
      <c r="S3930" s="6" t="str">
        <f>IFERROR(__xludf.DUMMYFUNCTION("""COMPUTED_VALUE""")," ")</f>
        <v> </v>
      </c>
      <c r="T3930" s="6" t="str">
        <f>IFERROR(__xludf.DUMMYFUNCTION("""COMPUTED_VALUE"""),"")</f>
        <v/>
      </c>
      <c r="U3930" s="6" t="str">
        <f>IFERROR(__xludf.DUMMYFUNCTION("""COMPUTED_VALUE"""),"12")</f>
        <v>12</v>
      </c>
      <c r="V3930" s="6" t="str">
        <f>IFERROR(__xludf.DUMMYFUNCTION("""COMPUTED_VALUE"""),"English")</f>
        <v>English</v>
      </c>
      <c r="W3930" s="6" t="str">
        <f>IFERROR(__xludf.DUMMYFUNCTION("""COMPUTED_VALUE"""),"[]")</f>
        <v>[]</v>
      </c>
      <c r="X3930" s="6" t="str">
        <f>IFERROR(__xludf.DUMMYFUNCTION("""COMPUTED_VALUE"""),"Enrolled")</f>
        <v>Enrolled</v>
      </c>
    </row>
    <row r="3931">
      <c r="A3931" s="6" t="str">
        <f>IFERROR(__xludf.DUMMYFUNCTION("""COMPUTED_VALUE"""),"068-10344")</f>
        <v>068-10344</v>
      </c>
      <c r="B3931" s="6" t="str">
        <f>IFERROR(__xludf.DUMMYFUNCTION("""COMPUTED_VALUE"""),"68")</f>
        <v>68</v>
      </c>
      <c r="C3931" s="6" t="str">
        <f>IFERROR(__xludf.DUMMYFUNCTION("""COMPUTED_VALUE"""),"10344")</f>
        <v>10344</v>
      </c>
      <c r="D3931" s="6" t="str">
        <f>IFERROR(__xludf.DUMMYFUNCTION("""COMPUTED_VALUE"""),"Maya")</f>
        <v>Maya</v>
      </c>
      <c r="E3931" s="6" t="str">
        <f>IFERROR(__xludf.DUMMYFUNCTION("""COMPUTED_VALUE"""),"")</f>
        <v/>
      </c>
      <c r="F3931" s="6" t="str">
        <f>IFERROR(__xludf.DUMMYFUNCTION("""COMPUTED_VALUE"""),"Peilet")</f>
        <v>Peilet</v>
      </c>
      <c r="G3931" s="6" t="str">
        <f>IFERROR(__xludf.DUMMYFUNCTION("""COMPUTED_VALUE"""),"10/04/2009")</f>
        <v>10/04/2009</v>
      </c>
      <c r="H3931" s="6" t="str">
        <f>IFERROR(__xludf.DUMMYFUNCTION("""COMPUTED_VALUE"""),"Self Identify")</f>
        <v>Self Identify</v>
      </c>
      <c r="I3931" s="6" t="str">
        <f>IFERROR(__xludf.DUMMYFUNCTION("""COMPUTED_VALUE"""),"High School")</f>
        <v>High School</v>
      </c>
      <c r="J3931" s="6" t="str">
        <f>IFERROR(__xludf.DUMMYFUNCTION("""COMPUTED_VALUE"""),"10")</f>
        <v>10</v>
      </c>
      <c r="K3931" s="6" t="str">
        <f>IFERROR(__xludf.DUMMYFUNCTION("""COMPUTED_VALUE"""),"maya.peilet@2hourlearning.com")</f>
        <v>maya.peilet@2hourlearning.com</v>
      </c>
      <c r="L3931" s="6" t="str">
        <f>IFERROR(__xludf.DUMMYFUNCTION("""COMPUTED_VALUE"""),"SPIRE Academy")</f>
        <v>SPIRE Academy</v>
      </c>
      <c r="M3931" s="6" t="str">
        <f>IFERROR(__xludf.DUMMYFUNCTION("""COMPUTED_VALUE"""),"WVB")</f>
        <v>WVB</v>
      </c>
      <c r="N3931" s="6" t="str">
        <f>IFERROR(__xludf.DUMMYFUNCTION("""COMPUTED_VALUE"""),"")</f>
        <v/>
      </c>
      <c r="O3931" s="87" t="str">
        <f>IFERROR(__xludf.DUMMYFUNCTION("""COMPUTED_VALUE"""),"https://drive.google.com/drive/folders/10T2cTQHqEJZqE-st6uFKPoI?usp=share_link")</f>
        <v>https://drive.google.com/drive/folders/10T2cTQHqEJZqE-st6uFKPoI?usp=share_link</v>
      </c>
      <c r="P3931" s="6" t="str">
        <f>IFERROR(__xludf.DUMMYFUNCTION("""COMPUTED_VALUE"""),"Maya Peilet")</f>
        <v>Maya Peilet</v>
      </c>
      <c r="Q3931" s="6" t="str">
        <f>IFERROR(__xludf.DUMMYFUNCTION("""COMPUTED_VALUE"""),"HS")</f>
        <v>HS</v>
      </c>
      <c r="R3931" s="6">
        <f>IFERROR(__xludf.DUMMYFUNCTION("""COMPUTED_VALUE"""),0.0)</f>
        <v>0</v>
      </c>
      <c r="S3931" s="6" t="str">
        <f>IFERROR(__xludf.DUMMYFUNCTION("""COMPUTED_VALUE""")," ")</f>
        <v> </v>
      </c>
      <c r="T3931" s="6" t="str">
        <f>IFERROR(__xludf.DUMMYFUNCTION("""COMPUTED_VALUE"""),"")</f>
        <v/>
      </c>
      <c r="U3931" s="6" t="str">
        <f>IFERROR(__xludf.DUMMYFUNCTION("""COMPUTED_VALUE"""),"10")</f>
        <v>10</v>
      </c>
      <c r="V3931" s="6" t="str">
        <f>IFERROR(__xludf.DUMMYFUNCTION("""COMPUTED_VALUE"""),"English")</f>
        <v>English</v>
      </c>
      <c r="W3931" s="6" t="str">
        <f>IFERROR(__xludf.DUMMYFUNCTION("""COMPUTED_VALUE"""),"[]")</f>
        <v>[]</v>
      </c>
      <c r="X3931" s="6" t="str">
        <f>IFERROR(__xludf.DUMMYFUNCTION("""COMPUTED_VALUE"""),"Enrolled")</f>
        <v>Enrolled</v>
      </c>
    </row>
    <row r="3932">
      <c r="A3932" s="6" t="str">
        <f>IFERROR(__xludf.DUMMYFUNCTION("""COMPUTED_VALUE"""),"068-10352")</f>
        <v>068-10352</v>
      </c>
      <c r="B3932" s="6" t="str">
        <f>IFERROR(__xludf.DUMMYFUNCTION("""COMPUTED_VALUE"""),"68")</f>
        <v>68</v>
      </c>
      <c r="C3932" s="6" t="str">
        <f>IFERROR(__xludf.DUMMYFUNCTION("""COMPUTED_VALUE"""),"10352")</f>
        <v>10352</v>
      </c>
      <c r="D3932" s="6" t="str">
        <f>IFERROR(__xludf.DUMMYFUNCTION("""COMPUTED_VALUE"""),"Owen")</f>
        <v>Owen</v>
      </c>
      <c r="E3932" s="6" t="str">
        <f>IFERROR(__xludf.DUMMYFUNCTION("""COMPUTED_VALUE"""),"")</f>
        <v/>
      </c>
      <c r="F3932" s="6" t="str">
        <f>IFERROR(__xludf.DUMMYFUNCTION("""COMPUTED_VALUE"""),"Willaman")</f>
        <v>Willaman</v>
      </c>
      <c r="G3932" s="6" t="str">
        <f>IFERROR(__xludf.DUMMYFUNCTION("""COMPUTED_VALUE"""),"07/31/2008")</f>
        <v>07/31/2008</v>
      </c>
      <c r="H3932" s="6" t="str">
        <f>IFERROR(__xludf.DUMMYFUNCTION("""COMPUTED_VALUE"""),"Self Identify")</f>
        <v>Self Identify</v>
      </c>
      <c r="I3932" s="6" t="str">
        <f>IFERROR(__xludf.DUMMYFUNCTION("""COMPUTED_VALUE"""),"High School")</f>
        <v>High School</v>
      </c>
      <c r="J3932" s="6" t="str">
        <f>IFERROR(__xludf.DUMMYFUNCTION("""COMPUTED_VALUE"""),"12")</f>
        <v>12</v>
      </c>
      <c r="K3932" s="6" t="str">
        <f>IFERROR(__xludf.DUMMYFUNCTION("""COMPUTED_VALUE"""),"owen.willaman@2hourlearning.com")</f>
        <v>owen.willaman@2hourlearning.com</v>
      </c>
      <c r="L3932" s="6" t="str">
        <f>IFERROR(__xludf.DUMMYFUNCTION("""COMPUTED_VALUE"""),"SPIRE Academy")</f>
        <v>SPIRE Academy</v>
      </c>
      <c r="M3932" s="6" t="str">
        <f>IFERROR(__xludf.DUMMYFUNCTION("""COMPUTED_VALUE"""),"SWM")</f>
        <v>SWM</v>
      </c>
      <c r="N3932" s="6" t="str">
        <f>IFERROR(__xludf.DUMMYFUNCTION("""COMPUTED_VALUE"""),"")</f>
        <v/>
      </c>
      <c r="O3932" s="87" t="str">
        <f>IFERROR(__xludf.DUMMYFUNCTION("""COMPUTED_VALUE"""),"https://drive.google.com/drive/folders/10T2cTQHqEJZqE-st6uFKPoI?usp=share_link")</f>
        <v>https://drive.google.com/drive/folders/10T2cTQHqEJZqE-st6uFKPoI?usp=share_link</v>
      </c>
      <c r="P3932" s="6" t="str">
        <f>IFERROR(__xludf.DUMMYFUNCTION("""COMPUTED_VALUE"""),"Owen Willaman")</f>
        <v>Owen Willaman</v>
      </c>
      <c r="Q3932" s="6" t="str">
        <f>IFERROR(__xludf.DUMMYFUNCTION("""COMPUTED_VALUE"""),"HS")</f>
        <v>HS</v>
      </c>
      <c r="R3932" s="6">
        <f>IFERROR(__xludf.DUMMYFUNCTION("""COMPUTED_VALUE"""),0.0)</f>
        <v>0</v>
      </c>
      <c r="S3932" s="6" t="str">
        <f>IFERROR(__xludf.DUMMYFUNCTION("""COMPUTED_VALUE""")," ")</f>
        <v> </v>
      </c>
      <c r="T3932" s="6" t="str">
        <f>IFERROR(__xludf.DUMMYFUNCTION("""COMPUTED_VALUE"""),"")</f>
        <v/>
      </c>
      <c r="U3932" s="6" t="str">
        <f>IFERROR(__xludf.DUMMYFUNCTION("""COMPUTED_VALUE"""),"12")</f>
        <v>12</v>
      </c>
      <c r="V3932" s="6" t="str">
        <f>IFERROR(__xludf.DUMMYFUNCTION("""COMPUTED_VALUE"""),"English")</f>
        <v>English</v>
      </c>
      <c r="W3932" s="6" t="str">
        <f>IFERROR(__xludf.DUMMYFUNCTION("""COMPUTED_VALUE"""),"[]")</f>
        <v>[]</v>
      </c>
      <c r="X3932" s="6" t="str">
        <f>IFERROR(__xludf.DUMMYFUNCTION("""COMPUTED_VALUE"""),"Enrolled")</f>
        <v>Enrolled</v>
      </c>
    </row>
    <row r="3933">
      <c r="A3933" s="6" t="str">
        <f>IFERROR(__xludf.DUMMYFUNCTION("""COMPUTED_VALUE"""),"068-10354")</f>
        <v>068-10354</v>
      </c>
      <c r="B3933" s="6" t="str">
        <f>IFERROR(__xludf.DUMMYFUNCTION("""COMPUTED_VALUE"""),"68")</f>
        <v>68</v>
      </c>
      <c r="C3933" s="6" t="str">
        <f>IFERROR(__xludf.DUMMYFUNCTION("""COMPUTED_VALUE"""),"10354")</f>
        <v>10354</v>
      </c>
      <c r="D3933" s="6" t="str">
        <f>IFERROR(__xludf.DUMMYFUNCTION("""COMPUTED_VALUE"""),"Bosiaki")</f>
        <v>Bosiaki</v>
      </c>
      <c r="E3933" s="6" t="str">
        <f>IFERROR(__xludf.DUMMYFUNCTION("""COMPUTED_VALUE"""),"")</f>
        <v/>
      </c>
      <c r="F3933" s="6" t="str">
        <f>IFERROR(__xludf.DUMMYFUNCTION("""COMPUTED_VALUE"""),"Nathan")</f>
        <v>Nathan</v>
      </c>
      <c r="G3933" s="6" t="str">
        <f>IFERROR(__xludf.DUMMYFUNCTION("""COMPUTED_VALUE"""),"02/16/2010")</f>
        <v>02/16/2010</v>
      </c>
      <c r="H3933" s="6" t="str">
        <f>IFERROR(__xludf.DUMMYFUNCTION("""COMPUTED_VALUE"""),"Self Identify")</f>
        <v>Self Identify</v>
      </c>
      <c r="I3933" s="6" t="str">
        <f>IFERROR(__xludf.DUMMYFUNCTION("""COMPUTED_VALUE"""),"High School")</f>
        <v>High School</v>
      </c>
      <c r="J3933" s="6" t="str">
        <f>IFERROR(__xludf.DUMMYFUNCTION("""COMPUTED_VALUE"""),"10")</f>
        <v>10</v>
      </c>
      <c r="K3933" s="6" t="str">
        <f>IFERROR(__xludf.DUMMYFUNCTION("""COMPUTED_VALUE"""),"bosiaki.nathan@2hourlearning.com")</f>
        <v>bosiaki.nathan@2hourlearning.com</v>
      </c>
      <c r="L3933" s="6" t="str">
        <f>IFERROR(__xludf.DUMMYFUNCTION("""COMPUTED_VALUE"""),"SPIRE Academy")</f>
        <v>SPIRE Academy</v>
      </c>
      <c r="M3933" s="6" t="str">
        <f>IFERROR(__xludf.DUMMYFUNCTION("""COMPUTED_VALUE"""),"MBBPGN")</f>
        <v>MBBPGN</v>
      </c>
      <c r="N3933" s="6" t="str">
        <f>IFERROR(__xludf.DUMMYFUNCTION("""COMPUTED_VALUE"""),"")</f>
        <v/>
      </c>
      <c r="O3933" s="87" t="str">
        <f>IFERROR(__xludf.DUMMYFUNCTION("""COMPUTED_VALUE"""),"https://drive.google.com/drive/folders/10T2cTQHqEJZqE-st6uFKPoI?usp=share_link")</f>
        <v>https://drive.google.com/drive/folders/10T2cTQHqEJZqE-st6uFKPoI?usp=share_link</v>
      </c>
      <c r="P3933" s="6" t="str">
        <f>IFERROR(__xludf.DUMMYFUNCTION("""COMPUTED_VALUE"""),"Bosiaki Nathan")</f>
        <v>Bosiaki Nathan</v>
      </c>
      <c r="Q3933" s="6" t="str">
        <f>IFERROR(__xludf.DUMMYFUNCTION("""COMPUTED_VALUE"""),"HS")</f>
        <v>HS</v>
      </c>
      <c r="R3933" s="6">
        <f>IFERROR(__xludf.DUMMYFUNCTION("""COMPUTED_VALUE"""),0.0)</f>
        <v>0</v>
      </c>
      <c r="S3933" s="6" t="str">
        <f>IFERROR(__xludf.DUMMYFUNCTION("""COMPUTED_VALUE""")," ")</f>
        <v> </v>
      </c>
      <c r="T3933" s="6" t="str">
        <f>IFERROR(__xludf.DUMMYFUNCTION("""COMPUTED_VALUE"""),"")</f>
        <v/>
      </c>
      <c r="U3933" s="6" t="str">
        <f>IFERROR(__xludf.DUMMYFUNCTION("""COMPUTED_VALUE"""),"10")</f>
        <v>10</v>
      </c>
      <c r="V3933" s="6" t="str">
        <f>IFERROR(__xludf.DUMMYFUNCTION("""COMPUTED_VALUE"""),"English")</f>
        <v>English</v>
      </c>
      <c r="W3933" s="6" t="str">
        <f>IFERROR(__xludf.DUMMYFUNCTION("""COMPUTED_VALUE"""),"[]")</f>
        <v>[]</v>
      </c>
      <c r="X3933" s="6" t="str">
        <f>IFERROR(__xludf.DUMMYFUNCTION("""COMPUTED_VALUE"""),"Enrolled")</f>
        <v>Enrolled</v>
      </c>
    </row>
    <row r="3934">
      <c r="A3934" s="6" t="str">
        <f>IFERROR(__xludf.DUMMYFUNCTION("""COMPUTED_VALUE"""),"068-10355")</f>
        <v>068-10355</v>
      </c>
      <c r="B3934" s="6" t="str">
        <f>IFERROR(__xludf.DUMMYFUNCTION("""COMPUTED_VALUE"""),"68")</f>
        <v>68</v>
      </c>
      <c r="C3934" s="6" t="str">
        <f>IFERROR(__xludf.DUMMYFUNCTION("""COMPUTED_VALUE"""),"10355")</f>
        <v>10355</v>
      </c>
      <c r="D3934" s="6" t="str">
        <f>IFERROR(__xludf.DUMMYFUNCTION("""COMPUTED_VALUE"""),"Busch")</f>
        <v>Busch</v>
      </c>
      <c r="E3934" s="6" t="str">
        <f>IFERROR(__xludf.DUMMYFUNCTION("""COMPUTED_VALUE"""),"")</f>
        <v/>
      </c>
      <c r="F3934" s="6" t="str">
        <f>IFERROR(__xludf.DUMMYFUNCTION("""COMPUTED_VALUE"""),"Bray")</f>
        <v>Bray</v>
      </c>
      <c r="G3934" s="6" t="str">
        <f>IFERROR(__xludf.DUMMYFUNCTION("""COMPUTED_VALUE"""),"09/19/2008")</f>
        <v>09/19/2008</v>
      </c>
      <c r="H3934" s="6" t="str">
        <f>IFERROR(__xludf.DUMMYFUNCTION("""COMPUTED_VALUE"""),"Self Identify")</f>
        <v>Self Identify</v>
      </c>
      <c r="I3934" s="6" t="str">
        <f>IFERROR(__xludf.DUMMYFUNCTION("""COMPUTED_VALUE"""),"High School")</f>
        <v>High School</v>
      </c>
      <c r="J3934" s="6" t="str">
        <f>IFERROR(__xludf.DUMMYFUNCTION("""COMPUTED_VALUE"""),"11")</f>
        <v>11</v>
      </c>
      <c r="K3934" s="6" t="str">
        <f>IFERROR(__xludf.DUMMYFUNCTION("""COMPUTED_VALUE"""),"busch.bray@2hourlearning.com")</f>
        <v>busch.bray@2hourlearning.com</v>
      </c>
      <c r="L3934" s="6" t="str">
        <f>IFERROR(__xludf.DUMMYFUNCTION("""COMPUTED_VALUE"""),"SPIRE Academy")</f>
        <v>SPIRE Academy</v>
      </c>
      <c r="M3934" s="6" t="str">
        <f>IFERROR(__xludf.DUMMYFUNCTION("""COMPUTED_VALUE"""),"MSOC")</f>
        <v>MSOC</v>
      </c>
      <c r="N3934" s="6" t="str">
        <f>IFERROR(__xludf.DUMMYFUNCTION("""COMPUTED_VALUE"""),"")</f>
        <v/>
      </c>
      <c r="O3934" s="87" t="str">
        <f>IFERROR(__xludf.DUMMYFUNCTION("""COMPUTED_VALUE"""),"https://drive.google.com/drive/folders/10T2cTQHqEJZqE-st6uFKPoI?usp=share_link")</f>
        <v>https://drive.google.com/drive/folders/10T2cTQHqEJZqE-st6uFKPoI?usp=share_link</v>
      </c>
      <c r="P3934" s="6" t="str">
        <f>IFERROR(__xludf.DUMMYFUNCTION("""COMPUTED_VALUE"""),"Busch Bray")</f>
        <v>Busch Bray</v>
      </c>
      <c r="Q3934" s="6" t="str">
        <f>IFERROR(__xludf.DUMMYFUNCTION("""COMPUTED_VALUE"""),"HS")</f>
        <v>HS</v>
      </c>
      <c r="R3934" s="6">
        <f>IFERROR(__xludf.DUMMYFUNCTION("""COMPUTED_VALUE"""),0.0)</f>
        <v>0</v>
      </c>
      <c r="S3934" s="6" t="str">
        <f>IFERROR(__xludf.DUMMYFUNCTION("""COMPUTED_VALUE""")," ")</f>
        <v> </v>
      </c>
      <c r="T3934" s="6" t="str">
        <f>IFERROR(__xludf.DUMMYFUNCTION("""COMPUTED_VALUE"""),"")</f>
        <v/>
      </c>
      <c r="U3934" s="6" t="str">
        <f>IFERROR(__xludf.DUMMYFUNCTION("""COMPUTED_VALUE"""),"11")</f>
        <v>11</v>
      </c>
      <c r="V3934" s="6" t="str">
        <f>IFERROR(__xludf.DUMMYFUNCTION("""COMPUTED_VALUE"""),"English")</f>
        <v>English</v>
      </c>
      <c r="W3934" s="6" t="str">
        <f>IFERROR(__xludf.DUMMYFUNCTION("""COMPUTED_VALUE"""),"[]")</f>
        <v>[]</v>
      </c>
      <c r="X3934" s="6" t="str">
        <f>IFERROR(__xludf.DUMMYFUNCTION("""COMPUTED_VALUE"""),"Enrolled")</f>
        <v>Enrolled</v>
      </c>
    </row>
    <row r="3935">
      <c r="A3935" s="6" t="str">
        <f>IFERROR(__xludf.DUMMYFUNCTION("""COMPUTED_VALUE"""),"068-10356")</f>
        <v>068-10356</v>
      </c>
      <c r="B3935" s="6" t="str">
        <f>IFERROR(__xludf.DUMMYFUNCTION("""COMPUTED_VALUE"""),"68")</f>
        <v>68</v>
      </c>
      <c r="C3935" s="6" t="str">
        <f>IFERROR(__xludf.DUMMYFUNCTION("""COMPUTED_VALUE"""),"10356")</f>
        <v>10356</v>
      </c>
      <c r="D3935" s="6" t="str">
        <f>IFERROR(__xludf.DUMMYFUNCTION("""COMPUTED_VALUE"""),"Srapman")</f>
        <v>Srapman</v>
      </c>
      <c r="E3935" s="6" t="str">
        <f>IFERROR(__xludf.DUMMYFUNCTION("""COMPUTED_VALUE"""),"")</f>
        <v/>
      </c>
      <c r="F3935" s="6" t="str">
        <f>IFERROR(__xludf.DUMMYFUNCTION("""COMPUTED_VALUE"""),"Maria")</f>
        <v>Maria</v>
      </c>
      <c r="G3935" s="6" t="str">
        <f>IFERROR(__xludf.DUMMYFUNCTION("""COMPUTED_VALUE"""),"10/20/2008")</f>
        <v>10/20/2008</v>
      </c>
      <c r="H3935" s="6" t="str">
        <f>IFERROR(__xludf.DUMMYFUNCTION("""COMPUTED_VALUE"""),"Self Identify")</f>
        <v>Self Identify</v>
      </c>
      <c r="I3935" s="6" t="str">
        <f>IFERROR(__xludf.DUMMYFUNCTION("""COMPUTED_VALUE"""),"High School")</f>
        <v>High School</v>
      </c>
      <c r="J3935" s="6" t="str">
        <f>IFERROR(__xludf.DUMMYFUNCTION("""COMPUTED_VALUE"""),"11")</f>
        <v>11</v>
      </c>
      <c r="K3935" s="6" t="str">
        <f>IFERROR(__xludf.DUMMYFUNCTION("""COMPUTED_VALUE"""),"srapman.maria@2hourlearning.com")</f>
        <v>srapman.maria@2hourlearning.com</v>
      </c>
      <c r="L3935" s="6" t="str">
        <f>IFERROR(__xludf.DUMMYFUNCTION("""COMPUTED_VALUE"""),"SPIRE Academy")</f>
        <v>SPIRE Academy</v>
      </c>
      <c r="M3935" s="6" t="str">
        <f>IFERROR(__xludf.DUMMYFUNCTION("""COMPUTED_VALUE"""),"MBBPGN")</f>
        <v>MBBPGN</v>
      </c>
      <c r="N3935" s="6" t="str">
        <f>IFERROR(__xludf.DUMMYFUNCTION("""COMPUTED_VALUE"""),"")</f>
        <v/>
      </c>
      <c r="O3935" s="87" t="str">
        <f>IFERROR(__xludf.DUMMYFUNCTION("""COMPUTED_VALUE"""),"https://drive.google.com/drive/folders/10T2cTQHqEJZqE-st6uFKPoI?usp=share_link")</f>
        <v>https://drive.google.com/drive/folders/10T2cTQHqEJZqE-st6uFKPoI?usp=share_link</v>
      </c>
      <c r="P3935" s="6" t="str">
        <f>IFERROR(__xludf.DUMMYFUNCTION("""COMPUTED_VALUE"""),"Srapman Maria")</f>
        <v>Srapman Maria</v>
      </c>
      <c r="Q3935" s="6" t="str">
        <f>IFERROR(__xludf.DUMMYFUNCTION("""COMPUTED_VALUE"""),"HS")</f>
        <v>HS</v>
      </c>
      <c r="R3935" s="6">
        <f>IFERROR(__xludf.DUMMYFUNCTION("""COMPUTED_VALUE"""),0.0)</f>
        <v>0</v>
      </c>
      <c r="S3935" s="6" t="str">
        <f>IFERROR(__xludf.DUMMYFUNCTION("""COMPUTED_VALUE""")," ")</f>
        <v> </v>
      </c>
      <c r="T3935" s="6" t="str">
        <f>IFERROR(__xludf.DUMMYFUNCTION("""COMPUTED_VALUE"""),"")</f>
        <v/>
      </c>
      <c r="U3935" s="6" t="str">
        <f>IFERROR(__xludf.DUMMYFUNCTION("""COMPUTED_VALUE"""),"11")</f>
        <v>11</v>
      </c>
      <c r="V3935" s="6" t="str">
        <f>IFERROR(__xludf.DUMMYFUNCTION("""COMPUTED_VALUE"""),"English")</f>
        <v>English</v>
      </c>
      <c r="W3935" s="6" t="str">
        <f>IFERROR(__xludf.DUMMYFUNCTION("""COMPUTED_VALUE"""),"[]")</f>
        <v>[]</v>
      </c>
      <c r="X3935" s="6" t="str">
        <f>IFERROR(__xludf.DUMMYFUNCTION("""COMPUTED_VALUE"""),"Enrolled")</f>
        <v>Enrolled</v>
      </c>
    </row>
    <row r="3936">
      <c r="A3936" s="6" t="str">
        <f>IFERROR(__xludf.DUMMYFUNCTION("""COMPUTED_VALUE"""),"068-10357")</f>
        <v>068-10357</v>
      </c>
      <c r="B3936" s="6" t="str">
        <f>IFERROR(__xludf.DUMMYFUNCTION("""COMPUTED_VALUE"""),"68")</f>
        <v>68</v>
      </c>
      <c r="C3936" s="6" t="str">
        <f>IFERROR(__xludf.DUMMYFUNCTION("""COMPUTED_VALUE"""),"10357")</f>
        <v>10357</v>
      </c>
      <c r="D3936" s="6" t="str">
        <f>IFERROR(__xludf.DUMMYFUNCTION("""COMPUTED_VALUE"""),"Buckingham")</f>
        <v>Buckingham</v>
      </c>
      <c r="E3936" s="6" t="str">
        <f>IFERROR(__xludf.DUMMYFUNCTION("""COMPUTED_VALUE"""),"")</f>
        <v/>
      </c>
      <c r="F3936" s="6" t="str">
        <f>IFERROR(__xludf.DUMMYFUNCTION("""COMPUTED_VALUE"""),"Ian")</f>
        <v>Ian</v>
      </c>
      <c r="G3936" s="6" t="str">
        <f>IFERROR(__xludf.DUMMYFUNCTION("""COMPUTED_VALUE"""),"04/07/2009")</f>
        <v>04/07/2009</v>
      </c>
      <c r="H3936" s="6" t="str">
        <f>IFERROR(__xludf.DUMMYFUNCTION("""COMPUTED_VALUE"""),"Self Identify")</f>
        <v>Self Identify</v>
      </c>
      <c r="I3936" s="6" t="str">
        <f>IFERROR(__xludf.DUMMYFUNCTION("""COMPUTED_VALUE"""),"High School")</f>
        <v>High School</v>
      </c>
      <c r="J3936" s="6" t="str">
        <f>IFERROR(__xludf.DUMMYFUNCTION("""COMPUTED_VALUE"""),"11")</f>
        <v>11</v>
      </c>
      <c r="K3936" s="6" t="str">
        <f>IFERROR(__xludf.DUMMYFUNCTION("""COMPUTED_VALUE"""),"buckingham.ian@2hourlearning.com")</f>
        <v>buckingham.ian@2hourlearning.com</v>
      </c>
      <c r="L3936" s="6" t="str">
        <f>IFERROR(__xludf.DUMMYFUNCTION("""COMPUTED_VALUE"""),"SPIRE Academy")</f>
        <v>SPIRE Academy</v>
      </c>
      <c r="M3936" s="6" t="str">
        <f>IFERROR(__xludf.DUMMYFUNCTION("""COMPUTED_VALUE"""),"WSOC")</f>
        <v>WSOC</v>
      </c>
      <c r="N3936" s="6" t="str">
        <f>IFERROR(__xludf.DUMMYFUNCTION("""COMPUTED_VALUE"""),"")</f>
        <v/>
      </c>
      <c r="O3936" s="87" t="str">
        <f>IFERROR(__xludf.DUMMYFUNCTION("""COMPUTED_VALUE"""),"https://drive.google.com/drive/folders/10T2cTQHqEJZqE-st6uFKPoI?usp=share_link")</f>
        <v>https://drive.google.com/drive/folders/10T2cTQHqEJZqE-st6uFKPoI?usp=share_link</v>
      </c>
      <c r="P3936" s="6" t="str">
        <f>IFERROR(__xludf.DUMMYFUNCTION("""COMPUTED_VALUE"""),"Buckingham Ian")</f>
        <v>Buckingham Ian</v>
      </c>
      <c r="Q3936" s="6" t="str">
        <f>IFERROR(__xludf.DUMMYFUNCTION("""COMPUTED_VALUE"""),"HS")</f>
        <v>HS</v>
      </c>
      <c r="R3936" s="6">
        <f>IFERROR(__xludf.DUMMYFUNCTION("""COMPUTED_VALUE"""),0.0)</f>
        <v>0</v>
      </c>
      <c r="S3936" s="6" t="str">
        <f>IFERROR(__xludf.DUMMYFUNCTION("""COMPUTED_VALUE""")," ")</f>
        <v> </v>
      </c>
      <c r="T3936" s="6" t="str">
        <f>IFERROR(__xludf.DUMMYFUNCTION("""COMPUTED_VALUE"""),"")</f>
        <v/>
      </c>
      <c r="U3936" s="6" t="str">
        <f>IFERROR(__xludf.DUMMYFUNCTION("""COMPUTED_VALUE"""),"11")</f>
        <v>11</v>
      </c>
      <c r="V3936" s="6" t="str">
        <f>IFERROR(__xludf.DUMMYFUNCTION("""COMPUTED_VALUE"""),"English")</f>
        <v>English</v>
      </c>
      <c r="W3936" s="6" t="str">
        <f>IFERROR(__xludf.DUMMYFUNCTION("""COMPUTED_VALUE"""),"[]")</f>
        <v>[]</v>
      </c>
      <c r="X3936" s="6" t="str">
        <f>IFERROR(__xludf.DUMMYFUNCTION("""COMPUTED_VALUE"""),"Enrolled")</f>
        <v>Enrolled</v>
      </c>
    </row>
    <row r="3937">
      <c r="A3937" s="6" t="str">
        <f>IFERROR(__xludf.DUMMYFUNCTION("""COMPUTED_VALUE"""),"068-11346")</f>
        <v>068-11346</v>
      </c>
      <c r="B3937" s="6" t="str">
        <f>IFERROR(__xludf.DUMMYFUNCTION("""COMPUTED_VALUE"""),"68")</f>
        <v>68</v>
      </c>
      <c r="C3937" s="6" t="str">
        <f>IFERROR(__xludf.DUMMYFUNCTION("""COMPUTED_VALUE"""),"11346")</f>
        <v>11346</v>
      </c>
      <c r="D3937" s="6" t="str">
        <f>IFERROR(__xludf.DUMMYFUNCTION("""COMPUTED_VALUE"""),"Alex")</f>
        <v>Alex</v>
      </c>
      <c r="E3937" s="6" t="str">
        <f>IFERROR(__xludf.DUMMYFUNCTION("""COMPUTED_VALUE"""),"")</f>
        <v/>
      </c>
      <c r="F3937" s="6" t="str">
        <f>IFERROR(__xludf.DUMMYFUNCTION("""COMPUTED_VALUE"""),"Mabbott")</f>
        <v>Mabbott</v>
      </c>
      <c r="G3937" s="6" t="str">
        <f>IFERROR(__xludf.DUMMYFUNCTION("""COMPUTED_VALUE"""),"03/01/2009")</f>
        <v>03/01/2009</v>
      </c>
      <c r="H3937" s="6" t="str">
        <f>IFERROR(__xludf.DUMMYFUNCTION("""COMPUTED_VALUE"""),"Self Identify")</f>
        <v>Self Identify</v>
      </c>
      <c r="I3937" s="6" t="str">
        <f>IFERROR(__xludf.DUMMYFUNCTION("""COMPUTED_VALUE"""),"High School")</f>
        <v>High School</v>
      </c>
      <c r="J3937" s="6" t="str">
        <f>IFERROR(__xludf.DUMMYFUNCTION("""COMPUTED_VALUE"""),"11")</f>
        <v>11</v>
      </c>
      <c r="K3937" s="6" t="str">
        <f>IFERROR(__xludf.DUMMYFUNCTION("""COMPUTED_VALUE"""),"alex.mabbott@2hourlearning.com")</f>
        <v>alex.mabbott@2hourlearning.com</v>
      </c>
      <c r="L3937" s="6" t="str">
        <f>IFERROR(__xludf.DUMMYFUNCTION("""COMPUTED_VALUE"""),"SPIRE Academy")</f>
        <v>SPIRE Academy</v>
      </c>
      <c r="M3937" s="6" t="str">
        <f>IFERROR(__xludf.DUMMYFUNCTION("""COMPUTED_VALUE"""),"")</f>
        <v/>
      </c>
      <c r="N3937" s="6" t="str">
        <f>IFERROR(__xludf.DUMMYFUNCTION("""COMPUTED_VALUE"""),"")</f>
        <v/>
      </c>
      <c r="O3937" s="87" t="str">
        <f>IFERROR(__xludf.DUMMYFUNCTION("""COMPUTED_VALUE"""),"https://drive.google.com/drive/folders/10T2cTQHqEJZqE-st6uFKPoI?usp=share_link")</f>
        <v>https://drive.google.com/drive/folders/10T2cTQHqEJZqE-st6uFKPoI?usp=share_link</v>
      </c>
      <c r="P3937" s="6" t="str">
        <f>IFERROR(__xludf.DUMMYFUNCTION("""COMPUTED_VALUE"""),"Alex Mabbott")</f>
        <v>Alex Mabbott</v>
      </c>
      <c r="Q3937" s="6" t="str">
        <f>IFERROR(__xludf.DUMMYFUNCTION("""COMPUTED_VALUE"""),"HS")</f>
        <v>HS</v>
      </c>
      <c r="R3937" s="6">
        <f>IFERROR(__xludf.DUMMYFUNCTION("""COMPUTED_VALUE"""),0.0)</f>
        <v>0</v>
      </c>
      <c r="S3937" s="6" t="str">
        <f>IFERROR(__xludf.DUMMYFUNCTION("""COMPUTED_VALUE""")," ")</f>
        <v> </v>
      </c>
      <c r="T3937" s="6" t="str">
        <f>IFERROR(__xludf.DUMMYFUNCTION("""COMPUTED_VALUE"""),"")</f>
        <v/>
      </c>
      <c r="U3937" s="6" t="str">
        <f>IFERROR(__xludf.DUMMYFUNCTION("""COMPUTED_VALUE"""),"11")</f>
        <v>11</v>
      </c>
      <c r="V3937" s="6" t="str">
        <f>IFERROR(__xludf.DUMMYFUNCTION("""COMPUTED_VALUE"""),"")</f>
        <v/>
      </c>
      <c r="W3937" s="6" t="str">
        <f>IFERROR(__xludf.DUMMYFUNCTION("""COMPUTED_VALUE"""),"[]")</f>
        <v>[]</v>
      </c>
      <c r="X3937" s="6" t="str">
        <f>IFERROR(__xludf.DUMMYFUNCTION("""COMPUTED_VALUE"""),"Enrolled")</f>
        <v>Enrolled</v>
      </c>
    </row>
    <row r="3938">
      <c r="A3938" s="6" t="str">
        <f>IFERROR(__xludf.DUMMYFUNCTION("""COMPUTED_VALUE"""),"068-11347")</f>
        <v>068-11347</v>
      </c>
      <c r="B3938" s="6" t="str">
        <f>IFERROR(__xludf.DUMMYFUNCTION("""COMPUTED_VALUE"""),"68")</f>
        <v>68</v>
      </c>
      <c r="C3938" s="6" t="str">
        <f>IFERROR(__xludf.DUMMYFUNCTION("""COMPUTED_VALUE"""),"11347")</f>
        <v>11347</v>
      </c>
      <c r="D3938" s="6" t="str">
        <f>IFERROR(__xludf.DUMMYFUNCTION("""COMPUTED_VALUE"""),"Bono")</f>
        <v>Bono</v>
      </c>
      <c r="E3938" s="6" t="str">
        <f>IFERROR(__xludf.DUMMYFUNCTION("""COMPUTED_VALUE"""),"")</f>
        <v/>
      </c>
      <c r="F3938" s="6" t="str">
        <f>IFERROR(__xludf.DUMMYFUNCTION("""COMPUTED_VALUE"""),"Neluheni")</f>
        <v>Neluheni</v>
      </c>
      <c r="G3938" s="6" t="str">
        <f>IFERROR(__xludf.DUMMYFUNCTION("""COMPUTED_VALUE"""),"01/19/2009")</f>
        <v>01/19/2009</v>
      </c>
      <c r="H3938" s="6" t="str">
        <f>IFERROR(__xludf.DUMMYFUNCTION("""COMPUTED_VALUE"""),"Self Identify")</f>
        <v>Self Identify</v>
      </c>
      <c r="I3938" s="6" t="str">
        <f>IFERROR(__xludf.DUMMYFUNCTION("""COMPUTED_VALUE"""),"High School")</f>
        <v>High School</v>
      </c>
      <c r="J3938" s="6" t="str">
        <f>IFERROR(__xludf.DUMMYFUNCTION("""COMPUTED_VALUE"""),"10")</f>
        <v>10</v>
      </c>
      <c r="K3938" s="6" t="str">
        <f>IFERROR(__xludf.DUMMYFUNCTION("""COMPUTED_VALUE"""),"bono.neluheni@2hourlearning.com")</f>
        <v>bono.neluheni@2hourlearning.com</v>
      </c>
      <c r="L3938" s="6" t="str">
        <f>IFERROR(__xludf.DUMMYFUNCTION("""COMPUTED_VALUE"""),"SPIRE Academy")</f>
        <v>SPIRE Academy</v>
      </c>
      <c r="M3938" s="6" t="str">
        <f>IFERROR(__xludf.DUMMYFUNCTION("""COMPUTED_VALUE"""),"")</f>
        <v/>
      </c>
      <c r="N3938" s="6" t="str">
        <f>IFERROR(__xludf.DUMMYFUNCTION("""COMPUTED_VALUE"""),"")</f>
        <v/>
      </c>
      <c r="O3938" s="87" t="str">
        <f>IFERROR(__xludf.DUMMYFUNCTION("""COMPUTED_VALUE"""),"https://drive.google.com/drive/folders/10T2cTQHqEJZqE-st6uFKPoI?usp=share_link")</f>
        <v>https://drive.google.com/drive/folders/10T2cTQHqEJZqE-st6uFKPoI?usp=share_link</v>
      </c>
      <c r="P3938" s="6" t="str">
        <f>IFERROR(__xludf.DUMMYFUNCTION("""COMPUTED_VALUE"""),"Bono Neluheni")</f>
        <v>Bono Neluheni</v>
      </c>
      <c r="Q3938" s="6" t="str">
        <f>IFERROR(__xludf.DUMMYFUNCTION("""COMPUTED_VALUE"""),"HS")</f>
        <v>HS</v>
      </c>
      <c r="R3938" s="6">
        <f>IFERROR(__xludf.DUMMYFUNCTION("""COMPUTED_VALUE"""),0.0)</f>
        <v>0</v>
      </c>
      <c r="S3938" s="6" t="str">
        <f>IFERROR(__xludf.DUMMYFUNCTION("""COMPUTED_VALUE""")," ")</f>
        <v> </v>
      </c>
      <c r="T3938" s="6" t="str">
        <f>IFERROR(__xludf.DUMMYFUNCTION("""COMPUTED_VALUE"""),"")</f>
        <v/>
      </c>
      <c r="U3938" s="6" t="str">
        <f>IFERROR(__xludf.DUMMYFUNCTION("""COMPUTED_VALUE"""),"10")</f>
        <v>10</v>
      </c>
      <c r="V3938" s="6" t="str">
        <f>IFERROR(__xludf.DUMMYFUNCTION("""COMPUTED_VALUE"""),"")</f>
        <v/>
      </c>
      <c r="W3938" s="6" t="str">
        <f>IFERROR(__xludf.DUMMYFUNCTION("""COMPUTED_VALUE"""),"[]")</f>
        <v>[]</v>
      </c>
      <c r="X3938" s="6" t="str">
        <f>IFERROR(__xludf.DUMMYFUNCTION("""COMPUTED_VALUE"""),"Enrolled")</f>
        <v>Enrolled</v>
      </c>
    </row>
    <row r="3939">
      <c r="A3939" s="6" t="str">
        <f>IFERROR(__xludf.DUMMYFUNCTION("""COMPUTED_VALUE"""),"068-11348")</f>
        <v>068-11348</v>
      </c>
      <c r="B3939" s="6" t="str">
        <f>IFERROR(__xludf.DUMMYFUNCTION("""COMPUTED_VALUE"""),"68")</f>
        <v>68</v>
      </c>
      <c r="C3939" s="6" t="str">
        <f>IFERROR(__xludf.DUMMYFUNCTION("""COMPUTED_VALUE"""),"11348")</f>
        <v>11348</v>
      </c>
      <c r="D3939" s="6" t="str">
        <f>IFERROR(__xludf.DUMMYFUNCTION("""COMPUTED_VALUE"""),"Marcus")</f>
        <v>Marcus</v>
      </c>
      <c r="E3939" s="6" t="str">
        <f>IFERROR(__xludf.DUMMYFUNCTION("""COMPUTED_VALUE"""),"")</f>
        <v/>
      </c>
      <c r="F3939" s="6" t="str">
        <f>IFERROR(__xludf.DUMMYFUNCTION("""COMPUTED_VALUE"""),"Scipio")</f>
        <v>Scipio</v>
      </c>
      <c r="G3939" s="6" t="str">
        <f>IFERROR(__xludf.DUMMYFUNCTION("""COMPUTED_VALUE"""),"02/23/2008")</f>
        <v>02/23/2008</v>
      </c>
      <c r="H3939" s="6" t="str">
        <f>IFERROR(__xludf.DUMMYFUNCTION("""COMPUTED_VALUE"""),"Self Identify")</f>
        <v>Self Identify</v>
      </c>
      <c r="I3939" s="6" t="str">
        <f>IFERROR(__xludf.DUMMYFUNCTION("""COMPUTED_VALUE"""),"High School")</f>
        <v>High School</v>
      </c>
      <c r="J3939" s="6" t="str">
        <f>IFERROR(__xludf.DUMMYFUNCTION("""COMPUTED_VALUE"""),"11")</f>
        <v>11</v>
      </c>
      <c r="K3939" s="6" t="str">
        <f>IFERROR(__xludf.DUMMYFUNCTION("""COMPUTED_VALUE"""),"marcus.scipio@2hourlearning.com")</f>
        <v>marcus.scipio@2hourlearning.com</v>
      </c>
      <c r="L3939" s="6" t="str">
        <f>IFERROR(__xludf.DUMMYFUNCTION("""COMPUTED_VALUE"""),"SPIRE Academy")</f>
        <v>SPIRE Academy</v>
      </c>
      <c r="M3939" s="6" t="str">
        <f>IFERROR(__xludf.DUMMYFUNCTION("""COMPUTED_VALUE"""),"")</f>
        <v/>
      </c>
      <c r="N3939" s="6" t="str">
        <f>IFERROR(__xludf.DUMMYFUNCTION("""COMPUTED_VALUE"""),"")</f>
        <v/>
      </c>
      <c r="O3939" s="87" t="str">
        <f>IFERROR(__xludf.DUMMYFUNCTION("""COMPUTED_VALUE"""),"https://drive.google.com/drive/folders/10T2cTQHqEJZqE-st6uFKPoI?usp=share_link")</f>
        <v>https://drive.google.com/drive/folders/10T2cTQHqEJZqE-st6uFKPoI?usp=share_link</v>
      </c>
      <c r="P3939" s="6" t="str">
        <f>IFERROR(__xludf.DUMMYFUNCTION("""COMPUTED_VALUE"""),"Marcus Scipio")</f>
        <v>Marcus Scipio</v>
      </c>
      <c r="Q3939" s="6" t="str">
        <f>IFERROR(__xludf.DUMMYFUNCTION("""COMPUTED_VALUE"""),"HS")</f>
        <v>HS</v>
      </c>
      <c r="R3939" s="6">
        <f>IFERROR(__xludf.DUMMYFUNCTION("""COMPUTED_VALUE"""),0.0)</f>
        <v>0</v>
      </c>
      <c r="S3939" s="6" t="str">
        <f>IFERROR(__xludf.DUMMYFUNCTION("""COMPUTED_VALUE""")," ")</f>
        <v> </v>
      </c>
      <c r="T3939" s="6" t="str">
        <f>IFERROR(__xludf.DUMMYFUNCTION("""COMPUTED_VALUE"""),"")</f>
        <v/>
      </c>
      <c r="U3939" s="6" t="str">
        <f>IFERROR(__xludf.DUMMYFUNCTION("""COMPUTED_VALUE"""),"11")</f>
        <v>11</v>
      </c>
      <c r="V3939" s="6" t="str">
        <f>IFERROR(__xludf.DUMMYFUNCTION("""COMPUTED_VALUE"""),"")</f>
        <v/>
      </c>
      <c r="W3939" s="6" t="str">
        <f>IFERROR(__xludf.DUMMYFUNCTION("""COMPUTED_VALUE"""),"[]")</f>
        <v>[]</v>
      </c>
      <c r="X3939" s="6" t="str">
        <f>IFERROR(__xludf.DUMMYFUNCTION("""COMPUTED_VALUE"""),"Enrolled")</f>
        <v>Enrolled</v>
      </c>
    </row>
    <row r="3940">
      <c r="A3940" s="6" t="str">
        <f>IFERROR(__xludf.DUMMYFUNCTION("""COMPUTED_VALUE"""),"071-2018")</f>
        <v>071-2018</v>
      </c>
      <c r="B3940" s="6" t="str">
        <f>IFERROR(__xludf.DUMMYFUNCTION("""COMPUTED_VALUE"""),"71")</f>
        <v>71</v>
      </c>
      <c r="C3940" s="6" t="str">
        <f>IFERROR(__xludf.DUMMYFUNCTION("""COMPUTED_VALUE"""),"2018")</f>
        <v>2018</v>
      </c>
      <c r="D3940" s="6" t="str">
        <f>IFERROR(__xludf.DUMMYFUNCTION("""COMPUTED_VALUE"""),"Test")</f>
        <v>Test</v>
      </c>
      <c r="E3940" s="6" t="str">
        <f>IFERROR(__xludf.DUMMYFUNCTION("""COMPUTED_VALUE"""),"")</f>
        <v/>
      </c>
      <c r="F3940" s="6" t="str">
        <f>IFERROR(__xludf.DUMMYFUNCTION("""COMPUTED_VALUE"""),"Malawi")</f>
        <v>Malawi</v>
      </c>
      <c r="G3940" s="6" t="str">
        <f>IFERROR(__xludf.DUMMYFUNCTION("""COMPUTED_VALUE"""),"01/01/2010")</f>
        <v>01/01/2010</v>
      </c>
      <c r="H3940" s="6" t="str">
        <f>IFERROR(__xludf.DUMMYFUNCTION("""COMPUTED_VALUE"""),"Other")</f>
        <v>Other</v>
      </c>
      <c r="I3940" s="6" t="str">
        <f>IFERROR(__xludf.DUMMYFUNCTION("""COMPUTED_VALUE"""),"Middle School")</f>
        <v>Middle School</v>
      </c>
      <c r="J3940" s="6" t="str">
        <f>IFERROR(__xludf.DUMMYFUNCTION("""COMPUTED_VALUE"""),"6")</f>
        <v>6</v>
      </c>
      <c r="K3940" s="6" t="str">
        <f>IFERROR(__xludf.DUMMYFUNCTION("""COMPUTED_VALUE"""),"test.thiago@example.com")</f>
        <v>test.thiago@example.com</v>
      </c>
      <c r="L3940" s="6" t="str">
        <f>IFERROR(__xludf.DUMMYFUNCTION("""COMPUTED_VALUE"""),"2 Hour Single User")</f>
        <v>2 Hour Single User</v>
      </c>
      <c r="M3940" s="6" t="str">
        <f>IFERROR(__xludf.DUMMYFUNCTION("""COMPUTED_VALUE"""),"Test")</f>
        <v>Test</v>
      </c>
      <c r="N3940" s="6" t="str">
        <f>IFERROR(__xludf.DUMMYFUNCTION("""COMPUTED_VALUE"""),"")</f>
        <v/>
      </c>
      <c r="O3940" s="87" t="str">
        <f>IFERROR(__xludf.DUMMYFUNCTION("""COMPUTED_VALUE"""),"https://drive.google.com/drive/folders/10T2cTQHqEJZqE-st6uFKPoI?usp=share_link")</f>
        <v>https://drive.google.com/drive/folders/10T2cTQHqEJZqE-st6uFKPoI?usp=share_link</v>
      </c>
      <c r="P3940" s="6" t="str">
        <f>IFERROR(__xludf.DUMMYFUNCTION("""COMPUTED_VALUE"""),"Test Malawi")</f>
        <v>Test Malawi</v>
      </c>
      <c r="Q3940" s="6" t="str">
        <f>IFERROR(__xludf.DUMMYFUNCTION("""COMPUTED_VALUE"""),"MS")</f>
        <v>MS</v>
      </c>
      <c r="R3940" s="6">
        <f>IFERROR(__xludf.DUMMYFUNCTION("""COMPUTED_VALUE"""),0.0)</f>
        <v>0</v>
      </c>
      <c r="S3940" s="6" t="str">
        <f>IFERROR(__xludf.DUMMYFUNCTION("""COMPUTED_VALUE""")," ")</f>
        <v> </v>
      </c>
      <c r="T3940" s="6" t="str">
        <f>IFERROR(__xludf.DUMMYFUNCTION("""COMPUTED_VALUE"""),"")</f>
        <v/>
      </c>
      <c r="U3940" s="6" t="str">
        <f>IFERROR(__xludf.DUMMYFUNCTION("""COMPUTED_VALUE"""),"6")</f>
        <v>6</v>
      </c>
      <c r="V3940" s="6" t="str">
        <f>IFERROR(__xludf.DUMMYFUNCTION("""COMPUTED_VALUE"""),"English")</f>
        <v>English</v>
      </c>
      <c r="W3940" s="6" t="str">
        <f>IFERROR(__xludf.DUMMYFUNCTION("""COMPUTED_VALUE"""),"[]")</f>
        <v>[]</v>
      </c>
      <c r="X3940" s="6" t="str">
        <f>IFERROR(__xludf.DUMMYFUNCTION("""COMPUTED_VALUE"""),"Enrolled")</f>
        <v>Enrolled</v>
      </c>
    </row>
    <row r="3941">
      <c r="A3941" s="6" t="str">
        <f>IFERROR(__xludf.DUMMYFUNCTION("""COMPUTED_VALUE"""),"071-2029")</f>
        <v>071-2029</v>
      </c>
      <c r="B3941" s="6" t="str">
        <f>IFERROR(__xludf.DUMMYFUNCTION("""COMPUTED_VALUE"""),"71")</f>
        <v>71</v>
      </c>
      <c r="C3941" s="6" t="str">
        <f>IFERROR(__xludf.DUMMYFUNCTION("""COMPUTED_VALUE"""),"2029")</f>
        <v>2029</v>
      </c>
      <c r="D3941" s="6" t="str">
        <f>IFERROR(__xludf.DUMMYFUNCTION("""COMPUTED_VALUE"""),"Test")</f>
        <v>Test</v>
      </c>
      <c r="E3941" s="6" t="str">
        <f>IFERROR(__xludf.DUMMYFUNCTION("""COMPUTED_VALUE"""),"")</f>
        <v/>
      </c>
      <c r="F3941" s="6" t="str">
        <f>IFERROR(__xludf.DUMMYFUNCTION("""COMPUTED_VALUE"""),"Testing02")</f>
        <v>Testing02</v>
      </c>
      <c r="G3941" s="6" t="str">
        <f>IFERROR(__xludf.DUMMYFUNCTION("""COMPUTED_VALUE"""),"03/03/2013")</f>
        <v>03/03/2013</v>
      </c>
      <c r="H3941" s="6" t="str">
        <f>IFERROR(__xludf.DUMMYFUNCTION("""COMPUTED_VALUE"""),"F")</f>
        <v>F</v>
      </c>
      <c r="I3941" s="6" t="str">
        <f>IFERROR(__xludf.DUMMYFUNCTION("""COMPUTED_VALUE"""),"Middle School")</f>
        <v>Middle School</v>
      </c>
      <c r="J3941" s="6" t="str">
        <f>IFERROR(__xludf.DUMMYFUNCTION("""COMPUTED_VALUE"""),"6")</f>
        <v>6</v>
      </c>
      <c r="K3941" s="6" t="str">
        <f>IFERROR(__xludf.DUMMYFUNCTION("""COMPUTED_VALUE"""),"test.testing02@2hourlearning.com")</f>
        <v>test.testing02@2hourlearning.com</v>
      </c>
      <c r="L3941" s="6" t="str">
        <f>IFERROR(__xludf.DUMMYFUNCTION("""COMPUTED_VALUE"""),"2 Hour Single User")</f>
        <v>2 Hour Single User</v>
      </c>
      <c r="M3941" s="6" t="str">
        <f>IFERROR(__xludf.DUMMYFUNCTION("""COMPUTED_VALUE"""),"Test")</f>
        <v>Test</v>
      </c>
      <c r="N3941" s="6" t="str">
        <f>IFERROR(__xludf.DUMMYFUNCTION("""COMPUTED_VALUE"""),"")</f>
        <v/>
      </c>
      <c r="O3941" s="87" t="str">
        <f>IFERROR(__xludf.DUMMYFUNCTION("""COMPUTED_VALUE"""),"https://drive.google.com/drive/folders/10T2cTQHqEJZqE-st6uFKPoI?usp=share_link")</f>
        <v>https://drive.google.com/drive/folders/10T2cTQHqEJZqE-st6uFKPoI?usp=share_link</v>
      </c>
      <c r="P3941" s="6" t="str">
        <f>IFERROR(__xludf.DUMMYFUNCTION("""COMPUTED_VALUE"""),"Test Testing02")</f>
        <v>Test Testing02</v>
      </c>
      <c r="Q3941" s="6" t="str">
        <f>IFERROR(__xludf.DUMMYFUNCTION("""COMPUTED_VALUE"""),"MS")</f>
        <v>MS</v>
      </c>
      <c r="R3941" s="6">
        <f>IFERROR(__xludf.DUMMYFUNCTION("""COMPUTED_VALUE"""),0.0)</f>
        <v>0</v>
      </c>
      <c r="S3941" s="6" t="str">
        <f>IFERROR(__xludf.DUMMYFUNCTION("""COMPUTED_VALUE""")," ")</f>
        <v> </v>
      </c>
      <c r="T3941" s="6" t="str">
        <f>IFERROR(__xludf.DUMMYFUNCTION("""COMPUTED_VALUE"""),"")</f>
        <v/>
      </c>
      <c r="U3941" s="6" t="str">
        <f>IFERROR(__xludf.DUMMYFUNCTION("""COMPUTED_VALUE"""),"6")</f>
        <v>6</v>
      </c>
      <c r="V3941" s="6" t="str">
        <f>IFERROR(__xludf.DUMMYFUNCTION("""COMPUTED_VALUE"""),"English")</f>
        <v>English</v>
      </c>
      <c r="W3941" s="6" t="str">
        <f>IFERROR(__xludf.DUMMYFUNCTION("""COMPUTED_VALUE"""),"[]")</f>
        <v>[]</v>
      </c>
      <c r="X3941" s="6" t="str">
        <f>IFERROR(__xludf.DUMMYFUNCTION("""COMPUTED_VALUE"""),"Enrolled")</f>
        <v>Enrolled</v>
      </c>
    </row>
    <row r="3942">
      <c r="A3942" s="6" t="str">
        <f>IFERROR(__xludf.DUMMYFUNCTION("""COMPUTED_VALUE"""),"071-2053")</f>
        <v>071-2053</v>
      </c>
      <c r="B3942" s="6" t="str">
        <f>IFERROR(__xludf.DUMMYFUNCTION("""COMPUTED_VALUE"""),"71")</f>
        <v>71</v>
      </c>
      <c r="C3942" s="6" t="str">
        <f>IFERROR(__xludf.DUMMYFUNCTION("""COMPUTED_VALUE"""),"2053")</f>
        <v>2053</v>
      </c>
      <c r="D3942" s="6" t="str">
        <f>IFERROR(__xludf.DUMMYFUNCTION("""COMPUTED_VALUE"""),"Maria")</f>
        <v>Maria</v>
      </c>
      <c r="E3942" s="6" t="str">
        <f>IFERROR(__xludf.DUMMYFUNCTION("""COMPUTED_VALUE"""),"")</f>
        <v/>
      </c>
      <c r="F3942" s="6" t="str">
        <f>IFERROR(__xludf.DUMMYFUNCTION("""COMPUTED_VALUE"""),"Edison")</f>
        <v>Edison</v>
      </c>
      <c r="G3942" s="6" t="str">
        <f>IFERROR(__xludf.DUMMYFUNCTION("""COMPUTED_VALUE"""),"01/01/2010")</f>
        <v>01/01/2010</v>
      </c>
      <c r="H3942" s="6" t="str">
        <f>IFERROR(__xludf.DUMMYFUNCTION("""COMPUTED_VALUE"""),"F")</f>
        <v>F</v>
      </c>
      <c r="I3942" s="6" t="str">
        <f>IFERROR(__xludf.DUMMYFUNCTION("""COMPUTED_VALUE"""),"High School")</f>
        <v>High School</v>
      </c>
      <c r="J3942" s="6" t="str">
        <f>IFERROR(__xludf.DUMMYFUNCTION("""COMPUTED_VALUE"""),"9")</f>
        <v>9</v>
      </c>
      <c r="K3942" s="6" t="str">
        <f>IFERROR(__xludf.DUMMYFUNCTION("""COMPUTED_VALUE"""),"maria.edison@2hourlearning.com")</f>
        <v>maria.edison@2hourlearning.com</v>
      </c>
      <c r="L3942" s="6" t="str">
        <f>IFERROR(__xludf.DUMMYFUNCTION("""COMPUTED_VALUE"""),"2 Hour Single User")</f>
        <v>2 Hour Single User</v>
      </c>
      <c r="M3942" s="6" t="str">
        <f>IFERROR(__xludf.DUMMYFUNCTION("""COMPUTED_VALUE"""),"")</f>
        <v/>
      </c>
      <c r="N3942" s="6" t="str">
        <f>IFERROR(__xludf.DUMMYFUNCTION("""COMPUTED_VALUE"""),"")</f>
        <v/>
      </c>
      <c r="O3942" s="87" t="str">
        <f>IFERROR(__xludf.DUMMYFUNCTION("""COMPUTED_VALUE"""),"https://drive.google.com/drive/folders/10T2cTQHqEJZqE-st6uFKPoI?usp=share_link")</f>
        <v>https://drive.google.com/drive/folders/10T2cTQHqEJZqE-st6uFKPoI?usp=share_link</v>
      </c>
      <c r="P3942" s="6" t="str">
        <f>IFERROR(__xludf.DUMMYFUNCTION("""COMPUTED_VALUE"""),"Maria Edison")</f>
        <v>Maria Edison</v>
      </c>
      <c r="Q3942" s="6" t="str">
        <f>IFERROR(__xludf.DUMMYFUNCTION("""COMPUTED_VALUE"""),"HS")</f>
        <v>HS</v>
      </c>
      <c r="R3942" s="6">
        <f>IFERROR(__xludf.DUMMYFUNCTION("""COMPUTED_VALUE"""),0.0)</f>
        <v>0</v>
      </c>
      <c r="S3942" s="6" t="str">
        <f>IFERROR(__xludf.DUMMYFUNCTION("""COMPUTED_VALUE""")," ")</f>
        <v> </v>
      </c>
      <c r="T3942" s="6" t="str">
        <f>IFERROR(__xludf.DUMMYFUNCTION("""COMPUTED_VALUE"""),"")</f>
        <v/>
      </c>
      <c r="U3942" s="6" t="str">
        <f>IFERROR(__xludf.DUMMYFUNCTION("""COMPUTED_VALUE"""),"9")</f>
        <v>9</v>
      </c>
      <c r="V3942" s="6" t="str">
        <f>IFERROR(__xludf.DUMMYFUNCTION("""COMPUTED_VALUE"""),"English")</f>
        <v>English</v>
      </c>
      <c r="W3942" s="6" t="str">
        <f>IFERROR(__xludf.DUMMYFUNCTION("""COMPUTED_VALUE"""),"[]")</f>
        <v>[]</v>
      </c>
      <c r="X3942" s="6" t="str">
        <f>IFERROR(__xludf.DUMMYFUNCTION("""COMPUTED_VALUE"""),"Enrolled")</f>
        <v>Enrolled</v>
      </c>
    </row>
    <row r="3943">
      <c r="A3943" s="6" t="str">
        <f>IFERROR(__xludf.DUMMYFUNCTION("""COMPUTED_VALUE"""),"071-2054")</f>
        <v>071-2054</v>
      </c>
      <c r="B3943" s="6" t="str">
        <f>IFERROR(__xludf.DUMMYFUNCTION("""COMPUTED_VALUE"""),"71")</f>
        <v>71</v>
      </c>
      <c r="C3943" s="6" t="str">
        <f>IFERROR(__xludf.DUMMYFUNCTION("""COMPUTED_VALUE"""),"2054")</f>
        <v>2054</v>
      </c>
      <c r="D3943" s="6" t="str">
        <f>IFERROR(__xludf.DUMMYFUNCTION("""COMPUTED_VALUE"""),"Hayley")</f>
        <v>Hayley</v>
      </c>
      <c r="E3943" s="6" t="str">
        <f>IFERROR(__xludf.DUMMYFUNCTION("""COMPUTED_VALUE"""),"")</f>
        <v/>
      </c>
      <c r="F3943" s="6" t="str">
        <f>IFERROR(__xludf.DUMMYFUNCTION("""COMPUTED_VALUE"""),"Wade")</f>
        <v>Wade</v>
      </c>
      <c r="G3943" s="6" t="str">
        <f>IFERROR(__xludf.DUMMYFUNCTION("""COMPUTED_VALUE"""),"01/01/2010")</f>
        <v>01/01/2010</v>
      </c>
      <c r="H3943" s="6" t="str">
        <f>IFERROR(__xludf.DUMMYFUNCTION("""COMPUTED_VALUE"""),"F")</f>
        <v>F</v>
      </c>
      <c r="I3943" s="6" t="str">
        <f>IFERROR(__xludf.DUMMYFUNCTION("""COMPUTED_VALUE"""),"Level 2")</f>
        <v>Level 2</v>
      </c>
      <c r="J3943" s="6" t="str">
        <f>IFERROR(__xludf.DUMMYFUNCTION("""COMPUTED_VALUE"""),"4")</f>
        <v>4</v>
      </c>
      <c r="K3943" s="6" t="str">
        <f>IFERROR(__xludf.DUMMYFUNCTION("""COMPUTED_VALUE"""),"hayley.wade@2hourlearning.com")</f>
        <v>hayley.wade@2hourlearning.com</v>
      </c>
      <c r="L3943" s="6" t="str">
        <f>IFERROR(__xludf.DUMMYFUNCTION("""COMPUTED_VALUE"""),"2 Hour Single User")</f>
        <v>2 Hour Single User</v>
      </c>
      <c r="M3943" s="6" t="str">
        <f>IFERROR(__xludf.DUMMYFUNCTION("""COMPUTED_VALUE"""),"")</f>
        <v/>
      </c>
      <c r="N3943" s="6" t="str">
        <f>IFERROR(__xludf.DUMMYFUNCTION("""COMPUTED_VALUE"""),"")</f>
        <v/>
      </c>
      <c r="O3943" s="87" t="str">
        <f>IFERROR(__xludf.DUMMYFUNCTION("""COMPUTED_VALUE"""),"https://drive.google.com/drive/folders/10T2cTQHqEJZqE-st6uFKPoI?usp=share_link")</f>
        <v>https://drive.google.com/drive/folders/10T2cTQHqEJZqE-st6uFKPoI?usp=share_link</v>
      </c>
      <c r="P3943" s="6" t="str">
        <f>IFERROR(__xludf.DUMMYFUNCTION("""COMPUTED_VALUE"""),"Hayley Wade")</f>
        <v>Hayley Wade</v>
      </c>
      <c r="Q3943" s="6" t="str">
        <f>IFERROR(__xludf.DUMMYFUNCTION("""COMPUTED_VALUE"""),"L2")</f>
        <v>L2</v>
      </c>
      <c r="R3943" s="6">
        <f>IFERROR(__xludf.DUMMYFUNCTION("""COMPUTED_VALUE"""),2.0)</f>
        <v>2</v>
      </c>
      <c r="S3943" s="6" t="str">
        <f>IFERROR(__xludf.DUMMYFUNCTION("""COMPUTED_VALUE""")," ")</f>
        <v> </v>
      </c>
      <c r="T3943" s="6" t="str">
        <f>IFERROR(__xludf.DUMMYFUNCTION("""COMPUTED_VALUE"""),"")</f>
        <v/>
      </c>
      <c r="U3943" s="6" t="str">
        <f>IFERROR(__xludf.DUMMYFUNCTION("""COMPUTED_VALUE"""),"4")</f>
        <v>4</v>
      </c>
      <c r="V3943" s="6" t="str">
        <f>IFERROR(__xludf.DUMMYFUNCTION("""COMPUTED_VALUE"""),"English")</f>
        <v>English</v>
      </c>
      <c r="W3943" s="6" t="str">
        <f>IFERROR(__xludf.DUMMYFUNCTION("""COMPUTED_VALUE"""),"[]")</f>
        <v>[]</v>
      </c>
      <c r="X3943" s="6" t="str">
        <f>IFERROR(__xludf.DUMMYFUNCTION("""COMPUTED_VALUE"""),"Enrolled")</f>
        <v>Enrolled</v>
      </c>
    </row>
    <row r="3944">
      <c r="A3944" s="6" t="str">
        <f>IFERROR(__xludf.DUMMYFUNCTION("""COMPUTED_VALUE"""),"071-2061")</f>
        <v>071-2061</v>
      </c>
      <c r="B3944" s="6" t="str">
        <f>IFERROR(__xludf.DUMMYFUNCTION("""COMPUTED_VALUE"""),"71")</f>
        <v>71</v>
      </c>
      <c r="C3944" s="6" t="str">
        <f>IFERROR(__xludf.DUMMYFUNCTION("""COMPUTED_VALUE"""),"2061")</f>
        <v>2061</v>
      </c>
      <c r="D3944" s="6" t="str">
        <f>IFERROR(__xludf.DUMMYFUNCTION("""COMPUTED_VALUE"""),"Hayley2")</f>
        <v>Hayley2</v>
      </c>
      <c r="E3944" s="6" t="str">
        <f>IFERROR(__xludf.DUMMYFUNCTION("""COMPUTED_VALUE"""),"")</f>
        <v/>
      </c>
      <c r="F3944" s="6" t="str">
        <f>IFERROR(__xludf.DUMMYFUNCTION("""COMPUTED_VALUE"""),"Wade2")</f>
        <v>Wade2</v>
      </c>
      <c r="G3944" s="6" t="str">
        <f>IFERROR(__xludf.DUMMYFUNCTION("""COMPUTED_VALUE"""),"01/01/2010")</f>
        <v>01/01/2010</v>
      </c>
      <c r="H3944" s="6" t="str">
        <f>IFERROR(__xludf.DUMMYFUNCTION("""COMPUTED_VALUE"""),"F")</f>
        <v>F</v>
      </c>
      <c r="I3944" s="6" t="str">
        <f>IFERROR(__xludf.DUMMYFUNCTION("""COMPUTED_VALUE"""),"Level 2")</f>
        <v>Level 2</v>
      </c>
      <c r="J3944" s="6" t="str">
        <f>IFERROR(__xludf.DUMMYFUNCTION("""COMPUTED_VALUE"""),"4")</f>
        <v>4</v>
      </c>
      <c r="K3944" s="6" t="str">
        <f>IFERROR(__xludf.DUMMYFUNCTION("""COMPUTED_VALUE"""),"hayley2.wade2@2hourlearning.com")</f>
        <v>hayley2.wade2@2hourlearning.com</v>
      </c>
      <c r="L3944" s="6" t="str">
        <f>IFERROR(__xludf.DUMMYFUNCTION("""COMPUTED_VALUE"""),"2 Hour Single User")</f>
        <v>2 Hour Single User</v>
      </c>
      <c r="M3944" s="6" t="str">
        <f>IFERROR(__xludf.DUMMYFUNCTION("""COMPUTED_VALUE"""),"")</f>
        <v/>
      </c>
      <c r="N3944" s="6" t="str">
        <f>IFERROR(__xludf.DUMMYFUNCTION("""COMPUTED_VALUE"""),"")</f>
        <v/>
      </c>
      <c r="O3944" s="87" t="str">
        <f>IFERROR(__xludf.DUMMYFUNCTION("""COMPUTED_VALUE"""),"https://drive.google.com/drive/folders/10T2cTQHqEJZqE-st6uFKPoI?usp=share_link")</f>
        <v>https://drive.google.com/drive/folders/10T2cTQHqEJZqE-st6uFKPoI?usp=share_link</v>
      </c>
      <c r="P3944" s="6" t="str">
        <f>IFERROR(__xludf.DUMMYFUNCTION("""COMPUTED_VALUE"""),"Hayley2 Wade2")</f>
        <v>Hayley2 Wade2</v>
      </c>
      <c r="Q3944" s="6" t="str">
        <f>IFERROR(__xludf.DUMMYFUNCTION("""COMPUTED_VALUE"""),"L2")</f>
        <v>L2</v>
      </c>
      <c r="R3944" s="6">
        <f>IFERROR(__xludf.DUMMYFUNCTION("""COMPUTED_VALUE"""),2.0)</f>
        <v>2</v>
      </c>
      <c r="S3944" s="6" t="str">
        <f>IFERROR(__xludf.DUMMYFUNCTION("""COMPUTED_VALUE""")," ")</f>
        <v> </v>
      </c>
      <c r="T3944" s="6" t="str">
        <f>IFERROR(__xludf.DUMMYFUNCTION("""COMPUTED_VALUE"""),"")</f>
        <v/>
      </c>
      <c r="U3944" s="6" t="str">
        <f>IFERROR(__xludf.DUMMYFUNCTION("""COMPUTED_VALUE"""),"4")</f>
        <v>4</v>
      </c>
      <c r="V3944" s="6" t="str">
        <f>IFERROR(__xludf.DUMMYFUNCTION("""COMPUTED_VALUE"""),"English")</f>
        <v>English</v>
      </c>
      <c r="W3944" s="6" t="str">
        <f>IFERROR(__xludf.DUMMYFUNCTION("""COMPUTED_VALUE"""),"[]")</f>
        <v>[]</v>
      </c>
      <c r="X3944" s="6" t="str">
        <f>IFERROR(__xludf.DUMMYFUNCTION("""COMPUTED_VALUE"""),"Enrolled")</f>
        <v>Enrolled</v>
      </c>
    </row>
    <row r="3945">
      <c r="A3945" s="6" t="str">
        <f>IFERROR(__xludf.DUMMYFUNCTION("""COMPUTED_VALUE"""),"071-2074")</f>
        <v>071-2074</v>
      </c>
      <c r="B3945" s="6" t="str">
        <f>IFERROR(__xludf.DUMMYFUNCTION("""COMPUTED_VALUE"""),"71")</f>
        <v>71</v>
      </c>
      <c r="C3945" s="6" t="str">
        <f>IFERROR(__xludf.DUMMYFUNCTION("""COMPUTED_VALUE"""),"2074")</f>
        <v>2074</v>
      </c>
      <c r="D3945" s="6" t="str">
        <f>IFERROR(__xludf.DUMMYFUNCTION("""COMPUTED_VALUE"""),"Giada")</f>
        <v>Giada</v>
      </c>
      <c r="E3945" s="6" t="str">
        <f>IFERROR(__xludf.DUMMYFUNCTION("""COMPUTED_VALUE"""),"")</f>
        <v/>
      </c>
      <c r="F3945" s="6" t="str">
        <f>IFERROR(__xludf.DUMMYFUNCTION("""COMPUTED_VALUE"""),"Sabatini")</f>
        <v>Sabatini</v>
      </c>
      <c r="G3945" s="6" t="str">
        <f>IFERROR(__xludf.DUMMYFUNCTION("""COMPUTED_VALUE"""),"01/27/2009")</f>
        <v>01/27/2009</v>
      </c>
      <c r="H3945" s="6" t="str">
        <f>IFERROR(__xludf.DUMMYFUNCTION("""COMPUTED_VALUE"""),"M")</f>
        <v>M</v>
      </c>
      <c r="I3945" s="6" t="str">
        <f>IFERROR(__xludf.DUMMYFUNCTION("""COMPUTED_VALUE"""),"High School")</f>
        <v>High School</v>
      </c>
      <c r="J3945" s="6" t="str">
        <f>IFERROR(__xludf.DUMMYFUNCTION("""COMPUTED_VALUE"""),"10")</f>
        <v>10</v>
      </c>
      <c r="K3945" s="6" t="str">
        <f>IFERROR(__xludf.DUMMYFUNCTION("""COMPUTED_VALUE"""),"giada.sabatini@2hourlearning.com")</f>
        <v>giada.sabatini@2hourlearning.com</v>
      </c>
      <c r="L3945" s="6" t="str">
        <f>IFERROR(__xludf.DUMMYFUNCTION("""COMPUTED_VALUE"""),"2 Hour Single User")</f>
        <v>2 Hour Single User</v>
      </c>
      <c r="M3945" s="6" t="str">
        <f>IFERROR(__xludf.DUMMYFUNCTION("""COMPUTED_VALUE"""),"spartan")</f>
        <v>spartan</v>
      </c>
      <c r="N3945" s="6" t="str">
        <f>IFERROR(__xludf.DUMMYFUNCTION("""COMPUTED_VALUE"""),"")</f>
        <v/>
      </c>
      <c r="O3945" s="87" t="str">
        <f>IFERROR(__xludf.DUMMYFUNCTION("""COMPUTED_VALUE"""),"https://drive.google.com/drive/folders/10T2cTQHqEJZqE-st6uFKPoI?usp=share_link")</f>
        <v>https://drive.google.com/drive/folders/10T2cTQHqEJZqE-st6uFKPoI?usp=share_link</v>
      </c>
      <c r="P3945" s="6" t="str">
        <f>IFERROR(__xludf.DUMMYFUNCTION("""COMPUTED_VALUE"""),"Giada Sabatini")</f>
        <v>Giada Sabatini</v>
      </c>
      <c r="Q3945" s="6" t="str">
        <f>IFERROR(__xludf.DUMMYFUNCTION("""COMPUTED_VALUE"""),"HS")</f>
        <v>HS</v>
      </c>
      <c r="R3945" s="6">
        <f>IFERROR(__xludf.DUMMYFUNCTION("""COMPUTED_VALUE"""),0.0)</f>
        <v>0</v>
      </c>
      <c r="S3945" s="6" t="str">
        <f>IFERROR(__xludf.DUMMYFUNCTION("""COMPUTED_VALUE""")," ")</f>
        <v> </v>
      </c>
      <c r="T3945" s="6" t="str">
        <f>IFERROR(__xludf.DUMMYFUNCTION("""COMPUTED_VALUE"""),"")</f>
        <v/>
      </c>
      <c r="U3945" s="6" t="str">
        <f>IFERROR(__xludf.DUMMYFUNCTION("""COMPUTED_VALUE"""),"10")</f>
        <v>10</v>
      </c>
      <c r="V3945" s="6" t="str">
        <f>IFERROR(__xludf.DUMMYFUNCTION("""COMPUTED_VALUE"""),"English")</f>
        <v>English</v>
      </c>
      <c r="W3945" s="6" t="str">
        <f>IFERROR(__xludf.DUMMYFUNCTION("""COMPUTED_VALUE"""),"[]")</f>
        <v>[]</v>
      </c>
      <c r="X3945" s="6" t="str">
        <f>IFERROR(__xludf.DUMMYFUNCTION("""COMPUTED_VALUE"""),"Enrolled")</f>
        <v>Enrolled</v>
      </c>
    </row>
    <row r="3946">
      <c r="A3946" s="6" t="str">
        <f>IFERROR(__xludf.DUMMYFUNCTION("""COMPUTED_VALUE"""),"071-2075")</f>
        <v>071-2075</v>
      </c>
      <c r="B3946" s="6" t="str">
        <f>IFERROR(__xludf.DUMMYFUNCTION("""COMPUTED_VALUE"""),"71")</f>
        <v>71</v>
      </c>
      <c r="C3946" s="6" t="str">
        <f>IFERROR(__xludf.DUMMYFUNCTION("""COMPUTED_VALUE"""),"2075")</f>
        <v>2075</v>
      </c>
      <c r="D3946" s="6" t="str">
        <f>IFERROR(__xludf.DUMMYFUNCTION("""COMPUTED_VALUE"""),"Kensington")</f>
        <v>Kensington</v>
      </c>
      <c r="E3946" s="6" t="str">
        <f>IFERROR(__xludf.DUMMYFUNCTION("""COMPUTED_VALUE"""),"")</f>
        <v/>
      </c>
      <c r="F3946" s="6" t="str">
        <f>IFERROR(__xludf.DUMMYFUNCTION("""COMPUTED_VALUE"""),"Moore")</f>
        <v>Moore</v>
      </c>
      <c r="G3946" s="6" t="str">
        <f>IFERROR(__xludf.DUMMYFUNCTION("""COMPUTED_VALUE"""),"12/21/2009")</f>
        <v>12/21/2009</v>
      </c>
      <c r="H3946" s="6" t="str">
        <f>IFERROR(__xludf.DUMMYFUNCTION("""COMPUTED_VALUE"""),"M")</f>
        <v>M</v>
      </c>
      <c r="I3946" s="6" t="str">
        <f>IFERROR(__xludf.DUMMYFUNCTION("""COMPUTED_VALUE"""),"High School")</f>
        <v>High School</v>
      </c>
      <c r="J3946" s="6" t="str">
        <f>IFERROR(__xludf.DUMMYFUNCTION("""COMPUTED_VALUE"""),"9")</f>
        <v>9</v>
      </c>
      <c r="K3946" s="6" t="str">
        <f>IFERROR(__xludf.DUMMYFUNCTION("""COMPUTED_VALUE"""),"kensington.moore@2hourlearning.com")</f>
        <v>kensington.moore@2hourlearning.com</v>
      </c>
      <c r="L3946" s="6" t="str">
        <f>IFERROR(__xludf.DUMMYFUNCTION("""COMPUTED_VALUE"""),"2 Hour Single User")</f>
        <v>2 Hour Single User</v>
      </c>
      <c r="M3946" s="6" t="str">
        <f>IFERROR(__xludf.DUMMYFUNCTION("""COMPUTED_VALUE"""),"spartan")</f>
        <v>spartan</v>
      </c>
      <c r="N3946" s="6" t="str">
        <f>IFERROR(__xludf.DUMMYFUNCTION("""COMPUTED_VALUE"""),"")</f>
        <v/>
      </c>
      <c r="O3946" s="87" t="str">
        <f>IFERROR(__xludf.DUMMYFUNCTION("""COMPUTED_VALUE"""),"https://drive.google.com/drive/folders/10T2cTQHqEJZqE-st6uFKPoI?usp=share_link")</f>
        <v>https://drive.google.com/drive/folders/10T2cTQHqEJZqE-st6uFKPoI?usp=share_link</v>
      </c>
      <c r="P3946" s="6" t="str">
        <f>IFERROR(__xludf.DUMMYFUNCTION("""COMPUTED_VALUE"""),"Kensington Moore")</f>
        <v>Kensington Moore</v>
      </c>
      <c r="Q3946" s="6" t="str">
        <f>IFERROR(__xludf.DUMMYFUNCTION("""COMPUTED_VALUE"""),"HS")</f>
        <v>HS</v>
      </c>
      <c r="R3946" s="6">
        <f>IFERROR(__xludf.DUMMYFUNCTION("""COMPUTED_VALUE"""),0.0)</f>
        <v>0</v>
      </c>
      <c r="S3946" s="6" t="str">
        <f>IFERROR(__xludf.DUMMYFUNCTION("""COMPUTED_VALUE""")," ")</f>
        <v> </v>
      </c>
      <c r="T3946" s="6" t="str">
        <f>IFERROR(__xludf.DUMMYFUNCTION("""COMPUTED_VALUE"""),"")</f>
        <v/>
      </c>
      <c r="U3946" s="6" t="str">
        <f>IFERROR(__xludf.DUMMYFUNCTION("""COMPUTED_VALUE"""),"9")</f>
        <v>9</v>
      </c>
      <c r="V3946" s="6" t="str">
        <f>IFERROR(__xludf.DUMMYFUNCTION("""COMPUTED_VALUE"""),"English")</f>
        <v>English</v>
      </c>
      <c r="W3946" s="6" t="str">
        <f>IFERROR(__xludf.DUMMYFUNCTION("""COMPUTED_VALUE"""),"[]")</f>
        <v>[]</v>
      </c>
      <c r="X3946" s="6" t="str">
        <f>IFERROR(__xludf.DUMMYFUNCTION("""COMPUTED_VALUE"""),"Enrolled")</f>
        <v>Enrolled</v>
      </c>
    </row>
    <row r="3947">
      <c r="A3947" s="6" t="str">
        <f>IFERROR(__xludf.DUMMYFUNCTION("""COMPUTED_VALUE"""),"071-2078")</f>
        <v>071-2078</v>
      </c>
      <c r="B3947" s="6" t="str">
        <f>IFERROR(__xludf.DUMMYFUNCTION("""COMPUTED_VALUE"""),"71")</f>
        <v>71</v>
      </c>
      <c r="C3947" s="6" t="str">
        <f>IFERROR(__xludf.DUMMYFUNCTION("""COMPUTED_VALUE"""),"2078")</f>
        <v>2078</v>
      </c>
      <c r="D3947" s="6" t="str">
        <f>IFERROR(__xludf.DUMMYFUNCTION("""COMPUTED_VALUE"""),"Test")</f>
        <v>Test</v>
      </c>
      <c r="E3947" s="6" t="str">
        <f>IFERROR(__xludf.DUMMYFUNCTION("""COMPUTED_VALUE"""),"")</f>
        <v/>
      </c>
      <c r="F3947" s="6" t="str">
        <f>IFERROR(__xludf.DUMMYFUNCTION("""COMPUTED_VALUE"""),"idospartan")</f>
        <v>idospartan</v>
      </c>
      <c r="G3947" s="6" t="str">
        <f>IFERROR(__xludf.DUMMYFUNCTION("""COMPUTED_VALUE"""),"01/27/2009")</f>
        <v>01/27/2009</v>
      </c>
      <c r="H3947" s="6" t="str">
        <f>IFERROR(__xludf.DUMMYFUNCTION("""COMPUTED_VALUE"""),"M")</f>
        <v>M</v>
      </c>
      <c r="I3947" s="6" t="str">
        <f>IFERROR(__xludf.DUMMYFUNCTION("""COMPUTED_VALUE"""),"Middle School")</f>
        <v>Middle School</v>
      </c>
      <c r="J3947" s="6" t="str">
        <f>IFERROR(__xludf.DUMMYFUNCTION("""COMPUTED_VALUE"""),"6")</f>
        <v>6</v>
      </c>
      <c r="K3947" s="6" t="str">
        <f>IFERROR(__xludf.DUMMYFUNCTION("""COMPUTED_VALUE"""),"test.idospartan@2hourlearning.com")</f>
        <v>test.idospartan@2hourlearning.com</v>
      </c>
      <c r="L3947" s="6" t="str">
        <f>IFERROR(__xludf.DUMMYFUNCTION("""COMPUTED_VALUE"""),"2 Hour Single User")</f>
        <v>2 Hour Single User</v>
      </c>
      <c r="M3947" s="6" t="str">
        <f>IFERROR(__xludf.DUMMYFUNCTION("""COMPUTED_VALUE"""),"Test")</f>
        <v>Test</v>
      </c>
      <c r="N3947" s="6" t="str">
        <f>IFERROR(__xludf.DUMMYFUNCTION("""COMPUTED_VALUE"""),"")</f>
        <v/>
      </c>
      <c r="O3947" s="87" t="str">
        <f>IFERROR(__xludf.DUMMYFUNCTION("""COMPUTED_VALUE"""),"https://drive.google.com/drive/folders/10T2cTQHqEJZqE-st6uFKPoI?usp=share_link")</f>
        <v>https://drive.google.com/drive/folders/10T2cTQHqEJZqE-st6uFKPoI?usp=share_link</v>
      </c>
      <c r="P3947" s="6" t="str">
        <f>IFERROR(__xludf.DUMMYFUNCTION("""COMPUTED_VALUE"""),"Test idospartan")</f>
        <v>Test idospartan</v>
      </c>
      <c r="Q3947" s="6" t="str">
        <f>IFERROR(__xludf.DUMMYFUNCTION("""COMPUTED_VALUE"""),"MS")</f>
        <v>MS</v>
      </c>
      <c r="R3947" s="6">
        <f>IFERROR(__xludf.DUMMYFUNCTION("""COMPUTED_VALUE"""),0.0)</f>
        <v>0</v>
      </c>
      <c r="S3947" s="6" t="str">
        <f>IFERROR(__xludf.DUMMYFUNCTION("""COMPUTED_VALUE""")," ")</f>
        <v> </v>
      </c>
      <c r="T3947" s="6" t="str">
        <f>IFERROR(__xludf.DUMMYFUNCTION("""COMPUTED_VALUE"""),"")</f>
        <v/>
      </c>
      <c r="U3947" s="6" t="str">
        <f>IFERROR(__xludf.DUMMYFUNCTION("""COMPUTED_VALUE"""),"6")</f>
        <v>6</v>
      </c>
      <c r="V3947" s="6" t="str">
        <f>IFERROR(__xludf.DUMMYFUNCTION("""COMPUTED_VALUE"""),"English")</f>
        <v>English</v>
      </c>
      <c r="W3947" s="6" t="str">
        <f>IFERROR(__xludf.DUMMYFUNCTION("""COMPUTED_VALUE"""),"[]")</f>
        <v>[]</v>
      </c>
      <c r="X3947" s="6" t="str">
        <f>IFERROR(__xludf.DUMMYFUNCTION("""COMPUTED_VALUE"""),"Enrolled")</f>
        <v>Enrolled</v>
      </c>
    </row>
    <row r="3948">
      <c r="A3948" s="6" t="str">
        <f>IFERROR(__xludf.DUMMYFUNCTION("""COMPUTED_VALUE"""),"071-2080")</f>
        <v>071-2080</v>
      </c>
      <c r="B3948" s="6" t="str">
        <f>IFERROR(__xludf.DUMMYFUNCTION("""COMPUTED_VALUE"""),"71")</f>
        <v>71</v>
      </c>
      <c r="C3948" s="6" t="str">
        <f>IFERROR(__xludf.DUMMYFUNCTION("""COMPUTED_VALUE"""),"2080")</f>
        <v>2080</v>
      </c>
      <c r="D3948" s="6" t="str">
        <f>IFERROR(__xludf.DUMMYFUNCTION("""COMPUTED_VALUE"""),"Alexandra")</f>
        <v>Alexandra</v>
      </c>
      <c r="E3948" s="6" t="str">
        <f>IFERROR(__xludf.DUMMYFUNCTION("""COMPUTED_VALUE"""),"")</f>
        <v/>
      </c>
      <c r="F3948" s="6" t="str">
        <f>IFERROR(__xludf.DUMMYFUNCTION("""COMPUTED_VALUE"""),"De Sena")</f>
        <v>De Sena</v>
      </c>
      <c r="G3948" s="6" t="str">
        <f>IFERROR(__xludf.DUMMYFUNCTION("""COMPUTED_VALUE"""),"01/01/2009")</f>
        <v>01/01/2009</v>
      </c>
      <c r="H3948" s="6" t="str">
        <f>IFERROR(__xludf.DUMMYFUNCTION("""COMPUTED_VALUE"""),"M")</f>
        <v>M</v>
      </c>
      <c r="I3948" s="6" t="str">
        <f>IFERROR(__xludf.DUMMYFUNCTION("""COMPUTED_VALUE"""),"Middle School")</f>
        <v>Middle School</v>
      </c>
      <c r="J3948" s="6" t="str">
        <f>IFERROR(__xludf.DUMMYFUNCTION("""COMPUTED_VALUE"""),"7")</f>
        <v>7</v>
      </c>
      <c r="K3948" s="6" t="str">
        <f>IFERROR(__xludf.DUMMYFUNCTION("""COMPUTED_VALUE"""),"alexandra.de.sena@2hourlearning.com")</f>
        <v>alexandra.de.sena@2hourlearning.com</v>
      </c>
      <c r="L3948" s="6" t="str">
        <f>IFERROR(__xludf.DUMMYFUNCTION("""COMPUTED_VALUE"""),"2 Hour Single User")</f>
        <v>2 Hour Single User</v>
      </c>
      <c r="M3948" s="6" t="str">
        <f>IFERROR(__xludf.DUMMYFUNCTION("""COMPUTED_VALUE"""),"spartan")</f>
        <v>spartan</v>
      </c>
      <c r="N3948" s="6" t="str">
        <f>IFERROR(__xludf.DUMMYFUNCTION("""COMPUTED_VALUE"""),"")</f>
        <v/>
      </c>
      <c r="O3948" s="87" t="str">
        <f>IFERROR(__xludf.DUMMYFUNCTION("""COMPUTED_VALUE"""),"https://drive.google.com/drive/folders/10T2cTQHqEJZqE-st6uFKPoI?usp=share_link")</f>
        <v>https://drive.google.com/drive/folders/10T2cTQHqEJZqE-st6uFKPoI?usp=share_link</v>
      </c>
      <c r="P3948" s="6" t="str">
        <f>IFERROR(__xludf.DUMMYFUNCTION("""COMPUTED_VALUE"""),"Alexandra De Sena")</f>
        <v>Alexandra De Sena</v>
      </c>
      <c r="Q3948" s="6" t="str">
        <f>IFERROR(__xludf.DUMMYFUNCTION("""COMPUTED_VALUE"""),"MS")</f>
        <v>MS</v>
      </c>
      <c r="R3948" s="6">
        <f>IFERROR(__xludf.DUMMYFUNCTION("""COMPUTED_VALUE"""),0.0)</f>
        <v>0</v>
      </c>
      <c r="S3948" s="6" t="str">
        <f>IFERROR(__xludf.DUMMYFUNCTION("""COMPUTED_VALUE""")," ")</f>
        <v> </v>
      </c>
      <c r="T3948" s="6" t="str">
        <f>IFERROR(__xludf.DUMMYFUNCTION("""COMPUTED_VALUE"""),"")</f>
        <v/>
      </c>
      <c r="U3948" s="6" t="str">
        <f>IFERROR(__xludf.DUMMYFUNCTION("""COMPUTED_VALUE"""),"7")</f>
        <v>7</v>
      </c>
      <c r="V3948" s="6" t="str">
        <f>IFERROR(__xludf.DUMMYFUNCTION("""COMPUTED_VALUE"""),"English")</f>
        <v>English</v>
      </c>
      <c r="W3948" s="6" t="str">
        <f>IFERROR(__xludf.DUMMYFUNCTION("""COMPUTED_VALUE"""),"[]")</f>
        <v>[]</v>
      </c>
      <c r="X3948" s="6" t="str">
        <f>IFERROR(__xludf.DUMMYFUNCTION("""COMPUTED_VALUE"""),"Enrolled")</f>
        <v>Enrolled</v>
      </c>
    </row>
    <row r="3949">
      <c r="A3949" s="6" t="str">
        <f>IFERROR(__xludf.DUMMYFUNCTION("""COMPUTED_VALUE"""),"071-2081")</f>
        <v>071-2081</v>
      </c>
      <c r="B3949" s="6" t="str">
        <f>IFERROR(__xludf.DUMMYFUNCTION("""COMPUTED_VALUE"""),"71")</f>
        <v>71</v>
      </c>
      <c r="C3949" s="6" t="str">
        <f>IFERROR(__xludf.DUMMYFUNCTION("""COMPUTED_VALUE"""),"2081")</f>
        <v>2081</v>
      </c>
      <c r="D3949" s="6" t="str">
        <f>IFERROR(__xludf.DUMMYFUNCTION("""COMPUTED_VALUE"""),"Charlie")</f>
        <v>Charlie</v>
      </c>
      <c r="E3949" s="6" t="str">
        <f>IFERROR(__xludf.DUMMYFUNCTION("""COMPUTED_VALUE"""),"")</f>
        <v/>
      </c>
      <c r="F3949" s="6" t="str">
        <f>IFERROR(__xludf.DUMMYFUNCTION("""COMPUTED_VALUE"""),"De Sena")</f>
        <v>De Sena</v>
      </c>
      <c r="G3949" s="6" t="str">
        <f>IFERROR(__xludf.DUMMYFUNCTION("""COMPUTED_VALUE"""),"01/01/2008")</f>
        <v>01/01/2008</v>
      </c>
      <c r="H3949" s="6" t="str">
        <f>IFERROR(__xludf.DUMMYFUNCTION("""COMPUTED_VALUE"""),"M")</f>
        <v>M</v>
      </c>
      <c r="I3949" s="6" t="str">
        <f>IFERROR(__xludf.DUMMYFUNCTION("""COMPUTED_VALUE"""),"High School")</f>
        <v>High School</v>
      </c>
      <c r="J3949" s="6" t="str">
        <f>IFERROR(__xludf.DUMMYFUNCTION("""COMPUTED_VALUE"""),"11")</f>
        <v>11</v>
      </c>
      <c r="K3949" s="6" t="str">
        <f>IFERROR(__xludf.DUMMYFUNCTION("""COMPUTED_VALUE"""),"charlie.de.sena@2hourlearning.com")</f>
        <v>charlie.de.sena@2hourlearning.com</v>
      </c>
      <c r="L3949" s="6" t="str">
        <f>IFERROR(__xludf.DUMMYFUNCTION("""COMPUTED_VALUE"""),"2 Hour Single User")</f>
        <v>2 Hour Single User</v>
      </c>
      <c r="M3949" s="6" t="str">
        <f>IFERROR(__xludf.DUMMYFUNCTION("""COMPUTED_VALUE"""),"spartan")</f>
        <v>spartan</v>
      </c>
      <c r="N3949" s="6" t="str">
        <f>IFERROR(__xludf.DUMMYFUNCTION("""COMPUTED_VALUE"""),"")</f>
        <v/>
      </c>
      <c r="O3949" s="87" t="str">
        <f>IFERROR(__xludf.DUMMYFUNCTION("""COMPUTED_VALUE"""),"https://drive.google.com/drive/folders/10T2cTQHqEJZqE-st6uFKPoI?usp=share_link")</f>
        <v>https://drive.google.com/drive/folders/10T2cTQHqEJZqE-st6uFKPoI?usp=share_link</v>
      </c>
      <c r="P3949" s="6" t="str">
        <f>IFERROR(__xludf.DUMMYFUNCTION("""COMPUTED_VALUE"""),"Charlie De Sena")</f>
        <v>Charlie De Sena</v>
      </c>
      <c r="Q3949" s="6" t="str">
        <f>IFERROR(__xludf.DUMMYFUNCTION("""COMPUTED_VALUE"""),"HS")</f>
        <v>HS</v>
      </c>
      <c r="R3949" s="6">
        <f>IFERROR(__xludf.DUMMYFUNCTION("""COMPUTED_VALUE"""),0.0)</f>
        <v>0</v>
      </c>
      <c r="S3949" s="6" t="str">
        <f>IFERROR(__xludf.DUMMYFUNCTION("""COMPUTED_VALUE""")," ")</f>
        <v> </v>
      </c>
      <c r="T3949" s="6" t="str">
        <f>IFERROR(__xludf.DUMMYFUNCTION("""COMPUTED_VALUE"""),"")</f>
        <v/>
      </c>
      <c r="U3949" s="6" t="str">
        <f>IFERROR(__xludf.DUMMYFUNCTION("""COMPUTED_VALUE"""),"11")</f>
        <v>11</v>
      </c>
      <c r="V3949" s="6" t="str">
        <f>IFERROR(__xludf.DUMMYFUNCTION("""COMPUTED_VALUE"""),"English")</f>
        <v>English</v>
      </c>
      <c r="W3949" s="6" t="str">
        <f>IFERROR(__xludf.DUMMYFUNCTION("""COMPUTED_VALUE"""),"[]")</f>
        <v>[]</v>
      </c>
      <c r="X3949" s="6" t="str">
        <f>IFERROR(__xludf.DUMMYFUNCTION("""COMPUTED_VALUE"""),"Enrolled")</f>
        <v>Enrolled</v>
      </c>
    </row>
    <row r="3950">
      <c r="A3950" s="6" t="str">
        <f>IFERROR(__xludf.DUMMYFUNCTION("""COMPUTED_VALUE"""),"071-2082")</f>
        <v>071-2082</v>
      </c>
      <c r="B3950" s="6" t="str">
        <f>IFERROR(__xludf.DUMMYFUNCTION("""COMPUTED_VALUE"""),"71")</f>
        <v>71</v>
      </c>
      <c r="C3950" s="6" t="str">
        <f>IFERROR(__xludf.DUMMYFUNCTION("""COMPUTED_VALUE"""),"2082")</f>
        <v>2082</v>
      </c>
      <c r="D3950" s="6" t="str">
        <f>IFERROR(__xludf.DUMMYFUNCTION("""COMPUTED_VALUE"""),"Liam")</f>
        <v>Liam</v>
      </c>
      <c r="E3950" s="6" t="str">
        <f>IFERROR(__xludf.DUMMYFUNCTION("""COMPUTED_VALUE"""),"")</f>
        <v/>
      </c>
      <c r="F3950" s="6" t="str">
        <f>IFERROR(__xludf.DUMMYFUNCTION("""COMPUTED_VALUE"""),"Davis")</f>
        <v>Davis</v>
      </c>
      <c r="G3950" s="6" t="str">
        <f>IFERROR(__xludf.DUMMYFUNCTION("""COMPUTED_VALUE"""),"04/05/2007")</f>
        <v>04/05/2007</v>
      </c>
      <c r="H3950" s="6" t="str">
        <f>IFERROR(__xludf.DUMMYFUNCTION("""COMPUTED_VALUE"""),"M")</f>
        <v>M</v>
      </c>
      <c r="I3950" s="6" t="str">
        <f>IFERROR(__xludf.DUMMYFUNCTION("""COMPUTED_VALUE"""),"High School")</f>
        <v>High School</v>
      </c>
      <c r="J3950" s="6" t="str">
        <f>IFERROR(__xludf.DUMMYFUNCTION("""COMPUTED_VALUE"""),"11")</f>
        <v>11</v>
      </c>
      <c r="K3950" s="6" t="str">
        <f>IFERROR(__xludf.DUMMYFUNCTION("""COMPUTED_VALUE"""),"liam.davis@2hourlearning.com")</f>
        <v>liam.davis@2hourlearning.com</v>
      </c>
      <c r="L3950" s="6" t="str">
        <f>IFERROR(__xludf.DUMMYFUNCTION("""COMPUTED_VALUE"""),"2 Hour Single User")</f>
        <v>2 Hour Single User</v>
      </c>
      <c r="M3950" s="6" t="str">
        <f>IFERROR(__xludf.DUMMYFUNCTION("""COMPUTED_VALUE"""),"spartan")</f>
        <v>spartan</v>
      </c>
      <c r="N3950" s="6" t="str">
        <f>IFERROR(__xludf.DUMMYFUNCTION("""COMPUTED_VALUE"""),"")</f>
        <v/>
      </c>
      <c r="O3950" s="87" t="str">
        <f>IFERROR(__xludf.DUMMYFUNCTION("""COMPUTED_VALUE"""),"https://drive.google.com/drive/folders/10T2cTQHqEJZqE-st6uFKPoI?usp=share_link")</f>
        <v>https://drive.google.com/drive/folders/10T2cTQHqEJZqE-st6uFKPoI?usp=share_link</v>
      </c>
      <c r="P3950" s="6" t="str">
        <f>IFERROR(__xludf.DUMMYFUNCTION("""COMPUTED_VALUE"""),"Liam Davis")</f>
        <v>Liam Davis</v>
      </c>
      <c r="Q3950" s="6" t="str">
        <f>IFERROR(__xludf.DUMMYFUNCTION("""COMPUTED_VALUE"""),"HS")</f>
        <v>HS</v>
      </c>
      <c r="R3950" s="6">
        <f>IFERROR(__xludf.DUMMYFUNCTION("""COMPUTED_VALUE"""),0.0)</f>
        <v>0</v>
      </c>
      <c r="S3950" s="6" t="str">
        <f>IFERROR(__xludf.DUMMYFUNCTION("""COMPUTED_VALUE""")," ")</f>
        <v> </v>
      </c>
      <c r="T3950" s="6" t="str">
        <f>IFERROR(__xludf.DUMMYFUNCTION("""COMPUTED_VALUE"""),"")</f>
        <v/>
      </c>
      <c r="U3950" s="6" t="str">
        <f>IFERROR(__xludf.DUMMYFUNCTION("""COMPUTED_VALUE"""),"11")</f>
        <v>11</v>
      </c>
      <c r="V3950" s="6" t="str">
        <f>IFERROR(__xludf.DUMMYFUNCTION("""COMPUTED_VALUE"""),"English")</f>
        <v>English</v>
      </c>
      <c r="W3950" s="6" t="str">
        <f>IFERROR(__xludf.DUMMYFUNCTION("""COMPUTED_VALUE"""),"[]")</f>
        <v>[]</v>
      </c>
      <c r="X3950" s="6" t="str">
        <f>IFERROR(__xludf.DUMMYFUNCTION("""COMPUTED_VALUE"""),"Enrolled")</f>
        <v>Enrolled</v>
      </c>
    </row>
    <row r="3951">
      <c r="A3951" s="6" t="str">
        <f>IFERROR(__xludf.DUMMYFUNCTION("""COMPUTED_VALUE"""),"071-2083")</f>
        <v>071-2083</v>
      </c>
      <c r="B3951" s="6" t="str">
        <f>IFERROR(__xludf.DUMMYFUNCTION("""COMPUTED_VALUE"""),"71")</f>
        <v>71</v>
      </c>
      <c r="C3951" s="6" t="str">
        <f>IFERROR(__xludf.DUMMYFUNCTION("""COMPUTED_VALUE"""),"2083")</f>
        <v>2083</v>
      </c>
      <c r="D3951" s="6" t="str">
        <f>IFERROR(__xludf.DUMMYFUNCTION("""COMPUTED_VALUE"""),"Catherine")</f>
        <v>Catherine</v>
      </c>
      <c r="E3951" s="6" t="str">
        <f>IFERROR(__xludf.DUMMYFUNCTION("""COMPUTED_VALUE"""),"")</f>
        <v/>
      </c>
      <c r="F3951" s="6" t="str">
        <f>IFERROR(__xludf.DUMMYFUNCTION("""COMPUTED_VALUE"""),"De Sena")</f>
        <v>De Sena</v>
      </c>
      <c r="G3951" s="6" t="str">
        <f>IFERROR(__xludf.DUMMYFUNCTION("""COMPUTED_VALUE"""),"01/01/2013")</f>
        <v>01/01/2013</v>
      </c>
      <c r="H3951" s="6" t="str">
        <f>IFERROR(__xludf.DUMMYFUNCTION("""COMPUTED_VALUE"""),"M")</f>
        <v>M</v>
      </c>
      <c r="I3951" s="6" t="str">
        <f>IFERROR(__xludf.DUMMYFUNCTION("""COMPUTED_VALUE"""),"High School")</f>
        <v>High School</v>
      </c>
      <c r="J3951" s="6" t="str">
        <f>IFERROR(__xludf.DUMMYFUNCTION("""COMPUTED_VALUE"""),"10")</f>
        <v>10</v>
      </c>
      <c r="K3951" s="6" t="str">
        <f>IFERROR(__xludf.DUMMYFUNCTION("""COMPUTED_VALUE"""),"catherine.de.sena@2hourlearning.com")</f>
        <v>catherine.de.sena@2hourlearning.com</v>
      </c>
      <c r="L3951" s="6" t="str">
        <f>IFERROR(__xludf.DUMMYFUNCTION("""COMPUTED_VALUE"""),"2 Hour Single User")</f>
        <v>2 Hour Single User</v>
      </c>
      <c r="M3951" s="6" t="str">
        <f>IFERROR(__xludf.DUMMYFUNCTION("""COMPUTED_VALUE"""),"spartan")</f>
        <v>spartan</v>
      </c>
      <c r="N3951" s="6" t="str">
        <f>IFERROR(__xludf.DUMMYFUNCTION("""COMPUTED_VALUE"""),"")</f>
        <v/>
      </c>
      <c r="O3951" s="87" t="str">
        <f>IFERROR(__xludf.DUMMYFUNCTION("""COMPUTED_VALUE"""),"https://drive.google.com/drive/folders/10T2cTQHqEJZqE-st6uFKPoI?usp=share_link")</f>
        <v>https://drive.google.com/drive/folders/10T2cTQHqEJZqE-st6uFKPoI?usp=share_link</v>
      </c>
      <c r="P3951" s="6" t="str">
        <f>IFERROR(__xludf.DUMMYFUNCTION("""COMPUTED_VALUE"""),"Catherine De Sena")</f>
        <v>Catherine De Sena</v>
      </c>
      <c r="Q3951" s="6" t="str">
        <f>IFERROR(__xludf.DUMMYFUNCTION("""COMPUTED_VALUE"""),"HS")</f>
        <v>HS</v>
      </c>
      <c r="R3951" s="6">
        <f>IFERROR(__xludf.DUMMYFUNCTION("""COMPUTED_VALUE"""),0.0)</f>
        <v>0</v>
      </c>
      <c r="S3951" s="6" t="str">
        <f>IFERROR(__xludf.DUMMYFUNCTION("""COMPUTED_VALUE""")," ")</f>
        <v> </v>
      </c>
      <c r="T3951" s="6" t="str">
        <f>IFERROR(__xludf.DUMMYFUNCTION("""COMPUTED_VALUE"""),"")</f>
        <v/>
      </c>
      <c r="U3951" s="6" t="str">
        <f>IFERROR(__xludf.DUMMYFUNCTION("""COMPUTED_VALUE"""),"10")</f>
        <v>10</v>
      </c>
      <c r="V3951" s="6" t="str">
        <f>IFERROR(__xludf.DUMMYFUNCTION("""COMPUTED_VALUE"""),"English")</f>
        <v>English</v>
      </c>
      <c r="W3951" s="6" t="str">
        <f>IFERROR(__xludf.DUMMYFUNCTION("""COMPUTED_VALUE"""),"[]")</f>
        <v>[]</v>
      </c>
      <c r="X3951" s="6" t="str">
        <f>IFERROR(__xludf.DUMMYFUNCTION("""COMPUTED_VALUE"""),"Enrolled")</f>
        <v>Enrolled</v>
      </c>
    </row>
    <row r="3952">
      <c r="A3952" s="6" t="str">
        <f>IFERROR(__xludf.DUMMYFUNCTION("""COMPUTED_VALUE"""),"071-2109")</f>
        <v>071-2109</v>
      </c>
      <c r="B3952" s="6" t="str">
        <f>IFERROR(__xludf.DUMMYFUNCTION("""COMPUTED_VALUE"""),"71")</f>
        <v>71</v>
      </c>
      <c r="C3952" s="6" t="str">
        <f>IFERROR(__xludf.DUMMYFUNCTION("""COMPUTED_VALUE"""),"2109")</f>
        <v>2109</v>
      </c>
      <c r="D3952" s="6" t="str">
        <f>IFERROR(__xludf.DUMMYFUNCTION("""COMPUTED_VALUE"""),"Arianna")</f>
        <v>Arianna</v>
      </c>
      <c r="E3952" s="6" t="str">
        <f>IFERROR(__xludf.DUMMYFUNCTION("""COMPUTED_VALUE"""),"")</f>
        <v/>
      </c>
      <c r="F3952" s="6" t="str">
        <f>IFERROR(__xludf.DUMMYFUNCTION("""COMPUTED_VALUE"""),"Calderon")</f>
        <v>Calderon</v>
      </c>
      <c r="G3952" s="6" t="str">
        <f>IFERROR(__xludf.DUMMYFUNCTION("""COMPUTED_VALUE"""),"05/21/2013")</f>
        <v>05/21/2013</v>
      </c>
      <c r="H3952" s="6" t="str">
        <f>IFERROR(__xludf.DUMMYFUNCTION("""COMPUTED_VALUE"""),"Other")</f>
        <v>Other</v>
      </c>
      <c r="I3952" s="6" t="str">
        <f>IFERROR(__xludf.DUMMYFUNCTION("""COMPUTED_VALUE"""),"Middle School")</f>
        <v>Middle School</v>
      </c>
      <c r="J3952" s="6" t="str">
        <f>IFERROR(__xludf.DUMMYFUNCTION("""COMPUTED_VALUE"""),"6")</f>
        <v>6</v>
      </c>
      <c r="K3952" s="6" t="str">
        <f>IFERROR(__xludf.DUMMYFUNCTION("""COMPUTED_VALUE"""),"arianna.calderon@2hourlearning.com")</f>
        <v>arianna.calderon@2hourlearning.com</v>
      </c>
      <c r="L3952" s="6" t="str">
        <f>IFERROR(__xludf.DUMMYFUNCTION("""COMPUTED_VALUE"""),"2 Hour Single User")</f>
        <v>2 Hour Single User</v>
      </c>
      <c r="M3952" s="6" t="str">
        <f>IFERROR(__xludf.DUMMYFUNCTION("""COMPUTED_VALUE"""),"spartan")</f>
        <v>spartan</v>
      </c>
      <c r="N3952" s="6" t="str">
        <f>IFERROR(__xludf.DUMMYFUNCTION("""COMPUTED_VALUE"""),"")</f>
        <v/>
      </c>
      <c r="O3952" s="87" t="str">
        <f>IFERROR(__xludf.DUMMYFUNCTION("""COMPUTED_VALUE"""),"https://drive.google.com/drive/folders/10T2cTQHqEJZqE-st6uFKPoI?usp=share_link")</f>
        <v>https://drive.google.com/drive/folders/10T2cTQHqEJZqE-st6uFKPoI?usp=share_link</v>
      </c>
      <c r="P3952" s="6" t="str">
        <f>IFERROR(__xludf.DUMMYFUNCTION("""COMPUTED_VALUE"""),"Arianna Calderon")</f>
        <v>Arianna Calderon</v>
      </c>
      <c r="Q3952" s="6" t="str">
        <f>IFERROR(__xludf.DUMMYFUNCTION("""COMPUTED_VALUE"""),"MS")</f>
        <v>MS</v>
      </c>
      <c r="R3952" s="6">
        <f>IFERROR(__xludf.DUMMYFUNCTION("""COMPUTED_VALUE"""),0.0)</f>
        <v>0</v>
      </c>
      <c r="S3952" s="6" t="str">
        <f>IFERROR(__xludf.DUMMYFUNCTION("""COMPUTED_VALUE""")," ")</f>
        <v> </v>
      </c>
      <c r="T3952" s="6" t="str">
        <f>IFERROR(__xludf.DUMMYFUNCTION("""COMPUTED_VALUE"""),"")</f>
        <v/>
      </c>
      <c r="U3952" s="6" t="str">
        <f>IFERROR(__xludf.DUMMYFUNCTION("""COMPUTED_VALUE"""),"6")</f>
        <v>6</v>
      </c>
      <c r="V3952" s="6" t="str">
        <f>IFERROR(__xludf.DUMMYFUNCTION("""COMPUTED_VALUE"""),"English")</f>
        <v>English</v>
      </c>
      <c r="W3952" s="6" t="str">
        <f>IFERROR(__xludf.DUMMYFUNCTION("""COMPUTED_VALUE"""),"[]")</f>
        <v>[]</v>
      </c>
      <c r="X3952" s="6" t="str">
        <f>IFERROR(__xludf.DUMMYFUNCTION("""COMPUTED_VALUE"""),"Enrolled")</f>
        <v>Enrolled</v>
      </c>
    </row>
    <row r="3953">
      <c r="A3953" s="6" t="str">
        <f>IFERROR(__xludf.DUMMYFUNCTION("""COMPUTED_VALUE"""),"071-2140")</f>
        <v>071-2140</v>
      </c>
      <c r="B3953" s="6" t="str">
        <f>IFERROR(__xludf.DUMMYFUNCTION("""COMPUTED_VALUE"""),"71")</f>
        <v>71</v>
      </c>
      <c r="C3953" s="6" t="str">
        <f>IFERROR(__xludf.DUMMYFUNCTION("""COMPUTED_VALUE"""),"2140")</f>
        <v>2140</v>
      </c>
      <c r="D3953" s="6" t="str">
        <f>IFERROR(__xludf.DUMMYFUNCTION("""COMPUTED_VALUE"""),"Mikey")</f>
        <v>Mikey</v>
      </c>
      <c r="E3953" s="6" t="str">
        <f>IFERROR(__xludf.DUMMYFUNCTION("""COMPUTED_VALUE"""),"")</f>
        <v/>
      </c>
      <c r="F3953" s="6" t="str">
        <f>IFERROR(__xludf.DUMMYFUNCTION("""COMPUTED_VALUE"""),"Nuques")</f>
        <v>Nuques</v>
      </c>
      <c r="G3953" s="6" t="str">
        <f>IFERROR(__xludf.DUMMYFUNCTION("""COMPUTED_VALUE"""),"10/03/2011")</f>
        <v>10/03/2011</v>
      </c>
      <c r="H3953" s="6" t="str">
        <f>IFERROR(__xludf.DUMMYFUNCTION("""COMPUTED_VALUE"""),"Other")</f>
        <v>Other</v>
      </c>
      <c r="I3953" s="6" t="str">
        <f>IFERROR(__xludf.DUMMYFUNCTION("""COMPUTED_VALUE"""),"Middle School")</f>
        <v>Middle School</v>
      </c>
      <c r="J3953" s="6" t="str">
        <f>IFERROR(__xludf.DUMMYFUNCTION("""COMPUTED_VALUE"""),"8")</f>
        <v>8</v>
      </c>
      <c r="K3953" s="6" t="str">
        <f>IFERROR(__xludf.DUMMYFUNCTION("""COMPUTED_VALUE"""),"mikey.nuques@2hourlearning.com")</f>
        <v>mikey.nuques@2hourlearning.com</v>
      </c>
      <c r="L3953" s="6" t="str">
        <f>IFERROR(__xludf.DUMMYFUNCTION("""COMPUTED_VALUE"""),"2 Hour Single User")</f>
        <v>2 Hour Single User</v>
      </c>
      <c r="M3953" s="6" t="str">
        <f>IFERROR(__xludf.DUMMYFUNCTION("""COMPUTED_VALUE"""),"spartan")</f>
        <v>spartan</v>
      </c>
      <c r="N3953" s="6" t="str">
        <f>IFERROR(__xludf.DUMMYFUNCTION("""COMPUTED_VALUE"""),"")</f>
        <v/>
      </c>
      <c r="O3953" s="87" t="str">
        <f>IFERROR(__xludf.DUMMYFUNCTION("""COMPUTED_VALUE"""),"https://drive.google.com/drive/folders/10T2cTQHqEJZqE-st6uFKPoI?usp=share_link")</f>
        <v>https://drive.google.com/drive/folders/10T2cTQHqEJZqE-st6uFKPoI?usp=share_link</v>
      </c>
      <c r="P3953" s="6" t="str">
        <f>IFERROR(__xludf.DUMMYFUNCTION("""COMPUTED_VALUE"""),"Mikey Nuques")</f>
        <v>Mikey Nuques</v>
      </c>
      <c r="Q3953" s="6" t="str">
        <f>IFERROR(__xludf.DUMMYFUNCTION("""COMPUTED_VALUE"""),"MS")</f>
        <v>MS</v>
      </c>
      <c r="R3953" s="6">
        <f>IFERROR(__xludf.DUMMYFUNCTION("""COMPUTED_VALUE"""),0.0)</f>
        <v>0</v>
      </c>
      <c r="S3953" s="6" t="str">
        <f>IFERROR(__xludf.DUMMYFUNCTION("""COMPUTED_VALUE""")," ")</f>
        <v> </v>
      </c>
      <c r="T3953" s="6" t="str">
        <f>IFERROR(__xludf.DUMMYFUNCTION("""COMPUTED_VALUE"""),"")</f>
        <v/>
      </c>
      <c r="U3953" s="6" t="str">
        <f>IFERROR(__xludf.DUMMYFUNCTION("""COMPUTED_VALUE"""),"8")</f>
        <v>8</v>
      </c>
      <c r="V3953" s="6" t="str">
        <f>IFERROR(__xludf.DUMMYFUNCTION("""COMPUTED_VALUE"""),"English")</f>
        <v>English</v>
      </c>
      <c r="W3953" s="6" t="str">
        <f>IFERROR(__xludf.DUMMYFUNCTION("""COMPUTED_VALUE"""),"[]")</f>
        <v>[]</v>
      </c>
      <c r="X3953" s="6" t="str">
        <f>IFERROR(__xludf.DUMMYFUNCTION("""COMPUTED_VALUE"""),"Enrolled")</f>
        <v>Enrolled</v>
      </c>
    </row>
    <row r="3954">
      <c r="A3954" s="6" t="str">
        <f>IFERROR(__xludf.DUMMYFUNCTION("""COMPUTED_VALUE"""),"071-2151")</f>
        <v>071-2151</v>
      </c>
      <c r="B3954" s="6" t="str">
        <f>IFERROR(__xludf.DUMMYFUNCTION("""COMPUTED_VALUE"""),"71")</f>
        <v>71</v>
      </c>
      <c r="C3954" s="6" t="str">
        <f>IFERROR(__xludf.DUMMYFUNCTION("""COMPUTED_VALUE"""),"2151")</f>
        <v>2151</v>
      </c>
      <c r="D3954" s="6" t="str">
        <f>IFERROR(__xludf.DUMMYFUNCTION("""COMPUTED_VALUE"""),"Guilherme")</f>
        <v>Guilherme</v>
      </c>
      <c r="E3954" s="6" t="str">
        <f>IFERROR(__xludf.DUMMYFUNCTION("""COMPUTED_VALUE"""),"")</f>
        <v/>
      </c>
      <c r="F3954" s="6" t="str">
        <f>IFERROR(__xludf.DUMMYFUNCTION("""COMPUTED_VALUE"""),"Colombo")</f>
        <v>Colombo</v>
      </c>
      <c r="G3954" s="6" t="str">
        <f>IFERROR(__xludf.DUMMYFUNCTION("""COMPUTED_VALUE"""),"01/01/2010")</f>
        <v>01/01/2010</v>
      </c>
      <c r="H3954" s="6" t="str">
        <f>IFERROR(__xludf.DUMMYFUNCTION("""COMPUTED_VALUE"""),"Other")</f>
        <v>Other</v>
      </c>
      <c r="I3954" s="6" t="str">
        <f>IFERROR(__xludf.DUMMYFUNCTION("""COMPUTED_VALUE"""),"Middle School")</f>
        <v>Middle School</v>
      </c>
      <c r="J3954" s="6" t="str">
        <f>IFERROR(__xludf.DUMMYFUNCTION("""COMPUTED_VALUE"""),"6")</f>
        <v>6</v>
      </c>
      <c r="K3954" s="6" t="str">
        <f>IFERROR(__xludf.DUMMYFUNCTION("""COMPUTED_VALUE"""),"guilherme.colombo@2hourlearning.com")</f>
        <v>guilherme.colombo@2hourlearning.com</v>
      </c>
      <c r="L3954" s="6" t="str">
        <f>IFERROR(__xludf.DUMMYFUNCTION("""COMPUTED_VALUE"""),"2 Hour Single User")</f>
        <v>2 Hour Single User</v>
      </c>
      <c r="M3954" s="6" t="str">
        <f>IFERROR(__xludf.DUMMYFUNCTION("""COMPUTED_VALUE"""),"spartan")</f>
        <v>spartan</v>
      </c>
      <c r="N3954" s="6" t="str">
        <f>IFERROR(__xludf.DUMMYFUNCTION("""COMPUTED_VALUE"""),"")</f>
        <v/>
      </c>
      <c r="O3954" s="87" t="str">
        <f>IFERROR(__xludf.DUMMYFUNCTION("""COMPUTED_VALUE"""),"https://drive.google.com/drive/folders/10T2cTQHqEJZqE-st6uFKPoI?usp=share_link")</f>
        <v>https://drive.google.com/drive/folders/10T2cTQHqEJZqE-st6uFKPoI?usp=share_link</v>
      </c>
      <c r="P3954" s="6" t="str">
        <f>IFERROR(__xludf.DUMMYFUNCTION("""COMPUTED_VALUE"""),"Guilherme Colombo")</f>
        <v>Guilherme Colombo</v>
      </c>
      <c r="Q3954" s="6" t="str">
        <f>IFERROR(__xludf.DUMMYFUNCTION("""COMPUTED_VALUE"""),"MS")</f>
        <v>MS</v>
      </c>
      <c r="R3954" s="6">
        <f>IFERROR(__xludf.DUMMYFUNCTION("""COMPUTED_VALUE"""),0.0)</f>
        <v>0</v>
      </c>
      <c r="S3954" s="6" t="str">
        <f>IFERROR(__xludf.DUMMYFUNCTION("""COMPUTED_VALUE""")," ")</f>
        <v> </v>
      </c>
      <c r="T3954" s="6" t="str">
        <f>IFERROR(__xludf.DUMMYFUNCTION("""COMPUTED_VALUE"""),"")</f>
        <v/>
      </c>
      <c r="U3954" s="6" t="str">
        <f>IFERROR(__xludf.DUMMYFUNCTION("""COMPUTED_VALUE"""),"6")</f>
        <v>6</v>
      </c>
      <c r="V3954" s="6" t="str">
        <f>IFERROR(__xludf.DUMMYFUNCTION("""COMPUTED_VALUE"""),"English")</f>
        <v>English</v>
      </c>
      <c r="W3954" s="6" t="str">
        <f>IFERROR(__xludf.DUMMYFUNCTION("""COMPUTED_VALUE"""),"[]")</f>
        <v>[]</v>
      </c>
      <c r="X3954" s="6" t="str">
        <f>IFERROR(__xludf.DUMMYFUNCTION("""COMPUTED_VALUE"""),"Enrolled")</f>
        <v>Enrolled</v>
      </c>
    </row>
    <row r="3955">
      <c r="A3955" s="6" t="str">
        <f>IFERROR(__xludf.DUMMYFUNCTION("""COMPUTED_VALUE"""),"071-3000")</f>
        <v>071-3000</v>
      </c>
      <c r="B3955" s="6" t="str">
        <f>IFERROR(__xludf.DUMMYFUNCTION("""COMPUTED_VALUE"""),"71")</f>
        <v>71</v>
      </c>
      <c r="C3955" s="6" t="str">
        <f>IFERROR(__xludf.DUMMYFUNCTION("""COMPUTED_VALUE"""),"3000")</f>
        <v>3000</v>
      </c>
      <c r="D3955" s="6" t="str">
        <f>IFERROR(__xludf.DUMMYFUNCTION("""COMPUTED_VALUE"""),"Bruna")</f>
        <v>Bruna</v>
      </c>
      <c r="E3955" s="6" t="str">
        <f>IFERROR(__xludf.DUMMYFUNCTION("""COMPUTED_VALUE"""),"")</f>
        <v/>
      </c>
      <c r="F3955" s="6" t="str">
        <f>IFERROR(__xludf.DUMMYFUNCTION("""COMPUTED_VALUE"""),"Rodrigues")</f>
        <v>Rodrigues</v>
      </c>
      <c r="G3955" s="6" t="str">
        <f>IFERROR(__xludf.DUMMYFUNCTION("""COMPUTED_VALUE"""),"01/01/2009")</f>
        <v>01/01/2009</v>
      </c>
      <c r="H3955" s="6" t="str">
        <f>IFERROR(__xludf.DUMMYFUNCTION("""COMPUTED_VALUE"""),"Self Identify")</f>
        <v>Self Identify</v>
      </c>
      <c r="I3955" s="6" t="str">
        <f>IFERROR(__xludf.DUMMYFUNCTION("""COMPUTED_VALUE"""),"High School")</f>
        <v>High School</v>
      </c>
      <c r="J3955" s="6" t="str">
        <f>IFERROR(__xludf.DUMMYFUNCTION("""COMPUTED_VALUE"""),"10")</f>
        <v>10</v>
      </c>
      <c r="K3955" s="6" t="str">
        <f>IFERROR(__xludf.DUMMYFUNCTION("""COMPUTED_VALUE"""),"bruna.rodrigues@2hourlearning.com")</f>
        <v>bruna.rodrigues@2hourlearning.com</v>
      </c>
      <c r="L3955" s="6" t="str">
        <f>IFERROR(__xludf.DUMMYFUNCTION("""COMPUTED_VALUE"""),"2 Hour Single User")</f>
        <v>2 Hour Single User</v>
      </c>
      <c r="M3955" s="6" t="str">
        <f>IFERROR(__xludf.DUMMYFUNCTION("""COMPUTED_VALUE"""),"Mock")</f>
        <v>Mock</v>
      </c>
      <c r="N3955" s="6" t="str">
        <f>IFERROR(__xludf.DUMMYFUNCTION("""COMPUTED_VALUE"""),"")</f>
        <v/>
      </c>
      <c r="O3955" s="87" t="str">
        <f>IFERROR(__xludf.DUMMYFUNCTION("""COMPUTED_VALUE"""),"https://drive.google.com/drive/folders/10T2cTQHqEJZqE-st6uFKPoI?usp=share_link")</f>
        <v>https://drive.google.com/drive/folders/10T2cTQHqEJZqE-st6uFKPoI?usp=share_link</v>
      </c>
      <c r="P3955" s="6" t="str">
        <f>IFERROR(__xludf.DUMMYFUNCTION("""COMPUTED_VALUE"""),"Bruna Rodrigues")</f>
        <v>Bruna Rodrigues</v>
      </c>
      <c r="Q3955" s="6" t="str">
        <f>IFERROR(__xludf.DUMMYFUNCTION("""COMPUTED_VALUE"""),"HS")</f>
        <v>HS</v>
      </c>
      <c r="R3955" s="6">
        <f>IFERROR(__xludf.DUMMYFUNCTION("""COMPUTED_VALUE"""),0.0)</f>
        <v>0</v>
      </c>
      <c r="S3955" s="6" t="str">
        <f>IFERROR(__xludf.DUMMYFUNCTION("""COMPUTED_VALUE""")," ")</f>
        <v> </v>
      </c>
      <c r="T3955" s="6" t="str">
        <f>IFERROR(__xludf.DUMMYFUNCTION("""COMPUTED_VALUE"""),"")</f>
        <v/>
      </c>
      <c r="U3955" s="6" t="str">
        <f>IFERROR(__xludf.DUMMYFUNCTION("""COMPUTED_VALUE"""),"10")</f>
        <v>10</v>
      </c>
      <c r="V3955" s="6" t="str">
        <f>IFERROR(__xludf.DUMMYFUNCTION("""COMPUTED_VALUE"""),"English")</f>
        <v>English</v>
      </c>
      <c r="W3955" s="6" t="str">
        <f>IFERROR(__xludf.DUMMYFUNCTION("""COMPUTED_VALUE"""),"[]")</f>
        <v>[]</v>
      </c>
      <c r="X3955" s="6" t="str">
        <f>IFERROR(__xludf.DUMMYFUNCTION("""COMPUTED_VALUE"""),"Enrolled")</f>
        <v>Enrolled</v>
      </c>
    </row>
    <row r="3956">
      <c r="A3956" s="6" t="str">
        <f>IFERROR(__xludf.DUMMYFUNCTION("""COMPUTED_VALUE"""),"071-3001")</f>
        <v>071-3001</v>
      </c>
      <c r="B3956" s="6" t="str">
        <f>IFERROR(__xludf.DUMMYFUNCTION("""COMPUTED_VALUE"""),"71")</f>
        <v>71</v>
      </c>
      <c r="C3956" s="6" t="str">
        <f>IFERROR(__xludf.DUMMYFUNCTION("""COMPUTED_VALUE"""),"3001")</f>
        <v>3001</v>
      </c>
      <c r="D3956" s="6" t="str">
        <f>IFERROR(__xludf.DUMMYFUNCTION("""COMPUTED_VALUE"""),"Canberk")</f>
        <v>Canberk</v>
      </c>
      <c r="E3956" s="6" t="str">
        <f>IFERROR(__xludf.DUMMYFUNCTION("""COMPUTED_VALUE"""),"")</f>
        <v/>
      </c>
      <c r="F3956" s="6" t="str">
        <f>IFERROR(__xludf.DUMMYFUNCTION("""COMPUTED_VALUE"""),"Yuksel")</f>
        <v>Yuksel</v>
      </c>
      <c r="G3956" s="6" t="str">
        <f>IFERROR(__xludf.DUMMYFUNCTION("""COMPUTED_VALUE"""),"01/01/2014")</f>
        <v>01/01/2014</v>
      </c>
      <c r="H3956" s="6" t="str">
        <f>IFERROR(__xludf.DUMMYFUNCTION("""COMPUTED_VALUE"""),"Self Identify")</f>
        <v>Self Identify</v>
      </c>
      <c r="I3956" s="6" t="str">
        <f>IFERROR(__xludf.DUMMYFUNCTION("""COMPUTED_VALUE"""),"Level 2")</f>
        <v>Level 2</v>
      </c>
      <c r="J3956" s="6" t="str">
        <f>IFERROR(__xludf.DUMMYFUNCTION("""COMPUTED_VALUE"""),"5")</f>
        <v>5</v>
      </c>
      <c r="K3956" s="6" t="str">
        <f>IFERROR(__xludf.DUMMYFUNCTION("""COMPUTED_VALUE"""),"canberk.yuksel@2hourlearning.com")</f>
        <v>canberk.yuksel@2hourlearning.com</v>
      </c>
      <c r="L3956" s="6" t="str">
        <f>IFERROR(__xludf.DUMMYFUNCTION("""COMPUTED_VALUE"""),"2 Hour Single User")</f>
        <v>2 Hour Single User</v>
      </c>
      <c r="M3956" s="6" t="str">
        <f>IFERROR(__xludf.DUMMYFUNCTION("""COMPUTED_VALUE"""),"Mock")</f>
        <v>Mock</v>
      </c>
      <c r="N3956" s="6" t="str">
        <f>IFERROR(__xludf.DUMMYFUNCTION("""COMPUTED_VALUE"""),"")</f>
        <v/>
      </c>
      <c r="O3956" s="87" t="str">
        <f>IFERROR(__xludf.DUMMYFUNCTION("""COMPUTED_VALUE"""),"https://drive.google.com/drive/folders/10T2cTQHqEJZqE-st6uFKPoI?usp=share_link")</f>
        <v>https://drive.google.com/drive/folders/10T2cTQHqEJZqE-st6uFKPoI?usp=share_link</v>
      </c>
      <c r="P3956" s="6" t="str">
        <f>IFERROR(__xludf.DUMMYFUNCTION("""COMPUTED_VALUE"""),"Canberk Yuksel")</f>
        <v>Canberk Yuksel</v>
      </c>
      <c r="Q3956" s="6" t="str">
        <f>IFERROR(__xludf.DUMMYFUNCTION("""COMPUTED_VALUE"""),"L2")</f>
        <v>L2</v>
      </c>
      <c r="R3956" s="6">
        <f>IFERROR(__xludf.DUMMYFUNCTION("""COMPUTED_VALUE"""),2.0)</f>
        <v>2</v>
      </c>
      <c r="S3956" s="6" t="str">
        <f>IFERROR(__xludf.DUMMYFUNCTION("""COMPUTED_VALUE""")," ")</f>
        <v> </v>
      </c>
      <c r="T3956" s="6" t="str">
        <f>IFERROR(__xludf.DUMMYFUNCTION("""COMPUTED_VALUE"""),"")</f>
        <v/>
      </c>
      <c r="U3956" s="6" t="str">
        <f>IFERROR(__xludf.DUMMYFUNCTION("""COMPUTED_VALUE"""),"5")</f>
        <v>5</v>
      </c>
      <c r="V3956" s="6" t="str">
        <f>IFERROR(__xludf.DUMMYFUNCTION("""COMPUTED_VALUE"""),"English")</f>
        <v>English</v>
      </c>
      <c r="W3956" s="6" t="str">
        <f>IFERROR(__xludf.DUMMYFUNCTION("""COMPUTED_VALUE"""),"[]")</f>
        <v>[]</v>
      </c>
      <c r="X3956" s="6" t="str">
        <f>IFERROR(__xludf.DUMMYFUNCTION("""COMPUTED_VALUE"""),"Enrolled")</f>
        <v>Enrolled</v>
      </c>
    </row>
    <row r="3957">
      <c r="A3957" s="6" t="str">
        <f>IFERROR(__xludf.DUMMYFUNCTION("""COMPUTED_VALUE"""),"071-3002")</f>
        <v>071-3002</v>
      </c>
      <c r="B3957" s="6" t="str">
        <f>IFERROR(__xludf.DUMMYFUNCTION("""COMPUTED_VALUE"""),"71")</f>
        <v>71</v>
      </c>
      <c r="C3957" s="6" t="str">
        <f>IFERROR(__xludf.DUMMYFUNCTION("""COMPUTED_VALUE"""),"3002")</f>
        <v>3002</v>
      </c>
      <c r="D3957" s="6" t="str">
        <f>IFERROR(__xludf.DUMMYFUNCTION("""COMPUTED_VALUE"""),"Daniela")</f>
        <v>Daniela</v>
      </c>
      <c r="E3957" s="6" t="str">
        <f>IFERROR(__xludf.DUMMYFUNCTION("""COMPUTED_VALUE"""),"")</f>
        <v/>
      </c>
      <c r="F3957" s="6" t="str">
        <f>IFERROR(__xludf.DUMMYFUNCTION("""COMPUTED_VALUE"""),"Guarin")</f>
        <v>Guarin</v>
      </c>
      <c r="G3957" s="6" t="str">
        <f>IFERROR(__xludf.DUMMYFUNCTION("""COMPUTED_VALUE"""),"01/01/2017")</f>
        <v>01/01/2017</v>
      </c>
      <c r="H3957" s="6" t="str">
        <f>IFERROR(__xludf.DUMMYFUNCTION("""COMPUTED_VALUE"""),"Self Identify")</f>
        <v>Self Identify</v>
      </c>
      <c r="I3957" s="6" t="str">
        <f>IFERROR(__xludf.DUMMYFUNCTION("""COMPUTED_VALUE"""),"Level 1")</f>
        <v>Level 1</v>
      </c>
      <c r="J3957" s="6" t="str">
        <f>IFERROR(__xludf.DUMMYFUNCTION("""COMPUTED_VALUE"""),"2")</f>
        <v>2</v>
      </c>
      <c r="K3957" s="6" t="str">
        <f>IFERROR(__xludf.DUMMYFUNCTION("""COMPUTED_VALUE"""),"daniela.guarin@2hourlearning.com")</f>
        <v>daniela.guarin@2hourlearning.com</v>
      </c>
      <c r="L3957" s="6" t="str">
        <f>IFERROR(__xludf.DUMMYFUNCTION("""COMPUTED_VALUE"""),"2 Hour Single User")</f>
        <v>2 Hour Single User</v>
      </c>
      <c r="M3957" s="6" t="str">
        <f>IFERROR(__xludf.DUMMYFUNCTION("""COMPUTED_VALUE"""),"Mock")</f>
        <v>Mock</v>
      </c>
      <c r="N3957" s="6" t="str">
        <f>IFERROR(__xludf.DUMMYFUNCTION("""COMPUTED_VALUE"""),"")</f>
        <v/>
      </c>
      <c r="O3957" s="87" t="str">
        <f>IFERROR(__xludf.DUMMYFUNCTION("""COMPUTED_VALUE"""),"https://drive.google.com/drive/folders/10T2cTQHqEJZqE-st6uFKPoI?usp=share_link")</f>
        <v>https://drive.google.com/drive/folders/10T2cTQHqEJZqE-st6uFKPoI?usp=share_link</v>
      </c>
      <c r="P3957" s="6" t="str">
        <f>IFERROR(__xludf.DUMMYFUNCTION("""COMPUTED_VALUE"""),"Daniela Guarin")</f>
        <v>Daniela Guarin</v>
      </c>
      <c r="Q3957" s="6" t="str">
        <f>IFERROR(__xludf.DUMMYFUNCTION("""COMPUTED_VALUE"""),"L1")</f>
        <v>L1</v>
      </c>
      <c r="R3957" s="6">
        <f>IFERROR(__xludf.DUMMYFUNCTION("""COMPUTED_VALUE"""),1.0)</f>
        <v>1</v>
      </c>
      <c r="S3957" s="6" t="str">
        <f>IFERROR(__xludf.DUMMYFUNCTION("""COMPUTED_VALUE""")," ")</f>
        <v> </v>
      </c>
      <c r="T3957" s="6" t="str">
        <f>IFERROR(__xludf.DUMMYFUNCTION("""COMPUTED_VALUE"""),"")</f>
        <v/>
      </c>
      <c r="U3957" s="6" t="str">
        <f>IFERROR(__xludf.DUMMYFUNCTION("""COMPUTED_VALUE"""),"2")</f>
        <v>2</v>
      </c>
      <c r="V3957" s="6" t="str">
        <f>IFERROR(__xludf.DUMMYFUNCTION("""COMPUTED_VALUE"""),"English")</f>
        <v>English</v>
      </c>
      <c r="W3957" s="6" t="str">
        <f>IFERROR(__xludf.DUMMYFUNCTION("""COMPUTED_VALUE"""),"[]")</f>
        <v>[]</v>
      </c>
      <c r="X3957" s="6" t="str">
        <f>IFERROR(__xludf.DUMMYFUNCTION("""COMPUTED_VALUE"""),"Enrolled")</f>
        <v>Enrolled</v>
      </c>
    </row>
    <row r="3958">
      <c r="A3958" s="6" t="str">
        <f>IFERROR(__xludf.DUMMYFUNCTION("""COMPUTED_VALUE"""),"071-3003")</f>
        <v>071-3003</v>
      </c>
      <c r="B3958" s="6" t="str">
        <f>IFERROR(__xludf.DUMMYFUNCTION("""COMPUTED_VALUE"""),"71")</f>
        <v>71</v>
      </c>
      <c r="C3958" s="6" t="str">
        <f>IFERROR(__xludf.DUMMYFUNCTION("""COMPUTED_VALUE"""),"3003")</f>
        <v>3003</v>
      </c>
      <c r="D3958" s="6" t="str">
        <f>IFERROR(__xludf.DUMMYFUNCTION("""COMPUTED_VALUE"""),"David")</f>
        <v>David</v>
      </c>
      <c r="E3958" s="6" t="str">
        <f>IFERROR(__xludf.DUMMYFUNCTION("""COMPUTED_VALUE"""),"")</f>
        <v/>
      </c>
      <c r="F3958" s="6" t="str">
        <f>IFERROR(__xludf.DUMMYFUNCTION("""COMPUTED_VALUE"""),"Babagbale")</f>
        <v>Babagbale</v>
      </c>
      <c r="G3958" s="6" t="str">
        <f>IFERROR(__xludf.DUMMYFUNCTION("""COMPUTED_VALUE"""),"01/01/2009")</f>
        <v>01/01/2009</v>
      </c>
      <c r="H3958" s="6" t="str">
        <f>IFERROR(__xludf.DUMMYFUNCTION("""COMPUTED_VALUE"""),"Self Identify")</f>
        <v>Self Identify</v>
      </c>
      <c r="I3958" s="6" t="str">
        <f>IFERROR(__xludf.DUMMYFUNCTION("""COMPUTED_VALUE"""),"High School")</f>
        <v>High School</v>
      </c>
      <c r="J3958" s="6" t="str">
        <f>IFERROR(__xludf.DUMMYFUNCTION("""COMPUTED_VALUE"""),"10")</f>
        <v>10</v>
      </c>
      <c r="K3958" s="6" t="str">
        <f>IFERROR(__xludf.DUMMYFUNCTION("""COMPUTED_VALUE"""),"david.babagbale@2hourlearning.com")</f>
        <v>david.babagbale@2hourlearning.com</v>
      </c>
      <c r="L3958" s="6" t="str">
        <f>IFERROR(__xludf.DUMMYFUNCTION("""COMPUTED_VALUE"""),"2 Hour Single User")</f>
        <v>2 Hour Single User</v>
      </c>
      <c r="M3958" s="6" t="str">
        <f>IFERROR(__xludf.DUMMYFUNCTION("""COMPUTED_VALUE"""),"Mock")</f>
        <v>Mock</v>
      </c>
      <c r="N3958" s="6" t="str">
        <f>IFERROR(__xludf.DUMMYFUNCTION("""COMPUTED_VALUE"""),"")</f>
        <v/>
      </c>
      <c r="O3958" s="87" t="str">
        <f>IFERROR(__xludf.DUMMYFUNCTION("""COMPUTED_VALUE"""),"https://drive.google.com/drive/folders/10T2cTQHqEJZqE-st6uFKPoI?usp=share_link")</f>
        <v>https://drive.google.com/drive/folders/10T2cTQHqEJZqE-st6uFKPoI?usp=share_link</v>
      </c>
      <c r="P3958" s="6" t="str">
        <f>IFERROR(__xludf.DUMMYFUNCTION("""COMPUTED_VALUE"""),"David Babagbale")</f>
        <v>David Babagbale</v>
      </c>
      <c r="Q3958" s="6" t="str">
        <f>IFERROR(__xludf.DUMMYFUNCTION("""COMPUTED_VALUE"""),"HS")</f>
        <v>HS</v>
      </c>
      <c r="R3958" s="6">
        <f>IFERROR(__xludf.DUMMYFUNCTION("""COMPUTED_VALUE"""),0.0)</f>
        <v>0</v>
      </c>
      <c r="S3958" s="6" t="str">
        <f>IFERROR(__xludf.DUMMYFUNCTION("""COMPUTED_VALUE""")," ")</f>
        <v> </v>
      </c>
      <c r="T3958" s="6" t="str">
        <f>IFERROR(__xludf.DUMMYFUNCTION("""COMPUTED_VALUE"""),"")</f>
        <v/>
      </c>
      <c r="U3958" s="6" t="str">
        <f>IFERROR(__xludf.DUMMYFUNCTION("""COMPUTED_VALUE"""),"10")</f>
        <v>10</v>
      </c>
      <c r="V3958" s="6" t="str">
        <f>IFERROR(__xludf.DUMMYFUNCTION("""COMPUTED_VALUE"""),"English")</f>
        <v>English</v>
      </c>
      <c r="W3958" s="6" t="str">
        <f>IFERROR(__xludf.DUMMYFUNCTION("""COMPUTED_VALUE"""),"[]")</f>
        <v>[]</v>
      </c>
      <c r="X3958" s="6" t="str">
        <f>IFERROR(__xludf.DUMMYFUNCTION("""COMPUTED_VALUE"""),"Enrolled")</f>
        <v>Enrolled</v>
      </c>
    </row>
    <row r="3959">
      <c r="A3959" s="6" t="str">
        <f>IFERROR(__xludf.DUMMYFUNCTION("""COMPUTED_VALUE"""),"071-3004")</f>
        <v>071-3004</v>
      </c>
      <c r="B3959" s="6" t="str">
        <f>IFERROR(__xludf.DUMMYFUNCTION("""COMPUTED_VALUE"""),"71")</f>
        <v>71</v>
      </c>
      <c r="C3959" s="6" t="str">
        <f>IFERROR(__xludf.DUMMYFUNCTION("""COMPUTED_VALUE"""),"3004")</f>
        <v>3004</v>
      </c>
      <c r="D3959" s="6" t="str">
        <f>IFERROR(__xludf.DUMMYFUNCTION("""COMPUTED_VALUE"""),"Filipe")</f>
        <v>Filipe</v>
      </c>
      <c r="E3959" s="6" t="str">
        <f>IFERROR(__xludf.DUMMYFUNCTION("""COMPUTED_VALUE"""),"")</f>
        <v/>
      </c>
      <c r="F3959" s="6" t="str">
        <f>IFERROR(__xludf.DUMMYFUNCTION("""COMPUTED_VALUE"""),"Barcellos")</f>
        <v>Barcellos</v>
      </c>
      <c r="G3959" s="6" t="str">
        <f>IFERROR(__xludf.DUMMYFUNCTION("""COMPUTED_VALUE"""),"06/01/2010")</f>
        <v>06/01/2010</v>
      </c>
      <c r="H3959" s="6" t="str">
        <f>IFERROR(__xludf.DUMMYFUNCTION("""COMPUTED_VALUE"""),"Self Identify")</f>
        <v>Self Identify</v>
      </c>
      <c r="I3959" s="6" t="str">
        <f>IFERROR(__xludf.DUMMYFUNCTION("""COMPUTED_VALUE"""),"Middle School")</f>
        <v>Middle School</v>
      </c>
      <c r="J3959" s="6" t="str">
        <f>IFERROR(__xludf.DUMMYFUNCTION("""COMPUTED_VALUE"""),"6")</f>
        <v>6</v>
      </c>
      <c r="K3959" s="6" t="str">
        <f>IFERROR(__xludf.DUMMYFUNCTION("""COMPUTED_VALUE"""),"filipe.barcellos@2hourlearning.com")</f>
        <v>filipe.barcellos@2hourlearning.com</v>
      </c>
      <c r="L3959" s="6" t="str">
        <f>IFERROR(__xludf.DUMMYFUNCTION("""COMPUTED_VALUE"""),"2 Hour Single User")</f>
        <v>2 Hour Single User</v>
      </c>
      <c r="M3959" s="6" t="str">
        <f>IFERROR(__xludf.DUMMYFUNCTION("""COMPUTED_VALUE"""),"Mock")</f>
        <v>Mock</v>
      </c>
      <c r="N3959" s="6" t="str">
        <f>IFERROR(__xludf.DUMMYFUNCTION("""COMPUTED_VALUE"""),"")</f>
        <v/>
      </c>
      <c r="O3959" s="87" t="str">
        <f>IFERROR(__xludf.DUMMYFUNCTION("""COMPUTED_VALUE"""),"https://drive.google.com/drive/folders/10T2cTQHqEJZqE-st6uFKPoI?usp=share_link")</f>
        <v>https://drive.google.com/drive/folders/10T2cTQHqEJZqE-st6uFKPoI?usp=share_link</v>
      </c>
      <c r="P3959" s="6" t="str">
        <f>IFERROR(__xludf.DUMMYFUNCTION("""COMPUTED_VALUE"""),"Filipe Barcellos")</f>
        <v>Filipe Barcellos</v>
      </c>
      <c r="Q3959" s="6" t="str">
        <f>IFERROR(__xludf.DUMMYFUNCTION("""COMPUTED_VALUE"""),"MS")</f>
        <v>MS</v>
      </c>
      <c r="R3959" s="6">
        <f>IFERROR(__xludf.DUMMYFUNCTION("""COMPUTED_VALUE"""),0.0)</f>
        <v>0</v>
      </c>
      <c r="S3959" s="6" t="str">
        <f>IFERROR(__xludf.DUMMYFUNCTION("""COMPUTED_VALUE""")," ")</f>
        <v> </v>
      </c>
      <c r="T3959" s="6" t="str">
        <f>IFERROR(__xludf.DUMMYFUNCTION("""COMPUTED_VALUE"""),"")</f>
        <v/>
      </c>
      <c r="U3959" s="6" t="str">
        <f>IFERROR(__xludf.DUMMYFUNCTION("""COMPUTED_VALUE"""),"6")</f>
        <v>6</v>
      </c>
      <c r="V3959" s="6" t="str">
        <f>IFERROR(__xludf.DUMMYFUNCTION("""COMPUTED_VALUE"""),"English")</f>
        <v>English</v>
      </c>
      <c r="W3959" s="6" t="str">
        <f>IFERROR(__xludf.DUMMYFUNCTION("""COMPUTED_VALUE"""),"[]")</f>
        <v>[]</v>
      </c>
      <c r="X3959" s="6" t="str">
        <f>IFERROR(__xludf.DUMMYFUNCTION("""COMPUTED_VALUE"""),"Enrolled")</f>
        <v>Enrolled</v>
      </c>
    </row>
    <row r="3960">
      <c r="A3960" s="6" t="str">
        <f>IFERROR(__xludf.DUMMYFUNCTION("""COMPUTED_VALUE"""),"071-3005")</f>
        <v>071-3005</v>
      </c>
      <c r="B3960" s="6" t="str">
        <f>IFERROR(__xludf.DUMMYFUNCTION("""COMPUTED_VALUE"""),"71")</f>
        <v>71</v>
      </c>
      <c r="C3960" s="6" t="str">
        <f>IFERROR(__xludf.DUMMYFUNCTION("""COMPUTED_VALUE"""),"3005")</f>
        <v>3005</v>
      </c>
      <c r="D3960" s="6" t="str">
        <f>IFERROR(__xludf.DUMMYFUNCTION("""COMPUTED_VALUE"""),"Javier")</f>
        <v>Javier</v>
      </c>
      <c r="E3960" s="6" t="str">
        <f>IFERROR(__xludf.DUMMYFUNCTION("""COMPUTED_VALUE"""),"")</f>
        <v/>
      </c>
      <c r="F3960" s="6" t="str">
        <f>IFERROR(__xludf.DUMMYFUNCTION("""COMPUTED_VALUE"""),"Rodriguez")</f>
        <v>Rodriguez</v>
      </c>
      <c r="G3960" s="6" t="str">
        <f>IFERROR(__xludf.DUMMYFUNCTION("""COMPUTED_VALUE"""),"01/01/2013")</f>
        <v>01/01/2013</v>
      </c>
      <c r="H3960" s="6" t="str">
        <f>IFERROR(__xludf.DUMMYFUNCTION("""COMPUTED_VALUE"""),"Self Identify")</f>
        <v>Self Identify</v>
      </c>
      <c r="I3960" s="6" t="str">
        <f>IFERROR(__xludf.DUMMYFUNCTION("""COMPUTED_VALUE"""),"Middle School")</f>
        <v>Middle School</v>
      </c>
      <c r="J3960" s="6" t="str">
        <f>IFERROR(__xludf.DUMMYFUNCTION("""COMPUTED_VALUE"""),"6")</f>
        <v>6</v>
      </c>
      <c r="K3960" s="6" t="str">
        <f>IFERROR(__xludf.DUMMYFUNCTION("""COMPUTED_VALUE"""),"javier.rodriguez@2hourlearning.com")</f>
        <v>javier.rodriguez@2hourlearning.com</v>
      </c>
      <c r="L3960" s="6" t="str">
        <f>IFERROR(__xludf.DUMMYFUNCTION("""COMPUTED_VALUE"""),"2 Hour Single User")</f>
        <v>2 Hour Single User</v>
      </c>
      <c r="M3960" s="6" t="str">
        <f>IFERROR(__xludf.DUMMYFUNCTION("""COMPUTED_VALUE"""),"Mock")</f>
        <v>Mock</v>
      </c>
      <c r="N3960" s="6" t="str">
        <f>IFERROR(__xludf.DUMMYFUNCTION("""COMPUTED_VALUE"""),"")</f>
        <v/>
      </c>
      <c r="O3960" s="87" t="str">
        <f>IFERROR(__xludf.DUMMYFUNCTION("""COMPUTED_VALUE"""),"https://drive.google.com/drive/folders/10T2cTQHqEJZqE-st6uFKPoI?usp=share_link")</f>
        <v>https://drive.google.com/drive/folders/10T2cTQHqEJZqE-st6uFKPoI?usp=share_link</v>
      </c>
      <c r="P3960" s="6" t="str">
        <f>IFERROR(__xludf.DUMMYFUNCTION("""COMPUTED_VALUE"""),"Javier Rodriguez")</f>
        <v>Javier Rodriguez</v>
      </c>
      <c r="Q3960" s="6" t="str">
        <f>IFERROR(__xludf.DUMMYFUNCTION("""COMPUTED_VALUE"""),"MS")</f>
        <v>MS</v>
      </c>
      <c r="R3960" s="6">
        <f>IFERROR(__xludf.DUMMYFUNCTION("""COMPUTED_VALUE"""),0.0)</f>
        <v>0</v>
      </c>
      <c r="S3960" s="6" t="str">
        <f>IFERROR(__xludf.DUMMYFUNCTION("""COMPUTED_VALUE""")," ")</f>
        <v> </v>
      </c>
      <c r="T3960" s="6" t="str">
        <f>IFERROR(__xludf.DUMMYFUNCTION("""COMPUTED_VALUE"""),"")</f>
        <v/>
      </c>
      <c r="U3960" s="6" t="str">
        <f>IFERROR(__xludf.DUMMYFUNCTION("""COMPUTED_VALUE"""),"6")</f>
        <v>6</v>
      </c>
      <c r="V3960" s="6" t="str">
        <f>IFERROR(__xludf.DUMMYFUNCTION("""COMPUTED_VALUE"""),"English")</f>
        <v>English</v>
      </c>
      <c r="W3960" s="6" t="str">
        <f>IFERROR(__xludf.DUMMYFUNCTION("""COMPUTED_VALUE"""),"[]")</f>
        <v>[]</v>
      </c>
      <c r="X3960" s="6" t="str">
        <f>IFERROR(__xludf.DUMMYFUNCTION("""COMPUTED_VALUE"""),"Enrolled")</f>
        <v>Enrolled</v>
      </c>
    </row>
    <row r="3961">
      <c r="A3961" s="6" t="str">
        <f>IFERROR(__xludf.DUMMYFUNCTION("""COMPUTED_VALUE"""),"071-3006")</f>
        <v>071-3006</v>
      </c>
      <c r="B3961" s="6" t="str">
        <f>IFERROR(__xludf.DUMMYFUNCTION("""COMPUTED_VALUE"""),"71")</f>
        <v>71</v>
      </c>
      <c r="C3961" s="6" t="str">
        <f>IFERROR(__xludf.DUMMYFUNCTION("""COMPUTED_VALUE"""),"3006")</f>
        <v>3006</v>
      </c>
      <c r="D3961" s="6" t="str">
        <f>IFERROR(__xludf.DUMMYFUNCTION("""COMPUTED_VALUE"""),"Joshua")</f>
        <v>Joshua</v>
      </c>
      <c r="E3961" s="6" t="str">
        <f>IFERROR(__xludf.DUMMYFUNCTION("""COMPUTED_VALUE"""),"")</f>
        <v/>
      </c>
      <c r="F3961" s="6" t="str">
        <f>IFERROR(__xludf.DUMMYFUNCTION("""COMPUTED_VALUE"""),"Albar")</f>
        <v>Albar</v>
      </c>
      <c r="G3961" s="6" t="str">
        <f>IFERROR(__xludf.DUMMYFUNCTION("""COMPUTED_VALUE"""),"01/01/2013")</f>
        <v>01/01/2013</v>
      </c>
      <c r="H3961" s="6" t="str">
        <f>IFERROR(__xludf.DUMMYFUNCTION("""COMPUTED_VALUE"""),"Self Identify")</f>
        <v>Self Identify</v>
      </c>
      <c r="I3961" s="6" t="str">
        <f>IFERROR(__xludf.DUMMYFUNCTION("""COMPUTED_VALUE"""),"Middle School")</f>
        <v>Middle School</v>
      </c>
      <c r="J3961" s="6" t="str">
        <f>IFERROR(__xludf.DUMMYFUNCTION("""COMPUTED_VALUE"""),"6")</f>
        <v>6</v>
      </c>
      <c r="K3961" s="6" t="str">
        <f>IFERROR(__xludf.DUMMYFUNCTION("""COMPUTED_VALUE"""),"joshua.albar@2hourlearning.com")</f>
        <v>joshua.albar@2hourlearning.com</v>
      </c>
      <c r="L3961" s="6" t="str">
        <f>IFERROR(__xludf.DUMMYFUNCTION("""COMPUTED_VALUE"""),"2 Hour Single User")</f>
        <v>2 Hour Single User</v>
      </c>
      <c r="M3961" s="6" t="str">
        <f>IFERROR(__xludf.DUMMYFUNCTION("""COMPUTED_VALUE"""),"Mock")</f>
        <v>Mock</v>
      </c>
      <c r="N3961" s="6" t="str">
        <f>IFERROR(__xludf.DUMMYFUNCTION("""COMPUTED_VALUE"""),"")</f>
        <v/>
      </c>
      <c r="O3961" s="87" t="str">
        <f>IFERROR(__xludf.DUMMYFUNCTION("""COMPUTED_VALUE"""),"https://drive.google.com/drive/folders/10T2cTQHqEJZqE-st6uFKPoI?usp=share_link")</f>
        <v>https://drive.google.com/drive/folders/10T2cTQHqEJZqE-st6uFKPoI?usp=share_link</v>
      </c>
      <c r="P3961" s="6" t="str">
        <f>IFERROR(__xludf.DUMMYFUNCTION("""COMPUTED_VALUE"""),"Joshua Albar")</f>
        <v>Joshua Albar</v>
      </c>
      <c r="Q3961" s="6" t="str">
        <f>IFERROR(__xludf.DUMMYFUNCTION("""COMPUTED_VALUE"""),"MS")</f>
        <v>MS</v>
      </c>
      <c r="R3961" s="6">
        <f>IFERROR(__xludf.DUMMYFUNCTION("""COMPUTED_VALUE"""),0.0)</f>
        <v>0</v>
      </c>
      <c r="S3961" s="6" t="str">
        <f>IFERROR(__xludf.DUMMYFUNCTION("""COMPUTED_VALUE""")," ")</f>
        <v> </v>
      </c>
      <c r="T3961" s="6" t="str">
        <f>IFERROR(__xludf.DUMMYFUNCTION("""COMPUTED_VALUE"""),"")</f>
        <v/>
      </c>
      <c r="U3961" s="6" t="str">
        <f>IFERROR(__xludf.DUMMYFUNCTION("""COMPUTED_VALUE"""),"6")</f>
        <v>6</v>
      </c>
      <c r="V3961" s="6" t="str">
        <f>IFERROR(__xludf.DUMMYFUNCTION("""COMPUTED_VALUE"""),"English")</f>
        <v>English</v>
      </c>
      <c r="W3961" s="6" t="str">
        <f>IFERROR(__xludf.DUMMYFUNCTION("""COMPUTED_VALUE"""),"[]")</f>
        <v>[]</v>
      </c>
      <c r="X3961" s="6" t="str">
        <f>IFERROR(__xludf.DUMMYFUNCTION("""COMPUTED_VALUE"""),"Enrolled")</f>
        <v>Enrolled</v>
      </c>
    </row>
    <row r="3962">
      <c r="A3962" s="6" t="str">
        <f>IFERROR(__xludf.DUMMYFUNCTION("""COMPUTED_VALUE"""),"071-3007")</f>
        <v>071-3007</v>
      </c>
      <c r="B3962" s="6" t="str">
        <f>IFERROR(__xludf.DUMMYFUNCTION("""COMPUTED_VALUE"""),"71")</f>
        <v>71</v>
      </c>
      <c r="C3962" s="6" t="str">
        <f>IFERROR(__xludf.DUMMYFUNCTION("""COMPUTED_VALUE"""),"3007")</f>
        <v>3007</v>
      </c>
      <c r="D3962" s="6" t="str">
        <f>IFERROR(__xludf.DUMMYFUNCTION("""COMPUTED_VALUE"""),"Laura")</f>
        <v>Laura</v>
      </c>
      <c r="E3962" s="6" t="str">
        <f>IFERROR(__xludf.DUMMYFUNCTION("""COMPUTED_VALUE"""),"")</f>
        <v/>
      </c>
      <c r="F3962" s="6" t="str">
        <f>IFERROR(__xludf.DUMMYFUNCTION("""COMPUTED_VALUE"""),"Mejia")</f>
        <v>Mejia</v>
      </c>
      <c r="G3962" s="6" t="str">
        <f>IFERROR(__xludf.DUMMYFUNCTION("""COMPUTED_VALUE"""),"01/01/2015")</f>
        <v>01/01/2015</v>
      </c>
      <c r="H3962" s="6" t="str">
        <f>IFERROR(__xludf.DUMMYFUNCTION("""COMPUTED_VALUE"""),"Self Identify")</f>
        <v>Self Identify</v>
      </c>
      <c r="I3962" s="6" t="str">
        <f>IFERROR(__xludf.DUMMYFUNCTION("""COMPUTED_VALUE"""),"Level 2")</f>
        <v>Level 2</v>
      </c>
      <c r="J3962" s="6" t="str">
        <f>IFERROR(__xludf.DUMMYFUNCTION("""COMPUTED_VALUE"""),"4")</f>
        <v>4</v>
      </c>
      <c r="K3962" s="6" t="str">
        <f>IFERROR(__xludf.DUMMYFUNCTION("""COMPUTED_VALUE"""),"laura.mejia@2hourlearning.com")</f>
        <v>laura.mejia@2hourlearning.com</v>
      </c>
      <c r="L3962" s="6" t="str">
        <f>IFERROR(__xludf.DUMMYFUNCTION("""COMPUTED_VALUE"""),"2 Hour Single User")</f>
        <v>2 Hour Single User</v>
      </c>
      <c r="M3962" s="6" t="str">
        <f>IFERROR(__xludf.DUMMYFUNCTION("""COMPUTED_VALUE"""),"Mock")</f>
        <v>Mock</v>
      </c>
      <c r="N3962" s="6" t="str">
        <f>IFERROR(__xludf.DUMMYFUNCTION("""COMPUTED_VALUE"""),"")</f>
        <v/>
      </c>
      <c r="O3962" s="87" t="str">
        <f>IFERROR(__xludf.DUMMYFUNCTION("""COMPUTED_VALUE"""),"https://drive.google.com/drive/folders/10T2cTQHqEJZqE-st6uFKPoI?usp=share_link")</f>
        <v>https://drive.google.com/drive/folders/10T2cTQHqEJZqE-st6uFKPoI?usp=share_link</v>
      </c>
      <c r="P3962" s="6" t="str">
        <f>IFERROR(__xludf.DUMMYFUNCTION("""COMPUTED_VALUE"""),"Laura Mejia")</f>
        <v>Laura Mejia</v>
      </c>
      <c r="Q3962" s="6" t="str">
        <f>IFERROR(__xludf.DUMMYFUNCTION("""COMPUTED_VALUE"""),"L2")</f>
        <v>L2</v>
      </c>
      <c r="R3962" s="6">
        <f>IFERROR(__xludf.DUMMYFUNCTION("""COMPUTED_VALUE"""),2.0)</f>
        <v>2</v>
      </c>
      <c r="S3962" s="6" t="str">
        <f>IFERROR(__xludf.DUMMYFUNCTION("""COMPUTED_VALUE""")," ")</f>
        <v> </v>
      </c>
      <c r="T3962" s="6" t="str">
        <f>IFERROR(__xludf.DUMMYFUNCTION("""COMPUTED_VALUE"""),"")</f>
        <v/>
      </c>
      <c r="U3962" s="6" t="str">
        <f>IFERROR(__xludf.DUMMYFUNCTION("""COMPUTED_VALUE"""),"4")</f>
        <v>4</v>
      </c>
      <c r="V3962" s="6" t="str">
        <f>IFERROR(__xludf.DUMMYFUNCTION("""COMPUTED_VALUE"""),"English")</f>
        <v>English</v>
      </c>
      <c r="W3962" s="6" t="str">
        <f>IFERROR(__xludf.DUMMYFUNCTION("""COMPUTED_VALUE"""),"[]")</f>
        <v>[]</v>
      </c>
      <c r="X3962" s="6" t="str">
        <f>IFERROR(__xludf.DUMMYFUNCTION("""COMPUTED_VALUE"""),"Enrolled")</f>
        <v>Enrolled</v>
      </c>
    </row>
    <row r="3963">
      <c r="A3963" s="6" t="str">
        <f>IFERROR(__xludf.DUMMYFUNCTION("""COMPUTED_VALUE"""),"071-3008")</f>
        <v>071-3008</v>
      </c>
      <c r="B3963" s="6" t="str">
        <f>IFERROR(__xludf.DUMMYFUNCTION("""COMPUTED_VALUE"""),"71")</f>
        <v>71</v>
      </c>
      <c r="C3963" s="6" t="str">
        <f>IFERROR(__xludf.DUMMYFUNCTION("""COMPUTED_VALUE"""),"3008")</f>
        <v>3008</v>
      </c>
      <c r="D3963" s="6" t="str">
        <f>IFERROR(__xludf.DUMMYFUNCTION("""COMPUTED_VALUE"""),"Nishal")</f>
        <v>Nishal</v>
      </c>
      <c r="E3963" s="6" t="str">
        <f>IFERROR(__xludf.DUMMYFUNCTION("""COMPUTED_VALUE"""),"")</f>
        <v/>
      </c>
      <c r="F3963" s="6" t="str">
        <f>IFERROR(__xludf.DUMMYFUNCTION("""COMPUTED_VALUE"""),"Nandwani")</f>
        <v>Nandwani</v>
      </c>
      <c r="G3963" s="6" t="str">
        <f>IFERROR(__xludf.DUMMYFUNCTION("""COMPUTED_VALUE"""),"01/01/2016")</f>
        <v>01/01/2016</v>
      </c>
      <c r="H3963" s="6" t="str">
        <f>IFERROR(__xludf.DUMMYFUNCTION("""COMPUTED_VALUE"""),"Self Identify")</f>
        <v>Self Identify</v>
      </c>
      <c r="I3963" s="6" t="str">
        <f>IFERROR(__xludf.DUMMYFUNCTION("""COMPUTED_VALUE"""),"Level 1")</f>
        <v>Level 1</v>
      </c>
      <c r="J3963" s="6" t="str">
        <f>IFERROR(__xludf.DUMMYFUNCTION("""COMPUTED_VALUE"""),"3")</f>
        <v>3</v>
      </c>
      <c r="K3963" s="6" t="str">
        <f>IFERROR(__xludf.DUMMYFUNCTION("""COMPUTED_VALUE"""),"nishal.nandwani@2hourlearning.com")</f>
        <v>nishal.nandwani@2hourlearning.com</v>
      </c>
      <c r="L3963" s="6" t="str">
        <f>IFERROR(__xludf.DUMMYFUNCTION("""COMPUTED_VALUE"""),"2 Hour Single User")</f>
        <v>2 Hour Single User</v>
      </c>
      <c r="M3963" s="6" t="str">
        <f>IFERROR(__xludf.DUMMYFUNCTION("""COMPUTED_VALUE"""),"Mock")</f>
        <v>Mock</v>
      </c>
      <c r="N3963" s="6" t="str">
        <f>IFERROR(__xludf.DUMMYFUNCTION("""COMPUTED_VALUE"""),"")</f>
        <v/>
      </c>
      <c r="O3963" s="87" t="str">
        <f>IFERROR(__xludf.DUMMYFUNCTION("""COMPUTED_VALUE"""),"https://drive.google.com/drive/folders/10T2cTQHqEJZqE-st6uFKPoI?usp=share_link")</f>
        <v>https://drive.google.com/drive/folders/10T2cTQHqEJZqE-st6uFKPoI?usp=share_link</v>
      </c>
      <c r="P3963" s="6" t="str">
        <f>IFERROR(__xludf.DUMMYFUNCTION("""COMPUTED_VALUE"""),"Nishal Nandwani")</f>
        <v>Nishal Nandwani</v>
      </c>
      <c r="Q3963" s="6" t="str">
        <f>IFERROR(__xludf.DUMMYFUNCTION("""COMPUTED_VALUE"""),"L1")</f>
        <v>L1</v>
      </c>
      <c r="R3963" s="6">
        <f>IFERROR(__xludf.DUMMYFUNCTION("""COMPUTED_VALUE"""),1.0)</f>
        <v>1</v>
      </c>
      <c r="S3963" s="6" t="str">
        <f>IFERROR(__xludf.DUMMYFUNCTION("""COMPUTED_VALUE""")," ")</f>
        <v> </v>
      </c>
      <c r="T3963" s="6" t="str">
        <f>IFERROR(__xludf.DUMMYFUNCTION("""COMPUTED_VALUE"""),"")</f>
        <v/>
      </c>
      <c r="U3963" s="6" t="str">
        <f>IFERROR(__xludf.DUMMYFUNCTION("""COMPUTED_VALUE"""),"3")</f>
        <v>3</v>
      </c>
      <c r="V3963" s="6" t="str">
        <f>IFERROR(__xludf.DUMMYFUNCTION("""COMPUTED_VALUE"""),"English")</f>
        <v>English</v>
      </c>
      <c r="W3963" s="6" t="str">
        <f>IFERROR(__xludf.DUMMYFUNCTION("""COMPUTED_VALUE"""),"[]")</f>
        <v>[]</v>
      </c>
      <c r="X3963" s="6" t="str">
        <f>IFERROR(__xludf.DUMMYFUNCTION("""COMPUTED_VALUE"""),"Enrolled")</f>
        <v>Enrolled</v>
      </c>
    </row>
    <row r="3964">
      <c r="A3964" s="6" t="str">
        <f>IFERROR(__xludf.DUMMYFUNCTION("""COMPUTED_VALUE"""),"071-3009")</f>
        <v>071-3009</v>
      </c>
      <c r="B3964" s="6" t="str">
        <f>IFERROR(__xludf.DUMMYFUNCTION("""COMPUTED_VALUE"""),"71")</f>
        <v>71</v>
      </c>
      <c r="C3964" s="6" t="str">
        <f>IFERROR(__xludf.DUMMYFUNCTION("""COMPUTED_VALUE"""),"3009")</f>
        <v>3009</v>
      </c>
      <c r="D3964" s="6" t="str">
        <f>IFERROR(__xludf.DUMMYFUNCTION("""COMPUTED_VALUE"""),"Piriyanga")</f>
        <v>Piriyanga</v>
      </c>
      <c r="E3964" s="6" t="str">
        <f>IFERROR(__xludf.DUMMYFUNCTION("""COMPUTED_VALUE"""),"")</f>
        <v/>
      </c>
      <c r="F3964" s="6" t="str">
        <f>IFERROR(__xludf.DUMMYFUNCTION("""COMPUTED_VALUE"""),"Janakarajan")</f>
        <v>Janakarajan</v>
      </c>
      <c r="G3964" s="6" t="str">
        <f>IFERROR(__xludf.DUMMYFUNCTION("""COMPUTED_VALUE"""),"01/01/2010")</f>
        <v>01/01/2010</v>
      </c>
      <c r="H3964" s="6" t="str">
        <f>IFERROR(__xludf.DUMMYFUNCTION("""COMPUTED_VALUE"""),"Self Identify")</f>
        <v>Self Identify</v>
      </c>
      <c r="I3964" s="6" t="str">
        <f>IFERROR(__xludf.DUMMYFUNCTION("""COMPUTED_VALUE"""),"High School")</f>
        <v>High School</v>
      </c>
      <c r="J3964" s="6" t="str">
        <f>IFERROR(__xludf.DUMMYFUNCTION("""COMPUTED_VALUE"""),"9")</f>
        <v>9</v>
      </c>
      <c r="K3964" s="6" t="str">
        <f>IFERROR(__xludf.DUMMYFUNCTION("""COMPUTED_VALUE"""),"piriyanga.janakarajan@2hourlearning.com")</f>
        <v>piriyanga.janakarajan@2hourlearning.com</v>
      </c>
      <c r="L3964" s="6" t="str">
        <f>IFERROR(__xludf.DUMMYFUNCTION("""COMPUTED_VALUE"""),"2 Hour Single User")</f>
        <v>2 Hour Single User</v>
      </c>
      <c r="M3964" s="6" t="str">
        <f>IFERROR(__xludf.DUMMYFUNCTION("""COMPUTED_VALUE"""),"Mock")</f>
        <v>Mock</v>
      </c>
      <c r="N3964" s="6" t="str">
        <f>IFERROR(__xludf.DUMMYFUNCTION("""COMPUTED_VALUE"""),"")</f>
        <v/>
      </c>
      <c r="O3964" s="87" t="str">
        <f>IFERROR(__xludf.DUMMYFUNCTION("""COMPUTED_VALUE"""),"https://drive.google.com/drive/folders/10T2cTQHqEJZqE-st6uFKPoI?usp=share_link")</f>
        <v>https://drive.google.com/drive/folders/10T2cTQHqEJZqE-st6uFKPoI?usp=share_link</v>
      </c>
      <c r="P3964" s="6" t="str">
        <f>IFERROR(__xludf.DUMMYFUNCTION("""COMPUTED_VALUE"""),"Piriyanga Janakarajan")</f>
        <v>Piriyanga Janakarajan</v>
      </c>
      <c r="Q3964" s="6" t="str">
        <f>IFERROR(__xludf.DUMMYFUNCTION("""COMPUTED_VALUE"""),"HS")</f>
        <v>HS</v>
      </c>
      <c r="R3964" s="6">
        <f>IFERROR(__xludf.DUMMYFUNCTION("""COMPUTED_VALUE"""),0.0)</f>
        <v>0</v>
      </c>
      <c r="S3964" s="6" t="str">
        <f>IFERROR(__xludf.DUMMYFUNCTION("""COMPUTED_VALUE""")," ")</f>
        <v> </v>
      </c>
      <c r="T3964" s="6" t="str">
        <f>IFERROR(__xludf.DUMMYFUNCTION("""COMPUTED_VALUE"""),"")</f>
        <v/>
      </c>
      <c r="U3964" s="6" t="str">
        <f>IFERROR(__xludf.DUMMYFUNCTION("""COMPUTED_VALUE"""),"9")</f>
        <v>9</v>
      </c>
      <c r="V3964" s="6" t="str">
        <f>IFERROR(__xludf.DUMMYFUNCTION("""COMPUTED_VALUE"""),"English")</f>
        <v>English</v>
      </c>
      <c r="W3964" s="6" t="str">
        <f>IFERROR(__xludf.DUMMYFUNCTION("""COMPUTED_VALUE"""),"[]")</f>
        <v>[]</v>
      </c>
      <c r="X3964" s="6" t="str">
        <f>IFERROR(__xludf.DUMMYFUNCTION("""COMPUTED_VALUE"""),"Enrolled")</f>
        <v>Enrolled</v>
      </c>
    </row>
    <row r="3965">
      <c r="A3965" s="6" t="str">
        <f>IFERROR(__xludf.DUMMYFUNCTION("""COMPUTED_VALUE"""),"071-3010")</f>
        <v>071-3010</v>
      </c>
      <c r="B3965" s="6" t="str">
        <f>IFERROR(__xludf.DUMMYFUNCTION("""COMPUTED_VALUE"""),"71")</f>
        <v>71</v>
      </c>
      <c r="C3965" s="6" t="str">
        <f>IFERROR(__xludf.DUMMYFUNCTION("""COMPUTED_VALUE"""),"3010")</f>
        <v>3010</v>
      </c>
      <c r="D3965" s="6" t="str">
        <f>IFERROR(__xludf.DUMMYFUNCTION("""COMPUTED_VALUE"""),"Raditya")</f>
        <v>Raditya</v>
      </c>
      <c r="E3965" s="6" t="str">
        <f>IFERROR(__xludf.DUMMYFUNCTION("""COMPUTED_VALUE"""),"")</f>
        <v/>
      </c>
      <c r="F3965" s="6" t="str">
        <f>IFERROR(__xludf.DUMMYFUNCTION("""COMPUTED_VALUE"""),"Dwiprasta")</f>
        <v>Dwiprasta</v>
      </c>
      <c r="G3965" s="6" t="str">
        <f>IFERROR(__xludf.DUMMYFUNCTION("""COMPUTED_VALUE"""),"01/01/2012")</f>
        <v>01/01/2012</v>
      </c>
      <c r="H3965" s="6" t="str">
        <f>IFERROR(__xludf.DUMMYFUNCTION("""COMPUTED_VALUE"""),"Self Identify")</f>
        <v>Self Identify</v>
      </c>
      <c r="I3965" s="6" t="str">
        <f>IFERROR(__xludf.DUMMYFUNCTION("""COMPUTED_VALUE"""),"Middle School")</f>
        <v>Middle School</v>
      </c>
      <c r="J3965" s="6" t="str">
        <f>IFERROR(__xludf.DUMMYFUNCTION("""COMPUTED_VALUE"""),"7")</f>
        <v>7</v>
      </c>
      <c r="K3965" s="6" t="str">
        <f>IFERROR(__xludf.DUMMYFUNCTION("""COMPUTED_VALUE"""),"raditya.dwiprasta@2hourlearning.com")</f>
        <v>raditya.dwiprasta@2hourlearning.com</v>
      </c>
      <c r="L3965" s="6" t="str">
        <f>IFERROR(__xludf.DUMMYFUNCTION("""COMPUTED_VALUE"""),"2 Hour Single User")</f>
        <v>2 Hour Single User</v>
      </c>
      <c r="M3965" s="6" t="str">
        <f>IFERROR(__xludf.DUMMYFUNCTION("""COMPUTED_VALUE"""),"Mock")</f>
        <v>Mock</v>
      </c>
      <c r="N3965" s="6" t="str">
        <f>IFERROR(__xludf.DUMMYFUNCTION("""COMPUTED_VALUE"""),"")</f>
        <v/>
      </c>
      <c r="O3965" s="87" t="str">
        <f>IFERROR(__xludf.DUMMYFUNCTION("""COMPUTED_VALUE"""),"https://drive.google.com/drive/folders/10T2cTQHqEJZqE-st6uFKPoI?usp=share_link")</f>
        <v>https://drive.google.com/drive/folders/10T2cTQHqEJZqE-st6uFKPoI?usp=share_link</v>
      </c>
      <c r="P3965" s="6" t="str">
        <f>IFERROR(__xludf.DUMMYFUNCTION("""COMPUTED_VALUE"""),"Raditya Dwiprasta")</f>
        <v>Raditya Dwiprasta</v>
      </c>
      <c r="Q3965" s="6" t="str">
        <f>IFERROR(__xludf.DUMMYFUNCTION("""COMPUTED_VALUE"""),"MS")</f>
        <v>MS</v>
      </c>
      <c r="R3965" s="6">
        <f>IFERROR(__xludf.DUMMYFUNCTION("""COMPUTED_VALUE"""),0.0)</f>
        <v>0</v>
      </c>
      <c r="S3965" s="6" t="str">
        <f>IFERROR(__xludf.DUMMYFUNCTION("""COMPUTED_VALUE""")," ")</f>
        <v> </v>
      </c>
      <c r="T3965" s="6" t="str">
        <f>IFERROR(__xludf.DUMMYFUNCTION("""COMPUTED_VALUE"""),"")</f>
        <v/>
      </c>
      <c r="U3965" s="6" t="str">
        <f>IFERROR(__xludf.DUMMYFUNCTION("""COMPUTED_VALUE"""),"7")</f>
        <v>7</v>
      </c>
      <c r="V3965" s="6" t="str">
        <f>IFERROR(__xludf.DUMMYFUNCTION("""COMPUTED_VALUE"""),"English")</f>
        <v>English</v>
      </c>
      <c r="W3965" s="6" t="str">
        <f>IFERROR(__xludf.DUMMYFUNCTION("""COMPUTED_VALUE"""),"[]")</f>
        <v>[]</v>
      </c>
      <c r="X3965" s="6" t="str">
        <f>IFERROR(__xludf.DUMMYFUNCTION("""COMPUTED_VALUE"""),"Enrolled")</f>
        <v>Enrolled</v>
      </c>
    </row>
    <row r="3966">
      <c r="A3966" s="6" t="str">
        <f>IFERROR(__xludf.DUMMYFUNCTION("""COMPUTED_VALUE"""),"071-3011")</f>
        <v>071-3011</v>
      </c>
      <c r="B3966" s="6" t="str">
        <f>IFERROR(__xludf.DUMMYFUNCTION("""COMPUTED_VALUE"""),"71")</f>
        <v>71</v>
      </c>
      <c r="C3966" s="6" t="str">
        <f>IFERROR(__xludf.DUMMYFUNCTION("""COMPUTED_VALUE"""),"3011")</f>
        <v>3011</v>
      </c>
      <c r="D3966" s="6" t="str">
        <f>IFERROR(__xludf.DUMMYFUNCTION("""COMPUTED_VALUE"""),"Ruchi")</f>
        <v>Ruchi</v>
      </c>
      <c r="E3966" s="6" t="str">
        <f>IFERROR(__xludf.DUMMYFUNCTION("""COMPUTED_VALUE"""),"")</f>
        <v/>
      </c>
      <c r="F3966" s="6" t="str">
        <f>IFERROR(__xludf.DUMMYFUNCTION("""COMPUTED_VALUE"""),"Baid")</f>
        <v>Baid</v>
      </c>
      <c r="G3966" s="6" t="str">
        <f>IFERROR(__xludf.DUMMYFUNCTION("""COMPUTED_VALUE"""),"01/01/2011")</f>
        <v>01/01/2011</v>
      </c>
      <c r="H3966" s="6" t="str">
        <f>IFERROR(__xludf.DUMMYFUNCTION("""COMPUTED_VALUE"""),"Self Identify")</f>
        <v>Self Identify</v>
      </c>
      <c r="I3966" s="6" t="str">
        <f>IFERROR(__xludf.DUMMYFUNCTION("""COMPUTED_VALUE"""),"Middle School")</f>
        <v>Middle School</v>
      </c>
      <c r="J3966" s="6" t="str">
        <f>IFERROR(__xludf.DUMMYFUNCTION("""COMPUTED_VALUE"""),"8")</f>
        <v>8</v>
      </c>
      <c r="K3966" s="6" t="str">
        <f>IFERROR(__xludf.DUMMYFUNCTION("""COMPUTED_VALUE"""),"ruchi.baid@2hourlearning.com")</f>
        <v>ruchi.baid@2hourlearning.com</v>
      </c>
      <c r="L3966" s="6" t="str">
        <f>IFERROR(__xludf.DUMMYFUNCTION("""COMPUTED_VALUE"""),"2 Hour Single User")</f>
        <v>2 Hour Single User</v>
      </c>
      <c r="M3966" s="6" t="str">
        <f>IFERROR(__xludf.DUMMYFUNCTION("""COMPUTED_VALUE"""),"Mock")</f>
        <v>Mock</v>
      </c>
      <c r="N3966" s="6" t="str">
        <f>IFERROR(__xludf.DUMMYFUNCTION("""COMPUTED_VALUE"""),"")</f>
        <v/>
      </c>
      <c r="O3966" s="87" t="str">
        <f>IFERROR(__xludf.DUMMYFUNCTION("""COMPUTED_VALUE"""),"https://drive.google.com/drive/folders/10T2cTQHqEJZqE-st6uFKPoI?usp=share_link")</f>
        <v>https://drive.google.com/drive/folders/10T2cTQHqEJZqE-st6uFKPoI?usp=share_link</v>
      </c>
      <c r="P3966" s="6" t="str">
        <f>IFERROR(__xludf.DUMMYFUNCTION("""COMPUTED_VALUE"""),"Ruchi Baid")</f>
        <v>Ruchi Baid</v>
      </c>
      <c r="Q3966" s="6" t="str">
        <f>IFERROR(__xludf.DUMMYFUNCTION("""COMPUTED_VALUE"""),"MS")</f>
        <v>MS</v>
      </c>
      <c r="R3966" s="6">
        <f>IFERROR(__xludf.DUMMYFUNCTION("""COMPUTED_VALUE"""),0.0)</f>
        <v>0</v>
      </c>
      <c r="S3966" s="6" t="str">
        <f>IFERROR(__xludf.DUMMYFUNCTION("""COMPUTED_VALUE""")," ")</f>
        <v> </v>
      </c>
      <c r="T3966" s="6" t="str">
        <f>IFERROR(__xludf.DUMMYFUNCTION("""COMPUTED_VALUE"""),"")</f>
        <v/>
      </c>
      <c r="U3966" s="6" t="str">
        <f>IFERROR(__xludf.DUMMYFUNCTION("""COMPUTED_VALUE"""),"8")</f>
        <v>8</v>
      </c>
      <c r="V3966" s="6" t="str">
        <f>IFERROR(__xludf.DUMMYFUNCTION("""COMPUTED_VALUE"""),"English")</f>
        <v>English</v>
      </c>
      <c r="W3966" s="6" t="str">
        <f>IFERROR(__xludf.DUMMYFUNCTION("""COMPUTED_VALUE"""),"[]")</f>
        <v>[]</v>
      </c>
      <c r="X3966" s="6" t="str">
        <f>IFERROR(__xludf.DUMMYFUNCTION("""COMPUTED_VALUE"""),"Enrolled")</f>
        <v>Enrolled</v>
      </c>
    </row>
    <row r="3967">
      <c r="A3967" s="6" t="str">
        <f>IFERROR(__xludf.DUMMYFUNCTION("""COMPUTED_VALUE"""),"071-3012")</f>
        <v>071-3012</v>
      </c>
      <c r="B3967" s="6" t="str">
        <f>IFERROR(__xludf.DUMMYFUNCTION("""COMPUTED_VALUE"""),"71")</f>
        <v>71</v>
      </c>
      <c r="C3967" s="6" t="str">
        <f>IFERROR(__xludf.DUMMYFUNCTION("""COMPUTED_VALUE"""),"3012")</f>
        <v>3012</v>
      </c>
      <c r="D3967" s="6" t="str">
        <f>IFERROR(__xludf.DUMMYFUNCTION("""COMPUTED_VALUE"""),"Vidhi")</f>
        <v>Vidhi</v>
      </c>
      <c r="E3967" s="6" t="str">
        <f>IFERROR(__xludf.DUMMYFUNCTION("""COMPUTED_VALUE"""),"")</f>
        <v/>
      </c>
      <c r="F3967" s="6" t="str">
        <f>IFERROR(__xludf.DUMMYFUNCTION("""COMPUTED_VALUE"""),"Vashishth")</f>
        <v>Vashishth</v>
      </c>
      <c r="G3967" s="6" t="str">
        <f>IFERROR(__xludf.DUMMYFUNCTION("""COMPUTED_VALUE"""),"01/01/2008")</f>
        <v>01/01/2008</v>
      </c>
      <c r="H3967" s="6" t="str">
        <f>IFERROR(__xludf.DUMMYFUNCTION("""COMPUTED_VALUE"""),"Self Identify")</f>
        <v>Self Identify</v>
      </c>
      <c r="I3967" s="6" t="str">
        <f>IFERROR(__xludf.DUMMYFUNCTION("""COMPUTED_VALUE"""),"High School")</f>
        <v>High School</v>
      </c>
      <c r="J3967" s="6" t="str">
        <f>IFERROR(__xludf.DUMMYFUNCTION("""COMPUTED_VALUE"""),"11")</f>
        <v>11</v>
      </c>
      <c r="K3967" s="6" t="str">
        <f>IFERROR(__xludf.DUMMYFUNCTION("""COMPUTED_VALUE"""),"deleted_vidhi.vashishth@2hourlearning.com")</f>
        <v>deleted_vidhi.vashishth@2hourlearning.com</v>
      </c>
      <c r="L3967" s="6" t="str">
        <f>IFERROR(__xludf.DUMMYFUNCTION("""COMPUTED_VALUE"""),"2 Hour Single User")</f>
        <v>2 Hour Single User</v>
      </c>
      <c r="M3967" s="6" t="str">
        <f>IFERROR(__xludf.DUMMYFUNCTION("""COMPUTED_VALUE"""),"Mock")</f>
        <v>Mock</v>
      </c>
      <c r="N3967" s="6" t="str">
        <f>IFERROR(__xludf.DUMMYFUNCTION("""COMPUTED_VALUE"""),"")</f>
        <v/>
      </c>
      <c r="O3967" s="87" t="str">
        <f>IFERROR(__xludf.DUMMYFUNCTION("""COMPUTED_VALUE"""),"https://drive.google.com/drive/folders/10T2cTQHqEJZqE-st6uFKPoI?usp=share_link")</f>
        <v>https://drive.google.com/drive/folders/10T2cTQHqEJZqE-st6uFKPoI?usp=share_link</v>
      </c>
      <c r="P3967" s="6" t="str">
        <f>IFERROR(__xludf.DUMMYFUNCTION("""COMPUTED_VALUE"""),"Vidhi Vashishth")</f>
        <v>Vidhi Vashishth</v>
      </c>
      <c r="Q3967" s="6" t="str">
        <f>IFERROR(__xludf.DUMMYFUNCTION("""COMPUTED_VALUE"""),"HS")</f>
        <v>HS</v>
      </c>
      <c r="R3967" s="6">
        <f>IFERROR(__xludf.DUMMYFUNCTION("""COMPUTED_VALUE"""),0.0)</f>
        <v>0</v>
      </c>
      <c r="S3967" s="6" t="str">
        <f>IFERROR(__xludf.DUMMYFUNCTION("""COMPUTED_VALUE""")," ")</f>
        <v> </v>
      </c>
      <c r="T3967" s="6" t="str">
        <f>IFERROR(__xludf.DUMMYFUNCTION("""COMPUTED_VALUE"""),"")</f>
        <v/>
      </c>
      <c r="U3967" s="6" t="str">
        <f>IFERROR(__xludf.DUMMYFUNCTION("""COMPUTED_VALUE"""),"11")</f>
        <v>11</v>
      </c>
      <c r="V3967" s="6" t="str">
        <f>IFERROR(__xludf.DUMMYFUNCTION("""COMPUTED_VALUE"""),"English")</f>
        <v>English</v>
      </c>
      <c r="W3967" s="6" t="str">
        <f>IFERROR(__xludf.DUMMYFUNCTION("""COMPUTED_VALUE"""),"[]")</f>
        <v>[]</v>
      </c>
      <c r="X3967" s="6" t="str">
        <f>IFERROR(__xludf.DUMMYFUNCTION("""COMPUTED_VALUE"""),"Enrolled")</f>
        <v>Enrolled</v>
      </c>
    </row>
    <row r="3968">
      <c r="A3968" s="6" t="str">
        <f>IFERROR(__xludf.DUMMYFUNCTION("""COMPUTED_VALUE"""),"071-3015")</f>
        <v>071-3015</v>
      </c>
      <c r="B3968" s="6" t="str">
        <f>IFERROR(__xludf.DUMMYFUNCTION("""COMPUTED_VALUE"""),"71")</f>
        <v>71</v>
      </c>
      <c r="C3968" s="6" t="str">
        <f>IFERROR(__xludf.DUMMYFUNCTION("""COMPUTED_VALUE"""),"3015")</f>
        <v>3015</v>
      </c>
      <c r="D3968" s="6" t="str">
        <f>IFERROR(__xludf.DUMMYFUNCTION("""COMPUTED_VALUE"""),"Tripti")</f>
        <v>Tripti</v>
      </c>
      <c r="E3968" s="6" t="str">
        <f>IFERROR(__xludf.DUMMYFUNCTION("""COMPUTED_VALUE"""),"")</f>
        <v/>
      </c>
      <c r="F3968" s="6" t="str">
        <f>IFERROR(__xludf.DUMMYFUNCTION("""COMPUTED_VALUE"""),"Khetan")</f>
        <v>Khetan</v>
      </c>
      <c r="G3968" s="6" t="str">
        <f>IFERROR(__xludf.DUMMYFUNCTION("""COMPUTED_VALUE"""),"05/13/2003")</f>
        <v>05/13/2003</v>
      </c>
      <c r="H3968" s="6" t="str">
        <f>IFERROR(__xludf.DUMMYFUNCTION("""COMPUTED_VALUE"""),"Other")</f>
        <v>Other</v>
      </c>
      <c r="I3968" s="6" t="str">
        <f>IFERROR(__xludf.DUMMYFUNCTION("""COMPUTED_VALUE"""),"Level 1")</f>
        <v>Level 1</v>
      </c>
      <c r="J3968" s="6" t="str">
        <f>IFERROR(__xludf.DUMMYFUNCTION("""COMPUTED_VALUE"""),"2")</f>
        <v>2</v>
      </c>
      <c r="K3968" s="6" t="str">
        <f>IFERROR(__xludf.DUMMYFUNCTION("""COMPUTED_VALUE"""),"tripti.khetan@2hourlearning.com")</f>
        <v>tripti.khetan@2hourlearning.com</v>
      </c>
      <c r="L3968" s="6" t="str">
        <f>IFERROR(__xludf.DUMMYFUNCTION("""COMPUTED_VALUE"""),"2 Hour Single User")</f>
        <v>2 Hour Single User</v>
      </c>
      <c r="M3968" s="6" t="str">
        <f>IFERROR(__xludf.DUMMYFUNCTION("""COMPUTED_VALUE"""),"Mock")</f>
        <v>Mock</v>
      </c>
      <c r="N3968" s="6" t="str">
        <f>IFERROR(__xludf.DUMMYFUNCTION("""COMPUTED_VALUE"""),"")</f>
        <v/>
      </c>
      <c r="O3968" s="87" t="str">
        <f>IFERROR(__xludf.DUMMYFUNCTION("""COMPUTED_VALUE"""),"https://drive.google.com/drive/folders/10T2cTQHqEJZqE-st6uFKPoI?usp=share_link")</f>
        <v>https://drive.google.com/drive/folders/10T2cTQHqEJZqE-st6uFKPoI?usp=share_link</v>
      </c>
      <c r="P3968" s="6" t="str">
        <f>IFERROR(__xludf.DUMMYFUNCTION("""COMPUTED_VALUE"""),"Tripti Khetan")</f>
        <v>Tripti Khetan</v>
      </c>
      <c r="Q3968" s="6" t="str">
        <f>IFERROR(__xludf.DUMMYFUNCTION("""COMPUTED_VALUE"""),"L1")</f>
        <v>L1</v>
      </c>
      <c r="R3968" s="6">
        <f>IFERROR(__xludf.DUMMYFUNCTION("""COMPUTED_VALUE"""),1.0)</f>
        <v>1</v>
      </c>
      <c r="S3968" s="6" t="str">
        <f>IFERROR(__xludf.DUMMYFUNCTION("""COMPUTED_VALUE""")," ")</f>
        <v> </v>
      </c>
      <c r="T3968" s="6" t="str">
        <f>IFERROR(__xludf.DUMMYFUNCTION("""COMPUTED_VALUE"""),"")</f>
        <v/>
      </c>
      <c r="U3968" s="6" t="str">
        <f>IFERROR(__xludf.DUMMYFUNCTION("""COMPUTED_VALUE"""),"2")</f>
        <v>2</v>
      </c>
      <c r="V3968" s="6" t="str">
        <f>IFERROR(__xludf.DUMMYFUNCTION("""COMPUTED_VALUE"""),"English")</f>
        <v>English</v>
      </c>
      <c r="W3968" s="6" t="str">
        <f>IFERROR(__xludf.DUMMYFUNCTION("""COMPUTED_VALUE"""),"[]")</f>
        <v>[]</v>
      </c>
      <c r="X3968" s="6" t="str">
        <f>IFERROR(__xludf.DUMMYFUNCTION("""COMPUTED_VALUE"""),"Enrolled")</f>
        <v>Enrolled</v>
      </c>
    </row>
    <row r="3969">
      <c r="A3969" s="6" t="str">
        <f>IFERROR(__xludf.DUMMYFUNCTION("""COMPUTED_VALUE"""),"071-3018")</f>
        <v>071-3018</v>
      </c>
      <c r="B3969" s="6" t="str">
        <f>IFERROR(__xludf.DUMMYFUNCTION("""COMPUTED_VALUE"""),"71")</f>
        <v>71</v>
      </c>
      <c r="C3969" s="6" t="str">
        <f>IFERROR(__xludf.DUMMYFUNCTION("""COMPUTED_VALUE"""),"3018")</f>
        <v>3018</v>
      </c>
      <c r="D3969" s="6" t="str">
        <f>IFERROR(__xludf.DUMMYFUNCTION("""COMPUTED_VALUE"""),"Danny")</f>
        <v>Danny</v>
      </c>
      <c r="E3969" s="6" t="str">
        <f>IFERROR(__xludf.DUMMYFUNCTION("""COMPUTED_VALUE"""),"")</f>
        <v/>
      </c>
      <c r="F3969" s="6" t="str">
        <f>IFERROR(__xludf.DUMMYFUNCTION("""COMPUTED_VALUE"""),"Aranda")</f>
        <v>Aranda</v>
      </c>
      <c r="G3969" s="6" t="str">
        <f>IFERROR(__xludf.DUMMYFUNCTION("""COMPUTED_VALUE"""),"12/21/2005")</f>
        <v>12/21/2005</v>
      </c>
      <c r="H3969" s="6" t="str">
        <f>IFERROR(__xludf.DUMMYFUNCTION("""COMPUTED_VALUE"""),"Other")</f>
        <v>Other</v>
      </c>
      <c r="I3969" s="6" t="str">
        <f>IFERROR(__xludf.DUMMYFUNCTION("""COMPUTED_VALUE"""),"High School")</f>
        <v>High School</v>
      </c>
      <c r="J3969" s="6" t="str">
        <f>IFERROR(__xludf.DUMMYFUNCTION("""COMPUTED_VALUE"""),"12")</f>
        <v>12</v>
      </c>
      <c r="K3969" s="6" t="str">
        <f>IFERROR(__xludf.DUMMYFUNCTION("""COMPUTED_VALUE"""),"danny.aranda@2hourlearning.com")</f>
        <v>danny.aranda@2hourlearning.com</v>
      </c>
      <c r="L3969" s="6" t="str">
        <f>IFERROR(__xludf.DUMMYFUNCTION("""COMPUTED_VALUE"""),"2 Hour Single User")</f>
        <v>2 Hour Single User</v>
      </c>
      <c r="M3969" s="6" t="str">
        <f>IFERROR(__xludf.DUMMYFUNCTION("""COMPUTED_VALUE"""),"spartan")</f>
        <v>spartan</v>
      </c>
      <c r="N3969" s="6" t="str">
        <f>IFERROR(__xludf.DUMMYFUNCTION("""COMPUTED_VALUE"""),"")</f>
        <v/>
      </c>
      <c r="O3969" s="87" t="str">
        <f>IFERROR(__xludf.DUMMYFUNCTION("""COMPUTED_VALUE"""),"https://drive.google.com/drive/folders/10T2cTQHqEJZqE-st6uFKPoI?usp=share_link")</f>
        <v>https://drive.google.com/drive/folders/10T2cTQHqEJZqE-st6uFKPoI?usp=share_link</v>
      </c>
      <c r="P3969" s="6" t="str">
        <f>IFERROR(__xludf.DUMMYFUNCTION("""COMPUTED_VALUE"""),"Danny Aranda")</f>
        <v>Danny Aranda</v>
      </c>
      <c r="Q3969" s="6" t="str">
        <f>IFERROR(__xludf.DUMMYFUNCTION("""COMPUTED_VALUE"""),"HS")</f>
        <v>HS</v>
      </c>
      <c r="R3969" s="6">
        <f>IFERROR(__xludf.DUMMYFUNCTION("""COMPUTED_VALUE"""),0.0)</f>
        <v>0</v>
      </c>
      <c r="S3969" s="6" t="str">
        <f>IFERROR(__xludf.DUMMYFUNCTION("""COMPUTED_VALUE""")," ")</f>
        <v> </v>
      </c>
      <c r="T3969" s="6" t="str">
        <f>IFERROR(__xludf.DUMMYFUNCTION("""COMPUTED_VALUE"""),"")</f>
        <v/>
      </c>
      <c r="U3969" s="6" t="str">
        <f>IFERROR(__xludf.DUMMYFUNCTION("""COMPUTED_VALUE"""),"12")</f>
        <v>12</v>
      </c>
      <c r="V3969" s="6" t="str">
        <f>IFERROR(__xludf.DUMMYFUNCTION("""COMPUTED_VALUE"""),"English")</f>
        <v>English</v>
      </c>
      <c r="W3969" s="6" t="str">
        <f>IFERROR(__xludf.DUMMYFUNCTION("""COMPUTED_VALUE"""),"[]")</f>
        <v>[]</v>
      </c>
      <c r="X3969" s="6" t="str">
        <f>IFERROR(__xludf.DUMMYFUNCTION("""COMPUTED_VALUE"""),"Enrolled")</f>
        <v>Enrolled</v>
      </c>
    </row>
    <row r="3970">
      <c r="A3970" s="6" t="str">
        <f>IFERROR(__xludf.DUMMYFUNCTION("""COMPUTED_VALUE"""),"071-3024")</f>
        <v>071-3024</v>
      </c>
      <c r="B3970" s="6" t="str">
        <f>IFERROR(__xludf.DUMMYFUNCTION("""COMPUTED_VALUE"""),"71")</f>
        <v>71</v>
      </c>
      <c r="C3970" s="6" t="str">
        <f>IFERROR(__xludf.DUMMYFUNCTION("""COMPUTED_VALUE"""),"3024")</f>
        <v>3024</v>
      </c>
      <c r="D3970" s="6" t="str">
        <f>IFERROR(__xludf.DUMMYFUNCTION("""COMPUTED_VALUE"""),"Noah")</f>
        <v>Noah</v>
      </c>
      <c r="E3970" s="6" t="str">
        <f>IFERROR(__xludf.DUMMYFUNCTION("""COMPUTED_VALUE"""),"")</f>
        <v/>
      </c>
      <c r="F3970" s="6" t="str">
        <f>IFERROR(__xludf.DUMMYFUNCTION("""COMPUTED_VALUE"""),"Sarabia")</f>
        <v>Sarabia</v>
      </c>
      <c r="G3970" s="6" t="str">
        <f>IFERROR(__xludf.DUMMYFUNCTION("""COMPUTED_VALUE"""),"08/04/2008")</f>
        <v>08/04/2008</v>
      </c>
      <c r="H3970" s="6" t="str">
        <f>IFERROR(__xludf.DUMMYFUNCTION("""COMPUTED_VALUE"""),"Other")</f>
        <v>Other</v>
      </c>
      <c r="I3970" s="6" t="str">
        <f>IFERROR(__xludf.DUMMYFUNCTION("""COMPUTED_VALUE"""),"High School")</f>
        <v>High School</v>
      </c>
      <c r="J3970" s="6" t="str">
        <f>IFERROR(__xludf.DUMMYFUNCTION("""COMPUTED_VALUE"""),"11")</f>
        <v>11</v>
      </c>
      <c r="K3970" s="6" t="str">
        <f>IFERROR(__xludf.DUMMYFUNCTION("""COMPUTED_VALUE"""),"noah.sarabia@2hourlearning.com")</f>
        <v>noah.sarabia@2hourlearning.com</v>
      </c>
      <c r="L3970" s="6" t="str">
        <f>IFERROR(__xludf.DUMMYFUNCTION("""COMPUTED_VALUE"""),"2 Hour Single User")</f>
        <v>2 Hour Single User</v>
      </c>
      <c r="M3970" s="6" t="str">
        <f>IFERROR(__xludf.DUMMYFUNCTION("""COMPUTED_VALUE"""),"spartan")</f>
        <v>spartan</v>
      </c>
      <c r="N3970" s="6" t="str">
        <f>IFERROR(__xludf.DUMMYFUNCTION("""COMPUTED_VALUE"""),"")</f>
        <v/>
      </c>
      <c r="O3970" s="87" t="str">
        <f>IFERROR(__xludf.DUMMYFUNCTION("""COMPUTED_VALUE"""),"https://drive.google.com/drive/folders/10T2cTQHqEJZqE-st6uFKPoI?usp=share_link")</f>
        <v>https://drive.google.com/drive/folders/10T2cTQHqEJZqE-st6uFKPoI?usp=share_link</v>
      </c>
      <c r="P3970" s="6" t="str">
        <f>IFERROR(__xludf.DUMMYFUNCTION("""COMPUTED_VALUE"""),"Noah Sarabia")</f>
        <v>Noah Sarabia</v>
      </c>
      <c r="Q3970" s="6" t="str">
        <f>IFERROR(__xludf.DUMMYFUNCTION("""COMPUTED_VALUE"""),"HS")</f>
        <v>HS</v>
      </c>
      <c r="R3970" s="6">
        <f>IFERROR(__xludf.DUMMYFUNCTION("""COMPUTED_VALUE"""),0.0)</f>
        <v>0</v>
      </c>
      <c r="S3970" s="6" t="str">
        <f>IFERROR(__xludf.DUMMYFUNCTION("""COMPUTED_VALUE""")," ")</f>
        <v> </v>
      </c>
      <c r="T3970" s="6" t="str">
        <f>IFERROR(__xludf.DUMMYFUNCTION("""COMPUTED_VALUE"""),"")</f>
        <v/>
      </c>
      <c r="U3970" s="6" t="str">
        <f>IFERROR(__xludf.DUMMYFUNCTION("""COMPUTED_VALUE"""),"11")</f>
        <v>11</v>
      </c>
      <c r="V3970" s="6" t="str">
        <f>IFERROR(__xludf.DUMMYFUNCTION("""COMPUTED_VALUE"""),"English")</f>
        <v>English</v>
      </c>
      <c r="W3970" s="6" t="str">
        <f>IFERROR(__xludf.DUMMYFUNCTION("""COMPUTED_VALUE"""),"[]")</f>
        <v>[]</v>
      </c>
      <c r="X3970" s="6" t="str">
        <f>IFERROR(__xludf.DUMMYFUNCTION("""COMPUTED_VALUE"""),"Enrolled")</f>
        <v>Enrolled</v>
      </c>
    </row>
    <row r="3971">
      <c r="A3971" s="6" t="str">
        <f>IFERROR(__xludf.DUMMYFUNCTION("""COMPUTED_VALUE"""),"071-7653")</f>
        <v>071-7653</v>
      </c>
      <c r="B3971" s="6" t="str">
        <f>IFERROR(__xludf.DUMMYFUNCTION("""COMPUTED_VALUE"""),"71")</f>
        <v>71</v>
      </c>
      <c r="C3971" s="6" t="str">
        <f>IFERROR(__xludf.DUMMYFUNCTION("""COMPUTED_VALUE"""),"7653")</f>
        <v>7653</v>
      </c>
      <c r="D3971" s="6" t="str">
        <f>IFERROR(__xludf.DUMMYFUNCTION("""COMPUTED_VALUE"""),"Test")</f>
        <v>Test</v>
      </c>
      <c r="E3971" s="6" t="str">
        <f>IFERROR(__xludf.DUMMYFUNCTION("""COMPUTED_VALUE"""),"")</f>
        <v/>
      </c>
      <c r="F3971" s="6" t="str">
        <f>IFERROR(__xludf.DUMMYFUNCTION("""COMPUTED_VALUE"""),"Subject")</f>
        <v>Subject</v>
      </c>
      <c r="G3971" s="6" t="str">
        <f>IFERROR(__xludf.DUMMYFUNCTION("""COMPUTED_VALUE"""),"01/01/2015")</f>
        <v>01/01/2015</v>
      </c>
      <c r="H3971" s="6" t="str">
        <f>IFERROR(__xludf.DUMMYFUNCTION("""COMPUTED_VALUE"""),"Self Identify")</f>
        <v>Self Identify</v>
      </c>
      <c r="I3971" s="6" t="str">
        <f>IFERROR(__xludf.DUMMYFUNCTION("""COMPUTED_VALUE"""),"Level 1")</f>
        <v>Level 1</v>
      </c>
      <c r="J3971" s="6" t="str">
        <f>IFERROR(__xludf.DUMMYFUNCTION("""COMPUTED_VALUE"""),"3")</f>
        <v>3</v>
      </c>
      <c r="K3971" s="6" t="str">
        <f>IFERROR(__xludf.DUMMYFUNCTION("""COMPUTED_VALUE"""),"test.subject@2hourlearning.com")</f>
        <v>test.subject@2hourlearning.com</v>
      </c>
      <c r="L3971" s="6" t="str">
        <f>IFERROR(__xludf.DUMMYFUNCTION("""COMPUTED_VALUE"""),"2 Hour Single User")</f>
        <v>2 Hour Single User</v>
      </c>
      <c r="M3971" s="6" t="str">
        <f>IFERROR(__xludf.DUMMYFUNCTION("""COMPUTED_VALUE"""),"Test")</f>
        <v>Test</v>
      </c>
      <c r="N3971" s="6" t="str">
        <f>IFERROR(__xludf.DUMMYFUNCTION("""COMPUTED_VALUE"""),"")</f>
        <v/>
      </c>
      <c r="O3971" s="87" t="str">
        <f>IFERROR(__xludf.DUMMYFUNCTION("""COMPUTED_VALUE"""),"https://drive.google.com/drive/folders/10T2cTQHqEJZqE-st6uFKPoI?usp=share_link")</f>
        <v>https://drive.google.com/drive/folders/10T2cTQHqEJZqE-st6uFKPoI?usp=share_link</v>
      </c>
      <c r="P3971" s="6" t="str">
        <f>IFERROR(__xludf.DUMMYFUNCTION("""COMPUTED_VALUE"""),"Test Subject")</f>
        <v>Test Subject</v>
      </c>
      <c r="Q3971" s="6" t="str">
        <f>IFERROR(__xludf.DUMMYFUNCTION("""COMPUTED_VALUE"""),"L1")</f>
        <v>L1</v>
      </c>
      <c r="R3971" s="6">
        <f>IFERROR(__xludf.DUMMYFUNCTION("""COMPUTED_VALUE"""),1.0)</f>
        <v>1</v>
      </c>
      <c r="S3971" s="6" t="str">
        <f>IFERROR(__xludf.DUMMYFUNCTION("""COMPUTED_VALUE""")," ")</f>
        <v> </v>
      </c>
      <c r="T3971" s="6" t="str">
        <f>IFERROR(__xludf.DUMMYFUNCTION("""COMPUTED_VALUE"""),"")</f>
        <v/>
      </c>
      <c r="U3971" s="6" t="str">
        <f>IFERROR(__xludf.DUMMYFUNCTION("""COMPUTED_VALUE"""),"3")</f>
        <v>3</v>
      </c>
      <c r="V3971" s="6" t="str">
        <f>IFERROR(__xludf.DUMMYFUNCTION("""COMPUTED_VALUE"""),"")</f>
        <v/>
      </c>
      <c r="W3971" s="6" t="str">
        <f>IFERROR(__xludf.DUMMYFUNCTION("""COMPUTED_VALUE"""),"[]")</f>
        <v>[]</v>
      </c>
      <c r="X3971" s="6" t="str">
        <f>IFERROR(__xludf.DUMMYFUNCTION("""COMPUTED_VALUE"""),"Pending Review")</f>
        <v>Pending Review</v>
      </c>
    </row>
    <row r="3972">
      <c r="A3972" s="6" t="str">
        <f>IFERROR(__xludf.DUMMYFUNCTION("""COMPUTED_VALUE"""),"071-7858")</f>
        <v>071-7858</v>
      </c>
      <c r="B3972" s="6" t="str">
        <f>IFERROR(__xludf.DUMMYFUNCTION("""COMPUTED_VALUE"""),"71")</f>
        <v>71</v>
      </c>
      <c r="C3972" s="6" t="str">
        <f>IFERROR(__xludf.DUMMYFUNCTION("""COMPUTED_VALUE"""),"7858")</f>
        <v>7858</v>
      </c>
      <c r="D3972" s="6" t="str">
        <f>IFERROR(__xludf.DUMMYFUNCTION("""COMPUTED_VALUE"""),"Ernest")</f>
        <v>Ernest</v>
      </c>
      <c r="E3972" s="6" t="str">
        <f>IFERROR(__xludf.DUMMYFUNCTION("""COMPUTED_VALUE"""),"Ernie")</f>
        <v>Ernie</v>
      </c>
      <c r="F3972" s="6" t="str">
        <f>IFERROR(__xludf.DUMMYFUNCTION("""COMPUTED_VALUE"""),"Kirk-Gushowaty")</f>
        <v>Kirk-Gushowaty</v>
      </c>
      <c r="G3972" s="6" t="str">
        <f>IFERROR(__xludf.DUMMYFUNCTION("""COMPUTED_VALUE"""),"12/21/2015")</f>
        <v>12/21/2015</v>
      </c>
      <c r="H3972" s="6" t="str">
        <f>IFERROR(__xludf.DUMMYFUNCTION("""COMPUTED_VALUE"""),"male")</f>
        <v>male</v>
      </c>
      <c r="I3972" s="6" t="str">
        <f>IFERROR(__xludf.DUMMYFUNCTION("""COMPUTED_VALUE"""),"Level 2")</f>
        <v>Level 2</v>
      </c>
      <c r="J3972" s="6" t="str">
        <f>IFERROR(__xludf.DUMMYFUNCTION("""COMPUTED_VALUE"""),"4")</f>
        <v>4</v>
      </c>
      <c r="K3972" s="6" t="str">
        <f>IFERROR(__xludf.DUMMYFUNCTION("""COMPUTED_VALUE"""),"ernest.kirk-gushowaty@2hourlearning.com")</f>
        <v>ernest.kirk-gushowaty@2hourlearning.com</v>
      </c>
      <c r="L3972" s="6" t="str">
        <f>IFERROR(__xludf.DUMMYFUNCTION("""COMPUTED_VALUE"""),"2 Hour Single User")</f>
        <v>2 Hour Single User</v>
      </c>
      <c r="M3972" s="6" t="str">
        <f>IFERROR(__xludf.DUMMYFUNCTION("""COMPUTED_VALUE"""),"")</f>
        <v/>
      </c>
      <c r="N3972" s="6" t="str">
        <f>IFERROR(__xludf.DUMMYFUNCTION("""COMPUTED_VALUE"""),"")</f>
        <v/>
      </c>
      <c r="O3972" s="87" t="str">
        <f>IFERROR(__xludf.DUMMYFUNCTION("""COMPUTED_VALUE"""),"https://drive.google.com/drive/folders/10T2cTQHqEJZqE-st6uFKPoI?usp=share_link")</f>
        <v>https://drive.google.com/drive/folders/10T2cTQHqEJZqE-st6uFKPoI?usp=share_link</v>
      </c>
      <c r="P3972" s="6" t="str">
        <f>IFERROR(__xludf.DUMMYFUNCTION("""COMPUTED_VALUE"""),"Ernie Kirk-Gushowaty")</f>
        <v>Ernie Kirk-Gushowaty</v>
      </c>
      <c r="Q3972" s="6" t="str">
        <f>IFERROR(__xludf.DUMMYFUNCTION("""COMPUTED_VALUE"""),"L2")</f>
        <v>L2</v>
      </c>
      <c r="R3972" s="6">
        <f>IFERROR(__xludf.DUMMYFUNCTION("""COMPUTED_VALUE"""),2.0)</f>
        <v>2</v>
      </c>
      <c r="S3972" s="6" t="str">
        <f>IFERROR(__xludf.DUMMYFUNCTION("""COMPUTED_VALUE""")," ")</f>
        <v> </v>
      </c>
      <c r="T3972" s="6" t="str">
        <f>IFERROR(__xludf.DUMMYFUNCTION("""COMPUTED_VALUE"""),"")</f>
        <v/>
      </c>
      <c r="U3972" s="6" t="str">
        <f>IFERROR(__xludf.DUMMYFUNCTION("""COMPUTED_VALUE"""),"4")</f>
        <v>4</v>
      </c>
      <c r="V3972" s="6" t="str">
        <f>IFERROR(__xludf.DUMMYFUNCTION("""COMPUTED_VALUE"""),"")</f>
        <v/>
      </c>
      <c r="W3972" s="6" t="str">
        <f>IFERROR(__xludf.DUMMYFUNCTION("""COMPUTED_VALUE"""),"[]")</f>
        <v>[]</v>
      </c>
      <c r="X3972" s="6" t="str">
        <f>IFERROR(__xludf.DUMMYFUNCTION("""COMPUTED_VALUE"""),"Pending Review")</f>
        <v>Pending Review</v>
      </c>
    </row>
    <row r="3973">
      <c r="A3973" s="6" t="str">
        <f>IFERROR(__xludf.DUMMYFUNCTION("""COMPUTED_VALUE"""),"071-7860")</f>
        <v>071-7860</v>
      </c>
      <c r="B3973" s="6" t="str">
        <f>IFERROR(__xludf.DUMMYFUNCTION("""COMPUTED_VALUE"""),"71")</f>
        <v>71</v>
      </c>
      <c r="C3973" s="6" t="str">
        <f>IFERROR(__xludf.DUMMYFUNCTION("""COMPUTED_VALUE"""),"7860")</f>
        <v>7860</v>
      </c>
      <c r="D3973" s="6" t="str">
        <f>IFERROR(__xludf.DUMMYFUNCTION("""COMPUTED_VALUE"""),"Orson")</f>
        <v>Orson</v>
      </c>
      <c r="E3973" s="6" t="str">
        <f>IFERROR(__xludf.DUMMYFUNCTION("""COMPUTED_VALUE"""),"Ziggy")</f>
        <v>Ziggy</v>
      </c>
      <c r="F3973" s="6" t="str">
        <f>IFERROR(__xludf.DUMMYFUNCTION("""COMPUTED_VALUE"""),"Kirk-Gushowaty")</f>
        <v>Kirk-Gushowaty</v>
      </c>
      <c r="G3973" s="6" t="str">
        <f>IFERROR(__xludf.DUMMYFUNCTION("""COMPUTED_VALUE"""),"11/18/2018")</f>
        <v>11/18/2018</v>
      </c>
      <c r="H3973" s="6" t="str">
        <f>IFERROR(__xludf.DUMMYFUNCTION("""COMPUTED_VALUE"""),"male")</f>
        <v>male</v>
      </c>
      <c r="I3973" s="6" t="str">
        <f>IFERROR(__xludf.DUMMYFUNCTION("""COMPUTED_VALUE"""),"Level 1")</f>
        <v>Level 1</v>
      </c>
      <c r="J3973" s="6" t="str">
        <f>IFERROR(__xludf.DUMMYFUNCTION("""COMPUTED_VALUE"""),"2")</f>
        <v>2</v>
      </c>
      <c r="K3973" s="6" t="str">
        <f>IFERROR(__xludf.DUMMYFUNCTION("""COMPUTED_VALUE"""),"ziggy.kirk-gushowaty1@2hourlearning.com")</f>
        <v>ziggy.kirk-gushowaty1@2hourlearning.com</v>
      </c>
      <c r="L3973" s="6" t="str">
        <f>IFERROR(__xludf.DUMMYFUNCTION("""COMPUTED_VALUE"""),"2 Hour Single User")</f>
        <v>2 Hour Single User</v>
      </c>
      <c r="M3973" s="6" t="str">
        <f>IFERROR(__xludf.DUMMYFUNCTION("""COMPUTED_VALUE"""),"")</f>
        <v/>
      </c>
      <c r="N3973" s="6" t="str">
        <f>IFERROR(__xludf.DUMMYFUNCTION("""COMPUTED_VALUE"""),"")</f>
        <v/>
      </c>
      <c r="O3973" s="87" t="str">
        <f>IFERROR(__xludf.DUMMYFUNCTION("""COMPUTED_VALUE"""),"https://drive.google.com/drive/folders/10T2cTQHqEJZqE-st6uFKPoI?usp=share_link")</f>
        <v>https://drive.google.com/drive/folders/10T2cTQHqEJZqE-st6uFKPoI?usp=share_link</v>
      </c>
      <c r="P3973" s="6" t="str">
        <f>IFERROR(__xludf.DUMMYFUNCTION("""COMPUTED_VALUE"""),"Ziggy Kirk-Gushowaty")</f>
        <v>Ziggy Kirk-Gushowaty</v>
      </c>
      <c r="Q3973" s="6" t="str">
        <f>IFERROR(__xludf.DUMMYFUNCTION("""COMPUTED_VALUE"""),"L1")</f>
        <v>L1</v>
      </c>
      <c r="R3973" s="6">
        <f>IFERROR(__xludf.DUMMYFUNCTION("""COMPUTED_VALUE"""),1.0)</f>
        <v>1</v>
      </c>
      <c r="S3973" s="6" t="str">
        <f>IFERROR(__xludf.DUMMYFUNCTION("""COMPUTED_VALUE""")," ")</f>
        <v> </v>
      </c>
      <c r="T3973" s="6" t="str">
        <f>IFERROR(__xludf.DUMMYFUNCTION("""COMPUTED_VALUE"""),"")</f>
        <v/>
      </c>
      <c r="U3973" s="6" t="str">
        <f>IFERROR(__xludf.DUMMYFUNCTION("""COMPUTED_VALUE"""),"2")</f>
        <v>2</v>
      </c>
      <c r="V3973" s="6" t="str">
        <f>IFERROR(__xludf.DUMMYFUNCTION("""COMPUTED_VALUE"""),"")</f>
        <v/>
      </c>
      <c r="W3973" s="6" t="str">
        <f>IFERROR(__xludf.DUMMYFUNCTION("""COMPUTED_VALUE"""),"[]")</f>
        <v>[]</v>
      </c>
      <c r="X3973" s="6" t="str">
        <f>IFERROR(__xludf.DUMMYFUNCTION("""COMPUTED_VALUE"""),"Pending Review")</f>
        <v>Pending Review</v>
      </c>
    </row>
    <row r="3974">
      <c r="A3974" s="6" t="str">
        <f>IFERROR(__xludf.DUMMYFUNCTION("""COMPUTED_VALUE"""),"071-8036")</f>
        <v>071-8036</v>
      </c>
      <c r="B3974" s="6" t="str">
        <f>IFERROR(__xludf.DUMMYFUNCTION("""COMPUTED_VALUE"""),"71")</f>
        <v>71</v>
      </c>
      <c r="C3974" s="6" t="str">
        <f>IFERROR(__xludf.DUMMYFUNCTION("""COMPUTED_VALUE"""),"8036")</f>
        <v>8036</v>
      </c>
      <c r="D3974" s="6" t="str">
        <f>IFERROR(__xludf.DUMMYFUNCTION("""COMPUTED_VALUE"""),"Test")</f>
        <v>Test</v>
      </c>
      <c r="E3974" s="6" t="str">
        <f>IFERROR(__xludf.DUMMYFUNCTION("""COMPUTED_VALUE"""),"")</f>
        <v/>
      </c>
      <c r="F3974" s="6" t="str">
        <f>IFERROR(__xludf.DUMMYFUNCTION("""COMPUTED_VALUE"""),"Child")</f>
        <v>Child</v>
      </c>
      <c r="G3974" s="6" t="str">
        <f>IFERROR(__xludf.DUMMYFUNCTION("""COMPUTED_VALUE"""),"10/04/2010")</f>
        <v>10/04/2010</v>
      </c>
      <c r="H3974" s="6" t="str">
        <f>IFERROR(__xludf.DUMMYFUNCTION("""COMPUTED_VALUE"""),"Self Identify")</f>
        <v>Self Identify</v>
      </c>
      <c r="I3974" s="6" t="str">
        <f>IFERROR(__xludf.DUMMYFUNCTION("""COMPUTED_VALUE"""),"Middle School")</f>
        <v>Middle School</v>
      </c>
      <c r="J3974" s="6" t="str">
        <f>IFERROR(__xludf.DUMMYFUNCTION("""COMPUTED_VALUE"""),"7")</f>
        <v>7</v>
      </c>
      <c r="K3974" s="6" t="str">
        <f>IFERROR(__xludf.DUMMYFUNCTION("""COMPUTED_VALUE"""),"test.child@2hourlearning.com")</f>
        <v>test.child@2hourlearning.com</v>
      </c>
      <c r="L3974" s="6" t="str">
        <f>IFERROR(__xludf.DUMMYFUNCTION("""COMPUTED_VALUE"""),"2 Hour Single User")</f>
        <v>2 Hour Single User</v>
      </c>
      <c r="M3974" s="6" t="str">
        <f>IFERROR(__xludf.DUMMYFUNCTION("""COMPUTED_VALUE"""),"Test")</f>
        <v>Test</v>
      </c>
      <c r="N3974" s="6" t="str">
        <f>IFERROR(__xludf.DUMMYFUNCTION("""COMPUTED_VALUE"""),"")</f>
        <v/>
      </c>
      <c r="O3974" s="87" t="str">
        <f>IFERROR(__xludf.DUMMYFUNCTION("""COMPUTED_VALUE"""),"https://drive.google.com/drive/folders/10T2cTQHqEJZqE-st6uFKPoI?usp=share_link")</f>
        <v>https://drive.google.com/drive/folders/10T2cTQHqEJZqE-st6uFKPoI?usp=share_link</v>
      </c>
      <c r="P3974" s="6" t="str">
        <f>IFERROR(__xludf.DUMMYFUNCTION("""COMPUTED_VALUE"""),"Test Child")</f>
        <v>Test Child</v>
      </c>
      <c r="Q3974" s="6" t="str">
        <f>IFERROR(__xludf.DUMMYFUNCTION("""COMPUTED_VALUE"""),"MS")</f>
        <v>MS</v>
      </c>
      <c r="R3974" s="6">
        <f>IFERROR(__xludf.DUMMYFUNCTION("""COMPUTED_VALUE"""),0.0)</f>
        <v>0</v>
      </c>
      <c r="S3974" s="6" t="str">
        <f>IFERROR(__xludf.DUMMYFUNCTION("""COMPUTED_VALUE""")," ")</f>
        <v> </v>
      </c>
      <c r="T3974" s="6" t="str">
        <f>IFERROR(__xludf.DUMMYFUNCTION("""COMPUTED_VALUE"""),"")</f>
        <v/>
      </c>
      <c r="U3974" s="6" t="str">
        <f>IFERROR(__xludf.DUMMYFUNCTION("""COMPUTED_VALUE"""),"7")</f>
        <v>7</v>
      </c>
      <c r="V3974" s="6" t="str">
        <f>IFERROR(__xludf.DUMMYFUNCTION("""COMPUTED_VALUE"""),"")</f>
        <v/>
      </c>
      <c r="W3974" s="6" t="str">
        <f>IFERROR(__xludf.DUMMYFUNCTION("""COMPUTED_VALUE"""),"[]")</f>
        <v>[]</v>
      </c>
      <c r="X3974" s="6" t="str">
        <f>IFERROR(__xludf.DUMMYFUNCTION("""COMPUTED_VALUE"""),"Pending Review")</f>
        <v>Pending Review</v>
      </c>
    </row>
    <row r="3975">
      <c r="A3975" s="6" t="str">
        <f>IFERROR(__xludf.DUMMYFUNCTION("""COMPUTED_VALUE"""),"071-8169")</f>
        <v>071-8169</v>
      </c>
      <c r="B3975" s="6" t="str">
        <f>IFERROR(__xludf.DUMMYFUNCTION("""COMPUTED_VALUE"""),"71")</f>
        <v>71</v>
      </c>
      <c r="C3975" s="6" t="str">
        <f>IFERROR(__xludf.DUMMYFUNCTION("""COMPUTED_VALUE"""),"8169")</f>
        <v>8169</v>
      </c>
      <c r="D3975" s="6" t="str">
        <f>IFERROR(__xludf.DUMMYFUNCTION("""COMPUTED_VALUE"""),"Test")</f>
        <v>Test</v>
      </c>
      <c r="E3975" s="6" t="str">
        <f>IFERROR(__xludf.DUMMYFUNCTION("""COMPUTED_VALUE"""),"")</f>
        <v/>
      </c>
      <c r="F3975" s="6" t="str">
        <f>IFERROR(__xludf.DUMMYFUNCTION("""COMPUTED_VALUE"""),"Nene")</f>
        <v>Nene</v>
      </c>
      <c r="G3975" s="6" t="str">
        <f>IFERROR(__xludf.DUMMYFUNCTION("""COMPUTED_VALUE"""),"10/01/2015")</f>
        <v>10/01/2015</v>
      </c>
      <c r="H3975" s="6" t="str">
        <f>IFERROR(__xludf.DUMMYFUNCTION("""COMPUTED_VALUE"""),"Self Identify")</f>
        <v>Self Identify</v>
      </c>
      <c r="I3975" s="6" t="str">
        <f>IFERROR(__xludf.DUMMYFUNCTION("""COMPUTED_VALUE"""),"Level 2")</f>
        <v>Level 2</v>
      </c>
      <c r="J3975" s="6" t="str">
        <f>IFERROR(__xludf.DUMMYFUNCTION("""COMPUTED_VALUE"""),"4")</f>
        <v>4</v>
      </c>
      <c r="K3975" s="6" t="str">
        <f>IFERROR(__xludf.DUMMYFUNCTION("""COMPUTED_VALUE"""),"test.nene@2hourlearning.com")</f>
        <v>test.nene@2hourlearning.com</v>
      </c>
      <c r="L3975" s="6" t="str">
        <f>IFERROR(__xludf.DUMMYFUNCTION("""COMPUTED_VALUE"""),"2 Hour Single User")</f>
        <v>2 Hour Single User</v>
      </c>
      <c r="M3975" s="6" t="str">
        <f>IFERROR(__xludf.DUMMYFUNCTION("""COMPUTED_VALUE"""),"Test")</f>
        <v>Test</v>
      </c>
      <c r="N3975" s="6" t="str">
        <f>IFERROR(__xludf.DUMMYFUNCTION("""COMPUTED_VALUE"""),"")</f>
        <v/>
      </c>
      <c r="O3975" s="87" t="str">
        <f>IFERROR(__xludf.DUMMYFUNCTION("""COMPUTED_VALUE"""),"https://drive.google.com/drive/folders/10T2cTQHqEJZqE-st6uFKPoI?usp=share_link")</f>
        <v>https://drive.google.com/drive/folders/10T2cTQHqEJZqE-st6uFKPoI?usp=share_link</v>
      </c>
      <c r="P3975" s="6" t="str">
        <f>IFERROR(__xludf.DUMMYFUNCTION("""COMPUTED_VALUE"""),"Test Nene")</f>
        <v>Test Nene</v>
      </c>
      <c r="Q3975" s="6" t="str">
        <f>IFERROR(__xludf.DUMMYFUNCTION("""COMPUTED_VALUE"""),"L2")</f>
        <v>L2</v>
      </c>
      <c r="R3975" s="6">
        <f>IFERROR(__xludf.DUMMYFUNCTION("""COMPUTED_VALUE"""),2.0)</f>
        <v>2</v>
      </c>
      <c r="S3975" s="6" t="str">
        <f>IFERROR(__xludf.DUMMYFUNCTION("""COMPUTED_VALUE""")," ")</f>
        <v> </v>
      </c>
      <c r="T3975" s="6" t="str">
        <f>IFERROR(__xludf.DUMMYFUNCTION("""COMPUTED_VALUE"""),"")</f>
        <v/>
      </c>
      <c r="U3975" s="6" t="str">
        <f>IFERROR(__xludf.DUMMYFUNCTION("""COMPUTED_VALUE"""),"4")</f>
        <v>4</v>
      </c>
      <c r="V3975" s="6" t="str">
        <f>IFERROR(__xludf.DUMMYFUNCTION("""COMPUTED_VALUE"""),"")</f>
        <v/>
      </c>
      <c r="W3975" s="6" t="str">
        <f>IFERROR(__xludf.DUMMYFUNCTION("""COMPUTED_VALUE"""),"[]")</f>
        <v>[]</v>
      </c>
      <c r="X3975" s="6" t="str">
        <f>IFERROR(__xludf.DUMMYFUNCTION("""COMPUTED_VALUE"""),"Pending Review")</f>
        <v>Pending Review</v>
      </c>
    </row>
    <row r="3976">
      <c r="A3976" s="6" t="str">
        <f>IFERROR(__xludf.DUMMYFUNCTION("""COMPUTED_VALUE"""),"071-8424")</f>
        <v>071-8424</v>
      </c>
      <c r="B3976" s="6" t="str">
        <f>IFERROR(__xludf.DUMMYFUNCTION("""COMPUTED_VALUE"""),"71")</f>
        <v>71</v>
      </c>
      <c r="C3976" s="6" t="str">
        <f>IFERROR(__xludf.DUMMYFUNCTION("""COMPUTED_VALUE"""),"8424")</f>
        <v>8424</v>
      </c>
      <c r="D3976" s="6" t="str">
        <f>IFERROR(__xludf.DUMMYFUNCTION("""COMPUTED_VALUE"""),"Mackenzie")</f>
        <v>Mackenzie</v>
      </c>
      <c r="E3976" s="6" t="str">
        <f>IFERROR(__xludf.DUMMYFUNCTION("""COMPUTED_VALUE"""),"")</f>
        <v/>
      </c>
      <c r="F3976" s="6" t="str">
        <f>IFERROR(__xludf.DUMMYFUNCTION("""COMPUTED_VALUE"""),"So")</f>
        <v>So</v>
      </c>
      <c r="G3976" s="6" t="str">
        <f>IFERROR(__xludf.DUMMYFUNCTION("""COMPUTED_VALUE"""),"12/10/2013")</f>
        <v>12/10/2013</v>
      </c>
      <c r="H3976" s="6" t="str">
        <f>IFERROR(__xludf.DUMMYFUNCTION("""COMPUTED_VALUE"""),"female")</f>
        <v>female</v>
      </c>
      <c r="I3976" s="6" t="str">
        <f>IFERROR(__xludf.DUMMYFUNCTION("""COMPUTED_VALUE"""),"Middle School")</f>
        <v>Middle School</v>
      </c>
      <c r="J3976" s="6" t="str">
        <f>IFERROR(__xludf.DUMMYFUNCTION("""COMPUTED_VALUE"""),"6")</f>
        <v>6</v>
      </c>
      <c r="K3976" s="6" t="str">
        <f>IFERROR(__xludf.DUMMYFUNCTION("""COMPUTED_VALUE"""),"mackenzie.so@2hourlearning.com")</f>
        <v>mackenzie.so@2hourlearning.com</v>
      </c>
      <c r="L3976" s="6" t="str">
        <f>IFERROR(__xludf.DUMMYFUNCTION("""COMPUTED_VALUE"""),"2 Hour Single User")</f>
        <v>2 Hour Single User</v>
      </c>
      <c r="M3976" s="6" t="str">
        <f>IFERROR(__xludf.DUMMYFUNCTION("""COMPUTED_VALUE"""),"")</f>
        <v/>
      </c>
      <c r="N3976" s="6" t="str">
        <f>IFERROR(__xludf.DUMMYFUNCTION("""COMPUTED_VALUE"""),"")</f>
        <v/>
      </c>
      <c r="O3976" s="87" t="str">
        <f>IFERROR(__xludf.DUMMYFUNCTION("""COMPUTED_VALUE"""),"https://drive.google.com/drive/folders/10T2cTQHqEJZqE-st6uFKPoI?usp=share_link")</f>
        <v>https://drive.google.com/drive/folders/10T2cTQHqEJZqE-st6uFKPoI?usp=share_link</v>
      </c>
      <c r="P3976" s="6" t="str">
        <f>IFERROR(__xludf.DUMMYFUNCTION("""COMPUTED_VALUE"""),"Mackenzie So")</f>
        <v>Mackenzie So</v>
      </c>
      <c r="Q3976" s="6" t="str">
        <f>IFERROR(__xludf.DUMMYFUNCTION("""COMPUTED_VALUE"""),"MS")</f>
        <v>MS</v>
      </c>
      <c r="R3976" s="6">
        <f>IFERROR(__xludf.DUMMYFUNCTION("""COMPUTED_VALUE"""),0.0)</f>
        <v>0</v>
      </c>
      <c r="S3976" s="6" t="str">
        <f>IFERROR(__xludf.DUMMYFUNCTION("""COMPUTED_VALUE""")," ")</f>
        <v> </v>
      </c>
      <c r="T3976" s="6" t="str">
        <f>IFERROR(__xludf.DUMMYFUNCTION("""COMPUTED_VALUE"""),"")</f>
        <v/>
      </c>
      <c r="U3976" s="6" t="str">
        <f>IFERROR(__xludf.DUMMYFUNCTION("""COMPUTED_VALUE"""),"6")</f>
        <v>6</v>
      </c>
      <c r="V3976" s="6" t="str">
        <f>IFERROR(__xludf.DUMMYFUNCTION("""COMPUTED_VALUE"""),"")</f>
        <v/>
      </c>
      <c r="W3976" s="6" t="str">
        <f>IFERROR(__xludf.DUMMYFUNCTION("""COMPUTED_VALUE"""),"[]")</f>
        <v>[]</v>
      </c>
      <c r="X3976" s="6" t="str">
        <f>IFERROR(__xludf.DUMMYFUNCTION("""COMPUTED_VALUE"""),"Pending Review")</f>
        <v>Pending Review</v>
      </c>
    </row>
    <row r="3977">
      <c r="A3977" s="6" t="str">
        <f>IFERROR(__xludf.DUMMYFUNCTION("""COMPUTED_VALUE"""),"071-8425")</f>
        <v>071-8425</v>
      </c>
      <c r="B3977" s="6" t="str">
        <f>IFERROR(__xludf.DUMMYFUNCTION("""COMPUTED_VALUE"""),"71")</f>
        <v>71</v>
      </c>
      <c r="C3977" s="6" t="str">
        <f>IFERROR(__xludf.DUMMYFUNCTION("""COMPUTED_VALUE"""),"8425")</f>
        <v>8425</v>
      </c>
      <c r="D3977" s="6" t="str">
        <f>IFERROR(__xludf.DUMMYFUNCTION("""COMPUTED_VALUE"""),"Oliver")</f>
        <v>Oliver</v>
      </c>
      <c r="E3977" s="6" t="str">
        <f>IFERROR(__xludf.DUMMYFUNCTION("""COMPUTED_VALUE"""),"")</f>
        <v/>
      </c>
      <c r="F3977" s="6" t="str">
        <f>IFERROR(__xludf.DUMMYFUNCTION("""COMPUTED_VALUE"""),"So")</f>
        <v>So</v>
      </c>
      <c r="G3977" s="6" t="str">
        <f>IFERROR(__xludf.DUMMYFUNCTION("""COMPUTED_VALUE"""),"10/06/2015")</f>
        <v>10/06/2015</v>
      </c>
      <c r="H3977" s="6" t="str">
        <f>IFERROR(__xludf.DUMMYFUNCTION("""COMPUTED_VALUE"""),"male")</f>
        <v>male</v>
      </c>
      <c r="I3977" s="6" t="str">
        <f>IFERROR(__xludf.DUMMYFUNCTION("""COMPUTED_VALUE"""),"Level 2")</f>
        <v>Level 2</v>
      </c>
      <c r="J3977" s="6" t="str">
        <f>IFERROR(__xludf.DUMMYFUNCTION("""COMPUTED_VALUE"""),"4")</f>
        <v>4</v>
      </c>
      <c r="K3977" s="6" t="str">
        <f>IFERROR(__xludf.DUMMYFUNCTION("""COMPUTED_VALUE"""),"oliver.so@2hourlearning.com")</f>
        <v>oliver.so@2hourlearning.com</v>
      </c>
      <c r="L3977" s="6" t="str">
        <f>IFERROR(__xludf.DUMMYFUNCTION("""COMPUTED_VALUE"""),"2 Hour Single User")</f>
        <v>2 Hour Single User</v>
      </c>
      <c r="M3977" s="6" t="str">
        <f>IFERROR(__xludf.DUMMYFUNCTION("""COMPUTED_VALUE"""),"")</f>
        <v/>
      </c>
      <c r="N3977" s="6" t="str">
        <f>IFERROR(__xludf.DUMMYFUNCTION("""COMPUTED_VALUE"""),"")</f>
        <v/>
      </c>
      <c r="O3977" s="87" t="str">
        <f>IFERROR(__xludf.DUMMYFUNCTION("""COMPUTED_VALUE"""),"https://drive.google.com/drive/folders/10T2cTQHqEJZqE-st6uFKPoI?usp=share_link")</f>
        <v>https://drive.google.com/drive/folders/10T2cTQHqEJZqE-st6uFKPoI?usp=share_link</v>
      </c>
      <c r="P3977" s="6" t="str">
        <f>IFERROR(__xludf.DUMMYFUNCTION("""COMPUTED_VALUE"""),"Oliver So")</f>
        <v>Oliver So</v>
      </c>
      <c r="Q3977" s="6" t="str">
        <f>IFERROR(__xludf.DUMMYFUNCTION("""COMPUTED_VALUE"""),"L2")</f>
        <v>L2</v>
      </c>
      <c r="R3977" s="6">
        <f>IFERROR(__xludf.DUMMYFUNCTION("""COMPUTED_VALUE"""),2.0)</f>
        <v>2</v>
      </c>
      <c r="S3977" s="6" t="str">
        <f>IFERROR(__xludf.DUMMYFUNCTION("""COMPUTED_VALUE""")," ")</f>
        <v> </v>
      </c>
      <c r="T3977" s="6" t="str">
        <f>IFERROR(__xludf.DUMMYFUNCTION("""COMPUTED_VALUE"""),"")</f>
        <v/>
      </c>
      <c r="U3977" s="6" t="str">
        <f>IFERROR(__xludf.DUMMYFUNCTION("""COMPUTED_VALUE"""),"4")</f>
        <v>4</v>
      </c>
      <c r="V3977" s="6" t="str">
        <f>IFERROR(__xludf.DUMMYFUNCTION("""COMPUTED_VALUE"""),"")</f>
        <v/>
      </c>
      <c r="W3977" s="6" t="str">
        <f>IFERROR(__xludf.DUMMYFUNCTION("""COMPUTED_VALUE"""),"[]")</f>
        <v>[]</v>
      </c>
      <c r="X3977" s="6" t="str">
        <f>IFERROR(__xludf.DUMMYFUNCTION("""COMPUTED_VALUE"""),"Pending Review")</f>
        <v>Pending Review</v>
      </c>
    </row>
    <row r="3978">
      <c r="A3978" s="6" t="str">
        <f>IFERROR(__xludf.DUMMYFUNCTION("""COMPUTED_VALUE"""),"071-8426")</f>
        <v>071-8426</v>
      </c>
      <c r="B3978" s="6" t="str">
        <f>IFERROR(__xludf.DUMMYFUNCTION("""COMPUTED_VALUE"""),"71")</f>
        <v>71</v>
      </c>
      <c r="C3978" s="6" t="str">
        <f>IFERROR(__xludf.DUMMYFUNCTION("""COMPUTED_VALUE"""),"8426")</f>
        <v>8426</v>
      </c>
      <c r="D3978" s="6" t="str">
        <f>IFERROR(__xludf.DUMMYFUNCTION("""COMPUTED_VALUE"""),"Nolan")</f>
        <v>Nolan</v>
      </c>
      <c r="E3978" s="6" t="str">
        <f>IFERROR(__xludf.DUMMYFUNCTION("""COMPUTED_VALUE"""),"")</f>
        <v/>
      </c>
      <c r="F3978" s="6" t="str">
        <f>IFERROR(__xludf.DUMMYFUNCTION("""COMPUTED_VALUE"""),"So")</f>
        <v>So</v>
      </c>
      <c r="G3978" s="6" t="str">
        <f>IFERROR(__xludf.DUMMYFUNCTION("""COMPUTED_VALUE"""),"01/09/2019")</f>
        <v>01/09/2019</v>
      </c>
      <c r="H3978" s="6" t="str">
        <f>IFERROR(__xludf.DUMMYFUNCTION("""COMPUTED_VALUE"""),"male")</f>
        <v>male</v>
      </c>
      <c r="I3978" s="6" t="str">
        <f>IFERROR(__xludf.DUMMYFUNCTION("""COMPUTED_VALUE"""),"Learning Lab")</f>
        <v>Learning Lab</v>
      </c>
      <c r="J3978" s="6" t="str">
        <f>IFERROR(__xludf.DUMMYFUNCTION("""COMPUTED_VALUE"""),"1")</f>
        <v>1</v>
      </c>
      <c r="K3978" s="6" t="str">
        <f>IFERROR(__xludf.DUMMYFUNCTION("""COMPUTED_VALUE"""),"nolan.so@2hourlearning.com")</f>
        <v>nolan.so@2hourlearning.com</v>
      </c>
      <c r="L3978" s="6" t="str">
        <f>IFERROR(__xludf.DUMMYFUNCTION("""COMPUTED_VALUE"""),"2 Hour Single User")</f>
        <v>2 Hour Single User</v>
      </c>
      <c r="M3978" s="6" t="str">
        <f>IFERROR(__xludf.DUMMYFUNCTION("""COMPUTED_VALUE"""),"")</f>
        <v/>
      </c>
      <c r="N3978" s="6" t="str">
        <f>IFERROR(__xludf.DUMMYFUNCTION("""COMPUTED_VALUE"""),"")</f>
        <v/>
      </c>
      <c r="O3978" s="87" t="str">
        <f>IFERROR(__xludf.DUMMYFUNCTION("""COMPUTED_VALUE"""),"https://drive.google.com/drive/folders/10T2cTQHqEJZqE-st6uFKPoI?usp=share_link")</f>
        <v>https://drive.google.com/drive/folders/10T2cTQHqEJZqE-st6uFKPoI?usp=share_link</v>
      </c>
      <c r="P3978" s="6" t="str">
        <f>IFERROR(__xludf.DUMMYFUNCTION("""COMPUTED_VALUE"""),"Nolan So")</f>
        <v>Nolan So</v>
      </c>
      <c r="Q3978" s="6" t="str">
        <f>IFERROR(__xludf.DUMMYFUNCTION("""COMPUTED_VALUE"""),"LL")</f>
        <v>LL</v>
      </c>
      <c r="R3978" s="6">
        <f>IFERROR(__xludf.DUMMYFUNCTION("""COMPUTED_VALUE"""),0.0)</f>
        <v>0</v>
      </c>
      <c r="S3978" s="6" t="str">
        <f>IFERROR(__xludf.DUMMYFUNCTION("""COMPUTED_VALUE""")," ")</f>
        <v> </v>
      </c>
      <c r="T3978" s="6" t="str">
        <f>IFERROR(__xludf.DUMMYFUNCTION("""COMPUTED_VALUE"""),"")</f>
        <v/>
      </c>
      <c r="U3978" s="6" t="str">
        <f>IFERROR(__xludf.DUMMYFUNCTION("""COMPUTED_VALUE"""),"1")</f>
        <v>1</v>
      </c>
      <c r="V3978" s="6" t="str">
        <f>IFERROR(__xludf.DUMMYFUNCTION("""COMPUTED_VALUE"""),"")</f>
        <v/>
      </c>
      <c r="W3978" s="6" t="str">
        <f>IFERROR(__xludf.DUMMYFUNCTION("""COMPUTED_VALUE"""),"[]")</f>
        <v>[]</v>
      </c>
      <c r="X3978" s="6" t="str">
        <f>IFERROR(__xludf.DUMMYFUNCTION("""COMPUTED_VALUE"""),"Pending Review")</f>
        <v>Pending Review</v>
      </c>
    </row>
    <row r="3979">
      <c r="A3979" s="6" t="str">
        <f>IFERROR(__xludf.DUMMYFUNCTION("""COMPUTED_VALUE"""),"075-0706")</f>
        <v>075-0706</v>
      </c>
      <c r="B3979" s="6" t="str">
        <f>IFERROR(__xludf.DUMMYFUNCTION("""COMPUTED_VALUE"""),"75")</f>
        <v>75</v>
      </c>
      <c r="C3979" s="6" t="str">
        <f>IFERROR(__xludf.DUMMYFUNCTION("""COMPUTED_VALUE"""),"0706")</f>
        <v>0706</v>
      </c>
      <c r="D3979" s="6" t="str">
        <f>IFERROR(__xludf.DUMMYFUNCTION("""COMPUTED_VALUE"""),"Jules")</f>
        <v>Jules</v>
      </c>
      <c r="E3979" s="6" t="str">
        <f>IFERROR(__xludf.DUMMYFUNCTION("""COMPUTED_VALUE"""),"")</f>
        <v/>
      </c>
      <c r="F3979" s="6" t="str">
        <f>IFERROR(__xludf.DUMMYFUNCTION("""COMPUTED_VALUE"""),"Nevraumont")</f>
        <v>Nevraumont</v>
      </c>
      <c r="G3979" s="6" t="str">
        <f>IFERROR(__xludf.DUMMYFUNCTION("""COMPUTED_VALUE"""),"05/03/2018")</f>
        <v>05/03/2018</v>
      </c>
      <c r="H3979" s="6" t="str">
        <f>IFERROR(__xludf.DUMMYFUNCTION("""COMPUTED_VALUE"""),"male")</f>
        <v>male</v>
      </c>
      <c r="I3979" s="6" t="str">
        <f>IFERROR(__xludf.DUMMYFUNCTION("""COMPUTED_VALUE"""),"Level 1")</f>
        <v>Level 1</v>
      </c>
      <c r="J3979" s="6" t="str">
        <f>IFERROR(__xludf.DUMMYFUNCTION("""COMPUTED_VALUE"""),"2")</f>
        <v>2</v>
      </c>
      <c r="K3979" s="6" t="str">
        <f>IFERROR(__xludf.DUMMYFUNCTION("""COMPUTED_VALUE"""),"jules.nevraumont@2hourlearning.com")</f>
        <v>jules.nevraumont@2hourlearning.com</v>
      </c>
      <c r="L3979" s="6" t="str">
        <f>IFERROR(__xludf.DUMMYFUNCTION("""COMPUTED_VALUE"""),"GT Anywhere")</f>
        <v>GT Anywhere</v>
      </c>
      <c r="M3979" s="6" t="str">
        <f>IFERROR(__xludf.DUMMYFUNCTION("""COMPUTED_VALUE"""),"nonstd-testout")</f>
        <v>nonstd-testout</v>
      </c>
      <c r="N3979" s="6" t="str">
        <f>IFERROR(__xludf.DUMMYFUNCTION("""COMPUTED_VALUE"""),"")</f>
        <v/>
      </c>
      <c r="O3979" s="87" t="str">
        <f>IFERROR(__xludf.DUMMYFUNCTION("""COMPUTED_VALUE"""),"https://drive.google.com/drive/folders/10T2cTQHqEJZqE-st6uFKPoI?usp=share_link")</f>
        <v>https://drive.google.com/drive/folders/10T2cTQHqEJZqE-st6uFKPoI?usp=share_link</v>
      </c>
      <c r="P3979" s="6" t="str">
        <f>IFERROR(__xludf.DUMMYFUNCTION("""COMPUTED_VALUE"""),"Jules Nevraumont")</f>
        <v>Jules Nevraumont</v>
      </c>
      <c r="Q3979" s="6" t="str">
        <f>IFERROR(__xludf.DUMMYFUNCTION("""COMPUTED_VALUE"""),"L1")</f>
        <v>L1</v>
      </c>
      <c r="R3979" s="6">
        <f>IFERROR(__xludf.DUMMYFUNCTION("""COMPUTED_VALUE"""),1.0)</f>
        <v>1</v>
      </c>
      <c r="S3979" s="6" t="str">
        <f>IFERROR(__xludf.DUMMYFUNCTION("""COMPUTED_VALUE"""),"Lauren Marques")</f>
        <v>Lauren Marques</v>
      </c>
      <c r="T3979" s="6" t="str">
        <f>IFERROR(__xludf.DUMMYFUNCTION("""COMPUTED_VALUE"""),"lauren.marques@2hourlearning.com")</f>
        <v>lauren.marques@2hourlearning.com</v>
      </c>
      <c r="U3979" s="6" t="str">
        <f>IFERROR(__xludf.DUMMYFUNCTION("""COMPUTED_VALUE"""),"2")</f>
        <v>2</v>
      </c>
      <c r="V3979" s="6" t="str">
        <f>IFERROR(__xludf.DUMMYFUNCTION("""COMPUTED_VALUE"""),"English")</f>
        <v>English</v>
      </c>
      <c r="W3979" s="6" t="str">
        <f>IFERROR(__xludf.DUMMYFUNCTION("""COMPUTED_VALUE"""),"[]")</f>
        <v>[]</v>
      </c>
      <c r="X3979" s="6" t="str">
        <f>IFERROR(__xludf.DUMMYFUNCTION("""COMPUTED_VALUE"""),"Enrolled")</f>
        <v>Enrolled</v>
      </c>
    </row>
    <row r="3980">
      <c r="A3980" s="6" t="str">
        <f>IFERROR(__xludf.DUMMYFUNCTION("""COMPUTED_VALUE"""),"075-0707")</f>
        <v>075-0707</v>
      </c>
      <c r="B3980" s="6" t="str">
        <f>IFERROR(__xludf.DUMMYFUNCTION("""COMPUTED_VALUE"""),"75")</f>
        <v>75</v>
      </c>
      <c r="C3980" s="6" t="str">
        <f>IFERROR(__xludf.DUMMYFUNCTION("""COMPUTED_VALUE"""),"0707")</f>
        <v>0707</v>
      </c>
      <c r="D3980" s="6" t="str">
        <f>IFERROR(__xludf.DUMMYFUNCTION("""COMPUTED_VALUE"""),"Mara")</f>
        <v>Mara</v>
      </c>
      <c r="E3980" s="6" t="str">
        <f>IFERROR(__xludf.DUMMYFUNCTION("""COMPUTED_VALUE"""),"")</f>
        <v/>
      </c>
      <c r="F3980" s="6" t="str">
        <f>IFERROR(__xludf.DUMMYFUNCTION("""COMPUTED_VALUE"""),"Nevraumont")</f>
        <v>Nevraumont</v>
      </c>
      <c r="G3980" s="6" t="str">
        <f>IFERROR(__xludf.DUMMYFUNCTION("""COMPUTED_VALUE"""),"11/27/2016")</f>
        <v>11/27/2016</v>
      </c>
      <c r="H3980" s="6" t="str">
        <f>IFERROR(__xludf.DUMMYFUNCTION("""COMPUTED_VALUE"""),"female")</f>
        <v>female</v>
      </c>
      <c r="I3980" s="6" t="str">
        <f>IFERROR(__xludf.DUMMYFUNCTION("""COMPUTED_VALUE"""),"Level 1")</f>
        <v>Level 1</v>
      </c>
      <c r="J3980" s="6" t="str">
        <f>IFERROR(__xludf.DUMMYFUNCTION("""COMPUTED_VALUE"""),"3")</f>
        <v>3</v>
      </c>
      <c r="K3980" s="6" t="str">
        <f>IFERROR(__xludf.DUMMYFUNCTION("""COMPUTED_VALUE"""),"mara.nevraumont@2hourlearning.com")</f>
        <v>mara.nevraumont@2hourlearning.com</v>
      </c>
      <c r="L3980" s="6" t="str">
        <f>IFERROR(__xludf.DUMMYFUNCTION("""COMPUTED_VALUE"""),"GT Anywhere")</f>
        <v>GT Anywhere</v>
      </c>
      <c r="M3980" s="6" t="str">
        <f>IFERROR(__xludf.DUMMYFUNCTION("""COMPUTED_VALUE"""),"nonstd-testout")</f>
        <v>nonstd-testout</v>
      </c>
      <c r="N3980" s="6" t="str">
        <f>IFERROR(__xludf.DUMMYFUNCTION("""COMPUTED_VALUE"""),"")</f>
        <v/>
      </c>
      <c r="O3980" s="87" t="str">
        <f>IFERROR(__xludf.DUMMYFUNCTION("""COMPUTED_VALUE"""),"https://drive.google.com/drive/folders/10T2cTQHqEJZqE-st6uFKPoI?usp=share_link")</f>
        <v>https://drive.google.com/drive/folders/10T2cTQHqEJZqE-st6uFKPoI?usp=share_link</v>
      </c>
      <c r="P3980" s="6" t="str">
        <f>IFERROR(__xludf.DUMMYFUNCTION("""COMPUTED_VALUE"""),"Mara Nevraumont")</f>
        <v>Mara Nevraumont</v>
      </c>
      <c r="Q3980" s="6" t="str">
        <f>IFERROR(__xludf.DUMMYFUNCTION("""COMPUTED_VALUE"""),"L1")</f>
        <v>L1</v>
      </c>
      <c r="R3980" s="6">
        <f>IFERROR(__xludf.DUMMYFUNCTION("""COMPUTED_VALUE"""),1.0)</f>
        <v>1</v>
      </c>
      <c r="S3980" s="6" t="str">
        <f>IFERROR(__xludf.DUMMYFUNCTION("""COMPUTED_VALUE"""),"Grant Cain")</f>
        <v>Grant Cain</v>
      </c>
      <c r="T3980" s="6" t="str">
        <f>IFERROR(__xludf.DUMMYFUNCTION("""COMPUTED_VALUE"""),"grant.cain@2hourlearning.com")</f>
        <v>grant.cain@2hourlearning.com</v>
      </c>
      <c r="U3980" s="6" t="str">
        <f>IFERROR(__xludf.DUMMYFUNCTION("""COMPUTED_VALUE"""),"3")</f>
        <v>3</v>
      </c>
      <c r="V3980" s="6" t="str">
        <f>IFERROR(__xludf.DUMMYFUNCTION("""COMPUTED_VALUE"""),"English")</f>
        <v>English</v>
      </c>
      <c r="W3980" s="6" t="str">
        <f>IFERROR(__xludf.DUMMYFUNCTION("""COMPUTED_VALUE"""),"[]")</f>
        <v>[]</v>
      </c>
      <c r="X3980" s="6" t="str">
        <f>IFERROR(__xludf.DUMMYFUNCTION("""COMPUTED_VALUE"""),"Enrolled")</f>
        <v>Enrolled</v>
      </c>
    </row>
    <row r="3981">
      <c r="A3981" s="6" t="str">
        <f>IFERROR(__xludf.DUMMYFUNCTION("""COMPUTED_VALUE"""),"075-0768")</f>
        <v>075-0768</v>
      </c>
      <c r="B3981" s="6" t="str">
        <f>IFERROR(__xludf.DUMMYFUNCTION("""COMPUTED_VALUE"""),"75")</f>
        <v>75</v>
      </c>
      <c r="C3981" s="6" t="str">
        <f>IFERROR(__xludf.DUMMYFUNCTION("""COMPUTED_VALUE"""),"0768")</f>
        <v>0768</v>
      </c>
      <c r="D3981" s="6" t="str">
        <f>IFERROR(__xludf.DUMMYFUNCTION("""COMPUTED_VALUE"""),"Everest")</f>
        <v>Everest</v>
      </c>
      <c r="E3981" s="6" t="str">
        <f>IFERROR(__xludf.DUMMYFUNCTION("""COMPUTED_VALUE"""),"Everest")</f>
        <v>Everest</v>
      </c>
      <c r="F3981" s="6" t="str">
        <f>IFERROR(__xludf.DUMMYFUNCTION("""COMPUTED_VALUE"""),"Nevraumont")</f>
        <v>Nevraumont</v>
      </c>
      <c r="G3981" s="6" t="str">
        <f>IFERROR(__xludf.DUMMYFUNCTION("""COMPUTED_VALUE"""),"02/03/2015")</f>
        <v>02/03/2015</v>
      </c>
      <c r="H3981" s="6" t="str">
        <f>IFERROR(__xludf.DUMMYFUNCTION("""COMPUTED_VALUE"""),"female")</f>
        <v>female</v>
      </c>
      <c r="I3981" s="6" t="str">
        <f>IFERROR(__xludf.DUMMYFUNCTION("""COMPUTED_VALUE"""),"Level 2")</f>
        <v>Level 2</v>
      </c>
      <c r="J3981" s="6" t="str">
        <f>IFERROR(__xludf.DUMMYFUNCTION("""COMPUTED_VALUE"""),"5")</f>
        <v>5</v>
      </c>
      <c r="K3981" s="6" t="str">
        <f>IFERROR(__xludf.DUMMYFUNCTION("""COMPUTED_VALUE"""),"everest.nevraumont@2hourlearning.com")</f>
        <v>everest.nevraumont@2hourlearning.com</v>
      </c>
      <c r="L3981" s="6" t="str">
        <f>IFERROR(__xludf.DUMMYFUNCTION("""COMPUTED_VALUE"""),"GT Anywhere")</f>
        <v>GT Anywhere</v>
      </c>
      <c r="M3981" s="6" t="str">
        <f>IFERROR(__xludf.DUMMYFUNCTION("""COMPUTED_VALUE"""),"")</f>
        <v/>
      </c>
      <c r="N3981" s="6" t="str">
        <f>IFERROR(__xludf.DUMMYFUNCTION("""COMPUTED_VALUE"""),"")</f>
        <v/>
      </c>
      <c r="O3981" s="87" t="str">
        <f>IFERROR(__xludf.DUMMYFUNCTION("""COMPUTED_VALUE"""),"https://drive.google.com/drive/folders/10T2cTQHqEJZqE-st6uFKPoI?usp=share_link")</f>
        <v>https://drive.google.com/drive/folders/10T2cTQHqEJZqE-st6uFKPoI?usp=share_link</v>
      </c>
      <c r="P3981" s="6" t="str">
        <f>IFERROR(__xludf.DUMMYFUNCTION("""COMPUTED_VALUE"""),"Everest Nevraumont")</f>
        <v>Everest Nevraumont</v>
      </c>
      <c r="Q3981" s="6" t="str">
        <f>IFERROR(__xludf.DUMMYFUNCTION("""COMPUTED_VALUE"""),"L2")</f>
        <v>L2</v>
      </c>
      <c r="R3981" s="6">
        <f>IFERROR(__xludf.DUMMYFUNCTION("""COMPUTED_VALUE"""),2.0)</f>
        <v>2</v>
      </c>
      <c r="S3981" s="6" t="str">
        <f>IFERROR(__xludf.DUMMYFUNCTION("""COMPUTED_VALUE"""),"Grant Cain")</f>
        <v>Grant Cain</v>
      </c>
      <c r="T3981" s="6" t="str">
        <f>IFERROR(__xludf.DUMMYFUNCTION("""COMPUTED_VALUE"""),"grant.cain@2hourlearning.com")</f>
        <v>grant.cain@2hourlearning.com</v>
      </c>
      <c r="U3981" s="6" t="str">
        <f>IFERROR(__xludf.DUMMYFUNCTION("""COMPUTED_VALUE"""),"5")</f>
        <v>5</v>
      </c>
      <c r="V3981" s="6" t="str">
        <f>IFERROR(__xludf.DUMMYFUNCTION("""COMPUTED_VALUE"""),"English")</f>
        <v>English</v>
      </c>
      <c r="W3981" s="6" t="str">
        <f>IFERROR(__xludf.DUMMYFUNCTION("""COMPUTED_VALUE"""),"[]")</f>
        <v>[]</v>
      </c>
      <c r="X3981" s="6" t="str">
        <f>IFERROR(__xludf.DUMMYFUNCTION("""COMPUTED_VALUE"""),"Enrolled")</f>
        <v>Enrolled</v>
      </c>
    </row>
    <row r="3982">
      <c r="A3982" s="6" t="str">
        <f>IFERROR(__xludf.DUMMYFUNCTION("""COMPUTED_VALUE"""),"079-10454")</f>
        <v>079-10454</v>
      </c>
      <c r="B3982" s="6" t="str">
        <f>IFERROR(__xludf.DUMMYFUNCTION("""COMPUTED_VALUE"""),"79")</f>
        <v>79</v>
      </c>
      <c r="C3982" s="6" t="str">
        <f>IFERROR(__xludf.DUMMYFUNCTION("""COMPUTED_VALUE"""),"10454")</f>
        <v>10454</v>
      </c>
      <c r="D3982" s="6" t="str">
        <f>IFERROR(__xludf.DUMMYFUNCTION("""COMPUTED_VALUE"""),"Yusuf")</f>
        <v>Yusuf</v>
      </c>
      <c r="E3982" s="6" t="str">
        <f>IFERROR(__xludf.DUMMYFUNCTION("""COMPUTED_VALUE"""),"")</f>
        <v/>
      </c>
      <c r="F3982" s="6" t="str">
        <f>IFERROR(__xludf.DUMMYFUNCTION("""COMPUTED_VALUE"""),"Abdillahi")</f>
        <v>Abdillahi</v>
      </c>
      <c r="G3982" s="6" t="str">
        <f>IFERROR(__xludf.DUMMYFUNCTION("""COMPUTED_VALUE"""),"10/07/2014")</f>
        <v>10/07/2014</v>
      </c>
      <c r="H3982" s="6" t="str">
        <f>IFERROR(__xludf.DUMMYFUNCTION("""COMPUTED_VALUE"""),"male")</f>
        <v>male</v>
      </c>
      <c r="I3982" s="6" t="str">
        <f>IFERROR(__xludf.DUMMYFUNCTION("""COMPUTED_VALUE"""),"Middle School")</f>
        <v>Middle School</v>
      </c>
      <c r="J3982" s="6" t="str">
        <f>IFERROR(__xludf.DUMMYFUNCTION("""COMPUTED_VALUE"""),"6")</f>
        <v>6</v>
      </c>
      <c r="K3982" s="6" t="str">
        <f>IFERROR(__xludf.DUMMYFUNCTION("""COMPUTED_VALUE"""),"yusuf.abdillahi@2hourlearning.com")</f>
        <v>yusuf.abdillahi@2hourlearning.com</v>
      </c>
      <c r="L3982" s="6" t="str">
        <f>IFERROR(__xludf.DUMMYFUNCTION("""COMPUTED_VALUE"""),"Metro Schools")</f>
        <v>Metro Schools</v>
      </c>
      <c r="M3982" s="6" t="str">
        <f>IFERROR(__xludf.DUMMYFUNCTION("""COMPUTED_VALUE"""),"")</f>
        <v/>
      </c>
      <c r="N3982" s="6" t="str">
        <f>IFERROR(__xludf.DUMMYFUNCTION("""COMPUTED_VALUE"""),"")</f>
        <v/>
      </c>
      <c r="O3982" s="87" t="str">
        <f>IFERROR(__xludf.DUMMYFUNCTION("""COMPUTED_VALUE"""),"https://drive.google.com/drive/folders/10T2cTQHqEJZqE-st6uFKPoI?usp=share_link")</f>
        <v>https://drive.google.com/drive/folders/10T2cTQHqEJZqE-st6uFKPoI?usp=share_link</v>
      </c>
      <c r="P3982" s="6" t="str">
        <f>IFERROR(__xludf.DUMMYFUNCTION("""COMPUTED_VALUE"""),"Yusuf Abdillahi")</f>
        <v>Yusuf Abdillahi</v>
      </c>
      <c r="Q3982" s="6" t="str">
        <f>IFERROR(__xludf.DUMMYFUNCTION("""COMPUTED_VALUE"""),"MS")</f>
        <v>MS</v>
      </c>
      <c r="R3982" s="6">
        <f>IFERROR(__xludf.DUMMYFUNCTION("""COMPUTED_VALUE"""),0.0)</f>
        <v>0</v>
      </c>
      <c r="S3982" s="6" t="str">
        <f>IFERROR(__xludf.DUMMYFUNCTION("""COMPUTED_VALUE"""),"Kimberly Ball")</f>
        <v>Kimberly Ball</v>
      </c>
      <c r="T3982" s="6" t="str">
        <f>IFERROR(__xludf.DUMMYFUNCTION("""COMPUTED_VALUE"""),"kimberly.ball@studient.com")</f>
        <v>kimberly.ball@studient.com</v>
      </c>
      <c r="U3982" s="6" t="str">
        <f>IFERROR(__xludf.DUMMYFUNCTION("""COMPUTED_VALUE"""),"6")</f>
        <v>6</v>
      </c>
      <c r="V3982" s="6" t="str">
        <f>IFERROR(__xludf.DUMMYFUNCTION("""COMPUTED_VALUE"""),"")</f>
        <v/>
      </c>
      <c r="W3982" s="6" t="str">
        <f>IFERROR(__xludf.DUMMYFUNCTION("""COMPUTED_VALUE"""),"[]")</f>
        <v>[]</v>
      </c>
      <c r="X3982" s="6" t="str">
        <f>IFERROR(__xludf.DUMMYFUNCTION("""COMPUTED_VALUE"""),"Enrolled")</f>
        <v>Enrolled</v>
      </c>
    </row>
    <row r="3983">
      <c r="A3983" s="6" t="str">
        <f>IFERROR(__xludf.DUMMYFUNCTION("""COMPUTED_VALUE"""),"079-10456")</f>
        <v>079-10456</v>
      </c>
      <c r="B3983" s="6" t="str">
        <f>IFERROR(__xludf.DUMMYFUNCTION("""COMPUTED_VALUE"""),"79")</f>
        <v>79</v>
      </c>
      <c r="C3983" s="6" t="str">
        <f>IFERROR(__xludf.DUMMYFUNCTION("""COMPUTED_VALUE"""),"10456")</f>
        <v>10456</v>
      </c>
      <c r="D3983" s="6" t="str">
        <f>IFERROR(__xludf.DUMMYFUNCTION("""COMPUTED_VALUE"""),"Adam")</f>
        <v>Adam</v>
      </c>
      <c r="E3983" s="6" t="str">
        <f>IFERROR(__xludf.DUMMYFUNCTION("""COMPUTED_VALUE"""),"")</f>
        <v/>
      </c>
      <c r="F3983" s="6" t="str">
        <f>IFERROR(__xludf.DUMMYFUNCTION("""COMPUTED_VALUE"""),"Abdulkadir")</f>
        <v>Abdulkadir</v>
      </c>
      <c r="G3983" s="6" t="str">
        <f>IFERROR(__xludf.DUMMYFUNCTION("""COMPUTED_VALUE"""),"07/05/2011")</f>
        <v>07/05/2011</v>
      </c>
      <c r="H3983" s="6" t="str">
        <f>IFERROR(__xludf.DUMMYFUNCTION("""COMPUTED_VALUE"""),"female")</f>
        <v>female</v>
      </c>
      <c r="I3983" s="6" t="str">
        <f>IFERROR(__xludf.DUMMYFUNCTION("""COMPUTED_VALUE"""),"High School")</f>
        <v>High School</v>
      </c>
      <c r="J3983" s="6" t="str">
        <f>IFERROR(__xludf.DUMMYFUNCTION("""COMPUTED_VALUE"""),"9")</f>
        <v>9</v>
      </c>
      <c r="K3983" s="6" t="str">
        <f>IFERROR(__xludf.DUMMYFUNCTION("""COMPUTED_VALUE"""),"adam.abdulkadir@2hourlearning.com")</f>
        <v>adam.abdulkadir@2hourlearning.com</v>
      </c>
      <c r="L3983" s="6" t="str">
        <f>IFERROR(__xludf.DUMMYFUNCTION("""COMPUTED_VALUE"""),"Metro Schools")</f>
        <v>Metro Schools</v>
      </c>
      <c r="M3983" s="6" t="str">
        <f>IFERROR(__xludf.DUMMYFUNCTION("""COMPUTED_VALUE"""),"")</f>
        <v/>
      </c>
      <c r="N3983" s="6" t="str">
        <f>IFERROR(__xludf.DUMMYFUNCTION("""COMPUTED_VALUE"""),"")</f>
        <v/>
      </c>
      <c r="O3983" s="87" t="str">
        <f>IFERROR(__xludf.DUMMYFUNCTION("""COMPUTED_VALUE"""),"https://drive.google.com/drive/folders/10T2cTQHqEJZqE-st6uFKPoI?usp=share_link")</f>
        <v>https://drive.google.com/drive/folders/10T2cTQHqEJZqE-st6uFKPoI?usp=share_link</v>
      </c>
      <c r="P3983" s="6" t="str">
        <f>IFERROR(__xludf.DUMMYFUNCTION("""COMPUTED_VALUE"""),"Adam Abdulkadir")</f>
        <v>Adam Abdulkadir</v>
      </c>
      <c r="Q3983" s="6" t="str">
        <f>IFERROR(__xludf.DUMMYFUNCTION("""COMPUTED_VALUE"""),"HS")</f>
        <v>HS</v>
      </c>
      <c r="R3983" s="6">
        <f>IFERROR(__xludf.DUMMYFUNCTION("""COMPUTED_VALUE"""),0.0)</f>
        <v>0</v>
      </c>
      <c r="S3983" s="6" t="str">
        <f>IFERROR(__xludf.DUMMYFUNCTION("""COMPUTED_VALUE"""),"Kimberly Ball")</f>
        <v>Kimberly Ball</v>
      </c>
      <c r="T3983" s="6" t="str">
        <f>IFERROR(__xludf.DUMMYFUNCTION("""COMPUTED_VALUE"""),"kimberly.ball@studient.com")</f>
        <v>kimberly.ball@studient.com</v>
      </c>
      <c r="U3983" s="6" t="str">
        <f>IFERROR(__xludf.DUMMYFUNCTION("""COMPUTED_VALUE"""),"9")</f>
        <v>9</v>
      </c>
      <c r="V3983" s="6" t="str">
        <f>IFERROR(__xludf.DUMMYFUNCTION("""COMPUTED_VALUE"""),"")</f>
        <v/>
      </c>
      <c r="W3983" s="6" t="str">
        <f>IFERROR(__xludf.DUMMYFUNCTION("""COMPUTED_VALUE"""),"[]")</f>
        <v>[]</v>
      </c>
      <c r="X3983" s="6" t="str">
        <f>IFERROR(__xludf.DUMMYFUNCTION("""COMPUTED_VALUE"""),"Enrolled")</f>
        <v>Enrolled</v>
      </c>
    </row>
    <row r="3984">
      <c r="A3984" s="6" t="str">
        <f>IFERROR(__xludf.DUMMYFUNCTION("""COMPUTED_VALUE"""),"079-10457")</f>
        <v>079-10457</v>
      </c>
      <c r="B3984" s="6" t="str">
        <f>IFERROR(__xludf.DUMMYFUNCTION("""COMPUTED_VALUE"""),"79")</f>
        <v>79</v>
      </c>
      <c r="C3984" s="6" t="str">
        <f>IFERROR(__xludf.DUMMYFUNCTION("""COMPUTED_VALUE"""),"10457")</f>
        <v>10457</v>
      </c>
      <c r="D3984" s="6" t="str">
        <f>IFERROR(__xludf.DUMMYFUNCTION("""COMPUTED_VALUE"""),"Wadha")</f>
        <v>Wadha</v>
      </c>
      <c r="E3984" s="6" t="str">
        <f>IFERROR(__xludf.DUMMYFUNCTION("""COMPUTED_VALUE"""),"")</f>
        <v/>
      </c>
      <c r="F3984" s="6" t="str">
        <f>IFERROR(__xludf.DUMMYFUNCTION("""COMPUTED_VALUE"""),"Abumaike")</f>
        <v>Abumaike</v>
      </c>
      <c r="G3984" s="6" t="str">
        <f>IFERROR(__xludf.DUMMYFUNCTION("""COMPUTED_VALUE"""),"03/12/2014")</f>
        <v>03/12/2014</v>
      </c>
      <c r="H3984" s="6" t="str">
        <f>IFERROR(__xludf.DUMMYFUNCTION("""COMPUTED_VALUE"""),"female")</f>
        <v>female</v>
      </c>
      <c r="I3984" s="6" t="str">
        <f>IFERROR(__xludf.DUMMYFUNCTION("""COMPUTED_VALUE"""),"Middle School")</f>
        <v>Middle School</v>
      </c>
      <c r="J3984" s="6" t="str">
        <f>IFERROR(__xludf.DUMMYFUNCTION("""COMPUTED_VALUE"""),"6")</f>
        <v>6</v>
      </c>
      <c r="K3984" s="6" t="str">
        <f>IFERROR(__xludf.DUMMYFUNCTION("""COMPUTED_VALUE"""),"wadha.abumaike@2hourlearning.com")</f>
        <v>wadha.abumaike@2hourlearning.com</v>
      </c>
      <c r="L3984" s="6" t="str">
        <f>IFERROR(__xludf.DUMMYFUNCTION("""COMPUTED_VALUE"""),"Metro Schools")</f>
        <v>Metro Schools</v>
      </c>
      <c r="M3984" s="6" t="str">
        <f>IFERROR(__xludf.DUMMYFUNCTION("""COMPUTED_VALUE"""),"")</f>
        <v/>
      </c>
      <c r="N3984" s="6" t="str">
        <f>IFERROR(__xludf.DUMMYFUNCTION("""COMPUTED_VALUE"""),"")</f>
        <v/>
      </c>
      <c r="O3984" s="87" t="str">
        <f>IFERROR(__xludf.DUMMYFUNCTION("""COMPUTED_VALUE"""),"https://drive.google.com/drive/folders/10T2cTQHqEJZqE-st6uFKPoI?usp=share_link")</f>
        <v>https://drive.google.com/drive/folders/10T2cTQHqEJZqE-st6uFKPoI?usp=share_link</v>
      </c>
      <c r="P3984" s="6" t="str">
        <f>IFERROR(__xludf.DUMMYFUNCTION("""COMPUTED_VALUE"""),"Wadha Abumaike")</f>
        <v>Wadha Abumaike</v>
      </c>
      <c r="Q3984" s="6" t="str">
        <f>IFERROR(__xludf.DUMMYFUNCTION("""COMPUTED_VALUE"""),"MS")</f>
        <v>MS</v>
      </c>
      <c r="R3984" s="6">
        <f>IFERROR(__xludf.DUMMYFUNCTION("""COMPUTED_VALUE"""),0.0)</f>
        <v>0</v>
      </c>
      <c r="S3984" s="6" t="str">
        <f>IFERROR(__xludf.DUMMYFUNCTION("""COMPUTED_VALUE"""),"Kimberly Ball")</f>
        <v>Kimberly Ball</v>
      </c>
      <c r="T3984" s="6" t="str">
        <f>IFERROR(__xludf.DUMMYFUNCTION("""COMPUTED_VALUE"""),"kimberly.ball@studient.com")</f>
        <v>kimberly.ball@studient.com</v>
      </c>
      <c r="U3984" s="6" t="str">
        <f>IFERROR(__xludf.DUMMYFUNCTION("""COMPUTED_VALUE"""),"6")</f>
        <v>6</v>
      </c>
      <c r="V3984" s="6" t="str">
        <f>IFERROR(__xludf.DUMMYFUNCTION("""COMPUTED_VALUE"""),"")</f>
        <v/>
      </c>
      <c r="W3984" s="6" t="str">
        <f>IFERROR(__xludf.DUMMYFUNCTION("""COMPUTED_VALUE"""),"[]")</f>
        <v>[]</v>
      </c>
      <c r="X3984" s="6" t="str">
        <f>IFERROR(__xludf.DUMMYFUNCTION("""COMPUTED_VALUE"""),"Enrolled")</f>
        <v>Enrolled</v>
      </c>
    </row>
    <row r="3985">
      <c r="A3985" s="6" t="str">
        <f>IFERROR(__xludf.DUMMYFUNCTION("""COMPUTED_VALUE"""),"079-10458")</f>
        <v>079-10458</v>
      </c>
      <c r="B3985" s="6" t="str">
        <f>IFERROR(__xludf.DUMMYFUNCTION("""COMPUTED_VALUE"""),"79")</f>
        <v>79</v>
      </c>
      <c r="C3985" s="6" t="str">
        <f>IFERROR(__xludf.DUMMYFUNCTION("""COMPUTED_VALUE"""),"10458")</f>
        <v>10458</v>
      </c>
      <c r="D3985" s="6" t="str">
        <f>IFERROR(__xludf.DUMMYFUNCTION("""COMPUTED_VALUE"""),"Khadar")</f>
        <v>Khadar</v>
      </c>
      <c r="E3985" s="6" t="str">
        <f>IFERROR(__xludf.DUMMYFUNCTION("""COMPUTED_VALUE"""),"")</f>
        <v/>
      </c>
      <c r="F3985" s="6" t="str">
        <f>IFERROR(__xludf.DUMMYFUNCTION("""COMPUTED_VALUE"""),"Ahmed")</f>
        <v>Ahmed</v>
      </c>
      <c r="G3985" s="6" t="str">
        <f>IFERROR(__xludf.DUMMYFUNCTION("""COMPUTED_VALUE"""),"05/05/2010")</f>
        <v>05/05/2010</v>
      </c>
      <c r="H3985" s="6" t="str">
        <f>IFERROR(__xludf.DUMMYFUNCTION("""COMPUTED_VALUE"""),"male")</f>
        <v>male</v>
      </c>
      <c r="I3985" s="6" t="str">
        <f>IFERROR(__xludf.DUMMYFUNCTION("""COMPUTED_VALUE"""),"High School")</f>
        <v>High School</v>
      </c>
      <c r="J3985" s="6" t="str">
        <f>IFERROR(__xludf.DUMMYFUNCTION("""COMPUTED_VALUE"""),"10")</f>
        <v>10</v>
      </c>
      <c r="K3985" s="6" t="str">
        <f>IFERROR(__xludf.DUMMYFUNCTION("""COMPUTED_VALUE"""),"khadar.ahmed@2hourlearning.com")</f>
        <v>khadar.ahmed@2hourlearning.com</v>
      </c>
      <c r="L3985" s="6" t="str">
        <f>IFERROR(__xludf.DUMMYFUNCTION("""COMPUTED_VALUE"""),"Metro Schools")</f>
        <v>Metro Schools</v>
      </c>
      <c r="M3985" s="6" t="str">
        <f>IFERROR(__xludf.DUMMYFUNCTION("""COMPUTED_VALUE"""),"")</f>
        <v/>
      </c>
      <c r="N3985" s="6" t="str">
        <f>IFERROR(__xludf.DUMMYFUNCTION("""COMPUTED_VALUE"""),"")</f>
        <v/>
      </c>
      <c r="O3985" s="87" t="str">
        <f>IFERROR(__xludf.DUMMYFUNCTION("""COMPUTED_VALUE"""),"https://drive.google.com/drive/folders/10T2cTQHqEJZqE-st6uFKPoI?usp=share_link")</f>
        <v>https://drive.google.com/drive/folders/10T2cTQHqEJZqE-st6uFKPoI?usp=share_link</v>
      </c>
      <c r="P3985" s="6" t="str">
        <f>IFERROR(__xludf.DUMMYFUNCTION("""COMPUTED_VALUE"""),"Khadar Ahmed")</f>
        <v>Khadar Ahmed</v>
      </c>
      <c r="Q3985" s="6" t="str">
        <f>IFERROR(__xludf.DUMMYFUNCTION("""COMPUTED_VALUE"""),"HS")</f>
        <v>HS</v>
      </c>
      <c r="R3985" s="6">
        <f>IFERROR(__xludf.DUMMYFUNCTION("""COMPUTED_VALUE"""),0.0)</f>
        <v>0</v>
      </c>
      <c r="S3985" s="6" t="str">
        <f>IFERROR(__xludf.DUMMYFUNCTION("""COMPUTED_VALUE"""),"Kimberly Ball")</f>
        <v>Kimberly Ball</v>
      </c>
      <c r="T3985" s="6" t="str">
        <f>IFERROR(__xludf.DUMMYFUNCTION("""COMPUTED_VALUE"""),"kimberly.ball@studient.com")</f>
        <v>kimberly.ball@studient.com</v>
      </c>
      <c r="U3985" s="6" t="str">
        <f>IFERROR(__xludf.DUMMYFUNCTION("""COMPUTED_VALUE"""),"10")</f>
        <v>10</v>
      </c>
      <c r="V3985" s="6" t="str">
        <f>IFERROR(__xludf.DUMMYFUNCTION("""COMPUTED_VALUE"""),"")</f>
        <v/>
      </c>
      <c r="W3985" s="6" t="str">
        <f>IFERROR(__xludf.DUMMYFUNCTION("""COMPUTED_VALUE"""),"[]")</f>
        <v>[]</v>
      </c>
      <c r="X3985" s="6" t="str">
        <f>IFERROR(__xludf.DUMMYFUNCTION("""COMPUTED_VALUE"""),"Enrolled")</f>
        <v>Enrolled</v>
      </c>
    </row>
    <row r="3986">
      <c r="A3986" s="6" t="str">
        <f>IFERROR(__xludf.DUMMYFUNCTION("""COMPUTED_VALUE"""),"079-10459")</f>
        <v>079-10459</v>
      </c>
      <c r="B3986" s="6" t="str">
        <f>IFERROR(__xludf.DUMMYFUNCTION("""COMPUTED_VALUE"""),"79")</f>
        <v>79</v>
      </c>
      <c r="C3986" s="6" t="str">
        <f>IFERROR(__xludf.DUMMYFUNCTION("""COMPUTED_VALUE"""),"10459")</f>
        <v>10459</v>
      </c>
      <c r="D3986" s="6" t="str">
        <f>IFERROR(__xludf.DUMMYFUNCTION("""COMPUTED_VALUE"""),"Kaleb")</f>
        <v>Kaleb</v>
      </c>
      <c r="E3986" s="6" t="str">
        <f>IFERROR(__xludf.DUMMYFUNCTION("""COMPUTED_VALUE"""),"")</f>
        <v/>
      </c>
      <c r="F3986" s="6" t="str">
        <f>IFERROR(__xludf.DUMMYFUNCTION("""COMPUTED_VALUE"""),"Allmon")</f>
        <v>Allmon</v>
      </c>
      <c r="G3986" s="6" t="str">
        <f>IFERROR(__xludf.DUMMYFUNCTION("""COMPUTED_VALUE"""),"01/09/2012")</f>
        <v>01/09/2012</v>
      </c>
      <c r="H3986" s="6" t="str">
        <f>IFERROR(__xludf.DUMMYFUNCTION("""COMPUTED_VALUE"""),"male")</f>
        <v>male</v>
      </c>
      <c r="I3986" s="6" t="str">
        <f>IFERROR(__xludf.DUMMYFUNCTION("""COMPUTED_VALUE"""),"Middle School")</f>
        <v>Middle School</v>
      </c>
      <c r="J3986" s="6" t="str">
        <f>IFERROR(__xludf.DUMMYFUNCTION("""COMPUTED_VALUE"""),"8")</f>
        <v>8</v>
      </c>
      <c r="K3986" s="6" t="str">
        <f>IFERROR(__xludf.DUMMYFUNCTION("""COMPUTED_VALUE"""),"kaleb.allmon@2hourlearning.com")</f>
        <v>kaleb.allmon@2hourlearning.com</v>
      </c>
      <c r="L3986" s="6" t="str">
        <f>IFERROR(__xludf.DUMMYFUNCTION("""COMPUTED_VALUE"""),"Metro Schools")</f>
        <v>Metro Schools</v>
      </c>
      <c r="M3986" s="6" t="str">
        <f>IFERROR(__xludf.DUMMYFUNCTION("""COMPUTED_VALUE"""),"")</f>
        <v/>
      </c>
      <c r="N3986" s="6" t="str">
        <f>IFERROR(__xludf.DUMMYFUNCTION("""COMPUTED_VALUE"""),"")</f>
        <v/>
      </c>
      <c r="O3986" s="87" t="str">
        <f>IFERROR(__xludf.DUMMYFUNCTION("""COMPUTED_VALUE"""),"https://drive.google.com/drive/folders/10T2cTQHqEJZqE-st6uFKPoI?usp=share_link")</f>
        <v>https://drive.google.com/drive/folders/10T2cTQHqEJZqE-st6uFKPoI?usp=share_link</v>
      </c>
      <c r="P3986" s="6" t="str">
        <f>IFERROR(__xludf.DUMMYFUNCTION("""COMPUTED_VALUE"""),"Kaleb Allmon")</f>
        <v>Kaleb Allmon</v>
      </c>
      <c r="Q3986" s="6" t="str">
        <f>IFERROR(__xludf.DUMMYFUNCTION("""COMPUTED_VALUE"""),"MS")</f>
        <v>MS</v>
      </c>
      <c r="R3986" s="6">
        <f>IFERROR(__xludf.DUMMYFUNCTION("""COMPUTED_VALUE"""),0.0)</f>
        <v>0</v>
      </c>
      <c r="S3986" s="6" t="str">
        <f>IFERROR(__xludf.DUMMYFUNCTION("""COMPUTED_VALUE"""),"Kimberly Ball")</f>
        <v>Kimberly Ball</v>
      </c>
      <c r="T3986" s="6" t="str">
        <f>IFERROR(__xludf.DUMMYFUNCTION("""COMPUTED_VALUE"""),"kimberly.ball@studient.com")</f>
        <v>kimberly.ball@studient.com</v>
      </c>
      <c r="U3986" s="6" t="str">
        <f>IFERROR(__xludf.DUMMYFUNCTION("""COMPUTED_VALUE"""),"8")</f>
        <v>8</v>
      </c>
      <c r="V3986" s="6" t="str">
        <f>IFERROR(__xludf.DUMMYFUNCTION("""COMPUTED_VALUE"""),"")</f>
        <v/>
      </c>
      <c r="W3986" s="6" t="str">
        <f>IFERROR(__xludf.DUMMYFUNCTION("""COMPUTED_VALUE"""),"[]")</f>
        <v>[]</v>
      </c>
      <c r="X3986" s="6" t="str">
        <f>IFERROR(__xludf.DUMMYFUNCTION("""COMPUTED_VALUE"""),"Enrolled")</f>
        <v>Enrolled</v>
      </c>
    </row>
    <row r="3987">
      <c r="A3987" s="6" t="str">
        <f>IFERROR(__xludf.DUMMYFUNCTION("""COMPUTED_VALUE"""),"079-10460")</f>
        <v>079-10460</v>
      </c>
      <c r="B3987" s="6" t="str">
        <f>IFERROR(__xludf.DUMMYFUNCTION("""COMPUTED_VALUE"""),"79")</f>
        <v>79</v>
      </c>
      <c r="C3987" s="6" t="str">
        <f>IFERROR(__xludf.DUMMYFUNCTION("""COMPUTED_VALUE"""),"10460")</f>
        <v>10460</v>
      </c>
      <c r="D3987" s="6" t="str">
        <f>IFERROR(__xludf.DUMMYFUNCTION("""COMPUTED_VALUE"""),"Setareh")</f>
        <v>Setareh</v>
      </c>
      <c r="E3987" s="6" t="str">
        <f>IFERROR(__xludf.DUMMYFUNCTION("""COMPUTED_VALUE"""),"")</f>
        <v/>
      </c>
      <c r="F3987" s="6" t="str">
        <f>IFERROR(__xludf.DUMMYFUNCTION("""COMPUTED_VALUE"""),"Asgarinejad-Lawrence")</f>
        <v>Asgarinejad-Lawrence</v>
      </c>
      <c r="G3987" s="6" t="str">
        <f>IFERROR(__xludf.DUMMYFUNCTION("""COMPUTED_VALUE"""),"08/08/2014")</f>
        <v>08/08/2014</v>
      </c>
      <c r="H3987" s="6" t="str">
        <f>IFERROR(__xludf.DUMMYFUNCTION("""COMPUTED_VALUE"""),"female")</f>
        <v>female</v>
      </c>
      <c r="I3987" s="6" t="str">
        <f>IFERROR(__xludf.DUMMYFUNCTION("""COMPUTED_VALUE"""),"Middle School")</f>
        <v>Middle School</v>
      </c>
      <c r="J3987" s="6" t="str">
        <f>IFERROR(__xludf.DUMMYFUNCTION("""COMPUTED_VALUE"""),"6")</f>
        <v>6</v>
      </c>
      <c r="K3987" s="6" t="str">
        <f>IFERROR(__xludf.DUMMYFUNCTION("""COMPUTED_VALUE"""),"setareh.asgarinejad-lawrence@2hourlearning.com")</f>
        <v>setareh.asgarinejad-lawrence@2hourlearning.com</v>
      </c>
      <c r="L3987" s="6" t="str">
        <f>IFERROR(__xludf.DUMMYFUNCTION("""COMPUTED_VALUE"""),"Metro Schools")</f>
        <v>Metro Schools</v>
      </c>
      <c r="M3987" s="6" t="str">
        <f>IFERROR(__xludf.DUMMYFUNCTION("""COMPUTED_VALUE"""),"")</f>
        <v/>
      </c>
      <c r="N3987" s="6" t="str">
        <f>IFERROR(__xludf.DUMMYFUNCTION("""COMPUTED_VALUE"""),"")</f>
        <v/>
      </c>
      <c r="O3987" s="87" t="str">
        <f>IFERROR(__xludf.DUMMYFUNCTION("""COMPUTED_VALUE"""),"https://drive.google.com/drive/folders/10T2cTQHqEJZqE-st6uFKPoI?usp=share_link")</f>
        <v>https://drive.google.com/drive/folders/10T2cTQHqEJZqE-st6uFKPoI?usp=share_link</v>
      </c>
      <c r="P3987" s="6" t="str">
        <f>IFERROR(__xludf.DUMMYFUNCTION("""COMPUTED_VALUE"""),"Setareh Asgarinejad-Lawrence")</f>
        <v>Setareh Asgarinejad-Lawrence</v>
      </c>
      <c r="Q3987" s="6" t="str">
        <f>IFERROR(__xludf.DUMMYFUNCTION("""COMPUTED_VALUE"""),"MS")</f>
        <v>MS</v>
      </c>
      <c r="R3987" s="6">
        <f>IFERROR(__xludf.DUMMYFUNCTION("""COMPUTED_VALUE"""),0.0)</f>
        <v>0</v>
      </c>
      <c r="S3987" s="6" t="str">
        <f>IFERROR(__xludf.DUMMYFUNCTION("""COMPUTED_VALUE"""),"Kimberly Ball")</f>
        <v>Kimberly Ball</v>
      </c>
      <c r="T3987" s="6" t="str">
        <f>IFERROR(__xludf.DUMMYFUNCTION("""COMPUTED_VALUE"""),"kimberly.ball@studient.com")</f>
        <v>kimberly.ball@studient.com</v>
      </c>
      <c r="U3987" s="6" t="str">
        <f>IFERROR(__xludf.DUMMYFUNCTION("""COMPUTED_VALUE"""),"6")</f>
        <v>6</v>
      </c>
      <c r="V3987" s="6" t="str">
        <f>IFERROR(__xludf.DUMMYFUNCTION("""COMPUTED_VALUE"""),"")</f>
        <v/>
      </c>
      <c r="W3987" s="6" t="str">
        <f>IFERROR(__xludf.DUMMYFUNCTION("""COMPUTED_VALUE"""),"[]")</f>
        <v>[]</v>
      </c>
      <c r="X3987" s="6" t="str">
        <f>IFERROR(__xludf.DUMMYFUNCTION("""COMPUTED_VALUE"""),"Enrolled")</f>
        <v>Enrolled</v>
      </c>
    </row>
    <row r="3988">
      <c r="A3988" s="6" t="str">
        <f>IFERROR(__xludf.DUMMYFUNCTION("""COMPUTED_VALUE"""),"079-10461")</f>
        <v>079-10461</v>
      </c>
      <c r="B3988" s="6" t="str">
        <f>IFERROR(__xludf.DUMMYFUNCTION("""COMPUTED_VALUE"""),"79")</f>
        <v>79</v>
      </c>
      <c r="C3988" s="6" t="str">
        <f>IFERROR(__xludf.DUMMYFUNCTION("""COMPUTED_VALUE"""),"10461")</f>
        <v>10461</v>
      </c>
      <c r="D3988" s="6" t="str">
        <f>IFERROR(__xludf.DUMMYFUNCTION("""COMPUTED_VALUE"""),"Adway")</f>
        <v>Adway</v>
      </c>
      <c r="E3988" s="6" t="str">
        <f>IFERROR(__xludf.DUMMYFUNCTION("""COMPUTED_VALUE"""),"")</f>
        <v/>
      </c>
      <c r="F3988" s="6" t="str">
        <f>IFERROR(__xludf.DUMMYFUNCTION("""COMPUTED_VALUE"""),"Atorsah")</f>
        <v>Atorsah</v>
      </c>
      <c r="G3988" s="6" t="str">
        <f>IFERROR(__xludf.DUMMYFUNCTION("""COMPUTED_VALUE"""),"12/27/2014")</f>
        <v>12/27/2014</v>
      </c>
      <c r="H3988" s="6" t="str">
        <f>IFERROR(__xludf.DUMMYFUNCTION("""COMPUTED_VALUE"""),"male")</f>
        <v>male</v>
      </c>
      <c r="I3988" s="6" t="str">
        <f>IFERROR(__xludf.DUMMYFUNCTION("""COMPUTED_VALUE"""),"Middle School")</f>
        <v>Middle School</v>
      </c>
      <c r="J3988" s="6" t="str">
        <f>IFERROR(__xludf.DUMMYFUNCTION("""COMPUTED_VALUE"""),"6")</f>
        <v>6</v>
      </c>
      <c r="K3988" s="6" t="str">
        <f>IFERROR(__xludf.DUMMYFUNCTION("""COMPUTED_VALUE"""),"adway.atorsah@2hourlearning.com")</f>
        <v>adway.atorsah@2hourlearning.com</v>
      </c>
      <c r="L3988" s="6" t="str">
        <f>IFERROR(__xludf.DUMMYFUNCTION("""COMPUTED_VALUE"""),"Metro Schools")</f>
        <v>Metro Schools</v>
      </c>
      <c r="M3988" s="6" t="str">
        <f>IFERROR(__xludf.DUMMYFUNCTION("""COMPUTED_VALUE"""),"")</f>
        <v/>
      </c>
      <c r="N3988" s="6" t="str">
        <f>IFERROR(__xludf.DUMMYFUNCTION("""COMPUTED_VALUE"""),"")</f>
        <v/>
      </c>
      <c r="O3988" s="87" t="str">
        <f>IFERROR(__xludf.DUMMYFUNCTION("""COMPUTED_VALUE"""),"https://drive.google.com/drive/folders/10T2cTQHqEJZqE-st6uFKPoI?usp=share_link")</f>
        <v>https://drive.google.com/drive/folders/10T2cTQHqEJZqE-st6uFKPoI?usp=share_link</v>
      </c>
      <c r="P3988" s="6" t="str">
        <f>IFERROR(__xludf.DUMMYFUNCTION("""COMPUTED_VALUE"""),"Adway Atorsah")</f>
        <v>Adway Atorsah</v>
      </c>
      <c r="Q3988" s="6" t="str">
        <f>IFERROR(__xludf.DUMMYFUNCTION("""COMPUTED_VALUE"""),"MS")</f>
        <v>MS</v>
      </c>
      <c r="R3988" s="6">
        <f>IFERROR(__xludf.DUMMYFUNCTION("""COMPUTED_VALUE"""),0.0)</f>
        <v>0</v>
      </c>
      <c r="S3988" s="6" t="str">
        <f>IFERROR(__xludf.DUMMYFUNCTION("""COMPUTED_VALUE"""),"Kimberly Ball")</f>
        <v>Kimberly Ball</v>
      </c>
      <c r="T3988" s="6" t="str">
        <f>IFERROR(__xludf.DUMMYFUNCTION("""COMPUTED_VALUE"""),"kimberly.ball@studient.com")</f>
        <v>kimberly.ball@studient.com</v>
      </c>
      <c r="U3988" s="6" t="str">
        <f>IFERROR(__xludf.DUMMYFUNCTION("""COMPUTED_VALUE"""),"6")</f>
        <v>6</v>
      </c>
      <c r="V3988" s="6" t="str">
        <f>IFERROR(__xludf.DUMMYFUNCTION("""COMPUTED_VALUE"""),"")</f>
        <v/>
      </c>
      <c r="W3988" s="6" t="str">
        <f>IFERROR(__xludf.DUMMYFUNCTION("""COMPUTED_VALUE"""),"[]")</f>
        <v>[]</v>
      </c>
      <c r="X3988" s="6" t="str">
        <f>IFERROR(__xludf.DUMMYFUNCTION("""COMPUTED_VALUE"""),"Enrolled")</f>
        <v>Enrolled</v>
      </c>
    </row>
    <row r="3989">
      <c r="A3989" s="6" t="str">
        <f>IFERROR(__xludf.DUMMYFUNCTION("""COMPUTED_VALUE"""),"079-10462")</f>
        <v>079-10462</v>
      </c>
      <c r="B3989" s="6" t="str">
        <f>IFERROR(__xludf.DUMMYFUNCTION("""COMPUTED_VALUE"""),"79")</f>
        <v>79</v>
      </c>
      <c r="C3989" s="6" t="str">
        <f>IFERROR(__xludf.DUMMYFUNCTION("""COMPUTED_VALUE"""),"10462")</f>
        <v>10462</v>
      </c>
      <c r="D3989" s="6" t="str">
        <f>IFERROR(__xludf.DUMMYFUNCTION("""COMPUTED_VALUE"""),"Aminata")</f>
        <v>Aminata</v>
      </c>
      <c r="E3989" s="6" t="str">
        <f>IFERROR(__xludf.DUMMYFUNCTION("""COMPUTED_VALUE"""),"")</f>
        <v/>
      </c>
      <c r="F3989" s="6" t="str">
        <f>IFERROR(__xludf.DUMMYFUNCTION("""COMPUTED_VALUE"""),"Ba")</f>
        <v>Ba</v>
      </c>
      <c r="G3989" s="6" t="str">
        <f>IFERROR(__xludf.DUMMYFUNCTION("""COMPUTED_VALUE"""),"02/26/2013")</f>
        <v>02/26/2013</v>
      </c>
      <c r="H3989" s="6" t="str">
        <f>IFERROR(__xludf.DUMMYFUNCTION("""COMPUTED_VALUE"""),"female")</f>
        <v>female</v>
      </c>
      <c r="I3989" s="6" t="str">
        <f>IFERROR(__xludf.DUMMYFUNCTION("""COMPUTED_VALUE"""),"Middle School")</f>
        <v>Middle School</v>
      </c>
      <c r="J3989" s="6" t="str">
        <f>IFERROR(__xludf.DUMMYFUNCTION("""COMPUTED_VALUE"""),"7")</f>
        <v>7</v>
      </c>
      <c r="K3989" s="6" t="str">
        <f>IFERROR(__xludf.DUMMYFUNCTION("""COMPUTED_VALUE"""),"aminata.ba@2hourlearning.com")</f>
        <v>aminata.ba@2hourlearning.com</v>
      </c>
      <c r="L3989" s="6" t="str">
        <f>IFERROR(__xludf.DUMMYFUNCTION("""COMPUTED_VALUE"""),"Metro Schools")</f>
        <v>Metro Schools</v>
      </c>
      <c r="M3989" s="6" t="str">
        <f>IFERROR(__xludf.DUMMYFUNCTION("""COMPUTED_VALUE"""),"")</f>
        <v/>
      </c>
      <c r="N3989" s="6" t="str">
        <f>IFERROR(__xludf.DUMMYFUNCTION("""COMPUTED_VALUE"""),"")</f>
        <v/>
      </c>
      <c r="O3989" s="87" t="str">
        <f>IFERROR(__xludf.DUMMYFUNCTION("""COMPUTED_VALUE"""),"https://drive.google.com/drive/folders/10T2cTQHqEJZqE-st6uFKPoI?usp=share_link")</f>
        <v>https://drive.google.com/drive/folders/10T2cTQHqEJZqE-st6uFKPoI?usp=share_link</v>
      </c>
      <c r="P3989" s="6" t="str">
        <f>IFERROR(__xludf.DUMMYFUNCTION("""COMPUTED_VALUE"""),"Aminata Ba")</f>
        <v>Aminata Ba</v>
      </c>
      <c r="Q3989" s="6" t="str">
        <f>IFERROR(__xludf.DUMMYFUNCTION("""COMPUTED_VALUE"""),"MS")</f>
        <v>MS</v>
      </c>
      <c r="R3989" s="6">
        <f>IFERROR(__xludf.DUMMYFUNCTION("""COMPUTED_VALUE"""),0.0)</f>
        <v>0</v>
      </c>
      <c r="S3989" s="6" t="str">
        <f>IFERROR(__xludf.DUMMYFUNCTION("""COMPUTED_VALUE"""),"Kimberly Ball")</f>
        <v>Kimberly Ball</v>
      </c>
      <c r="T3989" s="6" t="str">
        <f>IFERROR(__xludf.DUMMYFUNCTION("""COMPUTED_VALUE"""),"kimberly.ball@studient.com")</f>
        <v>kimberly.ball@studient.com</v>
      </c>
      <c r="U3989" s="6" t="str">
        <f>IFERROR(__xludf.DUMMYFUNCTION("""COMPUTED_VALUE"""),"7")</f>
        <v>7</v>
      </c>
      <c r="V3989" s="6" t="str">
        <f>IFERROR(__xludf.DUMMYFUNCTION("""COMPUTED_VALUE"""),"")</f>
        <v/>
      </c>
      <c r="W3989" s="6" t="str">
        <f>IFERROR(__xludf.DUMMYFUNCTION("""COMPUTED_VALUE"""),"[]")</f>
        <v>[]</v>
      </c>
      <c r="X3989" s="6" t="str">
        <f>IFERROR(__xludf.DUMMYFUNCTION("""COMPUTED_VALUE"""),"Enrolled")</f>
        <v>Enrolled</v>
      </c>
    </row>
    <row r="3990">
      <c r="A3990" s="6" t="str">
        <f>IFERROR(__xludf.DUMMYFUNCTION("""COMPUTED_VALUE"""),"079-10463")</f>
        <v>079-10463</v>
      </c>
      <c r="B3990" s="6" t="str">
        <f>IFERROR(__xludf.DUMMYFUNCTION("""COMPUTED_VALUE"""),"79")</f>
        <v>79</v>
      </c>
      <c r="C3990" s="6" t="str">
        <f>IFERROR(__xludf.DUMMYFUNCTION("""COMPUTED_VALUE"""),"10463")</f>
        <v>10463</v>
      </c>
      <c r="D3990" s="6" t="str">
        <f>IFERROR(__xludf.DUMMYFUNCTION("""COMPUTED_VALUE"""),"Khadiatou")</f>
        <v>Khadiatou</v>
      </c>
      <c r="E3990" s="6" t="str">
        <f>IFERROR(__xludf.DUMMYFUNCTION("""COMPUTED_VALUE"""),"")</f>
        <v/>
      </c>
      <c r="F3990" s="6" t="str">
        <f>IFERROR(__xludf.DUMMYFUNCTION("""COMPUTED_VALUE"""),"Ba")</f>
        <v>Ba</v>
      </c>
      <c r="G3990" s="6" t="str">
        <f>IFERROR(__xludf.DUMMYFUNCTION("""COMPUTED_VALUE"""),"05/27/2011")</f>
        <v>05/27/2011</v>
      </c>
      <c r="H3990" s="6" t="str">
        <f>IFERROR(__xludf.DUMMYFUNCTION("""COMPUTED_VALUE"""),"female")</f>
        <v>female</v>
      </c>
      <c r="I3990" s="6" t="str">
        <f>IFERROR(__xludf.DUMMYFUNCTION("""COMPUTED_VALUE"""),"High School")</f>
        <v>High School</v>
      </c>
      <c r="J3990" s="6" t="str">
        <f>IFERROR(__xludf.DUMMYFUNCTION("""COMPUTED_VALUE"""),"9")</f>
        <v>9</v>
      </c>
      <c r="K3990" s="6" t="str">
        <f>IFERROR(__xludf.DUMMYFUNCTION("""COMPUTED_VALUE"""),"khadiatou.ba@2hourlearning.com")</f>
        <v>khadiatou.ba@2hourlearning.com</v>
      </c>
      <c r="L3990" s="6" t="str">
        <f>IFERROR(__xludf.DUMMYFUNCTION("""COMPUTED_VALUE"""),"Metro Schools")</f>
        <v>Metro Schools</v>
      </c>
      <c r="M3990" s="6" t="str">
        <f>IFERROR(__xludf.DUMMYFUNCTION("""COMPUTED_VALUE"""),"")</f>
        <v/>
      </c>
      <c r="N3990" s="6" t="str">
        <f>IFERROR(__xludf.DUMMYFUNCTION("""COMPUTED_VALUE"""),"")</f>
        <v/>
      </c>
      <c r="O3990" s="87" t="str">
        <f>IFERROR(__xludf.DUMMYFUNCTION("""COMPUTED_VALUE"""),"https://drive.google.com/drive/folders/10T2cTQHqEJZqE-st6uFKPoI?usp=share_link")</f>
        <v>https://drive.google.com/drive/folders/10T2cTQHqEJZqE-st6uFKPoI?usp=share_link</v>
      </c>
      <c r="P3990" s="6" t="str">
        <f>IFERROR(__xludf.DUMMYFUNCTION("""COMPUTED_VALUE"""),"Khadiatou Ba")</f>
        <v>Khadiatou Ba</v>
      </c>
      <c r="Q3990" s="6" t="str">
        <f>IFERROR(__xludf.DUMMYFUNCTION("""COMPUTED_VALUE"""),"HS")</f>
        <v>HS</v>
      </c>
      <c r="R3990" s="6">
        <f>IFERROR(__xludf.DUMMYFUNCTION("""COMPUTED_VALUE"""),0.0)</f>
        <v>0</v>
      </c>
      <c r="S3990" s="6" t="str">
        <f>IFERROR(__xludf.DUMMYFUNCTION("""COMPUTED_VALUE"""),"Kimberly Ball")</f>
        <v>Kimberly Ball</v>
      </c>
      <c r="T3990" s="6" t="str">
        <f>IFERROR(__xludf.DUMMYFUNCTION("""COMPUTED_VALUE"""),"kimberly.ball@studient.com")</f>
        <v>kimberly.ball@studient.com</v>
      </c>
      <c r="U3990" s="6" t="str">
        <f>IFERROR(__xludf.DUMMYFUNCTION("""COMPUTED_VALUE"""),"9")</f>
        <v>9</v>
      </c>
      <c r="V3990" s="6" t="str">
        <f>IFERROR(__xludf.DUMMYFUNCTION("""COMPUTED_VALUE"""),"")</f>
        <v/>
      </c>
      <c r="W3990" s="6" t="str">
        <f>IFERROR(__xludf.DUMMYFUNCTION("""COMPUTED_VALUE"""),"[]")</f>
        <v>[]</v>
      </c>
      <c r="X3990" s="6" t="str">
        <f>IFERROR(__xludf.DUMMYFUNCTION("""COMPUTED_VALUE"""),"Enrolled")</f>
        <v>Enrolled</v>
      </c>
    </row>
    <row r="3991">
      <c r="A3991" s="6" t="str">
        <f>IFERROR(__xludf.DUMMYFUNCTION("""COMPUTED_VALUE"""),"079-10465")</f>
        <v>079-10465</v>
      </c>
      <c r="B3991" s="6" t="str">
        <f>IFERROR(__xludf.DUMMYFUNCTION("""COMPUTED_VALUE"""),"79")</f>
        <v>79</v>
      </c>
      <c r="C3991" s="6" t="str">
        <f>IFERROR(__xludf.DUMMYFUNCTION("""COMPUTED_VALUE"""),"10465")</f>
        <v>10465</v>
      </c>
      <c r="D3991" s="6" t="str">
        <f>IFERROR(__xludf.DUMMYFUNCTION("""COMPUTED_VALUE"""),"Erianna")</f>
        <v>Erianna</v>
      </c>
      <c r="E3991" s="6" t="str">
        <f>IFERROR(__xludf.DUMMYFUNCTION("""COMPUTED_VALUE"""),"")</f>
        <v/>
      </c>
      <c r="F3991" s="6" t="str">
        <f>IFERROR(__xludf.DUMMYFUNCTION("""COMPUTED_VALUE"""),"Baker")</f>
        <v>Baker</v>
      </c>
      <c r="G3991" s="6" t="str">
        <f>IFERROR(__xludf.DUMMYFUNCTION("""COMPUTED_VALUE"""),"08/26/2013")</f>
        <v>08/26/2013</v>
      </c>
      <c r="H3991" s="6" t="str">
        <f>IFERROR(__xludf.DUMMYFUNCTION("""COMPUTED_VALUE"""),"female")</f>
        <v>female</v>
      </c>
      <c r="I3991" s="6" t="str">
        <f>IFERROR(__xludf.DUMMYFUNCTION("""COMPUTED_VALUE"""),"Middle School")</f>
        <v>Middle School</v>
      </c>
      <c r="J3991" s="6" t="str">
        <f>IFERROR(__xludf.DUMMYFUNCTION("""COMPUTED_VALUE"""),"7")</f>
        <v>7</v>
      </c>
      <c r="K3991" s="6" t="str">
        <f>IFERROR(__xludf.DUMMYFUNCTION("""COMPUTED_VALUE"""),"erianna.baker@2hourlearning.com")</f>
        <v>erianna.baker@2hourlearning.com</v>
      </c>
      <c r="L3991" s="6" t="str">
        <f>IFERROR(__xludf.DUMMYFUNCTION("""COMPUTED_VALUE"""),"Metro Schools")</f>
        <v>Metro Schools</v>
      </c>
      <c r="M3991" s="6" t="str">
        <f>IFERROR(__xludf.DUMMYFUNCTION("""COMPUTED_VALUE"""),"")</f>
        <v/>
      </c>
      <c r="N3991" s="6" t="str">
        <f>IFERROR(__xludf.DUMMYFUNCTION("""COMPUTED_VALUE"""),"")</f>
        <v/>
      </c>
      <c r="O3991" s="87" t="str">
        <f>IFERROR(__xludf.DUMMYFUNCTION("""COMPUTED_VALUE"""),"https://drive.google.com/drive/folders/10T2cTQHqEJZqE-st6uFKPoI?usp=share_link")</f>
        <v>https://drive.google.com/drive/folders/10T2cTQHqEJZqE-st6uFKPoI?usp=share_link</v>
      </c>
      <c r="P3991" s="6" t="str">
        <f>IFERROR(__xludf.DUMMYFUNCTION("""COMPUTED_VALUE"""),"Erianna Baker")</f>
        <v>Erianna Baker</v>
      </c>
      <c r="Q3991" s="6" t="str">
        <f>IFERROR(__xludf.DUMMYFUNCTION("""COMPUTED_VALUE"""),"MS")</f>
        <v>MS</v>
      </c>
      <c r="R3991" s="6">
        <f>IFERROR(__xludf.DUMMYFUNCTION("""COMPUTED_VALUE"""),0.0)</f>
        <v>0</v>
      </c>
      <c r="S3991" s="6" t="str">
        <f>IFERROR(__xludf.DUMMYFUNCTION("""COMPUTED_VALUE"""),"Kimberly Ball")</f>
        <v>Kimberly Ball</v>
      </c>
      <c r="T3991" s="6" t="str">
        <f>IFERROR(__xludf.DUMMYFUNCTION("""COMPUTED_VALUE"""),"kimberly.ball@studient.com")</f>
        <v>kimberly.ball@studient.com</v>
      </c>
      <c r="U3991" s="6" t="str">
        <f>IFERROR(__xludf.DUMMYFUNCTION("""COMPUTED_VALUE"""),"7")</f>
        <v>7</v>
      </c>
      <c r="V3991" s="6" t="str">
        <f>IFERROR(__xludf.DUMMYFUNCTION("""COMPUTED_VALUE"""),"")</f>
        <v/>
      </c>
      <c r="W3991" s="6" t="str">
        <f>IFERROR(__xludf.DUMMYFUNCTION("""COMPUTED_VALUE"""),"[]")</f>
        <v>[]</v>
      </c>
      <c r="X3991" s="6" t="str">
        <f>IFERROR(__xludf.DUMMYFUNCTION("""COMPUTED_VALUE"""),"Enrolled")</f>
        <v>Enrolled</v>
      </c>
    </row>
    <row r="3992">
      <c r="A3992" s="6" t="str">
        <f>IFERROR(__xludf.DUMMYFUNCTION("""COMPUTED_VALUE"""),"079-10466")</f>
        <v>079-10466</v>
      </c>
      <c r="B3992" s="6" t="str">
        <f>IFERROR(__xludf.DUMMYFUNCTION("""COMPUTED_VALUE"""),"79")</f>
        <v>79</v>
      </c>
      <c r="C3992" s="6" t="str">
        <f>IFERROR(__xludf.DUMMYFUNCTION("""COMPUTED_VALUE"""),"10466")</f>
        <v>10466</v>
      </c>
      <c r="D3992" s="6" t="str">
        <f>IFERROR(__xludf.DUMMYFUNCTION("""COMPUTED_VALUE"""),"Desiree")</f>
        <v>Desiree</v>
      </c>
      <c r="E3992" s="6" t="str">
        <f>IFERROR(__xludf.DUMMYFUNCTION("""COMPUTED_VALUE"""),"")</f>
        <v/>
      </c>
      <c r="F3992" s="6" t="str">
        <f>IFERROR(__xludf.DUMMYFUNCTION("""COMPUTED_VALUE"""),"Bautista-Padilla")</f>
        <v>Bautista-Padilla</v>
      </c>
      <c r="G3992" s="6" t="str">
        <f>IFERROR(__xludf.DUMMYFUNCTION("""COMPUTED_VALUE"""),"09/06/2011")</f>
        <v>09/06/2011</v>
      </c>
      <c r="H3992" s="6" t="str">
        <f>IFERROR(__xludf.DUMMYFUNCTION("""COMPUTED_VALUE"""),"female")</f>
        <v>female</v>
      </c>
      <c r="I3992" s="6" t="str">
        <f>IFERROR(__xludf.DUMMYFUNCTION("""COMPUTED_VALUE"""),"High School")</f>
        <v>High School</v>
      </c>
      <c r="J3992" s="6" t="str">
        <f>IFERROR(__xludf.DUMMYFUNCTION("""COMPUTED_VALUE"""),"9")</f>
        <v>9</v>
      </c>
      <c r="K3992" s="6" t="str">
        <f>IFERROR(__xludf.DUMMYFUNCTION("""COMPUTED_VALUE"""),"desiree.bautista-padilla@2hourlearning.com")</f>
        <v>desiree.bautista-padilla@2hourlearning.com</v>
      </c>
      <c r="L3992" s="6" t="str">
        <f>IFERROR(__xludf.DUMMYFUNCTION("""COMPUTED_VALUE"""),"Metro Schools")</f>
        <v>Metro Schools</v>
      </c>
      <c r="M3992" s="6" t="str">
        <f>IFERROR(__xludf.DUMMYFUNCTION("""COMPUTED_VALUE"""),"")</f>
        <v/>
      </c>
      <c r="N3992" s="6" t="str">
        <f>IFERROR(__xludf.DUMMYFUNCTION("""COMPUTED_VALUE"""),"")</f>
        <v/>
      </c>
      <c r="O3992" s="87" t="str">
        <f>IFERROR(__xludf.DUMMYFUNCTION("""COMPUTED_VALUE"""),"https://drive.google.com/drive/folders/10T2cTQHqEJZqE-st6uFKPoI?usp=share_link")</f>
        <v>https://drive.google.com/drive/folders/10T2cTQHqEJZqE-st6uFKPoI?usp=share_link</v>
      </c>
      <c r="P3992" s="6" t="str">
        <f>IFERROR(__xludf.DUMMYFUNCTION("""COMPUTED_VALUE"""),"Desiree Bautista-Padilla")</f>
        <v>Desiree Bautista-Padilla</v>
      </c>
      <c r="Q3992" s="6" t="str">
        <f>IFERROR(__xludf.DUMMYFUNCTION("""COMPUTED_VALUE"""),"HS")</f>
        <v>HS</v>
      </c>
      <c r="R3992" s="6">
        <f>IFERROR(__xludf.DUMMYFUNCTION("""COMPUTED_VALUE"""),0.0)</f>
        <v>0</v>
      </c>
      <c r="S3992" s="6" t="str">
        <f>IFERROR(__xludf.DUMMYFUNCTION("""COMPUTED_VALUE"""),"Kimberly Ball")</f>
        <v>Kimberly Ball</v>
      </c>
      <c r="T3992" s="6" t="str">
        <f>IFERROR(__xludf.DUMMYFUNCTION("""COMPUTED_VALUE"""),"kimberly.ball@studient.com")</f>
        <v>kimberly.ball@studient.com</v>
      </c>
      <c r="U3992" s="6" t="str">
        <f>IFERROR(__xludf.DUMMYFUNCTION("""COMPUTED_VALUE"""),"9")</f>
        <v>9</v>
      </c>
      <c r="V3992" s="6" t="str">
        <f>IFERROR(__xludf.DUMMYFUNCTION("""COMPUTED_VALUE"""),"")</f>
        <v/>
      </c>
      <c r="W3992" s="6" t="str">
        <f>IFERROR(__xludf.DUMMYFUNCTION("""COMPUTED_VALUE"""),"[]")</f>
        <v>[]</v>
      </c>
      <c r="X3992" s="6" t="str">
        <f>IFERROR(__xludf.DUMMYFUNCTION("""COMPUTED_VALUE"""),"Enrolled")</f>
        <v>Enrolled</v>
      </c>
    </row>
    <row r="3993">
      <c r="A3993" s="6" t="str">
        <f>IFERROR(__xludf.DUMMYFUNCTION("""COMPUTED_VALUE"""),"079-10467")</f>
        <v>079-10467</v>
      </c>
      <c r="B3993" s="6" t="str">
        <f>IFERROR(__xludf.DUMMYFUNCTION("""COMPUTED_VALUE"""),"79")</f>
        <v>79</v>
      </c>
      <c r="C3993" s="6" t="str">
        <f>IFERROR(__xludf.DUMMYFUNCTION("""COMPUTED_VALUE"""),"10467")</f>
        <v>10467</v>
      </c>
      <c r="D3993" s="6" t="str">
        <f>IFERROR(__xludf.DUMMYFUNCTION("""COMPUTED_VALUE"""),"Ryan")</f>
        <v>Ryan</v>
      </c>
      <c r="E3993" s="6" t="str">
        <f>IFERROR(__xludf.DUMMYFUNCTION("""COMPUTED_VALUE"""),"")</f>
        <v/>
      </c>
      <c r="F3993" s="6" t="str">
        <f>IFERROR(__xludf.DUMMYFUNCTION("""COMPUTED_VALUE"""),"Belcher")</f>
        <v>Belcher</v>
      </c>
      <c r="G3993" s="6" t="str">
        <f>IFERROR(__xludf.DUMMYFUNCTION("""COMPUTED_VALUE"""),"07/15/2010")</f>
        <v>07/15/2010</v>
      </c>
      <c r="H3993" s="6" t="str">
        <f>IFERROR(__xludf.DUMMYFUNCTION("""COMPUTED_VALUE"""),"male")</f>
        <v>male</v>
      </c>
      <c r="I3993" s="6" t="str">
        <f>IFERROR(__xludf.DUMMYFUNCTION("""COMPUTED_VALUE"""),"High School")</f>
        <v>High School</v>
      </c>
      <c r="J3993" s="6" t="str">
        <f>IFERROR(__xludf.DUMMYFUNCTION("""COMPUTED_VALUE"""),"10")</f>
        <v>10</v>
      </c>
      <c r="K3993" s="6" t="str">
        <f>IFERROR(__xludf.DUMMYFUNCTION("""COMPUTED_VALUE"""),"ryan.belcher@2hourlearning.com")</f>
        <v>ryan.belcher@2hourlearning.com</v>
      </c>
      <c r="L3993" s="6" t="str">
        <f>IFERROR(__xludf.DUMMYFUNCTION("""COMPUTED_VALUE"""),"Metro Schools")</f>
        <v>Metro Schools</v>
      </c>
      <c r="M3993" s="6" t="str">
        <f>IFERROR(__xludf.DUMMYFUNCTION("""COMPUTED_VALUE"""),"")</f>
        <v/>
      </c>
      <c r="N3993" s="6" t="str">
        <f>IFERROR(__xludf.DUMMYFUNCTION("""COMPUTED_VALUE"""),"")</f>
        <v/>
      </c>
      <c r="O3993" s="87" t="str">
        <f>IFERROR(__xludf.DUMMYFUNCTION("""COMPUTED_VALUE"""),"https://drive.google.com/drive/folders/10T2cTQHqEJZqE-st6uFKPoI?usp=share_link")</f>
        <v>https://drive.google.com/drive/folders/10T2cTQHqEJZqE-st6uFKPoI?usp=share_link</v>
      </c>
      <c r="P3993" s="6" t="str">
        <f>IFERROR(__xludf.DUMMYFUNCTION("""COMPUTED_VALUE"""),"Ryan Belcher")</f>
        <v>Ryan Belcher</v>
      </c>
      <c r="Q3993" s="6" t="str">
        <f>IFERROR(__xludf.DUMMYFUNCTION("""COMPUTED_VALUE"""),"HS")</f>
        <v>HS</v>
      </c>
      <c r="R3993" s="6">
        <f>IFERROR(__xludf.DUMMYFUNCTION("""COMPUTED_VALUE"""),0.0)</f>
        <v>0</v>
      </c>
      <c r="S3993" s="6" t="str">
        <f>IFERROR(__xludf.DUMMYFUNCTION("""COMPUTED_VALUE"""),"Kimberly Ball")</f>
        <v>Kimberly Ball</v>
      </c>
      <c r="T3993" s="6" t="str">
        <f>IFERROR(__xludf.DUMMYFUNCTION("""COMPUTED_VALUE"""),"kimberly.ball@studient.com")</f>
        <v>kimberly.ball@studient.com</v>
      </c>
      <c r="U3993" s="6" t="str">
        <f>IFERROR(__xludf.DUMMYFUNCTION("""COMPUTED_VALUE"""),"10")</f>
        <v>10</v>
      </c>
      <c r="V3993" s="6" t="str">
        <f>IFERROR(__xludf.DUMMYFUNCTION("""COMPUTED_VALUE"""),"")</f>
        <v/>
      </c>
      <c r="W3993" s="6" t="str">
        <f>IFERROR(__xludf.DUMMYFUNCTION("""COMPUTED_VALUE"""),"[]")</f>
        <v>[]</v>
      </c>
      <c r="X3993" s="6" t="str">
        <f>IFERROR(__xludf.DUMMYFUNCTION("""COMPUTED_VALUE"""),"Enrolled")</f>
        <v>Enrolled</v>
      </c>
    </row>
    <row r="3994">
      <c r="A3994" s="6" t="str">
        <f>IFERROR(__xludf.DUMMYFUNCTION("""COMPUTED_VALUE"""),"079-10468")</f>
        <v>079-10468</v>
      </c>
      <c r="B3994" s="6" t="str">
        <f>IFERROR(__xludf.DUMMYFUNCTION("""COMPUTED_VALUE"""),"79")</f>
        <v>79</v>
      </c>
      <c r="C3994" s="6" t="str">
        <f>IFERROR(__xludf.DUMMYFUNCTION("""COMPUTED_VALUE"""),"10468")</f>
        <v>10468</v>
      </c>
      <c r="D3994" s="6" t="str">
        <f>IFERROR(__xludf.DUMMYFUNCTION("""COMPUTED_VALUE"""),"Riley")</f>
        <v>Riley</v>
      </c>
      <c r="E3994" s="6" t="str">
        <f>IFERROR(__xludf.DUMMYFUNCTION("""COMPUTED_VALUE"""),"")</f>
        <v/>
      </c>
      <c r="F3994" s="6" t="str">
        <f>IFERROR(__xludf.DUMMYFUNCTION("""COMPUTED_VALUE"""),"Boone")</f>
        <v>Boone</v>
      </c>
      <c r="G3994" s="6" t="str">
        <f>IFERROR(__xludf.DUMMYFUNCTION("""COMPUTED_VALUE"""),"01/05/2011")</f>
        <v>01/05/2011</v>
      </c>
      <c r="H3994" s="6" t="str">
        <f>IFERROR(__xludf.DUMMYFUNCTION("""COMPUTED_VALUE"""),"male")</f>
        <v>male</v>
      </c>
      <c r="I3994" s="6" t="str">
        <f>IFERROR(__xludf.DUMMYFUNCTION("""COMPUTED_VALUE"""),"High School")</f>
        <v>High School</v>
      </c>
      <c r="J3994" s="6" t="str">
        <f>IFERROR(__xludf.DUMMYFUNCTION("""COMPUTED_VALUE"""),"9")</f>
        <v>9</v>
      </c>
      <c r="K3994" s="6" t="str">
        <f>IFERROR(__xludf.DUMMYFUNCTION("""COMPUTED_VALUE"""),"riley.boone@2hourlearning.com")</f>
        <v>riley.boone@2hourlearning.com</v>
      </c>
      <c r="L3994" s="6" t="str">
        <f>IFERROR(__xludf.DUMMYFUNCTION("""COMPUTED_VALUE"""),"Metro Schools")</f>
        <v>Metro Schools</v>
      </c>
      <c r="M3994" s="6" t="str">
        <f>IFERROR(__xludf.DUMMYFUNCTION("""COMPUTED_VALUE"""),"")</f>
        <v/>
      </c>
      <c r="N3994" s="6" t="str">
        <f>IFERROR(__xludf.DUMMYFUNCTION("""COMPUTED_VALUE"""),"")</f>
        <v/>
      </c>
      <c r="O3994" s="87" t="str">
        <f>IFERROR(__xludf.DUMMYFUNCTION("""COMPUTED_VALUE"""),"https://drive.google.com/drive/folders/10T2cTQHqEJZqE-st6uFKPoI?usp=share_link")</f>
        <v>https://drive.google.com/drive/folders/10T2cTQHqEJZqE-st6uFKPoI?usp=share_link</v>
      </c>
      <c r="P3994" s="6" t="str">
        <f>IFERROR(__xludf.DUMMYFUNCTION("""COMPUTED_VALUE"""),"Riley Boone")</f>
        <v>Riley Boone</v>
      </c>
      <c r="Q3994" s="6" t="str">
        <f>IFERROR(__xludf.DUMMYFUNCTION("""COMPUTED_VALUE"""),"HS")</f>
        <v>HS</v>
      </c>
      <c r="R3994" s="6">
        <f>IFERROR(__xludf.DUMMYFUNCTION("""COMPUTED_VALUE"""),0.0)</f>
        <v>0</v>
      </c>
      <c r="S3994" s="6" t="str">
        <f>IFERROR(__xludf.DUMMYFUNCTION("""COMPUTED_VALUE"""),"Kimberly Ball")</f>
        <v>Kimberly Ball</v>
      </c>
      <c r="T3994" s="6" t="str">
        <f>IFERROR(__xludf.DUMMYFUNCTION("""COMPUTED_VALUE"""),"kimberly.ball@studient.com")</f>
        <v>kimberly.ball@studient.com</v>
      </c>
      <c r="U3994" s="6" t="str">
        <f>IFERROR(__xludf.DUMMYFUNCTION("""COMPUTED_VALUE"""),"9")</f>
        <v>9</v>
      </c>
      <c r="V3994" s="6" t="str">
        <f>IFERROR(__xludf.DUMMYFUNCTION("""COMPUTED_VALUE"""),"")</f>
        <v/>
      </c>
      <c r="W3994" s="6" t="str">
        <f>IFERROR(__xludf.DUMMYFUNCTION("""COMPUTED_VALUE"""),"[]")</f>
        <v>[]</v>
      </c>
      <c r="X3994" s="6" t="str">
        <f>IFERROR(__xludf.DUMMYFUNCTION("""COMPUTED_VALUE"""),"Enrolled")</f>
        <v>Enrolled</v>
      </c>
    </row>
    <row r="3995">
      <c r="A3995" s="6" t="str">
        <f>IFERROR(__xludf.DUMMYFUNCTION("""COMPUTED_VALUE"""),"079-10469")</f>
        <v>079-10469</v>
      </c>
      <c r="B3995" s="6" t="str">
        <f>IFERROR(__xludf.DUMMYFUNCTION("""COMPUTED_VALUE"""),"79")</f>
        <v>79</v>
      </c>
      <c r="C3995" s="6" t="str">
        <f>IFERROR(__xludf.DUMMYFUNCTION("""COMPUTED_VALUE"""),"10469")</f>
        <v>10469</v>
      </c>
      <c r="D3995" s="6" t="str">
        <f>IFERROR(__xludf.DUMMYFUNCTION("""COMPUTED_VALUE"""),"Lillian")</f>
        <v>Lillian</v>
      </c>
      <c r="E3995" s="6" t="str">
        <f>IFERROR(__xludf.DUMMYFUNCTION("""COMPUTED_VALUE"""),"")</f>
        <v/>
      </c>
      <c r="F3995" s="6" t="str">
        <f>IFERROR(__xludf.DUMMYFUNCTION("""COMPUTED_VALUE"""),"Brandon")</f>
        <v>Brandon</v>
      </c>
      <c r="G3995" s="6" t="str">
        <f>IFERROR(__xludf.DUMMYFUNCTION("""COMPUTED_VALUE"""),"06/27/2013")</f>
        <v>06/27/2013</v>
      </c>
      <c r="H3995" s="6" t="str">
        <f>IFERROR(__xludf.DUMMYFUNCTION("""COMPUTED_VALUE"""),"female")</f>
        <v>female</v>
      </c>
      <c r="I3995" s="6" t="str">
        <f>IFERROR(__xludf.DUMMYFUNCTION("""COMPUTED_VALUE"""),"Middle School")</f>
        <v>Middle School</v>
      </c>
      <c r="J3995" s="6" t="str">
        <f>IFERROR(__xludf.DUMMYFUNCTION("""COMPUTED_VALUE"""),"7")</f>
        <v>7</v>
      </c>
      <c r="K3995" s="6" t="str">
        <f>IFERROR(__xludf.DUMMYFUNCTION("""COMPUTED_VALUE"""),"lillian.brandon@2hourlearning.com")</f>
        <v>lillian.brandon@2hourlearning.com</v>
      </c>
      <c r="L3995" s="6" t="str">
        <f>IFERROR(__xludf.DUMMYFUNCTION("""COMPUTED_VALUE"""),"Metro Schools")</f>
        <v>Metro Schools</v>
      </c>
      <c r="M3995" s="6" t="str">
        <f>IFERROR(__xludf.DUMMYFUNCTION("""COMPUTED_VALUE"""),"")</f>
        <v/>
      </c>
      <c r="N3995" s="6" t="str">
        <f>IFERROR(__xludf.DUMMYFUNCTION("""COMPUTED_VALUE"""),"")</f>
        <v/>
      </c>
      <c r="O3995" s="87" t="str">
        <f>IFERROR(__xludf.DUMMYFUNCTION("""COMPUTED_VALUE"""),"https://drive.google.com/drive/folders/10T2cTQHqEJZqE-st6uFKPoI?usp=share_link")</f>
        <v>https://drive.google.com/drive/folders/10T2cTQHqEJZqE-st6uFKPoI?usp=share_link</v>
      </c>
      <c r="P3995" s="6" t="str">
        <f>IFERROR(__xludf.DUMMYFUNCTION("""COMPUTED_VALUE"""),"Lillian Brandon")</f>
        <v>Lillian Brandon</v>
      </c>
      <c r="Q3995" s="6" t="str">
        <f>IFERROR(__xludf.DUMMYFUNCTION("""COMPUTED_VALUE"""),"MS")</f>
        <v>MS</v>
      </c>
      <c r="R3995" s="6">
        <f>IFERROR(__xludf.DUMMYFUNCTION("""COMPUTED_VALUE"""),0.0)</f>
        <v>0</v>
      </c>
      <c r="S3995" s="6" t="str">
        <f>IFERROR(__xludf.DUMMYFUNCTION("""COMPUTED_VALUE"""),"Kimberly Ball")</f>
        <v>Kimberly Ball</v>
      </c>
      <c r="T3995" s="6" t="str">
        <f>IFERROR(__xludf.DUMMYFUNCTION("""COMPUTED_VALUE"""),"kimberly.ball@studient.com")</f>
        <v>kimberly.ball@studient.com</v>
      </c>
      <c r="U3995" s="6" t="str">
        <f>IFERROR(__xludf.DUMMYFUNCTION("""COMPUTED_VALUE"""),"7")</f>
        <v>7</v>
      </c>
      <c r="V3995" s="6" t="str">
        <f>IFERROR(__xludf.DUMMYFUNCTION("""COMPUTED_VALUE"""),"")</f>
        <v/>
      </c>
      <c r="W3995" s="6" t="str">
        <f>IFERROR(__xludf.DUMMYFUNCTION("""COMPUTED_VALUE"""),"[]")</f>
        <v>[]</v>
      </c>
      <c r="X3995" s="6" t="str">
        <f>IFERROR(__xludf.DUMMYFUNCTION("""COMPUTED_VALUE"""),"Enrolled")</f>
        <v>Enrolled</v>
      </c>
    </row>
    <row r="3996">
      <c r="A3996" s="6" t="str">
        <f>IFERROR(__xludf.DUMMYFUNCTION("""COMPUTED_VALUE"""),"079-10470")</f>
        <v>079-10470</v>
      </c>
      <c r="B3996" s="6" t="str">
        <f>IFERROR(__xludf.DUMMYFUNCTION("""COMPUTED_VALUE"""),"79")</f>
        <v>79</v>
      </c>
      <c r="C3996" s="6" t="str">
        <f>IFERROR(__xludf.DUMMYFUNCTION("""COMPUTED_VALUE"""),"10470")</f>
        <v>10470</v>
      </c>
      <c r="D3996" s="6" t="str">
        <f>IFERROR(__xludf.DUMMYFUNCTION("""COMPUTED_VALUE"""),"Gael")</f>
        <v>Gael</v>
      </c>
      <c r="E3996" s="6" t="str">
        <f>IFERROR(__xludf.DUMMYFUNCTION("""COMPUTED_VALUE"""),"")</f>
        <v/>
      </c>
      <c r="F3996" s="6" t="str">
        <f>IFERROR(__xludf.DUMMYFUNCTION("""COMPUTED_VALUE"""),"Carrillo Ordonez")</f>
        <v>Carrillo Ordonez</v>
      </c>
      <c r="G3996" s="6" t="str">
        <f>IFERROR(__xludf.DUMMYFUNCTION("""COMPUTED_VALUE"""),"03/28/2012")</f>
        <v>03/28/2012</v>
      </c>
      <c r="H3996" s="6" t="str">
        <f>IFERROR(__xludf.DUMMYFUNCTION("""COMPUTED_VALUE"""),"male")</f>
        <v>male</v>
      </c>
      <c r="I3996" s="6" t="str">
        <f>IFERROR(__xludf.DUMMYFUNCTION("""COMPUTED_VALUE"""),"Middle School")</f>
        <v>Middle School</v>
      </c>
      <c r="J3996" s="6" t="str">
        <f>IFERROR(__xludf.DUMMYFUNCTION("""COMPUTED_VALUE"""),"8")</f>
        <v>8</v>
      </c>
      <c r="K3996" s="6" t="str">
        <f>IFERROR(__xludf.DUMMYFUNCTION("""COMPUTED_VALUE"""),"gael.carrillo.ordonez@2hourlearning.com")</f>
        <v>gael.carrillo.ordonez@2hourlearning.com</v>
      </c>
      <c r="L3996" s="6" t="str">
        <f>IFERROR(__xludf.DUMMYFUNCTION("""COMPUTED_VALUE"""),"Metro Schools")</f>
        <v>Metro Schools</v>
      </c>
      <c r="M3996" s="6" t="str">
        <f>IFERROR(__xludf.DUMMYFUNCTION("""COMPUTED_VALUE"""),"")</f>
        <v/>
      </c>
      <c r="N3996" s="6" t="str">
        <f>IFERROR(__xludf.DUMMYFUNCTION("""COMPUTED_VALUE"""),"")</f>
        <v/>
      </c>
      <c r="O3996" s="87" t="str">
        <f>IFERROR(__xludf.DUMMYFUNCTION("""COMPUTED_VALUE"""),"https://drive.google.com/drive/folders/10T2cTQHqEJZqE-st6uFKPoI?usp=share_link")</f>
        <v>https://drive.google.com/drive/folders/10T2cTQHqEJZqE-st6uFKPoI?usp=share_link</v>
      </c>
      <c r="P3996" s="6" t="str">
        <f>IFERROR(__xludf.DUMMYFUNCTION("""COMPUTED_VALUE"""),"Gael Carrillo Ordonez")</f>
        <v>Gael Carrillo Ordonez</v>
      </c>
      <c r="Q3996" s="6" t="str">
        <f>IFERROR(__xludf.DUMMYFUNCTION("""COMPUTED_VALUE"""),"MS")</f>
        <v>MS</v>
      </c>
      <c r="R3996" s="6">
        <f>IFERROR(__xludf.DUMMYFUNCTION("""COMPUTED_VALUE"""),0.0)</f>
        <v>0</v>
      </c>
      <c r="S3996" s="6" t="str">
        <f>IFERROR(__xludf.DUMMYFUNCTION("""COMPUTED_VALUE"""),"Kimberly Ball")</f>
        <v>Kimberly Ball</v>
      </c>
      <c r="T3996" s="6" t="str">
        <f>IFERROR(__xludf.DUMMYFUNCTION("""COMPUTED_VALUE"""),"kimberly.ball@studient.com")</f>
        <v>kimberly.ball@studient.com</v>
      </c>
      <c r="U3996" s="6" t="str">
        <f>IFERROR(__xludf.DUMMYFUNCTION("""COMPUTED_VALUE"""),"8")</f>
        <v>8</v>
      </c>
      <c r="V3996" s="6" t="str">
        <f>IFERROR(__xludf.DUMMYFUNCTION("""COMPUTED_VALUE"""),"")</f>
        <v/>
      </c>
      <c r="W3996" s="6" t="str">
        <f>IFERROR(__xludf.DUMMYFUNCTION("""COMPUTED_VALUE"""),"[]")</f>
        <v>[]</v>
      </c>
      <c r="X3996" s="6" t="str">
        <f>IFERROR(__xludf.DUMMYFUNCTION("""COMPUTED_VALUE"""),"Enrolled")</f>
        <v>Enrolled</v>
      </c>
    </row>
    <row r="3997">
      <c r="A3997" s="6" t="str">
        <f>IFERROR(__xludf.DUMMYFUNCTION("""COMPUTED_VALUE"""),"079-10471")</f>
        <v>079-10471</v>
      </c>
      <c r="B3997" s="6" t="str">
        <f>IFERROR(__xludf.DUMMYFUNCTION("""COMPUTED_VALUE"""),"79")</f>
        <v>79</v>
      </c>
      <c r="C3997" s="6" t="str">
        <f>IFERROR(__xludf.DUMMYFUNCTION("""COMPUTED_VALUE"""),"10471")</f>
        <v>10471</v>
      </c>
      <c r="D3997" s="6" t="str">
        <f>IFERROR(__xludf.DUMMYFUNCTION("""COMPUTED_VALUE"""),"Renato")</f>
        <v>Renato</v>
      </c>
      <c r="E3997" s="6" t="str">
        <f>IFERROR(__xludf.DUMMYFUNCTION("""COMPUTED_VALUE"""),"")</f>
        <v/>
      </c>
      <c r="F3997" s="6" t="str">
        <f>IFERROR(__xludf.DUMMYFUNCTION("""COMPUTED_VALUE"""),"Caudillo")</f>
        <v>Caudillo</v>
      </c>
      <c r="G3997" s="6" t="str">
        <f>IFERROR(__xludf.DUMMYFUNCTION("""COMPUTED_VALUE"""),"03/11/2013")</f>
        <v>03/11/2013</v>
      </c>
      <c r="H3997" s="6" t="str">
        <f>IFERROR(__xludf.DUMMYFUNCTION("""COMPUTED_VALUE"""),"male")</f>
        <v>male</v>
      </c>
      <c r="I3997" s="6" t="str">
        <f>IFERROR(__xludf.DUMMYFUNCTION("""COMPUTED_VALUE"""),"Middle School")</f>
        <v>Middle School</v>
      </c>
      <c r="J3997" s="6" t="str">
        <f>IFERROR(__xludf.DUMMYFUNCTION("""COMPUTED_VALUE"""),"7")</f>
        <v>7</v>
      </c>
      <c r="K3997" s="6" t="str">
        <f>IFERROR(__xludf.DUMMYFUNCTION("""COMPUTED_VALUE"""),"renato.caudillo@2hourlearning.com")</f>
        <v>renato.caudillo@2hourlearning.com</v>
      </c>
      <c r="L3997" s="6" t="str">
        <f>IFERROR(__xludf.DUMMYFUNCTION("""COMPUTED_VALUE"""),"Metro Schools")</f>
        <v>Metro Schools</v>
      </c>
      <c r="M3997" s="6" t="str">
        <f>IFERROR(__xludf.DUMMYFUNCTION("""COMPUTED_VALUE"""),"")</f>
        <v/>
      </c>
      <c r="N3997" s="6" t="str">
        <f>IFERROR(__xludf.DUMMYFUNCTION("""COMPUTED_VALUE"""),"")</f>
        <v/>
      </c>
      <c r="O3997" s="87" t="str">
        <f>IFERROR(__xludf.DUMMYFUNCTION("""COMPUTED_VALUE"""),"https://drive.google.com/drive/folders/10T2cTQHqEJZqE-st6uFKPoI?usp=share_link")</f>
        <v>https://drive.google.com/drive/folders/10T2cTQHqEJZqE-st6uFKPoI?usp=share_link</v>
      </c>
      <c r="P3997" s="6" t="str">
        <f>IFERROR(__xludf.DUMMYFUNCTION("""COMPUTED_VALUE"""),"Renato Caudillo")</f>
        <v>Renato Caudillo</v>
      </c>
      <c r="Q3997" s="6" t="str">
        <f>IFERROR(__xludf.DUMMYFUNCTION("""COMPUTED_VALUE"""),"MS")</f>
        <v>MS</v>
      </c>
      <c r="R3997" s="6">
        <f>IFERROR(__xludf.DUMMYFUNCTION("""COMPUTED_VALUE"""),0.0)</f>
        <v>0</v>
      </c>
      <c r="S3997" s="6" t="str">
        <f>IFERROR(__xludf.DUMMYFUNCTION("""COMPUTED_VALUE"""),"Kimberly Ball")</f>
        <v>Kimberly Ball</v>
      </c>
      <c r="T3997" s="6" t="str">
        <f>IFERROR(__xludf.DUMMYFUNCTION("""COMPUTED_VALUE"""),"kimberly.ball@studient.com")</f>
        <v>kimberly.ball@studient.com</v>
      </c>
      <c r="U3997" s="6" t="str">
        <f>IFERROR(__xludf.DUMMYFUNCTION("""COMPUTED_VALUE"""),"7")</f>
        <v>7</v>
      </c>
      <c r="V3997" s="6" t="str">
        <f>IFERROR(__xludf.DUMMYFUNCTION("""COMPUTED_VALUE"""),"")</f>
        <v/>
      </c>
      <c r="W3997" s="6" t="str">
        <f>IFERROR(__xludf.DUMMYFUNCTION("""COMPUTED_VALUE"""),"[]")</f>
        <v>[]</v>
      </c>
      <c r="X3997" s="6" t="str">
        <f>IFERROR(__xludf.DUMMYFUNCTION("""COMPUTED_VALUE"""),"Enrolled")</f>
        <v>Enrolled</v>
      </c>
    </row>
    <row r="3998">
      <c r="A3998" s="6" t="str">
        <f>IFERROR(__xludf.DUMMYFUNCTION("""COMPUTED_VALUE"""),"079-10472")</f>
        <v>079-10472</v>
      </c>
      <c r="B3998" s="6" t="str">
        <f>IFERROR(__xludf.DUMMYFUNCTION("""COMPUTED_VALUE"""),"79")</f>
        <v>79</v>
      </c>
      <c r="C3998" s="6" t="str">
        <f>IFERROR(__xludf.DUMMYFUNCTION("""COMPUTED_VALUE"""),"10472")</f>
        <v>10472</v>
      </c>
      <c r="D3998" s="6" t="str">
        <f>IFERROR(__xludf.DUMMYFUNCTION("""COMPUTED_VALUE"""),"Chiazam")</f>
        <v>Chiazam</v>
      </c>
      <c r="E3998" s="6" t="str">
        <f>IFERROR(__xludf.DUMMYFUNCTION("""COMPUTED_VALUE"""),"")</f>
        <v/>
      </c>
      <c r="F3998" s="6" t="str">
        <f>IFERROR(__xludf.DUMMYFUNCTION("""COMPUTED_VALUE"""),"Chudi-Nwankwor")</f>
        <v>Chudi-Nwankwor</v>
      </c>
      <c r="G3998" s="6" t="str">
        <f>IFERROR(__xludf.DUMMYFUNCTION("""COMPUTED_VALUE"""),"11/10/2014")</f>
        <v>11/10/2014</v>
      </c>
      <c r="H3998" s="6" t="str">
        <f>IFERROR(__xludf.DUMMYFUNCTION("""COMPUTED_VALUE"""),"female")</f>
        <v>female</v>
      </c>
      <c r="I3998" s="6" t="str">
        <f>IFERROR(__xludf.DUMMYFUNCTION("""COMPUTED_VALUE"""),"Level 2")</f>
        <v>Level 2</v>
      </c>
      <c r="J3998" s="6" t="str">
        <f>IFERROR(__xludf.DUMMYFUNCTION("""COMPUTED_VALUE"""),"5")</f>
        <v>5</v>
      </c>
      <c r="K3998" s="6" t="str">
        <f>IFERROR(__xludf.DUMMYFUNCTION("""COMPUTED_VALUE"""),"chiazam.chudi-nwankwor@2hourlearning.com")</f>
        <v>chiazam.chudi-nwankwor@2hourlearning.com</v>
      </c>
      <c r="L3998" s="6" t="str">
        <f>IFERROR(__xludf.DUMMYFUNCTION("""COMPUTED_VALUE"""),"Metro Schools")</f>
        <v>Metro Schools</v>
      </c>
      <c r="M3998" s="6" t="str">
        <f>IFERROR(__xludf.DUMMYFUNCTION("""COMPUTED_VALUE"""),"")</f>
        <v/>
      </c>
      <c r="N3998" s="6" t="str">
        <f>IFERROR(__xludf.DUMMYFUNCTION("""COMPUTED_VALUE"""),"")</f>
        <v/>
      </c>
      <c r="O3998" s="87" t="str">
        <f>IFERROR(__xludf.DUMMYFUNCTION("""COMPUTED_VALUE"""),"https://drive.google.com/drive/folders/10T2cTQHqEJZqE-st6uFKPoI?usp=share_link")</f>
        <v>https://drive.google.com/drive/folders/10T2cTQHqEJZqE-st6uFKPoI?usp=share_link</v>
      </c>
      <c r="P3998" s="6" t="str">
        <f>IFERROR(__xludf.DUMMYFUNCTION("""COMPUTED_VALUE"""),"Chiazam Chudi-Nwankwor")</f>
        <v>Chiazam Chudi-Nwankwor</v>
      </c>
      <c r="Q3998" s="6" t="str">
        <f>IFERROR(__xludf.DUMMYFUNCTION("""COMPUTED_VALUE"""),"L2")</f>
        <v>L2</v>
      </c>
      <c r="R3998" s="6">
        <f>IFERROR(__xludf.DUMMYFUNCTION("""COMPUTED_VALUE"""),2.0)</f>
        <v>2</v>
      </c>
      <c r="S3998" s="6" t="str">
        <f>IFERROR(__xludf.DUMMYFUNCTION("""COMPUTED_VALUE"""),"Kimberly Ball")</f>
        <v>Kimberly Ball</v>
      </c>
      <c r="T3998" s="6" t="str">
        <f>IFERROR(__xludf.DUMMYFUNCTION("""COMPUTED_VALUE"""),"kimberly.ball@studient.com")</f>
        <v>kimberly.ball@studient.com</v>
      </c>
      <c r="U3998" s="6" t="str">
        <f>IFERROR(__xludf.DUMMYFUNCTION("""COMPUTED_VALUE"""),"5")</f>
        <v>5</v>
      </c>
      <c r="V3998" s="6" t="str">
        <f>IFERROR(__xludf.DUMMYFUNCTION("""COMPUTED_VALUE"""),"")</f>
        <v/>
      </c>
      <c r="W3998" s="6" t="str">
        <f>IFERROR(__xludf.DUMMYFUNCTION("""COMPUTED_VALUE"""),"[]")</f>
        <v>[]</v>
      </c>
      <c r="X3998" s="6" t="str">
        <f>IFERROR(__xludf.DUMMYFUNCTION("""COMPUTED_VALUE"""),"Enrolled")</f>
        <v>Enrolled</v>
      </c>
    </row>
    <row r="3999">
      <c r="A3999" s="6" t="str">
        <f>IFERROR(__xludf.DUMMYFUNCTION("""COMPUTED_VALUE"""),"079-10473")</f>
        <v>079-10473</v>
      </c>
      <c r="B3999" s="6" t="str">
        <f>IFERROR(__xludf.DUMMYFUNCTION("""COMPUTED_VALUE"""),"79")</f>
        <v>79</v>
      </c>
      <c r="C3999" s="6" t="str">
        <f>IFERROR(__xludf.DUMMYFUNCTION("""COMPUTED_VALUE"""),"10473")</f>
        <v>10473</v>
      </c>
      <c r="D3999" s="6" t="str">
        <f>IFERROR(__xludf.DUMMYFUNCTION("""COMPUTED_VALUE"""),"Ashley")</f>
        <v>Ashley</v>
      </c>
      <c r="E3999" s="6" t="str">
        <f>IFERROR(__xludf.DUMMYFUNCTION("""COMPUTED_VALUE"""),"")</f>
        <v/>
      </c>
      <c r="F3999" s="6" t="str">
        <f>IFERROR(__xludf.DUMMYFUNCTION("""COMPUTED_VALUE"""),"Chun Mejia")</f>
        <v>Chun Mejia</v>
      </c>
      <c r="G3999" s="6" t="str">
        <f>IFERROR(__xludf.DUMMYFUNCTION("""COMPUTED_VALUE"""),"11/29/2013")</f>
        <v>11/29/2013</v>
      </c>
      <c r="H3999" s="6" t="str">
        <f>IFERROR(__xludf.DUMMYFUNCTION("""COMPUTED_VALUE"""),"female")</f>
        <v>female</v>
      </c>
      <c r="I3999" s="6" t="str">
        <f>IFERROR(__xludf.DUMMYFUNCTION("""COMPUTED_VALUE"""),"Middle School")</f>
        <v>Middle School</v>
      </c>
      <c r="J3999" s="6" t="str">
        <f>IFERROR(__xludf.DUMMYFUNCTION("""COMPUTED_VALUE"""),"6")</f>
        <v>6</v>
      </c>
      <c r="K3999" s="6" t="str">
        <f>IFERROR(__xludf.DUMMYFUNCTION("""COMPUTED_VALUE"""),"ashley.chun.mejia@2hourlearning.com")</f>
        <v>ashley.chun.mejia@2hourlearning.com</v>
      </c>
      <c r="L3999" s="6" t="str">
        <f>IFERROR(__xludf.DUMMYFUNCTION("""COMPUTED_VALUE"""),"Metro Schools")</f>
        <v>Metro Schools</v>
      </c>
      <c r="M3999" s="6" t="str">
        <f>IFERROR(__xludf.DUMMYFUNCTION("""COMPUTED_VALUE"""),"")</f>
        <v/>
      </c>
      <c r="N3999" s="6" t="str">
        <f>IFERROR(__xludf.DUMMYFUNCTION("""COMPUTED_VALUE"""),"")</f>
        <v/>
      </c>
      <c r="O3999" s="87" t="str">
        <f>IFERROR(__xludf.DUMMYFUNCTION("""COMPUTED_VALUE"""),"https://drive.google.com/drive/folders/10T2cTQHqEJZqE-st6uFKPoI?usp=share_link")</f>
        <v>https://drive.google.com/drive/folders/10T2cTQHqEJZqE-st6uFKPoI?usp=share_link</v>
      </c>
      <c r="P3999" s="6" t="str">
        <f>IFERROR(__xludf.DUMMYFUNCTION("""COMPUTED_VALUE"""),"Ashley Chun Mejia")</f>
        <v>Ashley Chun Mejia</v>
      </c>
      <c r="Q3999" s="6" t="str">
        <f>IFERROR(__xludf.DUMMYFUNCTION("""COMPUTED_VALUE"""),"MS")</f>
        <v>MS</v>
      </c>
      <c r="R3999" s="6">
        <f>IFERROR(__xludf.DUMMYFUNCTION("""COMPUTED_VALUE"""),0.0)</f>
        <v>0</v>
      </c>
      <c r="S3999" s="6" t="str">
        <f>IFERROR(__xludf.DUMMYFUNCTION("""COMPUTED_VALUE"""),"Kimberly Ball")</f>
        <v>Kimberly Ball</v>
      </c>
      <c r="T3999" s="6" t="str">
        <f>IFERROR(__xludf.DUMMYFUNCTION("""COMPUTED_VALUE"""),"kimberly.ball@studient.com")</f>
        <v>kimberly.ball@studient.com</v>
      </c>
      <c r="U3999" s="6" t="str">
        <f>IFERROR(__xludf.DUMMYFUNCTION("""COMPUTED_VALUE"""),"6")</f>
        <v>6</v>
      </c>
      <c r="V3999" s="6" t="str">
        <f>IFERROR(__xludf.DUMMYFUNCTION("""COMPUTED_VALUE"""),"")</f>
        <v/>
      </c>
      <c r="W3999" s="6" t="str">
        <f>IFERROR(__xludf.DUMMYFUNCTION("""COMPUTED_VALUE"""),"[]")</f>
        <v>[]</v>
      </c>
      <c r="X3999" s="6" t="str">
        <f>IFERROR(__xludf.DUMMYFUNCTION("""COMPUTED_VALUE"""),"Enrolled")</f>
        <v>Enrolled</v>
      </c>
    </row>
    <row r="4000">
      <c r="A4000" s="6" t="str">
        <f>IFERROR(__xludf.DUMMYFUNCTION("""COMPUTED_VALUE"""),"079-10474")</f>
        <v>079-10474</v>
      </c>
      <c r="B4000" s="6" t="str">
        <f>IFERROR(__xludf.DUMMYFUNCTION("""COMPUTED_VALUE"""),"79")</f>
        <v>79</v>
      </c>
      <c r="C4000" s="6" t="str">
        <f>IFERROR(__xludf.DUMMYFUNCTION("""COMPUTED_VALUE"""),"10474")</f>
        <v>10474</v>
      </c>
      <c r="D4000" s="6" t="str">
        <f>IFERROR(__xludf.DUMMYFUNCTION("""COMPUTED_VALUE"""),"Anthony")</f>
        <v>Anthony</v>
      </c>
      <c r="E4000" s="6" t="str">
        <f>IFERROR(__xludf.DUMMYFUNCTION("""COMPUTED_VALUE"""),"")</f>
        <v/>
      </c>
      <c r="F4000" s="6" t="str">
        <f>IFERROR(__xludf.DUMMYFUNCTION("""COMPUTED_VALUE"""),"Cremeans")</f>
        <v>Cremeans</v>
      </c>
      <c r="G4000" s="6" t="str">
        <f>IFERROR(__xludf.DUMMYFUNCTION("""COMPUTED_VALUE"""),"12/21/2013")</f>
        <v>12/21/2013</v>
      </c>
      <c r="H4000" s="6" t="str">
        <f>IFERROR(__xludf.DUMMYFUNCTION("""COMPUTED_VALUE"""),"male")</f>
        <v>male</v>
      </c>
      <c r="I4000" s="6" t="str">
        <f>IFERROR(__xludf.DUMMYFUNCTION("""COMPUTED_VALUE"""),"Middle School")</f>
        <v>Middle School</v>
      </c>
      <c r="J4000" s="6" t="str">
        <f>IFERROR(__xludf.DUMMYFUNCTION("""COMPUTED_VALUE"""),"6")</f>
        <v>6</v>
      </c>
      <c r="K4000" s="6" t="str">
        <f>IFERROR(__xludf.DUMMYFUNCTION("""COMPUTED_VALUE"""),"anthony.cremeans@2hourlearning.com")</f>
        <v>anthony.cremeans@2hourlearning.com</v>
      </c>
      <c r="L4000" s="6" t="str">
        <f>IFERROR(__xludf.DUMMYFUNCTION("""COMPUTED_VALUE"""),"Metro Schools")</f>
        <v>Metro Schools</v>
      </c>
      <c r="M4000" s="6" t="str">
        <f>IFERROR(__xludf.DUMMYFUNCTION("""COMPUTED_VALUE"""),"")</f>
        <v/>
      </c>
      <c r="N4000" s="6" t="str">
        <f>IFERROR(__xludf.DUMMYFUNCTION("""COMPUTED_VALUE"""),"")</f>
        <v/>
      </c>
      <c r="O4000" s="87" t="str">
        <f>IFERROR(__xludf.DUMMYFUNCTION("""COMPUTED_VALUE"""),"https://drive.google.com/drive/folders/10T2cTQHqEJZqE-st6uFKPoI?usp=share_link")</f>
        <v>https://drive.google.com/drive/folders/10T2cTQHqEJZqE-st6uFKPoI?usp=share_link</v>
      </c>
      <c r="P4000" s="6" t="str">
        <f>IFERROR(__xludf.DUMMYFUNCTION("""COMPUTED_VALUE"""),"Anthony Cremeans")</f>
        <v>Anthony Cremeans</v>
      </c>
      <c r="Q4000" s="6" t="str">
        <f>IFERROR(__xludf.DUMMYFUNCTION("""COMPUTED_VALUE"""),"MS")</f>
        <v>MS</v>
      </c>
      <c r="R4000" s="6">
        <f>IFERROR(__xludf.DUMMYFUNCTION("""COMPUTED_VALUE"""),0.0)</f>
        <v>0</v>
      </c>
      <c r="S4000" s="6" t="str">
        <f>IFERROR(__xludf.DUMMYFUNCTION("""COMPUTED_VALUE"""),"Kimberly Ball")</f>
        <v>Kimberly Ball</v>
      </c>
      <c r="T4000" s="6" t="str">
        <f>IFERROR(__xludf.DUMMYFUNCTION("""COMPUTED_VALUE"""),"kimberly.ball@studient.com")</f>
        <v>kimberly.ball@studient.com</v>
      </c>
      <c r="U4000" s="6" t="str">
        <f>IFERROR(__xludf.DUMMYFUNCTION("""COMPUTED_VALUE"""),"6")</f>
        <v>6</v>
      </c>
      <c r="V4000" s="6" t="str">
        <f>IFERROR(__xludf.DUMMYFUNCTION("""COMPUTED_VALUE"""),"")</f>
        <v/>
      </c>
      <c r="W4000" s="6" t="str">
        <f>IFERROR(__xludf.DUMMYFUNCTION("""COMPUTED_VALUE"""),"[]")</f>
        <v>[]</v>
      </c>
      <c r="X4000" s="6" t="str">
        <f>IFERROR(__xludf.DUMMYFUNCTION("""COMPUTED_VALUE"""),"Enrolled")</f>
        <v>Enrolled</v>
      </c>
    </row>
    <row r="4001">
      <c r="A4001" s="6" t="str">
        <f>IFERROR(__xludf.DUMMYFUNCTION("""COMPUTED_VALUE"""),"079-10475")</f>
        <v>079-10475</v>
      </c>
      <c r="B4001" s="6" t="str">
        <f>IFERROR(__xludf.DUMMYFUNCTION("""COMPUTED_VALUE"""),"79")</f>
        <v>79</v>
      </c>
      <c r="C4001" s="6" t="str">
        <f>IFERROR(__xludf.DUMMYFUNCTION("""COMPUTED_VALUE"""),"10475")</f>
        <v>10475</v>
      </c>
      <c r="D4001" s="6" t="str">
        <f>IFERROR(__xludf.DUMMYFUNCTION("""COMPUTED_VALUE"""),"Deka")</f>
        <v>Deka</v>
      </c>
      <c r="E4001" s="6" t="str">
        <f>IFERROR(__xludf.DUMMYFUNCTION("""COMPUTED_VALUE"""),"")</f>
        <v/>
      </c>
      <c r="F4001" s="6" t="str">
        <f>IFERROR(__xludf.DUMMYFUNCTION("""COMPUTED_VALUE"""),"Dahir")</f>
        <v>Dahir</v>
      </c>
      <c r="G4001" s="6" t="str">
        <f>IFERROR(__xludf.DUMMYFUNCTION("""COMPUTED_VALUE"""),"08/01/2014")</f>
        <v>08/01/2014</v>
      </c>
      <c r="H4001" s="6" t="str">
        <f>IFERROR(__xludf.DUMMYFUNCTION("""COMPUTED_VALUE"""),"female")</f>
        <v>female</v>
      </c>
      <c r="I4001" s="6" t="str">
        <f>IFERROR(__xludf.DUMMYFUNCTION("""COMPUTED_VALUE"""),"Middle School")</f>
        <v>Middle School</v>
      </c>
      <c r="J4001" s="6" t="str">
        <f>IFERROR(__xludf.DUMMYFUNCTION("""COMPUTED_VALUE"""),"6")</f>
        <v>6</v>
      </c>
      <c r="K4001" s="6" t="str">
        <f>IFERROR(__xludf.DUMMYFUNCTION("""COMPUTED_VALUE"""),"deka.dahir@2hourlearning.com")</f>
        <v>deka.dahir@2hourlearning.com</v>
      </c>
      <c r="L4001" s="6" t="str">
        <f>IFERROR(__xludf.DUMMYFUNCTION("""COMPUTED_VALUE"""),"Metro Schools")</f>
        <v>Metro Schools</v>
      </c>
      <c r="M4001" s="6" t="str">
        <f>IFERROR(__xludf.DUMMYFUNCTION("""COMPUTED_VALUE"""),"")</f>
        <v/>
      </c>
      <c r="N4001" s="6" t="str">
        <f>IFERROR(__xludf.DUMMYFUNCTION("""COMPUTED_VALUE"""),"")</f>
        <v/>
      </c>
      <c r="O4001" s="87" t="str">
        <f>IFERROR(__xludf.DUMMYFUNCTION("""COMPUTED_VALUE"""),"https://drive.google.com/drive/folders/10T2cTQHqEJZqE-st6uFKPoI?usp=share_link")</f>
        <v>https://drive.google.com/drive/folders/10T2cTQHqEJZqE-st6uFKPoI?usp=share_link</v>
      </c>
      <c r="P4001" s="6" t="str">
        <f>IFERROR(__xludf.DUMMYFUNCTION("""COMPUTED_VALUE"""),"Deka Dahir")</f>
        <v>Deka Dahir</v>
      </c>
      <c r="Q4001" s="6" t="str">
        <f>IFERROR(__xludf.DUMMYFUNCTION("""COMPUTED_VALUE"""),"MS")</f>
        <v>MS</v>
      </c>
      <c r="R4001" s="6">
        <f>IFERROR(__xludf.DUMMYFUNCTION("""COMPUTED_VALUE"""),0.0)</f>
        <v>0</v>
      </c>
      <c r="S4001" s="6" t="str">
        <f>IFERROR(__xludf.DUMMYFUNCTION("""COMPUTED_VALUE"""),"Kimberly Ball")</f>
        <v>Kimberly Ball</v>
      </c>
      <c r="T4001" s="6" t="str">
        <f>IFERROR(__xludf.DUMMYFUNCTION("""COMPUTED_VALUE"""),"kimberly.ball@studient.com")</f>
        <v>kimberly.ball@studient.com</v>
      </c>
      <c r="U4001" s="6" t="str">
        <f>IFERROR(__xludf.DUMMYFUNCTION("""COMPUTED_VALUE"""),"6")</f>
        <v>6</v>
      </c>
      <c r="V4001" s="6" t="str">
        <f>IFERROR(__xludf.DUMMYFUNCTION("""COMPUTED_VALUE"""),"")</f>
        <v/>
      </c>
      <c r="W4001" s="6" t="str">
        <f>IFERROR(__xludf.DUMMYFUNCTION("""COMPUTED_VALUE"""),"[]")</f>
        <v>[]</v>
      </c>
      <c r="X4001" s="6" t="str">
        <f>IFERROR(__xludf.DUMMYFUNCTION("""COMPUTED_VALUE"""),"Enrolled")</f>
        <v>Enrolled</v>
      </c>
    </row>
    <row r="4002">
      <c r="A4002" s="6" t="str">
        <f>IFERROR(__xludf.DUMMYFUNCTION("""COMPUTED_VALUE"""),"079-10476")</f>
        <v>079-10476</v>
      </c>
      <c r="B4002" s="6" t="str">
        <f>IFERROR(__xludf.DUMMYFUNCTION("""COMPUTED_VALUE"""),"79")</f>
        <v>79</v>
      </c>
      <c r="C4002" s="6" t="str">
        <f>IFERROR(__xludf.DUMMYFUNCTION("""COMPUTED_VALUE"""),"10476")</f>
        <v>10476</v>
      </c>
      <c r="D4002" s="6" t="str">
        <f>IFERROR(__xludf.DUMMYFUNCTION("""COMPUTED_VALUE"""),"William")</f>
        <v>William</v>
      </c>
      <c r="E4002" s="6" t="str">
        <f>IFERROR(__xludf.DUMMYFUNCTION("""COMPUTED_VALUE"""),"")</f>
        <v/>
      </c>
      <c r="F4002" s="6" t="str">
        <f>IFERROR(__xludf.DUMMYFUNCTION("""COMPUTED_VALUE"""),"Darko")</f>
        <v>Darko</v>
      </c>
      <c r="G4002" s="6" t="str">
        <f>IFERROR(__xludf.DUMMYFUNCTION("""COMPUTED_VALUE"""),"05/30/2011")</f>
        <v>05/30/2011</v>
      </c>
      <c r="H4002" s="6" t="str">
        <f>IFERROR(__xludf.DUMMYFUNCTION("""COMPUTED_VALUE"""),"male")</f>
        <v>male</v>
      </c>
      <c r="I4002" s="6" t="str">
        <f>IFERROR(__xludf.DUMMYFUNCTION("""COMPUTED_VALUE"""),"High School")</f>
        <v>High School</v>
      </c>
      <c r="J4002" s="6" t="str">
        <f>IFERROR(__xludf.DUMMYFUNCTION("""COMPUTED_VALUE"""),"9")</f>
        <v>9</v>
      </c>
      <c r="K4002" s="6" t="str">
        <f>IFERROR(__xludf.DUMMYFUNCTION("""COMPUTED_VALUE"""),"william.darko@2hourlearning.com")</f>
        <v>william.darko@2hourlearning.com</v>
      </c>
      <c r="L4002" s="6" t="str">
        <f>IFERROR(__xludf.DUMMYFUNCTION("""COMPUTED_VALUE"""),"Metro Schools")</f>
        <v>Metro Schools</v>
      </c>
      <c r="M4002" s="6" t="str">
        <f>IFERROR(__xludf.DUMMYFUNCTION("""COMPUTED_VALUE"""),"")</f>
        <v/>
      </c>
      <c r="N4002" s="6" t="str">
        <f>IFERROR(__xludf.DUMMYFUNCTION("""COMPUTED_VALUE"""),"")</f>
        <v/>
      </c>
      <c r="O4002" s="87" t="str">
        <f>IFERROR(__xludf.DUMMYFUNCTION("""COMPUTED_VALUE"""),"https://drive.google.com/drive/folders/10T2cTQHqEJZqE-st6uFKPoI?usp=share_link")</f>
        <v>https://drive.google.com/drive/folders/10T2cTQHqEJZqE-st6uFKPoI?usp=share_link</v>
      </c>
      <c r="P4002" s="6" t="str">
        <f>IFERROR(__xludf.DUMMYFUNCTION("""COMPUTED_VALUE"""),"William Darko")</f>
        <v>William Darko</v>
      </c>
      <c r="Q4002" s="6" t="str">
        <f>IFERROR(__xludf.DUMMYFUNCTION("""COMPUTED_VALUE"""),"HS")</f>
        <v>HS</v>
      </c>
      <c r="R4002" s="6">
        <f>IFERROR(__xludf.DUMMYFUNCTION("""COMPUTED_VALUE"""),0.0)</f>
        <v>0</v>
      </c>
      <c r="S4002" s="6" t="str">
        <f>IFERROR(__xludf.DUMMYFUNCTION("""COMPUTED_VALUE"""),"Kimberly Ball")</f>
        <v>Kimberly Ball</v>
      </c>
      <c r="T4002" s="6" t="str">
        <f>IFERROR(__xludf.DUMMYFUNCTION("""COMPUTED_VALUE"""),"kimberly.ball@studient.com")</f>
        <v>kimberly.ball@studient.com</v>
      </c>
      <c r="U4002" s="6" t="str">
        <f>IFERROR(__xludf.DUMMYFUNCTION("""COMPUTED_VALUE"""),"9")</f>
        <v>9</v>
      </c>
      <c r="V4002" s="6" t="str">
        <f>IFERROR(__xludf.DUMMYFUNCTION("""COMPUTED_VALUE"""),"")</f>
        <v/>
      </c>
      <c r="W4002" s="6" t="str">
        <f>IFERROR(__xludf.DUMMYFUNCTION("""COMPUTED_VALUE"""),"[]")</f>
        <v>[]</v>
      </c>
      <c r="X4002" s="6" t="str">
        <f>IFERROR(__xludf.DUMMYFUNCTION("""COMPUTED_VALUE"""),"Enrolled")</f>
        <v>Enrolled</v>
      </c>
    </row>
    <row r="4003">
      <c r="A4003" s="6" t="str">
        <f>IFERROR(__xludf.DUMMYFUNCTION("""COMPUTED_VALUE"""),"079-10479")</f>
        <v>079-10479</v>
      </c>
      <c r="B4003" s="6" t="str">
        <f>IFERROR(__xludf.DUMMYFUNCTION("""COMPUTED_VALUE"""),"79")</f>
        <v>79</v>
      </c>
      <c r="C4003" s="6" t="str">
        <f>IFERROR(__xludf.DUMMYFUNCTION("""COMPUTED_VALUE"""),"10479")</f>
        <v>10479</v>
      </c>
      <c r="D4003" s="6" t="str">
        <f>IFERROR(__xludf.DUMMYFUNCTION("""COMPUTED_VALUE"""),"Rayan")</f>
        <v>Rayan</v>
      </c>
      <c r="E4003" s="6" t="str">
        <f>IFERROR(__xludf.DUMMYFUNCTION("""COMPUTED_VALUE"""),"")</f>
        <v/>
      </c>
      <c r="F4003" s="6" t="str">
        <f>IFERROR(__xludf.DUMMYFUNCTION("""COMPUTED_VALUE"""),"Ezzine")</f>
        <v>Ezzine</v>
      </c>
      <c r="G4003" s="6" t="str">
        <f>IFERROR(__xludf.DUMMYFUNCTION("""COMPUTED_VALUE"""),"09/04/2014")</f>
        <v>09/04/2014</v>
      </c>
      <c r="H4003" s="6" t="str">
        <f>IFERROR(__xludf.DUMMYFUNCTION("""COMPUTED_VALUE"""),"male")</f>
        <v>male</v>
      </c>
      <c r="I4003" s="6" t="str">
        <f>IFERROR(__xludf.DUMMYFUNCTION("""COMPUTED_VALUE"""),"Middle School")</f>
        <v>Middle School</v>
      </c>
      <c r="J4003" s="6" t="str">
        <f>IFERROR(__xludf.DUMMYFUNCTION("""COMPUTED_VALUE"""),"6")</f>
        <v>6</v>
      </c>
      <c r="K4003" s="6" t="str">
        <f>IFERROR(__xludf.DUMMYFUNCTION("""COMPUTED_VALUE"""),"rayan.ezzine@2hourlearning.com")</f>
        <v>rayan.ezzine@2hourlearning.com</v>
      </c>
      <c r="L4003" s="6" t="str">
        <f>IFERROR(__xludf.DUMMYFUNCTION("""COMPUTED_VALUE"""),"Metro Schools")</f>
        <v>Metro Schools</v>
      </c>
      <c r="M4003" s="6" t="str">
        <f>IFERROR(__xludf.DUMMYFUNCTION("""COMPUTED_VALUE"""),"")</f>
        <v/>
      </c>
      <c r="N4003" s="6" t="str">
        <f>IFERROR(__xludf.DUMMYFUNCTION("""COMPUTED_VALUE"""),"")</f>
        <v/>
      </c>
      <c r="O4003" s="87" t="str">
        <f>IFERROR(__xludf.DUMMYFUNCTION("""COMPUTED_VALUE"""),"https://drive.google.com/drive/folders/10T2cTQHqEJZqE-st6uFKPoI?usp=share_link")</f>
        <v>https://drive.google.com/drive/folders/10T2cTQHqEJZqE-st6uFKPoI?usp=share_link</v>
      </c>
      <c r="P4003" s="6" t="str">
        <f>IFERROR(__xludf.DUMMYFUNCTION("""COMPUTED_VALUE"""),"Rayan Ezzine")</f>
        <v>Rayan Ezzine</v>
      </c>
      <c r="Q4003" s="6" t="str">
        <f>IFERROR(__xludf.DUMMYFUNCTION("""COMPUTED_VALUE"""),"MS")</f>
        <v>MS</v>
      </c>
      <c r="R4003" s="6">
        <f>IFERROR(__xludf.DUMMYFUNCTION("""COMPUTED_VALUE"""),0.0)</f>
        <v>0</v>
      </c>
      <c r="S4003" s="6" t="str">
        <f>IFERROR(__xludf.DUMMYFUNCTION("""COMPUTED_VALUE"""),"Kimberly Ball")</f>
        <v>Kimberly Ball</v>
      </c>
      <c r="T4003" s="6" t="str">
        <f>IFERROR(__xludf.DUMMYFUNCTION("""COMPUTED_VALUE"""),"kimberly.ball@studient.com")</f>
        <v>kimberly.ball@studient.com</v>
      </c>
      <c r="U4003" s="6" t="str">
        <f>IFERROR(__xludf.DUMMYFUNCTION("""COMPUTED_VALUE"""),"6")</f>
        <v>6</v>
      </c>
      <c r="V4003" s="6" t="str">
        <f>IFERROR(__xludf.DUMMYFUNCTION("""COMPUTED_VALUE"""),"")</f>
        <v/>
      </c>
      <c r="W4003" s="6" t="str">
        <f>IFERROR(__xludf.DUMMYFUNCTION("""COMPUTED_VALUE"""),"[]")</f>
        <v>[]</v>
      </c>
      <c r="X4003" s="6" t="str">
        <f>IFERROR(__xludf.DUMMYFUNCTION("""COMPUTED_VALUE"""),"Enrolled")</f>
        <v>Enrolled</v>
      </c>
    </row>
    <row r="4004">
      <c r="A4004" s="6" t="str">
        <f>IFERROR(__xludf.DUMMYFUNCTION("""COMPUTED_VALUE"""),"079-10480")</f>
        <v>079-10480</v>
      </c>
      <c r="B4004" s="6" t="str">
        <f>IFERROR(__xludf.DUMMYFUNCTION("""COMPUTED_VALUE"""),"79")</f>
        <v>79</v>
      </c>
      <c r="C4004" s="6" t="str">
        <f>IFERROR(__xludf.DUMMYFUNCTION("""COMPUTED_VALUE"""),"10480")</f>
        <v>10480</v>
      </c>
      <c r="D4004" s="6" t="str">
        <f>IFERROR(__xludf.DUMMYFUNCTION("""COMPUTED_VALUE"""),"Floyd")</f>
        <v>Floyd</v>
      </c>
      <c r="E4004" s="6" t="str">
        <f>IFERROR(__xludf.DUMMYFUNCTION("""COMPUTED_VALUE"""),"")</f>
        <v/>
      </c>
      <c r="F4004" s="6" t="str">
        <f>IFERROR(__xludf.DUMMYFUNCTION("""COMPUTED_VALUE"""),"Fairow")</f>
        <v>Fairow</v>
      </c>
      <c r="G4004" s="6" t="str">
        <f>IFERROR(__xludf.DUMMYFUNCTION("""COMPUTED_VALUE"""),"10/09/2011")</f>
        <v>10/09/2011</v>
      </c>
      <c r="H4004" s="6" t="str">
        <f>IFERROR(__xludf.DUMMYFUNCTION("""COMPUTED_VALUE"""),"male")</f>
        <v>male</v>
      </c>
      <c r="I4004" s="6" t="str">
        <f>IFERROR(__xludf.DUMMYFUNCTION("""COMPUTED_VALUE"""),"Middle School")</f>
        <v>Middle School</v>
      </c>
      <c r="J4004" s="6" t="str">
        <f>IFERROR(__xludf.DUMMYFUNCTION("""COMPUTED_VALUE"""),"7")</f>
        <v>7</v>
      </c>
      <c r="K4004" s="6" t="str">
        <f>IFERROR(__xludf.DUMMYFUNCTION("""COMPUTED_VALUE"""),"floyd.fairow@2hourlearning.com")</f>
        <v>floyd.fairow@2hourlearning.com</v>
      </c>
      <c r="L4004" s="6" t="str">
        <f>IFERROR(__xludf.DUMMYFUNCTION("""COMPUTED_VALUE"""),"Metro Schools")</f>
        <v>Metro Schools</v>
      </c>
      <c r="M4004" s="6" t="str">
        <f>IFERROR(__xludf.DUMMYFUNCTION("""COMPUTED_VALUE"""),"")</f>
        <v/>
      </c>
      <c r="N4004" s="6" t="str">
        <f>IFERROR(__xludf.DUMMYFUNCTION("""COMPUTED_VALUE"""),"")</f>
        <v/>
      </c>
      <c r="O4004" s="87" t="str">
        <f>IFERROR(__xludf.DUMMYFUNCTION("""COMPUTED_VALUE"""),"https://drive.google.com/drive/folders/10T2cTQHqEJZqE-st6uFKPoI?usp=share_link")</f>
        <v>https://drive.google.com/drive/folders/10T2cTQHqEJZqE-st6uFKPoI?usp=share_link</v>
      </c>
      <c r="P4004" s="6" t="str">
        <f>IFERROR(__xludf.DUMMYFUNCTION("""COMPUTED_VALUE"""),"Floyd Fairow")</f>
        <v>Floyd Fairow</v>
      </c>
      <c r="Q4004" s="6" t="str">
        <f>IFERROR(__xludf.DUMMYFUNCTION("""COMPUTED_VALUE"""),"MS")</f>
        <v>MS</v>
      </c>
      <c r="R4004" s="6">
        <f>IFERROR(__xludf.DUMMYFUNCTION("""COMPUTED_VALUE"""),0.0)</f>
        <v>0</v>
      </c>
      <c r="S4004" s="6" t="str">
        <f>IFERROR(__xludf.DUMMYFUNCTION("""COMPUTED_VALUE"""),"Kimberly Ball")</f>
        <v>Kimberly Ball</v>
      </c>
      <c r="T4004" s="6" t="str">
        <f>IFERROR(__xludf.DUMMYFUNCTION("""COMPUTED_VALUE"""),"kimberly.ball@studient.com")</f>
        <v>kimberly.ball@studient.com</v>
      </c>
      <c r="U4004" s="6" t="str">
        <f>IFERROR(__xludf.DUMMYFUNCTION("""COMPUTED_VALUE"""),"7")</f>
        <v>7</v>
      </c>
      <c r="V4004" s="6" t="str">
        <f>IFERROR(__xludf.DUMMYFUNCTION("""COMPUTED_VALUE"""),"")</f>
        <v/>
      </c>
      <c r="W4004" s="6" t="str">
        <f>IFERROR(__xludf.DUMMYFUNCTION("""COMPUTED_VALUE"""),"[]")</f>
        <v>[]</v>
      </c>
      <c r="X4004" s="6" t="str">
        <f>IFERROR(__xludf.DUMMYFUNCTION("""COMPUTED_VALUE"""),"Enrolled")</f>
        <v>Enrolled</v>
      </c>
    </row>
    <row r="4005">
      <c r="A4005" s="6" t="str">
        <f>IFERROR(__xludf.DUMMYFUNCTION("""COMPUTED_VALUE"""),"079-10481")</f>
        <v>079-10481</v>
      </c>
      <c r="B4005" s="6" t="str">
        <f>IFERROR(__xludf.DUMMYFUNCTION("""COMPUTED_VALUE"""),"79")</f>
        <v>79</v>
      </c>
      <c r="C4005" s="6" t="str">
        <f>IFERROR(__xludf.DUMMYFUNCTION("""COMPUTED_VALUE"""),"10481")</f>
        <v>10481</v>
      </c>
      <c r="D4005" s="6" t="str">
        <f>IFERROR(__xludf.DUMMYFUNCTION("""COMPUTED_VALUE"""),"King")</f>
        <v>King</v>
      </c>
      <c r="E4005" s="6" t="str">
        <f>IFERROR(__xludf.DUMMYFUNCTION("""COMPUTED_VALUE"""),"")</f>
        <v/>
      </c>
      <c r="F4005" s="6" t="str">
        <f>IFERROR(__xludf.DUMMYFUNCTION("""COMPUTED_VALUE"""),"Ferguson")</f>
        <v>Ferguson</v>
      </c>
      <c r="G4005" s="6" t="str">
        <f>IFERROR(__xludf.DUMMYFUNCTION("""COMPUTED_VALUE"""),"07/31/2014")</f>
        <v>07/31/2014</v>
      </c>
      <c r="H4005" s="6" t="str">
        <f>IFERROR(__xludf.DUMMYFUNCTION("""COMPUTED_VALUE"""),"male")</f>
        <v>male</v>
      </c>
      <c r="I4005" s="6" t="str">
        <f>IFERROR(__xludf.DUMMYFUNCTION("""COMPUTED_VALUE"""),"Middle School")</f>
        <v>Middle School</v>
      </c>
      <c r="J4005" s="6" t="str">
        <f>IFERROR(__xludf.DUMMYFUNCTION("""COMPUTED_VALUE"""),"6")</f>
        <v>6</v>
      </c>
      <c r="K4005" s="6" t="str">
        <f>IFERROR(__xludf.DUMMYFUNCTION("""COMPUTED_VALUE"""),"king.ferguson@2hourlearning.com")</f>
        <v>king.ferguson@2hourlearning.com</v>
      </c>
      <c r="L4005" s="6" t="str">
        <f>IFERROR(__xludf.DUMMYFUNCTION("""COMPUTED_VALUE"""),"Metro Schools")</f>
        <v>Metro Schools</v>
      </c>
      <c r="M4005" s="6" t="str">
        <f>IFERROR(__xludf.DUMMYFUNCTION("""COMPUTED_VALUE"""),"")</f>
        <v/>
      </c>
      <c r="N4005" s="6" t="str">
        <f>IFERROR(__xludf.DUMMYFUNCTION("""COMPUTED_VALUE"""),"")</f>
        <v/>
      </c>
      <c r="O4005" s="87" t="str">
        <f>IFERROR(__xludf.DUMMYFUNCTION("""COMPUTED_VALUE"""),"https://drive.google.com/drive/folders/10T2cTQHqEJZqE-st6uFKPoI?usp=share_link")</f>
        <v>https://drive.google.com/drive/folders/10T2cTQHqEJZqE-st6uFKPoI?usp=share_link</v>
      </c>
      <c r="P4005" s="6" t="str">
        <f>IFERROR(__xludf.DUMMYFUNCTION("""COMPUTED_VALUE"""),"King Ferguson")</f>
        <v>King Ferguson</v>
      </c>
      <c r="Q4005" s="6" t="str">
        <f>IFERROR(__xludf.DUMMYFUNCTION("""COMPUTED_VALUE"""),"MS")</f>
        <v>MS</v>
      </c>
      <c r="R4005" s="6">
        <f>IFERROR(__xludf.DUMMYFUNCTION("""COMPUTED_VALUE"""),0.0)</f>
        <v>0</v>
      </c>
      <c r="S4005" s="6" t="str">
        <f>IFERROR(__xludf.DUMMYFUNCTION("""COMPUTED_VALUE"""),"Kimberly Ball")</f>
        <v>Kimberly Ball</v>
      </c>
      <c r="T4005" s="6" t="str">
        <f>IFERROR(__xludf.DUMMYFUNCTION("""COMPUTED_VALUE"""),"kimberly.ball@studient.com")</f>
        <v>kimberly.ball@studient.com</v>
      </c>
      <c r="U4005" s="6" t="str">
        <f>IFERROR(__xludf.DUMMYFUNCTION("""COMPUTED_VALUE"""),"6")</f>
        <v>6</v>
      </c>
      <c r="V4005" s="6" t="str">
        <f>IFERROR(__xludf.DUMMYFUNCTION("""COMPUTED_VALUE"""),"")</f>
        <v/>
      </c>
      <c r="W4005" s="6" t="str">
        <f>IFERROR(__xludf.DUMMYFUNCTION("""COMPUTED_VALUE"""),"[]")</f>
        <v>[]</v>
      </c>
      <c r="X4005" s="6" t="str">
        <f>IFERROR(__xludf.DUMMYFUNCTION("""COMPUTED_VALUE"""),"Enrolled")</f>
        <v>Enrolled</v>
      </c>
    </row>
    <row r="4006">
      <c r="A4006" s="6" t="str">
        <f>IFERROR(__xludf.DUMMYFUNCTION("""COMPUTED_VALUE"""),"079-10483")</f>
        <v>079-10483</v>
      </c>
      <c r="B4006" s="6" t="str">
        <f>IFERROR(__xludf.DUMMYFUNCTION("""COMPUTED_VALUE"""),"79")</f>
        <v>79</v>
      </c>
      <c r="C4006" s="6" t="str">
        <f>IFERROR(__xludf.DUMMYFUNCTION("""COMPUTED_VALUE"""),"10483")</f>
        <v>10483</v>
      </c>
      <c r="D4006" s="6" t="str">
        <f>IFERROR(__xludf.DUMMYFUNCTION("""COMPUTED_VALUE"""),"Breon")</f>
        <v>Breon</v>
      </c>
      <c r="E4006" s="6" t="str">
        <f>IFERROR(__xludf.DUMMYFUNCTION("""COMPUTED_VALUE"""),"")</f>
        <v/>
      </c>
      <c r="F4006" s="6" t="str">
        <f>IFERROR(__xludf.DUMMYFUNCTION("""COMPUTED_VALUE"""),"Glover")</f>
        <v>Glover</v>
      </c>
      <c r="G4006" s="6" t="str">
        <f>IFERROR(__xludf.DUMMYFUNCTION("""COMPUTED_VALUE"""),"12/28/2010")</f>
        <v>12/28/2010</v>
      </c>
      <c r="H4006" s="6" t="str">
        <f>IFERROR(__xludf.DUMMYFUNCTION("""COMPUTED_VALUE"""),"male")</f>
        <v>male</v>
      </c>
      <c r="I4006" s="6" t="str">
        <f>IFERROR(__xludf.DUMMYFUNCTION("""COMPUTED_VALUE"""),"High School")</f>
        <v>High School</v>
      </c>
      <c r="J4006" s="6" t="str">
        <f>IFERROR(__xludf.DUMMYFUNCTION("""COMPUTED_VALUE"""),"9")</f>
        <v>9</v>
      </c>
      <c r="K4006" s="6" t="str">
        <f>IFERROR(__xludf.DUMMYFUNCTION("""COMPUTED_VALUE"""),"breon.glover@2hourlearning.com")</f>
        <v>breon.glover@2hourlearning.com</v>
      </c>
      <c r="L4006" s="6" t="str">
        <f>IFERROR(__xludf.DUMMYFUNCTION("""COMPUTED_VALUE"""),"Metro Schools")</f>
        <v>Metro Schools</v>
      </c>
      <c r="M4006" s="6" t="str">
        <f>IFERROR(__xludf.DUMMYFUNCTION("""COMPUTED_VALUE"""),"")</f>
        <v/>
      </c>
      <c r="N4006" s="6" t="str">
        <f>IFERROR(__xludf.DUMMYFUNCTION("""COMPUTED_VALUE"""),"")</f>
        <v/>
      </c>
      <c r="O4006" s="87" t="str">
        <f>IFERROR(__xludf.DUMMYFUNCTION("""COMPUTED_VALUE"""),"https://drive.google.com/drive/folders/10T2cTQHqEJZqE-st6uFKPoI?usp=share_link")</f>
        <v>https://drive.google.com/drive/folders/10T2cTQHqEJZqE-st6uFKPoI?usp=share_link</v>
      </c>
      <c r="P4006" s="6" t="str">
        <f>IFERROR(__xludf.DUMMYFUNCTION("""COMPUTED_VALUE"""),"Breon Glover")</f>
        <v>Breon Glover</v>
      </c>
      <c r="Q4006" s="6" t="str">
        <f>IFERROR(__xludf.DUMMYFUNCTION("""COMPUTED_VALUE"""),"HS")</f>
        <v>HS</v>
      </c>
      <c r="R4006" s="6">
        <f>IFERROR(__xludf.DUMMYFUNCTION("""COMPUTED_VALUE"""),0.0)</f>
        <v>0</v>
      </c>
      <c r="S4006" s="6" t="str">
        <f>IFERROR(__xludf.DUMMYFUNCTION("""COMPUTED_VALUE"""),"Kimberly Ball")</f>
        <v>Kimberly Ball</v>
      </c>
      <c r="T4006" s="6" t="str">
        <f>IFERROR(__xludf.DUMMYFUNCTION("""COMPUTED_VALUE"""),"kimberly.ball@studient.com")</f>
        <v>kimberly.ball@studient.com</v>
      </c>
      <c r="U4006" s="6" t="str">
        <f>IFERROR(__xludf.DUMMYFUNCTION("""COMPUTED_VALUE"""),"9")</f>
        <v>9</v>
      </c>
      <c r="V4006" s="6" t="str">
        <f>IFERROR(__xludf.DUMMYFUNCTION("""COMPUTED_VALUE"""),"")</f>
        <v/>
      </c>
      <c r="W4006" s="6" t="str">
        <f>IFERROR(__xludf.DUMMYFUNCTION("""COMPUTED_VALUE"""),"[]")</f>
        <v>[]</v>
      </c>
      <c r="X4006" s="6" t="str">
        <f>IFERROR(__xludf.DUMMYFUNCTION("""COMPUTED_VALUE"""),"Enrolled")</f>
        <v>Enrolled</v>
      </c>
    </row>
    <row r="4007">
      <c r="A4007" s="6" t="str">
        <f>IFERROR(__xludf.DUMMYFUNCTION("""COMPUTED_VALUE"""),"079-10484")</f>
        <v>079-10484</v>
      </c>
      <c r="B4007" s="6" t="str">
        <f>IFERROR(__xludf.DUMMYFUNCTION("""COMPUTED_VALUE"""),"79")</f>
        <v>79</v>
      </c>
      <c r="C4007" s="6" t="str">
        <f>IFERROR(__xludf.DUMMYFUNCTION("""COMPUTED_VALUE"""),"10484")</f>
        <v>10484</v>
      </c>
      <c r="D4007" s="6" t="str">
        <f>IFERROR(__xludf.DUMMYFUNCTION("""COMPUTED_VALUE"""),"Demetris")</f>
        <v>Demetris</v>
      </c>
      <c r="E4007" s="6" t="str">
        <f>IFERROR(__xludf.DUMMYFUNCTION("""COMPUTED_VALUE"""),"")</f>
        <v/>
      </c>
      <c r="F4007" s="6" t="str">
        <f>IFERROR(__xludf.DUMMYFUNCTION("""COMPUTED_VALUE"""),"Gravely")</f>
        <v>Gravely</v>
      </c>
      <c r="G4007" s="6" t="str">
        <f>IFERROR(__xludf.DUMMYFUNCTION("""COMPUTED_VALUE"""),"08/11/2012")</f>
        <v>08/11/2012</v>
      </c>
      <c r="H4007" s="6" t="str">
        <f>IFERROR(__xludf.DUMMYFUNCTION("""COMPUTED_VALUE"""),"male")</f>
        <v>male</v>
      </c>
      <c r="I4007" s="6" t="str">
        <f>IFERROR(__xludf.DUMMYFUNCTION("""COMPUTED_VALUE"""),"Middle School")</f>
        <v>Middle School</v>
      </c>
      <c r="J4007" s="6" t="str">
        <f>IFERROR(__xludf.DUMMYFUNCTION("""COMPUTED_VALUE"""),"8")</f>
        <v>8</v>
      </c>
      <c r="K4007" s="6" t="str">
        <f>IFERROR(__xludf.DUMMYFUNCTION("""COMPUTED_VALUE"""),"demetris.gravely@2hourlearning.com")</f>
        <v>demetris.gravely@2hourlearning.com</v>
      </c>
      <c r="L4007" s="6" t="str">
        <f>IFERROR(__xludf.DUMMYFUNCTION("""COMPUTED_VALUE"""),"Metro Schools")</f>
        <v>Metro Schools</v>
      </c>
      <c r="M4007" s="6" t="str">
        <f>IFERROR(__xludf.DUMMYFUNCTION("""COMPUTED_VALUE"""),"")</f>
        <v/>
      </c>
      <c r="N4007" s="6" t="str">
        <f>IFERROR(__xludf.DUMMYFUNCTION("""COMPUTED_VALUE"""),"")</f>
        <v/>
      </c>
      <c r="O4007" s="87" t="str">
        <f>IFERROR(__xludf.DUMMYFUNCTION("""COMPUTED_VALUE"""),"https://drive.google.com/drive/folders/10T2cTQHqEJZqE-st6uFKPoI?usp=share_link")</f>
        <v>https://drive.google.com/drive/folders/10T2cTQHqEJZqE-st6uFKPoI?usp=share_link</v>
      </c>
      <c r="P4007" s="6" t="str">
        <f>IFERROR(__xludf.DUMMYFUNCTION("""COMPUTED_VALUE"""),"Demetris Gravely")</f>
        <v>Demetris Gravely</v>
      </c>
      <c r="Q4007" s="6" t="str">
        <f>IFERROR(__xludf.DUMMYFUNCTION("""COMPUTED_VALUE"""),"MS")</f>
        <v>MS</v>
      </c>
      <c r="R4007" s="6">
        <f>IFERROR(__xludf.DUMMYFUNCTION("""COMPUTED_VALUE"""),0.0)</f>
        <v>0</v>
      </c>
      <c r="S4007" s="6" t="str">
        <f>IFERROR(__xludf.DUMMYFUNCTION("""COMPUTED_VALUE"""),"Kimberly Ball")</f>
        <v>Kimberly Ball</v>
      </c>
      <c r="T4007" s="6" t="str">
        <f>IFERROR(__xludf.DUMMYFUNCTION("""COMPUTED_VALUE"""),"kimberly.ball@studient.com")</f>
        <v>kimberly.ball@studient.com</v>
      </c>
      <c r="U4007" s="6" t="str">
        <f>IFERROR(__xludf.DUMMYFUNCTION("""COMPUTED_VALUE"""),"8")</f>
        <v>8</v>
      </c>
      <c r="V4007" s="6" t="str">
        <f>IFERROR(__xludf.DUMMYFUNCTION("""COMPUTED_VALUE"""),"")</f>
        <v/>
      </c>
      <c r="W4007" s="6" t="str">
        <f>IFERROR(__xludf.DUMMYFUNCTION("""COMPUTED_VALUE"""),"[]")</f>
        <v>[]</v>
      </c>
      <c r="X4007" s="6" t="str">
        <f>IFERROR(__xludf.DUMMYFUNCTION("""COMPUTED_VALUE"""),"Enrolled")</f>
        <v>Enrolled</v>
      </c>
    </row>
    <row r="4008">
      <c r="A4008" s="6" t="str">
        <f>IFERROR(__xludf.DUMMYFUNCTION("""COMPUTED_VALUE"""),"079-10485")</f>
        <v>079-10485</v>
      </c>
      <c r="B4008" s="6" t="str">
        <f>IFERROR(__xludf.DUMMYFUNCTION("""COMPUTED_VALUE"""),"79")</f>
        <v>79</v>
      </c>
      <c r="C4008" s="6" t="str">
        <f>IFERROR(__xludf.DUMMYFUNCTION("""COMPUTED_VALUE"""),"10485")</f>
        <v>10485</v>
      </c>
      <c r="D4008" s="6" t="str">
        <f>IFERROR(__xludf.DUMMYFUNCTION("""COMPUTED_VALUE"""),"Trinity")</f>
        <v>Trinity</v>
      </c>
      <c r="E4008" s="6" t="str">
        <f>IFERROR(__xludf.DUMMYFUNCTION("""COMPUTED_VALUE"""),"")</f>
        <v/>
      </c>
      <c r="F4008" s="6" t="str">
        <f>IFERROR(__xludf.DUMMYFUNCTION("""COMPUTED_VALUE"""),"Gresson")</f>
        <v>Gresson</v>
      </c>
      <c r="G4008" s="6" t="str">
        <f>IFERROR(__xludf.DUMMYFUNCTION("""COMPUTED_VALUE"""),"07/26/2011")</f>
        <v>07/26/2011</v>
      </c>
      <c r="H4008" s="6" t="str">
        <f>IFERROR(__xludf.DUMMYFUNCTION("""COMPUTED_VALUE"""),"female")</f>
        <v>female</v>
      </c>
      <c r="I4008" s="6" t="str">
        <f>IFERROR(__xludf.DUMMYFUNCTION("""COMPUTED_VALUE"""),"High School")</f>
        <v>High School</v>
      </c>
      <c r="J4008" s="6" t="str">
        <f>IFERROR(__xludf.DUMMYFUNCTION("""COMPUTED_VALUE"""),"9")</f>
        <v>9</v>
      </c>
      <c r="K4008" s="6" t="str">
        <f>IFERROR(__xludf.DUMMYFUNCTION("""COMPUTED_VALUE"""),"trinity.gresson@2hourlearning.com")</f>
        <v>trinity.gresson@2hourlearning.com</v>
      </c>
      <c r="L4008" s="6" t="str">
        <f>IFERROR(__xludf.DUMMYFUNCTION("""COMPUTED_VALUE"""),"Metro Schools")</f>
        <v>Metro Schools</v>
      </c>
      <c r="M4008" s="6" t="str">
        <f>IFERROR(__xludf.DUMMYFUNCTION("""COMPUTED_VALUE"""),"")</f>
        <v/>
      </c>
      <c r="N4008" s="6" t="str">
        <f>IFERROR(__xludf.DUMMYFUNCTION("""COMPUTED_VALUE"""),"")</f>
        <v/>
      </c>
      <c r="O4008" s="87" t="str">
        <f>IFERROR(__xludf.DUMMYFUNCTION("""COMPUTED_VALUE"""),"https://drive.google.com/drive/folders/10T2cTQHqEJZqE-st6uFKPoI?usp=share_link")</f>
        <v>https://drive.google.com/drive/folders/10T2cTQHqEJZqE-st6uFKPoI?usp=share_link</v>
      </c>
      <c r="P4008" s="6" t="str">
        <f>IFERROR(__xludf.DUMMYFUNCTION("""COMPUTED_VALUE"""),"Trinity Gresson")</f>
        <v>Trinity Gresson</v>
      </c>
      <c r="Q4008" s="6" t="str">
        <f>IFERROR(__xludf.DUMMYFUNCTION("""COMPUTED_VALUE"""),"HS")</f>
        <v>HS</v>
      </c>
      <c r="R4008" s="6">
        <f>IFERROR(__xludf.DUMMYFUNCTION("""COMPUTED_VALUE"""),0.0)</f>
        <v>0</v>
      </c>
      <c r="S4008" s="6" t="str">
        <f>IFERROR(__xludf.DUMMYFUNCTION("""COMPUTED_VALUE"""),"Kimberly Ball")</f>
        <v>Kimberly Ball</v>
      </c>
      <c r="T4008" s="6" t="str">
        <f>IFERROR(__xludf.DUMMYFUNCTION("""COMPUTED_VALUE"""),"kimberly.ball@studient.com")</f>
        <v>kimberly.ball@studient.com</v>
      </c>
      <c r="U4008" s="6" t="str">
        <f>IFERROR(__xludf.DUMMYFUNCTION("""COMPUTED_VALUE"""),"9")</f>
        <v>9</v>
      </c>
      <c r="V4008" s="6" t="str">
        <f>IFERROR(__xludf.DUMMYFUNCTION("""COMPUTED_VALUE"""),"")</f>
        <v/>
      </c>
      <c r="W4008" s="6" t="str">
        <f>IFERROR(__xludf.DUMMYFUNCTION("""COMPUTED_VALUE"""),"[]")</f>
        <v>[]</v>
      </c>
      <c r="X4008" s="6" t="str">
        <f>IFERROR(__xludf.DUMMYFUNCTION("""COMPUTED_VALUE"""),"Enrolled")</f>
        <v>Enrolled</v>
      </c>
    </row>
    <row r="4009">
      <c r="A4009" s="6" t="str">
        <f>IFERROR(__xludf.DUMMYFUNCTION("""COMPUTED_VALUE"""),"079-10486")</f>
        <v>079-10486</v>
      </c>
      <c r="B4009" s="6" t="str">
        <f>IFERROR(__xludf.DUMMYFUNCTION("""COMPUTED_VALUE"""),"79")</f>
        <v>79</v>
      </c>
      <c r="C4009" s="6" t="str">
        <f>IFERROR(__xludf.DUMMYFUNCTION("""COMPUTED_VALUE"""),"10486")</f>
        <v>10486</v>
      </c>
      <c r="D4009" s="6" t="str">
        <f>IFERROR(__xludf.DUMMYFUNCTION("""COMPUTED_VALUE"""),"Hayam")</f>
        <v>Hayam</v>
      </c>
      <c r="E4009" s="6" t="str">
        <f>IFERROR(__xludf.DUMMYFUNCTION("""COMPUTED_VALUE"""),"")</f>
        <v/>
      </c>
      <c r="F4009" s="6" t="str">
        <f>IFERROR(__xludf.DUMMYFUNCTION("""COMPUTED_VALUE"""),"Guerrou")</f>
        <v>Guerrou</v>
      </c>
      <c r="G4009" s="6" t="str">
        <f>IFERROR(__xludf.DUMMYFUNCTION("""COMPUTED_VALUE"""),"05/05/2014")</f>
        <v>05/05/2014</v>
      </c>
      <c r="H4009" s="6" t="str">
        <f>IFERROR(__xludf.DUMMYFUNCTION("""COMPUTED_VALUE"""),"female")</f>
        <v>female</v>
      </c>
      <c r="I4009" s="6" t="str">
        <f>IFERROR(__xludf.DUMMYFUNCTION("""COMPUTED_VALUE"""),"Middle School")</f>
        <v>Middle School</v>
      </c>
      <c r="J4009" s="6" t="str">
        <f>IFERROR(__xludf.DUMMYFUNCTION("""COMPUTED_VALUE"""),"6")</f>
        <v>6</v>
      </c>
      <c r="K4009" s="6" t="str">
        <f>IFERROR(__xludf.DUMMYFUNCTION("""COMPUTED_VALUE"""),"hayam.guerrou@2hourlearning.com")</f>
        <v>hayam.guerrou@2hourlearning.com</v>
      </c>
      <c r="L4009" s="6" t="str">
        <f>IFERROR(__xludf.DUMMYFUNCTION("""COMPUTED_VALUE"""),"Metro Schools")</f>
        <v>Metro Schools</v>
      </c>
      <c r="M4009" s="6" t="str">
        <f>IFERROR(__xludf.DUMMYFUNCTION("""COMPUTED_VALUE"""),"")</f>
        <v/>
      </c>
      <c r="N4009" s="6" t="str">
        <f>IFERROR(__xludf.DUMMYFUNCTION("""COMPUTED_VALUE"""),"")</f>
        <v/>
      </c>
      <c r="O4009" s="87" t="str">
        <f>IFERROR(__xludf.DUMMYFUNCTION("""COMPUTED_VALUE"""),"https://drive.google.com/drive/folders/10T2cTQHqEJZqE-st6uFKPoI?usp=share_link")</f>
        <v>https://drive.google.com/drive/folders/10T2cTQHqEJZqE-st6uFKPoI?usp=share_link</v>
      </c>
      <c r="P4009" s="6" t="str">
        <f>IFERROR(__xludf.DUMMYFUNCTION("""COMPUTED_VALUE"""),"Hayam Guerrou")</f>
        <v>Hayam Guerrou</v>
      </c>
      <c r="Q4009" s="6" t="str">
        <f>IFERROR(__xludf.DUMMYFUNCTION("""COMPUTED_VALUE"""),"MS")</f>
        <v>MS</v>
      </c>
      <c r="R4009" s="6">
        <f>IFERROR(__xludf.DUMMYFUNCTION("""COMPUTED_VALUE"""),0.0)</f>
        <v>0</v>
      </c>
      <c r="S4009" s="6" t="str">
        <f>IFERROR(__xludf.DUMMYFUNCTION("""COMPUTED_VALUE"""),"Kimberly Ball")</f>
        <v>Kimberly Ball</v>
      </c>
      <c r="T4009" s="6" t="str">
        <f>IFERROR(__xludf.DUMMYFUNCTION("""COMPUTED_VALUE"""),"kimberly.ball@studient.com")</f>
        <v>kimberly.ball@studient.com</v>
      </c>
      <c r="U4009" s="6" t="str">
        <f>IFERROR(__xludf.DUMMYFUNCTION("""COMPUTED_VALUE"""),"6")</f>
        <v>6</v>
      </c>
      <c r="V4009" s="6" t="str">
        <f>IFERROR(__xludf.DUMMYFUNCTION("""COMPUTED_VALUE"""),"")</f>
        <v/>
      </c>
      <c r="W4009" s="6" t="str">
        <f>IFERROR(__xludf.DUMMYFUNCTION("""COMPUTED_VALUE"""),"[]")</f>
        <v>[]</v>
      </c>
      <c r="X4009" s="6" t="str">
        <f>IFERROR(__xludf.DUMMYFUNCTION("""COMPUTED_VALUE"""),"Enrolled")</f>
        <v>Enrolled</v>
      </c>
    </row>
    <row r="4010">
      <c r="A4010" s="6" t="str">
        <f>IFERROR(__xludf.DUMMYFUNCTION("""COMPUTED_VALUE"""),"079-10487")</f>
        <v>079-10487</v>
      </c>
      <c r="B4010" s="6" t="str">
        <f>IFERROR(__xludf.DUMMYFUNCTION("""COMPUTED_VALUE"""),"79")</f>
        <v>79</v>
      </c>
      <c r="C4010" s="6" t="str">
        <f>IFERROR(__xludf.DUMMYFUNCTION("""COMPUTED_VALUE"""),"10487")</f>
        <v>10487</v>
      </c>
      <c r="D4010" s="6" t="str">
        <f>IFERROR(__xludf.DUMMYFUNCTION("""COMPUTED_VALUE"""),"Bobby")</f>
        <v>Bobby</v>
      </c>
      <c r="E4010" s="6" t="str">
        <f>IFERROR(__xludf.DUMMYFUNCTION("""COMPUTED_VALUE"""),"")</f>
        <v/>
      </c>
      <c r="F4010" s="6" t="str">
        <f>IFERROR(__xludf.DUMMYFUNCTION("""COMPUTED_VALUE"""),"Harbour")</f>
        <v>Harbour</v>
      </c>
      <c r="G4010" s="6" t="str">
        <f>IFERROR(__xludf.DUMMYFUNCTION("""COMPUTED_VALUE"""),"05/03/2010")</f>
        <v>05/03/2010</v>
      </c>
      <c r="H4010" s="6" t="str">
        <f>IFERROR(__xludf.DUMMYFUNCTION("""COMPUTED_VALUE"""),"male")</f>
        <v>male</v>
      </c>
      <c r="I4010" s="6" t="str">
        <f>IFERROR(__xludf.DUMMYFUNCTION("""COMPUTED_VALUE"""),"High School")</f>
        <v>High School</v>
      </c>
      <c r="J4010" s="6" t="str">
        <f>IFERROR(__xludf.DUMMYFUNCTION("""COMPUTED_VALUE"""),"9")</f>
        <v>9</v>
      </c>
      <c r="K4010" s="6" t="str">
        <f>IFERROR(__xludf.DUMMYFUNCTION("""COMPUTED_VALUE"""),"bobby.harbour@2hourlearning.com")</f>
        <v>bobby.harbour@2hourlearning.com</v>
      </c>
      <c r="L4010" s="6" t="str">
        <f>IFERROR(__xludf.DUMMYFUNCTION("""COMPUTED_VALUE"""),"Metro Schools")</f>
        <v>Metro Schools</v>
      </c>
      <c r="M4010" s="6" t="str">
        <f>IFERROR(__xludf.DUMMYFUNCTION("""COMPUTED_VALUE"""),"")</f>
        <v/>
      </c>
      <c r="N4010" s="6" t="str">
        <f>IFERROR(__xludf.DUMMYFUNCTION("""COMPUTED_VALUE"""),"")</f>
        <v/>
      </c>
      <c r="O4010" s="87" t="str">
        <f>IFERROR(__xludf.DUMMYFUNCTION("""COMPUTED_VALUE"""),"https://drive.google.com/drive/folders/10T2cTQHqEJZqE-st6uFKPoI?usp=share_link")</f>
        <v>https://drive.google.com/drive/folders/10T2cTQHqEJZqE-st6uFKPoI?usp=share_link</v>
      </c>
      <c r="P4010" s="6" t="str">
        <f>IFERROR(__xludf.DUMMYFUNCTION("""COMPUTED_VALUE"""),"Bobby Harbour")</f>
        <v>Bobby Harbour</v>
      </c>
      <c r="Q4010" s="6" t="str">
        <f>IFERROR(__xludf.DUMMYFUNCTION("""COMPUTED_VALUE"""),"HS")</f>
        <v>HS</v>
      </c>
      <c r="R4010" s="6">
        <f>IFERROR(__xludf.DUMMYFUNCTION("""COMPUTED_VALUE"""),0.0)</f>
        <v>0</v>
      </c>
      <c r="S4010" s="6" t="str">
        <f>IFERROR(__xludf.DUMMYFUNCTION("""COMPUTED_VALUE"""),"Kimberly Ball")</f>
        <v>Kimberly Ball</v>
      </c>
      <c r="T4010" s="6" t="str">
        <f>IFERROR(__xludf.DUMMYFUNCTION("""COMPUTED_VALUE"""),"kimberly.ball@studient.com")</f>
        <v>kimberly.ball@studient.com</v>
      </c>
      <c r="U4010" s="6" t="str">
        <f>IFERROR(__xludf.DUMMYFUNCTION("""COMPUTED_VALUE"""),"9")</f>
        <v>9</v>
      </c>
      <c r="V4010" s="6" t="str">
        <f>IFERROR(__xludf.DUMMYFUNCTION("""COMPUTED_VALUE"""),"")</f>
        <v/>
      </c>
      <c r="W4010" s="6" t="str">
        <f>IFERROR(__xludf.DUMMYFUNCTION("""COMPUTED_VALUE"""),"[]")</f>
        <v>[]</v>
      </c>
      <c r="X4010" s="6" t="str">
        <f>IFERROR(__xludf.DUMMYFUNCTION("""COMPUTED_VALUE"""),"Enrolled")</f>
        <v>Enrolled</v>
      </c>
    </row>
    <row r="4011">
      <c r="A4011" s="6" t="str">
        <f>IFERROR(__xludf.DUMMYFUNCTION("""COMPUTED_VALUE"""),"079-10488")</f>
        <v>079-10488</v>
      </c>
      <c r="B4011" s="6" t="str">
        <f>IFERROR(__xludf.DUMMYFUNCTION("""COMPUTED_VALUE"""),"79")</f>
        <v>79</v>
      </c>
      <c r="C4011" s="6" t="str">
        <f>IFERROR(__xludf.DUMMYFUNCTION("""COMPUTED_VALUE"""),"10488")</f>
        <v>10488</v>
      </c>
      <c r="D4011" s="6" t="str">
        <f>IFERROR(__xludf.DUMMYFUNCTION("""COMPUTED_VALUE"""),"Zavier")</f>
        <v>Zavier</v>
      </c>
      <c r="E4011" s="6" t="str">
        <f>IFERROR(__xludf.DUMMYFUNCTION("""COMPUTED_VALUE"""),"")</f>
        <v/>
      </c>
      <c r="F4011" s="6" t="str">
        <f>IFERROR(__xludf.DUMMYFUNCTION("""COMPUTED_VALUE"""),"Harris")</f>
        <v>Harris</v>
      </c>
      <c r="G4011" s="6" t="str">
        <f>IFERROR(__xludf.DUMMYFUNCTION("""COMPUTED_VALUE"""),"01/06/2014")</f>
        <v>01/06/2014</v>
      </c>
      <c r="H4011" s="6" t="str">
        <f>IFERROR(__xludf.DUMMYFUNCTION("""COMPUTED_VALUE"""),"male")</f>
        <v>male</v>
      </c>
      <c r="I4011" s="6" t="str">
        <f>IFERROR(__xludf.DUMMYFUNCTION("""COMPUTED_VALUE"""),"Middle School")</f>
        <v>Middle School</v>
      </c>
      <c r="J4011" s="6" t="str">
        <f>IFERROR(__xludf.DUMMYFUNCTION("""COMPUTED_VALUE"""),"6")</f>
        <v>6</v>
      </c>
      <c r="K4011" s="6" t="str">
        <f>IFERROR(__xludf.DUMMYFUNCTION("""COMPUTED_VALUE"""),"zavier.harris@2hourlearning.com")</f>
        <v>zavier.harris@2hourlearning.com</v>
      </c>
      <c r="L4011" s="6" t="str">
        <f>IFERROR(__xludf.DUMMYFUNCTION("""COMPUTED_VALUE"""),"Metro Schools")</f>
        <v>Metro Schools</v>
      </c>
      <c r="M4011" s="6" t="str">
        <f>IFERROR(__xludf.DUMMYFUNCTION("""COMPUTED_VALUE"""),"")</f>
        <v/>
      </c>
      <c r="N4011" s="6" t="str">
        <f>IFERROR(__xludf.DUMMYFUNCTION("""COMPUTED_VALUE"""),"")</f>
        <v/>
      </c>
      <c r="O4011" s="87" t="str">
        <f>IFERROR(__xludf.DUMMYFUNCTION("""COMPUTED_VALUE"""),"https://drive.google.com/drive/folders/10T2cTQHqEJZqE-st6uFKPoI?usp=share_link")</f>
        <v>https://drive.google.com/drive/folders/10T2cTQHqEJZqE-st6uFKPoI?usp=share_link</v>
      </c>
      <c r="P4011" s="6" t="str">
        <f>IFERROR(__xludf.DUMMYFUNCTION("""COMPUTED_VALUE"""),"Zavier Harris")</f>
        <v>Zavier Harris</v>
      </c>
      <c r="Q4011" s="6" t="str">
        <f>IFERROR(__xludf.DUMMYFUNCTION("""COMPUTED_VALUE"""),"MS")</f>
        <v>MS</v>
      </c>
      <c r="R4011" s="6">
        <f>IFERROR(__xludf.DUMMYFUNCTION("""COMPUTED_VALUE"""),0.0)</f>
        <v>0</v>
      </c>
      <c r="S4011" s="6" t="str">
        <f>IFERROR(__xludf.DUMMYFUNCTION("""COMPUTED_VALUE"""),"Kimberly Ball")</f>
        <v>Kimberly Ball</v>
      </c>
      <c r="T4011" s="6" t="str">
        <f>IFERROR(__xludf.DUMMYFUNCTION("""COMPUTED_VALUE"""),"kimberly.ball@studient.com")</f>
        <v>kimberly.ball@studient.com</v>
      </c>
      <c r="U4011" s="6" t="str">
        <f>IFERROR(__xludf.DUMMYFUNCTION("""COMPUTED_VALUE"""),"6")</f>
        <v>6</v>
      </c>
      <c r="V4011" s="6" t="str">
        <f>IFERROR(__xludf.DUMMYFUNCTION("""COMPUTED_VALUE"""),"")</f>
        <v/>
      </c>
      <c r="W4011" s="6" t="str">
        <f>IFERROR(__xludf.DUMMYFUNCTION("""COMPUTED_VALUE"""),"[]")</f>
        <v>[]</v>
      </c>
      <c r="X4011" s="6" t="str">
        <f>IFERROR(__xludf.DUMMYFUNCTION("""COMPUTED_VALUE"""),"Enrolled")</f>
        <v>Enrolled</v>
      </c>
    </row>
    <row r="4012">
      <c r="A4012" s="6" t="str">
        <f>IFERROR(__xludf.DUMMYFUNCTION("""COMPUTED_VALUE"""),"079-10489")</f>
        <v>079-10489</v>
      </c>
      <c r="B4012" s="6" t="str">
        <f>IFERROR(__xludf.DUMMYFUNCTION("""COMPUTED_VALUE"""),"79")</f>
        <v>79</v>
      </c>
      <c r="C4012" s="6" t="str">
        <f>IFERROR(__xludf.DUMMYFUNCTION("""COMPUTED_VALUE"""),"10489")</f>
        <v>10489</v>
      </c>
      <c r="D4012" s="6" t="str">
        <f>IFERROR(__xludf.DUMMYFUNCTION("""COMPUTED_VALUE"""),"Sahra")</f>
        <v>Sahra</v>
      </c>
      <c r="E4012" s="6" t="str">
        <f>IFERROR(__xludf.DUMMYFUNCTION("""COMPUTED_VALUE"""),"")</f>
        <v/>
      </c>
      <c r="F4012" s="6" t="str">
        <f>IFERROR(__xludf.DUMMYFUNCTION("""COMPUTED_VALUE"""),"Hashi")</f>
        <v>Hashi</v>
      </c>
      <c r="G4012" s="6" t="str">
        <f>IFERROR(__xludf.DUMMYFUNCTION("""COMPUTED_VALUE"""),"11/29/2014")</f>
        <v>11/29/2014</v>
      </c>
      <c r="H4012" s="6" t="str">
        <f>IFERROR(__xludf.DUMMYFUNCTION("""COMPUTED_VALUE"""),"female")</f>
        <v>female</v>
      </c>
      <c r="I4012" s="6" t="str">
        <f>IFERROR(__xludf.DUMMYFUNCTION("""COMPUTED_VALUE"""),"Level 2")</f>
        <v>Level 2</v>
      </c>
      <c r="J4012" s="6" t="str">
        <f>IFERROR(__xludf.DUMMYFUNCTION("""COMPUTED_VALUE"""),"5")</f>
        <v>5</v>
      </c>
      <c r="K4012" s="6" t="str">
        <f>IFERROR(__xludf.DUMMYFUNCTION("""COMPUTED_VALUE"""),"sahra.hashi@2hourlearning.com")</f>
        <v>sahra.hashi@2hourlearning.com</v>
      </c>
      <c r="L4012" s="6" t="str">
        <f>IFERROR(__xludf.DUMMYFUNCTION("""COMPUTED_VALUE"""),"Metro Schools")</f>
        <v>Metro Schools</v>
      </c>
      <c r="M4012" s="6" t="str">
        <f>IFERROR(__xludf.DUMMYFUNCTION("""COMPUTED_VALUE"""),"")</f>
        <v/>
      </c>
      <c r="N4012" s="6" t="str">
        <f>IFERROR(__xludf.DUMMYFUNCTION("""COMPUTED_VALUE"""),"")</f>
        <v/>
      </c>
      <c r="O4012" s="87" t="str">
        <f>IFERROR(__xludf.DUMMYFUNCTION("""COMPUTED_VALUE"""),"https://drive.google.com/drive/folders/10T2cTQHqEJZqE-st6uFKPoI?usp=share_link")</f>
        <v>https://drive.google.com/drive/folders/10T2cTQHqEJZqE-st6uFKPoI?usp=share_link</v>
      </c>
      <c r="P4012" s="6" t="str">
        <f>IFERROR(__xludf.DUMMYFUNCTION("""COMPUTED_VALUE"""),"Sahra Hashi")</f>
        <v>Sahra Hashi</v>
      </c>
      <c r="Q4012" s="6" t="str">
        <f>IFERROR(__xludf.DUMMYFUNCTION("""COMPUTED_VALUE"""),"L2")</f>
        <v>L2</v>
      </c>
      <c r="R4012" s="6">
        <f>IFERROR(__xludf.DUMMYFUNCTION("""COMPUTED_VALUE"""),2.0)</f>
        <v>2</v>
      </c>
      <c r="S4012" s="6" t="str">
        <f>IFERROR(__xludf.DUMMYFUNCTION("""COMPUTED_VALUE"""),"Kimberly Ball")</f>
        <v>Kimberly Ball</v>
      </c>
      <c r="T4012" s="6" t="str">
        <f>IFERROR(__xludf.DUMMYFUNCTION("""COMPUTED_VALUE"""),"kimberly.ball@studient.com")</f>
        <v>kimberly.ball@studient.com</v>
      </c>
      <c r="U4012" s="6" t="str">
        <f>IFERROR(__xludf.DUMMYFUNCTION("""COMPUTED_VALUE"""),"5")</f>
        <v>5</v>
      </c>
      <c r="V4012" s="6" t="str">
        <f>IFERROR(__xludf.DUMMYFUNCTION("""COMPUTED_VALUE"""),"")</f>
        <v/>
      </c>
      <c r="W4012" s="6" t="str">
        <f>IFERROR(__xludf.DUMMYFUNCTION("""COMPUTED_VALUE"""),"[]")</f>
        <v>[]</v>
      </c>
      <c r="X4012" s="6" t="str">
        <f>IFERROR(__xludf.DUMMYFUNCTION("""COMPUTED_VALUE"""),"Enrolled")</f>
        <v>Enrolled</v>
      </c>
    </row>
    <row r="4013">
      <c r="A4013" s="6" t="str">
        <f>IFERROR(__xludf.DUMMYFUNCTION("""COMPUTED_VALUE"""),"079-10490")</f>
        <v>079-10490</v>
      </c>
      <c r="B4013" s="6" t="str">
        <f>IFERROR(__xludf.DUMMYFUNCTION("""COMPUTED_VALUE"""),"79")</f>
        <v>79</v>
      </c>
      <c r="C4013" s="6" t="str">
        <f>IFERROR(__xludf.DUMMYFUNCTION("""COMPUTED_VALUE"""),"10490")</f>
        <v>10490</v>
      </c>
      <c r="D4013" s="6" t="str">
        <f>IFERROR(__xludf.DUMMYFUNCTION("""COMPUTED_VALUE"""),"Mariam")</f>
        <v>Mariam</v>
      </c>
      <c r="E4013" s="6" t="str">
        <f>IFERROR(__xludf.DUMMYFUNCTION("""COMPUTED_VALUE"""),"")</f>
        <v/>
      </c>
      <c r="F4013" s="6" t="str">
        <f>IFERROR(__xludf.DUMMYFUNCTION("""COMPUTED_VALUE"""),"Hassan")</f>
        <v>Hassan</v>
      </c>
      <c r="G4013" s="6" t="str">
        <f>IFERROR(__xludf.DUMMYFUNCTION("""COMPUTED_VALUE"""),"09/18/2016")</f>
        <v>09/18/2016</v>
      </c>
      <c r="H4013" s="6" t="str">
        <f>IFERROR(__xludf.DUMMYFUNCTION("""COMPUTED_VALUE"""),"female")</f>
        <v>female</v>
      </c>
      <c r="I4013" s="6" t="str">
        <f>IFERROR(__xludf.DUMMYFUNCTION("""COMPUTED_VALUE"""),"High School")</f>
        <v>High School</v>
      </c>
      <c r="J4013" s="6" t="str">
        <f>IFERROR(__xludf.DUMMYFUNCTION("""COMPUTED_VALUE"""),"10")</f>
        <v>10</v>
      </c>
      <c r="K4013" s="6" t="str">
        <f>IFERROR(__xludf.DUMMYFUNCTION("""COMPUTED_VALUE"""),"mariam.hassan@2hourlearning.com")</f>
        <v>mariam.hassan@2hourlearning.com</v>
      </c>
      <c r="L4013" s="6" t="str">
        <f>IFERROR(__xludf.DUMMYFUNCTION("""COMPUTED_VALUE"""),"Metro Schools")</f>
        <v>Metro Schools</v>
      </c>
      <c r="M4013" s="6" t="str">
        <f>IFERROR(__xludf.DUMMYFUNCTION("""COMPUTED_VALUE"""),"")</f>
        <v/>
      </c>
      <c r="N4013" s="6" t="str">
        <f>IFERROR(__xludf.DUMMYFUNCTION("""COMPUTED_VALUE"""),"")</f>
        <v/>
      </c>
      <c r="O4013" s="87" t="str">
        <f>IFERROR(__xludf.DUMMYFUNCTION("""COMPUTED_VALUE"""),"https://drive.google.com/drive/folders/10T2cTQHqEJZqE-st6uFKPoI?usp=share_link")</f>
        <v>https://drive.google.com/drive/folders/10T2cTQHqEJZqE-st6uFKPoI?usp=share_link</v>
      </c>
      <c r="P4013" s="6" t="str">
        <f>IFERROR(__xludf.DUMMYFUNCTION("""COMPUTED_VALUE"""),"Mariam Hassan")</f>
        <v>Mariam Hassan</v>
      </c>
      <c r="Q4013" s="6" t="str">
        <f>IFERROR(__xludf.DUMMYFUNCTION("""COMPUTED_VALUE"""),"HS")</f>
        <v>HS</v>
      </c>
      <c r="R4013" s="6">
        <f>IFERROR(__xludf.DUMMYFUNCTION("""COMPUTED_VALUE"""),0.0)</f>
        <v>0</v>
      </c>
      <c r="S4013" s="6" t="str">
        <f>IFERROR(__xludf.DUMMYFUNCTION("""COMPUTED_VALUE"""),"Kimberly Ball")</f>
        <v>Kimberly Ball</v>
      </c>
      <c r="T4013" s="6" t="str">
        <f>IFERROR(__xludf.DUMMYFUNCTION("""COMPUTED_VALUE"""),"kimberly.ball@studient.com")</f>
        <v>kimberly.ball@studient.com</v>
      </c>
      <c r="U4013" s="6" t="str">
        <f>IFERROR(__xludf.DUMMYFUNCTION("""COMPUTED_VALUE"""),"10")</f>
        <v>10</v>
      </c>
      <c r="V4013" s="6" t="str">
        <f>IFERROR(__xludf.DUMMYFUNCTION("""COMPUTED_VALUE"""),"")</f>
        <v/>
      </c>
      <c r="W4013" s="6" t="str">
        <f>IFERROR(__xludf.DUMMYFUNCTION("""COMPUTED_VALUE"""),"[]")</f>
        <v>[]</v>
      </c>
      <c r="X4013" s="6" t="str">
        <f>IFERROR(__xludf.DUMMYFUNCTION("""COMPUTED_VALUE"""),"Enrolled")</f>
        <v>Enrolled</v>
      </c>
    </row>
    <row r="4014">
      <c r="A4014" s="6" t="str">
        <f>IFERROR(__xludf.DUMMYFUNCTION("""COMPUTED_VALUE"""),"079-10491")</f>
        <v>079-10491</v>
      </c>
      <c r="B4014" s="6" t="str">
        <f>IFERROR(__xludf.DUMMYFUNCTION("""COMPUTED_VALUE"""),"79")</f>
        <v>79</v>
      </c>
      <c r="C4014" s="6" t="str">
        <f>IFERROR(__xludf.DUMMYFUNCTION("""COMPUTED_VALUE"""),"10491")</f>
        <v>10491</v>
      </c>
      <c r="D4014" s="6" t="str">
        <f>IFERROR(__xludf.DUMMYFUNCTION("""COMPUTED_VALUE"""),"Umayr")</f>
        <v>Umayr</v>
      </c>
      <c r="E4014" s="6" t="str">
        <f>IFERROR(__xludf.DUMMYFUNCTION("""COMPUTED_VALUE"""),"")</f>
        <v/>
      </c>
      <c r="F4014" s="6" t="str">
        <f>IFERROR(__xludf.DUMMYFUNCTION("""COMPUTED_VALUE"""),"Hassan")</f>
        <v>Hassan</v>
      </c>
      <c r="G4014" s="6" t="str">
        <f>IFERROR(__xludf.DUMMYFUNCTION("""COMPUTED_VALUE"""),"06/19/2011")</f>
        <v>06/19/2011</v>
      </c>
      <c r="H4014" s="6" t="str">
        <f>IFERROR(__xludf.DUMMYFUNCTION("""COMPUTED_VALUE"""),"male")</f>
        <v>male</v>
      </c>
      <c r="I4014" s="6" t="str">
        <f>IFERROR(__xludf.DUMMYFUNCTION("""COMPUTED_VALUE"""),"High School")</f>
        <v>High School</v>
      </c>
      <c r="J4014" s="6" t="str">
        <f>IFERROR(__xludf.DUMMYFUNCTION("""COMPUTED_VALUE"""),"9")</f>
        <v>9</v>
      </c>
      <c r="K4014" s="6" t="str">
        <f>IFERROR(__xludf.DUMMYFUNCTION("""COMPUTED_VALUE"""),"umayr.hassan@2hourlearning.com")</f>
        <v>umayr.hassan@2hourlearning.com</v>
      </c>
      <c r="L4014" s="6" t="str">
        <f>IFERROR(__xludf.DUMMYFUNCTION("""COMPUTED_VALUE"""),"Metro Schools")</f>
        <v>Metro Schools</v>
      </c>
      <c r="M4014" s="6" t="str">
        <f>IFERROR(__xludf.DUMMYFUNCTION("""COMPUTED_VALUE"""),"")</f>
        <v/>
      </c>
      <c r="N4014" s="6" t="str">
        <f>IFERROR(__xludf.DUMMYFUNCTION("""COMPUTED_VALUE"""),"")</f>
        <v/>
      </c>
      <c r="O4014" s="87" t="str">
        <f>IFERROR(__xludf.DUMMYFUNCTION("""COMPUTED_VALUE"""),"https://drive.google.com/drive/folders/10T2cTQHqEJZqE-st6uFKPoI?usp=share_link")</f>
        <v>https://drive.google.com/drive/folders/10T2cTQHqEJZqE-st6uFKPoI?usp=share_link</v>
      </c>
      <c r="P4014" s="6" t="str">
        <f>IFERROR(__xludf.DUMMYFUNCTION("""COMPUTED_VALUE"""),"Umayr Hassan")</f>
        <v>Umayr Hassan</v>
      </c>
      <c r="Q4014" s="6" t="str">
        <f>IFERROR(__xludf.DUMMYFUNCTION("""COMPUTED_VALUE"""),"HS")</f>
        <v>HS</v>
      </c>
      <c r="R4014" s="6">
        <f>IFERROR(__xludf.DUMMYFUNCTION("""COMPUTED_VALUE"""),0.0)</f>
        <v>0</v>
      </c>
      <c r="S4014" s="6" t="str">
        <f>IFERROR(__xludf.DUMMYFUNCTION("""COMPUTED_VALUE"""),"Kimberly Ball")</f>
        <v>Kimberly Ball</v>
      </c>
      <c r="T4014" s="6" t="str">
        <f>IFERROR(__xludf.DUMMYFUNCTION("""COMPUTED_VALUE"""),"kimberly.ball@studient.com")</f>
        <v>kimberly.ball@studient.com</v>
      </c>
      <c r="U4014" s="6" t="str">
        <f>IFERROR(__xludf.DUMMYFUNCTION("""COMPUTED_VALUE"""),"9")</f>
        <v>9</v>
      </c>
      <c r="V4014" s="6" t="str">
        <f>IFERROR(__xludf.DUMMYFUNCTION("""COMPUTED_VALUE"""),"")</f>
        <v/>
      </c>
      <c r="W4014" s="6" t="str">
        <f>IFERROR(__xludf.DUMMYFUNCTION("""COMPUTED_VALUE"""),"[]")</f>
        <v>[]</v>
      </c>
      <c r="X4014" s="6" t="str">
        <f>IFERROR(__xludf.DUMMYFUNCTION("""COMPUTED_VALUE"""),"Enrolled")</f>
        <v>Enrolled</v>
      </c>
    </row>
    <row r="4015">
      <c r="A4015" s="6" t="str">
        <f>IFERROR(__xludf.DUMMYFUNCTION("""COMPUTED_VALUE"""),"079-10492")</f>
        <v>079-10492</v>
      </c>
      <c r="B4015" s="6" t="str">
        <f>IFERROR(__xludf.DUMMYFUNCTION("""COMPUTED_VALUE"""),"79")</f>
        <v>79</v>
      </c>
      <c r="C4015" s="6" t="str">
        <f>IFERROR(__xludf.DUMMYFUNCTION("""COMPUTED_VALUE"""),"10492")</f>
        <v>10492</v>
      </c>
      <c r="D4015" s="6" t="str">
        <f>IFERROR(__xludf.DUMMYFUNCTION("""COMPUTED_VALUE"""),"Daphne")</f>
        <v>Daphne</v>
      </c>
      <c r="E4015" s="6" t="str">
        <f>IFERROR(__xludf.DUMMYFUNCTION("""COMPUTED_VALUE"""),"")</f>
        <v/>
      </c>
      <c r="F4015" s="6" t="str">
        <f>IFERROR(__xludf.DUMMYFUNCTION("""COMPUTED_VALUE"""),"Hickey")</f>
        <v>Hickey</v>
      </c>
      <c r="G4015" s="6" t="str">
        <f>IFERROR(__xludf.DUMMYFUNCTION("""COMPUTED_VALUE"""),"07/10/2014")</f>
        <v>07/10/2014</v>
      </c>
      <c r="H4015" s="6" t="str">
        <f>IFERROR(__xludf.DUMMYFUNCTION("""COMPUTED_VALUE"""),"female")</f>
        <v>female</v>
      </c>
      <c r="I4015" s="6" t="str">
        <f>IFERROR(__xludf.DUMMYFUNCTION("""COMPUTED_VALUE"""),"Middle School")</f>
        <v>Middle School</v>
      </c>
      <c r="J4015" s="6" t="str">
        <f>IFERROR(__xludf.DUMMYFUNCTION("""COMPUTED_VALUE"""),"6")</f>
        <v>6</v>
      </c>
      <c r="K4015" s="6" t="str">
        <f>IFERROR(__xludf.DUMMYFUNCTION("""COMPUTED_VALUE"""),"daphne.hickey@2hourlearning.com")</f>
        <v>daphne.hickey@2hourlearning.com</v>
      </c>
      <c r="L4015" s="6" t="str">
        <f>IFERROR(__xludf.DUMMYFUNCTION("""COMPUTED_VALUE"""),"Metro Schools")</f>
        <v>Metro Schools</v>
      </c>
      <c r="M4015" s="6" t="str">
        <f>IFERROR(__xludf.DUMMYFUNCTION("""COMPUTED_VALUE"""),"")</f>
        <v/>
      </c>
      <c r="N4015" s="6" t="str">
        <f>IFERROR(__xludf.DUMMYFUNCTION("""COMPUTED_VALUE"""),"")</f>
        <v/>
      </c>
      <c r="O4015" s="87" t="str">
        <f>IFERROR(__xludf.DUMMYFUNCTION("""COMPUTED_VALUE"""),"https://drive.google.com/drive/folders/10T2cTQHqEJZqE-st6uFKPoI?usp=share_link")</f>
        <v>https://drive.google.com/drive/folders/10T2cTQHqEJZqE-st6uFKPoI?usp=share_link</v>
      </c>
      <c r="P4015" s="6" t="str">
        <f>IFERROR(__xludf.DUMMYFUNCTION("""COMPUTED_VALUE"""),"Daphne Hickey")</f>
        <v>Daphne Hickey</v>
      </c>
      <c r="Q4015" s="6" t="str">
        <f>IFERROR(__xludf.DUMMYFUNCTION("""COMPUTED_VALUE"""),"MS")</f>
        <v>MS</v>
      </c>
      <c r="R4015" s="6">
        <f>IFERROR(__xludf.DUMMYFUNCTION("""COMPUTED_VALUE"""),0.0)</f>
        <v>0</v>
      </c>
      <c r="S4015" s="6" t="str">
        <f>IFERROR(__xludf.DUMMYFUNCTION("""COMPUTED_VALUE"""),"Kimberly Ball")</f>
        <v>Kimberly Ball</v>
      </c>
      <c r="T4015" s="6" t="str">
        <f>IFERROR(__xludf.DUMMYFUNCTION("""COMPUTED_VALUE"""),"kimberly.ball@studient.com")</f>
        <v>kimberly.ball@studient.com</v>
      </c>
      <c r="U4015" s="6" t="str">
        <f>IFERROR(__xludf.DUMMYFUNCTION("""COMPUTED_VALUE"""),"6")</f>
        <v>6</v>
      </c>
      <c r="V4015" s="6" t="str">
        <f>IFERROR(__xludf.DUMMYFUNCTION("""COMPUTED_VALUE"""),"")</f>
        <v/>
      </c>
      <c r="W4015" s="6" t="str">
        <f>IFERROR(__xludf.DUMMYFUNCTION("""COMPUTED_VALUE"""),"[]")</f>
        <v>[]</v>
      </c>
      <c r="X4015" s="6" t="str">
        <f>IFERROR(__xludf.DUMMYFUNCTION("""COMPUTED_VALUE"""),"Enrolled")</f>
        <v>Enrolled</v>
      </c>
    </row>
    <row r="4016">
      <c r="A4016" s="6" t="str">
        <f>IFERROR(__xludf.DUMMYFUNCTION("""COMPUTED_VALUE"""),"079-10493")</f>
        <v>079-10493</v>
      </c>
      <c r="B4016" s="6" t="str">
        <f>IFERROR(__xludf.DUMMYFUNCTION("""COMPUTED_VALUE"""),"79")</f>
        <v>79</v>
      </c>
      <c r="C4016" s="6" t="str">
        <f>IFERROR(__xludf.DUMMYFUNCTION("""COMPUTED_VALUE"""),"10493")</f>
        <v>10493</v>
      </c>
      <c r="D4016" s="6" t="str">
        <f>IFERROR(__xludf.DUMMYFUNCTION("""COMPUTED_VALUE"""),"Jashya")</f>
        <v>Jashya</v>
      </c>
      <c r="E4016" s="6" t="str">
        <f>IFERROR(__xludf.DUMMYFUNCTION("""COMPUTED_VALUE"""),"")</f>
        <v/>
      </c>
      <c r="F4016" s="6" t="str">
        <f>IFERROR(__xludf.DUMMYFUNCTION("""COMPUTED_VALUE"""),"Hutchinson")</f>
        <v>Hutchinson</v>
      </c>
      <c r="G4016" s="6" t="str">
        <f>IFERROR(__xludf.DUMMYFUNCTION("""COMPUTED_VALUE"""),"03/21/2009")</f>
        <v>03/21/2009</v>
      </c>
      <c r="H4016" s="6" t="str">
        <f>IFERROR(__xludf.DUMMYFUNCTION("""COMPUTED_VALUE"""),"female")</f>
        <v>female</v>
      </c>
      <c r="I4016" s="6" t="str">
        <f>IFERROR(__xludf.DUMMYFUNCTION("""COMPUTED_VALUE"""),"High School")</f>
        <v>High School</v>
      </c>
      <c r="J4016" s="6" t="str">
        <f>IFERROR(__xludf.DUMMYFUNCTION("""COMPUTED_VALUE"""),"10")</f>
        <v>10</v>
      </c>
      <c r="K4016" s="6" t="str">
        <f>IFERROR(__xludf.DUMMYFUNCTION("""COMPUTED_VALUE"""),"jashya.hutchinson@2hourlearning.com")</f>
        <v>jashya.hutchinson@2hourlearning.com</v>
      </c>
      <c r="L4016" s="6" t="str">
        <f>IFERROR(__xludf.DUMMYFUNCTION("""COMPUTED_VALUE"""),"Metro Schools")</f>
        <v>Metro Schools</v>
      </c>
      <c r="M4016" s="6" t="str">
        <f>IFERROR(__xludf.DUMMYFUNCTION("""COMPUTED_VALUE"""),"")</f>
        <v/>
      </c>
      <c r="N4016" s="6" t="str">
        <f>IFERROR(__xludf.DUMMYFUNCTION("""COMPUTED_VALUE"""),"")</f>
        <v/>
      </c>
      <c r="O4016" s="87" t="str">
        <f>IFERROR(__xludf.DUMMYFUNCTION("""COMPUTED_VALUE"""),"https://drive.google.com/drive/folders/10T2cTQHqEJZqE-st6uFKPoI?usp=share_link")</f>
        <v>https://drive.google.com/drive/folders/10T2cTQHqEJZqE-st6uFKPoI?usp=share_link</v>
      </c>
      <c r="P4016" s="6" t="str">
        <f>IFERROR(__xludf.DUMMYFUNCTION("""COMPUTED_VALUE"""),"Jashya Hutchinson")</f>
        <v>Jashya Hutchinson</v>
      </c>
      <c r="Q4016" s="6" t="str">
        <f>IFERROR(__xludf.DUMMYFUNCTION("""COMPUTED_VALUE"""),"HS")</f>
        <v>HS</v>
      </c>
      <c r="R4016" s="6">
        <f>IFERROR(__xludf.DUMMYFUNCTION("""COMPUTED_VALUE"""),0.0)</f>
        <v>0</v>
      </c>
      <c r="S4016" s="6" t="str">
        <f>IFERROR(__xludf.DUMMYFUNCTION("""COMPUTED_VALUE"""),"Kimberly Ball")</f>
        <v>Kimberly Ball</v>
      </c>
      <c r="T4016" s="6" t="str">
        <f>IFERROR(__xludf.DUMMYFUNCTION("""COMPUTED_VALUE"""),"kimberly.ball@studient.com")</f>
        <v>kimberly.ball@studient.com</v>
      </c>
      <c r="U4016" s="6" t="str">
        <f>IFERROR(__xludf.DUMMYFUNCTION("""COMPUTED_VALUE"""),"10")</f>
        <v>10</v>
      </c>
      <c r="V4016" s="6" t="str">
        <f>IFERROR(__xludf.DUMMYFUNCTION("""COMPUTED_VALUE"""),"")</f>
        <v/>
      </c>
      <c r="W4016" s="6" t="str">
        <f>IFERROR(__xludf.DUMMYFUNCTION("""COMPUTED_VALUE"""),"[]")</f>
        <v>[]</v>
      </c>
      <c r="X4016" s="6" t="str">
        <f>IFERROR(__xludf.DUMMYFUNCTION("""COMPUTED_VALUE"""),"Enrolled")</f>
        <v>Enrolled</v>
      </c>
    </row>
    <row r="4017">
      <c r="A4017" s="6" t="str">
        <f>IFERROR(__xludf.DUMMYFUNCTION("""COMPUTED_VALUE"""),"079-10495")</f>
        <v>079-10495</v>
      </c>
      <c r="B4017" s="6" t="str">
        <f>IFERROR(__xludf.DUMMYFUNCTION("""COMPUTED_VALUE"""),"79")</f>
        <v>79</v>
      </c>
      <c r="C4017" s="6" t="str">
        <f>IFERROR(__xludf.DUMMYFUNCTION("""COMPUTED_VALUE"""),"10495")</f>
        <v>10495</v>
      </c>
      <c r="D4017" s="6" t="str">
        <f>IFERROR(__xludf.DUMMYFUNCTION("""COMPUTED_VALUE"""),"Riyaq")</f>
        <v>Riyaq</v>
      </c>
      <c r="E4017" s="6" t="str">
        <f>IFERROR(__xludf.DUMMYFUNCTION("""COMPUTED_VALUE"""),"")</f>
        <v/>
      </c>
      <c r="F4017" s="6" t="str">
        <f>IFERROR(__xludf.DUMMYFUNCTION("""COMPUTED_VALUE"""),"Ismail")</f>
        <v>Ismail</v>
      </c>
      <c r="G4017" s="6" t="str">
        <f>IFERROR(__xludf.DUMMYFUNCTION("""COMPUTED_VALUE"""),"05/11/2010")</f>
        <v>05/11/2010</v>
      </c>
      <c r="H4017" s="6" t="str">
        <f>IFERROR(__xludf.DUMMYFUNCTION("""COMPUTED_VALUE"""),"female")</f>
        <v>female</v>
      </c>
      <c r="I4017" s="6" t="str">
        <f>IFERROR(__xludf.DUMMYFUNCTION("""COMPUTED_VALUE"""),"High School")</f>
        <v>High School</v>
      </c>
      <c r="J4017" s="6" t="str">
        <f>IFERROR(__xludf.DUMMYFUNCTION("""COMPUTED_VALUE"""),"10")</f>
        <v>10</v>
      </c>
      <c r="K4017" s="6" t="str">
        <f>IFERROR(__xludf.DUMMYFUNCTION("""COMPUTED_VALUE"""),"riyaq.ismail@2hourlearning.com")</f>
        <v>riyaq.ismail@2hourlearning.com</v>
      </c>
      <c r="L4017" s="6" t="str">
        <f>IFERROR(__xludf.DUMMYFUNCTION("""COMPUTED_VALUE"""),"Metro Schools")</f>
        <v>Metro Schools</v>
      </c>
      <c r="M4017" s="6" t="str">
        <f>IFERROR(__xludf.DUMMYFUNCTION("""COMPUTED_VALUE"""),"")</f>
        <v/>
      </c>
      <c r="N4017" s="6" t="str">
        <f>IFERROR(__xludf.DUMMYFUNCTION("""COMPUTED_VALUE"""),"")</f>
        <v/>
      </c>
      <c r="O4017" s="87" t="str">
        <f>IFERROR(__xludf.DUMMYFUNCTION("""COMPUTED_VALUE"""),"https://drive.google.com/drive/folders/10T2cTQHqEJZqE-st6uFKPoI?usp=share_link")</f>
        <v>https://drive.google.com/drive/folders/10T2cTQHqEJZqE-st6uFKPoI?usp=share_link</v>
      </c>
      <c r="P4017" s="6" t="str">
        <f>IFERROR(__xludf.DUMMYFUNCTION("""COMPUTED_VALUE"""),"Riyaq Ismail")</f>
        <v>Riyaq Ismail</v>
      </c>
      <c r="Q4017" s="6" t="str">
        <f>IFERROR(__xludf.DUMMYFUNCTION("""COMPUTED_VALUE"""),"HS")</f>
        <v>HS</v>
      </c>
      <c r="R4017" s="6">
        <f>IFERROR(__xludf.DUMMYFUNCTION("""COMPUTED_VALUE"""),0.0)</f>
        <v>0</v>
      </c>
      <c r="S4017" s="6" t="str">
        <f>IFERROR(__xludf.DUMMYFUNCTION("""COMPUTED_VALUE"""),"Kimberly Ball")</f>
        <v>Kimberly Ball</v>
      </c>
      <c r="T4017" s="6" t="str">
        <f>IFERROR(__xludf.DUMMYFUNCTION("""COMPUTED_VALUE"""),"kimberly.ball@studient.com")</f>
        <v>kimberly.ball@studient.com</v>
      </c>
      <c r="U4017" s="6" t="str">
        <f>IFERROR(__xludf.DUMMYFUNCTION("""COMPUTED_VALUE"""),"10")</f>
        <v>10</v>
      </c>
      <c r="V4017" s="6" t="str">
        <f>IFERROR(__xludf.DUMMYFUNCTION("""COMPUTED_VALUE"""),"")</f>
        <v/>
      </c>
      <c r="W4017" s="6" t="str">
        <f>IFERROR(__xludf.DUMMYFUNCTION("""COMPUTED_VALUE"""),"[]")</f>
        <v>[]</v>
      </c>
      <c r="X4017" s="6" t="str">
        <f>IFERROR(__xludf.DUMMYFUNCTION("""COMPUTED_VALUE"""),"Enrolled")</f>
        <v>Enrolled</v>
      </c>
    </row>
    <row r="4018">
      <c r="A4018" s="6" t="str">
        <f>IFERROR(__xludf.DUMMYFUNCTION("""COMPUTED_VALUE"""),"079-10496")</f>
        <v>079-10496</v>
      </c>
      <c r="B4018" s="6" t="str">
        <f>IFERROR(__xludf.DUMMYFUNCTION("""COMPUTED_VALUE"""),"79")</f>
        <v>79</v>
      </c>
      <c r="C4018" s="6" t="str">
        <f>IFERROR(__xludf.DUMMYFUNCTION("""COMPUTED_VALUE"""),"10496")</f>
        <v>10496</v>
      </c>
      <c r="D4018" s="6" t="str">
        <f>IFERROR(__xludf.DUMMYFUNCTION("""COMPUTED_VALUE"""),"Vivian")</f>
        <v>Vivian</v>
      </c>
      <c r="E4018" s="6" t="str">
        <f>IFERROR(__xludf.DUMMYFUNCTION("""COMPUTED_VALUE"""),"")</f>
        <v/>
      </c>
      <c r="F4018" s="6" t="str">
        <f>IFERROR(__xludf.DUMMYFUNCTION("""COMPUTED_VALUE"""),"Jarvis")</f>
        <v>Jarvis</v>
      </c>
      <c r="G4018" s="6" t="str">
        <f>IFERROR(__xludf.DUMMYFUNCTION("""COMPUTED_VALUE"""),"03/08/2014")</f>
        <v>03/08/2014</v>
      </c>
      <c r="H4018" s="6" t="str">
        <f>IFERROR(__xludf.DUMMYFUNCTION("""COMPUTED_VALUE"""),"female")</f>
        <v>female</v>
      </c>
      <c r="I4018" s="6" t="str">
        <f>IFERROR(__xludf.DUMMYFUNCTION("""COMPUTED_VALUE"""),"Middle School")</f>
        <v>Middle School</v>
      </c>
      <c r="J4018" s="6" t="str">
        <f>IFERROR(__xludf.DUMMYFUNCTION("""COMPUTED_VALUE"""),"6")</f>
        <v>6</v>
      </c>
      <c r="K4018" s="6" t="str">
        <f>IFERROR(__xludf.DUMMYFUNCTION("""COMPUTED_VALUE"""),"vivian.jarvis@2hourlearning.com")</f>
        <v>vivian.jarvis@2hourlearning.com</v>
      </c>
      <c r="L4018" s="6" t="str">
        <f>IFERROR(__xludf.DUMMYFUNCTION("""COMPUTED_VALUE"""),"Metro Schools")</f>
        <v>Metro Schools</v>
      </c>
      <c r="M4018" s="6" t="str">
        <f>IFERROR(__xludf.DUMMYFUNCTION("""COMPUTED_VALUE"""),"")</f>
        <v/>
      </c>
      <c r="N4018" s="6" t="str">
        <f>IFERROR(__xludf.DUMMYFUNCTION("""COMPUTED_VALUE"""),"")</f>
        <v/>
      </c>
      <c r="O4018" s="87" t="str">
        <f>IFERROR(__xludf.DUMMYFUNCTION("""COMPUTED_VALUE"""),"https://drive.google.com/drive/folders/10T2cTQHqEJZqE-st6uFKPoI?usp=share_link")</f>
        <v>https://drive.google.com/drive/folders/10T2cTQHqEJZqE-st6uFKPoI?usp=share_link</v>
      </c>
      <c r="P4018" s="6" t="str">
        <f>IFERROR(__xludf.DUMMYFUNCTION("""COMPUTED_VALUE"""),"Vivian Jarvis")</f>
        <v>Vivian Jarvis</v>
      </c>
      <c r="Q4018" s="6" t="str">
        <f>IFERROR(__xludf.DUMMYFUNCTION("""COMPUTED_VALUE"""),"MS")</f>
        <v>MS</v>
      </c>
      <c r="R4018" s="6">
        <f>IFERROR(__xludf.DUMMYFUNCTION("""COMPUTED_VALUE"""),0.0)</f>
        <v>0</v>
      </c>
      <c r="S4018" s="6" t="str">
        <f>IFERROR(__xludf.DUMMYFUNCTION("""COMPUTED_VALUE"""),"Kimberly Ball")</f>
        <v>Kimberly Ball</v>
      </c>
      <c r="T4018" s="6" t="str">
        <f>IFERROR(__xludf.DUMMYFUNCTION("""COMPUTED_VALUE"""),"kimberly.ball@studient.com")</f>
        <v>kimberly.ball@studient.com</v>
      </c>
      <c r="U4018" s="6" t="str">
        <f>IFERROR(__xludf.DUMMYFUNCTION("""COMPUTED_VALUE"""),"6")</f>
        <v>6</v>
      </c>
      <c r="V4018" s="6" t="str">
        <f>IFERROR(__xludf.DUMMYFUNCTION("""COMPUTED_VALUE"""),"")</f>
        <v/>
      </c>
      <c r="W4018" s="6" t="str">
        <f>IFERROR(__xludf.DUMMYFUNCTION("""COMPUTED_VALUE"""),"[]")</f>
        <v>[]</v>
      </c>
      <c r="X4018" s="6" t="str">
        <f>IFERROR(__xludf.DUMMYFUNCTION("""COMPUTED_VALUE"""),"Enrolled")</f>
        <v>Enrolled</v>
      </c>
    </row>
    <row r="4019">
      <c r="A4019" s="6" t="str">
        <f>IFERROR(__xludf.DUMMYFUNCTION("""COMPUTED_VALUE"""),"079-10497")</f>
        <v>079-10497</v>
      </c>
      <c r="B4019" s="6" t="str">
        <f>IFERROR(__xludf.DUMMYFUNCTION("""COMPUTED_VALUE"""),"79")</f>
        <v>79</v>
      </c>
      <c r="C4019" s="6" t="str">
        <f>IFERROR(__xludf.DUMMYFUNCTION("""COMPUTED_VALUE"""),"10497")</f>
        <v>10497</v>
      </c>
      <c r="D4019" s="6" t="str">
        <f>IFERROR(__xludf.DUMMYFUNCTION("""COMPUTED_VALUE"""),"Belal")</f>
        <v>Belal</v>
      </c>
      <c r="E4019" s="6" t="str">
        <f>IFERROR(__xludf.DUMMYFUNCTION("""COMPUTED_VALUE"""),"")</f>
        <v/>
      </c>
      <c r="F4019" s="6" t="str">
        <f>IFERROR(__xludf.DUMMYFUNCTION("""COMPUTED_VALUE"""),"Jemal")</f>
        <v>Jemal</v>
      </c>
      <c r="G4019" s="6" t="str">
        <f>IFERROR(__xludf.DUMMYFUNCTION("""COMPUTED_VALUE"""),"01/25/2016")</f>
        <v>01/25/2016</v>
      </c>
      <c r="H4019" s="6" t="str">
        <f>IFERROR(__xludf.DUMMYFUNCTION("""COMPUTED_VALUE"""),"male")</f>
        <v>male</v>
      </c>
      <c r="I4019" s="6" t="str">
        <f>IFERROR(__xludf.DUMMYFUNCTION("""COMPUTED_VALUE"""),"Level 2")</f>
        <v>Level 2</v>
      </c>
      <c r="J4019" s="6" t="str">
        <f>IFERROR(__xludf.DUMMYFUNCTION("""COMPUTED_VALUE"""),"4")</f>
        <v>4</v>
      </c>
      <c r="K4019" s="6" t="str">
        <f>IFERROR(__xludf.DUMMYFUNCTION("""COMPUTED_VALUE"""),"belal.jemal@2hourlearning.com")</f>
        <v>belal.jemal@2hourlearning.com</v>
      </c>
      <c r="L4019" s="6" t="str">
        <f>IFERROR(__xludf.DUMMYFUNCTION("""COMPUTED_VALUE"""),"Metro Schools")</f>
        <v>Metro Schools</v>
      </c>
      <c r="M4019" s="6" t="str">
        <f>IFERROR(__xludf.DUMMYFUNCTION("""COMPUTED_VALUE"""),"")</f>
        <v/>
      </c>
      <c r="N4019" s="6" t="str">
        <f>IFERROR(__xludf.DUMMYFUNCTION("""COMPUTED_VALUE"""),"")</f>
        <v/>
      </c>
      <c r="O4019" s="87" t="str">
        <f>IFERROR(__xludf.DUMMYFUNCTION("""COMPUTED_VALUE"""),"https://drive.google.com/drive/folders/10T2cTQHqEJZqE-st6uFKPoI?usp=share_link")</f>
        <v>https://drive.google.com/drive/folders/10T2cTQHqEJZqE-st6uFKPoI?usp=share_link</v>
      </c>
      <c r="P4019" s="6" t="str">
        <f>IFERROR(__xludf.DUMMYFUNCTION("""COMPUTED_VALUE"""),"Belal Jemal")</f>
        <v>Belal Jemal</v>
      </c>
      <c r="Q4019" s="6" t="str">
        <f>IFERROR(__xludf.DUMMYFUNCTION("""COMPUTED_VALUE"""),"L2")</f>
        <v>L2</v>
      </c>
      <c r="R4019" s="6">
        <f>IFERROR(__xludf.DUMMYFUNCTION("""COMPUTED_VALUE"""),2.0)</f>
        <v>2</v>
      </c>
      <c r="S4019" s="6" t="str">
        <f>IFERROR(__xludf.DUMMYFUNCTION("""COMPUTED_VALUE"""),"Kimberly Ball")</f>
        <v>Kimberly Ball</v>
      </c>
      <c r="T4019" s="6" t="str">
        <f>IFERROR(__xludf.DUMMYFUNCTION("""COMPUTED_VALUE"""),"kimberly.ball@studient.com")</f>
        <v>kimberly.ball@studient.com</v>
      </c>
      <c r="U4019" s="6" t="str">
        <f>IFERROR(__xludf.DUMMYFUNCTION("""COMPUTED_VALUE"""),"4")</f>
        <v>4</v>
      </c>
      <c r="V4019" s="6" t="str">
        <f>IFERROR(__xludf.DUMMYFUNCTION("""COMPUTED_VALUE"""),"")</f>
        <v/>
      </c>
      <c r="W4019" s="6" t="str">
        <f>IFERROR(__xludf.DUMMYFUNCTION("""COMPUTED_VALUE"""),"[]")</f>
        <v>[]</v>
      </c>
      <c r="X4019" s="6" t="str">
        <f>IFERROR(__xludf.DUMMYFUNCTION("""COMPUTED_VALUE"""),"Enrolled")</f>
        <v>Enrolled</v>
      </c>
    </row>
    <row r="4020">
      <c r="A4020" s="6" t="str">
        <f>IFERROR(__xludf.DUMMYFUNCTION("""COMPUTED_VALUE"""),"079-10498")</f>
        <v>079-10498</v>
      </c>
      <c r="B4020" s="6" t="str">
        <f>IFERROR(__xludf.DUMMYFUNCTION("""COMPUTED_VALUE"""),"79")</f>
        <v>79</v>
      </c>
      <c r="C4020" s="6" t="str">
        <f>IFERROR(__xludf.DUMMYFUNCTION("""COMPUTED_VALUE"""),"10498")</f>
        <v>10498</v>
      </c>
      <c r="D4020" s="6" t="str">
        <f>IFERROR(__xludf.DUMMYFUNCTION("""COMPUTED_VALUE"""),"Juney")</f>
        <v>Juney</v>
      </c>
      <c r="E4020" s="6" t="str">
        <f>IFERROR(__xludf.DUMMYFUNCTION("""COMPUTED_VALUE"""),"")</f>
        <v/>
      </c>
      <c r="F4020" s="6" t="str">
        <f>IFERROR(__xludf.DUMMYFUNCTION("""COMPUTED_VALUE"""),"Johnson")</f>
        <v>Johnson</v>
      </c>
      <c r="G4020" s="6" t="str">
        <f>IFERROR(__xludf.DUMMYFUNCTION("""COMPUTED_VALUE"""),"08/31/2014")</f>
        <v>08/31/2014</v>
      </c>
      <c r="H4020" s="6" t="str">
        <f>IFERROR(__xludf.DUMMYFUNCTION("""COMPUTED_VALUE"""),"male")</f>
        <v>male</v>
      </c>
      <c r="I4020" s="6" t="str">
        <f>IFERROR(__xludf.DUMMYFUNCTION("""COMPUTED_VALUE"""),"Middle School")</f>
        <v>Middle School</v>
      </c>
      <c r="J4020" s="6" t="str">
        <f>IFERROR(__xludf.DUMMYFUNCTION("""COMPUTED_VALUE"""),"6")</f>
        <v>6</v>
      </c>
      <c r="K4020" s="6" t="str">
        <f>IFERROR(__xludf.DUMMYFUNCTION("""COMPUTED_VALUE"""),"juney.johnson@2hourlearning.com")</f>
        <v>juney.johnson@2hourlearning.com</v>
      </c>
      <c r="L4020" s="6" t="str">
        <f>IFERROR(__xludf.DUMMYFUNCTION("""COMPUTED_VALUE"""),"Metro Schools")</f>
        <v>Metro Schools</v>
      </c>
      <c r="M4020" s="6" t="str">
        <f>IFERROR(__xludf.DUMMYFUNCTION("""COMPUTED_VALUE"""),"")</f>
        <v/>
      </c>
      <c r="N4020" s="6" t="str">
        <f>IFERROR(__xludf.DUMMYFUNCTION("""COMPUTED_VALUE"""),"")</f>
        <v/>
      </c>
      <c r="O4020" s="87" t="str">
        <f>IFERROR(__xludf.DUMMYFUNCTION("""COMPUTED_VALUE"""),"https://drive.google.com/drive/folders/10T2cTQHqEJZqE-st6uFKPoI?usp=share_link")</f>
        <v>https://drive.google.com/drive/folders/10T2cTQHqEJZqE-st6uFKPoI?usp=share_link</v>
      </c>
      <c r="P4020" s="6" t="str">
        <f>IFERROR(__xludf.DUMMYFUNCTION("""COMPUTED_VALUE"""),"Juney Johnson")</f>
        <v>Juney Johnson</v>
      </c>
      <c r="Q4020" s="6" t="str">
        <f>IFERROR(__xludf.DUMMYFUNCTION("""COMPUTED_VALUE"""),"MS")</f>
        <v>MS</v>
      </c>
      <c r="R4020" s="6">
        <f>IFERROR(__xludf.DUMMYFUNCTION("""COMPUTED_VALUE"""),0.0)</f>
        <v>0</v>
      </c>
      <c r="S4020" s="6" t="str">
        <f>IFERROR(__xludf.DUMMYFUNCTION("""COMPUTED_VALUE"""),"Kimberly Ball")</f>
        <v>Kimberly Ball</v>
      </c>
      <c r="T4020" s="6" t="str">
        <f>IFERROR(__xludf.DUMMYFUNCTION("""COMPUTED_VALUE"""),"kimberly.ball@studient.com")</f>
        <v>kimberly.ball@studient.com</v>
      </c>
      <c r="U4020" s="6" t="str">
        <f>IFERROR(__xludf.DUMMYFUNCTION("""COMPUTED_VALUE"""),"6")</f>
        <v>6</v>
      </c>
      <c r="V4020" s="6" t="str">
        <f>IFERROR(__xludf.DUMMYFUNCTION("""COMPUTED_VALUE"""),"")</f>
        <v/>
      </c>
      <c r="W4020" s="6" t="str">
        <f>IFERROR(__xludf.DUMMYFUNCTION("""COMPUTED_VALUE"""),"[]")</f>
        <v>[]</v>
      </c>
      <c r="X4020" s="6" t="str">
        <f>IFERROR(__xludf.DUMMYFUNCTION("""COMPUTED_VALUE"""),"Enrolled")</f>
        <v>Enrolled</v>
      </c>
    </row>
    <row r="4021">
      <c r="A4021" s="6" t="str">
        <f>IFERROR(__xludf.DUMMYFUNCTION("""COMPUTED_VALUE"""),"079-10500")</f>
        <v>079-10500</v>
      </c>
      <c r="B4021" s="6" t="str">
        <f>IFERROR(__xludf.DUMMYFUNCTION("""COMPUTED_VALUE"""),"79")</f>
        <v>79</v>
      </c>
      <c r="C4021" s="6" t="str">
        <f>IFERROR(__xludf.DUMMYFUNCTION("""COMPUTED_VALUE"""),"10500")</f>
        <v>10500</v>
      </c>
      <c r="D4021" s="6" t="str">
        <f>IFERROR(__xludf.DUMMYFUNCTION("""COMPUTED_VALUE"""),"Leanel")</f>
        <v>Leanel</v>
      </c>
      <c r="E4021" s="6" t="str">
        <f>IFERROR(__xludf.DUMMYFUNCTION("""COMPUTED_VALUE"""),"")</f>
        <v/>
      </c>
      <c r="F4021" s="6" t="str">
        <f>IFERROR(__xludf.DUMMYFUNCTION("""COMPUTED_VALUE"""),"Jones")</f>
        <v>Jones</v>
      </c>
      <c r="G4021" s="6" t="str">
        <f>IFERROR(__xludf.DUMMYFUNCTION("""COMPUTED_VALUE"""),"08/14/2009")</f>
        <v>08/14/2009</v>
      </c>
      <c r="H4021" s="6" t="str">
        <f>IFERROR(__xludf.DUMMYFUNCTION("""COMPUTED_VALUE"""),"male")</f>
        <v>male</v>
      </c>
      <c r="I4021" s="6" t="str">
        <f>IFERROR(__xludf.DUMMYFUNCTION("""COMPUTED_VALUE"""),"High School")</f>
        <v>High School</v>
      </c>
      <c r="J4021" s="6" t="str">
        <f>IFERROR(__xludf.DUMMYFUNCTION("""COMPUTED_VALUE"""),"10")</f>
        <v>10</v>
      </c>
      <c r="K4021" s="6" t="str">
        <f>IFERROR(__xludf.DUMMYFUNCTION("""COMPUTED_VALUE"""),"leanel.jones@2hourlearning.com")</f>
        <v>leanel.jones@2hourlearning.com</v>
      </c>
      <c r="L4021" s="6" t="str">
        <f>IFERROR(__xludf.DUMMYFUNCTION("""COMPUTED_VALUE"""),"Metro Schools")</f>
        <v>Metro Schools</v>
      </c>
      <c r="M4021" s="6" t="str">
        <f>IFERROR(__xludf.DUMMYFUNCTION("""COMPUTED_VALUE"""),"")</f>
        <v/>
      </c>
      <c r="N4021" s="6" t="str">
        <f>IFERROR(__xludf.DUMMYFUNCTION("""COMPUTED_VALUE"""),"")</f>
        <v/>
      </c>
      <c r="O4021" s="87" t="str">
        <f>IFERROR(__xludf.DUMMYFUNCTION("""COMPUTED_VALUE"""),"https://drive.google.com/drive/folders/10T2cTQHqEJZqE-st6uFKPoI?usp=share_link")</f>
        <v>https://drive.google.com/drive/folders/10T2cTQHqEJZqE-st6uFKPoI?usp=share_link</v>
      </c>
      <c r="P4021" s="6" t="str">
        <f>IFERROR(__xludf.DUMMYFUNCTION("""COMPUTED_VALUE"""),"Leanel Jones")</f>
        <v>Leanel Jones</v>
      </c>
      <c r="Q4021" s="6" t="str">
        <f>IFERROR(__xludf.DUMMYFUNCTION("""COMPUTED_VALUE"""),"HS")</f>
        <v>HS</v>
      </c>
      <c r="R4021" s="6">
        <f>IFERROR(__xludf.DUMMYFUNCTION("""COMPUTED_VALUE"""),0.0)</f>
        <v>0</v>
      </c>
      <c r="S4021" s="6" t="str">
        <f>IFERROR(__xludf.DUMMYFUNCTION("""COMPUTED_VALUE"""),"Kimberly Ball")</f>
        <v>Kimberly Ball</v>
      </c>
      <c r="T4021" s="6" t="str">
        <f>IFERROR(__xludf.DUMMYFUNCTION("""COMPUTED_VALUE"""),"kimberly.ball@studient.com")</f>
        <v>kimberly.ball@studient.com</v>
      </c>
      <c r="U4021" s="6" t="str">
        <f>IFERROR(__xludf.DUMMYFUNCTION("""COMPUTED_VALUE"""),"10")</f>
        <v>10</v>
      </c>
      <c r="V4021" s="6" t="str">
        <f>IFERROR(__xludf.DUMMYFUNCTION("""COMPUTED_VALUE"""),"")</f>
        <v/>
      </c>
      <c r="W4021" s="6" t="str">
        <f>IFERROR(__xludf.DUMMYFUNCTION("""COMPUTED_VALUE"""),"[]")</f>
        <v>[]</v>
      </c>
      <c r="X4021" s="6" t="str">
        <f>IFERROR(__xludf.DUMMYFUNCTION("""COMPUTED_VALUE"""),"Enrolled")</f>
        <v>Enrolled</v>
      </c>
    </row>
    <row r="4022">
      <c r="A4022" s="6" t="str">
        <f>IFERROR(__xludf.DUMMYFUNCTION("""COMPUTED_VALUE"""),"079-10501")</f>
        <v>079-10501</v>
      </c>
      <c r="B4022" s="6" t="str">
        <f>IFERROR(__xludf.DUMMYFUNCTION("""COMPUTED_VALUE"""),"79")</f>
        <v>79</v>
      </c>
      <c r="C4022" s="6" t="str">
        <f>IFERROR(__xludf.DUMMYFUNCTION("""COMPUTED_VALUE"""),"10501")</f>
        <v>10501</v>
      </c>
      <c r="D4022" s="6" t="str">
        <f>IFERROR(__xludf.DUMMYFUNCTION("""COMPUTED_VALUE"""),"Zaida")</f>
        <v>Zaida</v>
      </c>
      <c r="E4022" s="6" t="str">
        <f>IFERROR(__xludf.DUMMYFUNCTION("""COMPUTED_VALUE"""),"")</f>
        <v/>
      </c>
      <c r="F4022" s="6" t="str">
        <f>IFERROR(__xludf.DUMMYFUNCTION("""COMPUTED_VALUE"""),"Jones")</f>
        <v>Jones</v>
      </c>
      <c r="G4022" s="6" t="str">
        <f>IFERROR(__xludf.DUMMYFUNCTION("""COMPUTED_VALUE"""),"09/18/2014")</f>
        <v>09/18/2014</v>
      </c>
      <c r="H4022" s="6" t="str">
        <f>IFERROR(__xludf.DUMMYFUNCTION("""COMPUTED_VALUE"""),"female")</f>
        <v>female</v>
      </c>
      <c r="I4022" s="6" t="str">
        <f>IFERROR(__xludf.DUMMYFUNCTION("""COMPUTED_VALUE"""),"Middle School")</f>
        <v>Middle School</v>
      </c>
      <c r="J4022" s="6" t="str">
        <f>IFERROR(__xludf.DUMMYFUNCTION("""COMPUTED_VALUE"""),"6")</f>
        <v>6</v>
      </c>
      <c r="K4022" s="6" t="str">
        <f>IFERROR(__xludf.DUMMYFUNCTION("""COMPUTED_VALUE"""),"zaida.jones@2hourlearning.com")</f>
        <v>zaida.jones@2hourlearning.com</v>
      </c>
      <c r="L4022" s="6" t="str">
        <f>IFERROR(__xludf.DUMMYFUNCTION("""COMPUTED_VALUE"""),"Metro Schools")</f>
        <v>Metro Schools</v>
      </c>
      <c r="M4022" s="6" t="str">
        <f>IFERROR(__xludf.DUMMYFUNCTION("""COMPUTED_VALUE"""),"")</f>
        <v/>
      </c>
      <c r="N4022" s="6" t="str">
        <f>IFERROR(__xludf.DUMMYFUNCTION("""COMPUTED_VALUE"""),"")</f>
        <v/>
      </c>
      <c r="O4022" s="87" t="str">
        <f>IFERROR(__xludf.DUMMYFUNCTION("""COMPUTED_VALUE"""),"https://drive.google.com/drive/folders/10T2cTQHqEJZqE-st6uFKPoI?usp=share_link")</f>
        <v>https://drive.google.com/drive/folders/10T2cTQHqEJZqE-st6uFKPoI?usp=share_link</v>
      </c>
      <c r="P4022" s="6" t="str">
        <f>IFERROR(__xludf.DUMMYFUNCTION("""COMPUTED_VALUE"""),"Zaida Jones")</f>
        <v>Zaida Jones</v>
      </c>
      <c r="Q4022" s="6" t="str">
        <f>IFERROR(__xludf.DUMMYFUNCTION("""COMPUTED_VALUE"""),"MS")</f>
        <v>MS</v>
      </c>
      <c r="R4022" s="6">
        <f>IFERROR(__xludf.DUMMYFUNCTION("""COMPUTED_VALUE"""),0.0)</f>
        <v>0</v>
      </c>
      <c r="S4022" s="6" t="str">
        <f>IFERROR(__xludf.DUMMYFUNCTION("""COMPUTED_VALUE"""),"Kimberly Ball")</f>
        <v>Kimberly Ball</v>
      </c>
      <c r="T4022" s="6" t="str">
        <f>IFERROR(__xludf.DUMMYFUNCTION("""COMPUTED_VALUE"""),"kimberly.ball@studient.com")</f>
        <v>kimberly.ball@studient.com</v>
      </c>
      <c r="U4022" s="6" t="str">
        <f>IFERROR(__xludf.DUMMYFUNCTION("""COMPUTED_VALUE"""),"6")</f>
        <v>6</v>
      </c>
      <c r="V4022" s="6" t="str">
        <f>IFERROR(__xludf.DUMMYFUNCTION("""COMPUTED_VALUE"""),"")</f>
        <v/>
      </c>
      <c r="W4022" s="6" t="str">
        <f>IFERROR(__xludf.DUMMYFUNCTION("""COMPUTED_VALUE"""),"[]")</f>
        <v>[]</v>
      </c>
      <c r="X4022" s="6" t="str">
        <f>IFERROR(__xludf.DUMMYFUNCTION("""COMPUTED_VALUE"""),"Enrolled")</f>
        <v>Enrolled</v>
      </c>
    </row>
    <row r="4023">
      <c r="A4023" s="6" t="str">
        <f>IFERROR(__xludf.DUMMYFUNCTION("""COMPUTED_VALUE"""),"079-10502")</f>
        <v>079-10502</v>
      </c>
      <c r="B4023" s="6" t="str">
        <f>IFERROR(__xludf.DUMMYFUNCTION("""COMPUTED_VALUE"""),"79")</f>
        <v>79</v>
      </c>
      <c r="C4023" s="6" t="str">
        <f>IFERROR(__xludf.DUMMYFUNCTION("""COMPUTED_VALUE"""),"10502")</f>
        <v>10502</v>
      </c>
      <c r="D4023" s="6" t="str">
        <f>IFERROR(__xludf.DUMMYFUNCTION("""COMPUTED_VALUE"""),"Abdul")</f>
        <v>Abdul</v>
      </c>
      <c r="E4023" s="6" t="str">
        <f>IFERROR(__xludf.DUMMYFUNCTION("""COMPUTED_VALUE"""),"")</f>
        <v/>
      </c>
      <c r="F4023" s="6" t="str">
        <f>IFERROR(__xludf.DUMMYFUNCTION("""COMPUTED_VALUE"""),"Kane")</f>
        <v>Kane</v>
      </c>
      <c r="G4023" s="6" t="str">
        <f>IFERROR(__xludf.DUMMYFUNCTION("""COMPUTED_VALUE"""),"05/21/2014")</f>
        <v>05/21/2014</v>
      </c>
      <c r="H4023" s="6" t="str">
        <f>IFERROR(__xludf.DUMMYFUNCTION("""COMPUTED_VALUE"""),"male")</f>
        <v>male</v>
      </c>
      <c r="I4023" s="6" t="str">
        <f>IFERROR(__xludf.DUMMYFUNCTION("""COMPUTED_VALUE"""),"Middle School")</f>
        <v>Middle School</v>
      </c>
      <c r="J4023" s="6" t="str">
        <f>IFERROR(__xludf.DUMMYFUNCTION("""COMPUTED_VALUE"""),"6")</f>
        <v>6</v>
      </c>
      <c r="K4023" s="6" t="str">
        <f>IFERROR(__xludf.DUMMYFUNCTION("""COMPUTED_VALUE"""),"abdul.kane@2hourlearning.com")</f>
        <v>abdul.kane@2hourlearning.com</v>
      </c>
      <c r="L4023" s="6" t="str">
        <f>IFERROR(__xludf.DUMMYFUNCTION("""COMPUTED_VALUE"""),"Metro Schools")</f>
        <v>Metro Schools</v>
      </c>
      <c r="M4023" s="6" t="str">
        <f>IFERROR(__xludf.DUMMYFUNCTION("""COMPUTED_VALUE"""),"")</f>
        <v/>
      </c>
      <c r="N4023" s="6" t="str">
        <f>IFERROR(__xludf.DUMMYFUNCTION("""COMPUTED_VALUE"""),"")</f>
        <v/>
      </c>
      <c r="O4023" s="87" t="str">
        <f>IFERROR(__xludf.DUMMYFUNCTION("""COMPUTED_VALUE"""),"https://drive.google.com/drive/folders/10T2cTQHqEJZqE-st6uFKPoI?usp=share_link")</f>
        <v>https://drive.google.com/drive/folders/10T2cTQHqEJZqE-st6uFKPoI?usp=share_link</v>
      </c>
      <c r="P4023" s="6" t="str">
        <f>IFERROR(__xludf.DUMMYFUNCTION("""COMPUTED_VALUE"""),"Abdul Kane")</f>
        <v>Abdul Kane</v>
      </c>
      <c r="Q4023" s="6" t="str">
        <f>IFERROR(__xludf.DUMMYFUNCTION("""COMPUTED_VALUE"""),"MS")</f>
        <v>MS</v>
      </c>
      <c r="R4023" s="6">
        <f>IFERROR(__xludf.DUMMYFUNCTION("""COMPUTED_VALUE"""),0.0)</f>
        <v>0</v>
      </c>
      <c r="S4023" s="6" t="str">
        <f>IFERROR(__xludf.DUMMYFUNCTION("""COMPUTED_VALUE"""),"Kimberly Ball")</f>
        <v>Kimberly Ball</v>
      </c>
      <c r="T4023" s="6" t="str">
        <f>IFERROR(__xludf.DUMMYFUNCTION("""COMPUTED_VALUE"""),"kimberly.ball@studient.com")</f>
        <v>kimberly.ball@studient.com</v>
      </c>
      <c r="U4023" s="6" t="str">
        <f>IFERROR(__xludf.DUMMYFUNCTION("""COMPUTED_VALUE"""),"6")</f>
        <v>6</v>
      </c>
      <c r="V4023" s="6" t="str">
        <f>IFERROR(__xludf.DUMMYFUNCTION("""COMPUTED_VALUE"""),"")</f>
        <v/>
      </c>
      <c r="W4023" s="6" t="str">
        <f>IFERROR(__xludf.DUMMYFUNCTION("""COMPUTED_VALUE"""),"[]")</f>
        <v>[]</v>
      </c>
      <c r="X4023" s="6" t="str">
        <f>IFERROR(__xludf.DUMMYFUNCTION("""COMPUTED_VALUE"""),"Enrolled")</f>
        <v>Enrolled</v>
      </c>
    </row>
    <row r="4024">
      <c r="A4024" s="6" t="str">
        <f>IFERROR(__xludf.DUMMYFUNCTION("""COMPUTED_VALUE"""),"079-10503")</f>
        <v>079-10503</v>
      </c>
      <c r="B4024" s="6" t="str">
        <f>IFERROR(__xludf.DUMMYFUNCTION("""COMPUTED_VALUE"""),"79")</f>
        <v>79</v>
      </c>
      <c r="C4024" s="6" t="str">
        <f>IFERROR(__xludf.DUMMYFUNCTION("""COMPUTED_VALUE"""),"10503")</f>
        <v>10503</v>
      </c>
      <c r="D4024" s="6" t="str">
        <f>IFERROR(__xludf.DUMMYFUNCTION("""COMPUTED_VALUE"""),"Ahmed")</f>
        <v>Ahmed</v>
      </c>
      <c r="E4024" s="6" t="str">
        <f>IFERROR(__xludf.DUMMYFUNCTION("""COMPUTED_VALUE"""),"")</f>
        <v/>
      </c>
      <c r="F4024" s="6" t="str">
        <f>IFERROR(__xludf.DUMMYFUNCTION("""COMPUTED_VALUE"""),"Kheyr")</f>
        <v>Kheyr</v>
      </c>
      <c r="G4024" s="6" t="str">
        <f>IFERROR(__xludf.DUMMYFUNCTION("""COMPUTED_VALUE"""),"10/16/2012")</f>
        <v>10/16/2012</v>
      </c>
      <c r="H4024" s="6" t="str">
        <f>IFERROR(__xludf.DUMMYFUNCTION("""COMPUTED_VALUE"""),"male")</f>
        <v>male</v>
      </c>
      <c r="I4024" s="6" t="str">
        <f>IFERROR(__xludf.DUMMYFUNCTION("""COMPUTED_VALUE"""),"Middle School")</f>
        <v>Middle School</v>
      </c>
      <c r="J4024" s="6" t="str">
        <f>IFERROR(__xludf.DUMMYFUNCTION("""COMPUTED_VALUE"""),"8")</f>
        <v>8</v>
      </c>
      <c r="K4024" s="6" t="str">
        <f>IFERROR(__xludf.DUMMYFUNCTION("""COMPUTED_VALUE"""),"ahmed.kheyr@2hourlearning.com")</f>
        <v>ahmed.kheyr@2hourlearning.com</v>
      </c>
      <c r="L4024" s="6" t="str">
        <f>IFERROR(__xludf.DUMMYFUNCTION("""COMPUTED_VALUE"""),"Metro Schools")</f>
        <v>Metro Schools</v>
      </c>
      <c r="M4024" s="6" t="str">
        <f>IFERROR(__xludf.DUMMYFUNCTION("""COMPUTED_VALUE"""),"")</f>
        <v/>
      </c>
      <c r="N4024" s="6" t="str">
        <f>IFERROR(__xludf.DUMMYFUNCTION("""COMPUTED_VALUE"""),"")</f>
        <v/>
      </c>
      <c r="O4024" s="87" t="str">
        <f>IFERROR(__xludf.DUMMYFUNCTION("""COMPUTED_VALUE"""),"https://drive.google.com/drive/folders/10T2cTQHqEJZqE-st6uFKPoI?usp=share_link")</f>
        <v>https://drive.google.com/drive/folders/10T2cTQHqEJZqE-st6uFKPoI?usp=share_link</v>
      </c>
      <c r="P4024" s="6" t="str">
        <f>IFERROR(__xludf.DUMMYFUNCTION("""COMPUTED_VALUE"""),"Ahmed Kheyr")</f>
        <v>Ahmed Kheyr</v>
      </c>
      <c r="Q4024" s="6" t="str">
        <f>IFERROR(__xludf.DUMMYFUNCTION("""COMPUTED_VALUE"""),"MS")</f>
        <v>MS</v>
      </c>
      <c r="R4024" s="6">
        <f>IFERROR(__xludf.DUMMYFUNCTION("""COMPUTED_VALUE"""),0.0)</f>
        <v>0</v>
      </c>
      <c r="S4024" s="6" t="str">
        <f>IFERROR(__xludf.DUMMYFUNCTION("""COMPUTED_VALUE"""),"Kimberly Ball")</f>
        <v>Kimberly Ball</v>
      </c>
      <c r="T4024" s="6" t="str">
        <f>IFERROR(__xludf.DUMMYFUNCTION("""COMPUTED_VALUE"""),"kimberly.ball@studient.com")</f>
        <v>kimberly.ball@studient.com</v>
      </c>
      <c r="U4024" s="6" t="str">
        <f>IFERROR(__xludf.DUMMYFUNCTION("""COMPUTED_VALUE"""),"8")</f>
        <v>8</v>
      </c>
      <c r="V4024" s="6" t="str">
        <f>IFERROR(__xludf.DUMMYFUNCTION("""COMPUTED_VALUE"""),"")</f>
        <v/>
      </c>
      <c r="W4024" s="6" t="str">
        <f>IFERROR(__xludf.DUMMYFUNCTION("""COMPUTED_VALUE"""),"[]")</f>
        <v>[]</v>
      </c>
      <c r="X4024" s="6" t="str">
        <f>IFERROR(__xludf.DUMMYFUNCTION("""COMPUTED_VALUE"""),"Enrolled")</f>
        <v>Enrolled</v>
      </c>
    </row>
    <row r="4025">
      <c r="A4025" s="6" t="str">
        <f>IFERROR(__xludf.DUMMYFUNCTION("""COMPUTED_VALUE"""),"079-10504")</f>
        <v>079-10504</v>
      </c>
      <c r="B4025" s="6" t="str">
        <f>IFERROR(__xludf.DUMMYFUNCTION("""COMPUTED_VALUE"""),"79")</f>
        <v>79</v>
      </c>
      <c r="C4025" s="6" t="str">
        <f>IFERROR(__xludf.DUMMYFUNCTION("""COMPUTED_VALUE"""),"10504")</f>
        <v>10504</v>
      </c>
      <c r="D4025" s="6" t="str">
        <f>IFERROR(__xludf.DUMMYFUNCTION("""COMPUTED_VALUE"""),"Kaiden")</f>
        <v>Kaiden</v>
      </c>
      <c r="E4025" s="6" t="str">
        <f>IFERROR(__xludf.DUMMYFUNCTION("""COMPUTED_VALUE"""),"")</f>
        <v/>
      </c>
      <c r="F4025" s="6" t="str">
        <f>IFERROR(__xludf.DUMMYFUNCTION("""COMPUTED_VALUE"""),"Layton")</f>
        <v>Layton</v>
      </c>
      <c r="G4025" s="6" t="str">
        <f>IFERROR(__xludf.DUMMYFUNCTION("""COMPUTED_VALUE"""),"12/07/2009")</f>
        <v>12/07/2009</v>
      </c>
      <c r="H4025" s="6" t="str">
        <f>IFERROR(__xludf.DUMMYFUNCTION("""COMPUTED_VALUE"""),"male")</f>
        <v>male</v>
      </c>
      <c r="I4025" s="6" t="str">
        <f>IFERROR(__xludf.DUMMYFUNCTION("""COMPUTED_VALUE"""),"High School")</f>
        <v>High School</v>
      </c>
      <c r="J4025" s="6" t="str">
        <f>IFERROR(__xludf.DUMMYFUNCTION("""COMPUTED_VALUE"""),"9")</f>
        <v>9</v>
      </c>
      <c r="K4025" s="6" t="str">
        <f>IFERROR(__xludf.DUMMYFUNCTION("""COMPUTED_VALUE"""),"kaiden.layton@2hourlearning.com")</f>
        <v>kaiden.layton@2hourlearning.com</v>
      </c>
      <c r="L4025" s="6" t="str">
        <f>IFERROR(__xludf.DUMMYFUNCTION("""COMPUTED_VALUE"""),"Metro Schools")</f>
        <v>Metro Schools</v>
      </c>
      <c r="M4025" s="6" t="str">
        <f>IFERROR(__xludf.DUMMYFUNCTION("""COMPUTED_VALUE"""),"")</f>
        <v/>
      </c>
      <c r="N4025" s="6" t="str">
        <f>IFERROR(__xludf.DUMMYFUNCTION("""COMPUTED_VALUE"""),"")</f>
        <v/>
      </c>
      <c r="O4025" s="87" t="str">
        <f>IFERROR(__xludf.DUMMYFUNCTION("""COMPUTED_VALUE"""),"https://drive.google.com/drive/folders/10T2cTQHqEJZqE-st6uFKPoI?usp=share_link")</f>
        <v>https://drive.google.com/drive/folders/10T2cTQHqEJZqE-st6uFKPoI?usp=share_link</v>
      </c>
      <c r="P4025" s="6" t="str">
        <f>IFERROR(__xludf.DUMMYFUNCTION("""COMPUTED_VALUE"""),"Kaiden Layton")</f>
        <v>Kaiden Layton</v>
      </c>
      <c r="Q4025" s="6" t="str">
        <f>IFERROR(__xludf.DUMMYFUNCTION("""COMPUTED_VALUE"""),"HS")</f>
        <v>HS</v>
      </c>
      <c r="R4025" s="6">
        <f>IFERROR(__xludf.DUMMYFUNCTION("""COMPUTED_VALUE"""),0.0)</f>
        <v>0</v>
      </c>
      <c r="S4025" s="6" t="str">
        <f>IFERROR(__xludf.DUMMYFUNCTION("""COMPUTED_VALUE"""),"Kimberly Ball")</f>
        <v>Kimberly Ball</v>
      </c>
      <c r="T4025" s="6" t="str">
        <f>IFERROR(__xludf.DUMMYFUNCTION("""COMPUTED_VALUE"""),"kimberly.ball@studient.com")</f>
        <v>kimberly.ball@studient.com</v>
      </c>
      <c r="U4025" s="6" t="str">
        <f>IFERROR(__xludf.DUMMYFUNCTION("""COMPUTED_VALUE"""),"9")</f>
        <v>9</v>
      </c>
      <c r="V4025" s="6" t="str">
        <f>IFERROR(__xludf.DUMMYFUNCTION("""COMPUTED_VALUE"""),"")</f>
        <v/>
      </c>
      <c r="W4025" s="6" t="str">
        <f>IFERROR(__xludf.DUMMYFUNCTION("""COMPUTED_VALUE"""),"[]")</f>
        <v>[]</v>
      </c>
      <c r="X4025" s="6" t="str">
        <f>IFERROR(__xludf.DUMMYFUNCTION("""COMPUTED_VALUE"""),"Enrolled")</f>
        <v>Enrolled</v>
      </c>
    </row>
    <row r="4026">
      <c r="A4026" s="6" t="str">
        <f>IFERROR(__xludf.DUMMYFUNCTION("""COMPUTED_VALUE"""),"079-10505")</f>
        <v>079-10505</v>
      </c>
      <c r="B4026" s="6" t="str">
        <f>IFERROR(__xludf.DUMMYFUNCTION("""COMPUTED_VALUE"""),"79")</f>
        <v>79</v>
      </c>
      <c r="C4026" s="6" t="str">
        <f>IFERROR(__xludf.DUMMYFUNCTION("""COMPUTED_VALUE"""),"10505")</f>
        <v>10505</v>
      </c>
      <c r="D4026" s="6" t="str">
        <f>IFERROR(__xludf.DUMMYFUNCTION("""COMPUTED_VALUE"""),"Auni")</f>
        <v>Auni</v>
      </c>
      <c r="E4026" s="6" t="str">
        <f>IFERROR(__xludf.DUMMYFUNCTION("""COMPUTED_VALUE"""),"")</f>
        <v/>
      </c>
      <c r="F4026" s="6" t="str">
        <f>IFERROR(__xludf.DUMMYFUNCTION("""COMPUTED_VALUE"""),"Long")</f>
        <v>Long</v>
      </c>
      <c r="G4026" s="6" t="str">
        <f>IFERROR(__xludf.DUMMYFUNCTION("""COMPUTED_VALUE"""),"06/15/2015")</f>
        <v>06/15/2015</v>
      </c>
      <c r="H4026" s="6" t="str">
        <f>IFERROR(__xludf.DUMMYFUNCTION("""COMPUTED_VALUE"""),"female")</f>
        <v>female</v>
      </c>
      <c r="I4026" s="6" t="str">
        <f>IFERROR(__xludf.DUMMYFUNCTION("""COMPUTED_VALUE"""),"Level 2")</f>
        <v>Level 2</v>
      </c>
      <c r="J4026" s="6" t="str">
        <f>IFERROR(__xludf.DUMMYFUNCTION("""COMPUTED_VALUE"""),"5")</f>
        <v>5</v>
      </c>
      <c r="K4026" s="6" t="str">
        <f>IFERROR(__xludf.DUMMYFUNCTION("""COMPUTED_VALUE"""),"auni.long@2hourlearning.com")</f>
        <v>auni.long@2hourlearning.com</v>
      </c>
      <c r="L4026" s="6" t="str">
        <f>IFERROR(__xludf.DUMMYFUNCTION("""COMPUTED_VALUE"""),"Metro Schools")</f>
        <v>Metro Schools</v>
      </c>
      <c r="M4026" s="6" t="str">
        <f>IFERROR(__xludf.DUMMYFUNCTION("""COMPUTED_VALUE"""),"")</f>
        <v/>
      </c>
      <c r="N4026" s="6" t="str">
        <f>IFERROR(__xludf.DUMMYFUNCTION("""COMPUTED_VALUE"""),"")</f>
        <v/>
      </c>
      <c r="O4026" s="87" t="str">
        <f>IFERROR(__xludf.DUMMYFUNCTION("""COMPUTED_VALUE"""),"https://drive.google.com/drive/folders/10T2cTQHqEJZqE-st6uFKPoI?usp=share_link")</f>
        <v>https://drive.google.com/drive/folders/10T2cTQHqEJZqE-st6uFKPoI?usp=share_link</v>
      </c>
      <c r="P4026" s="6" t="str">
        <f>IFERROR(__xludf.DUMMYFUNCTION("""COMPUTED_VALUE"""),"Auni Long")</f>
        <v>Auni Long</v>
      </c>
      <c r="Q4026" s="6" t="str">
        <f>IFERROR(__xludf.DUMMYFUNCTION("""COMPUTED_VALUE"""),"L2")</f>
        <v>L2</v>
      </c>
      <c r="R4026" s="6">
        <f>IFERROR(__xludf.DUMMYFUNCTION("""COMPUTED_VALUE"""),2.0)</f>
        <v>2</v>
      </c>
      <c r="S4026" s="6" t="str">
        <f>IFERROR(__xludf.DUMMYFUNCTION("""COMPUTED_VALUE"""),"Kimberly Ball")</f>
        <v>Kimberly Ball</v>
      </c>
      <c r="T4026" s="6" t="str">
        <f>IFERROR(__xludf.DUMMYFUNCTION("""COMPUTED_VALUE"""),"kimberly.ball@studient.com")</f>
        <v>kimberly.ball@studient.com</v>
      </c>
      <c r="U4026" s="6" t="str">
        <f>IFERROR(__xludf.DUMMYFUNCTION("""COMPUTED_VALUE"""),"5")</f>
        <v>5</v>
      </c>
      <c r="V4026" s="6" t="str">
        <f>IFERROR(__xludf.DUMMYFUNCTION("""COMPUTED_VALUE"""),"")</f>
        <v/>
      </c>
      <c r="W4026" s="6" t="str">
        <f>IFERROR(__xludf.DUMMYFUNCTION("""COMPUTED_VALUE"""),"[]")</f>
        <v>[]</v>
      </c>
      <c r="X4026" s="6" t="str">
        <f>IFERROR(__xludf.DUMMYFUNCTION("""COMPUTED_VALUE"""),"Enrolled")</f>
        <v>Enrolled</v>
      </c>
    </row>
    <row r="4027">
      <c r="A4027" s="6" t="str">
        <f>IFERROR(__xludf.DUMMYFUNCTION("""COMPUTED_VALUE"""),"079-10506")</f>
        <v>079-10506</v>
      </c>
      <c r="B4027" s="6" t="str">
        <f>IFERROR(__xludf.DUMMYFUNCTION("""COMPUTED_VALUE"""),"79")</f>
        <v>79</v>
      </c>
      <c r="C4027" s="6" t="str">
        <f>IFERROR(__xludf.DUMMYFUNCTION("""COMPUTED_VALUE"""),"10506")</f>
        <v>10506</v>
      </c>
      <c r="D4027" s="6" t="str">
        <f>IFERROR(__xludf.DUMMYFUNCTION("""COMPUTED_VALUE"""),"King")</f>
        <v>King</v>
      </c>
      <c r="E4027" s="6" t="str">
        <f>IFERROR(__xludf.DUMMYFUNCTION("""COMPUTED_VALUE"""),"")</f>
        <v/>
      </c>
      <c r="F4027" s="6" t="str">
        <f>IFERROR(__xludf.DUMMYFUNCTION("""COMPUTED_VALUE"""),"Long")</f>
        <v>Long</v>
      </c>
      <c r="G4027" s="6" t="str">
        <f>IFERROR(__xludf.DUMMYFUNCTION("""COMPUTED_VALUE"""),"11/11/2013")</f>
        <v>11/11/2013</v>
      </c>
      <c r="H4027" s="6" t="str">
        <f>IFERROR(__xludf.DUMMYFUNCTION("""COMPUTED_VALUE"""),"male")</f>
        <v>male</v>
      </c>
      <c r="I4027" s="6" t="str">
        <f>IFERROR(__xludf.DUMMYFUNCTION("""COMPUTED_VALUE"""),"Middle School")</f>
        <v>Middle School</v>
      </c>
      <c r="J4027" s="6" t="str">
        <f>IFERROR(__xludf.DUMMYFUNCTION("""COMPUTED_VALUE"""),"6")</f>
        <v>6</v>
      </c>
      <c r="K4027" s="6" t="str">
        <f>IFERROR(__xludf.DUMMYFUNCTION("""COMPUTED_VALUE"""),"king.long@2hourlearning.com")</f>
        <v>king.long@2hourlearning.com</v>
      </c>
      <c r="L4027" s="6" t="str">
        <f>IFERROR(__xludf.DUMMYFUNCTION("""COMPUTED_VALUE"""),"Metro Schools")</f>
        <v>Metro Schools</v>
      </c>
      <c r="M4027" s="6" t="str">
        <f>IFERROR(__xludf.DUMMYFUNCTION("""COMPUTED_VALUE"""),"")</f>
        <v/>
      </c>
      <c r="N4027" s="6" t="str">
        <f>IFERROR(__xludf.DUMMYFUNCTION("""COMPUTED_VALUE"""),"")</f>
        <v/>
      </c>
      <c r="O4027" s="87" t="str">
        <f>IFERROR(__xludf.DUMMYFUNCTION("""COMPUTED_VALUE"""),"https://drive.google.com/drive/folders/10T2cTQHqEJZqE-st6uFKPoI?usp=share_link")</f>
        <v>https://drive.google.com/drive/folders/10T2cTQHqEJZqE-st6uFKPoI?usp=share_link</v>
      </c>
      <c r="P4027" s="6" t="str">
        <f>IFERROR(__xludf.DUMMYFUNCTION("""COMPUTED_VALUE"""),"King Long")</f>
        <v>King Long</v>
      </c>
      <c r="Q4027" s="6" t="str">
        <f>IFERROR(__xludf.DUMMYFUNCTION("""COMPUTED_VALUE"""),"MS")</f>
        <v>MS</v>
      </c>
      <c r="R4027" s="6">
        <f>IFERROR(__xludf.DUMMYFUNCTION("""COMPUTED_VALUE"""),0.0)</f>
        <v>0</v>
      </c>
      <c r="S4027" s="6" t="str">
        <f>IFERROR(__xludf.DUMMYFUNCTION("""COMPUTED_VALUE"""),"Kimberly Ball")</f>
        <v>Kimberly Ball</v>
      </c>
      <c r="T4027" s="6" t="str">
        <f>IFERROR(__xludf.DUMMYFUNCTION("""COMPUTED_VALUE"""),"kimberly.ball@studient.com")</f>
        <v>kimberly.ball@studient.com</v>
      </c>
      <c r="U4027" s="6" t="str">
        <f>IFERROR(__xludf.DUMMYFUNCTION("""COMPUTED_VALUE"""),"6")</f>
        <v>6</v>
      </c>
      <c r="V4027" s="6" t="str">
        <f>IFERROR(__xludf.DUMMYFUNCTION("""COMPUTED_VALUE"""),"")</f>
        <v/>
      </c>
      <c r="W4027" s="6" t="str">
        <f>IFERROR(__xludf.DUMMYFUNCTION("""COMPUTED_VALUE"""),"[]")</f>
        <v>[]</v>
      </c>
      <c r="X4027" s="6" t="str">
        <f>IFERROR(__xludf.DUMMYFUNCTION("""COMPUTED_VALUE"""),"Enrolled")</f>
        <v>Enrolled</v>
      </c>
    </row>
    <row r="4028">
      <c r="A4028" s="6" t="str">
        <f>IFERROR(__xludf.DUMMYFUNCTION("""COMPUTED_VALUE"""),"079-10507")</f>
        <v>079-10507</v>
      </c>
      <c r="B4028" s="6" t="str">
        <f>IFERROR(__xludf.DUMMYFUNCTION("""COMPUTED_VALUE"""),"79")</f>
        <v>79</v>
      </c>
      <c r="C4028" s="6" t="str">
        <f>IFERROR(__xludf.DUMMYFUNCTION("""COMPUTED_VALUE"""),"10507")</f>
        <v>10507</v>
      </c>
      <c r="D4028" s="6" t="str">
        <f>IFERROR(__xludf.DUMMYFUNCTION("""COMPUTED_VALUE"""),"Maddox")</f>
        <v>Maddox</v>
      </c>
      <c r="E4028" s="6" t="str">
        <f>IFERROR(__xludf.DUMMYFUNCTION("""COMPUTED_VALUE"""),"")</f>
        <v/>
      </c>
      <c r="F4028" s="6" t="str">
        <f>IFERROR(__xludf.DUMMYFUNCTION("""COMPUTED_VALUE"""),"Long")</f>
        <v>Long</v>
      </c>
      <c r="G4028" s="6" t="str">
        <f>IFERROR(__xludf.DUMMYFUNCTION("""COMPUTED_VALUE"""),"01/12/2010")</f>
        <v>01/12/2010</v>
      </c>
      <c r="H4028" s="6" t="str">
        <f>IFERROR(__xludf.DUMMYFUNCTION("""COMPUTED_VALUE"""),"male")</f>
        <v>male</v>
      </c>
      <c r="I4028" s="6" t="str">
        <f>IFERROR(__xludf.DUMMYFUNCTION("""COMPUTED_VALUE"""),"High School")</f>
        <v>High School</v>
      </c>
      <c r="J4028" s="6" t="str">
        <f>IFERROR(__xludf.DUMMYFUNCTION("""COMPUTED_VALUE"""),"10")</f>
        <v>10</v>
      </c>
      <c r="K4028" s="6" t="str">
        <f>IFERROR(__xludf.DUMMYFUNCTION("""COMPUTED_VALUE"""),"maddox.long@2hourlearning.com")</f>
        <v>maddox.long@2hourlearning.com</v>
      </c>
      <c r="L4028" s="6" t="str">
        <f>IFERROR(__xludf.DUMMYFUNCTION("""COMPUTED_VALUE"""),"Metro Schools")</f>
        <v>Metro Schools</v>
      </c>
      <c r="M4028" s="6" t="str">
        <f>IFERROR(__xludf.DUMMYFUNCTION("""COMPUTED_VALUE"""),"")</f>
        <v/>
      </c>
      <c r="N4028" s="6" t="str">
        <f>IFERROR(__xludf.DUMMYFUNCTION("""COMPUTED_VALUE"""),"")</f>
        <v/>
      </c>
      <c r="O4028" s="87" t="str">
        <f>IFERROR(__xludf.DUMMYFUNCTION("""COMPUTED_VALUE"""),"https://drive.google.com/drive/folders/10T2cTQHqEJZqE-st6uFKPoI?usp=share_link")</f>
        <v>https://drive.google.com/drive/folders/10T2cTQHqEJZqE-st6uFKPoI?usp=share_link</v>
      </c>
      <c r="P4028" s="6" t="str">
        <f>IFERROR(__xludf.DUMMYFUNCTION("""COMPUTED_VALUE"""),"Maddox Long")</f>
        <v>Maddox Long</v>
      </c>
      <c r="Q4028" s="6" t="str">
        <f>IFERROR(__xludf.DUMMYFUNCTION("""COMPUTED_VALUE"""),"HS")</f>
        <v>HS</v>
      </c>
      <c r="R4028" s="6">
        <f>IFERROR(__xludf.DUMMYFUNCTION("""COMPUTED_VALUE"""),0.0)</f>
        <v>0</v>
      </c>
      <c r="S4028" s="6" t="str">
        <f>IFERROR(__xludf.DUMMYFUNCTION("""COMPUTED_VALUE"""),"Kimberly Ball")</f>
        <v>Kimberly Ball</v>
      </c>
      <c r="T4028" s="6" t="str">
        <f>IFERROR(__xludf.DUMMYFUNCTION("""COMPUTED_VALUE"""),"kimberly.ball@studient.com")</f>
        <v>kimberly.ball@studient.com</v>
      </c>
      <c r="U4028" s="6" t="str">
        <f>IFERROR(__xludf.DUMMYFUNCTION("""COMPUTED_VALUE"""),"10")</f>
        <v>10</v>
      </c>
      <c r="V4028" s="6" t="str">
        <f>IFERROR(__xludf.DUMMYFUNCTION("""COMPUTED_VALUE"""),"")</f>
        <v/>
      </c>
      <c r="W4028" s="6" t="str">
        <f>IFERROR(__xludf.DUMMYFUNCTION("""COMPUTED_VALUE"""),"[]")</f>
        <v>[]</v>
      </c>
      <c r="X4028" s="6" t="str">
        <f>IFERROR(__xludf.DUMMYFUNCTION("""COMPUTED_VALUE"""),"Enrolled")</f>
        <v>Enrolled</v>
      </c>
    </row>
    <row r="4029">
      <c r="A4029" s="6" t="str">
        <f>IFERROR(__xludf.DUMMYFUNCTION("""COMPUTED_VALUE"""),"079-10508")</f>
        <v>079-10508</v>
      </c>
      <c r="B4029" s="6" t="str">
        <f>IFERROR(__xludf.DUMMYFUNCTION("""COMPUTED_VALUE"""),"79")</f>
        <v>79</v>
      </c>
      <c r="C4029" s="6" t="str">
        <f>IFERROR(__xludf.DUMMYFUNCTION("""COMPUTED_VALUE"""),"10508")</f>
        <v>10508</v>
      </c>
      <c r="D4029" s="6" t="str">
        <f>IFERROR(__xludf.DUMMYFUNCTION("""COMPUTED_VALUE"""),"Abdiqani")</f>
        <v>Abdiqani</v>
      </c>
      <c r="E4029" s="6" t="str">
        <f>IFERROR(__xludf.DUMMYFUNCTION("""COMPUTED_VALUE"""),"")</f>
        <v/>
      </c>
      <c r="F4029" s="6" t="str">
        <f>IFERROR(__xludf.DUMMYFUNCTION("""COMPUTED_VALUE"""),"Mahad")</f>
        <v>Mahad</v>
      </c>
      <c r="G4029" s="6" t="str">
        <f>IFERROR(__xludf.DUMMYFUNCTION("""COMPUTED_VALUE"""),"08/01/2014")</f>
        <v>08/01/2014</v>
      </c>
      <c r="H4029" s="6" t="str">
        <f>IFERROR(__xludf.DUMMYFUNCTION("""COMPUTED_VALUE"""),"male")</f>
        <v>male</v>
      </c>
      <c r="I4029" s="6" t="str">
        <f>IFERROR(__xludf.DUMMYFUNCTION("""COMPUTED_VALUE"""),"Middle School")</f>
        <v>Middle School</v>
      </c>
      <c r="J4029" s="6" t="str">
        <f>IFERROR(__xludf.DUMMYFUNCTION("""COMPUTED_VALUE"""),"6")</f>
        <v>6</v>
      </c>
      <c r="K4029" s="6" t="str">
        <f>IFERROR(__xludf.DUMMYFUNCTION("""COMPUTED_VALUE"""),"abdiqani.mahad@2hourlearning.com")</f>
        <v>abdiqani.mahad@2hourlearning.com</v>
      </c>
      <c r="L4029" s="6" t="str">
        <f>IFERROR(__xludf.DUMMYFUNCTION("""COMPUTED_VALUE"""),"Metro Schools")</f>
        <v>Metro Schools</v>
      </c>
      <c r="M4029" s="6" t="str">
        <f>IFERROR(__xludf.DUMMYFUNCTION("""COMPUTED_VALUE"""),"")</f>
        <v/>
      </c>
      <c r="N4029" s="6" t="str">
        <f>IFERROR(__xludf.DUMMYFUNCTION("""COMPUTED_VALUE"""),"")</f>
        <v/>
      </c>
      <c r="O4029" s="87" t="str">
        <f>IFERROR(__xludf.DUMMYFUNCTION("""COMPUTED_VALUE"""),"https://drive.google.com/drive/folders/10T2cTQHqEJZqE-st6uFKPoI?usp=share_link")</f>
        <v>https://drive.google.com/drive/folders/10T2cTQHqEJZqE-st6uFKPoI?usp=share_link</v>
      </c>
      <c r="P4029" s="6" t="str">
        <f>IFERROR(__xludf.DUMMYFUNCTION("""COMPUTED_VALUE"""),"Abdiqani Mahad")</f>
        <v>Abdiqani Mahad</v>
      </c>
      <c r="Q4029" s="6" t="str">
        <f>IFERROR(__xludf.DUMMYFUNCTION("""COMPUTED_VALUE"""),"MS")</f>
        <v>MS</v>
      </c>
      <c r="R4029" s="6">
        <f>IFERROR(__xludf.DUMMYFUNCTION("""COMPUTED_VALUE"""),0.0)</f>
        <v>0</v>
      </c>
      <c r="S4029" s="6" t="str">
        <f>IFERROR(__xludf.DUMMYFUNCTION("""COMPUTED_VALUE"""),"Kimberly Ball")</f>
        <v>Kimberly Ball</v>
      </c>
      <c r="T4029" s="6" t="str">
        <f>IFERROR(__xludf.DUMMYFUNCTION("""COMPUTED_VALUE"""),"kimberly.ball@studient.com")</f>
        <v>kimberly.ball@studient.com</v>
      </c>
      <c r="U4029" s="6" t="str">
        <f>IFERROR(__xludf.DUMMYFUNCTION("""COMPUTED_VALUE"""),"6")</f>
        <v>6</v>
      </c>
      <c r="V4029" s="6" t="str">
        <f>IFERROR(__xludf.DUMMYFUNCTION("""COMPUTED_VALUE"""),"")</f>
        <v/>
      </c>
      <c r="W4029" s="6" t="str">
        <f>IFERROR(__xludf.DUMMYFUNCTION("""COMPUTED_VALUE"""),"[]")</f>
        <v>[]</v>
      </c>
      <c r="X4029" s="6" t="str">
        <f>IFERROR(__xludf.DUMMYFUNCTION("""COMPUTED_VALUE"""),"Enrolled")</f>
        <v>Enrolled</v>
      </c>
    </row>
    <row r="4030">
      <c r="A4030" s="6" t="str">
        <f>IFERROR(__xludf.DUMMYFUNCTION("""COMPUTED_VALUE"""),"079-10509")</f>
        <v>079-10509</v>
      </c>
      <c r="B4030" s="6" t="str">
        <f>IFERROR(__xludf.DUMMYFUNCTION("""COMPUTED_VALUE"""),"79")</f>
        <v>79</v>
      </c>
      <c r="C4030" s="6" t="str">
        <f>IFERROR(__xludf.DUMMYFUNCTION("""COMPUTED_VALUE"""),"10509")</f>
        <v>10509</v>
      </c>
      <c r="D4030" s="6" t="str">
        <f>IFERROR(__xludf.DUMMYFUNCTION("""COMPUTED_VALUE"""),"Sariyah")</f>
        <v>Sariyah</v>
      </c>
      <c r="E4030" s="6" t="str">
        <f>IFERROR(__xludf.DUMMYFUNCTION("""COMPUTED_VALUE"""),"")</f>
        <v/>
      </c>
      <c r="F4030" s="6" t="str">
        <f>IFERROR(__xludf.DUMMYFUNCTION("""COMPUTED_VALUE"""),"Mapp")</f>
        <v>Mapp</v>
      </c>
      <c r="G4030" s="6" t="str">
        <f>IFERROR(__xludf.DUMMYFUNCTION("""COMPUTED_VALUE"""),"12/29/2012")</f>
        <v>12/29/2012</v>
      </c>
      <c r="H4030" s="6" t="str">
        <f>IFERROR(__xludf.DUMMYFUNCTION("""COMPUTED_VALUE"""),"female")</f>
        <v>female</v>
      </c>
      <c r="I4030" s="6" t="str">
        <f>IFERROR(__xludf.DUMMYFUNCTION("""COMPUTED_VALUE"""),"Middle School")</f>
        <v>Middle School</v>
      </c>
      <c r="J4030" s="6" t="str">
        <f>IFERROR(__xludf.DUMMYFUNCTION("""COMPUTED_VALUE"""),"7")</f>
        <v>7</v>
      </c>
      <c r="K4030" s="6" t="str">
        <f>IFERROR(__xludf.DUMMYFUNCTION("""COMPUTED_VALUE"""),"sariyah.mapp@2hourlearning.com")</f>
        <v>sariyah.mapp@2hourlearning.com</v>
      </c>
      <c r="L4030" s="6" t="str">
        <f>IFERROR(__xludf.DUMMYFUNCTION("""COMPUTED_VALUE"""),"Metro Schools")</f>
        <v>Metro Schools</v>
      </c>
      <c r="M4030" s="6" t="str">
        <f>IFERROR(__xludf.DUMMYFUNCTION("""COMPUTED_VALUE"""),"")</f>
        <v/>
      </c>
      <c r="N4030" s="6" t="str">
        <f>IFERROR(__xludf.DUMMYFUNCTION("""COMPUTED_VALUE"""),"")</f>
        <v/>
      </c>
      <c r="O4030" s="87" t="str">
        <f>IFERROR(__xludf.DUMMYFUNCTION("""COMPUTED_VALUE"""),"https://drive.google.com/drive/folders/10T2cTQHqEJZqE-st6uFKPoI?usp=share_link")</f>
        <v>https://drive.google.com/drive/folders/10T2cTQHqEJZqE-st6uFKPoI?usp=share_link</v>
      </c>
      <c r="P4030" s="6" t="str">
        <f>IFERROR(__xludf.DUMMYFUNCTION("""COMPUTED_VALUE"""),"Sariyah Mapp")</f>
        <v>Sariyah Mapp</v>
      </c>
      <c r="Q4030" s="6" t="str">
        <f>IFERROR(__xludf.DUMMYFUNCTION("""COMPUTED_VALUE"""),"MS")</f>
        <v>MS</v>
      </c>
      <c r="R4030" s="6">
        <f>IFERROR(__xludf.DUMMYFUNCTION("""COMPUTED_VALUE"""),0.0)</f>
        <v>0</v>
      </c>
      <c r="S4030" s="6" t="str">
        <f>IFERROR(__xludf.DUMMYFUNCTION("""COMPUTED_VALUE"""),"Kimberly Ball")</f>
        <v>Kimberly Ball</v>
      </c>
      <c r="T4030" s="6" t="str">
        <f>IFERROR(__xludf.DUMMYFUNCTION("""COMPUTED_VALUE"""),"kimberly.ball@studient.com")</f>
        <v>kimberly.ball@studient.com</v>
      </c>
      <c r="U4030" s="6" t="str">
        <f>IFERROR(__xludf.DUMMYFUNCTION("""COMPUTED_VALUE"""),"7")</f>
        <v>7</v>
      </c>
      <c r="V4030" s="6" t="str">
        <f>IFERROR(__xludf.DUMMYFUNCTION("""COMPUTED_VALUE"""),"")</f>
        <v/>
      </c>
      <c r="W4030" s="6" t="str">
        <f>IFERROR(__xludf.DUMMYFUNCTION("""COMPUTED_VALUE"""),"[]")</f>
        <v>[]</v>
      </c>
      <c r="X4030" s="6" t="str">
        <f>IFERROR(__xludf.DUMMYFUNCTION("""COMPUTED_VALUE"""),"Enrolled")</f>
        <v>Enrolled</v>
      </c>
    </row>
    <row r="4031">
      <c r="A4031" s="6" t="str">
        <f>IFERROR(__xludf.DUMMYFUNCTION("""COMPUTED_VALUE"""),"079-10510")</f>
        <v>079-10510</v>
      </c>
      <c r="B4031" s="6" t="str">
        <f>IFERROR(__xludf.DUMMYFUNCTION("""COMPUTED_VALUE"""),"79")</f>
        <v>79</v>
      </c>
      <c r="C4031" s="6" t="str">
        <f>IFERROR(__xludf.DUMMYFUNCTION("""COMPUTED_VALUE"""),"10510")</f>
        <v>10510</v>
      </c>
      <c r="D4031" s="6" t="str">
        <f>IFERROR(__xludf.DUMMYFUNCTION("""COMPUTED_VALUE"""),"Shymel")</f>
        <v>Shymel</v>
      </c>
      <c r="E4031" s="6" t="str">
        <f>IFERROR(__xludf.DUMMYFUNCTION("""COMPUTED_VALUE"""),"")</f>
        <v/>
      </c>
      <c r="F4031" s="6" t="str">
        <f>IFERROR(__xludf.DUMMYFUNCTION("""COMPUTED_VALUE"""),"Mapp")</f>
        <v>Mapp</v>
      </c>
      <c r="G4031" s="6" t="str">
        <f>IFERROR(__xludf.DUMMYFUNCTION("""COMPUTED_VALUE"""),"01/29/2011")</f>
        <v>01/29/2011</v>
      </c>
      <c r="H4031" s="6" t="str">
        <f>IFERROR(__xludf.DUMMYFUNCTION("""COMPUTED_VALUE"""),"male")</f>
        <v>male</v>
      </c>
      <c r="I4031" s="6" t="str">
        <f>IFERROR(__xludf.DUMMYFUNCTION("""COMPUTED_VALUE"""),"High School")</f>
        <v>High School</v>
      </c>
      <c r="J4031" s="6" t="str">
        <f>IFERROR(__xludf.DUMMYFUNCTION("""COMPUTED_VALUE"""),"9")</f>
        <v>9</v>
      </c>
      <c r="K4031" s="6" t="str">
        <f>IFERROR(__xludf.DUMMYFUNCTION("""COMPUTED_VALUE"""),"shymel.mapp@2hourlearning.com")</f>
        <v>shymel.mapp@2hourlearning.com</v>
      </c>
      <c r="L4031" s="6" t="str">
        <f>IFERROR(__xludf.DUMMYFUNCTION("""COMPUTED_VALUE"""),"Metro Schools")</f>
        <v>Metro Schools</v>
      </c>
      <c r="M4031" s="6" t="str">
        <f>IFERROR(__xludf.DUMMYFUNCTION("""COMPUTED_VALUE"""),"")</f>
        <v/>
      </c>
      <c r="N4031" s="6" t="str">
        <f>IFERROR(__xludf.DUMMYFUNCTION("""COMPUTED_VALUE"""),"")</f>
        <v/>
      </c>
      <c r="O4031" s="87" t="str">
        <f>IFERROR(__xludf.DUMMYFUNCTION("""COMPUTED_VALUE"""),"https://drive.google.com/drive/folders/10T2cTQHqEJZqE-st6uFKPoI?usp=share_link")</f>
        <v>https://drive.google.com/drive/folders/10T2cTQHqEJZqE-st6uFKPoI?usp=share_link</v>
      </c>
      <c r="P4031" s="6" t="str">
        <f>IFERROR(__xludf.DUMMYFUNCTION("""COMPUTED_VALUE"""),"Shymel Mapp")</f>
        <v>Shymel Mapp</v>
      </c>
      <c r="Q4031" s="6" t="str">
        <f>IFERROR(__xludf.DUMMYFUNCTION("""COMPUTED_VALUE"""),"HS")</f>
        <v>HS</v>
      </c>
      <c r="R4031" s="6">
        <f>IFERROR(__xludf.DUMMYFUNCTION("""COMPUTED_VALUE"""),0.0)</f>
        <v>0</v>
      </c>
      <c r="S4031" s="6" t="str">
        <f>IFERROR(__xludf.DUMMYFUNCTION("""COMPUTED_VALUE"""),"Kimberly Ball")</f>
        <v>Kimberly Ball</v>
      </c>
      <c r="T4031" s="6" t="str">
        <f>IFERROR(__xludf.DUMMYFUNCTION("""COMPUTED_VALUE"""),"kimberly.ball@studient.com")</f>
        <v>kimberly.ball@studient.com</v>
      </c>
      <c r="U4031" s="6" t="str">
        <f>IFERROR(__xludf.DUMMYFUNCTION("""COMPUTED_VALUE"""),"9")</f>
        <v>9</v>
      </c>
      <c r="V4031" s="6" t="str">
        <f>IFERROR(__xludf.DUMMYFUNCTION("""COMPUTED_VALUE"""),"")</f>
        <v/>
      </c>
      <c r="W4031" s="6" t="str">
        <f>IFERROR(__xludf.DUMMYFUNCTION("""COMPUTED_VALUE"""),"[]")</f>
        <v>[]</v>
      </c>
      <c r="X4031" s="6" t="str">
        <f>IFERROR(__xludf.DUMMYFUNCTION("""COMPUTED_VALUE"""),"Enrolled")</f>
        <v>Enrolled</v>
      </c>
    </row>
    <row r="4032">
      <c r="A4032" s="6" t="str">
        <f>IFERROR(__xludf.DUMMYFUNCTION("""COMPUTED_VALUE"""),"079-10511")</f>
        <v>079-10511</v>
      </c>
      <c r="B4032" s="6" t="str">
        <f>IFERROR(__xludf.DUMMYFUNCTION("""COMPUTED_VALUE"""),"79")</f>
        <v>79</v>
      </c>
      <c r="C4032" s="6" t="str">
        <f>IFERROR(__xludf.DUMMYFUNCTION("""COMPUTED_VALUE"""),"10511")</f>
        <v>10511</v>
      </c>
      <c r="D4032" s="6" t="str">
        <f>IFERROR(__xludf.DUMMYFUNCTION("""COMPUTED_VALUE"""),"Merida")</f>
        <v>Merida</v>
      </c>
      <c r="E4032" s="6" t="str">
        <f>IFERROR(__xludf.DUMMYFUNCTION("""COMPUTED_VALUE"""),"")</f>
        <v/>
      </c>
      <c r="F4032" s="6" t="str">
        <f>IFERROR(__xludf.DUMMYFUNCTION("""COMPUTED_VALUE"""),"Marquis")</f>
        <v>Marquis</v>
      </c>
      <c r="G4032" s="6" t="str">
        <f>IFERROR(__xludf.DUMMYFUNCTION("""COMPUTED_VALUE"""),"10/06/2013")</f>
        <v>10/06/2013</v>
      </c>
      <c r="H4032" s="6" t="str">
        <f>IFERROR(__xludf.DUMMYFUNCTION("""COMPUTED_VALUE"""),"female")</f>
        <v>female</v>
      </c>
      <c r="I4032" s="6" t="str">
        <f>IFERROR(__xludf.DUMMYFUNCTION("""COMPUTED_VALUE"""),"Middle School")</f>
        <v>Middle School</v>
      </c>
      <c r="J4032" s="6" t="str">
        <f>IFERROR(__xludf.DUMMYFUNCTION("""COMPUTED_VALUE"""),"6")</f>
        <v>6</v>
      </c>
      <c r="K4032" s="6" t="str">
        <f>IFERROR(__xludf.DUMMYFUNCTION("""COMPUTED_VALUE"""),"merida.marquis@2hourlearning.com")</f>
        <v>merida.marquis@2hourlearning.com</v>
      </c>
      <c r="L4032" s="6" t="str">
        <f>IFERROR(__xludf.DUMMYFUNCTION("""COMPUTED_VALUE"""),"Metro Schools")</f>
        <v>Metro Schools</v>
      </c>
      <c r="M4032" s="6" t="str">
        <f>IFERROR(__xludf.DUMMYFUNCTION("""COMPUTED_VALUE"""),"")</f>
        <v/>
      </c>
      <c r="N4032" s="6" t="str">
        <f>IFERROR(__xludf.DUMMYFUNCTION("""COMPUTED_VALUE"""),"")</f>
        <v/>
      </c>
      <c r="O4032" s="87" t="str">
        <f>IFERROR(__xludf.DUMMYFUNCTION("""COMPUTED_VALUE"""),"https://drive.google.com/drive/folders/10T2cTQHqEJZqE-st6uFKPoI?usp=share_link")</f>
        <v>https://drive.google.com/drive/folders/10T2cTQHqEJZqE-st6uFKPoI?usp=share_link</v>
      </c>
      <c r="P4032" s="6" t="str">
        <f>IFERROR(__xludf.DUMMYFUNCTION("""COMPUTED_VALUE"""),"Merida Marquis")</f>
        <v>Merida Marquis</v>
      </c>
      <c r="Q4032" s="6" t="str">
        <f>IFERROR(__xludf.DUMMYFUNCTION("""COMPUTED_VALUE"""),"MS")</f>
        <v>MS</v>
      </c>
      <c r="R4032" s="6">
        <f>IFERROR(__xludf.DUMMYFUNCTION("""COMPUTED_VALUE"""),0.0)</f>
        <v>0</v>
      </c>
      <c r="S4032" s="6" t="str">
        <f>IFERROR(__xludf.DUMMYFUNCTION("""COMPUTED_VALUE"""),"Kimberly Ball")</f>
        <v>Kimberly Ball</v>
      </c>
      <c r="T4032" s="6" t="str">
        <f>IFERROR(__xludf.DUMMYFUNCTION("""COMPUTED_VALUE"""),"kimberly.ball@studient.com")</f>
        <v>kimberly.ball@studient.com</v>
      </c>
      <c r="U4032" s="6" t="str">
        <f>IFERROR(__xludf.DUMMYFUNCTION("""COMPUTED_VALUE"""),"6")</f>
        <v>6</v>
      </c>
      <c r="V4032" s="6" t="str">
        <f>IFERROR(__xludf.DUMMYFUNCTION("""COMPUTED_VALUE"""),"")</f>
        <v/>
      </c>
      <c r="W4032" s="6" t="str">
        <f>IFERROR(__xludf.DUMMYFUNCTION("""COMPUTED_VALUE"""),"[]")</f>
        <v>[]</v>
      </c>
      <c r="X4032" s="6" t="str">
        <f>IFERROR(__xludf.DUMMYFUNCTION("""COMPUTED_VALUE"""),"Enrolled")</f>
        <v>Enrolled</v>
      </c>
    </row>
    <row r="4033">
      <c r="A4033" s="6" t="str">
        <f>IFERROR(__xludf.DUMMYFUNCTION("""COMPUTED_VALUE"""),"079-10513")</f>
        <v>079-10513</v>
      </c>
      <c r="B4033" s="6" t="str">
        <f>IFERROR(__xludf.DUMMYFUNCTION("""COMPUTED_VALUE"""),"79")</f>
        <v>79</v>
      </c>
      <c r="C4033" s="6" t="str">
        <f>IFERROR(__xludf.DUMMYFUNCTION("""COMPUTED_VALUE"""),"10513")</f>
        <v>10513</v>
      </c>
      <c r="D4033" s="6" t="str">
        <f>IFERROR(__xludf.DUMMYFUNCTION("""COMPUTED_VALUE"""),"Aaron")</f>
        <v>Aaron</v>
      </c>
      <c r="E4033" s="6" t="str">
        <f>IFERROR(__xludf.DUMMYFUNCTION("""COMPUTED_VALUE"""),"")</f>
        <v/>
      </c>
      <c r="F4033" s="6" t="str">
        <f>IFERROR(__xludf.DUMMYFUNCTION("""COMPUTED_VALUE"""),"Maxwell")</f>
        <v>Maxwell</v>
      </c>
      <c r="G4033" s="6" t="str">
        <f>IFERROR(__xludf.DUMMYFUNCTION("""COMPUTED_VALUE"""),"01/21/2013")</f>
        <v>01/21/2013</v>
      </c>
      <c r="H4033" s="6" t="str">
        <f>IFERROR(__xludf.DUMMYFUNCTION("""COMPUTED_VALUE"""),"male")</f>
        <v>male</v>
      </c>
      <c r="I4033" s="6" t="str">
        <f>IFERROR(__xludf.DUMMYFUNCTION("""COMPUTED_VALUE"""),"Middle School")</f>
        <v>Middle School</v>
      </c>
      <c r="J4033" s="6" t="str">
        <f>IFERROR(__xludf.DUMMYFUNCTION("""COMPUTED_VALUE"""),"6")</f>
        <v>6</v>
      </c>
      <c r="K4033" s="6" t="str">
        <f>IFERROR(__xludf.DUMMYFUNCTION("""COMPUTED_VALUE"""),"aaron.maxwell@2hourlearning.com")</f>
        <v>aaron.maxwell@2hourlearning.com</v>
      </c>
      <c r="L4033" s="6" t="str">
        <f>IFERROR(__xludf.DUMMYFUNCTION("""COMPUTED_VALUE"""),"Metro Schools")</f>
        <v>Metro Schools</v>
      </c>
      <c r="M4033" s="6" t="str">
        <f>IFERROR(__xludf.DUMMYFUNCTION("""COMPUTED_VALUE"""),"")</f>
        <v/>
      </c>
      <c r="N4033" s="6" t="str">
        <f>IFERROR(__xludf.DUMMYFUNCTION("""COMPUTED_VALUE"""),"")</f>
        <v/>
      </c>
      <c r="O4033" s="87" t="str">
        <f>IFERROR(__xludf.DUMMYFUNCTION("""COMPUTED_VALUE"""),"https://drive.google.com/drive/folders/10T2cTQHqEJZqE-st6uFKPoI?usp=share_link")</f>
        <v>https://drive.google.com/drive/folders/10T2cTQHqEJZqE-st6uFKPoI?usp=share_link</v>
      </c>
      <c r="P4033" s="6" t="str">
        <f>IFERROR(__xludf.DUMMYFUNCTION("""COMPUTED_VALUE"""),"Aaron Maxwell")</f>
        <v>Aaron Maxwell</v>
      </c>
      <c r="Q4033" s="6" t="str">
        <f>IFERROR(__xludf.DUMMYFUNCTION("""COMPUTED_VALUE"""),"MS")</f>
        <v>MS</v>
      </c>
      <c r="R4033" s="6">
        <f>IFERROR(__xludf.DUMMYFUNCTION("""COMPUTED_VALUE"""),0.0)</f>
        <v>0</v>
      </c>
      <c r="S4033" s="6" t="str">
        <f>IFERROR(__xludf.DUMMYFUNCTION("""COMPUTED_VALUE"""),"Kimberly Ball")</f>
        <v>Kimberly Ball</v>
      </c>
      <c r="T4033" s="6" t="str">
        <f>IFERROR(__xludf.DUMMYFUNCTION("""COMPUTED_VALUE"""),"kimberly.ball@studient.com")</f>
        <v>kimberly.ball@studient.com</v>
      </c>
      <c r="U4033" s="6" t="str">
        <f>IFERROR(__xludf.DUMMYFUNCTION("""COMPUTED_VALUE"""),"6")</f>
        <v>6</v>
      </c>
      <c r="V4033" s="6" t="str">
        <f>IFERROR(__xludf.DUMMYFUNCTION("""COMPUTED_VALUE"""),"")</f>
        <v/>
      </c>
      <c r="W4033" s="6" t="str">
        <f>IFERROR(__xludf.DUMMYFUNCTION("""COMPUTED_VALUE"""),"[]")</f>
        <v>[]</v>
      </c>
      <c r="X4033" s="6" t="str">
        <f>IFERROR(__xludf.DUMMYFUNCTION("""COMPUTED_VALUE"""),"Enrolled")</f>
        <v>Enrolled</v>
      </c>
    </row>
    <row r="4034">
      <c r="A4034" s="6" t="str">
        <f>IFERROR(__xludf.DUMMYFUNCTION("""COMPUTED_VALUE"""),"079-10515")</f>
        <v>079-10515</v>
      </c>
      <c r="B4034" s="6" t="str">
        <f>IFERROR(__xludf.DUMMYFUNCTION("""COMPUTED_VALUE"""),"79")</f>
        <v>79</v>
      </c>
      <c r="C4034" s="6" t="str">
        <f>IFERROR(__xludf.DUMMYFUNCTION("""COMPUTED_VALUE"""),"10515")</f>
        <v>10515</v>
      </c>
      <c r="D4034" s="6" t="str">
        <f>IFERROR(__xludf.DUMMYFUNCTION("""COMPUTED_VALUE"""),"Tobias")</f>
        <v>Tobias</v>
      </c>
      <c r="E4034" s="6" t="str">
        <f>IFERROR(__xludf.DUMMYFUNCTION("""COMPUTED_VALUE"""),"")</f>
        <v/>
      </c>
      <c r="F4034" s="6" t="str">
        <f>IFERROR(__xludf.DUMMYFUNCTION("""COMPUTED_VALUE"""),"Maxwell")</f>
        <v>Maxwell</v>
      </c>
      <c r="G4034" s="6" t="str">
        <f>IFERROR(__xludf.DUMMYFUNCTION("""COMPUTED_VALUE"""),"09/04/2009")</f>
        <v>09/04/2009</v>
      </c>
      <c r="H4034" s="6" t="str">
        <f>IFERROR(__xludf.DUMMYFUNCTION("""COMPUTED_VALUE"""),"male")</f>
        <v>male</v>
      </c>
      <c r="I4034" s="6" t="str">
        <f>IFERROR(__xludf.DUMMYFUNCTION("""COMPUTED_VALUE"""),"High School")</f>
        <v>High School</v>
      </c>
      <c r="J4034" s="6" t="str">
        <f>IFERROR(__xludf.DUMMYFUNCTION("""COMPUTED_VALUE"""),"10")</f>
        <v>10</v>
      </c>
      <c r="K4034" s="6" t="str">
        <f>IFERROR(__xludf.DUMMYFUNCTION("""COMPUTED_VALUE"""),"tobias.maxwell@2hourlearning.com")</f>
        <v>tobias.maxwell@2hourlearning.com</v>
      </c>
      <c r="L4034" s="6" t="str">
        <f>IFERROR(__xludf.DUMMYFUNCTION("""COMPUTED_VALUE"""),"Metro Schools")</f>
        <v>Metro Schools</v>
      </c>
      <c r="M4034" s="6" t="str">
        <f>IFERROR(__xludf.DUMMYFUNCTION("""COMPUTED_VALUE"""),"")</f>
        <v/>
      </c>
      <c r="N4034" s="6" t="str">
        <f>IFERROR(__xludf.DUMMYFUNCTION("""COMPUTED_VALUE"""),"")</f>
        <v/>
      </c>
      <c r="O4034" s="87" t="str">
        <f>IFERROR(__xludf.DUMMYFUNCTION("""COMPUTED_VALUE"""),"https://drive.google.com/drive/folders/10T2cTQHqEJZqE-st6uFKPoI?usp=share_link")</f>
        <v>https://drive.google.com/drive/folders/10T2cTQHqEJZqE-st6uFKPoI?usp=share_link</v>
      </c>
      <c r="P4034" s="6" t="str">
        <f>IFERROR(__xludf.DUMMYFUNCTION("""COMPUTED_VALUE"""),"Tobias Maxwell")</f>
        <v>Tobias Maxwell</v>
      </c>
      <c r="Q4034" s="6" t="str">
        <f>IFERROR(__xludf.DUMMYFUNCTION("""COMPUTED_VALUE"""),"HS")</f>
        <v>HS</v>
      </c>
      <c r="R4034" s="6">
        <f>IFERROR(__xludf.DUMMYFUNCTION("""COMPUTED_VALUE"""),0.0)</f>
        <v>0</v>
      </c>
      <c r="S4034" s="6" t="str">
        <f>IFERROR(__xludf.DUMMYFUNCTION("""COMPUTED_VALUE"""),"Kimberly Ball")</f>
        <v>Kimberly Ball</v>
      </c>
      <c r="T4034" s="6" t="str">
        <f>IFERROR(__xludf.DUMMYFUNCTION("""COMPUTED_VALUE"""),"kimberly.ball@studient.com")</f>
        <v>kimberly.ball@studient.com</v>
      </c>
      <c r="U4034" s="6" t="str">
        <f>IFERROR(__xludf.DUMMYFUNCTION("""COMPUTED_VALUE"""),"10")</f>
        <v>10</v>
      </c>
      <c r="V4034" s="6" t="str">
        <f>IFERROR(__xludf.DUMMYFUNCTION("""COMPUTED_VALUE"""),"")</f>
        <v/>
      </c>
      <c r="W4034" s="6" t="str">
        <f>IFERROR(__xludf.DUMMYFUNCTION("""COMPUTED_VALUE"""),"[]")</f>
        <v>[]</v>
      </c>
      <c r="X4034" s="6" t="str">
        <f>IFERROR(__xludf.DUMMYFUNCTION("""COMPUTED_VALUE"""),"Enrolled")</f>
        <v>Enrolled</v>
      </c>
    </row>
    <row r="4035">
      <c r="A4035" s="6" t="str">
        <f>IFERROR(__xludf.DUMMYFUNCTION("""COMPUTED_VALUE"""),"079-10516")</f>
        <v>079-10516</v>
      </c>
      <c r="B4035" s="6" t="str">
        <f>IFERROR(__xludf.DUMMYFUNCTION("""COMPUTED_VALUE"""),"79")</f>
        <v>79</v>
      </c>
      <c r="C4035" s="6" t="str">
        <f>IFERROR(__xludf.DUMMYFUNCTION("""COMPUTED_VALUE"""),"10516")</f>
        <v>10516</v>
      </c>
      <c r="D4035" s="6" t="str">
        <f>IFERROR(__xludf.DUMMYFUNCTION("""COMPUTED_VALUE"""),"Maurice")</f>
        <v>Maurice</v>
      </c>
      <c r="E4035" s="6" t="str">
        <f>IFERROR(__xludf.DUMMYFUNCTION("""COMPUTED_VALUE"""),"")</f>
        <v/>
      </c>
      <c r="F4035" s="6" t="str">
        <f>IFERROR(__xludf.DUMMYFUNCTION("""COMPUTED_VALUE"""),"Mcgrapth")</f>
        <v>Mcgrapth</v>
      </c>
      <c r="G4035" s="6" t="str">
        <f>IFERROR(__xludf.DUMMYFUNCTION("""COMPUTED_VALUE"""),"09/16/2010")</f>
        <v>09/16/2010</v>
      </c>
      <c r="H4035" s="6" t="str">
        <f>IFERROR(__xludf.DUMMYFUNCTION("""COMPUTED_VALUE"""),"male")</f>
        <v>male</v>
      </c>
      <c r="I4035" s="6" t="str">
        <f>IFERROR(__xludf.DUMMYFUNCTION("""COMPUTED_VALUE"""),"High School")</f>
        <v>High School</v>
      </c>
      <c r="J4035" s="6" t="str">
        <f>IFERROR(__xludf.DUMMYFUNCTION("""COMPUTED_VALUE"""),"9")</f>
        <v>9</v>
      </c>
      <c r="K4035" s="6" t="str">
        <f>IFERROR(__xludf.DUMMYFUNCTION("""COMPUTED_VALUE"""),"maurice.mcgrapth@2hourlearning.com")</f>
        <v>maurice.mcgrapth@2hourlearning.com</v>
      </c>
      <c r="L4035" s="6" t="str">
        <f>IFERROR(__xludf.DUMMYFUNCTION("""COMPUTED_VALUE"""),"Metro Schools")</f>
        <v>Metro Schools</v>
      </c>
      <c r="M4035" s="6" t="str">
        <f>IFERROR(__xludf.DUMMYFUNCTION("""COMPUTED_VALUE"""),"")</f>
        <v/>
      </c>
      <c r="N4035" s="6" t="str">
        <f>IFERROR(__xludf.DUMMYFUNCTION("""COMPUTED_VALUE"""),"")</f>
        <v/>
      </c>
      <c r="O4035" s="87" t="str">
        <f>IFERROR(__xludf.DUMMYFUNCTION("""COMPUTED_VALUE"""),"https://drive.google.com/drive/folders/10T2cTQHqEJZqE-st6uFKPoI?usp=share_link")</f>
        <v>https://drive.google.com/drive/folders/10T2cTQHqEJZqE-st6uFKPoI?usp=share_link</v>
      </c>
      <c r="P4035" s="6" t="str">
        <f>IFERROR(__xludf.DUMMYFUNCTION("""COMPUTED_VALUE"""),"Maurice Mcgrapth")</f>
        <v>Maurice Mcgrapth</v>
      </c>
      <c r="Q4035" s="6" t="str">
        <f>IFERROR(__xludf.DUMMYFUNCTION("""COMPUTED_VALUE"""),"HS")</f>
        <v>HS</v>
      </c>
      <c r="R4035" s="6">
        <f>IFERROR(__xludf.DUMMYFUNCTION("""COMPUTED_VALUE"""),0.0)</f>
        <v>0</v>
      </c>
      <c r="S4035" s="6" t="str">
        <f>IFERROR(__xludf.DUMMYFUNCTION("""COMPUTED_VALUE"""),"Kimberly Ball")</f>
        <v>Kimberly Ball</v>
      </c>
      <c r="T4035" s="6" t="str">
        <f>IFERROR(__xludf.DUMMYFUNCTION("""COMPUTED_VALUE"""),"kimberly.ball@studient.com")</f>
        <v>kimberly.ball@studient.com</v>
      </c>
      <c r="U4035" s="6" t="str">
        <f>IFERROR(__xludf.DUMMYFUNCTION("""COMPUTED_VALUE"""),"9")</f>
        <v>9</v>
      </c>
      <c r="V4035" s="6" t="str">
        <f>IFERROR(__xludf.DUMMYFUNCTION("""COMPUTED_VALUE"""),"")</f>
        <v/>
      </c>
      <c r="W4035" s="6" t="str">
        <f>IFERROR(__xludf.DUMMYFUNCTION("""COMPUTED_VALUE"""),"[]")</f>
        <v>[]</v>
      </c>
      <c r="X4035" s="6" t="str">
        <f>IFERROR(__xludf.DUMMYFUNCTION("""COMPUTED_VALUE"""),"Enrolled")</f>
        <v>Enrolled</v>
      </c>
    </row>
    <row r="4036">
      <c r="A4036" s="6" t="str">
        <f>IFERROR(__xludf.DUMMYFUNCTION("""COMPUTED_VALUE"""),"079-10517")</f>
        <v>079-10517</v>
      </c>
      <c r="B4036" s="6" t="str">
        <f>IFERROR(__xludf.DUMMYFUNCTION("""COMPUTED_VALUE"""),"79")</f>
        <v>79</v>
      </c>
      <c r="C4036" s="6" t="str">
        <f>IFERROR(__xludf.DUMMYFUNCTION("""COMPUTED_VALUE"""),"10517")</f>
        <v>10517</v>
      </c>
      <c r="D4036" s="6" t="str">
        <f>IFERROR(__xludf.DUMMYFUNCTION("""COMPUTED_VALUE"""),"Havana")</f>
        <v>Havana</v>
      </c>
      <c r="E4036" s="6" t="str">
        <f>IFERROR(__xludf.DUMMYFUNCTION("""COMPUTED_VALUE"""),"")</f>
        <v/>
      </c>
      <c r="F4036" s="6" t="str">
        <f>IFERROR(__xludf.DUMMYFUNCTION("""COMPUTED_VALUE"""),"Menefield")</f>
        <v>Menefield</v>
      </c>
      <c r="G4036" s="6" t="str">
        <f>IFERROR(__xludf.DUMMYFUNCTION("""COMPUTED_VALUE"""),"10/28/2015")</f>
        <v>10/28/2015</v>
      </c>
      <c r="H4036" s="6" t="str">
        <f>IFERROR(__xludf.DUMMYFUNCTION("""COMPUTED_VALUE"""),"female")</f>
        <v>female</v>
      </c>
      <c r="I4036" s="6" t="str">
        <f>IFERROR(__xludf.DUMMYFUNCTION("""COMPUTED_VALUE"""),"Level 2")</f>
        <v>Level 2</v>
      </c>
      <c r="J4036" s="6" t="str">
        <f>IFERROR(__xludf.DUMMYFUNCTION("""COMPUTED_VALUE"""),"4")</f>
        <v>4</v>
      </c>
      <c r="K4036" s="6" t="str">
        <f>IFERROR(__xludf.DUMMYFUNCTION("""COMPUTED_VALUE"""),"havana.menefield@2hourlearning.com")</f>
        <v>havana.menefield@2hourlearning.com</v>
      </c>
      <c r="L4036" s="6" t="str">
        <f>IFERROR(__xludf.DUMMYFUNCTION("""COMPUTED_VALUE"""),"Metro Schools")</f>
        <v>Metro Schools</v>
      </c>
      <c r="M4036" s="6" t="str">
        <f>IFERROR(__xludf.DUMMYFUNCTION("""COMPUTED_VALUE"""),"")</f>
        <v/>
      </c>
      <c r="N4036" s="6" t="str">
        <f>IFERROR(__xludf.DUMMYFUNCTION("""COMPUTED_VALUE"""),"")</f>
        <v/>
      </c>
      <c r="O4036" s="87" t="str">
        <f>IFERROR(__xludf.DUMMYFUNCTION("""COMPUTED_VALUE"""),"https://drive.google.com/drive/folders/10T2cTQHqEJZqE-st6uFKPoI?usp=share_link")</f>
        <v>https://drive.google.com/drive/folders/10T2cTQHqEJZqE-st6uFKPoI?usp=share_link</v>
      </c>
      <c r="P4036" s="6" t="str">
        <f>IFERROR(__xludf.DUMMYFUNCTION("""COMPUTED_VALUE"""),"Havana Menefield")</f>
        <v>Havana Menefield</v>
      </c>
      <c r="Q4036" s="6" t="str">
        <f>IFERROR(__xludf.DUMMYFUNCTION("""COMPUTED_VALUE"""),"L2")</f>
        <v>L2</v>
      </c>
      <c r="R4036" s="6">
        <f>IFERROR(__xludf.DUMMYFUNCTION("""COMPUTED_VALUE"""),2.0)</f>
        <v>2</v>
      </c>
      <c r="S4036" s="6" t="str">
        <f>IFERROR(__xludf.DUMMYFUNCTION("""COMPUTED_VALUE"""),"Kimberly Ball")</f>
        <v>Kimberly Ball</v>
      </c>
      <c r="T4036" s="6" t="str">
        <f>IFERROR(__xludf.DUMMYFUNCTION("""COMPUTED_VALUE"""),"kimberly.ball@studient.com")</f>
        <v>kimberly.ball@studient.com</v>
      </c>
      <c r="U4036" s="6" t="str">
        <f>IFERROR(__xludf.DUMMYFUNCTION("""COMPUTED_VALUE"""),"4")</f>
        <v>4</v>
      </c>
      <c r="V4036" s="6" t="str">
        <f>IFERROR(__xludf.DUMMYFUNCTION("""COMPUTED_VALUE"""),"")</f>
        <v/>
      </c>
      <c r="W4036" s="6" t="str">
        <f>IFERROR(__xludf.DUMMYFUNCTION("""COMPUTED_VALUE"""),"[]")</f>
        <v>[]</v>
      </c>
      <c r="X4036" s="6" t="str">
        <f>IFERROR(__xludf.DUMMYFUNCTION("""COMPUTED_VALUE"""),"Enrolled")</f>
        <v>Enrolled</v>
      </c>
    </row>
    <row r="4037">
      <c r="A4037" s="6" t="str">
        <f>IFERROR(__xludf.DUMMYFUNCTION("""COMPUTED_VALUE"""),"079-10519")</f>
        <v>079-10519</v>
      </c>
      <c r="B4037" s="6" t="str">
        <f>IFERROR(__xludf.DUMMYFUNCTION("""COMPUTED_VALUE"""),"79")</f>
        <v>79</v>
      </c>
      <c r="C4037" s="6" t="str">
        <f>IFERROR(__xludf.DUMMYFUNCTION("""COMPUTED_VALUE"""),"10519")</f>
        <v>10519</v>
      </c>
      <c r="D4037" s="6" t="str">
        <f>IFERROR(__xludf.DUMMYFUNCTION("""COMPUTED_VALUE"""),"Salvatore")</f>
        <v>Salvatore</v>
      </c>
      <c r="E4037" s="6" t="str">
        <f>IFERROR(__xludf.DUMMYFUNCTION("""COMPUTED_VALUE"""),"")</f>
        <v/>
      </c>
      <c r="F4037" s="6" t="str">
        <f>IFERROR(__xludf.DUMMYFUNCTION("""COMPUTED_VALUE"""),"Migliozzi")</f>
        <v>Migliozzi</v>
      </c>
      <c r="G4037" s="6" t="str">
        <f>IFERROR(__xludf.DUMMYFUNCTION("""COMPUTED_VALUE"""),"08/14/2011")</f>
        <v>08/14/2011</v>
      </c>
      <c r="H4037" s="6" t="str">
        <f>IFERROR(__xludf.DUMMYFUNCTION("""COMPUTED_VALUE"""),"male")</f>
        <v>male</v>
      </c>
      <c r="I4037" s="6" t="str">
        <f>IFERROR(__xludf.DUMMYFUNCTION("""COMPUTED_VALUE"""),"Middle School")</f>
        <v>Middle School</v>
      </c>
      <c r="J4037" s="6" t="str">
        <f>IFERROR(__xludf.DUMMYFUNCTION("""COMPUTED_VALUE"""),"8")</f>
        <v>8</v>
      </c>
      <c r="K4037" s="6" t="str">
        <f>IFERROR(__xludf.DUMMYFUNCTION("""COMPUTED_VALUE"""),"salvatore.migliozzi@2hourlearning.com")</f>
        <v>salvatore.migliozzi@2hourlearning.com</v>
      </c>
      <c r="L4037" s="6" t="str">
        <f>IFERROR(__xludf.DUMMYFUNCTION("""COMPUTED_VALUE"""),"Metro Schools")</f>
        <v>Metro Schools</v>
      </c>
      <c r="M4037" s="6" t="str">
        <f>IFERROR(__xludf.DUMMYFUNCTION("""COMPUTED_VALUE"""),"")</f>
        <v/>
      </c>
      <c r="N4037" s="6" t="str">
        <f>IFERROR(__xludf.DUMMYFUNCTION("""COMPUTED_VALUE"""),"")</f>
        <v/>
      </c>
      <c r="O4037" s="87" t="str">
        <f>IFERROR(__xludf.DUMMYFUNCTION("""COMPUTED_VALUE"""),"https://drive.google.com/drive/folders/10T2cTQHqEJZqE-st6uFKPoI?usp=share_link")</f>
        <v>https://drive.google.com/drive/folders/10T2cTQHqEJZqE-st6uFKPoI?usp=share_link</v>
      </c>
      <c r="P4037" s="6" t="str">
        <f>IFERROR(__xludf.DUMMYFUNCTION("""COMPUTED_VALUE"""),"Salvatore Migliozzi")</f>
        <v>Salvatore Migliozzi</v>
      </c>
      <c r="Q4037" s="6" t="str">
        <f>IFERROR(__xludf.DUMMYFUNCTION("""COMPUTED_VALUE"""),"MS")</f>
        <v>MS</v>
      </c>
      <c r="R4037" s="6">
        <f>IFERROR(__xludf.DUMMYFUNCTION("""COMPUTED_VALUE"""),0.0)</f>
        <v>0</v>
      </c>
      <c r="S4037" s="6" t="str">
        <f>IFERROR(__xludf.DUMMYFUNCTION("""COMPUTED_VALUE"""),"Kimberly Ball")</f>
        <v>Kimberly Ball</v>
      </c>
      <c r="T4037" s="6" t="str">
        <f>IFERROR(__xludf.DUMMYFUNCTION("""COMPUTED_VALUE"""),"kimberly.ball@studient.com")</f>
        <v>kimberly.ball@studient.com</v>
      </c>
      <c r="U4037" s="6" t="str">
        <f>IFERROR(__xludf.DUMMYFUNCTION("""COMPUTED_VALUE"""),"8")</f>
        <v>8</v>
      </c>
      <c r="V4037" s="6" t="str">
        <f>IFERROR(__xludf.DUMMYFUNCTION("""COMPUTED_VALUE"""),"")</f>
        <v/>
      </c>
      <c r="W4037" s="6" t="str">
        <f>IFERROR(__xludf.DUMMYFUNCTION("""COMPUTED_VALUE"""),"[]")</f>
        <v>[]</v>
      </c>
      <c r="X4037" s="6" t="str">
        <f>IFERROR(__xludf.DUMMYFUNCTION("""COMPUTED_VALUE"""),"Enrolled")</f>
        <v>Enrolled</v>
      </c>
    </row>
    <row r="4038">
      <c r="A4038" s="6" t="str">
        <f>IFERROR(__xludf.DUMMYFUNCTION("""COMPUTED_VALUE"""),"079-10521")</f>
        <v>079-10521</v>
      </c>
      <c r="B4038" s="6" t="str">
        <f>IFERROR(__xludf.DUMMYFUNCTION("""COMPUTED_VALUE"""),"79")</f>
        <v>79</v>
      </c>
      <c r="C4038" s="6" t="str">
        <f>IFERROR(__xludf.DUMMYFUNCTION("""COMPUTED_VALUE"""),"10521")</f>
        <v>10521</v>
      </c>
      <c r="D4038" s="6" t="str">
        <f>IFERROR(__xludf.DUMMYFUNCTION("""COMPUTED_VALUE"""),"Braxton")</f>
        <v>Braxton</v>
      </c>
      <c r="E4038" s="6" t="str">
        <f>IFERROR(__xludf.DUMMYFUNCTION("""COMPUTED_VALUE"""),"")</f>
        <v/>
      </c>
      <c r="F4038" s="6" t="str">
        <f>IFERROR(__xludf.DUMMYFUNCTION("""COMPUTED_VALUE"""),"Nave")</f>
        <v>Nave</v>
      </c>
      <c r="G4038" s="6" t="str">
        <f>IFERROR(__xludf.DUMMYFUNCTION("""COMPUTED_VALUE"""),"01/31/2014")</f>
        <v>01/31/2014</v>
      </c>
      <c r="H4038" s="6" t="str">
        <f>IFERROR(__xludf.DUMMYFUNCTION("""COMPUTED_VALUE"""),"male")</f>
        <v>male</v>
      </c>
      <c r="I4038" s="6" t="str">
        <f>IFERROR(__xludf.DUMMYFUNCTION("""COMPUTED_VALUE"""),"Middle School")</f>
        <v>Middle School</v>
      </c>
      <c r="J4038" s="6" t="str">
        <f>IFERROR(__xludf.DUMMYFUNCTION("""COMPUTED_VALUE"""),"6")</f>
        <v>6</v>
      </c>
      <c r="K4038" s="6" t="str">
        <f>IFERROR(__xludf.DUMMYFUNCTION("""COMPUTED_VALUE"""),"braxton.nave@2hourlearning.com")</f>
        <v>braxton.nave@2hourlearning.com</v>
      </c>
      <c r="L4038" s="6" t="str">
        <f>IFERROR(__xludf.DUMMYFUNCTION("""COMPUTED_VALUE"""),"Metro Schools")</f>
        <v>Metro Schools</v>
      </c>
      <c r="M4038" s="6" t="str">
        <f>IFERROR(__xludf.DUMMYFUNCTION("""COMPUTED_VALUE"""),"")</f>
        <v/>
      </c>
      <c r="N4038" s="6" t="str">
        <f>IFERROR(__xludf.DUMMYFUNCTION("""COMPUTED_VALUE"""),"")</f>
        <v/>
      </c>
      <c r="O4038" s="87" t="str">
        <f>IFERROR(__xludf.DUMMYFUNCTION("""COMPUTED_VALUE"""),"https://drive.google.com/drive/folders/10T2cTQHqEJZqE-st6uFKPoI?usp=share_link")</f>
        <v>https://drive.google.com/drive/folders/10T2cTQHqEJZqE-st6uFKPoI?usp=share_link</v>
      </c>
      <c r="P4038" s="6" t="str">
        <f>IFERROR(__xludf.DUMMYFUNCTION("""COMPUTED_VALUE"""),"Braxton Nave")</f>
        <v>Braxton Nave</v>
      </c>
      <c r="Q4038" s="6" t="str">
        <f>IFERROR(__xludf.DUMMYFUNCTION("""COMPUTED_VALUE"""),"MS")</f>
        <v>MS</v>
      </c>
      <c r="R4038" s="6">
        <f>IFERROR(__xludf.DUMMYFUNCTION("""COMPUTED_VALUE"""),0.0)</f>
        <v>0</v>
      </c>
      <c r="S4038" s="6" t="str">
        <f>IFERROR(__xludf.DUMMYFUNCTION("""COMPUTED_VALUE"""),"Kimberly Ball")</f>
        <v>Kimberly Ball</v>
      </c>
      <c r="T4038" s="6" t="str">
        <f>IFERROR(__xludf.DUMMYFUNCTION("""COMPUTED_VALUE"""),"kimberly.ball@studient.com")</f>
        <v>kimberly.ball@studient.com</v>
      </c>
      <c r="U4038" s="6" t="str">
        <f>IFERROR(__xludf.DUMMYFUNCTION("""COMPUTED_VALUE"""),"6")</f>
        <v>6</v>
      </c>
      <c r="V4038" s="6" t="str">
        <f>IFERROR(__xludf.DUMMYFUNCTION("""COMPUTED_VALUE"""),"")</f>
        <v/>
      </c>
      <c r="W4038" s="6" t="str">
        <f>IFERROR(__xludf.DUMMYFUNCTION("""COMPUTED_VALUE"""),"[]")</f>
        <v>[]</v>
      </c>
      <c r="X4038" s="6" t="str">
        <f>IFERROR(__xludf.DUMMYFUNCTION("""COMPUTED_VALUE"""),"Enrolled")</f>
        <v>Enrolled</v>
      </c>
    </row>
    <row r="4039">
      <c r="A4039" s="6" t="str">
        <f>IFERROR(__xludf.DUMMYFUNCTION("""COMPUTED_VALUE"""),"079-10522")</f>
        <v>079-10522</v>
      </c>
      <c r="B4039" s="6" t="str">
        <f>IFERROR(__xludf.DUMMYFUNCTION("""COMPUTED_VALUE"""),"79")</f>
        <v>79</v>
      </c>
      <c r="C4039" s="6" t="str">
        <f>IFERROR(__xludf.DUMMYFUNCTION("""COMPUTED_VALUE"""),"10522")</f>
        <v>10522</v>
      </c>
      <c r="D4039" s="6" t="str">
        <f>IFERROR(__xludf.DUMMYFUNCTION("""COMPUTED_VALUE"""),"Devan")</f>
        <v>Devan</v>
      </c>
      <c r="E4039" s="6" t="str">
        <f>IFERROR(__xludf.DUMMYFUNCTION("""COMPUTED_VALUE"""),"")</f>
        <v/>
      </c>
      <c r="F4039" s="6" t="str">
        <f>IFERROR(__xludf.DUMMYFUNCTION("""COMPUTED_VALUE"""),"Nichols")</f>
        <v>Nichols</v>
      </c>
      <c r="G4039" s="6" t="str">
        <f>IFERROR(__xludf.DUMMYFUNCTION("""COMPUTED_VALUE"""),"02/23/2016")</f>
        <v>02/23/2016</v>
      </c>
      <c r="H4039" s="6" t="str">
        <f>IFERROR(__xludf.DUMMYFUNCTION("""COMPUTED_VALUE"""),"male")</f>
        <v>male</v>
      </c>
      <c r="I4039" s="6" t="str">
        <f>IFERROR(__xludf.DUMMYFUNCTION("""COMPUTED_VALUE"""),"Level 2")</f>
        <v>Level 2</v>
      </c>
      <c r="J4039" s="6" t="str">
        <f>IFERROR(__xludf.DUMMYFUNCTION("""COMPUTED_VALUE"""),"4")</f>
        <v>4</v>
      </c>
      <c r="K4039" s="6" t="str">
        <f>IFERROR(__xludf.DUMMYFUNCTION("""COMPUTED_VALUE"""),"devan.nichols@2hourlearning.com")</f>
        <v>devan.nichols@2hourlearning.com</v>
      </c>
      <c r="L4039" s="6" t="str">
        <f>IFERROR(__xludf.DUMMYFUNCTION("""COMPUTED_VALUE"""),"Metro Schools")</f>
        <v>Metro Schools</v>
      </c>
      <c r="M4039" s="6" t="str">
        <f>IFERROR(__xludf.DUMMYFUNCTION("""COMPUTED_VALUE"""),"")</f>
        <v/>
      </c>
      <c r="N4039" s="6" t="str">
        <f>IFERROR(__xludf.DUMMYFUNCTION("""COMPUTED_VALUE"""),"")</f>
        <v/>
      </c>
      <c r="O4039" s="87" t="str">
        <f>IFERROR(__xludf.DUMMYFUNCTION("""COMPUTED_VALUE"""),"https://drive.google.com/drive/folders/10T2cTQHqEJZqE-st6uFKPoI?usp=share_link")</f>
        <v>https://drive.google.com/drive/folders/10T2cTQHqEJZqE-st6uFKPoI?usp=share_link</v>
      </c>
      <c r="P4039" s="6" t="str">
        <f>IFERROR(__xludf.DUMMYFUNCTION("""COMPUTED_VALUE"""),"Devan Nichols")</f>
        <v>Devan Nichols</v>
      </c>
      <c r="Q4039" s="6" t="str">
        <f>IFERROR(__xludf.DUMMYFUNCTION("""COMPUTED_VALUE"""),"L2")</f>
        <v>L2</v>
      </c>
      <c r="R4039" s="6">
        <f>IFERROR(__xludf.DUMMYFUNCTION("""COMPUTED_VALUE"""),2.0)</f>
        <v>2</v>
      </c>
      <c r="S4039" s="6" t="str">
        <f>IFERROR(__xludf.DUMMYFUNCTION("""COMPUTED_VALUE"""),"Kimberly Ball")</f>
        <v>Kimberly Ball</v>
      </c>
      <c r="T4039" s="6" t="str">
        <f>IFERROR(__xludf.DUMMYFUNCTION("""COMPUTED_VALUE"""),"kimberly.ball@studient.com")</f>
        <v>kimberly.ball@studient.com</v>
      </c>
      <c r="U4039" s="6" t="str">
        <f>IFERROR(__xludf.DUMMYFUNCTION("""COMPUTED_VALUE"""),"4")</f>
        <v>4</v>
      </c>
      <c r="V4039" s="6" t="str">
        <f>IFERROR(__xludf.DUMMYFUNCTION("""COMPUTED_VALUE"""),"")</f>
        <v/>
      </c>
      <c r="W4039" s="6" t="str">
        <f>IFERROR(__xludf.DUMMYFUNCTION("""COMPUTED_VALUE"""),"[]")</f>
        <v>[]</v>
      </c>
      <c r="X4039" s="6" t="str">
        <f>IFERROR(__xludf.DUMMYFUNCTION("""COMPUTED_VALUE"""),"Enrolled")</f>
        <v>Enrolled</v>
      </c>
    </row>
    <row r="4040">
      <c r="A4040" s="6" t="str">
        <f>IFERROR(__xludf.DUMMYFUNCTION("""COMPUTED_VALUE"""),"079-10523")</f>
        <v>079-10523</v>
      </c>
      <c r="B4040" s="6" t="str">
        <f>IFERROR(__xludf.DUMMYFUNCTION("""COMPUTED_VALUE"""),"79")</f>
        <v>79</v>
      </c>
      <c r="C4040" s="6" t="str">
        <f>IFERROR(__xludf.DUMMYFUNCTION("""COMPUTED_VALUE"""),"10523")</f>
        <v>10523</v>
      </c>
      <c r="D4040" s="6" t="str">
        <f>IFERROR(__xludf.DUMMYFUNCTION("""COMPUTED_VALUE"""),"Omar")</f>
        <v>Omar</v>
      </c>
      <c r="E4040" s="6" t="str">
        <f>IFERROR(__xludf.DUMMYFUNCTION("""COMPUTED_VALUE"""),"")</f>
        <v/>
      </c>
      <c r="F4040" s="6" t="str">
        <f>IFERROR(__xludf.DUMMYFUNCTION("""COMPUTED_VALUE"""),"Nimer")</f>
        <v>Nimer</v>
      </c>
      <c r="G4040" s="6" t="str">
        <f>IFERROR(__xludf.DUMMYFUNCTION("""COMPUTED_VALUE"""),"09/13/2015")</f>
        <v>09/13/2015</v>
      </c>
      <c r="H4040" s="6" t="str">
        <f>IFERROR(__xludf.DUMMYFUNCTION("""COMPUTED_VALUE"""),"male")</f>
        <v>male</v>
      </c>
      <c r="I4040" s="6" t="str">
        <f>IFERROR(__xludf.DUMMYFUNCTION("""COMPUTED_VALUE"""),"Level 2")</f>
        <v>Level 2</v>
      </c>
      <c r="J4040" s="6" t="str">
        <f>IFERROR(__xludf.DUMMYFUNCTION("""COMPUTED_VALUE"""),"4")</f>
        <v>4</v>
      </c>
      <c r="K4040" s="6" t="str">
        <f>IFERROR(__xludf.DUMMYFUNCTION("""COMPUTED_VALUE"""),"omar.nimer@2hourlearning.com")</f>
        <v>omar.nimer@2hourlearning.com</v>
      </c>
      <c r="L4040" s="6" t="str">
        <f>IFERROR(__xludf.DUMMYFUNCTION("""COMPUTED_VALUE"""),"Metro Schools")</f>
        <v>Metro Schools</v>
      </c>
      <c r="M4040" s="6" t="str">
        <f>IFERROR(__xludf.DUMMYFUNCTION("""COMPUTED_VALUE"""),"")</f>
        <v/>
      </c>
      <c r="N4040" s="6" t="str">
        <f>IFERROR(__xludf.DUMMYFUNCTION("""COMPUTED_VALUE"""),"")</f>
        <v/>
      </c>
      <c r="O4040" s="87" t="str">
        <f>IFERROR(__xludf.DUMMYFUNCTION("""COMPUTED_VALUE"""),"https://drive.google.com/drive/folders/10T2cTQHqEJZqE-st6uFKPoI?usp=share_link")</f>
        <v>https://drive.google.com/drive/folders/10T2cTQHqEJZqE-st6uFKPoI?usp=share_link</v>
      </c>
      <c r="P4040" s="6" t="str">
        <f>IFERROR(__xludf.DUMMYFUNCTION("""COMPUTED_VALUE"""),"Omar Nimer")</f>
        <v>Omar Nimer</v>
      </c>
      <c r="Q4040" s="6" t="str">
        <f>IFERROR(__xludf.DUMMYFUNCTION("""COMPUTED_VALUE"""),"L2")</f>
        <v>L2</v>
      </c>
      <c r="R4040" s="6">
        <f>IFERROR(__xludf.DUMMYFUNCTION("""COMPUTED_VALUE"""),2.0)</f>
        <v>2</v>
      </c>
      <c r="S4040" s="6" t="str">
        <f>IFERROR(__xludf.DUMMYFUNCTION("""COMPUTED_VALUE"""),"Kimberly Ball")</f>
        <v>Kimberly Ball</v>
      </c>
      <c r="T4040" s="6" t="str">
        <f>IFERROR(__xludf.DUMMYFUNCTION("""COMPUTED_VALUE"""),"kimberly.ball@studient.com")</f>
        <v>kimberly.ball@studient.com</v>
      </c>
      <c r="U4040" s="6" t="str">
        <f>IFERROR(__xludf.DUMMYFUNCTION("""COMPUTED_VALUE"""),"4")</f>
        <v>4</v>
      </c>
      <c r="V4040" s="6" t="str">
        <f>IFERROR(__xludf.DUMMYFUNCTION("""COMPUTED_VALUE"""),"")</f>
        <v/>
      </c>
      <c r="W4040" s="6" t="str">
        <f>IFERROR(__xludf.DUMMYFUNCTION("""COMPUTED_VALUE"""),"[]")</f>
        <v>[]</v>
      </c>
      <c r="X4040" s="6" t="str">
        <f>IFERROR(__xludf.DUMMYFUNCTION("""COMPUTED_VALUE"""),"Enrolled")</f>
        <v>Enrolled</v>
      </c>
    </row>
    <row r="4041">
      <c r="A4041" s="6" t="str">
        <f>IFERROR(__xludf.DUMMYFUNCTION("""COMPUTED_VALUE"""),"079-10524")</f>
        <v>079-10524</v>
      </c>
      <c r="B4041" s="6" t="str">
        <f>IFERROR(__xludf.DUMMYFUNCTION("""COMPUTED_VALUE"""),"79")</f>
        <v>79</v>
      </c>
      <c r="C4041" s="6" t="str">
        <f>IFERROR(__xludf.DUMMYFUNCTION("""COMPUTED_VALUE"""),"10524")</f>
        <v>10524</v>
      </c>
      <c r="D4041" s="6" t="str">
        <f>IFERROR(__xludf.DUMMYFUNCTION("""COMPUTED_VALUE"""),"Zuhayra")</f>
        <v>Zuhayra</v>
      </c>
      <c r="E4041" s="6" t="str">
        <f>IFERROR(__xludf.DUMMYFUNCTION("""COMPUTED_VALUE"""),"")</f>
        <v/>
      </c>
      <c r="F4041" s="6" t="str">
        <f>IFERROR(__xludf.DUMMYFUNCTION("""COMPUTED_VALUE"""),"Osman")</f>
        <v>Osman</v>
      </c>
      <c r="G4041" s="6" t="str">
        <f>IFERROR(__xludf.DUMMYFUNCTION("""COMPUTED_VALUE"""),"03/29/2011")</f>
        <v>03/29/2011</v>
      </c>
      <c r="H4041" s="6" t="str">
        <f>IFERROR(__xludf.DUMMYFUNCTION("""COMPUTED_VALUE"""),"female")</f>
        <v>female</v>
      </c>
      <c r="I4041" s="6" t="str">
        <f>IFERROR(__xludf.DUMMYFUNCTION("""COMPUTED_VALUE"""),"High School")</f>
        <v>High School</v>
      </c>
      <c r="J4041" s="6" t="str">
        <f>IFERROR(__xludf.DUMMYFUNCTION("""COMPUTED_VALUE"""),"9")</f>
        <v>9</v>
      </c>
      <c r="K4041" s="6" t="str">
        <f>IFERROR(__xludf.DUMMYFUNCTION("""COMPUTED_VALUE"""),"zuhayra.osman@2hourlearning.com")</f>
        <v>zuhayra.osman@2hourlearning.com</v>
      </c>
      <c r="L4041" s="6" t="str">
        <f>IFERROR(__xludf.DUMMYFUNCTION("""COMPUTED_VALUE"""),"Metro Schools")</f>
        <v>Metro Schools</v>
      </c>
      <c r="M4041" s="6" t="str">
        <f>IFERROR(__xludf.DUMMYFUNCTION("""COMPUTED_VALUE"""),"")</f>
        <v/>
      </c>
      <c r="N4041" s="6" t="str">
        <f>IFERROR(__xludf.DUMMYFUNCTION("""COMPUTED_VALUE"""),"")</f>
        <v/>
      </c>
      <c r="O4041" s="87" t="str">
        <f>IFERROR(__xludf.DUMMYFUNCTION("""COMPUTED_VALUE"""),"https://drive.google.com/drive/folders/10T2cTQHqEJZqE-st6uFKPoI?usp=share_link")</f>
        <v>https://drive.google.com/drive/folders/10T2cTQHqEJZqE-st6uFKPoI?usp=share_link</v>
      </c>
      <c r="P4041" s="6" t="str">
        <f>IFERROR(__xludf.DUMMYFUNCTION("""COMPUTED_VALUE"""),"Zuhayra Osman")</f>
        <v>Zuhayra Osman</v>
      </c>
      <c r="Q4041" s="6" t="str">
        <f>IFERROR(__xludf.DUMMYFUNCTION("""COMPUTED_VALUE"""),"HS")</f>
        <v>HS</v>
      </c>
      <c r="R4041" s="6">
        <f>IFERROR(__xludf.DUMMYFUNCTION("""COMPUTED_VALUE"""),0.0)</f>
        <v>0</v>
      </c>
      <c r="S4041" s="6" t="str">
        <f>IFERROR(__xludf.DUMMYFUNCTION("""COMPUTED_VALUE"""),"Kimberly Ball")</f>
        <v>Kimberly Ball</v>
      </c>
      <c r="T4041" s="6" t="str">
        <f>IFERROR(__xludf.DUMMYFUNCTION("""COMPUTED_VALUE"""),"kimberly.ball@studient.com")</f>
        <v>kimberly.ball@studient.com</v>
      </c>
      <c r="U4041" s="6" t="str">
        <f>IFERROR(__xludf.DUMMYFUNCTION("""COMPUTED_VALUE"""),"9")</f>
        <v>9</v>
      </c>
      <c r="V4041" s="6" t="str">
        <f>IFERROR(__xludf.DUMMYFUNCTION("""COMPUTED_VALUE"""),"")</f>
        <v/>
      </c>
      <c r="W4041" s="6" t="str">
        <f>IFERROR(__xludf.DUMMYFUNCTION("""COMPUTED_VALUE"""),"[]")</f>
        <v>[]</v>
      </c>
      <c r="X4041" s="6" t="str">
        <f>IFERROR(__xludf.DUMMYFUNCTION("""COMPUTED_VALUE"""),"Enrolled")</f>
        <v>Enrolled</v>
      </c>
    </row>
    <row r="4042">
      <c r="A4042" s="6" t="str">
        <f>IFERROR(__xludf.DUMMYFUNCTION("""COMPUTED_VALUE"""),"079-10525")</f>
        <v>079-10525</v>
      </c>
      <c r="B4042" s="6" t="str">
        <f>IFERROR(__xludf.DUMMYFUNCTION("""COMPUTED_VALUE"""),"79")</f>
        <v>79</v>
      </c>
      <c r="C4042" s="6" t="str">
        <f>IFERROR(__xludf.DUMMYFUNCTION("""COMPUTED_VALUE"""),"10525")</f>
        <v>10525</v>
      </c>
      <c r="D4042" s="6" t="str">
        <f>IFERROR(__xludf.DUMMYFUNCTION("""COMPUTED_VALUE"""),"Jihane")</f>
        <v>Jihane</v>
      </c>
      <c r="E4042" s="6" t="str">
        <f>IFERROR(__xludf.DUMMYFUNCTION("""COMPUTED_VALUE"""),"")</f>
        <v/>
      </c>
      <c r="F4042" s="6" t="str">
        <f>IFERROR(__xludf.DUMMYFUNCTION("""COMPUTED_VALUE"""),"Ouchaou")</f>
        <v>Ouchaou</v>
      </c>
      <c r="G4042" s="6" t="str">
        <f>IFERROR(__xludf.DUMMYFUNCTION("""COMPUTED_VALUE"""),"02/19/2010")</f>
        <v>02/19/2010</v>
      </c>
      <c r="H4042" s="6" t="str">
        <f>IFERROR(__xludf.DUMMYFUNCTION("""COMPUTED_VALUE"""),"female")</f>
        <v>female</v>
      </c>
      <c r="I4042" s="6" t="str">
        <f>IFERROR(__xludf.DUMMYFUNCTION("""COMPUTED_VALUE"""),"High School")</f>
        <v>High School</v>
      </c>
      <c r="J4042" s="6" t="str">
        <f>IFERROR(__xludf.DUMMYFUNCTION("""COMPUTED_VALUE"""),"9")</f>
        <v>9</v>
      </c>
      <c r="K4042" s="6" t="str">
        <f>IFERROR(__xludf.DUMMYFUNCTION("""COMPUTED_VALUE"""),"jihane.ouchaou@2hourlearning.com")</f>
        <v>jihane.ouchaou@2hourlearning.com</v>
      </c>
      <c r="L4042" s="6" t="str">
        <f>IFERROR(__xludf.DUMMYFUNCTION("""COMPUTED_VALUE"""),"Metro Schools")</f>
        <v>Metro Schools</v>
      </c>
      <c r="M4042" s="6" t="str">
        <f>IFERROR(__xludf.DUMMYFUNCTION("""COMPUTED_VALUE"""),"")</f>
        <v/>
      </c>
      <c r="N4042" s="6" t="str">
        <f>IFERROR(__xludf.DUMMYFUNCTION("""COMPUTED_VALUE"""),"")</f>
        <v/>
      </c>
      <c r="O4042" s="87" t="str">
        <f>IFERROR(__xludf.DUMMYFUNCTION("""COMPUTED_VALUE"""),"https://drive.google.com/drive/folders/10T2cTQHqEJZqE-st6uFKPoI?usp=share_link")</f>
        <v>https://drive.google.com/drive/folders/10T2cTQHqEJZqE-st6uFKPoI?usp=share_link</v>
      </c>
      <c r="P4042" s="6" t="str">
        <f>IFERROR(__xludf.DUMMYFUNCTION("""COMPUTED_VALUE"""),"Jihane Ouchaou")</f>
        <v>Jihane Ouchaou</v>
      </c>
      <c r="Q4042" s="6" t="str">
        <f>IFERROR(__xludf.DUMMYFUNCTION("""COMPUTED_VALUE"""),"HS")</f>
        <v>HS</v>
      </c>
      <c r="R4042" s="6">
        <f>IFERROR(__xludf.DUMMYFUNCTION("""COMPUTED_VALUE"""),0.0)</f>
        <v>0</v>
      </c>
      <c r="S4042" s="6" t="str">
        <f>IFERROR(__xludf.DUMMYFUNCTION("""COMPUTED_VALUE"""),"Kimberly Ball")</f>
        <v>Kimberly Ball</v>
      </c>
      <c r="T4042" s="6" t="str">
        <f>IFERROR(__xludf.DUMMYFUNCTION("""COMPUTED_VALUE"""),"kimberly.ball@studient.com")</f>
        <v>kimberly.ball@studient.com</v>
      </c>
      <c r="U4042" s="6" t="str">
        <f>IFERROR(__xludf.DUMMYFUNCTION("""COMPUTED_VALUE"""),"9")</f>
        <v>9</v>
      </c>
      <c r="V4042" s="6" t="str">
        <f>IFERROR(__xludf.DUMMYFUNCTION("""COMPUTED_VALUE"""),"")</f>
        <v/>
      </c>
      <c r="W4042" s="6" t="str">
        <f>IFERROR(__xludf.DUMMYFUNCTION("""COMPUTED_VALUE"""),"[]")</f>
        <v>[]</v>
      </c>
      <c r="X4042" s="6" t="str">
        <f>IFERROR(__xludf.DUMMYFUNCTION("""COMPUTED_VALUE"""),"Enrolled")</f>
        <v>Enrolled</v>
      </c>
    </row>
    <row r="4043">
      <c r="A4043" s="6" t="str">
        <f>IFERROR(__xludf.DUMMYFUNCTION("""COMPUTED_VALUE"""),"079-10527")</f>
        <v>079-10527</v>
      </c>
      <c r="B4043" s="6" t="str">
        <f>IFERROR(__xludf.DUMMYFUNCTION("""COMPUTED_VALUE"""),"79")</f>
        <v>79</v>
      </c>
      <c r="C4043" s="6" t="str">
        <f>IFERROR(__xludf.DUMMYFUNCTION("""COMPUTED_VALUE"""),"10527")</f>
        <v>10527</v>
      </c>
      <c r="D4043" s="6" t="str">
        <f>IFERROR(__xludf.DUMMYFUNCTION("""COMPUTED_VALUE"""),"Houston")</f>
        <v>Houston</v>
      </c>
      <c r="E4043" s="6" t="str">
        <f>IFERROR(__xludf.DUMMYFUNCTION("""COMPUTED_VALUE"""),"")</f>
        <v/>
      </c>
      <c r="F4043" s="6" t="str">
        <f>IFERROR(__xludf.DUMMYFUNCTION("""COMPUTED_VALUE"""),"Ovivion")</f>
        <v>Ovivion</v>
      </c>
      <c r="G4043" s="6" t="str">
        <f>IFERROR(__xludf.DUMMYFUNCTION("""COMPUTED_VALUE"""),"09/25/2012")</f>
        <v>09/25/2012</v>
      </c>
      <c r="H4043" s="6" t="str">
        <f>IFERROR(__xludf.DUMMYFUNCTION("""COMPUTED_VALUE"""),"male")</f>
        <v>male</v>
      </c>
      <c r="I4043" s="6" t="str">
        <f>IFERROR(__xludf.DUMMYFUNCTION("""COMPUTED_VALUE"""),"Middle School")</f>
        <v>Middle School</v>
      </c>
      <c r="J4043" s="6" t="str">
        <f>IFERROR(__xludf.DUMMYFUNCTION("""COMPUTED_VALUE"""),"8")</f>
        <v>8</v>
      </c>
      <c r="K4043" s="6" t="str">
        <f>IFERROR(__xludf.DUMMYFUNCTION("""COMPUTED_VALUE"""),"houston.ovivion@2hourlearning.com")</f>
        <v>houston.ovivion@2hourlearning.com</v>
      </c>
      <c r="L4043" s="6" t="str">
        <f>IFERROR(__xludf.DUMMYFUNCTION("""COMPUTED_VALUE"""),"Metro Schools")</f>
        <v>Metro Schools</v>
      </c>
      <c r="M4043" s="6" t="str">
        <f>IFERROR(__xludf.DUMMYFUNCTION("""COMPUTED_VALUE"""),"")</f>
        <v/>
      </c>
      <c r="N4043" s="6" t="str">
        <f>IFERROR(__xludf.DUMMYFUNCTION("""COMPUTED_VALUE"""),"")</f>
        <v/>
      </c>
      <c r="O4043" s="87" t="str">
        <f>IFERROR(__xludf.DUMMYFUNCTION("""COMPUTED_VALUE"""),"https://drive.google.com/drive/folders/10T2cTQHqEJZqE-st6uFKPoI?usp=share_link")</f>
        <v>https://drive.google.com/drive/folders/10T2cTQHqEJZqE-st6uFKPoI?usp=share_link</v>
      </c>
      <c r="P4043" s="6" t="str">
        <f>IFERROR(__xludf.DUMMYFUNCTION("""COMPUTED_VALUE"""),"Houston Ovivion")</f>
        <v>Houston Ovivion</v>
      </c>
      <c r="Q4043" s="6" t="str">
        <f>IFERROR(__xludf.DUMMYFUNCTION("""COMPUTED_VALUE"""),"MS")</f>
        <v>MS</v>
      </c>
      <c r="R4043" s="6">
        <f>IFERROR(__xludf.DUMMYFUNCTION("""COMPUTED_VALUE"""),0.0)</f>
        <v>0</v>
      </c>
      <c r="S4043" s="6" t="str">
        <f>IFERROR(__xludf.DUMMYFUNCTION("""COMPUTED_VALUE"""),"Kimberly Ball")</f>
        <v>Kimberly Ball</v>
      </c>
      <c r="T4043" s="6" t="str">
        <f>IFERROR(__xludf.DUMMYFUNCTION("""COMPUTED_VALUE"""),"kimberly.ball@studient.com")</f>
        <v>kimberly.ball@studient.com</v>
      </c>
      <c r="U4043" s="6" t="str">
        <f>IFERROR(__xludf.DUMMYFUNCTION("""COMPUTED_VALUE"""),"8")</f>
        <v>8</v>
      </c>
      <c r="V4043" s="6" t="str">
        <f>IFERROR(__xludf.DUMMYFUNCTION("""COMPUTED_VALUE"""),"")</f>
        <v/>
      </c>
      <c r="W4043" s="6" t="str">
        <f>IFERROR(__xludf.DUMMYFUNCTION("""COMPUTED_VALUE"""),"[]")</f>
        <v>[]</v>
      </c>
      <c r="X4043" s="6" t="str">
        <f>IFERROR(__xludf.DUMMYFUNCTION("""COMPUTED_VALUE"""),"Enrolled")</f>
        <v>Enrolled</v>
      </c>
    </row>
    <row r="4044">
      <c r="A4044" s="6" t="str">
        <f>IFERROR(__xludf.DUMMYFUNCTION("""COMPUTED_VALUE"""),"079-10528")</f>
        <v>079-10528</v>
      </c>
      <c r="B4044" s="6" t="str">
        <f>IFERROR(__xludf.DUMMYFUNCTION("""COMPUTED_VALUE"""),"79")</f>
        <v>79</v>
      </c>
      <c r="C4044" s="6" t="str">
        <f>IFERROR(__xludf.DUMMYFUNCTION("""COMPUTED_VALUE"""),"10528")</f>
        <v>10528</v>
      </c>
      <c r="D4044" s="6" t="str">
        <f>IFERROR(__xludf.DUMMYFUNCTION("""COMPUTED_VALUE"""),"Jordan")</f>
        <v>Jordan</v>
      </c>
      <c r="E4044" s="6" t="str">
        <f>IFERROR(__xludf.DUMMYFUNCTION("""COMPUTED_VALUE"""),"")</f>
        <v/>
      </c>
      <c r="F4044" s="6" t="str">
        <f>IFERROR(__xludf.DUMMYFUNCTION("""COMPUTED_VALUE"""),"Ovivion")</f>
        <v>Ovivion</v>
      </c>
      <c r="G4044" s="6" t="str">
        <f>IFERROR(__xludf.DUMMYFUNCTION("""COMPUTED_VALUE"""),"09/25/2012")</f>
        <v>09/25/2012</v>
      </c>
      <c r="H4044" s="6" t="str">
        <f>IFERROR(__xludf.DUMMYFUNCTION("""COMPUTED_VALUE"""),"male")</f>
        <v>male</v>
      </c>
      <c r="I4044" s="6" t="str">
        <f>IFERROR(__xludf.DUMMYFUNCTION("""COMPUTED_VALUE"""),"Middle School")</f>
        <v>Middle School</v>
      </c>
      <c r="J4044" s="6" t="str">
        <f>IFERROR(__xludf.DUMMYFUNCTION("""COMPUTED_VALUE"""),"8")</f>
        <v>8</v>
      </c>
      <c r="K4044" s="6" t="str">
        <f>IFERROR(__xludf.DUMMYFUNCTION("""COMPUTED_VALUE"""),"jordan.ovivion@2hourlearning.com")</f>
        <v>jordan.ovivion@2hourlearning.com</v>
      </c>
      <c r="L4044" s="6" t="str">
        <f>IFERROR(__xludf.DUMMYFUNCTION("""COMPUTED_VALUE"""),"Metro Schools")</f>
        <v>Metro Schools</v>
      </c>
      <c r="M4044" s="6" t="str">
        <f>IFERROR(__xludf.DUMMYFUNCTION("""COMPUTED_VALUE"""),"")</f>
        <v/>
      </c>
      <c r="N4044" s="6" t="str">
        <f>IFERROR(__xludf.DUMMYFUNCTION("""COMPUTED_VALUE"""),"")</f>
        <v/>
      </c>
      <c r="O4044" s="87" t="str">
        <f>IFERROR(__xludf.DUMMYFUNCTION("""COMPUTED_VALUE"""),"https://drive.google.com/drive/folders/10T2cTQHqEJZqE-st6uFKPoI?usp=share_link")</f>
        <v>https://drive.google.com/drive/folders/10T2cTQHqEJZqE-st6uFKPoI?usp=share_link</v>
      </c>
      <c r="P4044" s="6" t="str">
        <f>IFERROR(__xludf.DUMMYFUNCTION("""COMPUTED_VALUE"""),"Jordan Ovivion")</f>
        <v>Jordan Ovivion</v>
      </c>
      <c r="Q4044" s="6" t="str">
        <f>IFERROR(__xludf.DUMMYFUNCTION("""COMPUTED_VALUE"""),"MS")</f>
        <v>MS</v>
      </c>
      <c r="R4044" s="6">
        <f>IFERROR(__xludf.DUMMYFUNCTION("""COMPUTED_VALUE"""),0.0)</f>
        <v>0</v>
      </c>
      <c r="S4044" s="6" t="str">
        <f>IFERROR(__xludf.DUMMYFUNCTION("""COMPUTED_VALUE"""),"Kimberly Ball")</f>
        <v>Kimberly Ball</v>
      </c>
      <c r="T4044" s="6" t="str">
        <f>IFERROR(__xludf.DUMMYFUNCTION("""COMPUTED_VALUE"""),"kimberly.ball@studient.com")</f>
        <v>kimberly.ball@studient.com</v>
      </c>
      <c r="U4044" s="6" t="str">
        <f>IFERROR(__xludf.DUMMYFUNCTION("""COMPUTED_VALUE"""),"8")</f>
        <v>8</v>
      </c>
      <c r="V4044" s="6" t="str">
        <f>IFERROR(__xludf.DUMMYFUNCTION("""COMPUTED_VALUE"""),"")</f>
        <v/>
      </c>
      <c r="W4044" s="6" t="str">
        <f>IFERROR(__xludf.DUMMYFUNCTION("""COMPUTED_VALUE"""),"[]")</f>
        <v>[]</v>
      </c>
      <c r="X4044" s="6" t="str">
        <f>IFERROR(__xludf.DUMMYFUNCTION("""COMPUTED_VALUE"""),"Enrolled")</f>
        <v>Enrolled</v>
      </c>
    </row>
    <row r="4045">
      <c r="A4045" s="6" t="str">
        <f>IFERROR(__xludf.DUMMYFUNCTION("""COMPUTED_VALUE"""),"079-10529")</f>
        <v>079-10529</v>
      </c>
      <c r="B4045" s="6" t="str">
        <f>IFERROR(__xludf.DUMMYFUNCTION("""COMPUTED_VALUE"""),"79")</f>
        <v>79</v>
      </c>
      <c r="C4045" s="6" t="str">
        <f>IFERROR(__xludf.DUMMYFUNCTION("""COMPUTED_VALUE"""),"10529")</f>
        <v>10529</v>
      </c>
      <c r="D4045" s="6" t="str">
        <f>IFERROR(__xludf.DUMMYFUNCTION("""COMPUTED_VALUE"""),"Olivia")</f>
        <v>Olivia</v>
      </c>
      <c r="E4045" s="6" t="str">
        <f>IFERROR(__xludf.DUMMYFUNCTION("""COMPUTED_VALUE"""),"")</f>
        <v/>
      </c>
      <c r="F4045" s="6" t="str">
        <f>IFERROR(__xludf.DUMMYFUNCTION("""COMPUTED_VALUE"""),"Penn")</f>
        <v>Penn</v>
      </c>
      <c r="G4045" s="6" t="str">
        <f>IFERROR(__xludf.DUMMYFUNCTION("""COMPUTED_VALUE"""),"05/18/2013")</f>
        <v>05/18/2013</v>
      </c>
      <c r="H4045" s="6" t="str">
        <f>IFERROR(__xludf.DUMMYFUNCTION("""COMPUTED_VALUE"""),"female")</f>
        <v>female</v>
      </c>
      <c r="I4045" s="6" t="str">
        <f>IFERROR(__xludf.DUMMYFUNCTION("""COMPUTED_VALUE"""),"Middle School")</f>
        <v>Middle School</v>
      </c>
      <c r="J4045" s="6" t="str">
        <f>IFERROR(__xludf.DUMMYFUNCTION("""COMPUTED_VALUE"""),"7")</f>
        <v>7</v>
      </c>
      <c r="K4045" s="6" t="str">
        <f>IFERROR(__xludf.DUMMYFUNCTION("""COMPUTED_VALUE"""),"olivia.penn@2hourlearning.com")</f>
        <v>olivia.penn@2hourlearning.com</v>
      </c>
      <c r="L4045" s="6" t="str">
        <f>IFERROR(__xludf.DUMMYFUNCTION("""COMPUTED_VALUE"""),"Metro Schools")</f>
        <v>Metro Schools</v>
      </c>
      <c r="M4045" s="6" t="str">
        <f>IFERROR(__xludf.DUMMYFUNCTION("""COMPUTED_VALUE"""),"")</f>
        <v/>
      </c>
      <c r="N4045" s="6" t="str">
        <f>IFERROR(__xludf.DUMMYFUNCTION("""COMPUTED_VALUE"""),"")</f>
        <v/>
      </c>
      <c r="O4045" s="87" t="str">
        <f>IFERROR(__xludf.DUMMYFUNCTION("""COMPUTED_VALUE"""),"https://drive.google.com/drive/folders/10T2cTQHqEJZqE-st6uFKPoI?usp=share_link")</f>
        <v>https://drive.google.com/drive/folders/10T2cTQHqEJZqE-st6uFKPoI?usp=share_link</v>
      </c>
      <c r="P4045" s="6" t="str">
        <f>IFERROR(__xludf.DUMMYFUNCTION("""COMPUTED_VALUE"""),"Olivia Penn")</f>
        <v>Olivia Penn</v>
      </c>
      <c r="Q4045" s="6" t="str">
        <f>IFERROR(__xludf.DUMMYFUNCTION("""COMPUTED_VALUE"""),"MS")</f>
        <v>MS</v>
      </c>
      <c r="R4045" s="6">
        <f>IFERROR(__xludf.DUMMYFUNCTION("""COMPUTED_VALUE"""),0.0)</f>
        <v>0</v>
      </c>
      <c r="S4045" s="6" t="str">
        <f>IFERROR(__xludf.DUMMYFUNCTION("""COMPUTED_VALUE"""),"Kimberly Ball")</f>
        <v>Kimberly Ball</v>
      </c>
      <c r="T4045" s="6" t="str">
        <f>IFERROR(__xludf.DUMMYFUNCTION("""COMPUTED_VALUE"""),"kimberly.ball@studient.com")</f>
        <v>kimberly.ball@studient.com</v>
      </c>
      <c r="U4045" s="6" t="str">
        <f>IFERROR(__xludf.DUMMYFUNCTION("""COMPUTED_VALUE"""),"7")</f>
        <v>7</v>
      </c>
      <c r="V4045" s="6" t="str">
        <f>IFERROR(__xludf.DUMMYFUNCTION("""COMPUTED_VALUE"""),"")</f>
        <v/>
      </c>
      <c r="W4045" s="6" t="str">
        <f>IFERROR(__xludf.DUMMYFUNCTION("""COMPUTED_VALUE"""),"[]")</f>
        <v>[]</v>
      </c>
      <c r="X4045" s="6" t="str">
        <f>IFERROR(__xludf.DUMMYFUNCTION("""COMPUTED_VALUE"""),"Enrolled")</f>
        <v>Enrolled</v>
      </c>
    </row>
    <row r="4046">
      <c r="A4046" s="6" t="str">
        <f>IFERROR(__xludf.DUMMYFUNCTION("""COMPUTED_VALUE"""),"079-10531")</f>
        <v>079-10531</v>
      </c>
      <c r="B4046" s="6" t="str">
        <f>IFERROR(__xludf.DUMMYFUNCTION("""COMPUTED_VALUE"""),"79")</f>
        <v>79</v>
      </c>
      <c r="C4046" s="6" t="str">
        <f>IFERROR(__xludf.DUMMYFUNCTION("""COMPUTED_VALUE"""),"10531")</f>
        <v>10531</v>
      </c>
      <c r="D4046" s="6" t="str">
        <f>IFERROR(__xludf.DUMMYFUNCTION("""COMPUTED_VALUE"""),"Sofian")</f>
        <v>Sofian</v>
      </c>
      <c r="E4046" s="6" t="str">
        <f>IFERROR(__xludf.DUMMYFUNCTION("""COMPUTED_VALUE"""),"")</f>
        <v/>
      </c>
      <c r="F4046" s="6" t="str">
        <f>IFERROR(__xludf.DUMMYFUNCTION("""COMPUTED_VALUE"""),"Piracha")</f>
        <v>Piracha</v>
      </c>
      <c r="G4046" s="6" t="str">
        <f>IFERROR(__xludf.DUMMYFUNCTION("""COMPUTED_VALUE"""),"06/22/2011")</f>
        <v>06/22/2011</v>
      </c>
      <c r="H4046" s="6" t="str">
        <f>IFERROR(__xludf.DUMMYFUNCTION("""COMPUTED_VALUE"""),"male")</f>
        <v>male</v>
      </c>
      <c r="I4046" s="6" t="str">
        <f>IFERROR(__xludf.DUMMYFUNCTION("""COMPUTED_VALUE"""),"High School")</f>
        <v>High School</v>
      </c>
      <c r="J4046" s="6" t="str">
        <f>IFERROR(__xludf.DUMMYFUNCTION("""COMPUTED_VALUE"""),"9")</f>
        <v>9</v>
      </c>
      <c r="K4046" s="6" t="str">
        <f>IFERROR(__xludf.DUMMYFUNCTION("""COMPUTED_VALUE"""),"sofian.piracha@2hourlearning.com")</f>
        <v>sofian.piracha@2hourlearning.com</v>
      </c>
      <c r="L4046" s="6" t="str">
        <f>IFERROR(__xludf.DUMMYFUNCTION("""COMPUTED_VALUE"""),"Metro Schools")</f>
        <v>Metro Schools</v>
      </c>
      <c r="M4046" s="6" t="str">
        <f>IFERROR(__xludf.DUMMYFUNCTION("""COMPUTED_VALUE"""),"")</f>
        <v/>
      </c>
      <c r="N4046" s="6" t="str">
        <f>IFERROR(__xludf.DUMMYFUNCTION("""COMPUTED_VALUE"""),"")</f>
        <v/>
      </c>
      <c r="O4046" s="87" t="str">
        <f>IFERROR(__xludf.DUMMYFUNCTION("""COMPUTED_VALUE"""),"https://drive.google.com/drive/folders/10T2cTQHqEJZqE-st6uFKPoI?usp=share_link")</f>
        <v>https://drive.google.com/drive/folders/10T2cTQHqEJZqE-st6uFKPoI?usp=share_link</v>
      </c>
      <c r="P4046" s="6" t="str">
        <f>IFERROR(__xludf.DUMMYFUNCTION("""COMPUTED_VALUE"""),"Sofian Piracha")</f>
        <v>Sofian Piracha</v>
      </c>
      <c r="Q4046" s="6" t="str">
        <f>IFERROR(__xludf.DUMMYFUNCTION("""COMPUTED_VALUE"""),"HS")</f>
        <v>HS</v>
      </c>
      <c r="R4046" s="6">
        <f>IFERROR(__xludf.DUMMYFUNCTION("""COMPUTED_VALUE"""),0.0)</f>
        <v>0</v>
      </c>
      <c r="S4046" s="6" t="str">
        <f>IFERROR(__xludf.DUMMYFUNCTION("""COMPUTED_VALUE"""),"Kimberly Ball")</f>
        <v>Kimberly Ball</v>
      </c>
      <c r="T4046" s="6" t="str">
        <f>IFERROR(__xludf.DUMMYFUNCTION("""COMPUTED_VALUE"""),"kimberly.ball@studient.com")</f>
        <v>kimberly.ball@studient.com</v>
      </c>
      <c r="U4046" s="6" t="str">
        <f>IFERROR(__xludf.DUMMYFUNCTION("""COMPUTED_VALUE"""),"9")</f>
        <v>9</v>
      </c>
      <c r="V4046" s="6" t="str">
        <f>IFERROR(__xludf.DUMMYFUNCTION("""COMPUTED_VALUE"""),"")</f>
        <v/>
      </c>
      <c r="W4046" s="6" t="str">
        <f>IFERROR(__xludf.DUMMYFUNCTION("""COMPUTED_VALUE"""),"[]")</f>
        <v>[]</v>
      </c>
      <c r="X4046" s="6" t="str">
        <f>IFERROR(__xludf.DUMMYFUNCTION("""COMPUTED_VALUE"""),"Enrolled")</f>
        <v>Enrolled</v>
      </c>
    </row>
    <row r="4047">
      <c r="A4047" s="6" t="str">
        <f>IFERROR(__xludf.DUMMYFUNCTION("""COMPUTED_VALUE"""),"079-10533")</f>
        <v>079-10533</v>
      </c>
      <c r="B4047" s="6" t="str">
        <f>IFERROR(__xludf.DUMMYFUNCTION("""COMPUTED_VALUE"""),"79")</f>
        <v>79</v>
      </c>
      <c r="C4047" s="6" t="str">
        <f>IFERROR(__xludf.DUMMYFUNCTION("""COMPUTED_VALUE"""),"10533")</f>
        <v>10533</v>
      </c>
      <c r="D4047" s="6" t="str">
        <f>IFERROR(__xludf.DUMMYFUNCTION("""COMPUTED_VALUE"""),"Monroe")</f>
        <v>Monroe</v>
      </c>
      <c r="E4047" s="6" t="str">
        <f>IFERROR(__xludf.DUMMYFUNCTION("""COMPUTED_VALUE"""),"")</f>
        <v/>
      </c>
      <c r="F4047" s="6" t="str">
        <f>IFERROR(__xludf.DUMMYFUNCTION("""COMPUTED_VALUE"""),"Potts")</f>
        <v>Potts</v>
      </c>
      <c r="G4047" s="6" t="str">
        <f>IFERROR(__xludf.DUMMYFUNCTION("""COMPUTED_VALUE"""),"04/20/2016")</f>
        <v>04/20/2016</v>
      </c>
      <c r="H4047" s="6" t="str">
        <f>IFERROR(__xludf.DUMMYFUNCTION("""COMPUTED_VALUE"""),"female")</f>
        <v>female</v>
      </c>
      <c r="I4047" s="6" t="str">
        <f>IFERROR(__xludf.DUMMYFUNCTION("""COMPUTED_VALUE"""),"Level 2")</f>
        <v>Level 2</v>
      </c>
      <c r="J4047" s="6" t="str">
        <f>IFERROR(__xludf.DUMMYFUNCTION("""COMPUTED_VALUE"""),"4")</f>
        <v>4</v>
      </c>
      <c r="K4047" s="6" t="str">
        <f>IFERROR(__xludf.DUMMYFUNCTION("""COMPUTED_VALUE"""),"monroe.potts@2hourlearning.com")</f>
        <v>monroe.potts@2hourlearning.com</v>
      </c>
      <c r="L4047" s="6" t="str">
        <f>IFERROR(__xludf.DUMMYFUNCTION("""COMPUTED_VALUE"""),"Metro Schools")</f>
        <v>Metro Schools</v>
      </c>
      <c r="M4047" s="6" t="str">
        <f>IFERROR(__xludf.DUMMYFUNCTION("""COMPUTED_VALUE"""),"")</f>
        <v/>
      </c>
      <c r="N4047" s="6" t="str">
        <f>IFERROR(__xludf.DUMMYFUNCTION("""COMPUTED_VALUE"""),"")</f>
        <v/>
      </c>
      <c r="O4047" s="87" t="str">
        <f>IFERROR(__xludf.DUMMYFUNCTION("""COMPUTED_VALUE"""),"https://drive.google.com/drive/folders/10T2cTQHqEJZqE-st6uFKPoI?usp=share_link")</f>
        <v>https://drive.google.com/drive/folders/10T2cTQHqEJZqE-st6uFKPoI?usp=share_link</v>
      </c>
      <c r="P4047" s="6" t="str">
        <f>IFERROR(__xludf.DUMMYFUNCTION("""COMPUTED_VALUE"""),"Monroe Potts")</f>
        <v>Monroe Potts</v>
      </c>
      <c r="Q4047" s="6" t="str">
        <f>IFERROR(__xludf.DUMMYFUNCTION("""COMPUTED_VALUE"""),"L2")</f>
        <v>L2</v>
      </c>
      <c r="R4047" s="6">
        <f>IFERROR(__xludf.DUMMYFUNCTION("""COMPUTED_VALUE"""),2.0)</f>
        <v>2</v>
      </c>
      <c r="S4047" s="6" t="str">
        <f>IFERROR(__xludf.DUMMYFUNCTION("""COMPUTED_VALUE"""),"Kimberly Ball")</f>
        <v>Kimberly Ball</v>
      </c>
      <c r="T4047" s="6" t="str">
        <f>IFERROR(__xludf.DUMMYFUNCTION("""COMPUTED_VALUE"""),"kimberly.ball@studient.com")</f>
        <v>kimberly.ball@studient.com</v>
      </c>
      <c r="U4047" s="6" t="str">
        <f>IFERROR(__xludf.DUMMYFUNCTION("""COMPUTED_VALUE"""),"4")</f>
        <v>4</v>
      </c>
      <c r="V4047" s="6" t="str">
        <f>IFERROR(__xludf.DUMMYFUNCTION("""COMPUTED_VALUE"""),"")</f>
        <v/>
      </c>
      <c r="W4047" s="6" t="str">
        <f>IFERROR(__xludf.DUMMYFUNCTION("""COMPUTED_VALUE"""),"[]")</f>
        <v>[]</v>
      </c>
      <c r="X4047" s="6" t="str">
        <f>IFERROR(__xludf.DUMMYFUNCTION("""COMPUTED_VALUE"""),"Enrolled")</f>
        <v>Enrolled</v>
      </c>
    </row>
    <row r="4048">
      <c r="A4048" s="6" t="str">
        <f>IFERROR(__xludf.DUMMYFUNCTION("""COMPUTED_VALUE"""),"079-10534")</f>
        <v>079-10534</v>
      </c>
      <c r="B4048" s="6" t="str">
        <f>IFERROR(__xludf.DUMMYFUNCTION("""COMPUTED_VALUE"""),"79")</f>
        <v>79</v>
      </c>
      <c r="C4048" s="6" t="str">
        <f>IFERROR(__xludf.DUMMYFUNCTION("""COMPUTED_VALUE"""),"10534")</f>
        <v>10534</v>
      </c>
      <c r="D4048" s="6" t="str">
        <f>IFERROR(__xludf.DUMMYFUNCTION("""COMPUTED_VALUE"""),"Gabrielle")</f>
        <v>Gabrielle</v>
      </c>
      <c r="E4048" s="6" t="str">
        <f>IFERROR(__xludf.DUMMYFUNCTION("""COMPUTED_VALUE"""),"")</f>
        <v/>
      </c>
      <c r="F4048" s="6" t="str">
        <f>IFERROR(__xludf.DUMMYFUNCTION("""COMPUTED_VALUE"""),"Quachey")</f>
        <v>Quachey</v>
      </c>
      <c r="G4048" s="6" t="str">
        <f>IFERROR(__xludf.DUMMYFUNCTION("""COMPUTED_VALUE"""),"02/21/2014")</f>
        <v>02/21/2014</v>
      </c>
      <c r="H4048" s="6" t="str">
        <f>IFERROR(__xludf.DUMMYFUNCTION("""COMPUTED_VALUE"""),"female")</f>
        <v>female</v>
      </c>
      <c r="I4048" s="6" t="str">
        <f>IFERROR(__xludf.DUMMYFUNCTION("""COMPUTED_VALUE"""),"Middle School")</f>
        <v>Middle School</v>
      </c>
      <c r="J4048" s="6" t="str">
        <f>IFERROR(__xludf.DUMMYFUNCTION("""COMPUTED_VALUE"""),"6")</f>
        <v>6</v>
      </c>
      <c r="K4048" s="6" t="str">
        <f>IFERROR(__xludf.DUMMYFUNCTION("""COMPUTED_VALUE"""),"gabrielle.quachey@2hourlearning.com")</f>
        <v>gabrielle.quachey@2hourlearning.com</v>
      </c>
      <c r="L4048" s="6" t="str">
        <f>IFERROR(__xludf.DUMMYFUNCTION("""COMPUTED_VALUE"""),"Metro Schools")</f>
        <v>Metro Schools</v>
      </c>
      <c r="M4048" s="6" t="str">
        <f>IFERROR(__xludf.DUMMYFUNCTION("""COMPUTED_VALUE"""),"")</f>
        <v/>
      </c>
      <c r="N4048" s="6" t="str">
        <f>IFERROR(__xludf.DUMMYFUNCTION("""COMPUTED_VALUE"""),"")</f>
        <v/>
      </c>
      <c r="O4048" s="87" t="str">
        <f>IFERROR(__xludf.DUMMYFUNCTION("""COMPUTED_VALUE"""),"https://drive.google.com/drive/folders/10T2cTQHqEJZqE-st6uFKPoI?usp=share_link")</f>
        <v>https://drive.google.com/drive/folders/10T2cTQHqEJZqE-st6uFKPoI?usp=share_link</v>
      </c>
      <c r="P4048" s="6" t="str">
        <f>IFERROR(__xludf.DUMMYFUNCTION("""COMPUTED_VALUE"""),"Gabrielle Quachey")</f>
        <v>Gabrielle Quachey</v>
      </c>
      <c r="Q4048" s="6" t="str">
        <f>IFERROR(__xludf.DUMMYFUNCTION("""COMPUTED_VALUE"""),"MS")</f>
        <v>MS</v>
      </c>
      <c r="R4048" s="6">
        <f>IFERROR(__xludf.DUMMYFUNCTION("""COMPUTED_VALUE"""),0.0)</f>
        <v>0</v>
      </c>
      <c r="S4048" s="6" t="str">
        <f>IFERROR(__xludf.DUMMYFUNCTION("""COMPUTED_VALUE"""),"Kimberly Ball")</f>
        <v>Kimberly Ball</v>
      </c>
      <c r="T4048" s="6" t="str">
        <f>IFERROR(__xludf.DUMMYFUNCTION("""COMPUTED_VALUE"""),"kimberly.ball@studient.com")</f>
        <v>kimberly.ball@studient.com</v>
      </c>
      <c r="U4048" s="6" t="str">
        <f>IFERROR(__xludf.DUMMYFUNCTION("""COMPUTED_VALUE"""),"6")</f>
        <v>6</v>
      </c>
      <c r="V4048" s="6" t="str">
        <f>IFERROR(__xludf.DUMMYFUNCTION("""COMPUTED_VALUE"""),"")</f>
        <v/>
      </c>
      <c r="W4048" s="6" t="str">
        <f>IFERROR(__xludf.DUMMYFUNCTION("""COMPUTED_VALUE"""),"[]")</f>
        <v>[]</v>
      </c>
      <c r="X4048" s="6" t="str">
        <f>IFERROR(__xludf.DUMMYFUNCTION("""COMPUTED_VALUE"""),"Enrolled")</f>
        <v>Enrolled</v>
      </c>
    </row>
    <row r="4049">
      <c r="A4049" s="6" t="str">
        <f>IFERROR(__xludf.DUMMYFUNCTION("""COMPUTED_VALUE"""),"079-10535")</f>
        <v>079-10535</v>
      </c>
      <c r="B4049" s="6" t="str">
        <f>IFERROR(__xludf.DUMMYFUNCTION("""COMPUTED_VALUE"""),"79")</f>
        <v>79</v>
      </c>
      <c r="C4049" s="6" t="str">
        <f>IFERROR(__xludf.DUMMYFUNCTION("""COMPUTED_VALUE"""),"10535")</f>
        <v>10535</v>
      </c>
      <c r="D4049" s="6" t="str">
        <f>IFERROR(__xludf.DUMMYFUNCTION("""COMPUTED_VALUE"""),"Shem")</f>
        <v>Shem</v>
      </c>
      <c r="E4049" s="6" t="str">
        <f>IFERROR(__xludf.DUMMYFUNCTION("""COMPUTED_VALUE"""),"")</f>
        <v/>
      </c>
      <c r="F4049" s="6" t="str">
        <f>IFERROR(__xludf.DUMMYFUNCTION("""COMPUTED_VALUE"""),"Rabati")</f>
        <v>Rabati</v>
      </c>
      <c r="G4049" s="6" t="str">
        <f>IFERROR(__xludf.DUMMYFUNCTION("""COMPUTED_VALUE"""),"09/19/2012")</f>
        <v>09/19/2012</v>
      </c>
      <c r="H4049" s="6" t="str">
        <f>IFERROR(__xludf.DUMMYFUNCTION("""COMPUTED_VALUE"""),"female")</f>
        <v>female</v>
      </c>
      <c r="I4049" s="6" t="str">
        <f>IFERROR(__xludf.DUMMYFUNCTION("""COMPUTED_VALUE"""),"Middle School")</f>
        <v>Middle School</v>
      </c>
      <c r="J4049" s="6" t="str">
        <f>IFERROR(__xludf.DUMMYFUNCTION("""COMPUTED_VALUE"""),"8")</f>
        <v>8</v>
      </c>
      <c r="K4049" s="6" t="str">
        <f>IFERROR(__xludf.DUMMYFUNCTION("""COMPUTED_VALUE"""),"shem.rabati@2hourlearning.com")</f>
        <v>shem.rabati@2hourlearning.com</v>
      </c>
      <c r="L4049" s="6" t="str">
        <f>IFERROR(__xludf.DUMMYFUNCTION("""COMPUTED_VALUE"""),"Metro Schools")</f>
        <v>Metro Schools</v>
      </c>
      <c r="M4049" s="6" t="str">
        <f>IFERROR(__xludf.DUMMYFUNCTION("""COMPUTED_VALUE"""),"")</f>
        <v/>
      </c>
      <c r="N4049" s="6" t="str">
        <f>IFERROR(__xludf.DUMMYFUNCTION("""COMPUTED_VALUE"""),"")</f>
        <v/>
      </c>
      <c r="O4049" s="87" t="str">
        <f>IFERROR(__xludf.DUMMYFUNCTION("""COMPUTED_VALUE"""),"https://drive.google.com/drive/folders/10T2cTQHqEJZqE-st6uFKPoI?usp=share_link")</f>
        <v>https://drive.google.com/drive/folders/10T2cTQHqEJZqE-st6uFKPoI?usp=share_link</v>
      </c>
      <c r="P4049" s="6" t="str">
        <f>IFERROR(__xludf.DUMMYFUNCTION("""COMPUTED_VALUE"""),"Shem Rabati")</f>
        <v>Shem Rabati</v>
      </c>
      <c r="Q4049" s="6" t="str">
        <f>IFERROR(__xludf.DUMMYFUNCTION("""COMPUTED_VALUE"""),"MS")</f>
        <v>MS</v>
      </c>
      <c r="R4049" s="6">
        <f>IFERROR(__xludf.DUMMYFUNCTION("""COMPUTED_VALUE"""),0.0)</f>
        <v>0</v>
      </c>
      <c r="S4049" s="6" t="str">
        <f>IFERROR(__xludf.DUMMYFUNCTION("""COMPUTED_VALUE"""),"Kimberly Ball")</f>
        <v>Kimberly Ball</v>
      </c>
      <c r="T4049" s="6" t="str">
        <f>IFERROR(__xludf.DUMMYFUNCTION("""COMPUTED_VALUE"""),"kimberly.ball@studient.com")</f>
        <v>kimberly.ball@studient.com</v>
      </c>
      <c r="U4049" s="6" t="str">
        <f>IFERROR(__xludf.DUMMYFUNCTION("""COMPUTED_VALUE"""),"8")</f>
        <v>8</v>
      </c>
      <c r="V4049" s="6" t="str">
        <f>IFERROR(__xludf.DUMMYFUNCTION("""COMPUTED_VALUE"""),"")</f>
        <v/>
      </c>
      <c r="W4049" s="6" t="str">
        <f>IFERROR(__xludf.DUMMYFUNCTION("""COMPUTED_VALUE"""),"[]")</f>
        <v>[]</v>
      </c>
      <c r="X4049" s="6" t="str">
        <f>IFERROR(__xludf.DUMMYFUNCTION("""COMPUTED_VALUE"""),"Enrolled")</f>
        <v>Enrolled</v>
      </c>
    </row>
    <row r="4050">
      <c r="A4050" s="6" t="str">
        <f>IFERROR(__xludf.DUMMYFUNCTION("""COMPUTED_VALUE"""),"079-10536")</f>
        <v>079-10536</v>
      </c>
      <c r="B4050" s="6" t="str">
        <f>IFERROR(__xludf.DUMMYFUNCTION("""COMPUTED_VALUE"""),"79")</f>
        <v>79</v>
      </c>
      <c r="C4050" s="6" t="str">
        <f>IFERROR(__xludf.DUMMYFUNCTION("""COMPUTED_VALUE"""),"10536")</f>
        <v>10536</v>
      </c>
      <c r="D4050" s="6" t="str">
        <f>IFERROR(__xludf.DUMMYFUNCTION("""COMPUTED_VALUE"""),"Zahraa")</f>
        <v>Zahraa</v>
      </c>
      <c r="E4050" s="6" t="str">
        <f>IFERROR(__xludf.DUMMYFUNCTION("""COMPUTED_VALUE"""),"")</f>
        <v/>
      </c>
      <c r="F4050" s="6" t="str">
        <f>IFERROR(__xludf.DUMMYFUNCTION("""COMPUTED_VALUE"""),"Rahim")</f>
        <v>Rahim</v>
      </c>
      <c r="G4050" s="6" t="str">
        <f>IFERROR(__xludf.DUMMYFUNCTION("""COMPUTED_VALUE"""),"07/18/2015")</f>
        <v>07/18/2015</v>
      </c>
      <c r="H4050" s="6" t="str">
        <f>IFERROR(__xludf.DUMMYFUNCTION("""COMPUTED_VALUE"""),"female")</f>
        <v>female</v>
      </c>
      <c r="I4050" s="6" t="str">
        <f>IFERROR(__xludf.DUMMYFUNCTION("""COMPUTED_VALUE"""),"Level 2")</f>
        <v>Level 2</v>
      </c>
      <c r="J4050" s="6" t="str">
        <f>IFERROR(__xludf.DUMMYFUNCTION("""COMPUTED_VALUE"""),"5")</f>
        <v>5</v>
      </c>
      <c r="K4050" s="6" t="str">
        <f>IFERROR(__xludf.DUMMYFUNCTION("""COMPUTED_VALUE"""),"zahraa.rahim@2hourlearning.com")</f>
        <v>zahraa.rahim@2hourlearning.com</v>
      </c>
      <c r="L4050" s="6" t="str">
        <f>IFERROR(__xludf.DUMMYFUNCTION("""COMPUTED_VALUE"""),"Metro Schools")</f>
        <v>Metro Schools</v>
      </c>
      <c r="M4050" s="6" t="str">
        <f>IFERROR(__xludf.DUMMYFUNCTION("""COMPUTED_VALUE"""),"")</f>
        <v/>
      </c>
      <c r="N4050" s="6" t="str">
        <f>IFERROR(__xludf.DUMMYFUNCTION("""COMPUTED_VALUE"""),"")</f>
        <v/>
      </c>
      <c r="O4050" s="87" t="str">
        <f>IFERROR(__xludf.DUMMYFUNCTION("""COMPUTED_VALUE"""),"https://drive.google.com/drive/folders/10T2cTQHqEJZqE-st6uFKPoI?usp=share_link")</f>
        <v>https://drive.google.com/drive/folders/10T2cTQHqEJZqE-st6uFKPoI?usp=share_link</v>
      </c>
      <c r="P4050" s="6" t="str">
        <f>IFERROR(__xludf.DUMMYFUNCTION("""COMPUTED_VALUE"""),"Zahraa Rahim")</f>
        <v>Zahraa Rahim</v>
      </c>
      <c r="Q4050" s="6" t="str">
        <f>IFERROR(__xludf.DUMMYFUNCTION("""COMPUTED_VALUE"""),"L2")</f>
        <v>L2</v>
      </c>
      <c r="R4050" s="6">
        <f>IFERROR(__xludf.DUMMYFUNCTION("""COMPUTED_VALUE"""),2.0)</f>
        <v>2</v>
      </c>
      <c r="S4050" s="6" t="str">
        <f>IFERROR(__xludf.DUMMYFUNCTION("""COMPUTED_VALUE"""),"Kimberly Ball")</f>
        <v>Kimberly Ball</v>
      </c>
      <c r="T4050" s="6" t="str">
        <f>IFERROR(__xludf.DUMMYFUNCTION("""COMPUTED_VALUE"""),"kimberly.ball@studient.com")</f>
        <v>kimberly.ball@studient.com</v>
      </c>
      <c r="U4050" s="6" t="str">
        <f>IFERROR(__xludf.DUMMYFUNCTION("""COMPUTED_VALUE"""),"5")</f>
        <v>5</v>
      </c>
      <c r="V4050" s="6" t="str">
        <f>IFERROR(__xludf.DUMMYFUNCTION("""COMPUTED_VALUE"""),"")</f>
        <v/>
      </c>
      <c r="W4050" s="6" t="str">
        <f>IFERROR(__xludf.DUMMYFUNCTION("""COMPUTED_VALUE"""),"[]")</f>
        <v>[]</v>
      </c>
      <c r="X4050" s="6" t="str">
        <f>IFERROR(__xludf.DUMMYFUNCTION("""COMPUTED_VALUE"""),"Enrolled")</f>
        <v>Enrolled</v>
      </c>
    </row>
    <row r="4051">
      <c r="A4051" s="6" t="str">
        <f>IFERROR(__xludf.DUMMYFUNCTION("""COMPUTED_VALUE"""),"079-10537")</f>
        <v>079-10537</v>
      </c>
      <c r="B4051" s="6" t="str">
        <f>IFERROR(__xludf.DUMMYFUNCTION("""COMPUTED_VALUE"""),"79")</f>
        <v>79</v>
      </c>
      <c r="C4051" s="6" t="str">
        <f>IFERROR(__xludf.DUMMYFUNCTION("""COMPUTED_VALUE"""),"10537")</f>
        <v>10537</v>
      </c>
      <c r="D4051" s="6" t="str">
        <f>IFERROR(__xludf.DUMMYFUNCTION("""COMPUTED_VALUE"""),"Reina")</f>
        <v>Reina</v>
      </c>
      <c r="E4051" s="6" t="str">
        <f>IFERROR(__xludf.DUMMYFUNCTION("""COMPUTED_VALUE"""),"")</f>
        <v/>
      </c>
      <c r="F4051" s="6" t="str">
        <f>IFERROR(__xludf.DUMMYFUNCTION("""COMPUTED_VALUE"""),"Reid")</f>
        <v>Reid</v>
      </c>
      <c r="G4051" s="6" t="str">
        <f>IFERROR(__xludf.DUMMYFUNCTION("""COMPUTED_VALUE"""),"01/13/2016")</f>
        <v>01/13/2016</v>
      </c>
      <c r="H4051" s="6" t="str">
        <f>IFERROR(__xludf.DUMMYFUNCTION("""COMPUTED_VALUE"""),"female")</f>
        <v>female</v>
      </c>
      <c r="I4051" s="6" t="str">
        <f>IFERROR(__xludf.DUMMYFUNCTION("""COMPUTED_VALUE"""),"Level 2")</f>
        <v>Level 2</v>
      </c>
      <c r="J4051" s="6" t="str">
        <f>IFERROR(__xludf.DUMMYFUNCTION("""COMPUTED_VALUE"""),"4")</f>
        <v>4</v>
      </c>
      <c r="K4051" s="6" t="str">
        <f>IFERROR(__xludf.DUMMYFUNCTION("""COMPUTED_VALUE"""),"reina.reid@2hourlearning.com")</f>
        <v>reina.reid@2hourlearning.com</v>
      </c>
      <c r="L4051" s="6" t="str">
        <f>IFERROR(__xludf.DUMMYFUNCTION("""COMPUTED_VALUE"""),"Metro Schools")</f>
        <v>Metro Schools</v>
      </c>
      <c r="M4051" s="6" t="str">
        <f>IFERROR(__xludf.DUMMYFUNCTION("""COMPUTED_VALUE"""),"")</f>
        <v/>
      </c>
      <c r="N4051" s="6" t="str">
        <f>IFERROR(__xludf.DUMMYFUNCTION("""COMPUTED_VALUE"""),"")</f>
        <v/>
      </c>
      <c r="O4051" s="87" t="str">
        <f>IFERROR(__xludf.DUMMYFUNCTION("""COMPUTED_VALUE"""),"https://drive.google.com/drive/folders/10T2cTQHqEJZqE-st6uFKPoI?usp=share_link")</f>
        <v>https://drive.google.com/drive/folders/10T2cTQHqEJZqE-st6uFKPoI?usp=share_link</v>
      </c>
      <c r="P4051" s="6" t="str">
        <f>IFERROR(__xludf.DUMMYFUNCTION("""COMPUTED_VALUE"""),"Reina Reid")</f>
        <v>Reina Reid</v>
      </c>
      <c r="Q4051" s="6" t="str">
        <f>IFERROR(__xludf.DUMMYFUNCTION("""COMPUTED_VALUE"""),"L2")</f>
        <v>L2</v>
      </c>
      <c r="R4051" s="6">
        <f>IFERROR(__xludf.DUMMYFUNCTION("""COMPUTED_VALUE"""),2.0)</f>
        <v>2</v>
      </c>
      <c r="S4051" s="6" t="str">
        <f>IFERROR(__xludf.DUMMYFUNCTION("""COMPUTED_VALUE"""),"Kimberly Ball")</f>
        <v>Kimberly Ball</v>
      </c>
      <c r="T4051" s="6" t="str">
        <f>IFERROR(__xludf.DUMMYFUNCTION("""COMPUTED_VALUE"""),"kimberly.ball@studient.com")</f>
        <v>kimberly.ball@studient.com</v>
      </c>
      <c r="U4051" s="6" t="str">
        <f>IFERROR(__xludf.DUMMYFUNCTION("""COMPUTED_VALUE"""),"4")</f>
        <v>4</v>
      </c>
      <c r="V4051" s="6" t="str">
        <f>IFERROR(__xludf.DUMMYFUNCTION("""COMPUTED_VALUE"""),"")</f>
        <v/>
      </c>
      <c r="W4051" s="6" t="str">
        <f>IFERROR(__xludf.DUMMYFUNCTION("""COMPUTED_VALUE"""),"[]")</f>
        <v>[]</v>
      </c>
      <c r="X4051" s="6" t="str">
        <f>IFERROR(__xludf.DUMMYFUNCTION("""COMPUTED_VALUE"""),"Enrolled")</f>
        <v>Enrolled</v>
      </c>
    </row>
    <row r="4052">
      <c r="A4052" s="6" t="str">
        <f>IFERROR(__xludf.DUMMYFUNCTION("""COMPUTED_VALUE"""),"079-10538")</f>
        <v>079-10538</v>
      </c>
      <c r="B4052" s="6" t="str">
        <f>IFERROR(__xludf.DUMMYFUNCTION("""COMPUTED_VALUE"""),"79")</f>
        <v>79</v>
      </c>
      <c r="C4052" s="6" t="str">
        <f>IFERROR(__xludf.DUMMYFUNCTION("""COMPUTED_VALUE"""),"10538")</f>
        <v>10538</v>
      </c>
      <c r="D4052" s="6" t="str">
        <f>IFERROR(__xludf.DUMMYFUNCTION("""COMPUTED_VALUE"""),"Ella")</f>
        <v>Ella</v>
      </c>
      <c r="E4052" s="6" t="str">
        <f>IFERROR(__xludf.DUMMYFUNCTION("""COMPUTED_VALUE"""),"")</f>
        <v/>
      </c>
      <c r="F4052" s="6" t="str">
        <f>IFERROR(__xludf.DUMMYFUNCTION("""COMPUTED_VALUE"""),"Rezin")</f>
        <v>Rezin</v>
      </c>
      <c r="G4052" s="6" t="str">
        <f>IFERROR(__xludf.DUMMYFUNCTION("""COMPUTED_VALUE"""),"06/13/2014")</f>
        <v>06/13/2014</v>
      </c>
      <c r="H4052" s="6" t="str">
        <f>IFERROR(__xludf.DUMMYFUNCTION("""COMPUTED_VALUE"""),"female")</f>
        <v>female</v>
      </c>
      <c r="I4052" s="6" t="str">
        <f>IFERROR(__xludf.DUMMYFUNCTION("""COMPUTED_VALUE"""),"Middle School")</f>
        <v>Middle School</v>
      </c>
      <c r="J4052" s="6" t="str">
        <f>IFERROR(__xludf.DUMMYFUNCTION("""COMPUTED_VALUE"""),"6")</f>
        <v>6</v>
      </c>
      <c r="K4052" s="6" t="str">
        <f>IFERROR(__xludf.DUMMYFUNCTION("""COMPUTED_VALUE"""),"ella.rezin@2hourlearning.com")</f>
        <v>ella.rezin@2hourlearning.com</v>
      </c>
      <c r="L4052" s="6" t="str">
        <f>IFERROR(__xludf.DUMMYFUNCTION("""COMPUTED_VALUE"""),"Metro Schools")</f>
        <v>Metro Schools</v>
      </c>
      <c r="M4052" s="6" t="str">
        <f>IFERROR(__xludf.DUMMYFUNCTION("""COMPUTED_VALUE"""),"")</f>
        <v/>
      </c>
      <c r="N4052" s="6" t="str">
        <f>IFERROR(__xludf.DUMMYFUNCTION("""COMPUTED_VALUE"""),"")</f>
        <v/>
      </c>
      <c r="O4052" s="87" t="str">
        <f>IFERROR(__xludf.DUMMYFUNCTION("""COMPUTED_VALUE"""),"https://drive.google.com/drive/folders/10T2cTQHqEJZqE-st6uFKPoI?usp=share_link")</f>
        <v>https://drive.google.com/drive/folders/10T2cTQHqEJZqE-st6uFKPoI?usp=share_link</v>
      </c>
      <c r="P4052" s="6" t="str">
        <f>IFERROR(__xludf.DUMMYFUNCTION("""COMPUTED_VALUE"""),"Ella Rezin")</f>
        <v>Ella Rezin</v>
      </c>
      <c r="Q4052" s="6" t="str">
        <f>IFERROR(__xludf.DUMMYFUNCTION("""COMPUTED_VALUE"""),"MS")</f>
        <v>MS</v>
      </c>
      <c r="R4052" s="6">
        <f>IFERROR(__xludf.DUMMYFUNCTION("""COMPUTED_VALUE"""),0.0)</f>
        <v>0</v>
      </c>
      <c r="S4052" s="6" t="str">
        <f>IFERROR(__xludf.DUMMYFUNCTION("""COMPUTED_VALUE"""),"Kimberly Ball")</f>
        <v>Kimberly Ball</v>
      </c>
      <c r="T4052" s="6" t="str">
        <f>IFERROR(__xludf.DUMMYFUNCTION("""COMPUTED_VALUE"""),"kimberly.ball@studient.com")</f>
        <v>kimberly.ball@studient.com</v>
      </c>
      <c r="U4052" s="6" t="str">
        <f>IFERROR(__xludf.DUMMYFUNCTION("""COMPUTED_VALUE"""),"6")</f>
        <v>6</v>
      </c>
      <c r="V4052" s="6" t="str">
        <f>IFERROR(__xludf.DUMMYFUNCTION("""COMPUTED_VALUE"""),"")</f>
        <v/>
      </c>
      <c r="W4052" s="6" t="str">
        <f>IFERROR(__xludf.DUMMYFUNCTION("""COMPUTED_VALUE"""),"[]")</f>
        <v>[]</v>
      </c>
      <c r="X4052" s="6" t="str">
        <f>IFERROR(__xludf.DUMMYFUNCTION("""COMPUTED_VALUE"""),"Enrolled")</f>
        <v>Enrolled</v>
      </c>
    </row>
    <row r="4053">
      <c r="A4053" s="6" t="str">
        <f>IFERROR(__xludf.DUMMYFUNCTION("""COMPUTED_VALUE"""),"079-10539")</f>
        <v>079-10539</v>
      </c>
      <c r="B4053" s="6" t="str">
        <f>IFERROR(__xludf.DUMMYFUNCTION("""COMPUTED_VALUE"""),"79")</f>
        <v>79</v>
      </c>
      <c r="C4053" s="6" t="str">
        <f>IFERROR(__xludf.DUMMYFUNCTION("""COMPUTED_VALUE"""),"10539")</f>
        <v>10539</v>
      </c>
      <c r="D4053" s="6" t="str">
        <f>IFERROR(__xludf.DUMMYFUNCTION("""COMPUTED_VALUE"""),"Ishawna")</f>
        <v>Ishawna</v>
      </c>
      <c r="E4053" s="6" t="str">
        <f>IFERROR(__xludf.DUMMYFUNCTION("""COMPUTED_VALUE"""),"")</f>
        <v/>
      </c>
      <c r="F4053" s="6" t="str">
        <f>IFERROR(__xludf.DUMMYFUNCTION("""COMPUTED_VALUE"""),"Rose")</f>
        <v>Rose</v>
      </c>
      <c r="G4053" s="6" t="str">
        <f>IFERROR(__xludf.DUMMYFUNCTION("""COMPUTED_VALUE"""),"11/04/2009")</f>
        <v>11/04/2009</v>
      </c>
      <c r="H4053" s="6" t="str">
        <f>IFERROR(__xludf.DUMMYFUNCTION("""COMPUTED_VALUE"""),"female")</f>
        <v>female</v>
      </c>
      <c r="I4053" s="6" t="str">
        <f>IFERROR(__xludf.DUMMYFUNCTION("""COMPUTED_VALUE"""),"High School")</f>
        <v>High School</v>
      </c>
      <c r="J4053" s="6" t="str">
        <f>IFERROR(__xludf.DUMMYFUNCTION("""COMPUTED_VALUE"""),"10")</f>
        <v>10</v>
      </c>
      <c r="K4053" s="6" t="str">
        <f>IFERROR(__xludf.DUMMYFUNCTION("""COMPUTED_VALUE"""),"ishawna.rose@2hourlearning.com")</f>
        <v>ishawna.rose@2hourlearning.com</v>
      </c>
      <c r="L4053" s="6" t="str">
        <f>IFERROR(__xludf.DUMMYFUNCTION("""COMPUTED_VALUE"""),"Metro Schools")</f>
        <v>Metro Schools</v>
      </c>
      <c r="M4053" s="6" t="str">
        <f>IFERROR(__xludf.DUMMYFUNCTION("""COMPUTED_VALUE"""),"")</f>
        <v/>
      </c>
      <c r="N4053" s="6" t="str">
        <f>IFERROR(__xludf.DUMMYFUNCTION("""COMPUTED_VALUE"""),"")</f>
        <v/>
      </c>
      <c r="O4053" s="87" t="str">
        <f>IFERROR(__xludf.DUMMYFUNCTION("""COMPUTED_VALUE"""),"https://drive.google.com/drive/folders/10T2cTQHqEJZqE-st6uFKPoI?usp=share_link")</f>
        <v>https://drive.google.com/drive/folders/10T2cTQHqEJZqE-st6uFKPoI?usp=share_link</v>
      </c>
      <c r="P4053" s="6" t="str">
        <f>IFERROR(__xludf.DUMMYFUNCTION("""COMPUTED_VALUE"""),"Ishawna Rose")</f>
        <v>Ishawna Rose</v>
      </c>
      <c r="Q4053" s="6" t="str">
        <f>IFERROR(__xludf.DUMMYFUNCTION("""COMPUTED_VALUE"""),"HS")</f>
        <v>HS</v>
      </c>
      <c r="R4053" s="6">
        <f>IFERROR(__xludf.DUMMYFUNCTION("""COMPUTED_VALUE"""),0.0)</f>
        <v>0</v>
      </c>
      <c r="S4053" s="6" t="str">
        <f>IFERROR(__xludf.DUMMYFUNCTION("""COMPUTED_VALUE"""),"Kimberly Ball")</f>
        <v>Kimberly Ball</v>
      </c>
      <c r="T4053" s="6" t="str">
        <f>IFERROR(__xludf.DUMMYFUNCTION("""COMPUTED_VALUE"""),"kimberly.ball@studient.com")</f>
        <v>kimberly.ball@studient.com</v>
      </c>
      <c r="U4053" s="6" t="str">
        <f>IFERROR(__xludf.DUMMYFUNCTION("""COMPUTED_VALUE"""),"10")</f>
        <v>10</v>
      </c>
      <c r="V4053" s="6" t="str">
        <f>IFERROR(__xludf.DUMMYFUNCTION("""COMPUTED_VALUE"""),"")</f>
        <v/>
      </c>
      <c r="W4053" s="6" t="str">
        <f>IFERROR(__xludf.DUMMYFUNCTION("""COMPUTED_VALUE"""),"[]")</f>
        <v>[]</v>
      </c>
      <c r="X4053" s="6" t="str">
        <f>IFERROR(__xludf.DUMMYFUNCTION("""COMPUTED_VALUE"""),"Enrolled")</f>
        <v>Enrolled</v>
      </c>
    </row>
    <row r="4054">
      <c r="A4054" s="6" t="str">
        <f>IFERROR(__xludf.DUMMYFUNCTION("""COMPUTED_VALUE"""),"079-10540")</f>
        <v>079-10540</v>
      </c>
      <c r="B4054" s="6" t="str">
        <f>IFERROR(__xludf.DUMMYFUNCTION("""COMPUTED_VALUE"""),"79")</f>
        <v>79</v>
      </c>
      <c r="C4054" s="6" t="str">
        <f>IFERROR(__xludf.DUMMYFUNCTION("""COMPUTED_VALUE"""),"10540")</f>
        <v>10540</v>
      </c>
      <c r="D4054" s="6" t="str">
        <f>IFERROR(__xludf.DUMMYFUNCTION("""COMPUTED_VALUE"""),"Taiden")</f>
        <v>Taiden</v>
      </c>
      <c r="E4054" s="6" t="str">
        <f>IFERROR(__xludf.DUMMYFUNCTION("""COMPUTED_VALUE"""),"")</f>
        <v/>
      </c>
      <c r="F4054" s="6" t="str">
        <f>IFERROR(__xludf.DUMMYFUNCTION("""COMPUTED_VALUE"""),"Rose")</f>
        <v>Rose</v>
      </c>
      <c r="G4054" s="6" t="str">
        <f>IFERROR(__xludf.DUMMYFUNCTION("""COMPUTED_VALUE"""),"10/12/2015")</f>
        <v>10/12/2015</v>
      </c>
      <c r="H4054" s="6" t="str">
        <f>IFERROR(__xludf.DUMMYFUNCTION("""COMPUTED_VALUE"""),"male")</f>
        <v>male</v>
      </c>
      <c r="I4054" s="6" t="str">
        <f>IFERROR(__xludf.DUMMYFUNCTION("""COMPUTED_VALUE"""),"Level 2")</f>
        <v>Level 2</v>
      </c>
      <c r="J4054" s="6" t="str">
        <f>IFERROR(__xludf.DUMMYFUNCTION("""COMPUTED_VALUE"""),"4")</f>
        <v>4</v>
      </c>
      <c r="K4054" s="6" t="str">
        <f>IFERROR(__xludf.DUMMYFUNCTION("""COMPUTED_VALUE"""),"taiden.rose@2hourlearning.com")</f>
        <v>taiden.rose@2hourlearning.com</v>
      </c>
      <c r="L4054" s="6" t="str">
        <f>IFERROR(__xludf.DUMMYFUNCTION("""COMPUTED_VALUE"""),"Metro Schools")</f>
        <v>Metro Schools</v>
      </c>
      <c r="M4054" s="6" t="str">
        <f>IFERROR(__xludf.DUMMYFUNCTION("""COMPUTED_VALUE"""),"")</f>
        <v/>
      </c>
      <c r="N4054" s="6" t="str">
        <f>IFERROR(__xludf.DUMMYFUNCTION("""COMPUTED_VALUE"""),"")</f>
        <v/>
      </c>
      <c r="O4054" s="87" t="str">
        <f>IFERROR(__xludf.DUMMYFUNCTION("""COMPUTED_VALUE"""),"https://drive.google.com/drive/folders/10T2cTQHqEJZqE-st6uFKPoI?usp=share_link")</f>
        <v>https://drive.google.com/drive/folders/10T2cTQHqEJZqE-st6uFKPoI?usp=share_link</v>
      </c>
      <c r="P4054" s="6" t="str">
        <f>IFERROR(__xludf.DUMMYFUNCTION("""COMPUTED_VALUE"""),"Taiden Rose")</f>
        <v>Taiden Rose</v>
      </c>
      <c r="Q4054" s="6" t="str">
        <f>IFERROR(__xludf.DUMMYFUNCTION("""COMPUTED_VALUE"""),"L2")</f>
        <v>L2</v>
      </c>
      <c r="R4054" s="6">
        <f>IFERROR(__xludf.DUMMYFUNCTION("""COMPUTED_VALUE"""),2.0)</f>
        <v>2</v>
      </c>
      <c r="S4054" s="6" t="str">
        <f>IFERROR(__xludf.DUMMYFUNCTION("""COMPUTED_VALUE"""),"Kimberly Ball")</f>
        <v>Kimberly Ball</v>
      </c>
      <c r="T4054" s="6" t="str">
        <f>IFERROR(__xludf.DUMMYFUNCTION("""COMPUTED_VALUE"""),"kimberly.ball@studient.com")</f>
        <v>kimberly.ball@studient.com</v>
      </c>
      <c r="U4054" s="6" t="str">
        <f>IFERROR(__xludf.DUMMYFUNCTION("""COMPUTED_VALUE"""),"4")</f>
        <v>4</v>
      </c>
      <c r="V4054" s="6" t="str">
        <f>IFERROR(__xludf.DUMMYFUNCTION("""COMPUTED_VALUE"""),"")</f>
        <v/>
      </c>
      <c r="W4054" s="6" t="str">
        <f>IFERROR(__xludf.DUMMYFUNCTION("""COMPUTED_VALUE"""),"[]")</f>
        <v>[]</v>
      </c>
      <c r="X4054" s="6" t="str">
        <f>IFERROR(__xludf.DUMMYFUNCTION("""COMPUTED_VALUE"""),"Enrolled")</f>
        <v>Enrolled</v>
      </c>
    </row>
    <row r="4055">
      <c r="A4055" s="6" t="str">
        <f>IFERROR(__xludf.DUMMYFUNCTION("""COMPUTED_VALUE"""),"079-10541")</f>
        <v>079-10541</v>
      </c>
      <c r="B4055" s="6" t="str">
        <f>IFERROR(__xludf.DUMMYFUNCTION("""COMPUTED_VALUE"""),"79")</f>
        <v>79</v>
      </c>
      <c r="C4055" s="6" t="str">
        <f>IFERROR(__xludf.DUMMYFUNCTION("""COMPUTED_VALUE"""),"10541")</f>
        <v>10541</v>
      </c>
      <c r="D4055" s="6" t="str">
        <f>IFERROR(__xludf.DUMMYFUNCTION("""COMPUTED_VALUE"""),"Ahmed")</f>
        <v>Ahmed</v>
      </c>
      <c r="E4055" s="6" t="str">
        <f>IFERROR(__xludf.DUMMYFUNCTION("""COMPUTED_VALUE"""),"")</f>
        <v/>
      </c>
      <c r="F4055" s="6" t="str">
        <f>IFERROR(__xludf.DUMMYFUNCTION("""COMPUTED_VALUE"""),"Salad")</f>
        <v>Salad</v>
      </c>
      <c r="G4055" s="6" t="str">
        <f>IFERROR(__xludf.DUMMYFUNCTION("""COMPUTED_VALUE"""),"08/21/2014")</f>
        <v>08/21/2014</v>
      </c>
      <c r="H4055" s="6" t="str">
        <f>IFERROR(__xludf.DUMMYFUNCTION("""COMPUTED_VALUE"""),"male")</f>
        <v>male</v>
      </c>
      <c r="I4055" s="6" t="str">
        <f>IFERROR(__xludf.DUMMYFUNCTION("""COMPUTED_VALUE"""),"Middle School")</f>
        <v>Middle School</v>
      </c>
      <c r="J4055" s="6" t="str">
        <f>IFERROR(__xludf.DUMMYFUNCTION("""COMPUTED_VALUE"""),"6")</f>
        <v>6</v>
      </c>
      <c r="K4055" s="6" t="str">
        <f>IFERROR(__xludf.DUMMYFUNCTION("""COMPUTED_VALUE"""),"ahmed.salad@2hourlearning.com")</f>
        <v>ahmed.salad@2hourlearning.com</v>
      </c>
      <c r="L4055" s="6" t="str">
        <f>IFERROR(__xludf.DUMMYFUNCTION("""COMPUTED_VALUE"""),"Metro Schools")</f>
        <v>Metro Schools</v>
      </c>
      <c r="M4055" s="6" t="str">
        <f>IFERROR(__xludf.DUMMYFUNCTION("""COMPUTED_VALUE"""),"")</f>
        <v/>
      </c>
      <c r="N4055" s="6" t="str">
        <f>IFERROR(__xludf.DUMMYFUNCTION("""COMPUTED_VALUE"""),"")</f>
        <v/>
      </c>
      <c r="O4055" s="87" t="str">
        <f>IFERROR(__xludf.DUMMYFUNCTION("""COMPUTED_VALUE"""),"https://drive.google.com/drive/folders/10T2cTQHqEJZqE-st6uFKPoI?usp=share_link")</f>
        <v>https://drive.google.com/drive/folders/10T2cTQHqEJZqE-st6uFKPoI?usp=share_link</v>
      </c>
      <c r="P4055" s="6" t="str">
        <f>IFERROR(__xludf.DUMMYFUNCTION("""COMPUTED_VALUE"""),"Ahmed Salad")</f>
        <v>Ahmed Salad</v>
      </c>
      <c r="Q4055" s="6" t="str">
        <f>IFERROR(__xludf.DUMMYFUNCTION("""COMPUTED_VALUE"""),"MS")</f>
        <v>MS</v>
      </c>
      <c r="R4055" s="6">
        <f>IFERROR(__xludf.DUMMYFUNCTION("""COMPUTED_VALUE"""),0.0)</f>
        <v>0</v>
      </c>
      <c r="S4055" s="6" t="str">
        <f>IFERROR(__xludf.DUMMYFUNCTION("""COMPUTED_VALUE"""),"Kimberly Ball")</f>
        <v>Kimberly Ball</v>
      </c>
      <c r="T4055" s="6" t="str">
        <f>IFERROR(__xludf.DUMMYFUNCTION("""COMPUTED_VALUE"""),"kimberly.ball@studient.com")</f>
        <v>kimberly.ball@studient.com</v>
      </c>
      <c r="U4055" s="6" t="str">
        <f>IFERROR(__xludf.DUMMYFUNCTION("""COMPUTED_VALUE"""),"6")</f>
        <v>6</v>
      </c>
      <c r="V4055" s="6" t="str">
        <f>IFERROR(__xludf.DUMMYFUNCTION("""COMPUTED_VALUE"""),"")</f>
        <v/>
      </c>
      <c r="W4055" s="6" t="str">
        <f>IFERROR(__xludf.DUMMYFUNCTION("""COMPUTED_VALUE"""),"[]")</f>
        <v>[]</v>
      </c>
      <c r="X4055" s="6" t="str">
        <f>IFERROR(__xludf.DUMMYFUNCTION("""COMPUTED_VALUE"""),"Enrolled")</f>
        <v>Enrolled</v>
      </c>
    </row>
    <row r="4056">
      <c r="A4056" s="6" t="str">
        <f>IFERROR(__xludf.DUMMYFUNCTION("""COMPUTED_VALUE"""),"079-10542")</f>
        <v>079-10542</v>
      </c>
      <c r="B4056" s="6" t="str">
        <f>IFERROR(__xludf.DUMMYFUNCTION("""COMPUTED_VALUE"""),"79")</f>
        <v>79</v>
      </c>
      <c r="C4056" s="6" t="str">
        <f>IFERROR(__xludf.DUMMYFUNCTION("""COMPUTED_VALUE"""),"10542")</f>
        <v>10542</v>
      </c>
      <c r="D4056" s="6" t="str">
        <f>IFERROR(__xludf.DUMMYFUNCTION("""COMPUTED_VALUE"""),"Ayub")</f>
        <v>Ayub</v>
      </c>
      <c r="E4056" s="6" t="str">
        <f>IFERROR(__xludf.DUMMYFUNCTION("""COMPUTED_VALUE"""),"")</f>
        <v/>
      </c>
      <c r="F4056" s="6" t="str">
        <f>IFERROR(__xludf.DUMMYFUNCTION("""COMPUTED_VALUE"""),"Salad")</f>
        <v>Salad</v>
      </c>
      <c r="G4056" s="6" t="str">
        <f>IFERROR(__xludf.DUMMYFUNCTION("""COMPUTED_VALUE"""),"08/02/2013")</f>
        <v>08/02/2013</v>
      </c>
      <c r="H4056" s="6" t="str">
        <f>IFERROR(__xludf.DUMMYFUNCTION("""COMPUTED_VALUE"""),"male")</f>
        <v>male</v>
      </c>
      <c r="I4056" s="6" t="str">
        <f>IFERROR(__xludf.DUMMYFUNCTION("""COMPUTED_VALUE"""),"Middle School")</f>
        <v>Middle School</v>
      </c>
      <c r="J4056" s="6" t="str">
        <f>IFERROR(__xludf.DUMMYFUNCTION("""COMPUTED_VALUE"""),"7")</f>
        <v>7</v>
      </c>
      <c r="K4056" s="6" t="str">
        <f>IFERROR(__xludf.DUMMYFUNCTION("""COMPUTED_VALUE"""),"ayub.salad@2hourlearning.com")</f>
        <v>ayub.salad@2hourlearning.com</v>
      </c>
      <c r="L4056" s="6" t="str">
        <f>IFERROR(__xludf.DUMMYFUNCTION("""COMPUTED_VALUE"""),"Metro Schools")</f>
        <v>Metro Schools</v>
      </c>
      <c r="M4056" s="6" t="str">
        <f>IFERROR(__xludf.DUMMYFUNCTION("""COMPUTED_VALUE"""),"")</f>
        <v/>
      </c>
      <c r="N4056" s="6" t="str">
        <f>IFERROR(__xludf.DUMMYFUNCTION("""COMPUTED_VALUE"""),"")</f>
        <v/>
      </c>
      <c r="O4056" s="87" t="str">
        <f>IFERROR(__xludf.DUMMYFUNCTION("""COMPUTED_VALUE"""),"https://drive.google.com/drive/folders/10T2cTQHqEJZqE-st6uFKPoI?usp=share_link")</f>
        <v>https://drive.google.com/drive/folders/10T2cTQHqEJZqE-st6uFKPoI?usp=share_link</v>
      </c>
      <c r="P4056" s="6" t="str">
        <f>IFERROR(__xludf.DUMMYFUNCTION("""COMPUTED_VALUE"""),"Ayub Salad")</f>
        <v>Ayub Salad</v>
      </c>
      <c r="Q4056" s="6" t="str">
        <f>IFERROR(__xludf.DUMMYFUNCTION("""COMPUTED_VALUE"""),"MS")</f>
        <v>MS</v>
      </c>
      <c r="R4056" s="6">
        <f>IFERROR(__xludf.DUMMYFUNCTION("""COMPUTED_VALUE"""),0.0)</f>
        <v>0</v>
      </c>
      <c r="S4056" s="6" t="str">
        <f>IFERROR(__xludf.DUMMYFUNCTION("""COMPUTED_VALUE"""),"Kimberly Ball")</f>
        <v>Kimberly Ball</v>
      </c>
      <c r="T4056" s="6" t="str">
        <f>IFERROR(__xludf.DUMMYFUNCTION("""COMPUTED_VALUE"""),"kimberly.ball@studient.com")</f>
        <v>kimberly.ball@studient.com</v>
      </c>
      <c r="U4056" s="6" t="str">
        <f>IFERROR(__xludf.DUMMYFUNCTION("""COMPUTED_VALUE"""),"7")</f>
        <v>7</v>
      </c>
      <c r="V4056" s="6" t="str">
        <f>IFERROR(__xludf.DUMMYFUNCTION("""COMPUTED_VALUE"""),"")</f>
        <v/>
      </c>
      <c r="W4056" s="6" t="str">
        <f>IFERROR(__xludf.DUMMYFUNCTION("""COMPUTED_VALUE"""),"[]")</f>
        <v>[]</v>
      </c>
      <c r="X4056" s="6" t="str">
        <f>IFERROR(__xludf.DUMMYFUNCTION("""COMPUTED_VALUE"""),"Enrolled")</f>
        <v>Enrolled</v>
      </c>
    </row>
    <row r="4057">
      <c r="A4057" s="6" t="str">
        <f>IFERROR(__xludf.DUMMYFUNCTION("""COMPUTED_VALUE"""),"079-10543")</f>
        <v>079-10543</v>
      </c>
      <c r="B4057" s="6" t="str">
        <f>IFERROR(__xludf.DUMMYFUNCTION("""COMPUTED_VALUE"""),"79")</f>
        <v>79</v>
      </c>
      <c r="C4057" s="6" t="str">
        <f>IFERROR(__xludf.DUMMYFUNCTION("""COMPUTED_VALUE"""),"10543")</f>
        <v>10543</v>
      </c>
      <c r="D4057" s="6" t="str">
        <f>IFERROR(__xludf.DUMMYFUNCTION("""COMPUTED_VALUE"""),"Manal")</f>
        <v>Manal</v>
      </c>
      <c r="E4057" s="6" t="str">
        <f>IFERROR(__xludf.DUMMYFUNCTION("""COMPUTED_VALUE"""),"")</f>
        <v/>
      </c>
      <c r="F4057" s="6" t="str">
        <f>IFERROR(__xludf.DUMMYFUNCTION("""COMPUTED_VALUE"""),"Salad")</f>
        <v>Salad</v>
      </c>
      <c r="G4057" s="6" t="str">
        <f>IFERROR(__xludf.DUMMYFUNCTION("""COMPUTED_VALUE"""),"08/06/2016")</f>
        <v>08/06/2016</v>
      </c>
      <c r="H4057" s="6" t="str">
        <f>IFERROR(__xludf.DUMMYFUNCTION("""COMPUTED_VALUE"""),"female")</f>
        <v>female</v>
      </c>
      <c r="I4057" s="6" t="str">
        <f>IFERROR(__xludf.DUMMYFUNCTION("""COMPUTED_VALUE"""),"Level 2")</f>
        <v>Level 2</v>
      </c>
      <c r="J4057" s="6" t="str">
        <f>IFERROR(__xludf.DUMMYFUNCTION("""COMPUTED_VALUE"""),"4")</f>
        <v>4</v>
      </c>
      <c r="K4057" s="6" t="str">
        <f>IFERROR(__xludf.DUMMYFUNCTION("""COMPUTED_VALUE"""),"manal.salad@2hourlearning.com")</f>
        <v>manal.salad@2hourlearning.com</v>
      </c>
      <c r="L4057" s="6" t="str">
        <f>IFERROR(__xludf.DUMMYFUNCTION("""COMPUTED_VALUE"""),"Metro Schools")</f>
        <v>Metro Schools</v>
      </c>
      <c r="M4057" s="6" t="str">
        <f>IFERROR(__xludf.DUMMYFUNCTION("""COMPUTED_VALUE"""),"")</f>
        <v/>
      </c>
      <c r="N4057" s="6" t="str">
        <f>IFERROR(__xludf.DUMMYFUNCTION("""COMPUTED_VALUE"""),"")</f>
        <v/>
      </c>
      <c r="O4057" s="87" t="str">
        <f>IFERROR(__xludf.DUMMYFUNCTION("""COMPUTED_VALUE"""),"https://drive.google.com/drive/folders/10T2cTQHqEJZqE-st6uFKPoI?usp=share_link")</f>
        <v>https://drive.google.com/drive/folders/10T2cTQHqEJZqE-st6uFKPoI?usp=share_link</v>
      </c>
      <c r="P4057" s="6" t="str">
        <f>IFERROR(__xludf.DUMMYFUNCTION("""COMPUTED_VALUE"""),"Manal Salad")</f>
        <v>Manal Salad</v>
      </c>
      <c r="Q4057" s="6" t="str">
        <f>IFERROR(__xludf.DUMMYFUNCTION("""COMPUTED_VALUE"""),"L2")</f>
        <v>L2</v>
      </c>
      <c r="R4057" s="6">
        <f>IFERROR(__xludf.DUMMYFUNCTION("""COMPUTED_VALUE"""),2.0)</f>
        <v>2</v>
      </c>
      <c r="S4057" s="6" t="str">
        <f>IFERROR(__xludf.DUMMYFUNCTION("""COMPUTED_VALUE"""),"Kimberly Ball")</f>
        <v>Kimberly Ball</v>
      </c>
      <c r="T4057" s="6" t="str">
        <f>IFERROR(__xludf.DUMMYFUNCTION("""COMPUTED_VALUE"""),"kimberly.ball@studient.com")</f>
        <v>kimberly.ball@studient.com</v>
      </c>
      <c r="U4057" s="6" t="str">
        <f>IFERROR(__xludf.DUMMYFUNCTION("""COMPUTED_VALUE"""),"4")</f>
        <v>4</v>
      </c>
      <c r="V4057" s="6" t="str">
        <f>IFERROR(__xludf.DUMMYFUNCTION("""COMPUTED_VALUE"""),"")</f>
        <v/>
      </c>
      <c r="W4057" s="6" t="str">
        <f>IFERROR(__xludf.DUMMYFUNCTION("""COMPUTED_VALUE"""),"[]")</f>
        <v>[]</v>
      </c>
      <c r="X4057" s="6" t="str">
        <f>IFERROR(__xludf.DUMMYFUNCTION("""COMPUTED_VALUE"""),"Enrolled")</f>
        <v>Enrolled</v>
      </c>
    </row>
    <row r="4058">
      <c r="A4058" s="6" t="str">
        <f>IFERROR(__xludf.DUMMYFUNCTION("""COMPUTED_VALUE"""),"079-10544")</f>
        <v>079-10544</v>
      </c>
      <c r="B4058" s="6" t="str">
        <f>IFERROR(__xludf.DUMMYFUNCTION("""COMPUTED_VALUE"""),"79")</f>
        <v>79</v>
      </c>
      <c r="C4058" s="6" t="str">
        <f>IFERROR(__xludf.DUMMYFUNCTION("""COMPUTED_VALUE"""),"10544")</f>
        <v>10544</v>
      </c>
      <c r="D4058" s="6" t="str">
        <f>IFERROR(__xludf.DUMMYFUNCTION("""COMPUTED_VALUE"""),"Muna")</f>
        <v>Muna</v>
      </c>
      <c r="E4058" s="6" t="str">
        <f>IFERROR(__xludf.DUMMYFUNCTION("""COMPUTED_VALUE"""),"")</f>
        <v/>
      </c>
      <c r="F4058" s="6" t="str">
        <f>IFERROR(__xludf.DUMMYFUNCTION("""COMPUTED_VALUE"""),"Salad")</f>
        <v>Salad</v>
      </c>
      <c r="G4058" s="6" t="str">
        <f>IFERROR(__xludf.DUMMYFUNCTION("""COMPUTED_VALUE"""),"01/17/2012")</f>
        <v>01/17/2012</v>
      </c>
      <c r="H4058" s="6" t="str">
        <f>IFERROR(__xludf.DUMMYFUNCTION("""COMPUTED_VALUE"""),"female")</f>
        <v>female</v>
      </c>
      <c r="I4058" s="6" t="str">
        <f>IFERROR(__xludf.DUMMYFUNCTION("""COMPUTED_VALUE"""),"Middle School")</f>
        <v>Middle School</v>
      </c>
      <c r="J4058" s="6" t="str">
        <f>IFERROR(__xludf.DUMMYFUNCTION("""COMPUTED_VALUE"""),"8")</f>
        <v>8</v>
      </c>
      <c r="K4058" s="6" t="str">
        <f>IFERROR(__xludf.DUMMYFUNCTION("""COMPUTED_VALUE"""),"muna.salad@2hourlearning.com")</f>
        <v>muna.salad@2hourlearning.com</v>
      </c>
      <c r="L4058" s="6" t="str">
        <f>IFERROR(__xludf.DUMMYFUNCTION("""COMPUTED_VALUE"""),"Metro Schools")</f>
        <v>Metro Schools</v>
      </c>
      <c r="M4058" s="6" t="str">
        <f>IFERROR(__xludf.DUMMYFUNCTION("""COMPUTED_VALUE"""),"")</f>
        <v/>
      </c>
      <c r="N4058" s="6" t="str">
        <f>IFERROR(__xludf.DUMMYFUNCTION("""COMPUTED_VALUE"""),"")</f>
        <v/>
      </c>
      <c r="O4058" s="87" t="str">
        <f>IFERROR(__xludf.DUMMYFUNCTION("""COMPUTED_VALUE"""),"https://drive.google.com/drive/folders/10T2cTQHqEJZqE-st6uFKPoI?usp=share_link")</f>
        <v>https://drive.google.com/drive/folders/10T2cTQHqEJZqE-st6uFKPoI?usp=share_link</v>
      </c>
      <c r="P4058" s="6" t="str">
        <f>IFERROR(__xludf.DUMMYFUNCTION("""COMPUTED_VALUE"""),"Muna Salad")</f>
        <v>Muna Salad</v>
      </c>
      <c r="Q4058" s="6" t="str">
        <f>IFERROR(__xludf.DUMMYFUNCTION("""COMPUTED_VALUE"""),"MS")</f>
        <v>MS</v>
      </c>
      <c r="R4058" s="6">
        <f>IFERROR(__xludf.DUMMYFUNCTION("""COMPUTED_VALUE"""),0.0)</f>
        <v>0</v>
      </c>
      <c r="S4058" s="6" t="str">
        <f>IFERROR(__xludf.DUMMYFUNCTION("""COMPUTED_VALUE"""),"Kimberly Ball")</f>
        <v>Kimberly Ball</v>
      </c>
      <c r="T4058" s="6" t="str">
        <f>IFERROR(__xludf.DUMMYFUNCTION("""COMPUTED_VALUE"""),"kimberly.ball@studient.com")</f>
        <v>kimberly.ball@studient.com</v>
      </c>
      <c r="U4058" s="6" t="str">
        <f>IFERROR(__xludf.DUMMYFUNCTION("""COMPUTED_VALUE"""),"8")</f>
        <v>8</v>
      </c>
      <c r="V4058" s="6" t="str">
        <f>IFERROR(__xludf.DUMMYFUNCTION("""COMPUTED_VALUE"""),"")</f>
        <v/>
      </c>
      <c r="W4058" s="6" t="str">
        <f>IFERROR(__xludf.DUMMYFUNCTION("""COMPUTED_VALUE"""),"[]")</f>
        <v>[]</v>
      </c>
      <c r="X4058" s="6" t="str">
        <f>IFERROR(__xludf.DUMMYFUNCTION("""COMPUTED_VALUE"""),"Enrolled")</f>
        <v>Enrolled</v>
      </c>
    </row>
    <row r="4059">
      <c r="A4059" s="6" t="str">
        <f>IFERROR(__xludf.DUMMYFUNCTION("""COMPUTED_VALUE"""),"079-10545")</f>
        <v>079-10545</v>
      </c>
      <c r="B4059" s="6" t="str">
        <f>IFERROR(__xludf.DUMMYFUNCTION("""COMPUTED_VALUE"""),"79")</f>
        <v>79</v>
      </c>
      <c r="C4059" s="6" t="str">
        <f>IFERROR(__xludf.DUMMYFUNCTION("""COMPUTED_VALUE"""),"10545")</f>
        <v>10545</v>
      </c>
      <c r="D4059" s="6" t="str">
        <f>IFERROR(__xludf.DUMMYFUNCTION("""COMPUTED_VALUE"""),"Bader")</f>
        <v>Bader</v>
      </c>
      <c r="E4059" s="6" t="str">
        <f>IFERROR(__xludf.DUMMYFUNCTION("""COMPUTED_VALUE"""),"")</f>
        <v/>
      </c>
      <c r="F4059" s="6" t="str">
        <f>IFERROR(__xludf.DUMMYFUNCTION("""COMPUTED_VALUE"""),"Sammoud")</f>
        <v>Sammoud</v>
      </c>
      <c r="G4059" s="6" t="str">
        <f>IFERROR(__xludf.DUMMYFUNCTION("""COMPUTED_VALUE"""),"12/13/2011")</f>
        <v>12/13/2011</v>
      </c>
      <c r="H4059" s="6" t="str">
        <f>IFERROR(__xludf.DUMMYFUNCTION("""COMPUTED_VALUE"""),"male")</f>
        <v>male</v>
      </c>
      <c r="I4059" s="6" t="str">
        <f>IFERROR(__xludf.DUMMYFUNCTION("""COMPUTED_VALUE"""),"Middle School")</f>
        <v>Middle School</v>
      </c>
      <c r="J4059" s="6" t="str">
        <f>IFERROR(__xludf.DUMMYFUNCTION("""COMPUTED_VALUE"""),"8")</f>
        <v>8</v>
      </c>
      <c r="K4059" s="6" t="str">
        <f>IFERROR(__xludf.DUMMYFUNCTION("""COMPUTED_VALUE"""),"bader.sammoud@2hourlearning.com")</f>
        <v>bader.sammoud@2hourlearning.com</v>
      </c>
      <c r="L4059" s="6" t="str">
        <f>IFERROR(__xludf.DUMMYFUNCTION("""COMPUTED_VALUE"""),"Metro Schools")</f>
        <v>Metro Schools</v>
      </c>
      <c r="M4059" s="6" t="str">
        <f>IFERROR(__xludf.DUMMYFUNCTION("""COMPUTED_VALUE"""),"")</f>
        <v/>
      </c>
      <c r="N4059" s="6" t="str">
        <f>IFERROR(__xludf.DUMMYFUNCTION("""COMPUTED_VALUE"""),"")</f>
        <v/>
      </c>
      <c r="O4059" s="87" t="str">
        <f>IFERROR(__xludf.DUMMYFUNCTION("""COMPUTED_VALUE"""),"https://drive.google.com/drive/folders/10T2cTQHqEJZqE-st6uFKPoI?usp=share_link")</f>
        <v>https://drive.google.com/drive/folders/10T2cTQHqEJZqE-st6uFKPoI?usp=share_link</v>
      </c>
      <c r="P4059" s="6" t="str">
        <f>IFERROR(__xludf.DUMMYFUNCTION("""COMPUTED_VALUE"""),"Bader Sammoud")</f>
        <v>Bader Sammoud</v>
      </c>
      <c r="Q4059" s="6" t="str">
        <f>IFERROR(__xludf.DUMMYFUNCTION("""COMPUTED_VALUE"""),"MS")</f>
        <v>MS</v>
      </c>
      <c r="R4059" s="6">
        <f>IFERROR(__xludf.DUMMYFUNCTION("""COMPUTED_VALUE"""),0.0)</f>
        <v>0</v>
      </c>
      <c r="S4059" s="6" t="str">
        <f>IFERROR(__xludf.DUMMYFUNCTION("""COMPUTED_VALUE"""),"Kimberly Ball")</f>
        <v>Kimberly Ball</v>
      </c>
      <c r="T4059" s="6" t="str">
        <f>IFERROR(__xludf.DUMMYFUNCTION("""COMPUTED_VALUE"""),"kimberly.ball@studient.com")</f>
        <v>kimberly.ball@studient.com</v>
      </c>
      <c r="U4059" s="6" t="str">
        <f>IFERROR(__xludf.DUMMYFUNCTION("""COMPUTED_VALUE"""),"8")</f>
        <v>8</v>
      </c>
      <c r="V4059" s="6" t="str">
        <f>IFERROR(__xludf.DUMMYFUNCTION("""COMPUTED_VALUE"""),"")</f>
        <v/>
      </c>
      <c r="W4059" s="6" t="str">
        <f>IFERROR(__xludf.DUMMYFUNCTION("""COMPUTED_VALUE"""),"[]")</f>
        <v>[]</v>
      </c>
      <c r="X4059" s="6" t="str">
        <f>IFERROR(__xludf.DUMMYFUNCTION("""COMPUTED_VALUE"""),"Enrolled")</f>
        <v>Enrolled</v>
      </c>
    </row>
    <row r="4060">
      <c r="A4060" s="6" t="str">
        <f>IFERROR(__xludf.DUMMYFUNCTION("""COMPUTED_VALUE"""),"079-10546")</f>
        <v>079-10546</v>
      </c>
      <c r="B4060" s="6" t="str">
        <f>IFERROR(__xludf.DUMMYFUNCTION("""COMPUTED_VALUE"""),"79")</f>
        <v>79</v>
      </c>
      <c r="C4060" s="6" t="str">
        <f>IFERROR(__xludf.DUMMYFUNCTION("""COMPUTED_VALUE"""),"10546")</f>
        <v>10546</v>
      </c>
      <c r="D4060" s="6" t="str">
        <f>IFERROR(__xludf.DUMMYFUNCTION("""COMPUTED_VALUE"""),"Hibaaq")</f>
        <v>Hibaaq</v>
      </c>
      <c r="E4060" s="6" t="str">
        <f>IFERROR(__xludf.DUMMYFUNCTION("""COMPUTED_VALUE"""),"")</f>
        <v/>
      </c>
      <c r="F4060" s="6" t="str">
        <f>IFERROR(__xludf.DUMMYFUNCTION("""COMPUTED_VALUE"""),"Sheikh")</f>
        <v>Sheikh</v>
      </c>
      <c r="G4060" s="6" t="str">
        <f>IFERROR(__xludf.DUMMYFUNCTION("""COMPUTED_VALUE"""),"11/20/2011")</f>
        <v>11/20/2011</v>
      </c>
      <c r="H4060" s="6" t="str">
        <f>IFERROR(__xludf.DUMMYFUNCTION("""COMPUTED_VALUE"""),"female")</f>
        <v>female</v>
      </c>
      <c r="I4060" s="6" t="str">
        <f>IFERROR(__xludf.DUMMYFUNCTION("""COMPUTED_VALUE"""),"Middle School")</f>
        <v>Middle School</v>
      </c>
      <c r="J4060" s="6" t="str">
        <f>IFERROR(__xludf.DUMMYFUNCTION("""COMPUTED_VALUE"""),"8")</f>
        <v>8</v>
      </c>
      <c r="K4060" s="6" t="str">
        <f>IFERROR(__xludf.DUMMYFUNCTION("""COMPUTED_VALUE"""),"hibaaq.sheikh@2hourlearning.com")</f>
        <v>hibaaq.sheikh@2hourlearning.com</v>
      </c>
      <c r="L4060" s="6" t="str">
        <f>IFERROR(__xludf.DUMMYFUNCTION("""COMPUTED_VALUE"""),"Metro Schools")</f>
        <v>Metro Schools</v>
      </c>
      <c r="M4060" s="6" t="str">
        <f>IFERROR(__xludf.DUMMYFUNCTION("""COMPUTED_VALUE"""),"")</f>
        <v/>
      </c>
      <c r="N4060" s="6" t="str">
        <f>IFERROR(__xludf.DUMMYFUNCTION("""COMPUTED_VALUE"""),"")</f>
        <v/>
      </c>
      <c r="O4060" s="87" t="str">
        <f>IFERROR(__xludf.DUMMYFUNCTION("""COMPUTED_VALUE"""),"https://drive.google.com/drive/folders/10T2cTQHqEJZqE-st6uFKPoI?usp=share_link")</f>
        <v>https://drive.google.com/drive/folders/10T2cTQHqEJZqE-st6uFKPoI?usp=share_link</v>
      </c>
      <c r="P4060" s="6" t="str">
        <f>IFERROR(__xludf.DUMMYFUNCTION("""COMPUTED_VALUE"""),"Hibaaq Sheikh")</f>
        <v>Hibaaq Sheikh</v>
      </c>
      <c r="Q4060" s="6" t="str">
        <f>IFERROR(__xludf.DUMMYFUNCTION("""COMPUTED_VALUE"""),"MS")</f>
        <v>MS</v>
      </c>
      <c r="R4060" s="6">
        <f>IFERROR(__xludf.DUMMYFUNCTION("""COMPUTED_VALUE"""),0.0)</f>
        <v>0</v>
      </c>
      <c r="S4060" s="6" t="str">
        <f>IFERROR(__xludf.DUMMYFUNCTION("""COMPUTED_VALUE"""),"Kimberly Ball")</f>
        <v>Kimberly Ball</v>
      </c>
      <c r="T4060" s="6" t="str">
        <f>IFERROR(__xludf.DUMMYFUNCTION("""COMPUTED_VALUE"""),"kimberly.ball@studient.com")</f>
        <v>kimberly.ball@studient.com</v>
      </c>
      <c r="U4060" s="6" t="str">
        <f>IFERROR(__xludf.DUMMYFUNCTION("""COMPUTED_VALUE"""),"8")</f>
        <v>8</v>
      </c>
      <c r="V4060" s="6" t="str">
        <f>IFERROR(__xludf.DUMMYFUNCTION("""COMPUTED_VALUE"""),"")</f>
        <v/>
      </c>
      <c r="W4060" s="6" t="str">
        <f>IFERROR(__xludf.DUMMYFUNCTION("""COMPUTED_VALUE"""),"[]")</f>
        <v>[]</v>
      </c>
      <c r="X4060" s="6" t="str">
        <f>IFERROR(__xludf.DUMMYFUNCTION("""COMPUTED_VALUE"""),"Enrolled")</f>
        <v>Enrolled</v>
      </c>
    </row>
    <row r="4061">
      <c r="A4061" s="6" t="str">
        <f>IFERROR(__xludf.DUMMYFUNCTION("""COMPUTED_VALUE"""),"079-10547")</f>
        <v>079-10547</v>
      </c>
      <c r="B4061" s="6" t="str">
        <f>IFERROR(__xludf.DUMMYFUNCTION("""COMPUTED_VALUE"""),"79")</f>
        <v>79</v>
      </c>
      <c r="C4061" s="6" t="str">
        <f>IFERROR(__xludf.DUMMYFUNCTION("""COMPUTED_VALUE"""),"10547")</f>
        <v>10547</v>
      </c>
      <c r="D4061" s="6" t="str">
        <f>IFERROR(__xludf.DUMMYFUNCTION("""COMPUTED_VALUE"""),"Ibtisam")</f>
        <v>Ibtisam</v>
      </c>
      <c r="E4061" s="6" t="str">
        <f>IFERROR(__xludf.DUMMYFUNCTION("""COMPUTED_VALUE"""),"")</f>
        <v/>
      </c>
      <c r="F4061" s="6" t="str">
        <f>IFERROR(__xludf.DUMMYFUNCTION("""COMPUTED_VALUE"""),"Siyad")</f>
        <v>Siyad</v>
      </c>
      <c r="G4061" s="6" t="str">
        <f>IFERROR(__xludf.DUMMYFUNCTION("""COMPUTED_VALUE"""),"05/01/2011")</f>
        <v>05/01/2011</v>
      </c>
      <c r="H4061" s="6" t="str">
        <f>IFERROR(__xludf.DUMMYFUNCTION("""COMPUTED_VALUE"""),"female")</f>
        <v>female</v>
      </c>
      <c r="I4061" s="6" t="str">
        <f>IFERROR(__xludf.DUMMYFUNCTION("""COMPUTED_VALUE"""),"High School")</f>
        <v>High School</v>
      </c>
      <c r="J4061" s="6" t="str">
        <f>IFERROR(__xludf.DUMMYFUNCTION("""COMPUTED_VALUE"""),"9")</f>
        <v>9</v>
      </c>
      <c r="K4061" s="6" t="str">
        <f>IFERROR(__xludf.DUMMYFUNCTION("""COMPUTED_VALUE"""),"ibtisam.siyad@2hourlearning.com")</f>
        <v>ibtisam.siyad@2hourlearning.com</v>
      </c>
      <c r="L4061" s="6" t="str">
        <f>IFERROR(__xludf.DUMMYFUNCTION("""COMPUTED_VALUE"""),"Metro Schools")</f>
        <v>Metro Schools</v>
      </c>
      <c r="M4061" s="6" t="str">
        <f>IFERROR(__xludf.DUMMYFUNCTION("""COMPUTED_VALUE"""),"")</f>
        <v/>
      </c>
      <c r="N4061" s="6" t="str">
        <f>IFERROR(__xludf.DUMMYFUNCTION("""COMPUTED_VALUE"""),"")</f>
        <v/>
      </c>
      <c r="O4061" s="87" t="str">
        <f>IFERROR(__xludf.DUMMYFUNCTION("""COMPUTED_VALUE"""),"https://drive.google.com/drive/folders/10T2cTQHqEJZqE-st6uFKPoI?usp=share_link")</f>
        <v>https://drive.google.com/drive/folders/10T2cTQHqEJZqE-st6uFKPoI?usp=share_link</v>
      </c>
      <c r="P4061" s="6" t="str">
        <f>IFERROR(__xludf.DUMMYFUNCTION("""COMPUTED_VALUE"""),"Ibtisam Siyad")</f>
        <v>Ibtisam Siyad</v>
      </c>
      <c r="Q4061" s="6" t="str">
        <f>IFERROR(__xludf.DUMMYFUNCTION("""COMPUTED_VALUE"""),"HS")</f>
        <v>HS</v>
      </c>
      <c r="R4061" s="6">
        <f>IFERROR(__xludf.DUMMYFUNCTION("""COMPUTED_VALUE"""),0.0)</f>
        <v>0</v>
      </c>
      <c r="S4061" s="6" t="str">
        <f>IFERROR(__xludf.DUMMYFUNCTION("""COMPUTED_VALUE"""),"Kimberly Ball")</f>
        <v>Kimberly Ball</v>
      </c>
      <c r="T4061" s="6" t="str">
        <f>IFERROR(__xludf.DUMMYFUNCTION("""COMPUTED_VALUE"""),"kimberly.ball@studient.com")</f>
        <v>kimberly.ball@studient.com</v>
      </c>
      <c r="U4061" s="6" t="str">
        <f>IFERROR(__xludf.DUMMYFUNCTION("""COMPUTED_VALUE"""),"9")</f>
        <v>9</v>
      </c>
      <c r="V4061" s="6" t="str">
        <f>IFERROR(__xludf.DUMMYFUNCTION("""COMPUTED_VALUE"""),"")</f>
        <v/>
      </c>
      <c r="W4061" s="6" t="str">
        <f>IFERROR(__xludf.DUMMYFUNCTION("""COMPUTED_VALUE"""),"[]")</f>
        <v>[]</v>
      </c>
      <c r="X4061" s="6" t="str">
        <f>IFERROR(__xludf.DUMMYFUNCTION("""COMPUTED_VALUE"""),"Enrolled")</f>
        <v>Enrolled</v>
      </c>
    </row>
    <row r="4062">
      <c r="A4062" s="6" t="str">
        <f>IFERROR(__xludf.DUMMYFUNCTION("""COMPUTED_VALUE"""),"079-10548")</f>
        <v>079-10548</v>
      </c>
      <c r="B4062" s="6" t="str">
        <f>IFERROR(__xludf.DUMMYFUNCTION("""COMPUTED_VALUE"""),"79")</f>
        <v>79</v>
      </c>
      <c r="C4062" s="6" t="str">
        <f>IFERROR(__xludf.DUMMYFUNCTION("""COMPUTED_VALUE"""),"10548")</f>
        <v>10548</v>
      </c>
      <c r="D4062" s="6" t="str">
        <f>IFERROR(__xludf.DUMMYFUNCTION("""COMPUTED_VALUE"""),"Zoey")</f>
        <v>Zoey</v>
      </c>
      <c r="E4062" s="6" t="str">
        <f>IFERROR(__xludf.DUMMYFUNCTION("""COMPUTED_VALUE"""),"")</f>
        <v/>
      </c>
      <c r="F4062" s="6" t="str">
        <f>IFERROR(__xludf.DUMMYFUNCTION("""COMPUTED_VALUE"""),"Skinner")</f>
        <v>Skinner</v>
      </c>
      <c r="G4062" s="6" t="str">
        <f>IFERROR(__xludf.DUMMYFUNCTION("""COMPUTED_VALUE"""),"09/10/2014")</f>
        <v>09/10/2014</v>
      </c>
      <c r="H4062" s="6" t="str">
        <f>IFERROR(__xludf.DUMMYFUNCTION("""COMPUTED_VALUE"""),"female")</f>
        <v>female</v>
      </c>
      <c r="I4062" s="6" t="str">
        <f>IFERROR(__xludf.DUMMYFUNCTION("""COMPUTED_VALUE"""),"Middle School")</f>
        <v>Middle School</v>
      </c>
      <c r="J4062" s="6" t="str">
        <f>IFERROR(__xludf.DUMMYFUNCTION("""COMPUTED_VALUE"""),"6")</f>
        <v>6</v>
      </c>
      <c r="K4062" s="6" t="str">
        <f>IFERROR(__xludf.DUMMYFUNCTION("""COMPUTED_VALUE"""),"zoey.skinner@2hourlearning.com")</f>
        <v>zoey.skinner@2hourlearning.com</v>
      </c>
      <c r="L4062" s="6" t="str">
        <f>IFERROR(__xludf.DUMMYFUNCTION("""COMPUTED_VALUE"""),"Metro Schools")</f>
        <v>Metro Schools</v>
      </c>
      <c r="M4062" s="6" t="str">
        <f>IFERROR(__xludf.DUMMYFUNCTION("""COMPUTED_VALUE"""),"")</f>
        <v/>
      </c>
      <c r="N4062" s="6" t="str">
        <f>IFERROR(__xludf.DUMMYFUNCTION("""COMPUTED_VALUE"""),"")</f>
        <v/>
      </c>
      <c r="O4062" s="87" t="str">
        <f>IFERROR(__xludf.DUMMYFUNCTION("""COMPUTED_VALUE"""),"https://drive.google.com/drive/folders/10T2cTQHqEJZqE-st6uFKPoI?usp=share_link")</f>
        <v>https://drive.google.com/drive/folders/10T2cTQHqEJZqE-st6uFKPoI?usp=share_link</v>
      </c>
      <c r="P4062" s="6" t="str">
        <f>IFERROR(__xludf.DUMMYFUNCTION("""COMPUTED_VALUE"""),"Zoey Skinner")</f>
        <v>Zoey Skinner</v>
      </c>
      <c r="Q4062" s="6" t="str">
        <f>IFERROR(__xludf.DUMMYFUNCTION("""COMPUTED_VALUE"""),"MS")</f>
        <v>MS</v>
      </c>
      <c r="R4062" s="6">
        <f>IFERROR(__xludf.DUMMYFUNCTION("""COMPUTED_VALUE"""),0.0)</f>
        <v>0</v>
      </c>
      <c r="S4062" s="6" t="str">
        <f>IFERROR(__xludf.DUMMYFUNCTION("""COMPUTED_VALUE"""),"Kimberly Ball")</f>
        <v>Kimberly Ball</v>
      </c>
      <c r="T4062" s="6" t="str">
        <f>IFERROR(__xludf.DUMMYFUNCTION("""COMPUTED_VALUE"""),"kimberly.ball@studient.com")</f>
        <v>kimberly.ball@studient.com</v>
      </c>
      <c r="U4062" s="6" t="str">
        <f>IFERROR(__xludf.DUMMYFUNCTION("""COMPUTED_VALUE"""),"6")</f>
        <v>6</v>
      </c>
      <c r="V4062" s="6" t="str">
        <f>IFERROR(__xludf.DUMMYFUNCTION("""COMPUTED_VALUE"""),"")</f>
        <v/>
      </c>
      <c r="W4062" s="6" t="str">
        <f>IFERROR(__xludf.DUMMYFUNCTION("""COMPUTED_VALUE"""),"[]")</f>
        <v>[]</v>
      </c>
      <c r="X4062" s="6" t="str">
        <f>IFERROR(__xludf.DUMMYFUNCTION("""COMPUTED_VALUE"""),"Enrolled")</f>
        <v>Enrolled</v>
      </c>
    </row>
    <row r="4063">
      <c r="A4063" s="6" t="str">
        <f>IFERROR(__xludf.DUMMYFUNCTION("""COMPUTED_VALUE"""),"079-10549")</f>
        <v>079-10549</v>
      </c>
      <c r="B4063" s="6" t="str">
        <f>IFERROR(__xludf.DUMMYFUNCTION("""COMPUTED_VALUE"""),"79")</f>
        <v>79</v>
      </c>
      <c r="C4063" s="6" t="str">
        <f>IFERROR(__xludf.DUMMYFUNCTION("""COMPUTED_VALUE"""),"10549")</f>
        <v>10549</v>
      </c>
      <c r="D4063" s="6" t="str">
        <f>IFERROR(__xludf.DUMMYFUNCTION("""COMPUTED_VALUE"""),"Oliver")</f>
        <v>Oliver</v>
      </c>
      <c r="E4063" s="6" t="str">
        <f>IFERROR(__xludf.DUMMYFUNCTION("""COMPUTED_VALUE"""),"")</f>
        <v/>
      </c>
      <c r="F4063" s="6" t="str">
        <f>IFERROR(__xludf.DUMMYFUNCTION("""COMPUTED_VALUE"""),"Speakman-Elchert")</f>
        <v>Speakman-Elchert</v>
      </c>
      <c r="G4063" s="6" t="str">
        <f>IFERROR(__xludf.DUMMYFUNCTION("""COMPUTED_VALUE"""),"12/24/2015")</f>
        <v>12/24/2015</v>
      </c>
      <c r="H4063" s="6" t="str">
        <f>IFERROR(__xludf.DUMMYFUNCTION("""COMPUTED_VALUE"""),"male")</f>
        <v>male</v>
      </c>
      <c r="I4063" s="6" t="str">
        <f>IFERROR(__xludf.DUMMYFUNCTION("""COMPUTED_VALUE"""),"Level 2")</f>
        <v>Level 2</v>
      </c>
      <c r="J4063" s="6" t="str">
        <f>IFERROR(__xludf.DUMMYFUNCTION("""COMPUTED_VALUE"""),"4")</f>
        <v>4</v>
      </c>
      <c r="K4063" s="6" t="str">
        <f>IFERROR(__xludf.DUMMYFUNCTION("""COMPUTED_VALUE"""),"oliver.speakman-elchert@2hourlearning.com")</f>
        <v>oliver.speakman-elchert@2hourlearning.com</v>
      </c>
      <c r="L4063" s="6" t="str">
        <f>IFERROR(__xludf.DUMMYFUNCTION("""COMPUTED_VALUE"""),"Metro Schools")</f>
        <v>Metro Schools</v>
      </c>
      <c r="M4063" s="6" t="str">
        <f>IFERROR(__xludf.DUMMYFUNCTION("""COMPUTED_VALUE"""),"")</f>
        <v/>
      </c>
      <c r="N4063" s="6" t="str">
        <f>IFERROR(__xludf.DUMMYFUNCTION("""COMPUTED_VALUE"""),"")</f>
        <v/>
      </c>
      <c r="O4063" s="87" t="str">
        <f>IFERROR(__xludf.DUMMYFUNCTION("""COMPUTED_VALUE"""),"https://drive.google.com/drive/folders/10T2cTQHqEJZqE-st6uFKPoI?usp=share_link")</f>
        <v>https://drive.google.com/drive/folders/10T2cTQHqEJZqE-st6uFKPoI?usp=share_link</v>
      </c>
      <c r="P4063" s="6" t="str">
        <f>IFERROR(__xludf.DUMMYFUNCTION("""COMPUTED_VALUE"""),"Oliver Speakman-Elchert")</f>
        <v>Oliver Speakman-Elchert</v>
      </c>
      <c r="Q4063" s="6" t="str">
        <f>IFERROR(__xludf.DUMMYFUNCTION("""COMPUTED_VALUE"""),"L2")</f>
        <v>L2</v>
      </c>
      <c r="R4063" s="6">
        <f>IFERROR(__xludf.DUMMYFUNCTION("""COMPUTED_VALUE"""),2.0)</f>
        <v>2</v>
      </c>
      <c r="S4063" s="6" t="str">
        <f>IFERROR(__xludf.DUMMYFUNCTION("""COMPUTED_VALUE"""),"Kimberly Ball")</f>
        <v>Kimberly Ball</v>
      </c>
      <c r="T4063" s="6" t="str">
        <f>IFERROR(__xludf.DUMMYFUNCTION("""COMPUTED_VALUE"""),"kimberly.ball@studient.com")</f>
        <v>kimberly.ball@studient.com</v>
      </c>
      <c r="U4063" s="6" t="str">
        <f>IFERROR(__xludf.DUMMYFUNCTION("""COMPUTED_VALUE"""),"4")</f>
        <v>4</v>
      </c>
      <c r="V4063" s="6" t="str">
        <f>IFERROR(__xludf.DUMMYFUNCTION("""COMPUTED_VALUE"""),"")</f>
        <v/>
      </c>
      <c r="W4063" s="6" t="str">
        <f>IFERROR(__xludf.DUMMYFUNCTION("""COMPUTED_VALUE"""),"[]")</f>
        <v>[]</v>
      </c>
      <c r="X4063" s="6" t="str">
        <f>IFERROR(__xludf.DUMMYFUNCTION("""COMPUTED_VALUE"""),"Enrolled")</f>
        <v>Enrolled</v>
      </c>
    </row>
    <row r="4064">
      <c r="A4064" s="6" t="str">
        <f>IFERROR(__xludf.DUMMYFUNCTION("""COMPUTED_VALUE"""),"079-10551")</f>
        <v>079-10551</v>
      </c>
      <c r="B4064" s="6" t="str">
        <f>IFERROR(__xludf.DUMMYFUNCTION("""COMPUTED_VALUE"""),"79")</f>
        <v>79</v>
      </c>
      <c r="C4064" s="6" t="str">
        <f>IFERROR(__xludf.DUMMYFUNCTION("""COMPUTED_VALUE"""),"10551")</f>
        <v>10551</v>
      </c>
      <c r="D4064" s="6" t="str">
        <f>IFERROR(__xludf.DUMMYFUNCTION("""COMPUTED_VALUE"""),"Joseph")</f>
        <v>Joseph</v>
      </c>
      <c r="E4064" s="6" t="str">
        <f>IFERROR(__xludf.DUMMYFUNCTION("""COMPUTED_VALUE"""),"")</f>
        <v/>
      </c>
      <c r="F4064" s="6" t="str">
        <f>IFERROR(__xludf.DUMMYFUNCTION("""COMPUTED_VALUE"""),"Thomas")</f>
        <v>Thomas</v>
      </c>
      <c r="G4064" s="6" t="str">
        <f>IFERROR(__xludf.DUMMYFUNCTION("""COMPUTED_VALUE"""),"06/13/2011")</f>
        <v>06/13/2011</v>
      </c>
      <c r="H4064" s="6" t="str">
        <f>IFERROR(__xludf.DUMMYFUNCTION("""COMPUTED_VALUE"""),"male")</f>
        <v>male</v>
      </c>
      <c r="I4064" s="6" t="str">
        <f>IFERROR(__xludf.DUMMYFUNCTION("""COMPUTED_VALUE"""),"High School")</f>
        <v>High School</v>
      </c>
      <c r="J4064" s="6" t="str">
        <f>IFERROR(__xludf.DUMMYFUNCTION("""COMPUTED_VALUE"""),"9")</f>
        <v>9</v>
      </c>
      <c r="K4064" s="6" t="str">
        <f>IFERROR(__xludf.DUMMYFUNCTION("""COMPUTED_VALUE"""),"joseph.thomas@2hourlearning.com")</f>
        <v>joseph.thomas@2hourlearning.com</v>
      </c>
      <c r="L4064" s="6" t="str">
        <f>IFERROR(__xludf.DUMMYFUNCTION("""COMPUTED_VALUE"""),"Metro Schools")</f>
        <v>Metro Schools</v>
      </c>
      <c r="M4064" s="6" t="str">
        <f>IFERROR(__xludf.DUMMYFUNCTION("""COMPUTED_VALUE"""),"")</f>
        <v/>
      </c>
      <c r="N4064" s="6" t="str">
        <f>IFERROR(__xludf.DUMMYFUNCTION("""COMPUTED_VALUE"""),"")</f>
        <v/>
      </c>
      <c r="O4064" s="87" t="str">
        <f>IFERROR(__xludf.DUMMYFUNCTION("""COMPUTED_VALUE"""),"https://drive.google.com/drive/folders/10T2cTQHqEJZqE-st6uFKPoI?usp=share_link")</f>
        <v>https://drive.google.com/drive/folders/10T2cTQHqEJZqE-st6uFKPoI?usp=share_link</v>
      </c>
      <c r="P4064" s="6" t="str">
        <f>IFERROR(__xludf.DUMMYFUNCTION("""COMPUTED_VALUE"""),"Joseph Thomas")</f>
        <v>Joseph Thomas</v>
      </c>
      <c r="Q4064" s="6" t="str">
        <f>IFERROR(__xludf.DUMMYFUNCTION("""COMPUTED_VALUE"""),"HS")</f>
        <v>HS</v>
      </c>
      <c r="R4064" s="6">
        <f>IFERROR(__xludf.DUMMYFUNCTION("""COMPUTED_VALUE"""),0.0)</f>
        <v>0</v>
      </c>
      <c r="S4064" s="6" t="str">
        <f>IFERROR(__xludf.DUMMYFUNCTION("""COMPUTED_VALUE"""),"Kimberly Ball")</f>
        <v>Kimberly Ball</v>
      </c>
      <c r="T4064" s="6" t="str">
        <f>IFERROR(__xludf.DUMMYFUNCTION("""COMPUTED_VALUE"""),"kimberly.ball@studient.com")</f>
        <v>kimberly.ball@studient.com</v>
      </c>
      <c r="U4064" s="6" t="str">
        <f>IFERROR(__xludf.DUMMYFUNCTION("""COMPUTED_VALUE"""),"9")</f>
        <v>9</v>
      </c>
      <c r="V4064" s="6" t="str">
        <f>IFERROR(__xludf.DUMMYFUNCTION("""COMPUTED_VALUE"""),"")</f>
        <v/>
      </c>
      <c r="W4064" s="6" t="str">
        <f>IFERROR(__xludf.DUMMYFUNCTION("""COMPUTED_VALUE"""),"[]")</f>
        <v>[]</v>
      </c>
      <c r="X4064" s="6" t="str">
        <f>IFERROR(__xludf.DUMMYFUNCTION("""COMPUTED_VALUE"""),"Enrolled")</f>
        <v>Enrolled</v>
      </c>
    </row>
    <row r="4065">
      <c r="A4065" s="6" t="str">
        <f>IFERROR(__xludf.DUMMYFUNCTION("""COMPUTED_VALUE"""),"079-10552")</f>
        <v>079-10552</v>
      </c>
      <c r="B4065" s="6" t="str">
        <f>IFERROR(__xludf.DUMMYFUNCTION("""COMPUTED_VALUE"""),"79")</f>
        <v>79</v>
      </c>
      <c r="C4065" s="6" t="str">
        <f>IFERROR(__xludf.DUMMYFUNCTION("""COMPUTED_VALUE"""),"10552")</f>
        <v>10552</v>
      </c>
      <c r="D4065" s="6" t="str">
        <f>IFERROR(__xludf.DUMMYFUNCTION("""COMPUTED_VALUE"""),"Brandon")</f>
        <v>Brandon</v>
      </c>
      <c r="E4065" s="6" t="str">
        <f>IFERROR(__xludf.DUMMYFUNCTION("""COMPUTED_VALUE"""),"")</f>
        <v/>
      </c>
      <c r="F4065" s="6" t="str">
        <f>IFERROR(__xludf.DUMMYFUNCTION("""COMPUTED_VALUE"""),"Walker")</f>
        <v>Walker</v>
      </c>
      <c r="G4065" s="6" t="str">
        <f>IFERROR(__xludf.DUMMYFUNCTION("""COMPUTED_VALUE"""),"06/15/2010")</f>
        <v>06/15/2010</v>
      </c>
      <c r="H4065" s="6" t="str">
        <f>IFERROR(__xludf.DUMMYFUNCTION("""COMPUTED_VALUE"""),"male")</f>
        <v>male</v>
      </c>
      <c r="I4065" s="6" t="str">
        <f>IFERROR(__xludf.DUMMYFUNCTION("""COMPUTED_VALUE"""),"High School")</f>
        <v>High School</v>
      </c>
      <c r="J4065" s="6" t="str">
        <f>IFERROR(__xludf.DUMMYFUNCTION("""COMPUTED_VALUE"""),"9")</f>
        <v>9</v>
      </c>
      <c r="K4065" s="6" t="str">
        <f>IFERROR(__xludf.DUMMYFUNCTION("""COMPUTED_VALUE"""),"brandon.walker@2hourlearning.com")</f>
        <v>brandon.walker@2hourlearning.com</v>
      </c>
      <c r="L4065" s="6" t="str">
        <f>IFERROR(__xludf.DUMMYFUNCTION("""COMPUTED_VALUE"""),"Metro Schools")</f>
        <v>Metro Schools</v>
      </c>
      <c r="M4065" s="6" t="str">
        <f>IFERROR(__xludf.DUMMYFUNCTION("""COMPUTED_VALUE"""),"")</f>
        <v/>
      </c>
      <c r="N4065" s="6" t="str">
        <f>IFERROR(__xludf.DUMMYFUNCTION("""COMPUTED_VALUE"""),"")</f>
        <v/>
      </c>
      <c r="O4065" s="87" t="str">
        <f>IFERROR(__xludf.DUMMYFUNCTION("""COMPUTED_VALUE"""),"https://drive.google.com/drive/folders/10T2cTQHqEJZqE-st6uFKPoI?usp=share_link")</f>
        <v>https://drive.google.com/drive/folders/10T2cTQHqEJZqE-st6uFKPoI?usp=share_link</v>
      </c>
      <c r="P4065" s="6" t="str">
        <f>IFERROR(__xludf.DUMMYFUNCTION("""COMPUTED_VALUE"""),"Brandon Walker")</f>
        <v>Brandon Walker</v>
      </c>
      <c r="Q4065" s="6" t="str">
        <f>IFERROR(__xludf.DUMMYFUNCTION("""COMPUTED_VALUE"""),"HS")</f>
        <v>HS</v>
      </c>
      <c r="R4065" s="6">
        <f>IFERROR(__xludf.DUMMYFUNCTION("""COMPUTED_VALUE"""),0.0)</f>
        <v>0</v>
      </c>
      <c r="S4065" s="6" t="str">
        <f>IFERROR(__xludf.DUMMYFUNCTION("""COMPUTED_VALUE"""),"Kimberly Ball")</f>
        <v>Kimberly Ball</v>
      </c>
      <c r="T4065" s="6" t="str">
        <f>IFERROR(__xludf.DUMMYFUNCTION("""COMPUTED_VALUE"""),"kimberly.ball@studient.com")</f>
        <v>kimberly.ball@studient.com</v>
      </c>
      <c r="U4065" s="6" t="str">
        <f>IFERROR(__xludf.DUMMYFUNCTION("""COMPUTED_VALUE"""),"9")</f>
        <v>9</v>
      </c>
      <c r="V4065" s="6" t="str">
        <f>IFERROR(__xludf.DUMMYFUNCTION("""COMPUTED_VALUE"""),"")</f>
        <v/>
      </c>
      <c r="W4065" s="6" t="str">
        <f>IFERROR(__xludf.DUMMYFUNCTION("""COMPUTED_VALUE"""),"[]")</f>
        <v>[]</v>
      </c>
      <c r="X4065" s="6" t="str">
        <f>IFERROR(__xludf.DUMMYFUNCTION("""COMPUTED_VALUE"""),"Enrolled")</f>
        <v>Enrolled</v>
      </c>
    </row>
    <row r="4066">
      <c r="A4066" s="6" t="str">
        <f>IFERROR(__xludf.DUMMYFUNCTION("""COMPUTED_VALUE"""),"079-10554")</f>
        <v>079-10554</v>
      </c>
      <c r="B4066" s="6" t="str">
        <f>IFERROR(__xludf.DUMMYFUNCTION("""COMPUTED_VALUE"""),"79")</f>
        <v>79</v>
      </c>
      <c r="C4066" s="6" t="str">
        <f>IFERROR(__xludf.DUMMYFUNCTION("""COMPUTED_VALUE"""),"10554")</f>
        <v>10554</v>
      </c>
      <c r="D4066" s="6" t="str">
        <f>IFERROR(__xludf.DUMMYFUNCTION("""COMPUTED_VALUE"""),"Zavion")</f>
        <v>Zavion</v>
      </c>
      <c r="E4066" s="6" t="str">
        <f>IFERROR(__xludf.DUMMYFUNCTION("""COMPUTED_VALUE"""),"")</f>
        <v/>
      </c>
      <c r="F4066" s="6" t="str">
        <f>IFERROR(__xludf.DUMMYFUNCTION("""COMPUTED_VALUE"""),"White-Hickman")</f>
        <v>White-Hickman</v>
      </c>
      <c r="G4066" s="6" t="str">
        <f>IFERROR(__xludf.DUMMYFUNCTION("""COMPUTED_VALUE"""),"12/16/2010")</f>
        <v>12/16/2010</v>
      </c>
      <c r="H4066" s="6" t="str">
        <f>IFERROR(__xludf.DUMMYFUNCTION("""COMPUTED_VALUE"""),"male")</f>
        <v>male</v>
      </c>
      <c r="I4066" s="6" t="str">
        <f>IFERROR(__xludf.DUMMYFUNCTION("""COMPUTED_VALUE"""),"High School")</f>
        <v>High School</v>
      </c>
      <c r="J4066" s="6" t="str">
        <f>IFERROR(__xludf.DUMMYFUNCTION("""COMPUTED_VALUE"""),"9")</f>
        <v>9</v>
      </c>
      <c r="K4066" s="6" t="str">
        <f>IFERROR(__xludf.DUMMYFUNCTION("""COMPUTED_VALUE"""),"zavion.white-hickman@2hourlearning.com")</f>
        <v>zavion.white-hickman@2hourlearning.com</v>
      </c>
      <c r="L4066" s="6" t="str">
        <f>IFERROR(__xludf.DUMMYFUNCTION("""COMPUTED_VALUE"""),"Metro Schools")</f>
        <v>Metro Schools</v>
      </c>
      <c r="M4066" s="6" t="str">
        <f>IFERROR(__xludf.DUMMYFUNCTION("""COMPUTED_VALUE"""),"")</f>
        <v/>
      </c>
      <c r="N4066" s="6" t="str">
        <f>IFERROR(__xludf.DUMMYFUNCTION("""COMPUTED_VALUE"""),"")</f>
        <v/>
      </c>
      <c r="O4066" s="87" t="str">
        <f>IFERROR(__xludf.DUMMYFUNCTION("""COMPUTED_VALUE"""),"https://drive.google.com/drive/folders/10T2cTQHqEJZqE-st6uFKPoI?usp=share_link")</f>
        <v>https://drive.google.com/drive/folders/10T2cTQHqEJZqE-st6uFKPoI?usp=share_link</v>
      </c>
      <c r="P4066" s="6" t="str">
        <f>IFERROR(__xludf.DUMMYFUNCTION("""COMPUTED_VALUE"""),"Zavion White-Hickman")</f>
        <v>Zavion White-Hickman</v>
      </c>
      <c r="Q4066" s="6" t="str">
        <f>IFERROR(__xludf.DUMMYFUNCTION("""COMPUTED_VALUE"""),"HS")</f>
        <v>HS</v>
      </c>
      <c r="R4066" s="6">
        <f>IFERROR(__xludf.DUMMYFUNCTION("""COMPUTED_VALUE"""),0.0)</f>
        <v>0</v>
      </c>
      <c r="S4066" s="6" t="str">
        <f>IFERROR(__xludf.DUMMYFUNCTION("""COMPUTED_VALUE"""),"Kimberly Ball")</f>
        <v>Kimberly Ball</v>
      </c>
      <c r="T4066" s="6" t="str">
        <f>IFERROR(__xludf.DUMMYFUNCTION("""COMPUTED_VALUE"""),"kimberly.ball@studient.com")</f>
        <v>kimberly.ball@studient.com</v>
      </c>
      <c r="U4066" s="6" t="str">
        <f>IFERROR(__xludf.DUMMYFUNCTION("""COMPUTED_VALUE"""),"9")</f>
        <v>9</v>
      </c>
      <c r="V4066" s="6" t="str">
        <f>IFERROR(__xludf.DUMMYFUNCTION("""COMPUTED_VALUE"""),"")</f>
        <v/>
      </c>
      <c r="W4066" s="6" t="str">
        <f>IFERROR(__xludf.DUMMYFUNCTION("""COMPUTED_VALUE"""),"[]")</f>
        <v>[]</v>
      </c>
      <c r="X4066" s="6" t="str">
        <f>IFERROR(__xludf.DUMMYFUNCTION("""COMPUTED_VALUE"""),"Enrolled")</f>
        <v>Enrolled</v>
      </c>
    </row>
    <row r="4067">
      <c r="A4067" s="6" t="str">
        <f>IFERROR(__xludf.DUMMYFUNCTION("""COMPUTED_VALUE"""),"079-10556")</f>
        <v>079-10556</v>
      </c>
      <c r="B4067" s="6" t="str">
        <f>IFERROR(__xludf.DUMMYFUNCTION("""COMPUTED_VALUE"""),"79")</f>
        <v>79</v>
      </c>
      <c r="C4067" s="6" t="str">
        <f>IFERROR(__xludf.DUMMYFUNCTION("""COMPUTED_VALUE"""),"10556")</f>
        <v>10556</v>
      </c>
      <c r="D4067" s="6" t="str">
        <f>IFERROR(__xludf.DUMMYFUNCTION("""COMPUTED_VALUE"""),"Abrar")</f>
        <v>Abrar</v>
      </c>
      <c r="E4067" s="6" t="str">
        <f>IFERROR(__xludf.DUMMYFUNCTION("""COMPUTED_VALUE"""),"")</f>
        <v/>
      </c>
      <c r="F4067" s="6" t="str">
        <f>IFERROR(__xludf.DUMMYFUNCTION("""COMPUTED_VALUE"""),"Ali")</f>
        <v>Ali</v>
      </c>
      <c r="G4067" s="6" t="str">
        <f>IFERROR(__xludf.DUMMYFUNCTION("""COMPUTED_VALUE"""),"06/25/2013")</f>
        <v>06/25/2013</v>
      </c>
      <c r="H4067" s="6" t="str">
        <f>IFERROR(__xludf.DUMMYFUNCTION("""COMPUTED_VALUE"""),"female")</f>
        <v>female</v>
      </c>
      <c r="I4067" s="6" t="str">
        <f>IFERROR(__xludf.DUMMYFUNCTION("""COMPUTED_VALUE"""),"Middle School")</f>
        <v>Middle School</v>
      </c>
      <c r="J4067" s="6" t="str">
        <f>IFERROR(__xludf.DUMMYFUNCTION("""COMPUTED_VALUE"""),"7")</f>
        <v>7</v>
      </c>
      <c r="K4067" s="6" t="str">
        <f>IFERROR(__xludf.DUMMYFUNCTION("""COMPUTED_VALUE"""),"abrar.ali@2hourlearning.com")</f>
        <v>abrar.ali@2hourlearning.com</v>
      </c>
      <c r="L4067" s="6" t="str">
        <f>IFERROR(__xludf.DUMMYFUNCTION("""COMPUTED_VALUE"""),"Metro Schools")</f>
        <v>Metro Schools</v>
      </c>
      <c r="M4067" s="6" t="str">
        <f>IFERROR(__xludf.DUMMYFUNCTION("""COMPUTED_VALUE"""),"")</f>
        <v/>
      </c>
      <c r="N4067" s="6" t="str">
        <f>IFERROR(__xludf.DUMMYFUNCTION("""COMPUTED_VALUE"""),"")</f>
        <v/>
      </c>
      <c r="O4067" s="87" t="str">
        <f>IFERROR(__xludf.DUMMYFUNCTION("""COMPUTED_VALUE"""),"https://drive.google.com/drive/folders/10T2cTQHqEJZqE-st6uFKPoI?usp=share_link")</f>
        <v>https://drive.google.com/drive/folders/10T2cTQHqEJZqE-st6uFKPoI?usp=share_link</v>
      </c>
      <c r="P4067" s="6" t="str">
        <f>IFERROR(__xludf.DUMMYFUNCTION("""COMPUTED_VALUE"""),"Abrar Ali")</f>
        <v>Abrar Ali</v>
      </c>
      <c r="Q4067" s="6" t="str">
        <f>IFERROR(__xludf.DUMMYFUNCTION("""COMPUTED_VALUE"""),"MS")</f>
        <v>MS</v>
      </c>
      <c r="R4067" s="6">
        <f>IFERROR(__xludf.DUMMYFUNCTION("""COMPUTED_VALUE"""),0.0)</f>
        <v>0</v>
      </c>
      <c r="S4067" s="6" t="str">
        <f>IFERROR(__xludf.DUMMYFUNCTION("""COMPUTED_VALUE"""),"Kimberly Ball")</f>
        <v>Kimberly Ball</v>
      </c>
      <c r="T4067" s="6" t="str">
        <f>IFERROR(__xludf.DUMMYFUNCTION("""COMPUTED_VALUE"""),"kimberly.ball@studient.com")</f>
        <v>kimberly.ball@studient.com</v>
      </c>
      <c r="U4067" s="6" t="str">
        <f>IFERROR(__xludf.DUMMYFUNCTION("""COMPUTED_VALUE"""),"7")</f>
        <v>7</v>
      </c>
      <c r="V4067" s="6" t="str">
        <f>IFERROR(__xludf.DUMMYFUNCTION("""COMPUTED_VALUE"""),"")</f>
        <v/>
      </c>
      <c r="W4067" s="6" t="str">
        <f>IFERROR(__xludf.DUMMYFUNCTION("""COMPUTED_VALUE"""),"[]")</f>
        <v>[]</v>
      </c>
      <c r="X4067" s="6" t="str">
        <f>IFERROR(__xludf.DUMMYFUNCTION("""COMPUTED_VALUE"""),"Enrolled")</f>
        <v>Enrolled</v>
      </c>
    </row>
    <row r="4068">
      <c r="A4068" s="6" t="str">
        <f>IFERROR(__xludf.DUMMYFUNCTION("""COMPUTED_VALUE"""),"079-10557")</f>
        <v>079-10557</v>
      </c>
      <c r="B4068" s="6" t="str">
        <f>IFERROR(__xludf.DUMMYFUNCTION("""COMPUTED_VALUE"""),"79")</f>
        <v>79</v>
      </c>
      <c r="C4068" s="6" t="str">
        <f>IFERROR(__xludf.DUMMYFUNCTION("""COMPUTED_VALUE"""),"10557")</f>
        <v>10557</v>
      </c>
      <c r="D4068" s="6" t="str">
        <f>IFERROR(__xludf.DUMMYFUNCTION("""COMPUTED_VALUE"""),"Miles")</f>
        <v>Miles</v>
      </c>
      <c r="E4068" s="6" t="str">
        <f>IFERROR(__xludf.DUMMYFUNCTION("""COMPUTED_VALUE"""),"")</f>
        <v/>
      </c>
      <c r="F4068" s="6" t="str">
        <f>IFERROR(__xludf.DUMMYFUNCTION("""COMPUTED_VALUE"""),"Clark")</f>
        <v>Clark</v>
      </c>
      <c r="G4068" s="6" t="str">
        <f>IFERROR(__xludf.DUMMYFUNCTION("""COMPUTED_VALUE"""),"08/17/2012")</f>
        <v>08/17/2012</v>
      </c>
      <c r="H4068" s="6" t="str">
        <f>IFERROR(__xludf.DUMMYFUNCTION("""COMPUTED_VALUE"""),"male")</f>
        <v>male</v>
      </c>
      <c r="I4068" s="6" t="str">
        <f>IFERROR(__xludf.DUMMYFUNCTION("""COMPUTED_VALUE"""),"Middle School")</f>
        <v>Middle School</v>
      </c>
      <c r="J4068" s="6" t="str">
        <f>IFERROR(__xludf.DUMMYFUNCTION("""COMPUTED_VALUE"""),"7")</f>
        <v>7</v>
      </c>
      <c r="K4068" s="6" t="str">
        <f>IFERROR(__xludf.DUMMYFUNCTION("""COMPUTED_VALUE"""),"miles.clark@2hourlearning.com")</f>
        <v>miles.clark@2hourlearning.com</v>
      </c>
      <c r="L4068" s="6" t="str">
        <f>IFERROR(__xludf.DUMMYFUNCTION("""COMPUTED_VALUE"""),"Metro Schools")</f>
        <v>Metro Schools</v>
      </c>
      <c r="M4068" s="6" t="str">
        <f>IFERROR(__xludf.DUMMYFUNCTION("""COMPUTED_VALUE"""),"")</f>
        <v/>
      </c>
      <c r="N4068" s="6" t="str">
        <f>IFERROR(__xludf.DUMMYFUNCTION("""COMPUTED_VALUE"""),"")</f>
        <v/>
      </c>
      <c r="O4068" s="87" t="str">
        <f>IFERROR(__xludf.DUMMYFUNCTION("""COMPUTED_VALUE"""),"https://drive.google.com/drive/folders/10T2cTQHqEJZqE-st6uFKPoI?usp=share_link")</f>
        <v>https://drive.google.com/drive/folders/10T2cTQHqEJZqE-st6uFKPoI?usp=share_link</v>
      </c>
      <c r="P4068" s="6" t="str">
        <f>IFERROR(__xludf.DUMMYFUNCTION("""COMPUTED_VALUE"""),"Miles Clark")</f>
        <v>Miles Clark</v>
      </c>
      <c r="Q4068" s="6" t="str">
        <f>IFERROR(__xludf.DUMMYFUNCTION("""COMPUTED_VALUE"""),"MS")</f>
        <v>MS</v>
      </c>
      <c r="R4068" s="6">
        <f>IFERROR(__xludf.DUMMYFUNCTION("""COMPUTED_VALUE"""),0.0)</f>
        <v>0</v>
      </c>
      <c r="S4068" s="6" t="str">
        <f>IFERROR(__xludf.DUMMYFUNCTION("""COMPUTED_VALUE"""),"Kimberly Ball")</f>
        <v>Kimberly Ball</v>
      </c>
      <c r="T4068" s="6" t="str">
        <f>IFERROR(__xludf.DUMMYFUNCTION("""COMPUTED_VALUE"""),"kimberly.ball@studient.com")</f>
        <v>kimberly.ball@studient.com</v>
      </c>
      <c r="U4068" s="6" t="str">
        <f>IFERROR(__xludf.DUMMYFUNCTION("""COMPUTED_VALUE"""),"7")</f>
        <v>7</v>
      </c>
      <c r="V4068" s="6" t="str">
        <f>IFERROR(__xludf.DUMMYFUNCTION("""COMPUTED_VALUE"""),"")</f>
        <v/>
      </c>
      <c r="W4068" s="6" t="str">
        <f>IFERROR(__xludf.DUMMYFUNCTION("""COMPUTED_VALUE"""),"[]")</f>
        <v>[]</v>
      </c>
      <c r="X4068" s="6" t="str">
        <f>IFERROR(__xludf.DUMMYFUNCTION("""COMPUTED_VALUE"""),"Enrolled")</f>
        <v>Enrolled</v>
      </c>
    </row>
    <row r="4069">
      <c r="A4069" s="6" t="str">
        <f>IFERROR(__xludf.DUMMYFUNCTION("""COMPUTED_VALUE"""),"079-10558")</f>
        <v>079-10558</v>
      </c>
      <c r="B4069" s="6" t="str">
        <f>IFERROR(__xludf.DUMMYFUNCTION("""COMPUTED_VALUE"""),"79")</f>
        <v>79</v>
      </c>
      <c r="C4069" s="6" t="str">
        <f>IFERROR(__xludf.DUMMYFUNCTION("""COMPUTED_VALUE"""),"10558")</f>
        <v>10558</v>
      </c>
      <c r="D4069" s="6" t="str">
        <f>IFERROR(__xludf.DUMMYFUNCTION("""COMPUTED_VALUE"""),"Enola")</f>
        <v>Enola</v>
      </c>
      <c r="E4069" s="6" t="str">
        <f>IFERROR(__xludf.DUMMYFUNCTION("""COMPUTED_VALUE"""),"")</f>
        <v/>
      </c>
      <c r="F4069" s="6" t="str">
        <f>IFERROR(__xludf.DUMMYFUNCTION("""COMPUTED_VALUE"""),"Diaz Flores")</f>
        <v>Diaz Flores</v>
      </c>
      <c r="G4069" s="6" t="str">
        <f>IFERROR(__xludf.DUMMYFUNCTION("""COMPUTED_VALUE"""),"08/03/2013")</f>
        <v>08/03/2013</v>
      </c>
      <c r="H4069" s="6" t="str">
        <f>IFERROR(__xludf.DUMMYFUNCTION("""COMPUTED_VALUE"""),"female")</f>
        <v>female</v>
      </c>
      <c r="I4069" s="6" t="str">
        <f>IFERROR(__xludf.DUMMYFUNCTION("""COMPUTED_VALUE"""),"Middle School")</f>
        <v>Middle School</v>
      </c>
      <c r="J4069" s="6" t="str">
        <f>IFERROR(__xludf.DUMMYFUNCTION("""COMPUTED_VALUE"""),"7")</f>
        <v>7</v>
      </c>
      <c r="K4069" s="6" t="str">
        <f>IFERROR(__xludf.DUMMYFUNCTION("""COMPUTED_VALUE"""),"enola.diaz.flores@2hourlearning.com")</f>
        <v>enola.diaz.flores@2hourlearning.com</v>
      </c>
      <c r="L4069" s="6" t="str">
        <f>IFERROR(__xludf.DUMMYFUNCTION("""COMPUTED_VALUE"""),"Metro Schools")</f>
        <v>Metro Schools</v>
      </c>
      <c r="M4069" s="6" t="str">
        <f>IFERROR(__xludf.DUMMYFUNCTION("""COMPUTED_VALUE"""),"")</f>
        <v/>
      </c>
      <c r="N4069" s="6" t="str">
        <f>IFERROR(__xludf.DUMMYFUNCTION("""COMPUTED_VALUE"""),"")</f>
        <v/>
      </c>
      <c r="O4069" s="87" t="str">
        <f>IFERROR(__xludf.DUMMYFUNCTION("""COMPUTED_VALUE"""),"https://drive.google.com/drive/folders/10T2cTQHqEJZqE-st6uFKPoI?usp=share_link")</f>
        <v>https://drive.google.com/drive/folders/10T2cTQHqEJZqE-st6uFKPoI?usp=share_link</v>
      </c>
      <c r="P4069" s="6" t="str">
        <f>IFERROR(__xludf.DUMMYFUNCTION("""COMPUTED_VALUE"""),"Enola Diaz Flores")</f>
        <v>Enola Diaz Flores</v>
      </c>
      <c r="Q4069" s="6" t="str">
        <f>IFERROR(__xludf.DUMMYFUNCTION("""COMPUTED_VALUE"""),"MS")</f>
        <v>MS</v>
      </c>
      <c r="R4069" s="6">
        <f>IFERROR(__xludf.DUMMYFUNCTION("""COMPUTED_VALUE"""),0.0)</f>
        <v>0</v>
      </c>
      <c r="S4069" s="6" t="str">
        <f>IFERROR(__xludf.DUMMYFUNCTION("""COMPUTED_VALUE"""),"Kimberly Ball")</f>
        <v>Kimberly Ball</v>
      </c>
      <c r="T4069" s="6" t="str">
        <f>IFERROR(__xludf.DUMMYFUNCTION("""COMPUTED_VALUE"""),"kimberly.ball@studient.com")</f>
        <v>kimberly.ball@studient.com</v>
      </c>
      <c r="U4069" s="6" t="str">
        <f>IFERROR(__xludf.DUMMYFUNCTION("""COMPUTED_VALUE"""),"7")</f>
        <v>7</v>
      </c>
      <c r="V4069" s="6" t="str">
        <f>IFERROR(__xludf.DUMMYFUNCTION("""COMPUTED_VALUE"""),"")</f>
        <v/>
      </c>
      <c r="W4069" s="6" t="str">
        <f>IFERROR(__xludf.DUMMYFUNCTION("""COMPUTED_VALUE"""),"[]")</f>
        <v>[]</v>
      </c>
      <c r="X4069" s="6" t="str">
        <f>IFERROR(__xludf.DUMMYFUNCTION("""COMPUTED_VALUE"""),"Enrolled")</f>
        <v>Enrolled</v>
      </c>
    </row>
    <row r="4070">
      <c r="A4070" s="6" t="str">
        <f>IFERROR(__xludf.DUMMYFUNCTION("""COMPUTED_VALUE"""),"079-10559")</f>
        <v>079-10559</v>
      </c>
      <c r="B4070" s="6" t="str">
        <f>IFERROR(__xludf.DUMMYFUNCTION("""COMPUTED_VALUE"""),"79")</f>
        <v>79</v>
      </c>
      <c r="C4070" s="6" t="str">
        <f>IFERROR(__xludf.DUMMYFUNCTION("""COMPUTED_VALUE"""),"10559")</f>
        <v>10559</v>
      </c>
      <c r="D4070" s="6" t="str">
        <f>IFERROR(__xludf.DUMMYFUNCTION("""COMPUTED_VALUE"""),"Luqman")</f>
        <v>Luqman</v>
      </c>
      <c r="E4070" s="6" t="str">
        <f>IFERROR(__xludf.DUMMYFUNCTION("""COMPUTED_VALUE"""),"")</f>
        <v/>
      </c>
      <c r="F4070" s="6" t="str">
        <f>IFERROR(__xludf.DUMMYFUNCTION("""COMPUTED_VALUE"""),"Farah")</f>
        <v>Farah</v>
      </c>
      <c r="G4070" s="6" t="str">
        <f>IFERROR(__xludf.DUMMYFUNCTION("""COMPUTED_VALUE"""),"10/17/2013")</f>
        <v>10/17/2013</v>
      </c>
      <c r="H4070" s="6" t="str">
        <f>IFERROR(__xludf.DUMMYFUNCTION("""COMPUTED_VALUE"""),"male")</f>
        <v>male</v>
      </c>
      <c r="I4070" s="6" t="str">
        <f>IFERROR(__xludf.DUMMYFUNCTION("""COMPUTED_VALUE"""),"Middle School")</f>
        <v>Middle School</v>
      </c>
      <c r="J4070" s="6" t="str">
        <f>IFERROR(__xludf.DUMMYFUNCTION("""COMPUTED_VALUE"""),"7")</f>
        <v>7</v>
      </c>
      <c r="K4070" s="6" t="str">
        <f>IFERROR(__xludf.DUMMYFUNCTION("""COMPUTED_VALUE"""),"luqman.farah@2hourlearning.com")</f>
        <v>luqman.farah@2hourlearning.com</v>
      </c>
      <c r="L4070" s="6" t="str">
        <f>IFERROR(__xludf.DUMMYFUNCTION("""COMPUTED_VALUE"""),"Metro Schools")</f>
        <v>Metro Schools</v>
      </c>
      <c r="M4070" s="6" t="str">
        <f>IFERROR(__xludf.DUMMYFUNCTION("""COMPUTED_VALUE"""),"")</f>
        <v/>
      </c>
      <c r="N4070" s="6" t="str">
        <f>IFERROR(__xludf.DUMMYFUNCTION("""COMPUTED_VALUE"""),"")</f>
        <v/>
      </c>
      <c r="O4070" s="87" t="str">
        <f>IFERROR(__xludf.DUMMYFUNCTION("""COMPUTED_VALUE"""),"https://drive.google.com/drive/folders/10T2cTQHqEJZqE-st6uFKPoI?usp=share_link")</f>
        <v>https://drive.google.com/drive/folders/10T2cTQHqEJZqE-st6uFKPoI?usp=share_link</v>
      </c>
      <c r="P4070" s="6" t="str">
        <f>IFERROR(__xludf.DUMMYFUNCTION("""COMPUTED_VALUE"""),"Luqman Farah")</f>
        <v>Luqman Farah</v>
      </c>
      <c r="Q4070" s="6" t="str">
        <f>IFERROR(__xludf.DUMMYFUNCTION("""COMPUTED_VALUE"""),"MS")</f>
        <v>MS</v>
      </c>
      <c r="R4070" s="6">
        <f>IFERROR(__xludf.DUMMYFUNCTION("""COMPUTED_VALUE"""),0.0)</f>
        <v>0</v>
      </c>
      <c r="S4070" s="6" t="str">
        <f>IFERROR(__xludf.DUMMYFUNCTION("""COMPUTED_VALUE"""),"Kimberly Ball")</f>
        <v>Kimberly Ball</v>
      </c>
      <c r="T4070" s="6" t="str">
        <f>IFERROR(__xludf.DUMMYFUNCTION("""COMPUTED_VALUE"""),"kimberly.ball@studient.com")</f>
        <v>kimberly.ball@studient.com</v>
      </c>
      <c r="U4070" s="6" t="str">
        <f>IFERROR(__xludf.DUMMYFUNCTION("""COMPUTED_VALUE"""),"7")</f>
        <v>7</v>
      </c>
      <c r="V4070" s="6" t="str">
        <f>IFERROR(__xludf.DUMMYFUNCTION("""COMPUTED_VALUE"""),"")</f>
        <v/>
      </c>
      <c r="W4070" s="6" t="str">
        <f>IFERROR(__xludf.DUMMYFUNCTION("""COMPUTED_VALUE"""),"[]")</f>
        <v>[]</v>
      </c>
      <c r="X4070" s="6" t="str">
        <f>IFERROR(__xludf.DUMMYFUNCTION("""COMPUTED_VALUE"""),"Enrolled")</f>
        <v>Enrolled</v>
      </c>
    </row>
    <row r="4071">
      <c r="A4071" s="6" t="str">
        <f>IFERROR(__xludf.DUMMYFUNCTION("""COMPUTED_VALUE"""),"079-10560")</f>
        <v>079-10560</v>
      </c>
      <c r="B4071" s="6" t="str">
        <f>IFERROR(__xludf.DUMMYFUNCTION("""COMPUTED_VALUE"""),"79")</f>
        <v>79</v>
      </c>
      <c r="C4071" s="6" t="str">
        <f>IFERROR(__xludf.DUMMYFUNCTION("""COMPUTED_VALUE"""),"10560")</f>
        <v>10560</v>
      </c>
      <c r="D4071" s="6" t="str">
        <f>IFERROR(__xludf.DUMMYFUNCTION("""COMPUTED_VALUE"""),"Priya")</f>
        <v>Priya</v>
      </c>
      <c r="E4071" s="6" t="str">
        <f>IFERROR(__xludf.DUMMYFUNCTION("""COMPUTED_VALUE"""),"")</f>
        <v/>
      </c>
      <c r="F4071" s="6" t="str">
        <f>IFERROR(__xludf.DUMMYFUNCTION("""COMPUTED_VALUE"""),"Garrett")</f>
        <v>Garrett</v>
      </c>
      <c r="G4071" s="6" t="str">
        <f>IFERROR(__xludf.DUMMYFUNCTION("""COMPUTED_VALUE"""),"03/26/2013")</f>
        <v>03/26/2013</v>
      </c>
      <c r="H4071" s="6" t="str">
        <f>IFERROR(__xludf.DUMMYFUNCTION("""COMPUTED_VALUE"""),"female")</f>
        <v>female</v>
      </c>
      <c r="I4071" s="6" t="str">
        <f>IFERROR(__xludf.DUMMYFUNCTION("""COMPUTED_VALUE"""),"Middle School")</f>
        <v>Middle School</v>
      </c>
      <c r="J4071" s="6" t="str">
        <f>IFERROR(__xludf.DUMMYFUNCTION("""COMPUTED_VALUE"""),"7")</f>
        <v>7</v>
      </c>
      <c r="K4071" s="6" t="str">
        <f>IFERROR(__xludf.DUMMYFUNCTION("""COMPUTED_VALUE"""),"priya.garrett@2hourlearning.com")</f>
        <v>priya.garrett@2hourlearning.com</v>
      </c>
      <c r="L4071" s="6" t="str">
        <f>IFERROR(__xludf.DUMMYFUNCTION("""COMPUTED_VALUE"""),"Metro Schools")</f>
        <v>Metro Schools</v>
      </c>
      <c r="M4071" s="6" t="str">
        <f>IFERROR(__xludf.DUMMYFUNCTION("""COMPUTED_VALUE"""),"")</f>
        <v/>
      </c>
      <c r="N4071" s="6" t="str">
        <f>IFERROR(__xludf.DUMMYFUNCTION("""COMPUTED_VALUE"""),"")</f>
        <v/>
      </c>
      <c r="O4071" s="87" t="str">
        <f>IFERROR(__xludf.DUMMYFUNCTION("""COMPUTED_VALUE"""),"https://drive.google.com/drive/folders/10T2cTQHqEJZqE-st6uFKPoI?usp=share_link")</f>
        <v>https://drive.google.com/drive/folders/10T2cTQHqEJZqE-st6uFKPoI?usp=share_link</v>
      </c>
      <c r="P4071" s="6" t="str">
        <f>IFERROR(__xludf.DUMMYFUNCTION("""COMPUTED_VALUE"""),"Priya Garrett")</f>
        <v>Priya Garrett</v>
      </c>
      <c r="Q4071" s="6" t="str">
        <f>IFERROR(__xludf.DUMMYFUNCTION("""COMPUTED_VALUE"""),"MS")</f>
        <v>MS</v>
      </c>
      <c r="R4071" s="6">
        <f>IFERROR(__xludf.DUMMYFUNCTION("""COMPUTED_VALUE"""),0.0)</f>
        <v>0</v>
      </c>
      <c r="S4071" s="6" t="str">
        <f>IFERROR(__xludf.DUMMYFUNCTION("""COMPUTED_VALUE"""),"Kimberly Ball")</f>
        <v>Kimberly Ball</v>
      </c>
      <c r="T4071" s="6" t="str">
        <f>IFERROR(__xludf.DUMMYFUNCTION("""COMPUTED_VALUE"""),"kimberly.ball@studient.com")</f>
        <v>kimberly.ball@studient.com</v>
      </c>
      <c r="U4071" s="6" t="str">
        <f>IFERROR(__xludf.DUMMYFUNCTION("""COMPUTED_VALUE"""),"7")</f>
        <v>7</v>
      </c>
      <c r="V4071" s="6" t="str">
        <f>IFERROR(__xludf.DUMMYFUNCTION("""COMPUTED_VALUE"""),"")</f>
        <v/>
      </c>
      <c r="W4071" s="6" t="str">
        <f>IFERROR(__xludf.DUMMYFUNCTION("""COMPUTED_VALUE"""),"[]")</f>
        <v>[]</v>
      </c>
      <c r="X4071" s="6" t="str">
        <f>IFERROR(__xludf.DUMMYFUNCTION("""COMPUTED_VALUE"""),"Enrolled")</f>
        <v>Enrolled</v>
      </c>
    </row>
    <row r="4072">
      <c r="A4072" s="6" t="str">
        <f>IFERROR(__xludf.DUMMYFUNCTION("""COMPUTED_VALUE"""),"079-10561")</f>
        <v>079-10561</v>
      </c>
      <c r="B4072" s="6" t="str">
        <f>IFERROR(__xludf.DUMMYFUNCTION("""COMPUTED_VALUE"""),"79")</f>
        <v>79</v>
      </c>
      <c r="C4072" s="6" t="str">
        <f>IFERROR(__xludf.DUMMYFUNCTION("""COMPUTED_VALUE"""),"10561")</f>
        <v>10561</v>
      </c>
      <c r="D4072" s="6" t="str">
        <f>IFERROR(__xludf.DUMMYFUNCTION("""COMPUTED_VALUE"""),"Demarkis")</f>
        <v>Demarkis</v>
      </c>
      <c r="E4072" s="6" t="str">
        <f>IFERROR(__xludf.DUMMYFUNCTION("""COMPUTED_VALUE"""),"")</f>
        <v/>
      </c>
      <c r="F4072" s="6" t="str">
        <f>IFERROR(__xludf.DUMMYFUNCTION("""COMPUTED_VALUE"""),"Gravely")</f>
        <v>Gravely</v>
      </c>
      <c r="G4072" s="6" t="str">
        <f>IFERROR(__xludf.DUMMYFUNCTION("""COMPUTED_VALUE"""),"07/05/2013")</f>
        <v>07/05/2013</v>
      </c>
      <c r="H4072" s="6" t="str">
        <f>IFERROR(__xludf.DUMMYFUNCTION("""COMPUTED_VALUE"""),"male")</f>
        <v>male</v>
      </c>
      <c r="I4072" s="6" t="str">
        <f>IFERROR(__xludf.DUMMYFUNCTION("""COMPUTED_VALUE"""),"Middle School")</f>
        <v>Middle School</v>
      </c>
      <c r="J4072" s="6" t="str">
        <f>IFERROR(__xludf.DUMMYFUNCTION("""COMPUTED_VALUE"""),"7")</f>
        <v>7</v>
      </c>
      <c r="K4072" s="6" t="str">
        <f>IFERROR(__xludf.DUMMYFUNCTION("""COMPUTED_VALUE"""),"demarkis.gravely@2hourlearning.com")</f>
        <v>demarkis.gravely@2hourlearning.com</v>
      </c>
      <c r="L4072" s="6" t="str">
        <f>IFERROR(__xludf.DUMMYFUNCTION("""COMPUTED_VALUE"""),"Metro Schools")</f>
        <v>Metro Schools</v>
      </c>
      <c r="M4072" s="6" t="str">
        <f>IFERROR(__xludf.DUMMYFUNCTION("""COMPUTED_VALUE"""),"")</f>
        <v/>
      </c>
      <c r="N4072" s="6" t="str">
        <f>IFERROR(__xludf.DUMMYFUNCTION("""COMPUTED_VALUE"""),"")</f>
        <v/>
      </c>
      <c r="O4072" s="87" t="str">
        <f>IFERROR(__xludf.DUMMYFUNCTION("""COMPUTED_VALUE"""),"https://drive.google.com/drive/folders/10T2cTQHqEJZqE-st6uFKPoI?usp=share_link")</f>
        <v>https://drive.google.com/drive/folders/10T2cTQHqEJZqE-st6uFKPoI?usp=share_link</v>
      </c>
      <c r="P4072" s="6" t="str">
        <f>IFERROR(__xludf.DUMMYFUNCTION("""COMPUTED_VALUE"""),"Demarkis Gravely")</f>
        <v>Demarkis Gravely</v>
      </c>
      <c r="Q4072" s="6" t="str">
        <f>IFERROR(__xludf.DUMMYFUNCTION("""COMPUTED_VALUE"""),"MS")</f>
        <v>MS</v>
      </c>
      <c r="R4072" s="6">
        <f>IFERROR(__xludf.DUMMYFUNCTION("""COMPUTED_VALUE"""),0.0)</f>
        <v>0</v>
      </c>
      <c r="S4072" s="6" t="str">
        <f>IFERROR(__xludf.DUMMYFUNCTION("""COMPUTED_VALUE"""),"Kimberly Ball")</f>
        <v>Kimberly Ball</v>
      </c>
      <c r="T4072" s="6" t="str">
        <f>IFERROR(__xludf.DUMMYFUNCTION("""COMPUTED_VALUE"""),"kimberly.ball@studient.com")</f>
        <v>kimberly.ball@studient.com</v>
      </c>
      <c r="U4072" s="6" t="str">
        <f>IFERROR(__xludf.DUMMYFUNCTION("""COMPUTED_VALUE"""),"7")</f>
        <v>7</v>
      </c>
      <c r="V4072" s="6" t="str">
        <f>IFERROR(__xludf.DUMMYFUNCTION("""COMPUTED_VALUE"""),"")</f>
        <v/>
      </c>
      <c r="W4072" s="6" t="str">
        <f>IFERROR(__xludf.DUMMYFUNCTION("""COMPUTED_VALUE"""),"[]")</f>
        <v>[]</v>
      </c>
      <c r="X4072" s="6" t="str">
        <f>IFERROR(__xludf.DUMMYFUNCTION("""COMPUTED_VALUE"""),"Enrolled")</f>
        <v>Enrolled</v>
      </c>
    </row>
    <row r="4073">
      <c r="A4073" s="6" t="str">
        <f>IFERROR(__xludf.DUMMYFUNCTION("""COMPUTED_VALUE"""),"079-10562")</f>
        <v>079-10562</v>
      </c>
      <c r="B4073" s="6" t="str">
        <f>IFERROR(__xludf.DUMMYFUNCTION("""COMPUTED_VALUE"""),"79")</f>
        <v>79</v>
      </c>
      <c r="C4073" s="6" t="str">
        <f>IFERROR(__xludf.DUMMYFUNCTION("""COMPUTED_VALUE"""),"10562")</f>
        <v>10562</v>
      </c>
      <c r="D4073" s="6" t="str">
        <f>IFERROR(__xludf.DUMMYFUNCTION("""COMPUTED_VALUE"""),"Sylas")</f>
        <v>Sylas</v>
      </c>
      <c r="E4073" s="6" t="str">
        <f>IFERROR(__xludf.DUMMYFUNCTION("""COMPUTED_VALUE"""),"")</f>
        <v/>
      </c>
      <c r="F4073" s="6" t="str">
        <f>IFERROR(__xludf.DUMMYFUNCTION("""COMPUTED_VALUE"""),"Holsey")</f>
        <v>Holsey</v>
      </c>
      <c r="G4073" s="6" t="str">
        <f>IFERROR(__xludf.DUMMYFUNCTION("""COMPUTED_VALUE"""),"11/18/2013")</f>
        <v>11/18/2013</v>
      </c>
      <c r="H4073" s="6" t="str">
        <f>IFERROR(__xludf.DUMMYFUNCTION("""COMPUTED_VALUE"""),"male")</f>
        <v>male</v>
      </c>
      <c r="I4073" s="6" t="str">
        <f>IFERROR(__xludf.DUMMYFUNCTION("""COMPUTED_VALUE"""),"Middle School")</f>
        <v>Middle School</v>
      </c>
      <c r="J4073" s="6" t="str">
        <f>IFERROR(__xludf.DUMMYFUNCTION("""COMPUTED_VALUE"""),"7")</f>
        <v>7</v>
      </c>
      <c r="K4073" s="6" t="str">
        <f>IFERROR(__xludf.DUMMYFUNCTION("""COMPUTED_VALUE"""),"sylas.holsey@2hourlearning.com")</f>
        <v>sylas.holsey@2hourlearning.com</v>
      </c>
      <c r="L4073" s="6" t="str">
        <f>IFERROR(__xludf.DUMMYFUNCTION("""COMPUTED_VALUE"""),"Metro Schools")</f>
        <v>Metro Schools</v>
      </c>
      <c r="M4073" s="6" t="str">
        <f>IFERROR(__xludf.DUMMYFUNCTION("""COMPUTED_VALUE"""),"")</f>
        <v/>
      </c>
      <c r="N4073" s="6" t="str">
        <f>IFERROR(__xludf.DUMMYFUNCTION("""COMPUTED_VALUE"""),"")</f>
        <v/>
      </c>
      <c r="O4073" s="87" t="str">
        <f>IFERROR(__xludf.DUMMYFUNCTION("""COMPUTED_VALUE"""),"https://drive.google.com/drive/folders/10T2cTQHqEJZqE-st6uFKPoI?usp=share_link")</f>
        <v>https://drive.google.com/drive/folders/10T2cTQHqEJZqE-st6uFKPoI?usp=share_link</v>
      </c>
      <c r="P4073" s="6" t="str">
        <f>IFERROR(__xludf.DUMMYFUNCTION("""COMPUTED_VALUE"""),"Sylas Holsey")</f>
        <v>Sylas Holsey</v>
      </c>
      <c r="Q4073" s="6" t="str">
        <f>IFERROR(__xludf.DUMMYFUNCTION("""COMPUTED_VALUE"""),"MS")</f>
        <v>MS</v>
      </c>
      <c r="R4073" s="6">
        <f>IFERROR(__xludf.DUMMYFUNCTION("""COMPUTED_VALUE"""),0.0)</f>
        <v>0</v>
      </c>
      <c r="S4073" s="6" t="str">
        <f>IFERROR(__xludf.DUMMYFUNCTION("""COMPUTED_VALUE"""),"Kimberly Ball")</f>
        <v>Kimberly Ball</v>
      </c>
      <c r="T4073" s="6" t="str">
        <f>IFERROR(__xludf.DUMMYFUNCTION("""COMPUTED_VALUE"""),"kimberly.ball@studient.com")</f>
        <v>kimberly.ball@studient.com</v>
      </c>
      <c r="U4073" s="6" t="str">
        <f>IFERROR(__xludf.DUMMYFUNCTION("""COMPUTED_VALUE"""),"7")</f>
        <v>7</v>
      </c>
      <c r="V4073" s="6" t="str">
        <f>IFERROR(__xludf.DUMMYFUNCTION("""COMPUTED_VALUE"""),"")</f>
        <v/>
      </c>
      <c r="W4073" s="6" t="str">
        <f>IFERROR(__xludf.DUMMYFUNCTION("""COMPUTED_VALUE"""),"[]")</f>
        <v>[]</v>
      </c>
      <c r="X4073" s="6" t="str">
        <f>IFERROR(__xludf.DUMMYFUNCTION("""COMPUTED_VALUE"""),"Enrolled")</f>
        <v>Enrolled</v>
      </c>
    </row>
    <row r="4074">
      <c r="A4074" s="6" t="str">
        <f>IFERROR(__xludf.DUMMYFUNCTION("""COMPUTED_VALUE"""),"079-10563")</f>
        <v>079-10563</v>
      </c>
      <c r="B4074" s="6" t="str">
        <f>IFERROR(__xludf.DUMMYFUNCTION("""COMPUTED_VALUE"""),"79")</f>
        <v>79</v>
      </c>
      <c r="C4074" s="6" t="str">
        <f>IFERROR(__xludf.DUMMYFUNCTION("""COMPUTED_VALUE"""),"10563")</f>
        <v>10563</v>
      </c>
      <c r="D4074" s="6" t="str">
        <f>IFERROR(__xludf.DUMMYFUNCTION("""COMPUTED_VALUE"""),"Ahmed")</f>
        <v>Ahmed</v>
      </c>
      <c r="E4074" s="6" t="str">
        <f>IFERROR(__xludf.DUMMYFUNCTION("""COMPUTED_VALUE"""),"")</f>
        <v/>
      </c>
      <c r="F4074" s="6" t="str">
        <f>IFERROR(__xludf.DUMMYFUNCTION("""COMPUTED_VALUE"""),"Nimer")</f>
        <v>Nimer</v>
      </c>
      <c r="G4074" s="6" t="str">
        <f>IFERROR(__xludf.DUMMYFUNCTION("""COMPUTED_VALUE"""),"09/03/2012")</f>
        <v>09/03/2012</v>
      </c>
      <c r="H4074" s="6" t="str">
        <f>IFERROR(__xludf.DUMMYFUNCTION("""COMPUTED_VALUE"""),"male")</f>
        <v>male</v>
      </c>
      <c r="I4074" s="6" t="str">
        <f>IFERROR(__xludf.DUMMYFUNCTION("""COMPUTED_VALUE"""),"Middle School")</f>
        <v>Middle School</v>
      </c>
      <c r="J4074" s="6" t="str">
        <f>IFERROR(__xludf.DUMMYFUNCTION("""COMPUTED_VALUE"""),"7")</f>
        <v>7</v>
      </c>
      <c r="K4074" s="6" t="str">
        <f>IFERROR(__xludf.DUMMYFUNCTION("""COMPUTED_VALUE"""),"ahmed.nimer@2hourlearning.com")</f>
        <v>ahmed.nimer@2hourlearning.com</v>
      </c>
      <c r="L4074" s="6" t="str">
        <f>IFERROR(__xludf.DUMMYFUNCTION("""COMPUTED_VALUE"""),"Metro Schools")</f>
        <v>Metro Schools</v>
      </c>
      <c r="M4074" s="6" t="str">
        <f>IFERROR(__xludf.DUMMYFUNCTION("""COMPUTED_VALUE"""),"")</f>
        <v/>
      </c>
      <c r="N4074" s="6" t="str">
        <f>IFERROR(__xludf.DUMMYFUNCTION("""COMPUTED_VALUE"""),"")</f>
        <v/>
      </c>
      <c r="O4074" s="87" t="str">
        <f>IFERROR(__xludf.DUMMYFUNCTION("""COMPUTED_VALUE"""),"https://drive.google.com/drive/folders/10T2cTQHqEJZqE-st6uFKPoI?usp=share_link")</f>
        <v>https://drive.google.com/drive/folders/10T2cTQHqEJZqE-st6uFKPoI?usp=share_link</v>
      </c>
      <c r="P4074" s="6" t="str">
        <f>IFERROR(__xludf.DUMMYFUNCTION("""COMPUTED_VALUE"""),"Ahmed Nimer")</f>
        <v>Ahmed Nimer</v>
      </c>
      <c r="Q4074" s="6" t="str">
        <f>IFERROR(__xludf.DUMMYFUNCTION("""COMPUTED_VALUE"""),"MS")</f>
        <v>MS</v>
      </c>
      <c r="R4074" s="6">
        <f>IFERROR(__xludf.DUMMYFUNCTION("""COMPUTED_VALUE"""),0.0)</f>
        <v>0</v>
      </c>
      <c r="S4074" s="6" t="str">
        <f>IFERROR(__xludf.DUMMYFUNCTION("""COMPUTED_VALUE"""),"Kimberly Ball")</f>
        <v>Kimberly Ball</v>
      </c>
      <c r="T4074" s="6" t="str">
        <f>IFERROR(__xludf.DUMMYFUNCTION("""COMPUTED_VALUE"""),"kimberly.ball@studient.com")</f>
        <v>kimberly.ball@studient.com</v>
      </c>
      <c r="U4074" s="6" t="str">
        <f>IFERROR(__xludf.DUMMYFUNCTION("""COMPUTED_VALUE"""),"7")</f>
        <v>7</v>
      </c>
      <c r="V4074" s="6" t="str">
        <f>IFERROR(__xludf.DUMMYFUNCTION("""COMPUTED_VALUE"""),"")</f>
        <v/>
      </c>
      <c r="W4074" s="6" t="str">
        <f>IFERROR(__xludf.DUMMYFUNCTION("""COMPUTED_VALUE"""),"[]")</f>
        <v>[]</v>
      </c>
      <c r="X4074" s="6" t="str">
        <f>IFERROR(__xludf.DUMMYFUNCTION("""COMPUTED_VALUE"""),"Enrolled")</f>
        <v>Enrolled</v>
      </c>
    </row>
    <row r="4075">
      <c r="A4075" s="6" t="str">
        <f>IFERROR(__xludf.DUMMYFUNCTION("""COMPUTED_VALUE"""),"079-10564")</f>
        <v>079-10564</v>
      </c>
      <c r="B4075" s="6" t="str">
        <f>IFERROR(__xludf.DUMMYFUNCTION("""COMPUTED_VALUE"""),"79")</f>
        <v>79</v>
      </c>
      <c r="C4075" s="6" t="str">
        <f>IFERROR(__xludf.DUMMYFUNCTION("""COMPUTED_VALUE"""),"10564")</f>
        <v>10564</v>
      </c>
      <c r="D4075" s="6" t="str">
        <f>IFERROR(__xludf.DUMMYFUNCTION("""COMPUTED_VALUE"""),"Aliyah")</f>
        <v>Aliyah</v>
      </c>
      <c r="E4075" s="6" t="str">
        <f>IFERROR(__xludf.DUMMYFUNCTION("""COMPUTED_VALUE"""),"")</f>
        <v/>
      </c>
      <c r="F4075" s="6" t="str">
        <f>IFERROR(__xludf.DUMMYFUNCTION("""COMPUTED_VALUE"""),"Stevens Brandon")</f>
        <v>Stevens Brandon</v>
      </c>
      <c r="G4075" s="6" t="str">
        <f>IFERROR(__xludf.DUMMYFUNCTION("""COMPUTED_VALUE"""),"07/13/2012")</f>
        <v>07/13/2012</v>
      </c>
      <c r="H4075" s="6" t="str">
        <f>IFERROR(__xludf.DUMMYFUNCTION("""COMPUTED_VALUE"""),"female")</f>
        <v>female</v>
      </c>
      <c r="I4075" s="6" t="str">
        <f>IFERROR(__xludf.DUMMYFUNCTION("""COMPUTED_VALUE"""),"Middle School")</f>
        <v>Middle School</v>
      </c>
      <c r="J4075" s="6" t="str">
        <f>IFERROR(__xludf.DUMMYFUNCTION("""COMPUTED_VALUE"""),"7")</f>
        <v>7</v>
      </c>
      <c r="K4075" s="6" t="str">
        <f>IFERROR(__xludf.DUMMYFUNCTION("""COMPUTED_VALUE"""),"aliyah.stevens.brandon@2hourlearning.com")</f>
        <v>aliyah.stevens.brandon@2hourlearning.com</v>
      </c>
      <c r="L4075" s="6" t="str">
        <f>IFERROR(__xludf.DUMMYFUNCTION("""COMPUTED_VALUE"""),"Metro Schools")</f>
        <v>Metro Schools</v>
      </c>
      <c r="M4075" s="6" t="str">
        <f>IFERROR(__xludf.DUMMYFUNCTION("""COMPUTED_VALUE"""),"")</f>
        <v/>
      </c>
      <c r="N4075" s="6" t="str">
        <f>IFERROR(__xludf.DUMMYFUNCTION("""COMPUTED_VALUE"""),"")</f>
        <v/>
      </c>
      <c r="O4075" s="87" t="str">
        <f>IFERROR(__xludf.DUMMYFUNCTION("""COMPUTED_VALUE"""),"https://drive.google.com/drive/folders/10T2cTQHqEJZqE-st6uFKPoI?usp=share_link")</f>
        <v>https://drive.google.com/drive/folders/10T2cTQHqEJZqE-st6uFKPoI?usp=share_link</v>
      </c>
      <c r="P4075" s="6" t="str">
        <f>IFERROR(__xludf.DUMMYFUNCTION("""COMPUTED_VALUE"""),"Aliyah Stevens Brandon")</f>
        <v>Aliyah Stevens Brandon</v>
      </c>
      <c r="Q4075" s="6" t="str">
        <f>IFERROR(__xludf.DUMMYFUNCTION("""COMPUTED_VALUE"""),"MS")</f>
        <v>MS</v>
      </c>
      <c r="R4075" s="6">
        <f>IFERROR(__xludf.DUMMYFUNCTION("""COMPUTED_VALUE"""),0.0)</f>
        <v>0</v>
      </c>
      <c r="S4075" s="6" t="str">
        <f>IFERROR(__xludf.DUMMYFUNCTION("""COMPUTED_VALUE"""),"Kimberly Ball")</f>
        <v>Kimberly Ball</v>
      </c>
      <c r="T4075" s="6" t="str">
        <f>IFERROR(__xludf.DUMMYFUNCTION("""COMPUTED_VALUE"""),"kimberly.ball@studient.com")</f>
        <v>kimberly.ball@studient.com</v>
      </c>
      <c r="U4075" s="6" t="str">
        <f>IFERROR(__xludf.DUMMYFUNCTION("""COMPUTED_VALUE"""),"7")</f>
        <v>7</v>
      </c>
      <c r="V4075" s="6" t="str">
        <f>IFERROR(__xludf.DUMMYFUNCTION("""COMPUTED_VALUE"""),"")</f>
        <v/>
      </c>
      <c r="W4075" s="6" t="str">
        <f>IFERROR(__xludf.DUMMYFUNCTION("""COMPUTED_VALUE"""),"[]")</f>
        <v>[]</v>
      </c>
      <c r="X4075" s="6" t="str">
        <f>IFERROR(__xludf.DUMMYFUNCTION("""COMPUTED_VALUE"""),"Enrolled")</f>
        <v>Enrolled</v>
      </c>
    </row>
    <row r="4076">
      <c r="A4076" s="6" t="str">
        <f>IFERROR(__xludf.DUMMYFUNCTION("""COMPUTED_VALUE"""),"079-10565")</f>
        <v>079-10565</v>
      </c>
      <c r="B4076" s="6" t="str">
        <f>IFERROR(__xludf.DUMMYFUNCTION("""COMPUTED_VALUE"""),"79")</f>
        <v>79</v>
      </c>
      <c r="C4076" s="6" t="str">
        <f>IFERROR(__xludf.DUMMYFUNCTION("""COMPUTED_VALUE"""),"10565")</f>
        <v>10565</v>
      </c>
      <c r="D4076" s="6" t="str">
        <f>IFERROR(__xludf.DUMMYFUNCTION("""COMPUTED_VALUE"""),"Joshua")</f>
        <v>Joshua</v>
      </c>
      <c r="E4076" s="6" t="str">
        <f>IFERROR(__xludf.DUMMYFUNCTION("""COMPUTED_VALUE"""),"")</f>
        <v/>
      </c>
      <c r="F4076" s="6" t="str">
        <f>IFERROR(__xludf.DUMMYFUNCTION("""COMPUTED_VALUE"""),"Delgado Garcia")</f>
        <v>Delgado Garcia</v>
      </c>
      <c r="G4076" s="6" t="str">
        <f>IFERROR(__xludf.DUMMYFUNCTION("""COMPUTED_VALUE"""),"01/28/2012")</f>
        <v>01/28/2012</v>
      </c>
      <c r="H4076" s="6" t="str">
        <f>IFERROR(__xludf.DUMMYFUNCTION("""COMPUTED_VALUE"""),"male")</f>
        <v>male</v>
      </c>
      <c r="I4076" s="6" t="str">
        <f>IFERROR(__xludf.DUMMYFUNCTION("""COMPUTED_VALUE"""),"Middle School")</f>
        <v>Middle School</v>
      </c>
      <c r="J4076" s="6" t="str">
        <f>IFERROR(__xludf.DUMMYFUNCTION("""COMPUTED_VALUE"""),"8")</f>
        <v>8</v>
      </c>
      <c r="K4076" s="6" t="str">
        <f>IFERROR(__xludf.DUMMYFUNCTION("""COMPUTED_VALUE"""),"joshua.delgado.garcia@2hourlearning.com")</f>
        <v>joshua.delgado.garcia@2hourlearning.com</v>
      </c>
      <c r="L4076" s="6" t="str">
        <f>IFERROR(__xludf.DUMMYFUNCTION("""COMPUTED_VALUE"""),"Metro Schools")</f>
        <v>Metro Schools</v>
      </c>
      <c r="M4076" s="6" t="str">
        <f>IFERROR(__xludf.DUMMYFUNCTION("""COMPUTED_VALUE"""),"")</f>
        <v/>
      </c>
      <c r="N4076" s="6" t="str">
        <f>IFERROR(__xludf.DUMMYFUNCTION("""COMPUTED_VALUE"""),"")</f>
        <v/>
      </c>
      <c r="O4076" s="87" t="str">
        <f>IFERROR(__xludf.DUMMYFUNCTION("""COMPUTED_VALUE"""),"https://drive.google.com/drive/folders/10T2cTQHqEJZqE-st6uFKPoI?usp=share_link")</f>
        <v>https://drive.google.com/drive/folders/10T2cTQHqEJZqE-st6uFKPoI?usp=share_link</v>
      </c>
      <c r="P4076" s="6" t="str">
        <f>IFERROR(__xludf.DUMMYFUNCTION("""COMPUTED_VALUE"""),"Joshua Delgado Garcia")</f>
        <v>Joshua Delgado Garcia</v>
      </c>
      <c r="Q4076" s="6" t="str">
        <f>IFERROR(__xludf.DUMMYFUNCTION("""COMPUTED_VALUE"""),"MS")</f>
        <v>MS</v>
      </c>
      <c r="R4076" s="6">
        <f>IFERROR(__xludf.DUMMYFUNCTION("""COMPUTED_VALUE"""),0.0)</f>
        <v>0</v>
      </c>
      <c r="S4076" s="6" t="str">
        <f>IFERROR(__xludf.DUMMYFUNCTION("""COMPUTED_VALUE"""),"Kimberly Ball")</f>
        <v>Kimberly Ball</v>
      </c>
      <c r="T4076" s="6" t="str">
        <f>IFERROR(__xludf.DUMMYFUNCTION("""COMPUTED_VALUE"""),"kimberly.ball@studient.com")</f>
        <v>kimberly.ball@studient.com</v>
      </c>
      <c r="U4076" s="6" t="str">
        <f>IFERROR(__xludf.DUMMYFUNCTION("""COMPUTED_VALUE"""),"8")</f>
        <v>8</v>
      </c>
      <c r="V4076" s="6" t="str">
        <f>IFERROR(__xludf.DUMMYFUNCTION("""COMPUTED_VALUE"""),"")</f>
        <v/>
      </c>
      <c r="W4076" s="6" t="str">
        <f>IFERROR(__xludf.DUMMYFUNCTION("""COMPUTED_VALUE"""),"[]")</f>
        <v>[]</v>
      </c>
      <c r="X4076" s="6" t="str">
        <f>IFERROR(__xludf.DUMMYFUNCTION("""COMPUTED_VALUE"""),"Enrolled")</f>
        <v>Enrolled</v>
      </c>
    </row>
    <row r="4077">
      <c r="A4077" s="6" t="str">
        <f>IFERROR(__xludf.DUMMYFUNCTION("""COMPUTED_VALUE"""),"079-10566")</f>
        <v>079-10566</v>
      </c>
      <c r="B4077" s="6" t="str">
        <f>IFERROR(__xludf.DUMMYFUNCTION("""COMPUTED_VALUE"""),"79")</f>
        <v>79</v>
      </c>
      <c r="C4077" s="6" t="str">
        <f>IFERROR(__xludf.DUMMYFUNCTION("""COMPUTED_VALUE"""),"10566")</f>
        <v>10566</v>
      </c>
      <c r="D4077" s="6" t="str">
        <f>IFERROR(__xludf.DUMMYFUNCTION("""COMPUTED_VALUE"""),"Mikaylah")</f>
        <v>Mikaylah</v>
      </c>
      <c r="E4077" s="6" t="str">
        <f>IFERROR(__xludf.DUMMYFUNCTION("""COMPUTED_VALUE"""),"")</f>
        <v/>
      </c>
      <c r="F4077" s="6" t="str">
        <f>IFERROR(__xludf.DUMMYFUNCTION("""COMPUTED_VALUE"""),"Gaines")</f>
        <v>Gaines</v>
      </c>
      <c r="G4077" s="6" t="str">
        <f>IFERROR(__xludf.DUMMYFUNCTION("""COMPUTED_VALUE"""),"08/12/2011")</f>
        <v>08/12/2011</v>
      </c>
      <c r="H4077" s="6" t="str">
        <f>IFERROR(__xludf.DUMMYFUNCTION("""COMPUTED_VALUE"""),"female")</f>
        <v>female</v>
      </c>
      <c r="I4077" s="6" t="str">
        <f>IFERROR(__xludf.DUMMYFUNCTION("""COMPUTED_VALUE"""),"Middle School")</f>
        <v>Middle School</v>
      </c>
      <c r="J4077" s="6" t="str">
        <f>IFERROR(__xludf.DUMMYFUNCTION("""COMPUTED_VALUE"""),"8")</f>
        <v>8</v>
      </c>
      <c r="K4077" s="6" t="str">
        <f>IFERROR(__xludf.DUMMYFUNCTION("""COMPUTED_VALUE"""),"mikaylah.gaines@2hourlearning.com")</f>
        <v>mikaylah.gaines@2hourlearning.com</v>
      </c>
      <c r="L4077" s="6" t="str">
        <f>IFERROR(__xludf.DUMMYFUNCTION("""COMPUTED_VALUE"""),"Metro Schools")</f>
        <v>Metro Schools</v>
      </c>
      <c r="M4077" s="6" t="str">
        <f>IFERROR(__xludf.DUMMYFUNCTION("""COMPUTED_VALUE"""),"")</f>
        <v/>
      </c>
      <c r="N4077" s="6" t="str">
        <f>IFERROR(__xludf.DUMMYFUNCTION("""COMPUTED_VALUE"""),"")</f>
        <v/>
      </c>
      <c r="O4077" s="87" t="str">
        <f>IFERROR(__xludf.DUMMYFUNCTION("""COMPUTED_VALUE"""),"https://drive.google.com/drive/folders/10T2cTQHqEJZqE-st6uFKPoI?usp=share_link")</f>
        <v>https://drive.google.com/drive/folders/10T2cTQHqEJZqE-st6uFKPoI?usp=share_link</v>
      </c>
      <c r="P4077" s="6" t="str">
        <f>IFERROR(__xludf.DUMMYFUNCTION("""COMPUTED_VALUE"""),"Mikaylah Gaines")</f>
        <v>Mikaylah Gaines</v>
      </c>
      <c r="Q4077" s="6" t="str">
        <f>IFERROR(__xludf.DUMMYFUNCTION("""COMPUTED_VALUE"""),"MS")</f>
        <v>MS</v>
      </c>
      <c r="R4077" s="6">
        <f>IFERROR(__xludf.DUMMYFUNCTION("""COMPUTED_VALUE"""),0.0)</f>
        <v>0</v>
      </c>
      <c r="S4077" s="6" t="str">
        <f>IFERROR(__xludf.DUMMYFUNCTION("""COMPUTED_VALUE"""),"Kimberly Ball")</f>
        <v>Kimberly Ball</v>
      </c>
      <c r="T4077" s="6" t="str">
        <f>IFERROR(__xludf.DUMMYFUNCTION("""COMPUTED_VALUE"""),"kimberly.ball@studient.com")</f>
        <v>kimberly.ball@studient.com</v>
      </c>
      <c r="U4077" s="6" t="str">
        <f>IFERROR(__xludf.DUMMYFUNCTION("""COMPUTED_VALUE"""),"8")</f>
        <v>8</v>
      </c>
      <c r="V4077" s="6" t="str">
        <f>IFERROR(__xludf.DUMMYFUNCTION("""COMPUTED_VALUE"""),"")</f>
        <v/>
      </c>
      <c r="W4077" s="6" t="str">
        <f>IFERROR(__xludf.DUMMYFUNCTION("""COMPUTED_VALUE"""),"[]")</f>
        <v>[]</v>
      </c>
      <c r="X4077" s="6" t="str">
        <f>IFERROR(__xludf.DUMMYFUNCTION("""COMPUTED_VALUE"""),"Enrolled")</f>
        <v>Enrolled</v>
      </c>
    </row>
    <row r="4078">
      <c r="A4078" s="6" t="str">
        <f>IFERROR(__xludf.DUMMYFUNCTION("""COMPUTED_VALUE"""),"079-10567")</f>
        <v>079-10567</v>
      </c>
      <c r="B4078" s="6" t="str">
        <f>IFERROR(__xludf.DUMMYFUNCTION("""COMPUTED_VALUE"""),"79")</f>
        <v>79</v>
      </c>
      <c r="C4078" s="6" t="str">
        <f>IFERROR(__xludf.DUMMYFUNCTION("""COMPUTED_VALUE"""),"10567")</f>
        <v>10567</v>
      </c>
      <c r="D4078" s="6" t="str">
        <f>IFERROR(__xludf.DUMMYFUNCTION("""COMPUTED_VALUE"""),"Camille")</f>
        <v>Camille</v>
      </c>
      <c r="E4078" s="6" t="str">
        <f>IFERROR(__xludf.DUMMYFUNCTION("""COMPUTED_VALUE"""),"")</f>
        <v/>
      </c>
      <c r="F4078" s="6" t="str">
        <f>IFERROR(__xludf.DUMMYFUNCTION("""COMPUTED_VALUE"""),"Pope")</f>
        <v>Pope</v>
      </c>
      <c r="G4078" s="6" t="str">
        <f>IFERROR(__xludf.DUMMYFUNCTION("""COMPUTED_VALUE"""),"12/23/2011")</f>
        <v>12/23/2011</v>
      </c>
      <c r="H4078" s="6" t="str">
        <f>IFERROR(__xludf.DUMMYFUNCTION("""COMPUTED_VALUE"""),"female")</f>
        <v>female</v>
      </c>
      <c r="I4078" s="6" t="str">
        <f>IFERROR(__xludf.DUMMYFUNCTION("""COMPUTED_VALUE"""),"Middle School")</f>
        <v>Middle School</v>
      </c>
      <c r="J4078" s="6" t="str">
        <f>IFERROR(__xludf.DUMMYFUNCTION("""COMPUTED_VALUE"""),"8")</f>
        <v>8</v>
      </c>
      <c r="K4078" s="6" t="str">
        <f>IFERROR(__xludf.DUMMYFUNCTION("""COMPUTED_VALUE"""),"camille.pope@2hourlearning.com")</f>
        <v>camille.pope@2hourlearning.com</v>
      </c>
      <c r="L4078" s="6" t="str">
        <f>IFERROR(__xludf.DUMMYFUNCTION("""COMPUTED_VALUE"""),"Metro Schools")</f>
        <v>Metro Schools</v>
      </c>
      <c r="M4078" s="6" t="str">
        <f>IFERROR(__xludf.DUMMYFUNCTION("""COMPUTED_VALUE"""),"")</f>
        <v/>
      </c>
      <c r="N4078" s="6" t="str">
        <f>IFERROR(__xludf.DUMMYFUNCTION("""COMPUTED_VALUE"""),"")</f>
        <v/>
      </c>
      <c r="O4078" s="87" t="str">
        <f>IFERROR(__xludf.DUMMYFUNCTION("""COMPUTED_VALUE"""),"https://drive.google.com/drive/folders/10T2cTQHqEJZqE-st6uFKPoI?usp=share_link")</f>
        <v>https://drive.google.com/drive/folders/10T2cTQHqEJZqE-st6uFKPoI?usp=share_link</v>
      </c>
      <c r="P4078" s="6" t="str">
        <f>IFERROR(__xludf.DUMMYFUNCTION("""COMPUTED_VALUE"""),"Camille Pope")</f>
        <v>Camille Pope</v>
      </c>
      <c r="Q4078" s="6" t="str">
        <f>IFERROR(__xludf.DUMMYFUNCTION("""COMPUTED_VALUE"""),"MS")</f>
        <v>MS</v>
      </c>
      <c r="R4078" s="6">
        <f>IFERROR(__xludf.DUMMYFUNCTION("""COMPUTED_VALUE"""),0.0)</f>
        <v>0</v>
      </c>
      <c r="S4078" s="6" t="str">
        <f>IFERROR(__xludf.DUMMYFUNCTION("""COMPUTED_VALUE"""),"Kimberly Ball")</f>
        <v>Kimberly Ball</v>
      </c>
      <c r="T4078" s="6" t="str">
        <f>IFERROR(__xludf.DUMMYFUNCTION("""COMPUTED_VALUE"""),"kimberly.ball@studient.com")</f>
        <v>kimberly.ball@studient.com</v>
      </c>
      <c r="U4078" s="6" t="str">
        <f>IFERROR(__xludf.DUMMYFUNCTION("""COMPUTED_VALUE"""),"8")</f>
        <v>8</v>
      </c>
      <c r="V4078" s="6" t="str">
        <f>IFERROR(__xludf.DUMMYFUNCTION("""COMPUTED_VALUE"""),"")</f>
        <v/>
      </c>
      <c r="W4078" s="6" t="str">
        <f>IFERROR(__xludf.DUMMYFUNCTION("""COMPUTED_VALUE"""),"[]")</f>
        <v>[]</v>
      </c>
      <c r="X4078" s="6" t="str">
        <f>IFERROR(__xludf.DUMMYFUNCTION("""COMPUTED_VALUE"""),"Enrolled")</f>
        <v>Enrolled</v>
      </c>
    </row>
    <row r="4079">
      <c r="A4079" s="6" t="str">
        <f>IFERROR(__xludf.DUMMYFUNCTION("""COMPUTED_VALUE"""),"079-10568")</f>
        <v>079-10568</v>
      </c>
      <c r="B4079" s="6" t="str">
        <f>IFERROR(__xludf.DUMMYFUNCTION("""COMPUTED_VALUE"""),"79")</f>
        <v>79</v>
      </c>
      <c r="C4079" s="6" t="str">
        <f>IFERROR(__xludf.DUMMYFUNCTION("""COMPUTED_VALUE"""),"10568")</f>
        <v>10568</v>
      </c>
      <c r="D4079" s="6" t="str">
        <f>IFERROR(__xludf.DUMMYFUNCTION("""COMPUTED_VALUE"""),"Vanessa")</f>
        <v>Vanessa</v>
      </c>
      <c r="E4079" s="6" t="str">
        <f>IFERROR(__xludf.DUMMYFUNCTION("""COMPUTED_VALUE"""),"")</f>
        <v/>
      </c>
      <c r="F4079" s="6" t="str">
        <f>IFERROR(__xludf.DUMMYFUNCTION("""COMPUTED_VALUE"""),"Estrada Llata")</f>
        <v>Estrada Llata</v>
      </c>
      <c r="G4079" s="6" t="str">
        <f>IFERROR(__xludf.DUMMYFUNCTION("""COMPUTED_VALUE"""),"09/24/2014")</f>
        <v>09/24/2014</v>
      </c>
      <c r="H4079" s="6" t="str">
        <f>IFERROR(__xludf.DUMMYFUNCTION("""COMPUTED_VALUE"""),"female")</f>
        <v>female</v>
      </c>
      <c r="I4079" s="6" t="str">
        <f>IFERROR(__xludf.DUMMYFUNCTION("""COMPUTED_VALUE"""),"Middle School")</f>
        <v>Middle School</v>
      </c>
      <c r="J4079" s="6" t="str">
        <f>IFERROR(__xludf.DUMMYFUNCTION("""COMPUTED_VALUE"""),"6")</f>
        <v>6</v>
      </c>
      <c r="K4079" s="6" t="str">
        <f>IFERROR(__xludf.DUMMYFUNCTION("""COMPUTED_VALUE"""),"vanessa.estrada.llata@2hourlearning.com")</f>
        <v>vanessa.estrada.llata@2hourlearning.com</v>
      </c>
      <c r="L4079" s="6" t="str">
        <f>IFERROR(__xludf.DUMMYFUNCTION("""COMPUTED_VALUE"""),"Metro Schools")</f>
        <v>Metro Schools</v>
      </c>
      <c r="M4079" s="6" t="str">
        <f>IFERROR(__xludf.DUMMYFUNCTION("""COMPUTED_VALUE"""),"")</f>
        <v/>
      </c>
      <c r="N4079" s="6" t="str">
        <f>IFERROR(__xludf.DUMMYFUNCTION("""COMPUTED_VALUE"""),"")</f>
        <v/>
      </c>
      <c r="O4079" s="87" t="str">
        <f>IFERROR(__xludf.DUMMYFUNCTION("""COMPUTED_VALUE"""),"https://drive.google.com/drive/folders/10T2cTQHqEJZqE-st6uFKPoI?usp=share_link")</f>
        <v>https://drive.google.com/drive/folders/10T2cTQHqEJZqE-st6uFKPoI?usp=share_link</v>
      </c>
      <c r="P4079" s="6" t="str">
        <f>IFERROR(__xludf.DUMMYFUNCTION("""COMPUTED_VALUE"""),"Vanessa Estrada Llata")</f>
        <v>Vanessa Estrada Llata</v>
      </c>
      <c r="Q4079" s="6" t="str">
        <f>IFERROR(__xludf.DUMMYFUNCTION("""COMPUTED_VALUE"""),"MS")</f>
        <v>MS</v>
      </c>
      <c r="R4079" s="6">
        <f>IFERROR(__xludf.DUMMYFUNCTION("""COMPUTED_VALUE"""),0.0)</f>
        <v>0</v>
      </c>
      <c r="S4079" s="6" t="str">
        <f>IFERROR(__xludf.DUMMYFUNCTION("""COMPUTED_VALUE"""),"Kimberly Ball")</f>
        <v>Kimberly Ball</v>
      </c>
      <c r="T4079" s="6" t="str">
        <f>IFERROR(__xludf.DUMMYFUNCTION("""COMPUTED_VALUE"""),"kimberly.ball@studient.com")</f>
        <v>kimberly.ball@studient.com</v>
      </c>
      <c r="U4079" s="6" t="str">
        <f>IFERROR(__xludf.DUMMYFUNCTION("""COMPUTED_VALUE"""),"6")</f>
        <v>6</v>
      </c>
      <c r="V4079" s="6" t="str">
        <f>IFERROR(__xludf.DUMMYFUNCTION("""COMPUTED_VALUE"""),"")</f>
        <v/>
      </c>
      <c r="W4079" s="6" t="str">
        <f>IFERROR(__xludf.DUMMYFUNCTION("""COMPUTED_VALUE"""),"[]")</f>
        <v>[]</v>
      </c>
      <c r="X4079" s="6" t="str">
        <f>IFERROR(__xludf.DUMMYFUNCTION("""COMPUTED_VALUE"""),"Enrolled")</f>
        <v>Enrolled</v>
      </c>
    </row>
    <row r="4080">
      <c r="A4080" s="6" t="str">
        <f>IFERROR(__xludf.DUMMYFUNCTION("""COMPUTED_VALUE"""),"079-10569")</f>
        <v>079-10569</v>
      </c>
      <c r="B4080" s="6" t="str">
        <f>IFERROR(__xludf.DUMMYFUNCTION("""COMPUTED_VALUE"""),"79")</f>
        <v>79</v>
      </c>
      <c r="C4080" s="6" t="str">
        <f>IFERROR(__xludf.DUMMYFUNCTION("""COMPUTED_VALUE"""),"10569")</f>
        <v>10569</v>
      </c>
      <c r="D4080" s="6" t="str">
        <f>IFERROR(__xludf.DUMMYFUNCTION("""COMPUTED_VALUE"""),"Rashawn")</f>
        <v>Rashawn</v>
      </c>
      <c r="E4080" s="6" t="str">
        <f>IFERROR(__xludf.DUMMYFUNCTION("""COMPUTED_VALUE"""),"")</f>
        <v/>
      </c>
      <c r="F4080" s="6" t="str">
        <f>IFERROR(__xludf.DUMMYFUNCTION("""COMPUTED_VALUE"""),"Graham")</f>
        <v>Graham</v>
      </c>
      <c r="G4080" s="6" t="str">
        <f>IFERROR(__xludf.DUMMYFUNCTION("""COMPUTED_VALUE"""),"03/26/2014")</f>
        <v>03/26/2014</v>
      </c>
      <c r="H4080" s="6" t="str">
        <f>IFERROR(__xludf.DUMMYFUNCTION("""COMPUTED_VALUE"""),"male")</f>
        <v>male</v>
      </c>
      <c r="I4080" s="6" t="str">
        <f>IFERROR(__xludf.DUMMYFUNCTION("""COMPUTED_VALUE"""),"Middle School")</f>
        <v>Middle School</v>
      </c>
      <c r="J4080" s="6" t="str">
        <f>IFERROR(__xludf.DUMMYFUNCTION("""COMPUTED_VALUE"""),"6")</f>
        <v>6</v>
      </c>
      <c r="K4080" s="6" t="str">
        <f>IFERROR(__xludf.DUMMYFUNCTION("""COMPUTED_VALUE"""),"rashawn.graham@2hourlearning.com")</f>
        <v>rashawn.graham@2hourlearning.com</v>
      </c>
      <c r="L4080" s="6" t="str">
        <f>IFERROR(__xludf.DUMMYFUNCTION("""COMPUTED_VALUE"""),"Metro Schools")</f>
        <v>Metro Schools</v>
      </c>
      <c r="M4080" s="6" t="str">
        <f>IFERROR(__xludf.DUMMYFUNCTION("""COMPUTED_VALUE"""),"")</f>
        <v/>
      </c>
      <c r="N4080" s="6" t="str">
        <f>IFERROR(__xludf.DUMMYFUNCTION("""COMPUTED_VALUE"""),"")</f>
        <v/>
      </c>
      <c r="O4080" s="87" t="str">
        <f>IFERROR(__xludf.DUMMYFUNCTION("""COMPUTED_VALUE"""),"https://drive.google.com/drive/folders/10T2cTQHqEJZqE-st6uFKPoI?usp=share_link")</f>
        <v>https://drive.google.com/drive/folders/10T2cTQHqEJZqE-st6uFKPoI?usp=share_link</v>
      </c>
      <c r="P4080" s="6" t="str">
        <f>IFERROR(__xludf.DUMMYFUNCTION("""COMPUTED_VALUE"""),"Rashawn Graham")</f>
        <v>Rashawn Graham</v>
      </c>
      <c r="Q4080" s="6" t="str">
        <f>IFERROR(__xludf.DUMMYFUNCTION("""COMPUTED_VALUE"""),"MS")</f>
        <v>MS</v>
      </c>
      <c r="R4080" s="6">
        <f>IFERROR(__xludf.DUMMYFUNCTION("""COMPUTED_VALUE"""),0.0)</f>
        <v>0</v>
      </c>
      <c r="S4080" s="6" t="str">
        <f>IFERROR(__xludf.DUMMYFUNCTION("""COMPUTED_VALUE"""),"Kimberly Ball")</f>
        <v>Kimberly Ball</v>
      </c>
      <c r="T4080" s="6" t="str">
        <f>IFERROR(__xludf.DUMMYFUNCTION("""COMPUTED_VALUE"""),"kimberly.ball@studient.com")</f>
        <v>kimberly.ball@studient.com</v>
      </c>
      <c r="U4080" s="6" t="str">
        <f>IFERROR(__xludf.DUMMYFUNCTION("""COMPUTED_VALUE"""),"6")</f>
        <v>6</v>
      </c>
      <c r="V4080" s="6" t="str">
        <f>IFERROR(__xludf.DUMMYFUNCTION("""COMPUTED_VALUE"""),"")</f>
        <v/>
      </c>
      <c r="W4080" s="6" t="str">
        <f>IFERROR(__xludf.DUMMYFUNCTION("""COMPUTED_VALUE"""),"[]")</f>
        <v>[]</v>
      </c>
      <c r="X4080" s="6" t="str">
        <f>IFERROR(__xludf.DUMMYFUNCTION("""COMPUTED_VALUE"""),"Enrolled")</f>
        <v>Enrolled</v>
      </c>
    </row>
    <row r="4081">
      <c r="A4081" s="6" t="str">
        <f>IFERROR(__xludf.DUMMYFUNCTION("""COMPUTED_VALUE"""),"079-10570")</f>
        <v>079-10570</v>
      </c>
      <c r="B4081" s="6" t="str">
        <f>IFERROR(__xludf.DUMMYFUNCTION("""COMPUTED_VALUE"""),"79")</f>
        <v>79</v>
      </c>
      <c r="C4081" s="6" t="str">
        <f>IFERROR(__xludf.DUMMYFUNCTION("""COMPUTED_VALUE"""),"10570")</f>
        <v>10570</v>
      </c>
      <c r="D4081" s="6" t="str">
        <f>IFERROR(__xludf.DUMMYFUNCTION("""COMPUTED_VALUE"""),"Heavens")</f>
        <v>Heavens</v>
      </c>
      <c r="E4081" s="6" t="str">
        <f>IFERROR(__xludf.DUMMYFUNCTION("""COMPUTED_VALUE"""),"")</f>
        <v/>
      </c>
      <c r="F4081" s="6" t="str">
        <f>IFERROR(__xludf.DUMMYFUNCTION("""COMPUTED_VALUE"""),"Menlah")</f>
        <v>Menlah</v>
      </c>
      <c r="G4081" s="6" t="str">
        <f>IFERROR(__xludf.DUMMYFUNCTION("""COMPUTED_VALUE"""),"07/12/2014")</f>
        <v>07/12/2014</v>
      </c>
      <c r="H4081" s="6" t="str">
        <f>IFERROR(__xludf.DUMMYFUNCTION("""COMPUTED_VALUE"""),"male")</f>
        <v>male</v>
      </c>
      <c r="I4081" s="6" t="str">
        <f>IFERROR(__xludf.DUMMYFUNCTION("""COMPUTED_VALUE"""),"Middle School")</f>
        <v>Middle School</v>
      </c>
      <c r="J4081" s="6" t="str">
        <f>IFERROR(__xludf.DUMMYFUNCTION("""COMPUTED_VALUE"""),"6")</f>
        <v>6</v>
      </c>
      <c r="K4081" s="6" t="str">
        <f>IFERROR(__xludf.DUMMYFUNCTION("""COMPUTED_VALUE"""),"heavens.menlah@2hourlearning.com")</f>
        <v>heavens.menlah@2hourlearning.com</v>
      </c>
      <c r="L4081" s="6" t="str">
        <f>IFERROR(__xludf.DUMMYFUNCTION("""COMPUTED_VALUE"""),"Metro Schools")</f>
        <v>Metro Schools</v>
      </c>
      <c r="M4081" s="6" t="str">
        <f>IFERROR(__xludf.DUMMYFUNCTION("""COMPUTED_VALUE"""),"")</f>
        <v/>
      </c>
      <c r="N4081" s="6" t="str">
        <f>IFERROR(__xludf.DUMMYFUNCTION("""COMPUTED_VALUE"""),"")</f>
        <v/>
      </c>
      <c r="O4081" s="87" t="str">
        <f>IFERROR(__xludf.DUMMYFUNCTION("""COMPUTED_VALUE"""),"https://drive.google.com/drive/folders/10T2cTQHqEJZqE-st6uFKPoI?usp=share_link")</f>
        <v>https://drive.google.com/drive/folders/10T2cTQHqEJZqE-st6uFKPoI?usp=share_link</v>
      </c>
      <c r="P4081" s="6" t="str">
        <f>IFERROR(__xludf.DUMMYFUNCTION("""COMPUTED_VALUE"""),"Heavens Menlah")</f>
        <v>Heavens Menlah</v>
      </c>
      <c r="Q4081" s="6" t="str">
        <f>IFERROR(__xludf.DUMMYFUNCTION("""COMPUTED_VALUE"""),"MS")</f>
        <v>MS</v>
      </c>
      <c r="R4081" s="6">
        <f>IFERROR(__xludf.DUMMYFUNCTION("""COMPUTED_VALUE"""),0.0)</f>
        <v>0</v>
      </c>
      <c r="S4081" s="6" t="str">
        <f>IFERROR(__xludf.DUMMYFUNCTION("""COMPUTED_VALUE"""),"Kimberly Ball")</f>
        <v>Kimberly Ball</v>
      </c>
      <c r="T4081" s="6" t="str">
        <f>IFERROR(__xludf.DUMMYFUNCTION("""COMPUTED_VALUE"""),"kimberly.ball@studient.com")</f>
        <v>kimberly.ball@studient.com</v>
      </c>
      <c r="U4081" s="6" t="str">
        <f>IFERROR(__xludf.DUMMYFUNCTION("""COMPUTED_VALUE"""),"6")</f>
        <v>6</v>
      </c>
      <c r="V4081" s="6" t="str">
        <f>IFERROR(__xludf.DUMMYFUNCTION("""COMPUTED_VALUE"""),"")</f>
        <v/>
      </c>
      <c r="W4081" s="6" t="str">
        <f>IFERROR(__xludf.DUMMYFUNCTION("""COMPUTED_VALUE"""),"[]")</f>
        <v>[]</v>
      </c>
      <c r="X4081" s="6" t="str">
        <f>IFERROR(__xludf.DUMMYFUNCTION("""COMPUTED_VALUE"""),"Enrolled")</f>
        <v>Enrolled</v>
      </c>
    </row>
    <row r="4082">
      <c r="A4082" s="6" t="str">
        <f>IFERROR(__xludf.DUMMYFUNCTION("""COMPUTED_VALUE"""),"079-10571")</f>
        <v>079-10571</v>
      </c>
      <c r="B4082" s="6" t="str">
        <f>IFERROR(__xludf.DUMMYFUNCTION("""COMPUTED_VALUE"""),"79")</f>
        <v>79</v>
      </c>
      <c r="C4082" s="6" t="str">
        <f>IFERROR(__xludf.DUMMYFUNCTION("""COMPUTED_VALUE"""),"10571")</f>
        <v>10571</v>
      </c>
      <c r="D4082" s="6" t="str">
        <f>IFERROR(__xludf.DUMMYFUNCTION("""COMPUTED_VALUE"""),"Nagina")</f>
        <v>Nagina</v>
      </c>
      <c r="E4082" s="6" t="str">
        <f>IFERROR(__xludf.DUMMYFUNCTION("""COMPUTED_VALUE"""),"")</f>
        <v/>
      </c>
      <c r="F4082" s="6" t="str">
        <f>IFERROR(__xludf.DUMMYFUNCTION("""COMPUTED_VALUE"""),"Osman")</f>
        <v>Osman</v>
      </c>
      <c r="G4082" s="6" t="str">
        <f>IFERROR(__xludf.DUMMYFUNCTION("""COMPUTED_VALUE"""),"09/13/2013")</f>
        <v>09/13/2013</v>
      </c>
      <c r="H4082" s="6" t="str">
        <f>IFERROR(__xludf.DUMMYFUNCTION("""COMPUTED_VALUE"""),"female")</f>
        <v>female</v>
      </c>
      <c r="I4082" s="6" t="str">
        <f>IFERROR(__xludf.DUMMYFUNCTION("""COMPUTED_VALUE"""),"Middle School")</f>
        <v>Middle School</v>
      </c>
      <c r="J4082" s="6" t="str">
        <f>IFERROR(__xludf.DUMMYFUNCTION("""COMPUTED_VALUE"""),"6")</f>
        <v>6</v>
      </c>
      <c r="K4082" s="6" t="str">
        <f>IFERROR(__xludf.DUMMYFUNCTION("""COMPUTED_VALUE"""),"nagina.osman@2hourlearning.com")</f>
        <v>nagina.osman@2hourlearning.com</v>
      </c>
      <c r="L4082" s="6" t="str">
        <f>IFERROR(__xludf.DUMMYFUNCTION("""COMPUTED_VALUE"""),"Metro Schools")</f>
        <v>Metro Schools</v>
      </c>
      <c r="M4082" s="6" t="str">
        <f>IFERROR(__xludf.DUMMYFUNCTION("""COMPUTED_VALUE"""),"")</f>
        <v/>
      </c>
      <c r="N4082" s="6" t="str">
        <f>IFERROR(__xludf.DUMMYFUNCTION("""COMPUTED_VALUE"""),"")</f>
        <v/>
      </c>
      <c r="O4082" s="87" t="str">
        <f>IFERROR(__xludf.DUMMYFUNCTION("""COMPUTED_VALUE"""),"https://drive.google.com/drive/folders/10T2cTQHqEJZqE-st6uFKPoI?usp=share_link")</f>
        <v>https://drive.google.com/drive/folders/10T2cTQHqEJZqE-st6uFKPoI?usp=share_link</v>
      </c>
      <c r="P4082" s="6" t="str">
        <f>IFERROR(__xludf.DUMMYFUNCTION("""COMPUTED_VALUE"""),"Nagina Osman")</f>
        <v>Nagina Osman</v>
      </c>
      <c r="Q4082" s="6" t="str">
        <f>IFERROR(__xludf.DUMMYFUNCTION("""COMPUTED_VALUE"""),"MS")</f>
        <v>MS</v>
      </c>
      <c r="R4082" s="6">
        <f>IFERROR(__xludf.DUMMYFUNCTION("""COMPUTED_VALUE"""),0.0)</f>
        <v>0</v>
      </c>
      <c r="S4082" s="6" t="str">
        <f>IFERROR(__xludf.DUMMYFUNCTION("""COMPUTED_VALUE"""),"Kimberly Ball")</f>
        <v>Kimberly Ball</v>
      </c>
      <c r="T4082" s="6" t="str">
        <f>IFERROR(__xludf.DUMMYFUNCTION("""COMPUTED_VALUE"""),"kimberly.ball@studient.com")</f>
        <v>kimberly.ball@studient.com</v>
      </c>
      <c r="U4082" s="6" t="str">
        <f>IFERROR(__xludf.DUMMYFUNCTION("""COMPUTED_VALUE"""),"6")</f>
        <v>6</v>
      </c>
      <c r="V4082" s="6" t="str">
        <f>IFERROR(__xludf.DUMMYFUNCTION("""COMPUTED_VALUE"""),"")</f>
        <v/>
      </c>
      <c r="W4082" s="6" t="str">
        <f>IFERROR(__xludf.DUMMYFUNCTION("""COMPUTED_VALUE"""),"[]")</f>
        <v>[]</v>
      </c>
      <c r="X4082" s="6" t="str">
        <f>IFERROR(__xludf.DUMMYFUNCTION("""COMPUTED_VALUE"""),"Enrolled")</f>
        <v>Enrolled</v>
      </c>
    </row>
    <row r="4083">
      <c r="A4083" s="6" t="str">
        <f>IFERROR(__xludf.DUMMYFUNCTION("""COMPUTED_VALUE"""),"079-10572")</f>
        <v>079-10572</v>
      </c>
      <c r="B4083" s="6" t="str">
        <f>IFERROR(__xludf.DUMMYFUNCTION("""COMPUTED_VALUE"""),"79")</f>
        <v>79</v>
      </c>
      <c r="C4083" s="6" t="str">
        <f>IFERROR(__xludf.DUMMYFUNCTION("""COMPUTED_VALUE"""),"10572")</f>
        <v>10572</v>
      </c>
      <c r="D4083" s="6" t="str">
        <f>IFERROR(__xludf.DUMMYFUNCTION("""COMPUTED_VALUE"""),"Marvin")</f>
        <v>Marvin</v>
      </c>
      <c r="E4083" s="6" t="str">
        <f>IFERROR(__xludf.DUMMYFUNCTION("""COMPUTED_VALUE"""),"")</f>
        <v/>
      </c>
      <c r="F4083" s="6" t="str">
        <f>IFERROR(__xludf.DUMMYFUNCTION("""COMPUTED_VALUE"""),"Robertson")</f>
        <v>Robertson</v>
      </c>
      <c r="G4083" s="6" t="str">
        <f>IFERROR(__xludf.DUMMYFUNCTION("""COMPUTED_VALUE"""),"07/13/2014")</f>
        <v>07/13/2014</v>
      </c>
      <c r="H4083" s="6" t="str">
        <f>IFERROR(__xludf.DUMMYFUNCTION("""COMPUTED_VALUE"""),"male")</f>
        <v>male</v>
      </c>
      <c r="I4083" s="6" t="str">
        <f>IFERROR(__xludf.DUMMYFUNCTION("""COMPUTED_VALUE"""),"Middle School")</f>
        <v>Middle School</v>
      </c>
      <c r="J4083" s="6" t="str">
        <f>IFERROR(__xludf.DUMMYFUNCTION("""COMPUTED_VALUE"""),"6")</f>
        <v>6</v>
      </c>
      <c r="K4083" s="6" t="str">
        <f>IFERROR(__xludf.DUMMYFUNCTION("""COMPUTED_VALUE"""),"marvin.robertson@2hourlearning.com")</f>
        <v>marvin.robertson@2hourlearning.com</v>
      </c>
      <c r="L4083" s="6" t="str">
        <f>IFERROR(__xludf.DUMMYFUNCTION("""COMPUTED_VALUE"""),"Metro Schools")</f>
        <v>Metro Schools</v>
      </c>
      <c r="M4083" s="6" t="str">
        <f>IFERROR(__xludf.DUMMYFUNCTION("""COMPUTED_VALUE"""),"")</f>
        <v/>
      </c>
      <c r="N4083" s="6" t="str">
        <f>IFERROR(__xludf.DUMMYFUNCTION("""COMPUTED_VALUE"""),"")</f>
        <v/>
      </c>
      <c r="O4083" s="87" t="str">
        <f>IFERROR(__xludf.DUMMYFUNCTION("""COMPUTED_VALUE"""),"https://drive.google.com/drive/folders/10T2cTQHqEJZqE-st6uFKPoI?usp=share_link")</f>
        <v>https://drive.google.com/drive/folders/10T2cTQHqEJZqE-st6uFKPoI?usp=share_link</v>
      </c>
      <c r="P4083" s="6" t="str">
        <f>IFERROR(__xludf.DUMMYFUNCTION("""COMPUTED_VALUE"""),"Marvin Robertson")</f>
        <v>Marvin Robertson</v>
      </c>
      <c r="Q4083" s="6" t="str">
        <f>IFERROR(__xludf.DUMMYFUNCTION("""COMPUTED_VALUE"""),"MS")</f>
        <v>MS</v>
      </c>
      <c r="R4083" s="6">
        <f>IFERROR(__xludf.DUMMYFUNCTION("""COMPUTED_VALUE"""),0.0)</f>
        <v>0</v>
      </c>
      <c r="S4083" s="6" t="str">
        <f>IFERROR(__xludf.DUMMYFUNCTION("""COMPUTED_VALUE"""),"Kimberly Ball")</f>
        <v>Kimberly Ball</v>
      </c>
      <c r="T4083" s="6" t="str">
        <f>IFERROR(__xludf.DUMMYFUNCTION("""COMPUTED_VALUE"""),"kimberly.ball@studient.com")</f>
        <v>kimberly.ball@studient.com</v>
      </c>
      <c r="U4083" s="6" t="str">
        <f>IFERROR(__xludf.DUMMYFUNCTION("""COMPUTED_VALUE"""),"6")</f>
        <v>6</v>
      </c>
      <c r="V4083" s="6" t="str">
        <f>IFERROR(__xludf.DUMMYFUNCTION("""COMPUTED_VALUE"""),"")</f>
        <v/>
      </c>
      <c r="W4083" s="6" t="str">
        <f>IFERROR(__xludf.DUMMYFUNCTION("""COMPUTED_VALUE"""),"[]")</f>
        <v>[]</v>
      </c>
      <c r="X4083" s="6" t="str">
        <f>IFERROR(__xludf.DUMMYFUNCTION("""COMPUTED_VALUE"""),"Enrolled")</f>
        <v>Enrolled</v>
      </c>
    </row>
    <row r="4084">
      <c r="A4084" s="6" t="str">
        <f>IFERROR(__xludf.DUMMYFUNCTION("""COMPUTED_VALUE"""),"079-10573")</f>
        <v>079-10573</v>
      </c>
      <c r="B4084" s="6" t="str">
        <f>IFERROR(__xludf.DUMMYFUNCTION("""COMPUTED_VALUE"""),"79")</f>
        <v>79</v>
      </c>
      <c r="C4084" s="6" t="str">
        <f>IFERROR(__xludf.DUMMYFUNCTION("""COMPUTED_VALUE"""),"10573")</f>
        <v>10573</v>
      </c>
      <c r="D4084" s="6" t="str">
        <f>IFERROR(__xludf.DUMMYFUNCTION("""COMPUTED_VALUE"""),"Ty'Juan")</f>
        <v>Ty'Juan</v>
      </c>
      <c r="E4084" s="6" t="str">
        <f>IFERROR(__xludf.DUMMYFUNCTION("""COMPUTED_VALUE"""),"")</f>
        <v/>
      </c>
      <c r="F4084" s="6" t="str">
        <f>IFERROR(__xludf.DUMMYFUNCTION("""COMPUTED_VALUE"""),"Thomas")</f>
        <v>Thomas</v>
      </c>
      <c r="G4084" s="6" t="str">
        <f>IFERROR(__xludf.DUMMYFUNCTION("""COMPUTED_VALUE"""),"06/28/2014")</f>
        <v>06/28/2014</v>
      </c>
      <c r="H4084" s="6" t="str">
        <f>IFERROR(__xludf.DUMMYFUNCTION("""COMPUTED_VALUE"""),"male")</f>
        <v>male</v>
      </c>
      <c r="I4084" s="6" t="str">
        <f>IFERROR(__xludf.DUMMYFUNCTION("""COMPUTED_VALUE"""),"Middle School")</f>
        <v>Middle School</v>
      </c>
      <c r="J4084" s="6" t="str">
        <f>IFERROR(__xludf.DUMMYFUNCTION("""COMPUTED_VALUE"""),"6")</f>
        <v>6</v>
      </c>
      <c r="K4084" s="6" t="str">
        <f>IFERROR(__xludf.DUMMYFUNCTION("""COMPUTED_VALUE"""),"ty'juan.thomas@2hourlearning.com")</f>
        <v>ty'juan.thomas@2hourlearning.com</v>
      </c>
      <c r="L4084" s="6" t="str">
        <f>IFERROR(__xludf.DUMMYFUNCTION("""COMPUTED_VALUE"""),"Metro Schools")</f>
        <v>Metro Schools</v>
      </c>
      <c r="M4084" s="6" t="str">
        <f>IFERROR(__xludf.DUMMYFUNCTION("""COMPUTED_VALUE"""),"")</f>
        <v/>
      </c>
      <c r="N4084" s="6" t="str">
        <f>IFERROR(__xludf.DUMMYFUNCTION("""COMPUTED_VALUE"""),"")</f>
        <v/>
      </c>
      <c r="O4084" s="87" t="str">
        <f>IFERROR(__xludf.DUMMYFUNCTION("""COMPUTED_VALUE"""),"https://drive.google.com/drive/folders/10T2cTQHqEJZqE-st6uFKPoI?usp=share_link")</f>
        <v>https://drive.google.com/drive/folders/10T2cTQHqEJZqE-st6uFKPoI?usp=share_link</v>
      </c>
      <c r="P4084" s="6" t="str">
        <f>IFERROR(__xludf.DUMMYFUNCTION("""COMPUTED_VALUE"""),"Ty'Juan Thomas")</f>
        <v>Ty'Juan Thomas</v>
      </c>
      <c r="Q4084" s="6" t="str">
        <f>IFERROR(__xludf.DUMMYFUNCTION("""COMPUTED_VALUE"""),"MS")</f>
        <v>MS</v>
      </c>
      <c r="R4084" s="6">
        <f>IFERROR(__xludf.DUMMYFUNCTION("""COMPUTED_VALUE"""),0.0)</f>
        <v>0</v>
      </c>
      <c r="S4084" s="6" t="str">
        <f>IFERROR(__xludf.DUMMYFUNCTION("""COMPUTED_VALUE"""),"Kimberly Ball")</f>
        <v>Kimberly Ball</v>
      </c>
      <c r="T4084" s="6" t="str">
        <f>IFERROR(__xludf.DUMMYFUNCTION("""COMPUTED_VALUE"""),"kimberly.ball@studient.com")</f>
        <v>kimberly.ball@studient.com</v>
      </c>
      <c r="U4084" s="6" t="str">
        <f>IFERROR(__xludf.DUMMYFUNCTION("""COMPUTED_VALUE"""),"6")</f>
        <v>6</v>
      </c>
      <c r="V4084" s="6" t="str">
        <f>IFERROR(__xludf.DUMMYFUNCTION("""COMPUTED_VALUE"""),"")</f>
        <v/>
      </c>
      <c r="W4084" s="6" t="str">
        <f>IFERROR(__xludf.DUMMYFUNCTION("""COMPUTED_VALUE"""),"[]")</f>
        <v>[]</v>
      </c>
      <c r="X4084" s="6" t="str">
        <f>IFERROR(__xludf.DUMMYFUNCTION("""COMPUTED_VALUE"""),"Enrolled")</f>
        <v>Enrolled</v>
      </c>
    </row>
    <row r="4085">
      <c r="A4085" s="6" t="str">
        <f>IFERROR(__xludf.DUMMYFUNCTION("""COMPUTED_VALUE"""),"079-10574")</f>
        <v>079-10574</v>
      </c>
      <c r="B4085" s="6" t="str">
        <f>IFERROR(__xludf.DUMMYFUNCTION("""COMPUTED_VALUE"""),"79")</f>
        <v>79</v>
      </c>
      <c r="C4085" s="6" t="str">
        <f>IFERROR(__xludf.DUMMYFUNCTION("""COMPUTED_VALUE"""),"10574")</f>
        <v>10574</v>
      </c>
      <c r="D4085" s="6" t="str">
        <f>IFERROR(__xludf.DUMMYFUNCTION("""COMPUTED_VALUE"""),"Kalum")</f>
        <v>Kalum</v>
      </c>
      <c r="E4085" s="6" t="str">
        <f>IFERROR(__xludf.DUMMYFUNCTION("""COMPUTED_VALUE"""),"")</f>
        <v/>
      </c>
      <c r="F4085" s="6" t="str">
        <f>IFERROR(__xludf.DUMMYFUNCTION("""COMPUTED_VALUE"""),"Waters")</f>
        <v>Waters</v>
      </c>
      <c r="G4085" s="6" t="str">
        <f>IFERROR(__xludf.DUMMYFUNCTION("""COMPUTED_VALUE"""),"07/08/2014")</f>
        <v>07/08/2014</v>
      </c>
      <c r="H4085" s="6" t="str">
        <f>IFERROR(__xludf.DUMMYFUNCTION("""COMPUTED_VALUE"""),"male")</f>
        <v>male</v>
      </c>
      <c r="I4085" s="6" t="str">
        <f>IFERROR(__xludf.DUMMYFUNCTION("""COMPUTED_VALUE"""),"Middle School")</f>
        <v>Middle School</v>
      </c>
      <c r="J4085" s="6" t="str">
        <f>IFERROR(__xludf.DUMMYFUNCTION("""COMPUTED_VALUE"""),"6")</f>
        <v>6</v>
      </c>
      <c r="K4085" s="6" t="str">
        <f>IFERROR(__xludf.DUMMYFUNCTION("""COMPUTED_VALUE"""),"kalum.waters@2hourlearning.com")</f>
        <v>kalum.waters@2hourlearning.com</v>
      </c>
      <c r="L4085" s="6" t="str">
        <f>IFERROR(__xludf.DUMMYFUNCTION("""COMPUTED_VALUE"""),"Metro Schools")</f>
        <v>Metro Schools</v>
      </c>
      <c r="M4085" s="6" t="str">
        <f>IFERROR(__xludf.DUMMYFUNCTION("""COMPUTED_VALUE"""),"")</f>
        <v/>
      </c>
      <c r="N4085" s="6" t="str">
        <f>IFERROR(__xludf.DUMMYFUNCTION("""COMPUTED_VALUE"""),"")</f>
        <v/>
      </c>
      <c r="O4085" s="87" t="str">
        <f>IFERROR(__xludf.DUMMYFUNCTION("""COMPUTED_VALUE"""),"https://drive.google.com/drive/folders/10T2cTQHqEJZqE-st6uFKPoI?usp=share_link")</f>
        <v>https://drive.google.com/drive/folders/10T2cTQHqEJZqE-st6uFKPoI?usp=share_link</v>
      </c>
      <c r="P4085" s="6" t="str">
        <f>IFERROR(__xludf.DUMMYFUNCTION("""COMPUTED_VALUE"""),"Kalum Waters")</f>
        <v>Kalum Waters</v>
      </c>
      <c r="Q4085" s="6" t="str">
        <f>IFERROR(__xludf.DUMMYFUNCTION("""COMPUTED_VALUE"""),"MS")</f>
        <v>MS</v>
      </c>
      <c r="R4085" s="6">
        <f>IFERROR(__xludf.DUMMYFUNCTION("""COMPUTED_VALUE"""),0.0)</f>
        <v>0</v>
      </c>
      <c r="S4085" s="6" t="str">
        <f>IFERROR(__xludf.DUMMYFUNCTION("""COMPUTED_VALUE"""),"Kimberly Ball")</f>
        <v>Kimberly Ball</v>
      </c>
      <c r="T4085" s="6" t="str">
        <f>IFERROR(__xludf.DUMMYFUNCTION("""COMPUTED_VALUE"""),"kimberly.ball@studient.com")</f>
        <v>kimberly.ball@studient.com</v>
      </c>
      <c r="U4085" s="6" t="str">
        <f>IFERROR(__xludf.DUMMYFUNCTION("""COMPUTED_VALUE"""),"6")</f>
        <v>6</v>
      </c>
      <c r="V4085" s="6" t="str">
        <f>IFERROR(__xludf.DUMMYFUNCTION("""COMPUTED_VALUE"""),"")</f>
        <v/>
      </c>
      <c r="W4085" s="6" t="str">
        <f>IFERROR(__xludf.DUMMYFUNCTION("""COMPUTED_VALUE"""),"[]")</f>
        <v>[]</v>
      </c>
      <c r="X4085" s="6" t="str">
        <f>IFERROR(__xludf.DUMMYFUNCTION("""COMPUTED_VALUE"""),"Enrolled")</f>
        <v>Enrolled</v>
      </c>
    </row>
    <row r="4086">
      <c r="A4086" s="6" t="str">
        <f>IFERROR(__xludf.DUMMYFUNCTION("""COMPUTED_VALUE"""),"079-10575")</f>
        <v>079-10575</v>
      </c>
      <c r="B4086" s="6" t="str">
        <f>IFERROR(__xludf.DUMMYFUNCTION("""COMPUTED_VALUE"""),"79")</f>
        <v>79</v>
      </c>
      <c r="C4086" s="6" t="str">
        <f>IFERROR(__xludf.DUMMYFUNCTION("""COMPUTED_VALUE"""),"10575")</f>
        <v>10575</v>
      </c>
      <c r="D4086" s="6" t="str">
        <f>IFERROR(__xludf.DUMMYFUNCTION("""COMPUTED_VALUE"""),"Janye")</f>
        <v>Janye</v>
      </c>
      <c r="E4086" s="6" t="str">
        <f>IFERROR(__xludf.DUMMYFUNCTION("""COMPUTED_VALUE"""),"")</f>
        <v/>
      </c>
      <c r="F4086" s="6" t="str">
        <f>IFERROR(__xludf.DUMMYFUNCTION("""COMPUTED_VALUE"""),"Williams")</f>
        <v>Williams</v>
      </c>
      <c r="G4086" s="6" t="str">
        <f>IFERROR(__xludf.DUMMYFUNCTION("""COMPUTED_VALUE"""),"04/25/2014")</f>
        <v>04/25/2014</v>
      </c>
      <c r="H4086" s="6" t="str">
        <f>IFERROR(__xludf.DUMMYFUNCTION("""COMPUTED_VALUE"""),"male")</f>
        <v>male</v>
      </c>
      <c r="I4086" s="6" t="str">
        <f>IFERROR(__xludf.DUMMYFUNCTION("""COMPUTED_VALUE"""),"Middle School")</f>
        <v>Middle School</v>
      </c>
      <c r="J4086" s="6" t="str">
        <f>IFERROR(__xludf.DUMMYFUNCTION("""COMPUTED_VALUE"""),"6")</f>
        <v>6</v>
      </c>
      <c r="K4086" s="6" t="str">
        <f>IFERROR(__xludf.DUMMYFUNCTION("""COMPUTED_VALUE"""),"janye.williams@2hourlearning.com")</f>
        <v>janye.williams@2hourlearning.com</v>
      </c>
      <c r="L4086" s="6" t="str">
        <f>IFERROR(__xludf.DUMMYFUNCTION("""COMPUTED_VALUE"""),"Metro Schools")</f>
        <v>Metro Schools</v>
      </c>
      <c r="M4086" s="6" t="str">
        <f>IFERROR(__xludf.DUMMYFUNCTION("""COMPUTED_VALUE"""),"")</f>
        <v/>
      </c>
      <c r="N4086" s="6" t="str">
        <f>IFERROR(__xludf.DUMMYFUNCTION("""COMPUTED_VALUE"""),"")</f>
        <v/>
      </c>
      <c r="O4086" s="87" t="str">
        <f>IFERROR(__xludf.DUMMYFUNCTION("""COMPUTED_VALUE"""),"https://drive.google.com/drive/folders/10T2cTQHqEJZqE-st6uFKPoI?usp=share_link")</f>
        <v>https://drive.google.com/drive/folders/10T2cTQHqEJZqE-st6uFKPoI?usp=share_link</v>
      </c>
      <c r="P4086" s="6" t="str">
        <f>IFERROR(__xludf.DUMMYFUNCTION("""COMPUTED_VALUE"""),"Janye Williams")</f>
        <v>Janye Williams</v>
      </c>
      <c r="Q4086" s="6" t="str">
        <f>IFERROR(__xludf.DUMMYFUNCTION("""COMPUTED_VALUE"""),"MS")</f>
        <v>MS</v>
      </c>
      <c r="R4086" s="6">
        <f>IFERROR(__xludf.DUMMYFUNCTION("""COMPUTED_VALUE"""),0.0)</f>
        <v>0</v>
      </c>
      <c r="S4086" s="6" t="str">
        <f>IFERROR(__xludf.DUMMYFUNCTION("""COMPUTED_VALUE"""),"Kimberly Ball")</f>
        <v>Kimberly Ball</v>
      </c>
      <c r="T4086" s="6" t="str">
        <f>IFERROR(__xludf.DUMMYFUNCTION("""COMPUTED_VALUE"""),"kimberly.ball@studient.com")</f>
        <v>kimberly.ball@studient.com</v>
      </c>
      <c r="U4086" s="6" t="str">
        <f>IFERROR(__xludf.DUMMYFUNCTION("""COMPUTED_VALUE"""),"6")</f>
        <v>6</v>
      </c>
      <c r="V4086" s="6" t="str">
        <f>IFERROR(__xludf.DUMMYFUNCTION("""COMPUTED_VALUE"""),"")</f>
        <v/>
      </c>
      <c r="W4086" s="6" t="str">
        <f>IFERROR(__xludf.DUMMYFUNCTION("""COMPUTED_VALUE"""),"[]")</f>
        <v>[]</v>
      </c>
      <c r="X4086" s="6" t="str">
        <f>IFERROR(__xludf.DUMMYFUNCTION("""COMPUTED_VALUE"""),"Enrolled")</f>
        <v>Enrolled</v>
      </c>
    </row>
    <row r="4087">
      <c r="A4087" s="6" t="str">
        <f>IFERROR(__xludf.DUMMYFUNCTION("""COMPUTED_VALUE"""),"079-10576")</f>
        <v>079-10576</v>
      </c>
      <c r="B4087" s="6" t="str">
        <f>IFERROR(__xludf.DUMMYFUNCTION("""COMPUTED_VALUE"""),"79")</f>
        <v>79</v>
      </c>
      <c r="C4087" s="6" t="str">
        <f>IFERROR(__xludf.DUMMYFUNCTION("""COMPUTED_VALUE"""),"10576")</f>
        <v>10576</v>
      </c>
      <c r="D4087" s="6" t="str">
        <f>IFERROR(__xludf.DUMMYFUNCTION("""COMPUTED_VALUE"""),"Caden")</f>
        <v>Caden</v>
      </c>
      <c r="E4087" s="6" t="str">
        <f>IFERROR(__xludf.DUMMYFUNCTION("""COMPUTED_VALUE"""),"")</f>
        <v/>
      </c>
      <c r="F4087" s="6" t="str">
        <f>IFERROR(__xludf.DUMMYFUNCTION("""COMPUTED_VALUE"""),"Garin")</f>
        <v>Garin</v>
      </c>
      <c r="G4087" s="6" t="str">
        <f>IFERROR(__xludf.DUMMYFUNCTION("""COMPUTED_VALUE"""),"03/21/2013")</f>
        <v>03/21/2013</v>
      </c>
      <c r="H4087" s="6" t="str">
        <f>IFERROR(__xludf.DUMMYFUNCTION("""COMPUTED_VALUE"""),"male")</f>
        <v>male</v>
      </c>
      <c r="I4087" s="6" t="str">
        <f>IFERROR(__xludf.DUMMYFUNCTION("""COMPUTED_VALUE"""),"Middle School")</f>
        <v>Middle School</v>
      </c>
      <c r="J4087" s="6" t="str">
        <f>IFERROR(__xludf.DUMMYFUNCTION("""COMPUTED_VALUE"""),"7")</f>
        <v>7</v>
      </c>
      <c r="K4087" s="6" t="str">
        <f>IFERROR(__xludf.DUMMYFUNCTION("""COMPUTED_VALUE"""),"caden.garin@2hourlearning.com")</f>
        <v>caden.garin@2hourlearning.com</v>
      </c>
      <c r="L4087" s="6" t="str">
        <f>IFERROR(__xludf.DUMMYFUNCTION("""COMPUTED_VALUE"""),"Metro Schools")</f>
        <v>Metro Schools</v>
      </c>
      <c r="M4087" s="6" t="str">
        <f>IFERROR(__xludf.DUMMYFUNCTION("""COMPUTED_VALUE"""),"")</f>
        <v/>
      </c>
      <c r="N4087" s="6" t="str">
        <f>IFERROR(__xludf.DUMMYFUNCTION("""COMPUTED_VALUE"""),"")</f>
        <v/>
      </c>
      <c r="O4087" s="87" t="str">
        <f>IFERROR(__xludf.DUMMYFUNCTION("""COMPUTED_VALUE"""),"https://drive.google.com/drive/folders/10T2cTQHqEJZqE-st6uFKPoI?usp=share_link")</f>
        <v>https://drive.google.com/drive/folders/10T2cTQHqEJZqE-st6uFKPoI?usp=share_link</v>
      </c>
      <c r="P4087" s="6" t="str">
        <f>IFERROR(__xludf.DUMMYFUNCTION("""COMPUTED_VALUE"""),"Caden Garin")</f>
        <v>Caden Garin</v>
      </c>
      <c r="Q4087" s="6" t="str">
        <f>IFERROR(__xludf.DUMMYFUNCTION("""COMPUTED_VALUE"""),"MS")</f>
        <v>MS</v>
      </c>
      <c r="R4087" s="6">
        <f>IFERROR(__xludf.DUMMYFUNCTION("""COMPUTED_VALUE"""),0.0)</f>
        <v>0</v>
      </c>
      <c r="S4087" s="6" t="str">
        <f>IFERROR(__xludf.DUMMYFUNCTION("""COMPUTED_VALUE"""),"Kimberly Ball")</f>
        <v>Kimberly Ball</v>
      </c>
      <c r="T4087" s="6" t="str">
        <f>IFERROR(__xludf.DUMMYFUNCTION("""COMPUTED_VALUE"""),"kimberly.ball@studient.com")</f>
        <v>kimberly.ball@studient.com</v>
      </c>
      <c r="U4087" s="6" t="str">
        <f>IFERROR(__xludf.DUMMYFUNCTION("""COMPUTED_VALUE"""),"7")</f>
        <v>7</v>
      </c>
      <c r="V4087" s="6" t="str">
        <f>IFERROR(__xludf.DUMMYFUNCTION("""COMPUTED_VALUE"""),"")</f>
        <v/>
      </c>
      <c r="W4087" s="6" t="str">
        <f>IFERROR(__xludf.DUMMYFUNCTION("""COMPUTED_VALUE"""),"[]")</f>
        <v>[]</v>
      </c>
      <c r="X4087" s="6" t="str">
        <f>IFERROR(__xludf.DUMMYFUNCTION("""COMPUTED_VALUE"""),"Enrolled")</f>
        <v>Enrolled</v>
      </c>
    </row>
    <row r="4088">
      <c r="A4088" s="6" t="str">
        <f>IFERROR(__xludf.DUMMYFUNCTION("""COMPUTED_VALUE"""),"079-10577")</f>
        <v>079-10577</v>
      </c>
      <c r="B4088" s="6" t="str">
        <f>IFERROR(__xludf.DUMMYFUNCTION("""COMPUTED_VALUE"""),"79")</f>
        <v>79</v>
      </c>
      <c r="C4088" s="6" t="str">
        <f>IFERROR(__xludf.DUMMYFUNCTION("""COMPUTED_VALUE"""),"10577")</f>
        <v>10577</v>
      </c>
      <c r="D4088" s="6" t="str">
        <f>IFERROR(__xludf.DUMMYFUNCTION("""COMPUTED_VALUE"""),"Vivan")</f>
        <v>Vivan</v>
      </c>
      <c r="E4088" s="6" t="str">
        <f>IFERROR(__xludf.DUMMYFUNCTION("""COMPUTED_VALUE"""),"")</f>
        <v/>
      </c>
      <c r="F4088" s="6" t="str">
        <f>IFERROR(__xludf.DUMMYFUNCTION("""COMPUTED_VALUE"""),"Jarvis")</f>
        <v>Jarvis</v>
      </c>
      <c r="G4088" s="6" t="str">
        <f>IFERROR(__xludf.DUMMYFUNCTION("""COMPUTED_VALUE"""),"03/08/2014")</f>
        <v>03/08/2014</v>
      </c>
      <c r="H4088" s="6" t="str">
        <f>IFERROR(__xludf.DUMMYFUNCTION("""COMPUTED_VALUE"""),"female")</f>
        <v>female</v>
      </c>
      <c r="I4088" s="6" t="str">
        <f>IFERROR(__xludf.DUMMYFUNCTION("""COMPUTED_VALUE"""),"Middle School")</f>
        <v>Middle School</v>
      </c>
      <c r="J4088" s="6" t="str">
        <f>IFERROR(__xludf.DUMMYFUNCTION("""COMPUTED_VALUE"""),"6")</f>
        <v>6</v>
      </c>
      <c r="K4088" s="6" t="str">
        <f>IFERROR(__xludf.DUMMYFUNCTION("""COMPUTED_VALUE"""),"vivan.jarvis@2hourlearning.com")</f>
        <v>vivan.jarvis@2hourlearning.com</v>
      </c>
      <c r="L4088" s="6" t="str">
        <f>IFERROR(__xludf.DUMMYFUNCTION("""COMPUTED_VALUE"""),"Metro Schools")</f>
        <v>Metro Schools</v>
      </c>
      <c r="M4088" s="6" t="str">
        <f>IFERROR(__xludf.DUMMYFUNCTION("""COMPUTED_VALUE"""),"")</f>
        <v/>
      </c>
      <c r="N4088" s="6" t="str">
        <f>IFERROR(__xludf.DUMMYFUNCTION("""COMPUTED_VALUE"""),"")</f>
        <v/>
      </c>
      <c r="O4088" s="87" t="str">
        <f>IFERROR(__xludf.DUMMYFUNCTION("""COMPUTED_VALUE"""),"https://drive.google.com/drive/folders/10T2cTQHqEJZqE-st6uFKPoI?usp=share_link")</f>
        <v>https://drive.google.com/drive/folders/10T2cTQHqEJZqE-st6uFKPoI?usp=share_link</v>
      </c>
      <c r="P4088" s="6" t="str">
        <f>IFERROR(__xludf.DUMMYFUNCTION("""COMPUTED_VALUE"""),"Vivan Jarvis")</f>
        <v>Vivan Jarvis</v>
      </c>
      <c r="Q4088" s="6" t="str">
        <f>IFERROR(__xludf.DUMMYFUNCTION("""COMPUTED_VALUE"""),"MS")</f>
        <v>MS</v>
      </c>
      <c r="R4088" s="6">
        <f>IFERROR(__xludf.DUMMYFUNCTION("""COMPUTED_VALUE"""),0.0)</f>
        <v>0</v>
      </c>
      <c r="S4088" s="6" t="str">
        <f>IFERROR(__xludf.DUMMYFUNCTION("""COMPUTED_VALUE"""),"Kimberly Ball")</f>
        <v>Kimberly Ball</v>
      </c>
      <c r="T4088" s="6" t="str">
        <f>IFERROR(__xludf.DUMMYFUNCTION("""COMPUTED_VALUE"""),"kimberly.ball@studient.com")</f>
        <v>kimberly.ball@studient.com</v>
      </c>
      <c r="U4088" s="6" t="str">
        <f>IFERROR(__xludf.DUMMYFUNCTION("""COMPUTED_VALUE"""),"6")</f>
        <v>6</v>
      </c>
      <c r="V4088" s="6" t="str">
        <f>IFERROR(__xludf.DUMMYFUNCTION("""COMPUTED_VALUE"""),"")</f>
        <v/>
      </c>
      <c r="W4088" s="6" t="str">
        <f>IFERROR(__xludf.DUMMYFUNCTION("""COMPUTED_VALUE"""),"[]")</f>
        <v>[]</v>
      </c>
      <c r="X4088" s="6" t="str">
        <f>IFERROR(__xludf.DUMMYFUNCTION("""COMPUTED_VALUE"""),"Enrolled")</f>
        <v>Enrolled</v>
      </c>
    </row>
    <row r="4089">
      <c r="A4089" s="6" t="str">
        <f>IFERROR(__xludf.DUMMYFUNCTION("""COMPUTED_VALUE"""),"079-10578")</f>
        <v>079-10578</v>
      </c>
      <c r="B4089" s="6" t="str">
        <f>IFERROR(__xludf.DUMMYFUNCTION("""COMPUTED_VALUE"""),"79")</f>
        <v>79</v>
      </c>
      <c r="C4089" s="6" t="str">
        <f>IFERROR(__xludf.DUMMYFUNCTION("""COMPUTED_VALUE"""),"10578")</f>
        <v>10578</v>
      </c>
      <c r="D4089" s="6" t="str">
        <f>IFERROR(__xludf.DUMMYFUNCTION("""COMPUTED_VALUE"""),"Jorden")</f>
        <v>Jorden</v>
      </c>
      <c r="E4089" s="6" t="str">
        <f>IFERROR(__xludf.DUMMYFUNCTION("""COMPUTED_VALUE"""),"")</f>
        <v/>
      </c>
      <c r="F4089" s="6" t="str">
        <f>IFERROR(__xludf.DUMMYFUNCTION("""COMPUTED_VALUE"""),"Gaines")</f>
        <v>Gaines</v>
      </c>
      <c r="G4089" s="6" t="str">
        <f>IFERROR(__xludf.DUMMYFUNCTION("""COMPUTED_VALUE"""),"08/15/2014")</f>
        <v>08/15/2014</v>
      </c>
      <c r="H4089" s="6" t="str">
        <f>IFERROR(__xludf.DUMMYFUNCTION("""COMPUTED_VALUE"""),"male")</f>
        <v>male</v>
      </c>
      <c r="I4089" s="6" t="str">
        <f>IFERROR(__xludf.DUMMYFUNCTION("""COMPUTED_VALUE"""),"Middle School")</f>
        <v>Middle School</v>
      </c>
      <c r="J4089" s="6" t="str">
        <f>IFERROR(__xludf.DUMMYFUNCTION("""COMPUTED_VALUE"""),"6")</f>
        <v>6</v>
      </c>
      <c r="K4089" s="6" t="str">
        <f>IFERROR(__xludf.DUMMYFUNCTION("""COMPUTED_VALUE"""),"jorden.gaines@2hourlearning.com")</f>
        <v>jorden.gaines@2hourlearning.com</v>
      </c>
      <c r="L4089" s="6" t="str">
        <f>IFERROR(__xludf.DUMMYFUNCTION("""COMPUTED_VALUE"""),"Metro Schools")</f>
        <v>Metro Schools</v>
      </c>
      <c r="M4089" s="6" t="str">
        <f>IFERROR(__xludf.DUMMYFUNCTION("""COMPUTED_VALUE"""),"")</f>
        <v/>
      </c>
      <c r="N4089" s="6" t="str">
        <f>IFERROR(__xludf.DUMMYFUNCTION("""COMPUTED_VALUE"""),"")</f>
        <v/>
      </c>
      <c r="O4089" s="87" t="str">
        <f>IFERROR(__xludf.DUMMYFUNCTION("""COMPUTED_VALUE"""),"https://drive.google.com/drive/folders/10T2cTQHqEJZqE-st6uFKPoI?usp=share_link")</f>
        <v>https://drive.google.com/drive/folders/10T2cTQHqEJZqE-st6uFKPoI?usp=share_link</v>
      </c>
      <c r="P4089" s="6" t="str">
        <f>IFERROR(__xludf.DUMMYFUNCTION("""COMPUTED_VALUE"""),"Jorden Gaines")</f>
        <v>Jorden Gaines</v>
      </c>
      <c r="Q4089" s="6" t="str">
        <f>IFERROR(__xludf.DUMMYFUNCTION("""COMPUTED_VALUE"""),"MS")</f>
        <v>MS</v>
      </c>
      <c r="R4089" s="6">
        <f>IFERROR(__xludf.DUMMYFUNCTION("""COMPUTED_VALUE"""),0.0)</f>
        <v>0</v>
      </c>
      <c r="S4089" s="6" t="str">
        <f>IFERROR(__xludf.DUMMYFUNCTION("""COMPUTED_VALUE"""),"Kimberly Ball")</f>
        <v>Kimberly Ball</v>
      </c>
      <c r="T4089" s="6" t="str">
        <f>IFERROR(__xludf.DUMMYFUNCTION("""COMPUTED_VALUE"""),"kimberly.ball@studient.com")</f>
        <v>kimberly.ball@studient.com</v>
      </c>
      <c r="U4089" s="6" t="str">
        <f>IFERROR(__xludf.DUMMYFUNCTION("""COMPUTED_VALUE"""),"6")</f>
        <v>6</v>
      </c>
      <c r="V4089" s="6" t="str">
        <f>IFERROR(__xludf.DUMMYFUNCTION("""COMPUTED_VALUE"""),"")</f>
        <v/>
      </c>
      <c r="W4089" s="6" t="str">
        <f>IFERROR(__xludf.DUMMYFUNCTION("""COMPUTED_VALUE"""),"[]")</f>
        <v>[]</v>
      </c>
      <c r="X4089" s="6" t="str">
        <f>IFERROR(__xludf.DUMMYFUNCTION("""COMPUTED_VALUE"""),"Enrolled")</f>
        <v>Enrolled</v>
      </c>
    </row>
    <row r="4090">
      <c r="A4090" s="6" t="str">
        <f>IFERROR(__xludf.DUMMYFUNCTION("""COMPUTED_VALUE"""),"079-10579")</f>
        <v>079-10579</v>
      </c>
      <c r="B4090" s="6" t="str">
        <f>IFERROR(__xludf.DUMMYFUNCTION("""COMPUTED_VALUE"""),"79")</f>
        <v>79</v>
      </c>
      <c r="C4090" s="6" t="str">
        <f>IFERROR(__xludf.DUMMYFUNCTION("""COMPUTED_VALUE"""),"10579")</f>
        <v>10579</v>
      </c>
      <c r="D4090" s="6" t="str">
        <f>IFERROR(__xludf.DUMMYFUNCTION("""COMPUTED_VALUE"""),"Elias")</f>
        <v>Elias</v>
      </c>
      <c r="E4090" s="6" t="str">
        <f>IFERROR(__xludf.DUMMYFUNCTION("""COMPUTED_VALUE"""),"")</f>
        <v/>
      </c>
      <c r="F4090" s="6" t="str">
        <f>IFERROR(__xludf.DUMMYFUNCTION("""COMPUTED_VALUE"""),"Jackson")</f>
        <v>Jackson</v>
      </c>
      <c r="G4090" s="6" t="str">
        <f>IFERROR(__xludf.DUMMYFUNCTION("""COMPUTED_VALUE"""),"05/28/2014")</f>
        <v>05/28/2014</v>
      </c>
      <c r="H4090" s="6" t="str">
        <f>IFERROR(__xludf.DUMMYFUNCTION("""COMPUTED_VALUE"""),"male")</f>
        <v>male</v>
      </c>
      <c r="I4090" s="6" t="str">
        <f>IFERROR(__xludf.DUMMYFUNCTION("""COMPUTED_VALUE"""),"Middle School")</f>
        <v>Middle School</v>
      </c>
      <c r="J4090" s="6" t="str">
        <f>IFERROR(__xludf.DUMMYFUNCTION("""COMPUTED_VALUE"""),"6")</f>
        <v>6</v>
      </c>
      <c r="K4090" s="6" t="str">
        <f>IFERROR(__xludf.DUMMYFUNCTION("""COMPUTED_VALUE"""),"elias.jackson@2hourlearning.com")</f>
        <v>elias.jackson@2hourlearning.com</v>
      </c>
      <c r="L4090" s="6" t="str">
        <f>IFERROR(__xludf.DUMMYFUNCTION("""COMPUTED_VALUE"""),"Metro Schools")</f>
        <v>Metro Schools</v>
      </c>
      <c r="M4090" s="6" t="str">
        <f>IFERROR(__xludf.DUMMYFUNCTION("""COMPUTED_VALUE"""),"")</f>
        <v/>
      </c>
      <c r="N4090" s="6" t="str">
        <f>IFERROR(__xludf.DUMMYFUNCTION("""COMPUTED_VALUE"""),"")</f>
        <v/>
      </c>
      <c r="O4090" s="87" t="str">
        <f>IFERROR(__xludf.DUMMYFUNCTION("""COMPUTED_VALUE"""),"https://drive.google.com/drive/folders/10T2cTQHqEJZqE-st6uFKPoI?usp=share_link")</f>
        <v>https://drive.google.com/drive/folders/10T2cTQHqEJZqE-st6uFKPoI?usp=share_link</v>
      </c>
      <c r="P4090" s="6" t="str">
        <f>IFERROR(__xludf.DUMMYFUNCTION("""COMPUTED_VALUE"""),"Elias Jackson")</f>
        <v>Elias Jackson</v>
      </c>
      <c r="Q4090" s="6" t="str">
        <f>IFERROR(__xludf.DUMMYFUNCTION("""COMPUTED_VALUE"""),"MS")</f>
        <v>MS</v>
      </c>
      <c r="R4090" s="6">
        <f>IFERROR(__xludf.DUMMYFUNCTION("""COMPUTED_VALUE"""),0.0)</f>
        <v>0</v>
      </c>
      <c r="S4090" s="6" t="str">
        <f>IFERROR(__xludf.DUMMYFUNCTION("""COMPUTED_VALUE"""),"Kimberly Ball")</f>
        <v>Kimberly Ball</v>
      </c>
      <c r="T4090" s="6" t="str">
        <f>IFERROR(__xludf.DUMMYFUNCTION("""COMPUTED_VALUE"""),"kimberly.ball@studient.com")</f>
        <v>kimberly.ball@studient.com</v>
      </c>
      <c r="U4090" s="6" t="str">
        <f>IFERROR(__xludf.DUMMYFUNCTION("""COMPUTED_VALUE"""),"6")</f>
        <v>6</v>
      </c>
      <c r="V4090" s="6" t="str">
        <f>IFERROR(__xludf.DUMMYFUNCTION("""COMPUTED_VALUE"""),"")</f>
        <v/>
      </c>
      <c r="W4090" s="6" t="str">
        <f>IFERROR(__xludf.DUMMYFUNCTION("""COMPUTED_VALUE"""),"[]")</f>
        <v>[]</v>
      </c>
      <c r="X4090" s="6" t="str">
        <f>IFERROR(__xludf.DUMMYFUNCTION("""COMPUTED_VALUE"""),"Enrolled")</f>
        <v>Enrolled</v>
      </c>
    </row>
    <row r="4091">
      <c r="A4091" s="6" t="str">
        <f>IFERROR(__xludf.DUMMYFUNCTION("""COMPUTED_VALUE"""),"079-10580")</f>
        <v>079-10580</v>
      </c>
      <c r="B4091" s="6" t="str">
        <f>IFERROR(__xludf.DUMMYFUNCTION("""COMPUTED_VALUE"""),"79")</f>
        <v>79</v>
      </c>
      <c r="C4091" s="6" t="str">
        <f>IFERROR(__xludf.DUMMYFUNCTION("""COMPUTED_VALUE"""),"10580")</f>
        <v>10580</v>
      </c>
      <c r="D4091" s="6" t="str">
        <f>IFERROR(__xludf.DUMMYFUNCTION("""COMPUTED_VALUE"""),"Shamiya")</f>
        <v>Shamiya</v>
      </c>
      <c r="E4091" s="6" t="str">
        <f>IFERROR(__xludf.DUMMYFUNCTION("""COMPUTED_VALUE"""),"")</f>
        <v/>
      </c>
      <c r="F4091" s="6" t="str">
        <f>IFERROR(__xludf.DUMMYFUNCTION("""COMPUTED_VALUE"""),"West")</f>
        <v>West</v>
      </c>
      <c r="G4091" s="6" t="str">
        <f>IFERROR(__xludf.DUMMYFUNCTION("""COMPUTED_VALUE"""),"07/18/2013")</f>
        <v>07/18/2013</v>
      </c>
      <c r="H4091" s="6" t="str">
        <f>IFERROR(__xludf.DUMMYFUNCTION("""COMPUTED_VALUE"""),"female")</f>
        <v>female</v>
      </c>
      <c r="I4091" s="6" t="str">
        <f>IFERROR(__xludf.DUMMYFUNCTION("""COMPUTED_VALUE"""),"Middle School")</f>
        <v>Middle School</v>
      </c>
      <c r="J4091" s="6" t="str">
        <f>IFERROR(__xludf.DUMMYFUNCTION("""COMPUTED_VALUE"""),"6")</f>
        <v>6</v>
      </c>
      <c r="K4091" s="6" t="str">
        <f>IFERROR(__xludf.DUMMYFUNCTION("""COMPUTED_VALUE"""),"shamiya.west@2hourlearning.com")</f>
        <v>shamiya.west@2hourlearning.com</v>
      </c>
      <c r="L4091" s="6" t="str">
        <f>IFERROR(__xludf.DUMMYFUNCTION("""COMPUTED_VALUE"""),"Metro Schools")</f>
        <v>Metro Schools</v>
      </c>
      <c r="M4091" s="6" t="str">
        <f>IFERROR(__xludf.DUMMYFUNCTION("""COMPUTED_VALUE"""),"")</f>
        <v/>
      </c>
      <c r="N4091" s="6" t="str">
        <f>IFERROR(__xludf.DUMMYFUNCTION("""COMPUTED_VALUE"""),"")</f>
        <v/>
      </c>
      <c r="O4091" s="87" t="str">
        <f>IFERROR(__xludf.DUMMYFUNCTION("""COMPUTED_VALUE"""),"https://drive.google.com/drive/folders/10T2cTQHqEJZqE-st6uFKPoI?usp=share_link")</f>
        <v>https://drive.google.com/drive/folders/10T2cTQHqEJZqE-st6uFKPoI?usp=share_link</v>
      </c>
      <c r="P4091" s="6" t="str">
        <f>IFERROR(__xludf.DUMMYFUNCTION("""COMPUTED_VALUE"""),"Shamiya West")</f>
        <v>Shamiya West</v>
      </c>
      <c r="Q4091" s="6" t="str">
        <f>IFERROR(__xludf.DUMMYFUNCTION("""COMPUTED_VALUE"""),"MS")</f>
        <v>MS</v>
      </c>
      <c r="R4091" s="6">
        <f>IFERROR(__xludf.DUMMYFUNCTION("""COMPUTED_VALUE"""),0.0)</f>
        <v>0</v>
      </c>
      <c r="S4091" s="6" t="str">
        <f>IFERROR(__xludf.DUMMYFUNCTION("""COMPUTED_VALUE"""),"Kimberly Ball")</f>
        <v>Kimberly Ball</v>
      </c>
      <c r="T4091" s="6" t="str">
        <f>IFERROR(__xludf.DUMMYFUNCTION("""COMPUTED_VALUE"""),"kimberly.ball@studient.com")</f>
        <v>kimberly.ball@studient.com</v>
      </c>
      <c r="U4091" s="6" t="str">
        <f>IFERROR(__xludf.DUMMYFUNCTION("""COMPUTED_VALUE"""),"6")</f>
        <v>6</v>
      </c>
      <c r="V4091" s="6" t="str">
        <f>IFERROR(__xludf.DUMMYFUNCTION("""COMPUTED_VALUE"""),"")</f>
        <v/>
      </c>
      <c r="W4091" s="6" t="str">
        <f>IFERROR(__xludf.DUMMYFUNCTION("""COMPUTED_VALUE"""),"[]")</f>
        <v>[]</v>
      </c>
      <c r="X4091" s="6" t="str">
        <f>IFERROR(__xludf.DUMMYFUNCTION("""COMPUTED_VALUE"""),"Enrolled")</f>
        <v>Enrolled</v>
      </c>
    </row>
    <row r="4092">
      <c r="A4092" s="6" t="str">
        <f>IFERROR(__xludf.DUMMYFUNCTION("""COMPUTED_VALUE"""),"079-10581")</f>
        <v>079-10581</v>
      </c>
      <c r="B4092" s="6" t="str">
        <f>IFERROR(__xludf.DUMMYFUNCTION("""COMPUTED_VALUE"""),"79")</f>
        <v>79</v>
      </c>
      <c r="C4092" s="6" t="str">
        <f>IFERROR(__xludf.DUMMYFUNCTION("""COMPUTED_VALUE"""),"10581")</f>
        <v>10581</v>
      </c>
      <c r="D4092" s="6" t="str">
        <f>IFERROR(__xludf.DUMMYFUNCTION("""COMPUTED_VALUE"""),"Mohammad")</f>
        <v>Mohammad</v>
      </c>
      <c r="E4092" s="6" t="str">
        <f>IFERROR(__xludf.DUMMYFUNCTION("""COMPUTED_VALUE"""),"")</f>
        <v/>
      </c>
      <c r="F4092" s="6" t="str">
        <f>IFERROR(__xludf.DUMMYFUNCTION("""COMPUTED_VALUE"""),"Siddiqui")</f>
        <v>Siddiqui</v>
      </c>
      <c r="G4092" s="6" t="str">
        <f>IFERROR(__xludf.DUMMYFUNCTION("""COMPUTED_VALUE"""),"08/17/2014")</f>
        <v>08/17/2014</v>
      </c>
      <c r="H4092" s="6" t="str">
        <f>IFERROR(__xludf.DUMMYFUNCTION("""COMPUTED_VALUE"""),"male")</f>
        <v>male</v>
      </c>
      <c r="I4092" s="6" t="str">
        <f>IFERROR(__xludf.DUMMYFUNCTION("""COMPUTED_VALUE"""),"Middle School")</f>
        <v>Middle School</v>
      </c>
      <c r="J4092" s="6" t="str">
        <f>IFERROR(__xludf.DUMMYFUNCTION("""COMPUTED_VALUE"""),"6")</f>
        <v>6</v>
      </c>
      <c r="K4092" s="6" t="str">
        <f>IFERROR(__xludf.DUMMYFUNCTION("""COMPUTED_VALUE"""),"mohammad.siddiqui@2hourlearning.com")</f>
        <v>mohammad.siddiqui@2hourlearning.com</v>
      </c>
      <c r="L4092" s="6" t="str">
        <f>IFERROR(__xludf.DUMMYFUNCTION("""COMPUTED_VALUE"""),"Metro Schools")</f>
        <v>Metro Schools</v>
      </c>
      <c r="M4092" s="6" t="str">
        <f>IFERROR(__xludf.DUMMYFUNCTION("""COMPUTED_VALUE"""),"")</f>
        <v/>
      </c>
      <c r="N4092" s="6" t="str">
        <f>IFERROR(__xludf.DUMMYFUNCTION("""COMPUTED_VALUE"""),"")</f>
        <v/>
      </c>
      <c r="O4092" s="87" t="str">
        <f>IFERROR(__xludf.DUMMYFUNCTION("""COMPUTED_VALUE"""),"https://drive.google.com/drive/folders/10T2cTQHqEJZqE-st6uFKPoI?usp=share_link")</f>
        <v>https://drive.google.com/drive/folders/10T2cTQHqEJZqE-st6uFKPoI?usp=share_link</v>
      </c>
      <c r="P4092" s="6" t="str">
        <f>IFERROR(__xludf.DUMMYFUNCTION("""COMPUTED_VALUE"""),"Mohammad Siddiqui")</f>
        <v>Mohammad Siddiqui</v>
      </c>
      <c r="Q4092" s="6" t="str">
        <f>IFERROR(__xludf.DUMMYFUNCTION("""COMPUTED_VALUE"""),"MS")</f>
        <v>MS</v>
      </c>
      <c r="R4092" s="6">
        <f>IFERROR(__xludf.DUMMYFUNCTION("""COMPUTED_VALUE"""),0.0)</f>
        <v>0</v>
      </c>
      <c r="S4092" s="6" t="str">
        <f>IFERROR(__xludf.DUMMYFUNCTION("""COMPUTED_VALUE"""),"Kimberly Ball")</f>
        <v>Kimberly Ball</v>
      </c>
      <c r="T4092" s="6" t="str">
        <f>IFERROR(__xludf.DUMMYFUNCTION("""COMPUTED_VALUE"""),"kimberly.ball@studient.com")</f>
        <v>kimberly.ball@studient.com</v>
      </c>
      <c r="U4092" s="6" t="str">
        <f>IFERROR(__xludf.DUMMYFUNCTION("""COMPUTED_VALUE"""),"6")</f>
        <v>6</v>
      </c>
      <c r="V4092" s="6" t="str">
        <f>IFERROR(__xludf.DUMMYFUNCTION("""COMPUTED_VALUE"""),"")</f>
        <v/>
      </c>
      <c r="W4092" s="6" t="str">
        <f>IFERROR(__xludf.DUMMYFUNCTION("""COMPUTED_VALUE"""),"[]")</f>
        <v>[]</v>
      </c>
      <c r="X4092" s="6" t="str">
        <f>IFERROR(__xludf.DUMMYFUNCTION("""COMPUTED_VALUE"""),"Enrolled")</f>
        <v>Enrolled</v>
      </c>
    </row>
    <row r="4093">
      <c r="A4093" s="6" t="str">
        <f>IFERROR(__xludf.DUMMYFUNCTION("""COMPUTED_VALUE"""),"079-10582")</f>
        <v>079-10582</v>
      </c>
      <c r="B4093" s="6" t="str">
        <f>IFERROR(__xludf.DUMMYFUNCTION("""COMPUTED_VALUE"""),"79")</f>
        <v>79</v>
      </c>
      <c r="C4093" s="6" t="str">
        <f>IFERROR(__xludf.DUMMYFUNCTION("""COMPUTED_VALUE"""),"10582")</f>
        <v>10582</v>
      </c>
      <c r="D4093" s="6" t="str">
        <f>IFERROR(__xludf.DUMMYFUNCTION("""COMPUTED_VALUE"""),"Ijal")</f>
        <v>Ijal</v>
      </c>
      <c r="E4093" s="6" t="str">
        <f>IFERROR(__xludf.DUMMYFUNCTION("""COMPUTED_VALUE"""),"")</f>
        <v/>
      </c>
      <c r="F4093" s="6" t="str">
        <f>IFERROR(__xludf.DUMMYFUNCTION("""COMPUTED_VALUE"""),"Siyad")</f>
        <v>Siyad</v>
      </c>
      <c r="G4093" s="6" t="str">
        <f>IFERROR(__xludf.DUMMYFUNCTION("""COMPUTED_VALUE"""),"05/13/2014")</f>
        <v>05/13/2014</v>
      </c>
      <c r="H4093" s="6" t="str">
        <f>IFERROR(__xludf.DUMMYFUNCTION("""COMPUTED_VALUE"""),"female")</f>
        <v>female</v>
      </c>
      <c r="I4093" s="6" t="str">
        <f>IFERROR(__xludf.DUMMYFUNCTION("""COMPUTED_VALUE"""),"Middle School")</f>
        <v>Middle School</v>
      </c>
      <c r="J4093" s="6" t="str">
        <f>IFERROR(__xludf.DUMMYFUNCTION("""COMPUTED_VALUE"""),"6")</f>
        <v>6</v>
      </c>
      <c r="K4093" s="6" t="str">
        <f>IFERROR(__xludf.DUMMYFUNCTION("""COMPUTED_VALUE"""),"ijal.siyad@2hourlearning.com")</f>
        <v>ijal.siyad@2hourlearning.com</v>
      </c>
      <c r="L4093" s="6" t="str">
        <f>IFERROR(__xludf.DUMMYFUNCTION("""COMPUTED_VALUE"""),"Metro Schools")</f>
        <v>Metro Schools</v>
      </c>
      <c r="M4093" s="6" t="str">
        <f>IFERROR(__xludf.DUMMYFUNCTION("""COMPUTED_VALUE"""),"")</f>
        <v/>
      </c>
      <c r="N4093" s="6" t="str">
        <f>IFERROR(__xludf.DUMMYFUNCTION("""COMPUTED_VALUE"""),"")</f>
        <v/>
      </c>
      <c r="O4093" s="87" t="str">
        <f>IFERROR(__xludf.DUMMYFUNCTION("""COMPUTED_VALUE"""),"https://drive.google.com/drive/folders/10T2cTQHqEJZqE-st6uFKPoI?usp=share_link")</f>
        <v>https://drive.google.com/drive/folders/10T2cTQHqEJZqE-st6uFKPoI?usp=share_link</v>
      </c>
      <c r="P4093" s="6" t="str">
        <f>IFERROR(__xludf.DUMMYFUNCTION("""COMPUTED_VALUE"""),"Ijal Siyad")</f>
        <v>Ijal Siyad</v>
      </c>
      <c r="Q4093" s="6" t="str">
        <f>IFERROR(__xludf.DUMMYFUNCTION("""COMPUTED_VALUE"""),"MS")</f>
        <v>MS</v>
      </c>
      <c r="R4093" s="6">
        <f>IFERROR(__xludf.DUMMYFUNCTION("""COMPUTED_VALUE"""),0.0)</f>
        <v>0</v>
      </c>
      <c r="S4093" s="6" t="str">
        <f>IFERROR(__xludf.DUMMYFUNCTION("""COMPUTED_VALUE"""),"Kimberly Ball")</f>
        <v>Kimberly Ball</v>
      </c>
      <c r="T4093" s="6" t="str">
        <f>IFERROR(__xludf.DUMMYFUNCTION("""COMPUTED_VALUE"""),"kimberly.ball@studient.com")</f>
        <v>kimberly.ball@studient.com</v>
      </c>
      <c r="U4093" s="6" t="str">
        <f>IFERROR(__xludf.DUMMYFUNCTION("""COMPUTED_VALUE"""),"6")</f>
        <v>6</v>
      </c>
      <c r="V4093" s="6" t="str">
        <f>IFERROR(__xludf.DUMMYFUNCTION("""COMPUTED_VALUE"""),"")</f>
        <v/>
      </c>
      <c r="W4093" s="6" t="str">
        <f>IFERROR(__xludf.DUMMYFUNCTION("""COMPUTED_VALUE"""),"[]")</f>
        <v>[]</v>
      </c>
      <c r="X4093" s="6" t="str">
        <f>IFERROR(__xludf.DUMMYFUNCTION("""COMPUTED_VALUE"""),"Enrolled")</f>
        <v>Enrolled</v>
      </c>
    </row>
    <row r="4094">
      <c r="A4094" s="6" t="str">
        <f>IFERROR(__xludf.DUMMYFUNCTION("""COMPUTED_VALUE"""),"079-10583")</f>
        <v>079-10583</v>
      </c>
      <c r="B4094" s="6" t="str">
        <f>IFERROR(__xludf.DUMMYFUNCTION("""COMPUTED_VALUE"""),"79")</f>
        <v>79</v>
      </c>
      <c r="C4094" s="6" t="str">
        <f>IFERROR(__xludf.DUMMYFUNCTION("""COMPUTED_VALUE"""),"10583")</f>
        <v>10583</v>
      </c>
      <c r="D4094" s="6" t="str">
        <f>IFERROR(__xludf.DUMMYFUNCTION("""COMPUTED_VALUE"""),"Yusuf")</f>
        <v>Yusuf</v>
      </c>
      <c r="E4094" s="6" t="str">
        <f>IFERROR(__xludf.DUMMYFUNCTION("""COMPUTED_VALUE"""),"")</f>
        <v/>
      </c>
      <c r="F4094" s="6" t="str">
        <f>IFERROR(__xludf.DUMMYFUNCTION("""COMPUTED_VALUE"""),"Abdel-Rahman")</f>
        <v>Abdel-Rahman</v>
      </c>
      <c r="G4094" s="6" t="str">
        <f>IFERROR(__xludf.DUMMYFUNCTION("""COMPUTED_VALUE"""),"03/20/2014")</f>
        <v>03/20/2014</v>
      </c>
      <c r="H4094" s="6" t="str">
        <f>IFERROR(__xludf.DUMMYFUNCTION("""COMPUTED_VALUE"""),"male")</f>
        <v>male</v>
      </c>
      <c r="I4094" s="6" t="str">
        <f>IFERROR(__xludf.DUMMYFUNCTION("""COMPUTED_VALUE"""),"Middle School")</f>
        <v>Middle School</v>
      </c>
      <c r="J4094" s="6" t="str">
        <f>IFERROR(__xludf.DUMMYFUNCTION("""COMPUTED_VALUE"""),"6")</f>
        <v>6</v>
      </c>
      <c r="K4094" s="6" t="str">
        <f>IFERROR(__xludf.DUMMYFUNCTION("""COMPUTED_VALUE"""),"yusuf.abdel-rahman@2hourlearning.com")</f>
        <v>yusuf.abdel-rahman@2hourlearning.com</v>
      </c>
      <c r="L4094" s="6" t="str">
        <f>IFERROR(__xludf.DUMMYFUNCTION("""COMPUTED_VALUE"""),"Metro Schools")</f>
        <v>Metro Schools</v>
      </c>
      <c r="M4094" s="6" t="str">
        <f>IFERROR(__xludf.DUMMYFUNCTION("""COMPUTED_VALUE"""),"")</f>
        <v/>
      </c>
      <c r="N4094" s="6" t="str">
        <f>IFERROR(__xludf.DUMMYFUNCTION("""COMPUTED_VALUE"""),"")</f>
        <v/>
      </c>
      <c r="O4094" s="87" t="str">
        <f>IFERROR(__xludf.DUMMYFUNCTION("""COMPUTED_VALUE"""),"https://drive.google.com/drive/folders/10T2cTQHqEJZqE-st6uFKPoI?usp=share_link")</f>
        <v>https://drive.google.com/drive/folders/10T2cTQHqEJZqE-st6uFKPoI?usp=share_link</v>
      </c>
      <c r="P4094" s="6" t="str">
        <f>IFERROR(__xludf.DUMMYFUNCTION("""COMPUTED_VALUE"""),"Yusuf Abdel-Rahman")</f>
        <v>Yusuf Abdel-Rahman</v>
      </c>
      <c r="Q4094" s="6" t="str">
        <f>IFERROR(__xludf.DUMMYFUNCTION("""COMPUTED_VALUE"""),"MS")</f>
        <v>MS</v>
      </c>
      <c r="R4094" s="6">
        <f>IFERROR(__xludf.DUMMYFUNCTION("""COMPUTED_VALUE"""),0.0)</f>
        <v>0</v>
      </c>
      <c r="S4094" s="6" t="str">
        <f>IFERROR(__xludf.DUMMYFUNCTION("""COMPUTED_VALUE"""),"Kimberly Ball")</f>
        <v>Kimberly Ball</v>
      </c>
      <c r="T4094" s="6" t="str">
        <f>IFERROR(__xludf.DUMMYFUNCTION("""COMPUTED_VALUE"""),"kimberly.ball@studient.com")</f>
        <v>kimberly.ball@studient.com</v>
      </c>
      <c r="U4094" s="6" t="str">
        <f>IFERROR(__xludf.DUMMYFUNCTION("""COMPUTED_VALUE"""),"6")</f>
        <v>6</v>
      </c>
      <c r="V4094" s="6" t="str">
        <f>IFERROR(__xludf.DUMMYFUNCTION("""COMPUTED_VALUE"""),"")</f>
        <v/>
      </c>
      <c r="W4094" s="6" t="str">
        <f>IFERROR(__xludf.DUMMYFUNCTION("""COMPUTED_VALUE"""),"[]")</f>
        <v>[]</v>
      </c>
      <c r="X4094" s="6" t="str">
        <f>IFERROR(__xludf.DUMMYFUNCTION("""COMPUTED_VALUE"""),"Enrolled")</f>
        <v>Enrolled</v>
      </c>
    </row>
    <row r="4095">
      <c r="A4095" s="6" t="str">
        <f>IFERROR(__xludf.DUMMYFUNCTION("""COMPUTED_VALUE"""),"082-12103")</f>
        <v>082-12103</v>
      </c>
      <c r="B4095" s="6" t="str">
        <f>IFERROR(__xludf.DUMMYFUNCTION("""COMPUTED_VALUE"""),"82")</f>
        <v>82</v>
      </c>
      <c r="C4095" s="6" t="str">
        <f>IFERROR(__xludf.DUMMYFUNCTION("""COMPUTED_VALUE"""),"12103")</f>
        <v>12103</v>
      </c>
      <c r="D4095" s="6" t="str">
        <f>IFERROR(__xludf.DUMMYFUNCTION("""COMPUTED_VALUE"""),"Jamal")</f>
        <v>Jamal</v>
      </c>
      <c r="E4095" s="6" t="str">
        <f>IFERROR(__xludf.DUMMYFUNCTION("""COMPUTED_VALUE"""),"")</f>
        <v/>
      </c>
      <c r="F4095" s="6" t="str">
        <f>IFERROR(__xludf.DUMMYFUNCTION("""COMPUTED_VALUE"""),"Aiken")</f>
        <v>Aiken</v>
      </c>
      <c r="G4095" s="6" t="str">
        <f>IFERROR(__xludf.DUMMYFUNCTION("""COMPUTED_VALUE"""),"12/18/2009")</f>
        <v>12/18/2009</v>
      </c>
      <c r="H4095" s="6" t="str">
        <f>IFERROR(__xludf.DUMMYFUNCTION("""COMPUTED_VALUE"""),"male")</f>
        <v>male</v>
      </c>
      <c r="I4095" s="6" t="str">
        <f>IFERROR(__xludf.DUMMYFUNCTION("""COMPUTED_VALUE"""),"High School")</f>
        <v>High School</v>
      </c>
      <c r="J4095" s="6" t="str">
        <f>IFERROR(__xludf.DUMMYFUNCTION("""COMPUTED_VALUE"""),"9")</f>
        <v>9</v>
      </c>
      <c r="K4095" s="6" t="str">
        <f>IFERROR(__xludf.DUMMYFUNCTION("""COMPUTED_VALUE"""),"jamal.aiken@2hourlearning.com")</f>
        <v>jamal.aiken@2hourlearning.com</v>
      </c>
      <c r="L4095" s="6" t="str">
        <f>IFERROR(__xludf.DUMMYFUNCTION("""COMPUTED_VALUE"""),"AASP - Allendale Aspire Academy")</f>
        <v>AASP - Allendale Aspire Academy</v>
      </c>
      <c r="M4095" s="6" t="str">
        <f>IFERROR(__xludf.DUMMYFUNCTION("""COMPUTED_VALUE"""),"")</f>
        <v/>
      </c>
      <c r="N4095" s="6" t="str">
        <f>IFERROR(__xludf.DUMMYFUNCTION("""COMPUTED_VALUE"""),"")</f>
        <v/>
      </c>
      <c r="O4095" s="87" t="str">
        <f>IFERROR(__xludf.DUMMYFUNCTION("""COMPUTED_VALUE"""),"https://drive.google.com/drive/folders/10T2cTQHqEJZqE-st6uFKPoI?usp=share_link")</f>
        <v>https://drive.google.com/drive/folders/10T2cTQHqEJZqE-st6uFKPoI?usp=share_link</v>
      </c>
      <c r="P4095" s="6" t="str">
        <f>IFERROR(__xludf.DUMMYFUNCTION("""COMPUTED_VALUE"""),"Jamal Aiken")</f>
        <v>Jamal Aiken</v>
      </c>
      <c r="Q4095" s="6" t="str">
        <f>IFERROR(__xludf.DUMMYFUNCTION("""COMPUTED_VALUE"""),"HS")</f>
        <v>HS</v>
      </c>
      <c r="R4095" s="6">
        <f>IFERROR(__xludf.DUMMYFUNCTION("""COMPUTED_VALUE"""),0.0)</f>
        <v>0</v>
      </c>
      <c r="S4095" s="6" t="str">
        <f>IFERROR(__xludf.DUMMYFUNCTION("""COMPUTED_VALUE"""),"Kimberly Ball")</f>
        <v>Kimberly Ball</v>
      </c>
      <c r="T4095" s="6" t="str">
        <f>IFERROR(__xludf.DUMMYFUNCTION("""COMPUTED_VALUE"""),"kimberly.ball@studient.com")</f>
        <v>kimberly.ball@studient.com</v>
      </c>
      <c r="U4095" s="6" t="str">
        <f>IFERROR(__xludf.DUMMYFUNCTION("""COMPUTED_VALUE"""),"9")</f>
        <v>9</v>
      </c>
      <c r="V4095" s="6" t="str">
        <f>IFERROR(__xludf.DUMMYFUNCTION("""COMPUTED_VALUE"""),"")</f>
        <v/>
      </c>
      <c r="W4095" s="6" t="str">
        <f>IFERROR(__xludf.DUMMYFUNCTION("""COMPUTED_VALUE"""),"[]")</f>
        <v>[]</v>
      </c>
      <c r="X4095" s="6" t="str">
        <f>IFERROR(__xludf.DUMMYFUNCTION("""COMPUTED_VALUE"""),"Enrolled")</f>
        <v>Enrolled</v>
      </c>
    </row>
    <row r="4096">
      <c r="A4096" s="6" t="str">
        <f>IFERROR(__xludf.DUMMYFUNCTION("""COMPUTED_VALUE"""),"082-12104")</f>
        <v>082-12104</v>
      </c>
      <c r="B4096" s="6" t="str">
        <f>IFERROR(__xludf.DUMMYFUNCTION("""COMPUTED_VALUE"""),"82")</f>
        <v>82</v>
      </c>
      <c r="C4096" s="6" t="str">
        <f>IFERROR(__xludf.DUMMYFUNCTION("""COMPUTED_VALUE"""),"12104")</f>
        <v>12104</v>
      </c>
      <c r="D4096" s="6" t="str">
        <f>IFERROR(__xludf.DUMMYFUNCTION("""COMPUTED_VALUE"""),"Zion")</f>
        <v>Zion</v>
      </c>
      <c r="E4096" s="6" t="str">
        <f>IFERROR(__xludf.DUMMYFUNCTION("""COMPUTED_VALUE"""),"")</f>
        <v/>
      </c>
      <c r="F4096" s="6" t="str">
        <f>IFERROR(__xludf.DUMMYFUNCTION("""COMPUTED_VALUE"""),"Bell")</f>
        <v>Bell</v>
      </c>
      <c r="G4096" s="6" t="str">
        <f>IFERROR(__xludf.DUMMYFUNCTION("""COMPUTED_VALUE"""),"12/21/2006")</f>
        <v>12/21/2006</v>
      </c>
      <c r="H4096" s="6" t="str">
        <f>IFERROR(__xludf.DUMMYFUNCTION("""COMPUTED_VALUE"""),"male")</f>
        <v>male</v>
      </c>
      <c r="I4096" s="6" t="str">
        <f>IFERROR(__xludf.DUMMYFUNCTION("""COMPUTED_VALUE"""),"High School")</f>
        <v>High School</v>
      </c>
      <c r="J4096" s="6" t="str">
        <f>IFERROR(__xludf.DUMMYFUNCTION("""COMPUTED_VALUE"""),"11")</f>
        <v>11</v>
      </c>
      <c r="K4096" s="6" t="str">
        <f>IFERROR(__xludf.DUMMYFUNCTION("""COMPUTED_VALUE"""),"zion.bell@2hourlearning.com")</f>
        <v>zion.bell@2hourlearning.com</v>
      </c>
      <c r="L4096" s="6" t="str">
        <f>IFERROR(__xludf.DUMMYFUNCTION("""COMPUTED_VALUE"""),"AASP - Allendale Aspire Academy")</f>
        <v>AASP - Allendale Aspire Academy</v>
      </c>
      <c r="M4096" s="6" t="str">
        <f>IFERROR(__xludf.DUMMYFUNCTION("""COMPUTED_VALUE"""),"")</f>
        <v/>
      </c>
      <c r="N4096" s="6" t="str">
        <f>IFERROR(__xludf.DUMMYFUNCTION("""COMPUTED_VALUE"""),"")</f>
        <v/>
      </c>
      <c r="O4096" s="87" t="str">
        <f>IFERROR(__xludf.DUMMYFUNCTION("""COMPUTED_VALUE"""),"https://drive.google.com/drive/folders/10T2cTQHqEJZqE-st6uFKPoI?usp=share_link")</f>
        <v>https://drive.google.com/drive/folders/10T2cTQHqEJZqE-st6uFKPoI?usp=share_link</v>
      </c>
      <c r="P4096" s="6" t="str">
        <f>IFERROR(__xludf.DUMMYFUNCTION("""COMPUTED_VALUE"""),"Zion Bell")</f>
        <v>Zion Bell</v>
      </c>
      <c r="Q4096" s="6" t="str">
        <f>IFERROR(__xludf.DUMMYFUNCTION("""COMPUTED_VALUE"""),"HS")</f>
        <v>HS</v>
      </c>
      <c r="R4096" s="6">
        <f>IFERROR(__xludf.DUMMYFUNCTION("""COMPUTED_VALUE"""),0.0)</f>
        <v>0</v>
      </c>
      <c r="S4096" s="6" t="str">
        <f>IFERROR(__xludf.DUMMYFUNCTION("""COMPUTED_VALUE"""),"Kimberly Ball")</f>
        <v>Kimberly Ball</v>
      </c>
      <c r="T4096" s="6" t="str">
        <f>IFERROR(__xludf.DUMMYFUNCTION("""COMPUTED_VALUE"""),"kimberly.ball@studient.com")</f>
        <v>kimberly.ball@studient.com</v>
      </c>
      <c r="U4096" s="6" t="str">
        <f>IFERROR(__xludf.DUMMYFUNCTION("""COMPUTED_VALUE"""),"11")</f>
        <v>11</v>
      </c>
      <c r="V4096" s="6" t="str">
        <f>IFERROR(__xludf.DUMMYFUNCTION("""COMPUTED_VALUE"""),"")</f>
        <v/>
      </c>
      <c r="W4096" s="6" t="str">
        <f>IFERROR(__xludf.DUMMYFUNCTION("""COMPUTED_VALUE"""),"[]")</f>
        <v>[]</v>
      </c>
      <c r="X4096" s="6" t="str">
        <f>IFERROR(__xludf.DUMMYFUNCTION("""COMPUTED_VALUE"""),"Enrolled")</f>
        <v>Enrolled</v>
      </c>
    </row>
    <row r="4097">
      <c r="A4097" s="6" t="str">
        <f>IFERROR(__xludf.DUMMYFUNCTION("""COMPUTED_VALUE"""),"082-12105")</f>
        <v>082-12105</v>
      </c>
      <c r="B4097" s="6" t="str">
        <f>IFERROR(__xludf.DUMMYFUNCTION("""COMPUTED_VALUE"""),"82")</f>
        <v>82</v>
      </c>
      <c r="C4097" s="6" t="str">
        <f>IFERROR(__xludf.DUMMYFUNCTION("""COMPUTED_VALUE"""),"12105")</f>
        <v>12105</v>
      </c>
      <c r="D4097" s="6" t="str">
        <f>IFERROR(__xludf.DUMMYFUNCTION("""COMPUTED_VALUE"""),"Markel")</f>
        <v>Markel</v>
      </c>
      <c r="E4097" s="6" t="str">
        <f>IFERROR(__xludf.DUMMYFUNCTION("""COMPUTED_VALUE"""),"")</f>
        <v/>
      </c>
      <c r="F4097" s="6" t="str">
        <f>IFERROR(__xludf.DUMMYFUNCTION("""COMPUTED_VALUE"""),"Bostick")</f>
        <v>Bostick</v>
      </c>
      <c r="G4097" s="6" t="str">
        <f>IFERROR(__xludf.DUMMYFUNCTION("""COMPUTED_VALUE"""),"01/24/2014")</f>
        <v>01/24/2014</v>
      </c>
      <c r="H4097" s="6" t="str">
        <f>IFERROR(__xludf.DUMMYFUNCTION("""COMPUTED_VALUE"""),"male")</f>
        <v>male</v>
      </c>
      <c r="I4097" s="6" t="str">
        <f>IFERROR(__xludf.DUMMYFUNCTION("""COMPUTED_VALUE"""),"Middle School")</f>
        <v>Middle School</v>
      </c>
      <c r="J4097" s="6" t="str">
        <f>IFERROR(__xludf.DUMMYFUNCTION("""COMPUTED_VALUE"""),"6")</f>
        <v>6</v>
      </c>
      <c r="K4097" s="6" t="str">
        <f>IFERROR(__xludf.DUMMYFUNCTION("""COMPUTED_VALUE"""),"markel.bostick@2hourlearning.com")</f>
        <v>markel.bostick@2hourlearning.com</v>
      </c>
      <c r="L4097" s="6" t="str">
        <f>IFERROR(__xludf.DUMMYFUNCTION("""COMPUTED_VALUE"""),"AASP - Allendale Aspire Academy")</f>
        <v>AASP - Allendale Aspire Academy</v>
      </c>
      <c r="M4097" s="6" t="str">
        <f>IFERROR(__xludf.DUMMYFUNCTION("""COMPUTED_VALUE"""),"")</f>
        <v/>
      </c>
      <c r="N4097" s="6" t="str">
        <f>IFERROR(__xludf.DUMMYFUNCTION("""COMPUTED_VALUE"""),"")</f>
        <v/>
      </c>
      <c r="O4097" s="87" t="str">
        <f>IFERROR(__xludf.DUMMYFUNCTION("""COMPUTED_VALUE"""),"https://drive.google.com/drive/folders/10T2cTQHqEJZqE-st6uFKPoI?usp=share_link")</f>
        <v>https://drive.google.com/drive/folders/10T2cTQHqEJZqE-st6uFKPoI?usp=share_link</v>
      </c>
      <c r="P4097" s="6" t="str">
        <f>IFERROR(__xludf.DUMMYFUNCTION("""COMPUTED_VALUE"""),"Markel Bostick")</f>
        <v>Markel Bostick</v>
      </c>
      <c r="Q4097" s="6" t="str">
        <f>IFERROR(__xludf.DUMMYFUNCTION("""COMPUTED_VALUE"""),"MS")</f>
        <v>MS</v>
      </c>
      <c r="R4097" s="6">
        <f>IFERROR(__xludf.DUMMYFUNCTION("""COMPUTED_VALUE"""),0.0)</f>
        <v>0</v>
      </c>
      <c r="S4097" s="6" t="str">
        <f>IFERROR(__xludf.DUMMYFUNCTION("""COMPUTED_VALUE"""),"Kimberly Ball")</f>
        <v>Kimberly Ball</v>
      </c>
      <c r="T4097" s="6" t="str">
        <f>IFERROR(__xludf.DUMMYFUNCTION("""COMPUTED_VALUE"""),"kimberly.ball@studient.com")</f>
        <v>kimberly.ball@studient.com</v>
      </c>
      <c r="U4097" s="6" t="str">
        <f>IFERROR(__xludf.DUMMYFUNCTION("""COMPUTED_VALUE"""),"6")</f>
        <v>6</v>
      </c>
      <c r="V4097" s="6" t="str">
        <f>IFERROR(__xludf.DUMMYFUNCTION("""COMPUTED_VALUE"""),"")</f>
        <v/>
      </c>
      <c r="W4097" s="6" t="str">
        <f>IFERROR(__xludf.DUMMYFUNCTION("""COMPUTED_VALUE"""),"[]")</f>
        <v>[]</v>
      </c>
      <c r="X4097" s="6" t="str">
        <f>IFERROR(__xludf.DUMMYFUNCTION("""COMPUTED_VALUE"""),"Enrolled")</f>
        <v>Enrolled</v>
      </c>
    </row>
    <row r="4098">
      <c r="A4098" s="6" t="str">
        <f>IFERROR(__xludf.DUMMYFUNCTION("""COMPUTED_VALUE"""),"082-12106")</f>
        <v>082-12106</v>
      </c>
      <c r="B4098" s="6" t="str">
        <f>IFERROR(__xludf.DUMMYFUNCTION("""COMPUTED_VALUE"""),"82")</f>
        <v>82</v>
      </c>
      <c r="C4098" s="6" t="str">
        <f>IFERROR(__xludf.DUMMYFUNCTION("""COMPUTED_VALUE"""),"12106")</f>
        <v>12106</v>
      </c>
      <c r="D4098" s="6" t="str">
        <f>IFERROR(__xludf.DUMMYFUNCTION("""COMPUTED_VALUE"""),"Kamauri")</f>
        <v>Kamauri</v>
      </c>
      <c r="E4098" s="6" t="str">
        <f>IFERROR(__xludf.DUMMYFUNCTION("""COMPUTED_VALUE"""),"")</f>
        <v/>
      </c>
      <c r="F4098" s="6" t="str">
        <f>IFERROR(__xludf.DUMMYFUNCTION("""COMPUTED_VALUE"""),"Bowers")</f>
        <v>Bowers</v>
      </c>
      <c r="G4098" s="6" t="str">
        <f>IFERROR(__xludf.DUMMYFUNCTION("""COMPUTED_VALUE"""),"01/10/2008")</f>
        <v>01/10/2008</v>
      </c>
      <c r="H4098" s="6" t="str">
        <f>IFERROR(__xludf.DUMMYFUNCTION("""COMPUTED_VALUE"""),"male")</f>
        <v>male</v>
      </c>
      <c r="I4098" s="6" t="str">
        <f>IFERROR(__xludf.DUMMYFUNCTION("""COMPUTED_VALUE"""),"High School")</f>
        <v>High School</v>
      </c>
      <c r="J4098" s="6" t="str">
        <f>IFERROR(__xludf.DUMMYFUNCTION("""COMPUTED_VALUE"""),"11")</f>
        <v>11</v>
      </c>
      <c r="K4098" s="6" t="str">
        <f>IFERROR(__xludf.DUMMYFUNCTION("""COMPUTED_VALUE"""),"kamauri.bowers@2hourlearning.com")</f>
        <v>kamauri.bowers@2hourlearning.com</v>
      </c>
      <c r="L4098" s="6" t="str">
        <f>IFERROR(__xludf.DUMMYFUNCTION("""COMPUTED_VALUE"""),"AASP - Allendale Aspire Academy")</f>
        <v>AASP - Allendale Aspire Academy</v>
      </c>
      <c r="M4098" s="6" t="str">
        <f>IFERROR(__xludf.DUMMYFUNCTION("""COMPUTED_VALUE"""),"")</f>
        <v/>
      </c>
      <c r="N4098" s="6" t="str">
        <f>IFERROR(__xludf.DUMMYFUNCTION("""COMPUTED_VALUE"""),"")</f>
        <v/>
      </c>
      <c r="O4098" s="87" t="str">
        <f>IFERROR(__xludf.DUMMYFUNCTION("""COMPUTED_VALUE"""),"https://drive.google.com/drive/folders/10T2cTQHqEJZqE-st6uFKPoI?usp=share_link")</f>
        <v>https://drive.google.com/drive/folders/10T2cTQHqEJZqE-st6uFKPoI?usp=share_link</v>
      </c>
      <c r="P4098" s="6" t="str">
        <f>IFERROR(__xludf.DUMMYFUNCTION("""COMPUTED_VALUE"""),"Kamauri Bowers")</f>
        <v>Kamauri Bowers</v>
      </c>
      <c r="Q4098" s="6" t="str">
        <f>IFERROR(__xludf.DUMMYFUNCTION("""COMPUTED_VALUE"""),"HS")</f>
        <v>HS</v>
      </c>
      <c r="R4098" s="6">
        <f>IFERROR(__xludf.DUMMYFUNCTION("""COMPUTED_VALUE"""),0.0)</f>
        <v>0</v>
      </c>
      <c r="S4098" s="6" t="str">
        <f>IFERROR(__xludf.DUMMYFUNCTION("""COMPUTED_VALUE"""),"Kimberly Ball")</f>
        <v>Kimberly Ball</v>
      </c>
      <c r="T4098" s="6" t="str">
        <f>IFERROR(__xludf.DUMMYFUNCTION("""COMPUTED_VALUE"""),"kimberly.ball@studient.com")</f>
        <v>kimberly.ball@studient.com</v>
      </c>
      <c r="U4098" s="6" t="str">
        <f>IFERROR(__xludf.DUMMYFUNCTION("""COMPUTED_VALUE"""),"11")</f>
        <v>11</v>
      </c>
      <c r="V4098" s="6" t="str">
        <f>IFERROR(__xludf.DUMMYFUNCTION("""COMPUTED_VALUE"""),"")</f>
        <v/>
      </c>
      <c r="W4098" s="6" t="str">
        <f>IFERROR(__xludf.DUMMYFUNCTION("""COMPUTED_VALUE"""),"[]")</f>
        <v>[]</v>
      </c>
      <c r="X4098" s="6" t="str">
        <f>IFERROR(__xludf.DUMMYFUNCTION("""COMPUTED_VALUE"""),"Enrolled")</f>
        <v>Enrolled</v>
      </c>
    </row>
    <row r="4099">
      <c r="A4099" s="6" t="str">
        <f>IFERROR(__xludf.DUMMYFUNCTION("""COMPUTED_VALUE"""),"082-12107")</f>
        <v>082-12107</v>
      </c>
      <c r="B4099" s="6" t="str">
        <f>IFERROR(__xludf.DUMMYFUNCTION("""COMPUTED_VALUE"""),"82")</f>
        <v>82</v>
      </c>
      <c r="C4099" s="6" t="str">
        <f>IFERROR(__xludf.DUMMYFUNCTION("""COMPUTED_VALUE"""),"12107")</f>
        <v>12107</v>
      </c>
      <c r="D4099" s="6" t="str">
        <f>IFERROR(__xludf.DUMMYFUNCTION("""COMPUTED_VALUE"""),"Trinitee")</f>
        <v>Trinitee</v>
      </c>
      <c r="E4099" s="6" t="str">
        <f>IFERROR(__xludf.DUMMYFUNCTION("""COMPUTED_VALUE"""),"")</f>
        <v/>
      </c>
      <c r="F4099" s="6" t="str">
        <f>IFERROR(__xludf.DUMMYFUNCTION("""COMPUTED_VALUE"""),"Britt")</f>
        <v>Britt</v>
      </c>
      <c r="G4099" s="6" t="str">
        <f>IFERROR(__xludf.DUMMYFUNCTION("""COMPUTED_VALUE"""),"09/11/2006")</f>
        <v>09/11/2006</v>
      </c>
      <c r="H4099" s="6" t="str">
        <f>IFERROR(__xludf.DUMMYFUNCTION("""COMPUTED_VALUE"""),"female")</f>
        <v>female</v>
      </c>
      <c r="I4099" s="6" t="str">
        <f>IFERROR(__xludf.DUMMYFUNCTION("""COMPUTED_VALUE"""),"High School")</f>
        <v>High School</v>
      </c>
      <c r="J4099" s="6" t="str">
        <f>IFERROR(__xludf.DUMMYFUNCTION("""COMPUTED_VALUE"""),"11")</f>
        <v>11</v>
      </c>
      <c r="K4099" s="6" t="str">
        <f>IFERROR(__xludf.DUMMYFUNCTION("""COMPUTED_VALUE"""),"trinitee.britt@2hourlearning.com")</f>
        <v>trinitee.britt@2hourlearning.com</v>
      </c>
      <c r="L4099" s="6" t="str">
        <f>IFERROR(__xludf.DUMMYFUNCTION("""COMPUTED_VALUE"""),"AASP - Allendale Aspire Academy")</f>
        <v>AASP - Allendale Aspire Academy</v>
      </c>
      <c r="M4099" s="6" t="str">
        <f>IFERROR(__xludf.DUMMYFUNCTION("""COMPUTED_VALUE"""),"")</f>
        <v/>
      </c>
      <c r="N4099" s="6" t="str">
        <f>IFERROR(__xludf.DUMMYFUNCTION("""COMPUTED_VALUE"""),"")</f>
        <v/>
      </c>
      <c r="O4099" s="87" t="str">
        <f>IFERROR(__xludf.DUMMYFUNCTION("""COMPUTED_VALUE"""),"https://drive.google.com/drive/folders/10T2cTQHqEJZqE-st6uFKPoI?usp=share_link")</f>
        <v>https://drive.google.com/drive/folders/10T2cTQHqEJZqE-st6uFKPoI?usp=share_link</v>
      </c>
      <c r="P4099" s="6" t="str">
        <f>IFERROR(__xludf.DUMMYFUNCTION("""COMPUTED_VALUE"""),"Trinitee Britt")</f>
        <v>Trinitee Britt</v>
      </c>
      <c r="Q4099" s="6" t="str">
        <f>IFERROR(__xludf.DUMMYFUNCTION("""COMPUTED_VALUE"""),"HS")</f>
        <v>HS</v>
      </c>
      <c r="R4099" s="6">
        <f>IFERROR(__xludf.DUMMYFUNCTION("""COMPUTED_VALUE"""),0.0)</f>
        <v>0</v>
      </c>
      <c r="S4099" s="6" t="str">
        <f>IFERROR(__xludf.DUMMYFUNCTION("""COMPUTED_VALUE"""),"Kimberly Ball")</f>
        <v>Kimberly Ball</v>
      </c>
      <c r="T4099" s="6" t="str">
        <f>IFERROR(__xludf.DUMMYFUNCTION("""COMPUTED_VALUE"""),"kimberly.ball@studient.com")</f>
        <v>kimberly.ball@studient.com</v>
      </c>
      <c r="U4099" s="6" t="str">
        <f>IFERROR(__xludf.DUMMYFUNCTION("""COMPUTED_VALUE"""),"11")</f>
        <v>11</v>
      </c>
      <c r="V4099" s="6" t="str">
        <f>IFERROR(__xludf.DUMMYFUNCTION("""COMPUTED_VALUE"""),"")</f>
        <v/>
      </c>
      <c r="W4099" s="6" t="str">
        <f>IFERROR(__xludf.DUMMYFUNCTION("""COMPUTED_VALUE"""),"[]")</f>
        <v>[]</v>
      </c>
      <c r="X4099" s="6" t="str">
        <f>IFERROR(__xludf.DUMMYFUNCTION("""COMPUTED_VALUE"""),"Enrolled")</f>
        <v>Enrolled</v>
      </c>
    </row>
    <row r="4100">
      <c r="A4100" s="6" t="str">
        <f>IFERROR(__xludf.DUMMYFUNCTION("""COMPUTED_VALUE"""),"082-12108")</f>
        <v>082-12108</v>
      </c>
      <c r="B4100" s="6" t="str">
        <f>IFERROR(__xludf.DUMMYFUNCTION("""COMPUTED_VALUE"""),"82")</f>
        <v>82</v>
      </c>
      <c r="C4100" s="6" t="str">
        <f>IFERROR(__xludf.DUMMYFUNCTION("""COMPUTED_VALUE"""),"12108")</f>
        <v>12108</v>
      </c>
      <c r="D4100" s="6" t="str">
        <f>IFERROR(__xludf.DUMMYFUNCTION("""COMPUTED_VALUE"""),"Da'Ari")</f>
        <v>Da'Ari</v>
      </c>
      <c r="E4100" s="6" t="str">
        <f>IFERROR(__xludf.DUMMYFUNCTION("""COMPUTED_VALUE"""),"")</f>
        <v/>
      </c>
      <c r="F4100" s="6" t="str">
        <f>IFERROR(__xludf.DUMMYFUNCTION("""COMPUTED_VALUE"""),"Burns")</f>
        <v>Burns</v>
      </c>
      <c r="G4100" s="6" t="str">
        <f>IFERROR(__xludf.DUMMYFUNCTION("""COMPUTED_VALUE"""),"07/13/2008")</f>
        <v>07/13/2008</v>
      </c>
      <c r="H4100" s="6" t="str">
        <f>IFERROR(__xludf.DUMMYFUNCTION("""COMPUTED_VALUE"""),"male")</f>
        <v>male</v>
      </c>
      <c r="I4100" s="6" t="str">
        <f>IFERROR(__xludf.DUMMYFUNCTION("""COMPUTED_VALUE"""),"High School")</f>
        <v>High School</v>
      </c>
      <c r="J4100" s="6" t="str">
        <f>IFERROR(__xludf.DUMMYFUNCTION("""COMPUTED_VALUE"""),"11")</f>
        <v>11</v>
      </c>
      <c r="K4100" s="6" t="str">
        <f>IFERROR(__xludf.DUMMYFUNCTION("""COMPUTED_VALUE"""),"daari.burns@2hourlearning.com")</f>
        <v>daari.burns@2hourlearning.com</v>
      </c>
      <c r="L4100" s="6" t="str">
        <f>IFERROR(__xludf.DUMMYFUNCTION("""COMPUTED_VALUE"""),"AASP - Allendale Aspire Academy")</f>
        <v>AASP - Allendale Aspire Academy</v>
      </c>
      <c r="M4100" s="6" t="str">
        <f>IFERROR(__xludf.DUMMYFUNCTION("""COMPUTED_VALUE"""),"")</f>
        <v/>
      </c>
      <c r="N4100" s="6" t="str">
        <f>IFERROR(__xludf.DUMMYFUNCTION("""COMPUTED_VALUE"""),"")</f>
        <v/>
      </c>
      <c r="O4100" s="87" t="str">
        <f>IFERROR(__xludf.DUMMYFUNCTION("""COMPUTED_VALUE"""),"https://drive.google.com/drive/folders/10T2cTQHqEJZqE-st6uFKPoI?usp=share_link")</f>
        <v>https://drive.google.com/drive/folders/10T2cTQHqEJZqE-st6uFKPoI?usp=share_link</v>
      </c>
      <c r="P4100" s="6" t="str">
        <f>IFERROR(__xludf.DUMMYFUNCTION("""COMPUTED_VALUE"""),"Da'Ari Burns")</f>
        <v>Da'Ari Burns</v>
      </c>
      <c r="Q4100" s="6" t="str">
        <f>IFERROR(__xludf.DUMMYFUNCTION("""COMPUTED_VALUE"""),"HS")</f>
        <v>HS</v>
      </c>
      <c r="R4100" s="6">
        <f>IFERROR(__xludf.DUMMYFUNCTION("""COMPUTED_VALUE"""),0.0)</f>
        <v>0</v>
      </c>
      <c r="S4100" s="6" t="str">
        <f>IFERROR(__xludf.DUMMYFUNCTION("""COMPUTED_VALUE"""),"Kimberly Ball")</f>
        <v>Kimberly Ball</v>
      </c>
      <c r="T4100" s="6" t="str">
        <f>IFERROR(__xludf.DUMMYFUNCTION("""COMPUTED_VALUE"""),"kimberly.ball@studient.com")</f>
        <v>kimberly.ball@studient.com</v>
      </c>
      <c r="U4100" s="6" t="str">
        <f>IFERROR(__xludf.DUMMYFUNCTION("""COMPUTED_VALUE"""),"11")</f>
        <v>11</v>
      </c>
      <c r="V4100" s="6" t="str">
        <f>IFERROR(__xludf.DUMMYFUNCTION("""COMPUTED_VALUE"""),"")</f>
        <v/>
      </c>
      <c r="W4100" s="6" t="str">
        <f>IFERROR(__xludf.DUMMYFUNCTION("""COMPUTED_VALUE"""),"[]")</f>
        <v>[]</v>
      </c>
      <c r="X4100" s="6" t="str">
        <f>IFERROR(__xludf.DUMMYFUNCTION("""COMPUTED_VALUE"""),"Enrolled")</f>
        <v>Enrolled</v>
      </c>
    </row>
    <row r="4101">
      <c r="A4101" s="6" t="str">
        <f>IFERROR(__xludf.DUMMYFUNCTION("""COMPUTED_VALUE"""),"082-12109")</f>
        <v>082-12109</v>
      </c>
      <c r="B4101" s="6" t="str">
        <f>IFERROR(__xludf.DUMMYFUNCTION("""COMPUTED_VALUE"""),"82")</f>
        <v>82</v>
      </c>
      <c r="C4101" s="6" t="str">
        <f>IFERROR(__xludf.DUMMYFUNCTION("""COMPUTED_VALUE"""),"12109")</f>
        <v>12109</v>
      </c>
      <c r="D4101" s="6" t="str">
        <f>IFERROR(__xludf.DUMMYFUNCTION("""COMPUTED_VALUE"""),"Da'montayie")</f>
        <v>Da'montayie</v>
      </c>
      <c r="E4101" s="6" t="str">
        <f>IFERROR(__xludf.DUMMYFUNCTION("""COMPUTED_VALUE"""),"")</f>
        <v/>
      </c>
      <c r="F4101" s="6" t="str">
        <f>IFERROR(__xludf.DUMMYFUNCTION("""COMPUTED_VALUE"""),"Doe")</f>
        <v>Doe</v>
      </c>
      <c r="G4101" s="6" t="str">
        <f>IFERROR(__xludf.DUMMYFUNCTION("""COMPUTED_VALUE"""),"09/06/2007")</f>
        <v>09/06/2007</v>
      </c>
      <c r="H4101" s="6" t="str">
        <f>IFERROR(__xludf.DUMMYFUNCTION("""COMPUTED_VALUE"""),"male")</f>
        <v>male</v>
      </c>
      <c r="I4101" s="6" t="str">
        <f>IFERROR(__xludf.DUMMYFUNCTION("""COMPUTED_VALUE"""),"High School")</f>
        <v>High School</v>
      </c>
      <c r="J4101" s="6" t="str">
        <f>IFERROR(__xludf.DUMMYFUNCTION("""COMPUTED_VALUE"""),"10")</f>
        <v>10</v>
      </c>
      <c r="K4101" s="6" t="str">
        <f>IFERROR(__xludf.DUMMYFUNCTION("""COMPUTED_VALUE"""),"damontayie.doe@2hourlearning.com")</f>
        <v>damontayie.doe@2hourlearning.com</v>
      </c>
      <c r="L4101" s="6" t="str">
        <f>IFERROR(__xludf.DUMMYFUNCTION("""COMPUTED_VALUE"""),"AASP - Allendale Aspire Academy")</f>
        <v>AASP - Allendale Aspire Academy</v>
      </c>
      <c r="M4101" s="6" t="str">
        <f>IFERROR(__xludf.DUMMYFUNCTION("""COMPUTED_VALUE"""),"")</f>
        <v/>
      </c>
      <c r="N4101" s="6" t="str">
        <f>IFERROR(__xludf.DUMMYFUNCTION("""COMPUTED_VALUE"""),"")</f>
        <v/>
      </c>
      <c r="O4101" s="87" t="str">
        <f>IFERROR(__xludf.DUMMYFUNCTION("""COMPUTED_VALUE"""),"https://drive.google.com/drive/folders/10T2cTQHqEJZqE-st6uFKPoI?usp=share_link")</f>
        <v>https://drive.google.com/drive/folders/10T2cTQHqEJZqE-st6uFKPoI?usp=share_link</v>
      </c>
      <c r="P4101" s="6" t="str">
        <f>IFERROR(__xludf.DUMMYFUNCTION("""COMPUTED_VALUE"""),"Da'montayie Doe")</f>
        <v>Da'montayie Doe</v>
      </c>
      <c r="Q4101" s="6" t="str">
        <f>IFERROR(__xludf.DUMMYFUNCTION("""COMPUTED_VALUE"""),"HS")</f>
        <v>HS</v>
      </c>
      <c r="R4101" s="6">
        <f>IFERROR(__xludf.DUMMYFUNCTION("""COMPUTED_VALUE"""),0.0)</f>
        <v>0</v>
      </c>
      <c r="S4101" s="6" t="str">
        <f>IFERROR(__xludf.DUMMYFUNCTION("""COMPUTED_VALUE"""),"Kimberly Ball")</f>
        <v>Kimberly Ball</v>
      </c>
      <c r="T4101" s="6" t="str">
        <f>IFERROR(__xludf.DUMMYFUNCTION("""COMPUTED_VALUE"""),"kimberly.ball@studient.com")</f>
        <v>kimberly.ball@studient.com</v>
      </c>
      <c r="U4101" s="6" t="str">
        <f>IFERROR(__xludf.DUMMYFUNCTION("""COMPUTED_VALUE"""),"10")</f>
        <v>10</v>
      </c>
      <c r="V4101" s="6" t="str">
        <f>IFERROR(__xludf.DUMMYFUNCTION("""COMPUTED_VALUE"""),"")</f>
        <v/>
      </c>
      <c r="W4101" s="6" t="str">
        <f>IFERROR(__xludf.DUMMYFUNCTION("""COMPUTED_VALUE"""),"[]")</f>
        <v>[]</v>
      </c>
      <c r="X4101" s="6" t="str">
        <f>IFERROR(__xludf.DUMMYFUNCTION("""COMPUTED_VALUE"""),"Enrolled")</f>
        <v>Enrolled</v>
      </c>
    </row>
    <row r="4102">
      <c r="A4102" s="6" t="str">
        <f>IFERROR(__xludf.DUMMYFUNCTION("""COMPUTED_VALUE"""),"082-12110")</f>
        <v>082-12110</v>
      </c>
      <c r="B4102" s="6" t="str">
        <f>IFERROR(__xludf.DUMMYFUNCTION("""COMPUTED_VALUE"""),"82")</f>
        <v>82</v>
      </c>
      <c r="C4102" s="6" t="str">
        <f>IFERROR(__xludf.DUMMYFUNCTION("""COMPUTED_VALUE"""),"12110")</f>
        <v>12110</v>
      </c>
      <c r="D4102" s="6" t="str">
        <f>IFERROR(__xludf.DUMMYFUNCTION("""COMPUTED_VALUE"""),"Qen'Saun")</f>
        <v>Qen'Saun</v>
      </c>
      <c r="E4102" s="6" t="str">
        <f>IFERROR(__xludf.DUMMYFUNCTION("""COMPUTED_VALUE"""),"")</f>
        <v/>
      </c>
      <c r="F4102" s="6" t="str">
        <f>IFERROR(__xludf.DUMMYFUNCTION("""COMPUTED_VALUE"""),"Doe")</f>
        <v>Doe</v>
      </c>
      <c r="G4102" s="6" t="str">
        <f>IFERROR(__xludf.DUMMYFUNCTION("""COMPUTED_VALUE"""),"06/29/2009")</f>
        <v>06/29/2009</v>
      </c>
      <c r="H4102" s="6" t="str">
        <f>IFERROR(__xludf.DUMMYFUNCTION("""COMPUTED_VALUE"""),"male")</f>
        <v>male</v>
      </c>
      <c r="I4102" s="6" t="str">
        <f>IFERROR(__xludf.DUMMYFUNCTION("""COMPUTED_VALUE"""),"High School")</f>
        <v>High School</v>
      </c>
      <c r="J4102" s="6" t="str">
        <f>IFERROR(__xludf.DUMMYFUNCTION("""COMPUTED_VALUE"""),"10")</f>
        <v>10</v>
      </c>
      <c r="K4102" s="6" t="str">
        <f>IFERROR(__xludf.DUMMYFUNCTION("""COMPUTED_VALUE"""),"qensaun.doe@2hourlearning.com")</f>
        <v>qensaun.doe@2hourlearning.com</v>
      </c>
      <c r="L4102" s="6" t="str">
        <f>IFERROR(__xludf.DUMMYFUNCTION("""COMPUTED_VALUE"""),"AASP - Allendale Aspire Academy")</f>
        <v>AASP - Allendale Aspire Academy</v>
      </c>
      <c r="M4102" s="6" t="str">
        <f>IFERROR(__xludf.DUMMYFUNCTION("""COMPUTED_VALUE"""),"")</f>
        <v/>
      </c>
      <c r="N4102" s="6" t="str">
        <f>IFERROR(__xludf.DUMMYFUNCTION("""COMPUTED_VALUE"""),"")</f>
        <v/>
      </c>
      <c r="O4102" s="87" t="str">
        <f>IFERROR(__xludf.DUMMYFUNCTION("""COMPUTED_VALUE"""),"https://drive.google.com/drive/folders/10T2cTQHqEJZqE-st6uFKPoI?usp=share_link")</f>
        <v>https://drive.google.com/drive/folders/10T2cTQHqEJZqE-st6uFKPoI?usp=share_link</v>
      </c>
      <c r="P4102" s="6" t="str">
        <f>IFERROR(__xludf.DUMMYFUNCTION("""COMPUTED_VALUE"""),"Qen'Saun Doe")</f>
        <v>Qen'Saun Doe</v>
      </c>
      <c r="Q4102" s="6" t="str">
        <f>IFERROR(__xludf.DUMMYFUNCTION("""COMPUTED_VALUE"""),"HS")</f>
        <v>HS</v>
      </c>
      <c r="R4102" s="6">
        <f>IFERROR(__xludf.DUMMYFUNCTION("""COMPUTED_VALUE"""),0.0)</f>
        <v>0</v>
      </c>
      <c r="S4102" s="6" t="str">
        <f>IFERROR(__xludf.DUMMYFUNCTION("""COMPUTED_VALUE"""),"Kimberly Ball")</f>
        <v>Kimberly Ball</v>
      </c>
      <c r="T4102" s="6" t="str">
        <f>IFERROR(__xludf.DUMMYFUNCTION("""COMPUTED_VALUE"""),"kimberly.ball@studient.com")</f>
        <v>kimberly.ball@studient.com</v>
      </c>
      <c r="U4102" s="6" t="str">
        <f>IFERROR(__xludf.DUMMYFUNCTION("""COMPUTED_VALUE"""),"10")</f>
        <v>10</v>
      </c>
      <c r="V4102" s="6" t="str">
        <f>IFERROR(__xludf.DUMMYFUNCTION("""COMPUTED_VALUE"""),"")</f>
        <v/>
      </c>
      <c r="W4102" s="6" t="str">
        <f>IFERROR(__xludf.DUMMYFUNCTION("""COMPUTED_VALUE"""),"[]")</f>
        <v>[]</v>
      </c>
      <c r="X4102" s="6" t="str">
        <f>IFERROR(__xludf.DUMMYFUNCTION("""COMPUTED_VALUE"""),"Enrolled")</f>
        <v>Enrolled</v>
      </c>
    </row>
    <row r="4103">
      <c r="A4103" s="6" t="str">
        <f>IFERROR(__xludf.DUMMYFUNCTION("""COMPUTED_VALUE"""),"082-12111")</f>
        <v>082-12111</v>
      </c>
      <c r="B4103" s="6" t="str">
        <f>IFERROR(__xludf.DUMMYFUNCTION("""COMPUTED_VALUE"""),"82")</f>
        <v>82</v>
      </c>
      <c r="C4103" s="6" t="str">
        <f>IFERROR(__xludf.DUMMYFUNCTION("""COMPUTED_VALUE"""),"12111")</f>
        <v>12111</v>
      </c>
      <c r="D4103" s="6" t="str">
        <f>IFERROR(__xludf.DUMMYFUNCTION("""COMPUTED_VALUE"""),"Caleb")</f>
        <v>Caleb</v>
      </c>
      <c r="E4103" s="6" t="str">
        <f>IFERROR(__xludf.DUMMYFUNCTION("""COMPUTED_VALUE"""),"")</f>
        <v/>
      </c>
      <c r="F4103" s="6" t="str">
        <f>IFERROR(__xludf.DUMMYFUNCTION("""COMPUTED_VALUE"""),"Donehue")</f>
        <v>Donehue</v>
      </c>
      <c r="G4103" s="6" t="str">
        <f>IFERROR(__xludf.DUMMYFUNCTION("""COMPUTED_VALUE"""),"11/30/2008")</f>
        <v>11/30/2008</v>
      </c>
      <c r="H4103" s="6" t="str">
        <f>IFERROR(__xludf.DUMMYFUNCTION("""COMPUTED_VALUE"""),"male")</f>
        <v>male</v>
      </c>
      <c r="I4103" s="6" t="str">
        <f>IFERROR(__xludf.DUMMYFUNCTION("""COMPUTED_VALUE"""),"High School")</f>
        <v>High School</v>
      </c>
      <c r="J4103" s="6" t="str">
        <f>IFERROR(__xludf.DUMMYFUNCTION("""COMPUTED_VALUE"""),"10")</f>
        <v>10</v>
      </c>
      <c r="K4103" s="6" t="str">
        <f>IFERROR(__xludf.DUMMYFUNCTION("""COMPUTED_VALUE"""),"caleb.donehue@2hourlearning.com")</f>
        <v>caleb.donehue@2hourlearning.com</v>
      </c>
      <c r="L4103" s="6" t="str">
        <f>IFERROR(__xludf.DUMMYFUNCTION("""COMPUTED_VALUE"""),"AASP - Allendale Aspire Academy")</f>
        <v>AASP - Allendale Aspire Academy</v>
      </c>
      <c r="M4103" s="6" t="str">
        <f>IFERROR(__xludf.DUMMYFUNCTION("""COMPUTED_VALUE"""),"")</f>
        <v/>
      </c>
      <c r="N4103" s="6" t="str">
        <f>IFERROR(__xludf.DUMMYFUNCTION("""COMPUTED_VALUE"""),"")</f>
        <v/>
      </c>
      <c r="O4103" s="87" t="str">
        <f>IFERROR(__xludf.DUMMYFUNCTION("""COMPUTED_VALUE"""),"https://drive.google.com/drive/folders/10T2cTQHqEJZqE-st6uFKPoI?usp=share_link")</f>
        <v>https://drive.google.com/drive/folders/10T2cTQHqEJZqE-st6uFKPoI?usp=share_link</v>
      </c>
      <c r="P4103" s="6" t="str">
        <f>IFERROR(__xludf.DUMMYFUNCTION("""COMPUTED_VALUE"""),"Caleb Donehue")</f>
        <v>Caleb Donehue</v>
      </c>
      <c r="Q4103" s="6" t="str">
        <f>IFERROR(__xludf.DUMMYFUNCTION("""COMPUTED_VALUE"""),"HS")</f>
        <v>HS</v>
      </c>
      <c r="R4103" s="6">
        <f>IFERROR(__xludf.DUMMYFUNCTION("""COMPUTED_VALUE"""),0.0)</f>
        <v>0</v>
      </c>
      <c r="S4103" s="6" t="str">
        <f>IFERROR(__xludf.DUMMYFUNCTION("""COMPUTED_VALUE"""),"Kimberly Ball")</f>
        <v>Kimberly Ball</v>
      </c>
      <c r="T4103" s="6" t="str">
        <f>IFERROR(__xludf.DUMMYFUNCTION("""COMPUTED_VALUE"""),"kimberly.ball@studient.com")</f>
        <v>kimberly.ball@studient.com</v>
      </c>
      <c r="U4103" s="6" t="str">
        <f>IFERROR(__xludf.DUMMYFUNCTION("""COMPUTED_VALUE"""),"10")</f>
        <v>10</v>
      </c>
      <c r="V4103" s="6" t="str">
        <f>IFERROR(__xludf.DUMMYFUNCTION("""COMPUTED_VALUE"""),"")</f>
        <v/>
      </c>
      <c r="W4103" s="6" t="str">
        <f>IFERROR(__xludf.DUMMYFUNCTION("""COMPUTED_VALUE"""),"[]")</f>
        <v>[]</v>
      </c>
      <c r="X4103" s="6" t="str">
        <f>IFERROR(__xludf.DUMMYFUNCTION("""COMPUTED_VALUE"""),"Enrolled")</f>
        <v>Enrolled</v>
      </c>
    </row>
    <row r="4104">
      <c r="A4104" s="6" t="str">
        <f>IFERROR(__xludf.DUMMYFUNCTION("""COMPUTED_VALUE"""),"082-12112")</f>
        <v>082-12112</v>
      </c>
      <c r="B4104" s="6" t="str">
        <f>IFERROR(__xludf.DUMMYFUNCTION("""COMPUTED_VALUE"""),"82")</f>
        <v>82</v>
      </c>
      <c r="C4104" s="6" t="str">
        <f>IFERROR(__xludf.DUMMYFUNCTION("""COMPUTED_VALUE"""),"12112")</f>
        <v>12112</v>
      </c>
      <c r="D4104" s="6" t="str">
        <f>IFERROR(__xludf.DUMMYFUNCTION("""COMPUTED_VALUE"""),"Ja'Quereis")</f>
        <v>Ja'Quereis</v>
      </c>
      <c r="E4104" s="6" t="str">
        <f>IFERROR(__xludf.DUMMYFUNCTION("""COMPUTED_VALUE"""),"")</f>
        <v/>
      </c>
      <c r="F4104" s="6" t="str">
        <f>IFERROR(__xludf.DUMMYFUNCTION("""COMPUTED_VALUE"""),"Fields")</f>
        <v>Fields</v>
      </c>
      <c r="G4104" s="6" t="str">
        <f>IFERROR(__xludf.DUMMYFUNCTION("""COMPUTED_VALUE"""),"05/13/2007")</f>
        <v>05/13/2007</v>
      </c>
      <c r="H4104" s="6" t="str">
        <f>IFERROR(__xludf.DUMMYFUNCTION("""COMPUTED_VALUE"""),"male")</f>
        <v>male</v>
      </c>
      <c r="I4104" s="6" t="str">
        <f>IFERROR(__xludf.DUMMYFUNCTION("""COMPUTED_VALUE"""),"High School")</f>
        <v>High School</v>
      </c>
      <c r="J4104" s="6" t="str">
        <f>IFERROR(__xludf.DUMMYFUNCTION("""COMPUTED_VALUE"""),"11")</f>
        <v>11</v>
      </c>
      <c r="K4104" s="6" t="str">
        <f>IFERROR(__xludf.DUMMYFUNCTION("""COMPUTED_VALUE"""),"jaquereis.fields@2hourlearning.com")</f>
        <v>jaquereis.fields@2hourlearning.com</v>
      </c>
      <c r="L4104" s="6" t="str">
        <f>IFERROR(__xludf.DUMMYFUNCTION("""COMPUTED_VALUE"""),"AASP - Allendale Aspire Academy")</f>
        <v>AASP - Allendale Aspire Academy</v>
      </c>
      <c r="M4104" s="6" t="str">
        <f>IFERROR(__xludf.DUMMYFUNCTION("""COMPUTED_VALUE"""),"")</f>
        <v/>
      </c>
      <c r="N4104" s="6" t="str">
        <f>IFERROR(__xludf.DUMMYFUNCTION("""COMPUTED_VALUE"""),"")</f>
        <v/>
      </c>
      <c r="O4104" s="87" t="str">
        <f>IFERROR(__xludf.DUMMYFUNCTION("""COMPUTED_VALUE"""),"https://drive.google.com/drive/folders/10T2cTQHqEJZqE-st6uFKPoI?usp=share_link")</f>
        <v>https://drive.google.com/drive/folders/10T2cTQHqEJZqE-st6uFKPoI?usp=share_link</v>
      </c>
      <c r="P4104" s="6" t="str">
        <f>IFERROR(__xludf.DUMMYFUNCTION("""COMPUTED_VALUE"""),"Ja'Quereis Fields")</f>
        <v>Ja'Quereis Fields</v>
      </c>
      <c r="Q4104" s="6" t="str">
        <f>IFERROR(__xludf.DUMMYFUNCTION("""COMPUTED_VALUE"""),"HS")</f>
        <v>HS</v>
      </c>
      <c r="R4104" s="6">
        <f>IFERROR(__xludf.DUMMYFUNCTION("""COMPUTED_VALUE"""),0.0)</f>
        <v>0</v>
      </c>
      <c r="S4104" s="6" t="str">
        <f>IFERROR(__xludf.DUMMYFUNCTION("""COMPUTED_VALUE"""),"Kimberly Ball")</f>
        <v>Kimberly Ball</v>
      </c>
      <c r="T4104" s="6" t="str">
        <f>IFERROR(__xludf.DUMMYFUNCTION("""COMPUTED_VALUE"""),"kimberly.ball@studient.com")</f>
        <v>kimberly.ball@studient.com</v>
      </c>
      <c r="U4104" s="6" t="str">
        <f>IFERROR(__xludf.DUMMYFUNCTION("""COMPUTED_VALUE"""),"11")</f>
        <v>11</v>
      </c>
      <c r="V4104" s="6" t="str">
        <f>IFERROR(__xludf.DUMMYFUNCTION("""COMPUTED_VALUE"""),"")</f>
        <v/>
      </c>
      <c r="W4104" s="6" t="str">
        <f>IFERROR(__xludf.DUMMYFUNCTION("""COMPUTED_VALUE"""),"[]")</f>
        <v>[]</v>
      </c>
      <c r="X4104" s="6" t="str">
        <f>IFERROR(__xludf.DUMMYFUNCTION("""COMPUTED_VALUE"""),"Enrolled")</f>
        <v>Enrolled</v>
      </c>
    </row>
    <row r="4105">
      <c r="A4105" s="6" t="str">
        <f>IFERROR(__xludf.DUMMYFUNCTION("""COMPUTED_VALUE"""),"082-12113")</f>
        <v>082-12113</v>
      </c>
      <c r="B4105" s="6" t="str">
        <f>IFERROR(__xludf.DUMMYFUNCTION("""COMPUTED_VALUE"""),"82")</f>
        <v>82</v>
      </c>
      <c r="C4105" s="6" t="str">
        <f>IFERROR(__xludf.DUMMYFUNCTION("""COMPUTED_VALUE"""),"12113")</f>
        <v>12113</v>
      </c>
      <c r="D4105" s="6" t="str">
        <f>IFERROR(__xludf.DUMMYFUNCTION("""COMPUTED_VALUE"""),"Devin")</f>
        <v>Devin</v>
      </c>
      <c r="E4105" s="6" t="str">
        <f>IFERROR(__xludf.DUMMYFUNCTION("""COMPUTED_VALUE"""),"")</f>
        <v/>
      </c>
      <c r="F4105" s="6" t="str">
        <f>IFERROR(__xludf.DUMMYFUNCTION("""COMPUTED_VALUE"""),"Griner")</f>
        <v>Griner</v>
      </c>
      <c r="G4105" s="6" t="str">
        <f>IFERROR(__xludf.DUMMYFUNCTION("""COMPUTED_VALUE"""),"04/21/2006")</f>
        <v>04/21/2006</v>
      </c>
      <c r="H4105" s="6" t="str">
        <f>IFERROR(__xludf.DUMMYFUNCTION("""COMPUTED_VALUE"""),"male")</f>
        <v>male</v>
      </c>
      <c r="I4105" s="6" t="str">
        <f>IFERROR(__xludf.DUMMYFUNCTION("""COMPUTED_VALUE"""),"High School")</f>
        <v>High School</v>
      </c>
      <c r="J4105" s="6" t="str">
        <f>IFERROR(__xludf.DUMMYFUNCTION("""COMPUTED_VALUE"""),"12")</f>
        <v>12</v>
      </c>
      <c r="K4105" s="6" t="str">
        <f>IFERROR(__xludf.DUMMYFUNCTION("""COMPUTED_VALUE"""),"devin.griner@2hourlearning.com")</f>
        <v>devin.griner@2hourlearning.com</v>
      </c>
      <c r="L4105" s="6" t="str">
        <f>IFERROR(__xludf.DUMMYFUNCTION("""COMPUTED_VALUE"""),"AASP - Allendale Aspire Academy")</f>
        <v>AASP - Allendale Aspire Academy</v>
      </c>
      <c r="M4105" s="6" t="str">
        <f>IFERROR(__xludf.DUMMYFUNCTION("""COMPUTED_VALUE"""),"")</f>
        <v/>
      </c>
      <c r="N4105" s="6" t="str">
        <f>IFERROR(__xludf.DUMMYFUNCTION("""COMPUTED_VALUE"""),"")</f>
        <v/>
      </c>
      <c r="O4105" s="87" t="str">
        <f>IFERROR(__xludf.DUMMYFUNCTION("""COMPUTED_VALUE"""),"https://drive.google.com/drive/folders/10T2cTQHqEJZqE-st6uFKPoI?usp=share_link")</f>
        <v>https://drive.google.com/drive/folders/10T2cTQHqEJZqE-st6uFKPoI?usp=share_link</v>
      </c>
      <c r="P4105" s="6" t="str">
        <f>IFERROR(__xludf.DUMMYFUNCTION("""COMPUTED_VALUE"""),"Devin Griner")</f>
        <v>Devin Griner</v>
      </c>
      <c r="Q4105" s="6" t="str">
        <f>IFERROR(__xludf.DUMMYFUNCTION("""COMPUTED_VALUE"""),"HS")</f>
        <v>HS</v>
      </c>
      <c r="R4105" s="6">
        <f>IFERROR(__xludf.DUMMYFUNCTION("""COMPUTED_VALUE"""),0.0)</f>
        <v>0</v>
      </c>
      <c r="S4105" s="6" t="str">
        <f>IFERROR(__xludf.DUMMYFUNCTION("""COMPUTED_VALUE"""),"Kimberly Ball")</f>
        <v>Kimberly Ball</v>
      </c>
      <c r="T4105" s="6" t="str">
        <f>IFERROR(__xludf.DUMMYFUNCTION("""COMPUTED_VALUE"""),"kimberly.ball@studient.com")</f>
        <v>kimberly.ball@studient.com</v>
      </c>
      <c r="U4105" s="6" t="str">
        <f>IFERROR(__xludf.DUMMYFUNCTION("""COMPUTED_VALUE"""),"12")</f>
        <v>12</v>
      </c>
      <c r="V4105" s="6" t="str">
        <f>IFERROR(__xludf.DUMMYFUNCTION("""COMPUTED_VALUE"""),"")</f>
        <v/>
      </c>
      <c r="W4105" s="6" t="str">
        <f>IFERROR(__xludf.DUMMYFUNCTION("""COMPUTED_VALUE"""),"[]")</f>
        <v>[]</v>
      </c>
      <c r="X4105" s="6" t="str">
        <f>IFERROR(__xludf.DUMMYFUNCTION("""COMPUTED_VALUE"""),"Enrolled")</f>
        <v>Enrolled</v>
      </c>
    </row>
    <row r="4106">
      <c r="A4106" s="6" t="str">
        <f>IFERROR(__xludf.DUMMYFUNCTION("""COMPUTED_VALUE"""),"082-12114")</f>
        <v>082-12114</v>
      </c>
      <c r="B4106" s="6" t="str">
        <f>IFERROR(__xludf.DUMMYFUNCTION("""COMPUTED_VALUE"""),"82")</f>
        <v>82</v>
      </c>
      <c r="C4106" s="6" t="str">
        <f>IFERROR(__xludf.DUMMYFUNCTION("""COMPUTED_VALUE"""),"12114")</f>
        <v>12114</v>
      </c>
      <c r="D4106" s="6" t="str">
        <f>IFERROR(__xludf.DUMMYFUNCTION("""COMPUTED_VALUE"""),"Zanariah")</f>
        <v>Zanariah</v>
      </c>
      <c r="E4106" s="6" t="str">
        <f>IFERROR(__xludf.DUMMYFUNCTION("""COMPUTED_VALUE"""),"")</f>
        <v/>
      </c>
      <c r="F4106" s="6" t="str">
        <f>IFERROR(__xludf.DUMMYFUNCTION("""COMPUTED_VALUE"""),"Harden")</f>
        <v>Harden</v>
      </c>
      <c r="G4106" s="6" t="str">
        <f>IFERROR(__xludf.DUMMYFUNCTION("""COMPUTED_VALUE"""),"07/23/2009")</f>
        <v>07/23/2009</v>
      </c>
      <c r="H4106" s="6" t="str">
        <f>IFERROR(__xludf.DUMMYFUNCTION("""COMPUTED_VALUE"""),"female")</f>
        <v>female</v>
      </c>
      <c r="I4106" s="6" t="str">
        <f>IFERROR(__xludf.DUMMYFUNCTION("""COMPUTED_VALUE"""),"High School")</f>
        <v>High School</v>
      </c>
      <c r="J4106" s="6" t="str">
        <f>IFERROR(__xludf.DUMMYFUNCTION("""COMPUTED_VALUE"""),"9")</f>
        <v>9</v>
      </c>
      <c r="K4106" s="6" t="str">
        <f>IFERROR(__xludf.DUMMYFUNCTION("""COMPUTED_VALUE"""),"zanariah.harden@2hourlearning.com")</f>
        <v>zanariah.harden@2hourlearning.com</v>
      </c>
      <c r="L4106" s="6" t="str">
        <f>IFERROR(__xludf.DUMMYFUNCTION("""COMPUTED_VALUE"""),"AASP - Allendale Aspire Academy")</f>
        <v>AASP - Allendale Aspire Academy</v>
      </c>
      <c r="M4106" s="6" t="str">
        <f>IFERROR(__xludf.DUMMYFUNCTION("""COMPUTED_VALUE"""),"")</f>
        <v/>
      </c>
      <c r="N4106" s="6" t="str">
        <f>IFERROR(__xludf.DUMMYFUNCTION("""COMPUTED_VALUE"""),"")</f>
        <v/>
      </c>
      <c r="O4106" s="87" t="str">
        <f>IFERROR(__xludf.DUMMYFUNCTION("""COMPUTED_VALUE"""),"https://drive.google.com/drive/folders/10T2cTQHqEJZqE-st6uFKPoI?usp=share_link")</f>
        <v>https://drive.google.com/drive/folders/10T2cTQHqEJZqE-st6uFKPoI?usp=share_link</v>
      </c>
      <c r="P4106" s="6" t="str">
        <f>IFERROR(__xludf.DUMMYFUNCTION("""COMPUTED_VALUE"""),"Zanariah Harden")</f>
        <v>Zanariah Harden</v>
      </c>
      <c r="Q4106" s="6" t="str">
        <f>IFERROR(__xludf.DUMMYFUNCTION("""COMPUTED_VALUE"""),"HS")</f>
        <v>HS</v>
      </c>
      <c r="R4106" s="6">
        <f>IFERROR(__xludf.DUMMYFUNCTION("""COMPUTED_VALUE"""),0.0)</f>
        <v>0</v>
      </c>
      <c r="S4106" s="6" t="str">
        <f>IFERROR(__xludf.DUMMYFUNCTION("""COMPUTED_VALUE"""),"Kimberly Ball")</f>
        <v>Kimberly Ball</v>
      </c>
      <c r="T4106" s="6" t="str">
        <f>IFERROR(__xludf.DUMMYFUNCTION("""COMPUTED_VALUE"""),"kimberly.ball@studient.com")</f>
        <v>kimberly.ball@studient.com</v>
      </c>
      <c r="U4106" s="6" t="str">
        <f>IFERROR(__xludf.DUMMYFUNCTION("""COMPUTED_VALUE"""),"9")</f>
        <v>9</v>
      </c>
      <c r="V4106" s="6" t="str">
        <f>IFERROR(__xludf.DUMMYFUNCTION("""COMPUTED_VALUE"""),"")</f>
        <v/>
      </c>
      <c r="W4106" s="6" t="str">
        <f>IFERROR(__xludf.DUMMYFUNCTION("""COMPUTED_VALUE"""),"[]")</f>
        <v>[]</v>
      </c>
      <c r="X4106" s="6" t="str">
        <f>IFERROR(__xludf.DUMMYFUNCTION("""COMPUTED_VALUE"""),"Enrolled")</f>
        <v>Enrolled</v>
      </c>
    </row>
    <row r="4107">
      <c r="A4107" s="6" t="str">
        <f>IFERROR(__xludf.DUMMYFUNCTION("""COMPUTED_VALUE"""),"082-12115")</f>
        <v>082-12115</v>
      </c>
      <c r="B4107" s="6" t="str">
        <f>IFERROR(__xludf.DUMMYFUNCTION("""COMPUTED_VALUE"""),"82")</f>
        <v>82</v>
      </c>
      <c r="C4107" s="6" t="str">
        <f>IFERROR(__xludf.DUMMYFUNCTION("""COMPUTED_VALUE"""),"12115")</f>
        <v>12115</v>
      </c>
      <c r="D4107" s="6" t="str">
        <f>IFERROR(__xludf.DUMMYFUNCTION("""COMPUTED_VALUE"""),"Jaylen")</f>
        <v>Jaylen</v>
      </c>
      <c r="E4107" s="6" t="str">
        <f>IFERROR(__xludf.DUMMYFUNCTION("""COMPUTED_VALUE"""),"")</f>
        <v/>
      </c>
      <c r="F4107" s="6" t="str">
        <f>IFERROR(__xludf.DUMMYFUNCTION("""COMPUTED_VALUE"""),"Jenkins")</f>
        <v>Jenkins</v>
      </c>
      <c r="G4107" s="6" t="str">
        <f>IFERROR(__xludf.DUMMYFUNCTION("""COMPUTED_VALUE"""),"12/19/2009")</f>
        <v>12/19/2009</v>
      </c>
      <c r="H4107" s="6" t="str">
        <f>IFERROR(__xludf.DUMMYFUNCTION("""COMPUTED_VALUE"""),"male")</f>
        <v>male</v>
      </c>
      <c r="I4107" s="6" t="str">
        <f>IFERROR(__xludf.DUMMYFUNCTION("""COMPUTED_VALUE"""),"High School")</f>
        <v>High School</v>
      </c>
      <c r="J4107" s="6" t="str">
        <f>IFERROR(__xludf.DUMMYFUNCTION("""COMPUTED_VALUE"""),"9")</f>
        <v>9</v>
      </c>
      <c r="K4107" s="6" t="str">
        <f>IFERROR(__xludf.DUMMYFUNCTION("""COMPUTED_VALUE"""),"jaylen.jenkins@2hourlearning.com")</f>
        <v>jaylen.jenkins@2hourlearning.com</v>
      </c>
      <c r="L4107" s="6" t="str">
        <f>IFERROR(__xludf.DUMMYFUNCTION("""COMPUTED_VALUE"""),"AASP - Allendale Aspire Academy")</f>
        <v>AASP - Allendale Aspire Academy</v>
      </c>
      <c r="M4107" s="6" t="str">
        <f>IFERROR(__xludf.DUMMYFUNCTION("""COMPUTED_VALUE"""),"")</f>
        <v/>
      </c>
      <c r="N4107" s="6" t="str">
        <f>IFERROR(__xludf.DUMMYFUNCTION("""COMPUTED_VALUE"""),"")</f>
        <v/>
      </c>
      <c r="O4107" s="87" t="str">
        <f>IFERROR(__xludf.DUMMYFUNCTION("""COMPUTED_VALUE"""),"https://drive.google.com/drive/folders/10T2cTQHqEJZqE-st6uFKPoI?usp=share_link")</f>
        <v>https://drive.google.com/drive/folders/10T2cTQHqEJZqE-st6uFKPoI?usp=share_link</v>
      </c>
      <c r="P4107" s="6" t="str">
        <f>IFERROR(__xludf.DUMMYFUNCTION("""COMPUTED_VALUE"""),"Jaylen Jenkins")</f>
        <v>Jaylen Jenkins</v>
      </c>
      <c r="Q4107" s="6" t="str">
        <f>IFERROR(__xludf.DUMMYFUNCTION("""COMPUTED_VALUE"""),"HS")</f>
        <v>HS</v>
      </c>
      <c r="R4107" s="6">
        <f>IFERROR(__xludf.DUMMYFUNCTION("""COMPUTED_VALUE"""),0.0)</f>
        <v>0</v>
      </c>
      <c r="S4107" s="6" t="str">
        <f>IFERROR(__xludf.DUMMYFUNCTION("""COMPUTED_VALUE"""),"Kimberly Ball")</f>
        <v>Kimberly Ball</v>
      </c>
      <c r="T4107" s="6" t="str">
        <f>IFERROR(__xludf.DUMMYFUNCTION("""COMPUTED_VALUE"""),"kimberly.ball@studient.com")</f>
        <v>kimberly.ball@studient.com</v>
      </c>
      <c r="U4107" s="6" t="str">
        <f>IFERROR(__xludf.DUMMYFUNCTION("""COMPUTED_VALUE"""),"9")</f>
        <v>9</v>
      </c>
      <c r="V4107" s="6" t="str">
        <f>IFERROR(__xludf.DUMMYFUNCTION("""COMPUTED_VALUE"""),"")</f>
        <v/>
      </c>
      <c r="W4107" s="6" t="str">
        <f>IFERROR(__xludf.DUMMYFUNCTION("""COMPUTED_VALUE"""),"[]")</f>
        <v>[]</v>
      </c>
      <c r="X4107" s="6" t="str">
        <f>IFERROR(__xludf.DUMMYFUNCTION("""COMPUTED_VALUE"""),"Enrolled")</f>
        <v>Enrolled</v>
      </c>
    </row>
    <row r="4108">
      <c r="A4108" s="6" t="str">
        <f>IFERROR(__xludf.DUMMYFUNCTION("""COMPUTED_VALUE"""),"082-12116")</f>
        <v>082-12116</v>
      </c>
      <c r="B4108" s="6" t="str">
        <f>IFERROR(__xludf.DUMMYFUNCTION("""COMPUTED_VALUE"""),"82")</f>
        <v>82</v>
      </c>
      <c r="C4108" s="6" t="str">
        <f>IFERROR(__xludf.DUMMYFUNCTION("""COMPUTED_VALUE"""),"12116")</f>
        <v>12116</v>
      </c>
      <c r="D4108" s="6" t="str">
        <f>IFERROR(__xludf.DUMMYFUNCTION("""COMPUTED_VALUE"""),"Hermione")</f>
        <v>Hermione</v>
      </c>
      <c r="E4108" s="6" t="str">
        <f>IFERROR(__xludf.DUMMYFUNCTION("""COMPUTED_VALUE"""),"")</f>
        <v/>
      </c>
      <c r="F4108" s="6" t="str">
        <f>IFERROR(__xludf.DUMMYFUNCTION("""COMPUTED_VALUE"""),"Jenkins")</f>
        <v>Jenkins</v>
      </c>
      <c r="G4108" s="6" t="str">
        <f>IFERROR(__xludf.DUMMYFUNCTION("""COMPUTED_VALUE"""),"10/23/2008")</f>
        <v>10/23/2008</v>
      </c>
      <c r="H4108" s="6" t="str">
        <f>IFERROR(__xludf.DUMMYFUNCTION("""COMPUTED_VALUE"""),"female")</f>
        <v>female</v>
      </c>
      <c r="I4108" s="6" t="str">
        <f>IFERROR(__xludf.DUMMYFUNCTION("""COMPUTED_VALUE"""),"High School")</f>
        <v>High School</v>
      </c>
      <c r="J4108" s="6" t="str">
        <f>IFERROR(__xludf.DUMMYFUNCTION("""COMPUTED_VALUE"""),"10")</f>
        <v>10</v>
      </c>
      <c r="K4108" s="6" t="str">
        <f>IFERROR(__xludf.DUMMYFUNCTION("""COMPUTED_VALUE"""),"hermione.jenkins@2hourlearning.com")</f>
        <v>hermione.jenkins@2hourlearning.com</v>
      </c>
      <c r="L4108" s="6" t="str">
        <f>IFERROR(__xludf.DUMMYFUNCTION("""COMPUTED_VALUE"""),"AASP - Allendale Aspire Academy")</f>
        <v>AASP - Allendale Aspire Academy</v>
      </c>
      <c r="M4108" s="6" t="str">
        <f>IFERROR(__xludf.DUMMYFUNCTION("""COMPUTED_VALUE"""),"")</f>
        <v/>
      </c>
      <c r="N4108" s="6" t="str">
        <f>IFERROR(__xludf.DUMMYFUNCTION("""COMPUTED_VALUE"""),"")</f>
        <v/>
      </c>
      <c r="O4108" s="87" t="str">
        <f>IFERROR(__xludf.DUMMYFUNCTION("""COMPUTED_VALUE"""),"https://drive.google.com/drive/folders/10T2cTQHqEJZqE-st6uFKPoI?usp=share_link")</f>
        <v>https://drive.google.com/drive/folders/10T2cTQHqEJZqE-st6uFKPoI?usp=share_link</v>
      </c>
      <c r="P4108" s="6" t="str">
        <f>IFERROR(__xludf.DUMMYFUNCTION("""COMPUTED_VALUE"""),"Hermione Jenkins")</f>
        <v>Hermione Jenkins</v>
      </c>
      <c r="Q4108" s="6" t="str">
        <f>IFERROR(__xludf.DUMMYFUNCTION("""COMPUTED_VALUE"""),"HS")</f>
        <v>HS</v>
      </c>
      <c r="R4108" s="6">
        <f>IFERROR(__xludf.DUMMYFUNCTION("""COMPUTED_VALUE"""),0.0)</f>
        <v>0</v>
      </c>
      <c r="S4108" s="6" t="str">
        <f>IFERROR(__xludf.DUMMYFUNCTION("""COMPUTED_VALUE"""),"Kimberly Ball")</f>
        <v>Kimberly Ball</v>
      </c>
      <c r="T4108" s="6" t="str">
        <f>IFERROR(__xludf.DUMMYFUNCTION("""COMPUTED_VALUE"""),"kimberly.ball@studient.com")</f>
        <v>kimberly.ball@studient.com</v>
      </c>
      <c r="U4108" s="6" t="str">
        <f>IFERROR(__xludf.DUMMYFUNCTION("""COMPUTED_VALUE"""),"10")</f>
        <v>10</v>
      </c>
      <c r="V4108" s="6" t="str">
        <f>IFERROR(__xludf.DUMMYFUNCTION("""COMPUTED_VALUE"""),"")</f>
        <v/>
      </c>
      <c r="W4108" s="6" t="str">
        <f>IFERROR(__xludf.DUMMYFUNCTION("""COMPUTED_VALUE"""),"[]")</f>
        <v>[]</v>
      </c>
      <c r="X4108" s="6" t="str">
        <f>IFERROR(__xludf.DUMMYFUNCTION("""COMPUTED_VALUE"""),"Enrolled")</f>
        <v>Enrolled</v>
      </c>
    </row>
    <row r="4109">
      <c r="A4109" s="6" t="str">
        <f>IFERROR(__xludf.DUMMYFUNCTION("""COMPUTED_VALUE"""),"082-12117")</f>
        <v>082-12117</v>
      </c>
      <c r="B4109" s="6" t="str">
        <f>IFERROR(__xludf.DUMMYFUNCTION("""COMPUTED_VALUE"""),"82")</f>
        <v>82</v>
      </c>
      <c r="C4109" s="6" t="str">
        <f>IFERROR(__xludf.DUMMYFUNCTION("""COMPUTED_VALUE"""),"12117")</f>
        <v>12117</v>
      </c>
      <c r="D4109" s="6" t="str">
        <f>IFERROR(__xludf.DUMMYFUNCTION("""COMPUTED_VALUE"""),"Ja'Quaven")</f>
        <v>Ja'Quaven</v>
      </c>
      <c r="E4109" s="6" t="str">
        <f>IFERROR(__xludf.DUMMYFUNCTION("""COMPUTED_VALUE"""),"")</f>
        <v/>
      </c>
      <c r="F4109" s="6" t="str">
        <f>IFERROR(__xludf.DUMMYFUNCTION("""COMPUTED_VALUE"""),"Mingo")</f>
        <v>Mingo</v>
      </c>
      <c r="G4109" s="6" t="str">
        <f>IFERROR(__xludf.DUMMYFUNCTION("""COMPUTED_VALUE"""),"04/28/2008")</f>
        <v>04/28/2008</v>
      </c>
      <c r="H4109" s="6" t="str">
        <f>IFERROR(__xludf.DUMMYFUNCTION("""COMPUTED_VALUE"""),"male")</f>
        <v>male</v>
      </c>
      <c r="I4109" s="6" t="str">
        <f>IFERROR(__xludf.DUMMYFUNCTION("""COMPUTED_VALUE"""),"High School")</f>
        <v>High School</v>
      </c>
      <c r="J4109" s="6" t="str">
        <f>IFERROR(__xludf.DUMMYFUNCTION("""COMPUTED_VALUE"""),"10")</f>
        <v>10</v>
      </c>
      <c r="K4109" s="6" t="str">
        <f>IFERROR(__xludf.DUMMYFUNCTION("""COMPUTED_VALUE"""),"jaquaven.mingo@2hourlearning.com")</f>
        <v>jaquaven.mingo@2hourlearning.com</v>
      </c>
      <c r="L4109" s="6" t="str">
        <f>IFERROR(__xludf.DUMMYFUNCTION("""COMPUTED_VALUE"""),"AASP - Allendale Aspire Academy")</f>
        <v>AASP - Allendale Aspire Academy</v>
      </c>
      <c r="M4109" s="6" t="str">
        <f>IFERROR(__xludf.DUMMYFUNCTION("""COMPUTED_VALUE"""),"")</f>
        <v/>
      </c>
      <c r="N4109" s="6" t="str">
        <f>IFERROR(__xludf.DUMMYFUNCTION("""COMPUTED_VALUE"""),"")</f>
        <v/>
      </c>
      <c r="O4109" s="87" t="str">
        <f>IFERROR(__xludf.DUMMYFUNCTION("""COMPUTED_VALUE"""),"https://drive.google.com/drive/folders/10T2cTQHqEJZqE-st6uFKPoI?usp=share_link")</f>
        <v>https://drive.google.com/drive/folders/10T2cTQHqEJZqE-st6uFKPoI?usp=share_link</v>
      </c>
      <c r="P4109" s="6" t="str">
        <f>IFERROR(__xludf.DUMMYFUNCTION("""COMPUTED_VALUE"""),"Ja'Quaven Mingo")</f>
        <v>Ja'Quaven Mingo</v>
      </c>
      <c r="Q4109" s="6" t="str">
        <f>IFERROR(__xludf.DUMMYFUNCTION("""COMPUTED_VALUE"""),"HS")</f>
        <v>HS</v>
      </c>
      <c r="R4109" s="6">
        <f>IFERROR(__xludf.DUMMYFUNCTION("""COMPUTED_VALUE"""),0.0)</f>
        <v>0</v>
      </c>
      <c r="S4109" s="6" t="str">
        <f>IFERROR(__xludf.DUMMYFUNCTION("""COMPUTED_VALUE"""),"Kimberly Ball")</f>
        <v>Kimberly Ball</v>
      </c>
      <c r="T4109" s="6" t="str">
        <f>IFERROR(__xludf.DUMMYFUNCTION("""COMPUTED_VALUE"""),"kimberly.ball@studient.com")</f>
        <v>kimberly.ball@studient.com</v>
      </c>
      <c r="U4109" s="6" t="str">
        <f>IFERROR(__xludf.DUMMYFUNCTION("""COMPUTED_VALUE"""),"10")</f>
        <v>10</v>
      </c>
      <c r="V4109" s="6" t="str">
        <f>IFERROR(__xludf.DUMMYFUNCTION("""COMPUTED_VALUE"""),"")</f>
        <v/>
      </c>
      <c r="W4109" s="6" t="str">
        <f>IFERROR(__xludf.DUMMYFUNCTION("""COMPUTED_VALUE"""),"[]")</f>
        <v>[]</v>
      </c>
      <c r="X4109" s="6" t="str">
        <f>IFERROR(__xludf.DUMMYFUNCTION("""COMPUTED_VALUE"""),"Enrolled")</f>
        <v>Enrolled</v>
      </c>
    </row>
    <row r="4110">
      <c r="A4110" s="6" t="str">
        <f>IFERROR(__xludf.DUMMYFUNCTION("""COMPUTED_VALUE"""),"082-12118")</f>
        <v>082-12118</v>
      </c>
      <c r="B4110" s="6" t="str">
        <f>IFERROR(__xludf.DUMMYFUNCTION("""COMPUTED_VALUE"""),"82")</f>
        <v>82</v>
      </c>
      <c r="C4110" s="6" t="str">
        <f>IFERROR(__xludf.DUMMYFUNCTION("""COMPUTED_VALUE"""),"12118")</f>
        <v>12118</v>
      </c>
      <c r="D4110" s="6" t="str">
        <f>IFERROR(__xludf.DUMMYFUNCTION("""COMPUTED_VALUE"""),"Kavion")</f>
        <v>Kavion</v>
      </c>
      <c r="E4110" s="6" t="str">
        <f>IFERROR(__xludf.DUMMYFUNCTION("""COMPUTED_VALUE"""),"")</f>
        <v/>
      </c>
      <c r="F4110" s="6" t="str">
        <f>IFERROR(__xludf.DUMMYFUNCTION("""COMPUTED_VALUE"""),"Patterson")</f>
        <v>Patterson</v>
      </c>
      <c r="G4110" s="6" t="str">
        <f>IFERROR(__xludf.DUMMYFUNCTION("""COMPUTED_VALUE"""),"12/04/2007")</f>
        <v>12/04/2007</v>
      </c>
      <c r="H4110" s="6" t="str">
        <f>IFERROR(__xludf.DUMMYFUNCTION("""COMPUTED_VALUE"""),"male")</f>
        <v>male</v>
      </c>
      <c r="I4110" s="6" t="str">
        <f>IFERROR(__xludf.DUMMYFUNCTION("""COMPUTED_VALUE"""),"High School")</f>
        <v>High School</v>
      </c>
      <c r="J4110" s="6" t="str">
        <f>IFERROR(__xludf.DUMMYFUNCTION("""COMPUTED_VALUE"""),"10")</f>
        <v>10</v>
      </c>
      <c r="K4110" s="6" t="str">
        <f>IFERROR(__xludf.DUMMYFUNCTION("""COMPUTED_VALUE"""),"kavion.patterson@2hourlearning.com")</f>
        <v>kavion.patterson@2hourlearning.com</v>
      </c>
      <c r="L4110" s="6" t="str">
        <f>IFERROR(__xludf.DUMMYFUNCTION("""COMPUTED_VALUE"""),"AASP - Allendale Aspire Academy")</f>
        <v>AASP - Allendale Aspire Academy</v>
      </c>
      <c r="M4110" s="6" t="str">
        <f>IFERROR(__xludf.DUMMYFUNCTION("""COMPUTED_VALUE"""),"")</f>
        <v/>
      </c>
      <c r="N4110" s="6" t="str">
        <f>IFERROR(__xludf.DUMMYFUNCTION("""COMPUTED_VALUE"""),"")</f>
        <v/>
      </c>
      <c r="O4110" s="87" t="str">
        <f>IFERROR(__xludf.DUMMYFUNCTION("""COMPUTED_VALUE"""),"https://drive.google.com/drive/folders/10T2cTQHqEJZqE-st6uFKPoI?usp=share_link")</f>
        <v>https://drive.google.com/drive/folders/10T2cTQHqEJZqE-st6uFKPoI?usp=share_link</v>
      </c>
      <c r="P4110" s="6" t="str">
        <f>IFERROR(__xludf.DUMMYFUNCTION("""COMPUTED_VALUE"""),"Kavion Patterson")</f>
        <v>Kavion Patterson</v>
      </c>
      <c r="Q4110" s="6" t="str">
        <f>IFERROR(__xludf.DUMMYFUNCTION("""COMPUTED_VALUE"""),"HS")</f>
        <v>HS</v>
      </c>
      <c r="R4110" s="6">
        <f>IFERROR(__xludf.DUMMYFUNCTION("""COMPUTED_VALUE"""),0.0)</f>
        <v>0</v>
      </c>
      <c r="S4110" s="6" t="str">
        <f>IFERROR(__xludf.DUMMYFUNCTION("""COMPUTED_VALUE"""),"Kimberly Ball")</f>
        <v>Kimberly Ball</v>
      </c>
      <c r="T4110" s="6" t="str">
        <f>IFERROR(__xludf.DUMMYFUNCTION("""COMPUTED_VALUE"""),"kimberly.ball@studient.com")</f>
        <v>kimberly.ball@studient.com</v>
      </c>
      <c r="U4110" s="6" t="str">
        <f>IFERROR(__xludf.DUMMYFUNCTION("""COMPUTED_VALUE"""),"10")</f>
        <v>10</v>
      </c>
      <c r="V4110" s="6" t="str">
        <f>IFERROR(__xludf.DUMMYFUNCTION("""COMPUTED_VALUE"""),"")</f>
        <v/>
      </c>
      <c r="W4110" s="6" t="str">
        <f>IFERROR(__xludf.DUMMYFUNCTION("""COMPUTED_VALUE"""),"[]")</f>
        <v>[]</v>
      </c>
      <c r="X4110" s="6" t="str">
        <f>IFERROR(__xludf.DUMMYFUNCTION("""COMPUTED_VALUE"""),"Enrolled")</f>
        <v>Enrolled</v>
      </c>
    </row>
    <row r="4111">
      <c r="A4111" s="6" t="str">
        <f>IFERROR(__xludf.DUMMYFUNCTION("""COMPUTED_VALUE"""),"082-12119")</f>
        <v>082-12119</v>
      </c>
      <c r="B4111" s="6" t="str">
        <f>IFERROR(__xludf.DUMMYFUNCTION("""COMPUTED_VALUE"""),"82")</f>
        <v>82</v>
      </c>
      <c r="C4111" s="6" t="str">
        <f>IFERROR(__xludf.DUMMYFUNCTION("""COMPUTED_VALUE"""),"12119")</f>
        <v>12119</v>
      </c>
      <c r="D4111" s="6" t="str">
        <f>IFERROR(__xludf.DUMMYFUNCTION("""COMPUTED_VALUE"""),"Ja'Lawyer")</f>
        <v>Ja'Lawyer</v>
      </c>
      <c r="E4111" s="6" t="str">
        <f>IFERROR(__xludf.DUMMYFUNCTION("""COMPUTED_VALUE"""),"")</f>
        <v/>
      </c>
      <c r="F4111" s="6" t="str">
        <f>IFERROR(__xludf.DUMMYFUNCTION("""COMPUTED_VALUE"""),"Rivers")</f>
        <v>Rivers</v>
      </c>
      <c r="G4111" s="6" t="str">
        <f>IFERROR(__xludf.DUMMYFUNCTION("""COMPUTED_VALUE"""),"11/09/2007")</f>
        <v>11/09/2007</v>
      </c>
      <c r="H4111" s="6" t="str">
        <f>IFERROR(__xludf.DUMMYFUNCTION("""COMPUTED_VALUE"""),"male")</f>
        <v>male</v>
      </c>
      <c r="I4111" s="6" t="str">
        <f>IFERROR(__xludf.DUMMYFUNCTION("""COMPUTED_VALUE"""),"High School")</f>
        <v>High School</v>
      </c>
      <c r="J4111" s="6" t="str">
        <f>IFERROR(__xludf.DUMMYFUNCTION("""COMPUTED_VALUE"""),"10")</f>
        <v>10</v>
      </c>
      <c r="K4111" s="6" t="str">
        <f>IFERROR(__xludf.DUMMYFUNCTION("""COMPUTED_VALUE"""),"jalawyer.rivers@2hourlearning.com")</f>
        <v>jalawyer.rivers@2hourlearning.com</v>
      </c>
      <c r="L4111" s="6" t="str">
        <f>IFERROR(__xludf.DUMMYFUNCTION("""COMPUTED_VALUE"""),"AASP - Allendale Aspire Academy")</f>
        <v>AASP - Allendale Aspire Academy</v>
      </c>
      <c r="M4111" s="6" t="str">
        <f>IFERROR(__xludf.DUMMYFUNCTION("""COMPUTED_VALUE"""),"")</f>
        <v/>
      </c>
      <c r="N4111" s="6" t="str">
        <f>IFERROR(__xludf.DUMMYFUNCTION("""COMPUTED_VALUE"""),"")</f>
        <v/>
      </c>
      <c r="O4111" s="87" t="str">
        <f>IFERROR(__xludf.DUMMYFUNCTION("""COMPUTED_VALUE"""),"https://drive.google.com/drive/folders/10T2cTQHqEJZqE-st6uFKPoI?usp=share_link")</f>
        <v>https://drive.google.com/drive/folders/10T2cTQHqEJZqE-st6uFKPoI?usp=share_link</v>
      </c>
      <c r="P4111" s="6" t="str">
        <f>IFERROR(__xludf.DUMMYFUNCTION("""COMPUTED_VALUE"""),"Ja'Lawyer Rivers")</f>
        <v>Ja'Lawyer Rivers</v>
      </c>
      <c r="Q4111" s="6" t="str">
        <f>IFERROR(__xludf.DUMMYFUNCTION("""COMPUTED_VALUE"""),"HS")</f>
        <v>HS</v>
      </c>
      <c r="R4111" s="6">
        <f>IFERROR(__xludf.DUMMYFUNCTION("""COMPUTED_VALUE"""),0.0)</f>
        <v>0</v>
      </c>
      <c r="S4111" s="6" t="str">
        <f>IFERROR(__xludf.DUMMYFUNCTION("""COMPUTED_VALUE"""),"Kimberly Ball")</f>
        <v>Kimberly Ball</v>
      </c>
      <c r="T4111" s="6" t="str">
        <f>IFERROR(__xludf.DUMMYFUNCTION("""COMPUTED_VALUE"""),"kimberly.ball@studient.com")</f>
        <v>kimberly.ball@studient.com</v>
      </c>
      <c r="U4111" s="6" t="str">
        <f>IFERROR(__xludf.DUMMYFUNCTION("""COMPUTED_VALUE"""),"10")</f>
        <v>10</v>
      </c>
      <c r="V4111" s="6" t="str">
        <f>IFERROR(__xludf.DUMMYFUNCTION("""COMPUTED_VALUE"""),"")</f>
        <v/>
      </c>
      <c r="W4111" s="6" t="str">
        <f>IFERROR(__xludf.DUMMYFUNCTION("""COMPUTED_VALUE"""),"[]")</f>
        <v>[]</v>
      </c>
      <c r="X4111" s="6" t="str">
        <f>IFERROR(__xludf.DUMMYFUNCTION("""COMPUTED_VALUE"""),"Enrolled")</f>
        <v>Enrolled</v>
      </c>
    </row>
    <row r="4112">
      <c r="A4112" s="6" t="str">
        <f>IFERROR(__xludf.DUMMYFUNCTION("""COMPUTED_VALUE"""),"082-13375")</f>
        <v>082-13375</v>
      </c>
      <c r="B4112" s="6" t="str">
        <f>IFERROR(__xludf.DUMMYFUNCTION("""COMPUTED_VALUE"""),"82")</f>
        <v>82</v>
      </c>
      <c r="C4112" s="6" t="str">
        <f>IFERROR(__xludf.DUMMYFUNCTION("""COMPUTED_VALUE"""),"13375")</f>
        <v>13375</v>
      </c>
      <c r="D4112" s="6" t="str">
        <f>IFERROR(__xludf.DUMMYFUNCTION("""COMPUTED_VALUE"""),"Lamar")</f>
        <v>Lamar</v>
      </c>
      <c r="E4112" s="6" t="str">
        <f>IFERROR(__xludf.DUMMYFUNCTION("""COMPUTED_VALUE"""),"")</f>
        <v/>
      </c>
      <c r="F4112" s="6" t="str">
        <f>IFERROR(__xludf.DUMMYFUNCTION("""COMPUTED_VALUE"""),"Adkins")</f>
        <v>Adkins</v>
      </c>
      <c r="G4112" s="6" t="str">
        <f>IFERROR(__xludf.DUMMYFUNCTION("""COMPUTED_VALUE"""),"03/08/2011")</f>
        <v>03/08/2011</v>
      </c>
      <c r="H4112" s="6" t="str">
        <f>IFERROR(__xludf.DUMMYFUNCTION("""COMPUTED_VALUE"""),"male")</f>
        <v>male</v>
      </c>
      <c r="I4112" s="6" t="str">
        <f>IFERROR(__xludf.DUMMYFUNCTION("""COMPUTED_VALUE"""),"Middle School")</f>
        <v>Middle School</v>
      </c>
      <c r="J4112" s="6" t="str">
        <f>IFERROR(__xludf.DUMMYFUNCTION("""COMPUTED_VALUE"""),"7")</f>
        <v>7</v>
      </c>
      <c r="K4112" s="6" t="str">
        <f>IFERROR(__xludf.DUMMYFUNCTION("""COMPUTED_VALUE"""),"lamar.adkins.1@2hourlearning.com")</f>
        <v>lamar.adkins.1@2hourlearning.com</v>
      </c>
      <c r="L4112" s="6" t="str">
        <f>IFERROR(__xludf.DUMMYFUNCTION("""COMPUTED_VALUE"""),"AASP - Allendale Aspire Academy")</f>
        <v>AASP - Allendale Aspire Academy</v>
      </c>
      <c r="M4112" s="6" t="str">
        <f>IFERROR(__xludf.DUMMYFUNCTION("""COMPUTED_VALUE"""),"")</f>
        <v/>
      </c>
      <c r="N4112" s="6" t="str">
        <f>IFERROR(__xludf.DUMMYFUNCTION("""COMPUTED_VALUE"""),"")</f>
        <v/>
      </c>
      <c r="O4112" s="87" t="str">
        <f>IFERROR(__xludf.DUMMYFUNCTION("""COMPUTED_VALUE"""),"https://drive.google.com/drive/folders/10T2cTQHqEJZqE-st6uFKPoI?usp=share_link")</f>
        <v>https://drive.google.com/drive/folders/10T2cTQHqEJZqE-st6uFKPoI?usp=share_link</v>
      </c>
      <c r="P4112" s="6" t="str">
        <f>IFERROR(__xludf.DUMMYFUNCTION("""COMPUTED_VALUE"""),"Lamar Adkins")</f>
        <v>Lamar Adkins</v>
      </c>
      <c r="Q4112" s="6" t="str">
        <f>IFERROR(__xludf.DUMMYFUNCTION("""COMPUTED_VALUE"""),"MS")</f>
        <v>MS</v>
      </c>
      <c r="R4112" s="6">
        <f>IFERROR(__xludf.DUMMYFUNCTION("""COMPUTED_VALUE"""),0.0)</f>
        <v>0</v>
      </c>
      <c r="S4112" s="6" t="str">
        <f>IFERROR(__xludf.DUMMYFUNCTION("""COMPUTED_VALUE""")," ")</f>
        <v> </v>
      </c>
      <c r="T4112" s="6" t="str">
        <f>IFERROR(__xludf.DUMMYFUNCTION("""COMPUTED_VALUE"""),"")</f>
        <v/>
      </c>
      <c r="U4112" s="6" t="str">
        <f>IFERROR(__xludf.DUMMYFUNCTION("""COMPUTED_VALUE"""),"7")</f>
        <v>7</v>
      </c>
      <c r="V4112" s="6" t="str">
        <f>IFERROR(__xludf.DUMMYFUNCTION("""COMPUTED_VALUE"""),"")</f>
        <v/>
      </c>
      <c r="W4112" s="6" t="str">
        <f>IFERROR(__xludf.DUMMYFUNCTION("""COMPUTED_VALUE"""),"[]")</f>
        <v>[]</v>
      </c>
      <c r="X4112" s="6" t="str">
        <f>IFERROR(__xludf.DUMMYFUNCTION("""COMPUTED_VALUE"""),"Enrolled")</f>
        <v>Enrolled</v>
      </c>
    </row>
    <row r="4113">
      <c r="A4113" s="6" t="str">
        <f>IFERROR(__xludf.DUMMYFUNCTION("""COMPUTED_VALUE"""),"082-13376")</f>
        <v>082-13376</v>
      </c>
      <c r="B4113" s="6" t="str">
        <f>IFERROR(__xludf.DUMMYFUNCTION("""COMPUTED_VALUE"""),"82")</f>
        <v>82</v>
      </c>
      <c r="C4113" s="6" t="str">
        <f>IFERROR(__xludf.DUMMYFUNCTION("""COMPUTED_VALUE"""),"13376")</f>
        <v>13376</v>
      </c>
      <c r="D4113" s="6" t="str">
        <f>IFERROR(__xludf.DUMMYFUNCTION("""COMPUTED_VALUE"""),"Keyshawn")</f>
        <v>Keyshawn</v>
      </c>
      <c r="E4113" s="6" t="str">
        <f>IFERROR(__xludf.DUMMYFUNCTION("""COMPUTED_VALUE"""),"")</f>
        <v/>
      </c>
      <c r="F4113" s="6" t="str">
        <f>IFERROR(__xludf.DUMMYFUNCTION("""COMPUTED_VALUE"""),"Banks")</f>
        <v>Banks</v>
      </c>
      <c r="G4113" s="6" t="str">
        <f>IFERROR(__xludf.DUMMYFUNCTION("""COMPUTED_VALUE"""),"11/03/2009")</f>
        <v>11/03/2009</v>
      </c>
      <c r="H4113" s="6" t="str">
        <f>IFERROR(__xludf.DUMMYFUNCTION("""COMPUTED_VALUE"""),"male")</f>
        <v>male</v>
      </c>
      <c r="I4113" s="6" t="str">
        <f>IFERROR(__xludf.DUMMYFUNCTION("""COMPUTED_VALUE"""),"Middle School")</f>
        <v>Middle School</v>
      </c>
      <c r="J4113" s="6" t="str">
        <f>IFERROR(__xludf.DUMMYFUNCTION("""COMPUTED_VALUE"""),"8")</f>
        <v>8</v>
      </c>
      <c r="K4113" s="6" t="str">
        <f>IFERROR(__xludf.DUMMYFUNCTION("""COMPUTED_VALUE"""),"keyshawn.banks.1@2hourlearning.com")</f>
        <v>keyshawn.banks.1@2hourlearning.com</v>
      </c>
      <c r="L4113" s="6" t="str">
        <f>IFERROR(__xludf.DUMMYFUNCTION("""COMPUTED_VALUE"""),"AASP - Allendale Aspire Academy")</f>
        <v>AASP - Allendale Aspire Academy</v>
      </c>
      <c r="M4113" s="6" t="str">
        <f>IFERROR(__xludf.DUMMYFUNCTION("""COMPUTED_VALUE"""),"")</f>
        <v/>
      </c>
      <c r="N4113" s="6" t="str">
        <f>IFERROR(__xludf.DUMMYFUNCTION("""COMPUTED_VALUE"""),"")</f>
        <v/>
      </c>
      <c r="O4113" s="87" t="str">
        <f>IFERROR(__xludf.DUMMYFUNCTION("""COMPUTED_VALUE"""),"https://drive.google.com/drive/folders/10T2cTQHqEJZqE-st6uFKPoI?usp=share_link")</f>
        <v>https://drive.google.com/drive/folders/10T2cTQHqEJZqE-st6uFKPoI?usp=share_link</v>
      </c>
      <c r="P4113" s="6" t="str">
        <f>IFERROR(__xludf.DUMMYFUNCTION("""COMPUTED_VALUE"""),"Keyshawn Banks")</f>
        <v>Keyshawn Banks</v>
      </c>
      <c r="Q4113" s="6" t="str">
        <f>IFERROR(__xludf.DUMMYFUNCTION("""COMPUTED_VALUE"""),"MS")</f>
        <v>MS</v>
      </c>
      <c r="R4113" s="6">
        <f>IFERROR(__xludf.DUMMYFUNCTION("""COMPUTED_VALUE"""),0.0)</f>
        <v>0</v>
      </c>
      <c r="S4113" s="6" t="str">
        <f>IFERROR(__xludf.DUMMYFUNCTION("""COMPUTED_VALUE""")," ")</f>
        <v> </v>
      </c>
      <c r="T4113" s="6" t="str">
        <f>IFERROR(__xludf.DUMMYFUNCTION("""COMPUTED_VALUE"""),"")</f>
        <v/>
      </c>
      <c r="U4113" s="6" t="str">
        <f>IFERROR(__xludf.DUMMYFUNCTION("""COMPUTED_VALUE"""),"8")</f>
        <v>8</v>
      </c>
      <c r="V4113" s="6" t="str">
        <f>IFERROR(__xludf.DUMMYFUNCTION("""COMPUTED_VALUE"""),"")</f>
        <v/>
      </c>
      <c r="W4113" s="6" t="str">
        <f>IFERROR(__xludf.DUMMYFUNCTION("""COMPUTED_VALUE"""),"[]")</f>
        <v>[]</v>
      </c>
      <c r="X4113" s="6" t="str">
        <f>IFERROR(__xludf.DUMMYFUNCTION("""COMPUTED_VALUE"""),"Enrolled")</f>
        <v>Enrolled</v>
      </c>
    </row>
    <row r="4114">
      <c r="A4114" s="6" t="str">
        <f>IFERROR(__xludf.DUMMYFUNCTION("""COMPUTED_VALUE"""),"082-13377")</f>
        <v>082-13377</v>
      </c>
      <c r="B4114" s="6" t="str">
        <f>IFERROR(__xludf.DUMMYFUNCTION("""COMPUTED_VALUE"""),"82")</f>
        <v>82</v>
      </c>
      <c r="C4114" s="6" t="str">
        <f>IFERROR(__xludf.DUMMYFUNCTION("""COMPUTED_VALUE"""),"13377")</f>
        <v>13377</v>
      </c>
      <c r="D4114" s="6" t="str">
        <f>IFERROR(__xludf.DUMMYFUNCTION("""COMPUTED_VALUE"""),"Ziona")</f>
        <v>Ziona</v>
      </c>
      <c r="E4114" s="6" t="str">
        <f>IFERROR(__xludf.DUMMYFUNCTION("""COMPUTED_VALUE"""),"")</f>
        <v/>
      </c>
      <c r="F4114" s="6" t="str">
        <f>IFERROR(__xludf.DUMMYFUNCTION("""COMPUTED_VALUE"""),"Bell")</f>
        <v>Bell</v>
      </c>
      <c r="G4114" s="6" t="str">
        <f>IFERROR(__xludf.DUMMYFUNCTION("""COMPUTED_VALUE"""),"09/09/2011")</f>
        <v>09/09/2011</v>
      </c>
      <c r="H4114" s="6" t="str">
        <f>IFERROR(__xludf.DUMMYFUNCTION("""COMPUTED_VALUE"""),"female")</f>
        <v>female</v>
      </c>
      <c r="I4114" s="6" t="str">
        <f>IFERROR(__xludf.DUMMYFUNCTION("""COMPUTED_VALUE"""),"Middle School")</f>
        <v>Middle School</v>
      </c>
      <c r="J4114" s="6" t="str">
        <f>IFERROR(__xludf.DUMMYFUNCTION("""COMPUTED_VALUE"""),"7")</f>
        <v>7</v>
      </c>
      <c r="K4114" s="6" t="str">
        <f>IFERROR(__xludf.DUMMYFUNCTION("""COMPUTED_VALUE"""),"ziona.bell.1@2hourlearning.com")</f>
        <v>ziona.bell.1@2hourlearning.com</v>
      </c>
      <c r="L4114" s="6" t="str">
        <f>IFERROR(__xludf.DUMMYFUNCTION("""COMPUTED_VALUE"""),"AASP - Allendale Aspire Academy")</f>
        <v>AASP - Allendale Aspire Academy</v>
      </c>
      <c r="M4114" s="6" t="str">
        <f>IFERROR(__xludf.DUMMYFUNCTION("""COMPUTED_VALUE"""),"")</f>
        <v/>
      </c>
      <c r="N4114" s="6" t="str">
        <f>IFERROR(__xludf.DUMMYFUNCTION("""COMPUTED_VALUE"""),"")</f>
        <v/>
      </c>
      <c r="O4114" s="87" t="str">
        <f>IFERROR(__xludf.DUMMYFUNCTION("""COMPUTED_VALUE"""),"https://drive.google.com/drive/folders/10T2cTQHqEJZqE-st6uFKPoI?usp=share_link")</f>
        <v>https://drive.google.com/drive/folders/10T2cTQHqEJZqE-st6uFKPoI?usp=share_link</v>
      </c>
      <c r="P4114" s="6" t="str">
        <f>IFERROR(__xludf.DUMMYFUNCTION("""COMPUTED_VALUE"""),"Ziona Bell")</f>
        <v>Ziona Bell</v>
      </c>
      <c r="Q4114" s="6" t="str">
        <f>IFERROR(__xludf.DUMMYFUNCTION("""COMPUTED_VALUE"""),"MS")</f>
        <v>MS</v>
      </c>
      <c r="R4114" s="6">
        <f>IFERROR(__xludf.DUMMYFUNCTION("""COMPUTED_VALUE"""),0.0)</f>
        <v>0</v>
      </c>
      <c r="S4114" s="6" t="str">
        <f>IFERROR(__xludf.DUMMYFUNCTION("""COMPUTED_VALUE""")," ")</f>
        <v> </v>
      </c>
      <c r="T4114" s="6" t="str">
        <f>IFERROR(__xludf.DUMMYFUNCTION("""COMPUTED_VALUE"""),"")</f>
        <v/>
      </c>
      <c r="U4114" s="6" t="str">
        <f>IFERROR(__xludf.DUMMYFUNCTION("""COMPUTED_VALUE"""),"7")</f>
        <v>7</v>
      </c>
      <c r="V4114" s="6" t="str">
        <f>IFERROR(__xludf.DUMMYFUNCTION("""COMPUTED_VALUE"""),"")</f>
        <v/>
      </c>
      <c r="W4114" s="6" t="str">
        <f>IFERROR(__xludf.DUMMYFUNCTION("""COMPUTED_VALUE"""),"[]")</f>
        <v>[]</v>
      </c>
      <c r="X4114" s="6" t="str">
        <f>IFERROR(__xludf.DUMMYFUNCTION("""COMPUTED_VALUE"""),"Enrolled")</f>
        <v>Enrolled</v>
      </c>
    </row>
    <row r="4115">
      <c r="A4115" s="6" t="str">
        <f>IFERROR(__xludf.DUMMYFUNCTION("""COMPUTED_VALUE"""),"082-13378")</f>
        <v>082-13378</v>
      </c>
      <c r="B4115" s="6" t="str">
        <f>IFERROR(__xludf.DUMMYFUNCTION("""COMPUTED_VALUE"""),"82")</f>
        <v>82</v>
      </c>
      <c r="C4115" s="6" t="str">
        <f>IFERROR(__xludf.DUMMYFUNCTION("""COMPUTED_VALUE"""),"13378")</f>
        <v>13378</v>
      </c>
      <c r="D4115" s="6" t="str">
        <f>IFERROR(__xludf.DUMMYFUNCTION("""COMPUTED_VALUE"""),"Antoine")</f>
        <v>Antoine</v>
      </c>
      <c r="E4115" s="6" t="str">
        <f>IFERROR(__xludf.DUMMYFUNCTION("""COMPUTED_VALUE"""),"")</f>
        <v/>
      </c>
      <c r="F4115" s="6" t="str">
        <f>IFERROR(__xludf.DUMMYFUNCTION("""COMPUTED_VALUE"""),"Clark")</f>
        <v>Clark</v>
      </c>
      <c r="G4115" s="6" t="str">
        <f>IFERROR(__xludf.DUMMYFUNCTION("""COMPUTED_VALUE"""),"08/12/2011")</f>
        <v>08/12/2011</v>
      </c>
      <c r="H4115" s="6" t="str">
        <f>IFERROR(__xludf.DUMMYFUNCTION("""COMPUTED_VALUE"""),"male")</f>
        <v>male</v>
      </c>
      <c r="I4115" s="6" t="str">
        <f>IFERROR(__xludf.DUMMYFUNCTION("""COMPUTED_VALUE"""),"Middle School")</f>
        <v>Middle School</v>
      </c>
      <c r="J4115" s="6" t="str">
        <f>IFERROR(__xludf.DUMMYFUNCTION("""COMPUTED_VALUE"""),"8")</f>
        <v>8</v>
      </c>
      <c r="K4115" s="6" t="str">
        <f>IFERROR(__xludf.DUMMYFUNCTION("""COMPUTED_VALUE"""),"antoine.clark.1@2hourlearning.com")</f>
        <v>antoine.clark.1@2hourlearning.com</v>
      </c>
      <c r="L4115" s="6" t="str">
        <f>IFERROR(__xludf.DUMMYFUNCTION("""COMPUTED_VALUE"""),"AASP - Allendale Aspire Academy")</f>
        <v>AASP - Allendale Aspire Academy</v>
      </c>
      <c r="M4115" s="6" t="str">
        <f>IFERROR(__xludf.DUMMYFUNCTION("""COMPUTED_VALUE"""),"")</f>
        <v/>
      </c>
      <c r="N4115" s="6" t="str">
        <f>IFERROR(__xludf.DUMMYFUNCTION("""COMPUTED_VALUE"""),"")</f>
        <v/>
      </c>
      <c r="O4115" s="87" t="str">
        <f>IFERROR(__xludf.DUMMYFUNCTION("""COMPUTED_VALUE"""),"https://drive.google.com/drive/folders/10T2cTQHqEJZqE-st6uFKPoI?usp=share_link")</f>
        <v>https://drive.google.com/drive/folders/10T2cTQHqEJZqE-st6uFKPoI?usp=share_link</v>
      </c>
      <c r="P4115" s="6" t="str">
        <f>IFERROR(__xludf.DUMMYFUNCTION("""COMPUTED_VALUE"""),"Antoine Clark")</f>
        <v>Antoine Clark</v>
      </c>
      <c r="Q4115" s="6" t="str">
        <f>IFERROR(__xludf.DUMMYFUNCTION("""COMPUTED_VALUE"""),"MS")</f>
        <v>MS</v>
      </c>
      <c r="R4115" s="6">
        <f>IFERROR(__xludf.DUMMYFUNCTION("""COMPUTED_VALUE"""),0.0)</f>
        <v>0</v>
      </c>
      <c r="S4115" s="6" t="str">
        <f>IFERROR(__xludf.DUMMYFUNCTION("""COMPUTED_VALUE""")," ")</f>
        <v> </v>
      </c>
      <c r="T4115" s="6" t="str">
        <f>IFERROR(__xludf.DUMMYFUNCTION("""COMPUTED_VALUE"""),"")</f>
        <v/>
      </c>
      <c r="U4115" s="6" t="str">
        <f>IFERROR(__xludf.DUMMYFUNCTION("""COMPUTED_VALUE"""),"8")</f>
        <v>8</v>
      </c>
      <c r="V4115" s="6" t="str">
        <f>IFERROR(__xludf.DUMMYFUNCTION("""COMPUTED_VALUE"""),"")</f>
        <v/>
      </c>
      <c r="W4115" s="6" t="str">
        <f>IFERROR(__xludf.DUMMYFUNCTION("""COMPUTED_VALUE"""),"[]")</f>
        <v>[]</v>
      </c>
      <c r="X4115" s="6" t="str">
        <f>IFERROR(__xludf.DUMMYFUNCTION("""COMPUTED_VALUE"""),"Enrolled")</f>
        <v>Enrolled</v>
      </c>
    </row>
    <row r="4116">
      <c r="A4116" s="6" t="str">
        <f>IFERROR(__xludf.DUMMYFUNCTION("""COMPUTED_VALUE"""),"082-13379")</f>
        <v>082-13379</v>
      </c>
      <c r="B4116" s="6" t="str">
        <f>IFERROR(__xludf.DUMMYFUNCTION("""COMPUTED_VALUE"""),"82")</f>
        <v>82</v>
      </c>
      <c r="C4116" s="6" t="str">
        <f>IFERROR(__xludf.DUMMYFUNCTION("""COMPUTED_VALUE"""),"13379")</f>
        <v>13379</v>
      </c>
      <c r="D4116" s="6" t="str">
        <f>IFERROR(__xludf.DUMMYFUNCTION("""COMPUTED_VALUE"""),"Jaiden")</f>
        <v>Jaiden</v>
      </c>
      <c r="E4116" s="6" t="str">
        <f>IFERROR(__xludf.DUMMYFUNCTION("""COMPUTED_VALUE"""),"")</f>
        <v/>
      </c>
      <c r="F4116" s="6" t="str">
        <f>IFERROR(__xludf.DUMMYFUNCTION("""COMPUTED_VALUE"""),"Dickerson")</f>
        <v>Dickerson</v>
      </c>
      <c r="G4116" s="6" t="str">
        <f>IFERROR(__xludf.DUMMYFUNCTION("""COMPUTED_VALUE"""),"12/12/2010")</f>
        <v>12/12/2010</v>
      </c>
      <c r="H4116" s="6" t="str">
        <f>IFERROR(__xludf.DUMMYFUNCTION("""COMPUTED_VALUE"""),"male")</f>
        <v>male</v>
      </c>
      <c r="I4116" s="6" t="str">
        <f>IFERROR(__xludf.DUMMYFUNCTION("""COMPUTED_VALUE"""),"Middle School")</f>
        <v>Middle School</v>
      </c>
      <c r="J4116" s="6" t="str">
        <f>IFERROR(__xludf.DUMMYFUNCTION("""COMPUTED_VALUE"""),"8")</f>
        <v>8</v>
      </c>
      <c r="K4116" s="6" t="str">
        <f>IFERROR(__xludf.DUMMYFUNCTION("""COMPUTED_VALUE"""),"jaiden.dickerson.1@2hourlearning.com")</f>
        <v>jaiden.dickerson.1@2hourlearning.com</v>
      </c>
      <c r="L4116" s="6" t="str">
        <f>IFERROR(__xludf.DUMMYFUNCTION("""COMPUTED_VALUE"""),"AASP - Allendale Aspire Academy")</f>
        <v>AASP - Allendale Aspire Academy</v>
      </c>
      <c r="M4116" s="6" t="str">
        <f>IFERROR(__xludf.DUMMYFUNCTION("""COMPUTED_VALUE"""),"")</f>
        <v/>
      </c>
      <c r="N4116" s="6" t="str">
        <f>IFERROR(__xludf.DUMMYFUNCTION("""COMPUTED_VALUE"""),"")</f>
        <v/>
      </c>
      <c r="O4116" s="87" t="str">
        <f>IFERROR(__xludf.DUMMYFUNCTION("""COMPUTED_VALUE"""),"https://drive.google.com/drive/folders/10T2cTQHqEJZqE-st6uFKPoI?usp=share_link")</f>
        <v>https://drive.google.com/drive/folders/10T2cTQHqEJZqE-st6uFKPoI?usp=share_link</v>
      </c>
      <c r="P4116" s="6" t="str">
        <f>IFERROR(__xludf.DUMMYFUNCTION("""COMPUTED_VALUE"""),"Jaiden Dickerson")</f>
        <v>Jaiden Dickerson</v>
      </c>
      <c r="Q4116" s="6" t="str">
        <f>IFERROR(__xludf.DUMMYFUNCTION("""COMPUTED_VALUE"""),"MS")</f>
        <v>MS</v>
      </c>
      <c r="R4116" s="6">
        <f>IFERROR(__xludf.DUMMYFUNCTION("""COMPUTED_VALUE"""),0.0)</f>
        <v>0</v>
      </c>
      <c r="S4116" s="6" t="str">
        <f>IFERROR(__xludf.DUMMYFUNCTION("""COMPUTED_VALUE""")," ")</f>
        <v> </v>
      </c>
      <c r="T4116" s="6" t="str">
        <f>IFERROR(__xludf.DUMMYFUNCTION("""COMPUTED_VALUE"""),"")</f>
        <v/>
      </c>
      <c r="U4116" s="6" t="str">
        <f>IFERROR(__xludf.DUMMYFUNCTION("""COMPUTED_VALUE"""),"8")</f>
        <v>8</v>
      </c>
      <c r="V4116" s="6" t="str">
        <f>IFERROR(__xludf.DUMMYFUNCTION("""COMPUTED_VALUE"""),"")</f>
        <v/>
      </c>
      <c r="W4116" s="6" t="str">
        <f>IFERROR(__xludf.DUMMYFUNCTION("""COMPUTED_VALUE"""),"[]")</f>
        <v>[]</v>
      </c>
      <c r="X4116" s="6" t="str">
        <f>IFERROR(__xludf.DUMMYFUNCTION("""COMPUTED_VALUE"""),"Enrolled")</f>
        <v>Enrolled</v>
      </c>
    </row>
    <row r="4117">
      <c r="A4117" s="6" t="str">
        <f>IFERROR(__xludf.DUMMYFUNCTION("""COMPUTED_VALUE"""),"082-13380")</f>
        <v>082-13380</v>
      </c>
      <c r="B4117" s="6" t="str">
        <f>IFERROR(__xludf.DUMMYFUNCTION("""COMPUTED_VALUE"""),"82")</f>
        <v>82</v>
      </c>
      <c r="C4117" s="6" t="str">
        <f>IFERROR(__xludf.DUMMYFUNCTION("""COMPUTED_VALUE"""),"13380")</f>
        <v>13380</v>
      </c>
      <c r="D4117" s="6" t="str">
        <f>IFERROR(__xludf.DUMMYFUNCTION("""COMPUTED_VALUE"""),"She'Heim")</f>
        <v>She'Heim</v>
      </c>
      <c r="E4117" s="6" t="str">
        <f>IFERROR(__xludf.DUMMYFUNCTION("""COMPUTED_VALUE"""),"")</f>
        <v/>
      </c>
      <c r="F4117" s="6" t="str">
        <f>IFERROR(__xludf.DUMMYFUNCTION("""COMPUTED_VALUE"""),"Holmes")</f>
        <v>Holmes</v>
      </c>
      <c r="G4117" s="6" t="str">
        <f>IFERROR(__xludf.DUMMYFUNCTION("""COMPUTED_VALUE"""),"04/16/2011")</f>
        <v>04/16/2011</v>
      </c>
      <c r="H4117" s="6" t="str">
        <f>IFERROR(__xludf.DUMMYFUNCTION("""COMPUTED_VALUE"""),"male")</f>
        <v>male</v>
      </c>
      <c r="I4117" s="6" t="str">
        <f>IFERROR(__xludf.DUMMYFUNCTION("""COMPUTED_VALUE"""),"Middle School")</f>
        <v>Middle School</v>
      </c>
      <c r="J4117" s="6" t="str">
        <f>IFERROR(__xludf.DUMMYFUNCTION("""COMPUTED_VALUE"""),"8")</f>
        <v>8</v>
      </c>
      <c r="K4117" s="6" t="str">
        <f>IFERROR(__xludf.DUMMYFUNCTION("""COMPUTED_VALUE"""),"sheheim.holmes.1@2hourlearning.com")</f>
        <v>sheheim.holmes.1@2hourlearning.com</v>
      </c>
      <c r="L4117" s="6" t="str">
        <f>IFERROR(__xludf.DUMMYFUNCTION("""COMPUTED_VALUE"""),"AASP - Allendale Aspire Academy")</f>
        <v>AASP - Allendale Aspire Academy</v>
      </c>
      <c r="M4117" s="6" t="str">
        <f>IFERROR(__xludf.DUMMYFUNCTION("""COMPUTED_VALUE"""),"")</f>
        <v/>
      </c>
      <c r="N4117" s="6" t="str">
        <f>IFERROR(__xludf.DUMMYFUNCTION("""COMPUTED_VALUE"""),"")</f>
        <v/>
      </c>
      <c r="O4117" s="87" t="str">
        <f>IFERROR(__xludf.DUMMYFUNCTION("""COMPUTED_VALUE"""),"https://drive.google.com/drive/folders/10T2cTQHqEJZqE-st6uFKPoI?usp=share_link")</f>
        <v>https://drive.google.com/drive/folders/10T2cTQHqEJZqE-st6uFKPoI?usp=share_link</v>
      </c>
      <c r="P4117" s="6" t="str">
        <f>IFERROR(__xludf.DUMMYFUNCTION("""COMPUTED_VALUE"""),"She'Heim Holmes")</f>
        <v>She'Heim Holmes</v>
      </c>
      <c r="Q4117" s="6" t="str">
        <f>IFERROR(__xludf.DUMMYFUNCTION("""COMPUTED_VALUE"""),"MS")</f>
        <v>MS</v>
      </c>
      <c r="R4117" s="6">
        <f>IFERROR(__xludf.DUMMYFUNCTION("""COMPUTED_VALUE"""),0.0)</f>
        <v>0</v>
      </c>
      <c r="S4117" s="6" t="str">
        <f>IFERROR(__xludf.DUMMYFUNCTION("""COMPUTED_VALUE""")," ")</f>
        <v> </v>
      </c>
      <c r="T4117" s="6" t="str">
        <f>IFERROR(__xludf.DUMMYFUNCTION("""COMPUTED_VALUE"""),"")</f>
        <v/>
      </c>
      <c r="U4117" s="6" t="str">
        <f>IFERROR(__xludf.DUMMYFUNCTION("""COMPUTED_VALUE"""),"8")</f>
        <v>8</v>
      </c>
      <c r="V4117" s="6" t="str">
        <f>IFERROR(__xludf.DUMMYFUNCTION("""COMPUTED_VALUE"""),"")</f>
        <v/>
      </c>
      <c r="W4117" s="6" t="str">
        <f>IFERROR(__xludf.DUMMYFUNCTION("""COMPUTED_VALUE"""),"[]")</f>
        <v>[]</v>
      </c>
      <c r="X4117" s="6" t="str">
        <f>IFERROR(__xludf.DUMMYFUNCTION("""COMPUTED_VALUE"""),"Enrolled")</f>
        <v>Enrolled</v>
      </c>
    </row>
    <row r="4118">
      <c r="A4118" s="6" t="str">
        <f>IFERROR(__xludf.DUMMYFUNCTION("""COMPUTED_VALUE"""),"082-13381")</f>
        <v>082-13381</v>
      </c>
      <c r="B4118" s="6" t="str">
        <f>IFERROR(__xludf.DUMMYFUNCTION("""COMPUTED_VALUE"""),"82")</f>
        <v>82</v>
      </c>
      <c r="C4118" s="6" t="str">
        <f>IFERROR(__xludf.DUMMYFUNCTION("""COMPUTED_VALUE"""),"13381")</f>
        <v>13381</v>
      </c>
      <c r="D4118" s="6" t="str">
        <f>IFERROR(__xludf.DUMMYFUNCTION("""COMPUTED_VALUE"""),"Ta'leah")</f>
        <v>Ta'leah</v>
      </c>
      <c r="E4118" s="6" t="str">
        <f>IFERROR(__xludf.DUMMYFUNCTION("""COMPUTED_VALUE"""),"")</f>
        <v/>
      </c>
      <c r="F4118" s="6" t="str">
        <f>IFERROR(__xludf.DUMMYFUNCTION("""COMPUTED_VALUE"""),"Williams")</f>
        <v>Williams</v>
      </c>
      <c r="G4118" s="6" t="str">
        <f>IFERROR(__xludf.DUMMYFUNCTION("""COMPUTED_VALUE"""),"07/13/2012")</f>
        <v>07/13/2012</v>
      </c>
      <c r="H4118" s="6" t="str">
        <f>IFERROR(__xludf.DUMMYFUNCTION("""COMPUTED_VALUE"""),"female")</f>
        <v>female</v>
      </c>
      <c r="I4118" s="6" t="str">
        <f>IFERROR(__xludf.DUMMYFUNCTION("""COMPUTED_VALUE"""),"Middle School")</f>
        <v>Middle School</v>
      </c>
      <c r="J4118" s="6" t="str">
        <f>IFERROR(__xludf.DUMMYFUNCTION("""COMPUTED_VALUE"""),"8")</f>
        <v>8</v>
      </c>
      <c r="K4118" s="6" t="str">
        <f>IFERROR(__xludf.DUMMYFUNCTION("""COMPUTED_VALUE"""),"taleah.williams.1@2hourlearning.com")</f>
        <v>taleah.williams.1@2hourlearning.com</v>
      </c>
      <c r="L4118" s="6" t="str">
        <f>IFERROR(__xludf.DUMMYFUNCTION("""COMPUTED_VALUE"""),"AASP - Allendale Aspire Academy")</f>
        <v>AASP - Allendale Aspire Academy</v>
      </c>
      <c r="M4118" s="6" t="str">
        <f>IFERROR(__xludf.DUMMYFUNCTION("""COMPUTED_VALUE"""),"")</f>
        <v/>
      </c>
      <c r="N4118" s="6" t="str">
        <f>IFERROR(__xludf.DUMMYFUNCTION("""COMPUTED_VALUE"""),"")</f>
        <v/>
      </c>
      <c r="O4118" s="87" t="str">
        <f>IFERROR(__xludf.DUMMYFUNCTION("""COMPUTED_VALUE"""),"https://drive.google.com/drive/folders/10T2cTQHqEJZqE-st6uFKPoI?usp=share_link")</f>
        <v>https://drive.google.com/drive/folders/10T2cTQHqEJZqE-st6uFKPoI?usp=share_link</v>
      </c>
      <c r="P4118" s="6" t="str">
        <f>IFERROR(__xludf.DUMMYFUNCTION("""COMPUTED_VALUE"""),"Ta'leah Williams")</f>
        <v>Ta'leah Williams</v>
      </c>
      <c r="Q4118" s="6" t="str">
        <f>IFERROR(__xludf.DUMMYFUNCTION("""COMPUTED_VALUE"""),"MS")</f>
        <v>MS</v>
      </c>
      <c r="R4118" s="6">
        <f>IFERROR(__xludf.DUMMYFUNCTION("""COMPUTED_VALUE"""),0.0)</f>
        <v>0</v>
      </c>
      <c r="S4118" s="6" t="str">
        <f>IFERROR(__xludf.DUMMYFUNCTION("""COMPUTED_VALUE""")," ")</f>
        <v> </v>
      </c>
      <c r="T4118" s="6" t="str">
        <f>IFERROR(__xludf.DUMMYFUNCTION("""COMPUTED_VALUE"""),"")</f>
        <v/>
      </c>
      <c r="U4118" s="6" t="str">
        <f>IFERROR(__xludf.DUMMYFUNCTION("""COMPUTED_VALUE"""),"8")</f>
        <v>8</v>
      </c>
      <c r="V4118" s="6" t="str">
        <f>IFERROR(__xludf.DUMMYFUNCTION("""COMPUTED_VALUE"""),"")</f>
        <v/>
      </c>
      <c r="W4118" s="6" t="str">
        <f>IFERROR(__xludf.DUMMYFUNCTION("""COMPUTED_VALUE"""),"[]")</f>
        <v>[]</v>
      </c>
      <c r="X4118" s="6" t="str">
        <f>IFERROR(__xludf.DUMMYFUNCTION("""COMPUTED_VALUE"""),"Enrolled")</f>
        <v>Enrolled</v>
      </c>
    </row>
    <row r="4119">
      <c r="A4119" s="6" t="str">
        <f>IFERROR(__xludf.DUMMYFUNCTION("""COMPUTED_VALUE"""),"082-13382")</f>
        <v>082-13382</v>
      </c>
      <c r="B4119" s="6" t="str">
        <f>IFERROR(__xludf.DUMMYFUNCTION("""COMPUTED_VALUE"""),"82")</f>
        <v>82</v>
      </c>
      <c r="C4119" s="6" t="str">
        <f>IFERROR(__xludf.DUMMYFUNCTION("""COMPUTED_VALUE"""),"13382")</f>
        <v>13382</v>
      </c>
      <c r="D4119" s="6" t="str">
        <f>IFERROR(__xludf.DUMMYFUNCTION("""COMPUTED_VALUE"""),"Damarion")</f>
        <v>Damarion</v>
      </c>
      <c r="E4119" s="6" t="str">
        <f>IFERROR(__xludf.DUMMYFUNCTION("""COMPUTED_VALUE"""),"")</f>
        <v/>
      </c>
      <c r="F4119" s="6" t="str">
        <f>IFERROR(__xludf.DUMMYFUNCTION("""COMPUTED_VALUE"""),"Youmans")</f>
        <v>Youmans</v>
      </c>
      <c r="G4119" s="6" t="str">
        <f>IFERROR(__xludf.DUMMYFUNCTION("""COMPUTED_VALUE"""),"12/17/2009")</f>
        <v>12/17/2009</v>
      </c>
      <c r="H4119" s="6" t="str">
        <f>IFERROR(__xludf.DUMMYFUNCTION("""COMPUTED_VALUE"""),"male")</f>
        <v>male</v>
      </c>
      <c r="I4119" s="6" t="str">
        <f>IFERROR(__xludf.DUMMYFUNCTION("""COMPUTED_VALUE"""),"Middle School")</f>
        <v>Middle School</v>
      </c>
      <c r="J4119" s="6" t="str">
        <f>IFERROR(__xludf.DUMMYFUNCTION("""COMPUTED_VALUE"""),"8")</f>
        <v>8</v>
      </c>
      <c r="K4119" s="6" t="str">
        <f>IFERROR(__xludf.DUMMYFUNCTION("""COMPUTED_VALUE"""),"damarion.youmans.1@2hourlearning.com")</f>
        <v>damarion.youmans.1@2hourlearning.com</v>
      </c>
      <c r="L4119" s="6" t="str">
        <f>IFERROR(__xludf.DUMMYFUNCTION("""COMPUTED_VALUE"""),"AASP - Allendale Aspire Academy")</f>
        <v>AASP - Allendale Aspire Academy</v>
      </c>
      <c r="M4119" s="6" t="str">
        <f>IFERROR(__xludf.DUMMYFUNCTION("""COMPUTED_VALUE"""),"")</f>
        <v/>
      </c>
      <c r="N4119" s="6" t="str">
        <f>IFERROR(__xludf.DUMMYFUNCTION("""COMPUTED_VALUE"""),"")</f>
        <v/>
      </c>
      <c r="O4119" s="87" t="str">
        <f>IFERROR(__xludf.DUMMYFUNCTION("""COMPUTED_VALUE"""),"https://drive.google.com/drive/folders/10T2cTQHqEJZqE-st6uFKPoI?usp=share_link")</f>
        <v>https://drive.google.com/drive/folders/10T2cTQHqEJZqE-st6uFKPoI?usp=share_link</v>
      </c>
      <c r="P4119" s="6" t="str">
        <f>IFERROR(__xludf.DUMMYFUNCTION("""COMPUTED_VALUE"""),"Damarion Youmans")</f>
        <v>Damarion Youmans</v>
      </c>
      <c r="Q4119" s="6" t="str">
        <f>IFERROR(__xludf.DUMMYFUNCTION("""COMPUTED_VALUE"""),"MS")</f>
        <v>MS</v>
      </c>
      <c r="R4119" s="6">
        <f>IFERROR(__xludf.DUMMYFUNCTION("""COMPUTED_VALUE"""),0.0)</f>
        <v>0</v>
      </c>
      <c r="S4119" s="6" t="str">
        <f>IFERROR(__xludf.DUMMYFUNCTION("""COMPUTED_VALUE""")," ")</f>
        <v> </v>
      </c>
      <c r="T4119" s="6" t="str">
        <f>IFERROR(__xludf.DUMMYFUNCTION("""COMPUTED_VALUE"""),"")</f>
        <v/>
      </c>
      <c r="U4119" s="6" t="str">
        <f>IFERROR(__xludf.DUMMYFUNCTION("""COMPUTED_VALUE"""),"8")</f>
        <v>8</v>
      </c>
      <c r="V4119" s="6" t="str">
        <f>IFERROR(__xludf.DUMMYFUNCTION("""COMPUTED_VALUE"""),"")</f>
        <v/>
      </c>
      <c r="W4119" s="6" t="str">
        <f>IFERROR(__xludf.DUMMYFUNCTION("""COMPUTED_VALUE"""),"[]")</f>
        <v>[]</v>
      </c>
      <c r="X4119" s="6" t="str">
        <f>IFERROR(__xludf.DUMMYFUNCTION("""COMPUTED_VALUE"""),"Enrolled")</f>
        <v>Enrolled</v>
      </c>
    </row>
    <row r="4120">
      <c r="A4120" s="6" t="str">
        <f>IFERROR(__xludf.DUMMYFUNCTION("""COMPUTED_VALUE"""),"082-13383")</f>
        <v>082-13383</v>
      </c>
      <c r="B4120" s="6" t="str">
        <f>IFERROR(__xludf.DUMMYFUNCTION("""COMPUTED_VALUE"""),"82")</f>
        <v>82</v>
      </c>
      <c r="C4120" s="6" t="str">
        <f>IFERROR(__xludf.DUMMYFUNCTION("""COMPUTED_VALUE"""),"13383")</f>
        <v>13383</v>
      </c>
      <c r="D4120" s="6" t="str">
        <f>IFERROR(__xludf.DUMMYFUNCTION("""COMPUTED_VALUE"""),"Ezekiel")</f>
        <v>Ezekiel</v>
      </c>
      <c r="E4120" s="6" t="str">
        <f>IFERROR(__xludf.DUMMYFUNCTION("""COMPUTED_VALUE"""),"")</f>
        <v/>
      </c>
      <c r="F4120" s="6" t="str">
        <f>IFERROR(__xludf.DUMMYFUNCTION("""COMPUTED_VALUE"""),"Osborn")</f>
        <v>Osborn</v>
      </c>
      <c r="G4120" s="6" t="str">
        <f>IFERROR(__xludf.DUMMYFUNCTION("""COMPUTED_VALUE"""),"10/18/2011")</f>
        <v>10/18/2011</v>
      </c>
      <c r="H4120" s="6" t="str">
        <f>IFERROR(__xludf.DUMMYFUNCTION("""COMPUTED_VALUE"""),"male")</f>
        <v>male</v>
      </c>
      <c r="I4120" s="6" t="str">
        <f>IFERROR(__xludf.DUMMYFUNCTION("""COMPUTED_VALUE"""),"Middle School")</f>
        <v>Middle School</v>
      </c>
      <c r="J4120" s="6" t="str">
        <f>IFERROR(__xludf.DUMMYFUNCTION("""COMPUTED_VALUE"""),"6")</f>
        <v>6</v>
      </c>
      <c r="K4120" s="6" t="str">
        <f>IFERROR(__xludf.DUMMYFUNCTION("""COMPUTED_VALUE"""),"ezekiel.osborn.1@2hourlearning.com")</f>
        <v>ezekiel.osborn.1@2hourlearning.com</v>
      </c>
      <c r="L4120" s="6" t="str">
        <f>IFERROR(__xludf.DUMMYFUNCTION("""COMPUTED_VALUE"""),"AASP - Allendale Aspire Academy")</f>
        <v>AASP - Allendale Aspire Academy</v>
      </c>
      <c r="M4120" s="6" t="str">
        <f>IFERROR(__xludf.DUMMYFUNCTION("""COMPUTED_VALUE"""),"")</f>
        <v/>
      </c>
      <c r="N4120" s="6" t="str">
        <f>IFERROR(__xludf.DUMMYFUNCTION("""COMPUTED_VALUE"""),"")</f>
        <v/>
      </c>
      <c r="O4120" s="87" t="str">
        <f>IFERROR(__xludf.DUMMYFUNCTION("""COMPUTED_VALUE"""),"https://drive.google.com/drive/folders/10T2cTQHqEJZqE-st6uFKPoI?usp=share_link")</f>
        <v>https://drive.google.com/drive/folders/10T2cTQHqEJZqE-st6uFKPoI?usp=share_link</v>
      </c>
      <c r="P4120" s="6" t="str">
        <f>IFERROR(__xludf.DUMMYFUNCTION("""COMPUTED_VALUE"""),"Ezekiel Osborn")</f>
        <v>Ezekiel Osborn</v>
      </c>
      <c r="Q4120" s="6" t="str">
        <f>IFERROR(__xludf.DUMMYFUNCTION("""COMPUTED_VALUE"""),"MS")</f>
        <v>MS</v>
      </c>
      <c r="R4120" s="6">
        <f>IFERROR(__xludf.DUMMYFUNCTION("""COMPUTED_VALUE"""),0.0)</f>
        <v>0</v>
      </c>
      <c r="S4120" s="6" t="str">
        <f>IFERROR(__xludf.DUMMYFUNCTION("""COMPUTED_VALUE""")," ")</f>
        <v> </v>
      </c>
      <c r="T4120" s="6" t="str">
        <f>IFERROR(__xludf.DUMMYFUNCTION("""COMPUTED_VALUE"""),"")</f>
        <v/>
      </c>
      <c r="U4120" s="6" t="str">
        <f>IFERROR(__xludf.DUMMYFUNCTION("""COMPUTED_VALUE"""),"6")</f>
        <v>6</v>
      </c>
      <c r="V4120" s="6" t="str">
        <f>IFERROR(__xludf.DUMMYFUNCTION("""COMPUTED_VALUE"""),"")</f>
        <v/>
      </c>
      <c r="W4120" s="6" t="str">
        <f>IFERROR(__xludf.DUMMYFUNCTION("""COMPUTED_VALUE"""),"[]")</f>
        <v>[]</v>
      </c>
      <c r="X4120" s="6" t="str">
        <f>IFERROR(__xludf.DUMMYFUNCTION("""COMPUTED_VALUE"""),"Enrolled")</f>
        <v>Enrolled</v>
      </c>
    </row>
    <row r="4121">
      <c r="A4121" s="6" t="str">
        <f>IFERROR(__xludf.DUMMYFUNCTION("""COMPUTED_VALUE"""),"082-13384")</f>
        <v>082-13384</v>
      </c>
      <c r="B4121" s="6" t="str">
        <f>IFERROR(__xludf.DUMMYFUNCTION("""COMPUTED_VALUE"""),"82")</f>
        <v>82</v>
      </c>
      <c r="C4121" s="6" t="str">
        <f>IFERROR(__xludf.DUMMYFUNCTION("""COMPUTED_VALUE"""),"13384")</f>
        <v>13384</v>
      </c>
      <c r="D4121" s="6" t="str">
        <f>IFERROR(__xludf.DUMMYFUNCTION("""COMPUTED_VALUE"""),"Henry")</f>
        <v>Henry</v>
      </c>
      <c r="E4121" s="6" t="str">
        <f>IFERROR(__xludf.DUMMYFUNCTION("""COMPUTED_VALUE"""),"")</f>
        <v/>
      </c>
      <c r="F4121" s="6" t="str">
        <f>IFERROR(__xludf.DUMMYFUNCTION("""COMPUTED_VALUE"""),"Schlins")</f>
        <v>Schlins</v>
      </c>
      <c r="G4121" s="6" t="str">
        <f>IFERROR(__xludf.DUMMYFUNCTION("""COMPUTED_VALUE"""),"06/10/2014")</f>
        <v>06/10/2014</v>
      </c>
      <c r="H4121" s="6" t="str">
        <f>IFERROR(__xludf.DUMMYFUNCTION("""COMPUTED_VALUE"""),"male")</f>
        <v>male</v>
      </c>
      <c r="I4121" s="6" t="str">
        <f>IFERROR(__xludf.DUMMYFUNCTION("""COMPUTED_VALUE"""),"Middle School")</f>
        <v>Middle School</v>
      </c>
      <c r="J4121" s="6" t="str">
        <f>IFERROR(__xludf.DUMMYFUNCTION("""COMPUTED_VALUE"""),"6")</f>
        <v>6</v>
      </c>
      <c r="K4121" s="6" t="str">
        <f>IFERROR(__xludf.DUMMYFUNCTION("""COMPUTED_VALUE"""),"henry.schlins.1@2hourlearning.com")</f>
        <v>henry.schlins.1@2hourlearning.com</v>
      </c>
      <c r="L4121" s="6" t="str">
        <f>IFERROR(__xludf.DUMMYFUNCTION("""COMPUTED_VALUE"""),"AASP - Allendale Aspire Academy")</f>
        <v>AASP - Allendale Aspire Academy</v>
      </c>
      <c r="M4121" s="6" t="str">
        <f>IFERROR(__xludf.DUMMYFUNCTION("""COMPUTED_VALUE"""),"")</f>
        <v/>
      </c>
      <c r="N4121" s="6" t="str">
        <f>IFERROR(__xludf.DUMMYFUNCTION("""COMPUTED_VALUE"""),"")</f>
        <v/>
      </c>
      <c r="O4121" s="87" t="str">
        <f>IFERROR(__xludf.DUMMYFUNCTION("""COMPUTED_VALUE"""),"https://drive.google.com/drive/folders/10T2cTQHqEJZqE-st6uFKPoI?usp=share_link")</f>
        <v>https://drive.google.com/drive/folders/10T2cTQHqEJZqE-st6uFKPoI?usp=share_link</v>
      </c>
      <c r="P4121" s="6" t="str">
        <f>IFERROR(__xludf.DUMMYFUNCTION("""COMPUTED_VALUE"""),"Henry Schlins")</f>
        <v>Henry Schlins</v>
      </c>
      <c r="Q4121" s="6" t="str">
        <f>IFERROR(__xludf.DUMMYFUNCTION("""COMPUTED_VALUE"""),"MS")</f>
        <v>MS</v>
      </c>
      <c r="R4121" s="6">
        <f>IFERROR(__xludf.DUMMYFUNCTION("""COMPUTED_VALUE"""),0.0)</f>
        <v>0</v>
      </c>
      <c r="S4121" s="6" t="str">
        <f>IFERROR(__xludf.DUMMYFUNCTION("""COMPUTED_VALUE""")," ")</f>
        <v> </v>
      </c>
      <c r="T4121" s="6" t="str">
        <f>IFERROR(__xludf.DUMMYFUNCTION("""COMPUTED_VALUE"""),"")</f>
        <v/>
      </c>
      <c r="U4121" s="6" t="str">
        <f>IFERROR(__xludf.DUMMYFUNCTION("""COMPUTED_VALUE"""),"6")</f>
        <v>6</v>
      </c>
      <c r="V4121" s="6" t="str">
        <f>IFERROR(__xludf.DUMMYFUNCTION("""COMPUTED_VALUE"""),"")</f>
        <v/>
      </c>
      <c r="W4121" s="6" t="str">
        <f>IFERROR(__xludf.DUMMYFUNCTION("""COMPUTED_VALUE"""),"[]")</f>
        <v>[]</v>
      </c>
      <c r="X4121" s="6" t="str">
        <f>IFERROR(__xludf.DUMMYFUNCTION("""COMPUTED_VALUE"""),"Enrolled")</f>
        <v>Enrolled</v>
      </c>
    </row>
    <row r="4122">
      <c r="A4122" s="6" t="str">
        <f>IFERROR(__xludf.DUMMYFUNCTION("""COMPUTED_VALUE"""),"082-13385")</f>
        <v>082-13385</v>
      </c>
      <c r="B4122" s="6" t="str">
        <f>IFERROR(__xludf.DUMMYFUNCTION("""COMPUTED_VALUE"""),"82")</f>
        <v>82</v>
      </c>
      <c r="C4122" s="6" t="str">
        <f>IFERROR(__xludf.DUMMYFUNCTION("""COMPUTED_VALUE"""),"13385")</f>
        <v>13385</v>
      </c>
      <c r="D4122" s="6" t="str">
        <f>IFERROR(__xludf.DUMMYFUNCTION("""COMPUTED_VALUE"""),"Jayden")</f>
        <v>Jayden</v>
      </c>
      <c r="E4122" s="6" t="str">
        <f>IFERROR(__xludf.DUMMYFUNCTION("""COMPUTED_VALUE"""),"")</f>
        <v/>
      </c>
      <c r="F4122" s="6" t="str">
        <f>IFERROR(__xludf.DUMMYFUNCTION("""COMPUTED_VALUE"""),"Johnson")</f>
        <v>Johnson</v>
      </c>
      <c r="G4122" s="6" t="str">
        <f>IFERROR(__xludf.DUMMYFUNCTION("""COMPUTED_VALUE"""),"09/03/2010")</f>
        <v>09/03/2010</v>
      </c>
      <c r="H4122" s="6" t="str">
        <f>IFERROR(__xludf.DUMMYFUNCTION("""COMPUTED_VALUE"""),"male")</f>
        <v>male</v>
      </c>
      <c r="I4122" s="6" t="str">
        <f>IFERROR(__xludf.DUMMYFUNCTION("""COMPUTED_VALUE"""),"Middle School")</f>
        <v>Middle School</v>
      </c>
      <c r="J4122" s="6" t="str">
        <f>IFERROR(__xludf.DUMMYFUNCTION("""COMPUTED_VALUE"""),"8")</f>
        <v>8</v>
      </c>
      <c r="K4122" s="6" t="str">
        <f>IFERROR(__xludf.DUMMYFUNCTION("""COMPUTED_VALUE"""),"jayden.johnson.1@2hourlearning.com")</f>
        <v>jayden.johnson.1@2hourlearning.com</v>
      </c>
      <c r="L4122" s="6" t="str">
        <f>IFERROR(__xludf.DUMMYFUNCTION("""COMPUTED_VALUE"""),"AASP - Allendale Aspire Academy")</f>
        <v>AASP - Allendale Aspire Academy</v>
      </c>
      <c r="M4122" s="6" t="str">
        <f>IFERROR(__xludf.DUMMYFUNCTION("""COMPUTED_VALUE"""),"")</f>
        <v/>
      </c>
      <c r="N4122" s="6" t="str">
        <f>IFERROR(__xludf.DUMMYFUNCTION("""COMPUTED_VALUE"""),"")</f>
        <v/>
      </c>
      <c r="O4122" s="87" t="str">
        <f>IFERROR(__xludf.DUMMYFUNCTION("""COMPUTED_VALUE"""),"https://drive.google.com/drive/folders/10T2cTQHqEJZqE-st6uFKPoI?usp=share_link")</f>
        <v>https://drive.google.com/drive/folders/10T2cTQHqEJZqE-st6uFKPoI?usp=share_link</v>
      </c>
      <c r="P4122" s="6" t="str">
        <f>IFERROR(__xludf.DUMMYFUNCTION("""COMPUTED_VALUE"""),"Jayden Johnson")</f>
        <v>Jayden Johnson</v>
      </c>
      <c r="Q4122" s="6" t="str">
        <f>IFERROR(__xludf.DUMMYFUNCTION("""COMPUTED_VALUE"""),"MS")</f>
        <v>MS</v>
      </c>
      <c r="R4122" s="6">
        <f>IFERROR(__xludf.DUMMYFUNCTION("""COMPUTED_VALUE"""),0.0)</f>
        <v>0</v>
      </c>
      <c r="S4122" s="6" t="str">
        <f>IFERROR(__xludf.DUMMYFUNCTION("""COMPUTED_VALUE""")," ")</f>
        <v> </v>
      </c>
      <c r="T4122" s="6" t="str">
        <f>IFERROR(__xludf.DUMMYFUNCTION("""COMPUTED_VALUE"""),"")</f>
        <v/>
      </c>
      <c r="U4122" s="6" t="str">
        <f>IFERROR(__xludf.DUMMYFUNCTION("""COMPUTED_VALUE"""),"8")</f>
        <v>8</v>
      </c>
      <c r="V4122" s="6" t="str">
        <f>IFERROR(__xludf.DUMMYFUNCTION("""COMPUTED_VALUE"""),"")</f>
        <v/>
      </c>
      <c r="W4122" s="6" t="str">
        <f>IFERROR(__xludf.DUMMYFUNCTION("""COMPUTED_VALUE"""),"[]")</f>
        <v>[]</v>
      </c>
      <c r="X4122" s="6" t="str">
        <f>IFERROR(__xludf.DUMMYFUNCTION("""COMPUTED_VALUE"""),"Enrolled")</f>
        <v>Enrolled</v>
      </c>
    </row>
    <row r="4123">
      <c r="A4123" s="6" t="str">
        <f>IFERROR(__xludf.DUMMYFUNCTION("""COMPUTED_VALUE"""),"083-11410")</f>
        <v>083-11410</v>
      </c>
      <c r="B4123" s="6" t="str">
        <f>IFERROR(__xludf.DUMMYFUNCTION("""COMPUTED_VALUE"""),"83")</f>
        <v>83</v>
      </c>
      <c r="C4123" s="6" t="str">
        <f>IFERROR(__xludf.DUMMYFUNCTION("""COMPUTED_VALUE"""),"11410")</f>
        <v>11410</v>
      </c>
      <c r="D4123" s="6" t="str">
        <f>IFERROR(__xludf.DUMMYFUNCTION("""COMPUTED_VALUE"""),"Deshoun")</f>
        <v>Deshoun</v>
      </c>
      <c r="E4123" s="6" t="str">
        <f>IFERROR(__xludf.DUMMYFUNCTION("""COMPUTED_VALUE"""),"")</f>
        <v/>
      </c>
      <c r="F4123" s="6" t="str">
        <f>IFERROR(__xludf.DUMMYFUNCTION("""COMPUTED_VALUE"""),"Martin")</f>
        <v>Martin</v>
      </c>
      <c r="G4123" s="6" t="str">
        <f>IFERROR(__xludf.DUMMYFUNCTION("""COMPUTED_VALUE"""),"08/07/2017")</f>
        <v>08/07/2017</v>
      </c>
      <c r="H4123" s="6" t="str">
        <f>IFERROR(__xludf.DUMMYFUNCTION("""COMPUTED_VALUE"""),"male")</f>
        <v>male</v>
      </c>
      <c r="I4123" s="6" t="str">
        <f>IFERROR(__xludf.DUMMYFUNCTION("""COMPUTED_VALUE"""),"Level 1")</f>
        <v>Level 1</v>
      </c>
      <c r="J4123" s="6" t="str">
        <f>IFERROR(__xludf.DUMMYFUNCTION("""COMPUTED_VALUE"""),"2")</f>
        <v>2</v>
      </c>
      <c r="K4123" s="6" t="str">
        <f>IFERROR(__xludf.DUMMYFUNCTION("""COMPUTED_VALUE"""),"deshoun.martin@2hourlearning.com")</f>
        <v>deshoun.martin@2hourlearning.com</v>
      </c>
      <c r="L4123" s="6" t="str">
        <f>IFERROR(__xludf.DUMMYFUNCTION("""COMPUTED_VALUE"""),"JHES - Hardeeville Elementary School")</f>
        <v>JHES - Hardeeville Elementary School</v>
      </c>
      <c r="M4123" s="6" t="str">
        <f>IFERROR(__xludf.DUMMYFUNCTION("""COMPUTED_VALUE"""),"")</f>
        <v/>
      </c>
      <c r="N4123" s="6" t="str">
        <f>IFERROR(__xludf.DUMMYFUNCTION("""COMPUTED_VALUE"""),"")</f>
        <v/>
      </c>
      <c r="O4123" s="87" t="str">
        <f>IFERROR(__xludf.DUMMYFUNCTION("""COMPUTED_VALUE"""),"https://drive.google.com/drive/folders/10T2cTQHqEJZqE-st6uFKPoI?usp=share_link")</f>
        <v>https://drive.google.com/drive/folders/10T2cTQHqEJZqE-st6uFKPoI?usp=share_link</v>
      </c>
      <c r="P4123" s="6" t="str">
        <f>IFERROR(__xludf.DUMMYFUNCTION("""COMPUTED_VALUE"""),"Deshoun Martin")</f>
        <v>Deshoun Martin</v>
      </c>
      <c r="Q4123" s="6" t="str">
        <f>IFERROR(__xludf.DUMMYFUNCTION("""COMPUTED_VALUE"""),"L1")</f>
        <v>L1</v>
      </c>
      <c r="R4123" s="6">
        <f>IFERROR(__xludf.DUMMYFUNCTION("""COMPUTED_VALUE"""),1.0)</f>
        <v>1</v>
      </c>
      <c r="S4123" s="6" t="str">
        <f>IFERROR(__xludf.DUMMYFUNCTION("""COMPUTED_VALUE""")," ")</f>
        <v> </v>
      </c>
      <c r="T4123" s="6" t="str">
        <f>IFERROR(__xludf.DUMMYFUNCTION("""COMPUTED_VALUE"""),"")</f>
        <v/>
      </c>
      <c r="U4123" s="6" t="str">
        <f>IFERROR(__xludf.DUMMYFUNCTION("""COMPUTED_VALUE"""),"2")</f>
        <v>2</v>
      </c>
      <c r="V4123" s="6" t="str">
        <f>IFERROR(__xludf.DUMMYFUNCTION("""COMPUTED_VALUE"""),"")</f>
        <v/>
      </c>
      <c r="W4123" s="6" t="str">
        <f>IFERROR(__xludf.DUMMYFUNCTION("""COMPUTED_VALUE"""),"[]")</f>
        <v>[]</v>
      </c>
      <c r="X4123" s="6" t="str">
        <f>IFERROR(__xludf.DUMMYFUNCTION("""COMPUTED_VALUE"""),"Enrolled")</f>
        <v>Enrolled</v>
      </c>
    </row>
    <row r="4124">
      <c r="A4124" s="6" t="str">
        <f>IFERROR(__xludf.DUMMYFUNCTION("""COMPUTED_VALUE"""),"083-11411")</f>
        <v>083-11411</v>
      </c>
      <c r="B4124" s="6" t="str">
        <f>IFERROR(__xludf.DUMMYFUNCTION("""COMPUTED_VALUE"""),"83")</f>
        <v>83</v>
      </c>
      <c r="C4124" s="6" t="str">
        <f>IFERROR(__xludf.DUMMYFUNCTION("""COMPUTED_VALUE"""),"11411")</f>
        <v>11411</v>
      </c>
      <c r="D4124" s="6" t="str">
        <f>IFERROR(__xludf.DUMMYFUNCTION("""COMPUTED_VALUE"""),"Constantino")</f>
        <v>Constantino</v>
      </c>
      <c r="E4124" s="6" t="str">
        <f>IFERROR(__xludf.DUMMYFUNCTION("""COMPUTED_VALUE"""),"")</f>
        <v/>
      </c>
      <c r="F4124" s="6" t="str">
        <f>IFERROR(__xludf.DUMMYFUNCTION("""COMPUTED_VALUE"""),"Salgado")</f>
        <v>Salgado</v>
      </c>
      <c r="G4124" s="6" t="str">
        <f>IFERROR(__xludf.DUMMYFUNCTION("""COMPUTED_VALUE"""),"02/05/2018")</f>
        <v>02/05/2018</v>
      </c>
      <c r="H4124" s="6" t="str">
        <f>IFERROR(__xludf.DUMMYFUNCTION("""COMPUTED_VALUE"""),"male")</f>
        <v>male</v>
      </c>
      <c r="I4124" s="6" t="str">
        <f>IFERROR(__xludf.DUMMYFUNCTION("""COMPUTED_VALUE"""),"Level 1")</f>
        <v>Level 1</v>
      </c>
      <c r="J4124" s="6" t="str">
        <f>IFERROR(__xludf.DUMMYFUNCTION("""COMPUTED_VALUE"""),"2")</f>
        <v>2</v>
      </c>
      <c r="K4124" s="6" t="str">
        <f>IFERROR(__xludf.DUMMYFUNCTION("""COMPUTED_VALUE"""),"constantino.salgado@2hourlearning.com")</f>
        <v>constantino.salgado@2hourlearning.com</v>
      </c>
      <c r="L4124" s="6" t="str">
        <f>IFERROR(__xludf.DUMMYFUNCTION("""COMPUTED_VALUE"""),"JHES - Hardeeville Elementary School")</f>
        <v>JHES - Hardeeville Elementary School</v>
      </c>
      <c r="M4124" s="6" t="str">
        <f>IFERROR(__xludf.DUMMYFUNCTION("""COMPUTED_VALUE"""),"")</f>
        <v/>
      </c>
      <c r="N4124" s="6" t="str">
        <f>IFERROR(__xludf.DUMMYFUNCTION("""COMPUTED_VALUE"""),"")</f>
        <v/>
      </c>
      <c r="O4124" s="87" t="str">
        <f>IFERROR(__xludf.DUMMYFUNCTION("""COMPUTED_VALUE"""),"https://drive.google.com/drive/folders/10T2cTQHqEJZqE-st6uFKPoI?usp=share_link")</f>
        <v>https://drive.google.com/drive/folders/10T2cTQHqEJZqE-st6uFKPoI?usp=share_link</v>
      </c>
      <c r="P4124" s="6" t="str">
        <f>IFERROR(__xludf.DUMMYFUNCTION("""COMPUTED_VALUE"""),"Constantino Salgado")</f>
        <v>Constantino Salgado</v>
      </c>
      <c r="Q4124" s="6" t="str">
        <f>IFERROR(__xludf.DUMMYFUNCTION("""COMPUTED_VALUE"""),"L1")</f>
        <v>L1</v>
      </c>
      <c r="R4124" s="6">
        <f>IFERROR(__xludf.DUMMYFUNCTION("""COMPUTED_VALUE"""),1.0)</f>
        <v>1</v>
      </c>
      <c r="S4124" s="6" t="str">
        <f>IFERROR(__xludf.DUMMYFUNCTION("""COMPUTED_VALUE""")," ")</f>
        <v> </v>
      </c>
      <c r="T4124" s="6" t="str">
        <f>IFERROR(__xludf.DUMMYFUNCTION("""COMPUTED_VALUE"""),"")</f>
        <v/>
      </c>
      <c r="U4124" s="6" t="str">
        <f>IFERROR(__xludf.DUMMYFUNCTION("""COMPUTED_VALUE"""),"2")</f>
        <v>2</v>
      </c>
      <c r="V4124" s="6" t="str">
        <f>IFERROR(__xludf.DUMMYFUNCTION("""COMPUTED_VALUE"""),"")</f>
        <v/>
      </c>
      <c r="W4124" s="6" t="str">
        <f>IFERROR(__xludf.DUMMYFUNCTION("""COMPUTED_VALUE"""),"[]")</f>
        <v>[]</v>
      </c>
      <c r="X4124" s="6" t="str">
        <f>IFERROR(__xludf.DUMMYFUNCTION("""COMPUTED_VALUE"""),"Enrolled")</f>
        <v>Enrolled</v>
      </c>
    </row>
    <row r="4125">
      <c r="A4125" s="6" t="str">
        <f>IFERROR(__xludf.DUMMYFUNCTION("""COMPUTED_VALUE"""),"083-11412")</f>
        <v>083-11412</v>
      </c>
      <c r="B4125" s="6" t="str">
        <f>IFERROR(__xludf.DUMMYFUNCTION("""COMPUTED_VALUE"""),"83")</f>
        <v>83</v>
      </c>
      <c r="C4125" s="6" t="str">
        <f>IFERROR(__xludf.DUMMYFUNCTION("""COMPUTED_VALUE"""),"11412")</f>
        <v>11412</v>
      </c>
      <c r="D4125" s="6" t="str">
        <f>IFERROR(__xludf.DUMMYFUNCTION("""COMPUTED_VALUE"""),"Brycen")</f>
        <v>Brycen</v>
      </c>
      <c r="E4125" s="6" t="str">
        <f>IFERROR(__xludf.DUMMYFUNCTION("""COMPUTED_VALUE"""),"")</f>
        <v/>
      </c>
      <c r="F4125" s="6" t="str">
        <f>IFERROR(__xludf.DUMMYFUNCTION("""COMPUTED_VALUE"""),"Abbott")</f>
        <v>Abbott</v>
      </c>
      <c r="G4125" s="6" t="str">
        <f>IFERROR(__xludf.DUMMYFUNCTION("""COMPUTED_VALUE"""),"11/12/2016")</f>
        <v>11/12/2016</v>
      </c>
      <c r="H4125" s="6" t="str">
        <f>IFERROR(__xludf.DUMMYFUNCTION("""COMPUTED_VALUE"""),"male")</f>
        <v>male</v>
      </c>
      <c r="I4125" s="6" t="str">
        <f>IFERROR(__xludf.DUMMYFUNCTION("""COMPUTED_VALUE"""),"Level 1")</f>
        <v>Level 1</v>
      </c>
      <c r="J4125" s="6" t="str">
        <f>IFERROR(__xludf.DUMMYFUNCTION("""COMPUTED_VALUE"""),"3")</f>
        <v>3</v>
      </c>
      <c r="K4125" s="6" t="str">
        <f>IFERROR(__xludf.DUMMYFUNCTION("""COMPUTED_VALUE"""),"brycen.abbott@2hourlearning.com")</f>
        <v>brycen.abbott@2hourlearning.com</v>
      </c>
      <c r="L4125" s="6" t="str">
        <f>IFERROR(__xludf.DUMMYFUNCTION("""COMPUTED_VALUE"""),"JHES - Hardeeville Elementary School")</f>
        <v>JHES - Hardeeville Elementary School</v>
      </c>
      <c r="M4125" s="6" t="str">
        <f>IFERROR(__xludf.DUMMYFUNCTION("""COMPUTED_VALUE"""),"")</f>
        <v/>
      </c>
      <c r="N4125" s="6" t="str">
        <f>IFERROR(__xludf.DUMMYFUNCTION("""COMPUTED_VALUE"""),"")</f>
        <v/>
      </c>
      <c r="O4125" s="87" t="str">
        <f>IFERROR(__xludf.DUMMYFUNCTION("""COMPUTED_VALUE"""),"https://drive.google.com/drive/folders/10T2cTQHqEJZqE-st6uFKPoI?usp=share_link")</f>
        <v>https://drive.google.com/drive/folders/10T2cTQHqEJZqE-st6uFKPoI?usp=share_link</v>
      </c>
      <c r="P4125" s="6" t="str">
        <f>IFERROR(__xludf.DUMMYFUNCTION("""COMPUTED_VALUE"""),"Brycen Abbott")</f>
        <v>Brycen Abbott</v>
      </c>
      <c r="Q4125" s="6" t="str">
        <f>IFERROR(__xludf.DUMMYFUNCTION("""COMPUTED_VALUE"""),"L1")</f>
        <v>L1</v>
      </c>
      <c r="R4125" s="6">
        <f>IFERROR(__xludf.DUMMYFUNCTION("""COMPUTED_VALUE"""),1.0)</f>
        <v>1</v>
      </c>
      <c r="S4125" s="6" t="str">
        <f>IFERROR(__xludf.DUMMYFUNCTION("""COMPUTED_VALUE""")," ")</f>
        <v> </v>
      </c>
      <c r="T4125" s="6" t="str">
        <f>IFERROR(__xludf.DUMMYFUNCTION("""COMPUTED_VALUE"""),"")</f>
        <v/>
      </c>
      <c r="U4125" s="6" t="str">
        <f>IFERROR(__xludf.DUMMYFUNCTION("""COMPUTED_VALUE"""),"3")</f>
        <v>3</v>
      </c>
      <c r="V4125" s="6" t="str">
        <f>IFERROR(__xludf.DUMMYFUNCTION("""COMPUTED_VALUE"""),"")</f>
        <v/>
      </c>
      <c r="W4125" s="6" t="str">
        <f>IFERROR(__xludf.DUMMYFUNCTION("""COMPUTED_VALUE"""),"[]")</f>
        <v>[]</v>
      </c>
      <c r="X4125" s="6" t="str">
        <f>IFERROR(__xludf.DUMMYFUNCTION("""COMPUTED_VALUE"""),"Enrolled")</f>
        <v>Enrolled</v>
      </c>
    </row>
    <row r="4126">
      <c r="A4126" s="6" t="str">
        <f>IFERROR(__xludf.DUMMYFUNCTION("""COMPUTED_VALUE"""),"083-11413")</f>
        <v>083-11413</v>
      </c>
      <c r="B4126" s="6" t="str">
        <f>IFERROR(__xludf.DUMMYFUNCTION("""COMPUTED_VALUE"""),"83")</f>
        <v>83</v>
      </c>
      <c r="C4126" s="6" t="str">
        <f>IFERROR(__xludf.DUMMYFUNCTION("""COMPUTED_VALUE"""),"11413")</f>
        <v>11413</v>
      </c>
      <c r="D4126" s="6" t="str">
        <f>IFERROR(__xludf.DUMMYFUNCTION("""COMPUTED_VALUE"""),"Guadalupe")</f>
        <v>Guadalupe</v>
      </c>
      <c r="E4126" s="6" t="str">
        <f>IFERROR(__xludf.DUMMYFUNCTION("""COMPUTED_VALUE"""),"")</f>
        <v/>
      </c>
      <c r="F4126" s="6" t="str">
        <f>IFERROR(__xludf.DUMMYFUNCTION("""COMPUTED_VALUE"""),"Romero Mota")</f>
        <v>Romero Mota</v>
      </c>
      <c r="G4126" s="6" t="str">
        <f>IFERROR(__xludf.DUMMYFUNCTION("""COMPUTED_VALUE"""),"05/16/2017")</f>
        <v>05/16/2017</v>
      </c>
      <c r="H4126" s="6" t="str">
        <f>IFERROR(__xludf.DUMMYFUNCTION("""COMPUTED_VALUE"""),"male")</f>
        <v>male</v>
      </c>
      <c r="I4126" s="6" t="str">
        <f>IFERROR(__xludf.DUMMYFUNCTION("""COMPUTED_VALUE"""),"Level 1")</f>
        <v>Level 1</v>
      </c>
      <c r="J4126" s="6" t="str">
        <f>IFERROR(__xludf.DUMMYFUNCTION("""COMPUTED_VALUE"""),"3")</f>
        <v>3</v>
      </c>
      <c r="K4126" s="6" t="str">
        <f>IFERROR(__xludf.DUMMYFUNCTION("""COMPUTED_VALUE"""),"guadalupe.romeromota@2hourlearning.com")</f>
        <v>guadalupe.romeromota@2hourlearning.com</v>
      </c>
      <c r="L4126" s="6" t="str">
        <f>IFERROR(__xludf.DUMMYFUNCTION("""COMPUTED_VALUE"""),"JHES - Hardeeville Elementary School")</f>
        <v>JHES - Hardeeville Elementary School</v>
      </c>
      <c r="M4126" s="6" t="str">
        <f>IFERROR(__xludf.DUMMYFUNCTION("""COMPUTED_VALUE"""),"")</f>
        <v/>
      </c>
      <c r="N4126" s="6" t="str">
        <f>IFERROR(__xludf.DUMMYFUNCTION("""COMPUTED_VALUE"""),"")</f>
        <v/>
      </c>
      <c r="O4126" s="87" t="str">
        <f>IFERROR(__xludf.DUMMYFUNCTION("""COMPUTED_VALUE"""),"https://drive.google.com/drive/folders/10T2cTQHqEJZqE-st6uFKPoI?usp=share_link")</f>
        <v>https://drive.google.com/drive/folders/10T2cTQHqEJZqE-st6uFKPoI?usp=share_link</v>
      </c>
      <c r="P4126" s="6" t="str">
        <f>IFERROR(__xludf.DUMMYFUNCTION("""COMPUTED_VALUE"""),"Guadalupe Romero Mota")</f>
        <v>Guadalupe Romero Mota</v>
      </c>
      <c r="Q4126" s="6" t="str">
        <f>IFERROR(__xludf.DUMMYFUNCTION("""COMPUTED_VALUE"""),"L1")</f>
        <v>L1</v>
      </c>
      <c r="R4126" s="6">
        <f>IFERROR(__xludf.DUMMYFUNCTION("""COMPUTED_VALUE"""),1.0)</f>
        <v>1</v>
      </c>
      <c r="S4126" s="6" t="str">
        <f>IFERROR(__xludf.DUMMYFUNCTION("""COMPUTED_VALUE""")," ")</f>
        <v> </v>
      </c>
      <c r="T4126" s="6" t="str">
        <f>IFERROR(__xludf.DUMMYFUNCTION("""COMPUTED_VALUE"""),"")</f>
        <v/>
      </c>
      <c r="U4126" s="6" t="str">
        <f>IFERROR(__xludf.DUMMYFUNCTION("""COMPUTED_VALUE"""),"3")</f>
        <v>3</v>
      </c>
      <c r="V4126" s="6" t="str">
        <f>IFERROR(__xludf.DUMMYFUNCTION("""COMPUTED_VALUE"""),"")</f>
        <v/>
      </c>
      <c r="W4126" s="6" t="str">
        <f>IFERROR(__xludf.DUMMYFUNCTION("""COMPUTED_VALUE"""),"[]")</f>
        <v>[]</v>
      </c>
      <c r="X4126" s="6" t="str">
        <f>IFERROR(__xludf.DUMMYFUNCTION("""COMPUTED_VALUE"""),"Enrolled")</f>
        <v>Enrolled</v>
      </c>
    </row>
    <row r="4127">
      <c r="A4127" s="6" t="str">
        <f>IFERROR(__xludf.DUMMYFUNCTION("""COMPUTED_VALUE"""),"083-11414")</f>
        <v>083-11414</v>
      </c>
      <c r="B4127" s="6" t="str">
        <f>IFERROR(__xludf.DUMMYFUNCTION("""COMPUTED_VALUE"""),"83")</f>
        <v>83</v>
      </c>
      <c r="C4127" s="6" t="str">
        <f>IFERROR(__xludf.DUMMYFUNCTION("""COMPUTED_VALUE"""),"11414")</f>
        <v>11414</v>
      </c>
      <c r="D4127" s="6" t="str">
        <f>IFERROR(__xludf.DUMMYFUNCTION("""COMPUTED_VALUE"""),"Alan")</f>
        <v>Alan</v>
      </c>
      <c r="E4127" s="6" t="str">
        <f>IFERROR(__xludf.DUMMYFUNCTION("""COMPUTED_VALUE"""),"")</f>
        <v/>
      </c>
      <c r="F4127" s="6" t="str">
        <f>IFERROR(__xludf.DUMMYFUNCTION("""COMPUTED_VALUE"""),"Tinoco Alarcon")</f>
        <v>Tinoco Alarcon</v>
      </c>
      <c r="G4127" s="6" t="str">
        <f>IFERROR(__xludf.DUMMYFUNCTION("""COMPUTED_VALUE"""),"03/07/2017")</f>
        <v>03/07/2017</v>
      </c>
      <c r="H4127" s="6" t="str">
        <f>IFERROR(__xludf.DUMMYFUNCTION("""COMPUTED_VALUE"""),"male")</f>
        <v>male</v>
      </c>
      <c r="I4127" s="6" t="str">
        <f>IFERROR(__xludf.DUMMYFUNCTION("""COMPUTED_VALUE"""),"Level 1")</f>
        <v>Level 1</v>
      </c>
      <c r="J4127" s="6" t="str">
        <f>IFERROR(__xludf.DUMMYFUNCTION("""COMPUTED_VALUE"""),"3")</f>
        <v>3</v>
      </c>
      <c r="K4127" s="6" t="str">
        <f>IFERROR(__xludf.DUMMYFUNCTION("""COMPUTED_VALUE"""),"alan.tinocoalarcon@2hourlearning.com")</f>
        <v>alan.tinocoalarcon@2hourlearning.com</v>
      </c>
      <c r="L4127" s="6" t="str">
        <f>IFERROR(__xludf.DUMMYFUNCTION("""COMPUTED_VALUE"""),"JHES - Hardeeville Elementary School")</f>
        <v>JHES - Hardeeville Elementary School</v>
      </c>
      <c r="M4127" s="6" t="str">
        <f>IFERROR(__xludf.DUMMYFUNCTION("""COMPUTED_VALUE"""),"")</f>
        <v/>
      </c>
      <c r="N4127" s="6" t="str">
        <f>IFERROR(__xludf.DUMMYFUNCTION("""COMPUTED_VALUE"""),"")</f>
        <v/>
      </c>
      <c r="O4127" s="87" t="str">
        <f>IFERROR(__xludf.DUMMYFUNCTION("""COMPUTED_VALUE"""),"https://drive.google.com/drive/folders/10T2cTQHqEJZqE-st6uFKPoI?usp=share_link")</f>
        <v>https://drive.google.com/drive/folders/10T2cTQHqEJZqE-st6uFKPoI?usp=share_link</v>
      </c>
      <c r="P4127" s="6" t="str">
        <f>IFERROR(__xludf.DUMMYFUNCTION("""COMPUTED_VALUE"""),"Alan Tinoco Alarcon")</f>
        <v>Alan Tinoco Alarcon</v>
      </c>
      <c r="Q4127" s="6" t="str">
        <f>IFERROR(__xludf.DUMMYFUNCTION("""COMPUTED_VALUE"""),"L1")</f>
        <v>L1</v>
      </c>
      <c r="R4127" s="6">
        <f>IFERROR(__xludf.DUMMYFUNCTION("""COMPUTED_VALUE"""),1.0)</f>
        <v>1</v>
      </c>
      <c r="S4127" s="6" t="str">
        <f>IFERROR(__xludf.DUMMYFUNCTION("""COMPUTED_VALUE""")," ")</f>
        <v> </v>
      </c>
      <c r="T4127" s="6" t="str">
        <f>IFERROR(__xludf.DUMMYFUNCTION("""COMPUTED_VALUE"""),"")</f>
        <v/>
      </c>
      <c r="U4127" s="6" t="str">
        <f>IFERROR(__xludf.DUMMYFUNCTION("""COMPUTED_VALUE"""),"3")</f>
        <v>3</v>
      </c>
      <c r="V4127" s="6" t="str">
        <f>IFERROR(__xludf.DUMMYFUNCTION("""COMPUTED_VALUE"""),"")</f>
        <v/>
      </c>
      <c r="W4127" s="6" t="str">
        <f>IFERROR(__xludf.DUMMYFUNCTION("""COMPUTED_VALUE"""),"[]")</f>
        <v>[]</v>
      </c>
      <c r="X4127" s="6" t="str">
        <f>IFERROR(__xludf.DUMMYFUNCTION("""COMPUTED_VALUE"""),"Enrolled")</f>
        <v>Enrolled</v>
      </c>
    </row>
    <row r="4128">
      <c r="A4128" s="6" t="str">
        <f>IFERROR(__xludf.DUMMYFUNCTION("""COMPUTED_VALUE"""),"083-11415")</f>
        <v>083-11415</v>
      </c>
      <c r="B4128" s="6" t="str">
        <f>IFERROR(__xludf.DUMMYFUNCTION("""COMPUTED_VALUE"""),"83")</f>
        <v>83</v>
      </c>
      <c r="C4128" s="6" t="str">
        <f>IFERROR(__xludf.DUMMYFUNCTION("""COMPUTED_VALUE"""),"11415")</f>
        <v>11415</v>
      </c>
      <c r="D4128" s="6" t="str">
        <f>IFERROR(__xludf.DUMMYFUNCTION("""COMPUTED_VALUE"""),"Syncere X")</f>
        <v>Syncere X</v>
      </c>
      <c r="E4128" s="6" t="str">
        <f>IFERROR(__xludf.DUMMYFUNCTION("""COMPUTED_VALUE"""),"")</f>
        <v/>
      </c>
      <c r="F4128" s="6" t="str">
        <f>IFERROR(__xludf.DUMMYFUNCTION("""COMPUTED_VALUE"""),"Wright")</f>
        <v>Wright</v>
      </c>
      <c r="G4128" s="6" t="str">
        <f>IFERROR(__xludf.DUMMYFUNCTION("""COMPUTED_VALUE"""),"08/20/2017")</f>
        <v>08/20/2017</v>
      </c>
      <c r="H4128" s="6" t="str">
        <f>IFERROR(__xludf.DUMMYFUNCTION("""COMPUTED_VALUE"""),"male")</f>
        <v>male</v>
      </c>
      <c r="I4128" s="6" t="str">
        <f>IFERROR(__xludf.DUMMYFUNCTION("""COMPUTED_VALUE"""),"Level 1")</f>
        <v>Level 1</v>
      </c>
      <c r="J4128" s="6" t="str">
        <f>IFERROR(__xludf.DUMMYFUNCTION("""COMPUTED_VALUE"""),"3")</f>
        <v>3</v>
      </c>
      <c r="K4128" s="6" t="str">
        <f>IFERROR(__xludf.DUMMYFUNCTION("""COMPUTED_VALUE"""),"syncerex.wright@2hourlearning.com")</f>
        <v>syncerex.wright@2hourlearning.com</v>
      </c>
      <c r="L4128" s="6" t="str">
        <f>IFERROR(__xludf.DUMMYFUNCTION("""COMPUTED_VALUE"""),"JHES - Hardeeville Elementary School")</f>
        <v>JHES - Hardeeville Elementary School</v>
      </c>
      <c r="M4128" s="6" t="str">
        <f>IFERROR(__xludf.DUMMYFUNCTION("""COMPUTED_VALUE"""),"")</f>
        <v/>
      </c>
      <c r="N4128" s="6" t="str">
        <f>IFERROR(__xludf.DUMMYFUNCTION("""COMPUTED_VALUE"""),"")</f>
        <v/>
      </c>
      <c r="O4128" s="87" t="str">
        <f>IFERROR(__xludf.DUMMYFUNCTION("""COMPUTED_VALUE"""),"https://drive.google.com/drive/folders/10T2cTQHqEJZqE-st6uFKPoI?usp=share_link")</f>
        <v>https://drive.google.com/drive/folders/10T2cTQHqEJZqE-st6uFKPoI?usp=share_link</v>
      </c>
      <c r="P4128" s="6" t="str">
        <f>IFERROR(__xludf.DUMMYFUNCTION("""COMPUTED_VALUE"""),"Syncere X Wright")</f>
        <v>Syncere X Wright</v>
      </c>
      <c r="Q4128" s="6" t="str">
        <f>IFERROR(__xludf.DUMMYFUNCTION("""COMPUTED_VALUE"""),"L1")</f>
        <v>L1</v>
      </c>
      <c r="R4128" s="6">
        <f>IFERROR(__xludf.DUMMYFUNCTION("""COMPUTED_VALUE"""),1.0)</f>
        <v>1</v>
      </c>
      <c r="S4128" s="6" t="str">
        <f>IFERROR(__xludf.DUMMYFUNCTION("""COMPUTED_VALUE""")," ")</f>
        <v> </v>
      </c>
      <c r="T4128" s="6" t="str">
        <f>IFERROR(__xludf.DUMMYFUNCTION("""COMPUTED_VALUE"""),"")</f>
        <v/>
      </c>
      <c r="U4128" s="6" t="str">
        <f>IFERROR(__xludf.DUMMYFUNCTION("""COMPUTED_VALUE"""),"3")</f>
        <v>3</v>
      </c>
      <c r="V4128" s="6" t="str">
        <f>IFERROR(__xludf.DUMMYFUNCTION("""COMPUTED_VALUE"""),"")</f>
        <v/>
      </c>
      <c r="W4128" s="6" t="str">
        <f>IFERROR(__xludf.DUMMYFUNCTION("""COMPUTED_VALUE"""),"[]")</f>
        <v>[]</v>
      </c>
      <c r="X4128" s="6" t="str">
        <f>IFERROR(__xludf.DUMMYFUNCTION("""COMPUTED_VALUE"""),"Enrolled")</f>
        <v>Enrolled</v>
      </c>
    </row>
    <row r="4129">
      <c r="A4129" s="6" t="str">
        <f>IFERROR(__xludf.DUMMYFUNCTION("""COMPUTED_VALUE"""),"083-11416")</f>
        <v>083-11416</v>
      </c>
      <c r="B4129" s="6" t="str">
        <f>IFERROR(__xludf.DUMMYFUNCTION("""COMPUTED_VALUE"""),"83")</f>
        <v>83</v>
      </c>
      <c r="C4129" s="6" t="str">
        <f>IFERROR(__xludf.DUMMYFUNCTION("""COMPUTED_VALUE"""),"11416")</f>
        <v>11416</v>
      </c>
      <c r="D4129" s="6" t="str">
        <f>IFERROR(__xludf.DUMMYFUNCTION("""COMPUTED_VALUE"""),"Nakai Marcel")</f>
        <v>Nakai Marcel</v>
      </c>
      <c r="E4129" s="6" t="str">
        <f>IFERROR(__xludf.DUMMYFUNCTION("""COMPUTED_VALUE"""),"")</f>
        <v/>
      </c>
      <c r="F4129" s="6" t="str">
        <f>IFERROR(__xludf.DUMMYFUNCTION("""COMPUTED_VALUE"""),"Braniteitter")</f>
        <v>Braniteitter</v>
      </c>
      <c r="G4129" s="6" t="str">
        <f>IFERROR(__xludf.DUMMYFUNCTION("""COMPUTED_VALUE"""),"01/20/2018")</f>
        <v>01/20/2018</v>
      </c>
      <c r="H4129" s="6" t="str">
        <f>IFERROR(__xludf.DUMMYFUNCTION("""COMPUTED_VALUE"""),"male")</f>
        <v>male</v>
      </c>
      <c r="I4129" s="6" t="str">
        <f>IFERROR(__xludf.DUMMYFUNCTION("""COMPUTED_VALUE"""),"Level 1")</f>
        <v>Level 1</v>
      </c>
      <c r="J4129" s="6" t="str">
        <f>IFERROR(__xludf.DUMMYFUNCTION("""COMPUTED_VALUE"""),"2")</f>
        <v>2</v>
      </c>
      <c r="K4129" s="6" t="str">
        <f>IFERROR(__xludf.DUMMYFUNCTION("""COMPUTED_VALUE"""),"nakaimarcel.braniteitter@2hourlearning.com")</f>
        <v>nakaimarcel.braniteitter@2hourlearning.com</v>
      </c>
      <c r="L4129" s="6" t="str">
        <f>IFERROR(__xludf.DUMMYFUNCTION("""COMPUTED_VALUE"""),"JHES - Hardeeville Elementary School")</f>
        <v>JHES - Hardeeville Elementary School</v>
      </c>
      <c r="M4129" s="6" t="str">
        <f>IFERROR(__xludf.DUMMYFUNCTION("""COMPUTED_VALUE"""),"")</f>
        <v/>
      </c>
      <c r="N4129" s="6" t="str">
        <f>IFERROR(__xludf.DUMMYFUNCTION("""COMPUTED_VALUE"""),"")</f>
        <v/>
      </c>
      <c r="O4129" s="87" t="str">
        <f>IFERROR(__xludf.DUMMYFUNCTION("""COMPUTED_VALUE"""),"https://drive.google.com/drive/folders/10T2cTQHqEJZqE-st6uFKPoI?usp=share_link")</f>
        <v>https://drive.google.com/drive/folders/10T2cTQHqEJZqE-st6uFKPoI?usp=share_link</v>
      </c>
      <c r="P4129" s="6" t="str">
        <f>IFERROR(__xludf.DUMMYFUNCTION("""COMPUTED_VALUE"""),"Nakai Marcel Braniteitter")</f>
        <v>Nakai Marcel Braniteitter</v>
      </c>
      <c r="Q4129" s="6" t="str">
        <f>IFERROR(__xludf.DUMMYFUNCTION("""COMPUTED_VALUE"""),"L1")</f>
        <v>L1</v>
      </c>
      <c r="R4129" s="6">
        <f>IFERROR(__xludf.DUMMYFUNCTION("""COMPUTED_VALUE"""),1.0)</f>
        <v>1</v>
      </c>
      <c r="S4129" s="6" t="str">
        <f>IFERROR(__xludf.DUMMYFUNCTION("""COMPUTED_VALUE""")," ")</f>
        <v> </v>
      </c>
      <c r="T4129" s="6" t="str">
        <f>IFERROR(__xludf.DUMMYFUNCTION("""COMPUTED_VALUE"""),"")</f>
        <v/>
      </c>
      <c r="U4129" s="6" t="str">
        <f>IFERROR(__xludf.DUMMYFUNCTION("""COMPUTED_VALUE"""),"2")</f>
        <v>2</v>
      </c>
      <c r="V4129" s="6" t="str">
        <f>IFERROR(__xludf.DUMMYFUNCTION("""COMPUTED_VALUE"""),"")</f>
        <v/>
      </c>
      <c r="W4129" s="6" t="str">
        <f>IFERROR(__xludf.DUMMYFUNCTION("""COMPUTED_VALUE"""),"[]")</f>
        <v>[]</v>
      </c>
      <c r="X4129" s="6" t="str">
        <f>IFERROR(__xludf.DUMMYFUNCTION("""COMPUTED_VALUE"""),"Enrolled")</f>
        <v>Enrolled</v>
      </c>
    </row>
    <row r="4130">
      <c r="A4130" s="6" t="str">
        <f>IFERROR(__xludf.DUMMYFUNCTION("""COMPUTED_VALUE"""),"083-11417")</f>
        <v>083-11417</v>
      </c>
      <c r="B4130" s="6" t="str">
        <f>IFERROR(__xludf.DUMMYFUNCTION("""COMPUTED_VALUE"""),"83")</f>
        <v>83</v>
      </c>
      <c r="C4130" s="6" t="str">
        <f>IFERROR(__xludf.DUMMYFUNCTION("""COMPUTED_VALUE"""),"11417")</f>
        <v>11417</v>
      </c>
      <c r="D4130" s="6" t="str">
        <f>IFERROR(__xludf.DUMMYFUNCTION("""COMPUTED_VALUE"""),"Kannon")</f>
        <v>Kannon</v>
      </c>
      <c r="E4130" s="6" t="str">
        <f>IFERROR(__xludf.DUMMYFUNCTION("""COMPUTED_VALUE"""),"")</f>
        <v/>
      </c>
      <c r="F4130" s="6" t="str">
        <f>IFERROR(__xludf.DUMMYFUNCTION("""COMPUTED_VALUE"""),"Brown")</f>
        <v>Brown</v>
      </c>
      <c r="G4130" s="6" t="str">
        <f>IFERROR(__xludf.DUMMYFUNCTION("""COMPUTED_VALUE"""),"05/18/2018")</f>
        <v>05/18/2018</v>
      </c>
      <c r="H4130" s="6" t="str">
        <f>IFERROR(__xludf.DUMMYFUNCTION("""COMPUTED_VALUE"""),"male")</f>
        <v>male</v>
      </c>
      <c r="I4130" s="6" t="str">
        <f>IFERROR(__xludf.DUMMYFUNCTION("""COMPUTED_VALUE"""),"Level 1")</f>
        <v>Level 1</v>
      </c>
      <c r="J4130" s="6" t="str">
        <f>IFERROR(__xludf.DUMMYFUNCTION("""COMPUTED_VALUE"""),"2")</f>
        <v>2</v>
      </c>
      <c r="K4130" s="6" t="str">
        <f>IFERROR(__xludf.DUMMYFUNCTION("""COMPUTED_VALUE"""),"kannon.brown@2hourlearning.com")</f>
        <v>kannon.brown@2hourlearning.com</v>
      </c>
      <c r="L4130" s="6" t="str">
        <f>IFERROR(__xludf.DUMMYFUNCTION("""COMPUTED_VALUE"""),"JHES - Hardeeville Elementary School")</f>
        <v>JHES - Hardeeville Elementary School</v>
      </c>
      <c r="M4130" s="6" t="str">
        <f>IFERROR(__xludf.DUMMYFUNCTION("""COMPUTED_VALUE"""),"")</f>
        <v/>
      </c>
      <c r="N4130" s="6" t="str">
        <f>IFERROR(__xludf.DUMMYFUNCTION("""COMPUTED_VALUE"""),"")</f>
        <v/>
      </c>
      <c r="O4130" s="87" t="str">
        <f>IFERROR(__xludf.DUMMYFUNCTION("""COMPUTED_VALUE"""),"https://drive.google.com/drive/folders/10T2cTQHqEJZqE-st6uFKPoI?usp=share_link")</f>
        <v>https://drive.google.com/drive/folders/10T2cTQHqEJZqE-st6uFKPoI?usp=share_link</v>
      </c>
      <c r="P4130" s="6" t="str">
        <f>IFERROR(__xludf.DUMMYFUNCTION("""COMPUTED_VALUE"""),"Kannon Brown")</f>
        <v>Kannon Brown</v>
      </c>
      <c r="Q4130" s="6" t="str">
        <f>IFERROR(__xludf.DUMMYFUNCTION("""COMPUTED_VALUE"""),"L1")</f>
        <v>L1</v>
      </c>
      <c r="R4130" s="6">
        <f>IFERROR(__xludf.DUMMYFUNCTION("""COMPUTED_VALUE"""),1.0)</f>
        <v>1</v>
      </c>
      <c r="S4130" s="6" t="str">
        <f>IFERROR(__xludf.DUMMYFUNCTION("""COMPUTED_VALUE""")," ")</f>
        <v> </v>
      </c>
      <c r="T4130" s="6" t="str">
        <f>IFERROR(__xludf.DUMMYFUNCTION("""COMPUTED_VALUE"""),"")</f>
        <v/>
      </c>
      <c r="U4130" s="6" t="str">
        <f>IFERROR(__xludf.DUMMYFUNCTION("""COMPUTED_VALUE"""),"2")</f>
        <v>2</v>
      </c>
      <c r="V4130" s="6" t="str">
        <f>IFERROR(__xludf.DUMMYFUNCTION("""COMPUTED_VALUE"""),"")</f>
        <v/>
      </c>
      <c r="W4130" s="6" t="str">
        <f>IFERROR(__xludf.DUMMYFUNCTION("""COMPUTED_VALUE"""),"[]")</f>
        <v>[]</v>
      </c>
      <c r="X4130" s="6" t="str">
        <f>IFERROR(__xludf.DUMMYFUNCTION("""COMPUTED_VALUE"""),"Enrolled")</f>
        <v>Enrolled</v>
      </c>
    </row>
    <row r="4131">
      <c r="A4131" s="6" t="str">
        <f>IFERROR(__xludf.DUMMYFUNCTION("""COMPUTED_VALUE"""),"083-11418")</f>
        <v>083-11418</v>
      </c>
      <c r="B4131" s="6" t="str">
        <f>IFERROR(__xludf.DUMMYFUNCTION("""COMPUTED_VALUE"""),"83")</f>
        <v>83</v>
      </c>
      <c r="C4131" s="6" t="str">
        <f>IFERROR(__xludf.DUMMYFUNCTION("""COMPUTED_VALUE"""),"11418")</f>
        <v>11418</v>
      </c>
      <c r="D4131" s="6" t="str">
        <f>IFERROR(__xludf.DUMMYFUNCTION("""COMPUTED_VALUE"""),"Daenery E.")</f>
        <v>Daenery E.</v>
      </c>
      <c r="E4131" s="6" t="str">
        <f>IFERROR(__xludf.DUMMYFUNCTION("""COMPUTED_VALUE"""),"")</f>
        <v/>
      </c>
      <c r="F4131" s="6" t="str">
        <f>IFERROR(__xludf.DUMMYFUNCTION("""COMPUTED_VALUE"""),"Cruz Carranza")</f>
        <v>Cruz Carranza</v>
      </c>
      <c r="G4131" s="6" t="str">
        <f>IFERROR(__xludf.DUMMYFUNCTION("""COMPUTED_VALUE"""),"03/17/2018")</f>
        <v>03/17/2018</v>
      </c>
      <c r="H4131" s="6" t="str">
        <f>IFERROR(__xludf.DUMMYFUNCTION("""COMPUTED_VALUE"""),"female")</f>
        <v>female</v>
      </c>
      <c r="I4131" s="6" t="str">
        <f>IFERROR(__xludf.DUMMYFUNCTION("""COMPUTED_VALUE"""),"Level 1")</f>
        <v>Level 1</v>
      </c>
      <c r="J4131" s="6" t="str">
        <f>IFERROR(__xludf.DUMMYFUNCTION("""COMPUTED_VALUE"""),"2")</f>
        <v>2</v>
      </c>
      <c r="K4131" s="6" t="str">
        <f>IFERROR(__xludf.DUMMYFUNCTION("""COMPUTED_VALUE"""),"daenerye.cruzcarranza@2hourlearning.com")</f>
        <v>daenerye.cruzcarranza@2hourlearning.com</v>
      </c>
      <c r="L4131" s="6" t="str">
        <f>IFERROR(__xludf.DUMMYFUNCTION("""COMPUTED_VALUE"""),"JHES - Hardeeville Elementary School")</f>
        <v>JHES - Hardeeville Elementary School</v>
      </c>
      <c r="M4131" s="6" t="str">
        <f>IFERROR(__xludf.DUMMYFUNCTION("""COMPUTED_VALUE"""),"")</f>
        <v/>
      </c>
      <c r="N4131" s="6" t="str">
        <f>IFERROR(__xludf.DUMMYFUNCTION("""COMPUTED_VALUE"""),"")</f>
        <v/>
      </c>
      <c r="O4131" s="87" t="str">
        <f>IFERROR(__xludf.DUMMYFUNCTION("""COMPUTED_VALUE"""),"https://drive.google.com/drive/folders/10T2cTQHqEJZqE-st6uFKPoI?usp=share_link")</f>
        <v>https://drive.google.com/drive/folders/10T2cTQHqEJZqE-st6uFKPoI?usp=share_link</v>
      </c>
      <c r="P4131" s="6" t="str">
        <f>IFERROR(__xludf.DUMMYFUNCTION("""COMPUTED_VALUE"""),"Daenery E. Cruz Carranza")</f>
        <v>Daenery E. Cruz Carranza</v>
      </c>
      <c r="Q4131" s="6" t="str">
        <f>IFERROR(__xludf.DUMMYFUNCTION("""COMPUTED_VALUE"""),"L1")</f>
        <v>L1</v>
      </c>
      <c r="R4131" s="6">
        <f>IFERROR(__xludf.DUMMYFUNCTION("""COMPUTED_VALUE"""),1.0)</f>
        <v>1</v>
      </c>
      <c r="S4131" s="6" t="str">
        <f>IFERROR(__xludf.DUMMYFUNCTION("""COMPUTED_VALUE""")," ")</f>
        <v> </v>
      </c>
      <c r="T4131" s="6" t="str">
        <f>IFERROR(__xludf.DUMMYFUNCTION("""COMPUTED_VALUE"""),"")</f>
        <v/>
      </c>
      <c r="U4131" s="6" t="str">
        <f>IFERROR(__xludf.DUMMYFUNCTION("""COMPUTED_VALUE"""),"2")</f>
        <v>2</v>
      </c>
      <c r="V4131" s="6" t="str">
        <f>IFERROR(__xludf.DUMMYFUNCTION("""COMPUTED_VALUE"""),"")</f>
        <v/>
      </c>
      <c r="W4131" s="6" t="str">
        <f>IFERROR(__xludf.DUMMYFUNCTION("""COMPUTED_VALUE"""),"[]")</f>
        <v>[]</v>
      </c>
      <c r="X4131" s="6" t="str">
        <f>IFERROR(__xludf.DUMMYFUNCTION("""COMPUTED_VALUE"""),"Enrolled")</f>
        <v>Enrolled</v>
      </c>
    </row>
    <row r="4132">
      <c r="A4132" s="6" t="str">
        <f>IFERROR(__xludf.DUMMYFUNCTION("""COMPUTED_VALUE"""),"083-11419")</f>
        <v>083-11419</v>
      </c>
      <c r="B4132" s="6" t="str">
        <f>IFERROR(__xludf.DUMMYFUNCTION("""COMPUTED_VALUE"""),"83")</f>
        <v>83</v>
      </c>
      <c r="C4132" s="6" t="str">
        <f>IFERROR(__xludf.DUMMYFUNCTION("""COMPUTED_VALUE"""),"11419")</f>
        <v>11419</v>
      </c>
      <c r="D4132" s="6" t="str">
        <f>IFERROR(__xludf.DUMMYFUNCTION("""COMPUTED_VALUE"""),"Marbelin A")</f>
        <v>Marbelin A</v>
      </c>
      <c r="E4132" s="6" t="str">
        <f>IFERROR(__xludf.DUMMYFUNCTION("""COMPUTED_VALUE"""),"")</f>
        <v/>
      </c>
      <c r="F4132" s="6" t="str">
        <f>IFERROR(__xludf.DUMMYFUNCTION("""COMPUTED_VALUE"""),"Diaz Ramirez")</f>
        <v>Diaz Ramirez</v>
      </c>
      <c r="G4132" s="6" t="str">
        <f>IFERROR(__xludf.DUMMYFUNCTION("""COMPUTED_VALUE"""),"01/09/2018")</f>
        <v>01/09/2018</v>
      </c>
      <c r="H4132" s="6" t="str">
        <f>IFERROR(__xludf.DUMMYFUNCTION("""COMPUTED_VALUE"""),"female")</f>
        <v>female</v>
      </c>
      <c r="I4132" s="6" t="str">
        <f>IFERROR(__xludf.DUMMYFUNCTION("""COMPUTED_VALUE"""),"Level 1")</f>
        <v>Level 1</v>
      </c>
      <c r="J4132" s="6" t="str">
        <f>IFERROR(__xludf.DUMMYFUNCTION("""COMPUTED_VALUE"""),"2")</f>
        <v>2</v>
      </c>
      <c r="K4132" s="6" t="str">
        <f>IFERROR(__xludf.DUMMYFUNCTION("""COMPUTED_VALUE"""),"marbelina.diazramirez@2hourlearning.com")</f>
        <v>marbelina.diazramirez@2hourlearning.com</v>
      </c>
      <c r="L4132" s="6" t="str">
        <f>IFERROR(__xludf.DUMMYFUNCTION("""COMPUTED_VALUE"""),"JHES - Hardeeville Elementary School")</f>
        <v>JHES - Hardeeville Elementary School</v>
      </c>
      <c r="M4132" s="6" t="str">
        <f>IFERROR(__xludf.DUMMYFUNCTION("""COMPUTED_VALUE"""),"")</f>
        <v/>
      </c>
      <c r="N4132" s="6" t="str">
        <f>IFERROR(__xludf.DUMMYFUNCTION("""COMPUTED_VALUE"""),"")</f>
        <v/>
      </c>
      <c r="O4132" s="87" t="str">
        <f>IFERROR(__xludf.DUMMYFUNCTION("""COMPUTED_VALUE"""),"https://drive.google.com/drive/folders/10T2cTQHqEJZqE-st6uFKPoI?usp=share_link")</f>
        <v>https://drive.google.com/drive/folders/10T2cTQHqEJZqE-st6uFKPoI?usp=share_link</v>
      </c>
      <c r="P4132" s="6" t="str">
        <f>IFERROR(__xludf.DUMMYFUNCTION("""COMPUTED_VALUE"""),"Marbelin A Diaz Ramirez")</f>
        <v>Marbelin A Diaz Ramirez</v>
      </c>
      <c r="Q4132" s="6" t="str">
        <f>IFERROR(__xludf.DUMMYFUNCTION("""COMPUTED_VALUE"""),"L1")</f>
        <v>L1</v>
      </c>
      <c r="R4132" s="6">
        <f>IFERROR(__xludf.DUMMYFUNCTION("""COMPUTED_VALUE"""),1.0)</f>
        <v>1</v>
      </c>
      <c r="S4132" s="6" t="str">
        <f>IFERROR(__xludf.DUMMYFUNCTION("""COMPUTED_VALUE""")," ")</f>
        <v> </v>
      </c>
      <c r="T4132" s="6" t="str">
        <f>IFERROR(__xludf.DUMMYFUNCTION("""COMPUTED_VALUE"""),"")</f>
        <v/>
      </c>
      <c r="U4132" s="6" t="str">
        <f>IFERROR(__xludf.DUMMYFUNCTION("""COMPUTED_VALUE"""),"2")</f>
        <v>2</v>
      </c>
      <c r="V4132" s="6" t="str">
        <f>IFERROR(__xludf.DUMMYFUNCTION("""COMPUTED_VALUE"""),"")</f>
        <v/>
      </c>
      <c r="W4132" s="6" t="str">
        <f>IFERROR(__xludf.DUMMYFUNCTION("""COMPUTED_VALUE"""),"[]")</f>
        <v>[]</v>
      </c>
      <c r="X4132" s="6" t="str">
        <f>IFERROR(__xludf.DUMMYFUNCTION("""COMPUTED_VALUE"""),"Enrolled")</f>
        <v>Enrolled</v>
      </c>
    </row>
    <row r="4133">
      <c r="A4133" s="6" t="str">
        <f>IFERROR(__xludf.DUMMYFUNCTION("""COMPUTED_VALUE"""),"083-11420")</f>
        <v>083-11420</v>
      </c>
      <c r="B4133" s="6" t="str">
        <f>IFERROR(__xludf.DUMMYFUNCTION("""COMPUTED_VALUE"""),"83")</f>
        <v>83</v>
      </c>
      <c r="C4133" s="6" t="str">
        <f>IFERROR(__xludf.DUMMYFUNCTION("""COMPUTED_VALUE"""),"11420")</f>
        <v>11420</v>
      </c>
      <c r="D4133" s="6" t="str">
        <f>IFERROR(__xludf.DUMMYFUNCTION("""COMPUTED_VALUE"""),"Johnzel")</f>
        <v>Johnzel</v>
      </c>
      <c r="E4133" s="6" t="str">
        <f>IFERROR(__xludf.DUMMYFUNCTION("""COMPUTED_VALUE"""),"")</f>
        <v/>
      </c>
      <c r="F4133" s="6" t="str">
        <f>IFERROR(__xludf.DUMMYFUNCTION("""COMPUTED_VALUE"""),"Frazier")</f>
        <v>Frazier</v>
      </c>
      <c r="G4133" s="6" t="str">
        <f>IFERROR(__xludf.DUMMYFUNCTION("""COMPUTED_VALUE"""),"09/21/2017")</f>
        <v>09/21/2017</v>
      </c>
      <c r="H4133" s="6" t="str">
        <f>IFERROR(__xludf.DUMMYFUNCTION("""COMPUTED_VALUE"""),"male")</f>
        <v>male</v>
      </c>
      <c r="I4133" s="6" t="str">
        <f>IFERROR(__xludf.DUMMYFUNCTION("""COMPUTED_VALUE"""),"Level 1")</f>
        <v>Level 1</v>
      </c>
      <c r="J4133" s="6" t="str">
        <f>IFERROR(__xludf.DUMMYFUNCTION("""COMPUTED_VALUE"""),"2")</f>
        <v>2</v>
      </c>
      <c r="K4133" s="6" t="str">
        <f>IFERROR(__xludf.DUMMYFUNCTION("""COMPUTED_VALUE"""),"johnzel.frazier@2hourlearning.com")</f>
        <v>johnzel.frazier@2hourlearning.com</v>
      </c>
      <c r="L4133" s="6" t="str">
        <f>IFERROR(__xludf.DUMMYFUNCTION("""COMPUTED_VALUE"""),"JHES - Hardeeville Elementary School")</f>
        <v>JHES - Hardeeville Elementary School</v>
      </c>
      <c r="M4133" s="6" t="str">
        <f>IFERROR(__xludf.DUMMYFUNCTION("""COMPUTED_VALUE"""),"")</f>
        <v/>
      </c>
      <c r="N4133" s="6" t="str">
        <f>IFERROR(__xludf.DUMMYFUNCTION("""COMPUTED_VALUE"""),"")</f>
        <v/>
      </c>
      <c r="O4133" s="87" t="str">
        <f>IFERROR(__xludf.DUMMYFUNCTION("""COMPUTED_VALUE"""),"https://drive.google.com/drive/folders/10T2cTQHqEJZqE-st6uFKPoI?usp=share_link")</f>
        <v>https://drive.google.com/drive/folders/10T2cTQHqEJZqE-st6uFKPoI?usp=share_link</v>
      </c>
      <c r="P4133" s="6" t="str">
        <f>IFERROR(__xludf.DUMMYFUNCTION("""COMPUTED_VALUE"""),"Johnzel Frazier")</f>
        <v>Johnzel Frazier</v>
      </c>
      <c r="Q4133" s="6" t="str">
        <f>IFERROR(__xludf.DUMMYFUNCTION("""COMPUTED_VALUE"""),"L1")</f>
        <v>L1</v>
      </c>
      <c r="R4133" s="6">
        <f>IFERROR(__xludf.DUMMYFUNCTION("""COMPUTED_VALUE"""),1.0)</f>
        <v>1</v>
      </c>
      <c r="S4133" s="6" t="str">
        <f>IFERROR(__xludf.DUMMYFUNCTION("""COMPUTED_VALUE""")," ")</f>
        <v> </v>
      </c>
      <c r="T4133" s="6" t="str">
        <f>IFERROR(__xludf.DUMMYFUNCTION("""COMPUTED_VALUE"""),"")</f>
        <v/>
      </c>
      <c r="U4133" s="6" t="str">
        <f>IFERROR(__xludf.DUMMYFUNCTION("""COMPUTED_VALUE"""),"2")</f>
        <v>2</v>
      </c>
      <c r="V4133" s="6" t="str">
        <f>IFERROR(__xludf.DUMMYFUNCTION("""COMPUTED_VALUE"""),"")</f>
        <v/>
      </c>
      <c r="W4133" s="6" t="str">
        <f>IFERROR(__xludf.DUMMYFUNCTION("""COMPUTED_VALUE"""),"[]")</f>
        <v>[]</v>
      </c>
      <c r="X4133" s="6" t="str">
        <f>IFERROR(__xludf.DUMMYFUNCTION("""COMPUTED_VALUE"""),"Enrolled")</f>
        <v>Enrolled</v>
      </c>
    </row>
    <row r="4134">
      <c r="A4134" s="6" t="str">
        <f>IFERROR(__xludf.DUMMYFUNCTION("""COMPUTED_VALUE"""),"083-11421")</f>
        <v>083-11421</v>
      </c>
      <c r="B4134" s="6" t="str">
        <f>IFERROR(__xludf.DUMMYFUNCTION("""COMPUTED_VALUE"""),"83")</f>
        <v>83</v>
      </c>
      <c r="C4134" s="6" t="str">
        <f>IFERROR(__xludf.DUMMYFUNCTION("""COMPUTED_VALUE"""),"11421")</f>
        <v>11421</v>
      </c>
      <c r="D4134" s="6" t="str">
        <f>IFERROR(__xludf.DUMMYFUNCTION("""COMPUTED_VALUE"""),"Xochitl")</f>
        <v>Xochitl</v>
      </c>
      <c r="E4134" s="6" t="str">
        <f>IFERROR(__xludf.DUMMYFUNCTION("""COMPUTED_VALUE"""),"")</f>
        <v/>
      </c>
      <c r="F4134" s="6" t="str">
        <f>IFERROR(__xludf.DUMMYFUNCTION("""COMPUTED_VALUE"""),"Fuentes Aguilar")</f>
        <v>Fuentes Aguilar</v>
      </c>
      <c r="G4134" s="6" t="str">
        <f>IFERROR(__xludf.DUMMYFUNCTION("""COMPUTED_VALUE"""),"10/21/2017")</f>
        <v>10/21/2017</v>
      </c>
      <c r="H4134" s="6" t="str">
        <f>IFERROR(__xludf.DUMMYFUNCTION("""COMPUTED_VALUE"""),"female")</f>
        <v>female</v>
      </c>
      <c r="I4134" s="6" t="str">
        <f>IFERROR(__xludf.DUMMYFUNCTION("""COMPUTED_VALUE"""),"Level 1")</f>
        <v>Level 1</v>
      </c>
      <c r="J4134" s="6" t="str">
        <f>IFERROR(__xludf.DUMMYFUNCTION("""COMPUTED_VALUE"""),"2")</f>
        <v>2</v>
      </c>
      <c r="K4134" s="6" t="str">
        <f>IFERROR(__xludf.DUMMYFUNCTION("""COMPUTED_VALUE"""),"xochitl.fuentesaguilar@2hourlearning.com")</f>
        <v>xochitl.fuentesaguilar@2hourlearning.com</v>
      </c>
      <c r="L4134" s="6" t="str">
        <f>IFERROR(__xludf.DUMMYFUNCTION("""COMPUTED_VALUE"""),"JHES - Hardeeville Elementary School")</f>
        <v>JHES - Hardeeville Elementary School</v>
      </c>
      <c r="M4134" s="6" t="str">
        <f>IFERROR(__xludf.DUMMYFUNCTION("""COMPUTED_VALUE"""),"")</f>
        <v/>
      </c>
      <c r="N4134" s="6" t="str">
        <f>IFERROR(__xludf.DUMMYFUNCTION("""COMPUTED_VALUE"""),"")</f>
        <v/>
      </c>
      <c r="O4134" s="87" t="str">
        <f>IFERROR(__xludf.DUMMYFUNCTION("""COMPUTED_VALUE"""),"https://drive.google.com/drive/folders/10T2cTQHqEJZqE-st6uFKPoI?usp=share_link")</f>
        <v>https://drive.google.com/drive/folders/10T2cTQHqEJZqE-st6uFKPoI?usp=share_link</v>
      </c>
      <c r="P4134" s="6" t="str">
        <f>IFERROR(__xludf.DUMMYFUNCTION("""COMPUTED_VALUE"""),"Xochitl Fuentes Aguilar")</f>
        <v>Xochitl Fuentes Aguilar</v>
      </c>
      <c r="Q4134" s="6" t="str">
        <f>IFERROR(__xludf.DUMMYFUNCTION("""COMPUTED_VALUE"""),"L1")</f>
        <v>L1</v>
      </c>
      <c r="R4134" s="6">
        <f>IFERROR(__xludf.DUMMYFUNCTION("""COMPUTED_VALUE"""),1.0)</f>
        <v>1</v>
      </c>
      <c r="S4134" s="6" t="str">
        <f>IFERROR(__xludf.DUMMYFUNCTION("""COMPUTED_VALUE""")," ")</f>
        <v> </v>
      </c>
      <c r="T4134" s="6" t="str">
        <f>IFERROR(__xludf.DUMMYFUNCTION("""COMPUTED_VALUE"""),"")</f>
        <v/>
      </c>
      <c r="U4134" s="6" t="str">
        <f>IFERROR(__xludf.DUMMYFUNCTION("""COMPUTED_VALUE"""),"2")</f>
        <v>2</v>
      </c>
      <c r="V4134" s="6" t="str">
        <f>IFERROR(__xludf.DUMMYFUNCTION("""COMPUTED_VALUE"""),"")</f>
        <v/>
      </c>
      <c r="W4134" s="6" t="str">
        <f>IFERROR(__xludf.DUMMYFUNCTION("""COMPUTED_VALUE"""),"[]")</f>
        <v>[]</v>
      </c>
      <c r="X4134" s="6" t="str">
        <f>IFERROR(__xludf.DUMMYFUNCTION("""COMPUTED_VALUE"""),"Enrolled")</f>
        <v>Enrolled</v>
      </c>
    </row>
    <row r="4135">
      <c r="A4135" s="6" t="str">
        <f>IFERROR(__xludf.DUMMYFUNCTION("""COMPUTED_VALUE"""),"083-11422")</f>
        <v>083-11422</v>
      </c>
      <c r="B4135" s="6" t="str">
        <f>IFERROR(__xludf.DUMMYFUNCTION("""COMPUTED_VALUE"""),"83")</f>
        <v>83</v>
      </c>
      <c r="C4135" s="6" t="str">
        <f>IFERROR(__xludf.DUMMYFUNCTION("""COMPUTED_VALUE"""),"11422")</f>
        <v>11422</v>
      </c>
      <c r="D4135" s="6" t="str">
        <f>IFERROR(__xludf.DUMMYFUNCTION("""COMPUTED_VALUE"""),"Martin")</f>
        <v>Martin</v>
      </c>
      <c r="E4135" s="6" t="str">
        <f>IFERROR(__xludf.DUMMYFUNCTION("""COMPUTED_VALUE"""),"")</f>
        <v/>
      </c>
      <c r="F4135" s="6" t="str">
        <f>IFERROR(__xludf.DUMMYFUNCTION("""COMPUTED_VALUE"""),"Funes de Leon")</f>
        <v>Funes de Leon</v>
      </c>
      <c r="G4135" s="6" t="str">
        <f>IFERROR(__xludf.DUMMYFUNCTION("""COMPUTED_VALUE"""),"07/16/2017")</f>
        <v>07/16/2017</v>
      </c>
      <c r="H4135" s="6" t="str">
        <f>IFERROR(__xludf.DUMMYFUNCTION("""COMPUTED_VALUE"""),"male")</f>
        <v>male</v>
      </c>
      <c r="I4135" s="6" t="str">
        <f>IFERROR(__xludf.DUMMYFUNCTION("""COMPUTED_VALUE"""),"Level 1")</f>
        <v>Level 1</v>
      </c>
      <c r="J4135" s="6" t="str">
        <f>IFERROR(__xludf.DUMMYFUNCTION("""COMPUTED_VALUE"""),"2")</f>
        <v>2</v>
      </c>
      <c r="K4135" s="6" t="str">
        <f>IFERROR(__xludf.DUMMYFUNCTION("""COMPUTED_VALUE"""),"martin.funesdeleon@2hourlearning.com")</f>
        <v>martin.funesdeleon@2hourlearning.com</v>
      </c>
      <c r="L4135" s="6" t="str">
        <f>IFERROR(__xludf.DUMMYFUNCTION("""COMPUTED_VALUE"""),"JHES - Hardeeville Elementary School")</f>
        <v>JHES - Hardeeville Elementary School</v>
      </c>
      <c r="M4135" s="6" t="str">
        <f>IFERROR(__xludf.DUMMYFUNCTION("""COMPUTED_VALUE"""),"")</f>
        <v/>
      </c>
      <c r="N4135" s="6" t="str">
        <f>IFERROR(__xludf.DUMMYFUNCTION("""COMPUTED_VALUE"""),"")</f>
        <v/>
      </c>
      <c r="O4135" s="87" t="str">
        <f>IFERROR(__xludf.DUMMYFUNCTION("""COMPUTED_VALUE"""),"https://drive.google.com/drive/folders/10T2cTQHqEJZqE-st6uFKPoI?usp=share_link")</f>
        <v>https://drive.google.com/drive/folders/10T2cTQHqEJZqE-st6uFKPoI?usp=share_link</v>
      </c>
      <c r="P4135" s="6" t="str">
        <f>IFERROR(__xludf.DUMMYFUNCTION("""COMPUTED_VALUE"""),"Martin Funes de Leon")</f>
        <v>Martin Funes de Leon</v>
      </c>
      <c r="Q4135" s="6" t="str">
        <f>IFERROR(__xludf.DUMMYFUNCTION("""COMPUTED_VALUE"""),"L1")</f>
        <v>L1</v>
      </c>
      <c r="R4135" s="6">
        <f>IFERROR(__xludf.DUMMYFUNCTION("""COMPUTED_VALUE"""),1.0)</f>
        <v>1</v>
      </c>
      <c r="S4135" s="6" t="str">
        <f>IFERROR(__xludf.DUMMYFUNCTION("""COMPUTED_VALUE""")," ")</f>
        <v> </v>
      </c>
      <c r="T4135" s="6" t="str">
        <f>IFERROR(__xludf.DUMMYFUNCTION("""COMPUTED_VALUE"""),"")</f>
        <v/>
      </c>
      <c r="U4135" s="6" t="str">
        <f>IFERROR(__xludf.DUMMYFUNCTION("""COMPUTED_VALUE"""),"2")</f>
        <v>2</v>
      </c>
      <c r="V4135" s="6" t="str">
        <f>IFERROR(__xludf.DUMMYFUNCTION("""COMPUTED_VALUE"""),"")</f>
        <v/>
      </c>
      <c r="W4135" s="6" t="str">
        <f>IFERROR(__xludf.DUMMYFUNCTION("""COMPUTED_VALUE"""),"[]")</f>
        <v>[]</v>
      </c>
      <c r="X4135" s="6" t="str">
        <f>IFERROR(__xludf.DUMMYFUNCTION("""COMPUTED_VALUE"""),"Enrolled")</f>
        <v>Enrolled</v>
      </c>
    </row>
    <row r="4136">
      <c r="A4136" s="6" t="str">
        <f>IFERROR(__xludf.DUMMYFUNCTION("""COMPUTED_VALUE"""),"083-11423")</f>
        <v>083-11423</v>
      </c>
      <c r="B4136" s="6" t="str">
        <f>IFERROR(__xludf.DUMMYFUNCTION("""COMPUTED_VALUE"""),"83")</f>
        <v>83</v>
      </c>
      <c r="C4136" s="6" t="str">
        <f>IFERROR(__xludf.DUMMYFUNCTION("""COMPUTED_VALUE"""),"11423")</f>
        <v>11423</v>
      </c>
      <c r="D4136" s="6" t="str">
        <f>IFERROR(__xludf.DUMMYFUNCTION("""COMPUTED_VALUE"""),"Yimi")</f>
        <v>Yimi</v>
      </c>
      <c r="E4136" s="6" t="str">
        <f>IFERROR(__xludf.DUMMYFUNCTION("""COMPUTED_VALUE"""),"")</f>
        <v/>
      </c>
      <c r="F4136" s="6" t="str">
        <f>IFERROR(__xludf.DUMMYFUNCTION("""COMPUTED_VALUE"""),"Gomez Morales")</f>
        <v>Gomez Morales</v>
      </c>
      <c r="G4136" s="6" t="str">
        <f>IFERROR(__xludf.DUMMYFUNCTION("""COMPUTED_VALUE"""),"03/28/2018")</f>
        <v>03/28/2018</v>
      </c>
      <c r="H4136" s="6" t="str">
        <f>IFERROR(__xludf.DUMMYFUNCTION("""COMPUTED_VALUE"""),"male")</f>
        <v>male</v>
      </c>
      <c r="I4136" s="6" t="str">
        <f>IFERROR(__xludf.DUMMYFUNCTION("""COMPUTED_VALUE"""),"Level 1")</f>
        <v>Level 1</v>
      </c>
      <c r="J4136" s="6" t="str">
        <f>IFERROR(__xludf.DUMMYFUNCTION("""COMPUTED_VALUE"""),"2")</f>
        <v>2</v>
      </c>
      <c r="K4136" s="6" t="str">
        <f>IFERROR(__xludf.DUMMYFUNCTION("""COMPUTED_VALUE"""),"yimi.gomezmorales@2hourlearning.com")</f>
        <v>yimi.gomezmorales@2hourlearning.com</v>
      </c>
      <c r="L4136" s="6" t="str">
        <f>IFERROR(__xludf.DUMMYFUNCTION("""COMPUTED_VALUE"""),"JHES - Hardeeville Elementary School")</f>
        <v>JHES - Hardeeville Elementary School</v>
      </c>
      <c r="M4136" s="6" t="str">
        <f>IFERROR(__xludf.DUMMYFUNCTION("""COMPUTED_VALUE"""),"")</f>
        <v/>
      </c>
      <c r="N4136" s="6" t="str">
        <f>IFERROR(__xludf.DUMMYFUNCTION("""COMPUTED_VALUE"""),"")</f>
        <v/>
      </c>
      <c r="O4136" s="87" t="str">
        <f>IFERROR(__xludf.DUMMYFUNCTION("""COMPUTED_VALUE"""),"https://drive.google.com/drive/folders/10T2cTQHqEJZqE-st6uFKPoI?usp=share_link")</f>
        <v>https://drive.google.com/drive/folders/10T2cTQHqEJZqE-st6uFKPoI?usp=share_link</v>
      </c>
      <c r="P4136" s="6" t="str">
        <f>IFERROR(__xludf.DUMMYFUNCTION("""COMPUTED_VALUE"""),"Yimi Gomez Morales")</f>
        <v>Yimi Gomez Morales</v>
      </c>
      <c r="Q4136" s="6" t="str">
        <f>IFERROR(__xludf.DUMMYFUNCTION("""COMPUTED_VALUE"""),"L1")</f>
        <v>L1</v>
      </c>
      <c r="R4136" s="6">
        <f>IFERROR(__xludf.DUMMYFUNCTION("""COMPUTED_VALUE"""),1.0)</f>
        <v>1</v>
      </c>
      <c r="S4136" s="6" t="str">
        <f>IFERROR(__xludf.DUMMYFUNCTION("""COMPUTED_VALUE""")," ")</f>
        <v> </v>
      </c>
      <c r="T4136" s="6" t="str">
        <f>IFERROR(__xludf.DUMMYFUNCTION("""COMPUTED_VALUE"""),"")</f>
        <v/>
      </c>
      <c r="U4136" s="6" t="str">
        <f>IFERROR(__xludf.DUMMYFUNCTION("""COMPUTED_VALUE"""),"2")</f>
        <v>2</v>
      </c>
      <c r="V4136" s="6" t="str">
        <f>IFERROR(__xludf.DUMMYFUNCTION("""COMPUTED_VALUE"""),"")</f>
        <v/>
      </c>
      <c r="W4136" s="6" t="str">
        <f>IFERROR(__xludf.DUMMYFUNCTION("""COMPUTED_VALUE"""),"[]")</f>
        <v>[]</v>
      </c>
      <c r="X4136" s="6" t="str">
        <f>IFERROR(__xludf.DUMMYFUNCTION("""COMPUTED_VALUE"""),"Enrolled")</f>
        <v>Enrolled</v>
      </c>
    </row>
    <row r="4137">
      <c r="A4137" s="6" t="str">
        <f>IFERROR(__xludf.DUMMYFUNCTION("""COMPUTED_VALUE"""),"083-11424")</f>
        <v>083-11424</v>
      </c>
      <c r="B4137" s="6" t="str">
        <f>IFERROR(__xludf.DUMMYFUNCTION("""COMPUTED_VALUE"""),"83")</f>
        <v>83</v>
      </c>
      <c r="C4137" s="6" t="str">
        <f>IFERROR(__xludf.DUMMYFUNCTION("""COMPUTED_VALUE"""),"11424")</f>
        <v>11424</v>
      </c>
      <c r="D4137" s="6" t="str">
        <f>IFERROR(__xludf.DUMMYFUNCTION("""COMPUTED_VALUE"""),"Mathias J")</f>
        <v>Mathias J</v>
      </c>
      <c r="E4137" s="6" t="str">
        <f>IFERROR(__xludf.DUMMYFUNCTION("""COMPUTED_VALUE"""),"")</f>
        <v/>
      </c>
      <c r="F4137" s="6" t="str">
        <f>IFERROR(__xludf.DUMMYFUNCTION("""COMPUTED_VALUE"""),"Guerra-Talavera")</f>
        <v>Guerra-Talavera</v>
      </c>
      <c r="G4137" s="6" t="str">
        <f>IFERROR(__xludf.DUMMYFUNCTION("""COMPUTED_VALUE"""),"03/04/2018")</f>
        <v>03/04/2018</v>
      </c>
      <c r="H4137" s="6" t="str">
        <f>IFERROR(__xludf.DUMMYFUNCTION("""COMPUTED_VALUE"""),"male")</f>
        <v>male</v>
      </c>
      <c r="I4137" s="6" t="str">
        <f>IFERROR(__xludf.DUMMYFUNCTION("""COMPUTED_VALUE"""),"Level 1")</f>
        <v>Level 1</v>
      </c>
      <c r="J4137" s="6" t="str">
        <f>IFERROR(__xludf.DUMMYFUNCTION("""COMPUTED_VALUE"""),"2")</f>
        <v>2</v>
      </c>
      <c r="K4137" s="6" t="str">
        <f>IFERROR(__xludf.DUMMYFUNCTION("""COMPUTED_VALUE"""),"mathiasj.guerratalavera@2hourlearning.com")</f>
        <v>mathiasj.guerratalavera@2hourlearning.com</v>
      </c>
      <c r="L4137" s="6" t="str">
        <f>IFERROR(__xludf.DUMMYFUNCTION("""COMPUTED_VALUE"""),"JHES - Hardeeville Elementary School")</f>
        <v>JHES - Hardeeville Elementary School</v>
      </c>
      <c r="M4137" s="6" t="str">
        <f>IFERROR(__xludf.DUMMYFUNCTION("""COMPUTED_VALUE"""),"")</f>
        <v/>
      </c>
      <c r="N4137" s="6" t="str">
        <f>IFERROR(__xludf.DUMMYFUNCTION("""COMPUTED_VALUE"""),"")</f>
        <v/>
      </c>
      <c r="O4137" s="87" t="str">
        <f>IFERROR(__xludf.DUMMYFUNCTION("""COMPUTED_VALUE"""),"https://drive.google.com/drive/folders/10T2cTQHqEJZqE-st6uFKPoI?usp=share_link")</f>
        <v>https://drive.google.com/drive/folders/10T2cTQHqEJZqE-st6uFKPoI?usp=share_link</v>
      </c>
      <c r="P4137" s="6" t="str">
        <f>IFERROR(__xludf.DUMMYFUNCTION("""COMPUTED_VALUE"""),"Mathias J Guerra-Talavera")</f>
        <v>Mathias J Guerra-Talavera</v>
      </c>
      <c r="Q4137" s="6" t="str">
        <f>IFERROR(__xludf.DUMMYFUNCTION("""COMPUTED_VALUE"""),"L1")</f>
        <v>L1</v>
      </c>
      <c r="R4137" s="6">
        <f>IFERROR(__xludf.DUMMYFUNCTION("""COMPUTED_VALUE"""),1.0)</f>
        <v>1</v>
      </c>
      <c r="S4137" s="6" t="str">
        <f>IFERROR(__xludf.DUMMYFUNCTION("""COMPUTED_VALUE""")," ")</f>
        <v> </v>
      </c>
      <c r="T4137" s="6" t="str">
        <f>IFERROR(__xludf.DUMMYFUNCTION("""COMPUTED_VALUE"""),"")</f>
        <v/>
      </c>
      <c r="U4137" s="6" t="str">
        <f>IFERROR(__xludf.DUMMYFUNCTION("""COMPUTED_VALUE"""),"2")</f>
        <v>2</v>
      </c>
      <c r="V4137" s="6" t="str">
        <f>IFERROR(__xludf.DUMMYFUNCTION("""COMPUTED_VALUE"""),"")</f>
        <v/>
      </c>
      <c r="W4137" s="6" t="str">
        <f>IFERROR(__xludf.DUMMYFUNCTION("""COMPUTED_VALUE"""),"[]")</f>
        <v>[]</v>
      </c>
      <c r="X4137" s="6" t="str">
        <f>IFERROR(__xludf.DUMMYFUNCTION("""COMPUTED_VALUE"""),"Enrolled")</f>
        <v>Enrolled</v>
      </c>
    </row>
    <row r="4138">
      <c r="A4138" s="6" t="str">
        <f>IFERROR(__xludf.DUMMYFUNCTION("""COMPUTED_VALUE"""),"083-11425")</f>
        <v>083-11425</v>
      </c>
      <c r="B4138" s="6" t="str">
        <f>IFERROR(__xludf.DUMMYFUNCTION("""COMPUTED_VALUE"""),"83")</f>
        <v>83</v>
      </c>
      <c r="C4138" s="6" t="str">
        <f>IFERROR(__xludf.DUMMYFUNCTION("""COMPUTED_VALUE"""),"11425")</f>
        <v>11425</v>
      </c>
      <c r="D4138" s="6" t="str">
        <f>IFERROR(__xludf.DUMMYFUNCTION("""COMPUTED_VALUE"""),"Christopher")</f>
        <v>Christopher</v>
      </c>
      <c r="E4138" s="6" t="str">
        <f>IFERROR(__xludf.DUMMYFUNCTION("""COMPUTED_VALUE"""),"")</f>
        <v/>
      </c>
      <c r="F4138" s="6" t="str">
        <f>IFERROR(__xludf.DUMMYFUNCTION("""COMPUTED_VALUE"""),"Hoops")</f>
        <v>Hoops</v>
      </c>
      <c r="G4138" s="6" t="str">
        <f>IFERROR(__xludf.DUMMYFUNCTION("""COMPUTED_VALUE"""),"09/14/2017")</f>
        <v>09/14/2017</v>
      </c>
      <c r="H4138" s="6" t="str">
        <f>IFERROR(__xludf.DUMMYFUNCTION("""COMPUTED_VALUE"""),"male")</f>
        <v>male</v>
      </c>
      <c r="I4138" s="6" t="str">
        <f>IFERROR(__xludf.DUMMYFUNCTION("""COMPUTED_VALUE"""),"Level 1")</f>
        <v>Level 1</v>
      </c>
      <c r="J4138" s="6" t="str">
        <f>IFERROR(__xludf.DUMMYFUNCTION("""COMPUTED_VALUE"""),"2")</f>
        <v>2</v>
      </c>
      <c r="K4138" s="6" t="str">
        <f>IFERROR(__xludf.DUMMYFUNCTION("""COMPUTED_VALUE"""),"christopher.hoops@2hourlearning.com")</f>
        <v>christopher.hoops@2hourlearning.com</v>
      </c>
      <c r="L4138" s="6" t="str">
        <f>IFERROR(__xludf.DUMMYFUNCTION("""COMPUTED_VALUE"""),"JHES - Hardeeville Elementary School")</f>
        <v>JHES - Hardeeville Elementary School</v>
      </c>
      <c r="M4138" s="6" t="str">
        <f>IFERROR(__xludf.DUMMYFUNCTION("""COMPUTED_VALUE"""),"")</f>
        <v/>
      </c>
      <c r="N4138" s="6" t="str">
        <f>IFERROR(__xludf.DUMMYFUNCTION("""COMPUTED_VALUE"""),"")</f>
        <v/>
      </c>
      <c r="O4138" s="87" t="str">
        <f>IFERROR(__xludf.DUMMYFUNCTION("""COMPUTED_VALUE"""),"https://drive.google.com/drive/folders/10T2cTQHqEJZqE-st6uFKPoI?usp=share_link")</f>
        <v>https://drive.google.com/drive/folders/10T2cTQHqEJZqE-st6uFKPoI?usp=share_link</v>
      </c>
      <c r="P4138" s="6" t="str">
        <f>IFERROR(__xludf.DUMMYFUNCTION("""COMPUTED_VALUE"""),"Christopher Hoops")</f>
        <v>Christopher Hoops</v>
      </c>
      <c r="Q4138" s="6" t="str">
        <f>IFERROR(__xludf.DUMMYFUNCTION("""COMPUTED_VALUE"""),"L1")</f>
        <v>L1</v>
      </c>
      <c r="R4138" s="6">
        <f>IFERROR(__xludf.DUMMYFUNCTION("""COMPUTED_VALUE"""),1.0)</f>
        <v>1</v>
      </c>
      <c r="S4138" s="6" t="str">
        <f>IFERROR(__xludf.DUMMYFUNCTION("""COMPUTED_VALUE""")," ")</f>
        <v> </v>
      </c>
      <c r="T4138" s="6" t="str">
        <f>IFERROR(__xludf.DUMMYFUNCTION("""COMPUTED_VALUE"""),"")</f>
        <v/>
      </c>
      <c r="U4138" s="6" t="str">
        <f>IFERROR(__xludf.DUMMYFUNCTION("""COMPUTED_VALUE"""),"2")</f>
        <v>2</v>
      </c>
      <c r="V4138" s="6" t="str">
        <f>IFERROR(__xludf.DUMMYFUNCTION("""COMPUTED_VALUE"""),"")</f>
        <v/>
      </c>
      <c r="W4138" s="6" t="str">
        <f>IFERROR(__xludf.DUMMYFUNCTION("""COMPUTED_VALUE"""),"[]")</f>
        <v>[]</v>
      </c>
      <c r="X4138" s="6" t="str">
        <f>IFERROR(__xludf.DUMMYFUNCTION("""COMPUTED_VALUE"""),"Enrolled")</f>
        <v>Enrolled</v>
      </c>
    </row>
    <row r="4139">
      <c r="A4139" s="6" t="str">
        <f>IFERROR(__xludf.DUMMYFUNCTION("""COMPUTED_VALUE"""),"083-11426")</f>
        <v>083-11426</v>
      </c>
      <c r="B4139" s="6" t="str">
        <f>IFERROR(__xludf.DUMMYFUNCTION("""COMPUTED_VALUE"""),"83")</f>
        <v>83</v>
      </c>
      <c r="C4139" s="6" t="str">
        <f>IFERROR(__xludf.DUMMYFUNCTION("""COMPUTED_VALUE"""),"11426")</f>
        <v>11426</v>
      </c>
      <c r="D4139" s="6" t="str">
        <f>IFERROR(__xludf.DUMMYFUNCTION("""COMPUTED_VALUE"""),"Da'Mari")</f>
        <v>Da'Mari</v>
      </c>
      <c r="E4139" s="6" t="str">
        <f>IFERROR(__xludf.DUMMYFUNCTION("""COMPUTED_VALUE"""),"")</f>
        <v/>
      </c>
      <c r="F4139" s="6" t="str">
        <f>IFERROR(__xludf.DUMMYFUNCTION("""COMPUTED_VALUE"""),"Johnson")</f>
        <v>Johnson</v>
      </c>
      <c r="G4139" s="6" t="str">
        <f>IFERROR(__xludf.DUMMYFUNCTION("""COMPUTED_VALUE"""),"05/03/2018")</f>
        <v>05/03/2018</v>
      </c>
      <c r="H4139" s="6" t="str">
        <f>IFERROR(__xludf.DUMMYFUNCTION("""COMPUTED_VALUE"""),"male")</f>
        <v>male</v>
      </c>
      <c r="I4139" s="6" t="str">
        <f>IFERROR(__xludf.DUMMYFUNCTION("""COMPUTED_VALUE"""),"Level 1")</f>
        <v>Level 1</v>
      </c>
      <c r="J4139" s="6" t="str">
        <f>IFERROR(__xludf.DUMMYFUNCTION("""COMPUTED_VALUE"""),"2")</f>
        <v>2</v>
      </c>
      <c r="K4139" s="6" t="str">
        <f>IFERROR(__xludf.DUMMYFUNCTION("""COMPUTED_VALUE"""),"damari.johnson@2hourlearning.com")</f>
        <v>damari.johnson@2hourlearning.com</v>
      </c>
      <c r="L4139" s="6" t="str">
        <f>IFERROR(__xludf.DUMMYFUNCTION("""COMPUTED_VALUE"""),"JHES - Hardeeville Elementary School")</f>
        <v>JHES - Hardeeville Elementary School</v>
      </c>
      <c r="M4139" s="6" t="str">
        <f>IFERROR(__xludf.DUMMYFUNCTION("""COMPUTED_VALUE"""),"")</f>
        <v/>
      </c>
      <c r="N4139" s="6" t="str">
        <f>IFERROR(__xludf.DUMMYFUNCTION("""COMPUTED_VALUE"""),"")</f>
        <v/>
      </c>
      <c r="O4139" s="87" t="str">
        <f>IFERROR(__xludf.DUMMYFUNCTION("""COMPUTED_VALUE"""),"https://drive.google.com/drive/folders/10T2cTQHqEJZqE-st6uFKPoI?usp=share_link")</f>
        <v>https://drive.google.com/drive/folders/10T2cTQHqEJZqE-st6uFKPoI?usp=share_link</v>
      </c>
      <c r="P4139" s="6" t="str">
        <f>IFERROR(__xludf.DUMMYFUNCTION("""COMPUTED_VALUE"""),"Da'Mari Johnson")</f>
        <v>Da'Mari Johnson</v>
      </c>
      <c r="Q4139" s="6" t="str">
        <f>IFERROR(__xludf.DUMMYFUNCTION("""COMPUTED_VALUE"""),"L1")</f>
        <v>L1</v>
      </c>
      <c r="R4139" s="6">
        <f>IFERROR(__xludf.DUMMYFUNCTION("""COMPUTED_VALUE"""),1.0)</f>
        <v>1</v>
      </c>
      <c r="S4139" s="6" t="str">
        <f>IFERROR(__xludf.DUMMYFUNCTION("""COMPUTED_VALUE""")," ")</f>
        <v> </v>
      </c>
      <c r="T4139" s="6" t="str">
        <f>IFERROR(__xludf.DUMMYFUNCTION("""COMPUTED_VALUE"""),"")</f>
        <v/>
      </c>
      <c r="U4139" s="6" t="str">
        <f>IFERROR(__xludf.DUMMYFUNCTION("""COMPUTED_VALUE"""),"2")</f>
        <v>2</v>
      </c>
      <c r="V4139" s="6" t="str">
        <f>IFERROR(__xludf.DUMMYFUNCTION("""COMPUTED_VALUE"""),"")</f>
        <v/>
      </c>
      <c r="W4139" s="6" t="str">
        <f>IFERROR(__xludf.DUMMYFUNCTION("""COMPUTED_VALUE"""),"[]")</f>
        <v>[]</v>
      </c>
      <c r="X4139" s="6" t="str">
        <f>IFERROR(__xludf.DUMMYFUNCTION("""COMPUTED_VALUE"""),"Enrolled")</f>
        <v>Enrolled</v>
      </c>
    </row>
    <row r="4140">
      <c r="A4140" s="6" t="str">
        <f>IFERROR(__xludf.DUMMYFUNCTION("""COMPUTED_VALUE"""),"083-11427")</f>
        <v>083-11427</v>
      </c>
      <c r="B4140" s="6" t="str">
        <f>IFERROR(__xludf.DUMMYFUNCTION("""COMPUTED_VALUE"""),"83")</f>
        <v>83</v>
      </c>
      <c r="C4140" s="6" t="str">
        <f>IFERROR(__xludf.DUMMYFUNCTION("""COMPUTED_VALUE"""),"11427")</f>
        <v>11427</v>
      </c>
      <c r="D4140" s="6" t="str">
        <f>IFERROR(__xludf.DUMMYFUNCTION("""COMPUTED_VALUE"""),"Anthony")</f>
        <v>Anthony</v>
      </c>
      <c r="E4140" s="6" t="str">
        <f>IFERROR(__xludf.DUMMYFUNCTION("""COMPUTED_VALUE"""),"")</f>
        <v/>
      </c>
      <c r="F4140" s="6" t="str">
        <f>IFERROR(__xludf.DUMMYFUNCTION("""COMPUTED_VALUE"""),"Lopez Martinez")</f>
        <v>Lopez Martinez</v>
      </c>
      <c r="G4140" s="6" t="str">
        <f>IFERROR(__xludf.DUMMYFUNCTION("""COMPUTED_VALUE"""),"06/04/2018")</f>
        <v>06/04/2018</v>
      </c>
      <c r="H4140" s="6" t="str">
        <f>IFERROR(__xludf.DUMMYFUNCTION("""COMPUTED_VALUE"""),"male")</f>
        <v>male</v>
      </c>
      <c r="I4140" s="6" t="str">
        <f>IFERROR(__xludf.DUMMYFUNCTION("""COMPUTED_VALUE"""),"Level 1")</f>
        <v>Level 1</v>
      </c>
      <c r="J4140" s="6" t="str">
        <f>IFERROR(__xludf.DUMMYFUNCTION("""COMPUTED_VALUE"""),"2")</f>
        <v>2</v>
      </c>
      <c r="K4140" s="6" t="str">
        <f>IFERROR(__xludf.DUMMYFUNCTION("""COMPUTED_VALUE"""),"anthony.lopezmartinez@2hourlearning.com")</f>
        <v>anthony.lopezmartinez@2hourlearning.com</v>
      </c>
      <c r="L4140" s="6" t="str">
        <f>IFERROR(__xludf.DUMMYFUNCTION("""COMPUTED_VALUE"""),"JHES - Hardeeville Elementary School")</f>
        <v>JHES - Hardeeville Elementary School</v>
      </c>
      <c r="M4140" s="6" t="str">
        <f>IFERROR(__xludf.DUMMYFUNCTION("""COMPUTED_VALUE"""),"")</f>
        <v/>
      </c>
      <c r="N4140" s="6" t="str">
        <f>IFERROR(__xludf.DUMMYFUNCTION("""COMPUTED_VALUE"""),"")</f>
        <v/>
      </c>
      <c r="O4140" s="87" t="str">
        <f>IFERROR(__xludf.DUMMYFUNCTION("""COMPUTED_VALUE"""),"https://drive.google.com/drive/folders/10T2cTQHqEJZqE-st6uFKPoI?usp=share_link")</f>
        <v>https://drive.google.com/drive/folders/10T2cTQHqEJZqE-st6uFKPoI?usp=share_link</v>
      </c>
      <c r="P4140" s="6" t="str">
        <f>IFERROR(__xludf.DUMMYFUNCTION("""COMPUTED_VALUE"""),"Anthony Lopez Martinez")</f>
        <v>Anthony Lopez Martinez</v>
      </c>
      <c r="Q4140" s="6" t="str">
        <f>IFERROR(__xludf.DUMMYFUNCTION("""COMPUTED_VALUE"""),"L1")</f>
        <v>L1</v>
      </c>
      <c r="R4140" s="6">
        <f>IFERROR(__xludf.DUMMYFUNCTION("""COMPUTED_VALUE"""),1.0)</f>
        <v>1</v>
      </c>
      <c r="S4140" s="6" t="str">
        <f>IFERROR(__xludf.DUMMYFUNCTION("""COMPUTED_VALUE""")," ")</f>
        <v> </v>
      </c>
      <c r="T4140" s="6" t="str">
        <f>IFERROR(__xludf.DUMMYFUNCTION("""COMPUTED_VALUE"""),"")</f>
        <v/>
      </c>
      <c r="U4140" s="6" t="str">
        <f>IFERROR(__xludf.DUMMYFUNCTION("""COMPUTED_VALUE"""),"2")</f>
        <v>2</v>
      </c>
      <c r="V4140" s="6" t="str">
        <f>IFERROR(__xludf.DUMMYFUNCTION("""COMPUTED_VALUE"""),"")</f>
        <v/>
      </c>
      <c r="W4140" s="6" t="str">
        <f>IFERROR(__xludf.DUMMYFUNCTION("""COMPUTED_VALUE"""),"[]")</f>
        <v>[]</v>
      </c>
      <c r="X4140" s="6" t="str">
        <f>IFERROR(__xludf.DUMMYFUNCTION("""COMPUTED_VALUE"""),"Enrolled")</f>
        <v>Enrolled</v>
      </c>
    </row>
    <row r="4141">
      <c r="A4141" s="6" t="str">
        <f>IFERROR(__xludf.DUMMYFUNCTION("""COMPUTED_VALUE"""),"083-11428")</f>
        <v>083-11428</v>
      </c>
      <c r="B4141" s="6" t="str">
        <f>IFERROR(__xludf.DUMMYFUNCTION("""COMPUTED_VALUE"""),"83")</f>
        <v>83</v>
      </c>
      <c r="C4141" s="6" t="str">
        <f>IFERROR(__xludf.DUMMYFUNCTION("""COMPUTED_VALUE"""),"11428")</f>
        <v>11428</v>
      </c>
      <c r="D4141" s="6" t="str">
        <f>IFERROR(__xludf.DUMMYFUNCTION("""COMPUTED_VALUE"""),"Gianis Caeleen")</f>
        <v>Gianis Caeleen</v>
      </c>
      <c r="E4141" s="6" t="str">
        <f>IFERROR(__xludf.DUMMYFUNCTION("""COMPUTED_VALUE"""),"")</f>
        <v/>
      </c>
      <c r="F4141" s="6" t="str">
        <f>IFERROR(__xludf.DUMMYFUNCTION("""COMPUTED_VALUE"""),"Marquez")</f>
        <v>Marquez</v>
      </c>
      <c r="G4141" s="6" t="str">
        <f>IFERROR(__xludf.DUMMYFUNCTION("""COMPUTED_VALUE"""),"02/11/2018")</f>
        <v>02/11/2018</v>
      </c>
      <c r="H4141" s="6" t="str">
        <f>IFERROR(__xludf.DUMMYFUNCTION("""COMPUTED_VALUE"""),"female")</f>
        <v>female</v>
      </c>
      <c r="I4141" s="6" t="str">
        <f>IFERROR(__xludf.DUMMYFUNCTION("""COMPUTED_VALUE"""),"Level 1")</f>
        <v>Level 1</v>
      </c>
      <c r="J4141" s="6" t="str">
        <f>IFERROR(__xludf.DUMMYFUNCTION("""COMPUTED_VALUE"""),"2")</f>
        <v>2</v>
      </c>
      <c r="K4141" s="6" t="str">
        <f>IFERROR(__xludf.DUMMYFUNCTION("""COMPUTED_VALUE"""),"gianiscaeleen.marquez@2hourlearning.com")</f>
        <v>gianiscaeleen.marquez@2hourlearning.com</v>
      </c>
      <c r="L4141" s="6" t="str">
        <f>IFERROR(__xludf.DUMMYFUNCTION("""COMPUTED_VALUE"""),"JHES - Hardeeville Elementary School")</f>
        <v>JHES - Hardeeville Elementary School</v>
      </c>
      <c r="M4141" s="6" t="str">
        <f>IFERROR(__xludf.DUMMYFUNCTION("""COMPUTED_VALUE"""),"")</f>
        <v/>
      </c>
      <c r="N4141" s="6" t="str">
        <f>IFERROR(__xludf.DUMMYFUNCTION("""COMPUTED_VALUE"""),"")</f>
        <v/>
      </c>
      <c r="O4141" s="87" t="str">
        <f>IFERROR(__xludf.DUMMYFUNCTION("""COMPUTED_VALUE"""),"https://drive.google.com/drive/folders/10T2cTQHqEJZqE-st6uFKPoI?usp=share_link")</f>
        <v>https://drive.google.com/drive/folders/10T2cTQHqEJZqE-st6uFKPoI?usp=share_link</v>
      </c>
      <c r="P4141" s="6" t="str">
        <f>IFERROR(__xludf.DUMMYFUNCTION("""COMPUTED_VALUE"""),"Gianis Caeleen Marquez")</f>
        <v>Gianis Caeleen Marquez</v>
      </c>
      <c r="Q4141" s="6" t="str">
        <f>IFERROR(__xludf.DUMMYFUNCTION("""COMPUTED_VALUE"""),"L1")</f>
        <v>L1</v>
      </c>
      <c r="R4141" s="6">
        <f>IFERROR(__xludf.DUMMYFUNCTION("""COMPUTED_VALUE"""),1.0)</f>
        <v>1</v>
      </c>
      <c r="S4141" s="6" t="str">
        <f>IFERROR(__xludf.DUMMYFUNCTION("""COMPUTED_VALUE""")," ")</f>
        <v> </v>
      </c>
      <c r="T4141" s="6" t="str">
        <f>IFERROR(__xludf.DUMMYFUNCTION("""COMPUTED_VALUE"""),"")</f>
        <v/>
      </c>
      <c r="U4141" s="6" t="str">
        <f>IFERROR(__xludf.DUMMYFUNCTION("""COMPUTED_VALUE"""),"2")</f>
        <v>2</v>
      </c>
      <c r="V4141" s="6" t="str">
        <f>IFERROR(__xludf.DUMMYFUNCTION("""COMPUTED_VALUE"""),"")</f>
        <v/>
      </c>
      <c r="W4141" s="6" t="str">
        <f>IFERROR(__xludf.DUMMYFUNCTION("""COMPUTED_VALUE"""),"[]")</f>
        <v>[]</v>
      </c>
      <c r="X4141" s="6" t="str">
        <f>IFERROR(__xludf.DUMMYFUNCTION("""COMPUTED_VALUE"""),"Enrolled")</f>
        <v>Enrolled</v>
      </c>
    </row>
    <row r="4142">
      <c r="A4142" s="6" t="str">
        <f>IFERROR(__xludf.DUMMYFUNCTION("""COMPUTED_VALUE"""),"083-11429")</f>
        <v>083-11429</v>
      </c>
      <c r="B4142" s="6" t="str">
        <f>IFERROR(__xludf.DUMMYFUNCTION("""COMPUTED_VALUE"""),"83")</f>
        <v>83</v>
      </c>
      <c r="C4142" s="6" t="str">
        <f>IFERROR(__xludf.DUMMYFUNCTION("""COMPUTED_VALUE"""),"11429")</f>
        <v>11429</v>
      </c>
      <c r="D4142" s="6" t="str">
        <f>IFERROR(__xludf.DUMMYFUNCTION("""COMPUTED_VALUE"""),"Lidia")</f>
        <v>Lidia</v>
      </c>
      <c r="E4142" s="6" t="str">
        <f>IFERROR(__xludf.DUMMYFUNCTION("""COMPUTED_VALUE"""),"")</f>
        <v/>
      </c>
      <c r="F4142" s="6" t="str">
        <f>IFERROR(__xludf.DUMMYFUNCTION("""COMPUTED_VALUE"""),"Moctezuma De La Cruz")</f>
        <v>Moctezuma De La Cruz</v>
      </c>
      <c r="G4142" s="6" t="str">
        <f>IFERROR(__xludf.DUMMYFUNCTION("""COMPUTED_VALUE"""),"11/18/2017")</f>
        <v>11/18/2017</v>
      </c>
      <c r="H4142" s="6" t="str">
        <f>IFERROR(__xludf.DUMMYFUNCTION("""COMPUTED_VALUE"""),"female")</f>
        <v>female</v>
      </c>
      <c r="I4142" s="6" t="str">
        <f>IFERROR(__xludf.DUMMYFUNCTION("""COMPUTED_VALUE"""),"Level 1")</f>
        <v>Level 1</v>
      </c>
      <c r="J4142" s="6" t="str">
        <f>IFERROR(__xludf.DUMMYFUNCTION("""COMPUTED_VALUE"""),"2")</f>
        <v>2</v>
      </c>
      <c r="K4142" s="6" t="str">
        <f>IFERROR(__xludf.DUMMYFUNCTION("""COMPUTED_VALUE"""),"lidia.moctezumadelacruz@2hourlearning.com")</f>
        <v>lidia.moctezumadelacruz@2hourlearning.com</v>
      </c>
      <c r="L4142" s="6" t="str">
        <f>IFERROR(__xludf.DUMMYFUNCTION("""COMPUTED_VALUE"""),"JHES - Hardeeville Elementary School")</f>
        <v>JHES - Hardeeville Elementary School</v>
      </c>
      <c r="M4142" s="6" t="str">
        <f>IFERROR(__xludf.DUMMYFUNCTION("""COMPUTED_VALUE"""),"")</f>
        <v/>
      </c>
      <c r="N4142" s="6" t="str">
        <f>IFERROR(__xludf.DUMMYFUNCTION("""COMPUTED_VALUE"""),"")</f>
        <v/>
      </c>
      <c r="O4142" s="87" t="str">
        <f>IFERROR(__xludf.DUMMYFUNCTION("""COMPUTED_VALUE"""),"https://drive.google.com/drive/folders/10T2cTQHqEJZqE-st6uFKPoI?usp=share_link")</f>
        <v>https://drive.google.com/drive/folders/10T2cTQHqEJZqE-st6uFKPoI?usp=share_link</v>
      </c>
      <c r="P4142" s="6" t="str">
        <f>IFERROR(__xludf.DUMMYFUNCTION("""COMPUTED_VALUE"""),"Lidia Moctezuma De La Cruz")</f>
        <v>Lidia Moctezuma De La Cruz</v>
      </c>
      <c r="Q4142" s="6" t="str">
        <f>IFERROR(__xludf.DUMMYFUNCTION("""COMPUTED_VALUE"""),"L1")</f>
        <v>L1</v>
      </c>
      <c r="R4142" s="6">
        <f>IFERROR(__xludf.DUMMYFUNCTION("""COMPUTED_VALUE"""),1.0)</f>
        <v>1</v>
      </c>
      <c r="S4142" s="6" t="str">
        <f>IFERROR(__xludf.DUMMYFUNCTION("""COMPUTED_VALUE""")," ")</f>
        <v> </v>
      </c>
      <c r="T4142" s="6" t="str">
        <f>IFERROR(__xludf.DUMMYFUNCTION("""COMPUTED_VALUE"""),"")</f>
        <v/>
      </c>
      <c r="U4142" s="6" t="str">
        <f>IFERROR(__xludf.DUMMYFUNCTION("""COMPUTED_VALUE"""),"2")</f>
        <v>2</v>
      </c>
      <c r="V4142" s="6" t="str">
        <f>IFERROR(__xludf.DUMMYFUNCTION("""COMPUTED_VALUE"""),"")</f>
        <v/>
      </c>
      <c r="W4142" s="6" t="str">
        <f>IFERROR(__xludf.DUMMYFUNCTION("""COMPUTED_VALUE"""),"[]")</f>
        <v>[]</v>
      </c>
      <c r="X4142" s="6" t="str">
        <f>IFERROR(__xludf.DUMMYFUNCTION("""COMPUTED_VALUE"""),"Enrolled")</f>
        <v>Enrolled</v>
      </c>
    </row>
    <row r="4143">
      <c r="A4143" s="6" t="str">
        <f>IFERROR(__xludf.DUMMYFUNCTION("""COMPUTED_VALUE"""),"083-11430")</f>
        <v>083-11430</v>
      </c>
      <c r="B4143" s="6" t="str">
        <f>IFERROR(__xludf.DUMMYFUNCTION("""COMPUTED_VALUE"""),"83")</f>
        <v>83</v>
      </c>
      <c r="C4143" s="6" t="str">
        <f>IFERROR(__xludf.DUMMYFUNCTION("""COMPUTED_VALUE"""),"11430")</f>
        <v>11430</v>
      </c>
      <c r="D4143" s="6" t="str">
        <f>IFERROR(__xludf.DUMMYFUNCTION("""COMPUTED_VALUE"""),"Ella")</f>
        <v>Ella</v>
      </c>
      <c r="E4143" s="6" t="str">
        <f>IFERROR(__xludf.DUMMYFUNCTION("""COMPUTED_VALUE"""),"")</f>
        <v/>
      </c>
      <c r="F4143" s="6" t="str">
        <f>IFERROR(__xludf.DUMMYFUNCTION("""COMPUTED_VALUE"""),"Nguyen")</f>
        <v>Nguyen</v>
      </c>
      <c r="G4143" s="6" t="str">
        <f>IFERROR(__xludf.DUMMYFUNCTION("""COMPUTED_VALUE"""),"06/29/2018")</f>
        <v>06/29/2018</v>
      </c>
      <c r="H4143" s="6" t="str">
        <f>IFERROR(__xludf.DUMMYFUNCTION("""COMPUTED_VALUE"""),"female")</f>
        <v>female</v>
      </c>
      <c r="I4143" s="6" t="str">
        <f>IFERROR(__xludf.DUMMYFUNCTION("""COMPUTED_VALUE"""),"Level 1")</f>
        <v>Level 1</v>
      </c>
      <c r="J4143" s="6" t="str">
        <f>IFERROR(__xludf.DUMMYFUNCTION("""COMPUTED_VALUE"""),"2")</f>
        <v>2</v>
      </c>
      <c r="K4143" s="6" t="str">
        <f>IFERROR(__xludf.DUMMYFUNCTION("""COMPUTED_VALUE"""),"ella.nguyen@2hourlearning.com")</f>
        <v>ella.nguyen@2hourlearning.com</v>
      </c>
      <c r="L4143" s="6" t="str">
        <f>IFERROR(__xludf.DUMMYFUNCTION("""COMPUTED_VALUE"""),"JHES - Hardeeville Elementary School")</f>
        <v>JHES - Hardeeville Elementary School</v>
      </c>
      <c r="M4143" s="6" t="str">
        <f>IFERROR(__xludf.DUMMYFUNCTION("""COMPUTED_VALUE"""),"")</f>
        <v/>
      </c>
      <c r="N4143" s="6" t="str">
        <f>IFERROR(__xludf.DUMMYFUNCTION("""COMPUTED_VALUE"""),"")</f>
        <v/>
      </c>
      <c r="O4143" s="87" t="str">
        <f>IFERROR(__xludf.DUMMYFUNCTION("""COMPUTED_VALUE"""),"https://drive.google.com/drive/folders/10T2cTQHqEJZqE-st6uFKPoI?usp=share_link")</f>
        <v>https://drive.google.com/drive/folders/10T2cTQHqEJZqE-st6uFKPoI?usp=share_link</v>
      </c>
      <c r="P4143" s="6" t="str">
        <f>IFERROR(__xludf.DUMMYFUNCTION("""COMPUTED_VALUE"""),"Ella Nguyen")</f>
        <v>Ella Nguyen</v>
      </c>
      <c r="Q4143" s="6" t="str">
        <f>IFERROR(__xludf.DUMMYFUNCTION("""COMPUTED_VALUE"""),"L1")</f>
        <v>L1</v>
      </c>
      <c r="R4143" s="6">
        <f>IFERROR(__xludf.DUMMYFUNCTION("""COMPUTED_VALUE"""),1.0)</f>
        <v>1</v>
      </c>
      <c r="S4143" s="6" t="str">
        <f>IFERROR(__xludf.DUMMYFUNCTION("""COMPUTED_VALUE""")," ")</f>
        <v> </v>
      </c>
      <c r="T4143" s="6" t="str">
        <f>IFERROR(__xludf.DUMMYFUNCTION("""COMPUTED_VALUE"""),"")</f>
        <v/>
      </c>
      <c r="U4143" s="6" t="str">
        <f>IFERROR(__xludf.DUMMYFUNCTION("""COMPUTED_VALUE"""),"2")</f>
        <v>2</v>
      </c>
      <c r="V4143" s="6" t="str">
        <f>IFERROR(__xludf.DUMMYFUNCTION("""COMPUTED_VALUE"""),"")</f>
        <v/>
      </c>
      <c r="W4143" s="6" t="str">
        <f>IFERROR(__xludf.DUMMYFUNCTION("""COMPUTED_VALUE"""),"[]")</f>
        <v>[]</v>
      </c>
      <c r="X4143" s="6" t="str">
        <f>IFERROR(__xludf.DUMMYFUNCTION("""COMPUTED_VALUE"""),"Enrolled")</f>
        <v>Enrolled</v>
      </c>
    </row>
    <row r="4144">
      <c r="A4144" s="6" t="str">
        <f>IFERROR(__xludf.DUMMYFUNCTION("""COMPUTED_VALUE"""),"083-11431")</f>
        <v>083-11431</v>
      </c>
      <c r="B4144" s="6" t="str">
        <f>IFERROR(__xludf.DUMMYFUNCTION("""COMPUTED_VALUE"""),"83")</f>
        <v>83</v>
      </c>
      <c r="C4144" s="6" t="str">
        <f>IFERROR(__xludf.DUMMYFUNCTION("""COMPUTED_VALUE"""),"11431")</f>
        <v>11431</v>
      </c>
      <c r="D4144" s="6" t="str">
        <f>IFERROR(__xludf.DUMMYFUNCTION("""COMPUTED_VALUE"""),"Za-Hirah T")</f>
        <v>Za-Hirah T</v>
      </c>
      <c r="E4144" s="6" t="str">
        <f>IFERROR(__xludf.DUMMYFUNCTION("""COMPUTED_VALUE"""),"")</f>
        <v/>
      </c>
      <c r="F4144" s="6" t="str">
        <f>IFERROR(__xludf.DUMMYFUNCTION("""COMPUTED_VALUE"""),"Oliver-Beasley")</f>
        <v>Oliver-Beasley</v>
      </c>
      <c r="G4144" s="6" t="str">
        <f>IFERROR(__xludf.DUMMYFUNCTION("""COMPUTED_VALUE"""),"07/29/2018")</f>
        <v>07/29/2018</v>
      </c>
      <c r="H4144" s="6" t="str">
        <f>IFERROR(__xludf.DUMMYFUNCTION("""COMPUTED_VALUE"""),"female")</f>
        <v>female</v>
      </c>
      <c r="I4144" s="6" t="str">
        <f>IFERROR(__xludf.DUMMYFUNCTION("""COMPUTED_VALUE"""),"Level 1")</f>
        <v>Level 1</v>
      </c>
      <c r="J4144" s="6" t="str">
        <f>IFERROR(__xludf.DUMMYFUNCTION("""COMPUTED_VALUE"""),"2")</f>
        <v>2</v>
      </c>
      <c r="K4144" s="6" t="str">
        <f>IFERROR(__xludf.DUMMYFUNCTION("""COMPUTED_VALUE"""),"zahiraht.oliverbeasley@2hourlearning.com")</f>
        <v>zahiraht.oliverbeasley@2hourlearning.com</v>
      </c>
      <c r="L4144" s="6" t="str">
        <f>IFERROR(__xludf.DUMMYFUNCTION("""COMPUTED_VALUE"""),"JHES - Hardeeville Elementary School")</f>
        <v>JHES - Hardeeville Elementary School</v>
      </c>
      <c r="M4144" s="6" t="str">
        <f>IFERROR(__xludf.DUMMYFUNCTION("""COMPUTED_VALUE"""),"")</f>
        <v/>
      </c>
      <c r="N4144" s="6" t="str">
        <f>IFERROR(__xludf.DUMMYFUNCTION("""COMPUTED_VALUE"""),"")</f>
        <v/>
      </c>
      <c r="O4144" s="87" t="str">
        <f>IFERROR(__xludf.DUMMYFUNCTION("""COMPUTED_VALUE"""),"https://drive.google.com/drive/folders/10T2cTQHqEJZqE-st6uFKPoI?usp=share_link")</f>
        <v>https://drive.google.com/drive/folders/10T2cTQHqEJZqE-st6uFKPoI?usp=share_link</v>
      </c>
      <c r="P4144" s="6" t="str">
        <f>IFERROR(__xludf.DUMMYFUNCTION("""COMPUTED_VALUE"""),"Za-Hirah T Oliver-Beasley")</f>
        <v>Za-Hirah T Oliver-Beasley</v>
      </c>
      <c r="Q4144" s="6" t="str">
        <f>IFERROR(__xludf.DUMMYFUNCTION("""COMPUTED_VALUE"""),"L1")</f>
        <v>L1</v>
      </c>
      <c r="R4144" s="6">
        <f>IFERROR(__xludf.DUMMYFUNCTION("""COMPUTED_VALUE"""),1.0)</f>
        <v>1</v>
      </c>
      <c r="S4144" s="6" t="str">
        <f>IFERROR(__xludf.DUMMYFUNCTION("""COMPUTED_VALUE""")," ")</f>
        <v> </v>
      </c>
      <c r="T4144" s="6" t="str">
        <f>IFERROR(__xludf.DUMMYFUNCTION("""COMPUTED_VALUE"""),"")</f>
        <v/>
      </c>
      <c r="U4144" s="6" t="str">
        <f>IFERROR(__xludf.DUMMYFUNCTION("""COMPUTED_VALUE"""),"2")</f>
        <v>2</v>
      </c>
      <c r="V4144" s="6" t="str">
        <f>IFERROR(__xludf.DUMMYFUNCTION("""COMPUTED_VALUE"""),"")</f>
        <v/>
      </c>
      <c r="W4144" s="6" t="str">
        <f>IFERROR(__xludf.DUMMYFUNCTION("""COMPUTED_VALUE"""),"[]")</f>
        <v>[]</v>
      </c>
      <c r="X4144" s="6" t="str">
        <f>IFERROR(__xludf.DUMMYFUNCTION("""COMPUTED_VALUE"""),"Enrolled")</f>
        <v>Enrolled</v>
      </c>
    </row>
    <row r="4145">
      <c r="A4145" s="6" t="str">
        <f>IFERROR(__xludf.DUMMYFUNCTION("""COMPUTED_VALUE"""),"083-11432")</f>
        <v>083-11432</v>
      </c>
      <c r="B4145" s="6" t="str">
        <f>IFERROR(__xludf.DUMMYFUNCTION("""COMPUTED_VALUE"""),"83")</f>
        <v>83</v>
      </c>
      <c r="C4145" s="6" t="str">
        <f>IFERROR(__xludf.DUMMYFUNCTION("""COMPUTED_VALUE"""),"11432")</f>
        <v>11432</v>
      </c>
      <c r="D4145" s="6" t="str">
        <f>IFERROR(__xludf.DUMMYFUNCTION("""COMPUTED_VALUE"""),"Nicole S")</f>
        <v>Nicole S</v>
      </c>
      <c r="E4145" s="6" t="str">
        <f>IFERROR(__xludf.DUMMYFUNCTION("""COMPUTED_VALUE"""),"")</f>
        <v/>
      </c>
      <c r="F4145" s="6" t="str">
        <f>IFERROR(__xludf.DUMMYFUNCTION("""COMPUTED_VALUE"""),"Otero Jaramillo")</f>
        <v>Otero Jaramillo</v>
      </c>
      <c r="G4145" s="6" t="str">
        <f>IFERROR(__xludf.DUMMYFUNCTION("""COMPUTED_VALUE"""),"08/29/2017")</f>
        <v>08/29/2017</v>
      </c>
      <c r="H4145" s="6" t="str">
        <f>IFERROR(__xludf.DUMMYFUNCTION("""COMPUTED_VALUE"""),"female")</f>
        <v>female</v>
      </c>
      <c r="I4145" s="6" t="str">
        <f>IFERROR(__xludf.DUMMYFUNCTION("""COMPUTED_VALUE"""),"Level 1")</f>
        <v>Level 1</v>
      </c>
      <c r="J4145" s="6" t="str">
        <f>IFERROR(__xludf.DUMMYFUNCTION("""COMPUTED_VALUE"""),"2")</f>
        <v>2</v>
      </c>
      <c r="K4145" s="6" t="str">
        <f>IFERROR(__xludf.DUMMYFUNCTION("""COMPUTED_VALUE"""),"nicoles.oterojaramillo@2hourlearning.com")</f>
        <v>nicoles.oterojaramillo@2hourlearning.com</v>
      </c>
      <c r="L4145" s="6" t="str">
        <f>IFERROR(__xludf.DUMMYFUNCTION("""COMPUTED_VALUE"""),"JHES - Hardeeville Elementary School")</f>
        <v>JHES - Hardeeville Elementary School</v>
      </c>
      <c r="M4145" s="6" t="str">
        <f>IFERROR(__xludf.DUMMYFUNCTION("""COMPUTED_VALUE"""),"")</f>
        <v/>
      </c>
      <c r="N4145" s="6" t="str">
        <f>IFERROR(__xludf.DUMMYFUNCTION("""COMPUTED_VALUE"""),"")</f>
        <v/>
      </c>
      <c r="O4145" s="87" t="str">
        <f>IFERROR(__xludf.DUMMYFUNCTION("""COMPUTED_VALUE"""),"https://drive.google.com/drive/folders/10T2cTQHqEJZqE-st6uFKPoI?usp=share_link")</f>
        <v>https://drive.google.com/drive/folders/10T2cTQHqEJZqE-st6uFKPoI?usp=share_link</v>
      </c>
      <c r="P4145" s="6" t="str">
        <f>IFERROR(__xludf.DUMMYFUNCTION("""COMPUTED_VALUE"""),"Nicole S Otero Jaramillo")</f>
        <v>Nicole S Otero Jaramillo</v>
      </c>
      <c r="Q4145" s="6" t="str">
        <f>IFERROR(__xludf.DUMMYFUNCTION("""COMPUTED_VALUE"""),"L1")</f>
        <v>L1</v>
      </c>
      <c r="R4145" s="6">
        <f>IFERROR(__xludf.DUMMYFUNCTION("""COMPUTED_VALUE"""),1.0)</f>
        <v>1</v>
      </c>
      <c r="S4145" s="6" t="str">
        <f>IFERROR(__xludf.DUMMYFUNCTION("""COMPUTED_VALUE""")," ")</f>
        <v> </v>
      </c>
      <c r="T4145" s="6" t="str">
        <f>IFERROR(__xludf.DUMMYFUNCTION("""COMPUTED_VALUE"""),"")</f>
        <v/>
      </c>
      <c r="U4145" s="6" t="str">
        <f>IFERROR(__xludf.DUMMYFUNCTION("""COMPUTED_VALUE"""),"2")</f>
        <v>2</v>
      </c>
      <c r="V4145" s="6" t="str">
        <f>IFERROR(__xludf.DUMMYFUNCTION("""COMPUTED_VALUE"""),"")</f>
        <v/>
      </c>
      <c r="W4145" s="6" t="str">
        <f>IFERROR(__xludf.DUMMYFUNCTION("""COMPUTED_VALUE"""),"[]")</f>
        <v>[]</v>
      </c>
      <c r="X4145" s="6" t="str">
        <f>IFERROR(__xludf.DUMMYFUNCTION("""COMPUTED_VALUE"""),"Enrolled")</f>
        <v>Enrolled</v>
      </c>
    </row>
    <row r="4146">
      <c r="A4146" s="6" t="str">
        <f>IFERROR(__xludf.DUMMYFUNCTION("""COMPUTED_VALUE"""),"083-11433")</f>
        <v>083-11433</v>
      </c>
      <c r="B4146" s="6" t="str">
        <f>IFERROR(__xludf.DUMMYFUNCTION("""COMPUTED_VALUE"""),"83")</f>
        <v>83</v>
      </c>
      <c r="C4146" s="6" t="str">
        <f>IFERROR(__xludf.DUMMYFUNCTION("""COMPUTED_VALUE"""),"11433")</f>
        <v>11433</v>
      </c>
      <c r="D4146" s="6" t="str">
        <f>IFERROR(__xludf.DUMMYFUNCTION("""COMPUTED_VALUE"""),"Edder")</f>
        <v>Edder</v>
      </c>
      <c r="E4146" s="6" t="str">
        <f>IFERROR(__xludf.DUMMYFUNCTION("""COMPUTED_VALUE"""),"")</f>
        <v/>
      </c>
      <c r="F4146" s="6" t="str">
        <f>IFERROR(__xludf.DUMMYFUNCTION("""COMPUTED_VALUE"""),"Perez Orozco")</f>
        <v>Perez Orozco</v>
      </c>
      <c r="G4146" s="6" t="str">
        <f>IFERROR(__xludf.DUMMYFUNCTION("""COMPUTED_VALUE"""),"10/22/2017")</f>
        <v>10/22/2017</v>
      </c>
      <c r="H4146" s="6" t="str">
        <f>IFERROR(__xludf.DUMMYFUNCTION("""COMPUTED_VALUE"""),"male")</f>
        <v>male</v>
      </c>
      <c r="I4146" s="6" t="str">
        <f>IFERROR(__xludf.DUMMYFUNCTION("""COMPUTED_VALUE"""),"Level 1")</f>
        <v>Level 1</v>
      </c>
      <c r="J4146" s="6" t="str">
        <f>IFERROR(__xludf.DUMMYFUNCTION("""COMPUTED_VALUE"""),"2")</f>
        <v>2</v>
      </c>
      <c r="K4146" s="6" t="str">
        <f>IFERROR(__xludf.DUMMYFUNCTION("""COMPUTED_VALUE"""),"edder.perezorozco@2hourlearning.com")</f>
        <v>edder.perezorozco@2hourlearning.com</v>
      </c>
      <c r="L4146" s="6" t="str">
        <f>IFERROR(__xludf.DUMMYFUNCTION("""COMPUTED_VALUE"""),"JHES - Hardeeville Elementary School")</f>
        <v>JHES - Hardeeville Elementary School</v>
      </c>
      <c r="M4146" s="6" t="str">
        <f>IFERROR(__xludf.DUMMYFUNCTION("""COMPUTED_VALUE"""),"")</f>
        <v/>
      </c>
      <c r="N4146" s="6" t="str">
        <f>IFERROR(__xludf.DUMMYFUNCTION("""COMPUTED_VALUE"""),"")</f>
        <v/>
      </c>
      <c r="O4146" s="87" t="str">
        <f>IFERROR(__xludf.DUMMYFUNCTION("""COMPUTED_VALUE"""),"https://drive.google.com/drive/folders/10T2cTQHqEJZqE-st6uFKPoI?usp=share_link")</f>
        <v>https://drive.google.com/drive/folders/10T2cTQHqEJZqE-st6uFKPoI?usp=share_link</v>
      </c>
      <c r="P4146" s="6" t="str">
        <f>IFERROR(__xludf.DUMMYFUNCTION("""COMPUTED_VALUE"""),"Edder Perez Orozco")</f>
        <v>Edder Perez Orozco</v>
      </c>
      <c r="Q4146" s="6" t="str">
        <f>IFERROR(__xludf.DUMMYFUNCTION("""COMPUTED_VALUE"""),"L1")</f>
        <v>L1</v>
      </c>
      <c r="R4146" s="6">
        <f>IFERROR(__xludf.DUMMYFUNCTION("""COMPUTED_VALUE"""),1.0)</f>
        <v>1</v>
      </c>
      <c r="S4146" s="6" t="str">
        <f>IFERROR(__xludf.DUMMYFUNCTION("""COMPUTED_VALUE""")," ")</f>
        <v> </v>
      </c>
      <c r="T4146" s="6" t="str">
        <f>IFERROR(__xludf.DUMMYFUNCTION("""COMPUTED_VALUE"""),"")</f>
        <v/>
      </c>
      <c r="U4146" s="6" t="str">
        <f>IFERROR(__xludf.DUMMYFUNCTION("""COMPUTED_VALUE"""),"2")</f>
        <v>2</v>
      </c>
      <c r="V4146" s="6" t="str">
        <f>IFERROR(__xludf.DUMMYFUNCTION("""COMPUTED_VALUE"""),"")</f>
        <v/>
      </c>
      <c r="W4146" s="6" t="str">
        <f>IFERROR(__xludf.DUMMYFUNCTION("""COMPUTED_VALUE"""),"[]")</f>
        <v>[]</v>
      </c>
      <c r="X4146" s="6" t="str">
        <f>IFERROR(__xludf.DUMMYFUNCTION("""COMPUTED_VALUE"""),"Enrolled")</f>
        <v>Enrolled</v>
      </c>
    </row>
    <row r="4147">
      <c r="A4147" s="6" t="str">
        <f>IFERROR(__xludf.DUMMYFUNCTION("""COMPUTED_VALUE"""),"083-11434")</f>
        <v>083-11434</v>
      </c>
      <c r="B4147" s="6" t="str">
        <f>IFERROR(__xludf.DUMMYFUNCTION("""COMPUTED_VALUE"""),"83")</f>
        <v>83</v>
      </c>
      <c r="C4147" s="6" t="str">
        <f>IFERROR(__xludf.DUMMYFUNCTION("""COMPUTED_VALUE"""),"11434")</f>
        <v>11434</v>
      </c>
      <c r="D4147" s="6" t="str">
        <f>IFERROR(__xludf.DUMMYFUNCTION("""COMPUTED_VALUE"""),"Grace Abigail")</f>
        <v>Grace Abigail</v>
      </c>
      <c r="E4147" s="6" t="str">
        <f>IFERROR(__xludf.DUMMYFUNCTION("""COMPUTED_VALUE"""),"")</f>
        <v/>
      </c>
      <c r="F4147" s="6" t="str">
        <f>IFERROR(__xludf.DUMMYFUNCTION("""COMPUTED_VALUE"""),"Ramirez Gonzalez")</f>
        <v>Ramirez Gonzalez</v>
      </c>
      <c r="G4147" s="6" t="str">
        <f>IFERROR(__xludf.DUMMYFUNCTION("""COMPUTED_VALUE"""),"07/02/2018")</f>
        <v>07/02/2018</v>
      </c>
      <c r="H4147" s="6" t="str">
        <f>IFERROR(__xludf.DUMMYFUNCTION("""COMPUTED_VALUE"""),"female")</f>
        <v>female</v>
      </c>
      <c r="I4147" s="6" t="str">
        <f>IFERROR(__xludf.DUMMYFUNCTION("""COMPUTED_VALUE"""),"Level 1")</f>
        <v>Level 1</v>
      </c>
      <c r="J4147" s="6" t="str">
        <f>IFERROR(__xludf.DUMMYFUNCTION("""COMPUTED_VALUE"""),"2")</f>
        <v>2</v>
      </c>
      <c r="K4147" s="6" t="str">
        <f>IFERROR(__xludf.DUMMYFUNCTION("""COMPUTED_VALUE"""),"graceabigail.ramirezgonzalez@2hourlearning.com")</f>
        <v>graceabigail.ramirezgonzalez@2hourlearning.com</v>
      </c>
      <c r="L4147" s="6" t="str">
        <f>IFERROR(__xludf.DUMMYFUNCTION("""COMPUTED_VALUE"""),"JHES - Hardeeville Elementary School")</f>
        <v>JHES - Hardeeville Elementary School</v>
      </c>
      <c r="M4147" s="6" t="str">
        <f>IFERROR(__xludf.DUMMYFUNCTION("""COMPUTED_VALUE"""),"")</f>
        <v/>
      </c>
      <c r="N4147" s="6" t="str">
        <f>IFERROR(__xludf.DUMMYFUNCTION("""COMPUTED_VALUE"""),"")</f>
        <v/>
      </c>
      <c r="O4147" s="87" t="str">
        <f>IFERROR(__xludf.DUMMYFUNCTION("""COMPUTED_VALUE"""),"https://drive.google.com/drive/folders/10T2cTQHqEJZqE-st6uFKPoI?usp=share_link")</f>
        <v>https://drive.google.com/drive/folders/10T2cTQHqEJZqE-st6uFKPoI?usp=share_link</v>
      </c>
      <c r="P4147" s="6" t="str">
        <f>IFERROR(__xludf.DUMMYFUNCTION("""COMPUTED_VALUE"""),"Grace Abigail Ramirez Gonzalez")</f>
        <v>Grace Abigail Ramirez Gonzalez</v>
      </c>
      <c r="Q4147" s="6" t="str">
        <f>IFERROR(__xludf.DUMMYFUNCTION("""COMPUTED_VALUE"""),"L1")</f>
        <v>L1</v>
      </c>
      <c r="R4147" s="6">
        <f>IFERROR(__xludf.DUMMYFUNCTION("""COMPUTED_VALUE"""),1.0)</f>
        <v>1</v>
      </c>
      <c r="S4147" s="6" t="str">
        <f>IFERROR(__xludf.DUMMYFUNCTION("""COMPUTED_VALUE""")," ")</f>
        <v> </v>
      </c>
      <c r="T4147" s="6" t="str">
        <f>IFERROR(__xludf.DUMMYFUNCTION("""COMPUTED_VALUE"""),"")</f>
        <v/>
      </c>
      <c r="U4147" s="6" t="str">
        <f>IFERROR(__xludf.DUMMYFUNCTION("""COMPUTED_VALUE"""),"2")</f>
        <v>2</v>
      </c>
      <c r="V4147" s="6" t="str">
        <f>IFERROR(__xludf.DUMMYFUNCTION("""COMPUTED_VALUE"""),"")</f>
        <v/>
      </c>
      <c r="W4147" s="6" t="str">
        <f>IFERROR(__xludf.DUMMYFUNCTION("""COMPUTED_VALUE"""),"[]")</f>
        <v>[]</v>
      </c>
      <c r="X4147" s="6" t="str">
        <f>IFERROR(__xludf.DUMMYFUNCTION("""COMPUTED_VALUE"""),"Enrolled")</f>
        <v>Enrolled</v>
      </c>
    </row>
    <row r="4148">
      <c r="A4148" s="6" t="str">
        <f>IFERROR(__xludf.DUMMYFUNCTION("""COMPUTED_VALUE"""),"083-11435")</f>
        <v>083-11435</v>
      </c>
      <c r="B4148" s="6" t="str">
        <f>IFERROR(__xludf.DUMMYFUNCTION("""COMPUTED_VALUE"""),"83")</f>
        <v>83</v>
      </c>
      <c r="C4148" s="6" t="str">
        <f>IFERROR(__xludf.DUMMYFUNCTION("""COMPUTED_VALUE"""),"11435")</f>
        <v>11435</v>
      </c>
      <c r="D4148" s="6" t="str">
        <f>IFERROR(__xludf.DUMMYFUNCTION("""COMPUTED_VALUE"""),"Sidney")</f>
        <v>Sidney</v>
      </c>
      <c r="E4148" s="6" t="str">
        <f>IFERROR(__xludf.DUMMYFUNCTION("""COMPUTED_VALUE"""),"")</f>
        <v/>
      </c>
      <c r="F4148" s="6" t="str">
        <f>IFERROR(__xludf.DUMMYFUNCTION("""COMPUTED_VALUE"""),"Rivers")</f>
        <v>Rivers</v>
      </c>
      <c r="G4148" s="6" t="str">
        <f>IFERROR(__xludf.DUMMYFUNCTION("""COMPUTED_VALUE"""),"03/28/2018")</f>
        <v>03/28/2018</v>
      </c>
      <c r="H4148" s="6" t="str">
        <f>IFERROR(__xludf.DUMMYFUNCTION("""COMPUTED_VALUE"""),"male")</f>
        <v>male</v>
      </c>
      <c r="I4148" s="6" t="str">
        <f>IFERROR(__xludf.DUMMYFUNCTION("""COMPUTED_VALUE"""),"Level 1")</f>
        <v>Level 1</v>
      </c>
      <c r="J4148" s="6" t="str">
        <f>IFERROR(__xludf.DUMMYFUNCTION("""COMPUTED_VALUE"""),"2")</f>
        <v>2</v>
      </c>
      <c r="K4148" s="6" t="str">
        <f>IFERROR(__xludf.DUMMYFUNCTION("""COMPUTED_VALUE"""),"sidney.rivers@2hourlearning.com")</f>
        <v>sidney.rivers@2hourlearning.com</v>
      </c>
      <c r="L4148" s="6" t="str">
        <f>IFERROR(__xludf.DUMMYFUNCTION("""COMPUTED_VALUE"""),"JHES - Hardeeville Elementary School")</f>
        <v>JHES - Hardeeville Elementary School</v>
      </c>
      <c r="M4148" s="6" t="str">
        <f>IFERROR(__xludf.DUMMYFUNCTION("""COMPUTED_VALUE"""),"")</f>
        <v/>
      </c>
      <c r="N4148" s="6" t="str">
        <f>IFERROR(__xludf.DUMMYFUNCTION("""COMPUTED_VALUE"""),"")</f>
        <v/>
      </c>
      <c r="O4148" s="87" t="str">
        <f>IFERROR(__xludf.DUMMYFUNCTION("""COMPUTED_VALUE"""),"https://drive.google.com/drive/folders/10T2cTQHqEJZqE-st6uFKPoI?usp=share_link")</f>
        <v>https://drive.google.com/drive/folders/10T2cTQHqEJZqE-st6uFKPoI?usp=share_link</v>
      </c>
      <c r="P4148" s="6" t="str">
        <f>IFERROR(__xludf.DUMMYFUNCTION("""COMPUTED_VALUE"""),"Sidney Rivers")</f>
        <v>Sidney Rivers</v>
      </c>
      <c r="Q4148" s="6" t="str">
        <f>IFERROR(__xludf.DUMMYFUNCTION("""COMPUTED_VALUE"""),"L1")</f>
        <v>L1</v>
      </c>
      <c r="R4148" s="6">
        <f>IFERROR(__xludf.DUMMYFUNCTION("""COMPUTED_VALUE"""),1.0)</f>
        <v>1</v>
      </c>
      <c r="S4148" s="6" t="str">
        <f>IFERROR(__xludf.DUMMYFUNCTION("""COMPUTED_VALUE""")," ")</f>
        <v> </v>
      </c>
      <c r="T4148" s="6" t="str">
        <f>IFERROR(__xludf.DUMMYFUNCTION("""COMPUTED_VALUE"""),"")</f>
        <v/>
      </c>
      <c r="U4148" s="6" t="str">
        <f>IFERROR(__xludf.DUMMYFUNCTION("""COMPUTED_VALUE"""),"2")</f>
        <v>2</v>
      </c>
      <c r="V4148" s="6" t="str">
        <f>IFERROR(__xludf.DUMMYFUNCTION("""COMPUTED_VALUE"""),"")</f>
        <v/>
      </c>
      <c r="W4148" s="6" t="str">
        <f>IFERROR(__xludf.DUMMYFUNCTION("""COMPUTED_VALUE"""),"[]")</f>
        <v>[]</v>
      </c>
      <c r="X4148" s="6" t="str">
        <f>IFERROR(__xludf.DUMMYFUNCTION("""COMPUTED_VALUE"""),"Enrolled")</f>
        <v>Enrolled</v>
      </c>
    </row>
    <row r="4149">
      <c r="A4149" s="6" t="str">
        <f>IFERROR(__xludf.DUMMYFUNCTION("""COMPUTED_VALUE"""),"083-11436")</f>
        <v>083-11436</v>
      </c>
      <c r="B4149" s="6" t="str">
        <f>IFERROR(__xludf.DUMMYFUNCTION("""COMPUTED_VALUE"""),"83")</f>
        <v>83</v>
      </c>
      <c r="C4149" s="6" t="str">
        <f>IFERROR(__xludf.DUMMYFUNCTION("""COMPUTED_VALUE"""),"11436")</f>
        <v>11436</v>
      </c>
      <c r="D4149" s="6" t="str">
        <f>IFERROR(__xludf.DUMMYFUNCTION("""COMPUTED_VALUE"""),"Cenia")</f>
        <v>Cenia</v>
      </c>
      <c r="E4149" s="6" t="str">
        <f>IFERROR(__xludf.DUMMYFUNCTION("""COMPUTED_VALUE"""),"")</f>
        <v/>
      </c>
      <c r="F4149" s="6" t="str">
        <f>IFERROR(__xludf.DUMMYFUNCTION("""COMPUTED_VALUE"""),"Salgado Donjuan")</f>
        <v>Salgado Donjuan</v>
      </c>
      <c r="G4149" s="6" t="str">
        <f>IFERROR(__xludf.DUMMYFUNCTION("""COMPUTED_VALUE"""),"01/09/2018")</f>
        <v>01/09/2018</v>
      </c>
      <c r="H4149" s="6" t="str">
        <f>IFERROR(__xludf.DUMMYFUNCTION("""COMPUTED_VALUE"""),"female")</f>
        <v>female</v>
      </c>
      <c r="I4149" s="6" t="str">
        <f>IFERROR(__xludf.DUMMYFUNCTION("""COMPUTED_VALUE"""),"Level 1")</f>
        <v>Level 1</v>
      </c>
      <c r="J4149" s="6" t="str">
        <f>IFERROR(__xludf.DUMMYFUNCTION("""COMPUTED_VALUE"""),"2")</f>
        <v>2</v>
      </c>
      <c r="K4149" s="6" t="str">
        <f>IFERROR(__xludf.DUMMYFUNCTION("""COMPUTED_VALUE"""),"cenia.salgadodonjuan@2hourlearning.com")</f>
        <v>cenia.salgadodonjuan@2hourlearning.com</v>
      </c>
      <c r="L4149" s="6" t="str">
        <f>IFERROR(__xludf.DUMMYFUNCTION("""COMPUTED_VALUE"""),"JHES - Hardeeville Elementary School")</f>
        <v>JHES - Hardeeville Elementary School</v>
      </c>
      <c r="M4149" s="6" t="str">
        <f>IFERROR(__xludf.DUMMYFUNCTION("""COMPUTED_VALUE"""),"")</f>
        <v/>
      </c>
      <c r="N4149" s="6" t="str">
        <f>IFERROR(__xludf.DUMMYFUNCTION("""COMPUTED_VALUE"""),"")</f>
        <v/>
      </c>
      <c r="O4149" s="87" t="str">
        <f>IFERROR(__xludf.DUMMYFUNCTION("""COMPUTED_VALUE"""),"https://drive.google.com/drive/folders/10T2cTQHqEJZqE-st6uFKPoI?usp=share_link")</f>
        <v>https://drive.google.com/drive/folders/10T2cTQHqEJZqE-st6uFKPoI?usp=share_link</v>
      </c>
      <c r="P4149" s="6" t="str">
        <f>IFERROR(__xludf.DUMMYFUNCTION("""COMPUTED_VALUE"""),"Cenia Salgado Donjuan")</f>
        <v>Cenia Salgado Donjuan</v>
      </c>
      <c r="Q4149" s="6" t="str">
        <f>IFERROR(__xludf.DUMMYFUNCTION("""COMPUTED_VALUE"""),"L1")</f>
        <v>L1</v>
      </c>
      <c r="R4149" s="6">
        <f>IFERROR(__xludf.DUMMYFUNCTION("""COMPUTED_VALUE"""),1.0)</f>
        <v>1</v>
      </c>
      <c r="S4149" s="6" t="str">
        <f>IFERROR(__xludf.DUMMYFUNCTION("""COMPUTED_VALUE""")," ")</f>
        <v> </v>
      </c>
      <c r="T4149" s="6" t="str">
        <f>IFERROR(__xludf.DUMMYFUNCTION("""COMPUTED_VALUE"""),"")</f>
        <v/>
      </c>
      <c r="U4149" s="6" t="str">
        <f>IFERROR(__xludf.DUMMYFUNCTION("""COMPUTED_VALUE"""),"2")</f>
        <v>2</v>
      </c>
      <c r="V4149" s="6" t="str">
        <f>IFERROR(__xludf.DUMMYFUNCTION("""COMPUTED_VALUE"""),"")</f>
        <v/>
      </c>
      <c r="W4149" s="6" t="str">
        <f>IFERROR(__xludf.DUMMYFUNCTION("""COMPUTED_VALUE"""),"[]")</f>
        <v>[]</v>
      </c>
      <c r="X4149" s="6" t="str">
        <f>IFERROR(__xludf.DUMMYFUNCTION("""COMPUTED_VALUE"""),"Enrolled")</f>
        <v>Enrolled</v>
      </c>
    </row>
    <row r="4150">
      <c r="A4150" s="6" t="str">
        <f>IFERROR(__xludf.DUMMYFUNCTION("""COMPUTED_VALUE"""),"083-11437")</f>
        <v>083-11437</v>
      </c>
      <c r="B4150" s="6" t="str">
        <f>IFERROR(__xludf.DUMMYFUNCTION("""COMPUTED_VALUE"""),"83")</f>
        <v>83</v>
      </c>
      <c r="C4150" s="6" t="str">
        <f>IFERROR(__xludf.DUMMYFUNCTION("""COMPUTED_VALUE"""),"11437")</f>
        <v>11437</v>
      </c>
      <c r="D4150" s="6" t="str">
        <f>IFERROR(__xludf.DUMMYFUNCTION("""COMPUTED_VALUE"""),"Erick")</f>
        <v>Erick</v>
      </c>
      <c r="E4150" s="6" t="str">
        <f>IFERROR(__xludf.DUMMYFUNCTION("""COMPUTED_VALUE"""),"")</f>
        <v/>
      </c>
      <c r="F4150" s="6" t="str">
        <f>IFERROR(__xludf.DUMMYFUNCTION("""COMPUTED_VALUE"""),"Salgado Maldonado")</f>
        <v>Salgado Maldonado</v>
      </c>
      <c r="G4150" s="6" t="str">
        <f>IFERROR(__xludf.DUMMYFUNCTION("""COMPUTED_VALUE"""),"03/11/2018")</f>
        <v>03/11/2018</v>
      </c>
      <c r="H4150" s="6" t="str">
        <f>IFERROR(__xludf.DUMMYFUNCTION("""COMPUTED_VALUE"""),"male")</f>
        <v>male</v>
      </c>
      <c r="I4150" s="6" t="str">
        <f>IFERROR(__xludf.DUMMYFUNCTION("""COMPUTED_VALUE"""),"Level 1")</f>
        <v>Level 1</v>
      </c>
      <c r="J4150" s="6" t="str">
        <f>IFERROR(__xludf.DUMMYFUNCTION("""COMPUTED_VALUE"""),"2")</f>
        <v>2</v>
      </c>
      <c r="K4150" s="6" t="str">
        <f>IFERROR(__xludf.DUMMYFUNCTION("""COMPUTED_VALUE"""),"erick.salgadomaldonado@2hourlearning.com")</f>
        <v>erick.salgadomaldonado@2hourlearning.com</v>
      </c>
      <c r="L4150" s="6" t="str">
        <f>IFERROR(__xludf.DUMMYFUNCTION("""COMPUTED_VALUE"""),"JHES - Hardeeville Elementary School")</f>
        <v>JHES - Hardeeville Elementary School</v>
      </c>
      <c r="M4150" s="6" t="str">
        <f>IFERROR(__xludf.DUMMYFUNCTION("""COMPUTED_VALUE"""),"")</f>
        <v/>
      </c>
      <c r="N4150" s="6" t="str">
        <f>IFERROR(__xludf.DUMMYFUNCTION("""COMPUTED_VALUE"""),"")</f>
        <v/>
      </c>
      <c r="O4150" s="87" t="str">
        <f>IFERROR(__xludf.DUMMYFUNCTION("""COMPUTED_VALUE"""),"https://drive.google.com/drive/folders/10T2cTQHqEJZqE-st6uFKPoI?usp=share_link")</f>
        <v>https://drive.google.com/drive/folders/10T2cTQHqEJZqE-st6uFKPoI?usp=share_link</v>
      </c>
      <c r="P4150" s="6" t="str">
        <f>IFERROR(__xludf.DUMMYFUNCTION("""COMPUTED_VALUE"""),"Erick Salgado Maldonado")</f>
        <v>Erick Salgado Maldonado</v>
      </c>
      <c r="Q4150" s="6" t="str">
        <f>IFERROR(__xludf.DUMMYFUNCTION("""COMPUTED_VALUE"""),"L1")</f>
        <v>L1</v>
      </c>
      <c r="R4150" s="6">
        <f>IFERROR(__xludf.DUMMYFUNCTION("""COMPUTED_VALUE"""),1.0)</f>
        <v>1</v>
      </c>
      <c r="S4150" s="6" t="str">
        <f>IFERROR(__xludf.DUMMYFUNCTION("""COMPUTED_VALUE""")," ")</f>
        <v> </v>
      </c>
      <c r="T4150" s="6" t="str">
        <f>IFERROR(__xludf.DUMMYFUNCTION("""COMPUTED_VALUE"""),"")</f>
        <v/>
      </c>
      <c r="U4150" s="6" t="str">
        <f>IFERROR(__xludf.DUMMYFUNCTION("""COMPUTED_VALUE"""),"2")</f>
        <v>2</v>
      </c>
      <c r="V4150" s="6" t="str">
        <f>IFERROR(__xludf.DUMMYFUNCTION("""COMPUTED_VALUE"""),"")</f>
        <v/>
      </c>
      <c r="W4150" s="6" t="str">
        <f>IFERROR(__xludf.DUMMYFUNCTION("""COMPUTED_VALUE"""),"[]")</f>
        <v>[]</v>
      </c>
      <c r="X4150" s="6" t="str">
        <f>IFERROR(__xludf.DUMMYFUNCTION("""COMPUTED_VALUE"""),"Enrolled")</f>
        <v>Enrolled</v>
      </c>
    </row>
    <row r="4151">
      <c r="A4151" s="6" t="str">
        <f>IFERROR(__xludf.DUMMYFUNCTION("""COMPUTED_VALUE"""),"083-11438")</f>
        <v>083-11438</v>
      </c>
      <c r="B4151" s="6" t="str">
        <f>IFERROR(__xludf.DUMMYFUNCTION("""COMPUTED_VALUE"""),"83")</f>
        <v>83</v>
      </c>
      <c r="C4151" s="6" t="str">
        <f>IFERROR(__xludf.DUMMYFUNCTION("""COMPUTED_VALUE"""),"11438")</f>
        <v>11438</v>
      </c>
      <c r="D4151" s="6" t="str">
        <f>IFERROR(__xludf.DUMMYFUNCTION("""COMPUTED_VALUE"""),"Ayden")</f>
        <v>Ayden</v>
      </c>
      <c r="E4151" s="6" t="str">
        <f>IFERROR(__xludf.DUMMYFUNCTION("""COMPUTED_VALUE"""),"")</f>
        <v/>
      </c>
      <c r="F4151" s="6" t="str">
        <f>IFERROR(__xludf.DUMMYFUNCTION("""COMPUTED_VALUE"""),"Session")</f>
        <v>Session</v>
      </c>
      <c r="G4151" s="6" t="str">
        <f>IFERROR(__xludf.DUMMYFUNCTION("""COMPUTED_VALUE"""),"02/10/2018")</f>
        <v>02/10/2018</v>
      </c>
      <c r="H4151" s="6" t="str">
        <f>IFERROR(__xludf.DUMMYFUNCTION("""COMPUTED_VALUE"""),"male")</f>
        <v>male</v>
      </c>
      <c r="I4151" s="6" t="str">
        <f>IFERROR(__xludf.DUMMYFUNCTION("""COMPUTED_VALUE"""),"Level 1")</f>
        <v>Level 1</v>
      </c>
      <c r="J4151" s="6" t="str">
        <f>IFERROR(__xludf.DUMMYFUNCTION("""COMPUTED_VALUE"""),"2")</f>
        <v>2</v>
      </c>
      <c r="K4151" s="6" t="str">
        <f>IFERROR(__xludf.DUMMYFUNCTION("""COMPUTED_VALUE"""),"ayden.session@2hourlearning.com")</f>
        <v>ayden.session@2hourlearning.com</v>
      </c>
      <c r="L4151" s="6" t="str">
        <f>IFERROR(__xludf.DUMMYFUNCTION("""COMPUTED_VALUE"""),"JHES - Hardeeville Elementary School")</f>
        <v>JHES - Hardeeville Elementary School</v>
      </c>
      <c r="M4151" s="6" t="str">
        <f>IFERROR(__xludf.DUMMYFUNCTION("""COMPUTED_VALUE"""),"")</f>
        <v/>
      </c>
      <c r="N4151" s="6" t="str">
        <f>IFERROR(__xludf.DUMMYFUNCTION("""COMPUTED_VALUE"""),"")</f>
        <v/>
      </c>
      <c r="O4151" s="87" t="str">
        <f>IFERROR(__xludf.DUMMYFUNCTION("""COMPUTED_VALUE"""),"https://drive.google.com/drive/folders/10T2cTQHqEJZqE-st6uFKPoI?usp=share_link")</f>
        <v>https://drive.google.com/drive/folders/10T2cTQHqEJZqE-st6uFKPoI?usp=share_link</v>
      </c>
      <c r="P4151" s="6" t="str">
        <f>IFERROR(__xludf.DUMMYFUNCTION("""COMPUTED_VALUE"""),"Ayden Session")</f>
        <v>Ayden Session</v>
      </c>
      <c r="Q4151" s="6" t="str">
        <f>IFERROR(__xludf.DUMMYFUNCTION("""COMPUTED_VALUE"""),"L1")</f>
        <v>L1</v>
      </c>
      <c r="R4151" s="6">
        <f>IFERROR(__xludf.DUMMYFUNCTION("""COMPUTED_VALUE"""),1.0)</f>
        <v>1</v>
      </c>
      <c r="S4151" s="6" t="str">
        <f>IFERROR(__xludf.DUMMYFUNCTION("""COMPUTED_VALUE""")," ")</f>
        <v> </v>
      </c>
      <c r="T4151" s="6" t="str">
        <f>IFERROR(__xludf.DUMMYFUNCTION("""COMPUTED_VALUE"""),"")</f>
        <v/>
      </c>
      <c r="U4151" s="6" t="str">
        <f>IFERROR(__xludf.DUMMYFUNCTION("""COMPUTED_VALUE"""),"2")</f>
        <v>2</v>
      </c>
      <c r="V4151" s="6" t="str">
        <f>IFERROR(__xludf.DUMMYFUNCTION("""COMPUTED_VALUE"""),"")</f>
        <v/>
      </c>
      <c r="W4151" s="6" t="str">
        <f>IFERROR(__xludf.DUMMYFUNCTION("""COMPUTED_VALUE"""),"[]")</f>
        <v>[]</v>
      </c>
      <c r="X4151" s="6" t="str">
        <f>IFERROR(__xludf.DUMMYFUNCTION("""COMPUTED_VALUE"""),"Enrolled")</f>
        <v>Enrolled</v>
      </c>
    </row>
    <row r="4152">
      <c r="A4152" s="6" t="str">
        <f>IFERROR(__xludf.DUMMYFUNCTION("""COMPUTED_VALUE"""),"083-11439")</f>
        <v>083-11439</v>
      </c>
      <c r="B4152" s="6" t="str">
        <f>IFERROR(__xludf.DUMMYFUNCTION("""COMPUTED_VALUE"""),"83")</f>
        <v>83</v>
      </c>
      <c r="C4152" s="6" t="str">
        <f>IFERROR(__xludf.DUMMYFUNCTION("""COMPUTED_VALUE"""),"11439")</f>
        <v>11439</v>
      </c>
      <c r="D4152" s="6" t="str">
        <f>IFERROR(__xludf.DUMMYFUNCTION("""COMPUTED_VALUE"""),"Yasiel")</f>
        <v>Yasiel</v>
      </c>
      <c r="E4152" s="6" t="str">
        <f>IFERROR(__xludf.DUMMYFUNCTION("""COMPUTED_VALUE"""),"")</f>
        <v/>
      </c>
      <c r="F4152" s="6" t="str">
        <f>IFERROR(__xludf.DUMMYFUNCTION("""COMPUTED_VALUE"""),"Ventura Murillo")</f>
        <v>Ventura Murillo</v>
      </c>
      <c r="G4152" s="6" t="str">
        <f>IFERROR(__xludf.DUMMYFUNCTION("""COMPUTED_VALUE"""),"12/28/2017")</f>
        <v>12/28/2017</v>
      </c>
      <c r="H4152" s="6" t="str">
        <f>IFERROR(__xludf.DUMMYFUNCTION("""COMPUTED_VALUE"""),"male")</f>
        <v>male</v>
      </c>
      <c r="I4152" s="6" t="str">
        <f>IFERROR(__xludf.DUMMYFUNCTION("""COMPUTED_VALUE"""),"Level 1")</f>
        <v>Level 1</v>
      </c>
      <c r="J4152" s="6" t="str">
        <f>IFERROR(__xludf.DUMMYFUNCTION("""COMPUTED_VALUE"""),"2")</f>
        <v>2</v>
      </c>
      <c r="K4152" s="6" t="str">
        <f>IFERROR(__xludf.DUMMYFUNCTION("""COMPUTED_VALUE"""),"yasiel.venturamurillo@2hourlearning.com")</f>
        <v>yasiel.venturamurillo@2hourlearning.com</v>
      </c>
      <c r="L4152" s="6" t="str">
        <f>IFERROR(__xludf.DUMMYFUNCTION("""COMPUTED_VALUE"""),"JHES - Hardeeville Elementary School")</f>
        <v>JHES - Hardeeville Elementary School</v>
      </c>
      <c r="M4152" s="6" t="str">
        <f>IFERROR(__xludf.DUMMYFUNCTION("""COMPUTED_VALUE"""),"")</f>
        <v/>
      </c>
      <c r="N4152" s="6" t="str">
        <f>IFERROR(__xludf.DUMMYFUNCTION("""COMPUTED_VALUE"""),"")</f>
        <v/>
      </c>
      <c r="O4152" s="87" t="str">
        <f>IFERROR(__xludf.DUMMYFUNCTION("""COMPUTED_VALUE"""),"https://drive.google.com/drive/folders/10T2cTQHqEJZqE-st6uFKPoI?usp=share_link")</f>
        <v>https://drive.google.com/drive/folders/10T2cTQHqEJZqE-st6uFKPoI?usp=share_link</v>
      </c>
      <c r="P4152" s="6" t="str">
        <f>IFERROR(__xludf.DUMMYFUNCTION("""COMPUTED_VALUE"""),"Yasiel Ventura Murillo")</f>
        <v>Yasiel Ventura Murillo</v>
      </c>
      <c r="Q4152" s="6" t="str">
        <f>IFERROR(__xludf.DUMMYFUNCTION("""COMPUTED_VALUE"""),"L1")</f>
        <v>L1</v>
      </c>
      <c r="R4152" s="6">
        <f>IFERROR(__xludf.DUMMYFUNCTION("""COMPUTED_VALUE"""),1.0)</f>
        <v>1</v>
      </c>
      <c r="S4152" s="6" t="str">
        <f>IFERROR(__xludf.DUMMYFUNCTION("""COMPUTED_VALUE""")," ")</f>
        <v> </v>
      </c>
      <c r="T4152" s="6" t="str">
        <f>IFERROR(__xludf.DUMMYFUNCTION("""COMPUTED_VALUE"""),"")</f>
        <v/>
      </c>
      <c r="U4152" s="6" t="str">
        <f>IFERROR(__xludf.DUMMYFUNCTION("""COMPUTED_VALUE"""),"2")</f>
        <v>2</v>
      </c>
      <c r="V4152" s="6" t="str">
        <f>IFERROR(__xludf.DUMMYFUNCTION("""COMPUTED_VALUE"""),"")</f>
        <v/>
      </c>
      <c r="W4152" s="6" t="str">
        <f>IFERROR(__xludf.DUMMYFUNCTION("""COMPUTED_VALUE"""),"[]")</f>
        <v>[]</v>
      </c>
      <c r="X4152" s="6" t="str">
        <f>IFERROR(__xludf.DUMMYFUNCTION("""COMPUTED_VALUE"""),"Enrolled")</f>
        <v>Enrolled</v>
      </c>
    </row>
    <row r="4153">
      <c r="A4153" s="6" t="str">
        <f>IFERROR(__xludf.DUMMYFUNCTION("""COMPUTED_VALUE"""),"083-11440")</f>
        <v>083-11440</v>
      </c>
      <c r="B4153" s="6" t="str">
        <f>IFERROR(__xludf.DUMMYFUNCTION("""COMPUTED_VALUE"""),"83")</f>
        <v>83</v>
      </c>
      <c r="C4153" s="6" t="str">
        <f>IFERROR(__xludf.DUMMYFUNCTION("""COMPUTED_VALUE"""),"11440")</f>
        <v>11440</v>
      </c>
      <c r="D4153" s="6" t="str">
        <f>IFERROR(__xludf.DUMMYFUNCTION("""COMPUTED_VALUE"""),"Jailah")</f>
        <v>Jailah</v>
      </c>
      <c r="E4153" s="6" t="str">
        <f>IFERROR(__xludf.DUMMYFUNCTION("""COMPUTED_VALUE"""),"")</f>
        <v/>
      </c>
      <c r="F4153" s="6" t="str">
        <f>IFERROR(__xludf.DUMMYFUNCTION("""COMPUTED_VALUE"""),"Young")</f>
        <v>Young</v>
      </c>
      <c r="G4153" s="6" t="str">
        <f>IFERROR(__xludf.DUMMYFUNCTION("""COMPUTED_VALUE"""),"07/24/2018")</f>
        <v>07/24/2018</v>
      </c>
      <c r="H4153" s="6" t="str">
        <f>IFERROR(__xludf.DUMMYFUNCTION("""COMPUTED_VALUE"""),"female")</f>
        <v>female</v>
      </c>
      <c r="I4153" s="6" t="str">
        <f>IFERROR(__xludf.DUMMYFUNCTION("""COMPUTED_VALUE"""),"Level 1")</f>
        <v>Level 1</v>
      </c>
      <c r="J4153" s="6" t="str">
        <f>IFERROR(__xludf.DUMMYFUNCTION("""COMPUTED_VALUE"""),"2")</f>
        <v>2</v>
      </c>
      <c r="K4153" s="6" t="str">
        <f>IFERROR(__xludf.DUMMYFUNCTION("""COMPUTED_VALUE"""),"jailah.young@2hourlearning.com")</f>
        <v>jailah.young@2hourlearning.com</v>
      </c>
      <c r="L4153" s="6" t="str">
        <f>IFERROR(__xludf.DUMMYFUNCTION("""COMPUTED_VALUE"""),"JHES - Hardeeville Elementary School")</f>
        <v>JHES - Hardeeville Elementary School</v>
      </c>
      <c r="M4153" s="6" t="str">
        <f>IFERROR(__xludf.DUMMYFUNCTION("""COMPUTED_VALUE"""),"")</f>
        <v/>
      </c>
      <c r="N4153" s="6" t="str">
        <f>IFERROR(__xludf.DUMMYFUNCTION("""COMPUTED_VALUE"""),"")</f>
        <v/>
      </c>
      <c r="O4153" s="87" t="str">
        <f>IFERROR(__xludf.DUMMYFUNCTION("""COMPUTED_VALUE"""),"https://drive.google.com/drive/folders/10T2cTQHqEJZqE-st6uFKPoI?usp=share_link")</f>
        <v>https://drive.google.com/drive/folders/10T2cTQHqEJZqE-st6uFKPoI?usp=share_link</v>
      </c>
      <c r="P4153" s="6" t="str">
        <f>IFERROR(__xludf.DUMMYFUNCTION("""COMPUTED_VALUE"""),"Jailah Young")</f>
        <v>Jailah Young</v>
      </c>
      <c r="Q4153" s="6" t="str">
        <f>IFERROR(__xludf.DUMMYFUNCTION("""COMPUTED_VALUE"""),"L1")</f>
        <v>L1</v>
      </c>
      <c r="R4153" s="6">
        <f>IFERROR(__xludf.DUMMYFUNCTION("""COMPUTED_VALUE"""),1.0)</f>
        <v>1</v>
      </c>
      <c r="S4153" s="6" t="str">
        <f>IFERROR(__xludf.DUMMYFUNCTION("""COMPUTED_VALUE""")," ")</f>
        <v> </v>
      </c>
      <c r="T4153" s="6" t="str">
        <f>IFERROR(__xludf.DUMMYFUNCTION("""COMPUTED_VALUE"""),"")</f>
        <v/>
      </c>
      <c r="U4153" s="6" t="str">
        <f>IFERROR(__xludf.DUMMYFUNCTION("""COMPUTED_VALUE"""),"2")</f>
        <v>2</v>
      </c>
      <c r="V4153" s="6" t="str">
        <f>IFERROR(__xludf.DUMMYFUNCTION("""COMPUTED_VALUE"""),"")</f>
        <v/>
      </c>
      <c r="W4153" s="6" t="str">
        <f>IFERROR(__xludf.DUMMYFUNCTION("""COMPUTED_VALUE"""),"[]")</f>
        <v>[]</v>
      </c>
      <c r="X4153" s="6" t="str">
        <f>IFERROR(__xludf.DUMMYFUNCTION("""COMPUTED_VALUE"""),"Enrolled")</f>
        <v>Enrolled</v>
      </c>
    </row>
    <row r="4154">
      <c r="A4154" s="6" t="str">
        <f>IFERROR(__xludf.DUMMYFUNCTION("""COMPUTED_VALUE"""),"083-11441")</f>
        <v>083-11441</v>
      </c>
      <c r="B4154" s="6" t="str">
        <f>IFERROR(__xludf.DUMMYFUNCTION("""COMPUTED_VALUE"""),"83")</f>
        <v>83</v>
      </c>
      <c r="C4154" s="6" t="str">
        <f>IFERROR(__xludf.DUMMYFUNCTION("""COMPUTED_VALUE"""),"11441")</f>
        <v>11441</v>
      </c>
      <c r="D4154" s="6" t="str">
        <f>IFERROR(__xludf.DUMMYFUNCTION("""COMPUTED_VALUE"""),"Anthony")</f>
        <v>Anthony</v>
      </c>
      <c r="E4154" s="6" t="str">
        <f>IFERROR(__xludf.DUMMYFUNCTION("""COMPUTED_VALUE"""),"")</f>
        <v/>
      </c>
      <c r="F4154" s="6" t="str">
        <f>IFERROR(__xludf.DUMMYFUNCTION("""COMPUTED_VALUE"""),"Alonso Chavez")</f>
        <v>Alonso Chavez</v>
      </c>
      <c r="G4154" s="6" t="str">
        <f>IFERROR(__xludf.DUMMYFUNCTION("""COMPUTED_VALUE"""),"09/13/2014")</f>
        <v>09/13/2014</v>
      </c>
      <c r="H4154" s="6" t="str">
        <f>IFERROR(__xludf.DUMMYFUNCTION("""COMPUTED_VALUE"""),"male")</f>
        <v>male</v>
      </c>
      <c r="I4154" s="6" t="str">
        <f>IFERROR(__xludf.DUMMYFUNCTION("""COMPUTED_VALUE"""),"Level 2")</f>
        <v>Level 2</v>
      </c>
      <c r="J4154" s="6" t="str">
        <f>IFERROR(__xludf.DUMMYFUNCTION("""COMPUTED_VALUE"""),"5")</f>
        <v>5</v>
      </c>
      <c r="K4154" s="6" t="str">
        <f>IFERROR(__xludf.DUMMYFUNCTION("""COMPUTED_VALUE"""),"anthony.alonsochavez@2hourlearning.com")</f>
        <v>anthony.alonsochavez@2hourlearning.com</v>
      </c>
      <c r="L4154" s="6" t="str">
        <f>IFERROR(__xludf.DUMMYFUNCTION("""COMPUTED_VALUE"""),"JHES - Hardeeville Elementary School")</f>
        <v>JHES - Hardeeville Elementary School</v>
      </c>
      <c r="M4154" s="6" t="str">
        <f>IFERROR(__xludf.DUMMYFUNCTION("""COMPUTED_VALUE"""),"")</f>
        <v/>
      </c>
      <c r="N4154" s="6" t="str">
        <f>IFERROR(__xludf.DUMMYFUNCTION("""COMPUTED_VALUE"""),"")</f>
        <v/>
      </c>
      <c r="O4154" s="87" t="str">
        <f>IFERROR(__xludf.DUMMYFUNCTION("""COMPUTED_VALUE"""),"https://drive.google.com/drive/folders/10T2cTQHqEJZqE-st6uFKPoI?usp=share_link")</f>
        <v>https://drive.google.com/drive/folders/10T2cTQHqEJZqE-st6uFKPoI?usp=share_link</v>
      </c>
      <c r="P4154" s="6" t="str">
        <f>IFERROR(__xludf.DUMMYFUNCTION("""COMPUTED_VALUE"""),"Anthony Alonso Chavez")</f>
        <v>Anthony Alonso Chavez</v>
      </c>
      <c r="Q4154" s="6" t="str">
        <f>IFERROR(__xludf.DUMMYFUNCTION("""COMPUTED_VALUE"""),"L2")</f>
        <v>L2</v>
      </c>
      <c r="R4154" s="6">
        <f>IFERROR(__xludf.DUMMYFUNCTION("""COMPUTED_VALUE"""),2.0)</f>
        <v>2</v>
      </c>
      <c r="S4154" s="6" t="str">
        <f>IFERROR(__xludf.DUMMYFUNCTION("""COMPUTED_VALUE""")," ")</f>
        <v> </v>
      </c>
      <c r="T4154" s="6" t="str">
        <f>IFERROR(__xludf.DUMMYFUNCTION("""COMPUTED_VALUE"""),"")</f>
        <v/>
      </c>
      <c r="U4154" s="6" t="str">
        <f>IFERROR(__xludf.DUMMYFUNCTION("""COMPUTED_VALUE"""),"5")</f>
        <v>5</v>
      </c>
      <c r="V4154" s="6" t="str">
        <f>IFERROR(__xludf.DUMMYFUNCTION("""COMPUTED_VALUE"""),"")</f>
        <v/>
      </c>
      <c r="W4154" s="6" t="str">
        <f>IFERROR(__xludf.DUMMYFUNCTION("""COMPUTED_VALUE"""),"[]")</f>
        <v>[]</v>
      </c>
      <c r="X4154" s="6" t="str">
        <f>IFERROR(__xludf.DUMMYFUNCTION("""COMPUTED_VALUE"""),"Enrolled")</f>
        <v>Enrolled</v>
      </c>
    </row>
    <row r="4155">
      <c r="A4155" s="6" t="str">
        <f>IFERROR(__xludf.DUMMYFUNCTION("""COMPUTED_VALUE"""),"083-11442")</f>
        <v>083-11442</v>
      </c>
      <c r="B4155" s="6" t="str">
        <f>IFERROR(__xludf.DUMMYFUNCTION("""COMPUTED_VALUE"""),"83")</f>
        <v>83</v>
      </c>
      <c r="C4155" s="6" t="str">
        <f>IFERROR(__xludf.DUMMYFUNCTION("""COMPUTED_VALUE"""),"11442")</f>
        <v>11442</v>
      </c>
      <c r="D4155" s="6" t="str">
        <f>IFERROR(__xludf.DUMMYFUNCTION("""COMPUTED_VALUE"""),"Kimberly A")</f>
        <v>Kimberly A</v>
      </c>
      <c r="E4155" s="6" t="str">
        <f>IFERROR(__xludf.DUMMYFUNCTION("""COMPUTED_VALUE"""),"")</f>
        <v/>
      </c>
      <c r="F4155" s="6" t="str">
        <f>IFERROR(__xludf.DUMMYFUNCTION("""COMPUTED_VALUE"""),"Arellano Arellano")</f>
        <v>Arellano Arellano</v>
      </c>
      <c r="G4155" s="6" t="str">
        <f>IFERROR(__xludf.DUMMYFUNCTION("""COMPUTED_VALUE"""),"09/21/2014")</f>
        <v>09/21/2014</v>
      </c>
      <c r="H4155" s="6" t="str">
        <f>IFERROR(__xludf.DUMMYFUNCTION("""COMPUTED_VALUE"""),"female")</f>
        <v>female</v>
      </c>
      <c r="I4155" s="6" t="str">
        <f>IFERROR(__xludf.DUMMYFUNCTION("""COMPUTED_VALUE"""),"Level 2")</f>
        <v>Level 2</v>
      </c>
      <c r="J4155" s="6" t="str">
        <f>IFERROR(__xludf.DUMMYFUNCTION("""COMPUTED_VALUE"""),"5")</f>
        <v>5</v>
      </c>
      <c r="K4155" s="6" t="str">
        <f>IFERROR(__xludf.DUMMYFUNCTION("""COMPUTED_VALUE"""),"kimberlya.arellanoarellano@2hourlearning.com")</f>
        <v>kimberlya.arellanoarellano@2hourlearning.com</v>
      </c>
      <c r="L4155" s="6" t="str">
        <f>IFERROR(__xludf.DUMMYFUNCTION("""COMPUTED_VALUE"""),"JHES - Hardeeville Elementary School")</f>
        <v>JHES - Hardeeville Elementary School</v>
      </c>
      <c r="M4155" s="6" t="str">
        <f>IFERROR(__xludf.DUMMYFUNCTION("""COMPUTED_VALUE"""),"")</f>
        <v/>
      </c>
      <c r="N4155" s="6" t="str">
        <f>IFERROR(__xludf.DUMMYFUNCTION("""COMPUTED_VALUE"""),"")</f>
        <v/>
      </c>
      <c r="O4155" s="87" t="str">
        <f>IFERROR(__xludf.DUMMYFUNCTION("""COMPUTED_VALUE"""),"https://drive.google.com/drive/folders/10T2cTQHqEJZqE-st6uFKPoI?usp=share_link")</f>
        <v>https://drive.google.com/drive/folders/10T2cTQHqEJZqE-st6uFKPoI?usp=share_link</v>
      </c>
      <c r="P4155" s="6" t="str">
        <f>IFERROR(__xludf.DUMMYFUNCTION("""COMPUTED_VALUE"""),"Kimberly A Arellano Arellano")</f>
        <v>Kimberly A Arellano Arellano</v>
      </c>
      <c r="Q4155" s="6" t="str">
        <f>IFERROR(__xludf.DUMMYFUNCTION("""COMPUTED_VALUE"""),"L2")</f>
        <v>L2</v>
      </c>
      <c r="R4155" s="6">
        <f>IFERROR(__xludf.DUMMYFUNCTION("""COMPUTED_VALUE"""),2.0)</f>
        <v>2</v>
      </c>
      <c r="S4155" s="6" t="str">
        <f>IFERROR(__xludf.DUMMYFUNCTION("""COMPUTED_VALUE""")," ")</f>
        <v> </v>
      </c>
      <c r="T4155" s="6" t="str">
        <f>IFERROR(__xludf.DUMMYFUNCTION("""COMPUTED_VALUE"""),"")</f>
        <v/>
      </c>
      <c r="U4155" s="6" t="str">
        <f>IFERROR(__xludf.DUMMYFUNCTION("""COMPUTED_VALUE"""),"5")</f>
        <v>5</v>
      </c>
      <c r="V4155" s="6" t="str">
        <f>IFERROR(__xludf.DUMMYFUNCTION("""COMPUTED_VALUE"""),"")</f>
        <v/>
      </c>
      <c r="W4155" s="6" t="str">
        <f>IFERROR(__xludf.DUMMYFUNCTION("""COMPUTED_VALUE"""),"[]")</f>
        <v>[]</v>
      </c>
      <c r="X4155" s="6" t="str">
        <f>IFERROR(__xludf.DUMMYFUNCTION("""COMPUTED_VALUE"""),"Enrolled")</f>
        <v>Enrolled</v>
      </c>
    </row>
    <row r="4156">
      <c r="A4156" s="6" t="str">
        <f>IFERROR(__xludf.DUMMYFUNCTION("""COMPUTED_VALUE"""),"083-11443")</f>
        <v>083-11443</v>
      </c>
      <c r="B4156" s="6" t="str">
        <f>IFERROR(__xludf.DUMMYFUNCTION("""COMPUTED_VALUE"""),"83")</f>
        <v>83</v>
      </c>
      <c r="C4156" s="6" t="str">
        <f>IFERROR(__xludf.DUMMYFUNCTION("""COMPUTED_VALUE"""),"11443")</f>
        <v>11443</v>
      </c>
      <c r="D4156" s="6" t="str">
        <f>IFERROR(__xludf.DUMMYFUNCTION("""COMPUTED_VALUE"""),"Diandra A")</f>
        <v>Diandra A</v>
      </c>
      <c r="E4156" s="6" t="str">
        <f>IFERROR(__xludf.DUMMYFUNCTION("""COMPUTED_VALUE"""),"")</f>
        <v/>
      </c>
      <c r="F4156" s="6" t="str">
        <f>IFERROR(__xludf.DUMMYFUNCTION("""COMPUTED_VALUE"""),"Bailey")</f>
        <v>Bailey</v>
      </c>
      <c r="G4156" s="6" t="str">
        <f>IFERROR(__xludf.DUMMYFUNCTION("""COMPUTED_VALUE"""),"09/18/2014")</f>
        <v>09/18/2014</v>
      </c>
      <c r="H4156" s="6" t="str">
        <f>IFERROR(__xludf.DUMMYFUNCTION("""COMPUTED_VALUE"""),"female")</f>
        <v>female</v>
      </c>
      <c r="I4156" s="6" t="str">
        <f>IFERROR(__xludf.DUMMYFUNCTION("""COMPUTED_VALUE"""),"Level 2")</f>
        <v>Level 2</v>
      </c>
      <c r="J4156" s="6" t="str">
        <f>IFERROR(__xludf.DUMMYFUNCTION("""COMPUTED_VALUE"""),"5")</f>
        <v>5</v>
      </c>
      <c r="K4156" s="6" t="str">
        <f>IFERROR(__xludf.DUMMYFUNCTION("""COMPUTED_VALUE"""),"diandraa.bailey@2hourlearning.com")</f>
        <v>diandraa.bailey@2hourlearning.com</v>
      </c>
      <c r="L4156" s="6" t="str">
        <f>IFERROR(__xludf.DUMMYFUNCTION("""COMPUTED_VALUE"""),"JHES - Hardeeville Elementary School")</f>
        <v>JHES - Hardeeville Elementary School</v>
      </c>
      <c r="M4156" s="6" t="str">
        <f>IFERROR(__xludf.DUMMYFUNCTION("""COMPUTED_VALUE"""),"")</f>
        <v/>
      </c>
      <c r="N4156" s="6" t="str">
        <f>IFERROR(__xludf.DUMMYFUNCTION("""COMPUTED_VALUE"""),"")</f>
        <v/>
      </c>
      <c r="O4156" s="87" t="str">
        <f>IFERROR(__xludf.DUMMYFUNCTION("""COMPUTED_VALUE"""),"https://drive.google.com/drive/folders/10T2cTQHqEJZqE-st6uFKPoI?usp=share_link")</f>
        <v>https://drive.google.com/drive/folders/10T2cTQHqEJZqE-st6uFKPoI?usp=share_link</v>
      </c>
      <c r="P4156" s="6" t="str">
        <f>IFERROR(__xludf.DUMMYFUNCTION("""COMPUTED_VALUE"""),"Diandra A Bailey")</f>
        <v>Diandra A Bailey</v>
      </c>
      <c r="Q4156" s="6" t="str">
        <f>IFERROR(__xludf.DUMMYFUNCTION("""COMPUTED_VALUE"""),"L2")</f>
        <v>L2</v>
      </c>
      <c r="R4156" s="6">
        <f>IFERROR(__xludf.DUMMYFUNCTION("""COMPUTED_VALUE"""),2.0)</f>
        <v>2</v>
      </c>
      <c r="S4156" s="6" t="str">
        <f>IFERROR(__xludf.DUMMYFUNCTION("""COMPUTED_VALUE""")," ")</f>
        <v> </v>
      </c>
      <c r="T4156" s="6" t="str">
        <f>IFERROR(__xludf.DUMMYFUNCTION("""COMPUTED_VALUE"""),"")</f>
        <v/>
      </c>
      <c r="U4156" s="6" t="str">
        <f>IFERROR(__xludf.DUMMYFUNCTION("""COMPUTED_VALUE"""),"5")</f>
        <v>5</v>
      </c>
      <c r="V4156" s="6" t="str">
        <f>IFERROR(__xludf.DUMMYFUNCTION("""COMPUTED_VALUE"""),"")</f>
        <v/>
      </c>
      <c r="W4156" s="6" t="str">
        <f>IFERROR(__xludf.DUMMYFUNCTION("""COMPUTED_VALUE"""),"[]")</f>
        <v>[]</v>
      </c>
      <c r="X4156" s="6" t="str">
        <f>IFERROR(__xludf.DUMMYFUNCTION("""COMPUTED_VALUE"""),"Enrolled")</f>
        <v>Enrolled</v>
      </c>
    </row>
    <row r="4157">
      <c r="A4157" s="6" t="str">
        <f>IFERROR(__xludf.DUMMYFUNCTION("""COMPUTED_VALUE"""),"083-11444")</f>
        <v>083-11444</v>
      </c>
      <c r="B4157" s="6" t="str">
        <f>IFERROR(__xludf.DUMMYFUNCTION("""COMPUTED_VALUE"""),"83")</f>
        <v>83</v>
      </c>
      <c r="C4157" s="6" t="str">
        <f>IFERROR(__xludf.DUMMYFUNCTION("""COMPUTED_VALUE"""),"11444")</f>
        <v>11444</v>
      </c>
      <c r="D4157" s="6" t="str">
        <f>IFERROR(__xludf.DUMMYFUNCTION("""COMPUTED_VALUE"""),"Trinity")</f>
        <v>Trinity</v>
      </c>
      <c r="E4157" s="6" t="str">
        <f>IFERROR(__xludf.DUMMYFUNCTION("""COMPUTED_VALUE"""),"")</f>
        <v/>
      </c>
      <c r="F4157" s="6" t="str">
        <f>IFERROR(__xludf.DUMMYFUNCTION("""COMPUTED_VALUE"""),"Barnes")</f>
        <v>Barnes</v>
      </c>
      <c r="G4157" s="6" t="str">
        <f>IFERROR(__xludf.DUMMYFUNCTION("""COMPUTED_VALUE"""),"01/17/2014")</f>
        <v>01/17/2014</v>
      </c>
      <c r="H4157" s="6" t="str">
        <f>IFERROR(__xludf.DUMMYFUNCTION("""COMPUTED_VALUE"""),"female")</f>
        <v>female</v>
      </c>
      <c r="I4157" s="6" t="str">
        <f>IFERROR(__xludf.DUMMYFUNCTION("""COMPUTED_VALUE"""),"Level 2")</f>
        <v>Level 2</v>
      </c>
      <c r="J4157" s="6" t="str">
        <f>IFERROR(__xludf.DUMMYFUNCTION("""COMPUTED_VALUE"""),"5")</f>
        <v>5</v>
      </c>
      <c r="K4157" s="6" t="str">
        <f>IFERROR(__xludf.DUMMYFUNCTION("""COMPUTED_VALUE"""),"trinity.barnes@2hourlearning.com")</f>
        <v>trinity.barnes@2hourlearning.com</v>
      </c>
      <c r="L4157" s="6" t="str">
        <f>IFERROR(__xludf.DUMMYFUNCTION("""COMPUTED_VALUE"""),"JHES - Hardeeville Elementary School")</f>
        <v>JHES - Hardeeville Elementary School</v>
      </c>
      <c r="M4157" s="6" t="str">
        <f>IFERROR(__xludf.DUMMYFUNCTION("""COMPUTED_VALUE"""),"")</f>
        <v/>
      </c>
      <c r="N4157" s="6" t="str">
        <f>IFERROR(__xludf.DUMMYFUNCTION("""COMPUTED_VALUE"""),"")</f>
        <v/>
      </c>
      <c r="O4157" s="87" t="str">
        <f>IFERROR(__xludf.DUMMYFUNCTION("""COMPUTED_VALUE"""),"https://drive.google.com/drive/folders/10T2cTQHqEJZqE-st6uFKPoI?usp=share_link")</f>
        <v>https://drive.google.com/drive/folders/10T2cTQHqEJZqE-st6uFKPoI?usp=share_link</v>
      </c>
      <c r="P4157" s="6" t="str">
        <f>IFERROR(__xludf.DUMMYFUNCTION("""COMPUTED_VALUE"""),"Trinity Barnes")</f>
        <v>Trinity Barnes</v>
      </c>
      <c r="Q4157" s="6" t="str">
        <f>IFERROR(__xludf.DUMMYFUNCTION("""COMPUTED_VALUE"""),"L2")</f>
        <v>L2</v>
      </c>
      <c r="R4157" s="6">
        <f>IFERROR(__xludf.DUMMYFUNCTION("""COMPUTED_VALUE"""),2.0)</f>
        <v>2</v>
      </c>
      <c r="S4157" s="6" t="str">
        <f>IFERROR(__xludf.DUMMYFUNCTION("""COMPUTED_VALUE""")," ")</f>
        <v> </v>
      </c>
      <c r="T4157" s="6" t="str">
        <f>IFERROR(__xludf.DUMMYFUNCTION("""COMPUTED_VALUE"""),"")</f>
        <v/>
      </c>
      <c r="U4157" s="6" t="str">
        <f>IFERROR(__xludf.DUMMYFUNCTION("""COMPUTED_VALUE"""),"5")</f>
        <v>5</v>
      </c>
      <c r="V4157" s="6" t="str">
        <f>IFERROR(__xludf.DUMMYFUNCTION("""COMPUTED_VALUE"""),"")</f>
        <v/>
      </c>
      <c r="W4157" s="6" t="str">
        <f>IFERROR(__xludf.DUMMYFUNCTION("""COMPUTED_VALUE"""),"[]")</f>
        <v>[]</v>
      </c>
      <c r="X4157" s="6" t="str">
        <f>IFERROR(__xludf.DUMMYFUNCTION("""COMPUTED_VALUE"""),"Enrolled")</f>
        <v>Enrolled</v>
      </c>
    </row>
    <row r="4158">
      <c r="A4158" s="6" t="str">
        <f>IFERROR(__xludf.DUMMYFUNCTION("""COMPUTED_VALUE"""),"083-11445")</f>
        <v>083-11445</v>
      </c>
      <c r="B4158" s="6" t="str">
        <f>IFERROR(__xludf.DUMMYFUNCTION("""COMPUTED_VALUE"""),"83")</f>
        <v>83</v>
      </c>
      <c r="C4158" s="6" t="str">
        <f>IFERROR(__xludf.DUMMYFUNCTION("""COMPUTED_VALUE"""),"11445")</f>
        <v>11445</v>
      </c>
      <c r="D4158" s="6" t="str">
        <f>IFERROR(__xludf.DUMMYFUNCTION("""COMPUTED_VALUE"""),"Zella Mae")</f>
        <v>Zella Mae</v>
      </c>
      <c r="E4158" s="6" t="str">
        <f>IFERROR(__xludf.DUMMYFUNCTION("""COMPUTED_VALUE"""),"")</f>
        <v/>
      </c>
      <c r="F4158" s="6" t="str">
        <f>IFERROR(__xludf.DUMMYFUNCTION("""COMPUTED_VALUE"""),"Bedford")</f>
        <v>Bedford</v>
      </c>
      <c r="G4158" s="6" t="str">
        <f>IFERROR(__xludf.DUMMYFUNCTION("""COMPUTED_VALUE"""),"06/05/2015")</f>
        <v>06/05/2015</v>
      </c>
      <c r="H4158" s="6" t="str">
        <f>IFERROR(__xludf.DUMMYFUNCTION("""COMPUTED_VALUE"""),"female")</f>
        <v>female</v>
      </c>
      <c r="I4158" s="6" t="str">
        <f>IFERROR(__xludf.DUMMYFUNCTION("""COMPUTED_VALUE"""),"Level 2")</f>
        <v>Level 2</v>
      </c>
      <c r="J4158" s="6" t="str">
        <f>IFERROR(__xludf.DUMMYFUNCTION("""COMPUTED_VALUE"""),"5")</f>
        <v>5</v>
      </c>
      <c r="K4158" s="6" t="str">
        <f>IFERROR(__xludf.DUMMYFUNCTION("""COMPUTED_VALUE"""),"zellamae.bedford@2hourlearning.com")</f>
        <v>zellamae.bedford@2hourlearning.com</v>
      </c>
      <c r="L4158" s="6" t="str">
        <f>IFERROR(__xludf.DUMMYFUNCTION("""COMPUTED_VALUE"""),"JHES - Hardeeville Elementary School")</f>
        <v>JHES - Hardeeville Elementary School</v>
      </c>
      <c r="M4158" s="6" t="str">
        <f>IFERROR(__xludf.DUMMYFUNCTION("""COMPUTED_VALUE"""),"")</f>
        <v/>
      </c>
      <c r="N4158" s="6" t="str">
        <f>IFERROR(__xludf.DUMMYFUNCTION("""COMPUTED_VALUE"""),"")</f>
        <v/>
      </c>
      <c r="O4158" s="87" t="str">
        <f>IFERROR(__xludf.DUMMYFUNCTION("""COMPUTED_VALUE"""),"https://drive.google.com/drive/folders/10T2cTQHqEJZqE-st6uFKPoI?usp=share_link")</f>
        <v>https://drive.google.com/drive/folders/10T2cTQHqEJZqE-st6uFKPoI?usp=share_link</v>
      </c>
      <c r="P4158" s="6" t="str">
        <f>IFERROR(__xludf.DUMMYFUNCTION("""COMPUTED_VALUE"""),"Zella Mae Bedford")</f>
        <v>Zella Mae Bedford</v>
      </c>
      <c r="Q4158" s="6" t="str">
        <f>IFERROR(__xludf.DUMMYFUNCTION("""COMPUTED_VALUE"""),"L2")</f>
        <v>L2</v>
      </c>
      <c r="R4158" s="6">
        <f>IFERROR(__xludf.DUMMYFUNCTION("""COMPUTED_VALUE"""),2.0)</f>
        <v>2</v>
      </c>
      <c r="S4158" s="6" t="str">
        <f>IFERROR(__xludf.DUMMYFUNCTION("""COMPUTED_VALUE""")," ")</f>
        <v> </v>
      </c>
      <c r="T4158" s="6" t="str">
        <f>IFERROR(__xludf.DUMMYFUNCTION("""COMPUTED_VALUE"""),"")</f>
        <v/>
      </c>
      <c r="U4158" s="6" t="str">
        <f>IFERROR(__xludf.DUMMYFUNCTION("""COMPUTED_VALUE"""),"5")</f>
        <v>5</v>
      </c>
      <c r="V4158" s="6" t="str">
        <f>IFERROR(__xludf.DUMMYFUNCTION("""COMPUTED_VALUE"""),"")</f>
        <v/>
      </c>
      <c r="W4158" s="6" t="str">
        <f>IFERROR(__xludf.DUMMYFUNCTION("""COMPUTED_VALUE"""),"[]")</f>
        <v>[]</v>
      </c>
      <c r="X4158" s="6" t="str">
        <f>IFERROR(__xludf.DUMMYFUNCTION("""COMPUTED_VALUE"""),"Enrolled")</f>
        <v>Enrolled</v>
      </c>
    </row>
    <row r="4159">
      <c r="A4159" s="6" t="str">
        <f>IFERROR(__xludf.DUMMYFUNCTION("""COMPUTED_VALUE"""),"083-11446")</f>
        <v>083-11446</v>
      </c>
      <c r="B4159" s="6" t="str">
        <f>IFERROR(__xludf.DUMMYFUNCTION("""COMPUTED_VALUE"""),"83")</f>
        <v>83</v>
      </c>
      <c r="C4159" s="6" t="str">
        <f>IFERROR(__xludf.DUMMYFUNCTION("""COMPUTED_VALUE"""),"11446")</f>
        <v>11446</v>
      </c>
      <c r="D4159" s="6" t="str">
        <f>IFERROR(__xludf.DUMMYFUNCTION("""COMPUTED_VALUE"""),"Skilar")</f>
        <v>Skilar</v>
      </c>
      <c r="E4159" s="6" t="str">
        <f>IFERROR(__xludf.DUMMYFUNCTION("""COMPUTED_VALUE"""),"")</f>
        <v/>
      </c>
      <c r="F4159" s="6" t="str">
        <f>IFERROR(__xludf.DUMMYFUNCTION("""COMPUTED_VALUE"""),"Boley")</f>
        <v>Boley</v>
      </c>
      <c r="G4159" s="6" t="str">
        <f>IFERROR(__xludf.DUMMYFUNCTION("""COMPUTED_VALUE"""),"01/02/2015")</f>
        <v>01/02/2015</v>
      </c>
      <c r="H4159" s="6" t="str">
        <f>IFERROR(__xludf.DUMMYFUNCTION("""COMPUTED_VALUE"""),"female")</f>
        <v>female</v>
      </c>
      <c r="I4159" s="6" t="str">
        <f>IFERROR(__xludf.DUMMYFUNCTION("""COMPUTED_VALUE"""),"Level 2")</f>
        <v>Level 2</v>
      </c>
      <c r="J4159" s="6" t="str">
        <f>IFERROR(__xludf.DUMMYFUNCTION("""COMPUTED_VALUE"""),"5")</f>
        <v>5</v>
      </c>
      <c r="K4159" s="6" t="str">
        <f>IFERROR(__xludf.DUMMYFUNCTION("""COMPUTED_VALUE"""),"skilar.boley@2hourlearning.com")</f>
        <v>skilar.boley@2hourlearning.com</v>
      </c>
      <c r="L4159" s="6" t="str">
        <f>IFERROR(__xludf.DUMMYFUNCTION("""COMPUTED_VALUE"""),"JHES - Hardeeville Elementary School")</f>
        <v>JHES - Hardeeville Elementary School</v>
      </c>
      <c r="M4159" s="6" t="str">
        <f>IFERROR(__xludf.DUMMYFUNCTION("""COMPUTED_VALUE"""),"")</f>
        <v/>
      </c>
      <c r="N4159" s="6" t="str">
        <f>IFERROR(__xludf.DUMMYFUNCTION("""COMPUTED_VALUE"""),"")</f>
        <v/>
      </c>
      <c r="O4159" s="87" t="str">
        <f>IFERROR(__xludf.DUMMYFUNCTION("""COMPUTED_VALUE"""),"https://drive.google.com/drive/folders/10T2cTQHqEJZqE-st6uFKPoI?usp=share_link")</f>
        <v>https://drive.google.com/drive/folders/10T2cTQHqEJZqE-st6uFKPoI?usp=share_link</v>
      </c>
      <c r="P4159" s="6" t="str">
        <f>IFERROR(__xludf.DUMMYFUNCTION("""COMPUTED_VALUE"""),"Skilar Boley")</f>
        <v>Skilar Boley</v>
      </c>
      <c r="Q4159" s="6" t="str">
        <f>IFERROR(__xludf.DUMMYFUNCTION("""COMPUTED_VALUE"""),"L2")</f>
        <v>L2</v>
      </c>
      <c r="R4159" s="6">
        <f>IFERROR(__xludf.DUMMYFUNCTION("""COMPUTED_VALUE"""),2.0)</f>
        <v>2</v>
      </c>
      <c r="S4159" s="6" t="str">
        <f>IFERROR(__xludf.DUMMYFUNCTION("""COMPUTED_VALUE""")," ")</f>
        <v> </v>
      </c>
      <c r="T4159" s="6" t="str">
        <f>IFERROR(__xludf.DUMMYFUNCTION("""COMPUTED_VALUE"""),"")</f>
        <v/>
      </c>
      <c r="U4159" s="6" t="str">
        <f>IFERROR(__xludf.DUMMYFUNCTION("""COMPUTED_VALUE"""),"5")</f>
        <v>5</v>
      </c>
      <c r="V4159" s="6" t="str">
        <f>IFERROR(__xludf.DUMMYFUNCTION("""COMPUTED_VALUE"""),"")</f>
        <v/>
      </c>
      <c r="W4159" s="6" t="str">
        <f>IFERROR(__xludf.DUMMYFUNCTION("""COMPUTED_VALUE"""),"[]")</f>
        <v>[]</v>
      </c>
      <c r="X4159" s="6" t="str">
        <f>IFERROR(__xludf.DUMMYFUNCTION("""COMPUTED_VALUE"""),"Enrolled")</f>
        <v>Enrolled</v>
      </c>
    </row>
    <row r="4160">
      <c r="A4160" s="6" t="str">
        <f>IFERROR(__xludf.DUMMYFUNCTION("""COMPUTED_VALUE"""),"083-11447")</f>
        <v>083-11447</v>
      </c>
      <c r="B4160" s="6" t="str">
        <f>IFERROR(__xludf.DUMMYFUNCTION("""COMPUTED_VALUE"""),"83")</f>
        <v>83</v>
      </c>
      <c r="C4160" s="6" t="str">
        <f>IFERROR(__xludf.DUMMYFUNCTION("""COMPUTED_VALUE"""),"11447")</f>
        <v>11447</v>
      </c>
      <c r="D4160" s="6" t="str">
        <f>IFERROR(__xludf.DUMMYFUNCTION("""COMPUTED_VALUE"""),"Clarence T")</f>
        <v>Clarence T</v>
      </c>
      <c r="E4160" s="6" t="str">
        <f>IFERROR(__xludf.DUMMYFUNCTION("""COMPUTED_VALUE"""),"")</f>
        <v/>
      </c>
      <c r="F4160" s="6" t="str">
        <f>IFERROR(__xludf.DUMMYFUNCTION("""COMPUTED_VALUE"""),"Brooks")</f>
        <v>Brooks</v>
      </c>
      <c r="G4160" s="6" t="str">
        <f>IFERROR(__xludf.DUMMYFUNCTION("""COMPUTED_VALUE"""),"07/15/2015")</f>
        <v>07/15/2015</v>
      </c>
      <c r="H4160" s="6" t="str">
        <f>IFERROR(__xludf.DUMMYFUNCTION("""COMPUTED_VALUE"""),"male")</f>
        <v>male</v>
      </c>
      <c r="I4160" s="6" t="str">
        <f>IFERROR(__xludf.DUMMYFUNCTION("""COMPUTED_VALUE"""),"Level 2")</f>
        <v>Level 2</v>
      </c>
      <c r="J4160" s="6" t="str">
        <f>IFERROR(__xludf.DUMMYFUNCTION("""COMPUTED_VALUE"""),"5")</f>
        <v>5</v>
      </c>
      <c r="K4160" s="6" t="str">
        <f>IFERROR(__xludf.DUMMYFUNCTION("""COMPUTED_VALUE"""),"clarencet.brooks@2hourlearning.com")</f>
        <v>clarencet.brooks@2hourlearning.com</v>
      </c>
      <c r="L4160" s="6" t="str">
        <f>IFERROR(__xludf.DUMMYFUNCTION("""COMPUTED_VALUE"""),"JHES - Hardeeville Elementary School")</f>
        <v>JHES - Hardeeville Elementary School</v>
      </c>
      <c r="M4160" s="6" t="str">
        <f>IFERROR(__xludf.DUMMYFUNCTION("""COMPUTED_VALUE"""),"")</f>
        <v/>
      </c>
      <c r="N4160" s="6" t="str">
        <f>IFERROR(__xludf.DUMMYFUNCTION("""COMPUTED_VALUE"""),"")</f>
        <v/>
      </c>
      <c r="O4160" s="87" t="str">
        <f>IFERROR(__xludf.DUMMYFUNCTION("""COMPUTED_VALUE"""),"https://drive.google.com/drive/folders/10T2cTQHqEJZqE-st6uFKPoI?usp=share_link")</f>
        <v>https://drive.google.com/drive/folders/10T2cTQHqEJZqE-st6uFKPoI?usp=share_link</v>
      </c>
      <c r="P4160" s="6" t="str">
        <f>IFERROR(__xludf.DUMMYFUNCTION("""COMPUTED_VALUE"""),"Clarence T Brooks")</f>
        <v>Clarence T Brooks</v>
      </c>
      <c r="Q4160" s="6" t="str">
        <f>IFERROR(__xludf.DUMMYFUNCTION("""COMPUTED_VALUE"""),"L2")</f>
        <v>L2</v>
      </c>
      <c r="R4160" s="6">
        <f>IFERROR(__xludf.DUMMYFUNCTION("""COMPUTED_VALUE"""),2.0)</f>
        <v>2</v>
      </c>
      <c r="S4160" s="6" t="str">
        <f>IFERROR(__xludf.DUMMYFUNCTION("""COMPUTED_VALUE""")," ")</f>
        <v> </v>
      </c>
      <c r="T4160" s="6" t="str">
        <f>IFERROR(__xludf.DUMMYFUNCTION("""COMPUTED_VALUE"""),"")</f>
        <v/>
      </c>
      <c r="U4160" s="6" t="str">
        <f>IFERROR(__xludf.DUMMYFUNCTION("""COMPUTED_VALUE"""),"5")</f>
        <v>5</v>
      </c>
      <c r="V4160" s="6" t="str">
        <f>IFERROR(__xludf.DUMMYFUNCTION("""COMPUTED_VALUE"""),"")</f>
        <v/>
      </c>
      <c r="W4160" s="6" t="str">
        <f>IFERROR(__xludf.DUMMYFUNCTION("""COMPUTED_VALUE"""),"[]")</f>
        <v>[]</v>
      </c>
      <c r="X4160" s="6" t="str">
        <f>IFERROR(__xludf.DUMMYFUNCTION("""COMPUTED_VALUE"""),"Enrolled")</f>
        <v>Enrolled</v>
      </c>
    </row>
    <row r="4161">
      <c r="A4161" s="6" t="str">
        <f>IFERROR(__xludf.DUMMYFUNCTION("""COMPUTED_VALUE"""),"083-11448")</f>
        <v>083-11448</v>
      </c>
      <c r="B4161" s="6" t="str">
        <f>IFERROR(__xludf.DUMMYFUNCTION("""COMPUTED_VALUE"""),"83")</f>
        <v>83</v>
      </c>
      <c r="C4161" s="6" t="str">
        <f>IFERROR(__xludf.DUMMYFUNCTION("""COMPUTED_VALUE"""),"11448")</f>
        <v>11448</v>
      </c>
      <c r="D4161" s="6" t="str">
        <f>IFERROR(__xludf.DUMMYFUNCTION("""COMPUTED_VALUE"""),"David")</f>
        <v>David</v>
      </c>
      <c r="E4161" s="6" t="str">
        <f>IFERROR(__xludf.DUMMYFUNCTION("""COMPUTED_VALUE"""),"")</f>
        <v/>
      </c>
      <c r="F4161" s="6" t="str">
        <f>IFERROR(__xludf.DUMMYFUNCTION("""COMPUTED_VALUE"""),"Callejas")</f>
        <v>Callejas</v>
      </c>
      <c r="G4161" s="6" t="str">
        <f>IFERROR(__xludf.DUMMYFUNCTION("""COMPUTED_VALUE"""),"09/21/2014")</f>
        <v>09/21/2014</v>
      </c>
      <c r="H4161" s="6" t="str">
        <f>IFERROR(__xludf.DUMMYFUNCTION("""COMPUTED_VALUE"""),"male")</f>
        <v>male</v>
      </c>
      <c r="I4161" s="6" t="str">
        <f>IFERROR(__xludf.DUMMYFUNCTION("""COMPUTED_VALUE"""),"Level 2")</f>
        <v>Level 2</v>
      </c>
      <c r="J4161" s="6" t="str">
        <f>IFERROR(__xludf.DUMMYFUNCTION("""COMPUTED_VALUE"""),"5")</f>
        <v>5</v>
      </c>
      <c r="K4161" s="6" t="str">
        <f>IFERROR(__xludf.DUMMYFUNCTION("""COMPUTED_VALUE"""),"david.callejas@2hourlearning.com")</f>
        <v>david.callejas@2hourlearning.com</v>
      </c>
      <c r="L4161" s="6" t="str">
        <f>IFERROR(__xludf.DUMMYFUNCTION("""COMPUTED_VALUE"""),"JHES - Hardeeville Elementary School")</f>
        <v>JHES - Hardeeville Elementary School</v>
      </c>
      <c r="M4161" s="6" t="str">
        <f>IFERROR(__xludf.DUMMYFUNCTION("""COMPUTED_VALUE"""),"")</f>
        <v/>
      </c>
      <c r="N4161" s="6" t="str">
        <f>IFERROR(__xludf.DUMMYFUNCTION("""COMPUTED_VALUE"""),"")</f>
        <v/>
      </c>
      <c r="O4161" s="87" t="str">
        <f>IFERROR(__xludf.DUMMYFUNCTION("""COMPUTED_VALUE"""),"https://drive.google.com/drive/folders/10T2cTQHqEJZqE-st6uFKPoI?usp=share_link")</f>
        <v>https://drive.google.com/drive/folders/10T2cTQHqEJZqE-st6uFKPoI?usp=share_link</v>
      </c>
      <c r="P4161" s="6" t="str">
        <f>IFERROR(__xludf.DUMMYFUNCTION("""COMPUTED_VALUE"""),"David Callejas")</f>
        <v>David Callejas</v>
      </c>
      <c r="Q4161" s="6" t="str">
        <f>IFERROR(__xludf.DUMMYFUNCTION("""COMPUTED_VALUE"""),"L2")</f>
        <v>L2</v>
      </c>
      <c r="R4161" s="6">
        <f>IFERROR(__xludf.DUMMYFUNCTION("""COMPUTED_VALUE"""),2.0)</f>
        <v>2</v>
      </c>
      <c r="S4161" s="6" t="str">
        <f>IFERROR(__xludf.DUMMYFUNCTION("""COMPUTED_VALUE""")," ")</f>
        <v> </v>
      </c>
      <c r="T4161" s="6" t="str">
        <f>IFERROR(__xludf.DUMMYFUNCTION("""COMPUTED_VALUE"""),"")</f>
        <v/>
      </c>
      <c r="U4161" s="6" t="str">
        <f>IFERROR(__xludf.DUMMYFUNCTION("""COMPUTED_VALUE"""),"5")</f>
        <v>5</v>
      </c>
      <c r="V4161" s="6" t="str">
        <f>IFERROR(__xludf.DUMMYFUNCTION("""COMPUTED_VALUE"""),"")</f>
        <v/>
      </c>
      <c r="W4161" s="6" t="str">
        <f>IFERROR(__xludf.DUMMYFUNCTION("""COMPUTED_VALUE"""),"[]")</f>
        <v>[]</v>
      </c>
      <c r="X4161" s="6" t="str">
        <f>IFERROR(__xludf.DUMMYFUNCTION("""COMPUTED_VALUE"""),"Enrolled")</f>
        <v>Enrolled</v>
      </c>
    </row>
    <row r="4162">
      <c r="A4162" s="6" t="str">
        <f>IFERROR(__xludf.DUMMYFUNCTION("""COMPUTED_VALUE"""),"083-11449")</f>
        <v>083-11449</v>
      </c>
      <c r="B4162" s="6" t="str">
        <f>IFERROR(__xludf.DUMMYFUNCTION("""COMPUTED_VALUE"""),"83")</f>
        <v>83</v>
      </c>
      <c r="C4162" s="6" t="str">
        <f>IFERROR(__xludf.DUMMYFUNCTION("""COMPUTED_VALUE"""),"11449")</f>
        <v>11449</v>
      </c>
      <c r="D4162" s="6" t="str">
        <f>IFERROR(__xludf.DUMMYFUNCTION("""COMPUTED_VALUE"""),"Julio")</f>
        <v>Julio</v>
      </c>
      <c r="E4162" s="6" t="str">
        <f>IFERROR(__xludf.DUMMYFUNCTION("""COMPUTED_VALUE"""),"")</f>
        <v/>
      </c>
      <c r="F4162" s="6" t="str">
        <f>IFERROR(__xludf.DUMMYFUNCTION("""COMPUTED_VALUE"""),"Cano Reyna")</f>
        <v>Cano Reyna</v>
      </c>
      <c r="G4162" s="6" t="str">
        <f>IFERROR(__xludf.DUMMYFUNCTION("""COMPUTED_VALUE"""),"08/17/2015")</f>
        <v>08/17/2015</v>
      </c>
      <c r="H4162" s="6" t="str">
        <f>IFERROR(__xludf.DUMMYFUNCTION("""COMPUTED_VALUE"""),"male")</f>
        <v>male</v>
      </c>
      <c r="I4162" s="6" t="str">
        <f>IFERROR(__xludf.DUMMYFUNCTION("""COMPUTED_VALUE"""),"Level 2")</f>
        <v>Level 2</v>
      </c>
      <c r="J4162" s="6" t="str">
        <f>IFERROR(__xludf.DUMMYFUNCTION("""COMPUTED_VALUE"""),"5")</f>
        <v>5</v>
      </c>
      <c r="K4162" s="6" t="str">
        <f>IFERROR(__xludf.DUMMYFUNCTION("""COMPUTED_VALUE"""),"julio.canoreyna@2hourlearning.com")</f>
        <v>julio.canoreyna@2hourlearning.com</v>
      </c>
      <c r="L4162" s="6" t="str">
        <f>IFERROR(__xludf.DUMMYFUNCTION("""COMPUTED_VALUE"""),"JHES - Hardeeville Elementary School")</f>
        <v>JHES - Hardeeville Elementary School</v>
      </c>
      <c r="M4162" s="6" t="str">
        <f>IFERROR(__xludf.DUMMYFUNCTION("""COMPUTED_VALUE"""),"")</f>
        <v/>
      </c>
      <c r="N4162" s="6" t="str">
        <f>IFERROR(__xludf.DUMMYFUNCTION("""COMPUTED_VALUE"""),"")</f>
        <v/>
      </c>
      <c r="O4162" s="87" t="str">
        <f>IFERROR(__xludf.DUMMYFUNCTION("""COMPUTED_VALUE"""),"https://drive.google.com/drive/folders/10T2cTQHqEJZqE-st6uFKPoI?usp=share_link")</f>
        <v>https://drive.google.com/drive/folders/10T2cTQHqEJZqE-st6uFKPoI?usp=share_link</v>
      </c>
      <c r="P4162" s="6" t="str">
        <f>IFERROR(__xludf.DUMMYFUNCTION("""COMPUTED_VALUE"""),"Julio Cano Reyna")</f>
        <v>Julio Cano Reyna</v>
      </c>
      <c r="Q4162" s="6" t="str">
        <f>IFERROR(__xludf.DUMMYFUNCTION("""COMPUTED_VALUE"""),"L2")</f>
        <v>L2</v>
      </c>
      <c r="R4162" s="6">
        <f>IFERROR(__xludf.DUMMYFUNCTION("""COMPUTED_VALUE"""),2.0)</f>
        <v>2</v>
      </c>
      <c r="S4162" s="6" t="str">
        <f>IFERROR(__xludf.DUMMYFUNCTION("""COMPUTED_VALUE""")," ")</f>
        <v> </v>
      </c>
      <c r="T4162" s="6" t="str">
        <f>IFERROR(__xludf.DUMMYFUNCTION("""COMPUTED_VALUE"""),"")</f>
        <v/>
      </c>
      <c r="U4162" s="6" t="str">
        <f>IFERROR(__xludf.DUMMYFUNCTION("""COMPUTED_VALUE"""),"5")</f>
        <v>5</v>
      </c>
      <c r="V4162" s="6" t="str">
        <f>IFERROR(__xludf.DUMMYFUNCTION("""COMPUTED_VALUE"""),"")</f>
        <v/>
      </c>
      <c r="W4162" s="6" t="str">
        <f>IFERROR(__xludf.DUMMYFUNCTION("""COMPUTED_VALUE"""),"[]")</f>
        <v>[]</v>
      </c>
      <c r="X4162" s="6" t="str">
        <f>IFERROR(__xludf.DUMMYFUNCTION("""COMPUTED_VALUE"""),"Enrolled")</f>
        <v>Enrolled</v>
      </c>
    </row>
    <row r="4163">
      <c r="A4163" s="6" t="str">
        <f>IFERROR(__xludf.DUMMYFUNCTION("""COMPUTED_VALUE"""),"083-11450")</f>
        <v>083-11450</v>
      </c>
      <c r="B4163" s="6" t="str">
        <f>IFERROR(__xludf.DUMMYFUNCTION("""COMPUTED_VALUE"""),"83")</f>
        <v>83</v>
      </c>
      <c r="C4163" s="6" t="str">
        <f>IFERROR(__xludf.DUMMYFUNCTION("""COMPUTED_VALUE"""),"11450")</f>
        <v>11450</v>
      </c>
      <c r="D4163" s="6" t="str">
        <f>IFERROR(__xludf.DUMMYFUNCTION("""COMPUTED_VALUE"""),"Erickson")</f>
        <v>Erickson</v>
      </c>
      <c r="E4163" s="6" t="str">
        <f>IFERROR(__xludf.DUMMYFUNCTION("""COMPUTED_VALUE"""),"")</f>
        <v/>
      </c>
      <c r="F4163" s="6" t="str">
        <f>IFERROR(__xludf.DUMMYFUNCTION("""COMPUTED_VALUE"""),"Co Chial")</f>
        <v>Co Chial</v>
      </c>
      <c r="G4163" s="6" t="str">
        <f>IFERROR(__xludf.DUMMYFUNCTION("""COMPUTED_VALUE"""),"03/23/2015")</f>
        <v>03/23/2015</v>
      </c>
      <c r="H4163" s="6" t="str">
        <f>IFERROR(__xludf.DUMMYFUNCTION("""COMPUTED_VALUE"""),"male")</f>
        <v>male</v>
      </c>
      <c r="I4163" s="6" t="str">
        <f>IFERROR(__xludf.DUMMYFUNCTION("""COMPUTED_VALUE"""),"Level 2")</f>
        <v>Level 2</v>
      </c>
      <c r="J4163" s="6" t="str">
        <f>IFERROR(__xludf.DUMMYFUNCTION("""COMPUTED_VALUE"""),"5")</f>
        <v>5</v>
      </c>
      <c r="K4163" s="6" t="str">
        <f>IFERROR(__xludf.DUMMYFUNCTION("""COMPUTED_VALUE"""),"erickson.cochial@2hourlearning.com")</f>
        <v>erickson.cochial@2hourlearning.com</v>
      </c>
      <c r="L4163" s="6" t="str">
        <f>IFERROR(__xludf.DUMMYFUNCTION("""COMPUTED_VALUE"""),"JHES - Hardeeville Elementary School")</f>
        <v>JHES - Hardeeville Elementary School</v>
      </c>
      <c r="M4163" s="6" t="str">
        <f>IFERROR(__xludf.DUMMYFUNCTION("""COMPUTED_VALUE"""),"")</f>
        <v/>
      </c>
      <c r="N4163" s="6" t="str">
        <f>IFERROR(__xludf.DUMMYFUNCTION("""COMPUTED_VALUE"""),"")</f>
        <v/>
      </c>
      <c r="O4163" s="87" t="str">
        <f>IFERROR(__xludf.DUMMYFUNCTION("""COMPUTED_VALUE"""),"https://drive.google.com/drive/folders/10T2cTQHqEJZqE-st6uFKPoI?usp=share_link")</f>
        <v>https://drive.google.com/drive/folders/10T2cTQHqEJZqE-st6uFKPoI?usp=share_link</v>
      </c>
      <c r="P4163" s="6" t="str">
        <f>IFERROR(__xludf.DUMMYFUNCTION("""COMPUTED_VALUE"""),"Erickson Co Chial")</f>
        <v>Erickson Co Chial</v>
      </c>
      <c r="Q4163" s="6" t="str">
        <f>IFERROR(__xludf.DUMMYFUNCTION("""COMPUTED_VALUE"""),"L2")</f>
        <v>L2</v>
      </c>
      <c r="R4163" s="6">
        <f>IFERROR(__xludf.DUMMYFUNCTION("""COMPUTED_VALUE"""),2.0)</f>
        <v>2</v>
      </c>
      <c r="S4163" s="6" t="str">
        <f>IFERROR(__xludf.DUMMYFUNCTION("""COMPUTED_VALUE""")," ")</f>
        <v> </v>
      </c>
      <c r="T4163" s="6" t="str">
        <f>IFERROR(__xludf.DUMMYFUNCTION("""COMPUTED_VALUE"""),"")</f>
        <v/>
      </c>
      <c r="U4163" s="6" t="str">
        <f>IFERROR(__xludf.DUMMYFUNCTION("""COMPUTED_VALUE"""),"5")</f>
        <v>5</v>
      </c>
      <c r="V4163" s="6" t="str">
        <f>IFERROR(__xludf.DUMMYFUNCTION("""COMPUTED_VALUE"""),"")</f>
        <v/>
      </c>
      <c r="W4163" s="6" t="str">
        <f>IFERROR(__xludf.DUMMYFUNCTION("""COMPUTED_VALUE"""),"[]")</f>
        <v>[]</v>
      </c>
      <c r="X4163" s="6" t="str">
        <f>IFERROR(__xludf.DUMMYFUNCTION("""COMPUTED_VALUE"""),"Enrolled")</f>
        <v>Enrolled</v>
      </c>
    </row>
    <row r="4164">
      <c r="A4164" s="6" t="str">
        <f>IFERROR(__xludf.DUMMYFUNCTION("""COMPUTED_VALUE"""),"083-11451")</f>
        <v>083-11451</v>
      </c>
      <c r="B4164" s="6" t="str">
        <f>IFERROR(__xludf.DUMMYFUNCTION("""COMPUTED_VALUE"""),"83")</f>
        <v>83</v>
      </c>
      <c r="C4164" s="6" t="str">
        <f>IFERROR(__xludf.DUMMYFUNCTION("""COMPUTED_VALUE"""),"11451")</f>
        <v>11451</v>
      </c>
      <c r="D4164" s="6" t="str">
        <f>IFERROR(__xludf.DUMMYFUNCTION("""COMPUTED_VALUE"""),"Edwin E")</f>
        <v>Edwin E</v>
      </c>
      <c r="E4164" s="6" t="str">
        <f>IFERROR(__xludf.DUMMYFUNCTION("""COMPUTED_VALUE"""),"")</f>
        <v/>
      </c>
      <c r="F4164" s="6" t="str">
        <f>IFERROR(__xludf.DUMMYFUNCTION("""COMPUTED_VALUE"""),"Cruz Tellez")</f>
        <v>Cruz Tellez</v>
      </c>
      <c r="G4164" s="6" t="str">
        <f>IFERROR(__xludf.DUMMYFUNCTION("""COMPUTED_VALUE"""),"03/31/2015")</f>
        <v>03/31/2015</v>
      </c>
      <c r="H4164" s="6" t="str">
        <f>IFERROR(__xludf.DUMMYFUNCTION("""COMPUTED_VALUE"""),"male")</f>
        <v>male</v>
      </c>
      <c r="I4164" s="6" t="str">
        <f>IFERROR(__xludf.DUMMYFUNCTION("""COMPUTED_VALUE"""),"Level 2")</f>
        <v>Level 2</v>
      </c>
      <c r="J4164" s="6" t="str">
        <f>IFERROR(__xludf.DUMMYFUNCTION("""COMPUTED_VALUE"""),"5")</f>
        <v>5</v>
      </c>
      <c r="K4164" s="6" t="str">
        <f>IFERROR(__xludf.DUMMYFUNCTION("""COMPUTED_VALUE"""),"edwine.cruztellez@2hourlearning.com")</f>
        <v>edwine.cruztellez@2hourlearning.com</v>
      </c>
      <c r="L4164" s="6" t="str">
        <f>IFERROR(__xludf.DUMMYFUNCTION("""COMPUTED_VALUE"""),"JHES - Hardeeville Elementary School")</f>
        <v>JHES - Hardeeville Elementary School</v>
      </c>
      <c r="M4164" s="6" t="str">
        <f>IFERROR(__xludf.DUMMYFUNCTION("""COMPUTED_VALUE"""),"")</f>
        <v/>
      </c>
      <c r="N4164" s="6" t="str">
        <f>IFERROR(__xludf.DUMMYFUNCTION("""COMPUTED_VALUE"""),"")</f>
        <v/>
      </c>
      <c r="O4164" s="87" t="str">
        <f>IFERROR(__xludf.DUMMYFUNCTION("""COMPUTED_VALUE"""),"https://drive.google.com/drive/folders/10T2cTQHqEJZqE-st6uFKPoI?usp=share_link")</f>
        <v>https://drive.google.com/drive/folders/10T2cTQHqEJZqE-st6uFKPoI?usp=share_link</v>
      </c>
      <c r="P4164" s="6" t="str">
        <f>IFERROR(__xludf.DUMMYFUNCTION("""COMPUTED_VALUE"""),"Edwin E Cruz Tellez")</f>
        <v>Edwin E Cruz Tellez</v>
      </c>
      <c r="Q4164" s="6" t="str">
        <f>IFERROR(__xludf.DUMMYFUNCTION("""COMPUTED_VALUE"""),"L2")</f>
        <v>L2</v>
      </c>
      <c r="R4164" s="6">
        <f>IFERROR(__xludf.DUMMYFUNCTION("""COMPUTED_VALUE"""),2.0)</f>
        <v>2</v>
      </c>
      <c r="S4164" s="6" t="str">
        <f>IFERROR(__xludf.DUMMYFUNCTION("""COMPUTED_VALUE""")," ")</f>
        <v> </v>
      </c>
      <c r="T4164" s="6" t="str">
        <f>IFERROR(__xludf.DUMMYFUNCTION("""COMPUTED_VALUE"""),"")</f>
        <v/>
      </c>
      <c r="U4164" s="6" t="str">
        <f>IFERROR(__xludf.DUMMYFUNCTION("""COMPUTED_VALUE"""),"5")</f>
        <v>5</v>
      </c>
      <c r="V4164" s="6" t="str">
        <f>IFERROR(__xludf.DUMMYFUNCTION("""COMPUTED_VALUE"""),"")</f>
        <v/>
      </c>
      <c r="W4164" s="6" t="str">
        <f>IFERROR(__xludf.DUMMYFUNCTION("""COMPUTED_VALUE"""),"[]")</f>
        <v>[]</v>
      </c>
      <c r="X4164" s="6" t="str">
        <f>IFERROR(__xludf.DUMMYFUNCTION("""COMPUTED_VALUE"""),"Enrolled")</f>
        <v>Enrolled</v>
      </c>
    </row>
    <row r="4165">
      <c r="A4165" s="6" t="str">
        <f>IFERROR(__xludf.DUMMYFUNCTION("""COMPUTED_VALUE"""),"083-11452")</f>
        <v>083-11452</v>
      </c>
      <c r="B4165" s="6" t="str">
        <f>IFERROR(__xludf.DUMMYFUNCTION("""COMPUTED_VALUE"""),"83")</f>
        <v>83</v>
      </c>
      <c r="C4165" s="6" t="str">
        <f>IFERROR(__xludf.DUMMYFUNCTION("""COMPUTED_VALUE"""),"11452")</f>
        <v>11452</v>
      </c>
      <c r="D4165" s="6" t="str">
        <f>IFERROR(__xludf.DUMMYFUNCTION("""COMPUTED_VALUE"""),"Sophia")</f>
        <v>Sophia</v>
      </c>
      <c r="E4165" s="6" t="str">
        <f>IFERROR(__xludf.DUMMYFUNCTION("""COMPUTED_VALUE"""),"")</f>
        <v/>
      </c>
      <c r="F4165" s="6" t="str">
        <f>IFERROR(__xludf.DUMMYFUNCTION("""COMPUTED_VALUE"""),"De La Torre")</f>
        <v>De La Torre</v>
      </c>
      <c r="G4165" s="6" t="str">
        <f>IFERROR(__xludf.DUMMYFUNCTION("""COMPUTED_VALUE"""),"11/13/2014")</f>
        <v>11/13/2014</v>
      </c>
      <c r="H4165" s="6" t="str">
        <f>IFERROR(__xludf.DUMMYFUNCTION("""COMPUTED_VALUE"""),"female")</f>
        <v>female</v>
      </c>
      <c r="I4165" s="6" t="str">
        <f>IFERROR(__xludf.DUMMYFUNCTION("""COMPUTED_VALUE"""),"Level 2")</f>
        <v>Level 2</v>
      </c>
      <c r="J4165" s="6" t="str">
        <f>IFERROR(__xludf.DUMMYFUNCTION("""COMPUTED_VALUE"""),"5")</f>
        <v>5</v>
      </c>
      <c r="K4165" s="6" t="str">
        <f>IFERROR(__xludf.DUMMYFUNCTION("""COMPUTED_VALUE"""),"sophia.delatorre@2hourlearning.com")</f>
        <v>sophia.delatorre@2hourlearning.com</v>
      </c>
      <c r="L4165" s="6" t="str">
        <f>IFERROR(__xludf.DUMMYFUNCTION("""COMPUTED_VALUE"""),"JHES - Hardeeville Elementary School")</f>
        <v>JHES - Hardeeville Elementary School</v>
      </c>
      <c r="M4165" s="6" t="str">
        <f>IFERROR(__xludf.DUMMYFUNCTION("""COMPUTED_VALUE"""),"")</f>
        <v/>
      </c>
      <c r="N4165" s="6" t="str">
        <f>IFERROR(__xludf.DUMMYFUNCTION("""COMPUTED_VALUE"""),"")</f>
        <v/>
      </c>
      <c r="O4165" s="87" t="str">
        <f>IFERROR(__xludf.DUMMYFUNCTION("""COMPUTED_VALUE"""),"https://drive.google.com/drive/folders/10T2cTQHqEJZqE-st6uFKPoI?usp=share_link")</f>
        <v>https://drive.google.com/drive/folders/10T2cTQHqEJZqE-st6uFKPoI?usp=share_link</v>
      </c>
      <c r="P4165" s="6" t="str">
        <f>IFERROR(__xludf.DUMMYFUNCTION("""COMPUTED_VALUE"""),"Sophia De La Torre")</f>
        <v>Sophia De La Torre</v>
      </c>
      <c r="Q4165" s="6" t="str">
        <f>IFERROR(__xludf.DUMMYFUNCTION("""COMPUTED_VALUE"""),"L2")</f>
        <v>L2</v>
      </c>
      <c r="R4165" s="6">
        <f>IFERROR(__xludf.DUMMYFUNCTION("""COMPUTED_VALUE"""),2.0)</f>
        <v>2</v>
      </c>
      <c r="S4165" s="6" t="str">
        <f>IFERROR(__xludf.DUMMYFUNCTION("""COMPUTED_VALUE""")," ")</f>
        <v> </v>
      </c>
      <c r="T4165" s="6" t="str">
        <f>IFERROR(__xludf.DUMMYFUNCTION("""COMPUTED_VALUE"""),"")</f>
        <v/>
      </c>
      <c r="U4165" s="6" t="str">
        <f>IFERROR(__xludf.DUMMYFUNCTION("""COMPUTED_VALUE"""),"5")</f>
        <v>5</v>
      </c>
      <c r="V4165" s="6" t="str">
        <f>IFERROR(__xludf.DUMMYFUNCTION("""COMPUTED_VALUE"""),"")</f>
        <v/>
      </c>
      <c r="W4165" s="6" t="str">
        <f>IFERROR(__xludf.DUMMYFUNCTION("""COMPUTED_VALUE"""),"[]")</f>
        <v>[]</v>
      </c>
      <c r="X4165" s="6" t="str">
        <f>IFERROR(__xludf.DUMMYFUNCTION("""COMPUTED_VALUE"""),"Enrolled")</f>
        <v>Enrolled</v>
      </c>
    </row>
    <row r="4166">
      <c r="A4166" s="6" t="str">
        <f>IFERROR(__xludf.DUMMYFUNCTION("""COMPUTED_VALUE"""),"083-11453")</f>
        <v>083-11453</v>
      </c>
      <c r="B4166" s="6" t="str">
        <f>IFERROR(__xludf.DUMMYFUNCTION("""COMPUTED_VALUE"""),"83")</f>
        <v>83</v>
      </c>
      <c r="C4166" s="6" t="str">
        <f>IFERROR(__xludf.DUMMYFUNCTION("""COMPUTED_VALUE"""),"11453")</f>
        <v>11453</v>
      </c>
      <c r="D4166" s="6" t="str">
        <f>IFERROR(__xludf.DUMMYFUNCTION("""COMPUTED_VALUE"""),"Marco")</f>
        <v>Marco</v>
      </c>
      <c r="E4166" s="6" t="str">
        <f>IFERROR(__xludf.DUMMYFUNCTION("""COMPUTED_VALUE"""),"")</f>
        <v/>
      </c>
      <c r="F4166" s="6" t="str">
        <f>IFERROR(__xludf.DUMMYFUNCTION("""COMPUTED_VALUE"""),"Fernandez Castro")</f>
        <v>Fernandez Castro</v>
      </c>
      <c r="G4166" s="6" t="str">
        <f>IFERROR(__xludf.DUMMYFUNCTION("""COMPUTED_VALUE"""),"10/31/2014")</f>
        <v>10/31/2014</v>
      </c>
      <c r="H4166" s="6" t="str">
        <f>IFERROR(__xludf.DUMMYFUNCTION("""COMPUTED_VALUE"""),"male")</f>
        <v>male</v>
      </c>
      <c r="I4166" s="6" t="str">
        <f>IFERROR(__xludf.DUMMYFUNCTION("""COMPUTED_VALUE"""),"Level 2")</f>
        <v>Level 2</v>
      </c>
      <c r="J4166" s="6" t="str">
        <f>IFERROR(__xludf.DUMMYFUNCTION("""COMPUTED_VALUE"""),"5")</f>
        <v>5</v>
      </c>
      <c r="K4166" s="6" t="str">
        <f>IFERROR(__xludf.DUMMYFUNCTION("""COMPUTED_VALUE"""),"marco.fernandezcastro@2hourlearning.com")</f>
        <v>marco.fernandezcastro@2hourlearning.com</v>
      </c>
      <c r="L4166" s="6" t="str">
        <f>IFERROR(__xludf.DUMMYFUNCTION("""COMPUTED_VALUE"""),"JHES - Hardeeville Elementary School")</f>
        <v>JHES - Hardeeville Elementary School</v>
      </c>
      <c r="M4166" s="6" t="str">
        <f>IFERROR(__xludf.DUMMYFUNCTION("""COMPUTED_VALUE"""),"")</f>
        <v/>
      </c>
      <c r="N4166" s="6" t="str">
        <f>IFERROR(__xludf.DUMMYFUNCTION("""COMPUTED_VALUE"""),"")</f>
        <v/>
      </c>
      <c r="O4166" s="87" t="str">
        <f>IFERROR(__xludf.DUMMYFUNCTION("""COMPUTED_VALUE"""),"https://drive.google.com/drive/folders/10T2cTQHqEJZqE-st6uFKPoI?usp=share_link")</f>
        <v>https://drive.google.com/drive/folders/10T2cTQHqEJZqE-st6uFKPoI?usp=share_link</v>
      </c>
      <c r="P4166" s="6" t="str">
        <f>IFERROR(__xludf.DUMMYFUNCTION("""COMPUTED_VALUE"""),"Marco Fernandez Castro")</f>
        <v>Marco Fernandez Castro</v>
      </c>
      <c r="Q4166" s="6" t="str">
        <f>IFERROR(__xludf.DUMMYFUNCTION("""COMPUTED_VALUE"""),"L2")</f>
        <v>L2</v>
      </c>
      <c r="R4166" s="6">
        <f>IFERROR(__xludf.DUMMYFUNCTION("""COMPUTED_VALUE"""),2.0)</f>
        <v>2</v>
      </c>
      <c r="S4166" s="6" t="str">
        <f>IFERROR(__xludf.DUMMYFUNCTION("""COMPUTED_VALUE""")," ")</f>
        <v> </v>
      </c>
      <c r="T4166" s="6" t="str">
        <f>IFERROR(__xludf.DUMMYFUNCTION("""COMPUTED_VALUE"""),"")</f>
        <v/>
      </c>
      <c r="U4166" s="6" t="str">
        <f>IFERROR(__xludf.DUMMYFUNCTION("""COMPUTED_VALUE"""),"5")</f>
        <v>5</v>
      </c>
      <c r="V4166" s="6" t="str">
        <f>IFERROR(__xludf.DUMMYFUNCTION("""COMPUTED_VALUE"""),"")</f>
        <v/>
      </c>
      <c r="W4166" s="6" t="str">
        <f>IFERROR(__xludf.DUMMYFUNCTION("""COMPUTED_VALUE"""),"[]")</f>
        <v>[]</v>
      </c>
      <c r="X4166" s="6" t="str">
        <f>IFERROR(__xludf.DUMMYFUNCTION("""COMPUTED_VALUE"""),"Enrolled")</f>
        <v>Enrolled</v>
      </c>
    </row>
    <row r="4167">
      <c r="A4167" s="6" t="str">
        <f>IFERROR(__xludf.DUMMYFUNCTION("""COMPUTED_VALUE"""),"083-11454")</f>
        <v>083-11454</v>
      </c>
      <c r="B4167" s="6" t="str">
        <f>IFERROR(__xludf.DUMMYFUNCTION("""COMPUTED_VALUE"""),"83")</f>
        <v>83</v>
      </c>
      <c r="C4167" s="6" t="str">
        <f>IFERROR(__xludf.DUMMYFUNCTION("""COMPUTED_VALUE"""),"11454")</f>
        <v>11454</v>
      </c>
      <c r="D4167" s="6" t="str">
        <f>IFERROR(__xludf.DUMMYFUNCTION("""COMPUTED_VALUE"""),"Elias J")</f>
        <v>Elias J</v>
      </c>
      <c r="E4167" s="6" t="str">
        <f>IFERROR(__xludf.DUMMYFUNCTION("""COMPUTED_VALUE"""),"")</f>
        <v/>
      </c>
      <c r="F4167" s="6" t="str">
        <f>IFERROR(__xludf.DUMMYFUNCTION("""COMPUTED_VALUE"""),"Funes Hernandez")</f>
        <v>Funes Hernandez</v>
      </c>
      <c r="G4167" s="6" t="str">
        <f>IFERROR(__xludf.DUMMYFUNCTION("""COMPUTED_VALUE"""),"03/18/2015")</f>
        <v>03/18/2015</v>
      </c>
      <c r="H4167" s="6" t="str">
        <f>IFERROR(__xludf.DUMMYFUNCTION("""COMPUTED_VALUE"""),"male")</f>
        <v>male</v>
      </c>
      <c r="I4167" s="6" t="str">
        <f>IFERROR(__xludf.DUMMYFUNCTION("""COMPUTED_VALUE"""),"Level 2")</f>
        <v>Level 2</v>
      </c>
      <c r="J4167" s="6" t="str">
        <f>IFERROR(__xludf.DUMMYFUNCTION("""COMPUTED_VALUE"""),"5")</f>
        <v>5</v>
      </c>
      <c r="K4167" s="6" t="str">
        <f>IFERROR(__xludf.DUMMYFUNCTION("""COMPUTED_VALUE"""),"eliasj.funeshernandez@2hourlearning.com")</f>
        <v>eliasj.funeshernandez@2hourlearning.com</v>
      </c>
      <c r="L4167" s="6" t="str">
        <f>IFERROR(__xludf.DUMMYFUNCTION("""COMPUTED_VALUE"""),"JHES - Hardeeville Elementary School")</f>
        <v>JHES - Hardeeville Elementary School</v>
      </c>
      <c r="M4167" s="6" t="str">
        <f>IFERROR(__xludf.DUMMYFUNCTION("""COMPUTED_VALUE"""),"")</f>
        <v/>
      </c>
      <c r="N4167" s="6" t="str">
        <f>IFERROR(__xludf.DUMMYFUNCTION("""COMPUTED_VALUE"""),"")</f>
        <v/>
      </c>
      <c r="O4167" s="87" t="str">
        <f>IFERROR(__xludf.DUMMYFUNCTION("""COMPUTED_VALUE"""),"https://drive.google.com/drive/folders/10T2cTQHqEJZqE-st6uFKPoI?usp=share_link")</f>
        <v>https://drive.google.com/drive/folders/10T2cTQHqEJZqE-st6uFKPoI?usp=share_link</v>
      </c>
      <c r="P4167" s="6" t="str">
        <f>IFERROR(__xludf.DUMMYFUNCTION("""COMPUTED_VALUE"""),"Elias J Funes Hernandez")</f>
        <v>Elias J Funes Hernandez</v>
      </c>
      <c r="Q4167" s="6" t="str">
        <f>IFERROR(__xludf.DUMMYFUNCTION("""COMPUTED_VALUE"""),"L2")</f>
        <v>L2</v>
      </c>
      <c r="R4167" s="6">
        <f>IFERROR(__xludf.DUMMYFUNCTION("""COMPUTED_VALUE"""),2.0)</f>
        <v>2</v>
      </c>
      <c r="S4167" s="6" t="str">
        <f>IFERROR(__xludf.DUMMYFUNCTION("""COMPUTED_VALUE""")," ")</f>
        <v> </v>
      </c>
      <c r="T4167" s="6" t="str">
        <f>IFERROR(__xludf.DUMMYFUNCTION("""COMPUTED_VALUE"""),"")</f>
        <v/>
      </c>
      <c r="U4167" s="6" t="str">
        <f>IFERROR(__xludf.DUMMYFUNCTION("""COMPUTED_VALUE"""),"5")</f>
        <v>5</v>
      </c>
      <c r="V4167" s="6" t="str">
        <f>IFERROR(__xludf.DUMMYFUNCTION("""COMPUTED_VALUE"""),"")</f>
        <v/>
      </c>
      <c r="W4167" s="6" t="str">
        <f>IFERROR(__xludf.DUMMYFUNCTION("""COMPUTED_VALUE"""),"[]")</f>
        <v>[]</v>
      </c>
      <c r="X4167" s="6" t="str">
        <f>IFERROR(__xludf.DUMMYFUNCTION("""COMPUTED_VALUE"""),"Enrolled")</f>
        <v>Enrolled</v>
      </c>
    </row>
    <row r="4168">
      <c r="A4168" s="6" t="str">
        <f>IFERROR(__xludf.DUMMYFUNCTION("""COMPUTED_VALUE"""),"083-11455")</f>
        <v>083-11455</v>
      </c>
      <c r="B4168" s="6" t="str">
        <f>IFERROR(__xludf.DUMMYFUNCTION("""COMPUTED_VALUE"""),"83")</f>
        <v>83</v>
      </c>
      <c r="C4168" s="6" t="str">
        <f>IFERROR(__xludf.DUMMYFUNCTION("""COMPUTED_VALUE"""),"11455")</f>
        <v>11455</v>
      </c>
      <c r="D4168" s="6" t="str">
        <f>IFERROR(__xludf.DUMMYFUNCTION("""COMPUTED_VALUE"""),"Brandon")</f>
        <v>Brandon</v>
      </c>
      <c r="E4168" s="6" t="str">
        <f>IFERROR(__xludf.DUMMYFUNCTION("""COMPUTED_VALUE"""),"")</f>
        <v/>
      </c>
      <c r="F4168" s="6" t="str">
        <f>IFERROR(__xludf.DUMMYFUNCTION("""COMPUTED_VALUE"""),"Garcia Bonilla")</f>
        <v>Garcia Bonilla</v>
      </c>
      <c r="G4168" s="6" t="str">
        <f>IFERROR(__xludf.DUMMYFUNCTION("""COMPUTED_VALUE"""),"01/24/2015")</f>
        <v>01/24/2015</v>
      </c>
      <c r="H4168" s="6" t="str">
        <f>IFERROR(__xludf.DUMMYFUNCTION("""COMPUTED_VALUE"""),"male")</f>
        <v>male</v>
      </c>
      <c r="I4168" s="6" t="str">
        <f>IFERROR(__xludf.DUMMYFUNCTION("""COMPUTED_VALUE"""),"Level 2")</f>
        <v>Level 2</v>
      </c>
      <c r="J4168" s="6" t="str">
        <f>IFERROR(__xludf.DUMMYFUNCTION("""COMPUTED_VALUE"""),"5")</f>
        <v>5</v>
      </c>
      <c r="K4168" s="6" t="str">
        <f>IFERROR(__xludf.DUMMYFUNCTION("""COMPUTED_VALUE"""),"brandon.garciabonilla@2hourlearning.com")</f>
        <v>brandon.garciabonilla@2hourlearning.com</v>
      </c>
      <c r="L4168" s="6" t="str">
        <f>IFERROR(__xludf.DUMMYFUNCTION("""COMPUTED_VALUE"""),"JHES - Hardeeville Elementary School")</f>
        <v>JHES - Hardeeville Elementary School</v>
      </c>
      <c r="M4168" s="6" t="str">
        <f>IFERROR(__xludf.DUMMYFUNCTION("""COMPUTED_VALUE"""),"")</f>
        <v/>
      </c>
      <c r="N4168" s="6" t="str">
        <f>IFERROR(__xludf.DUMMYFUNCTION("""COMPUTED_VALUE"""),"")</f>
        <v/>
      </c>
      <c r="O4168" s="87" t="str">
        <f>IFERROR(__xludf.DUMMYFUNCTION("""COMPUTED_VALUE"""),"https://drive.google.com/drive/folders/10T2cTQHqEJZqE-st6uFKPoI?usp=share_link")</f>
        <v>https://drive.google.com/drive/folders/10T2cTQHqEJZqE-st6uFKPoI?usp=share_link</v>
      </c>
      <c r="P4168" s="6" t="str">
        <f>IFERROR(__xludf.DUMMYFUNCTION("""COMPUTED_VALUE"""),"Brandon Garcia Bonilla")</f>
        <v>Brandon Garcia Bonilla</v>
      </c>
      <c r="Q4168" s="6" t="str">
        <f>IFERROR(__xludf.DUMMYFUNCTION("""COMPUTED_VALUE"""),"L2")</f>
        <v>L2</v>
      </c>
      <c r="R4168" s="6">
        <f>IFERROR(__xludf.DUMMYFUNCTION("""COMPUTED_VALUE"""),2.0)</f>
        <v>2</v>
      </c>
      <c r="S4168" s="6" t="str">
        <f>IFERROR(__xludf.DUMMYFUNCTION("""COMPUTED_VALUE""")," ")</f>
        <v> </v>
      </c>
      <c r="T4168" s="6" t="str">
        <f>IFERROR(__xludf.DUMMYFUNCTION("""COMPUTED_VALUE"""),"")</f>
        <v/>
      </c>
      <c r="U4168" s="6" t="str">
        <f>IFERROR(__xludf.DUMMYFUNCTION("""COMPUTED_VALUE"""),"5")</f>
        <v>5</v>
      </c>
      <c r="V4168" s="6" t="str">
        <f>IFERROR(__xludf.DUMMYFUNCTION("""COMPUTED_VALUE"""),"")</f>
        <v/>
      </c>
      <c r="W4168" s="6" t="str">
        <f>IFERROR(__xludf.DUMMYFUNCTION("""COMPUTED_VALUE"""),"[]")</f>
        <v>[]</v>
      </c>
      <c r="X4168" s="6" t="str">
        <f>IFERROR(__xludf.DUMMYFUNCTION("""COMPUTED_VALUE"""),"Enrolled")</f>
        <v>Enrolled</v>
      </c>
    </row>
    <row r="4169">
      <c r="A4169" s="6" t="str">
        <f>IFERROR(__xludf.DUMMYFUNCTION("""COMPUTED_VALUE"""),"083-11456")</f>
        <v>083-11456</v>
      </c>
      <c r="B4169" s="6" t="str">
        <f>IFERROR(__xludf.DUMMYFUNCTION("""COMPUTED_VALUE"""),"83")</f>
        <v>83</v>
      </c>
      <c r="C4169" s="6" t="str">
        <f>IFERROR(__xludf.DUMMYFUNCTION("""COMPUTED_VALUE"""),"11456")</f>
        <v>11456</v>
      </c>
      <c r="D4169" s="6" t="str">
        <f>IFERROR(__xludf.DUMMYFUNCTION("""COMPUTED_VALUE"""),"Kayden Jared")</f>
        <v>Kayden Jared</v>
      </c>
      <c r="E4169" s="6" t="str">
        <f>IFERROR(__xludf.DUMMYFUNCTION("""COMPUTED_VALUE"""),"")</f>
        <v/>
      </c>
      <c r="F4169" s="6" t="str">
        <f>IFERROR(__xludf.DUMMYFUNCTION("""COMPUTED_VALUE"""),"Garcia Dominguez")</f>
        <v>Garcia Dominguez</v>
      </c>
      <c r="G4169" s="6" t="str">
        <f>IFERROR(__xludf.DUMMYFUNCTION("""COMPUTED_VALUE"""),"10/11/2014")</f>
        <v>10/11/2014</v>
      </c>
      <c r="H4169" s="6" t="str">
        <f>IFERROR(__xludf.DUMMYFUNCTION("""COMPUTED_VALUE"""),"female")</f>
        <v>female</v>
      </c>
      <c r="I4169" s="6" t="str">
        <f>IFERROR(__xludf.DUMMYFUNCTION("""COMPUTED_VALUE"""),"Level 2")</f>
        <v>Level 2</v>
      </c>
      <c r="J4169" s="6" t="str">
        <f>IFERROR(__xludf.DUMMYFUNCTION("""COMPUTED_VALUE"""),"5")</f>
        <v>5</v>
      </c>
      <c r="K4169" s="6" t="str">
        <f>IFERROR(__xludf.DUMMYFUNCTION("""COMPUTED_VALUE"""),"kaydenjared.garciadominguez@2hourlearning.com")</f>
        <v>kaydenjared.garciadominguez@2hourlearning.com</v>
      </c>
      <c r="L4169" s="6" t="str">
        <f>IFERROR(__xludf.DUMMYFUNCTION("""COMPUTED_VALUE"""),"JHES - Hardeeville Elementary School")</f>
        <v>JHES - Hardeeville Elementary School</v>
      </c>
      <c r="M4169" s="6" t="str">
        <f>IFERROR(__xludf.DUMMYFUNCTION("""COMPUTED_VALUE"""),"")</f>
        <v/>
      </c>
      <c r="N4169" s="6" t="str">
        <f>IFERROR(__xludf.DUMMYFUNCTION("""COMPUTED_VALUE"""),"")</f>
        <v/>
      </c>
      <c r="O4169" s="87" t="str">
        <f>IFERROR(__xludf.DUMMYFUNCTION("""COMPUTED_VALUE"""),"https://drive.google.com/drive/folders/10T2cTQHqEJZqE-st6uFKPoI?usp=share_link")</f>
        <v>https://drive.google.com/drive/folders/10T2cTQHqEJZqE-st6uFKPoI?usp=share_link</v>
      </c>
      <c r="P4169" s="6" t="str">
        <f>IFERROR(__xludf.DUMMYFUNCTION("""COMPUTED_VALUE"""),"Kayden Jared Garcia Dominguez")</f>
        <v>Kayden Jared Garcia Dominguez</v>
      </c>
      <c r="Q4169" s="6" t="str">
        <f>IFERROR(__xludf.DUMMYFUNCTION("""COMPUTED_VALUE"""),"L2")</f>
        <v>L2</v>
      </c>
      <c r="R4169" s="6">
        <f>IFERROR(__xludf.DUMMYFUNCTION("""COMPUTED_VALUE"""),2.0)</f>
        <v>2</v>
      </c>
      <c r="S4169" s="6" t="str">
        <f>IFERROR(__xludf.DUMMYFUNCTION("""COMPUTED_VALUE""")," ")</f>
        <v> </v>
      </c>
      <c r="T4169" s="6" t="str">
        <f>IFERROR(__xludf.DUMMYFUNCTION("""COMPUTED_VALUE"""),"")</f>
        <v/>
      </c>
      <c r="U4169" s="6" t="str">
        <f>IFERROR(__xludf.DUMMYFUNCTION("""COMPUTED_VALUE"""),"5")</f>
        <v>5</v>
      </c>
      <c r="V4169" s="6" t="str">
        <f>IFERROR(__xludf.DUMMYFUNCTION("""COMPUTED_VALUE"""),"")</f>
        <v/>
      </c>
      <c r="W4169" s="6" t="str">
        <f>IFERROR(__xludf.DUMMYFUNCTION("""COMPUTED_VALUE"""),"[]")</f>
        <v>[]</v>
      </c>
      <c r="X4169" s="6" t="str">
        <f>IFERROR(__xludf.DUMMYFUNCTION("""COMPUTED_VALUE"""),"Enrolled")</f>
        <v>Enrolled</v>
      </c>
    </row>
    <row r="4170">
      <c r="A4170" s="6" t="str">
        <f>IFERROR(__xludf.DUMMYFUNCTION("""COMPUTED_VALUE"""),"083-11457")</f>
        <v>083-11457</v>
      </c>
      <c r="B4170" s="6" t="str">
        <f>IFERROR(__xludf.DUMMYFUNCTION("""COMPUTED_VALUE"""),"83")</f>
        <v>83</v>
      </c>
      <c r="C4170" s="6" t="str">
        <f>IFERROR(__xludf.DUMMYFUNCTION("""COMPUTED_VALUE"""),"11457")</f>
        <v>11457</v>
      </c>
      <c r="D4170" s="6" t="str">
        <f>IFERROR(__xludf.DUMMYFUNCTION("""COMPUTED_VALUE"""),"Christopher")</f>
        <v>Christopher</v>
      </c>
      <c r="E4170" s="6" t="str">
        <f>IFERROR(__xludf.DUMMYFUNCTION("""COMPUTED_VALUE"""),"")</f>
        <v/>
      </c>
      <c r="F4170" s="6" t="str">
        <f>IFERROR(__xludf.DUMMYFUNCTION("""COMPUTED_VALUE"""),"Garcia Garcia")</f>
        <v>Garcia Garcia</v>
      </c>
      <c r="G4170" s="6" t="str">
        <f>IFERROR(__xludf.DUMMYFUNCTION("""COMPUTED_VALUE"""),"04/10/2015")</f>
        <v>04/10/2015</v>
      </c>
      <c r="H4170" s="6" t="str">
        <f>IFERROR(__xludf.DUMMYFUNCTION("""COMPUTED_VALUE"""),"male")</f>
        <v>male</v>
      </c>
      <c r="I4170" s="6" t="str">
        <f>IFERROR(__xludf.DUMMYFUNCTION("""COMPUTED_VALUE"""),"Level 2")</f>
        <v>Level 2</v>
      </c>
      <c r="J4170" s="6" t="str">
        <f>IFERROR(__xludf.DUMMYFUNCTION("""COMPUTED_VALUE"""),"5")</f>
        <v>5</v>
      </c>
      <c r="K4170" s="6" t="str">
        <f>IFERROR(__xludf.DUMMYFUNCTION("""COMPUTED_VALUE"""),"christopher.garciagarcia@2hourlearning.com")</f>
        <v>christopher.garciagarcia@2hourlearning.com</v>
      </c>
      <c r="L4170" s="6" t="str">
        <f>IFERROR(__xludf.DUMMYFUNCTION("""COMPUTED_VALUE"""),"JHES - Hardeeville Elementary School")</f>
        <v>JHES - Hardeeville Elementary School</v>
      </c>
      <c r="M4170" s="6" t="str">
        <f>IFERROR(__xludf.DUMMYFUNCTION("""COMPUTED_VALUE"""),"")</f>
        <v/>
      </c>
      <c r="N4170" s="6" t="str">
        <f>IFERROR(__xludf.DUMMYFUNCTION("""COMPUTED_VALUE"""),"")</f>
        <v/>
      </c>
      <c r="O4170" s="87" t="str">
        <f>IFERROR(__xludf.DUMMYFUNCTION("""COMPUTED_VALUE"""),"https://drive.google.com/drive/folders/10T2cTQHqEJZqE-st6uFKPoI?usp=share_link")</f>
        <v>https://drive.google.com/drive/folders/10T2cTQHqEJZqE-st6uFKPoI?usp=share_link</v>
      </c>
      <c r="P4170" s="6" t="str">
        <f>IFERROR(__xludf.DUMMYFUNCTION("""COMPUTED_VALUE"""),"Christopher Garcia Garcia")</f>
        <v>Christopher Garcia Garcia</v>
      </c>
      <c r="Q4170" s="6" t="str">
        <f>IFERROR(__xludf.DUMMYFUNCTION("""COMPUTED_VALUE"""),"L2")</f>
        <v>L2</v>
      </c>
      <c r="R4170" s="6">
        <f>IFERROR(__xludf.DUMMYFUNCTION("""COMPUTED_VALUE"""),2.0)</f>
        <v>2</v>
      </c>
      <c r="S4170" s="6" t="str">
        <f>IFERROR(__xludf.DUMMYFUNCTION("""COMPUTED_VALUE""")," ")</f>
        <v> </v>
      </c>
      <c r="T4170" s="6" t="str">
        <f>IFERROR(__xludf.DUMMYFUNCTION("""COMPUTED_VALUE"""),"")</f>
        <v/>
      </c>
      <c r="U4170" s="6" t="str">
        <f>IFERROR(__xludf.DUMMYFUNCTION("""COMPUTED_VALUE"""),"5")</f>
        <v>5</v>
      </c>
      <c r="V4170" s="6" t="str">
        <f>IFERROR(__xludf.DUMMYFUNCTION("""COMPUTED_VALUE"""),"")</f>
        <v/>
      </c>
      <c r="W4170" s="6" t="str">
        <f>IFERROR(__xludf.DUMMYFUNCTION("""COMPUTED_VALUE"""),"[]")</f>
        <v>[]</v>
      </c>
      <c r="X4170" s="6" t="str">
        <f>IFERROR(__xludf.DUMMYFUNCTION("""COMPUTED_VALUE"""),"Enrolled")</f>
        <v>Enrolled</v>
      </c>
    </row>
    <row r="4171">
      <c r="A4171" s="6" t="str">
        <f>IFERROR(__xludf.DUMMYFUNCTION("""COMPUTED_VALUE"""),"083-11458")</f>
        <v>083-11458</v>
      </c>
      <c r="B4171" s="6" t="str">
        <f>IFERROR(__xludf.DUMMYFUNCTION("""COMPUTED_VALUE"""),"83")</f>
        <v>83</v>
      </c>
      <c r="C4171" s="6" t="str">
        <f>IFERROR(__xludf.DUMMYFUNCTION("""COMPUTED_VALUE"""),"11458")</f>
        <v>11458</v>
      </c>
      <c r="D4171" s="6" t="str">
        <f>IFERROR(__xludf.DUMMYFUNCTION("""COMPUTED_VALUE"""),"Matthew")</f>
        <v>Matthew</v>
      </c>
      <c r="E4171" s="6" t="str">
        <f>IFERROR(__xludf.DUMMYFUNCTION("""COMPUTED_VALUE"""),"")</f>
        <v/>
      </c>
      <c r="F4171" s="6" t="str">
        <f>IFERROR(__xludf.DUMMYFUNCTION("""COMPUTED_VALUE"""),"Garcia Sanchez")</f>
        <v>Garcia Sanchez</v>
      </c>
      <c r="G4171" s="6" t="str">
        <f>IFERROR(__xludf.DUMMYFUNCTION("""COMPUTED_VALUE"""),"05/02/2015")</f>
        <v>05/02/2015</v>
      </c>
      <c r="H4171" s="6" t="str">
        <f>IFERROR(__xludf.DUMMYFUNCTION("""COMPUTED_VALUE"""),"male")</f>
        <v>male</v>
      </c>
      <c r="I4171" s="6" t="str">
        <f>IFERROR(__xludf.DUMMYFUNCTION("""COMPUTED_VALUE"""),"Level 2")</f>
        <v>Level 2</v>
      </c>
      <c r="J4171" s="6" t="str">
        <f>IFERROR(__xludf.DUMMYFUNCTION("""COMPUTED_VALUE"""),"5")</f>
        <v>5</v>
      </c>
      <c r="K4171" s="6" t="str">
        <f>IFERROR(__xludf.DUMMYFUNCTION("""COMPUTED_VALUE"""),"matthew.garciasanchez@2hourlearning.com")</f>
        <v>matthew.garciasanchez@2hourlearning.com</v>
      </c>
      <c r="L4171" s="6" t="str">
        <f>IFERROR(__xludf.DUMMYFUNCTION("""COMPUTED_VALUE"""),"JHES - Hardeeville Elementary School")</f>
        <v>JHES - Hardeeville Elementary School</v>
      </c>
      <c r="M4171" s="6" t="str">
        <f>IFERROR(__xludf.DUMMYFUNCTION("""COMPUTED_VALUE"""),"")</f>
        <v/>
      </c>
      <c r="N4171" s="6" t="str">
        <f>IFERROR(__xludf.DUMMYFUNCTION("""COMPUTED_VALUE"""),"")</f>
        <v/>
      </c>
      <c r="O4171" s="87" t="str">
        <f>IFERROR(__xludf.DUMMYFUNCTION("""COMPUTED_VALUE"""),"https://drive.google.com/drive/folders/10T2cTQHqEJZqE-st6uFKPoI?usp=share_link")</f>
        <v>https://drive.google.com/drive/folders/10T2cTQHqEJZqE-st6uFKPoI?usp=share_link</v>
      </c>
      <c r="P4171" s="6" t="str">
        <f>IFERROR(__xludf.DUMMYFUNCTION("""COMPUTED_VALUE"""),"Matthew Garcia Sanchez")</f>
        <v>Matthew Garcia Sanchez</v>
      </c>
      <c r="Q4171" s="6" t="str">
        <f>IFERROR(__xludf.DUMMYFUNCTION("""COMPUTED_VALUE"""),"L2")</f>
        <v>L2</v>
      </c>
      <c r="R4171" s="6">
        <f>IFERROR(__xludf.DUMMYFUNCTION("""COMPUTED_VALUE"""),2.0)</f>
        <v>2</v>
      </c>
      <c r="S4171" s="6" t="str">
        <f>IFERROR(__xludf.DUMMYFUNCTION("""COMPUTED_VALUE""")," ")</f>
        <v> </v>
      </c>
      <c r="T4171" s="6" t="str">
        <f>IFERROR(__xludf.DUMMYFUNCTION("""COMPUTED_VALUE"""),"")</f>
        <v/>
      </c>
      <c r="U4171" s="6" t="str">
        <f>IFERROR(__xludf.DUMMYFUNCTION("""COMPUTED_VALUE"""),"5")</f>
        <v>5</v>
      </c>
      <c r="V4171" s="6" t="str">
        <f>IFERROR(__xludf.DUMMYFUNCTION("""COMPUTED_VALUE"""),"")</f>
        <v/>
      </c>
      <c r="W4171" s="6" t="str">
        <f>IFERROR(__xludf.DUMMYFUNCTION("""COMPUTED_VALUE"""),"[]")</f>
        <v>[]</v>
      </c>
      <c r="X4171" s="6" t="str">
        <f>IFERROR(__xludf.DUMMYFUNCTION("""COMPUTED_VALUE"""),"Enrolled")</f>
        <v>Enrolled</v>
      </c>
    </row>
    <row r="4172">
      <c r="A4172" s="6" t="str">
        <f>IFERROR(__xludf.DUMMYFUNCTION("""COMPUTED_VALUE"""),"083-11459")</f>
        <v>083-11459</v>
      </c>
      <c r="B4172" s="6" t="str">
        <f>IFERROR(__xludf.DUMMYFUNCTION("""COMPUTED_VALUE"""),"83")</f>
        <v>83</v>
      </c>
      <c r="C4172" s="6" t="str">
        <f>IFERROR(__xludf.DUMMYFUNCTION("""COMPUTED_VALUE"""),"11459")</f>
        <v>11459</v>
      </c>
      <c r="D4172" s="6" t="str">
        <f>IFERROR(__xludf.DUMMYFUNCTION("""COMPUTED_VALUE"""),"Hanny G")</f>
        <v>Hanny G</v>
      </c>
      <c r="E4172" s="6" t="str">
        <f>IFERROR(__xludf.DUMMYFUNCTION("""COMPUTED_VALUE"""),"")</f>
        <v/>
      </c>
      <c r="F4172" s="6" t="str">
        <f>IFERROR(__xludf.DUMMYFUNCTION("""COMPUTED_VALUE"""),"Gomez Cruz")</f>
        <v>Gomez Cruz</v>
      </c>
      <c r="G4172" s="6" t="str">
        <f>IFERROR(__xludf.DUMMYFUNCTION("""COMPUTED_VALUE"""),"10/26/2014")</f>
        <v>10/26/2014</v>
      </c>
      <c r="H4172" s="6" t="str">
        <f>IFERROR(__xludf.DUMMYFUNCTION("""COMPUTED_VALUE"""),"female")</f>
        <v>female</v>
      </c>
      <c r="I4172" s="6" t="str">
        <f>IFERROR(__xludf.DUMMYFUNCTION("""COMPUTED_VALUE"""),"Level 2")</f>
        <v>Level 2</v>
      </c>
      <c r="J4172" s="6" t="str">
        <f>IFERROR(__xludf.DUMMYFUNCTION("""COMPUTED_VALUE"""),"5")</f>
        <v>5</v>
      </c>
      <c r="K4172" s="6" t="str">
        <f>IFERROR(__xludf.DUMMYFUNCTION("""COMPUTED_VALUE"""),"hannyg.gomezcruz@2hourlearning.com")</f>
        <v>hannyg.gomezcruz@2hourlearning.com</v>
      </c>
      <c r="L4172" s="6" t="str">
        <f>IFERROR(__xludf.DUMMYFUNCTION("""COMPUTED_VALUE"""),"JHES - Hardeeville Elementary School")</f>
        <v>JHES - Hardeeville Elementary School</v>
      </c>
      <c r="M4172" s="6" t="str">
        <f>IFERROR(__xludf.DUMMYFUNCTION("""COMPUTED_VALUE"""),"")</f>
        <v/>
      </c>
      <c r="N4172" s="6" t="str">
        <f>IFERROR(__xludf.DUMMYFUNCTION("""COMPUTED_VALUE"""),"")</f>
        <v/>
      </c>
      <c r="O4172" s="87" t="str">
        <f>IFERROR(__xludf.DUMMYFUNCTION("""COMPUTED_VALUE"""),"https://drive.google.com/drive/folders/10T2cTQHqEJZqE-st6uFKPoI?usp=share_link")</f>
        <v>https://drive.google.com/drive/folders/10T2cTQHqEJZqE-st6uFKPoI?usp=share_link</v>
      </c>
      <c r="P4172" s="6" t="str">
        <f>IFERROR(__xludf.DUMMYFUNCTION("""COMPUTED_VALUE"""),"Hanny G Gomez Cruz")</f>
        <v>Hanny G Gomez Cruz</v>
      </c>
      <c r="Q4172" s="6" t="str">
        <f>IFERROR(__xludf.DUMMYFUNCTION("""COMPUTED_VALUE"""),"L2")</f>
        <v>L2</v>
      </c>
      <c r="R4172" s="6">
        <f>IFERROR(__xludf.DUMMYFUNCTION("""COMPUTED_VALUE"""),2.0)</f>
        <v>2</v>
      </c>
      <c r="S4172" s="6" t="str">
        <f>IFERROR(__xludf.DUMMYFUNCTION("""COMPUTED_VALUE""")," ")</f>
        <v> </v>
      </c>
      <c r="T4172" s="6" t="str">
        <f>IFERROR(__xludf.DUMMYFUNCTION("""COMPUTED_VALUE"""),"")</f>
        <v/>
      </c>
      <c r="U4172" s="6" t="str">
        <f>IFERROR(__xludf.DUMMYFUNCTION("""COMPUTED_VALUE"""),"5")</f>
        <v>5</v>
      </c>
      <c r="V4172" s="6" t="str">
        <f>IFERROR(__xludf.DUMMYFUNCTION("""COMPUTED_VALUE"""),"")</f>
        <v/>
      </c>
      <c r="W4172" s="6" t="str">
        <f>IFERROR(__xludf.DUMMYFUNCTION("""COMPUTED_VALUE"""),"[]")</f>
        <v>[]</v>
      </c>
      <c r="X4172" s="6" t="str">
        <f>IFERROR(__xludf.DUMMYFUNCTION("""COMPUTED_VALUE"""),"Enrolled")</f>
        <v>Enrolled</v>
      </c>
    </row>
    <row r="4173">
      <c r="A4173" s="6" t="str">
        <f>IFERROR(__xludf.DUMMYFUNCTION("""COMPUTED_VALUE"""),"083-11460")</f>
        <v>083-11460</v>
      </c>
      <c r="B4173" s="6" t="str">
        <f>IFERROR(__xludf.DUMMYFUNCTION("""COMPUTED_VALUE"""),"83")</f>
        <v>83</v>
      </c>
      <c r="C4173" s="6" t="str">
        <f>IFERROR(__xludf.DUMMYFUNCTION("""COMPUTED_VALUE"""),"11460")</f>
        <v>11460</v>
      </c>
      <c r="D4173" s="6" t="str">
        <f>IFERROR(__xludf.DUMMYFUNCTION("""COMPUTED_VALUE"""),"Abdiel")</f>
        <v>Abdiel</v>
      </c>
      <c r="E4173" s="6" t="str">
        <f>IFERROR(__xludf.DUMMYFUNCTION("""COMPUTED_VALUE"""),"")</f>
        <v/>
      </c>
      <c r="F4173" s="6" t="str">
        <f>IFERROR(__xludf.DUMMYFUNCTION("""COMPUTED_VALUE"""),"Gonzalez Morales")</f>
        <v>Gonzalez Morales</v>
      </c>
      <c r="G4173" s="6" t="str">
        <f>IFERROR(__xludf.DUMMYFUNCTION("""COMPUTED_VALUE"""),"02/19/2015")</f>
        <v>02/19/2015</v>
      </c>
      <c r="H4173" s="6" t="str">
        <f>IFERROR(__xludf.DUMMYFUNCTION("""COMPUTED_VALUE"""),"male")</f>
        <v>male</v>
      </c>
      <c r="I4173" s="6" t="str">
        <f>IFERROR(__xludf.DUMMYFUNCTION("""COMPUTED_VALUE"""),"Level 2")</f>
        <v>Level 2</v>
      </c>
      <c r="J4173" s="6" t="str">
        <f>IFERROR(__xludf.DUMMYFUNCTION("""COMPUTED_VALUE"""),"5")</f>
        <v>5</v>
      </c>
      <c r="K4173" s="6" t="str">
        <f>IFERROR(__xludf.DUMMYFUNCTION("""COMPUTED_VALUE"""),"abdiel.gonzalezmorales@2hourlearning.com")</f>
        <v>abdiel.gonzalezmorales@2hourlearning.com</v>
      </c>
      <c r="L4173" s="6" t="str">
        <f>IFERROR(__xludf.DUMMYFUNCTION("""COMPUTED_VALUE"""),"JHES - Hardeeville Elementary School")</f>
        <v>JHES - Hardeeville Elementary School</v>
      </c>
      <c r="M4173" s="6" t="str">
        <f>IFERROR(__xludf.DUMMYFUNCTION("""COMPUTED_VALUE"""),"")</f>
        <v/>
      </c>
      <c r="N4173" s="6" t="str">
        <f>IFERROR(__xludf.DUMMYFUNCTION("""COMPUTED_VALUE"""),"")</f>
        <v/>
      </c>
      <c r="O4173" s="87" t="str">
        <f>IFERROR(__xludf.DUMMYFUNCTION("""COMPUTED_VALUE"""),"https://drive.google.com/drive/folders/10T2cTQHqEJZqE-st6uFKPoI?usp=share_link")</f>
        <v>https://drive.google.com/drive/folders/10T2cTQHqEJZqE-st6uFKPoI?usp=share_link</v>
      </c>
      <c r="P4173" s="6" t="str">
        <f>IFERROR(__xludf.DUMMYFUNCTION("""COMPUTED_VALUE"""),"Abdiel Gonzalez Morales")</f>
        <v>Abdiel Gonzalez Morales</v>
      </c>
      <c r="Q4173" s="6" t="str">
        <f>IFERROR(__xludf.DUMMYFUNCTION("""COMPUTED_VALUE"""),"L2")</f>
        <v>L2</v>
      </c>
      <c r="R4173" s="6">
        <f>IFERROR(__xludf.DUMMYFUNCTION("""COMPUTED_VALUE"""),2.0)</f>
        <v>2</v>
      </c>
      <c r="S4173" s="6" t="str">
        <f>IFERROR(__xludf.DUMMYFUNCTION("""COMPUTED_VALUE""")," ")</f>
        <v> </v>
      </c>
      <c r="T4173" s="6" t="str">
        <f>IFERROR(__xludf.DUMMYFUNCTION("""COMPUTED_VALUE"""),"")</f>
        <v/>
      </c>
      <c r="U4173" s="6" t="str">
        <f>IFERROR(__xludf.DUMMYFUNCTION("""COMPUTED_VALUE"""),"5")</f>
        <v>5</v>
      </c>
      <c r="V4173" s="6" t="str">
        <f>IFERROR(__xludf.DUMMYFUNCTION("""COMPUTED_VALUE"""),"")</f>
        <v/>
      </c>
      <c r="W4173" s="6" t="str">
        <f>IFERROR(__xludf.DUMMYFUNCTION("""COMPUTED_VALUE"""),"[]")</f>
        <v>[]</v>
      </c>
      <c r="X4173" s="6" t="str">
        <f>IFERROR(__xludf.DUMMYFUNCTION("""COMPUTED_VALUE"""),"Enrolled")</f>
        <v>Enrolled</v>
      </c>
    </row>
    <row r="4174">
      <c r="A4174" s="6" t="str">
        <f>IFERROR(__xludf.DUMMYFUNCTION("""COMPUTED_VALUE"""),"083-11461")</f>
        <v>083-11461</v>
      </c>
      <c r="B4174" s="6" t="str">
        <f>IFERROR(__xludf.DUMMYFUNCTION("""COMPUTED_VALUE"""),"83")</f>
        <v>83</v>
      </c>
      <c r="C4174" s="6" t="str">
        <f>IFERROR(__xludf.DUMMYFUNCTION("""COMPUTED_VALUE"""),"11461")</f>
        <v>11461</v>
      </c>
      <c r="D4174" s="6" t="str">
        <f>IFERROR(__xludf.DUMMYFUNCTION("""COMPUTED_VALUE"""),"Stephen")</f>
        <v>Stephen</v>
      </c>
      <c r="E4174" s="6" t="str">
        <f>IFERROR(__xludf.DUMMYFUNCTION("""COMPUTED_VALUE"""),"")</f>
        <v/>
      </c>
      <c r="F4174" s="6" t="str">
        <f>IFERROR(__xludf.DUMMYFUNCTION("""COMPUTED_VALUE"""),"Hernandez")</f>
        <v>Hernandez</v>
      </c>
      <c r="G4174" s="6" t="str">
        <f>IFERROR(__xludf.DUMMYFUNCTION("""COMPUTED_VALUE"""),"12/12/2014")</f>
        <v>12/12/2014</v>
      </c>
      <c r="H4174" s="6" t="str">
        <f>IFERROR(__xludf.DUMMYFUNCTION("""COMPUTED_VALUE"""),"male")</f>
        <v>male</v>
      </c>
      <c r="I4174" s="6" t="str">
        <f>IFERROR(__xludf.DUMMYFUNCTION("""COMPUTED_VALUE"""),"Level 2")</f>
        <v>Level 2</v>
      </c>
      <c r="J4174" s="6" t="str">
        <f>IFERROR(__xludf.DUMMYFUNCTION("""COMPUTED_VALUE"""),"5")</f>
        <v>5</v>
      </c>
      <c r="K4174" s="6" t="str">
        <f>IFERROR(__xludf.DUMMYFUNCTION("""COMPUTED_VALUE"""),"stephen.hernandez@2hourlearning.com")</f>
        <v>stephen.hernandez@2hourlearning.com</v>
      </c>
      <c r="L4174" s="6" t="str">
        <f>IFERROR(__xludf.DUMMYFUNCTION("""COMPUTED_VALUE"""),"JHES - Hardeeville Elementary School")</f>
        <v>JHES - Hardeeville Elementary School</v>
      </c>
      <c r="M4174" s="6" t="str">
        <f>IFERROR(__xludf.DUMMYFUNCTION("""COMPUTED_VALUE"""),"")</f>
        <v/>
      </c>
      <c r="N4174" s="6" t="str">
        <f>IFERROR(__xludf.DUMMYFUNCTION("""COMPUTED_VALUE"""),"")</f>
        <v/>
      </c>
      <c r="O4174" s="87" t="str">
        <f>IFERROR(__xludf.DUMMYFUNCTION("""COMPUTED_VALUE"""),"https://drive.google.com/drive/folders/10T2cTQHqEJZqE-st6uFKPoI?usp=share_link")</f>
        <v>https://drive.google.com/drive/folders/10T2cTQHqEJZqE-st6uFKPoI?usp=share_link</v>
      </c>
      <c r="P4174" s="6" t="str">
        <f>IFERROR(__xludf.DUMMYFUNCTION("""COMPUTED_VALUE"""),"Stephen Hernandez")</f>
        <v>Stephen Hernandez</v>
      </c>
      <c r="Q4174" s="6" t="str">
        <f>IFERROR(__xludf.DUMMYFUNCTION("""COMPUTED_VALUE"""),"L2")</f>
        <v>L2</v>
      </c>
      <c r="R4174" s="6">
        <f>IFERROR(__xludf.DUMMYFUNCTION("""COMPUTED_VALUE"""),2.0)</f>
        <v>2</v>
      </c>
      <c r="S4174" s="6" t="str">
        <f>IFERROR(__xludf.DUMMYFUNCTION("""COMPUTED_VALUE""")," ")</f>
        <v> </v>
      </c>
      <c r="T4174" s="6" t="str">
        <f>IFERROR(__xludf.DUMMYFUNCTION("""COMPUTED_VALUE"""),"")</f>
        <v/>
      </c>
      <c r="U4174" s="6" t="str">
        <f>IFERROR(__xludf.DUMMYFUNCTION("""COMPUTED_VALUE"""),"5")</f>
        <v>5</v>
      </c>
      <c r="V4174" s="6" t="str">
        <f>IFERROR(__xludf.DUMMYFUNCTION("""COMPUTED_VALUE"""),"")</f>
        <v/>
      </c>
      <c r="W4174" s="6" t="str">
        <f>IFERROR(__xludf.DUMMYFUNCTION("""COMPUTED_VALUE"""),"[]")</f>
        <v>[]</v>
      </c>
      <c r="X4174" s="6" t="str">
        <f>IFERROR(__xludf.DUMMYFUNCTION("""COMPUTED_VALUE"""),"Enrolled")</f>
        <v>Enrolled</v>
      </c>
    </row>
    <row r="4175">
      <c r="A4175" s="6" t="str">
        <f>IFERROR(__xludf.DUMMYFUNCTION("""COMPUTED_VALUE"""),"083-11462")</f>
        <v>083-11462</v>
      </c>
      <c r="B4175" s="6" t="str">
        <f>IFERROR(__xludf.DUMMYFUNCTION("""COMPUTED_VALUE"""),"83")</f>
        <v>83</v>
      </c>
      <c r="C4175" s="6" t="str">
        <f>IFERROR(__xludf.DUMMYFUNCTION("""COMPUTED_VALUE"""),"11462")</f>
        <v>11462</v>
      </c>
      <c r="D4175" s="6" t="str">
        <f>IFERROR(__xludf.DUMMYFUNCTION("""COMPUTED_VALUE"""),"Fredy R")</f>
        <v>Fredy R</v>
      </c>
      <c r="E4175" s="6" t="str">
        <f>IFERROR(__xludf.DUMMYFUNCTION("""COMPUTED_VALUE"""),"")</f>
        <v/>
      </c>
      <c r="F4175" s="6" t="str">
        <f>IFERROR(__xludf.DUMMYFUNCTION("""COMPUTED_VALUE"""),"Leyva Jimenez")</f>
        <v>Leyva Jimenez</v>
      </c>
      <c r="G4175" s="6" t="str">
        <f>IFERROR(__xludf.DUMMYFUNCTION("""COMPUTED_VALUE"""),"12/01/2014")</f>
        <v>12/01/2014</v>
      </c>
      <c r="H4175" s="6" t="str">
        <f>IFERROR(__xludf.DUMMYFUNCTION("""COMPUTED_VALUE"""),"male")</f>
        <v>male</v>
      </c>
      <c r="I4175" s="6" t="str">
        <f>IFERROR(__xludf.DUMMYFUNCTION("""COMPUTED_VALUE"""),"Level 2")</f>
        <v>Level 2</v>
      </c>
      <c r="J4175" s="6" t="str">
        <f>IFERROR(__xludf.DUMMYFUNCTION("""COMPUTED_VALUE"""),"5")</f>
        <v>5</v>
      </c>
      <c r="K4175" s="6" t="str">
        <f>IFERROR(__xludf.DUMMYFUNCTION("""COMPUTED_VALUE"""),"fredyr.leyvajimenez@2hourlearning.com")</f>
        <v>fredyr.leyvajimenez@2hourlearning.com</v>
      </c>
      <c r="L4175" s="6" t="str">
        <f>IFERROR(__xludf.DUMMYFUNCTION("""COMPUTED_VALUE"""),"JHES - Hardeeville Elementary School")</f>
        <v>JHES - Hardeeville Elementary School</v>
      </c>
      <c r="M4175" s="6" t="str">
        <f>IFERROR(__xludf.DUMMYFUNCTION("""COMPUTED_VALUE"""),"")</f>
        <v/>
      </c>
      <c r="N4175" s="6" t="str">
        <f>IFERROR(__xludf.DUMMYFUNCTION("""COMPUTED_VALUE"""),"")</f>
        <v/>
      </c>
      <c r="O4175" s="87" t="str">
        <f>IFERROR(__xludf.DUMMYFUNCTION("""COMPUTED_VALUE"""),"https://drive.google.com/drive/folders/10T2cTQHqEJZqE-st6uFKPoI?usp=share_link")</f>
        <v>https://drive.google.com/drive/folders/10T2cTQHqEJZqE-st6uFKPoI?usp=share_link</v>
      </c>
      <c r="P4175" s="6" t="str">
        <f>IFERROR(__xludf.DUMMYFUNCTION("""COMPUTED_VALUE"""),"Fredy R Leyva Jimenez")</f>
        <v>Fredy R Leyva Jimenez</v>
      </c>
      <c r="Q4175" s="6" t="str">
        <f>IFERROR(__xludf.DUMMYFUNCTION("""COMPUTED_VALUE"""),"L2")</f>
        <v>L2</v>
      </c>
      <c r="R4175" s="6">
        <f>IFERROR(__xludf.DUMMYFUNCTION("""COMPUTED_VALUE"""),2.0)</f>
        <v>2</v>
      </c>
      <c r="S4175" s="6" t="str">
        <f>IFERROR(__xludf.DUMMYFUNCTION("""COMPUTED_VALUE""")," ")</f>
        <v> </v>
      </c>
      <c r="T4175" s="6" t="str">
        <f>IFERROR(__xludf.DUMMYFUNCTION("""COMPUTED_VALUE"""),"")</f>
        <v/>
      </c>
      <c r="U4175" s="6" t="str">
        <f>IFERROR(__xludf.DUMMYFUNCTION("""COMPUTED_VALUE"""),"5")</f>
        <v>5</v>
      </c>
      <c r="V4175" s="6" t="str">
        <f>IFERROR(__xludf.DUMMYFUNCTION("""COMPUTED_VALUE"""),"")</f>
        <v/>
      </c>
      <c r="W4175" s="6" t="str">
        <f>IFERROR(__xludf.DUMMYFUNCTION("""COMPUTED_VALUE"""),"[]")</f>
        <v>[]</v>
      </c>
      <c r="X4175" s="6" t="str">
        <f>IFERROR(__xludf.DUMMYFUNCTION("""COMPUTED_VALUE"""),"Enrolled")</f>
        <v>Enrolled</v>
      </c>
    </row>
    <row r="4176">
      <c r="A4176" s="6" t="str">
        <f>IFERROR(__xludf.DUMMYFUNCTION("""COMPUTED_VALUE"""),"083-11463")</f>
        <v>083-11463</v>
      </c>
      <c r="B4176" s="6" t="str">
        <f>IFERROR(__xludf.DUMMYFUNCTION("""COMPUTED_VALUE"""),"83")</f>
        <v>83</v>
      </c>
      <c r="C4176" s="6" t="str">
        <f>IFERROR(__xludf.DUMMYFUNCTION("""COMPUTED_VALUE"""),"11463")</f>
        <v>11463</v>
      </c>
      <c r="D4176" s="6" t="str">
        <f>IFERROR(__xludf.DUMMYFUNCTION("""COMPUTED_VALUE"""),"Jayden Zane")</f>
        <v>Jayden Zane</v>
      </c>
      <c r="E4176" s="6" t="str">
        <f>IFERROR(__xludf.DUMMYFUNCTION("""COMPUTED_VALUE"""),"")</f>
        <v/>
      </c>
      <c r="F4176" s="6" t="str">
        <f>IFERROR(__xludf.DUMMYFUNCTION("""COMPUTED_VALUE"""),"Lincoln")</f>
        <v>Lincoln</v>
      </c>
      <c r="G4176" s="6" t="str">
        <f>IFERROR(__xludf.DUMMYFUNCTION("""COMPUTED_VALUE"""),"11/21/2014")</f>
        <v>11/21/2014</v>
      </c>
      <c r="H4176" s="6" t="str">
        <f>IFERROR(__xludf.DUMMYFUNCTION("""COMPUTED_VALUE"""),"male")</f>
        <v>male</v>
      </c>
      <c r="I4176" s="6" t="str">
        <f>IFERROR(__xludf.DUMMYFUNCTION("""COMPUTED_VALUE"""),"Level 2")</f>
        <v>Level 2</v>
      </c>
      <c r="J4176" s="6" t="str">
        <f>IFERROR(__xludf.DUMMYFUNCTION("""COMPUTED_VALUE"""),"5")</f>
        <v>5</v>
      </c>
      <c r="K4176" s="6" t="str">
        <f>IFERROR(__xludf.DUMMYFUNCTION("""COMPUTED_VALUE"""),"jaydenzane.lincoln@2hourlearning.com")</f>
        <v>jaydenzane.lincoln@2hourlearning.com</v>
      </c>
      <c r="L4176" s="6" t="str">
        <f>IFERROR(__xludf.DUMMYFUNCTION("""COMPUTED_VALUE"""),"JHES - Hardeeville Elementary School")</f>
        <v>JHES - Hardeeville Elementary School</v>
      </c>
      <c r="M4176" s="6" t="str">
        <f>IFERROR(__xludf.DUMMYFUNCTION("""COMPUTED_VALUE"""),"")</f>
        <v/>
      </c>
      <c r="N4176" s="6" t="str">
        <f>IFERROR(__xludf.DUMMYFUNCTION("""COMPUTED_VALUE"""),"")</f>
        <v/>
      </c>
      <c r="O4176" s="87" t="str">
        <f>IFERROR(__xludf.DUMMYFUNCTION("""COMPUTED_VALUE"""),"https://drive.google.com/drive/folders/10T2cTQHqEJZqE-st6uFKPoI?usp=share_link")</f>
        <v>https://drive.google.com/drive/folders/10T2cTQHqEJZqE-st6uFKPoI?usp=share_link</v>
      </c>
      <c r="P4176" s="6" t="str">
        <f>IFERROR(__xludf.DUMMYFUNCTION("""COMPUTED_VALUE"""),"Jayden Zane Lincoln")</f>
        <v>Jayden Zane Lincoln</v>
      </c>
      <c r="Q4176" s="6" t="str">
        <f>IFERROR(__xludf.DUMMYFUNCTION("""COMPUTED_VALUE"""),"L2")</f>
        <v>L2</v>
      </c>
      <c r="R4176" s="6">
        <f>IFERROR(__xludf.DUMMYFUNCTION("""COMPUTED_VALUE"""),2.0)</f>
        <v>2</v>
      </c>
      <c r="S4176" s="6" t="str">
        <f>IFERROR(__xludf.DUMMYFUNCTION("""COMPUTED_VALUE""")," ")</f>
        <v> </v>
      </c>
      <c r="T4176" s="6" t="str">
        <f>IFERROR(__xludf.DUMMYFUNCTION("""COMPUTED_VALUE"""),"")</f>
        <v/>
      </c>
      <c r="U4176" s="6" t="str">
        <f>IFERROR(__xludf.DUMMYFUNCTION("""COMPUTED_VALUE"""),"5")</f>
        <v>5</v>
      </c>
      <c r="V4176" s="6" t="str">
        <f>IFERROR(__xludf.DUMMYFUNCTION("""COMPUTED_VALUE"""),"")</f>
        <v/>
      </c>
      <c r="W4176" s="6" t="str">
        <f>IFERROR(__xludf.DUMMYFUNCTION("""COMPUTED_VALUE"""),"[]")</f>
        <v>[]</v>
      </c>
      <c r="X4176" s="6" t="str">
        <f>IFERROR(__xludf.DUMMYFUNCTION("""COMPUTED_VALUE"""),"Enrolled")</f>
        <v>Enrolled</v>
      </c>
    </row>
    <row r="4177">
      <c r="A4177" s="6" t="str">
        <f>IFERROR(__xludf.DUMMYFUNCTION("""COMPUTED_VALUE"""),"083-11464")</f>
        <v>083-11464</v>
      </c>
      <c r="B4177" s="6" t="str">
        <f>IFERROR(__xludf.DUMMYFUNCTION("""COMPUTED_VALUE"""),"83")</f>
        <v>83</v>
      </c>
      <c r="C4177" s="6" t="str">
        <f>IFERROR(__xludf.DUMMYFUNCTION("""COMPUTED_VALUE"""),"11464")</f>
        <v>11464</v>
      </c>
      <c r="D4177" s="6" t="str">
        <f>IFERROR(__xludf.DUMMYFUNCTION("""COMPUTED_VALUE"""),"Alondra")</f>
        <v>Alondra</v>
      </c>
      <c r="E4177" s="6" t="str">
        <f>IFERROR(__xludf.DUMMYFUNCTION("""COMPUTED_VALUE"""),"")</f>
        <v/>
      </c>
      <c r="F4177" s="6" t="str">
        <f>IFERROR(__xludf.DUMMYFUNCTION("""COMPUTED_VALUE"""),"Lopez Zuniga")</f>
        <v>Lopez Zuniga</v>
      </c>
      <c r="G4177" s="6" t="str">
        <f>IFERROR(__xludf.DUMMYFUNCTION("""COMPUTED_VALUE"""),"07/26/2015")</f>
        <v>07/26/2015</v>
      </c>
      <c r="H4177" s="6" t="str">
        <f>IFERROR(__xludf.DUMMYFUNCTION("""COMPUTED_VALUE"""),"female")</f>
        <v>female</v>
      </c>
      <c r="I4177" s="6" t="str">
        <f>IFERROR(__xludf.DUMMYFUNCTION("""COMPUTED_VALUE"""),"Level 2")</f>
        <v>Level 2</v>
      </c>
      <c r="J4177" s="6" t="str">
        <f>IFERROR(__xludf.DUMMYFUNCTION("""COMPUTED_VALUE"""),"5")</f>
        <v>5</v>
      </c>
      <c r="K4177" s="6" t="str">
        <f>IFERROR(__xludf.DUMMYFUNCTION("""COMPUTED_VALUE"""),"alondra.lopezzuniga@2hourlearning.com")</f>
        <v>alondra.lopezzuniga@2hourlearning.com</v>
      </c>
      <c r="L4177" s="6" t="str">
        <f>IFERROR(__xludf.DUMMYFUNCTION("""COMPUTED_VALUE"""),"JHES - Hardeeville Elementary School")</f>
        <v>JHES - Hardeeville Elementary School</v>
      </c>
      <c r="M4177" s="6" t="str">
        <f>IFERROR(__xludf.DUMMYFUNCTION("""COMPUTED_VALUE"""),"")</f>
        <v/>
      </c>
      <c r="N4177" s="6" t="str">
        <f>IFERROR(__xludf.DUMMYFUNCTION("""COMPUTED_VALUE"""),"")</f>
        <v/>
      </c>
      <c r="O4177" s="87" t="str">
        <f>IFERROR(__xludf.DUMMYFUNCTION("""COMPUTED_VALUE"""),"https://drive.google.com/drive/folders/10T2cTQHqEJZqE-st6uFKPoI?usp=share_link")</f>
        <v>https://drive.google.com/drive/folders/10T2cTQHqEJZqE-st6uFKPoI?usp=share_link</v>
      </c>
      <c r="P4177" s="6" t="str">
        <f>IFERROR(__xludf.DUMMYFUNCTION("""COMPUTED_VALUE"""),"Alondra Lopez Zuniga")</f>
        <v>Alondra Lopez Zuniga</v>
      </c>
      <c r="Q4177" s="6" t="str">
        <f>IFERROR(__xludf.DUMMYFUNCTION("""COMPUTED_VALUE"""),"L2")</f>
        <v>L2</v>
      </c>
      <c r="R4177" s="6">
        <f>IFERROR(__xludf.DUMMYFUNCTION("""COMPUTED_VALUE"""),2.0)</f>
        <v>2</v>
      </c>
      <c r="S4177" s="6" t="str">
        <f>IFERROR(__xludf.DUMMYFUNCTION("""COMPUTED_VALUE""")," ")</f>
        <v> </v>
      </c>
      <c r="T4177" s="6" t="str">
        <f>IFERROR(__xludf.DUMMYFUNCTION("""COMPUTED_VALUE"""),"")</f>
        <v/>
      </c>
      <c r="U4177" s="6" t="str">
        <f>IFERROR(__xludf.DUMMYFUNCTION("""COMPUTED_VALUE"""),"5")</f>
        <v>5</v>
      </c>
      <c r="V4177" s="6" t="str">
        <f>IFERROR(__xludf.DUMMYFUNCTION("""COMPUTED_VALUE"""),"")</f>
        <v/>
      </c>
      <c r="W4177" s="6" t="str">
        <f>IFERROR(__xludf.DUMMYFUNCTION("""COMPUTED_VALUE"""),"[]")</f>
        <v>[]</v>
      </c>
      <c r="X4177" s="6" t="str">
        <f>IFERROR(__xludf.DUMMYFUNCTION("""COMPUTED_VALUE"""),"Enrolled")</f>
        <v>Enrolled</v>
      </c>
    </row>
    <row r="4178">
      <c r="A4178" s="6" t="str">
        <f>IFERROR(__xludf.DUMMYFUNCTION("""COMPUTED_VALUE"""),"083-11465")</f>
        <v>083-11465</v>
      </c>
      <c r="B4178" s="6" t="str">
        <f>IFERROR(__xludf.DUMMYFUNCTION("""COMPUTED_VALUE"""),"83")</f>
        <v>83</v>
      </c>
      <c r="C4178" s="6" t="str">
        <f>IFERROR(__xludf.DUMMYFUNCTION("""COMPUTED_VALUE"""),"11465")</f>
        <v>11465</v>
      </c>
      <c r="D4178" s="6" t="str">
        <f>IFERROR(__xludf.DUMMYFUNCTION("""COMPUTED_VALUE"""),"Cesia L")</f>
        <v>Cesia L</v>
      </c>
      <c r="E4178" s="6" t="str">
        <f>IFERROR(__xludf.DUMMYFUNCTION("""COMPUTED_VALUE"""),"")</f>
        <v/>
      </c>
      <c r="F4178" s="6" t="str">
        <f>IFERROR(__xludf.DUMMYFUNCTION("""COMPUTED_VALUE"""),"Macklin Cruz")</f>
        <v>Macklin Cruz</v>
      </c>
      <c r="G4178" s="6" t="str">
        <f>IFERROR(__xludf.DUMMYFUNCTION("""COMPUTED_VALUE"""),"02/08/2015")</f>
        <v>02/08/2015</v>
      </c>
      <c r="H4178" s="6" t="str">
        <f>IFERROR(__xludf.DUMMYFUNCTION("""COMPUTED_VALUE"""),"female")</f>
        <v>female</v>
      </c>
      <c r="I4178" s="6" t="str">
        <f>IFERROR(__xludf.DUMMYFUNCTION("""COMPUTED_VALUE"""),"Level 2")</f>
        <v>Level 2</v>
      </c>
      <c r="J4178" s="6" t="str">
        <f>IFERROR(__xludf.DUMMYFUNCTION("""COMPUTED_VALUE"""),"5")</f>
        <v>5</v>
      </c>
      <c r="K4178" s="6" t="str">
        <f>IFERROR(__xludf.DUMMYFUNCTION("""COMPUTED_VALUE"""),"cesial.macklincruz@2hourlearning.com")</f>
        <v>cesial.macklincruz@2hourlearning.com</v>
      </c>
      <c r="L4178" s="6" t="str">
        <f>IFERROR(__xludf.DUMMYFUNCTION("""COMPUTED_VALUE"""),"JHES - Hardeeville Elementary School")</f>
        <v>JHES - Hardeeville Elementary School</v>
      </c>
      <c r="M4178" s="6" t="str">
        <f>IFERROR(__xludf.DUMMYFUNCTION("""COMPUTED_VALUE"""),"")</f>
        <v/>
      </c>
      <c r="N4178" s="6" t="str">
        <f>IFERROR(__xludf.DUMMYFUNCTION("""COMPUTED_VALUE"""),"")</f>
        <v/>
      </c>
      <c r="O4178" s="87" t="str">
        <f>IFERROR(__xludf.DUMMYFUNCTION("""COMPUTED_VALUE"""),"https://drive.google.com/drive/folders/10T2cTQHqEJZqE-st6uFKPoI?usp=share_link")</f>
        <v>https://drive.google.com/drive/folders/10T2cTQHqEJZqE-st6uFKPoI?usp=share_link</v>
      </c>
      <c r="P4178" s="6" t="str">
        <f>IFERROR(__xludf.DUMMYFUNCTION("""COMPUTED_VALUE"""),"Cesia L Macklin Cruz")</f>
        <v>Cesia L Macklin Cruz</v>
      </c>
      <c r="Q4178" s="6" t="str">
        <f>IFERROR(__xludf.DUMMYFUNCTION("""COMPUTED_VALUE"""),"L2")</f>
        <v>L2</v>
      </c>
      <c r="R4178" s="6">
        <f>IFERROR(__xludf.DUMMYFUNCTION("""COMPUTED_VALUE"""),2.0)</f>
        <v>2</v>
      </c>
      <c r="S4178" s="6" t="str">
        <f>IFERROR(__xludf.DUMMYFUNCTION("""COMPUTED_VALUE""")," ")</f>
        <v> </v>
      </c>
      <c r="T4178" s="6" t="str">
        <f>IFERROR(__xludf.DUMMYFUNCTION("""COMPUTED_VALUE"""),"")</f>
        <v/>
      </c>
      <c r="U4178" s="6" t="str">
        <f>IFERROR(__xludf.DUMMYFUNCTION("""COMPUTED_VALUE"""),"5")</f>
        <v>5</v>
      </c>
      <c r="V4178" s="6" t="str">
        <f>IFERROR(__xludf.DUMMYFUNCTION("""COMPUTED_VALUE"""),"")</f>
        <v/>
      </c>
      <c r="W4178" s="6" t="str">
        <f>IFERROR(__xludf.DUMMYFUNCTION("""COMPUTED_VALUE"""),"[]")</f>
        <v>[]</v>
      </c>
      <c r="X4178" s="6" t="str">
        <f>IFERROR(__xludf.DUMMYFUNCTION("""COMPUTED_VALUE"""),"Enrolled")</f>
        <v>Enrolled</v>
      </c>
    </row>
    <row r="4179">
      <c r="A4179" s="6" t="str">
        <f>IFERROR(__xludf.DUMMYFUNCTION("""COMPUTED_VALUE"""),"083-11466")</f>
        <v>083-11466</v>
      </c>
      <c r="B4179" s="6" t="str">
        <f>IFERROR(__xludf.DUMMYFUNCTION("""COMPUTED_VALUE"""),"83")</f>
        <v>83</v>
      </c>
      <c r="C4179" s="6" t="str">
        <f>IFERROR(__xludf.DUMMYFUNCTION("""COMPUTED_VALUE"""),"11466")</f>
        <v>11466</v>
      </c>
      <c r="D4179" s="6" t="str">
        <f>IFERROR(__xludf.DUMMYFUNCTION("""COMPUTED_VALUE"""),"Aubrielle")</f>
        <v>Aubrielle</v>
      </c>
      <c r="E4179" s="6" t="str">
        <f>IFERROR(__xludf.DUMMYFUNCTION("""COMPUTED_VALUE"""),"")</f>
        <v/>
      </c>
      <c r="F4179" s="6" t="str">
        <f>IFERROR(__xludf.DUMMYFUNCTION("""COMPUTED_VALUE"""),"Marchildon")</f>
        <v>Marchildon</v>
      </c>
      <c r="G4179" s="6" t="str">
        <f>IFERROR(__xludf.DUMMYFUNCTION("""COMPUTED_VALUE"""),"04/23/2015")</f>
        <v>04/23/2015</v>
      </c>
      <c r="H4179" s="6" t="str">
        <f>IFERROR(__xludf.DUMMYFUNCTION("""COMPUTED_VALUE"""),"female")</f>
        <v>female</v>
      </c>
      <c r="I4179" s="6" t="str">
        <f>IFERROR(__xludf.DUMMYFUNCTION("""COMPUTED_VALUE"""),"Level 2")</f>
        <v>Level 2</v>
      </c>
      <c r="J4179" s="6" t="str">
        <f>IFERROR(__xludf.DUMMYFUNCTION("""COMPUTED_VALUE"""),"5")</f>
        <v>5</v>
      </c>
      <c r="K4179" s="6" t="str">
        <f>IFERROR(__xludf.DUMMYFUNCTION("""COMPUTED_VALUE"""),"aubrielle.marchildon@2hourlearning.com")</f>
        <v>aubrielle.marchildon@2hourlearning.com</v>
      </c>
      <c r="L4179" s="6" t="str">
        <f>IFERROR(__xludf.DUMMYFUNCTION("""COMPUTED_VALUE"""),"JHES - Hardeeville Elementary School")</f>
        <v>JHES - Hardeeville Elementary School</v>
      </c>
      <c r="M4179" s="6" t="str">
        <f>IFERROR(__xludf.DUMMYFUNCTION("""COMPUTED_VALUE"""),"")</f>
        <v/>
      </c>
      <c r="N4179" s="6" t="str">
        <f>IFERROR(__xludf.DUMMYFUNCTION("""COMPUTED_VALUE"""),"")</f>
        <v/>
      </c>
      <c r="O4179" s="87" t="str">
        <f>IFERROR(__xludf.DUMMYFUNCTION("""COMPUTED_VALUE"""),"https://drive.google.com/drive/folders/10T2cTQHqEJZqE-st6uFKPoI?usp=share_link")</f>
        <v>https://drive.google.com/drive/folders/10T2cTQHqEJZqE-st6uFKPoI?usp=share_link</v>
      </c>
      <c r="P4179" s="6" t="str">
        <f>IFERROR(__xludf.DUMMYFUNCTION("""COMPUTED_VALUE"""),"Aubrielle Marchildon")</f>
        <v>Aubrielle Marchildon</v>
      </c>
      <c r="Q4179" s="6" t="str">
        <f>IFERROR(__xludf.DUMMYFUNCTION("""COMPUTED_VALUE"""),"L2")</f>
        <v>L2</v>
      </c>
      <c r="R4179" s="6">
        <f>IFERROR(__xludf.DUMMYFUNCTION("""COMPUTED_VALUE"""),2.0)</f>
        <v>2</v>
      </c>
      <c r="S4179" s="6" t="str">
        <f>IFERROR(__xludf.DUMMYFUNCTION("""COMPUTED_VALUE""")," ")</f>
        <v> </v>
      </c>
      <c r="T4179" s="6" t="str">
        <f>IFERROR(__xludf.DUMMYFUNCTION("""COMPUTED_VALUE"""),"")</f>
        <v/>
      </c>
      <c r="U4179" s="6" t="str">
        <f>IFERROR(__xludf.DUMMYFUNCTION("""COMPUTED_VALUE"""),"5")</f>
        <v>5</v>
      </c>
      <c r="V4179" s="6" t="str">
        <f>IFERROR(__xludf.DUMMYFUNCTION("""COMPUTED_VALUE"""),"")</f>
        <v/>
      </c>
      <c r="W4179" s="6" t="str">
        <f>IFERROR(__xludf.DUMMYFUNCTION("""COMPUTED_VALUE"""),"[]")</f>
        <v>[]</v>
      </c>
      <c r="X4179" s="6" t="str">
        <f>IFERROR(__xludf.DUMMYFUNCTION("""COMPUTED_VALUE"""),"Enrolled")</f>
        <v>Enrolled</v>
      </c>
    </row>
    <row r="4180">
      <c r="A4180" s="6" t="str">
        <f>IFERROR(__xludf.DUMMYFUNCTION("""COMPUTED_VALUE"""),"083-11467")</f>
        <v>083-11467</v>
      </c>
      <c r="B4180" s="6" t="str">
        <f>IFERROR(__xludf.DUMMYFUNCTION("""COMPUTED_VALUE"""),"83")</f>
        <v>83</v>
      </c>
      <c r="C4180" s="6" t="str">
        <f>IFERROR(__xludf.DUMMYFUNCTION("""COMPUTED_VALUE"""),"11467")</f>
        <v>11467</v>
      </c>
      <c r="D4180" s="6" t="str">
        <f>IFERROR(__xludf.DUMMYFUNCTION("""COMPUTED_VALUE"""),"Jason A")</f>
        <v>Jason A</v>
      </c>
      <c r="E4180" s="6" t="str">
        <f>IFERROR(__xludf.DUMMYFUNCTION("""COMPUTED_VALUE"""),"")</f>
        <v/>
      </c>
      <c r="F4180" s="6" t="str">
        <f>IFERROR(__xludf.DUMMYFUNCTION("""COMPUTED_VALUE"""),"Morales Morales")</f>
        <v>Morales Morales</v>
      </c>
      <c r="G4180" s="6" t="str">
        <f>IFERROR(__xludf.DUMMYFUNCTION("""COMPUTED_VALUE"""),"02/08/2015")</f>
        <v>02/08/2015</v>
      </c>
      <c r="H4180" s="6" t="str">
        <f>IFERROR(__xludf.DUMMYFUNCTION("""COMPUTED_VALUE"""),"male")</f>
        <v>male</v>
      </c>
      <c r="I4180" s="6" t="str">
        <f>IFERROR(__xludf.DUMMYFUNCTION("""COMPUTED_VALUE"""),"Level 2")</f>
        <v>Level 2</v>
      </c>
      <c r="J4180" s="6" t="str">
        <f>IFERROR(__xludf.DUMMYFUNCTION("""COMPUTED_VALUE"""),"5")</f>
        <v>5</v>
      </c>
      <c r="K4180" s="6" t="str">
        <f>IFERROR(__xludf.DUMMYFUNCTION("""COMPUTED_VALUE"""),"jasona.moralesmorales@2hourlearning.com")</f>
        <v>jasona.moralesmorales@2hourlearning.com</v>
      </c>
      <c r="L4180" s="6" t="str">
        <f>IFERROR(__xludf.DUMMYFUNCTION("""COMPUTED_VALUE"""),"JHES - Hardeeville Elementary School")</f>
        <v>JHES - Hardeeville Elementary School</v>
      </c>
      <c r="M4180" s="6" t="str">
        <f>IFERROR(__xludf.DUMMYFUNCTION("""COMPUTED_VALUE"""),"")</f>
        <v/>
      </c>
      <c r="N4180" s="6" t="str">
        <f>IFERROR(__xludf.DUMMYFUNCTION("""COMPUTED_VALUE"""),"")</f>
        <v/>
      </c>
      <c r="O4180" s="87" t="str">
        <f>IFERROR(__xludf.DUMMYFUNCTION("""COMPUTED_VALUE"""),"https://drive.google.com/drive/folders/10T2cTQHqEJZqE-st6uFKPoI?usp=share_link")</f>
        <v>https://drive.google.com/drive/folders/10T2cTQHqEJZqE-st6uFKPoI?usp=share_link</v>
      </c>
      <c r="P4180" s="6" t="str">
        <f>IFERROR(__xludf.DUMMYFUNCTION("""COMPUTED_VALUE"""),"Jason A Morales Morales")</f>
        <v>Jason A Morales Morales</v>
      </c>
      <c r="Q4180" s="6" t="str">
        <f>IFERROR(__xludf.DUMMYFUNCTION("""COMPUTED_VALUE"""),"L2")</f>
        <v>L2</v>
      </c>
      <c r="R4180" s="6">
        <f>IFERROR(__xludf.DUMMYFUNCTION("""COMPUTED_VALUE"""),2.0)</f>
        <v>2</v>
      </c>
      <c r="S4180" s="6" t="str">
        <f>IFERROR(__xludf.DUMMYFUNCTION("""COMPUTED_VALUE""")," ")</f>
        <v> </v>
      </c>
      <c r="T4180" s="6" t="str">
        <f>IFERROR(__xludf.DUMMYFUNCTION("""COMPUTED_VALUE"""),"")</f>
        <v/>
      </c>
      <c r="U4180" s="6" t="str">
        <f>IFERROR(__xludf.DUMMYFUNCTION("""COMPUTED_VALUE"""),"5")</f>
        <v>5</v>
      </c>
      <c r="V4180" s="6" t="str">
        <f>IFERROR(__xludf.DUMMYFUNCTION("""COMPUTED_VALUE"""),"")</f>
        <v/>
      </c>
      <c r="W4180" s="6" t="str">
        <f>IFERROR(__xludf.DUMMYFUNCTION("""COMPUTED_VALUE"""),"[]")</f>
        <v>[]</v>
      </c>
      <c r="X4180" s="6" t="str">
        <f>IFERROR(__xludf.DUMMYFUNCTION("""COMPUTED_VALUE"""),"Enrolled")</f>
        <v>Enrolled</v>
      </c>
    </row>
    <row r="4181">
      <c r="A4181" s="6" t="str">
        <f>IFERROR(__xludf.DUMMYFUNCTION("""COMPUTED_VALUE"""),"083-11468")</f>
        <v>083-11468</v>
      </c>
      <c r="B4181" s="6" t="str">
        <f>IFERROR(__xludf.DUMMYFUNCTION("""COMPUTED_VALUE"""),"83")</f>
        <v>83</v>
      </c>
      <c r="C4181" s="6" t="str">
        <f>IFERROR(__xludf.DUMMYFUNCTION("""COMPUTED_VALUE"""),"11468")</f>
        <v>11468</v>
      </c>
      <c r="D4181" s="6" t="str">
        <f>IFERROR(__xludf.DUMMYFUNCTION("""COMPUTED_VALUE"""),"Cristhoper A")</f>
        <v>Cristhoper A</v>
      </c>
      <c r="E4181" s="6" t="str">
        <f>IFERROR(__xludf.DUMMYFUNCTION("""COMPUTED_VALUE"""),"")</f>
        <v/>
      </c>
      <c r="F4181" s="6" t="str">
        <f>IFERROR(__xludf.DUMMYFUNCTION("""COMPUTED_VALUE"""),"Murillo Solares")</f>
        <v>Murillo Solares</v>
      </c>
      <c r="G4181" s="6" t="str">
        <f>IFERROR(__xludf.DUMMYFUNCTION("""COMPUTED_VALUE"""),"09/09/2013")</f>
        <v>09/09/2013</v>
      </c>
      <c r="H4181" s="6" t="str">
        <f>IFERROR(__xludf.DUMMYFUNCTION("""COMPUTED_VALUE"""),"male")</f>
        <v>male</v>
      </c>
      <c r="I4181" s="6" t="str">
        <f>IFERROR(__xludf.DUMMYFUNCTION("""COMPUTED_VALUE"""),"Level 2")</f>
        <v>Level 2</v>
      </c>
      <c r="J4181" s="6" t="str">
        <f>IFERROR(__xludf.DUMMYFUNCTION("""COMPUTED_VALUE"""),"5")</f>
        <v>5</v>
      </c>
      <c r="K4181" s="6" t="str">
        <f>IFERROR(__xludf.DUMMYFUNCTION("""COMPUTED_VALUE"""),"cristhopera.murillosolares@2hourlearning.com")</f>
        <v>cristhopera.murillosolares@2hourlearning.com</v>
      </c>
      <c r="L4181" s="6" t="str">
        <f>IFERROR(__xludf.DUMMYFUNCTION("""COMPUTED_VALUE"""),"JHES - Hardeeville Elementary School")</f>
        <v>JHES - Hardeeville Elementary School</v>
      </c>
      <c r="M4181" s="6" t="str">
        <f>IFERROR(__xludf.DUMMYFUNCTION("""COMPUTED_VALUE"""),"")</f>
        <v/>
      </c>
      <c r="N4181" s="6" t="str">
        <f>IFERROR(__xludf.DUMMYFUNCTION("""COMPUTED_VALUE"""),"")</f>
        <v/>
      </c>
      <c r="O4181" s="87" t="str">
        <f>IFERROR(__xludf.DUMMYFUNCTION("""COMPUTED_VALUE"""),"https://drive.google.com/drive/folders/10T2cTQHqEJZqE-st6uFKPoI?usp=share_link")</f>
        <v>https://drive.google.com/drive/folders/10T2cTQHqEJZqE-st6uFKPoI?usp=share_link</v>
      </c>
      <c r="P4181" s="6" t="str">
        <f>IFERROR(__xludf.DUMMYFUNCTION("""COMPUTED_VALUE"""),"Cristhoper A Murillo Solares")</f>
        <v>Cristhoper A Murillo Solares</v>
      </c>
      <c r="Q4181" s="6" t="str">
        <f>IFERROR(__xludf.DUMMYFUNCTION("""COMPUTED_VALUE"""),"L2")</f>
        <v>L2</v>
      </c>
      <c r="R4181" s="6">
        <f>IFERROR(__xludf.DUMMYFUNCTION("""COMPUTED_VALUE"""),2.0)</f>
        <v>2</v>
      </c>
      <c r="S4181" s="6" t="str">
        <f>IFERROR(__xludf.DUMMYFUNCTION("""COMPUTED_VALUE""")," ")</f>
        <v> </v>
      </c>
      <c r="T4181" s="6" t="str">
        <f>IFERROR(__xludf.DUMMYFUNCTION("""COMPUTED_VALUE"""),"")</f>
        <v/>
      </c>
      <c r="U4181" s="6" t="str">
        <f>IFERROR(__xludf.DUMMYFUNCTION("""COMPUTED_VALUE"""),"5")</f>
        <v>5</v>
      </c>
      <c r="V4181" s="6" t="str">
        <f>IFERROR(__xludf.DUMMYFUNCTION("""COMPUTED_VALUE"""),"")</f>
        <v/>
      </c>
      <c r="W4181" s="6" t="str">
        <f>IFERROR(__xludf.DUMMYFUNCTION("""COMPUTED_VALUE"""),"[]")</f>
        <v>[]</v>
      </c>
      <c r="X4181" s="6" t="str">
        <f>IFERROR(__xludf.DUMMYFUNCTION("""COMPUTED_VALUE"""),"Enrolled")</f>
        <v>Enrolled</v>
      </c>
    </row>
    <row r="4182">
      <c r="A4182" s="6" t="str">
        <f>IFERROR(__xludf.DUMMYFUNCTION("""COMPUTED_VALUE"""),"083-11469")</f>
        <v>083-11469</v>
      </c>
      <c r="B4182" s="6" t="str">
        <f>IFERROR(__xludf.DUMMYFUNCTION("""COMPUTED_VALUE"""),"83")</f>
        <v>83</v>
      </c>
      <c r="C4182" s="6" t="str">
        <f>IFERROR(__xludf.DUMMYFUNCTION("""COMPUTED_VALUE"""),"11469")</f>
        <v>11469</v>
      </c>
      <c r="D4182" s="6" t="str">
        <f>IFERROR(__xludf.DUMMYFUNCTION("""COMPUTED_VALUE"""),"Joshua")</f>
        <v>Joshua</v>
      </c>
      <c r="E4182" s="6" t="str">
        <f>IFERROR(__xludf.DUMMYFUNCTION("""COMPUTED_VALUE"""),"")</f>
        <v/>
      </c>
      <c r="F4182" s="6" t="str">
        <f>IFERROR(__xludf.DUMMYFUNCTION("""COMPUTED_VALUE"""),"Orellana Diaz")</f>
        <v>Orellana Diaz</v>
      </c>
      <c r="G4182" s="6" t="str">
        <f>IFERROR(__xludf.DUMMYFUNCTION("""COMPUTED_VALUE"""),"04/23/2014")</f>
        <v>04/23/2014</v>
      </c>
      <c r="H4182" s="6" t="str">
        <f>IFERROR(__xludf.DUMMYFUNCTION("""COMPUTED_VALUE"""),"male")</f>
        <v>male</v>
      </c>
      <c r="I4182" s="6" t="str">
        <f>IFERROR(__xludf.DUMMYFUNCTION("""COMPUTED_VALUE"""),"Level 2")</f>
        <v>Level 2</v>
      </c>
      <c r="J4182" s="6" t="str">
        <f>IFERROR(__xludf.DUMMYFUNCTION("""COMPUTED_VALUE"""),"5")</f>
        <v>5</v>
      </c>
      <c r="K4182" s="6" t="str">
        <f>IFERROR(__xludf.DUMMYFUNCTION("""COMPUTED_VALUE"""),"joshua.orellanadiaz@2hourlearning.com")</f>
        <v>joshua.orellanadiaz@2hourlearning.com</v>
      </c>
      <c r="L4182" s="6" t="str">
        <f>IFERROR(__xludf.DUMMYFUNCTION("""COMPUTED_VALUE"""),"JHES - Hardeeville Elementary School")</f>
        <v>JHES - Hardeeville Elementary School</v>
      </c>
      <c r="M4182" s="6" t="str">
        <f>IFERROR(__xludf.DUMMYFUNCTION("""COMPUTED_VALUE"""),"")</f>
        <v/>
      </c>
      <c r="N4182" s="6" t="str">
        <f>IFERROR(__xludf.DUMMYFUNCTION("""COMPUTED_VALUE"""),"")</f>
        <v/>
      </c>
      <c r="O4182" s="87" t="str">
        <f>IFERROR(__xludf.DUMMYFUNCTION("""COMPUTED_VALUE"""),"https://drive.google.com/drive/folders/10T2cTQHqEJZqE-st6uFKPoI?usp=share_link")</f>
        <v>https://drive.google.com/drive/folders/10T2cTQHqEJZqE-st6uFKPoI?usp=share_link</v>
      </c>
      <c r="P4182" s="6" t="str">
        <f>IFERROR(__xludf.DUMMYFUNCTION("""COMPUTED_VALUE"""),"Joshua Orellana Diaz")</f>
        <v>Joshua Orellana Diaz</v>
      </c>
      <c r="Q4182" s="6" t="str">
        <f>IFERROR(__xludf.DUMMYFUNCTION("""COMPUTED_VALUE"""),"L2")</f>
        <v>L2</v>
      </c>
      <c r="R4182" s="6">
        <f>IFERROR(__xludf.DUMMYFUNCTION("""COMPUTED_VALUE"""),2.0)</f>
        <v>2</v>
      </c>
      <c r="S4182" s="6" t="str">
        <f>IFERROR(__xludf.DUMMYFUNCTION("""COMPUTED_VALUE""")," ")</f>
        <v> </v>
      </c>
      <c r="T4182" s="6" t="str">
        <f>IFERROR(__xludf.DUMMYFUNCTION("""COMPUTED_VALUE"""),"")</f>
        <v/>
      </c>
      <c r="U4182" s="6" t="str">
        <f>IFERROR(__xludf.DUMMYFUNCTION("""COMPUTED_VALUE"""),"5")</f>
        <v>5</v>
      </c>
      <c r="V4182" s="6" t="str">
        <f>IFERROR(__xludf.DUMMYFUNCTION("""COMPUTED_VALUE"""),"")</f>
        <v/>
      </c>
      <c r="W4182" s="6" t="str">
        <f>IFERROR(__xludf.DUMMYFUNCTION("""COMPUTED_VALUE"""),"[]")</f>
        <v>[]</v>
      </c>
      <c r="X4182" s="6" t="str">
        <f>IFERROR(__xludf.DUMMYFUNCTION("""COMPUTED_VALUE"""),"Enrolled")</f>
        <v>Enrolled</v>
      </c>
    </row>
    <row r="4183">
      <c r="A4183" s="6" t="str">
        <f>IFERROR(__xludf.DUMMYFUNCTION("""COMPUTED_VALUE"""),"083-11470")</f>
        <v>083-11470</v>
      </c>
      <c r="B4183" s="6" t="str">
        <f>IFERROR(__xludf.DUMMYFUNCTION("""COMPUTED_VALUE"""),"83")</f>
        <v>83</v>
      </c>
      <c r="C4183" s="6" t="str">
        <f>IFERROR(__xludf.DUMMYFUNCTION("""COMPUTED_VALUE"""),"11470")</f>
        <v>11470</v>
      </c>
      <c r="D4183" s="6" t="str">
        <f>IFERROR(__xludf.DUMMYFUNCTION("""COMPUTED_VALUE"""),"Genesis Eliana")</f>
        <v>Genesis Eliana</v>
      </c>
      <c r="E4183" s="6" t="str">
        <f>IFERROR(__xludf.DUMMYFUNCTION("""COMPUTED_VALUE"""),"")</f>
        <v/>
      </c>
      <c r="F4183" s="6" t="str">
        <f>IFERROR(__xludf.DUMMYFUNCTION("""COMPUTED_VALUE"""),"Pano")</f>
        <v>Pano</v>
      </c>
      <c r="G4183" s="6" t="str">
        <f>IFERROR(__xludf.DUMMYFUNCTION("""COMPUTED_VALUE"""),"03/12/2015")</f>
        <v>03/12/2015</v>
      </c>
      <c r="H4183" s="6" t="str">
        <f>IFERROR(__xludf.DUMMYFUNCTION("""COMPUTED_VALUE"""),"female")</f>
        <v>female</v>
      </c>
      <c r="I4183" s="6" t="str">
        <f>IFERROR(__xludf.DUMMYFUNCTION("""COMPUTED_VALUE"""),"Level 2")</f>
        <v>Level 2</v>
      </c>
      <c r="J4183" s="6" t="str">
        <f>IFERROR(__xludf.DUMMYFUNCTION("""COMPUTED_VALUE"""),"5")</f>
        <v>5</v>
      </c>
      <c r="K4183" s="6" t="str">
        <f>IFERROR(__xludf.DUMMYFUNCTION("""COMPUTED_VALUE"""),"genesiseliana.pano@2hourlearning.com")</f>
        <v>genesiseliana.pano@2hourlearning.com</v>
      </c>
      <c r="L4183" s="6" t="str">
        <f>IFERROR(__xludf.DUMMYFUNCTION("""COMPUTED_VALUE"""),"JHES - Hardeeville Elementary School")</f>
        <v>JHES - Hardeeville Elementary School</v>
      </c>
      <c r="M4183" s="6" t="str">
        <f>IFERROR(__xludf.DUMMYFUNCTION("""COMPUTED_VALUE"""),"")</f>
        <v/>
      </c>
      <c r="N4183" s="6" t="str">
        <f>IFERROR(__xludf.DUMMYFUNCTION("""COMPUTED_VALUE"""),"")</f>
        <v/>
      </c>
      <c r="O4183" s="87" t="str">
        <f>IFERROR(__xludf.DUMMYFUNCTION("""COMPUTED_VALUE"""),"https://drive.google.com/drive/folders/10T2cTQHqEJZqE-st6uFKPoI?usp=share_link")</f>
        <v>https://drive.google.com/drive/folders/10T2cTQHqEJZqE-st6uFKPoI?usp=share_link</v>
      </c>
      <c r="P4183" s="6" t="str">
        <f>IFERROR(__xludf.DUMMYFUNCTION("""COMPUTED_VALUE"""),"Genesis Eliana Pano")</f>
        <v>Genesis Eliana Pano</v>
      </c>
      <c r="Q4183" s="6" t="str">
        <f>IFERROR(__xludf.DUMMYFUNCTION("""COMPUTED_VALUE"""),"L2")</f>
        <v>L2</v>
      </c>
      <c r="R4183" s="6">
        <f>IFERROR(__xludf.DUMMYFUNCTION("""COMPUTED_VALUE"""),2.0)</f>
        <v>2</v>
      </c>
      <c r="S4183" s="6" t="str">
        <f>IFERROR(__xludf.DUMMYFUNCTION("""COMPUTED_VALUE""")," ")</f>
        <v> </v>
      </c>
      <c r="T4183" s="6" t="str">
        <f>IFERROR(__xludf.DUMMYFUNCTION("""COMPUTED_VALUE"""),"")</f>
        <v/>
      </c>
      <c r="U4183" s="6" t="str">
        <f>IFERROR(__xludf.DUMMYFUNCTION("""COMPUTED_VALUE"""),"5")</f>
        <v>5</v>
      </c>
      <c r="V4183" s="6" t="str">
        <f>IFERROR(__xludf.DUMMYFUNCTION("""COMPUTED_VALUE"""),"")</f>
        <v/>
      </c>
      <c r="W4183" s="6" t="str">
        <f>IFERROR(__xludf.DUMMYFUNCTION("""COMPUTED_VALUE"""),"[]")</f>
        <v>[]</v>
      </c>
      <c r="X4183" s="6" t="str">
        <f>IFERROR(__xludf.DUMMYFUNCTION("""COMPUTED_VALUE"""),"Enrolled")</f>
        <v>Enrolled</v>
      </c>
    </row>
    <row r="4184">
      <c r="A4184" s="6" t="str">
        <f>IFERROR(__xludf.DUMMYFUNCTION("""COMPUTED_VALUE"""),"083-11471")</f>
        <v>083-11471</v>
      </c>
      <c r="B4184" s="6" t="str">
        <f>IFERROR(__xludf.DUMMYFUNCTION("""COMPUTED_VALUE"""),"83")</f>
        <v>83</v>
      </c>
      <c r="C4184" s="6" t="str">
        <f>IFERROR(__xludf.DUMMYFUNCTION("""COMPUTED_VALUE"""),"11471")</f>
        <v>11471</v>
      </c>
      <c r="D4184" s="6" t="str">
        <f>IFERROR(__xludf.DUMMYFUNCTION("""COMPUTED_VALUE"""),"Jesus")</f>
        <v>Jesus</v>
      </c>
      <c r="E4184" s="6" t="str">
        <f>IFERROR(__xludf.DUMMYFUNCTION("""COMPUTED_VALUE"""),"")</f>
        <v/>
      </c>
      <c r="F4184" s="6" t="str">
        <f>IFERROR(__xludf.DUMMYFUNCTION("""COMPUTED_VALUE"""),"Peratta Gonzalez")</f>
        <v>Peratta Gonzalez</v>
      </c>
      <c r="G4184" s="6" t="str">
        <f>IFERROR(__xludf.DUMMYFUNCTION("""COMPUTED_VALUE"""),"04/14/2015")</f>
        <v>04/14/2015</v>
      </c>
      <c r="H4184" s="6" t="str">
        <f>IFERROR(__xludf.DUMMYFUNCTION("""COMPUTED_VALUE"""),"male")</f>
        <v>male</v>
      </c>
      <c r="I4184" s="6" t="str">
        <f>IFERROR(__xludf.DUMMYFUNCTION("""COMPUTED_VALUE"""),"Level 2")</f>
        <v>Level 2</v>
      </c>
      <c r="J4184" s="6" t="str">
        <f>IFERROR(__xludf.DUMMYFUNCTION("""COMPUTED_VALUE"""),"5")</f>
        <v>5</v>
      </c>
      <c r="K4184" s="6" t="str">
        <f>IFERROR(__xludf.DUMMYFUNCTION("""COMPUTED_VALUE"""),"jesus.perattagonzalez@2hourlearning.com")</f>
        <v>jesus.perattagonzalez@2hourlearning.com</v>
      </c>
      <c r="L4184" s="6" t="str">
        <f>IFERROR(__xludf.DUMMYFUNCTION("""COMPUTED_VALUE"""),"JHES - Hardeeville Elementary School")</f>
        <v>JHES - Hardeeville Elementary School</v>
      </c>
      <c r="M4184" s="6" t="str">
        <f>IFERROR(__xludf.DUMMYFUNCTION("""COMPUTED_VALUE"""),"")</f>
        <v/>
      </c>
      <c r="N4184" s="6" t="str">
        <f>IFERROR(__xludf.DUMMYFUNCTION("""COMPUTED_VALUE"""),"")</f>
        <v/>
      </c>
      <c r="O4184" s="87" t="str">
        <f>IFERROR(__xludf.DUMMYFUNCTION("""COMPUTED_VALUE"""),"https://drive.google.com/drive/folders/10T2cTQHqEJZqE-st6uFKPoI?usp=share_link")</f>
        <v>https://drive.google.com/drive/folders/10T2cTQHqEJZqE-st6uFKPoI?usp=share_link</v>
      </c>
      <c r="P4184" s="6" t="str">
        <f>IFERROR(__xludf.DUMMYFUNCTION("""COMPUTED_VALUE"""),"Jesus Peratta Gonzalez")</f>
        <v>Jesus Peratta Gonzalez</v>
      </c>
      <c r="Q4184" s="6" t="str">
        <f>IFERROR(__xludf.DUMMYFUNCTION("""COMPUTED_VALUE"""),"L2")</f>
        <v>L2</v>
      </c>
      <c r="R4184" s="6">
        <f>IFERROR(__xludf.DUMMYFUNCTION("""COMPUTED_VALUE"""),2.0)</f>
        <v>2</v>
      </c>
      <c r="S4184" s="6" t="str">
        <f>IFERROR(__xludf.DUMMYFUNCTION("""COMPUTED_VALUE""")," ")</f>
        <v> </v>
      </c>
      <c r="T4184" s="6" t="str">
        <f>IFERROR(__xludf.DUMMYFUNCTION("""COMPUTED_VALUE"""),"")</f>
        <v/>
      </c>
      <c r="U4184" s="6" t="str">
        <f>IFERROR(__xludf.DUMMYFUNCTION("""COMPUTED_VALUE"""),"5")</f>
        <v>5</v>
      </c>
      <c r="V4184" s="6" t="str">
        <f>IFERROR(__xludf.DUMMYFUNCTION("""COMPUTED_VALUE"""),"")</f>
        <v/>
      </c>
      <c r="W4184" s="6" t="str">
        <f>IFERROR(__xludf.DUMMYFUNCTION("""COMPUTED_VALUE"""),"[]")</f>
        <v>[]</v>
      </c>
      <c r="X4184" s="6" t="str">
        <f>IFERROR(__xludf.DUMMYFUNCTION("""COMPUTED_VALUE"""),"Enrolled")</f>
        <v>Enrolled</v>
      </c>
    </row>
    <row r="4185">
      <c r="A4185" s="6" t="str">
        <f>IFERROR(__xludf.DUMMYFUNCTION("""COMPUTED_VALUE"""),"083-11472")</f>
        <v>083-11472</v>
      </c>
      <c r="B4185" s="6" t="str">
        <f>IFERROR(__xludf.DUMMYFUNCTION("""COMPUTED_VALUE"""),"83")</f>
        <v>83</v>
      </c>
      <c r="C4185" s="6" t="str">
        <f>IFERROR(__xludf.DUMMYFUNCTION("""COMPUTED_VALUE"""),"11472")</f>
        <v>11472</v>
      </c>
      <c r="D4185" s="6" t="str">
        <f>IFERROR(__xludf.DUMMYFUNCTION("""COMPUTED_VALUE"""),"Mixar")</f>
        <v>Mixar</v>
      </c>
      <c r="E4185" s="6" t="str">
        <f>IFERROR(__xludf.DUMMYFUNCTION("""COMPUTED_VALUE"""),"")</f>
        <v/>
      </c>
      <c r="F4185" s="6" t="str">
        <f>IFERROR(__xludf.DUMMYFUNCTION("""COMPUTED_VALUE"""),"Perez Giron")</f>
        <v>Perez Giron</v>
      </c>
      <c r="G4185" s="6" t="str">
        <f>IFERROR(__xludf.DUMMYFUNCTION("""COMPUTED_VALUE"""),"04/19/2015")</f>
        <v>04/19/2015</v>
      </c>
      <c r="H4185" s="6" t="str">
        <f>IFERROR(__xludf.DUMMYFUNCTION("""COMPUTED_VALUE"""),"male")</f>
        <v>male</v>
      </c>
      <c r="I4185" s="6" t="str">
        <f>IFERROR(__xludf.DUMMYFUNCTION("""COMPUTED_VALUE"""),"Level 2")</f>
        <v>Level 2</v>
      </c>
      <c r="J4185" s="6" t="str">
        <f>IFERROR(__xludf.DUMMYFUNCTION("""COMPUTED_VALUE"""),"5")</f>
        <v>5</v>
      </c>
      <c r="K4185" s="6" t="str">
        <f>IFERROR(__xludf.DUMMYFUNCTION("""COMPUTED_VALUE"""),"mixar.perezgiron@2hourlearning.com")</f>
        <v>mixar.perezgiron@2hourlearning.com</v>
      </c>
      <c r="L4185" s="6" t="str">
        <f>IFERROR(__xludf.DUMMYFUNCTION("""COMPUTED_VALUE"""),"JHES - Hardeeville Elementary School")</f>
        <v>JHES - Hardeeville Elementary School</v>
      </c>
      <c r="M4185" s="6" t="str">
        <f>IFERROR(__xludf.DUMMYFUNCTION("""COMPUTED_VALUE"""),"")</f>
        <v/>
      </c>
      <c r="N4185" s="6" t="str">
        <f>IFERROR(__xludf.DUMMYFUNCTION("""COMPUTED_VALUE"""),"")</f>
        <v/>
      </c>
      <c r="O4185" s="87" t="str">
        <f>IFERROR(__xludf.DUMMYFUNCTION("""COMPUTED_VALUE"""),"https://drive.google.com/drive/folders/10T2cTQHqEJZqE-st6uFKPoI?usp=share_link")</f>
        <v>https://drive.google.com/drive/folders/10T2cTQHqEJZqE-st6uFKPoI?usp=share_link</v>
      </c>
      <c r="P4185" s="6" t="str">
        <f>IFERROR(__xludf.DUMMYFUNCTION("""COMPUTED_VALUE"""),"Mixar Perez Giron")</f>
        <v>Mixar Perez Giron</v>
      </c>
      <c r="Q4185" s="6" t="str">
        <f>IFERROR(__xludf.DUMMYFUNCTION("""COMPUTED_VALUE"""),"L2")</f>
        <v>L2</v>
      </c>
      <c r="R4185" s="6">
        <f>IFERROR(__xludf.DUMMYFUNCTION("""COMPUTED_VALUE"""),2.0)</f>
        <v>2</v>
      </c>
      <c r="S4185" s="6" t="str">
        <f>IFERROR(__xludf.DUMMYFUNCTION("""COMPUTED_VALUE""")," ")</f>
        <v> </v>
      </c>
      <c r="T4185" s="6" t="str">
        <f>IFERROR(__xludf.DUMMYFUNCTION("""COMPUTED_VALUE"""),"")</f>
        <v/>
      </c>
      <c r="U4185" s="6" t="str">
        <f>IFERROR(__xludf.DUMMYFUNCTION("""COMPUTED_VALUE"""),"5")</f>
        <v>5</v>
      </c>
      <c r="V4185" s="6" t="str">
        <f>IFERROR(__xludf.DUMMYFUNCTION("""COMPUTED_VALUE"""),"")</f>
        <v/>
      </c>
      <c r="W4185" s="6" t="str">
        <f>IFERROR(__xludf.DUMMYFUNCTION("""COMPUTED_VALUE"""),"[]")</f>
        <v>[]</v>
      </c>
      <c r="X4185" s="6" t="str">
        <f>IFERROR(__xludf.DUMMYFUNCTION("""COMPUTED_VALUE"""),"Enrolled")</f>
        <v>Enrolled</v>
      </c>
    </row>
    <row r="4186">
      <c r="A4186" s="6" t="str">
        <f>IFERROR(__xludf.DUMMYFUNCTION("""COMPUTED_VALUE"""),"083-11473")</f>
        <v>083-11473</v>
      </c>
      <c r="B4186" s="6" t="str">
        <f>IFERROR(__xludf.DUMMYFUNCTION("""COMPUTED_VALUE"""),"83")</f>
        <v>83</v>
      </c>
      <c r="C4186" s="6" t="str">
        <f>IFERROR(__xludf.DUMMYFUNCTION("""COMPUTED_VALUE"""),"11473")</f>
        <v>11473</v>
      </c>
      <c r="D4186" s="6" t="str">
        <f>IFERROR(__xludf.DUMMYFUNCTION("""COMPUTED_VALUE"""),"Vicente")</f>
        <v>Vicente</v>
      </c>
      <c r="E4186" s="6" t="str">
        <f>IFERROR(__xludf.DUMMYFUNCTION("""COMPUTED_VALUE"""),"")</f>
        <v/>
      </c>
      <c r="F4186" s="6" t="str">
        <f>IFERROR(__xludf.DUMMYFUNCTION("""COMPUTED_VALUE"""),"Pino Morales")</f>
        <v>Pino Morales</v>
      </c>
      <c r="G4186" s="6" t="str">
        <f>IFERROR(__xludf.DUMMYFUNCTION("""COMPUTED_VALUE"""),"08/28/2014")</f>
        <v>08/28/2014</v>
      </c>
      <c r="H4186" s="6" t="str">
        <f>IFERROR(__xludf.DUMMYFUNCTION("""COMPUTED_VALUE"""),"male")</f>
        <v>male</v>
      </c>
      <c r="I4186" s="6" t="str">
        <f>IFERROR(__xludf.DUMMYFUNCTION("""COMPUTED_VALUE"""),"Level 2")</f>
        <v>Level 2</v>
      </c>
      <c r="J4186" s="6" t="str">
        <f>IFERROR(__xludf.DUMMYFUNCTION("""COMPUTED_VALUE"""),"5")</f>
        <v>5</v>
      </c>
      <c r="K4186" s="6" t="str">
        <f>IFERROR(__xludf.DUMMYFUNCTION("""COMPUTED_VALUE"""),"vicente.pinomorales@2hourlearning.com")</f>
        <v>vicente.pinomorales@2hourlearning.com</v>
      </c>
      <c r="L4186" s="6" t="str">
        <f>IFERROR(__xludf.DUMMYFUNCTION("""COMPUTED_VALUE"""),"JHES - Hardeeville Elementary School")</f>
        <v>JHES - Hardeeville Elementary School</v>
      </c>
      <c r="M4186" s="6" t="str">
        <f>IFERROR(__xludf.DUMMYFUNCTION("""COMPUTED_VALUE"""),"")</f>
        <v/>
      </c>
      <c r="N4186" s="6" t="str">
        <f>IFERROR(__xludf.DUMMYFUNCTION("""COMPUTED_VALUE"""),"")</f>
        <v/>
      </c>
      <c r="O4186" s="87" t="str">
        <f>IFERROR(__xludf.DUMMYFUNCTION("""COMPUTED_VALUE"""),"https://drive.google.com/drive/folders/10T2cTQHqEJZqE-st6uFKPoI?usp=share_link")</f>
        <v>https://drive.google.com/drive/folders/10T2cTQHqEJZqE-st6uFKPoI?usp=share_link</v>
      </c>
      <c r="P4186" s="6" t="str">
        <f>IFERROR(__xludf.DUMMYFUNCTION("""COMPUTED_VALUE"""),"Vicente Pino Morales")</f>
        <v>Vicente Pino Morales</v>
      </c>
      <c r="Q4186" s="6" t="str">
        <f>IFERROR(__xludf.DUMMYFUNCTION("""COMPUTED_VALUE"""),"L2")</f>
        <v>L2</v>
      </c>
      <c r="R4186" s="6">
        <f>IFERROR(__xludf.DUMMYFUNCTION("""COMPUTED_VALUE"""),2.0)</f>
        <v>2</v>
      </c>
      <c r="S4186" s="6" t="str">
        <f>IFERROR(__xludf.DUMMYFUNCTION("""COMPUTED_VALUE""")," ")</f>
        <v> </v>
      </c>
      <c r="T4186" s="6" t="str">
        <f>IFERROR(__xludf.DUMMYFUNCTION("""COMPUTED_VALUE"""),"")</f>
        <v/>
      </c>
      <c r="U4186" s="6" t="str">
        <f>IFERROR(__xludf.DUMMYFUNCTION("""COMPUTED_VALUE"""),"5")</f>
        <v>5</v>
      </c>
      <c r="V4186" s="6" t="str">
        <f>IFERROR(__xludf.DUMMYFUNCTION("""COMPUTED_VALUE"""),"")</f>
        <v/>
      </c>
      <c r="W4186" s="6" t="str">
        <f>IFERROR(__xludf.DUMMYFUNCTION("""COMPUTED_VALUE"""),"[]")</f>
        <v>[]</v>
      </c>
      <c r="X4186" s="6" t="str">
        <f>IFERROR(__xludf.DUMMYFUNCTION("""COMPUTED_VALUE"""),"Enrolled")</f>
        <v>Enrolled</v>
      </c>
    </row>
    <row r="4187">
      <c r="A4187" s="6" t="str">
        <f>IFERROR(__xludf.DUMMYFUNCTION("""COMPUTED_VALUE"""),"083-11474")</f>
        <v>083-11474</v>
      </c>
      <c r="B4187" s="6" t="str">
        <f>IFERROR(__xludf.DUMMYFUNCTION("""COMPUTED_VALUE"""),"83")</f>
        <v>83</v>
      </c>
      <c r="C4187" s="6" t="str">
        <f>IFERROR(__xludf.DUMMYFUNCTION("""COMPUTED_VALUE"""),"11474")</f>
        <v>11474</v>
      </c>
      <c r="D4187" s="6" t="str">
        <f>IFERROR(__xludf.DUMMYFUNCTION("""COMPUTED_VALUE"""),"Briana")</f>
        <v>Briana</v>
      </c>
      <c r="E4187" s="6" t="str">
        <f>IFERROR(__xludf.DUMMYFUNCTION("""COMPUTED_VALUE"""),"")</f>
        <v/>
      </c>
      <c r="F4187" s="6" t="str">
        <f>IFERROR(__xludf.DUMMYFUNCTION("""COMPUTED_VALUE"""),"Romero-Najera")</f>
        <v>Romero-Najera</v>
      </c>
      <c r="G4187" s="6" t="str">
        <f>IFERROR(__xludf.DUMMYFUNCTION("""COMPUTED_VALUE"""),"02/16/2014")</f>
        <v>02/16/2014</v>
      </c>
      <c r="H4187" s="6" t="str">
        <f>IFERROR(__xludf.DUMMYFUNCTION("""COMPUTED_VALUE"""),"female")</f>
        <v>female</v>
      </c>
      <c r="I4187" s="6" t="str">
        <f>IFERROR(__xludf.DUMMYFUNCTION("""COMPUTED_VALUE"""),"Level 2")</f>
        <v>Level 2</v>
      </c>
      <c r="J4187" s="6" t="str">
        <f>IFERROR(__xludf.DUMMYFUNCTION("""COMPUTED_VALUE"""),"5")</f>
        <v>5</v>
      </c>
      <c r="K4187" s="6" t="str">
        <f>IFERROR(__xludf.DUMMYFUNCTION("""COMPUTED_VALUE"""),"briana.romeronajera@2hourlearning.com")</f>
        <v>briana.romeronajera@2hourlearning.com</v>
      </c>
      <c r="L4187" s="6" t="str">
        <f>IFERROR(__xludf.DUMMYFUNCTION("""COMPUTED_VALUE"""),"JHES - Hardeeville Elementary School")</f>
        <v>JHES - Hardeeville Elementary School</v>
      </c>
      <c r="M4187" s="6" t="str">
        <f>IFERROR(__xludf.DUMMYFUNCTION("""COMPUTED_VALUE"""),"")</f>
        <v/>
      </c>
      <c r="N4187" s="6" t="str">
        <f>IFERROR(__xludf.DUMMYFUNCTION("""COMPUTED_VALUE"""),"")</f>
        <v/>
      </c>
      <c r="O4187" s="87" t="str">
        <f>IFERROR(__xludf.DUMMYFUNCTION("""COMPUTED_VALUE"""),"https://drive.google.com/drive/folders/10T2cTQHqEJZqE-st6uFKPoI?usp=share_link")</f>
        <v>https://drive.google.com/drive/folders/10T2cTQHqEJZqE-st6uFKPoI?usp=share_link</v>
      </c>
      <c r="P4187" s="6" t="str">
        <f>IFERROR(__xludf.DUMMYFUNCTION("""COMPUTED_VALUE"""),"Briana Romero-Najera")</f>
        <v>Briana Romero-Najera</v>
      </c>
      <c r="Q4187" s="6" t="str">
        <f>IFERROR(__xludf.DUMMYFUNCTION("""COMPUTED_VALUE"""),"L2")</f>
        <v>L2</v>
      </c>
      <c r="R4187" s="6">
        <f>IFERROR(__xludf.DUMMYFUNCTION("""COMPUTED_VALUE"""),2.0)</f>
        <v>2</v>
      </c>
      <c r="S4187" s="6" t="str">
        <f>IFERROR(__xludf.DUMMYFUNCTION("""COMPUTED_VALUE""")," ")</f>
        <v> </v>
      </c>
      <c r="T4187" s="6" t="str">
        <f>IFERROR(__xludf.DUMMYFUNCTION("""COMPUTED_VALUE"""),"")</f>
        <v/>
      </c>
      <c r="U4187" s="6" t="str">
        <f>IFERROR(__xludf.DUMMYFUNCTION("""COMPUTED_VALUE"""),"5")</f>
        <v>5</v>
      </c>
      <c r="V4187" s="6" t="str">
        <f>IFERROR(__xludf.DUMMYFUNCTION("""COMPUTED_VALUE"""),"")</f>
        <v/>
      </c>
      <c r="W4187" s="6" t="str">
        <f>IFERROR(__xludf.DUMMYFUNCTION("""COMPUTED_VALUE"""),"[]")</f>
        <v>[]</v>
      </c>
      <c r="X4187" s="6" t="str">
        <f>IFERROR(__xludf.DUMMYFUNCTION("""COMPUTED_VALUE"""),"Enrolled")</f>
        <v>Enrolled</v>
      </c>
    </row>
    <row r="4188">
      <c r="A4188" s="6" t="str">
        <f>IFERROR(__xludf.DUMMYFUNCTION("""COMPUTED_VALUE"""),"083-11475")</f>
        <v>083-11475</v>
      </c>
      <c r="B4188" s="6" t="str">
        <f>IFERROR(__xludf.DUMMYFUNCTION("""COMPUTED_VALUE"""),"83")</f>
        <v>83</v>
      </c>
      <c r="C4188" s="6" t="str">
        <f>IFERROR(__xludf.DUMMYFUNCTION("""COMPUTED_VALUE"""),"11475")</f>
        <v>11475</v>
      </c>
      <c r="D4188" s="6" t="str">
        <f>IFERROR(__xludf.DUMMYFUNCTION("""COMPUTED_VALUE"""),"Raul D")</f>
        <v>Raul D</v>
      </c>
      <c r="E4188" s="6" t="str">
        <f>IFERROR(__xludf.DUMMYFUNCTION("""COMPUTED_VALUE"""),"")</f>
        <v/>
      </c>
      <c r="F4188" s="6" t="str">
        <f>IFERROR(__xludf.DUMMYFUNCTION("""COMPUTED_VALUE"""),"Rosales Calix")</f>
        <v>Rosales Calix</v>
      </c>
      <c r="G4188" s="6" t="str">
        <f>IFERROR(__xludf.DUMMYFUNCTION("""COMPUTED_VALUE"""),"09/21/2014")</f>
        <v>09/21/2014</v>
      </c>
      <c r="H4188" s="6" t="str">
        <f>IFERROR(__xludf.DUMMYFUNCTION("""COMPUTED_VALUE"""),"male")</f>
        <v>male</v>
      </c>
      <c r="I4188" s="6" t="str">
        <f>IFERROR(__xludf.DUMMYFUNCTION("""COMPUTED_VALUE"""),"Level 2")</f>
        <v>Level 2</v>
      </c>
      <c r="J4188" s="6" t="str">
        <f>IFERROR(__xludf.DUMMYFUNCTION("""COMPUTED_VALUE"""),"5")</f>
        <v>5</v>
      </c>
      <c r="K4188" s="6" t="str">
        <f>IFERROR(__xludf.DUMMYFUNCTION("""COMPUTED_VALUE"""),"rauld.rosalescalix@2hourlearning.com")</f>
        <v>rauld.rosalescalix@2hourlearning.com</v>
      </c>
      <c r="L4188" s="6" t="str">
        <f>IFERROR(__xludf.DUMMYFUNCTION("""COMPUTED_VALUE"""),"JHES - Hardeeville Elementary School")</f>
        <v>JHES - Hardeeville Elementary School</v>
      </c>
      <c r="M4188" s="6" t="str">
        <f>IFERROR(__xludf.DUMMYFUNCTION("""COMPUTED_VALUE"""),"")</f>
        <v/>
      </c>
      <c r="N4188" s="6" t="str">
        <f>IFERROR(__xludf.DUMMYFUNCTION("""COMPUTED_VALUE"""),"")</f>
        <v/>
      </c>
      <c r="O4188" s="87" t="str">
        <f>IFERROR(__xludf.DUMMYFUNCTION("""COMPUTED_VALUE"""),"https://drive.google.com/drive/folders/10T2cTQHqEJZqE-st6uFKPoI?usp=share_link")</f>
        <v>https://drive.google.com/drive/folders/10T2cTQHqEJZqE-st6uFKPoI?usp=share_link</v>
      </c>
      <c r="P4188" s="6" t="str">
        <f>IFERROR(__xludf.DUMMYFUNCTION("""COMPUTED_VALUE"""),"Raul D Rosales Calix")</f>
        <v>Raul D Rosales Calix</v>
      </c>
      <c r="Q4188" s="6" t="str">
        <f>IFERROR(__xludf.DUMMYFUNCTION("""COMPUTED_VALUE"""),"L2")</f>
        <v>L2</v>
      </c>
      <c r="R4188" s="6">
        <f>IFERROR(__xludf.DUMMYFUNCTION("""COMPUTED_VALUE"""),2.0)</f>
        <v>2</v>
      </c>
      <c r="S4188" s="6" t="str">
        <f>IFERROR(__xludf.DUMMYFUNCTION("""COMPUTED_VALUE""")," ")</f>
        <v> </v>
      </c>
      <c r="T4188" s="6" t="str">
        <f>IFERROR(__xludf.DUMMYFUNCTION("""COMPUTED_VALUE"""),"")</f>
        <v/>
      </c>
      <c r="U4188" s="6" t="str">
        <f>IFERROR(__xludf.DUMMYFUNCTION("""COMPUTED_VALUE"""),"5")</f>
        <v>5</v>
      </c>
      <c r="V4188" s="6" t="str">
        <f>IFERROR(__xludf.DUMMYFUNCTION("""COMPUTED_VALUE"""),"")</f>
        <v/>
      </c>
      <c r="W4188" s="6" t="str">
        <f>IFERROR(__xludf.DUMMYFUNCTION("""COMPUTED_VALUE"""),"[]")</f>
        <v>[]</v>
      </c>
      <c r="X4188" s="6" t="str">
        <f>IFERROR(__xludf.DUMMYFUNCTION("""COMPUTED_VALUE"""),"Enrolled")</f>
        <v>Enrolled</v>
      </c>
    </row>
    <row r="4189">
      <c r="A4189" s="6" t="str">
        <f>IFERROR(__xludf.DUMMYFUNCTION("""COMPUTED_VALUE"""),"083-11476")</f>
        <v>083-11476</v>
      </c>
      <c r="B4189" s="6" t="str">
        <f>IFERROR(__xludf.DUMMYFUNCTION("""COMPUTED_VALUE"""),"83")</f>
        <v>83</v>
      </c>
      <c r="C4189" s="6" t="str">
        <f>IFERROR(__xludf.DUMMYFUNCTION("""COMPUTED_VALUE"""),"11476")</f>
        <v>11476</v>
      </c>
      <c r="D4189" s="6" t="str">
        <f>IFERROR(__xludf.DUMMYFUNCTION("""COMPUTED_VALUE"""),"Tre'marcus")</f>
        <v>Tre'marcus</v>
      </c>
      <c r="E4189" s="6" t="str">
        <f>IFERROR(__xludf.DUMMYFUNCTION("""COMPUTED_VALUE"""),"")</f>
        <v/>
      </c>
      <c r="F4189" s="6" t="str">
        <f>IFERROR(__xludf.DUMMYFUNCTION("""COMPUTED_VALUE"""),"Smith")</f>
        <v>Smith</v>
      </c>
      <c r="G4189" s="6" t="str">
        <f>IFERROR(__xludf.DUMMYFUNCTION("""COMPUTED_VALUE"""),"07/01/2015")</f>
        <v>07/01/2015</v>
      </c>
      <c r="H4189" s="6" t="str">
        <f>IFERROR(__xludf.DUMMYFUNCTION("""COMPUTED_VALUE"""),"male")</f>
        <v>male</v>
      </c>
      <c r="I4189" s="6" t="str">
        <f>IFERROR(__xludf.DUMMYFUNCTION("""COMPUTED_VALUE"""),"Level 2")</f>
        <v>Level 2</v>
      </c>
      <c r="J4189" s="6" t="str">
        <f>IFERROR(__xludf.DUMMYFUNCTION("""COMPUTED_VALUE"""),"5")</f>
        <v>5</v>
      </c>
      <c r="K4189" s="6" t="str">
        <f>IFERROR(__xludf.DUMMYFUNCTION("""COMPUTED_VALUE"""),"tremarcus.smith@2hourlearning.com")</f>
        <v>tremarcus.smith@2hourlearning.com</v>
      </c>
      <c r="L4189" s="6" t="str">
        <f>IFERROR(__xludf.DUMMYFUNCTION("""COMPUTED_VALUE"""),"JHES - Hardeeville Elementary School")</f>
        <v>JHES - Hardeeville Elementary School</v>
      </c>
      <c r="M4189" s="6" t="str">
        <f>IFERROR(__xludf.DUMMYFUNCTION("""COMPUTED_VALUE"""),"")</f>
        <v/>
      </c>
      <c r="N4189" s="6" t="str">
        <f>IFERROR(__xludf.DUMMYFUNCTION("""COMPUTED_VALUE"""),"")</f>
        <v/>
      </c>
      <c r="O4189" s="87" t="str">
        <f>IFERROR(__xludf.DUMMYFUNCTION("""COMPUTED_VALUE"""),"https://drive.google.com/drive/folders/10T2cTQHqEJZqE-st6uFKPoI?usp=share_link")</f>
        <v>https://drive.google.com/drive/folders/10T2cTQHqEJZqE-st6uFKPoI?usp=share_link</v>
      </c>
      <c r="P4189" s="6" t="str">
        <f>IFERROR(__xludf.DUMMYFUNCTION("""COMPUTED_VALUE"""),"Tre'marcus Smith")</f>
        <v>Tre'marcus Smith</v>
      </c>
      <c r="Q4189" s="6" t="str">
        <f>IFERROR(__xludf.DUMMYFUNCTION("""COMPUTED_VALUE"""),"L2")</f>
        <v>L2</v>
      </c>
      <c r="R4189" s="6">
        <f>IFERROR(__xludf.DUMMYFUNCTION("""COMPUTED_VALUE"""),2.0)</f>
        <v>2</v>
      </c>
      <c r="S4189" s="6" t="str">
        <f>IFERROR(__xludf.DUMMYFUNCTION("""COMPUTED_VALUE""")," ")</f>
        <v> </v>
      </c>
      <c r="T4189" s="6" t="str">
        <f>IFERROR(__xludf.DUMMYFUNCTION("""COMPUTED_VALUE"""),"")</f>
        <v/>
      </c>
      <c r="U4189" s="6" t="str">
        <f>IFERROR(__xludf.DUMMYFUNCTION("""COMPUTED_VALUE"""),"5")</f>
        <v>5</v>
      </c>
      <c r="V4189" s="6" t="str">
        <f>IFERROR(__xludf.DUMMYFUNCTION("""COMPUTED_VALUE"""),"")</f>
        <v/>
      </c>
      <c r="W4189" s="6" t="str">
        <f>IFERROR(__xludf.DUMMYFUNCTION("""COMPUTED_VALUE"""),"[]")</f>
        <v>[]</v>
      </c>
      <c r="X4189" s="6" t="str">
        <f>IFERROR(__xludf.DUMMYFUNCTION("""COMPUTED_VALUE"""),"Enrolled")</f>
        <v>Enrolled</v>
      </c>
    </row>
    <row r="4190">
      <c r="A4190" s="6" t="str">
        <f>IFERROR(__xludf.DUMMYFUNCTION("""COMPUTED_VALUE"""),"083-11477")</f>
        <v>083-11477</v>
      </c>
      <c r="B4190" s="6" t="str">
        <f>IFERROR(__xludf.DUMMYFUNCTION("""COMPUTED_VALUE"""),"83")</f>
        <v>83</v>
      </c>
      <c r="C4190" s="6" t="str">
        <f>IFERROR(__xludf.DUMMYFUNCTION("""COMPUTED_VALUE"""),"11477")</f>
        <v>11477</v>
      </c>
      <c r="D4190" s="6" t="str">
        <f>IFERROR(__xludf.DUMMYFUNCTION("""COMPUTED_VALUE"""),"Yarexi")</f>
        <v>Yarexi</v>
      </c>
      <c r="E4190" s="6" t="str">
        <f>IFERROR(__xludf.DUMMYFUNCTION("""COMPUTED_VALUE"""),"")</f>
        <v/>
      </c>
      <c r="F4190" s="6" t="str">
        <f>IFERROR(__xludf.DUMMYFUNCTION("""COMPUTED_VALUE"""),"Sotelo-Martinez")</f>
        <v>Sotelo-Martinez</v>
      </c>
      <c r="G4190" s="6" t="str">
        <f>IFERROR(__xludf.DUMMYFUNCTION("""COMPUTED_VALUE"""),"04/09/2015")</f>
        <v>04/09/2015</v>
      </c>
      <c r="H4190" s="6" t="str">
        <f>IFERROR(__xludf.DUMMYFUNCTION("""COMPUTED_VALUE"""),"female")</f>
        <v>female</v>
      </c>
      <c r="I4190" s="6" t="str">
        <f>IFERROR(__xludf.DUMMYFUNCTION("""COMPUTED_VALUE"""),"Level 2")</f>
        <v>Level 2</v>
      </c>
      <c r="J4190" s="6" t="str">
        <f>IFERROR(__xludf.DUMMYFUNCTION("""COMPUTED_VALUE"""),"5")</f>
        <v>5</v>
      </c>
      <c r="K4190" s="6" t="str">
        <f>IFERROR(__xludf.DUMMYFUNCTION("""COMPUTED_VALUE"""),"yarexi.sotelomartinez@2hourlearning.com")</f>
        <v>yarexi.sotelomartinez@2hourlearning.com</v>
      </c>
      <c r="L4190" s="6" t="str">
        <f>IFERROR(__xludf.DUMMYFUNCTION("""COMPUTED_VALUE"""),"JHES - Hardeeville Elementary School")</f>
        <v>JHES - Hardeeville Elementary School</v>
      </c>
      <c r="M4190" s="6" t="str">
        <f>IFERROR(__xludf.DUMMYFUNCTION("""COMPUTED_VALUE"""),"")</f>
        <v/>
      </c>
      <c r="N4190" s="6" t="str">
        <f>IFERROR(__xludf.DUMMYFUNCTION("""COMPUTED_VALUE"""),"")</f>
        <v/>
      </c>
      <c r="O4190" s="87" t="str">
        <f>IFERROR(__xludf.DUMMYFUNCTION("""COMPUTED_VALUE"""),"https://drive.google.com/drive/folders/10T2cTQHqEJZqE-st6uFKPoI?usp=share_link")</f>
        <v>https://drive.google.com/drive/folders/10T2cTQHqEJZqE-st6uFKPoI?usp=share_link</v>
      </c>
      <c r="P4190" s="6" t="str">
        <f>IFERROR(__xludf.DUMMYFUNCTION("""COMPUTED_VALUE"""),"Yarexi Sotelo-Martinez")</f>
        <v>Yarexi Sotelo-Martinez</v>
      </c>
      <c r="Q4190" s="6" t="str">
        <f>IFERROR(__xludf.DUMMYFUNCTION("""COMPUTED_VALUE"""),"L2")</f>
        <v>L2</v>
      </c>
      <c r="R4190" s="6">
        <f>IFERROR(__xludf.DUMMYFUNCTION("""COMPUTED_VALUE"""),2.0)</f>
        <v>2</v>
      </c>
      <c r="S4190" s="6" t="str">
        <f>IFERROR(__xludf.DUMMYFUNCTION("""COMPUTED_VALUE""")," ")</f>
        <v> </v>
      </c>
      <c r="T4190" s="6" t="str">
        <f>IFERROR(__xludf.DUMMYFUNCTION("""COMPUTED_VALUE"""),"")</f>
        <v/>
      </c>
      <c r="U4190" s="6" t="str">
        <f>IFERROR(__xludf.DUMMYFUNCTION("""COMPUTED_VALUE"""),"5")</f>
        <v>5</v>
      </c>
      <c r="V4190" s="6" t="str">
        <f>IFERROR(__xludf.DUMMYFUNCTION("""COMPUTED_VALUE"""),"")</f>
        <v/>
      </c>
      <c r="W4190" s="6" t="str">
        <f>IFERROR(__xludf.DUMMYFUNCTION("""COMPUTED_VALUE"""),"[]")</f>
        <v>[]</v>
      </c>
      <c r="X4190" s="6" t="str">
        <f>IFERROR(__xludf.DUMMYFUNCTION("""COMPUTED_VALUE"""),"Enrolled")</f>
        <v>Enrolled</v>
      </c>
    </row>
    <row r="4191">
      <c r="A4191" s="6" t="str">
        <f>IFERROR(__xludf.DUMMYFUNCTION("""COMPUTED_VALUE"""),"083-11478")</f>
        <v>083-11478</v>
      </c>
      <c r="B4191" s="6" t="str">
        <f>IFERROR(__xludf.DUMMYFUNCTION("""COMPUTED_VALUE"""),"83")</f>
        <v>83</v>
      </c>
      <c r="C4191" s="6" t="str">
        <f>IFERROR(__xludf.DUMMYFUNCTION("""COMPUTED_VALUE"""),"11478")</f>
        <v>11478</v>
      </c>
      <c r="D4191" s="6" t="str">
        <f>IFERROR(__xludf.DUMMYFUNCTION("""COMPUTED_VALUE"""),"Irvin")</f>
        <v>Irvin</v>
      </c>
      <c r="E4191" s="6" t="str">
        <f>IFERROR(__xludf.DUMMYFUNCTION("""COMPUTED_VALUE"""),"")</f>
        <v/>
      </c>
      <c r="F4191" s="6" t="str">
        <f>IFERROR(__xludf.DUMMYFUNCTION("""COMPUTED_VALUE"""),"Tinoco Gomez")</f>
        <v>Tinoco Gomez</v>
      </c>
      <c r="G4191" s="6" t="str">
        <f>IFERROR(__xludf.DUMMYFUNCTION("""COMPUTED_VALUE"""),"12/31/2015")</f>
        <v>12/31/2015</v>
      </c>
      <c r="H4191" s="6" t="str">
        <f>IFERROR(__xludf.DUMMYFUNCTION("""COMPUTED_VALUE"""),"male")</f>
        <v>male</v>
      </c>
      <c r="I4191" s="6" t="str">
        <f>IFERROR(__xludf.DUMMYFUNCTION("""COMPUTED_VALUE"""),"Level 2")</f>
        <v>Level 2</v>
      </c>
      <c r="J4191" s="6" t="str">
        <f>IFERROR(__xludf.DUMMYFUNCTION("""COMPUTED_VALUE"""),"5")</f>
        <v>5</v>
      </c>
      <c r="K4191" s="6" t="str">
        <f>IFERROR(__xludf.DUMMYFUNCTION("""COMPUTED_VALUE"""),"irvin.tinocogomez@2hourlearning.com")</f>
        <v>irvin.tinocogomez@2hourlearning.com</v>
      </c>
      <c r="L4191" s="6" t="str">
        <f>IFERROR(__xludf.DUMMYFUNCTION("""COMPUTED_VALUE"""),"JHES - Hardeeville Elementary School")</f>
        <v>JHES - Hardeeville Elementary School</v>
      </c>
      <c r="M4191" s="6" t="str">
        <f>IFERROR(__xludf.DUMMYFUNCTION("""COMPUTED_VALUE"""),"")</f>
        <v/>
      </c>
      <c r="N4191" s="6" t="str">
        <f>IFERROR(__xludf.DUMMYFUNCTION("""COMPUTED_VALUE"""),"")</f>
        <v/>
      </c>
      <c r="O4191" s="87" t="str">
        <f>IFERROR(__xludf.DUMMYFUNCTION("""COMPUTED_VALUE"""),"https://drive.google.com/drive/folders/10T2cTQHqEJZqE-st6uFKPoI?usp=share_link")</f>
        <v>https://drive.google.com/drive/folders/10T2cTQHqEJZqE-st6uFKPoI?usp=share_link</v>
      </c>
      <c r="P4191" s="6" t="str">
        <f>IFERROR(__xludf.DUMMYFUNCTION("""COMPUTED_VALUE"""),"Irvin Tinoco Gomez")</f>
        <v>Irvin Tinoco Gomez</v>
      </c>
      <c r="Q4191" s="6" t="str">
        <f>IFERROR(__xludf.DUMMYFUNCTION("""COMPUTED_VALUE"""),"L2")</f>
        <v>L2</v>
      </c>
      <c r="R4191" s="6">
        <f>IFERROR(__xludf.DUMMYFUNCTION("""COMPUTED_VALUE"""),2.0)</f>
        <v>2</v>
      </c>
      <c r="S4191" s="6" t="str">
        <f>IFERROR(__xludf.DUMMYFUNCTION("""COMPUTED_VALUE""")," ")</f>
        <v> </v>
      </c>
      <c r="T4191" s="6" t="str">
        <f>IFERROR(__xludf.DUMMYFUNCTION("""COMPUTED_VALUE"""),"")</f>
        <v/>
      </c>
      <c r="U4191" s="6" t="str">
        <f>IFERROR(__xludf.DUMMYFUNCTION("""COMPUTED_VALUE"""),"5")</f>
        <v>5</v>
      </c>
      <c r="V4191" s="6" t="str">
        <f>IFERROR(__xludf.DUMMYFUNCTION("""COMPUTED_VALUE"""),"")</f>
        <v/>
      </c>
      <c r="W4191" s="6" t="str">
        <f>IFERROR(__xludf.DUMMYFUNCTION("""COMPUTED_VALUE"""),"[]")</f>
        <v>[]</v>
      </c>
      <c r="X4191" s="6" t="str">
        <f>IFERROR(__xludf.DUMMYFUNCTION("""COMPUTED_VALUE"""),"Enrolled")</f>
        <v>Enrolled</v>
      </c>
    </row>
    <row r="4192">
      <c r="A4192" s="6" t="str">
        <f>IFERROR(__xludf.DUMMYFUNCTION("""COMPUTED_VALUE"""),"083-11479")</f>
        <v>083-11479</v>
      </c>
      <c r="B4192" s="6" t="str">
        <f>IFERROR(__xludf.DUMMYFUNCTION("""COMPUTED_VALUE"""),"83")</f>
        <v>83</v>
      </c>
      <c r="C4192" s="6" t="str">
        <f>IFERROR(__xludf.DUMMYFUNCTION("""COMPUTED_VALUE"""),"11479")</f>
        <v>11479</v>
      </c>
      <c r="D4192" s="6" t="str">
        <f>IFERROR(__xludf.DUMMYFUNCTION("""COMPUTED_VALUE"""),"Yair")</f>
        <v>Yair</v>
      </c>
      <c r="E4192" s="6" t="str">
        <f>IFERROR(__xludf.DUMMYFUNCTION("""COMPUTED_VALUE"""),"")</f>
        <v/>
      </c>
      <c r="F4192" s="6" t="str">
        <f>IFERROR(__xludf.DUMMYFUNCTION("""COMPUTED_VALUE"""),"Torres-Morales")</f>
        <v>Torres-Morales</v>
      </c>
      <c r="G4192" s="6" t="str">
        <f>IFERROR(__xludf.DUMMYFUNCTION("""COMPUTED_VALUE"""),"11/30/2014")</f>
        <v>11/30/2014</v>
      </c>
      <c r="H4192" s="6" t="str">
        <f>IFERROR(__xludf.DUMMYFUNCTION("""COMPUTED_VALUE"""),"male")</f>
        <v>male</v>
      </c>
      <c r="I4192" s="6" t="str">
        <f>IFERROR(__xludf.DUMMYFUNCTION("""COMPUTED_VALUE"""),"Level 2")</f>
        <v>Level 2</v>
      </c>
      <c r="J4192" s="6" t="str">
        <f>IFERROR(__xludf.DUMMYFUNCTION("""COMPUTED_VALUE"""),"5")</f>
        <v>5</v>
      </c>
      <c r="K4192" s="6" t="str">
        <f>IFERROR(__xludf.DUMMYFUNCTION("""COMPUTED_VALUE"""),"yair.torresmorales@2hourlearning.com")</f>
        <v>yair.torresmorales@2hourlearning.com</v>
      </c>
      <c r="L4192" s="6" t="str">
        <f>IFERROR(__xludf.DUMMYFUNCTION("""COMPUTED_VALUE"""),"JHES - Hardeeville Elementary School")</f>
        <v>JHES - Hardeeville Elementary School</v>
      </c>
      <c r="M4192" s="6" t="str">
        <f>IFERROR(__xludf.DUMMYFUNCTION("""COMPUTED_VALUE"""),"")</f>
        <v/>
      </c>
      <c r="N4192" s="6" t="str">
        <f>IFERROR(__xludf.DUMMYFUNCTION("""COMPUTED_VALUE"""),"")</f>
        <v/>
      </c>
      <c r="O4192" s="87" t="str">
        <f>IFERROR(__xludf.DUMMYFUNCTION("""COMPUTED_VALUE"""),"https://drive.google.com/drive/folders/10T2cTQHqEJZqE-st6uFKPoI?usp=share_link")</f>
        <v>https://drive.google.com/drive/folders/10T2cTQHqEJZqE-st6uFKPoI?usp=share_link</v>
      </c>
      <c r="P4192" s="6" t="str">
        <f>IFERROR(__xludf.DUMMYFUNCTION("""COMPUTED_VALUE"""),"Yair Torres-Morales")</f>
        <v>Yair Torres-Morales</v>
      </c>
      <c r="Q4192" s="6" t="str">
        <f>IFERROR(__xludf.DUMMYFUNCTION("""COMPUTED_VALUE"""),"L2")</f>
        <v>L2</v>
      </c>
      <c r="R4192" s="6">
        <f>IFERROR(__xludf.DUMMYFUNCTION("""COMPUTED_VALUE"""),2.0)</f>
        <v>2</v>
      </c>
      <c r="S4192" s="6" t="str">
        <f>IFERROR(__xludf.DUMMYFUNCTION("""COMPUTED_VALUE""")," ")</f>
        <v> </v>
      </c>
      <c r="T4192" s="6" t="str">
        <f>IFERROR(__xludf.DUMMYFUNCTION("""COMPUTED_VALUE"""),"")</f>
        <v/>
      </c>
      <c r="U4192" s="6" t="str">
        <f>IFERROR(__xludf.DUMMYFUNCTION("""COMPUTED_VALUE"""),"5")</f>
        <v>5</v>
      </c>
      <c r="V4192" s="6" t="str">
        <f>IFERROR(__xludf.DUMMYFUNCTION("""COMPUTED_VALUE"""),"")</f>
        <v/>
      </c>
      <c r="W4192" s="6" t="str">
        <f>IFERROR(__xludf.DUMMYFUNCTION("""COMPUTED_VALUE"""),"[]")</f>
        <v>[]</v>
      </c>
      <c r="X4192" s="6" t="str">
        <f>IFERROR(__xludf.DUMMYFUNCTION("""COMPUTED_VALUE"""),"Enrolled")</f>
        <v>Enrolled</v>
      </c>
    </row>
    <row r="4193">
      <c r="A4193" s="6" t="str">
        <f>IFERROR(__xludf.DUMMYFUNCTION("""COMPUTED_VALUE"""),"083-11480")</f>
        <v>083-11480</v>
      </c>
      <c r="B4193" s="6" t="str">
        <f>IFERROR(__xludf.DUMMYFUNCTION("""COMPUTED_VALUE"""),"83")</f>
        <v>83</v>
      </c>
      <c r="C4193" s="6" t="str">
        <f>IFERROR(__xludf.DUMMYFUNCTION("""COMPUTED_VALUE"""),"11480")</f>
        <v>11480</v>
      </c>
      <c r="D4193" s="6" t="str">
        <f>IFERROR(__xludf.DUMMYFUNCTION("""COMPUTED_VALUE"""),"Isabella")</f>
        <v>Isabella</v>
      </c>
      <c r="E4193" s="6" t="str">
        <f>IFERROR(__xludf.DUMMYFUNCTION("""COMPUTED_VALUE"""),"")</f>
        <v/>
      </c>
      <c r="F4193" s="6" t="str">
        <f>IFERROR(__xludf.DUMMYFUNCTION("""COMPUTED_VALUE"""),"Trevino")</f>
        <v>Trevino</v>
      </c>
      <c r="G4193" s="6" t="str">
        <f>IFERROR(__xludf.DUMMYFUNCTION("""COMPUTED_VALUE"""),"01/18/2015")</f>
        <v>01/18/2015</v>
      </c>
      <c r="H4193" s="6" t="str">
        <f>IFERROR(__xludf.DUMMYFUNCTION("""COMPUTED_VALUE"""),"female")</f>
        <v>female</v>
      </c>
      <c r="I4193" s="6" t="str">
        <f>IFERROR(__xludf.DUMMYFUNCTION("""COMPUTED_VALUE"""),"Level 2")</f>
        <v>Level 2</v>
      </c>
      <c r="J4193" s="6" t="str">
        <f>IFERROR(__xludf.DUMMYFUNCTION("""COMPUTED_VALUE"""),"5")</f>
        <v>5</v>
      </c>
      <c r="K4193" s="6" t="str">
        <f>IFERROR(__xludf.DUMMYFUNCTION("""COMPUTED_VALUE"""),"isabella.trevino@2hourlearning.com")</f>
        <v>isabella.trevino@2hourlearning.com</v>
      </c>
      <c r="L4193" s="6" t="str">
        <f>IFERROR(__xludf.DUMMYFUNCTION("""COMPUTED_VALUE"""),"JHES - Hardeeville Elementary School")</f>
        <v>JHES - Hardeeville Elementary School</v>
      </c>
      <c r="M4193" s="6" t="str">
        <f>IFERROR(__xludf.DUMMYFUNCTION("""COMPUTED_VALUE"""),"")</f>
        <v/>
      </c>
      <c r="N4193" s="6" t="str">
        <f>IFERROR(__xludf.DUMMYFUNCTION("""COMPUTED_VALUE"""),"")</f>
        <v/>
      </c>
      <c r="O4193" s="87" t="str">
        <f>IFERROR(__xludf.DUMMYFUNCTION("""COMPUTED_VALUE"""),"https://drive.google.com/drive/folders/10T2cTQHqEJZqE-st6uFKPoI?usp=share_link")</f>
        <v>https://drive.google.com/drive/folders/10T2cTQHqEJZqE-st6uFKPoI?usp=share_link</v>
      </c>
      <c r="P4193" s="6" t="str">
        <f>IFERROR(__xludf.DUMMYFUNCTION("""COMPUTED_VALUE"""),"Isabella Trevino")</f>
        <v>Isabella Trevino</v>
      </c>
      <c r="Q4193" s="6" t="str">
        <f>IFERROR(__xludf.DUMMYFUNCTION("""COMPUTED_VALUE"""),"L2")</f>
        <v>L2</v>
      </c>
      <c r="R4193" s="6">
        <f>IFERROR(__xludf.DUMMYFUNCTION("""COMPUTED_VALUE"""),2.0)</f>
        <v>2</v>
      </c>
      <c r="S4193" s="6" t="str">
        <f>IFERROR(__xludf.DUMMYFUNCTION("""COMPUTED_VALUE""")," ")</f>
        <v> </v>
      </c>
      <c r="T4193" s="6" t="str">
        <f>IFERROR(__xludf.DUMMYFUNCTION("""COMPUTED_VALUE"""),"")</f>
        <v/>
      </c>
      <c r="U4193" s="6" t="str">
        <f>IFERROR(__xludf.DUMMYFUNCTION("""COMPUTED_VALUE"""),"5")</f>
        <v>5</v>
      </c>
      <c r="V4193" s="6" t="str">
        <f>IFERROR(__xludf.DUMMYFUNCTION("""COMPUTED_VALUE"""),"")</f>
        <v/>
      </c>
      <c r="W4193" s="6" t="str">
        <f>IFERROR(__xludf.DUMMYFUNCTION("""COMPUTED_VALUE"""),"[]")</f>
        <v>[]</v>
      </c>
      <c r="X4193" s="6" t="str">
        <f>IFERROR(__xludf.DUMMYFUNCTION("""COMPUTED_VALUE"""),"Enrolled")</f>
        <v>Enrolled</v>
      </c>
    </row>
    <row r="4194">
      <c r="A4194" s="6" t="str">
        <f>IFERROR(__xludf.DUMMYFUNCTION("""COMPUTED_VALUE"""),"083-11481")</f>
        <v>083-11481</v>
      </c>
      <c r="B4194" s="6" t="str">
        <f>IFERROR(__xludf.DUMMYFUNCTION("""COMPUTED_VALUE"""),"83")</f>
        <v>83</v>
      </c>
      <c r="C4194" s="6" t="str">
        <f>IFERROR(__xludf.DUMMYFUNCTION("""COMPUTED_VALUE"""),"11481")</f>
        <v>11481</v>
      </c>
      <c r="D4194" s="6" t="str">
        <f>IFERROR(__xludf.DUMMYFUNCTION("""COMPUTED_VALUE"""),"Chance Q")</f>
        <v>Chance Q</v>
      </c>
      <c r="E4194" s="6" t="str">
        <f>IFERROR(__xludf.DUMMYFUNCTION("""COMPUTED_VALUE"""),"")</f>
        <v/>
      </c>
      <c r="F4194" s="6" t="str">
        <f>IFERROR(__xludf.DUMMYFUNCTION("""COMPUTED_VALUE"""),"Young")</f>
        <v>Young</v>
      </c>
      <c r="G4194" s="6" t="str">
        <f>IFERROR(__xludf.DUMMYFUNCTION("""COMPUTED_VALUE"""),"05/26/2015")</f>
        <v>05/26/2015</v>
      </c>
      <c r="H4194" s="6" t="str">
        <f>IFERROR(__xludf.DUMMYFUNCTION("""COMPUTED_VALUE"""),"male")</f>
        <v>male</v>
      </c>
      <c r="I4194" s="6" t="str">
        <f>IFERROR(__xludf.DUMMYFUNCTION("""COMPUTED_VALUE"""),"Level 2")</f>
        <v>Level 2</v>
      </c>
      <c r="J4194" s="6" t="str">
        <f>IFERROR(__xludf.DUMMYFUNCTION("""COMPUTED_VALUE"""),"5")</f>
        <v>5</v>
      </c>
      <c r="K4194" s="6" t="str">
        <f>IFERROR(__xludf.DUMMYFUNCTION("""COMPUTED_VALUE"""),"chanceq.young@2hourlearning.com")</f>
        <v>chanceq.young@2hourlearning.com</v>
      </c>
      <c r="L4194" s="6" t="str">
        <f>IFERROR(__xludf.DUMMYFUNCTION("""COMPUTED_VALUE"""),"JHES - Hardeeville Elementary School")</f>
        <v>JHES - Hardeeville Elementary School</v>
      </c>
      <c r="M4194" s="6" t="str">
        <f>IFERROR(__xludf.DUMMYFUNCTION("""COMPUTED_VALUE"""),"")</f>
        <v/>
      </c>
      <c r="N4194" s="6" t="str">
        <f>IFERROR(__xludf.DUMMYFUNCTION("""COMPUTED_VALUE"""),"")</f>
        <v/>
      </c>
      <c r="O4194" s="87" t="str">
        <f>IFERROR(__xludf.DUMMYFUNCTION("""COMPUTED_VALUE"""),"https://drive.google.com/drive/folders/10T2cTQHqEJZqE-st6uFKPoI?usp=share_link")</f>
        <v>https://drive.google.com/drive/folders/10T2cTQHqEJZqE-st6uFKPoI?usp=share_link</v>
      </c>
      <c r="P4194" s="6" t="str">
        <f>IFERROR(__xludf.DUMMYFUNCTION("""COMPUTED_VALUE"""),"Chance Q Young")</f>
        <v>Chance Q Young</v>
      </c>
      <c r="Q4194" s="6" t="str">
        <f>IFERROR(__xludf.DUMMYFUNCTION("""COMPUTED_VALUE"""),"L2")</f>
        <v>L2</v>
      </c>
      <c r="R4194" s="6">
        <f>IFERROR(__xludf.DUMMYFUNCTION("""COMPUTED_VALUE"""),2.0)</f>
        <v>2</v>
      </c>
      <c r="S4194" s="6" t="str">
        <f>IFERROR(__xludf.DUMMYFUNCTION("""COMPUTED_VALUE""")," ")</f>
        <v> </v>
      </c>
      <c r="T4194" s="6" t="str">
        <f>IFERROR(__xludf.DUMMYFUNCTION("""COMPUTED_VALUE"""),"")</f>
        <v/>
      </c>
      <c r="U4194" s="6" t="str">
        <f>IFERROR(__xludf.DUMMYFUNCTION("""COMPUTED_VALUE"""),"5")</f>
        <v>5</v>
      </c>
      <c r="V4194" s="6" t="str">
        <f>IFERROR(__xludf.DUMMYFUNCTION("""COMPUTED_VALUE"""),"")</f>
        <v/>
      </c>
      <c r="W4194" s="6" t="str">
        <f>IFERROR(__xludf.DUMMYFUNCTION("""COMPUTED_VALUE"""),"[]")</f>
        <v>[]</v>
      </c>
      <c r="X4194" s="6" t="str">
        <f>IFERROR(__xludf.DUMMYFUNCTION("""COMPUTED_VALUE"""),"Enrolled")</f>
        <v>Enrolled</v>
      </c>
    </row>
    <row r="4195">
      <c r="A4195" s="6" t="str">
        <f>IFERROR(__xludf.DUMMYFUNCTION("""COMPUTED_VALUE"""),"083-11482")</f>
        <v>083-11482</v>
      </c>
      <c r="B4195" s="6" t="str">
        <f>IFERROR(__xludf.DUMMYFUNCTION("""COMPUTED_VALUE"""),"83")</f>
        <v>83</v>
      </c>
      <c r="C4195" s="6" t="str">
        <f>IFERROR(__xludf.DUMMYFUNCTION("""COMPUTED_VALUE"""),"11482")</f>
        <v>11482</v>
      </c>
      <c r="D4195" s="6" t="str">
        <f>IFERROR(__xludf.DUMMYFUNCTION("""COMPUTED_VALUE"""),"Brian")</f>
        <v>Brian</v>
      </c>
      <c r="E4195" s="6" t="str">
        <f>IFERROR(__xludf.DUMMYFUNCTION("""COMPUTED_VALUE"""),"")</f>
        <v/>
      </c>
      <c r="F4195" s="6" t="str">
        <f>IFERROR(__xludf.DUMMYFUNCTION("""COMPUTED_VALUE"""),"Barragan Sanchez")</f>
        <v>Barragan Sanchez</v>
      </c>
      <c r="G4195" s="6" t="str">
        <f>IFERROR(__xludf.DUMMYFUNCTION("""COMPUTED_VALUE"""),"09/10/2015")</f>
        <v>09/10/2015</v>
      </c>
      <c r="H4195" s="6" t="str">
        <f>IFERROR(__xludf.DUMMYFUNCTION("""COMPUTED_VALUE"""),"male")</f>
        <v>male</v>
      </c>
      <c r="I4195" s="6" t="str">
        <f>IFERROR(__xludf.DUMMYFUNCTION("""COMPUTED_VALUE"""),"Level 1")</f>
        <v>Level 1</v>
      </c>
      <c r="J4195" s="6" t="str">
        <f>IFERROR(__xludf.DUMMYFUNCTION("""COMPUTED_VALUE"""),"3")</f>
        <v>3</v>
      </c>
      <c r="K4195" s="6" t="str">
        <f>IFERROR(__xludf.DUMMYFUNCTION("""COMPUTED_VALUE"""),"brian.barragansanchez@2hourlearning.com")</f>
        <v>brian.barragansanchez@2hourlearning.com</v>
      </c>
      <c r="L4195" s="6" t="str">
        <f>IFERROR(__xludf.DUMMYFUNCTION("""COMPUTED_VALUE"""),"JHES - Hardeeville Elementary School")</f>
        <v>JHES - Hardeeville Elementary School</v>
      </c>
      <c r="M4195" s="6" t="str">
        <f>IFERROR(__xludf.DUMMYFUNCTION("""COMPUTED_VALUE"""),"")</f>
        <v/>
      </c>
      <c r="N4195" s="6" t="str">
        <f>IFERROR(__xludf.DUMMYFUNCTION("""COMPUTED_VALUE"""),"")</f>
        <v/>
      </c>
      <c r="O4195" s="87" t="str">
        <f>IFERROR(__xludf.DUMMYFUNCTION("""COMPUTED_VALUE"""),"https://drive.google.com/drive/folders/10T2cTQHqEJZqE-st6uFKPoI?usp=share_link")</f>
        <v>https://drive.google.com/drive/folders/10T2cTQHqEJZqE-st6uFKPoI?usp=share_link</v>
      </c>
      <c r="P4195" s="6" t="str">
        <f>IFERROR(__xludf.DUMMYFUNCTION("""COMPUTED_VALUE"""),"Brian Barragan Sanchez")</f>
        <v>Brian Barragan Sanchez</v>
      </c>
      <c r="Q4195" s="6" t="str">
        <f>IFERROR(__xludf.DUMMYFUNCTION("""COMPUTED_VALUE"""),"L1")</f>
        <v>L1</v>
      </c>
      <c r="R4195" s="6">
        <f>IFERROR(__xludf.DUMMYFUNCTION("""COMPUTED_VALUE"""),1.0)</f>
        <v>1</v>
      </c>
      <c r="S4195" s="6" t="str">
        <f>IFERROR(__xludf.DUMMYFUNCTION("""COMPUTED_VALUE""")," ")</f>
        <v> </v>
      </c>
      <c r="T4195" s="6" t="str">
        <f>IFERROR(__xludf.DUMMYFUNCTION("""COMPUTED_VALUE"""),"")</f>
        <v/>
      </c>
      <c r="U4195" s="6" t="str">
        <f>IFERROR(__xludf.DUMMYFUNCTION("""COMPUTED_VALUE"""),"3")</f>
        <v>3</v>
      </c>
      <c r="V4195" s="6" t="str">
        <f>IFERROR(__xludf.DUMMYFUNCTION("""COMPUTED_VALUE"""),"")</f>
        <v/>
      </c>
      <c r="W4195" s="6" t="str">
        <f>IFERROR(__xludf.DUMMYFUNCTION("""COMPUTED_VALUE"""),"[]")</f>
        <v>[]</v>
      </c>
      <c r="X4195" s="6" t="str">
        <f>IFERROR(__xludf.DUMMYFUNCTION("""COMPUTED_VALUE"""),"Enrolled")</f>
        <v>Enrolled</v>
      </c>
    </row>
    <row r="4196">
      <c r="A4196" s="6" t="str">
        <f>IFERROR(__xludf.DUMMYFUNCTION("""COMPUTED_VALUE"""),"083-11483")</f>
        <v>083-11483</v>
      </c>
      <c r="B4196" s="6" t="str">
        <f>IFERROR(__xludf.DUMMYFUNCTION("""COMPUTED_VALUE"""),"83")</f>
        <v>83</v>
      </c>
      <c r="C4196" s="6" t="str">
        <f>IFERROR(__xludf.DUMMYFUNCTION("""COMPUTED_VALUE"""),"11483")</f>
        <v>11483</v>
      </c>
      <c r="D4196" s="6" t="str">
        <f>IFERROR(__xludf.DUMMYFUNCTION("""COMPUTED_VALUE"""),"Briseida")</f>
        <v>Briseida</v>
      </c>
      <c r="E4196" s="6" t="str">
        <f>IFERROR(__xludf.DUMMYFUNCTION("""COMPUTED_VALUE"""),"")</f>
        <v/>
      </c>
      <c r="F4196" s="6" t="str">
        <f>IFERROR(__xludf.DUMMYFUNCTION("""COMPUTED_VALUE"""),"Camacho Tinoco")</f>
        <v>Camacho Tinoco</v>
      </c>
      <c r="G4196" s="6" t="str">
        <f>IFERROR(__xludf.DUMMYFUNCTION("""COMPUTED_VALUE"""),"01/04/2016")</f>
        <v>01/04/2016</v>
      </c>
      <c r="H4196" s="6" t="str">
        <f>IFERROR(__xludf.DUMMYFUNCTION("""COMPUTED_VALUE"""),"female")</f>
        <v>female</v>
      </c>
      <c r="I4196" s="6" t="str">
        <f>IFERROR(__xludf.DUMMYFUNCTION("""COMPUTED_VALUE"""),"Level 1")</f>
        <v>Level 1</v>
      </c>
      <c r="J4196" s="6" t="str">
        <f>IFERROR(__xludf.DUMMYFUNCTION("""COMPUTED_VALUE"""),"3")</f>
        <v>3</v>
      </c>
      <c r="K4196" s="6" t="str">
        <f>IFERROR(__xludf.DUMMYFUNCTION("""COMPUTED_VALUE"""),"briseida.camachotinoco@2hourlearning.com")</f>
        <v>briseida.camachotinoco@2hourlearning.com</v>
      </c>
      <c r="L4196" s="6" t="str">
        <f>IFERROR(__xludf.DUMMYFUNCTION("""COMPUTED_VALUE"""),"JHES - Hardeeville Elementary School")</f>
        <v>JHES - Hardeeville Elementary School</v>
      </c>
      <c r="M4196" s="6" t="str">
        <f>IFERROR(__xludf.DUMMYFUNCTION("""COMPUTED_VALUE"""),"")</f>
        <v/>
      </c>
      <c r="N4196" s="6" t="str">
        <f>IFERROR(__xludf.DUMMYFUNCTION("""COMPUTED_VALUE"""),"")</f>
        <v/>
      </c>
      <c r="O4196" s="87" t="str">
        <f>IFERROR(__xludf.DUMMYFUNCTION("""COMPUTED_VALUE"""),"https://drive.google.com/drive/folders/10T2cTQHqEJZqE-st6uFKPoI?usp=share_link")</f>
        <v>https://drive.google.com/drive/folders/10T2cTQHqEJZqE-st6uFKPoI?usp=share_link</v>
      </c>
      <c r="P4196" s="6" t="str">
        <f>IFERROR(__xludf.DUMMYFUNCTION("""COMPUTED_VALUE"""),"Briseida Camacho Tinoco")</f>
        <v>Briseida Camacho Tinoco</v>
      </c>
      <c r="Q4196" s="6" t="str">
        <f>IFERROR(__xludf.DUMMYFUNCTION("""COMPUTED_VALUE"""),"L1")</f>
        <v>L1</v>
      </c>
      <c r="R4196" s="6">
        <f>IFERROR(__xludf.DUMMYFUNCTION("""COMPUTED_VALUE"""),1.0)</f>
        <v>1</v>
      </c>
      <c r="S4196" s="6" t="str">
        <f>IFERROR(__xludf.DUMMYFUNCTION("""COMPUTED_VALUE""")," ")</f>
        <v> </v>
      </c>
      <c r="T4196" s="6" t="str">
        <f>IFERROR(__xludf.DUMMYFUNCTION("""COMPUTED_VALUE"""),"")</f>
        <v/>
      </c>
      <c r="U4196" s="6" t="str">
        <f>IFERROR(__xludf.DUMMYFUNCTION("""COMPUTED_VALUE"""),"3")</f>
        <v>3</v>
      </c>
      <c r="V4196" s="6" t="str">
        <f>IFERROR(__xludf.DUMMYFUNCTION("""COMPUTED_VALUE"""),"")</f>
        <v/>
      </c>
      <c r="W4196" s="6" t="str">
        <f>IFERROR(__xludf.DUMMYFUNCTION("""COMPUTED_VALUE"""),"[]")</f>
        <v>[]</v>
      </c>
      <c r="X4196" s="6" t="str">
        <f>IFERROR(__xludf.DUMMYFUNCTION("""COMPUTED_VALUE"""),"Enrolled")</f>
        <v>Enrolled</v>
      </c>
    </row>
    <row r="4197">
      <c r="A4197" s="6" t="str">
        <f>IFERROR(__xludf.DUMMYFUNCTION("""COMPUTED_VALUE"""),"083-11484")</f>
        <v>083-11484</v>
      </c>
      <c r="B4197" s="6" t="str">
        <f>IFERROR(__xludf.DUMMYFUNCTION("""COMPUTED_VALUE"""),"83")</f>
        <v>83</v>
      </c>
      <c r="C4197" s="6" t="str">
        <f>IFERROR(__xludf.DUMMYFUNCTION("""COMPUTED_VALUE"""),"11484")</f>
        <v>11484</v>
      </c>
      <c r="D4197" s="6" t="str">
        <f>IFERROR(__xludf.DUMMYFUNCTION("""COMPUTED_VALUE"""),"Aylin")</f>
        <v>Aylin</v>
      </c>
      <c r="E4197" s="6" t="str">
        <f>IFERROR(__xludf.DUMMYFUNCTION("""COMPUTED_VALUE"""),"")</f>
        <v/>
      </c>
      <c r="F4197" s="6" t="str">
        <f>IFERROR(__xludf.DUMMYFUNCTION("""COMPUTED_VALUE"""),"Contreras Vargas")</f>
        <v>Contreras Vargas</v>
      </c>
      <c r="G4197" s="6" t="str">
        <f>IFERROR(__xludf.DUMMYFUNCTION("""COMPUTED_VALUE"""),"05/02/2017")</f>
        <v>05/02/2017</v>
      </c>
      <c r="H4197" s="6" t="str">
        <f>IFERROR(__xludf.DUMMYFUNCTION("""COMPUTED_VALUE"""),"female")</f>
        <v>female</v>
      </c>
      <c r="I4197" s="6" t="str">
        <f>IFERROR(__xludf.DUMMYFUNCTION("""COMPUTED_VALUE"""),"Level 1")</f>
        <v>Level 1</v>
      </c>
      <c r="J4197" s="6" t="str">
        <f>IFERROR(__xludf.DUMMYFUNCTION("""COMPUTED_VALUE"""),"3")</f>
        <v>3</v>
      </c>
      <c r="K4197" s="6" t="str">
        <f>IFERROR(__xludf.DUMMYFUNCTION("""COMPUTED_VALUE"""),"aylin.contrerasvargas@2hourlearning.com")</f>
        <v>aylin.contrerasvargas@2hourlearning.com</v>
      </c>
      <c r="L4197" s="6" t="str">
        <f>IFERROR(__xludf.DUMMYFUNCTION("""COMPUTED_VALUE"""),"JHES - Hardeeville Elementary School")</f>
        <v>JHES - Hardeeville Elementary School</v>
      </c>
      <c r="M4197" s="6" t="str">
        <f>IFERROR(__xludf.DUMMYFUNCTION("""COMPUTED_VALUE"""),"")</f>
        <v/>
      </c>
      <c r="N4197" s="6" t="str">
        <f>IFERROR(__xludf.DUMMYFUNCTION("""COMPUTED_VALUE"""),"")</f>
        <v/>
      </c>
      <c r="O4197" s="87" t="str">
        <f>IFERROR(__xludf.DUMMYFUNCTION("""COMPUTED_VALUE"""),"https://drive.google.com/drive/folders/10T2cTQHqEJZqE-st6uFKPoI?usp=share_link")</f>
        <v>https://drive.google.com/drive/folders/10T2cTQHqEJZqE-st6uFKPoI?usp=share_link</v>
      </c>
      <c r="P4197" s="6" t="str">
        <f>IFERROR(__xludf.DUMMYFUNCTION("""COMPUTED_VALUE"""),"Aylin Contreras Vargas")</f>
        <v>Aylin Contreras Vargas</v>
      </c>
      <c r="Q4197" s="6" t="str">
        <f>IFERROR(__xludf.DUMMYFUNCTION("""COMPUTED_VALUE"""),"L1")</f>
        <v>L1</v>
      </c>
      <c r="R4197" s="6">
        <f>IFERROR(__xludf.DUMMYFUNCTION("""COMPUTED_VALUE"""),1.0)</f>
        <v>1</v>
      </c>
      <c r="S4197" s="6" t="str">
        <f>IFERROR(__xludf.DUMMYFUNCTION("""COMPUTED_VALUE""")," ")</f>
        <v> </v>
      </c>
      <c r="T4197" s="6" t="str">
        <f>IFERROR(__xludf.DUMMYFUNCTION("""COMPUTED_VALUE"""),"")</f>
        <v/>
      </c>
      <c r="U4197" s="6" t="str">
        <f>IFERROR(__xludf.DUMMYFUNCTION("""COMPUTED_VALUE"""),"3")</f>
        <v>3</v>
      </c>
      <c r="V4197" s="6" t="str">
        <f>IFERROR(__xludf.DUMMYFUNCTION("""COMPUTED_VALUE"""),"")</f>
        <v/>
      </c>
      <c r="W4197" s="6" t="str">
        <f>IFERROR(__xludf.DUMMYFUNCTION("""COMPUTED_VALUE"""),"[]")</f>
        <v>[]</v>
      </c>
      <c r="X4197" s="6" t="str">
        <f>IFERROR(__xludf.DUMMYFUNCTION("""COMPUTED_VALUE"""),"Enrolled")</f>
        <v>Enrolled</v>
      </c>
    </row>
    <row r="4198">
      <c r="A4198" s="6" t="str">
        <f>IFERROR(__xludf.DUMMYFUNCTION("""COMPUTED_VALUE"""),"083-11485")</f>
        <v>083-11485</v>
      </c>
      <c r="B4198" s="6" t="str">
        <f>IFERROR(__xludf.DUMMYFUNCTION("""COMPUTED_VALUE"""),"83")</f>
        <v>83</v>
      </c>
      <c r="C4198" s="6" t="str">
        <f>IFERROR(__xludf.DUMMYFUNCTION("""COMPUTED_VALUE"""),"11485")</f>
        <v>11485</v>
      </c>
      <c r="D4198" s="6" t="str">
        <f>IFERROR(__xludf.DUMMYFUNCTION("""COMPUTED_VALUE"""),"Anderson")</f>
        <v>Anderson</v>
      </c>
      <c r="E4198" s="6" t="str">
        <f>IFERROR(__xludf.DUMMYFUNCTION("""COMPUTED_VALUE"""),"")</f>
        <v/>
      </c>
      <c r="F4198" s="6" t="str">
        <f>IFERROR(__xludf.DUMMYFUNCTION("""COMPUTED_VALUE"""),"Diaz Ramirez")</f>
        <v>Diaz Ramirez</v>
      </c>
      <c r="G4198" s="6" t="str">
        <f>IFERROR(__xludf.DUMMYFUNCTION("""COMPUTED_VALUE"""),"09/08/2016")</f>
        <v>09/08/2016</v>
      </c>
      <c r="H4198" s="6" t="str">
        <f>IFERROR(__xludf.DUMMYFUNCTION("""COMPUTED_VALUE"""),"male")</f>
        <v>male</v>
      </c>
      <c r="I4198" s="6" t="str">
        <f>IFERROR(__xludf.DUMMYFUNCTION("""COMPUTED_VALUE"""),"Level 1")</f>
        <v>Level 1</v>
      </c>
      <c r="J4198" s="6" t="str">
        <f>IFERROR(__xludf.DUMMYFUNCTION("""COMPUTED_VALUE"""),"3")</f>
        <v>3</v>
      </c>
      <c r="K4198" s="6" t="str">
        <f>IFERROR(__xludf.DUMMYFUNCTION("""COMPUTED_VALUE"""),"anderson.diazramirez@2hourlearning.com")</f>
        <v>anderson.diazramirez@2hourlearning.com</v>
      </c>
      <c r="L4198" s="6" t="str">
        <f>IFERROR(__xludf.DUMMYFUNCTION("""COMPUTED_VALUE"""),"JHES - Hardeeville Elementary School")</f>
        <v>JHES - Hardeeville Elementary School</v>
      </c>
      <c r="M4198" s="6" t="str">
        <f>IFERROR(__xludf.DUMMYFUNCTION("""COMPUTED_VALUE"""),"")</f>
        <v/>
      </c>
      <c r="N4198" s="6" t="str">
        <f>IFERROR(__xludf.DUMMYFUNCTION("""COMPUTED_VALUE"""),"")</f>
        <v/>
      </c>
      <c r="O4198" s="87" t="str">
        <f>IFERROR(__xludf.DUMMYFUNCTION("""COMPUTED_VALUE"""),"https://drive.google.com/drive/folders/10T2cTQHqEJZqE-st6uFKPoI?usp=share_link")</f>
        <v>https://drive.google.com/drive/folders/10T2cTQHqEJZqE-st6uFKPoI?usp=share_link</v>
      </c>
      <c r="P4198" s="6" t="str">
        <f>IFERROR(__xludf.DUMMYFUNCTION("""COMPUTED_VALUE"""),"Anderson Diaz Ramirez")</f>
        <v>Anderson Diaz Ramirez</v>
      </c>
      <c r="Q4198" s="6" t="str">
        <f>IFERROR(__xludf.DUMMYFUNCTION("""COMPUTED_VALUE"""),"L1")</f>
        <v>L1</v>
      </c>
      <c r="R4198" s="6">
        <f>IFERROR(__xludf.DUMMYFUNCTION("""COMPUTED_VALUE"""),1.0)</f>
        <v>1</v>
      </c>
      <c r="S4198" s="6" t="str">
        <f>IFERROR(__xludf.DUMMYFUNCTION("""COMPUTED_VALUE""")," ")</f>
        <v> </v>
      </c>
      <c r="T4198" s="6" t="str">
        <f>IFERROR(__xludf.DUMMYFUNCTION("""COMPUTED_VALUE"""),"")</f>
        <v/>
      </c>
      <c r="U4198" s="6" t="str">
        <f>IFERROR(__xludf.DUMMYFUNCTION("""COMPUTED_VALUE"""),"3")</f>
        <v>3</v>
      </c>
      <c r="V4198" s="6" t="str">
        <f>IFERROR(__xludf.DUMMYFUNCTION("""COMPUTED_VALUE"""),"")</f>
        <v/>
      </c>
      <c r="W4198" s="6" t="str">
        <f>IFERROR(__xludf.DUMMYFUNCTION("""COMPUTED_VALUE"""),"[]")</f>
        <v>[]</v>
      </c>
      <c r="X4198" s="6" t="str">
        <f>IFERROR(__xludf.DUMMYFUNCTION("""COMPUTED_VALUE"""),"Enrolled")</f>
        <v>Enrolled</v>
      </c>
    </row>
    <row r="4199">
      <c r="A4199" s="6" t="str">
        <f>IFERROR(__xludf.DUMMYFUNCTION("""COMPUTED_VALUE"""),"083-11486")</f>
        <v>083-11486</v>
      </c>
      <c r="B4199" s="6" t="str">
        <f>IFERROR(__xludf.DUMMYFUNCTION("""COMPUTED_VALUE"""),"83")</f>
        <v>83</v>
      </c>
      <c r="C4199" s="6" t="str">
        <f>IFERROR(__xludf.DUMMYFUNCTION("""COMPUTED_VALUE"""),"11486")</f>
        <v>11486</v>
      </c>
      <c r="D4199" s="6" t="str">
        <f>IFERROR(__xludf.DUMMYFUNCTION("""COMPUTED_VALUE"""),"Kernard")</f>
        <v>Kernard</v>
      </c>
      <c r="E4199" s="6" t="str">
        <f>IFERROR(__xludf.DUMMYFUNCTION("""COMPUTED_VALUE"""),"")</f>
        <v/>
      </c>
      <c r="F4199" s="6" t="str">
        <f>IFERROR(__xludf.DUMMYFUNCTION("""COMPUTED_VALUE"""),"Dingle")</f>
        <v>Dingle</v>
      </c>
      <c r="G4199" s="6" t="str">
        <f>IFERROR(__xludf.DUMMYFUNCTION("""COMPUTED_VALUE"""),"09/11/2015")</f>
        <v>09/11/2015</v>
      </c>
      <c r="H4199" s="6" t="str">
        <f>IFERROR(__xludf.DUMMYFUNCTION("""COMPUTED_VALUE"""),"male")</f>
        <v>male</v>
      </c>
      <c r="I4199" s="6" t="str">
        <f>IFERROR(__xludf.DUMMYFUNCTION("""COMPUTED_VALUE"""),"Level 1")</f>
        <v>Level 1</v>
      </c>
      <c r="J4199" s="6" t="str">
        <f>IFERROR(__xludf.DUMMYFUNCTION("""COMPUTED_VALUE"""),"3")</f>
        <v>3</v>
      </c>
      <c r="K4199" s="6" t="str">
        <f>IFERROR(__xludf.DUMMYFUNCTION("""COMPUTED_VALUE"""),"kernard.dingle@2hourlearning.com")</f>
        <v>kernard.dingle@2hourlearning.com</v>
      </c>
      <c r="L4199" s="6" t="str">
        <f>IFERROR(__xludf.DUMMYFUNCTION("""COMPUTED_VALUE"""),"JHES - Hardeeville Elementary School")</f>
        <v>JHES - Hardeeville Elementary School</v>
      </c>
      <c r="M4199" s="6" t="str">
        <f>IFERROR(__xludf.DUMMYFUNCTION("""COMPUTED_VALUE"""),"")</f>
        <v/>
      </c>
      <c r="N4199" s="6" t="str">
        <f>IFERROR(__xludf.DUMMYFUNCTION("""COMPUTED_VALUE"""),"")</f>
        <v/>
      </c>
      <c r="O4199" s="87" t="str">
        <f>IFERROR(__xludf.DUMMYFUNCTION("""COMPUTED_VALUE"""),"https://drive.google.com/drive/folders/10T2cTQHqEJZqE-st6uFKPoI?usp=share_link")</f>
        <v>https://drive.google.com/drive/folders/10T2cTQHqEJZqE-st6uFKPoI?usp=share_link</v>
      </c>
      <c r="P4199" s="6" t="str">
        <f>IFERROR(__xludf.DUMMYFUNCTION("""COMPUTED_VALUE"""),"Kernard Dingle")</f>
        <v>Kernard Dingle</v>
      </c>
      <c r="Q4199" s="6" t="str">
        <f>IFERROR(__xludf.DUMMYFUNCTION("""COMPUTED_VALUE"""),"L1")</f>
        <v>L1</v>
      </c>
      <c r="R4199" s="6">
        <f>IFERROR(__xludf.DUMMYFUNCTION("""COMPUTED_VALUE"""),1.0)</f>
        <v>1</v>
      </c>
      <c r="S4199" s="6" t="str">
        <f>IFERROR(__xludf.DUMMYFUNCTION("""COMPUTED_VALUE""")," ")</f>
        <v> </v>
      </c>
      <c r="T4199" s="6" t="str">
        <f>IFERROR(__xludf.DUMMYFUNCTION("""COMPUTED_VALUE"""),"")</f>
        <v/>
      </c>
      <c r="U4199" s="6" t="str">
        <f>IFERROR(__xludf.DUMMYFUNCTION("""COMPUTED_VALUE"""),"3")</f>
        <v>3</v>
      </c>
      <c r="V4199" s="6" t="str">
        <f>IFERROR(__xludf.DUMMYFUNCTION("""COMPUTED_VALUE"""),"")</f>
        <v/>
      </c>
      <c r="W4199" s="6" t="str">
        <f>IFERROR(__xludf.DUMMYFUNCTION("""COMPUTED_VALUE"""),"[]")</f>
        <v>[]</v>
      </c>
      <c r="X4199" s="6" t="str">
        <f>IFERROR(__xludf.DUMMYFUNCTION("""COMPUTED_VALUE"""),"Enrolled")</f>
        <v>Enrolled</v>
      </c>
    </row>
    <row r="4200">
      <c r="A4200" s="6" t="str">
        <f>IFERROR(__xludf.DUMMYFUNCTION("""COMPUTED_VALUE"""),"083-11487")</f>
        <v>083-11487</v>
      </c>
      <c r="B4200" s="6" t="str">
        <f>IFERROR(__xludf.DUMMYFUNCTION("""COMPUTED_VALUE"""),"83")</f>
        <v>83</v>
      </c>
      <c r="C4200" s="6" t="str">
        <f>IFERROR(__xludf.DUMMYFUNCTION("""COMPUTED_VALUE"""),"11487")</f>
        <v>11487</v>
      </c>
      <c r="D4200" s="6" t="str">
        <f>IFERROR(__xludf.DUMMYFUNCTION("""COMPUTED_VALUE"""),"Jaime")</f>
        <v>Jaime</v>
      </c>
      <c r="E4200" s="6" t="str">
        <f>IFERROR(__xludf.DUMMYFUNCTION("""COMPUTED_VALUE"""),"")</f>
        <v/>
      </c>
      <c r="F4200" s="6" t="str">
        <f>IFERROR(__xludf.DUMMYFUNCTION("""COMPUTED_VALUE"""),"Dubon-Andrade")</f>
        <v>Dubon-Andrade</v>
      </c>
      <c r="G4200" s="6" t="str">
        <f>IFERROR(__xludf.DUMMYFUNCTION("""COMPUTED_VALUE"""),"01/25/2016")</f>
        <v>01/25/2016</v>
      </c>
      <c r="H4200" s="6" t="str">
        <f>IFERROR(__xludf.DUMMYFUNCTION("""COMPUTED_VALUE"""),"male")</f>
        <v>male</v>
      </c>
      <c r="I4200" s="6" t="str">
        <f>IFERROR(__xludf.DUMMYFUNCTION("""COMPUTED_VALUE"""),"Level 1")</f>
        <v>Level 1</v>
      </c>
      <c r="J4200" s="6" t="str">
        <f>IFERROR(__xludf.DUMMYFUNCTION("""COMPUTED_VALUE"""),"3")</f>
        <v>3</v>
      </c>
      <c r="K4200" s="6" t="str">
        <f>IFERROR(__xludf.DUMMYFUNCTION("""COMPUTED_VALUE"""),"jaime.dubonandrade@2hourlearning.com")</f>
        <v>jaime.dubonandrade@2hourlearning.com</v>
      </c>
      <c r="L4200" s="6" t="str">
        <f>IFERROR(__xludf.DUMMYFUNCTION("""COMPUTED_VALUE"""),"JHES - Hardeeville Elementary School")</f>
        <v>JHES - Hardeeville Elementary School</v>
      </c>
      <c r="M4200" s="6" t="str">
        <f>IFERROR(__xludf.DUMMYFUNCTION("""COMPUTED_VALUE"""),"")</f>
        <v/>
      </c>
      <c r="N4200" s="6" t="str">
        <f>IFERROR(__xludf.DUMMYFUNCTION("""COMPUTED_VALUE"""),"")</f>
        <v/>
      </c>
      <c r="O4200" s="87" t="str">
        <f>IFERROR(__xludf.DUMMYFUNCTION("""COMPUTED_VALUE"""),"https://drive.google.com/drive/folders/10T2cTQHqEJZqE-st6uFKPoI?usp=share_link")</f>
        <v>https://drive.google.com/drive/folders/10T2cTQHqEJZqE-st6uFKPoI?usp=share_link</v>
      </c>
      <c r="P4200" s="6" t="str">
        <f>IFERROR(__xludf.DUMMYFUNCTION("""COMPUTED_VALUE"""),"Jaime Dubon-Andrade")</f>
        <v>Jaime Dubon-Andrade</v>
      </c>
      <c r="Q4200" s="6" t="str">
        <f>IFERROR(__xludf.DUMMYFUNCTION("""COMPUTED_VALUE"""),"L1")</f>
        <v>L1</v>
      </c>
      <c r="R4200" s="6">
        <f>IFERROR(__xludf.DUMMYFUNCTION("""COMPUTED_VALUE"""),1.0)</f>
        <v>1</v>
      </c>
      <c r="S4200" s="6" t="str">
        <f>IFERROR(__xludf.DUMMYFUNCTION("""COMPUTED_VALUE""")," ")</f>
        <v> </v>
      </c>
      <c r="T4200" s="6" t="str">
        <f>IFERROR(__xludf.DUMMYFUNCTION("""COMPUTED_VALUE"""),"")</f>
        <v/>
      </c>
      <c r="U4200" s="6" t="str">
        <f>IFERROR(__xludf.DUMMYFUNCTION("""COMPUTED_VALUE"""),"3")</f>
        <v>3</v>
      </c>
      <c r="V4200" s="6" t="str">
        <f>IFERROR(__xludf.DUMMYFUNCTION("""COMPUTED_VALUE"""),"")</f>
        <v/>
      </c>
      <c r="W4200" s="6" t="str">
        <f>IFERROR(__xludf.DUMMYFUNCTION("""COMPUTED_VALUE"""),"[]")</f>
        <v>[]</v>
      </c>
      <c r="X4200" s="6" t="str">
        <f>IFERROR(__xludf.DUMMYFUNCTION("""COMPUTED_VALUE"""),"Enrolled")</f>
        <v>Enrolled</v>
      </c>
    </row>
    <row r="4201">
      <c r="A4201" s="6" t="str">
        <f>IFERROR(__xludf.DUMMYFUNCTION("""COMPUTED_VALUE"""),"083-11488")</f>
        <v>083-11488</v>
      </c>
      <c r="B4201" s="6" t="str">
        <f>IFERROR(__xludf.DUMMYFUNCTION("""COMPUTED_VALUE"""),"83")</f>
        <v>83</v>
      </c>
      <c r="C4201" s="6" t="str">
        <f>IFERROR(__xludf.DUMMYFUNCTION("""COMPUTED_VALUE"""),"11488")</f>
        <v>11488</v>
      </c>
      <c r="D4201" s="6" t="str">
        <f>IFERROR(__xludf.DUMMYFUNCTION("""COMPUTED_VALUE"""),"Denisse")</f>
        <v>Denisse</v>
      </c>
      <c r="E4201" s="6" t="str">
        <f>IFERROR(__xludf.DUMMYFUNCTION("""COMPUTED_VALUE"""),"")</f>
        <v/>
      </c>
      <c r="F4201" s="6" t="str">
        <f>IFERROR(__xludf.DUMMYFUNCTION("""COMPUTED_VALUE"""),"Fernandez Ortega")</f>
        <v>Fernandez Ortega</v>
      </c>
      <c r="G4201" s="6" t="str">
        <f>IFERROR(__xludf.DUMMYFUNCTION("""COMPUTED_VALUE"""),"03/17/2016")</f>
        <v>03/17/2016</v>
      </c>
      <c r="H4201" s="6" t="str">
        <f>IFERROR(__xludf.DUMMYFUNCTION("""COMPUTED_VALUE"""),"female")</f>
        <v>female</v>
      </c>
      <c r="I4201" s="6" t="str">
        <f>IFERROR(__xludf.DUMMYFUNCTION("""COMPUTED_VALUE"""),"Level 1")</f>
        <v>Level 1</v>
      </c>
      <c r="J4201" s="6" t="str">
        <f>IFERROR(__xludf.DUMMYFUNCTION("""COMPUTED_VALUE"""),"3")</f>
        <v>3</v>
      </c>
      <c r="K4201" s="6" t="str">
        <f>IFERROR(__xludf.DUMMYFUNCTION("""COMPUTED_VALUE"""),"denisse.fernandezortega@2hourlearning.com")</f>
        <v>denisse.fernandezortega@2hourlearning.com</v>
      </c>
      <c r="L4201" s="6" t="str">
        <f>IFERROR(__xludf.DUMMYFUNCTION("""COMPUTED_VALUE"""),"JHES - Hardeeville Elementary School")</f>
        <v>JHES - Hardeeville Elementary School</v>
      </c>
      <c r="M4201" s="6" t="str">
        <f>IFERROR(__xludf.DUMMYFUNCTION("""COMPUTED_VALUE"""),"")</f>
        <v/>
      </c>
      <c r="N4201" s="6" t="str">
        <f>IFERROR(__xludf.DUMMYFUNCTION("""COMPUTED_VALUE"""),"")</f>
        <v/>
      </c>
      <c r="O4201" s="87" t="str">
        <f>IFERROR(__xludf.DUMMYFUNCTION("""COMPUTED_VALUE"""),"https://drive.google.com/drive/folders/10T2cTQHqEJZqE-st6uFKPoI?usp=share_link")</f>
        <v>https://drive.google.com/drive/folders/10T2cTQHqEJZqE-st6uFKPoI?usp=share_link</v>
      </c>
      <c r="P4201" s="6" t="str">
        <f>IFERROR(__xludf.DUMMYFUNCTION("""COMPUTED_VALUE"""),"Denisse Fernandez Ortega")</f>
        <v>Denisse Fernandez Ortega</v>
      </c>
      <c r="Q4201" s="6" t="str">
        <f>IFERROR(__xludf.DUMMYFUNCTION("""COMPUTED_VALUE"""),"L1")</f>
        <v>L1</v>
      </c>
      <c r="R4201" s="6">
        <f>IFERROR(__xludf.DUMMYFUNCTION("""COMPUTED_VALUE"""),1.0)</f>
        <v>1</v>
      </c>
      <c r="S4201" s="6" t="str">
        <f>IFERROR(__xludf.DUMMYFUNCTION("""COMPUTED_VALUE""")," ")</f>
        <v> </v>
      </c>
      <c r="T4201" s="6" t="str">
        <f>IFERROR(__xludf.DUMMYFUNCTION("""COMPUTED_VALUE"""),"")</f>
        <v/>
      </c>
      <c r="U4201" s="6" t="str">
        <f>IFERROR(__xludf.DUMMYFUNCTION("""COMPUTED_VALUE"""),"3")</f>
        <v>3</v>
      </c>
      <c r="V4201" s="6" t="str">
        <f>IFERROR(__xludf.DUMMYFUNCTION("""COMPUTED_VALUE"""),"")</f>
        <v/>
      </c>
      <c r="W4201" s="6" t="str">
        <f>IFERROR(__xludf.DUMMYFUNCTION("""COMPUTED_VALUE"""),"[]")</f>
        <v>[]</v>
      </c>
      <c r="X4201" s="6" t="str">
        <f>IFERROR(__xludf.DUMMYFUNCTION("""COMPUTED_VALUE"""),"Enrolled")</f>
        <v>Enrolled</v>
      </c>
    </row>
    <row r="4202">
      <c r="A4202" s="6" t="str">
        <f>IFERROR(__xludf.DUMMYFUNCTION("""COMPUTED_VALUE"""),"083-11489")</f>
        <v>083-11489</v>
      </c>
      <c r="B4202" s="6" t="str">
        <f>IFERROR(__xludf.DUMMYFUNCTION("""COMPUTED_VALUE"""),"83")</f>
        <v>83</v>
      </c>
      <c r="C4202" s="6" t="str">
        <f>IFERROR(__xludf.DUMMYFUNCTION("""COMPUTED_VALUE"""),"11489")</f>
        <v>11489</v>
      </c>
      <c r="D4202" s="6" t="str">
        <f>IFERROR(__xludf.DUMMYFUNCTION("""COMPUTED_VALUE"""),"Dayani")</f>
        <v>Dayani</v>
      </c>
      <c r="E4202" s="6" t="str">
        <f>IFERROR(__xludf.DUMMYFUNCTION("""COMPUTED_VALUE"""),"")</f>
        <v/>
      </c>
      <c r="F4202" s="6" t="str">
        <f>IFERROR(__xludf.DUMMYFUNCTION("""COMPUTED_VALUE"""),"Flores Pena")</f>
        <v>Flores Pena</v>
      </c>
      <c r="G4202" s="6" t="str">
        <f>IFERROR(__xludf.DUMMYFUNCTION("""COMPUTED_VALUE"""),"06/04/2015")</f>
        <v>06/04/2015</v>
      </c>
      <c r="H4202" s="6" t="str">
        <f>IFERROR(__xludf.DUMMYFUNCTION("""COMPUTED_VALUE"""),"female")</f>
        <v>female</v>
      </c>
      <c r="I4202" s="6" t="str">
        <f>IFERROR(__xludf.DUMMYFUNCTION("""COMPUTED_VALUE"""),"Level 1")</f>
        <v>Level 1</v>
      </c>
      <c r="J4202" s="6" t="str">
        <f>IFERROR(__xludf.DUMMYFUNCTION("""COMPUTED_VALUE"""),"3")</f>
        <v>3</v>
      </c>
      <c r="K4202" s="6" t="str">
        <f>IFERROR(__xludf.DUMMYFUNCTION("""COMPUTED_VALUE"""),"dayani.florespena@2hourlearning.com")</f>
        <v>dayani.florespena@2hourlearning.com</v>
      </c>
      <c r="L4202" s="6" t="str">
        <f>IFERROR(__xludf.DUMMYFUNCTION("""COMPUTED_VALUE"""),"JHES - Hardeeville Elementary School")</f>
        <v>JHES - Hardeeville Elementary School</v>
      </c>
      <c r="M4202" s="6" t="str">
        <f>IFERROR(__xludf.DUMMYFUNCTION("""COMPUTED_VALUE"""),"")</f>
        <v/>
      </c>
      <c r="N4202" s="6" t="str">
        <f>IFERROR(__xludf.DUMMYFUNCTION("""COMPUTED_VALUE"""),"")</f>
        <v/>
      </c>
      <c r="O4202" s="87" t="str">
        <f>IFERROR(__xludf.DUMMYFUNCTION("""COMPUTED_VALUE"""),"https://drive.google.com/drive/folders/10T2cTQHqEJZqE-st6uFKPoI?usp=share_link")</f>
        <v>https://drive.google.com/drive/folders/10T2cTQHqEJZqE-st6uFKPoI?usp=share_link</v>
      </c>
      <c r="P4202" s="6" t="str">
        <f>IFERROR(__xludf.DUMMYFUNCTION("""COMPUTED_VALUE"""),"Dayani Flores Pena")</f>
        <v>Dayani Flores Pena</v>
      </c>
      <c r="Q4202" s="6" t="str">
        <f>IFERROR(__xludf.DUMMYFUNCTION("""COMPUTED_VALUE"""),"L1")</f>
        <v>L1</v>
      </c>
      <c r="R4202" s="6">
        <f>IFERROR(__xludf.DUMMYFUNCTION("""COMPUTED_VALUE"""),1.0)</f>
        <v>1</v>
      </c>
      <c r="S4202" s="6" t="str">
        <f>IFERROR(__xludf.DUMMYFUNCTION("""COMPUTED_VALUE""")," ")</f>
        <v> </v>
      </c>
      <c r="T4202" s="6" t="str">
        <f>IFERROR(__xludf.DUMMYFUNCTION("""COMPUTED_VALUE"""),"")</f>
        <v/>
      </c>
      <c r="U4202" s="6" t="str">
        <f>IFERROR(__xludf.DUMMYFUNCTION("""COMPUTED_VALUE"""),"3")</f>
        <v>3</v>
      </c>
      <c r="V4202" s="6" t="str">
        <f>IFERROR(__xludf.DUMMYFUNCTION("""COMPUTED_VALUE"""),"")</f>
        <v/>
      </c>
      <c r="W4202" s="6" t="str">
        <f>IFERROR(__xludf.DUMMYFUNCTION("""COMPUTED_VALUE"""),"[]")</f>
        <v>[]</v>
      </c>
      <c r="X4202" s="6" t="str">
        <f>IFERROR(__xludf.DUMMYFUNCTION("""COMPUTED_VALUE"""),"Enrolled")</f>
        <v>Enrolled</v>
      </c>
    </row>
    <row r="4203">
      <c r="A4203" s="6" t="str">
        <f>IFERROR(__xludf.DUMMYFUNCTION("""COMPUTED_VALUE"""),"083-11490")</f>
        <v>083-11490</v>
      </c>
      <c r="B4203" s="6" t="str">
        <f>IFERROR(__xludf.DUMMYFUNCTION("""COMPUTED_VALUE"""),"83")</f>
        <v>83</v>
      </c>
      <c r="C4203" s="6" t="str">
        <f>IFERROR(__xludf.DUMMYFUNCTION("""COMPUTED_VALUE"""),"11490")</f>
        <v>11490</v>
      </c>
      <c r="D4203" s="6" t="str">
        <f>IFERROR(__xludf.DUMMYFUNCTION("""COMPUTED_VALUE"""),"Se'maj")</f>
        <v>Se'maj</v>
      </c>
      <c r="E4203" s="6" t="str">
        <f>IFERROR(__xludf.DUMMYFUNCTION("""COMPUTED_VALUE"""),"")</f>
        <v/>
      </c>
      <c r="F4203" s="6" t="str">
        <f>IFERROR(__xludf.DUMMYFUNCTION("""COMPUTED_VALUE"""),"Frederick")</f>
        <v>Frederick</v>
      </c>
      <c r="G4203" s="6" t="str">
        <f>IFERROR(__xludf.DUMMYFUNCTION("""COMPUTED_VALUE"""),"09/03/2015")</f>
        <v>09/03/2015</v>
      </c>
      <c r="H4203" s="6" t="str">
        <f>IFERROR(__xludf.DUMMYFUNCTION("""COMPUTED_VALUE"""),"male")</f>
        <v>male</v>
      </c>
      <c r="I4203" s="6" t="str">
        <f>IFERROR(__xludf.DUMMYFUNCTION("""COMPUTED_VALUE"""),"Level 1")</f>
        <v>Level 1</v>
      </c>
      <c r="J4203" s="6" t="str">
        <f>IFERROR(__xludf.DUMMYFUNCTION("""COMPUTED_VALUE"""),"3")</f>
        <v>3</v>
      </c>
      <c r="K4203" s="6" t="str">
        <f>IFERROR(__xludf.DUMMYFUNCTION("""COMPUTED_VALUE"""),"semaj.frederick@2hourlearning.com")</f>
        <v>semaj.frederick@2hourlearning.com</v>
      </c>
      <c r="L4203" s="6" t="str">
        <f>IFERROR(__xludf.DUMMYFUNCTION("""COMPUTED_VALUE"""),"JHES - Hardeeville Elementary School")</f>
        <v>JHES - Hardeeville Elementary School</v>
      </c>
      <c r="M4203" s="6" t="str">
        <f>IFERROR(__xludf.DUMMYFUNCTION("""COMPUTED_VALUE"""),"")</f>
        <v/>
      </c>
      <c r="N4203" s="6" t="str">
        <f>IFERROR(__xludf.DUMMYFUNCTION("""COMPUTED_VALUE"""),"")</f>
        <v/>
      </c>
      <c r="O4203" s="87" t="str">
        <f>IFERROR(__xludf.DUMMYFUNCTION("""COMPUTED_VALUE"""),"https://drive.google.com/drive/folders/10T2cTQHqEJZqE-st6uFKPoI?usp=share_link")</f>
        <v>https://drive.google.com/drive/folders/10T2cTQHqEJZqE-st6uFKPoI?usp=share_link</v>
      </c>
      <c r="P4203" s="6" t="str">
        <f>IFERROR(__xludf.DUMMYFUNCTION("""COMPUTED_VALUE"""),"Se'maj Frederick")</f>
        <v>Se'maj Frederick</v>
      </c>
      <c r="Q4203" s="6" t="str">
        <f>IFERROR(__xludf.DUMMYFUNCTION("""COMPUTED_VALUE"""),"L1")</f>
        <v>L1</v>
      </c>
      <c r="R4203" s="6">
        <f>IFERROR(__xludf.DUMMYFUNCTION("""COMPUTED_VALUE"""),1.0)</f>
        <v>1</v>
      </c>
      <c r="S4203" s="6" t="str">
        <f>IFERROR(__xludf.DUMMYFUNCTION("""COMPUTED_VALUE""")," ")</f>
        <v> </v>
      </c>
      <c r="T4203" s="6" t="str">
        <f>IFERROR(__xludf.DUMMYFUNCTION("""COMPUTED_VALUE"""),"")</f>
        <v/>
      </c>
      <c r="U4203" s="6" t="str">
        <f>IFERROR(__xludf.DUMMYFUNCTION("""COMPUTED_VALUE"""),"3")</f>
        <v>3</v>
      </c>
      <c r="V4203" s="6" t="str">
        <f>IFERROR(__xludf.DUMMYFUNCTION("""COMPUTED_VALUE"""),"")</f>
        <v/>
      </c>
      <c r="W4203" s="6" t="str">
        <f>IFERROR(__xludf.DUMMYFUNCTION("""COMPUTED_VALUE"""),"[]")</f>
        <v>[]</v>
      </c>
      <c r="X4203" s="6" t="str">
        <f>IFERROR(__xludf.DUMMYFUNCTION("""COMPUTED_VALUE"""),"Enrolled")</f>
        <v>Enrolled</v>
      </c>
    </row>
    <row r="4204">
      <c r="A4204" s="6" t="str">
        <f>IFERROR(__xludf.DUMMYFUNCTION("""COMPUTED_VALUE"""),"083-11491")</f>
        <v>083-11491</v>
      </c>
      <c r="B4204" s="6" t="str">
        <f>IFERROR(__xludf.DUMMYFUNCTION("""COMPUTED_VALUE"""),"83")</f>
        <v>83</v>
      </c>
      <c r="C4204" s="6" t="str">
        <f>IFERROR(__xludf.DUMMYFUNCTION("""COMPUTED_VALUE"""),"11491")</f>
        <v>11491</v>
      </c>
      <c r="D4204" s="6" t="str">
        <f>IFERROR(__xludf.DUMMYFUNCTION("""COMPUTED_VALUE"""),"Dylan")</f>
        <v>Dylan</v>
      </c>
      <c r="E4204" s="6" t="str">
        <f>IFERROR(__xludf.DUMMYFUNCTION("""COMPUTED_VALUE"""),"")</f>
        <v/>
      </c>
      <c r="F4204" s="6" t="str">
        <f>IFERROR(__xludf.DUMMYFUNCTION("""COMPUTED_VALUE"""),"Galvez-Sanchez")</f>
        <v>Galvez-Sanchez</v>
      </c>
      <c r="G4204" s="6" t="str">
        <f>IFERROR(__xludf.DUMMYFUNCTION("""COMPUTED_VALUE"""),"10/16/2015")</f>
        <v>10/16/2015</v>
      </c>
      <c r="H4204" s="6" t="str">
        <f>IFERROR(__xludf.DUMMYFUNCTION("""COMPUTED_VALUE"""),"male")</f>
        <v>male</v>
      </c>
      <c r="I4204" s="6" t="str">
        <f>IFERROR(__xludf.DUMMYFUNCTION("""COMPUTED_VALUE"""),"Level 1")</f>
        <v>Level 1</v>
      </c>
      <c r="J4204" s="6" t="str">
        <f>IFERROR(__xludf.DUMMYFUNCTION("""COMPUTED_VALUE"""),"3")</f>
        <v>3</v>
      </c>
      <c r="K4204" s="6" t="str">
        <f>IFERROR(__xludf.DUMMYFUNCTION("""COMPUTED_VALUE"""),"dylan.galvezsanchez@2hourlearning.com")</f>
        <v>dylan.galvezsanchez@2hourlearning.com</v>
      </c>
      <c r="L4204" s="6" t="str">
        <f>IFERROR(__xludf.DUMMYFUNCTION("""COMPUTED_VALUE"""),"JHES - Hardeeville Elementary School")</f>
        <v>JHES - Hardeeville Elementary School</v>
      </c>
      <c r="M4204" s="6" t="str">
        <f>IFERROR(__xludf.DUMMYFUNCTION("""COMPUTED_VALUE"""),"")</f>
        <v/>
      </c>
      <c r="N4204" s="6" t="str">
        <f>IFERROR(__xludf.DUMMYFUNCTION("""COMPUTED_VALUE"""),"")</f>
        <v/>
      </c>
      <c r="O4204" s="87" t="str">
        <f>IFERROR(__xludf.DUMMYFUNCTION("""COMPUTED_VALUE"""),"https://drive.google.com/drive/folders/10T2cTQHqEJZqE-st6uFKPoI?usp=share_link")</f>
        <v>https://drive.google.com/drive/folders/10T2cTQHqEJZqE-st6uFKPoI?usp=share_link</v>
      </c>
      <c r="P4204" s="6" t="str">
        <f>IFERROR(__xludf.DUMMYFUNCTION("""COMPUTED_VALUE"""),"Dylan Galvez-Sanchez")</f>
        <v>Dylan Galvez-Sanchez</v>
      </c>
      <c r="Q4204" s="6" t="str">
        <f>IFERROR(__xludf.DUMMYFUNCTION("""COMPUTED_VALUE"""),"L1")</f>
        <v>L1</v>
      </c>
      <c r="R4204" s="6">
        <f>IFERROR(__xludf.DUMMYFUNCTION("""COMPUTED_VALUE"""),1.0)</f>
        <v>1</v>
      </c>
      <c r="S4204" s="6" t="str">
        <f>IFERROR(__xludf.DUMMYFUNCTION("""COMPUTED_VALUE""")," ")</f>
        <v> </v>
      </c>
      <c r="T4204" s="6" t="str">
        <f>IFERROR(__xludf.DUMMYFUNCTION("""COMPUTED_VALUE"""),"")</f>
        <v/>
      </c>
      <c r="U4204" s="6" t="str">
        <f>IFERROR(__xludf.DUMMYFUNCTION("""COMPUTED_VALUE"""),"3")</f>
        <v>3</v>
      </c>
      <c r="V4204" s="6" t="str">
        <f>IFERROR(__xludf.DUMMYFUNCTION("""COMPUTED_VALUE"""),"")</f>
        <v/>
      </c>
      <c r="W4204" s="6" t="str">
        <f>IFERROR(__xludf.DUMMYFUNCTION("""COMPUTED_VALUE"""),"[]")</f>
        <v>[]</v>
      </c>
      <c r="X4204" s="6" t="str">
        <f>IFERROR(__xludf.DUMMYFUNCTION("""COMPUTED_VALUE"""),"Enrolled")</f>
        <v>Enrolled</v>
      </c>
    </row>
    <row r="4205">
      <c r="A4205" s="6" t="str">
        <f>IFERROR(__xludf.DUMMYFUNCTION("""COMPUTED_VALUE"""),"083-11492")</f>
        <v>083-11492</v>
      </c>
      <c r="B4205" s="6" t="str">
        <f>IFERROR(__xludf.DUMMYFUNCTION("""COMPUTED_VALUE"""),"83")</f>
        <v>83</v>
      </c>
      <c r="C4205" s="6" t="str">
        <f>IFERROR(__xludf.DUMMYFUNCTION("""COMPUTED_VALUE"""),"11492")</f>
        <v>11492</v>
      </c>
      <c r="D4205" s="6" t="str">
        <f>IFERROR(__xludf.DUMMYFUNCTION("""COMPUTED_VALUE"""),"Danna")</f>
        <v>Danna</v>
      </c>
      <c r="E4205" s="6" t="str">
        <f>IFERROR(__xludf.DUMMYFUNCTION("""COMPUTED_VALUE"""),"")</f>
        <v/>
      </c>
      <c r="F4205" s="6" t="str">
        <f>IFERROR(__xludf.DUMMYFUNCTION("""COMPUTED_VALUE"""),"Granados-Paz")</f>
        <v>Granados-Paz</v>
      </c>
      <c r="G4205" s="6" t="str">
        <f>IFERROR(__xludf.DUMMYFUNCTION("""COMPUTED_VALUE"""),"07/05/2016")</f>
        <v>07/05/2016</v>
      </c>
      <c r="H4205" s="6" t="str">
        <f>IFERROR(__xludf.DUMMYFUNCTION("""COMPUTED_VALUE"""),"female")</f>
        <v>female</v>
      </c>
      <c r="I4205" s="6" t="str">
        <f>IFERROR(__xludf.DUMMYFUNCTION("""COMPUTED_VALUE"""),"Level 1")</f>
        <v>Level 1</v>
      </c>
      <c r="J4205" s="6" t="str">
        <f>IFERROR(__xludf.DUMMYFUNCTION("""COMPUTED_VALUE"""),"3")</f>
        <v>3</v>
      </c>
      <c r="K4205" s="6" t="str">
        <f>IFERROR(__xludf.DUMMYFUNCTION("""COMPUTED_VALUE"""),"danna.granadospaz@2hourlearning.com")</f>
        <v>danna.granadospaz@2hourlearning.com</v>
      </c>
      <c r="L4205" s="6" t="str">
        <f>IFERROR(__xludf.DUMMYFUNCTION("""COMPUTED_VALUE"""),"JHES - Hardeeville Elementary School")</f>
        <v>JHES - Hardeeville Elementary School</v>
      </c>
      <c r="M4205" s="6" t="str">
        <f>IFERROR(__xludf.DUMMYFUNCTION("""COMPUTED_VALUE"""),"")</f>
        <v/>
      </c>
      <c r="N4205" s="6" t="str">
        <f>IFERROR(__xludf.DUMMYFUNCTION("""COMPUTED_VALUE"""),"")</f>
        <v/>
      </c>
      <c r="O4205" s="87" t="str">
        <f>IFERROR(__xludf.DUMMYFUNCTION("""COMPUTED_VALUE"""),"https://drive.google.com/drive/folders/10T2cTQHqEJZqE-st6uFKPoI?usp=share_link")</f>
        <v>https://drive.google.com/drive/folders/10T2cTQHqEJZqE-st6uFKPoI?usp=share_link</v>
      </c>
      <c r="P4205" s="6" t="str">
        <f>IFERROR(__xludf.DUMMYFUNCTION("""COMPUTED_VALUE"""),"Danna Granados-Paz")</f>
        <v>Danna Granados-Paz</v>
      </c>
      <c r="Q4205" s="6" t="str">
        <f>IFERROR(__xludf.DUMMYFUNCTION("""COMPUTED_VALUE"""),"L1")</f>
        <v>L1</v>
      </c>
      <c r="R4205" s="6">
        <f>IFERROR(__xludf.DUMMYFUNCTION("""COMPUTED_VALUE"""),1.0)</f>
        <v>1</v>
      </c>
      <c r="S4205" s="6" t="str">
        <f>IFERROR(__xludf.DUMMYFUNCTION("""COMPUTED_VALUE""")," ")</f>
        <v> </v>
      </c>
      <c r="T4205" s="6" t="str">
        <f>IFERROR(__xludf.DUMMYFUNCTION("""COMPUTED_VALUE"""),"")</f>
        <v/>
      </c>
      <c r="U4205" s="6" t="str">
        <f>IFERROR(__xludf.DUMMYFUNCTION("""COMPUTED_VALUE"""),"3")</f>
        <v>3</v>
      </c>
      <c r="V4205" s="6" t="str">
        <f>IFERROR(__xludf.DUMMYFUNCTION("""COMPUTED_VALUE"""),"")</f>
        <v/>
      </c>
      <c r="W4205" s="6" t="str">
        <f>IFERROR(__xludf.DUMMYFUNCTION("""COMPUTED_VALUE"""),"[]")</f>
        <v>[]</v>
      </c>
      <c r="X4205" s="6" t="str">
        <f>IFERROR(__xludf.DUMMYFUNCTION("""COMPUTED_VALUE"""),"Enrolled")</f>
        <v>Enrolled</v>
      </c>
    </row>
    <row r="4206">
      <c r="A4206" s="6" t="str">
        <f>IFERROR(__xludf.DUMMYFUNCTION("""COMPUTED_VALUE"""),"083-11493")</f>
        <v>083-11493</v>
      </c>
      <c r="B4206" s="6" t="str">
        <f>IFERROR(__xludf.DUMMYFUNCTION("""COMPUTED_VALUE"""),"83")</f>
        <v>83</v>
      </c>
      <c r="C4206" s="6" t="str">
        <f>IFERROR(__xludf.DUMMYFUNCTION("""COMPUTED_VALUE"""),"11493")</f>
        <v>11493</v>
      </c>
      <c r="D4206" s="6" t="str">
        <f>IFERROR(__xludf.DUMMYFUNCTION("""COMPUTED_VALUE"""),"Ansel")</f>
        <v>Ansel</v>
      </c>
      <c r="E4206" s="6" t="str">
        <f>IFERROR(__xludf.DUMMYFUNCTION("""COMPUTED_VALUE"""),"")</f>
        <v/>
      </c>
      <c r="F4206" s="6" t="str">
        <f>IFERROR(__xludf.DUMMYFUNCTION("""COMPUTED_VALUE"""),"Herrera Espinoza")</f>
        <v>Herrera Espinoza</v>
      </c>
      <c r="G4206" s="6" t="str">
        <f>IFERROR(__xludf.DUMMYFUNCTION("""COMPUTED_VALUE"""),"12/29/2015")</f>
        <v>12/29/2015</v>
      </c>
      <c r="H4206" s="6" t="str">
        <f>IFERROR(__xludf.DUMMYFUNCTION("""COMPUTED_VALUE"""),"male")</f>
        <v>male</v>
      </c>
      <c r="I4206" s="6" t="str">
        <f>IFERROR(__xludf.DUMMYFUNCTION("""COMPUTED_VALUE"""),"Level 1")</f>
        <v>Level 1</v>
      </c>
      <c r="J4206" s="6" t="str">
        <f>IFERROR(__xludf.DUMMYFUNCTION("""COMPUTED_VALUE"""),"3")</f>
        <v>3</v>
      </c>
      <c r="K4206" s="6" t="str">
        <f>IFERROR(__xludf.DUMMYFUNCTION("""COMPUTED_VALUE"""),"ansel.herreraespinoza@2hourlearning.com")</f>
        <v>ansel.herreraespinoza@2hourlearning.com</v>
      </c>
      <c r="L4206" s="6" t="str">
        <f>IFERROR(__xludf.DUMMYFUNCTION("""COMPUTED_VALUE"""),"JHES - Hardeeville Elementary School")</f>
        <v>JHES - Hardeeville Elementary School</v>
      </c>
      <c r="M4206" s="6" t="str">
        <f>IFERROR(__xludf.DUMMYFUNCTION("""COMPUTED_VALUE"""),"")</f>
        <v/>
      </c>
      <c r="N4206" s="6" t="str">
        <f>IFERROR(__xludf.DUMMYFUNCTION("""COMPUTED_VALUE"""),"")</f>
        <v/>
      </c>
      <c r="O4206" s="87" t="str">
        <f>IFERROR(__xludf.DUMMYFUNCTION("""COMPUTED_VALUE"""),"https://drive.google.com/drive/folders/10T2cTQHqEJZqE-st6uFKPoI?usp=share_link")</f>
        <v>https://drive.google.com/drive/folders/10T2cTQHqEJZqE-st6uFKPoI?usp=share_link</v>
      </c>
      <c r="P4206" s="6" t="str">
        <f>IFERROR(__xludf.DUMMYFUNCTION("""COMPUTED_VALUE"""),"Ansel Herrera Espinoza")</f>
        <v>Ansel Herrera Espinoza</v>
      </c>
      <c r="Q4206" s="6" t="str">
        <f>IFERROR(__xludf.DUMMYFUNCTION("""COMPUTED_VALUE"""),"L1")</f>
        <v>L1</v>
      </c>
      <c r="R4206" s="6">
        <f>IFERROR(__xludf.DUMMYFUNCTION("""COMPUTED_VALUE"""),1.0)</f>
        <v>1</v>
      </c>
      <c r="S4206" s="6" t="str">
        <f>IFERROR(__xludf.DUMMYFUNCTION("""COMPUTED_VALUE""")," ")</f>
        <v> </v>
      </c>
      <c r="T4206" s="6" t="str">
        <f>IFERROR(__xludf.DUMMYFUNCTION("""COMPUTED_VALUE"""),"")</f>
        <v/>
      </c>
      <c r="U4206" s="6" t="str">
        <f>IFERROR(__xludf.DUMMYFUNCTION("""COMPUTED_VALUE"""),"3")</f>
        <v>3</v>
      </c>
      <c r="V4206" s="6" t="str">
        <f>IFERROR(__xludf.DUMMYFUNCTION("""COMPUTED_VALUE"""),"")</f>
        <v/>
      </c>
      <c r="W4206" s="6" t="str">
        <f>IFERROR(__xludf.DUMMYFUNCTION("""COMPUTED_VALUE"""),"[]")</f>
        <v>[]</v>
      </c>
      <c r="X4206" s="6" t="str">
        <f>IFERROR(__xludf.DUMMYFUNCTION("""COMPUTED_VALUE"""),"Enrolled")</f>
        <v>Enrolled</v>
      </c>
    </row>
    <row r="4207">
      <c r="A4207" s="6" t="str">
        <f>IFERROR(__xludf.DUMMYFUNCTION("""COMPUTED_VALUE"""),"083-11494")</f>
        <v>083-11494</v>
      </c>
      <c r="B4207" s="6" t="str">
        <f>IFERROR(__xludf.DUMMYFUNCTION("""COMPUTED_VALUE"""),"83")</f>
        <v>83</v>
      </c>
      <c r="C4207" s="6" t="str">
        <f>IFERROR(__xludf.DUMMYFUNCTION("""COMPUTED_VALUE"""),"11494")</f>
        <v>11494</v>
      </c>
      <c r="D4207" s="6" t="str">
        <f>IFERROR(__xludf.DUMMYFUNCTION("""COMPUTED_VALUE"""),"Shirley")</f>
        <v>Shirley</v>
      </c>
      <c r="E4207" s="6" t="str">
        <f>IFERROR(__xludf.DUMMYFUNCTION("""COMPUTED_VALUE"""),"")</f>
        <v/>
      </c>
      <c r="F4207" s="6" t="str">
        <f>IFERROR(__xludf.DUMMYFUNCTION("""COMPUTED_VALUE"""),"Jacobo-Morales")</f>
        <v>Jacobo-Morales</v>
      </c>
      <c r="G4207" s="6" t="str">
        <f>IFERROR(__xludf.DUMMYFUNCTION("""COMPUTED_VALUE"""),"09/12/2015")</f>
        <v>09/12/2015</v>
      </c>
      <c r="H4207" s="6" t="str">
        <f>IFERROR(__xludf.DUMMYFUNCTION("""COMPUTED_VALUE"""),"female")</f>
        <v>female</v>
      </c>
      <c r="I4207" s="6" t="str">
        <f>IFERROR(__xludf.DUMMYFUNCTION("""COMPUTED_VALUE"""),"Level 1")</f>
        <v>Level 1</v>
      </c>
      <c r="J4207" s="6" t="str">
        <f>IFERROR(__xludf.DUMMYFUNCTION("""COMPUTED_VALUE"""),"3")</f>
        <v>3</v>
      </c>
      <c r="K4207" s="6" t="str">
        <f>IFERROR(__xludf.DUMMYFUNCTION("""COMPUTED_VALUE"""),"shirley.jacobomorales@2hourlearning.com")</f>
        <v>shirley.jacobomorales@2hourlearning.com</v>
      </c>
      <c r="L4207" s="6" t="str">
        <f>IFERROR(__xludf.DUMMYFUNCTION("""COMPUTED_VALUE"""),"JHES - Hardeeville Elementary School")</f>
        <v>JHES - Hardeeville Elementary School</v>
      </c>
      <c r="M4207" s="6" t="str">
        <f>IFERROR(__xludf.DUMMYFUNCTION("""COMPUTED_VALUE"""),"")</f>
        <v/>
      </c>
      <c r="N4207" s="6" t="str">
        <f>IFERROR(__xludf.DUMMYFUNCTION("""COMPUTED_VALUE"""),"")</f>
        <v/>
      </c>
      <c r="O4207" s="87" t="str">
        <f>IFERROR(__xludf.DUMMYFUNCTION("""COMPUTED_VALUE"""),"https://drive.google.com/drive/folders/10T2cTQHqEJZqE-st6uFKPoI?usp=share_link")</f>
        <v>https://drive.google.com/drive/folders/10T2cTQHqEJZqE-st6uFKPoI?usp=share_link</v>
      </c>
      <c r="P4207" s="6" t="str">
        <f>IFERROR(__xludf.DUMMYFUNCTION("""COMPUTED_VALUE"""),"Shirley Jacobo-Morales")</f>
        <v>Shirley Jacobo-Morales</v>
      </c>
      <c r="Q4207" s="6" t="str">
        <f>IFERROR(__xludf.DUMMYFUNCTION("""COMPUTED_VALUE"""),"L1")</f>
        <v>L1</v>
      </c>
      <c r="R4207" s="6">
        <f>IFERROR(__xludf.DUMMYFUNCTION("""COMPUTED_VALUE"""),1.0)</f>
        <v>1</v>
      </c>
      <c r="S4207" s="6" t="str">
        <f>IFERROR(__xludf.DUMMYFUNCTION("""COMPUTED_VALUE""")," ")</f>
        <v> </v>
      </c>
      <c r="T4207" s="6" t="str">
        <f>IFERROR(__xludf.DUMMYFUNCTION("""COMPUTED_VALUE"""),"")</f>
        <v/>
      </c>
      <c r="U4207" s="6" t="str">
        <f>IFERROR(__xludf.DUMMYFUNCTION("""COMPUTED_VALUE"""),"3")</f>
        <v>3</v>
      </c>
      <c r="V4207" s="6" t="str">
        <f>IFERROR(__xludf.DUMMYFUNCTION("""COMPUTED_VALUE"""),"")</f>
        <v/>
      </c>
      <c r="W4207" s="6" t="str">
        <f>IFERROR(__xludf.DUMMYFUNCTION("""COMPUTED_VALUE"""),"[]")</f>
        <v>[]</v>
      </c>
      <c r="X4207" s="6" t="str">
        <f>IFERROR(__xludf.DUMMYFUNCTION("""COMPUTED_VALUE"""),"Enrolled")</f>
        <v>Enrolled</v>
      </c>
    </row>
    <row r="4208">
      <c r="A4208" s="6" t="str">
        <f>IFERROR(__xludf.DUMMYFUNCTION("""COMPUTED_VALUE"""),"083-11495")</f>
        <v>083-11495</v>
      </c>
      <c r="B4208" s="6" t="str">
        <f>IFERROR(__xludf.DUMMYFUNCTION("""COMPUTED_VALUE"""),"83")</f>
        <v>83</v>
      </c>
      <c r="C4208" s="6" t="str">
        <f>IFERROR(__xludf.DUMMYFUNCTION("""COMPUTED_VALUE"""),"11495")</f>
        <v>11495</v>
      </c>
      <c r="D4208" s="6" t="str">
        <f>IFERROR(__xludf.DUMMYFUNCTION("""COMPUTED_VALUE"""),"Joseph R")</f>
        <v>Joseph R</v>
      </c>
      <c r="E4208" s="6" t="str">
        <f>IFERROR(__xludf.DUMMYFUNCTION("""COMPUTED_VALUE"""),"")</f>
        <v/>
      </c>
      <c r="F4208" s="6" t="str">
        <f>IFERROR(__xludf.DUMMYFUNCTION("""COMPUTED_VALUE"""),"Jones")</f>
        <v>Jones</v>
      </c>
      <c r="G4208" s="6" t="str">
        <f>IFERROR(__xludf.DUMMYFUNCTION("""COMPUTED_VALUE"""),"10/17/2015")</f>
        <v>10/17/2015</v>
      </c>
      <c r="H4208" s="6" t="str">
        <f>IFERROR(__xludf.DUMMYFUNCTION("""COMPUTED_VALUE"""),"male")</f>
        <v>male</v>
      </c>
      <c r="I4208" s="6" t="str">
        <f>IFERROR(__xludf.DUMMYFUNCTION("""COMPUTED_VALUE"""),"Level 1")</f>
        <v>Level 1</v>
      </c>
      <c r="J4208" s="6" t="str">
        <f>IFERROR(__xludf.DUMMYFUNCTION("""COMPUTED_VALUE"""),"3")</f>
        <v>3</v>
      </c>
      <c r="K4208" s="6" t="str">
        <f>IFERROR(__xludf.DUMMYFUNCTION("""COMPUTED_VALUE"""),"josephr.jones@2hourlearning.com")</f>
        <v>josephr.jones@2hourlearning.com</v>
      </c>
      <c r="L4208" s="6" t="str">
        <f>IFERROR(__xludf.DUMMYFUNCTION("""COMPUTED_VALUE"""),"JHES - Hardeeville Elementary School")</f>
        <v>JHES - Hardeeville Elementary School</v>
      </c>
      <c r="M4208" s="6" t="str">
        <f>IFERROR(__xludf.DUMMYFUNCTION("""COMPUTED_VALUE"""),"")</f>
        <v/>
      </c>
      <c r="N4208" s="6" t="str">
        <f>IFERROR(__xludf.DUMMYFUNCTION("""COMPUTED_VALUE"""),"")</f>
        <v/>
      </c>
      <c r="O4208" s="87" t="str">
        <f>IFERROR(__xludf.DUMMYFUNCTION("""COMPUTED_VALUE"""),"https://drive.google.com/drive/folders/10T2cTQHqEJZqE-st6uFKPoI?usp=share_link")</f>
        <v>https://drive.google.com/drive/folders/10T2cTQHqEJZqE-st6uFKPoI?usp=share_link</v>
      </c>
      <c r="P4208" s="6" t="str">
        <f>IFERROR(__xludf.DUMMYFUNCTION("""COMPUTED_VALUE"""),"Joseph R Jones")</f>
        <v>Joseph R Jones</v>
      </c>
      <c r="Q4208" s="6" t="str">
        <f>IFERROR(__xludf.DUMMYFUNCTION("""COMPUTED_VALUE"""),"L1")</f>
        <v>L1</v>
      </c>
      <c r="R4208" s="6">
        <f>IFERROR(__xludf.DUMMYFUNCTION("""COMPUTED_VALUE"""),1.0)</f>
        <v>1</v>
      </c>
      <c r="S4208" s="6" t="str">
        <f>IFERROR(__xludf.DUMMYFUNCTION("""COMPUTED_VALUE""")," ")</f>
        <v> </v>
      </c>
      <c r="T4208" s="6" t="str">
        <f>IFERROR(__xludf.DUMMYFUNCTION("""COMPUTED_VALUE"""),"")</f>
        <v/>
      </c>
      <c r="U4208" s="6" t="str">
        <f>IFERROR(__xludf.DUMMYFUNCTION("""COMPUTED_VALUE"""),"3")</f>
        <v>3</v>
      </c>
      <c r="V4208" s="6" t="str">
        <f>IFERROR(__xludf.DUMMYFUNCTION("""COMPUTED_VALUE"""),"")</f>
        <v/>
      </c>
      <c r="W4208" s="6" t="str">
        <f>IFERROR(__xludf.DUMMYFUNCTION("""COMPUTED_VALUE"""),"[]")</f>
        <v>[]</v>
      </c>
      <c r="X4208" s="6" t="str">
        <f>IFERROR(__xludf.DUMMYFUNCTION("""COMPUTED_VALUE"""),"Enrolled")</f>
        <v>Enrolled</v>
      </c>
    </row>
    <row r="4209">
      <c r="A4209" s="6" t="str">
        <f>IFERROR(__xludf.DUMMYFUNCTION("""COMPUTED_VALUE"""),"083-11496")</f>
        <v>083-11496</v>
      </c>
      <c r="B4209" s="6" t="str">
        <f>IFERROR(__xludf.DUMMYFUNCTION("""COMPUTED_VALUE"""),"83")</f>
        <v>83</v>
      </c>
      <c r="C4209" s="6" t="str">
        <f>IFERROR(__xludf.DUMMYFUNCTION("""COMPUTED_VALUE"""),"11496")</f>
        <v>11496</v>
      </c>
      <c r="D4209" s="6" t="str">
        <f>IFERROR(__xludf.DUMMYFUNCTION("""COMPUTED_VALUE"""),"Zah'Ryah")</f>
        <v>Zah'Ryah</v>
      </c>
      <c r="E4209" s="6" t="str">
        <f>IFERROR(__xludf.DUMMYFUNCTION("""COMPUTED_VALUE"""),"")</f>
        <v/>
      </c>
      <c r="F4209" s="6" t="str">
        <f>IFERROR(__xludf.DUMMYFUNCTION("""COMPUTED_VALUE"""),"Mervin")</f>
        <v>Mervin</v>
      </c>
      <c r="G4209" s="6" t="str">
        <f>IFERROR(__xludf.DUMMYFUNCTION("""COMPUTED_VALUE"""),"04/13/2016")</f>
        <v>04/13/2016</v>
      </c>
      <c r="H4209" s="6" t="str">
        <f>IFERROR(__xludf.DUMMYFUNCTION("""COMPUTED_VALUE"""),"female")</f>
        <v>female</v>
      </c>
      <c r="I4209" s="6" t="str">
        <f>IFERROR(__xludf.DUMMYFUNCTION("""COMPUTED_VALUE"""),"Level 1")</f>
        <v>Level 1</v>
      </c>
      <c r="J4209" s="6" t="str">
        <f>IFERROR(__xludf.DUMMYFUNCTION("""COMPUTED_VALUE"""),"3")</f>
        <v>3</v>
      </c>
      <c r="K4209" s="6" t="str">
        <f>IFERROR(__xludf.DUMMYFUNCTION("""COMPUTED_VALUE"""),"zahryah.mervin@2hourlearning.com")</f>
        <v>zahryah.mervin@2hourlearning.com</v>
      </c>
      <c r="L4209" s="6" t="str">
        <f>IFERROR(__xludf.DUMMYFUNCTION("""COMPUTED_VALUE"""),"JHES - Hardeeville Elementary School")</f>
        <v>JHES - Hardeeville Elementary School</v>
      </c>
      <c r="M4209" s="6" t="str">
        <f>IFERROR(__xludf.DUMMYFUNCTION("""COMPUTED_VALUE"""),"")</f>
        <v/>
      </c>
      <c r="N4209" s="6" t="str">
        <f>IFERROR(__xludf.DUMMYFUNCTION("""COMPUTED_VALUE"""),"")</f>
        <v/>
      </c>
      <c r="O4209" s="87" t="str">
        <f>IFERROR(__xludf.DUMMYFUNCTION("""COMPUTED_VALUE"""),"https://drive.google.com/drive/folders/10T2cTQHqEJZqE-st6uFKPoI?usp=share_link")</f>
        <v>https://drive.google.com/drive/folders/10T2cTQHqEJZqE-st6uFKPoI?usp=share_link</v>
      </c>
      <c r="P4209" s="6" t="str">
        <f>IFERROR(__xludf.DUMMYFUNCTION("""COMPUTED_VALUE"""),"Zah'Ryah Mervin")</f>
        <v>Zah'Ryah Mervin</v>
      </c>
      <c r="Q4209" s="6" t="str">
        <f>IFERROR(__xludf.DUMMYFUNCTION("""COMPUTED_VALUE"""),"L1")</f>
        <v>L1</v>
      </c>
      <c r="R4209" s="6">
        <f>IFERROR(__xludf.DUMMYFUNCTION("""COMPUTED_VALUE"""),1.0)</f>
        <v>1</v>
      </c>
      <c r="S4209" s="6" t="str">
        <f>IFERROR(__xludf.DUMMYFUNCTION("""COMPUTED_VALUE""")," ")</f>
        <v> </v>
      </c>
      <c r="T4209" s="6" t="str">
        <f>IFERROR(__xludf.DUMMYFUNCTION("""COMPUTED_VALUE"""),"")</f>
        <v/>
      </c>
      <c r="U4209" s="6" t="str">
        <f>IFERROR(__xludf.DUMMYFUNCTION("""COMPUTED_VALUE"""),"3")</f>
        <v>3</v>
      </c>
      <c r="V4209" s="6" t="str">
        <f>IFERROR(__xludf.DUMMYFUNCTION("""COMPUTED_VALUE"""),"")</f>
        <v/>
      </c>
      <c r="W4209" s="6" t="str">
        <f>IFERROR(__xludf.DUMMYFUNCTION("""COMPUTED_VALUE"""),"[]")</f>
        <v>[]</v>
      </c>
      <c r="X4209" s="6" t="str">
        <f>IFERROR(__xludf.DUMMYFUNCTION("""COMPUTED_VALUE"""),"Enrolled")</f>
        <v>Enrolled</v>
      </c>
    </row>
    <row r="4210">
      <c r="A4210" s="6" t="str">
        <f>IFERROR(__xludf.DUMMYFUNCTION("""COMPUTED_VALUE"""),"083-11497")</f>
        <v>083-11497</v>
      </c>
      <c r="B4210" s="6" t="str">
        <f>IFERROR(__xludf.DUMMYFUNCTION("""COMPUTED_VALUE"""),"83")</f>
        <v>83</v>
      </c>
      <c r="C4210" s="6" t="str">
        <f>IFERROR(__xludf.DUMMYFUNCTION("""COMPUTED_VALUE"""),"11497")</f>
        <v>11497</v>
      </c>
      <c r="D4210" s="6" t="str">
        <f>IFERROR(__xludf.DUMMYFUNCTION("""COMPUTED_VALUE"""),"Cristopher")</f>
        <v>Cristopher</v>
      </c>
      <c r="E4210" s="6" t="str">
        <f>IFERROR(__xludf.DUMMYFUNCTION("""COMPUTED_VALUE"""),"")</f>
        <v/>
      </c>
      <c r="F4210" s="6" t="str">
        <f>IFERROR(__xludf.DUMMYFUNCTION("""COMPUTED_VALUE"""),"Moises Vargas")</f>
        <v>Moises Vargas</v>
      </c>
      <c r="G4210" s="6" t="str">
        <f>IFERROR(__xludf.DUMMYFUNCTION("""COMPUTED_VALUE"""),"10/27/2015")</f>
        <v>10/27/2015</v>
      </c>
      <c r="H4210" s="6" t="str">
        <f>IFERROR(__xludf.DUMMYFUNCTION("""COMPUTED_VALUE"""),"male")</f>
        <v>male</v>
      </c>
      <c r="I4210" s="6" t="str">
        <f>IFERROR(__xludf.DUMMYFUNCTION("""COMPUTED_VALUE"""),"Level 1")</f>
        <v>Level 1</v>
      </c>
      <c r="J4210" s="6" t="str">
        <f>IFERROR(__xludf.DUMMYFUNCTION("""COMPUTED_VALUE"""),"3")</f>
        <v>3</v>
      </c>
      <c r="K4210" s="6" t="str">
        <f>IFERROR(__xludf.DUMMYFUNCTION("""COMPUTED_VALUE"""),"cristopher.moisesvargas@2hourlearning.com")</f>
        <v>cristopher.moisesvargas@2hourlearning.com</v>
      </c>
      <c r="L4210" s="6" t="str">
        <f>IFERROR(__xludf.DUMMYFUNCTION("""COMPUTED_VALUE"""),"JHES - Hardeeville Elementary School")</f>
        <v>JHES - Hardeeville Elementary School</v>
      </c>
      <c r="M4210" s="6" t="str">
        <f>IFERROR(__xludf.DUMMYFUNCTION("""COMPUTED_VALUE"""),"")</f>
        <v/>
      </c>
      <c r="N4210" s="6" t="str">
        <f>IFERROR(__xludf.DUMMYFUNCTION("""COMPUTED_VALUE"""),"")</f>
        <v/>
      </c>
      <c r="O4210" s="87" t="str">
        <f>IFERROR(__xludf.DUMMYFUNCTION("""COMPUTED_VALUE"""),"https://drive.google.com/drive/folders/10T2cTQHqEJZqE-st6uFKPoI?usp=share_link")</f>
        <v>https://drive.google.com/drive/folders/10T2cTQHqEJZqE-st6uFKPoI?usp=share_link</v>
      </c>
      <c r="P4210" s="6" t="str">
        <f>IFERROR(__xludf.DUMMYFUNCTION("""COMPUTED_VALUE"""),"Cristopher Moises Vargas")</f>
        <v>Cristopher Moises Vargas</v>
      </c>
      <c r="Q4210" s="6" t="str">
        <f>IFERROR(__xludf.DUMMYFUNCTION("""COMPUTED_VALUE"""),"L1")</f>
        <v>L1</v>
      </c>
      <c r="R4210" s="6">
        <f>IFERROR(__xludf.DUMMYFUNCTION("""COMPUTED_VALUE"""),1.0)</f>
        <v>1</v>
      </c>
      <c r="S4210" s="6" t="str">
        <f>IFERROR(__xludf.DUMMYFUNCTION("""COMPUTED_VALUE""")," ")</f>
        <v> </v>
      </c>
      <c r="T4210" s="6" t="str">
        <f>IFERROR(__xludf.DUMMYFUNCTION("""COMPUTED_VALUE"""),"")</f>
        <v/>
      </c>
      <c r="U4210" s="6" t="str">
        <f>IFERROR(__xludf.DUMMYFUNCTION("""COMPUTED_VALUE"""),"3")</f>
        <v>3</v>
      </c>
      <c r="V4210" s="6" t="str">
        <f>IFERROR(__xludf.DUMMYFUNCTION("""COMPUTED_VALUE"""),"")</f>
        <v/>
      </c>
      <c r="W4210" s="6" t="str">
        <f>IFERROR(__xludf.DUMMYFUNCTION("""COMPUTED_VALUE"""),"[]")</f>
        <v>[]</v>
      </c>
      <c r="X4210" s="6" t="str">
        <f>IFERROR(__xludf.DUMMYFUNCTION("""COMPUTED_VALUE"""),"Enrolled")</f>
        <v>Enrolled</v>
      </c>
    </row>
    <row r="4211">
      <c r="A4211" s="6" t="str">
        <f>IFERROR(__xludf.DUMMYFUNCTION("""COMPUTED_VALUE"""),"083-11498")</f>
        <v>083-11498</v>
      </c>
      <c r="B4211" s="6" t="str">
        <f>IFERROR(__xludf.DUMMYFUNCTION("""COMPUTED_VALUE"""),"83")</f>
        <v>83</v>
      </c>
      <c r="C4211" s="6" t="str">
        <f>IFERROR(__xludf.DUMMYFUNCTION("""COMPUTED_VALUE"""),"11498")</f>
        <v>11498</v>
      </c>
      <c r="D4211" s="6" t="str">
        <f>IFERROR(__xludf.DUMMYFUNCTION("""COMPUTED_VALUE"""),"Jonatan")</f>
        <v>Jonatan</v>
      </c>
      <c r="E4211" s="6" t="str">
        <f>IFERROR(__xludf.DUMMYFUNCTION("""COMPUTED_VALUE"""),"")</f>
        <v/>
      </c>
      <c r="F4211" s="6" t="str">
        <f>IFERROR(__xludf.DUMMYFUNCTION("""COMPUTED_VALUE"""),"Morales-De La Cruz")</f>
        <v>Morales-De La Cruz</v>
      </c>
      <c r="G4211" s="6" t="str">
        <f>IFERROR(__xludf.DUMMYFUNCTION("""COMPUTED_VALUE"""),"07/22/2016")</f>
        <v>07/22/2016</v>
      </c>
      <c r="H4211" s="6" t="str">
        <f>IFERROR(__xludf.DUMMYFUNCTION("""COMPUTED_VALUE"""),"male")</f>
        <v>male</v>
      </c>
      <c r="I4211" s="6" t="str">
        <f>IFERROR(__xludf.DUMMYFUNCTION("""COMPUTED_VALUE"""),"Level 1")</f>
        <v>Level 1</v>
      </c>
      <c r="J4211" s="6" t="str">
        <f>IFERROR(__xludf.DUMMYFUNCTION("""COMPUTED_VALUE"""),"3")</f>
        <v>3</v>
      </c>
      <c r="K4211" s="6" t="str">
        <f>IFERROR(__xludf.DUMMYFUNCTION("""COMPUTED_VALUE"""),"jonatan.moralesdelacruz@2hourlearning.com")</f>
        <v>jonatan.moralesdelacruz@2hourlearning.com</v>
      </c>
      <c r="L4211" s="6" t="str">
        <f>IFERROR(__xludf.DUMMYFUNCTION("""COMPUTED_VALUE"""),"JHES - Hardeeville Elementary School")</f>
        <v>JHES - Hardeeville Elementary School</v>
      </c>
      <c r="M4211" s="6" t="str">
        <f>IFERROR(__xludf.DUMMYFUNCTION("""COMPUTED_VALUE"""),"")</f>
        <v/>
      </c>
      <c r="N4211" s="6" t="str">
        <f>IFERROR(__xludf.DUMMYFUNCTION("""COMPUTED_VALUE"""),"")</f>
        <v/>
      </c>
      <c r="O4211" s="87" t="str">
        <f>IFERROR(__xludf.DUMMYFUNCTION("""COMPUTED_VALUE"""),"https://drive.google.com/drive/folders/10T2cTQHqEJZqE-st6uFKPoI?usp=share_link")</f>
        <v>https://drive.google.com/drive/folders/10T2cTQHqEJZqE-st6uFKPoI?usp=share_link</v>
      </c>
      <c r="P4211" s="6" t="str">
        <f>IFERROR(__xludf.DUMMYFUNCTION("""COMPUTED_VALUE"""),"Jonatan Morales-De La Cruz")</f>
        <v>Jonatan Morales-De La Cruz</v>
      </c>
      <c r="Q4211" s="6" t="str">
        <f>IFERROR(__xludf.DUMMYFUNCTION("""COMPUTED_VALUE"""),"L1")</f>
        <v>L1</v>
      </c>
      <c r="R4211" s="6">
        <f>IFERROR(__xludf.DUMMYFUNCTION("""COMPUTED_VALUE"""),1.0)</f>
        <v>1</v>
      </c>
      <c r="S4211" s="6" t="str">
        <f>IFERROR(__xludf.DUMMYFUNCTION("""COMPUTED_VALUE""")," ")</f>
        <v> </v>
      </c>
      <c r="T4211" s="6" t="str">
        <f>IFERROR(__xludf.DUMMYFUNCTION("""COMPUTED_VALUE"""),"")</f>
        <v/>
      </c>
      <c r="U4211" s="6" t="str">
        <f>IFERROR(__xludf.DUMMYFUNCTION("""COMPUTED_VALUE"""),"3")</f>
        <v>3</v>
      </c>
      <c r="V4211" s="6" t="str">
        <f>IFERROR(__xludf.DUMMYFUNCTION("""COMPUTED_VALUE"""),"")</f>
        <v/>
      </c>
      <c r="W4211" s="6" t="str">
        <f>IFERROR(__xludf.DUMMYFUNCTION("""COMPUTED_VALUE"""),"[]")</f>
        <v>[]</v>
      </c>
      <c r="X4211" s="6" t="str">
        <f>IFERROR(__xludf.DUMMYFUNCTION("""COMPUTED_VALUE"""),"Enrolled")</f>
        <v>Enrolled</v>
      </c>
    </row>
    <row r="4212">
      <c r="A4212" s="6" t="str">
        <f>IFERROR(__xludf.DUMMYFUNCTION("""COMPUTED_VALUE"""),"083-11499")</f>
        <v>083-11499</v>
      </c>
      <c r="B4212" s="6" t="str">
        <f>IFERROR(__xludf.DUMMYFUNCTION("""COMPUTED_VALUE"""),"83")</f>
        <v>83</v>
      </c>
      <c r="C4212" s="6" t="str">
        <f>IFERROR(__xludf.DUMMYFUNCTION("""COMPUTED_VALUE"""),"11499")</f>
        <v>11499</v>
      </c>
      <c r="D4212" s="6" t="str">
        <f>IFERROR(__xludf.DUMMYFUNCTION("""COMPUTED_VALUE"""),"Kimberly")</f>
        <v>Kimberly</v>
      </c>
      <c r="E4212" s="6" t="str">
        <f>IFERROR(__xludf.DUMMYFUNCTION("""COMPUTED_VALUE"""),"")</f>
        <v/>
      </c>
      <c r="F4212" s="6" t="str">
        <f>IFERROR(__xludf.DUMMYFUNCTION("""COMPUTED_VALUE"""),"Nava-Mosso")</f>
        <v>Nava-Mosso</v>
      </c>
      <c r="G4212" s="6" t="str">
        <f>IFERROR(__xludf.DUMMYFUNCTION("""COMPUTED_VALUE"""),"08/03/2016")</f>
        <v>08/03/2016</v>
      </c>
      <c r="H4212" s="6" t="str">
        <f>IFERROR(__xludf.DUMMYFUNCTION("""COMPUTED_VALUE"""),"female")</f>
        <v>female</v>
      </c>
      <c r="I4212" s="6" t="str">
        <f>IFERROR(__xludf.DUMMYFUNCTION("""COMPUTED_VALUE"""),"Level 1")</f>
        <v>Level 1</v>
      </c>
      <c r="J4212" s="6" t="str">
        <f>IFERROR(__xludf.DUMMYFUNCTION("""COMPUTED_VALUE"""),"3")</f>
        <v>3</v>
      </c>
      <c r="K4212" s="6" t="str">
        <f>IFERROR(__xludf.DUMMYFUNCTION("""COMPUTED_VALUE"""),"kimberly.navamosso@2hourlearning.com")</f>
        <v>kimberly.navamosso@2hourlearning.com</v>
      </c>
      <c r="L4212" s="6" t="str">
        <f>IFERROR(__xludf.DUMMYFUNCTION("""COMPUTED_VALUE"""),"JHES - Hardeeville Elementary School")</f>
        <v>JHES - Hardeeville Elementary School</v>
      </c>
      <c r="M4212" s="6" t="str">
        <f>IFERROR(__xludf.DUMMYFUNCTION("""COMPUTED_VALUE"""),"")</f>
        <v/>
      </c>
      <c r="N4212" s="6" t="str">
        <f>IFERROR(__xludf.DUMMYFUNCTION("""COMPUTED_VALUE"""),"")</f>
        <v/>
      </c>
      <c r="O4212" s="87" t="str">
        <f>IFERROR(__xludf.DUMMYFUNCTION("""COMPUTED_VALUE"""),"https://drive.google.com/drive/folders/10T2cTQHqEJZqE-st6uFKPoI?usp=share_link")</f>
        <v>https://drive.google.com/drive/folders/10T2cTQHqEJZqE-st6uFKPoI?usp=share_link</v>
      </c>
      <c r="P4212" s="6" t="str">
        <f>IFERROR(__xludf.DUMMYFUNCTION("""COMPUTED_VALUE"""),"Kimberly Nava-Mosso")</f>
        <v>Kimberly Nava-Mosso</v>
      </c>
      <c r="Q4212" s="6" t="str">
        <f>IFERROR(__xludf.DUMMYFUNCTION("""COMPUTED_VALUE"""),"L1")</f>
        <v>L1</v>
      </c>
      <c r="R4212" s="6">
        <f>IFERROR(__xludf.DUMMYFUNCTION("""COMPUTED_VALUE"""),1.0)</f>
        <v>1</v>
      </c>
      <c r="S4212" s="6" t="str">
        <f>IFERROR(__xludf.DUMMYFUNCTION("""COMPUTED_VALUE""")," ")</f>
        <v> </v>
      </c>
      <c r="T4212" s="6" t="str">
        <f>IFERROR(__xludf.DUMMYFUNCTION("""COMPUTED_VALUE"""),"")</f>
        <v/>
      </c>
      <c r="U4212" s="6" t="str">
        <f>IFERROR(__xludf.DUMMYFUNCTION("""COMPUTED_VALUE"""),"3")</f>
        <v>3</v>
      </c>
      <c r="V4212" s="6" t="str">
        <f>IFERROR(__xludf.DUMMYFUNCTION("""COMPUTED_VALUE"""),"")</f>
        <v/>
      </c>
      <c r="W4212" s="6" t="str">
        <f>IFERROR(__xludf.DUMMYFUNCTION("""COMPUTED_VALUE"""),"[]")</f>
        <v>[]</v>
      </c>
      <c r="X4212" s="6" t="str">
        <f>IFERROR(__xludf.DUMMYFUNCTION("""COMPUTED_VALUE"""),"Enrolled")</f>
        <v>Enrolled</v>
      </c>
    </row>
    <row r="4213">
      <c r="A4213" s="6" t="str">
        <f>IFERROR(__xludf.DUMMYFUNCTION("""COMPUTED_VALUE"""),"083-11500")</f>
        <v>083-11500</v>
      </c>
      <c r="B4213" s="6" t="str">
        <f>IFERROR(__xludf.DUMMYFUNCTION("""COMPUTED_VALUE"""),"83")</f>
        <v>83</v>
      </c>
      <c r="C4213" s="6" t="str">
        <f>IFERROR(__xludf.DUMMYFUNCTION("""COMPUTED_VALUE"""),"11500")</f>
        <v>11500</v>
      </c>
      <c r="D4213" s="6" t="str">
        <f>IFERROR(__xludf.DUMMYFUNCTION("""COMPUTED_VALUE"""),"Jorge")</f>
        <v>Jorge</v>
      </c>
      <c r="E4213" s="6" t="str">
        <f>IFERROR(__xludf.DUMMYFUNCTION("""COMPUTED_VALUE"""),"")</f>
        <v/>
      </c>
      <c r="F4213" s="6" t="str">
        <f>IFERROR(__xludf.DUMMYFUNCTION("""COMPUTED_VALUE"""),"Ovalle Roblero")</f>
        <v>Ovalle Roblero</v>
      </c>
      <c r="G4213" s="6" t="str">
        <f>IFERROR(__xludf.DUMMYFUNCTION("""COMPUTED_VALUE"""),"10/06/2016")</f>
        <v>10/06/2016</v>
      </c>
      <c r="H4213" s="6" t="str">
        <f>IFERROR(__xludf.DUMMYFUNCTION("""COMPUTED_VALUE"""),"male")</f>
        <v>male</v>
      </c>
      <c r="I4213" s="6" t="str">
        <f>IFERROR(__xludf.DUMMYFUNCTION("""COMPUTED_VALUE"""),"Level 1")</f>
        <v>Level 1</v>
      </c>
      <c r="J4213" s="6" t="str">
        <f>IFERROR(__xludf.DUMMYFUNCTION("""COMPUTED_VALUE"""),"3")</f>
        <v>3</v>
      </c>
      <c r="K4213" s="6" t="str">
        <f>IFERROR(__xludf.DUMMYFUNCTION("""COMPUTED_VALUE"""),"jorge.ovalleroblero@2hourlearning.com")</f>
        <v>jorge.ovalleroblero@2hourlearning.com</v>
      </c>
      <c r="L4213" s="6" t="str">
        <f>IFERROR(__xludf.DUMMYFUNCTION("""COMPUTED_VALUE"""),"JHES - Hardeeville Elementary School")</f>
        <v>JHES - Hardeeville Elementary School</v>
      </c>
      <c r="M4213" s="6" t="str">
        <f>IFERROR(__xludf.DUMMYFUNCTION("""COMPUTED_VALUE"""),"")</f>
        <v/>
      </c>
      <c r="N4213" s="6" t="str">
        <f>IFERROR(__xludf.DUMMYFUNCTION("""COMPUTED_VALUE"""),"")</f>
        <v/>
      </c>
      <c r="O4213" s="87" t="str">
        <f>IFERROR(__xludf.DUMMYFUNCTION("""COMPUTED_VALUE"""),"https://drive.google.com/drive/folders/10T2cTQHqEJZqE-st6uFKPoI?usp=share_link")</f>
        <v>https://drive.google.com/drive/folders/10T2cTQHqEJZqE-st6uFKPoI?usp=share_link</v>
      </c>
      <c r="P4213" s="6" t="str">
        <f>IFERROR(__xludf.DUMMYFUNCTION("""COMPUTED_VALUE"""),"Jorge Ovalle Roblero")</f>
        <v>Jorge Ovalle Roblero</v>
      </c>
      <c r="Q4213" s="6" t="str">
        <f>IFERROR(__xludf.DUMMYFUNCTION("""COMPUTED_VALUE"""),"L1")</f>
        <v>L1</v>
      </c>
      <c r="R4213" s="6">
        <f>IFERROR(__xludf.DUMMYFUNCTION("""COMPUTED_VALUE"""),1.0)</f>
        <v>1</v>
      </c>
      <c r="S4213" s="6" t="str">
        <f>IFERROR(__xludf.DUMMYFUNCTION("""COMPUTED_VALUE""")," ")</f>
        <v> </v>
      </c>
      <c r="T4213" s="6" t="str">
        <f>IFERROR(__xludf.DUMMYFUNCTION("""COMPUTED_VALUE"""),"")</f>
        <v/>
      </c>
      <c r="U4213" s="6" t="str">
        <f>IFERROR(__xludf.DUMMYFUNCTION("""COMPUTED_VALUE"""),"3")</f>
        <v>3</v>
      </c>
      <c r="V4213" s="6" t="str">
        <f>IFERROR(__xludf.DUMMYFUNCTION("""COMPUTED_VALUE"""),"")</f>
        <v/>
      </c>
      <c r="W4213" s="6" t="str">
        <f>IFERROR(__xludf.DUMMYFUNCTION("""COMPUTED_VALUE"""),"[]")</f>
        <v>[]</v>
      </c>
      <c r="X4213" s="6" t="str">
        <f>IFERROR(__xludf.DUMMYFUNCTION("""COMPUTED_VALUE"""),"Enrolled")</f>
        <v>Enrolled</v>
      </c>
    </row>
    <row r="4214">
      <c r="A4214" s="6" t="str">
        <f>IFERROR(__xludf.DUMMYFUNCTION("""COMPUTED_VALUE"""),"083-11501")</f>
        <v>083-11501</v>
      </c>
      <c r="B4214" s="6" t="str">
        <f>IFERROR(__xludf.DUMMYFUNCTION("""COMPUTED_VALUE"""),"83")</f>
        <v>83</v>
      </c>
      <c r="C4214" s="6" t="str">
        <f>IFERROR(__xludf.DUMMYFUNCTION("""COMPUTED_VALUE"""),"11501")</f>
        <v>11501</v>
      </c>
      <c r="D4214" s="6" t="str">
        <f>IFERROR(__xludf.DUMMYFUNCTION("""COMPUTED_VALUE"""),"Emerline")</f>
        <v>Emerline</v>
      </c>
      <c r="E4214" s="6" t="str">
        <f>IFERROR(__xludf.DUMMYFUNCTION("""COMPUTED_VALUE"""),"")</f>
        <v/>
      </c>
      <c r="F4214" s="6" t="str">
        <f>IFERROR(__xludf.DUMMYFUNCTION("""COMPUTED_VALUE"""),"Parrish")</f>
        <v>Parrish</v>
      </c>
      <c r="G4214" s="6" t="str">
        <f>IFERROR(__xludf.DUMMYFUNCTION("""COMPUTED_VALUE"""),"05/13/2016")</f>
        <v>05/13/2016</v>
      </c>
      <c r="H4214" s="6" t="str">
        <f>IFERROR(__xludf.DUMMYFUNCTION("""COMPUTED_VALUE"""),"female")</f>
        <v>female</v>
      </c>
      <c r="I4214" s="6" t="str">
        <f>IFERROR(__xludf.DUMMYFUNCTION("""COMPUTED_VALUE"""),"Level 1")</f>
        <v>Level 1</v>
      </c>
      <c r="J4214" s="6" t="str">
        <f>IFERROR(__xludf.DUMMYFUNCTION("""COMPUTED_VALUE"""),"3")</f>
        <v>3</v>
      </c>
      <c r="K4214" s="6" t="str">
        <f>IFERROR(__xludf.DUMMYFUNCTION("""COMPUTED_VALUE"""),"emerline.parrish@2hourlearning.com")</f>
        <v>emerline.parrish@2hourlearning.com</v>
      </c>
      <c r="L4214" s="6" t="str">
        <f>IFERROR(__xludf.DUMMYFUNCTION("""COMPUTED_VALUE"""),"JHES - Hardeeville Elementary School")</f>
        <v>JHES - Hardeeville Elementary School</v>
      </c>
      <c r="M4214" s="6" t="str">
        <f>IFERROR(__xludf.DUMMYFUNCTION("""COMPUTED_VALUE"""),"")</f>
        <v/>
      </c>
      <c r="N4214" s="6" t="str">
        <f>IFERROR(__xludf.DUMMYFUNCTION("""COMPUTED_VALUE"""),"")</f>
        <v/>
      </c>
      <c r="O4214" s="87" t="str">
        <f>IFERROR(__xludf.DUMMYFUNCTION("""COMPUTED_VALUE"""),"https://drive.google.com/drive/folders/10T2cTQHqEJZqE-st6uFKPoI?usp=share_link")</f>
        <v>https://drive.google.com/drive/folders/10T2cTQHqEJZqE-st6uFKPoI?usp=share_link</v>
      </c>
      <c r="P4214" s="6" t="str">
        <f>IFERROR(__xludf.DUMMYFUNCTION("""COMPUTED_VALUE"""),"Emerline Parrish")</f>
        <v>Emerline Parrish</v>
      </c>
      <c r="Q4214" s="6" t="str">
        <f>IFERROR(__xludf.DUMMYFUNCTION("""COMPUTED_VALUE"""),"L1")</f>
        <v>L1</v>
      </c>
      <c r="R4214" s="6">
        <f>IFERROR(__xludf.DUMMYFUNCTION("""COMPUTED_VALUE"""),1.0)</f>
        <v>1</v>
      </c>
      <c r="S4214" s="6" t="str">
        <f>IFERROR(__xludf.DUMMYFUNCTION("""COMPUTED_VALUE""")," ")</f>
        <v> </v>
      </c>
      <c r="T4214" s="6" t="str">
        <f>IFERROR(__xludf.DUMMYFUNCTION("""COMPUTED_VALUE"""),"")</f>
        <v/>
      </c>
      <c r="U4214" s="6" t="str">
        <f>IFERROR(__xludf.DUMMYFUNCTION("""COMPUTED_VALUE"""),"3")</f>
        <v>3</v>
      </c>
      <c r="V4214" s="6" t="str">
        <f>IFERROR(__xludf.DUMMYFUNCTION("""COMPUTED_VALUE"""),"")</f>
        <v/>
      </c>
      <c r="W4214" s="6" t="str">
        <f>IFERROR(__xludf.DUMMYFUNCTION("""COMPUTED_VALUE"""),"[]")</f>
        <v>[]</v>
      </c>
      <c r="X4214" s="6" t="str">
        <f>IFERROR(__xludf.DUMMYFUNCTION("""COMPUTED_VALUE"""),"Enrolled")</f>
        <v>Enrolled</v>
      </c>
    </row>
    <row r="4215">
      <c r="A4215" s="6" t="str">
        <f>IFERROR(__xludf.DUMMYFUNCTION("""COMPUTED_VALUE"""),"083-11502")</f>
        <v>083-11502</v>
      </c>
      <c r="B4215" s="6" t="str">
        <f>IFERROR(__xludf.DUMMYFUNCTION("""COMPUTED_VALUE"""),"83")</f>
        <v>83</v>
      </c>
      <c r="C4215" s="6" t="str">
        <f>IFERROR(__xludf.DUMMYFUNCTION("""COMPUTED_VALUE"""),"11502")</f>
        <v>11502</v>
      </c>
      <c r="D4215" s="6" t="str">
        <f>IFERROR(__xludf.DUMMYFUNCTION("""COMPUTED_VALUE"""),"Ka'Vell")</f>
        <v>Ka'Vell</v>
      </c>
      <c r="E4215" s="6" t="str">
        <f>IFERROR(__xludf.DUMMYFUNCTION("""COMPUTED_VALUE"""),"")</f>
        <v/>
      </c>
      <c r="F4215" s="6" t="str">
        <f>IFERROR(__xludf.DUMMYFUNCTION("""COMPUTED_VALUE"""),"Patterson")</f>
        <v>Patterson</v>
      </c>
      <c r="G4215" s="6" t="str">
        <f>IFERROR(__xludf.DUMMYFUNCTION("""COMPUTED_VALUE"""),"07/14/2015")</f>
        <v>07/14/2015</v>
      </c>
      <c r="H4215" s="6" t="str">
        <f>IFERROR(__xludf.DUMMYFUNCTION("""COMPUTED_VALUE"""),"male")</f>
        <v>male</v>
      </c>
      <c r="I4215" s="6" t="str">
        <f>IFERROR(__xludf.DUMMYFUNCTION("""COMPUTED_VALUE"""),"Level 1")</f>
        <v>Level 1</v>
      </c>
      <c r="J4215" s="6" t="str">
        <f>IFERROR(__xludf.DUMMYFUNCTION("""COMPUTED_VALUE"""),"3")</f>
        <v>3</v>
      </c>
      <c r="K4215" s="6" t="str">
        <f>IFERROR(__xludf.DUMMYFUNCTION("""COMPUTED_VALUE"""),"kavell.patterson@2hourlearning.com")</f>
        <v>kavell.patterson@2hourlearning.com</v>
      </c>
      <c r="L4215" s="6" t="str">
        <f>IFERROR(__xludf.DUMMYFUNCTION("""COMPUTED_VALUE"""),"JHES - Hardeeville Elementary School")</f>
        <v>JHES - Hardeeville Elementary School</v>
      </c>
      <c r="M4215" s="6" t="str">
        <f>IFERROR(__xludf.DUMMYFUNCTION("""COMPUTED_VALUE"""),"")</f>
        <v/>
      </c>
      <c r="N4215" s="6" t="str">
        <f>IFERROR(__xludf.DUMMYFUNCTION("""COMPUTED_VALUE"""),"")</f>
        <v/>
      </c>
      <c r="O4215" s="87" t="str">
        <f>IFERROR(__xludf.DUMMYFUNCTION("""COMPUTED_VALUE"""),"https://drive.google.com/drive/folders/10T2cTQHqEJZqE-st6uFKPoI?usp=share_link")</f>
        <v>https://drive.google.com/drive/folders/10T2cTQHqEJZqE-st6uFKPoI?usp=share_link</v>
      </c>
      <c r="P4215" s="6" t="str">
        <f>IFERROR(__xludf.DUMMYFUNCTION("""COMPUTED_VALUE"""),"Ka'Vell Patterson")</f>
        <v>Ka'Vell Patterson</v>
      </c>
      <c r="Q4215" s="6" t="str">
        <f>IFERROR(__xludf.DUMMYFUNCTION("""COMPUTED_VALUE"""),"L1")</f>
        <v>L1</v>
      </c>
      <c r="R4215" s="6">
        <f>IFERROR(__xludf.DUMMYFUNCTION("""COMPUTED_VALUE"""),1.0)</f>
        <v>1</v>
      </c>
      <c r="S4215" s="6" t="str">
        <f>IFERROR(__xludf.DUMMYFUNCTION("""COMPUTED_VALUE""")," ")</f>
        <v> </v>
      </c>
      <c r="T4215" s="6" t="str">
        <f>IFERROR(__xludf.DUMMYFUNCTION("""COMPUTED_VALUE"""),"")</f>
        <v/>
      </c>
      <c r="U4215" s="6" t="str">
        <f>IFERROR(__xludf.DUMMYFUNCTION("""COMPUTED_VALUE"""),"3")</f>
        <v>3</v>
      </c>
      <c r="V4215" s="6" t="str">
        <f>IFERROR(__xludf.DUMMYFUNCTION("""COMPUTED_VALUE"""),"")</f>
        <v/>
      </c>
      <c r="W4215" s="6" t="str">
        <f>IFERROR(__xludf.DUMMYFUNCTION("""COMPUTED_VALUE"""),"[]")</f>
        <v>[]</v>
      </c>
      <c r="X4215" s="6" t="str">
        <f>IFERROR(__xludf.DUMMYFUNCTION("""COMPUTED_VALUE"""),"Enrolled")</f>
        <v>Enrolled</v>
      </c>
    </row>
    <row r="4216">
      <c r="A4216" s="6" t="str">
        <f>IFERROR(__xludf.DUMMYFUNCTION("""COMPUTED_VALUE"""),"083-11503")</f>
        <v>083-11503</v>
      </c>
      <c r="B4216" s="6" t="str">
        <f>IFERROR(__xludf.DUMMYFUNCTION("""COMPUTED_VALUE"""),"83")</f>
        <v>83</v>
      </c>
      <c r="C4216" s="6" t="str">
        <f>IFERROR(__xludf.DUMMYFUNCTION("""COMPUTED_VALUE"""),"11503")</f>
        <v>11503</v>
      </c>
      <c r="D4216" s="6" t="str">
        <f>IFERROR(__xludf.DUMMYFUNCTION("""COMPUTED_VALUE"""),"Esmeralda")</f>
        <v>Esmeralda</v>
      </c>
      <c r="E4216" s="6" t="str">
        <f>IFERROR(__xludf.DUMMYFUNCTION("""COMPUTED_VALUE"""),"")</f>
        <v/>
      </c>
      <c r="F4216" s="6" t="str">
        <f>IFERROR(__xludf.DUMMYFUNCTION("""COMPUTED_VALUE"""),"Perez")</f>
        <v>Perez</v>
      </c>
      <c r="G4216" s="6" t="str">
        <f>IFERROR(__xludf.DUMMYFUNCTION("""COMPUTED_VALUE"""),"05/27/2016")</f>
        <v>05/27/2016</v>
      </c>
      <c r="H4216" s="6" t="str">
        <f>IFERROR(__xludf.DUMMYFUNCTION("""COMPUTED_VALUE"""),"female")</f>
        <v>female</v>
      </c>
      <c r="I4216" s="6" t="str">
        <f>IFERROR(__xludf.DUMMYFUNCTION("""COMPUTED_VALUE"""),"Level 1")</f>
        <v>Level 1</v>
      </c>
      <c r="J4216" s="6" t="str">
        <f>IFERROR(__xludf.DUMMYFUNCTION("""COMPUTED_VALUE"""),"3")</f>
        <v>3</v>
      </c>
      <c r="K4216" s="6" t="str">
        <f>IFERROR(__xludf.DUMMYFUNCTION("""COMPUTED_VALUE"""),"esmeralda.perez@2hourlearning.com")</f>
        <v>esmeralda.perez@2hourlearning.com</v>
      </c>
      <c r="L4216" s="6" t="str">
        <f>IFERROR(__xludf.DUMMYFUNCTION("""COMPUTED_VALUE"""),"JHES - Hardeeville Elementary School")</f>
        <v>JHES - Hardeeville Elementary School</v>
      </c>
      <c r="M4216" s="6" t="str">
        <f>IFERROR(__xludf.DUMMYFUNCTION("""COMPUTED_VALUE"""),"")</f>
        <v/>
      </c>
      <c r="N4216" s="6" t="str">
        <f>IFERROR(__xludf.DUMMYFUNCTION("""COMPUTED_VALUE"""),"")</f>
        <v/>
      </c>
      <c r="O4216" s="87" t="str">
        <f>IFERROR(__xludf.DUMMYFUNCTION("""COMPUTED_VALUE"""),"https://drive.google.com/drive/folders/10T2cTQHqEJZqE-st6uFKPoI?usp=share_link")</f>
        <v>https://drive.google.com/drive/folders/10T2cTQHqEJZqE-st6uFKPoI?usp=share_link</v>
      </c>
      <c r="P4216" s="6" t="str">
        <f>IFERROR(__xludf.DUMMYFUNCTION("""COMPUTED_VALUE"""),"Esmeralda Perez")</f>
        <v>Esmeralda Perez</v>
      </c>
      <c r="Q4216" s="6" t="str">
        <f>IFERROR(__xludf.DUMMYFUNCTION("""COMPUTED_VALUE"""),"L1")</f>
        <v>L1</v>
      </c>
      <c r="R4216" s="6">
        <f>IFERROR(__xludf.DUMMYFUNCTION("""COMPUTED_VALUE"""),1.0)</f>
        <v>1</v>
      </c>
      <c r="S4216" s="6" t="str">
        <f>IFERROR(__xludf.DUMMYFUNCTION("""COMPUTED_VALUE""")," ")</f>
        <v> </v>
      </c>
      <c r="T4216" s="6" t="str">
        <f>IFERROR(__xludf.DUMMYFUNCTION("""COMPUTED_VALUE"""),"")</f>
        <v/>
      </c>
      <c r="U4216" s="6" t="str">
        <f>IFERROR(__xludf.DUMMYFUNCTION("""COMPUTED_VALUE"""),"3")</f>
        <v>3</v>
      </c>
      <c r="V4216" s="6" t="str">
        <f>IFERROR(__xludf.DUMMYFUNCTION("""COMPUTED_VALUE"""),"")</f>
        <v/>
      </c>
      <c r="W4216" s="6" t="str">
        <f>IFERROR(__xludf.DUMMYFUNCTION("""COMPUTED_VALUE"""),"[]")</f>
        <v>[]</v>
      </c>
      <c r="X4216" s="6" t="str">
        <f>IFERROR(__xludf.DUMMYFUNCTION("""COMPUTED_VALUE"""),"Enrolled")</f>
        <v>Enrolled</v>
      </c>
    </row>
    <row r="4217">
      <c r="A4217" s="6" t="str">
        <f>IFERROR(__xludf.DUMMYFUNCTION("""COMPUTED_VALUE"""),"083-11504")</f>
        <v>083-11504</v>
      </c>
      <c r="B4217" s="6" t="str">
        <f>IFERROR(__xludf.DUMMYFUNCTION("""COMPUTED_VALUE"""),"83")</f>
        <v>83</v>
      </c>
      <c r="C4217" s="6" t="str">
        <f>IFERROR(__xludf.DUMMYFUNCTION("""COMPUTED_VALUE"""),"11504")</f>
        <v>11504</v>
      </c>
      <c r="D4217" s="6" t="str">
        <f>IFERROR(__xludf.DUMMYFUNCTION("""COMPUTED_VALUE"""),"Yatzll")</f>
        <v>Yatzll</v>
      </c>
      <c r="E4217" s="6" t="str">
        <f>IFERROR(__xludf.DUMMYFUNCTION("""COMPUTED_VALUE"""),"")</f>
        <v/>
      </c>
      <c r="F4217" s="6" t="str">
        <f>IFERROR(__xludf.DUMMYFUNCTION("""COMPUTED_VALUE"""),"Ponce-Sanchez")</f>
        <v>Ponce-Sanchez</v>
      </c>
      <c r="G4217" s="6" t="str">
        <f>IFERROR(__xludf.DUMMYFUNCTION("""COMPUTED_VALUE"""),"06/10/2016")</f>
        <v>06/10/2016</v>
      </c>
      <c r="H4217" s="6" t="str">
        <f>IFERROR(__xludf.DUMMYFUNCTION("""COMPUTED_VALUE"""),"female")</f>
        <v>female</v>
      </c>
      <c r="I4217" s="6" t="str">
        <f>IFERROR(__xludf.DUMMYFUNCTION("""COMPUTED_VALUE"""),"Level 1")</f>
        <v>Level 1</v>
      </c>
      <c r="J4217" s="6" t="str">
        <f>IFERROR(__xludf.DUMMYFUNCTION("""COMPUTED_VALUE"""),"3")</f>
        <v>3</v>
      </c>
      <c r="K4217" s="6" t="str">
        <f>IFERROR(__xludf.DUMMYFUNCTION("""COMPUTED_VALUE"""),"yatzll.poncesanchez@2hourlearning.com")</f>
        <v>yatzll.poncesanchez@2hourlearning.com</v>
      </c>
      <c r="L4217" s="6" t="str">
        <f>IFERROR(__xludf.DUMMYFUNCTION("""COMPUTED_VALUE"""),"JHES - Hardeeville Elementary School")</f>
        <v>JHES - Hardeeville Elementary School</v>
      </c>
      <c r="M4217" s="6" t="str">
        <f>IFERROR(__xludf.DUMMYFUNCTION("""COMPUTED_VALUE"""),"")</f>
        <v/>
      </c>
      <c r="N4217" s="6" t="str">
        <f>IFERROR(__xludf.DUMMYFUNCTION("""COMPUTED_VALUE"""),"")</f>
        <v/>
      </c>
      <c r="O4217" s="87" t="str">
        <f>IFERROR(__xludf.DUMMYFUNCTION("""COMPUTED_VALUE"""),"https://drive.google.com/drive/folders/10T2cTQHqEJZqE-st6uFKPoI?usp=share_link")</f>
        <v>https://drive.google.com/drive/folders/10T2cTQHqEJZqE-st6uFKPoI?usp=share_link</v>
      </c>
      <c r="P4217" s="6" t="str">
        <f>IFERROR(__xludf.DUMMYFUNCTION("""COMPUTED_VALUE"""),"Yatzll Ponce-Sanchez")</f>
        <v>Yatzll Ponce-Sanchez</v>
      </c>
      <c r="Q4217" s="6" t="str">
        <f>IFERROR(__xludf.DUMMYFUNCTION("""COMPUTED_VALUE"""),"L1")</f>
        <v>L1</v>
      </c>
      <c r="R4217" s="6">
        <f>IFERROR(__xludf.DUMMYFUNCTION("""COMPUTED_VALUE"""),1.0)</f>
        <v>1</v>
      </c>
      <c r="S4217" s="6" t="str">
        <f>IFERROR(__xludf.DUMMYFUNCTION("""COMPUTED_VALUE""")," ")</f>
        <v> </v>
      </c>
      <c r="T4217" s="6" t="str">
        <f>IFERROR(__xludf.DUMMYFUNCTION("""COMPUTED_VALUE"""),"")</f>
        <v/>
      </c>
      <c r="U4217" s="6" t="str">
        <f>IFERROR(__xludf.DUMMYFUNCTION("""COMPUTED_VALUE"""),"3")</f>
        <v>3</v>
      </c>
      <c r="V4217" s="6" t="str">
        <f>IFERROR(__xludf.DUMMYFUNCTION("""COMPUTED_VALUE"""),"")</f>
        <v/>
      </c>
      <c r="W4217" s="6" t="str">
        <f>IFERROR(__xludf.DUMMYFUNCTION("""COMPUTED_VALUE"""),"[]")</f>
        <v>[]</v>
      </c>
      <c r="X4217" s="6" t="str">
        <f>IFERROR(__xludf.DUMMYFUNCTION("""COMPUTED_VALUE"""),"Enrolled")</f>
        <v>Enrolled</v>
      </c>
    </row>
    <row r="4218">
      <c r="A4218" s="6" t="str">
        <f>IFERROR(__xludf.DUMMYFUNCTION("""COMPUTED_VALUE"""),"083-11505")</f>
        <v>083-11505</v>
      </c>
      <c r="B4218" s="6" t="str">
        <f>IFERROR(__xludf.DUMMYFUNCTION("""COMPUTED_VALUE"""),"83")</f>
        <v>83</v>
      </c>
      <c r="C4218" s="6" t="str">
        <f>IFERROR(__xludf.DUMMYFUNCTION("""COMPUTED_VALUE"""),"11505")</f>
        <v>11505</v>
      </c>
      <c r="D4218" s="6" t="str">
        <f>IFERROR(__xludf.DUMMYFUNCTION("""COMPUTED_VALUE"""),"Dante")</f>
        <v>Dante</v>
      </c>
      <c r="E4218" s="6" t="str">
        <f>IFERROR(__xludf.DUMMYFUNCTION("""COMPUTED_VALUE"""),"")</f>
        <v/>
      </c>
      <c r="F4218" s="6" t="str">
        <f>IFERROR(__xludf.DUMMYFUNCTION("""COMPUTED_VALUE"""),"Ramirez-Velez")</f>
        <v>Ramirez-Velez</v>
      </c>
      <c r="G4218" s="6" t="str">
        <f>IFERROR(__xludf.DUMMYFUNCTION("""COMPUTED_VALUE"""),"12/08/2015")</f>
        <v>12/08/2015</v>
      </c>
      <c r="H4218" s="6" t="str">
        <f>IFERROR(__xludf.DUMMYFUNCTION("""COMPUTED_VALUE"""),"male")</f>
        <v>male</v>
      </c>
      <c r="I4218" s="6" t="str">
        <f>IFERROR(__xludf.DUMMYFUNCTION("""COMPUTED_VALUE"""),"Level 1")</f>
        <v>Level 1</v>
      </c>
      <c r="J4218" s="6" t="str">
        <f>IFERROR(__xludf.DUMMYFUNCTION("""COMPUTED_VALUE"""),"3")</f>
        <v>3</v>
      </c>
      <c r="K4218" s="6" t="str">
        <f>IFERROR(__xludf.DUMMYFUNCTION("""COMPUTED_VALUE"""),"dante.ramirezvelez@2hourlearning.com")</f>
        <v>dante.ramirezvelez@2hourlearning.com</v>
      </c>
      <c r="L4218" s="6" t="str">
        <f>IFERROR(__xludf.DUMMYFUNCTION("""COMPUTED_VALUE"""),"JHES - Hardeeville Elementary School")</f>
        <v>JHES - Hardeeville Elementary School</v>
      </c>
      <c r="M4218" s="6" t="str">
        <f>IFERROR(__xludf.DUMMYFUNCTION("""COMPUTED_VALUE"""),"")</f>
        <v/>
      </c>
      <c r="N4218" s="6" t="str">
        <f>IFERROR(__xludf.DUMMYFUNCTION("""COMPUTED_VALUE"""),"")</f>
        <v/>
      </c>
      <c r="O4218" s="87" t="str">
        <f>IFERROR(__xludf.DUMMYFUNCTION("""COMPUTED_VALUE"""),"https://drive.google.com/drive/folders/10T2cTQHqEJZqE-st6uFKPoI?usp=share_link")</f>
        <v>https://drive.google.com/drive/folders/10T2cTQHqEJZqE-st6uFKPoI?usp=share_link</v>
      </c>
      <c r="P4218" s="6" t="str">
        <f>IFERROR(__xludf.DUMMYFUNCTION("""COMPUTED_VALUE"""),"Dante Ramirez-Velez")</f>
        <v>Dante Ramirez-Velez</v>
      </c>
      <c r="Q4218" s="6" t="str">
        <f>IFERROR(__xludf.DUMMYFUNCTION("""COMPUTED_VALUE"""),"L1")</f>
        <v>L1</v>
      </c>
      <c r="R4218" s="6">
        <f>IFERROR(__xludf.DUMMYFUNCTION("""COMPUTED_VALUE"""),1.0)</f>
        <v>1</v>
      </c>
      <c r="S4218" s="6" t="str">
        <f>IFERROR(__xludf.DUMMYFUNCTION("""COMPUTED_VALUE""")," ")</f>
        <v> </v>
      </c>
      <c r="T4218" s="6" t="str">
        <f>IFERROR(__xludf.DUMMYFUNCTION("""COMPUTED_VALUE"""),"")</f>
        <v/>
      </c>
      <c r="U4218" s="6" t="str">
        <f>IFERROR(__xludf.DUMMYFUNCTION("""COMPUTED_VALUE"""),"3")</f>
        <v>3</v>
      </c>
      <c r="V4218" s="6" t="str">
        <f>IFERROR(__xludf.DUMMYFUNCTION("""COMPUTED_VALUE"""),"")</f>
        <v/>
      </c>
      <c r="W4218" s="6" t="str">
        <f>IFERROR(__xludf.DUMMYFUNCTION("""COMPUTED_VALUE"""),"[]")</f>
        <v>[]</v>
      </c>
      <c r="X4218" s="6" t="str">
        <f>IFERROR(__xludf.DUMMYFUNCTION("""COMPUTED_VALUE"""),"Enrolled")</f>
        <v>Enrolled</v>
      </c>
    </row>
    <row r="4219">
      <c r="A4219" s="6" t="str">
        <f>IFERROR(__xludf.DUMMYFUNCTION("""COMPUTED_VALUE"""),"083-11506")</f>
        <v>083-11506</v>
      </c>
      <c r="B4219" s="6" t="str">
        <f>IFERROR(__xludf.DUMMYFUNCTION("""COMPUTED_VALUE"""),"83")</f>
        <v>83</v>
      </c>
      <c r="C4219" s="6" t="str">
        <f>IFERROR(__xludf.DUMMYFUNCTION("""COMPUTED_VALUE"""),"11506")</f>
        <v>11506</v>
      </c>
      <c r="D4219" s="6" t="str">
        <f>IFERROR(__xludf.DUMMYFUNCTION("""COMPUTED_VALUE"""),"Logan")</f>
        <v>Logan</v>
      </c>
      <c r="E4219" s="6" t="str">
        <f>IFERROR(__xludf.DUMMYFUNCTION("""COMPUTED_VALUE"""),"")</f>
        <v/>
      </c>
      <c r="F4219" s="6" t="str">
        <f>IFERROR(__xludf.DUMMYFUNCTION("""COMPUTED_VALUE"""),"Ramos")</f>
        <v>Ramos</v>
      </c>
      <c r="G4219" s="6" t="str">
        <f>IFERROR(__xludf.DUMMYFUNCTION("""COMPUTED_VALUE"""),"10/03/2015")</f>
        <v>10/03/2015</v>
      </c>
      <c r="H4219" s="6" t="str">
        <f>IFERROR(__xludf.DUMMYFUNCTION("""COMPUTED_VALUE"""),"male")</f>
        <v>male</v>
      </c>
      <c r="I4219" s="6" t="str">
        <f>IFERROR(__xludf.DUMMYFUNCTION("""COMPUTED_VALUE"""),"Level 1")</f>
        <v>Level 1</v>
      </c>
      <c r="J4219" s="6" t="str">
        <f>IFERROR(__xludf.DUMMYFUNCTION("""COMPUTED_VALUE"""),"3")</f>
        <v>3</v>
      </c>
      <c r="K4219" s="6" t="str">
        <f>IFERROR(__xludf.DUMMYFUNCTION("""COMPUTED_VALUE"""),"logan.ramos@2hourlearning.com")</f>
        <v>logan.ramos@2hourlearning.com</v>
      </c>
      <c r="L4219" s="6" t="str">
        <f>IFERROR(__xludf.DUMMYFUNCTION("""COMPUTED_VALUE"""),"JHES - Hardeeville Elementary School")</f>
        <v>JHES - Hardeeville Elementary School</v>
      </c>
      <c r="M4219" s="6" t="str">
        <f>IFERROR(__xludf.DUMMYFUNCTION("""COMPUTED_VALUE"""),"")</f>
        <v/>
      </c>
      <c r="N4219" s="6" t="str">
        <f>IFERROR(__xludf.DUMMYFUNCTION("""COMPUTED_VALUE"""),"")</f>
        <v/>
      </c>
      <c r="O4219" s="87" t="str">
        <f>IFERROR(__xludf.DUMMYFUNCTION("""COMPUTED_VALUE"""),"https://drive.google.com/drive/folders/10T2cTQHqEJZqE-st6uFKPoI?usp=share_link")</f>
        <v>https://drive.google.com/drive/folders/10T2cTQHqEJZqE-st6uFKPoI?usp=share_link</v>
      </c>
      <c r="P4219" s="6" t="str">
        <f>IFERROR(__xludf.DUMMYFUNCTION("""COMPUTED_VALUE"""),"Logan Ramos")</f>
        <v>Logan Ramos</v>
      </c>
      <c r="Q4219" s="6" t="str">
        <f>IFERROR(__xludf.DUMMYFUNCTION("""COMPUTED_VALUE"""),"L1")</f>
        <v>L1</v>
      </c>
      <c r="R4219" s="6">
        <f>IFERROR(__xludf.DUMMYFUNCTION("""COMPUTED_VALUE"""),1.0)</f>
        <v>1</v>
      </c>
      <c r="S4219" s="6" t="str">
        <f>IFERROR(__xludf.DUMMYFUNCTION("""COMPUTED_VALUE""")," ")</f>
        <v> </v>
      </c>
      <c r="T4219" s="6" t="str">
        <f>IFERROR(__xludf.DUMMYFUNCTION("""COMPUTED_VALUE"""),"")</f>
        <v/>
      </c>
      <c r="U4219" s="6" t="str">
        <f>IFERROR(__xludf.DUMMYFUNCTION("""COMPUTED_VALUE"""),"3")</f>
        <v>3</v>
      </c>
      <c r="V4219" s="6" t="str">
        <f>IFERROR(__xludf.DUMMYFUNCTION("""COMPUTED_VALUE"""),"")</f>
        <v/>
      </c>
      <c r="W4219" s="6" t="str">
        <f>IFERROR(__xludf.DUMMYFUNCTION("""COMPUTED_VALUE"""),"[]")</f>
        <v>[]</v>
      </c>
      <c r="X4219" s="6" t="str">
        <f>IFERROR(__xludf.DUMMYFUNCTION("""COMPUTED_VALUE"""),"Enrolled")</f>
        <v>Enrolled</v>
      </c>
    </row>
    <row r="4220">
      <c r="A4220" s="6" t="str">
        <f>IFERROR(__xludf.DUMMYFUNCTION("""COMPUTED_VALUE"""),"083-11507")</f>
        <v>083-11507</v>
      </c>
      <c r="B4220" s="6" t="str">
        <f>IFERROR(__xludf.DUMMYFUNCTION("""COMPUTED_VALUE"""),"83")</f>
        <v>83</v>
      </c>
      <c r="C4220" s="6" t="str">
        <f>IFERROR(__xludf.DUMMYFUNCTION("""COMPUTED_VALUE"""),"11507")</f>
        <v>11507</v>
      </c>
      <c r="D4220" s="6" t="str">
        <f>IFERROR(__xludf.DUMMYFUNCTION("""COMPUTED_VALUE"""),"Kevin")</f>
        <v>Kevin</v>
      </c>
      <c r="E4220" s="6" t="str">
        <f>IFERROR(__xludf.DUMMYFUNCTION("""COMPUTED_VALUE"""),"")</f>
        <v/>
      </c>
      <c r="F4220" s="6" t="str">
        <f>IFERROR(__xludf.DUMMYFUNCTION("""COMPUTED_VALUE"""),"Velasquez Bautista")</f>
        <v>Velasquez Bautista</v>
      </c>
      <c r="G4220" s="6" t="str">
        <f>IFERROR(__xludf.DUMMYFUNCTION("""COMPUTED_VALUE"""),"12/23/2016")</f>
        <v>12/23/2016</v>
      </c>
      <c r="H4220" s="6" t="str">
        <f>IFERROR(__xludf.DUMMYFUNCTION("""COMPUTED_VALUE"""),"male")</f>
        <v>male</v>
      </c>
      <c r="I4220" s="6" t="str">
        <f>IFERROR(__xludf.DUMMYFUNCTION("""COMPUTED_VALUE"""),"Level 1")</f>
        <v>Level 1</v>
      </c>
      <c r="J4220" s="6" t="str">
        <f>IFERROR(__xludf.DUMMYFUNCTION("""COMPUTED_VALUE"""),"3")</f>
        <v>3</v>
      </c>
      <c r="K4220" s="6" t="str">
        <f>IFERROR(__xludf.DUMMYFUNCTION("""COMPUTED_VALUE"""),"kevin.velasquezbautista@2hourlearning.com")</f>
        <v>kevin.velasquezbautista@2hourlearning.com</v>
      </c>
      <c r="L4220" s="6" t="str">
        <f>IFERROR(__xludf.DUMMYFUNCTION("""COMPUTED_VALUE"""),"JHES - Hardeeville Elementary School")</f>
        <v>JHES - Hardeeville Elementary School</v>
      </c>
      <c r="M4220" s="6" t="str">
        <f>IFERROR(__xludf.DUMMYFUNCTION("""COMPUTED_VALUE"""),"")</f>
        <v/>
      </c>
      <c r="N4220" s="6" t="str">
        <f>IFERROR(__xludf.DUMMYFUNCTION("""COMPUTED_VALUE"""),"")</f>
        <v/>
      </c>
      <c r="O4220" s="87" t="str">
        <f>IFERROR(__xludf.DUMMYFUNCTION("""COMPUTED_VALUE"""),"https://drive.google.com/drive/folders/10T2cTQHqEJZqE-st6uFKPoI?usp=share_link")</f>
        <v>https://drive.google.com/drive/folders/10T2cTQHqEJZqE-st6uFKPoI?usp=share_link</v>
      </c>
      <c r="P4220" s="6" t="str">
        <f>IFERROR(__xludf.DUMMYFUNCTION("""COMPUTED_VALUE"""),"Kevin Velasquez Bautista")</f>
        <v>Kevin Velasquez Bautista</v>
      </c>
      <c r="Q4220" s="6" t="str">
        <f>IFERROR(__xludf.DUMMYFUNCTION("""COMPUTED_VALUE"""),"L1")</f>
        <v>L1</v>
      </c>
      <c r="R4220" s="6">
        <f>IFERROR(__xludf.DUMMYFUNCTION("""COMPUTED_VALUE"""),1.0)</f>
        <v>1</v>
      </c>
      <c r="S4220" s="6" t="str">
        <f>IFERROR(__xludf.DUMMYFUNCTION("""COMPUTED_VALUE""")," ")</f>
        <v> </v>
      </c>
      <c r="T4220" s="6" t="str">
        <f>IFERROR(__xludf.DUMMYFUNCTION("""COMPUTED_VALUE"""),"")</f>
        <v/>
      </c>
      <c r="U4220" s="6" t="str">
        <f>IFERROR(__xludf.DUMMYFUNCTION("""COMPUTED_VALUE"""),"3")</f>
        <v>3</v>
      </c>
      <c r="V4220" s="6" t="str">
        <f>IFERROR(__xludf.DUMMYFUNCTION("""COMPUTED_VALUE"""),"")</f>
        <v/>
      </c>
      <c r="W4220" s="6" t="str">
        <f>IFERROR(__xludf.DUMMYFUNCTION("""COMPUTED_VALUE"""),"[]")</f>
        <v>[]</v>
      </c>
      <c r="X4220" s="6" t="str">
        <f>IFERROR(__xludf.DUMMYFUNCTION("""COMPUTED_VALUE"""),"Enrolled")</f>
        <v>Enrolled</v>
      </c>
    </row>
    <row r="4221">
      <c r="A4221" s="6" t="str">
        <f>IFERROR(__xludf.DUMMYFUNCTION("""COMPUTED_VALUE"""),"083-11508")</f>
        <v>083-11508</v>
      </c>
      <c r="B4221" s="6" t="str">
        <f>IFERROR(__xludf.DUMMYFUNCTION("""COMPUTED_VALUE"""),"83")</f>
        <v>83</v>
      </c>
      <c r="C4221" s="6" t="str">
        <f>IFERROR(__xludf.DUMMYFUNCTION("""COMPUTED_VALUE"""),"11508")</f>
        <v>11508</v>
      </c>
      <c r="D4221" s="6" t="str">
        <f>IFERROR(__xludf.DUMMYFUNCTION("""COMPUTED_VALUE"""),"Jacob")</f>
        <v>Jacob</v>
      </c>
      <c r="E4221" s="6" t="str">
        <f>IFERROR(__xludf.DUMMYFUNCTION("""COMPUTED_VALUE"""),"")</f>
        <v/>
      </c>
      <c r="F4221" s="6" t="str">
        <f>IFERROR(__xludf.DUMMYFUNCTION("""COMPUTED_VALUE"""),"Barcenas Fuentes")</f>
        <v>Barcenas Fuentes</v>
      </c>
      <c r="G4221" s="6" t="str">
        <f>IFERROR(__xludf.DUMMYFUNCTION("""COMPUTED_VALUE"""),"03/25/2018")</f>
        <v>03/25/2018</v>
      </c>
      <c r="H4221" s="6" t="str">
        <f>IFERROR(__xludf.DUMMYFUNCTION("""COMPUTED_VALUE"""),"female")</f>
        <v>female</v>
      </c>
      <c r="I4221" s="6" t="str">
        <f>IFERROR(__xludf.DUMMYFUNCTION("""COMPUTED_VALUE"""),"Level 1")</f>
        <v>Level 1</v>
      </c>
      <c r="J4221" s="6" t="str">
        <f>IFERROR(__xludf.DUMMYFUNCTION("""COMPUTED_VALUE"""),"2")</f>
        <v>2</v>
      </c>
      <c r="K4221" s="6" t="str">
        <f>IFERROR(__xludf.DUMMYFUNCTION("""COMPUTED_VALUE"""),"jacob.barcenasfuentes@2hourlearning.com")</f>
        <v>jacob.barcenasfuentes@2hourlearning.com</v>
      </c>
      <c r="L4221" s="6" t="str">
        <f>IFERROR(__xludf.DUMMYFUNCTION("""COMPUTED_VALUE"""),"JHES - Hardeeville Elementary School")</f>
        <v>JHES - Hardeeville Elementary School</v>
      </c>
      <c r="M4221" s="6" t="str">
        <f>IFERROR(__xludf.DUMMYFUNCTION("""COMPUTED_VALUE"""),"")</f>
        <v/>
      </c>
      <c r="N4221" s="6" t="str">
        <f>IFERROR(__xludf.DUMMYFUNCTION("""COMPUTED_VALUE"""),"")</f>
        <v/>
      </c>
      <c r="O4221" s="87" t="str">
        <f>IFERROR(__xludf.DUMMYFUNCTION("""COMPUTED_VALUE"""),"https://drive.google.com/drive/folders/10T2cTQHqEJZqE-st6uFKPoI?usp=share_link")</f>
        <v>https://drive.google.com/drive/folders/10T2cTQHqEJZqE-st6uFKPoI?usp=share_link</v>
      </c>
      <c r="P4221" s="6" t="str">
        <f>IFERROR(__xludf.DUMMYFUNCTION("""COMPUTED_VALUE"""),"Jacob Barcenas Fuentes")</f>
        <v>Jacob Barcenas Fuentes</v>
      </c>
      <c r="Q4221" s="6" t="str">
        <f>IFERROR(__xludf.DUMMYFUNCTION("""COMPUTED_VALUE"""),"L1")</f>
        <v>L1</v>
      </c>
      <c r="R4221" s="6">
        <f>IFERROR(__xludf.DUMMYFUNCTION("""COMPUTED_VALUE"""),1.0)</f>
        <v>1</v>
      </c>
      <c r="S4221" s="6" t="str">
        <f>IFERROR(__xludf.DUMMYFUNCTION("""COMPUTED_VALUE""")," ")</f>
        <v> </v>
      </c>
      <c r="T4221" s="6" t="str">
        <f>IFERROR(__xludf.DUMMYFUNCTION("""COMPUTED_VALUE"""),"")</f>
        <v/>
      </c>
      <c r="U4221" s="6" t="str">
        <f>IFERROR(__xludf.DUMMYFUNCTION("""COMPUTED_VALUE"""),"2")</f>
        <v>2</v>
      </c>
      <c r="V4221" s="6" t="str">
        <f>IFERROR(__xludf.DUMMYFUNCTION("""COMPUTED_VALUE"""),"")</f>
        <v/>
      </c>
      <c r="W4221" s="6" t="str">
        <f>IFERROR(__xludf.DUMMYFUNCTION("""COMPUTED_VALUE"""),"[]")</f>
        <v>[]</v>
      </c>
      <c r="X4221" s="6" t="str">
        <f>IFERROR(__xludf.DUMMYFUNCTION("""COMPUTED_VALUE"""),"Enrolled")</f>
        <v>Enrolled</v>
      </c>
    </row>
    <row r="4222">
      <c r="A4222" s="6" t="str">
        <f>IFERROR(__xludf.DUMMYFUNCTION("""COMPUTED_VALUE"""),"083-11509")</f>
        <v>083-11509</v>
      </c>
      <c r="B4222" s="6" t="str">
        <f>IFERROR(__xludf.DUMMYFUNCTION("""COMPUTED_VALUE"""),"83")</f>
        <v>83</v>
      </c>
      <c r="C4222" s="6" t="str">
        <f>IFERROR(__xludf.DUMMYFUNCTION("""COMPUTED_VALUE"""),"11509")</f>
        <v>11509</v>
      </c>
      <c r="D4222" s="6" t="str">
        <f>IFERROR(__xludf.DUMMYFUNCTION("""COMPUTED_VALUE"""),"Allyssa")</f>
        <v>Allyssa</v>
      </c>
      <c r="E4222" s="6" t="str">
        <f>IFERROR(__xludf.DUMMYFUNCTION("""COMPUTED_VALUE"""),"")</f>
        <v/>
      </c>
      <c r="F4222" s="6" t="str">
        <f>IFERROR(__xludf.DUMMYFUNCTION("""COMPUTED_VALUE"""),"Fortiz-Santos")</f>
        <v>Fortiz-Santos</v>
      </c>
      <c r="G4222" s="6" t="str">
        <f>IFERROR(__xludf.DUMMYFUNCTION("""COMPUTED_VALUE"""),"12/28/2017")</f>
        <v>12/28/2017</v>
      </c>
      <c r="H4222" s="6" t="str">
        <f>IFERROR(__xludf.DUMMYFUNCTION("""COMPUTED_VALUE"""),"female")</f>
        <v>female</v>
      </c>
      <c r="I4222" s="6" t="str">
        <f>IFERROR(__xludf.DUMMYFUNCTION("""COMPUTED_VALUE"""),"Level 1")</f>
        <v>Level 1</v>
      </c>
      <c r="J4222" s="6" t="str">
        <f>IFERROR(__xludf.DUMMYFUNCTION("""COMPUTED_VALUE"""),"2")</f>
        <v>2</v>
      </c>
      <c r="K4222" s="6" t="str">
        <f>IFERROR(__xludf.DUMMYFUNCTION("""COMPUTED_VALUE"""),"allyssa.fortizsantos@2hourlearning.com")</f>
        <v>allyssa.fortizsantos@2hourlearning.com</v>
      </c>
      <c r="L4222" s="6" t="str">
        <f>IFERROR(__xludf.DUMMYFUNCTION("""COMPUTED_VALUE"""),"JHES - Hardeeville Elementary School")</f>
        <v>JHES - Hardeeville Elementary School</v>
      </c>
      <c r="M4222" s="6" t="str">
        <f>IFERROR(__xludf.DUMMYFUNCTION("""COMPUTED_VALUE"""),"")</f>
        <v/>
      </c>
      <c r="N4222" s="6" t="str">
        <f>IFERROR(__xludf.DUMMYFUNCTION("""COMPUTED_VALUE"""),"")</f>
        <v/>
      </c>
      <c r="O4222" s="87" t="str">
        <f>IFERROR(__xludf.DUMMYFUNCTION("""COMPUTED_VALUE"""),"https://drive.google.com/drive/folders/10T2cTQHqEJZqE-st6uFKPoI?usp=share_link")</f>
        <v>https://drive.google.com/drive/folders/10T2cTQHqEJZqE-st6uFKPoI?usp=share_link</v>
      </c>
      <c r="P4222" s="6" t="str">
        <f>IFERROR(__xludf.DUMMYFUNCTION("""COMPUTED_VALUE"""),"Allyssa Fortiz-Santos")</f>
        <v>Allyssa Fortiz-Santos</v>
      </c>
      <c r="Q4222" s="6" t="str">
        <f>IFERROR(__xludf.DUMMYFUNCTION("""COMPUTED_VALUE"""),"L1")</f>
        <v>L1</v>
      </c>
      <c r="R4222" s="6">
        <f>IFERROR(__xludf.DUMMYFUNCTION("""COMPUTED_VALUE"""),1.0)</f>
        <v>1</v>
      </c>
      <c r="S4222" s="6" t="str">
        <f>IFERROR(__xludf.DUMMYFUNCTION("""COMPUTED_VALUE""")," ")</f>
        <v> </v>
      </c>
      <c r="T4222" s="6" t="str">
        <f>IFERROR(__xludf.DUMMYFUNCTION("""COMPUTED_VALUE"""),"")</f>
        <v/>
      </c>
      <c r="U4222" s="6" t="str">
        <f>IFERROR(__xludf.DUMMYFUNCTION("""COMPUTED_VALUE"""),"2")</f>
        <v>2</v>
      </c>
      <c r="V4222" s="6" t="str">
        <f>IFERROR(__xludf.DUMMYFUNCTION("""COMPUTED_VALUE"""),"")</f>
        <v/>
      </c>
      <c r="W4222" s="6" t="str">
        <f>IFERROR(__xludf.DUMMYFUNCTION("""COMPUTED_VALUE"""),"[]")</f>
        <v>[]</v>
      </c>
      <c r="X4222" s="6" t="str">
        <f>IFERROR(__xludf.DUMMYFUNCTION("""COMPUTED_VALUE"""),"Enrolled")</f>
        <v>Enrolled</v>
      </c>
    </row>
    <row r="4223">
      <c r="A4223" s="6" t="str">
        <f>IFERROR(__xludf.DUMMYFUNCTION("""COMPUTED_VALUE"""),"083-11510")</f>
        <v>083-11510</v>
      </c>
      <c r="B4223" s="6" t="str">
        <f>IFERROR(__xludf.DUMMYFUNCTION("""COMPUTED_VALUE"""),"83")</f>
        <v>83</v>
      </c>
      <c r="C4223" s="6" t="str">
        <f>IFERROR(__xludf.DUMMYFUNCTION("""COMPUTED_VALUE"""),"11510")</f>
        <v>11510</v>
      </c>
      <c r="D4223" s="6" t="str">
        <f>IFERROR(__xludf.DUMMYFUNCTION("""COMPUTED_VALUE"""),"Eliam")</f>
        <v>Eliam</v>
      </c>
      <c r="E4223" s="6" t="str">
        <f>IFERROR(__xludf.DUMMYFUNCTION("""COMPUTED_VALUE"""),"")</f>
        <v/>
      </c>
      <c r="F4223" s="6" t="str">
        <f>IFERROR(__xludf.DUMMYFUNCTION("""COMPUTED_VALUE"""),"Orellana Diaz")</f>
        <v>Orellana Diaz</v>
      </c>
      <c r="G4223" s="6" t="str">
        <f>IFERROR(__xludf.DUMMYFUNCTION("""COMPUTED_VALUE"""),"08/28/2018")</f>
        <v>08/28/2018</v>
      </c>
      <c r="H4223" s="6" t="str">
        <f>IFERROR(__xludf.DUMMYFUNCTION("""COMPUTED_VALUE"""),"male")</f>
        <v>male</v>
      </c>
      <c r="I4223" s="6" t="str">
        <f>IFERROR(__xludf.DUMMYFUNCTION("""COMPUTED_VALUE"""),"Level 1")</f>
        <v>Level 1</v>
      </c>
      <c r="J4223" s="6" t="str">
        <f>IFERROR(__xludf.DUMMYFUNCTION("""COMPUTED_VALUE"""),"2")</f>
        <v>2</v>
      </c>
      <c r="K4223" s="6" t="str">
        <f>IFERROR(__xludf.DUMMYFUNCTION("""COMPUTED_VALUE"""),"eliam.orellanadiaz@2hourlearning.com")</f>
        <v>eliam.orellanadiaz@2hourlearning.com</v>
      </c>
      <c r="L4223" s="6" t="str">
        <f>IFERROR(__xludf.DUMMYFUNCTION("""COMPUTED_VALUE"""),"JHES - Hardeeville Elementary School")</f>
        <v>JHES - Hardeeville Elementary School</v>
      </c>
      <c r="M4223" s="6" t="str">
        <f>IFERROR(__xludf.DUMMYFUNCTION("""COMPUTED_VALUE"""),"")</f>
        <v/>
      </c>
      <c r="N4223" s="6" t="str">
        <f>IFERROR(__xludf.DUMMYFUNCTION("""COMPUTED_VALUE"""),"")</f>
        <v/>
      </c>
      <c r="O4223" s="87" t="str">
        <f>IFERROR(__xludf.DUMMYFUNCTION("""COMPUTED_VALUE"""),"https://drive.google.com/drive/folders/10T2cTQHqEJZqE-st6uFKPoI?usp=share_link")</f>
        <v>https://drive.google.com/drive/folders/10T2cTQHqEJZqE-st6uFKPoI?usp=share_link</v>
      </c>
      <c r="P4223" s="6" t="str">
        <f>IFERROR(__xludf.DUMMYFUNCTION("""COMPUTED_VALUE"""),"Eliam Orellana Diaz")</f>
        <v>Eliam Orellana Diaz</v>
      </c>
      <c r="Q4223" s="6" t="str">
        <f>IFERROR(__xludf.DUMMYFUNCTION("""COMPUTED_VALUE"""),"L1")</f>
        <v>L1</v>
      </c>
      <c r="R4223" s="6">
        <f>IFERROR(__xludf.DUMMYFUNCTION("""COMPUTED_VALUE"""),1.0)</f>
        <v>1</v>
      </c>
      <c r="S4223" s="6" t="str">
        <f>IFERROR(__xludf.DUMMYFUNCTION("""COMPUTED_VALUE""")," ")</f>
        <v> </v>
      </c>
      <c r="T4223" s="6" t="str">
        <f>IFERROR(__xludf.DUMMYFUNCTION("""COMPUTED_VALUE"""),"")</f>
        <v/>
      </c>
      <c r="U4223" s="6" t="str">
        <f>IFERROR(__xludf.DUMMYFUNCTION("""COMPUTED_VALUE"""),"2")</f>
        <v>2</v>
      </c>
      <c r="V4223" s="6" t="str">
        <f>IFERROR(__xludf.DUMMYFUNCTION("""COMPUTED_VALUE"""),"")</f>
        <v/>
      </c>
      <c r="W4223" s="6" t="str">
        <f>IFERROR(__xludf.DUMMYFUNCTION("""COMPUTED_VALUE"""),"[]")</f>
        <v>[]</v>
      </c>
      <c r="X4223" s="6" t="str">
        <f>IFERROR(__xludf.DUMMYFUNCTION("""COMPUTED_VALUE"""),"Enrolled")</f>
        <v>Enrolled</v>
      </c>
    </row>
    <row r="4224">
      <c r="A4224" s="6" t="str">
        <f>IFERROR(__xludf.DUMMYFUNCTION("""COMPUTED_VALUE"""),"083-11511")</f>
        <v>083-11511</v>
      </c>
      <c r="B4224" s="6" t="str">
        <f>IFERROR(__xludf.DUMMYFUNCTION("""COMPUTED_VALUE"""),"83")</f>
        <v>83</v>
      </c>
      <c r="C4224" s="6" t="str">
        <f>IFERROR(__xludf.DUMMYFUNCTION("""COMPUTED_VALUE"""),"11511")</f>
        <v>11511</v>
      </c>
      <c r="D4224" s="6" t="str">
        <f>IFERROR(__xludf.DUMMYFUNCTION("""COMPUTED_VALUE"""),"Ismael")</f>
        <v>Ismael</v>
      </c>
      <c r="E4224" s="6" t="str">
        <f>IFERROR(__xludf.DUMMYFUNCTION("""COMPUTED_VALUE"""),"")</f>
        <v/>
      </c>
      <c r="F4224" s="6" t="str">
        <f>IFERROR(__xludf.DUMMYFUNCTION("""COMPUTED_VALUE"""),"Alarcon Castro")</f>
        <v>Alarcon Castro</v>
      </c>
      <c r="G4224" s="6" t="str">
        <f>IFERROR(__xludf.DUMMYFUNCTION("""COMPUTED_VALUE"""),"04/02/2018")</f>
        <v>04/02/2018</v>
      </c>
      <c r="H4224" s="6" t="str">
        <f>IFERROR(__xludf.DUMMYFUNCTION("""COMPUTED_VALUE"""),"male")</f>
        <v>male</v>
      </c>
      <c r="I4224" s="6" t="str">
        <f>IFERROR(__xludf.DUMMYFUNCTION("""COMPUTED_VALUE"""),"Level 1")</f>
        <v>Level 1</v>
      </c>
      <c r="J4224" s="6" t="str">
        <f>IFERROR(__xludf.DUMMYFUNCTION("""COMPUTED_VALUE"""),"2")</f>
        <v>2</v>
      </c>
      <c r="K4224" s="6" t="str">
        <f>IFERROR(__xludf.DUMMYFUNCTION("""COMPUTED_VALUE"""),"ismael.alarconcastro@2hourlearning.com")</f>
        <v>ismael.alarconcastro@2hourlearning.com</v>
      </c>
      <c r="L4224" s="6" t="str">
        <f>IFERROR(__xludf.DUMMYFUNCTION("""COMPUTED_VALUE"""),"JHES - Hardeeville Elementary School")</f>
        <v>JHES - Hardeeville Elementary School</v>
      </c>
      <c r="M4224" s="6" t="str">
        <f>IFERROR(__xludf.DUMMYFUNCTION("""COMPUTED_VALUE"""),"")</f>
        <v/>
      </c>
      <c r="N4224" s="6" t="str">
        <f>IFERROR(__xludf.DUMMYFUNCTION("""COMPUTED_VALUE"""),"")</f>
        <v/>
      </c>
      <c r="O4224" s="87" t="str">
        <f>IFERROR(__xludf.DUMMYFUNCTION("""COMPUTED_VALUE"""),"https://drive.google.com/drive/folders/10T2cTQHqEJZqE-st6uFKPoI?usp=share_link")</f>
        <v>https://drive.google.com/drive/folders/10T2cTQHqEJZqE-st6uFKPoI?usp=share_link</v>
      </c>
      <c r="P4224" s="6" t="str">
        <f>IFERROR(__xludf.DUMMYFUNCTION("""COMPUTED_VALUE"""),"Ismael Alarcon Castro")</f>
        <v>Ismael Alarcon Castro</v>
      </c>
      <c r="Q4224" s="6" t="str">
        <f>IFERROR(__xludf.DUMMYFUNCTION("""COMPUTED_VALUE"""),"L1")</f>
        <v>L1</v>
      </c>
      <c r="R4224" s="6">
        <f>IFERROR(__xludf.DUMMYFUNCTION("""COMPUTED_VALUE"""),1.0)</f>
        <v>1</v>
      </c>
      <c r="S4224" s="6" t="str">
        <f>IFERROR(__xludf.DUMMYFUNCTION("""COMPUTED_VALUE""")," ")</f>
        <v> </v>
      </c>
      <c r="T4224" s="6" t="str">
        <f>IFERROR(__xludf.DUMMYFUNCTION("""COMPUTED_VALUE"""),"")</f>
        <v/>
      </c>
      <c r="U4224" s="6" t="str">
        <f>IFERROR(__xludf.DUMMYFUNCTION("""COMPUTED_VALUE"""),"2")</f>
        <v>2</v>
      </c>
      <c r="V4224" s="6" t="str">
        <f>IFERROR(__xludf.DUMMYFUNCTION("""COMPUTED_VALUE"""),"")</f>
        <v/>
      </c>
      <c r="W4224" s="6" t="str">
        <f>IFERROR(__xludf.DUMMYFUNCTION("""COMPUTED_VALUE"""),"[]")</f>
        <v>[]</v>
      </c>
      <c r="X4224" s="6" t="str">
        <f>IFERROR(__xludf.DUMMYFUNCTION("""COMPUTED_VALUE"""),"Enrolled")</f>
        <v>Enrolled</v>
      </c>
    </row>
    <row r="4225">
      <c r="A4225" s="6" t="str">
        <f>IFERROR(__xludf.DUMMYFUNCTION("""COMPUTED_VALUE"""),"083-11512")</f>
        <v>083-11512</v>
      </c>
      <c r="B4225" s="6" t="str">
        <f>IFERROR(__xludf.DUMMYFUNCTION("""COMPUTED_VALUE"""),"83")</f>
        <v>83</v>
      </c>
      <c r="C4225" s="6" t="str">
        <f>IFERROR(__xludf.DUMMYFUNCTION("""COMPUTED_VALUE"""),"11512")</f>
        <v>11512</v>
      </c>
      <c r="D4225" s="6" t="str">
        <f>IFERROR(__xludf.DUMMYFUNCTION("""COMPUTED_VALUE"""),"Kyle")</f>
        <v>Kyle</v>
      </c>
      <c r="E4225" s="6" t="str">
        <f>IFERROR(__xludf.DUMMYFUNCTION("""COMPUTED_VALUE"""),"")</f>
        <v/>
      </c>
      <c r="F4225" s="6" t="str">
        <f>IFERROR(__xludf.DUMMYFUNCTION("""COMPUTED_VALUE"""),"Biggs")</f>
        <v>Biggs</v>
      </c>
      <c r="G4225" s="6" t="str">
        <f>IFERROR(__xludf.DUMMYFUNCTION("""COMPUTED_VALUE"""),"09/29/2017")</f>
        <v>09/29/2017</v>
      </c>
      <c r="H4225" s="6" t="str">
        <f>IFERROR(__xludf.DUMMYFUNCTION("""COMPUTED_VALUE"""),"male")</f>
        <v>male</v>
      </c>
      <c r="I4225" s="6" t="str">
        <f>IFERROR(__xludf.DUMMYFUNCTION("""COMPUTED_VALUE"""),"Level 1")</f>
        <v>Level 1</v>
      </c>
      <c r="J4225" s="6" t="str">
        <f>IFERROR(__xludf.DUMMYFUNCTION("""COMPUTED_VALUE"""),"2")</f>
        <v>2</v>
      </c>
      <c r="K4225" s="6" t="str">
        <f>IFERROR(__xludf.DUMMYFUNCTION("""COMPUTED_VALUE"""),"kyle.biggs@2hourlearning.com")</f>
        <v>kyle.biggs@2hourlearning.com</v>
      </c>
      <c r="L4225" s="6" t="str">
        <f>IFERROR(__xludf.DUMMYFUNCTION("""COMPUTED_VALUE"""),"JHES - Hardeeville Elementary School")</f>
        <v>JHES - Hardeeville Elementary School</v>
      </c>
      <c r="M4225" s="6" t="str">
        <f>IFERROR(__xludf.DUMMYFUNCTION("""COMPUTED_VALUE"""),"")</f>
        <v/>
      </c>
      <c r="N4225" s="6" t="str">
        <f>IFERROR(__xludf.DUMMYFUNCTION("""COMPUTED_VALUE"""),"")</f>
        <v/>
      </c>
      <c r="O4225" s="87" t="str">
        <f>IFERROR(__xludf.DUMMYFUNCTION("""COMPUTED_VALUE"""),"https://drive.google.com/drive/folders/10T2cTQHqEJZqE-st6uFKPoI?usp=share_link")</f>
        <v>https://drive.google.com/drive/folders/10T2cTQHqEJZqE-st6uFKPoI?usp=share_link</v>
      </c>
      <c r="P4225" s="6" t="str">
        <f>IFERROR(__xludf.DUMMYFUNCTION("""COMPUTED_VALUE"""),"Kyle Biggs")</f>
        <v>Kyle Biggs</v>
      </c>
      <c r="Q4225" s="6" t="str">
        <f>IFERROR(__xludf.DUMMYFUNCTION("""COMPUTED_VALUE"""),"L1")</f>
        <v>L1</v>
      </c>
      <c r="R4225" s="6">
        <f>IFERROR(__xludf.DUMMYFUNCTION("""COMPUTED_VALUE"""),1.0)</f>
        <v>1</v>
      </c>
      <c r="S4225" s="6" t="str">
        <f>IFERROR(__xludf.DUMMYFUNCTION("""COMPUTED_VALUE""")," ")</f>
        <v> </v>
      </c>
      <c r="T4225" s="6" t="str">
        <f>IFERROR(__xludf.DUMMYFUNCTION("""COMPUTED_VALUE"""),"")</f>
        <v/>
      </c>
      <c r="U4225" s="6" t="str">
        <f>IFERROR(__xludf.DUMMYFUNCTION("""COMPUTED_VALUE"""),"2")</f>
        <v>2</v>
      </c>
      <c r="V4225" s="6" t="str">
        <f>IFERROR(__xludf.DUMMYFUNCTION("""COMPUTED_VALUE"""),"")</f>
        <v/>
      </c>
      <c r="W4225" s="6" t="str">
        <f>IFERROR(__xludf.DUMMYFUNCTION("""COMPUTED_VALUE"""),"[]")</f>
        <v>[]</v>
      </c>
      <c r="X4225" s="6" t="str">
        <f>IFERROR(__xludf.DUMMYFUNCTION("""COMPUTED_VALUE"""),"Enrolled")</f>
        <v>Enrolled</v>
      </c>
    </row>
    <row r="4226">
      <c r="A4226" s="6" t="str">
        <f>IFERROR(__xludf.DUMMYFUNCTION("""COMPUTED_VALUE"""),"083-11513")</f>
        <v>083-11513</v>
      </c>
      <c r="B4226" s="6" t="str">
        <f>IFERROR(__xludf.DUMMYFUNCTION("""COMPUTED_VALUE"""),"83")</f>
        <v>83</v>
      </c>
      <c r="C4226" s="6" t="str">
        <f>IFERROR(__xludf.DUMMYFUNCTION("""COMPUTED_VALUE"""),"11513")</f>
        <v>11513</v>
      </c>
      <c r="D4226" s="6" t="str">
        <f>IFERROR(__xludf.DUMMYFUNCTION("""COMPUTED_VALUE"""),"Ashley Getsemani")</f>
        <v>Ashley Getsemani</v>
      </c>
      <c r="E4226" s="6" t="str">
        <f>IFERROR(__xludf.DUMMYFUNCTION("""COMPUTED_VALUE"""),"")</f>
        <v/>
      </c>
      <c r="F4226" s="6" t="str">
        <f>IFERROR(__xludf.DUMMYFUNCTION("""COMPUTED_VALUE"""),"Deloya Vazquez")</f>
        <v>Deloya Vazquez</v>
      </c>
      <c r="G4226" s="6" t="str">
        <f>IFERROR(__xludf.DUMMYFUNCTION("""COMPUTED_VALUE"""),"07/09/2018")</f>
        <v>07/09/2018</v>
      </c>
      <c r="H4226" s="6" t="str">
        <f>IFERROR(__xludf.DUMMYFUNCTION("""COMPUTED_VALUE"""),"female")</f>
        <v>female</v>
      </c>
      <c r="I4226" s="6" t="str">
        <f>IFERROR(__xludf.DUMMYFUNCTION("""COMPUTED_VALUE"""),"Level 1")</f>
        <v>Level 1</v>
      </c>
      <c r="J4226" s="6" t="str">
        <f>IFERROR(__xludf.DUMMYFUNCTION("""COMPUTED_VALUE"""),"2")</f>
        <v>2</v>
      </c>
      <c r="K4226" s="6" t="str">
        <f>IFERROR(__xludf.DUMMYFUNCTION("""COMPUTED_VALUE"""),"ashleygetsemani.deloyavazquez@2hourlearning.com")</f>
        <v>ashleygetsemani.deloyavazquez@2hourlearning.com</v>
      </c>
      <c r="L4226" s="6" t="str">
        <f>IFERROR(__xludf.DUMMYFUNCTION("""COMPUTED_VALUE"""),"JHES - Hardeeville Elementary School")</f>
        <v>JHES - Hardeeville Elementary School</v>
      </c>
      <c r="M4226" s="6" t="str">
        <f>IFERROR(__xludf.DUMMYFUNCTION("""COMPUTED_VALUE"""),"")</f>
        <v/>
      </c>
      <c r="N4226" s="6" t="str">
        <f>IFERROR(__xludf.DUMMYFUNCTION("""COMPUTED_VALUE"""),"")</f>
        <v/>
      </c>
      <c r="O4226" s="87" t="str">
        <f>IFERROR(__xludf.DUMMYFUNCTION("""COMPUTED_VALUE"""),"https://drive.google.com/drive/folders/10T2cTQHqEJZqE-st6uFKPoI?usp=share_link")</f>
        <v>https://drive.google.com/drive/folders/10T2cTQHqEJZqE-st6uFKPoI?usp=share_link</v>
      </c>
      <c r="P4226" s="6" t="str">
        <f>IFERROR(__xludf.DUMMYFUNCTION("""COMPUTED_VALUE"""),"Ashley Getsemani Deloya Vazquez")</f>
        <v>Ashley Getsemani Deloya Vazquez</v>
      </c>
      <c r="Q4226" s="6" t="str">
        <f>IFERROR(__xludf.DUMMYFUNCTION("""COMPUTED_VALUE"""),"L1")</f>
        <v>L1</v>
      </c>
      <c r="R4226" s="6">
        <f>IFERROR(__xludf.DUMMYFUNCTION("""COMPUTED_VALUE"""),1.0)</f>
        <v>1</v>
      </c>
      <c r="S4226" s="6" t="str">
        <f>IFERROR(__xludf.DUMMYFUNCTION("""COMPUTED_VALUE""")," ")</f>
        <v> </v>
      </c>
      <c r="T4226" s="6" t="str">
        <f>IFERROR(__xludf.DUMMYFUNCTION("""COMPUTED_VALUE"""),"")</f>
        <v/>
      </c>
      <c r="U4226" s="6" t="str">
        <f>IFERROR(__xludf.DUMMYFUNCTION("""COMPUTED_VALUE"""),"2")</f>
        <v>2</v>
      </c>
      <c r="V4226" s="6" t="str">
        <f>IFERROR(__xludf.DUMMYFUNCTION("""COMPUTED_VALUE"""),"")</f>
        <v/>
      </c>
      <c r="W4226" s="6" t="str">
        <f>IFERROR(__xludf.DUMMYFUNCTION("""COMPUTED_VALUE"""),"[]")</f>
        <v>[]</v>
      </c>
      <c r="X4226" s="6" t="str">
        <f>IFERROR(__xludf.DUMMYFUNCTION("""COMPUTED_VALUE"""),"Enrolled")</f>
        <v>Enrolled</v>
      </c>
    </row>
    <row r="4227">
      <c r="A4227" s="6" t="str">
        <f>IFERROR(__xludf.DUMMYFUNCTION("""COMPUTED_VALUE"""),"083-11514")</f>
        <v>083-11514</v>
      </c>
      <c r="B4227" s="6" t="str">
        <f>IFERROR(__xludf.DUMMYFUNCTION("""COMPUTED_VALUE"""),"83")</f>
        <v>83</v>
      </c>
      <c r="C4227" s="6" t="str">
        <f>IFERROR(__xludf.DUMMYFUNCTION("""COMPUTED_VALUE"""),"11514")</f>
        <v>11514</v>
      </c>
      <c r="D4227" s="6" t="str">
        <f>IFERROR(__xludf.DUMMYFUNCTION("""COMPUTED_VALUE"""),"Grettel Romina")</f>
        <v>Grettel Romina</v>
      </c>
      <c r="E4227" s="6" t="str">
        <f>IFERROR(__xludf.DUMMYFUNCTION("""COMPUTED_VALUE"""),"")</f>
        <v/>
      </c>
      <c r="F4227" s="6" t="str">
        <f>IFERROR(__xludf.DUMMYFUNCTION("""COMPUTED_VALUE"""),"Flores Adame")</f>
        <v>Flores Adame</v>
      </c>
      <c r="G4227" s="6" t="str">
        <f>IFERROR(__xludf.DUMMYFUNCTION("""COMPUTED_VALUE"""),"08/13/2018")</f>
        <v>08/13/2018</v>
      </c>
      <c r="H4227" s="6" t="str">
        <f>IFERROR(__xludf.DUMMYFUNCTION("""COMPUTED_VALUE"""),"female")</f>
        <v>female</v>
      </c>
      <c r="I4227" s="6" t="str">
        <f>IFERROR(__xludf.DUMMYFUNCTION("""COMPUTED_VALUE"""),"Level 1")</f>
        <v>Level 1</v>
      </c>
      <c r="J4227" s="6" t="str">
        <f>IFERROR(__xludf.DUMMYFUNCTION("""COMPUTED_VALUE"""),"2")</f>
        <v>2</v>
      </c>
      <c r="K4227" s="6" t="str">
        <f>IFERROR(__xludf.DUMMYFUNCTION("""COMPUTED_VALUE"""),"grettelromina.floresadame@2hourlearning.com")</f>
        <v>grettelromina.floresadame@2hourlearning.com</v>
      </c>
      <c r="L4227" s="6" t="str">
        <f>IFERROR(__xludf.DUMMYFUNCTION("""COMPUTED_VALUE"""),"JHES - Hardeeville Elementary School")</f>
        <v>JHES - Hardeeville Elementary School</v>
      </c>
      <c r="M4227" s="6" t="str">
        <f>IFERROR(__xludf.DUMMYFUNCTION("""COMPUTED_VALUE"""),"")</f>
        <v/>
      </c>
      <c r="N4227" s="6" t="str">
        <f>IFERROR(__xludf.DUMMYFUNCTION("""COMPUTED_VALUE"""),"")</f>
        <v/>
      </c>
      <c r="O4227" s="87" t="str">
        <f>IFERROR(__xludf.DUMMYFUNCTION("""COMPUTED_VALUE"""),"https://drive.google.com/drive/folders/10T2cTQHqEJZqE-st6uFKPoI?usp=share_link")</f>
        <v>https://drive.google.com/drive/folders/10T2cTQHqEJZqE-st6uFKPoI?usp=share_link</v>
      </c>
      <c r="P4227" s="6" t="str">
        <f>IFERROR(__xludf.DUMMYFUNCTION("""COMPUTED_VALUE"""),"Grettel Romina Flores Adame")</f>
        <v>Grettel Romina Flores Adame</v>
      </c>
      <c r="Q4227" s="6" t="str">
        <f>IFERROR(__xludf.DUMMYFUNCTION("""COMPUTED_VALUE"""),"L1")</f>
        <v>L1</v>
      </c>
      <c r="R4227" s="6">
        <f>IFERROR(__xludf.DUMMYFUNCTION("""COMPUTED_VALUE"""),1.0)</f>
        <v>1</v>
      </c>
      <c r="S4227" s="6" t="str">
        <f>IFERROR(__xludf.DUMMYFUNCTION("""COMPUTED_VALUE""")," ")</f>
        <v> </v>
      </c>
      <c r="T4227" s="6" t="str">
        <f>IFERROR(__xludf.DUMMYFUNCTION("""COMPUTED_VALUE"""),"")</f>
        <v/>
      </c>
      <c r="U4227" s="6" t="str">
        <f>IFERROR(__xludf.DUMMYFUNCTION("""COMPUTED_VALUE"""),"2")</f>
        <v>2</v>
      </c>
      <c r="V4227" s="6" t="str">
        <f>IFERROR(__xludf.DUMMYFUNCTION("""COMPUTED_VALUE"""),"")</f>
        <v/>
      </c>
      <c r="W4227" s="6" t="str">
        <f>IFERROR(__xludf.DUMMYFUNCTION("""COMPUTED_VALUE"""),"[]")</f>
        <v>[]</v>
      </c>
      <c r="X4227" s="6" t="str">
        <f>IFERROR(__xludf.DUMMYFUNCTION("""COMPUTED_VALUE"""),"Enrolled")</f>
        <v>Enrolled</v>
      </c>
    </row>
    <row r="4228">
      <c r="A4228" s="6" t="str">
        <f>IFERROR(__xludf.DUMMYFUNCTION("""COMPUTED_VALUE"""),"083-11515")</f>
        <v>083-11515</v>
      </c>
      <c r="B4228" s="6" t="str">
        <f>IFERROR(__xludf.DUMMYFUNCTION("""COMPUTED_VALUE"""),"83")</f>
        <v>83</v>
      </c>
      <c r="C4228" s="6" t="str">
        <f>IFERROR(__xludf.DUMMYFUNCTION("""COMPUTED_VALUE"""),"11515")</f>
        <v>11515</v>
      </c>
      <c r="D4228" s="6" t="str">
        <f>IFERROR(__xludf.DUMMYFUNCTION("""COMPUTED_VALUE"""),"Charlotte")</f>
        <v>Charlotte</v>
      </c>
      <c r="E4228" s="6" t="str">
        <f>IFERROR(__xludf.DUMMYFUNCTION("""COMPUTED_VALUE"""),"")</f>
        <v/>
      </c>
      <c r="F4228" s="6" t="str">
        <f>IFERROR(__xludf.DUMMYFUNCTION("""COMPUTED_VALUE"""),"Galvez Carranza")</f>
        <v>Galvez Carranza</v>
      </c>
      <c r="G4228" s="6" t="str">
        <f>IFERROR(__xludf.DUMMYFUNCTION("""COMPUTED_VALUE"""),"07/02/2018")</f>
        <v>07/02/2018</v>
      </c>
      <c r="H4228" s="6" t="str">
        <f>IFERROR(__xludf.DUMMYFUNCTION("""COMPUTED_VALUE"""),"female")</f>
        <v>female</v>
      </c>
      <c r="I4228" s="6" t="str">
        <f>IFERROR(__xludf.DUMMYFUNCTION("""COMPUTED_VALUE"""),"Level 1")</f>
        <v>Level 1</v>
      </c>
      <c r="J4228" s="6" t="str">
        <f>IFERROR(__xludf.DUMMYFUNCTION("""COMPUTED_VALUE"""),"2")</f>
        <v>2</v>
      </c>
      <c r="K4228" s="6" t="str">
        <f>IFERROR(__xludf.DUMMYFUNCTION("""COMPUTED_VALUE"""),"charlotte.galvezcarranza@2hourlearning.com")</f>
        <v>charlotte.galvezcarranza@2hourlearning.com</v>
      </c>
      <c r="L4228" s="6" t="str">
        <f>IFERROR(__xludf.DUMMYFUNCTION("""COMPUTED_VALUE"""),"JHES - Hardeeville Elementary School")</f>
        <v>JHES - Hardeeville Elementary School</v>
      </c>
      <c r="M4228" s="6" t="str">
        <f>IFERROR(__xludf.DUMMYFUNCTION("""COMPUTED_VALUE"""),"")</f>
        <v/>
      </c>
      <c r="N4228" s="6" t="str">
        <f>IFERROR(__xludf.DUMMYFUNCTION("""COMPUTED_VALUE"""),"")</f>
        <v/>
      </c>
      <c r="O4228" s="87" t="str">
        <f>IFERROR(__xludf.DUMMYFUNCTION("""COMPUTED_VALUE"""),"https://drive.google.com/drive/folders/10T2cTQHqEJZqE-st6uFKPoI?usp=share_link")</f>
        <v>https://drive.google.com/drive/folders/10T2cTQHqEJZqE-st6uFKPoI?usp=share_link</v>
      </c>
      <c r="P4228" s="6" t="str">
        <f>IFERROR(__xludf.DUMMYFUNCTION("""COMPUTED_VALUE"""),"Charlotte Galvez Carranza")</f>
        <v>Charlotte Galvez Carranza</v>
      </c>
      <c r="Q4228" s="6" t="str">
        <f>IFERROR(__xludf.DUMMYFUNCTION("""COMPUTED_VALUE"""),"L1")</f>
        <v>L1</v>
      </c>
      <c r="R4228" s="6">
        <f>IFERROR(__xludf.DUMMYFUNCTION("""COMPUTED_VALUE"""),1.0)</f>
        <v>1</v>
      </c>
      <c r="S4228" s="6" t="str">
        <f>IFERROR(__xludf.DUMMYFUNCTION("""COMPUTED_VALUE""")," ")</f>
        <v> </v>
      </c>
      <c r="T4228" s="6" t="str">
        <f>IFERROR(__xludf.DUMMYFUNCTION("""COMPUTED_VALUE"""),"")</f>
        <v/>
      </c>
      <c r="U4228" s="6" t="str">
        <f>IFERROR(__xludf.DUMMYFUNCTION("""COMPUTED_VALUE"""),"2")</f>
        <v>2</v>
      </c>
      <c r="V4228" s="6" t="str">
        <f>IFERROR(__xludf.DUMMYFUNCTION("""COMPUTED_VALUE"""),"")</f>
        <v/>
      </c>
      <c r="W4228" s="6" t="str">
        <f>IFERROR(__xludf.DUMMYFUNCTION("""COMPUTED_VALUE"""),"[]")</f>
        <v>[]</v>
      </c>
      <c r="X4228" s="6" t="str">
        <f>IFERROR(__xludf.DUMMYFUNCTION("""COMPUTED_VALUE"""),"Enrolled")</f>
        <v>Enrolled</v>
      </c>
    </row>
    <row r="4229">
      <c r="A4229" s="6" t="str">
        <f>IFERROR(__xludf.DUMMYFUNCTION("""COMPUTED_VALUE"""),"083-11516")</f>
        <v>083-11516</v>
      </c>
      <c r="B4229" s="6" t="str">
        <f>IFERROR(__xludf.DUMMYFUNCTION("""COMPUTED_VALUE"""),"83")</f>
        <v>83</v>
      </c>
      <c r="C4229" s="6" t="str">
        <f>IFERROR(__xludf.DUMMYFUNCTION("""COMPUTED_VALUE"""),"11516")</f>
        <v>11516</v>
      </c>
      <c r="D4229" s="6" t="str">
        <f>IFERROR(__xludf.DUMMYFUNCTION("""COMPUTED_VALUE"""),"Ashlin")</f>
        <v>Ashlin</v>
      </c>
      <c r="E4229" s="6" t="str">
        <f>IFERROR(__xludf.DUMMYFUNCTION("""COMPUTED_VALUE"""),"")</f>
        <v/>
      </c>
      <c r="F4229" s="6" t="str">
        <f>IFERROR(__xludf.DUMMYFUNCTION("""COMPUTED_VALUE"""),"Garcia Martinez")</f>
        <v>Garcia Martinez</v>
      </c>
      <c r="G4229" s="6" t="str">
        <f>IFERROR(__xludf.DUMMYFUNCTION("""COMPUTED_VALUE"""),"08/16/2018")</f>
        <v>08/16/2018</v>
      </c>
      <c r="H4229" s="6" t="str">
        <f>IFERROR(__xludf.DUMMYFUNCTION("""COMPUTED_VALUE"""),"female")</f>
        <v>female</v>
      </c>
      <c r="I4229" s="6" t="str">
        <f>IFERROR(__xludf.DUMMYFUNCTION("""COMPUTED_VALUE"""),"Level 1")</f>
        <v>Level 1</v>
      </c>
      <c r="J4229" s="6" t="str">
        <f>IFERROR(__xludf.DUMMYFUNCTION("""COMPUTED_VALUE"""),"2")</f>
        <v>2</v>
      </c>
      <c r="K4229" s="6" t="str">
        <f>IFERROR(__xludf.DUMMYFUNCTION("""COMPUTED_VALUE"""),"ashlin.garciamartinez@2hourlearning.com")</f>
        <v>ashlin.garciamartinez@2hourlearning.com</v>
      </c>
      <c r="L4229" s="6" t="str">
        <f>IFERROR(__xludf.DUMMYFUNCTION("""COMPUTED_VALUE"""),"JHES - Hardeeville Elementary School")</f>
        <v>JHES - Hardeeville Elementary School</v>
      </c>
      <c r="M4229" s="6" t="str">
        <f>IFERROR(__xludf.DUMMYFUNCTION("""COMPUTED_VALUE"""),"")</f>
        <v/>
      </c>
      <c r="N4229" s="6" t="str">
        <f>IFERROR(__xludf.DUMMYFUNCTION("""COMPUTED_VALUE"""),"")</f>
        <v/>
      </c>
      <c r="O4229" s="87" t="str">
        <f>IFERROR(__xludf.DUMMYFUNCTION("""COMPUTED_VALUE"""),"https://drive.google.com/drive/folders/10T2cTQHqEJZqE-st6uFKPoI?usp=share_link")</f>
        <v>https://drive.google.com/drive/folders/10T2cTQHqEJZqE-st6uFKPoI?usp=share_link</v>
      </c>
      <c r="P4229" s="6" t="str">
        <f>IFERROR(__xludf.DUMMYFUNCTION("""COMPUTED_VALUE"""),"Ashlin Garcia Martinez")</f>
        <v>Ashlin Garcia Martinez</v>
      </c>
      <c r="Q4229" s="6" t="str">
        <f>IFERROR(__xludf.DUMMYFUNCTION("""COMPUTED_VALUE"""),"L1")</f>
        <v>L1</v>
      </c>
      <c r="R4229" s="6">
        <f>IFERROR(__xludf.DUMMYFUNCTION("""COMPUTED_VALUE"""),1.0)</f>
        <v>1</v>
      </c>
      <c r="S4229" s="6" t="str">
        <f>IFERROR(__xludf.DUMMYFUNCTION("""COMPUTED_VALUE""")," ")</f>
        <v> </v>
      </c>
      <c r="T4229" s="6" t="str">
        <f>IFERROR(__xludf.DUMMYFUNCTION("""COMPUTED_VALUE"""),"")</f>
        <v/>
      </c>
      <c r="U4229" s="6" t="str">
        <f>IFERROR(__xludf.DUMMYFUNCTION("""COMPUTED_VALUE"""),"2")</f>
        <v>2</v>
      </c>
      <c r="V4229" s="6" t="str">
        <f>IFERROR(__xludf.DUMMYFUNCTION("""COMPUTED_VALUE"""),"")</f>
        <v/>
      </c>
      <c r="W4229" s="6" t="str">
        <f>IFERROR(__xludf.DUMMYFUNCTION("""COMPUTED_VALUE"""),"[]")</f>
        <v>[]</v>
      </c>
      <c r="X4229" s="6" t="str">
        <f>IFERROR(__xludf.DUMMYFUNCTION("""COMPUTED_VALUE"""),"Enrolled")</f>
        <v>Enrolled</v>
      </c>
    </row>
    <row r="4230">
      <c r="A4230" s="6" t="str">
        <f>IFERROR(__xludf.DUMMYFUNCTION("""COMPUTED_VALUE"""),"083-11517")</f>
        <v>083-11517</v>
      </c>
      <c r="B4230" s="6" t="str">
        <f>IFERROR(__xludf.DUMMYFUNCTION("""COMPUTED_VALUE"""),"83")</f>
        <v>83</v>
      </c>
      <c r="C4230" s="6" t="str">
        <f>IFERROR(__xludf.DUMMYFUNCTION("""COMPUTED_VALUE"""),"11517")</f>
        <v>11517</v>
      </c>
      <c r="D4230" s="6" t="str">
        <f>IFERROR(__xludf.DUMMYFUNCTION("""COMPUTED_VALUE"""),"Valery R")</f>
        <v>Valery R</v>
      </c>
      <c r="E4230" s="6" t="str">
        <f>IFERROR(__xludf.DUMMYFUNCTION("""COMPUTED_VALUE"""),"")</f>
        <v/>
      </c>
      <c r="F4230" s="6" t="str">
        <f>IFERROR(__xludf.DUMMYFUNCTION("""COMPUTED_VALUE"""),"Garcia Ortiz")</f>
        <v>Garcia Ortiz</v>
      </c>
      <c r="G4230" s="6" t="str">
        <f>IFERROR(__xludf.DUMMYFUNCTION("""COMPUTED_VALUE"""),"04/16/2018")</f>
        <v>04/16/2018</v>
      </c>
      <c r="H4230" s="6" t="str">
        <f>IFERROR(__xludf.DUMMYFUNCTION("""COMPUTED_VALUE"""),"female")</f>
        <v>female</v>
      </c>
      <c r="I4230" s="6" t="str">
        <f>IFERROR(__xludf.DUMMYFUNCTION("""COMPUTED_VALUE"""),"Level 1")</f>
        <v>Level 1</v>
      </c>
      <c r="J4230" s="6" t="str">
        <f>IFERROR(__xludf.DUMMYFUNCTION("""COMPUTED_VALUE"""),"2")</f>
        <v>2</v>
      </c>
      <c r="K4230" s="6" t="str">
        <f>IFERROR(__xludf.DUMMYFUNCTION("""COMPUTED_VALUE"""),"valeryr.garciaortiz@2hourlearning.com")</f>
        <v>valeryr.garciaortiz@2hourlearning.com</v>
      </c>
      <c r="L4230" s="6" t="str">
        <f>IFERROR(__xludf.DUMMYFUNCTION("""COMPUTED_VALUE"""),"JHES - Hardeeville Elementary School")</f>
        <v>JHES - Hardeeville Elementary School</v>
      </c>
      <c r="M4230" s="6" t="str">
        <f>IFERROR(__xludf.DUMMYFUNCTION("""COMPUTED_VALUE"""),"")</f>
        <v/>
      </c>
      <c r="N4230" s="6" t="str">
        <f>IFERROR(__xludf.DUMMYFUNCTION("""COMPUTED_VALUE"""),"")</f>
        <v/>
      </c>
      <c r="O4230" s="87" t="str">
        <f>IFERROR(__xludf.DUMMYFUNCTION("""COMPUTED_VALUE"""),"https://drive.google.com/drive/folders/10T2cTQHqEJZqE-st6uFKPoI?usp=share_link")</f>
        <v>https://drive.google.com/drive/folders/10T2cTQHqEJZqE-st6uFKPoI?usp=share_link</v>
      </c>
      <c r="P4230" s="6" t="str">
        <f>IFERROR(__xludf.DUMMYFUNCTION("""COMPUTED_VALUE"""),"Valery R Garcia Ortiz")</f>
        <v>Valery R Garcia Ortiz</v>
      </c>
      <c r="Q4230" s="6" t="str">
        <f>IFERROR(__xludf.DUMMYFUNCTION("""COMPUTED_VALUE"""),"L1")</f>
        <v>L1</v>
      </c>
      <c r="R4230" s="6">
        <f>IFERROR(__xludf.DUMMYFUNCTION("""COMPUTED_VALUE"""),1.0)</f>
        <v>1</v>
      </c>
      <c r="S4230" s="6" t="str">
        <f>IFERROR(__xludf.DUMMYFUNCTION("""COMPUTED_VALUE""")," ")</f>
        <v> </v>
      </c>
      <c r="T4230" s="6" t="str">
        <f>IFERROR(__xludf.DUMMYFUNCTION("""COMPUTED_VALUE"""),"")</f>
        <v/>
      </c>
      <c r="U4230" s="6" t="str">
        <f>IFERROR(__xludf.DUMMYFUNCTION("""COMPUTED_VALUE"""),"2")</f>
        <v>2</v>
      </c>
      <c r="V4230" s="6" t="str">
        <f>IFERROR(__xludf.DUMMYFUNCTION("""COMPUTED_VALUE"""),"")</f>
        <v/>
      </c>
      <c r="W4230" s="6" t="str">
        <f>IFERROR(__xludf.DUMMYFUNCTION("""COMPUTED_VALUE"""),"[]")</f>
        <v>[]</v>
      </c>
      <c r="X4230" s="6" t="str">
        <f>IFERROR(__xludf.DUMMYFUNCTION("""COMPUTED_VALUE"""),"Enrolled")</f>
        <v>Enrolled</v>
      </c>
    </row>
    <row r="4231">
      <c r="A4231" s="6" t="str">
        <f>IFERROR(__xludf.DUMMYFUNCTION("""COMPUTED_VALUE"""),"083-11518")</f>
        <v>083-11518</v>
      </c>
      <c r="B4231" s="6" t="str">
        <f>IFERROR(__xludf.DUMMYFUNCTION("""COMPUTED_VALUE"""),"83")</f>
        <v>83</v>
      </c>
      <c r="C4231" s="6" t="str">
        <f>IFERROR(__xludf.DUMMYFUNCTION("""COMPUTED_VALUE"""),"11518")</f>
        <v>11518</v>
      </c>
      <c r="D4231" s="6" t="str">
        <f>IFERROR(__xludf.DUMMYFUNCTION("""COMPUTED_VALUE"""),"Jerry")</f>
        <v>Jerry</v>
      </c>
      <c r="E4231" s="6" t="str">
        <f>IFERROR(__xludf.DUMMYFUNCTION("""COMPUTED_VALUE"""),"")</f>
        <v/>
      </c>
      <c r="F4231" s="6" t="str">
        <f>IFERROR(__xludf.DUMMYFUNCTION("""COMPUTED_VALUE"""),"Hernandez")</f>
        <v>Hernandez</v>
      </c>
      <c r="G4231" s="6" t="str">
        <f>IFERROR(__xludf.DUMMYFUNCTION("""COMPUTED_VALUE"""),"06/07/2018")</f>
        <v>06/07/2018</v>
      </c>
      <c r="H4231" s="6" t="str">
        <f>IFERROR(__xludf.DUMMYFUNCTION("""COMPUTED_VALUE"""),"male")</f>
        <v>male</v>
      </c>
      <c r="I4231" s="6" t="str">
        <f>IFERROR(__xludf.DUMMYFUNCTION("""COMPUTED_VALUE"""),"Level 1")</f>
        <v>Level 1</v>
      </c>
      <c r="J4231" s="6" t="str">
        <f>IFERROR(__xludf.DUMMYFUNCTION("""COMPUTED_VALUE"""),"2")</f>
        <v>2</v>
      </c>
      <c r="K4231" s="6" t="str">
        <f>IFERROR(__xludf.DUMMYFUNCTION("""COMPUTED_VALUE"""),"jerry.hernandez@2hourlearning.com")</f>
        <v>jerry.hernandez@2hourlearning.com</v>
      </c>
      <c r="L4231" s="6" t="str">
        <f>IFERROR(__xludf.DUMMYFUNCTION("""COMPUTED_VALUE"""),"JHES - Hardeeville Elementary School")</f>
        <v>JHES - Hardeeville Elementary School</v>
      </c>
      <c r="M4231" s="6" t="str">
        <f>IFERROR(__xludf.DUMMYFUNCTION("""COMPUTED_VALUE"""),"")</f>
        <v/>
      </c>
      <c r="N4231" s="6" t="str">
        <f>IFERROR(__xludf.DUMMYFUNCTION("""COMPUTED_VALUE"""),"")</f>
        <v/>
      </c>
      <c r="O4231" s="87" t="str">
        <f>IFERROR(__xludf.DUMMYFUNCTION("""COMPUTED_VALUE"""),"https://drive.google.com/drive/folders/10T2cTQHqEJZqE-st6uFKPoI?usp=share_link")</f>
        <v>https://drive.google.com/drive/folders/10T2cTQHqEJZqE-st6uFKPoI?usp=share_link</v>
      </c>
      <c r="P4231" s="6" t="str">
        <f>IFERROR(__xludf.DUMMYFUNCTION("""COMPUTED_VALUE"""),"Jerry Hernandez")</f>
        <v>Jerry Hernandez</v>
      </c>
      <c r="Q4231" s="6" t="str">
        <f>IFERROR(__xludf.DUMMYFUNCTION("""COMPUTED_VALUE"""),"L1")</f>
        <v>L1</v>
      </c>
      <c r="R4231" s="6">
        <f>IFERROR(__xludf.DUMMYFUNCTION("""COMPUTED_VALUE"""),1.0)</f>
        <v>1</v>
      </c>
      <c r="S4231" s="6" t="str">
        <f>IFERROR(__xludf.DUMMYFUNCTION("""COMPUTED_VALUE""")," ")</f>
        <v> </v>
      </c>
      <c r="T4231" s="6" t="str">
        <f>IFERROR(__xludf.DUMMYFUNCTION("""COMPUTED_VALUE"""),"")</f>
        <v/>
      </c>
      <c r="U4231" s="6" t="str">
        <f>IFERROR(__xludf.DUMMYFUNCTION("""COMPUTED_VALUE"""),"2")</f>
        <v>2</v>
      </c>
      <c r="V4231" s="6" t="str">
        <f>IFERROR(__xludf.DUMMYFUNCTION("""COMPUTED_VALUE"""),"")</f>
        <v/>
      </c>
      <c r="W4231" s="6" t="str">
        <f>IFERROR(__xludf.DUMMYFUNCTION("""COMPUTED_VALUE"""),"[]")</f>
        <v>[]</v>
      </c>
      <c r="X4231" s="6" t="str">
        <f>IFERROR(__xludf.DUMMYFUNCTION("""COMPUTED_VALUE"""),"Enrolled")</f>
        <v>Enrolled</v>
      </c>
    </row>
    <row r="4232">
      <c r="A4232" s="6" t="str">
        <f>IFERROR(__xludf.DUMMYFUNCTION("""COMPUTED_VALUE"""),"083-11519")</f>
        <v>083-11519</v>
      </c>
      <c r="B4232" s="6" t="str">
        <f>IFERROR(__xludf.DUMMYFUNCTION("""COMPUTED_VALUE"""),"83")</f>
        <v>83</v>
      </c>
      <c r="C4232" s="6" t="str">
        <f>IFERROR(__xludf.DUMMYFUNCTION("""COMPUTED_VALUE"""),"11519")</f>
        <v>11519</v>
      </c>
      <c r="D4232" s="6" t="str">
        <f>IFERROR(__xludf.DUMMYFUNCTION("""COMPUTED_VALUE"""),"Thiago")</f>
        <v>Thiago</v>
      </c>
      <c r="E4232" s="6" t="str">
        <f>IFERROR(__xludf.DUMMYFUNCTION("""COMPUTED_VALUE"""),"")</f>
        <v/>
      </c>
      <c r="F4232" s="6" t="str">
        <f>IFERROR(__xludf.DUMMYFUNCTION("""COMPUTED_VALUE"""),"Hernandez Vasquez")</f>
        <v>Hernandez Vasquez</v>
      </c>
      <c r="G4232" s="6" t="str">
        <f>IFERROR(__xludf.DUMMYFUNCTION("""COMPUTED_VALUE"""),"11/10/2017")</f>
        <v>11/10/2017</v>
      </c>
      <c r="H4232" s="6" t="str">
        <f>IFERROR(__xludf.DUMMYFUNCTION("""COMPUTED_VALUE"""),"male")</f>
        <v>male</v>
      </c>
      <c r="I4232" s="6" t="str">
        <f>IFERROR(__xludf.DUMMYFUNCTION("""COMPUTED_VALUE"""),"Level 1")</f>
        <v>Level 1</v>
      </c>
      <c r="J4232" s="6" t="str">
        <f>IFERROR(__xludf.DUMMYFUNCTION("""COMPUTED_VALUE"""),"2")</f>
        <v>2</v>
      </c>
      <c r="K4232" s="6" t="str">
        <f>IFERROR(__xludf.DUMMYFUNCTION("""COMPUTED_VALUE"""),"thiago.hernandezvasquez@2hourlearning.com")</f>
        <v>thiago.hernandezvasquez@2hourlearning.com</v>
      </c>
      <c r="L4232" s="6" t="str">
        <f>IFERROR(__xludf.DUMMYFUNCTION("""COMPUTED_VALUE"""),"JHES - Hardeeville Elementary School")</f>
        <v>JHES - Hardeeville Elementary School</v>
      </c>
      <c r="M4232" s="6" t="str">
        <f>IFERROR(__xludf.DUMMYFUNCTION("""COMPUTED_VALUE"""),"")</f>
        <v/>
      </c>
      <c r="N4232" s="6" t="str">
        <f>IFERROR(__xludf.DUMMYFUNCTION("""COMPUTED_VALUE"""),"")</f>
        <v/>
      </c>
      <c r="O4232" s="87" t="str">
        <f>IFERROR(__xludf.DUMMYFUNCTION("""COMPUTED_VALUE"""),"https://drive.google.com/drive/folders/10T2cTQHqEJZqE-st6uFKPoI?usp=share_link")</f>
        <v>https://drive.google.com/drive/folders/10T2cTQHqEJZqE-st6uFKPoI?usp=share_link</v>
      </c>
      <c r="P4232" s="6" t="str">
        <f>IFERROR(__xludf.DUMMYFUNCTION("""COMPUTED_VALUE"""),"Thiago Hernandez Vasquez")</f>
        <v>Thiago Hernandez Vasquez</v>
      </c>
      <c r="Q4232" s="6" t="str">
        <f>IFERROR(__xludf.DUMMYFUNCTION("""COMPUTED_VALUE"""),"L1")</f>
        <v>L1</v>
      </c>
      <c r="R4232" s="6">
        <f>IFERROR(__xludf.DUMMYFUNCTION("""COMPUTED_VALUE"""),1.0)</f>
        <v>1</v>
      </c>
      <c r="S4232" s="6" t="str">
        <f>IFERROR(__xludf.DUMMYFUNCTION("""COMPUTED_VALUE""")," ")</f>
        <v> </v>
      </c>
      <c r="T4232" s="6" t="str">
        <f>IFERROR(__xludf.DUMMYFUNCTION("""COMPUTED_VALUE"""),"")</f>
        <v/>
      </c>
      <c r="U4232" s="6" t="str">
        <f>IFERROR(__xludf.DUMMYFUNCTION("""COMPUTED_VALUE"""),"2")</f>
        <v>2</v>
      </c>
      <c r="V4232" s="6" t="str">
        <f>IFERROR(__xludf.DUMMYFUNCTION("""COMPUTED_VALUE"""),"")</f>
        <v/>
      </c>
      <c r="W4232" s="6" t="str">
        <f>IFERROR(__xludf.DUMMYFUNCTION("""COMPUTED_VALUE"""),"[]")</f>
        <v>[]</v>
      </c>
      <c r="X4232" s="6" t="str">
        <f>IFERROR(__xludf.DUMMYFUNCTION("""COMPUTED_VALUE"""),"Enrolled")</f>
        <v>Enrolled</v>
      </c>
    </row>
    <row r="4233">
      <c r="A4233" s="6" t="str">
        <f>IFERROR(__xludf.DUMMYFUNCTION("""COMPUTED_VALUE"""),"083-11520")</f>
        <v>083-11520</v>
      </c>
      <c r="B4233" s="6" t="str">
        <f>IFERROR(__xludf.DUMMYFUNCTION("""COMPUTED_VALUE"""),"83")</f>
        <v>83</v>
      </c>
      <c r="C4233" s="6" t="str">
        <f>IFERROR(__xludf.DUMMYFUNCTION("""COMPUTED_VALUE"""),"11520")</f>
        <v>11520</v>
      </c>
      <c r="D4233" s="6" t="str">
        <f>IFERROR(__xludf.DUMMYFUNCTION("""COMPUTED_VALUE"""),"Jean")</f>
        <v>Jean</v>
      </c>
      <c r="E4233" s="6" t="str">
        <f>IFERROR(__xludf.DUMMYFUNCTION("""COMPUTED_VALUE"""),"")</f>
        <v/>
      </c>
      <c r="F4233" s="6" t="str">
        <f>IFERROR(__xludf.DUMMYFUNCTION("""COMPUTED_VALUE"""),"Iboy Seb")</f>
        <v>Iboy Seb</v>
      </c>
      <c r="G4233" s="6" t="str">
        <f>IFERROR(__xludf.DUMMYFUNCTION("""COMPUTED_VALUE"""),"04/03/2018")</f>
        <v>04/03/2018</v>
      </c>
      <c r="H4233" s="6" t="str">
        <f>IFERROR(__xludf.DUMMYFUNCTION("""COMPUTED_VALUE"""),"male")</f>
        <v>male</v>
      </c>
      <c r="I4233" s="6" t="str">
        <f>IFERROR(__xludf.DUMMYFUNCTION("""COMPUTED_VALUE"""),"Level 1")</f>
        <v>Level 1</v>
      </c>
      <c r="J4233" s="6" t="str">
        <f>IFERROR(__xludf.DUMMYFUNCTION("""COMPUTED_VALUE"""),"2")</f>
        <v>2</v>
      </c>
      <c r="K4233" s="6" t="str">
        <f>IFERROR(__xludf.DUMMYFUNCTION("""COMPUTED_VALUE"""),"jean.iboyseb@2hourlearning.com")</f>
        <v>jean.iboyseb@2hourlearning.com</v>
      </c>
      <c r="L4233" s="6" t="str">
        <f>IFERROR(__xludf.DUMMYFUNCTION("""COMPUTED_VALUE"""),"JHES - Hardeeville Elementary School")</f>
        <v>JHES - Hardeeville Elementary School</v>
      </c>
      <c r="M4233" s="6" t="str">
        <f>IFERROR(__xludf.DUMMYFUNCTION("""COMPUTED_VALUE"""),"")</f>
        <v/>
      </c>
      <c r="N4233" s="6" t="str">
        <f>IFERROR(__xludf.DUMMYFUNCTION("""COMPUTED_VALUE"""),"")</f>
        <v/>
      </c>
      <c r="O4233" s="87" t="str">
        <f>IFERROR(__xludf.DUMMYFUNCTION("""COMPUTED_VALUE"""),"https://drive.google.com/drive/folders/10T2cTQHqEJZqE-st6uFKPoI?usp=share_link")</f>
        <v>https://drive.google.com/drive/folders/10T2cTQHqEJZqE-st6uFKPoI?usp=share_link</v>
      </c>
      <c r="P4233" s="6" t="str">
        <f>IFERROR(__xludf.DUMMYFUNCTION("""COMPUTED_VALUE"""),"Jean Iboy Seb")</f>
        <v>Jean Iboy Seb</v>
      </c>
      <c r="Q4233" s="6" t="str">
        <f>IFERROR(__xludf.DUMMYFUNCTION("""COMPUTED_VALUE"""),"L1")</f>
        <v>L1</v>
      </c>
      <c r="R4233" s="6">
        <f>IFERROR(__xludf.DUMMYFUNCTION("""COMPUTED_VALUE"""),1.0)</f>
        <v>1</v>
      </c>
      <c r="S4233" s="6" t="str">
        <f>IFERROR(__xludf.DUMMYFUNCTION("""COMPUTED_VALUE""")," ")</f>
        <v> </v>
      </c>
      <c r="T4233" s="6" t="str">
        <f>IFERROR(__xludf.DUMMYFUNCTION("""COMPUTED_VALUE"""),"")</f>
        <v/>
      </c>
      <c r="U4233" s="6" t="str">
        <f>IFERROR(__xludf.DUMMYFUNCTION("""COMPUTED_VALUE"""),"2")</f>
        <v>2</v>
      </c>
      <c r="V4233" s="6" t="str">
        <f>IFERROR(__xludf.DUMMYFUNCTION("""COMPUTED_VALUE"""),"")</f>
        <v/>
      </c>
      <c r="W4233" s="6" t="str">
        <f>IFERROR(__xludf.DUMMYFUNCTION("""COMPUTED_VALUE"""),"[]")</f>
        <v>[]</v>
      </c>
      <c r="X4233" s="6" t="str">
        <f>IFERROR(__xludf.DUMMYFUNCTION("""COMPUTED_VALUE"""),"Enrolled")</f>
        <v>Enrolled</v>
      </c>
    </row>
    <row r="4234">
      <c r="A4234" s="6" t="str">
        <f>IFERROR(__xludf.DUMMYFUNCTION("""COMPUTED_VALUE"""),"083-11521")</f>
        <v>083-11521</v>
      </c>
      <c r="B4234" s="6" t="str">
        <f>IFERROR(__xludf.DUMMYFUNCTION("""COMPUTED_VALUE"""),"83")</f>
        <v>83</v>
      </c>
      <c r="C4234" s="6" t="str">
        <f>IFERROR(__xludf.DUMMYFUNCTION("""COMPUTED_VALUE"""),"11521")</f>
        <v>11521</v>
      </c>
      <c r="D4234" s="6" t="str">
        <f>IFERROR(__xludf.DUMMYFUNCTION("""COMPUTED_VALUE"""),"Marco E")</f>
        <v>Marco E</v>
      </c>
      <c r="E4234" s="6" t="str">
        <f>IFERROR(__xludf.DUMMYFUNCTION("""COMPUTED_VALUE"""),"")</f>
        <v/>
      </c>
      <c r="F4234" s="6" t="str">
        <f>IFERROR(__xludf.DUMMYFUNCTION("""COMPUTED_VALUE"""),"Mancias Varela")</f>
        <v>Mancias Varela</v>
      </c>
      <c r="G4234" s="6" t="str">
        <f>IFERROR(__xludf.DUMMYFUNCTION("""COMPUTED_VALUE"""),"06/30/2018")</f>
        <v>06/30/2018</v>
      </c>
      <c r="H4234" s="6" t="str">
        <f>IFERROR(__xludf.DUMMYFUNCTION("""COMPUTED_VALUE"""),"male")</f>
        <v>male</v>
      </c>
      <c r="I4234" s="6" t="str">
        <f>IFERROR(__xludf.DUMMYFUNCTION("""COMPUTED_VALUE"""),"Level 1")</f>
        <v>Level 1</v>
      </c>
      <c r="J4234" s="6" t="str">
        <f>IFERROR(__xludf.DUMMYFUNCTION("""COMPUTED_VALUE"""),"2")</f>
        <v>2</v>
      </c>
      <c r="K4234" s="6" t="str">
        <f>IFERROR(__xludf.DUMMYFUNCTION("""COMPUTED_VALUE"""),"marcoe.manciasvarela@2hourlearning.com")</f>
        <v>marcoe.manciasvarela@2hourlearning.com</v>
      </c>
      <c r="L4234" s="6" t="str">
        <f>IFERROR(__xludf.DUMMYFUNCTION("""COMPUTED_VALUE"""),"JHES - Hardeeville Elementary School")</f>
        <v>JHES - Hardeeville Elementary School</v>
      </c>
      <c r="M4234" s="6" t="str">
        <f>IFERROR(__xludf.DUMMYFUNCTION("""COMPUTED_VALUE"""),"")</f>
        <v/>
      </c>
      <c r="N4234" s="6" t="str">
        <f>IFERROR(__xludf.DUMMYFUNCTION("""COMPUTED_VALUE"""),"")</f>
        <v/>
      </c>
      <c r="O4234" s="87" t="str">
        <f>IFERROR(__xludf.DUMMYFUNCTION("""COMPUTED_VALUE"""),"https://drive.google.com/drive/folders/10T2cTQHqEJZqE-st6uFKPoI?usp=share_link")</f>
        <v>https://drive.google.com/drive/folders/10T2cTQHqEJZqE-st6uFKPoI?usp=share_link</v>
      </c>
      <c r="P4234" s="6" t="str">
        <f>IFERROR(__xludf.DUMMYFUNCTION("""COMPUTED_VALUE"""),"Marco E Mancias Varela")</f>
        <v>Marco E Mancias Varela</v>
      </c>
      <c r="Q4234" s="6" t="str">
        <f>IFERROR(__xludf.DUMMYFUNCTION("""COMPUTED_VALUE"""),"L1")</f>
        <v>L1</v>
      </c>
      <c r="R4234" s="6">
        <f>IFERROR(__xludf.DUMMYFUNCTION("""COMPUTED_VALUE"""),1.0)</f>
        <v>1</v>
      </c>
      <c r="S4234" s="6" t="str">
        <f>IFERROR(__xludf.DUMMYFUNCTION("""COMPUTED_VALUE""")," ")</f>
        <v> </v>
      </c>
      <c r="T4234" s="6" t="str">
        <f>IFERROR(__xludf.DUMMYFUNCTION("""COMPUTED_VALUE"""),"")</f>
        <v/>
      </c>
      <c r="U4234" s="6" t="str">
        <f>IFERROR(__xludf.DUMMYFUNCTION("""COMPUTED_VALUE"""),"2")</f>
        <v>2</v>
      </c>
      <c r="V4234" s="6" t="str">
        <f>IFERROR(__xludf.DUMMYFUNCTION("""COMPUTED_VALUE"""),"")</f>
        <v/>
      </c>
      <c r="W4234" s="6" t="str">
        <f>IFERROR(__xludf.DUMMYFUNCTION("""COMPUTED_VALUE"""),"[]")</f>
        <v>[]</v>
      </c>
      <c r="X4234" s="6" t="str">
        <f>IFERROR(__xludf.DUMMYFUNCTION("""COMPUTED_VALUE"""),"Enrolled")</f>
        <v>Enrolled</v>
      </c>
    </row>
    <row r="4235">
      <c r="A4235" s="6" t="str">
        <f>IFERROR(__xludf.DUMMYFUNCTION("""COMPUTED_VALUE"""),"083-11522")</f>
        <v>083-11522</v>
      </c>
      <c r="B4235" s="6" t="str">
        <f>IFERROR(__xludf.DUMMYFUNCTION("""COMPUTED_VALUE"""),"83")</f>
        <v>83</v>
      </c>
      <c r="C4235" s="6" t="str">
        <f>IFERROR(__xludf.DUMMYFUNCTION("""COMPUTED_VALUE"""),"11522")</f>
        <v>11522</v>
      </c>
      <c r="D4235" s="6" t="str">
        <f>IFERROR(__xludf.DUMMYFUNCTION("""COMPUTED_VALUE"""),"Ian")</f>
        <v>Ian</v>
      </c>
      <c r="E4235" s="6" t="str">
        <f>IFERROR(__xludf.DUMMYFUNCTION("""COMPUTED_VALUE"""),"")</f>
        <v/>
      </c>
      <c r="F4235" s="6" t="str">
        <f>IFERROR(__xludf.DUMMYFUNCTION("""COMPUTED_VALUE"""),"Matizir Tovar")</f>
        <v>Matizir Tovar</v>
      </c>
      <c r="G4235" s="6" t="str">
        <f>IFERROR(__xludf.DUMMYFUNCTION("""COMPUTED_VALUE"""),"06/08/2018")</f>
        <v>06/08/2018</v>
      </c>
      <c r="H4235" s="6" t="str">
        <f>IFERROR(__xludf.DUMMYFUNCTION("""COMPUTED_VALUE"""),"male")</f>
        <v>male</v>
      </c>
      <c r="I4235" s="6" t="str">
        <f>IFERROR(__xludf.DUMMYFUNCTION("""COMPUTED_VALUE"""),"Level 1")</f>
        <v>Level 1</v>
      </c>
      <c r="J4235" s="6" t="str">
        <f>IFERROR(__xludf.DUMMYFUNCTION("""COMPUTED_VALUE"""),"2")</f>
        <v>2</v>
      </c>
      <c r="K4235" s="6" t="str">
        <f>IFERROR(__xludf.DUMMYFUNCTION("""COMPUTED_VALUE"""),"ian.matizirtovar@2hourlearning.com")</f>
        <v>ian.matizirtovar@2hourlearning.com</v>
      </c>
      <c r="L4235" s="6" t="str">
        <f>IFERROR(__xludf.DUMMYFUNCTION("""COMPUTED_VALUE"""),"JHES - Hardeeville Elementary School")</f>
        <v>JHES - Hardeeville Elementary School</v>
      </c>
      <c r="M4235" s="6" t="str">
        <f>IFERROR(__xludf.DUMMYFUNCTION("""COMPUTED_VALUE"""),"")</f>
        <v/>
      </c>
      <c r="N4235" s="6" t="str">
        <f>IFERROR(__xludf.DUMMYFUNCTION("""COMPUTED_VALUE"""),"")</f>
        <v/>
      </c>
      <c r="O4235" s="87" t="str">
        <f>IFERROR(__xludf.DUMMYFUNCTION("""COMPUTED_VALUE"""),"https://drive.google.com/drive/folders/10T2cTQHqEJZqE-st6uFKPoI?usp=share_link")</f>
        <v>https://drive.google.com/drive/folders/10T2cTQHqEJZqE-st6uFKPoI?usp=share_link</v>
      </c>
      <c r="P4235" s="6" t="str">
        <f>IFERROR(__xludf.DUMMYFUNCTION("""COMPUTED_VALUE"""),"Ian Matizir Tovar")</f>
        <v>Ian Matizir Tovar</v>
      </c>
      <c r="Q4235" s="6" t="str">
        <f>IFERROR(__xludf.DUMMYFUNCTION("""COMPUTED_VALUE"""),"L1")</f>
        <v>L1</v>
      </c>
      <c r="R4235" s="6">
        <f>IFERROR(__xludf.DUMMYFUNCTION("""COMPUTED_VALUE"""),1.0)</f>
        <v>1</v>
      </c>
      <c r="S4235" s="6" t="str">
        <f>IFERROR(__xludf.DUMMYFUNCTION("""COMPUTED_VALUE""")," ")</f>
        <v> </v>
      </c>
      <c r="T4235" s="6" t="str">
        <f>IFERROR(__xludf.DUMMYFUNCTION("""COMPUTED_VALUE"""),"")</f>
        <v/>
      </c>
      <c r="U4235" s="6" t="str">
        <f>IFERROR(__xludf.DUMMYFUNCTION("""COMPUTED_VALUE"""),"2")</f>
        <v>2</v>
      </c>
      <c r="V4235" s="6" t="str">
        <f>IFERROR(__xludf.DUMMYFUNCTION("""COMPUTED_VALUE"""),"")</f>
        <v/>
      </c>
      <c r="W4235" s="6" t="str">
        <f>IFERROR(__xludf.DUMMYFUNCTION("""COMPUTED_VALUE"""),"[]")</f>
        <v>[]</v>
      </c>
      <c r="X4235" s="6" t="str">
        <f>IFERROR(__xludf.DUMMYFUNCTION("""COMPUTED_VALUE"""),"Enrolled")</f>
        <v>Enrolled</v>
      </c>
    </row>
    <row r="4236">
      <c r="A4236" s="6" t="str">
        <f>IFERROR(__xludf.DUMMYFUNCTION("""COMPUTED_VALUE"""),"083-11523")</f>
        <v>083-11523</v>
      </c>
      <c r="B4236" s="6" t="str">
        <f>IFERROR(__xludf.DUMMYFUNCTION("""COMPUTED_VALUE"""),"83")</f>
        <v>83</v>
      </c>
      <c r="C4236" s="6" t="str">
        <f>IFERROR(__xludf.DUMMYFUNCTION("""COMPUTED_VALUE"""),"11523")</f>
        <v>11523</v>
      </c>
      <c r="D4236" s="6" t="str">
        <f>IFERROR(__xludf.DUMMYFUNCTION("""COMPUTED_VALUE"""),"Jean M")</f>
        <v>Jean M</v>
      </c>
      <c r="E4236" s="6" t="str">
        <f>IFERROR(__xludf.DUMMYFUNCTION("""COMPUTED_VALUE"""),"")</f>
        <v/>
      </c>
      <c r="F4236" s="6" t="str">
        <f>IFERROR(__xludf.DUMMYFUNCTION("""COMPUTED_VALUE"""),"Miguens Mendes")</f>
        <v>Miguens Mendes</v>
      </c>
      <c r="G4236" s="6" t="str">
        <f>IFERROR(__xludf.DUMMYFUNCTION("""COMPUTED_VALUE"""),"11/12/2018")</f>
        <v>11/12/2018</v>
      </c>
      <c r="H4236" s="6" t="str">
        <f>IFERROR(__xludf.DUMMYFUNCTION("""COMPUTED_VALUE"""),"male")</f>
        <v>male</v>
      </c>
      <c r="I4236" s="6" t="str">
        <f>IFERROR(__xludf.DUMMYFUNCTION("""COMPUTED_VALUE"""),"Level 1")</f>
        <v>Level 1</v>
      </c>
      <c r="J4236" s="6" t="str">
        <f>IFERROR(__xludf.DUMMYFUNCTION("""COMPUTED_VALUE"""),"2")</f>
        <v>2</v>
      </c>
      <c r="K4236" s="6" t="str">
        <f>IFERROR(__xludf.DUMMYFUNCTION("""COMPUTED_VALUE"""),"jeanm.miguensmendes@2hourlearning.com")</f>
        <v>jeanm.miguensmendes@2hourlearning.com</v>
      </c>
      <c r="L4236" s="6" t="str">
        <f>IFERROR(__xludf.DUMMYFUNCTION("""COMPUTED_VALUE"""),"JHES - Hardeeville Elementary School")</f>
        <v>JHES - Hardeeville Elementary School</v>
      </c>
      <c r="M4236" s="6" t="str">
        <f>IFERROR(__xludf.DUMMYFUNCTION("""COMPUTED_VALUE"""),"")</f>
        <v/>
      </c>
      <c r="N4236" s="6" t="str">
        <f>IFERROR(__xludf.DUMMYFUNCTION("""COMPUTED_VALUE"""),"")</f>
        <v/>
      </c>
      <c r="O4236" s="87" t="str">
        <f>IFERROR(__xludf.DUMMYFUNCTION("""COMPUTED_VALUE"""),"https://drive.google.com/drive/folders/10T2cTQHqEJZqE-st6uFKPoI?usp=share_link")</f>
        <v>https://drive.google.com/drive/folders/10T2cTQHqEJZqE-st6uFKPoI?usp=share_link</v>
      </c>
      <c r="P4236" s="6" t="str">
        <f>IFERROR(__xludf.DUMMYFUNCTION("""COMPUTED_VALUE"""),"Jean M Miguens Mendes")</f>
        <v>Jean M Miguens Mendes</v>
      </c>
      <c r="Q4236" s="6" t="str">
        <f>IFERROR(__xludf.DUMMYFUNCTION("""COMPUTED_VALUE"""),"L1")</f>
        <v>L1</v>
      </c>
      <c r="R4236" s="6">
        <f>IFERROR(__xludf.DUMMYFUNCTION("""COMPUTED_VALUE"""),1.0)</f>
        <v>1</v>
      </c>
      <c r="S4236" s="6" t="str">
        <f>IFERROR(__xludf.DUMMYFUNCTION("""COMPUTED_VALUE""")," ")</f>
        <v> </v>
      </c>
      <c r="T4236" s="6" t="str">
        <f>IFERROR(__xludf.DUMMYFUNCTION("""COMPUTED_VALUE"""),"")</f>
        <v/>
      </c>
      <c r="U4236" s="6" t="str">
        <f>IFERROR(__xludf.DUMMYFUNCTION("""COMPUTED_VALUE"""),"2")</f>
        <v>2</v>
      </c>
      <c r="V4236" s="6" t="str">
        <f>IFERROR(__xludf.DUMMYFUNCTION("""COMPUTED_VALUE"""),"")</f>
        <v/>
      </c>
      <c r="W4236" s="6" t="str">
        <f>IFERROR(__xludf.DUMMYFUNCTION("""COMPUTED_VALUE"""),"[]")</f>
        <v>[]</v>
      </c>
      <c r="X4236" s="6" t="str">
        <f>IFERROR(__xludf.DUMMYFUNCTION("""COMPUTED_VALUE"""),"Enrolled")</f>
        <v>Enrolled</v>
      </c>
    </row>
    <row r="4237">
      <c r="A4237" s="6" t="str">
        <f>IFERROR(__xludf.DUMMYFUNCTION("""COMPUTED_VALUE"""),"083-11524")</f>
        <v>083-11524</v>
      </c>
      <c r="B4237" s="6" t="str">
        <f>IFERROR(__xludf.DUMMYFUNCTION("""COMPUTED_VALUE"""),"83")</f>
        <v>83</v>
      </c>
      <c r="C4237" s="6" t="str">
        <f>IFERROR(__xludf.DUMMYFUNCTION("""COMPUTED_VALUE"""),"11524")</f>
        <v>11524</v>
      </c>
      <c r="D4237" s="6" t="str">
        <f>IFERROR(__xludf.DUMMYFUNCTION("""COMPUTED_VALUE"""),"Jose Mario")</f>
        <v>Jose Mario</v>
      </c>
      <c r="E4237" s="6" t="str">
        <f>IFERROR(__xludf.DUMMYFUNCTION("""COMPUTED_VALUE"""),"")</f>
        <v/>
      </c>
      <c r="F4237" s="6" t="str">
        <f>IFERROR(__xludf.DUMMYFUNCTION("""COMPUTED_VALUE"""),"Monzon Galicia")</f>
        <v>Monzon Galicia</v>
      </c>
      <c r="G4237" s="6" t="str">
        <f>IFERROR(__xludf.DUMMYFUNCTION("""COMPUTED_VALUE"""),"08/06/2018")</f>
        <v>08/06/2018</v>
      </c>
      <c r="H4237" s="6" t="str">
        <f>IFERROR(__xludf.DUMMYFUNCTION("""COMPUTED_VALUE"""),"male")</f>
        <v>male</v>
      </c>
      <c r="I4237" s="6" t="str">
        <f>IFERROR(__xludf.DUMMYFUNCTION("""COMPUTED_VALUE"""),"Level 1")</f>
        <v>Level 1</v>
      </c>
      <c r="J4237" s="6" t="str">
        <f>IFERROR(__xludf.DUMMYFUNCTION("""COMPUTED_VALUE"""),"2")</f>
        <v>2</v>
      </c>
      <c r="K4237" s="6" t="str">
        <f>IFERROR(__xludf.DUMMYFUNCTION("""COMPUTED_VALUE"""),"josemario.monzongalicia@2hourlearning.com")</f>
        <v>josemario.monzongalicia@2hourlearning.com</v>
      </c>
      <c r="L4237" s="6" t="str">
        <f>IFERROR(__xludf.DUMMYFUNCTION("""COMPUTED_VALUE"""),"JHES - Hardeeville Elementary School")</f>
        <v>JHES - Hardeeville Elementary School</v>
      </c>
      <c r="M4237" s="6" t="str">
        <f>IFERROR(__xludf.DUMMYFUNCTION("""COMPUTED_VALUE"""),"")</f>
        <v/>
      </c>
      <c r="N4237" s="6" t="str">
        <f>IFERROR(__xludf.DUMMYFUNCTION("""COMPUTED_VALUE"""),"")</f>
        <v/>
      </c>
      <c r="O4237" s="87" t="str">
        <f>IFERROR(__xludf.DUMMYFUNCTION("""COMPUTED_VALUE"""),"https://drive.google.com/drive/folders/10T2cTQHqEJZqE-st6uFKPoI?usp=share_link")</f>
        <v>https://drive.google.com/drive/folders/10T2cTQHqEJZqE-st6uFKPoI?usp=share_link</v>
      </c>
      <c r="P4237" s="6" t="str">
        <f>IFERROR(__xludf.DUMMYFUNCTION("""COMPUTED_VALUE"""),"Jose Mario Monzon Galicia")</f>
        <v>Jose Mario Monzon Galicia</v>
      </c>
      <c r="Q4237" s="6" t="str">
        <f>IFERROR(__xludf.DUMMYFUNCTION("""COMPUTED_VALUE"""),"L1")</f>
        <v>L1</v>
      </c>
      <c r="R4237" s="6">
        <f>IFERROR(__xludf.DUMMYFUNCTION("""COMPUTED_VALUE"""),1.0)</f>
        <v>1</v>
      </c>
      <c r="S4237" s="6" t="str">
        <f>IFERROR(__xludf.DUMMYFUNCTION("""COMPUTED_VALUE""")," ")</f>
        <v> </v>
      </c>
      <c r="T4237" s="6" t="str">
        <f>IFERROR(__xludf.DUMMYFUNCTION("""COMPUTED_VALUE"""),"")</f>
        <v/>
      </c>
      <c r="U4237" s="6" t="str">
        <f>IFERROR(__xludf.DUMMYFUNCTION("""COMPUTED_VALUE"""),"2")</f>
        <v>2</v>
      </c>
      <c r="V4237" s="6" t="str">
        <f>IFERROR(__xludf.DUMMYFUNCTION("""COMPUTED_VALUE"""),"")</f>
        <v/>
      </c>
      <c r="W4237" s="6" t="str">
        <f>IFERROR(__xludf.DUMMYFUNCTION("""COMPUTED_VALUE"""),"[]")</f>
        <v>[]</v>
      </c>
      <c r="X4237" s="6" t="str">
        <f>IFERROR(__xludf.DUMMYFUNCTION("""COMPUTED_VALUE"""),"Enrolled")</f>
        <v>Enrolled</v>
      </c>
    </row>
    <row r="4238">
      <c r="A4238" s="6" t="str">
        <f>IFERROR(__xludf.DUMMYFUNCTION("""COMPUTED_VALUE"""),"083-11525")</f>
        <v>083-11525</v>
      </c>
      <c r="B4238" s="6" t="str">
        <f>IFERROR(__xludf.DUMMYFUNCTION("""COMPUTED_VALUE"""),"83")</f>
        <v>83</v>
      </c>
      <c r="C4238" s="6" t="str">
        <f>IFERROR(__xludf.DUMMYFUNCTION("""COMPUTED_VALUE"""),"11525")</f>
        <v>11525</v>
      </c>
      <c r="D4238" s="6" t="str">
        <f>IFERROR(__xludf.DUMMYFUNCTION("""COMPUTED_VALUE"""),"Emily")</f>
        <v>Emily</v>
      </c>
      <c r="E4238" s="6" t="str">
        <f>IFERROR(__xludf.DUMMYFUNCTION("""COMPUTED_VALUE"""),"")</f>
        <v/>
      </c>
      <c r="F4238" s="6" t="str">
        <f>IFERROR(__xludf.DUMMYFUNCTION("""COMPUTED_VALUE"""),"Ordonez Ortiz")</f>
        <v>Ordonez Ortiz</v>
      </c>
      <c r="G4238" s="6" t="str">
        <f>IFERROR(__xludf.DUMMYFUNCTION("""COMPUTED_VALUE"""),"11/20/2017")</f>
        <v>11/20/2017</v>
      </c>
      <c r="H4238" s="6" t="str">
        <f>IFERROR(__xludf.DUMMYFUNCTION("""COMPUTED_VALUE"""),"female")</f>
        <v>female</v>
      </c>
      <c r="I4238" s="6" t="str">
        <f>IFERROR(__xludf.DUMMYFUNCTION("""COMPUTED_VALUE"""),"Level 1")</f>
        <v>Level 1</v>
      </c>
      <c r="J4238" s="6" t="str">
        <f>IFERROR(__xludf.DUMMYFUNCTION("""COMPUTED_VALUE"""),"2")</f>
        <v>2</v>
      </c>
      <c r="K4238" s="6" t="str">
        <f>IFERROR(__xludf.DUMMYFUNCTION("""COMPUTED_VALUE"""),"emily.ordonezortiz@2hourlearning.com")</f>
        <v>emily.ordonezortiz@2hourlearning.com</v>
      </c>
      <c r="L4238" s="6" t="str">
        <f>IFERROR(__xludf.DUMMYFUNCTION("""COMPUTED_VALUE"""),"JHES - Hardeeville Elementary School")</f>
        <v>JHES - Hardeeville Elementary School</v>
      </c>
      <c r="M4238" s="6" t="str">
        <f>IFERROR(__xludf.DUMMYFUNCTION("""COMPUTED_VALUE"""),"")</f>
        <v/>
      </c>
      <c r="N4238" s="6" t="str">
        <f>IFERROR(__xludf.DUMMYFUNCTION("""COMPUTED_VALUE"""),"")</f>
        <v/>
      </c>
      <c r="O4238" s="87" t="str">
        <f>IFERROR(__xludf.DUMMYFUNCTION("""COMPUTED_VALUE"""),"https://drive.google.com/drive/folders/10T2cTQHqEJZqE-st6uFKPoI?usp=share_link")</f>
        <v>https://drive.google.com/drive/folders/10T2cTQHqEJZqE-st6uFKPoI?usp=share_link</v>
      </c>
      <c r="P4238" s="6" t="str">
        <f>IFERROR(__xludf.DUMMYFUNCTION("""COMPUTED_VALUE"""),"Emily Ordonez Ortiz")</f>
        <v>Emily Ordonez Ortiz</v>
      </c>
      <c r="Q4238" s="6" t="str">
        <f>IFERROR(__xludf.DUMMYFUNCTION("""COMPUTED_VALUE"""),"L1")</f>
        <v>L1</v>
      </c>
      <c r="R4238" s="6">
        <f>IFERROR(__xludf.DUMMYFUNCTION("""COMPUTED_VALUE"""),1.0)</f>
        <v>1</v>
      </c>
      <c r="S4238" s="6" t="str">
        <f>IFERROR(__xludf.DUMMYFUNCTION("""COMPUTED_VALUE""")," ")</f>
        <v> </v>
      </c>
      <c r="T4238" s="6" t="str">
        <f>IFERROR(__xludf.DUMMYFUNCTION("""COMPUTED_VALUE"""),"")</f>
        <v/>
      </c>
      <c r="U4238" s="6" t="str">
        <f>IFERROR(__xludf.DUMMYFUNCTION("""COMPUTED_VALUE"""),"2")</f>
        <v>2</v>
      </c>
      <c r="V4238" s="6" t="str">
        <f>IFERROR(__xludf.DUMMYFUNCTION("""COMPUTED_VALUE"""),"")</f>
        <v/>
      </c>
      <c r="W4238" s="6" t="str">
        <f>IFERROR(__xludf.DUMMYFUNCTION("""COMPUTED_VALUE"""),"[]")</f>
        <v>[]</v>
      </c>
      <c r="X4238" s="6" t="str">
        <f>IFERROR(__xludf.DUMMYFUNCTION("""COMPUTED_VALUE"""),"Enrolled")</f>
        <v>Enrolled</v>
      </c>
    </row>
    <row r="4239">
      <c r="A4239" s="6" t="str">
        <f>IFERROR(__xludf.DUMMYFUNCTION("""COMPUTED_VALUE"""),"083-11526")</f>
        <v>083-11526</v>
      </c>
      <c r="B4239" s="6" t="str">
        <f>IFERROR(__xludf.DUMMYFUNCTION("""COMPUTED_VALUE"""),"83")</f>
        <v>83</v>
      </c>
      <c r="C4239" s="6" t="str">
        <f>IFERROR(__xludf.DUMMYFUNCTION("""COMPUTED_VALUE"""),"11526")</f>
        <v>11526</v>
      </c>
      <c r="D4239" s="6" t="str">
        <f>IFERROR(__xludf.DUMMYFUNCTION("""COMPUTED_VALUE"""),"King")</f>
        <v>King</v>
      </c>
      <c r="E4239" s="6" t="str">
        <f>IFERROR(__xludf.DUMMYFUNCTION("""COMPUTED_VALUE"""),"")</f>
        <v/>
      </c>
      <c r="F4239" s="6" t="str">
        <f>IFERROR(__xludf.DUMMYFUNCTION("""COMPUTED_VALUE"""),"Page")</f>
        <v>Page</v>
      </c>
      <c r="G4239" s="6" t="str">
        <f>IFERROR(__xludf.DUMMYFUNCTION("""COMPUTED_VALUE"""),"12/28/2017")</f>
        <v>12/28/2017</v>
      </c>
      <c r="H4239" s="6" t="str">
        <f>IFERROR(__xludf.DUMMYFUNCTION("""COMPUTED_VALUE"""),"male")</f>
        <v>male</v>
      </c>
      <c r="I4239" s="6" t="str">
        <f>IFERROR(__xludf.DUMMYFUNCTION("""COMPUTED_VALUE"""),"Level 1")</f>
        <v>Level 1</v>
      </c>
      <c r="J4239" s="6" t="str">
        <f>IFERROR(__xludf.DUMMYFUNCTION("""COMPUTED_VALUE"""),"2")</f>
        <v>2</v>
      </c>
      <c r="K4239" s="6" t="str">
        <f>IFERROR(__xludf.DUMMYFUNCTION("""COMPUTED_VALUE"""),"king.page@2hourlearning.com")</f>
        <v>king.page@2hourlearning.com</v>
      </c>
      <c r="L4239" s="6" t="str">
        <f>IFERROR(__xludf.DUMMYFUNCTION("""COMPUTED_VALUE"""),"JHES - Hardeeville Elementary School")</f>
        <v>JHES - Hardeeville Elementary School</v>
      </c>
      <c r="M4239" s="6" t="str">
        <f>IFERROR(__xludf.DUMMYFUNCTION("""COMPUTED_VALUE"""),"")</f>
        <v/>
      </c>
      <c r="N4239" s="6" t="str">
        <f>IFERROR(__xludf.DUMMYFUNCTION("""COMPUTED_VALUE"""),"")</f>
        <v/>
      </c>
      <c r="O4239" s="87" t="str">
        <f>IFERROR(__xludf.DUMMYFUNCTION("""COMPUTED_VALUE"""),"https://drive.google.com/drive/folders/10T2cTQHqEJZqE-st6uFKPoI?usp=share_link")</f>
        <v>https://drive.google.com/drive/folders/10T2cTQHqEJZqE-st6uFKPoI?usp=share_link</v>
      </c>
      <c r="P4239" s="6" t="str">
        <f>IFERROR(__xludf.DUMMYFUNCTION("""COMPUTED_VALUE"""),"King Page")</f>
        <v>King Page</v>
      </c>
      <c r="Q4239" s="6" t="str">
        <f>IFERROR(__xludf.DUMMYFUNCTION("""COMPUTED_VALUE"""),"L1")</f>
        <v>L1</v>
      </c>
      <c r="R4239" s="6">
        <f>IFERROR(__xludf.DUMMYFUNCTION("""COMPUTED_VALUE"""),1.0)</f>
        <v>1</v>
      </c>
      <c r="S4239" s="6" t="str">
        <f>IFERROR(__xludf.DUMMYFUNCTION("""COMPUTED_VALUE""")," ")</f>
        <v> </v>
      </c>
      <c r="T4239" s="6" t="str">
        <f>IFERROR(__xludf.DUMMYFUNCTION("""COMPUTED_VALUE"""),"")</f>
        <v/>
      </c>
      <c r="U4239" s="6" t="str">
        <f>IFERROR(__xludf.DUMMYFUNCTION("""COMPUTED_VALUE"""),"2")</f>
        <v>2</v>
      </c>
      <c r="V4239" s="6" t="str">
        <f>IFERROR(__xludf.DUMMYFUNCTION("""COMPUTED_VALUE"""),"")</f>
        <v/>
      </c>
      <c r="W4239" s="6" t="str">
        <f>IFERROR(__xludf.DUMMYFUNCTION("""COMPUTED_VALUE"""),"[]")</f>
        <v>[]</v>
      </c>
      <c r="X4239" s="6" t="str">
        <f>IFERROR(__xludf.DUMMYFUNCTION("""COMPUTED_VALUE"""),"Enrolled")</f>
        <v>Enrolled</v>
      </c>
    </row>
    <row r="4240">
      <c r="A4240" s="6" t="str">
        <f>IFERROR(__xludf.DUMMYFUNCTION("""COMPUTED_VALUE"""),"083-11527")</f>
        <v>083-11527</v>
      </c>
      <c r="B4240" s="6" t="str">
        <f>IFERROR(__xludf.DUMMYFUNCTION("""COMPUTED_VALUE"""),"83")</f>
        <v>83</v>
      </c>
      <c r="C4240" s="6" t="str">
        <f>IFERROR(__xludf.DUMMYFUNCTION("""COMPUTED_VALUE"""),"11527")</f>
        <v>11527</v>
      </c>
      <c r="D4240" s="6" t="str">
        <f>IFERROR(__xludf.DUMMYFUNCTION("""COMPUTED_VALUE"""),"Dhara")</f>
        <v>Dhara</v>
      </c>
      <c r="E4240" s="6" t="str">
        <f>IFERROR(__xludf.DUMMYFUNCTION("""COMPUTED_VALUE"""),"")</f>
        <v/>
      </c>
      <c r="F4240" s="6" t="str">
        <f>IFERROR(__xludf.DUMMYFUNCTION("""COMPUTED_VALUE"""),"Patel")</f>
        <v>Patel</v>
      </c>
      <c r="G4240" s="6" t="str">
        <f>IFERROR(__xludf.DUMMYFUNCTION("""COMPUTED_VALUE"""),"05/03/2018")</f>
        <v>05/03/2018</v>
      </c>
      <c r="H4240" s="6" t="str">
        <f>IFERROR(__xludf.DUMMYFUNCTION("""COMPUTED_VALUE"""),"female")</f>
        <v>female</v>
      </c>
      <c r="I4240" s="6" t="str">
        <f>IFERROR(__xludf.DUMMYFUNCTION("""COMPUTED_VALUE"""),"Level 1")</f>
        <v>Level 1</v>
      </c>
      <c r="J4240" s="6" t="str">
        <f>IFERROR(__xludf.DUMMYFUNCTION("""COMPUTED_VALUE"""),"2")</f>
        <v>2</v>
      </c>
      <c r="K4240" s="6" t="str">
        <f>IFERROR(__xludf.DUMMYFUNCTION("""COMPUTED_VALUE"""),"dhara.patel@2hourlearning.com")</f>
        <v>dhara.patel@2hourlearning.com</v>
      </c>
      <c r="L4240" s="6" t="str">
        <f>IFERROR(__xludf.DUMMYFUNCTION("""COMPUTED_VALUE"""),"JHES - Hardeeville Elementary School")</f>
        <v>JHES - Hardeeville Elementary School</v>
      </c>
      <c r="M4240" s="6" t="str">
        <f>IFERROR(__xludf.DUMMYFUNCTION("""COMPUTED_VALUE"""),"")</f>
        <v/>
      </c>
      <c r="N4240" s="6" t="str">
        <f>IFERROR(__xludf.DUMMYFUNCTION("""COMPUTED_VALUE"""),"")</f>
        <v/>
      </c>
      <c r="O4240" s="87" t="str">
        <f>IFERROR(__xludf.DUMMYFUNCTION("""COMPUTED_VALUE"""),"https://drive.google.com/drive/folders/10T2cTQHqEJZqE-st6uFKPoI?usp=share_link")</f>
        <v>https://drive.google.com/drive/folders/10T2cTQHqEJZqE-st6uFKPoI?usp=share_link</v>
      </c>
      <c r="P4240" s="6" t="str">
        <f>IFERROR(__xludf.DUMMYFUNCTION("""COMPUTED_VALUE"""),"Dhara Patel")</f>
        <v>Dhara Patel</v>
      </c>
      <c r="Q4240" s="6" t="str">
        <f>IFERROR(__xludf.DUMMYFUNCTION("""COMPUTED_VALUE"""),"L1")</f>
        <v>L1</v>
      </c>
      <c r="R4240" s="6">
        <f>IFERROR(__xludf.DUMMYFUNCTION("""COMPUTED_VALUE"""),1.0)</f>
        <v>1</v>
      </c>
      <c r="S4240" s="6" t="str">
        <f>IFERROR(__xludf.DUMMYFUNCTION("""COMPUTED_VALUE""")," ")</f>
        <v> </v>
      </c>
      <c r="T4240" s="6" t="str">
        <f>IFERROR(__xludf.DUMMYFUNCTION("""COMPUTED_VALUE"""),"")</f>
        <v/>
      </c>
      <c r="U4240" s="6" t="str">
        <f>IFERROR(__xludf.DUMMYFUNCTION("""COMPUTED_VALUE"""),"2")</f>
        <v>2</v>
      </c>
      <c r="V4240" s="6" t="str">
        <f>IFERROR(__xludf.DUMMYFUNCTION("""COMPUTED_VALUE"""),"")</f>
        <v/>
      </c>
      <c r="W4240" s="6" t="str">
        <f>IFERROR(__xludf.DUMMYFUNCTION("""COMPUTED_VALUE"""),"[]")</f>
        <v>[]</v>
      </c>
      <c r="X4240" s="6" t="str">
        <f>IFERROR(__xludf.DUMMYFUNCTION("""COMPUTED_VALUE"""),"Enrolled")</f>
        <v>Enrolled</v>
      </c>
    </row>
    <row r="4241">
      <c r="A4241" s="6" t="str">
        <f>IFERROR(__xludf.DUMMYFUNCTION("""COMPUTED_VALUE"""),"083-11528")</f>
        <v>083-11528</v>
      </c>
      <c r="B4241" s="6" t="str">
        <f>IFERROR(__xludf.DUMMYFUNCTION("""COMPUTED_VALUE"""),"83")</f>
        <v>83</v>
      </c>
      <c r="C4241" s="6" t="str">
        <f>IFERROR(__xludf.DUMMYFUNCTION("""COMPUTED_VALUE"""),"11528")</f>
        <v>11528</v>
      </c>
      <c r="D4241" s="6" t="str">
        <f>IFERROR(__xludf.DUMMYFUNCTION("""COMPUTED_VALUE"""),"Aubree L")</f>
        <v>Aubree L</v>
      </c>
      <c r="E4241" s="6" t="str">
        <f>IFERROR(__xludf.DUMMYFUNCTION("""COMPUTED_VALUE"""),"")</f>
        <v/>
      </c>
      <c r="F4241" s="6" t="str">
        <f>IFERROR(__xludf.DUMMYFUNCTION("""COMPUTED_VALUE"""),"Phillips")</f>
        <v>Phillips</v>
      </c>
      <c r="G4241" s="6" t="str">
        <f>IFERROR(__xludf.DUMMYFUNCTION("""COMPUTED_VALUE"""),"01/17/2017")</f>
        <v>01/17/2017</v>
      </c>
      <c r="H4241" s="6" t="str">
        <f>IFERROR(__xludf.DUMMYFUNCTION("""COMPUTED_VALUE"""),"female")</f>
        <v>female</v>
      </c>
      <c r="I4241" s="6" t="str">
        <f>IFERROR(__xludf.DUMMYFUNCTION("""COMPUTED_VALUE"""),"Level 1")</f>
        <v>Level 1</v>
      </c>
      <c r="J4241" s="6" t="str">
        <f>IFERROR(__xludf.DUMMYFUNCTION("""COMPUTED_VALUE"""),"2")</f>
        <v>2</v>
      </c>
      <c r="K4241" s="6" t="str">
        <f>IFERROR(__xludf.DUMMYFUNCTION("""COMPUTED_VALUE"""),"aubreel.phillips@2hourlearning.com")</f>
        <v>aubreel.phillips@2hourlearning.com</v>
      </c>
      <c r="L4241" s="6" t="str">
        <f>IFERROR(__xludf.DUMMYFUNCTION("""COMPUTED_VALUE"""),"JHES - Hardeeville Elementary School")</f>
        <v>JHES - Hardeeville Elementary School</v>
      </c>
      <c r="M4241" s="6" t="str">
        <f>IFERROR(__xludf.DUMMYFUNCTION("""COMPUTED_VALUE"""),"")</f>
        <v/>
      </c>
      <c r="N4241" s="6" t="str">
        <f>IFERROR(__xludf.DUMMYFUNCTION("""COMPUTED_VALUE"""),"")</f>
        <v/>
      </c>
      <c r="O4241" s="87" t="str">
        <f>IFERROR(__xludf.DUMMYFUNCTION("""COMPUTED_VALUE"""),"https://drive.google.com/drive/folders/10T2cTQHqEJZqE-st6uFKPoI?usp=share_link")</f>
        <v>https://drive.google.com/drive/folders/10T2cTQHqEJZqE-st6uFKPoI?usp=share_link</v>
      </c>
      <c r="P4241" s="6" t="str">
        <f>IFERROR(__xludf.DUMMYFUNCTION("""COMPUTED_VALUE"""),"Aubree L Phillips")</f>
        <v>Aubree L Phillips</v>
      </c>
      <c r="Q4241" s="6" t="str">
        <f>IFERROR(__xludf.DUMMYFUNCTION("""COMPUTED_VALUE"""),"L1")</f>
        <v>L1</v>
      </c>
      <c r="R4241" s="6">
        <f>IFERROR(__xludf.DUMMYFUNCTION("""COMPUTED_VALUE"""),1.0)</f>
        <v>1</v>
      </c>
      <c r="S4241" s="6" t="str">
        <f>IFERROR(__xludf.DUMMYFUNCTION("""COMPUTED_VALUE""")," ")</f>
        <v> </v>
      </c>
      <c r="T4241" s="6" t="str">
        <f>IFERROR(__xludf.DUMMYFUNCTION("""COMPUTED_VALUE"""),"")</f>
        <v/>
      </c>
      <c r="U4241" s="6" t="str">
        <f>IFERROR(__xludf.DUMMYFUNCTION("""COMPUTED_VALUE"""),"2")</f>
        <v>2</v>
      </c>
      <c r="V4241" s="6" t="str">
        <f>IFERROR(__xludf.DUMMYFUNCTION("""COMPUTED_VALUE"""),"")</f>
        <v/>
      </c>
      <c r="W4241" s="6" t="str">
        <f>IFERROR(__xludf.DUMMYFUNCTION("""COMPUTED_VALUE"""),"[]")</f>
        <v>[]</v>
      </c>
      <c r="X4241" s="6" t="str">
        <f>IFERROR(__xludf.DUMMYFUNCTION("""COMPUTED_VALUE"""),"Enrolled")</f>
        <v>Enrolled</v>
      </c>
    </row>
    <row r="4242">
      <c r="A4242" s="6" t="str">
        <f>IFERROR(__xludf.DUMMYFUNCTION("""COMPUTED_VALUE"""),"083-11529")</f>
        <v>083-11529</v>
      </c>
      <c r="B4242" s="6" t="str">
        <f>IFERROR(__xludf.DUMMYFUNCTION("""COMPUTED_VALUE"""),"83")</f>
        <v>83</v>
      </c>
      <c r="C4242" s="6" t="str">
        <f>IFERROR(__xludf.DUMMYFUNCTION("""COMPUTED_VALUE"""),"11529")</f>
        <v>11529</v>
      </c>
      <c r="D4242" s="6" t="str">
        <f>IFERROR(__xludf.DUMMYFUNCTION("""COMPUTED_VALUE"""),"Milton O")</f>
        <v>Milton O</v>
      </c>
      <c r="E4242" s="6" t="str">
        <f>IFERROR(__xludf.DUMMYFUNCTION("""COMPUTED_VALUE"""),"")</f>
        <v/>
      </c>
      <c r="F4242" s="6" t="str">
        <f>IFERROR(__xludf.DUMMYFUNCTION("""COMPUTED_VALUE"""),"Reyes Barahona")</f>
        <v>Reyes Barahona</v>
      </c>
      <c r="G4242" s="6" t="str">
        <f>IFERROR(__xludf.DUMMYFUNCTION("""COMPUTED_VALUE"""),"08/20/2018")</f>
        <v>08/20/2018</v>
      </c>
      <c r="H4242" s="6" t="str">
        <f>IFERROR(__xludf.DUMMYFUNCTION("""COMPUTED_VALUE"""),"male")</f>
        <v>male</v>
      </c>
      <c r="I4242" s="6" t="str">
        <f>IFERROR(__xludf.DUMMYFUNCTION("""COMPUTED_VALUE"""),"Level 1")</f>
        <v>Level 1</v>
      </c>
      <c r="J4242" s="6" t="str">
        <f>IFERROR(__xludf.DUMMYFUNCTION("""COMPUTED_VALUE"""),"2")</f>
        <v>2</v>
      </c>
      <c r="K4242" s="6" t="str">
        <f>IFERROR(__xludf.DUMMYFUNCTION("""COMPUTED_VALUE"""),"miltono.reyesbarahona@2hourlearning.com")</f>
        <v>miltono.reyesbarahona@2hourlearning.com</v>
      </c>
      <c r="L4242" s="6" t="str">
        <f>IFERROR(__xludf.DUMMYFUNCTION("""COMPUTED_VALUE"""),"JHES - Hardeeville Elementary School")</f>
        <v>JHES - Hardeeville Elementary School</v>
      </c>
      <c r="M4242" s="6" t="str">
        <f>IFERROR(__xludf.DUMMYFUNCTION("""COMPUTED_VALUE"""),"")</f>
        <v/>
      </c>
      <c r="N4242" s="6" t="str">
        <f>IFERROR(__xludf.DUMMYFUNCTION("""COMPUTED_VALUE"""),"")</f>
        <v/>
      </c>
      <c r="O4242" s="87" t="str">
        <f>IFERROR(__xludf.DUMMYFUNCTION("""COMPUTED_VALUE"""),"https://drive.google.com/drive/folders/10T2cTQHqEJZqE-st6uFKPoI?usp=share_link")</f>
        <v>https://drive.google.com/drive/folders/10T2cTQHqEJZqE-st6uFKPoI?usp=share_link</v>
      </c>
      <c r="P4242" s="6" t="str">
        <f>IFERROR(__xludf.DUMMYFUNCTION("""COMPUTED_VALUE"""),"Milton O Reyes Barahona")</f>
        <v>Milton O Reyes Barahona</v>
      </c>
      <c r="Q4242" s="6" t="str">
        <f>IFERROR(__xludf.DUMMYFUNCTION("""COMPUTED_VALUE"""),"L1")</f>
        <v>L1</v>
      </c>
      <c r="R4242" s="6">
        <f>IFERROR(__xludf.DUMMYFUNCTION("""COMPUTED_VALUE"""),1.0)</f>
        <v>1</v>
      </c>
      <c r="S4242" s="6" t="str">
        <f>IFERROR(__xludf.DUMMYFUNCTION("""COMPUTED_VALUE""")," ")</f>
        <v> </v>
      </c>
      <c r="T4242" s="6" t="str">
        <f>IFERROR(__xludf.DUMMYFUNCTION("""COMPUTED_VALUE"""),"")</f>
        <v/>
      </c>
      <c r="U4242" s="6" t="str">
        <f>IFERROR(__xludf.DUMMYFUNCTION("""COMPUTED_VALUE"""),"2")</f>
        <v>2</v>
      </c>
      <c r="V4242" s="6" t="str">
        <f>IFERROR(__xludf.DUMMYFUNCTION("""COMPUTED_VALUE"""),"")</f>
        <v/>
      </c>
      <c r="W4242" s="6" t="str">
        <f>IFERROR(__xludf.DUMMYFUNCTION("""COMPUTED_VALUE"""),"[]")</f>
        <v>[]</v>
      </c>
      <c r="X4242" s="6" t="str">
        <f>IFERROR(__xludf.DUMMYFUNCTION("""COMPUTED_VALUE"""),"Enrolled")</f>
        <v>Enrolled</v>
      </c>
    </row>
    <row r="4243">
      <c r="A4243" s="6" t="str">
        <f>IFERROR(__xludf.DUMMYFUNCTION("""COMPUTED_VALUE"""),"083-11530")</f>
        <v>083-11530</v>
      </c>
      <c r="B4243" s="6" t="str">
        <f>IFERROR(__xludf.DUMMYFUNCTION("""COMPUTED_VALUE"""),"83")</f>
        <v>83</v>
      </c>
      <c r="C4243" s="6" t="str">
        <f>IFERROR(__xludf.DUMMYFUNCTION("""COMPUTED_VALUE"""),"11530")</f>
        <v>11530</v>
      </c>
      <c r="D4243" s="6" t="str">
        <f>IFERROR(__xludf.DUMMYFUNCTION("""COMPUTED_VALUE"""),"Oziel A")</f>
        <v>Oziel A</v>
      </c>
      <c r="E4243" s="6" t="str">
        <f>IFERROR(__xludf.DUMMYFUNCTION("""COMPUTED_VALUE"""),"")</f>
        <v/>
      </c>
      <c r="F4243" s="6" t="str">
        <f>IFERROR(__xludf.DUMMYFUNCTION("""COMPUTED_VALUE"""),"Rocha")</f>
        <v>Rocha</v>
      </c>
      <c r="G4243" s="6" t="str">
        <f>IFERROR(__xludf.DUMMYFUNCTION("""COMPUTED_VALUE"""),"11/12/2017")</f>
        <v>11/12/2017</v>
      </c>
      <c r="H4243" s="6" t="str">
        <f>IFERROR(__xludf.DUMMYFUNCTION("""COMPUTED_VALUE"""),"male")</f>
        <v>male</v>
      </c>
      <c r="I4243" s="6" t="str">
        <f>IFERROR(__xludf.DUMMYFUNCTION("""COMPUTED_VALUE"""),"Level 1")</f>
        <v>Level 1</v>
      </c>
      <c r="J4243" s="6" t="str">
        <f>IFERROR(__xludf.DUMMYFUNCTION("""COMPUTED_VALUE"""),"2")</f>
        <v>2</v>
      </c>
      <c r="K4243" s="6" t="str">
        <f>IFERROR(__xludf.DUMMYFUNCTION("""COMPUTED_VALUE"""),"oziela.rocha@2hourlearning.com")</f>
        <v>oziela.rocha@2hourlearning.com</v>
      </c>
      <c r="L4243" s="6" t="str">
        <f>IFERROR(__xludf.DUMMYFUNCTION("""COMPUTED_VALUE"""),"JHES - Hardeeville Elementary School")</f>
        <v>JHES - Hardeeville Elementary School</v>
      </c>
      <c r="M4243" s="6" t="str">
        <f>IFERROR(__xludf.DUMMYFUNCTION("""COMPUTED_VALUE"""),"")</f>
        <v/>
      </c>
      <c r="N4243" s="6" t="str">
        <f>IFERROR(__xludf.DUMMYFUNCTION("""COMPUTED_VALUE"""),"")</f>
        <v/>
      </c>
      <c r="O4243" s="87" t="str">
        <f>IFERROR(__xludf.DUMMYFUNCTION("""COMPUTED_VALUE"""),"https://drive.google.com/drive/folders/10T2cTQHqEJZqE-st6uFKPoI?usp=share_link")</f>
        <v>https://drive.google.com/drive/folders/10T2cTQHqEJZqE-st6uFKPoI?usp=share_link</v>
      </c>
      <c r="P4243" s="6" t="str">
        <f>IFERROR(__xludf.DUMMYFUNCTION("""COMPUTED_VALUE"""),"Oziel A Rocha")</f>
        <v>Oziel A Rocha</v>
      </c>
      <c r="Q4243" s="6" t="str">
        <f>IFERROR(__xludf.DUMMYFUNCTION("""COMPUTED_VALUE"""),"L1")</f>
        <v>L1</v>
      </c>
      <c r="R4243" s="6">
        <f>IFERROR(__xludf.DUMMYFUNCTION("""COMPUTED_VALUE"""),1.0)</f>
        <v>1</v>
      </c>
      <c r="S4243" s="6" t="str">
        <f>IFERROR(__xludf.DUMMYFUNCTION("""COMPUTED_VALUE""")," ")</f>
        <v> </v>
      </c>
      <c r="T4243" s="6" t="str">
        <f>IFERROR(__xludf.DUMMYFUNCTION("""COMPUTED_VALUE"""),"")</f>
        <v/>
      </c>
      <c r="U4243" s="6" t="str">
        <f>IFERROR(__xludf.DUMMYFUNCTION("""COMPUTED_VALUE"""),"2")</f>
        <v>2</v>
      </c>
      <c r="V4243" s="6" t="str">
        <f>IFERROR(__xludf.DUMMYFUNCTION("""COMPUTED_VALUE"""),"")</f>
        <v/>
      </c>
      <c r="W4243" s="6" t="str">
        <f>IFERROR(__xludf.DUMMYFUNCTION("""COMPUTED_VALUE"""),"[]")</f>
        <v>[]</v>
      </c>
      <c r="X4243" s="6" t="str">
        <f>IFERROR(__xludf.DUMMYFUNCTION("""COMPUTED_VALUE"""),"Enrolled")</f>
        <v>Enrolled</v>
      </c>
    </row>
    <row r="4244">
      <c r="A4244" s="6" t="str">
        <f>IFERROR(__xludf.DUMMYFUNCTION("""COMPUTED_VALUE"""),"083-11531")</f>
        <v>083-11531</v>
      </c>
      <c r="B4244" s="6" t="str">
        <f>IFERROR(__xludf.DUMMYFUNCTION("""COMPUTED_VALUE"""),"83")</f>
        <v>83</v>
      </c>
      <c r="C4244" s="6" t="str">
        <f>IFERROR(__xludf.DUMMYFUNCTION("""COMPUTED_VALUE"""),"11531")</f>
        <v>11531</v>
      </c>
      <c r="D4244" s="6" t="str">
        <f>IFERROR(__xludf.DUMMYFUNCTION("""COMPUTED_VALUE"""),"Camila")</f>
        <v>Camila</v>
      </c>
      <c r="E4244" s="6" t="str">
        <f>IFERROR(__xludf.DUMMYFUNCTION("""COMPUTED_VALUE"""),"")</f>
        <v/>
      </c>
      <c r="F4244" s="6" t="str">
        <f>IFERROR(__xludf.DUMMYFUNCTION("""COMPUTED_VALUE"""),"Suastegui Miranda")</f>
        <v>Suastegui Miranda</v>
      </c>
      <c r="G4244" s="6" t="str">
        <f>IFERROR(__xludf.DUMMYFUNCTION("""COMPUTED_VALUE"""),"11/27/2017")</f>
        <v>11/27/2017</v>
      </c>
      <c r="H4244" s="6" t="str">
        <f>IFERROR(__xludf.DUMMYFUNCTION("""COMPUTED_VALUE"""),"female")</f>
        <v>female</v>
      </c>
      <c r="I4244" s="6" t="str">
        <f>IFERROR(__xludf.DUMMYFUNCTION("""COMPUTED_VALUE"""),"Level 1")</f>
        <v>Level 1</v>
      </c>
      <c r="J4244" s="6" t="str">
        <f>IFERROR(__xludf.DUMMYFUNCTION("""COMPUTED_VALUE"""),"2")</f>
        <v>2</v>
      </c>
      <c r="K4244" s="6" t="str">
        <f>IFERROR(__xludf.DUMMYFUNCTION("""COMPUTED_VALUE"""),"camila.suasteguimiranda@2hourlearning.com")</f>
        <v>camila.suasteguimiranda@2hourlearning.com</v>
      </c>
      <c r="L4244" s="6" t="str">
        <f>IFERROR(__xludf.DUMMYFUNCTION("""COMPUTED_VALUE"""),"JHES - Hardeeville Elementary School")</f>
        <v>JHES - Hardeeville Elementary School</v>
      </c>
      <c r="M4244" s="6" t="str">
        <f>IFERROR(__xludf.DUMMYFUNCTION("""COMPUTED_VALUE"""),"")</f>
        <v/>
      </c>
      <c r="N4244" s="6" t="str">
        <f>IFERROR(__xludf.DUMMYFUNCTION("""COMPUTED_VALUE"""),"")</f>
        <v/>
      </c>
      <c r="O4244" s="87" t="str">
        <f>IFERROR(__xludf.DUMMYFUNCTION("""COMPUTED_VALUE"""),"https://drive.google.com/drive/folders/10T2cTQHqEJZqE-st6uFKPoI?usp=share_link")</f>
        <v>https://drive.google.com/drive/folders/10T2cTQHqEJZqE-st6uFKPoI?usp=share_link</v>
      </c>
      <c r="P4244" s="6" t="str">
        <f>IFERROR(__xludf.DUMMYFUNCTION("""COMPUTED_VALUE"""),"Camila Suastegui Miranda")</f>
        <v>Camila Suastegui Miranda</v>
      </c>
      <c r="Q4244" s="6" t="str">
        <f>IFERROR(__xludf.DUMMYFUNCTION("""COMPUTED_VALUE"""),"L1")</f>
        <v>L1</v>
      </c>
      <c r="R4244" s="6">
        <f>IFERROR(__xludf.DUMMYFUNCTION("""COMPUTED_VALUE"""),1.0)</f>
        <v>1</v>
      </c>
      <c r="S4244" s="6" t="str">
        <f>IFERROR(__xludf.DUMMYFUNCTION("""COMPUTED_VALUE""")," ")</f>
        <v> </v>
      </c>
      <c r="T4244" s="6" t="str">
        <f>IFERROR(__xludf.DUMMYFUNCTION("""COMPUTED_VALUE"""),"")</f>
        <v/>
      </c>
      <c r="U4244" s="6" t="str">
        <f>IFERROR(__xludf.DUMMYFUNCTION("""COMPUTED_VALUE"""),"2")</f>
        <v>2</v>
      </c>
      <c r="V4244" s="6" t="str">
        <f>IFERROR(__xludf.DUMMYFUNCTION("""COMPUTED_VALUE"""),"")</f>
        <v/>
      </c>
      <c r="W4244" s="6" t="str">
        <f>IFERROR(__xludf.DUMMYFUNCTION("""COMPUTED_VALUE"""),"[]")</f>
        <v>[]</v>
      </c>
      <c r="X4244" s="6" t="str">
        <f>IFERROR(__xludf.DUMMYFUNCTION("""COMPUTED_VALUE"""),"Enrolled")</f>
        <v>Enrolled</v>
      </c>
    </row>
    <row r="4245">
      <c r="A4245" s="6" t="str">
        <f>IFERROR(__xludf.DUMMYFUNCTION("""COMPUTED_VALUE"""),"083-11532")</f>
        <v>083-11532</v>
      </c>
      <c r="B4245" s="6" t="str">
        <f>IFERROR(__xludf.DUMMYFUNCTION("""COMPUTED_VALUE"""),"83")</f>
        <v>83</v>
      </c>
      <c r="C4245" s="6" t="str">
        <f>IFERROR(__xludf.DUMMYFUNCTION("""COMPUTED_VALUE"""),"11532")</f>
        <v>11532</v>
      </c>
      <c r="D4245" s="6" t="str">
        <f>IFERROR(__xludf.DUMMYFUNCTION("""COMPUTED_VALUE"""),"Keiry")</f>
        <v>Keiry</v>
      </c>
      <c r="E4245" s="6" t="str">
        <f>IFERROR(__xludf.DUMMYFUNCTION("""COMPUTED_VALUE"""),"")</f>
        <v/>
      </c>
      <c r="F4245" s="6" t="str">
        <f>IFERROR(__xludf.DUMMYFUNCTION("""COMPUTED_VALUE"""),"Umana")</f>
        <v>Umana</v>
      </c>
      <c r="G4245" s="6" t="str">
        <f>IFERROR(__xludf.DUMMYFUNCTION("""COMPUTED_VALUE"""),"02/09/2018")</f>
        <v>02/09/2018</v>
      </c>
      <c r="H4245" s="6" t="str">
        <f>IFERROR(__xludf.DUMMYFUNCTION("""COMPUTED_VALUE"""),"female")</f>
        <v>female</v>
      </c>
      <c r="I4245" s="6" t="str">
        <f>IFERROR(__xludf.DUMMYFUNCTION("""COMPUTED_VALUE"""),"Level 1")</f>
        <v>Level 1</v>
      </c>
      <c r="J4245" s="6" t="str">
        <f>IFERROR(__xludf.DUMMYFUNCTION("""COMPUTED_VALUE"""),"2")</f>
        <v>2</v>
      </c>
      <c r="K4245" s="6" t="str">
        <f>IFERROR(__xludf.DUMMYFUNCTION("""COMPUTED_VALUE"""),"keiry.umana@2hourlearning.com")</f>
        <v>keiry.umana@2hourlearning.com</v>
      </c>
      <c r="L4245" s="6" t="str">
        <f>IFERROR(__xludf.DUMMYFUNCTION("""COMPUTED_VALUE"""),"JHES - Hardeeville Elementary School")</f>
        <v>JHES - Hardeeville Elementary School</v>
      </c>
      <c r="M4245" s="6" t="str">
        <f>IFERROR(__xludf.DUMMYFUNCTION("""COMPUTED_VALUE"""),"")</f>
        <v/>
      </c>
      <c r="N4245" s="6" t="str">
        <f>IFERROR(__xludf.DUMMYFUNCTION("""COMPUTED_VALUE"""),"")</f>
        <v/>
      </c>
      <c r="O4245" s="87" t="str">
        <f>IFERROR(__xludf.DUMMYFUNCTION("""COMPUTED_VALUE"""),"https://drive.google.com/drive/folders/10T2cTQHqEJZqE-st6uFKPoI?usp=share_link")</f>
        <v>https://drive.google.com/drive/folders/10T2cTQHqEJZqE-st6uFKPoI?usp=share_link</v>
      </c>
      <c r="P4245" s="6" t="str">
        <f>IFERROR(__xludf.DUMMYFUNCTION("""COMPUTED_VALUE"""),"Keiry Umana")</f>
        <v>Keiry Umana</v>
      </c>
      <c r="Q4245" s="6" t="str">
        <f>IFERROR(__xludf.DUMMYFUNCTION("""COMPUTED_VALUE"""),"L1")</f>
        <v>L1</v>
      </c>
      <c r="R4245" s="6">
        <f>IFERROR(__xludf.DUMMYFUNCTION("""COMPUTED_VALUE"""),1.0)</f>
        <v>1</v>
      </c>
      <c r="S4245" s="6" t="str">
        <f>IFERROR(__xludf.DUMMYFUNCTION("""COMPUTED_VALUE""")," ")</f>
        <v> </v>
      </c>
      <c r="T4245" s="6" t="str">
        <f>IFERROR(__xludf.DUMMYFUNCTION("""COMPUTED_VALUE"""),"")</f>
        <v/>
      </c>
      <c r="U4245" s="6" t="str">
        <f>IFERROR(__xludf.DUMMYFUNCTION("""COMPUTED_VALUE"""),"2")</f>
        <v>2</v>
      </c>
      <c r="V4245" s="6" t="str">
        <f>IFERROR(__xludf.DUMMYFUNCTION("""COMPUTED_VALUE"""),"")</f>
        <v/>
      </c>
      <c r="W4245" s="6" t="str">
        <f>IFERROR(__xludf.DUMMYFUNCTION("""COMPUTED_VALUE"""),"[]")</f>
        <v>[]</v>
      </c>
      <c r="X4245" s="6" t="str">
        <f>IFERROR(__xludf.DUMMYFUNCTION("""COMPUTED_VALUE"""),"Enrolled")</f>
        <v>Enrolled</v>
      </c>
    </row>
    <row r="4246">
      <c r="A4246" s="6" t="str">
        <f>IFERROR(__xludf.DUMMYFUNCTION("""COMPUTED_VALUE"""),"083-11533")</f>
        <v>083-11533</v>
      </c>
      <c r="B4246" s="6" t="str">
        <f>IFERROR(__xludf.DUMMYFUNCTION("""COMPUTED_VALUE"""),"83")</f>
        <v>83</v>
      </c>
      <c r="C4246" s="6" t="str">
        <f>IFERROR(__xludf.DUMMYFUNCTION("""COMPUTED_VALUE"""),"11533")</f>
        <v>11533</v>
      </c>
      <c r="D4246" s="6" t="str">
        <f>IFERROR(__xludf.DUMMYFUNCTION("""COMPUTED_VALUE"""),"Braxton")</f>
        <v>Braxton</v>
      </c>
      <c r="E4246" s="6" t="str">
        <f>IFERROR(__xludf.DUMMYFUNCTION("""COMPUTED_VALUE"""),"")</f>
        <v/>
      </c>
      <c r="F4246" s="6" t="str">
        <f>IFERROR(__xludf.DUMMYFUNCTION("""COMPUTED_VALUE"""),"Walker")</f>
        <v>Walker</v>
      </c>
      <c r="G4246" s="6" t="str">
        <f>IFERROR(__xludf.DUMMYFUNCTION("""COMPUTED_VALUE"""),"12/02/2017")</f>
        <v>12/02/2017</v>
      </c>
      <c r="H4246" s="6" t="str">
        <f>IFERROR(__xludf.DUMMYFUNCTION("""COMPUTED_VALUE"""),"male")</f>
        <v>male</v>
      </c>
      <c r="I4246" s="6" t="str">
        <f>IFERROR(__xludf.DUMMYFUNCTION("""COMPUTED_VALUE"""),"Level 1")</f>
        <v>Level 1</v>
      </c>
      <c r="J4246" s="6" t="str">
        <f>IFERROR(__xludf.DUMMYFUNCTION("""COMPUTED_VALUE"""),"2")</f>
        <v>2</v>
      </c>
      <c r="K4246" s="6" t="str">
        <f>IFERROR(__xludf.DUMMYFUNCTION("""COMPUTED_VALUE"""),"braxton.walker@2hourlearning.com")</f>
        <v>braxton.walker@2hourlearning.com</v>
      </c>
      <c r="L4246" s="6" t="str">
        <f>IFERROR(__xludf.DUMMYFUNCTION("""COMPUTED_VALUE"""),"JHES - Hardeeville Elementary School")</f>
        <v>JHES - Hardeeville Elementary School</v>
      </c>
      <c r="M4246" s="6" t="str">
        <f>IFERROR(__xludf.DUMMYFUNCTION("""COMPUTED_VALUE"""),"")</f>
        <v/>
      </c>
      <c r="N4246" s="6" t="str">
        <f>IFERROR(__xludf.DUMMYFUNCTION("""COMPUTED_VALUE"""),"")</f>
        <v/>
      </c>
      <c r="O4246" s="87" t="str">
        <f>IFERROR(__xludf.DUMMYFUNCTION("""COMPUTED_VALUE"""),"https://drive.google.com/drive/folders/10T2cTQHqEJZqE-st6uFKPoI?usp=share_link")</f>
        <v>https://drive.google.com/drive/folders/10T2cTQHqEJZqE-st6uFKPoI?usp=share_link</v>
      </c>
      <c r="P4246" s="6" t="str">
        <f>IFERROR(__xludf.DUMMYFUNCTION("""COMPUTED_VALUE"""),"Braxton Walker")</f>
        <v>Braxton Walker</v>
      </c>
      <c r="Q4246" s="6" t="str">
        <f>IFERROR(__xludf.DUMMYFUNCTION("""COMPUTED_VALUE"""),"L1")</f>
        <v>L1</v>
      </c>
      <c r="R4246" s="6">
        <f>IFERROR(__xludf.DUMMYFUNCTION("""COMPUTED_VALUE"""),1.0)</f>
        <v>1</v>
      </c>
      <c r="S4246" s="6" t="str">
        <f>IFERROR(__xludf.DUMMYFUNCTION("""COMPUTED_VALUE""")," ")</f>
        <v> </v>
      </c>
      <c r="T4246" s="6" t="str">
        <f>IFERROR(__xludf.DUMMYFUNCTION("""COMPUTED_VALUE"""),"")</f>
        <v/>
      </c>
      <c r="U4246" s="6" t="str">
        <f>IFERROR(__xludf.DUMMYFUNCTION("""COMPUTED_VALUE"""),"2")</f>
        <v>2</v>
      </c>
      <c r="V4246" s="6" t="str">
        <f>IFERROR(__xludf.DUMMYFUNCTION("""COMPUTED_VALUE"""),"")</f>
        <v/>
      </c>
      <c r="W4246" s="6" t="str">
        <f>IFERROR(__xludf.DUMMYFUNCTION("""COMPUTED_VALUE"""),"[]")</f>
        <v>[]</v>
      </c>
      <c r="X4246" s="6" t="str">
        <f>IFERROR(__xludf.DUMMYFUNCTION("""COMPUTED_VALUE"""),"Enrolled")</f>
        <v>Enrolled</v>
      </c>
    </row>
    <row r="4247">
      <c r="A4247" s="6" t="str">
        <f>IFERROR(__xludf.DUMMYFUNCTION("""COMPUTED_VALUE"""),"083-11534")</f>
        <v>083-11534</v>
      </c>
      <c r="B4247" s="6" t="str">
        <f>IFERROR(__xludf.DUMMYFUNCTION("""COMPUTED_VALUE"""),"83")</f>
        <v>83</v>
      </c>
      <c r="C4247" s="6" t="str">
        <f>IFERROR(__xludf.DUMMYFUNCTION("""COMPUTED_VALUE"""),"11534")</f>
        <v>11534</v>
      </c>
      <c r="D4247" s="6" t="str">
        <f>IFERROR(__xludf.DUMMYFUNCTION("""COMPUTED_VALUE"""),"Swae")</f>
        <v>Swae</v>
      </c>
      <c r="E4247" s="6" t="str">
        <f>IFERROR(__xludf.DUMMYFUNCTION("""COMPUTED_VALUE"""),"")</f>
        <v/>
      </c>
      <c r="F4247" s="6" t="str">
        <f>IFERROR(__xludf.DUMMYFUNCTION("""COMPUTED_VALUE"""),"Williams")</f>
        <v>Williams</v>
      </c>
      <c r="G4247" s="6" t="str">
        <f>IFERROR(__xludf.DUMMYFUNCTION("""COMPUTED_VALUE"""),"07/29/2018")</f>
        <v>07/29/2018</v>
      </c>
      <c r="H4247" s="6" t="str">
        <f>IFERROR(__xludf.DUMMYFUNCTION("""COMPUTED_VALUE"""),"male")</f>
        <v>male</v>
      </c>
      <c r="I4247" s="6" t="str">
        <f>IFERROR(__xludf.DUMMYFUNCTION("""COMPUTED_VALUE"""),"Level 1")</f>
        <v>Level 1</v>
      </c>
      <c r="J4247" s="6" t="str">
        <f>IFERROR(__xludf.DUMMYFUNCTION("""COMPUTED_VALUE"""),"2")</f>
        <v>2</v>
      </c>
      <c r="K4247" s="6" t="str">
        <f>IFERROR(__xludf.DUMMYFUNCTION("""COMPUTED_VALUE"""),"swae.williams@2hourlearning.com")</f>
        <v>swae.williams@2hourlearning.com</v>
      </c>
      <c r="L4247" s="6" t="str">
        <f>IFERROR(__xludf.DUMMYFUNCTION("""COMPUTED_VALUE"""),"JHES - Hardeeville Elementary School")</f>
        <v>JHES - Hardeeville Elementary School</v>
      </c>
      <c r="M4247" s="6" t="str">
        <f>IFERROR(__xludf.DUMMYFUNCTION("""COMPUTED_VALUE"""),"")</f>
        <v/>
      </c>
      <c r="N4247" s="6" t="str">
        <f>IFERROR(__xludf.DUMMYFUNCTION("""COMPUTED_VALUE"""),"")</f>
        <v/>
      </c>
      <c r="O4247" s="87" t="str">
        <f>IFERROR(__xludf.DUMMYFUNCTION("""COMPUTED_VALUE"""),"https://drive.google.com/drive/folders/10T2cTQHqEJZqE-st6uFKPoI?usp=share_link")</f>
        <v>https://drive.google.com/drive/folders/10T2cTQHqEJZqE-st6uFKPoI?usp=share_link</v>
      </c>
      <c r="P4247" s="6" t="str">
        <f>IFERROR(__xludf.DUMMYFUNCTION("""COMPUTED_VALUE"""),"Swae Williams")</f>
        <v>Swae Williams</v>
      </c>
      <c r="Q4247" s="6" t="str">
        <f>IFERROR(__xludf.DUMMYFUNCTION("""COMPUTED_VALUE"""),"L1")</f>
        <v>L1</v>
      </c>
      <c r="R4247" s="6">
        <f>IFERROR(__xludf.DUMMYFUNCTION("""COMPUTED_VALUE"""),1.0)</f>
        <v>1</v>
      </c>
      <c r="S4247" s="6" t="str">
        <f>IFERROR(__xludf.DUMMYFUNCTION("""COMPUTED_VALUE""")," ")</f>
        <v> </v>
      </c>
      <c r="T4247" s="6" t="str">
        <f>IFERROR(__xludf.DUMMYFUNCTION("""COMPUTED_VALUE"""),"")</f>
        <v/>
      </c>
      <c r="U4247" s="6" t="str">
        <f>IFERROR(__xludf.DUMMYFUNCTION("""COMPUTED_VALUE"""),"2")</f>
        <v>2</v>
      </c>
      <c r="V4247" s="6" t="str">
        <f>IFERROR(__xludf.DUMMYFUNCTION("""COMPUTED_VALUE"""),"")</f>
        <v/>
      </c>
      <c r="W4247" s="6" t="str">
        <f>IFERROR(__xludf.DUMMYFUNCTION("""COMPUTED_VALUE"""),"[]")</f>
        <v>[]</v>
      </c>
      <c r="X4247" s="6" t="str">
        <f>IFERROR(__xludf.DUMMYFUNCTION("""COMPUTED_VALUE"""),"Enrolled")</f>
        <v>Enrolled</v>
      </c>
    </row>
    <row r="4248">
      <c r="A4248" s="6" t="str">
        <f>IFERROR(__xludf.DUMMYFUNCTION("""COMPUTED_VALUE"""),"083-11535")</f>
        <v>083-11535</v>
      </c>
      <c r="B4248" s="6" t="str">
        <f>IFERROR(__xludf.DUMMYFUNCTION("""COMPUTED_VALUE"""),"83")</f>
        <v>83</v>
      </c>
      <c r="C4248" s="6" t="str">
        <f>IFERROR(__xludf.DUMMYFUNCTION("""COMPUTED_VALUE"""),"11535")</f>
        <v>11535</v>
      </c>
      <c r="D4248" s="6" t="str">
        <f>IFERROR(__xludf.DUMMYFUNCTION("""COMPUTED_VALUE"""),"Serenity")</f>
        <v>Serenity</v>
      </c>
      <c r="E4248" s="6" t="str">
        <f>IFERROR(__xludf.DUMMYFUNCTION("""COMPUTED_VALUE"""),"")</f>
        <v/>
      </c>
      <c r="F4248" s="6" t="str">
        <f>IFERROR(__xludf.DUMMYFUNCTION("""COMPUTED_VALUE"""),"Blakes")</f>
        <v>Blakes</v>
      </c>
      <c r="G4248" s="6" t="str">
        <f>IFERROR(__xludf.DUMMYFUNCTION("""COMPUTED_VALUE"""),"01/24/2018")</f>
        <v>01/24/2018</v>
      </c>
      <c r="H4248" s="6" t="str">
        <f>IFERROR(__xludf.DUMMYFUNCTION("""COMPUTED_VALUE"""),"female")</f>
        <v>female</v>
      </c>
      <c r="I4248" s="6" t="str">
        <f>IFERROR(__xludf.DUMMYFUNCTION("""COMPUTED_VALUE"""),"Level 1")</f>
        <v>Level 1</v>
      </c>
      <c r="J4248" s="6" t="str">
        <f>IFERROR(__xludf.DUMMYFUNCTION("""COMPUTED_VALUE"""),"2")</f>
        <v>2</v>
      </c>
      <c r="K4248" s="6" t="str">
        <f>IFERROR(__xludf.DUMMYFUNCTION("""COMPUTED_VALUE"""),"serenity.blakes@2hourlearning.com")</f>
        <v>serenity.blakes@2hourlearning.com</v>
      </c>
      <c r="L4248" s="6" t="str">
        <f>IFERROR(__xludf.DUMMYFUNCTION("""COMPUTED_VALUE"""),"JHES - Hardeeville Elementary School")</f>
        <v>JHES - Hardeeville Elementary School</v>
      </c>
      <c r="M4248" s="6" t="str">
        <f>IFERROR(__xludf.DUMMYFUNCTION("""COMPUTED_VALUE"""),"")</f>
        <v/>
      </c>
      <c r="N4248" s="6" t="str">
        <f>IFERROR(__xludf.DUMMYFUNCTION("""COMPUTED_VALUE"""),"")</f>
        <v/>
      </c>
      <c r="O4248" s="87" t="str">
        <f>IFERROR(__xludf.DUMMYFUNCTION("""COMPUTED_VALUE"""),"https://drive.google.com/drive/folders/10T2cTQHqEJZqE-st6uFKPoI?usp=share_link")</f>
        <v>https://drive.google.com/drive/folders/10T2cTQHqEJZqE-st6uFKPoI?usp=share_link</v>
      </c>
      <c r="P4248" s="6" t="str">
        <f>IFERROR(__xludf.DUMMYFUNCTION("""COMPUTED_VALUE"""),"Serenity Blakes")</f>
        <v>Serenity Blakes</v>
      </c>
      <c r="Q4248" s="6" t="str">
        <f>IFERROR(__xludf.DUMMYFUNCTION("""COMPUTED_VALUE"""),"L1")</f>
        <v>L1</v>
      </c>
      <c r="R4248" s="6">
        <f>IFERROR(__xludf.DUMMYFUNCTION("""COMPUTED_VALUE"""),1.0)</f>
        <v>1</v>
      </c>
      <c r="S4248" s="6" t="str">
        <f>IFERROR(__xludf.DUMMYFUNCTION("""COMPUTED_VALUE""")," ")</f>
        <v> </v>
      </c>
      <c r="T4248" s="6" t="str">
        <f>IFERROR(__xludf.DUMMYFUNCTION("""COMPUTED_VALUE"""),"")</f>
        <v/>
      </c>
      <c r="U4248" s="6" t="str">
        <f>IFERROR(__xludf.DUMMYFUNCTION("""COMPUTED_VALUE"""),"2")</f>
        <v>2</v>
      </c>
      <c r="V4248" s="6" t="str">
        <f>IFERROR(__xludf.DUMMYFUNCTION("""COMPUTED_VALUE"""),"")</f>
        <v/>
      </c>
      <c r="W4248" s="6" t="str">
        <f>IFERROR(__xludf.DUMMYFUNCTION("""COMPUTED_VALUE"""),"[]")</f>
        <v>[]</v>
      </c>
      <c r="X4248" s="6" t="str">
        <f>IFERROR(__xludf.DUMMYFUNCTION("""COMPUTED_VALUE"""),"Enrolled")</f>
        <v>Enrolled</v>
      </c>
    </row>
    <row r="4249">
      <c r="A4249" s="6" t="str">
        <f>IFERROR(__xludf.DUMMYFUNCTION("""COMPUTED_VALUE"""),"083-11536")</f>
        <v>083-11536</v>
      </c>
      <c r="B4249" s="6" t="str">
        <f>IFERROR(__xludf.DUMMYFUNCTION("""COMPUTED_VALUE"""),"83")</f>
        <v>83</v>
      </c>
      <c r="C4249" s="6" t="str">
        <f>IFERROR(__xludf.DUMMYFUNCTION("""COMPUTED_VALUE"""),"11536")</f>
        <v>11536</v>
      </c>
      <c r="D4249" s="6" t="str">
        <f>IFERROR(__xludf.DUMMYFUNCTION("""COMPUTED_VALUE"""),"Cristopher D")</f>
        <v>Cristopher D</v>
      </c>
      <c r="E4249" s="6" t="str">
        <f>IFERROR(__xludf.DUMMYFUNCTION("""COMPUTED_VALUE"""),"")</f>
        <v/>
      </c>
      <c r="F4249" s="6" t="str">
        <f>IFERROR(__xludf.DUMMYFUNCTION("""COMPUTED_VALUE"""),"Corrales Guitierrez")</f>
        <v>Corrales Guitierrez</v>
      </c>
      <c r="G4249" s="6" t="str">
        <f>IFERROR(__xludf.DUMMYFUNCTION("""COMPUTED_VALUE"""),"11/24/2017")</f>
        <v>11/24/2017</v>
      </c>
      <c r="H4249" s="6" t="str">
        <f>IFERROR(__xludf.DUMMYFUNCTION("""COMPUTED_VALUE"""),"male")</f>
        <v>male</v>
      </c>
      <c r="I4249" s="6" t="str">
        <f>IFERROR(__xludf.DUMMYFUNCTION("""COMPUTED_VALUE"""),"Level 1")</f>
        <v>Level 1</v>
      </c>
      <c r="J4249" s="6" t="str">
        <f>IFERROR(__xludf.DUMMYFUNCTION("""COMPUTED_VALUE"""),"2")</f>
        <v>2</v>
      </c>
      <c r="K4249" s="6" t="str">
        <f>IFERROR(__xludf.DUMMYFUNCTION("""COMPUTED_VALUE"""),"cristopherd.corralesguitierrez@2hourlearning.com")</f>
        <v>cristopherd.corralesguitierrez@2hourlearning.com</v>
      </c>
      <c r="L4249" s="6" t="str">
        <f>IFERROR(__xludf.DUMMYFUNCTION("""COMPUTED_VALUE"""),"JHES - Hardeeville Elementary School")</f>
        <v>JHES - Hardeeville Elementary School</v>
      </c>
      <c r="M4249" s="6" t="str">
        <f>IFERROR(__xludf.DUMMYFUNCTION("""COMPUTED_VALUE"""),"")</f>
        <v/>
      </c>
      <c r="N4249" s="6" t="str">
        <f>IFERROR(__xludf.DUMMYFUNCTION("""COMPUTED_VALUE"""),"")</f>
        <v/>
      </c>
      <c r="O4249" s="87" t="str">
        <f>IFERROR(__xludf.DUMMYFUNCTION("""COMPUTED_VALUE"""),"https://drive.google.com/drive/folders/10T2cTQHqEJZqE-st6uFKPoI?usp=share_link")</f>
        <v>https://drive.google.com/drive/folders/10T2cTQHqEJZqE-st6uFKPoI?usp=share_link</v>
      </c>
      <c r="P4249" s="6" t="str">
        <f>IFERROR(__xludf.DUMMYFUNCTION("""COMPUTED_VALUE"""),"Cristopher D Corrales Guitierrez")</f>
        <v>Cristopher D Corrales Guitierrez</v>
      </c>
      <c r="Q4249" s="6" t="str">
        <f>IFERROR(__xludf.DUMMYFUNCTION("""COMPUTED_VALUE"""),"L1")</f>
        <v>L1</v>
      </c>
      <c r="R4249" s="6">
        <f>IFERROR(__xludf.DUMMYFUNCTION("""COMPUTED_VALUE"""),1.0)</f>
        <v>1</v>
      </c>
      <c r="S4249" s="6" t="str">
        <f>IFERROR(__xludf.DUMMYFUNCTION("""COMPUTED_VALUE""")," ")</f>
        <v> </v>
      </c>
      <c r="T4249" s="6" t="str">
        <f>IFERROR(__xludf.DUMMYFUNCTION("""COMPUTED_VALUE"""),"")</f>
        <v/>
      </c>
      <c r="U4249" s="6" t="str">
        <f>IFERROR(__xludf.DUMMYFUNCTION("""COMPUTED_VALUE"""),"2")</f>
        <v>2</v>
      </c>
      <c r="V4249" s="6" t="str">
        <f>IFERROR(__xludf.DUMMYFUNCTION("""COMPUTED_VALUE"""),"")</f>
        <v/>
      </c>
      <c r="W4249" s="6" t="str">
        <f>IFERROR(__xludf.DUMMYFUNCTION("""COMPUTED_VALUE"""),"[]")</f>
        <v>[]</v>
      </c>
      <c r="X4249" s="6" t="str">
        <f>IFERROR(__xludf.DUMMYFUNCTION("""COMPUTED_VALUE"""),"Enrolled")</f>
        <v>Enrolled</v>
      </c>
    </row>
    <row r="4250">
      <c r="A4250" s="6" t="str">
        <f>IFERROR(__xludf.DUMMYFUNCTION("""COMPUTED_VALUE"""),"083-11537")</f>
        <v>083-11537</v>
      </c>
      <c r="B4250" s="6" t="str">
        <f>IFERROR(__xludf.DUMMYFUNCTION("""COMPUTED_VALUE"""),"83")</f>
        <v>83</v>
      </c>
      <c r="C4250" s="6" t="str">
        <f>IFERROR(__xludf.DUMMYFUNCTION("""COMPUTED_VALUE"""),"11537")</f>
        <v>11537</v>
      </c>
      <c r="D4250" s="6" t="str">
        <f>IFERROR(__xludf.DUMMYFUNCTION("""COMPUTED_VALUE"""),"Melissa")</f>
        <v>Melissa</v>
      </c>
      <c r="E4250" s="6" t="str">
        <f>IFERROR(__xludf.DUMMYFUNCTION("""COMPUTED_VALUE"""),"")</f>
        <v/>
      </c>
      <c r="F4250" s="6" t="str">
        <f>IFERROR(__xludf.DUMMYFUNCTION("""COMPUTED_VALUE"""),"Cruz Rubio")</f>
        <v>Cruz Rubio</v>
      </c>
      <c r="G4250" s="6" t="str">
        <f>IFERROR(__xludf.DUMMYFUNCTION("""COMPUTED_VALUE"""),"09/16/2017")</f>
        <v>09/16/2017</v>
      </c>
      <c r="H4250" s="6" t="str">
        <f>IFERROR(__xludf.DUMMYFUNCTION("""COMPUTED_VALUE"""),"male")</f>
        <v>male</v>
      </c>
      <c r="I4250" s="6" t="str">
        <f>IFERROR(__xludf.DUMMYFUNCTION("""COMPUTED_VALUE"""),"Level 1")</f>
        <v>Level 1</v>
      </c>
      <c r="J4250" s="6" t="str">
        <f>IFERROR(__xludf.DUMMYFUNCTION("""COMPUTED_VALUE"""),"2")</f>
        <v>2</v>
      </c>
      <c r="K4250" s="6" t="str">
        <f>IFERROR(__xludf.DUMMYFUNCTION("""COMPUTED_VALUE"""),"melissa.cruzrubio@2hourlearning.com")</f>
        <v>melissa.cruzrubio@2hourlearning.com</v>
      </c>
      <c r="L4250" s="6" t="str">
        <f>IFERROR(__xludf.DUMMYFUNCTION("""COMPUTED_VALUE"""),"JHES - Hardeeville Elementary School")</f>
        <v>JHES - Hardeeville Elementary School</v>
      </c>
      <c r="M4250" s="6" t="str">
        <f>IFERROR(__xludf.DUMMYFUNCTION("""COMPUTED_VALUE"""),"")</f>
        <v/>
      </c>
      <c r="N4250" s="6" t="str">
        <f>IFERROR(__xludf.DUMMYFUNCTION("""COMPUTED_VALUE"""),"")</f>
        <v/>
      </c>
      <c r="O4250" s="87" t="str">
        <f>IFERROR(__xludf.DUMMYFUNCTION("""COMPUTED_VALUE"""),"https://drive.google.com/drive/folders/10T2cTQHqEJZqE-st6uFKPoI?usp=share_link")</f>
        <v>https://drive.google.com/drive/folders/10T2cTQHqEJZqE-st6uFKPoI?usp=share_link</v>
      </c>
      <c r="P4250" s="6" t="str">
        <f>IFERROR(__xludf.DUMMYFUNCTION("""COMPUTED_VALUE"""),"Melissa Cruz Rubio")</f>
        <v>Melissa Cruz Rubio</v>
      </c>
      <c r="Q4250" s="6" t="str">
        <f>IFERROR(__xludf.DUMMYFUNCTION("""COMPUTED_VALUE"""),"L1")</f>
        <v>L1</v>
      </c>
      <c r="R4250" s="6">
        <f>IFERROR(__xludf.DUMMYFUNCTION("""COMPUTED_VALUE"""),1.0)</f>
        <v>1</v>
      </c>
      <c r="S4250" s="6" t="str">
        <f>IFERROR(__xludf.DUMMYFUNCTION("""COMPUTED_VALUE""")," ")</f>
        <v> </v>
      </c>
      <c r="T4250" s="6" t="str">
        <f>IFERROR(__xludf.DUMMYFUNCTION("""COMPUTED_VALUE"""),"")</f>
        <v/>
      </c>
      <c r="U4250" s="6" t="str">
        <f>IFERROR(__xludf.DUMMYFUNCTION("""COMPUTED_VALUE"""),"2")</f>
        <v>2</v>
      </c>
      <c r="V4250" s="6" t="str">
        <f>IFERROR(__xludf.DUMMYFUNCTION("""COMPUTED_VALUE"""),"")</f>
        <v/>
      </c>
      <c r="W4250" s="6" t="str">
        <f>IFERROR(__xludf.DUMMYFUNCTION("""COMPUTED_VALUE"""),"[]")</f>
        <v>[]</v>
      </c>
      <c r="X4250" s="6" t="str">
        <f>IFERROR(__xludf.DUMMYFUNCTION("""COMPUTED_VALUE"""),"Enrolled")</f>
        <v>Enrolled</v>
      </c>
    </row>
    <row r="4251">
      <c r="A4251" s="6" t="str">
        <f>IFERROR(__xludf.DUMMYFUNCTION("""COMPUTED_VALUE"""),"083-11538")</f>
        <v>083-11538</v>
      </c>
      <c r="B4251" s="6" t="str">
        <f>IFERROR(__xludf.DUMMYFUNCTION("""COMPUTED_VALUE"""),"83")</f>
        <v>83</v>
      </c>
      <c r="C4251" s="6" t="str">
        <f>IFERROR(__xludf.DUMMYFUNCTION("""COMPUTED_VALUE"""),"11538")</f>
        <v>11538</v>
      </c>
      <c r="D4251" s="6" t="str">
        <f>IFERROR(__xludf.DUMMYFUNCTION("""COMPUTED_VALUE"""),"Maddison A")</f>
        <v>Maddison A</v>
      </c>
      <c r="E4251" s="6" t="str">
        <f>IFERROR(__xludf.DUMMYFUNCTION("""COMPUTED_VALUE"""),"")</f>
        <v/>
      </c>
      <c r="F4251" s="6" t="str">
        <f>IFERROR(__xludf.DUMMYFUNCTION("""COMPUTED_VALUE"""),"Diaz Arias")</f>
        <v>Diaz Arias</v>
      </c>
      <c r="G4251" s="6" t="str">
        <f>IFERROR(__xludf.DUMMYFUNCTION("""COMPUTED_VALUE"""),"06/29/2018")</f>
        <v>06/29/2018</v>
      </c>
      <c r="H4251" s="6" t="str">
        <f>IFERROR(__xludf.DUMMYFUNCTION("""COMPUTED_VALUE"""),"female")</f>
        <v>female</v>
      </c>
      <c r="I4251" s="6" t="str">
        <f>IFERROR(__xludf.DUMMYFUNCTION("""COMPUTED_VALUE"""),"Level 1")</f>
        <v>Level 1</v>
      </c>
      <c r="J4251" s="6" t="str">
        <f>IFERROR(__xludf.DUMMYFUNCTION("""COMPUTED_VALUE"""),"2")</f>
        <v>2</v>
      </c>
      <c r="K4251" s="6" t="str">
        <f>IFERROR(__xludf.DUMMYFUNCTION("""COMPUTED_VALUE"""),"maddisona.diazarias@2hourlearning.com")</f>
        <v>maddisona.diazarias@2hourlearning.com</v>
      </c>
      <c r="L4251" s="6" t="str">
        <f>IFERROR(__xludf.DUMMYFUNCTION("""COMPUTED_VALUE"""),"JHES - Hardeeville Elementary School")</f>
        <v>JHES - Hardeeville Elementary School</v>
      </c>
      <c r="M4251" s="6" t="str">
        <f>IFERROR(__xludf.DUMMYFUNCTION("""COMPUTED_VALUE"""),"")</f>
        <v/>
      </c>
      <c r="N4251" s="6" t="str">
        <f>IFERROR(__xludf.DUMMYFUNCTION("""COMPUTED_VALUE"""),"")</f>
        <v/>
      </c>
      <c r="O4251" s="87" t="str">
        <f>IFERROR(__xludf.DUMMYFUNCTION("""COMPUTED_VALUE"""),"https://drive.google.com/drive/folders/10T2cTQHqEJZqE-st6uFKPoI?usp=share_link")</f>
        <v>https://drive.google.com/drive/folders/10T2cTQHqEJZqE-st6uFKPoI?usp=share_link</v>
      </c>
      <c r="P4251" s="6" t="str">
        <f>IFERROR(__xludf.DUMMYFUNCTION("""COMPUTED_VALUE"""),"Maddison A Diaz Arias")</f>
        <v>Maddison A Diaz Arias</v>
      </c>
      <c r="Q4251" s="6" t="str">
        <f>IFERROR(__xludf.DUMMYFUNCTION("""COMPUTED_VALUE"""),"L1")</f>
        <v>L1</v>
      </c>
      <c r="R4251" s="6">
        <f>IFERROR(__xludf.DUMMYFUNCTION("""COMPUTED_VALUE"""),1.0)</f>
        <v>1</v>
      </c>
      <c r="S4251" s="6" t="str">
        <f>IFERROR(__xludf.DUMMYFUNCTION("""COMPUTED_VALUE""")," ")</f>
        <v> </v>
      </c>
      <c r="T4251" s="6" t="str">
        <f>IFERROR(__xludf.DUMMYFUNCTION("""COMPUTED_VALUE"""),"")</f>
        <v/>
      </c>
      <c r="U4251" s="6" t="str">
        <f>IFERROR(__xludf.DUMMYFUNCTION("""COMPUTED_VALUE"""),"2")</f>
        <v>2</v>
      </c>
      <c r="V4251" s="6" t="str">
        <f>IFERROR(__xludf.DUMMYFUNCTION("""COMPUTED_VALUE"""),"")</f>
        <v/>
      </c>
      <c r="W4251" s="6" t="str">
        <f>IFERROR(__xludf.DUMMYFUNCTION("""COMPUTED_VALUE"""),"[]")</f>
        <v>[]</v>
      </c>
      <c r="X4251" s="6" t="str">
        <f>IFERROR(__xludf.DUMMYFUNCTION("""COMPUTED_VALUE"""),"Enrolled")</f>
        <v>Enrolled</v>
      </c>
    </row>
    <row r="4252">
      <c r="A4252" s="6" t="str">
        <f>IFERROR(__xludf.DUMMYFUNCTION("""COMPUTED_VALUE"""),"083-11539")</f>
        <v>083-11539</v>
      </c>
      <c r="B4252" s="6" t="str">
        <f>IFERROR(__xludf.DUMMYFUNCTION("""COMPUTED_VALUE"""),"83")</f>
        <v>83</v>
      </c>
      <c r="C4252" s="6" t="str">
        <f>IFERROR(__xludf.DUMMYFUNCTION("""COMPUTED_VALUE"""),"11539")</f>
        <v>11539</v>
      </c>
      <c r="D4252" s="6" t="str">
        <f>IFERROR(__xludf.DUMMYFUNCTION("""COMPUTED_VALUE"""),"Yoseph")</f>
        <v>Yoseph</v>
      </c>
      <c r="E4252" s="6" t="str">
        <f>IFERROR(__xludf.DUMMYFUNCTION("""COMPUTED_VALUE"""),"")</f>
        <v/>
      </c>
      <c r="F4252" s="6" t="str">
        <f>IFERROR(__xludf.DUMMYFUNCTION("""COMPUTED_VALUE"""),"Galvan Lopez")</f>
        <v>Galvan Lopez</v>
      </c>
      <c r="G4252" s="6" t="str">
        <f>IFERROR(__xludf.DUMMYFUNCTION("""COMPUTED_VALUE"""),"11/27/2017")</f>
        <v>11/27/2017</v>
      </c>
      <c r="H4252" s="6" t="str">
        <f>IFERROR(__xludf.DUMMYFUNCTION("""COMPUTED_VALUE"""),"male")</f>
        <v>male</v>
      </c>
      <c r="I4252" s="6" t="str">
        <f>IFERROR(__xludf.DUMMYFUNCTION("""COMPUTED_VALUE"""),"Level 1")</f>
        <v>Level 1</v>
      </c>
      <c r="J4252" s="6" t="str">
        <f>IFERROR(__xludf.DUMMYFUNCTION("""COMPUTED_VALUE"""),"2")</f>
        <v>2</v>
      </c>
      <c r="K4252" s="6" t="str">
        <f>IFERROR(__xludf.DUMMYFUNCTION("""COMPUTED_VALUE"""),"yoseph.galvanlopez@2hourlearning.com")</f>
        <v>yoseph.galvanlopez@2hourlearning.com</v>
      </c>
      <c r="L4252" s="6" t="str">
        <f>IFERROR(__xludf.DUMMYFUNCTION("""COMPUTED_VALUE"""),"JHES - Hardeeville Elementary School")</f>
        <v>JHES - Hardeeville Elementary School</v>
      </c>
      <c r="M4252" s="6" t="str">
        <f>IFERROR(__xludf.DUMMYFUNCTION("""COMPUTED_VALUE"""),"")</f>
        <v/>
      </c>
      <c r="N4252" s="6" t="str">
        <f>IFERROR(__xludf.DUMMYFUNCTION("""COMPUTED_VALUE"""),"")</f>
        <v/>
      </c>
      <c r="O4252" s="87" t="str">
        <f>IFERROR(__xludf.DUMMYFUNCTION("""COMPUTED_VALUE"""),"https://drive.google.com/drive/folders/10T2cTQHqEJZqE-st6uFKPoI?usp=share_link")</f>
        <v>https://drive.google.com/drive/folders/10T2cTQHqEJZqE-st6uFKPoI?usp=share_link</v>
      </c>
      <c r="P4252" s="6" t="str">
        <f>IFERROR(__xludf.DUMMYFUNCTION("""COMPUTED_VALUE"""),"Yoseph Galvan Lopez")</f>
        <v>Yoseph Galvan Lopez</v>
      </c>
      <c r="Q4252" s="6" t="str">
        <f>IFERROR(__xludf.DUMMYFUNCTION("""COMPUTED_VALUE"""),"L1")</f>
        <v>L1</v>
      </c>
      <c r="R4252" s="6">
        <f>IFERROR(__xludf.DUMMYFUNCTION("""COMPUTED_VALUE"""),1.0)</f>
        <v>1</v>
      </c>
      <c r="S4252" s="6" t="str">
        <f>IFERROR(__xludf.DUMMYFUNCTION("""COMPUTED_VALUE""")," ")</f>
        <v> </v>
      </c>
      <c r="T4252" s="6" t="str">
        <f>IFERROR(__xludf.DUMMYFUNCTION("""COMPUTED_VALUE"""),"")</f>
        <v/>
      </c>
      <c r="U4252" s="6" t="str">
        <f>IFERROR(__xludf.DUMMYFUNCTION("""COMPUTED_VALUE"""),"2")</f>
        <v>2</v>
      </c>
      <c r="V4252" s="6" t="str">
        <f>IFERROR(__xludf.DUMMYFUNCTION("""COMPUTED_VALUE"""),"")</f>
        <v/>
      </c>
      <c r="W4252" s="6" t="str">
        <f>IFERROR(__xludf.DUMMYFUNCTION("""COMPUTED_VALUE"""),"[]")</f>
        <v>[]</v>
      </c>
      <c r="X4252" s="6" t="str">
        <f>IFERROR(__xludf.DUMMYFUNCTION("""COMPUTED_VALUE"""),"Enrolled")</f>
        <v>Enrolled</v>
      </c>
    </row>
    <row r="4253">
      <c r="A4253" s="6" t="str">
        <f>IFERROR(__xludf.DUMMYFUNCTION("""COMPUTED_VALUE"""),"083-11540")</f>
        <v>083-11540</v>
      </c>
      <c r="B4253" s="6" t="str">
        <f>IFERROR(__xludf.DUMMYFUNCTION("""COMPUTED_VALUE"""),"83")</f>
        <v>83</v>
      </c>
      <c r="C4253" s="6" t="str">
        <f>IFERROR(__xludf.DUMMYFUNCTION("""COMPUTED_VALUE"""),"11540")</f>
        <v>11540</v>
      </c>
      <c r="D4253" s="6" t="str">
        <f>IFERROR(__xludf.DUMMYFUNCTION("""COMPUTED_VALUE"""),"Gael")</f>
        <v>Gael</v>
      </c>
      <c r="E4253" s="6" t="str">
        <f>IFERROR(__xludf.DUMMYFUNCTION("""COMPUTED_VALUE"""),"")</f>
        <v/>
      </c>
      <c r="F4253" s="6" t="str">
        <f>IFERROR(__xludf.DUMMYFUNCTION("""COMPUTED_VALUE"""),"Garcia")</f>
        <v>Garcia</v>
      </c>
      <c r="G4253" s="6" t="str">
        <f>IFERROR(__xludf.DUMMYFUNCTION("""COMPUTED_VALUE"""),"06/05/2018")</f>
        <v>06/05/2018</v>
      </c>
      <c r="H4253" s="6" t="str">
        <f>IFERROR(__xludf.DUMMYFUNCTION("""COMPUTED_VALUE"""),"male")</f>
        <v>male</v>
      </c>
      <c r="I4253" s="6" t="str">
        <f>IFERROR(__xludf.DUMMYFUNCTION("""COMPUTED_VALUE"""),"Level 1")</f>
        <v>Level 1</v>
      </c>
      <c r="J4253" s="6" t="str">
        <f>IFERROR(__xludf.DUMMYFUNCTION("""COMPUTED_VALUE"""),"2")</f>
        <v>2</v>
      </c>
      <c r="K4253" s="6" t="str">
        <f>IFERROR(__xludf.DUMMYFUNCTION("""COMPUTED_VALUE"""),"gael.garcia@2hourlearning.com")</f>
        <v>gael.garcia@2hourlearning.com</v>
      </c>
      <c r="L4253" s="6" t="str">
        <f>IFERROR(__xludf.DUMMYFUNCTION("""COMPUTED_VALUE"""),"JHES - Hardeeville Elementary School")</f>
        <v>JHES - Hardeeville Elementary School</v>
      </c>
      <c r="M4253" s="6" t="str">
        <f>IFERROR(__xludf.DUMMYFUNCTION("""COMPUTED_VALUE"""),"")</f>
        <v/>
      </c>
      <c r="N4253" s="6" t="str">
        <f>IFERROR(__xludf.DUMMYFUNCTION("""COMPUTED_VALUE"""),"")</f>
        <v/>
      </c>
      <c r="O4253" s="87" t="str">
        <f>IFERROR(__xludf.DUMMYFUNCTION("""COMPUTED_VALUE"""),"https://drive.google.com/drive/folders/10T2cTQHqEJZqE-st6uFKPoI?usp=share_link")</f>
        <v>https://drive.google.com/drive/folders/10T2cTQHqEJZqE-st6uFKPoI?usp=share_link</v>
      </c>
      <c r="P4253" s="6" t="str">
        <f>IFERROR(__xludf.DUMMYFUNCTION("""COMPUTED_VALUE"""),"Gael Garcia")</f>
        <v>Gael Garcia</v>
      </c>
      <c r="Q4253" s="6" t="str">
        <f>IFERROR(__xludf.DUMMYFUNCTION("""COMPUTED_VALUE"""),"L1")</f>
        <v>L1</v>
      </c>
      <c r="R4253" s="6">
        <f>IFERROR(__xludf.DUMMYFUNCTION("""COMPUTED_VALUE"""),1.0)</f>
        <v>1</v>
      </c>
      <c r="S4253" s="6" t="str">
        <f>IFERROR(__xludf.DUMMYFUNCTION("""COMPUTED_VALUE""")," ")</f>
        <v> </v>
      </c>
      <c r="T4253" s="6" t="str">
        <f>IFERROR(__xludf.DUMMYFUNCTION("""COMPUTED_VALUE"""),"")</f>
        <v/>
      </c>
      <c r="U4253" s="6" t="str">
        <f>IFERROR(__xludf.DUMMYFUNCTION("""COMPUTED_VALUE"""),"2")</f>
        <v>2</v>
      </c>
      <c r="V4253" s="6" t="str">
        <f>IFERROR(__xludf.DUMMYFUNCTION("""COMPUTED_VALUE"""),"")</f>
        <v/>
      </c>
      <c r="W4253" s="6" t="str">
        <f>IFERROR(__xludf.DUMMYFUNCTION("""COMPUTED_VALUE"""),"[]")</f>
        <v>[]</v>
      </c>
      <c r="X4253" s="6" t="str">
        <f>IFERROR(__xludf.DUMMYFUNCTION("""COMPUTED_VALUE"""),"Enrolled")</f>
        <v>Enrolled</v>
      </c>
    </row>
    <row r="4254">
      <c r="A4254" s="6" t="str">
        <f>IFERROR(__xludf.DUMMYFUNCTION("""COMPUTED_VALUE"""),"083-11541")</f>
        <v>083-11541</v>
      </c>
      <c r="B4254" s="6" t="str">
        <f>IFERROR(__xludf.DUMMYFUNCTION("""COMPUTED_VALUE"""),"83")</f>
        <v>83</v>
      </c>
      <c r="C4254" s="6" t="str">
        <f>IFERROR(__xludf.DUMMYFUNCTION("""COMPUTED_VALUE"""),"11541")</f>
        <v>11541</v>
      </c>
      <c r="D4254" s="6" t="str">
        <f>IFERROR(__xludf.DUMMYFUNCTION("""COMPUTED_VALUE"""),"Francisco")</f>
        <v>Francisco</v>
      </c>
      <c r="E4254" s="6" t="str">
        <f>IFERROR(__xludf.DUMMYFUNCTION("""COMPUTED_VALUE"""),"")</f>
        <v/>
      </c>
      <c r="F4254" s="6" t="str">
        <f>IFERROR(__xludf.DUMMYFUNCTION("""COMPUTED_VALUE"""),"Garcia Maldonado")</f>
        <v>Garcia Maldonado</v>
      </c>
      <c r="G4254" s="6" t="str">
        <f>IFERROR(__xludf.DUMMYFUNCTION("""COMPUTED_VALUE"""),"01/31/2018")</f>
        <v>01/31/2018</v>
      </c>
      <c r="H4254" s="6" t="str">
        <f>IFERROR(__xludf.DUMMYFUNCTION("""COMPUTED_VALUE"""),"male")</f>
        <v>male</v>
      </c>
      <c r="I4254" s="6" t="str">
        <f>IFERROR(__xludf.DUMMYFUNCTION("""COMPUTED_VALUE"""),"Level 1")</f>
        <v>Level 1</v>
      </c>
      <c r="J4254" s="6" t="str">
        <f>IFERROR(__xludf.DUMMYFUNCTION("""COMPUTED_VALUE"""),"2")</f>
        <v>2</v>
      </c>
      <c r="K4254" s="6" t="str">
        <f>IFERROR(__xludf.DUMMYFUNCTION("""COMPUTED_VALUE"""),"francisco.garciamaldonado@2hourlearning.com")</f>
        <v>francisco.garciamaldonado@2hourlearning.com</v>
      </c>
      <c r="L4254" s="6" t="str">
        <f>IFERROR(__xludf.DUMMYFUNCTION("""COMPUTED_VALUE"""),"JHES - Hardeeville Elementary School")</f>
        <v>JHES - Hardeeville Elementary School</v>
      </c>
      <c r="M4254" s="6" t="str">
        <f>IFERROR(__xludf.DUMMYFUNCTION("""COMPUTED_VALUE"""),"")</f>
        <v/>
      </c>
      <c r="N4254" s="6" t="str">
        <f>IFERROR(__xludf.DUMMYFUNCTION("""COMPUTED_VALUE"""),"")</f>
        <v/>
      </c>
      <c r="O4254" s="87" t="str">
        <f>IFERROR(__xludf.DUMMYFUNCTION("""COMPUTED_VALUE"""),"https://drive.google.com/drive/folders/10T2cTQHqEJZqE-st6uFKPoI?usp=share_link")</f>
        <v>https://drive.google.com/drive/folders/10T2cTQHqEJZqE-st6uFKPoI?usp=share_link</v>
      </c>
      <c r="P4254" s="6" t="str">
        <f>IFERROR(__xludf.DUMMYFUNCTION("""COMPUTED_VALUE"""),"Francisco Garcia Maldonado")</f>
        <v>Francisco Garcia Maldonado</v>
      </c>
      <c r="Q4254" s="6" t="str">
        <f>IFERROR(__xludf.DUMMYFUNCTION("""COMPUTED_VALUE"""),"L1")</f>
        <v>L1</v>
      </c>
      <c r="R4254" s="6">
        <f>IFERROR(__xludf.DUMMYFUNCTION("""COMPUTED_VALUE"""),1.0)</f>
        <v>1</v>
      </c>
      <c r="S4254" s="6" t="str">
        <f>IFERROR(__xludf.DUMMYFUNCTION("""COMPUTED_VALUE""")," ")</f>
        <v> </v>
      </c>
      <c r="T4254" s="6" t="str">
        <f>IFERROR(__xludf.DUMMYFUNCTION("""COMPUTED_VALUE"""),"")</f>
        <v/>
      </c>
      <c r="U4254" s="6" t="str">
        <f>IFERROR(__xludf.DUMMYFUNCTION("""COMPUTED_VALUE"""),"2")</f>
        <v>2</v>
      </c>
      <c r="V4254" s="6" t="str">
        <f>IFERROR(__xludf.DUMMYFUNCTION("""COMPUTED_VALUE"""),"")</f>
        <v/>
      </c>
      <c r="W4254" s="6" t="str">
        <f>IFERROR(__xludf.DUMMYFUNCTION("""COMPUTED_VALUE"""),"[]")</f>
        <v>[]</v>
      </c>
      <c r="X4254" s="6" t="str">
        <f>IFERROR(__xludf.DUMMYFUNCTION("""COMPUTED_VALUE"""),"Enrolled")</f>
        <v>Enrolled</v>
      </c>
    </row>
    <row r="4255">
      <c r="A4255" s="6" t="str">
        <f>IFERROR(__xludf.DUMMYFUNCTION("""COMPUTED_VALUE"""),"083-11542")</f>
        <v>083-11542</v>
      </c>
      <c r="B4255" s="6" t="str">
        <f>IFERROR(__xludf.DUMMYFUNCTION("""COMPUTED_VALUE"""),"83")</f>
        <v>83</v>
      </c>
      <c r="C4255" s="6" t="str">
        <f>IFERROR(__xludf.DUMMYFUNCTION("""COMPUTED_VALUE"""),"11542")</f>
        <v>11542</v>
      </c>
      <c r="D4255" s="6" t="str">
        <f>IFERROR(__xludf.DUMMYFUNCTION("""COMPUTED_VALUE"""),"Dylan")</f>
        <v>Dylan</v>
      </c>
      <c r="E4255" s="6" t="str">
        <f>IFERROR(__xludf.DUMMYFUNCTION("""COMPUTED_VALUE"""),"")</f>
        <v/>
      </c>
      <c r="F4255" s="6" t="str">
        <f>IFERROR(__xludf.DUMMYFUNCTION("""COMPUTED_VALUE"""),"Garcia Rodriguez")</f>
        <v>Garcia Rodriguez</v>
      </c>
      <c r="G4255" s="6" t="str">
        <f>IFERROR(__xludf.DUMMYFUNCTION("""COMPUTED_VALUE"""),"07/16/2018")</f>
        <v>07/16/2018</v>
      </c>
      <c r="H4255" s="6" t="str">
        <f>IFERROR(__xludf.DUMMYFUNCTION("""COMPUTED_VALUE"""),"male")</f>
        <v>male</v>
      </c>
      <c r="I4255" s="6" t="str">
        <f>IFERROR(__xludf.DUMMYFUNCTION("""COMPUTED_VALUE"""),"Level 1")</f>
        <v>Level 1</v>
      </c>
      <c r="J4255" s="6" t="str">
        <f>IFERROR(__xludf.DUMMYFUNCTION("""COMPUTED_VALUE"""),"2")</f>
        <v>2</v>
      </c>
      <c r="K4255" s="6" t="str">
        <f>IFERROR(__xludf.DUMMYFUNCTION("""COMPUTED_VALUE"""),"dylan.garciarodriguez@2hourlearning.com")</f>
        <v>dylan.garciarodriguez@2hourlearning.com</v>
      </c>
      <c r="L4255" s="6" t="str">
        <f>IFERROR(__xludf.DUMMYFUNCTION("""COMPUTED_VALUE"""),"JHES - Hardeeville Elementary School")</f>
        <v>JHES - Hardeeville Elementary School</v>
      </c>
      <c r="M4255" s="6" t="str">
        <f>IFERROR(__xludf.DUMMYFUNCTION("""COMPUTED_VALUE"""),"")</f>
        <v/>
      </c>
      <c r="N4255" s="6" t="str">
        <f>IFERROR(__xludf.DUMMYFUNCTION("""COMPUTED_VALUE"""),"")</f>
        <v/>
      </c>
      <c r="O4255" s="87" t="str">
        <f>IFERROR(__xludf.DUMMYFUNCTION("""COMPUTED_VALUE"""),"https://drive.google.com/drive/folders/10T2cTQHqEJZqE-st6uFKPoI?usp=share_link")</f>
        <v>https://drive.google.com/drive/folders/10T2cTQHqEJZqE-st6uFKPoI?usp=share_link</v>
      </c>
      <c r="P4255" s="6" t="str">
        <f>IFERROR(__xludf.DUMMYFUNCTION("""COMPUTED_VALUE"""),"Dylan Garcia Rodriguez")</f>
        <v>Dylan Garcia Rodriguez</v>
      </c>
      <c r="Q4255" s="6" t="str">
        <f>IFERROR(__xludf.DUMMYFUNCTION("""COMPUTED_VALUE"""),"L1")</f>
        <v>L1</v>
      </c>
      <c r="R4255" s="6">
        <f>IFERROR(__xludf.DUMMYFUNCTION("""COMPUTED_VALUE"""),1.0)</f>
        <v>1</v>
      </c>
      <c r="S4255" s="6" t="str">
        <f>IFERROR(__xludf.DUMMYFUNCTION("""COMPUTED_VALUE""")," ")</f>
        <v> </v>
      </c>
      <c r="T4255" s="6" t="str">
        <f>IFERROR(__xludf.DUMMYFUNCTION("""COMPUTED_VALUE"""),"")</f>
        <v/>
      </c>
      <c r="U4255" s="6" t="str">
        <f>IFERROR(__xludf.DUMMYFUNCTION("""COMPUTED_VALUE"""),"2")</f>
        <v>2</v>
      </c>
      <c r="V4255" s="6" t="str">
        <f>IFERROR(__xludf.DUMMYFUNCTION("""COMPUTED_VALUE"""),"")</f>
        <v/>
      </c>
      <c r="W4255" s="6" t="str">
        <f>IFERROR(__xludf.DUMMYFUNCTION("""COMPUTED_VALUE"""),"[]")</f>
        <v>[]</v>
      </c>
      <c r="X4255" s="6" t="str">
        <f>IFERROR(__xludf.DUMMYFUNCTION("""COMPUTED_VALUE"""),"Enrolled")</f>
        <v>Enrolled</v>
      </c>
    </row>
    <row r="4256">
      <c r="A4256" s="6" t="str">
        <f>IFERROR(__xludf.DUMMYFUNCTION("""COMPUTED_VALUE"""),"083-11543")</f>
        <v>083-11543</v>
      </c>
      <c r="B4256" s="6" t="str">
        <f>IFERROR(__xludf.DUMMYFUNCTION("""COMPUTED_VALUE"""),"83")</f>
        <v>83</v>
      </c>
      <c r="C4256" s="6" t="str">
        <f>IFERROR(__xludf.DUMMYFUNCTION("""COMPUTED_VALUE"""),"11543")</f>
        <v>11543</v>
      </c>
      <c r="D4256" s="6" t="str">
        <f>IFERROR(__xludf.DUMMYFUNCTION("""COMPUTED_VALUE"""),"Noah")</f>
        <v>Noah</v>
      </c>
      <c r="E4256" s="6" t="str">
        <f>IFERROR(__xludf.DUMMYFUNCTION("""COMPUTED_VALUE"""),"")</f>
        <v/>
      </c>
      <c r="F4256" s="6" t="str">
        <f>IFERROR(__xludf.DUMMYFUNCTION("""COMPUTED_VALUE"""),"Gomez")</f>
        <v>Gomez</v>
      </c>
      <c r="G4256" s="6" t="str">
        <f>IFERROR(__xludf.DUMMYFUNCTION("""COMPUTED_VALUE"""),"07/15/2017")</f>
        <v>07/15/2017</v>
      </c>
      <c r="H4256" s="6" t="str">
        <f>IFERROR(__xludf.DUMMYFUNCTION("""COMPUTED_VALUE"""),"male")</f>
        <v>male</v>
      </c>
      <c r="I4256" s="6" t="str">
        <f>IFERROR(__xludf.DUMMYFUNCTION("""COMPUTED_VALUE"""),"Level 1")</f>
        <v>Level 1</v>
      </c>
      <c r="J4256" s="6" t="str">
        <f>IFERROR(__xludf.DUMMYFUNCTION("""COMPUTED_VALUE"""),"2")</f>
        <v>2</v>
      </c>
      <c r="K4256" s="6" t="str">
        <f>IFERROR(__xludf.DUMMYFUNCTION("""COMPUTED_VALUE"""),"noah.gomez@2hourlearning.com")</f>
        <v>noah.gomez@2hourlearning.com</v>
      </c>
      <c r="L4256" s="6" t="str">
        <f>IFERROR(__xludf.DUMMYFUNCTION("""COMPUTED_VALUE"""),"JHES - Hardeeville Elementary School")</f>
        <v>JHES - Hardeeville Elementary School</v>
      </c>
      <c r="M4256" s="6" t="str">
        <f>IFERROR(__xludf.DUMMYFUNCTION("""COMPUTED_VALUE"""),"")</f>
        <v/>
      </c>
      <c r="N4256" s="6" t="str">
        <f>IFERROR(__xludf.DUMMYFUNCTION("""COMPUTED_VALUE"""),"")</f>
        <v/>
      </c>
      <c r="O4256" s="87" t="str">
        <f>IFERROR(__xludf.DUMMYFUNCTION("""COMPUTED_VALUE"""),"https://drive.google.com/drive/folders/10T2cTQHqEJZqE-st6uFKPoI?usp=share_link")</f>
        <v>https://drive.google.com/drive/folders/10T2cTQHqEJZqE-st6uFKPoI?usp=share_link</v>
      </c>
      <c r="P4256" s="6" t="str">
        <f>IFERROR(__xludf.DUMMYFUNCTION("""COMPUTED_VALUE"""),"Noah Gomez")</f>
        <v>Noah Gomez</v>
      </c>
      <c r="Q4256" s="6" t="str">
        <f>IFERROR(__xludf.DUMMYFUNCTION("""COMPUTED_VALUE"""),"L1")</f>
        <v>L1</v>
      </c>
      <c r="R4256" s="6">
        <f>IFERROR(__xludf.DUMMYFUNCTION("""COMPUTED_VALUE"""),1.0)</f>
        <v>1</v>
      </c>
      <c r="S4256" s="6" t="str">
        <f>IFERROR(__xludf.DUMMYFUNCTION("""COMPUTED_VALUE""")," ")</f>
        <v> </v>
      </c>
      <c r="T4256" s="6" t="str">
        <f>IFERROR(__xludf.DUMMYFUNCTION("""COMPUTED_VALUE"""),"")</f>
        <v/>
      </c>
      <c r="U4256" s="6" t="str">
        <f>IFERROR(__xludf.DUMMYFUNCTION("""COMPUTED_VALUE"""),"2")</f>
        <v>2</v>
      </c>
      <c r="V4256" s="6" t="str">
        <f>IFERROR(__xludf.DUMMYFUNCTION("""COMPUTED_VALUE"""),"")</f>
        <v/>
      </c>
      <c r="W4256" s="6" t="str">
        <f>IFERROR(__xludf.DUMMYFUNCTION("""COMPUTED_VALUE"""),"[]")</f>
        <v>[]</v>
      </c>
      <c r="X4256" s="6" t="str">
        <f>IFERROR(__xludf.DUMMYFUNCTION("""COMPUTED_VALUE"""),"Enrolled")</f>
        <v>Enrolled</v>
      </c>
    </row>
    <row r="4257">
      <c r="A4257" s="6" t="str">
        <f>IFERROR(__xludf.DUMMYFUNCTION("""COMPUTED_VALUE"""),"083-11544")</f>
        <v>083-11544</v>
      </c>
      <c r="B4257" s="6" t="str">
        <f>IFERROR(__xludf.DUMMYFUNCTION("""COMPUTED_VALUE"""),"83")</f>
        <v>83</v>
      </c>
      <c r="C4257" s="6" t="str">
        <f>IFERROR(__xludf.DUMMYFUNCTION("""COMPUTED_VALUE"""),"11544")</f>
        <v>11544</v>
      </c>
      <c r="D4257" s="6" t="str">
        <f>IFERROR(__xludf.DUMMYFUNCTION("""COMPUTED_VALUE"""),"Cris")</f>
        <v>Cris</v>
      </c>
      <c r="E4257" s="6" t="str">
        <f>IFERROR(__xludf.DUMMYFUNCTION("""COMPUTED_VALUE"""),"")</f>
        <v/>
      </c>
      <c r="F4257" s="6" t="str">
        <f>IFERROR(__xludf.DUMMYFUNCTION("""COMPUTED_VALUE"""),"Gomez Garcia")</f>
        <v>Gomez Garcia</v>
      </c>
      <c r="G4257" s="6" t="str">
        <f>IFERROR(__xludf.DUMMYFUNCTION("""COMPUTED_VALUE"""),"06/20/2018")</f>
        <v>06/20/2018</v>
      </c>
      <c r="H4257" s="6" t="str">
        <f>IFERROR(__xludf.DUMMYFUNCTION("""COMPUTED_VALUE"""),"male")</f>
        <v>male</v>
      </c>
      <c r="I4257" s="6" t="str">
        <f>IFERROR(__xludf.DUMMYFUNCTION("""COMPUTED_VALUE"""),"Level 1")</f>
        <v>Level 1</v>
      </c>
      <c r="J4257" s="6" t="str">
        <f>IFERROR(__xludf.DUMMYFUNCTION("""COMPUTED_VALUE"""),"2")</f>
        <v>2</v>
      </c>
      <c r="K4257" s="6" t="str">
        <f>IFERROR(__xludf.DUMMYFUNCTION("""COMPUTED_VALUE"""),"cris.gomezgarcia@2hourlearning.com")</f>
        <v>cris.gomezgarcia@2hourlearning.com</v>
      </c>
      <c r="L4257" s="6" t="str">
        <f>IFERROR(__xludf.DUMMYFUNCTION("""COMPUTED_VALUE"""),"JHES - Hardeeville Elementary School")</f>
        <v>JHES - Hardeeville Elementary School</v>
      </c>
      <c r="M4257" s="6" t="str">
        <f>IFERROR(__xludf.DUMMYFUNCTION("""COMPUTED_VALUE"""),"")</f>
        <v/>
      </c>
      <c r="N4257" s="6" t="str">
        <f>IFERROR(__xludf.DUMMYFUNCTION("""COMPUTED_VALUE"""),"")</f>
        <v/>
      </c>
      <c r="O4257" s="87" t="str">
        <f>IFERROR(__xludf.DUMMYFUNCTION("""COMPUTED_VALUE"""),"https://drive.google.com/drive/folders/10T2cTQHqEJZqE-st6uFKPoI?usp=share_link")</f>
        <v>https://drive.google.com/drive/folders/10T2cTQHqEJZqE-st6uFKPoI?usp=share_link</v>
      </c>
      <c r="P4257" s="6" t="str">
        <f>IFERROR(__xludf.DUMMYFUNCTION("""COMPUTED_VALUE"""),"Cris Gomez Garcia")</f>
        <v>Cris Gomez Garcia</v>
      </c>
      <c r="Q4257" s="6" t="str">
        <f>IFERROR(__xludf.DUMMYFUNCTION("""COMPUTED_VALUE"""),"L1")</f>
        <v>L1</v>
      </c>
      <c r="R4257" s="6">
        <f>IFERROR(__xludf.DUMMYFUNCTION("""COMPUTED_VALUE"""),1.0)</f>
        <v>1</v>
      </c>
      <c r="S4257" s="6" t="str">
        <f>IFERROR(__xludf.DUMMYFUNCTION("""COMPUTED_VALUE""")," ")</f>
        <v> </v>
      </c>
      <c r="T4257" s="6" t="str">
        <f>IFERROR(__xludf.DUMMYFUNCTION("""COMPUTED_VALUE"""),"")</f>
        <v/>
      </c>
      <c r="U4257" s="6" t="str">
        <f>IFERROR(__xludf.DUMMYFUNCTION("""COMPUTED_VALUE"""),"2")</f>
        <v>2</v>
      </c>
      <c r="V4257" s="6" t="str">
        <f>IFERROR(__xludf.DUMMYFUNCTION("""COMPUTED_VALUE"""),"")</f>
        <v/>
      </c>
      <c r="W4257" s="6" t="str">
        <f>IFERROR(__xludf.DUMMYFUNCTION("""COMPUTED_VALUE"""),"[]")</f>
        <v>[]</v>
      </c>
      <c r="X4257" s="6" t="str">
        <f>IFERROR(__xludf.DUMMYFUNCTION("""COMPUTED_VALUE"""),"Enrolled")</f>
        <v>Enrolled</v>
      </c>
    </row>
    <row r="4258">
      <c r="A4258" s="6" t="str">
        <f>IFERROR(__xludf.DUMMYFUNCTION("""COMPUTED_VALUE"""),"083-11545")</f>
        <v>083-11545</v>
      </c>
      <c r="B4258" s="6" t="str">
        <f>IFERROR(__xludf.DUMMYFUNCTION("""COMPUTED_VALUE"""),"83")</f>
        <v>83</v>
      </c>
      <c r="C4258" s="6" t="str">
        <f>IFERROR(__xludf.DUMMYFUNCTION("""COMPUTED_VALUE"""),"11545")</f>
        <v>11545</v>
      </c>
      <c r="D4258" s="6" t="str">
        <f>IFERROR(__xludf.DUMMYFUNCTION("""COMPUTED_VALUE"""),"Bryan")</f>
        <v>Bryan</v>
      </c>
      <c r="E4258" s="6" t="str">
        <f>IFERROR(__xludf.DUMMYFUNCTION("""COMPUTED_VALUE"""),"")</f>
        <v/>
      </c>
      <c r="F4258" s="6" t="str">
        <f>IFERROR(__xludf.DUMMYFUNCTION("""COMPUTED_VALUE"""),"Hernandez Villatoro")</f>
        <v>Hernandez Villatoro</v>
      </c>
      <c r="G4258" s="6" t="str">
        <f>IFERROR(__xludf.DUMMYFUNCTION("""COMPUTED_VALUE"""),"05/27/2018")</f>
        <v>05/27/2018</v>
      </c>
      <c r="H4258" s="6" t="str">
        <f>IFERROR(__xludf.DUMMYFUNCTION("""COMPUTED_VALUE"""),"female")</f>
        <v>female</v>
      </c>
      <c r="I4258" s="6" t="str">
        <f>IFERROR(__xludf.DUMMYFUNCTION("""COMPUTED_VALUE"""),"Level 1")</f>
        <v>Level 1</v>
      </c>
      <c r="J4258" s="6" t="str">
        <f>IFERROR(__xludf.DUMMYFUNCTION("""COMPUTED_VALUE"""),"2")</f>
        <v>2</v>
      </c>
      <c r="K4258" s="6" t="str">
        <f>IFERROR(__xludf.DUMMYFUNCTION("""COMPUTED_VALUE"""),"bryan.hernandezvillatoro@2hourlearning.com")</f>
        <v>bryan.hernandezvillatoro@2hourlearning.com</v>
      </c>
      <c r="L4258" s="6" t="str">
        <f>IFERROR(__xludf.DUMMYFUNCTION("""COMPUTED_VALUE"""),"JHES - Hardeeville Elementary School")</f>
        <v>JHES - Hardeeville Elementary School</v>
      </c>
      <c r="M4258" s="6" t="str">
        <f>IFERROR(__xludf.DUMMYFUNCTION("""COMPUTED_VALUE"""),"")</f>
        <v/>
      </c>
      <c r="N4258" s="6" t="str">
        <f>IFERROR(__xludf.DUMMYFUNCTION("""COMPUTED_VALUE"""),"")</f>
        <v/>
      </c>
      <c r="O4258" s="87" t="str">
        <f>IFERROR(__xludf.DUMMYFUNCTION("""COMPUTED_VALUE"""),"https://drive.google.com/drive/folders/10T2cTQHqEJZqE-st6uFKPoI?usp=share_link")</f>
        <v>https://drive.google.com/drive/folders/10T2cTQHqEJZqE-st6uFKPoI?usp=share_link</v>
      </c>
      <c r="P4258" s="6" t="str">
        <f>IFERROR(__xludf.DUMMYFUNCTION("""COMPUTED_VALUE"""),"Bryan Hernandez Villatoro")</f>
        <v>Bryan Hernandez Villatoro</v>
      </c>
      <c r="Q4258" s="6" t="str">
        <f>IFERROR(__xludf.DUMMYFUNCTION("""COMPUTED_VALUE"""),"L1")</f>
        <v>L1</v>
      </c>
      <c r="R4258" s="6">
        <f>IFERROR(__xludf.DUMMYFUNCTION("""COMPUTED_VALUE"""),1.0)</f>
        <v>1</v>
      </c>
      <c r="S4258" s="6" t="str">
        <f>IFERROR(__xludf.DUMMYFUNCTION("""COMPUTED_VALUE""")," ")</f>
        <v> </v>
      </c>
      <c r="T4258" s="6" t="str">
        <f>IFERROR(__xludf.DUMMYFUNCTION("""COMPUTED_VALUE"""),"")</f>
        <v/>
      </c>
      <c r="U4258" s="6" t="str">
        <f>IFERROR(__xludf.DUMMYFUNCTION("""COMPUTED_VALUE"""),"2")</f>
        <v>2</v>
      </c>
      <c r="V4258" s="6" t="str">
        <f>IFERROR(__xludf.DUMMYFUNCTION("""COMPUTED_VALUE"""),"")</f>
        <v/>
      </c>
      <c r="W4258" s="6" t="str">
        <f>IFERROR(__xludf.DUMMYFUNCTION("""COMPUTED_VALUE"""),"[]")</f>
        <v>[]</v>
      </c>
      <c r="X4258" s="6" t="str">
        <f>IFERROR(__xludf.DUMMYFUNCTION("""COMPUTED_VALUE"""),"Enrolled")</f>
        <v>Enrolled</v>
      </c>
    </row>
    <row r="4259">
      <c r="A4259" s="6" t="str">
        <f>IFERROR(__xludf.DUMMYFUNCTION("""COMPUTED_VALUE"""),"083-11546")</f>
        <v>083-11546</v>
      </c>
      <c r="B4259" s="6" t="str">
        <f>IFERROR(__xludf.DUMMYFUNCTION("""COMPUTED_VALUE"""),"83")</f>
        <v>83</v>
      </c>
      <c r="C4259" s="6" t="str">
        <f>IFERROR(__xludf.DUMMYFUNCTION("""COMPUTED_VALUE"""),"11546")</f>
        <v>11546</v>
      </c>
      <c r="D4259" s="6" t="str">
        <f>IFERROR(__xludf.DUMMYFUNCTION("""COMPUTED_VALUE"""),"Sophia")</f>
        <v>Sophia</v>
      </c>
      <c r="E4259" s="6" t="str">
        <f>IFERROR(__xludf.DUMMYFUNCTION("""COMPUTED_VALUE"""),"")</f>
        <v/>
      </c>
      <c r="F4259" s="6" t="str">
        <f>IFERROR(__xludf.DUMMYFUNCTION("""COMPUTED_VALUE"""),"Jackson")</f>
        <v>Jackson</v>
      </c>
      <c r="G4259" s="6" t="str">
        <f>IFERROR(__xludf.DUMMYFUNCTION("""COMPUTED_VALUE"""),"01/24/2018")</f>
        <v>01/24/2018</v>
      </c>
      <c r="H4259" s="6" t="str">
        <f>IFERROR(__xludf.DUMMYFUNCTION("""COMPUTED_VALUE"""),"female")</f>
        <v>female</v>
      </c>
      <c r="I4259" s="6" t="str">
        <f>IFERROR(__xludf.DUMMYFUNCTION("""COMPUTED_VALUE"""),"Level 1")</f>
        <v>Level 1</v>
      </c>
      <c r="J4259" s="6" t="str">
        <f>IFERROR(__xludf.DUMMYFUNCTION("""COMPUTED_VALUE"""),"2")</f>
        <v>2</v>
      </c>
      <c r="K4259" s="6" t="str">
        <f>IFERROR(__xludf.DUMMYFUNCTION("""COMPUTED_VALUE"""),"sophia.jackson@2hourlearning.com")</f>
        <v>sophia.jackson@2hourlearning.com</v>
      </c>
      <c r="L4259" s="6" t="str">
        <f>IFERROR(__xludf.DUMMYFUNCTION("""COMPUTED_VALUE"""),"JHES - Hardeeville Elementary School")</f>
        <v>JHES - Hardeeville Elementary School</v>
      </c>
      <c r="M4259" s="6" t="str">
        <f>IFERROR(__xludf.DUMMYFUNCTION("""COMPUTED_VALUE"""),"")</f>
        <v/>
      </c>
      <c r="N4259" s="6" t="str">
        <f>IFERROR(__xludf.DUMMYFUNCTION("""COMPUTED_VALUE"""),"")</f>
        <v/>
      </c>
      <c r="O4259" s="87" t="str">
        <f>IFERROR(__xludf.DUMMYFUNCTION("""COMPUTED_VALUE"""),"https://drive.google.com/drive/folders/10T2cTQHqEJZqE-st6uFKPoI?usp=share_link")</f>
        <v>https://drive.google.com/drive/folders/10T2cTQHqEJZqE-st6uFKPoI?usp=share_link</v>
      </c>
      <c r="P4259" s="6" t="str">
        <f>IFERROR(__xludf.DUMMYFUNCTION("""COMPUTED_VALUE"""),"Sophia Jackson")</f>
        <v>Sophia Jackson</v>
      </c>
      <c r="Q4259" s="6" t="str">
        <f>IFERROR(__xludf.DUMMYFUNCTION("""COMPUTED_VALUE"""),"L1")</f>
        <v>L1</v>
      </c>
      <c r="R4259" s="6">
        <f>IFERROR(__xludf.DUMMYFUNCTION("""COMPUTED_VALUE"""),1.0)</f>
        <v>1</v>
      </c>
      <c r="S4259" s="6" t="str">
        <f>IFERROR(__xludf.DUMMYFUNCTION("""COMPUTED_VALUE""")," ")</f>
        <v> </v>
      </c>
      <c r="T4259" s="6" t="str">
        <f>IFERROR(__xludf.DUMMYFUNCTION("""COMPUTED_VALUE"""),"")</f>
        <v/>
      </c>
      <c r="U4259" s="6" t="str">
        <f>IFERROR(__xludf.DUMMYFUNCTION("""COMPUTED_VALUE"""),"2")</f>
        <v>2</v>
      </c>
      <c r="V4259" s="6" t="str">
        <f>IFERROR(__xludf.DUMMYFUNCTION("""COMPUTED_VALUE"""),"")</f>
        <v/>
      </c>
      <c r="W4259" s="6" t="str">
        <f>IFERROR(__xludf.DUMMYFUNCTION("""COMPUTED_VALUE"""),"[]")</f>
        <v>[]</v>
      </c>
      <c r="X4259" s="6" t="str">
        <f>IFERROR(__xludf.DUMMYFUNCTION("""COMPUTED_VALUE"""),"Enrolled")</f>
        <v>Enrolled</v>
      </c>
    </row>
    <row r="4260">
      <c r="A4260" s="6" t="str">
        <f>IFERROR(__xludf.DUMMYFUNCTION("""COMPUTED_VALUE"""),"083-11547")</f>
        <v>083-11547</v>
      </c>
      <c r="B4260" s="6" t="str">
        <f>IFERROR(__xludf.DUMMYFUNCTION("""COMPUTED_VALUE"""),"83")</f>
        <v>83</v>
      </c>
      <c r="C4260" s="6" t="str">
        <f>IFERROR(__xludf.DUMMYFUNCTION("""COMPUTED_VALUE"""),"11547")</f>
        <v>11547</v>
      </c>
      <c r="D4260" s="6" t="str">
        <f>IFERROR(__xludf.DUMMYFUNCTION("""COMPUTED_VALUE"""),"Jaime")</f>
        <v>Jaime</v>
      </c>
      <c r="E4260" s="6" t="str">
        <f>IFERROR(__xludf.DUMMYFUNCTION("""COMPUTED_VALUE"""),"")</f>
        <v/>
      </c>
      <c r="F4260" s="6" t="str">
        <f>IFERROR(__xludf.DUMMYFUNCTION("""COMPUTED_VALUE"""),"Jacobo Izaguirre")</f>
        <v>Jacobo Izaguirre</v>
      </c>
      <c r="G4260" s="6" t="str">
        <f>IFERROR(__xludf.DUMMYFUNCTION("""COMPUTED_VALUE"""),"08/30/2018")</f>
        <v>08/30/2018</v>
      </c>
      <c r="H4260" s="6" t="str">
        <f>IFERROR(__xludf.DUMMYFUNCTION("""COMPUTED_VALUE"""),"male")</f>
        <v>male</v>
      </c>
      <c r="I4260" s="6" t="str">
        <f>IFERROR(__xludf.DUMMYFUNCTION("""COMPUTED_VALUE"""),"Level 1")</f>
        <v>Level 1</v>
      </c>
      <c r="J4260" s="6" t="str">
        <f>IFERROR(__xludf.DUMMYFUNCTION("""COMPUTED_VALUE"""),"2")</f>
        <v>2</v>
      </c>
      <c r="K4260" s="6" t="str">
        <f>IFERROR(__xludf.DUMMYFUNCTION("""COMPUTED_VALUE"""),"jaime.jacoboizaguirre@2hourlearning.com")</f>
        <v>jaime.jacoboizaguirre@2hourlearning.com</v>
      </c>
      <c r="L4260" s="6" t="str">
        <f>IFERROR(__xludf.DUMMYFUNCTION("""COMPUTED_VALUE"""),"JHES - Hardeeville Elementary School")</f>
        <v>JHES - Hardeeville Elementary School</v>
      </c>
      <c r="M4260" s="6" t="str">
        <f>IFERROR(__xludf.DUMMYFUNCTION("""COMPUTED_VALUE"""),"")</f>
        <v/>
      </c>
      <c r="N4260" s="6" t="str">
        <f>IFERROR(__xludf.DUMMYFUNCTION("""COMPUTED_VALUE"""),"")</f>
        <v/>
      </c>
      <c r="O4260" s="87" t="str">
        <f>IFERROR(__xludf.DUMMYFUNCTION("""COMPUTED_VALUE"""),"https://drive.google.com/drive/folders/10T2cTQHqEJZqE-st6uFKPoI?usp=share_link")</f>
        <v>https://drive.google.com/drive/folders/10T2cTQHqEJZqE-st6uFKPoI?usp=share_link</v>
      </c>
      <c r="P4260" s="6" t="str">
        <f>IFERROR(__xludf.DUMMYFUNCTION("""COMPUTED_VALUE"""),"Jaime Jacobo Izaguirre")</f>
        <v>Jaime Jacobo Izaguirre</v>
      </c>
      <c r="Q4260" s="6" t="str">
        <f>IFERROR(__xludf.DUMMYFUNCTION("""COMPUTED_VALUE"""),"L1")</f>
        <v>L1</v>
      </c>
      <c r="R4260" s="6">
        <f>IFERROR(__xludf.DUMMYFUNCTION("""COMPUTED_VALUE"""),1.0)</f>
        <v>1</v>
      </c>
      <c r="S4260" s="6" t="str">
        <f>IFERROR(__xludf.DUMMYFUNCTION("""COMPUTED_VALUE""")," ")</f>
        <v> </v>
      </c>
      <c r="T4260" s="6" t="str">
        <f>IFERROR(__xludf.DUMMYFUNCTION("""COMPUTED_VALUE"""),"")</f>
        <v/>
      </c>
      <c r="U4260" s="6" t="str">
        <f>IFERROR(__xludf.DUMMYFUNCTION("""COMPUTED_VALUE"""),"2")</f>
        <v>2</v>
      </c>
      <c r="V4260" s="6" t="str">
        <f>IFERROR(__xludf.DUMMYFUNCTION("""COMPUTED_VALUE"""),"")</f>
        <v/>
      </c>
      <c r="W4260" s="6" t="str">
        <f>IFERROR(__xludf.DUMMYFUNCTION("""COMPUTED_VALUE"""),"[]")</f>
        <v>[]</v>
      </c>
      <c r="X4260" s="6" t="str">
        <f>IFERROR(__xludf.DUMMYFUNCTION("""COMPUTED_VALUE"""),"Enrolled")</f>
        <v>Enrolled</v>
      </c>
    </row>
    <row r="4261">
      <c r="A4261" s="6" t="str">
        <f>IFERROR(__xludf.DUMMYFUNCTION("""COMPUTED_VALUE"""),"083-11548")</f>
        <v>083-11548</v>
      </c>
      <c r="B4261" s="6" t="str">
        <f>IFERROR(__xludf.DUMMYFUNCTION("""COMPUTED_VALUE"""),"83")</f>
        <v>83</v>
      </c>
      <c r="C4261" s="6" t="str">
        <f>IFERROR(__xludf.DUMMYFUNCTION("""COMPUTED_VALUE"""),"11548")</f>
        <v>11548</v>
      </c>
      <c r="D4261" s="6" t="str">
        <f>IFERROR(__xludf.DUMMYFUNCTION("""COMPUTED_VALUE"""),"Brooks")</f>
        <v>Brooks</v>
      </c>
      <c r="E4261" s="6" t="str">
        <f>IFERROR(__xludf.DUMMYFUNCTION("""COMPUTED_VALUE"""),"")</f>
        <v/>
      </c>
      <c r="F4261" s="6" t="str">
        <f>IFERROR(__xludf.DUMMYFUNCTION("""COMPUTED_VALUE"""),"Kidwell")</f>
        <v>Kidwell</v>
      </c>
      <c r="G4261" s="6" t="str">
        <f>IFERROR(__xludf.DUMMYFUNCTION("""COMPUTED_VALUE"""),"04/18/2018")</f>
        <v>04/18/2018</v>
      </c>
      <c r="H4261" s="6" t="str">
        <f>IFERROR(__xludf.DUMMYFUNCTION("""COMPUTED_VALUE"""),"male")</f>
        <v>male</v>
      </c>
      <c r="I4261" s="6" t="str">
        <f>IFERROR(__xludf.DUMMYFUNCTION("""COMPUTED_VALUE"""),"Level 1")</f>
        <v>Level 1</v>
      </c>
      <c r="J4261" s="6" t="str">
        <f>IFERROR(__xludf.DUMMYFUNCTION("""COMPUTED_VALUE"""),"2")</f>
        <v>2</v>
      </c>
      <c r="K4261" s="6" t="str">
        <f>IFERROR(__xludf.DUMMYFUNCTION("""COMPUTED_VALUE"""),"brooks.kidwell@2hourlearning.com")</f>
        <v>brooks.kidwell@2hourlearning.com</v>
      </c>
      <c r="L4261" s="6" t="str">
        <f>IFERROR(__xludf.DUMMYFUNCTION("""COMPUTED_VALUE"""),"JHES - Hardeeville Elementary School")</f>
        <v>JHES - Hardeeville Elementary School</v>
      </c>
      <c r="M4261" s="6" t="str">
        <f>IFERROR(__xludf.DUMMYFUNCTION("""COMPUTED_VALUE"""),"")</f>
        <v/>
      </c>
      <c r="N4261" s="6" t="str">
        <f>IFERROR(__xludf.DUMMYFUNCTION("""COMPUTED_VALUE"""),"")</f>
        <v/>
      </c>
      <c r="O4261" s="87" t="str">
        <f>IFERROR(__xludf.DUMMYFUNCTION("""COMPUTED_VALUE"""),"https://drive.google.com/drive/folders/10T2cTQHqEJZqE-st6uFKPoI?usp=share_link")</f>
        <v>https://drive.google.com/drive/folders/10T2cTQHqEJZqE-st6uFKPoI?usp=share_link</v>
      </c>
      <c r="P4261" s="6" t="str">
        <f>IFERROR(__xludf.DUMMYFUNCTION("""COMPUTED_VALUE"""),"Brooks Kidwell")</f>
        <v>Brooks Kidwell</v>
      </c>
      <c r="Q4261" s="6" t="str">
        <f>IFERROR(__xludf.DUMMYFUNCTION("""COMPUTED_VALUE"""),"L1")</f>
        <v>L1</v>
      </c>
      <c r="R4261" s="6">
        <f>IFERROR(__xludf.DUMMYFUNCTION("""COMPUTED_VALUE"""),1.0)</f>
        <v>1</v>
      </c>
      <c r="S4261" s="6" t="str">
        <f>IFERROR(__xludf.DUMMYFUNCTION("""COMPUTED_VALUE""")," ")</f>
        <v> </v>
      </c>
      <c r="T4261" s="6" t="str">
        <f>IFERROR(__xludf.DUMMYFUNCTION("""COMPUTED_VALUE"""),"")</f>
        <v/>
      </c>
      <c r="U4261" s="6" t="str">
        <f>IFERROR(__xludf.DUMMYFUNCTION("""COMPUTED_VALUE"""),"2")</f>
        <v>2</v>
      </c>
      <c r="V4261" s="6" t="str">
        <f>IFERROR(__xludf.DUMMYFUNCTION("""COMPUTED_VALUE"""),"")</f>
        <v/>
      </c>
      <c r="W4261" s="6" t="str">
        <f>IFERROR(__xludf.DUMMYFUNCTION("""COMPUTED_VALUE"""),"[]")</f>
        <v>[]</v>
      </c>
      <c r="X4261" s="6" t="str">
        <f>IFERROR(__xludf.DUMMYFUNCTION("""COMPUTED_VALUE"""),"Enrolled")</f>
        <v>Enrolled</v>
      </c>
    </row>
    <row r="4262">
      <c r="A4262" s="6" t="str">
        <f>IFERROR(__xludf.DUMMYFUNCTION("""COMPUTED_VALUE"""),"083-11549")</f>
        <v>083-11549</v>
      </c>
      <c r="B4262" s="6" t="str">
        <f>IFERROR(__xludf.DUMMYFUNCTION("""COMPUTED_VALUE"""),"83")</f>
        <v>83</v>
      </c>
      <c r="C4262" s="6" t="str">
        <f>IFERROR(__xludf.DUMMYFUNCTION("""COMPUTED_VALUE"""),"11549")</f>
        <v>11549</v>
      </c>
      <c r="D4262" s="6" t="str">
        <f>IFERROR(__xludf.DUMMYFUNCTION("""COMPUTED_VALUE"""),"Kristian")</f>
        <v>Kristian</v>
      </c>
      <c r="E4262" s="6" t="str">
        <f>IFERROR(__xludf.DUMMYFUNCTION("""COMPUTED_VALUE"""),"")</f>
        <v/>
      </c>
      <c r="F4262" s="6" t="str">
        <f>IFERROR(__xludf.DUMMYFUNCTION("""COMPUTED_VALUE"""),"Lamana")</f>
        <v>Lamana</v>
      </c>
      <c r="G4262" s="6" t="str">
        <f>IFERROR(__xludf.DUMMYFUNCTION("""COMPUTED_VALUE"""),"05/30/2017")</f>
        <v>05/30/2017</v>
      </c>
      <c r="H4262" s="6" t="str">
        <f>IFERROR(__xludf.DUMMYFUNCTION("""COMPUTED_VALUE"""),"male")</f>
        <v>male</v>
      </c>
      <c r="I4262" s="6" t="str">
        <f>IFERROR(__xludf.DUMMYFUNCTION("""COMPUTED_VALUE"""),"Level 1")</f>
        <v>Level 1</v>
      </c>
      <c r="J4262" s="6" t="str">
        <f>IFERROR(__xludf.DUMMYFUNCTION("""COMPUTED_VALUE"""),"2")</f>
        <v>2</v>
      </c>
      <c r="K4262" s="6" t="str">
        <f>IFERROR(__xludf.DUMMYFUNCTION("""COMPUTED_VALUE"""),"kristian.lamana@2hourlearning.com")</f>
        <v>kristian.lamana@2hourlearning.com</v>
      </c>
      <c r="L4262" s="6" t="str">
        <f>IFERROR(__xludf.DUMMYFUNCTION("""COMPUTED_VALUE"""),"JHES - Hardeeville Elementary School")</f>
        <v>JHES - Hardeeville Elementary School</v>
      </c>
      <c r="M4262" s="6" t="str">
        <f>IFERROR(__xludf.DUMMYFUNCTION("""COMPUTED_VALUE"""),"")</f>
        <v/>
      </c>
      <c r="N4262" s="6" t="str">
        <f>IFERROR(__xludf.DUMMYFUNCTION("""COMPUTED_VALUE"""),"")</f>
        <v/>
      </c>
      <c r="O4262" s="87" t="str">
        <f>IFERROR(__xludf.DUMMYFUNCTION("""COMPUTED_VALUE"""),"https://drive.google.com/drive/folders/10T2cTQHqEJZqE-st6uFKPoI?usp=share_link")</f>
        <v>https://drive.google.com/drive/folders/10T2cTQHqEJZqE-st6uFKPoI?usp=share_link</v>
      </c>
      <c r="P4262" s="6" t="str">
        <f>IFERROR(__xludf.DUMMYFUNCTION("""COMPUTED_VALUE"""),"Kristian Lamana")</f>
        <v>Kristian Lamana</v>
      </c>
      <c r="Q4262" s="6" t="str">
        <f>IFERROR(__xludf.DUMMYFUNCTION("""COMPUTED_VALUE"""),"L1")</f>
        <v>L1</v>
      </c>
      <c r="R4262" s="6">
        <f>IFERROR(__xludf.DUMMYFUNCTION("""COMPUTED_VALUE"""),1.0)</f>
        <v>1</v>
      </c>
      <c r="S4262" s="6" t="str">
        <f>IFERROR(__xludf.DUMMYFUNCTION("""COMPUTED_VALUE""")," ")</f>
        <v> </v>
      </c>
      <c r="T4262" s="6" t="str">
        <f>IFERROR(__xludf.DUMMYFUNCTION("""COMPUTED_VALUE"""),"")</f>
        <v/>
      </c>
      <c r="U4262" s="6" t="str">
        <f>IFERROR(__xludf.DUMMYFUNCTION("""COMPUTED_VALUE"""),"2")</f>
        <v>2</v>
      </c>
      <c r="V4262" s="6" t="str">
        <f>IFERROR(__xludf.DUMMYFUNCTION("""COMPUTED_VALUE"""),"")</f>
        <v/>
      </c>
      <c r="W4262" s="6" t="str">
        <f>IFERROR(__xludf.DUMMYFUNCTION("""COMPUTED_VALUE"""),"[]")</f>
        <v>[]</v>
      </c>
      <c r="X4262" s="6" t="str">
        <f>IFERROR(__xludf.DUMMYFUNCTION("""COMPUTED_VALUE"""),"Enrolled")</f>
        <v>Enrolled</v>
      </c>
    </row>
    <row r="4263">
      <c r="A4263" s="6" t="str">
        <f>IFERROR(__xludf.DUMMYFUNCTION("""COMPUTED_VALUE"""),"083-11550")</f>
        <v>083-11550</v>
      </c>
      <c r="B4263" s="6" t="str">
        <f>IFERROR(__xludf.DUMMYFUNCTION("""COMPUTED_VALUE"""),"83")</f>
        <v>83</v>
      </c>
      <c r="C4263" s="6" t="str">
        <f>IFERROR(__xludf.DUMMYFUNCTION("""COMPUTED_VALUE"""),"11550")</f>
        <v>11550</v>
      </c>
      <c r="D4263" s="6" t="str">
        <f>IFERROR(__xludf.DUMMYFUNCTION("""COMPUTED_VALUE"""),"Cristel")</f>
        <v>Cristel</v>
      </c>
      <c r="E4263" s="6" t="str">
        <f>IFERROR(__xludf.DUMMYFUNCTION("""COMPUTED_VALUE"""),"")</f>
        <v/>
      </c>
      <c r="F4263" s="6" t="str">
        <f>IFERROR(__xludf.DUMMYFUNCTION("""COMPUTED_VALUE"""),"Maradiaga Enamorado")</f>
        <v>Maradiaga Enamorado</v>
      </c>
      <c r="G4263" s="6" t="str">
        <f>IFERROR(__xludf.DUMMYFUNCTION("""COMPUTED_VALUE"""),"04/01/2018")</f>
        <v>04/01/2018</v>
      </c>
      <c r="H4263" s="6" t="str">
        <f>IFERROR(__xludf.DUMMYFUNCTION("""COMPUTED_VALUE"""),"female")</f>
        <v>female</v>
      </c>
      <c r="I4263" s="6" t="str">
        <f>IFERROR(__xludf.DUMMYFUNCTION("""COMPUTED_VALUE"""),"Level 1")</f>
        <v>Level 1</v>
      </c>
      <c r="J4263" s="6" t="str">
        <f>IFERROR(__xludf.DUMMYFUNCTION("""COMPUTED_VALUE"""),"2")</f>
        <v>2</v>
      </c>
      <c r="K4263" s="6" t="str">
        <f>IFERROR(__xludf.DUMMYFUNCTION("""COMPUTED_VALUE"""),"cristel.maradiagaenamorado@2hourlearning.com")</f>
        <v>cristel.maradiagaenamorado@2hourlearning.com</v>
      </c>
      <c r="L4263" s="6" t="str">
        <f>IFERROR(__xludf.DUMMYFUNCTION("""COMPUTED_VALUE"""),"JHES - Hardeeville Elementary School")</f>
        <v>JHES - Hardeeville Elementary School</v>
      </c>
      <c r="M4263" s="6" t="str">
        <f>IFERROR(__xludf.DUMMYFUNCTION("""COMPUTED_VALUE"""),"")</f>
        <v/>
      </c>
      <c r="N4263" s="6" t="str">
        <f>IFERROR(__xludf.DUMMYFUNCTION("""COMPUTED_VALUE"""),"")</f>
        <v/>
      </c>
      <c r="O4263" s="87" t="str">
        <f>IFERROR(__xludf.DUMMYFUNCTION("""COMPUTED_VALUE"""),"https://drive.google.com/drive/folders/10T2cTQHqEJZqE-st6uFKPoI?usp=share_link")</f>
        <v>https://drive.google.com/drive/folders/10T2cTQHqEJZqE-st6uFKPoI?usp=share_link</v>
      </c>
      <c r="P4263" s="6" t="str">
        <f>IFERROR(__xludf.DUMMYFUNCTION("""COMPUTED_VALUE"""),"Cristel Maradiaga Enamorado")</f>
        <v>Cristel Maradiaga Enamorado</v>
      </c>
      <c r="Q4263" s="6" t="str">
        <f>IFERROR(__xludf.DUMMYFUNCTION("""COMPUTED_VALUE"""),"L1")</f>
        <v>L1</v>
      </c>
      <c r="R4263" s="6">
        <f>IFERROR(__xludf.DUMMYFUNCTION("""COMPUTED_VALUE"""),1.0)</f>
        <v>1</v>
      </c>
      <c r="S4263" s="6" t="str">
        <f>IFERROR(__xludf.DUMMYFUNCTION("""COMPUTED_VALUE""")," ")</f>
        <v> </v>
      </c>
      <c r="T4263" s="6" t="str">
        <f>IFERROR(__xludf.DUMMYFUNCTION("""COMPUTED_VALUE"""),"")</f>
        <v/>
      </c>
      <c r="U4263" s="6" t="str">
        <f>IFERROR(__xludf.DUMMYFUNCTION("""COMPUTED_VALUE"""),"2")</f>
        <v>2</v>
      </c>
      <c r="V4263" s="6" t="str">
        <f>IFERROR(__xludf.DUMMYFUNCTION("""COMPUTED_VALUE"""),"")</f>
        <v/>
      </c>
      <c r="W4263" s="6" t="str">
        <f>IFERROR(__xludf.DUMMYFUNCTION("""COMPUTED_VALUE"""),"[]")</f>
        <v>[]</v>
      </c>
      <c r="X4263" s="6" t="str">
        <f>IFERROR(__xludf.DUMMYFUNCTION("""COMPUTED_VALUE"""),"Enrolled")</f>
        <v>Enrolled</v>
      </c>
    </row>
    <row r="4264">
      <c r="A4264" s="6" t="str">
        <f>IFERROR(__xludf.DUMMYFUNCTION("""COMPUTED_VALUE"""),"083-11551")</f>
        <v>083-11551</v>
      </c>
      <c r="B4264" s="6" t="str">
        <f>IFERROR(__xludf.DUMMYFUNCTION("""COMPUTED_VALUE"""),"83")</f>
        <v>83</v>
      </c>
      <c r="C4264" s="6" t="str">
        <f>IFERROR(__xludf.DUMMYFUNCTION("""COMPUTED_VALUE"""),"11551")</f>
        <v>11551</v>
      </c>
      <c r="D4264" s="6" t="str">
        <f>IFERROR(__xludf.DUMMYFUNCTION("""COMPUTED_VALUE"""),"Marley")</f>
        <v>Marley</v>
      </c>
      <c r="E4264" s="6" t="str">
        <f>IFERROR(__xludf.DUMMYFUNCTION("""COMPUTED_VALUE"""),"")</f>
        <v/>
      </c>
      <c r="F4264" s="6" t="str">
        <f>IFERROR(__xludf.DUMMYFUNCTION("""COMPUTED_VALUE"""),"Martin")</f>
        <v>Martin</v>
      </c>
      <c r="G4264" s="6" t="str">
        <f>IFERROR(__xludf.DUMMYFUNCTION("""COMPUTED_VALUE"""),"12/29/2017")</f>
        <v>12/29/2017</v>
      </c>
      <c r="H4264" s="6" t="str">
        <f>IFERROR(__xludf.DUMMYFUNCTION("""COMPUTED_VALUE"""),"female")</f>
        <v>female</v>
      </c>
      <c r="I4264" s="6" t="str">
        <f>IFERROR(__xludf.DUMMYFUNCTION("""COMPUTED_VALUE"""),"Level 1")</f>
        <v>Level 1</v>
      </c>
      <c r="J4264" s="6" t="str">
        <f>IFERROR(__xludf.DUMMYFUNCTION("""COMPUTED_VALUE"""),"2")</f>
        <v>2</v>
      </c>
      <c r="K4264" s="6" t="str">
        <f>IFERROR(__xludf.DUMMYFUNCTION("""COMPUTED_VALUE"""),"marley.martin@2hourlearning.com")</f>
        <v>marley.martin@2hourlearning.com</v>
      </c>
      <c r="L4264" s="6" t="str">
        <f>IFERROR(__xludf.DUMMYFUNCTION("""COMPUTED_VALUE"""),"JHES - Hardeeville Elementary School")</f>
        <v>JHES - Hardeeville Elementary School</v>
      </c>
      <c r="M4264" s="6" t="str">
        <f>IFERROR(__xludf.DUMMYFUNCTION("""COMPUTED_VALUE"""),"")</f>
        <v/>
      </c>
      <c r="N4264" s="6" t="str">
        <f>IFERROR(__xludf.DUMMYFUNCTION("""COMPUTED_VALUE"""),"")</f>
        <v/>
      </c>
      <c r="O4264" s="87" t="str">
        <f>IFERROR(__xludf.DUMMYFUNCTION("""COMPUTED_VALUE"""),"https://drive.google.com/drive/folders/10T2cTQHqEJZqE-st6uFKPoI?usp=share_link")</f>
        <v>https://drive.google.com/drive/folders/10T2cTQHqEJZqE-st6uFKPoI?usp=share_link</v>
      </c>
      <c r="P4264" s="6" t="str">
        <f>IFERROR(__xludf.DUMMYFUNCTION("""COMPUTED_VALUE"""),"Marley Martin")</f>
        <v>Marley Martin</v>
      </c>
      <c r="Q4264" s="6" t="str">
        <f>IFERROR(__xludf.DUMMYFUNCTION("""COMPUTED_VALUE"""),"L1")</f>
        <v>L1</v>
      </c>
      <c r="R4264" s="6">
        <f>IFERROR(__xludf.DUMMYFUNCTION("""COMPUTED_VALUE"""),1.0)</f>
        <v>1</v>
      </c>
      <c r="S4264" s="6" t="str">
        <f>IFERROR(__xludf.DUMMYFUNCTION("""COMPUTED_VALUE""")," ")</f>
        <v> </v>
      </c>
      <c r="T4264" s="6" t="str">
        <f>IFERROR(__xludf.DUMMYFUNCTION("""COMPUTED_VALUE"""),"")</f>
        <v/>
      </c>
      <c r="U4264" s="6" t="str">
        <f>IFERROR(__xludf.DUMMYFUNCTION("""COMPUTED_VALUE"""),"2")</f>
        <v>2</v>
      </c>
      <c r="V4264" s="6" t="str">
        <f>IFERROR(__xludf.DUMMYFUNCTION("""COMPUTED_VALUE"""),"")</f>
        <v/>
      </c>
      <c r="W4264" s="6" t="str">
        <f>IFERROR(__xludf.DUMMYFUNCTION("""COMPUTED_VALUE"""),"[]")</f>
        <v>[]</v>
      </c>
      <c r="X4264" s="6" t="str">
        <f>IFERROR(__xludf.DUMMYFUNCTION("""COMPUTED_VALUE"""),"Enrolled")</f>
        <v>Enrolled</v>
      </c>
    </row>
    <row r="4265">
      <c r="A4265" s="6" t="str">
        <f>IFERROR(__xludf.DUMMYFUNCTION("""COMPUTED_VALUE"""),"083-11552")</f>
        <v>083-11552</v>
      </c>
      <c r="B4265" s="6" t="str">
        <f>IFERROR(__xludf.DUMMYFUNCTION("""COMPUTED_VALUE"""),"83")</f>
        <v>83</v>
      </c>
      <c r="C4265" s="6" t="str">
        <f>IFERROR(__xludf.DUMMYFUNCTION("""COMPUTED_VALUE"""),"11552")</f>
        <v>11552</v>
      </c>
      <c r="D4265" s="6" t="str">
        <f>IFERROR(__xludf.DUMMYFUNCTION("""COMPUTED_VALUE"""),"Leah M")</f>
        <v>Leah M</v>
      </c>
      <c r="E4265" s="6" t="str">
        <f>IFERROR(__xludf.DUMMYFUNCTION("""COMPUTED_VALUE"""),"")</f>
        <v/>
      </c>
      <c r="F4265" s="6" t="str">
        <f>IFERROR(__xludf.DUMMYFUNCTION("""COMPUTED_VALUE"""),"Mayorga Diaz")</f>
        <v>Mayorga Diaz</v>
      </c>
      <c r="G4265" s="6" t="str">
        <f>IFERROR(__xludf.DUMMYFUNCTION("""COMPUTED_VALUE"""),"12/06/2017")</f>
        <v>12/06/2017</v>
      </c>
      <c r="H4265" s="6" t="str">
        <f>IFERROR(__xludf.DUMMYFUNCTION("""COMPUTED_VALUE"""),"female")</f>
        <v>female</v>
      </c>
      <c r="I4265" s="6" t="str">
        <f>IFERROR(__xludf.DUMMYFUNCTION("""COMPUTED_VALUE"""),"Level 1")</f>
        <v>Level 1</v>
      </c>
      <c r="J4265" s="6" t="str">
        <f>IFERROR(__xludf.DUMMYFUNCTION("""COMPUTED_VALUE"""),"2")</f>
        <v>2</v>
      </c>
      <c r="K4265" s="6" t="str">
        <f>IFERROR(__xludf.DUMMYFUNCTION("""COMPUTED_VALUE"""),"leahm.mayorgadiaz@2hourlearning.com")</f>
        <v>leahm.mayorgadiaz@2hourlearning.com</v>
      </c>
      <c r="L4265" s="6" t="str">
        <f>IFERROR(__xludf.DUMMYFUNCTION("""COMPUTED_VALUE"""),"JHES - Hardeeville Elementary School")</f>
        <v>JHES - Hardeeville Elementary School</v>
      </c>
      <c r="M4265" s="6" t="str">
        <f>IFERROR(__xludf.DUMMYFUNCTION("""COMPUTED_VALUE"""),"")</f>
        <v/>
      </c>
      <c r="N4265" s="6" t="str">
        <f>IFERROR(__xludf.DUMMYFUNCTION("""COMPUTED_VALUE"""),"")</f>
        <v/>
      </c>
      <c r="O4265" s="87" t="str">
        <f>IFERROR(__xludf.DUMMYFUNCTION("""COMPUTED_VALUE"""),"https://drive.google.com/drive/folders/10T2cTQHqEJZqE-st6uFKPoI?usp=share_link")</f>
        <v>https://drive.google.com/drive/folders/10T2cTQHqEJZqE-st6uFKPoI?usp=share_link</v>
      </c>
      <c r="P4265" s="6" t="str">
        <f>IFERROR(__xludf.DUMMYFUNCTION("""COMPUTED_VALUE"""),"Leah M Mayorga Diaz")</f>
        <v>Leah M Mayorga Diaz</v>
      </c>
      <c r="Q4265" s="6" t="str">
        <f>IFERROR(__xludf.DUMMYFUNCTION("""COMPUTED_VALUE"""),"L1")</f>
        <v>L1</v>
      </c>
      <c r="R4265" s="6">
        <f>IFERROR(__xludf.DUMMYFUNCTION("""COMPUTED_VALUE"""),1.0)</f>
        <v>1</v>
      </c>
      <c r="S4265" s="6" t="str">
        <f>IFERROR(__xludf.DUMMYFUNCTION("""COMPUTED_VALUE""")," ")</f>
        <v> </v>
      </c>
      <c r="T4265" s="6" t="str">
        <f>IFERROR(__xludf.DUMMYFUNCTION("""COMPUTED_VALUE"""),"")</f>
        <v/>
      </c>
      <c r="U4265" s="6" t="str">
        <f>IFERROR(__xludf.DUMMYFUNCTION("""COMPUTED_VALUE"""),"2")</f>
        <v>2</v>
      </c>
      <c r="V4265" s="6" t="str">
        <f>IFERROR(__xludf.DUMMYFUNCTION("""COMPUTED_VALUE"""),"")</f>
        <v/>
      </c>
      <c r="W4265" s="6" t="str">
        <f>IFERROR(__xludf.DUMMYFUNCTION("""COMPUTED_VALUE"""),"[]")</f>
        <v>[]</v>
      </c>
      <c r="X4265" s="6" t="str">
        <f>IFERROR(__xludf.DUMMYFUNCTION("""COMPUTED_VALUE"""),"Enrolled")</f>
        <v>Enrolled</v>
      </c>
    </row>
    <row r="4266">
      <c r="A4266" s="6" t="str">
        <f>IFERROR(__xludf.DUMMYFUNCTION("""COMPUTED_VALUE"""),"083-11553")</f>
        <v>083-11553</v>
      </c>
      <c r="B4266" s="6" t="str">
        <f>IFERROR(__xludf.DUMMYFUNCTION("""COMPUTED_VALUE"""),"83")</f>
        <v>83</v>
      </c>
      <c r="C4266" s="6" t="str">
        <f>IFERROR(__xludf.DUMMYFUNCTION("""COMPUTED_VALUE"""),"11553")</f>
        <v>11553</v>
      </c>
      <c r="D4266" s="6" t="str">
        <f>IFERROR(__xludf.DUMMYFUNCTION("""COMPUTED_VALUE"""),"Jesus")</f>
        <v>Jesus</v>
      </c>
      <c r="E4266" s="6" t="str">
        <f>IFERROR(__xludf.DUMMYFUNCTION("""COMPUTED_VALUE"""),"")</f>
        <v/>
      </c>
      <c r="F4266" s="6" t="str">
        <f>IFERROR(__xludf.DUMMYFUNCTION("""COMPUTED_VALUE"""),"Moreno Romero")</f>
        <v>Moreno Romero</v>
      </c>
      <c r="G4266" s="6" t="str">
        <f>IFERROR(__xludf.DUMMYFUNCTION("""COMPUTED_VALUE"""),"12/25/2017")</f>
        <v>12/25/2017</v>
      </c>
      <c r="H4266" s="6" t="str">
        <f>IFERROR(__xludf.DUMMYFUNCTION("""COMPUTED_VALUE"""),"male")</f>
        <v>male</v>
      </c>
      <c r="I4266" s="6" t="str">
        <f>IFERROR(__xludf.DUMMYFUNCTION("""COMPUTED_VALUE"""),"Level 1")</f>
        <v>Level 1</v>
      </c>
      <c r="J4266" s="6" t="str">
        <f>IFERROR(__xludf.DUMMYFUNCTION("""COMPUTED_VALUE"""),"2")</f>
        <v>2</v>
      </c>
      <c r="K4266" s="6" t="str">
        <f>IFERROR(__xludf.DUMMYFUNCTION("""COMPUTED_VALUE"""),"jesus.morenoromero@2hourlearning.com")</f>
        <v>jesus.morenoromero@2hourlearning.com</v>
      </c>
      <c r="L4266" s="6" t="str">
        <f>IFERROR(__xludf.DUMMYFUNCTION("""COMPUTED_VALUE"""),"JHES - Hardeeville Elementary School")</f>
        <v>JHES - Hardeeville Elementary School</v>
      </c>
      <c r="M4266" s="6" t="str">
        <f>IFERROR(__xludf.DUMMYFUNCTION("""COMPUTED_VALUE"""),"")</f>
        <v/>
      </c>
      <c r="N4266" s="6" t="str">
        <f>IFERROR(__xludf.DUMMYFUNCTION("""COMPUTED_VALUE"""),"")</f>
        <v/>
      </c>
      <c r="O4266" s="87" t="str">
        <f>IFERROR(__xludf.DUMMYFUNCTION("""COMPUTED_VALUE"""),"https://drive.google.com/drive/folders/10T2cTQHqEJZqE-st6uFKPoI?usp=share_link")</f>
        <v>https://drive.google.com/drive/folders/10T2cTQHqEJZqE-st6uFKPoI?usp=share_link</v>
      </c>
      <c r="P4266" s="6" t="str">
        <f>IFERROR(__xludf.DUMMYFUNCTION("""COMPUTED_VALUE"""),"Jesus Moreno Romero")</f>
        <v>Jesus Moreno Romero</v>
      </c>
      <c r="Q4266" s="6" t="str">
        <f>IFERROR(__xludf.DUMMYFUNCTION("""COMPUTED_VALUE"""),"L1")</f>
        <v>L1</v>
      </c>
      <c r="R4266" s="6">
        <f>IFERROR(__xludf.DUMMYFUNCTION("""COMPUTED_VALUE"""),1.0)</f>
        <v>1</v>
      </c>
      <c r="S4266" s="6" t="str">
        <f>IFERROR(__xludf.DUMMYFUNCTION("""COMPUTED_VALUE""")," ")</f>
        <v> </v>
      </c>
      <c r="T4266" s="6" t="str">
        <f>IFERROR(__xludf.DUMMYFUNCTION("""COMPUTED_VALUE"""),"")</f>
        <v/>
      </c>
      <c r="U4266" s="6" t="str">
        <f>IFERROR(__xludf.DUMMYFUNCTION("""COMPUTED_VALUE"""),"2")</f>
        <v>2</v>
      </c>
      <c r="V4266" s="6" t="str">
        <f>IFERROR(__xludf.DUMMYFUNCTION("""COMPUTED_VALUE"""),"")</f>
        <v/>
      </c>
      <c r="W4266" s="6" t="str">
        <f>IFERROR(__xludf.DUMMYFUNCTION("""COMPUTED_VALUE"""),"[]")</f>
        <v>[]</v>
      </c>
      <c r="X4266" s="6" t="str">
        <f>IFERROR(__xludf.DUMMYFUNCTION("""COMPUTED_VALUE"""),"Enrolled")</f>
        <v>Enrolled</v>
      </c>
    </row>
    <row r="4267">
      <c r="A4267" s="6" t="str">
        <f>IFERROR(__xludf.DUMMYFUNCTION("""COMPUTED_VALUE"""),"083-11554")</f>
        <v>083-11554</v>
      </c>
      <c r="B4267" s="6" t="str">
        <f>IFERROR(__xludf.DUMMYFUNCTION("""COMPUTED_VALUE"""),"83")</f>
        <v>83</v>
      </c>
      <c r="C4267" s="6" t="str">
        <f>IFERROR(__xludf.DUMMYFUNCTION("""COMPUTED_VALUE"""),"11554")</f>
        <v>11554</v>
      </c>
      <c r="D4267" s="6" t="str">
        <f>IFERROR(__xludf.DUMMYFUNCTION("""COMPUTED_VALUE"""),"Udith M")</f>
        <v>Udith M</v>
      </c>
      <c r="E4267" s="6" t="str">
        <f>IFERROR(__xludf.DUMMYFUNCTION("""COMPUTED_VALUE"""),"")</f>
        <v/>
      </c>
      <c r="F4267" s="6" t="str">
        <f>IFERROR(__xludf.DUMMYFUNCTION("""COMPUTED_VALUE"""),"Perez Calderon")</f>
        <v>Perez Calderon</v>
      </c>
      <c r="G4267" s="6" t="str">
        <f>IFERROR(__xludf.DUMMYFUNCTION("""COMPUTED_VALUE"""),"07/25/2018")</f>
        <v>07/25/2018</v>
      </c>
      <c r="H4267" s="6" t="str">
        <f>IFERROR(__xludf.DUMMYFUNCTION("""COMPUTED_VALUE"""),"female")</f>
        <v>female</v>
      </c>
      <c r="I4267" s="6" t="str">
        <f>IFERROR(__xludf.DUMMYFUNCTION("""COMPUTED_VALUE"""),"Level 1")</f>
        <v>Level 1</v>
      </c>
      <c r="J4267" s="6" t="str">
        <f>IFERROR(__xludf.DUMMYFUNCTION("""COMPUTED_VALUE"""),"2")</f>
        <v>2</v>
      </c>
      <c r="K4267" s="6" t="str">
        <f>IFERROR(__xludf.DUMMYFUNCTION("""COMPUTED_VALUE"""),"udithm.perezcalderon@2hourlearning.com")</f>
        <v>udithm.perezcalderon@2hourlearning.com</v>
      </c>
      <c r="L4267" s="6" t="str">
        <f>IFERROR(__xludf.DUMMYFUNCTION("""COMPUTED_VALUE"""),"JHES - Hardeeville Elementary School")</f>
        <v>JHES - Hardeeville Elementary School</v>
      </c>
      <c r="M4267" s="6" t="str">
        <f>IFERROR(__xludf.DUMMYFUNCTION("""COMPUTED_VALUE"""),"")</f>
        <v/>
      </c>
      <c r="N4267" s="6" t="str">
        <f>IFERROR(__xludf.DUMMYFUNCTION("""COMPUTED_VALUE"""),"")</f>
        <v/>
      </c>
      <c r="O4267" s="87" t="str">
        <f>IFERROR(__xludf.DUMMYFUNCTION("""COMPUTED_VALUE"""),"https://drive.google.com/drive/folders/10T2cTQHqEJZqE-st6uFKPoI?usp=share_link")</f>
        <v>https://drive.google.com/drive/folders/10T2cTQHqEJZqE-st6uFKPoI?usp=share_link</v>
      </c>
      <c r="P4267" s="6" t="str">
        <f>IFERROR(__xludf.DUMMYFUNCTION("""COMPUTED_VALUE"""),"Udith M Perez Calderon")</f>
        <v>Udith M Perez Calderon</v>
      </c>
      <c r="Q4267" s="6" t="str">
        <f>IFERROR(__xludf.DUMMYFUNCTION("""COMPUTED_VALUE"""),"L1")</f>
        <v>L1</v>
      </c>
      <c r="R4267" s="6">
        <f>IFERROR(__xludf.DUMMYFUNCTION("""COMPUTED_VALUE"""),1.0)</f>
        <v>1</v>
      </c>
      <c r="S4267" s="6" t="str">
        <f>IFERROR(__xludf.DUMMYFUNCTION("""COMPUTED_VALUE""")," ")</f>
        <v> </v>
      </c>
      <c r="T4267" s="6" t="str">
        <f>IFERROR(__xludf.DUMMYFUNCTION("""COMPUTED_VALUE"""),"")</f>
        <v/>
      </c>
      <c r="U4267" s="6" t="str">
        <f>IFERROR(__xludf.DUMMYFUNCTION("""COMPUTED_VALUE"""),"2")</f>
        <v>2</v>
      </c>
      <c r="V4267" s="6" t="str">
        <f>IFERROR(__xludf.DUMMYFUNCTION("""COMPUTED_VALUE"""),"")</f>
        <v/>
      </c>
      <c r="W4267" s="6" t="str">
        <f>IFERROR(__xludf.DUMMYFUNCTION("""COMPUTED_VALUE"""),"[]")</f>
        <v>[]</v>
      </c>
      <c r="X4267" s="6" t="str">
        <f>IFERROR(__xludf.DUMMYFUNCTION("""COMPUTED_VALUE"""),"Enrolled")</f>
        <v>Enrolled</v>
      </c>
    </row>
    <row r="4268">
      <c r="A4268" s="6" t="str">
        <f>IFERROR(__xludf.DUMMYFUNCTION("""COMPUTED_VALUE"""),"083-11555")</f>
        <v>083-11555</v>
      </c>
      <c r="B4268" s="6" t="str">
        <f>IFERROR(__xludf.DUMMYFUNCTION("""COMPUTED_VALUE"""),"83")</f>
        <v>83</v>
      </c>
      <c r="C4268" s="6" t="str">
        <f>IFERROR(__xludf.DUMMYFUNCTION("""COMPUTED_VALUE"""),"11555")</f>
        <v>11555</v>
      </c>
      <c r="D4268" s="6" t="str">
        <f>IFERROR(__xludf.DUMMYFUNCTION("""COMPUTED_VALUE"""),"Jefferson")</f>
        <v>Jefferson</v>
      </c>
      <c r="E4268" s="6" t="str">
        <f>IFERROR(__xludf.DUMMYFUNCTION("""COMPUTED_VALUE"""),"")</f>
        <v/>
      </c>
      <c r="F4268" s="6" t="str">
        <f>IFERROR(__xludf.DUMMYFUNCTION("""COMPUTED_VALUE"""),"Reyes Velasquez")</f>
        <v>Reyes Velasquez</v>
      </c>
      <c r="G4268" s="6" t="str">
        <f>IFERROR(__xludf.DUMMYFUNCTION("""COMPUTED_VALUE"""),"12/13/2017")</f>
        <v>12/13/2017</v>
      </c>
      <c r="H4268" s="6" t="str">
        <f>IFERROR(__xludf.DUMMYFUNCTION("""COMPUTED_VALUE"""),"male")</f>
        <v>male</v>
      </c>
      <c r="I4268" s="6" t="str">
        <f>IFERROR(__xludf.DUMMYFUNCTION("""COMPUTED_VALUE"""),"Level 1")</f>
        <v>Level 1</v>
      </c>
      <c r="J4268" s="6" t="str">
        <f>IFERROR(__xludf.DUMMYFUNCTION("""COMPUTED_VALUE"""),"2")</f>
        <v>2</v>
      </c>
      <c r="K4268" s="6" t="str">
        <f>IFERROR(__xludf.DUMMYFUNCTION("""COMPUTED_VALUE"""),"jefferson.reyesvelasquez@2hourlearning.com")</f>
        <v>jefferson.reyesvelasquez@2hourlearning.com</v>
      </c>
      <c r="L4268" s="6" t="str">
        <f>IFERROR(__xludf.DUMMYFUNCTION("""COMPUTED_VALUE"""),"JHES - Hardeeville Elementary School")</f>
        <v>JHES - Hardeeville Elementary School</v>
      </c>
      <c r="M4268" s="6" t="str">
        <f>IFERROR(__xludf.DUMMYFUNCTION("""COMPUTED_VALUE"""),"")</f>
        <v/>
      </c>
      <c r="N4268" s="6" t="str">
        <f>IFERROR(__xludf.DUMMYFUNCTION("""COMPUTED_VALUE"""),"")</f>
        <v/>
      </c>
      <c r="O4268" s="87" t="str">
        <f>IFERROR(__xludf.DUMMYFUNCTION("""COMPUTED_VALUE"""),"https://drive.google.com/drive/folders/10T2cTQHqEJZqE-st6uFKPoI?usp=share_link")</f>
        <v>https://drive.google.com/drive/folders/10T2cTQHqEJZqE-st6uFKPoI?usp=share_link</v>
      </c>
      <c r="P4268" s="6" t="str">
        <f>IFERROR(__xludf.DUMMYFUNCTION("""COMPUTED_VALUE"""),"Jefferson Reyes Velasquez")</f>
        <v>Jefferson Reyes Velasquez</v>
      </c>
      <c r="Q4268" s="6" t="str">
        <f>IFERROR(__xludf.DUMMYFUNCTION("""COMPUTED_VALUE"""),"L1")</f>
        <v>L1</v>
      </c>
      <c r="R4268" s="6">
        <f>IFERROR(__xludf.DUMMYFUNCTION("""COMPUTED_VALUE"""),1.0)</f>
        <v>1</v>
      </c>
      <c r="S4268" s="6" t="str">
        <f>IFERROR(__xludf.DUMMYFUNCTION("""COMPUTED_VALUE""")," ")</f>
        <v> </v>
      </c>
      <c r="T4268" s="6" t="str">
        <f>IFERROR(__xludf.DUMMYFUNCTION("""COMPUTED_VALUE"""),"")</f>
        <v/>
      </c>
      <c r="U4268" s="6" t="str">
        <f>IFERROR(__xludf.DUMMYFUNCTION("""COMPUTED_VALUE"""),"2")</f>
        <v>2</v>
      </c>
      <c r="V4268" s="6" t="str">
        <f>IFERROR(__xludf.DUMMYFUNCTION("""COMPUTED_VALUE"""),"")</f>
        <v/>
      </c>
      <c r="W4268" s="6" t="str">
        <f>IFERROR(__xludf.DUMMYFUNCTION("""COMPUTED_VALUE"""),"[]")</f>
        <v>[]</v>
      </c>
      <c r="X4268" s="6" t="str">
        <f>IFERROR(__xludf.DUMMYFUNCTION("""COMPUTED_VALUE"""),"Enrolled")</f>
        <v>Enrolled</v>
      </c>
    </row>
    <row r="4269">
      <c r="A4269" s="6" t="str">
        <f>IFERROR(__xludf.DUMMYFUNCTION("""COMPUTED_VALUE"""),"083-11556")</f>
        <v>083-11556</v>
      </c>
      <c r="B4269" s="6" t="str">
        <f>IFERROR(__xludf.DUMMYFUNCTION("""COMPUTED_VALUE"""),"83")</f>
        <v>83</v>
      </c>
      <c r="C4269" s="6" t="str">
        <f>IFERROR(__xludf.DUMMYFUNCTION("""COMPUTED_VALUE"""),"11556")</f>
        <v>11556</v>
      </c>
      <c r="D4269" s="6" t="str">
        <f>IFERROR(__xludf.DUMMYFUNCTION("""COMPUTED_VALUE"""),"Samara")</f>
        <v>Samara</v>
      </c>
      <c r="E4269" s="6" t="str">
        <f>IFERROR(__xludf.DUMMYFUNCTION("""COMPUTED_VALUE"""),"")</f>
        <v/>
      </c>
      <c r="F4269" s="6" t="str">
        <f>IFERROR(__xludf.DUMMYFUNCTION("""COMPUTED_VALUE"""),"Roblero Roblero")</f>
        <v>Roblero Roblero</v>
      </c>
      <c r="G4269" s="6" t="str">
        <f>IFERROR(__xludf.DUMMYFUNCTION("""COMPUTED_VALUE"""),"02/02/2018")</f>
        <v>02/02/2018</v>
      </c>
      <c r="H4269" s="6" t="str">
        <f>IFERROR(__xludf.DUMMYFUNCTION("""COMPUTED_VALUE"""),"female")</f>
        <v>female</v>
      </c>
      <c r="I4269" s="6" t="str">
        <f>IFERROR(__xludf.DUMMYFUNCTION("""COMPUTED_VALUE"""),"Level 1")</f>
        <v>Level 1</v>
      </c>
      <c r="J4269" s="6" t="str">
        <f>IFERROR(__xludf.DUMMYFUNCTION("""COMPUTED_VALUE"""),"2")</f>
        <v>2</v>
      </c>
      <c r="K4269" s="6" t="str">
        <f>IFERROR(__xludf.DUMMYFUNCTION("""COMPUTED_VALUE"""),"samara.robleroroblero@2hourlearning.com")</f>
        <v>samara.robleroroblero@2hourlearning.com</v>
      </c>
      <c r="L4269" s="6" t="str">
        <f>IFERROR(__xludf.DUMMYFUNCTION("""COMPUTED_VALUE"""),"JHES - Hardeeville Elementary School")</f>
        <v>JHES - Hardeeville Elementary School</v>
      </c>
      <c r="M4269" s="6" t="str">
        <f>IFERROR(__xludf.DUMMYFUNCTION("""COMPUTED_VALUE"""),"")</f>
        <v/>
      </c>
      <c r="N4269" s="6" t="str">
        <f>IFERROR(__xludf.DUMMYFUNCTION("""COMPUTED_VALUE"""),"")</f>
        <v/>
      </c>
      <c r="O4269" s="87" t="str">
        <f>IFERROR(__xludf.DUMMYFUNCTION("""COMPUTED_VALUE"""),"https://drive.google.com/drive/folders/10T2cTQHqEJZqE-st6uFKPoI?usp=share_link")</f>
        <v>https://drive.google.com/drive/folders/10T2cTQHqEJZqE-st6uFKPoI?usp=share_link</v>
      </c>
      <c r="P4269" s="6" t="str">
        <f>IFERROR(__xludf.DUMMYFUNCTION("""COMPUTED_VALUE"""),"Samara Roblero Roblero")</f>
        <v>Samara Roblero Roblero</v>
      </c>
      <c r="Q4269" s="6" t="str">
        <f>IFERROR(__xludf.DUMMYFUNCTION("""COMPUTED_VALUE"""),"L1")</f>
        <v>L1</v>
      </c>
      <c r="R4269" s="6">
        <f>IFERROR(__xludf.DUMMYFUNCTION("""COMPUTED_VALUE"""),1.0)</f>
        <v>1</v>
      </c>
      <c r="S4269" s="6" t="str">
        <f>IFERROR(__xludf.DUMMYFUNCTION("""COMPUTED_VALUE""")," ")</f>
        <v> </v>
      </c>
      <c r="T4269" s="6" t="str">
        <f>IFERROR(__xludf.DUMMYFUNCTION("""COMPUTED_VALUE"""),"")</f>
        <v/>
      </c>
      <c r="U4269" s="6" t="str">
        <f>IFERROR(__xludf.DUMMYFUNCTION("""COMPUTED_VALUE"""),"2")</f>
        <v>2</v>
      </c>
      <c r="V4269" s="6" t="str">
        <f>IFERROR(__xludf.DUMMYFUNCTION("""COMPUTED_VALUE"""),"")</f>
        <v/>
      </c>
      <c r="W4269" s="6" t="str">
        <f>IFERROR(__xludf.DUMMYFUNCTION("""COMPUTED_VALUE"""),"[]")</f>
        <v>[]</v>
      </c>
      <c r="X4269" s="6" t="str">
        <f>IFERROR(__xludf.DUMMYFUNCTION("""COMPUTED_VALUE"""),"Enrolled")</f>
        <v>Enrolled</v>
      </c>
    </row>
    <row r="4270">
      <c r="A4270" s="6" t="str">
        <f>IFERROR(__xludf.DUMMYFUNCTION("""COMPUTED_VALUE"""),"083-11557")</f>
        <v>083-11557</v>
      </c>
      <c r="B4270" s="6" t="str">
        <f>IFERROR(__xludf.DUMMYFUNCTION("""COMPUTED_VALUE"""),"83")</f>
        <v>83</v>
      </c>
      <c r="C4270" s="6" t="str">
        <f>IFERROR(__xludf.DUMMYFUNCTION("""COMPUTED_VALUE"""),"11557")</f>
        <v>11557</v>
      </c>
      <c r="D4270" s="6" t="str">
        <f>IFERROR(__xludf.DUMMYFUNCTION("""COMPUTED_VALUE"""),"Anderson")</f>
        <v>Anderson</v>
      </c>
      <c r="E4270" s="6" t="str">
        <f>IFERROR(__xludf.DUMMYFUNCTION("""COMPUTED_VALUE"""),"")</f>
        <v/>
      </c>
      <c r="F4270" s="6" t="str">
        <f>IFERROR(__xludf.DUMMYFUNCTION("""COMPUTED_VALUE"""),"Rosales Hernandez")</f>
        <v>Rosales Hernandez</v>
      </c>
      <c r="G4270" s="6" t="str">
        <f>IFERROR(__xludf.DUMMYFUNCTION("""COMPUTED_VALUE"""),"11/23/2017")</f>
        <v>11/23/2017</v>
      </c>
      <c r="H4270" s="6" t="str">
        <f>IFERROR(__xludf.DUMMYFUNCTION("""COMPUTED_VALUE"""),"male")</f>
        <v>male</v>
      </c>
      <c r="I4270" s="6" t="str">
        <f>IFERROR(__xludf.DUMMYFUNCTION("""COMPUTED_VALUE"""),"Level 1")</f>
        <v>Level 1</v>
      </c>
      <c r="J4270" s="6" t="str">
        <f>IFERROR(__xludf.DUMMYFUNCTION("""COMPUTED_VALUE"""),"2")</f>
        <v>2</v>
      </c>
      <c r="K4270" s="6" t="str">
        <f>IFERROR(__xludf.DUMMYFUNCTION("""COMPUTED_VALUE"""),"anderson.rosaleshernandez@2hourlearning.com")</f>
        <v>anderson.rosaleshernandez@2hourlearning.com</v>
      </c>
      <c r="L4270" s="6" t="str">
        <f>IFERROR(__xludf.DUMMYFUNCTION("""COMPUTED_VALUE"""),"JHES - Hardeeville Elementary School")</f>
        <v>JHES - Hardeeville Elementary School</v>
      </c>
      <c r="M4270" s="6" t="str">
        <f>IFERROR(__xludf.DUMMYFUNCTION("""COMPUTED_VALUE"""),"")</f>
        <v/>
      </c>
      <c r="N4270" s="6" t="str">
        <f>IFERROR(__xludf.DUMMYFUNCTION("""COMPUTED_VALUE"""),"")</f>
        <v/>
      </c>
      <c r="O4270" s="87" t="str">
        <f>IFERROR(__xludf.DUMMYFUNCTION("""COMPUTED_VALUE"""),"https://drive.google.com/drive/folders/10T2cTQHqEJZqE-st6uFKPoI?usp=share_link")</f>
        <v>https://drive.google.com/drive/folders/10T2cTQHqEJZqE-st6uFKPoI?usp=share_link</v>
      </c>
      <c r="P4270" s="6" t="str">
        <f>IFERROR(__xludf.DUMMYFUNCTION("""COMPUTED_VALUE"""),"Anderson Rosales Hernandez")</f>
        <v>Anderson Rosales Hernandez</v>
      </c>
      <c r="Q4270" s="6" t="str">
        <f>IFERROR(__xludf.DUMMYFUNCTION("""COMPUTED_VALUE"""),"L1")</f>
        <v>L1</v>
      </c>
      <c r="R4270" s="6">
        <f>IFERROR(__xludf.DUMMYFUNCTION("""COMPUTED_VALUE"""),1.0)</f>
        <v>1</v>
      </c>
      <c r="S4270" s="6" t="str">
        <f>IFERROR(__xludf.DUMMYFUNCTION("""COMPUTED_VALUE""")," ")</f>
        <v> </v>
      </c>
      <c r="T4270" s="6" t="str">
        <f>IFERROR(__xludf.DUMMYFUNCTION("""COMPUTED_VALUE"""),"")</f>
        <v/>
      </c>
      <c r="U4270" s="6" t="str">
        <f>IFERROR(__xludf.DUMMYFUNCTION("""COMPUTED_VALUE"""),"2")</f>
        <v>2</v>
      </c>
      <c r="V4270" s="6" t="str">
        <f>IFERROR(__xludf.DUMMYFUNCTION("""COMPUTED_VALUE"""),"")</f>
        <v/>
      </c>
      <c r="W4270" s="6" t="str">
        <f>IFERROR(__xludf.DUMMYFUNCTION("""COMPUTED_VALUE"""),"[]")</f>
        <v>[]</v>
      </c>
      <c r="X4270" s="6" t="str">
        <f>IFERROR(__xludf.DUMMYFUNCTION("""COMPUTED_VALUE"""),"Enrolled")</f>
        <v>Enrolled</v>
      </c>
    </row>
    <row r="4271">
      <c r="A4271" s="6" t="str">
        <f>IFERROR(__xludf.DUMMYFUNCTION("""COMPUTED_VALUE"""),"083-11558")</f>
        <v>083-11558</v>
      </c>
      <c r="B4271" s="6" t="str">
        <f>IFERROR(__xludf.DUMMYFUNCTION("""COMPUTED_VALUE"""),"83")</f>
        <v>83</v>
      </c>
      <c r="C4271" s="6" t="str">
        <f>IFERROR(__xludf.DUMMYFUNCTION("""COMPUTED_VALUE"""),"11558")</f>
        <v>11558</v>
      </c>
      <c r="D4271" s="6" t="str">
        <f>IFERROR(__xludf.DUMMYFUNCTION("""COMPUTED_VALUE"""),"Sheilyn R")</f>
        <v>Sheilyn R</v>
      </c>
      <c r="E4271" s="6" t="str">
        <f>IFERROR(__xludf.DUMMYFUNCTION("""COMPUTED_VALUE"""),"")</f>
        <v/>
      </c>
      <c r="F4271" s="6" t="str">
        <f>IFERROR(__xludf.DUMMYFUNCTION("""COMPUTED_VALUE"""),"Sanchez Sanchez")</f>
        <v>Sanchez Sanchez</v>
      </c>
      <c r="G4271" s="6" t="str">
        <f>IFERROR(__xludf.DUMMYFUNCTION("""COMPUTED_VALUE"""),"01/09/2018")</f>
        <v>01/09/2018</v>
      </c>
      <c r="H4271" s="6" t="str">
        <f>IFERROR(__xludf.DUMMYFUNCTION("""COMPUTED_VALUE"""),"female")</f>
        <v>female</v>
      </c>
      <c r="I4271" s="6" t="str">
        <f>IFERROR(__xludf.DUMMYFUNCTION("""COMPUTED_VALUE"""),"Level 1")</f>
        <v>Level 1</v>
      </c>
      <c r="J4271" s="6" t="str">
        <f>IFERROR(__xludf.DUMMYFUNCTION("""COMPUTED_VALUE"""),"2")</f>
        <v>2</v>
      </c>
      <c r="K4271" s="6" t="str">
        <f>IFERROR(__xludf.DUMMYFUNCTION("""COMPUTED_VALUE"""),"sheilynr.sanchezsanchez@2hourlearning.com")</f>
        <v>sheilynr.sanchezsanchez@2hourlearning.com</v>
      </c>
      <c r="L4271" s="6" t="str">
        <f>IFERROR(__xludf.DUMMYFUNCTION("""COMPUTED_VALUE"""),"JHES - Hardeeville Elementary School")</f>
        <v>JHES - Hardeeville Elementary School</v>
      </c>
      <c r="M4271" s="6" t="str">
        <f>IFERROR(__xludf.DUMMYFUNCTION("""COMPUTED_VALUE"""),"")</f>
        <v/>
      </c>
      <c r="N4271" s="6" t="str">
        <f>IFERROR(__xludf.DUMMYFUNCTION("""COMPUTED_VALUE"""),"")</f>
        <v/>
      </c>
      <c r="O4271" s="87" t="str">
        <f>IFERROR(__xludf.DUMMYFUNCTION("""COMPUTED_VALUE"""),"https://drive.google.com/drive/folders/10T2cTQHqEJZqE-st6uFKPoI?usp=share_link")</f>
        <v>https://drive.google.com/drive/folders/10T2cTQHqEJZqE-st6uFKPoI?usp=share_link</v>
      </c>
      <c r="P4271" s="6" t="str">
        <f>IFERROR(__xludf.DUMMYFUNCTION("""COMPUTED_VALUE"""),"Sheilyn R Sanchez Sanchez")</f>
        <v>Sheilyn R Sanchez Sanchez</v>
      </c>
      <c r="Q4271" s="6" t="str">
        <f>IFERROR(__xludf.DUMMYFUNCTION("""COMPUTED_VALUE"""),"L1")</f>
        <v>L1</v>
      </c>
      <c r="R4271" s="6">
        <f>IFERROR(__xludf.DUMMYFUNCTION("""COMPUTED_VALUE"""),1.0)</f>
        <v>1</v>
      </c>
      <c r="S4271" s="6" t="str">
        <f>IFERROR(__xludf.DUMMYFUNCTION("""COMPUTED_VALUE""")," ")</f>
        <v> </v>
      </c>
      <c r="T4271" s="6" t="str">
        <f>IFERROR(__xludf.DUMMYFUNCTION("""COMPUTED_VALUE"""),"")</f>
        <v/>
      </c>
      <c r="U4271" s="6" t="str">
        <f>IFERROR(__xludf.DUMMYFUNCTION("""COMPUTED_VALUE"""),"2")</f>
        <v>2</v>
      </c>
      <c r="V4271" s="6" t="str">
        <f>IFERROR(__xludf.DUMMYFUNCTION("""COMPUTED_VALUE"""),"")</f>
        <v/>
      </c>
      <c r="W4271" s="6" t="str">
        <f>IFERROR(__xludf.DUMMYFUNCTION("""COMPUTED_VALUE"""),"[]")</f>
        <v>[]</v>
      </c>
      <c r="X4271" s="6" t="str">
        <f>IFERROR(__xludf.DUMMYFUNCTION("""COMPUTED_VALUE"""),"Enrolled")</f>
        <v>Enrolled</v>
      </c>
    </row>
    <row r="4272">
      <c r="A4272" s="6" t="str">
        <f>IFERROR(__xludf.DUMMYFUNCTION("""COMPUTED_VALUE"""),"083-11559")</f>
        <v>083-11559</v>
      </c>
      <c r="B4272" s="6" t="str">
        <f>IFERROR(__xludf.DUMMYFUNCTION("""COMPUTED_VALUE"""),"83")</f>
        <v>83</v>
      </c>
      <c r="C4272" s="6" t="str">
        <f>IFERROR(__xludf.DUMMYFUNCTION("""COMPUTED_VALUE"""),"11559")</f>
        <v>11559</v>
      </c>
      <c r="D4272" s="6" t="str">
        <f>IFERROR(__xludf.DUMMYFUNCTION("""COMPUTED_VALUE"""),"Kamryn")</f>
        <v>Kamryn</v>
      </c>
      <c r="E4272" s="6" t="str">
        <f>IFERROR(__xludf.DUMMYFUNCTION("""COMPUTED_VALUE"""),"")</f>
        <v/>
      </c>
      <c r="F4272" s="6" t="str">
        <f>IFERROR(__xludf.DUMMYFUNCTION("""COMPUTED_VALUE"""),"Wallace")</f>
        <v>Wallace</v>
      </c>
      <c r="G4272" s="6" t="str">
        <f>IFERROR(__xludf.DUMMYFUNCTION("""COMPUTED_VALUE"""),"08/27/2018")</f>
        <v>08/27/2018</v>
      </c>
      <c r="H4272" s="6" t="str">
        <f>IFERROR(__xludf.DUMMYFUNCTION("""COMPUTED_VALUE"""),"male")</f>
        <v>male</v>
      </c>
      <c r="I4272" s="6" t="str">
        <f>IFERROR(__xludf.DUMMYFUNCTION("""COMPUTED_VALUE"""),"Level 1")</f>
        <v>Level 1</v>
      </c>
      <c r="J4272" s="6" t="str">
        <f>IFERROR(__xludf.DUMMYFUNCTION("""COMPUTED_VALUE"""),"2")</f>
        <v>2</v>
      </c>
      <c r="K4272" s="6" t="str">
        <f>IFERROR(__xludf.DUMMYFUNCTION("""COMPUTED_VALUE"""),"kamryn.wallace@2hourlearning.com")</f>
        <v>kamryn.wallace@2hourlearning.com</v>
      </c>
      <c r="L4272" s="6" t="str">
        <f>IFERROR(__xludf.DUMMYFUNCTION("""COMPUTED_VALUE"""),"JHES - Hardeeville Elementary School")</f>
        <v>JHES - Hardeeville Elementary School</v>
      </c>
      <c r="M4272" s="6" t="str">
        <f>IFERROR(__xludf.DUMMYFUNCTION("""COMPUTED_VALUE"""),"")</f>
        <v/>
      </c>
      <c r="N4272" s="6" t="str">
        <f>IFERROR(__xludf.DUMMYFUNCTION("""COMPUTED_VALUE"""),"")</f>
        <v/>
      </c>
      <c r="O4272" s="87" t="str">
        <f>IFERROR(__xludf.DUMMYFUNCTION("""COMPUTED_VALUE"""),"https://drive.google.com/drive/folders/10T2cTQHqEJZqE-st6uFKPoI?usp=share_link")</f>
        <v>https://drive.google.com/drive/folders/10T2cTQHqEJZqE-st6uFKPoI?usp=share_link</v>
      </c>
      <c r="P4272" s="6" t="str">
        <f>IFERROR(__xludf.DUMMYFUNCTION("""COMPUTED_VALUE"""),"Kamryn Wallace")</f>
        <v>Kamryn Wallace</v>
      </c>
      <c r="Q4272" s="6" t="str">
        <f>IFERROR(__xludf.DUMMYFUNCTION("""COMPUTED_VALUE"""),"L1")</f>
        <v>L1</v>
      </c>
      <c r="R4272" s="6">
        <f>IFERROR(__xludf.DUMMYFUNCTION("""COMPUTED_VALUE"""),1.0)</f>
        <v>1</v>
      </c>
      <c r="S4272" s="6" t="str">
        <f>IFERROR(__xludf.DUMMYFUNCTION("""COMPUTED_VALUE""")," ")</f>
        <v> </v>
      </c>
      <c r="T4272" s="6" t="str">
        <f>IFERROR(__xludf.DUMMYFUNCTION("""COMPUTED_VALUE"""),"")</f>
        <v/>
      </c>
      <c r="U4272" s="6" t="str">
        <f>IFERROR(__xludf.DUMMYFUNCTION("""COMPUTED_VALUE"""),"2")</f>
        <v>2</v>
      </c>
      <c r="V4272" s="6" t="str">
        <f>IFERROR(__xludf.DUMMYFUNCTION("""COMPUTED_VALUE"""),"")</f>
        <v/>
      </c>
      <c r="W4272" s="6" t="str">
        <f>IFERROR(__xludf.DUMMYFUNCTION("""COMPUTED_VALUE"""),"[]")</f>
        <v>[]</v>
      </c>
      <c r="X4272" s="6" t="str">
        <f>IFERROR(__xludf.DUMMYFUNCTION("""COMPUTED_VALUE"""),"Enrolled")</f>
        <v>Enrolled</v>
      </c>
    </row>
    <row r="4273">
      <c r="A4273" s="6" t="str">
        <f>IFERROR(__xludf.DUMMYFUNCTION("""COMPUTED_VALUE"""),"083-11560")</f>
        <v>083-11560</v>
      </c>
      <c r="B4273" s="6" t="str">
        <f>IFERROR(__xludf.DUMMYFUNCTION("""COMPUTED_VALUE"""),"83")</f>
        <v>83</v>
      </c>
      <c r="C4273" s="6" t="str">
        <f>IFERROR(__xludf.DUMMYFUNCTION("""COMPUTED_VALUE"""),"11560")</f>
        <v>11560</v>
      </c>
      <c r="D4273" s="6" t="str">
        <f>IFERROR(__xludf.DUMMYFUNCTION("""COMPUTED_VALUE"""),"Sharone")</f>
        <v>Sharone</v>
      </c>
      <c r="E4273" s="6" t="str">
        <f>IFERROR(__xludf.DUMMYFUNCTION("""COMPUTED_VALUE"""),"")</f>
        <v/>
      </c>
      <c r="F4273" s="6" t="str">
        <f>IFERROR(__xludf.DUMMYFUNCTION("""COMPUTED_VALUE"""),"Williams Jr.")</f>
        <v>Williams Jr.</v>
      </c>
      <c r="G4273" s="6" t="str">
        <f>IFERROR(__xludf.DUMMYFUNCTION("""COMPUTED_VALUE"""),"06/12/2018")</f>
        <v>06/12/2018</v>
      </c>
      <c r="H4273" s="6" t="str">
        <f>IFERROR(__xludf.DUMMYFUNCTION("""COMPUTED_VALUE"""),"male")</f>
        <v>male</v>
      </c>
      <c r="I4273" s="6" t="str">
        <f>IFERROR(__xludf.DUMMYFUNCTION("""COMPUTED_VALUE"""),"Level 1")</f>
        <v>Level 1</v>
      </c>
      <c r="J4273" s="6" t="str">
        <f>IFERROR(__xludf.DUMMYFUNCTION("""COMPUTED_VALUE"""),"2")</f>
        <v>2</v>
      </c>
      <c r="K4273" s="6" t="str">
        <f>IFERROR(__xludf.DUMMYFUNCTION("""COMPUTED_VALUE"""),"sharone.williamsjr@2hourlearning.com")</f>
        <v>sharone.williamsjr@2hourlearning.com</v>
      </c>
      <c r="L4273" s="6" t="str">
        <f>IFERROR(__xludf.DUMMYFUNCTION("""COMPUTED_VALUE"""),"JHES - Hardeeville Elementary School")</f>
        <v>JHES - Hardeeville Elementary School</v>
      </c>
      <c r="M4273" s="6" t="str">
        <f>IFERROR(__xludf.DUMMYFUNCTION("""COMPUTED_VALUE"""),"")</f>
        <v/>
      </c>
      <c r="N4273" s="6" t="str">
        <f>IFERROR(__xludf.DUMMYFUNCTION("""COMPUTED_VALUE"""),"")</f>
        <v/>
      </c>
      <c r="O4273" s="87" t="str">
        <f>IFERROR(__xludf.DUMMYFUNCTION("""COMPUTED_VALUE"""),"https://drive.google.com/drive/folders/10T2cTQHqEJZqE-st6uFKPoI?usp=share_link")</f>
        <v>https://drive.google.com/drive/folders/10T2cTQHqEJZqE-st6uFKPoI?usp=share_link</v>
      </c>
      <c r="P4273" s="6" t="str">
        <f>IFERROR(__xludf.DUMMYFUNCTION("""COMPUTED_VALUE"""),"Sharone Williams Jr.")</f>
        <v>Sharone Williams Jr.</v>
      </c>
      <c r="Q4273" s="6" t="str">
        <f>IFERROR(__xludf.DUMMYFUNCTION("""COMPUTED_VALUE"""),"L1")</f>
        <v>L1</v>
      </c>
      <c r="R4273" s="6">
        <f>IFERROR(__xludf.DUMMYFUNCTION("""COMPUTED_VALUE"""),1.0)</f>
        <v>1</v>
      </c>
      <c r="S4273" s="6" t="str">
        <f>IFERROR(__xludf.DUMMYFUNCTION("""COMPUTED_VALUE""")," ")</f>
        <v> </v>
      </c>
      <c r="T4273" s="6" t="str">
        <f>IFERROR(__xludf.DUMMYFUNCTION("""COMPUTED_VALUE"""),"")</f>
        <v/>
      </c>
      <c r="U4273" s="6" t="str">
        <f>IFERROR(__xludf.DUMMYFUNCTION("""COMPUTED_VALUE"""),"2")</f>
        <v>2</v>
      </c>
      <c r="V4273" s="6" t="str">
        <f>IFERROR(__xludf.DUMMYFUNCTION("""COMPUTED_VALUE"""),"")</f>
        <v/>
      </c>
      <c r="W4273" s="6" t="str">
        <f>IFERROR(__xludf.DUMMYFUNCTION("""COMPUTED_VALUE"""),"[]")</f>
        <v>[]</v>
      </c>
      <c r="X4273" s="6" t="str">
        <f>IFERROR(__xludf.DUMMYFUNCTION("""COMPUTED_VALUE"""),"Enrolled")</f>
        <v>Enrolled</v>
      </c>
    </row>
    <row r="4274">
      <c r="A4274" s="6" t="str">
        <f>IFERROR(__xludf.DUMMYFUNCTION("""COMPUTED_VALUE"""),"083-11561")</f>
        <v>083-11561</v>
      </c>
      <c r="B4274" s="6" t="str">
        <f>IFERROR(__xludf.DUMMYFUNCTION("""COMPUTED_VALUE"""),"83")</f>
        <v>83</v>
      </c>
      <c r="C4274" s="6" t="str">
        <f>IFERROR(__xludf.DUMMYFUNCTION("""COMPUTED_VALUE"""),"11561")</f>
        <v>11561</v>
      </c>
      <c r="D4274" s="6" t="str">
        <f>IFERROR(__xludf.DUMMYFUNCTION("""COMPUTED_VALUE"""),"Diego")</f>
        <v>Diego</v>
      </c>
      <c r="E4274" s="6" t="str">
        <f>IFERROR(__xludf.DUMMYFUNCTION("""COMPUTED_VALUE"""),"")</f>
        <v/>
      </c>
      <c r="F4274" s="6" t="str">
        <f>IFERROR(__xludf.DUMMYFUNCTION("""COMPUTED_VALUE"""),"Fuentes Morales")</f>
        <v>Fuentes Morales</v>
      </c>
      <c r="G4274" s="6" t="str">
        <f>IFERROR(__xludf.DUMMYFUNCTION("""COMPUTED_VALUE"""),"03/03/2017")</f>
        <v>03/03/2017</v>
      </c>
      <c r="H4274" s="6" t="str">
        <f>IFERROR(__xludf.DUMMYFUNCTION("""COMPUTED_VALUE"""),"male")</f>
        <v>male</v>
      </c>
      <c r="I4274" s="6" t="str">
        <f>IFERROR(__xludf.DUMMYFUNCTION("""COMPUTED_VALUE"""),"Level 1")</f>
        <v>Level 1</v>
      </c>
      <c r="J4274" s="6" t="str">
        <f>IFERROR(__xludf.DUMMYFUNCTION("""COMPUTED_VALUE"""),"3")</f>
        <v>3</v>
      </c>
      <c r="K4274" s="6" t="str">
        <f>IFERROR(__xludf.DUMMYFUNCTION("""COMPUTED_VALUE"""),"diego.fuentesmorales@2hourlearning.com")</f>
        <v>diego.fuentesmorales@2hourlearning.com</v>
      </c>
      <c r="L4274" s="6" t="str">
        <f>IFERROR(__xludf.DUMMYFUNCTION("""COMPUTED_VALUE"""),"JHES - Hardeeville Elementary School")</f>
        <v>JHES - Hardeeville Elementary School</v>
      </c>
      <c r="M4274" s="6" t="str">
        <f>IFERROR(__xludf.DUMMYFUNCTION("""COMPUTED_VALUE"""),"")</f>
        <v/>
      </c>
      <c r="N4274" s="6" t="str">
        <f>IFERROR(__xludf.DUMMYFUNCTION("""COMPUTED_VALUE"""),"")</f>
        <v/>
      </c>
      <c r="O4274" s="87" t="str">
        <f>IFERROR(__xludf.DUMMYFUNCTION("""COMPUTED_VALUE"""),"https://drive.google.com/drive/folders/10T2cTQHqEJZqE-st6uFKPoI?usp=share_link")</f>
        <v>https://drive.google.com/drive/folders/10T2cTQHqEJZqE-st6uFKPoI?usp=share_link</v>
      </c>
      <c r="P4274" s="6" t="str">
        <f>IFERROR(__xludf.DUMMYFUNCTION("""COMPUTED_VALUE"""),"Diego Fuentes Morales")</f>
        <v>Diego Fuentes Morales</v>
      </c>
      <c r="Q4274" s="6" t="str">
        <f>IFERROR(__xludf.DUMMYFUNCTION("""COMPUTED_VALUE"""),"L1")</f>
        <v>L1</v>
      </c>
      <c r="R4274" s="6">
        <f>IFERROR(__xludf.DUMMYFUNCTION("""COMPUTED_VALUE"""),1.0)</f>
        <v>1</v>
      </c>
      <c r="S4274" s="6" t="str">
        <f>IFERROR(__xludf.DUMMYFUNCTION("""COMPUTED_VALUE""")," ")</f>
        <v> </v>
      </c>
      <c r="T4274" s="6" t="str">
        <f>IFERROR(__xludf.DUMMYFUNCTION("""COMPUTED_VALUE"""),"")</f>
        <v/>
      </c>
      <c r="U4274" s="6" t="str">
        <f>IFERROR(__xludf.DUMMYFUNCTION("""COMPUTED_VALUE"""),"3")</f>
        <v>3</v>
      </c>
      <c r="V4274" s="6" t="str">
        <f>IFERROR(__xludf.DUMMYFUNCTION("""COMPUTED_VALUE"""),"")</f>
        <v/>
      </c>
      <c r="W4274" s="6" t="str">
        <f>IFERROR(__xludf.DUMMYFUNCTION("""COMPUTED_VALUE"""),"[]")</f>
        <v>[]</v>
      </c>
      <c r="X4274" s="6" t="str">
        <f>IFERROR(__xludf.DUMMYFUNCTION("""COMPUTED_VALUE"""),"Enrolled")</f>
        <v>Enrolled</v>
      </c>
    </row>
    <row r="4275">
      <c r="A4275" s="6" t="str">
        <f>IFERROR(__xludf.DUMMYFUNCTION("""COMPUTED_VALUE"""),"083-11562")</f>
        <v>083-11562</v>
      </c>
      <c r="B4275" s="6" t="str">
        <f>IFERROR(__xludf.DUMMYFUNCTION("""COMPUTED_VALUE"""),"83")</f>
        <v>83</v>
      </c>
      <c r="C4275" s="6" t="str">
        <f>IFERROR(__xludf.DUMMYFUNCTION("""COMPUTED_VALUE"""),"11562")</f>
        <v>11562</v>
      </c>
      <c r="D4275" s="6" t="str">
        <f>IFERROR(__xludf.DUMMYFUNCTION("""COMPUTED_VALUE"""),"Kyshoun")</f>
        <v>Kyshoun</v>
      </c>
      <c r="E4275" s="6" t="str">
        <f>IFERROR(__xludf.DUMMYFUNCTION("""COMPUTED_VALUE"""),"")</f>
        <v/>
      </c>
      <c r="F4275" s="6" t="str">
        <f>IFERROR(__xludf.DUMMYFUNCTION("""COMPUTED_VALUE"""),"Martin")</f>
        <v>Martin</v>
      </c>
      <c r="G4275" s="6" t="str">
        <f>IFERROR(__xludf.DUMMYFUNCTION("""COMPUTED_VALUE"""),"10/02/2016")</f>
        <v>10/02/2016</v>
      </c>
      <c r="H4275" s="6" t="str">
        <f>IFERROR(__xludf.DUMMYFUNCTION("""COMPUTED_VALUE"""),"male")</f>
        <v>male</v>
      </c>
      <c r="I4275" s="6" t="str">
        <f>IFERROR(__xludf.DUMMYFUNCTION("""COMPUTED_VALUE"""),"Level 1")</f>
        <v>Level 1</v>
      </c>
      <c r="J4275" s="6" t="str">
        <f>IFERROR(__xludf.DUMMYFUNCTION("""COMPUTED_VALUE"""),"3")</f>
        <v>3</v>
      </c>
      <c r="K4275" s="6" t="str">
        <f>IFERROR(__xludf.DUMMYFUNCTION("""COMPUTED_VALUE"""),"kyshoun.martin@2hourlearning.com")</f>
        <v>kyshoun.martin@2hourlearning.com</v>
      </c>
      <c r="L4275" s="6" t="str">
        <f>IFERROR(__xludf.DUMMYFUNCTION("""COMPUTED_VALUE"""),"JHES - Hardeeville Elementary School")</f>
        <v>JHES - Hardeeville Elementary School</v>
      </c>
      <c r="M4275" s="6" t="str">
        <f>IFERROR(__xludf.DUMMYFUNCTION("""COMPUTED_VALUE"""),"")</f>
        <v/>
      </c>
      <c r="N4275" s="6" t="str">
        <f>IFERROR(__xludf.DUMMYFUNCTION("""COMPUTED_VALUE"""),"")</f>
        <v/>
      </c>
      <c r="O4275" s="87" t="str">
        <f>IFERROR(__xludf.DUMMYFUNCTION("""COMPUTED_VALUE"""),"https://drive.google.com/drive/folders/10T2cTQHqEJZqE-st6uFKPoI?usp=share_link")</f>
        <v>https://drive.google.com/drive/folders/10T2cTQHqEJZqE-st6uFKPoI?usp=share_link</v>
      </c>
      <c r="P4275" s="6" t="str">
        <f>IFERROR(__xludf.DUMMYFUNCTION("""COMPUTED_VALUE"""),"Kyshoun Martin")</f>
        <v>Kyshoun Martin</v>
      </c>
      <c r="Q4275" s="6" t="str">
        <f>IFERROR(__xludf.DUMMYFUNCTION("""COMPUTED_VALUE"""),"L1")</f>
        <v>L1</v>
      </c>
      <c r="R4275" s="6">
        <f>IFERROR(__xludf.DUMMYFUNCTION("""COMPUTED_VALUE"""),1.0)</f>
        <v>1</v>
      </c>
      <c r="S4275" s="6" t="str">
        <f>IFERROR(__xludf.DUMMYFUNCTION("""COMPUTED_VALUE""")," ")</f>
        <v> </v>
      </c>
      <c r="T4275" s="6" t="str">
        <f>IFERROR(__xludf.DUMMYFUNCTION("""COMPUTED_VALUE"""),"")</f>
        <v/>
      </c>
      <c r="U4275" s="6" t="str">
        <f>IFERROR(__xludf.DUMMYFUNCTION("""COMPUTED_VALUE"""),"3")</f>
        <v>3</v>
      </c>
      <c r="V4275" s="6" t="str">
        <f>IFERROR(__xludf.DUMMYFUNCTION("""COMPUTED_VALUE"""),"")</f>
        <v/>
      </c>
      <c r="W4275" s="6" t="str">
        <f>IFERROR(__xludf.DUMMYFUNCTION("""COMPUTED_VALUE"""),"[]")</f>
        <v>[]</v>
      </c>
      <c r="X4275" s="6" t="str">
        <f>IFERROR(__xludf.DUMMYFUNCTION("""COMPUTED_VALUE"""),"Enrolled")</f>
        <v>Enrolled</v>
      </c>
    </row>
    <row r="4276">
      <c r="A4276" s="6" t="str">
        <f>IFERROR(__xludf.DUMMYFUNCTION("""COMPUTED_VALUE"""),"083-11563")</f>
        <v>083-11563</v>
      </c>
      <c r="B4276" s="6" t="str">
        <f>IFERROR(__xludf.DUMMYFUNCTION("""COMPUTED_VALUE"""),"83")</f>
        <v>83</v>
      </c>
      <c r="C4276" s="6" t="str">
        <f>IFERROR(__xludf.DUMMYFUNCTION("""COMPUTED_VALUE"""),"11563")</f>
        <v>11563</v>
      </c>
      <c r="D4276" s="6" t="str">
        <f>IFERROR(__xludf.DUMMYFUNCTION("""COMPUTED_VALUE"""),"Jessica")</f>
        <v>Jessica</v>
      </c>
      <c r="E4276" s="6" t="str">
        <f>IFERROR(__xludf.DUMMYFUNCTION("""COMPUTED_VALUE"""),"")</f>
        <v/>
      </c>
      <c r="F4276" s="6" t="str">
        <f>IFERROR(__xludf.DUMMYFUNCTION("""COMPUTED_VALUE"""),"Velasquez")</f>
        <v>Velasquez</v>
      </c>
      <c r="G4276" s="6" t="str">
        <f>IFERROR(__xludf.DUMMYFUNCTION("""COMPUTED_VALUE"""),"04/08/2017")</f>
        <v>04/08/2017</v>
      </c>
      <c r="H4276" s="6" t="str">
        <f>IFERROR(__xludf.DUMMYFUNCTION("""COMPUTED_VALUE"""),"female")</f>
        <v>female</v>
      </c>
      <c r="I4276" s="6" t="str">
        <f>IFERROR(__xludf.DUMMYFUNCTION("""COMPUTED_VALUE"""),"Level 1")</f>
        <v>Level 1</v>
      </c>
      <c r="J4276" s="6" t="str">
        <f>IFERROR(__xludf.DUMMYFUNCTION("""COMPUTED_VALUE"""),"3")</f>
        <v>3</v>
      </c>
      <c r="K4276" s="6" t="str">
        <f>IFERROR(__xludf.DUMMYFUNCTION("""COMPUTED_VALUE"""),"jessica.velasquez@2hourlearning.com")</f>
        <v>jessica.velasquez@2hourlearning.com</v>
      </c>
      <c r="L4276" s="6" t="str">
        <f>IFERROR(__xludf.DUMMYFUNCTION("""COMPUTED_VALUE"""),"JHES - Hardeeville Elementary School")</f>
        <v>JHES - Hardeeville Elementary School</v>
      </c>
      <c r="M4276" s="6" t="str">
        <f>IFERROR(__xludf.DUMMYFUNCTION("""COMPUTED_VALUE"""),"")</f>
        <v/>
      </c>
      <c r="N4276" s="6" t="str">
        <f>IFERROR(__xludf.DUMMYFUNCTION("""COMPUTED_VALUE"""),"")</f>
        <v/>
      </c>
      <c r="O4276" s="87" t="str">
        <f>IFERROR(__xludf.DUMMYFUNCTION("""COMPUTED_VALUE"""),"https://drive.google.com/drive/folders/10T2cTQHqEJZqE-st6uFKPoI?usp=share_link")</f>
        <v>https://drive.google.com/drive/folders/10T2cTQHqEJZqE-st6uFKPoI?usp=share_link</v>
      </c>
      <c r="P4276" s="6" t="str">
        <f>IFERROR(__xludf.DUMMYFUNCTION("""COMPUTED_VALUE"""),"Jessica Velasquez")</f>
        <v>Jessica Velasquez</v>
      </c>
      <c r="Q4276" s="6" t="str">
        <f>IFERROR(__xludf.DUMMYFUNCTION("""COMPUTED_VALUE"""),"L1")</f>
        <v>L1</v>
      </c>
      <c r="R4276" s="6">
        <f>IFERROR(__xludf.DUMMYFUNCTION("""COMPUTED_VALUE"""),1.0)</f>
        <v>1</v>
      </c>
      <c r="S4276" s="6" t="str">
        <f>IFERROR(__xludf.DUMMYFUNCTION("""COMPUTED_VALUE""")," ")</f>
        <v> </v>
      </c>
      <c r="T4276" s="6" t="str">
        <f>IFERROR(__xludf.DUMMYFUNCTION("""COMPUTED_VALUE"""),"")</f>
        <v/>
      </c>
      <c r="U4276" s="6" t="str">
        <f>IFERROR(__xludf.DUMMYFUNCTION("""COMPUTED_VALUE"""),"3")</f>
        <v>3</v>
      </c>
      <c r="V4276" s="6" t="str">
        <f>IFERROR(__xludf.DUMMYFUNCTION("""COMPUTED_VALUE"""),"")</f>
        <v/>
      </c>
      <c r="W4276" s="6" t="str">
        <f>IFERROR(__xludf.DUMMYFUNCTION("""COMPUTED_VALUE"""),"[]")</f>
        <v>[]</v>
      </c>
      <c r="X4276" s="6" t="str">
        <f>IFERROR(__xludf.DUMMYFUNCTION("""COMPUTED_VALUE"""),"Enrolled")</f>
        <v>Enrolled</v>
      </c>
    </row>
    <row r="4277">
      <c r="A4277" s="6" t="str">
        <f>IFERROR(__xludf.DUMMYFUNCTION("""COMPUTED_VALUE"""),"083-11564")</f>
        <v>083-11564</v>
      </c>
      <c r="B4277" s="6" t="str">
        <f>IFERROR(__xludf.DUMMYFUNCTION("""COMPUTED_VALUE"""),"83")</f>
        <v>83</v>
      </c>
      <c r="C4277" s="6" t="str">
        <f>IFERROR(__xludf.DUMMYFUNCTION("""COMPUTED_VALUE"""),"11564")</f>
        <v>11564</v>
      </c>
      <c r="D4277" s="6" t="str">
        <f>IFERROR(__xludf.DUMMYFUNCTION("""COMPUTED_VALUE"""),"Daniel")</f>
        <v>Daniel</v>
      </c>
      <c r="E4277" s="6" t="str">
        <f>IFERROR(__xludf.DUMMYFUNCTION("""COMPUTED_VALUE"""),"")</f>
        <v/>
      </c>
      <c r="F4277" s="6" t="str">
        <f>IFERROR(__xludf.DUMMYFUNCTION("""COMPUTED_VALUE"""),"De La Cruz Yax")</f>
        <v>De La Cruz Yax</v>
      </c>
      <c r="G4277" s="6" t="str">
        <f>IFERROR(__xludf.DUMMYFUNCTION("""COMPUTED_VALUE"""),"10/26/2014")</f>
        <v>10/26/2014</v>
      </c>
      <c r="H4277" s="6" t="str">
        <f>IFERROR(__xludf.DUMMYFUNCTION("""COMPUTED_VALUE"""),"male")</f>
        <v>male</v>
      </c>
      <c r="I4277" s="6" t="str">
        <f>IFERROR(__xludf.DUMMYFUNCTION("""COMPUTED_VALUE"""),"Level 2")</f>
        <v>Level 2</v>
      </c>
      <c r="J4277" s="6" t="str">
        <f>IFERROR(__xludf.DUMMYFUNCTION("""COMPUTED_VALUE"""),"5")</f>
        <v>5</v>
      </c>
      <c r="K4277" s="6" t="str">
        <f>IFERROR(__xludf.DUMMYFUNCTION("""COMPUTED_VALUE"""),"daniel.delacruzyax@2hourlearning.com")</f>
        <v>daniel.delacruzyax@2hourlearning.com</v>
      </c>
      <c r="L4277" s="6" t="str">
        <f>IFERROR(__xludf.DUMMYFUNCTION("""COMPUTED_VALUE"""),"JHES - Hardeeville Elementary School")</f>
        <v>JHES - Hardeeville Elementary School</v>
      </c>
      <c r="M4277" s="6" t="str">
        <f>IFERROR(__xludf.DUMMYFUNCTION("""COMPUTED_VALUE"""),"")</f>
        <v/>
      </c>
      <c r="N4277" s="6" t="str">
        <f>IFERROR(__xludf.DUMMYFUNCTION("""COMPUTED_VALUE"""),"")</f>
        <v/>
      </c>
      <c r="O4277" s="87" t="str">
        <f>IFERROR(__xludf.DUMMYFUNCTION("""COMPUTED_VALUE"""),"https://drive.google.com/drive/folders/10T2cTQHqEJZqE-st6uFKPoI?usp=share_link")</f>
        <v>https://drive.google.com/drive/folders/10T2cTQHqEJZqE-st6uFKPoI?usp=share_link</v>
      </c>
      <c r="P4277" s="6" t="str">
        <f>IFERROR(__xludf.DUMMYFUNCTION("""COMPUTED_VALUE"""),"Daniel De La Cruz Yax")</f>
        <v>Daniel De La Cruz Yax</v>
      </c>
      <c r="Q4277" s="6" t="str">
        <f>IFERROR(__xludf.DUMMYFUNCTION("""COMPUTED_VALUE"""),"L2")</f>
        <v>L2</v>
      </c>
      <c r="R4277" s="6">
        <f>IFERROR(__xludf.DUMMYFUNCTION("""COMPUTED_VALUE"""),2.0)</f>
        <v>2</v>
      </c>
      <c r="S4277" s="6" t="str">
        <f>IFERROR(__xludf.DUMMYFUNCTION("""COMPUTED_VALUE""")," ")</f>
        <v> </v>
      </c>
      <c r="T4277" s="6" t="str">
        <f>IFERROR(__xludf.DUMMYFUNCTION("""COMPUTED_VALUE"""),"")</f>
        <v/>
      </c>
      <c r="U4277" s="6" t="str">
        <f>IFERROR(__xludf.DUMMYFUNCTION("""COMPUTED_VALUE"""),"5")</f>
        <v>5</v>
      </c>
      <c r="V4277" s="6" t="str">
        <f>IFERROR(__xludf.DUMMYFUNCTION("""COMPUTED_VALUE"""),"")</f>
        <v/>
      </c>
      <c r="W4277" s="6" t="str">
        <f>IFERROR(__xludf.DUMMYFUNCTION("""COMPUTED_VALUE"""),"[]")</f>
        <v>[]</v>
      </c>
      <c r="X4277" s="6" t="str">
        <f>IFERROR(__xludf.DUMMYFUNCTION("""COMPUTED_VALUE"""),"Enrolled")</f>
        <v>Enrolled</v>
      </c>
    </row>
    <row r="4278">
      <c r="A4278" s="6" t="str">
        <f>IFERROR(__xludf.DUMMYFUNCTION("""COMPUTED_VALUE"""),"083-11565")</f>
        <v>083-11565</v>
      </c>
      <c r="B4278" s="6" t="str">
        <f>IFERROR(__xludf.DUMMYFUNCTION("""COMPUTED_VALUE"""),"83")</f>
        <v>83</v>
      </c>
      <c r="C4278" s="6" t="str">
        <f>IFERROR(__xludf.DUMMYFUNCTION("""COMPUTED_VALUE"""),"11565")</f>
        <v>11565</v>
      </c>
      <c r="D4278" s="6" t="str">
        <f>IFERROR(__xludf.DUMMYFUNCTION("""COMPUTED_VALUE"""),"Josafat")</f>
        <v>Josafat</v>
      </c>
      <c r="E4278" s="6" t="str">
        <f>IFERROR(__xludf.DUMMYFUNCTION("""COMPUTED_VALUE"""),"")</f>
        <v/>
      </c>
      <c r="F4278" s="6" t="str">
        <f>IFERROR(__xludf.DUMMYFUNCTION("""COMPUTED_VALUE"""),"Escalante Izaguirre")</f>
        <v>Escalante Izaguirre</v>
      </c>
      <c r="G4278" s="6" t="str">
        <f>IFERROR(__xludf.DUMMYFUNCTION("""COMPUTED_VALUE"""),"09/30/2014")</f>
        <v>09/30/2014</v>
      </c>
      <c r="H4278" s="6" t="str">
        <f>IFERROR(__xludf.DUMMYFUNCTION("""COMPUTED_VALUE"""),"male")</f>
        <v>male</v>
      </c>
      <c r="I4278" s="6" t="str">
        <f>IFERROR(__xludf.DUMMYFUNCTION("""COMPUTED_VALUE"""),"Level 2")</f>
        <v>Level 2</v>
      </c>
      <c r="J4278" s="6" t="str">
        <f>IFERROR(__xludf.DUMMYFUNCTION("""COMPUTED_VALUE"""),"5")</f>
        <v>5</v>
      </c>
      <c r="K4278" s="6" t="str">
        <f>IFERROR(__xludf.DUMMYFUNCTION("""COMPUTED_VALUE"""),"josafat.escalanteizaguirre@2hourlearning.com")</f>
        <v>josafat.escalanteizaguirre@2hourlearning.com</v>
      </c>
      <c r="L4278" s="6" t="str">
        <f>IFERROR(__xludf.DUMMYFUNCTION("""COMPUTED_VALUE"""),"JHES - Hardeeville Elementary School")</f>
        <v>JHES - Hardeeville Elementary School</v>
      </c>
      <c r="M4278" s="6" t="str">
        <f>IFERROR(__xludf.DUMMYFUNCTION("""COMPUTED_VALUE"""),"")</f>
        <v/>
      </c>
      <c r="N4278" s="6" t="str">
        <f>IFERROR(__xludf.DUMMYFUNCTION("""COMPUTED_VALUE"""),"")</f>
        <v/>
      </c>
      <c r="O4278" s="87" t="str">
        <f>IFERROR(__xludf.DUMMYFUNCTION("""COMPUTED_VALUE"""),"https://drive.google.com/drive/folders/10T2cTQHqEJZqE-st6uFKPoI?usp=share_link")</f>
        <v>https://drive.google.com/drive/folders/10T2cTQHqEJZqE-st6uFKPoI?usp=share_link</v>
      </c>
      <c r="P4278" s="6" t="str">
        <f>IFERROR(__xludf.DUMMYFUNCTION("""COMPUTED_VALUE"""),"Josafat Escalante Izaguirre")</f>
        <v>Josafat Escalante Izaguirre</v>
      </c>
      <c r="Q4278" s="6" t="str">
        <f>IFERROR(__xludf.DUMMYFUNCTION("""COMPUTED_VALUE"""),"L2")</f>
        <v>L2</v>
      </c>
      <c r="R4278" s="6">
        <f>IFERROR(__xludf.DUMMYFUNCTION("""COMPUTED_VALUE"""),2.0)</f>
        <v>2</v>
      </c>
      <c r="S4278" s="6" t="str">
        <f>IFERROR(__xludf.DUMMYFUNCTION("""COMPUTED_VALUE""")," ")</f>
        <v> </v>
      </c>
      <c r="T4278" s="6" t="str">
        <f>IFERROR(__xludf.DUMMYFUNCTION("""COMPUTED_VALUE"""),"")</f>
        <v/>
      </c>
      <c r="U4278" s="6" t="str">
        <f>IFERROR(__xludf.DUMMYFUNCTION("""COMPUTED_VALUE"""),"5")</f>
        <v>5</v>
      </c>
      <c r="V4278" s="6" t="str">
        <f>IFERROR(__xludf.DUMMYFUNCTION("""COMPUTED_VALUE"""),"")</f>
        <v/>
      </c>
      <c r="W4278" s="6" t="str">
        <f>IFERROR(__xludf.DUMMYFUNCTION("""COMPUTED_VALUE"""),"[]")</f>
        <v>[]</v>
      </c>
      <c r="X4278" s="6" t="str">
        <f>IFERROR(__xludf.DUMMYFUNCTION("""COMPUTED_VALUE"""),"Enrolled")</f>
        <v>Enrolled</v>
      </c>
    </row>
    <row r="4279">
      <c r="A4279" s="6" t="str">
        <f>IFERROR(__xludf.DUMMYFUNCTION("""COMPUTED_VALUE"""),"083-11566")</f>
        <v>083-11566</v>
      </c>
      <c r="B4279" s="6" t="str">
        <f>IFERROR(__xludf.DUMMYFUNCTION("""COMPUTED_VALUE"""),"83")</f>
        <v>83</v>
      </c>
      <c r="C4279" s="6" t="str">
        <f>IFERROR(__xludf.DUMMYFUNCTION("""COMPUTED_VALUE"""),"11566")</f>
        <v>11566</v>
      </c>
      <c r="D4279" s="6" t="str">
        <f>IFERROR(__xludf.DUMMYFUNCTION("""COMPUTED_VALUE"""),"Aljaray")</f>
        <v>Aljaray</v>
      </c>
      <c r="E4279" s="6" t="str">
        <f>IFERROR(__xludf.DUMMYFUNCTION("""COMPUTED_VALUE"""),"")</f>
        <v/>
      </c>
      <c r="F4279" s="6" t="str">
        <f>IFERROR(__xludf.DUMMYFUNCTION("""COMPUTED_VALUE"""),"Manuel")</f>
        <v>Manuel</v>
      </c>
      <c r="G4279" s="6" t="str">
        <f>IFERROR(__xludf.DUMMYFUNCTION("""COMPUTED_VALUE"""),"02/19/2015")</f>
        <v>02/19/2015</v>
      </c>
      <c r="H4279" s="6" t="str">
        <f>IFERROR(__xludf.DUMMYFUNCTION("""COMPUTED_VALUE"""),"male")</f>
        <v>male</v>
      </c>
      <c r="I4279" s="6" t="str">
        <f>IFERROR(__xludf.DUMMYFUNCTION("""COMPUTED_VALUE"""),"Level 2")</f>
        <v>Level 2</v>
      </c>
      <c r="J4279" s="6" t="str">
        <f>IFERROR(__xludf.DUMMYFUNCTION("""COMPUTED_VALUE"""),"5")</f>
        <v>5</v>
      </c>
      <c r="K4279" s="6" t="str">
        <f>IFERROR(__xludf.DUMMYFUNCTION("""COMPUTED_VALUE"""),"aljaray.manuel@2hourlearning.com")</f>
        <v>aljaray.manuel@2hourlearning.com</v>
      </c>
      <c r="L4279" s="6" t="str">
        <f>IFERROR(__xludf.DUMMYFUNCTION("""COMPUTED_VALUE"""),"JHES - Hardeeville Elementary School")</f>
        <v>JHES - Hardeeville Elementary School</v>
      </c>
      <c r="M4279" s="6" t="str">
        <f>IFERROR(__xludf.DUMMYFUNCTION("""COMPUTED_VALUE"""),"")</f>
        <v/>
      </c>
      <c r="N4279" s="6" t="str">
        <f>IFERROR(__xludf.DUMMYFUNCTION("""COMPUTED_VALUE"""),"")</f>
        <v/>
      </c>
      <c r="O4279" s="87" t="str">
        <f>IFERROR(__xludf.DUMMYFUNCTION("""COMPUTED_VALUE"""),"https://drive.google.com/drive/folders/10T2cTQHqEJZqE-st6uFKPoI?usp=share_link")</f>
        <v>https://drive.google.com/drive/folders/10T2cTQHqEJZqE-st6uFKPoI?usp=share_link</v>
      </c>
      <c r="P4279" s="6" t="str">
        <f>IFERROR(__xludf.DUMMYFUNCTION("""COMPUTED_VALUE"""),"Aljaray Manuel")</f>
        <v>Aljaray Manuel</v>
      </c>
      <c r="Q4279" s="6" t="str">
        <f>IFERROR(__xludf.DUMMYFUNCTION("""COMPUTED_VALUE"""),"L2")</f>
        <v>L2</v>
      </c>
      <c r="R4279" s="6">
        <f>IFERROR(__xludf.DUMMYFUNCTION("""COMPUTED_VALUE"""),2.0)</f>
        <v>2</v>
      </c>
      <c r="S4279" s="6" t="str">
        <f>IFERROR(__xludf.DUMMYFUNCTION("""COMPUTED_VALUE""")," ")</f>
        <v> </v>
      </c>
      <c r="T4279" s="6" t="str">
        <f>IFERROR(__xludf.DUMMYFUNCTION("""COMPUTED_VALUE"""),"")</f>
        <v/>
      </c>
      <c r="U4279" s="6" t="str">
        <f>IFERROR(__xludf.DUMMYFUNCTION("""COMPUTED_VALUE"""),"5")</f>
        <v>5</v>
      </c>
      <c r="V4279" s="6" t="str">
        <f>IFERROR(__xludf.DUMMYFUNCTION("""COMPUTED_VALUE"""),"")</f>
        <v/>
      </c>
      <c r="W4279" s="6" t="str">
        <f>IFERROR(__xludf.DUMMYFUNCTION("""COMPUTED_VALUE"""),"[]")</f>
        <v>[]</v>
      </c>
      <c r="X4279" s="6" t="str">
        <f>IFERROR(__xludf.DUMMYFUNCTION("""COMPUTED_VALUE"""),"Enrolled")</f>
        <v>Enrolled</v>
      </c>
    </row>
    <row r="4280">
      <c r="A4280" s="6" t="str">
        <f>IFERROR(__xludf.DUMMYFUNCTION("""COMPUTED_VALUE"""),"083-11567")</f>
        <v>083-11567</v>
      </c>
      <c r="B4280" s="6" t="str">
        <f>IFERROR(__xludf.DUMMYFUNCTION("""COMPUTED_VALUE"""),"83")</f>
        <v>83</v>
      </c>
      <c r="C4280" s="6" t="str">
        <f>IFERROR(__xludf.DUMMYFUNCTION("""COMPUTED_VALUE"""),"11567")</f>
        <v>11567</v>
      </c>
      <c r="D4280" s="6" t="str">
        <f>IFERROR(__xludf.DUMMYFUNCTION("""COMPUTED_VALUE"""),"Chance")</f>
        <v>Chance</v>
      </c>
      <c r="E4280" s="6" t="str">
        <f>IFERROR(__xludf.DUMMYFUNCTION("""COMPUTED_VALUE"""),"")</f>
        <v/>
      </c>
      <c r="F4280" s="6" t="str">
        <f>IFERROR(__xludf.DUMMYFUNCTION("""COMPUTED_VALUE"""),"Mervin")</f>
        <v>Mervin</v>
      </c>
      <c r="G4280" s="6" t="str">
        <f>IFERROR(__xludf.DUMMYFUNCTION("""COMPUTED_VALUE"""),"02/09/2015")</f>
        <v>02/09/2015</v>
      </c>
      <c r="H4280" s="6" t="str">
        <f>IFERROR(__xludf.DUMMYFUNCTION("""COMPUTED_VALUE"""),"male")</f>
        <v>male</v>
      </c>
      <c r="I4280" s="6" t="str">
        <f>IFERROR(__xludf.DUMMYFUNCTION("""COMPUTED_VALUE"""),"Level 2")</f>
        <v>Level 2</v>
      </c>
      <c r="J4280" s="6" t="str">
        <f>IFERROR(__xludf.DUMMYFUNCTION("""COMPUTED_VALUE"""),"5")</f>
        <v>5</v>
      </c>
      <c r="K4280" s="6" t="str">
        <f>IFERROR(__xludf.DUMMYFUNCTION("""COMPUTED_VALUE"""),"chance.mervin@2hourlearning.com")</f>
        <v>chance.mervin@2hourlearning.com</v>
      </c>
      <c r="L4280" s="6" t="str">
        <f>IFERROR(__xludf.DUMMYFUNCTION("""COMPUTED_VALUE"""),"JHES - Hardeeville Elementary School")</f>
        <v>JHES - Hardeeville Elementary School</v>
      </c>
      <c r="M4280" s="6" t="str">
        <f>IFERROR(__xludf.DUMMYFUNCTION("""COMPUTED_VALUE"""),"")</f>
        <v/>
      </c>
      <c r="N4280" s="6" t="str">
        <f>IFERROR(__xludf.DUMMYFUNCTION("""COMPUTED_VALUE"""),"")</f>
        <v/>
      </c>
      <c r="O4280" s="87" t="str">
        <f>IFERROR(__xludf.DUMMYFUNCTION("""COMPUTED_VALUE"""),"https://drive.google.com/drive/folders/10T2cTQHqEJZqE-st6uFKPoI?usp=share_link")</f>
        <v>https://drive.google.com/drive/folders/10T2cTQHqEJZqE-st6uFKPoI?usp=share_link</v>
      </c>
      <c r="P4280" s="6" t="str">
        <f>IFERROR(__xludf.DUMMYFUNCTION("""COMPUTED_VALUE"""),"Chance Mervin")</f>
        <v>Chance Mervin</v>
      </c>
      <c r="Q4280" s="6" t="str">
        <f>IFERROR(__xludf.DUMMYFUNCTION("""COMPUTED_VALUE"""),"L2")</f>
        <v>L2</v>
      </c>
      <c r="R4280" s="6">
        <f>IFERROR(__xludf.DUMMYFUNCTION("""COMPUTED_VALUE"""),2.0)</f>
        <v>2</v>
      </c>
      <c r="S4280" s="6" t="str">
        <f>IFERROR(__xludf.DUMMYFUNCTION("""COMPUTED_VALUE""")," ")</f>
        <v> </v>
      </c>
      <c r="T4280" s="6" t="str">
        <f>IFERROR(__xludf.DUMMYFUNCTION("""COMPUTED_VALUE"""),"")</f>
        <v/>
      </c>
      <c r="U4280" s="6" t="str">
        <f>IFERROR(__xludf.DUMMYFUNCTION("""COMPUTED_VALUE"""),"5")</f>
        <v>5</v>
      </c>
      <c r="V4280" s="6" t="str">
        <f>IFERROR(__xludf.DUMMYFUNCTION("""COMPUTED_VALUE"""),"")</f>
        <v/>
      </c>
      <c r="W4280" s="6" t="str">
        <f>IFERROR(__xludf.DUMMYFUNCTION("""COMPUTED_VALUE"""),"[]")</f>
        <v>[]</v>
      </c>
      <c r="X4280" s="6" t="str">
        <f>IFERROR(__xludf.DUMMYFUNCTION("""COMPUTED_VALUE"""),"Enrolled")</f>
        <v>Enrolled</v>
      </c>
    </row>
    <row r="4281">
      <c r="A4281" s="6" t="str">
        <f>IFERROR(__xludf.DUMMYFUNCTION("""COMPUTED_VALUE"""),"083-11568")</f>
        <v>083-11568</v>
      </c>
      <c r="B4281" s="6" t="str">
        <f>IFERROR(__xludf.DUMMYFUNCTION("""COMPUTED_VALUE"""),"83")</f>
        <v>83</v>
      </c>
      <c r="C4281" s="6" t="str">
        <f>IFERROR(__xludf.DUMMYFUNCTION("""COMPUTED_VALUE"""),"11568")</f>
        <v>11568</v>
      </c>
      <c r="D4281" s="6" t="str">
        <f>IFERROR(__xludf.DUMMYFUNCTION("""COMPUTED_VALUE"""),"Thomas Josiah")</f>
        <v>Thomas Josiah</v>
      </c>
      <c r="E4281" s="6" t="str">
        <f>IFERROR(__xludf.DUMMYFUNCTION("""COMPUTED_VALUE"""),"")</f>
        <v/>
      </c>
      <c r="F4281" s="6" t="str">
        <f>IFERROR(__xludf.DUMMYFUNCTION("""COMPUTED_VALUE"""),"Oliveras")</f>
        <v>Oliveras</v>
      </c>
      <c r="G4281" s="6" t="str">
        <f>IFERROR(__xludf.DUMMYFUNCTION("""COMPUTED_VALUE"""),"02/24/2015")</f>
        <v>02/24/2015</v>
      </c>
      <c r="H4281" s="6" t="str">
        <f>IFERROR(__xludf.DUMMYFUNCTION("""COMPUTED_VALUE"""),"male")</f>
        <v>male</v>
      </c>
      <c r="I4281" s="6" t="str">
        <f>IFERROR(__xludf.DUMMYFUNCTION("""COMPUTED_VALUE"""),"Level 2")</f>
        <v>Level 2</v>
      </c>
      <c r="J4281" s="6" t="str">
        <f>IFERROR(__xludf.DUMMYFUNCTION("""COMPUTED_VALUE"""),"5")</f>
        <v>5</v>
      </c>
      <c r="K4281" s="6" t="str">
        <f>IFERROR(__xludf.DUMMYFUNCTION("""COMPUTED_VALUE"""),"thomasjosiah.oliveras@2hourlearning.com")</f>
        <v>thomasjosiah.oliveras@2hourlearning.com</v>
      </c>
      <c r="L4281" s="6" t="str">
        <f>IFERROR(__xludf.DUMMYFUNCTION("""COMPUTED_VALUE"""),"JHES - Hardeeville Elementary School")</f>
        <v>JHES - Hardeeville Elementary School</v>
      </c>
      <c r="M4281" s="6" t="str">
        <f>IFERROR(__xludf.DUMMYFUNCTION("""COMPUTED_VALUE"""),"")</f>
        <v/>
      </c>
      <c r="N4281" s="6" t="str">
        <f>IFERROR(__xludf.DUMMYFUNCTION("""COMPUTED_VALUE"""),"")</f>
        <v/>
      </c>
      <c r="O4281" s="87" t="str">
        <f>IFERROR(__xludf.DUMMYFUNCTION("""COMPUTED_VALUE"""),"https://drive.google.com/drive/folders/10T2cTQHqEJZqE-st6uFKPoI?usp=share_link")</f>
        <v>https://drive.google.com/drive/folders/10T2cTQHqEJZqE-st6uFKPoI?usp=share_link</v>
      </c>
      <c r="P4281" s="6" t="str">
        <f>IFERROR(__xludf.DUMMYFUNCTION("""COMPUTED_VALUE"""),"Thomas Josiah Oliveras")</f>
        <v>Thomas Josiah Oliveras</v>
      </c>
      <c r="Q4281" s="6" t="str">
        <f>IFERROR(__xludf.DUMMYFUNCTION("""COMPUTED_VALUE"""),"L2")</f>
        <v>L2</v>
      </c>
      <c r="R4281" s="6">
        <f>IFERROR(__xludf.DUMMYFUNCTION("""COMPUTED_VALUE"""),2.0)</f>
        <v>2</v>
      </c>
      <c r="S4281" s="6" t="str">
        <f>IFERROR(__xludf.DUMMYFUNCTION("""COMPUTED_VALUE""")," ")</f>
        <v> </v>
      </c>
      <c r="T4281" s="6" t="str">
        <f>IFERROR(__xludf.DUMMYFUNCTION("""COMPUTED_VALUE"""),"")</f>
        <v/>
      </c>
      <c r="U4281" s="6" t="str">
        <f>IFERROR(__xludf.DUMMYFUNCTION("""COMPUTED_VALUE"""),"5")</f>
        <v>5</v>
      </c>
      <c r="V4281" s="6" t="str">
        <f>IFERROR(__xludf.DUMMYFUNCTION("""COMPUTED_VALUE"""),"")</f>
        <v/>
      </c>
      <c r="W4281" s="6" t="str">
        <f>IFERROR(__xludf.DUMMYFUNCTION("""COMPUTED_VALUE"""),"[]")</f>
        <v>[]</v>
      </c>
      <c r="X4281" s="6" t="str">
        <f>IFERROR(__xludf.DUMMYFUNCTION("""COMPUTED_VALUE"""),"Enrolled")</f>
        <v>Enrolled</v>
      </c>
    </row>
    <row r="4282">
      <c r="A4282" s="6" t="str">
        <f>IFERROR(__xludf.DUMMYFUNCTION("""COMPUTED_VALUE"""),"083-11569")</f>
        <v>083-11569</v>
      </c>
      <c r="B4282" s="6" t="str">
        <f>IFERROR(__xludf.DUMMYFUNCTION("""COMPUTED_VALUE"""),"83")</f>
        <v>83</v>
      </c>
      <c r="C4282" s="6" t="str">
        <f>IFERROR(__xludf.DUMMYFUNCTION("""COMPUTED_VALUE"""),"11569")</f>
        <v>11569</v>
      </c>
      <c r="D4282" s="6" t="str">
        <f>IFERROR(__xludf.DUMMYFUNCTION("""COMPUTED_VALUE"""),"Brandon Gael")</f>
        <v>Brandon Gael</v>
      </c>
      <c r="E4282" s="6" t="str">
        <f>IFERROR(__xludf.DUMMYFUNCTION("""COMPUTED_VALUE"""),"")</f>
        <v/>
      </c>
      <c r="F4282" s="6" t="str">
        <f>IFERROR(__xludf.DUMMYFUNCTION("""COMPUTED_VALUE"""),"Anzures")</f>
        <v>Anzures</v>
      </c>
      <c r="G4282" s="6" t="str">
        <f>IFERROR(__xludf.DUMMYFUNCTION("""COMPUTED_VALUE"""),"06/01/2016")</f>
        <v>06/01/2016</v>
      </c>
      <c r="H4282" s="6" t="str">
        <f>IFERROR(__xludf.DUMMYFUNCTION("""COMPUTED_VALUE"""),"male")</f>
        <v>male</v>
      </c>
      <c r="I4282" s="6" t="str">
        <f>IFERROR(__xludf.DUMMYFUNCTION("""COMPUTED_VALUE"""),"Level 2")</f>
        <v>Level 2</v>
      </c>
      <c r="J4282" s="6" t="str">
        <f>IFERROR(__xludf.DUMMYFUNCTION("""COMPUTED_VALUE"""),"4")</f>
        <v>4</v>
      </c>
      <c r="K4282" s="6" t="str">
        <f>IFERROR(__xludf.DUMMYFUNCTION("""COMPUTED_VALUE"""),"brandongael.anzures@2hourlearning.com")</f>
        <v>brandongael.anzures@2hourlearning.com</v>
      </c>
      <c r="L4282" s="6" t="str">
        <f>IFERROR(__xludf.DUMMYFUNCTION("""COMPUTED_VALUE"""),"JHES - Hardeeville Elementary School")</f>
        <v>JHES - Hardeeville Elementary School</v>
      </c>
      <c r="M4282" s="6" t="str">
        <f>IFERROR(__xludf.DUMMYFUNCTION("""COMPUTED_VALUE"""),"")</f>
        <v/>
      </c>
      <c r="N4282" s="6" t="str">
        <f>IFERROR(__xludf.DUMMYFUNCTION("""COMPUTED_VALUE"""),"")</f>
        <v/>
      </c>
      <c r="O4282" s="87" t="str">
        <f>IFERROR(__xludf.DUMMYFUNCTION("""COMPUTED_VALUE"""),"https://drive.google.com/drive/folders/10T2cTQHqEJZqE-st6uFKPoI?usp=share_link")</f>
        <v>https://drive.google.com/drive/folders/10T2cTQHqEJZqE-st6uFKPoI?usp=share_link</v>
      </c>
      <c r="P4282" s="6" t="str">
        <f>IFERROR(__xludf.DUMMYFUNCTION("""COMPUTED_VALUE"""),"Brandon Gael Anzures")</f>
        <v>Brandon Gael Anzures</v>
      </c>
      <c r="Q4282" s="6" t="str">
        <f>IFERROR(__xludf.DUMMYFUNCTION("""COMPUTED_VALUE"""),"L2")</f>
        <v>L2</v>
      </c>
      <c r="R4282" s="6">
        <f>IFERROR(__xludf.DUMMYFUNCTION("""COMPUTED_VALUE"""),2.0)</f>
        <v>2</v>
      </c>
      <c r="S4282" s="6" t="str">
        <f>IFERROR(__xludf.DUMMYFUNCTION("""COMPUTED_VALUE""")," ")</f>
        <v> </v>
      </c>
      <c r="T4282" s="6" t="str">
        <f>IFERROR(__xludf.DUMMYFUNCTION("""COMPUTED_VALUE"""),"")</f>
        <v/>
      </c>
      <c r="U4282" s="6" t="str">
        <f>IFERROR(__xludf.DUMMYFUNCTION("""COMPUTED_VALUE"""),"4")</f>
        <v>4</v>
      </c>
      <c r="V4282" s="6" t="str">
        <f>IFERROR(__xludf.DUMMYFUNCTION("""COMPUTED_VALUE"""),"")</f>
        <v/>
      </c>
      <c r="W4282" s="6" t="str">
        <f>IFERROR(__xludf.DUMMYFUNCTION("""COMPUTED_VALUE"""),"[]")</f>
        <v>[]</v>
      </c>
      <c r="X4282" s="6" t="str">
        <f>IFERROR(__xludf.DUMMYFUNCTION("""COMPUTED_VALUE"""),"Enrolled")</f>
        <v>Enrolled</v>
      </c>
    </row>
    <row r="4283">
      <c r="A4283" s="6" t="str">
        <f>IFERROR(__xludf.DUMMYFUNCTION("""COMPUTED_VALUE"""),"083-11570")</f>
        <v>083-11570</v>
      </c>
      <c r="B4283" s="6" t="str">
        <f>IFERROR(__xludf.DUMMYFUNCTION("""COMPUTED_VALUE"""),"83")</f>
        <v>83</v>
      </c>
      <c r="C4283" s="6" t="str">
        <f>IFERROR(__xludf.DUMMYFUNCTION("""COMPUTED_VALUE"""),"11570")</f>
        <v>11570</v>
      </c>
      <c r="D4283" s="6" t="str">
        <f>IFERROR(__xludf.DUMMYFUNCTION("""COMPUTED_VALUE"""),"Adiel")</f>
        <v>Adiel</v>
      </c>
      <c r="E4283" s="6" t="str">
        <f>IFERROR(__xludf.DUMMYFUNCTION("""COMPUTED_VALUE"""),"")</f>
        <v/>
      </c>
      <c r="F4283" s="6" t="str">
        <f>IFERROR(__xludf.DUMMYFUNCTION("""COMPUTED_VALUE"""),"Arellano-Tinoco")</f>
        <v>Arellano-Tinoco</v>
      </c>
      <c r="G4283" s="6" t="str">
        <f>IFERROR(__xludf.DUMMYFUNCTION("""COMPUTED_VALUE"""),"10/13/2015")</f>
        <v>10/13/2015</v>
      </c>
      <c r="H4283" s="6" t="str">
        <f>IFERROR(__xludf.DUMMYFUNCTION("""COMPUTED_VALUE"""),"male")</f>
        <v>male</v>
      </c>
      <c r="I4283" s="6" t="str">
        <f>IFERROR(__xludf.DUMMYFUNCTION("""COMPUTED_VALUE"""),"Level 2")</f>
        <v>Level 2</v>
      </c>
      <c r="J4283" s="6" t="str">
        <f>IFERROR(__xludf.DUMMYFUNCTION("""COMPUTED_VALUE"""),"4")</f>
        <v>4</v>
      </c>
      <c r="K4283" s="6" t="str">
        <f>IFERROR(__xludf.DUMMYFUNCTION("""COMPUTED_VALUE"""),"adiel.arellanotinoco@2hourlearning.com")</f>
        <v>adiel.arellanotinoco@2hourlearning.com</v>
      </c>
      <c r="L4283" s="6" t="str">
        <f>IFERROR(__xludf.DUMMYFUNCTION("""COMPUTED_VALUE"""),"JHES - Hardeeville Elementary School")</f>
        <v>JHES - Hardeeville Elementary School</v>
      </c>
      <c r="M4283" s="6" t="str">
        <f>IFERROR(__xludf.DUMMYFUNCTION("""COMPUTED_VALUE"""),"")</f>
        <v/>
      </c>
      <c r="N4283" s="6" t="str">
        <f>IFERROR(__xludf.DUMMYFUNCTION("""COMPUTED_VALUE"""),"")</f>
        <v/>
      </c>
      <c r="O4283" s="87" t="str">
        <f>IFERROR(__xludf.DUMMYFUNCTION("""COMPUTED_VALUE"""),"https://drive.google.com/drive/folders/10T2cTQHqEJZqE-st6uFKPoI?usp=share_link")</f>
        <v>https://drive.google.com/drive/folders/10T2cTQHqEJZqE-st6uFKPoI?usp=share_link</v>
      </c>
      <c r="P4283" s="6" t="str">
        <f>IFERROR(__xludf.DUMMYFUNCTION("""COMPUTED_VALUE"""),"Adiel Arellano-Tinoco")</f>
        <v>Adiel Arellano-Tinoco</v>
      </c>
      <c r="Q4283" s="6" t="str">
        <f>IFERROR(__xludf.DUMMYFUNCTION("""COMPUTED_VALUE"""),"L2")</f>
        <v>L2</v>
      </c>
      <c r="R4283" s="6">
        <f>IFERROR(__xludf.DUMMYFUNCTION("""COMPUTED_VALUE"""),2.0)</f>
        <v>2</v>
      </c>
      <c r="S4283" s="6" t="str">
        <f>IFERROR(__xludf.DUMMYFUNCTION("""COMPUTED_VALUE""")," ")</f>
        <v> </v>
      </c>
      <c r="T4283" s="6" t="str">
        <f>IFERROR(__xludf.DUMMYFUNCTION("""COMPUTED_VALUE"""),"")</f>
        <v/>
      </c>
      <c r="U4283" s="6" t="str">
        <f>IFERROR(__xludf.DUMMYFUNCTION("""COMPUTED_VALUE"""),"4")</f>
        <v>4</v>
      </c>
      <c r="V4283" s="6" t="str">
        <f>IFERROR(__xludf.DUMMYFUNCTION("""COMPUTED_VALUE"""),"")</f>
        <v/>
      </c>
      <c r="W4283" s="6" t="str">
        <f>IFERROR(__xludf.DUMMYFUNCTION("""COMPUTED_VALUE"""),"[]")</f>
        <v>[]</v>
      </c>
      <c r="X4283" s="6" t="str">
        <f>IFERROR(__xludf.DUMMYFUNCTION("""COMPUTED_VALUE"""),"Enrolled")</f>
        <v>Enrolled</v>
      </c>
    </row>
    <row r="4284">
      <c r="A4284" s="6" t="str">
        <f>IFERROR(__xludf.DUMMYFUNCTION("""COMPUTED_VALUE"""),"083-11571")</f>
        <v>083-11571</v>
      </c>
      <c r="B4284" s="6" t="str">
        <f>IFERROR(__xludf.DUMMYFUNCTION("""COMPUTED_VALUE"""),"83")</f>
        <v>83</v>
      </c>
      <c r="C4284" s="6" t="str">
        <f>IFERROR(__xludf.DUMMYFUNCTION("""COMPUTED_VALUE"""),"11571")</f>
        <v>11571</v>
      </c>
      <c r="D4284" s="6" t="str">
        <f>IFERROR(__xludf.DUMMYFUNCTION("""COMPUTED_VALUE"""),"Santiago")</f>
        <v>Santiago</v>
      </c>
      <c r="E4284" s="6" t="str">
        <f>IFERROR(__xludf.DUMMYFUNCTION("""COMPUTED_VALUE"""),"")</f>
        <v/>
      </c>
      <c r="F4284" s="6" t="str">
        <f>IFERROR(__xludf.DUMMYFUNCTION("""COMPUTED_VALUE"""),"Arriaza Ortiz")</f>
        <v>Arriaza Ortiz</v>
      </c>
      <c r="G4284" s="6" t="str">
        <f>IFERROR(__xludf.DUMMYFUNCTION("""COMPUTED_VALUE"""),"04/08/2016")</f>
        <v>04/08/2016</v>
      </c>
      <c r="H4284" s="6" t="str">
        <f>IFERROR(__xludf.DUMMYFUNCTION("""COMPUTED_VALUE"""),"male")</f>
        <v>male</v>
      </c>
      <c r="I4284" s="6" t="str">
        <f>IFERROR(__xludf.DUMMYFUNCTION("""COMPUTED_VALUE"""),"Level 2")</f>
        <v>Level 2</v>
      </c>
      <c r="J4284" s="6" t="str">
        <f>IFERROR(__xludf.DUMMYFUNCTION("""COMPUTED_VALUE"""),"4")</f>
        <v>4</v>
      </c>
      <c r="K4284" s="6" t="str">
        <f>IFERROR(__xludf.DUMMYFUNCTION("""COMPUTED_VALUE"""),"santiago.arriazaortiz@2hourlearning.com")</f>
        <v>santiago.arriazaortiz@2hourlearning.com</v>
      </c>
      <c r="L4284" s="6" t="str">
        <f>IFERROR(__xludf.DUMMYFUNCTION("""COMPUTED_VALUE"""),"JHES - Hardeeville Elementary School")</f>
        <v>JHES - Hardeeville Elementary School</v>
      </c>
      <c r="M4284" s="6" t="str">
        <f>IFERROR(__xludf.DUMMYFUNCTION("""COMPUTED_VALUE"""),"")</f>
        <v/>
      </c>
      <c r="N4284" s="6" t="str">
        <f>IFERROR(__xludf.DUMMYFUNCTION("""COMPUTED_VALUE"""),"")</f>
        <v/>
      </c>
      <c r="O4284" s="87" t="str">
        <f>IFERROR(__xludf.DUMMYFUNCTION("""COMPUTED_VALUE"""),"https://drive.google.com/drive/folders/10T2cTQHqEJZqE-st6uFKPoI?usp=share_link")</f>
        <v>https://drive.google.com/drive/folders/10T2cTQHqEJZqE-st6uFKPoI?usp=share_link</v>
      </c>
      <c r="P4284" s="6" t="str">
        <f>IFERROR(__xludf.DUMMYFUNCTION("""COMPUTED_VALUE"""),"Santiago Arriaza Ortiz")</f>
        <v>Santiago Arriaza Ortiz</v>
      </c>
      <c r="Q4284" s="6" t="str">
        <f>IFERROR(__xludf.DUMMYFUNCTION("""COMPUTED_VALUE"""),"L2")</f>
        <v>L2</v>
      </c>
      <c r="R4284" s="6">
        <f>IFERROR(__xludf.DUMMYFUNCTION("""COMPUTED_VALUE"""),2.0)</f>
        <v>2</v>
      </c>
      <c r="S4284" s="6" t="str">
        <f>IFERROR(__xludf.DUMMYFUNCTION("""COMPUTED_VALUE""")," ")</f>
        <v> </v>
      </c>
      <c r="T4284" s="6" t="str">
        <f>IFERROR(__xludf.DUMMYFUNCTION("""COMPUTED_VALUE"""),"")</f>
        <v/>
      </c>
      <c r="U4284" s="6" t="str">
        <f>IFERROR(__xludf.DUMMYFUNCTION("""COMPUTED_VALUE"""),"4")</f>
        <v>4</v>
      </c>
      <c r="V4284" s="6" t="str">
        <f>IFERROR(__xludf.DUMMYFUNCTION("""COMPUTED_VALUE"""),"")</f>
        <v/>
      </c>
      <c r="W4284" s="6" t="str">
        <f>IFERROR(__xludf.DUMMYFUNCTION("""COMPUTED_VALUE"""),"[]")</f>
        <v>[]</v>
      </c>
      <c r="X4284" s="6" t="str">
        <f>IFERROR(__xludf.DUMMYFUNCTION("""COMPUTED_VALUE"""),"Enrolled")</f>
        <v>Enrolled</v>
      </c>
    </row>
    <row r="4285">
      <c r="A4285" s="6" t="str">
        <f>IFERROR(__xludf.DUMMYFUNCTION("""COMPUTED_VALUE"""),"083-11572")</f>
        <v>083-11572</v>
      </c>
      <c r="B4285" s="6" t="str">
        <f>IFERROR(__xludf.DUMMYFUNCTION("""COMPUTED_VALUE"""),"83")</f>
        <v>83</v>
      </c>
      <c r="C4285" s="6" t="str">
        <f>IFERROR(__xludf.DUMMYFUNCTION("""COMPUTED_VALUE"""),"11572")</f>
        <v>11572</v>
      </c>
      <c r="D4285" s="6" t="str">
        <f>IFERROR(__xludf.DUMMYFUNCTION("""COMPUTED_VALUE"""),"Synodia")</f>
        <v>Synodia</v>
      </c>
      <c r="E4285" s="6" t="str">
        <f>IFERROR(__xludf.DUMMYFUNCTION("""COMPUTED_VALUE"""),"")</f>
        <v/>
      </c>
      <c r="F4285" s="6" t="str">
        <f>IFERROR(__xludf.DUMMYFUNCTION("""COMPUTED_VALUE"""),"Atkinson")</f>
        <v>Atkinson</v>
      </c>
      <c r="G4285" s="6" t="str">
        <f>IFERROR(__xludf.DUMMYFUNCTION("""COMPUTED_VALUE"""),"03/18/2016")</f>
        <v>03/18/2016</v>
      </c>
      <c r="H4285" s="6" t="str">
        <f>IFERROR(__xludf.DUMMYFUNCTION("""COMPUTED_VALUE"""),"female")</f>
        <v>female</v>
      </c>
      <c r="I4285" s="6" t="str">
        <f>IFERROR(__xludf.DUMMYFUNCTION("""COMPUTED_VALUE"""),"Level 2")</f>
        <v>Level 2</v>
      </c>
      <c r="J4285" s="6" t="str">
        <f>IFERROR(__xludf.DUMMYFUNCTION("""COMPUTED_VALUE"""),"4")</f>
        <v>4</v>
      </c>
      <c r="K4285" s="6" t="str">
        <f>IFERROR(__xludf.DUMMYFUNCTION("""COMPUTED_VALUE"""),"synodia.atkinson@2hourlearning.com")</f>
        <v>synodia.atkinson@2hourlearning.com</v>
      </c>
      <c r="L4285" s="6" t="str">
        <f>IFERROR(__xludf.DUMMYFUNCTION("""COMPUTED_VALUE"""),"JHES - Hardeeville Elementary School")</f>
        <v>JHES - Hardeeville Elementary School</v>
      </c>
      <c r="M4285" s="6" t="str">
        <f>IFERROR(__xludf.DUMMYFUNCTION("""COMPUTED_VALUE"""),"")</f>
        <v/>
      </c>
      <c r="N4285" s="6" t="str">
        <f>IFERROR(__xludf.DUMMYFUNCTION("""COMPUTED_VALUE"""),"")</f>
        <v/>
      </c>
      <c r="O4285" s="87" t="str">
        <f>IFERROR(__xludf.DUMMYFUNCTION("""COMPUTED_VALUE"""),"https://drive.google.com/drive/folders/10T2cTQHqEJZqE-st6uFKPoI?usp=share_link")</f>
        <v>https://drive.google.com/drive/folders/10T2cTQHqEJZqE-st6uFKPoI?usp=share_link</v>
      </c>
      <c r="P4285" s="6" t="str">
        <f>IFERROR(__xludf.DUMMYFUNCTION("""COMPUTED_VALUE"""),"Synodia Atkinson")</f>
        <v>Synodia Atkinson</v>
      </c>
      <c r="Q4285" s="6" t="str">
        <f>IFERROR(__xludf.DUMMYFUNCTION("""COMPUTED_VALUE"""),"L2")</f>
        <v>L2</v>
      </c>
      <c r="R4285" s="6">
        <f>IFERROR(__xludf.DUMMYFUNCTION("""COMPUTED_VALUE"""),2.0)</f>
        <v>2</v>
      </c>
      <c r="S4285" s="6" t="str">
        <f>IFERROR(__xludf.DUMMYFUNCTION("""COMPUTED_VALUE""")," ")</f>
        <v> </v>
      </c>
      <c r="T4285" s="6" t="str">
        <f>IFERROR(__xludf.DUMMYFUNCTION("""COMPUTED_VALUE"""),"")</f>
        <v/>
      </c>
      <c r="U4285" s="6" t="str">
        <f>IFERROR(__xludf.DUMMYFUNCTION("""COMPUTED_VALUE"""),"4")</f>
        <v>4</v>
      </c>
      <c r="V4285" s="6" t="str">
        <f>IFERROR(__xludf.DUMMYFUNCTION("""COMPUTED_VALUE"""),"")</f>
        <v/>
      </c>
      <c r="W4285" s="6" t="str">
        <f>IFERROR(__xludf.DUMMYFUNCTION("""COMPUTED_VALUE"""),"[]")</f>
        <v>[]</v>
      </c>
      <c r="X4285" s="6" t="str">
        <f>IFERROR(__xludf.DUMMYFUNCTION("""COMPUTED_VALUE"""),"Enrolled")</f>
        <v>Enrolled</v>
      </c>
    </row>
    <row r="4286">
      <c r="A4286" s="6" t="str">
        <f>IFERROR(__xludf.DUMMYFUNCTION("""COMPUTED_VALUE"""),"083-11573")</f>
        <v>083-11573</v>
      </c>
      <c r="B4286" s="6" t="str">
        <f>IFERROR(__xludf.DUMMYFUNCTION("""COMPUTED_VALUE"""),"83")</f>
        <v>83</v>
      </c>
      <c r="C4286" s="6" t="str">
        <f>IFERROR(__xludf.DUMMYFUNCTION("""COMPUTED_VALUE"""),"11573")</f>
        <v>11573</v>
      </c>
      <c r="D4286" s="6" t="str">
        <f>IFERROR(__xludf.DUMMYFUNCTION("""COMPUTED_VALUE"""),"Jaxon")</f>
        <v>Jaxon</v>
      </c>
      <c r="E4286" s="6" t="str">
        <f>IFERROR(__xludf.DUMMYFUNCTION("""COMPUTED_VALUE"""),"")</f>
        <v/>
      </c>
      <c r="F4286" s="6" t="str">
        <f>IFERROR(__xludf.DUMMYFUNCTION("""COMPUTED_VALUE"""),"Bader")</f>
        <v>Bader</v>
      </c>
      <c r="G4286" s="6" t="str">
        <f>IFERROR(__xludf.DUMMYFUNCTION("""COMPUTED_VALUE"""),"12/30/2015")</f>
        <v>12/30/2015</v>
      </c>
      <c r="H4286" s="6" t="str">
        <f>IFERROR(__xludf.DUMMYFUNCTION("""COMPUTED_VALUE"""),"male")</f>
        <v>male</v>
      </c>
      <c r="I4286" s="6" t="str">
        <f>IFERROR(__xludf.DUMMYFUNCTION("""COMPUTED_VALUE"""),"Level 2")</f>
        <v>Level 2</v>
      </c>
      <c r="J4286" s="6" t="str">
        <f>IFERROR(__xludf.DUMMYFUNCTION("""COMPUTED_VALUE"""),"4")</f>
        <v>4</v>
      </c>
      <c r="K4286" s="6" t="str">
        <f>IFERROR(__xludf.DUMMYFUNCTION("""COMPUTED_VALUE"""),"jaxon.bader@2hourlearning.com")</f>
        <v>jaxon.bader@2hourlearning.com</v>
      </c>
      <c r="L4286" s="6" t="str">
        <f>IFERROR(__xludf.DUMMYFUNCTION("""COMPUTED_VALUE"""),"JHES - Hardeeville Elementary School")</f>
        <v>JHES - Hardeeville Elementary School</v>
      </c>
      <c r="M4286" s="6" t="str">
        <f>IFERROR(__xludf.DUMMYFUNCTION("""COMPUTED_VALUE"""),"")</f>
        <v/>
      </c>
      <c r="N4286" s="6" t="str">
        <f>IFERROR(__xludf.DUMMYFUNCTION("""COMPUTED_VALUE"""),"")</f>
        <v/>
      </c>
      <c r="O4286" s="87" t="str">
        <f>IFERROR(__xludf.DUMMYFUNCTION("""COMPUTED_VALUE"""),"https://drive.google.com/drive/folders/10T2cTQHqEJZqE-st6uFKPoI?usp=share_link")</f>
        <v>https://drive.google.com/drive/folders/10T2cTQHqEJZqE-st6uFKPoI?usp=share_link</v>
      </c>
      <c r="P4286" s="6" t="str">
        <f>IFERROR(__xludf.DUMMYFUNCTION("""COMPUTED_VALUE"""),"Jaxon Bader")</f>
        <v>Jaxon Bader</v>
      </c>
      <c r="Q4286" s="6" t="str">
        <f>IFERROR(__xludf.DUMMYFUNCTION("""COMPUTED_VALUE"""),"L2")</f>
        <v>L2</v>
      </c>
      <c r="R4286" s="6">
        <f>IFERROR(__xludf.DUMMYFUNCTION("""COMPUTED_VALUE"""),2.0)</f>
        <v>2</v>
      </c>
      <c r="S4286" s="6" t="str">
        <f>IFERROR(__xludf.DUMMYFUNCTION("""COMPUTED_VALUE""")," ")</f>
        <v> </v>
      </c>
      <c r="T4286" s="6" t="str">
        <f>IFERROR(__xludf.DUMMYFUNCTION("""COMPUTED_VALUE"""),"")</f>
        <v/>
      </c>
      <c r="U4286" s="6" t="str">
        <f>IFERROR(__xludf.DUMMYFUNCTION("""COMPUTED_VALUE"""),"4")</f>
        <v>4</v>
      </c>
      <c r="V4286" s="6" t="str">
        <f>IFERROR(__xludf.DUMMYFUNCTION("""COMPUTED_VALUE"""),"")</f>
        <v/>
      </c>
      <c r="W4286" s="6" t="str">
        <f>IFERROR(__xludf.DUMMYFUNCTION("""COMPUTED_VALUE"""),"[]")</f>
        <v>[]</v>
      </c>
      <c r="X4286" s="6" t="str">
        <f>IFERROR(__xludf.DUMMYFUNCTION("""COMPUTED_VALUE"""),"Enrolled")</f>
        <v>Enrolled</v>
      </c>
    </row>
    <row r="4287">
      <c r="A4287" s="6" t="str">
        <f>IFERROR(__xludf.DUMMYFUNCTION("""COMPUTED_VALUE"""),"083-11574")</f>
        <v>083-11574</v>
      </c>
      <c r="B4287" s="6" t="str">
        <f>IFERROR(__xludf.DUMMYFUNCTION("""COMPUTED_VALUE"""),"83")</f>
        <v>83</v>
      </c>
      <c r="C4287" s="6" t="str">
        <f>IFERROR(__xludf.DUMMYFUNCTION("""COMPUTED_VALUE"""),"11574")</f>
        <v>11574</v>
      </c>
      <c r="D4287" s="6" t="str">
        <f>IFERROR(__xludf.DUMMYFUNCTION("""COMPUTED_VALUE"""),"Earnest")</f>
        <v>Earnest</v>
      </c>
      <c r="E4287" s="6" t="str">
        <f>IFERROR(__xludf.DUMMYFUNCTION("""COMPUTED_VALUE"""),"")</f>
        <v/>
      </c>
      <c r="F4287" s="6" t="str">
        <f>IFERROR(__xludf.DUMMYFUNCTION("""COMPUTED_VALUE"""),"Bozeman")</f>
        <v>Bozeman</v>
      </c>
      <c r="G4287" s="6" t="str">
        <f>IFERROR(__xludf.DUMMYFUNCTION("""COMPUTED_VALUE"""),"11/10/2015")</f>
        <v>11/10/2015</v>
      </c>
      <c r="H4287" s="6" t="str">
        <f>IFERROR(__xludf.DUMMYFUNCTION("""COMPUTED_VALUE"""),"male")</f>
        <v>male</v>
      </c>
      <c r="I4287" s="6" t="str">
        <f>IFERROR(__xludf.DUMMYFUNCTION("""COMPUTED_VALUE"""),"Level 2")</f>
        <v>Level 2</v>
      </c>
      <c r="J4287" s="6" t="str">
        <f>IFERROR(__xludf.DUMMYFUNCTION("""COMPUTED_VALUE"""),"4")</f>
        <v>4</v>
      </c>
      <c r="K4287" s="6" t="str">
        <f>IFERROR(__xludf.DUMMYFUNCTION("""COMPUTED_VALUE"""),"earnest.bozeman@2hourlearning.com")</f>
        <v>earnest.bozeman@2hourlearning.com</v>
      </c>
      <c r="L4287" s="6" t="str">
        <f>IFERROR(__xludf.DUMMYFUNCTION("""COMPUTED_VALUE"""),"JHES - Hardeeville Elementary School")</f>
        <v>JHES - Hardeeville Elementary School</v>
      </c>
      <c r="M4287" s="6" t="str">
        <f>IFERROR(__xludf.DUMMYFUNCTION("""COMPUTED_VALUE"""),"")</f>
        <v/>
      </c>
      <c r="N4287" s="6" t="str">
        <f>IFERROR(__xludf.DUMMYFUNCTION("""COMPUTED_VALUE"""),"")</f>
        <v/>
      </c>
      <c r="O4287" s="87" t="str">
        <f>IFERROR(__xludf.DUMMYFUNCTION("""COMPUTED_VALUE"""),"https://drive.google.com/drive/folders/10T2cTQHqEJZqE-st6uFKPoI?usp=share_link")</f>
        <v>https://drive.google.com/drive/folders/10T2cTQHqEJZqE-st6uFKPoI?usp=share_link</v>
      </c>
      <c r="P4287" s="6" t="str">
        <f>IFERROR(__xludf.DUMMYFUNCTION("""COMPUTED_VALUE"""),"Earnest Bozeman")</f>
        <v>Earnest Bozeman</v>
      </c>
      <c r="Q4287" s="6" t="str">
        <f>IFERROR(__xludf.DUMMYFUNCTION("""COMPUTED_VALUE"""),"L2")</f>
        <v>L2</v>
      </c>
      <c r="R4287" s="6">
        <f>IFERROR(__xludf.DUMMYFUNCTION("""COMPUTED_VALUE"""),2.0)</f>
        <v>2</v>
      </c>
      <c r="S4287" s="6" t="str">
        <f>IFERROR(__xludf.DUMMYFUNCTION("""COMPUTED_VALUE""")," ")</f>
        <v> </v>
      </c>
      <c r="T4287" s="6" t="str">
        <f>IFERROR(__xludf.DUMMYFUNCTION("""COMPUTED_VALUE"""),"")</f>
        <v/>
      </c>
      <c r="U4287" s="6" t="str">
        <f>IFERROR(__xludf.DUMMYFUNCTION("""COMPUTED_VALUE"""),"4")</f>
        <v>4</v>
      </c>
      <c r="V4287" s="6" t="str">
        <f>IFERROR(__xludf.DUMMYFUNCTION("""COMPUTED_VALUE"""),"")</f>
        <v/>
      </c>
      <c r="W4287" s="6" t="str">
        <f>IFERROR(__xludf.DUMMYFUNCTION("""COMPUTED_VALUE"""),"[]")</f>
        <v>[]</v>
      </c>
      <c r="X4287" s="6" t="str">
        <f>IFERROR(__xludf.DUMMYFUNCTION("""COMPUTED_VALUE"""),"Enrolled")</f>
        <v>Enrolled</v>
      </c>
    </row>
    <row r="4288">
      <c r="A4288" s="6" t="str">
        <f>IFERROR(__xludf.DUMMYFUNCTION("""COMPUTED_VALUE"""),"083-11575")</f>
        <v>083-11575</v>
      </c>
      <c r="B4288" s="6" t="str">
        <f>IFERROR(__xludf.DUMMYFUNCTION("""COMPUTED_VALUE"""),"83")</f>
        <v>83</v>
      </c>
      <c r="C4288" s="6" t="str">
        <f>IFERROR(__xludf.DUMMYFUNCTION("""COMPUTED_VALUE"""),"11575")</f>
        <v>11575</v>
      </c>
      <c r="D4288" s="6" t="str">
        <f>IFERROR(__xludf.DUMMYFUNCTION("""COMPUTED_VALUE"""),"Jonathan")</f>
        <v>Jonathan</v>
      </c>
      <c r="E4288" s="6" t="str">
        <f>IFERROR(__xludf.DUMMYFUNCTION("""COMPUTED_VALUE"""),"")</f>
        <v/>
      </c>
      <c r="F4288" s="6" t="str">
        <f>IFERROR(__xludf.DUMMYFUNCTION("""COMPUTED_VALUE"""),"Brown")</f>
        <v>Brown</v>
      </c>
      <c r="G4288" s="6" t="str">
        <f>IFERROR(__xludf.DUMMYFUNCTION("""COMPUTED_VALUE"""),"01/15/2016")</f>
        <v>01/15/2016</v>
      </c>
      <c r="H4288" s="6" t="str">
        <f>IFERROR(__xludf.DUMMYFUNCTION("""COMPUTED_VALUE"""),"male")</f>
        <v>male</v>
      </c>
      <c r="I4288" s="6" t="str">
        <f>IFERROR(__xludf.DUMMYFUNCTION("""COMPUTED_VALUE"""),"Level 2")</f>
        <v>Level 2</v>
      </c>
      <c r="J4288" s="6" t="str">
        <f>IFERROR(__xludf.DUMMYFUNCTION("""COMPUTED_VALUE"""),"4")</f>
        <v>4</v>
      </c>
      <c r="K4288" s="6" t="str">
        <f>IFERROR(__xludf.DUMMYFUNCTION("""COMPUTED_VALUE"""),"jonathan.brown@2hourlearning.com")</f>
        <v>jonathan.brown@2hourlearning.com</v>
      </c>
      <c r="L4288" s="6" t="str">
        <f>IFERROR(__xludf.DUMMYFUNCTION("""COMPUTED_VALUE"""),"JHES - Hardeeville Elementary School")</f>
        <v>JHES - Hardeeville Elementary School</v>
      </c>
      <c r="M4288" s="6" t="str">
        <f>IFERROR(__xludf.DUMMYFUNCTION("""COMPUTED_VALUE"""),"")</f>
        <v/>
      </c>
      <c r="N4288" s="6" t="str">
        <f>IFERROR(__xludf.DUMMYFUNCTION("""COMPUTED_VALUE"""),"")</f>
        <v/>
      </c>
      <c r="O4288" s="87" t="str">
        <f>IFERROR(__xludf.DUMMYFUNCTION("""COMPUTED_VALUE"""),"https://drive.google.com/drive/folders/10T2cTQHqEJZqE-st6uFKPoI?usp=share_link")</f>
        <v>https://drive.google.com/drive/folders/10T2cTQHqEJZqE-st6uFKPoI?usp=share_link</v>
      </c>
      <c r="P4288" s="6" t="str">
        <f>IFERROR(__xludf.DUMMYFUNCTION("""COMPUTED_VALUE"""),"Jonathan Brown")</f>
        <v>Jonathan Brown</v>
      </c>
      <c r="Q4288" s="6" t="str">
        <f>IFERROR(__xludf.DUMMYFUNCTION("""COMPUTED_VALUE"""),"L2")</f>
        <v>L2</v>
      </c>
      <c r="R4288" s="6">
        <f>IFERROR(__xludf.DUMMYFUNCTION("""COMPUTED_VALUE"""),2.0)</f>
        <v>2</v>
      </c>
      <c r="S4288" s="6" t="str">
        <f>IFERROR(__xludf.DUMMYFUNCTION("""COMPUTED_VALUE""")," ")</f>
        <v> </v>
      </c>
      <c r="T4288" s="6" t="str">
        <f>IFERROR(__xludf.DUMMYFUNCTION("""COMPUTED_VALUE"""),"")</f>
        <v/>
      </c>
      <c r="U4288" s="6" t="str">
        <f>IFERROR(__xludf.DUMMYFUNCTION("""COMPUTED_VALUE"""),"4")</f>
        <v>4</v>
      </c>
      <c r="V4288" s="6" t="str">
        <f>IFERROR(__xludf.DUMMYFUNCTION("""COMPUTED_VALUE"""),"")</f>
        <v/>
      </c>
      <c r="W4288" s="6" t="str">
        <f>IFERROR(__xludf.DUMMYFUNCTION("""COMPUTED_VALUE"""),"[]")</f>
        <v>[]</v>
      </c>
      <c r="X4288" s="6" t="str">
        <f>IFERROR(__xludf.DUMMYFUNCTION("""COMPUTED_VALUE"""),"Enrolled")</f>
        <v>Enrolled</v>
      </c>
    </row>
    <row r="4289">
      <c r="A4289" s="6" t="str">
        <f>IFERROR(__xludf.DUMMYFUNCTION("""COMPUTED_VALUE"""),"083-11576")</f>
        <v>083-11576</v>
      </c>
      <c r="B4289" s="6" t="str">
        <f>IFERROR(__xludf.DUMMYFUNCTION("""COMPUTED_VALUE"""),"83")</f>
        <v>83</v>
      </c>
      <c r="C4289" s="6" t="str">
        <f>IFERROR(__xludf.DUMMYFUNCTION("""COMPUTED_VALUE"""),"11576")</f>
        <v>11576</v>
      </c>
      <c r="D4289" s="6" t="str">
        <f>IFERROR(__xludf.DUMMYFUNCTION("""COMPUTED_VALUE"""),"Leo")</f>
        <v>Leo</v>
      </c>
      <c r="E4289" s="6" t="str">
        <f>IFERROR(__xludf.DUMMYFUNCTION("""COMPUTED_VALUE"""),"")</f>
        <v/>
      </c>
      <c r="F4289" s="6" t="str">
        <f>IFERROR(__xludf.DUMMYFUNCTION("""COMPUTED_VALUE"""),"Carcamo-Rodriguez")</f>
        <v>Carcamo-Rodriguez</v>
      </c>
      <c r="G4289" s="6" t="str">
        <f>IFERROR(__xludf.DUMMYFUNCTION("""COMPUTED_VALUE"""),"06/11/2016")</f>
        <v>06/11/2016</v>
      </c>
      <c r="H4289" s="6" t="str">
        <f>IFERROR(__xludf.DUMMYFUNCTION("""COMPUTED_VALUE"""),"male")</f>
        <v>male</v>
      </c>
      <c r="I4289" s="6" t="str">
        <f>IFERROR(__xludf.DUMMYFUNCTION("""COMPUTED_VALUE"""),"Level 2")</f>
        <v>Level 2</v>
      </c>
      <c r="J4289" s="6" t="str">
        <f>IFERROR(__xludf.DUMMYFUNCTION("""COMPUTED_VALUE"""),"4")</f>
        <v>4</v>
      </c>
      <c r="K4289" s="6" t="str">
        <f>IFERROR(__xludf.DUMMYFUNCTION("""COMPUTED_VALUE"""),"leo.carcamorodriguez@2hourlearning.com")</f>
        <v>leo.carcamorodriguez@2hourlearning.com</v>
      </c>
      <c r="L4289" s="6" t="str">
        <f>IFERROR(__xludf.DUMMYFUNCTION("""COMPUTED_VALUE"""),"JHES - Hardeeville Elementary School")</f>
        <v>JHES - Hardeeville Elementary School</v>
      </c>
      <c r="M4289" s="6" t="str">
        <f>IFERROR(__xludf.DUMMYFUNCTION("""COMPUTED_VALUE"""),"")</f>
        <v/>
      </c>
      <c r="N4289" s="6" t="str">
        <f>IFERROR(__xludf.DUMMYFUNCTION("""COMPUTED_VALUE"""),"")</f>
        <v/>
      </c>
      <c r="O4289" s="87" t="str">
        <f>IFERROR(__xludf.DUMMYFUNCTION("""COMPUTED_VALUE"""),"https://drive.google.com/drive/folders/10T2cTQHqEJZqE-st6uFKPoI?usp=share_link")</f>
        <v>https://drive.google.com/drive/folders/10T2cTQHqEJZqE-st6uFKPoI?usp=share_link</v>
      </c>
      <c r="P4289" s="6" t="str">
        <f>IFERROR(__xludf.DUMMYFUNCTION("""COMPUTED_VALUE"""),"Leo Carcamo-Rodriguez")</f>
        <v>Leo Carcamo-Rodriguez</v>
      </c>
      <c r="Q4289" s="6" t="str">
        <f>IFERROR(__xludf.DUMMYFUNCTION("""COMPUTED_VALUE"""),"L2")</f>
        <v>L2</v>
      </c>
      <c r="R4289" s="6">
        <f>IFERROR(__xludf.DUMMYFUNCTION("""COMPUTED_VALUE"""),2.0)</f>
        <v>2</v>
      </c>
      <c r="S4289" s="6" t="str">
        <f>IFERROR(__xludf.DUMMYFUNCTION("""COMPUTED_VALUE""")," ")</f>
        <v> </v>
      </c>
      <c r="T4289" s="6" t="str">
        <f>IFERROR(__xludf.DUMMYFUNCTION("""COMPUTED_VALUE"""),"")</f>
        <v/>
      </c>
      <c r="U4289" s="6" t="str">
        <f>IFERROR(__xludf.DUMMYFUNCTION("""COMPUTED_VALUE"""),"4")</f>
        <v>4</v>
      </c>
      <c r="V4289" s="6" t="str">
        <f>IFERROR(__xludf.DUMMYFUNCTION("""COMPUTED_VALUE"""),"")</f>
        <v/>
      </c>
      <c r="W4289" s="6" t="str">
        <f>IFERROR(__xludf.DUMMYFUNCTION("""COMPUTED_VALUE"""),"[]")</f>
        <v>[]</v>
      </c>
      <c r="X4289" s="6" t="str">
        <f>IFERROR(__xludf.DUMMYFUNCTION("""COMPUTED_VALUE"""),"Enrolled")</f>
        <v>Enrolled</v>
      </c>
    </row>
    <row r="4290">
      <c r="A4290" s="6" t="str">
        <f>IFERROR(__xludf.DUMMYFUNCTION("""COMPUTED_VALUE"""),"083-11577")</f>
        <v>083-11577</v>
      </c>
      <c r="B4290" s="6" t="str">
        <f>IFERROR(__xludf.DUMMYFUNCTION("""COMPUTED_VALUE"""),"83")</f>
        <v>83</v>
      </c>
      <c r="C4290" s="6" t="str">
        <f>IFERROR(__xludf.DUMMYFUNCTION("""COMPUTED_VALUE"""),"11577")</f>
        <v>11577</v>
      </c>
      <c r="D4290" s="6" t="str">
        <f>IFERROR(__xludf.DUMMYFUNCTION("""COMPUTED_VALUE"""),"Itzayana")</f>
        <v>Itzayana</v>
      </c>
      <c r="E4290" s="6" t="str">
        <f>IFERROR(__xludf.DUMMYFUNCTION("""COMPUTED_VALUE"""),"")</f>
        <v/>
      </c>
      <c r="F4290" s="6" t="str">
        <f>IFERROR(__xludf.DUMMYFUNCTION("""COMPUTED_VALUE"""),"Caro")</f>
        <v>Caro</v>
      </c>
      <c r="G4290" s="6" t="str">
        <f>IFERROR(__xludf.DUMMYFUNCTION("""COMPUTED_VALUE"""),"06/02/2016")</f>
        <v>06/02/2016</v>
      </c>
      <c r="H4290" s="6" t="str">
        <f>IFERROR(__xludf.DUMMYFUNCTION("""COMPUTED_VALUE"""),"female")</f>
        <v>female</v>
      </c>
      <c r="I4290" s="6" t="str">
        <f>IFERROR(__xludf.DUMMYFUNCTION("""COMPUTED_VALUE"""),"Level 2")</f>
        <v>Level 2</v>
      </c>
      <c r="J4290" s="6" t="str">
        <f>IFERROR(__xludf.DUMMYFUNCTION("""COMPUTED_VALUE"""),"4")</f>
        <v>4</v>
      </c>
      <c r="K4290" s="6" t="str">
        <f>IFERROR(__xludf.DUMMYFUNCTION("""COMPUTED_VALUE"""),"itzayana.caro@2hourlearning.com")</f>
        <v>itzayana.caro@2hourlearning.com</v>
      </c>
      <c r="L4290" s="6" t="str">
        <f>IFERROR(__xludf.DUMMYFUNCTION("""COMPUTED_VALUE"""),"JHES - Hardeeville Elementary School")</f>
        <v>JHES - Hardeeville Elementary School</v>
      </c>
      <c r="M4290" s="6" t="str">
        <f>IFERROR(__xludf.DUMMYFUNCTION("""COMPUTED_VALUE"""),"")</f>
        <v/>
      </c>
      <c r="N4290" s="6" t="str">
        <f>IFERROR(__xludf.DUMMYFUNCTION("""COMPUTED_VALUE"""),"")</f>
        <v/>
      </c>
      <c r="O4290" s="87" t="str">
        <f>IFERROR(__xludf.DUMMYFUNCTION("""COMPUTED_VALUE"""),"https://drive.google.com/drive/folders/10T2cTQHqEJZqE-st6uFKPoI?usp=share_link")</f>
        <v>https://drive.google.com/drive/folders/10T2cTQHqEJZqE-st6uFKPoI?usp=share_link</v>
      </c>
      <c r="P4290" s="6" t="str">
        <f>IFERROR(__xludf.DUMMYFUNCTION("""COMPUTED_VALUE"""),"Itzayana Caro")</f>
        <v>Itzayana Caro</v>
      </c>
      <c r="Q4290" s="6" t="str">
        <f>IFERROR(__xludf.DUMMYFUNCTION("""COMPUTED_VALUE"""),"L2")</f>
        <v>L2</v>
      </c>
      <c r="R4290" s="6">
        <f>IFERROR(__xludf.DUMMYFUNCTION("""COMPUTED_VALUE"""),2.0)</f>
        <v>2</v>
      </c>
      <c r="S4290" s="6" t="str">
        <f>IFERROR(__xludf.DUMMYFUNCTION("""COMPUTED_VALUE""")," ")</f>
        <v> </v>
      </c>
      <c r="T4290" s="6" t="str">
        <f>IFERROR(__xludf.DUMMYFUNCTION("""COMPUTED_VALUE"""),"")</f>
        <v/>
      </c>
      <c r="U4290" s="6" t="str">
        <f>IFERROR(__xludf.DUMMYFUNCTION("""COMPUTED_VALUE"""),"4")</f>
        <v>4</v>
      </c>
      <c r="V4290" s="6" t="str">
        <f>IFERROR(__xludf.DUMMYFUNCTION("""COMPUTED_VALUE"""),"")</f>
        <v/>
      </c>
      <c r="W4290" s="6" t="str">
        <f>IFERROR(__xludf.DUMMYFUNCTION("""COMPUTED_VALUE"""),"[]")</f>
        <v>[]</v>
      </c>
      <c r="X4290" s="6" t="str">
        <f>IFERROR(__xludf.DUMMYFUNCTION("""COMPUTED_VALUE"""),"Enrolled")</f>
        <v>Enrolled</v>
      </c>
    </row>
    <row r="4291">
      <c r="A4291" s="6" t="str">
        <f>IFERROR(__xludf.DUMMYFUNCTION("""COMPUTED_VALUE"""),"083-11578")</f>
        <v>083-11578</v>
      </c>
      <c r="B4291" s="6" t="str">
        <f>IFERROR(__xludf.DUMMYFUNCTION("""COMPUTED_VALUE"""),"83")</f>
        <v>83</v>
      </c>
      <c r="C4291" s="6" t="str">
        <f>IFERROR(__xludf.DUMMYFUNCTION("""COMPUTED_VALUE"""),"11578")</f>
        <v>11578</v>
      </c>
      <c r="D4291" s="6" t="str">
        <f>IFERROR(__xludf.DUMMYFUNCTION("""COMPUTED_VALUE"""),"Grettel")</f>
        <v>Grettel</v>
      </c>
      <c r="E4291" s="6" t="str">
        <f>IFERROR(__xludf.DUMMYFUNCTION("""COMPUTED_VALUE"""),"")</f>
        <v/>
      </c>
      <c r="F4291" s="6" t="str">
        <f>IFERROR(__xludf.DUMMYFUNCTION("""COMPUTED_VALUE"""),"Casillas-Gonzalez")</f>
        <v>Casillas-Gonzalez</v>
      </c>
      <c r="G4291" s="6" t="str">
        <f>IFERROR(__xludf.DUMMYFUNCTION("""COMPUTED_VALUE"""),"04/30/2016")</f>
        <v>04/30/2016</v>
      </c>
      <c r="H4291" s="6" t="str">
        <f>IFERROR(__xludf.DUMMYFUNCTION("""COMPUTED_VALUE"""),"female")</f>
        <v>female</v>
      </c>
      <c r="I4291" s="6" t="str">
        <f>IFERROR(__xludf.DUMMYFUNCTION("""COMPUTED_VALUE"""),"Level 2")</f>
        <v>Level 2</v>
      </c>
      <c r="J4291" s="6" t="str">
        <f>IFERROR(__xludf.DUMMYFUNCTION("""COMPUTED_VALUE"""),"4")</f>
        <v>4</v>
      </c>
      <c r="K4291" s="6" t="str">
        <f>IFERROR(__xludf.DUMMYFUNCTION("""COMPUTED_VALUE"""),"grettel.casillasgonzalez@2hourlearning.com")</f>
        <v>grettel.casillasgonzalez@2hourlearning.com</v>
      </c>
      <c r="L4291" s="6" t="str">
        <f>IFERROR(__xludf.DUMMYFUNCTION("""COMPUTED_VALUE"""),"JHES - Hardeeville Elementary School")</f>
        <v>JHES - Hardeeville Elementary School</v>
      </c>
      <c r="M4291" s="6" t="str">
        <f>IFERROR(__xludf.DUMMYFUNCTION("""COMPUTED_VALUE"""),"")</f>
        <v/>
      </c>
      <c r="N4291" s="6" t="str">
        <f>IFERROR(__xludf.DUMMYFUNCTION("""COMPUTED_VALUE"""),"")</f>
        <v/>
      </c>
      <c r="O4291" s="87" t="str">
        <f>IFERROR(__xludf.DUMMYFUNCTION("""COMPUTED_VALUE"""),"https://drive.google.com/drive/folders/10T2cTQHqEJZqE-st6uFKPoI?usp=share_link")</f>
        <v>https://drive.google.com/drive/folders/10T2cTQHqEJZqE-st6uFKPoI?usp=share_link</v>
      </c>
      <c r="P4291" s="6" t="str">
        <f>IFERROR(__xludf.DUMMYFUNCTION("""COMPUTED_VALUE"""),"Grettel Casillas-Gonzalez")</f>
        <v>Grettel Casillas-Gonzalez</v>
      </c>
      <c r="Q4291" s="6" t="str">
        <f>IFERROR(__xludf.DUMMYFUNCTION("""COMPUTED_VALUE"""),"L2")</f>
        <v>L2</v>
      </c>
      <c r="R4291" s="6">
        <f>IFERROR(__xludf.DUMMYFUNCTION("""COMPUTED_VALUE"""),2.0)</f>
        <v>2</v>
      </c>
      <c r="S4291" s="6" t="str">
        <f>IFERROR(__xludf.DUMMYFUNCTION("""COMPUTED_VALUE""")," ")</f>
        <v> </v>
      </c>
      <c r="T4291" s="6" t="str">
        <f>IFERROR(__xludf.DUMMYFUNCTION("""COMPUTED_VALUE"""),"")</f>
        <v/>
      </c>
      <c r="U4291" s="6" t="str">
        <f>IFERROR(__xludf.DUMMYFUNCTION("""COMPUTED_VALUE"""),"4")</f>
        <v>4</v>
      </c>
      <c r="V4291" s="6" t="str">
        <f>IFERROR(__xludf.DUMMYFUNCTION("""COMPUTED_VALUE"""),"")</f>
        <v/>
      </c>
      <c r="W4291" s="6" t="str">
        <f>IFERROR(__xludf.DUMMYFUNCTION("""COMPUTED_VALUE"""),"[]")</f>
        <v>[]</v>
      </c>
      <c r="X4291" s="6" t="str">
        <f>IFERROR(__xludf.DUMMYFUNCTION("""COMPUTED_VALUE"""),"Enrolled")</f>
        <v>Enrolled</v>
      </c>
    </row>
    <row r="4292">
      <c r="A4292" s="6" t="str">
        <f>IFERROR(__xludf.DUMMYFUNCTION("""COMPUTED_VALUE"""),"083-11579")</f>
        <v>083-11579</v>
      </c>
      <c r="B4292" s="6" t="str">
        <f>IFERROR(__xludf.DUMMYFUNCTION("""COMPUTED_VALUE"""),"83")</f>
        <v>83</v>
      </c>
      <c r="C4292" s="6" t="str">
        <f>IFERROR(__xludf.DUMMYFUNCTION("""COMPUTED_VALUE"""),"11579")</f>
        <v>11579</v>
      </c>
      <c r="D4292" s="6" t="str">
        <f>IFERROR(__xludf.DUMMYFUNCTION("""COMPUTED_VALUE"""),"Alexandria")</f>
        <v>Alexandria</v>
      </c>
      <c r="E4292" s="6" t="str">
        <f>IFERROR(__xludf.DUMMYFUNCTION("""COMPUTED_VALUE"""),"")</f>
        <v/>
      </c>
      <c r="F4292" s="6" t="str">
        <f>IFERROR(__xludf.DUMMYFUNCTION("""COMPUTED_VALUE"""),"Castorena Salgado")</f>
        <v>Castorena Salgado</v>
      </c>
      <c r="G4292" s="6" t="str">
        <f>IFERROR(__xludf.DUMMYFUNCTION("""COMPUTED_VALUE"""),"12/25/2015")</f>
        <v>12/25/2015</v>
      </c>
      <c r="H4292" s="6" t="str">
        <f>IFERROR(__xludf.DUMMYFUNCTION("""COMPUTED_VALUE"""),"female")</f>
        <v>female</v>
      </c>
      <c r="I4292" s="6" t="str">
        <f>IFERROR(__xludf.DUMMYFUNCTION("""COMPUTED_VALUE"""),"Level 2")</f>
        <v>Level 2</v>
      </c>
      <c r="J4292" s="6" t="str">
        <f>IFERROR(__xludf.DUMMYFUNCTION("""COMPUTED_VALUE"""),"4")</f>
        <v>4</v>
      </c>
      <c r="K4292" s="6" t="str">
        <f>IFERROR(__xludf.DUMMYFUNCTION("""COMPUTED_VALUE"""),"alexandria.castorenasalgado@2hourlearning.com")</f>
        <v>alexandria.castorenasalgado@2hourlearning.com</v>
      </c>
      <c r="L4292" s="6" t="str">
        <f>IFERROR(__xludf.DUMMYFUNCTION("""COMPUTED_VALUE"""),"JHES - Hardeeville Elementary School")</f>
        <v>JHES - Hardeeville Elementary School</v>
      </c>
      <c r="M4292" s="6" t="str">
        <f>IFERROR(__xludf.DUMMYFUNCTION("""COMPUTED_VALUE"""),"")</f>
        <v/>
      </c>
      <c r="N4292" s="6" t="str">
        <f>IFERROR(__xludf.DUMMYFUNCTION("""COMPUTED_VALUE"""),"")</f>
        <v/>
      </c>
      <c r="O4292" s="87" t="str">
        <f>IFERROR(__xludf.DUMMYFUNCTION("""COMPUTED_VALUE"""),"https://drive.google.com/drive/folders/10T2cTQHqEJZqE-st6uFKPoI?usp=share_link")</f>
        <v>https://drive.google.com/drive/folders/10T2cTQHqEJZqE-st6uFKPoI?usp=share_link</v>
      </c>
      <c r="P4292" s="6" t="str">
        <f>IFERROR(__xludf.DUMMYFUNCTION("""COMPUTED_VALUE"""),"Alexandria Castorena Salgado")</f>
        <v>Alexandria Castorena Salgado</v>
      </c>
      <c r="Q4292" s="6" t="str">
        <f>IFERROR(__xludf.DUMMYFUNCTION("""COMPUTED_VALUE"""),"L2")</f>
        <v>L2</v>
      </c>
      <c r="R4292" s="6">
        <f>IFERROR(__xludf.DUMMYFUNCTION("""COMPUTED_VALUE"""),2.0)</f>
        <v>2</v>
      </c>
      <c r="S4292" s="6" t="str">
        <f>IFERROR(__xludf.DUMMYFUNCTION("""COMPUTED_VALUE""")," ")</f>
        <v> </v>
      </c>
      <c r="T4292" s="6" t="str">
        <f>IFERROR(__xludf.DUMMYFUNCTION("""COMPUTED_VALUE"""),"")</f>
        <v/>
      </c>
      <c r="U4292" s="6" t="str">
        <f>IFERROR(__xludf.DUMMYFUNCTION("""COMPUTED_VALUE"""),"4")</f>
        <v>4</v>
      </c>
      <c r="V4292" s="6" t="str">
        <f>IFERROR(__xludf.DUMMYFUNCTION("""COMPUTED_VALUE"""),"")</f>
        <v/>
      </c>
      <c r="W4292" s="6" t="str">
        <f>IFERROR(__xludf.DUMMYFUNCTION("""COMPUTED_VALUE"""),"[]")</f>
        <v>[]</v>
      </c>
      <c r="X4292" s="6" t="str">
        <f>IFERROR(__xludf.DUMMYFUNCTION("""COMPUTED_VALUE"""),"Enrolled")</f>
        <v>Enrolled</v>
      </c>
    </row>
    <row r="4293">
      <c r="A4293" s="6" t="str">
        <f>IFERROR(__xludf.DUMMYFUNCTION("""COMPUTED_VALUE"""),"083-11580")</f>
        <v>083-11580</v>
      </c>
      <c r="B4293" s="6" t="str">
        <f>IFERROR(__xludf.DUMMYFUNCTION("""COMPUTED_VALUE"""),"83")</f>
        <v>83</v>
      </c>
      <c r="C4293" s="6" t="str">
        <f>IFERROR(__xludf.DUMMYFUNCTION("""COMPUTED_VALUE"""),"11580")</f>
        <v>11580</v>
      </c>
      <c r="D4293" s="6" t="str">
        <f>IFERROR(__xludf.DUMMYFUNCTION("""COMPUTED_VALUE"""),"Andy")</f>
        <v>Andy</v>
      </c>
      <c r="E4293" s="6" t="str">
        <f>IFERROR(__xludf.DUMMYFUNCTION("""COMPUTED_VALUE"""),"")</f>
        <v/>
      </c>
      <c r="F4293" s="6" t="str">
        <f>IFERROR(__xludf.DUMMYFUNCTION("""COMPUTED_VALUE"""),"Diaz Perez")</f>
        <v>Diaz Perez</v>
      </c>
      <c r="G4293" s="6" t="str">
        <f>IFERROR(__xludf.DUMMYFUNCTION("""COMPUTED_VALUE"""),"02/01/2016")</f>
        <v>02/01/2016</v>
      </c>
      <c r="H4293" s="6" t="str">
        <f>IFERROR(__xludf.DUMMYFUNCTION("""COMPUTED_VALUE"""),"male")</f>
        <v>male</v>
      </c>
      <c r="I4293" s="6" t="str">
        <f>IFERROR(__xludf.DUMMYFUNCTION("""COMPUTED_VALUE"""),"Level 2")</f>
        <v>Level 2</v>
      </c>
      <c r="J4293" s="6" t="str">
        <f>IFERROR(__xludf.DUMMYFUNCTION("""COMPUTED_VALUE"""),"4")</f>
        <v>4</v>
      </c>
      <c r="K4293" s="6" t="str">
        <f>IFERROR(__xludf.DUMMYFUNCTION("""COMPUTED_VALUE"""),"andy.diazperez@2hourlearning.com")</f>
        <v>andy.diazperez@2hourlearning.com</v>
      </c>
      <c r="L4293" s="6" t="str">
        <f>IFERROR(__xludf.DUMMYFUNCTION("""COMPUTED_VALUE"""),"JHES - Hardeeville Elementary School")</f>
        <v>JHES - Hardeeville Elementary School</v>
      </c>
      <c r="M4293" s="6" t="str">
        <f>IFERROR(__xludf.DUMMYFUNCTION("""COMPUTED_VALUE"""),"")</f>
        <v/>
      </c>
      <c r="N4293" s="6" t="str">
        <f>IFERROR(__xludf.DUMMYFUNCTION("""COMPUTED_VALUE"""),"")</f>
        <v/>
      </c>
      <c r="O4293" s="87" t="str">
        <f>IFERROR(__xludf.DUMMYFUNCTION("""COMPUTED_VALUE"""),"https://drive.google.com/drive/folders/10T2cTQHqEJZqE-st6uFKPoI?usp=share_link")</f>
        <v>https://drive.google.com/drive/folders/10T2cTQHqEJZqE-st6uFKPoI?usp=share_link</v>
      </c>
      <c r="P4293" s="6" t="str">
        <f>IFERROR(__xludf.DUMMYFUNCTION("""COMPUTED_VALUE"""),"Andy Diaz Perez")</f>
        <v>Andy Diaz Perez</v>
      </c>
      <c r="Q4293" s="6" t="str">
        <f>IFERROR(__xludf.DUMMYFUNCTION("""COMPUTED_VALUE"""),"L2")</f>
        <v>L2</v>
      </c>
      <c r="R4293" s="6">
        <f>IFERROR(__xludf.DUMMYFUNCTION("""COMPUTED_VALUE"""),2.0)</f>
        <v>2</v>
      </c>
      <c r="S4293" s="6" t="str">
        <f>IFERROR(__xludf.DUMMYFUNCTION("""COMPUTED_VALUE""")," ")</f>
        <v> </v>
      </c>
      <c r="T4293" s="6" t="str">
        <f>IFERROR(__xludf.DUMMYFUNCTION("""COMPUTED_VALUE"""),"")</f>
        <v/>
      </c>
      <c r="U4293" s="6" t="str">
        <f>IFERROR(__xludf.DUMMYFUNCTION("""COMPUTED_VALUE"""),"4")</f>
        <v>4</v>
      </c>
      <c r="V4293" s="6" t="str">
        <f>IFERROR(__xludf.DUMMYFUNCTION("""COMPUTED_VALUE"""),"")</f>
        <v/>
      </c>
      <c r="W4293" s="6" t="str">
        <f>IFERROR(__xludf.DUMMYFUNCTION("""COMPUTED_VALUE"""),"[]")</f>
        <v>[]</v>
      </c>
      <c r="X4293" s="6" t="str">
        <f>IFERROR(__xludf.DUMMYFUNCTION("""COMPUTED_VALUE"""),"Enrolled")</f>
        <v>Enrolled</v>
      </c>
    </row>
    <row r="4294">
      <c r="A4294" s="6" t="str">
        <f>IFERROR(__xludf.DUMMYFUNCTION("""COMPUTED_VALUE"""),"083-11581")</f>
        <v>083-11581</v>
      </c>
      <c r="B4294" s="6" t="str">
        <f>IFERROR(__xludf.DUMMYFUNCTION("""COMPUTED_VALUE"""),"83")</f>
        <v>83</v>
      </c>
      <c r="C4294" s="6" t="str">
        <f>IFERROR(__xludf.DUMMYFUNCTION("""COMPUTED_VALUE"""),"11581")</f>
        <v>11581</v>
      </c>
      <c r="D4294" s="6" t="str">
        <f>IFERROR(__xludf.DUMMYFUNCTION("""COMPUTED_VALUE"""),"Madisynn")</f>
        <v>Madisynn</v>
      </c>
      <c r="E4294" s="6" t="str">
        <f>IFERROR(__xludf.DUMMYFUNCTION("""COMPUTED_VALUE"""),"")</f>
        <v/>
      </c>
      <c r="F4294" s="6" t="str">
        <f>IFERROR(__xludf.DUMMYFUNCTION("""COMPUTED_VALUE"""),"Dowers")</f>
        <v>Dowers</v>
      </c>
      <c r="G4294" s="6" t="str">
        <f>IFERROR(__xludf.DUMMYFUNCTION("""COMPUTED_VALUE"""),"05/04/2016")</f>
        <v>05/04/2016</v>
      </c>
      <c r="H4294" s="6" t="str">
        <f>IFERROR(__xludf.DUMMYFUNCTION("""COMPUTED_VALUE"""),"female")</f>
        <v>female</v>
      </c>
      <c r="I4294" s="6" t="str">
        <f>IFERROR(__xludf.DUMMYFUNCTION("""COMPUTED_VALUE"""),"Level 2")</f>
        <v>Level 2</v>
      </c>
      <c r="J4294" s="6" t="str">
        <f>IFERROR(__xludf.DUMMYFUNCTION("""COMPUTED_VALUE"""),"4")</f>
        <v>4</v>
      </c>
      <c r="K4294" s="6" t="str">
        <f>IFERROR(__xludf.DUMMYFUNCTION("""COMPUTED_VALUE"""),"madisynn.dowers@2hourlearning.com")</f>
        <v>madisynn.dowers@2hourlearning.com</v>
      </c>
      <c r="L4294" s="6" t="str">
        <f>IFERROR(__xludf.DUMMYFUNCTION("""COMPUTED_VALUE"""),"JHES - Hardeeville Elementary School")</f>
        <v>JHES - Hardeeville Elementary School</v>
      </c>
      <c r="M4294" s="6" t="str">
        <f>IFERROR(__xludf.DUMMYFUNCTION("""COMPUTED_VALUE"""),"")</f>
        <v/>
      </c>
      <c r="N4294" s="6" t="str">
        <f>IFERROR(__xludf.DUMMYFUNCTION("""COMPUTED_VALUE"""),"")</f>
        <v/>
      </c>
      <c r="O4294" s="87" t="str">
        <f>IFERROR(__xludf.DUMMYFUNCTION("""COMPUTED_VALUE"""),"https://drive.google.com/drive/folders/10T2cTQHqEJZqE-st6uFKPoI?usp=share_link")</f>
        <v>https://drive.google.com/drive/folders/10T2cTQHqEJZqE-st6uFKPoI?usp=share_link</v>
      </c>
      <c r="P4294" s="6" t="str">
        <f>IFERROR(__xludf.DUMMYFUNCTION("""COMPUTED_VALUE"""),"Madisynn Dowers")</f>
        <v>Madisynn Dowers</v>
      </c>
      <c r="Q4294" s="6" t="str">
        <f>IFERROR(__xludf.DUMMYFUNCTION("""COMPUTED_VALUE"""),"L2")</f>
        <v>L2</v>
      </c>
      <c r="R4294" s="6">
        <f>IFERROR(__xludf.DUMMYFUNCTION("""COMPUTED_VALUE"""),2.0)</f>
        <v>2</v>
      </c>
      <c r="S4294" s="6" t="str">
        <f>IFERROR(__xludf.DUMMYFUNCTION("""COMPUTED_VALUE""")," ")</f>
        <v> </v>
      </c>
      <c r="T4294" s="6" t="str">
        <f>IFERROR(__xludf.DUMMYFUNCTION("""COMPUTED_VALUE"""),"")</f>
        <v/>
      </c>
      <c r="U4294" s="6" t="str">
        <f>IFERROR(__xludf.DUMMYFUNCTION("""COMPUTED_VALUE"""),"4")</f>
        <v>4</v>
      </c>
      <c r="V4294" s="6" t="str">
        <f>IFERROR(__xludf.DUMMYFUNCTION("""COMPUTED_VALUE"""),"")</f>
        <v/>
      </c>
      <c r="W4294" s="6" t="str">
        <f>IFERROR(__xludf.DUMMYFUNCTION("""COMPUTED_VALUE"""),"[]")</f>
        <v>[]</v>
      </c>
      <c r="X4294" s="6" t="str">
        <f>IFERROR(__xludf.DUMMYFUNCTION("""COMPUTED_VALUE"""),"Enrolled")</f>
        <v>Enrolled</v>
      </c>
    </row>
    <row r="4295">
      <c r="A4295" s="6" t="str">
        <f>IFERROR(__xludf.DUMMYFUNCTION("""COMPUTED_VALUE"""),"083-11582")</f>
        <v>083-11582</v>
      </c>
      <c r="B4295" s="6" t="str">
        <f>IFERROR(__xludf.DUMMYFUNCTION("""COMPUTED_VALUE"""),"83")</f>
        <v>83</v>
      </c>
      <c r="C4295" s="6" t="str">
        <f>IFERROR(__xludf.DUMMYFUNCTION("""COMPUTED_VALUE"""),"11582")</f>
        <v>11582</v>
      </c>
      <c r="D4295" s="6" t="str">
        <f>IFERROR(__xludf.DUMMYFUNCTION("""COMPUTED_VALUE"""),"Arelie X")</f>
        <v>Arelie X</v>
      </c>
      <c r="E4295" s="6" t="str">
        <f>IFERROR(__xludf.DUMMYFUNCTION("""COMPUTED_VALUE"""),"")</f>
        <v/>
      </c>
      <c r="F4295" s="6" t="str">
        <f>IFERROR(__xludf.DUMMYFUNCTION("""COMPUTED_VALUE"""),"Escobar")</f>
        <v>Escobar</v>
      </c>
      <c r="G4295" s="6" t="str">
        <f>IFERROR(__xludf.DUMMYFUNCTION("""COMPUTED_VALUE"""),"06/23/2016")</f>
        <v>06/23/2016</v>
      </c>
      <c r="H4295" s="6" t="str">
        <f>IFERROR(__xludf.DUMMYFUNCTION("""COMPUTED_VALUE"""),"female")</f>
        <v>female</v>
      </c>
      <c r="I4295" s="6" t="str">
        <f>IFERROR(__xludf.DUMMYFUNCTION("""COMPUTED_VALUE"""),"Level 2")</f>
        <v>Level 2</v>
      </c>
      <c r="J4295" s="6" t="str">
        <f>IFERROR(__xludf.DUMMYFUNCTION("""COMPUTED_VALUE"""),"4")</f>
        <v>4</v>
      </c>
      <c r="K4295" s="6" t="str">
        <f>IFERROR(__xludf.DUMMYFUNCTION("""COMPUTED_VALUE"""),"areliex.escobar@2hourlearning.com")</f>
        <v>areliex.escobar@2hourlearning.com</v>
      </c>
      <c r="L4295" s="6" t="str">
        <f>IFERROR(__xludf.DUMMYFUNCTION("""COMPUTED_VALUE"""),"JHES - Hardeeville Elementary School")</f>
        <v>JHES - Hardeeville Elementary School</v>
      </c>
      <c r="M4295" s="6" t="str">
        <f>IFERROR(__xludf.DUMMYFUNCTION("""COMPUTED_VALUE"""),"")</f>
        <v/>
      </c>
      <c r="N4295" s="6" t="str">
        <f>IFERROR(__xludf.DUMMYFUNCTION("""COMPUTED_VALUE"""),"")</f>
        <v/>
      </c>
      <c r="O4295" s="87" t="str">
        <f>IFERROR(__xludf.DUMMYFUNCTION("""COMPUTED_VALUE"""),"https://drive.google.com/drive/folders/10T2cTQHqEJZqE-st6uFKPoI?usp=share_link")</f>
        <v>https://drive.google.com/drive/folders/10T2cTQHqEJZqE-st6uFKPoI?usp=share_link</v>
      </c>
      <c r="P4295" s="6" t="str">
        <f>IFERROR(__xludf.DUMMYFUNCTION("""COMPUTED_VALUE"""),"Arelie X Escobar")</f>
        <v>Arelie X Escobar</v>
      </c>
      <c r="Q4295" s="6" t="str">
        <f>IFERROR(__xludf.DUMMYFUNCTION("""COMPUTED_VALUE"""),"L2")</f>
        <v>L2</v>
      </c>
      <c r="R4295" s="6">
        <f>IFERROR(__xludf.DUMMYFUNCTION("""COMPUTED_VALUE"""),2.0)</f>
        <v>2</v>
      </c>
      <c r="S4295" s="6" t="str">
        <f>IFERROR(__xludf.DUMMYFUNCTION("""COMPUTED_VALUE""")," ")</f>
        <v> </v>
      </c>
      <c r="T4295" s="6" t="str">
        <f>IFERROR(__xludf.DUMMYFUNCTION("""COMPUTED_VALUE"""),"")</f>
        <v/>
      </c>
      <c r="U4295" s="6" t="str">
        <f>IFERROR(__xludf.DUMMYFUNCTION("""COMPUTED_VALUE"""),"4")</f>
        <v>4</v>
      </c>
      <c r="V4295" s="6" t="str">
        <f>IFERROR(__xludf.DUMMYFUNCTION("""COMPUTED_VALUE"""),"")</f>
        <v/>
      </c>
      <c r="W4295" s="6" t="str">
        <f>IFERROR(__xludf.DUMMYFUNCTION("""COMPUTED_VALUE"""),"[]")</f>
        <v>[]</v>
      </c>
      <c r="X4295" s="6" t="str">
        <f>IFERROR(__xludf.DUMMYFUNCTION("""COMPUTED_VALUE"""),"Enrolled")</f>
        <v>Enrolled</v>
      </c>
    </row>
    <row r="4296">
      <c r="A4296" s="6" t="str">
        <f>IFERROR(__xludf.DUMMYFUNCTION("""COMPUTED_VALUE"""),"083-11583")</f>
        <v>083-11583</v>
      </c>
      <c r="B4296" s="6" t="str">
        <f>IFERROR(__xludf.DUMMYFUNCTION("""COMPUTED_VALUE"""),"83")</f>
        <v>83</v>
      </c>
      <c r="C4296" s="6" t="str">
        <f>IFERROR(__xludf.DUMMYFUNCTION("""COMPUTED_VALUE"""),"11583")</f>
        <v>11583</v>
      </c>
      <c r="D4296" s="6" t="str">
        <f>IFERROR(__xludf.DUMMYFUNCTION("""COMPUTED_VALUE"""),"Ivan D")</f>
        <v>Ivan D</v>
      </c>
      <c r="E4296" s="6" t="str">
        <f>IFERROR(__xludf.DUMMYFUNCTION("""COMPUTED_VALUE"""),"")</f>
        <v/>
      </c>
      <c r="F4296" s="6" t="str">
        <f>IFERROR(__xludf.DUMMYFUNCTION("""COMPUTED_VALUE"""),"Funez Banegas")</f>
        <v>Funez Banegas</v>
      </c>
      <c r="G4296" s="6" t="str">
        <f>IFERROR(__xludf.DUMMYFUNCTION("""COMPUTED_VALUE"""),"07/12/2015")</f>
        <v>07/12/2015</v>
      </c>
      <c r="H4296" s="6" t="str">
        <f>IFERROR(__xludf.DUMMYFUNCTION("""COMPUTED_VALUE"""),"male")</f>
        <v>male</v>
      </c>
      <c r="I4296" s="6" t="str">
        <f>IFERROR(__xludf.DUMMYFUNCTION("""COMPUTED_VALUE"""),"Level 2")</f>
        <v>Level 2</v>
      </c>
      <c r="J4296" s="6" t="str">
        <f>IFERROR(__xludf.DUMMYFUNCTION("""COMPUTED_VALUE"""),"4")</f>
        <v>4</v>
      </c>
      <c r="K4296" s="6" t="str">
        <f>IFERROR(__xludf.DUMMYFUNCTION("""COMPUTED_VALUE"""),"ivand.funezbanegas@2hourlearning.com")</f>
        <v>ivand.funezbanegas@2hourlearning.com</v>
      </c>
      <c r="L4296" s="6" t="str">
        <f>IFERROR(__xludf.DUMMYFUNCTION("""COMPUTED_VALUE"""),"JHES - Hardeeville Elementary School")</f>
        <v>JHES - Hardeeville Elementary School</v>
      </c>
      <c r="M4296" s="6" t="str">
        <f>IFERROR(__xludf.DUMMYFUNCTION("""COMPUTED_VALUE"""),"")</f>
        <v/>
      </c>
      <c r="N4296" s="6" t="str">
        <f>IFERROR(__xludf.DUMMYFUNCTION("""COMPUTED_VALUE"""),"")</f>
        <v/>
      </c>
      <c r="O4296" s="87" t="str">
        <f>IFERROR(__xludf.DUMMYFUNCTION("""COMPUTED_VALUE"""),"https://drive.google.com/drive/folders/10T2cTQHqEJZqE-st6uFKPoI?usp=share_link")</f>
        <v>https://drive.google.com/drive/folders/10T2cTQHqEJZqE-st6uFKPoI?usp=share_link</v>
      </c>
      <c r="P4296" s="6" t="str">
        <f>IFERROR(__xludf.DUMMYFUNCTION("""COMPUTED_VALUE"""),"Ivan D Funez Banegas")</f>
        <v>Ivan D Funez Banegas</v>
      </c>
      <c r="Q4296" s="6" t="str">
        <f>IFERROR(__xludf.DUMMYFUNCTION("""COMPUTED_VALUE"""),"L2")</f>
        <v>L2</v>
      </c>
      <c r="R4296" s="6">
        <f>IFERROR(__xludf.DUMMYFUNCTION("""COMPUTED_VALUE"""),2.0)</f>
        <v>2</v>
      </c>
      <c r="S4296" s="6" t="str">
        <f>IFERROR(__xludf.DUMMYFUNCTION("""COMPUTED_VALUE""")," ")</f>
        <v> </v>
      </c>
      <c r="T4296" s="6" t="str">
        <f>IFERROR(__xludf.DUMMYFUNCTION("""COMPUTED_VALUE"""),"")</f>
        <v/>
      </c>
      <c r="U4296" s="6" t="str">
        <f>IFERROR(__xludf.DUMMYFUNCTION("""COMPUTED_VALUE"""),"4")</f>
        <v>4</v>
      </c>
      <c r="V4296" s="6" t="str">
        <f>IFERROR(__xludf.DUMMYFUNCTION("""COMPUTED_VALUE"""),"")</f>
        <v/>
      </c>
      <c r="W4296" s="6" t="str">
        <f>IFERROR(__xludf.DUMMYFUNCTION("""COMPUTED_VALUE"""),"[]")</f>
        <v>[]</v>
      </c>
      <c r="X4296" s="6" t="str">
        <f>IFERROR(__xludf.DUMMYFUNCTION("""COMPUTED_VALUE"""),"Enrolled")</f>
        <v>Enrolled</v>
      </c>
    </row>
    <row r="4297">
      <c r="A4297" s="6" t="str">
        <f>IFERROR(__xludf.DUMMYFUNCTION("""COMPUTED_VALUE"""),"083-11584")</f>
        <v>083-11584</v>
      </c>
      <c r="B4297" s="6" t="str">
        <f>IFERROR(__xludf.DUMMYFUNCTION("""COMPUTED_VALUE"""),"83")</f>
        <v>83</v>
      </c>
      <c r="C4297" s="6" t="str">
        <f>IFERROR(__xludf.DUMMYFUNCTION("""COMPUTED_VALUE"""),"11584")</f>
        <v>11584</v>
      </c>
      <c r="D4297" s="6" t="str">
        <f>IFERROR(__xludf.DUMMYFUNCTION("""COMPUTED_VALUE"""),"Haysie Y")</f>
        <v>Haysie Y</v>
      </c>
      <c r="E4297" s="6" t="str">
        <f>IFERROR(__xludf.DUMMYFUNCTION("""COMPUTED_VALUE"""),"")</f>
        <v/>
      </c>
      <c r="F4297" s="6" t="str">
        <f>IFERROR(__xludf.DUMMYFUNCTION("""COMPUTED_VALUE"""),"Garcia Ortiz")</f>
        <v>Garcia Ortiz</v>
      </c>
      <c r="G4297" s="6" t="str">
        <f>IFERROR(__xludf.DUMMYFUNCTION("""COMPUTED_VALUE"""),"07/08/2016")</f>
        <v>07/08/2016</v>
      </c>
      <c r="H4297" s="6" t="str">
        <f>IFERROR(__xludf.DUMMYFUNCTION("""COMPUTED_VALUE"""),"female")</f>
        <v>female</v>
      </c>
      <c r="I4297" s="6" t="str">
        <f>IFERROR(__xludf.DUMMYFUNCTION("""COMPUTED_VALUE"""),"Level 2")</f>
        <v>Level 2</v>
      </c>
      <c r="J4297" s="6" t="str">
        <f>IFERROR(__xludf.DUMMYFUNCTION("""COMPUTED_VALUE"""),"4")</f>
        <v>4</v>
      </c>
      <c r="K4297" s="6" t="str">
        <f>IFERROR(__xludf.DUMMYFUNCTION("""COMPUTED_VALUE"""),"haysiey.garciaortiz@2hourlearning.com")</f>
        <v>haysiey.garciaortiz@2hourlearning.com</v>
      </c>
      <c r="L4297" s="6" t="str">
        <f>IFERROR(__xludf.DUMMYFUNCTION("""COMPUTED_VALUE"""),"JHES - Hardeeville Elementary School")</f>
        <v>JHES - Hardeeville Elementary School</v>
      </c>
      <c r="M4297" s="6" t="str">
        <f>IFERROR(__xludf.DUMMYFUNCTION("""COMPUTED_VALUE"""),"")</f>
        <v/>
      </c>
      <c r="N4297" s="6" t="str">
        <f>IFERROR(__xludf.DUMMYFUNCTION("""COMPUTED_VALUE"""),"")</f>
        <v/>
      </c>
      <c r="O4297" s="87" t="str">
        <f>IFERROR(__xludf.DUMMYFUNCTION("""COMPUTED_VALUE"""),"https://drive.google.com/drive/folders/10T2cTQHqEJZqE-st6uFKPoI?usp=share_link")</f>
        <v>https://drive.google.com/drive/folders/10T2cTQHqEJZqE-st6uFKPoI?usp=share_link</v>
      </c>
      <c r="P4297" s="6" t="str">
        <f>IFERROR(__xludf.DUMMYFUNCTION("""COMPUTED_VALUE"""),"Haysie Y Garcia Ortiz")</f>
        <v>Haysie Y Garcia Ortiz</v>
      </c>
      <c r="Q4297" s="6" t="str">
        <f>IFERROR(__xludf.DUMMYFUNCTION("""COMPUTED_VALUE"""),"L2")</f>
        <v>L2</v>
      </c>
      <c r="R4297" s="6">
        <f>IFERROR(__xludf.DUMMYFUNCTION("""COMPUTED_VALUE"""),2.0)</f>
        <v>2</v>
      </c>
      <c r="S4297" s="6" t="str">
        <f>IFERROR(__xludf.DUMMYFUNCTION("""COMPUTED_VALUE""")," ")</f>
        <v> </v>
      </c>
      <c r="T4297" s="6" t="str">
        <f>IFERROR(__xludf.DUMMYFUNCTION("""COMPUTED_VALUE"""),"")</f>
        <v/>
      </c>
      <c r="U4297" s="6" t="str">
        <f>IFERROR(__xludf.DUMMYFUNCTION("""COMPUTED_VALUE"""),"4")</f>
        <v>4</v>
      </c>
      <c r="V4297" s="6" t="str">
        <f>IFERROR(__xludf.DUMMYFUNCTION("""COMPUTED_VALUE"""),"")</f>
        <v/>
      </c>
      <c r="W4297" s="6" t="str">
        <f>IFERROR(__xludf.DUMMYFUNCTION("""COMPUTED_VALUE"""),"[]")</f>
        <v>[]</v>
      </c>
      <c r="X4297" s="6" t="str">
        <f>IFERROR(__xludf.DUMMYFUNCTION("""COMPUTED_VALUE"""),"Enrolled")</f>
        <v>Enrolled</v>
      </c>
    </row>
    <row r="4298">
      <c r="A4298" s="6" t="str">
        <f>IFERROR(__xludf.DUMMYFUNCTION("""COMPUTED_VALUE"""),"083-11585")</f>
        <v>083-11585</v>
      </c>
      <c r="B4298" s="6" t="str">
        <f>IFERROR(__xludf.DUMMYFUNCTION("""COMPUTED_VALUE"""),"83")</f>
        <v>83</v>
      </c>
      <c r="C4298" s="6" t="str">
        <f>IFERROR(__xludf.DUMMYFUNCTION("""COMPUTED_VALUE"""),"11585")</f>
        <v>11585</v>
      </c>
      <c r="D4298" s="6" t="str">
        <f>IFERROR(__xludf.DUMMYFUNCTION("""COMPUTED_VALUE"""),"Santiago")</f>
        <v>Santiago</v>
      </c>
      <c r="E4298" s="6" t="str">
        <f>IFERROR(__xludf.DUMMYFUNCTION("""COMPUTED_VALUE"""),"")</f>
        <v/>
      </c>
      <c r="F4298" s="6" t="str">
        <f>IFERROR(__xludf.DUMMYFUNCTION("""COMPUTED_VALUE"""),"Garcia Servellon")</f>
        <v>Garcia Servellon</v>
      </c>
      <c r="G4298" s="6" t="str">
        <f>IFERROR(__xludf.DUMMYFUNCTION("""COMPUTED_VALUE"""),"08/01/2016")</f>
        <v>08/01/2016</v>
      </c>
      <c r="H4298" s="6" t="str">
        <f>IFERROR(__xludf.DUMMYFUNCTION("""COMPUTED_VALUE"""),"male")</f>
        <v>male</v>
      </c>
      <c r="I4298" s="6" t="str">
        <f>IFERROR(__xludf.DUMMYFUNCTION("""COMPUTED_VALUE"""),"Level 2")</f>
        <v>Level 2</v>
      </c>
      <c r="J4298" s="6" t="str">
        <f>IFERROR(__xludf.DUMMYFUNCTION("""COMPUTED_VALUE"""),"4")</f>
        <v>4</v>
      </c>
      <c r="K4298" s="6" t="str">
        <f>IFERROR(__xludf.DUMMYFUNCTION("""COMPUTED_VALUE"""),"santiago.garciaservellon@2hourlearning.com")</f>
        <v>santiago.garciaservellon@2hourlearning.com</v>
      </c>
      <c r="L4298" s="6" t="str">
        <f>IFERROR(__xludf.DUMMYFUNCTION("""COMPUTED_VALUE"""),"JHES - Hardeeville Elementary School")</f>
        <v>JHES - Hardeeville Elementary School</v>
      </c>
      <c r="M4298" s="6" t="str">
        <f>IFERROR(__xludf.DUMMYFUNCTION("""COMPUTED_VALUE"""),"")</f>
        <v/>
      </c>
      <c r="N4298" s="6" t="str">
        <f>IFERROR(__xludf.DUMMYFUNCTION("""COMPUTED_VALUE"""),"")</f>
        <v/>
      </c>
      <c r="O4298" s="87" t="str">
        <f>IFERROR(__xludf.DUMMYFUNCTION("""COMPUTED_VALUE"""),"https://drive.google.com/drive/folders/10T2cTQHqEJZqE-st6uFKPoI?usp=share_link")</f>
        <v>https://drive.google.com/drive/folders/10T2cTQHqEJZqE-st6uFKPoI?usp=share_link</v>
      </c>
      <c r="P4298" s="6" t="str">
        <f>IFERROR(__xludf.DUMMYFUNCTION("""COMPUTED_VALUE"""),"Santiago Garcia Servellon")</f>
        <v>Santiago Garcia Servellon</v>
      </c>
      <c r="Q4298" s="6" t="str">
        <f>IFERROR(__xludf.DUMMYFUNCTION("""COMPUTED_VALUE"""),"L2")</f>
        <v>L2</v>
      </c>
      <c r="R4298" s="6">
        <f>IFERROR(__xludf.DUMMYFUNCTION("""COMPUTED_VALUE"""),2.0)</f>
        <v>2</v>
      </c>
      <c r="S4298" s="6" t="str">
        <f>IFERROR(__xludf.DUMMYFUNCTION("""COMPUTED_VALUE""")," ")</f>
        <v> </v>
      </c>
      <c r="T4298" s="6" t="str">
        <f>IFERROR(__xludf.DUMMYFUNCTION("""COMPUTED_VALUE"""),"")</f>
        <v/>
      </c>
      <c r="U4298" s="6" t="str">
        <f>IFERROR(__xludf.DUMMYFUNCTION("""COMPUTED_VALUE"""),"4")</f>
        <v>4</v>
      </c>
      <c r="V4298" s="6" t="str">
        <f>IFERROR(__xludf.DUMMYFUNCTION("""COMPUTED_VALUE"""),"")</f>
        <v/>
      </c>
      <c r="W4298" s="6" t="str">
        <f>IFERROR(__xludf.DUMMYFUNCTION("""COMPUTED_VALUE"""),"[]")</f>
        <v>[]</v>
      </c>
      <c r="X4298" s="6" t="str">
        <f>IFERROR(__xludf.DUMMYFUNCTION("""COMPUTED_VALUE"""),"Enrolled")</f>
        <v>Enrolled</v>
      </c>
    </row>
    <row r="4299">
      <c r="A4299" s="6" t="str">
        <f>IFERROR(__xludf.DUMMYFUNCTION("""COMPUTED_VALUE"""),"083-11586")</f>
        <v>083-11586</v>
      </c>
      <c r="B4299" s="6" t="str">
        <f>IFERROR(__xludf.DUMMYFUNCTION("""COMPUTED_VALUE"""),"83")</f>
        <v>83</v>
      </c>
      <c r="C4299" s="6" t="str">
        <f>IFERROR(__xludf.DUMMYFUNCTION("""COMPUTED_VALUE"""),"11586")</f>
        <v>11586</v>
      </c>
      <c r="D4299" s="6" t="str">
        <f>IFERROR(__xludf.DUMMYFUNCTION("""COMPUTED_VALUE"""),"Juan Carlos")</f>
        <v>Juan Carlos</v>
      </c>
      <c r="E4299" s="6" t="str">
        <f>IFERROR(__xludf.DUMMYFUNCTION("""COMPUTED_VALUE"""),"")</f>
        <v/>
      </c>
      <c r="F4299" s="6" t="str">
        <f>IFERROR(__xludf.DUMMYFUNCTION("""COMPUTED_VALUE"""),"Gomez Reyna")</f>
        <v>Gomez Reyna</v>
      </c>
      <c r="G4299" s="6" t="str">
        <f>IFERROR(__xludf.DUMMYFUNCTION("""COMPUTED_VALUE"""),"01/24/2015")</f>
        <v>01/24/2015</v>
      </c>
      <c r="H4299" s="6" t="str">
        <f>IFERROR(__xludf.DUMMYFUNCTION("""COMPUTED_VALUE"""),"male")</f>
        <v>male</v>
      </c>
      <c r="I4299" s="6" t="str">
        <f>IFERROR(__xludf.DUMMYFUNCTION("""COMPUTED_VALUE"""),"Level 2")</f>
        <v>Level 2</v>
      </c>
      <c r="J4299" s="6" t="str">
        <f>IFERROR(__xludf.DUMMYFUNCTION("""COMPUTED_VALUE"""),"4")</f>
        <v>4</v>
      </c>
      <c r="K4299" s="6" t="str">
        <f>IFERROR(__xludf.DUMMYFUNCTION("""COMPUTED_VALUE"""),"juancarlos.gomezreyna@2hourlearning.com")</f>
        <v>juancarlos.gomezreyna@2hourlearning.com</v>
      </c>
      <c r="L4299" s="6" t="str">
        <f>IFERROR(__xludf.DUMMYFUNCTION("""COMPUTED_VALUE"""),"JHES - Hardeeville Elementary School")</f>
        <v>JHES - Hardeeville Elementary School</v>
      </c>
      <c r="M4299" s="6" t="str">
        <f>IFERROR(__xludf.DUMMYFUNCTION("""COMPUTED_VALUE"""),"")</f>
        <v/>
      </c>
      <c r="N4299" s="6" t="str">
        <f>IFERROR(__xludf.DUMMYFUNCTION("""COMPUTED_VALUE"""),"")</f>
        <v/>
      </c>
      <c r="O4299" s="87" t="str">
        <f>IFERROR(__xludf.DUMMYFUNCTION("""COMPUTED_VALUE"""),"https://drive.google.com/drive/folders/10T2cTQHqEJZqE-st6uFKPoI?usp=share_link")</f>
        <v>https://drive.google.com/drive/folders/10T2cTQHqEJZqE-st6uFKPoI?usp=share_link</v>
      </c>
      <c r="P4299" s="6" t="str">
        <f>IFERROR(__xludf.DUMMYFUNCTION("""COMPUTED_VALUE"""),"Juan Carlos Gomez Reyna")</f>
        <v>Juan Carlos Gomez Reyna</v>
      </c>
      <c r="Q4299" s="6" t="str">
        <f>IFERROR(__xludf.DUMMYFUNCTION("""COMPUTED_VALUE"""),"L2")</f>
        <v>L2</v>
      </c>
      <c r="R4299" s="6">
        <f>IFERROR(__xludf.DUMMYFUNCTION("""COMPUTED_VALUE"""),2.0)</f>
        <v>2</v>
      </c>
      <c r="S4299" s="6" t="str">
        <f>IFERROR(__xludf.DUMMYFUNCTION("""COMPUTED_VALUE""")," ")</f>
        <v> </v>
      </c>
      <c r="T4299" s="6" t="str">
        <f>IFERROR(__xludf.DUMMYFUNCTION("""COMPUTED_VALUE"""),"")</f>
        <v/>
      </c>
      <c r="U4299" s="6" t="str">
        <f>IFERROR(__xludf.DUMMYFUNCTION("""COMPUTED_VALUE"""),"4")</f>
        <v>4</v>
      </c>
      <c r="V4299" s="6" t="str">
        <f>IFERROR(__xludf.DUMMYFUNCTION("""COMPUTED_VALUE"""),"")</f>
        <v/>
      </c>
      <c r="W4299" s="6" t="str">
        <f>IFERROR(__xludf.DUMMYFUNCTION("""COMPUTED_VALUE"""),"[]")</f>
        <v>[]</v>
      </c>
      <c r="X4299" s="6" t="str">
        <f>IFERROR(__xludf.DUMMYFUNCTION("""COMPUTED_VALUE"""),"Enrolled")</f>
        <v>Enrolled</v>
      </c>
    </row>
    <row r="4300">
      <c r="A4300" s="6" t="str">
        <f>IFERROR(__xludf.DUMMYFUNCTION("""COMPUTED_VALUE"""),"083-11587")</f>
        <v>083-11587</v>
      </c>
      <c r="B4300" s="6" t="str">
        <f>IFERROR(__xludf.DUMMYFUNCTION("""COMPUTED_VALUE"""),"83")</f>
        <v>83</v>
      </c>
      <c r="C4300" s="6" t="str">
        <f>IFERROR(__xludf.DUMMYFUNCTION("""COMPUTED_VALUE"""),"11587")</f>
        <v>11587</v>
      </c>
      <c r="D4300" s="6" t="str">
        <f>IFERROR(__xludf.DUMMYFUNCTION("""COMPUTED_VALUE"""),"Ezekiel")</f>
        <v>Ezekiel</v>
      </c>
      <c r="E4300" s="6" t="str">
        <f>IFERROR(__xludf.DUMMYFUNCTION("""COMPUTED_VALUE"""),"")</f>
        <v/>
      </c>
      <c r="F4300" s="6" t="str">
        <f>IFERROR(__xludf.DUMMYFUNCTION("""COMPUTED_VALUE"""),"Guevara-Mendoza")</f>
        <v>Guevara-Mendoza</v>
      </c>
      <c r="G4300" s="6" t="str">
        <f>IFERROR(__xludf.DUMMYFUNCTION("""COMPUTED_VALUE"""),"03/28/2016")</f>
        <v>03/28/2016</v>
      </c>
      <c r="H4300" s="6" t="str">
        <f>IFERROR(__xludf.DUMMYFUNCTION("""COMPUTED_VALUE"""),"male")</f>
        <v>male</v>
      </c>
      <c r="I4300" s="6" t="str">
        <f>IFERROR(__xludf.DUMMYFUNCTION("""COMPUTED_VALUE"""),"Level 2")</f>
        <v>Level 2</v>
      </c>
      <c r="J4300" s="6" t="str">
        <f>IFERROR(__xludf.DUMMYFUNCTION("""COMPUTED_VALUE"""),"4")</f>
        <v>4</v>
      </c>
      <c r="K4300" s="6" t="str">
        <f>IFERROR(__xludf.DUMMYFUNCTION("""COMPUTED_VALUE"""),"ezekiel.guevaramendoza@2hourlearning.com")</f>
        <v>ezekiel.guevaramendoza@2hourlearning.com</v>
      </c>
      <c r="L4300" s="6" t="str">
        <f>IFERROR(__xludf.DUMMYFUNCTION("""COMPUTED_VALUE"""),"JHES - Hardeeville Elementary School")</f>
        <v>JHES - Hardeeville Elementary School</v>
      </c>
      <c r="M4300" s="6" t="str">
        <f>IFERROR(__xludf.DUMMYFUNCTION("""COMPUTED_VALUE"""),"")</f>
        <v/>
      </c>
      <c r="N4300" s="6" t="str">
        <f>IFERROR(__xludf.DUMMYFUNCTION("""COMPUTED_VALUE"""),"")</f>
        <v/>
      </c>
      <c r="O4300" s="87" t="str">
        <f>IFERROR(__xludf.DUMMYFUNCTION("""COMPUTED_VALUE"""),"https://drive.google.com/drive/folders/10T2cTQHqEJZqE-st6uFKPoI?usp=share_link")</f>
        <v>https://drive.google.com/drive/folders/10T2cTQHqEJZqE-st6uFKPoI?usp=share_link</v>
      </c>
      <c r="P4300" s="6" t="str">
        <f>IFERROR(__xludf.DUMMYFUNCTION("""COMPUTED_VALUE"""),"Ezekiel Guevara-Mendoza")</f>
        <v>Ezekiel Guevara-Mendoza</v>
      </c>
      <c r="Q4300" s="6" t="str">
        <f>IFERROR(__xludf.DUMMYFUNCTION("""COMPUTED_VALUE"""),"L2")</f>
        <v>L2</v>
      </c>
      <c r="R4300" s="6">
        <f>IFERROR(__xludf.DUMMYFUNCTION("""COMPUTED_VALUE"""),2.0)</f>
        <v>2</v>
      </c>
      <c r="S4300" s="6" t="str">
        <f>IFERROR(__xludf.DUMMYFUNCTION("""COMPUTED_VALUE""")," ")</f>
        <v> </v>
      </c>
      <c r="T4300" s="6" t="str">
        <f>IFERROR(__xludf.DUMMYFUNCTION("""COMPUTED_VALUE"""),"")</f>
        <v/>
      </c>
      <c r="U4300" s="6" t="str">
        <f>IFERROR(__xludf.DUMMYFUNCTION("""COMPUTED_VALUE"""),"4")</f>
        <v>4</v>
      </c>
      <c r="V4300" s="6" t="str">
        <f>IFERROR(__xludf.DUMMYFUNCTION("""COMPUTED_VALUE"""),"")</f>
        <v/>
      </c>
      <c r="W4300" s="6" t="str">
        <f>IFERROR(__xludf.DUMMYFUNCTION("""COMPUTED_VALUE"""),"[]")</f>
        <v>[]</v>
      </c>
      <c r="X4300" s="6" t="str">
        <f>IFERROR(__xludf.DUMMYFUNCTION("""COMPUTED_VALUE"""),"Enrolled")</f>
        <v>Enrolled</v>
      </c>
    </row>
    <row r="4301">
      <c r="A4301" s="6" t="str">
        <f>IFERROR(__xludf.DUMMYFUNCTION("""COMPUTED_VALUE"""),"083-11588")</f>
        <v>083-11588</v>
      </c>
      <c r="B4301" s="6" t="str">
        <f>IFERROR(__xludf.DUMMYFUNCTION("""COMPUTED_VALUE"""),"83")</f>
        <v>83</v>
      </c>
      <c r="C4301" s="6" t="str">
        <f>IFERROR(__xludf.DUMMYFUNCTION("""COMPUTED_VALUE"""),"11588")</f>
        <v>11588</v>
      </c>
      <c r="D4301" s="6" t="str">
        <f>IFERROR(__xludf.DUMMYFUNCTION("""COMPUTED_VALUE"""),"Christopher")</f>
        <v>Christopher</v>
      </c>
      <c r="E4301" s="6" t="str">
        <f>IFERROR(__xludf.DUMMYFUNCTION("""COMPUTED_VALUE"""),"")</f>
        <v/>
      </c>
      <c r="F4301" s="6" t="str">
        <f>IFERROR(__xludf.DUMMYFUNCTION("""COMPUTED_VALUE"""),"Guillen Hernandez")</f>
        <v>Guillen Hernandez</v>
      </c>
      <c r="G4301" s="6" t="str">
        <f>IFERROR(__xludf.DUMMYFUNCTION("""COMPUTED_VALUE"""),"12/27/2015")</f>
        <v>12/27/2015</v>
      </c>
      <c r="H4301" s="6" t="str">
        <f>IFERROR(__xludf.DUMMYFUNCTION("""COMPUTED_VALUE"""),"male")</f>
        <v>male</v>
      </c>
      <c r="I4301" s="6" t="str">
        <f>IFERROR(__xludf.DUMMYFUNCTION("""COMPUTED_VALUE"""),"Level 2")</f>
        <v>Level 2</v>
      </c>
      <c r="J4301" s="6" t="str">
        <f>IFERROR(__xludf.DUMMYFUNCTION("""COMPUTED_VALUE"""),"4")</f>
        <v>4</v>
      </c>
      <c r="K4301" s="6" t="str">
        <f>IFERROR(__xludf.DUMMYFUNCTION("""COMPUTED_VALUE"""),"christopher.guillenhernandez@2hourlearning.com")</f>
        <v>christopher.guillenhernandez@2hourlearning.com</v>
      </c>
      <c r="L4301" s="6" t="str">
        <f>IFERROR(__xludf.DUMMYFUNCTION("""COMPUTED_VALUE"""),"JHES - Hardeeville Elementary School")</f>
        <v>JHES - Hardeeville Elementary School</v>
      </c>
      <c r="M4301" s="6" t="str">
        <f>IFERROR(__xludf.DUMMYFUNCTION("""COMPUTED_VALUE"""),"")</f>
        <v/>
      </c>
      <c r="N4301" s="6" t="str">
        <f>IFERROR(__xludf.DUMMYFUNCTION("""COMPUTED_VALUE"""),"")</f>
        <v/>
      </c>
      <c r="O4301" s="87" t="str">
        <f>IFERROR(__xludf.DUMMYFUNCTION("""COMPUTED_VALUE"""),"https://drive.google.com/drive/folders/10T2cTQHqEJZqE-st6uFKPoI?usp=share_link")</f>
        <v>https://drive.google.com/drive/folders/10T2cTQHqEJZqE-st6uFKPoI?usp=share_link</v>
      </c>
      <c r="P4301" s="6" t="str">
        <f>IFERROR(__xludf.DUMMYFUNCTION("""COMPUTED_VALUE"""),"Christopher Guillen Hernandez")</f>
        <v>Christopher Guillen Hernandez</v>
      </c>
      <c r="Q4301" s="6" t="str">
        <f>IFERROR(__xludf.DUMMYFUNCTION("""COMPUTED_VALUE"""),"L2")</f>
        <v>L2</v>
      </c>
      <c r="R4301" s="6">
        <f>IFERROR(__xludf.DUMMYFUNCTION("""COMPUTED_VALUE"""),2.0)</f>
        <v>2</v>
      </c>
      <c r="S4301" s="6" t="str">
        <f>IFERROR(__xludf.DUMMYFUNCTION("""COMPUTED_VALUE""")," ")</f>
        <v> </v>
      </c>
      <c r="T4301" s="6" t="str">
        <f>IFERROR(__xludf.DUMMYFUNCTION("""COMPUTED_VALUE"""),"")</f>
        <v/>
      </c>
      <c r="U4301" s="6" t="str">
        <f>IFERROR(__xludf.DUMMYFUNCTION("""COMPUTED_VALUE"""),"4")</f>
        <v>4</v>
      </c>
      <c r="V4301" s="6" t="str">
        <f>IFERROR(__xludf.DUMMYFUNCTION("""COMPUTED_VALUE"""),"")</f>
        <v/>
      </c>
      <c r="W4301" s="6" t="str">
        <f>IFERROR(__xludf.DUMMYFUNCTION("""COMPUTED_VALUE"""),"[]")</f>
        <v>[]</v>
      </c>
      <c r="X4301" s="6" t="str">
        <f>IFERROR(__xludf.DUMMYFUNCTION("""COMPUTED_VALUE"""),"Enrolled")</f>
        <v>Enrolled</v>
      </c>
    </row>
    <row r="4302">
      <c r="A4302" s="6" t="str">
        <f>IFERROR(__xludf.DUMMYFUNCTION("""COMPUTED_VALUE"""),"083-11589")</f>
        <v>083-11589</v>
      </c>
      <c r="B4302" s="6" t="str">
        <f>IFERROR(__xludf.DUMMYFUNCTION("""COMPUTED_VALUE"""),"83")</f>
        <v>83</v>
      </c>
      <c r="C4302" s="6" t="str">
        <f>IFERROR(__xludf.DUMMYFUNCTION("""COMPUTED_VALUE"""),"11589")</f>
        <v>11589</v>
      </c>
      <c r="D4302" s="6" t="str">
        <f>IFERROR(__xludf.DUMMYFUNCTION("""COMPUTED_VALUE"""),"Yareth Berenice")</f>
        <v>Yareth Berenice</v>
      </c>
      <c r="E4302" s="6" t="str">
        <f>IFERROR(__xludf.DUMMYFUNCTION("""COMPUTED_VALUE"""),"")</f>
        <v/>
      </c>
      <c r="F4302" s="6" t="str">
        <f>IFERROR(__xludf.DUMMYFUNCTION("""COMPUTED_VALUE"""),"Hernandez Ortiz")</f>
        <v>Hernandez Ortiz</v>
      </c>
      <c r="G4302" s="6" t="str">
        <f>IFERROR(__xludf.DUMMYFUNCTION("""COMPUTED_VALUE"""),"04/08/2016")</f>
        <v>04/08/2016</v>
      </c>
      <c r="H4302" s="6" t="str">
        <f>IFERROR(__xludf.DUMMYFUNCTION("""COMPUTED_VALUE"""),"female")</f>
        <v>female</v>
      </c>
      <c r="I4302" s="6" t="str">
        <f>IFERROR(__xludf.DUMMYFUNCTION("""COMPUTED_VALUE"""),"Level 2")</f>
        <v>Level 2</v>
      </c>
      <c r="J4302" s="6" t="str">
        <f>IFERROR(__xludf.DUMMYFUNCTION("""COMPUTED_VALUE"""),"4")</f>
        <v>4</v>
      </c>
      <c r="K4302" s="6" t="str">
        <f>IFERROR(__xludf.DUMMYFUNCTION("""COMPUTED_VALUE"""),"yarethberenice.hernandezortiz@2hourlearning.com")</f>
        <v>yarethberenice.hernandezortiz@2hourlearning.com</v>
      </c>
      <c r="L4302" s="6" t="str">
        <f>IFERROR(__xludf.DUMMYFUNCTION("""COMPUTED_VALUE"""),"JHES - Hardeeville Elementary School")</f>
        <v>JHES - Hardeeville Elementary School</v>
      </c>
      <c r="M4302" s="6" t="str">
        <f>IFERROR(__xludf.DUMMYFUNCTION("""COMPUTED_VALUE"""),"")</f>
        <v/>
      </c>
      <c r="N4302" s="6" t="str">
        <f>IFERROR(__xludf.DUMMYFUNCTION("""COMPUTED_VALUE"""),"")</f>
        <v/>
      </c>
      <c r="O4302" s="87" t="str">
        <f>IFERROR(__xludf.DUMMYFUNCTION("""COMPUTED_VALUE"""),"https://drive.google.com/drive/folders/10T2cTQHqEJZqE-st6uFKPoI?usp=share_link")</f>
        <v>https://drive.google.com/drive/folders/10T2cTQHqEJZqE-st6uFKPoI?usp=share_link</v>
      </c>
      <c r="P4302" s="6" t="str">
        <f>IFERROR(__xludf.DUMMYFUNCTION("""COMPUTED_VALUE"""),"Yareth Berenice Hernandez Ortiz")</f>
        <v>Yareth Berenice Hernandez Ortiz</v>
      </c>
      <c r="Q4302" s="6" t="str">
        <f>IFERROR(__xludf.DUMMYFUNCTION("""COMPUTED_VALUE"""),"L2")</f>
        <v>L2</v>
      </c>
      <c r="R4302" s="6">
        <f>IFERROR(__xludf.DUMMYFUNCTION("""COMPUTED_VALUE"""),2.0)</f>
        <v>2</v>
      </c>
      <c r="S4302" s="6" t="str">
        <f>IFERROR(__xludf.DUMMYFUNCTION("""COMPUTED_VALUE""")," ")</f>
        <v> </v>
      </c>
      <c r="T4302" s="6" t="str">
        <f>IFERROR(__xludf.DUMMYFUNCTION("""COMPUTED_VALUE"""),"")</f>
        <v/>
      </c>
      <c r="U4302" s="6" t="str">
        <f>IFERROR(__xludf.DUMMYFUNCTION("""COMPUTED_VALUE"""),"4")</f>
        <v>4</v>
      </c>
      <c r="V4302" s="6" t="str">
        <f>IFERROR(__xludf.DUMMYFUNCTION("""COMPUTED_VALUE"""),"")</f>
        <v/>
      </c>
      <c r="W4302" s="6" t="str">
        <f>IFERROR(__xludf.DUMMYFUNCTION("""COMPUTED_VALUE"""),"[]")</f>
        <v>[]</v>
      </c>
      <c r="X4302" s="6" t="str">
        <f>IFERROR(__xludf.DUMMYFUNCTION("""COMPUTED_VALUE"""),"Enrolled")</f>
        <v>Enrolled</v>
      </c>
    </row>
    <row r="4303">
      <c r="A4303" s="6" t="str">
        <f>IFERROR(__xludf.DUMMYFUNCTION("""COMPUTED_VALUE"""),"083-11590")</f>
        <v>083-11590</v>
      </c>
      <c r="B4303" s="6" t="str">
        <f>IFERROR(__xludf.DUMMYFUNCTION("""COMPUTED_VALUE"""),"83")</f>
        <v>83</v>
      </c>
      <c r="C4303" s="6" t="str">
        <f>IFERROR(__xludf.DUMMYFUNCTION("""COMPUTED_VALUE"""),"11590")</f>
        <v>11590</v>
      </c>
      <c r="D4303" s="6" t="str">
        <f>IFERROR(__xludf.DUMMYFUNCTION("""COMPUTED_VALUE"""),"Jesse")</f>
        <v>Jesse</v>
      </c>
      <c r="E4303" s="6" t="str">
        <f>IFERROR(__xludf.DUMMYFUNCTION("""COMPUTED_VALUE"""),"")</f>
        <v/>
      </c>
      <c r="F4303" s="6" t="str">
        <f>IFERROR(__xludf.DUMMYFUNCTION("""COMPUTED_VALUE"""),"Limay Marquez")</f>
        <v>Limay Marquez</v>
      </c>
      <c r="G4303" s="6" t="str">
        <f>IFERROR(__xludf.DUMMYFUNCTION("""COMPUTED_VALUE"""),"06/16/2016")</f>
        <v>06/16/2016</v>
      </c>
      <c r="H4303" s="6" t="str">
        <f>IFERROR(__xludf.DUMMYFUNCTION("""COMPUTED_VALUE"""),"female")</f>
        <v>female</v>
      </c>
      <c r="I4303" s="6" t="str">
        <f>IFERROR(__xludf.DUMMYFUNCTION("""COMPUTED_VALUE"""),"Level 2")</f>
        <v>Level 2</v>
      </c>
      <c r="J4303" s="6" t="str">
        <f>IFERROR(__xludf.DUMMYFUNCTION("""COMPUTED_VALUE"""),"4")</f>
        <v>4</v>
      </c>
      <c r="K4303" s="6" t="str">
        <f>IFERROR(__xludf.DUMMYFUNCTION("""COMPUTED_VALUE"""),"jesse.limaymarquez@2hourlearning.com")</f>
        <v>jesse.limaymarquez@2hourlearning.com</v>
      </c>
      <c r="L4303" s="6" t="str">
        <f>IFERROR(__xludf.DUMMYFUNCTION("""COMPUTED_VALUE"""),"JHES - Hardeeville Elementary School")</f>
        <v>JHES - Hardeeville Elementary School</v>
      </c>
      <c r="M4303" s="6" t="str">
        <f>IFERROR(__xludf.DUMMYFUNCTION("""COMPUTED_VALUE"""),"")</f>
        <v/>
      </c>
      <c r="N4303" s="6" t="str">
        <f>IFERROR(__xludf.DUMMYFUNCTION("""COMPUTED_VALUE"""),"")</f>
        <v/>
      </c>
      <c r="O4303" s="87" t="str">
        <f>IFERROR(__xludf.DUMMYFUNCTION("""COMPUTED_VALUE"""),"https://drive.google.com/drive/folders/10T2cTQHqEJZqE-st6uFKPoI?usp=share_link")</f>
        <v>https://drive.google.com/drive/folders/10T2cTQHqEJZqE-st6uFKPoI?usp=share_link</v>
      </c>
      <c r="P4303" s="6" t="str">
        <f>IFERROR(__xludf.DUMMYFUNCTION("""COMPUTED_VALUE"""),"Jesse Limay Marquez")</f>
        <v>Jesse Limay Marquez</v>
      </c>
      <c r="Q4303" s="6" t="str">
        <f>IFERROR(__xludf.DUMMYFUNCTION("""COMPUTED_VALUE"""),"L2")</f>
        <v>L2</v>
      </c>
      <c r="R4303" s="6">
        <f>IFERROR(__xludf.DUMMYFUNCTION("""COMPUTED_VALUE"""),2.0)</f>
        <v>2</v>
      </c>
      <c r="S4303" s="6" t="str">
        <f>IFERROR(__xludf.DUMMYFUNCTION("""COMPUTED_VALUE""")," ")</f>
        <v> </v>
      </c>
      <c r="T4303" s="6" t="str">
        <f>IFERROR(__xludf.DUMMYFUNCTION("""COMPUTED_VALUE"""),"")</f>
        <v/>
      </c>
      <c r="U4303" s="6" t="str">
        <f>IFERROR(__xludf.DUMMYFUNCTION("""COMPUTED_VALUE"""),"4")</f>
        <v>4</v>
      </c>
      <c r="V4303" s="6" t="str">
        <f>IFERROR(__xludf.DUMMYFUNCTION("""COMPUTED_VALUE"""),"")</f>
        <v/>
      </c>
      <c r="W4303" s="6" t="str">
        <f>IFERROR(__xludf.DUMMYFUNCTION("""COMPUTED_VALUE"""),"[]")</f>
        <v>[]</v>
      </c>
      <c r="X4303" s="6" t="str">
        <f>IFERROR(__xludf.DUMMYFUNCTION("""COMPUTED_VALUE"""),"Enrolled")</f>
        <v>Enrolled</v>
      </c>
    </row>
    <row r="4304">
      <c r="A4304" s="6" t="str">
        <f>IFERROR(__xludf.DUMMYFUNCTION("""COMPUTED_VALUE"""),"083-11591")</f>
        <v>083-11591</v>
      </c>
      <c r="B4304" s="6" t="str">
        <f>IFERROR(__xludf.DUMMYFUNCTION("""COMPUTED_VALUE"""),"83")</f>
        <v>83</v>
      </c>
      <c r="C4304" s="6" t="str">
        <f>IFERROR(__xludf.DUMMYFUNCTION("""COMPUTED_VALUE"""),"11591")</f>
        <v>11591</v>
      </c>
      <c r="D4304" s="6" t="str">
        <f>IFERROR(__xludf.DUMMYFUNCTION("""COMPUTED_VALUE"""),"Josias")</f>
        <v>Josias</v>
      </c>
      <c r="E4304" s="6" t="str">
        <f>IFERROR(__xludf.DUMMYFUNCTION("""COMPUTED_VALUE"""),"")</f>
        <v/>
      </c>
      <c r="F4304" s="6" t="str">
        <f>IFERROR(__xludf.DUMMYFUNCTION("""COMPUTED_VALUE"""),"Luevanos-Miranda")</f>
        <v>Luevanos-Miranda</v>
      </c>
      <c r="G4304" s="6" t="str">
        <f>IFERROR(__xludf.DUMMYFUNCTION("""COMPUTED_VALUE"""),"08/28/2016")</f>
        <v>08/28/2016</v>
      </c>
      <c r="H4304" s="6" t="str">
        <f>IFERROR(__xludf.DUMMYFUNCTION("""COMPUTED_VALUE"""),"male")</f>
        <v>male</v>
      </c>
      <c r="I4304" s="6" t="str">
        <f>IFERROR(__xludf.DUMMYFUNCTION("""COMPUTED_VALUE"""),"Level 2")</f>
        <v>Level 2</v>
      </c>
      <c r="J4304" s="6" t="str">
        <f>IFERROR(__xludf.DUMMYFUNCTION("""COMPUTED_VALUE"""),"4")</f>
        <v>4</v>
      </c>
      <c r="K4304" s="6" t="str">
        <f>IFERROR(__xludf.DUMMYFUNCTION("""COMPUTED_VALUE"""),"josias.luevanosmiranda@2hourlearning.com")</f>
        <v>josias.luevanosmiranda@2hourlearning.com</v>
      </c>
      <c r="L4304" s="6" t="str">
        <f>IFERROR(__xludf.DUMMYFUNCTION("""COMPUTED_VALUE"""),"JHES - Hardeeville Elementary School")</f>
        <v>JHES - Hardeeville Elementary School</v>
      </c>
      <c r="M4304" s="6" t="str">
        <f>IFERROR(__xludf.DUMMYFUNCTION("""COMPUTED_VALUE"""),"")</f>
        <v/>
      </c>
      <c r="N4304" s="6" t="str">
        <f>IFERROR(__xludf.DUMMYFUNCTION("""COMPUTED_VALUE"""),"")</f>
        <v/>
      </c>
      <c r="O4304" s="87" t="str">
        <f>IFERROR(__xludf.DUMMYFUNCTION("""COMPUTED_VALUE"""),"https://drive.google.com/drive/folders/10T2cTQHqEJZqE-st6uFKPoI?usp=share_link")</f>
        <v>https://drive.google.com/drive/folders/10T2cTQHqEJZqE-st6uFKPoI?usp=share_link</v>
      </c>
      <c r="P4304" s="6" t="str">
        <f>IFERROR(__xludf.DUMMYFUNCTION("""COMPUTED_VALUE"""),"Josias Luevanos-Miranda")</f>
        <v>Josias Luevanos-Miranda</v>
      </c>
      <c r="Q4304" s="6" t="str">
        <f>IFERROR(__xludf.DUMMYFUNCTION("""COMPUTED_VALUE"""),"L2")</f>
        <v>L2</v>
      </c>
      <c r="R4304" s="6">
        <f>IFERROR(__xludf.DUMMYFUNCTION("""COMPUTED_VALUE"""),2.0)</f>
        <v>2</v>
      </c>
      <c r="S4304" s="6" t="str">
        <f>IFERROR(__xludf.DUMMYFUNCTION("""COMPUTED_VALUE""")," ")</f>
        <v> </v>
      </c>
      <c r="T4304" s="6" t="str">
        <f>IFERROR(__xludf.DUMMYFUNCTION("""COMPUTED_VALUE"""),"")</f>
        <v/>
      </c>
      <c r="U4304" s="6" t="str">
        <f>IFERROR(__xludf.DUMMYFUNCTION("""COMPUTED_VALUE"""),"4")</f>
        <v>4</v>
      </c>
      <c r="V4304" s="6" t="str">
        <f>IFERROR(__xludf.DUMMYFUNCTION("""COMPUTED_VALUE"""),"")</f>
        <v/>
      </c>
      <c r="W4304" s="6" t="str">
        <f>IFERROR(__xludf.DUMMYFUNCTION("""COMPUTED_VALUE"""),"[]")</f>
        <v>[]</v>
      </c>
      <c r="X4304" s="6" t="str">
        <f>IFERROR(__xludf.DUMMYFUNCTION("""COMPUTED_VALUE"""),"Enrolled")</f>
        <v>Enrolled</v>
      </c>
    </row>
    <row r="4305">
      <c r="A4305" s="6" t="str">
        <f>IFERROR(__xludf.DUMMYFUNCTION("""COMPUTED_VALUE"""),"083-11592")</f>
        <v>083-11592</v>
      </c>
      <c r="B4305" s="6" t="str">
        <f>IFERROR(__xludf.DUMMYFUNCTION("""COMPUTED_VALUE"""),"83")</f>
        <v>83</v>
      </c>
      <c r="C4305" s="6" t="str">
        <f>IFERROR(__xludf.DUMMYFUNCTION("""COMPUTED_VALUE"""),"11592")</f>
        <v>11592</v>
      </c>
      <c r="D4305" s="6" t="str">
        <f>IFERROR(__xludf.DUMMYFUNCTION("""COMPUTED_VALUE"""),"Alexis")</f>
        <v>Alexis</v>
      </c>
      <c r="E4305" s="6" t="str">
        <f>IFERROR(__xludf.DUMMYFUNCTION("""COMPUTED_VALUE"""),"")</f>
        <v/>
      </c>
      <c r="F4305" s="6" t="str">
        <f>IFERROR(__xludf.DUMMYFUNCTION("""COMPUTED_VALUE"""),"Martinez Hernandez")</f>
        <v>Martinez Hernandez</v>
      </c>
      <c r="G4305" s="6" t="str">
        <f>IFERROR(__xludf.DUMMYFUNCTION("""COMPUTED_VALUE"""),"03/07/2016")</f>
        <v>03/07/2016</v>
      </c>
      <c r="H4305" s="6" t="str">
        <f>IFERROR(__xludf.DUMMYFUNCTION("""COMPUTED_VALUE"""),"male")</f>
        <v>male</v>
      </c>
      <c r="I4305" s="6" t="str">
        <f>IFERROR(__xludf.DUMMYFUNCTION("""COMPUTED_VALUE"""),"Level 2")</f>
        <v>Level 2</v>
      </c>
      <c r="J4305" s="6" t="str">
        <f>IFERROR(__xludf.DUMMYFUNCTION("""COMPUTED_VALUE"""),"4")</f>
        <v>4</v>
      </c>
      <c r="K4305" s="6" t="str">
        <f>IFERROR(__xludf.DUMMYFUNCTION("""COMPUTED_VALUE"""),"alexis.martinezhernandez@2hourlearning.com")</f>
        <v>alexis.martinezhernandez@2hourlearning.com</v>
      </c>
      <c r="L4305" s="6" t="str">
        <f>IFERROR(__xludf.DUMMYFUNCTION("""COMPUTED_VALUE"""),"JHES - Hardeeville Elementary School")</f>
        <v>JHES - Hardeeville Elementary School</v>
      </c>
      <c r="M4305" s="6" t="str">
        <f>IFERROR(__xludf.DUMMYFUNCTION("""COMPUTED_VALUE"""),"")</f>
        <v/>
      </c>
      <c r="N4305" s="6" t="str">
        <f>IFERROR(__xludf.DUMMYFUNCTION("""COMPUTED_VALUE"""),"")</f>
        <v/>
      </c>
      <c r="O4305" s="87" t="str">
        <f>IFERROR(__xludf.DUMMYFUNCTION("""COMPUTED_VALUE"""),"https://drive.google.com/drive/folders/10T2cTQHqEJZqE-st6uFKPoI?usp=share_link")</f>
        <v>https://drive.google.com/drive/folders/10T2cTQHqEJZqE-st6uFKPoI?usp=share_link</v>
      </c>
      <c r="P4305" s="6" t="str">
        <f>IFERROR(__xludf.DUMMYFUNCTION("""COMPUTED_VALUE"""),"Alexis Martinez Hernandez")</f>
        <v>Alexis Martinez Hernandez</v>
      </c>
      <c r="Q4305" s="6" t="str">
        <f>IFERROR(__xludf.DUMMYFUNCTION("""COMPUTED_VALUE"""),"L2")</f>
        <v>L2</v>
      </c>
      <c r="R4305" s="6">
        <f>IFERROR(__xludf.DUMMYFUNCTION("""COMPUTED_VALUE"""),2.0)</f>
        <v>2</v>
      </c>
      <c r="S4305" s="6" t="str">
        <f>IFERROR(__xludf.DUMMYFUNCTION("""COMPUTED_VALUE""")," ")</f>
        <v> </v>
      </c>
      <c r="T4305" s="6" t="str">
        <f>IFERROR(__xludf.DUMMYFUNCTION("""COMPUTED_VALUE"""),"")</f>
        <v/>
      </c>
      <c r="U4305" s="6" t="str">
        <f>IFERROR(__xludf.DUMMYFUNCTION("""COMPUTED_VALUE"""),"4")</f>
        <v>4</v>
      </c>
      <c r="V4305" s="6" t="str">
        <f>IFERROR(__xludf.DUMMYFUNCTION("""COMPUTED_VALUE"""),"")</f>
        <v/>
      </c>
      <c r="W4305" s="6" t="str">
        <f>IFERROR(__xludf.DUMMYFUNCTION("""COMPUTED_VALUE"""),"[]")</f>
        <v>[]</v>
      </c>
      <c r="X4305" s="6" t="str">
        <f>IFERROR(__xludf.DUMMYFUNCTION("""COMPUTED_VALUE"""),"Enrolled")</f>
        <v>Enrolled</v>
      </c>
    </row>
    <row r="4306">
      <c r="A4306" s="6" t="str">
        <f>IFERROR(__xludf.DUMMYFUNCTION("""COMPUTED_VALUE"""),"083-11593")</f>
        <v>083-11593</v>
      </c>
      <c r="B4306" s="6" t="str">
        <f>IFERROR(__xludf.DUMMYFUNCTION("""COMPUTED_VALUE"""),"83")</f>
        <v>83</v>
      </c>
      <c r="C4306" s="6" t="str">
        <f>IFERROR(__xludf.DUMMYFUNCTION("""COMPUTED_VALUE"""),"11593")</f>
        <v>11593</v>
      </c>
      <c r="D4306" s="6" t="str">
        <f>IFERROR(__xludf.DUMMYFUNCTION("""COMPUTED_VALUE"""),"Carter")</f>
        <v>Carter</v>
      </c>
      <c r="E4306" s="6" t="str">
        <f>IFERROR(__xludf.DUMMYFUNCTION("""COMPUTED_VALUE"""),"")</f>
        <v/>
      </c>
      <c r="F4306" s="6" t="str">
        <f>IFERROR(__xludf.DUMMYFUNCTION("""COMPUTED_VALUE"""),"Mckeever")</f>
        <v>Mckeever</v>
      </c>
      <c r="G4306" s="6" t="str">
        <f>IFERROR(__xludf.DUMMYFUNCTION("""COMPUTED_VALUE"""),"08/12/2016")</f>
        <v>08/12/2016</v>
      </c>
      <c r="H4306" s="6" t="str">
        <f>IFERROR(__xludf.DUMMYFUNCTION("""COMPUTED_VALUE"""),"male")</f>
        <v>male</v>
      </c>
      <c r="I4306" s="6" t="str">
        <f>IFERROR(__xludf.DUMMYFUNCTION("""COMPUTED_VALUE"""),"Level 2")</f>
        <v>Level 2</v>
      </c>
      <c r="J4306" s="6" t="str">
        <f>IFERROR(__xludf.DUMMYFUNCTION("""COMPUTED_VALUE"""),"4")</f>
        <v>4</v>
      </c>
      <c r="K4306" s="6" t="str">
        <f>IFERROR(__xludf.DUMMYFUNCTION("""COMPUTED_VALUE"""),"carter.mckeever@2hourlearning.com")</f>
        <v>carter.mckeever@2hourlearning.com</v>
      </c>
      <c r="L4306" s="6" t="str">
        <f>IFERROR(__xludf.DUMMYFUNCTION("""COMPUTED_VALUE"""),"JHES - Hardeeville Elementary School")</f>
        <v>JHES - Hardeeville Elementary School</v>
      </c>
      <c r="M4306" s="6" t="str">
        <f>IFERROR(__xludf.DUMMYFUNCTION("""COMPUTED_VALUE"""),"")</f>
        <v/>
      </c>
      <c r="N4306" s="6" t="str">
        <f>IFERROR(__xludf.DUMMYFUNCTION("""COMPUTED_VALUE"""),"")</f>
        <v/>
      </c>
      <c r="O4306" s="87" t="str">
        <f>IFERROR(__xludf.DUMMYFUNCTION("""COMPUTED_VALUE"""),"https://drive.google.com/drive/folders/10T2cTQHqEJZqE-st6uFKPoI?usp=share_link")</f>
        <v>https://drive.google.com/drive/folders/10T2cTQHqEJZqE-st6uFKPoI?usp=share_link</v>
      </c>
      <c r="P4306" s="6" t="str">
        <f>IFERROR(__xludf.DUMMYFUNCTION("""COMPUTED_VALUE"""),"Carter Mckeever")</f>
        <v>Carter Mckeever</v>
      </c>
      <c r="Q4306" s="6" t="str">
        <f>IFERROR(__xludf.DUMMYFUNCTION("""COMPUTED_VALUE"""),"L2")</f>
        <v>L2</v>
      </c>
      <c r="R4306" s="6">
        <f>IFERROR(__xludf.DUMMYFUNCTION("""COMPUTED_VALUE"""),2.0)</f>
        <v>2</v>
      </c>
      <c r="S4306" s="6" t="str">
        <f>IFERROR(__xludf.DUMMYFUNCTION("""COMPUTED_VALUE""")," ")</f>
        <v> </v>
      </c>
      <c r="T4306" s="6" t="str">
        <f>IFERROR(__xludf.DUMMYFUNCTION("""COMPUTED_VALUE"""),"")</f>
        <v/>
      </c>
      <c r="U4306" s="6" t="str">
        <f>IFERROR(__xludf.DUMMYFUNCTION("""COMPUTED_VALUE"""),"4")</f>
        <v>4</v>
      </c>
      <c r="V4306" s="6" t="str">
        <f>IFERROR(__xludf.DUMMYFUNCTION("""COMPUTED_VALUE"""),"")</f>
        <v/>
      </c>
      <c r="W4306" s="6" t="str">
        <f>IFERROR(__xludf.DUMMYFUNCTION("""COMPUTED_VALUE"""),"[]")</f>
        <v>[]</v>
      </c>
      <c r="X4306" s="6" t="str">
        <f>IFERROR(__xludf.DUMMYFUNCTION("""COMPUTED_VALUE"""),"Enrolled")</f>
        <v>Enrolled</v>
      </c>
    </row>
    <row r="4307">
      <c r="A4307" s="6" t="str">
        <f>IFERROR(__xludf.DUMMYFUNCTION("""COMPUTED_VALUE"""),"083-11594")</f>
        <v>083-11594</v>
      </c>
      <c r="B4307" s="6" t="str">
        <f>IFERROR(__xludf.DUMMYFUNCTION("""COMPUTED_VALUE"""),"83")</f>
        <v>83</v>
      </c>
      <c r="C4307" s="6" t="str">
        <f>IFERROR(__xludf.DUMMYFUNCTION("""COMPUTED_VALUE"""),"11594")</f>
        <v>11594</v>
      </c>
      <c r="D4307" s="6" t="str">
        <f>IFERROR(__xludf.DUMMYFUNCTION("""COMPUTED_VALUE"""),"Justin")</f>
        <v>Justin</v>
      </c>
      <c r="E4307" s="6" t="str">
        <f>IFERROR(__xludf.DUMMYFUNCTION("""COMPUTED_VALUE"""),"")</f>
        <v/>
      </c>
      <c r="F4307" s="6" t="str">
        <f>IFERROR(__xludf.DUMMYFUNCTION("""COMPUTED_VALUE"""),"Mendez Morales")</f>
        <v>Mendez Morales</v>
      </c>
      <c r="G4307" s="6" t="str">
        <f>IFERROR(__xludf.DUMMYFUNCTION("""COMPUTED_VALUE"""),"12/19/2015")</f>
        <v>12/19/2015</v>
      </c>
      <c r="H4307" s="6" t="str">
        <f>IFERROR(__xludf.DUMMYFUNCTION("""COMPUTED_VALUE"""),"male")</f>
        <v>male</v>
      </c>
      <c r="I4307" s="6" t="str">
        <f>IFERROR(__xludf.DUMMYFUNCTION("""COMPUTED_VALUE"""),"Level 2")</f>
        <v>Level 2</v>
      </c>
      <c r="J4307" s="6" t="str">
        <f>IFERROR(__xludf.DUMMYFUNCTION("""COMPUTED_VALUE"""),"4")</f>
        <v>4</v>
      </c>
      <c r="K4307" s="6" t="str">
        <f>IFERROR(__xludf.DUMMYFUNCTION("""COMPUTED_VALUE"""),"justin.mendezmorales@2hourlearning.com")</f>
        <v>justin.mendezmorales@2hourlearning.com</v>
      </c>
      <c r="L4307" s="6" t="str">
        <f>IFERROR(__xludf.DUMMYFUNCTION("""COMPUTED_VALUE"""),"JHES - Hardeeville Elementary School")</f>
        <v>JHES - Hardeeville Elementary School</v>
      </c>
      <c r="M4307" s="6" t="str">
        <f>IFERROR(__xludf.DUMMYFUNCTION("""COMPUTED_VALUE"""),"")</f>
        <v/>
      </c>
      <c r="N4307" s="6" t="str">
        <f>IFERROR(__xludf.DUMMYFUNCTION("""COMPUTED_VALUE"""),"")</f>
        <v/>
      </c>
      <c r="O4307" s="87" t="str">
        <f>IFERROR(__xludf.DUMMYFUNCTION("""COMPUTED_VALUE"""),"https://drive.google.com/drive/folders/10T2cTQHqEJZqE-st6uFKPoI?usp=share_link")</f>
        <v>https://drive.google.com/drive/folders/10T2cTQHqEJZqE-st6uFKPoI?usp=share_link</v>
      </c>
      <c r="P4307" s="6" t="str">
        <f>IFERROR(__xludf.DUMMYFUNCTION("""COMPUTED_VALUE"""),"Justin Mendez Morales")</f>
        <v>Justin Mendez Morales</v>
      </c>
      <c r="Q4307" s="6" t="str">
        <f>IFERROR(__xludf.DUMMYFUNCTION("""COMPUTED_VALUE"""),"L2")</f>
        <v>L2</v>
      </c>
      <c r="R4307" s="6">
        <f>IFERROR(__xludf.DUMMYFUNCTION("""COMPUTED_VALUE"""),2.0)</f>
        <v>2</v>
      </c>
      <c r="S4307" s="6" t="str">
        <f>IFERROR(__xludf.DUMMYFUNCTION("""COMPUTED_VALUE""")," ")</f>
        <v> </v>
      </c>
      <c r="T4307" s="6" t="str">
        <f>IFERROR(__xludf.DUMMYFUNCTION("""COMPUTED_VALUE"""),"")</f>
        <v/>
      </c>
      <c r="U4307" s="6" t="str">
        <f>IFERROR(__xludf.DUMMYFUNCTION("""COMPUTED_VALUE"""),"4")</f>
        <v>4</v>
      </c>
      <c r="V4307" s="6" t="str">
        <f>IFERROR(__xludf.DUMMYFUNCTION("""COMPUTED_VALUE"""),"")</f>
        <v/>
      </c>
      <c r="W4307" s="6" t="str">
        <f>IFERROR(__xludf.DUMMYFUNCTION("""COMPUTED_VALUE"""),"[]")</f>
        <v>[]</v>
      </c>
      <c r="X4307" s="6" t="str">
        <f>IFERROR(__xludf.DUMMYFUNCTION("""COMPUTED_VALUE"""),"Enrolled")</f>
        <v>Enrolled</v>
      </c>
    </row>
    <row r="4308">
      <c r="A4308" s="6" t="str">
        <f>IFERROR(__xludf.DUMMYFUNCTION("""COMPUTED_VALUE"""),"083-11595")</f>
        <v>083-11595</v>
      </c>
      <c r="B4308" s="6" t="str">
        <f>IFERROR(__xludf.DUMMYFUNCTION("""COMPUTED_VALUE"""),"83")</f>
        <v>83</v>
      </c>
      <c r="C4308" s="6" t="str">
        <f>IFERROR(__xludf.DUMMYFUNCTION("""COMPUTED_VALUE"""),"11595")</f>
        <v>11595</v>
      </c>
      <c r="D4308" s="6" t="str">
        <f>IFERROR(__xludf.DUMMYFUNCTION("""COMPUTED_VALUE"""),"Vanesa Isabel")</f>
        <v>Vanesa Isabel</v>
      </c>
      <c r="E4308" s="6" t="str">
        <f>IFERROR(__xludf.DUMMYFUNCTION("""COMPUTED_VALUE"""),"")</f>
        <v/>
      </c>
      <c r="F4308" s="6" t="str">
        <f>IFERROR(__xludf.DUMMYFUNCTION("""COMPUTED_VALUE"""),"Morales Reyna")</f>
        <v>Morales Reyna</v>
      </c>
      <c r="G4308" s="6" t="str">
        <f>IFERROR(__xludf.DUMMYFUNCTION("""COMPUTED_VALUE"""),"11/17/2014")</f>
        <v>11/17/2014</v>
      </c>
      <c r="H4308" s="6" t="str">
        <f>IFERROR(__xludf.DUMMYFUNCTION("""COMPUTED_VALUE"""),"female")</f>
        <v>female</v>
      </c>
      <c r="I4308" s="6" t="str">
        <f>IFERROR(__xludf.DUMMYFUNCTION("""COMPUTED_VALUE"""),"Level 2")</f>
        <v>Level 2</v>
      </c>
      <c r="J4308" s="6" t="str">
        <f>IFERROR(__xludf.DUMMYFUNCTION("""COMPUTED_VALUE"""),"4")</f>
        <v>4</v>
      </c>
      <c r="K4308" s="6" t="str">
        <f>IFERROR(__xludf.DUMMYFUNCTION("""COMPUTED_VALUE"""),"vanesaisabel.moralesreyna@2hourlearning.com")</f>
        <v>vanesaisabel.moralesreyna@2hourlearning.com</v>
      </c>
      <c r="L4308" s="6" t="str">
        <f>IFERROR(__xludf.DUMMYFUNCTION("""COMPUTED_VALUE"""),"JHES - Hardeeville Elementary School")</f>
        <v>JHES - Hardeeville Elementary School</v>
      </c>
      <c r="M4308" s="6" t="str">
        <f>IFERROR(__xludf.DUMMYFUNCTION("""COMPUTED_VALUE"""),"")</f>
        <v/>
      </c>
      <c r="N4308" s="6" t="str">
        <f>IFERROR(__xludf.DUMMYFUNCTION("""COMPUTED_VALUE"""),"")</f>
        <v/>
      </c>
      <c r="O4308" s="87" t="str">
        <f>IFERROR(__xludf.DUMMYFUNCTION("""COMPUTED_VALUE"""),"https://drive.google.com/drive/folders/10T2cTQHqEJZqE-st6uFKPoI?usp=share_link")</f>
        <v>https://drive.google.com/drive/folders/10T2cTQHqEJZqE-st6uFKPoI?usp=share_link</v>
      </c>
      <c r="P4308" s="6" t="str">
        <f>IFERROR(__xludf.DUMMYFUNCTION("""COMPUTED_VALUE"""),"Vanesa Isabel Morales Reyna")</f>
        <v>Vanesa Isabel Morales Reyna</v>
      </c>
      <c r="Q4308" s="6" t="str">
        <f>IFERROR(__xludf.DUMMYFUNCTION("""COMPUTED_VALUE"""),"L2")</f>
        <v>L2</v>
      </c>
      <c r="R4308" s="6">
        <f>IFERROR(__xludf.DUMMYFUNCTION("""COMPUTED_VALUE"""),2.0)</f>
        <v>2</v>
      </c>
      <c r="S4308" s="6" t="str">
        <f>IFERROR(__xludf.DUMMYFUNCTION("""COMPUTED_VALUE""")," ")</f>
        <v> </v>
      </c>
      <c r="T4308" s="6" t="str">
        <f>IFERROR(__xludf.DUMMYFUNCTION("""COMPUTED_VALUE"""),"")</f>
        <v/>
      </c>
      <c r="U4308" s="6" t="str">
        <f>IFERROR(__xludf.DUMMYFUNCTION("""COMPUTED_VALUE"""),"4")</f>
        <v>4</v>
      </c>
      <c r="V4308" s="6" t="str">
        <f>IFERROR(__xludf.DUMMYFUNCTION("""COMPUTED_VALUE"""),"")</f>
        <v/>
      </c>
      <c r="W4308" s="6" t="str">
        <f>IFERROR(__xludf.DUMMYFUNCTION("""COMPUTED_VALUE"""),"[]")</f>
        <v>[]</v>
      </c>
      <c r="X4308" s="6" t="str">
        <f>IFERROR(__xludf.DUMMYFUNCTION("""COMPUTED_VALUE"""),"Enrolled")</f>
        <v>Enrolled</v>
      </c>
    </row>
    <row r="4309">
      <c r="A4309" s="6" t="str">
        <f>IFERROR(__xludf.DUMMYFUNCTION("""COMPUTED_VALUE"""),"083-11596")</f>
        <v>083-11596</v>
      </c>
      <c r="B4309" s="6" t="str">
        <f>IFERROR(__xludf.DUMMYFUNCTION("""COMPUTED_VALUE"""),"83")</f>
        <v>83</v>
      </c>
      <c r="C4309" s="6" t="str">
        <f>IFERROR(__xludf.DUMMYFUNCTION("""COMPUTED_VALUE"""),"11596")</f>
        <v>11596</v>
      </c>
      <c r="D4309" s="6" t="str">
        <f>IFERROR(__xludf.DUMMYFUNCTION("""COMPUTED_VALUE"""),"Andrea")</f>
        <v>Andrea</v>
      </c>
      <c r="E4309" s="6" t="str">
        <f>IFERROR(__xludf.DUMMYFUNCTION("""COMPUTED_VALUE"""),"")</f>
        <v/>
      </c>
      <c r="F4309" s="6" t="str">
        <f>IFERROR(__xludf.DUMMYFUNCTION("""COMPUTED_VALUE"""),"Morales-Roblero")</f>
        <v>Morales-Roblero</v>
      </c>
      <c r="G4309" s="6" t="str">
        <f>IFERROR(__xludf.DUMMYFUNCTION("""COMPUTED_VALUE"""),"10/30/2015")</f>
        <v>10/30/2015</v>
      </c>
      <c r="H4309" s="6" t="str">
        <f>IFERROR(__xludf.DUMMYFUNCTION("""COMPUTED_VALUE"""),"female")</f>
        <v>female</v>
      </c>
      <c r="I4309" s="6" t="str">
        <f>IFERROR(__xludf.DUMMYFUNCTION("""COMPUTED_VALUE"""),"Level 2")</f>
        <v>Level 2</v>
      </c>
      <c r="J4309" s="6" t="str">
        <f>IFERROR(__xludf.DUMMYFUNCTION("""COMPUTED_VALUE"""),"4")</f>
        <v>4</v>
      </c>
      <c r="K4309" s="6" t="str">
        <f>IFERROR(__xludf.DUMMYFUNCTION("""COMPUTED_VALUE"""),"andrea.moralesroblero@2hourlearning.com")</f>
        <v>andrea.moralesroblero@2hourlearning.com</v>
      </c>
      <c r="L4309" s="6" t="str">
        <f>IFERROR(__xludf.DUMMYFUNCTION("""COMPUTED_VALUE"""),"JHES - Hardeeville Elementary School")</f>
        <v>JHES - Hardeeville Elementary School</v>
      </c>
      <c r="M4309" s="6" t="str">
        <f>IFERROR(__xludf.DUMMYFUNCTION("""COMPUTED_VALUE"""),"")</f>
        <v/>
      </c>
      <c r="N4309" s="6" t="str">
        <f>IFERROR(__xludf.DUMMYFUNCTION("""COMPUTED_VALUE"""),"")</f>
        <v/>
      </c>
      <c r="O4309" s="87" t="str">
        <f>IFERROR(__xludf.DUMMYFUNCTION("""COMPUTED_VALUE"""),"https://drive.google.com/drive/folders/10T2cTQHqEJZqE-st6uFKPoI?usp=share_link")</f>
        <v>https://drive.google.com/drive/folders/10T2cTQHqEJZqE-st6uFKPoI?usp=share_link</v>
      </c>
      <c r="P4309" s="6" t="str">
        <f>IFERROR(__xludf.DUMMYFUNCTION("""COMPUTED_VALUE"""),"Andrea Morales-Roblero")</f>
        <v>Andrea Morales-Roblero</v>
      </c>
      <c r="Q4309" s="6" t="str">
        <f>IFERROR(__xludf.DUMMYFUNCTION("""COMPUTED_VALUE"""),"L2")</f>
        <v>L2</v>
      </c>
      <c r="R4309" s="6">
        <f>IFERROR(__xludf.DUMMYFUNCTION("""COMPUTED_VALUE"""),2.0)</f>
        <v>2</v>
      </c>
      <c r="S4309" s="6" t="str">
        <f>IFERROR(__xludf.DUMMYFUNCTION("""COMPUTED_VALUE""")," ")</f>
        <v> </v>
      </c>
      <c r="T4309" s="6" t="str">
        <f>IFERROR(__xludf.DUMMYFUNCTION("""COMPUTED_VALUE"""),"")</f>
        <v/>
      </c>
      <c r="U4309" s="6" t="str">
        <f>IFERROR(__xludf.DUMMYFUNCTION("""COMPUTED_VALUE"""),"4")</f>
        <v>4</v>
      </c>
      <c r="V4309" s="6" t="str">
        <f>IFERROR(__xludf.DUMMYFUNCTION("""COMPUTED_VALUE"""),"")</f>
        <v/>
      </c>
      <c r="W4309" s="6" t="str">
        <f>IFERROR(__xludf.DUMMYFUNCTION("""COMPUTED_VALUE"""),"[]")</f>
        <v>[]</v>
      </c>
      <c r="X4309" s="6" t="str">
        <f>IFERROR(__xludf.DUMMYFUNCTION("""COMPUTED_VALUE"""),"Enrolled")</f>
        <v>Enrolled</v>
      </c>
    </row>
    <row r="4310">
      <c r="A4310" s="6" t="str">
        <f>IFERROR(__xludf.DUMMYFUNCTION("""COMPUTED_VALUE"""),"083-11597")</f>
        <v>083-11597</v>
      </c>
      <c r="B4310" s="6" t="str">
        <f>IFERROR(__xludf.DUMMYFUNCTION("""COMPUTED_VALUE"""),"83")</f>
        <v>83</v>
      </c>
      <c r="C4310" s="6" t="str">
        <f>IFERROR(__xludf.DUMMYFUNCTION("""COMPUTED_VALUE"""),"11597")</f>
        <v>11597</v>
      </c>
      <c r="D4310" s="6" t="str">
        <f>IFERROR(__xludf.DUMMYFUNCTION("""COMPUTED_VALUE"""),"Yelitza G")</f>
        <v>Yelitza G</v>
      </c>
      <c r="E4310" s="6" t="str">
        <f>IFERROR(__xludf.DUMMYFUNCTION("""COMPUTED_VALUE"""),"")</f>
        <v/>
      </c>
      <c r="F4310" s="6" t="str">
        <f>IFERROR(__xludf.DUMMYFUNCTION("""COMPUTED_VALUE"""),"Moreno Tinoco")</f>
        <v>Moreno Tinoco</v>
      </c>
      <c r="G4310" s="6" t="str">
        <f>IFERROR(__xludf.DUMMYFUNCTION("""COMPUTED_VALUE"""),"06/15/2015")</f>
        <v>06/15/2015</v>
      </c>
      <c r="H4310" s="6" t="str">
        <f>IFERROR(__xludf.DUMMYFUNCTION("""COMPUTED_VALUE"""),"female")</f>
        <v>female</v>
      </c>
      <c r="I4310" s="6" t="str">
        <f>IFERROR(__xludf.DUMMYFUNCTION("""COMPUTED_VALUE"""),"Level 2")</f>
        <v>Level 2</v>
      </c>
      <c r="J4310" s="6" t="str">
        <f>IFERROR(__xludf.DUMMYFUNCTION("""COMPUTED_VALUE"""),"4")</f>
        <v>4</v>
      </c>
      <c r="K4310" s="6" t="str">
        <f>IFERROR(__xludf.DUMMYFUNCTION("""COMPUTED_VALUE"""),"yelitzag.morenotinoco@2hourlearning.com")</f>
        <v>yelitzag.morenotinoco@2hourlearning.com</v>
      </c>
      <c r="L4310" s="6" t="str">
        <f>IFERROR(__xludf.DUMMYFUNCTION("""COMPUTED_VALUE"""),"JHES - Hardeeville Elementary School")</f>
        <v>JHES - Hardeeville Elementary School</v>
      </c>
      <c r="M4310" s="6" t="str">
        <f>IFERROR(__xludf.DUMMYFUNCTION("""COMPUTED_VALUE"""),"")</f>
        <v/>
      </c>
      <c r="N4310" s="6" t="str">
        <f>IFERROR(__xludf.DUMMYFUNCTION("""COMPUTED_VALUE"""),"")</f>
        <v/>
      </c>
      <c r="O4310" s="87" t="str">
        <f>IFERROR(__xludf.DUMMYFUNCTION("""COMPUTED_VALUE"""),"https://drive.google.com/drive/folders/10T2cTQHqEJZqE-st6uFKPoI?usp=share_link")</f>
        <v>https://drive.google.com/drive/folders/10T2cTQHqEJZqE-st6uFKPoI?usp=share_link</v>
      </c>
      <c r="P4310" s="6" t="str">
        <f>IFERROR(__xludf.DUMMYFUNCTION("""COMPUTED_VALUE"""),"Yelitza G Moreno Tinoco")</f>
        <v>Yelitza G Moreno Tinoco</v>
      </c>
      <c r="Q4310" s="6" t="str">
        <f>IFERROR(__xludf.DUMMYFUNCTION("""COMPUTED_VALUE"""),"L2")</f>
        <v>L2</v>
      </c>
      <c r="R4310" s="6">
        <f>IFERROR(__xludf.DUMMYFUNCTION("""COMPUTED_VALUE"""),2.0)</f>
        <v>2</v>
      </c>
      <c r="S4310" s="6" t="str">
        <f>IFERROR(__xludf.DUMMYFUNCTION("""COMPUTED_VALUE""")," ")</f>
        <v> </v>
      </c>
      <c r="T4310" s="6" t="str">
        <f>IFERROR(__xludf.DUMMYFUNCTION("""COMPUTED_VALUE"""),"")</f>
        <v/>
      </c>
      <c r="U4310" s="6" t="str">
        <f>IFERROR(__xludf.DUMMYFUNCTION("""COMPUTED_VALUE"""),"4")</f>
        <v>4</v>
      </c>
      <c r="V4310" s="6" t="str">
        <f>IFERROR(__xludf.DUMMYFUNCTION("""COMPUTED_VALUE"""),"")</f>
        <v/>
      </c>
      <c r="W4310" s="6" t="str">
        <f>IFERROR(__xludf.DUMMYFUNCTION("""COMPUTED_VALUE"""),"[]")</f>
        <v>[]</v>
      </c>
      <c r="X4310" s="6" t="str">
        <f>IFERROR(__xludf.DUMMYFUNCTION("""COMPUTED_VALUE"""),"Enrolled")</f>
        <v>Enrolled</v>
      </c>
    </row>
    <row r="4311">
      <c r="A4311" s="6" t="str">
        <f>IFERROR(__xludf.DUMMYFUNCTION("""COMPUTED_VALUE"""),"083-11598")</f>
        <v>083-11598</v>
      </c>
      <c r="B4311" s="6" t="str">
        <f>IFERROR(__xludf.DUMMYFUNCTION("""COMPUTED_VALUE"""),"83")</f>
        <v>83</v>
      </c>
      <c r="C4311" s="6" t="str">
        <f>IFERROR(__xludf.DUMMYFUNCTION("""COMPUTED_VALUE"""),"11598")</f>
        <v>11598</v>
      </c>
      <c r="D4311" s="6" t="str">
        <f>IFERROR(__xludf.DUMMYFUNCTION("""COMPUTED_VALUE"""),"Kathleen")</f>
        <v>Kathleen</v>
      </c>
      <c r="E4311" s="6" t="str">
        <f>IFERROR(__xludf.DUMMYFUNCTION("""COMPUTED_VALUE"""),"")</f>
        <v/>
      </c>
      <c r="F4311" s="6" t="str">
        <f>IFERROR(__xludf.DUMMYFUNCTION("""COMPUTED_VALUE"""),"Neri Tinoco")</f>
        <v>Neri Tinoco</v>
      </c>
      <c r="G4311" s="6" t="str">
        <f>IFERROR(__xludf.DUMMYFUNCTION("""COMPUTED_VALUE"""),"01/19/2016")</f>
        <v>01/19/2016</v>
      </c>
      <c r="H4311" s="6" t="str">
        <f>IFERROR(__xludf.DUMMYFUNCTION("""COMPUTED_VALUE"""),"female")</f>
        <v>female</v>
      </c>
      <c r="I4311" s="6" t="str">
        <f>IFERROR(__xludf.DUMMYFUNCTION("""COMPUTED_VALUE"""),"Level 2")</f>
        <v>Level 2</v>
      </c>
      <c r="J4311" s="6" t="str">
        <f>IFERROR(__xludf.DUMMYFUNCTION("""COMPUTED_VALUE"""),"4")</f>
        <v>4</v>
      </c>
      <c r="K4311" s="6" t="str">
        <f>IFERROR(__xludf.DUMMYFUNCTION("""COMPUTED_VALUE"""),"kathleen.neritinoco@2hourlearning.com")</f>
        <v>kathleen.neritinoco@2hourlearning.com</v>
      </c>
      <c r="L4311" s="6" t="str">
        <f>IFERROR(__xludf.DUMMYFUNCTION("""COMPUTED_VALUE"""),"JHES - Hardeeville Elementary School")</f>
        <v>JHES - Hardeeville Elementary School</v>
      </c>
      <c r="M4311" s="6" t="str">
        <f>IFERROR(__xludf.DUMMYFUNCTION("""COMPUTED_VALUE"""),"")</f>
        <v/>
      </c>
      <c r="N4311" s="6" t="str">
        <f>IFERROR(__xludf.DUMMYFUNCTION("""COMPUTED_VALUE"""),"")</f>
        <v/>
      </c>
      <c r="O4311" s="87" t="str">
        <f>IFERROR(__xludf.DUMMYFUNCTION("""COMPUTED_VALUE"""),"https://drive.google.com/drive/folders/10T2cTQHqEJZqE-st6uFKPoI?usp=share_link")</f>
        <v>https://drive.google.com/drive/folders/10T2cTQHqEJZqE-st6uFKPoI?usp=share_link</v>
      </c>
      <c r="P4311" s="6" t="str">
        <f>IFERROR(__xludf.DUMMYFUNCTION("""COMPUTED_VALUE"""),"Kathleen Neri Tinoco")</f>
        <v>Kathleen Neri Tinoco</v>
      </c>
      <c r="Q4311" s="6" t="str">
        <f>IFERROR(__xludf.DUMMYFUNCTION("""COMPUTED_VALUE"""),"L2")</f>
        <v>L2</v>
      </c>
      <c r="R4311" s="6">
        <f>IFERROR(__xludf.DUMMYFUNCTION("""COMPUTED_VALUE"""),2.0)</f>
        <v>2</v>
      </c>
      <c r="S4311" s="6" t="str">
        <f>IFERROR(__xludf.DUMMYFUNCTION("""COMPUTED_VALUE""")," ")</f>
        <v> </v>
      </c>
      <c r="T4311" s="6" t="str">
        <f>IFERROR(__xludf.DUMMYFUNCTION("""COMPUTED_VALUE"""),"")</f>
        <v/>
      </c>
      <c r="U4311" s="6" t="str">
        <f>IFERROR(__xludf.DUMMYFUNCTION("""COMPUTED_VALUE"""),"4")</f>
        <v>4</v>
      </c>
      <c r="V4311" s="6" t="str">
        <f>IFERROR(__xludf.DUMMYFUNCTION("""COMPUTED_VALUE"""),"")</f>
        <v/>
      </c>
      <c r="W4311" s="6" t="str">
        <f>IFERROR(__xludf.DUMMYFUNCTION("""COMPUTED_VALUE"""),"[]")</f>
        <v>[]</v>
      </c>
      <c r="X4311" s="6" t="str">
        <f>IFERROR(__xludf.DUMMYFUNCTION("""COMPUTED_VALUE"""),"Enrolled")</f>
        <v>Enrolled</v>
      </c>
    </row>
    <row r="4312">
      <c r="A4312" s="6" t="str">
        <f>IFERROR(__xludf.DUMMYFUNCTION("""COMPUTED_VALUE"""),"083-11599")</f>
        <v>083-11599</v>
      </c>
      <c r="B4312" s="6" t="str">
        <f>IFERROR(__xludf.DUMMYFUNCTION("""COMPUTED_VALUE"""),"83")</f>
        <v>83</v>
      </c>
      <c r="C4312" s="6" t="str">
        <f>IFERROR(__xludf.DUMMYFUNCTION("""COMPUTED_VALUE"""),"11599")</f>
        <v>11599</v>
      </c>
      <c r="D4312" s="6" t="str">
        <f>IFERROR(__xludf.DUMMYFUNCTION("""COMPUTED_VALUE"""),"Christen")</f>
        <v>Christen</v>
      </c>
      <c r="E4312" s="6" t="str">
        <f>IFERROR(__xludf.DUMMYFUNCTION("""COMPUTED_VALUE"""),"")</f>
        <v/>
      </c>
      <c r="F4312" s="6" t="str">
        <f>IFERROR(__xludf.DUMMYFUNCTION("""COMPUTED_VALUE"""),"Newton")</f>
        <v>Newton</v>
      </c>
      <c r="G4312" s="6" t="str">
        <f>IFERROR(__xludf.DUMMYFUNCTION("""COMPUTED_VALUE"""),"07/22/2016")</f>
        <v>07/22/2016</v>
      </c>
      <c r="H4312" s="6" t="str">
        <f>IFERROR(__xludf.DUMMYFUNCTION("""COMPUTED_VALUE"""),"male")</f>
        <v>male</v>
      </c>
      <c r="I4312" s="6" t="str">
        <f>IFERROR(__xludf.DUMMYFUNCTION("""COMPUTED_VALUE"""),"Level 2")</f>
        <v>Level 2</v>
      </c>
      <c r="J4312" s="6" t="str">
        <f>IFERROR(__xludf.DUMMYFUNCTION("""COMPUTED_VALUE"""),"4")</f>
        <v>4</v>
      </c>
      <c r="K4312" s="6" t="str">
        <f>IFERROR(__xludf.DUMMYFUNCTION("""COMPUTED_VALUE"""),"christen.newton@2hourlearning.com")</f>
        <v>christen.newton@2hourlearning.com</v>
      </c>
      <c r="L4312" s="6" t="str">
        <f>IFERROR(__xludf.DUMMYFUNCTION("""COMPUTED_VALUE"""),"JHES - Hardeeville Elementary School")</f>
        <v>JHES - Hardeeville Elementary School</v>
      </c>
      <c r="M4312" s="6" t="str">
        <f>IFERROR(__xludf.DUMMYFUNCTION("""COMPUTED_VALUE"""),"")</f>
        <v/>
      </c>
      <c r="N4312" s="6" t="str">
        <f>IFERROR(__xludf.DUMMYFUNCTION("""COMPUTED_VALUE"""),"")</f>
        <v/>
      </c>
      <c r="O4312" s="87" t="str">
        <f>IFERROR(__xludf.DUMMYFUNCTION("""COMPUTED_VALUE"""),"https://drive.google.com/drive/folders/10T2cTQHqEJZqE-st6uFKPoI?usp=share_link")</f>
        <v>https://drive.google.com/drive/folders/10T2cTQHqEJZqE-st6uFKPoI?usp=share_link</v>
      </c>
      <c r="P4312" s="6" t="str">
        <f>IFERROR(__xludf.DUMMYFUNCTION("""COMPUTED_VALUE"""),"Christen Newton")</f>
        <v>Christen Newton</v>
      </c>
      <c r="Q4312" s="6" t="str">
        <f>IFERROR(__xludf.DUMMYFUNCTION("""COMPUTED_VALUE"""),"L2")</f>
        <v>L2</v>
      </c>
      <c r="R4312" s="6">
        <f>IFERROR(__xludf.DUMMYFUNCTION("""COMPUTED_VALUE"""),2.0)</f>
        <v>2</v>
      </c>
      <c r="S4312" s="6" t="str">
        <f>IFERROR(__xludf.DUMMYFUNCTION("""COMPUTED_VALUE""")," ")</f>
        <v> </v>
      </c>
      <c r="T4312" s="6" t="str">
        <f>IFERROR(__xludf.DUMMYFUNCTION("""COMPUTED_VALUE"""),"")</f>
        <v/>
      </c>
      <c r="U4312" s="6" t="str">
        <f>IFERROR(__xludf.DUMMYFUNCTION("""COMPUTED_VALUE"""),"4")</f>
        <v>4</v>
      </c>
      <c r="V4312" s="6" t="str">
        <f>IFERROR(__xludf.DUMMYFUNCTION("""COMPUTED_VALUE"""),"")</f>
        <v/>
      </c>
      <c r="W4312" s="6" t="str">
        <f>IFERROR(__xludf.DUMMYFUNCTION("""COMPUTED_VALUE"""),"[]")</f>
        <v>[]</v>
      </c>
      <c r="X4312" s="6" t="str">
        <f>IFERROR(__xludf.DUMMYFUNCTION("""COMPUTED_VALUE"""),"Enrolled")</f>
        <v>Enrolled</v>
      </c>
    </row>
    <row r="4313">
      <c r="A4313" s="6" t="str">
        <f>IFERROR(__xludf.DUMMYFUNCTION("""COMPUTED_VALUE"""),"083-11600")</f>
        <v>083-11600</v>
      </c>
      <c r="B4313" s="6" t="str">
        <f>IFERROR(__xludf.DUMMYFUNCTION("""COMPUTED_VALUE"""),"83")</f>
        <v>83</v>
      </c>
      <c r="C4313" s="6" t="str">
        <f>IFERROR(__xludf.DUMMYFUNCTION("""COMPUTED_VALUE"""),"11600")</f>
        <v>11600</v>
      </c>
      <c r="D4313" s="6" t="str">
        <f>IFERROR(__xludf.DUMMYFUNCTION("""COMPUTED_VALUE"""),"Maydelyn L")</f>
        <v>Maydelyn L</v>
      </c>
      <c r="E4313" s="6" t="str">
        <f>IFERROR(__xludf.DUMMYFUNCTION("""COMPUTED_VALUE"""),"")</f>
        <v/>
      </c>
      <c r="F4313" s="6" t="str">
        <f>IFERROR(__xludf.DUMMYFUNCTION("""COMPUTED_VALUE"""),"Ortiz Saravia")</f>
        <v>Ortiz Saravia</v>
      </c>
      <c r="G4313" s="6" t="str">
        <f>IFERROR(__xludf.DUMMYFUNCTION("""COMPUTED_VALUE"""),"08/28/2016")</f>
        <v>08/28/2016</v>
      </c>
      <c r="H4313" s="6" t="str">
        <f>IFERROR(__xludf.DUMMYFUNCTION("""COMPUTED_VALUE"""),"female")</f>
        <v>female</v>
      </c>
      <c r="I4313" s="6" t="str">
        <f>IFERROR(__xludf.DUMMYFUNCTION("""COMPUTED_VALUE"""),"Level 2")</f>
        <v>Level 2</v>
      </c>
      <c r="J4313" s="6" t="str">
        <f>IFERROR(__xludf.DUMMYFUNCTION("""COMPUTED_VALUE"""),"4")</f>
        <v>4</v>
      </c>
      <c r="K4313" s="6" t="str">
        <f>IFERROR(__xludf.DUMMYFUNCTION("""COMPUTED_VALUE"""),"maydelynl.ortizsaravia@2hourlearning.com")</f>
        <v>maydelynl.ortizsaravia@2hourlearning.com</v>
      </c>
      <c r="L4313" s="6" t="str">
        <f>IFERROR(__xludf.DUMMYFUNCTION("""COMPUTED_VALUE"""),"JHES - Hardeeville Elementary School")</f>
        <v>JHES - Hardeeville Elementary School</v>
      </c>
      <c r="M4313" s="6" t="str">
        <f>IFERROR(__xludf.DUMMYFUNCTION("""COMPUTED_VALUE"""),"")</f>
        <v/>
      </c>
      <c r="N4313" s="6" t="str">
        <f>IFERROR(__xludf.DUMMYFUNCTION("""COMPUTED_VALUE"""),"")</f>
        <v/>
      </c>
      <c r="O4313" s="87" t="str">
        <f>IFERROR(__xludf.DUMMYFUNCTION("""COMPUTED_VALUE"""),"https://drive.google.com/drive/folders/10T2cTQHqEJZqE-st6uFKPoI?usp=share_link")</f>
        <v>https://drive.google.com/drive/folders/10T2cTQHqEJZqE-st6uFKPoI?usp=share_link</v>
      </c>
      <c r="P4313" s="6" t="str">
        <f>IFERROR(__xludf.DUMMYFUNCTION("""COMPUTED_VALUE"""),"Maydelyn L Ortiz Saravia")</f>
        <v>Maydelyn L Ortiz Saravia</v>
      </c>
      <c r="Q4313" s="6" t="str">
        <f>IFERROR(__xludf.DUMMYFUNCTION("""COMPUTED_VALUE"""),"L2")</f>
        <v>L2</v>
      </c>
      <c r="R4313" s="6">
        <f>IFERROR(__xludf.DUMMYFUNCTION("""COMPUTED_VALUE"""),2.0)</f>
        <v>2</v>
      </c>
      <c r="S4313" s="6" t="str">
        <f>IFERROR(__xludf.DUMMYFUNCTION("""COMPUTED_VALUE""")," ")</f>
        <v> </v>
      </c>
      <c r="T4313" s="6" t="str">
        <f>IFERROR(__xludf.DUMMYFUNCTION("""COMPUTED_VALUE"""),"")</f>
        <v/>
      </c>
      <c r="U4313" s="6" t="str">
        <f>IFERROR(__xludf.DUMMYFUNCTION("""COMPUTED_VALUE"""),"4")</f>
        <v>4</v>
      </c>
      <c r="V4313" s="6" t="str">
        <f>IFERROR(__xludf.DUMMYFUNCTION("""COMPUTED_VALUE"""),"")</f>
        <v/>
      </c>
      <c r="W4313" s="6" t="str">
        <f>IFERROR(__xludf.DUMMYFUNCTION("""COMPUTED_VALUE"""),"[]")</f>
        <v>[]</v>
      </c>
      <c r="X4313" s="6" t="str">
        <f>IFERROR(__xludf.DUMMYFUNCTION("""COMPUTED_VALUE"""),"Enrolled")</f>
        <v>Enrolled</v>
      </c>
    </row>
    <row r="4314">
      <c r="A4314" s="6" t="str">
        <f>IFERROR(__xludf.DUMMYFUNCTION("""COMPUTED_VALUE"""),"083-11601")</f>
        <v>083-11601</v>
      </c>
      <c r="B4314" s="6" t="str">
        <f>IFERROR(__xludf.DUMMYFUNCTION("""COMPUTED_VALUE"""),"83")</f>
        <v>83</v>
      </c>
      <c r="C4314" s="6" t="str">
        <f>IFERROR(__xludf.DUMMYFUNCTION("""COMPUTED_VALUE"""),"11601")</f>
        <v>11601</v>
      </c>
      <c r="D4314" s="6" t="str">
        <f>IFERROR(__xludf.DUMMYFUNCTION("""COMPUTED_VALUE"""),"Felipe")</f>
        <v>Felipe</v>
      </c>
      <c r="E4314" s="6" t="str">
        <f>IFERROR(__xludf.DUMMYFUNCTION("""COMPUTED_VALUE"""),"")</f>
        <v/>
      </c>
      <c r="F4314" s="6" t="str">
        <f>IFERROR(__xludf.DUMMYFUNCTION("""COMPUTED_VALUE"""),"Osorio Aponte")</f>
        <v>Osorio Aponte</v>
      </c>
      <c r="G4314" s="6" t="str">
        <f>IFERROR(__xludf.DUMMYFUNCTION("""COMPUTED_VALUE"""),"12/12/2015")</f>
        <v>12/12/2015</v>
      </c>
      <c r="H4314" s="6" t="str">
        <f>IFERROR(__xludf.DUMMYFUNCTION("""COMPUTED_VALUE"""),"male")</f>
        <v>male</v>
      </c>
      <c r="I4314" s="6" t="str">
        <f>IFERROR(__xludf.DUMMYFUNCTION("""COMPUTED_VALUE"""),"Level 2")</f>
        <v>Level 2</v>
      </c>
      <c r="J4314" s="6" t="str">
        <f>IFERROR(__xludf.DUMMYFUNCTION("""COMPUTED_VALUE"""),"4")</f>
        <v>4</v>
      </c>
      <c r="K4314" s="6" t="str">
        <f>IFERROR(__xludf.DUMMYFUNCTION("""COMPUTED_VALUE"""),"felipe.osorioaponte@2hourlearning.com")</f>
        <v>felipe.osorioaponte@2hourlearning.com</v>
      </c>
      <c r="L4314" s="6" t="str">
        <f>IFERROR(__xludf.DUMMYFUNCTION("""COMPUTED_VALUE"""),"JHES - Hardeeville Elementary School")</f>
        <v>JHES - Hardeeville Elementary School</v>
      </c>
      <c r="M4314" s="6" t="str">
        <f>IFERROR(__xludf.DUMMYFUNCTION("""COMPUTED_VALUE"""),"")</f>
        <v/>
      </c>
      <c r="N4314" s="6" t="str">
        <f>IFERROR(__xludf.DUMMYFUNCTION("""COMPUTED_VALUE"""),"")</f>
        <v/>
      </c>
      <c r="O4314" s="87" t="str">
        <f>IFERROR(__xludf.DUMMYFUNCTION("""COMPUTED_VALUE"""),"https://drive.google.com/drive/folders/10T2cTQHqEJZqE-st6uFKPoI?usp=share_link")</f>
        <v>https://drive.google.com/drive/folders/10T2cTQHqEJZqE-st6uFKPoI?usp=share_link</v>
      </c>
      <c r="P4314" s="6" t="str">
        <f>IFERROR(__xludf.DUMMYFUNCTION("""COMPUTED_VALUE"""),"Felipe Osorio Aponte")</f>
        <v>Felipe Osorio Aponte</v>
      </c>
      <c r="Q4314" s="6" t="str">
        <f>IFERROR(__xludf.DUMMYFUNCTION("""COMPUTED_VALUE"""),"L2")</f>
        <v>L2</v>
      </c>
      <c r="R4314" s="6">
        <f>IFERROR(__xludf.DUMMYFUNCTION("""COMPUTED_VALUE"""),2.0)</f>
        <v>2</v>
      </c>
      <c r="S4314" s="6" t="str">
        <f>IFERROR(__xludf.DUMMYFUNCTION("""COMPUTED_VALUE""")," ")</f>
        <v> </v>
      </c>
      <c r="T4314" s="6" t="str">
        <f>IFERROR(__xludf.DUMMYFUNCTION("""COMPUTED_VALUE"""),"")</f>
        <v/>
      </c>
      <c r="U4314" s="6" t="str">
        <f>IFERROR(__xludf.DUMMYFUNCTION("""COMPUTED_VALUE"""),"4")</f>
        <v>4</v>
      </c>
      <c r="V4314" s="6" t="str">
        <f>IFERROR(__xludf.DUMMYFUNCTION("""COMPUTED_VALUE"""),"")</f>
        <v/>
      </c>
      <c r="W4314" s="6" t="str">
        <f>IFERROR(__xludf.DUMMYFUNCTION("""COMPUTED_VALUE"""),"[]")</f>
        <v>[]</v>
      </c>
      <c r="X4314" s="6" t="str">
        <f>IFERROR(__xludf.DUMMYFUNCTION("""COMPUTED_VALUE"""),"Enrolled")</f>
        <v>Enrolled</v>
      </c>
    </row>
    <row r="4315">
      <c r="A4315" s="6" t="str">
        <f>IFERROR(__xludf.DUMMYFUNCTION("""COMPUTED_VALUE"""),"083-11602")</f>
        <v>083-11602</v>
      </c>
      <c r="B4315" s="6" t="str">
        <f>IFERROR(__xludf.DUMMYFUNCTION("""COMPUTED_VALUE"""),"83")</f>
        <v>83</v>
      </c>
      <c r="C4315" s="6" t="str">
        <f>IFERROR(__xludf.DUMMYFUNCTION("""COMPUTED_VALUE"""),"11602")</f>
        <v>11602</v>
      </c>
      <c r="D4315" s="6" t="str">
        <f>IFERROR(__xludf.DUMMYFUNCTION("""COMPUTED_VALUE"""),"Justice")</f>
        <v>Justice</v>
      </c>
      <c r="E4315" s="6" t="str">
        <f>IFERROR(__xludf.DUMMYFUNCTION("""COMPUTED_VALUE"""),"")</f>
        <v/>
      </c>
      <c r="F4315" s="6" t="str">
        <f>IFERROR(__xludf.DUMMYFUNCTION("""COMPUTED_VALUE"""),"Page")</f>
        <v>Page</v>
      </c>
      <c r="G4315" s="6" t="str">
        <f>IFERROR(__xludf.DUMMYFUNCTION("""COMPUTED_VALUE"""),"08/23/2016")</f>
        <v>08/23/2016</v>
      </c>
      <c r="H4315" s="6" t="str">
        <f>IFERROR(__xludf.DUMMYFUNCTION("""COMPUTED_VALUE"""),"female")</f>
        <v>female</v>
      </c>
      <c r="I4315" s="6" t="str">
        <f>IFERROR(__xludf.DUMMYFUNCTION("""COMPUTED_VALUE"""),"Level 2")</f>
        <v>Level 2</v>
      </c>
      <c r="J4315" s="6" t="str">
        <f>IFERROR(__xludf.DUMMYFUNCTION("""COMPUTED_VALUE"""),"4")</f>
        <v>4</v>
      </c>
      <c r="K4315" s="6" t="str">
        <f>IFERROR(__xludf.DUMMYFUNCTION("""COMPUTED_VALUE"""),"justice.page@2hourlearning.com")</f>
        <v>justice.page@2hourlearning.com</v>
      </c>
      <c r="L4315" s="6" t="str">
        <f>IFERROR(__xludf.DUMMYFUNCTION("""COMPUTED_VALUE"""),"JHES - Hardeeville Elementary School")</f>
        <v>JHES - Hardeeville Elementary School</v>
      </c>
      <c r="M4315" s="6" t="str">
        <f>IFERROR(__xludf.DUMMYFUNCTION("""COMPUTED_VALUE"""),"")</f>
        <v/>
      </c>
      <c r="N4315" s="6" t="str">
        <f>IFERROR(__xludf.DUMMYFUNCTION("""COMPUTED_VALUE"""),"")</f>
        <v/>
      </c>
      <c r="O4315" s="87" t="str">
        <f>IFERROR(__xludf.DUMMYFUNCTION("""COMPUTED_VALUE"""),"https://drive.google.com/drive/folders/10T2cTQHqEJZqE-st6uFKPoI?usp=share_link")</f>
        <v>https://drive.google.com/drive/folders/10T2cTQHqEJZqE-st6uFKPoI?usp=share_link</v>
      </c>
      <c r="P4315" s="6" t="str">
        <f>IFERROR(__xludf.DUMMYFUNCTION("""COMPUTED_VALUE"""),"Justice Page")</f>
        <v>Justice Page</v>
      </c>
      <c r="Q4315" s="6" t="str">
        <f>IFERROR(__xludf.DUMMYFUNCTION("""COMPUTED_VALUE"""),"L2")</f>
        <v>L2</v>
      </c>
      <c r="R4315" s="6">
        <f>IFERROR(__xludf.DUMMYFUNCTION("""COMPUTED_VALUE"""),2.0)</f>
        <v>2</v>
      </c>
      <c r="S4315" s="6" t="str">
        <f>IFERROR(__xludf.DUMMYFUNCTION("""COMPUTED_VALUE""")," ")</f>
        <v> </v>
      </c>
      <c r="T4315" s="6" t="str">
        <f>IFERROR(__xludf.DUMMYFUNCTION("""COMPUTED_VALUE"""),"")</f>
        <v/>
      </c>
      <c r="U4315" s="6" t="str">
        <f>IFERROR(__xludf.DUMMYFUNCTION("""COMPUTED_VALUE"""),"4")</f>
        <v>4</v>
      </c>
      <c r="V4315" s="6" t="str">
        <f>IFERROR(__xludf.DUMMYFUNCTION("""COMPUTED_VALUE"""),"")</f>
        <v/>
      </c>
      <c r="W4315" s="6" t="str">
        <f>IFERROR(__xludf.DUMMYFUNCTION("""COMPUTED_VALUE"""),"[]")</f>
        <v>[]</v>
      </c>
      <c r="X4315" s="6" t="str">
        <f>IFERROR(__xludf.DUMMYFUNCTION("""COMPUTED_VALUE"""),"Enrolled")</f>
        <v>Enrolled</v>
      </c>
    </row>
    <row r="4316">
      <c r="A4316" s="6" t="str">
        <f>IFERROR(__xludf.DUMMYFUNCTION("""COMPUTED_VALUE"""),"083-11603")</f>
        <v>083-11603</v>
      </c>
      <c r="B4316" s="6" t="str">
        <f>IFERROR(__xludf.DUMMYFUNCTION("""COMPUTED_VALUE"""),"83")</f>
        <v>83</v>
      </c>
      <c r="C4316" s="6" t="str">
        <f>IFERROR(__xludf.DUMMYFUNCTION("""COMPUTED_VALUE"""),"11603")</f>
        <v>11603</v>
      </c>
      <c r="D4316" s="6" t="str">
        <f>IFERROR(__xludf.DUMMYFUNCTION("""COMPUTED_VALUE"""),"Sebastian")</f>
        <v>Sebastian</v>
      </c>
      <c r="E4316" s="6" t="str">
        <f>IFERROR(__xludf.DUMMYFUNCTION("""COMPUTED_VALUE"""),"")</f>
        <v/>
      </c>
      <c r="F4316" s="6" t="str">
        <f>IFERROR(__xludf.DUMMYFUNCTION("""COMPUTED_VALUE"""),"Paredes Ramirez")</f>
        <v>Paredes Ramirez</v>
      </c>
      <c r="G4316" s="6" t="str">
        <f>IFERROR(__xludf.DUMMYFUNCTION("""COMPUTED_VALUE"""),"07/29/2015")</f>
        <v>07/29/2015</v>
      </c>
      <c r="H4316" s="6" t="str">
        <f>IFERROR(__xludf.DUMMYFUNCTION("""COMPUTED_VALUE"""),"male")</f>
        <v>male</v>
      </c>
      <c r="I4316" s="6" t="str">
        <f>IFERROR(__xludf.DUMMYFUNCTION("""COMPUTED_VALUE"""),"Level 2")</f>
        <v>Level 2</v>
      </c>
      <c r="J4316" s="6" t="str">
        <f>IFERROR(__xludf.DUMMYFUNCTION("""COMPUTED_VALUE"""),"4")</f>
        <v>4</v>
      </c>
      <c r="K4316" s="6" t="str">
        <f>IFERROR(__xludf.DUMMYFUNCTION("""COMPUTED_VALUE"""),"sebastian.paredesramirez@2hourlearning.com")</f>
        <v>sebastian.paredesramirez@2hourlearning.com</v>
      </c>
      <c r="L4316" s="6" t="str">
        <f>IFERROR(__xludf.DUMMYFUNCTION("""COMPUTED_VALUE"""),"JHES - Hardeeville Elementary School")</f>
        <v>JHES - Hardeeville Elementary School</v>
      </c>
      <c r="M4316" s="6" t="str">
        <f>IFERROR(__xludf.DUMMYFUNCTION("""COMPUTED_VALUE"""),"")</f>
        <v/>
      </c>
      <c r="N4316" s="6" t="str">
        <f>IFERROR(__xludf.DUMMYFUNCTION("""COMPUTED_VALUE"""),"")</f>
        <v/>
      </c>
      <c r="O4316" s="87" t="str">
        <f>IFERROR(__xludf.DUMMYFUNCTION("""COMPUTED_VALUE"""),"https://drive.google.com/drive/folders/10T2cTQHqEJZqE-st6uFKPoI?usp=share_link")</f>
        <v>https://drive.google.com/drive/folders/10T2cTQHqEJZqE-st6uFKPoI?usp=share_link</v>
      </c>
      <c r="P4316" s="6" t="str">
        <f>IFERROR(__xludf.DUMMYFUNCTION("""COMPUTED_VALUE"""),"Sebastian Paredes Ramirez")</f>
        <v>Sebastian Paredes Ramirez</v>
      </c>
      <c r="Q4316" s="6" t="str">
        <f>IFERROR(__xludf.DUMMYFUNCTION("""COMPUTED_VALUE"""),"L2")</f>
        <v>L2</v>
      </c>
      <c r="R4316" s="6">
        <f>IFERROR(__xludf.DUMMYFUNCTION("""COMPUTED_VALUE"""),2.0)</f>
        <v>2</v>
      </c>
      <c r="S4316" s="6" t="str">
        <f>IFERROR(__xludf.DUMMYFUNCTION("""COMPUTED_VALUE""")," ")</f>
        <v> </v>
      </c>
      <c r="T4316" s="6" t="str">
        <f>IFERROR(__xludf.DUMMYFUNCTION("""COMPUTED_VALUE"""),"")</f>
        <v/>
      </c>
      <c r="U4316" s="6" t="str">
        <f>IFERROR(__xludf.DUMMYFUNCTION("""COMPUTED_VALUE"""),"4")</f>
        <v>4</v>
      </c>
      <c r="V4316" s="6" t="str">
        <f>IFERROR(__xludf.DUMMYFUNCTION("""COMPUTED_VALUE"""),"")</f>
        <v/>
      </c>
      <c r="W4316" s="6" t="str">
        <f>IFERROR(__xludf.DUMMYFUNCTION("""COMPUTED_VALUE"""),"[]")</f>
        <v>[]</v>
      </c>
      <c r="X4316" s="6" t="str">
        <f>IFERROR(__xludf.DUMMYFUNCTION("""COMPUTED_VALUE"""),"Enrolled")</f>
        <v>Enrolled</v>
      </c>
    </row>
    <row r="4317">
      <c r="A4317" s="6" t="str">
        <f>IFERROR(__xludf.DUMMYFUNCTION("""COMPUTED_VALUE"""),"083-11604")</f>
        <v>083-11604</v>
      </c>
      <c r="B4317" s="6" t="str">
        <f>IFERROR(__xludf.DUMMYFUNCTION("""COMPUTED_VALUE"""),"83")</f>
        <v>83</v>
      </c>
      <c r="C4317" s="6" t="str">
        <f>IFERROR(__xludf.DUMMYFUNCTION("""COMPUTED_VALUE"""),"11604")</f>
        <v>11604</v>
      </c>
      <c r="D4317" s="6" t="str">
        <f>IFERROR(__xludf.DUMMYFUNCTION("""COMPUTED_VALUE"""),"Rossel")</f>
        <v>Rossel</v>
      </c>
      <c r="E4317" s="6" t="str">
        <f>IFERROR(__xludf.DUMMYFUNCTION("""COMPUTED_VALUE"""),"")</f>
        <v/>
      </c>
      <c r="F4317" s="6" t="str">
        <f>IFERROR(__xludf.DUMMYFUNCTION("""COMPUTED_VALUE"""),"Ponce Talavera")</f>
        <v>Ponce Talavera</v>
      </c>
      <c r="G4317" s="6" t="str">
        <f>IFERROR(__xludf.DUMMYFUNCTION("""COMPUTED_VALUE"""),"02/04/2016")</f>
        <v>02/04/2016</v>
      </c>
      <c r="H4317" s="6" t="str">
        <f>IFERROR(__xludf.DUMMYFUNCTION("""COMPUTED_VALUE"""),"male")</f>
        <v>male</v>
      </c>
      <c r="I4317" s="6" t="str">
        <f>IFERROR(__xludf.DUMMYFUNCTION("""COMPUTED_VALUE"""),"Level 2")</f>
        <v>Level 2</v>
      </c>
      <c r="J4317" s="6" t="str">
        <f>IFERROR(__xludf.DUMMYFUNCTION("""COMPUTED_VALUE"""),"4")</f>
        <v>4</v>
      </c>
      <c r="K4317" s="6" t="str">
        <f>IFERROR(__xludf.DUMMYFUNCTION("""COMPUTED_VALUE"""),"rossel.poncetalavera@2hourlearning.com")</f>
        <v>rossel.poncetalavera@2hourlearning.com</v>
      </c>
      <c r="L4317" s="6" t="str">
        <f>IFERROR(__xludf.DUMMYFUNCTION("""COMPUTED_VALUE"""),"JHES - Hardeeville Elementary School")</f>
        <v>JHES - Hardeeville Elementary School</v>
      </c>
      <c r="M4317" s="6" t="str">
        <f>IFERROR(__xludf.DUMMYFUNCTION("""COMPUTED_VALUE"""),"")</f>
        <v/>
      </c>
      <c r="N4317" s="6" t="str">
        <f>IFERROR(__xludf.DUMMYFUNCTION("""COMPUTED_VALUE"""),"")</f>
        <v/>
      </c>
      <c r="O4317" s="87" t="str">
        <f>IFERROR(__xludf.DUMMYFUNCTION("""COMPUTED_VALUE"""),"https://drive.google.com/drive/folders/10T2cTQHqEJZqE-st6uFKPoI?usp=share_link")</f>
        <v>https://drive.google.com/drive/folders/10T2cTQHqEJZqE-st6uFKPoI?usp=share_link</v>
      </c>
      <c r="P4317" s="6" t="str">
        <f>IFERROR(__xludf.DUMMYFUNCTION("""COMPUTED_VALUE"""),"Rossel Ponce Talavera")</f>
        <v>Rossel Ponce Talavera</v>
      </c>
      <c r="Q4317" s="6" t="str">
        <f>IFERROR(__xludf.DUMMYFUNCTION("""COMPUTED_VALUE"""),"L2")</f>
        <v>L2</v>
      </c>
      <c r="R4317" s="6">
        <f>IFERROR(__xludf.DUMMYFUNCTION("""COMPUTED_VALUE"""),2.0)</f>
        <v>2</v>
      </c>
      <c r="S4317" s="6" t="str">
        <f>IFERROR(__xludf.DUMMYFUNCTION("""COMPUTED_VALUE""")," ")</f>
        <v> </v>
      </c>
      <c r="T4317" s="6" t="str">
        <f>IFERROR(__xludf.DUMMYFUNCTION("""COMPUTED_VALUE"""),"")</f>
        <v/>
      </c>
      <c r="U4317" s="6" t="str">
        <f>IFERROR(__xludf.DUMMYFUNCTION("""COMPUTED_VALUE"""),"4")</f>
        <v>4</v>
      </c>
      <c r="V4317" s="6" t="str">
        <f>IFERROR(__xludf.DUMMYFUNCTION("""COMPUTED_VALUE"""),"")</f>
        <v/>
      </c>
      <c r="W4317" s="6" t="str">
        <f>IFERROR(__xludf.DUMMYFUNCTION("""COMPUTED_VALUE"""),"[]")</f>
        <v>[]</v>
      </c>
      <c r="X4317" s="6" t="str">
        <f>IFERROR(__xludf.DUMMYFUNCTION("""COMPUTED_VALUE"""),"Enrolled")</f>
        <v>Enrolled</v>
      </c>
    </row>
    <row r="4318">
      <c r="A4318" s="6" t="str">
        <f>IFERROR(__xludf.DUMMYFUNCTION("""COMPUTED_VALUE"""),"083-11605")</f>
        <v>083-11605</v>
      </c>
      <c r="B4318" s="6" t="str">
        <f>IFERROR(__xludf.DUMMYFUNCTION("""COMPUTED_VALUE"""),"83")</f>
        <v>83</v>
      </c>
      <c r="C4318" s="6" t="str">
        <f>IFERROR(__xludf.DUMMYFUNCTION("""COMPUTED_VALUE"""),"11605")</f>
        <v>11605</v>
      </c>
      <c r="D4318" s="6" t="str">
        <f>IFERROR(__xludf.DUMMYFUNCTION("""COMPUTED_VALUE"""),"Zoey")</f>
        <v>Zoey</v>
      </c>
      <c r="E4318" s="6" t="str">
        <f>IFERROR(__xludf.DUMMYFUNCTION("""COMPUTED_VALUE"""),"")</f>
        <v/>
      </c>
      <c r="F4318" s="6" t="str">
        <f>IFERROR(__xludf.DUMMYFUNCTION("""COMPUTED_VALUE"""),"Riley")</f>
        <v>Riley</v>
      </c>
      <c r="G4318" s="6" t="str">
        <f>IFERROR(__xludf.DUMMYFUNCTION("""COMPUTED_VALUE"""),"04/03/2016")</f>
        <v>04/03/2016</v>
      </c>
      <c r="H4318" s="6" t="str">
        <f>IFERROR(__xludf.DUMMYFUNCTION("""COMPUTED_VALUE"""),"female")</f>
        <v>female</v>
      </c>
      <c r="I4318" s="6" t="str">
        <f>IFERROR(__xludf.DUMMYFUNCTION("""COMPUTED_VALUE"""),"Level 2")</f>
        <v>Level 2</v>
      </c>
      <c r="J4318" s="6" t="str">
        <f>IFERROR(__xludf.DUMMYFUNCTION("""COMPUTED_VALUE"""),"4")</f>
        <v>4</v>
      </c>
      <c r="K4318" s="6" t="str">
        <f>IFERROR(__xludf.DUMMYFUNCTION("""COMPUTED_VALUE"""),"zoey.riley@2hourlearning.com")</f>
        <v>zoey.riley@2hourlearning.com</v>
      </c>
      <c r="L4318" s="6" t="str">
        <f>IFERROR(__xludf.DUMMYFUNCTION("""COMPUTED_VALUE"""),"JHES - Hardeeville Elementary School")</f>
        <v>JHES - Hardeeville Elementary School</v>
      </c>
      <c r="M4318" s="6" t="str">
        <f>IFERROR(__xludf.DUMMYFUNCTION("""COMPUTED_VALUE"""),"")</f>
        <v/>
      </c>
      <c r="N4318" s="6" t="str">
        <f>IFERROR(__xludf.DUMMYFUNCTION("""COMPUTED_VALUE"""),"")</f>
        <v/>
      </c>
      <c r="O4318" s="87" t="str">
        <f>IFERROR(__xludf.DUMMYFUNCTION("""COMPUTED_VALUE"""),"https://drive.google.com/drive/folders/10T2cTQHqEJZqE-st6uFKPoI?usp=share_link")</f>
        <v>https://drive.google.com/drive/folders/10T2cTQHqEJZqE-st6uFKPoI?usp=share_link</v>
      </c>
      <c r="P4318" s="6" t="str">
        <f>IFERROR(__xludf.DUMMYFUNCTION("""COMPUTED_VALUE"""),"Zoey Riley")</f>
        <v>Zoey Riley</v>
      </c>
      <c r="Q4318" s="6" t="str">
        <f>IFERROR(__xludf.DUMMYFUNCTION("""COMPUTED_VALUE"""),"L2")</f>
        <v>L2</v>
      </c>
      <c r="R4318" s="6">
        <f>IFERROR(__xludf.DUMMYFUNCTION("""COMPUTED_VALUE"""),2.0)</f>
        <v>2</v>
      </c>
      <c r="S4318" s="6" t="str">
        <f>IFERROR(__xludf.DUMMYFUNCTION("""COMPUTED_VALUE""")," ")</f>
        <v> </v>
      </c>
      <c r="T4318" s="6" t="str">
        <f>IFERROR(__xludf.DUMMYFUNCTION("""COMPUTED_VALUE"""),"")</f>
        <v/>
      </c>
      <c r="U4318" s="6" t="str">
        <f>IFERROR(__xludf.DUMMYFUNCTION("""COMPUTED_VALUE"""),"4")</f>
        <v>4</v>
      </c>
      <c r="V4318" s="6" t="str">
        <f>IFERROR(__xludf.DUMMYFUNCTION("""COMPUTED_VALUE"""),"")</f>
        <v/>
      </c>
      <c r="W4318" s="6" t="str">
        <f>IFERROR(__xludf.DUMMYFUNCTION("""COMPUTED_VALUE"""),"[]")</f>
        <v>[]</v>
      </c>
      <c r="X4318" s="6" t="str">
        <f>IFERROR(__xludf.DUMMYFUNCTION("""COMPUTED_VALUE"""),"Enrolled")</f>
        <v>Enrolled</v>
      </c>
    </row>
    <row r="4319">
      <c r="A4319" s="6" t="str">
        <f>IFERROR(__xludf.DUMMYFUNCTION("""COMPUTED_VALUE"""),"083-11606")</f>
        <v>083-11606</v>
      </c>
      <c r="B4319" s="6" t="str">
        <f>IFERROR(__xludf.DUMMYFUNCTION("""COMPUTED_VALUE"""),"83")</f>
        <v>83</v>
      </c>
      <c r="C4319" s="6" t="str">
        <f>IFERROR(__xludf.DUMMYFUNCTION("""COMPUTED_VALUE"""),"11606")</f>
        <v>11606</v>
      </c>
      <c r="D4319" s="6" t="str">
        <f>IFERROR(__xludf.DUMMYFUNCTION("""COMPUTED_VALUE"""),"Marino M")</f>
        <v>Marino M</v>
      </c>
      <c r="E4319" s="6" t="str">
        <f>IFERROR(__xludf.DUMMYFUNCTION("""COMPUTED_VALUE"""),"")</f>
        <v/>
      </c>
      <c r="F4319" s="6" t="str">
        <f>IFERROR(__xludf.DUMMYFUNCTION("""COMPUTED_VALUE"""),"Roblero Morales")</f>
        <v>Roblero Morales</v>
      </c>
      <c r="G4319" s="6" t="str">
        <f>IFERROR(__xludf.DUMMYFUNCTION("""COMPUTED_VALUE"""),"06/18/2016")</f>
        <v>06/18/2016</v>
      </c>
      <c r="H4319" s="6" t="str">
        <f>IFERROR(__xludf.DUMMYFUNCTION("""COMPUTED_VALUE"""),"male")</f>
        <v>male</v>
      </c>
      <c r="I4319" s="6" t="str">
        <f>IFERROR(__xludf.DUMMYFUNCTION("""COMPUTED_VALUE"""),"Level 2")</f>
        <v>Level 2</v>
      </c>
      <c r="J4319" s="6" t="str">
        <f>IFERROR(__xludf.DUMMYFUNCTION("""COMPUTED_VALUE"""),"4")</f>
        <v>4</v>
      </c>
      <c r="K4319" s="6" t="str">
        <f>IFERROR(__xludf.DUMMYFUNCTION("""COMPUTED_VALUE"""),"marinom.robleromorales@2hourlearning.com")</f>
        <v>marinom.robleromorales@2hourlearning.com</v>
      </c>
      <c r="L4319" s="6" t="str">
        <f>IFERROR(__xludf.DUMMYFUNCTION("""COMPUTED_VALUE"""),"JHES - Hardeeville Elementary School")</f>
        <v>JHES - Hardeeville Elementary School</v>
      </c>
      <c r="M4319" s="6" t="str">
        <f>IFERROR(__xludf.DUMMYFUNCTION("""COMPUTED_VALUE"""),"")</f>
        <v/>
      </c>
      <c r="N4319" s="6" t="str">
        <f>IFERROR(__xludf.DUMMYFUNCTION("""COMPUTED_VALUE"""),"")</f>
        <v/>
      </c>
      <c r="O4319" s="87" t="str">
        <f>IFERROR(__xludf.DUMMYFUNCTION("""COMPUTED_VALUE"""),"https://drive.google.com/drive/folders/10T2cTQHqEJZqE-st6uFKPoI?usp=share_link")</f>
        <v>https://drive.google.com/drive/folders/10T2cTQHqEJZqE-st6uFKPoI?usp=share_link</v>
      </c>
      <c r="P4319" s="6" t="str">
        <f>IFERROR(__xludf.DUMMYFUNCTION("""COMPUTED_VALUE"""),"Marino M Roblero Morales")</f>
        <v>Marino M Roblero Morales</v>
      </c>
      <c r="Q4319" s="6" t="str">
        <f>IFERROR(__xludf.DUMMYFUNCTION("""COMPUTED_VALUE"""),"L2")</f>
        <v>L2</v>
      </c>
      <c r="R4319" s="6">
        <f>IFERROR(__xludf.DUMMYFUNCTION("""COMPUTED_VALUE"""),2.0)</f>
        <v>2</v>
      </c>
      <c r="S4319" s="6" t="str">
        <f>IFERROR(__xludf.DUMMYFUNCTION("""COMPUTED_VALUE""")," ")</f>
        <v> </v>
      </c>
      <c r="T4319" s="6" t="str">
        <f>IFERROR(__xludf.DUMMYFUNCTION("""COMPUTED_VALUE"""),"")</f>
        <v/>
      </c>
      <c r="U4319" s="6" t="str">
        <f>IFERROR(__xludf.DUMMYFUNCTION("""COMPUTED_VALUE"""),"4")</f>
        <v>4</v>
      </c>
      <c r="V4319" s="6" t="str">
        <f>IFERROR(__xludf.DUMMYFUNCTION("""COMPUTED_VALUE"""),"")</f>
        <v/>
      </c>
      <c r="W4319" s="6" t="str">
        <f>IFERROR(__xludf.DUMMYFUNCTION("""COMPUTED_VALUE"""),"[]")</f>
        <v>[]</v>
      </c>
      <c r="X4319" s="6" t="str">
        <f>IFERROR(__xludf.DUMMYFUNCTION("""COMPUTED_VALUE"""),"Enrolled")</f>
        <v>Enrolled</v>
      </c>
    </row>
    <row r="4320">
      <c r="A4320" s="6" t="str">
        <f>IFERROR(__xludf.DUMMYFUNCTION("""COMPUTED_VALUE"""),"083-11607")</f>
        <v>083-11607</v>
      </c>
      <c r="B4320" s="6" t="str">
        <f>IFERROR(__xludf.DUMMYFUNCTION("""COMPUTED_VALUE"""),"83")</f>
        <v>83</v>
      </c>
      <c r="C4320" s="6" t="str">
        <f>IFERROR(__xludf.DUMMYFUNCTION("""COMPUTED_VALUE"""),"11607")</f>
        <v>11607</v>
      </c>
      <c r="D4320" s="6" t="str">
        <f>IFERROR(__xludf.DUMMYFUNCTION("""COMPUTED_VALUE"""),"Sofia")</f>
        <v>Sofia</v>
      </c>
      <c r="E4320" s="6" t="str">
        <f>IFERROR(__xludf.DUMMYFUNCTION("""COMPUTED_VALUE"""),"")</f>
        <v/>
      </c>
      <c r="F4320" s="6" t="str">
        <f>IFERROR(__xludf.DUMMYFUNCTION("""COMPUTED_VALUE"""),"Rosales")</f>
        <v>Rosales</v>
      </c>
      <c r="G4320" s="6" t="str">
        <f>IFERROR(__xludf.DUMMYFUNCTION("""COMPUTED_VALUE"""),"11/29/2015")</f>
        <v>11/29/2015</v>
      </c>
      <c r="H4320" s="6" t="str">
        <f>IFERROR(__xludf.DUMMYFUNCTION("""COMPUTED_VALUE"""),"female")</f>
        <v>female</v>
      </c>
      <c r="I4320" s="6" t="str">
        <f>IFERROR(__xludf.DUMMYFUNCTION("""COMPUTED_VALUE"""),"Level 2")</f>
        <v>Level 2</v>
      </c>
      <c r="J4320" s="6" t="str">
        <f>IFERROR(__xludf.DUMMYFUNCTION("""COMPUTED_VALUE"""),"4")</f>
        <v>4</v>
      </c>
      <c r="K4320" s="6" t="str">
        <f>IFERROR(__xludf.DUMMYFUNCTION("""COMPUTED_VALUE"""),"sofia.rosales@2hourlearning.com")</f>
        <v>sofia.rosales@2hourlearning.com</v>
      </c>
      <c r="L4320" s="6" t="str">
        <f>IFERROR(__xludf.DUMMYFUNCTION("""COMPUTED_VALUE"""),"JHES - Hardeeville Elementary School")</f>
        <v>JHES - Hardeeville Elementary School</v>
      </c>
      <c r="M4320" s="6" t="str">
        <f>IFERROR(__xludf.DUMMYFUNCTION("""COMPUTED_VALUE"""),"")</f>
        <v/>
      </c>
      <c r="N4320" s="6" t="str">
        <f>IFERROR(__xludf.DUMMYFUNCTION("""COMPUTED_VALUE"""),"")</f>
        <v/>
      </c>
      <c r="O4320" s="87" t="str">
        <f>IFERROR(__xludf.DUMMYFUNCTION("""COMPUTED_VALUE"""),"https://drive.google.com/drive/folders/10T2cTQHqEJZqE-st6uFKPoI?usp=share_link")</f>
        <v>https://drive.google.com/drive/folders/10T2cTQHqEJZqE-st6uFKPoI?usp=share_link</v>
      </c>
      <c r="P4320" s="6" t="str">
        <f>IFERROR(__xludf.DUMMYFUNCTION("""COMPUTED_VALUE"""),"Sofia Rosales")</f>
        <v>Sofia Rosales</v>
      </c>
      <c r="Q4320" s="6" t="str">
        <f>IFERROR(__xludf.DUMMYFUNCTION("""COMPUTED_VALUE"""),"L2")</f>
        <v>L2</v>
      </c>
      <c r="R4320" s="6">
        <f>IFERROR(__xludf.DUMMYFUNCTION("""COMPUTED_VALUE"""),2.0)</f>
        <v>2</v>
      </c>
      <c r="S4320" s="6" t="str">
        <f>IFERROR(__xludf.DUMMYFUNCTION("""COMPUTED_VALUE""")," ")</f>
        <v> </v>
      </c>
      <c r="T4320" s="6" t="str">
        <f>IFERROR(__xludf.DUMMYFUNCTION("""COMPUTED_VALUE"""),"")</f>
        <v/>
      </c>
      <c r="U4320" s="6" t="str">
        <f>IFERROR(__xludf.DUMMYFUNCTION("""COMPUTED_VALUE"""),"4")</f>
        <v>4</v>
      </c>
      <c r="V4320" s="6" t="str">
        <f>IFERROR(__xludf.DUMMYFUNCTION("""COMPUTED_VALUE"""),"")</f>
        <v/>
      </c>
      <c r="W4320" s="6" t="str">
        <f>IFERROR(__xludf.DUMMYFUNCTION("""COMPUTED_VALUE"""),"[]")</f>
        <v>[]</v>
      </c>
      <c r="X4320" s="6" t="str">
        <f>IFERROR(__xludf.DUMMYFUNCTION("""COMPUTED_VALUE"""),"Enrolled")</f>
        <v>Enrolled</v>
      </c>
    </row>
    <row r="4321">
      <c r="A4321" s="6" t="str">
        <f>IFERROR(__xludf.DUMMYFUNCTION("""COMPUTED_VALUE"""),"083-11608")</f>
        <v>083-11608</v>
      </c>
      <c r="B4321" s="6" t="str">
        <f>IFERROR(__xludf.DUMMYFUNCTION("""COMPUTED_VALUE"""),"83")</f>
        <v>83</v>
      </c>
      <c r="C4321" s="6" t="str">
        <f>IFERROR(__xludf.DUMMYFUNCTION("""COMPUTED_VALUE"""),"11608")</f>
        <v>11608</v>
      </c>
      <c r="D4321" s="6" t="str">
        <f>IFERROR(__xludf.DUMMYFUNCTION("""COMPUTED_VALUE"""),"Avarie")</f>
        <v>Avarie</v>
      </c>
      <c r="E4321" s="6" t="str">
        <f>IFERROR(__xludf.DUMMYFUNCTION("""COMPUTED_VALUE"""),"")</f>
        <v/>
      </c>
      <c r="F4321" s="6" t="str">
        <f>IFERROR(__xludf.DUMMYFUNCTION("""COMPUTED_VALUE"""),"Salva")</f>
        <v>Salva</v>
      </c>
      <c r="G4321" s="6" t="str">
        <f>IFERROR(__xludf.DUMMYFUNCTION("""COMPUTED_VALUE"""),"08/23/2016")</f>
        <v>08/23/2016</v>
      </c>
      <c r="H4321" s="6" t="str">
        <f>IFERROR(__xludf.DUMMYFUNCTION("""COMPUTED_VALUE"""),"female")</f>
        <v>female</v>
      </c>
      <c r="I4321" s="6" t="str">
        <f>IFERROR(__xludf.DUMMYFUNCTION("""COMPUTED_VALUE"""),"Level 2")</f>
        <v>Level 2</v>
      </c>
      <c r="J4321" s="6" t="str">
        <f>IFERROR(__xludf.DUMMYFUNCTION("""COMPUTED_VALUE"""),"4")</f>
        <v>4</v>
      </c>
      <c r="K4321" s="6" t="str">
        <f>IFERROR(__xludf.DUMMYFUNCTION("""COMPUTED_VALUE"""),"avarie.salva@2hourlearning.com")</f>
        <v>avarie.salva@2hourlearning.com</v>
      </c>
      <c r="L4321" s="6" t="str">
        <f>IFERROR(__xludf.DUMMYFUNCTION("""COMPUTED_VALUE"""),"JHES - Hardeeville Elementary School")</f>
        <v>JHES - Hardeeville Elementary School</v>
      </c>
      <c r="M4321" s="6" t="str">
        <f>IFERROR(__xludf.DUMMYFUNCTION("""COMPUTED_VALUE"""),"")</f>
        <v/>
      </c>
      <c r="N4321" s="6" t="str">
        <f>IFERROR(__xludf.DUMMYFUNCTION("""COMPUTED_VALUE"""),"")</f>
        <v/>
      </c>
      <c r="O4321" s="87" t="str">
        <f>IFERROR(__xludf.DUMMYFUNCTION("""COMPUTED_VALUE"""),"https://drive.google.com/drive/folders/10T2cTQHqEJZqE-st6uFKPoI?usp=share_link")</f>
        <v>https://drive.google.com/drive/folders/10T2cTQHqEJZqE-st6uFKPoI?usp=share_link</v>
      </c>
      <c r="P4321" s="6" t="str">
        <f>IFERROR(__xludf.DUMMYFUNCTION("""COMPUTED_VALUE"""),"Avarie Salva")</f>
        <v>Avarie Salva</v>
      </c>
      <c r="Q4321" s="6" t="str">
        <f>IFERROR(__xludf.DUMMYFUNCTION("""COMPUTED_VALUE"""),"L2")</f>
        <v>L2</v>
      </c>
      <c r="R4321" s="6">
        <f>IFERROR(__xludf.DUMMYFUNCTION("""COMPUTED_VALUE"""),2.0)</f>
        <v>2</v>
      </c>
      <c r="S4321" s="6" t="str">
        <f>IFERROR(__xludf.DUMMYFUNCTION("""COMPUTED_VALUE""")," ")</f>
        <v> </v>
      </c>
      <c r="T4321" s="6" t="str">
        <f>IFERROR(__xludf.DUMMYFUNCTION("""COMPUTED_VALUE"""),"")</f>
        <v/>
      </c>
      <c r="U4321" s="6" t="str">
        <f>IFERROR(__xludf.DUMMYFUNCTION("""COMPUTED_VALUE"""),"4")</f>
        <v>4</v>
      </c>
      <c r="V4321" s="6" t="str">
        <f>IFERROR(__xludf.DUMMYFUNCTION("""COMPUTED_VALUE"""),"")</f>
        <v/>
      </c>
      <c r="W4321" s="6" t="str">
        <f>IFERROR(__xludf.DUMMYFUNCTION("""COMPUTED_VALUE"""),"[]")</f>
        <v>[]</v>
      </c>
      <c r="X4321" s="6" t="str">
        <f>IFERROR(__xludf.DUMMYFUNCTION("""COMPUTED_VALUE"""),"Enrolled")</f>
        <v>Enrolled</v>
      </c>
    </row>
    <row r="4322">
      <c r="A4322" s="6" t="str">
        <f>IFERROR(__xludf.DUMMYFUNCTION("""COMPUTED_VALUE"""),"083-11609")</f>
        <v>083-11609</v>
      </c>
      <c r="B4322" s="6" t="str">
        <f>IFERROR(__xludf.DUMMYFUNCTION("""COMPUTED_VALUE"""),"83")</f>
        <v>83</v>
      </c>
      <c r="C4322" s="6" t="str">
        <f>IFERROR(__xludf.DUMMYFUNCTION("""COMPUTED_VALUE"""),"11609")</f>
        <v>11609</v>
      </c>
      <c r="D4322" s="6" t="str">
        <f>IFERROR(__xludf.DUMMYFUNCTION("""COMPUTED_VALUE"""),"Jacob Alexander")</f>
        <v>Jacob Alexander</v>
      </c>
      <c r="E4322" s="6" t="str">
        <f>IFERROR(__xludf.DUMMYFUNCTION("""COMPUTED_VALUE"""),"")</f>
        <v/>
      </c>
      <c r="F4322" s="6" t="str">
        <f>IFERROR(__xludf.DUMMYFUNCTION("""COMPUTED_VALUE"""),"Sanchez")</f>
        <v>Sanchez</v>
      </c>
      <c r="G4322" s="6" t="str">
        <f>IFERROR(__xludf.DUMMYFUNCTION("""COMPUTED_VALUE"""),"01/15/2016")</f>
        <v>01/15/2016</v>
      </c>
      <c r="H4322" s="6" t="str">
        <f>IFERROR(__xludf.DUMMYFUNCTION("""COMPUTED_VALUE"""),"male")</f>
        <v>male</v>
      </c>
      <c r="I4322" s="6" t="str">
        <f>IFERROR(__xludf.DUMMYFUNCTION("""COMPUTED_VALUE"""),"Level 2")</f>
        <v>Level 2</v>
      </c>
      <c r="J4322" s="6" t="str">
        <f>IFERROR(__xludf.DUMMYFUNCTION("""COMPUTED_VALUE"""),"4")</f>
        <v>4</v>
      </c>
      <c r="K4322" s="6" t="str">
        <f>IFERROR(__xludf.DUMMYFUNCTION("""COMPUTED_VALUE"""),"jacobalexander.sanchez@2hourlearning.com")</f>
        <v>jacobalexander.sanchez@2hourlearning.com</v>
      </c>
      <c r="L4322" s="6" t="str">
        <f>IFERROR(__xludf.DUMMYFUNCTION("""COMPUTED_VALUE"""),"JHES - Hardeeville Elementary School")</f>
        <v>JHES - Hardeeville Elementary School</v>
      </c>
      <c r="M4322" s="6" t="str">
        <f>IFERROR(__xludf.DUMMYFUNCTION("""COMPUTED_VALUE"""),"")</f>
        <v/>
      </c>
      <c r="N4322" s="6" t="str">
        <f>IFERROR(__xludf.DUMMYFUNCTION("""COMPUTED_VALUE"""),"")</f>
        <v/>
      </c>
      <c r="O4322" s="87" t="str">
        <f>IFERROR(__xludf.DUMMYFUNCTION("""COMPUTED_VALUE"""),"https://drive.google.com/drive/folders/10T2cTQHqEJZqE-st6uFKPoI?usp=share_link")</f>
        <v>https://drive.google.com/drive/folders/10T2cTQHqEJZqE-st6uFKPoI?usp=share_link</v>
      </c>
      <c r="P4322" s="6" t="str">
        <f>IFERROR(__xludf.DUMMYFUNCTION("""COMPUTED_VALUE"""),"Jacob Alexander Sanchez")</f>
        <v>Jacob Alexander Sanchez</v>
      </c>
      <c r="Q4322" s="6" t="str">
        <f>IFERROR(__xludf.DUMMYFUNCTION("""COMPUTED_VALUE"""),"L2")</f>
        <v>L2</v>
      </c>
      <c r="R4322" s="6">
        <f>IFERROR(__xludf.DUMMYFUNCTION("""COMPUTED_VALUE"""),2.0)</f>
        <v>2</v>
      </c>
      <c r="S4322" s="6" t="str">
        <f>IFERROR(__xludf.DUMMYFUNCTION("""COMPUTED_VALUE""")," ")</f>
        <v> </v>
      </c>
      <c r="T4322" s="6" t="str">
        <f>IFERROR(__xludf.DUMMYFUNCTION("""COMPUTED_VALUE"""),"")</f>
        <v/>
      </c>
      <c r="U4322" s="6" t="str">
        <f>IFERROR(__xludf.DUMMYFUNCTION("""COMPUTED_VALUE"""),"4")</f>
        <v>4</v>
      </c>
      <c r="V4322" s="6" t="str">
        <f>IFERROR(__xludf.DUMMYFUNCTION("""COMPUTED_VALUE"""),"")</f>
        <v/>
      </c>
      <c r="W4322" s="6" t="str">
        <f>IFERROR(__xludf.DUMMYFUNCTION("""COMPUTED_VALUE"""),"[]")</f>
        <v>[]</v>
      </c>
      <c r="X4322" s="6" t="str">
        <f>IFERROR(__xludf.DUMMYFUNCTION("""COMPUTED_VALUE"""),"Enrolled")</f>
        <v>Enrolled</v>
      </c>
    </row>
    <row r="4323">
      <c r="A4323" s="6" t="str">
        <f>IFERROR(__xludf.DUMMYFUNCTION("""COMPUTED_VALUE"""),"083-11610")</f>
        <v>083-11610</v>
      </c>
      <c r="B4323" s="6" t="str">
        <f>IFERROR(__xludf.DUMMYFUNCTION("""COMPUTED_VALUE"""),"83")</f>
        <v>83</v>
      </c>
      <c r="C4323" s="6" t="str">
        <f>IFERROR(__xludf.DUMMYFUNCTION("""COMPUTED_VALUE"""),"11610")</f>
        <v>11610</v>
      </c>
      <c r="D4323" s="6" t="str">
        <f>IFERROR(__xludf.DUMMYFUNCTION("""COMPUTED_VALUE"""),"Mayson")</f>
        <v>Mayson</v>
      </c>
      <c r="E4323" s="6" t="str">
        <f>IFERROR(__xludf.DUMMYFUNCTION("""COMPUTED_VALUE"""),"")</f>
        <v/>
      </c>
      <c r="F4323" s="6" t="str">
        <f>IFERROR(__xludf.DUMMYFUNCTION("""COMPUTED_VALUE"""),"Stibitz Dunham")</f>
        <v>Stibitz Dunham</v>
      </c>
      <c r="G4323" s="6" t="str">
        <f>IFERROR(__xludf.DUMMYFUNCTION("""COMPUTED_VALUE"""),"12/26/2015")</f>
        <v>12/26/2015</v>
      </c>
      <c r="H4323" s="6" t="str">
        <f>IFERROR(__xludf.DUMMYFUNCTION("""COMPUTED_VALUE"""),"male")</f>
        <v>male</v>
      </c>
      <c r="I4323" s="6" t="str">
        <f>IFERROR(__xludf.DUMMYFUNCTION("""COMPUTED_VALUE"""),"Level 2")</f>
        <v>Level 2</v>
      </c>
      <c r="J4323" s="6" t="str">
        <f>IFERROR(__xludf.DUMMYFUNCTION("""COMPUTED_VALUE"""),"4")</f>
        <v>4</v>
      </c>
      <c r="K4323" s="6" t="str">
        <f>IFERROR(__xludf.DUMMYFUNCTION("""COMPUTED_VALUE"""),"mayson.stibitzdunham@2hourlearning.com")</f>
        <v>mayson.stibitzdunham@2hourlearning.com</v>
      </c>
      <c r="L4323" s="6" t="str">
        <f>IFERROR(__xludf.DUMMYFUNCTION("""COMPUTED_VALUE"""),"JHES - Hardeeville Elementary School")</f>
        <v>JHES - Hardeeville Elementary School</v>
      </c>
      <c r="M4323" s="6" t="str">
        <f>IFERROR(__xludf.DUMMYFUNCTION("""COMPUTED_VALUE"""),"")</f>
        <v/>
      </c>
      <c r="N4323" s="6" t="str">
        <f>IFERROR(__xludf.DUMMYFUNCTION("""COMPUTED_VALUE"""),"")</f>
        <v/>
      </c>
      <c r="O4323" s="87" t="str">
        <f>IFERROR(__xludf.DUMMYFUNCTION("""COMPUTED_VALUE"""),"https://drive.google.com/drive/folders/10T2cTQHqEJZqE-st6uFKPoI?usp=share_link")</f>
        <v>https://drive.google.com/drive/folders/10T2cTQHqEJZqE-st6uFKPoI?usp=share_link</v>
      </c>
      <c r="P4323" s="6" t="str">
        <f>IFERROR(__xludf.DUMMYFUNCTION("""COMPUTED_VALUE"""),"Mayson Stibitz Dunham")</f>
        <v>Mayson Stibitz Dunham</v>
      </c>
      <c r="Q4323" s="6" t="str">
        <f>IFERROR(__xludf.DUMMYFUNCTION("""COMPUTED_VALUE"""),"L2")</f>
        <v>L2</v>
      </c>
      <c r="R4323" s="6">
        <f>IFERROR(__xludf.DUMMYFUNCTION("""COMPUTED_VALUE"""),2.0)</f>
        <v>2</v>
      </c>
      <c r="S4323" s="6" t="str">
        <f>IFERROR(__xludf.DUMMYFUNCTION("""COMPUTED_VALUE""")," ")</f>
        <v> </v>
      </c>
      <c r="T4323" s="6" t="str">
        <f>IFERROR(__xludf.DUMMYFUNCTION("""COMPUTED_VALUE"""),"")</f>
        <v/>
      </c>
      <c r="U4323" s="6" t="str">
        <f>IFERROR(__xludf.DUMMYFUNCTION("""COMPUTED_VALUE"""),"4")</f>
        <v>4</v>
      </c>
      <c r="V4323" s="6" t="str">
        <f>IFERROR(__xludf.DUMMYFUNCTION("""COMPUTED_VALUE"""),"")</f>
        <v/>
      </c>
      <c r="W4323" s="6" t="str">
        <f>IFERROR(__xludf.DUMMYFUNCTION("""COMPUTED_VALUE"""),"[]")</f>
        <v>[]</v>
      </c>
      <c r="X4323" s="6" t="str">
        <f>IFERROR(__xludf.DUMMYFUNCTION("""COMPUTED_VALUE"""),"Enrolled")</f>
        <v>Enrolled</v>
      </c>
    </row>
    <row r="4324">
      <c r="A4324" s="6" t="str">
        <f>IFERROR(__xludf.DUMMYFUNCTION("""COMPUTED_VALUE"""),"083-11611")</f>
        <v>083-11611</v>
      </c>
      <c r="B4324" s="6" t="str">
        <f>IFERROR(__xludf.DUMMYFUNCTION("""COMPUTED_VALUE"""),"83")</f>
        <v>83</v>
      </c>
      <c r="C4324" s="6" t="str">
        <f>IFERROR(__xludf.DUMMYFUNCTION("""COMPUTED_VALUE"""),"11611")</f>
        <v>11611</v>
      </c>
      <c r="D4324" s="6" t="str">
        <f>IFERROR(__xludf.DUMMYFUNCTION("""COMPUTED_VALUE"""),"Sandre")</f>
        <v>Sandre</v>
      </c>
      <c r="E4324" s="6" t="str">
        <f>IFERROR(__xludf.DUMMYFUNCTION("""COMPUTED_VALUE"""),"")</f>
        <v/>
      </c>
      <c r="F4324" s="6" t="str">
        <f>IFERROR(__xludf.DUMMYFUNCTION("""COMPUTED_VALUE"""),"Tulloch")</f>
        <v>Tulloch</v>
      </c>
      <c r="G4324" s="6" t="str">
        <f>IFERROR(__xludf.DUMMYFUNCTION("""COMPUTED_VALUE"""),"02/24/2016")</f>
        <v>02/24/2016</v>
      </c>
      <c r="H4324" s="6" t="str">
        <f>IFERROR(__xludf.DUMMYFUNCTION("""COMPUTED_VALUE"""),"male")</f>
        <v>male</v>
      </c>
      <c r="I4324" s="6" t="str">
        <f>IFERROR(__xludf.DUMMYFUNCTION("""COMPUTED_VALUE"""),"Level 2")</f>
        <v>Level 2</v>
      </c>
      <c r="J4324" s="6" t="str">
        <f>IFERROR(__xludf.DUMMYFUNCTION("""COMPUTED_VALUE"""),"4")</f>
        <v>4</v>
      </c>
      <c r="K4324" s="6" t="str">
        <f>IFERROR(__xludf.DUMMYFUNCTION("""COMPUTED_VALUE"""),"sandre.tulloch@2hourlearning.com")</f>
        <v>sandre.tulloch@2hourlearning.com</v>
      </c>
      <c r="L4324" s="6" t="str">
        <f>IFERROR(__xludf.DUMMYFUNCTION("""COMPUTED_VALUE"""),"JHES - Hardeeville Elementary School")</f>
        <v>JHES - Hardeeville Elementary School</v>
      </c>
      <c r="M4324" s="6" t="str">
        <f>IFERROR(__xludf.DUMMYFUNCTION("""COMPUTED_VALUE"""),"")</f>
        <v/>
      </c>
      <c r="N4324" s="6" t="str">
        <f>IFERROR(__xludf.DUMMYFUNCTION("""COMPUTED_VALUE"""),"")</f>
        <v/>
      </c>
      <c r="O4324" s="87" t="str">
        <f>IFERROR(__xludf.DUMMYFUNCTION("""COMPUTED_VALUE"""),"https://drive.google.com/drive/folders/10T2cTQHqEJZqE-st6uFKPoI?usp=share_link")</f>
        <v>https://drive.google.com/drive/folders/10T2cTQHqEJZqE-st6uFKPoI?usp=share_link</v>
      </c>
      <c r="P4324" s="6" t="str">
        <f>IFERROR(__xludf.DUMMYFUNCTION("""COMPUTED_VALUE"""),"Sandre Tulloch")</f>
        <v>Sandre Tulloch</v>
      </c>
      <c r="Q4324" s="6" t="str">
        <f>IFERROR(__xludf.DUMMYFUNCTION("""COMPUTED_VALUE"""),"L2")</f>
        <v>L2</v>
      </c>
      <c r="R4324" s="6">
        <f>IFERROR(__xludf.DUMMYFUNCTION("""COMPUTED_VALUE"""),2.0)</f>
        <v>2</v>
      </c>
      <c r="S4324" s="6" t="str">
        <f>IFERROR(__xludf.DUMMYFUNCTION("""COMPUTED_VALUE""")," ")</f>
        <v> </v>
      </c>
      <c r="T4324" s="6" t="str">
        <f>IFERROR(__xludf.DUMMYFUNCTION("""COMPUTED_VALUE"""),"")</f>
        <v/>
      </c>
      <c r="U4324" s="6" t="str">
        <f>IFERROR(__xludf.DUMMYFUNCTION("""COMPUTED_VALUE"""),"4")</f>
        <v>4</v>
      </c>
      <c r="V4324" s="6" t="str">
        <f>IFERROR(__xludf.DUMMYFUNCTION("""COMPUTED_VALUE"""),"")</f>
        <v/>
      </c>
      <c r="W4324" s="6" t="str">
        <f>IFERROR(__xludf.DUMMYFUNCTION("""COMPUTED_VALUE"""),"[]")</f>
        <v>[]</v>
      </c>
      <c r="X4324" s="6" t="str">
        <f>IFERROR(__xludf.DUMMYFUNCTION("""COMPUTED_VALUE"""),"Enrolled")</f>
        <v>Enrolled</v>
      </c>
    </row>
    <row r="4325">
      <c r="A4325" s="6" t="str">
        <f>IFERROR(__xludf.DUMMYFUNCTION("""COMPUTED_VALUE"""),"083-11612")</f>
        <v>083-11612</v>
      </c>
      <c r="B4325" s="6" t="str">
        <f>IFERROR(__xludf.DUMMYFUNCTION("""COMPUTED_VALUE"""),"83")</f>
        <v>83</v>
      </c>
      <c r="C4325" s="6" t="str">
        <f>IFERROR(__xludf.DUMMYFUNCTION("""COMPUTED_VALUE"""),"11612")</f>
        <v>11612</v>
      </c>
      <c r="D4325" s="6" t="str">
        <f>IFERROR(__xludf.DUMMYFUNCTION("""COMPUTED_VALUE"""),"Andres")</f>
        <v>Andres</v>
      </c>
      <c r="E4325" s="6" t="str">
        <f>IFERROR(__xludf.DUMMYFUNCTION("""COMPUTED_VALUE"""),"")</f>
        <v/>
      </c>
      <c r="F4325" s="6" t="str">
        <f>IFERROR(__xludf.DUMMYFUNCTION("""COMPUTED_VALUE"""),"Useche")</f>
        <v>Useche</v>
      </c>
      <c r="G4325" s="6" t="str">
        <f>IFERROR(__xludf.DUMMYFUNCTION("""COMPUTED_VALUE"""),"03/11/2016")</f>
        <v>03/11/2016</v>
      </c>
      <c r="H4325" s="6" t="str">
        <f>IFERROR(__xludf.DUMMYFUNCTION("""COMPUTED_VALUE"""),"male")</f>
        <v>male</v>
      </c>
      <c r="I4325" s="6" t="str">
        <f>IFERROR(__xludf.DUMMYFUNCTION("""COMPUTED_VALUE"""),"Level 2")</f>
        <v>Level 2</v>
      </c>
      <c r="J4325" s="6" t="str">
        <f>IFERROR(__xludf.DUMMYFUNCTION("""COMPUTED_VALUE"""),"4")</f>
        <v>4</v>
      </c>
      <c r="K4325" s="6" t="str">
        <f>IFERROR(__xludf.DUMMYFUNCTION("""COMPUTED_VALUE"""),"andres.useche@2hourlearning.com")</f>
        <v>andres.useche@2hourlearning.com</v>
      </c>
      <c r="L4325" s="6" t="str">
        <f>IFERROR(__xludf.DUMMYFUNCTION("""COMPUTED_VALUE"""),"JHES - Hardeeville Elementary School")</f>
        <v>JHES - Hardeeville Elementary School</v>
      </c>
      <c r="M4325" s="6" t="str">
        <f>IFERROR(__xludf.DUMMYFUNCTION("""COMPUTED_VALUE"""),"")</f>
        <v/>
      </c>
      <c r="N4325" s="6" t="str">
        <f>IFERROR(__xludf.DUMMYFUNCTION("""COMPUTED_VALUE"""),"")</f>
        <v/>
      </c>
      <c r="O4325" s="87" t="str">
        <f>IFERROR(__xludf.DUMMYFUNCTION("""COMPUTED_VALUE"""),"https://drive.google.com/drive/folders/10T2cTQHqEJZqE-st6uFKPoI?usp=share_link")</f>
        <v>https://drive.google.com/drive/folders/10T2cTQHqEJZqE-st6uFKPoI?usp=share_link</v>
      </c>
      <c r="P4325" s="6" t="str">
        <f>IFERROR(__xludf.DUMMYFUNCTION("""COMPUTED_VALUE"""),"Andres Useche")</f>
        <v>Andres Useche</v>
      </c>
      <c r="Q4325" s="6" t="str">
        <f>IFERROR(__xludf.DUMMYFUNCTION("""COMPUTED_VALUE"""),"L2")</f>
        <v>L2</v>
      </c>
      <c r="R4325" s="6">
        <f>IFERROR(__xludf.DUMMYFUNCTION("""COMPUTED_VALUE"""),2.0)</f>
        <v>2</v>
      </c>
      <c r="S4325" s="6" t="str">
        <f>IFERROR(__xludf.DUMMYFUNCTION("""COMPUTED_VALUE""")," ")</f>
        <v> </v>
      </c>
      <c r="T4325" s="6" t="str">
        <f>IFERROR(__xludf.DUMMYFUNCTION("""COMPUTED_VALUE"""),"")</f>
        <v/>
      </c>
      <c r="U4325" s="6" t="str">
        <f>IFERROR(__xludf.DUMMYFUNCTION("""COMPUTED_VALUE"""),"4")</f>
        <v>4</v>
      </c>
      <c r="V4325" s="6" t="str">
        <f>IFERROR(__xludf.DUMMYFUNCTION("""COMPUTED_VALUE"""),"")</f>
        <v/>
      </c>
      <c r="W4325" s="6" t="str">
        <f>IFERROR(__xludf.DUMMYFUNCTION("""COMPUTED_VALUE"""),"[]")</f>
        <v>[]</v>
      </c>
      <c r="X4325" s="6" t="str">
        <f>IFERROR(__xludf.DUMMYFUNCTION("""COMPUTED_VALUE"""),"Enrolled")</f>
        <v>Enrolled</v>
      </c>
    </row>
    <row r="4326">
      <c r="A4326" s="6" t="str">
        <f>IFERROR(__xludf.DUMMYFUNCTION("""COMPUTED_VALUE"""),"083-11613")</f>
        <v>083-11613</v>
      </c>
      <c r="B4326" s="6" t="str">
        <f>IFERROR(__xludf.DUMMYFUNCTION("""COMPUTED_VALUE"""),"83")</f>
        <v>83</v>
      </c>
      <c r="C4326" s="6" t="str">
        <f>IFERROR(__xludf.DUMMYFUNCTION("""COMPUTED_VALUE"""),"11613")</f>
        <v>11613</v>
      </c>
      <c r="D4326" s="6" t="str">
        <f>IFERROR(__xludf.DUMMYFUNCTION("""COMPUTED_VALUE"""),"Michelle")</f>
        <v>Michelle</v>
      </c>
      <c r="E4326" s="6" t="str">
        <f>IFERROR(__xludf.DUMMYFUNCTION("""COMPUTED_VALUE"""),"")</f>
        <v/>
      </c>
      <c r="F4326" s="6" t="str">
        <f>IFERROR(__xludf.DUMMYFUNCTION("""COMPUTED_VALUE"""),"Vera Axt")</f>
        <v>Vera Axt</v>
      </c>
      <c r="G4326" s="6" t="str">
        <f>IFERROR(__xludf.DUMMYFUNCTION("""COMPUTED_VALUE"""),"11/05/2015")</f>
        <v>11/05/2015</v>
      </c>
      <c r="H4326" s="6" t="str">
        <f>IFERROR(__xludf.DUMMYFUNCTION("""COMPUTED_VALUE"""),"female")</f>
        <v>female</v>
      </c>
      <c r="I4326" s="6" t="str">
        <f>IFERROR(__xludf.DUMMYFUNCTION("""COMPUTED_VALUE"""),"Level 2")</f>
        <v>Level 2</v>
      </c>
      <c r="J4326" s="6" t="str">
        <f>IFERROR(__xludf.DUMMYFUNCTION("""COMPUTED_VALUE"""),"4")</f>
        <v>4</v>
      </c>
      <c r="K4326" s="6" t="str">
        <f>IFERROR(__xludf.DUMMYFUNCTION("""COMPUTED_VALUE"""),"michelle.veraaxt@2hourlearning.com")</f>
        <v>michelle.veraaxt@2hourlearning.com</v>
      </c>
      <c r="L4326" s="6" t="str">
        <f>IFERROR(__xludf.DUMMYFUNCTION("""COMPUTED_VALUE"""),"JHES - Hardeeville Elementary School")</f>
        <v>JHES - Hardeeville Elementary School</v>
      </c>
      <c r="M4326" s="6" t="str">
        <f>IFERROR(__xludf.DUMMYFUNCTION("""COMPUTED_VALUE"""),"")</f>
        <v/>
      </c>
      <c r="N4326" s="6" t="str">
        <f>IFERROR(__xludf.DUMMYFUNCTION("""COMPUTED_VALUE"""),"")</f>
        <v/>
      </c>
      <c r="O4326" s="87" t="str">
        <f>IFERROR(__xludf.DUMMYFUNCTION("""COMPUTED_VALUE"""),"https://drive.google.com/drive/folders/10T2cTQHqEJZqE-st6uFKPoI?usp=share_link")</f>
        <v>https://drive.google.com/drive/folders/10T2cTQHqEJZqE-st6uFKPoI?usp=share_link</v>
      </c>
      <c r="P4326" s="6" t="str">
        <f>IFERROR(__xludf.DUMMYFUNCTION("""COMPUTED_VALUE"""),"Michelle Vera Axt")</f>
        <v>Michelle Vera Axt</v>
      </c>
      <c r="Q4326" s="6" t="str">
        <f>IFERROR(__xludf.DUMMYFUNCTION("""COMPUTED_VALUE"""),"L2")</f>
        <v>L2</v>
      </c>
      <c r="R4326" s="6">
        <f>IFERROR(__xludf.DUMMYFUNCTION("""COMPUTED_VALUE"""),2.0)</f>
        <v>2</v>
      </c>
      <c r="S4326" s="6" t="str">
        <f>IFERROR(__xludf.DUMMYFUNCTION("""COMPUTED_VALUE""")," ")</f>
        <v> </v>
      </c>
      <c r="T4326" s="6" t="str">
        <f>IFERROR(__xludf.DUMMYFUNCTION("""COMPUTED_VALUE"""),"")</f>
        <v/>
      </c>
      <c r="U4326" s="6" t="str">
        <f>IFERROR(__xludf.DUMMYFUNCTION("""COMPUTED_VALUE"""),"4")</f>
        <v>4</v>
      </c>
      <c r="V4326" s="6" t="str">
        <f>IFERROR(__xludf.DUMMYFUNCTION("""COMPUTED_VALUE"""),"")</f>
        <v/>
      </c>
      <c r="W4326" s="6" t="str">
        <f>IFERROR(__xludf.DUMMYFUNCTION("""COMPUTED_VALUE"""),"[]")</f>
        <v>[]</v>
      </c>
      <c r="X4326" s="6" t="str">
        <f>IFERROR(__xludf.DUMMYFUNCTION("""COMPUTED_VALUE"""),"Enrolled")</f>
        <v>Enrolled</v>
      </c>
    </row>
    <row r="4327">
      <c r="A4327" s="6" t="str">
        <f>IFERROR(__xludf.DUMMYFUNCTION("""COMPUTED_VALUE"""),"083-11614")</f>
        <v>083-11614</v>
      </c>
      <c r="B4327" s="6" t="str">
        <f>IFERROR(__xludf.DUMMYFUNCTION("""COMPUTED_VALUE"""),"83")</f>
        <v>83</v>
      </c>
      <c r="C4327" s="6" t="str">
        <f>IFERROR(__xludf.DUMMYFUNCTION("""COMPUTED_VALUE"""),"11614")</f>
        <v>11614</v>
      </c>
      <c r="D4327" s="6" t="str">
        <f>IFERROR(__xludf.DUMMYFUNCTION("""COMPUTED_VALUE"""),"Anesia")</f>
        <v>Anesia</v>
      </c>
      <c r="E4327" s="6" t="str">
        <f>IFERROR(__xludf.DUMMYFUNCTION("""COMPUTED_VALUE"""),"")</f>
        <v/>
      </c>
      <c r="F4327" s="6" t="str">
        <f>IFERROR(__xludf.DUMMYFUNCTION("""COMPUTED_VALUE"""),"Webster")</f>
        <v>Webster</v>
      </c>
      <c r="G4327" s="6" t="str">
        <f>IFERROR(__xludf.DUMMYFUNCTION("""COMPUTED_VALUE"""),"10/13/2015")</f>
        <v>10/13/2015</v>
      </c>
      <c r="H4327" s="6" t="str">
        <f>IFERROR(__xludf.DUMMYFUNCTION("""COMPUTED_VALUE"""),"female")</f>
        <v>female</v>
      </c>
      <c r="I4327" s="6" t="str">
        <f>IFERROR(__xludf.DUMMYFUNCTION("""COMPUTED_VALUE"""),"Level 2")</f>
        <v>Level 2</v>
      </c>
      <c r="J4327" s="6" t="str">
        <f>IFERROR(__xludf.DUMMYFUNCTION("""COMPUTED_VALUE"""),"4")</f>
        <v>4</v>
      </c>
      <c r="K4327" s="6" t="str">
        <f>IFERROR(__xludf.DUMMYFUNCTION("""COMPUTED_VALUE"""),"anesia.webster@2hourlearning.com")</f>
        <v>anesia.webster@2hourlearning.com</v>
      </c>
      <c r="L4327" s="6" t="str">
        <f>IFERROR(__xludf.DUMMYFUNCTION("""COMPUTED_VALUE"""),"JHES - Hardeeville Elementary School")</f>
        <v>JHES - Hardeeville Elementary School</v>
      </c>
      <c r="M4327" s="6" t="str">
        <f>IFERROR(__xludf.DUMMYFUNCTION("""COMPUTED_VALUE"""),"")</f>
        <v/>
      </c>
      <c r="N4327" s="6" t="str">
        <f>IFERROR(__xludf.DUMMYFUNCTION("""COMPUTED_VALUE"""),"")</f>
        <v/>
      </c>
      <c r="O4327" s="87" t="str">
        <f>IFERROR(__xludf.DUMMYFUNCTION("""COMPUTED_VALUE"""),"https://drive.google.com/drive/folders/10T2cTQHqEJZqE-st6uFKPoI?usp=share_link")</f>
        <v>https://drive.google.com/drive/folders/10T2cTQHqEJZqE-st6uFKPoI?usp=share_link</v>
      </c>
      <c r="P4327" s="6" t="str">
        <f>IFERROR(__xludf.DUMMYFUNCTION("""COMPUTED_VALUE"""),"Anesia Webster")</f>
        <v>Anesia Webster</v>
      </c>
      <c r="Q4327" s="6" t="str">
        <f>IFERROR(__xludf.DUMMYFUNCTION("""COMPUTED_VALUE"""),"L2")</f>
        <v>L2</v>
      </c>
      <c r="R4327" s="6">
        <f>IFERROR(__xludf.DUMMYFUNCTION("""COMPUTED_VALUE"""),2.0)</f>
        <v>2</v>
      </c>
      <c r="S4327" s="6" t="str">
        <f>IFERROR(__xludf.DUMMYFUNCTION("""COMPUTED_VALUE""")," ")</f>
        <v> </v>
      </c>
      <c r="T4327" s="6" t="str">
        <f>IFERROR(__xludf.DUMMYFUNCTION("""COMPUTED_VALUE"""),"")</f>
        <v/>
      </c>
      <c r="U4327" s="6" t="str">
        <f>IFERROR(__xludf.DUMMYFUNCTION("""COMPUTED_VALUE"""),"4")</f>
        <v>4</v>
      </c>
      <c r="V4327" s="6" t="str">
        <f>IFERROR(__xludf.DUMMYFUNCTION("""COMPUTED_VALUE"""),"")</f>
        <v/>
      </c>
      <c r="W4327" s="6" t="str">
        <f>IFERROR(__xludf.DUMMYFUNCTION("""COMPUTED_VALUE"""),"[]")</f>
        <v>[]</v>
      </c>
      <c r="X4327" s="6" t="str">
        <f>IFERROR(__xludf.DUMMYFUNCTION("""COMPUTED_VALUE"""),"Enrolled")</f>
        <v>Enrolled</v>
      </c>
    </row>
    <row r="4328">
      <c r="A4328" s="6" t="str">
        <f>IFERROR(__xludf.DUMMYFUNCTION("""COMPUTED_VALUE"""),"083-11615")</f>
        <v>083-11615</v>
      </c>
      <c r="B4328" s="6" t="str">
        <f>IFERROR(__xludf.DUMMYFUNCTION("""COMPUTED_VALUE"""),"83")</f>
        <v>83</v>
      </c>
      <c r="C4328" s="6" t="str">
        <f>IFERROR(__xludf.DUMMYFUNCTION("""COMPUTED_VALUE"""),"11615")</f>
        <v>11615</v>
      </c>
      <c r="D4328" s="6" t="str">
        <f>IFERROR(__xludf.DUMMYFUNCTION("""COMPUTED_VALUE"""),"John")</f>
        <v>John</v>
      </c>
      <c r="E4328" s="6" t="str">
        <f>IFERROR(__xludf.DUMMYFUNCTION("""COMPUTED_VALUE"""),"")</f>
        <v/>
      </c>
      <c r="F4328" s="6" t="str">
        <f>IFERROR(__xludf.DUMMYFUNCTION("""COMPUTED_VALUE"""),"Wilborn")</f>
        <v>Wilborn</v>
      </c>
      <c r="G4328" s="6" t="str">
        <f>IFERROR(__xludf.DUMMYFUNCTION("""COMPUTED_VALUE"""),"02/27/2016")</f>
        <v>02/27/2016</v>
      </c>
      <c r="H4328" s="6" t="str">
        <f>IFERROR(__xludf.DUMMYFUNCTION("""COMPUTED_VALUE"""),"male")</f>
        <v>male</v>
      </c>
      <c r="I4328" s="6" t="str">
        <f>IFERROR(__xludf.DUMMYFUNCTION("""COMPUTED_VALUE"""),"Level 2")</f>
        <v>Level 2</v>
      </c>
      <c r="J4328" s="6" t="str">
        <f>IFERROR(__xludf.DUMMYFUNCTION("""COMPUTED_VALUE"""),"4")</f>
        <v>4</v>
      </c>
      <c r="K4328" s="6" t="str">
        <f>IFERROR(__xludf.DUMMYFUNCTION("""COMPUTED_VALUE"""),"john.wilborn@2hourlearning.com")</f>
        <v>john.wilborn@2hourlearning.com</v>
      </c>
      <c r="L4328" s="6" t="str">
        <f>IFERROR(__xludf.DUMMYFUNCTION("""COMPUTED_VALUE"""),"JHES - Hardeeville Elementary School")</f>
        <v>JHES - Hardeeville Elementary School</v>
      </c>
      <c r="M4328" s="6" t="str">
        <f>IFERROR(__xludf.DUMMYFUNCTION("""COMPUTED_VALUE"""),"")</f>
        <v/>
      </c>
      <c r="N4328" s="6" t="str">
        <f>IFERROR(__xludf.DUMMYFUNCTION("""COMPUTED_VALUE"""),"")</f>
        <v/>
      </c>
      <c r="O4328" s="87" t="str">
        <f>IFERROR(__xludf.DUMMYFUNCTION("""COMPUTED_VALUE"""),"https://drive.google.com/drive/folders/10T2cTQHqEJZqE-st6uFKPoI?usp=share_link")</f>
        <v>https://drive.google.com/drive/folders/10T2cTQHqEJZqE-st6uFKPoI?usp=share_link</v>
      </c>
      <c r="P4328" s="6" t="str">
        <f>IFERROR(__xludf.DUMMYFUNCTION("""COMPUTED_VALUE"""),"John Wilborn")</f>
        <v>John Wilborn</v>
      </c>
      <c r="Q4328" s="6" t="str">
        <f>IFERROR(__xludf.DUMMYFUNCTION("""COMPUTED_VALUE"""),"L2")</f>
        <v>L2</v>
      </c>
      <c r="R4328" s="6">
        <f>IFERROR(__xludf.DUMMYFUNCTION("""COMPUTED_VALUE"""),2.0)</f>
        <v>2</v>
      </c>
      <c r="S4328" s="6" t="str">
        <f>IFERROR(__xludf.DUMMYFUNCTION("""COMPUTED_VALUE""")," ")</f>
        <v> </v>
      </c>
      <c r="T4328" s="6" t="str">
        <f>IFERROR(__xludf.DUMMYFUNCTION("""COMPUTED_VALUE"""),"")</f>
        <v/>
      </c>
      <c r="U4328" s="6" t="str">
        <f>IFERROR(__xludf.DUMMYFUNCTION("""COMPUTED_VALUE"""),"4")</f>
        <v>4</v>
      </c>
      <c r="V4328" s="6" t="str">
        <f>IFERROR(__xludf.DUMMYFUNCTION("""COMPUTED_VALUE"""),"")</f>
        <v/>
      </c>
      <c r="W4328" s="6" t="str">
        <f>IFERROR(__xludf.DUMMYFUNCTION("""COMPUTED_VALUE"""),"[]")</f>
        <v>[]</v>
      </c>
      <c r="X4328" s="6" t="str">
        <f>IFERROR(__xludf.DUMMYFUNCTION("""COMPUTED_VALUE"""),"Enrolled")</f>
        <v>Enrolled</v>
      </c>
    </row>
    <row r="4329">
      <c r="A4329" s="6" t="str">
        <f>IFERROR(__xludf.DUMMYFUNCTION("""COMPUTED_VALUE"""),"083-11616")</f>
        <v>083-11616</v>
      </c>
      <c r="B4329" s="6" t="str">
        <f>IFERROR(__xludf.DUMMYFUNCTION("""COMPUTED_VALUE"""),"83")</f>
        <v>83</v>
      </c>
      <c r="C4329" s="6" t="str">
        <f>IFERROR(__xludf.DUMMYFUNCTION("""COMPUTED_VALUE"""),"11616")</f>
        <v>11616</v>
      </c>
      <c r="D4329" s="6" t="str">
        <f>IFERROR(__xludf.DUMMYFUNCTION("""COMPUTED_VALUE"""),"Joy")</f>
        <v>Joy</v>
      </c>
      <c r="E4329" s="6" t="str">
        <f>IFERROR(__xludf.DUMMYFUNCTION("""COMPUTED_VALUE"""),"")</f>
        <v/>
      </c>
      <c r="F4329" s="6" t="str">
        <f>IFERROR(__xludf.DUMMYFUNCTION("""COMPUTED_VALUE"""),"Wilson")</f>
        <v>Wilson</v>
      </c>
      <c r="G4329" s="6" t="str">
        <f>IFERROR(__xludf.DUMMYFUNCTION("""COMPUTED_VALUE"""),"08/30/2016")</f>
        <v>08/30/2016</v>
      </c>
      <c r="H4329" s="6" t="str">
        <f>IFERROR(__xludf.DUMMYFUNCTION("""COMPUTED_VALUE"""),"female")</f>
        <v>female</v>
      </c>
      <c r="I4329" s="6" t="str">
        <f>IFERROR(__xludf.DUMMYFUNCTION("""COMPUTED_VALUE"""),"Level 2")</f>
        <v>Level 2</v>
      </c>
      <c r="J4329" s="6" t="str">
        <f>IFERROR(__xludf.DUMMYFUNCTION("""COMPUTED_VALUE"""),"4")</f>
        <v>4</v>
      </c>
      <c r="K4329" s="6" t="str">
        <f>IFERROR(__xludf.DUMMYFUNCTION("""COMPUTED_VALUE"""),"joy.wilson@2hourlearning.com")</f>
        <v>joy.wilson@2hourlearning.com</v>
      </c>
      <c r="L4329" s="6" t="str">
        <f>IFERROR(__xludf.DUMMYFUNCTION("""COMPUTED_VALUE"""),"JHES - Hardeeville Elementary School")</f>
        <v>JHES - Hardeeville Elementary School</v>
      </c>
      <c r="M4329" s="6" t="str">
        <f>IFERROR(__xludf.DUMMYFUNCTION("""COMPUTED_VALUE"""),"")</f>
        <v/>
      </c>
      <c r="N4329" s="6" t="str">
        <f>IFERROR(__xludf.DUMMYFUNCTION("""COMPUTED_VALUE"""),"")</f>
        <v/>
      </c>
      <c r="O4329" s="87" t="str">
        <f>IFERROR(__xludf.DUMMYFUNCTION("""COMPUTED_VALUE"""),"https://drive.google.com/drive/folders/10T2cTQHqEJZqE-st6uFKPoI?usp=share_link")</f>
        <v>https://drive.google.com/drive/folders/10T2cTQHqEJZqE-st6uFKPoI?usp=share_link</v>
      </c>
      <c r="P4329" s="6" t="str">
        <f>IFERROR(__xludf.DUMMYFUNCTION("""COMPUTED_VALUE"""),"Joy Wilson")</f>
        <v>Joy Wilson</v>
      </c>
      <c r="Q4329" s="6" t="str">
        <f>IFERROR(__xludf.DUMMYFUNCTION("""COMPUTED_VALUE"""),"L2")</f>
        <v>L2</v>
      </c>
      <c r="R4329" s="6">
        <f>IFERROR(__xludf.DUMMYFUNCTION("""COMPUTED_VALUE"""),2.0)</f>
        <v>2</v>
      </c>
      <c r="S4329" s="6" t="str">
        <f>IFERROR(__xludf.DUMMYFUNCTION("""COMPUTED_VALUE""")," ")</f>
        <v> </v>
      </c>
      <c r="T4329" s="6" t="str">
        <f>IFERROR(__xludf.DUMMYFUNCTION("""COMPUTED_VALUE"""),"")</f>
        <v/>
      </c>
      <c r="U4329" s="6" t="str">
        <f>IFERROR(__xludf.DUMMYFUNCTION("""COMPUTED_VALUE"""),"4")</f>
        <v>4</v>
      </c>
      <c r="V4329" s="6" t="str">
        <f>IFERROR(__xludf.DUMMYFUNCTION("""COMPUTED_VALUE"""),"")</f>
        <v/>
      </c>
      <c r="W4329" s="6" t="str">
        <f>IFERROR(__xludf.DUMMYFUNCTION("""COMPUTED_VALUE"""),"[]")</f>
        <v>[]</v>
      </c>
      <c r="X4329" s="6" t="str">
        <f>IFERROR(__xludf.DUMMYFUNCTION("""COMPUTED_VALUE"""),"Enrolled")</f>
        <v>Enrolled</v>
      </c>
    </row>
    <row r="4330">
      <c r="A4330" s="6" t="str">
        <f>IFERROR(__xludf.DUMMYFUNCTION("""COMPUTED_VALUE"""),"083-11617")</f>
        <v>083-11617</v>
      </c>
      <c r="B4330" s="6" t="str">
        <f>IFERROR(__xludf.DUMMYFUNCTION("""COMPUTED_VALUE"""),"83")</f>
        <v>83</v>
      </c>
      <c r="C4330" s="6" t="str">
        <f>IFERROR(__xludf.DUMMYFUNCTION("""COMPUTED_VALUE"""),"11617")</f>
        <v>11617</v>
      </c>
      <c r="D4330" s="6" t="str">
        <f>IFERROR(__xludf.DUMMYFUNCTION("""COMPUTED_VALUE"""),"Diamond")</f>
        <v>Diamond</v>
      </c>
      <c r="E4330" s="6" t="str">
        <f>IFERROR(__xludf.DUMMYFUNCTION("""COMPUTED_VALUE"""),"")</f>
        <v/>
      </c>
      <c r="F4330" s="6" t="str">
        <f>IFERROR(__xludf.DUMMYFUNCTION("""COMPUTED_VALUE"""),"Yago")</f>
        <v>Yago</v>
      </c>
      <c r="G4330" s="6" t="str">
        <f>IFERROR(__xludf.DUMMYFUNCTION("""COMPUTED_VALUE"""),"01/07/2016")</f>
        <v>01/07/2016</v>
      </c>
      <c r="H4330" s="6" t="str">
        <f>IFERROR(__xludf.DUMMYFUNCTION("""COMPUTED_VALUE"""),"female")</f>
        <v>female</v>
      </c>
      <c r="I4330" s="6" t="str">
        <f>IFERROR(__xludf.DUMMYFUNCTION("""COMPUTED_VALUE"""),"Level 2")</f>
        <v>Level 2</v>
      </c>
      <c r="J4330" s="6" t="str">
        <f>IFERROR(__xludf.DUMMYFUNCTION("""COMPUTED_VALUE"""),"4")</f>
        <v>4</v>
      </c>
      <c r="K4330" s="6" t="str">
        <f>IFERROR(__xludf.DUMMYFUNCTION("""COMPUTED_VALUE"""),"diamond.yago@2hourlearning.com")</f>
        <v>diamond.yago@2hourlearning.com</v>
      </c>
      <c r="L4330" s="6" t="str">
        <f>IFERROR(__xludf.DUMMYFUNCTION("""COMPUTED_VALUE"""),"JHES - Hardeeville Elementary School")</f>
        <v>JHES - Hardeeville Elementary School</v>
      </c>
      <c r="M4330" s="6" t="str">
        <f>IFERROR(__xludf.DUMMYFUNCTION("""COMPUTED_VALUE"""),"")</f>
        <v/>
      </c>
      <c r="N4330" s="6" t="str">
        <f>IFERROR(__xludf.DUMMYFUNCTION("""COMPUTED_VALUE"""),"")</f>
        <v/>
      </c>
      <c r="O4330" s="87" t="str">
        <f>IFERROR(__xludf.DUMMYFUNCTION("""COMPUTED_VALUE"""),"https://drive.google.com/drive/folders/10T2cTQHqEJZqE-st6uFKPoI?usp=share_link")</f>
        <v>https://drive.google.com/drive/folders/10T2cTQHqEJZqE-st6uFKPoI?usp=share_link</v>
      </c>
      <c r="P4330" s="6" t="str">
        <f>IFERROR(__xludf.DUMMYFUNCTION("""COMPUTED_VALUE"""),"Diamond Yago")</f>
        <v>Diamond Yago</v>
      </c>
      <c r="Q4330" s="6" t="str">
        <f>IFERROR(__xludf.DUMMYFUNCTION("""COMPUTED_VALUE"""),"L2")</f>
        <v>L2</v>
      </c>
      <c r="R4330" s="6">
        <f>IFERROR(__xludf.DUMMYFUNCTION("""COMPUTED_VALUE"""),2.0)</f>
        <v>2</v>
      </c>
      <c r="S4330" s="6" t="str">
        <f>IFERROR(__xludf.DUMMYFUNCTION("""COMPUTED_VALUE""")," ")</f>
        <v> </v>
      </c>
      <c r="T4330" s="6" t="str">
        <f>IFERROR(__xludf.DUMMYFUNCTION("""COMPUTED_VALUE"""),"")</f>
        <v/>
      </c>
      <c r="U4330" s="6" t="str">
        <f>IFERROR(__xludf.DUMMYFUNCTION("""COMPUTED_VALUE"""),"4")</f>
        <v>4</v>
      </c>
      <c r="V4330" s="6" t="str">
        <f>IFERROR(__xludf.DUMMYFUNCTION("""COMPUTED_VALUE"""),"")</f>
        <v/>
      </c>
      <c r="W4330" s="6" t="str">
        <f>IFERROR(__xludf.DUMMYFUNCTION("""COMPUTED_VALUE"""),"[]")</f>
        <v>[]</v>
      </c>
      <c r="X4330" s="6" t="str">
        <f>IFERROR(__xludf.DUMMYFUNCTION("""COMPUTED_VALUE"""),"Enrolled")</f>
        <v>Enrolled</v>
      </c>
    </row>
    <row r="4331">
      <c r="A4331" s="6" t="str">
        <f>IFERROR(__xludf.DUMMYFUNCTION("""COMPUTED_VALUE"""),"083-11618")</f>
        <v>083-11618</v>
      </c>
      <c r="B4331" s="6" t="str">
        <f>IFERROR(__xludf.DUMMYFUNCTION("""COMPUTED_VALUE"""),"83")</f>
        <v>83</v>
      </c>
      <c r="C4331" s="6" t="str">
        <f>IFERROR(__xludf.DUMMYFUNCTION("""COMPUTED_VALUE"""),"11618")</f>
        <v>11618</v>
      </c>
      <c r="D4331" s="6" t="str">
        <f>IFERROR(__xludf.DUMMYFUNCTION("""COMPUTED_VALUE"""),"Cristhoper")</f>
        <v>Cristhoper</v>
      </c>
      <c r="E4331" s="6" t="str">
        <f>IFERROR(__xludf.DUMMYFUNCTION("""COMPUTED_VALUE"""),"")</f>
        <v/>
      </c>
      <c r="F4331" s="6" t="str">
        <f>IFERROR(__xludf.DUMMYFUNCTION("""COMPUTED_VALUE"""),"Acevedo Duarte")</f>
        <v>Acevedo Duarte</v>
      </c>
      <c r="G4331" s="6" t="str">
        <f>IFERROR(__xludf.DUMMYFUNCTION("""COMPUTED_VALUE"""),"11/23/2017")</f>
        <v>11/23/2017</v>
      </c>
      <c r="H4331" s="6" t="str">
        <f>IFERROR(__xludf.DUMMYFUNCTION("""COMPUTED_VALUE"""),"male")</f>
        <v>male</v>
      </c>
      <c r="I4331" s="6" t="str">
        <f>IFERROR(__xludf.DUMMYFUNCTION("""COMPUTED_VALUE"""),"Level 1")</f>
        <v>Level 1</v>
      </c>
      <c r="J4331" s="6" t="str">
        <f>IFERROR(__xludf.DUMMYFUNCTION("""COMPUTED_VALUE"""),"2")</f>
        <v>2</v>
      </c>
      <c r="K4331" s="6" t="str">
        <f>IFERROR(__xludf.DUMMYFUNCTION("""COMPUTED_VALUE"""),"cristhoper.acevedoduarte@2hourlearning.com")</f>
        <v>cristhoper.acevedoduarte@2hourlearning.com</v>
      </c>
      <c r="L4331" s="6" t="str">
        <f>IFERROR(__xludf.DUMMYFUNCTION("""COMPUTED_VALUE"""),"JHES - Hardeeville Elementary School")</f>
        <v>JHES - Hardeeville Elementary School</v>
      </c>
      <c r="M4331" s="6" t="str">
        <f>IFERROR(__xludf.DUMMYFUNCTION("""COMPUTED_VALUE"""),"")</f>
        <v/>
      </c>
      <c r="N4331" s="6" t="str">
        <f>IFERROR(__xludf.DUMMYFUNCTION("""COMPUTED_VALUE"""),"")</f>
        <v/>
      </c>
      <c r="O4331" s="87" t="str">
        <f>IFERROR(__xludf.DUMMYFUNCTION("""COMPUTED_VALUE"""),"https://drive.google.com/drive/folders/10T2cTQHqEJZqE-st6uFKPoI?usp=share_link")</f>
        <v>https://drive.google.com/drive/folders/10T2cTQHqEJZqE-st6uFKPoI?usp=share_link</v>
      </c>
      <c r="P4331" s="6" t="str">
        <f>IFERROR(__xludf.DUMMYFUNCTION("""COMPUTED_VALUE"""),"Cristhoper Acevedo Duarte")</f>
        <v>Cristhoper Acevedo Duarte</v>
      </c>
      <c r="Q4331" s="6" t="str">
        <f>IFERROR(__xludf.DUMMYFUNCTION("""COMPUTED_VALUE"""),"L1")</f>
        <v>L1</v>
      </c>
      <c r="R4331" s="6">
        <f>IFERROR(__xludf.DUMMYFUNCTION("""COMPUTED_VALUE"""),1.0)</f>
        <v>1</v>
      </c>
      <c r="S4331" s="6" t="str">
        <f>IFERROR(__xludf.DUMMYFUNCTION("""COMPUTED_VALUE""")," ")</f>
        <v> </v>
      </c>
      <c r="T4331" s="6" t="str">
        <f>IFERROR(__xludf.DUMMYFUNCTION("""COMPUTED_VALUE"""),"")</f>
        <v/>
      </c>
      <c r="U4331" s="6" t="str">
        <f>IFERROR(__xludf.DUMMYFUNCTION("""COMPUTED_VALUE"""),"2")</f>
        <v>2</v>
      </c>
      <c r="V4331" s="6" t="str">
        <f>IFERROR(__xludf.DUMMYFUNCTION("""COMPUTED_VALUE"""),"")</f>
        <v/>
      </c>
      <c r="W4331" s="6" t="str">
        <f>IFERROR(__xludf.DUMMYFUNCTION("""COMPUTED_VALUE"""),"[]")</f>
        <v>[]</v>
      </c>
      <c r="X4331" s="6" t="str">
        <f>IFERROR(__xludf.DUMMYFUNCTION("""COMPUTED_VALUE"""),"Enrolled")</f>
        <v>Enrolled</v>
      </c>
    </row>
    <row r="4332">
      <c r="A4332" s="6" t="str">
        <f>IFERROR(__xludf.DUMMYFUNCTION("""COMPUTED_VALUE"""),"083-11619")</f>
        <v>083-11619</v>
      </c>
      <c r="B4332" s="6" t="str">
        <f>IFERROR(__xludf.DUMMYFUNCTION("""COMPUTED_VALUE"""),"83")</f>
        <v>83</v>
      </c>
      <c r="C4332" s="6" t="str">
        <f>IFERROR(__xludf.DUMMYFUNCTION("""COMPUTED_VALUE"""),"11619")</f>
        <v>11619</v>
      </c>
      <c r="D4332" s="6" t="str">
        <f>IFERROR(__xludf.DUMMYFUNCTION("""COMPUTED_VALUE"""),"Mateo A")</f>
        <v>Mateo A</v>
      </c>
      <c r="E4332" s="6" t="str">
        <f>IFERROR(__xludf.DUMMYFUNCTION("""COMPUTED_VALUE"""),"")</f>
        <v/>
      </c>
      <c r="F4332" s="6" t="str">
        <f>IFERROR(__xludf.DUMMYFUNCTION("""COMPUTED_VALUE"""),"Aguadas Morcillo")</f>
        <v>Aguadas Morcillo</v>
      </c>
      <c r="G4332" s="6" t="str">
        <f>IFERROR(__xludf.DUMMYFUNCTION("""COMPUTED_VALUE"""),"03/16/2018")</f>
        <v>03/16/2018</v>
      </c>
      <c r="H4332" s="6" t="str">
        <f>IFERROR(__xludf.DUMMYFUNCTION("""COMPUTED_VALUE"""),"male")</f>
        <v>male</v>
      </c>
      <c r="I4332" s="6" t="str">
        <f>IFERROR(__xludf.DUMMYFUNCTION("""COMPUTED_VALUE"""),"Level 1")</f>
        <v>Level 1</v>
      </c>
      <c r="J4332" s="6" t="str">
        <f>IFERROR(__xludf.DUMMYFUNCTION("""COMPUTED_VALUE"""),"2")</f>
        <v>2</v>
      </c>
      <c r="K4332" s="6" t="str">
        <f>IFERROR(__xludf.DUMMYFUNCTION("""COMPUTED_VALUE"""),"mateoa.aguadasmorcillo@2hourlearning.com")</f>
        <v>mateoa.aguadasmorcillo@2hourlearning.com</v>
      </c>
      <c r="L4332" s="6" t="str">
        <f>IFERROR(__xludf.DUMMYFUNCTION("""COMPUTED_VALUE"""),"JHES - Hardeeville Elementary School")</f>
        <v>JHES - Hardeeville Elementary School</v>
      </c>
      <c r="M4332" s="6" t="str">
        <f>IFERROR(__xludf.DUMMYFUNCTION("""COMPUTED_VALUE"""),"")</f>
        <v/>
      </c>
      <c r="N4332" s="6" t="str">
        <f>IFERROR(__xludf.DUMMYFUNCTION("""COMPUTED_VALUE"""),"")</f>
        <v/>
      </c>
      <c r="O4332" s="87" t="str">
        <f>IFERROR(__xludf.DUMMYFUNCTION("""COMPUTED_VALUE"""),"https://drive.google.com/drive/folders/10T2cTQHqEJZqE-st6uFKPoI?usp=share_link")</f>
        <v>https://drive.google.com/drive/folders/10T2cTQHqEJZqE-st6uFKPoI?usp=share_link</v>
      </c>
      <c r="P4332" s="6" t="str">
        <f>IFERROR(__xludf.DUMMYFUNCTION("""COMPUTED_VALUE"""),"Mateo A Aguadas Morcillo")</f>
        <v>Mateo A Aguadas Morcillo</v>
      </c>
      <c r="Q4332" s="6" t="str">
        <f>IFERROR(__xludf.DUMMYFUNCTION("""COMPUTED_VALUE"""),"L1")</f>
        <v>L1</v>
      </c>
      <c r="R4332" s="6">
        <f>IFERROR(__xludf.DUMMYFUNCTION("""COMPUTED_VALUE"""),1.0)</f>
        <v>1</v>
      </c>
      <c r="S4332" s="6" t="str">
        <f>IFERROR(__xludf.DUMMYFUNCTION("""COMPUTED_VALUE""")," ")</f>
        <v> </v>
      </c>
      <c r="T4332" s="6" t="str">
        <f>IFERROR(__xludf.DUMMYFUNCTION("""COMPUTED_VALUE"""),"")</f>
        <v/>
      </c>
      <c r="U4332" s="6" t="str">
        <f>IFERROR(__xludf.DUMMYFUNCTION("""COMPUTED_VALUE"""),"2")</f>
        <v>2</v>
      </c>
      <c r="V4332" s="6" t="str">
        <f>IFERROR(__xludf.DUMMYFUNCTION("""COMPUTED_VALUE"""),"")</f>
        <v/>
      </c>
      <c r="W4332" s="6" t="str">
        <f>IFERROR(__xludf.DUMMYFUNCTION("""COMPUTED_VALUE"""),"[]")</f>
        <v>[]</v>
      </c>
      <c r="X4332" s="6" t="str">
        <f>IFERROR(__xludf.DUMMYFUNCTION("""COMPUTED_VALUE"""),"Enrolled")</f>
        <v>Enrolled</v>
      </c>
    </row>
    <row r="4333">
      <c r="A4333" s="6" t="str">
        <f>IFERROR(__xludf.DUMMYFUNCTION("""COMPUTED_VALUE"""),"083-11620")</f>
        <v>083-11620</v>
      </c>
      <c r="B4333" s="6" t="str">
        <f>IFERROR(__xludf.DUMMYFUNCTION("""COMPUTED_VALUE"""),"83")</f>
        <v>83</v>
      </c>
      <c r="C4333" s="6" t="str">
        <f>IFERROR(__xludf.DUMMYFUNCTION("""COMPUTED_VALUE"""),"11620")</f>
        <v>11620</v>
      </c>
      <c r="D4333" s="6" t="str">
        <f>IFERROR(__xludf.DUMMYFUNCTION("""COMPUTED_VALUE"""),"Liam")</f>
        <v>Liam</v>
      </c>
      <c r="E4333" s="6" t="str">
        <f>IFERROR(__xludf.DUMMYFUNCTION("""COMPUTED_VALUE"""),"")</f>
        <v/>
      </c>
      <c r="F4333" s="6" t="str">
        <f>IFERROR(__xludf.DUMMYFUNCTION("""COMPUTED_VALUE"""),"Alarcon Rodriguez")</f>
        <v>Alarcon Rodriguez</v>
      </c>
      <c r="G4333" s="6" t="str">
        <f>IFERROR(__xludf.DUMMYFUNCTION("""COMPUTED_VALUE"""),"01/04/2018")</f>
        <v>01/04/2018</v>
      </c>
      <c r="H4333" s="6" t="str">
        <f>IFERROR(__xludf.DUMMYFUNCTION("""COMPUTED_VALUE"""),"male")</f>
        <v>male</v>
      </c>
      <c r="I4333" s="6" t="str">
        <f>IFERROR(__xludf.DUMMYFUNCTION("""COMPUTED_VALUE"""),"Level 1")</f>
        <v>Level 1</v>
      </c>
      <c r="J4333" s="6" t="str">
        <f>IFERROR(__xludf.DUMMYFUNCTION("""COMPUTED_VALUE"""),"2")</f>
        <v>2</v>
      </c>
      <c r="K4333" s="6" t="str">
        <f>IFERROR(__xludf.DUMMYFUNCTION("""COMPUTED_VALUE"""),"liam.alarconrodriguez@2hourlearning.com")</f>
        <v>liam.alarconrodriguez@2hourlearning.com</v>
      </c>
      <c r="L4333" s="6" t="str">
        <f>IFERROR(__xludf.DUMMYFUNCTION("""COMPUTED_VALUE"""),"JHES - Hardeeville Elementary School")</f>
        <v>JHES - Hardeeville Elementary School</v>
      </c>
      <c r="M4333" s="6" t="str">
        <f>IFERROR(__xludf.DUMMYFUNCTION("""COMPUTED_VALUE"""),"")</f>
        <v/>
      </c>
      <c r="N4333" s="6" t="str">
        <f>IFERROR(__xludf.DUMMYFUNCTION("""COMPUTED_VALUE"""),"")</f>
        <v/>
      </c>
      <c r="O4333" s="87" t="str">
        <f>IFERROR(__xludf.DUMMYFUNCTION("""COMPUTED_VALUE"""),"https://drive.google.com/drive/folders/10T2cTQHqEJZqE-st6uFKPoI?usp=share_link")</f>
        <v>https://drive.google.com/drive/folders/10T2cTQHqEJZqE-st6uFKPoI?usp=share_link</v>
      </c>
      <c r="P4333" s="6" t="str">
        <f>IFERROR(__xludf.DUMMYFUNCTION("""COMPUTED_VALUE"""),"Liam Alarcon Rodriguez")</f>
        <v>Liam Alarcon Rodriguez</v>
      </c>
      <c r="Q4333" s="6" t="str">
        <f>IFERROR(__xludf.DUMMYFUNCTION("""COMPUTED_VALUE"""),"L1")</f>
        <v>L1</v>
      </c>
      <c r="R4333" s="6">
        <f>IFERROR(__xludf.DUMMYFUNCTION("""COMPUTED_VALUE"""),1.0)</f>
        <v>1</v>
      </c>
      <c r="S4333" s="6" t="str">
        <f>IFERROR(__xludf.DUMMYFUNCTION("""COMPUTED_VALUE""")," ")</f>
        <v> </v>
      </c>
      <c r="T4333" s="6" t="str">
        <f>IFERROR(__xludf.DUMMYFUNCTION("""COMPUTED_VALUE"""),"")</f>
        <v/>
      </c>
      <c r="U4333" s="6" t="str">
        <f>IFERROR(__xludf.DUMMYFUNCTION("""COMPUTED_VALUE"""),"2")</f>
        <v>2</v>
      </c>
      <c r="V4333" s="6" t="str">
        <f>IFERROR(__xludf.DUMMYFUNCTION("""COMPUTED_VALUE"""),"")</f>
        <v/>
      </c>
      <c r="W4333" s="6" t="str">
        <f>IFERROR(__xludf.DUMMYFUNCTION("""COMPUTED_VALUE"""),"[]")</f>
        <v>[]</v>
      </c>
      <c r="X4333" s="6" t="str">
        <f>IFERROR(__xludf.DUMMYFUNCTION("""COMPUTED_VALUE"""),"Enrolled")</f>
        <v>Enrolled</v>
      </c>
    </row>
    <row r="4334">
      <c r="A4334" s="6" t="str">
        <f>IFERROR(__xludf.DUMMYFUNCTION("""COMPUTED_VALUE"""),"083-11621")</f>
        <v>083-11621</v>
      </c>
      <c r="B4334" s="6" t="str">
        <f>IFERROR(__xludf.DUMMYFUNCTION("""COMPUTED_VALUE"""),"83")</f>
        <v>83</v>
      </c>
      <c r="C4334" s="6" t="str">
        <f>IFERROR(__xludf.DUMMYFUNCTION("""COMPUTED_VALUE"""),"11621")</f>
        <v>11621</v>
      </c>
      <c r="D4334" s="6" t="str">
        <f>IFERROR(__xludf.DUMMYFUNCTION("""COMPUTED_VALUE"""),"Kamarion")</f>
        <v>Kamarion</v>
      </c>
      <c r="E4334" s="6" t="str">
        <f>IFERROR(__xludf.DUMMYFUNCTION("""COMPUTED_VALUE"""),"")</f>
        <v/>
      </c>
      <c r="F4334" s="6" t="str">
        <f>IFERROR(__xludf.DUMMYFUNCTION("""COMPUTED_VALUE"""),"Chaneyfield")</f>
        <v>Chaneyfield</v>
      </c>
      <c r="G4334" s="6" t="str">
        <f>IFERROR(__xludf.DUMMYFUNCTION("""COMPUTED_VALUE"""),"01/02/2018")</f>
        <v>01/02/2018</v>
      </c>
      <c r="H4334" s="6" t="str">
        <f>IFERROR(__xludf.DUMMYFUNCTION("""COMPUTED_VALUE"""),"male")</f>
        <v>male</v>
      </c>
      <c r="I4334" s="6" t="str">
        <f>IFERROR(__xludf.DUMMYFUNCTION("""COMPUTED_VALUE"""),"Level 1")</f>
        <v>Level 1</v>
      </c>
      <c r="J4334" s="6" t="str">
        <f>IFERROR(__xludf.DUMMYFUNCTION("""COMPUTED_VALUE"""),"2")</f>
        <v>2</v>
      </c>
      <c r="K4334" s="6" t="str">
        <f>IFERROR(__xludf.DUMMYFUNCTION("""COMPUTED_VALUE"""),"kamarion.chaneyfield@2hourlearning.com")</f>
        <v>kamarion.chaneyfield@2hourlearning.com</v>
      </c>
      <c r="L4334" s="6" t="str">
        <f>IFERROR(__xludf.DUMMYFUNCTION("""COMPUTED_VALUE"""),"JHES - Hardeeville Elementary School")</f>
        <v>JHES - Hardeeville Elementary School</v>
      </c>
      <c r="M4334" s="6" t="str">
        <f>IFERROR(__xludf.DUMMYFUNCTION("""COMPUTED_VALUE"""),"")</f>
        <v/>
      </c>
      <c r="N4334" s="6" t="str">
        <f>IFERROR(__xludf.DUMMYFUNCTION("""COMPUTED_VALUE"""),"")</f>
        <v/>
      </c>
      <c r="O4334" s="87" t="str">
        <f>IFERROR(__xludf.DUMMYFUNCTION("""COMPUTED_VALUE"""),"https://drive.google.com/drive/folders/10T2cTQHqEJZqE-st6uFKPoI?usp=share_link")</f>
        <v>https://drive.google.com/drive/folders/10T2cTQHqEJZqE-st6uFKPoI?usp=share_link</v>
      </c>
      <c r="P4334" s="6" t="str">
        <f>IFERROR(__xludf.DUMMYFUNCTION("""COMPUTED_VALUE"""),"Kamarion Chaneyfield")</f>
        <v>Kamarion Chaneyfield</v>
      </c>
      <c r="Q4334" s="6" t="str">
        <f>IFERROR(__xludf.DUMMYFUNCTION("""COMPUTED_VALUE"""),"L1")</f>
        <v>L1</v>
      </c>
      <c r="R4334" s="6">
        <f>IFERROR(__xludf.DUMMYFUNCTION("""COMPUTED_VALUE"""),1.0)</f>
        <v>1</v>
      </c>
      <c r="S4334" s="6" t="str">
        <f>IFERROR(__xludf.DUMMYFUNCTION("""COMPUTED_VALUE""")," ")</f>
        <v> </v>
      </c>
      <c r="T4334" s="6" t="str">
        <f>IFERROR(__xludf.DUMMYFUNCTION("""COMPUTED_VALUE"""),"")</f>
        <v/>
      </c>
      <c r="U4334" s="6" t="str">
        <f>IFERROR(__xludf.DUMMYFUNCTION("""COMPUTED_VALUE"""),"2")</f>
        <v>2</v>
      </c>
      <c r="V4334" s="6" t="str">
        <f>IFERROR(__xludf.DUMMYFUNCTION("""COMPUTED_VALUE"""),"")</f>
        <v/>
      </c>
      <c r="W4334" s="6" t="str">
        <f>IFERROR(__xludf.DUMMYFUNCTION("""COMPUTED_VALUE"""),"[]")</f>
        <v>[]</v>
      </c>
      <c r="X4334" s="6" t="str">
        <f>IFERROR(__xludf.DUMMYFUNCTION("""COMPUTED_VALUE"""),"Enrolled")</f>
        <v>Enrolled</v>
      </c>
    </row>
    <row r="4335">
      <c r="A4335" s="6" t="str">
        <f>IFERROR(__xludf.DUMMYFUNCTION("""COMPUTED_VALUE"""),"083-11622")</f>
        <v>083-11622</v>
      </c>
      <c r="B4335" s="6" t="str">
        <f>IFERROR(__xludf.DUMMYFUNCTION("""COMPUTED_VALUE"""),"83")</f>
        <v>83</v>
      </c>
      <c r="C4335" s="6" t="str">
        <f>IFERROR(__xludf.DUMMYFUNCTION("""COMPUTED_VALUE"""),"11622")</f>
        <v>11622</v>
      </c>
      <c r="D4335" s="6" t="str">
        <f>IFERROR(__xludf.DUMMYFUNCTION("""COMPUTED_VALUE"""),"Kimberly")</f>
        <v>Kimberly</v>
      </c>
      <c r="E4335" s="6" t="str">
        <f>IFERROR(__xludf.DUMMYFUNCTION("""COMPUTED_VALUE"""),"")</f>
        <v/>
      </c>
      <c r="F4335" s="6" t="str">
        <f>IFERROR(__xludf.DUMMYFUNCTION("""COMPUTED_VALUE"""),"Cruz Mencia")</f>
        <v>Cruz Mencia</v>
      </c>
      <c r="G4335" s="6" t="str">
        <f>IFERROR(__xludf.DUMMYFUNCTION("""COMPUTED_VALUE"""),"06/06/2018")</f>
        <v>06/06/2018</v>
      </c>
      <c r="H4335" s="6" t="str">
        <f>IFERROR(__xludf.DUMMYFUNCTION("""COMPUTED_VALUE"""),"female")</f>
        <v>female</v>
      </c>
      <c r="I4335" s="6" t="str">
        <f>IFERROR(__xludf.DUMMYFUNCTION("""COMPUTED_VALUE"""),"Level 1")</f>
        <v>Level 1</v>
      </c>
      <c r="J4335" s="6" t="str">
        <f>IFERROR(__xludf.DUMMYFUNCTION("""COMPUTED_VALUE"""),"2")</f>
        <v>2</v>
      </c>
      <c r="K4335" s="6" t="str">
        <f>IFERROR(__xludf.DUMMYFUNCTION("""COMPUTED_VALUE"""),"kimberly.cruzmencia@2hourlearning.com")</f>
        <v>kimberly.cruzmencia@2hourlearning.com</v>
      </c>
      <c r="L4335" s="6" t="str">
        <f>IFERROR(__xludf.DUMMYFUNCTION("""COMPUTED_VALUE"""),"JHES - Hardeeville Elementary School")</f>
        <v>JHES - Hardeeville Elementary School</v>
      </c>
      <c r="M4335" s="6" t="str">
        <f>IFERROR(__xludf.DUMMYFUNCTION("""COMPUTED_VALUE"""),"")</f>
        <v/>
      </c>
      <c r="N4335" s="6" t="str">
        <f>IFERROR(__xludf.DUMMYFUNCTION("""COMPUTED_VALUE"""),"")</f>
        <v/>
      </c>
      <c r="O4335" s="87" t="str">
        <f>IFERROR(__xludf.DUMMYFUNCTION("""COMPUTED_VALUE"""),"https://drive.google.com/drive/folders/10T2cTQHqEJZqE-st6uFKPoI?usp=share_link")</f>
        <v>https://drive.google.com/drive/folders/10T2cTQHqEJZqE-st6uFKPoI?usp=share_link</v>
      </c>
      <c r="P4335" s="6" t="str">
        <f>IFERROR(__xludf.DUMMYFUNCTION("""COMPUTED_VALUE"""),"Kimberly Cruz Mencia")</f>
        <v>Kimberly Cruz Mencia</v>
      </c>
      <c r="Q4335" s="6" t="str">
        <f>IFERROR(__xludf.DUMMYFUNCTION("""COMPUTED_VALUE"""),"L1")</f>
        <v>L1</v>
      </c>
      <c r="R4335" s="6">
        <f>IFERROR(__xludf.DUMMYFUNCTION("""COMPUTED_VALUE"""),1.0)</f>
        <v>1</v>
      </c>
      <c r="S4335" s="6" t="str">
        <f>IFERROR(__xludf.DUMMYFUNCTION("""COMPUTED_VALUE""")," ")</f>
        <v> </v>
      </c>
      <c r="T4335" s="6" t="str">
        <f>IFERROR(__xludf.DUMMYFUNCTION("""COMPUTED_VALUE"""),"")</f>
        <v/>
      </c>
      <c r="U4335" s="6" t="str">
        <f>IFERROR(__xludf.DUMMYFUNCTION("""COMPUTED_VALUE"""),"2")</f>
        <v>2</v>
      </c>
      <c r="V4335" s="6" t="str">
        <f>IFERROR(__xludf.DUMMYFUNCTION("""COMPUTED_VALUE"""),"")</f>
        <v/>
      </c>
      <c r="W4335" s="6" t="str">
        <f>IFERROR(__xludf.DUMMYFUNCTION("""COMPUTED_VALUE"""),"[]")</f>
        <v>[]</v>
      </c>
      <c r="X4335" s="6" t="str">
        <f>IFERROR(__xludf.DUMMYFUNCTION("""COMPUTED_VALUE"""),"Enrolled")</f>
        <v>Enrolled</v>
      </c>
    </row>
    <row r="4336">
      <c r="A4336" s="6" t="str">
        <f>IFERROR(__xludf.DUMMYFUNCTION("""COMPUTED_VALUE"""),"083-11623")</f>
        <v>083-11623</v>
      </c>
      <c r="B4336" s="6" t="str">
        <f>IFERROR(__xludf.DUMMYFUNCTION("""COMPUTED_VALUE"""),"83")</f>
        <v>83</v>
      </c>
      <c r="C4336" s="6" t="str">
        <f>IFERROR(__xludf.DUMMYFUNCTION("""COMPUTED_VALUE"""),"11623")</f>
        <v>11623</v>
      </c>
      <c r="D4336" s="6" t="str">
        <f>IFERROR(__xludf.DUMMYFUNCTION("""COMPUTED_VALUE"""),"Alex")</f>
        <v>Alex</v>
      </c>
      <c r="E4336" s="6" t="str">
        <f>IFERROR(__xludf.DUMMYFUNCTION("""COMPUTED_VALUE"""),"")</f>
        <v/>
      </c>
      <c r="F4336" s="6" t="str">
        <f>IFERROR(__xludf.DUMMYFUNCTION("""COMPUTED_VALUE"""),"Diaz Morales")</f>
        <v>Diaz Morales</v>
      </c>
      <c r="G4336" s="6" t="str">
        <f>IFERROR(__xludf.DUMMYFUNCTION("""COMPUTED_VALUE"""),"09/05/2017")</f>
        <v>09/05/2017</v>
      </c>
      <c r="H4336" s="6" t="str">
        <f>IFERROR(__xludf.DUMMYFUNCTION("""COMPUTED_VALUE"""),"male")</f>
        <v>male</v>
      </c>
      <c r="I4336" s="6" t="str">
        <f>IFERROR(__xludf.DUMMYFUNCTION("""COMPUTED_VALUE"""),"Level 1")</f>
        <v>Level 1</v>
      </c>
      <c r="J4336" s="6" t="str">
        <f>IFERROR(__xludf.DUMMYFUNCTION("""COMPUTED_VALUE"""),"2")</f>
        <v>2</v>
      </c>
      <c r="K4336" s="6" t="str">
        <f>IFERROR(__xludf.DUMMYFUNCTION("""COMPUTED_VALUE"""),"alex.diazmorales@2hourlearning.com")</f>
        <v>alex.diazmorales@2hourlearning.com</v>
      </c>
      <c r="L4336" s="6" t="str">
        <f>IFERROR(__xludf.DUMMYFUNCTION("""COMPUTED_VALUE"""),"JHES - Hardeeville Elementary School")</f>
        <v>JHES - Hardeeville Elementary School</v>
      </c>
      <c r="M4336" s="6" t="str">
        <f>IFERROR(__xludf.DUMMYFUNCTION("""COMPUTED_VALUE"""),"")</f>
        <v/>
      </c>
      <c r="N4336" s="6" t="str">
        <f>IFERROR(__xludf.DUMMYFUNCTION("""COMPUTED_VALUE"""),"")</f>
        <v/>
      </c>
      <c r="O4336" s="87" t="str">
        <f>IFERROR(__xludf.DUMMYFUNCTION("""COMPUTED_VALUE"""),"https://drive.google.com/drive/folders/10T2cTQHqEJZqE-st6uFKPoI?usp=share_link")</f>
        <v>https://drive.google.com/drive/folders/10T2cTQHqEJZqE-st6uFKPoI?usp=share_link</v>
      </c>
      <c r="P4336" s="6" t="str">
        <f>IFERROR(__xludf.DUMMYFUNCTION("""COMPUTED_VALUE"""),"Alex Diaz Morales")</f>
        <v>Alex Diaz Morales</v>
      </c>
      <c r="Q4336" s="6" t="str">
        <f>IFERROR(__xludf.DUMMYFUNCTION("""COMPUTED_VALUE"""),"L1")</f>
        <v>L1</v>
      </c>
      <c r="R4336" s="6">
        <f>IFERROR(__xludf.DUMMYFUNCTION("""COMPUTED_VALUE"""),1.0)</f>
        <v>1</v>
      </c>
      <c r="S4336" s="6" t="str">
        <f>IFERROR(__xludf.DUMMYFUNCTION("""COMPUTED_VALUE""")," ")</f>
        <v> </v>
      </c>
      <c r="T4336" s="6" t="str">
        <f>IFERROR(__xludf.DUMMYFUNCTION("""COMPUTED_VALUE"""),"")</f>
        <v/>
      </c>
      <c r="U4336" s="6" t="str">
        <f>IFERROR(__xludf.DUMMYFUNCTION("""COMPUTED_VALUE"""),"2")</f>
        <v>2</v>
      </c>
      <c r="V4336" s="6" t="str">
        <f>IFERROR(__xludf.DUMMYFUNCTION("""COMPUTED_VALUE"""),"")</f>
        <v/>
      </c>
      <c r="W4336" s="6" t="str">
        <f>IFERROR(__xludf.DUMMYFUNCTION("""COMPUTED_VALUE"""),"[]")</f>
        <v>[]</v>
      </c>
      <c r="X4336" s="6" t="str">
        <f>IFERROR(__xludf.DUMMYFUNCTION("""COMPUTED_VALUE"""),"Enrolled")</f>
        <v>Enrolled</v>
      </c>
    </row>
    <row r="4337">
      <c r="A4337" s="6" t="str">
        <f>IFERROR(__xludf.DUMMYFUNCTION("""COMPUTED_VALUE"""),"083-11624")</f>
        <v>083-11624</v>
      </c>
      <c r="B4337" s="6" t="str">
        <f>IFERROR(__xludf.DUMMYFUNCTION("""COMPUTED_VALUE"""),"83")</f>
        <v>83</v>
      </c>
      <c r="C4337" s="6" t="str">
        <f>IFERROR(__xludf.DUMMYFUNCTION("""COMPUTED_VALUE"""),"11624")</f>
        <v>11624</v>
      </c>
      <c r="D4337" s="6" t="str">
        <f>IFERROR(__xludf.DUMMYFUNCTION("""COMPUTED_VALUE"""),"Brayan")</f>
        <v>Brayan</v>
      </c>
      <c r="E4337" s="6" t="str">
        <f>IFERROR(__xludf.DUMMYFUNCTION("""COMPUTED_VALUE"""),"")</f>
        <v/>
      </c>
      <c r="F4337" s="6" t="str">
        <f>IFERROR(__xludf.DUMMYFUNCTION("""COMPUTED_VALUE"""),"Estrella Correa")</f>
        <v>Estrella Correa</v>
      </c>
      <c r="G4337" s="6" t="str">
        <f>IFERROR(__xludf.DUMMYFUNCTION("""COMPUTED_VALUE"""),"03/20/2018")</f>
        <v>03/20/2018</v>
      </c>
      <c r="H4337" s="6" t="str">
        <f>IFERROR(__xludf.DUMMYFUNCTION("""COMPUTED_VALUE"""),"male")</f>
        <v>male</v>
      </c>
      <c r="I4337" s="6" t="str">
        <f>IFERROR(__xludf.DUMMYFUNCTION("""COMPUTED_VALUE"""),"Level 1")</f>
        <v>Level 1</v>
      </c>
      <c r="J4337" s="6" t="str">
        <f>IFERROR(__xludf.DUMMYFUNCTION("""COMPUTED_VALUE"""),"2")</f>
        <v>2</v>
      </c>
      <c r="K4337" s="6" t="str">
        <f>IFERROR(__xludf.DUMMYFUNCTION("""COMPUTED_VALUE"""),"brayan.estrellacorrea@2hourlearning.com")</f>
        <v>brayan.estrellacorrea@2hourlearning.com</v>
      </c>
      <c r="L4337" s="6" t="str">
        <f>IFERROR(__xludf.DUMMYFUNCTION("""COMPUTED_VALUE"""),"JHES - Hardeeville Elementary School")</f>
        <v>JHES - Hardeeville Elementary School</v>
      </c>
      <c r="M4337" s="6" t="str">
        <f>IFERROR(__xludf.DUMMYFUNCTION("""COMPUTED_VALUE"""),"")</f>
        <v/>
      </c>
      <c r="N4337" s="6" t="str">
        <f>IFERROR(__xludf.DUMMYFUNCTION("""COMPUTED_VALUE"""),"")</f>
        <v/>
      </c>
      <c r="O4337" s="87" t="str">
        <f>IFERROR(__xludf.DUMMYFUNCTION("""COMPUTED_VALUE"""),"https://drive.google.com/drive/folders/10T2cTQHqEJZqE-st6uFKPoI?usp=share_link")</f>
        <v>https://drive.google.com/drive/folders/10T2cTQHqEJZqE-st6uFKPoI?usp=share_link</v>
      </c>
      <c r="P4337" s="6" t="str">
        <f>IFERROR(__xludf.DUMMYFUNCTION("""COMPUTED_VALUE"""),"Brayan Estrella Correa")</f>
        <v>Brayan Estrella Correa</v>
      </c>
      <c r="Q4337" s="6" t="str">
        <f>IFERROR(__xludf.DUMMYFUNCTION("""COMPUTED_VALUE"""),"L1")</f>
        <v>L1</v>
      </c>
      <c r="R4337" s="6">
        <f>IFERROR(__xludf.DUMMYFUNCTION("""COMPUTED_VALUE"""),1.0)</f>
        <v>1</v>
      </c>
      <c r="S4337" s="6" t="str">
        <f>IFERROR(__xludf.DUMMYFUNCTION("""COMPUTED_VALUE""")," ")</f>
        <v> </v>
      </c>
      <c r="T4337" s="6" t="str">
        <f>IFERROR(__xludf.DUMMYFUNCTION("""COMPUTED_VALUE"""),"")</f>
        <v/>
      </c>
      <c r="U4337" s="6" t="str">
        <f>IFERROR(__xludf.DUMMYFUNCTION("""COMPUTED_VALUE"""),"2")</f>
        <v>2</v>
      </c>
      <c r="V4337" s="6" t="str">
        <f>IFERROR(__xludf.DUMMYFUNCTION("""COMPUTED_VALUE"""),"")</f>
        <v/>
      </c>
      <c r="W4337" s="6" t="str">
        <f>IFERROR(__xludf.DUMMYFUNCTION("""COMPUTED_VALUE"""),"[]")</f>
        <v>[]</v>
      </c>
      <c r="X4337" s="6" t="str">
        <f>IFERROR(__xludf.DUMMYFUNCTION("""COMPUTED_VALUE"""),"Enrolled")</f>
        <v>Enrolled</v>
      </c>
    </row>
    <row r="4338">
      <c r="A4338" s="6" t="str">
        <f>IFERROR(__xludf.DUMMYFUNCTION("""COMPUTED_VALUE"""),"083-11625")</f>
        <v>083-11625</v>
      </c>
      <c r="B4338" s="6" t="str">
        <f>IFERROR(__xludf.DUMMYFUNCTION("""COMPUTED_VALUE"""),"83")</f>
        <v>83</v>
      </c>
      <c r="C4338" s="6" t="str">
        <f>IFERROR(__xludf.DUMMYFUNCTION("""COMPUTED_VALUE"""),"11625")</f>
        <v>11625</v>
      </c>
      <c r="D4338" s="6" t="str">
        <f>IFERROR(__xludf.DUMMYFUNCTION("""COMPUTED_VALUE"""),"Jazzel")</f>
        <v>Jazzel</v>
      </c>
      <c r="E4338" s="6" t="str">
        <f>IFERROR(__xludf.DUMMYFUNCTION("""COMPUTED_VALUE"""),"")</f>
        <v/>
      </c>
      <c r="F4338" s="6" t="str">
        <f>IFERROR(__xludf.DUMMYFUNCTION("""COMPUTED_VALUE"""),"Frazier")</f>
        <v>Frazier</v>
      </c>
      <c r="G4338" s="6" t="str">
        <f>IFERROR(__xludf.DUMMYFUNCTION("""COMPUTED_VALUE"""),"09/21/2017")</f>
        <v>09/21/2017</v>
      </c>
      <c r="H4338" s="6" t="str">
        <f>IFERROR(__xludf.DUMMYFUNCTION("""COMPUTED_VALUE"""),"female")</f>
        <v>female</v>
      </c>
      <c r="I4338" s="6" t="str">
        <f>IFERROR(__xludf.DUMMYFUNCTION("""COMPUTED_VALUE"""),"Level 1")</f>
        <v>Level 1</v>
      </c>
      <c r="J4338" s="6" t="str">
        <f>IFERROR(__xludf.DUMMYFUNCTION("""COMPUTED_VALUE"""),"2")</f>
        <v>2</v>
      </c>
      <c r="K4338" s="6" t="str">
        <f>IFERROR(__xludf.DUMMYFUNCTION("""COMPUTED_VALUE"""),"jazzel.frazier@2hourlearning.com")</f>
        <v>jazzel.frazier@2hourlearning.com</v>
      </c>
      <c r="L4338" s="6" t="str">
        <f>IFERROR(__xludf.DUMMYFUNCTION("""COMPUTED_VALUE"""),"JHES - Hardeeville Elementary School")</f>
        <v>JHES - Hardeeville Elementary School</v>
      </c>
      <c r="M4338" s="6" t="str">
        <f>IFERROR(__xludf.DUMMYFUNCTION("""COMPUTED_VALUE"""),"")</f>
        <v/>
      </c>
      <c r="N4338" s="6" t="str">
        <f>IFERROR(__xludf.DUMMYFUNCTION("""COMPUTED_VALUE"""),"")</f>
        <v/>
      </c>
      <c r="O4338" s="87" t="str">
        <f>IFERROR(__xludf.DUMMYFUNCTION("""COMPUTED_VALUE"""),"https://drive.google.com/drive/folders/10T2cTQHqEJZqE-st6uFKPoI?usp=share_link")</f>
        <v>https://drive.google.com/drive/folders/10T2cTQHqEJZqE-st6uFKPoI?usp=share_link</v>
      </c>
      <c r="P4338" s="6" t="str">
        <f>IFERROR(__xludf.DUMMYFUNCTION("""COMPUTED_VALUE"""),"Jazzel Frazier")</f>
        <v>Jazzel Frazier</v>
      </c>
      <c r="Q4338" s="6" t="str">
        <f>IFERROR(__xludf.DUMMYFUNCTION("""COMPUTED_VALUE"""),"L1")</f>
        <v>L1</v>
      </c>
      <c r="R4338" s="6">
        <f>IFERROR(__xludf.DUMMYFUNCTION("""COMPUTED_VALUE"""),1.0)</f>
        <v>1</v>
      </c>
      <c r="S4338" s="6" t="str">
        <f>IFERROR(__xludf.DUMMYFUNCTION("""COMPUTED_VALUE""")," ")</f>
        <v> </v>
      </c>
      <c r="T4338" s="6" t="str">
        <f>IFERROR(__xludf.DUMMYFUNCTION("""COMPUTED_VALUE"""),"")</f>
        <v/>
      </c>
      <c r="U4338" s="6" t="str">
        <f>IFERROR(__xludf.DUMMYFUNCTION("""COMPUTED_VALUE"""),"2")</f>
        <v>2</v>
      </c>
      <c r="V4338" s="6" t="str">
        <f>IFERROR(__xludf.DUMMYFUNCTION("""COMPUTED_VALUE"""),"")</f>
        <v/>
      </c>
      <c r="W4338" s="6" t="str">
        <f>IFERROR(__xludf.DUMMYFUNCTION("""COMPUTED_VALUE"""),"[]")</f>
        <v>[]</v>
      </c>
      <c r="X4338" s="6" t="str">
        <f>IFERROR(__xludf.DUMMYFUNCTION("""COMPUTED_VALUE"""),"Enrolled")</f>
        <v>Enrolled</v>
      </c>
    </row>
    <row r="4339">
      <c r="A4339" s="6" t="str">
        <f>IFERROR(__xludf.DUMMYFUNCTION("""COMPUTED_VALUE"""),"083-11626")</f>
        <v>083-11626</v>
      </c>
      <c r="B4339" s="6" t="str">
        <f>IFERROR(__xludf.DUMMYFUNCTION("""COMPUTED_VALUE"""),"83")</f>
        <v>83</v>
      </c>
      <c r="C4339" s="6" t="str">
        <f>IFERROR(__xludf.DUMMYFUNCTION("""COMPUTED_VALUE"""),"11626")</f>
        <v>11626</v>
      </c>
      <c r="D4339" s="6" t="str">
        <f>IFERROR(__xludf.DUMMYFUNCTION("""COMPUTED_VALUE"""),"Elizabeth")</f>
        <v>Elizabeth</v>
      </c>
      <c r="E4339" s="6" t="str">
        <f>IFERROR(__xludf.DUMMYFUNCTION("""COMPUTED_VALUE"""),"")</f>
        <v/>
      </c>
      <c r="F4339" s="6" t="str">
        <f>IFERROR(__xludf.DUMMYFUNCTION("""COMPUTED_VALUE"""),"Garcia Brito")</f>
        <v>Garcia Brito</v>
      </c>
      <c r="G4339" s="6" t="str">
        <f>IFERROR(__xludf.DUMMYFUNCTION("""COMPUTED_VALUE"""),"10/16/2017")</f>
        <v>10/16/2017</v>
      </c>
      <c r="H4339" s="6" t="str">
        <f>IFERROR(__xludf.DUMMYFUNCTION("""COMPUTED_VALUE"""),"female")</f>
        <v>female</v>
      </c>
      <c r="I4339" s="6" t="str">
        <f>IFERROR(__xludf.DUMMYFUNCTION("""COMPUTED_VALUE"""),"Level 1")</f>
        <v>Level 1</v>
      </c>
      <c r="J4339" s="6" t="str">
        <f>IFERROR(__xludf.DUMMYFUNCTION("""COMPUTED_VALUE"""),"2")</f>
        <v>2</v>
      </c>
      <c r="K4339" s="6" t="str">
        <f>IFERROR(__xludf.DUMMYFUNCTION("""COMPUTED_VALUE"""),"elizabeth.garciabrito@2hourlearning.com")</f>
        <v>elizabeth.garciabrito@2hourlearning.com</v>
      </c>
      <c r="L4339" s="6" t="str">
        <f>IFERROR(__xludf.DUMMYFUNCTION("""COMPUTED_VALUE"""),"JHES - Hardeeville Elementary School")</f>
        <v>JHES - Hardeeville Elementary School</v>
      </c>
      <c r="M4339" s="6" t="str">
        <f>IFERROR(__xludf.DUMMYFUNCTION("""COMPUTED_VALUE"""),"")</f>
        <v/>
      </c>
      <c r="N4339" s="6" t="str">
        <f>IFERROR(__xludf.DUMMYFUNCTION("""COMPUTED_VALUE"""),"")</f>
        <v/>
      </c>
      <c r="O4339" s="87" t="str">
        <f>IFERROR(__xludf.DUMMYFUNCTION("""COMPUTED_VALUE"""),"https://drive.google.com/drive/folders/10T2cTQHqEJZqE-st6uFKPoI?usp=share_link")</f>
        <v>https://drive.google.com/drive/folders/10T2cTQHqEJZqE-st6uFKPoI?usp=share_link</v>
      </c>
      <c r="P4339" s="6" t="str">
        <f>IFERROR(__xludf.DUMMYFUNCTION("""COMPUTED_VALUE"""),"Elizabeth Garcia Brito")</f>
        <v>Elizabeth Garcia Brito</v>
      </c>
      <c r="Q4339" s="6" t="str">
        <f>IFERROR(__xludf.DUMMYFUNCTION("""COMPUTED_VALUE"""),"L1")</f>
        <v>L1</v>
      </c>
      <c r="R4339" s="6">
        <f>IFERROR(__xludf.DUMMYFUNCTION("""COMPUTED_VALUE"""),1.0)</f>
        <v>1</v>
      </c>
      <c r="S4339" s="6" t="str">
        <f>IFERROR(__xludf.DUMMYFUNCTION("""COMPUTED_VALUE""")," ")</f>
        <v> </v>
      </c>
      <c r="T4339" s="6" t="str">
        <f>IFERROR(__xludf.DUMMYFUNCTION("""COMPUTED_VALUE"""),"")</f>
        <v/>
      </c>
      <c r="U4339" s="6" t="str">
        <f>IFERROR(__xludf.DUMMYFUNCTION("""COMPUTED_VALUE"""),"2")</f>
        <v>2</v>
      </c>
      <c r="V4339" s="6" t="str">
        <f>IFERROR(__xludf.DUMMYFUNCTION("""COMPUTED_VALUE"""),"")</f>
        <v/>
      </c>
      <c r="W4339" s="6" t="str">
        <f>IFERROR(__xludf.DUMMYFUNCTION("""COMPUTED_VALUE"""),"[]")</f>
        <v>[]</v>
      </c>
      <c r="X4339" s="6" t="str">
        <f>IFERROR(__xludf.DUMMYFUNCTION("""COMPUTED_VALUE"""),"Enrolled")</f>
        <v>Enrolled</v>
      </c>
    </row>
    <row r="4340">
      <c r="A4340" s="6" t="str">
        <f>IFERROR(__xludf.DUMMYFUNCTION("""COMPUTED_VALUE"""),"083-11627")</f>
        <v>083-11627</v>
      </c>
      <c r="B4340" s="6" t="str">
        <f>IFERROR(__xludf.DUMMYFUNCTION("""COMPUTED_VALUE"""),"83")</f>
        <v>83</v>
      </c>
      <c r="C4340" s="6" t="str">
        <f>IFERROR(__xludf.DUMMYFUNCTION("""COMPUTED_VALUE"""),"11627")</f>
        <v>11627</v>
      </c>
      <c r="D4340" s="6" t="str">
        <f>IFERROR(__xludf.DUMMYFUNCTION("""COMPUTED_VALUE"""),"Genesis")</f>
        <v>Genesis</v>
      </c>
      <c r="E4340" s="6" t="str">
        <f>IFERROR(__xludf.DUMMYFUNCTION("""COMPUTED_VALUE"""),"")</f>
        <v/>
      </c>
      <c r="F4340" s="6" t="str">
        <f>IFERROR(__xludf.DUMMYFUNCTION("""COMPUTED_VALUE"""),"Guerra")</f>
        <v>Guerra</v>
      </c>
      <c r="G4340" s="6" t="str">
        <f>IFERROR(__xludf.DUMMYFUNCTION("""COMPUTED_VALUE"""),"12/23/2017")</f>
        <v>12/23/2017</v>
      </c>
      <c r="H4340" s="6" t="str">
        <f>IFERROR(__xludf.DUMMYFUNCTION("""COMPUTED_VALUE"""),"female")</f>
        <v>female</v>
      </c>
      <c r="I4340" s="6" t="str">
        <f>IFERROR(__xludf.DUMMYFUNCTION("""COMPUTED_VALUE"""),"Level 1")</f>
        <v>Level 1</v>
      </c>
      <c r="J4340" s="6" t="str">
        <f>IFERROR(__xludf.DUMMYFUNCTION("""COMPUTED_VALUE"""),"2")</f>
        <v>2</v>
      </c>
      <c r="K4340" s="6" t="str">
        <f>IFERROR(__xludf.DUMMYFUNCTION("""COMPUTED_VALUE"""),"genesis.guerra@2hourlearning.com")</f>
        <v>genesis.guerra@2hourlearning.com</v>
      </c>
      <c r="L4340" s="6" t="str">
        <f>IFERROR(__xludf.DUMMYFUNCTION("""COMPUTED_VALUE"""),"JHES - Hardeeville Elementary School")</f>
        <v>JHES - Hardeeville Elementary School</v>
      </c>
      <c r="M4340" s="6" t="str">
        <f>IFERROR(__xludf.DUMMYFUNCTION("""COMPUTED_VALUE"""),"")</f>
        <v/>
      </c>
      <c r="N4340" s="6" t="str">
        <f>IFERROR(__xludf.DUMMYFUNCTION("""COMPUTED_VALUE"""),"")</f>
        <v/>
      </c>
      <c r="O4340" s="87" t="str">
        <f>IFERROR(__xludf.DUMMYFUNCTION("""COMPUTED_VALUE"""),"https://drive.google.com/drive/folders/10T2cTQHqEJZqE-st6uFKPoI?usp=share_link")</f>
        <v>https://drive.google.com/drive/folders/10T2cTQHqEJZqE-st6uFKPoI?usp=share_link</v>
      </c>
      <c r="P4340" s="6" t="str">
        <f>IFERROR(__xludf.DUMMYFUNCTION("""COMPUTED_VALUE"""),"Genesis Guerra")</f>
        <v>Genesis Guerra</v>
      </c>
      <c r="Q4340" s="6" t="str">
        <f>IFERROR(__xludf.DUMMYFUNCTION("""COMPUTED_VALUE"""),"L1")</f>
        <v>L1</v>
      </c>
      <c r="R4340" s="6">
        <f>IFERROR(__xludf.DUMMYFUNCTION("""COMPUTED_VALUE"""),1.0)</f>
        <v>1</v>
      </c>
      <c r="S4340" s="6" t="str">
        <f>IFERROR(__xludf.DUMMYFUNCTION("""COMPUTED_VALUE""")," ")</f>
        <v> </v>
      </c>
      <c r="T4340" s="6" t="str">
        <f>IFERROR(__xludf.DUMMYFUNCTION("""COMPUTED_VALUE"""),"")</f>
        <v/>
      </c>
      <c r="U4340" s="6" t="str">
        <f>IFERROR(__xludf.DUMMYFUNCTION("""COMPUTED_VALUE"""),"2")</f>
        <v>2</v>
      </c>
      <c r="V4340" s="6" t="str">
        <f>IFERROR(__xludf.DUMMYFUNCTION("""COMPUTED_VALUE"""),"")</f>
        <v/>
      </c>
      <c r="W4340" s="6" t="str">
        <f>IFERROR(__xludf.DUMMYFUNCTION("""COMPUTED_VALUE"""),"[]")</f>
        <v>[]</v>
      </c>
      <c r="X4340" s="6" t="str">
        <f>IFERROR(__xludf.DUMMYFUNCTION("""COMPUTED_VALUE"""),"Enrolled")</f>
        <v>Enrolled</v>
      </c>
    </row>
    <row r="4341">
      <c r="A4341" s="6" t="str">
        <f>IFERROR(__xludf.DUMMYFUNCTION("""COMPUTED_VALUE"""),"083-11628")</f>
        <v>083-11628</v>
      </c>
      <c r="B4341" s="6" t="str">
        <f>IFERROR(__xludf.DUMMYFUNCTION("""COMPUTED_VALUE"""),"83")</f>
        <v>83</v>
      </c>
      <c r="C4341" s="6" t="str">
        <f>IFERROR(__xludf.DUMMYFUNCTION("""COMPUTED_VALUE"""),"11628")</f>
        <v>11628</v>
      </c>
      <c r="D4341" s="6" t="str">
        <f>IFERROR(__xludf.DUMMYFUNCTION("""COMPUTED_VALUE"""),"Kamila")</f>
        <v>Kamila</v>
      </c>
      <c r="E4341" s="6" t="str">
        <f>IFERROR(__xludf.DUMMYFUNCTION("""COMPUTED_VALUE"""),"")</f>
        <v/>
      </c>
      <c r="F4341" s="6" t="str">
        <f>IFERROR(__xludf.DUMMYFUNCTION("""COMPUTED_VALUE"""),"Guerra")</f>
        <v>Guerra</v>
      </c>
      <c r="G4341" s="6" t="str">
        <f>IFERROR(__xludf.DUMMYFUNCTION("""COMPUTED_VALUE"""),"04/13/2018")</f>
        <v>04/13/2018</v>
      </c>
      <c r="H4341" s="6" t="str">
        <f>IFERROR(__xludf.DUMMYFUNCTION("""COMPUTED_VALUE"""),"female")</f>
        <v>female</v>
      </c>
      <c r="I4341" s="6" t="str">
        <f>IFERROR(__xludf.DUMMYFUNCTION("""COMPUTED_VALUE"""),"Level 1")</f>
        <v>Level 1</v>
      </c>
      <c r="J4341" s="6" t="str">
        <f>IFERROR(__xludf.DUMMYFUNCTION("""COMPUTED_VALUE"""),"2")</f>
        <v>2</v>
      </c>
      <c r="K4341" s="6" t="str">
        <f>IFERROR(__xludf.DUMMYFUNCTION("""COMPUTED_VALUE"""),"kamila.guerra@2hourlearning.com")</f>
        <v>kamila.guerra@2hourlearning.com</v>
      </c>
      <c r="L4341" s="6" t="str">
        <f>IFERROR(__xludf.DUMMYFUNCTION("""COMPUTED_VALUE"""),"JHES - Hardeeville Elementary School")</f>
        <v>JHES - Hardeeville Elementary School</v>
      </c>
      <c r="M4341" s="6" t="str">
        <f>IFERROR(__xludf.DUMMYFUNCTION("""COMPUTED_VALUE"""),"")</f>
        <v/>
      </c>
      <c r="N4341" s="6" t="str">
        <f>IFERROR(__xludf.DUMMYFUNCTION("""COMPUTED_VALUE"""),"")</f>
        <v/>
      </c>
      <c r="O4341" s="87" t="str">
        <f>IFERROR(__xludf.DUMMYFUNCTION("""COMPUTED_VALUE"""),"https://drive.google.com/drive/folders/10T2cTQHqEJZqE-st6uFKPoI?usp=share_link")</f>
        <v>https://drive.google.com/drive/folders/10T2cTQHqEJZqE-st6uFKPoI?usp=share_link</v>
      </c>
      <c r="P4341" s="6" t="str">
        <f>IFERROR(__xludf.DUMMYFUNCTION("""COMPUTED_VALUE"""),"Kamila Guerra")</f>
        <v>Kamila Guerra</v>
      </c>
      <c r="Q4341" s="6" t="str">
        <f>IFERROR(__xludf.DUMMYFUNCTION("""COMPUTED_VALUE"""),"L1")</f>
        <v>L1</v>
      </c>
      <c r="R4341" s="6">
        <f>IFERROR(__xludf.DUMMYFUNCTION("""COMPUTED_VALUE"""),1.0)</f>
        <v>1</v>
      </c>
      <c r="S4341" s="6" t="str">
        <f>IFERROR(__xludf.DUMMYFUNCTION("""COMPUTED_VALUE""")," ")</f>
        <v> </v>
      </c>
      <c r="T4341" s="6" t="str">
        <f>IFERROR(__xludf.DUMMYFUNCTION("""COMPUTED_VALUE"""),"")</f>
        <v/>
      </c>
      <c r="U4341" s="6" t="str">
        <f>IFERROR(__xludf.DUMMYFUNCTION("""COMPUTED_VALUE"""),"2")</f>
        <v>2</v>
      </c>
      <c r="V4341" s="6" t="str">
        <f>IFERROR(__xludf.DUMMYFUNCTION("""COMPUTED_VALUE"""),"")</f>
        <v/>
      </c>
      <c r="W4341" s="6" t="str">
        <f>IFERROR(__xludf.DUMMYFUNCTION("""COMPUTED_VALUE"""),"[]")</f>
        <v>[]</v>
      </c>
      <c r="X4341" s="6" t="str">
        <f>IFERROR(__xludf.DUMMYFUNCTION("""COMPUTED_VALUE"""),"Enrolled")</f>
        <v>Enrolled</v>
      </c>
    </row>
    <row r="4342">
      <c r="A4342" s="6" t="str">
        <f>IFERROR(__xludf.DUMMYFUNCTION("""COMPUTED_VALUE"""),"083-11629")</f>
        <v>083-11629</v>
      </c>
      <c r="B4342" s="6" t="str">
        <f>IFERROR(__xludf.DUMMYFUNCTION("""COMPUTED_VALUE"""),"83")</f>
        <v>83</v>
      </c>
      <c r="C4342" s="6" t="str">
        <f>IFERROR(__xludf.DUMMYFUNCTION("""COMPUTED_VALUE"""),"11629")</f>
        <v>11629</v>
      </c>
      <c r="D4342" s="6" t="str">
        <f>IFERROR(__xludf.DUMMYFUNCTION("""COMPUTED_VALUE"""),"Noel")</f>
        <v>Noel</v>
      </c>
      <c r="E4342" s="6" t="str">
        <f>IFERROR(__xludf.DUMMYFUNCTION("""COMPUTED_VALUE"""),"")</f>
        <v/>
      </c>
      <c r="F4342" s="6" t="str">
        <f>IFERROR(__xludf.DUMMYFUNCTION("""COMPUTED_VALUE"""),"Guzman Gomez")</f>
        <v>Guzman Gomez</v>
      </c>
      <c r="G4342" s="6" t="str">
        <f>IFERROR(__xludf.DUMMYFUNCTION("""COMPUTED_VALUE"""),"12/24/2017")</f>
        <v>12/24/2017</v>
      </c>
      <c r="H4342" s="6" t="str">
        <f>IFERROR(__xludf.DUMMYFUNCTION("""COMPUTED_VALUE"""),"male")</f>
        <v>male</v>
      </c>
      <c r="I4342" s="6" t="str">
        <f>IFERROR(__xludf.DUMMYFUNCTION("""COMPUTED_VALUE"""),"Level 1")</f>
        <v>Level 1</v>
      </c>
      <c r="J4342" s="6" t="str">
        <f>IFERROR(__xludf.DUMMYFUNCTION("""COMPUTED_VALUE"""),"2")</f>
        <v>2</v>
      </c>
      <c r="K4342" s="6" t="str">
        <f>IFERROR(__xludf.DUMMYFUNCTION("""COMPUTED_VALUE"""),"noel.guzmangomez@2hourlearning.com")</f>
        <v>noel.guzmangomez@2hourlearning.com</v>
      </c>
      <c r="L4342" s="6" t="str">
        <f>IFERROR(__xludf.DUMMYFUNCTION("""COMPUTED_VALUE"""),"JHES - Hardeeville Elementary School")</f>
        <v>JHES - Hardeeville Elementary School</v>
      </c>
      <c r="M4342" s="6" t="str">
        <f>IFERROR(__xludf.DUMMYFUNCTION("""COMPUTED_VALUE"""),"")</f>
        <v/>
      </c>
      <c r="N4342" s="6" t="str">
        <f>IFERROR(__xludf.DUMMYFUNCTION("""COMPUTED_VALUE"""),"")</f>
        <v/>
      </c>
      <c r="O4342" s="87" t="str">
        <f>IFERROR(__xludf.DUMMYFUNCTION("""COMPUTED_VALUE"""),"https://drive.google.com/drive/folders/10T2cTQHqEJZqE-st6uFKPoI?usp=share_link")</f>
        <v>https://drive.google.com/drive/folders/10T2cTQHqEJZqE-st6uFKPoI?usp=share_link</v>
      </c>
      <c r="P4342" s="6" t="str">
        <f>IFERROR(__xludf.DUMMYFUNCTION("""COMPUTED_VALUE"""),"Noel Guzman Gomez")</f>
        <v>Noel Guzman Gomez</v>
      </c>
      <c r="Q4342" s="6" t="str">
        <f>IFERROR(__xludf.DUMMYFUNCTION("""COMPUTED_VALUE"""),"L1")</f>
        <v>L1</v>
      </c>
      <c r="R4342" s="6">
        <f>IFERROR(__xludf.DUMMYFUNCTION("""COMPUTED_VALUE"""),1.0)</f>
        <v>1</v>
      </c>
      <c r="S4342" s="6" t="str">
        <f>IFERROR(__xludf.DUMMYFUNCTION("""COMPUTED_VALUE""")," ")</f>
        <v> </v>
      </c>
      <c r="T4342" s="6" t="str">
        <f>IFERROR(__xludf.DUMMYFUNCTION("""COMPUTED_VALUE"""),"")</f>
        <v/>
      </c>
      <c r="U4342" s="6" t="str">
        <f>IFERROR(__xludf.DUMMYFUNCTION("""COMPUTED_VALUE"""),"2")</f>
        <v>2</v>
      </c>
      <c r="V4342" s="6" t="str">
        <f>IFERROR(__xludf.DUMMYFUNCTION("""COMPUTED_VALUE"""),"")</f>
        <v/>
      </c>
      <c r="W4342" s="6" t="str">
        <f>IFERROR(__xludf.DUMMYFUNCTION("""COMPUTED_VALUE"""),"[]")</f>
        <v>[]</v>
      </c>
      <c r="X4342" s="6" t="str">
        <f>IFERROR(__xludf.DUMMYFUNCTION("""COMPUTED_VALUE"""),"Enrolled")</f>
        <v>Enrolled</v>
      </c>
    </row>
    <row r="4343">
      <c r="A4343" s="6" t="str">
        <f>IFERROR(__xludf.DUMMYFUNCTION("""COMPUTED_VALUE"""),"083-11630")</f>
        <v>083-11630</v>
      </c>
      <c r="B4343" s="6" t="str">
        <f>IFERROR(__xludf.DUMMYFUNCTION("""COMPUTED_VALUE"""),"83")</f>
        <v>83</v>
      </c>
      <c r="C4343" s="6" t="str">
        <f>IFERROR(__xludf.DUMMYFUNCTION("""COMPUTED_VALUE"""),"11630")</f>
        <v>11630</v>
      </c>
      <c r="D4343" s="6" t="str">
        <f>IFERROR(__xludf.DUMMYFUNCTION("""COMPUTED_VALUE"""),"Tiffany N")</f>
        <v>Tiffany N</v>
      </c>
      <c r="E4343" s="6" t="str">
        <f>IFERROR(__xludf.DUMMYFUNCTION("""COMPUTED_VALUE"""),"")</f>
        <v/>
      </c>
      <c r="F4343" s="6" t="str">
        <f>IFERROR(__xludf.DUMMYFUNCTION("""COMPUTED_VALUE"""),"Izaguirre Lopez")</f>
        <v>Izaguirre Lopez</v>
      </c>
      <c r="G4343" s="6" t="str">
        <f>IFERROR(__xludf.DUMMYFUNCTION("""COMPUTED_VALUE"""),"09/25/2017")</f>
        <v>09/25/2017</v>
      </c>
      <c r="H4343" s="6" t="str">
        <f>IFERROR(__xludf.DUMMYFUNCTION("""COMPUTED_VALUE"""),"female")</f>
        <v>female</v>
      </c>
      <c r="I4343" s="6" t="str">
        <f>IFERROR(__xludf.DUMMYFUNCTION("""COMPUTED_VALUE"""),"Level 1")</f>
        <v>Level 1</v>
      </c>
      <c r="J4343" s="6" t="str">
        <f>IFERROR(__xludf.DUMMYFUNCTION("""COMPUTED_VALUE"""),"2")</f>
        <v>2</v>
      </c>
      <c r="K4343" s="6" t="str">
        <f>IFERROR(__xludf.DUMMYFUNCTION("""COMPUTED_VALUE"""),"tiffanyn.izaguirrelopez@2hourlearning.com")</f>
        <v>tiffanyn.izaguirrelopez@2hourlearning.com</v>
      </c>
      <c r="L4343" s="6" t="str">
        <f>IFERROR(__xludf.DUMMYFUNCTION("""COMPUTED_VALUE"""),"JHES - Hardeeville Elementary School")</f>
        <v>JHES - Hardeeville Elementary School</v>
      </c>
      <c r="M4343" s="6" t="str">
        <f>IFERROR(__xludf.DUMMYFUNCTION("""COMPUTED_VALUE"""),"")</f>
        <v/>
      </c>
      <c r="N4343" s="6" t="str">
        <f>IFERROR(__xludf.DUMMYFUNCTION("""COMPUTED_VALUE"""),"")</f>
        <v/>
      </c>
      <c r="O4343" s="87" t="str">
        <f>IFERROR(__xludf.DUMMYFUNCTION("""COMPUTED_VALUE"""),"https://drive.google.com/drive/folders/10T2cTQHqEJZqE-st6uFKPoI?usp=share_link")</f>
        <v>https://drive.google.com/drive/folders/10T2cTQHqEJZqE-st6uFKPoI?usp=share_link</v>
      </c>
      <c r="P4343" s="6" t="str">
        <f>IFERROR(__xludf.DUMMYFUNCTION("""COMPUTED_VALUE"""),"Tiffany N Izaguirre Lopez")</f>
        <v>Tiffany N Izaguirre Lopez</v>
      </c>
      <c r="Q4343" s="6" t="str">
        <f>IFERROR(__xludf.DUMMYFUNCTION("""COMPUTED_VALUE"""),"L1")</f>
        <v>L1</v>
      </c>
      <c r="R4343" s="6">
        <f>IFERROR(__xludf.DUMMYFUNCTION("""COMPUTED_VALUE"""),1.0)</f>
        <v>1</v>
      </c>
      <c r="S4343" s="6" t="str">
        <f>IFERROR(__xludf.DUMMYFUNCTION("""COMPUTED_VALUE""")," ")</f>
        <v> </v>
      </c>
      <c r="T4343" s="6" t="str">
        <f>IFERROR(__xludf.DUMMYFUNCTION("""COMPUTED_VALUE"""),"")</f>
        <v/>
      </c>
      <c r="U4343" s="6" t="str">
        <f>IFERROR(__xludf.DUMMYFUNCTION("""COMPUTED_VALUE"""),"2")</f>
        <v>2</v>
      </c>
      <c r="V4343" s="6" t="str">
        <f>IFERROR(__xludf.DUMMYFUNCTION("""COMPUTED_VALUE"""),"")</f>
        <v/>
      </c>
      <c r="W4343" s="6" t="str">
        <f>IFERROR(__xludf.DUMMYFUNCTION("""COMPUTED_VALUE"""),"[]")</f>
        <v>[]</v>
      </c>
      <c r="X4343" s="6" t="str">
        <f>IFERROR(__xludf.DUMMYFUNCTION("""COMPUTED_VALUE"""),"Enrolled")</f>
        <v>Enrolled</v>
      </c>
    </row>
    <row r="4344">
      <c r="A4344" s="6" t="str">
        <f>IFERROR(__xludf.DUMMYFUNCTION("""COMPUTED_VALUE"""),"083-11631")</f>
        <v>083-11631</v>
      </c>
      <c r="B4344" s="6" t="str">
        <f>IFERROR(__xludf.DUMMYFUNCTION("""COMPUTED_VALUE"""),"83")</f>
        <v>83</v>
      </c>
      <c r="C4344" s="6" t="str">
        <f>IFERROR(__xludf.DUMMYFUNCTION("""COMPUTED_VALUE"""),"11631")</f>
        <v>11631</v>
      </c>
      <c r="D4344" s="6" t="str">
        <f>IFERROR(__xludf.DUMMYFUNCTION("""COMPUTED_VALUE"""),"Giselle")</f>
        <v>Giselle</v>
      </c>
      <c r="E4344" s="6" t="str">
        <f>IFERROR(__xludf.DUMMYFUNCTION("""COMPUTED_VALUE"""),"")</f>
        <v/>
      </c>
      <c r="F4344" s="6" t="str">
        <f>IFERROR(__xludf.DUMMYFUNCTION("""COMPUTED_VALUE"""),"Jacobo Morales")</f>
        <v>Jacobo Morales</v>
      </c>
      <c r="G4344" s="6" t="str">
        <f>IFERROR(__xludf.DUMMYFUNCTION("""COMPUTED_VALUE"""),"10/15/2017")</f>
        <v>10/15/2017</v>
      </c>
      <c r="H4344" s="6" t="str">
        <f>IFERROR(__xludf.DUMMYFUNCTION("""COMPUTED_VALUE"""),"female")</f>
        <v>female</v>
      </c>
      <c r="I4344" s="6" t="str">
        <f>IFERROR(__xludf.DUMMYFUNCTION("""COMPUTED_VALUE"""),"Level 1")</f>
        <v>Level 1</v>
      </c>
      <c r="J4344" s="6" t="str">
        <f>IFERROR(__xludf.DUMMYFUNCTION("""COMPUTED_VALUE"""),"2")</f>
        <v>2</v>
      </c>
      <c r="K4344" s="6" t="str">
        <f>IFERROR(__xludf.DUMMYFUNCTION("""COMPUTED_VALUE"""),"giselle.jacobomorales@2hourlearning.com")</f>
        <v>giselle.jacobomorales@2hourlearning.com</v>
      </c>
      <c r="L4344" s="6" t="str">
        <f>IFERROR(__xludf.DUMMYFUNCTION("""COMPUTED_VALUE"""),"JHES - Hardeeville Elementary School")</f>
        <v>JHES - Hardeeville Elementary School</v>
      </c>
      <c r="M4344" s="6" t="str">
        <f>IFERROR(__xludf.DUMMYFUNCTION("""COMPUTED_VALUE"""),"")</f>
        <v/>
      </c>
      <c r="N4344" s="6" t="str">
        <f>IFERROR(__xludf.DUMMYFUNCTION("""COMPUTED_VALUE"""),"")</f>
        <v/>
      </c>
      <c r="O4344" s="87" t="str">
        <f>IFERROR(__xludf.DUMMYFUNCTION("""COMPUTED_VALUE"""),"https://drive.google.com/drive/folders/10T2cTQHqEJZqE-st6uFKPoI?usp=share_link")</f>
        <v>https://drive.google.com/drive/folders/10T2cTQHqEJZqE-st6uFKPoI?usp=share_link</v>
      </c>
      <c r="P4344" s="6" t="str">
        <f>IFERROR(__xludf.DUMMYFUNCTION("""COMPUTED_VALUE"""),"Giselle Jacobo Morales")</f>
        <v>Giselle Jacobo Morales</v>
      </c>
      <c r="Q4344" s="6" t="str">
        <f>IFERROR(__xludf.DUMMYFUNCTION("""COMPUTED_VALUE"""),"L1")</f>
        <v>L1</v>
      </c>
      <c r="R4344" s="6">
        <f>IFERROR(__xludf.DUMMYFUNCTION("""COMPUTED_VALUE"""),1.0)</f>
        <v>1</v>
      </c>
      <c r="S4344" s="6" t="str">
        <f>IFERROR(__xludf.DUMMYFUNCTION("""COMPUTED_VALUE""")," ")</f>
        <v> </v>
      </c>
      <c r="T4344" s="6" t="str">
        <f>IFERROR(__xludf.DUMMYFUNCTION("""COMPUTED_VALUE"""),"")</f>
        <v/>
      </c>
      <c r="U4344" s="6" t="str">
        <f>IFERROR(__xludf.DUMMYFUNCTION("""COMPUTED_VALUE"""),"2")</f>
        <v>2</v>
      </c>
      <c r="V4344" s="6" t="str">
        <f>IFERROR(__xludf.DUMMYFUNCTION("""COMPUTED_VALUE"""),"")</f>
        <v/>
      </c>
      <c r="W4344" s="6" t="str">
        <f>IFERROR(__xludf.DUMMYFUNCTION("""COMPUTED_VALUE"""),"[]")</f>
        <v>[]</v>
      </c>
      <c r="X4344" s="6" t="str">
        <f>IFERROR(__xludf.DUMMYFUNCTION("""COMPUTED_VALUE"""),"Enrolled")</f>
        <v>Enrolled</v>
      </c>
    </row>
    <row r="4345">
      <c r="A4345" s="6" t="str">
        <f>IFERROR(__xludf.DUMMYFUNCTION("""COMPUTED_VALUE"""),"083-11632")</f>
        <v>083-11632</v>
      </c>
      <c r="B4345" s="6" t="str">
        <f>IFERROR(__xludf.DUMMYFUNCTION("""COMPUTED_VALUE"""),"83")</f>
        <v>83</v>
      </c>
      <c r="C4345" s="6" t="str">
        <f>IFERROR(__xludf.DUMMYFUNCTION("""COMPUTED_VALUE"""),"11632")</f>
        <v>11632</v>
      </c>
      <c r="D4345" s="6" t="str">
        <f>IFERROR(__xludf.DUMMYFUNCTION("""COMPUTED_VALUE"""),"Osiel")</f>
        <v>Osiel</v>
      </c>
      <c r="E4345" s="6" t="str">
        <f>IFERROR(__xludf.DUMMYFUNCTION("""COMPUTED_VALUE"""),"")</f>
        <v/>
      </c>
      <c r="F4345" s="6" t="str">
        <f>IFERROR(__xludf.DUMMYFUNCTION("""COMPUTED_VALUE"""),"Landeros Reyna")</f>
        <v>Landeros Reyna</v>
      </c>
      <c r="G4345" s="6" t="str">
        <f>IFERROR(__xludf.DUMMYFUNCTION("""COMPUTED_VALUE"""),"09/25/2017")</f>
        <v>09/25/2017</v>
      </c>
      <c r="H4345" s="6" t="str">
        <f>IFERROR(__xludf.DUMMYFUNCTION("""COMPUTED_VALUE"""),"male")</f>
        <v>male</v>
      </c>
      <c r="I4345" s="6" t="str">
        <f>IFERROR(__xludf.DUMMYFUNCTION("""COMPUTED_VALUE"""),"Level 1")</f>
        <v>Level 1</v>
      </c>
      <c r="J4345" s="6" t="str">
        <f>IFERROR(__xludf.DUMMYFUNCTION("""COMPUTED_VALUE"""),"2")</f>
        <v>2</v>
      </c>
      <c r="K4345" s="6" t="str">
        <f>IFERROR(__xludf.DUMMYFUNCTION("""COMPUTED_VALUE"""),"osiel.landerosreyna@2hourlearning.com")</f>
        <v>osiel.landerosreyna@2hourlearning.com</v>
      </c>
      <c r="L4345" s="6" t="str">
        <f>IFERROR(__xludf.DUMMYFUNCTION("""COMPUTED_VALUE"""),"JHES - Hardeeville Elementary School")</f>
        <v>JHES - Hardeeville Elementary School</v>
      </c>
      <c r="M4345" s="6" t="str">
        <f>IFERROR(__xludf.DUMMYFUNCTION("""COMPUTED_VALUE"""),"")</f>
        <v/>
      </c>
      <c r="N4345" s="6" t="str">
        <f>IFERROR(__xludf.DUMMYFUNCTION("""COMPUTED_VALUE"""),"")</f>
        <v/>
      </c>
      <c r="O4345" s="87" t="str">
        <f>IFERROR(__xludf.DUMMYFUNCTION("""COMPUTED_VALUE"""),"https://drive.google.com/drive/folders/10T2cTQHqEJZqE-st6uFKPoI?usp=share_link")</f>
        <v>https://drive.google.com/drive/folders/10T2cTQHqEJZqE-st6uFKPoI?usp=share_link</v>
      </c>
      <c r="P4345" s="6" t="str">
        <f>IFERROR(__xludf.DUMMYFUNCTION("""COMPUTED_VALUE"""),"Osiel Landeros Reyna")</f>
        <v>Osiel Landeros Reyna</v>
      </c>
      <c r="Q4345" s="6" t="str">
        <f>IFERROR(__xludf.DUMMYFUNCTION("""COMPUTED_VALUE"""),"L1")</f>
        <v>L1</v>
      </c>
      <c r="R4345" s="6">
        <f>IFERROR(__xludf.DUMMYFUNCTION("""COMPUTED_VALUE"""),1.0)</f>
        <v>1</v>
      </c>
      <c r="S4345" s="6" t="str">
        <f>IFERROR(__xludf.DUMMYFUNCTION("""COMPUTED_VALUE""")," ")</f>
        <v> </v>
      </c>
      <c r="T4345" s="6" t="str">
        <f>IFERROR(__xludf.DUMMYFUNCTION("""COMPUTED_VALUE"""),"")</f>
        <v/>
      </c>
      <c r="U4345" s="6" t="str">
        <f>IFERROR(__xludf.DUMMYFUNCTION("""COMPUTED_VALUE"""),"2")</f>
        <v>2</v>
      </c>
      <c r="V4345" s="6" t="str">
        <f>IFERROR(__xludf.DUMMYFUNCTION("""COMPUTED_VALUE"""),"")</f>
        <v/>
      </c>
      <c r="W4345" s="6" t="str">
        <f>IFERROR(__xludf.DUMMYFUNCTION("""COMPUTED_VALUE"""),"[]")</f>
        <v>[]</v>
      </c>
      <c r="X4345" s="6" t="str">
        <f>IFERROR(__xludf.DUMMYFUNCTION("""COMPUTED_VALUE"""),"Enrolled")</f>
        <v>Enrolled</v>
      </c>
    </row>
    <row r="4346">
      <c r="A4346" s="6" t="str">
        <f>IFERROR(__xludf.DUMMYFUNCTION("""COMPUTED_VALUE"""),"083-11633")</f>
        <v>083-11633</v>
      </c>
      <c r="B4346" s="6" t="str">
        <f>IFERROR(__xludf.DUMMYFUNCTION("""COMPUTED_VALUE"""),"83")</f>
        <v>83</v>
      </c>
      <c r="C4346" s="6" t="str">
        <f>IFERROR(__xludf.DUMMYFUNCTION("""COMPUTED_VALUE"""),"11633")</f>
        <v>11633</v>
      </c>
      <c r="D4346" s="6" t="str">
        <f>IFERROR(__xludf.DUMMYFUNCTION("""COMPUTED_VALUE"""),"Kenneth")</f>
        <v>Kenneth</v>
      </c>
      <c r="E4346" s="6" t="str">
        <f>IFERROR(__xludf.DUMMYFUNCTION("""COMPUTED_VALUE"""),"")</f>
        <v/>
      </c>
      <c r="F4346" s="6" t="str">
        <f>IFERROR(__xludf.DUMMYFUNCTION("""COMPUTED_VALUE"""),"Lopez Godoy")</f>
        <v>Lopez Godoy</v>
      </c>
      <c r="G4346" s="6" t="str">
        <f>IFERROR(__xludf.DUMMYFUNCTION("""COMPUTED_VALUE"""),"11/06/2017")</f>
        <v>11/06/2017</v>
      </c>
      <c r="H4346" s="6" t="str">
        <f>IFERROR(__xludf.DUMMYFUNCTION("""COMPUTED_VALUE"""),"male")</f>
        <v>male</v>
      </c>
      <c r="I4346" s="6" t="str">
        <f>IFERROR(__xludf.DUMMYFUNCTION("""COMPUTED_VALUE"""),"Level 1")</f>
        <v>Level 1</v>
      </c>
      <c r="J4346" s="6" t="str">
        <f>IFERROR(__xludf.DUMMYFUNCTION("""COMPUTED_VALUE"""),"2")</f>
        <v>2</v>
      </c>
      <c r="K4346" s="6" t="str">
        <f>IFERROR(__xludf.DUMMYFUNCTION("""COMPUTED_VALUE"""),"kenneth.lopezgodoy@2hourlearning.com")</f>
        <v>kenneth.lopezgodoy@2hourlearning.com</v>
      </c>
      <c r="L4346" s="6" t="str">
        <f>IFERROR(__xludf.DUMMYFUNCTION("""COMPUTED_VALUE"""),"JHES - Hardeeville Elementary School")</f>
        <v>JHES - Hardeeville Elementary School</v>
      </c>
      <c r="M4346" s="6" t="str">
        <f>IFERROR(__xludf.DUMMYFUNCTION("""COMPUTED_VALUE"""),"")</f>
        <v/>
      </c>
      <c r="N4346" s="6" t="str">
        <f>IFERROR(__xludf.DUMMYFUNCTION("""COMPUTED_VALUE"""),"")</f>
        <v/>
      </c>
      <c r="O4346" s="87" t="str">
        <f>IFERROR(__xludf.DUMMYFUNCTION("""COMPUTED_VALUE"""),"https://drive.google.com/drive/folders/10T2cTQHqEJZqE-st6uFKPoI?usp=share_link")</f>
        <v>https://drive.google.com/drive/folders/10T2cTQHqEJZqE-st6uFKPoI?usp=share_link</v>
      </c>
      <c r="P4346" s="6" t="str">
        <f>IFERROR(__xludf.DUMMYFUNCTION("""COMPUTED_VALUE"""),"Kenneth Lopez Godoy")</f>
        <v>Kenneth Lopez Godoy</v>
      </c>
      <c r="Q4346" s="6" t="str">
        <f>IFERROR(__xludf.DUMMYFUNCTION("""COMPUTED_VALUE"""),"L1")</f>
        <v>L1</v>
      </c>
      <c r="R4346" s="6">
        <f>IFERROR(__xludf.DUMMYFUNCTION("""COMPUTED_VALUE"""),1.0)</f>
        <v>1</v>
      </c>
      <c r="S4346" s="6" t="str">
        <f>IFERROR(__xludf.DUMMYFUNCTION("""COMPUTED_VALUE""")," ")</f>
        <v> </v>
      </c>
      <c r="T4346" s="6" t="str">
        <f>IFERROR(__xludf.DUMMYFUNCTION("""COMPUTED_VALUE"""),"")</f>
        <v/>
      </c>
      <c r="U4346" s="6" t="str">
        <f>IFERROR(__xludf.DUMMYFUNCTION("""COMPUTED_VALUE"""),"2")</f>
        <v>2</v>
      </c>
      <c r="V4346" s="6" t="str">
        <f>IFERROR(__xludf.DUMMYFUNCTION("""COMPUTED_VALUE"""),"")</f>
        <v/>
      </c>
      <c r="W4346" s="6" t="str">
        <f>IFERROR(__xludf.DUMMYFUNCTION("""COMPUTED_VALUE"""),"[]")</f>
        <v>[]</v>
      </c>
      <c r="X4346" s="6" t="str">
        <f>IFERROR(__xludf.DUMMYFUNCTION("""COMPUTED_VALUE"""),"Enrolled")</f>
        <v>Enrolled</v>
      </c>
    </row>
    <row r="4347">
      <c r="A4347" s="6" t="str">
        <f>IFERROR(__xludf.DUMMYFUNCTION("""COMPUTED_VALUE"""),"083-11634")</f>
        <v>083-11634</v>
      </c>
      <c r="B4347" s="6" t="str">
        <f>IFERROR(__xludf.DUMMYFUNCTION("""COMPUTED_VALUE"""),"83")</f>
        <v>83</v>
      </c>
      <c r="C4347" s="6" t="str">
        <f>IFERROR(__xludf.DUMMYFUNCTION("""COMPUTED_VALUE"""),"11634")</f>
        <v>11634</v>
      </c>
      <c r="D4347" s="6" t="str">
        <f>IFERROR(__xludf.DUMMYFUNCTION("""COMPUTED_VALUE"""),"Zoey")</f>
        <v>Zoey</v>
      </c>
      <c r="E4347" s="6" t="str">
        <f>IFERROR(__xludf.DUMMYFUNCTION("""COMPUTED_VALUE"""),"")</f>
        <v/>
      </c>
      <c r="F4347" s="6" t="str">
        <f>IFERROR(__xludf.DUMMYFUNCTION("""COMPUTED_VALUE"""),"Moore")</f>
        <v>Moore</v>
      </c>
      <c r="G4347" s="6" t="str">
        <f>IFERROR(__xludf.DUMMYFUNCTION("""COMPUTED_VALUE"""),"06/28/2018")</f>
        <v>06/28/2018</v>
      </c>
      <c r="H4347" s="6" t="str">
        <f>IFERROR(__xludf.DUMMYFUNCTION("""COMPUTED_VALUE"""),"female")</f>
        <v>female</v>
      </c>
      <c r="I4347" s="6" t="str">
        <f>IFERROR(__xludf.DUMMYFUNCTION("""COMPUTED_VALUE"""),"Level 1")</f>
        <v>Level 1</v>
      </c>
      <c r="J4347" s="6" t="str">
        <f>IFERROR(__xludf.DUMMYFUNCTION("""COMPUTED_VALUE"""),"2")</f>
        <v>2</v>
      </c>
      <c r="K4347" s="6" t="str">
        <f>IFERROR(__xludf.DUMMYFUNCTION("""COMPUTED_VALUE"""),"zoey.moore@2hourlearning.com")</f>
        <v>zoey.moore@2hourlearning.com</v>
      </c>
      <c r="L4347" s="6" t="str">
        <f>IFERROR(__xludf.DUMMYFUNCTION("""COMPUTED_VALUE"""),"JHES - Hardeeville Elementary School")</f>
        <v>JHES - Hardeeville Elementary School</v>
      </c>
      <c r="M4347" s="6" t="str">
        <f>IFERROR(__xludf.DUMMYFUNCTION("""COMPUTED_VALUE"""),"")</f>
        <v/>
      </c>
      <c r="N4347" s="6" t="str">
        <f>IFERROR(__xludf.DUMMYFUNCTION("""COMPUTED_VALUE"""),"")</f>
        <v/>
      </c>
      <c r="O4347" s="87" t="str">
        <f>IFERROR(__xludf.DUMMYFUNCTION("""COMPUTED_VALUE"""),"https://drive.google.com/drive/folders/10T2cTQHqEJZqE-st6uFKPoI?usp=share_link")</f>
        <v>https://drive.google.com/drive/folders/10T2cTQHqEJZqE-st6uFKPoI?usp=share_link</v>
      </c>
      <c r="P4347" s="6" t="str">
        <f>IFERROR(__xludf.DUMMYFUNCTION("""COMPUTED_VALUE"""),"Zoey Moore")</f>
        <v>Zoey Moore</v>
      </c>
      <c r="Q4347" s="6" t="str">
        <f>IFERROR(__xludf.DUMMYFUNCTION("""COMPUTED_VALUE"""),"L1")</f>
        <v>L1</v>
      </c>
      <c r="R4347" s="6">
        <f>IFERROR(__xludf.DUMMYFUNCTION("""COMPUTED_VALUE"""),1.0)</f>
        <v>1</v>
      </c>
      <c r="S4347" s="6" t="str">
        <f>IFERROR(__xludf.DUMMYFUNCTION("""COMPUTED_VALUE""")," ")</f>
        <v> </v>
      </c>
      <c r="T4347" s="6" t="str">
        <f>IFERROR(__xludf.DUMMYFUNCTION("""COMPUTED_VALUE"""),"")</f>
        <v/>
      </c>
      <c r="U4347" s="6" t="str">
        <f>IFERROR(__xludf.DUMMYFUNCTION("""COMPUTED_VALUE"""),"2")</f>
        <v>2</v>
      </c>
      <c r="V4347" s="6" t="str">
        <f>IFERROR(__xludf.DUMMYFUNCTION("""COMPUTED_VALUE"""),"")</f>
        <v/>
      </c>
      <c r="W4347" s="6" t="str">
        <f>IFERROR(__xludf.DUMMYFUNCTION("""COMPUTED_VALUE"""),"[]")</f>
        <v>[]</v>
      </c>
      <c r="X4347" s="6" t="str">
        <f>IFERROR(__xludf.DUMMYFUNCTION("""COMPUTED_VALUE"""),"Enrolled")</f>
        <v>Enrolled</v>
      </c>
    </row>
    <row r="4348">
      <c r="A4348" s="6" t="str">
        <f>IFERROR(__xludf.DUMMYFUNCTION("""COMPUTED_VALUE"""),"083-11635")</f>
        <v>083-11635</v>
      </c>
      <c r="B4348" s="6" t="str">
        <f>IFERROR(__xludf.DUMMYFUNCTION("""COMPUTED_VALUE"""),"83")</f>
        <v>83</v>
      </c>
      <c r="C4348" s="6" t="str">
        <f>IFERROR(__xludf.DUMMYFUNCTION("""COMPUTED_VALUE"""),"11635")</f>
        <v>11635</v>
      </c>
      <c r="D4348" s="6" t="str">
        <f>IFERROR(__xludf.DUMMYFUNCTION("""COMPUTED_VALUE"""),"Carlos A")</f>
        <v>Carlos A</v>
      </c>
      <c r="E4348" s="6" t="str">
        <f>IFERROR(__xludf.DUMMYFUNCTION("""COMPUTED_VALUE"""),"")</f>
        <v/>
      </c>
      <c r="F4348" s="6" t="str">
        <f>IFERROR(__xludf.DUMMYFUNCTION("""COMPUTED_VALUE"""),"Muro")</f>
        <v>Muro</v>
      </c>
      <c r="G4348" s="6" t="str">
        <f>IFERROR(__xludf.DUMMYFUNCTION("""COMPUTED_VALUE"""),"03/07/2018")</f>
        <v>03/07/2018</v>
      </c>
      <c r="H4348" s="6" t="str">
        <f>IFERROR(__xludf.DUMMYFUNCTION("""COMPUTED_VALUE"""),"male")</f>
        <v>male</v>
      </c>
      <c r="I4348" s="6" t="str">
        <f>IFERROR(__xludf.DUMMYFUNCTION("""COMPUTED_VALUE"""),"Level 1")</f>
        <v>Level 1</v>
      </c>
      <c r="J4348" s="6" t="str">
        <f>IFERROR(__xludf.DUMMYFUNCTION("""COMPUTED_VALUE"""),"2")</f>
        <v>2</v>
      </c>
      <c r="K4348" s="6" t="str">
        <f>IFERROR(__xludf.DUMMYFUNCTION("""COMPUTED_VALUE"""),"carlosa.muro@2hourlearning.com")</f>
        <v>carlosa.muro@2hourlearning.com</v>
      </c>
      <c r="L4348" s="6" t="str">
        <f>IFERROR(__xludf.DUMMYFUNCTION("""COMPUTED_VALUE"""),"JHES - Hardeeville Elementary School")</f>
        <v>JHES - Hardeeville Elementary School</v>
      </c>
      <c r="M4348" s="6" t="str">
        <f>IFERROR(__xludf.DUMMYFUNCTION("""COMPUTED_VALUE"""),"")</f>
        <v/>
      </c>
      <c r="N4348" s="6" t="str">
        <f>IFERROR(__xludf.DUMMYFUNCTION("""COMPUTED_VALUE"""),"")</f>
        <v/>
      </c>
      <c r="O4348" s="87" t="str">
        <f>IFERROR(__xludf.DUMMYFUNCTION("""COMPUTED_VALUE"""),"https://drive.google.com/drive/folders/10T2cTQHqEJZqE-st6uFKPoI?usp=share_link")</f>
        <v>https://drive.google.com/drive/folders/10T2cTQHqEJZqE-st6uFKPoI?usp=share_link</v>
      </c>
      <c r="P4348" s="6" t="str">
        <f>IFERROR(__xludf.DUMMYFUNCTION("""COMPUTED_VALUE"""),"Carlos A Muro")</f>
        <v>Carlos A Muro</v>
      </c>
      <c r="Q4348" s="6" t="str">
        <f>IFERROR(__xludf.DUMMYFUNCTION("""COMPUTED_VALUE"""),"L1")</f>
        <v>L1</v>
      </c>
      <c r="R4348" s="6">
        <f>IFERROR(__xludf.DUMMYFUNCTION("""COMPUTED_VALUE"""),1.0)</f>
        <v>1</v>
      </c>
      <c r="S4348" s="6" t="str">
        <f>IFERROR(__xludf.DUMMYFUNCTION("""COMPUTED_VALUE""")," ")</f>
        <v> </v>
      </c>
      <c r="T4348" s="6" t="str">
        <f>IFERROR(__xludf.DUMMYFUNCTION("""COMPUTED_VALUE"""),"")</f>
        <v/>
      </c>
      <c r="U4348" s="6" t="str">
        <f>IFERROR(__xludf.DUMMYFUNCTION("""COMPUTED_VALUE"""),"2")</f>
        <v>2</v>
      </c>
      <c r="V4348" s="6" t="str">
        <f>IFERROR(__xludf.DUMMYFUNCTION("""COMPUTED_VALUE"""),"")</f>
        <v/>
      </c>
      <c r="W4348" s="6" t="str">
        <f>IFERROR(__xludf.DUMMYFUNCTION("""COMPUTED_VALUE"""),"[]")</f>
        <v>[]</v>
      </c>
      <c r="X4348" s="6" t="str">
        <f>IFERROR(__xludf.DUMMYFUNCTION("""COMPUTED_VALUE"""),"Enrolled")</f>
        <v>Enrolled</v>
      </c>
    </row>
    <row r="4349">
      <c r="A4349" s="6" t="str">
        <f>IFERROR(__xludf.DUMMYFUNCTION("""COMPUTED_VALUE"""),"083-11636")</f>
        <v>083-11636</v>
      </c>
      <c r="B4349" s="6" t="str">
        <f>IFERROR(__xludf.DUMMYFUNCTION("""COMPUTED_VALUE"""),"83")</f>
        <v>83</v>
      </c>
      <c r="C4349" s="6" t="str">
        <f>IFERROR(__xludf.DUMMYFUNCTION("""COMPUTED_VALUE"""),"11636")</f>
        <v>11636</v>
      </c>
      <c r="D4349" s="6" t="str">
        <f>IFERROR(__xludf.DUMMYFUNCTION("""COMPUTED_VALUE"""),"Za'Heiry T")</f>
        <v>Za'Heiry T</v>
      </c>
      <c r="E4349" s="6" t="str">
        <f>IFERROR(__xludf.DUMMYFUNCTION("""COMPUTED_VALUE"""),"")</f>
        <v/>
      </c>
      <c r="F4349" s="6" t="str">
        <f>IFERROR(__xludf.DUMMYFUNCTION("""COMPUTED_VALUE"""),"Oliver-Beasley")</f>
        <v>Oliver-Beasley</v>
      </c>
      <c r="G4349" s="6" t="str">
        <f>IFERROR(__xludf.DUMMYFUNCTION("""COMPUTED_VALUE"""),"07/29/2018")</f>
        <v>07/29/2018</v>
      </c>
      <c r="H4349" s="6" t="str">
        <f>IFERROR(__xludf.DUMMYFUNCTION("""COMPUTED_VALUE"""),"female")</f>
        <v>female</v>
      </c>
      <c r="I4349" s="6" t="str">
        <f>IFERROR(__xludf.DUMMYFUNCTION("""COMPUTED_VALUE"""),"Level 1")</f>
        <v>Level 1</v>
      </c>
      <c r="J4349" s="6" t="str">
        <f>IFERROR(__xludf.DUMMYFUNCTION("""COMPUTED_VALUE"""),"2")</f>
        <v>2</v>
      </c>
      <c r="K4349" s="6" t="str">
        <f>IFERROR(__xludf.DUMMYFUNCTION("""COMPUTED_VALUE"""),"zaheiryt.oliverbeasley@2hourlearning.com")</f>
        <v>zaheiryt.oliverbeasley@2hourlearning.com</v>
      </c>
      <c r="L4349" s="6" t="str">
        <f>IFERROR(__xludf.DUMMYFUNCTION("""COMPUTED_VALUE"""),"JHES - Hardeeville Elementary School")</f>
        <v>JHES - Hardeeville Elementary School</v>
      </c>
      <c r="M4349" s="6" t="str">
        <f>IFERROR(__xludf.DUMMYFUNCTION("""COMPUTED_VALUE"""),"")</f>
        <v/>
      </c>
      <c r="N4349" s="6" t="str">
        <f>IFERROR(__xludf.DUMMYFUNCTION("""COMPUTED_VALUE"""),"")</f>
        <v/>
      </c>
      <c r="O4349" s="87" t="str">
        <f>IFERROR(__xludf.DUMMYFUNCTION("""COMPUTED_VALUE"""),"https://drive.google.com/drive/folders/10T2cTQHqEJZqE-st6uFKPoI?usp=share_link")</f>
        <v>https://drive.google.com/drive/folders/10T2cTQHqEJZqE-st6uFKPoI?usp=share_link</v>
      </c>
      <c r="P4349" s="6" t="str">
        <f>IFERROR(__xludf.DUMMYFUNCTION("""COMPUTED_VALUE"""),"Za'Heiry T Oliver-Beasley")</f>
        <v>Za'Heiry T Oliver-Beasley</v>
      </c>
      <c r="Q4349" s="6" t="str">
        <f>IFERROR(__xludf.DUMMYFUNCTION("""COMPUTED_VALUE"""),"L1")</f>
        <v>L1</v>
      </c>
      <c r="R4349" s="6">
        <f>IFERROR(__xludf.DUMMYFUNCTION("""COMPUTED_VALUE"""),1.0)</f>
        <v>1</v>
      </c>
      <c r="S4349" s="6" t="str">
        <f>IFERROR(__xludf.DUMMYFUNCTION("""COMPUTED_VALUE""")," ")</f>
        <v> </v>
      </c>
      <c r="T4349" s="6" t="str">
        <f>IFERROR(__xludf.DUMMYFUNCTION("""COMPUTED_VALUE"""),"")</f>
        <v/>
      </c>
      <c r="U4349" s="6" t="str">
        <f>IFERROR(__xludf.DUMMYFUNCTION("""COMPUTED_VALUE"""),"2")</f>
        <v>2</v>
      </c>
      <c r="V4349" s="6" t="str">
        <f>IFERROR(__xludf.DUMMYFUNCTION("""COMPUTED_VALUE"""),"")</f>
        <v/>
      </c>
      <c r="W4349" s="6" t="str">
        <f>IFERROR(__xludf.DUMMYFUNCTION("""COMPUTED_VALUE"""),"[]")</f>
        <v>[]</v>
      </c>
      <c r="X4349" s="6" t="str">
        <f>IFERROR(__xludf.DUMMYFUNCTION("""COMPUTED_VALUE"""),"Enrolled")</f>
        <v>Enrolled</v>
      </c>
    </row>
    <row r="4350">
      <c r="A4350" s="6" t="str">
        <f>IFERROR(__xludf.DUMMYFUNCTION("""COMPUTED_VALUE"""),"083-11637")</f>
        <v>083-11637</v>
      </c>
      <c r="B4350" s="6" t="str">
        <f>IFERROR(__xludf.DUMMYFUNCTION("""COMPUTED_VALUE"""),"83")</f>
        <v>83</v>
      </c>
      <c r="C4350" s="6" t="str">
        <f>IFERROR(__xludf.DUMMYFUNCTION("""COMPUTED_VALUE"""),"11637")</f>
        <v>11637</v>
      </c>
      <c r="D4350" s="6" t="str">
        <f>IFERROR(__xludf.DUMMYFUNCTION("""COMPUTED_VALUE"""),"Emily")</f>
        <v>Emily</v>
      </c>
      <c r="E4350" s="6" t="str">
        <f>IFERROR(__xludf.DUMMYFUNCTION("""COMPUTED_VALUE"""),"")</f>
        <v/>
      </c>
      <c r="F4350" s="6" t="str">
        <f>IFERROR(__xludf.DUMMYFUNCTION("""COMPUTED_VALUE"""),"Ramirez Pop")</f>
        <v>Ramirez Pop</v>
      </c>
      <c r="G4350" s="6" t="str">
        <f>IFERROR(__xludf.DUMMYFUNCTION("""COMPUTED_VALUE"""),"05/30/2018")</f>
        <v>05/30/2018</v>
      </c>
      <c r="H4350" s="6" t="str">
        <f>IFERROR(__xludf.DUMMYFUNCTION("""COMPUTED_VALUE"""),"female")</f>
        <v>female</v>
      </c>
      <c r="I4350" s="6" t="str">
        <f>IFERROR(__xludf.DUMMYFUNCTION("""COMPUTED_VALUE"""),"Level 1")</f>
        <v>Level 1</v>
      </c>
      <c r="J4350" s="6" t="str">
        <f>IFERROR(__xludf.DUMMYFUNCTION("""COMPUTED_VALUE"""),"2")</f>
        <v>2</v>
      </c>
      <c r="K4350" s="6" t="str">
        <f>IFERROR(__xludf.DUMMYFUNCTION("""COMPUTED_VALUE"""),"emily.ramirezpop@2hourlearning.com")</f>
        <v>emily.ramirezpop@2hourlearning.com</v>
      </c>
      <c r="L4350" s="6" t="str">
        <f>IFERROR(__xludf.DUMMYFUNCTION("""COMPUTED_VALUE"""),"JHES - Hardeeville Elementary School")</f>
        <v>JHES - Hardeeville Elementary School</v>
      </c>
      <c r="M4350" s="6" t="str">
        <f>IFERROR(__xludf.DUMMYFUNCTION("""COMPUTED_VALUE"""),"")</f>
        <v/>
      </c>
      <c r="N4350" s="6" t="str">
        <f>IFERROR(__xludf.DUMMYFUNCTION("""COMPUTED_VALUE"""),"")</f>
        <v/>
      </c>
      <c r="O4350" s="87" t="str">
        <f>IFERROR(__xludf.DUMMYFUNCTION("""COMPUTED_VALUE"""),"https://drive.google.com/drive/folders/10T2cTQHqEJZqE-st6uFKPoI?usp=share_link")</f>
        <v>https://drive.google.com/drive/folders/10T2cTQHqEJZqE-st6uFKPoI?usp=share_link</v>
      </c>
      <c r="P4350" s="6" t="str">
        <f>IFERROR(__xludf.DUMMYFUNCTION("""COMPUTED_VALUE"""),"Emily Ramirez Pop")</f>
        <v>Emily Ramirez Pop</v>
      </c>
      <c r="Q4350" s="6" t="str">
        <f>IFERROR(__xludf.DUMMYFUNCTION("""COMPUTED_VALUE"""),"L1")</f>
        <v>L1</v>
      </c>
      <c r="R4350" s="6">
        <f>IFERROR(__xludf.DUMMYFUNCTION("""COMPUTED_VALUE"""),1.0)</f>
        <v>1</v>
      </c>
      <c r="S4350" s="6" t="str">
        <f>IFERROR(__xludf.DUMMYFUNCTION("""COMPUTED_VALUE""")," ")</f>
        <v> </v>
      </c>
      <c r="T4350" s="6" t="str">
        <f>IFERROR(__xludf.DUMMYFUNCTION("""COMPUTED_VALUE"""),"")</f>
        <v/>
      </c>
      <c r="U4350" s="6" t="str">
        <f>IFERROR(__xludf.DUMMYFUNCTION("""COMPUTED_VALUE"""),"2")</f>
        <v>2</v>
      </c>
      <c r="V4350" s="6" t="str">
        <f>IFERROR(__xludf.DUMMYFUNCTION("""COMPUTED_VALUE"""),"")</f>
        <v/>
      </c>
      <c r="W4350" s="6" t="str">
        <f>IFERROR(__xludf.DUMMYFUNCTION("""COMPUTED_VALUE"""),"[]")</f>
        <v>[]</v>
      </c>
      <c r="X4350" s="6" t="str">
        <f>IFERROR(__xludf.DUMMYFUNCTION("""COMPUTED_VALUE"""),"Enrolled")</f>
        <v>Enrolled</v>
      </c>
    </row>
    <row r="4351">
      <c r="A4351" s="6" t="str">
        <f>IFERROR(__xludf.DUMMYFUNCTION("""COMPUTED_VALUE"""),"083-11638")</f>
        <v>083-11638</v>
      </c>
      <c r="B4351" s="6" t="str">
        <f>IFERROR(__xludf.DUMMYFUNCTION("""COMPUTED_VALUE"""),"83")</f>
        <v>83</v>
      </c>
      <c r="C4351" s="6" t="str">
        <f>IFERROR(__xludf.DUMMYFUNCTION("""COMPUTED_VALUE"""),"11638")</f>
        <v>11638</v>
      </c>
      <c r="D4351" s="6" t="str">
        <f>IFERROR(__xludf.DUMMYFUNCTION("""COMPUTED_VALUE"""),"Aylin M")</f>
        <v>Aylin M</v>
      </c>
      <c r="E4351" s="6" t="str">
        <f>IFERROR(__xludf.DUMMYFUNCTION("""COMPUTED_VALUE"""),"")</f>
        <v/>
      </c>
      <c r="F4351" s="6" t="str">
        <f>IFERROR(__xludf.DUMMYFUNCTION("""COMPUTED_VALUE"""),"Ramos Candelario")</f>
        <v>Ramos Candelario</v>
      </c>
      <c r="G4351" s="6" t="str">
        <f>IFERROR(__xludf.DUMMYFUNCTION("""COMPUTED_VALUE"""),"06/25/2018")</f>
        <v>06/25/2018</v>
      </c>
      <c r="H4351" s="6" t="str">
        <f>IFERROR(__xludf.DUMMYFUNCTION("""COMPUTED_VALUE"""),"female")</f>
        <v>female</v>
      </c>
      <c r="I4351" s="6" t="str">
        <f>IFERROR(__xludf.DUMMYFUNCTION("""COMPUTED_VALUE"""),"Level 1")</f>
        <v>Level 1</v>
      </c>
      <c r="J4351" s="6" t="str">
        <f>IFERROR(__xludf.DUMMYFUNCTION("""COMPUTED_VALUE"""),"2")</f>
        <v>2</v>
      </c>
      <c r="K4351" s="6" t="str">
        <f>IFERROR(__xludf.DUMMYFUNCTION("""COMPUTED_VALUE"""),"aylinm.ramoscandelario@2hourlearning.com")</f>
        <v>aylinm.ramoscandelario@2hourlearning.com</v>
      </c>
      <c r="L4351" s="6" t="str">
        <f>IFERROR(__xludf.DUMMYFUNCTION("""COMPUTED_VALUE"""),"JHES - Hardeeville Elementary School")</f>
        <v>JHES - Hardeeville Elementary School</v>
      </c>
      <c r="M4351" s="6" t="str">
        <f>IFERROR(__xludf.DUMMYFUNCTION("""COMPUTED_VALUE"""),"")</f>
        <v/>
      </c>
      <c r="N4351" s="6" t="str">
        <f>IFERROR(__xludf.DUMMYFUNCTION("""COMPUTED_VALUE"""),"")</f>
        <v/>
      </c>
      <c r="O4351" s="87" t="str">
        <f>IFERROR(__xludf.DUMMYFUNCTION("""COMPUTED_VALUE"""),"https://drive.google.com/drive/folders/10T2cTQHqEJZqE-st6uFKPoI?usp=share_link")</f>
        <v>https://drive.google.com/drive/folders/10T2cTQHqEJZqE-st6uFKPoI?usp=share_link</v>
      </c>
      <c r="P4351" s="6" t="str">
        <f>IFERROR(__xludf.DUMMYFUNCTION("""COMPUTED_VALUE"""),"Aylin M Ramos Candelario")</f>
        <v>Aylin M Ramos Candelario</v>
      </c>
      <c r="Q4351" s="6" t="str">
        <f>IFERROR(__xludf.DUMMYFUNCTION("""COMPUTED_VALUE"""),"L1")</f>
        <v>L1</v>
      </c>
      <c r="R4351" s="6">
        <f>IFERROR(__xludf.DUMMYFUNCTION("""COMPUTED_VALUE"""),1.0)</f>
        <v>1</v>
      </c>
      <c r="S4351" s="6" t="str">
        <f>IFERROR(__xludf.DUMMYFUNCTION("""COMPUTED_VALUE""")," ")</f>
        <v> </v>
      </c>
      <c r="T4351" s="6" t="str">
        <f>IFERROR(__xludf.DUMMYFUNCTION("""COMPUTED_VALUE"""),"")</f>
        <v/>
      </c>
      <c r="U4351" s="6" t="str">
        <f>IFERROR(__xludf.DUMMYFUNCTION("""COMPUTED_VALUE"""),"2")</f>
        <v>2</v>
      </c>
      <c r="V4351" s="6" t="str">
        <f>IFERROR(__xludf.DUMMYFUNCTION("""COMPUTED_VALUE"""),"")</f>
        <v/>
      </c>
      <c r="W4351" s="6" t="str">
        <f>IFERROR(__xludf.DUMMYFUNCTION("""COMPUTED_VALUE"""),"[]")</f>
        <v>[]</v>
      </c>
      <c r="X4351" s="6" t="str">
        <f>IFERROR(__xludf.DUMMYFUNCTION("""COMPUTED_VALUE"""),"Enrolled")</f>
        <v>Enrolled</v>
      </c>
    </row>
    <row r="4352">
      <c r="A4352" s="6" t="str">
        <f>IFERROR(__xludf.DUMMYFUNCTION("""COMPUTED_VALUE"""),"083-11639")</f>
        <v>083-11639</v>
      </c>
      <c r="B4352" s="6" t="str">
        <f>IFERROR(__xludf.DUMMYFUNCTION("""COMPUTED_VALUE"""),"83")</f>
        <v>83</v>
      </c>
      <c r="C4352" s="6" t="str">
        <f>IFERROR(__xludf.DUMMYFUNCTION("""COMPUTED_VALUE"""),"11639")</f>
        <v>11639</v>
      </c>
      <c r="D4352" s="6" t="str">
        <f>IFERROR(__xludf.DUMMYFUNCTION("""COMPUTED_VALUE"""),"Luis")</f>
        <v>Luis</v>
      </c>
      <c r="E4352" s="6" t="str">
        <f>IFERROR(__xludf.DUMMYFUNCTION("""COMPUTED_VALUE"""),"")</f>
        <v/>
      </c>
      <c r="F4352" s="6" t="str">
        <f>IFERROR(__xludf.DUMMYFUNCTION("""COMPUTED_VALUE"""),"Romero Avila")</f>
        <v>Romero Avila</v>
      </c>
      <c r="G4352" s="6" t="str">
        <f>IFERROR(__xludf.DUMMYFUNCTION("""COMPUTED_VALUE"""),"11/23/2017")</f>
        <v>11/23/2017</v>
      </c>
      <c r="H4352" s="6" t="str">
        <f>IFERROR(__xludf.DUMMYFUNCTION("""COMPUTED_VALUE"""),"male")</f>
        <v>male</v>
      </c>
      <c r="I4352" s="6" t="str">
        <f>IFERROR(__xludf.DUMMYFUNCTION("""COMPUTED_VALUE"""),"Level 1")</f>
        <v>Level 1</v>
      </c>
      <c r="J4352" s="6" t="str">
        <f>IFERROR(__xludf.DUMMYFUNCTION("""COMPUTED_VALUE"""),"2")</f>
        <v>2</v>
      </c>
      <c r="K4352" s="6" t="str">
        <f>IFERROR(__xludf.DUMMYFUNCTION("""COMPUTED_VALUE"""),"luis.romeroavila@2hourlearning.com")</f>
        <v>luis.romeroavila@2hourlearning.com</v>
      </c>
      <c r="L4352" s="6" t="str">
        <f>IFERROR(__xludf.DUMMYFUNCTION("""COMPUTED_VALUE"""),"JHES - Hardeeville Elementary School")</f>
        <v>JHES - Hardeeville Elementary School</v>
      </c>
      <c r="M4352" s="6" t="str">
        <f>IFERROR(__xludf.DUMMYFUNCTION("""COMPUTED_VALUE"""),"")</f>
        <v/>
      </c>
      <c r="N4352" s="6" t="str">
        <f>IFERROR(__xludf.DUMMYFUNCTION("""COMPUTED_VALUE"""),"")</f>
        <v/>
      </c>
      <c r="O4352" s="87" t="str">
        <f>IFERROR(__xludf.DUMMYFUNCTION("""COMPUTED_VALUE"""),"https://drive.google.com/drive/folders/10T2cTQHqEJZqE-st6uFKPoI?usp=share_link")</f>
        <v>https://drive.google.com/drive/folders/10T2cTQHqEJZqE-st6uFKPoI?usp=share_link</v>
      </c>
      <c r="P4352" s="6" t="str">
        <f>IFERROR(__xludf.DUMMYFUNCTION("""COMPUTED_VALUE"""),"Luis Romero Avila")</f>
        <v>Luis Romero Avila</v>
      </c>
      <c r="Q4352" s="6" t="str">
        <f>IFERROR(__xludf.DUMMYFUNCTION("""COMPUTED_VALUE"""),"L1")</f>
        <v>L1</v>
      </c>
      <c r="R4352" s="6">
        <f>IFERROR(__xludf.DUMMYFUNCTION("""COMPUTED_VALUE"""),1.0)</f>
        <v>1</v>
      </c>
      <c r="S4352" s="6" t="str">
        <f>IFERROR(__xludf.DUMMYFUNCTION("""COMPUTED_VALUE""")," ")</f>
        <v> </v>
      </c>
      <c r="T4352" s="6" t="str">
        <f>IFERROR(__xludf.DUMMYFUNCTION("""COMPUTED_VALUE"""),"")</f>
        <v/>
      </c>
      <c r="U4352" s="6" t="str">
        <f>IFERROR(__xludf.DUMMYFUNCTION("""COMPUTED_VALUE"""),"2")</f>
        <v>2</v>
      </c>
      <c r="V4352" s="6" t="str">
        <f>IFERROR(__xludf.DUMMYFUNCTION("""COMPUTED_VALUE"""),"")</f>
        <v/>
      </c>
      <c r="W4352" s="6" t="str">
        <f>IFERROR(__xludf.DUMMYFUNCTION("""COMPUTED_VALUE"""),"[]")</f>
        <v>[]</v>
      </c>
      <c r="X4352" s="6" t="str">
        <f>IFERROR(__xludf.DUMMYFUNCTION("""COMPUTED_VALUE"""),"Enrolled")</f>
        <v>Enrolled</v>
      </c>
    </row>
    <row r="4353">
      <c r="A4353" s="6" t="str">
        <f>IFERROR(__xludf.DUMMYFUNCTION("""COMPUTED_VALUE"""),"083-11640")</f>
        <v>083-11640</v>
      </c>
      <c r="B4353" s="6" t="str">
        <f>IFERROR(__xludf.DUMMYFUNCTION("""COMPUTED_VALUE"""),"83")</f>
        <v>83</v>
      </c>
      <c r="C4353" s="6" t="str">
        <f>IFERROR(__xludf.DUMMYFUNCTION("""COMPUTED_VALUE"""),"11640")</f>
        <v>11640</v>
      </c>
      <c r="D4353" s="6" t="str">
        <f>IFERROR(__xludf.DUMMYFUNCTION("""COMPUTED_VALUE"""),"David")</f>
        <v>David</v>
      </c>
      <c r="E4353" s="6" t="str">
        <f>IFERROR(__xludf.DUMMYFUNCTION("""COMPUTED_VALUE"""),"")</f>
        <v/>
      </c>
      <c r="F4353" s="6" t="str">
        <f>IFERROR(__xludf.DUMMYFUNCTION("""COMPUTED_VALUE"""),"Siregar")</f>
        <v>Siregar</v>
      </c>
      <c r="G4353" s="6" t="str">
        <f>IFERROR(__xludf.DUMMYFUNCTION("""COMPUTED_VALUE"""),"10/01/2017")</f>
        <v>10/01/2017</v>
      </c>
      <c r="H4353" s="6" t="str">
        <f>IFERROR(__xludf.DUMMYFUNCTION("""COMPUTED_VALUE"""),"male")</f>
        <v>male</v>
      </c>
      <c r="I4353" s="6" t="str">
        <f>IFERROR(__xludf.DUMMYFUNCTION("""COMPUTED_VALUE"""),"Level 1")</f>
        <v>Level 1</v>
      </c>
      <c r="J4353" s="6" t="str">
        <f>IFERROR(__xludf.DUMMYFUNCTION("""COMPUTED_VALUE"""),"2")</f>
        <v>2</v>
      </c>
      <c r="K4353" s="6" t="str">
        <f>IFERROR(__xludf.DUMMYFUNCTION("""COMPUTED_VALUE"""),"david.siregar@2hourlearning.com")</f>
        <v>david.siregar@2hourlearning.com</v>
      </c>
      <c r="L4353" s="6" t="str">
        <f>IFERROR(__xludf.DUMMYFUNCTION("""COMPUTED_VALUE"""),"JHES - Hardeeville Elementary School")</f>
        <v>JHES - Hardeeville Elementary School</v>
      </c>
      <c r="M4353" s="6" t="str">
        <f>IFERROR(__xludf.DUMMYFUNCTION("""COMPUTED_VALUE"""),"")</f>
        <v/>
      </c>
      <c r="N4353" s="6" t="str">
        <f>IFERROR(__xludf.DUMMYFUNCTION("""COMPUTED_VALUE"""),"")</f>
        <v/>
      </c>
      <c r="O4353" s="87" t="str">
        <f>IFERROR(__xludf.DUMMYFUNCTION("""COMPUTED_VALUE"""),"https://drive.google.com/drive/folders/10T2cTQHqEJZqE-st6uFKPoI?usp=share_link")</f>
        <v>https://drive.google.com/drive/folders/10T2cTQHqEJZqE-st6uFKPoI?usp=share_link</v>
      </c>
      <c r="P4353" s="6" t="str">
        <f>IFERROR(__xludf.DUMMYFUNCTION("""COMPUTED_VALUE"""),"David Siregar")</f>
        <v>David Siregar</v>
      </c>
      <c r="Q4353" s="6" t="str">
        <f>IFERROR(__xludf.DUMMYFUNCTION("""COMPUTED_VALUE"""),"L1")</f>
        <v>L1</v>
      </c>
      <c r="R4353" s="6">
        <f>IFERROR(__xludf.DUMMYFUNCTION("""COMPUTED_VALUE"""),1.0)</f>
        <v>1</v>
      </c>
      <c r="S4353" s="6" t="str">
        <f>IFERROR(__xludf.DUMMYFUNCTION("""COMPUTED_VALUE""")," ")</f>
        <v> </v>
      </c>
      <c r="T4353" s="6" t="str">
        <f>IFERROR(__xludf.DUMMYFUNCTION("""COMPUTED_VALUE"""),"")</f>
        <v/>
      </c>
      <c r="U4353" s="6" t="str">
        <f>IFERROR(__xludf.DUMMYFUNCTION("""COMPUTED_VALUE"""),"2")</f>
        <v>2</v>
      </c>
      <c r="V4353" s="6" t="str">
        <f>IFERROR(__xludf.DUMMYFUNCTION("""COMPUTED_VALUE"""),"")</f>
        <v/>
      </c>
      <c r="W4353" s="6" t="str">
        <f>IFERROR(__xludf.DUMMYFUNCTION("""COMPUTED_VALUE"""),"[]")</f>
        <v>[]</v>
      </c>
      <c r="X4353" s="6" t="str">
        <f>IFERROR(__xludf.DUMMYFUNCTION("""COMPUTED_VALUE"""),"Enrolled")</f>
        <v>Enrolled</v>
      </c>
    </row>
    <row r="4354">
      <c r="A4354" s="6" t="str">
        <f>IFERROR(__xludf.DUMMYFUNCTION("""COMPUTED_VALUE"""),"083-11641")</f>
        <v>083-11641</v>
      </c>
      <c r="B4354" s="6" t="str">
        <f>IFERROR(__xludf.DUMMYFUNCTION("""COMPUTED_VALUE"""),"83")</f>
        <v>83</v>
      </c>
      <c r="C4354" s="6" t="str">
        <f>IFERROR(__xludf.DUMMYFUNCTION("""COMPUTED_VALUE"""),"11641")</f>
        <v>11641</v>
      </c>
      <c r="D4354" s="6" t="str">
        <f>IFERROR(__xludf.DUMMYFUNCTION("""COMPUTED_VALUE"""),"Daniel")</f>
        <v>Daniel</v>
      </c>
      <c r="E4354" s="6" t="str">
        <f>IFERROR(__xludf.DUMMYFUNCTION("""COMPUTED_VALUE"""),"")</f>
        <v/>
      </c>
      <c r="F4354" s="6" t="str">
        <f>IFERROR(__xludf.DUMMYFUNCTION("""COMPUTED_VALUE"""),"Velasquez Funez")</f>
        <v>Velasquez Funez</v>
      </c>
      <c r="G4354" s="6" t="str">
        <f>IFERROR(__xludf.DUMMYFUNCTION("""COMPUTED_VALUE"""),"08/16/2018")</f>
        <v>08/16/2018</v>
      </c>
      <c r="H4354" s="6" t="str">
        <f>IFERROR(__xludf.DUMMYFUNCTION("""COMPUTED_VALUE"""),"male")</f>
        <v>male</v>
      </c>
      <c r="I4354" s="6" t="str">
        <f>IFERROR(__xludf.DUMMYFUNCTION("""COMPUTED_VALUE"""),"Level 1")</f>
        <v>Level 1</v>
      </c>
      <c r="J4354" s="6" t="str">
        <f>IFERROR(__xludf.DUMMYFUNCTION("""COMPUTED_VALUE"""),"2")</f>
        <v>2</v>
      </c>
      <c r="K4354" s="6" t="str">
        <f>IFERROR(__xludf.DUMMYFUNCTION("""COMPUTED_VALUE"""),"daniel.velasquezfunez@2hourlearning.com")</f>
        <v>daniel.velasquezfunez@2hourlearning.com</v>
      </c>
      <c r="L4354" s="6" t="str">
        <f>IFERROR(__xludf.DUMMYFUNCTION("""COMPUTED_VALUE"""),"JHES - Hardeeville Elementary School")</f>
        <v>JHES - Hardeeville Elementary School</v>
      </c>
      <c r="M4354" s="6" t="str">
        <f>IFERROR(__xludf.DUMMYFUNCTION("""COMPUTED_VALUE"""),"")</f>
        <v/>
      </c>
      <c r="N4354" s="6" t="str">
        <f>IFERROR(__xludf.DUMMYFUNCTION("""COMPUTED_VALUE"""),"")</f>
        <v/>
      </c>
      <c r="O4354" s="87" t="str">
        <f>IFERROR(__xludf.DUMMYFUNCTION("""COMPUTED_VALUE"""),"https://drive.google.com/drive/folders/10T2cTQHqEJZqE-st6uFKPoI?usp=share_link")</f>
        <v>https://drive.google.com/drive/folders/10T2cTQHqEJZqE-st6uFKPoI?usp=share_link</v>
      </c>
      <c r="P4354" s="6" t="str">
        <f>IFERROR(__xludf.DUMMYFUNCTION("""COMPUTED_VALUE"""),"Daniel Velasquez Funez")</f>
        <v>Daniel Velasquez Funez</v>
      </c>
      <c r="Q4354" s="6" t="str">
        <f>IFERROR(__xludf.DUMMYFUNCTION("""COMPUTED_VALUE"""),"L1")</f>
        <v>L1</v>
      </c>
      <c r="R4354" s="6">
        <f>IFERROR(__xludf.DUMMYFUNCTION("""COMPUTED_VALUE"""),1.0)</f>
        <v>1</v>
      </c>
      <c r="S4354" s="6" t="str">
        <f>IFERROR(__xludf.DUMMYFUNCTION("""COMPUTED_VALUE""")," ")</f>
        <v> </v>
      </c>
      <c r="T4354" s="6" t="str">
        <f>IFERROR(__xludf.DUMMYFUNCTION("""COMPUTED_VALUE"""),"")</f>
        <v/>
      </c>
      <c r="U4354" s="6" t="str">
        <f>IFERROR(__xludf.DUMMYFUNCTION("""COMPUTED_VALUE"""),"2")</f>
        <v>2</v>
      </c>
      <c r="V4354" s="6" t="str">
        <f>IFERROR(__xludf.DUMMYFUNCTION("""COMPUTED_VALUE"""),"")</f>
        <v/>
      </c>
      <c r="W4354" s="6" t="str">
        <f>IFERROR(__xludf.DUMMYFUNCTION("""COMPUTED_VALUE"""),"[]")</f>
        <v>[]</v>
      </c>
      <c r="X4354" s="6" t="str">
        <f>IFERROR(__xludf.DUMMYFUNCTION("""COMPUTED_VALUE"""),"Enrolled")</f>
        <v>Enrolled</v>
      </c>
    </row>
    <row r="4355">
      <c r="A4355" s="6" t="str">
        <f>IFERROR(__xludf.DUMMYFUNCTION("""COMPUTED_VALUE"""),"083-11642")</f>
        <v>083-11642</v>
      </c>
      <c r="B4355" s="6" t="str">
        <f>IFERROR(__xludf.DUMMYFUNCTION("""COMPUTED_VALUE"""),"83")</f>
        <v>83</v>
      </c>
      <c r="C4355" s="6" t="str">
        <f>IFERROR(__xludf.DUMMYFUNCTION("""COMPUTED_VALUE"""),"11642")</f>
        <v>11642</v>
      </c>
      <c r="D4355" s="6" t="str">
        <f>IFERROR(__xludf.DUMMYFUNCTION("""COMPUTED_VALUE"""),"Gaiusia")</f>
        <v>Gaiusia</v>
      </c>
      <c r="E4355" s="6" t="str">
        <f>IFERROR(__xludf.DUMMYFUNCTION("""COMPUTED_VALUE"""),"")</f>
        <v/>
      </c>
      <c r="F4355" s="6" t="str">
        <f>IFERROR(__xludf.DUMMYFUNCTION("""COMPUTED_VALUE"""),"Arthur")</f>
        <v>Arthur</v>
      </c>
      <c r="G4355" s="6" t="str">
        <f>IFERROR(__xludf.DUMMYFUNCTION("""COMPUTED_VALUE"""),"06/20/2017")</f>
        <v>06/20/2017</v>
      </c>
      <c r="H4355" s="6" t="str">
        <f>IFERROR(__xludf.DUMMYFUNCTION("""COMPUTED_VALUE"""),"female")</f>
        <v>female</v>
      </c>
      <c r="I4355" s="6" t="str">
        <f>IFERROR(__xludf.DUMMYFUNCTION("""COMPUTED_VALUE"""),"Level 1")</f>
        <v>Level 1</v>
      </c>
      <c r="J4355" s="6" t="str">
        <f>IFERROR(__xludf.DUMMYFUNCTION("""COMPUTED_VALUE"""),"3")</f>
        <v>3</v>
      </c>
      <c r="K4355" s="6" t="str">
        <f>IFERROR(__xludf.DUMMYFUNCTION("""COMPUTED_VALUE"""),"gaiusia.arthur@2hourlearning.com")</f>
        <v>gaiusia.arthur@2hourlearning.com</v>
      </c>
      <c r="L4355" s="6" t="str">
        <f>IFERROR(__xludf.DUMMYFUNCTION("""COMPUTED_VALUE"""),"JHES - Hardeeville Elementary School")</f>
        <v>JHES - Hardeeville Elementary School</v>
      </c>
      <c r="M4355" s="6" t="str">
        <f>IFERROR(__xludf.DUMMYFUNCTION("""COMPUTED_VALUE"""),"")</f>
        <v/>
      </c>
      <c r="N4355" s="6" t="str">
        <f>IFERROR(__xludf.DUMMYFUNCTION("""COMPUTED_VALUE"""),"")</f>
        <v/>
      </c>
      <c r="O4355" s="87" t="str">
        <f>IFERROR(__xludf.DUMMYFUNCTION("""COMPUTED_VALUE"""),"https://drive.google.com/drive/folders/10T2cTQHqEJZqE-st6uFKPoI?usp=share_link")</f>
        <v>https://drive.google.com/drive/folders/10T2cTQHqEJZqE-st6uFKPoI?usp=share_link</v>
      </c>
      <c r="P4355" s="6" t="str">
        <f>IFERROR(__xludf.DUMMYFUNCTION("""COMPUTED_VALUE"""),"Gaiusia Arthur")</f>
        <v>Gaiusia Arthur</v>
      </c>
      <c r="Q4355" s="6" t="str">
        <f>IFERROR(__xludf.DUMMYFUNCTION("""COMPUTED_VALUE"""),"L1")</f>
        <v>L1</v>
      </c>
      <c r="R4355" s="6">
        <f>IFERROR(__xludf.DUMMYFUNCTION("""COMPUTED_VALUE"""),1.0)</f>
        <v>1</v>
      </c>
      <c r="S4355" s="6" t="str">
        <f>IFERROR(__xludf.DUMMYFUNCTION("""COMPUTED_VALUE""")," ")</f>
        <v> </v>
      </c>
      <c r="T4355" s="6" t="str">
        <f>IFERROR(__xludf.DUMMYFUNCTION("""COMPUTED_VALUE"""),"")</f>
        <v/>
      </c>
      <c r="U4355" s="6" t="str">
        <f>IFERROR(__xludf.DUMMYFUNCTION("""COMPUTED_VALUE"""),"3")</f>
        <v>3</v>
      </c>
      <c r="V4355" s="6" t="str">
        <f>IFERROR(__xludf.DUMMYFUNCTION("""COMPUTED_VALUE"""),"")</f>
        <v/>
      </c>
      <c r="W4355" s="6" t="str">
        <f>IFERROR(__xludf.DUMMYFUNCTION("""COMPUTED_VALUE"""),"[]")</f>
        <v>[]</v>
      </c>
      <c r="X4355" s="6" t="str">
        <f>IFERROR(__xludf.DUMMYFUNCTION("""COMPUTED_VALUE"""),"Enrolled")</f>
        <v>Enrolled</v>
      </c>
    </row>
    <row r="4356">
      <c r="A4356" s="6" t="str">
        <f>IFERROR(__xludf.DUMMYFUNCTION("""COMPUTED_VALUE"""),"083-11643")</f>
        <v>083-11643</v>
      </c>
      <c r="B4356" s="6" t="str">
        <f>IFERROR(__xludf.DUMMYFUNCTION("""COMPUTED_VALUE"""),"83")</f>
        <v>83</v>
      </c>
      <c r="C4356" s="6" t="str">
        <f>IFERROR(__xludf.DUMMYFUNCTION("""COMPUTED_VALUE"""),"11643")</f>
        <v>11643</v>
      </c>
      <c r="D4356" s="6" t="str">
        <f>IFERROR(__xludf.DUMMYFUNCTION("""COMPUTED_VALUE"""),"Archi")</f>
        <v>Archi</v>
      </c>
      <c r="E4356" s="6" t="str">
        <f>IFERROR(__xludf.DUMMYFUNCTION("""COMPUTED_VALUE"""),"")</f>
        <v/>
      </c>
      <c r="F4356" s="6" t="str">
        <f>IFERROR(__xludf.DUMMYFUNCTION("""COMPUTED_VALUE"""),"Avila-Murillo")</f>
        <v>Avila-Murillo</v>
      </c>
      <c r="G4356" s="6" t="str">
        <f>IFERROR(__xludf.DUMMYFUNCTION("""COMPUTED_VALUE"""),"08/09/2016")</f>
        <v>08/09/2016</v>
      </c>
      <c r="H4356" s="6" t="str">
        <f>IFERROR(__xludf.DUMMYFUNCTION("""COMPUTED_VALUE"""),"male")</f>
        <v>male</v>
      </c>
      <c r="I4356" s="6" t="str">
        <f>IFERROR(__xludf.DUMMYFUNCTION("""COMPUTED_VALUE"""),"Level 1")</f>
        <v>Level 1</v>
      </c>
      <c r="J4356" s="6" t="str">
        <f>IFERROR(__xludf.DUMMYFUNCTION("""COMPUTED_VALUE"""),"3")</f>
        <v>3</v>
      </c>
      <c r="K4356" s="6" t="str">
        <f>IFERROR(__xludf.DUMMYFUNCTION("""COMPUTED_VALUE"""),"archi.avilamurillo@2hourlearning.com")</f>
        <v>archi.avilamurillo@2hourlearning.com</v>
      </c>
      <c r="L4356" s="6" t="str">
        <f>IFERROR(__xludf.DUMMYFUNCTION("""COMPUTED_VALUE"""),"JHES - Hardeeville Elementary School")</f>
        <v>JHES - Hardeeville Elementary School</v>
      </c>
      <c r="M4356" s="6" t="str">
        <f>IFERROR(__xludf.DUMMYFUNCTION("""COMPUTED_VALUE"""),"")</f>
        <v/>
      </c>
      <c r="N4356" s="6" t="str">
        <f>IFERROR(__xludf.DUMMYFUNCTION("""COMPUTED_VALUE"""),"")</f>
        <v/>
      </c>
      <c r="O4356" s="87" t="str">
        <f>IFERROR(__xludf.DUMMYFUNCTION("""COMPUTED_VALUE"""),"https://drive.google.com/drive/folders/10T2cTQHqEJZqE-st6uFKPoI?usp=share_link")</f>
        <v>https://drive.google.com/drive/folders/10T2cTQHqEJZqE-st6uFKPoI?usp=share_link</v>
      </c>
      <c r="P4356" s="6" t="str">
        <f>IFERROR(__xludf.DUMMYFUNCTION("""COMPUTED_VALUE"""),"Archi Avila-Murillo")</f>
        <v>Archi Avila-Murillo</v>
      </c>
      <c r="Q4356" s="6" t="str">
        <f>IFERROR(__xludf.DUMMYFUNCTION("""COMPUTED_VALUE"""),"L1")</f>
        <v>L1</v>
      </c>
      <c r="R4356" s="6">
        <f>IFERROR(__xludf.DUMMYFUNCTION("""COMPUTED_VALUE"""),1.0)</f>
        <v>1</v>
      </c>
      <c r="S4356" s="6" t="str">
        <f>IFERROR(__xludf.DUMMYFUNCTION("""COMPUTED_VALUE""")," ")</f>
        <v> </v>
      </c>
      <c r="T4356" s="6" t="str">
        <f>IFERROR(__xludf.DUMMYFUNCTION("""COMPUTED_VALUE"""),"")</f>
        <v/>
      </c>
      <c r="U4356" s="6" t="str">
        <f>IFERROR(__xludf.DUMMYFUNCTION("""COMPUTED_VALUE"""),"3")</f>
        <v>3</v>
      </c>
      <c r="V4356" s="6" t="str">
        <f>IFERROR(__xludf.DUMMYFUNCTION("""COMPUTED_VALUE"""),"")</f>
        <v/>
      </c>
      <c r="W4356" s="6" t="str">
        <f>IFERROR(__xludf.DUMMYFUNCTION("""COMPUTED_VALUE"""),"[]")</f>
        <v>[]</v>
      </c>
      <c r="X4356" s="6" t="str">
        <f>IFERROR(__xludf.DUMMYFUNCTION("""COMPUTED_VALUE"""),"Enrolled")</f>
        <v>Enrolled</v>
      </c>
    </row>
    <row r="4357">
      <c r="A4357" s="6" t="str">
        <f>IFERROR(__xludf.DUMMYFUNCTION("""COMPUTED_VALUE"""),"083-11644")</f>
        <v>083-11644</v>
      </c>
      <c r="B4357" s="6" t="str">
        <f>IFERROR(__xludf.DUMMYFUNCTION("""COMPUTED_VALUE"""),"83")</f>
        <v>83</v>
      </c>
      <c r="C4357" s="6" t="str">
        <f>IFERROR(__xludf.DUMMYFUNCTION("""COMPUTED_VALUE"""),"11644")</f>
        <v>11644</v>
      </c>
      <c r="D4357" s="6" t="str">
        <f>IFERROR(__xludf.DUMMYFUNCTION("""COMPUTED_VALUE"""),"Scarlett")</f>
        <v>Scarlett</v>
      </c>
      <c r="E4357" s="6" t="str">
        <f>IFERROR(__xludf.DUMMYFUNCTION("""COMPUTED_VALUE"""),"")</f>
        <v/>
      </c>
      <c r="F4357" s="6" t="str">
        <f>IFERROR(__xludf.DUMMYFUNCTION("""COMPUTED_VALUE"""),"Bader")</f>
        <v>Bader</v>
      </c>
      <c r="G4357" s="6" t="str">
        <f>IFERROR(__xludf.DUMMYFUNCTION("""COMPUTED_VALUE"""),"04/19/2017")</f>
        <v>04/19/2017</v>
      </c>
      <c r="H4357" s="6" t="str">
        <f>IFERROR(__xludf.DUMMYFUNCTION("""COMPUTED_VALUE"""),"female")</f>
        <v>female</v>
      </c>
      <c r="I4357" s="6" t="str">
        <f>IFERROR(__xludf.DUMMYFUNCTION("""COMPUTED_VALUE"""),"Level 1")</f>
        <v>Level 1</v>
      </c>
      <c r="J4357" s="6" t="str">
        <f>IFERROR(__xludf.DUMMYFUNCTION("""COMPUTED_VALUE"""),"3")</f>
        <v>3</v>
      </c>
      <c r="K4357" s="6" t="str">
        <f>IFERROR(__xludf.DUMMYFUNCTION("""COMPUTED_VALUE"""),"scarlett.bader@2hourlearning.com")</f>
        <v>scarlett.bader@2hourlearning.com</v>
      </c>
      <c r="L4357" s="6" t="str">
        <f>IFERROR(__xludf.DUMMYFUNCTION("""COMPUTED_VALUE"""),"JHES - Hardeeville Elementary School")</f>
        <v>JHES - Hardeeville Elementary School</v>
      </c>
      <c r="M4357" s="6" t="str">
        <f>IFERROR(__xludf.DUMMYFUNCTION("""COMPUTED_VALUE"""),"")</f>
        <v/>
      </c>
      <c r="N4357" s="6" t="str">
        <f>IFERROR(__xludf.DUMMYFUNCTION("""COMPUTED_VALUE"""),"")</f>
        <v/>
      </c>
      <c r="O4357" s="87" t="str">
        <f>IFERROR(__xludf.DUMMYFUNCTION("""COMPUTED_VALUE"""),"https://drive.google.com/drive/folders/10T2cTQHqEJZqE-st6uFKPoI?usp=share_link")</f>
        <v>https://drive.google.com/drive/folders/10T2cTQHqEJZqE-st6uFKPoI?usp=share_link</v>
      </c>
      <c r="P4357" s="6" t="str">
        <f>IFERROR(__xludf.DUMMYFUNCTION("""COMPUTED_VALUE"""),"Scarlett Bader")</f>
        <v>Scarlett Bader</v>
      </c>
      <c r="Q4357" s="6" t="str">
        <f>IFERROR(__xludf.DUMMYFUNCTION("""COMPUTED_VALUE"""),"L1")</f>
        <v>L1</v>
      </c>
      <c r="R4357" s="6">
        <f>IFERROR(__xludf.DUMMYFUNCTION("""COMPUTED_VALUE"""),1.0)</f>
        <v>1</v>
      </c>
      <c r="S4357" s="6" t="str">
        <f>IFERROR(__xludf.DUMMYFUNCTION("""COMPUTED_VALUE""")," ")</f>
        <v> </v>
      </c>
      <c r="T4357" s="6" t="str">
        <f>IFERROR(__xludf.DUMMYFUNCTION("""COMPUTED_VALUE"""),"")</f>
        <v/>
      </c>
      <c r="U4357" s="6" t="str">
        <f>IFERROR(__xludf.DUMMYFUNCTION("""COMPUTED_VALUE"""),"3")</f>
        <v>3</v>
      </c>
      <c r="V4357" s="6" t="str">
        <f>IFERROR(__xludf.DUMMYFUNCTION("""COMPUTED_VALUE"""),"")</f>
        <v/>
      </c>
      <c r="W4357" s="6" t="str">
        <f>IFERROR(__xludf.DUMMYFUNCTION("""COMPUTED_VALUE"""),"[]")</f>
        <v>[]</v>
      </c>
      <c r="X4357" s="6" t="str">
        <f>IFERROR(__xludf.DUMMYFUNCTION("""COMPUTED_VALUE"""),"Enrolled")</f>
        <v>Enrolled</v>
      </c>
    </row>
    <row r="4358">
      <c r="A4358" s="6" t="str">
        <f>IFERROR(__xludf.DUMMYFUNCTION("""COMPUTED_VALUE"""),"083-11645")</f>
        <v>083-11645</v>
      </c>
      <c r="B4358" s="6" t="str">
        <f>IFERROR(__xludf.DUMMYFUNCTION("""COMPUTED_VALUE"""),"83")</f>
        <v>83</v>
      </c>
      <c r="C4358" s="6" t="str">
        <f>IFERROR(__xludf.DUMMYFUNCTION("""COMPUTED_VALUE"""),"11645")</f>
        <v>11645</v>
      </c>
      <c r="D4358" s="6" t="str">
        <f>IFERROR(__xludf.DUMMYFUNCTION("""COMPUTED_VALUE"""),"Melissa")</f>
        <v>Melissa</v>
      </c>
      <c r="E4358" s="6" t="str">
        <f>IFERROR(__xludf.DUMMYFUNCTION("""COMPUTED_VALUE"""),"")</f>
        <v/>
      </c>
      <c r="F4358" s="6" t="str">
        <f>IFERROR(__xludf.DUMMYFUNCTION("""COMPUTED_VALUE"""),"Barragan Camacho")</f>
        <v>Barragan Camacho</v>
      </c>
      <c r="G4358" s="6" t="str">
        <f>IFERROR(__xludf.DUMMYFUNCTION("""COMPUTED_VALUE"""),"10/08/2016")</f>
        <v>10/08/2016</v>
      </c>
      <c r="H4358" s="6" t="str">
        <f>IFERROR(__xludf.DUMMYFUNCTION("""COMPUTED_VALUE"""),"female")</f>
        <v>female</v>
      </c>
      <c r="I4358" s="6" t="str">
        <f>IFERROR(__xludf.DUMMYFUNCTION("""COMPUTED_VALUE"""),"Level 1")</f>
        <v>Level 1</v>
      </c>
      <c r="J4358" s="6" t="str">
        <f>IFERROR(__xludf.DUMMYFUNCTION("""COMPUTED_VALUE"""),"3")</f>
        <v>3</v>
      </c>
      <c r="K4358" s="6" t="str">
        <f>IFERROR(__xludf.DUMMYFUNCTION("""COMPUTED_VALUE"""),"melissa.barragancamacho@2hourlearning.com")</f>
        <v>melissa.barragancamacho@2hourlearning.com</v>
      </c>
      <c r="L4358" s="6" t="str">
        <f>IFERROR(__xludf.DUMMYFUNCTION("""COMPUTED_VALUE"""),"JHES - Hardeeville Elementary School")</f>
        <v>JHES - Hardeeville Elementary School</v>
      </c>
      <c r="M4358" s="6" t="str">
        <f>IFERROR(__xludf.DUMMYFUNCTION("""COMPUTED_VALUE"""),"")</f>
        <v/>
      </c>
      <c r="N4358" s="6" t="str">
        <f>IFERROR(__xludf.DUMMYFUNCTION("""COMPUTED_VALUE"""),"")</f>
        <v/>
      </c>
      <c r="O4358" s="87" t="str">
        <f>IFERROR(__xludf.DUMMYFUNCTION("""COMPUTED_VALUE"""),"https://drive.google.com/drive/folders/10T2cTQHqEJZqE-st6uFKPoI?usp=share_link")</f>
        <v>https://drive.google.com/drive/folders/10T2cTQHqEJZqE-st6uFKPoI?usp=share_link</v>
      </c>
      <c r="P4358" s="6" t="str">
        <f>IFERROR(__xludf.DUMMYFUNCTION("""COMPUTED_VALUE"""),"Melissa Barragan Camacho")</f>
        <v>Melissa Barragan Camacho</v>
      </c>
      <c r="Q4358" s="6" t="str">
        <f>IFERROR(__xludf.DUMMYFUNCTION("""COMPUTED_VALUE"""),"L1")</f>
        <v>L1</v>
      </c>
      <c r="R4358" s="6">
        <f>IFERROR(__xludf.DUMMYFUNCTION("""COMPUTED_VALUE"""),1.0)</f>
        <v>1</v>
      </c>
      <c r="S4358" s="6" t="str">
        <f>IFERROR(__xludf.DUMMYFUNCTION("""COMPUTED_VALUE""")," ")</f>
        <v> </v>
      </c>
      <c r="T4358" s="6" t="str">
        <f>IFERROR(__xludf.DUMMYFUNCTION("""COMPUTED_VALUE"""),"")</f>
        <v/>
      </c>
      <c r="U4358" s="6" t="str">
        <f>IFERROR(__xludf.DUMMYFUNCTION("""COMPUTED_VALUE"""),"3")</f>
        <v>3</v>
      </c>
      <c r="V4358" s="6" t="str">
        <f>IFERROR(__xludf.DUMMYFUNCTION("""COMPUTED_VALUE"""),"")</f>
        <v/>
      </c>
      <c r="W4358" s="6" t="str">
        <f>IFERROR(__xludf.DUMMYFUNCTION("""COMPUTED_VALUE"""),"[]")</f>
        <v>[]</v>
      </c>
      <c r="X4358" s="6" t="str">
        <f>IFERROR(__xludf.DUMMYFUNCTION("""COMPUTED_VALUE"""),"Enrolled")</f>
        <v>Enrolled</v>
      </c>
    </row>
    <row r="4359">
      <c r="A4359" s="6" t="str">
        <f>IFERROR(__xludf.DUMMYFUNCTION("""COMPUTED_VALUE"""),"083-11646")</f>
        <v>083-11646</v>
      </c>
      <c r="B4359" s="6" t="str">
        <f>IFERROR(__xludf.DUMMYFUNCTION("""COMPUTED_VALUE"""),"83")</f>
        <v>83</v>
      </c>
      <c r="C4359" s="6" t="str">
        <f>IFERROR(__xludf.DUMMYFUNCTION("""COMPUTED_VALUE"""),"11646")</f>
        <v>11646</v>
      </c>
      <c r="D4359" s="6" t="str">
        <f>IFERROR(__xludf.DUMMYFUNCTION("""COMPUTED_VALUE"""),"Darico")</f>
        <v>Darico</v>
      </c>
      <c r="E4359" s="6" t="str">
        <f>IFERROR(__xludf.DUMMYFUNCTION("""COMPUTED_VALUE"""),"")</f>
        <v/>
      </c>
      <c r="F4359" s="6" t="str">
        <f>IFERROR(__xludf.DUMMYFUNCTION("""COMPUTED_VALUE"""),"Bastian")</f>
        <v>Bastian</v>
      </c>
      <c r="G4359" s="6" t="str">
        <f>IFERROR(__xludf.DUMMYFUNCTION("""COMPUTED_VALUE"""),"03/19/2017")</f>
        <v>03/19/2017</v>
      </c>
      <c r="H4359" s="6" t="str">
        <f>IFERROR(__xludf.DUMMYFUNCTION("""COMPUTED_VALUE"""),"male")</f>
        <v>male</v>
      </c>
      <c r="I4359" s="6" t="str">
        <f>IFERROR(__xludf.DUMMYFUNCTION("""COMPUTED_VALUE"""),"Level 1")</f>
        <v>Level 1</v>
      </c>
      <c r="J4359" s="6" t="str">
        <f>IFERROR(__xludf.DUMMYFUNCTION("""COMPUTED_VALUE"""),"3")</f>
        <v>3</v>
      </c>
      <c r="K4359" s="6" t="str">
        <f>IFERROR(__xludf.DUMMYFUNCTION("""COMPUTED_VALUE"""),"darico.bastian@2hourlearning.com")</f>
        <v>darico.bastian@2hourlearning.com</v>
      </c>
      <c r="L4359" s="6" t="str">
        <f>IFERROR(__xludf.DUMMYFUNCTION("""COMPUTED_VALUE"""),"JHES - Hardeeville Elementary School")</f>
        <v>JHES - Hardeeville Elementary School</v>
      </c>
      <c r="M4359" s="6" t="str">
        <f>IFERROR(__xludf.DUMMYFUNCTION("""COMPUTED_VALUE"""),"")</f>
        <v/>
      </c>
      <c r="N4359" s="6" t="str">
        <f>IFERROR(__xludf.DUMMYFUNCTION("""COMPUTED_VALUE"""),"")</f>
        <v/>
      </c>
      <c r="O4359" s="87" t="str">
        <f>IFERROR(__xludf.DUMMYFUNCTION("""COMPUTED_VALUE"""),"https://drive.google.com/drive/folders/10T2cTQHqEJZqE-st6uFKPoI?usp=share_link")</f>
        <v>https://drive.google.com/drive/folders/10T2cTQHqEJZqE-st6uFKPoI?usp=share_link</v>
      </c>
      <c r="P4359" s="6" t="str">
        <f>IFERROR(__xludf.DUMMYFUNCTION("""COMPUTED_VALUE"""),"Darico Bastian")</f>
        <v>Darico Bastian</v>
      </c>
      <c r="Q4359" s="6" t="str">
        <f>IFERROR(__xludf.DUMMYFUNCTION("""COMPUTED_VALUE"""),"L1")</f>
        <v>L1</v>
      </c>
      <c r="R4359" s="6">
        <f>IFERROR(__xludf.DUMMYFUNCTION("""COMPUTED_VALUE"""),1.0)</f>
        <v>1</v>
      </c>
      <c r="S4359" s="6" t="str">
        <f>IFERROR(__xludf.DUMMYFUNCTION("""COMPUTED_VALUE""")," ")</f>
        <v> </v>
      </c>
      <c r="T4359" s="6" t="str">
        <f>IFERROR(__xludf.DUMMYFUNCTION("""COMPUTED_VALUE"""),"")</f>
        <v/>
      </c>
      <c r="U4359" s="6" t="str">
        <f>IFERROR(__xludf.DUMMYFUNCTION("""COMPUTED_VALUE"""),"3")</f>
        <v>3</v>
      </c>
      <c r="V4359" s="6" t="str">
        <f>IFERROR(__xludf.DUMMYFUNCTION("""COMPUTED_VALUE"""),"")</f>
        <v/>
      </c>
      <c r="W4359" s="6" t="str">
        <f>IFERROR(__xludf.DUMMYFUNCTION("""COMPUTED_VALUE"""),"[]")</f>
        <v>[]</v>
      </c>
      <c r="X4359" s="6" t="str">
        <f>IFERROR(__xludf.DUMMYFUNCTION("""COMPUTED_VALUE"""),"Enrolled")</f>
        <v>Enrolled</v>
      </c>
    </row>
    <row r="4360">
      <c r="A4360" s="6" t="str">
        <f>IFERROR(__xludf.DUMMYFUNCTION("""COMPUTED_VALUE"""),"083-11647")</f>
        <v>083-11647</v>
      </c>
      <c r="B4360" s="6" t="str">
        <f>IFERROR(__xludf.DUMMYFUNCTION("""COMPUTED_VALUE"""),"83")</f>
        <v>83</v>
      </c>
      <c r="C4360" s="6" t="str">
        <f>IFERROR(__xludf.DUMMYFUNCTION("""COMPUTED_VALUE"""),"11647")</f>
        <v>11647</v>
      </c>
      <c r="D4360" s="6" t="str">
        <f>IFERROR(__xludf.DUMMYFUNCTION("""COMPUTED_VALUE"""),"Corey")</f>
        <v>Corey</v>
      </c>
      <c r="E4360" s="6" t="str">
        <f>IFERROR(__xludf.DUMMYFUNCTION("""COMPUTED_VALUE"""),"")</f>
        <v/>
      </c>
      <c r="F4360" s="6" t="str">
        <f>IFERROR(__xludf.DUMMYFUNCTION("""COMPUTED_VALUE"""),"Bowls")</f>
        <v>Bowls</v>
      </c>
      <c r="G4360" s="6" t="str">
        <f>IFERROR(__xludf.DUMMYFUNCTION("""COMPUTED_VALUE"""),"03/13/2017")</f>
        <v>03/13/2017</v>
      </c>
      <c r="H4360" s="6" t="str">
        <f>IFERROR(__xludf.DUMMYFUNCTION("""COMPUTED_VALUE"""),"male")</f>
        <v>male</v>
      </c>
      <c r="I4360" s="6" t="str">
        <f>IFERROR(__xludf.DUMMYFUNCTION("""COMPUTED_VALUE"""),"Level 1")</f>
        <v>Level 1</v>
      </c>
      <c r="J4360" s="6" t="str">
        <f>IFERROR(__xludf.DUMMYFUNCTION("""COMPUTED_VALUE"""),"3")</f>
        <v>3</v>
      </c>
      <c r="K4360" s="6" t="str">
        <f>IFERROR(__xludf.DUMMYFUNCTION("""COMPUTED_VALUE"""),"corey.bowls@2hourlearning.com")</f>
        <v>corey.bowls@2hourlearning.com</v>
      </c>
      <c r="L4360" s="6" t="str">
        <f>IFERROR(__xludf.DUMMYFUNCTION("""COMPUTED_VALUE"""),"JHES - Hardeeville Elementary School")</f>
        <v>JHES - Hardeeville Elementary School</v>
      </c>
      <c r="M4360" s="6" t="str">
        <f>IFERROR(__xludf.DUMMYFUNCTION("""COMPUTED_VALUE"""),"")</f>
        <v/>
      </c>
      <c r="N4360" s="6" t="str">
        <f>IFERROR(__xludf.DUMMYFUNCTION("""COMPUTED_VALUE"""),"")</f>
        <v/>
      </c>
      <c r="O4360" s="87" t="str">
        <f>IFERROR(__xludf.DUMMYFUNCTION("""COMPUTED_VALUE"""),"https://drive.google.com/drive/folders/10T2cTQHqEJZqE-st6uFKPoI?usp=share_link")</f>
        <v>https://drive.google.com/drive/folders/10T2cTQHqEJZqE-st6uFKPoI?usp=share_link</v>
      </c>
      <c r="P4360" s="6" t="str">
        <f>IFERROR(__xludf.DUMMYFUNCTION("""COMPUTED_VALUE"""),"Corey Bowls")</f>
        <v>Corey Bowls</v>
      </c>
      <c r="Q4360" s="6" t="str">
        <f>IFERROR(__xludf.DUMMYFUNCTION("""COMPUTED_VALUE"""),"L1")</f>
        <v>L1</v>
      </c>
      <c r="R4360" s="6">
        <f>IFERROR(__xludf.DUMMYFUNCTION("""COMPUTED_VALUE"""),1.0)</f>
        <v>1</v>
      </c>
      <c r="S4360" s="6" t="str">
        <f>IFERROR(__xludf.DUMMYFUNCTION("""COMPUTED_VALUE""")," ")</f>
        <v> </v>
      </c>
      <c r="T4360" s="6" t="str">
        <f>IFERROR(__xludf.DUMMYFUNCTION("""COMPUTED_VALUE"""),"")</f>
        <v/>
      </c>
      <c r="U4360" s="6" t="str">
        <f>IFERROR(__xludf.DUMMYFUNCTION("""COMPUTED_VALUE"""),"3")</f>
        <v>3</v>
      </c>
      <c r="V4360" s="6" t="str">
        <f>IFERROR(__xludf.DUMMYFUNCTION("""COMPUTED_VALUE"""),"")</f>
        <v/>
      </c>
      <c r="W4360" s="6" t="str">
        <f>IFERROR(__xludf.DUMMYFUNCTION("""COMPUTED_VALUE"""),"[]")</f>
        <v>[]</v>
      </c>
      <c r="X4360" s="6" t="str">
        <f>IFERROR(__xludf.DUMMYFUNCTION("""COMPUTED_VALUE"""),"Enrolled")</f>
        <v>Enrolled</v>
      </c>
    </row>
    <row r="4361">
      <c r="A4361" s="6" t="str">
        <f>IFERROR(__xludf.DUMMYFUNCTION("""COMPUTED_VALUE"""),"083-11648")</f>
        <v>083-11648</v>
      </c>
      <c r="B4361" s="6" t="str">
        <f>IFERROR(__xludf.DUMMYFUNCTION("""COMPUTED_VALUE"""),"83")</f>
        <v>83</v>
      </c>
      <c r="C4361" s="6" t="str">
        <f>IFERROR(__xludf.DUMMYFUNCTION("""COMPUTED_VALUE"""),"11648")</f>
        <v>11648</v>
      </c>
      <c r="D4361" s="6" t="str">
        <f>IFERROR(__xludf.DUMMYFUNCTION("""COMPUTED_VALUE"""),"Jhoan")</f>
        <v>Jhoan</v>
      </c>
      <c r="E4361" s="6" t="str">
        <f>IFERROR(__xludf.DUMMYFUNCTION("""COMPUTED_VALUE"""),"")</f>
        <v/>
      </c>
      <c r="F4361" s="6" t="str">
        <f>IFERROR(__xludf.DUMMYFUNCTION("""COMPUTED_VALUE"""),"Cabrera Cano")</f>
        <v>Cabrera Cano</v>
      </c>
      <c r="G4361" s="6" t="str">
        <f>IFERROR(__xludf.DUMMYFUNCTION("""COMPUTED_VALUE"""),"04/18/2017")</f>
        <v>04/18/2017</v>
      </c>
      <c r="H4361" s="6" t="str">
        <f>IFERROR(__xludf.DUMMYFUNCTION("""COMPUTED_VALUE"""),"male")</f>
        <v>male</v>
      </c>
      <c r="I4361" s="6" t="str">
        <f>IFERROR(__xludf.DUMMYFUNCTION("""COMPUTED_VALUE"""),"Level 1")</f>
        <v>Level 1</v>
      </c>
      <c r="J4361" s="6" t="str">
        <f>IFERROR(__xludf.DUMMYFUNCTION("""COMPUTED_VALUE"""),"3")</f>
        <v>3</v>
      </c>
      <c r="K4361" s="6" t="str">
        <f>IFERROR(__xludf.DUMMYFUNCTION("""COMPUTED_VALUE"""),"jhoan.cabreracano@2hourlearning.com")</f>
        <v>jhoan.cabreracano@2hourlearning.com</v>
      </c>
      <c r="L4361" s="6" t="str">
        <f>IFERROR(__xludf.DUMMYFUNCTION("""COMPUTED_VALUE"""),"JHES - Hardeeville Elementary School")</f>
        <v>JHES - Hardeeville Elementary School</v>
      </c>
      <c r="M4361" s="6" t="str">
        <f>IFERROR(__xludf.DUMMYFUNCTION("""COMPUTED_VALUE"""),"")</f>
        <v/>
      </c>
      <c r="N4361" s="6" t="str">
        <f>IFERROR(__xludf.DUMMYFUNCTION("""COMPUTED_VALUE"""),"")</f>
        <v/>
      </c>
      <c r="O4361" s="87" t="str">
        <f>IFERROR(__xludf.DUMMYFUNCTION("""COMPUTED_VALUE"""),"https://drive.google.com/drive/folders/10T2cTQHqEJZqE-st6uFKPoI?usp=share_link")</f>
        <v>https://drive.google.com/drive/folders/10T2cTQHqEJZqE-st6uFKPoI?usp=share_link</v>
      </c>
      <c r="P4361" s="6" t="str">
        <f>IFERROR(__xludf.DUMMYFUNCTION("""COMPUTED_VALUE"""),"Jhoan Cabrera Cano")</f>
        <v>Jhoan Cabrera Cano</v>
      </c>
      <c r="Q4361" s="6" t="str">
        <f>IFERROR(__xludf.DUMMYFUNCTION("""COMPUTED_VALUE"""),"L1")</f>
        <v>L1</v>
      </c>
      <c r="R4361" s="6">
        <f>IFERROR(__xludf.DUMMYFUNCTION("""COMPUTED_VALUE"""),1.0)</f>
        <v>1</v>
      </c>
      <c r="S4361" s="6" t="str">
        <f>IFERROR(__xludf.DUMMYFUNCTION("""COMPUTED_VALUE""")," ")</f>
        <v> </v>
      </c>
      <c r="T4361" s="6" t="str">
        <f>IFERROR(__xludf.DUMMYFUNCTION("""COMPUTED_VALUE"""),"")</f>
        <v/>
      </c>
      <c r="U4361" s="6" t="str">
        <f>IFERROR(__xludf.DUMMYFUNCTION("""COMPUTED_VALUE"""),"3")</f>
        <v>3</v>
      </c>
      <c r="V4361" s="6" t="str">
        <f>IFERROR(__xludf.DUMMYFUNCTION("""COMPUTED_VALUE"""),"")</f>
        <v/>
      </c>
      <c r="W4361" s="6" t="str">
        <f>IFERROR(__xludf.DUMMYFUNCTION("""COMPUTED_VALUE"""),"[]")</f>
        <v>[]</v>
      </c>
      <c r="X4361" s="6" t="str">
        <f>IFERROR(__xludf.DUMMYFUNCTION("""COMPUTED_VALUE"""),"Enrolled")</f>
        <v>Enrolled</v>
      </c>
    </row>
    <row r="4362">
      <c r="A4362" s="6" t="str">
        <f>IFERROR(__xludf.DUMMYFUNCTION("""COMPUTED_VALUE"""),"083-11649")</f>
        <v>083-11649</v>
      </c>
      <c r="B4362" s="6" t="str">
        <f>IFERROR(__xludf.DUMMYFUNCTION("""COMPUTED_VALUE"""),"83")</f>
        <v>83</v>
      </c>
      <c r="C4362" s="6" t="str">
        <f>IFERROR(__xludf.DUMMYFUNCTION("""COMPUTED_VALUE"""),"11649")</f>
        <v>11649</v>
      </c>
      <c r="D4362" s="6" t="str">
        <f>IFERROR(__xludf.DUMMYFUNCTION("""COMPUTED_VALUE"""),"Valentina")</f>
        <v>Valentina</v>
      </c>
      <c r="E4362" s="6" t="str">
        <f>IFERROR(__xludf.DUMMYFUNCTION("""COMPUTED_VALUE"""),"")</f>
        <v/>
      </c>
      <c r="F4362" s="6" t="str">
        <f>IFERROR(__xludf.DUMMYFUNCTION("""COMPUTED_VALUE"""),"Garcia Sanchez")</f>
        <v>Garcia Sanchez</v>
      </c>
      <c r="G4362" s="6" t="str">
        <f>IFERROR(__xludf.DUMMYFUNCTION("""COMPUTED_VALUE"""),"05/30/2017")</f>
        <v>05/30/2017</v>
      </c>
      <c r="H4362" s="6" t="str">
        <f>IFERROR(__xludf.DUMMYFUNCTION("""COMPUTED_VALUE"""),"female")</f>
        <v>female</v>
      </c>
      <c r="I4362" s="6" t="str">
        <f>IFERROR(__xludf.DUMMYFUNCTION("""COMPUTED_VALUE"""),"Level 1")</f>
        <v>Level 1</v>
      </c>
      <c r="J4362" s="6" t="str">
        <f>IFERROR(__xludf.DUMMYFUNCTION("""COMPUTED_VALUE"""),"3")</f>
        <v>3</v>
      </c>
      <c r="K4362" s="6" t="str">
        <f>IFERROR(__xludf.DUMMYFUNCTION("""COMPUTED_VALUE"""),"valentina.garciasanchez@2hourlearning.com")</f>
        <v>valentina.garciasanchez@2hourlearning.com</v>
      </c>
      <c r="L4362" s="6" t="str">
        <f>IFERROR(__xludf.DUMMYFUNCTION("""COMPUTED_VALUE"""),"JHES - Hardeeville Elementary School")</f>
        <v>JHES - Hardeeville Elementary School</v>
      </c>
      <c r="M4362" s="6" t="str">
        <f>IFERROR(__xludf.DUMMYFUNCTION("""COMPUTED_VALUE"""),"")</f>
        <v/>
      </c>
      <c r="N4362" s="6" t="str">
        <f>IFERROR(__xludf.DUMMYFUNCTION("""COMPUTED_VALUE"""),"")</f>
        <v/>
      </c>
      <c r="O4362" s="87" t="str">
        <f>IFERROR(__xludf.DUMMYFUNCTION("""COMPUTED_VALUE"""),"https://drive.google.com/drive/folders/10T2cTQHqEJZqE-st6uFKPoI?usp=share_link")</f>
        <v>https://drive.google.com/drive/folders/10T2cTQHqEJZqE-st6uFKPoI?usp=share_link</v>
      </c>
      <c r="P4362" s="6" t="str">
        <f>IFERROR(__xludf.DUMMYFUNCTION("""COMPUTED_VALUE"""),"Valentina Garcia Sanchez")</f>
        <v>Valentina Garcia Sanchez</v>
      </c>
      <c r="Q4362" s="6" t="str">
        <f>IFERROR(__xludf.DUMMYFUNCTION("""COMPUTED_VALUE"""),"L1")</f>
        <v>L1</v>
      </c>
      <c r="R4362" s="6">
        <f>IFERROR(__xludf.DUMMYFUNCTION("""COMPUTED_VALUE"""),1.0)</f>
        <v>1</v>
      </c>
      <c r="S4362" s="6" t="str">
        <f>IFERROR(__xludf.DUMMYFUNCTION("""COMPUTED_VALUE""")," ")</f>
        <v> </v>
      </c>
      <c r="T4362" s="6" t="str">
        <f>IFERROR(__xludf.DUMMYFUNCTION("""COMPUTED_VALUE"""),"")</f>
        <v/>
      </c>
      <c r="U4362" s="6" t="str">
        <f>IFERROR(__xludf.DUMMYFUNCTION("""COMPUTED_VALUE"""),"3")</f>
        <v>3</v>
      </c>
      <c r="V4362" s="6" t="str">
        <f>IFERROR(__xludf.DUMMYFUNCTION("""COMPUTED_VALUE"""),"")</f>
        <v/>
      </c>
      <c r="W4362" s="6" t="str">
        <f>IFERROR(__xludf.DUMMYFUNCTION("""COMPUTED_VALUE"""),"[]")</f>
        <v>[]</v>
      </c>
      <c r="X4362" s="6" t="str">
        <f>IFERROR(__xludf.DUMMYFUNCTION("""COMPUTED_VALUE"""),"Enrolled")</f>
        <v>Enrolled</v>
      </c>
    </row>
    <row r="4363">
      <c r="A4363" s="6" t="str">
        <f>IFERROR(__xludf.DUMMYFUNCTION("""COMPUTED_VALUE"""),"083-11650")</f>
        <v>083-11650</v>
      </c>
      <c r="B4363" s="6" t="str">
        <f>IFERROR(__xludf.DUMMYFUNCTION("""COMPUTED_VALUE"""),"83")</f>
        <v>83</v>
      </c>
      <c r="C4363" s="6" t="str">
        <f>IFERROR(__xludf.DUMMYFUNCTION("""COMPUTED_VALUE"""),"11650")</f>
        <v>11650</v>
      </c>
      <c r="D4363" s="6" t="str">
        <f>IFERROR(__xludf.DUMMYFUNCTION("""COMPUTED_VALUE"""),"Bradley")</f>
        <v>Bradley</v>
      </c>
      <c r="E4363" s="6" t="str">
        <f>IFERROR(__xludf.DUMMYFUNCTION("""COMPUTED_VALUE"""),"")</f>
        <v/>
      </c>
      <c r="F4363" s="6" t="str">
        <f>IFERROR(__xludf.DUMMYFUNCTION("""COMPUTED_VALUE"""),"Godinez Bautista")</f>
        <v>Godinez Bautista</v>
      </c>
      <c r="G4363" s="6" t="str">
        <f>IFERROR(__xludf.DUMMYFUNCTION("""COMPUTED_VALUE"""),"03/03/2017")</f>
        <v>03/03/2017</v>
      </c>
      <c r="H4363" s="6" t="str">
        <f>IFERROR(__xludf.DUMMYFUNCTION("""COMPUTED_VALUE"""),"male")</f>
        <v>male</v>
      </c>
      <c r="I4363" s="6" t="str">
        <f>IFERROR(__xludf.DUMMYFUNCTION("""COMPUTED_VALUE"""),"Level 1")</f>
        <v>Level 1</v>
      </c>
      <c r="J4363" s="6" t="str">
        <f>IFERROR(__xludf.DUMMYFUNCTION("""COMPUTED_VALUE"""),"3")</f>
        <v>3</v>
      </c>
      <c r="K4363" s="6" t="str">
        <f>IFERROR(__xludf.DUMMYFUNCTION("""COMPUTED_VALUE"""),"bradley.godinezbautista@2hourlearning.com")</f>
        <v>bradley.godinezbautista@2hourlearning.com</v>
      </c>
      <c r="L4363" s="6" t="str">
        <f>IFERROR(__xludf.DUMMYFUNCTION("""COMPUTED_VALUE"""),"JHES - Hardeeville Elementary School")</f>
        <v>JHES - Hardeeville Elementary School</v>
      </c>
      <c r="M4363" s="6" t="str">
        <f>IFERROR(__xludf.DUMMYFUNCTION("""COMPUTED_VALUE"""),"")</f>
        <v/>
      </c>
      <c r="N4363" s="6" t="str">
        <f>IFERROR(__xludf.DUMMYFUNCTION("""COMPUTED_VALUE"""),"")</f>
        <v/>
      </c>
      <c r="O4363" s="87" t="str">
        <f>IFERROR(__xludf.DUMMYFUNCTION("""COMPUTED_VALUE"""),"https://drive.google.com/drive/folders/10T2cTQHqEJZqE-st6uFKPoI?usp=share_link")</f>
        <v>https://drive.google.com/drive/folders/10T2cTQHqEJZqE-st6uFKPoI?usp=share_link</v>
      </c>
      <c r="P4363" s="6" t="str">
        <f>IFERROR(__xludf.DUMMYFUNCTION("""COMPUTED_VALUE"""),"Bradley Godinez Bautista")</f>
        <v>Bradley Godinez Bautista</v>
      </c>
      <c r="Q4363" s="6" t="str">
        <f>IFERROR(__xludf.DUMMYFUNCTION("""COMPUTED_VALUE"""),"L1")</f>
        <v>L1</v>
      </c>
      <c r="R4363" s="6">
        <f>IFERROR(__xludf.DUMMYFUNCTION("""COMPUTED_VALUE"""),1.0)</f>
        <v>1</v>
      </c>
      <c r="S4363" s="6" t="str">
        <f>IFERROR(__xludf.DUMMYFUNCTION("""COMPUTED_VALUE""")," ")</f>
        <v> </v>
      </c>
      <c r="T4363" s="6" t="str">
        <f>IFERROR(__xludf.DUMMYFUNCTION("""COMPUTED_VALUE"""),"")</f>
        <v/>
      </c>
      <c r="U4363" s="6" t="str">
        <f>IFERROR(__xludf.DUMMYFUNCTION("""COMPUTED_VALUE"""),"3")</f>
        <v>3</v>
      </c>
      <c r="V4363" s="6" t="str">
        <f>IFERROR(__xludf.DUMMYFUNCTION("""COMPUTED_VALUE"""),"")</f>
        <v/>
      </c>
      <c r="W4363" s="6" t="str">
        <f>IFERROR(__xludf.DUMMYFUNCTION("""COMPUTED_VALUE"""),"[]")</f>
        <v>[]</v>
      </c>
      <c r="X4363" s="6" t="str">
        <f>IFERROR(__xludf.DUMMYFUNCTION("""COMPUTED_VALUE"""),"Enrolled")</f>
        <v>Enrolled</v>
      </c>
    </row>
    <row r="4364">
      <c r="A4364" s="6" t="str">
        <f>IFERROR(__xludf.DUMMYFUNCTION("""COMPUTED_VALUE"""),"083-11651")</f>
        <v>083-11651</v>
      </c>
      <c r="B4364" s="6" t="str">
        <f>IFERROR(__xludf.DUMMYFUNCTION("""COMPUTED_VALUE"""),"83")</f>
        <v>83</v>
      </c>
      <c r="C4364" s="6" t="str">
        <f>IFERROR(__xludf.DUMMYFUNCTION("""COMPUTED_VALUE"""),"11651")</f>
        <v>11651</v>
      </c>
      <c r="D4364" s="6" t="str">
        <f>IFERROR(__xludf.DUMMYFUNCTION("""COMPUTED_VALUE"""),"Yatzil")</f>
        <v>Yatzil</v>
      </c>
      <c r="E4364" s="6" t="str">
        <f>IFERROR(__xludf.DUMMYFUNCTION("""COMPUTED_VALUE"""),"")</f>
        <v/>
      </c>
      <c r="F4364" s="6" t="str">
        <f>IFERROR(__xludf.DUMMYFUNCTION("""COMPUTED_VALUE"""),"Gonzales-Hernandez")</f>
        <v>Gonzales-Hernandez</v>
      </c>
      <c r="G4364" s="6" t="str">
        <f>IFERROR(__xludf.DUMMYFUNCTION("""COMPUTED_VALUE"""),"09/07/2016")</f>
        <v>09/07/2016</v>
      </c>
      <c r="H4364" s="6" t="str">
        <f>IFERROR(__xludf.DUMMYFUNCTION("""COMPUTED_VALUE"""),"female")</f>
        <v>female</v>
      </c>
      <c r="I4364" s="6" t="str">
        <f>IFERROR(__xludf.DUMMYFUNCTION("""COMPUTED_VALUE"""),"Level 1")</f>
        <v>Level 1</v>
      </c>
      <c r="J4364" s="6" t="str">
        <f>IFERROR(__xludf.DUMMYFUNCTION("""COMPUTED_VALUE"""),"3")</f>
        <v>3</v>
      </c>
      <c r="K4364" s="6" t="str">
        <f>IFERROR(__xludf.DUMMYFUNCTION("""COMPUTED_VALUE"""),"yatzil.gonzaleshernandez@2hourlearning.com")</f>
        <v>yatzil.gonzaleshernandez@2hourlearning.com</v>
      </c>
      <c r="L4364" s="6" t="str">
        <f>IFERROR(__xludf.DUMMYFUNCTION("""COMPUTED_VALUE"""),"JHES - Hardeeville Elementary School")</f>
        <v>JHES - Hardeeville Elementary School</v>
      </c>
      <c r="M4364" s="6" t="str">
        <f>IFERROR(__xludf.DUMMYFUNCTION("""COMPUTED_VALUE"""),"")</f>
        <v/>
      </c>
      <c r="N4364" s="6" t="str">
        <f>IFERROR(__xludf.DUMMYFUNCTION("""COMPUTED_VALUE"""),"")</f>
        <v/>
      </c>
      <c r="O4364" s="87" t="str">
        <f>IFERROR(__xludf.DUMMYFUNCTION("""COMPUTED_VALUE"""),"https://drive.google.com/drive/folders/10T2cTQHqEJZqE-st6uFKPoI?usp=share_link")</f>
        <v>https://drive.google.com/drive/folders/10T2cTQHqEJZqE-st6uFKPoI?usp=share_link</v>
      </c>
      <c r="P4364" s="6" t="str">
        <f>IFERROR(__xludf.DUMMYFUNCTION("""COMPUTED_VALUE"""),"Yatzil Gonzales-Hernandez")</f>
        <v>Yatzil Gonzales-Hernandez</v>
      </c>
      <c r="Q4364" s="6" t="str">
        <f>IFERROR(__xludf.DUMMYFUNCTION("""COMPUTED_VALUE"""),"L1")</f>
        <v>L1</v>
      </c>
      <c r="R4364" s="6">
        <f>IFERROR(__xludf.DUMMYFUNCTION("""COMPUTED_VALUE"""),1.0)</f>
        <v>1</v>
      </c>
      <c r="S4364" s="6" t="str">
        <f>IFERROR(__xludf.DUMMYFUNCTION("""COMPUTED_VALUE""")," ")</f>
        <v> </v>
      </c>
      <c r="T4364" s="6" t="str">
        <f>IFERROR(__xludf.DUMMYFUNCTION("""COMPUTED_VALUE"""),"")</f>
        <v/>
      </c>
      <c r="U4364" s="6" t="str">
        <f>IFERROR(__xludf.DUMMYFUNCTION("""COMPUTED_VALUE"""),"3")</f>
        <v>3</v>
      </c>
      <c r="V4364" s="6" t="str">
        <f>IFERROR(__xludf.DUMMYFUNCTION("""COMPUTED_VALUE"""),"")</f>
        <v/>
      </c>
      <c r="W4364" s="6" t="str">
        <f>IFERROR(__xludf.DUMMYFUNCTION("""COMPUTED_VALUE"""),"[]")</f>
        <v>[]</v>
      </c>
      <c r="X4364" s="6" t="str">
        <f>IFERROR(__xludf.DUMMYFUNCTION("""COMPUTED_VALUE"""),"Enrolled")</f>
        <v>Enrolled</v>
      </c>
    </row>
    <row r="4365">
      <c r="A4365" s="6" t="str">
        <f>IFERROR(__xludf.DUMMYFUNCTION("""COMPUTED_VALUE"""),"083-11652")</f>
        <v>083-11652</v>
      </c>
      <c r="B4365" s="6" t="str">
        <f>IFERROR(__xludf.DUMMYFUNCTION("""COMPUTED_VALUE"""),"83")</f>
        <v>83</v>
      </c>
      <c r="C4365" s="6" t="str">
        <f>IFERROR(__xludf.DUMMYFUNCTION("""COMPUTED_VALUE"""),"11652")</f>
        <v>11652</v>
      </c>
      <c r="D4365" s="6" t="str">
        <f>IFERROR(__xludf.DUMMYFUNCTION("""COMPUTED_VALUE"""),"Mahalya")</f>
        <v>Mahalya</v>
      </c>
      <c r="E4365" s="6" t="str">
        <f>IFERROR(__xludf.DUMMYFUNCTION("""COMPUTED_VALUE"""),"")</f>
        <v/>
      </c>
      <c r="F4365" s="6" t="str">
        <f>IFERROR(__xludf.DUMMYFUNCTION("""COMPUTED_VALUE"""),"Graham")</f>
        <v>Graham</v>
      </c>
      <c r="G4365" s="6" t="str">
        <f>IFERROR(__xludf.DUMMYFUNCTION("""COMPUTED_VALUE"""),"12/18/2016")</f>
        <v>12/18/2016</v>
      </c>
      <c r="H4365" s="6" t="str">
        <f>IFERROR(__xludf.DUMMYFUNCTION("""COMPUTED_VALUE"""),"female")</f>
        <v>female</v>
      </c>
      <c r="I4365" s="6" t="str">
        <f>IFERROR(__xludf.DUMMYFUNCTION("""COMPUTED_VALUE"""),"Level 1")</f>
        <v>Level 1</v>
      </c>
      <c r="J4365" s="6" t="str">
        <f>IFERROR(__xludf.DUMMYFUNCTION("""COMPUTED_VALUE"""),"3")</f>
        <v>3</v>
      </c>
      <c r="K4365" s="6" t="str">
        <f>IFERROR(__xludf.DUMMYFUNCTION("""COMPUTED_VALUE"""),"mahalya.graham@2hourlearning.com")</f>
        <v>mahalya.graham@2hourlearning.com</v>
      </c>
      <c r="L4365" s="6" t="str">
        <f>IFERROR(__xludf.DUMMYFUNCTION("""COMPUTED_VALUE"""),"JHES - Hardeeville Elementary School")</f>
        <v>JHES - Hardeeville Elementary School</v>
      </c>
      <c r="M4365" s="6" t="str">
        <f>IFERROR(__xludf.DUMMYFUNCTION("""COMPUTED_VALUE"""),"")</f>
        <v/>
      </c>
      <c r="N4365" s="6" t="str">
        <f>IFERROR(__xludf.DUMMYFUNCTION("""COMPUTED_VALUE"""),"")</f>
        <v/>
      </c>
      <c r="O4365" s="87" t="str">
        <f>IFERROR(__xludf.DUMMYFUNCTION("""COMPUTED_VALUE"""),"https://drive.google.com/drive/folders/10T2cTQHqEJZqE-st6uFKPoI?usp=share_link")</f>
        <v>https://drive.google.com/drive/folders/10T2cTQHqEJZqE-st6uFKPoI?usp=share_link</v>
      </c>
      <c r="P4365" s="6" t="str">
        <f>IFERROR(__xludf.DUMMYFUNCTION("""COMPUTED_VALUE"""),"Mahalya Graham")</f>
        <v>Mahalya Graham</v>
      </c>
      <c r="Q4365" s="6" t="str">
        <f>IFERROR(__xludf.DUMMYFUNCTION("""COMPUTED_VALUE"""),"L1")</f>
        <v>L1</v>
      </c>
      <c r="R4365" s="6">
        <f>IFERROR(__xludf.DUMMYFUNCTION("""COMPUTED_VALUE"""),1.0)</f>
        <v>1</v>
      </c>
      <c r="S4365" s="6" t="str">
        <f>IFERROR(__xludf.DUMMYFUNCTION("""COMPUTED_VALUE""")," ")</f>
        <v> </v>
      </c>
      <c r="T4365" s="6" t="str">
        <f>IFERROR(__xludf.DUMMYFUNCTION("""COMPUTED_VALUE"""),"")</f>
        <v/>
      </c>
      <c r="U4365" s="6" t="str">
        <f>IFERROR(__xludf.DUMMYFUNCTION("""COMPUTED_VALUE"""),"3")</f>
        <v>3</v>
      </c>
      <c r="V4365" s="6" t="str">
        <f>IFERROR(__xludf.DUMMYFUNCTION("""COMPUTED_VALUE"""),"")</f>
        <v/>
      </c>
      <c r="W4365" s="6" t="str">
        <f>IFERROR(__xludf.DUMMYFUNCTION("""COMPUTED_VALUE"""),"[]")</f>
        <v>[]</v>
      </c>
      <c r="X4365" s="6" t="str">
        <f>IFERROR(__xludf.DUMMYFUNCTION("""COMPUTED_VALUE"""),"Enrolled")</f>
        <v>Enrolled</v>
      </c>
    </row>
    <row r="4366">
      <c r="A4366" s="6" t="str">
        <f>IFERROR(__xludf.DUMMYFUNCTION("""COMPUTED_VALUE"""),"083-11653")</f>
        <v>083-11653</v>
      </c>
      <c r="B4366" s="6" t="str">
        <f>IFERROR(__xludf.DUMMYFUNCTION("""COMPUTED_VALUE"""),"83")</f>
        <v>83</v>
      </c>
      <c r="C4366" s="6" t="str">
        <f>IFERROR(__xludf.DUMMYFUNCTION("""COMPUTED_VALUE"""),"11653")</f>
        <v>11653</v>
      </c>
      <c r="D4366" s="6" t="str">
        <f>IFERROR(__xludf.DUMMYFUNCTION("""COMPUTED_VALUE"""),"Brandon")</f>
        <v>Brandon</v>
      </c>
      <c r="E4366" s="6" t="str">
        <f>IFERROR(__xludf.DUMMYFUNCTION("""COMPUTED_VALUE"""),"")</f>
        <v/>
      </c>
      <c r="F4366" s="6" t="str">
        <f>IFERROR(__xludf.DUMMYFUNCTION("""COMPUTED_VALUE"""),"Hernandez Morales")</f>
        <v>Hernandez Morales</v>
      </c>
      <c r="G4366" s="6" t="str">
        <f>IFERROR(__xludf.DUMMYFUNCTION("""COMPUTED_VALUE"""),"09/20/2015")</f>
        <v>09/20/2015</v>
      </c>
      <c r="H4366" s="6" t="str">
        <f>IFERROR(__xludf.DUMMYFUNCTION("""COMPUTED_VALUE"""),"male")</f>
        <v>male</v>
      </c>
      <c r="I4366" s="6" t="str">
        <f>IFERROR(__xludf.DUMMYFUNCTION("""COMPUTED_VALUE"""),"Level 1")</f>
        <v>Level 1</v>
      </c>
      <c r="J4366" s="6" t="str">
        <f>IFERROR(__xludf.DUMMYFUNCTION("""COMPUTED_VALUE"""),"3")</f>
        <v>3</v>
      </c>
      <c r="K4366" s="6" t="str">
        <f>IFERROR(__xludf.DUMMYFUNCTION("""COMPUTED_VALUE"""),"brandon.hernandezmorales@2hourlearning.com")</f>
        <v>brandon.hernandezmorales@2hourlearning.com</v>
      </c>
      <c r="L4366" s="6" t="str">
        <f>IFERROR(__xludf.DUMMYFUNCTION("""COMPUTED_VALUE"""),"JHES - Hardeeville Elementary School")</f>
        <v>JHES - Hardeeville Elementary School</v>
      </c>
      <c r="M4366" s="6" t="str">
        <f>IFERROR(__xludf.DUMMYFUNCTION("""COMPUTED_VALUE"""),"")</f>
        <v/>
      </c>
      <c r="N4366" s="6" t="str">
        <f>IFERROR(__xludf.DUMMYFUNCTION("""COMPUTED_VALUE"""),"")</f>
        <v/>
      </c>
      <c r="O4366" s="87" t="str">
        <f>IFERROR(__xludf.DUMMYFUNCTION("""COMPUTED_VALUE"""),"https://drive.google.com/drive/folders/10T2cTQHqEJZqE-st6uFKPoI?usp=share_link")</f>
        <v>https://drive.google.com/drive/folders/10T2cTQHqEJZqE-st6uFKPoI?usp=share_link</v>
      </c>
      <c r="P4366" s="6" t="str">
        <f>IFERROR(__xludf.DUMMYFUNCTION("""COMPUTED_VALUE"""),"Brandon Hernandez Morales")</f>
        <v>Brandon Hernandez Morales</v>
      </c>
      <c r="Q4366" s="6" t="str">
        <f>IFERROR(__xludf.DUMMYFUNCTION("""COMPUTED_VALUE"""),"L1")</f>
        <v>L1</v>
      </c>
      <c r="R4366" s="6">
        <f>IFERROR(__xludf.DUMMYFUNCTION("""COMPUTED_VALUE"""),1.0)</f>
        <v>1</v>
      </c>
      <c r="S4366" s="6" t="str">
        <f>IFERROR(__xludf.DUMMYFUNCTION("""COMPUTED_VALUE""")," ")</f>
        <v> </v>
      </c>
      <c r="T4366" s="6" t="str">
        <f>IFERROR(__xludf.DUMMYFUNCTION("""COMPUTED_VALUE"""),"")</f>
        <v/>
      </c>
      <c r="U4366" s="6" t="str">
        <f>IFERROR(__xludf.DUMMYFUNCTION("""COMPUTED_VALUE"""),"3")</f>
        <v>3</v>
      </c>
      <c r="V4366" s="6" t="str">
        <f>IFERROR(__xludf.DUMMYFUNCTION("""COMPUTED_VALUE"""),"")</f>
        <v/>
      </c>
      <c r="W4366" s="6" t="str">
        <f>IFERROR(__xludf.DUMMYFUNCTION("""COMPUTED_VALUE"""),"[]")</f>
        <v>[]</v>
      </c>
      <c r="X4366" s="6" t="str">
        <f>IFERROR(__xludf.DUMMYFUNCTION("""COMPUTED_VALUE"""),"Enrolled")</f>
        <v>Enrolled</v>
      </c>
    </row>
    <row r="4367">
      <c r="A4367" s="6" t="str">
        <f>IFERROR(__xludf.DUMMYFUNCTION("""COMPUTED_VALUE"""),"083-11654")</f>
        <v>083-11654</v>
      </c>
      <c r="B4367" s="6" t="str">
        <f>IFERROR(__xludf.DUMMYFUNCTION("""COMPUTED_VALUE"""),"83")</f>
        <v>83</v>
      </c>
      <c r="C4367" s="6" t="str">
        <f>IFERROR(__xludf.DUMMYFUNCTION("""COMPUTED_VALUE"""),"11654")</f>
        <v>11654</v>
      </c>
      <c r="D4367" s="6" t="str">
        <f>IFERROR(__xludf.DUMMYFUNCTION("""COMPUTED_VALUE"""),"Benjamin Parker")</f>
        <v>Benjamin Parker</v>
      </c>
      <c r="E4367" s="6" t="str">
        <f>IFERROR(__xludf.DUMMYFUNCTION("""COMPUTED_VALUE"""),"")</f>
        <v/>
      </c>
      <c r="F4367" s="6" t="str">
        <f>IFERROR(__xludf.DUMMYFUNCTION("""COMPUTED_VALUE"""),"Lincoln")</f>
        <v>Lincoln</v>
      </c>
      <c r="G4367" s="6" t="str">
        <f>IFERROR(__xludf.DUMMYFUNCTION("""COMPUTED_VALUE"""),"10/24/2016")</f>
        <v>10/24/2016</v>
      </c>
      <c r="H4367" s="6" t="str">
        <f>IFERROR(__xludf.DUMMYFUNCTION("""COMPUTED_VALUE"""),"male")</f>
        <v>male</v>
      </c>
      <c r="I4367" s="6" t="str">
        <f>IFERROR(__xludf.DUMMYFUNCTION("""COMPUTED_VALUE"""),"Level 1")</f>
        <v>Level 1</v>
      </c>
      <c r="J4367" s="6" t="str">
        <f>IFERROR(__xludf.DUMMYFUNCTION("""COMPUTED_VALUE"""),"3")</f>
        <v>3</v>
      </c>
      <c r="K4367" s="6" t="str">
        <f>IFERROR(__xludf.DUMMYFUNCTION("""COMPUTED_VALUE"""),"benjaminparker.lincoln@2hourlearning.com")</f>
        <v>benjaminparker.lincoln@2hourlearning.com</v>
      </c>
      <c r="L4367" s="6" t="str">
        <f>IFERROR(__xludf.DUMMYFUNCTION("""COMPUTED_VALUE"""),"JHES - Hardeeville Elementary School")</f>
        <v>JHES - Hardeeville Elementary School</v>
      </c>
      <c r="M4367" s="6" t="str">
        <f>IFERROR(__xludf.DUMMYFUNCTION("""COMPUTED_VALUE"""),"")</f>
        <v/>
      </c>
      <c r="N4367" s="6" t="str">
        <f>IFERROR(__xludf.DUMMYFUNCTION("""COMPUTED_VALUE"""),"")</f>
        <v/>
      </c>
      <c r="O4367" s="87" t="str">
        <f>IFERROR(__xludf.DUMMYFUNCTION("""COMPUTED_VALUE"""),"https://drive.google.com/drive/folders/10T2cTQHqEJZqE-st6uFKPoI?usp=share_link")</f>
        <v>https://drive.google.com/drive/folders/10T2cTQHqEJZqE-st6uFKPoI?usp=share_link</v>
      </c>
      <c r="P4367" s="6" t="str">
        <f>IFERROR(__xludf.DUMMYFUNCTION("""COMPUTED_VALUE"""),"Benjamin Parker Lincoln")</f>
        <v>Benjamin Parker Lincoln</v>
      </c>
      <c r="Q4367" s="6" t="str">
        <f>IFERROR(__xludf.DUMMYFUNCTION("""COMPUTED_VALUE"""),"L1")</f>
        <v>L1</v>
      </c>
      <c r="R4367" s="6">
        <f>IFERROR(__xludf.DUMMYFUNCTION("""COMPUTED_VALUE"""),1.0)</f>
        <v>1</v>
      </c>
      <c r="S4367" s="6" t="str">
        <f>IFERROR(__xludf.DUMMYFUNCTION("""COMPUTED_VALUE""")," ")</f>
        <v> </v>
      </c>
      <c r="T4367" s="6" t="str">
        <f>IFERROR(__xludf.DUMMYFUNCTION("""COMPUTED_VALUE"""),"")</f>
        <v/>
      </c>
      <c r="U4367" s="6" t="str">
        <f>IFERROR(__xludf.DUMMYFUNCTION("""COMPUTED_VALUE"""),"3")</f>
        <v>3</v>
      </c>
      <c r="V4367" s="6" t="str">
        <f>IFERROR(__xludf.DUMMYFUNCTION("""COMPUTED_VALUE"""),"")</f>
        <v/>
      </c>
      <c r="W4367" s="6" t="str">
        <f>IFERROR(__xludf.DUMMYFUNCTION("""COMPUTED_VALUE"""),"[]")</f>
        <v>[]</v>
      </c>
      <c r="X4367" s="6" t="str">
        <f>IFERROR(__xludf.DUMMYFUNCTION("""COMPUTED_VALUE"""),"Enrolled")</f>
        <v>Enrolled</v>
      </c>
    </row>
    <row r="4368">
      <c r="A4368" s="6" t="str">
        <f>IFERROR(__xludf.DUMMYFUNCTION("""COMPUTED_VALUE"""),"083-11655")</f>
        <v>083-11655</v>
      </c>
      <c r="B4368" s="6" t="str">
        <f>IFERROR(__xludf.DUMMYFUNCTION("""COMPUTED_VALUE"""),"83")</f>
        <v>83</v>
      </c>
      <c r="C4368" s="6" t="str">
        <f>IFERROR(__xludf.DUMMYFUNCTION("""COMPUTED_VALUE"""),"11655")</f>
        <v>11655</v>
      </c>
      <c r="D4368" s="6" t="str">
        <f>IFERROR(__xludf.DUMMYFUNCTION("""COMPUTED_VALUE"""),"Henry Hassiel")</f>
        <v>Henry Hassiel</v>
      </c>
      <c r="E4368" s="6" t="str">
        <f>IFERROR(__xludf.DUMMYFUNCTION("""COMPUTED_VALUE"""),"")</f>
        <v/>
      </c>
      <c r="F4368" s="6" t="str">
        <f>IFERROR(__xludf.DUMMYFUNCTION("""COMPUTED_VALUE"""),"Lopez Bernal")</f>
        <v>Lopez Bernal</v>
      </c>
      <c r="G4368" s="6" t="str">
        <f>IFERROR(__xludf.DUMMYFUNCTION("""COMPUTED_VALUE"""),"10/12/2016")</f>
        <v>10/12/2016</v>
      </c>
      <c r="H4368" s="6" t="str">
        <f>IFERROR(__xludf.DUMMYFUNCTION("""COMPUTED_VALUE"""),"male")</f>
        <v>male</v>
      </c>
      <c r="I4368" s="6" t="str">
        <f>IFERROR(__xludf.DUMMYFUNCTION("""COMPUTED_VALUE"""),"Level 1")</f>
        <v>Level 1</v>
      </c>
      <c r="J4368" s="6" t="str">
        <f>IFERROR(__xludf.DUMMYFUNCTION("""COMPUTED_VALUE"""),"3")</f>
        <v>3</v>
      </c>
      <c r="K4368" s="6" t="str">
        <f>IFERROR(__xludf.DUMMYFUNCTION("""COMPUTED_VALUE"""),"henryhassiel.lopezbernal@2hourlearning.com")</f>
        <v>henryhassiel.lopezbernal@2hourlearning.com</v>
      </c>
      <c r="L4368" s="6" t="str">
        <f>IFERROR(__xludf.DUMMYFUNCTION("""COMPUTED_VALUE"""),"JHES - Hardeeville Elementary School")</f>
        <v>JHES - Hardeeville Elementary School</v>
      </c>
      <c r="M4368" s="6" t="str">
        <f>IFERROR(__xludf.DUMMYFUNCTION("""COMPUTED_VALUE"""),"")</f>
        <v/>
      </c>
      <c r="N4368" s="6" t="str">
        <f>IFERROR(__xludf.DUMMYFUNCTION("""COMPUTED_VALUE"""),"")</f>
        <v/>
      </c>
      <c r="O4368" s="87" t="str">
        <f>IFERROR(__xludf.DUMMYFUNCTION("""COMPUTED_VALUE"""),"https://drive.google.com/drive/folders/10T2cTQHqEJZqE-st6uFKPoI?usp=share_link")</f>
        <v>https://drive.google.com/drive/folders/10T2cTQHqEJZqE-st6uFKPoI?usp=share_link</v>
      </c>
      <c r="P4368" s="6" t="str">
        <f>IFERROR(__xludf.DUMMYFUNCTION("""COMPUTED_VALUE"""),"Henry Hassiel Lopez Bernal")</f>
        <v>Henry Hassiel Lopez Bernal</v>
      </c>
      <c r="Q4368" s="6" t="str">
        <f>IFERROR(__xludf.DUMMYFUNCTION("""COMPUTED_VALUE"""),"L1")</f>
        <v>L1</v>
      </c>
      <c r="R4368" s="6">
        <f>IFERROR(__xludf.DUMMYFUNCTION("""COMPUTED_VALUE"""),1.0)</f>
        <v>1</v>
      </c>
      <c r="S4368" s="6" t="str">
        <f>IFERROR(__xludf.DUMMYFUNCTION("""COMPUTED_VALUE""")," ")</f>
        <v> </v>
      </c>
      <c r="T4368" s="6" t="str">
        <f>IFERROR(__xludf.DUMMYFUNCTION("""COMPUTED_VALUE"""),"")</f>
        <v/>
      </c>
      <c r="U4368" s="6" t="str">
        <f>IFERROR(__xludf.DUMMYFUNCTION("""COMPUTED_VALUE"""),"3")</f>
        <v>3</v>
      </c>
      <c r="V4368" s="6" t="str">
        <f>IFERROR(__xludf.DUMMYFUNCTION("""COMPUTED_VALUE"""),"")</f>
        <v/>
      </c>
      <c r="W4368" s="6" t="str">
        <f>IFERROR(__xludf.DUMMYFUNCTION("""COMPUTED_VALUE"""),"[]")</f>
        <v>[]</v>
      </c>
      <c r="X4368" s="6" t="str">
        <f>IFERROR(__xludf.DUMMYFUNCTION("""COMPUTED_VALUE"""),"Enrolled")</f>
        <v>Enrolled</v>
      </c>
    </row>
    <row r="4369">
      <c r="A4369" s="6" t="str">
        <f>IFERROR(__xludf.DUMMYFUNCTION("""COMPUTED_VALUE"""),"083-11656")</f>
        <v>083-11656</v>
      </c>
      <c r="B4369" s="6" t="str">
        <f>IFERROR(__xludf.DUMMYFUNCTION("""COMPUTED_VALUE"""),"83")</f>
        <v>83</v>
      </c>
      <c r="C4369" s="6" t="str">
        <f>IFERROR(__xludf.DUMMYFUNCTION("""COMPUTED_VALUE"""),"11656")</f>
        <v>11656</v>
      </c>
      <c r="D4369" s="6" t="str">
        <f>IFERROR(__xludf.DUMMYFUNCTION("""COMPUTED_VALUE"""),"Conse")</f>
        <v>Conse</v>
      </c>
      <c r="E4369" s="6" t="str">
        <f>IFERROR(__xludf.DUMMYFUNCTION("""COMPUTED_VALUE"""),"")</f>
        <v/>
      </c>
      <c r="F4369" s="6" t="str">
        <f>IFERROR(__xludf.DUMMYFUNCTION("""COMPUTED_VALUE"""),"Neri-Romero")</f>
        <v>Neri-Romero</v>
      </c>
      <c r="G4369" s="6" t="str">
        <f>IFERROR(__xludf.DUMMYFUNCTION("""COMPUTED_VALUE"""),"12/21/2016")</f>
        <v>12/21/2016</v>
      </c>
      <c r="H4369" s="6" t="str">
        <f>IFERROR(__xludf.DUMMYFUNCTION("""COMPUTED_VALUE"""),"male")</f>
        <v>male</v>
      </c>
      <c r="I4369" s="6" t="str">
        <f>IFERROR(__xludf.DUMMYFUNCTION("""COMPUTED_VALUE"""),"Level 1")</f>
        <v>Level 1</v>
      </c>
      <c r="J4369" s="6" t="str">
        <f>IFERROR(__xludf.DUMMYFUNCTION("""COMPUTED_VALUE"""),"3")</f>
        <v>3</v>
      </c>
      <c r="K4369" s="6" t="str">
        <f>IFERROR(__xludf.DUMMYFUNCTION("""COMPUTED_VALUE"""),"conse.neriromero@2hourlearning.com")</f>
        <v>conse.neriromero@2hourlearning.com</v>
      </c>
      <c r="L4369" s="6" t="str">
        <f>IFERROR(__xludf.DUMMYFUNCTION("""COMPUTED_VALUE"""),"JHES - Hardeeville Elementary School")</f>
        <v>JHES - Hardeeville Elementary School</v>
      </c>
      <c r="M4369" s="6" t="str">
        <f>IFERROR(__xludf.DUMMYFUNCTION("""COMPUTED_VALUE"""),"")</f>
        <v/>
      </c>
      <c r="N4369" s="6" t="str">
        <f>IFERROR(__xludf.DUMMYFUNCTION("""COMPUTED_VALUE"""),"")</f>
        <v/>
      </c>
      <c r="O4369" s="87" t="str">
        <f>IFERROR(__xludf.DUMMYFUNCTION("""COMPUTED_VALUE"""),"https://drive.google.com/drive/folders/10T2cTQHqEJZqE-st6uFKPoI?usp=share_link")</f>
        <v>https://drive.google.com/drive/folders/10T2cTQHqEJZqE-st6uFKPoI?usp=share_link</v>
      </c>
      <c r="P4369" s="6" t="str">
        <f>IFERROR(__xludf.DUMMYFUNCTION("""COMPUTED_VALUE"""),"Conse Neri-Romero")</f>
        <v>Conse Neri-Romero</v>
      </c>
      <c r="Q4369" s="6" t="str">
        <f>IFERROR(__xludf.DUMMYFUNCTION("""COMPUTED_VALUE"""),"L1")</f>
        <v>L1</v>
      </c>
      <c r="R4369" s="6">
        <f>IFERROR(__xludf.DUMMYFUNCTION("""COMPUTED_VALUE"""),1.0)</f>
        <v>1</v>
      </c>
      <c r="S4369" s="6" t="str">
        <f>IFERROR(__xludf.DUMMYFUNCTION("""COMPUTED_VALUE""")," ")</f>
        <v> </v>
      </c>
      <c r="T4369" s="6" t="str">
        <f>IFERROR(__xludf.DUMMYFUNCTION("""COMPUTED_VALUE"""),"")</f>
        <v/>
      </c>
      <c r="U4369" s="6" t="str">
        <f>IFERROR(__xludf.DUMMYFUNCTION("""COMPUTED_VALUE"""),"3")</f>
        <v>3</v>
      </c>
      <c r="V4369" s="6" t="str">
        <f>IFERROR(__xludf.DUMMYFUNCTION("""COMPUTED_VALUE"""),"")</f>
        <v/>
      </c>
      <c r="W4369" s="6" t="str">
        <f>IFERROR(__xludf.DUMMYFUNCTION("""COMPUTED_VALUE"""),"[]")</f>
        <v>[]</v>
      </c>
      <c r="X4369" s="6" t="str">
        <f>IFERROR(__xludf.DUMMYFUNCTION("""COMPUTED_VALUE"""),"Enrolled")</f>
        <v>Enrolled</v>
      </c>
    </row>
    <row r="4370">
      <c r="A4370" s="6" t="str">
        <f>IFERROR(__xludf.DUMMYFUNCTION("""COMPUTED_VALUE"""),"083-11657")</f>
        <v>083-11657</v>
      </c>
      <c r="B4370" s="6" t="str">
        <f>IFERROR(__xludf.DUMMYFUNCTION("""COMPUTED_VALUE"""),"83")</f>
        <v>83</v>
      </c>
      <c r="C4370" s="6" t="str">
        <f>IFERROR(__xludf.DUMMYFUNCTION("""COMPUTED_VALUE"""),"11657")</f>
        <v>11657</v>
      </c>
      <c r="D4370" s="6" t="str">
        <f>IFERROR(__xludf.DUMMYFUNCTION("""COMPUTED_VALUE"""),"Laura Vit├│ria")</f>
        <v>Laura Vit├│ria</v>
      </c>
      <c r="E4370" s="6" t="str">
        <f>IFERROR(__xludf.DUMMYFUNCTION("""COMPUTED_VALUE"""),"")</f>
        <v/>
      </c>
      <c r="F4370" s="6" t="str">
        <f>IFERROR(__xludf.DUMMYFUNCTION("""COMPUTED_VALUE"""),"Oliveira Amorim")</f>
        <v>Oliveira Amorim</v>
      </c>
      <c r="G4370" s="6" t="str">
        <f>IFERROR(__xludf.DUMMYFUNCTION("""COMPUTED_VALUE"""),"02/18/2017")</f>
        <v>02/18/2017</v>
      </c>
      <c r="H4370" s="6" t="str">
        <f>IFERROR(__xludf.DUMMYFUNCTION("""COMPUTED_VALUE"""),"female")</f>
        <v>female</v>
      </c>
      <c r="I4370" s="6" t="str">
        <f>IFERROR(__xludf.DUMMYFUNCTION("""COMPUTED_VALUE"""),"Level 1")</f>
        <v>Level 1</v>
      </c>
      <c r="J4370" s="6" t="str">
        <f>IFERROR(__xludf.DUMMYFUNCTION("""COMPUTED_VALUE"""),"3")</f>
        <v>3</v>
      </c>
      <c r="K4370" s="6" t="str">
        <f>IFERROR(__xludf.DUMMYFUNCTION("""COMPUTED_VALUE"""),"lauravitria.oliveiraamorim@2hourlearning.com")</f>
        <v>lauravitria.oliveiraamorim@2hourlearning.com</v>
      </c>
      <c r="L4370" s="6" t="str">
        <f>IFERROR(__xludf.DUMMYFUNCTION("""COMPUTED_VALUE"""),"JHES - Hardeeville Elementary School")</f>
        <v>JHES - Hardeeville Elementary School</v>
      </c>
      <c r="M4370" s="6" t="str">
        <f>IFERROR(__xludf.DUMMYFUNCTION("""COMPUTED_VALUE"""),"")</f>
        <v/>
      </c>
      <c r="N4370" s="6" t="str">
        <f>IFERROR(__xludf.DUMMYFUNCTION("""COMPUTED_VALUE"""),"")</f>
        <v/>
      </c>
      <c r="O4370" s="87" t="str">
        <f>IFERROR(__xludf.DUMMYFUNCTION("""COMPUTED_VALUE"""),"https://drive.google.com/drive/folders/10T2cTQHqEJZqE-st6uFKPoI?usp=share_link")</f>
        <v>https://drive.google.com/drive/folders/10T2cTQHqEJZqE-st6uFKPoI?usp=share_link</v>
      </c>
      <c r="P4370" s="6" t="str">
        <f>IFERROR(__xludf.DUMMYFUNCTION("""COMPUTED_VALUE"""),"Laura Vit├│ria Oliveira Amorim")</f>
        <v>Laura Vit├│ria Oliveira Amorim</v>
      </c>
      <c r="Q4370" s="6" t="str">
        <f>IFERROR(__xludf.DUMMYFUNCTION("""COMPUTED_VALUE"""),"L1")</f>
        <v>L1</v>
      </c>
      <c r="R4370" s="6">
        <f>IFERROR(__xludf.DUMMYFUNCTION("""COMPUTED_VALUE"""),1.0)</f>
        <v>1</v>
      </c>
      <c r="S4370" s="6" t="str">
        <f>IFERROR(__xludf.DUMMYFUNCTION("""COMPUTED_VALUE""")," ")</f>
        <v> </v>
      </c>
      <c r="T4370" s="6" t="str">
        <f>IFERROR(__xludf.DUMMYFUNCTION("""COMPUTED_VALUE"""),"")</f>
        <v/>
      </c>
      <c r="U4370" s="6" t="str">
        <f>IFERROR(__xludf.DUMMYFUNCTION("""COMPUTED_VALUE"""),"3")</f>
        <v>3</v>
      </c>
      <c r="V4370" s="6" t="str">
        <f>IFERROR(__xludf.DUMMYFUNCTION("""COMPUTED_VALUE"""),"")</f>
        <v/>
      </c>
      <c r="W4370" s="6" t="str">
        <f>IFERROR(__xludf.DUMMYFUNCTION("""COMPUTED_VALUE"""),"[]")</f>
        <v>[]</v>
      </c>
      <c r="X4370" s="6" t="str">
        <f>IFERROR(__xludf.DUMMYFUNCTION("""COMPUTED_VALUE"""),"Enrolled")</f>
        <v>Enrolled</v>
      </c>
    </row>
    <row r="4371">
      <c r="A4371" s="6" t="str">
        <f>IFERROR(__xludf.DUMMYFUNCTION("""COMPUTED_VALUE"""),"083-11658")</f>
        <v>083-11658</v>
      </c>
      <c r="B4371" s="6" t="str">
        <f>IFERROR(__xludf.DUMMYFUNCTION("""COMPUTED_VALUE"""),"83")</f>
        <v>83</v>
      </c>
      <c r="C4371" s="6" t="str">
        <f>IFERROR(__xludf.DUMMYFUNCTION("""COMPUTED_VALUE"""),"11658")</f>
        <v>11658</v>
      </c>
      <c r="D4371" s="6" t="str">
        <f>IFERROR(__xludf.DUMMYFUNCTION("""COMPUTED_VALUE"""),"Alexa")</f>
        <v>Alexa</v>
      </c>
      <c r="E4371" s="6" t="str">
        <f>IFERROR(__xludf.DUMMYFUNCTION("""COMPUTED_VALUE"""),"")</f>
        <v/>
      </c>
      <c r="F4371" s="6" t="str">
        <f>IFERROR(__xludf.DUMMYFUNCTION("""COMPUTED_VALUE"""),"Ramos")</f>
        <v>Ramos</v>
      </c>
      <c r="G4371" s="6" t="str">
        <f>IFERROR(__xludf.DUMMYFUNCTION("""COMPUTED_VALUE"""),"11/22/2016")</f>
        <v>11/22/2016</v>
      </c>
      <c r="H4371" s="6" t="str">
        <f>IFERROR(__xludf.DUMMYFUNCTION("""COMPUTED_VALUE"""),"female")</f>
        <v>female</v>
      </c>
      <c r="I4371" s="6" t="str">
        <f>IFERROR(__xludf.DUMMYFUNCTION("""COMPUTED_VALUE"""),"Level 1")</f>
        <v>Level 1</v>
      </c>
      <c r="J4371" s="6" t="str">
        <f>IFERROR(__xludf.DUMMYFUNCTION("""COMPUTED_VALUE"""),"3")</f>
        <v>3</v>
      </c>
      <c r="K4371" s="6" t="str">
        <f>IFERROR(__xludf.DUMMYFUNCTION("""COMPUTED_VALUE"""),"alexa.ramos@2hourlearning.com")</f>
        <v>alexa.ramos@2hourlearning.com</v>
      </c>
      <c r="L4371" s="6" t="str">
        <f>IFERROR(__xludf.DUMMYFUNCTION("""COMPUTED_VALUE"""),"JHES - Hardeeville Elementary School")</f>
        <v>JHES - Hardeeville Elementary School</v>
      </c>
      <c r="M4371" s="6" t="str">
        <f>IFERROR(__xludf.DUMMYFUNCTION("""COMPUTED_VALUE"""),"")</f>
        <v/>
      </c>
      <c r="N4371" s="6" t="str">
        <f>IFERROR(__xludf.DUMMYFUNCTION("""COMPUTED_VALUE"""),"")</f>
        <v/>
      </c>
      <c r="O4371" s="87" t="str">
        <f>IFERROR(__xludf.DUMMYFUNCTION("""COMPUTED_VALUE"""),"https://drive.google.com/drive/folders/10T2cTQHqEJZqE-st6uFKPoI?usp=share_link")</f>
        <v>https://drive.google.com/drive/folders/10T2cTQHqEJZqE-st6uFKPoI?usp=share_link</v>
      </c>
      <c r="P4371" s="6" t="str">
        <f>IFERROR(__xludf.DUMMYFUNCTION("""COMPUTED_VALUE"""),"Alexa Ramos")</f>
        <v>Alexa Ramos</v>
      </c>
      <c r="Q4371" s="6" t="str">
        <f>IFERROR(__xludf.DUMMYFUNCTION("""COMPUTED_VALUE"""),"L1")</f>
        <v>L1</v>
      </c>
      <c r="R4371" s="6">
        <f>IFERROR(__xludf.DUMMYFUNCTION("""COMPUTED_VALUE"""),1.0)</f>
        <v>1</v>
      </c>
      <c r="S4371" s="6" t="str">
        <f>IFERROR(__xludf.DUMMYFUNCTION("""COMPUTED_VALUE""")," ")</f>
        <v> </v>
      </c>
      <c r="T4371" s="6" t="str">
        <f>IFERROR(__xludf.DUMMYFUNCTION("""COMPUTED_VALUE"""),"")</f>
        <v/>
      </c>
      <c r="U4371" s="6" t="str">
        <f>IFERROR(__xludf.DUMMYFUNCTION("""COMPUTED_VALUE"""),"3")</f>
        <v>3</v>
      </c>
      <c r="V4371" s="6" t="str">
        <f>IFERROR(__xludf.DUMMYFUNCTION("""COMPUTED_VALUE"""),"")</f>
        <v/>
      </c>
      <c r="W4371" s="6" t="str">
        <f>IFERROR(__xludf.DUMMYFUNCTION("""COMPUTED_VALUE"""),"[]")</f>
        <v>[]</v>
      </c>
      <c r="X4371" s="6" t="str">
        <f>IFERROR(__xludf.DUMMYFUNCTION("""COMPUTED_VALUE"""),"Enrolled")</f>
        <v>Enrolled</v>
      </c>
    </row>
    <row r="4372">
      <c r="A4372" s="6" t="str">
        <f>IFERROR(__xludf.DUMMYFUNCTION("""COMPUTED_VALUE"""),"083-11659")</f>
        <v>083-11659</v>
      </c>
      <c r="B4372" s="6" t="str">
        <f>IFERROR(__xludf.DUMMYFUNCTION("""COMPUTED_VALUE"""),"83")</f>
        <v>83</v>
      </c>
      <c r="C4372" s="6" t="str">
        <f>IFERROR(__xludf.DUMMYFUNCTION("""COMPUTED_VALUE"""),"11659")</f>
        <v>11659</v>
      </c>
      <c r="D4372" s="6" t="str">
        <f>IFERROR(__xludf.DUMMYFUNCTION("""COMPUTED_VALUE"""),"Derik")</f>
        <v>Derik</v>
      </c>
      <c r="E4372" s="6" t="str">
        <f>IFERROR(__xludf.DUMMYFUNCTION("""COMPUTED_VALUE"""),"")</f>
        <v/>
      </c>
      <c r="F4372" s="6" t="str">
        <f>IFERROR(__xludf.DUMMYFUNCTION("""COMPUTED_VALUE"""),"Rivas-Rodriguez")</f>
        <v>Rivas-Rodriguez</v>
      </c>
      <c r="G4372" s="6" t="str">
        <f>IFERROR(__xludf.DUMMYFUNCTION("""COMPUTED_VALUE"""),"09/13/2016")</f>
        <v>09/13/2016</v>
      </c>
      <c r="H4372" s="6" t="str">
        <f>IFERROR(__xludf.DUMMYFUNCTION("""COMPUTED_VALUE"""),"male")</f>
        <v>male</v>
      </c>
      <c r="I4372" s="6" t="str">
        <f>IFERROR(__xludf.DUMMYFUNCTION("""COMPUTED_VALUE"""),"Level 1")</f>
        <v>Level 1</v>
      </c>
      <c r="J4372" s="6" t="str">
        <f>IFERROR(__xludf.DUMMYFUNCTION("""COMPUTED_VALUE"""),"3")</f>
        <v>3</v>
      </c>
      <c r="K4372" s="6" t="str">
        <f>IFERROR(__xludf.DUMMYFUNCTION("""COMPUTED_VALUE"""),"derik.rivasrodriguez@2hourlearning.com")</f>
        <v>derik.rivasrodriguez@2hourlearning.com</v>
      </c>
      <c r="L4372" s="6" t="str">
        <f>IFERROR(__xludf.DUMMYFUNCTION("""COMPUTED_VALUE"""),"JHES - Hardeeville Elementary School")</f>
        <v>JHES - Hardeeville Elementary School</v>
      </c>
      <c r="M4372" s="6" t="str">
        <f>IFERROR(__xludf.DUMMYFUNCTION("""COMPUTED_VALUE"""),"")</f>
        <v/>
      </c>
      <c r="N4372" s="6" t="str">
        <f>IFERROR(__xludf.DUMMYFUNCTION("""COMPUTED_VALUE"""),"")</f>
        <v/>
      </c>
      <c r="O4372" s="87" t="str">
        <f>IFERROR(__xludf.DUMMYFUNCTION("""COMPUTED_VALUE"""),"https://drive.google.com/drive/folders/10T2cTQHqEJZqE-st6uFKPoI?usp=share_link")</f>
        <v>https://drive.google.com/drive/folders/10T2cTQHqEJZqE-st6uFKPoI?usp=share_link</v>
      </c>
      <c r="P4372" s="6" t="str">
        <f>IFERROR(__xludf.DUMMYFUNCTION("""COMPUTED_VALUE"""),"Derik Rivas-Rodriguez")</f>
        <v>Derik Rivas-Rodriguez</v>
      </c>
      <c r="Q4372" s="6" t="str">
        <f>IFERROR(__xludf.DUMMYFUNCTION("""COMPUTED_VALUE"""),"L1")</f>
        <v>L1</v>
      </c>
      <c r="R4372" s="6">
        <f>IFERROR(__xludf.DUMMYFUNCTION("""COMPUTED_VALUE"""),1.0)</f>
        <v>1</v>
      </c>
      <c r="S4372" s="6" t="str">
        <f>IFERROR(__xludf.DUMMYFUNCTION("""COMPUTED_VALUE""")," ")</f>
        <v> </v>
      </c>
      <c r="T4372" s="6" t="str">
        <f>IFERROR(__xludf.DUMMYFUNCTION("""COMPUTED_VALUE"""),"")</f>
        <v/>
      </c>
      <c r="U4372" s="6" t="str">
        <f>IFERROR(__xludf.DUMMYFUNCTION("""COMPUTED_VALUE"""),"3")</f>
        <v>3</v>
      </c>
      <c r="V4372" s="6" t="str">
        <f>IFERROR(__xludf.DUMMYFUNCTION("""COMPUTED_VALUE"""),"")</f>
        <v/>
      </c>
      <c r="W4372" s="6" t="str">
        <f>IFERROR(__xludf.DUMMYFUNCTION("""COMPUTED_VALUE"""),"[]")</f>
        <v>[]</v>
      </c>
      <c r="X4372" s="6" t="str">
        <f>IFERROR(__xludf.DUMMYFUNCTION("""COMPUTED_VALUE"""),"Enrolled")</f>
        <v>Enrolled</v>
      </c>
    </row>
    <row r="4373">
      <c r="A4373" s="6" t="str">
        <f>IFERROR(__xludf.DUMMYFUNCTION("""COMPUTED_VALUE"""),"083-11660")</f>
        <v>083-11660</v>
      </c>
      <c r="B4373" s="6" t="str">
        <f>IFERROR(__xludf.DUMMYFUNCTION("""COMPUTED_VALUE"""),"83")</f>
        <v>83</v>
      </c>
      <c r="C4373" s="6" t="str">
        <f>IFERROR(__xludf.DUMMYFUNCTION("""COMPUTED_VALUE"""),"11660")</f>
        <v>11660</v>
      </c>
      <c r="D4373" s="6" t="str">
        <f>IFERROR(__xludf.DUMMYFUNCTION("""COMPUTED_VALUE"""),"Arlet")</f>
        <v>Arlet</v>
      </c>
      <c r="E4373" s="6" t="str">
        <f>IFERROR(__xludf.DUMMYFUNCTION("""COMPUTED_VALUE"""),"")</f>
        <v/>
      </c>
      <c r="F4373" s="6" t="str">
        <f>IFERROR(__xludf.DUMMYFUNCTION("""COMPUTED_VALUE"""),"Rodriquez Nava")</f>
        <v>Rodriquez Nava</v>
      </c>
      <c r="G4373" s="6" t="str">
        <f>IFERROR(__xludf.DUMMYFUNCTION("""COMPUTED_VALUE"""),"02/04/2017")</f>
        <v>02/04/2017</v>
      </c>
      <c r="H4373" s="6" t="str">
        <f>IFERROR(__xludf.DUMMYFUNCTION("""COMPUTED_VALUE"""),"female")</f>
        <v>female</v>
      </c>
      <c r="I4373" s="6" t="str">
        <f>IFERROR(__xludf.DUMMYFUNCTION("""COMPUTED_VALUE"""),"Level 1")</f>
        <v>Level 1</v>
      </c>
      <c r="J4373" s="6" t="str">
        <f>IFERROR(__xludf.DUMMYFUNCTION("""COMPUTED_VALUE"""),"3")</f>
        <v>3</v>
      </c>
      <c r="K4373" s="6" t="str">
        <f>IFERROR(__xludf.DUMMYFUNCTION("""COMPUTED_VALUE"""),"arlet.rodriqueznava@2hourlearning.com")</f>
        <v>arlet.rodriqueznava@2hourlearning.com</v>
      </c>
      <c r="L4373" s="6" t="str">
        <f>IFERROR(__xludf.DUMMYFUNCTION("""COMPUTED_VALUE"""),"JHES - Hardeeville Elementary School")</f>
        <v>JHES - Hardeeville Elementary School</v>
      </c>
      <c r="M4373" s="6" t="str">
        <f>IFERROR(__xludf.DUMMYFUNCTION("""COMPUTED_VALUE"""),"")</f>
        <v/>
      </c>
      <c r="N4373" s="6" t="str">
        <f>IFERROR(__xludf.DUMMYFUNCTION("""COMPUTED_VALUE"""),"")</f>
        <v/>
      </c>
      <c r="O4373" s="87" t="str">
        <f>IFERROR(__xludf.DUMMYFUNCTION("""COMPUTED_VALUE"""),"https://drive.google.com/drive/folders/10T2cTQHqEJZqE-st6uFKPoI?usp=share_link")</f>
        <v>https://drive.google.com/drive/folders/10T2cTQHqEJZqE-st6uFKPoI?usp=share_link</v>
      </c>
      <c r="P4373" s="6" t="str">
        <f>IFERROR(__xludf.DUMMYFUNCTION("""COMPUTED_VALUE"""),"Arlet Rodriquez Nava")</f>
        <v>Arlet Rodriquez Nava</v>
      </c>
      <c r="Q4373" s="6" t="str">
        <f>IFERROR(__xludf.DUMMYFUNCTION("""COMPUTED_VALUE"""),"L1")</f>
        <v>L1</v>
      </c>
      <c r="R4373" s="6">
        <f>IFERROR(__xludf.DUMMYFUNCTION("""COMPUTED_VALUE"""),1.0)</f>
        <v>1</v>
      </c>
      <c r="S4373" s="6" t="str">
        <f>IFERROR(__xludf.DUMMYFUNCTION("""COMPUTED_VALUE""")," ")</f>
        <v> </v>
      </c>
      <c r="T4373" s="6" t="str">
        <f>IFERROR(__xludf.DUMMYFUNCTION("""COMPUTED_VALUE"""),"")</f>
        <v/>
      </c>
      <c r="U4373" s="6" t="str">
        <f>IFERROR(__xludf.DUMMYFUNCTION("""COMPUTED_VALUE"""),"3")</f>
        <v>3</v>
      </c>
      <c r="V4373" s="6" t="str">
        <f>IFERROR(__xludf.DUMMYFUNCTION("""COMPUTED_VALUE"""),"")</f>
        <v/>
      </c>
      <c r="W4373" s="6" t="str">
        <f>IFERROR(__xludf.DUMMYFUNCTION("""COMPUTED_VALUE"""),"[]")</f>
        <v>[]</v>
      </c>
      <c r="X4373" s="6" t="str">
        <f>IFERROR(__xludf.DUMMYFUNCTION("""COMPUTED_VALUE"""),"Enrolled")</f>
        <v>Enrolled</v>
      </c>
    </row>
    <row r="4374">
      <c r="A4374" s="6" t="str">
        <f>IFERROR(__xludf.DUMMYFUNCTION("""COMPUTED_VALUE"""),"083-11661")</f>
        <v>083-11661</v>
      </c>
      <c r="B4374" s="6" t="str">
        <f>IFERROR(__xludf.DUMMYFUNCTION("""COMPUTED_VALUE"""),"83")</f>
        <v>83</v>
      </c>
      <c r="C4374" s="6" t="str">
        <f>IFERROR(__xludf.DUMMYFUNCTION("""COMPUTED_VALUE"""),"11661")</f>
        <v>11661</v>
      </c>
      <c r="D4374" s="6" t="str">
        <f>IFERROR(__xludf.DUMMYFUNCTION("""COMPUTED_VALUE"""),"Delilah")</f>
        <v>Delilah</v>
      </c>
      <c r="E4374" s="6" t="str">
        <f>IFERROR(__xludf.DUMMYFUNCTION("""COMPUTED_VALUE"""),"")</f>
        <v/>
      </c>
      <c r="F4374" s="6" t="str">
        <f>IFERROR(__xludf.DUMMYFUNCTION("""COMPUTED_VALUE"""),"Ruiz")</f>
        <v>Ruiz</v>
      </c>
      <c r="G4374" s="6" t="str">
        <f>IFERROR(__xludf.DUMMYFUNCTION("""COMPUTED_VALUE"""),"06/21/2017")</f>
        <v>06/21/2017</v>
      </c>
      <c r="H4374" s="6" t="str">
        <f>IFERROR(__xludf.DUMMYFUNCTION("""COMPUTED_VALUE"""),"female")</f>
        <v>female</v>
      </c>
      <c r="I4374" s="6" t="str">
        <f>IFERROR(__xludf.DUMMYFUNCTION("""COMPUTED_VALUE"""),"Level 1")</f>
        <v>Level 1</v>
      </c>
      <c r="J4374" s="6" t="str">
        <f>IFERROR(__xludf.DUMMYFUNCTION("""COMPUTED_VALUE"""),"3")</f>
        <v>3</v>
      </c>
      <c r="K4374" s="6" t="str">
        <f>IFERROR(__xludf.DUMMYFUNCTION("""COMPUTED_VALUE"""),"delilah.ruiz@2hourlearning.com")</f>
        <v>delilah.ruiz@2hourlearning.com</v>
      </c>
      <c r="L4374" s="6" t="str">
        <f>IFERROR(__xludf.DUMMYFUNCTION("""COMPUTED_VALUE"""),"JHES - Hardeeville Elementary School")</f>
        <v>JHES - Hardeeville Elementary School</v>
      </c>
      <c r="M4374" s="6" t="str">
        <f>IFERROR(__xludf.DUMMYFUNCTION("""COMPUTED_VALUE"""),"")</f>
        <v/>
      </c>
      <c r="N4374" s="6" t="str">
        <f>IFERROR(__xludf.DUMMYFUNCTION("""COMPUTED_VALUE"""),"")</f>
        <v/>
      </c>
      <c r="O4374" s="87" t="str">
        <f>IFERROR(__xludf.DUMMYFUNCTION("""COMPUTED_VALUE"""),"https://drive.google.com/drive/folders/10T2cTQHqEJZqE-st6uFKPoI?usp=share_link")</f>
        <v>https://drive.google.com/drive/folders/10T2cTQHqEJZqE-st6uFKPoI?usp=share_link</v>
      </c>
      <c r="P4374" s="6" t="str">
        <f>IFERROR(__xludf.DUMMYFUNCTION("""COMPUTED_VALUE"""),"Delilah Ruiz")</f>
        <v>Delilah Ruiz</v>
      </c>
      <c r="Q4374" s="6" t="str">
        <f>IFERROR(__xludf.DUMMYFUNCTION("""COMPUTED_VALUE"""),"L1")</f>
        <v>L1</v>
      </c>
      <c r="R4374" s="6">
        <f>IFERROR(__xludf.DUMMYFUNCTION("""COMPUTED_VALUE"""),1.0)</f>
        <v>1</v>
      </c>
      <c r="S4374" s="6" t="str">
        <f>IFERROR(__xludf.DUMMYFUNCTION("""COMPUTED_VALUE""")," ")</f>
        <v> </v>
      </c>
      <c r="T4374" s="6" t="str">
        <f>IFERROR(__xludf.DUMMYFUNCTION("""COMPUTED_VALUE"""),"")</f>
        <v/>
      </c>
      <c r="U4374" s="6" t="str">
        <f>IFERROR(__xludf.DUMMYFUNCTION("""COMPUTED_VALUE"""),"3")</f>
        <v>3</v>
      </c>
      <c r="V4374" s="6" t="str">
        <f>IFERROR(__xludf.DUMMYFUNCTION("""COMPUTED_VALUE"""),"")</f>
        <v/>
      </c>
      <c r="W4374" s="6" t="str">
        <f>IFERROR(__xludf.DUMMYFUNCTION("""COMPUTED_VALUE"""),"[]")</f>
        <v>[]</v>
      </c>
      <c r="X4374" s="6" t="str">
        <f>IFERROR(__xludf.DUMMYFUNCTION("""COMPUTED_VALUE"""),"Enrolled")</f>
        <v>Enrolled</v>
      </c>
    </row>
    <row r="4375">
      <c r="A4375" s="6" t="str">
        <f>IFERROR(__xludf.DUMMYFUNCTION("""COMPUTED_VALUE"""),"083-11662")</f>
        <v>083-11662</v>
      </c>
      <c r="B4375" s="6" t="str">
        <f>IFERROR(__xludf.DUMMYFUNCTION("""COMPUTED_VALUE"""),"83")</f>
        <v>83</v>
      </c>
      <c r="C4375" s="6" t="str">
        <f>IFERROR(__xludf.DUMMYFUNCTION("""COMPUTED_VALUE"""),"11662")</f>
        <v>11662</v>
      </c>
      <c r="D4375" s="6" t="str">
        <f>IFERROR(__xludf.DUMMYFUNCTION("""COMPUTED_VALUE"""),"Maytte")</f>
        <v>Maytte</v>
      </c>
      <c r="E4375" s="6" t="str">
        <f>IFERROR(__xludf.DUMMYFUNCTION("""COMPUTED_VALUE"""),"")</f>
        <v/>
      </c>
      <c r="F4375" s="6" t="str">
        <f>IFERROR(__xludf.DUMMYFUNCTION("""COMPUTED_VALUE"""),"Sandoval Garcia")</f>
        <v>Sandoval Garcia</v>
      </c>
      <c r="G4375" s="6" t="str">
        <f>IFERROR(__xludf.DUMMYFUNCTION("""COMPUTED_VALUE"""),"03/18/2017")</f>
        <v>03/18/2017</v>
      </c>
      <c r="H4375" s="6" t="str">
        <f>IFERROR(__xludf.DUMMYFUNCTION("""COMPUTED_VALUE"""),"female")</f>
        <v>female</v>
      </c>
      <c r="I4375" s="6" t="str">
        <f>IFERROR(__xludf.DUMMYFUNCTION("""COMPUTED_VALUE"""),"Level 1")</f>
        <v>Level 1</v>
      </c>
      <c r="J4375" s="6" t="str">
        <f>IFERROR(__xludf.DUMMYFUNCTION("""COMPUTED_VALUE"""),"3")</f>
        <v>3</v>
      </c>
      <c r="K4375" s="6" t="str">
        <f>IFERROR(__xludf.DUMMYFUNCTION("""COMPUTED_VALUE"""),"maytte.sandovalgarcia@2hourlearning.com")</f>
        <v>maytte.sandovalgarcia@2hourlearning.com</v>
      </c>
      <c r="L4375" s="6" t="str">
        <f>IFERROR(__xludf.DUMMYFUNCTION("""COMPUTED_VALUE"""),"JHES - Hardeeville Elementary School")</f>
        <v>JHES - Hardeeville Elementary School</v>
      </c>
      <c r="M4375" s="6" t="str">
        <f>IFERROR(__xludf.DUMMYFUNCTION("""COMPUTED_VALUE"""),"")</f>
        <v/>
      </c>
      <c r="N4375" s="6" t="str">
        <f>IFERROR(__xludf.DUMMYFUNCTION("""COMPUTED_VALUE"""),"")</f>
        <v/>
      </c>
      <c r="O4375" s="87" t="str">
        <f>IFERROR(__xludf.DUMMYFUNCTION("""COMPUTED_VALUE"""),"https://drive.google.com/drive/folders/10T2cTQHqEJZqE-st6uFKPoI?usp=share_link")</f>
        <v>https://drive.google.com/drive/folders/10T2cTQHqEJZqE-st6uFKPoI?usp=share_link</v>
      </c>
      <c r="P4375" s="6" t="str">
        <f>IFERROR(__xludf.DUMMYFUNCTION("""COMPUTED_VALUE"""),"Maytte Sandoval Garcia")</f>
        <v>Maytte Sandoval Garcia</v>
      </c>
      <c r="Q4375" s="6" t="str">
        <f>IFERROR(__xludf.DUMMYFUNCTION("""COMPUTED_VALUE"""),"L1")</f>
        <v>L1</v>
      </c>
      <c r="R4375" s="6">
        <f>IFERROR(__xludf.DUMMYFUNCTION("""COMPUTED_VALUE"""),1.0)</f>
        <v>1</v>
      </c>
      <c r="S4375" s="6" t="str">
        <f>IFERROR(__xludf.DUMMYFUNCTION("""COMPUTED_VALUE""")," ")</f>
        <v> </v>
      </c>
      <c r="T4375" s="6" t="str">
        <f>IFERROR(__xludf.DUMMYFUNCTION("""COMPUTED_VALUE"""),"")</f>
        <v/>
      </c>
      <c r="U4375" s="6" t="str">
        <f>IFERROR(__xludf.DUMMYFUNCTION("""COMPUTED_VALUE"""),"3")</f>
        <v>3</v>
      </c>
      <c r="V4375" s="6" t="str">
        <f>IFERROR(__xludf.DUMMYFUNCTION("""COMPUTED_VALUE"""),"")</f>
        <v/>
      </c>
      <c r="W4375" s="6" t="str">
        <f>IFERROR(__xludf.DUMMYFUNCTION("""COMPUTED_VALUE"""),"[]")</f>
        <v>[]</v>
      </c>
      <c r="X4375" s="6" t="str">
        <f>IFERROR(__xludf.DUMMYFUNCTION("""COMPUTED_VALUE"""),"Enrolled")</f>
        <v>Enrolled</v>
      </c>
    </row>
    <row r="4376">
      <c r="A4376" s="6" t="str">
        <f>IFERROR(__xludf.DUMMYFUNCTION("""COMPUTED_VALUE"""),"083-11663")</f>
        <v>083-11663</v>
      </c>
      <c r="B4376" s="6" t="str">
        <f>IFERROR(__xludf.DUMMYFUNCTION("""COMPUTED_VALUE"""),"83")</f>
        <v>83</v>
      </c>
      <c r="C4376" s="6" t="str">
        <f>IFERROR(__xludf.DUMMYFUNCTION("""COMPUTED_VALUE"""),"11663")</f>
        <v>11663</v>
      </c>
      <c r="D4376" s="6" t="str">
        <f>IFERROR(__xludf.DUMMYFUNCTION("""COMPUTED_VALUE"""),"Jamal")</f>
        <v>Jamal</v>
      </c>
      <c r="E4376" s="6" t="str">
        <f>IFERROR(__xludf.DUMMYFUNCTION("""COMPUTED_VALUE"""),"")</f>
        <v/>
      </c>
      <c r="F4376" s="6" t="str">
        <f>IFERROR(__xludf.DUMMYFUNCTION("""COMPUTED_VALUE"""),"Swinton")</f>
        <v>Swinton</v>
      </c>
      <c r="G4376" s="6" t="str">
        <f>IFERROR(__xludf.DUMMYFUNCTION("""COMPUTED_VALUE"""),"03/02/2017")</f>
        <v>03/02/2017</v>
      </c>
      <c r="H4376" s="6" t="str">
        <f>IFERROR(__xludf.DUMMYFUNCTION("""COMPUTED_VALUE"""),"male")</f>
        <v>male</v>
      </c>
      <c r="I4376" s="6" t="str">
        <f>IFERROR(__xludf.DUMMYFUNCTION("""COMPUTED_VALUE"""),"Level 1")</f>
        <v>Level 1</v>
      </c>
      <c r="J4376" s="6" t="str">
        <f>IFERROR(__xludf.DUMMYFUNCTION("""COMPUTED_VALUE"""),"3")</f>
        <v>3</v>
      </c>
      <c r="K4376" s="6" t="str">
        <f>IFERROR(__xludf.DUMMYFUNCTION("""COMPUTED_VALUE"""),"jamal.swinton@2hourlearning.com")</f>
        <v>jamal.swinton@2hourlearning.com</v>
      </c>
      <c r="L4376" s="6" t="str">
        <f>IFERROR(__xludf.DUMMYFUNCTION("""COMPUTED_VALUE"""),"JHES - Hardeeville Elementary School")</f>
        <v>JHES - Hardeeville Elementary School</v>
      </c>
      <c r="M4376" s="6" t="str">
        <f>IFERROR(__xludf.DUMMYFUNCTION("""COMPUTED_VALUE"""),"")</f>
        <v/>
      </c>
      <c r="N4376" s="6" t="str">
        <f>IFERROR(__xludf.DUMMYFUNCTION("""COMPUTED_VALUE"""),"")</f>
        <v/>
      </c>
      <c r="O4376" s="87" t="str">
        <f>IFERROR(__xludf.DUMMYFUNCTION("""COMPUTED_VALUE"""),"https://drive.google.com/drive/folders/10T2cTQHqEJZqE-st6uFKPoI?usp=share_link")</f>
        <v>https://drive.google.com/drive/folders/10T2cTQHqEJZqE-st6uFKPoI?usp=share_link</v>
      </c>
      <c r="P4376" s="6" t="str">
        <f>IFERROR(__xludf.DUMMYFUNCTION("""COMPUTED_VALUE"""),"Jamal Swinton")</f>
        <v>Jamal Swinton</v>
      </c>
      <c r="Q4376" s="6" t="str">
        <f>IFERROR(__xludf.DUMMYFUNCTION("""COMPUTED_VALUE"""),"L1")</f>
        <v>L1</v>
      </c>
      <c r="R4376" s="6">
        <f>IFERROR(__xludf.DUMMYFUNCTION("""COMPUTED_VALUE"""),1.0)</f>
        <v>1</v>
      </c>
      <c r="S4376" s="6" t="str">
        <f>IFERROR(__xludf.DUMMYFUNCTION("""COMPUTED_VALUE""")," ")</f>
        <v> </v>
      </c>
      <c r="T4376" s="6" t="str">
        <f>IFERROR(__xludf.DUMMYFUNCTION("""COMPUTED_VALUE"""),"")</f>
        <v/>
      </c>
      <c r="U4376" s="6" t="str">
        <f>IFERROR(__xludf.DUMMYFUNCTION("""COMPUTED_VALUE"""),"3")</f>
        <v>3</v>
      </c>
      <c r="V4376" s="6" t="str">
        <f>IFERROR(__xludf.DUMMYFUNCTION("""COMPUTED_VALUE"""),"")</f>
        <v/>
      </c>
      <c r="W4376" s="6" t="str">
        <f>IFERROR(__xludf.DUMMYFUNCTION("""COMPUTED_VALUE"""),"[]")</f>
        <v>[]</v>
      </c>
      <c r="X4376" s="6" t="str">
        <f>IFERROR(__xludf.DUMMYFUNCTION("""COMPUTED_VALUE"""),"Enrolled")</f>
        <v>Enrolled</v>
      </c>
    </row>
    <row r="4377">
      <c r="A4377" s="6" t="str">
        <f>IFERROR(__xludf.DUMMYFUNCTION("""COMPUTED_VALUE"""),"083-11664")</f>
        <v>083-11664</v>
      </c>
      <c r="B4377" s="6" t="str">
        <f>IFERROR(__xludf.DUMMYFUNCTION("""COMPUTED_VALUE"""),"83")</f>
        <v>83</v>
      </c>
      <c r="C4377" s="6" t="str">
        <f>IFERROR(__xludf.DUMMYFUNCTION("""COMPUTED_VALUE"""),"11664")</f>
        <v>11664</v>
      </c>
      <c r="D4377" s="6" t="str">
        <f>IFERROR(__xludf.DUMMYFUNCTION("""COMPUTED_VALUE"""),"Alaya")</f>
        <v>Alaya</v>
      </c>
      <c r="E4377" s="6" t="str">
        <f>IFERROR(__xludf.DUMMYFUNCTION("""COMPUTED_VALUE"""),"")</f>
        <v/>
      </c>
      <c r="F4377" s="6" t="str">
        <f>IFERROR(__xludf.DUMMYFUNCTION("""COMPUTED_VALUE"""),"Taylor")</f>
        <v>Taylor</v>
      </c>
      <c r="G4377" s="6" t="str">
        <f>IFERROR(__xludf.DUMMYFUNCTION("""COMPUTED_VALUE"""),"07/26/2017")</f>
        <v>07/26/2017</v>
      </c>
      <c r="H4377" s="6" t="str">
        <f>IFERROR(__xludf.DUMMYFUNCTION("""COMPUTED_VALUE"""),"female")</f>
        <v>female</v>
      </c>
      <c r="I4377" s="6" t="str">
        <f>IFERROR(__xludf.DUMMYFUNCTION("""COMPUTED_VALUE"""),"Level 1")</f>
        <v>Level 1</v>
      </c>
      <c r="J4377" s="6" t="str">
        <f>IFERROR(__xludf.DUMMYFUNCTION("""COMPUTED_VALUE"""),"3")</f>
        <v>3</v>
      </c>
      <c r="K4377" s="6" t="str">
        <f>IFERROR(__xludf.DUMMYFUNCTION("""COMPUTED_VALUE"""),"alaya.taylor@2hourlearning.com")</f>
        <v>alaya.taylor@2hourlearning.com</v>
      </c>
      <c r="L4377" s="6" t="str">
        <f>IFERROR(__xludf.DUMMYFUNCTION("""COMPUTED_VALUE"""),"JHES - Hardeeville Elementary School")</f>
        <v>JHES - Hardeeville Elementary School</v>
      </c>
      <c r="M4377" s="6" t="str">
        <f>IFERROR(__xludf.DUMMYFUNCTION("""COMPUTED_VALUE"""),"")</f>
        <v/>
      </c>
      <c r="N4377" s="6" t="str">
        <f>IFERROR(__xludf.DUMMYFUNCTION("""COMPUTED_VALUE"""),"")</f>
        <v/>
      </c>
      <c r="O4377" s="87" t="str">
        <f>IFERROR(__xludf.DUMMYFUNCTION("""COMPUTED_VALUE"""),"https://drive.google.com/drive/folders/10T2cTQHqEJZqE-st6uFKPoI?usp=share_link")</f>
        <v>https://drive.google.com/drive/folders/10T2cTQHqEJZqE-st6uFKPoI?usp=share_link</v>
      </c>
      <c r="P4377" s="6" t="str">
        <f>IFERROR(__xludf.DUMMYFUNCTION("""COMPUTED_VALUE"""),"Alaya Taylor")</f>
        <v>Alaya Taylor</v>
      </c>
      <c r="Q4377" s="6" t="str">
        <f>IFERROR(__xludf.DUMMYFUNCTION("""COMPUTED_VALUE"""),"L1")</f>
        <v>L1</v>
      </c>
      <c r="R4377" s="6">
        <f>IFERROR(__xludf.DUMMYFUNCTION("""COMPUTED_VALUE"""),1.0)</f>
        <v>1</v>
      </c>
      <c r="S4377" s="6" t="str">
        <f>IFERROR(__xludf.DUMMYFUNCTION("""COMPUTED_VALUE""")," ")</f>
        <v> </v>
      </c>
      <c r="T4377" s="6" t="str">
        <f>IFERROR(__xludf.DUMMYFUNCTION("""COMPUTED_VALUE"""),"")</f>
        <v/>
      </c>
      <c r="U4377" s="6" t="str">
        <f>IFERROR(__xludf.DUMMYFUNCTION("""COMPUTED_VALUE"""),"3")</f>
        <v>3</v>
      </c>
      <c r="V4377" s="6" t="str">
        <f>IFERROR(__xludf.DUMMYFUNCTION("""COMPUTED_VALUE"""),"")</f>
        <v/>
      </c>
      <c r="W4377" s="6" t="str">
        <f>IFERROR(__xludf.DUMMYFUNCTION("""COMPUTED_VALUE"""),"[]")</f>
        <v>[]</v>
      </c>
      <c r="X4377" s="6" t="str">
        <f>IFERROR(__xludf.DUMMYFUNCTION("""COMPUTED_VALUE"""),"Enrolled")</f>
        <v>Enrolled</v>
      </c>
    </row>
    <row r="4378">
      <c r="A4378" s="6" t="str">
        <f>IFERROR(__xludf.DUMMYFUNCTION("""COMPUTED_VALUE"""),"083-11665")</f>
        <v>083-11665</v>
      </c>
      <c r="B4378" s="6" t="str">
        <f>IFERROR(__xludf.DUMMYFUNCTION("""COMPUTED_VALUE"""),"83")</f>
        <v>83</v>
      </c>
      <c r="C4378" s="6" t="str">
        <f>IFERROR(__xludf.DUMMYFUNCTION("""COMPUTED_VALUE"""),"11665")</f>
        <v>11665</v>
      </c>
      <c r="D4378" s="6" t="str">
        <f>IFERROR(__xludf.DUMMYFUNCTION("""COMPUTED_VALUE"""),"Santiago C")</f>
        <v>Santiago C</v>
      </c>
      <c r="E4378" s="6" t="str">
        <f>IFERROR(__xludf.DUMMYFUNCTION("""COMPUTED_VALUE"""),"")</f>
        <v/>
      </c>
      <c r="F4378" s="6" t="str">
        <f>IFERROR(__xludf.DUMMYFUNCTION("""COMPUTED_VALUE"""),"Trigo Garcia")</f>
        <v>Trigo Garcia</v>
      </c>
      <c r="G4378" s="6" t="str">
        <f>IFERROR(__xludf.DUMMYFUNCTION("""COMPUTED_VALUE"""),"04/19/2017")</f>
        <v>04/19/2017</v>
      </c>
      <c r="H4378" s="6" t="str">
        <f>IFERROR(__xludf.DUMMYFUNCTION("""COMPUTED_VALUE"""),"male")</f>
        <v>male</v>
      </c>
      <c r="I4378" s="6" t="str">
        <f>IFERROR(__xludf.DUMMYFUNCTION("""COMPUTED_VALUE"""),"Level 1")</f>
        <v>Level 1</v>
      </c>
      <c r="J4378" s="6" t="str">
        <f>IFERROR(__xludf.DUMMYFUNCTION("""COMPUTED_VALUE"""),"3")</f>
        <v>3</v>
      </c>
      <c r="K4378" s="6" t="str">
        <f>IFERROR(__xludf.DUMMYFUNCTION("""COMPUTED_VALUE"""),"santiagoc.trigogarcia@2hourlearning.com")</f>
        <v>santiagoc.trigogarcia@2hourlearning.com</v>
      </c>
      <c r="L4378" s="6" t="str">
        <f>IFERROR(__xludf.DUMMYFUNCTION("""COMPUTED_VALUE"""),"JHES - Hardeeville Elementary School")</f>
        <v>JHES - Hardeeville Elementary School</v>
      </c>
      <c r="M4378" s="6" t="str">
        <f>IFERROR(__xludf.DUMMYFUNCTION("""COMPUTED_VALUE"""),"")</f>
        <v/>
      </c>
      <c r="N4378" s="6" t="str">
        <f>IFERROR(__xludf.DUMMYFUNCTION("""COMPUTED_VALUE"""),"")</f>
        <v/>
      </c>
      <c r="O4378" s="87" t="str">
        <f>IFERROR(__xludf.DUMMYFUNCTION("""COMPUTED_VALUE"""),"https://drive.google.com/drive/folders/10T2cTQHqEJZqE-st6uFKPoI?usp=share_link")</f>
        <v>https://drive.google.com/drive/folders/10T2cTQHqEJZqE-st6uFKPoI?usp=share_link</v>
      </c>
      <c r="P4378" s="6" t="str">
        <f>IFERROR(__xludf.DUMMYFUNCTION("""COMPUTED_VALUE"""),"Santiago C Trigo Garcia")</f>
        <v>Santiago C Trigo Garcia</v>
      </c>
      <c r="Q4378" s="6" t="str">
        <f>IFERROR(__xludf.DUMMYFUNCTION("""COMPUTED_VALUE"""),"L1")</f>
        <v>L1</v>
      </c>
      <c r="R4378" s="6">
        <f>IFERROR(__xludf.DUMMYFUNCTION("""COMPUTED_VALUE"""),1.0)</f>
        <v>1</v>
      </c>
      <c r="S4378" s="6" t="str">
        <f>IFERROR(__xludf.DUMMYFUNCTION("""COMPUTED_VALUE""")," ")</f>
        <v> </v>
      </c>
      <c r="T4378" s="6" t="str">
        <f>IFERROR(__xludf.DUMMYFUNCTION("""COMPUTED_VALUE"""),"")</f>
        <v/>
      </c>
      <c r="U4378" s="6" t="str">
        <f>IFERROR(__xludf.DUMMYFUNCTION("""COMPUTED_VALUE"""),"3")</f>
        <v>3</v>
      </c>
      <c r="V4378" s="6" t="str">
        <f>IFERROR(__xludf.DUMMYFUNCTION("""COMPUTED_VALUE"""),"")</f>
        <v/>
      </c>
      <c r="W4378" s="6" t="str">
        <f>IFERROR(__xludf.DUMMYFUNCTION("""COMPUTED_VALUE"""),"[]")</f>
        <v>[]</v>
      </c>
      <c r="X4378" s="6" t="str">
        <f>IFERROR(__xludf.DUMMYFUNCTION("""COMPUTED_VALUE"""),"Enrolled")</f>
        <v>Enrolled</v>
      </c>
    </row>
    <row r="4379">
      <c r="A4379" s="6" t="str">
        <f>IFERROR(__xludf.DUMMYFUNCTION("""COMPUTED_VALUE"""),"083-11666")</f>
        <v>083-11666</v>
      </c>
      <c r="B4379" s="6" t="str">
        <f>IFERROR(__xludf.DUMMYFUNCTION("""COMPUTED_VALUE"""),"83")</f>
        <v>83</v>
      </c>
      <c r="C4379" s="6" t="str">
        <f>IFERROR(__xludf.DUMMYFUNCTION("""COMPUTED_VALUE"""),"11666")</f>
        <v>11666</v>
      </c>
      <c r="D4379" s="6" t="str">
        <f>IFERROR(__xludf.DUMMYFUNCTION("""COMPUTED_VALUE"""),"Jason")</f>
        <v>Jason</v>
      </c>
      <c r="E4379" s="6" t="str">
        <f>IFERROR(__xludf.DUMMYFUNCTION("""COMPUTED_VALUE"""),"")</f>
        <v/>
      </c>
      <c r="F4379" s="6" t="str">
        <f>IFERROR(__xludf.DUMMYFUNCTION("""COMPUTED_VALUE"""),"Velasques-Morales")</f>
        <v>Velasques-Morales</v>
      </c>
      <c r="G4379" s="6" t="str">
        <f>IFERROR(__xludf.DUMMYFUNCTION("""COMPUTED_VALUE"""),"04/07/2017")</f>
        <v>04/07/2017</v>
      </c>
      <c r="H4379" s="6" t="str">
        <f>IFERROR(__xludf.DUMMYFUNCTION("""COMPUTED_VALUE"""),"male")</f>
        <v>male</v>
      </c>
      <c r="I4379" s="6" t="str">
        <f>IFERROR(__xludf.DUMMYFUNCTION("""COMPUTED_VALUE"""),"Level 1")</f>
        <v>Level 1</v>
      </c>
      <c r="J4379" s="6" t="str">
        <f>IFERROR(__xludf.DUMMYFUNCTION("""COMPUTED_VALUE"""),"3")</f>
        <v>3</v>
      </c>
      <c r="K4379" s="6" t="str">
        <f>IFERROR(__xludf.DUMMYFUNCTION("""COMPUTED_VALUE"""),"jason.velasquesmorales@2hourlearning.com")</f>
        <v>jason.velasquesmorales@2hourlearning.com</v>
      </c>
      <c r="L4379" s="6" t="str">
        <f>IFERROR(__xludf.DUMMYFUNCTION("""COMPUTED_VALUE"""),"JHES - Hardeeville Elementary School")</f>
        <v>JHES - Hardeeville Elementary School</v>
      </c>
      <c r="M4379" s="6" t="str">
        <f>IFERROR(__xludf.DUMMYFUNCTION("""COMPUTED_VALUE"""),"")</f>
        <v/>
      </c>
      <c r="N4379" s="6" t="str">
        <f>IFERROR(__xludf.DUMMYFUNCTION("""COMPUTED_VALUE"""),"")</f>
        <v/>
      </c>
      <c r="O4379" s="87" t="str">
        <f>IFERROR(__xludf.DUMMYFUNCTION("""COMPUTED_VALUE"""),"https://drive.google.com/drive/folders/10T2cTQHqEJZqE-st6uFKPoI?usp=share_link")</f>
        <v>https://drive.google.com/drive/folders/10T2cTQHqEJZqE-st6uFKPoI?usp=share_link</v>
      </c>
      <c r="P4379" s="6" t="str">
        <f>IFERROR(__xludf.DUMMYFUNCTION("""COMPUTED_VALUE"""),"Jason Velasques-Morales")</f>
        <v>Jason Velasques-Morales</v>
      </c>
      <c r="Q4379" s="6" t="str">
        <f>IFERROR(__xludf.DUMMYFUNCTION("""COMPUTED_VALUE"""),"L1")</f>
        <v>L1</v>
      </c>
      <c r="R4379" s="6">
        <f>IFERROR(__xludf.DUMMYFUNCTION("""COMPUTED_VALUE"""),1.0)</f>
        <v>1</v>
      </c>
      <c r="S4379" s="6" t="str">
        <f>IFERROR(__xludf.DUMMYFUNCTION("""COMPUTED_VALUE""")," ")</f>
        <v> </v>
      </c>
      <c r="T4379" s="6" t="str">
        <f>IFERROR(__xludf.DUMMYFUNCTION("""COMPUTED_VALUE"""),"")</f>
        <v/>
      </c>
      <c r="U4379" s="6" t="str">
        <f>IFERROR(__xludf.DUMMYFUNCTION("""COMPUTED_VALUE"""),"3")</f>
        <v>3</v>
      </c>
      <c r="V4379" s="6" t="str">
        <f>IFERROR(__xludf.DUMMYFUNCTION("""COMPUTED_VALUE"""),"")</f>
        <v/>
      </c>
      <c r="W4379" s="6" t="str">
        <f>IFERROR(__xludf.DUMMYFUNCTION("""COMPUTED_VALUE"""),"[]")</f>
        <v>[]</v>
      </c>
      <c r="X4379" s="6" t="str">
        <f>IFERROR(__xludf.DUMMYFUNCTION("""COMPUTED_VALUE"""),"Enrolled")</f>
        <v>Enrolled</v>
      </c>
    </row>
    <row r="4380">
      <c r="A4380" s="6" t="str">
        <f>IFERROR(__xludf.DUMMYFUNCTION("""COMPUTED_VALUE"""),"083-11667")</f>
        <v>083-11667</v>
      </c>
      <c r="B4380" s="6" t="str">
        <f>IFERROR(__xludf.DUMMYFUNCTION("""COMPUTED_VALUE"""),"83")</f>
        <v>83</v>
      </c>
      <c r="C4380" s="6" t="str">
        <f>IFERROR(__xludf.DUMMYFUNCTION("""COMPUTED_VALUE"""),"11667")</f>
        <v>11667</v>
      </c>
      <c r="D4380" s="6" t="str">
        <f>IFERROR(__xludf.DUMMYFUNCTION("""COMPUTED_VALUE"""),"Kynlee")</f>
        <v>Kynlee</v>
      </c>
      <c r="E4380" s="6" t="str">
        <f>IFERROR(__xludf.DUMMYFUNCTION("""COMPUTED_VALUE"""),"")</f>
        <v/>
      </c>
      <c r="F4380" s="6" t="str">
        <f>IFERROR(__xludf.DUMMYFUNCTION("""COMPUTED_VALUE"""),"Yago")</f>
        <v>Yago</v>
      </c>
      <c r="G4380" s="6" t="str">
        <f>IFERROR(__xludf.DUMMYFUNCTION("""COMPUTED_VALUE"""),"08/07/2017")</f>
        <v>08/07/2017</v>
      </c>
      <c r="H4380" s="6" t="str">
        <f>IFERROR(__xludf.DUMMYFUNCTION("""COMPUTED_VALUE"""),"female")</f>
        <v>female</v>
      </c>
      <c r="I4380" s="6" t="str">
        <f>IFERROR(__xludf.DUMMYFUNCTION("""COMPUTED_VALUE"""),"Level 1")</f>
        <v>Level 1</v>
      </c>
      <c r="J4380" s="6" t="str">
        <f>IFERROR(__xludf.DUMMYFUNCTION("""COMPUTED_VALUE"""),"3")</f>
        <v>3</v>
      </c>
      <c r="K4380" s="6" t="str">
        <f>IFERROR(__xludf.DUMMYFUNCTION("""COMPUTED_VALUE"""),"kynlee.yago@2hourlearning.com")</f>
        <v>kynlee.yago@2hourlearning.com</v>
      </c>
      <c r="L4380" s="6" t="str">
        <f>IFERROR(__xludf.DUMMYFUNCTION("""COMPUTED_VALUE"""),"JHES - Hardeeville Elementary School")</f>
        <v>JHES - Hardeeville Elementary School</v>
      </c>
      <c r="M4380" s="6" t="str">
        <f>IFERROR(__xludf.DUMMYFUNCTION("""COMPUTED_VALUE"""),"")</f>
        <v/>
      </c>
      <c r="N4380" s="6" t="str">
        <f>IFERROR(__xludf.DUMMYFUNCTION("""COMPUTED_VALUE"""),"")</f>
        <v/>
      </c>
      <c r="O4380" s="87" t="str">
        <f>IFERROR(__xludf.DUMMYFUNCTION("""COMPUTED_VALUE"""),"https://drive.google.com/drive/folders/10T2cTQHqEJZqE-st6uFKPoI?usp=share_link")</f>
        <v>https://drive.google.com/drive/folders/10T2cTQHqEJZqE-st6uFKPoI?usp=share_link</v>
      </c>
      <c r="P4380" s="6" t="str">
        <f>IFERROR(__xludf.DUMMYFUNCTION("""COMPUTED_VALUE"""),"Kynlee Yago")</f>
        <v>Kynlee Yago</v>
      </c>
      <c r="Q4380" s="6" t="str">
        <f>IFERROR(__xludf.DUMMYFUNCTION("""COMPUTED_VALUE"""),"L1")</f>
        <v>L1</v>
      </c>
      <c r="R4380" s="6">
        <f>IFERROR(__xludf.DUMMYFUNCTION("""COMPUTED_VALUE"""),1.0)</f>
        <v>1</v>
      </c>
      <c r="S4380" s="6" t="str">
        <f>IFERROR(__xludf.DUMMYFUNCTION("""COMPUTED_VALUE""")," ")</f>
        <v> </v>
      </c>
      <c r="T4380" s="6" t="str">
        <f>IFERROR(__xludf.DUMMYFUNCTION("""COMPUTED_VALUE"""),"")</f>
        <v/>
      </c>
      <c r="U4380" s="6" t="str">
        <f>IFERROR(__xludf.DUMMYFUNCTION("""COMPUTED_VALUE"""),"3")</f>
        <v>3</v>
      </c>
      <c r="V4380" s="6" t="str">
        <f>IFERROR(__xludf.DUMMYFUNCTION("""COMPUTED_VALUE"""),"")</f>
        <v/>
      </c>
      <c r="W4380" s="6" t="str">
        <f>IFERROR(__xludf.DUMMYFUNCTION("""COMPUTED_VALUE"""),"[]")</f>
        <v>[]</v>
      </c>
      <c r="X4380" s="6" t="str">
        <f>IFERROR(__xludf.DUMMYFUNCTION("""COMPUTED_VALUE"""),"Enrolled")</f>
        <v>Enrolled</v>
      </c>
    </row>
    <row r="4381">
      <c r="A4381" s="6" t="str">
        <f>IFERROR(__xludf.DUMMYFUNCTION("""COMPUTED_VALUE"""),"083-11668")</f>
        <v>083-11668</v>
      </c>
      <c r="B4381" s="6" t="str">
        <f>IFERROR(__xludf.DUMMYFUNCTION("""COMPUTED_VALUE"""),"83")</f>
        <v>83</v>
      </c>
      <c r="C4381" s="6" t="str">
        <f>IFERROR(__xludf.DUMMYFUNCTION("""COMPUTED_VALUE"""),"11668")</f>
        <v>11668</v>
      </c>
      <c r="D4381" s="6" t="str">
        <f>IFERROR(__xludf.DUMMYFUNCTION("""COMPUTED_VALUE"""),"Taj'Dre")</f>
        <v>Taj'Dre</v>
      </c>
      <c r="E4381" s="6" t="str">
        <f>IFERROR(__xludf.DUMMYFUNCTION("""COMPUTED_VALUE"""),"")</f>
        <v/>
      </c>
      <c r="F4381" s="6" t="str">
        <f>IFERROR(__xludf.DUMMYFUNCTION("""COMPUTED_VALUE"""),"Chisolm")</f>
        <v>Chisolm</v>
      </c>
      <c r="G4381" s="6" t="str">
        <f>IFERROR(__xludf.DUMMYFUNCTION("""COMPUTED_VALUE"""),"10/06/2015")</f>
        <v>10/06/2015</v>
      </c>
      <c r="H4381" s="6" t="str">
        <f>IFERROR(__xludf.DUMMYFUNCTION("""COMPUTED_VALUE"""),"male")</f>
        <v>male</v>
      </c>
      <c r="I4381" s="6" t="str">
        <f>IFERROR(__xludf.DUMMYFUNCTION("""COMPUTED_VALUE"""),"Level 2")</f>
        <v>Level 2</v>
      </c>
      <c r="J4381" s="6" t="str">
        <f>IFERROR(__xludf.DUMMYFUNCTION("""COMPUTED_VALUE"""),"4")</f>
        <v>4</v>
      </c>
      <c r="K4381" s="6" t="str">
        <f>IFERROR(__xludf.DUMMYFUNCTION("""COMPUTED_VALUE"""),"tajdre.chisolm@2hourlearning.com")</f>
        <v>tajdre.chisolm@2hourlearning.com</v>
      </c>
      <c r="L4381" s="6" t="str">
        <f>IFERROR(__xludf.DUMMYFUNCTION("""COMPUTED_VALUE"""),"JHES - Hardeeville Elementary School")</f>
        <v>JHES - Hardeeville Elementary School</v>
      </c>
      <c r="M4381" s="6" t="str">
        <f>IFERROR(__xludf.DUMMYFUNCTION("""COMPUTED_VALUE"""),"")</f>
        <v/>
      </c>
      <c r="N4381" s="6" t="str">
        <f>IFERROR(__xludf.DUMMYFUNCTION("""COMPUTED_VALUE"""),"")</f>
        <v/>
      </c>
      <c r="O4381" s="87" t="str">
        <f>IFERROR(__xludf.DUMMYFUNCTION("""COMPUTED_VALUE"""),"https://drive.google.com/drive/folders/10T2cTQHqEJZqE-st6uFKPoI?usp=share_link")</f>
        <v>https://drive.google.com/drive/folders/10T2cTQHqEJZqE-st6uFKPoI?usp=share_link</v>
      </c>
      <c r="P4381" s="6" t="str">
        <f>IFERROR(__xludf.DUMMYFUNCTION("""COMPUTED_VALUE"""),"Taj'Dre Chisolm")</f>
        <v>Taj'Dre Chisolm</v>
      </c>
      <c r="Q4381" s="6" t="str">
        <f>IFERROR(__xludf.DUMMYFUNCTION("""COMPUTED_VALUE"""),"L2")</f>
        <v>L2</v>
      </c>
      <c r="R4381" s="6">
        <f>IFERROR(__xludf.DUMMYFUNCTION("""COMPUTED_VALUE"""),2.0)</f>
        <v>2</v>
      </c>
      <c r="S4381" s="6" t="str">
        <f>IFERROR(__xludf.DUMMYFUNCTION("""COMPUTED_VALUE""")," ")</f>
        <v> </v>
      </c>
      <c r="T4381" s="6" t="str">
        <f>IFERROR(__xludf.DUMMYFUNCTION("""COMPUTED_VALUE"""),"")</f>
        <v/>
      </c>
      <c r="U4381" s="6" t="str">
        <f>IFERROR(__xludf.DUMMYFUNCTION("""COMPUTED_VALUE"""),"4")</f>
        <v>4</v>
      </c>
      <c r="V4381" s="6" t="str">
        <f>IFERROR(__xludf.DUMMYFUNCTION("""COMPUTED_VALUE"""),"")</f>
        <v/>
      </c>
      <c r="W4381" s="6" t="str">
        <f>IFERROR(__xludf.DUMMYFUNCTION("""COMPUTED_VALUE"""),"[]")</f>
        <v>[]</v>
      </c>
      <c r="X4381" s="6" t="str">
        <f>IFERROR(__xludf.DUMMYFUNCTION("""COMPUTED_VALUE"""),"Enrolled")</f>
        <v>Enrolled</v>
      </c>
    </row>
    <row r="4382">
      <c r="A4382" s="6" t="str">
        <f>IFERROR(__xludf.DUMMYFUNCTION("""COMPUTED_VALUE"""),"083-11669")</f>
        <v>083-11669</v>
      </c>
      <c r="B4382" s="6" t="str">
        <f>IFERROR(__xludf.DUMMYFUNCTION("""COMPUTED_VALUE"""),"83")</f>
        <v>83</v>
      </c>
      <c r="C4382" s="6" t="str">
        <f>IFERROR(__xludf.DUMMYFUNCTION("""COMPUTED_VALUE"""),"11669")</f>
        <v>11669</v>
      </c>
      <c r="D4382" s="6" t="str">
        <f>IFERROR(__xludf.DUMMYFUNCTION("""COMPUTED_VALUE"""),"Mikkaill")</f>
        <v>Mikkaill</v>
      </c>
      <c r="E4382" s="6" t="str">
        <f>IFERROR(__xludf.DUMMYFUNCTION("""COMPUTED_VALUE"""),"")</f>
        <v/>
      </c>
      <c r="F4382" s="6" t="str">
        <f>IFERROR(__xludf.DUMMYFUNCTION("""COMPUTED_VALUE"""),"Edwards")</f>
        <v>Edwards</v>
      </c>
      <c r="G4382" s="6" t="str">
        <f>IFERROR(__xludf.DUMMYFUNCTION("""COMPUTED_VALUE"""),"07/25/2015")</f>
        <v>07/25/2015</v>
      </c>
      <c r="H4382" s="6" t="str">
        <f>IFERROR(__xludf.DUMMYFUNCTION("""COMPUTED_VALUE"""),"male")</f>
        <v>male</v>
      </c>
      <c r="I4382" s="6" t="str">
        <f>IFERROR(__xludf.DUMMYFUNCTION("""COMPUTED_VALUE"""),"Level 2")</f>
        <v>Level 2</v>
      </c>
      <c r="J4382" s="6" t="str">
        <f>IFERROR(__xludf.DUMMYFUNCTION("""COMPUTED_VALUE"""),"4")</f>
        <v>4</v>
      </c>
      <c r="K4382" s="6" t="str">
        <f>IFERROR(__xludf.DUMMYFUNCTION("""COMPUTED_VALUE"""),"mikkaill.edwards@2hourlearning.com")</f>
        <v>mikkaill.edwards@2hourlearning.com</v>
      </c>
      <c r="L4382" s="6" t="str">
        <f>IFERROR(__xludf.DUMMYFUNCTION("""COMPUTED_VALUE"""),"JHES - Hardeeville Elementary School")</f>
        <v>JHES - Hardeeville Elementary School</v>
      </c>
      <c r="M4382" s="6" t="str">
        <f>IFERROR(__xludf.DUMMYFUNCTION("""COMPUTED_VALUE"""),"")</f>
        <v/>
      </c>
      <c r="N4382" s="6" t="str">
        <f>IFERROR(__xludf.DUMMYFUNCTION("""COMPUTED_VALUE"""),"")</f>
        <v/>
      </c>
      <c r="O4382" s="87" t="str">
        <f>IFERROR(__xludf.DUMMYFUNCTION("""COMPUTED_VALUE"""),"https://drive.google.com/drive/folders/10T2cTQHqEJZqE-st6uFKPoI?usp=share_link")</f>
        <v>https://drive.google.com/drive/folders/10T2cTQHqEJZqE-st6uFKPoI?usp=share_link</v>
      </c>
      <c r="P4382" s="6" t="str">
        <f>IFERROR(__xludf.DUMMYFUNCTION("""COMPUTED_VALUE"""),"Mikkaill Edwards")</f>
        <v>Mikkaill Edwards</v>
      </c>
      <c r="Q4382" s="6" t="str">
        <f>IFERROR(__xludf.DUMMYFUNCTION("""COMPUTED_VALUE"""),"L2")</f>
        <v>L2</v>
      </c>
      <c r="R4382" s="6">
        <f>IFERROR(__xludf.DUMMYFUNCTION("""COMPUTED_VALUE"""),2.0)</f>
        <v>2</v>
      </c>
      <c r="S4382" s="6" t="str">
        <f>IFERROR(__xludf.DUMMYFUNCTION("""COMPUTED_VALUE""")," ")</f>
        <v> </v>
      </c>
      <c r="T4382" s="6" t="str">
        <f>IFERROR(__xludf.DUMMYFUNCTION("""COMPUTED_VALUE"""),"")</f>
        <v/>
      </c>
      <c r="U4382" s="6" t="str">
        <f>IFERROR(__xludf.DUMMYFUNCTION("""COMPUTED_VALUE"""),"4")</f>
        <v>4</v>
      </c>
      <c r="V4382" s="6" t="str">
        <f>IFERROR(__xludf.DUMMYFUNCTION("""COMPUTED_VALUE"""),"")</f>
        <v/>
      </c>
      <c r="W4382" s="6" t="str">
        <f>IFERROR(__xludf.DUMMYFUNCTION("""COMPUTED_VALUE"""),"[]")</f>
        <v>[]</v>
      </c>
      <c r="X4382" s="6" t="str">
        <f>IFERROR(__xludf.DUMMYFUNCTION("""COMPUTED_VALUE"""),"Enrolled")</f>
        <v>Enrolled</v>
      </c>
    </row>
    <row r="4383">
      <c r="A4383" s="6" t="str">
        <f>IFERROR(__xludf.DUMMYFUNCTION("""COMPUTED_VALUE"""),"083-11670")</f>
        <v>083-11670</v>
      </c>
      <c r="B4383" s="6" t="str">
        <f>IFERROR(__xludf.DUMMYFUNCTION("""COMPUTED_VALUE"""),"83")</f>
        <v>83</v>
      </c>
      <c r="C4383" s="6" t="str">
        <f>IFERROR(__xludf.DUMMYFUNCTION("""COMPUTED_VALUE"""),"11670")</f>
        <v>11670</v>
      </c>
      <c r="D4383" s="6" t="str">
        <f>IFERROR(__xludf.DUMMYFUNCTION("""COMPUTED_VALUE"""),"Celeste")</f>
        <v>Celeste</v>
      </c>
      <c r="E4383" s="6" t="str">
        <f>IFERROR(__xludf.DUMMYFUNCTION("""COMPUTED_VALUE"""),"")</f>
        <v/>
      </c>
      <c r="F4383" s="6" t="str">
        <f>IFERROR(__xludf.DUMMYFUNCTION("""COMPUTED_VALUE"""),"Mayoral-Escorza")</f>
        <v>Mayoral-Escorza</v>
      </c>
      <c r="G4383" s="6" t="str">
        <f>IFERROR(__xludf.DUMMYFUNCTION("""COMPUTED_VALUE"""),"08/23/2016")</f>
        <v>08/23/2016</v>
      </c>
      <c r="H4383" s="6" t="str">
        <f>IFERROR(__xludf.DUMMYFUNCTION("""COMPUTED_VALUE"""),"female")</f>
        <v>female</v>
      </c>
      <c r="I4383" s="6" t="str">
        <f>IFERROR(__xludf.DUMMYFUNCTION("""COMPUTED_VALUE"""),"Level 2")</f>
        <v>Level 2</v>
      </c>
      <c r="J4383" s="6" t="str">
        <f>IFERROR(__xludf.DUMMYFUNCTION("""COMPUTED_VALUE"""),"4")</f>
        <v>4</v>
      </c>
      <c r="K4383" s="6" t="str">
        <f>IFERROR(__xludf.DUMMYFUNCTION("""COMPUTED_VALUE"""),"celeste.mayoralescorza@2hourlearning.com")</f>
        <v>celeste.mayoralescorza@2hourlearning.com</v>
      </c>
      <c r="L4383" s="6" t="str">
        <f>IFERROR(__xludf.DUMMYFUNCTION("""COMPUTED_VALUE"""),"JHES - Hardeeville Elementary School")</f>
        <v>JHES - Hardeeville Elementary School</v>
      </c>
      <c r="M4383" s="6" t="str">
        <f>IFERROR(__xludf.DUMMYFUNCTION("""COMPUTED_VALUE"""),"")</f>
        <v/>
      </c>
      <c r="N4383" s="6" t="str">
        <f>IFERROR(__xludf.DUMMYFUNCTION("""COMPUTED_VALUE"""),"")</f>
        <v/>
      </c>
      <c r="O4383" s="87" t="str">
        <f>IFERROR(__xludf.DUMMYFUNCTION("""COMPUTED_VALUE"""),"https://drive.google.com/drive/folders/10T2cTQHqEJZqE-st6uFKPoI?usp=share_link")</f>
        <v>https://drive.google.com/drive/folders/10T2cTQHqEJZqE-st6uFKPoI?usp=share_link</v>
      </c>
      <c r="P4383" s="6" t="str">
        <f>IFERROR(__xludf.DUMMYFUNCTION("""COMPUTED_VALUE"""),"Celeste Mayoral-Escorza")</f>
        <v>Celeste Mayoral-Escorza</v>
      </c>
      <c r="Q4383" s="6" t="str">
        <f>IFERROR(__xludf.DUMMYFUNCTION("""COMPUTED_VALUE"""),"L2")</f>
        <v>L2</v>
      </c>
      <c r="R4383" s="6">
        <f>IFERROR(__xludf.DUMMYFUNCTION("""COMPUTED_VALUE"""),2.0)</f>
        <v>2</v>
      </c>
      <c r="S4383" s="6" t="str">
        <f>IFERROR(__xludf.DUMMYFUNCTION("""COMPUTED_VALUE""")," ")</f>
        <v> </v>
      </c>
      <c r="T4383" s="6" t="str">
        <f>IFERROR(__xludf.DUMMYFUNCTION("""COMPUTED_VALUE"""),"")</f>
        <v/>
      </c>
      <c r="U4383" s="6" t="str">
        <f>IFERROR(__xludf.DUMMYFUNCTION("""COMPUTED_VALUE"""),"4")</f>
        <v>4</v>
      </c>
      <c r="V4383" s="6" t="str">
        <f>IFERROR(__xludf.DUMMYFUNCTION("""COMPUTED_VALUE"""),"")</f>
        <v/>
      </c>
      <c r="W4383" s="6" t="str">
        <f>IFERROR(__xludf.DUMMYFUNCTION("""COMPUTED_VALUE"""),"[]")</f>
        <v>[]</v>
      </c>
      <c r="X4383" s="6" t="str">
        <f>IFERROR(__xludf.DUMMYFUNCTION("""COMPUTED_VALUE"""),"Enrolled")</f>
        <v>Enrolled</v>
      </c>
    </row>
    <row r="4384">
      <c r="A4384" s="6" t="str">
        <f>IFERROR(__xludf.DUMMYFUNCTION("""COMPUTED_VALUE"""),"083-11671")</f>
        <v>083-11671</v>
      </c>
      <c r="B4384" s="6" t="str">
        <f>IFERROR(__xludf.DUMMYFUNCTION("""COMPUTED_VALUE"""),"83")</f>
        <v>83</v>
      </c>
      <c r="C4384" s="6" t="str">
        <f>IFERROR(__xludf.DUMMYFUNCTION("""COMPUTED_VALUE"""),"11671")</f>
        <v>11671</v>
      </c>
      <c r="D4384" s="6" t="str">
        <f>IFERROR(__xludf.DUMMYFUNCTION("""COMPUTED_VALUE"""),"Dyland")</f>
        <v>Dyland</v>
      </c>
      <c r="E4384" s="6" t="str">
        <f>IFERROR(__xludf.DUMMYFUNCTION("""COMPUTED_VALUE"""),"")</f>
        <v/>
      </c>
      <c r="F4384" s="6" t="str">
        <f>IFERROR(__xludf.DUMMYFUNCTION("""COMPUTED_VALUE"""),"Ochoa Chavez")</f>
        <v>Ochoa Chavez</v>
      </c>
      <c r="G4384" s="6" t="str">
        <f>IFERROR(__xludf.DUMMYFUNCTION("""COMPUTED_VALUE"""),"04/17/2016")</f>
        <v>04/17/2016</v>
      </c>
      <c r="H4384" s="6" t="str">
        <f>IFERROR(__xludf.DUMMYFUNCTION("""COMPUTED_VALUE"""),"male")</f>
        <v>male</v>
      </c>
      <c r="I4384" s="6" t="str">
        <f>IFERROR(__xludf.DUMMYFUNCTION("""COMPUTED_VALUE"""),"Level 2")</f>
        <v>Level 2</v>
      </c>
      <c r="J4384" s="6" t="str">
        <f>IFERROR(__xludf.DUMMYFUNCTION("""COMPUTED_VALUE"""),"4")</f>
        <v>4</v>
      </c>
      <c r="K4384" s="6" t="str">
        <f>IFERROR(__xludf.DUMMYFUNCTION("""COMPUTED_VALUE"""),"dyland.ochoachavez@2hourlearning.com")</f>
        <v>dyland.ochoachavez@2hourlearning.com</v>
      </c>
      <c r="L4384" s="6" t="str">
        <f>IFERROR(__xludf.DUMMYFUNCTION("""COMPUTED_VALUE"""),"JHES - Hardeeville Elementary School")</f>
        <v>JHES - Hardeeville Elementary School</v>
      </c>
      <c r="M4384" s="6" t="str">
        <f>IFERROR(__xludf.DUMMYFUNCTION("""COMPUTED_VALUE"""),"")</f>
        <v/>
      </c>
      <c r="N4384" s="6" t="str">
        <f>IFERROR(__xludf.DUMMYFUNCTION("""COMPUTED_VALUE"""),"")</f>
        <v/>
      </c>
      <c r="O4384" s="87" t="str">
        <f>IFERROR(__xludf.DUMMYFUNCTION("""COMPUTED_VALUE"""),"https://drive.google.com/drive/folders/10T2cTQHqEJZqE-st6uFKPoI?usp=share_link")</f>
        <v>https://drive.google.com/drive/folders/10T2cTQHqEJZqE-st6uFKPoI?usp=share_link</v>
      </c>
      <c r="P4384" s="6" t="str">
        <f>IFERROR(__xludf.DUMMYFUNCTION("""COMPUTED_VALUE"""),"Dyland Ochoa Chavez")</f>
        <v>Dyland Ochoa Chavez</v>
      </c>
      <c r="Q4384" s="6" t="str">
        <f>IFERROR(__xludf.DUMMYFUNCTION("""COMPUTED_VALUE"""),"L2")</f>
        <v>L2</v>
      </c>
      <c r="R4384" s="6">
        <f>IFERROR(__xludf.DUMMYFUNCTION("""COMPUTED_VALUE"""),2.0)</f>
        <v>2</v>
      </c>
      <c r="S4384" s="6" t="str">
        <f>IFERROR(__xludf.DUMMYFUNCTION("""COMPUTED_VALUE""")," ")</f>
        <v> </v>
      </c>
      <c r="T4384" s="6" t="str">
        <f>IFERROR(__xludf.DUMMYFUNCTION("""COMPUTED_VALUE"""),"")</f>
        <v/>
      </c>
      <c r="U4384" s="6" t="str">
        <f>IFERROR(__xludf.DUMMYFUNCTION("""COMPUTED_VALUE"""),"4")</f>
        <v>4</v>
      </c>
      <c r="V4384" s="6" t="str">
        <f>IFERROR(__xludf.DUMMYFUNCTION("""COMPUTED_VALUE"""),"")</f>
        <v/>
      </c>
      <c r="W4384" s="6" t="str">
        <f>IFERROR(__xludf.DUMMYFUNCTION("""COMPUTED_VALUE"""),"[]")</f>
        <v>[]</v>
      </c>
      <c r="X4384" s="6" t="str">
        <f>IFERROR(__xludf.DUMMYFUNCTION("""COMPUTED_VALUE"""),"Enrolled")</f>
        <v>Enrolled</v>
      </c>
    </row>
    <row r="4385">
      <c r="A4385" s="6" t="str">
        <f>IFERROR(__xludf.DUMMYFUNCTION("""COMPUTED_VALUE"""),"083-11672")</f>
        <v>083-11672</v>
      </c>
      <c r="B4385" s="6" t="str">
        <f>IFERROR(__xludf.DUMMYFUNCTION("""COMPUTED_VALUE"""),"83")</f>
        <v>83</v>
      </c>
      <c r="C4385" s="6" t="str">
        <f>IFERROR(__xludf.DUMMYFUNCTION("""COMPUTED_VALUE"""),"11672")</f>
        <v>11672</v>
      </c>
      <c r="D4385" s="6" t="str">
        <f>IFERROR(__xludf.DUMMYFUNCTION("""COMPUTED_VALUE"""),"Lee Jay")</f>
        <v>Lee Jay</v>
      </c>
      <c r="E4385" s="6" t="str">
        <f>IFERROR(__xludf.DUMMYFUNCTION("""COMPUTED_VALUE"""),"")</f>
        <v/>
      </c>
      <c r="F4385" s="6" t="str">
        <f>IFERROR(__xludf.DUMMYFUNCTION("""COMPUTED_VALUE"""),"Poland")</f>
        <v>Poland</v>
      </c>
      <c r="G4385" s="6" t="str">
        <f>IFERROR(__xludf.DUMMYFUNCTION("""COMPUTED_VALUE"""),"01/15/2015")</f>
        <v>01/15/2015</v>
      </c>
      <c r="H4385" s="6" t="str">
        <f>IFERROR(__xludf.DUMMYFUNCTION("""COMPUTED_VALUE"""),"male")</f>
        <v>male</v>
      </c>
      <c r="I4385" s="6" t="str">
        <f>IFERROR(__xludf.DUMMYFUNCTION("""COMPUTED_VALUE"""),"Level 2")</f>
        <v>Level 2</v>
      </c>
      <c r="J4385" s="6" t="str">
        <f>IFERROR(__xludf.DUMMYFUNCTION("""COMPUTED_VALUE"""),"4")</f>
        <v>4</v>
      </c>
      <c r="K4385" s="6" t="str">
        <f>IFERROR(__xludf.DUMMYFUNCTION("""COMPUTED_VALUE"""),"leejay.poland@2hourlearning.com")</f>
        <v>leejay.poland@2hourlearning.com</v>
      </c>
      <c r="L4385" s="6" t="str">
        <f>IFERROR(__xludf.DUMMYFUNCTION("""COMPUTED_VALUE"""),"JHES - Hardeeville Elementary School")</f>
        <v>JHES - Hardeeville Elementary School</v>
      </c>
      <c r="M4385" s="6" t="str">
        <f>IFERROR(__xludf.DUMMYFUNCTION("""COMPUTED_VALUE"""),"")</f>
        <v/>
      </c>
      <c r="N4385" s="6" t="str">
        <f>IFERROR(__xludf.DUMMYFUNCTION("""COMPUTED_VALUE"""),"")</f>
        <v/>
      </c>
      <c r="O4385" s="87" t="str">
        <f>IFERROR(__xludf.DUMMYFUNCTION("""COMPUTED_VALUE"""),"https://drive.google.com/drive/folders/10T2cTQHqEJZqE-st6uFKPoI?usp=share_link")</f>
        <v>https://drive.google.com/drive/folders/10T2cTQHqEJZqE-st6uFKPoI?usp=share_link</v>
      </c>
      <c r="P4385" s="6" t="str">
        <f>IFERROR(__xludf.DUMMYFUNCTION("""COMPUTED_VALUE"""),"Lee Jay Poland")</f>
        <v>Lee Jay Poland</v>
      </c>
      <c r="Q4385" s="6" t="str">
        <f>IFERROR(__xludf.DUMMYFUNCTION("""COMPUTED_VALUE"""),"L2")</f>
        <v>L2</v>
      </c>
      <c r="R4385" s="6">
        <f>IFERROR(__xludf.DUMMYFUNCTION("""COMPUTED_VALUE"""),2.0)</f>
        <v>2</v>
      </c>
      <c r="S4385" s="6" t="str">
        <f>IFERROR(__xludf.DUMMYFUNCTION("""COMPUTED_VALUE""")," ")</f>
        <v> </v>
      </c>
      <c r="T4385" s="6" t="str">
        <f>IFERROR(__xludf.DUMMYFUNCTION("""COMPUTED_VALUE"""),"")</f>
        <v/>
      </c>
      <c r="U4385" s="6" t="str">
        <f>IFERROR(__xludf.DUMMYFUNCTION("""COMPUTED_VALUE"""),"4")</f>
        <v>4</v>
      </c>
      <c r="V4385" s="6" t="str">
        <f>IFERROR(__xludf.DUMMYFUNCTION("""COMPUTED_VALUE"""),"")</f>
        <v/>
      </c>
      <c r="W4385" s="6" t="str">
        <f>IFERROR(__xludf.DUMMYFUNCTION("""COMPUTED_VALUE"""),"[]")</f>
        <v>[]</v>
      </c>
      <c r="X4385" s="6" t="str">
        <f>IFERROR(__xludf.DUMMYFUNCTION("""COMPUTED_VALUE"""),"Enrolled")</f>
        <v>Enrolled</v>
      </c>
    </row>
    <row r="4386">
      <c r="A4386" s="6" t="str">
        <f>IFERROR(__xludf.DUMMYFUNCTION("""COMPUTED_VALUE"""),"083-11673")</f>
        <v>083-11673</v>
      </c>
      <c r="B4386" s="6" t="str">
        <f>IFERROR(__xludf.DUMMYFUNCTION("""COMPUTED_VALUE"""),"83")</f>
        <v>83</v>
      </c>
      <c r="C4386" s="6" t="str">
        <f>IFERROR(__xludf.DUMMYFUNCTION("""COMPUTED_VALUE"""),"11673")</f>
        <v>11673</v>
      </c>
      <c r="D4386" s="6" t="str">
        <f>IFERROR(__xludf.DUMMYFUNCTION("""COMPUTED_VALUE"""),"Faith")</f>
        <v>Faith</v>
      </c>
      <c r="E4386" s="6" t="str">
        <f>IFERROR(__xludf.DUMMYFUNCTION("""COMPUTED_VALUE"""),"")</f>
        <v/>
      </c>
      <c r="F4386" s="6" t="str">
        <f>IFERROR(__xludf.DUMMYFUNCTION("""COMPUTED_VALUE"""),"Bolden")</f>
        <v>Bolden</v>
      </c>
      <c r="G4386" s="6" t="str">
        <f>IFERROR(__xludf.DUMMYFUNCTION("""COMPUTED_VALUE"""),"02/26/2015")</f>
        <v>02/26/2015</v>
      </c>
      <c r="H4386" s="6" t="str">
        <f>IFERROR(__xludf.DUMMYFUNCTION("""COMPUTED_VALUE"""),"female")</f>
        <v>female</v>
      </c>
      <c r="I4386" s="6" t="str">
        <f>IFERROR(__xludf.DUMMYFUNCTION("""COMPUTED_VALUE"""),"Level 2")</f>
        <v>Level 2</v>
      </c>
      <c r="J4386" s="6" t="str">
        <f>IFERROR(__xludf.DUMMYFUNCTION("""COMPUTED_VALUE"""),"5")</f>
        <v>5</v>
      </c>
      <c r="K4386" s="6" t="str">
        <f>IFERROR(__xludf.DUMMYFUNCTION("""COMPUTED_VALUE"""),"faith.bolden@2hourlearning.com")</f>
        <v>faith.bolden@2hourlearning.com</v>
      </c>
      <c r="L4386" s="6" t="str">
        <f>IFERROR(__xludf.DUMMYFUNCTION("""COMPUTED_VALUE"""),"JHES - Hardeeville Elementary School")</f>
        <v>JHES - Hardeeville Elementary School</v>
      </c>
      <c r="M4386" s="6" t="str">
        <f>IFERROR(__xludf.DUMMYFUNCTION("""COMPUTED_VALUE"""),"")</f>
        <v/>
      </c>
      <c r="N4386" s="6" t="str">
        <f>IFERROR(__xludf.DUMMYFUNCTION("""COMPUTED_VALUE"""),"")</f>
        <v/>
      </c>
      <c r="O4386" s="87" t="str">
        <f>IFERROR(__xludf.DUMMYFUNCTION("""COMPUTED_VALUE"""),"https://drive.google.com/drive/folders/10T2cTQHqEJZqE-st6uFKPoI?usp=share_link")</f>
        <v>https://drive.google.com/drive/folders/10T2cTQHqEJZqE-st6uFKPoI?usp=share_link</v>
      </c>
      <c r="P4386" s="6" t="str">
        <f>IFERROR(__xludf.DUMMYFUNCTION("""COMPUTED_VALUE"""),"Faith Bolden")</f>
        <v>Faith Bolden</v>
      </c>
      <c r="Q4386" s="6" t="str">
        <f>IFERROR(__xludf.DUMMYFUNCTION("""COMPUTED_VALUE"""),"L2")</f>
        <v>L2</v>
      </c>
      <c r="R4386" s="6">
        <f>IFERROR(__xludf.DUMMYFUNCTION("""COMPUTED_VALUE"""),2.0)</f>
        <v>2</v>
      </c>
      <c r="S4386" s="6" t="str">
        <f>IFERROR(__xludf.DUMMYFUNCTION("""COMPUTED_VALUE""")," ")</f>
        <v> </v>
      </c>
      <c r="T4386" s="6" t="str">
        <f>IFERROR(__xludf.DUMMYFUNCTION("""COMPUTED_VALUE"""),"")</f>
        <v/>
      </c>
      <c r="U4386" s="6" t="str">
        <f>IFERROR(__xludf.DUMMYFUNCTION("""COMPUTED_VALUE"""),"5")</f>
        <v>5</v>
      </c>
      <c r="V4386" s="6" t="str">
        <f>IFERROR(__xludf.DUMMYFUNCTION("""COMPUTED_VALUE"""),"")</f>
        <v/>
      </c>
      <c r="W4386" s="6" t="str">
        <f>IFERROR(__xludf.DUMMYFUNCTION("""COMPUTED_VALUE"""),"[]")</f>
        <v>[]</v>
      </c>
      <c r="X4386" s="6" t="str">
        <f>IFERROR(__xludf.DUMMYFUNCTION("""COMPUTED_VALUE"""),"Enrolled")</f>
        <v>Enrolled</v>
      </c>
    </row>
    <row r="4387">
      <c r="A4387" s="6" t="str">
        <f>IFERROR(__xludf.DUMMYFUNCTION("""COMPUTED_VALUE"""),"083-11674")</f>
        <v>083-11674</v>
      </c>
      <c r="B4387" s="6" t="str">
        <f>IFERROR(__xludf.DUMMYFUNCTION("""COMPUTED_VALUE"""),"83")</f>
        <v>83</v>
      </c>
      <c r="C4387" s="6" t="str">
        <f>IFERROR(__xludf.DUMMYFUNCTION("""COMPUTED_VALUE"""),"11674")</f>
        <v>11674</v>
      </c>
      <c r="D4387" s="6" t="str">
        <f>IFERROR(__xludf.DUMMYFUNCTION("""COMPUTED_VALUE"""),"Qua'Mond")</f>
        <v>Qua'Mond</v>
      </c>
      <c r="E4387" s="6" t="str">
        <f>IFERROR(__xludf.DUMMYFUNCTION("""COMPUTED_VALUE"""),"")</f>
        <v/>
      </c>
      <c r="F4387" s="6" t="str">
        <f>IFERROR(__xludf.DUMMYFUNCTION("""COMPUTED_VALUE"""),"Ford")</f>
        <v>Ford</v>
      </c>
      <c r="G4387" s="6" t="str">
        <f>IFERROR(__xludf.DUMMYFUNCTION("""COMPUTED_VALUE"""),"09/26/2014")</f>
        <v>09/26/2014</v>
      </c>
      <c r="H4387" s="6" t="str">
        <f>IFERROR(__xludf.DUMMYFUNCTION("""COMPUTED_VALUE"""),"male")</f>
        <v>male</v>
      </c>
      <c r="I4387" s="6" t="str">
        <f>IFERROR(__xludf.DUMMYFUNCTION("""COMPUTED_VALUE"""),"Level 2")</f>
        <v>Level 2</v>
      </c>
      <c r="J4387" s="6" t="str">
        <f>IFERROR(__xludf.DUMMYFUNCTION("""COMPUTED_VALUE"""),"5")</f>
        <v>5</v>
      </c>
      <c r="K4387" s="6" t="str">
        <f>IFERROR(__xludf.DUMMYFUNCTION("""COMPUTED_VALUE"""),"quamond.ford@2hourlearning.com")</f>
        <v>quamond.ford@2hourlearning.com</v>
      </c>
      <c r="L4387" s="6" t="str">
        <f>IFERROR(__xludf.DUMMYFUNCTION("""COMPUTED_VALUE"""),"JHES - Hardeeville Elementary School")</f>
        <v>JHES - Hardeeville Elementary School</v>
      </c>
      <c r="M4387" s="6" t="str">
        <f>IFERROR(__xludf.DUMMYFUNCTION("""COMPUTED_VALUE"""),"")</f>
        <v/>
      </c>
      <c r="N4387" s="6" t="str">
        <f>IFERROR(__xludf.DUMMYFUNCTION("""COMPUTED_VALUE"""),"")</f>
        <v/>
      </c>
      <c r="O4387" s="87" t="str">
        <f>IFERROR(__xludf.DUMMYFUNCTION("""COMPUTED_VALUE"""),"https://drive.google.com/drive/folders/10T2cTQHqEJZqE-st6uFKPoI?usp=share_link")</f>
        <v>https://drive.google.com/drive/folders/10T2cTQHqEJZqE-st6uFKPoI?usp=share_link</v>
      </c>
      <c r="P4387" s="6" t="str">
        <f>IFERROR(__xludf.DUMMYFUNCTION("""COMPUTED_VALUE"""),"Qua'Mond Ford")</f>
        <v>Qua'Mond Ford</v>
      </c>
      <c r="Q4387" s="6" t="str">
        <f>IFERROR(__xludf.DUMMYFUNCTION("""COMPUTED_VALUE"""),"L2")</f>
        <v>L2</v>
      </c>
      <c r="R4387" s="6">
        <f>IFERROR(__xludf.DUMMYFUNCTION("""COMPUTED_VALUE"""),2.0)</f>
        <v>2</v>
      </c>
      <c r="S4387" s="6" t="str">
        <f>IFERROR(__xludf.DUMMYFUNCTION("""COMPUTED_VALUE""")," ")</f>
        <v> </v>
      </c>
      <c r="T4387" s="6" t="str">
        <f>IFERROR(__xludf.DUMMYFUNCTION("""COMPUTED_VALUE"""),"")</f>
        <v/>
      </c>
      <c r="U4387" s="6" t="str">
        <f>IFERROR(__xludf.DUMMYFUNCTION("""COMPUTED_VALUE"""),"5")</f>
        <v>5</v>
      </c>
      <c r="V4387" s="6" t="str">
        <f>IFERROR(__xludf.DUMMYFUNCTION("""COMPUTED_VALUE"""),"")</f>
        <v/>
      </c>
      <c r="W4387" s="6" t="str">
        <f>IFERROR(__xludf.DUMMYFUNCTION("""COMPUTED_VALUE"""),"[]")</f>
        <v>[]</v>
      </c>
      <c r="X4387" s="6" t="str">
        <f>IFERROR(__xludf.DUMMYFUNCTION("""COMPUTED_VALUE"""),"Enrolled")</f>
        <v>Enrolled</v>
      </c>
    </row>
    <row r="4388">
      <c r="A4388" s="6" t="str">
        <f>IFERROR(__xludf.DUMMYFUNCTION("""COMPUTED_VALUE"""),"083-11675")</f>
        <v>083-11675</v>
      </c>
      <c r="B4388" s="6" t="str">
        <f>IFERROR(__xludf.DUMMYFUNCTION("""COMPUTED_VALUE"""),"83")</f>
        <v>83</v>
      </c>
      <c r="C4388" s="6" t="str">
        <f>IFERROR(__xludf.DUMMYFUNCTION("""COMPUTED_VALUE"""),"11675")</f>
        <v>11675</v>
      </c>
      <c r="D4388" s="6" t="str">
        <f>IFERROR(__xludf.DUMMYFUNCTION("""COMPUTED_VALUE"""),"Sophia")</f>
        <v>Sophia</v>
      </c>
      <c r="E4388" s="6" t="str">
        <f>IFERROR(__xludf.DUMMYFUNCTION("""COMPUTED_VALUE"""),"")</f>
        <v/>
      </c>
      <c r="F4388" s="6" t="str">
        <f>IFERROR(__xludf.DUMMYFUNCTION("""COMPUTED_VALUE"""),"Fortiz-Santos")</f>
        <v>Fortiz-Santos</v>
      </c>
      <c r="G4388" s="6" t="str">
        <f>IFERROR(__xludf.DUMMYFUNCTION("""COMPUTED_VALUE"""),"06/16/2015")</f>
        <v>06/16/2015</v>
      </c>
      <c r="H4388" s="6" t="str">
        <f>IFERROR(__xludf.DUMMYFUNCTION("""COMPUTED_VALUE"""),"female")</f>
        <v>female</v>
      </c>
      <c r="I4388" s="6" t="str">
        <f>IFERROR(__xludf.DUMMYFUNCTION("""COMPUTED_VALUE"""),"Level 2")</f>
        <v>Level 2</v>
      </c>
      <c r="J4388" s="6" t="str">
        <f>IFERROR(__xludf.DUMMYFUNCTION("""COMPUTED_VALUE"""),"5")</f>
        <v>5</v>
      </c>
      <c r="K4388" s="6" t="str">
        <f>IFERROR(__xludf.DUMMYFUNCTION("""COMPUTED_VALUE"""),"sophia.fortizsantos@2hourlearning.com")</f>
        <v>sophia.fortizsantos@2hourlearning.com</v>
      </c>
      <c r="L4388" s="6" t="str">
        <f>IFERROR(__xludf.DUMMYFUNCTION("""COMPUTED_VALUE"""),"JHES - Hardeeville Elementary School")</f>
        <v>JHES - Hardeeville Elementary School</v>
      </c>
      <c r="M4388" s="6" t="str">
        <f>IFERROR(__xludf.DUMMYFUNCTION("""COMPUTED_VALUE"""),"")</f>
        <v/>
      </c>
      <c r="N4388" s="6" t="str">
        <f>IFERROR(__xludf.DUMMYFUNCTION("""COMPUTED_VALUE"""),"")</f>
        <v/>
      </c>
      <c r="O4388" s="87" t="str">
        <f>IFERROR(__xludf.DUMMYFUNCTION("""COMPUTED_VALUE"""),"https://drive.google.com/drive/folders/10T2cTQHqEJZqE-st6uFKPoI?usp=share_link")</f>
        <v>https://drive.google.com/drive/folders/10T2cTQHqEJZqE-st6uFKPoI?usp=share_link</v>
      </c>
      <c r="P4388" s="6" t="str">
        <f>IFERROR(__xludf.DUMMYFUNCTION("""COMPUTED_VALUE"""),"Sophia Fortiz-Santos")</f>
        <v>Sophia Fortiz-Santos</v>
      </c>
      <c r="Q4388" s="6" t="str">
        <f>IFERROR(__xludf.DUMMYFUNCTION("""COMPUTED_VALUE"""),"L2")</f>
        <v>L2</v>
      </c>
      <c r="R4388" s="6">
        <f>IFERROR(__xludf.DUMMYFUNCTION("""COMPUTED_VALUE"""),2.0)</f>
        <v>2</v>
      </c>
      <c r="S4388" s="6" t="str">
        <f>IFERROR(__xludf.DUMMYFUNCTION("""COMPUTED_VALUE""")," ")</f>
        <v> </v>
      </c>
      <c r="T4388" s="6" t="str">
        <f>IFERROR(__xludf.DUMMYFUNCTION("""COMPUTED_VALUE"""),"")</f>
        <v/>
      </c>
      <c r="U4388" s="6" t="str">
        <f>IFERROR(__xludf.DUMMYFUNCTION("""COMPUTED_VALUE"""),"5")</f>
        <v>5</v>
      </c>
      <c r="V4388" s="6" t="str">
        <f>IFERROR(__xludf.DUMMYFUNCTION("""COMPUTED_VALUE"""),"")</f>
        <v/>
      </c>
      <c r="W4388" s="6" t="str">
        <f>IFERROR(__xludf.DUMMYFUNCTION("""COMPUTED_VALUE"""),"[]")</f>
        <v>[]</v>
      </c>
      <c r="X4388" s="6" t="str">
        <f>IFERROR(__xludf.DUMMYFUNCTION("""COMPUTED_VALUE"""),"Enrolled")</f>
        <v>Enrolled</v>
      </c>
    </row>
    <row r="4389">
      <c r="A4389" s="6" t="str">
        <f>IFERROR(__xludf.DUMMYFUNCTION("""COMPUTED_VALUE"""),"083-11676")</f>
        <v>083-11676</v>
      </c>
      <c r="B4389" s="6" t="str">
        <f>IFERROR(__xludf.DUMMYFUNCTION("""COMPUTED_VALUE"""),"83")</f>
        <v>83</v>
      </c>
      <c r="C4389" s="6" t="str">
        <f>IFERROR(__xludf.DUMMYFUNCTION("""COMPUTED_VALUE"""),"11676")</f>
        <v>11676</v>
      </c>
      <c r="D4389" s="6" t="str">
        <f>IFERROR(__xludf.DUMMYFUNCTION("""COMPUTED_VALUE"""),"Ne'Emiah")</f>
        <v>Ne'Emiah</v>
      </c>
      <c r="E4389" s="6" t="str">
        <f>IFERROR(__xludf.DUMMYFUNCTION("""COMPUTED_VALUE"""),"")</f>
        <v/>
      </c>
      <c r="F4389" s="6" t="str">
        <f>IFERROR(__xludf.DUMMYFUNCTION("""COMPUTED_VALUE"""),"Jones")</f>
        <v>Jones</v>
      </c>
      <c r="G4389" s="6" t="str">
        <f>IFERROR(__xludf.DUMMYFUNCTION("""COMPUTED_VALUE"""),"03/25/2015")</f>
        <v>03/25/2015</v>
      </c>
      <c r="H4389" s="6" t="str">
        <f>IFERROR(__xludf.DUMMYFUNCTION("""COMPUTED_VALUE"""),"male")</f>
        <v>male</v>
      </c>
      <c r="I4389" s="6" t="str">
        <f>IFERROR(__xludf.DUMMYFUNCTION("""COMPUTED_VALUE"""),"Level 2")</f>
        <v>Level 2</v>
      </c>
      <c r="J4389" s="6" t="str">
        <f>IFERROR(__xludf.DUMMYFUNCTION("""COMPUTED_VALUE"""),"5")</f>
        <v>5</v>
      </c>
      <c r="K4389" s="6" t="str">
        <f>IFERROR(__xludf.DUMMYFUNCTION("""COMPUTED_VALUE"""),"neemiah.jones@2hourlearning.com")</f>
        <v>neemiah.jones@2hourlearning.com</v>
      </c>
      <c r="L4389" s="6" t="str">
        <f>IFERROR(__xludf.DUMMYFUNCTION("""COMPUTED_VALUE"""),"JHES - Hardeeville Elementary School")</f>
        <v>JHES - Hardeeville Elementary School</v>
      </c>
      <c r="M4389" s="6" t="str">
        <f>IFERROR(__xludf.DUMMYFUNCTION("""COMPUTED_VALUE"""),"")</f>
        <v/>
      </c>
      <c r="N4389" s="6" t="str">
        <f>IFERROR(__xludf.DUMMYFUNCTION("""COMPUTED_VALUE"""),"")</f>
        <v/>
      </c>
      <c r="O4389" s="87" t="str">
        <f>IFERROR(__xludf.DUMMYFUNCTION("""COMPUTED_VALUE"""),"https://drive.google.com/drive/folders/10T2cTQHqEJZqE-st6uFKPoI?usp=share_link")</f>
        <v>https://drive.google.com/drive/folders/10T2cTQHqEJZqE-st6uFKPoI?usp=share_link</v>
      </c>
      <c r="P4389" s="6" t="str">
        <f>IFERROR(__xludf.DUMMYFUNCTION("""COMPUTED_VALUE"""),"Ne'Emiah Jones")</f>
        <v>Ne'Emiah Jones</v>
      </c>
      <c r="Q4389" s="6" t="str">
        <f>IFERROR(__xludf.DUMMYFUNCTION("""COMPUTED_VALUE"""),"L2")</f>
        <v>L2</v>
      </c>
      <c r="R4389" s="6">
        <f>IFERROR(__xludf.DUMMYFUNCTION("""COMPUTED_VALUE"""),2.0)</f>
        <v>2</v>
      </c>
      <c r="S4389" s="6" t="str">
        <f>IFERROR(__xludf.DUMMYFUNCTION("""COMPUTED_VALUE""")," ")</f>
        <v> </v>
      </c>
      <c r="T4389" s="6" t="str">
        <f>IFERROR(__xludf.DUMMYFUNCTION("""COMPUTED_VALUE"""),"")</f>
        <v/>
      </c>
      <c r="U4389" s="6" t="str">
        <f>IFERROR(__xludf.DUMMYFUNCTION("""COMPUTED_VALUE"""),"5")</f>
        <v>5</v>
      </c>
      <c r="V4389" s="6" t="str">
        <f>IFERROR(__xludf.DUMMYFUNCTION("""COMPUTED_VALUE"""),"")</f>
        <v/>
      </c>
      <c r="W4389" s="6" t="str">
        <f>IFERROR(__xludf.DUMMYFUNCTION("""COMPUTED_VALUE"""),"[]")</f>
        <v>[]</v>
      </c>
      <c r="X4389" s="6" t="str">
        <f>IFERROR(__xludf.DUMMYFUNCTION("""COMPUTED_VALUE"""),"Enrolled")</f>
        <v>Enrolled</v>
      </c>
    </row>
    <row r="4390">
      <c r="A4390" s="6" t="str">
        <f>IFERROR(__xludf.DUMMYFUNCTION("""COMPUTED_VALUE"""),"083-11677")</f>
        <v>083-11677</v>
      </c>
      <c r="B4390" s="6" t="str">
        <f>IFERROR(__xludf.DUMMYFUNCTION("""COMPUTED_VALUE"""),"83")</f>
        <v>83</v>
      </c>
      <c r="C4390" s="6" t="str">
        <f>IFERROR(__xludf.DUMMYFUNCTION("""COMPUTED_VALUE"""),"11677")</f>
        <v>11677</v>
      </c>
      <c r="D4390" s="6" t="str">
        <f>IFERROR(__xludf.DUMMYFUNCTION("""COMPUTED_VALUE"""),"Kash")</f>
        <v>Kash</v>
      </c>
      <c r="E4390" s="6" t="str">
        <f>IFERROR(__xludf.DUMMYFUNCTION("""COMPUTED_VALUE"""),"")</f>
        <v/>
      </c>
      <c r="F4390" s="6" t="str">
        <f>IFERROR(__xludf.DUMMYFUNCTION("""COMPUTED_VALUE"""),"Roberts")</f>
        <v>Roberts</v>
      </c>
      <c r="G4390" s="6" t="str">
        <f>IFERROR(__xludf.DUMMYFUNCTION("""COMPUTED_VALUE"""),"10/20/2014")</f>
        <v>10/20/2014</v>
      </c>
      <c r="H4390" s="6" t="str">
        <f>IFERROR(__xludf.DUMMYFUNCTION("""COMPUTED_VALUE"""),"male")</f>
        <v>male</v>
      </c>
      <c r="I4390" s="6" t="str">
        <f>IFERROR(__xludf.DUMMYFUNCTION("""COMPUTED_VALUE"""),"Level 2")</f>
        <v>Level 2</v>
      </c>
      <c r="J4390" s="6" t="str">
        <f>IFERROR(__xludf.DUMMYFUNCTION("""COMPUTED_VALUE"""),"5")</f>
        <v>5</v>
      </c>
      <c r="K4390" s="6" t="str">
        <f>IFERROR(__xludf.DUMMYFUNCTION("""COMPUTED_VALUE"""),"kash.roberts@2hourlearning.com")</f>
        <v>kash.roberts@2hourlearning.com</v>
      </c>
      <c r="L4390" s="6" t="str">
        <f>IFERROR(__xludf.DUMMYFUNCTION("""COMPUTED_VALUE"""),"JHES - Hardeeville Elementary School")</f>
        <v>JHES - Hardeeville Elementary School</v>
      </c>
      <c r="M4390" s="6" t="str">
        <f>IFERROR(__xludf.DUMMYFUNCTION("""COMPUTED_VALUE"""),"")</f>
        <v/>
      </c>
      <c r="N4390" s="6" t="str">
        <f>IFERROR(__xludf.DUMMYFUNCTION("""COMPUTED_VALUE"""),"")</f>
        <v/>
      </c>
      <c r="O4390" s="87" t="str">
        <f>IFERROR(__xludf.DUMMYFUNCTION("""COMPUTED_VALUE"""),"https://drive.google.com/drive/folders/10T2cTQHqEJZqE-st6uFKPoI?usp=share_link")</f>
        <v>https://drive.google.com/drive/folders/10T2cTQHqEJZqE-st6uFKPoI?usp=share_link</v>
      </c>
      <c r="P4390" s="6" t="str">
        <f>IFERROR(__xludf.DUMMYFUNCTION("""COMPUTED_VALUE"""),"Kash Roberts")</f>
        <v>Kash Roberts</v>
      </c>
      <c r="Q4390" s="6" t="str">
        <f>IFERROR(__xludf.DUMMYFUNCTION("""COMPUTED_VALUE"""),"L2")</f>
        <v>L2</v>
      </c>
      <c r="R4390" s="6">
        <f>IFERROR(__xludf.DUMMYFUNCTION("""COMPUTED_VALUE"""),2.0)</f>
        <v>2</v>
      </c>
      <c r="S4390" s="6" t="str">
        <f>IFERROR(__xludf.DUMMYFUNCTION("""COMPUTED_VALUE""")," ")</f>
        <v> </v>
      </c>
      <c r="T4390" s="6" t="str">
        <f>IFERROR(__xludf.DUMMYFUNCTION("""COMPUTED_VALUE"""),"")</f>
        <v/>
      </c>
      <c r="U4390" s="6" t="str">
        <f>IFERROR(__xludf.DUMMYFUNCTION("""COMPUTED_VALUE"""),"5")</f>
        <v>5</v>
      </c>
      <c r="V4390" s="6" t="str">
        <f>IFERROR(__xludf.DUMMYFUNCTION("""COMPUTED_VALUE"""),"")</f>
        <v/>
      </c>
      <c r="W4390" s="6" t="str">
        <f>IFERROR(__xludf.DUMMYFUNCTION("""COMPUTED_VALUE"""),"[]")</f>
        <v>[]</v>
      </c>
      <c r="X4390" s="6" t="str">
        <f>IFERROR(__xludf.DUMMYFUNCTION("""COMPUTED_VALUE"""),"Enrolled")</f>
        <v>Enrolled</v>
      </c>
    </row>
    <row r="4391">
      <c r="A4391" s="6" t="str">
        <f>IFERROR(__xludf.DUMMYFUNCTION("""COMPUTED_VALUE"""),"083-11678")</f>
        <v>083-11678</v>
      </c>
      <c r="B4391" s="6" t="str">
        <f>IFERROR(__xludf.DUMMYFUNCTION("""COMPUTED_VALUE"""),"83")</f>
        <v>83</v>
      </c>
      <c r="C4391" s="6" t="str">
        <f>IFERROR(__xludf.DUMMYFUNCTION("""COMPUTED_VALUE"""),"11678")</f>
        <v>11678</v>
      </c>
      <c r="D4391" s="6" t="str">
        <f>IFERROR(__xludf.DUMMYFUNCTION("""COMPUTED_VALUE"""),"Ja'Kell")</f>
        <v>Ja'Kell</v>
      </c>
      <c r="E4391" s="6" t="str">
        <f>IFERROR(__xludf.DUMMYFUNCTION("""COMPUTED_VALUE"""),"")</f>
        <v/>
      </c>
      <c r="F4391" s="6" t="str">
        <f>IFERROR(__xludf.DUMMYFUNCTION("""COMPUTED_VALUE"""),"Simmons")</f>
        <v>Simmons</v>
      </c>
      <c r="G4391" s="6" t="str">
        <f>IFERROR(__xludf.DUMMYFUNCTION("""COMPUTED_VALUE"""),"05/28/2015")</f>
        <v>05/28/2015</v>
      </c>
      <c r="H4391" s="6" t="str">
        <f>IFERROR(__xludf.DUMMYFUNCTION("""COMPUTED_VALUE"""),"male")</f>
        <v>male</v>
      </c>
      <c r="I4391" s="6" t="str">
        <f>IFERROR(__xludf.DUMMYFUNCTION("""COMPUTED_VALUE"""),"Level 2")</f>
        <v>Level 2</v>
      </c>
      <c r="J4391" s="6" t="str">
        <f>IFERROR(__xludf.DUMMYFUNCTION("""COMPUTED_VALUE"""),"5")</f>
        <v>5</v>
      </c>
      <c r="K4391" s="6" t="str">
        <f>IFERROR(__xludf.DUMMYFUNCTION("""COMPUTED_VALUE"""),"jakell.simmons@2hourlearning.com")</f>
        <v>jakell.simmons@2hourlearning.com</v>
      </c>
      <c r="L4391" s="6" t="str">
        <f>IFERROR(__xludf.DUMMYFUNCTION("""COMPUTED_VALUE"""),"JHES - Hardeeville Elementary School")</f>
        <v>JHES - Hardeeville Elementary School</v>
      </c>
      <c r="M4391" s="6" t="str">
        <f>IFERROR(__xludf.DUMMYFUNCTION("""COMPUTED_VALUE"""),"")</f>
        <v/>
      </c>
      <c r="N4391" s="6" t="str">
        <f>IFERROR(__xludf.DUMMYFUNCTION("""COMPUTED_VALUE"""),"")</f>
        <v/>
      </c>
      <c r="O4391" s="87" t="str">
        <f>IFERROR(__xludf.DUMMYFUNCTION("""COMPUTED_VALUE"""),"https://drive.google.com/drive/folders/10T2cTQHqEJZqE-st6uFKPoI?usp=share_link")</f>
        <v>https://drive.google.com/drive/folders/10T2cTQHqEJZqE-st6uFKPoI?usp=share_link</v>
      </c>
      <c r="P4391" s="6" t="str">
        <f>IFERROR(__xludf.DUMMYFUNCTION("""COMPUTED_VALUE"""),"Ja'Kell Simmons")</f>
        <v>Ja'Kell Simmons</v>
      </c>
      <c r="Q4391" s="6" t="str">
        <f>IFERROR(__xludf.DUMMYFUNCTION("""COMPUTED_VALUE"""),"L2")</f>
        <v>L2</v>
      </c>
      <c r="R4391" s="6">
        <f>IFERROR(__xludf.DUMMYFUNCTION("""COMPUTED_VALUE"""),2.0)</f>
        <v>2</v>
      </c>
      <c r="S4391" s="6" t="str">
        <f>IFERROR(__xludf.DUMMYFUNCTION("""COMPUTED_VALUE""")," ")</f>
        <v> </v>
      </c>
      <c r="T4391" s="6" t="str">
        <f>IFERROR(__xludf.DUMMYFUNCTION("""COMPUTED_VALUE"""),"")</f>
        <v/>
      </c>
      <c r="U4391" s="6" t="str">
        <f>IFERROR(__xludf.DUMMYFUNCTION("""COMPUTED_VALUE"""),"5")</f>
        <v>5</v>
      </c>
      <c r="V4391" s="6" t="str">
        <f>IFERROR(__xludf.DUMMYFUNCTION("""COMPUTED_VALUE"""),"")</f>
        <v/>
      </c>
      <c r="W4391" s="6" t="str">
        <f>IFERROR(__xludf.DUMMYFUNCTION("""COMPUTED_VALUE"""),"[]")</f>
        <v>[]</v>
      </c>
      <c r="X4391" s="6" t="str">
        <f>IFERROR(__xludf.DUMMYFUNCTION("""COMPUTED_VALUE"""),"Enrolled")</f>
        <v>Enrolled</v>
      </c>
    </row>
    <row r="4392">
      <c r="A4392" s="6" t="str">
        <f>IFERROR(__xludf.DUMMYFUNCTION("""COMPUTED_VALUE"""),"083-11679")</f>
        <v>083-11679</v>
      </c>
      <c r="B4392" s="6" t="str">
        <f>IFERROR(__xludf.DUMMYFUNCTION("""COMPUTED_VALUE"""),"83")</f>
        <v>83</v>
      </c>
      <c r="C4392" s="6" t="str">
        <f>IFERROR(__xludf.DUMMYFUNCTION("""COMPUTED_VALUE"""),"11679")</f>
        <v>11679</v>
      </c>
      <c r="D4392" s="6" t="str">
        <f>IFERROR(__xludf.DUMMYFUNCTION("""COMPUTED_VALUE"""),"David")</f>
        <v>David</v>
      </c>
      <c r="E4392" s="6" t="str">
        <f>IFERROR(__xludf.DUMMYFUNCTION("""COMPUTED_VALUE"""),"")</f>
        <v/>
      </c>
      <c r="F4392" s="6" t="str">
        <f>IFERROR(__xludf.DUMMYFUNCTION("""COMPUTED_VALUE"""),"Aguilar Lara")</f>
        <v>Aguilar Lara</v>
      </c>
      <c r="G4392" s="6" t="str">
        <f>IFERROR(__xludf.DUMMYFUNCTION("""COMPUTED_VALUE"""),"12/26/2016")</f>
        <v>12/26/2016</v>
      </c>
      <c r="H4392" s="6" t="str">
        <f>IFERROR(__xludf.DUMMYFUNCTION("""COMPUTED_VALUE"""),"male")</f>
        <v>male</v>
      </c>
      <c r="I4392" s="6" t="str">
        <f>IFERROR(__xludf.DUMMYFUNCTION("""COMPUTED_VALUE"""),"Level 1")</f>
        <v>Level 1</v>
      </c>
      <c r="J4392" s="6" t="str">
        <f>IFERROR(__xludf.DUMMYFUNCTION("""COMPUTED_VALUE"""),"3")</f>
        <v>3</v>
      </c>
      <c r="K4392" s="6" t="str">
        <f>IFERROR(__xludf.DUMMYFUNCTION("""COMPUTED_VALUE"""),"david.aguilarlara@2hourlearning.com")</f>
        <v>david.aguilarlara@2hourlearning.com</v>
      </c>
      <c r="L4392" s="6" t="str">
        <f>IFERROR(__xludf.DUMMYFUNCTION("""COMPUTED_VALUE"""),"JHES - Hardeeville Elementary School")</f>
        <v>JHES - Hardeeville Elementary School</v>
      </c>
      <c r="M4392" s="6" t="str">
        <f>IFERROR(__xludf.DUMMYFUNCTION("""COMPUTED_VALUE"""),"")</f>
        <v/>
      </c>
      <c r="N4392" s="6" t="str">
        <f>IFERROR(__xludf.DUMMYFUNCTION("""COMPUTED_VALUE"""),"")</f>
        <v/>
      </c>
      <c r="O4392" s="87" t="str">
        <f>IFERROR(__xludf.DUMMYFUNCTION("""COMPUTED_VALUE"""),"https://drive.google.com/drive/folders/10T2cTQHqEJZqE-st6uFKPoI?usp=share_link")</f>
        <v>https://drive.google.com/drive/folders/10T2cTQHqEJZqE-st6uFKPoI?usp=share_link</v>
      </c>
      <c r="P4392" s="6" t="str">
        <f>IFERROR(__xludf.DUMMYFUNCTION("""COMPUTED_VALUE"""),"David Aguilar Lara")</f>
        <v>David Aguilar Lara</v>
      </c>
      <c r="Q4392" s="6" t="str">
        <f>IFERROR(__xludf.DUMMYFUNCTION("""COMPUTED_VALUE"""),"L1")</f>
        <v>L1</v>
      </c>
      <c r="R4392" s="6">
        <f>IFERROR(__xludf.DUMMYFUNCTION("""COMPUTED_VALUE"""),1.0)</f>
        <v>1</v>
      </c>
      <c r="S4392" s="6" t="str">
        <f>IFERROR(__xludf.DUMMYFUNCTION("""COMPUTED_VALUE""")," ")</f>
        <v> </v>
      </c>
      <c r="T4392" s="6" t="str">
        <f>IFERROR(__xludf.DUMMYFUNCTION("""COMPUTED_VALUE"""),"")</f>
        <v/>
      </c>
      <c r="U4392" s="6" t="str">
        <f>IFERROR(__xludf.DUMMYFUNCTION("""COMPUTED_VALUE"""),"3")</f>
        <v>3</v>
      </c>
      <c r="V4392" s="6" t="str">
        <f>IFERROR(__xludf.DUMMYFUNCTION("""COMPUTED_VALUE"""),"")</f>
        <v/>
      </c>
      <c r="W4392" s="6" t="str">
        <f>IFERROR(__xludf.DUMMYFUNCTION("""COMPUTED_VALUE"""),"[]")</f>
        <v>[]</v>
      </c>
      <c r="X4392" s="6" t="str">
        <f>IFERROR(__xludf.DUMMYFUNCTION("""COMPUTED_VALUE"""),"Enrolled")</f>
        <v>Enrolled</v>
      </c>
    </row>
    <row r="4393">
      <c r="A4393" s="6" t="str">
        <f>IFERROR(__xludf.DUMMYFUNCTION("""COMPUTED_VALUE"""),"083-11680")</f>
        <v>083-11680</v>
      </c>
      <c r="B4393" s="6" t="str">
        <f>IFERROR(__xludf.DUMMYFUNCTION("""COMPUTED_VALUE"""),"83")</f>
        <v>83</v>
      </c>
      <c r="C4393" s="6" t="str">
        <f>IFERROR(__xludf.DUMMYFUNCTION("""COMPUTED_VALUE"""),"11680")</f>
        <v>11680</v>
      </c>
      <c r="D4393" s="6" t="str">
        <f>IFERROR(__xludf.DUMMYFUNCTION("""COMPUTED_VALUE"""),"Dilan")</f>
        <v>Dilan</v>
      </c>
      <c r="E4393" s="6" t="str">
        <f>IFERROR(__xludf.DUMMYFUNCTION("""COMPUTED_VALUE"""),"")</f>
        <v/>
      </c>
      <c r="F4393" s="6" t="str">
        <f>IFERROR(__xludf.DUMMYFUNCTION("""COMPUTED_VALUE"""),"Amaro Nava")</f>
        <v>Amaro Nava</v>
      </c>
      <c r="G4393" s="6" t="str">
        <f>IFERROR(__xludf.DUMMYFUNCTION("""COMPUTED_VALUE"""),"03/03/2017")</f>
        <v>03/03/2017</v>
      </c>
      <c r="H4393" s="6" t="str">
        <f>IFERROR(__xludf.DUMMYFUNCTION("""COMPUTED_VALUE"""),"male")</f>
        <v>male</v>
      </c>
      <c r="I4393" s="6" t="str">
        <f>IFERROR(__xludf.DUMMYFUNCTION("""COMPUTED_VALUE"""),"Level 1")</f>
        <v>Level 1</v>
      </c>
      <c r="J4393" s="6" t="str">
        <f>IFERROR(__xludf.DUMMYFUNCTION("""COMPUTED_VALUE"""),"3")</f>
        <v>3</v>
      </c>
      <c r="K4393" s="6" t="str">
        <f>IFERROR(__xludf.DUMMYFUNCTION("""COMPUTED_VALUE"""),"dilan.amaronava@2hourlearning.com")</f>
        <v>dilan.amaronava@2hourlearning.com</v>
      </c>
      <c r="L4393" s="6" t="str">
        <f>IFERROR(__xludf.DUMMYFUNCTION("""COMPUTED_VALUE"""),"JHES - Hardeeville Elementary School")</f>
        <v>JHES - Hardeeville Elementary School</v>
      </c>
      <c r="M4393" s="6" t="str">
        <f>IFERROR(__xludf.DUMMYFUNCTION("""COMPUTED_VALUE"""),"")</f>
        <v/>
      </c>
      <c r="N4393" s="6" t="str">
        <f>IFERROR(__xludf.DUMMYFUNCTION("""COMPUTED_VALUE"""),"")</f>
        <v/>
      </c>
      <c r="O4393" s="87" t="str">
        <f>IFERROR(__xludf.DUMMYFUNCTION("""COMPUTED_VALUE"""),"https://drive.google.com/drive/folders/10T2cTQHqEJZqE-st6uFKPoI?usp=share_link")</f>
        <v>https://drive.google.com/drive/folders/10T2cTQHqEJZqE-st6uFKPoI?usp=share_link</v>
      </c>
      <c r="P4393" s="6" t="str">
        <f>IFERROR(__xludf.DUMMYFUNCTION("""COMPUTED_VALUE"""),"Dilan Amaro Nava")</f>
        <v>Dilan Amaro Nava</v>
      </c>
      <c r="Q4393" s="6" t="str">
        <f>IFERROR(__xludf.DUMMYFUNCTION("""COMPUTED_VALUE"""),"L1")</f>
        <v>L1</v>
      </c>
      <c r="R4393" s="6">
        <f>IFERROR(__xludf.DUMMYFUNCTION("""COMPUTED_VALUE"""),1.0)</f>
        <v>1</v>
      </c>
      <c r="S4393" s="6" t="str">
        <f>IFERROR(__xludf.DUMMYFUNCTION("""COMPUTED_VALUE""")," ")</f>
        <v> </v>
      </c>
      <c r="T4393" s="6" t="str">
        <f>IFERROR(__xludf.DUMMYFUNCTION("""COMPUTED_VALUE"""),"")</f>
        <v/>
      </c>
      <c r="U4393" s="6" t="str">
        <f>IFERROR(__xludf.DUMMYFUNCTION("""COMPUTED_VALUE"""),"3")</f>
        <v>3</v>
      </c>
      <c r="V4393" s="6" t="str">
        <f>IFERROR(__xludf.DUMMYFUNCTION("""COMPUTED_VALUE"""),"")</f>
        <v/>
      </c>
      <c r="W4393" s="6" t="str">
        <f>IFERROR(__xludf.DUMMYFUNCTION("""COMPUTED_VALUE"""),"[]")</f>
        <v>[]</v>
      </c>
      <c r="X4393" s="6" t="str">
        <f>IFERROR(__xludf.DUMMYFUNCTION("""COMPUTED_VALUE"""),"Enrolled")</f>
        <v>Enrolled</v>
      </c>
    </row>
    <row r="4394">
      <c r="A4394" s="6" t="str">
        <f>IFERROR(__xludf.DUMMYFUNCTION("""COMPUTED_VALUE"""),"083-11681")</f>
        <v>083-11681</v>
      </c>
      <c r="B4394" s="6" t="str">
        <f>IFERROR(__xludf.DUMMYFUNCTION("""COMPUTED_VALUE"""),"83")</f>
        <v>83</v>
      </c>
      <c r="C4394" s="6" t="str">
        <f>IFERROR(__xludf.DUMMYFUNCTION("""COMPUTED_VALUE"""),"11681")</f>
        <v>11681</v>
      </c>
      <c r="D4394" s="6" t="str">
        <f>IFERROR(__xludf.DUMMYFUNCTION("""COMPUTED_VALUE"""),"Leah")</f>
        <v>Leah</v>
      </c>
      <c r="E4394" s="6" t="str">
        <f>IFERROR(__xludf.DUMMYFUNCTION("""COMPUTED_VALUE"""),"")</f>
        <v/>
      </c>
      <c r="F4394" s="6" t="str">
        <f>IFERROR(__xludf.DUMMYFUNCTION("""COMPUTED_VALUE"""),"Avila Renteria")</f>
        <v>Avila Renteria</v>
      </c>
      <c r="G4394" s="6" t="str">
        <f>IFERROR(__xludf.DUMMYFUNCTION("""COMPUTED_VALUE"""),"02/07/2017")</f>
        <v>02/07/2017</v>
      </c>
      <c r="H4394" s="6" t="str">
        <f>IFERROR(__xludf.DUMMYFUNCTION("""COMPUTED_VALUE"""),"female")</f>
        <v>female</v>
      </c>
      <c r="I4394" s="6" t="str">
        <f>IFERROR(__xludf.DUMMYFUNCTION("""COMPUTED_VALUE"""),"Level 1")</f>
        <v>Level 1</v>
      </c>
      <c r="J4394" s="6" t="str">
        <f>IFERROR(__xludf.DUMMYFUNCTION("""COMPUTED_VALUE"""),"3")</f>
        <v>3</v>
      </c>
      <c r="K4394" s="6" t="str">
        <f>IFERROR(__xludf.DUMMYFUNCTION("""COMPUTED_VALUE"""),"leah.avilarenteria@2hourlearning.com")</f>
        <v>leah.avilarenteria@2hourlearning.com</v>
      </c>
      <c r="L4394" s="6" t="str">
        <f>IFERROR(__xludf.DUMMYFUNCTION("""COMPUTED_VALUE"""),"JHES - Hardeeville Elementary School")</f>
        <v>JHES - Hardeeville Elementary School</v>
      </c>
      <c r="M4394" s="6" t="str">
        <f>IFERROR(__xludf.DUMMYFUNCTION("""COMPUTED_VALUE"""),"")</f>
        <v/>
      </c>
      <c r="N4394" s="6" t="str">
        <f>IFERROR(__xludf.DUMMYFUNCTION("""COMPUTED_VALUE"""),"")</f>
        <v/>
      </c>
      <c r="O4394" s="87" t="str">
        <f>IFERROR(__xludf.DUMMYFUNCTION("""COMPUTED_VALUE"""),"https://drive.google.com/drive/folders/10T2cTQHqEJZqE-st6uFKPoI?usp=share_link")</f>
        <v>https://drive.google.com/drive/folders/10T2cTQHqEJZqE-st6uFKPoI?usp=share_link</v>
      </c>
      <c r="P4394" s="6" t="str">
        <f>IFERROR(__xludf.DUMMYFUNCTION("""COMPUTED_VALUE"""),"Leah Avila Renteria")</f>
        <v>Leah Avila Renteria</v>
      </c>
      <c r="Q4394" s="6" t="str">
        <f>IFERROR(__xludf.DUMMYFUNCTION("""COMPUTED_VALUE"""),"L1")</f>
        <v>L1</v>
      </c>
      <c r="R4394" s="6">
        <f>IFERROR(__xludf.DUMMYFUNCTION("""COMPUTED_VALUE"""),1.0)</f>
        <v>1</v>
      </c>
      <c r="S4394" s="6" t="str">
        <f>IFERROR(__xludf.DUMMYFUNCTION("""COMPUTED_VALUE""")," ")</f>
        <v> </v>
      </c>
      <c r="T4394" s="6" t="str">
        <f>IFERROR(__xludf.DUMMYFUNCTION("""COMPUTED_VALUE"""),"")</f>
        <v/>
      </c>
      <c r="U4394" s="6" t="str">
        <f>IFERROR(__xludf.DUMMYFUNCTION("""COMPUTED_VALUE"""),"3")</f>
        <v>3</v>
      </c>
      <c r="V4394" s="6" t="str">
        <f>IFERROR(__xludf.DUMMYFUNCTION("""COMPUTED_VALUE"""),"")</f>
        <v/>
      </c>
      <c r="W4394" s="6" t="str">
        <f>IFERROR(__xludf.DUMMYFUNCTION("""COMPUTED_VALUE"""),"[]")</f>
        <v>[]</v>
      </c>
      <c r="X4394" s="6" t="str">
        <f>IFERROR(__xludf.DUMMYFUNCTION("""COMPUTED_VALUE"""),"Enrolled")</f>
        <v>Enrolled</v>
      </c>
    </row>
    <row r="4395">
      <c r="A4395" s="6" t="str">
        <f>IFERROR(__xludf.DUMMYFUNCTION("""COMPUTED_VALUE"""),"083-11682")</f>
        <v>083-11682</v>
      </c>
      <c r="B4395" s="6" t="str">
        <f>IFERROR(__xludf.DUMMYFUNCTION("""COMPUTED_VALUE"""),"83")</f>
        <v>83</v>
      </c>
      <c r="C4395" s="6" t="str">
        <f>IFERROR(__xludf.DUMMYFUNCTION("""COMPUTED_VALUE"""),"11682")</f>
        <v>11682</v>
      </c>
      <c r="D4395" s="6" t="str">
        <f>IFERROR(__xludf.DUMMYFUNCTION("""COMPUTED_VALUE"""),"Neithan J")</f>
        <v>Neithan J</v>
      </c>
      <c r="E4395" s="6" t="str">
        <f>IFERROR(__xludf.DUMMYFUNCTION("""COMPUTED_VALUE"""),"")</f>
        <v/>
      </c>
      <c r="F4395" s="6" t="str">
        <f>IFERROR(__xludf.DUMMYFUNCTION("""COMPUTED_VALUE"""),"Bahena Munoz")</f>
        <v>Bahena Munoz</v>
      </c>
      <c r="G4395" s="6" t="str">
        <f>IFERROR(__xludf.DUMMYFUNCTION("""COMPUTED_VALUE"""),"03/10/2017")</f>
        <v>03/10/2017</v>
      </c>
      <c r="H4395" s="6" t="str">
        <f>IFERROR(__xludf.DUMMYFUNCTION("""COMPUTED_VALUE"""),"male")</f>
        <v>male</v>
      </c>
      <c r="I4395" s="6" t="str">
        <f>IFERROR(__xludf.DUMMYFUNCTION("""COMPUTED_VALUE"""),"Level 1")</f>
        <v>Level 1</v>
      </c>
      <c r="J4395" s="6" t="str">
        <f>IFERROR(__xludf.DUMMYFUNCTION("""COMPUTED_VALUE"""),"3")</f>
        <v>3</v>
      </c>
      <c r="K4395" s="6" t="str">
        <f>IFERROR(__xludf.DUMMYFUNCTION("""COMPUTED_VALUE"""),"neithanj.bahenamunoz@2hourlearning.com")</f>
        <v>neithanj.bahenamunoz@2hourlearning.com</v>
      </c>
      <c r="L4395" s="6" t="str">
        <f>IFERROR(__xludf.DUMMYFUNCTION("""COMPUTED_VALUE"""),"JHES - Hardeeville Elementary School")</f>
        <v>JHES - Hardeeville Elementary School</v>
      </c>
      <c r="M4395" s="6" t="str">
        <f>IFERROR(__xludf.DUMMYFUNCTION("""COMPUTED_VALUE"""),"")</f>
        <v/>
      </c>
      <c r="N4395" s="6" t="str">
        <f>IFERROR(__xludf.DUMMYFUNCTION("""COMPUTED_VALUE"""),"")</f>
        <v/>
      </c>
      <c r="O4395" s="87" t="str">
        <f>IFERROR(__xludf.DUMMYFUNCTION("""COMPUTED_VALUE"""),"https://drive.google.com/drive/folders/10T2cTQHqEJZqE-st6uFKPoI?usp=share_link")</f>
        <v>https://drive.google.com/drive/folders/10T2cTQHqEJZqE-st6uFKPoI?usp=share_link</v>
      </c>
      <c r="P4395" s="6" t="str">
        <f>IFERROR(__xludf.DUMMYFUNCTION("""COMPUTED_VALUE"""),"Neithan J Bahena Munoz")</f>
        <v>Neithan J Bahena Munoz</v>
      </c>
      <c r="Q4395" s="6" t="str">
        <f>IFERROR(__xludf.DUMMYFUNCTION("""COMPUTED_VALUE"""),"L1")</f>
        <v>L1</v>
      </c>
      <c r="R4395" s="6">
        <f>IFERROR(__xludf.DUMMYFUNCTION("""COMPUTED_VALUE"""),1.0)</f>
        <v>1</v>
      </c>
      <c r="S4395" s="6" t="str">
        <f>IFERROR(__xludf.DUMMYFUNCTION("""COMPUTED_VALUE""")," ")</f>
        <v> </v>
      </c>
      <c r="T4395" s="6" t="str">
        <f>IFERROR(__xludf.DUMMYFUNCTION("""COMPUTED_VALUE"""),"")</f>
        <v/>
      </c>
      <c r="U4395" s="6" t="str">
        <f>IFERROR(__xludf.DUMMYFUNCTION("""COMPUTED_VALUE"""),"3")</f>
        <v>3</v>
      </c>
      <c r="V4395" s="6" t="str">
        <f>IFERROR(__xludf.DUMMYFUNCTION("""COMPUTED_VALUE"""),"")</f>
        <v/>
      </c>
      <c r="W4395" s="6" t="str">
        <f>IFERROR(__xludf.DUMMYFUNCTION("""COMPUTED_VALUE"""),"[]")</f>
        <v>[]</v>
      </c>
      <c r="X4395" s="6" t="str">
        <f>IFERROR(__xludf.DUMMYFUNCTION("""COMPUTED_VALUE"""),"Enrolled")</f>
        <v>Enrolled</v>
      </c>
    </row>
    <row r="4396">
      <c r="A4396" s="6" t="str">
        <f>IFERROR(__xludf.DUMMYFUNCTION("""COMPUTED_VALUE"""),"083-11683")</f>
        <v>083-11683</v>
      </c>
      <c r="B4396" s="6" t="str">
        <f>IFERROR(__xludf.DUMMYFUNCTION("""COMPUTED_VALUE"""),"83")</f>
        <v>83</v>
      </c>
      <c r="C4396" s="6" t="str">
        <f>IFERROR(__xludf.DUMMYFUNCTION("""COMPUTED_VALUE"""),"11683")</f>
        <v>11683</v>
      </c>
      <c r="D4396" s="6" t="str">
        <f>IFERROR(__xludf.DUMMYFUNCTION("""COMPUTED_VALUE"""),"Josefina")</f>
        <v>Josefina</v>
      </c>
      <c r="E4396" s="6" t="str">
        <f>IFERROR(__xludf.DUMMYFUNCTION("""COMPUTED_VALUE"""),"")</f>
        <v/>
      </c>
      <c r="F4396" s="6" t="str">
        <f>IFERROR(__xludf.DUMMYFUNCTION("""COMPUTED_VALUE"""),"Beltran Duarte")</f>
        <v>Beltran Duarte</v>
      </c>
      <c r="G4396" s="6" t="str">
        <f>IFERROR(__xludf.DUMMYFUNCTION("""COMPUTED_VALUE"""),"08/26/2017")</f>
        <v>08/26/2017</v>
      </c>
      <c r="H4396" s="6" t="str">
        <f>IFERROR(__xludf.DUMMYFUNCTION("""COMPUTED_VALUE"""),"female")</f>
        <v>female</v>
      </c>
      <c r="I4396" s="6" t="str">
        <f>IFERROR(__xludf.DUMMYFUNCTION("""COMPUTED_VALUE"""),"Level 1")</f>
        <v>Level 1</v>
      </c>
      <c r="J4396" s="6" t="str">
        <f>IFERROR(__xludf.DUMMYFUNCTION("""COMPUTED_VALUE"""),"3")</f>
        <v>3</v>
      </c>
      <c r="K4396" s="6" t="str">
        <f>IFERROR(__xludf.DUMMYFUNCTION("""COMPUTED_VALUE"""),"josefina.beltranduarte@2hourlearning.com")</f>
        <v>josefina.beltranduarte@2hourlearning.com</v>
      </c>
      <c r="L4396" s="6" t="str">
        <f>IFERROR(__xludf.DUMMYFUNCTION("""COMPUTED_VALUE"""),"JHES - Hardeeville Elementary School")</f>
        <v>JHES - Hardeeville Elementary School</v>
      </c>
      <c r="M4396" s="6" t="str">
        <f>IFERROR(__xludf.DUMMYFUNCTION("""COMPUTED_VALUE"""),"")</f>
        <v/>
      </c>
      <c r="N4396" s="6" t="str">
        <f>IFERROR(__xludf.DUMMYFUNCTION("""COMPUTED_VALUE"""),"")</f>
        <v/>
      </c>
      <c r="O4396" s="87" t="str">
        <f>IFERROR(__xludf.DUMMYFUNCTION("""COMPUTED_VALUE"""),"https://drive.google.com/drive/folders/10T2cTQHqEJZqE-st6uFKPoI?usp=share_link")</f>
        <v>https://drive.google.com/drive/folders/10T2cTQHqEJZqE-st6uFKPoI?usp=share_link</v>
      </c>
      <c r="P4396" s="6" t="str">
        <f>IFERROR(__xludf.DUMMYFUNCTION("""COMPUTED_VALUE"""),"Josefina Beltran Duarte")</f>
        <v>Josefina Beltran Duarte</v>
      </c>
      <c r="Q4396" s="6" t="str">
        <f>IFERROR(__xludf.DUMMYFUNCTION("""COMPUTED_VALUE"""),"L1")</f>
        <v>L1</v>
      </c>
      <c r="R4396" s="6">
        <f>IFERROR(__xludf.DUMMYFUNCTION("""COMPUTED_VALUE"""),1.0)</f>
        <v>1</v>
      </c>
      <c r="S4396" s="6" t="str">
        <f>IFERROR(__xludf.DUMMYFUNCTION("""COMPUTED_VALUE""")," ")</f>
        <v> </v>
      </c>
      <c r="T4396" s="6" t="str">
        <f>IFERROR(__xludf.DUMMYFUNCTION("""COMPUTED_VALUE"""),"")</f>
        <v/>
      </c>
      <c r="U4396" s="6" t="str">
        <f>IFERROR(__xludf.DUMMYFUNCTION("""COMPUTED_VALUE"""),"3")</f>
        <v>3</v>
      </c>
      <c r="V4396" s="6" t="str">
        <f>IFERROR(__xludf.DUMMYFUNCTION("""COMPUTED_VALUE"""),"")</f>
        <v/>
      </c>
      <c r="W4396" s="6" t="str">
        <f>IFERROR(__xludf.DUMMYFUNCTION("""COMPUTED_VALUE"""),"[]")</f>
        <v>[]</v>
      </c>
      <c r="X4396" s="6" t="str">
        <f>IFERROR(__xludf.DUMMYFUNCTION("""COMPUTED_VALUE"""),"Enrolled")</f>
        <v>Enrolled</v>
      </c>
    </row>
    <row r="4397">
      <c r="A4397" s="6" t="str">
        <f>IFERROR(__xludf.DUMMYFUNCTION("""COMPUTED_VALUE"""),"083-11684")</f>
        <v>083-11684</v>
      </c>
      <c r="B4397" s="6" t="str">
        <f>IFERROR(__xludf.DUMMYFUNCTION("""COMPUTED_VALUE"""),"83")</f>
        <v>83</v>
      </c>
      <c r="C4397" s="6" t="str">
        <f>IFERROR(__xludf.DUMMYFUNCTION("""COMPUTED_VALUE"""),"11684")</f>
        <v>11684</v>
      </c>
      <c r="D4397" s="6" t="str">
        <f>IFERROR(__xludf.DUMMYFUNCTION("""COMPUTED_VALUE"""),"Wyatt")</f>
        <v>Wyatt</v>
      </c>
      <c r="E4397" s="6" t="str">
        <f>IFERROR(__xludf.DUMMYFUNCTION("""COMPUTED_VALUE"""),"")</f>
        <v/>
      </c>
      <c r="F4397" s="6" t="str">
        <f>IFERROR(__xludf.DUMMYFUNCTION("""COMPUTED_VALUE"""),"Bradley")</f>
        <v>Bradley</v>
      </c>
      <c r="G4397" s="6" t="str">
        <f>IFERROR(__xludf.DUMMYFUNCTION("""COMPUTED_VALUE"""),"09/01/2017")</f>
        <v>09/01/2017</v>
      </c>
      <c r="H4397" s="6" t="str">
        <f>IFERROR(__xludf.DUMMYFUNCTION("""COMPUTED_VALUE"""),"male")</f>
        <v>male</v>
      </c>
      <c r="I4397" s="6" t="str">
        <f>IFERROR(__xludf.DUMMYFUNCTION("""COMPUTED_VALUE"""),"Level 1")</f>
        <v>Level 1</v>
      </c>
      <c r="J4397" s="6" t="str">
        <f>IFERROR(__xludf.DUMMYFUNCTION("""COMPUTED_VALUE"""),"3")</f>
        <v>3</v>
      </c>
      <c r="K4397" s="6" t="str">
        <f>IFERROR(__xludf.DUMMYFUNCTION("""COMPUTED_VALUE"""),"wyatt.bradley@2hourlearning.com")</f>
        <v>wyatt.bradley@2hourlearning.com</v>
      </c>
      <c r="L4397" s="6" t="str">
        <f>IFERROR(__xludf.DUMMYFUNCTION("""COMPUTED_VALUE"""),"JHES - Hardeeville Elementary School")</f>
        <v>JHES - Hardeeville Elementary School</v>
      </c>
      <c r="M4397" s="6" t="str">
        <f>IFERROR(__xludf.DUMMYFUNCTION("""COMPUTED_VALUE"""),"")</f>
        <v/>
      </c>
      <c r="N4397" s="6" t="str">
        <f>IFERROR(__xludf.DUMMYFUNCTION("""COMPUTED_VALUE"""),"")</f>
        <v/>
      </c>
      <c r="O4397" s="87" t="str">
        <f>IFERROR(__xludf.DUMMYFUNCTION("""COMPUTED_VALUE"""),"https://drive.google.com/drive/folders/10T2cTQHqEJZqE-st6uFKPoI?usp=share_link")</f>
        <v>https://drive.google.com/drive/folders/10T2cTQHqEJZqE-st6uFKPoI?usp=share_link</v>
      </c>
      <c r="P4397" s="6" t="str">
        <f>IFERROR(__xludf.DUMMYFUNCTION("""COMPUTED_VALUE"""),"Wyatt Bradley")</f>
        <v>Wyatt Bradley</v>
      </c>
      <c r="Q4397" s="6" t="str">
        <f>IFERROR(__xludf.DUMMYFUNCTION("""COMPUTED_VALUE"""),"L1")</f>
        <v>L1</v>
      </c>
      <c r="R4397" s="6">
        <f>IFERROR(__xludf.DUMMYFUNCTION("""COMPUTED_VALUE"""),1.0)</f>
        <v>1</v>
      </c>
      <c r="S4397" s="6" t="str">
        <f>IFERROR(__xludf.DUMMYFUNCTION("""COMPUTED_VALUE""")," ")</f>
        <v> </v>
      </c>
      <c r="T4397" s="6" t="str">
        <f>IFERROR(__xludf.DUMMYFUNCTION("""COMPUTED_VALUE"""),"")</f>
        <v/>
      </c>
      <c r="U4397" s="6" t="str">
        <f>IFERROR(__xludf.DUMMYFUNCTION("""COMPUTED_VALUE"""),"3")</f>
        <v>3</v>
      </c>
      <c r="V4397" s="6" t="str">
        <f>IFERROR(__xludf.DUMMYFUNCTION("""COMPUTED_VALUE"""),"")</f>
        <v/>
      </c>
      <c r="W4397" s="6" t="str">
        <f>IFERROR(__xludf.DUMMYFUNCTION("""COMPUTED_VALUE"""),"[]")</f>
        <v>[]</v>
      </c>
      <c r="X4397" s="6" t="str">
        <f>IFERROR(__xludf.DUMMYFUNCTION("""COMPUTED_VALUE"""),"Enrolled")</f>
        <v>Enrolled</v>
      </c>
    </row>
    <row r="4398">
      <c r="A4398" s="6" t="str">
        <f>IFERROR(__xludf.DUMMYFUNCTION("""COMPUTED_VALUE"""),"083-11685")</f>
        <v>083-11685</v>
      </c>
      <c r="B4398" s="6" t="str">
        <f>IFERROR(__xludf.DUMMYFUNCTION("""COMPUTED_VALUE"""),"83")</f>
        <v>83</v>
      </c>
      <c r="C4398" s="6" t="str">
        <f>IFERROR(__xludf.DUMMYFUNCTION("""COMPUTED_VALUE"""),"11685")</f>
        <v>11685</v>
      </c>
      <c r="D4398" s="6" t="str">
        <f>IFERROR(__xludf.DUMMYFUNCTION("""COMPUTED_VALUE"""),"Emmanuel")</f>
        <v>Emmanuel</v>
      </c>
      <c r="E4398" s="6" t="str">
        <f>IFERROR(__xludf.DUMMYFUNCTION("""COMPUTED_VALUE"""),"")</f>
        <v/>
      </c>
      <c r="F4398" s="6" t="str">
        <f>IFERROR(__xludf.DUMMYFUNCTION("""COMPUTED_VALUE"""),"Carreto Franco")</f>
        <v>Carreto Franco</v>
      </c>
      <c r="G4398" s="6" t="str">
        <f>IFERROR(__xludf.DUMMYFUNCTION("""COMPUTED_VALUE"""),"04/26/2017")</f>
        <v>04/26/2017</v>
      </c>
      <c r="H4398" s="6" t="str">
        <f>IFERROR(__xludf.DUMMYFUNCTION("""COMPUTED_VALUE"""),"male")</f>
        <v>male</v>
      </c>
      <c r="I4398" s="6" t="str">
        <f>IFERROR(__xludf.DUMMYFUNCTION("""COMPUTED_VALUE"""),"Level 1")</f>
        <v>Level 1</v>
      </c>
      <c r="J4398" s="6" t="str">
        <f>IFERROR(__xludf.DUMMYFUNCTION("""COMPUTED_VALUE"""),"3")</f>
        <v>3</v>
      </c>
      <c r="K4398" s="6" t="str">
        <f>IFERROR(__xludf.DUMMYFUNCTION("""COMPUTED_VALUE"""),"emmanuel.carretofranco@2hourlearning.com")</f>
        <v>emmanuel.carretofranco@2hourlearning.com</v>
      </c>
      <c r="L4398" s="6" t="str">
        <f>IFERROR(__xludf.DUMMYFUNCTION("""COMPUTED_VALUE"""),"JHES - Hardeeville Elementary School")</f>
        <v>JHES - Hardeeville Elementary School</v>
      </c>
      <c r="M4398" s="6" t="str">
        <f>IFERROR(__xludf.DUMMYFUNCTION("""COMPUTED_VALUE"""),"")</f>
        <v/>
      </c>
      <c r="N4398" s="6" t="str">
        <f>IFERROR(__xludf.DUMMYFUNCTION("""COMPUTED_VALUE"""),"")</f>
        <v/>
      </c>
      <c r="O4398" s="87" t="str">
        <f>IFERROR(__xludf.DUMMYFUNCTION("""COMPUTED_VALUE"""),"https://drive.google.com/drive/folders/10T2cTQHqEJZqE-st6uFKPoI?usp=share_link")</f>
        <v>https://drive.google.com/drive/folders/10T2cTQHqEJZqE-st6uFKPoI?usp=share_link</v>
      </c>
      <c r="P4398" s="6" t="str">
        <f>IFERROR(__xludf.DUMMYFUNCTION("""COMPUTED_VALUE"""),"Emmanuel Carreto Franco")</f>
        <v>Emmanuel Carreto Franco</v>
      </c>
      <c r="Q4398" s="6" t="str">
        <f>IFERROR(__xludf.DUMMYFUNCTION("""COMPUTED_VALUE"""),"L1")</f>
        <v>L1</v>
      </c>
      <c r="R4398" s="6">
        <f>IFERROR(__xludf.DUMMYFUNCTION("""COMPUTED_VALUE"""),1.0)</f>
        <v>1</v>
      </c>
      <c r="S4398" s="6" t="str">
        <f>IFERROR(__xludf.DUMMYFUNCTION("""COMPUTED_VALUE""")," ")</f>
        <v> </v>
      </c>
      <c r="T4398" s="6" t="str">
        <f>IFERROR(__xludf.DUMMYFUNCTION("""COMPUTED_VALUE"""),"")</f>
        <v/>
      </c>
      <c r="U4398" s="6" t="str">
        <f>IFERROR(__xludf.DUMMYFUNCTION("""COMPUTED_VALUE"""),"3")</f>
        <v>3</v>
      </c>
      <c r="V4398" s="6" t="str">
        <f>IFERROR(__xludf.DUMMYFUNCTION("""COMPUTED_VALUE"""),"")</f>
        <v/>
      </c>
      <c r="W4398" s="6" t="str">
        <f>IFERROR(__xludf.DUMMYFUNCTION("""COMPUTED_VALUE"""),"[]")</f>
        <v>[]</v>
      </c>
      <c r="X4398" s="6" t="str">
        <f>IFERROR(__xludf.DUMMYFUNCTION("""COMPUTED_VALUE"""),"Enrolled")</f>
        <v>Enrolled</v>
      </c>
    </row>
    <row r="4399">
      <c r="A4399" s="6" t="str">
        <f>IFERROR(__xludf.DUMMYFUNCTION("""COMPUTED_VALUE"""),"083-11686")</f>
        <v>083-11686</v>
      </c>
      <c r="B4399" s="6" t="str">
        <f>IFERROR(__xludf.DUMMYFUNCTION("""COMPUTED_VALUE"""),"83")</f>
        <v>83</v>
      </c>
      <c r="C4399" s="6" t="str">
        <f>IFERROR(__xludf.DUMMYFUNCTION("""COMPUTED_VALUE"""),"11686")</f>
        <v>11686</v>
      </c>
      <c r="D4399" s="6" t="str">
        <f>IFERROR(__xludf.DUMMYFUNCTION("""COMPUTED_VALUE"""),"Dominik")</f>
        <v>Dominik</v>
      </c>
      <c r="E4399" s="6" t="str">
        <f>IFERROR(__xludf.DUMMYFUNCTION("""COMPUTED_VALUE"""),"")</f>
        <v/>
      </c>
      <c r="F4399" s="6" t="str">
        <f>IFERROR(__xludf.DUMMYFUNCTION("""COMPUTED_VALUE"""),"Chavez De Jesus")</f>
        <v>Chavez De Jesus</v>
      </c>
      <c r="G4399" s="6" t="str">
        <f>IFERROR(__xludf.DUMMYFUNCTION("""COMPUTED_VALUE"""),"12/22/2016")</f>
        <v>12/22/2016</v>
      </c>
      <c r="H4399" s="6" t="str">
        <f>IFERROR(__xludf.DUMMYFUNCTION("""COMPUTED_VALUE"""),"male")</f>
        <v>male</v>
      </c>
      <c r="I4399" s="6" t="str">
        <f>IFERROR(__xludf.DUMMYFUNCTION("""COMPUTED_VALUE"""),"Level 1")</f>
        <v>Level 1</v>
      </c>
      <c r="J4399" s="6" t="str">
        <f>IFERROR(__xludf.DUMMYFUNCTION("""COMPUTED_VALUE"""),"3")</f>
        <v>3</v>
      </c>
      <c r="K4399" s="6" t="str">
        <f>IFERROR(__xludf.DUMMYFUNCTION("""COMPUTED_VALUE"""),"dominik.chavezdejesus@2hourlearning.com")</f>
        <v>dominik.chavezdejesus@2hourlearning.com</v>
      </c>
      <c r="L4399" s="6" t="str">
        <f>IFERROR(__xludf.DUMMYFUNCTION("""COMPUTED_VALUE"""),"JHES - Hardeeville Elementary School")</f>
        <v>JHES - Hardeeville Elementary School</v>
      </c>
      <c r="M4399" s="6" t="str">
        <f>IFERROR(__xludf.DUMMYFUNCTION("""COMPUTED_VALUE"""),"")</f>
        <v/>
      </c>
      <c r="N4399" s="6" t="str">
        <f>IFERROR(__xludf.DUMMYFUNCTION("""COMPUTED_VALUE"""),"")</f>
        <v/>
      </c>
      <c r="O4399" s="87" t="str">
        <f>IFERROR(__xludf.DUMMYFUNCTION("""COMPUTED_VALUE"""),"https://drive.google.com/drive/folders/10T2cTQHqEJZqE-st6uFKPoI?usp=share_link")</f>
        <v>https://drive.google.com/drive/folders/10T2cTQHqEJZqE-st6uFKPoI?usp=share_link</v>
      </c>
      <c r="P4399" s="6" t="str">
        <f>IFERROR(__xludf.DUMMYFUNCTION("""COMPUTED_VALUE"""),"Dominik Chavez De Jesus")</f>
        <v>Dominik Chavez De Jesus</v>
      </c>
      <c r="Q4399" s="6" t="str">
        <f>IFERROR(__xludf.DUMMYFUNCTION("""COMPUTED_VALUE"""),"L1")</f>
        <v>L1</v>
      </c>
      <c r="R4399" s="6">
        <f>IFERROR(__xludf.DUMMYFUNCTION("""COMPUTED_VALUE"""),1.0)</f>
        <v>1</v>
      </c>
      <c r="S4399" s="6" t="str">
        <f>IFERROR(__xludf.DUMMYFUNCTION("""COMPUTED_VALUE""")," ")</f>
        <v> </v>
      </c>
      <c r="T4399" s="6" t="str">
        <f>IFERROR(__xludf.DUMMYFUNCTION("""COMPUTED_VALUE"""),"")</f>
        <v/>
      </c>
      <c r="U4399" s="6" t="str">
        <f>IFERROR(__xludf.DUMMYFUNCTION("""COMPUTED_VALUE"""),"3")</f>
        <v>3</v>
      </c>
      <c r="V4399" s="6" t="str">
        <f>IFERROR(__xludf.DUMMYFUNCTION("""COMPUTED_VALUE"""),"")</f>
        <v/>
      </c>
      <c r="W4399" s="6" t="str">
        <f>IFERROR(__xludf.DUMMYFUNCTION("""COMPUTED_VALUE"""),"[]")</f>
        <v>[]</v>
      </c>
      <c r="X4399" s="6" t="str">
        <f>IFERROR(__xludf.DUMMYFUNCTION("""COMPUTED_VALUE"""),"Enrolled")</f>
        <v>Enrolled</v>
      </c>
    </row>
    <row r="4400">
      <c r="A4400" s="6" t="str">
        <f>IFERROR(__xludf.DUMMYFUNCTION("""COMPUTED_VALUE"""),"083-11687")</f>
        <v>083-11687</v>
      </c>
      <c r="B4400" s="6" t="str">
        <f>IFERROR(__xludf.DUMMYFUNCTION("""COMPUTED_VALUE"""),"83")</f>
        <v>83</v>
      </c>
      <c r="C4400" s="6" t="str">
        <f>IFERROR(__xludf.DUMMYFUNCTION("""COMPUTED_VALUE"""),"11687")</f>
        <v>11687</v>
      </c>
      <c r="D4400" s="6" t="str">
        <f>IFERROR(__xludf.DUMMYFUNCTION("""COMPUTED_VALUE"""),"Jameson")</f>
        <v>Jameson</v>
      </c>
      <c r="E4400" s="6" t="str">
        <f>IFERROR(__xludf.DUMMYFUNCTION("""COMPUTED_VALUE"""),"")</f>
        <v/>
      </c>
      <c r="F4400" s="6" t="str">
        <f>IFERROR(__xludf.DUMMYFUNCTION("""COMPUTED_VALUE"""),"Clifton")</f>
        <v>Clifton</v>
      </c>
      <c r="G4400" s="6" t="str">
        <f>IFERROR(__xludf.DUMMYFUNCTION("""COMPUTED_VALUE"""),"10/28/2016")</f>
        <v>10/28/2016</v>
      </c>
      <c r="H4400" s="6" t="str">
        <f>IFERROR(__xludf.DUMMYFUNCTION("""COMPUTED_VALUE"""),"male")</f>
        <v>male</v>
      </c>
      <c r="I4400" s="6" t="str">
        <f>IFERROR(__xludf.DUMMYFUNCTION("""COMPUTED_VALUE"""),"Level 1")</f>
        <v>Level 1</v>
      </c>
      <c r="J4400" s="6" t="str">
        <f>IFERROR(__xludf.DUMMYFUNCTION("""COMPUTED_VALUE"""),"3")</f>
        <v>3</v>
      </c>
      <c r="K4400" s="6" t="str">
        <f>IFERROR(__xludf.DUMMYFUNCTION("""COMPUTED_VALUE"""),"jameson.clifton@2hourlearning.com")</f>
        <v>jameson.clifton@2hourlearning.com</v>
      </c>
      <c r="L4400" s="6" t="str">
        <f>IFERROR(__xludf.DUMMYFUNCTION("""COMPUTED_VALUE"""),"JHES - Hardeeville Elementary School")</f>
        <v>JHES - Hardeeville Elementary School</v>
      </c>
      <c r="M4400" s="6" t="str">
        <f>IFERROR(__xludf.DUMMYFUNCTION("""COMPUTED_VALUE"""),"")</f>
        <v/>
      </c>
      <c r="N4400" s="6" t="str">
        <f>IFERROR(__xludf.DUMMYFUNCTION("""COMPUTED_VALUE"""),"")</f>
        <v/>
      </c>
      <c r="O4400" s="87" t="str">
        <f>IFERROR(__xludf.DUMMYFUNCTION("""COMPUTED_VALUE"""),"https://drive.google.com/drive/folders/10T2cTQHqEJZqE-st6uFKPoI?usp=share_link")</f>
        <v>https://drive.google.com/drive/folders/10T2cTQHqEJZqE-st6uFKPoI?usp=share_link</v>
      </c>
      <c r="P4400" s="6" t="str">
        <f>IFERROR(__xludf.DUMMYFUNCTION("""COMPUTED_VALUE"""),"Jameson Clifton")</f>
        <v>Jameson Clifton</v>
      </c>
      <c r="Q4400" s="6" t="str">
        <f>IFERROR(__xludf.DUMMYFUNCTION("""COMPUTED_VALUE"""),"L1")</f>
        <v>L1</v>
      </c>
      <c r="R4400" s="6">
        <f>IFERROR(__xludf.DUMMYFUNCTION("""COMPUTED_VALUE"""),1.0)</f>
        <v>1</v>
      </c>
      <c r="S4400" s="6" t="str">
        <f>IFERROR(__xludf.DUMMYFUNCTION("""COMPUTED_VALUE""")," ")</f>
        <v> </v>
      </c>
      <c r="T4400" s="6" t="str">
        <f>IFERROR(__xludf.DUMMYFUNCTION("""COMPUTED_VALUE"""),"")</f>
        <v/>
      </c>
      <c r="U4400" s="6" t="str">
        <f>IFERROR(__xludf.DUMMYFUNCTION("""COMPUTED_VALUE"""),"3")</f>
        <v>3</v>
      </c>
      <c r="V4400" s="6" t="str">
        <f>IFERROR(__xludf.DUMMYFUNCTION("""COMPUTED_VALUE"""),"")</f>
        <v/>
      </c>
      <c r="W4400" s="6" t="str">
        <f>IFERROR(__xludf.DUMMYFUNCTION("""COMPUTED_VALUE"""),"[]")</f>
        <v>[]</v>
      </c>
      <c r="X4400" s="6" t="str">
        <f>IFERROR(__xludf.DUMMYFUNCTION("""COMPUTED_VALUE"""),"Enrolled")</f>
        <v>Enrolled</v>
      </c>
    </row>
    <row r="4401">
      <c r="A4401" s="6" t="str">
        <f>IFERROR(__xludf.DUMMYFUNCTION("""COMPUTED_VALUE"""),"083-11688")</f>
        <v>083-11688</v>
      </c>
      <c r="B4401" s="6" t="str">
        <f>IFERROR(__xludf.DUMMYFUNCTION("""COMPUTED_VALUE"""),"83")</f>
        <v>83</v>
      </c>
      <c r="C4401" s="6" t="str">
        <f>IFERROR(__xludf.DUMMYFUNCTION("""COMPUTED_VALUE"""),"11688")</f>
        <v>11688</v>
      </c>
      <c r="D4401" s="6" t="str">
        <f>IFERROR(__xludf.DUMMYFUNCTION("""COMPUTED_VALUE"""),"Alison G")</f>
        <v>Alison G</v>
      </c>
      <c r="E4401" s="6" t="str">
        <f>IFERROR(__xludf.DUMMYFUNCTION("""COMPUTED_VALUE"""),"")</f>
        <v/>
      </c>
      <c r="F4401" s="6" t="str">
        <f>IFERROR(__xludf.DUMMYFUNCTION("""COMPUTED_VALUE"""),"Cruz Carranza")</f>
        <v>Cruz Carranza</v>
      </c>
      <c r="G4401" s="6" t="str">
        <f>IFERROR(__xludf.DUMMYFUNCTION("""COMPUTED_VALUE"""),"12/11/2016")</f>
        <v>12/11/2016</v>
      </c>
      <c r="H4401" s="6" t="str">
        <f>IFERROR(__xludf.DUMMYFUNCTION("""COMPUTED_VALUE"""),"female")</f>
        <v>female</v>
      </c>
      <c r="I4401" s="6" t="str">
        <f>IFERROR(__xludf.DUMMYFUNCTION("""COMPUTED_VALUE"""),"Level 1")</f>
        <v>Level 1</v>
      </c>
      <c r="J4401" s="6" t="str">
        <f>IFERROR(__xludf.DUMMYFUNCTION("""COMPUTED_VALUE"""),"3")</f>
        <v>3</v>
      </c>
      <c r="K4401" s="6" t="str">
        <f>IFERROR(__xludf.DUMMYFUNCTION("""COMPUTED_VALUE"""),"alisong.cruzcarranza@2hourlearning.com")</f>
        <v>alisong.cruzcarranza@2hourlearning.com</v>
      </c>
      <c r="L4401" s="6" t="str">
        <f>IFERROR(__xludf.DUMMYFUNCTION("""COMPUTED_VALUE"""),"JHES - Hardeeville Elementary School")</f>
        <v>JHES - Hardeeville Elementary School</v>
      </c>
      <c r="M4401" s="6" t="str">
        <f>IFERROR(__xludf.DUMMYFUNCTION("""COMPUTED_VALUE"""),"")</f>
        <v/>
      </c>
      <c r="N4401" s="6" t="str">
        <f>IFERROR(__xludf.DUMMYFUNCTION("""COMPUTED_VALUE"""),"")</f>
        <v/>
      </c>
      <c r="O4401" s="87" t="str">
        <f>IFERROR(__xludf.DUMMYFUNCTION("""COMPUTED_VALUE"""),"https://drive.google.com/drive/folders/10T2cTQHqEJZqE-st6uFKPoI?usp=share_link")</f>
        <v>https://drive.google.com/drive/folders/10T2cTQHqEJZqE-st6uFKPoI?usp=share_link</v>
      </c>
      <c r="P4401" s="6" t="str">
        <f>IFERROR(__xludf.DUMMYFUNCTION("""COMPUTED_VALUE"""),"Alison G Cruz Carranza")</f>
        <v>Alison G Cruz Carranza</v>
      </c>
      <c r="Q4401" s="6" t="str">
        <f>IFERROR(__xludf.DUMMYFUNCTION("""COMPUTED_VALUE"""),"L1")</f>
        <v>L1</v>
      </c>
      <c r="R4401" s="6">
        <f>IFERROR(__xludf.DUMMYFUNCTION("""COMPUTED_VALUE"""),1.0)</f>
        <v>1</v>
      </c>
      <c r="S4401" s="6" t="str">
        <f>IFERROR(__xludf.DUMMYFUNCTION("""COMPUTED_VALUE""")," ")</f>
        <v> </v>
      </c>
      <c r="T4401" s="6" t="str">
        <f>IFERROR(__xludf.DUMMYFUNCTION("""COMPUTED_VALUE"""),"")</f>
        <v/>
      </c>
      <c r="U4401" s="6" t="str">
        <f>IFERROR(__xludf.DUMMYFUNCTION("""COMPUTED_VALUE"""),"3")</f>
        <v>3</v>
      </c>
      <c r="V4401" s="6" t="str">
        <f>IFERROR(__xludf.DUMMYFUNCTION("""COMPUTED_VALUE"""),"")</f>
        <v/>
      </c>
      <c r="W4401" s="6" t="str">
        <f>IFERROR(__xludf.DUMMYFUNCTION("""COMPUTED_VALUE"""),"[]")</f>
        <v>[]</v>
      </c>
      <c r="X4401" s="6" t="str">
        <f>IFERROR(__xludf.DUMMYFUNCTION("""COMPUTED_VALUE"""),"Enrolled")</f>
        <v>Enrolled</v>
      </c>
    </row>
    <row r="4402">
      <c r="A4402" s="6" t="str">
        <f>IFERROR(__xludf.DUMMYFUNCTION("""COMPUTED_VALUE"""),"083-11689")</f>
        <v>083-11689</v>
      </c>
      <c r="B4402" s="6" t="str">
        <f>IFERROR(__xludf.DUMMYFUNCTION("""COMPUTED_VALUE"""),"83")</f>
        <v>83</v>
      </c>
      <c r="C4402" s="6" t="str">
        <f>IFERROR(__xludf.DUMMYFUNCTION("""COMPUTED_VALUE"""),"11689")</f>
        <v>11689</v>
      </c>
      <c r="D4402" s="6" t="str">
        <f>IFERROR(__xludf.DUMMYFUNCTION("""COMPUTED_VALUE"""),"Savanna")</f>
        <v>Savanna</v>
      </c>
      <c r="E4402" s="6" t="str">
        <f>IFERROR(__xludf.DUMMYFUNCTION("""COMPUTED_VALUE"""),"")</f>
        <v/>
      </c>
      <c r="F4402" s="6" t="str">
        <f>IFERROR(__xludf.DUMMYFUNCTION("""COMPUTED_VALUE"""),"Galvin")</f>
        <v>Galvin</v>
      </c>
      <c r="G4402" s="6" t="str">
        <f>IFERROR(__xludf.DUMMYFUNCTION("""COMPUTED_VALUE"""),"03/15/2016")</f>
        <v>03/15/2016</v>
      </c>
      <c r="H4402" s="6" t="str">
        <f>IFERROR(__xludf.DUMMYFUNCTION("""COMPUTED_VALUE"""),"female")</f>
        <v>female</v>
      </c>
      <c r="I4402" s="6" t="str">
        <f>IFERROR(__xludf.DUMMYFUNCTION("""COMPUTED_VALUE"""),"Level 1")</f>
        <v>Level 1</v>
      </c>
      <c r="J4402" s="6" t="str">
        <f>IFERROR(__xludf.DUMMYFUNCTION("""COMPUTED_VALUE"""),"3")</f>
        <v>3</v>
      </c>
      <c r="K4402" s="6" t="str">
        <f>IFERROR(__xludf.DUMMYFUNCTION("""COMPUTED_VALUE"""),"savanna.galvin@2hourlearning.com")</f>
        <v>savanna.galvin@2hourlearning.com</v>
      </c>
      <c r="L4402" s="6" t="str">
        <f>IFERROR(__xludf.DUMMYFUNCTION("""COMPUTED_VALUE"""),"JHES - Hardeeville Elementary School")</f>
        <v>JHES - Hardeeville Elementary School</v>
      </c>
      <c r="M4402" s="6" t="str">
        <f>IFERROR(__xludf.DUMMYFUNCTION("""COMPUTED_VALUE"""),"")</f>
        <v/>
      </c>
      <c r="N4402" s="6" t="str">
        <f>IFERROR(__xludf.DUMMYFUNCTION("""COMPUTED_VALUE"""),"")</f>
        <v/>
      </c>
      <c r="O4402" s="87" t="str">
        <f>IFERROR(__xludf.DUMMYFUNCTION("""COMPUTED_VALUE"""),"https://drive.google.com/drive/folders/10T2cTQHqEJZqE-st6uFKPoI?usp=share_link")</f>
        <v>https://drive.google.com/drive/folders/10T2cTQHqEJZqE-st6uFKPoI?usp=share_link</v>
      </c>
      <c r="P4402" s="6" t="str">
        <f>IFERROR(__xludf.DUMMYFUNCTION("""COMPUTED_VALUE"""),"Savanna Galvin")</f>
        <v>Savanna Galvin</v>
      </c>
      <c r="Q4402" s="6" t="str">
        <f>IFERROR(__xludf.DUMMYFUNCTION("""COMPUTED_VALUE"""),"L1")</f>
        <v>L1</v>
      </c>
      <c r="R4402" s="6">
        <f>IFERROR(__xludf.DUMMYFUNCTION("""COMPUTED_VALUE"""),1.0)</f>
        <v>1</v>
      </c>
      <c r="S4402" s="6" t="str">
        <f>IFERROR(__xludf.DUMMYFUNCTION("""COMPUTED_VALUE""")," ")</f>
        <v> </v>
      </c>
      <c r="T4402" s="6" t="str">
        <f>IFERROR(__xludf.DUMMYFUNCTION("""COMPUTED_VALUE"""),"")</f>
        <v/>
      </c>
      <c r="U4402" s="6" t="str">
        <f>IFERROR(__xludf.DUMMYFUNCTION("""COMPUTED_VALUE"""),"3")</f>
        <v>3</v>
      </c>
      <c r="V4402" s="6" t="str">
        <f>IFERROR(__xludf.DUMMYFUNCTION("""COMPUTED_VALUE"""),"")</f>
        <v/>
      </c>
      <c r="W4402" s="6" t="str">
        <f>IFERROR(__xludf.DUMMYFUNCTION("""COMPUTED_VALUE"""),"[]")</f>
        <v>[]</v>
      </c>
      <c r="X4402" s="6" t="str">
        <f>IFERROR(__xludf.DUMMYFUNCTION("""COMPUTED_VALUE"""),"Enrolled")</f>
        <v>Enrolled</v>
      </c>
    </row>
    <row r="4403">
      <c r="A4403" s="6" t="str">
        <f>IFERROR(__xludf.DUMMYFUNCTION("""COMPUTED_VALUE"""),"083-11690")</f>
        <v>083-11690</v>
      </c>
      <c r="B4403" s="6" t="str">
        <f>IFERROR(__xludf.DUMMYFUNCTION("""COMPUTED_VALUE"""),"83")</f>
        <v>83</v>
      </c>
      <c r="C4403" s="6" t="str">
        <f>IFERROR(__xludf.DUMMYFUNCTION("""COMPUTED_VALUE"""),"11690")</f>
        <v>11690</v>
      </c>
      <c r="D4403" s="6" t="str">
        <f>IFERROR(__xludf.DUMMYFUNCTION("""COMPUTED_VALUE"""),"Kleybin")</f>
        <v>Kleybin</v>
      </c>
      <c r="E4403" s="6" t="str">
        <f>IFERROR(__xludf.DUMMYFUNCTION("""COMPUTED_VALUE"""),"")</f>
        <v/>
      </c>
      <c r="F4403" s="6" t="str">
        <f>IFERROR(__xludf.DUMMYFUNCTION("""COMPUTED_VALUE"""),"Giron Luna")</f>
        <v>Giron Luna</v>
      </c>
      <c r="G4403" s="6" t="str">
        <f>IFERROR(__xludf.DUMMYFUNCTION("""COMPUTED_VALUE"""),"02/17/2017")</f>
        <v>02/17/2017</v>
      </c>
      <c r="H4403" s="6" t="str">
        <f>IFERROR(__xludf.DUMMYFUNCTION("""COMPUTED_VALUE"""),"male")</f>
        <v>male</v>
      </c>
      <c r="I4403" s="6" t="str">
        <f>IFERROR(__xludf.DUMMYFUNCTION("""COMPUTED_VALUE"""),"Level 1")</f>
        <v>Level 1</v>
      </c>
      <c r="J4403" s="6" t="str">
        <f>IFERROR(__xludf.DUMMYFUNCTION("""COMPUTED_VALUE"""),"3")</f>
        <v>3</v>
      </c>
      <c r="K4403" s="6" t="str">
        <f>IFERROR(__xludf.DUMMYFUNCTION("""COMPUTED_VALUE"""),"kleybin.gironluna@2hourlearning.com")</f>
        <v>kleybin.gironluna@2hourlearning.com</v>
      </c>
      <c r="L4403" s="6" t="str">
        <f>IFERROR(__xludf.DUMMYFUNCTION("""COMPUTED_VALUE"""),"JHES - Hardeeville Elementary School")</f>
        <v>JHES - Hardeeville Elementary School</v>
      </c>
      <c r="M4403" s="6" t="str">
        <f>IFERROR(__xludf.DUMMYFUNCTION("""COMPUTED_VALUE"""),"")</f>
        <v/>
      </c>
      <c r="N4403" s="6" t="str">
        <f>IFERROR(__xludf.DUMMYFUNCTION("""COMPUTED_VALUE"""),"")</f>
        <v/>
      </c>
      <c r="O4403" s="87" t="str">
        <f>IFERROR(__xludf.DUMMYFUNCTION("""COMPUTED_VALUE"""),"https://drive.google.com/drive/folders/10T2cTQHqEJZqE-st6uFKPoI?usp=share_link")</f>
        <v>https://drive.google.com/drive/folders/10T2cTQHqEJZqE-st6uFKPoI?usp=share_link</v>
      </c>
      <c r="P4403" s="6" t="str">
        <f>IFERROR(__xludf.DUMMYFUNCTION("""COMPUTED_VALUE"""),"Kleybin Giron Luna")</f>
        <v>Kleybin Giron Luna</v>
      </c>
      <c r="Q4403" s="6" t="str">
        <f>IFERROR(__xludf.DUMMYFUNCTION("""COMPUTED_VALUE"""),"L1")</f>
        <v>L1</v>
      </c>
      <c r="R4403" s="6">
        <f>IFERROR(__xludf.DUMMYFUNCTION("""COMPUTED_VALUE"""),1.0)</f>
        <v>1</v>
      </c>
      <c r="S4403" s="6" t="str">
        <f>IFERROR(__xludf.DUMMYFUNCTION("""COMPUTED_VALUE""")," ")</f>
        <v> </v>
      </c>
      <c r="T4403" s="6" t="str">
        <f>IFERROR(__xludf.DUMMYFUNCTION("""COMPUTED_VALUE"""),"")</f>
        <v/>
      </c>
      <c r="U4403" s="6" t="str">
        <f>IFERROR(__xludf.DUMMYFUNCTION("""COMPUTED_VALUE"""),"3")</f>
        <v>3</v>
      </c>
      <c r="V4403" s="6" t="str">
        <f>IFERROR(__xludf.DUMMYFUNCTION("""COMPUTED_VALUE"""),"")</f>
        <v/>
      </c>
      <c r="W4403" s="6" t="str">
        <f>IFERROR(__xludf.DUMMYFUNCTION("""COMPUTED_VALUE"""),"[]")</f>
        <v>[]</v>
      </c>
      <c r="X4403" s="6" t="str">
        <f>IFERROR(__xludf.DUMMYFUNCTION("""COMPUTED_VALUE"""),"Enrolled")</f>
        <v>Enrolled</v>
      </c>
    </row>
    <row r="4404">
      <c r="A4404" s="6" t="str">
        <f>IFERROR(__xludf.DUMMYFUNCTION("""COMPUTED_VALUE"""),"083-11691")</f>
        <v>083-11691</v>
      </c>
      <c r="B4404" s="6" t="str">
        <f>IFERROR(__xludf.DUMMYFUNCTION("""COMPUTED_VALUE"""),"83")</f>
        <v>83</v>
      </c>
      <c r="C4404" s="6" t="str">
        <f>IFERROR(__xludf.DUMMYFUNCTION("""COMPUTED_VALUE"""),"11691")</f>
        <v>11691</v>
      </c>
      <c r="D4404" s="6" t="str">
        <f>IFERROR(__xludf.DUMMYFUNCTION("""COMPUTED_VALUE"""),"Emili")</f>
        <v>Emili</v>
      </c>
      <c r="E4404" s="6" t="str">
        <f>IFERROR(__xludf.DUMMYFUNCTION("""COMPUTED_VALUE"""),"")</f>
        <v/>
      </c>
      <c r="F4404" s="6" t="str">
        <f>IFERROR(__xludf.DUMMYFUNCTION("""COMPUTED_VALUE"""),"Gonzalez Morales")</f>
        <v>Gonzalez Morales</v>
      </c>
      <c r="G4404" s="6" t="str">
        <f>IFERROR(__xludf.DUMMYFUNCTION("""COMPUTED_VALUE"""),"09/21/2016")</f>
        <v>09/21/2016</v>
      </c>
      <c r="H4404" s="6" t="str">
        <f>IFERROR(__xludf.DUMMYFUNCTION("""COMPUTED_VALUE"""),"female")</f>
        <v>female</v>
      </c>
      <c r="I4404" s="6" t="str">
        <f>IFERROR(__xludf.DUMMYFUNCTION("""COMPUTED_VALUE"""),"Level 1")</f>
        <v>Level 1</v>
      </c>
      <c r="J4404" s="6" t="str">
        <f>IFERROR(__xludf.DUMMYFUNCTION("""COMPUTED_VALUE"""),"3")</f>
        <v>3</v>
      </c>
      <c r="K4404" s="6" t="str">
        <f>IFERROR(__xludf.DUMMYFUNCTION("""COMPUTED_VALUE"""),"emili.gonzalezmorales@2hourlearning.com")</f>
        <v>emili.gonzalezmorales@2hourlearning.com</v>
      </c>
      <c r="L4404" s="6" t="str">
        <f>IFERROR(__xludf.DUMMYFUNCTION("""COMPUTED_VALUE"""),"JHES - Hardeeville Elementary School")</f>
        <v>JHES - Hardeeville Elementary School</v>
      </c>
      <c r="M4404" s="6" t="str">
        <f>IFERROR(__xludf.DUMMYFUNCTION("""COMPUTED_VALUE"""),"")</f>
        <v/>
      </c>
      <c r="N4404" s="6" t="str">
        <f>IFERROR(__xludf.DUMMYFUNCTION("""COMPUTED_VALUE"""),"")</f>
        <v/>
      </c>
      <c r="O4404" s="87" t="str">
        <f>IFERROR(__xludf.DUMMYFUNCTION("""COMPUTED_VALUE"""),"https://drive.google.com/drive/folders/10T2cTQHqEJZqE-st6uFKPoI?usp=share_link")</f>
        <v>https://drive.google.com/drive/folders/10T2cTQHqEJZqE-st6uFKPoI?usp=share_link</v>
      </c>
      <c r="P4404" s="6" t="str">
        <f>IFERROR(__xludf.DUMMYFUNCTION("""COMPUTED_VALUE"""),"Emili Gonzalez Morales")</f>
        <v>Emili Gonzalez Morales</v>
      </c>
      <c r="Q4404" s="6" t="str">
        <f>IFERROR(__xludf.DUMMYFUNCTION("""COMPUTED_VALUE"""),"L1")</f>
        <v>L1</v>
      </c>
      <c r="R4404" s="6">
        <f>IFERROR(__xludf.DUMMYFUNCTION("""COMPUTED_VALUE"""),1.0)</f>
        <v>1</v>
      </c>
      <c r="S4404" s="6" t="str">
        <f>IFERROR(__xludf.DUMMYFUNCTION("""COMPUTED_VALUE""")," ")</f>
        <v> </v>
      </c>
      <c r="T4404" s="6" t="str">
        <f>IFERROR(__xludf.DUMMYFUNCTION("""COMPUTED_VALUE"""),"")</f>
        <v/>
      </c>
      <c r="U4404" s="6" t="str">
        <f>IFERROR(__xludf.DUMMYFUNCTION("""COMPUTED_VALUE"""),"3")</f>
        <v>3</v>
      </c>
      <c r="V4404" s="6" t="str">
        <f>IFERROR(__xludf.DUMMYFUNCTION("""COMPUTED_VALUE"""),"")</f>
        <v/>
      </c>
      <c r="W4404" s="6" t="str">
        <f>IFERROR(__xludf.DUMMYFUNCTION("""COMPUTED_VALUE"""),"[]")</f>
        <v>[]</v>
      </c>
      <c r="X4404" s="6" t="str">
        <f>IFERROR(__xludf.DUMMYFUNCTION("""COMPUTED_VALUE"""),"Enrolled")</f>
        <v>Enrolled</v>
      </c>
    </row>
    <row r="4405">
      <c r="A4405" s="6" t="str">
        <f>IFERROR(__xludf.DUMMYFUNCTION("""COMPUTED_VALUE"""),"083-11692")</f>
        <v>083-11692</v>
      </c>
      <c r="B4405" s="6" t="str">
        <f>IFERROR(__xludf.DUMMYFUNCTION("""COMPUTED_VALUE"""),"83")</f>
        <v>83</v>
      </c>
      <c r="C4405" s="6" t="str">
        <f>IFERROR(__xludf.DUMMYFUNCTION("""COMPUTED_VALUE"""),"11692")</f>
        <v>11692</v>
      </c>
      <c r="D4405" s="6" t="str">
        <f>IFERROR(__xludf.DUMMYFUNCTION("""COMPUTED_VALUE"""),"Jimena")</f>
        <v>Jimena</v>
      </c>
      <c r="E4405" s="6" t="str">
        <f>IFERROR(__xludf.DUMMYFUNCTION("""COMPUTED_VALUE"""),"")</f>
        <v/>
      </c>
      <c r="F4405" s="6" t="str">
        <f>IFERROR(__xludf.DUMMYFUNCTION("""COMPUTED_VALUE"""),"Hernandez")</f>
        <v>Hernandez</v>
      </c>
      <c r="G4405" s="6" t="str">
        <f>IFERROR(__xludf.DUMMYFUNCTION("""COMPUTED_VALUE"""),"09/14/2016")</f>
        <v>09/14/2016</v>
      </c>
      <c r="H4405" s="6" t="str">
        <f>IFERROR(__xludf.DUMMYFUNCTION("""COMPUTED_VALUE"""),"female")</f>
        <v>female</v>
      </c>
      <c r="I4405" s="6" t="str">
        <f>IFERROR(__xludf.DUMMYFUNCTION("""COMPUTED_VALUE"""),"Level 1")</f>
        <v>Level 1</v>
      </c>
      <c r="J4405" s="6" t="str">
        <f>IFERROR(__xludf.DUMMYFUNCTION("""COMPUTED_VALUE"""),"3")</f>
        <v>3</v>
      </c>
      <c r="K4405" s="6" t="str">
        <f>IFERROR(__xludf.DUMMYFUNCTION("""COMPUTED_VALUE"""),"jimena.hernandez@2hourlearning.com")</f>
        <v>jimena.hernandez@2hourlearning.com</v>
      </c>
      <c r="L4405" s="6" t="str">
        <f>IFERROR(__xludf.DUMMYFUNCTION("""COMPUTED_VALUE"""),"JHES - Hardeeville Elementary School")</f>
        <v>JHES - Hardeeville Elementary School</v>
      </c>
      <c r="M4405" s="6" t="str">
        <f>IFERROR(__xludf.DUMMYFUNCTION("""COMPUTED_VALUE"""),"")</f>
        <v/>
      </c>
      <c r="N4405" s="6" t="str">
        <f>IFERROR(__xludf.DUMMYFUNCTION("""COMPUTED_VALUE"""),"")</f>
        <v/>
      </c>
      <c r="O4405" s="87" t="str">
        <f>IFERROR(__xludf.DUMMYFUNCTION("""COMPUTED_VALUE"""),"https://drive.google.com/drive/folders/10T2cTQHqEJZqE-st6uFKPoI?usp=share_link")</f>
        <v>https://drive.google.com/drive/folders/10T2cTQHqEJZqE-st6uFKPoI?usp=share_link</v>
      </c>
      <c r="P4405" s="6" t="str">
        <f>IFERROR(__xludf.DUMMYFUNCTION("""COMPUTED_VALUE"""),"Jimena Hernandez")</f>
        <v>Jimena Hernandez</v>
      </c>
      <c r="Q4405" s="6" t="str">
        <f>IFERROR(__xludf.DUMMYFUNCTION("""COMPUTED_VALUE"""),"L1")</f>
        <v>L1</v>
      </c>
      <c r="R4405" s="6">
        <f>IFERROR(__xludf.DUMMYFUNCTION("""COMPUTED_VALUE"""),1.0)</f>
        <v>1</v>
      </c>
      <c r="S4405" s="6" t="str">
        <f>IFERROR(__xludf.DUMMYFUNCTION("""COMPUTED_VALUE""")," ")</f>
        <v> </v>
      </c>
      <c r="T4405" s="6" t="str">
        <f>IFERROR(__xludf.DUMMYFUNCTION("""COMPUTED_VALUE"""),"")</f>
        <v/>
      </c>
      <c r="U4405" s="6" t="str">
        <f>IFERROR(__xludf.DUMMYFUNCTION("""COMPUTED_VALUE"""),"3")</f>
        <v>3</v>
      </c>
      <c r="V4405" s="6" t="str">
        <f>IFERROR(__xludf.DUMMYFUNCTION("""COMPUTED_VALUE"""),"")</f>
        <v/>
      </c>
      <c r="W4405" s="6" t="str">
        <f>IFERROR(__xludf.DUMMYFUNCTION("""COMPUTED_VALUE"""),"[]")</f>
        <v>[]</v>
      </c>
      <c r="X4405" s="6" t="str">
        <f>IFERROR(__xludf.DUMMYFUNCTION("""COMPUTED_VALUE"""),"Enrolled")</f>
        <v>Enrolled</v>
      </c>
    </row>
    <row r="4406">
      <c r="A4406" s="6" t="str">
        <f>IFERROR(__xludf.DUMMYFUNCTION("""COMPUTED_VALUE"""),"083-11693")</f>
        <v>083-11693</v>
      </c>
      <c r="B4406" s="6" t="str">
        <f>IFERROR(__xludf.DUMMYFUNCTION("""COMPUTED_VALUE"""),"83")</f>
        <v>83</v>
      </c>
      <c r="C4406" s="6" t="str">
        <f>IFERROR(__xludf.DUMMYFUNCTION("""COMPUTED_VALUE"""),"11693")</f>
        <v>11693</v>
      </c>
      <c r="D4406" s="6" t="str">
        <f>IFERROR(__xludf.DUMMYFUNCTION("""COMPUTED_VALUE"""),"Yolanda")</f>
        <v>Yolanda</v>
      </c>
      <c r="E4406" s="6" t="str">
        <f>IFERROR(__xludf.DUMMYFUNCTION("""COMPUTED_VALUE"""),"")</f>
        <v/>
      </c>
      <c r="F4406" s="6" t="str">
        <f>IFERROR(__xludf.DUMMYFUNCTION("""COMPUTED_VALUE"""),"Jenkins")</f>
        <v>Jenkins</v>
      </c>
      <c r="G4406" s="6" t="str">
        <f>IFERROR(__xludf.DUMMYFUNCTION("""COMPUTED_VALUE"""),"02/01/2017")</f>
        <v>02/01/2017</v>
      </c>
      <c r="H4406" s="6" t="str">
        <f>IFERROR(__xludf.DUMMYFUNCTION("""COMPUTED_VALUE"""),"female")</f>
        <v>female</v>
      </c>
      <c r="I4406" s="6" t="str">
        <f>IFERROR(__xludf.DUMMYFUNCTION("""COMPUTED_VALUE"""),"Level 1")</f>
        <v>Level 1</v>
      </c>
      <c r="J4406" s="6" t="str">
        <f>IFERROR(__xludf.DUMMYFUNCTION("""COMPUTED_VALUE"""),"3")</f>
        <v>3</v>
      </c>
      <c r="K4406" s="6" t="str">
        <f>IFERROR(__xludf.DUMMYFUNCTION("""COMPUTED_VALUE"""),"yolanda.jenkins@2hourlearning.com")</f>
        <v>yolanda.jenkins@2hourlearning.com</v>
      </c>
      <c r="L4406" s="6" t="str">
        <f>IFERROR(__xludf.DUMMYFUNCTION("""COMPUTED_VALUE"""),"JHES - Hardeeville Elementary School")</f>
        <v>JHES - Hardeeville Elementary School</v>
      </c>
      <c r="M4406" s="6" t="str">
        <f>IFERROR(__xludf.DUMMYFUNCTION("""COMPUTED_VALUE"""),"")</f>
        <v/>
      </c>
      <c r="N4406" s="6" t="str">
        <f>IFERROR(__xludf.DUMMYFUNCTION("""COMPUTED_VALUE"""),"")</f>
        <v/>
      </c>
      <c r="O4406" s="87" t="str">
        <f>IFERROR(__xludf.DUMMYFUNCTION("""COMPUTED_VALUE"""),"https://drive.google.com/drive/folders/10T2cTQHqEJZqE-st6uFKPoI?usp=share_link")</f>
        <v>https://drive.google.com/drive/folders/10T2cTQHqEJZqE-st6uFKPoI?usp=share_link</v>
      </c>
      <c r="P4406" s="6" t="str">
        <f>IFERROR(__xludf.DUMMYFUNCTION("""COMPUTED_VALUE"""),"Yolanda Jenkins")</f>
        <v>Yolanda Jenkins</v>
      </c>
      <c r="Q4406" s="6" t="str">
        <f>IFERROR(__xludf.DUMMYFUNCTION("""COMPUTED_VALUE"""),"L1")</f>
        <v>L1</v>
      </c>
      <c r="R4406" s="6">
        <f>IFERROR(__xludf.DUMMYFUNCTION("""COMPUTED_VALUE"""),1.0)</f>
        <v>1</v>
      </c>
      <c r="S4406" s="6" t="str">
        <f>IFERROR(__xludf.DUMMYFUNCTION("""COMPUTED_VALUE""")," ")</f>
        <v> </v>
      </c>
      <c r="T4406" s="6" t="str">
        <f>IFERROR(__xludf.DUMMYFUNCTION("""COMPUTED_VALUE"""),"")</f>
        <v/>
      </c>
      <c r="U4406" s="6" t="str">
        <f>IFERROR(__xludf.DUMMYFUNCTION("""COMPUTED_VALUE"""),"3")</f>
        <v>3</v>
      </c>
      <c r="V4406" s="6" t="str">
        <f>IFERROR(__xludf.DUMMYFUNCTION("""COMPUTED_VALUE"""),"")</f>
        <v/>
      </c>
      <c r="W4406" s="6" t="str">
        <f>IFERROR(__xludf.DUMMYFUNCTION("""COMPUTED_VALUE"""),"[]")</f>
        <v>[]</v>
      </c>
      <c r="X4406" s="6" t="str">
        <f>IFERROR(__xludf.DUMMYFUNCTION("""COMPUTED_VALUE"""),"Enrolled")</f>
        <v>Enrolled</v>
      </c>
    </row>
    <row r="4407">
      <c r="A4407" s="6" t="str">
        <f>IFERROR(__xludf.DUMMYFUNCTION("""COMPUTED_VALUE"""),"083-11694")</f>
        <v>083-11694</v>
      </c>
      <c r="B4407" s="6" t="str">
        <f>IFERROR(__xludf.DUMMYFUNCTION("""COMPUTED_VALUE"""),"83")</f>
        <v>83</v>
      </c>
      <c r="C4407" s="6" t="str">
        <f>IFERROR(__xludf.DUMMYFUNCTION("""COMPUTED_VALUE"""),"11694")</f>
        <v>11694</v>
      </c>
      <c r="D4407" s="6" t="str">
        <f>IFERROR(__xludf.DUMMYFUNCTION("""COMPUTED_VALUE"""),"Liah")</f>
        <v>Liah</v>
      </c>
      <c r="E4407" s="6" t="str">
        <f>IFERROR(__xludf.DUMMYFUNCTION("""COMPUTED_VALUE"""),"")</f>
        <v/>
      </c>
      <c r="F4407" s="6" t="str">
        <f>IFERROR(__xludf.DUMMYFUNCTION("""COMPUTED_VALUE"""),"Marcelo Barragan")</f>
        <v>Marcelo Barragan</v>
      </c>
      <c r="G4407" s="6" t="str">
        <f>IFERROR(__xludf.DUMMYFUNCTION("""COMPUTED_VALUE"""),"09/30/2016")</f>
        <v>09/30/2016</v>
      </c>
      <c r="H4407" s="6" t="str">
        <f>IFERROR(__xludf.DUMMYFUNCTION("""COMPUTED_VALUE"""),"female")</f>
        <v>female</v>
      </c>
      <c r="I4407" s="6" t="str">
        <f>IFERROR(__xludf.DUMMYFUNCTION("""COMPUTED_VALUE"""),"Level 1")</f>
        <v>Level 1</v>
      </c>
      <c r="J4407" s="6" t="str">
        <f>IFERROR(__xludf.DUMMYFUNCTION("""COMPUTED_VALUE"""),"3")</f>
        <v>3</v>
      </c>
      <c r="K4407" s="6" t="str">
        <f>IFERROR(__xludf.DUMMYFUNCTION("""COMPUTED_VALUE"""),"liah.marcelobarragan@2hourlearning.com")</f>
        <v>liah.marcelobarragan@2hourlearning.com</v>
      </c>
      <c r="L4407" s="6" t="str">
        <f>IFERROR(__xludf.DUMMYFUNCTION("""COMPUTED_VALUE"""),"JHES - Hardeeville Elementary School")</f>
        <v>JHES - Hardeeville Elementary School</v>
      </c>
      <c r="M4407" s="6" t="str">
        <f>IFERROR(__xludf.DUMMYFUNCTION("""COMPUTED_VALUE"""),"")</f>
        <v/>
      </c>
      <c r="N4407" s="6" t="str">
        <f>IFERROR(__xludf.DUMMYFUNCTION("""COMPUTED_VALUE"""),"")</f>
        <v/>
      </c>
      <c r="O4407" s="87" t="str">
        <f>IFERROR(__xludf.DUMMYFUNCTION("""COMPUTED_VALUE"""),"https://drive.google.com/drive/folders/10T2cTQHqEJZqE-st6uFKPoI?usp=share_link")</f>
        <v>https://drive.google.com/drive/folders/10T2cTQHqEJZqE-st6uFKPoI?usp=share_link</v>
      </c>
      <c r="P4407" s="6" t="str">
        <f>IFERROR(__xludf.DUMMYFUNCTION("""COMPUTED_VALUE"""),"Liah Marcelo Barragan")</f>
        <v>Liah Marcelo Barragan</v>
      </c>
      <c r="Q4407" s="6" t="str">
        <f>IFERROR(__xludf.DUMMYFUNCTION("""COMPUTED_VALUE"""),"L1")</f>
        <v>L1</v>
      </c>
      <c r="R4407" s="6">
        <f>IFERROR(__xludf.DUMMYFUNCTION("""COMPUTED_VALUE"""),1.0)</f>
        <v>1</v>
      </c>
      <c r="S4407" s="6" t="str">
        <f>IFERROR(__xludf.DUMMYFUNCTION("""COMPUTED_VALUE""")," ")</f>
        <v> </v>
      </c>
      <c r="T4407" s="6" t="str">
        <f>IFERROR(__xludf.DUMMYFUNCTION("""COMPUTED_VALUE"""),"")</f>
        <v/>
      </c>
      <c r="U4407" s="6" t="str">
        <f>IFERROR(__xludf.DUMMYFUNCTION("""COMPUTED_VALUE"""),"3")</f>
        <v>3</v>
      </c>
      <c r="V4407" s="6" t="str">
        <f>IFERROR(__xludf.DUMMYFUNCTION("""COMPUTED_VALUE"""),"")</f>
        <v/>
      </c>
      <c r="W4407" s="6" t="str">
        <f>IFERROR(__xludf.DUMMYFUNCTION("""COMPUTED_VALUE"""),"[]")</f>
        <v>[]</v>
      </c>
      <c r="X4407" s="6" t="str">
        <f>IFERROR(__xludf.DUMMYFUNCTION("""COMPUTED_VALUE"""),"Enrolled")</f>
        <v>Enrolled</v>
      </c>
    </row>
    <row r="4408">
      <c r="A4408" s="6" t="str">
        <f>IFERROR(__xludf.DUMMYFUNCTION("""COMPUTED_VALUE"""),"083-11695")</f>
        <v>083-11695</v>
      </c>
      <c r="B4408" s="6" t="str">
        <f>IFERROR(__xludf.DUMMYFUNCTION("""COMPUTED_VALUE"""),"83")</f>
        <v>83</v>
      </c>
      <c r="C4408" s="6" t="str">
        <f>IFERROR(__xludf.DUMMYFUNCTION("""COMPUTED_VALUE"""),"11695")</f>
        <v>11695</v>
      </c>
      <c r="D4408" s="6" t="str">
        <f>IFERROR(__xludf.DUMMYFUNCTION("""COMPUTED_VALUE"""),"Cristian")</f>
        <v>Cristian</v>
      </c>
      <c r="E4408" s="6" t="str">
        <f>IFERROR(__xludf.DUMMYFUNCTION("""COMPUTED_VALUE"""),"")</f>
        <v/>
      </c>
      <c r="F4408" s="6" t="str">
        <f>IFERROR(__xludf.DUMMYFUNCTION("""COMPUTED_VALUE"""),"Martinez Palma")</f>
        <v>Martinez Palma</v>
      </c>
      <c r="G4408" s="6" t="str">
        <f>IFERROR(__xludf.DUMMYFUNCTION("""COMPUTED_VALUE"""),"12/09/2016")</f>
        <v>12/09/2016</v>
      </c>
      <c r="H4408" s="6" t="str">
        <f>IFERROR(__xludf.DUMMYFUNCTION("""COMPUTED_VALUE"""),"male")</f>
        <v>male</v>
      </c>
      <c r="I4408" s="6" t="str">
        <f>IFERROR(__xludf.DUMMYFUNCTION("""COMPUTED_VALUE"""),"Level 1")</f>
        <v>Level 1</v>
      </c>
      <c r="J4408" s="6" t="str">
        <f>IFERROR(__xludf.DUMMYFUNCTION("""COMPUTED_VALUE"""),"3")</f>
        <v>3</v>
      </c>
      <c r="K4408" s="6" t="str">
        <f>IFERROR(__xludf.DUMMYFUNCTION("""COMPUTED_VALUE"""),"cristian.martinezpalma@2hourlearning.com")</f>
        <v>cristian.martinezpalma@2hourlearning.com</v>
      </c>
      <c r="L4408" s="6" t="str">
        <f>IFERROR(__xludf.DUMMYFUNCTION("""COMPUTED_VALUE"""),"JHES - Hardeeville Elementary School")</f>
        <v>JHES - Hardeeville Elementary School</v>
      </c>
      <c r="M4408" s="6" t="str">
        <f>IFERROR(__xludf.DUMMYFUNCTION("""COMPUTED_VALUE"""),"")</f>
        <v/>
      </c>
      <c r="N4408" s="6" t="str">
        <f>IFERROR(__xludf.DUMMYFUNCTION("""COMPUTED_VALUE"""),"")</f>
        <v/>
      </c>
      <c r="O4408" s="87" t="str">
        <f>IFERROR(__xludf.DUMMYFUNCTION("""COMPUTED_VALUE"""),"https://drive.google.com/drive/folders/10T2cTQHqEJZqE-st6uFKPoI?usp=share_link")</f>
        <v>https://drive.google.com/drive/folders/10T2cTQHqEJZqE-st6uFKPoI?usp=share_link</v>
      </c>
      <c r="P4408" s="6" t="str">
        <f>IFERROR(__xludf.DUMMYFUNCTION("""COMPUTED_VALUE"""),"Cristian Martinez Palma")</f>
        <v>Cristian Martinez Palma</v>
      </c>
      <c r="Q4408" s="6" t="str">
        <f>IFERROR(__xludf.DUMMYFUNCTION("""COMPUTED_VALUE"""),"L1")</f>
        <v>L1</v>
      </c>
      <c r="R4408" s="6">
        <f>IFERROR(__xludf.DUMMYFUNCTION("""COMPUTED_VALUE"""),1.0)</f>
        <v>1</v>
      </c>
      <c r="S4408" s="6" t="str">
        <f>IFERROR(__xludf.DUMMYFUNCTION("""COMPUTED_VALUE""")," ")</f>
        <v> </v>
      </c>
      <c r="T4408" s="6" t="str">
        <f>IFERROR(__xludf.DUMMYFUNCTION("""COMPUTED_VALUE"""),"")</f>
        <v/>
      </c>
      <c r="U4408" s="6" t="str">
        <f>IFERROR(__xludf.DUMMYFUNCTION("""COMPUTED_VALUE"""),"3")</f>
        <v>3</v>
      </c>
      <c r="V4408" s="6" t="str">
        <f>IFERROR(__xludf.DUMMYFUNCTION("""COMPUTED_VALUE"""),"")</f>
        <v/>
      </c>
      <c r="W4408" s="6" t="str">
        <f>IFERROR(__xludf.DUMMYFUNCTION("""COMPUTED_VALUE"""),"[]")</f>
        <v>[]</v>
      </c>
      <c r="X4408" s="6" t="str">
        <f>IFERROR(__xludf.DUMMYFUNCTION("""COMPUTED_VALUE"""),"Enrolled")</f>
        <v>Enrolled</v>
      </c>
    </row>
    <row r="4409">
      <c r="A4409" s="6" t="str">
        <f>IFERROR(__xludf.DUMMYFUNCTION("""COMPUTED_VALUE"""),"083-11696")</f>
        <v>083-11696</v>
      </c>
      <c r="B4409" s="6" t="str">
        <f>IFERROR(__xludf.DUMMYFUNCTION("""COMPUTED_VALUE"""),"83")</f>
        <v>83</v>
      </c>
      <c r="C4409" s="6" t="str">
        <f>IFERROR(__xludf.DUMMYFUNCTION("""COMPUTED_VALUE"""),"11696")</f>
        <v>11696</v>
      </c>
      <c r="D4409" s="6" t="str">
        <f>IFERROR(__xludf.DUMMYFUNCTION("""COMPUTED_VALUE"""),"Dilan")</f>
        <v>Dilan</v>
      </c>
      <c r="E4409" s="6" t="str">
        <f>IFERROR(__xludf.DUMMYFUNCTION("""COMPUTED_VALUE"""),"")</f>
        <v/>
      </c>
      <c r="F4409" s="6" t="str">
        <f>IFERROR(__xludf.DUMMYFUNCTION("""COMPUTED_VALUE"""),"Matamoros Izaguirre")</f>
        <v>Matamoros Izaguirre</v>
      </c>
      <c r="G4409" s="6" t="str">
        <f>IFERROR(__xludf.DUMMYFUNCTION("""COMPUTED_VALUE"""),"12/07/2016")</f>
        <v>12/07/2016</v>
      </c>
      <c r="H4409" s="6" t="str">
        <f>IFERROR(__xludf.DUMMYFUNCTION("""COMPUTED_VALUE"""),"male")</f>
        <v>male</v>
      </c>
      <c r="I4409" s="6" t="str">
        <f>IFERROR(__xludf.DUMMYFUNCTION("""COMPUTED_VALUE"""),"Level 1")</f>
        <v>Level 1</v>
      </c>
      <c r="J4409" s="6" t="str">
        <f>IFERROR(__xludf.DUMMYFUNCTION("""COMPUTED_VALUE"""),"3")</f>
        <v>3</v>
      </c>
      <c r="K4409" s="6" t="str">
        <f>IFERROR(__xludf.DUMMYFUNCTION("""COMPUTED_VALUE"""),"dilan.matamorosizaguirre@2hourlearning.com")</f>
        <v>dilan.matamorosizaguirre@2hourlearning.com</v>
      </c>
      <c r="L4409" s="6" t="str">
        <f>IFERROR(__xludf.DUMMYFUNCTION("""COMPUTED_VALUE"""),"JHES - Hardeeville Elementary School")</f>
        <v>JHES - Hardeeville Elementary School</v>
      </c>
      <c r="M4409" s="6" t="str">
        <f>IFERROR(__xludf.DUMMYFUNCTION("""COMPUTED_VALUE"""),"")</f>
        <v/>
      </c>
      <c r="N4409" s="6" t="str">
        <f>IFERROR(__xludf.DUMMYFUNCTION("""COMPUTED_VALUE"""),"")</f>
        <v/>
      </c>
      <c r="O4409" s="87" t="str">
        <f>IFERROR(__xludf.DUMMYFUNCTION("""COMPUTED_VALUE"""),"https://drive.google.com/drive/folders/10T2cTQHqEJZqE-st6uFKPoI?usp=share_link")</f>
        <v>https://drive.google.com/drive/folders/10T2cTQHqEJZqE-st6uFKPoI?usp=share_link</v>
      </c>
      <c r="P4409" s="6" t="str">
        <f>IFERROR(__xludf.DUMMYFUNCTION("""COMPUTED_VALUE"""),"Dilan Matamoros Izaguirre")</f>
        <v>Dilan Matamoros Izaguirre</v>
      </c>
      <c r="Q4409" s="6" t="str">
        <f>IFERROR(__xludf.DUMMYFUNCTION("""COMPUTED_VALUE"""),"L1")</f>
        <v>L1</v>
      </c>
      <c r="R4409" s="6">
        <f>IFERROR(__xludf.DUMMYFUNCTION("""COMPUTED_VALUE"""),1.0)</f>
        <v>1</v>
      </c>
      <c r="S4409" s="6" t="str">
        <f>IFERROR(__xludf.DUMMYFUNCTION("""COMPUTED_VALUE""")," ")</f>
        <v> </v>
      </c>
      <c r="T4409" s="6" t="str">
        <f>IFERROR(__xludf.DUMMYFUNCTION("""COMPUTED_VALUE"""),"")</f>
        <v/>
      </c>
      <c r="U4409" s="6" t="str">
        <f>IFERROR(__xludf.DUMMYFUNCTION("""COMPUTED_VALUE"""),"3")</f>
        <v>3</v>
      </c>
      <c r="V4409" s="6" t="str">
        <f>IFERROR(__xludf.DUMMYFUNCTION("""COMPUTED_VALUE"""),"")</f>
        <v/>
      </c>
      <c r="W4409" s="6" t="str">
        <f>IFERROR(__xludf.DUMMYFUNCTION("""COMPUTED_VALUE"""),"[]")</f>
        <v>[]</v>
      </c>
      <c r="X4409" s="6" t="str">
        <f>IFERROR(__xludf.DUMMYFUNCTION("""COMPUTED_VALUE"""),"Enrolled")</f>
        <v>Enrolled</v>
      </c>
    </row>
    <row r="4410">
      <c r="A4410" s="6" t="str">
        <f>IFERROR(__xludf.DUMMYFUNCTION("""COMPUTED_VALUE"""),"083-11697")</f>
        <v>083-11697</v>
      </c>
      <c r="B4410" s="6" t="str">
        <f>IFERROR(__xludf.DUMMYFUNCTION("""COMPUTED_VALUE"""),"83")</f>
        <v>83</v>
      </c>
      <c r="C4410" s="6" t="str">
        <f>IFERROR(__xludf.DUMMYFUNCTION("""COMPUTED_VALUE"""),"11697")</f>
        <v>11697</v>
      </c>
      <c r="D4410" s="6" t="str">
        <f>IFERROR(__xludf.DUMMYFUNCTION("""COMPUTED_VALUE"""),"Jhared")</f>
        <v>Jhared</v>
      </c>
      <c r="E4410" s="6" t="str">
        <f>IFERROR(__xludf.DUMMYFUNCTION("""COMPUTED_VALUE"""),"")</f>
        <v/>
      </c>
      <c r="F4410" s="6" t="str">
        <f>IFERROR(__xludf.DUMMYFUNCTION("""COMPUTED_VALUE"""),"Pomasqui Hurtado")</f>
        <v>Pomasqui Hurtado</v>
      </c>
      <c r="G4410" s="6" t="str">
        <f>IFERROR(__xludf.DUMMYFUNCTION("""COMPUTED_VALUE"""),"12/30/2016")</f>
        <v>12/30/2016</v>
      </c>
      <c r="H4410" s="6" t="str">
        <f>IFERROR(__xludf.DUMMYFUNCTION("""COMPUTED_VALUE"""),"male")</f>
        <v>male</v>
      </c>
      <c r="I4410" s="6" t="str">
        <f>IFERROR(__xludf.DUMMYFUNCTION("""COMPUTED_VALUE"""),"Level 1")</f>
        <v>Level 1</v>
      </c>
      <c r="J4410" s="6" t="str">
        <f>IFERROR(__xludf.DUMMYFUNCTION("""COMPUTED_VALUE"""),"3")</f>
        <v>3</v>
      </c>
      <c r="K4410" s="6" t="str">
        <f>IFERROR(__xludf.DUMMYFUNCTION("""COMPUTED_VALUE"""),"jhared.pomasquihurtado@2hourlearning.com")</f>
        <v>jhared.pomasquihurtado@2hourlearning.com</v>
      </c>
      <c r="L4410" s="6" t="str">
        <f>IFERROR(__xludf.DUMMYFUNCTION("""COMPUTED_VALUE"""),"JHES - Hardeeville Elementary School")</f>
        <v>JHES - Hardeeville Elementary School</v>
      </c>
      <c r="M4410" s="6" t="str">
        <f>IFERROR(__xludf.DUMMYFUNCTION("""COMPUTED_VALUE"""),"")</f>
        <v/>
      </c>
      <c r="N4410" s="6" t="str">
        <f>IFERROR(__xludf.DUMMYFUNCTION("""COMPUTED_VALUE"""),"")</f>
        <v/>
      </c>
      <c r="O4410" s="87" t="str">
        <f>IFERROR(__xludf.DUMMYFUNCTION("""COMPUTED_VALUE"""),"https://drive.google.com/drive/folders/10T2cTQHqEJZqE-st6uFKPoI?usp=share_link")</f>
        <v>https://drive.google.com/drive/folders/10T2cTQHqEJZqE-st6uFKPoI?usp=share_link</v>
      </c>
      <c r="P4410" s="6" t="str">
        <f>IFERROR(__xludf.DUMMYFUNCTION("""COMPUTED_VALUE"""),"Jhared Pomasqui Hurtado")</f>
        <v>Jhared Pomasqui Hurtado</v>
      </c>
      <c r="Q4410" s="6" t="str">
        <f>IFERROR(__xludf.DUMMYFUNCTION("""COMPUTED_VALUE"""),"L1")</f>
        <v>L1</v>
      </c>
      <c r="R4410" s="6">
        <f>IFERROR(__xludf.DUMMYFUNCTION("""COMPUTED_VALUE"""),1.0)</f>
        <v>1</v>
      </c>
      <c r="S4410" s="6" t="str">
        <f>IFERROR(__xludf.DUMMYFUNCTION("""COMPUTED_VALUE""")," ")</f>
        <v> </v>
      </c>
      <c r="T4410" s="6" t="str">
        <f>IFERROR(__xludf.DUMMYFUNCTION("""COMPUTED_VALUE"""),"")</f>
        <v/>
      </c>
      <c r="U4410" s="6" t="str">
        <f>IFERROR(__xludf.DUMMYFUNCTION("""COMPUTED_VALUE"""),"3")</f>
        <v>3</v>
      </c>
      <c r="V4410" s="6" t="str">
        <f>IFERROR(__xludf.DUMMYFUNCTION("""COMPUTED_VALUE"""),"")</f>
        <v/>
      </c>
      <c r="W4410" s="6" t="str">
        <f>IFERROR(__xludf.DUMMYFUNCTION("""COMPUTED_VALUE"""),"[]")</f>
        <v>[]</v>
      </c>
      <c r="X4410" s="6" t="str">
        <f>IFERROR(__xludf.DUMMYFUNCTION("""COMPUTED_VALUE"""),"Enrolled")</f>
        <v>Enrolled</v>
      </c>
    </row>
    <row r="4411">
      <c r="A4411" s="6" t="str">
        <f>IFERROR(__xludf.DUMMYFUNCTION("""COMPUTED_VALUE"""),"083-11698")</f>
        <v>083-11698</v>
      </c>
      <c r="B4411" s="6" t="str">
        <f>IFERROR(__xludf.DUMMYFUNCTION("""COMPUTED_VALUE"""),"83")</f>
        <v>83</v>
      </c>
      <c r="C4411" s="6" t="str">
        <f>IFERROR(__xludf.DUMMYFUNCTION("""COMPUTED_VALUE"""),"11698")</f>
        <v>11698</v>
      </c>
      <c r="D4411" s="6" t="str">
        <f>IFERROR(__xludf.DUMMYFUNCTION("""COMPUTED_VALUE"""),"Emanuel")</f>
        <v>Emanuel</v>
      </c>
      <c r="E4411" s="6" t="str">
        <f>IFERROR(__xludf.DUMMYFUNCTION("""COMPUTED_VALUE"""),"")</f>
        <v/>
      </c>
      <c r="F4411" s="6" t="str">
        <f>IFERROR(__xludf.DUMMYFUNCTION("""COMPUTED_VALUE"""),"Roberson")</f>
        <v>Roberson</v>
      </c>
      <c r="G4411" s="6" t="str">
        <f>IFERROR(__xludf.DUMMYFUNCTION("""COMPUTED_VALUE"""),"10/19/2016")</f>
        <v>10/19/2016</v>
      </c>
      <c r="H4411" s="6" t="str">
        <f>IFERROR(__xludf.DUMMYFUNCTION("""COMPUTED_VALUE"""),"male")</f>
        <v>male</v>
      </c>
      <c r="I4411" s="6" t="str">
        <f>IFERROR(__xludf.DUMMYFUNCTION("""COMPUTED_VALUE"""),"Level 1")</f>
        <v>Level 1</v>
      </c>
      <c r="J4411" s="6" t="str">
        <f>IFERROR(__xludf.DUMMYFUNCTION("""COMPUTED_VALUE"""),"3")</f>
        <v>3</v>
      </c>
      <c r="K4411" s="6" t="str">
        <f>IFERROR(__xludf.DUMMYFUNCTION("""COMPUTED_VALUE"""),"emanuel.roberson@2hourlearning.com")</f>
        <v>emanuel.roberson@2hourlearning.com</v>
      </c>
      <c r="L4411" s="6" t="str">
        <f>IFERROR(__xludf.DUMMYFUNCTION("""COMPUTED_VALUE"""),"JHES - Hardeeville Elementary School")</f>
        <v>JHES - Hardeeville Elementary School</v>
      </c>
      <c r="M4411" s="6" t="str">
        <f>IFERROR(__xludf.DUMMYFUNCTION("""COMPUTED_VALUE"""),"")</f>
        <v/>
      </c>
      <c r="N4411" s="6" t="str">
        <f>IFERROR(__xludf.DUMMYFUNCTION("""COMPUTED_VALUE"""),"")</f>
        <v/>
      </c>
      <c r="O4411" s="87" t="str">
        <f>IFERROR(__xludf.DUMMYFUNCTION("""COMPUTED_VALUE"""),"https://drive.google.com/drive/folders/10T2cTQHqEJZqE-st6uFKPoI?usp=share_link")</f>
        <v>https://drive.google.com/drive/folders/10T2cTQHqEJZqE-st6uFKPoI?usp=share_link</v>
      </c>
      <c r="P4411" s="6" t="str">
        <f>IFERROR(__xludf.DUMMYFUNCTION("""COMPUTED_VALUE"""),"Emanuel Roberson")</f>
        <v>Emanuel Roberson</v>
      </c>
      <c r="Q4411" s="6" t="str">
        <f>IFERROR(__xludf.DUMMYFUNCTION("""COMPUTED_VALUE"""),"L1")</f>
        <v>L1</v>
      </c>
      <c r="R4411" s="6">
        <f>IFERROR(__xludf.DUMMYFUNCTION("""COMPUTED_VALUE"""),1.0)</f>
        <v>1</v>
      </c>
      <c r="S4411" s="6" t="str">
        <f>IFERROR(__xludf.DUMMYFUNCTION("""COMPUTED_VALUE""")," ")</f>
        <v> </v>
      </c>
      <c r="T4411" s="6" t="str">
        <f>IFERROR(__xludf.DUMMYFUNCTION("""COMPUTED_VALUE"""),"")</f>
        <v/>
      </c>
      <c r="U4411" s="6" t="str">
        <f>IFERROR(__xludf.DUMMYFUNCTION("""COMPUTED_VALUE"""),"3")</f>
        <v>3</v>
      </c>
      <c r="V4411" s="6" t="str">
        <f>IFERROR(__xludf.DUMMYFUNCTION("""COMPUTED_VALUE"""),"")</f>
        <v/>
      </c>
      <c r="W4411" s="6" t="str">
        <f>IFERROR(__xludf.DUMMYFUNCTION("""COMPUTED_VALUE"""),"[]")</f>
        <v>[]</v>
      </c>
      <c r="X4411" s="6" t="str">
        <f>IFERROR(__xludf.DUMMYFUNCTION("""COMPUTED_VALUE"""),"Enrolled")</f>
        <v>Enrolled</v>
      </c>
    </row>
    <row r="4412">
      <c r="A4412" s="6" t="str">
        <f>IFERROR(__xludf.DUMMYFUNCTION("""COMPUTED_VALUE"""),"083-11699")</f>
        <v>083-11699</v>
      </c>
      <c r="B4412" s="6" t="str">
        <f>IFERROR(__xludf.DUMMYFUNCTION("""COMPUTED_VALUE"""),"83")</f>
        <v>83</v>
      </c>
      <c r="C4412" s="6" t="str">
        <f>IFERROR(__xludf.DUMMYFUNCTION("""COMPUTED_VALUE"""),"11699")</f>
        <v>11699</v>
      </c>
      <c r="D4412" s="6" t="str">
        <f>IFERROR(__xludf.DUMMYFUNCTION("""COMPUTED_VALUE"""),"Alan")</f>
        <v>Alan</v>
      </c>
      <c r="E4412" s="6" t="str">
        <f>IFERROR(__xludf.DUMMYFUNCTION("""COMPUTED_VALUE"""),"")</f>
        <v/>
      </c>
      <c r="F4412" s="6" t="str">
        <f>IFERROR(__xludf.DUMMYFUNCTION("""COMPUTED_VALUE"""),"Romero-Najera")</f>
        <v>Romero-Najera</v>
      </c>
      <c r="G4412" s="6" t="str">
        <f>IFERROR(__xludf.DUMMYFUNCTION("""COMPUTED_VALUE"""),"02/23/2017")</f>
        <v>02/23/2017</v>
      </c>
      <c r="H4412" s="6" t="str">
        <f>IFERROR(__xludf.DUMMYFUNCTION("""COMPUTED_VALUE"""),"male")</f>
        <v>male</v>
      </c>
      <c r="I4412" s="6" t="str">
        <f>IFERROR(__xludf.DUMMYFUNCTION("""COMPUTED_VALUE"""),"Level 1")</f>
        <v>Level 1</v>
      </c>
      <c r="J4412" s="6" t="str">
        <f>IFERROR(__xludf.DUMMYFUNCTION("""COMPUTED_VALUE"""),"3")</f>
        <v>3</v>
      </c>
      <c r="K4412" s="6" t="str">
        <f>IFERROR(__xludf.DUMMYFUNCTION("""COMPUTED_VALUE"""),"alan.romeronajera@2hourlearning.com")</f>
        <v>alan.romeronajera@2hourlearning.com</v>
      </c>
      <c r="L4412" s="6" t="str">
        <f>IFERROR(__xludf.DUMMYFUNCTION("""COMPUTED_VALUE"""),"JHES - Hardeeville Elementary School")</f>
        <v>JHES - Hardeeville Elementary School</v>
      </c>
      <c r="M4412" s="6" t="str">
        <f>IFERROR(__xludf.DUMMYFUNCTION("""COMPUTED_VALUE"""),"")</f>
        <v/>
      </c>
      <c r="N4412" s="6" t="str">
        <f>IFERROR(__xludf.DUMMYFUNCTION("""COMPUTED_VALUE"""),"")</f>
        <v/>
      </c>
      <c r="O4412" s="87" t="str">
        <f>IFERROR(__xludf.DUMMYFUNCTION("""COMPUTED_VALUE"""),"https://drive.google.com/drive/folders/10T2cTQHqEJZqE-st6uFKPoI?usp=share_link")</f>
        <v>https://drive.google.com/drive/folders/10T2cTQHqEJZqE-st6uFKPoI?usp=share_link</v>
      </c>
      <c r="P4412" s="6" t="str">
        <f>IFERROR(__xludf.DUMMYFUNCTION("""COMPUTED_VALUE"""),"Alan Romero-Najera")</f>
        <v>Alan Romero-Najera</v>
      </c>
      <c r="Q4412" s="6" t="str">
        <f>IFERROR(__xludf.DUMMYFUNCTION("""COMPUTED_VALUE"""),"L1")</f>
        <v>L1</v>
      </c>
      <c r="R4412" s="6">
        <f>IFERROR(__xludf.DUMMYFUNCTION("""COMPUTED_VALUE"""),1.0)</f>
        <v>1</v>
      </c>
      <c r="S4412" s="6" t="str">
        <f>IFERROR(__xludf.DUMMYFUNCTION("""COMPUTED_VALUE""")," ")</f>
        <v> </v>
      </c>
      <c r="T4412" s="6" t="str">
        <f>IFERROR(__xludf.DUMMYFUNCTION("""COMPUTED_VALUE"""),"")</f>
        <v/>
      </c>
      <c r="U4412" s="6" t="str">
        <f>IFERROR(__xludf.DUMMYFUNCTION("""COMPUTED_VALUE"""),"3")</f>
        <v>3</v>
      </c>
      <c r="V4412" s="6" t="str">
        <f>IFERROR(__xludf.DUMMYFUNCTION("""COMPUTED_VALUE"""),"")</f>
        <v/>
      </c>
      <c r="W4412" s="6" t="str">
        <f>IFERROR(__xludf.DUMMYFUNCTION("""COMPUTED_VALUE"""),"[]")</f>
        <v>[]</v>
      </c>
      <c r="X4412" s="6" t="str">
        <f>IFERROR(__xludf.DUMMYFUNCTION("""COMPUTED_VALUE"""),"Enrolled")</f>
        <v>Enrolled</v>
      </c>
    </row>
    <row r="4413">
      <c r="A4413" s="6" t="str">
        <f>IFERROR(__xludf.DUMMYFUNCTION("""COMPUTED_VALUE"""),"083-11700")</f>
        <v>083-11700</v>
      </c>
      <c r="B4413" s="6" t="str">
        <f>IFERROR(__xludf.DUMMYFUNCTION("""COMPUTED_VALUE"""),"83")</f>
        <v>83</v>
      </c>
      <c r="C4413" s="6" t="str">
        <f>IFERROR(__xludf.DUMMYFUNCTION("""COMPUTED_VALUE"""),"11700")</f>
        <v>11700</v>
      </c>
      <c r="D4413" s="6" t="str">
        <f>IFERROR(__xludf.DUMMYFUNCTION("""COMPUTED_VALUE"""),"Cristel A")</f>
        <v>Cristel A</v>
      </c>
      <c r="E4413" s="6" t="str">
        <f>IFERROR(__xludf.DUMMYFUNCTION("""COMPUTED_VALUE"""),"")</f>
        <v/>
      </c>
      <c r="F4413" s="6" t="str">
        <f>IFERROR(__xludf.DUMMYFUNCTION("""COMPUTED_VALUE"""),"Tobar Ramos")</f>
        <v>Tobar Ramos</v>
      </c>
      <c r="G4413" s="6" t="str">
        <f>IFERROR(__xludf.DUMMYFUNCTION("""COMPUTED_VALUE"""),"07/04/2016")</f>
        <v>07/04/2016</v>
      </c>
      <c r="H4413" s="6" t="str">
        <f>IFERROR(__xludf.DUMMYFUNCTION("""COMPUTED_VALUE"""),"female")</f>
        <v>female</v>
      </c>
      <c r="I4413" s="6" t="str">
        <f>IFERROR(__xludf.DUMMYFUNCTION("""COMPUTED_VALUE"""),"Level 1")</f>
        <v>Level 1</v>
      </c>
      <c r="J4413" s="6" t="str">
        <f>IFERROR(__xludf.DUMMYFUNCTION("""COMPUTED_VALUE"""),"3")</f>
        <v>3</v>
      </c>
      <c r="K4413" s="6" t="str">
        <f>IFERROR(__xludf.DUMMYFUNCTION("""COMPUTED_VALUE"""),"cristela.tobarramos@2hourlearning.com")</f>
        <v>cristela.tobarramos@2hourlearning.com</v>
      </c>
      <c r="L4413" s="6" t="str">
        <f>IFERROR(__xludf.DUMMYFUNCTION("""COMPUTED_VALUE"""),"JHES - Hardeeville Elementary School")</f>
        <v>JHES - Hardeeville Elementary School</v>
      </c>
      <c r="M4413" s="6" t="str">
        <f>IFERROR(__xludf.DUMMYFUNCTION("""COMPUTED_VALUE"""),"")</f>
        <v/>
      </c>
      <c r="N4413" s="6" t="str">
        <f>IFERROR(__xludf.DUMMYFUNCTION("""COMPUTED_VALUE"""),"")</f>
        <v/>
      </c>
      <c r="O4413" s="87" t="str">
        <f>IFERROR(__xludf.DUMMYFUNCTION("""COMPUTED_VALUE"""),"https://drive.google.com/drive/folders/10T2cTQHqEJZqE-st6uFKPoI?usp=share_link")</f>
        <v>https://drive.google.com/drive/folders/10T2cTQHqEJZqE-st6uFKPoI?usp=share_link</v>
      </c>
      <c r="P4413" s="6" t="str">
        <f>IFERROR(__xludf.DUMMYFUNCTION("""COMPUTED_VALUE"""),"Cristel A Tobar Ramos")</f>
        <v>Cristel A Tobar Ramos</v>
      </c>
      <c r="Q4413" s="6" t="str">
        <f>IFERROR(__xludf.DUMMYFUNCTION("""COMPUTED_VALUE"""),"L1")</f>
        <v>L1</v>
      </c>
      <c r="R4413" s="6">
        <f>IFERROR(__xludf.DUMMYFUNCTION("""COMPUTED_VALUE"""),1.0)</f>
        <v>1</v>
      </c>
      <c r="S4413" s="6" t="str">
        <f>IFERROR(__xludf.DUMMYFUNCTION("""COMPUTED_VALUE""")," ")</f>
        <v> </v>
      </c>
      <c r="T4413" s="6" t="str">
        <f>IFERROR(__xludf.DUMMYFUNCTION("""COMPUTED_VALUE"""),"")</f>
        <v/>
      </c>
      <c r="U4413" s="6" t="str">
        <f>IFERROR(__xludf.DUMMYFUNCTION("""COMPUTED_VALUE"""),"3")</f>
        <v>3</v>
      </c>
      <c r="V4413" s="6" t="str">
        <f>IFERROR(__xludf.DUMMYFUNCTION("""COMPUTED_VALUE"""),"")</f>
        <v/>
      </c>
      <c r="W4413" s="6" t="str">
        <f>IFERROR(__xludf.DUMMYFUNCTION("""COMPUTED_VALUE"""),"[]")</f>
        <v>[]</v>
      </c>
      <c r="X4413" s="6" t="str">
        <f>IFERROR(__xludf.DUMMYFUNCTION("""COMPUTED_VALUE"""),"Enrolled")</f>
        <v>Enrolled</v>
      </c>
    </row>
    <row r="4414">
      <c r="A4414" s="6" t="str">
        <f>IFERROR(__xludf.DUMMYFUNCTION("""COMPUTED_VALUE"""),"083-11701")</f>
        <v>083-11701</v>
      </c>
      <c r="B4414" s="6" t="str">
        <f>IFERROR(__xludf.DUMMYFUNCTION("""COMPUTED_VALUE"""),"83")</f>
        <v>83</v>
      </c>
      <c r="C4414" s="6" t="str">
        <f>IFERROR(__xludf.DUMMYFUNCTION("""COMPUTED_VALUE"""),"11701")</f>
        <v>11701</v>
      </c>
      <c r="D4414" s="6" t="str">
        <f>IFERROR(__xludf.DUMMYFUNCTION("""COMPUTED_VALUE"""),"Francisco Gerardo")</f>
        <v>Francisco Gerardo</v>
      </c>
      <c r="E4414" s="6" t="str">
        <f>IFERROR(__xludf.DUMMYFUNCTION("""COMPUTED_VALUE"""),"")</f>
        <v/>
      </c>
      <c r="F4414" s="6" t="str">
        <f>IFERROR(__xludf.DUMMYFUNCTION("""COMPUTED_VALUE"""),"Vazquez Santiago")</f>
        <v>Vazquez Santiago</v>
      </c>
      <c r="G4414" s="6" t="str">
        <f>IFERROR(__xludf.DUMMYFUNCTION("""COMPUTED_VALUE"""),"11/20/2016")</f>
        <v>11/20/2016</v>
      </c>
      <c r="H4414" s="6" t="str">
        <f>IFERROR(__xludf.DUMMYFUNCTION("""COMPUTED_VALUE"""),"male")</f>
        <v>male</v>
      </c>
      <c r="I4414" s="6" t="str">
        <f>IFERROR(__xludf.DUMMYFUNCTION("""COMPUTED_VALUE"""),"Level 1")</f>
        <v>Level 1</v>
      </c>
      <c r="J4414" s="6" t="str">
        <f>IFERROR(__xludf.DUMMYFUNCTION("""COMPUTED_VALUE"""),"3")</f>
        <v>3</v>
      </c>
      <c r="K4414" s="6" t="str">
        <f>IFERROR(__xludf.DUMMYFUNCTION("""COMPUTED_VALUE"""),"franciscogerardo.vazquezsantiago@2hourlearning.com")</f>
        <v>franciscogerardo.vazquezsantiago@2hourlearning.com</v>
      </c>
      <c r="L4414" s="6" t="str">
        <f>IFERROR(__xludf.DUMMYFUNCTION("""COMPUTED_VALUE"""),"JHES - Hardeeville Elementary School")</f>
        <v>JHES - Hardeeville Elementary School</v>
      </c>
      <c r="M4414" s="6" t="str">
        <f>IFERROR(__xludf.DUMMYFUNCTION("""COMPUTED_VALUE"""),"")</f>
        <v/>
      </c>
      <c r="N4414" s="6" t="str">
        <f>IFERROR(__xludf.DUMMYFUNCTION("""COMPUTED_VALUE"""),"")</f>
        <v/>
      </c>
      <c r="O4414" s="87" t="str">
        <f>IFERROR(__xludf.DUMMYFUNCTION("""COMPUTED_VALUE"""),"https://drive.google.com/drive/folders/10T2cTQHqEJZqE-st6uFKPoI?usp=share_link")</f>
        <v>https://drive.google.com/drive/folders/10T2cTQHqEJZqE-st6uFKPoI?usp=share_link</v>
      </c>
      <c r="P4414" s="6" t="str">
        <f>IFERROR(__xludf.DUMMYFUNCTION("""COMPUTED_VALUE"""),"Francisco Gerardo Vazquez Santiago")</f>
        <v>Francisco Gerardo Vazquez Santiago</v>
      </c>
      <c r="Q4414" s="6" t="str">
        <f>IFERROR(__xludf.DUMMYFUNCTION("""COMPUTED_VALUE"""),"L1")</f>
        <v>L1</v>
      </c>
      <c r="R4414" s="6">
        <f>IFERROR(__xludf.DUMMYFUNCTION("""COMPUTED_VALUE"""),1.0)</f>
        <v>1</v>
      </c>
      <c r="S4414" s="6" t="str">
        <f>IFERROR(__xludf.DUMMYFUNCTION("""COMPUTED_VALUE""")," ")</f>
        <v> </v>
      </c>
      <c r="T4414" s="6" t="str">
        <f>IFERROR(__xludf.DUMMYFUNCTION("""COMPUTED_VALUE"""),"")</f>
        <v/>
      </c>
      <c r="U4414" s="6" t="str">
        <f>IFERROR(__xludf.DUMMYFUNCTION("""COMPUTED_VALUE"""),"3")</f>
        <v>3</v>
      </c>
      <c r="V4414" s="6" t="str">
        <f>IFERROR(__xludf.DUMMYFUNCTION("""COMPUTED_VALUE"""),"")</f>
        <v/>
      </c>
      <c r="W4414" s="6" t="str">
        <f>IFERROR(__xludf.DUMMYFUNCTION("""COMPUTED_VALUE"""),"[]")</f>
        <v>[]</v>
      </c>
      <c r="X4414" s="6" t="str">
        <f>IFERROR(__xludf.DUMMYFUNCTION("""COMPUTED_VALUE"""),"Enrolled")</f>
        <v>Enrolled</v>
      </c>
    </row>
    <row r="4415">
      <c r="A4415" s="6" t="str">
        <f>IFERROR(__xludf.DUMMYFUNCTION("""COMPUTED_VALUE"""),"083-11702")</f>
        <v>083-11702</v>
      </c>
      <c r="B4415" s="6" t="str">
        <f>IFERROR(__xludf.DUMMYFUNCTION("""COMPUTED_VALUE"""),"83")</f>
        <v>83</v>
      </c>
      <c r="C4415" s="6" t="str">
        <f>IFERROR(__xludf.DUMMYFUNCTION("""COMPUTED_VALUE"""),"11702")</f>
        <v>11702</v>
      </c>
      <c r="D4415" s="6" t="str">
        <f>IFERROR(__xludf.DUMMYFUNCTION("""COMPUTED_VALUE"""),"Julinda")</f>
        <v>Julinda</v>
      </c>
      <c r="E4415" s="6" t="str">
        <f>IFERROR(__xludf.DUMMYFUNCTION("""COMPUTED_VALUE"""),"")</f>
        <v/>
      </c>
      <c r="F4415" s="6" t="str">
        <f>IFERROR(__xludf.DUMMYFUNCTION("""COMPUTED_VALUE"""),"Velasquez")</f>
        <v>Velasquez</v>
      </c>
      <c r="G4415" s="6" t="str">
        <f>IFERROR(__xludf.DUMMYFUNCTION("""COMPUTED_VALUE"""),"09/09/2016")</f>
        <v>09/09/2016</v>
      </c>
      <c r="H4415" s="6" t="str">
        <f>IFERROR(__xludf.DUMMYFUNCTION("""COMPUTED_VALUE"""),"female")</f>
        <v>female</v>
      </c>
      <c r="I4415" s="6" t="str">
        <f>IFERROR(__xludf.DUMMYFUNCTION("""COMPUTED_VALUE"""),"Level 1")</f>
        <v>Level 1</v>
      </c>
      <c r="J4415" s="6" t="str">
        <f>IFERROR(__xludf.DUMMYFUNCTION("""COMPUTED_VALUE"""),"3")</f>
        <v>3</v>
      </c>
      <c r="K4415" s="6" t="str">
        <f>IFERROR(__xludf.DUMMYFUNCTION("""COMPUTED_VALUE"""),"julinda.velasquez@2hourlearning.com")</f>
        <v>julinda.velasquez@2hourlearning.com</v>
      </c>
      <c r="L4415" s="6" t="str">
        <f>IFERROR(__xludf.DUMMYFUNCTION("""COMPUTED_VALUE"""),"JHES - Hardeeville Elementary School")</f>
        <v>JHES - Hardeeville Elementary School</v>
      </c>
      <c r="M4415" s="6" t="str">
        <f>IFERROR(__xludf.DUMMYFUNCTION("""COMPUTED_VALUE"""),"")</f>
        <v/>
      </c>
      <c r="N4415" s="6" t="str">
        <f>IFERROR(__xludf.DUMMYFUNCTION("""COMPUTED_VALUE"""),"")</f>
        <v/>
      </c>
      <c r="O4415" s="87" t="str">
        <f>IFERROR(__xludf.DUMMYFUNCTION("""COMPUTED_VALUE"""),"https://drive.google.com/drive/folders/10T2cTQHqEJZqE-st6uFKPoI?usp=share_link")</f>
        <v>https://drive.google.com/drive/folders/10T2cTQHqEJZqE-st6uFKPoI?usp=share_link</v>
      </c>
      <c r="P4415" s="6" t="str">
        <f>IFERROR(__xludf.DUMMYFUNCTION("""COMPUTED_VALUE"""),"Julinda Velasquez")</f>
        <v>Julinda Velasquez</v>
      </c>
      <c r="Q4415" s="6" t="str">
        <f>IFERROR(__xludf.DUMMYFUNCTION("""COMPUTED_VALUE"""),"L1")</f>
        <v>L1</v>
      </c>
      <c r="R4415" s="6">
        <f>IFERROR(__xludf.DUMMYFUNCTION("""COMPUTED_VALUE"""),1.0)</f>
        <v>1</v>
      </c>
      <c r="S4415" s="6" t="str">
        <f>IFERROR(__xludf.DUMMYFUNCTION("""COMPUTED_VALUE""")," ")</f>
        <v> </v>
      </c>
      <c r="T4415" s="6" t="str">
        <f>IFERROR(__xludf.DUMMYFUNCTION("""COMPUTED_VALUE"""),"")</f>
        <v/>
      </c>
      <c r="U4415" s="6" t="str">
        <f>IFERROR(__xludf.DUMMYFUNCTION("""COMPUTED_VALUE"""),"3")</f>
        <v>3</v>
      </c>
      <c r="V4415" s="6" t="str">
        <f>IFERROR(__xludf.DUMMYFUNCTION("""COMPUTED_VALUE"""),"")</f>
        <v/>
      </c>
      <c r="W4415" s="6" t="str">
        <f>IFERROR(__xludf.DUMMYFUNCTION("""COMPUTED_VALUE"""),"[]")</f>
        <v>[]</v>
      </c>
      <c r="X4415" s="6" t="str">
        <f>IFERROR(__xludf.DUMMYFUNCTION("""COMPUTED_VALUE"""),"Enrolled")</f>
        <v>Enrolled</v>
      </c>
    </row>
    <row r="4416">
      <c r="A4416" s="6" t="str">
        <f>IFERROR(__xludf.DUMMYFUNCTION("""COMPUTED_VALUE"""),"083-11703")</f>
        <v>083-11703</v>
      </c>
      <c r="B4416" s="6" t="str">
        <f>IFERROR(__xludf.DUMMYFUNCTION("""COMPUTED_VALUE"""),"83")</f>
        <v>83</v>
      </c>
      <c r="C4416" s="6" t="str">
        <f>IFERROR(__xludf.DUMMYFUNCTION("""COMPUTED_VALUE"""),"11703")</f>
        <v>11703</v>
      </c>
      <c r="D4416" s="6" t="str">
        <f>IFERROR(__xludf.DUMMYFUNCTION("""COMPUTED_VALUE"""),"Kinberly")</f>
        <v>Kinberly</v>
      </c>
      <c r="E4416" s="6" t="str">
        <f>IFERROR(__xludf.DUMMYFUNCTION("""COMPUTED_VALUE"""),"")</f>
        <v/>
      </c>
      <c r="F4416" s="6" t="str">
        <f>IFERROR(__xludf.DUMMYFUNCTION("""COMPUTED_VALUE"""),"Argueta Gamez")</f>
        <v>Argueta Gamez</v>
      </c>
      <c r="G4416" s="6" t="str">
        <f>IFERROR(__xludf.DUMMYFUNCTION("""COMPUTED_VALUE"""),"02/07/2017")</f>
        <v>02/07/2017</v>
      </c>
      <c r="H4416" s="6" t="str">
        <f>IFERROR(__xludf.DUMMYFUNCTION("""COMPUTED_VALUE"""),"female")</f>
        <v>female</v>
      </c>
      <c r="I4416" s="6" t="str">
        <f>IFERROR(__xludf.DUMMYFUNCTION("""COMPUTED_VALUE"""),"Level 1")</f>
        <v>Level 1</v>
      </c>
      <c r="J4416" s="6" t="str">
        <f>IFERROR(__xludf.DUMMYFUNCTION("""COMPUTED_VALUE"""),"3")</f>
        <v>3</v>
      </c>
      <c r="K4416" s="6" t="str">
        <f>IFERROR(__xludf.DUMMYFUNCTION("""COMPUTED_VALUE"""),"kinberly.arguetagamez@2hourlearning.com")</f>
        <v>kinberly.arguetagamez@2hourlearning.com</v>
      </c>
      <c r="L4416" s="6" t="str">
        <f>IFERROR(__xludf.DUMMYFUNCTION("""COMPUTED_VALUE"""),"JHES - Hardeeville Elementary School")</f>
        <v>JHES - Hardeeville Elementary School</v>
      </c>
      <c r="M4416" s="6" t="str">
        <f>IFERROR(__xludf.DUMMYFUNCTION("""COMPUTED_VALUE"""),"")</f>
        <v/>
      </c>
      <c r="N4416" s="6" t="str">
        <f>IFERROR(__xludf.DUMMYFUNCTION("""COMPUTED_VALUE"""),"")</f>
        <v/>
      </c>
      <c r="O4416" s="87" t="str">
        <f>IFERROR(__xludf.DUMMYFUNCTION("""COMPUTED_VALUE"""),"https://drive.google.com/drive/folders/10T2cTQHqEJZqE-st6uFKPoI?usp=share_link")</f>
        <v>https://drive.google.com/drive/folders/10T2cTQHqEJZqE-st6uFKPoI?usp=share_link</v>
      </c>
      <c r="P4416" s="6" t="str">
        <f>IFERROR(__xludf.DUMMYFUNCTION("""COMPUTED_VALUE"""),"Kinberly Argueta Gamez")</f>
        <v>Kinberly Argueta Gamez</v>
      </c>
      <c r="Q4416" s="6" t="str">
        <f>IFERROR(__xludf.DUMMYFUNCTION("""COMPUTED_VALUE"""),"L1")</f>
        <v>L1</v>
      </c>
      <c r="R4416" s="6">
        <f>IFERROR(__xludf.DUMMYFUNCTION("""COMPUTED_VALUE"""),1.0)</f>
        <v>1</v>
      </c>
      <c r="S4416" s="6" t="str">
        <f>IFERROR(__xludf.DUMMYFUNCTION("""COMPUTED_VALUE""")," ")</f>
        <v> </v>
      </c>
      <c r="T4416" s="6" t="str">
        <f>IFERROR(__xludf.DUMMYFUNCTION("""COMPUTED_VALUE"""),"")</f>
        <v/>
      </c>
      <c r="U4416" s="6" t="str">
        <f>IFERROR(__xludf.DUMMYFUNCTION("""COMPUTED_VALUE"""),"3")</f>
        <v>3</v>
      </c>
      <c r="V4416" s="6" t="str">
        <f>IFERROR(__xludf.DUMMYFUNCTION("""COMPUTED_VALUE"""),"")</f>
        <v/>
      </c>
      <c r="W4416" s="6" t="str">
        <f>IFERROR(__xludf.DUMMYFUNCTION("""COMPUTED_VALUE"""),"[]")</f>
        <v>[]</v>
      </c>
      <c r="X4416" s="6" t="str">
        <f>IFERROR(__xludf.DUMMYFUNCTION("""COMPUTED_VALUE"""),"Enrolled")</f>
        <v>Enrolled</v>
      </c>
    </row>
    <row r="4417">
      <c r="A4417" s="6" t="str">
        <f>IFERROR(__xludf.DUMMYFUNCTION("""COMPUTED_VALUE"""),"083-11704")</f>
        <v>083-11704</v>
      </c>
      <c r="B4417" s="6" t="str">
        <f>IFERROR(__xludf.DUMMYFUNCTION("""COMPUTED_VALUE"""),"83")</f>
        <v>83</v>
      </c>
      <c r="C4417" s="6" t="str">
        <f>IFERROR(__xludf.DUMMYFUNCTION("""COMPUTED_VALUE"""),"11704")</f>
        <v>11704</v>
      </c>
      <c r="D4417" s="6" t="str">
        <f>IFERROR(__xludf.DUMMYFUNCTION("""COMPUTED_VALUE"""),"Hasler A")</f>
        <v>Hasler A</v>
      </c>
      <c r="E4417" s="6" t="str">
        <f>IFERROR(__xludf.DUMMYFUNCTION("""COMPUTED_VALUE"""),"")</f>
        <v/>
      </c>
      <c r="F4417" s="6" t="str">
        <f>IFERROR(__xludf.DUMMYFUNCTION("""COMPUTED_VALUE"""),"Astudillo Ramirez")</f>
        <v>Astudillo Ramirez</v>
      </c>
      <c r="G4417" s="6" t="str">
        <f>IFERROR(__xludf.DUMMYFUNCTION("""COMPUTED_VALUE"""),"09/17/2016")</f>
        <v>09/17/2016</v>
      </c>
      <c r="H4417" s="6" t="str">
        <f>IFERROR(__xludf.DUMMYFUNCTION("""COMPUTED_VALUE"""),"male")</f>
        <v>male</v>
      </c>
      <c r="I4417" s="6" t="str">
        <f>IFERROR(__xludf.DUMMYFUNCTION("""COMPUTED_VALUE"""),"Level 1")</f>
        <v>Level 1</v>
      </c>
      <c r="J4417" s="6" t="str">
        <f>IFERROR(__xludf.DUMMYFUNCTION("""COMPUTED_VALUE"""),"3")</f>
        <v>3</v>
      </c>
      <c r="K4417" s="6" t="str">
        <f>IFERROR(__xludf.DUMMYFUNCTION("""COMPUTED_VALUE"""),"haslera.astudilloramirez@2hourlearning.com")</f>
        <v>haslera.astudilloramirez@2hourlearning.com</v>
      </c>
      <c r="L4417" s="6" t="str">
        <f>IFERROR(__xludf.DUMMYFUNCTION("""COMPUTED_VALUE"""),"JHES - Hardeeville Elementary School")</f>
        <v>JHES - Hardeeville Elementary School</v>
      </c>
      <c r="M4417" s="6" t="str">
        <f>IFERROR(__xludf.DUMMYFUNCTION("""COMPUTED_VALUE"""),"")</f>
        <v/>
      </c>
      <c r="N4417" s="6" t="str">
        <f>IFERROR(__xludf.DUMMYFUNCTION("""COMPUTED_VALUE"""),"")</f>
        <v/>
      </c>
      <c r="O4417" s="87" t="str">
        <f>IFERROR(__xludf.DUMMYFUNCTION("""COMPUTED_VALUE"""),"https://drive.google.com/drive/folders/10T2cTQHqEJZqE-st6uFKPoI?usp=share_link")</f>
        <v>https://drive.google.com/drive/folders/10T2cTQHqEJZqE-st6uFKPoI?usp=share_link</v>
      </c>
      <c r="P4417" s="6" t="str">
        <f>IFERROR(__xludf.DUMMYFUNCTION("""COMPUTED_VALUE"""),"Hasler A Astudillo Ramirez")</f>
        <v>Hasler A Astudillo Ramirez</v>
      </c>
      <c r="Q4417" s="6" t="str">
        <f>IFERROR(__xludf.DUMMYFUNCTION("""COMPUTED_VALUE"""),"L1")</f>
        <v>L1</v>
      </c>
      <c r="R4417" s="6">
        <f>IFERROR(__xludf.DUMMYFUNCTION("""COMPUTED_VALUE"""),1.0)</f>
        <v>1</v>
      </c>
      <c r="S4417" s="6" t="str">
        <f>IFERROR(__xludf.DUMMYFUNCTION("""COMPUTED_VALUE""")," ")</f>
        <v> </v>
      </c>
      <c r="T4417" s="6" t="str">
        <f>IFERROR(__xludf.DUMMYFUNCTION("""COMPUTED_VALUE"""),"")</f>
        <v/>
      </c>
      <c r="U4417" s="6" t="str">
        <f>IFERROR(__xludf.DUMMYFUNCTION("""COMPUTED_VALUE"""),"3")</f>
        <v>3</v>
      </c>
      <c r="V4417" s="6" t="str">
        <f>IFERROR(__xludf.DUMMYFUNCTION("""COMPUTED_VALUE"""),"")</f>
        <v/>
      </c>
      <c r="W4417" s="6" t="str">
        <f>IFERROR(__xludf.DUMMYFUNCTION("""COMPUTED_VALUE"""),"[]")</f>
        <v>[]</v>
      </c>
      <c r="X4417" s="6" t="str">
        <f>IFERROR(__xludf.DUMMYFUNCTION("""COMPUTED_VALUE"""),"Enrolled")</f>
        <v>Enrolled</v>
      </c>
    </row>
    <row r="4418">
      <c r="A4418" s="6" t="str">
        <f>IFERROR(__xludf.DUMMYFUNCTION("""COMPUTED_VALUE"""),"083-11705")</f>
        <v>083-11705</v>
      </c>
      <c r="B4418" s="6" t="str">
        <f>IFERROR(__xludf.DUMMYFUNCTION("""COMPUTED_VALUE"""),"83")</f>
        <v>83</v>
      </c>
      <c r="C4418" s="6" t="str">
        <f>IFERROR(__xludf.DUMMYFUNCTION("""COMPUTED_VALUE"""),"11705")</f>
        <v>11705</v>
      </c>
      <c r="D4418" s="6" t="str">
        <f>IFERROR(__xludf.DUMMYFUNCTION("""COMPUTED_VALUE"""),"Mileydi G")</f>
        <v>Mileydi G</v>
      </c>
      <c r="E4418" s="6" t="str">
        <f>IFERROR(__xludf.DUMMYFUNCTION("""COMPUTED_VALUE"""),"")</f>
        <v/>
      </c>
      <c r="F4418" s="6" t="str">
        <f>IFERROR(__xludf.DUMMYFUNCTION("""COMPUTED_VALUE"""),"Avila Gomez")</f>
        <v>Avila Gomez</v>
      </c>
      <c r="G4418" s="6" t="str">
        <f>IFERROR(__xludf.DUMMYFUNCTION("""COMPUTED_VALUE"""),"12/21/2017")</f>
        <v>12/21/2017</v>
      </c>
      <c r="H4418" s="6" t="str">
        <f>IFERROR(__xludf.DUMMYFUNCTION("""COMPUTED_VALUE"""),"female")</f>
        <v>female</v>
      </c>
      <c r="I4418" s="6" t="str">
        <f>IFERROR(__xludf.DUMMYFUNCTION("""COMPUTED_VALUE"""),"Level 1")</f>
        <v>Level 1</v>
      </c>
      <c r="J4418" s="6" t="str">
        <f>IFERROR(__xludf.DUMMYFUNCTION("""COMPUTED_VALUE"""),"3")</f>
        <v>3</v>
      </c>
      <c r="K4418" s="6" t="str">
        <f>IFERROR(__xludf.DUMMYFUNCTION("""COMPUTED_VALUE"""),"mileydig.avilagomez@2hourlearning.com")</f>
        <v>mileydig.avilagomez@2hourlearning.com</v>
      </c>
      <c r="L4418" s="6" t="str">
        <f>IFERROR(__xludf.DUMMYFUNCTION("""COMPUTED_VALUE"""),"JHES - Hardeeville Elementary School")</f>
        <v>JHES - Hardeeville Elementary School</v>
      </c>
      <c r="M4418" s="6" t="str">
        <f>IFERROR(__xludf.DUMMYFUNCTION("""COMPUTED_VALUE"""),"")</f>
        <v/>
      </c>
      <c r="N4418" s="6" t="str">
        <f>IFERROR(__xludf.DUMMYFUNCTION("""COMPUTED_VALUE"""),"")</f>
        <v/>
      </c>
      <c r="O4418" s="87" t="str">
        <f>IFERROR(__xludf.DUMMYFUNCTION("""COMPUTED_VALUE"""),"https://drive.google.com/drive/folders/10T2cTQHqEJZqE-st6uFKPoI?usp=share_link")</f>
        <v>https://drive.google.com/drive/folders/10T2cTQHqEJZqE-st6uFKPoI?usp=share_link</v>
      </c>
      <c r="P4418" s="6" t="str">
        <f>IFERROR(__xludf.DUMMYFUNCTION("""COMPUTED_VALUE"""),"Mileydi G Avila Gomez")</f>
        <v>Mileydi G Avila Gomez</v>
      </c>
      <c r="Q4418" s="6" t="str">
        <f>IFERROR(__xludf.DUMMYFUNCTION("""COMPUTED_VALUE"""),"L1")</f>
        <v>L1</v>
      </c>
      <c r="R4418" s="6">
        <f>IFERROR(__xludf.DUMMYFUNCTION("""COMPUTED_VALUE"""),1.0)</f>
        <v>1</v>
      </c>
      <c r="S4418" s="6" t="str">
        <f>IFERROR(__xludf.DUMMYFUNCTION("""COMPUTED_VALUE""")," ")</f>
        <v> </v>
      </c>
      <c r="T4418" s="6" t="str">
        <f>IFERROR(__xludf.DUMMYFUNCTION("""COMPUTED_VALUE"""),"")</f>
        <v/>
      </c>
      <c r="U4418" s="6" t="str">
        <f>IFERROR(__xludf.DUMMYFUNCTION("""COMPUTED_VALUE"""),"3")</f>
        <v>3</v>
      </c>
      <c r="V4418" s="6" t="str">
        <f>IFERROR(__xludf.DUMMYFUNCTION("""COMPUTED_VALUE"""),"")</f>
        <v/>
      </c>
      <c r="W4418" s="6" t="str">
        <f>IFERROR(__xludf.DUMMYFUNCTION("""COMPUTED_VALUE"""),"[]")</f>
        <v>[]</v>
      </c>
      <c r="X4418" s="6" t="str">
        <f>IFERROR(__xludf.DUMMYFUNCTION("""COMPUTED_VALUE"""),"Enrolled")</f>
        <v>Enrolled</v>
      </c>
    </row>
    <row r="4419">
      <c r="A4419" s="6" t="str">
        <f>IFERROR(__xludf.DUMMYFUNCTION("""COMPUTED_VALUE"""),"083-11706")</f>
        <v>083-11706</v>
      </c>
      <c r="B4419" s="6" t="str">
        <f>IFERROR(__xludf.DUMMYFUNCTION("""COMPUTED_VALUE"""),"83")</f>
        <v>83</v>
      </c>
      <c r="C4419" s="6" t="str">
        <f>IFERROR(__xludf.DUMMYFUNCTION("""COMPUTED_VALUE"""),"11706")</f>
        <v>11706</v>
      </c>
      <c r="D4419" s="6" t="str">
        <f>IFERROR(__xludf.DUMMYFUNCTION("""COMPUTED_VALUE"""),"Gianmarco")</f>
        <v>Gianmarco</v>
      </c>
      <c r="E4419" s="6" t="str">
        <f>IFERROR(__xludf.DUMMYFUNCTION("""COMPUTED_VALUE"""),"")</f>
        <v/>
      </c>
      <c r="F4419" s="6" t="str">
        <f>IFERROR(__xludf.DUMMYFUNCTION("""COMPUTED_VALUE"""),"Beltran Cano")</f>
        <v>Beltran Cano</v>
      </c>
      <c r="G4419" s="6" t="str">
        <f>IFERROR(__xludf.DUMMYFUNCTION("""COMPUTED_VALUE"""),"01/28/2017")</f>
        <v>01/28/2017</v>
      </c>
      <c r="H4419" s="6" t="str">
        <f>IFERROR(__xludf.DUMMYFUNCTION("""COMPUTED_VALUE"""),"male")</f>
        <v>male</v>
      </c>
      <c r="I4419" s="6" t="str">
        <f>IFERROR(__xludf.DUMMYFUNCTION("""COMPUTED_VALUE"""),"Level 1")</f>
        <v>Level 1</v>
      </c>
      <c r="J4419" s="6" t="str">
        <f>IFERROR(__xludf.DUMMYFUNCTION("""COMPUTED_VALUE"""),"3")</f>
        <v>3</v>
      </c>
      <c r="K4419" s="6" t="str">
        <f>IFERROR(__xludf.DUMMYFUNCTION("""COMPUTED_VALUE"""),"gianmarco.beltrancano@2hourlearning.com")</f>
        <v>gianmarco.beltrancano@2hourlearning.com</v>
      </c>
      <c r="L4419" s="6" t="str">
        <f>IFERROR(__xludf.DUMMYFUNCTION("""COMPUTED_VALUE"""),"JHES - Hardeeville Elementary School")</f>
        <v>JHES - Hardeeville Elementary School</v>
      </c>
      <c r="M4419" s="6" t="str">
        <f>IFERROR(__xludf.DUMMYFUNCTION("""COMPUTED_VALUE"""),"")</f>
        <v/>
      </c>
      <c r="N4419" s="6" t="str">
        <f>IFERROR(__xludf.DUMMYFUNCTION("""COMPUTED_VALUE"""),"")</f>
        <v/>
      </c>
      <c r="O4419" s="87" t="str">
        <f>IFERROR(__xludf.DUMMYFUNCTION("""COMPUTED_VALUE"""),"https://drive.google.com/drive/folders/10T2cTQHqEJZqE-st6uFKPoI?usp=share_link")</f>
        <v>https://drive.google.com/drive/folders/10T2cTQHqEJZqE-st6uFKPoI?usp=share_link</v>
      </c>
      <c r="P4419" s="6" t="str">
        <f>IFERROR(__xludf.DUMMYFUNCTION("""COMPUTED_VALUE"""),"Gianmarco Beltran Cano")</f>
        <v>Gianmarco Beltran Cano</v>
      </c>
      <c r="Q4419" s="6" t="str">
        <f>IFERROR(__xludf.DUMMYFUNCTION("""COMPUTED_VALUE"""),"L1")</f>
        <v>L1</v>
      </c>
      <c r="R4419" s="6">
        <f>IFERROR(__xludf.DUMMYFUNCTION("""COMPUTED_VALUE"""),1.0)</f>
        <v>1</v>
      </c>
      <c r="S4419" s="6" t="str">
        <f>IFERROR(__xludf.DUMMYFUNCTION("""COMPUTED_VALUE""")," ")</f>
        <v> </v>
      </c>
      <c r="T4419" s="6" t="str">
        <f>IFERROR(__xludf.DUMMYFUNCTION("""COMPUTED_VALUE"""),"")</f>
        <v/>
      </c>
      <c r="U4419" s="6" t="str">
        <f>IFERROR(__xludf.DUMMYFUNCTION("""COMPUTED_VALUE"""),"3")</f>
        <v>3</v>
      </c>
      <c r="V4419" s="6" t="str">
        <f>IFERROR(__xludf.DUMMYFUNCTION("""COMPUTED_VALUE"""),"")</f>
        <v/>
      </c>
      <c r="W4419" s="6" t="str">
        <f>IFERROR(__xludf.DUMMYFUNCTION("""COMPUTED_VALUE"""),"[]")</f>
        <v>[]</v>
      </c>
      <c r="X4419" s="6" t="str">
        <f>IFERROR(__xludf.DUMMYFUNCTION("""COMPUTED_VALUE"""),"Enrolled")</f>
        <v>Enrolled</v>
      </c>
    </row>
    <row r="4420">
      <c r="A4420" s="6" t="str">
        <f>IFERROR(__xludf.DUMMYFUNCTION("""COMPUTED_VALUE"""),"083-11707")</f>
        <v>083-11707</v>
      </c>
      <c r="B4420" s="6" t="str">
        <f>IFERROR(__xludf.DUMMYFUNCTION("""COMPUTED_VALUE"""),"83")</f>
        <v>83</v>
      </c>
      <c r="C4420" s="6" t="str">
        <f>IFERROR(__xludf.DUMMYFUNCTION("""COMPUTED_VALUE"""),"11707")</f>
        <v>11707</v>
      </c>
      <c r="D4420" s="6" t="str">
        <f>IFERROR(__xludf.DUMMYFUNCTION("""COMPUTED_VALUE"""),"Yaretzi")</f>
        <v>Yaretzi</v>
      </c>
      <c r="E4420" s="6" t="str">
        <f>IFERROR(__xludf.DUMMYFUNCTION("""COMPUTED_VALUE"""),"")</f>
        <v/>
      </c>
      <c r="F4420" s="6" t="str">
        <f>IFERROR(__xludf.DUMMYFUNCTION("""COMPUTED_VALUE"""),"Benigno Guerrero")</f>
        <v>Benigno Guerrero</v>
      </c>
      <c r="G4420" s="6" t="str">
        <f>IFERROR(__xludf.DUMMYFUNCTION("""COMPUTED_VALUE"""),"03/26/2017")</f>
        <v>03/26/2017</v>
      </c>
      <c r="H4420" s="6" t="str">
        <f>IFERROR(__xludf.DUMMYFUNCTION("""COMPUTED_VALUE"""),"female")</f>
        <v>female</v>
      </c>
      <c r="I4420" s="6" t="str">
        <f>IFERROR(__xludf.DUMMYFUNCTION("""COMPUTED_VALUE"""),"Level 1")</f>
        <v>Level 1</v>
      </c>
      <c r="J4420" s="6" t="str">
        <f>IFERROR(__xludf.DUMMYFUNCTION("""COMPUTED_VALUE"""),"3")</f>
        <v>3</v>
      </c>
      <c r="K4420" s="6" t="str">
        <f>IFERROR(__xludf.DUMMYFUNCTION("""COMPUTED_VALUE"""),"yaretzi.benignoguerrero@2hourlearning.com")</f>
        <v>yaretzi.benignoguerrero@2hourlearning.com</v>
      </c>
      <c r="L4420" s="6" t="str">
        <f>IFERROR(__xludf.DUMMYFUNCTION("""COMPUTED_VALUE"""),"JHES - Hardeeville Elementary School")</f>
        <v>JHES - Hardeeville Elementary School</v>
      </c>
      <c r="M4420" s="6" t="str">
        <f>IFERROR(__xludf.DUMMYFUNCTION("""COMPUTED_VALUE"""),"")</f>
        <v/>
      </c>
      <c r="N4420" s="6" t="str">
        <f>IFERROR(__xludf.DUMMYFUNCTION("""COMPUTED_VALUE"""),"")</f>
        <v/>
      </c>
      <c r="O4420" s="87" t="str">
        <f>IFERROR(__xludf.DUMMYFUNCTION("""COMPUTED_VALUE"""),"https://drive.google.com/drive/folders/10T2cTQHqEJZqE-st6uFKPoI?usp=share_link")</f>
        <v>https://drive.google.com/drive/folders/10T2cTQHqEJZqE-st6uFKPoI?usp=share_link</v>
      </c>
      <c r="P4420" s="6" t="str">
        <f>IFERROR(__xludf.DUMMYFUNCTION("""COMPUTED_VALUE"""),"Yaretzi Benigno Guerrero")</f>
        <v>Yaretzi Benigno Guerrero</v>
      </c>
      <c r="Q4420" s="6" t="str">
        <f>IFERROR(__xludf.DUMMYFUNCTION("""COMPUTED_VALUE"""),"L1")</f>
        <v>L1</v>
      </c>
      <c r="R4420" s="6">
        <f>IFERROR(__xludf.DUMMYFUNCTION("""COMPUTED_VALUE"""),1.0)</f>
        <v>1</v>
      </c>
      <c r="S4420" s="6" t="str">
        <f>IFERROR(__xludf.DUMMYFUNCTION("""COMPUTED_VALUE""")," ")</f>
        <v> </v>
      </c>
      <c r="T4420" s="6" t="str">
        <f>IFERROR(__xludf.DUMMYFUNCTION("""COMPUTED_VALUE"""),"")</f>
        <v/>
      </c>
      <c r="U4420" s="6" t="str">
        <f>IFERROR(__xludf.DUMMYFUNCTION("""COMPUTED_VALUE"""),"3")</f>
        <v>3</v>
      </c>
      <c r="V4420" s="6" t="str">
        <f>IFERROR(__xludf.DUMMYFUNCTION("""COMPUTED_VALUE"""),"")</f>
        <v/>
      </c>
      <c r="W4420" s="6" t="str">
        <f>IFERROR(__xludf.DUMMYFUNCTION("""COMPUTED_VALUE"""),"[]")</f>
        <v>[]</v>
      </c>
      <c r="X4420" s="6" t="str">
        <f>IFERROR(__xludf.DUMMYFUNCTION("""COMPUTED_VALUE"""),"Enrolled")</f>
        <v>Enrolled</v>
      </c>
    </row>
    <row r="4421">
      <c r="A4421" s="6" t="str">
        <f>IFERROR(__xludf.DUMMYFUNCTION("""COMPUTED_VALUE"""),"083-11708")</f>
        <v>083-11708</v>
      </c>
      <c r="B4421" s="6" t="str">
        <f>IFERROR(__xludf.DUMMYFUNCTION("""COMPUTED_VALUE"""),"83")</f>
        <v>83</v>
      </c>
      <c r="C4421" s="6" t="str">
        <f>IFERROR(__xludf.DUMMYFUNCTION("""COMPUTED_VALUE"""),"11708")</f>
        <v>11708</v>
      </c>
      <c r="D4421" s="6" t="str">
        <f>IFERROR(__xludf.DUMMYFUNCTION("""COMPUTED_VALUE"""),"Kimberly Natacha")</f>
        <v>Kimberly Natacha</v>
      </c>
      <c r="E4421" s="6" t="str">
        <f>IFERROR(__xludf.DUMMYFUNCTION("""COMPUTED_VALUE"""),"")</f>
        <v/>
      </c>
      <c r="F4421" s="6" t="str">
        <f>IFERROR(__xludf.DUMMYFUNCTION("""COMPUTED_VALUE"""),"Castillo Lagos")</f>
        <v>Castillo Lagos</v>
      </c>
      <c r="G4421" s="6" t="str">
        <f>IFERROR(__xludf.DUMMYFUNCTION("""COMPUTED_VALUE"""),"05/08/2017")</f>
        <v>05/08/2017</v>
      </c>
      <c r="H4421" s="6" t="str">
        <f>IFERROR(__xludf.DUMMYFUNCTION("""COMPUTED_VALUE"""),"female")</f>
        <v>female</v>
      </c>
      <c r="I4421" s="6" t="str">
        <f>IFERROR(__xludf.DUMMYFUNCTION("""COMPUTED_VALUE"""),"Level 1")</f>
        <v>Level 1</v>
      </c>
      <c r="J4421" s="6" t="str">
        <f>IFERROR(__xludf.DUMMYFUNCTION("""COMPUTED_VALUE"""),"3")</f>
        <v>3</v>
      </c>
      <c r="K4421" s="6" t="str">
        <f>IFERROR(__xludf.DUMMYFUNCTION("""COMPUTED_VALUE"""),"kimberlynatacha.castillolagos@2hourlearning.com")</f>
        <v>kimberlynatacha.castillolagos@2hourlearning.com</v>
      </c>
      <c r="L4421" s="6" t="str">
        <f>IFERROR(__xludf.DUMMYFUNCTION("""COMPUTED_VALUE"""),"JHES - Hardeeville Elementary School")</f>
        <v>JHES - Hardeeville Elementary School</v>
      </c>
      <c r="M4421" s="6" t="str">
        <f>IFERROR(__xludf.DUMMYFUNCTION("""COMPUTED_VALUE"""),"")</f>
        <v/>
      </c>
      <c r="N4421" s="6" t="str">
        <f>IFERROR(__xludf.DUMMYFUNCTION("""COMPUTED_VALUE"""),"")</f>
        <v/>
      </c>
      <c r="O4421" s="87" t="str">
        <f>IFERROR(__xludf.DUMMYFUNCTION("""COMPUTED_VALUE"""),"https://drive.google.com/drive/folders/10T2cTQHqEJZqE-st6uFKPoI?usp=share_link")</f>
        <v>https://drive.google.com/drive/folders/10T2cTQHqEJZqE-st6uFKPoI?usp=share_link</v>
      </c>
      <c r="P4421" s="6" t="str">
        <f>IFERROR(__xludf.DUMMYFUNCTION("""COMPUTED_VALUE"""),"Kimberly Natacha Castillo Lagos")</f>
        <v>Kimberly Natacha Castillo Lagos</v>
      </c>
      <c r="Q4421" s="6" t="str">
        <f>IFERROR(__xludf.DUMMYFUNCTION("""COMPUTED_VALUE"""),"L1")</f>
        <v>L1</v>
      </c>
      <c r="R4421" s="6">
        <f>IFERROR(__xludf.DUMMYFUNCTION("""COMPUTED_VALUE"""),1.0)</f>
        <v>1</v>
      </c>
      <c r="S4421" s="6" t="str">
        <f>IFERROR(__xludf.DUMMYFUNCTION("""COMPUTED_VALUE""")," ")</f>
        <v> </v>
      </c>
      <c r="T4421" s="6" t="str">
        <f>IFERROR(__xludf.DUMMYFUNCTION("""COMPUTED_VALUE"""),"")</f>
        <v/>
      </c>
      <c r="U4421" s="6" t="str">
        <f>IFERROR(__xludf.DUMMYFUNCTION("""COMPUTED_VALUE"""),"3")</f>
        <v>3</v>
      </c>
      <c r="V4421" s="6" t="str">
        <f>IFERROR(__xludf.DUMMYFUNCTION("""COMPUTED_VALUE"""),"")</f>
        <v/>
      </c>
      <c r="W4421" s="6" t="str">
        <f>IFERROR(__xludf.DUMMYFUNCTION("""COMPUTED_VALUE"""),"[]")</f>
        <v>[]</v>
      </c>
      <c r="X4421" s="6" t="str">
        <f>IFERROR(__xludf.DUMMYFUNCTION("""COMPUTED_VALUE"""),"Enrolled")</f>
        <v>Enrolled</v>
      </c>
    </row>
    <row r="4422">
      <c r="A4422" s="6" t="str">
        <f>IFERROR(__xludf.DUMMYFUNCTION("""COMPUTED_VALUE"""),"083-11709")</f>
        <v>083-11709</v>
      </c>
      <c r="B4422" s="6" t="str">
        <f>IFERROR(__xludf.DUMMYFUNCTION("""COMPUTED_VALUE"""),"83")</f>
        <v>83</v>
      </c>
      <c r="C4422" s="6" t="str">
        <f>IFERROR(__xludf.DUMMYFUNCTION("""COMPUTED_VALUE"""),"11709")</f>
        <v>11709</v>
      </c>
      <c r="D4422" s="6" t="str">
        <f>IFERROR(__xludf.DUMMYFUNCTION("""COMPUTED_VALUE"""),"Jeshua")</f>
        <v>Jeshua</v>
      </c>
      <c r="E4422" s="6" t="str">
        <f>IFERROR(__xludf.DUMMYFUNCTION("""COMPUTED_VALUE"""),"")</f>
        <v/>
      </c>
      <c r="F4422" s="6" t="str">
        <f>IFERROR(__xludf.DUMMYFUNCTION("""COMPUTED_VALUE"""),"Chay de la Cruz")</f>
        <v>Chay de la Cruz</v>
      </c>
      <c r="G4422" s="6" t="str">
        <f>IFERROR(__xludf.DUMMYFUNCTION("""COMPUTED_VALUE"""),"05/15/2017")</f>
        <v>05/15/2017</v>
      </c>
      <c r="H4422" s="6" t="str">
        <f>IFERROR(__xludf.DUMMYFUNCTION("""COMPUTED_VALUE"""),"male")</f>
        <v>male</v>
      </c>
      <c r="I4422" s="6" t="str">
        <f>IFERROR(__xludf.DUMMYFUNCTION("""COMPUTED_VALUE"""),"Level 1")</f>
        <v>Level 1</v>
      </c>
      <c r="J4422" s="6" t="str">
        <f>IFERROR(__xludf.DUMMYFUNCTION("""COMPUTED_VALUE"""),"3")</f>
        <v>3</v>
      </c>
      <c r="K4422" s="6" t="str">
        <f>IFERROR(__xludf.DUMMYFUNCTION("""COMPUTED_VALUE"""),"jeshua.chaydelacruz@2hourlearning.com")</f>
        <v>jeshua.chaydelacruz@2hourlearning.com</v>
      </c>
      <c r="L4422" s="6" t="str">
        <f>IFERROR(__xludf.DUMMYFUNCTION("""COMPUTED_VALUE"""),"JHES - Hardeeville Elementary School")</f>
        <v>JHES - Hardeeville Elementary School</v>
      </c>
      <c r="M4422" s="6" t="str">
        <f>IFERROR(__xludf.DUMMYFUNCTION("""COMPUTED_VALUE"""),"")</f>
        <v/>
      </c>
      <c r="N4422" s="6" t="str">
        <f>IFERROR(__xludf.DUMMYFUNCTION("""COMPUTED_VALUE"""),"")</f>
        <v/>
      </c>
      <c r="O4422" s="87" t="str">
        <f>IFERROR(__xludf.DUMMYFUNCTION("""COMPUTED_VALUE"""),"https://drive.google.com/drive/folders/10T2cTQHqEJZqE-st6uFKPoI?usp=share_link")</f>
        <v>https://drive.google.com/drive/folders/10T2cTQHqEJZqE-st6uFKPoI?usp=share_link</v>
      </c>
      <c r="P4422" s="6" t="str">
        <f>IFERROR(__xludf.DUMMYFUNCTION("""COMPUTED_VALUE"""),"Jeshua Chay de la Cruz")</f>
        <v>Jeshua Chay de la Cruz</v>
      </c>
      <c r="Q4422" s="6" t="str">
        <f>IFERROR(__xludf.DUMMYFUNCTION("""COMPUTED_VALUE"""),"L1")</f>
        <v>L1</v>
      </c>
      <c r="R4422" s="6">
        <f>IFERROR(__xludf.DUMMYFUNCTION("""COMPUTED_VALUE"""),1.0)</f>
        <v>1</v>
      </c>
      <c r="S4422" s="6" t="str">
        <f>IFERROR(__xludf.DUMMYFUNCTION("""COMPUTED_VALUE""")," ")</f>
        <v> </v>
      </c>
      <c r="T4422" s="6" t="str">
        <f>IFERROR(__xludf.DUMMYFUNCTION("""COMPUTED_VALUE"""),"")</f>
        <v/>
      </c>
      <c r="U4422" s="6" t="str">
        <f>IFERROR(__xludf.DUMMYFUNCTION("""COMPUTED_VALUE"""),"3")</f>
        <v>3</v>
      </c>
      <c r="V4422" s="6" t="str">
        <f>IFERROR(__xludf.DUMMYFUNCTION("""COMPUTED_VALUE"""),"")</f>
        <v/>
      </c>
      <c r="W4422" s="6" t="str">
        <f>IFERROR(__xludf.DUMMYFUNCTION("""COMPUTED_VALUE"""),"[]")</f>
        <v>[]</v>
      </c>
      <c r="X4422" s="6" t="str">
        <f>IFERROR(__xludf.DUMMYFUNCTION("""COMPUTED_VALUE"""),"Enrolled")</f>
        <v>Enrolled</v>
      </c>
    </row>
    <row r="4423">
      <c r="A4423" s="6" t="str">
        <f>IFERROR(__xludf.DUMMYFUNCTION("""COMPUTED_VALUE"""),"083-11710")</f>
        <v>083-11710</v>
      </c>
      <c r="B4423" s="6" t="str">
        <f>IFERROR(__xludf.DUMMYFUNCTION("""COMPUTED_VALUE"""),"83")</f>
        <v>83</v>
      </c>
      <c r="C4423" s="6" t="str">
        <f>IFERROR(__xludf.DUMMYFUNCTION("""COMPUTED_VALUE"""),"11710")</f>
        <v>11710</v>
      </c>
      <c r="D4423" s="6" t="str">
        <f>IFERROR(__xludf.DUMMYFUNCTION("""COMPUTED_VALUE"""),"Eric")</f>
        <v>Eric</v>
      </c>
      <c r="E4423" s="6" t="str">
        <f>IFERROR(__xludf.DUMMYFUNCTION("""COMPUTED_VALUE"""),"")</f>
        <v/>
      </c>
      <c r="F4423" s="6" t="str">
        <f>IFERROR(__xludf.DUMMYFUNCTION("""COMPUTED_VALUE"""),"Doe")</f>
        <v>Doe</v>
      </c>
      <c r="G4423" s="6" t="str">
        <f>IFERROR(__xludf.DUMMYFUNCTION("""COMPUTED_VALUE"""),"04/23/2017")</f>
        <v>04/23/2017</v>
      </c>
      <c r="H4423" s="6" t="str">
        <f>IFERROR(__xludf.DUMMYFUNCTION("""COMPUTED_VALUE"""),"male")</f>
        <v>male</v>
      </c>
      <c r="I4423" s="6" t="str">
        <f>IFERROR(__xludf.DUMMYFUNCTION("""COMPUTED_VALUE"""),"Level 1")</f>
        <v>Level 1</v>
      </c>
      <c r="J4423" s="6" t="str">
        <f>IFERROR(__xludf.DUMMYFUNCTION("""COMPUTED_VALUE"""),"3")</f>
        <v>3</v>
      </c>
      <c r="K4423" s="6" t="str">
        <f>IFERROR(__xludf.DUMMYFUNCTION("""COMPUTED_VALUE"""),"eric.doe@2hourlearning.com")</f>
        <v>eric.doe@2hourlearning.com</v>
      </c>
      <c r="L4423" s="6" t="str">
        <f>IFERROR(__xludf.DUMMYFUNCTION("""COMPUTED_VALUE"""),"JHES - Hardeeville Elementary School")</f>
        <v>JHES - Hardeeville Elementary School</v>
      </c>
      <c r="M4423" s="6" t="str">
        <f>IFERROR(__xludf.DUMMYFUNCTION("""COMPUTED_VALUE"""),"")</f>
        <v/>
      </c>
      <c r="N4423" s="6" t="str">
        <f>IFERROR(__xludf.DUMMYFUNCTION("""COMPUTED_VALUE"""),"")</f>
        <v/>
      </c>
      <c r="O4423" s="87" t="str">
        <f>IFERROR(__xludf.DUMMYFUNCTION("""COMPUTED_VALUE"""),"https://drive.google.com/drive/folders/10T2cTQHqEJZqE-st6uFKPoI?usp=share_link")</f>
        <v>https://drive.google.com/drive/folders/10T2cTQHqEJZqE-st6uFKPoI?usp=share_link</v>
      </c>
      <c r="P4423" s="6" t="str">
        <f>IFERROR(__xludf.DUMMYFUNCTION("""COMPUTED_VALUE"""),"Eric Doe")</f>
        <v>Eric Doe</v>
      </c>
      <c r="Q4423" s="6" t="str">
        <f>IFERROR(__xludf.DUMMYFUNCTION("""COMPUTED_VALUE"""),"L1")</f>
        <v>L1</v>
      </c>
      <c r="R4423" s="6">
        <f>IFERROR(__xludf.DUMMYFUNCTION("""COMPUTED_VALUE"""),1.0)</f>
        <v>1</v>
      </c>
      <c r="S4423" s="6" t="str">
        <f>IFERROR(__xludf.DUMMYFUNCTION("""COMPUTED_VALUE""")," ")</f>
        <v> </v>
      </c>
      <c r="T4423" s="6" t="str">
        <f>IFERROR(__xludf.DUMMYFUNCTION("""COMPUTED_VALUE"""),"")</f>
        <v/>
      </c>
      <c r="U4423" s="6" t="str">
        <f>IFERROR(__xludf.DUMMYFUNCTION("""COMPUTED_VALUE"""),"3")</f>
        <v>3</v>
      </c>
      <c r="V4423" s="6" t="str">
        <f>IFERROR(__xludf.DUMMYFUNCTION("""COMPUTED_VALUE"""),"")</f>
        <v/>
      </c>
      <c r="W4423" s="6" t="str">
        <f>IFERROR(__xludf.DUMMYFUNCTION("""COMPUTED_VALUE"""),"[]")</f>
        <v>[]</v>
      </c>
      <c r="X4423" s="6" t="str">
        <f>IFERROR(__xludf.DUMMYFUNCTION("""COMPUTED_VALUE"""),"Enrolled")</f>
        <v>Enrolled</v>
      </c>
    </row>
    <row r="4424">
      <c r="A4424" s="6" t="str">
        <f>IFERROR(__xludf.DUMMYFUNCTION("""COMPUTED_VALUE"""),"083-11711")</f>
        <v>083-11711</v>
      </c>
      <c r="B4424" s="6" t="str">
        <f>IFERROR(__xludf.DUMMYFUNCTION("""COMPUTED_VALUE"""),"83")</f>
        <v>83</v>
      </c>
      <c r="C4424" s="6" t="str">
        <f>IFERROR(__xludf.DUMMYFUNCTION("""COMPUTED_VALUE"""),"11711")</f>
        <v>11711</v>
      </c>
      <c r="D4424" s="6" t="str">
        <f>IFERROR(__xludf.DUMMYFUNCTION("""COMPUTED_VALUE"""),"Maria")</f>
        <v>Maria</v>
      </c>
      <c r="E4424" s="6" t="str">
        <f>IFERROR(__xludf.DUMMYFUNCTION("""COMPUTED_VALUE"""),"")</f>
        <v/>
      </c>
      <c r="F4424" s="6" t="str">
        <f>IFERROR(__xludf.DUMMYFUNCTION("""COMPUTED_VALUE"""),"Fernandez Castro")</f>
        <v>Fernandez Castro</v>
      </c>
      <c r="G4424" s="6" t="str">
        <f>IFERROR(__xludf.DUMMYFUNCTION("""COMPUTED_VALUE"""),"05/17/2017")</f>
        <v>05/17/2017</v>
      </c>
      <c r="H4424" s="6" t="str">
        <f>IFERROR(__xludf.DUMMYFUNCTION("""COMPUTED_VALUE"""),"female")</f>
        <v>female</v>
      </c>
      <c r="I4424" s="6" t="str">
        <f>IFERROR(__xludf.DUMMYFUNCTION("""COMPUTED_VALUE"""),"Level 1")</f>
        <v>Level 1</v>
      </c>
      <c r="J4424" s="6" t="str">
        <f>IFERROR(__xludf.DUMMYFUNCTION("""COMPUTED_VALUE"""),"3")</f>
        <v>3</v>
      </c>
      <c r="K4424" s="6" t="str">
        <f>IFERROR(__xludf.DUMMYFUNCTION("""COMPUTED_VALUE"""),"maria.fernandezcastro@2hourlearning.com")</f>
        <v>maria.fernandezcastro@2hourlearning.com</v>
      </c>
      <c r="L4424" s="6" t="str">
        <f>IFERROR(__xludf.DUMMYFUNCTION("""COMPUTED_VALUE"""),"JHES - Hardeeville Elementary School")</f>
        <v>JHES - Hardeeville Elementary School</v>
      </c>
      <c r="M4424" s="6" t="str">
        <f>IFERROR(__xludf.DUMMYFUNCTION("""COMPUTED_VALUE"""),"")</f>
        <v/>
      </c>
      <c r="N4424" s="6" t="str">
        <f>IFERROR(__xludf.DUMMYFUNCTION("""COMPUTED_VALUE"""),"")</f>
        <v/>
      </c>
      <c r="O4424" s="87" t="str">
        <f>IFERROR(__xludf.DUMMYFUNCTION("""COMPUTED_VALUE"""),"https://drive.google.com/drive/folders/10T2cTQHqEJZqE-st6uFKPoI?usp=share_link")</f>
        <v>https://drive.google.com/drive/folders/10T2cTQHqEJZqE-st6uFKPoI?usp=share_link</v>
      </c>
      <c r="P4424" s="6" t="str">
        <f>IFERROR(__xludf.DUMMYFUNCTION("""COMPUTED_VALUE"""),"Maria Fernandez Castro")</f>
        <v>Maria Fernandez Castro</v>
      </c>
      <c r="Q4424" s="6" t="str">
        <f>IFERROR(__xludf.DUMMYFUNCTION("""COMPUTED_VALUE"""),"L1")</f>
        <v>L1</v>
      </c>
      <c r="R4424" s="6">
        <f>IFERROR(__xludf.DUMMYFUNCTION("""COMPUTED_VALUE"""),1.0)</f>
        <v>1</v>
      </c>
      <c r="S4424" s="6" t="str">
        <f>IFERROR(__xludf.DUMMYFUNCTION("""COMPUTED_VALUE""")," ")</f>
        <v> </v>
      </c>
      <c r="T4424" s="6" t="str">
        <f>IFERROR(__xludf.DUMMYFUNCTION("""COMPUTED_VALUE"""),"")</f>
        <v/>
      </c>
      <c r="U4424" s="6" t="str">
        <f>IFERROR(__xludf.DUMMYFUNCTION("""COMPUTED_VALUE"""),"3")</f>
        <v>3</v>
      </c>
      <c r="V4424" s="6" t="str">
        <f>IFERROR(__xludf.DUMMYFUNCTION("""COMPUTED_VALUE"""),"")</f>
        <v/>
      </c>
      <c r="W4424" s="6" t="str">
        <f>IFERROR(__xludf.DUMMYFUNCTION("""COMPUTED_VALUE"""),"[]")</f>
        <v>[]</v>
      </c>
      <c r="X4424" s="6" t="str">
        <f>IFERROR(__xludf.DUMMYFUNCTION("""COMPUTED_VALUE"""),"Enrolled")</f>
        <v>Enrolled</v>
      </c>
    </row>
    <row r="4425">
      <c r="A4425" s="6" t="str">
        <f>IFERROR(__xludf.DUMMYFUNCTION("""COMPUTED_VALUE"""),"083-11712")</f>
        <v>083-11712</v>
      </c>
      <c r="B4425" s="6" t="str">
        <f>IFERROR(__xludf.DUMMYFUNCTION("""COMPUTED_VALUE"""),"83")</f>
        <v>83</v>
      </c>
      <c r="C4425" s="6" t="str">
        <f>IFERROR(__xludf.DUMMYFUNCTION("""COMPUTED_VALUE"""),"11712")</f>
        <v>11712</v>
      </c>
      <c r="D4425" s="6" t="str">
        <f>IFERROR(__xludf.DUMMYFUNCTION("""COMPUTED_VALUE"""),"Giuliet")</f>
        <v>Giuliet</v>
      </c>
      <c r="E4425" s="6" t="str">
        <f>IFERROR(__xludf.DUMMYFUNCTION("""COMPUTED_VALUE"""),"")</f>
        <v/>
      </c>
      <c r="F4425" s="6" t="str">
        <f>IFERROR(__xludf.DUMMYFUNCTION("""COMPUTED_VALUE"""),"Fortiz-Santos")</f>
        <v>Fortiz-Santos</v>
      </c>
      <c r="G4425" s="6" t="str">
        <f>IFERROR(__xludf.DUMMYFUNCTION("""COMPUTED_VALUE"""),"11/27/2016")</f>
        <v>11/27/2016</v>
      </c>
      <c r="H4425" s="6" t="str">
        <f>IFERROR(__xludf.DUMMYFUNCTION("""COMPUTED_VALUE"""),"female")</f>
        <v>female</v>
      </c>
      <c r="I4425" s="6" t="str">
        <f>IFERROR(__xludf.DUMMYFUNCTION("""COMPUTED_VALUE"""),"Level 1")</f>
        <v>Level 1</v>
      </c>
      <c r="J4425" s="6" t="str">
        <f>IFERROR(__xludf.DUMMYFUNCTION("""COMPUTED_VALUE"""),"3")</f>
        <v>3</v>
      </c>
      <c r="K4425" s="6" t="str">
        <f>IFERROR(__xludf.DUMMYFUNCTION("""COMPUTED_VALUE"""),"giuliet.fortizsantos@2hourlearning.com")</f>
        <v>giuliet.fortizsantos@2hourlearning.com</v>
      </c>
      <c r="L4425" s="6" t="str">
        <f>IFERROR(__xludf.DUMMYFUNCTION("""COMPUTED_VALUE"""),"JHES - Hardeeville Elementary School")</f>
        <v>JHES - Hardeeville Elementary School</v>
      </c>
      <c r="M4425" s="6" t="str">
        <f>IFERROR(__xludf.DUMMYFUNCTION("""COMPUTED_VALUE"""),"")</f>
        <v/>
      </c>
      <c r="N4425" s="6" t="str">
        <f>IFERROR(__xludf.DUMMYFUNCTION("""COMPUTED_VALUE"""),"")</f>
        <v/>
      </c>
      <c r="O4425" s="87" t="str">
        <f>IFERROR(__xludf.DUMMYFUNCTION("""COMPUTED_VALUE"""),"https://drive.google.com/drive/folders/10T2cTQHqEJZqE-st6uFKPoI?usp=share_link")</f>
        <v>https://drive.google.com/drive/folders/10T2cTQHqEJZqE-st6uFKPoI?usp=share_link</v>
      </c>
      <c r="P4425" s="6" t="str">
        <f>IFERROR(__xludf.DUMMYFUNCTION("""COMPUTED_VALUE"""),"Giuliet Fortiz-Santos")</f>
        <v>Giuliet Fortiz-Santos</v>
      </c>
      <c r="Q4425" s="6" t="str">
        <f>IFERROR(__xludf.DUMMYFUNCTION("""COMPUTED_VALUE"""),"L1")</f>
        <v>L1</v>
      </c>
      <c r="R4425" s="6">
        <f>IFERROR(__xludf.DUMMYFUNCTION("""COMPUTED_VALUE"""),1.0)</f>
        <v>1</v>
      </c>
      <c r="S4425" s="6" t="str">
        <f>IFERROR(__xludf.DUMMYFUNCTION("""COMPUTED_VALUE""")," ")</f>
        <v> </v>
      </c>
      <c r="T4425" s="6" t="str">
        <f>IFERROR(__xludf.DUMMYFUNCTION("""COMPUTED_VALUE"""),"")</f>
        <v/>
      </c>
      <c r="U4425" s="6" t="str">
        <f>IFERROR(__xludf.DUMMYFUNCTION("""COMPUTED_VALUE"""),"3")</f>
        <v>3</v>
      </c>
      <c r="V4425" s="6" t="str">
        <f>IFERROR(__xludf.DUMMYFUNCTION("""COMPUTED_VALUE"""),"")</f>
        <v/>
      </c>
      <c r="W4425" s="6" t="str">
        <f>IFERROR(__xludf.DUMMYFUNCTION("""COMPUTED_VALUE"""),"[]")</f>
        <v>[]</v>
      </c>
      <c r="X4425" s="6" t="str">
        <f>IFERROR(__xludf.DUMMYFUNCTION("""COMPUTED_VALUE"""),"Enrolled")</f>
        <v>Enrolled</v>
      </c>
    </row>
    <row r="4426">
      <c r="A4426" s="6" t="str">
        <f>IFERROR(__xludf.DUMMYFUNCTION("""COMPUTED_VALUE"""),"083-11713")</f>
        <v>083-11713</v>
      </c>
      <c r="B4426" s="6" t="str">
        <f>IFERROR(__xludf.DUMMYFUNCTION("""COMPUTED_VALUE"""),"83")</f>
        <v>83</v>
      </c>
      <c r="C4426" s="6" t="str">
        <f>IFERROR(__xludf.DUMMYFUNCTION("""COMPUTED_VALUE"""),"11713")</f>
        <v>11713</v>
      </c>
      <c r="D4426" s="6" t="str">
        <f>IFERROR(__xludf.DUMMYFUNCTION("""COMPUTED_VALUE"""),"Kevin")</f>
        <v>Kevin</v>
      </c>
      <c r="E4426" s="6" t="str">
        <f>IFERROR(__xludf.DUMMYFUNCTION("""COMPUTED_VALUE"""),"")</f>
        <v/>
      </c>
      <c r="F4426" s="6" t="str">
        <f>IFERROR(__xludf.DUMMYFUNCTION("""COMPUTED_VALUE"""),"Guillen Hernandez")</f>
        <v>Guillen Hernandez</v>
      </c>
      <c r="G4426" s="6" t="str">
        <f>IFERROR(__xludf.DUMMYFUNCTION("""COMPUTED_VALUE"""),"03/23/2017")</f>
        <v>03/23/2017</v>
      </c>
      <c r="H4426" s="6" t="str">
        <f>IFERROR(__xludf.DUMMYFUNCTION("""COMPUTED_VALUE"""),"male")</f>
        <v>male</v>
      </c>
      <c r="I4426" s="6" t="str">
        <f>IFERROR(__xludf.DUMMYFUNCTION("""COMPUTED_VALUE"""),"Level 1")</f>
        <v>Level 1</v>
      </c>
      <c r="J4426" s="6" t="str">
        <f>IFERROR(__xludf.DUMMYFUNCTION("""COMPUTED_VALUE"""),"3")</f>
        <v>3</v>
      </c>
      <c r="K4426" s="6" t="str">
        <f>IFERROR(__xludf.DUMMYFUNCTION("""COMPUTED_VALUE"""),"kevin.guillenhernandez@2hourlearning.com")</f>
        <v>kevin.guillenhernandez@2hourlearning.com</v>
      </c>
      <c r="L4426" s="6" t="str">
        <f>IFERROR(__xludf.DUMMYFUNCTION("""COMPUTED_VALUE"""),"JHES - Hardeeville Elementary School")</f>
        <v>JHES - Hardeeville Elementary School</v>
      </c>
      <c r="M4426" s="6" t="str">
        <f>IFERROR(__xludf.DUMMYFUNCTION("""COMPUTED_VALUE"""),"")</f>
        <v/>
      </c>
      <c r="N4426" s="6" t="str">
        <f>IFERROR(__xludf.DUMMYFUNCTION("""COMPUTED_VALUE"""),"")</f>
        <v/>
      </c>
      <c r="O4426" s="87" t="str">
        <f>IFERROR(__xludf.DUMMYFUNCTION("""COMPUTED_VALUE"""),"https://drive.google.com/drive/folders/10T2cTQHqEJZqE-st6uFKPoI?usp=share_link")</f>
        <v>https://drive.google.com/drive/folders/10T2cTQHqEJZqE-st6uFKPoI?usp=share_link</v>
      </c>
      <c r="P4426" s="6" t="str">
        <f>IFERROR(__xludf.DUMMYFUNCTION("""COMPUTED_VALUE"""),"Kevin Guillen Hernandez")</f>
        <v>Kevin Guillen Hernandez</v>
      </c>
      <c r="Q4426" s="6" t="str">
        <f>IFERROR(__xludf.DUMMYFUNCTION("""COMPUTED_VALUE"""),"L1")</f>
        <v>L1</v>
      </c>
      <c r="R4426" s="6">
        <f>IFERROR(__xludf.DUMMYFUNCTION("""COMPUTED_VALUE"""),1.0)</f>
        <v>1</v>
      </c>
      <c r="S4426" s="6" t="str">
        <f>IFERROR(__xludf.DUMMYFUNCTION("""COMPUTED_VALUE""")," ")</f>
        <v> </v>
      </c>
      <c r="T4426" s="6" t="str">
        <f>IFERROR(__xludf.DUMMYFUNCTION("""COMPUTED_VALUE"""),"")</f>
        <v/>
      </c>
      <c r="U4426" s="6" t="str">
        <f>IFERROR(__xludf.DUMMYFUNCTION("""COMPUTED_VALUE"""),"3")</f>
        <v>3</v>
      </c>
      <c r="V4426" s="6" t="str">
        <f>IFERROR(__xludf.DUMMYFUNCTION("""COMPUTED_VALUE"""),"")</f>
        <v/>
      </c>
      <c r="W4426" s="6" t="str">
        <f>IFERROR(__xludf.DUMMYFUNCTION("""COMPUTED_VALUE"""),"[]")</f>
        <v>[]</v>
      </c>
      <c r="X4426" s="6" t="str">
        <f>IFERROR(__xludf.DUMMYFUNCTION("""COMPUTED_VALUE"""),"Enrolled")</f>
        <v>Enrolled</v>
      </c>
    </row>
    <row r="4427">
      <c r="A4427" s="6" t="str">
        <f>IFERROR(__xludf.DUMMYFUNCTION("""COMPUTED_VALUE"""),"083-11714")</f>
        <v>083-11714</v>
      </c>
      <c r="B4427" s="6" t="str">
        <f>IFERROR(__xludf.DUMMYFUNCTION("""COMPUTED_VALUE"""),"83")</f>
        <v>83</v>
      </c>
      <c r="C4427" s="6" t="str">
        <f>IFERROR(__xludf.DUMMYFUNCTION("""COMPUTED_VALUE"""),"11714")</f>
        <v>11714</v>
      </c>
      <c r="D4427" s="6" t="str">
        <f>IFERROR(__xludf.DUMMYFUNCTION("""COMPUTED_VALUE"""),"Alessia del Carmen")</f>
        <v>Alessia del Carmen</v>
      </c>
      <c r="E4427" s="6" t="str">
        <f>IFERROR(__xludf.DUMMYFUNCTION("""COMPUTED_VALUE"""),"")</f>
        <v/>
      </c>
      <c r="F4427" s="6" t="str">
        <f>IFERROR(__xludf.DUMMYFUNCTION("""COMPUTED_VALUE"""),"Hernandez de la Cruz")</f>
        <v>Hernandez de la Cruz</v>
      </c>
      <c r="G4427" s="6" t="str">
        <f>IFERROR(__xludf.DUMMYFUNCTION("""COMPUTED_VALUE"""),"01/25/2017")</f>
        <v>01/25/2017</v>
      </c>
      <c r="H4427" s="6" t="str">
        <f>IFERROR(__xludf.DUMMYFUNCTION("""COMPUTED_VALUE"""),"female")</f>
        <v>female</v>
      </c>
      <c r="I4427" s="6" t="str">
        <f>IFERROR(__xludf.DUMMYFUNCTION("""COMPUTED_VALUE"""),"Level 1")</f>
        <v>Level 1</v>
      </c>
      <c r="J4427" s="6" t="str">
        <f>IFERROR(__xludf.DUMMYFUNCTION("""COMPUTED_VALUE"""),"3")</f>
        <v>3</v>
      </c>
      <c r="K4427" s="6" t="str">
        <f>IFERROR(__xludf.DUMMYFUNCTION("""COMPUTED_VALUE"""),"alessiadelcarmen.hernandezdelacruz@2hourlearning.com")</f>
        <v>alessiadelcarmen.hernandezdelacruz@2hourlearning.com</v>
      </c>
      <c r="L4427" s="6" t="str">
        <f>IFERROR(__xludf.DUMMYFUNCTION("""COMPUTED_VALUE"""),"JHES - Hardeeville Elementary School")</f>
        <v>JHES - Hardeeville Elementary School</v>
      </c>
      <c r="M4427" s="6" t="str">
        <f>IFERROR(__xludf.DUMMYFUNCTION("""COMPUTED_VALUE"""),"")</f>
        <v/>
      </c>
      <c r="N4427" s="6" t="str">
        <f>IFERROR(__xludf.DUMMYFUNCTION("""COMPUTED_VALUE"""),"")</f>
        <v/>
      </c>
      <c r="O4427" s="87" t="str">
        <f>IFERROR(__xludf.DUMMYFUNCTION("""COMPUTED_VALUE"""),"https://drive.google.com/drive/folders/10T2cTQHqEJZqE-st6uFKPoI?usp=share_link")</f>
        <v>https://drive.google.com/drive/folders/10T2cTQHqEJZqE-st6uFKPoI?usp=share_link</v>
      </c>
      <c r="P4427" s="6" t="str">
        <f>IFERROR(__xludf.DUMMYFUNCTION("""COMPUTED_VALUE"""),"Alessia del Carmen Hernandez de la Cruz")</f>
        <v>Alessia del Carmen Hernandez de la Cruz</v>
      </c>
      <c r="Q4427" s="6" t="str">
        <f>IFERROR(__xludf.DUMMYFUNCTION("""COMPUTED_VALUE"""),"L1")</f>
        <v>L1</v>
      </c>
      <c r="R4427" s="6">
        <f>IFERROR(__xludf.DUMMYFUNCTION("""COMPUTED_VALUE"""),1.0)</f>
        <v>1</v>
      </c>
      <c r="S4427" s="6" t="str">
        <f>IFERROR(__xludf.DUMMYFUNCTION("""COMPUTED_VALUE""")," ")</f>
        <v> </v>
      </c>
      <c r="T4427" s="6" t="str">
        <f>IFERROR(__xludf.DUMMYFUNCTION("""COMPUTED_VALUE"""),"")</f>
        <v/>
      </c>
      <c r="U4427" s="6" t="str">
        <f>IFERROR(__xludf.DUMMYFUNCTION("""COMPUTED_VALUE"""),"3")</f>
        <v>3</v>
      </c>
      <c r="V4427" s="6" t="str">
        <f>IFERROR(__xludf.DUMMYFUNCTION("""COMPUTED_VALUE"""),"")</f>
        <v/>
      </c>
      <c r="W4427" s="6" t="str">
        <f>IFERROR(__xludf.DUMMYFUNCTION("""COMPUTED_VALUE"""),"[]")</f>
        <v>[]</v>
      </c>
      <c r="X4427" s="6" t="str">
        <f>IFERROR(__xludf.DUMMYFUNCTION("""COMPUTED_VALUE"""),"Enrolled")</f>
        <v>Enrolled</v>
      </c>
    </row>
    <row r="4428">
      <c r="A4428" s="6" t="str">
        <f>IFERROR(__xludf.DUMMYFUNCTION("""COMPUTED_VALUE"""),"083-11715")</f>
        <v>083-11715</v>
      </c>
      <c r="B4428" s="6" t="str">
        <f>IFERROR(__xludf.DUMMYFUNCTION("""COMPUTED_VALUE"""),"83")</f>
        <v>83</v>
      </c>
      <c r="C4428" s="6" t="str">
        <f>IFERROR(__xludf.DUMMYFUNCTION("""COMPUTED_VALUE"""),"11715")</f>
        <v>11715</v>
      </c>
      <c r="D4428" s="6" t="str">
        <f>IFERROR(__xludf.DUMMYFUNCTION("""COMPUTED_VALUE"""),"Beverly")</f>
        <v>Beverly</v>
      </c>
      <c r="E4428" s="6" t="str">
        <f>IFERROR(__xludf.DUMMYFUNCTION("""COMPUTED_VALUE"""),"")</f>
        <v/>
      </c>
      <c r="F4428" s="6" t="str">
        <f>IFERROR(__xludf.DUMMYFUNCTION("""COMPUTED_VALUE"""),"Jacobo-Morales")</f>
        <v>Jacobo-Morales</v>
      </c>
      <c r="G4428" s="6" t="str">
        <f>IFERROR(__xludf.DUMMYFUNCTION("""COMPUTED_VALUE"""),"12/23/2016")</f>
        <v>12/23/2016</v>
      </c>
      <c r="H4428" s="6" t="str">
        <f>IFERROR(__xludf.DUMMYFUNCTION("""COMPUTED_VALUE"""),"female")</f>
        <v>female</v>
      </c>
      <c r="I4428" s="6" t="str">
        <f>IFERROR(__xludf.DUMMYFUNCTION("""COMPUTED_VALUE"""),"Level 1")</f>
        <v>Level 1</v>
      </c>
      <c r="J4428" s="6" t="str">
        <f>IFERROR(__xludf.DUMMYFUNCTION("""COMPUTED_VALUE"""),"3")</f>
        <v>3</v>
      </c>
      <c r="K4428" s="6" t="str">
        <f>IFERROR(__xludf.DUMMYFUNCTION("""COMPUTED_VALUE"""),"beverly.jacobomorales@2hourlearning.com")</f>
        <v>beverly.jacobomorales@2hourlearning.com</v>
      </c>
      <c r="L4428" s="6" t="str">
        <f>IFERROR(__xludf.DUMMYFUNCTION("""COMPUTED_VALUE"""),"JHES - Hardeeville Elementary School")</f>
        <v>JHES - Hardeeville Elementary School</v>
      </c>
      <c r="M4428" s="6" t="str">
        <f>IFERROR(__xludf.DUMMYFUNCTION("""COMPUTED_VALUE"""),"")</f>
        <v/>
      </c>
      <c r="N4428" s="6" t="str">
        <f>IFERROR(__xludf.DUMMYFUNCTION("""COMPUTED_VALUE"""),"")</f>
        <v/>
      </c>
      <c r="O4428" s="87" t="str">
        <f>IFERROR(__xludf.DUMMYFUNCTION("""COMPUTED_VALUE"""),"https://drive.google.com/drive/folders/10T2cTQHqEJZqE-st6uFKPoI?usp=share_link")</f>
        <v>https://drive.google.com/drive/folders/10T2cTQHqEJZqE-st6uFKPoI?usp=share_link</v>
      </c>
      <c r="P4428" s="6" t="str">
        <f>IFERROR(__xludf.DUMMYFUNCTION("""COMPUTED_VALUE"""),"Beverly Jacobo-Morales")</f>
        <v>Beverly Jacobo-Morales</v>
      </c>
      <c r="Q4428" s="6" t="str">
        <f>IFERROR(__xludf.DUMMYFUNCTION("""COMPUTED_VALUE"""),"L1")</f>
        <v>L1</v>
      </c>
      <c r="R4428" s="6">
        <f>IFERROR(__xludf.DUMMYFUNCTION("""COMPUTED_VALUE"""),1.0)</f>
        <v>1</v>
      </c>
      <c r="S4428" s="6" t="str">
        <f>IFERROR(__xludf.DUMMYFUNCTION("""COMPUTED_VALUE""")," ")</f>
        <v> </v>
      </c>
      <c r="T4428" s="6" t="str">
        <f>IFERROR(__xludf.DUMMYFUNCTION("""COMPUTED_VALUE"""),"")</f>
        <v/>
      </c>
      <c r="U4428" s="6" t="str">
        <f>IFERROR(__xludf.DUMMYFUNCTION("""COMPUTED_VALUE"""),"3")</f>
        <v>3</v>
      </c>
      <c r="V4428" s="6" t="str">
        <f>IFERROR(__xludf.DUMMYFUNCTION("""COMPUTED_VALUE"""),"")</f>
        <v/>
      </c>
      <c r="W4428" s="6" t="str">
        <f>IFERROR(__xludf.DUMMYFUNCTION("""COMPUTED_VALUE"""),"[]")</f>
        <v>[]</v>
      </c>
      <c r="X4428" s="6" t="str">
        <f>IFERROR(__xludf.DUMMYFUNCTION("""COMPUTED_VALUE"""),"Enrolled")</f>
        <v>Enrolled</v>
      </c>
    </row>
    <row r="4429">
      <c r="A4429" s="6" t="str">
        <f>IFERROR(__xludf.DUMMYFUNCTION("""COMPUTED_VALUE"""),"083-11716")</f>
        <v>083-11716</v>
      </c>
      <c r="B4429" s="6" t="str">
        <f>IFERROR(__xludf.DUMMYFUNCTION("""COMPUTED_VALUE"""),"83")</f>
        <v>83</v>
      </c>
      <c r="C4429" s="6" t="str">
        <f>IFERROR(__xludf.DUMMYFUNCTION("""COMPUTED_VALUE"""),"11716")</f>
        <v>11716</v>
      </c>
      <c r="D4429" s="6" t="str">
        <f>IFERROR(__xludf.DUMMYFUNCTION("""COMPUTED_VALUE"""),"Eybi")</f>
        <v>Eybi</v>
      </c>
      <c r="E4429" s="6" t="str">
        <f>IFERROR(__xludf.DUMMYFUNCTION("""COMPUTED_VALUE"""),"")</f>
        <v/>
      </c>
      <c r="F4429" s="6" t="str">
        <f>IFERROR(__xludf.DUMMYFUNCTION("""COMPUTED_VALUE"""),"Jimenez Avilez")</f>
        <v>Jimenez Avilez</v>
      </c>
      <c r="G4429" s="6" t="str">
        <f>IFERROR(__xludf.DUMMYFUNCTION("""COMPUTED_VALUE"""),"01/16/2016")</f>
        <v>01/16/2016</v>
      </c>
      <c r="H4429" s="6" t="str">
        <f>IFERROR(__xludf.DUMMYFUNCTION("""COMPUTED_VALUE"""),"female")</f>
        <v>female</v>
      </c>
      <c r="I4429" s="6" t="str">
        <f>IFERROR(__xludf.DUMMYFUNCTION("""COMPUTED_VALUE"""),"Level 1")</f>
        <v>Level 1</v>
      </c>
      <c r="J4429" s="6" t="str">
        <f>IFERROR(__xludf.DUMMYFUNCTION("""COMPUTED_VALUE"""),"3")</f>
        <v>3</v>
      </c>
      <c r="K4429" s="6" t="str">
        <f>IFERROR(__xludf.DUMMYFUNCTION("""COMPUTED_VALUE"""),"eybi.jimenezavilez@2hourlearning.com")</f>
        <v>eybi.jimenezavilez@2hourlearning.com</v>
      </c>
      <c r="L4429" s="6" t="str">
        <f>IFERROR(__xludf.DUMMYFUNCTION("""COMPUTED_VALUE"""),"JHES - Hardeeville Elementary School")</f>
        <v>JHES - Hardeeville Elementary School</v>
      </c>
      <c r="M4429" s="6" t="str">
        <f>IFERROR(__xludf.DUMMYFUNCTION("""COMPUTED_VALUE"""),"")</f>
        <v/>
      </c>
      <c r="N4429" s="6" t="str">
        <f>IFERROR(__xludf.DUMMYFUNCTION("""COMPUTED_VALUE"""),"")</f>
        <v/>
      </c>
      <c r="O4429" s="87" t="str">
        <f>IFERROR(__xludf.DUMMYFUNCTION("""COMPUTED_VALUE"""),"https://drive.google.com/drive/folders/10T2cTQHqEJZqE-st6uFKPoI?usp=share_link")</f>
        <v>https://drive.google.com/drive/folders/10T2cTQHqEJZqE-st6uFKPoI?usp=share_link</v>
      </c>
      <c r="P4429" s="6" t="str">
        <f>IFERROR(__xludf.DUMMYFUNCTION("""COMPUTED_VALUE"""),"Eybi Jimenez Avilez")</f>
        <v>Eybi Jimenez Avilez</v>
      </c>
      <c r="Q4429" s="6" t="str">
        <f>IFERROR(__xludf.DUMMYFUNCTION("""COMPUTED_VALUE"""),"L1")</f>
        <v>L1</v>
      </c>
      <c r="R4429" s="6">
        <f>IFERROR(__xludf.DUMMYFUNCTION("""COMPUTED_VALUE"""),1.0)</f>
        <v>1</v>
      </c>
      <c r="S4429" s="6" t="str">
        <f>IFERROR(__xludf.DUMMYFUNCTION("""COMPUTED_VALUE""")," ")</f>
        <v> </v>
      </c>
      <c r="T4429" s="6" t="str">
        <f>IFERROR(__xludf.DUMMYFUNCTION("""COMPUTED_VALUE"""),"")</f>
        <v/>
      </c>
      <c r="U4429" s="6" t="str">
        <f>IFERROR(__xludf.DUMMYFUNCTION("""COMPUTED_VALUE"""),"3")</f>
        <v>3</v>
      </c>
      <c r="V4429" s="6" t="str">
        <f>IFERROR(__xludf.DUMMYFUNCTION("""COMPUTED_VALUE"""),"")</f>
        <v/>
      </c>
      <c r="W4429" s="6" t="str">
        <f>IFERROR(__xludf.DUMMYFUNCTION("""COMPUTED_VALUE"""),"[]")</f>
        <v>[]</v>
      </c>
      <c r="X4429" s="6" t="str">
        <f>IFERROR(__xludf.DUMMYFUNCTION("""COMPUTED_VALUE"""),"Enrolled")</f>
        <v>Enrolled</v>
      </c>
    </row>
    <row r="4430">
      <c r="A4430" s="6" t="str">
        <f>IFERROR(__xludf.DUMMYFUNCTION("""COMPUTED_VALUE"""),"083-11717")</f>
        <v>083-11717</v>
      </c>
      <c r="B4430" s="6" t="str">
        <f>IFERROR(__xludf.DUMMYFUNCTION("""COMPUTED_VALUE"""),"83")</f>
        <v>83</v>
      </c>
      <c r="C4430" s="6" t="str">
        <f>IFERROR(__xludf.DUMMYFUNCTION("""COMPUTED_VALUE"""),"11717")</f>
        <v>11717</v>
      </c>
      <c r="D4430" s="6" t="str">
        <f>IFERROR(__xludf.DUMMYFUNCTION("""COMPUTED_VALUE"""),"Jaden")</f>
        <v>Jaden</v>
      </c>
      <c r="E4430" s="6" t="str">
        <f>IFERROR(__xludf.DUMMYFUNCTION("""COMPUTED_VALUE"""),"")</f>
        <v/>
      </c>
      <c r="F4430" s="6" t="str">
        <f>IFERROR(__xludf.DUMMYFUNCTION("""COMPUTED_VALUE"""),"Morales-Roblero")</f>
        <v>Morales-Roblero</v>
      </c>
      <c r="G4430" s="6" t="str">
        <f>IFERROR(__xludf.DUMMYFUNCTION("""COMPUTED_VALUE"""),"04/14/2017")</f>
        <v>04/14/2017</v>
      </c>
      <c r="H4430" s="6" t="str">
        <f>IFERROR(__xludf.DUMMYFUNCTION("""COMPUTED_VALUE"""),"male")</f>
        <v>male</v>
      </c>
      <c r="I4430" s="6" t="str">
        <f>IFERROR(__xludf.DUMMYFUNCTION("""COMPUTED_VALUE"""),"Level 1")</f>
        <v>Level 1</v>
      </c>
      <c r="J4430" s="6" t="str">
        <f>IFERROR(__xludf.DUMMYFUNCTION("""COMPUTED_VALUE"""),"3")</f>
        <v>3</v>
      </c>
      <c r="K4430" s="6" t="str">
        <f>IFERROR(__xludf.DUMMYFUNCTION("""COMPUTED_VALUE"""),"jaden.moralesroblero@2hourlearning.com")</f>
        <v>jaden.moralesroblero@2hourlearning.com</v>
      </c>
      <c r="L4430" s="6" t="str">
        <f>IFERROR(__xludf.DUMMYFUNCTION("""COMPUTED_VALUE"""),"JHES - Hardeeville Elementary School")</f>
        <v>JHES - Hardeeville Elementary School</v>
      </c>
      <c r="M4430" s="6" t="str">
        <f>IFERROR(__xludf.DUMMYFUNCTION("""COMPUTED_VALUE"""),"")</f>
        <v/>
      </c>
      <c r="N4430" s="6" t="str">
        <f>IFERROR(__xludf.DUMMYFUNCTION("""COMPUTED_VALUE"""),"")</f>
        <v/>
      </c>
      <c r="O4430" s="87" t="str">
        <f>IFERROR(__xludf.DUMMYFUNCTION("""COMPUTED_VALUE"""),"https://drive.google.com/drive/folders/10T2cTQHqEJZqE-st6uFKPoI?usp=share_link")</f>
        <v>https://drive.google.com/drive/folders/10T2cTQHqEJZqE-st6uFKPoI?usp=share_link</v>
      </c>
      <c r="P4430" s="6" t="str">
        <f>IFERROR(__xludf.DUMMYFUNCTION("""COMPUTED_VALUE"""),"Jaden Morales-Roblero")</f>
        <v>Jaden Morales-Roblero</v>
      </c>
      <c r="Q4430" s="6" t="str">
        <f>IFERROR(__xludf.DUMMYFUNCTION("""COMPUTED_VALUE"""),"L1")</f>
        <v>L1</v>
      </c>
      <c r="R4430" s="6">
        <f>IFERROR(__xludf.DUMMYFUNCTION("""COMPUTED_VALUE"""),1.0)</f>
        <v>1</v>
      </c>
      <c r="S4430" s="6" t="str">
        <f>IFERROR(__xludf.DUMMYFUNCTION("""COMPUTED_VALUE""")," ")</f>
        <v> </v>
      </c>
      <c r="T4430" s="6" t="str">
        <f>IFERROR(__xludf.DUMMYFUNCTION("""COMPUTED_VALUE"""),"")</f>
        <v/>
      </c>
      <c r="U4430" s="6" t="str">
        <f>IFERROR(__xludf.DUMMYFUNCTION("""COMPUTED_VALUE"""),"3")</f>
        <v>3</v>
      </c>
      <c r="V4430" s="6" t="str">
        <f>IFERROR(__xludf.DUMMYFUNCTION("""COMPUTED_VALUE"""),"")</f>
        <v/>
      </c>
      <c r="W4430" s="6" t="str">
        <f>IFERROR(__xludf.DUMMYFUNCTION("""COMPUTED_VALUE"""),"[]")</f>
        <v>[]</v>
      </c>
      <c r="X4430" s="6" t="str">
        <f>IFERROR(__xludf.DUMMYFUNCTION("""COMPUTED_VALUE"""),"Enrolled")</f>
        <v>Enrolled</v>
      </c>
    </row>
    <row r="4431">
      <c r="A4431" s="6" t="str">
        <f>IFERROR(__xludf.DUMMYFUNCTION("""COMPUTED_VALUE"""),"083-11718")</f>
        <v>083-11718</v>
      </c>
      <c r="B4431" s="6" t="str">
        <f>IFERROR(__xludf.DUMMYFUNCTION("""COMPUTED_VALUE"""),"83")</f>
        <v>83</v>
      </c>
      <c r="C4431" s="6" t="str">
        <f>IFERROR(__xludf.DUMMYFUNCTION("""COMPUTED_VALUE"""),"11718")</f>
        <v>11718</v>
      </c>
      <c r="D4431" s="6" t="str">
        <f>IFERROR(__xludf.DUMMYFUNCTION("""COMPUTED_VALUE"""),"Chris")</f>
        <v>Chris</v>
      </c>
      <c r="E4431" s="6" t="str">
        <f>IFERROR(__xludf.DUMMYFUNCTION("""COMPUTED_VALUE"""),"")</f>
        <v/>
      </c>
      <c r="F4431" s="6" t="str">
        <f>IFERROR(__xludf.DUMMYFUNCTION("""COMPUTED_VALUE"""),"Padilla Romero")</f>
        <v>Padilla Romero</v>
      </c>
      <c r="G4431" s="6" t="str">
        <f>IFERROR(__xludf.DUMMYFUNCTION("""COMPUTED_VALUE"""),"05/21/2017")</f>
        <v>05/21/2017</v>
      </c>
      <c r="H4431" s="6" t="str">
        <f>IFERROR(__xludf.DUMMYFUNCTION("""COMPUTED_VALUE"""),"male")</f>
        <v>male</v>
      </c>
      <c r="I4431" s="6" t="str">
        <f>IFERROR(__xludf.DUMMYFUNCTION("""COMPUTED_VALUE"""),"Level 1")</f>
        <v>Level 1</v>
      </c>
      <c r="J4431" s="6" t="str">
        <f>IFERROR(__xludf.DUMMYFUNCTION("""COMPUTED_VALUE"""),"3")</f>
        <v>3</v>
      </c>
      <c r="K4431" s="6" t="str">
        <f>IFERROR(__xludf.DUMMYFUNCTION("""COMPUTED_VALUE"""),"chris.padillaromero@2hourlearning.com")</f>
        <v>chris.padillaromero@2hourlearning.com</v>
      </c>
      <c r="L4431" s="6" t="str">
        <f>IFERROR(__xludf.DUMMYFUNCTION("""COMPUTED_VALUE"""),"JHES - Hardeeville Elementary School")</f>
        <v>JHES - Hardeeville Elementary School</v>
      </c>
      <c r="M4431" s="6" t="str">
        <f>IFERROR(__xludf.DUMMYFUNCTION("""COMPUTED_VALUE"""),"")</f>
        <v/>
      </c>
      <c r="N4431" s="6" t="str">
        <f>IFERROR(__xludf.DUMMYFUNCTION("""COMPUTED_VALUE"""),"")</f>
        <v/>
      </c>
      <c r="O4431" s="87" t="str">
        <f>IFERROR(__xludf.DUMMYFUNCTION("""COMPUTED_VALUE"""),"https://drive.google.com/drive/folders/10T2cTQHqEJZqE-st6uFKPoI?usp=share_link")</f>
        <v>https://drive.google.com/drive/folders/10T2cTQHqEJZqE-st6uFKPoI?usp=share_link</v>
      </c>
      <c r="P4431" s="6" t="str">
        <f>IFERROR(__xludf.DUMMYFUNCTION("""COMPUTED_VALUE"""),"Chris Padilla Romero")</f>
        <v>Chris Padilla Romero</v>
      </c>
      <c r="Q4431" s="6" t="str">
        <f>IFERROR(__xludf.DUMMYFUNCTION("""COMPUTED_VALUE"""),"L1")</f>
        <v>L1</v>
      </c>
      <c r="R4431" s="6">
        <f>IFERROR(__xludf.DUMMYFUNCTION("""COMPUTED_VALUE"""),1.0)</f>
        <v>1</v>
      </c>
      <c r="S4431" s="6" t="str">
        <f>IFERROR(__xludf.DUMMYFUNCTION("""COMPUTED_VALUE""")," ")</f>
        <v> </v>
      </c>
      <c r="T4431" s="6" t="str">
        <f>IFERROR(__xludf.DUMMYFUNCTION("""COMPUTED_VALUE"""),"")</f>
        <v/>
      </c>
      <c r="U4431" s="6" t="str">
        <f>IFERROR(__xludf.DUMMYFUNCTION("""COMPUTED_VALUE"""),"3")</f>
        <v>3</v>
      </c>
      <c r="V4431" s="6" t="str">
        <f>IFERROR(__xludf.DUMMYFUNCTION("""COMPUTED_VALUE"""),"")</f>
        <v/>
      </c>
      <c r="W4431" s="6" t="str">
        <f>IFERROR(__xludf.DUMMYFUNCTION("""COMPUTED_VALUE"""),"[]")</f>
        <v>[]</v>
      </c>
      <c r="X4431" s="6" t="str">
        <f>IFERROR(__xludf.DUMMYFUNCTION("""COMPUTED_VALUE"""),"Enrolled")</f>
        <v>Enrolled</v>
      </c>
    </row>
    <row r="4432">
      <c r="A4432" s="6" t="str">
        <f>IFERROR(__xludf.DUMMYFUNCTION("""COMPUTED_VALUE"""),"083-11719")</f>
        <v>083-11719</v>
      </c>
      <c r="B4432" s="6" t="str">
        <f>IFERROR(__xludf.DUMMYFUNCTION("""COMPUTED_VALUE"""),"83")</f>
        <v>83</v>
      </c>
      <c r="C4432" s="6" t="str">
        <f>IFERROR(__xludf.DUMMYFUNCTION("""COMPUTED_VALUE"""),"11719")</f>
        <v>11719</v>
      </c>
      <c r="D4432" s="6" t="str">
        <f>IFERROR(__xludf.DUMMYFUNCTION("""COMPUTED_VALUE"""),"JaDerius")</f>
        <v>JaDerius</v>
      </c>
      <c r="E4432" s="6" t="str">
        <f>IFERROR(__xludf.DUMMYFUNCTION("""COMPUTED_VALUE"""),"")</f>
        <v/>
      </c>
      <c r="F4432" s="6" t="str">
        <f>IFERROR(__xludf.DUMMYFUNCTION("""COMPUTED_VALUE"""),"Redenburg")</f>
        <v>Redenburg</v>
      </c>
      <c r="G4432" s="6" t="str">
        <f>IFERROR(__xludf.DUMMYFUNCTION("""COMPUTED_VALUE"""),"11/11/2015")</f>
        <v>11/11/2015</v>
      </c>
      <c r="H4432" s="6" t="str">
        <f>IFERROR(__xludf.DUMMYFUNCTION("""COMPUTED_VALUE"""),"male")</f>
        <v>male</v>
      </c>
      <c r="I4432" s="6" t="str">
        <f>IFERROR(__xludf.DUMMYFUNCTION("""COMPUTED_VALUE"""),"Level 1")</f>
        <v>Level 1</v>
      </c>
      <c r="J4432" s="6" t="str">
        <f>IFERROR(__xludf.DUMMYFUNCTION("""COMPUTED_VALUE"""),"3")</f>
        <v>3</v>
      </c>
      <c r="K4432" s="6" t="str">
        <f>IFERROR(__xludf.DUMMYFUNCTION("""COMPUTED_VALUE"""),"jaderius.redenburg@2hourlearning.com")</f>
        <v>jaderius.redenburg@2hourlearning.com</v>
      </c>
      <c r="L4432" s="6" t="str">
        <f>IFERROR(__xludf.DUMMYFUNCTION("""COMPUTED_VALUE"""),"JHES - Hardeeville Elementary School")</f>
        <v>JHES - Hardeeville Elementary School</v>
      </c>
      <c r="M4432" s="6" t="str">
        <f>IFERROR(__xludf.DUMMYFUNCTION("""COMPUTED_VALUE"""),"")</f>
        <v/>
      </c>
      <c r="N4432" s="6" t="str">
        <f>IFERROR(__xludf.DUMMYFUNCTION("""COMPUTED_VALUE"""),"")</f>
        <v/>
      </c>
      <c r="O4432" s="87" t="str">
        <f>IFERROR(__xludf.DUMMYFUNCTION("""COMPUTED_VALUE"""),"https://drive.google.com/drive/folders/10T2cTQHqEJZqE-st6uFKPoI?usp=share_link")</f>
        <v>https://drive.google.com/drive/folders/10T2cTQHqEJZqE-st6uFKPoI?usp=share_link</v>
      </c>
      <c r="P4432" s="6" t="str">
        <f>IFERROR(__xludf.DUMMYFUNCTION("""COMPUTED_VALUE"""),"JaDerius Redenburg")</f>
        <v>JaDerius Redenburg</v>
      </c>
      <c r="Q4432" s="6" t="str">
        <f>IFERROR(__xludf.DUMMYFUNCTION("""COMPUTED_VALUE"""),"L1")</f>
        <v>L1</v>
      </c>
      <c r="R4432" s="6">
        <f>IFERROR(__xludf.DUMMYFUNCTION("""COMPUTED_VALUE"""),1.0)</f>
        <v>1</v>
      </c>
      <c r="S4432" s="6" t="str">
        <f>IFERROR(__xludf.DUMMYFUNCTION("""COMPUTED_VALUE""")," ")</f>
        <v> </v>
      </c>
      <c r="T4432" s="6" t="str">
        <f>IFERROR(__xludf.DUMMYFUNCTION("""COMPUTED_VALUE"""),"")</f>
        <v/>
      </c>
      <c r="U4432" s="6" t="str">
        <f>IFERROR(__xludf.DUMMYFUNCTION("""COMPUTED_VALUE"""),"3")</f>
        <v>3</v>
      </c>
      <c r="V4432" s="6" t="str">
        <f>IFERROR(__xludf.DUMMYFUNCTION("""COMPUTED_VALUE"""),"")</f>
        <v/>
      </c>
      <c r="W4432" s="6" t="str">
        <f>IFERROR(__xludf.DUMMYFUNCTION("""COMPUTED_VALUE"""),"[]")</f>
        <v>[]</v>
      </c>
      <c r="X4432" s="6" t="str">
        <f>IFERROR(__xludf.DUMMYFUNCTION("""COMPUTED_VALUE"""),"Enrolled")</f>
        <v>Enrolled</v>
      </c>
    </row>
    <row r="4433">
      <c r="A4433" s="6" t="str">
        <f>IFERROR(__xludf.DUMMYFUNCTION("""COMPUTED_VALUE"""),"083-11720")</f>
        <v>083-11720</v>
      </c>
      <c r="B4433" s="6" t="str">
        <f>IFERROR(__xludf.DUMMYFUNCTION("""COMPUTED_VALUE"""),"83")</f>
        <v>83</v>
      </c>
      <c r="C4433" s="6" t="str">
        <f>IFERROR(__xludf.DUMMYFUNCTION("""COMPUTED_VALUE"""),"11720")</f>
        <v>11720</v>
      </c>
      <c r="D4433" s="6" t="str">
        <f>IFERROR(__xludf.DUMMYFUNCTION("""COMPUTED_VALUE"""),"Karla")</f>
        <v>Karla</v>
      </c>
      <c r="E4433" s="6" t="str">
        <f>IFERROR(__xludf.DUMMYFUNCTION("""COMPUTED_VALUE"""),"")</f>
        <v/>
      </c>
      <c r="F4433" s="6" t="str">
        <f>IFERROR(__xludf.DUMMYFUNCTION("""COMPUTED_VALUE"""),"Rivera Lopez")</f>
        <v>Rivera Lopez</v>
      </c>
      <c r="G4433" s="6" t="str">
        <f>IFERROR(__xludf.DUMMYFUNCTION("""COMPUTED_VALUE"""),"06/04/2017")</f>
        <v>06/04/2017</v>
      </c>
      <c r="H4433" s="6" t="str">
        <f>IFERROR(__xludf.DUMMYFUNCTION("""COMPUTED_VALUE"""),"female")</f>
        <v>female</v>
      </c>
      <c r="I4433" s="6" t="str">
        <f>IFERROR(__xludf.DUMMYFUNCTION("""COMPUTED_VALUE"""),"Level 1")</f>
        <v>Level 1</v>
      </c>
      <c r="J4433" s="6" t="str">
        <f>IFERROR(__xludf.DUMMYFUNCTION("""COMPUTED_VALUE"""),"3")</f>
        <v>3</v>
      </c>
      <c r="K4433" s="6" t="str">
        <f>IFERROR(__xludf.DUMMYFUNCTION("""COMPUTED_VALUE"""),"karla.riveralopez@2hourlearning.com")</f>
        <v>karla.riveralopez@2hourlearning.com</v>
      </c>
      <c r="L4433" s="6" t="str">
        <f>IFERROR(__xludf.DUMMYFUNCTION("""COMPUTED_VALUE"""),"JHES - Hardeeville Elementary School")</f>
        <v>JHES - Hardeeville Elementary School</v>
      </c>
      <c r="M4433" s="6" t="str">
        <f>IFERROR(__xludf.DUMMYFUNCTION("""COMPUTED_VALUE"""),"")</f>
        <v/>
      </c>
      <c r="N4433" s="6" t="str">
        <f>IFERROR(__xludf.DUMMYFUNCTION("""COMPUTED_VALUE"""),"")</f>
        <v/>
      </c>
      <c r="O4433" s="87" t="str">
        <f>IFERROR(__xludf.DUMMYFUNCTION("""COMPUTED_VALUE"""),"https://drive.google.com/drive/folders/10T2cTQHqEJZqE-st6uFKPoI?usp=share_link")</f>
        <v>https://drive.google.com/drive/folders/10T2cTQHqEJZqE-st6uFKPoI?usp=share_link</v>
      </c>
      <c r="P4433" s="6" t="str">
        <f>IFERROR(__xludf.DUMMYFUNCTION("""COMPUTED_VALUE"""),"Karla Rivera Lopez")</f>
        <v>Karla Rivera Lopez</v>
      </c>
      <c r="Q4433" s="6" t="str">
        <f>IFERROR(__xludf.DUMMYFUNCTION("""COMPUTED_VALUE"""),"L1")</f>
        <v>L1</v>
      </c>
      <c r="R4433" s="6">
        <f>IFERROR(__xludf.DUMMYFUNCTION("""COMPUTED_VALUE"""),1.0)</f>
        <v>1</v>
      </c>
      <c r="S4433" s="6" t="str">
        <f>IFERROR(__xludf.DUMMYFUNCTION("""COMPUTED_VALUE""")," ")</f>
        <v> </v>
      </c>
      <c r="T4433" s="6" t="str">
        <f>IFERROR(__xludf.DUMMYFUNCTION("""COMPUTED_VALUE"""),"")</f>
        <v/>
      </c>
      <c r="U4433" s="6" t="str">
        <f>IFERROR(__xludf.DUMMYFUNCTION("""COMPUTED_VALUE"""),"3")</f>
        <v>3</v>
      </c>
      <c r="V4433" s="6" t="str">
        <f>IFERROR(__xludf.DUMMYFUNCTION("""COMPUTED_VALUE"""),"")</f>
        <v/>
      </c>
      <c r="W4433" s="6" t="str">
        <f>IFERROR(__xludf.DUMMYFUNCTION("""COMPUTED_VALUE"""),"[]")</f>
        <v>[]</v>
      </c>
      <c r="X4433" s="6" t="str">
        <f>IFERROR(__xludf.DUMMYFUNCTION("""COMPUTED_VALUE"""),"Enrolled")</f>
        <v>Enrolled</v>
      </c>
    </row>
    <row r="4434">
      <c r="A4434" s="6" t="str">
        <f>IFERROR(__xludf.DUMMYFUNCTION("""COMPUTED_VALUE"""),"083-11721")</f>
        <v>083-11721</v>
      </c>
      <c r="B4434" s="6" t="str">
        <f>IFERROR(__xludf.DUMMYFUNCTION("""COMPUTED_VALUE"""),"83")</f>
        <v>83</v>
      </c>
      <c r="C4434" s="6" t="str">
        <f>IFERROR(__xludf.DUMMYFUNCTION("""COMPUTED_VALUE"""),"11721")</f>
        <v>11721</v>
      </c>
      <c r="D4434" s="6" t="str">
        <f>IFERROR(__xludf.DUMMYFUNCTION("""COMPUTED_VALUE"""),"Skyler Armani")</f>
        <v>Skyler Armani</v>
      </c>
      <c r="E4434" s="6" t="str">
        <f>IFERROR(__xludf.DUMMYFUNCTION("""COMPUTED_VALUE"""),"")</f>
        <v/>
      </c>
      <c r="F4434" s="6" t="str">
        <f>IFERROR(__xludf.DUMMYFUNCTION("""COMPUTED_VALUE"""),"Rivers")</f>
        <v>Rivers</v>
      </c>
      <c r="G4434" s="6" t="str">
        <f>IFERROR(__xludf.DUMMYFUNCTION("""COMPUTED_VALUE"""),"01/15/2017")</f>
        <v>01/15/2017</v>
      </c>
      <c r="H4434" s="6" t="str">
        <f>IFERROR(__xludf.DUMMYFUNCTION("""COMPUTED_VALUE"""),"male")</f>
        <v>male</v>
      </c>
      <c r="I4434" s="6" t="str">
        <f>IFERROR(__xludf.DUMMYFUNCTION("""COMPUTED_VALUE"""),"Level 1")</f>
        <v>Level 1</v>
      </c>
      <c r="J4434" s="6" t="str">
        <f>IFERROR(__xludf.DUMMYFUNCTION("""COMPUTED_VALUE"""),"3")</f>
        <v>3</v>
      </c>
      <c r="K4434" s="6" t="str">
        <f>IFERROR(__xludf.DUMMYFUNCTION("""COMPUTED_VALUE"""),"skylerarmani.rivers@2hourlearning.com")</f>
        <v>skylerarmani.rivers@2hourlearning.com</v>
      </c>
      <c r="L4434" s="6" t="str">
        <f>IFERROR(__xludf.DUMMYFUNCTION("""COMPUTED_VALUE"""),"JHES - Hardeeville Elementary School")</f>
        <v>JHES - Hardeeville Elementary School</v>
      </c>
      <c r="M4434" s="6" t="str">
        <f>IFERROR(__xludf.DUMMYFUNCTION("""COMPUTED_VALUE"""),"")</f>
        <v/>
      </c>
      <c r="N4434" s="6" t="str">
        <f>IFERROR(__xludf.DUMMYFUNCTION("""COMPUTED_VALUE"""),"")</f>
        <v/>
      </c>
      <c r="O4434" s="87" t="str">
        <f>IFERROR(__xludf.DUMMYFUNCTION("""COMPUTED_VALUE"""),"https://drive.google.com/drive/folders/10T2cTQHqEJZqE-st6uFKPoI?usp=share_link")</f>
        <v>https://drive.google.com/drive/folders/10T2cTQHqEJZqE-st6uFKPoI?usp=share_link</v>
      </c>
      <c r="P4434" s="6" t="str">
        <f>IFERROR(__xludf.DUMMYFUNCTION("""COMPUTED_VALUE"""),"Skyler Armani Rivers")</f>
        <v>Skyler Armani Rivers</v>
      </c>
      <c r="Q4434" s="6" t="str">
        <f>IFERROR(__xludf.DUMMYFUNCTION("""COMPUTED_VALUE"""),"L1")</f>
        <v>L1</v>
      </c>
      <c r="R4434" s="6">
        <f>IFERROR(__xludf.DUMMYFUNCTION("""COMPUTED_VALUE"""),1.0)</f>
        <v>1</v>
      </c>
      <c r="S4434" s="6" t="str">
        <f>IFERROR(__xludf.DUMMYFUNCTION("""COMPUTED_VALUE""")," ")</f>
        <v> </v>
      </c>
      <c r="T4434" s="6" t="str">
        <f>IFERROR(__xludf.DUMMYFUNCTION("""COMPUTED_VALUE"""),"")</f>
        <v/>
      </c>
      <c r="U4434" s="6" t="str">
        <f>IFERROR(__xludf.DUMMYFUNCTION("""COMPUTED_VALUE"""),"3")</f>
        <v>3</v>
      </c>
      <c r="V4434" s="6" t="str">
        <f>IFERROR(__xludf.DUMMYFUNCTION("""COMPUTED_VALUE"""),"")</f>
        <v/>
      </c>
      <c r="W4434" s="6" t="str">
        <f>IFERROR(__xludf.DUMMYFUNCTION("""COMPUTED_VALUE"""),"[]")</f>
        <v>[]</v>
      </c>
      <c r="X4434" s="6" t="str">
        <f>IFERROR(__xludf.DUMMYFUNCTION("""COMPUTED_VALUE"""),"Enrolled")</f>
        <v>Enrolled</v>
      </c>
    </row>
    <row r="4435">
      <c r="A4435" s="6" t="str">
        <f>IFERROR(__xludf.DUMMYFUNCTION("""COMPUTED_VALUE"""),"083-11722")</f>
        <v>083-11722</v>
      </c>
      <c r="B4435" s="6" t="str">
        <f>IFERROR(__xludf.DUMMYFUNCTION("""COMPUTED_VALUE"""),"83")</f>
        <v>83</v>
      </c>
      <c r="C4435" s="6" t="str">
        <f>IFERROR(__xludf.DUMMYFUNCTION("""COMPUTED_VALUE"""),"11722")</f>
        <v>11722</v>
      </c>
      <c r="D4435" s="6" t="str">
        <f>IFERROR(__xludf.DUMMYFUNCTION("""COMPUTED_VALUE"""),"Kingston J")</f>
        <v>Kingston J</v>
      </c>
      <c r="E4435" s="6" t="str">
        <f>IFERROR(__xludf.DUMMYFUNCTION("""COMPUTED_VALUE"""),"")</f>
        <v/>
      </c>
      <c r="F4435" s="6" t="str">
        <f>IFERROR(__xludf.DUMMYFUNCTION("""COMPUTED_VALUE"""),"Stevenson")</f>
        <v>Stevenson</v>
      </c>
      <c r="G4435" s="6" t="str">
        <f>IFERROR(__xludf.DUMMYFUNCTION("""COMPUTED_VALUE"""),"01/04/2017")</f>
        <v>01/04/2017</v>
      </c>
      <c r="H4435" s="6" t="str">
        <f>IFERROR(__xludf.DUMMYFUNCTION("""COMPUTED_VALUE"""),"male")</f>
        <v>male</v>
      </c>
      <c r="I4435" s="6" t="str">
        <f>IFERROR(__xludf.DUMMYFUNCTION("""COMPUTED_VALUE"""),"Level 1")</f>
        <v>Level 1</v>
      </c>
      <c r="J4435" s="6" t="str">
        <f>IFERROR(__xludf.DUMMYFUNCTION("""COMPUTED_VALUE"""),"3")</f>
        <v>3</v>
      </c>
      <c r="K4435" s="6" t="str">
        <f>IFERROR(__xludf.DUMMYFUNCTION("""COMPUTED_VALUE"""),"kingstonj.stevenson@2hourlearning.com")</f>
        <v>kingstonj.stevenson@2hourlearning.com</v>
      </c>
      <c r="L4435" s="6" t="str">
        <f>IFERROR(__xludf.DUMMYFUNCTION("""COMPUTED_VALUE"""),"JHES - Hardeeville Elementary School")</f>
        <v>JHES - Hardeeville Elementary School</v>
      </c>
      <c r="M4435" s="6" t="str">
        <f>IFERROR(__xludf.DUMMYFUNCTION("""COMPUTED_VALUE"""),"")</f>
        <v/>
      </c>
      <c r="N4435" s="6" t="str">
        <f>IFERROR(__xludf.DUMMYFUNCTION("""COMPUTED_VALUE"""),"")</f>
        <v/>
      </c>
      <c r="O4435" s="87" t="str">
        <f>IFERROR(__xludf.DUMMYFUNCTION("""COMPUTED_VALUE"""),"https://drive.google.com/drive/folders/10T2cTQHqEJZqE-st6uFKPoI?usp=share_link")</f>
        <v>https://drive.google.com/drive/folders/10T2cTQHqEJZqE-st6uFKPoI?usp=share_link</v>
      </c>
      <c r="P4435" s="6" t="str">
        <f>IFERROR(__xludf.DUMMYFUNCTION("""COMPUTED_VALUE"""),"Kingston J Stevenson")</f>
        <v>Kingston J Stevenson</v>
      </c>
      <c r="Q4435" s="6" t="str">
        <f>IFERROR(__xludf.DUMMYFUNCTION("""COMPUTED_VALUE"""),"L1")</f>
        <v>L1</v>
      </c>
      <c r="R4435" s="6">
        <f>IFERROR(__xludf.DUMMYFUNCTION("""COMPUTED_VALUE"""),1.0)</f>
        <v>1</v>
      </c>
      <c r="S4435" s="6" t="str">
        <f>IFERROR(__xludf.DUMMYFUNCTION("""COMPUTED_VALUE""")," ")</f>
        <v> </v>
      </c>
      <c r="T4435" s="6" t="str">
        <f>IFERROR(__xludf.DUMMYFUNCTION("""COMPUTED_VALUE"""),"")</f>
        <v/>
      </c>
      <c r="U4435" s="6" t="str">
        <f>IFERROR(__xludf.DUMMYFUNCTION("""COMPUTED_VALUE"""),"3")</f>
        <v>3</v>
      </c>
      <c r="V4435" s="6" t="str">
        <f>IFERROR(__xludf.DUMMYFUNCTION("""COMPUTED_VALUE"""),"")</f>
        <v/>
      </c>
      <c r="W4435" s="6" t="str">
        <f>IFERROR(__xludf.DUMMYFUNCTION("""COMPUTED_VALUE"""),"[]")</f>
        <v>[]</v>
      </c>
      <c r="X4435" s="6" t="str">
        <f>IFERROR(__xludf.DUMMYFUNCTION("""COMPUTED_VALUE"""),"Enrolled")</f>
        <v>Enrolled</v>
      </c>
    </row>
    <row r="4436">
      <c r="A4436" s="6" t="str">
        <f>IFERROR(__xludf.DUMMYFUNCTION("""COMPUTED_VALUE"""),"083-11723")</f>
        <v>083-11723</v>
      </c>
      <c r="B4436" s="6" t="str">
        <f>IFERROR(__xludf.DUMMYFUNCTION("""COMPUTED_VALUE"""),"83")</f>
        <v>83</v>
      </c>
      <c r="C4436" s="6" t="str">
        <f>IFERROR(__xludf.DUMMYFUNCTION("""COMPUTED_VALUE"""),"11723")</f>
        <v>11723</v>
      </c>
      <c r="D4436" s="6" t="str">
        <f>IFERROR(__xludf.DUMMYFUNCTION("""COMPUTED_VALUE"""),"Anthony")</f>
        <v>Anthony</v>
      </c>
      <c r="E4436" s="6" t="str">
        <f>IFERROR(__xludf.DUMMYFUNCTION("""COMPUTED_VALUE"""),"")</f>
        <v/>
      </c>
      <c r="F4436" s="6" t="str">
        <f>IFERROR(__xludf.DUMMYFUNCTION("""COMPUTED_VALUE"""),"Tinoco Gomez")</f>
        <v>Tinoco Gomez</v>
      </c>
      <c r="G4436" s="6" t="str">
        <f>IFERROR(__xludf.DUMMYFUNCTION("""COMPUTED_VALUE"""),"05/23/2016")</f>
        <v>05/23/2016</v>
      </c>
      <c r="H4436" s="6" t="str">
        <f>IFERROR(__xludf.DUMMYFUNCTION("""COMPUTED_VALUE"""),"male")</f>
        <v>male</v>
      </c>
      <c r="I4436" s="6" t="str">
        <f>IFERROR(__xludf.DUMMYFUNCTION("""COMPUTED_VALUE"""),"Level 1")</f>
        <v>Level 1</v>
      </c>
      <c r="J4436" s="6" t="str">
        <f>IFERROR(__xludf.DUMMYFUNCTION("""COMPUTED_VALUE"""),"3")</f>
        <v>3</v>
      </c>
      <c r="K4436" s="6" t="str">
        <f>IFERROR(__xludf.DUMMYFUNCTION("""COMPUTED_VALUE"""),"anthony.tinocogomez@2hourlearning.com")</f>
        <v>anthony.tinocogomez@2hourlearning.com</v>
      </c>
      <c r="L4436" s="6" t="str">
        <f>IFERROR(__xludf.DUMMYFUNCTION("""COMPUTED_VALUE"""),"JHES - Hardeeville Elementary School")</f>
        <v>JHES - Hardeeville Elementary School</v>
      </c>
      <c r="M4436" s="6" t="str">
        <f>IFERROR(__xludf.DUMMYFUNCTION("""COMPUTED_VALUE"""),"")</f>
        <v/>
      </c>
      <c r="N4436" s="6" t="str">
        <f>IFERROR(__xludf.DUMMYFUNCTION("""COMPUTED_VALUE"""),"")</f>
        <v/>
      </c>
      <c r="O4436" s="87" t="str">
        <f>IFERROR(__xludf.DUMMYFUNCTION("""COMPUTED_VALUE"""),"https://drive.google.com/drive/folders/10T2cTQHqEJZqE-st6uFKPoI?usp=share_link")</f>
        <v>https://drive.google.com/drive/folders/10T2cTQHqEJZqE-st6uFKPoI?usp=share_link</v>
      </c>
      <c r="P4436" s="6" t="str">
        <f>IFERROR(__xludf.DUMMYFUNCTION("""COMPUTED_VALUE"""),"Anthony Tinoco Gomez")</f>
        <v>Anthony Tinoco Gomez</v>
      </c>
      <c r="Q4436" s="6" t="str">
        <f>IFERROR(__xludf.DUMMYFUNCTION("""COMPUTED_VALUE"""),"L1")</f>
        <v>L1</v>
      </c>
      <c r="R4436" s="6">
        <f>IFERROR(__xludf.DUMMYFUNCTION("""COMPUTED_VALUE"""),1.0)</f>
        <v>1</v>
      </c>
      <c r="S4436" s="6" t="str">
        <f>IFERROR(__xludf.DUMMYFUNCTION("""COMPUTED_VALUE""")," ")</f>
        <v> </v>
      </c>
      <c r="T4436" s="6" t="str">
        <f>IFERROR(__xludf.DUMMYFUNCTION("""COMPUTED_VALUE"""),"")</f>
        <v/>
      </c>
      <c r="U4436" s="6" t="str">
        <f>IFERROR(__xludf.DUMMYFUNCTION("""COMPUTED_VALUE"""),"3")</f>
        <v>3</v>
      </c>
      <c r="V4436" s="6" t="str">
        <f>IFERROR(__xludf.DUMMYFUNCTION("""COMPUTED_VALUE"""),"")</f>
        <v/>
      </c>
      <c r="W4436" s="6" t="str">
        <f>IFERROR(__xludf.DUMMYFUNCTION("""COMPUTED_VALUE"""),"[]")</f>
        <v>[]</v>
      </c>
      <c r="X4436" s="6" t="str">
        <f>IFERROR(__xludf.DUMMYFUNCTION("""COMPUTED_VALUE"""),"Enrolled")</f>
        <v>Enrolled</v>
      </c>
    </row>
    <row r="4437">
      <c r="A4437" s="6" t="str">
        <f>IFERROR(__xludf.DUMMYFUNCTION("""COMPUTED_VALUE"""),"083-11724")</f>
        <v>083-11724</v>
      </c>
      <c r="B4437" s="6" t="str">
        <f>IFERROR(__xludf.DUMMYFUNCTION("""COMPUTED_VALUE"""),"83")</f>
        <v>83</v>
      </c>
      <c r="C4437" s="6" t="str">
        <f>IFERROR(__xludf.DUMMYFUNCTION("""COMPUTED_VALUE"""),"11724")</f>
        <v>11724</v>
      </c>
      <c r="D4437" s="6" t="str">
        <f>IFERROR(__xludf.DUMMYFUNCTION("""COMPUTED_VALUE"""),"Stormy A")</f>
        <v>Stormy A</v>
      </c>
      <c r="E4437" s="6" t="str">
        <f>IFERROR(__xludf.DUMMYFUNCTION("""COMPUTED_VALUE"""),"")</f>
        <v/>
      </c>
      <c r="F4437" s="6" t="str">
        <f>IFERROR(__xludf.DUMMYFUNCTION("""COMPUTED_VALUE"""),"Trout")</f>
        <v>Trout</v>
      </c>
      <c r="G4437" s="6" t="str">
        <f>IFERROR(__xludf.DUMMYFUNCTION("""COMPUTED_VALUE"""),"08/25/2017")</f>
        <v>08/25/2017</v>
      </c>
      <c r="H4437" s="6" t="str">
        <f>IFERROR(__xludf.DUMMYFUNCTION("""COMPUTED_VALUE"""),"female")</f>
        <v>female</v>
      </c>
      <c r="I4437" s="6" t="str">
        <f>IFERROR(__xludf.DUMMYFUNCTION("""COMPUTED_VALUE"""),"Level 1")</f>
        <v>Level 1</v>
      </c>
      <c r="J4437" s="6" t="str">
        <f>IFERROR(__xludf.DUMMYFUNCTION("""COMPUTED_VALUE"""),"3")</f>
        <v>3</v>
      </c>
      <c r="K4437" s="6" t="str">
        <f>IFERROR(__xludf.DUMMYFUNCTION("""COMPUTED_VALUE"""),"stormya.trout@2hourlearning.com")</f>
        <v>stormya.trout@2hourlearning.com</v>
      </c>
      <c r="L4437" s="6" t="str">
        <f>IFERROR(__xludf.DUMMYFUNCTION("""COMPUTED_VALUE"""),"JHES - Hardeeville Elementary School")</f>
        <v>JHES - Hardeeville Elementary School</v>
      </c>
      <c r="M4437" s="6" t="str">
        <f>IFERROR(__xludf.DUMMYFUNCTION("""COMPUTED_VALUE"""),"")</f>
        <v/>
      </c>
      <c r="N4437" s="6" t="str">
        <f>IFERROR(__xludf.DUMMYFUNCTION("""COMPUTED_VALUE"""),"")</f>
        <v/>
      </c>
      <c r="O4437" s="87" t="str">
        <f>IFERROR(__xludf.DUMMYFUNCTION("""COMPUTED_VALUE"""),"https://drive.google.com/drive/folders/10T2cTQHqEJZqE-st6uFKPoI?usp=share_link")</f>
        <v>https://drive.google.com/drive/folders/10T2cTQHqEJZqE-st6uFKPoI?usp=share_link</v>
      </c>
      <c r="P4437" s="6" t="str">
        <f>IFERROR(__xludf.DUMMYFUNCTION("""COMPUTED_VALUE"""),"Stormy A Trout")</f>
        <v>Stormy A Trout</v>
      </c>
      <c r="Q4437" s="6" t="str">
        <f>IFERROR(__xludf.DUMMYFUNCTION("""COMPUTED_VALUE"""),"L1")</f>
        <v>L1</v>
      </c>
      <c r="R4437" s="6">
        <f>IFERROR(__xludf.DUMMYFUNCTION("""COMPUTED_VALUE"""),1.0)</f>
        <v>1</v>
      </c>
      <c r="S4437" s="6" t="str">
        <f>IFERROR(__xludf.DUMMYFUNCTION("""COMPUTED_VALUE""")," ")</f>
        <v> </v>
      </c>
      <c r="T4437" s="6" t="str">
        <f>IFERROR(__xludf.DUMMYFUNCTION("""COMPUTED_VALUE"""),"")</f>
        <v/>
      </c>
      <c r="U4437" s="6" t="str">
        <f>IFERROR(__xludf.DUMMYFUNCTION("""COMPUTED_VALUE"""),"3")</f>
        <v>3</v>
      </c>
      <c r="V4437" s="6" t="str">
        <f>IFERROR(__xludf.DUMMYFUNCTION("""COMPUTED_VALUE"""),"")</f>
        <v/>
      </c>
      <c r="W4437" s="6" t="str">
        <f>IFERROR(__xludf.DUMMYFUNCTION("""COMPUTED_VALUE"""),"[]")</f>
        <v>[]</v>
      </c>
      <c r="X4437" s="6" t="str">
        <f>IFERROR(__xludf.DUMMYFUNCTION("""COMPUTED_VALUE"""),"Enrolled")</f>
        <v>Enrolled</v>
      </c>
    </row>
    <row r="4438">
      <c r="A4438" s="6" t="str">
        <f>IFERROR(__xludf.DUMMYFUNCTION("""COMPUTED_VALUE"""),"083-11725")</f>
        <v>083-11725</v>
      </c>
      <c r="B4438" s="6" t="str">
        <f>IFERROR(__xludf.DUMMYFUNCTION("""COMPUTED_VALUE"""),"83")</f>
        <v>83</v>
      </c>
      <c r="C4438" s="6" t="str">
        <f>IFERROR(__xludf.DUMMYFUNCTION("""COMPUTED_VALUE"""),"11725")</f>
        <v>11725</v>
      </c>
      <c r="D4438" s="6" t="str">
        <f>IFERROR(__xludf.DUMMYFUNCTION("""COMPUTED_VALUE"""),"Dylan")</f>
        <v>Dylan</v>
      </c>
      <c r="E4438" s="6" t="str">
        <f>IFERROR(__xludf.DUMMYFUNCTION("""COMPUTED_VALUE"""),"")</f>
        <v/>
      </c>
      <c r="F4438" s="6" t="str">
        <f>IFERROR(__xludf.DUMMYFUNCTION("""COMPUTED_VALUE"""),"Zambrano Flores")</f>
        <v>Zambrano Flores</v>
      </c>
      <c r="G4438" s="6" t="str">
        <f>IFERROR(__xludf.DUMMYFUNCTION("""COMPUTED_VALUE"""),"05/27/2017")</f>
        <v>05/27/2017</v>
      </c>
      <c r="H4438" s="6" t="str">
        <f>IFERROR(__xludf.DUMMYFUNCTION("""COMPUTED_VALUE"""),"male")</f>
        <v>male</v>
      </c>
      <c r="I4438" s="6" t="str">
        <f>IFERROR(__xludf.DUMMYFUNCTION("""COMPUTED_VALUE"""),"Level 1")</f>
        <v>Level 1</v>
      </c>
      <c r="J4438" s="6" t="str">
        <f>IFERROR(__xludf.DUMMYFUNCTION("""COMPUTED_VALUE"""),"3")</f>
        <v>3</v>
      </c>
      <c r="K4438" s="6" t="str">
        <f>IFERROR(__xludf.DUMMYFUNCTION("""COMPUTED_VALUE"""),"dylan.zambranoflores@2hourlearning.com")</f>
        <v>dylan.zambranoflores@2hourlearning.com</v>
      </c>
      <c r="L4438" s="6" t="str">
        <f>IFERROR(__xludf.DUMMYFUNCTION("""COMPUTED_VALUE"""),"JHES - Hardeeville Elementary School")</f>
        <v>JHES - Hardeeville Elementary School</v>
      </c>
      <c r="M4438" s="6" t="str">
        <f>IFERROR(__xludf.DUMMYFUNCTION("""COMPUTED_VALUE"""),"")</f>
        <v/>
      </c>
      <c r="N4438" s="6" t="str">
        <f>IFERROR(__xludf.DUMMYFUNCTION("""COMPUTED_VALUE"""),"")</f>
        <v/>
      </c>
      <c r="O4438" s="87" t="str">
        <f>IFERROR(__xludf.DUMMYFUNCTION("""COMPUTED_VALUE"""),"https://drive.google.com/drive/folders/10T2cTQHqEJZqE-st6uFKPoI?usp=share_link")</f>
        <v>https://drive.google.com/drive/folders/10T2cTQHqEJZqE-st6uFKPoI?usp=share_link</v>
      </c>
      <c r="P4438" s="6" t="str">
        <f>IFERROR(__xludf.DUMMYFUNCTION("""COMPUTED_VALUE"""),"Dylan Zambrano Flores")</f>
        <v>Dylan Zambrano Flores</v>
      </c>
      <c r="Q4438" s="6" t="str">
        <f>IFERROR(__xludf.DUMMYFUNCTION("""COMPUTED_VALUE"""),"L1")</f>
        <v>L1</v>
      </c>
      <c r="R4438" s="6">
        <f>IFERROR(__xludf.DUMMYFUNCTION("""COMPUTED_VALUE"""),1.0)</f>
        <v>1</v>
      </c>
      <c r="S4438" s="6" t="str">
        <f>IFERROR(__xludf.DUMMYFUNCTION("""COMPUTED_VALUE""")," ")</f>
        <v> </v>
      </c>
      <c r="T4438" s="6" t="str">
        <f>IFERROR(__xludf.DUMMYFUNCTION("""COMPUTED_VALUE"""),"")</f>
        <v/>
      </c>
      <c r="U4438" s="6" t="str">
        <f>IFERROR(__xludf.DUMMYFUNCTION("""COMPUTED_VALUE"""),"3")</f>
        <v>3</v>
      </c>
      <c r="V4438" s="6" t="str">
        <f>IFERROR(__xludf.DUMMYFUNCTION("""COMPUTED_VALUE"""),"")</f>
        <v/>
      </c>
      <c r="W4438" s="6" t="str">
        <f>IFERROR(__xludf.DUMMYFUNCTION("""COMPUTED_VALUE"""),"[]")</f>
        <v>[]</v>
      </c>
      <c r="X4438" s="6" t="str">
        <f>IFERROR(__xludf.DUMMYFUNCTION("""COMPUTED_VALUE"""),"Enrolled")</f>
        <v>Enrolled</v>
      </c>
    </row>
    <row r="4439">
      <c r="A4439" s="6" t="str">
        <f>IFERROR(__xludf.DUMMYFUNCTION("""COMPUTED_VALUE"""),"083-11726")</f>
        <v>083-11726</v>
      </c>
      <c r="B4439" s="6" t="str">
        <f>IFERROR(__xludf.DUMMYFUNCTION("""COMPUTED_VALUE"""),"83")</f>
        <v>83</v>
      </c>
      <c r="C4439" s="6" t="str">
        <f>IFERROR(__xludf.DUMMYFUNCTION("""COMPUTED_VALUE"""),"11726")</f>
        <v>11726</v>
      </c>
      <c r="D4439" s="6" t="str">
        <f>IFERROR(__xludf.DUMMYFUNCTION("""COMPUTED_VALUE"""),"Xavier")</f>
        <v>Xavier</v>
      </c>
      <c r="E4439" s="6" t="str">
        <f>IFERROR(__xludf.DUMMYFUNCTION("""COMPUTED_VALUE"""),"")</f>
        <v/>
      </c>
      <c r="F4439" s="6" t="str">
        <f>IFERROR(__xludf.DUMMYFUNCTION("""COMPUTED_VALUE"""),"Aguilar-Fernandez")</f>
        <v>Aguilar-Fernandez</v>
      </c>
      <c r="G4439" s="6" t="str">
        <f>IFERROR(__xludf.DUMMYFUNCTION("""COMPUTED_VALUE"""),"05/21/2016")</f>
        <v>05/21/2016</v>
      </c>
      <c r="H4439" s="6" t="str">
        <f>IFERROR(__xludf.DUMMYFUNCTION("""COMPUTED_VALUE"""),"male")</f>
        <v>male</v>
      </c>
      <c r="I4439" s="6" t="str">
        <f>IFERROR(__xludf.DUMMYFUNCTION("""COMPUTED_VALUE"""),"Level 2")</f>
        <v>Level 2</v>
      </c>
      <c r="J4439" s="6" t="str">
        <f>IFERROR(__xludf.DUMMYFUNCTION("""COMPUTED_VALUE"""),"4")</f>
        <v>4</v>
      </c>
      <c r="K4439" s="6" t="str">
        <f>IFERROR(__xludf.DUMMYFUNCTION("""COMPUTED_VALUE"""),"xavier.aguilarfernandez@2hourlearning.com")</f>
        <v>xavier.aguilarfernandez@2hourlearning.com</v>
      </c>
      <c r="L4439" s="6" t="str">
        <f>IFERROR(__xludf.DUMMYFUNCTION("""COMPUTED_VALUE"""),"JHES - Hardeeville Elementary School")</f>
        <v>JHES - Hardeeville Elementary School</v>
      </c>
      <c r="M4439" s="6" t="str">
        <f>IFERROR(__xludf.DUMMYFUNCTION("""COMPUTED_VALUE"""),"")</f>
        <v/>
      </c>
      <c r="N4439" s="6" t="str">
        <f>IFERROR(__xludf.DUMMYFUNCTION("""COMPUTED_VALUE"""),"")</f>
        <v/>
      </c>
      <c r="O4439" s="87" t="str">
        <f>IFERROR(__xludf.DUMMYFUNCTION("""COMPUTED_VALUE"""),"https://drive.google.com/drive/folders/10T2cTQHqEJZqE-st6uFKPoI?usp=share_link")</f>
        <v>https://drive.google.com/drive/folders/10T2cTQHqEJZqE-st6uFKPoI?usp=share_link</v>
      </c>
      <c r="P4439" s="6" t="str">
        <f>IFERROR(__xludf.DUMMYFUNCTION("""COMPUTED_VALUE"""),"Xavier Aguilar-Fernandez")</f>
        <v>Xavier Aguilar-Fernandez</v>
      </c>
      <c r="Q4439" s="6" t="str">
        <f>IFERROR(__xludf.DUMMYFUNCTION("""COMPUTED_VALUE"""),"L2")</f>
        <v>L2</v>
      </c>
      <c r="R4439" s="6">
        <f>IFERROR(__xludf.DUMMYFUNCTION("""COMPUTED_VALUE"""),2.0)</f>
        <v>2</v>
      </c>
      <c r="S4439" s="6" t="str">
        <f>IFERROR(__xludf.DUMMYFUNCTION("""COMPUTED_VALUE""")," ")</f>
        <v> </v>
      </c>
      <c r="T4439" s="6" t="str">
        <f>IFERROR(__xludf.DUMMYFUNCTION("""COMPUTED_VALUE"""),"")</f>
        <v/>
      </c>
      <c r="U4439" s="6" t="str">
        <f>IFERROR(__xludf.DUMMYFUNCTION("""COMPUTED_VALUE"""),"4")</f>
        <v>4</v>
      </c>
      <c r="V4439" s="6" t="str">
        <f>IFERROR(__xludf.DUMMYFUNCTION("""COMPUTED_VALUE"""),"")</f>
        <v/>
      </c>
      <c r="W4439" s="6" t="str">
        <f>IFERROR(__xludf.DUMMYFUNCTION("""COMPUTED_VALUE"""),"[]")</f>
        <v>[]</v>
      </c>
      <c r="X4439" s="6" t="str">
        <f>IFERROR(__xludf.DUMMYFUNCTION("""COMPUTED_VALUE"""),"Enrolled")</f>
        <v>Enrolled</v>
      </c>
    </row>
    <row r="4440">
      <c r="A4440" s="6" t="str">
        <f>IFERROR(__xludf.DUMMYFUNCTION("""COMPUTED_VALUE"""),"083-11727")</f>
        <v>083-11727</v>
      </c>
      <c r="B4440" s="6" t="str">
        <f>IFERROR(__xludf.DUMMYFUNCTION("""COMPUTED_VALUE"""),"83")</f>
        <v>83</v>
      </c>
      <c r="C4440" s="6" t="str">
        <f>IFERROR(__xludf.DUMMYFUNCTION("""COMPUTED_VALUE"""),"11727")</f>
        <v>11727</v>
      </c>
      <c r="D4440" s="6" t="str">
        <f>IFERROR(__xludf.DUMMYFUNCTION("""COMPUTED_VALUE"""),"Camilia")</f>
        <v>Camilia</v>
      </c>
      <c r="E4440" s="6" t="str">
        <f>IFERROR(__xludf.DUMMYFUNCTION("""COMPUTED_VALUE"""),"")</f>
        <v/>
      </c>
      <c r="F4440" s="6" t="str">
        <f>IFERROR(__xludf.DUMMYFUNCTION("""COMPUTED_VALUE"""),"Arteaga Ruano")</f>
        <v>Arteaga Ruano</v>
      </c>
      <c r="G4440" s="6" t="str">
        <f>IFERROR(__xludf.DUMMYFUNCTION("""COMPUTED_VALUE"""),"12/16/2015")</f>
        <v>12/16/2015</v>
      </c>
      <c r="H4440" s="6" t="str">
        <f>IFERROR(__xludf.DUMMYFUNCTION("""COMPUTED_VALUE"""),"female")</f>
        <v>female</v>
      </c>
      <c r="I4440" s="6" t="str">
        <f>IFERROR(__xludf.DUMMYFUNCTION("""COMPUTED_VALUE"""),"Level 2")</f>
        <v>Level 2</v>
      </c>
      <c r="J4440" s="6" t="str">
        <f>IFERROR(__xludf.DUMMYFUNCTION("""COMPUTED_VALUE"""),"4")</f>
        <v>4</v>
      </c>
      <c r="K4440" s="6" t="str">
        <f>IFERROR(__xludf.DUMMYFUNCTION("""COMPUTED_VALUE"""),"camilia.arteagaruano@2hourlearning.com")</f>
        <v>camilia.arteagaruano@2hourlearning.com</v>
      </c>
      <c r="L4440" s="6" t="str">
        <f>IFERROR(__xludf.DUMMYFUNCTION("""COMPUTED_VALUE"""),"JHES - Hardeeville Elementary School")</f>
        <v>JHES - Hardeeville Elementary School</v>
      </c>
      <c r="M4440" s="6" t="str">
        <f>IFERROR(__xludf.DUMMYFUNCTION("""COMPUTED_VALUE"""),"")</f>
        <v/>
      </c>
      <c r="N4440" s="6" t="str">
        <f>IFERROR(__xludf.DUMMYFUNCTION("""COMPUTED_VALUE"""),"")</f>
        <v/>
      </c>
      <c r="O4440" s="87" t="str">
        <f>IFERROR(__xludf.DUMMYFUNCTION("""COMPUTED_VALUE"""),"https://drive.google.com/drive/folders/10T2cTQHqEJZqE-st6uFKPoI?usp=share_link")</f>
        <v>https://drive.google.com/drive/folders/10T2cTQHqEJZqE-st6uFKPoI?usp=share_link</v>
      </c>
      <c r="P4440" s="6" t="str">
        <f>IFERROR(__xludf.DUMMYFUNCTION("""COMPUTED_VALUE"""),"Camilia Arteaga Ruano")</f>
        <v>Camilia Arteaga Ruano</v>
      </c>
      <c r="Q4440" s="6" t="str">
        <f>IFERROR(__xludf.DUMMYFUNCTION("""COMPUTED_VALUE"""),"L2")</f>
        <v>L2</v>
      </c>
      <c r="R4440" s="6">
        <f>IFERROR(__xludf.DUMMYFUNCTION("""COMPUTED_VALUE"""),2.0)</f>
        <v>2</v>
      </c>
      <c r="S4440" s="6" t="str">
        <f>IFERROR(__xludf.DUMMYFUNCTION("""COMPUTED_VALUE""")," ")</f>
        <v> </v>
      </c>
      <c r="T4440" s="6" t="str">
        <f>IFERROR(__xludf.DUMMYFUNCTION("""COMPUTED_VALUE"""),"")</f>
        <v/>
      </c>
      <c r="U4440" s="6" t="str">
        <f>IFERROR(__xludf.DUMMYFUNCTION("""COMPUTED_VALUE"""),"4")</f>
        <v>4</v>
      </c>
      <c r="V4440" s="6" t="str">
        <f>IFERROR(__xludf.DUMMYFUNCTION("""COMPUTED_VALUE"""),"")</f>
        <v/>
      </c>
      <c r="W4440" s="6" t="str">
        <f>IFERROR(__xludf.DUMMYFUNCTION("""COMPUTED_VALUE"""),"[]")</f>
        <v>[]</v>
      </c>
      <c r="X4440" s="6" t="str">
        <f>IFERROR(__xludf.DUMMYFUNCTION("""COMPUTED_VALUE"""),"Enrolled")</f>
        <v>Enrolled</v>
      </c>
    </row>
    <row r="4441">
      <c r="A4441" s="6" t="str">
        <f>IFERROR(__xludf.DUMMYFUNCTION("""COMPUTED_VALUE"""),"083-11728")</f>
        <v>083-11728</v>
      </c>
      <c r="B4441" s="6" t="str">
        <f>IFERROR(__xludf.DUMMYFUNCTION("""COMPUTED_VALUE"""),"83")</f>
        <v>83</v>
      </c>
      <c r="C4441" s="6" t="str">
        <f>IFERROR(__xludf.DUMMYFUNCTION("""COMPUTED_VALUE"""),"11728")</f>
        <v>11728</v>
      </c>
      <c r="D4441" s="6" t="str">
        <f>IFERROR(__xludf.DUMMYFUNCTION("""COMPUTED_VALUE"""),"Sofia")</f>
        <v>Sofia</v>
      </c>
      <c r="E4441" s="6" t="str">
        <f>IFERROR(__xludf.DUMMYFUNCTION("""COMPUTED_VALUE"""),"")</f>
        <v/>
      </c>
      <c r="F4441" s="6" t="str">
        <f>IFERROR(__xludf.DUMMYFUNCTION("""COMPUTED_VALUE"""),"Avila Jimenez")</f>
        <v>Avila Jimenez</v>
      </c>
      <c r="G4441" s="6" t="str">
        <f>IFERROR(__xludf.DUMMYFUNCTION("""COMPUTED_VALUE"""),"01/07/2016")</f>
        <v>01/07/2016</v>
      </c>
      <c r="H4441" s="6" t="str">
        <f>IFERROR(__xludf.DUMMYFUNCTION("""COMPUTED_VALUE"""),"female")</f>
        <v>female</v>
      </c>
      <c r="I4441" s="6" t="str">
        <f>IFERROR(__xludf.DUMMYFUNCTION("""COMPUTED_VALUE"""),"Level 2")</f>
        <v>Level 2</v>
      </c>
      <c r="J4441" s="6" t="str">
        <f>IFERROR(__xludf.DUMMYFUNCTION("""COMPUTED_VALUE"""),"4")</f>
        <v>4</v>
      </c>
      <c r="K4441" s="6" t="str">
        <f>IFERROR(__xludf.DUMMYFUNCTION("""COMPUTED_VALUE"""),"sofia.avilajimenez@2hourlearning.com")</f>
        <v>sofia.avilajimenez@2hourlearning.com</v>
      </c>
      <c r="L4441" s="6" t="str">
        <f>IFERROR(__xludf.DUMMYFUNCTION("""COMPUTED_VALUE"""),"JHES - Hardeeville Elementary School")</f>
        <v>JHES - Hardeeville Elementary School</v>
      </c>
      <c r="M4441" s="6" t="str">
        <f>IFERROR(__xludf.DUMMYFUNCTION("""COMPUTED_VALUE"""),"")</f>
        <v/>
      </c>
      <c r="N4441" s="6" t="str">
        <f>IFERROR(__xludf.DUMMYFUNCTION("""COMPUTED_VALUE"""),"")</f>
        <v/>
      </c>
      <c r="O4441" s="87" t="str">
        <f>IFERROR(__xludf.DUMMYFUNCTION("""COMPUTED_VALUE"""),"https://drive.google.com/drive/folders/10T2cTQHqEJZqE-st6uFKPoI?usp=share_link")</f>
        <v>https://drive.google.com/drive/folders/10T2cTQHqEJZqE-st6uFKPoI?usp=share_link</v>
      </c>
      <c r="P4441" s="6" t="str">
        <f>IFERROR(__xludf.DUMMYFUNCTION("""COMPUTED_VALUE"""),"Sofia Avila Jimenez")</f>
        <v>Sofia Avila Jimenez</v>
      </c>
      <c r="Q4441" s="6" t="str">
        <f>IFERROR(__xludf.DUMMYFUNCTION("""COMPUTED_VALUE"""),"L2")</f>
        <v>L2</v>
      </c>
      <c r="R4441" s="6">
        <f>IFERROR(__xludf.DUMMYFUNCTION("""COMPUTED_VALUE"""),2.0)</f>
        <v>2</v>
      </c>
      <c r="S4441" s="6" t="str">
        <f>IFERROR(__xludf.DUMMYFUNCTION("""COMPUTED_VALUE""")," ")</f>
        <v> </v>
      </c>
      <c r="T4441" s="6" t="str">
        <f>IFERROR(__xludf.DUMMYFUNCTION("""COMPUTED_VALUE"""),"")</f>
        <v/>
      </c>
      <c r="U4441" s="6" t="str">
        <f>IFERROR(__xludf.DUMMYFUNCTION("""COMPUTED_VALUE"""),"4")</f>
        <v>4</v>
      </c>
      <c r="V4441" s="6" t="str">
        <f>IFERROR(__xludf.DUMMYFUNCTION("""COMPUTED_VALUE"""),"")</f>
        <v/>
      </c>
      <c r="W4441" s="6" t="str">
        <f>IFERROR(__xludf.DUMMYFUNCTION("""COMPUTED_VALUE"""),"[]")</f>
        <v>[]</v>
      </c>
      <c r="X4441" s="6" t="str">
        <f>IFERROR(__xludf.DUMMYFUNCTION("""COMPUTED_VALUE"""),"Enrolled")</f>
        <v>Enrolled</v>
      </c>
    </row>
    <row r="4442">
      <c r="A4442" s="6" t="str">
        <f>IFERROR(__xludf.DUMMYFUNCTION("""COMPUTED_VALUE"""),"083-11729")</f>
        <v>083-11729</v>
      </c>
      <c r="B4442" s="6" t="str">
        <f>IFERROR(__xludf.DUMMYFUNCTION("""COMPUTED_VALUE"""),"83")</f>
        <v>83</v>
      </c>
      <c r="C4442" s="6" t="str">
        <f>IFERROR(__xludf.DUMMYFUNCTION("""COMPUTED_VALUE"""),"11729")</f>
        <v>11729</v>
      </c>
      <c r="D4442" s="6" t="str">
        <f>IFERROR(__xludf.DUMMYFUNCTION("""COMPUTED_VALUE"""),"Antonio")</f>
        <v>Antonio</v>
      </c>
      <c r="E4442" s="6" t="str">
        <f>IFERROR(__xludf.DUMMYFUNCTION("""COMPUTED_VALUE"""),"")</f>
        <v/>
      </c>
      <c r="F4442" s="6" t="str">
        <f>IFERROR(__xludf.DUMMYFUNCTION("""COMPUTED_VALUE"""),"Brewer")</f>
        <v>Brewer</v>
      </c>
      <c r="G4442" s="6" t="str">
        <f>IFERROR(__xludf.DUMMYFUNCTION("""COMPUTED_VALUE"""),"11/12/2015")</f>
        <v>11/12/2015</v>
      </c>
      <c r="H4442" s="6" t="str">
        <f>IFERROR(__xludf.DUMMYFUNCTION("""COMPUTED_VALUE"""),"male")</f>
        <v>male</v>
      </c>
      <c r="I4442" s="6" t="str">
        <f>IFERROR(__xludf.DUMMYFUNCTION("""COMPUTED_VALUE"""),"Level 2")</f>
        <v>Level 2</v>
      </c>
      <c r="J4442" s="6" t="str">
        <f>IFERROR(__xludf.DUMMYFUNCTION("""COMPUTED_VALUE"""),"4")</f>
        <v>4</v>
      </c>
      <c r="K4442" s="6" t="str">
        <f>IFERROR(__xludf.DUMMYFUNCTION("""COMPUTED_VALUE"""),"antonio.brewer@2hourlearning.com")</f>
        <v>antonio.brewer@2hourlearning.com</v>
      </c>
      <c r="L4442" s="6" t="str">
        <f>IFERROR(__xludf.DUMMYFUNCTION("""COMPUTED_VALUE"""),"JHES - Hardeeville Elementary School")</f>
        <v>JHES - Hardeeville Elementary School</v>
      </c>
      <c r="M4442" s="6" t="str">
        <f>IFERROR(__xludf.DUMMYFUNCTION("""COMPUTED_VALUE"""),"")</f>
        <v/>
      </c>
      <c r="N4442" s="6" t="str">
        <f>IFERROR(__xludf.DUMMYFUNCTION("""COMPUTED_VALUE"""),"")</f>
        <v/>
      </c>
      <c r="O4442" s="87" t="str">
        <f>IFERROR(__xludf.DUMMYFUNCTION("""COMPUTED_VALUE"""),"https://drive.google.com/drive/folders/10T2cTQHqEJZqE-st6uFKPoI?usp=share_link")</f>
        <v>https://drive.google.com/drive/folders/10T2cTQHqEJZqE-st6uFKPoI?usp=share_link</v>
      </c>
      <c r="P4442" s="6" t="str">
        <f>IFERROR(__xludf.DUMMYFUNCTION("""COMPUTED_VALUE"""),"Antonio Brewer")</f>
        <v>Antonio Brewer</v>
      </c>
      <c r="Q4442" s="6" t="str">
        <f>IFERROR(__xludf.DUMMYFUNCTION("""COMPUTED_VALUE"""),"L2")</f>
        <v>L2</v>
      </c>
      <c r="R4442" s="6">
        <f>IFERROR(__xludf.DUMMYFUNCTION("""COMPUTED_VALUE"""),2.0)</f>
        <v>2</v>
      </c>
      <c r="S4442" s="6" t="str">
        <f>IFERROR(__xludf.DUMMYFUNCTION("""COMPUTED_VALUE""")," ")</f>
        <v> </v>
      </c>
      <c r="T4442" s="6" t="str">
        <f>IFERROR(__xludf.DUMMYFUNCTION("""COMPUTED_VALUE"""),"")</f>
        <v/>
      </c>
      <c r="U4442" s="6" t="str">
        <f>IFERROR(__xludf.DUMMYFUNCTION("""COMPUTED_VALUE"""),"4")</f>
        <v>4</v>
      </c>
      <c r="V4442" s="6" t="str">
        <f>IFERROR(__xludf.DUMMYFUNCTION("""COMPUTED_VALUE"""),"")</f>
        <v/>
      </c>
      <c r="W4442" s="6" t="str">
        <f>IFERROR(__xludf.DUMMYFUNCTION("""COMPUTED_VALUE"""),"[]")</f>
        <v>[]</v>
      </c>
      <c r="X4442" s="6" t="str">
        <f>IFERROR(__xludf.DUMMYFUNCTION("""COMPUTED_VALUE"""),"Enrolled")</f>
        <v>Enrolled</v>
      </c>
    </row>
    <row r="4443">
      <c r="A4443" s="6" t="str">
        <f>IFERROR(__xludf.DUMMYFUNCTION("""COMPUTED_VALUE"""),"083-11730")</f>
        <v>083-11730</v>
      </c>
      <c r="B4443" s="6" t="str">
        <f>IFERROR(__xludf.DUMMYFUNCTION("""COMPUTED_VALUE"""),"83")</f>
        <v>83</v>
      </c>
      <c r="C4443" s="6" t="str">
        <f>IFERROR(__xludf.DUMMYFUNCTION("""COMPUTED_VALUE"""),"11730")</f>
        <v>11730</v>
      </c>
      <c r="D4443" s="6" t="str">
        <f>IFERROR(__xludf.DUMMYFUNCTION("""COMPUTED_VALUE"""),"Johanna")</f>
        <v>Johanna</v>
      </c>
      <c r="E4443" s="6" t="str">
        <f>IFERROR(__xludf.DUMMYFUNCTION("""COMPUTED_VALUE"""),"")</f>
        <v/>
      </c>
      <c r="F4443" s="6" t="str">
        <f>IFERROR(__xludf.DUMMYFUNCTION("""COMPUTED_VALUE"""),"Castro")</f>
        <v>Castro</v>
      </c>
      <c r="G4443" s="6" t="str">
        <f>IFERROR(__xludf.DUMMYFUNCTION("""COMPUTED_VALUE"""),"07/06/2016")</f>
        <v>07/06/2016</v>
      </c>
      <c r="H4443" s="6" t="str">
        <f>IFERROR(__xludf.DUMMYFUNCTION("""COMPUTED_VALUE"""),"female")</f>
        <v>female</v>
      </c>
      <c r="I4443" s="6" t="str">
        <f>IFERROR(__xludf.DUMMYFUNCTION("""COMPUTED_VALUE"""),"Level 2")</f>
        <v>Level 2</v>
      </c>
      <c r="J4443" s="6" t="str">
        <f>IFERROR(__xludf.DUMMYFUNCTION("""COMPUTED_VALUE"""),"4")</f>
        <v>4</v>
      </c>
      <c r="K4443" s="6" t="str">
        <f>IFERROR(__xludf.DUMMYFUNCTION("""COMPUTED_VALUE"""),"johanna.castro@2hourlearning.com")</f>
        <v>johanna.castro@2hourlearning.com</v>
      </c>
      <c r="L4443" s="6" t="str">
        <f>IFERROR(__xludf.DUMMYFUNCTION("""COMPUTED_VALUE"""),"JHES - Hardeeville Elementary School")</f>
        <v>JHES - Hardeeville Elementary School</v>
      </c>
      <c r="M4443" s="6" t="str">
        <f>IFERROR(__xludf.DUMMYFUNCTION("""COMPUTED_VALUE"""),"")</f>
        <v/>
      </c>
      <c r="N4443" s="6" t="str">
        <f>IFERROR(__xludf.DUMMYFUNCTION("""COMPUTED_VALUE"""),"")</f>
        <v/>
      </c>
      <c r="O4443" s="87" t="str">
        <f>IFERROR(__xludf.DUMMYFUNCTION("""COMPUTED_VALUE"""),"https://drive.google.com/drive/folders/10T2cTQHqEJZqE-st6uFKPoI?usp=share_link")</f>
        <v>https://drive.google.com/drive/folders/10T2cTQHqEJZqE-st6uFKPoI?usp=share_link</v>
      </c>
      <c r="P4443" s="6" t="str">
        <f>IFERROR(__xludf.DUMMYFUNCTION("""COMPUTED_VALUE"""),"Johanna Castro")</f>
        <v>Johanna Castro</v>
      </c>
      <c r="Q4443" s="6" t="str">
        <f>IFERROR(__xludf.DUMMYFUNCTION("""COMPUTED_VALUE"""),"L2")</f>
        <v>L2</v>
      </c>
      <c r="R4443" s="6">
        <f>IFERROR(__xludf.DUMMYFUNCTION("""COMPUTED_VALUE"""),2.0)</f>
        <v>2</v>
      </c>
      <c r="S4443" s="6" t="str">
        <f>IFERROR(__xludf.DUMMYFUNCTION("""COMPUTED_VALUE""")," ")</f>
        <v> </v>
      </c>
      <c r="T4443" s="6" t="str">
        <f>IFERROR(__xludf.DUMMYFUNCTION("""COMPUTED_VALUE"""),"")</f>
        <v/>
      </c>
      <c r="U4443" s="6" t="str">
        <f>IFERROR(__xludf.DUMMYFUNCTION("""COMPUTED_VALUE"""),"4")</f>
        <v>4</v>
      </c>
      <c r="V4443" s="6" t="str">
        <f>IFERROR(__xludf.DUMMYFUNCTION("""COMPUTED_VALUE"""),"")</f>
        <v/>
      </c>
      <c r="W4443" s="6" t="str">
        <f>IFERROR(__xludf.DUMMYFUNCTION("""COMPUTED_VALUE"""),"[]")</f>
        <v>[]</v>
      </c>
      <c r="X4443" s="6" t="str">
        <f>IFERROR(__xludf.DUMMYFUNCTION("""COMPUTED_VALUE"""),"Enrolled")</f>
        <v>Enrolled</v>
      </c>
    </row>
    <row r="4444">
      <c r="A4444" s="6" t="str">
        <f>IFERROR(__xludf.DUMMYFUNCTION("""COMPUTED_VALUE"""),"083-11731")</f>
        <v>083-11731</v>
      </c>
      <c r="B4444" s="6" t="str">
        <f>IFERROR(__xludf.DUMMYFUNCTION("""COMPUTED_VALUE"""),"83")</f>
        <v>83</v>
      </c>
      <c r="C4444" s="6" t="str">
        <f>IFERROR(__xludf.DUMMYFUNCTION("""COMPUTED_VALUE"""),"11731")</f>
        <v>11731</v>
      </c>
      <c r="D4444" s="6" t="str">
        <f>IFERROR(__xludf.DUMMYFUNCTION("""COMPUTED_VALUE"""),"Dayana")</f>
        <v>Dayana</v>
      </c>
      <c r="E4444" s="6" t="str">
        <f>IFERROR(__xludf.DUMMYFUNCTION("""COMPUTED_VALUE"""),"")</f>
        <v/>
      </c>
      <c r="F4444" s="6" t="str">
        <f>IFERROR(__xludf.DUMMYFUNCTION("""COMPUTED_VALUE"""),"Cerrato Vallecillo")</f>
        <v>Cerrato Vallecillo</v>
      </c>
      <c r="G4444" s="6" t="str">
        <f>IFERROR(__xludf.DUMMYFUNCTION("""COMPUTED_VALUE"""),"05/28/2016")</f>
        <v>05/28/2016</v>
      </c>
      <c r="H4444" s="6" t="str">
        <f>IFERROR(__xludf.DUMMYFUNCTION("""COMPUTED_VALUE"""),"female")</f>
        <v>female</v>
      </c>
      <c r="I4444" s="6" t="str">
        <f>IFERROR(__xludf.DUMMYFUNCTION("""COMPUTED_VALUE"""),"Level 2")</f>
        <v>Level 2</v>
      </c>
      <c r="J4444" s="6" t="str">
        <f>IFERROR(__xludf.DUMMYFUNCTION("""COMPUTED_VALUE"""),"4")</f>
        <v>4</v>
      </c>
      <c r="K4444" s="6" t="str">
        <f>IFERROR(__xludf.DUMMYFUNCTION("""COMPUTED_VALUE"""),"dayana.cerratovallecillo@2hourlearning.com")</f>
        <v>dayana.cerratovallecillo@2hourlearning.com</v>
      </c>
      <c r="L4444" s="6" t="str">
        <f>IFERROR(__xludf.DUMMYFUNCTION("""COMPUTED_VALUE"""),"JHES - Hardeeville Elementary School")</f>
        <v>JHES - Hardeeville Elementary School</v>
      </c>
      <c r="M4444" s="6" t="str">
        <f>IFERROR(__xludf.DUMMYFUNCTION("""COMPUTED_VALUE"""),"")</f>
        <v/>
      </c>
      <c r="N4444" s="6" t="str">
        <f>IFERROR(__xludf.DUMMYFUNCTION("""COMPUTED_VALUE"""),"")</f>
        <v/>
      </c>
      <c r="O4444" s="87" t="str">
        <f>IFERROR(__xludf.DUMMYFUNCTION("""COMPUTED_VALUE"""),"https://drive.google.com/drive/folders/10T2cTQHqEJZqE-st6uFKPoI?usp=share_link")</f>
        <v>https://drive.google.com/drive/folders/10T2cTQHqEJZqE-st6uFKPoI?usp=share_link</v>
      </c>
      <c r="P4444" s="6" t="str">
        <f>IFERROR(__xludf.DUMMYFUNCTION("""COMPUTED_VALUE"""),"Dayana Cerrato Vallecillo")</f>
        <v>Dayana Cerrato Vallecillo</v>
      </c>
      <c r="Q4444" s="6" t="str">
        <f>IFERROR(__xludf.DUMMYFUNCTION("""COMPUTED_VALUE"""),"L2")</f>
        <v>L2</v>
      </c>
      <c r="R4444" s="6">
        <f>IFERROR(__xludf.DUMMYFUNCTION("""COMPUTED_VALUE"""),2.0)</f>
        <v>2</v>
      </c>
      <c r="S4444" s="6" t="str">
        <f>IFERROR(__xludf.DUMMYFUNCTION("""COMPUTED_VALUE""")," ")</f>
        <v> </v>
      </c>
      <c r="T4444" s="6" t="str">
        <f>IFERROR(__xludf.DUMMYFUNCTION("""COMPUTED_VALUE"""),"")</f>
        <v/>
      </c>
      <c r="U4444" s="6" t="str">
        <f>IFERROR(__xludf.DUMMYFUNCTION("""COMPUTED_VALUE"""),"4")</f>
        <v>4</v>
      </c>
      <c r="V4444" s="6" t="str">
        <f>IFERROR(__xludf.DUMMYFUNCTION("""COMPUTED_VALUE"""),"")</f>
        <v/>
      </c>
      <c r="W4444" s="6" t="str">
        <f>IFERROR(__xludf.DUMMYFUNCTION("""COMPUTED_VALUE"""),"[]")</f>
        <v>[]</v>
      </c>
      <c r="X4444" s="6" t="str">
        <f>IFERROR(__xludf.DUMMYFUNCTION("""COMPUTED_VALUE"""),"Enrolled")</f>
        <v>Enrolled</v>
      </c>
    </row>
    <row r="4445">
      <c r="A4445" s="6" t="str">
        <f>IFERROR(__xludf.DUMMYFUNCTION("""COMPUTED_VALUE"""),"083-11732")</f>
        <v>083-11732</v>
      </c>
      <c r="B4445" s="6" t="str">
        <f>IFERROR(__xludf.DUMMYFUNCTION("""COMPUTED_VALUE"""),"83")</f>
        <v>83</v>
      </c>
      <c r="C4445" s="6" t="str">
        <f>IFERROR(__xludf.DUMMYFUNCTION("""COMPUTED_VALUE"""),"11732")</f>
        <v>11732</v>
      </c>
      <c r="D4445" s="6" t="str">
        <f>IFERROR(__xludf.DUMMYFUNCTION("""COMPUTED_VALUE"""),"Greyson")</f>
        <v>Greyson</v>
      </c>
      <c r="E4445" s="6" t="str">
        <f>IFERROR(__xludf.DUMMYFUNCTION("""COMPUTED_VALUE"""),"")</f>
        <v/>
      </c>
      <c r="F4445" s="6" t="str">
        <f>IFERROR(__xludf.DUMMYFUNCTION("""COMPUTED_VALUE"""),"Clifton")</f>
        <v>Clifton</v>
      </c>
      <c r="G4445" s="6" t="str">
        <f>IFERROR(__xludf.DUMMYFUNCTION("""COMPUTED_VALUE"""),"12/16/2014")</f>
        <v>12/16/2014</v>
      </c>
      <c r="H4445" s="6" t="str">
        <f>IFERROR(__xludf.DUMMYFUNCTION("""COMPUTED_VALUE"""),"female")</f>
        <v>female</v>
      </c>
      <c r="I4445" s="6" t="str">
        <f>IFERROR(__xludf.DUMMYFUNCTION("""COMPUTED_VALUE"""),"Level 2")</f>
        <v>Level 2</v>
      </c>
      <c r="J4445" s="6" t="str">
        <f>IFERROR(__xludf.DUMMYFUNCTION("""COMPUTED_VALUE"""),"4")</f>
        <v>4</v>
      </c>
      <c r="K4445" s="6" t="str">
        <f>IFERROR(__xludf.DUMMYFUNCTION("""COMPUTED_VALUE"""),"greyson.clifton@2hourlearning.com")</f>
        <v>greyson.clifton@2hourlearning.com</v>
      </c>
      <c r="L4445" s="6" t="str">
        <f>IFERROR(__xludf.DUMMYFUNCTION("""COMPUTED_VALUE"""),"JHES - Hardeeville Elementary School")</f>
        <v>JHES - Hardeeville Elementary School</v>
      </c>
      <c r="M4445" s="6" t="str">
        <f>IFERROR(__xludf.DUMMYFUNCTION("""COMPUTED_VALUE"""),"")</f>
        <v/>
      </c>
      <c r="N4445" s="6" t="str">
        <f>IFERROR(__xludf.DUMMYFUNCTION("""COMPUTED_VALUE"""),"")</f>
        <v/>
      </c>
      <c r="O4445" s="87" t="str">
        <f>IFERROR(__xludf.DUMMYFUNCTION("""COMPUTED_VALUE"""),"https://drive.google.com/drive/folders/10T2cTQHqEJZqE-st6uFKPoI?usp=share_link")</f>
        <v>https://drive.google.com/drive/folders/10T2cTQHqEJZqE-st6uFKPoI?usp=share_link</v>
      </c>
      <c r="P4445" s="6" t="str">
        <f>IFERROR(__xludf.DUMMYFUNCTION("""COMPUTED_VALUE"""),"Greyson Clifton")</f>
        <v>Greyson Clifton</v>
      </c>
      <c r="Q4445" s="6" t="str">
        <f>IFERROR(__xludf.DUMMYFUNCTION("""COMPUTED_VALUE"""),"L2")</f>
        <v>L2</v>
      </c>
      <c r="R4445" s="6">
        <f>IFERROR(__xludf.DUMMYFUNCTION("""COMPUTED_VALUE"""),2.0)</f>
        <v>2</v>
      </c>
      <c r="S4445" s="6" t="str">
        <f>IFERROR(__xludf.DUMMYFUNCTION("""COMPUTED_VALUE""")," ")</f>
        <v> </v>
      </c>
      <c r="T4445" s="6" t="str">
        <f>IFERROR(__xludf.DUMMYFUNCTION("""COMPUTED_VALUE"""),"")</f>
        <v/>
      </c>
      <c r="U4445" s="6" t="str">
        <f>IFERROR(__xludf.DUMMYFUNCTION("""COMPUTED_VALUE"""),"4")</f>
        <v>4</v>
      </c>
      <c r="V4445" s="6" t="str">
        <f>IFERROR(__xludf.DUMMYFUNCTION("""COMPUTED_VALUE"""),"")</f>
        <v/>
      </c>
      <c r="W4445" s="6" t="str">
        <f>IFERROR(__xludf.DUMMYFUNCTION("""COMPUTED_VALUE"""),"[]")</f>
        <v>[]</v>
      </c>
      <c r="X4445" s="6" t="str">
        <f>IFERROR(__xludf.DUMMYFUNCTION("""COMPUTED_VALUE"""),"Enrolled")</f>
        <v>Enrolled</v>
      </c>
    </row>
    <row r="4446">
      <c r="A4446" s="6" t="str">
        <f>IFERROR(__xludf.DUMMYFUNCTION("""COMPUTED_VALUE"""),"083-11733")</f>
        <v>083-11733</v>
      </c>
      <c r="B4446" s="6" t="str">
        <f>IFERROR(__xludf.DUMMYFUNCTION("""COMPUTED_VALUE"""),"83")</f>
        <v>83</v>
      </c>
      <c r="C4446" s="6" t="str">
        <f>IFERROR(__xludf.DUMMYFUNCTION("""COMPUTED_VALUE"""),"11733")</f>
        <v>11733</v>
      </c>
      <c r="D4446" s="6" t="str">
        <f>IFERROR(__xludf.DUMMYFUNCTION("""COMPUTED_VALUE"""),"Deiker J")</f>
        <v>Deiker J</v>
      </c>
      <c r="E4446" s="6" t="str">
        <f>IFERROR(__xludf.DUMMYFUNCTION("""COMPUTED_VALUE"""),"")</f>
        <v/>
      </c>
      <c r="F4446" s="6" t="str">
        <f>IFERROR(__xludf.DUMMYFUNCTION("""COMPUTED_VALUE"""),"De Valle Perez")</f>
        <v>De Valle Perez</v>
      </c>
      <c r="G4446" s="6" t="str">
        <f>IFERROR(__xludf.DUMMYFUNCTION("""COMPUTED_VALUE"""),"08/21/2016")</f>
        <v>08/21/2016</v>
      </c>
      <c r="H4446" s="6" t="str">
        <f>IFERROR(__xludf.DUMMYFUNCTION("""COMPUTED_VALUE"""),"male")</f>
        <v>male</v>
      </c>
      <c r="I4446" s="6" t="str">
        <f>IFERROR(__xludf.DUMMYFUNCTION("""COMPUTED_VALUE"""),"Level 2")</f>
        <v>Level 2</v>
      </c>
      <c r="J4446" s="6" t="str">
        <f>IFERROR(__xludf.DUMMYFUNCTION("""COMPUTED_VALUE"""),"4")</f>
        <v>4</v>
      </c>
      <c r="K4446" s="6" t="str">
        <f>IFERROR(__xludf.DUMMYFUNCTION("""COMPUTED_VALUE"""),"deikerj.devalleperez@2hourlearning.com")</f>
        <v>deikerj.devalleperez@2hourlearning.com</v>
      </c>
      <c r="L4446" s="6" t="str">
        <f>IFERROR(__xludf.DUMMYFUNCTION("""COMPUTED_VALUE"""),"JHES - Hardeeville Elementary School")</f>
        <v>JHES - Hardeeville Elementary School</v>
      </c>
      <c r="M4446" s="6" t="str">
        <f>IFERROR(__xludf.DUMMYFUNCTION("""COMPUTED_VALUE"""),"")</f>
        <v/>
      </c>
      <c r="N4446" s="6" t="str">
        <f>IFERROR(__xludf.DUMMYFUNCTION("""COMPUTED_VALUE"""),"")</f>
        <v/>
      </c>
      <c r="O4446" s="87" t="str">
        <f>IFERROR(__xludf.DUMMYFUNCTION("""COMPUTED_VALUE"""),"https://drive.google.com/drive/folders/10T2cTQHqEJZqE-st6uFKPoI?usp=share_link")</f>
        <v>https://drive.google.com/drive/folders/10T2cTQHqEJZqE-st6uFKPoI?usp=share_link</v>
      </c>
      <c r="P4446" s="6" t="str">
        <f>IFERROR(__xludf.DUMMYFUNCTION("""COMPUTED_VALUE"""),"Deiker J De Valle Perez")</f>
        <v>Deiker J De Valle Perez</v>
      </c>
      <c r="Q4446" s="6" t="str">
        <f>IFERROR(__xludf.DUMMYFUNCTION("""COMPUTED_VALUE"""),"L2")</f>
        <v>L2</v>
      </c>
      <c r="R4446" s="6">
        <f>IFERROR(__xludf.DUMMYFUNCTION("""COMPUTED_VALUE"""),2.0)</f>
        <v>2</v>
      </c>
      <c r="S4446" s="6" t="str">
        <f>IFERROR(__xludf.DUMMYFUNCTION("""COMPUTED_VALUE""")," ")</f>
        <v> </v>
      </c>
      <c r="T4446" s="6" t="str">
        <f>IFERROR(__xludf.DUMMYFUNCTION("""COMPUTED_VALUE"""),"")</f>
        <v/>
      </c>
      <c r="U4446" s="6" t="str">
        <f>IFERROR(__xludf.DUMMYFUNCTION("""COMPUTED_VALUE"""),"4")</f>
        <v>4</v>
      </c>
      <c r="V4446" s="6" t="str">
        <f>IFERROR(__xludf.DUMMYFUNCTION("""COMPUTED_VALUE"""),"")</f>
        <v/>
      </c>
      <c r="W4446" s="6" t="str">
        <f>IFERROR(__xludf.DUMMYFUNCTION("""COMPUTED_VALUE"""),"[]")</f>
        <v>[]</v>
      </c>
      <c r="X4446" s="6" t="str">
        <f>IFERROR(__xludf.DUMMYFUNCTION("""COMPUTED_VALUE"""),"Enrolled")</f>
        <v>Enrolled</v>
      </c>
    </row>
    <row r="4447">
      <c r="A4447" s="6" t="str">
        <f>IFERROR(__xludf.DUMMYFUNCTION("""COMPUTED_VALUE"""),"083-11734")</f>
        <v>083-11734</v>
      </c>
      <c r="B4447" s="6" t="str">
        <f>IFERROR(__xludf.DUMMYFUNCTION("""COMPUTED_VALUE"""),"83")</f>
        <v>83</v>
      </c>
      <c r="C4447" s="6" t="str">
        <f>IFERROR(__xludf.DUMMYFUNCTION("""COMPUTED_VALUE"""),"11734")</f>
        <v>11734</v>
      </c>
      <c r="D4447" s="6" t="str">
        <f>IFERROR(__xludf.DUMMYFUNCTION("""COMPUTED_VALUE"""),"Ashlin")</f>
        <v>Ashlin</v>
      </c>
      <c r="E4447" s="6" t="str">
        <f>IFERROR(__xludf.DUMMYFUNCTION("""COMPUTED_VALUE"""),"")</f>
        <v/>
      </c>
      <c r="F4447" s="6" t="str">
        <f>IFERROR(__xludf.DUMMYFUNCTION("""COMPUTED_VALUE"""),"Del Valle Maldonado")</f>
        <v>Del Valle Maldonado</v>
      </c>
      <c r="G4447" s="6" t="str">
        <f>IFERROR(__xludf.DUMMYFUNCTION("""COMPUTED_VALUE"""),"02/25/2015")</f>
        <v>02/25/2015</v>
      </c>
      <c r="H4447" s="6" t="str">
        <f>IFERROR(__xludf.DUMMYFUNCTION("""COMPUTED_VALUE"""),"female")</f>
        <v>female</v>
      </c>
      <c r="I4447" s="6" t="str">
        <f>IFERROR(__xludf.DUMMYFUNCTION("""COMPUTED_VALUE"""),"Level 2")</f>
        <v>Level 2</v>
      </c>
      <c r="J4447" s="6" t="str">
        <f>IFERROR(__xludf.DUMMYFUNCTION("""COMPUTED_VALUE"""),"4")</f>
        <v>4</v>
      </c>
      <c r="K4447" s="6" t="str">
        <f>IFERROR(__xludf.DUMMYFUNCTION("""COMPUTED_VALUE"""),"ashlin.delvallemaldonado@2hourlearning.com")</f>
        <v>ashlin.delvallemaldonado@2hourlearning.com</v>
      </c>
      <c r="L4447" s="6" t="str">
        <f>IFERROR(__xludf.DUMMYFUNCTION("""COMPUTED_VALUE"""),"JHES - Hardeeville Elementary School")</f>
        <v>JHES - Hardeeville Elementary School</v>
      </c>
      <c r="M4447" s="6" t="str">
        <f>IFERROR(__xludf.DUMMYFUNCTION("""COMPUTED_VALUE"""),"")</f>
        <v/>
      </c>
      <c r="N4447" s="6" t="str">
        <f>IFERROR(__xludf.DUMMYFUNCTION("""COMPUTED_VALUE"""),"")</f>
        <v/>
      </c>
      <c r="O4447" s="87" t="str">
        <f>IFERROR(__xludf.DUMMYFUNCTION("""COMPUTED_VALUE"""),"https://drive.google.com/drive/folders/10T2cTQHqEJZqE-st6uFKPoI?usp=share_link")</f>
        <v>https://drive.google.com/drive/folders/10T2cTQHqEJZqE-st6uFKPoI?usp=share_link</v>
      </c>
      <c r="P4447" s="6" t="str">
        <f>IFERROR(__xludf.DUMMYFUNCTION("""COMPUTED_VALUE"""),"Ashlin Del Valle Maldonado")</f>
        <v>Ashlin Del Valle Maldonado</v>
      </c>
      <c r="Q4447" s="6" t="str">
        <f>IFERROR(__xludf.DUMMYFUNCTION("""COMPUTED_VALUE"""),"L2")</f>
        <v>L2</v>
      </c>
      <c r="R4447" s="6">
        <f>IFERROR(__xludf.DUMMYFUNCTION("""COMPUTED_VALUE"""),2.0)</f>
        <v>2</v>
      </c>
      <c r="S4447" s="6" t="str">
        <f>IFERROR(__xludf.DUMMYFUNCTION("""COMPUTED_VALUE""")," ")</f>
        <v> </v>
      </c>
      <c r="T4447" s="6" t="str">
        <f>IFERROR(__xludf.DUMMYFUNCTION("""COMPUTED_VALUE"""),"")</f>
        <v/>
      </c>
      <c r="U4447" s="6" t="str">
        <f>IFERROR(__xludf.DUMMYFUNCTION("""COMPUTED_VALUE"""),"4")</f>
        <v>4</v>
      </c>
      <c r="V4447" s="6" t="str">
        <f>IFERROR(__xludf.DUMMYFUNCTION("""COMPUTED_VALUE"""),"")</f>
        <v/>
      </c>
      <c r="W4447" s="6" t="str">
        <f>IFERROR(__xludf.DUMMYFUNCTION("""COMPUTED_VALUE"""),"[]")</f>
        <v>[]</v>
      </c>
      <c r="X4447" s="6" t="str">
        <f>IFERROR(__xludf.DUMMYFUNCTION("""COMPUTED_VALUE"""),"Enrolled")</f>
        <v>Enrolled</v>
      </c>
    </row>
    <row r="4448">
      <c r="A4448" s="6" t="str">
        <f>IFERROR(__xludf.DUMMYFUNCTION("""COMPUTED_VALUE"""),"083-11735")</f>
        <v>083-11735</v>
      </c>
      <c r="B4448" s="6" t="str">
        <f>IFERROR(__xludf.DUMMYFUNCTION("""COMPUTED_VALUE"""),"83")</f>
        <v>83</v>
      </c>
      <c r="C4448" s="6" t="str">
        <f>IFERROR(__xludf.DUMMYFUNCTION("""COMPUTED_VALUE"""),"11735")</f>
        <v>11735</v>
      </c>
      <c r="D4448" s="6" t="str">
        <f>IFERROR(__xludf.DUMMYFUNCTION("""COMPUTED_VALUE"""),"Noah")</f>
        <v>Noah</v>
      </c>
      <c r="E4448" s="6" t="str">
        <f>IFERROR(__xludf.DUMMYFUNCTION("""COMPUTED_VALUE"""),"")</f>
        <v/>
      </c>
      <c r="F4448" s="6" t="str">
        <f>IFERROR(__xludf.DUMMYFUNCTION("""COMPUTED_VALUE"""),"Demera Alverio")</f>
        <v>Demera Alverio</v>
      </c>
      <c r="G4448" s="6" t="str">
        <f>IFERROR(__xludf.DUMMYFUNCTION("""COMPUTED_VALUE"""),"01/15/2016")</f>
        <v>01/15/2016</v>
      </c>
      <c r="H4448" s="6" t="str">
        <f>IFERROR(__xludf.DUMMYFUNCTION("""COMPUTED_VALUE"""),"male")</f>
        <v>male</v>
      </c>
      <c r="I4448" s="6" t="str">
        <f>IFERROR(__xludf.DUMMYFUNCTION("""COMPUTED_VALUE"""),"Level 2")</f>
        <v>Level 2</v>
      </c>
      <c r="J4448" s="6" t="str">
        <f>IFERROR(__xludf.DUMMYFUNCTION("""COMPUTED_VALUE"""),"4")</f>
        <v>4</v>
      </c>
      <c r="K4448" s="6" t="str">
        <f>IFERROR(__xludf.DUMMYFUNCTION("""COMPUTED_VALUE"""),"noah.demeraalverio@2hourlearning.com")</f>
        <v>noah.demeraalverio@2hourlearning.com</v>
      </c>
      <c r="L4448" s="6" t="str">
        <f>IFERROR(__xludf.DUMMYFUNCTION("""COMPUTED_VALUE"""),"JHES - Hardeeville Elementary School")</f>
        <v>JHES - Hardeeville Elementary School</v>
      </c>
      <c r="M4448" s="6" t="str">
        <f>IFERROR(__xludf.DUMMYFUNCTION("""COMPUTED_VALUE"""),"")</f>
        <v/>
      </c>
      <c r="N4448" s="6" t="str">
        <f>IFERROR(__xludf.DUMMYFUNCTION("""COMPUTED_VALUE"""),"")</f>
        <v/>
      </c>
      <c r="O4448" s="87" t="str">
        <f>IFERROR(__xludf.DUMMYFUNCTION("""COMPUTED_VALUE"""),"https://drive.google.com/drive/folders/10T2cTQHqEJZqE-st6uFKPoI?usp=share_link")</f>
        <v>https://drive.google.com/drive/folders/10T2cTQHqEJZqE-st6uFKPoI?usp=share_link</v>
      </c>
      <c r="P4448" s="6" t="str">
        <f>IFERROR(__xludf.DUMMYFUNCTION("""COMPUTED_VALUE"""),"Noah Demera Alverio")</f>
        <v>Noah Demera Alverio</v>
      </c>
      <c r="Q4448" s="6" t="str">
        <f>IFERROR(__xludf.DUMMYFUNCTION("""COMPUTED_VALUE"""),"L2")</f>
        <v>L2</v>
      </c>
      <c r="R4448" s="6">
        <f>IFERROR(__xludf.DUMMYFUNCTION("""COMPUTED_VALUE"""),2.0)</f>
        <v>2</v>
      </c>
      <c r="S4448" s="6" t="str">
        <f>IFERROR(__xludf.DUMMYFUNCTION("""COMPUTED_VALUE""")," ")</f>
        <v> </v>
      </c>
      <c r="T4448" s="6" t="str">
        <f>IFERROR(__xludf.DUMMYFUNCTION("""COMPUTED_VALUE"""),"")</f>
        <v/>
      </c>
      <c r="U4448" s="6" t="str">
        <f>IFERROR(__xludf.DUMMYFUNCTION("""COMPUTED_VALUE"""),"4")</f>
        <v>4</v>
      </c>
      <c r="V4448" s="6" t="str">
        <f>IFERROR(__xludf.DUMMYFUNCTION("""COMPUTED_VALUE"""),"")</f>
        <v/>
      </c>
      <c r="W4448" s="6" t="str">
        <f>IFERROR(__xludf.DUMMYFUNCTION("""COMPUTED_VALUE"""),"[]")</f>
        <v>[]</v>
      </c>
      <c r="X4448" s="6" t="str">
        <f>IFERROR(__xludf.DUMMYFUNCTION("""COMPUTED_VALUE"""),"Enrolled")</f>
        <v>Enrolled</v>
      </c>
    </row>
    <row r="4449">
      <c r="A4449" s="6" t="str">
        <f>IFERROR(__xludf.DUMMYFUNCTION("""COMPUTED_VALUE"""),"083-11736")</f>
        <v>083-11736</v>
      </c>
      <c r="B4449" s="6" t="str">
        <f>IFERROR(__xludf.DUMMYFUNCTION("""COMPUTED_VALUE"""),"83")</f>
        <v>83</v>
      </c>
      <c r="C4449" s="6" t="str">
        <f>IFERROR(__xludf.DUMMYFUNCTION("""COMPUTED_VALUE"""),"11736")</f>
        <v>11736</v>
      </c>
      <c r="D4449" s="6" t="str">
        <f>IFERROR(__xludf.DUMMYFUNCTION("""COMPUTED_VALUE"""),"Julien")</f>
        <v>Julien</v>
      </c>
      <c r="E4449" s="6" t="str">
        <f>IFERROR(__xludf.DUMMYFUNCTION("""COMPUTED_VALUE"""),"")</f>
        <v/>
      </c>
      <c r="F4449" s="6" t="str">
        <f>IFERROR(__xludf.DUMMYFUNCTION("""COMPUTED_VALUE"""),"Elam")</f>
        <v>Elam</v>
      </c>
      <c r="G4449" s="6" t="str">
        <f>IFERROR(__xludf.DUMMYFUNCTION("""COMPUTED_VALUE"""),"02/18/2016")</f>
        <v>02/18/2016</v>
      </c>
      <c r="H4449" s="6" t="str">
        <f>IFERROR(__xludf.DUMMYFUNCTION("""COMPUTED_VALUE"""),"male")</f>
        <v>male</v>
      </c>
      <c r="I4449" s="6" t="str">
        <f>IFERROR(__xludf.DUMMYFUNCTION("""COMPUTED_VALUE"""),"Level 2")</f>
        <v>Level 2</v>
      </c>
      <c r="J4449" s="6" t="str">
        <f>IFERROR(__xludf.DUMMYFUNCTION("""COMPUTED_VALUE"""),"4")</f>
        <v>4</v>
      </c>
      <c r="K4449" s="6" t="str">
        <f>IFERROR(__xludf.DUMMYFUNCTION("""COMPUTED_VALUE"""),"julien.elam@2hourlearning.com")</f>
        <v>julien.elam@2hourlearning.com</v>
      </c>
      <c r="L4449" s="6" t="str">
        <f>IFERROR(__xludf.DUMMYFUNCTION("""COMPUTED_VALUE"""),"JHES - Hardeeville Elementary School")</f>
        <v>JHES - Hardeeville Elementary School</v>
      </c>
      <c r="M4449" s="6" t="str">
        <f>IFERROR(__xludf.DUMMYFUNCTION("""COMPUTED_VALUE"""),"")</f>
        <v/>
      </c>
      <c r="N4449" s="6" t="str">
        <f>IFERROR(__xludf.DUMMYFUNCTION("""COMPUTED_VALUE"""),"")</f>
        <v/>
      </c>
      <c r="O4449" s="87" t="str">
        <f>IFERROR(__xludf.DUMMYFUNCTION("""COMPUTED_VALUE"""),"https://drive.google.com/drive/folders/10T2cTQHqEJZqE-st6uFKPoI?usp=share_link")</f>
        <v>https://drive.google.com/drive/folders/10T2cTQHqEJZqE-st6uFKPoI?usp=share_link</v>
      </c>
      <c r="P4449" s="6" t="str">
        <f>IFERROR(__xludf.DUMMYFUNCTION("""COMPUTED_VALUE"""),"Julien Elam")</f>
        <v>Julien Elam</v>
      </c>
      <c r="Q4449" s="6" t="str">
        <f>IFERROR(__xludf.DUMMYFUNCTION("""COMPUTED_VALUE"""),"L2")</f>
        <v>L2</v>
      </c>
      <c r="R4449" s="6">
        <f>IFERROR(__xludf.DUMMYFUNCTION("""COMPUTED_VALUE"""),2.0)</f>
        <v>2</v>
      </c>
      <c r="S4449" s="6" t="str">
        <f>IFERROR(__xludf.DUMMYFUNCTION("""COMPUTED_VALUE""")," ")</f>
        <v> </v>
      </c>
      <c r="T4449" s="6" t="str">
        <f>IFERROR(__xludf.DUMMYFUNCTION("""COMPUTED_VALUE"""),"")</f>
        <v/>
      </c>
      <c r="U4449" s="6" t="str">
        <f>IFERROR(__xludf.DUMMYFUNCTION("""COMPUTED_VALUE"""),"4")</f>
        <v>4</v>
      </c>
      <c r="V4449" s="6" t="str">
        <f>IFERROR(__xludf.DUMMYFUNCTION("""COMPUTED_VALUE"""),"")</f>
        <v/>
      </c>
      <c r="W4449" s="6" t="str">
        <f>IFERROR(__xludf.DUMMYFUNCTION("""COMPUTED_VALUE"""),"[]")</f>
        <v>[]</v>
      </c>
      <c r="X4449" s="6" t="str">
        <f>IFERROR(__xludf.DUMMYFUNCTION("""COMPUTED_VALUE"""),"Enrolled")</f>
        <v>Enrolled</v>
      </c>
    </row>
    <row r="4450">
      <c r="A4450" s="6" t="str">
        <f>IFERROR(__xludf.DUMMYFUNCTION("""COMPUTED_VALUE"""),"083-11737")</f>
        <v>083-11737</v>
      </c>
      <c r="B4450" s="6" t="str">
        <f>IFERROR(__xludf.DUMMYFUNCTION("""COMPUTED_VALUE"""),"83")</f>
        <v>83</v>
      </c>
      <c r="C4450" s="6" t="str">
        <f>IFERROR(__xludf.DUMMYFUNCTION("""COMPUTED_VALUE"""),"11737")</f>
        <v>11737</v>
      </c>
      <c r="D4450" s="6" t="str">
        <f>IFERROR(__xludf.DUMMYFUNCTION("""COMPUTED_VALUE"""),"Ashley")</f>
        <v>Ashley</v>
      </c>
      <c r="E4450" s="6" t="str">
        <f>IFERROR(__xludf.DUMMYFUNCTION("""COMPUTED_VALUE"""),"")</f>
        <v/>
      </c>
      <c r="F4450" s="6" t="str">
        <f>IFERROR(__xludf.DUMMYFUNCTION("""COMPUTED_VALUE"""),"Espinal Martinez")</f>
        <v>Espinal Martinez</v>
      </c>
      <c r="G4450" s="6" t="str">
        <f>IFERROR(__xludf.DUMMYFUNCTION("""COMPUTED_VALUE"""),"08/26/2016")</f>
        <v>08/26/2016</v>
      </c>
      <c r="H4450" s="6" t="str">
        <f>IFERROR(__xludf.DUMMYFUNCTION("""COMPUTED_VALUE"""),"female")</f>
        <v>female</v>
      </c>
      <c r="I4450" s="6" t="str">
        <f>IFERROR(__xludf.DUMMYFUNCTION("""COMPUTED_VALUE"""),"Level 2")</f>
        <v>Level 2</v>
      </c>
      <c r="J4450" s="6" t="str">
        <f>IFERROR(__xludf.DUMMYFUNCTION("""COMPUTED_VALUE"""),"4")</f>
        <v>4</v>
      </c>
      <c r="K4450" s="6" t="str">
        <f>IFERROR(__xludf.DUMMYFUNCTION("""COMPUTED_VALUE"""),"ashley.espinalmartinez@2hourlearning.com")</f>
        <v>ashley.espinalmartinez@2hourlearning.com</v>
      </c>
      <c r="L4450" s="6" t="str">
        <f>IFERROR(__xludf.DUMMYFUNCTION("""COMPUTED_VALUE"""),"JHES - Hardeeville Elementary School")</f>
        <v>JHES - Hardeeville Elementary School</v>
      </c>
      <c r="M4450" s="6" t="str">
        <f>IFERROR(__xludf.DUMMYFUNCTION("""COMPUTED_VALUE"""),"")</f>
        <v/>
      </c>
      <c r="N4450" s="6" t="str">
        <f>IFERROR(__xludf.DUMMYFUNCTION("""COMPUTED_VALUE"""),"")</f>
        <v/>
      </c>
      <c r="O4450" s="87" t="str">
        <f>IFERROR(__xludf.DUMMYFUNCTION("""COMPUTED_VALUE"""),"https://drive.google.com/drive/folders/10T2cTQHqEJZqE-st6uFKPoI?usp=share_link")</f>
        <v>https://drive.google.com/drive/folders/10T2cTQHqEJZqE-st6uFKPoI?usp=share_link</v>
      </c>
      <c r="P4450" s="6" t="str">
        <f>IFERROR(__xludf.DUMMYFUNCTION("""COMPUTED_VALUE"""),"Ashley Espinal Martinez")</f>
        <v>Ashley Espinal Martinez</v>
      </c>
      <c r="Q4450" s="6" t="str">
        <f>IFERROR(__xludf.DUMMYFUNCTION("""COMPUTED_VALUE"""),"L2")</f>
        <v>L2</v>
      </c>
      <c r="R4450" s="6">
        <f>IFERROR(__xludf.DUMMYFUNCTION("""COMPUTED_VALUE"""),2.0)</f>
        <v>2</v>
      </c>
      <c r="S4450" s="6" t="str">
        <f>IFERROR(__xludf.DUMMYFUNCTION("""COMPUTED_VALUE""")," ")</f>
        <v> </v>
      </c>
      <c r="T4450" s="6" t="str">
        <f>IFERROR(__xludf.DUMMYFUNCTION("""COMPUTED_VALUE"""),"")</f>
        <v/>
      </c>
      <c r="U4450" s="6" t="str">
        <f>IFERROR(__xludf.DUMMYFUNCTION("""COMPUTED_VALUE"""),"4")</f>
        <v>4</v>
      </c>
      <c r="V4450" s="6" t="str">
        <f>IFERROR(__xludf.DUMMYFUNCTION("""COMPUTED_VALUE"""),"")</f>
        <v/>
      </c>
      <c r="W4450" s="6" t="str">
        <f>IFERROR(__xludf.DUMMYFUNCTION("""COMPUTED_VALUE"""),"[]")</f>
        <v>[]</v>
      </c>
      <c r="X4450" s="6" t="str">
        <f>IFERROR(__xludf.DUMMYFUNCTION("""COMPUTED_VALUE"""),"Enrolled")</f>
        <v>Enrolled</v>
      </c>
    </row>
    <row r="4451">
      <c r="A4451" s="6" t="str">
        <f>IFERROR(__xludf.DUMMYFUNCTION("""COMPUTED_VALUE"""),"083-11738")</f>
        <v>083-11738</v>
      </c>
      <c r="B4451" s="6" t="str">
        <f>IFERROR(__xludf.DUMMYFUNCTION("""COMPUTED_VALUE"""),"83")</f>
        <v>83</v>
      </c>
      <c r="C4451" s="6" t="str">
        <f>IFERROR(__xludf.DUMMYFUNCTION("""COMPUTED_VALUE"""),"11738")</f>
        <v>11738</v>
      </c>
      <c r="D4451" s="6" t="str">
        <f>IFERROR(__xludf.DUMMYFUNCTION("""COMPUTED_VALUE"""),"Danna Monserrat")</f>
        <v>Danna Monserrat</v>
      </c>
      <c r="E4451" s="6" t="str">
        <f>IFERROR(__xludf.DUMMYFUNCTION("""COMPUTED_VALUE"""),"")</f>
        <v/>
      </c>
      <c r="F4451" s="6" t="str">
        <f>IFERROR(__xludf.DUMMYFUNCTION("""COMPUTED_VALUE"""),"Flores Miranda")</f>
        <v>Flores Miranda</v>
      </c>
      <c r="G4451" s="6" t="str">
        <f>IFERROR(__xludf.DUMMYFUNCTION("""COMPUTED_VALUE"""),"07/01/2016")</f>
        <v>07/01/2016</v>
      </c>
      <c r="H4451" s="6" t="str">
        <f>IFERROR(__xludf.DUMMYFUNCTION("""COMPUTED_VALUE"""),"female")</f>
        <v>female</v>
      </c>
      <c r="I4451" s="6" t="str">
        <f>IFERROR(__xludf.DUMMYFUNCTION("""COMPUTED_VALUE"""),"Level 2")</f>
        <v>Level 2</v>
      </c>
      <c r="J4451" s="6" t="str">
        <f>IFERROR(__xludf.DUMMYFUNCTION("""COMPUTED_VALUE"""),"4")</f>
        <v>4</v>
      </c>
      <c r="K4451" s="6" t="str">
        <f>IFERROR(__xludf.DUMMYFUNCTION("""COMPUTED_VALUE"""),"dannamonserrat.floresmiranda@2hourlearning.com")</f>
        <v>dannamonserrat.floresmiranda@2hourlearning.com</v>
      </c>
      <c r="L4451" s="6" t="str">
        <f>IFERROR(__xludf.DUMMYFUNCTION("""COMPUTED_VALUE"""),"JHES - Hardeeville Elementary School")</f>
        <v>JHES - Hardeeville Elementary School</v>
      </c>
      <c r="M4451" s="6" t="str">
        <f>IFERROR(__xludf.DUMMYFUNCTION("""COMPUTED_VALUE"""),"")</f>
        <v/>
      </c>
      <c r="N4451" s="6" t="str">
        <f>IFERROR(__xludf.DUMMYFUNCTION("""COMPUTED_VALUE"""),"")</f>
        <v/>
      </c>
      <c r="O4451" s="87" t="str">
        <f>IFERROR(__xludf.DUMMYFUNCTION("""COMPUTED_VALUE"""),"https://drive.google.com/drive/folders/10T2cTQHqEJZqE-st6uFKPoI?usp=share_link")</f>
        <v>https://drive.google.com/drive/folders/10T2cTQHqEJZqE-st6uFKPoI?usp=share_link</v>
      </c>
      <c r="P4451" s="6" t="str">
        <f>IFERROR(__xludf.DUMMYFUNCTION("""COMPUTED_VALUE"""),"Danna Monserrat Flores Miranda")</f>
        <v>Danna Monserrat Flores Miranda</v>
      </c>
      <c r="Q4451" s="6" t="str">
        <f>IFERROR(__xludf.DUMMYFUNCTION("""COMPUTED_VALUE"""),"L2")</f>
        <v>L2</v>
      </c>
      <c r="R4451" s="6">
        <f>IFERROR(__xludf.DUMMYFUNCTION("""COMPUTED_VALUE"""),2.0)</f>
        <v>2</v>
      </c>
      <c r="S4451" s="6" t="str">
        <f>IFERROR(__xludf.DUMMYFUNCTION("""COMPUTED_VALUE""")," ")</f>
        <v> </v>
      </c>
      <c r="T4451" s="6" t="str">
        <f>IFERROR(__xludf.DUMMYFUNCTION("""COMPUTED_VALUE"""),"")</f>
        <v/>
      </c>
      <c r="U4451" s="6" t="str">
        <f>IFERROR(__xludf.DUMMYFUNCTION("""COMPUTED_VALUE"""),"4")</f>
        <v>4</v>
      </c>
      <c r="V4451" s="6" t="str">
        <f>IFERROR(__xludf.DUMMYFUNCTION("""COMPUTED_VALUE"""),"")</f>
        <v/>
      </c>
      <c r="W4451" s="6" t="str">
        <f>IFERROR(__xludf.DUMMYFUNCTION("""COMPUTED_VALUE"""),"[]")</f>
        <v>[]</v>
      </c>
      <c r="X4451" s="6" t="str">
        <f>IFERROR(__xludf.DUMMYFUNCTION("""COMPUTED_VALUE"""),"Enrolled")</f>
        <v>Enrolled</v>
      </c>
    </row>
    <row r="4452">
      <c r="A4452" s="6" t="str">
        <f>IFERROR(__xludf.DUMMYFUNCTION("""COMPUTED_VALUE"""),"083-11739")</f>
        <v>083-11739</v>
      </c>
      <c r="B4452" s="6" t="str">
        <f>IFERROR(__xludf.DUMMYFUNCTION("""COMPUTED_VALUE"""),"83")</f>
        <v>83</v>
      </c>
      <c r="C4452" s="6" t="str">
        <f>IFERROR(__xludf.DUMMYFUNCTION("""COMPUTED_VALUE"""),"11739")</f>
        <v>11739</v>
      </c>
      <c r="D4452" s="6" t="str">
        <f>IFERROR(__xludf.DUMMYFUNCTION("""COMPUTED_VALUE"""),"MarTeena")</f>
        <v>MarTeena</v>
      </c>
      <c r="E4452" s="6" t="str">
        <f>IFERROR(__xludf.DUMMYFUNCTION("""COMPUTED_VALUE"""),"")</f>
        <v/>
      </c>
      <c r="F4452" s="6" t="str">
        <f>IFERROR(__xludf.DUMMYFUNCTION("""COMPUTED_VALUE"""),"Ford")</f>
        <v>Ford</v>
      </c>
      <c r="G4452" s="6" t="str">
        <f>IFERROR(__xludf.DUMMYFUNCTION("""COMPUTED_VALUE"""),"10/21/2015")</f>
        <v>10/21/2015</v>
      </c>
      <c r="H4452" s="6" t="str">
        <f>IFERROR(__xludf.DUMMYFUNCTION("""COMPUTED_VALUE"""),"female")</f>
        <v>female</v>
      </c>
      <c r="I4452" s="6" t="str">
        <f>IFERROR(__xludf.DUMMYFUNCTION("""COMPUTED_VALUE"""),"Level 2")</f>
        <v>Level 2</v>
      </c>
      <c r="J4452" s="6" t="str">
        <f>IFERROR(__xludf.DUMMYFUNCTION("""COMPUTED_VALUE"""),"4")</f>
        <v>4</v>
      </c>
      <c r="K4452" s="6" t="str">
        <f>IFERROR(__xludf.DUMMYFUNCTION("""COMPUTED_VALUE"""),"marteena.ford@2hourlearning.com")</f>
        <v>marteena.ford@2hourlearning.com</v>
      </c>
      <c r="L4452" s="6" t="str">
        <f>IFERROR(__xludf.DUMMYFUNCTION("""COMPUTED_VALUE"""),"JHES - Hardeeville Elementary School")</f>
        <v>JHES - Hardeeville Elementary School</v>
      </c>
      <c r="M4452" s="6" t="str">
        <f>IFERROR(__xludf.DUMMYFUNCTION("""COMPUTED_VALUE"""),"")</f>
        <v/>
      </c>
      <c r="N4452" s="6" t="str">
        <f>IFERROR(__xludf.DUMMYFUNCTION("""COMPUTED_VALUE"""),"")</f>
        <v/>
      </c>
      <c r="O4452" s="87" t="str">
        <f>IFERROR(__xludf.DUMMYFUNCTION("""COMPUTED_VALUE"""),"https://drive.google.com/drive/folders/10T2cTQHqEJZqE-st6uFKPoI?usp=share_link")</f>
        <v>https://drive.google.com/drive/folders/10T2cTQHqEJZqE-st6uFKPoI?usp=share_link</v>
      </c>
      <c r="P4452" s="6" t="str">
        <f>IFERROR(__xludf.DUMMYFUNCTION("""COMPUTED_VALUE"""),"MarTeena Ford")</f>
        <v>MarTeena Ford</v>
      </c>
      <c r="Q4452" s="6" t="str">
        <f>IFERROR(__xludf.DUMMYFUNCTION("""COMPUTED_VALUE"""),"L2")</f>
        <v>L2</v>
      </c>
      <c r="R4452" s="6">
        <f>IFERROR(__xludf.DUMMYFUNCTION("""COMPUTED_VALUE"""),2.0)</f>
        <v>2</v>
      </c>
      <c r="S4452" s="6" t="str">
        <f>IFERROR(__xludf.DUMMYFUNCTION("""COMPUTED_VALUE""")," ")</f>
        <v> </v>
      </c>
      <c r="T4452" s="6" t="str">
        <f>IFERROR(__xludf.DUMMYFUNCTION("""COMPUTED_VALUE"""),"")</f>
        <v/>
      </c>
      <c r="U4452" s="6" t="str">
        <f>IFERROR(__xludf.DUMMYFUNCTION("""COMPUTED_VALUE"""),"4")</f>
        <v>4</v>
      </c>
      <c r="V4452" s="6" t="str">
        <f>IFERROR(__xludf.DUMMYFUNCTION("""COMPUTED_VALUE"""),"")</f>
        <v/>
      </c>
      <c r="W4452" s="6" t="str">
        <f>IFERROR(__xludf.DUMMYFUNCTION("""COMPUTED_VALUE"""),"[]")</f>
        <v>[]</v>
      </c>
      <c r="X4452" s="6" t="str">
        <f>IFERROR(__xludf.DUMMYFUNCTION("""COMPUTED_VALUE"""),"Enrolled")</f>
        <v>Enrolled</v>
      </c>
    </row>
    <row r="4453">
      <c r="A4453" s="6" t="str">
        <f>IFERROR(__xludf.DUMMYFUNCTION("""COMPUTED_VALUE"""),"083-11740")</f>
        <v>083-11740</v>
      </c>
      <c r="B4453" s="6" t="str">
        <f>IFERROR(__xludf.DUMMYFUNCTION("""COMPUTED_VALUE"""),"83")</f>
        <v>83</v>
      </c>
      <c r="C4453" s="6" t="str">
        <f>IFERROR(__xludf.DUMMYFUNCTION("""COMPUTED_VALUE"""),"11740")</f>
        <v>11740</v>
      </c>
      <c r="D4453" s="6" t="str">
        <f>IFERROR(__xludf.DUMMYFUNCTION("""COMPUTED_VALUE"""),"Ruben")</f>
        <v>Ruben</v>
      </c>
      <c r="E4453" s="6" t="str">
        <f>IFERROR(__xludf.DUMMYFUNCTION("""COMPUTED_VALUE"""),"")</f>
        <v/>
      </c>
      <c r="F4453" s="6" t="str">
        <f>IFERROR(__xludf.DUMMYFUNCTION("""COMPUTED_VALUE"""),"Funes de Leon")</f>
        <v>Funes de Leon</v>
      </c>
      <c r="G4453" s="6" t="str">
        <f>IFERROR(__xludf.DUMMYFUNCTION("""COMPUTED_VALUE"""),"12/10/2015")</f>
        <v>12/10/2015</v>
      </c>
      <c r="H4453" s="6" t="str">
        <f>IFERROR(__xludf.DUMMYFUNCTION("""COMPUTED_VALUE"""),"male")</f>
        <v>male</v>
      </c>
      <c r="I4453" s="6" t="str">
        <f>IFERROR(__xludf.DUMMYFUNCTION("""COMPUTED_VALUE"""),"Level 2")</f>
        <v>Level 2</v>
      </c>
      <c r="J4453" s="6" t="str">
        <f>IFERROR(__xludf.DUMMYFUNCTION("""COMPUTED_VALUE"""),"4")</f>
        <v>4</v>
      </c>
      <c r="K4453" s="6" t="str">
        <f>IFERROR(__xludf.DUMMYFUNCTION("""COMPUTED_VALUE"""),"ruben.funesdeleon@2hourlearning.com")</f>
        <v>ruben.funesdeleon@2hourlearning.com</v>
      </c>
      <c r="L4453" s="6" t="str">
        <f>IFERROR(__xludf.DUMMYFUNCTION("""COMPUTED_VALUE"""),"JHES - Hardeeville Elementary School")</f>
        <v>JHES - Hardeeville Elementary School</v>
      </c>
      <c r="M4453" s="6" t="str">
        <f>IFERROR(__xludf.DUMMYFUNCTION("""COMPUTED_VALUE"""),"")</f>
        <v/>
      </c>
      <c r="N4453" s="6" t="str">
        <f>IFERROR(__xludf.DUMMYFUNCTION("""COMPUTED_VALUE"""),"")</f>
        <v/>
      </c>
      <c r="O4453" s="87" t="str">
        <f>IFERROR(__xludf.DUMMYFUNCTION("""COMPUTED_VALUE"""),"https://drive.google.com/drive/folders/10T2cTQHqEJZqE-st6uFKPoI?usp=share_link")</f>
        <v>https://drive.google.com/drive/folders/10T2cTQHqEJZqE-st6uFKPoI?usp=share_link</v>
      </c>
      <c r="P4453" s="6" t="str">
        <f>IFERROR(__xludf.DUMMYFUNCTION("""COMPUTED_VALUE"""),"Ruben Funes de Leon")</f>
        <v>Ruben Funes de Leon</v>
      </c>
      <c r="Q4453" s="6" t="str">
        <f>IFERROR(__xludf.DUMMYFUNCTION("""COMPUTED_VALUE"""),"L2")</f>
        <v>L2</v>
      </c>
      <c r="R4453" s="6">
        <f>IFERROR(__xludf.DUMMYFUNCTION("""COMPUTED_VALUE"""),2.0)</f>
        <v>2</v>
      </c>
      <c r="S4453" s="6" t="str">
        <f>IFERROR(__xludf.DUMMYFUNCTION("""COMPUTED_VALUE""")," ")</f>
        <v> </v>
      </c>
      <c r="T4453" s="6" t="str">
        <f>IFERROR(__xludf.DUMMYFUNCTION("""COMPUTED_VALUE"""),"")</f>
        <v/>
      </c>
      <c r="U4453" s="6" t="str">
        <f>IFERROR(__xludf.DUMMYFUNCTION("""COMPUTED_VALUE"""),"4")</f>
        <v>4</v>
      </c>
      <c r="V4453" s="6" t="str">
        <f>IFERROR(__xludf.DUMMYFUNCTION("""COMPUTED_VALUE"""),"")</f>
        <v/>
      </c>
      <c r="W4453" s="6" t="str">
        <f>IFERROR(__xludf.DUMMYFUNCTION("""COMPUTED_VALUE"""),"[]")</f>
        <v>[]</v>
      </c>
      <c r="X4453" s="6" t="str">
        <f>IFERROR(__xludf.DUMMYFUNCTION("""COMPUTED_VALUE"""),"Enrolled")</f>
        <v>Enrolled</v>
      </c>
    </row>
    <row r="4454">
      <c r="A4454" s="6" t="str">
        <f>IFERROR(__xludf.DUMMYFUNCTION("""COMPUTED_VALUE"""),"083-11741")</f>
        <v>083-11741</v>
      </c>
      <c r="B4454" s="6" t="str">
        <f>IFERROR(__xludf.DUMMYFUNCTION("""COMPUTED_VALUE"""),"83")</f>
        <v>83</v>
      </c>
      <c r="C4454" s="6" t="str">
        <f>IFERROR(__xludf.DUMMYFUNCTION("""COMPUTED_VALUE"""),"11741")</f>
        <v>11741</v>
      </c>
      <c r="D4454" s="6" t="str">
        <f>IFERROR(__xludf.DUMMYFUNCTION("""COMPUTED_VALUE"""),"Axel")</f>
        <v>Axel</v>
      </c>
      <c r="E4454" s="6" t="str">
        <f>IFERROR(__xludf.DUMMYFUNCTION("""COMPUTED_VALUE"""),"")</f>
        <v/>
      </c>
      <c r="F4454" s="6" t="str">
        <f>IFERROR(__xludf.DUMMYFUNCTION("""COMPUTED_VALUE"""),"Garcia")</f>
        <v>Garcia</v>
      </c>
      <c r="G4454" s="6" t="str">
        <f>IFERROR(__xludf.DUMMYFUNCTION("""COMPUTED_VALUE"""),"07/31/2016")</f>
        <v>07/31/2016</v>
      </c>
      <c r="H4454" s="6" t="str">
        <f>IFERROR(__xludf.DUMMYFUNCTION("""COMPUTED_VALUE"""),"male")</f>
        <v>male</v>
      </c>
      <c r="I4454" s="6" t="str">
        <f>IFERROR(__xludf.DUMMYFUNCTION("""COMPUTED_VALUE"""),"Level 2")</f>
        <v>Level 2</v>
      </c>
      <c r="J4454" s="6" t="str">
        <f>IFERROR(__xludf.DUMMYFUNCTION("""COMPUTED_VALUE"""),"4")</f>
        <v>4</v>
      </c>
      <c r="K4454" s="6" t="str">
        <f>IFERROR(__xludf.DUMMYFUNCTION("""COMPUTED_VALUE"""),"axel.garcia@2hourlearning.com")</f>
        <v>axel.garcia@2hourlearning.com</v>
      </c>
      <c r="L4454" s="6" t="str">
        <f>IFERROR(__xludf.DUMMYFUNCTION("""COMPUTED_VALUE"""),"JHES - Hardeeville Elementary School")</f>
        <v>JHES - Hardeeville Elementary School</v>
      </c>
      <c r="M4454" s="6" t="str">
        <f>IFERROR(__xludf.DUMMYFUNCTION("""COMPUTED_VALUE"""),"")</f>
        <v/>
      </c>
      <c r="N4454" s="6" t="str">
        <f>IFERROR(__xludf.DUMMYFUNCTION("""COMPUTED_VALUE"""),"")</f>
        <v/>
      </c>
      <c r="O4454" s="87" t="str">
        <f>IFERROR(__xludf.DUMMYFUNCTION("""COMPUTED_VALUE"""),"https://drive.google.com/drive/folders/10T2cTQHqEJZqE-st6uFKPoI?usp=share_link")</f>
        <v>https://drive.google.com/drive/folders/10T2cTQHqEJZqE-st6uFKPoI?usp=share_link</v>
      </c>
      <c r="P4454" s="6" t="str">
        <f>IFERROR(__xludf.DUMMYFUNCTION("""COMPUTED_VALUE"""),"Axel Garcia")</f>
        <v>Axel Garcia</v>
      </c>
      <c r="Q4454" s="6" t="str">
        <f>IFERROR(__xludf.DUMMYFUNCTION("""COMPUTED_VALUE"""),"L2")</f>
        <v>L2</v>
      </c>
      <c r="R4454" s="6">
        <f>IFERROR(__xludf.DUMMYFUNCTION("""COMPUTED_VALUE"""),2.0)</f>
        <v>2</v>
      </c>
      <c r="S4454" s="6" t="str">
        <f>IFERROR(__xludf.DUMMYFUNCTION("""COMPUTED_VALUE""")," ")</f>
        <v> </v>
      </c>
      <c r="T4454" s="6" t="str">
        <f>IFERROR(__xludf.DUMMYFUNCTION("""COMPUTED_VALUE"""),"")</f>
        <v/>
      </c>
      <c r="U4454" s="6" t="str">
        <f>IFERROR(__xludf.DUMMYFUNCTION("""COMPUTED_VALUE"""),"4")</f>
        <v>4</v>
      </c>
      <c r="V4454" s="6" t="str">
        <f>IFERROR(__xludf.DUMMYFUNCTION("""COMPUTED_VALUE"""),"")</f>
        <v/>
      </c>
      <c r="W4454" s="6" t="str">
        <f>IFERROR(__xludf.DUMMYFUNCTION("""COMPUTED_VALUE"""),"[]")</f>
        <v>[]</v>
      </c>
      <c r="X4454" s="6" t="str">
        <f>IFERROR(__xludf.DUMMYFUNCTION("""COMPUTED_VALUE"""),"Enrolled")</f>
        <v>Enrolled</v>
      </c>
    </row>
    <row r="4455">
      <c r="A4455" s="6" t="str">
        <f>IFERROR(__xludf.DUMMYFUNCTION("""COMPUTED_VALUE"""),"083-11742")</f>
        <v>083-11742</v>
      </c>
      <c r="B4455" s="6" t="str">
        <f>IFERROR(__xludf.DUMMYFUNCTION("""COMPUTED_VALUE"""),"83")</f>
        <v>83</v>
      </c>
      <c r="C4455" s="6" t="str">
        <f>IFERROR(__xludf.DUMMYFUNCTION("""COMPUTED_VALUE"""),"11742")</f>
        <v>11742</v>
      </c>
      <c r="D4455" s="6" t="str">
        <f>IFERROR(__xludf.DUMMYFUNCTION("""COMPUTED_VALUE"""),"Kayleen")</f>
        <v>Kayleen</v>
      </c>
      <c r="E4455" s="6" t="str">
        <f>IFERROR(__xludf.DUMMYFUNCTION("""COMPUTED_VALUE"""),"")</f>
        <v/>
      </c>
      <c r="F4455" s="6" t="str">
        <f>IFERROR(__xludf.DUMMYFUNCTION("""COMPUTED_VALUE"""),"Garcia")</f>
        <v>Garcia</v>
      </c>
      <c r="G4455" s="6" t="str">
        <f>IFERROR(__xludf.DUMMYFUNCTION("""COMPUTED_VALUE"""),"06/26/2016")</f>
        <v>06/26/2016</v>
      </c>
      <c r="H4455" s="6" t="str">
        <f>IFERROR(__xludf.DUMMYFUNCTION("""COMPUTED_VALUE"""),"female")</f>
        <v>female</v>
      </c>
      <c r="I4455" s="6" t="str">
        <f>IFERROR(__xludf.DUMMYFUNCTION("""COMPUTED_VALUE"""),"Level 2")</f>
        <v>Level 2</v>
      </c>
      <c r="J4455" s="6" t="str">
        <f>IFERROR(__xludf.DUMMYFUNCTION("""COMPUTED_VALUE"""),"4")</f>
        <v>4</v>
      </c>
      <c r="K4455" s="6" t="str">
        <f>IFERROR(__xludf.DUMMYFUNCTION("""COMPUTED_VALUE"""),"kayleen.garcia@2hourlearning.com")</f>
        <v>kayleen.garcia@2hourlearning.com</v>
      </c>
      <c r="L4455" s="6" t="str">
        <f>IFERROR(__xludf.DUMMYFUNCTION("""COMPUTED_VALUE"""),"JHES - Hardeeville Elementary School")</f>
        <v>JHES - Hardeeville Elementary School</v>
      </c>
      <c r="M4455" s="6" t="str">
        <f>IFERROR(__xludf.DUMMYFUNCTION("""COMPUTED_VALUE"""),"")</f>
        <v/>
      </c>
      <c r="N4455" s="6" t="str">
        <f>IFERROR(__xludf.DUMMYFUNCTION("""COMPUTED_VALUE"""),"")</f>
        <v/>
      </c>
      <c r="O4455" s="87" t="str">
        <f>IFERROR(__xludf.DUMMYFUNCTION("""COMPUTED_VALUE"""),"https://drive.google.com/drive/folders/10T2cTQHqEJZqE-st6uFKPoI?usp=share_link")</f>
        <v>https://drive.google.com/drive/folders/10T2cTQHqEJZqE-st6uFKPoI?usp=share_link</v>
      </c>
      <c r="P4455" s="6" t="str">
        <f>IFERROR(__xludf.DUMMYFUNCTION("""COMPUTED_VALUE"""),"Kayleen Garcia")</f>
        <v>Kayleen Garcia</v>
      </c>
      <c r="Q4455" s="6" t="str">
        <f>IFERROR(__xludf.DUMMYFUNCTION("""COMPUTED_VALUE"""),"L2")</f>
        <v>L2</v>
      </c>
      <c r="R4455" s="6">
        <f>IFERROR(__xludf.DUMMYFUNCTION("""COMPUTED_VALUE"""),2.0)</f>
        <v>2</v>
      </c>
      <c r="S4455" s="6" t="str">
        <f>IFERROR(__xludf.DUMMYFUNCTION("""COMPUTED_VALUE""")," ")</f>
        <v> </v>
      </c>
      <c r="T4455" s="6" t="str">
        <f>IFERROR(__xludf.DUMMYFUNCTION("""COMPUTED_VALUE"""),"")</f>
        <v/>
      </c>
      <c r="U4455" s="6" t="str">
        <f>IFERROR(__xludf.DUMMYFUNCTION("""COMPUTED_VALUE"""),"4")</f>
        <v>4</v>
      </c>
      <c r="V4455" s="6" t="str">
        <f>IFERROR(__xludf.DUMMYFUNCTION("""COMPUTED_VALUE"""),"")</f>
        <v/>
      </c>
      <c r="W4455" s="6" t="str">
        <f>IFERROR(__xludf.DUMMYFUNCTION("""COMPUTED_VALUE"""),"[]")</f>
        <v>[]</v>
      </c>
      <c r="X4455" s="6" t="str">
        <f>IFERROR(__xludf.DUMMYFUNCTION("""COMPUTED_VALUE"""),"Enrolled")</f>
        <v>Enrolled</v>
      </c>
    </row>
    <row r="4456">
      <c r="A4456" s="6" t="str">
        <f>IFERROR(__xludf.DUMMYFUNCTION("""COMPUTED_VALUE"""),"083-11743")</f>
        <v>083-11743</v>
      </c>
      <c r="B4456" s="6" t="str">
        <f>IFERROR(__xludf.DUMMYFUNCTION("""COMPUTED_VALUE"""),"83")</f>
        <v>83</v>
      </c>
      <c r="C4456" s="6" t="str">
        <f>IFERROR(__xludf.DUMMYFUNCTION("""COMPUTED_VALUE"""),"11743")</f>
        <v>11743</v>
      </c>
      <c r="D4456" s="6" t="str">
        <f>IFERROR(__xludf.DUMMYFUNCTION("""COMPUTED_VALUE"""),"Raiven")</f>
        <v>Raiven</v>
      </c>
      <c r="E4456" s="6" t="str">
        <f>IFERROR(__xludf.DUMMYFUNCTION("""COMPUTED_VALUE"""),"")</f>
        <v/>
      </c>
      <c r="F4456" s="6" t="str">
        <f>IFERROR(__xludf.DUMMYFUNCTION("""COMPUTED_VALUE"""),"Garcia")</f>
        <v>Garcia</v>
      </c>
      <c r="G4456" s="6" t="str">
        <f>IFERROR(__xludf.DUMMYFUNCTION("""COMPUTED_VALUE"""),"08/27/2016")</f>
        <v>08/27/2016</v>
      </c>
      <c r="H4456" s="6" t="str">
        <f>IFERROR(__xludf.DUMMYFUNCTION("""COMPUTED_VALUE"""),"female")</f>
        <v>female</v>
      </c>
      <c r="I4456" s="6" t="str">
        <f>IFERROR(__xludf.DUMMYFUNCTION("""COMPUTED_VALUE"""),"Level 2")</f>
        <v>Level 2</v>
      </c>
      <c r="J4456" s="6" t="str">
        <f>IFERROR(__xludf.DUMMYFUNCTION("""COMPUTED_VALUE"""),"4")</f>
        <v>4</v>
      </c>
      <c r="K4456" s="6" t="str">
        <f>IFERROR(__xludf.DUMMYFUNCTION("""COMPUTED_VALUE"""),"raiven.garcia@2hourlearning.com")</f>
        <v>raiven.garcia@2hourlearning.com</v>
      </c>
      <c r="L4456" s="6" t="str">
        <f>IFERROR(__xludf.DUMMYFUNCTION("""COMPUTED_VALUE"""),"JHES - Hardeeville Elementary School")</f>
        <v>JHES - Hardeeville Elementary School</v>
      </c>
      <c r="M4456" s="6" t="str">
        <f>IFERROR(__xludf.DUMMYFUNCTION("""COMPUTED_VALUE"""),"")</f>
        <v/>
      </c>
      <c r="N4456" s="6" t="str">
        <f>IFERROR(__xludf.DUMMYFUNCTION("""COMPUTED_VALUE"""),"")</f>
        <v/>
      </c>
      <c r="O4456" s="87" t="str">
        <f>IFERROR(__xludf.DUMMYFUNCTION("""COMPUTED_VALUE"""),"https://drive.google.com/drive/folders/10T2cTQHqEJZqE-st6uFKPoI?usp=share_link")</f>
        <v>https://drive.google.com/drive/folders/10T2cTQHqEJZqE-st6uFKPoI?usp=share_link</v>
      </c>
      <c r="P4456" s="6" t="str">
        <f>IFERROR(__xludf.DUMMYFUNCTION("""COMPUTED_VALUE"""),"Raiven Garcia")</f>
        <v>Raiven Garcia</v>
      </c>
      <c r="Q4456" s="6" t="str">
        <f>IFERROR(__xludf.DUMMYFUNCTION("""COMPUTED_VALUE"""),"L2")</f>
        <v>L2</v>
      </c>
      <c r="R4456" s="6">
        <f>IFERROR(__xludf.DUMMYFUNCTION("""COMPUTED_VALUE"""),2.0)</f>
        <v>2</v>
      </c>
      <c r="S4456" s="6" t="str">
        <f>IFERROR(__xludf.DUMMYFUNCTION("""COMPUTED_VALUE""")," ")</f>
        <v> </v>
      </c>
      <c r="T4456" s="6" t="str">
        <f>IFERROR(__xludf.DUMMYFUNCTION("""COMPUTED_VALUE"""),"")</f>
        <v/>
      </c>
      <c r="U4456" s="6" t="str">
        <f>IFERROR(__xludf.DUMMYFUNCTION("""COMPUTED_VALUE"""),"4")</f>
        <v>4</v>
      </c>
      <c r="V4456" s="6" t="str">
        <f>IFERROR(__xludf.DUMMYFUNCTION("""COMPUTED_VALUE"""),"")</f>
        <v/>
      </c>
      <c r="W4456" s="6" t="str">
        <f>IFERROR(__xludf.DUMMYFUNCTION("""COMPUTED_VALUE"""),"[]")</f>
        <v>[]</v>
      </c>
      <c r="X4456" s="6" t="str">
        <f>IFERROR(__xludf.DUMMYFUNCTION("""COMPUTED_VALUE"""),"Enrolled")</f>
        <v>Enrolled</v>
      </c>
    </row>
    <row r="4457">
      <c r="A4457" s="6" t="str">
        <f>IFERROR(__xludf.DUMMYFUNCTION("""COMPUTED_VALUE"""),"083-11744")</f>
        <v>083-11744</v>
      </c>
      <c r="B4457" s="6" t="str">
        <f>IFERROR(__xludf.DUMMYFUNCTION("""COMPUTED_VALUE"""),"83")</f>
        <v>83</v>
      </c>
      <c r="C4457" s="6" t="str">
        <f>IFERROR(__xludf.DUMMYFUNCTION("""COMPUTED_VALUE"""),"11744")</f>
        <v>11744</v>
      </c>
      <c r="D4457" s="6" t="str">
        <f>IFERROR(__xludf.DUMMYFUNCTION("""COMPUTED_VALUE"""),"Avner")</f>
        <v>Avner</v>
      </c>
      <c r="E4457" s="6" t="str">
        <f>IFERROR(__xludf.DUMMYFUNCTION("""COMPUTED_VALUE"""),"")</f>
        <v/>
      </c>
      <c r="F4457" s="6" t="str">
        <f>IFERROR(__xludf.DUMMYFUNCTION("""COMPUTED_VALUE"""),"Garcia Garcia")</f>
        <v>Garcia Garcia</v>
      </c>
      <c r="G4457" s="6" t="str">
        <f>IFERROR(__xludf.DUMMYFUNCTION("""COMPUTED_VALUE"""),"02/25/2015")</f>
        <v>02/25/2015</v>
      </c>
      <c r="H4457" s="6" t="str">
        <f>IFERROR(__xludf.DUMMYFUNCTION("""COMPUTED_VALUE"""),"male")</f>
        <v>male</v>
      </c>
      <c r="I4457" s="6" t="str">
        <f>IFERROR(__xludf.DUMMYFUNCTION("""COMPUTED_VALUE"""),"Level 2")</f>
        <v>Level 2</v>
      </c>
      <c r="J4457" s="6" t="str">
        <f>IFERROR(__xludf.DUMMYFUNCTION("""COMPUTED_VALUE"""),"4")</f>
        <v>4</v>
      </c>
      <c r="K4457" s="6" t="str">
        <f>IFERROR(__xludf.DUMMYFUNCTION("""COMPUTED_VALUE"""),"avner.garciagarcia@2hourlearning.com")</f>
        <v>avner.garciagarcia@2hourlearning.com</v>
      </c>
      <c r="L4457" s="6" t="str">
        <f>IFERROR(__xludf.DUMMYFUNCTION("""COMPUTED_VALUE"""),"JHES - Hardeeville Elementary School")</f>
        <v>JHES - Hardeeville Elementary School</v>
      </c>
      <c r="M4457" s="6" t="str">
        <f>IFERROR(__xludf.DUMMYFUNCTION("""COMPUTED_VALUE"""),"")</f>
        <v/>
      </c>
      <c r="N4457" s="6" t="str">
        <f>IFERROR(__xludf.DUMMYFUNCTION("""COMPUTED_VALUE"""),"")</f>
        <v/>
      </c>
      <c r="O4457" s="87" t="str">
        <f>IFERROR(__xludf.DUMMYFUNCTION("""COMPUTED_VALUE"""),"https://drive.google.com/drive/folders/10T2cTQHqEJZqE-st6uFKPoI?usp=share_link")</f>
        <v>https://drive.google.com/drive/folders/10T2cTQHqEJZqE-st6uFKPoI?usp=share_link</v>
      </c>
      <c r="P4457" s="6" t="str">
        <f>IFERROR(__xludf.DUMMYFUNCTION("""COMPUTED_VALUE"""),"Avner Garcia Garcia")</f>
        <v>Avner Garcia Garcia</v>
      </c>
      <c r="Q4457" s="6" t="str">
        <f>IFERROR(__xludf.DUMMYFUNCTION("""COMPUTED_VALUE"""),"L2")</f>
        <v>L2</v>
      </c>
      <c r="R4457" s="6">
        <f>IFERROR(__xludf.DUMMYFUNCTION("""COMPUTED_VALUE"""),2.0)</f>
        <v>2</v>
      </c>
      <c r="S4457" s="6" t="str">
        <f>IFERROR(__xludf.DUMMYFUNCTION("""COMPUTED_VALUE""")," ")</f>
        <v> </v>
      </c>
      <c r="T4457" s="6" t="str">
        <f>IFERROR(__xludf.DUMMYFUNCTION("""COMPUTED_VALUE"""),"")</f>
        <v/>
      </c>
      <c r="U4457" s="6" t="str">
        <f>IFERROR(__xludf.DUMMYFUNCTION("""COMPUTED_VALUE"""),"4")</f>
        <v>4</v>
      </c>
      <c r="V4457" s="6" t="str">
        <f>IFERROR(__xludf.DUMMYFUNCTION("""COMPUTED_VALUE"""),"")</f>
        <v/>
      </c>
      <c r="W4457" s="6" t="str">
        <f>IFERROR(__xludf.DUMMYFUNCTION("""COMPUTED_VALUE"""),"[]")</f>
        <v>[]</v>
      </c>
      <c r="X4457" s="6" t="str">
        <f>IFERROR(__xludf.DUMMYFUNCTION("""COMPUTED_VALUE"""),"Enrolled")</f>
        <v>Enrolled</v>
      </c>
    </row>
    <row r="4458">
      <c r="A4458" s="6" t="str">
        <f>IFERROR(__xludf.DUMMYFUNCTION("""COMPUTED_VALUE"""),"083-11745")</f>
        <v>083-11745</v>
      </c>
      <c r="B4458" s="6" t="str">
        <f>IFERROR(__xludf.DUMMYFUNCTION("""COMPUTED_VALUE"""),"83")</f>
        <v>83</v>
      </c>
      <c r="C4458" s="6" t="str">
        <f>IFERROR(__xludf.DUMMYFUNCTION("""COMPUTED_VALUE"""),"11745")</f>
        <v>11745</v>
      </c>
      <c r="D4458" s="6" t="str">
        <f>IFERROR(__xludf.DUMMYFUNCTION("""COMPUTED_VALUE"""),"Estrella B")</f>
        <v>Estrella B</v>
      </c>
      <c r="E4458" s="6" t="str">
        <f>IFERROR(__xludf.DUMMYFUNCTION("""COMPUTED_VALUE"""),"")</f>
        <v/>
      </c>
      <c r="F4458" s="6" t="str">
        <f>IFERROR(__xludf.DUMMYFUNCTION("""COMPUTED_VALUE"""),"Garcia Rueda")</f>
        <v>Garcia Rueda</v>
      </c>
      <c r="G4458" s="6" t="str">
        <f>IFERROR(__xludf.DUMMYFUNCTION("""COMPUTED_VALUE"""),"04/12/2016")</f>
        <v>04/12/2016</v>
      </c>
      <c r="H4458" s="6" t="str">
        <f>IFERROR(__xludf.DUMMYFUNCTION("""COMPUTED_VALUE"""),"female")</f>
        <v>female</v>
      </c>
      <c r="I4458" s="6" t="str">
        <f>IFERROR(__xludf.DUMMYFUNCTION("""COMPUTED_VALUE"""),"Level 2")</f>
        <v>Level 2</v>
      </c>
      <c r="J4458" s="6" t="str">
        <f>IFERROR(__xludf.DUMMYFUNCTION("""COMPUTED_VALUE"""),"4")</f>
        <v>4</v>
      </c>
      <c r="K4458" s="6" t="str">
        <f>IFERROR(__xludf.DUMMYFUNCTION("""COMPUTED_VALUE"""),"estrellab.garciarueda@2hourlearning.com")</f>
        <v>estrellab.garciarueda@2hourlearning.com</v>
      </c>
      <c r="L4458" s="6" t="str">
        <f>IFERROR(__xludf.DUMMYFUNCTION("""COMPUTED_VALUE"""),"JHES - Hardeeville Elementary School")</f>
        <v>JHES - Hardeeville Elementary School</v>
      </c>
      <c r="M4458" s="6" t="str">
        <f>IFERROR(__xludf.DUMMYFUNCTION("""COMPUTED_VALUE"""),"")</f>
        <v/>
      </c>
      <c r="N4458" s="6" t="str">
        <f>IFERROR(__xludf.DUMMYFUNCTION("""COMPUTED_VALUE"""),"")</f>
        <v/>
      </c>
      <c r="O4458" s="87" t="str">
        <f>IFERROR(__xludf.DUMMYFUNCTION("""COMPUTED_VALUE"""),"https://drive.google.com/drive/folders/10T2cTQHqEJZqE-st6uFKPoI?usp=share_link")</f>
        <v>https://drive.google.com/drive/folders/10T2cTQHqEJZqE-st6uFKPoI?usp=share_link</v>
      </c>
      <c r="P4458" s="6" t="str">
        <f>IFERROR(__xludf.DUMMYFUNCTION("""COMPUTED_VALUE"""),"Estrella B Garcia Rueda")</f>
        <v>Estrella B Garcia Rueda</v>
      </c>
      <c r="Q4458" s="6" t="str">
        <f>IFERROR(__xludf.DUMMYFUNCTION("""COMPUTED_VALUE"""),"L2")</f>
        <v>L2</v>
      </c>
      <c r="R4458" s="6">
        <f>IFERROR(__xludf.DUMMYFUNCTION("""COMPUTED_VALUE"""),2.0)</f>
        <v>2</v>
      </c>
      <c r="S4458" s="6" t="str">
        <f>IFERROR(__xludf.DUMMYFUNCTION("""COMPUTED_VALUE""")," ")</f>
        <v> </v>
      </c>
      <c r="T4458" s="6" t="str">
        <f>IFERROR(__xludf.DUMMYFUNCTION("""COMPUTED_VALUE"""),"")</f>
        <v/>
      </c>
      <c r="U4458" s="6" t="str">
        <f>IFERROR(__xludf.DUMMYFUNCTION("""COMPUTED_VALUE"""),"4")</f>
        <v>4</v>
      </c>
      <c r="V4458" s="6" t="str">
        <f>IFERROR(__xludf.DUMMYFUNCTION("""COMPUTED_VALUE"""),"")</f>
        <v/>
      </c>
      <c r="W4458" s="6" t="str">
        <f>IFERROR(__xludf.DUMMYFUNCTION("""COMPUTED_VALUE"""),"[]")</f>
        <v>[]</v>
      </c>
      <c r="X4458" s="6" t="str">
        <f>IFERROR(__xludf.DUMMYFUNCTION("""COMPUTED_VALUE"""),"Enrolled")</f>
        <v>Enrolled</v>
      </c>
    </row>
    <row r="4459">
      <c r="A4459" s="6" t="str">
        <f>IFERROR(__xludf.DUMMYFUNCTION("""COMPUTED_VALUE"""),"083-11746")</f>
        <v>083-11746</v>
      </c>
      <c r="B4459" s="6" t="str">
        <f>IFERROR(__xludf.DUMMYFUNCTION("""COMPUTED_VALUE"""),"83")</f>
        <v>83</v>
      </c>
      <c r="C4459" s="6" t="str">
        <f>IFERROR(__xludf.DUMMYFUNCTION("""COMPUTED_VALUE"""),"11746")</f>
        <v>11746</v>
      </c>
      <c r="D4459" s="6" t="str">
        <f>IFERROR(__xludf.DUMMYFUNCTION("""COMPUTED_VALUE"""),"Sharon")</f>
        <v>Sharon</v>
      </c>
      <c r="E4459" s="6" t="str">
        <f>IFERROR(__xludf.DUMMYFUNCTION("""COMPUTED_VALUE"""),"")</f>
        <v/>
      </c>
      <c r="F4459" s="6" t="str">
        <f>IFERROR(__xludf.DUMMYFUNCTION("""COMPUTED_VALUE"""),"Garcia-Rodriguez")</f>
        <v>Garcia-Rodriguez</v>
      </c>
      <c r="G4459" s="6" t="str">
        <f>IFERROR(__xludf.DUMMYFUNCTION("""COMPUTED_VALUE"""),"04/20/2016")</f>
        <v>04/20/2016</v>
      </c>
      <c r="H4459" s="6" t="str">
        <f>IFERROR(__xludf.DUMMYFUNCTION("""COMPUTED_VALUE"""),"female")</f>
        <v>female</v>
      </c>
      <c r="I4459" s="6" t="str">
        <f>IFERROR(__xludf.DUMMYFUNCTION("""COMPUTED_VALUE"""),"Level 2")</f>
        <v>Level 2</v>
      </c>
      <c r="J4459" s="6" t="str">
        <f>IFERROR(__xludf.DUMMYFUNCTION("""COMPUTED_VALUE"""),"4")</f>
        <v>4</v>
      </c>
      <c r="K4459" s="6" t="str">
        <f>IFERROR(__xludf.DUMMYFUNCTION("""COMPUTED_VALUE"""),"sharon.garciarodriguez@2hourlearning.com")</f>
        <v>sharon.garciarodriguez@2hourlearning.com</v>
      </c>
      <c r="L4459" s="6" t="str">
        <f>IFERROR(__xludf.DUMMYFUNCTION("""COMPUTED_VALUE"""),"JHES - Hardeeville Elementary School")</f>
        <v>JHES - Hardeeville Elementary School</v>
      </c>
      <c r="M4459" s="6" t="str">
        <f>IFERROR(__xludf.DUMMYFUNCTION("""COMPUTED_VALUE"""),"")</f>
        <v/>
      </c>
      <c r="N4459" s="6" t="str">
        <f>IFERROR(__xludf.DUMMYFUNCTION("""COMPUTED_VALUE"""),"")</f>
        <v/>
      </c>
      <c r="O4459" s="87" t="str">
        <f>IFERROR(__xludf.DUMMYFUNCTION("""COMPUTED_VALUE"""),"https://drive.google.com/drive/folders/10T2cTQHqEJZqE-st6uFKPoI?usp=share_link")</f>
        <v>https://drive.google.com/drive/folders/10T2cTQHqEJZqE-st6uFKPoI?usp=share_link</v>
      </c>
      <c r="P4459" s="6" t="str">
        <f>IFERROR(__xludf.DUMMYFUNCTION("""COMPUTED_VALUE"""),"Sharon Garcia-Rodriguez")</f>
        <v>Sharon Garcia-Rodriguez</v>
      </c>
      <c r="Q4459" s="6" t="str">
        <f>IFERROR(__xludf.DUMMYFUNCTION("""COMPUTED_VALUE"""),"L2")</f>
        <v>L2</v>
      </c>
      <c r="R4459" s="6">
        <f>IFERROR(__xludf.DUMMYFUNCTION("""COMPUTED_VALUE"""),2.0)</f>
        <v>2</v>
      </c>
      <c r="S4459" s="6" t="str">
        <f>IFERROR(__xludf.DUMMYFUNCTION("""COMPUTED_VALUE""")," ")</f>
        <v> </v>
      </c>
      <c r="T4459" s="6" t="str">
        <f>IFERROR(__xludf.DUMMYFUNCTION("""COMPUTED_VALUE"""),"")</f>
        <v/>
      </c>
      <c r="U4459" s="6" t="str">
        <f>IFERROR(__xludf.DUMMYFUNCTION("""COMPUTED_VALUE"""),"4")</f>
        <v>4</v>
      </c>
      <c r="V4459" s="6" t="str">
        <f>IFERROR(__xludf.DUMMYFUNCTION("""COMPUTED_VALUE"""),"")</f>
        <v/>
      </c>
      <c r="W4459" s="6" t="str">
        <f>IFERROR(__xludf.DUMMYFUNCTION("""COMPUTED_VALUE"""),"[]")</f>
        <v>[]</v>
      </c>
      <c r="X4459" s="6" t="str">
        <f>IFERROR(__xludf.DUMMYFUNCTION("""COMPUTED_VALUE"""),"Enrolled")</f>
        <v>Enrolled</v>
      </c>
    </row>
    <row r="4460">
      <c r="A4460" s="6" t="str">
        <f>IFERROR(__xludf.DUMMYFUNCTION("""COMPUTED_VALUE"""),"083-11747")</f>
        <v>083-11747</v>
      </c>
      <c r="B4460" s="6" t="str">
        <f>IFERROR(__xludf.DUMMYFUNCTION("""COMPUTED_VALUE"""),"83")</f>
        <v>83</v>
      </c>
      <c r="C4460" s="6" t="str">
        <f>IFERROR(__xludf.DUMMYFUNCTION("""COMPUTED_VALUE"""),"11747")</f>
        <v>11747</v>
      </c>
      <c r="D4460" s="6" t="str">
        <f>IFERROR(__xludf.DUMMYFUNCTION("""COMPUTED_VALUE"""),"Yuleydi G")</f>
        <v>Yuleydi G</v>
      </c>
      <c r="E4460" s="6" t="str">
        <f>IFERROR(__xludf.DUMMYFUNCTION("""COMPUTED_VALUE"""),"")</f>
        <v/>
      </c>
      <c r="F4460" s="6" t="str">
        <f>IFERROR(__xludf.DUMMYFUNCTION("""COMPUTED_VALUE"""),"Gomez Moreno")</f>
        <v>Gomez Moreno</v>
      </c>
      <c r="G4460" s="6" t="str">
        <f>IFERROR(__xludf.DUMMYFUNCTION("""COMPUTED_VALUE"""),"02/11/2015")</f>
        <v>02/11/2015</v>
      </c>
      <c r="H4460" s="6" t="str">
        <f>IFERROR(__xludf.DUMMYFUNCTION("""COMPUTED_VALUE"""),"female")</f>
        <v>female</v>
      </c>
      <c r="I4460" s="6" t="str">
        <f>IFERROR(__xludf.DUMMYFUNCTION("""COMPUTED_VALUE"""),"Level 2")</f>
        <v>Level 2</v>
      </c>
      <c r="J4460" s="6" t="str">
        <f>IFERROR(__xludf.DUMMYFUNCTION("""COMPUTED_VALUE"""),"4")</f>
        <v>4</v>
      </c>
      <c r="K4460" s="6" t="str">
        <f>IFERROR(__xludf.DUMMYFUNCTION("""COMPUTED_VALUE"""),"yuleydig.gomezmoreno@2hourlearning.com")</f>
        <v>yuleydig.gomezmoreno@2hourlearning.com</v>
      </c>
      <c r="L4460" s="6" t="str">
        <f>IFERROR(__xludf.DUMMYFUNCTION("""COMPUTED_VALUE"""),"JHES - Hardeeville Elementary School")</f>
        <v>JHES - Hardeeville Elementary School</v>
      </c>
      <c r="M4460" s="6" t="str">
        <f>IFERROR(__xludf.DUMMYFUNCTION("""COMPUTED_VALUE"""),"")</f>
        <v/>
      </c>
      <c r="N4460" s="6" t="str">
        <f>IFERROR(__xludf.DUMMYFUNCTION("""COMPUTED_VALUE"""),"")</f>
        <v/>
      </c>
      <c r="O4460" s="87" t="str">
        <f>IFERROR(__xludf.DUMMYFUNCTION("""COMPUTED_VALUE"""),"https://drive.google.com/drive/folders/10T2cTQHqEJZqE-st6uFKPoI?usp=share_link")</f>
        <v>https://drive.google.com/drive/folders/10T2cTQHqEJZqE-st6uFKPoI?usp=share_link</v>
      </c>
      <c r="P4460" s="6" t="str">
        <f>IFERROR(__xludf.DUMMYFUNCTION("""COMPUTED_VALUE"""),"Yuleydi G Gomez Moreno")</f>
        <v>Yuleydi G Gomez Moreno</v>
      </c>
      <c r="Q4460" s="6" t="str">
        <f>IFERROR(__xludf.DUMMYFUNCTION("""COMPUTED_VALUE"""),"L2")</f>
        <v>L2</v>
      </c>
      <c r="R4460" s="6">
        <f>IFERROR(__xludf.DUMMYFUNCTION("""COMPUTED_VALUE"""),2.0)</f>
        <v>2</v>
      </c>
      <c r="S4460" s="6" t="str">
        <f>IFERROR(__xludf.DUMMYFUNCTION("""COMPUTED_VALUE""")," ")</f>
        <v> </v>
      </c>
      <c r="T4460" s="6" t="str">
        <f>IFERROR(__xludf.DUMMYFUNCTION("""COMPUTED_VALUE"""),"")</f>
        <v/>
      </c>
      <c r="U4460" s="6" t="str">
        <f>IFERROR(__xludf.DUMMYFUNCTION("""COMPUTED_VALUE"""),"4")</f>
        <v>4</v>
      </c>
      <c r="V4460" s="6" t="str">
        <f>IFERROR(__xludf.DUMMYFUNCTION("""COMPUTED_VALUE"""),"")</f>
        <v/>
      </c>
      <c r="W4460" s="6" t="str">
        <f>IFERROR(__xludf.DUMMYFUNCTION("""COMPUTED_VALUE"""),"[]")</f>
        <v>[]</v>
      </c>
      <c r="X4460" s="6" t="str">
        <f>IFERROR(__xludf.DUMMYFUNCTION("""COMPUTED_VALUE"""),"Enrolled")</f>
        <v>Enrolled</v>
      </c>
    </row>
    <row r="4461">
      <c r="A4461" s="6" t="str">
        <f>IFERROR(__xludf.DUMMYFUNCTION("""COMPUTED_VALUE"""),"083-11748")</f>
        <v>083-11748</v>
      </c>
      <c r="B4461" s="6" t="str">
        <f>IFERROR(__xludf.DUMMYFUNCTION("""COMPUTED_VALUE"""),"83")</f>
        <v>83</v>
      </c>
      <c r="C4461" s="6" t="str">
        <f>IFERROR(__xludf.DUMMYFUNCTION("""COMPUTED_VALUE"""),"11748")</f>
        <v>11748</v>
      </c>
      <c r="D4461" s="6" t="str">
        <f>IFERROR(__xludf.DUMMYFUNCTION("""COMPUTED_VALUE"""),"Kelissa")</f>
        <v>Kelissa</v>
      </c>
      <c r="E4461" s="6" t="str">
        <f>IFERROR(__xludf.DUMMYFUNCTION("""COMPUTED_VALUE"""),"")</f>
        <v/>
      </c>
      <c r="F4461" s="6" t="str">
        <f>IFERROR(__xludf.DUMMYFUNCTION("""COMPUTED_VALUE"""),"Hall")</f>
        <v>Hall</v>
      </c>
      <c r="G4461" s="6" t="str">
        <f>IFERROR(__xludf.DUMMYFUNCTION("""COMPUTED_VALUE"""),"09/28/2016")</f>
        <v>09/28/2016</v>
      </c>
      <c r="H4461" s="6" t="str">
        <f>IFERROR(__xludf.DUMMYFUNCTION("""COMPUTED_VALUE"""),"female")</f>
        <v>female</v>
      </c>
      <c r="I4461" s="6" t="str">
        <f>IFERROR(__xludf.DUMMYFUNCTION("""COMPUTED_VALUE"""),"Level 2")</f>
        <v>Level 2</v>
      </c>
      <c r="J4461" s="6" t="str">
        <f>IFERROR(__xludf.DUMMYFUNCTION("""COMPUTED_VALUE"""),"4")</f>
        <v>4</v>
      </c>
      <c r="K4461" s="6" t="str">
        <f>IFERROR(__xludf.DUMMYFUNCTION("""COMPUTED_VALUE"""),"kelissa.hall@2hourlearning.com")</f>
        <v>kelissa.hall@2hourlearning.com</v>
      </c>
      <c r="L4461" s="6" t="str">
        <f>IFERROR(__xludf.DUMMYFUNCTION("""COMPUTED_VALUE"""),"JHES - Hardeeville Elementary School")</f>
        <v>JHES - Hardeeville Elementary School</v>
      </c>
      <c r="M4461" s="6" t="str">
        <f>IFERROR(__xludf.DUMMYFUNCTION("""COMPUTED_VALUE"""),"")</f>
        <v/>
      </c>
      <c r="N4461" s="6" t="str">
        <f>IFERROR(__xludf.DUMMYFUNCTION("""COMPUTED_VALUE"""),"")</f>
        <v/>
      </c>
      <c r="O4461" s="87" t="str">
        <f>IFERROR(__xludf.DUMMYFUNCTION("""COMPUTED_VALUE"""),"https://drive.google.com/drive/folders/10T2cTQHqEJZqE-st6uFKPoI?usp=share_link")</f>
        <v>https://drive.google.com/drive/folders/10T2cTQHqEJZqE-st6uFKPoI?usp=share_link</v>
      </c>
      <c r="P4461" s="6" t="str">
        <f>IFERROR(__xludf.DUMMYFUNCTION("""COMPUTED_VALUE"""),"Kelissa Hall")</f>
        <v>Kelissa Hall</v>
      </c>
      <c r="Q4461" s="6" t="str">
        <f>IFERROR(__xludf.DUMMYFUNCTION("""COMPUTED_VALUE"""),"L2")</f>
        <v>L2</v>
      </c>
      <c r="R4461" s="6">
        <f>IFERROR(__xludf.DUMMYFUNCTION("""COMPUTED_VALUE"""),2.0)</f>
        <v>2</v>
      </c>
      <c r="S4461" s="6" t="str">
        <f>IFERROR(__xludf.DUMMYFUNCTION("""COMPUTED_VALUE""")," ")</f>
        <v> </v>
      </c>
      <c r="T4461" s="6" t="str">
        <f>IFERROR(__xludf.DUMMYFUNCTION("""COMPUTED_VALUE"""),"")</f>
        <v/>
      </c>
      <c r="U4461" s="6" t="str">
        <f>IFERROR(__xludf.DUMMYFUNCTION("""COMPUTED_VALUE"""),"4")</f>
        <v>4</v>
      </c>
      <c r="V4461" s="6" t="str">
        <f>IFERROR(__xludf.DUMMYFUNCTION("""COMPUTED_VALUE"""),"")</f>
        <v/>
      </c>
      <c r="W4461" s="6" t="str">
        <f>IFERROR(__xludf.DUMMYFUNCTION("""COMPUTED_VALUE"""),"[]")</f>
        <v>[]</v>
      </c>
      <c r="X4461" s="6" t="str">
        <f>IFERROR(__xludf.DUMMYFUNCTION("""COMPUTED_VALUE"""),"Enrolled")</f>
        <v>Enrolled</v>
      </c>
    </row>
    <row r="4462">
      <c r="A4462" s="6" t="str">
        <f>IFERROR(__xludf.DUMMYFUNCTION("""COMPUTED_VALUE"""),"083-11749")</f>
        <v>083-11749</v>
      </c>
      <c r="B4462" s="6" t="str">
        <f>IFERROR(__xludf.DUMMYFUNCTION("""COMPUTED_VALUE"""),"83")</f>
        <v>83</v>
      </c>
      <c r="C4462" s="6" t="str">
        <f>IFERROR(__xludf.DUMMYFUNCTION("""COMPUTED_VALUE"""),"11749")</f>
        <v>11749</v>
      </c>
      <c r="D4462" s="6" t="str">
        <f>IFERROR(__xludf.DUMMYFUNCTION("""COMPUTED_VALUE"""),"Avah")</f>
        <v>Avah</v>
      </c>
      <c r="E4462" s="6" t="str">
        <f>IFERROR(__xludf.DUMMYFUNCTION("""COMPUTED_VALUE"""),"")</f>
        <v/>
      </c>
      <c r="F4462" s="6" t="str">
        <f>IFERROR(__xludf.DUMMYFUNCTION("""COMPUTED_VALUE"""),"Harris")</f>
        <v>Harris</v>
      </c>
      <c r="G4462" s="6" t="str">
        <f>IFERROR(__xludf.DUMMYFUNCTION("""COMPUTED_VALUE"""),"03/30/2016")</f>
        <v>03/30/2016</v>
      </c>
      <c r="H4462" s="6" t="str">
        <f>IFERROR(__xludf.DUMMYFUNCTION("""COMPUTED_VALUE"""),"female")</f>
        <v>female</v>
      </c>
      <c r="I4462" s="6" t="str">
        <f>IFERROR(__xludf.DUMMYFUNCTION("""COMPUTED_VALUE"""),"Level 2")</f>
        <v>Level 2</v>
      </c>
      <c r="J4462" s="6" t="str">
        <f>IFERROR(__xludf.DUMMYFUNCTION("""COMPUTED_VALUE"""),"4")</f>
        <v>4</v>
      </c>
      <c r="K4462" s="6" t="str">
        <f>IFERROR(__xludf.DUMMYFUNCTION("""COMPUTED_VALUE"""),"avah.harris@2hourlearning.com")</f>
        <v>avah.harris@2hourlearning.com</v>
      </c>
      <c r="L4462" s="6" t="str">
        <f>IFERROR(__xludf.DUMMYFUNCTION("""COMPUTED_VALUE"""),"JHES - Hardeeville Elementary School")</f>
        <v>JHES - Hardeeville Elementary School</v>
      </c>
      <c r="M4462" s="6" t="str">
        <f>IFERROR(__xludf.DUMMYFUNCTION("""COMPUTED_VALUE"""),"")</f>
        <v/>
      </c>
      <c r="N4462" s="6" t="str">
        <f>IFERROR(__xludf.DUMMYFUNCTION("""COMPUTED_VALUE"""),"")</f>
        <v/>
      </c>
      <c r="O4462" s="87" t="str">
        <f>IFERROR(__xludf.DUMMYFUNCTION("""COMPUTED_VALUE"""),"https://drive.google.com/drive/folders/10T2cTQHqEJZqE-st6uFKPoI?usp=share_link")</f>
        <v>https://drive.google.com/drive/folders/10T2cTQHqEJZqE-st6uFKPoI?usp=share_link</v>
      </c>
      <c r="P4462" s="6" t="str">
        <f>IFERROR(__xludf.DUMMYFUNCTION("""COMPUTED_VALUE"""),"Avah Harris")</f>
        <v>Avah Harris</v>
      </c>
      <c r="Q4462" s="6" t="str">
        <f>IFERROR(__xludf.DUMMYFUNCTION("""COMPUTED_VALUE"""),"L2")</f>
        <v>L2</v>
      </c>
      <c r="R4462" s="6">
        <f>IFERROR(__xludf.DUMMYFUNCTION("""COMPUTED_VALUE"""),2.0)</f>
        <v>2</v>
      </c>
      <c r="S4462" s="6" t="str">
        <f>IFERROR(__xludf.DUMMYFUNCTION("""COMPUTED_VALUE""")," ")</f>
        <v> </v>
      </c>
      <c r="T4462" s="6" t="str">
        <f>IFERROR(__xludf.DUMMYFUNCTION("""COMPUTED_VALUE"""),"")</f>
        <v/>
      </c>
      <c r="U4462" s="6" t="str">
        <f>IFERROR(__xludf.DUMMYFUNCTION("""COMPUTED_VALUE"""),"4")</f>
        <v>4</v>
      </c>
      <c r="V4462" s="6" t="str">
        <f>IFERROR(__xludf.DUMMYFUNCTION("""COMPUTED_VALUE"""),"")</f>
        <v/>
      </c>
      <c r="W4462" s="6" t="str">
        <f>IFERROR(__xludf.DUMMYFUNCTION("""COMPUTED_VALUE"""),"[]")</f>
        <v>[]</v>
      </c>
      <c r="X4462" s="6" t="str">
        <f>IFERROR(__xludf.DUMMYFUNCTION("""COMPUTED_VALUE"""),"Enrolled")</f>
        <v>Enrolled</v>
      </c>
    </row>
    <row r="4463">
      <c r="A4463" s="6" t="str">
        <f>IFERROR(__xludf.DUMMYFUNCTION("""COMPUTED_VALUE"""),"083-11750")</f>
        <v>083-11750</v>
      </c>
      <c r="B4463" s="6" t="str">
        <f>IFERROR(__xludf.DUMMYFUNCTION("""COMPUTED_VALUE"""),"83")</f>
        <v>83</v>
      </c>
      <c r="C4463" s="6" t="str">
        <f>IFERROR(__xludf.DUMMYFUNCTION("""COMPUTED_VALUE"""),"11750")</f>
        <v>11750</v>
      </c>
      <c r="D4463" s="6" t="str">
        <f>IFERROR(__xludf.DUMMYFUNCTION("""COMPUTED_VALUE"""),"Earl")</f>
        <v>Earl</v>
      </c>
      <c r="E4463" s="6" t="str">
        <f>IFERROR(__xludf.DUMMYFUNCTION("""COMPUTED_VALUE"""),"")</f>
        <v/>
      </c>
      <c r="F4463" s="6" t="str">
        <f>IFERROR(__xludf.DUMMYFUNCTION("""COMPUTED_VALUE"""),"Johnson")</f>
        <v>Johnson</v>
      </c>
      <c r="G4463" s="6" t="str">
        <f>IFERROR(__xludf.DUMMYFUNCTION("""COMPUTED_VALUE"""),"04/21/2016")</f>
        <v>04/21/2016</v>
      </c>
      <c r="H4463" s="6" t="str">
        <f>IFERROR(__xludf.DUMMYFUNCTION("""COMPUTED_VALUE"""),"male")</f>
        <v>male</v>
      </c>
      <c r="I4463" s="6" t="str">
        <f>IFERROR(__xludf.DUMMYFUNCTION("""COMPUTED_VALUE"""),"Level 2")</f>
        <v>Level 2</v>
      </c>
      <c r="J4463" s="6" t="str">
        <f>IFERROR(__xludf.DUMMYFUNCTION("""COMPUTED_VALUE"""),"4")</f>
        <v>4</v>
      </c>
      <c r="K4463" s="6" t="str">
        <f>IFERROR(__xludf.DUMMYFUNCTION("""COMPUTED_VALUE"""),"earl.johnson@2hourlearning.com")</f>
        <v>earl.johnson@2hourlearning.com</v>
      </c>
      <c r="L4463" s="6" t="str">
        <f>IFERROR(__xludf.DUMMYFUNCTION("""COMPUTED_VALUE"""),"JHES - Hardeeville Elementary School")</f>
        <v>JHES - Hardeeville Elementary School</v>
      </c>
      <c r="M4463" s="6" t="str">
        <f>IFERROR(__xludf.DUMMYFUNCTION("""COMPUTED_VALUE"""),"")</f>
        <v/>
      </c>
      <c r="N4463" s="6" t="str">
        <f>IFERROR(__xludf.DUMMYFUNCTION("""COMPUTED_VALUE"""),"")</f>
        <v/>
      </c>
      <c r="O4463" s="87" t="str">
        <f>IFERROR(__xludf.DUMMYFUNCTION("""COMPUTED_VALUE"""),"https://drive.google.com/drive/folders/10T2cTQHqEJZqE-st6uFKPoI?usp=share_link")</f>
        <v>https://drive.google.com/drive/folders/10T2cTQHqEJZqE-st6uFKPoI?usp=share_link</v>
      </c>
      <c r="P4463" s="6" t="str">
        <f>IFERROR(__xludf.DUMMYFUNCTION("""COMPUTED_VALUE"""),"Earl Johnson")</f>
        <v>Earl Johnson</v>
      </c>
      <c r="Q4463" s="6" t="str">
        <f>IFERROR(__xludf.DUMMYFUNCTION("""COMPUTED_VALUE"""),"L2")</f>
        <v>L2</v>
      </c>
      <c r="R4463" s="6">
        <f>IFERROR(__xludf.DUMMYFUNCTION("""COMPUTED_VALUE"""),2.0)</f>
        <v>2</v>
      </c>
      <c r="S4463" s="6" t="str">
        <f>IFERROR(__xludf.DUMMYFUNCTION("""COMPUTED_VALUE""")," ")</f>
        <v> </v>
      </c>
      <c r="T4463" s="6" t="str">
        <f>IFERROR(__xludf.DUMMYFUNCTION("""COMPUTED_VALUE"""),"")</f>
        <v/>
      </c>
      <c r="U4463" s="6" t="str">
        <f>IFERROR(__xludf.DUMMYFUNCTION("""COMPUTED_VALUE"""),"4")</f>
        <v>4</v>
      </c>
      <c r="V4463" s="6" t="str">
        <f>IFERROR(__xludf.DUMMYFUNCTION("""COMPUTED_VALUE"""),"")</f>
        <v/>
      </c>
      <c r="W4463" s="6" t="str">
        <f>IFERROR(__xludf.DUMMYFUNCTION("""COMPUTED_VALUE"""),"[]")</f>
        <v>[]</v>
      </c>
      <c r="X4463" s="6" t="str">
        <f>IFERROR(__xludf.DUMMYFUNCTION("""COMPUTED_VALUE"""),"Enrolled")</f>
        <v>Enrolled</v>
      </c>
    </row>
    <row r="4464">
      <c r="A4464" s="6" t="str">
        <f>IFERROR(__xludf.DUMMYFUNCTION("""COMPUTED_VALUE"""),"083-11751")</f>
        <v>083-11751</v>
      </c>
      <c r="B4464" s="6" t="str">
        <f>IFERROR(__xludf.DUMMYFUNCTION("""COMPUTED_VALUE"""),"83")</f>
        <v>83</v>
      </c>
      <c r="C4464" s="6" t="str">
        <f>IFERROR(__xludf.DUMMYFUNCTION("""COMPUTED_VALUE"""),"11751")</f>
        <v>11751</v>
      </c>
      <c r="D4464" s="6" t="str">
        <f>IFERROR(__xludf.DUMMYFUNCTION("""COMPUTED_VALUE"""),"Lillian")</f>
        <v>Lillian</v>
      </c>
      <c r="E4464" s="6" t="str">
        <f>IFERROR(__xludf.DUMMYFUNCTION("""COMPUTED_VALUE"""),"")</f>
        <v/>
      </c>
      <c r="F4464" s="6" t="str">
        <f>IFERROR(__xludf.DUMMYFUNCTION("""COMPUTED_VALUE"""),"Ketchum")</f>
        <v>Ketchum</v>
      </c>
      <c r="G4464" s="6" t="str">
        <f>IFERROR(__xludf.DUMMYFUNCTION("""COMPUTED_VALUE"""),"02/17/2016")</f>
        <v>02/17/2016</v>
      </c>
      <c r="H4464" s="6" t="str">
        <f>IFERROR(__xludf.DUMMYFUNCTION("""COMPUTED_VALUE"""),"female")</f>
        <v>female</v>
      </c>
      <c r="I4464" s="6" t="str">
        <f>IFERROR(__xludf.DUMMYFUNCTION("""COMPUTED_VALUE"""),"Level 2")</f>
        <v>Level 2</v>
      </c>
      <c r="J4464" s="6" t="str">
        <f>IFERROR(__xludf.DUMMYFUNCTION("""COMPUTED_VALUE"""),"4")</f>
        <v>4</v>
      </c>
      <c r="K4464" s="6" t="str">
        <f>IFERROR(__xludf.DUMMYFUNCTION("""COMPUTED_VALUE"""),"lillian.ketchum@2hourlearning.com")</f>
        <v>lillian.ketchum@2hourlearning.com</v>
      </c>
      <c r="L4464" s="6" t="str">
        <f>IFERROR(__xludf.DUMMYFUNCTION("""COMPUTED_VALUE"""),"JHES - Hardeeville Elementary School")</f>
        <v>JHES - Hardeeville Elementary School</v>
      </c>
      <c r="M4464" s="6" t="str">
        <f>IFERROR(__xludf.DUMMYFUNCTION("""COMPUTED_VALUE"""),"")</f>
        <v/>
      </c>
      <c r="N4464" s="6" t="str">
        <f>IFERROR(__xludf.DUMMYFUNCTION("""COMPUTED_VALUE"""),"")</f>
        <v/>
      </c>
      <c r="O4464" s="87" t="str">
        <f>IFERROR(__xludf.DUMMYFUNCTION("""COMPUTED_VALUE"""),"https://drive.google.com/drive/folders/10T2cTQHqEJZqE-st6uFKPoI?usp=share_link")</f>
        <v>https://drive.google.com/drive/folders/10T2cTQHqEJZqE-st6uFKPoI?usp=share_link</v>
      </c>
      <c r="P4464" s="6" t="str">
        <f>IFERROR(__xludf.DUMMYFUNCTION("""COMPUTED_VALUE"""),"Lillian Ketchum")</f>
        <v>Lillian Ketchum</v>
      </c>
      <c r="Q4464" s="6" t="str">
        <f>IFERROR(__xludf.DUMMYFUNCTION("""COMPUTED_VALUE"""),"L2")</f>
        <v>L2</v>
      </c>
      <c r="R4464" s="6">
        <f>IFERROR(__xludf.DUMMYFUNCTION("""COMPUTED_VALUE"""),2.0)</f>
        <v>2</v>
      </c>
      <c r="S4464" s="6" t="str">
        <f>IFERROR(__xludf.DUMMYFUNCTION("""COMPUTED_VALUE""")," ")</f>
        <v> </v>
      </c>
      <c r="T4464" s="6" t="str">
        <f>IFERROR(__xludf.DUMMYFUNCTION("""COMPUTED_VALUE"""),"")</f>
        <v/>
      </c>
      <c r="U4464" s="6" t="str">
        <f>IFERROR(__xludf.DUMMYFUNCTION("""COMPUTED_VALUE"""),"4")</f>
        <v>4</v>
      </c>
      <c r="V4464" s="6" t="str">
        <f>IFERROR(__xludf.DUMMYFUNCTION("""COMPUTED_VALUE"""),"")</f>
        <v/>
      </c>
      <c r="W4464" s="6" t="str">
        <f>IFERROR(__xludf.DUMMYFUNCTION("""COMPUTED_VALUE"""),"[]")</f>
        <v>[]</v>
      </c>
      <c r="X4464" s="6" t="str">
        <f>IFERROR(__xludf.DUMMYFUNCTION("""COMPUTED_VALUE"""),"Enrolled")</f>
        <v>Enrolled</v>
      </c>
    </row>
    <row r="4465">
      <c r="A4465" s="6" t="str">
        <f>IFERROR(__xludf.DUMMYFUNCTION("""COMPUTED_VALUE"""),"083-11752")</f>
        <v>083-11752</v>
      </c>
      <c r="B4465" s="6" t="str">
        <f>IFERROR(__xludf.DUMMYFUNCTION("""COMPUTED_VALUE"""),"83")</f>
        <v>83</v>
      </c>
      <c r="C4465" s="6" t="str">
        <f>IFERROR(__xludf.DUMMYFUNCTION("""COMPUTED_VALUE"""),"11752")</f>
        <v>11752</v>
      </c>
      <c r="D4465" s="6" t="str">
        <f>IFERROR(__xludf.DUMMYFUNCTION("""COMPUTED_VALUE"""),"Eleazin")</f>
        <v>Eleazin</v>
      </c>
      <c r="E4465" s="6" t="str">
        <f>IFERROR(__xludf.DUMMYFUNCTION("""COMPUTED_VALUE"""),"")</f>
        <v/>
      </c>
      <c r="F4465" s="6" t="str">
        <f>IFERROR(__xludf.DUMMYFUNCTION("""COMPUTED_VALUE"""),"Landeros-Flores")</f>
        <v>Landeros-Flores</v>
      </c>
      <c r="G4465" s="6" t="str">
        <f>IFERROR(__xludf.DUMMYFUNCTION("""COMPUTED_VALUE"""),"11/09/2015")</f>
        <v>11/09/2015</v>
      </c>
      <c r="H4465" s="6" t="str">
        <f>IFERROR(__xludf.DUMMYFUNCTION("""COMPUTED_VALUE"""),"male")</f>
        <v>male</v>
      </c>
      <c r="I4465" s="6" t="str">
        <f>IFERROR(__xludf.DUMMYFUNCTION("""COMPUTED_VALUE"""),"Level 2")</f>
        <v>Level 2</v>
      </c>
      <c r="J4465" s="6" t="str">
        <f>IFERROR(__xludf.DUMMYFUNCTION("""COMPUTED_VALUE"""),"4")</f>
        <v>4</v>
      </c>
      <c r="K4465" s="6" t="str">
        <f>IFERROR(__xludf.DUMMYFUNCTION("""COMPUTED_VALUE"""),"eleazin.landerosflores@2hourlearning.com")</f>
        <v>eleazin.landerosflores@2hourlearning.com</v>
      </c>
      <c r="L4465" s="6" t="str">
        <f>IFERROR(__xludf.DUMMYFUNCTION("""COMPUTED_VALUE"""),"JHES - Hardeeville Elementary School")</f>
        <v>JHES - Hardeeville Elementary School</v>
      </c>
      <c r="M4465" s="6" t="str">
        <f>IFERROR(__xludf.DUMMYFUNCTION("""COMPUTED_VALUE"""),"")</f>
        <v/>
      </c>
      <c r="N4465" s="6" t="str">
        <f>IFERROR(__xludf.DUMMYFUNCTION("""COMPUTED_VALUE"""),"")</f>
        <v/>
      </c>
      <c r="O4465" s="87" t="str">
        <f>IFERROR(__xludf.DUMMYFUNCTION("""COMPUTED_VALUE"""),"https://drive.google.com/drive/folders/10T2cTQHqEJZqE-st6uFKPoI?usp=share_link")</f>
        <v>https://drive.google.com/drive/folders/10T2cTQHqEJZqE-st6uFKPoI?usp=share_link</v>
      </c>
      <c r="P4465" s="6" t="str">
        <f>IFERROR(__xludf.DUMMYFUNCTION("""COMPUTED_VALUE"""),"Eleazin Landeros-Flores")</f>
        <v>Eleazin Landeros-Flores</v>
      </c>
      <c r="Q4465" s="6" t="str">
        <f>IFERROR(__xludf.DUMMYFUNCTION("""COMPUTED_VALUE"""),"L2")</f>
        <v>L2</v>
      </c>
      <c r="R4465" s="6">
        <f>IFERROR(__xludf.DUMMYFUNCTION("""COMPUTED_VALUE"""),2.0)</f>
        <v>2</v>
      </c>
      <c r="S4465" s="6" t="str">
        <f>IFERROR(__xludf.DUMMYFUNCTION("""COMPUTED_VALUE""")," ")</f>
        <v> </v>
      </c>
      <c r="T4465" s="6" t="str">
        <f>IFERROR(__xludf.DUMMYFUNCTION("""COMPUTED_VALUE"""),"")</f>
        <v/>
      </c>
      <c r="U4465" s="6" t="str">
        <f>IFERROR(__xludf.DUMMYFUNCTION("""COMPUTED_VALUE"""),"4")</f>
        <v>4</v>
      </c>
      <c r="V4465" s="6" t="str">
        <f>IFERROR(__xludf.DUMMYFUNCTION("""COMPUTED_VALUE"""),"")</f>
        <v/>
      </c>
      <c r="W4465" s="6" t="str">
        <f>IFERROR(__xludf.DUMMYFUNCTION("""COMPUTED_VALUE"""),"[]")</f>
        <v>[]</v>
      </c>
      <c r="X4465" s="6" t="str">
        <f>IFERROR(__xludf.DUMMYFUNCTION("""COMPUTED_VALUE"""),"Enrolled")</f>
        <v>Enrolled</v>
      </c>
    </row>
    <row r="4466">
      <c r="A4466" s="6" t="str">
        <f>IFERROR(__xludf.DUMMYFUNCTION("""COMPUTED_VALUE"""),"083-11753")</f>
        <v>083-11753</v>
      </c>
      <c r="B4466" s="6" t="str">
        <f>IFERROR(__xludf.DUMMYFUNCTION("""COMPUTED_VALUE"""),"83")</f>
        <v>83</v>
      </c>
      <c r="C4466" s="6" t="str">
        <f>IFERROR(__xludf.DUMMYFUNCTION("""COMPUTED_VALUE"""),"11753")</f>
        <v>11753</v>
      </c>
      <c r="D4466" s="6" t="str">
        <f>IFERROR(__xludf.DUMMYFUNCTION("""COMPUTED_VALUE"""),"Zoria")</f>
        <v>Zoria</v>
      </c>
      <c r="E4466" s="6" t="str">
        <f>IFERROR(__xludf.DUMMYFUNCTION("""COMPUTED_VALUE"""),"")</f>
        <v/>
      </c>
      <c r="F4466" s="6" t="str">
        <f>IFERROR(__xludf.DUMMYFUNCTION("""COMPUTED_VALUE"""),"Loyal")</f>
        <v>Loyal</v>
      </c>
      <c r="G4466" s="6" t="str">
        <f>IFERROR(__xludf.DUMMYFUNCTION("""COMPUTED_VALUE"""),"12/01/2015")</f>
        <v>12/01/2015</v>
      </c>
      <c r="H4466" s="6" t="str">
        <f>IFERROR(__xludf.DUMMYFUNCTION("""COMPUTED_VALUE"""),"female")</f>
        <v>female</v>
      </c>
      <c r="I4466" s="6" t="str">
        <f>IFERROR(__xludf.DUMMYFUNCTION("""COMPUTED_VALUE"""),"Level 2")</f>
        <v>Level 2</v>
      </c>
      <c r="J4466" s="6" t="str">
        <f>IFERROR(__xludf.DUMMYFUNCTION("""COMPUTED_VALUE"""),"4")</f>
        <v>4</v>
      </c>
      <c r="K4466" s="6" t="str">
        <f>IFERROR(__xludf.DUMMYFUNCTION("""COMPUTED_VALUE"""),"zoria.loyal@2hourlearning.com")</f>
        <v>zoria.loyal@2hourlearning.com</v>
      </c>
      <c r="L4466" s="6" t="str">
        <f>IFERROR(__xludf.DUMMYFUNCTION("""COMPUTED_VALUE"""),"JHES - Hardeeville Elementary School")</f>
        <v>JHES - Hardeeville Elementary School</v>
      </c>
      <c r="M4466" s="6" t="str">
        <f>IFERROR(__xludf.DUMMYFUNCTION("""COMPUTED_VALUE"""),"")</f>
        <v/>
      </c>
      <c r="N4466" s="6" t="str">
        <f>IFERROR(__xludf.DUMMYFUNCTION("""COMPUTED_VALUE"""),"")</f>
        <v/>
      </c>
      <c r="O4466" s="87" t="str">
        <f>IFERROR(__xludf.DUMMYFUNCTION("""COMPUTED_VALUE"""),"https://drive.google.com/drive/folders/10T2cTQHqEJZqE-st6uFKPoI?usp=share_link")</f>
        <v>https://drive.google.com/drive/folders/10T2cTQHqEJZqE-st6uFKPoI?usp=share_link</v>
      </c>
      <c r="P4466" s="6" t="str">
        <f>IFERROR(__xludf.DUMMYFUNCTION("""COMPUTED_VALUE"""),"Zoria Loyal")</f>
        <v>Zoria Loyal</v>
      </c>
      <c r="Q4466" s="6" t="str">
        <f>IFERROR(__xludf.DUMMYFUNCTION("""COMPUTED_VALUE"""),"L2")</f>
        <v>L2</v>
      </c>
      <c r="R4466" s="6">
        <f>IFERROR(__xludf.DUMMYFUNCTION("""COMPUTED_VALUE"""),2.0)</f>
        <v>2</v>
      </c>
      <c r="S4466" s="6" t="str">
        <f>IFERROR(__xludf.DUMMYFUNCTION("""COMPUTED_VALUE""")," ")</f>
        <v> </v>
      </c>
      <c r="T4466" s="6" t="str">
        <f>IFERROR(__xludf.DUMMYFUNCTION("""COMPUTED_VALUE"""),"")</f>
        <v/>
      </c>
      <c r="U4466" s="6" t="str">
        <f>IFERROR(__xludf.DUMMYFUNCTION("""COMPUTED_VALUE"""),"4")</f>
        <v>4</v>
      </c>
      <c r="V4466" s="6" t="str">
        <f>IFERROR(__xludf.DUMMYFUNCTION("""COMPUTED_VALUE"""),"")</f>
        <v/>
      </c>
      <c r="W4466" s="6" t="str">
        <f>IFERROR(__xludf.DUMMYFUNCTION("""COMPUTED_VALUE"""),"[]")</f>
        <v>[]</v>
      </c>
      <c r="X4466" s="6" t="str">
        <f>IFERROR(__xludf.DUMMYFUNCTION("""COMPUTED_VALUE"""),"Enrolled")</f>
        <v>Enrolled</v>
      </c>
    </row>
    <row r="4467">
      <c r="A4467" s="6" t="str">
        <f>IFERROR(__xludf.DUMMYFUNCTION("""COMPUTED_VALUE"""),"083-11754")</f>
        <v>083-11754</v>
      </c>
      <c r="B4467" s="6" t="str">
        <f>IFERROR(__xludf.DUMMYFUNCTION("""COMPUTED_VALUE"""),"83")</f>
        <v>83</v>
      </c>
      <c r="C4467" s="6" t="str">
        <f>IFERROR(__xludf.DUMMYFUNCTION("""COMPUTED_VALUE"""),"11754")</f>
        <v>11754</v>
      </c>
      <c r="D4467" s="6" t="str">
        <f>IFERROR(__xludf.DUMMYFUNCTION("""COMPUTED_VALUE"""),"Zabdiel")</f>
        <v>Zabdiel</v>
      </c>
      <c r="E4467" s="6" t="str">
        <f>IFERROR(__xludf.DUMMYFUNCTION("""COMPUTED_VALUE"""),"")</f>
        <v/>
      </c>
      <c r="F4467" s="6" t="str">
        <f>IFERROR(__xludf.DUMMYFUNCTION("""COMPUTED_VALUE"""),"Luevanos Miranda")</f>
        <v>Luevanos Miranda</v>
      </c>
      <c r="G4467" s="6" t="str">
        <f>IFERROR(__xludf.DUMMYFUNCTION("""COMPUTED_VALUE"""),"01/06/2015")</f>
        <v>01/06/2015</v>
      </c>
      <c r="H4467" s="6" t="str">
        <f>IFERROR(__xludf.DUMMYFUNCTION("""COMPUTED_VALUE"""),"male")</f>
        <v>male</v>
      </c>
      <c r="I4467" s="6" t="str">
        <f>IFERROR(__xludf.DUMMYFUNCTION("""COMPUTED_VALUE"""),"Level 2")</f>
        <v>Level 2</v>
      </c>
      <c r="J4467" s="6" t="str">
        <f>IFERROR(__xludf.DUMMYFUNCTION("""COMPUTED_VALUE"""),"4")</f>
        <v>4</v>
      </c>
      <c r="K4467" s="6" t="str">
        <f>IFERROR(__xludf.DUMMYFUNCTION("""COMPUTED_VALUE"""),"zabdiel.luevanosmiranda@2hourlearning.com")</f>
        <v>zabdiel.luevanosmiranda@2hourlearning.com</v>
      </c>
      <c r="L4467" s="6" t="str">
        <f>IFERROR(__xludf.DUMMYFUNCTION("""COMPUTED_VALUE"""),"JHES - Hardeeville Elementary School")</f>
        <v>JHES - Hardeeville Elementary School</v>
      </c>
      <c r="M4467" s="6" t="str">
        <f>IFERROR(__xludf.DUMMYFUNCTION("""COMPUTED_VALUE"""),"")</f>
        <v/>
      </c>
      <c r="N4467" s="6" t="str">
        <f>IFERROR(__xludf.DUMMYFUNCTION("""COMPUTED_VALUE"""),"")</f>
        <v/>
      </c>
      <c r="O4467" s="87" t="str">
        <f>IFERROR(__xludf.DUMMYFUNCTION("""COMPUTED_VALUE"""),"https://drive.google.com/drive/folders/10T2cTQHqEJZqE-st6uFKPoI?usp=share_link")</f>
        <v>https://drive.google.com/drive/folders/10T2cTQHqEJZqE-st6uFKPoI?usp=share_link</v>
      </c>
      <c r="P4467" s="6" t="str">
        <f>IFERROR(__xludf.DUMMYFUNCTION("""COMPUTED_VALUE"""),"Zabdiel Luevanos Miranda")</f>
        <v>Zabdiel Luevanos Miranda</v>
      </c>
      <c r="Q4467" s="6" t="str">
        <f>IFERROR(__xludf.DUMMYFUNCTION("""COMPUTED_VALUE"""),"L2")</f>
        <v>L2</v>
      </c>
      <c r="R4467" s="6">
        <f>IFERROR(__xludf.DUMMYFUNCTION("""COMPUTED_VALUE"""),2.0)</f>
        <v>2</v>
      </c>
      <c r="S4467" s="6" t="str">
        <f>IFERROR(__xludf.DUMMYFUNCTION("""COMPUTED_VALUE""")," ")</f>
        <v> </v>
      </c>
      <c r="T4467" s="6" t="str">
        <f>IFERROR(__xludf.DUMMYFUNCTION("""COMPUTED_VALUE"""),"")</f>
        <v/>
      </c>
      <c r="U4467" s="6" t="str">
        <f>IFERROR(__xludf.DUMMYFUNCTION("""COMPUTED_VALUE"""),"4")</f>
        <v>4</v>
      </c>
      <c r="V4467" s="6" t="str">
        <f>IFERROR(__xludf.DUMMYFUNCTION("""COMPUTED_VALUE"""),"")</f>
        <v/>
      </c>
      <c r="W4467" s="6" t="str">
        <f>IFERROR(__xludf.DUMMYFUNCTION("""COMPUTED_VALUE"""),"[]")</f>
        <v>[]</v>
      </c>
      <c r="X4467" s="6" t="str">
        <f>IFERROR(__xludf.DUMMYFUNCTION("""COMPUTED_VALUE"""),"Enrolled")</f>
        <v>Enrolled</v>
      </c>
    </row>
    <row r="4468">
      <c r="A4468" s="6" t="str">
        <f>IFERROR(__xludf.DUMMYFUNCTION("""COMPUTED_VALUE"""),"083-11755")</f>
        <v>083-11755</v>
      </c>
      <c r="B4468" s="6" t="str">
        <f>IFERROR(__xludf.DUMMYFUNCTION("""COMPUTED_VALUE"""),"83")</f>
        <v>83</v>
      </c>
      <c r="C4468" s="6" t="str">
        <f>IFERROR(__xludf.DUMMYFUNCTION("""COMPUTED_VALUE"""),"11755")</f>
        <v>11755</v>
      </c>
      <c r="D4468" s="6" t="str">
        <f>IFERROR(__xludf.DUMMYFUNCTION("""COMPUTED_VALUE"""),"Brittany M")</f>
        <v>Brittany M</v>
      </c>
      <c r="E4468" s="6" t="str">
        <f>IFERROR(__xludf.DUMMYFUNCTION("""COMPUTED_VALUE"""),"")</f>
        <v/>
      </c>
      <c r="F4468" s="6" t="str">
        <f>IFERROR(__xludf.DUMMYFUNCTION("""COMPUTED_VALUE"""),"Mancias Varela")</f>
        <v>Mancias Varela</v>
      </c>
      <c r="G4468" s="6" t="str">
        <f>IFERROR(__xludf.DUMMYFUNCTION("""COMPUTED_VALUE"""),"05/09/2016")</f>
        <v>05/09/2016</v>
      </c>
      <c r="H4468" s="6" t="str">
        <f>IFERROR(__xludf.DUMMYFUNCTION("""COMPUTED_VALUE"""),"female")</f>
        <v>female</v>
      </c>
      <c r="I4468" s="6" t="str">
        <f>IFERROR(__xludf.DUMMYFUNCTION("""COMPUTED_VALUE"""),"Level 2")</f>
        <v>Level 2</v>
      </c>
      <c r="J4468" s="6" t="str">
        <f>IFERROR(__xludf.DUMMYFUNCTION("""COMPUTED_VALUE"""),"4")</f>
        <v>4</v>
      </c>
      <c r="K4468" s="6" t="str">
        <f>IFERROR(__xludf.DUMMYFUNCTION("""COMPUTED_VALUE"""),"brittanym.manciasvarela@2hourlearning.com")</f>
        <v>brittanym.manciasvarela@2hourlearning.com</v>
      </c>
      <c r="L4468" s="6" t="str">
        <f>IFERROR(__xludf.DUMMYFUNCTION("""COMPUTED_VALUE"""),"JHES - Hardeeville Elementary School")</f>
        <v>JHES - Hardeeville Elementary School</v>
      </c>
      <c r="M4468" s="6" t="str">
        <f>IFERROR(__xludf.DUMMYFUNCTION("""COMPUTED_VALUE"""),"")</f>
        <v/>
      </c>
      <c r="N4468" s="6" t="str">
        <f>IFERROR(__xludf.DUMMYFUNCTION("""COMPUTED_VALUE"""),"")</f>
        <v/>
      </c>
      <c r="O4468" s="87" t="str">
        <f>IFERROR(__xludf.DUMMYFUNCTION("""COMPUTED_VALUE"""),"https://drive.google.com/drive/folders/10T2cTQHqEJZqE-st6uFKPoI?usp=share_link")</f>
        <v>https://drive.google.com/drive/folders/10T2cTQHqEJZqE-st6uFKPoI?usp=share_link</v>
      </c>
      <c r="P4468" s="6" t="str">
        <f>IFERROR(__xludf.DUMMYFUNCTION("""COMPUTED_VALUE"""),"Brittany M Mancias Varela")</f>
        <v>Brittany M Mancias Varela</v>
      </c>
      <c r="Q4468" s="6" t="str">
        <f>IFERROR(__xludf.DUMMYFUNCTION("""COMPUTED_VALUE"""),"L2")</f>
        <v>L2</v>
      </c>
      <c r="R4468" s="6">
        <f>IFERROR(__xludf.DUMMYFUNCTION("""COMPUTED_VALUE"""),2.0)</f>
        <v>2</v>
      </c>
      <c r="S4468" s="6" t="str">
        <f>IFERROR(__xludf.DUMMYFUNCTION("""COMPUTED_VALUE""")," ")</f>
        <v> </v>
      </c>
      <c r="T4468" s="6" t="str">
        <f>IFERROR(__xludf.DUMMYFUNCTION("""COMPUTED_VALUE"""),"")</f>
        <v/>
      </c>
      <c r="U4468" s="6" t="str">
        <f>IFERROR(__xludf.DUMMYFUNCTION("""COMPUTED_VALUE"""),"4")</f>
        <v>4</v>
      </c>
      <c r="V4468" s="6" t="str">
        <f>IFERROR(__xludf.DUMMYFUNCTION("""COMPUTED_VALUE"""),"")</f>
        <v/>
      </c>
      <c r="W4468" s="6" t="str">
        <f>IFERROR(__xludf.DUMMYFUNCTION("""COMPUTED_VALUE"""),"[]")</f>
        <v>[]</v>
      </c>
      <c r="X4468" s="6" t="str">
        <f>IFERROR(__xludf.DUMMYFUNCTION("""COMPUTED_VALUE"""),"Enrolled")</f>
        <v>Enrolled</v>
      </c>
    </row>
    <row r="4469">
      <c r="A4469" s="6" t="str">
        <f>IFERROR(__xludf.DUMMYFUNCTION("""COMPUTED_VALUE"""),"083-11756")</f>
        <v>083-11756</v>
      </c>
      <c r="B4469" s="6" t="str">
        <f>IFERROR(__xludf.DUMMYFUNCTION("""COMPUTED_VALUE"""),"83")</f>
        <v>83</v>
      </c>
      <c r="C4469" s="6" t="str">
        <f>IFERROR(__xludf.DUMMYFUNCTION("""COMPUTED_VALUE"""),"11756")</f>
        <v>11756</v>
      </c>
      <c r="D4469" s="6" t="str">
        <f>IFERROR(__xludf.DUMMYFUNCTION("""COMPUTED_VALUE"""),"Evian Neelie")</f>
        <v>Evian Neelie</v>
      </c>
      <c r="E4469" s="6" t="str">
        <f>IFERROR(__xludf.DUMMYFUNCTION("""COMPUTED_VALUE"""),"")</f>
        <v/>
      </c>
      <c r="F4469" s="6" t="str">
        <f>IFERROR(__xludf.DUMMYFUNCTION("""COMPUTED_VALUE"""),"Marquez")</f>
        <v>Marquez</v>
      </c>
      <c r="G4469" s="6" t="str">
        <f>IFERROR(__xludf.DUMMYFUNCTION("""COMPUTED_VALUE"""),"08/16/2016")</f>
        <v>08/16/2016</v>
      </c>
      <c r="H4469" s="6" t="str">
        <f>IFERROR(__xludf.DUMMYFUNCTION("""COMPUTED_VALUE"""),"female")</f>
        <v>female</v>
      </c>
      <c r="I4469" s="6" t="str">
        <f>IFERROR(__xludf.DUMMYFUNCTION("""COMPUTED_VALUE"""),"Level 2")</f>
        <v>Level 2</v>
      </c>
      <c r="J4469" s="6" t="str">
        <f>IFERROR(__xludf.DUMMYFUNCTION("""COMPUTED_VALUE"""),"4")</f>
        <v>4</v>
      </c>
      <c r="K4469" s="6" t="str">
        <f>IFERROR(__xludf.DUMMYFUNCTION("""COMPUTED_VALUE"""),"evianneelie.marquez@2hourlearning.com")</f>
        <v>evianneelie.marquez@2hourlearning.com</v>
      </c>
      <c r="L4469" s="6" t="str">
        <f>IFERROR(__xludf.DUMMYFUNCTION("""COMPUTED_VALUE"""),"JHES - Hardeeville Elementary School")</f>
        <v>JHES - Hardeeville Elementary School</v>
      </c>
      <c r="M4469" s="6" t="str">
        <f>IFERROR(__xludf.DUMMYFUNCTION("""COMPUTED_VALUE"""),"")</f>
        <v/>
      </c>
      <c r="N4469" s="6" t="str">
        <f>IFERROR(__xludf.DUMMYFUNCTION("""COMPUTED_VALUE"""),"")</f>
        <v/>
      </c>
      <c r="O4469" s="87" t="str">
        <f>IFERROR(__xludf.DUMMYFUNCTION("""COMPUTED_VALUE"""),"https://drive.google.com/drive/folders/10T2cTQHqEJZqE-st6uFKPoI?usp=share_link")</f>
        <v>https://drive.google.com/drive/folders/10T2cTQHqEJZqE-st6uFKPoI?usp=share_link</v>
      </c>
      <c r="P4469" s="6" t="str">
        <f>IFERROR(__xludf.DUMMYFUNCTION("""COMPUTED_VALUE"""),"Evian Neelie Marquez")</f>
        <v>Evian Neelie Marquez</v>
      </c>
      <c r="Q4469" s="6" t="str">
        <f>IFERROR(__xludf.DUMMYFUNCTION("""COMPUTED_VALUE"""),"L2")</f>
        <v>L2</v>
      </c>
      <c r="R4469" s="6">
        <f>IFERROR(__xludf.DUMMYFUNCTION("""COMPUTED_VALUE"""),2.0)</f>
        <v>2</v>
      </c>
      <c r="S4469" s="6" t="str">
        <f>IFERROR(__xludf.DUMMYFUNCTION("""COMPUTED_VALUE""")," ")</f>
        <v> </v>
      </c>
      <c r="T4469" s="6" t="str">
        <f>IFERROR(__xludf.DUMMYFUNCTION("""COMPUTED_VALUE"""),"")</f>
        <v/>
      </c>
      <c r="U4469" s="6" t="str">
        <f>IFERROR(__xludf.DUMMYFUNCTION("""COMPUTED_VALUE"""),"4")</f>
        <v>4</v>
      </c>
      <c r="V4469" s="6" t="str">
        <f>IFERROR(__xludf.DUMMYFUNCTION("""COMPUTED_VALUE"""),"")</f>
        <v/>
      </c>
      <c r="W4469" s="6" t="str">
        <f>IFERROR(__xludf.DUMMYFUNCTION("""COMPUTED_VALUE"""),"[]")</f>
        <v>[]</v>
      </c>
      <c r="X4469" s="6" t="str">
        <f>IFERROR(__xludf.DUMMYFUNCTION("""COMPUTED_VALUE"""),"Enrolled")</f>
        <v>Enrolled</v>
      </c>
    </row>
    <row r="4470">
      <c r="A4470" s="6" t="str">
        <f>IFERROR(__xludf.DUMMYFUNCTION("""COMPUTED_VALUE"""),"083-11757")</f>
        <v>083-11757</v>
      </c>
      <c r="B4470" s="6" t="str">
        <f>IFERROR(__xludf.DUMMYFUNCTION("""COMPUTED_VALUE"""),"83")</f>
        <v>83</v>
      </c>
      <c r="C4470" s="6" t="str">
        <f>IFERROR(__xludf.DUMMYFUNCTION("""COMPUTED_VALUE"""),"11757")</f>
        <v>11757</v>
      </c>
      <c r="D4470" s="6" t="str">
        <f>IFERROR(__xludf.DUMMYFUNCTION("""COMPUTED_VALUE"""),"Jocelyn A")</f>
        <v>Jocelyn A</v>
      </c>
      <c r="E4470" s="6" t="str">
        <f>IFERROR(__xludf.DUMMYFUNCTION("""COMPUTED_VALUE"""),"")</f>
        <v/>
      </c>
      <c r="F4470" s="6" t="str">
        <f>IFERROR(__xludf.DUMMYFUNCTION("""COMPUTED_VALUE"""),"McNair")</f>
        <v>McNair</v>
      </c>
      <c r="G4470" s="6" t="str">
        <f>IFERROR(__xludf.DUMMYFUNCTION("""COMPUTED_VALUE"""),"02/19/2016")</f>
        <v>02/19/2016</v>
      </c>
      <c r="H4470" s="6" t="str">
        <f>IFERROR(__xludf.DUMMYFUNCTION("""COMPUTED_VALUE"""),"female")</f>
        <v>female</v>
      </c>
      <c r="I4470" s="6" t="str">
        <f>IFERROR(__xludf.DUMMYFUNCTION("""COMPUTED_VALUE"""),"Level 2")</f>
        <v>Level 2</v>
      </c>
      <c r="J4470" s="6" t="str">
        <f>IFERROR(__xludf.DUMMYFUNCTION("""COMPUTED_VALUE"""),"4")</f>
        <v>4</v>
      </c>
      <c r="K4470" s="6" t="str">
        <f>IFERROR(__xludf.DUMMYFUNCTION("""COMPUTED_VALUE"""),"jocelyna.mcnair@2hourlearning.com")</f>
        <v>jocelyna.mcnair@2hourlearning.com</v>
      </c>
      <c r="L4470" s="6" t="str">
        <f>IFERROR(__xludf.DUMMYFUNCTION("""COMPUTED_VALUE"""),"JHES - Hardeeville Elementary School")</f>
        <v>JHES - Hardeeville Elementary School</v>
      </c>
      <c r="M4470" s="6" t="str">
        <f>IFERROR(__xludf.DUMMYFUNCTION("""COMPUTED_VALUE"""),"")</f>
        <v/>
      </c>
      <c r="N4470" s="6" t="str">
        <f>IFERROR(__xludf.DUMMYFUNCTION("""COMPUTED_VALUE"""),"")</f>
        <v/>
      </c>
      <c r="O4470" s="87" t="str">
        <f>IFERROR(__xludf.DUMMYFUNCTION("""COMPUTED_VALUE"""),"https://drive.google.com/drive/folders/10T2cTQHqEJZqE-st6uFKPoI?usp=share_link")</f>
        <v>https://drive.google.com/drive/folders/10T2cTQHqEJZqE-st6uFKPoI?usp=share_link</v>
      </c>
      <c r="P4470" s="6" t="str">
        <f>IFERROR(__xludf.DUMMYFUNCTION("""COMPUTED_VALUE"""),"Jocelyn A McNair")</f>
        <v>Jocelyn A McNair</v>
      </c>
      <c r="Q4470" s="6" t="str">
        <f>IFERROR(__xludf.DUMMYFUNCTION("""COMPUTED_VALUE"""),"L2")</f>
        <v>L2</v>
      </c>
      <c r="R4470" s="6">
        <f>IFERROR(__xludf.DUMMYFUNCTION("""COMPUTED_VALUE"""),2.0)</f>
        <v>2</v>
      </c>
      <c r="S4470" s="6" t="str">
        <f>IFERROR(__xludf.DUMMYFUNCTION("""COMPUTED_VALUE""")," ")</f>
        <v> </v>
      </c>
      <c r="T4470" s="6" t="str">
        <f>IFERROR(__xludf.DUMMYFUNCTION("""COMPUTED_VALUE"""),"")</f>
        <v/>
      </c>
      <c r="U4470" s="6" t="str">
        <f>IFERROR(__xludf.DUMMYFUNCTION("""COMPUTED_VALUE"""),"4")</f>
        <v>4</v>
      </c>
      <c r="V4470" s="6" t="str">
        <f>IFERROR(__xludf.DUMMYFUNCTION("""COMPUTED_VALUE"""),"")</f>
        <v/>
      </c>
      <c r="W4470" s="6" t="str">
        <f>IFERROR(__xludf.DUMMYFUNCTION("""COMPUTED_VALUE"""),"[]")</f>
        <v>[]</v>
      </c>
      <c r="X4470" s="6" t="str">
        <f>IFERROR(__xludf.DUMMYFUNCTION("""COMPUTED_VALUE"""),"Enrolled")</f>
        <v>Enrolled</v>
      </c>
    </row>
    <row r="4471">
      <c r="A4471" s="6" t="str">
        <f>IFERROR(__xludf.DUMMYFUNCTION("""COMPUTED_VALUE"""),"083-11758")</f>
        <v>083-11758</v>
      </c>
      <c r="B4471" s="6" t="str">
        <f>IFERROR(__xludf.DUMMYFUNCTION("""COMPUTED_VALUE"""),"83")</f>
        <v>83</v>
      </c>
      <c r="C4471" s="6" t="str">
        <f>IFERROR(__xludf.DUMMYFUNCTION("""COMPUTED_VALUE"""),"11758")</f>
        <v>11758</v>
      </c>
      <c r="D4471" s="6" t="str">
        <f>IFERROR(__xludf.DUMMYFUNCTION("""COMPUTED_VALUE"""),"Yuleidy M")</f>
        <v>Yuleidy M</v>
      </c>
      <c r="E4471" s="6" t="str">
        <f>IFERROR(__xludf.DUMMYFUNCTION("""COMPUTED_VALUE"""),"")</f>
        <v/>
      </c>
      <c r="F4471" s="6" t="str">
        <f>IFERROR(__xludf.DUMMYFUNCTION("""COMPUTED_VALUE"""),"Mejia Mazariegos")</f>
        <v>Mejia Mazariegos</v>
      </c>
      <c r="G4471" s="6" t="str">
        <f>IFERROR(__xludf.DUMMYFUNCTION("""COMPUTED_VALUE"""),"06/12/2016")</f>
        <v>06/12/2016</v>
      </c>
      <c r="H4471" s="6" t="str">
        <f>IFERROR(__xludf.DUMMYFUNCTION("""COMPUTED_VALUE"""),"female")</f>
        <v>female</v>
      </c>
      <c r="I4471" s="6" t="str">
        <f>IFERROR(__xludf.DUMMYFUNCTION("""COMPUTED_VALUE"""),"Level 2")</f>
        <v>Level 2</v>
      </c>
      <c r="J4471" s="6" t="str">
        <f>IFERROR(__xludf.DUMMYFUNCTION("""COMPUTED_VALUE"""),"4")</f>
        <v>4</v>
      </c>
      <c r="K4471" s="6" t="str">
        <f>IFERROR(__xludf.DUMMYFUNCTION("""COMPUTED_VALUE"""),"yuleidym.mejiamazariegos@2hourlearning.com")</f>
        <v>yuleidym.mejiamazariegos@2hourlearning.com</v>
      </c>
      <c r="L4471" s="6" t="str">
        <f>IFERROR(__xludf.DUMMYFUNCTION("""COMPUTED_VALUE"""),"JHES - Hardeeville Elementary School")</f>
        <v>JHES - Hardeeville Elementary School</v>
      </c>
      <c r="M4471" s="6" t="str">
        <f>IFERROR(__xludf.DUMMYFUNCTION("""COMPUTED_VALUE"""),"")</f>
        <v/>
      </c>
      <c r="N4471" s="6" t="str">
        <f>IFERROR(__xludf.DUMMYFUNCTION("""COMPUTED_VALUE"""),"")</f>
        <v/>
      </c>
      <c r="O4471" s="87" t="str">
        <f>IFERROR(__xludf.DUMMYFUNCTION("""COMPUTED_VALUE"""),"https://drive.google.com/drive/folders/10T2cTQHqEJZqE-st6uFKPoI?usp=share_link")</f>
        <v>https://drive.google.com/drive/folders/10T2cTQHqEJZqE-st6uFKPoI?usp=share_link</v>
      </c>
      <c r="P4471" s="6" t="str">
        <f>IFERROR(__xludf.DUMMYFUNCTION("""COMPUTED_VALUE"""),"Yuleidy M Mejia Mazariegos")</f>
        <v>Yuleidy M Mejia Mazariegos</v>
      </c>
      <c r="Q4471" s="6" t="str">
        <f>IFERROR(__xludf.DUMMYFUNCTION("""COMPUTED_VALUE"""),"L2")</f>
        <v>L2</v>
      </c>
      <c r="R4471" s="6">
        <f>IFERROR(__xludf.DUMMYFUNCTION("""COMPUTED_VALUE"""),2.0)</f>
        <v>2</v>
      </c>
      <c r="S4471" s="6" t="str">
        <f>IFERROR(__xludf.DUMMYFUNCTION("""COMPUTED_VALUE""")," ")</f>
        <v> </v>
      </c>
      <c r="T4471" s="6" t="str">
        <f>IFERROR(__xludf.DUMMYFUNCTION("""COMPUTED_VALUE"""),"")</f>
        <v/>
      </c>
      <c r="U4471" s="6" t="str">
        <f>IFERROR(__xludf.DUMMYFUNCTION("""COMPUTED_VALUE"""),"4")</f>
        <v>4</v>
      </c>
      <c r="V4471" s="6" t="str">
        <f>IFERROR(__xludf.DUMMYFUNCTION("""COMPUTED_VALUE"""),"")</f>
        <v/>
      </c>
      <c r="W4471" s="6" t="str">
        <f>IFERROR(__xludf.DUMMYFUNCTION("""COMPUTED_VALUE"""),"[]")</f>
        <v>[]</v>
      </c>
      <c r="X4471" s="6" t="str">
        <f>IFERROR(__xludf.DUMMYFUNCTION("""COMPUTED_VALUE"""),"Enrolled")</f>
        <v>Enrolled</v>
      </c>
    </row>
    <row r="4472">
      <c r="A4472" s="6" t="str">
        <f>IFERROR(__xludf.DUMMYFUNCTION("""COMPUTED_VALUE"""),"083-11759")</f>
        <v>083-11759</v>
      </c>
      <c r="B4472" s="6" t="str">
        <f>IFERROR(__xludf.DUMMYFUNCTION("""COMPUTED_VALUE"""),"83")</f>
        <v>83</v>
      </c>
      <c r="C4472" s="6" t="str">
        <f>IFERROR(__xludf.DUMMYFUNCTION("""COMPUTED_VALUE"""),"11759")</f>
        <v>11759</v>
      </c>
      <c r="D4472" s="6" t="str">
        <f>IFERROR(__xludf.DUMMYFUNCTION("""COMPUTED_VALUE"""),"Juan")</f>
        <v>Juan</v>
      </c>
      <c r="E4472" s="6" t="str">
        <f>IFERROR(__xludf.DUMMYFUNCTION("""COMPUTED_VALUE"""),"")</f>
        <v/>
      </c>
      <c r="F4472" s="6" t="str">
        <f>IFERROR(__xludf.DUMMYFUNCTION("""COMPUTED_VALUE"""),"Mendoza-Maldonado")</f>
        <v>Mendoza-Maldonado</v>
      </c>
      <c r="G4472" s="6" t="str">
        <f>IFERROR(__xludf.DUMMYFUNCTION("""COMPUTED_VALUE"""),"11/01/2015")</f>
        <v>11/01/2015</v>
      </c>
      <c r="H4472" s="6" t="str">
        <f>IFERROR(__xludf.DUMMYFUNCTION("""COMPUTED_VALUE"""),"male")</f>
        <v>male</v>
      </c>
      <c r="I4472" s="6" t="str">
        <f>IFERROR(__xludf.DUMMYFUNCTION("""COMPUTED_VALUE"""),"Level 2")</f>
        <v>Level 2</v>
      </c>
      <c r="J4472" s="6" t="str">
        <f>IFERROR(__xludf.DUMMYFUNCTION("""COMPUTED_VALUE"""),"4")</f>
        <v>4</v>
      </c>
      <c r="K4472" s="6" t="str">
        <f>IFERROR(__xludf.DUMMYFUNCTION("""COMPUTED_VALUE"""),"juan.mendozamaldonado@2hourlearning.com")</f>
        <v>juan.mendozamaldonado@2hourlearning.com</v>
      </c>
      <c r="L4472" s="6" t="str">
        <f>IFERROR(__xludf.DUMMYFUNCTION("""COMPUTED_VALUE"""),"JHES - Hardeeville Elementary School")</f>
        <v>JHES - Hardeeville Elementary School</v>
      </c>
      <c r="M4472" s="6" t="str">
        <f>IFERROR(__xludf.DUMMYFUNCTION("""COMPUTED_VALUE"""),"")</f>
        <v/>
      </c>
      <c r="N4472" s="6" t="str">
        <f>IFERROR(__xludf.DUMMYFUNCTION("""COMPUTED_VALUE"""),"")</f>
        <v/>
      </c>
      <c r="O4472" s="87" t="str">
        <f>IFERROR(__xludf.DUMMYFUNCTION("""COMPUTED_VALUE"""),"https://drive.google.com/drive/folders/10T2cTQHqEJZqE-st6uFKPoI?usp=share_link")</f>
        <v>https://drive.google.com/drive/folders/10T2cTQHqEJZqE-st6uFKPoI?usp=share_link</v>
      </c>
      <c r="P4472" s="6" t="str">
        <f>IFERROR(__xludf.DUMMYFUNCTION("""COMPUTED_VALUE"""),"Juan Mendoza-Maldonado")</f>
        <v>Juan Mendoza-Maldonado</v>
      </c>
      <c r="Q4472" s="6" t="str">
        <f>IFERROR(__xludf.DUMMYFUNCTION("""COMPUTED_VALUE"""),"L2")</f>
        <v>L2</v>
      </c>
      <c r="R4472" s="6">
        <f>IFERROR(__xludf.DUMMYFUNCTION("""COMPUTED_VALUE"""),2.0)</f>
        <v>2</v>
      </c>
      <c r="S4472" s="6" t="str">
        <f>IFERROR(__xludf.DUMMYFUNCTION("""COMPUTED_VALUE""")," ")</f>
        <v> </v>
      </c>
      <c r="T4472" s="6" t="str">
        <f>IFERROR(__xludf.DUMMYFUNCTION("""COMPUTED_VALUE"""),"")</f>
        <v/>
      </c>
      <c r="U4472" s="6" t="str">
        <f>IFERROR(__xludf.DUMMYFUNCTION("""COMPUTED_VALUE"""),"4")</f>
        <v>4</v>
      </c>
      <c r="V4472" s="6" t="str">
        <f>IFERROR(__xludf.DUMMYFUNCTION("""COMPUTED_VALUE"""),"")</f>
        <v/>
      </c>
      <c r="W4472" s="6" t="str">
        <f>IFERROR(__xludf.DUMMYFUNCTION("""COMPUTED_VALUE"""),"[]")</f>
        <v>[]</v>
      </c>
      <c r="X4472" s="6" t="str">
        <f>IFERROR(__xludf.DUMMYFUNCTION("""COMPUTED_VALUE"""),"Enrolled")</f>
        <v>Enrolled</v>
      </c>
    </row>
    <row r="4473">
      <c r="A4473" s="6" t="str">
        <f>IFERROR(__xludf.DUMMYFUNCTION("""COMPUTED_VALUE"""),"083-11760")</f>
        <v>083-11760</v>
      </c>
      <c r="B4473" s="6" t="str">
        <f>IFERROR(__xludf.DUMMYFUNCTION("""COMPUTED_VALUE"""),"83")</f>
        <v>83</v>
      </c>
      <c r="C4473" s="6" t="str">
        <f>IFERROR(__xludf.DUMMYFUNCTION("""COMPUTED_VALUE"""),"11760")</f>
        <v>11760</v>
      </c>
      <c r="D4473" s="6" t="str">
        <f>IFERROR(__xludf.DUMMYFUNCTION("""COMPUTED_VALUE"""),"Yael")</f>
        <v>Yael</v>
      </c>
      <c r="E4473" s="6" t="str">
        <f>IFERROR(__xludf.DUMMYFUNCTION("""COMPUTED_VALUE"""),"")</f>
        <v/>
      </c>
      <c r="F4473" s="6" t="str">
        <f>IFERROR(__xludf.DUMMYFUNCTION("""COMPUTED_VALUE"""),"Morales-Angel")</f>
        <v>Morales-Angel</v>
      </c>
      <c r="G4473" s="6" t="str">
        <f>IFERROR(__xludf.DUMMYFUNCTION("""COMPUTED_VALUE"""),"03/18/2016")</f>
        <v>03/18/2016</v>
      </c>
      <c r="H4473" s="6" t="str">
        <f>IFERROR(__xludf.DUMMYFUNCTION("""COMPUTED_VALUE"""),"male")</f>
        <v>male</v>
      </c>
      <c r="I4473" s="6" t="str">
        <f>IFERROR(__xludf.DUMMYFUNCTION("""COMPUTED_VALUE"""),"Level 2")</f>
        <v>Level 2</v>
      </c>
      <c r="J4473" s="6" t="str">
        <f>IFERROR(__xludf.DUMMYFUNCTION("""COMPUTED_VALUE"""),"4")</f>
        <v>4</v>
      </c>
      <c r="K4473" s="6" t="str">
        <f>IFERROR(__xludf.DUMMYFUNCTION("""COMPUTED_VALUE"""),"yael.moralesangel@2hourlearning.com")</f>
        <v>yael.moralesangel@2hourlearning.com</v>
      </c>
      <c r="L4473" s="6" t="str">
        <f>IFERROR(__xludf.DUMMYFUNCTION("""COMPUTED_VALUE"""),"JHES - Hardeeville Elementary School")</f>
        <v>JHES - Hardeeville Elementary School</v>
      </c>
      <c r="M4473" s="6" t="str">
        <f>IFERROR(__xludf.DUMMYFUNCTION("""COMPUTED_VALUE"""),"")</f>
        <v/>
      </c>
      <c r="N4473" s="6" t="str">
        <f>IFERROR(__xludf.DUMMYFUNCTION("""COMPUTED_VALUE"""),"")</f>
        <v/>
      </c>
      <c r="O4473" s="87" t="str">
        <f>IFERROR(__xludf.DUMMYFUNCTION("""COMPUTED_VALUE"""),"https://drive.google.com/drive/folders/10T2cTQHqEJZqE-st6uFKPoI?usp=share_link")</f>
        <v>https://drive.google.com/drive/folders/10T2cTQHqEJZqE-st6uFKPoI?usp=share_link</v>
      </c>
      <c r="P4473" s="6" t="str">
        <f>IFERROR(__xludf.DUMMYFUNCTION("""COMPUTED_VALUE"""),"Yael Morales-Angel")</f>
        <v>Yael Morales-Angel</v>
      </c>
      <c r="Q4473" s="6" t="str">
        <f>IFERROR(__xludf.DUMMYFUNCTION("""COMPUTED_VALUE"""),"L2")</f>
        <v>L2</v>
      </c>
      <c r="R4473" s="6">
        <f>IFERROR(__xludf.DUMMYFUNCTION("""COMPUTED_VALUE"""),2.0)</f>
        <v>2</v>
      </c>
      <c r="S4473" s="6" t="str">
        <f>IFERROR(__xludf.DUMMYFUNCTION("""COMPUTED_VALUE""")," ")</f>
        <v> </v>
      </c>
      <c r="T4473" s="6" t="str">
        <f>IFERROR(__xludf.DUMMYFUNCTION("""COMPUTED_VALUE"""),"")</f>
        <v/>
      </c>
      <c r="U4473" s="6" t="str">
        <f>IFERROR(__xludf.DUMMYFUNCTION("""COMPUTED_VALUE"""),"4")</f>
        <v>4</v>
      </c>
      <c r="V4473" s="6" t="str">
        <f>IFERROR(__xludf.DUMMYFUNCTION("""COMPUTED_VALUE"""),"")</f>
        <v/>
      </c>
      <c r="W4473" s="6" t="str">
        <f>IFERROR(__xludf.DUMMYFUNCTION("""COMPUTED_VALUE"""),"[]")</f>
        <v>[]</v>
      </c>
      <c r="X4473" s="6" t="str">
        <f>IFERROR(__xludf.DUMMYFUNCTION("""COMPUTED_VALUE"""),"Enrolled")</f>
        <v>Enrolled</v>
      </c>
    </row>
    <row r="4474">
      <c r="A4474" s="6" t="str">
        <f>IFERROR(__xludf.DUMMYFUNCTION("""COMPUTED_VALUE"""),"083-11761")</f>
        <v>083-11761</v>
      </c>
      <c r="B4474" s="6" t="str">
        <f>IFERROR(__xludf.DUMMYFUNCTION("""COMPUTED_VALUE"""),"83")</f>
        <v>83</v>
      </c>
      <c r="C4474" s="6" t="str">
        <f>IFERROR(__xludf.DUMMYFUNCTION("""COMPUTED_VALUE"""),"11761")</f>
        <v>11761</v>
      </c>
      <c r="D4474" s="6" t="str">
        <f>IFERROR(__xludf.DUMMYFUNCTION("""COMPUTED_VALUE"""),"Eddie")</f>
        <v>Eddie</v>
      </c>
      <c r="E4474" s="6" t="str">
        <f>IFERROR(__xludf.DUMMYFUNCTION("""COMPUTED_VALUE"""),"")</f>
        <v/>
      </c>
      <c r="F4474" s="6" t="str">
        <f>IFERROR(__xludf.DUMMYFUNCTION("""COMPUTED_VALUE"""),"Olivares")</f>
        <v>Olivares</v>
      </c>
      <c r="G4474" s="6" t="str">
        <f>IFERROR(__xludf.DUMMYFUNCTION("""COMPUTED_VALUE"""),"10/19/2015")</f>
        <v>10/19/2015</v>
      </c>
      <c r="H4474" s="6" t="str">
        <f>IFERROR(__xludf.DUMMYFUNCTION("""COMPUTED_VALUE"""),"male")</f>
        <v>male</v>
      </c>
      <c r="I4474" s="6" t="str">
        <f>IFERROR(__xludf.DUMMYFUNCTION("""COMPUTED_VALUE"""),"Level 2")</f>
        <v>Level 2</v>
      </c>
      <c r="J4474" s="6" t="str">
        <f>IFERROR(__xludf.DUMMYFUNCTION("""COMPUTED_VALUE"""),"4")</f>
        <v>4</v>
      </c>
      <c r="K4474" s="6" t="str">
        <f>IFERROR(__xludf.DUMMYFUNCTION("""COMPUTED_VALUE"""),"eddie.olivares@2hourlearning.com")</f>
        <v>eddie.olivares@2hourlearning.com</v>
      </c>
      <c r="L4474" s="6" t="str">
        <f>IFERROR(__xludf.DUMMYFUNCTION("""COMPUTED_VALUE"""),"JHES - Hardeeville Elementary School")</f>
        <v>JHES - Hardeeville Elementary School</v>
      </c>
      <c r="M4474" s="6" t="str">
        <f>IFERROR(__xludf.DUMMYFUNCTION("""COMPUTED_VALUE"""),"")</f>
        <v/>
      </c>
      <c r="N4474" s="6" t="str">
        <f>IFERROR(__xludf.DUMMYFUNCTION("""COMPUTED_VALUE"""),"")</f>
        <v/>
      </c>
      <c r="O4474" s="87" t="str">
        <f>IFERROR(__xludf.DUMMYFUNCTION("""COMPUTED_VALUE"""),"https://drive.google.com/drive/folders/10T2cTQHqEJZqE-st6uFKPoI?usp=share_link")</f>
        <v>https://drive.google.com/drive/folders/10T2cTQHqEJZqE-st6uFKPoI?usp=share_link</v>
      </c>
      <c r="P4474" s="6" t="str">
        <f>IFERROR(__xludf.DUMMYFUNCTION("""COMPUTED_VALUE"""),"Eddie Olivares")</f>
        <v>Eddie Olivares</v>
      </c>
      <c r="Q4474" s="6" t="str">
        <f>IFERROR(__xludf.DUMMYFUNCTION("""COMPUTED_VALUE"""),"L2")</f>
        <v>L2</v>
      </c>
      <c r="R4474" s="6">
        <f>IFERROR(__xludf.DUMMYFUNCTION("""COMPUTED_VALUE"""),2.0)</f>
        <v>2</v>
      </c>
      <c r="S4474" s="6" t="str">
        <f>IFERROR(__xludf.DUMMYFUNCTION("""COMPUTED_VALUE""")," ")</f>
        <v> </v>
      </c>
      <c r="T4474" s="6" t="str">
        <f>IFERROR(__xludf.DUMMYFUNCTION("""COMPUTED_VALUE"""),"")</f>
        <v/>
      </c>
      <c r="U4474" s="6" t="str">
        <f>IFERROR(__xludf.DUMMYFUNCTION("""COMPUTED_VALUE"""),"4")</f>
        <v>4</v>
      </c>
      <c r="V4474" s="6" t="str">
        <f>IFERROR(__xludf.DUMMYFUNCTION("""COMPUTED_VALUE"""),"")</f>
        <v/>
      </c>
      <c r="W4474" s="6" t="str">
        <f>IFERROR(__xludf.DUMMYFUNCTION("""COMPUTED_VALUE"""),"[]")</f>
        <v>[]</v>
      </c>
      <c r="X4474" s="6" t="str">
        <f>IFERROR(__xludf.DUMMYFUNCTION("""COMPUTED_VALUE"""),"Enrolled")</f>
        <v>Enrolled</v>
      </c>
    </row>
    <row r="4475">
      <c r="A4475" s="6" t="str">
        <f>IFERROR(__xludf.DUMMYFUNCTION("""COMPUTED_VALUE"""),"083-11762")</f>
        <v>083-11762</v>
      </c>
      <c r="B4475" s="6" t="str">
        <f>IFERROR(__xludf.DUMMYFUNCTION("""COMPUTED_VALUE"""),"83")</f>
        <v>83</v>
      </c>
      <c r="C4475" s="6" t="str">
        <f>IFERROR(__xludf.DUMMYFUNCTION("""COMPUTED_VALUE"""),"11762")</f>
        <v>11762</v>
      </c>
      <c r="D4475" s="6" t="str">
        <f>IFERROR(__xludf.DUMMYFUNCTION("""COMPUTED_VALUE"""),"Madeleine")</f>
        <v>Madeleine</v>
      </c>
      <c r="E4475" s="6" t="str">
        <f>IFERROR(__xludf.DUMMYFUNCTION("""COMPUTED_VALUE"""),"")</f>
        <v/>
      </c>
      <c r="F4475" s="6" t="str">
        <f>IFERROR(__xludf.DUMMYFUNCTION("""COMPUTED_VALUE"""),"Patillo")</f>
        <v>Patillo</v>
      </c>
      <c r="G4475" s="6" t="str">
        <f>IFERROR(__xludf.DUMMYFUNCTION("""COMPUTED_VALUE"""),"10/15/2014")</f>
        <v>10/15/2014</v>
      </c>
      <c r="H4475" s="6" t="str">
        <f>IFERROR(__xludf.DUMMYFUNCTION("""COMPUTED_VALUE"""),"female")</f>
        <v>female</v>
      </c>
      <c r="I4475" s="6" t="str">
        <f>IFERROR(__xludf.DUMMYFUNCTION("""COMPUTED_VALUE"""),"Level 2")</f>
        <v>Level 2</v>
      </c>
      <c r="J4475" s="6" t="str">
        <f>IFERROR(__xludf.DUMMYFUNCTION("""COMPUTED_VALUE"""),"4")</f>
        <v>4</v>
      </c>
      <c r="K4475" s="6" t="str">
        <f>IFERROR(__xludf.DUMMYFUNCTION("""COMPUTED_VALUE"""),"madeleine.patillo@2hourlearning.com")</f>
        <v>madeleine.patillo@2hourlearning.com</v>
      </c>
      <c r="L4475" s="6" t="str">
        <f>IFERROR(__xludf.DUMMYFUNCTION("""COMPUTED_VALUE"""),"JHES - Hardeeville Elementary School")</f>
        <v>JHES - Hardeeville Elementary School</v>
      </c>
      <c r="M4475" s="6" t="str">
        <f>IFERROR(__xludf.DUMMYFUNCTION("""COMPUTED_VALUE"""),"")</f>
        <v/>
      </c>
      <c r="N4475" s="6" t="str">
        <f>IFERROR(__xludf.DUMMYFUNCTION("""COMPUTED_VALUE"""),"")</f>
        <v/>
      </c>
      <c r="O4475" s="87" t="str">
        <f>IFERROR(__xludf.DUMMYFUNCTION("""COMPUTED_VALUE"""),"https://drive.google.com/drive/folders/10T2cTQHqEJZqE-st6uFKPoI?usp=share_link")</f>
        <v>https://drive.google.com/drive/folders/10T2cTQHqEJZqE-st6uFKPoI?usp=share_link</v>
      </c>
      <c r="P4475" s="6" t="str">
        <f>IFERROR(__xludf.DUMMYFUNCTION("""COMPUTED_VALUE"""),"Madeleine Patillo")</f>
        <v>Madeleine Patillo</v>
      </c>
      <c r="Q4475" s="6" t="str">
        <f>IFERROR(__xludf.DUMMYFUNCTION("""COMPUTED_VALUE"""),"L2")</f>
        <v>L2</v>
      </c>
      <c r="R4475" s="6">
        <f>IFERROR(__xludf.DUMMYFUNCTION("""COMPUTED_VALUE"""),2.0)</f>
        <v>2</v>
      </c>
      <c r="S4475" s="6" t="str">
        <f>IFERROR(__xludf.DUMMYFUNCTION("""COMPUTED_VALUE""")," ")</f>
        <v> </v>
      </c>
      <c r="T4475" s="6" t="str">
        <f>IFERROR(__xludf.DUMMYFUNCTION("""COMPUTED_VALUE"""),"")</f>
        <v/>
      </c>
      <c r="U4475" s="6" t="str">
        <f>IFERROR(__xludf.DUMMYFUNCTION("""COMPUTED_VALUE"""),"4")</f>
        <v>4</v>
      </c>
      <c r="V4475" s="6" t="str">
        <f>IFERROR(__xludf.DUMMYFUNCTION("""COMPUTED_VALUE"""),"")</f>
        <v/>
      </c>
      <c r="W4475" s="6" t="str">
        <f>IFERROR(__xludf.DUMMYFUNCTION("""COMPUTED_VALUE"""),"[]")</f>
        <v>[]</v>
      </c>
      <c r="X4475" s="6" t="str">
        <f>IFERROR(__xludf.DUMMYFUNCTION("""COMPUTED_VALUE"""),"Enrolled")</f>
        <v>Enrolled</v>
      </c>
    </row>
    <row r="4476">
      <c r="A4476" s="6" t="str">
        <f>IFERROR(__xludf.DUMMYFUNCTION("""COMPUTED_VALUE"""),"083-11763")</f>
        <v>083-11763</v>
      </c>
      <c r="B4476" s="6" t="str">
        <f>IFERROR(__xludf.DUMMYFUNCTION("""COMPUTED_VALUE"""),"83")</f>
        <v>83</v>
      </c>
      <c r="C4476" s="6" t="str">
        <f>IFERROR(__xludf.DUMMYFUNCTION("""COMPUTED_VALUE"""),"11763")</f>
        <v>11763</v>
      </c>
      <c r="D4476" s="6" t="str">
        <f>IFERROR(__xludf.DUMMYFUNCTION("""COMPUTED_VALUE"""),"Manuel A")</f>
        <v>Manuel A</v>
      </c>
      <c r="E4476" s="6" t="str">
        <f>IFERROR(__xludf.DUMMYFUNCTION("""COMPUTED_VALUE"""),"")</f>
        <v/>
      </c>
      <c r="F4476" s="6" t="str">
        <f>IFERROR(__xludf.DUMMYFUNCTION("""COMPUTED_VALUE"""),"Quinones Matias")</f>
        <v>Quinones Matias</v>
      </c>
      <c r="G4476" s="6" t="str">
        <f>IFERROR(__xludf.DUMMYFUNCTION("""COMPUTED_VALUE"""),"02/05/2016")</f>
        <v>02/05/2016</v>
      </c>
      <c r="H4476" s="6" t="str">
        <f>IFERROR(__xludf.DUMMYFUNCTION("""COMPUTED_VALUE"""),"male")</f>
        <v>male</v>
      </c>
      <c r="I4476" s="6" t="str">
        <f>IFERROR(__xludf.DUMMYFUNCTION("""COMPUTED_VALUE"""),"Level 2")</f>
        <v>Level 2</v>
      </c>
      <c r="J4476" s="6" t="str">
        <f>IFERROR(__xludf.DUMMYFUNCTION("""COMPUTED_VALUE"""),"4")</f>
        <v>4</v>
      </c>
      <c r="K4476" s="6" t="str">
        <f>IFERROR(__xludf.DUMMYFUNCTION("""COMPUTED_VALUE"""),"manuela.quinonesmatias@2hourlearning.com")</f>
        <v>manuela.quinonesmatias@2hourlearning.com</v>
      </c>
      <c r="L4476" s="6" t="str">
        <f>IFERROR(__xludf.DUMMYFUNCTION("""COMPUTED_VALUE"""),"JHES - Hardeeville Elementary School")</f>
        <v>JHES - Hardeeville Elementary School</v>
      </c>
      <c r="M4476" s="6" t="str">
        <f>IFERROR(__xludf.DUMMYFUNCTION("""COMPUTED_VALUE"""),"")</f>
        <v/>
      </c>
      <c r="N4476" s="6" t="str">
        <f>IFERROR(__xludf.DUMMYFUNCTION("""COMPUTED_VALUE"""),"")</f>
        <v/>
      </c>
      <c r="O4476" s="87" t="str">
        <f>IFERROR(__xludf.DUMMYFUNCTION("""COMPUTED_VALUE"""),"https://drive.google.com/drive/folders/10T2cTQHqEJZqE-st6uFKPoI?usp=share_link")</f>
        <v>https://drive.google.com/drive/folders/10T2cTQHqEJZqE-st6uFKPoI?usp=share_link</v>
      </c>
      <c r="P4476" s="6" t="str">
        <f>IFERROR(__xludf.DUMMYFUNCTION("""COMPUTED_VALUE"""),"Manuel A Quinones Matias")</f>
        <v>Manuel A Quinones Matias</v>
      </c>
      <c r="Q4476" s="6" t="str">
        <f>IFERROR(__xludf.DUMMYFUNCTION("""COMPUTED_VALUE"""),"L2")</f>
        <v>L2</v>
      </c>
      <c r="R4476" s="6">
        <f>IFERROR(__xludf.DUMMYFUNCTION("""COMPUTED_VALUE"""),2.0)</f>
        <v>2</v>
      </c>
      <c r="S4476" s="6" t="str">
        <f>IFERROR(__xludf.DUMMYFUNCTION("""COMPUTED_VALUE""")," ")</f>
        <v> </v>
      </c>
      <c r="T4476" s="6" t="str">
        <f>IFERROR(__xludf.DUMMYFUNCTION("""COMPUTED_VALUE"""),"")</f>
        <v/>
      </c>
      <c r="U4476" s="6" t="str">
        <f>IFERROR(__xludf.DUMMYFUNCTION("""COMPUTED_VALUE"""),"4")</f>
        <v>4</v>
      </c>
      <c r="V4476" s="6" t="str">
        <f>IFERROR(__xludf.DUMMYFUNCTION("""COMPUTED_VALUE"""),"")</f>
        <v/>
      </c>
      <c r="W4476" s="6" t="str">
        <f>IFERROR(__xludf.DUMMYFUNCTION("""COMPUTED_VALUE"""),"[]")</f>
        <v>[]</v>
      </c>
      <c r="X4476" s="6" t="str">
        <f>IFERROR(__xludf.DUMMYFUNCTION("""COMPUTED_VALUE"""),"Enrolled")</f>
        <v>Enrolled</v>
      </c>
    </row>
    <row r="4477">
      <c r="A4477" s="6" t="str">
        <f>IFERROR(__xludf.DUMMYFUNCTION("""COMPUTED_VALUE"""),"083-11764")</f>
        <v>083-11764</v>
      </c>
      <c r="B4477" s="6" t="str">
        <f>IFERROR(__xludf.DUMMYFUNCTION("""COMPUTED_VALUE"""),"83")</f>
        <v>83</v>
      </c>
      <c r="C4477" s="6" t="str">
        <f>IFERROR(__xludf.DUMMYFUNCTION("""COMPUTED_VALUE"""),"11764")</f>
        <v>11764</v>
      </c>
      <c r="D4477" s="6" t="str">
        <f>IFERROR(__xludf.DUMMYFUNCTION("""COMPUTED_VALUE"""),"Jesus")</f>
        <v>Jesus</v>
      </c>
      <c r="E4477" s="6" t="str">
        <f>IFERROR(__xludf.DUMMYFUNCTION("""COMPUTED_VALUE"""),"")</f>
        <v/>
      </c>
      <c r="F4477" s="6" t="str">
        <f>IFERROR(__xludf.DUMMYFUNCTION("""COMPUTED_VALUE"""),"Reyna Martinez")</f>
        <v>Reyna Martinez</v>
      </c>
      <c r="G4477" s="6" t="str">
        <f>IFERROR(__xludf.DUMMYFUNCTION("""COMPUTED_VALUE"""),"01/16/2016")</f>
        <v>01/16/2016</v>
      </c>
      <c r="H4477" s="6" t="str">
        <f>IFERROR(__xludf.DUMMYFUNCTION("""COMPUTED_VALUE"""),"male")</f>
        <v>male</v>
      </c>
      <c r="I4477" s="6" t="str">
        <f>IFERROR(__xludf.DUMMYFUNCTION("""COMPUTED_VALUE"""),"Level 2")</f>
        <v>Level 2</v>
      </c>
      <c r="J4477" s="6" t="str">
        <f>IFERROR(__xludf.DUMMYFUNCTION("""COMPUTED_VALUE"""),"4")</f>
        <v>4</v>
      </c>
      <c r="K4477" s="6" t="str">
        <f>IFERROR(__xludf.DUMMYFUNCTION("""COMPUTED_VALUE"""),"jesus.reynamartinez@2hourlearning.com")</f>
        <v>jesus.reynamartinez@2hourlearning.com</v>
      </c>
      <c r="L4477" s="6" t="str">
        <f>IFERROR(__xludf.DUMMYFUNCTION("""COMPUTED_VALUE"""),"JHES - Hardeeville Elementary School")</f>
        <v>JHES - Hardeeville Elementary School</v>
      </c>
      <c r="M4477" s="6" t="str">
        <f>IFERROR(__xludf.DUMMYFUNCTION("""COMPUTED_VALUE"""),"")</f>
        <v/>
      </c>
      <c r="N4477" s="6" t="str">
        <f>IFERROR(__xludf.DUMMYFUNCTION("""COMPUTED_VALUE"""),"")</f>
        <v/>
      </c>
      <c r="O4477" s="87" t="str">
        <f>IFERROR(__xludf.DUMMYFUNCTION("""COMPUTED_VALUE"""),"https://drive.google.com/drive/folders/10T2cTQHqEJZqE-st6uFKPoI?usp=share_link")</f>
        <v>https://drive.google.com/drive/folders/10T2cTQHqEJZqE-st6uFKPoI?usp=share_link</v>
      </c>
      <c r="P4477" s="6" t="str">
        <f>IFERROR(__xludf.DUMMYFUNCTION("""COMPUTED_VALUE"""),"Jesus Reyna Martinez")</f>
        <v>Jesus Reyna Martinez</v>
      </c>
      <c r="Q4477" s="6" t="str">
        <f>IFERROR(__xludf.DUMMYFUNCTION("""COMPUTED_VALUE"""),"L2")</f>
        <v>L2</v>
      </c>
      <c r="R4477" s="6">
        <f>IFERROR(__xludf.DUMMYFUNCTION("""COMPUTED_VALUE"""),2.0)</f>
        <v>2</v>
      </c>
      <c r="S4477" s="6" t="str">
        <f>IFERROR(__xludf.DUMMYFUNCTION("""COMPUTED_VALUE""")," ")</f>
        <v> </v>
      </c>
      <c r="T4477" s="6" t="str">
        <f>IFERROR(__xludf.DUMMYFUNCTION("""COMPUTED_VALUE"""),"")</f>
        <v/>
      </c>
      <c r="U4477" s="6" t="str">
        <f>IFERROR(__xludf.DUMMYFUNCTION("""COMPUTED_VALUE"""),"4")</f>
        <v>4</v>
      </c>
      <c r="V4477" s="6" t="str">
        <f>IFERROR(__xludf.DUMMYFUNCTION("""COMPUTED_VALUE"""),"")</f>
        <v/>
      </c>
      <c r="W4477" s="6" t="str">
        <f>IFERROR(__xludf.DUMMYFUNCTION("""COMPUTED_VALUE"""),"[]")</f>
        <v>[]</v>
      </c>
      <c r="X4477" s="6" t="str">
        <f>IFERROR(__xludf.DUMMYFUNCTION("""COMPUTED_VALUE"""),"Enrolled")</f>
        <v>Enrolled</v>
      </c>
    </row>
    <row r="4478">
      <c r="A4478" s="6" t="str">
        <f>IFERROR(__xludf.DUMMYFUNCTION("""COMPUTED_VALUE"""),"083-11765")</f>
        <v>083-11765</v>
      </c>
      <c r="B4478" s="6" t="str">
        <f>IFERROR(__xludf.DUMMYFUNCTION("""COMPUTED_VALUE"""),"83")</f>
        <v>83</v>
      </c>
      <c r="C4478" s="6" t="str">
        <f>IFERROR(__xludf.DUMMYFUNCTION("""COMPUTED_VALUE"""),"11765")</f>
        <v>11765</v>
      </c>
      <c r="D4478" s="6" t="str">
        <f>IFERROR(__xludf.DUMMYFUNCTION("""COMPUTED_VALUE"""),"Axel")</f>
        <v>Axel</v>
      </c>
      <c r="E4478" s="6" t="str">
        <f>IFERROR(__xludf.DUMMYFUNCTION("""COMPUTED_VALUE"""),"")</f>
        <v/>
      </c>
      <c r="F4478" s="6" t="str">
        <f>IFERROR(__xludf.DUMMYFUNCTION("""COMPUTED_VALUE"""),"Romero Avila")</f>
        <v>Romero Avila</v>
      </c>
      <c r="G4478" s="6" t="str">
        <f>IFERROR(__xludf.DUMMYFUNCTION("""COMPUTED_VALUE"""),"12/09/2015")</f>
        <v>12/09/2015</v>
      </c>
      <c r="H4478" s="6" t="str">
        <f>IFERROR(__xludf.DUMMYFUNCTION("""COMPUTED_VALUE"""),"male")</f>
        <v>male</v>
      </c>
      <c r="I4478" s="6" t="str">
        <f>IFERROR(__xludf.DUMMYFUNCTION("""COMPUTED_VALUE"""),"Level 2")</f>
        <v>Level 2</v>
      </c>
      <c r="J4478" s="6" t="str">
        <f>IFERROR(__xludf.DUMMYFUNCTION("""COMPUTED_VALUE"""),"4")</f>
        <v>4</v>
      </c>
      <c r="K4478" s="6" t="str">
        <f>IFERROR(__xludf.DUMMYFUNCTION("""COMPUTED_VALUE"""),"axel.romeroavila@2hourlearning.com")</f>
        <v>axel.romeroavila@2hourlearning.com</v>
      </c>
      <c r="L4478" s="6" t="str">
        <f>IFERROR(__xludf.DUMMYFUNCTION("""COMPUTED_VALUE"""),"JHES - Hardeeville Elementary School")</f>
        <v>JHES - Hardeeville Elementary School</v>
      </c>
      <c r="M4478" s="6" t="str">
        <f>IFERROR(__xludf.DUMMYFUNCTION("""COMPUTED_VALUE"""),"")</f>
        <v/>
      </c>
      <c r="N4478" s="6" t="str">
        <f>IFERROR(__xludf.DUMMYFUNCTION("""COMPUTED_VALUE"""),"")</f>
        <v/>
      </c>
      <c r="O4478" s="87" t="str">
        <f>IFERROR(__xludf.DUMMYFUNCTION("""COMPUTED_VALUE"""),"https://drive.google.com/drive/folders/10T2cTQHqEJZqE-st6uFKPoI?usp=share_link")</f>
        <v>https://drive.google.com/drive/folders/10T2cTQHqEJZqE-st6uFKPoI?usp=share_link</v>
      </c>
      <c r="P4478" s="6" t="str">
        <f>IFERROR(__xludf.DUMMYFUNCTION("""COMPUTED_VALUE"""),"Axel Romero Avila")</f>
        <v>Axel Romero Avila</v>
      </c>
      <c r="Q4478" s="6" t="str">
        <f>IFERROR(__xludf.DUMMYFUNCTION("""COMPUTED_VALUE"""),"L2")</f>
        <v>L2</v>
      </c>
      <c r="R4478" s="6">
        <f>IFERROR(__xludf.DUMMYFUNCTION("""COMPUTED_VALUE"""),2.0)</f>
        <v>2</v>
      </c>
      <c r="S4478" s="6" t="str">
        <f>IFERROR(__xludf.DUMMYFUNCTION("""COMPUTED_VALUE""")," ")</f>
        <v> </v>
      </c>
      <c r="T4478" s="6" t="str">
        <f>IFERROR(__xludf.DUMMYFUNCTION("""COMPUTED_VALUE"""),"")</f>
        <v/>
      </c>
      <c r="U4478" s="6" t="str">
        <f>IFERROR(__xludf.DUMMYFUNCTION("""COMPUTED_VALUE"""),"4")</f>
        <v>4</v>
      </c>
      <c r="V4478" s="6" t="str">
        <f>IFERROR(__xludf.DUMMYFUNCTION("""COMPUTED_VALUE"""),"")</f>
        <v/>
      </c>
      <c r="W4478" s="6" t="str">
        <f>IFERROR(__xludf.DUMMYFUNCTION("""COMPUTED_VALUE"""),"[]")</f>
        <v>[]</v>
      </c>
      <c r="X4478" s="6" t="str">
        <f>IFERROR(__xludf.DUMMYFUNCTION("""COMPUTED_VALUE"""),"Enrolled")</f>
        <v>Enrolled</v>
      </c>
    </row>
    <row r="4479">
      <c r="A4479" s="6" t="str">
        <f>IFERROR(__xludf.DUMMYFUNCTION("""COMPUTED_VALUE"""),"083-11766")</f>
        <v>083-11766</v>
      </c>
      <c r="B4479" s="6" t="str">
        <f>IFERROR(__xludf.DUMMYFUNCTION("""COMPUTED_VALUE"""),"83")</f>
        <v>83</v>
      </c>
      <c r="C4479" s="6" t="str">
        <f>IFERROR(__xludf.DUMMYFUNCTION("""COMPUTED_VALUE"""),"11766")</f>
        <v>11766</v>
      </c>
      <c r="D4479" s="6" t="str">
        <f>IFERROR(__xludf.DUMMYFUNCTION("""COMPUTED_VALUE"""),"Caitlin")</f>
        <v>Caitlin</v>
      </c>
      <c r="E4479" s="6" t="str">
        <f>IFERROR(__xludf.DUMMYFUNCTION("""COMPUTED_VALUE"""),"")</f>
        <v/>
      </c>
      <c r="F4479" s="6" t="str">
        <f>IFERROR(__xludf.DUMMYFUNCTION("""COMPUTED_VALUE"""),"Suastegui-Saguilan")</f>
        <v>Suastegui-Saguilan</v>
      </c>
      <c r="G4479" s="6" t="str">
        <f>IFERROR(__xludf.DUMMYFUNCTION("""COMPUTED_VALUE"""),"10/13/2015")</f>
        <v>10/13/2015</v>
      </c>
      <c r="H4479" s="6" t="str">
        <f>IFERROR(__xludf.DUMMYFUNCTION("""COMPUTED_VALUE"""),"female")</f>
        <v>female</v>
      </c>
      <c r="I4479" s="6" t="str">
        <f>IFERROR(__xludf.DUMMYFUNCTION("""COMPUTED_VALUE"""),"Level 2")</f>
        <v>Level 2</v>
      </c>
      <c r="J4479" s="6" t="str">
        <f>IFERROR(__xludf.DUMMYFUNCTION("""COMPUTED_VALUE"""),"4")</f>
        <v>4</v>
      </c>
      <c r="K4479" s="6" t="str">
        <f>IFERROR(__xludf.DUMMYFUNCTION("""COMPUTED_VALUE"""),"caitlin.suasteguisaguilan@2hourlearning.com")</f>
        <v>caitlin.suasteguisaguilan@2hourlearning.com</v>
      </c>
      <c r="L4479" s="6" t="str">
        <f>IFERROR(__xludf.DUMMYFUNCTION("""COMPUTED_VALUE"""),"JHES - Hardeeville Elementary School")</f>
        <v>JHES - Hardeeville Elementary School</v>
      </c>
      <c r="M4479" s="6" t="str">
        <f>IFERROR(__xludf.DUMMYFUNCTION("""COMPUTED_VALUE"""),"")</f>
        <v/>
      </c>
      <c r="N4479" s="6" t="str">
        <f>IFERROR(__xludf.DUMMYFUNCTION("""COMPUTED_VALUE"""),"")</f>
        <v/>
      </c>
      <c r="O4479" s="87" t="str">
        <f>IFERROR(__xludf.DUMMYFUNCTION("""COMPUTED_VALUE"""),"https://drive.google.com/drive/folders/10T2cTQHqEJZqE-st6uFKPoI?usp=share_link")</f>
        <v>https://drive.google.com/drive/folders/10T2cTQHqEJZqE-st6uFKPoI?usp=share_link</v>
      </c>
      <c r="P4479" s="6" t="str">
        <f>IFERROR(__xludf.DUMMYFUNCTION("""COMPUTED_VALUE"""),"Caitlin Suastegui-Saguilan")</f>
        <v>Caitlin Suastegui-Saguilan</v>
      </c>
      <c r="Q4479" s="6" t="str">
        <f>IFERROR(__xludf.DUMMYFUNCTION("""COMPUTED_VALUE"""),"L2")</f>
        <v>L2</v>
      </c>
      <c r="R4479" s="6">
        <f>IFERROR(__xludf.DUMMYFUNCTION("""COMPUTED_VALUE"""),2.0)</f>
        <v>2</v>
      </c>
      <c r="S4479" s="6" t="str">
        <f>IFERROR(__xludf.DUMMYFUNCTION("""COMPUTED_VALUE""")," ")</f>
        <v> </v>
      </c>
      <c r="T4479" s="6" t="str">
        <f>IFERROR(__xludf.DUMMYFUNCTION("""COMPUTED_VALUE"""),"")</f>
        <v/>
      </c>
      <c r="U4479" s="6" t="str">
        <f>IFERROR(__xludf.DUMMYFUNCTION("""COMPUTED_VALUE"""),"4")</f>
        <v>4</v>
      </c>
      <c r="V4479" s="6" t="str">
        <f>IFERROR(__xludf.DUMMYFUNCTION("""COMPUTED_VALUE"""),"")</f>
        <v/>
      </c>
      <c r="W4479" s="6" t="str">
        <f>IFERROR(__xludf.DUMMYFUNCTION("""COMPUTED_VALUE"""),"[]")</f>
        <v>[]</v>
      </c>
      <c r="X4479" s="6" t="str">
        <f>IFERROR(__xludf.DUMMYFUNCTION("""COMPUTED_VALUE"""),"Enrolled")</f>
        <v>Enrolled</v>
      </c>
    </row>
    <row r="4480">
      <c r="A4480" s="6" t="str">
        <f>IFERROR(__xludf.DUMMYFUNCTION("""COMPUTED_VALUE"""),"083-11767")</f>
        <v>083-11767</v>
      </c>
      <c r="B4480" s="6" t="str">
        <f>IFERROR(__xludf.DUMMYFUNCTION("""COMPUTED_VALUE"""),"83")</f>
        <v>83</v>
      </c>
      <c r="C4480" s="6" t="str">
        <f>IFERROR(__xludf.DUMMYFUNCTION("""COMPUTED_VALUE"""),"11767")</f>
        <v>11767</v>
      </c>
      <c r="D4480" s="6" t="str">
        <f>IFERROR(__xludf.DUMMYFUNCTION("""COMPUTED_VALUE"""),"Xander")</f>
        <v>Xander</v>
      </c>
      <c r="E4480" s="6" t="str">
        <f>IFERROR(__xludf.DUMMYFUNCTION("""COMPUTED_VALUE"""),"")</f>
        <v/>
      </c>
      <c r="F4480" s="6" t="str">
        <f>IFERROR(__xludf.DUMMYFUNCTION("""COMPUTED_VALUE"""),"Terry")</f>
        <v>Terry</v>
      </c>
      <c r="G4480" s="6" t="str">
        <f>IFERROR(__xludf.DUMMYFUNCTION("""COMPUTED_VALUE"""),"09/09/2016")</f>
        <v>09/09/2016</v>
      </c>
      <c r="H4480" s="6" t="str">
        <f>IFERROR(__xludf.DUMMYFUNCTION("""COMPUTED_VALUE"""),"male")</f>
        <v>male</v>
      </c>
      <c r="I4480" s="6" t="str">
        <f>IFERROR(__xludf.DUMMYFUNCTION("""COMPUTED_VALUE"""),"Level 2")</f>
        <v>Level 2</v>
      </c>
      <c r="J4480" s="6" t="str">
        <f>IFERROR(__xludf.DUMMYFUNCTION("""COMPUTED_VALUE"""),"4")</f>
        <v>4</v>
      </c>
      <c r="K4480" s="6" t="str">
        <f>IFERROR(__xludf.DUMMYFUNCTION("""COMPUTED_VALUE"""),"xander.terry@2hourlearning.com")</f>
        <v>xander.terry@2hourlearning.com</v>
      </c>
      <c r="L4480" s="6" t="str">
        <f>IFERROR(__xludf.DUMMYFUNCTION("""COMPUTED_VALUE"""),"JHES - Hardeeville Elementary School")</f>
        <v>JHES - Hardeeville Elementary School</v>
      </c>
      <c r="M4480" s="6" t="str">
        <f>IFERROR(__xludf.DUMMYFUNCTION("""COMPUTED_VALUE"""),"")</f>
        <v/>
      </c>
      <c r="N4480" s="6" t="str">
        <f>IFERROR(__xludf.DUMMYFUNCTION("""COMPUTED_VALUE"""),"")</f>
        <v/>
      </c>
      <c r="O4480" s="87" t="str">
        <f>IFERROR(__xludf.DUMMYFUNCTION("""COMPUTED_VALUE"""),"https://drive.google.com/drive/folders/10T2cTQHqEJZqE-st6uFKPoI?usp=share_link")</f>
        <v>https://drive.google.com/drive/folders/10T2cTQHqEJZqE-st6uFKPoI?usp=share_link</v>
      </c>
      <c r="P4480" s="6" t="str">
        <f>IFERROR(__xludf.DUMMYFUNCTION("""COMPUTED_VALUE"""),"Xander Terry")</f>
        <v>Xander Terry</v>
      </c>
      <c r="Q4480" s="6" t="str">
        <f>IFERROR(__xludf.DUMMYFUNCTION("""COMPUTED_VALUE"""),"L2")</f>
        <v>L2</v>
      </c>
      <c r="R4480" s="6">
        <f>IFERROR(__xludf.DUMMYFUNCTION("""COMPUTED_VALUE"""),2.0)</f>
        <v>2</v>
      </c>
      <c r="S4480" s="6" t="str">
        <f>IFERROR(__xludf.DUMMYFUNCTION("""COMPUTED_VALUE""")," ")</f>
        <v> </v>
      </c>
      <c r="T4480" s="6" t="str">
        <f>IFERROR(__xludf.DUMMYFUNCTION("""COMPUTED_VALUE"""),"")</f>
        <v/>
      </c>
      <c r="U4480" s="6" t="str">
        <f>IFERROR(__xludf.DUMMYFUNCTION("""COMPUTED_VALUE"""),"4")</f>
        <v>4</v>
      </c>
      <c r="V4480" s="6" t="str">
        <f>IFERROR(__xludf.DUMMYFUNCTION("""COMPUTED_VALUE"""),"")</f>
        <v/>
      </c>
      <c r="W4480" s="6" t="str">
        <f>IFERROR(__xludf.DUMMYFUNCTION("""COMPUTED_VALUE"""),"[]")</f>
        <v>[]</v>
      </c>
      <c r="X4480" s="6" t="str">
        <f>IFERROR(__xludf.DUMMYFUNCTION("""COMPUTED_VALUE"""),"Enrolled")</f>
        <v>Enrolled</v>
      </c>
    </row>
    <row r="4481">
      <c r="A4481" s="6" t="str">
        <f>IFERROR(__xludf.DUMMYFUNCTION("""COMPUTED_VALUE"""),"083-11768")</f>
        <v>083-11768</v>
      </c>
      <c r="B4481" s="6" t="str">
        <f>IFERROR(__xludf.DUMMYFUNCTION("""COMPUTED_VALUE"""),"83")</f>
        <v>83</v>
      </c>
      <c r="C4481" s="6" t="str">
        <f>IFERROR(__xludf.DUMMYFUNCTION("""COMPUTED_VALUE"""),"11768")</f>
        <v>11768</v>
      </c>
      <c r="D4481" s="6" t="str">
        <f>IFERROR(__xludf.DUMMYFUNCTION("""COMPUTED_VALUE"""),"Alessandro E")</f>
        <v>Alessandro E</v>
      </c>
      <c r="E4481" s="6" t="str">
        <f>IFERROR(__xludf.DUMMYFUNCTION("""COMPUTED_VALUE"""),"")</f>
        <v/>
      </c>
      <c r="F4481" s="6" t="str">
        <f>IFERROR(__xludf.DUMMYFUNCTION("""COMPUTED_VALUE"""),"Valdez Mendes")</f>
        <v>Valdez Mendes</v>
      </c>
      <c r="G4481" s="6" t="str">
        <f>IFERROR(__xludf.DUMMYFUNCTION("""COMPUTED_VALUE"""),"06/23/2016")</f>
        <v>06/23/2016</v>
      </c>
      <c r="H4481" s="6" t="str">
        <f>IFERROR(__xludf.DUMMYFUNCTION("""COMPUTED_VALUE"""),"male")</f>
        <v>male</v>
      </c>
      <c r="I4481" s="6" t="str">
        <f>IFERROR(__xludf.DUMMYFUNCTION("""COMPUTED_VALUE"""),"Level 2")</f>
        <v>Level 2</v>
      </c>
      <c r="J4481" s="6" t="str">
        <f>IFERROR(__xludf.DUMMYFUNCTION("""COMPUTED_VALUE"""),"4")</f>
        <v>4</v>
      </c>
      <c r="K4481" s="6" t="str">
        <f>IFERROR(__xludf.DUMMYFUNCTION("""COMPUTED_VALUE"""),"alessandroe.valdezmendes@2hourlearning.com")</f>
        <v>alessandroe.valdezmendes@2hourlearning.com</v>
      </c>
      <c r="L4481" s="6" t="str">
        <f>IFERROR(__xludf.DUMMYFUNCTION("""COMPUTED_VALUE"""),"JHES - Hardeeville Elementary School")</f>
        <v>JHES - Hardeeville Elementary School</v>
      </c>
      <c r="M4481" s="6" t="str">
        <f>IFERROR(__xludf.DUMMYFUNCTION("""COMPUTED_VALUE"""),"")</f>
        <v/>
      </c>
      <c r="N4481" s="6" t="str">
        <f>IFERROR(__xludf.DUMMYFUNCTION("""COMPUTED_VALUE"""),"")</f>
        <v/>
      </c>
      <c r="O4481" s="87" t="str">
        <f>IFERROR(__xludf.DUMMYFUNCTION("""COMPUTED_VALUE"""),"https://drive.google.com/drive/folders/10T2cTQHqEJZqE-st6uFKPoI?usp=share_link")</f>
        <v>https://drive.google.com/drive/folders/10T2cTQHqEJZqE-st6uFKPoI?usp=share_link</v>
      </c>
      <c r="P4481" s="6" t="str">
        <f>IFERROR(__xludf.DUMMYFUNCTION("""COMPUTED_VALUE"""),"Alessandro E Valdez Mendes")</f>
        <v>Alessandro E Valdez Mendes</v>
      </c>
      <c r="Q4481" s="6" t="str">
        <f>IFERROR(__xludf.DUMMYFUNCTION("""COMPUTED_VALUE"""),"L2")</f>
        <v>L2</v>
      </c>
      <c r="R4481" s="6">
        <f>IFERROR(__xludf.DUMMYFUNCTION("""COMPUTED_VALUE"""),2.0)</f>
        <v>2</v>
      </c>
      <c r="S4481" s="6" t="str">
        <f>IFERROR(__xludf.DUMMYFUNCTION("""COMPUTED_VALUE""")," ")</f>
        <v> </v>
      </c>
      <c r="T4481" s="6" t="str">
        <f>IFERROR(__xludf.DUMMYFUNCTION("""COMPUTED_VALUE"""),"")</f>
        <v/>
      </c>
      <c r="U4481" s="6" t="str">
        <f>IFERROR(__xludf.DUMMYFUNCTION("""COMPUTED_VALUE"""),"4")</f>
        <v>4</v>
      </c>
      <c r="V4481" s="6" t="str">
        <f>IFERROR(__xludf.DUMMYFUNCTION("""COMPUTED_VALUE"""),"")</f>
        <v/>
      </c>
      <c r="W4481" s="6" t="str">
        <f>IFERROR(__xludf.DUMMYFUNCTION("""COMPUTED_VALUE"""),"[]")</f>
        <v>[]</v>
      </c>
      <c r="X4481" s="6" t="str">
        <f>IFERROR(__xludf.DUMMYFUNCTION("""COMPUTED_VALUE"""),"Enrolled")</f>
        <v>Enrolled</v>
      </c>
    </row>
    <row r="4482">
      <c r="A4482" s="6" t="str">
        <f>IFERROR(__xludf.DUMMYFUNCTION("""COMPUTED_VALUE"""),"083-11769")</f>
        <v>083-11769</v>
      </c>
      <c r="B4482" s="6" t="str">
        <f>IFERROR(__xludf.DUMMYFUNCTION("""COMPUTED_VALUE"""),"83")</f>
        <v>83</v>
      </c>
      <c r="C4482" s="6" t="str">
        <f>IFERROR(__xludf.DUMMYFUNCTION("""COMPUTED_VALUE"""),"11769")</f>
        <v>11769</v>
      </c>
      <c r="D4482" s="6" t="str">
        <f>IFERROR(__xludf.DUMMYFUNCTION("""COMPUTED_VALUE"""),"Andrea Y")</f>
        <v>Andrea Y</v>
      </c>
      <c r="E4482" s="6" t="str">
        <f>IFERROR(__xludf.DUMMYFUNCTION("""COMPUTED_VALUE"""),"")</f>
        <v/>
      </c>
      <c r="F4482" s="6" t="str">
        <f>IFERROR(__xludf.DUMMYFUNCTION("""COMPUTED_VALUE"""),"Vierya Cardenas")</f>
        <v>Vierya Cardenas</v>
      </c>
      <c r="G4482" s="6" t="str">
        <f>IFERROR(__xludf.DUMMYFUNCTION("""COMPUTED_VALUE"""),"11/10/2015")</f>
        <v>11/10/2015</v>
      </c>
      <c r="H4482" s="6" t="str">
        <f>IFERROR(__xludf.DUMMYFUNCTION("""COMPUTED_VALUE"""),"female")</f>
        <v>female</v>
      </c>
      <c r="I4482" s="6" t="str">
        <f>IFERROR(__xludf.DUMMYFUNCTION("""COMPUTED_VALUE"""),"Level 2")</f>
        <v>Level 2</v>
      </c>
      <c r="J4482" s="6" t="str">
        <f>IFERROR(__xludf.DUMMYFUNCTION("""COMPUTED_VALUE"""),"4")</f>
        <v>4</v>
      </c>
      <c r="K4482" s="6" t="str">
        <f>IFERROR(__xludf.DUMMYFUNCTION("""COMPUTED_VALUE"""),"andreay.vieryacardenas@2hourlearning.com")</f>
        <v>andreay.vieryacardenas@2hourlearning.com</v>
      </c>
      <c r="L4482" s="6" t="str">
        <f>IFERROR(__xludf.DUMMYFUNCTION("""COMPUTED_VALUE"""),"JHES - Hardeeville Elementary School")</f>
        <v>JHES - Hardeeville Elementary School</v>
      </c>
      <c r="M4482" s="6" t="str">
        <f>IFERROR(__xludf.DUMMYFUNCTION("""COMPUTED_VALUE"""),"")</f>
        <v/>
      </c>
      <c r="N4482" s="6" t="str">
        <f>IFERROR(__xludf.DUMMYFUNCTION("""COMPUTED_VALUE"""),"")</f>
        <v/>
      </c>
      <c r="O4482" s="87" t="str">
        <f>IFERROR(__xludf.DUMMYFUNCTION("""COMPUTED_VALUE"""),"https://drive.google.com/drive/folders/10T2cTQHqEJZqE-st6uFKPoI?usp=share_link")</f>
        <v>https://drive.google.com/drive/folders/10T2cTQHqEJZqE-st6uFKPoI?usp=share_link</v>
      </c>
      <c r="P4482" s="6" t="str">
        <f>IFERROR(__xludf.DUMMYFUNCTION("""COMPUTED_VALUE"""),"Andrea Y Vierya Cardenas")</f>
        <v>Andrea Y Vierya Cardenas</v>
      </c>
      <c r="Q4482" s="6" t="str">
        <f>IFERROR(__xludf.DUMMYFUNCTION("""COMPUTED_VALUE"""),"L2")</f>
        <v>L2</v>
      </c>
      <c r="R4482" s="6">
        <f>IFERROR(__xludf.DUMMYFUNCTION("""COMPUTED_VALUE"""),2.0)</f>
        <v>2</v>
      </c>
      <c r="S4482" s="6" t="str">
        <f>IFERROR(__xludf.DUMMYFUNCTION("""COMPUTED_VALUE""")," ")</f>
        <v> </v>
      </c>
      <c r="T4482" s="6" t="str">
        <f>IFERROR(__xludf.DUMMYFUNCTION("""COMPUTED_VALUE"""),"")</f>
        <v/>
      </c>
      <c r="U4482" s="6" t="str">
        <f>IFERROR(__xludf.DUMMYFUNCTION("""COMPUTED_VALUE"""),"4")</f>
        <v>4</v>
      </c>
      <c r="V4482" s="6" t="str">
        <f>IFERROR(__xludf.DUMMYFUNCTION("""COMPUTED_VALUE"""),"")</f>
        <v/>
      </c>
      <c r="W4482" s="6" t="str">
        <f>IFERROR(__xludf.DUMMYFUNCTION("""COMPUTED_VALUE"""),"[]")</f>
        <v>[]</v>
      </c>
      <c r="X4482" s="6" t="str">
        <f>IFERROR(__xludf.DUMMYFUNCTION("""COMPUTED_VALUE"""),"Enrolled")</f>
        <v>Enrolled</v>
      </c>
    </row>
    <row r="4483">
      <c r="A4483" s="6" t="str">
        <f>IFERROR(__xludf.DUMMYFUNCTION("""COMPUTED_VALUE"""),"083-11770")</f>
        <v>083-11770</v>
      </c>
      <c r="B4483" s="6" t="str">
        <f>IFERROR(__xludf.DUMMYFUNCTION("""COMPUTED_VALUE"""),"83")</f>
        <v>83</v>
      </c>
      <c r="C4483" s="6" t="str">
        <f>IFERROR(__xludf.DUMMYFUNCTION("""COMPUTED_VALUE"""),"11770")</f>
        <v>11770</v>
      </c>
      <c r="D4483" s="6" t="str">
        <f>IFERROR(__xludf.DUMMYFUNCTION("""COMPUTED_VALUE"""),"Ja'Saih")</f>
        <v>Ja'Saih</v>
      </c>
      <c r="E4483" s="6" t="str">
        <f>IFERROR(__xludf.DUMMYFUNCTION("""COMPUTED_VALUE"""),"")</f>
        <v/>
      </c>
      <c r="F4483" s="6" t="str">
        <f>IFERROR(__xludf.DUMMYFUNCTION("""COMPUTED_VALUE"""),"Wilson")</f>
        <v>Wilson</v>
      </c>
      <c r="G4483" s="6" t="str">
        <f>IFERROR(__xludf.DUMMYFUNCTION("""COMPUTED_VALUE"""),"12/11/2013")</f>
        <v>12/11/2013</v>
      </c>
      <c r="H4483" s="6" t="str">
        <f>IFERROR(__xludf.DUMMYFUNCTION("""COMPUTED_VALUE"""),"male")</f>
        <v>male</v>
      </c>
      <c r="I4483" s="6" t="str">
        <f>IFERROR(__xludf.DUMMYFUNCTION("""COMPUTED_VALUE"""),"Level 2")</f>
        <v>Level 2</v>
      </c>
      <c r="J4483" s="6" t="str">
        <f>IFERROR(__xludf.DUMMYFUNCTION("""COMPUTED_VALUE"""),"4")</f>
        <v>4</v>
      </c>
      <c r="K4483" s="6" t="str">
        <f>IFERROR(__xludf.DUMMYFUNCTION("""COMPUTED_VALUE"""),"jasaih.wilson@2hourlearning.com")</f>
        <v>jasaih.wilson@2hourlearning.com</v>
      </c>
      <c r="L4483" s="6" t="str">
        <f>IFERROR(__xludf.DUMMYFUNCTION("""COMPUTED_VALUE"""),"JHES - Hardeeville Elementary School")</f>
        <v>JHES - Hardeeville Elementary School</v>
      </c>
      <c r="M4483" s="6" t="str">
        <f>IFERROR(__xludf.DUMMYFUNCTION("""COMPUTED_VALUE"""),"")</f>
        <v/>
      </c>
      <c r="N4483" s="6" t="str">
        <f>IFERROR(__xludf.DUMMYFUNCTION("""COMPUTED_VALUE"""),"")</f>
        <v/>
      </c>
      <c r="O4483" s="87" t="str">
        <f>IFERROR(__xludf.DUMMYFUNCTION("""COMPUTED_VALUE"""),"https://drive.google.com/drive/folders/10T2cTQHqEJZqE-st6uFKPoI?usp=share_link")</f>
        <v>https://drive.google.com/drive/folders/10T2cTQHqEJZqE-st6uFKPoI?usp=share_link</v>
      </c>
      <c r="P4483" s="6" t="str">
        <f>IFERROR(__xludf.DUMMYFUNCTION("""COMPUTED_VALUE"""),"Ja'Saih Wilson")</f>
        <v>Ja'Saih Wilson</v>
      </c>
      <c r="Q4483" s="6" t="str">
        <f>IFERROR(__xludf.DUMMYFUNCTION("""COMPUTED_VALUE"""),"L2")</f>
        <v>L2</v>
      </c>
      <c r="R4483" s="6">
        <f>IFERROR(__xludf.DUMMYFUNCTION("""COMPUTED_VALUE"""),2.0)</f>
        <v>2</v>
      </c>
      <c r="S4483" s="6" t="str">
        <f>IFERROR(__xludf.DUMMYFUNCTION("""COMPUTED_VALUE""")," ")</f>
        <v> </v>
      </c>
      <c r="T4483" s="6" t="str">
        <f>IFERROR(__xludf.DUMMYFUNCTION("""COMPUTED_VALUE"""),"")</f>
        <v/>
      </c>
      <c r="U4483" s="6" t="str">
        <f>IFERROR(__xludf.DUMMYFUNCTION("""COMPUTED_VALUE"""),"4")</f>
        <v>4</v>
      </c>
      <c r="V4483" s="6" t="str">
        <f>IFERROR(__xludf.DUMMYFUNCTION("""COMPUTED_VALUE"""),"")</f>
        <v/>
      </c>
      <c r="W4483" s="6" t="str">
        <f>IFERROR(__xludf.DUMMYFUNCTION("""COMPUTED_VALUE"""),"[]")</f>
        <v>[]</v>
      </c>
      <c r="X4483" s="6" t="str">
        <f>IFERROR(__xludf.DUMMYFUNCTION("""COMPUTED_VALUE"""),"Enrolled")</f>
        <v>Enrolled</v>
      </c>
    </row>
    <row r="4484">
      <c r="A4484" s="6" t="str">
        <f>IFERROR(__xludf.DUMMYFUNCTION("""COMPUTED_VALUE"""),"083-11771")</f>
        <v>083-11771</v>
      </c>
      <c r="B4484" s="6" t="str">
        <f>IFERROR(__xludf.DUMMYFUNCTION("""COMPUTED_VALUE"""),"83")</f>
        <v>83</v>
      </c>
      <c r="C4484" s="6" t="str">
        <f>IFERROR(__xludf.DUMMYFUNCTION("""COMPUTED_VALUE"""),"11771")</f>
        <v>11771</v>
      </c>
      <c r="D4484" s="6" t="str">
        <f>IFERROR(__xludf.DUMMYFUNCTION("""COMPUTED_VALUE"""),"Genesis")</f>
        <v>Genesis</v>
      </c>
      <c r="E4484" s="6" t="str">
        <f>IFERROR(__xludf.DUMMYFUNCTION("""COMPUTED_VALUE"""),"")</f>
        <v/>
      </c>
      <c r="F4484" s="6" t="str">
        <f>IFERROR(__xludf.DUMMYFUNCTION("""COMPUTED_VALUE"""),"Zuniga Seb")</f>
        <v>Zuniga Seb</v>
      </c>
      <c r="G4484" s="6" t="str">
        <f>IFERROR(__xludf.DUMMYFUNCTION("""COMPUTED_VALUE"""),"02/16/2016")</f>
        <v>02/16/2016</v>
      </c>
      <c r="H4484" s="6" t="str">
        <f>IFERROR(__xludf.DUMMYFUNCTION("""COMPUTED_VALUE"""),"female")</f>
        <v>female</v>
      </c>
      <c r="I4484" s="6" t="str">
        <f>IFERROR(__xludf.DUMMYFUNCTION("""COMPUTED_VALUE"""),"Level 2")</f>
        <v>Level 2</v>
      </c>
      <c r="J4484" s="6" t="str">
        <f>IFERROR(__xludf.DUMMYFUNCTION("""COMPUTED_VALUE"""),"4")</f>
        <v>4</v>
      </c>
      <c r="K4484" s="6" t="str">
        <f>IFERROR(__xludf.DUMMYFUNCTION("""COMPUTED_VALUE"""),"genesis.zunigaseb@2hourlearning.com")</f>
        <v>genesis.zunigaseb@2hourlearning.com</v>
      </c>
      <c r="L4484" s="6" t="str">
        <f>IFERROR(__xludf.DUMMYFUNCTION("""COMPUTED_VALUE"""),"JHES - Hardeeville Elementary School")</f>
        <v>JHES - Hardeeville Elementary School</v>
      </c>
      <c r="M4484" s="6" t="str">
        <f>IFERROR(__xludf.DUMMYFUNCTION("""COMPUTED_VALUE"""),"")</f>
        <v/>
      </c>
      <c r="N4484" s="6" t="str">
        <f>IFERROR(__xludf.DUMMYFUNCTION("""COMPUTED_VALUE"""),"")</f>
        <v/>
      </c>
      <c r="O4484" s="87" t="str">
        <f>IFERROR(__xludf.DUMMYFUNCTION("""COMPUTED_VALUE"""),"https://drive.google.com/drive/folders/10T2cTQHqEJZqE-st6uFKPoI?usp=share_link")</f>
        <v>https://drive.google.com/drive/folders/10T2cTQHqEJZqE-st6uFKPoI?usp=share_link</v>
      </c>
      <c r="P4484" s="6" t="str">
        <f>IFERROR(__xludf.DUMMYFUNCTION("""COMPUTED_VALUE"""),"Genesis Zuniga Seb")</f>
        <v>Genesis Zuniga Seb</v>
      </c>
      <c r="Q4484" s="6" t="str">
        <f>IFERROR(__xludf.DUMMYFUNCTION("""COMPUTED_VALUE"""),"L2")</f>
        <v>L2</v>
      </c>
      <c r="R4484" s="6">
        <f>IFERROR(__xludf.DUMMYFUNCTION("""COMPUTED_VALUE"""),2.0)</f>
        <v>2</v>
      </c>
      <c r="S4484" s="6" t="str">
        <f>IFERROR(__xludf.DUMMYFUNCTION("""COMPUTED_VALUE""")," ")</f>
        <v> </v>
      </c>
      <c r="T4484" s="6" t="str">
        <f>IFERROR(__xludf.DUMMYFUNCTION("""COMPUTED_VALUE"""),"")</f>
        <v/>
      </c>
      <c r="U4484" s="6" t="str">
        <f>IFERROR(__xludf.DUMMYFUNCTION("""COMPUTED_VALUE"""),"4")</f>
        <v>4</v>
      </c>
      <c r="V4484" s="6" t="str">
        <f>IFERROR(__xludf.DUMMYFUNCTION("""COMPUTED_VALUE"""),"")</f>
        <v/>
      </c>
      <c r="W4484" s="6" t="str">
        <f>IFERROR(__xludf.DUMMYFUNCTION("""COMPUTED_VALUE"""),"[]")</f>
        <v>[]</v>
      </c>
      <c r="X4484" s="6" t="str">
        <f>IFERROR(__xludf.DUMMYFUNCTION("""COMPUTED_VALUE"""),"Enrolled")</f>
        <v>Enrolled</v>
      </c>
    </row>
    <row r="4485">
      <c r="A4485" s="6" t="str">
        <f>IFERROR(__xludf.DUMMYFUNCTION("""COMPUTED_VALUE"""),"083-11772")</f>
        <v>083-11772</v>
      </c>
      <c r="B4485" s="6" t="str">
        <f>IFERROR(__xludf.DUMMYFUNCTION("""COMPUTED_VALUE"""),"83")</f>
        <v>83</v>
      </c>
      <c r="C4485" s="6" t="str">
        <f>IFERROR(__xludf.DUMMYFUNCTION("""COMPUTED_VALUE"""),"11772")</f>
        <v>11772</v>
      </c>
      <c r="D4485" s="6" t="str">
        <f>IFERROR(__xludf.DUMMYFUNCTION("""COMPUTED_VALUE"""),"Maria")</f>
        <v>Maria</v>
      </c>
      <c r="E4485" s="6" t="str">
        <f>IFERROR(__xludf.DUMMYFUNCTION("""COMPUTED_VALUE"""),"")</f>
        <v/>
      </c>
      <c r="F4485" s="6" t="str">
        <f>IFERROR(__xludf.DUMMYFUNCTION("""COMPUTED_VALUE"""),"Almeida")</f>
        <v>Almeida</v>
      </c>
      <c r="G4485" s="6" t="str">
        <f>IFERROR(__xludf.DUMMYFUNCTION("""COMPUTED_VALUE"""),"05/12/2015")</f>
        <v>05/12/2015</v>
      </c>
      <c r="H4485" s="6" t="str">
        <f>IFERROR(__xludf.DUMMYFUNCTION("""COMPUTED_VALUE"""),"female")</f>
        <v>female</v>
      </c>
      <c r="I4485" s="6" t="str">
        <f>IFERROR(__xludf.DUMMYFUNCTION("""COMPUTED_VALUE"""),"Level 2")</f>
        <v>Level 2</v>
      </c>
      <c r="J4485" s="6" t="str">
        <f>IFERROR(__xludf.DUMMYFUNCTION("""COMPUTED_VALUE"""),"5")</f>
        <v>5</v>
      </c>
      <c r="K4485" s="6" t="str">
        <f>IFERROR(__xludf.DUMMYFUNCTION("""COMPUTED_VALUE"""),"maria.almeida@2hourlearning.com")</f>
        <v>maria.almeida@2hourlearning.com</v>
      </c>
      <c r="L4485" s="6" t="str">
        <f>IFERROR(__xludf.DUMMYFUNCTION("""COMPUTED_VALUE"""),"JHES - Hardeeville Elementary School")</f>
        <v>JHES - Hardeeville Elementary School</v>
      </c>
      <c r="M4485" s="6" t="str">
        <f>IFERROR(__xludf.DUMMYFUNCTION("""COMPUTED_VALUE"""),"")</f>
        <v/>
      </c>
      <c r="N4485" s="6" t="str">
        <f>IFERROR(__xludf.DUMMYFUNCTION("""COMPUTED_VALUE"""),"")</f>
        <v/>
      </c>
      <c r="O4485" s="87" t="str">
        <f>IFERROR(__xludf.DUMMYFUNCTION("""COMPUTED_VALUE"""),"https://drive.google.com/drive/folders/10T2cTQHqEJZqE-st6uFKPoI?usp=share_link")</f>
        <v>https://drive.google.com/drive/folders/10T2cTQHqEJZqE-st6uFKPoI?usp=share_link</v>
      </c>
      <c r="P4485" s="6" t="str">
        <f>IFERROR(__xludf.DUMMYFUNCTION("""COMPUTED_VALUE"""),"Maria Almeida")</f>
        <v>Maria Almeida</v>
      </c>
      <c r="Q4485" s="6" t="str">
        <f>IFERROR(__xludf.DUMMYFUNCTION("""COMPUTED_VALUE"""),"L2")</f>
        <v>L2</v>
      </c>
      <c r="R4485" s="6">
        <f>IFERROR(__xludf.DUMMYFUNCTION("""COMPUTED_VALUE"""),2.0)</f>
        <v>2</v>
      </c>
      <c r="S4485" s="6" t="str">
        <f>IFERROR(__xludf.DUMMYFUNCTION("""COMPUTED_VALUE""")," ")</f>
        <v> </v>
      </c>
      <c r="T4485" s="6" t="str">
        <f>IFERROR(__xludf.DUMMYFUNCTION("""COMPUTED_VALUE"""),"")</f>
        <v/>
      </c>
      <c r="U4485" s="6" t="str">
        <f>IFERROR(__xludf.DUMMYFUNCTION("""COMPUTED_VALUE"""),"5")</f>
        <v>5</v>
      </c>
      <c r="V4485" s="6" t="str">
        <f>IFERROR(__xludf.DUMMYFUNCTION("""COMPUTED_VALUE"""),"")</f>
        <v/>
      </c>
      <c r="W4485" s="6" t="str">
        <f>IFERROR(__xludf.DUMMYFUNCTION("""COMPUTED_VALUE"""),"[]")</f>
        <v>[]</v>
      </c>
      <c r="X4485" s="6" t="str">
        <f>IFERROR(__xludf.DUMMYFUNCTION("""COMPUTED_VALUE"""),"Enrolled")</f>
        <v>Enrolled</v>
      </c>
    </row>
    <row r="4486">
      <c r="A4486" s="6" t="str">
        <f>IFERROR(__xludf.DUMMYFUNCTION("""COMPUTED_VALUE"""),"083-11773")</f>
        <v>083-11773</v>
      </c>
      <c r="B4486" s="6" t="str">
        <f>IFERROR(__xludf.DUMMYFUNCTION("""COMPUTED_VALUE"""),"83")</f>
        <v>83</v>
      </c>
      <c r="C4486" s="6" t="str">
        <f>IFERROR(__xludf.DUMMYFUNCTION("""COMPUTED_VALUE"""),"11773")</f>
        <v>11773</v>
      </c>
      <c r="D4486" s="6" t="str">
        <f>IFERROR(__xludf.DUMMYFUNCTION("""COMPUTED_VALUE"""),"Samantha")</f>
        <v>Samantha</v>
      </c>
      <c r="E4486" s="6" t="str">
        <f>IFERROR(__xludf.DUMMYFUNCTION("""COMPUTED_VALUE"""),"")</f>
        <v/>
      </c>
      <c r="F4486" s="6" t="str">
        <f>IFERROR(__xludf.DUMMYFUNCTION("""COMPUTED_VALUE"""),"Avila Renteria")</f>
        <v>Avila Renteria</v>
      </c>
      <c r="G4486" s="6" t="str">
        <f>IFERROR(__xludf.DUMMYFUNCTION("""COMPUTED_VALUE"""),"08/29/2014")</f>
        <v>08/29/2014</v>
      </c>
      <c r="H4486" s="6" t="str">
        <f>IFERROR(__xludf.DUMMYFUNCTION("""COMPUTED_VALUE"""),"female")</f>
        <v>female</v>
      </c>
      <c r="I4486" s="6" t="str">
        <f>IFERROR(__xludf.DUMMYFUNCTION("""COMPUTED_VALUE"""),"Level 2")</f>
        <v>Level 2</v>
      </c>
      <c r="J4486" s="6" t="str">
        <f>IFERROR(__xludf.DUMMYFUNCTION("""COMPUTED_VALUE"""),"5")</f>
        <v>5</v>
      </c>
      <c r="K4486" s="6" t="str">
        <f>IFERROR(__xludf.DUMMYFUNCTION("""COMPUTED_VALUE"""),"samantha.avilarenteria@2hourlearning.com")</f>
        <v>samantha.avilarenteria@2hourlearning.com</v>
      </c>
      <c r="L4486" s="6" t="str">
        <f>IFERROR(__xludf.DUMMYFUNCTION("""COMPUTED_VALUE"""),"JHES - Hardeeville Elementary School")</f>
        <v>JHES - Hardeeville Elementary School</v>
      </c>
      <c r="M4486" s="6" t="str">
        <f>IFERROR(__xludf.DUMMYFUNCTION("""COMPUTED_VALUE"""),"")</f>
        <v/>
      </c>
      <c r="N4486" s="6" t="str">
        <f>IFERROR(__xludf.DUMMYFUNCTION("""COMPUTED_VALUE"""),"")</f>
        <v/>
      </c>
      <c r="O4486" s="87" t="str">
        <f>IFERROR(__xludf.DUMMYFUNCTION("""COMPUTED_VALUE"""),"https://drive.google.com/drive/folders/10T2cTQHqEJZqE-st6uFKPoI?usp=share_link")</f>
        <v>https://drive.google.com/drive/folders/10T2cTQHqEJZqE-st6uFKPoI?usp=share_link</v>
      </c>
      <c r="P4486" s="6" t="str">
        <f>IFERROR(__xludf.DUMMYFUNCTION("""COMPUTED_VALUE"""),"Samantha Avila Renteria")</f>
        <v>Samantha Avila Renteria</v>
      </c>
      <c r="Q4486" s="6" t="str">
        <f>IFERROR(__xludf.DUMMYFUNCTION("""COMPUTED_VALUE"""),"L2")</f>
        <v>L2</v>
      </c>
      <c r="R4486" s="6">
        <f>IFERROR(__xludf.DUMMYFUNCTION("""COMPUTED_VALUE"""),2.0)</f>
        <v>2</v>
      </c>
      <c r="S4486" s="6" t="str">
        <f>IFERROR(__xludf.DUMMYFUNCTION("""COMPUTED_VALUE""")," ")</f>
        <v> </v>
      </c>
      <c r="T4486" s="6" t="str">
        <f>IFERROR(__xludf.DUMMYFUNCTION("""COMPUTED_VALUE"""),"")</f>
        <v/>
      </c>
      <c r="U4486" s="6" t="str">
        <f>IFERROR(__xludf.DUMMYFUNCTION("""COMPUTED_VALUE"""),"5")</f>
        <v>5</v>
      </c>
      <c r="V4486" s="6" t="str">
        <f>IFERROR(__xludf.DUMMYFUNCTION("""COMPUTED_VALUE"""),"")</f>
        <v/>
      </c>
      <c r="W4486" s="6" t="str">
        <f>IFERROR(__xludf.DUMMYFUNCTION("""COMPUTED_VALUE"""),"[]")</f>
        <v>[]</v>
      </c>
      <c r="X4486" s="6" t="str">
        <f>IFERROR(__xludf.DUMMYFUNCTION("""COMPUTED_VALUE"""),"Enrolled")</f>
        <v>Enrolled</v>
      </c>
    </row>
    <row r="4487">
      <c r="A4487" s="6" t="str">
        <f>IFERROR(__xludf.DUMMYFUNCTION("""COMPUTED_VALUE"""),"083-11774")</f>
        <v>083-11774</v>
      </c>
      <c r="B4487" s="6" t="str">
        <f>IFERROR(__xludf.DUMMYFUNCTION("""COMPUTED_VALUE"""),"83")</f>
        <v>83</v>
      </c>
      <c r="C4487" s="6" t="str">
        <f>IFERROR(__xludf.DUMMYFUNCTION("""COMPUTED_VALUE"""),"11774")</f>
        <v>11774</v>
      </c>
      <c r="D4487" s="6" t="str">
        <f>IFERROR(__xludf.DUMMYFUNCTION("""COMPUTED_VALUE"""),"Axel Yael")</f>
        <v>Axel Yael</v>
      </c>
      <c r="E4487" s="6" t="str">
        <f>IFERROR(__xludf.DUMMYFUNCTION("""COMPUTED_VALUE"""),"")</f>
        <v/>
      </c>
      <c r="F4487" s="6" t="str">
        <f>IFERROR(__xludf.DUMMYFUNCTION("""COMPUTED_VALUE"""),"Barragan Navarete")</f>
        <v>Barragan Navarete</v>
      </c>
      <c r="G4487" s="6" t="str">
        <f>IFERROR(__xludf.DUMMYFUNCTION("""COMPUTED_VALUE"""),"11/05/2014")</f>
        <v>11/05/2014</v>
      </c>
      <c r="H4487" s="6" t="str">
        <f>IFERROR(__xludf.DUMMYFUNCTION("""COMPUTED_VALUE"""),"male")</f>
        <v>male</v>
      </c>
      <c r="I4487" s="6" t="str">
        <f>IFERROR(__xludf.DUMMYFUNCTION("""COMPUTED_VALUE"""),"Level 2")</f>
        <v>Level 2</v>
      </c>
      <c r="J4487" s="6" t="str">
        <f>IFERROR(__xludf.DUMMYFUNCTION("""COMPUTED_VALUE"""),"5")</f>
        <v>5</v>
      </c>
      <c r="K4487" s="6" t="str">
        <f>IFERROR(__xludf.DUMMYFUNCTION("""COMPUTED_VALUE"""),"axelyael.barragannavarete@2hourlearning.com")</f>
        <v>axelyael.barragannavarete@2hourlearning.com</v>
      </c>
      <c r="L4487" s="6" t="str">
        <f>IFERROR(__xludf.DUMMYFUNCTION("""COMPUTED_VALUE"""),"JHES - Hardeeville Elementary School")</f>
        <v>JHES - Hardeeville Elementary School</v>
      </c>
      <c r="M4487" s="6" t="str">
        <f>IFERROR(__xludf.DUMMYFUNCTION("""COMPUTED_VALUE"""),"")</f>
        <v/>
      </c>
      <c r="N4487" s="6" t="str">
        <f>IFERROR(__xludf.DUMMYFUNCTION("""COMPUTED_VALUE"""),"")</f>
        <v/>
      </c>
      <c r="O4487" s="87" t="str">
        <f>IFERROR(__xludf.DUMMYFUNCTION("""COMPUTED_VALUE"""),"https://drive.google.com/drive/folders/10T2cTQHqEJZqE-st6uFKPoI?usp=share_link")</f>
        <v>https://drive.google.com/drive/folders/10T2cTQHqEJZqE-st6uFKPoI?usp=share_link</v>
      </c>
      <c r="P4487" s="6" t="str">
        <f>IFERROR(__xludf.DUMMYFUNCTION("""COMPUTED_VALUE"""),"Axel Yael Barragan Navarete")</f>
        <v>Axel Yael Barragan Navarete</v>
      </c>
      <c r="Q4487" s="6" t="str">
        <f>IFERROR(__xludf.DUMMYFUNCTION("""COMPUTED_VALUE"""),"L2")</f>
        <v>L2</v>
      </c>
      <c r="R4487" s="6">
        <f>IFERROR(__xludf.DUMMYFUNCTION("""COMPUTED_VALUE"""),2.0)</f>
        <v>2</v>
      </c>
      <c r="S4487" s="6" t="str">
        <f>IFERROR(__xludf.DUMMYFUNCTION("""COMPUTED_VALUE""")," ")</f>
        <v> </v>
      </c>
      <c r="T4487" s="6" t="str">
        <f>IFERROR(__xludf.DUMMYFUNCTION("""COMPUTED_VALUE"""),"")</f>
        <v/>
      </c>
      <c r="U4487" s="6" t="str">
        <f>IFERROR(__xludf.DUMMYFUNCTION("""COMPUTED_VALUE"""),"5")</f>
        <v>5</v>
      </c>
      <c r="V4487" s="6" t="str">
        <f>IFERROR(__xludf.DUMMYFUNCTION("""COMPUTED_VALUE"""),"")</f>
        <v/>
      </c>
      <c r="W4487" s="6" t="str">
        <f>IFERROR(__xludf.DUMMYFUNCTION("""COMPUTED_VALUE"""),"[]")</f>
        <v>[]</v>
      </c>
      <c r="X4487" s="6" t="str">
        <f>IFERROR(__xludf.DUMMYFUNCTION("""COMPUTED_VALUE"""),"Enrolled")</f>
        <v>Enrolled</v>
      </c>
    </row>
    <row r="4488">
      <c r="A4488" s="6" t="str">
        <f>IFERROR(__xludf.DUMMYFUNCTION("""COMPUTED_VALUE"""),"083-11775")</f>
        <v>083-11775</v>
      </c>
      <c r="B4488" s="6" t="str">
        <f>IFERROR(__xludf.DUMMYFUNCTION("""COMPUTED_VALUE"""),"83")</f>
        <v>83</v>
      </c>
      <c r="C4488" s="6" t="str">
        <f>IFERROR(__xludf.DUMMYFUNCTION("""COMPUTED_VALUE"""),"11775")</f>
        <v>11775</v>
      </c>
      <c r="D4488" s="6" t="str">
        <f>IFERROR(__xludf.DUMMYFUNCTION("""COMPUTED_VALUE"""),"Javian")</f>
        <v>Javian</v>
      </c>
      <c r="E4488" s="6" t="str">
        <f>IFERROR(__xludf.DUMMYFUNCTION("""COMPUTED_VALUE"""),"")</f>
        <v/>
      </c>
      <c r="F4488" s="6" t="str">
        <f>IFERROR(__xludf.DUMMYFUNCTION("""COMPUTED_VALUE"""),"Brown")</f>
        <v>Brown</v>
      </c>
      <c r="G4488" s="6" t="str">
        <f>IFERROR(__xludf.DUMMYFUNCTION("""COMPUTED_VALUE"""),"07/02/2015")</f>
        <v>07/02/2015</v>
      </c>
      <c r="H4488" s="6" t="str">
        <f>IFERROR(__xludf.DUMMYFUNCTION("""COMPUTED_VALUE"""),"male")</f>
        <v>male</v>
      </c>
      <c r="I4488" s="6" t="str">
        <f>IFERROR(__xludf.DUMMYFUNCTION("""COMPUTED_VALUE"""),"Level 2")</f>
        <v>Level 2</v>
      </c>
      <c r="J4488" s="6" t="str">
        <f>IFERROR(__xludf.DUMMYFUNCTION("""COMPUTED_VALUE"""),"5")</f>
        <v>5</v>
      </c>
      <c r="K4488" s="6" t="str">
        <f>IFERROR(__xludf.DUMMYFUNCTION("""COMPUTED_VALUE"""),"javian.brown@2hourlearning.com")</f>
        <v>javian.brown@2hourlearning.com</v>
      </c>
      <c r="L4488" s="6" t="str">
        <f>IFERROR(__xludf.DUMMYFUNCTION("""COMPUTED_VALUE"""),"JHES - Hardeeville Elementary School")</f>
        <v>JHES - Hardeeville Elementary School</v>
      </c>
      <c r="M4488" s="6" t="str">
        <f>IFERROR(__xludf.DUMMYFUNCTION("""COMPUTED_VALUE"""),"")</f>
        <v/>
      </c>
      <c r="N4488" s="6" t="str">
        <f>IFERROR(__xludf.DUMMYFUNCTION("""COMPUTED_VALUE"""),"")</f>
        <v/>
      </c>
      <c r="O4488" s="87" t="str">
        <f>IFERROR(__xludf.DUMMYFUNCTION("""COMPUTED_VALUE"""),"https://drive.google.com/drive/folders/10T2cTQHqEJZqE-st6uFKPoI?usp=share_link")</f>
        <v>https://drive.google.com/drive/folders/10T2cTQHqEJZqE-st6uFKPoI?usp=share_link</v>
      </c>
      <c r="P4488" s="6" t="str">
        <f>IFERROR(__xludf.DUMMYFUNCTION("""COMPUTED_VALUE"""),"Javian Brown")</f>
        <v>Javian Brown</v>
      </c>
      <c r="Q4488" s="6" t="str">
        <f>IFERROR(__xludf.DUMMYFUNCTION("""COMPUTED_VALUE"""),"L2")</f>
        <v>L2</v>
      </c>
      <c r="R4488" s="6">
        <f>IFERROR(__xludf.DUMMYFUNCTION("""COMPUTED_VALUE"""),2.0)</f>
        <v>2</v>
      </c>
      <c r="S4488" s="6" t="str">
        <f>IFERROR(__xludf.DUMMYFUNCTION("""COMPUTED_VALUE""")," ")</f>
        <v> </v>
      </c>
      <c r="T4488" s="6" t="str">
        <f>IFERROR(__xludf.DUMMYFUNCTION("""COMPUTED_VALUE"""),"")</f>
        <v/>
      </c>
      <c r="U4488" s="6" t="str">
        <f>IFERROR(__xludf.DUMMYFUNCTION("""COMPUTED_VALUE"""),"5")</f>
        <v>5</v>
      </c>
      <c r="V4488" s="6" t="str">
        <f>IFERROR(__xludf.DUMMYFUNCTION("""COMPUTED_VALUE"""),"")</f>
        <v/>
      </c>
      <c r="W4488" s="6" t="str">
        <f>IFERROR(__xludf.DUMMYFUNCTION("""COMPUTED_VALUE"""),"[]")</f>
        <v>[]</v>
      </c>
      <c r="X4488" s="6" t="str">
        <f>IFERROR(__xludf.DUMMYFUNCTION("""COMPUTED_VALUE"""),"Enrolled")</f>
        <v>Enrolled</v>
      </c>
    </row>
    <row r="4489">
      <c r="A4489" s="6" t="str">
        <f>IFERROR(__xludf.DUMMYFUNCTION("""COMPUTED_VALUE"""),"083-11776")</f>
        <v>083-11776</v>
      </c>
      <c r="B4489" s="6" t="str">
        <f>IFERROR(__xludf.DUMMYFUNCTION("""COMPUTED_VALUE"""),"83")</f>
        <v>83</v>
      </c>
      <c r="C4489" s="6" t="str">
        <f>IFERROR(__xludf.DUMMYFUNCTION("""COMPUTED_VALUE"""),"11776")</f>
        <v>11776</v>
      </c>
      <c r="D4489" s="6" t="str">
        <f>IFERROR(__xludf.DUMMYFUNCTION("""COMPUTED_VALUE"""),"JΓÇÖOrane")</f>
        <v>JΓÇÖOrane</v>
      </c>
      <c r="E4489" s="6" t="str">
        <f>IFERROR(__xludf.DUMMYFUNCTION("""COMPUTED_VALUE"""),"")</f>
        <v/>
      </c>
      <c r="F4489" s="6" t="str">
        <f>IFERROR(__xludf.DUMMYFUNCTION("""COMPUTED_VALUE"""),"Calder")</f>
        <v>Calder</v>
      </c>
      <c r="G4489" s="6" t="str">
        <f>IFERROR(__xludf.DUMMYFUNCTION("""COMPUTED_VALUE"""),"10/23/2014")</f>
        <v>10/23/2014</v>
      </c>
      <c r="H4489" s="6" t="str">
        <f>IFERROR(__xludf.DUMMYFUNCTION("""COMPUTED_VALUE"""),"male")</f>
        <v>male</v>
      </c>
      <c r="I4489" s="6" t="str">
        <f>IFERROR(__xludf.DUMMYFUNCTION("""COMPUTED_VALUE"""),"Level 2")</f>
        <v>Level 2</v>
      </c>
      <c r="J4489" s="6" t="str">
        <f>IFERROR(__xludf.DUMMYFUNCTION("""COMPUTED_VALUE"""),"5")</f>
        <v>5</v>
      </c>
      <c r="K4489" s="6" t="str">
        <f>IFERROR(__xludf.DUMMYFUNCTION("""COMPUTED_VALUE"""),"jorane.calder@2hourlearning.com")</f>
        <v>jorane.calder@2hourlearning.com</v>
      </c>
      <c r="L4489" s="6" t="str">
        <f>IFERROR(__xludf.DUMMYFUNCTION("""COMPUTED_VALUE"""),"JHES - Hardeeville Elementary School")</f>
        <v>JHES - Hardeeville Elementary School</v>
      </c>
      <c r="M4489" s="6" t="str">
        <f>IFERROR(__xludf.DUMMYFUNCTION("""COMPUTED_VALUE"""),"")</f>
        <v/>
      </c>
      <c r="N4489" s="6" t="str">
        <f>IFERROR(__xludf.DUMMYFUNCTION("""COMPUTED_VALUE"""),"")</f>
        <v/>
      </c>
      <c r="O4489" s="87" t="str">
        <f>IFERROR(__xludf.DUMMYFUNCTION("""COMPUTED_VALUE"""),"https://drive.google.com/drive/folders/10T2cTQHqEJZqE-st6uFKPoI?usp=share_link")</f>
        <v>https://drive.google.com/drive/folders/10T2cTQHqEJZqE-st6uFKPoI?usp=share_link</v>
      </c>
      <c r="P4489" s="6" t="str">
        <f>IFERROR(__xludf.DUMMYFUNCTION("""COMPUTED_VALUE"""),"JΓÇÖOrane Calder")</f>
        <v>JΓÇÖOrane Calder</v>
      </c>
      <c r="Q4489" s="6" t="str">
        <f>IFERROR(__xludf.DUMMYFUNCTION("""COMPUTED_VALUE"""),"L2")</f>
        <v>L2</v>
      </c>
      <c r="R4489" s="6">
        <f>IFERROR(__xludf.DUMMYFUNCTION("""COMPUTED_VALUE"""),2.0)</f>
        <v>2</v>
      </c>
      <c r="S4489" s="6" t="str">
        <f>IFERROR(__xludf.DUMMYFUNCTION("""COMPUTED_VALUE""")," ")</f>
        <v> </v>
      </c>
      <c r="T4489" s="6" t="str">
        <f>IFERROR(__xludf.DUMMYFUNCTION("""COMPUTED_VALUE"""),"")</f>
        <v/>
      </c>
      <c r="U4489" s="6" t="str">
        <f>IFERROR(__xludf.DUMMYFUNCTION("""COMPUTED_VALUE"""),"5")</f>
        <v>5</v>
      </c>
      <c r="V4489" s="6" t="str">
        <f>IFERROR(__xludf.DUMMYFUNCTION("""COMPUTED_VALUE"""),"")</f>
        <v/>
      </c>
      <c r="W4489" s="6" t="str">
        <f>IFERROR(__xludf.DUMMYFUNCTION("""COMPUTED_VALUE"""),"[]")</f>
        <v>[]</v>
      </c>
      <c r="X4489" s="6" t="str">
        <f>IFERROR(__xludf.DUMMYFUNCTION("""COMPUTED_VALUE"""),"Enrolled")</f>
        <v>Enrolled</v>
      </c>
    </row>
    <row r="4490">
      <c r="A4490" s="6" t="str">
        <f>IFERROR(__xludf.DUMMYFUNCTION("""COMPUTED_VALUE"""),"083-11777")</f>
        <v>083-11777</v>
      </c>
      <c r="B4490" s="6" t="str">
        <f>IFERROR(__xludf.DUMMYFUNCTION("""COMPUTED_VALUE"""),"83")</f>
        <v>83</v>
      </c>
      <c r="C4490" s="6" t="str">
        <f>IFERROR(__xludf.DUMMYFUNCTION("""COMPUTED_VALUE"""),"11777")</f>
        <v>11777</v>
      </c>
      <c r="D4490" s="6" t="str">
        <f>IFERROR(__xludf.DUMMYFUNCTION("""COMPUTED_VALUE"""),"Yeliry D")</f>
        <v>Yeliry D</v>
      </c>
      <c r="E4490" s="6" t="str">
        <f>IFERROR(__xludf.DUMMYFUNCTION("""COMPUTED_VALUE"""),"")</f>
        <v/>
      </c>
      <c r="F4490" s="6" t="str">
        <f>IFERROR(__xludf.DUMMYFUNCTION("""COMPUTED_VALUE"""),"Castillo Martinez")</f>
        <v>Castillo Martinez</v>
      </c>
      <c r="G4490" s="6" t="str">
        <f>IFERROR(__xludf.DUMMYFUNCTION("""COMPUTED_VALUE"""),"05/01/2015")</f>
        <v>05/01/2015</v>
      </c>
      <c r="H4490" s="6" t="str">
        <f>IFERROR(__xludf.DUMMYFUNCTION("""COMPUTED_VALUE"""),"female")</f>
        <v>female</v>
      </c>
      <c r="I4490" s="6" t="str">
        <f>IFERROR(__xludf.DUMMYFUNCTION("""COMPUTED_VALUE"""),"Level 2")</f>
        <v>Level 2</v>
      </c>
      <c r="J4490" s="6" t="str">
        <f>IFERROR(__xludf.DUMMYFUNCTION("""COMPUTED_VALUE"""),"5")</f>
        <v>5</v>
      </c>
      <c r="K4490" s="6" t="str">
        <f>IFERROR(__xludf.DUMMYFUNCTION("""COMPUTED_VALUE"""),"yeliryd.castillomartinez@2hourlearning.com")</f>
        <v>yeliryd.castillomartinez@2hourlearning.com</v>
      </c>
      <c r="L4490" s="6" t="str">
        <f>IFERROR(__xludf.DUMMYFUNCTION("""COMPUTED_VALUE"""),"JHES - Hardeeville Elementary School")</f>
        <v>JHES - Hardeeville Elementary School</v>
      </c>
      <c r="M4490" s="6" t="str">
        <f>IFERROR(__xludf.DUMMYFUNCTION("""COMPUTED_VALUE"""),"")</f>
        <v/>
      </c>
      <c r="N4490" s="6" t="str">
        <f>IFERROR(__xludf.DUMMYFUNCTION("""COMPUTED_VALUE"""),"")</f>
        <v/>
      </c>
      <c r="O4490" s="87" t="str">
        <f>IFERROR(__xludf.DUMMYFUNCTION("""COMPUTED_VALUE"""),"https://drive.google.com/drive/folders/10T2cTQHqEJZqE-st6uFKPoI?usp=share_link")</f>
        <v>https://drive.google.com/drive/folders/10T2cTQHqEJZqE-st6uFKPoI?usp=share_link</v>
      </c>
      <c r="P4490" s="6" t="str">
        <f>IFERROR(__xludf.DUMMYFUNCTION("""COMPUTED_VALUE"""),"Yeliry D Castillo Martinez")</f>
        <v>Yeliry D Castillo Martinez</v>
      </c>
      <c r="Q4490" s="6" t="str">
        <f>IFERROR(__xludf.DUMMYFUNCTION("""COMPUTED_VALUE"""),"L2")</f>
        <v>L2</v>
      </c>
      <c r="R4490" s="6">
        <f>IFERROR(__xludf.DUMMYFUNCTION("""COMPUTED_VALUE"""),2.0)</f>
        <v>2</v>
      </c>
      <c r="S4490" s="6" t="str">
        <f>IFERROR(__xludf.DUMMYFUNCTION("""COMPUTED_VALUE""")," ")</f>
        <v> </v>
      </c>
      <c r="T4490" s="6" t="str">
        <f>IFERROR(__xludf.DUMMYFUNCTION("""COMPUTED_VALUE"""),"")</f>
        <v/>
      </c>
      <c r="U4490" s="6" t="str">
        <f>IFERROR(__xludf.DUMMYFUNCTION("""COMPUTED_VALUE"""),"5")</f>
        <v>5</v>
      </c>
      <c r="V4490" s="6" t="str">
        <f>IFERROR(__xludf.DUMMYFUNCTION("""COMPUTED_VALUE"""),"")</f>
        <v/>
      </c>
      <c r="W4490" s="6" t="str">
        <f>IFERROR(__xludf.DUMMYFUNCTION("""COMPUTED_VALUE"""),"[]")</f>
        <v>[]</v>
      </c>
      <c r="X4490" s="6" t="str">
        <f>IFERROR(__xludf.DUMMYFUNCTION("""COMPUTED_VALUE"""),"Enrolled")</f>
        <v>Enrolled</v>
      </c>
    </row>
    <row r="4491">
      <c r="A4491" s="6" t="str">
        <f>IFERROR(__xludf.DUMMYFUNCTION("""COMPUTED_VALUE"""),"083-11778")</f>
        <v>083-11778</v>
      </c>
      <c r="B4491" s="6" t="str">
        <f>IFERROR(__xludf.DUMMYFUNCTION("""COMPUTED_VALUE"""),"83")</f>
        <v>83</v>
      </c>
      <c r="C4491" s="6" t="str">
        <f>IFERROR(__xludf.DUMMYFUNCTION("""COMPUTED_VALUE"""),"11778")</f>
        <v>11778</v>
      </c>
      <c r="D4491" s="6" t="str">
        <f>IFERROR(__xludf.DUMMYFUNCTION("""COMPUTED_VALUE"""),"Antonio D")</f>
        <v>Antonio D</v>
      </c>
      <c r="E4491" s="6" t="str">
        <f>IFERROR(__xludf.DUMMYFUNCTION("""COMPUTED_VALUE"""),"")</f>
        <v/>
      </c>
      <c r="F4491" s="6" t="str">
        <f>IFERROR(__xludf.DUMMYFUNCTION("""COMPUTED_VALUE"""),"Cespedes")</f>
        <v>Cespedes</v>
      </c>
      <c r="G4491" s="6" t="str">
        <f>IFERROR(__xludf.DUMMYFUNCTION("""COMPUTED_VALUE"""),"12/09/2015")</f>
        <v>12/09/2015</v>
      </c>
      <c r="H4491" s="6" t="str">
        <f>IFERROR(__xludf.DUMMYFUNCTION("""COMPUTED_VALUE"""),"male")</f>
        <v>male</v>
      </c>
      <c r="I4491" s="6" t="str">
        <f>IFERROR(__xludf.DUMMYFUNCTION("""COMPUTED_VALUE"""),"Level 2")</f>
        <v>Level 2</v>
      </c>
      <c r="J4491" s="6" t="str">
        <f>IFERROR(__xludf.DUMMYFUNCTION("""COMPUTED_VALUE"""),"5")</f>
        <v>5</v>
      </c>
      <c r="K4491" s="6" t="str">
        <f>IFERROR(__xludf.DUMMYFUNCTION("""COMPUTED_VALUE"""),"antoniod.cespedes@2hourlearning.com")</f>
        <v>antoniod.cespedes@2hourlearning.com</v>
      </c>
      <c r="L4491" s="6" t="str">
        <f>IFERROR(__xludf.DUMMYFUNCTION("""COMPUTED_VALUE"""),"JHES - Hardeeville Elementary School")</f>
        <v>JHES - Hardeeville Elementary School</v>
      </c>
      <c r="M4491" s="6" t="str">
        <f>IFERROR(__xludf.DUMMYFUNCTION("""COMPUTED_VALUE"""),"")</f>
        <v/>
      </c>
      <c r="N4491" s="6" t="str">
        <f>IFERROR(__xludf.DUMMYFUNCTION("""COMPUTED_VALUE"""),"")</f>
        <v/>
      </c>
      <c r="O4491" s="87" t="str">
        <f>IFERROR(__xludf.DUMMYFUNCTION("""COMPUTED_VALUE"""),"https://drive.google.com/drive/folders/10T2cTQHqEJZqE-st6uFKPoI?usp=share_link")</f>
        <v>https://drive.google.com/drive/folders/10T2cTQHqEJZqE-st6uFKPoI?usp=share_link</v>
      </c>
      <c r="P4491" s="6" t="str">
        <f>IFERROR(__xludf.DUMMYFUNCTION("""COMPUTED_VALUE"""),"Antonio D Cespedes")</f>
        <v>Antonio D Cespedes</v>
      </c>
      <c r="Q4491" s="6" t="str">
        <f>IFERROR(__xludf.DUMMYFUNCTION("""COMPUTED_VALUE"""),"L2")</f>
        <v>L2</v>
      </c>
      <c r="R4491" s="6">
        <f>IFERROR(__xludf.DUMMYFUNCTION("""COMPUTED_VALUE"""),2.0)</f>
        <v>2</v>
      </c>
      <c r="S4491" s="6" t="str">
        <f>IFERROR(__xludf.DUMMYFUNCTION("""COMPUTED_VALUE""")," ")</f>
        <v> </v>
      </c>
      <c r="T4491" s="6" t="str">
        <f>IFERROR(__xludf.DUMMYFUNCTION("""COMPUTED_VALUE"""),"")</f>
        <v/>
      </c>
      <c r="U4491" s="6" t="str">
        <f>IFERROR(__xludf.DUMMYFUNCTION("""COMPUTED_VALUE"""),"5")</f>
        <v>5</v>
      </c>
      <c r="V4491" s="6" t="str">
        <f>IFERROR(__xludf.DUMMYFUNCTION("""COMPUTED_VALUE"""),"")</f>
        <v/>
      </c>
      <c r="W4491" s="6" t="str">
        <f>IFERROR(__xludf.DUMMYFUNCTION("""COMPUTED_VALUE"""),"[]")</f>
        <v>[]</v>
      </c>
      <c r="X4491" s="6" t="str">
        <f>IFERROR(__xludf.DUMMYFUNCTION("""COMPUTED_VALUE"""),"Enrolled")</f>
        <v>Enrolled</v>
      </c>
    </row>
    <row r="4492">
      <c r="A4492" s="6" t="str">
        <f>IFERROR(__xludf.DUMMYFUNCTION("""COMPUTED_VALUE"""),"083-11779")</f>
        <v>083-11779</v>
      </c>
      <c r="B4492" s="6" t="str">
        <f>IFERROR(__xludf.DUMMYFUNCTION("""COMPUTED_VALUE"""),"83")</f>
        <v>83</v>
      </c>
      <c r="C4492" s="6" t="str">
        <f>IFERROR(__xludf.DUMMYFUNCTION("""COMPUTED_VALUE"""),"11779")</f>
        <v>11779</v>
      </c>
      <c r="D4492" s="6" t="str">
        <f>IFERROR(__xludf.DUMMYFUNCTION("""COMPUTED_VALUE"""),"Cason")</f>
        <v>Cason</v>
      </c>
      <c r="E4492" s="6" t="str">
        <f>IFERROR(__xludf.DUMMYFUNCTION("""COMPUTED_VALUE"""),"")</f>
        <v/>
      </c>
      <c r="F4492" s="6" t="str">
        <f>IFERROR(__xludf.DUMMYFUNCTION("""COMPUTED_VALUE"""),"Compton")</f>
        <v>Compton</v>
      </c>
      <c r="G4492" s="6" t="str">
        <f>IFERROR(__xludf.DUMMYFUNCTION("""COMPUTED_VALUE"""),"04/27/2015")</f>
        <v>04/27/2015</v>
      </c>
      <c r="H4492" s="6" t="str">
        <f>IFERROR(__xludf.DUMMYFUNCTION("""COMPUTED_VALUE"""),"male")</f>
        <v>male</v>
      </c>
      <c r="I4492" s="6" t="str">
        <f>IFERROR(__xludf.DUMMYFUNCTION("""COMPUTED_VALUE"""),"Level 2")</f>
        <v>Level 2</v>
      </c>
      <c r="J4492" s="6" t="str">
        <f>IFERROR(__xludf.DUMMYFUNCTION("""COMPUTED_VALUE"""),"5")</f>
        <v>5</v>
      </c>
      <c r="K4492" s="6" t="str">
        <f>IFERROR(__xludf.DUMMYFUNCTION("""COMPUTED_VALUE"""),"cason.compton@2hourlearning.com")</f>
        <v>cason.compton@2hourlearning.com</v>
      </c>
      <c r="L4492" s="6" t="str">
        <f>IFERROR(__xludf.DUMMYFUNCTION("""COMPUTED_VALUE"""),"JHES - Hardeeville Elementary School")</f>
        <v>JHES - Hardeeville Elementary School</v>
      </c>
      <c r="M4492" s="6" t="str">
        <f>IFERROR(__xludf.DUMMYFUNCTION("""COMPUTED_VALUE"""),"")</f>
        <v/>
      </c>
      <c r="N4492" s="6" t="str">
        <f>IFERROR(__xludf.DUMMYFUNCTION("""COMPUTED_VALUE"""),"")</f>
        <v/>
      </c>
      <c r="O4492" s="87" t="str">
        <f>IFERROR(__xludf.DUMMYFUNCTION("""COMPUTED_VALUE"""),"https://drive.google.com/drive/folders/10T2cTQHqEJZqE-st6uFKPoI?usp=share_link")</f>
        <v>https://drive.google.com/drive/folders/10T2cTQHqEJZqE-st6uFKPoI?usp=share_link</v>
      </c>
      <c r="P4492" s="6" t="str">
        <f>IFERROR(__xludf.DUMMYFUNCTION("""COMPUTED_VALUE"""),"Cason Compton")</f>
        <v>Cason Compton</v>
      </c>
      <c r="Q4492" s="6" t="str">
        <f>IFERROR(__xludf.DUMMYFUNCTION("""COMPUTED_VALUE"""),"L2")</f>
        <v>L2</v>
      </c>
      <c r="R4492" s="6">
        <f>IFERROR(__xludf.DUMMYFUNCTION("""COMPUTED_VALUE"""),2.0)</f>
        <v>2</v>
      </c>
      <c r="S4492" s="6" t="str">
        <f>IFERROR(__xludf.DUMMYFUNCTION("""COMPUTED_VALUE""")," ")</f>
        <v> </v>
      </c>
      <c r="T4492" s="6" t="str">
        <f>IFERROR(__xludf.DUMMYFUNCTION("""COMPUTED_VALUE"""),"")</f>
        <v/>
      </c>
      <c r="U4492" s="6" t="str">
        <f>IFERROR(__xludf.DUMMYFUNCTION("""COMPUTED_VALUE"""),"5")</f>
        <v>5</v>
      </c>
      <c r="V4492" s="6" t="str">
        <f>IFERROR(__xludf.DUMMYFUNCTION("""COMPUTED_VALUE"""),"")</f>
        <v/>
      </c>
      <c r="W4492" s="6" t="str">
        <f>IFERROR(__xludf.DUMMYFUNCTION("""COMPUTED_VALUE"""),"[]")</f>
        <v>[]</v>
      </c>
      <c r="X4492" s="6" t="str">
        <f>IFERROR(__xludf.DUMMYFUNCTION("""COMPUTED_VALUE"""),"Enrolled")</f>
        <v>Enrolled</v>
      </c>
    </row>
    <row r="4493">
      <c r="A4493" s="6" t="str">
        <f>IFERROR(__xludf.DUMMYFUNCTION("""COMPUTED_VALUE"""),"083-11780")</f>
        <v>083-11780</v>
      </c>
      <c r="B4493" s="6" t="str">
        <f>IFERROR(__xludf.DUMMYFUNCTION("""COMPUTED_VALUE"""),"83")</f>
        <v>83</v>
      </c>
      <c r="C4493" s="6" t="str">
        <f>IFERROR(__xludf.DUMMYFUNCTION("""COMPUTED_VALUE"""),"11780")</f>
        <v>11780</v>
      </c>
      <c r="D4493" s="6" t="str">
        <f>IFERROR(__xludf.DUMMYFUNCTION("""COMPUTED_VALUE"""),"Raidelis")</f>
        <v>Raidelis</v>
      </c>
      <c r="E4493" s="6" t="str">
        <f>IFERROR(__xludf.DUMMYFUNCTION("""COMPUTED_VALUE"""),"")</f>
        <v/>
      </c>
      <c r="F4493" s="6" t="str">
        <f>IFERROR(__xludf.DUMMYFUNCTION("""COMPUTED_VALUE"""),"Diaz Correa")</f>
        <v>Diaz Correa</v>
      </c>
      <c r="G4493" s="6" t="str">
        <f>IFERROR(__xludf.DUMMYFUNCTION("""COMPUTED_VALUE"""),"10/30/2015")</f>
        <v>10/30/2015</v>
      </c>
      <c r="H4493" s="6" t="str">
        <f>IFERROR(__xludf.DUMMYFUNCTION("""COMPUTED_VALUE"""),"female")</f>
        <v>female</v>
      </c>
      <c r="I4493" s="6" t="str">
        <f>IFERROR(__xludf.DUMMYFUNCTION("""COMPUTED_VALUE"""),"Level 2")</f>
        <v>Level 2</v>
      </c>
      <c r="J4493" s="6" t="str">
        <f>IFERROR(__xludf.DUMMYFUNCTION("""COMPUTED_VALUE"""),"5")</f>
        <v>5</v>
      </c>
      <c r="K4493" s="6" t="str">
        <f>IFERROR(__xludf.DUMMYFUNCTION("""COMPUTED_VALUE"""),"raidelis.diazcorrea@2hourlearning.com")</f>
        <v>raidelis.diazcorrea@2hourlearning.com</v>
      </c>
      <c r="L4493" s="6" t="str">
        <f>IFERROR(__xludf.DUMMYFUNCTION("""COMPUTED_VALUE"""),"JHES - Hardeeville Elementary School")</f>
        <v>JHES - Hardeeville Elementary School</v>
      </c>
      <c r="M4493" s="6" t="str">
        <f>IFERROR(__xludf.DUMMYFUNCTION("""COMPUTED_VALUE"""),"")</f>
        <v/>
      </c>
      <c r="N4493" s="6" t="str">
        <f>IFERROR(__xludf.DUMMYFUNCTION("""COMPUTED_VALUE"""),"")</f>
        <v/>
      </c>
      <c r="O4493" s="87" t="str">
        <f>IFERROR(__xludf.DUMMYFUNCTION("""COMPUTED_VALUE"""),"https://drive.google.com/drive/folders/10T2cTQHqEJZqE-st6uFKPoI?usp=share_link")</f>
        <v>https://drive.google.com/drive/folders/10T2cTQHqEJZqE-st6uFKPoI?usp=share_link</v>
      </c>
      <c r="P4493" s="6" t="str">
        <f>IFERROR(__xludf.DUMMYFUNCTION("""COMPUTED_VALUE"""),"Raidelis Diaz Correa")</f>
        <v>Raidelis Diaz Correa</v>
      </c>
      <c r="Q4493" s="6" t="str">
        <f>IFERROR(__xludf.DUMMYFUNCTION("""COMPUTED_VALUE"""),"L2")</f>
        <v>L2</v>
      </c>
      <c r="R4493" s="6">
        <f>IFERROR(__xludf.DUMMYFUNCTION("""COMPUTED_VALUE"""),2.0)</f>
        <v>2</v>
      </c>
      <c r="S4493" s="6" t="str">
        <f>IFERROR(__xludf.DUMMYFUNCTION("""COMPUTED_VALUE""")," ")</f>
        <v> </v>
      </c>
      <c r="T4493" s="6" t="str">
        <f>IFERROR(__xludf.DUMMYFUNCTION("""COMPUTED_VALUE"""),"")</f>
        <v/>
      </c>
      <c r="U4493" s="6" t="str">
        <f>IFERROR(__xludf.DUMMYFUNCTION("""COMPUTED_VALUE"""),"5")</f>
        <v>5</v>
      </c>
      <c r="V4493" s="6" t="str">
        <f>IFERROR(__xludf.DUMMYFUNCTION("""COMPUTED_VALUE"""),"")</f>
        <v/>
      </c>
      <c r="W4493" s="6" t="str">
        <f>IFERROR(__xludf.DUMMYFUNCTION("""COMPUTED_VALUE"""),"[]")</f>
        <v>[]</v>
      </c>
      <c r="X4493" s="6" t="str">
        <f>IFERROR(__xludf.DUMMYFUNCTION("""COMPUTED_VALUE"""),"Enrolled")</f>
        <v>Enrolled</v>
      </c>
    </row>
    <row r="4494">
      <c r="A4494" s="6" t="str">
        <f>IFERROR(__xludf.DUMMYFUNCTION("""COMPUTED_VALUE"""),"083-11781")</f>
        <v>083-11781</v>
      </c>
      <c r="B4494" s="6" t="str">
        <f>IFERROR(__xludf.DUMMYFUNCTION("""COMPUTED_VALUE"""),"83")</f>
        <v>83</v>
      </c>
      <c r="C4494" s="6" t="str">
        <f>IFERROR(__xludf.DUMMYFUNCTION("""COMPUTED_VALUE"""),"11781")</f>
        <v>11781</v>
      </c>
      <c r="D4494" s="6" t="str">
        <f>IFERROR(__xludf.DUMMYFUNCTION("""COMPUTED_VALUE"""),"Raigan")</f>
        <v>Raigan</v>
      </c>
      <c r="E4494" s="6" t="str">
        <f>IFERROR(__xludf.DUMMYFUNCTION("""COMPUTED_VALUE"""),"")</f>
        <v/>
      </c>
      <c r="F4494" s="6" t="str">
        <f>IFERROR(__xludf.DUMMYFUNCTION("""COMPUTED_VALUE"""),"Dowers")</f>
        <v>Dowers</v>
      </c>
      <c r="G4494" s="6" t="str">
        <f>IFERROR(__xludf.DUMMYFUNCTION("""COMPUTED_VALUE"""),"11/05/2014")</f>
        <v>11/05/2014</v>
      </c>
      <c r="H4494" s="6" t="str">
        <f>IFERROR(__xludf.DUMMYFUNCTION("""COMPUTED_VALUE"""),"female")</f>
        <v>female</v>
      </c>
      <c r="I4494" s="6" t="str">
        <f>IFERROR(__xludf.DUMMYFUNCTION("""COMPUTED_VALUE"""),"Level 2")</f>
        <v>Level 2</v>
      </c>
      <c r="J4494" s="6" t="str">
        <f>IFERROR(__xludf.DUMMYFUNCTION("""COMPUTED_VALUE"""),"5")</f>
        <v>5</v>
      </c>
      <c r="K4494" s="6" t="str">
        <f>IFERROR(__xludf.DUMMYFUNCTION("""COMPUTED_VALUE"""),"raigan.dowers@2hourlearning.com")</f>
        <v>raigan.dowers@2hourlearning.com</v>
      </c>
      <c r="L4494" s="6" t="str">
        <f>IFERROR(__xludf.DUMMYFUNCTION("""COMPUTED_VALUE"""),"JHES - Hardeeville Elementary School")</f>
        <v>JHES - Hardeeville Elementary School</v>
      </c>
      <c r="M4494" s="6" t="str">
        <f>IFERROR(__xludf.DUMMYFUNCTION("""COMPUTED_VALUE"""),"")</f>
        <v/>
      </c>
      <c r="N4494" s="6" t="str">
        <f>IFERROR(__xludf.DUMMYFUNCTION("""COMPUTED_VALUE"""),"")</f>
        <v/>
      </c>
      <c r="O4494" s="87" t="str">
        <f>IFERROR(__xludf.DUMMYFUNCTION("""COMPUTED_VALUE"""),"https://drive.google.com/drive/folders/10T2cTQHqEJZqE-st6uFKPoI?usp=share_link")</f>
        <v>https://drive.google.com/drive/folders/10T2cTQHqEJZqE-st6uFKPoI?usp=share_link</v>
      </c>
      <c r="P4494" s="6" t="str">
        <f>IFERROR(__xludf.DUMMYFUNCTION("""COMPUTED_VALUE"""),"Raigan Dowers")</f>
        <v>Raigan Dowers</v>
      </c>
      <c r="Q4494" s="6" t="str">
        <f>IFERROR(__xludf.DUMMYFUNCTION("""COMPUTED_VALUE"""),"L2")</f>
        <v>L2</v>
      </c>
      <c r="R4494" s="6">
        <f>IFERROR(__xludf.DUMMYFUNCTION("""COMPUTED_VALUE"""),2.0)</f>
        <v>2</v>
      </c>
      <c r="S4494" s="6" t="str">
        <f>IFERROR(__xludf.DUMMYFUNCTION("""COMPUTED_VALUE""")," ")</f>
        <v> </v>
      </c>
      <c r="T4494" s="6" t="str">
        <f>IFERROR(__xludf.DUMMYFUNCTION("""COMPUTED_VALUE"""),"")</f>
        <v/>
      </c>
      <c r="U4494" s="6" t="str">
        <f>IFERROR(__xludf.DUMMYFUNCTION("""COMPUTED_VALUE"""),"5")</f>
        <v>5</v>
      </c>
      <c r="V4494" s="6" t="str">
        <f>IFERROR(__xludf.DUMMYFUNCTION("""COMPUTED_VALUE"""),"")</f>
        <v/>
      </c>
      <c r="W4494" s="6" t="str">
        <f>IFERROR(__xludf.DUMMYFUNCTION("""COMPUTED_VALUE"""),"[]")</f>
        <v>[]</v>
      </c>
      <c r="X4494" s="6" t="str">
        <f>IFERROR(__xludf.DUMMYFUNCTION("""COMPUTED_VALUE"""),"Enrolled")</f>
        <v>Enrolled</v>
      </c>
    </row>
    <row r="4495">
      <c r="A4495" s="6" t="str">
        <f>IFERROR(__xludf.DUMMYFUNCTION("""COMPUTED_VALUE"""),"083-11782")</f>
        <v>083-11782</v>
      </c>
      <c r="B4495" s="6" t="str">
        <f>IFERROR(__xludf.DUMMYFUNCTION("""COMPUTED_VALUE"""),"83")</f>
        <v>83</v>
      </c>
      <c r="C4495" s="6" t="str">
        <f>IFERROR(__xludf.DUMMYFUNCTION("""COMPUTED_VALUE"""),"11782")</f>
        <v>11782</v>
      </c>
      <c r="D4495" s="6" t="str">
        <f>IFERROR(__xludf.DUMMYFUNCTION("""COMPUTED_VALUE"""),"Hugo")</f>
        <v>Hugo</v>
      </c>
      <c r="E4495" s="6" t="str">
        <f>IFERROR(__xludf.DUMMYFUNCTION("""COMPUTED_VALUE"""),"")</f>
        <v/>
      </c>
      <c r="F4495" s="6" t="str">
        <f>IFERROR(__xludf.DUMMYFUNCTION("""COMPUTED_VALUE"""),"Espinosa-Vazques")</f>
        <v>Espinosa-Vazques</v>
      </c>
      <c r="G4495" s="6" t="str">
        <f>IFERROR(__xludf.DUMMYFUNCTION("""COMPUTED_VALUE"""),"10/27/2014")</f>
        <v>10/27/2014</v>
      </c>
      <c r="H4495" s="6" t="str">
        <f>IFERROR(__xludf.DUMMYFUNCTION("""COMPUTED_VALUE"""),"female")</f>
        <v>female</v>
      </c>
      <c r="I4495" s="6" t="str">
        <f>IFERROR(__xludf.DUMMYFUNCTION("""COMPUTED_VALUE"""),"Level 2")</f>
        <v>Level 2</v>
      </c>
      <c r="J4495" s="6" t="str">
        <f>IFERROR(__xludf.DUMMYFUNCTION("""COMPUTED_VALUE"""),"5")</f>
        <v>5</v>
      </c>
      <c r="K4495" s="6" t="str">
        <f>IFERROR(__xludf.DUMMYFUNCTION("""COMPUTED_VALUE"""),"hugo.espinosavazques@2hourlearning.com")</f>
        <v>hugo.espinosavazques@2hourlearning.com</v>
      </c>
      <c r="L4495" s="6" t="str">
        <f>IFERROR(__xludf.DUMMYFUNCTION("""COMPUTED_VALUE"""),"JHES - Hardeeville Elementary School")</f>
        <v>JHES - Hardeeville Elementary School</v>
      </c>
      <c r="M4495" s="6" t="str">
        <f>IFERROR(__xludf.DUMMYFUNCTION("""COMPUTED_VALUE"""),"")</f>
        <v/>
      </c>
      <c r="N4495" s="6" t="str">
        <f>IFERROR(__xludf.DUMMYFUNCTION("""COMPUTED_VALUE"""),"")</f>
        <v/>
      </c>
      <c r="O4495" s="87" t="str">
        <f>IFERROR(__xludf.DUMMYFUNCTION("""COMPUTED_VALUE"""),"https://drive.google.com/drive/folders/10T2cTQHqEJZqE-st6uFKPoI?usp=share_link")</f>
        <v>https://drive.google.com/drive/folders/10T2cTQHqEJZqE-st6uFKPoI?usp=share_link</v>
      </c>
      <c r="P4495" s="6" t="str">
        <f>IFERROR(__xludf.DUMMYFUNCTION("""COMPUTED_VALUE"""),"Hugo Espinosa-Vazques")</f>
        <v>Hugo Espinosa-Vazques</v>
      </c>
      <c r="Q4495" s="6" t="str">
        <f>IFERROR(__xludf.DUMMYFUNCTION("""COMPUTED_VALUE"""),"L2")</f>
        <v>L2</v>
      </c>
      <c r="R4495" s="6">
        <f>IFERROR(__xludf.DUMMYFUNCTION("""COMPUTED_VALUE"""),2.0)</f>
        <v>2</v>
      </c>
      <c r="S4495" s="6" t="str">
        <f>IFERROR(__xludf.DUMMYFUNCTION("""COMPUTED_VALUE""")," ")</f>
        <v> </v>
      </c>
      <c r="T4495" s="6" t="str">
        <f>IFERROR(__xludf.DUMMYFUNCTION("""COMPUTED_VALUE"""),"")</f>
        <v/>
      </c>
      <c r="U4495" s="6" t="str">
        <f>IFERROR(__xludf.DUMMYFUNCTION("""COMPUTED_VALUE"""),"5")</f>
        <v>5</v>
      </c>
      <c r="V4495" s="6" t="str">
        <f>IFERROR(__xludf.DUMMYFUNCTION("""COMPUTED_VALUE"""),"")</f>
        <v/>
      </c>
      <c r="W4495" s="6" t="str">
        <f>IFERROR(__xludf.DUMMYFUNCTION("""COMPUTED_VALUE"""),"[]")</f>
        <v>[]</v>
      </c>
      <c r="X4495" s="6" t="str">
        <f>IFERROR(__xludf.DUMMYFUNCTION("""COMPUTED_VALUE"""),"Enrolled")</f>
        <v>Enrolled</v>
      </c>
    </row>
    <row r="4496">
      <c r="A4496" s="6" t="str">
        <f>IFERROR(__xludf.DUMMYFUNCTION("""COMPUTED_VALUE"""),"083-11783")</f>
        <v>083-11783</v>
      </c>
      <c r="B4496" s="6" t="str">
        <f>IFERROR(__xludf.DUMMYFUNCTION("""COMPUTED_VALUE"""),"83")</f>
        <v>83</v>
      </c>
      <c r="C4496" s="6" t="str">
        <f>IFERROR(__xludf.DUMMYFUNCTION("""COMPUTED_VALUE"""),"11783")</f>
        <v>11783</v>
      </c>
      <c r="D4496" s="6" t="str">
        <f>IFERROR(__xludf.DUMMYFUNCTION("""COMPUTED_VALUE"""),"Kelvin")</f>
        <v>Kelvin</v>
      </c>
      <c r="E4496" s="6" t="str">
        <f>IFERROR(__xludf.DUMMYFUNCTION("""COMPUTED_VALUE"""),"")</f>
        <v/>
      </c>
      <c r="F4496" s="6" t="str">
        <f>IFERROR(__xludf.DUMMYFUNCTION("""COMPUTED_VALUE"""),"Fennell")</f>
        <v>Fennell</v>
      </c>
      <c r="G4496" s="6" t="str">
        <f>IFERROR(__xludf.DUMMYFUNCTION("""COMPUTED_VALUE"""),"02/04/2015")</f>
        <v>02/04/2015</v>
      </c>
      <c r="H4496" s="6" t="str">
        <f>IFERROR(__xludf.DUMMYFUNCTION("""COMPUTED_VALUE"""),"male")</f>
        <v>male</v>
      </c>
      <c r="I4496" s="6" t="str">
        <f>IFERROR(__xludf.DUMMYFUNCTION("""COMPUTED_VALUE"""),"Level 2")</f>
        <v>Level 2</v>
      </c>
      <c r="J4496" s="6" t="str">
        <f>IFERROR(__xludf.DUMMYFUNCTION("""COMPUTED_VALUE"""),"5")</f>
        <v>5</v>
      </c>
      <c r="K4496" s="6" t="str">
        <f>IFERROR(__xludf.DUMMYFUNCTION("""COMPUTED_VALUE"""),"kelvin.fennell@2hourlearning.com")</f>
        <v>kelvin.fennell@2hourlearning.com</v>
      </c>
      <c r="L4496" s="6" t="str">
        <f>IFERROR(__xludf.DUMMYFUNCTION("""COMPUTED_VALUE"""),"JHES - Hardeeville Elementary School")</f>
        <v>JHES - Hardeeville Elementary School</v>
      </c>
      <c r="M4496" s="6" t="str">
        <f>IFERROR(__xludf.DUMMYFUNCTION("""COMPUTED_VALUE"""),"")</f>
        <v/>
      </c>
      <c r="N4496" s="6" t="str">
        <f>IFERROR(__xludf.DUMMYFUNCTION("""COMPUTED_VALUE"""),"")</f>
        <v/>
      </c>
      <c r="O4496" s="87" t="str">
        <f>IFERROR(__xludf.DUMMYFUNCTION("""COMPUTED_VALUE"""),"https://drive.google.com/drive/folders/10T2cTQHqEJZqE-st6uFKPoI?usp=share_link")</f>
        <v>https://drive.google.com/drive/folders/10T2cTQHqEJZqE-st6uFKPoI?usp=share_link</v>
      </c>
      <c r="P4496" s="6" t="str">
        <f>IFERROR(__xludf.DUMMYFUNCTION("""COMPUTED_VALUE"""),"Kelvin Fennell")</f>
        <v>Kelvin Fennell</v>
      </c>
      <c r="Q4496" s="6" t="str">
        <f>IFERROR(__xludf.DUMMYFUNCTION("""COMPUTED_VALUE"""),"L2")</f>
        <v>L2</v>
      </c>
      <c r="R4496" s="6">
        <f>IFERROR(__xludf.DUMMYFUNCTION("""COMPUTED_VALUE"""),2.0)</f>
        <v>2</v>
      </c>
      <c r="S4496" s="6" t="str">
        <f>IFERROR(__xludf.DUMMYFUNCTION("""COMPUTED_VALUE""")," ")</f>
        <v> </v>
      </c>
      <c r="T4496" s="6" t="str">
        <f>IFERROR(__xludf.DUMMYFUNCTION("""COMPUTED_VALUE"""),"")</f>
        <v/>
      </c>
      <c r="U4496" s="6" t="str">
        <f>IFERROR(__xludf.DUMMYFUNCTION("""COMPUTED_VALUE"""),"5")</f>
        <v>5</v>
      </c>
      <c r="V4496" s="6" t="str">
        <f>IFERROR(__xludf.DUMMYFUNCTION("""COMPUTED_VALUE"""),"")</f>
        <v/>
      </c>
      <c r="W4496" s="6" t="str">
        <f>IFERROR(__xludf.DUMMYFUNCTION("""COMPUTED_VALUE"""),"[]")</f>
        <v>[]</v>
      </c>
      <c r="X4496" s="6" t="str">
        <f>IFERROR(__xludf.DUMMYFUNCTION("""COMPUTED_VALUE"""),"Enrolled")</f>
        <v>Enrolled</v>
      </c>
    </row>
    <row r="4497">
      <c r="A4497" s="6" t="str">
        <f>IFERROR(__xludf.DUMMYFUNCTION("""COMPUTED_VALUE"""),"083-11784")</f>
        <v>083-11784</v>
      </c>
      <c r="B4497" s="6" t="str">
        <f>IFERROR(__xludf.DUMMYFUNCTION("""COMPUTED_VALUE"""),"83")</f>
        <v>83</v>
      </c>
      <c r="C4497" s="6" t="str">
        <f>IFERROR(__xludf.DUMMYFUNCTION("""COMPUTED_VALUE"""),"11784")</f>
        <v>11784</v>
      </c>
      <c r="D4497" s="6" t="str">
        <f>IFERROR(__xludf.DUMMYFUNCTION("""COMPUTED_VALUE"""),"Kacidi")</f>
        <v>Kacidi</v>
      </c>
      <c r="E4497" s="6" t="str">
        <f>IFERROR(__xludf.DUMMYFUNCTION("""COMPUTED_VALUE"""),"")</f>
        <v/>
      </c>
      <c r="F4497" s="6" t="str">
        <f>IFERROR(__xludf.DUMMYFUNCTION("""COMPUTED_VALUE"""),"Gadson")</f>
        <v>Gadson</v>
      </c>
      <c r="G4497" s="6" t="str">
        <f>IFERROR(__xludf.DUMMYFUNCTION("""COMPUTED_VALUE"""),"02/08/2015")</f>
        <v>02/08/2015</v>
      </c>
      <c r="H4497" s="6" t="str">
        <f>IFERROR(__xludf.DUMMYFUNCTION("""COMPUTED_VALUE"""),"female")</f>
        <v>female</v>
      </c>
      <c r="I4497" s="6" t="str">
        <f>IFERROR(__xludf.DUMMYFUNCTION("""COMPUTED_VALUE"""),"Level 2")</f>
        <v>Level 2</v>
      </c>
      <c r="J4497" s="6" t="str">
        <f>IFERROR(__xludf.DUMMYFUNCTION("""COMPUTED_VALUE"""),"5")</f>
        <v>5</v>
      </c>
      <c r="K4497" s="6" t="str">
        <f>IFERROR(__xludf.DUMMYFUNCTION("""COMPUTED_VALUE"""),"kacidi.gadson@2hourlearning.com")</f>
        <v>kacidi.gadson@2hourlearning.com</v>
      </c>
      <c r="L4497" s="6" t="str">
        <f>IFERROR(__xludf.DUMMYFUNCTION("""COMPUTED_VALUE"""),"JHES - Hardeeville Elementary School")</f>
        <v>JHES - Hardeeville Elementary School</v>
      </c>
      <c r="M4497" s="6" t="str">
        <f>IFERROR(__xludf.DUMMYFUNCTION("""COMPUTED_VALUE"""),"")</f>
        <v/>
      </c>
      <c r="N4497" s="6" t="str">
        <f>IFERROR(__xludf.DUMMYFUNCTION("""COMPUTED_VALUE"""),"")</f>
        <v/>
      </c>
      <c r="O4497" s="87" t="str">
        <f>IFERROR(__xludf.DUMMYFUNCTION("""COMPUTED_VALUE"""),"https://drive.google.com/drive/folders/10T2cTQHqEJZqE-st6uFKPoI?usp=share_link")</f>
        <v>https://drive.google.com/drive/folders/10T2cTQHqEJZqE-st6uFKPoI?usp=share_link</v>
      </c>
      <c r="P4497" s="6" t="str">
        <f>IFERROR(__xludf.DUMMYFUNCTION("""COMPUTED_VALUE"""),"Kacidi Gadson")</f>
        <v>Kacidi Gadson</v>
      </c>
      <c r="Q4497" s="6" t="str">
        <f>IFERROR(__xludf.DUMMYFUNCTION("""COMPUTED_VALUE"""),"L2")</f>
        <v>L2</v>
      </c>
      <c r="R4497" s="6">
        <f>IFERROR(__xludf.DUMMYFUNCTION("""COMPUTED_VALUE"""),2.0)</f>
        <v>2</v>
      </c>
      <c r="S4497" s="6" t="str">
        <f>IFERROR(__xludf.DUMMYFUNCTION("""COMPUTED_VALUE""")," ")</f>
        <v> </v>
      </c>
      <c r="T4497" s="6" t="str">
        <f>IFERROR(__xludf.DUMMYFUNCTION("""COMPUTED_VALUE"""),"")</f>
        <v/>
      </c>
      <c r="U4497" s="6" t="str">
        <f>IFERROR(__xludf.DUMMYFUNCTION("""COMPUTED_VALUE"""),"5")</f>
        <v>5</v>
      </c>
      <c r="V4497" s="6" t="str">
        <f>IFERROR(__xludf.DUMMYFUNCTION("""COMPUTED_VALUE"""),"")</f>
        <v/>
      </c>
      <c r="W4497" s="6" t="str">
        <f>IFERROR(__xludf.DUMMYFUNCTION("""COMPUTED_VALUE"""),"[]")</f>
        <v>[]</v>
      </c>
      <c r="X4497" s="6" t="str">
        <f>IFERROR(__xludf.DUMMYFUNCTION("""COMPUTED_VALUE"""),"Enrolled")</f>
        <v>Enrolled</v>
      </c>
    </row>
    <row r="4498">
      <c r="A4498" s="6" t="str">
        <f>IFERROR(__xludf.DUMMYFUNCTION("""COMPUTED_VALUE"""),"083-11785")</f>
        <v>083-11785</v>
      </c>
      <c r="B4498" s="6" t="str">
        <f>IFERROR(__xludf.DUMMYFUNCTION("""COMPUTED_VALUE"""),"83")</f>
        <v>83</v>
      </c>
      <c r="C4498" s="6" t="str">
        <f>IFERROR(__xludf.DUMMYFUNCTION("""COMPUTED_VALUE"""),"11785")</f>
        <v>11785</v>
      </c>
      <c r="D4498" s="6" t="str">
        <f>IFERROR(__xludf.DUMMYFUNCTION("""COMPUTED_VALUE"""),"Jose")</f>
        <v>Jose</v>
      </c>
      <c r="E4498" s="6" t="str">
        <f>IFERROR(__xludf.DUMMYFUNCTION("""COMPUTED_VALUE"""),"")</f>
        <v/>
      </c>
      <c r="F4498" s="6" t="str">
        <f>IFERROR(__xludf.DUMMYFUNCTION("""COMPUTED_VALUE"""),"Galvan Lopez")</f>
        <v>Galvan Lopez</v>
      </c>
      <c r="G4498" s="6" t="str">
        <f>IFERROR(__xludf.DUMMYFUNCTION("""COMPUTED_VALUE"""),"02/08/2015")</f>
        <v>02/08/2015</v>
      </c>
      <c r="H4498" s="6" t="str">
        <f>IFERROR(__xludf.DUMMYFUNCTION("""COMPUTED_VALUE"""),"male")</f>
        <v>male</v>
      </c>
      <c r="I4498" s="6" t="str">
        <f>IFERROR(__xludf.DUMMYFUNCTION("""COMPUTED_VALUE"""),"Level 2")</f>
        <v>Level 2</v>
      </c>
      <c r="J4498" s="6" t="str">
        <f>IFERROR(__xludf.DUMMYFUNCTION("""COMPUTED_VALUE"""),"5")</f>
        <v>5</v>
      </c>
      <c r="K4498" s="6" t="str">
        <f>IFERROR(__xludf.DUMMYFUNCTION("""COMPUTED_VALUE"""),"jose.galvanlopez@2hourlearning.com")</f>
        <v>jose.galvanlopez@2hourlearning.com</v>
      </c>
      <c r="L4498" s="6" t="str">
        <f>IFERROR(__xludf.DUMMYFUNCTION("""COMPUTED_VALUE"""),"JHES - Hardeeville Elementary School")</f>
        <v>JHES - Hardeeville Elementary School</v>
      </c>
      <c r="M4498" s="6" t="str">
        <f>IFERROR(__xludf.DUMMYFUNCTION("""COMPUTED_VALUE"""),"")</f>
        <v/>
      </c>
      <c r="N4498" s="6" t="str">
        <f>IFERROR(__xludf.DUMMYFUNCTION("""COMPUTED_VALUE"""),"")</f>
        <v/>
      </c>
      <c r="O4498" s="87" t="str">
        <f>IFERROR(__xludf.DUMMYFUNCTION("""COMPUTED_VALUE"""),"https://drive.google.com/drive/folders/10T2cTQHqEJZqE-st6uFKPoI?usp=share_link")</f>
        <v>https://drive.google.com/drive/folders/10T2cTQHqEJZqE-st6uFKPoI?usp=share_link</v>
      </c>
      <c r="P4498" s="6" t="str">
        <f>IFERROR(__xludf.DUMMYFUNCTION("""COMPUTED_VALUE"""),"Jose Galvan Lopez")</f>
        <v>Jose Galvan Lopez</v>
      </c>
      <c r="Q4498" s="6" t="str">
        <f>IFERROR(__xludf.DUMMYFUNCTION("""COMPUTED_VALUE"""),"L2")</f>
        <v>L2</v>
      </c>
      <c r="R4498" s="6">
        <f>IFERROR(__xludf.DUMMYFUNCTION("""COMPUTED_VALUE"""),2.0)</f>
        <v>2</v>
      </c>
      <c r="S4498" s="6" t="str">
        <f>IFERROR(__xludf.DUMMYFUNCTION("""COMPUTED_VALUE""")," ")</f>
        <v> </v>
      </c>
      <c r="T4498" s="6" t="str">
        <f>IFERROR(__xludf.DUMMYFUNCTION("""COMPUTED_VALUE"""),"")</f>
        <v/>
      </c>
      <c r="U4498" s="6" t="str">
        <f>IFERROR(__xludf.DUMMYFUNCTION("""COMPUTED_VALUE"""),"5")</f>
        <v>5</v>
      </c>
      <c r="V4498" s="6" t="str">
        <f>IFERROR(__xludf.DUMMYFUNCTION("""COMPUTED_VALUE"""),"")</f>
        <v/>
      </c>
      <c r="W4498" s="6" t="str">
        <f>IFERROR(__xludf.DUMMYFUNCTION("""COMPUTED_VALUE"""),"[]")</f>
        <v>[]</v>
      </c>
      <c r="X4498" s="6" t="str">
        <f>IFERROR(__xludf.DUMMYFUNCTION("""COMPUTED_VALUE"""),"Enrolled")</f>
        <v>Enrolled</v>
      </c>
    </row>
    <row r="4499">
      <c r="A4499" s="6" t="str">
        <f>IFERROR(__xludf.DUMMYFUNCTION("""COMPUTED_VALUE"""),"083-11786")</f>
        <v>083-11786</v>
      </c>
      <c r="B4499" s="6" t="str">
        <f>IFERROR(__xludf.DUMMYFUNCTION("""COMPUTED_VALUE"""),"83")</f>
        <v>83</v>
      </c>
      <c r="C4499" s="6" t="str">
        <f>IFERROR(__xludf.DUMMYFUNCTION("""COMPUTED_VALUE"""),"11786")</f>
        <v>11786</v>
      </c>
      <c r="D4499" s="6" t="str">
        <f>IFERROR(__xludf.DUMMYFUNCTION("""COMPUTED_VALUE"""),"Samantha")</f>
        <v>Samantha</v>
      </c>
      <c r="E4499" s="6" t="str">
        <f>IFERROR(__xludf.DUMMYFUNCTION("""COMPUTED_VALUE"""),"")</f>
        <v/>
      </c>
      <c r="F4499" s="6" t="str">
        <f>IFERROR(__xludf.DUMMYFUNCTION("""COMPUTED_VALUE"""),"Garcia Lopez")</f>
        <v>Garcia Lopez</v>
      </c>
      <c r="G4499" s="6" t="str">
        <f>IFERROR(__xludf.DUMMYFUNCTION("""COMPUTED_VALUE"""),"02/28/2015")</f>
        <v>02/28/2015</v>
      </c>
      <c r="H4499" s="6" t="str">
        <f>IFERROR(__xludf.DUMMYFUNCTION("""COMPUTED_VALUE"""),"female")</f>
        <v>female</v>
      </c>
      <c r="I4499" s="6" t="str">
        <f>IFERROR(__xludf.DUMMYFUNCTION("""COMPUTED_VALUE"""),"Level 2")</f>
        <v>Level 2</v>
      </c>
      <c r="J4499" s="6" t="str">
        <f>IFERROR(__xludf.DUMMYFUNCTION("""COMPUTED_VALUE"""),"5")</f>
        <v>5</v>
      </c>
      <c r="K4499" s="6" t="str">
        <f>IFERROR(__xludf.DUMMYFUNCTION("""COMPUTED_VALUE"""),"samantha.garcialopez@2hourlearning.com")</f>
        <v>samantha.garcialopez@2hourlearning.com</v>
      </c>
      <c r="L4499" s="6" t="str">
        <f>IFERROR(__xludf.DUMMYFUNCTION("""COMPUTED_VALUE"""),"JHES - Hardeeville Elementary School")</f>
        <v>JHES - Hardeeville Elementary School</v>
      </c>
      <c r="M4499" s="6" t="str">
        <f>IFERROR(__xludf.DUMMYFUNCTION("""COMPUTED_VALUE"""),"")</f>
        <v/>
      </c>
      <c r="N4499" s="6" t="str">
        <f>IFERROR(__xludf.DUMMYFUNCTION("""COMPUTED_VALUE"""),"")</f>
        <v/>
      </c>
      <c r="O4499" s="87" t="str">
        <f>IFERROR(__xludf.DUMMYFUNCTION("""COMPUTED_VALUE"""),"https://drive.google.com/drive/folders/10T2cTQHqEJZqE-st6uFKPoI?usp=share_link")</f>
        <v>https://drive.google.com/drive/folders/10T2cTQHqEJZqE-st6uFKPoI?usp=share_link</v>
      </c>
      <c r="P4499" s="6" t="str">
        <f>IFERROR(__xludf.DUMMYFUNCTION("""COMPUTED_VALUE"""),"Samantha Garcia Lopez")</f>
        <v>Samantha Garcia Lopez</v>
      </c>
      <c r="Q4499" s="6" t="str">
        <f>IFERROR(__xludf.DUMMYFUNCTION("""COMPUTED_VALUE"""),"L2")</f>
        <v>L2</v>
      </c>
      <c r="R4499" s="6">
        <f>IFERROR(__xludf.DUMMYFUNCTION("""COMPUTED_VALUE"""),2.0)</f>
        <v>2</v>
      </c>
      <c r="S4499" s="6" t="str">
        <f>IFERROR(__xludf.DUMMYFUNCTION("""COMPUTED_VALUE""")," ")</f>
        <v> </v>
      </c>
      <c r="T4499" s="6" t="str">
        <f>IFERROR(__xludf.DUMMYFUNCTION("""COMPUTED_VALUE"""),"")</f>
        <v/>
      </c>
      <c r="U4499" s="6" t="str">
        <f>IFERROR(__xludf.DUMMYFUNCTION("""COMPUTED_VALUE"""),"5")</f>
        <v>5</v>
      </c>
      <c r="V4499" s="6" t="str">
        <f>IFERROR(__xludf.DUMMYFUNCTION("""COMPUTED_VALUE"""),"")</f>
        <v/>
      </c>
      <c r="W4499" s="6" t="str">
        <f>IFERROR(__xludf.DUMMYFUNCTION("""COMPUTED_VALUE"""),"[]")</f>
        <v>[]</v>
      </c>
      <c r="X4499" s="6" t="str">
        <f>IFERROR(__xludf.DUMMYFUNCTION("""COMPUTED_VALUE"""),"Enrolled")</f>
        <v>Enrolled</v>
      </c>
    </row>
    <row r="4500">
      <c r="A4500" s="6" t="str">
        <f>IFERROR(__xludf.DUMMYFUNCTION("""COMPUTED_VALUE"""),"083-11787")</f>
        <v>083-11787</v>
      </c>
      <c r="B4500" s="6" t="str">
        <f>IFERROR(__xludf.DUMMYFUNCTION("""COMPUTED_VALUE"""),"83")</f>
        <v>83</v>
      </c>
      <c r="C4500" s="6" t="str">
        <f>IFERROR(__xludf.DUMMYFUNCTION("""COMPUTED_VALUE"""),"11787")</f>
        <v>11787</v>
      </c>
      <c r="D4500" s="6" t="str">
        <f>IFERROR(__xludf.DUMMYFUNCTION("""COMPUTED_VALUE"""),"Valeria")</f>
        <v>Valeria</v>
      </c>
      <c r="E4500" s="6" t="str">
        <f>IFERROR(__xludf.DUMMYFUNCTION("""COMPUTED_VALUE"""),"")</f>
        <v/>
      </c>
      <c r="F4500" s="6" t="str">
        <f>IFERROR(__xludf.DUMMYFUNCTION("""COMPUTED_VALUE"""),"Garcia Maldonado")</f>
        <v>Garcia Maldonado</v>
      </c>
      <c r="G4500" s="6" t="str">
        <f>IFERROR(__xludf.DUMMYFUNCTION("""COMPUTED_VALUE"""),"03/05/2015")</f>
        <v>03/05/2015</v>
      </c>
      <c r="H4500" s="6" t="str">
        <f>IFERROR(__xludf.DUMMYFUNCTION("""COMPUTED_VALUE"""),"female")</f>
        <v>female</v>
      </c>
      <c r="I4500" s="6" t="str">
        <f>IFERROR(__xludf.DUMMYFUNCTION("""COMPUTED_VALUE"""),"Level 2")</f>
        <v>Level 2</v>
      </c>
      <c r="J4500" s="6" t="str">
        <f>IFERROR(__xludf.DUMMYFUNCTION("""COMPUTED_VALUE"""),"5")</f>
        <v>5</v>
      </c>
      <c r="K4500" s="6" t="str">
        <f>IFERROR(__xludf.DUMMYFUNCTION("""COMPUTED_VALUE"""),"valeria.garciamaldonado@2hourlearning.com")</f>
        <v>valeria.garciamaldonado@2hourlearning.com</v>
      </c>
      <c r="L4500" s="6" t="str">
        <f>IFERROR(__xludf.DUMMYFUNCTION("""COMPUTED_VALUE"""),"JHES - Hardeeville Elementary School")</f>
        <v>JHES - Hardeeville Elementary School</v>
      </c>
      <c r="M4500" s="6" t="str">
        <f>IFERROR(__xludf.DUMMYFUNCTION("""COMPUTED_VALUE"""),"")</f>
        <v/>
      </c>
      <c r="N4500" s="6" t="str">
        <f>IFERROR(__xludf.DUMMYFUNCTION("""COMPUTED_VALUE"""),"")</f>
        <v/>
      </c>
      <c r="O4500" s="87" t="str">
        <f>IFERROR(__xludf.DUMMYFUNCTION("""COMPUTED_VALUE"""),"https://drive.google.com/drive/folders/10T2cTQHqEJZqE-st6uFKPoI?usp=share_link")</f>
        <v>https://drive.google.com/drive/folders/10T2cTQHqEJZqE-st6uFKPoI?usp=share_link</v>
      </c>
      <c r="P4500" s="6" t="str">
        <f>IFERROR(__xludf.DUMMYFUNCTION("""COMPUTED_VALUE"""),"Valeria Garcia Maldonado")</f>
        <v>Valeria Garcia Maldonado</v>
      </c>
      <c r="Q4500" s="6" t="str">
        <f>IFERROR(__xludf.DUMMYFUNCTION("""COMPUTED_VALUE"""),"L2")</f>
        <v>L2</v>
      </c>
      <c r="R4500" s="6">
        <f>IFERROR(__xludf.DUMMYFUNCTION("""COMPUTED_VALUE"""),2.0)</f>
        <v>2</v>
      </c>
      <c r="S4500" s="6" t="str">
        <f>IFERROR(__xludf.DUMMYFUNCTION("""COMPUTED_VALUE""")," ")</f>
        <v> </v>
      </c>
      <c r="T4500" s="6" t="str">
        <f>IFERROR(__xludf.DUMMYFUNCTION("""COMPUTED_VALUE"""),"")</f>
        <v/>
      </c>
      <c r="U4500" s="6" t="str">
        <f>IFERROR(__xludf.DUMMYFUNCTION("""COMPUTED_VALUE"""),"5")</f>
        <v>5</v>
      </c>
      <c r="V4500" s="6" t="str">
        <f>IFERROR(__xludf.DUMMYFUNCTION("""COMPUTED_VALUE"""),"")</f>
        <v/>
      </c>
      <c r="W4500" s="6" t="str">
        <f>IFERROR(__xludf.DUMMYFUNCTION("""COMPUTED_VALUE"""),"[]")</f>
        <v>[]</v>
      </c>
      <c r="X4500" s="6" t="str">
        <f>IFERROR(__xludf.DUMMYFUNCTION("""COMPUTED_VALUE"""),"Enrolled")</f>
        <v>Enrolled</v>
      </c>
    </row>
    <row r="4501">
      <c r="A4501" s="6" t="str">
        <f>IFERROR(__xludf.DUMMYFUNCTION("""COMPUTED_VALUE"""),"083-11788")</f>
        <v>083-11788</v>
      </c>
      <c r="B4501" s="6" t="str">
        <f>IFERROR(__xludf.DUMMYFUNCTION("""COMPUTED_VALUE"""),"83")</f>
        <v>83</v>
      </c>
      <c r="C4501" s="6" t="str">
        <f>IFERROR(__xludf.DUMMYFUNCTION("""COMPUTED_VALUE"""),"11788")</f>
        <v>11788</v>
      </c>
      <c r="D4501" s="6" t="str">
        <f>IFERROR(__xludf.DUMMYFUNCTION("""COMPUTED_VALUE"""),"Nolvin")</f>
        <v>Nolvin</v>
      </c>
      <c r="E4501" s="6" t="str">
        <f>IFERROR(__xludf.DUMMYFUNCTION("""COMPUTED_VALUE"""),"")</f>
        <v/>
      </c>
      <c r="F4501" s="6" t="str">
        <f>IFERROR(__xludf.DUMMYFUNCTION("""COMPUTED_VALUE"""),"Garcia-Garcia")</f>
        <v>Garcia-Garcia</v>
      </c>
      <c r="G4501" s="6" t="str">
        <f>IFERROR(__xludf.DUMMYFUNCTION("""COMPUTED_VALUE"""),"11/23/2013")</f>
        <v>11/23/2013</v>
      </c>
      <c r="H4501" s="6" t="str">
        <f>IFERROR(__xludf.DUMMYFUNCTION("""COMPUTED_VALUE"""),"male")</f>
        <v>male</v>
      </c>
      <c r="I4501" s="6" t="str">
        <f>IFERROR(__xludf.DUMMYFUNCTION("""COMPUTED_VALUE"""),"Level 2")</f>
        <v>Level 2</v>
      </c>
      <c r="J4501" s="6" t="str">
        <f>IFERROR(__xludf.DUMMYFUNCTION("""COMPUTED_VALUE"""),"5")</f>
        <v>5</v>
      </c>
      <c r="K4501" s="6" t="str">
        <f>IFERROR(__xludf.DUMMYFUNCTION("""COMPUTED_VALUE"""),"nolvin.garciagarcia@2hourlearning.com")</f>
        <v>nolvin.garciagarcia@2hourlearning.com</v>
      </c>
      <c r="L4501" s="6" t="str">
        <f>IFERROR(__xludf.DUMMYFUNCTION("""COMPUTED_VALUE"""),"JHES - Hardeeville Elementary School")</f>
        <v>JHES - Hardeeville Elementary School</v>
      </c>
      <c r="M4501" s="6" t="str">
        <f>IFERROR(__xludf.DUMMYFUNCTION("""COMPUTED_VALUE"""),"")</f>
        <v/>
      </c>
      <c r="N4501" s="6" t="str">
        <f>IFERROR(__xludf.DUMMYFUNCTION("""COMPUTED_VALUE"""),"")</f>
        <v/>
      </c>
      <c r="O4501" s="87" t="str">
        <f>IFERROR(__xludf.DUMMYFUNCTION("""COMPUTED_VALUE"""),"https://drive.google.com/drive/folders/10T2cTQHqEJZqE-st6uFKPoI?usp=share_link")</f>
        <v>https://drive.google.com/drive/folders/10T2cTQHqEJZqE-st6uFKPoI?usp=share_link</v>
      </c>
      <c r="P4501" s="6" t="str">
        <f>IFERROR(__xludf.DUMMYFUNCTION("""COMPUTED_VALUE"""),"Nolvin Garcia-Garcia")</f>
        <v>Nolvin Garcia-Garcia</v>
      </c>
      <c r="Q4501" s="6" t="str">
        <f>IFERROR(__xludf.DUMMYFUNCTION("""COMPUTED_VALUE"""),"L2")</f>
        <v>L2</v>
      </c>
      <c r="R4501" s="6">
        <f>IFERROR(__xludf.DUMMYFUNCTION("""COMPUTED_VALUE"""),2.0)</f>
        <v>2</v>
      </c>
      <c r="S4501" s="6" t="str">
        <f>IFERROR(__xludf.DUMMYFUNCTION("""COMPUTED_VALUE""")," ")</f>
        <v> </v>
      </c>
      <c r="T4501" s="6" t="str">
        <f>IFERROR(__xludf.DUMMYFUNCTION("""COMPUTED_VALUE"""),"")</f>
        <v/>
      </c>
      <c r="U4501" s="6" t="str">
        <f>IFERROR(__xludf.DUMMYFUNCTION("""COMPUTED_VALUE"""),"5")</f>
        <v>5</v>
      </c>
      <c r="V4501" s="6" t="str">
        <f>IFERROR(__xludf.DUMMYFUNCTION("""COMPUTED_VALUE"""),"")</f>
        <v/>
      </c>
      <c r="W4501" s="6" t="str">
        <f>IFERROR(__xludf.DUMMYFUNCTION("""COMPUTED_VALUE"""),"[]")</f>
        <v>[]</v>
      </c>
      <c r="X4501" s="6" t="str">
        <f>IFERROR(__xludf.DUMMYFUNCTION("""COMPUTED_VALUE"""),"Enrolled")</f>
        <v>Enrolled</v>
      </c>
    </row>
    <row r="4502">
      <c r="A4502" s="6" t="str">
        <f>IFERROR(__xludf.DUMMYFUNCTION("""COMPUTED_VALUE"""),"083-11789")</f>
        <v>083-11789</v>
      </c>
      <c r="B4502" s="6" t="str">
        <f>IFERROR(__xludf.DUMMYFUNCTION("""COMPUTED_VALUE"""),"83")</f>
        <v>83</v>
      </c>
      <c r="C4502" s="6" t="str">
        <f>IFERROR(__xludf.DUMMYFUNCTION("""COMPUTED_VALUE"""),"11789")</f>
        <v>11789</v>
      </c>
      <c r="D4502" s="6" t="str">
        <f>IFERROR(__xludf.DUMMYFUNCTION("""COMPUTED_VALUE"""),"Benancio")</f>
        <v>Benancio</v>
      </c>
      <c r="E4502" s="6" t="str">
        <f>IFERROR(__xludf.DUMMYFUNCTION("""COMPUTED_VALUE"""),"")</f>
        <v/>
      </c>
      <c r="F4502" s="6" t="str">
        <f>IFERROR(__xludf.DUMMYFUNCTION("""COMPUTED_VALUE"""),"Garcia-Jaimes")</f>
        <v>Garcia-Jaimes</v>
      </c>
      <c r="G4502" s="6" t="str">
        <f>IFERROR(__xludf.DUMMYFUNCTION("""COMPUTED_VALUE"""),"11/10/2014")</f>
        <v>11/10/2014</v>
      </c>
      <c r="H4502" s="6" t="str">
        <f>IFERROR(__xludf.DUMMYFUNCTION("""COMPUTED_VALUE"""),"male")</f>
        <v>male</v>
      </c>
      <c r="I4502" s="6" t="str">
        <f>IFERROR(__xludf.DUMMYFUNCTION("""COMPUTED_VALUE"""),"Level 2")</f>
        <v>Level 2</v>
      </c>
      <c r="J4502" s="6" t="str">
        <f>IFERROR(__xludf.DUMMYFUNCTION("""COMPUTED_VALUE"""),"5")</f>
        <v>5</v>
      </c>
      <c r="K4502" s="6" t="str">
        <f>IFERROR(__xludf.DUMMYFUNCTION("""COMPUTED_VALUE"""),"benancio.garciajaimes@2hourlearning.com")</f>
        <v>benancio.garciajaimes@2hourlearning.com</v>
      </c>
      <c r="L4502" s="6" t="str">
        <f>IFERROR(__xludf.DUMMYFUNCTION("""COMPUTED_VALUE"""),"JHES - Hardeeville Elementary School")</f>
        <v>JHES - Hardeeville Elementary School</v>
      </c>
      <c r="M4502" s="6" t="str">
        <f>IFERROR(__xludf.DUMMYFUNCTION("""COMPUTED_VALUE"""),"")</f>
        <v/>
      </c>
      <c r="N4502" s="6" t="str">
        <f>IFERROR(__xludf.DUMMYFUNCTION("""COMPUTED_VALUE"""),"")</f>
        <v/>
      </c>
      <c r="O4502" s="87" t="str">
        <f>IFERROR(__xludf.DUMMYFUNCTION("""COMPUTED_VALUE"""),"https://drive.google.com/drive/folders/10T2cTQHqEJZqE-st6uFKPoI?usp=share_link")</f>
        <v>https://drive.google.com/drive/folders/10T2cTQHqEJZqE-st6uFKPoI?usp=share_link</v>
      </c>
      <c r="P4502" s="6" t="str">
        <f>IFERROR(__xludf.DUMMYFUNCTION("""COMPUTED_VALUE"""),"Benancio Garcia-Jaimes")</f>
        <v>Benancio Garcia-Jaimes</v>
      </c>
      <c r="Q4502" s="6" t="str">
        <f>IFERROR(__xludf.DUMMYFUNCTION("""COMPUTED_VALUE"""),"L2")</f>
        <v>L2</v>
      </c>
      <c r="R4502" s="6">
        <f>IFERROR(__xludf.DUMMYFUNCTION("""COMPUTED_VALUE"""),2.0)</f>
        <v>2</v>
      </c>
      <c r="S4502" s="6" t="str">
        <f>IFERROR(__xludf.DUMMYFUNCTION("""COMPUTED_VALUE""")," ")</f>
        <v> </v>
      </c>
      <c r="T4502" s="6" t="str">
        <f>IFERROR(__xludf.DUMMYFUNCTION("""COMPUTED_VALUE"""),"")</f>
        <v/>
      </c>
      <c r="U4502" s="6" t="str">
        <f>IFERROR(__xludf.DUMMYFUNCTION("""COMPUTED_VALUE"""),"5")</f>
        <v>5</v>
      </c>
      <c r="V4502" s="6" t="str">
        <f>IFERROR(__xludf.DUMMYFUNCTION("""COMPUTED_VALUE"""),"")</f>
        <v/>
      </c>
      <c r="W4502" s="6" t="str">
        <f>IFERROR(__xludf.DUMMYFUNCTION("""COMPUTED_VALUE"""),"[]")</f>
        <v>[]</v>
      </c>
      <c r="X4502" s="6" t="str">
        <f>IFERROR(__xludf.DUMMYFUNCTION("""COMPUTED_VALUE"""),"Enrolled")</f>
        <v>Enrolled</v>
      </c>
    </row>
    <row r="4503">
      <c r="A4503" s="6" t="str">
        <f>IFERROR(__xludf.DUMMYFUNCTION("""COMPUTED_VALUE"""),"083-11790")</f>
        <v>083-11790</v>
      </c>
      <c r="B4503" s="6" t="str">
        <f>IFERROR(__xludf.DUMMYFUNCTION("""COMPUTED_VALUE"""),"83")</f>
        <v>83</v>
      </c>
      <c r="C4503" s="6" t="str">
        <f>IFERROR(__xludf.DUMMYFUNCTION("""COMPUTED_VALUE"""),"11790")</f>
        <v>11790</v>
      </c>
      <c r="D4503" s="6" t="str">
        <f>IFERROR(__xludf.DUMMYFUNCTION("""COMPUTED_VALUE"""),"London")</f>
        <v>London</v>
      </c>
      <c r="E4503" s="6" t="str">
        <f>IFERROR(__xludf.DUMMYFUNCTION("""COMPUTED_VALUE"""),"")</f>
        <v/>
      </c>
      <c r="F4503" s="6" t="str">
        <f>IFERROR(__xludf.DUMMYFUNCTION("""COMPUTED_VALUE"""),"Gardner")</f>
        <v>Gardner</v>
      </c>
      <c r="G4503" s="6" t="str">
        <f>IFERROR(__xludf.DUMMYFUNCTION("""COMPUTED_VALUE"""),"11/30/2014")</f>
        <v>11/30/2014</v>
      </c>
      <c r="H4503" s="6" t="str">
        <f>IFERROR(__xludf.DUMMYFUNCTION("""COMPUTED_VALUE"""),"female")</f>
        <v>female</v>
      </c>
      <c r="I4503" s="6" t="str">
        <f>IFERROR(__xludf.DUMMYFUNCTION("""COMPUTED_VALUE"""),"Level 2")</f>
        <v>Level 2</v>
      </c>
      <c r="J4503" s="6" t="str">
        <f>IFERROR(__xludf.DUMMYFUNCTION("""COMPUTED_VALUE"""),"5")</f>
        <v>5</v>
      </c>
      <c r="K4503" s="6" t="str">
        <f>IFERROR(__xludf.DUMMYFUNCTION("""COMPUTED_VALUE"""),"london.gardner@2hourlearning.com")</f>
        <v>london.gardner@2hourlearning.com</v>
      </c>
      <c r="L4503" s="6" t="str">
        <f>IFERROR(__xludf.DUMMYFUNCTION("""COMPUTED_VALUE"""),"JHES - Hardeeville Elementary School")</f>
        <v>JHES - Hardeeville Elementary School</v>
      </c>
      <c r="M4503" s="6" t="str">
        <f>IFERROR(__xludf.DUMMYFUNCTION("""COMPUTED_VALUE"""),"")</f>
        <v/>
      </c>
      <c r="N4503" s="6" t="str">
        <f>IFERROR(__xludf.DUMMYFUNCTION("""COMPUTED_VALUE"""),"")</f>
        <v/>
      </c>
      <c r="O4503" s="87" t="str">
        <f>IFERROR(__xludf.DUMMYFUNCTION("""COMPUTED_VALUE"""),"https://drive.google.com/drive/folders/10T2cTQHqEJZqE-st6uFKPoI?usp=share_link")</f>
        <v>https://drive.google.com/drive/folders/10T2cTQHqEJZqE-st6uFKPoI?usp=share_link</v>
      </c>
      <c r="P4503" s="6" t="str">
        <f>IFERROR(__xludf.DUMMYFUNCTION("""COMPUTED_VALUE"""),"London Gardner")</f>
        <v>London Gardner</v>
      </c>
      <c r="Q4503" s="6" t="str">
        <f>IFERROR(__xludf.DUMMYFUNCTION("""COMPUTED_VALUE"""),"L2")</f>
        <v>L2</v>
      </c>
      <c r="R4503" s="6">
        <f>IFERROR(__xludf.DUMMYFUNCTION("""COMPUTED_VALUE"""),2.0)</f>
        <v>2</v>
      </c>
      <c r="S4503" s="6" t="str">
        <f>IFERROR(__xludf.DUMMYFUNCTION("""COMPUTED_VALUE""")," ")</f>
        <v> </v>
      </c>
      <c r="T4503" s="6" t="str">
        <f>IFERROR(__xludf.DUMMYFUNCTION("""COMPUTED_VALUE"""),"")</f>
        <v/>
      </c>
      <c r="U4503" s="6" t="str">
        <f>IFERROR(__xludf.DUMMYFUNCTION("""COMPUTED_VALUE"""),"5")</f>
        <v>5</v>
      </c>
      <c r="V4503" s="6" t="str">
        <f>IFERROR(__xludf.DUMMYFUNCTION("""COMPUTED_VALUE"""),"")</f>
        <v/>
      </c>
      <c r="W4503" s="6" t="str">
        <f>IFERROR(__xludf.DUMMYFUNCTION("""COMPUTED_VALUE"""),"[]")</f>
        <v>[]</v>
      </c>
      <c r="X4503" s="6" t="str">
        <f>IFERROR(__xludf.DUMMYFUNCTION("""COMPUTED_VALUE"""),"Enrolled")</f>
        <v>Enrolled</v>
      </c>
    </row>
    <row r="4504">
      <c r="A4504" s="6" t="str">
        <f>IFERROR(__xludf.DUMMYFUNCTION("""COMPUTED_VALUE"""),"083-11791")</f>
        <v>083-11791</v>
      </c>
      <c r="B4504" s="6" t="str">
        <f>IFERROR(__xludf.DUMMYFUNCTION("""COMPUTED_VALUE"""),"83")</f>
        <v>83</v>
      </c>
      <c r="C4504" s="6" t="str">
        <f>IFERROR(__xludf.DUMMYFUNCTION("""COMPUTED_VALUE"""),"11791")</f>
        <v>11791</v>
      </c>
      <c r="D4504" s="6" t="str">
        <f>IFERROR(__xludf.DUMMYFUNCTION("""COMPUTED_VALUE"""),"Lorenzo")</f>
        <v>Lorenzo</v>
      </c>
      <c r="E4504" s="6" t="str">
        <f>IFERROR(__xludf.DUMMYFUNCTION("""COMPUTED_VALUE"""),"")</f>
        <v/>
      </c>
      <c r="F4504" s="6" t="str">
        <f>IFERROR(__xludf.DUMMYFUNCTION("""COMPUTED_VALUE"""),"German")</f>
        <v>German</v>
      </c>
      <c r="G4504" s="6" t="str">
        <f>IFERROR(__xludf.DUMMYFUNCTION("""COMPUTED_VALUE"""),"03/24/2015")</f>
        <v>03/24/2015</v>
      </c>
      <c r="H4504" s="6" t="str">
        <f>IFERROR(__xludf.DUMMYFUNCTION("""COMPUTED_VALUE"""),"male")</f>
        <v>male</v>
      </c>
      <c r="I4504" s="6" t="str">
        <f>IFERROR(__xludf.DUMMYFUNCTION("""COMPUTED_VALUE"""),"Level 2")</f>
        <v>Level 2</v>
      </c>
      <c r="J4504" s="6" t="str">
        <f>IFERROR(__xludf.DUMMYFUNCTION("""COMPUTED_VALUE"""),"5")</f>
        <v>5</v>
      </c>
      <c r="K4504" s="6" t="str">
        <f>IFERROR(__xludf.DUMMYFUNCTION("""COMPUTED_VALUE"""),"lorenzo.german@2hourlearning.com")</f>
        <v>lorenzo.german@2hourlearning.com</v>
      </c>
      <c r="L4504" s="6" t="str">
        <f>IFERROR(__xludf.DUMMYFUNCTION("""COMPUTED_VALUE"""),"JHES - Hardeeville Elementary School")</f>
        <v>JHES - Hardeeville Elementary School</v>
      </c>
      <c r="M4504" s="6" t="str">
        <f>IFERROR(__xludf.DUMMYFUNCTION("""COMPUTED_VALUE"""),"")</f>
        <v/>
      </c>
      <c r="N4504" s="6" t="str">
        <f>IFERROR(__xludf.DUMMYFUNCTION("""COMPUTED_VALUE"""),"")</f>
        <v/>
      </c>
      <c r="O4504" s="87" t="str">
        <f>IFERROR(__xludf.DUMMYFUNCTION("""COMPUTED_VALUE"""),"https://drive.google.com/drive/folders/10T2cTQHqEJZqE-st6uFKPoI?usp=share_link")</f>
        <v>https://drive.google.com/drive/folders/10T2cTQHqEJZqE-st6uFKPoI?usp=share_link</v>
      </c>
      <c r="P4504" s="6" t="str">
        <f>IFERROR(__xludf.DUMMYFUNCTION("""COMPUTED_VALUE"""),"Lorenzo German")</f>
        <v>Lorenzo German</v>
      </c>
      <c r="Q4504" s="6" t="str">
        <f>IFERROR(__xludf.DUMMYFUNCTION("""COMPUTED_VALUE"""),"L2")</f>
        <v>L2</v>
      </c>
      <c r="R4504" s="6">
        <f>IFERROR(__xludf.DUMMYFUNCTION("""COMPUTED_VALUE"""),2.0)</f>
        <v>2</v>
      </c>
      <c r="S4504" s="6" t="str">
        <f>IFERROR(__xludf.DUMMYFUNCTION("""COMPUTED_VALUE""")," ")</f>
        <v> </v>
      </c>
      <c r="T4504" s="6" t="str">
        <f>IFERROR(__xludf.DUMMYFUNCTION("""COMPUTED_VALUE"""),"")</f>
        <v/>
      </c>
      <c r="U4504" s="6" t="str">
        <f>IFERROR(__xludf.DUMMYFUNCTION("""COMPUTED_VALUE"""),"5")</f>
        <v>5</v>
      </c>
      <c r="V4504" s="6" t="str">
        <f>IFERROR(__xludf.DUMMYFUNCTION("""COMPUTED_VALUE"""),"")</f>
        <v/>
      </c>
      <c r="W4504" s="6" t="str">
        <f>IFERROR(__xludf.DUMMYFUNCTION("""COMPUTED_VALUE"""),"[]")</f>
        <v>[]</v>
      </c>
      <c r="X4504" s="6" t="str">
        <f>IFERROR(__xludf.DUMMYFUNCTION("""COMPUTED_VALUE"""),"Enrolled")</f>
        <v>Enrolled</v>
      </c>
    </row>
    <row r="4505">
      <c r="A4505" s="6" t="str">
        <f>IFERROR(__xludf.DUMMYFUNCTION("""COMPUTED_VALUE"""),"083-11792")</f>
        <v>083-11792</v>
      </c>
      <c r="B4505" s="6" t="str">
        <f>IFERROR(__xludf.DUMMYFUNCTION("""COMPUTED_VALUE"""),"83")</f>
        <v>83</v>
      </c>
      <c r="C4505" s="6" t="str">
        <f>IFERROR(__xludf.DUMMYFUNCTION("""COMPUTED_VALUE"""),"11792")</f>
        <v>11792</v>
      </c>
      <c r="D4505" s="6" t="str">
        <f>IFERROR(__xludf.DUMMYFUNCTION("""COMPUTED_VALUE"""),"Fernando")</f>
        <v>Fernando</v>
      </c>
      <c r="E4505" s="6" t="str">
        <f>IFERROR(__xludf.DUMMYFUNCTION("""COMPUTED_VALUE"""),"")</f>
        <v/>
      </c>
      <c r="F4505" s="6" t="str">
        <f>IFERROR(__xludf.DUMMYFUNCTION("""COMPUTED_VALUE"""),"Gonzalez Aguillon")</f>
        <v>Gonzalez Aguillon</v>
      </c>
      <c r="G4505" s="6" t="str">
        <f>IFERROR(__xludf.DUMMYFUNCTION("""COMPUTED_VALUE"""),"03/24/2015")</f>
        <v>03/24/2015</v>
      </c>
      <c r="H4505" s="6" t="str">
        <f>IFERROR(__xludf.DUMMYFUNCTION("""COMPUTED_VALUE"""),"male")</f>
        <v>male</v>
      </c>
      <c r="I4505" s="6" t="str">
        <f>IFERROR(__xludf.DUMMYFUNCTION("""COMPUTED_VALUE"""),"Level 2")</f>
        <v>Level 2</v>
      </c>
      <c r="J4505" s="6" t="str">
        <f>IFERROR(__xludf.DUMMYFUNCTION("""COMPUTED_VALUE"""),"5")</f>
        <v>5</v>
      </c>
      <c r="K4505" s="6" t="str">
        <f>IFERROR(__xludf.DUMMYFUNCTION("""COMPUTED_VALUE"""),"fernando.gonzalezaguillon@2hourlearning.com")</f>
        <v>fernando.gonzalezaguillon@2hourlearning.com</v>
      </c>
      <c r="L4505" s="6" t="str">
        <f>IFERROR(__xludf.DUMMYFUNCTION("""COMPUTED_VALUE"""),"JHES - Hardeeville Elementary School")</f>
        <v>JHES - Hardeeville Elementary School</v>
      </c>
      <c r="M4505" s="6" t="str">
        <f>IFERROR(__xludf.DUMMYFUNCTION("""COMPUTED_VALUE"""),"")</f>
        <v/>
      </c>
      <c r="N4505" s="6" t="str">
        <f>IFERROR(__xludf.DUMMYFUNCTION("""COMPUTED_VALUE"""),"")</f>
        <v/>
      </c>
      <c r="O4505" s="87" t="str">
        <f>IFERROR(__xludf.DUMMYFUNCTION("""COMPUTED_VALUE"""),"https://drive.google.com/drive/folders/10T2cTQHqEJZqE-st6uFKPoI?usp=share_link")</f>
        <v>https://drive.google.com/drive/folders/10T2cTQHqEJZqE-st6uFKPoI?usp=share_link</v>
      </c>
      <c r="P4505" s="6" t="str">
        <f>IFERROR(__xludf.DUMMYFUNCTION("""COMPUTED_VALUE"""),"Fernando Gonzalez Aguillon")</f>
        <v>Fernando Gonzalez Aguillon</v>
      </c>
      <c r="Q4505" s="6" t="str">
        <f>IFERROR(__xludf.DUMMYFUNCTION("""COMPUTED_VALUE"""),"L2")</f>
        <v>L2</v>
      </c>
      <c r="R4505" s="6">
        <f>IFERROR(__xludf.DUMMYFUNCTION("""COMPUTED_VALUE"""),2.0)</f>
        <v>2</v>
      </c>
      <c r="S4505" s="6" t="str">
        <f>IFERROR(__xludf.DUMMYFUNCTION("""COMPUTED_VALUE""")," ")</f>
        <v> </v>
      </c>
      <c r="T4505" s="6" t="str">
        <f>IFERROR(__xludf.DUMMYFUNCTION("""COMPUTED_VALUE"""),"")</f>
        <v/>
      </c>
      <c r="U4505" s="6" t="str">
        <f>IFERROR(__xludf.DUMMYFUNCTION("""COMPUTED_VALUE"""),"5")</f>
        <v>5</v>
      </c>
      <c r="V4505" s="6" t="str">
        <f>IFERROR(__xludf.DUMMYFUNCTION("""COMPUTED_VALUE"""),"")</f>
        <v/>
      </c>
      <c r="W4505" s="6" t="str">
        <f>IFERROR(__xludf.DUMMYFUNCTION("""COMPUTED_VALUE"""),"[]")</f>
        <v>[]</v>
      </c>
      <c r="X4505" s="6" t="str">
        <f>IFERROR(__xludf.DUMMYFUNCTION("""COMPUTED_VALUE"""),"Enrolled")</f>
        <v>Enrolled</v>
      </c>
    </row>
    <row r="4506">
      <c r="A4506" s="6" t="str">
        <f>IFERROR(__xludf.DUMMYFUNCTION("""COMPUTED_VALUE"""),"083-11793")</f>
        <v>083-11793</v>
      </c>
      <c r="B4506" s="6" t="str">
        <f>IFERROR(__xludf.DUMMYFUNCTION("""COMPUTED_VALUE"""),"83")</f>
        <v>83</v>
      </c>
      <c r="C4506" s="6" t="str">
        <f>IFERROR(__xludf.DUMMYFUNCTION("""COMPUTED_VALUE"""),"11793")</f>
        <v>11793</v>
      </c>
      <c r="D4506" s="6" t="str">
        <f>IFERROR(__xludf.DUMMYFUNCTION("""COMPUTED_VALUE"""),"Jonathan")</f>
        <v>Jonathan</v>
      </c>
      <c r="E4506" s="6" t="str">
        <f>IFERROR(__xludf.DUMMYFUNCTION("""COMPUTED_VALUE"""),"")</f>
        <v/>
      </c>
      <c r="F4506" s="6" t="str">
        <f>IFERROR(__xludf.DUMMYFUNCTION("""COMPUTED_VALUE"""),"Guerra Torres")</f>
        <v>Guerra Torres</v>
      </c>
      <c r="G4506" s="6" t="str">
        <f>IFERROR(__xludf.DUMMYFUNCTION("""COMPUTED_VALUE"""),"09/09/2014")</f>
        <v>09/09/2014</v>
      </c>
      <c r="H4506" s="6" t="str">
        <f>IFERROR(__xludf.DUMMYFUNCTION("""COMPUTED_VALUE"""),"male")</f>
        <v>male</v>
      </c>
      <c r="I4506" s="6" t="str">
        <f>IFERROR(__xludf.DUMMYFUNCTION("""COMPUTED_VALUE"""),"Level 2")</f>
        <v>Level 2</v>
      </c>
      <c r="J4506" s="6" t="str">
        <f>IFERROR(__xludf.DUMMYFUNCTION("""COMPUTED_VALUE"""),"5")</f>
        <v>5</v>
      </c>
      <c r="K4506" s="6" t="str">
        <f>IFERROR(__xludf.DUMMYFUNCTION("""COMPUTED_VALUE"""),"jonathan.guerratorres@2hourlearning.com")</f>
        <v>jonathan.guerratorres@2hourlearning.com</v>
      </c>
      <c r="L4506" s="6" t="str">
        <f>IFERROR(__xludf.DUMMYFUNCTION("""COMPUTED_VALUE"""),"JHES - Hardeeville Elementary School")</f>
        <v>JHES - Hardeeville Elementary School</v>
      </c>
      <c r="M4506" s="6" t="str">
        <f>IFERROR(__xludf.DUMMYFUNCTION("""COMPUTED_VALUE"""),"")</f>
        <v/>
      </c>
      <c r="N4506" s="6" t="str">
        <f>IFERROR(__xludf.DUMMYFUNCTION("""COMPUTED_VALUE"""),"")</f>
        <v/>
      </c>
      <c r="O4506" s="87" t="str">
        <f>IFERROR(__xludf.DUMMYFUNCTION("""COMPUTED_VALUE"""),"https://drive.google.com/drive/folders/10T2cTQHqEJZqE-st6uFKPoI?usp=share_link")</f>
        <v>https://drive.google.com/drive/folders/10T2cTQHqEJZqE-st6uFKPoI?usp=share_link</v>
      </c>
      <c r="P4506" s="6" t="str">
        <f>IFERROR(__xludf.DUMMYFUNCTION("""COMPUTED_VALUE"""),"Jonathan Guerra Torres")</f>
        <v>Jonathan Guerra Torres</v>
      </c>
      <c r="Q4506" s="6" t="str">
        <f>IFERROR(__xludf.DUMMYFUNCTION("""COMPUTED_VALUE"""),"L2")</f>
        <v>L2</v>
      </c>
      <c r="R4506" s="6">
        <f>IFERROR(__xludf.DUMMYFUNCTION("""COMPUTED_VALUE"""),2.0)</f>
        <v>2</v>
      </c>
      <c r="S4506" s="6" t="str">
        <f>IFERROR(__xludf.DUMMYFUNCTION("""COMPUTED_VALUE""")," ")</f>
        <v> </v>
      </c>
      <c r="T4506" s="6" t="str">
        <f>IFERROR(__xludf.DUMMYFUNCTION("""COMPUTED_VALUE"""),"")</f>
        <v/>
      </c>
      <c r="U4506" s="6" t="str">
        <f>IFERROR(__xludf.DUMMYFUNCTION("""COMPUTED_VALUE"""),"5")</f>
        <v>5</v>
      </c>
      <c r="V4506" s="6" t="str">
        <f>IFERROR(__xludf.DUMMYFUNCTION("""COMPUTED_VALUE"""),"")</f>
        <v/>
      </c>
      <c r="W4506" s="6" t="str">
        <f>IFERROR(__xludf.DUMMYFUNCTION("""COMPUTED_VALUE"""),"[]")</f>
        <v>[]</v>
      </c>
      <c r="X4506" s="6" t="str">
        <f>IFERROR(__xludf.DUMMYFUNCTION("""COMPUTED_VALUE"""),"Enrolled")</f>
        <v>Enrolled</v>
      </c>
    </row>
    <row r="4507">
      <c r="A4507" s="6" t="str">
        <f>IFERROR(__xludf.DUMMYFUNCTION("""COMPUTED_VALUE"""),"083-11794")</f>
        <v>083-11794</v>
      </c>
      <c r="B4507" s="6" t="str">
        <f>IFERROR(__xludf.DUMMYFUNCTION("""COMPUTED_VALUE"""),"83")</f>
        <v>83</v>
      </c>
      <c r="C4507" s="6" t="str">
        <f>IFERROR(__xludf.DUMMYFUNCTION("""COMPUTED_VALUE"""),"11794")</f>
        <v>11794</v>
      </c>
      <c r="D4507" s="6" t="str">
        <f>IFERROR(__xludf.DUMMYFUNCTION("""COMPUTED_VALUE"""),"Kylah")</f>
        <v>Kylah</v>
      </c>
      <c r="E4507" s="6" t="str">
        <f>IFERROR(__xludf.DUMMYFUNCTION("""COMPUTED_VALUE"""),"")</f>
        <v/>
      </c>
      <c r="F4507" s="6" t="str">
        <f>IFERROR(__xludf.DUMMYFUNCTION("""COMPUTED_VALUE"""),"Hall")</f>
        <v>Hall</v>
      </c>
      <c r="G4507" s="6" t="str">
        <f>IFERROR(__xludf.DUMMYFUNCTION("""COMPUTED_VALUE"""),"02/16/2015")</f>
        <v>02/16/2015</v>
      </c>
      <c r="H4507" s="6" t="str">
        <f>IFERROR(__xludf.DUMMYFUNCTION("""COMPUTED_VALUE"""),"female")</f>
        <v>female</v>
      </c>
      <c r="I4507" s="6" t="str">
        <f>IFERROR(__xludf.DUMMYFUNCTION("""COMPUTED_VALUE"""),"Level 2")</f>
        <v>Level 2</v>
      </c>
      <c r="J4507" s="6" t="str">
        <f>IFERROR(__xludf.DUMMYFUNCTION("""COMPUTED_VALUE"""),"5")</f>
        <v>5</v>
      </c>
      <c r="K4507" s="6" t="str">
        <f>IFERROR(__xludf.DUMMYFUNCTION("""COMPUTED_VALUE"""),"kylah.hall@2hourlearning.com")</f>
        <v>kylah.hall@2hourlearning.com</v>
      </c>
      <c r="L4507" s="6" t="str">
        <f>IFERROR(__xludf.DUMMYFUNCTION("""COMPUTED_VALUE"""),"JHES - Hardeeville Elementary School")</f>
        <v>JHES - Hardeeville Elementary School</v>
      </c>
      <c r="M4507" s="6" t="str">
        <f>IFERROR(__xludf.DUMMYFUNCTION("""COMPUTED_VALUE"""),"")</f>
        <v/>
      </c>
      <c r="N4507" s="6" t="str">
        <f>IFERROR(__xludf.DUMMYFUNCTION("""COMPUTED_VALUE"""),"")</f>
        <v/>
      </c>
      <c r="O4507" s="87" t="str">
        <f>IFERROR(__xludf.DUMMYFUNCTION("""COMPUTED_VALUE"""),"https://drive.google.com/drive/folders/10T2cTQHqEJZqE-st6uFKPoI?usp=share_link")</f>
        <v>https://drive.google.com/drive/folders/10T2cTQHqEJZqE-st6uFKPoI?usp=share_link</v>
      </c>
      <c r="P4507" s="6" t="str">
        <f>IFERROR(__xludf.DUMMYFUNCTION("""COMPUTED_VALUE"""),"Kylah Hall")</f>
        <v>Kylah Hall</v>
      </c>
      <c r="Q4507" s="6" t="str">
        <f>IFERROR(__xludf.DUMMYFUNCTION("""COMPUTED_VALUE"""),"L2")</f>
        <v>L2</v>
      </c>
      <c r="R4507" s="6">
        <f>IFERROR(__xludf.DUMMYFUNCTION("""COMPUTED_VALUE"""),2.0)</f>
        <v>2</v>
      </c>
      <c r="S4507" s="6" t="str">
        <f>IFERROR(__xludf.DUMMYFUNCTION("""COMPUTED_VALUE""")," ")</f>
        <v> </v>
      </c>
      <c r="T4507" s="6" t="str">
        <f>IFERROR(__xludf.DUMMYFUNCTION("""COMPUTED_VALUE"""),"")</f>
        <v/>
      </c>
      <c r="U4507" s="6" t="str">
        <f>IFERROR(__xludf.DUMMYFUNCTION("""COMPUTED_VALUE"""),"5")</f>
        <v>5</v>
      </c>
      <c r="V4507" s="6" t="str">
        <f>IFERROR(__xludf.DUMMYFUNCTION("""COMPUTED_VALUE"""),"")</f>
        <v/>
      </c>
      <c r="W4507" s="6" t="str">
        <f>IFERROR(__xludf.DUMMYFUNCTION("""COMPUTED_VALUE"""),"[]")</f>
        <v>[]</v>
      </c>
      <c r="X4507" s="6" t="str">
        <f>IFERROR(__xludf.DUMMYFUNCTION("""COMPUTED_VALUE"""),"Enrolled")</f>
        <v>Enrolled</v>
      </c>
    </row>
    <row r="4508">
      <c r="A4508" s="6" t="str">
        <f>IFERROR(__xludf.DUMMYFUNCTION("""COMPUTED_VALUE"""),"083-11795")</f>
        <v>083-11795</v>
      </c>
      <c r="B4508" s="6" t="str">
        <f>IFERROR(__xludf.DUMMYFUNCTION("""COMPUTED_VALUE"""),"83")</f>
        <v>83</v>
      </c>
      <c r="C4508" s="6" t="str">
        <f>IFERROR(__xludf.DUMMYFUNCTION("""COMPUTED_VALUE"""),"11795")</f>
        <v>11795</v>
      </c>
      <c r="D4508" s="6" t="str">
        <f>IFERROR(__xludf.DUMMYFUNCTION("""COMPUTED_VALUE"""),"Ariel")</f>
        <v>Ariel</v>
      </c>
      <c r="E4508" s="6" t="str">
        <f>IFERROR(__xludf.DUMMYFUNCTION("""COMPUTED_VALUE"""),"")</f>
        <v/>
      </c>
      <c r="F4508" s="6" t="str">
        <f>IFERROR(__xludf.DUMMYFUNCTION("""COMPUTED_VALUE"""),"Hernandez")</f>
        <v>Hernandez</v>
      </c>
      <c r="G4508" s="6" t="str">
        <f>IFERROR(__xludf.DUMMYFUNCTION("""COMPUTED_VALUE"""),"05/26/2015")</f>
        <v>05/26/2015</v>
      </c>
      <c r="H4508" s="6" t="str">
        <f>IFERROR(__xludf.DUMMYFUNCTION("""COMPUTED_VALUE"""),"female")</f>
        <v>female</v>
      </c>
      <c r="I4508" s="6" t="str">
        <f>IFERROR(__xludf.DUMMYFUNCTION("""COMPUTED_VALUE"""),"Level 2")</f>
        <v>Level 2</v>
      </c>
      <c r="J4508" s="6" t="str">
        <f>IFERROR(__xludf.DUMMYFUNCTION("""COMPUTED_VALUE"""),"5")</f>
        <v>5</v>
      </c>
      <c r="K4508" s="6" t="str">
        <f>IFERROR(__xludf.DUMMYFUNCTION("""COMPUTED_VALUE"""),"ariel.hernandez@2hourlearning.com")</f>
        <v>ariel.hernandez@2hourlearning.com</v>
      </c>
      <c r="L4508" s="6" t="str">
        <f>IFERROR(__xludf.DUMMYFUNCTION("""COMPUTED_VALUE"""),"JHES - Hardeeville Elementary School")</f>
        <v>JHES - Hardeeville Elementary School</v>
      </c>
      <c r="M4508" s="6" t="str">
        <f>IFERROR(__xludf.DUMMYFUNCTION("""COMPUTED_VALUE"""),"")</f>
        <v/>
      </c>
      <c r="N4508" s="6" t="str">
        <f>IFERROR(__xludf.DUMMYFUNCTION("""COMPUTED_VALUE"""),"")</f>
        <v/>
      </c>
      <c r="O4508" s="87" t="str">
        <f>IFERROR(__xludf.DUMMYFUNCTION("""COMPUTED_VALUE"""),"https://drive.google.com/drive/folders/10T2cTQHqEJZqE-st6uFKPoI?usp=share_link")</f>
        <v>https://drive.google.com/drive/folders/10T2cTQHqEJZqE-st6uFKPoI?usp=share_link</v>
      </c>
      <c r="P4508" s="6" t="str">
        <f>IFERROR(__xludf.DUMMYFUNCTION("""COMPUTED_VALUE"""),"Ariel Hernandez")</f>
        <v>Ariel Hernandez</v>
      </c>
      <c r="Q4508" s="6" t="str">
        <f>IFERROR(__xludf.DUMMYFUNCTION("""COMPUTED_VALUE"""),"L2")</f>
        <v>L2</v>
      </c>
      <c r="R4508" s="6">
        <f>IFERROR(__xludf.DUMMYFUNCTION("""COMPUTED_VALUE"""),2.0)</f>
        <v>2</v>
      </c>
      <c r="S4508" s="6" t="str">
        <f>IFERROR(__xludf.DUMMYFUNCTION("""COMPUTED_VALUE""")," ")</f>
        <v> </v>
      </c>
      <c r="T4508" s="6" t="str">
        <f>IFERROR(__xludf.DUMMYFUNCTION("""COMPUTED_VALUE"""),"")</f>
        <v/>
      </c>
      <c r="U4508" s="6" t="str">
        <f>IFERROR(__xludf.DUMMYFUNCTION("""COMPUTED_VALUE"""),"5")</f>
        <v>5</v>
      </c>
      <c r="V4508" s="6" t="str">
        <f>IFERROR(__xludf.DUMMYFUNCTION("""COMPUTED_VALUE"""),"")</f>
        <v/>
      </c>
      <c r="W4508" s="6" t="str">
        <f>IFERROR(__xludf.DUMMYFUNCTION("""COMPUTED_VALUE"""),"[]")</f>
        <v>[]</v>
      </c>
      <c r="X4508" s="6" t="str">
        <f>IFERROR(__xludf.DUMMYFUNCTION("""COMPUTED_VALUE"""),"Enrolled")</f>
        <v>Enrolled</v>
      </c>
    </row>
    <row r="4509">
      <c r="A4509" s="6" t="str">
        <f>IFERROR(__xludf.DUMMYFUNCTION("""COMPUTED_VALUE"""),"083-11796")</f>
        <v>083-11796</v>
      </c>
      <c r="B4509" s="6" t="str">
        <f>IFERROR(__xludf.DUMMYFUNCTION("""COMPUTED_VALUE"""),"83")</f>
        <v>83</v>
      </c>
      <c r="C4509" s="6" t="str">
        <f>IFERROR(__xludf.DUMMYFUNCTION("""COMPUTED_VALUE"""),"11796")</f>
        <v>11796</v>
      </c>
      <c r="D4509" s="6" t="str">
        <f>IFERROR(__xludf.DUMMYFUNCTION("""COMPUTED_VALUE"""),"Brenda")</f>
        <v>Brenda</v>
      </c>
      <c r="E4509" s="6" t="str">
        <f>IFERROR(__xludf.DUMMYFUNCTION("""COMPUTED_VALUE"""),"")</f>
        <v/>
      </c>
      <c r="F4509" s="6" t="str">
        <f>IFERROR(__xludf.DUMMYFUNCTION("""COMPUTED_VALUE"""),"Hernandez Camargo")</f>
        <v>Hernandez Camargo</v>
      </c>
      <c r="G4509" s="6" t="str">
        <f>IFERROR(__xludf.DUMMYFUNCTION("""COMPUTED_VALUE"""),"05/03/2015")</f>
        <v>05/03/2015</v>
      </c>
      <c r="H4509" s="6" t="str">
        <f>IFERROR(__xludf.DUMMYFUNCTION("""COMPUTED_VALUE"""),"female")</f>
        <v>female</v>
      </c>
      <c r="I4509" s="6" t="str">
        <f>IFERROR(__xludf.DUMMYFUNCTION("""COMPUTED_VALUE"""),"Level 2")</f>
        <v>Level 2</v>
      </c>
      <c r="J4509" s="6" t="str">
        <f>IFERROR(__xludf.DUMMYFUNCTION("""COMPUTED_VALUE"""),"5")</f>
        <v>5</v>
      </c>
      <c r="K4509" s="6" t="str">
        <f>IFERROR(__xludf.DUMMYFUNCTION("""COMPUTED_VALUE"""),"brenda.hernandezcamargo@2hourlearning.com")</f>
        <v>brenda.hernandezcamargo@2hourlearning.com</v>
      </c>
      <c r="L4509" s="6" t="str">
        <f>IFERROR(__xludf.DUMMYFUNCTION("""COMPUTED_VALUE"""),"JHES - Hardeeville Elementary School")</f>
        <v>JHES - Hardeeville Elementary School</v>
      </c>
      <c r="M4509" s="6" t="str">
        <f>IFERROR(__xludf.DUMMYFUNCTION("""COMPUTED_VALUE"""),"")</f>
        <v/>
      </c>
      <c r="N4509" s="6" t="str">
        <f>IFERROR(__xludf.DUMMYFUNCTION("""COMPUTED_VALUE"""),"")</f>
        <v/>
      </c>
      <c r="O4509" s="87" t="str">
        <f>IFERROR(__xludf.DUMMYFUNCTION("""COMPUTED_VALUE"""),"https://drive.google.com/drive/folders/10T2cTQHqEJZqE-st6uFKPoI?usp=share_link")</f>
        <v>https://drive.google.com/drive/folders/10T2cTQHqEJZqE-st6uFKPoI?usp=share_link</v>
      </c>
      <c r="P4509" s="6" t="str">
        <f>IFERROR(__xludf.DUMMYFUNCTION("""COMPUTED_VALUE"""),"Brenda Hernandez Camargo")</f>
        <v>Brenda Hernandez Camargo</v>
      </c>
      <c r="Q4509" s="6" t="str">
        <f>IFERROR(__xludf.DUMMYFUNCTION("""COMPUTED_VALUE"""),"L2")</f>
        <v>L2</v>
      </c>
      <c r="R4509" s="6">
        <f>IFERROR(__xludf.DUMMYFUNCTION("""COMPUTED_VALUE"""),2.0)</f>
        <v>2</v>
      </c>
      <c r="S4509" s="6" t="str">
        <f>IFERROR(__xludf.DUMMYFUNCTION("""COMPUTED_VALUE""")," ")</f>
        <v> </v>
      </c>
      <c r="T4509" s="6" t="str">
        <f>IFERROR(__xludf.DUMMYFUNCTION("""COMPUTED_VALUE"""),"")</f>
        <v/>
      </c>
      <c r="U4509" s="6" t="str">
        <f>IFERROR(__xludf.DUMMYFUNCTION("""COMPUTED_VALUE"""),"5")</f>
        <v>5</v>
      </c>
      <c r="V4509" s="6" t="str">
        <f>IFERROR(__xludf.DUMMYFUNCTION("""COMPUTED_VALUE"""),"")</f>
        <v/>
      </c>
      <c r="W4509" s="6" t="str">
        <f>IFERROR(__xludf.DUMMYFUNCTION("""COMPUTED_VALUE"""),"[]")</f>
        <v>[]</v>
      </c>
      <c r="X4509" s="6" t="str">
        <f>IFERROR(__xludf.DUMMYFUNCTION("""COMPUTED_VALUE"""),"Enrolled")</f>
        <v>Enrolled</v>
      </c>
    </row>
    <row r="4510">
      <c r="A4510" s="6" t="str">
        <f>IFERROR(__xludf.DUMMYFUNCTION("""COMPUTED_VALUE"""),"083-11797")</f>
        <v>083-11797</v>
      </c>
      <c r="B4510" s="6" t="str">
        <f>IFERROR(__xludf.DUMMYFUNCTION("""COMPUTED_VALUE"""),"83")</f>
        <v>83</v>
      </c>
      <c r="C4510" s="6" t="str">
        <f>IFERROR(__xludf.DUMMYFUNCTION("""COMPUTED_VALUE"""),"11797")</f>
        <v>11797</v>
      </c>
      <c r="D4510" s="6" t="str">
        <f>IFERROR(__xludf.DUMMYFUNCTION("""COMPUTED_VALUE"""),"A'kvion Adam")</f>
        <v>A'kvion Adam</v>
      </c>
      <c r="E4510" s="6" t="str">
        <f>IFERROR(__xludf.DUMMYFUNCTION("""COMPUTED_VALUE"""),"")</f>
        <v/>
      </c>
      <c r="F4510" s="6" t="str">
        <f>IFERROR(__xludf.DUMMYFUNCTION("""COMPUTED_VALUE"""),"Jenkins")</f>
        <v>Jenkins</v>
      </c>
      <c r="G4510" s="6" t="str">
        <f>IFERROR(__xludf.DUMMYFUNCTION("""COMPUTED_VALUE"""),"11/24/2014")</f>
        <v>11/24/2014</v>
      </c>
      <c r="H4510" s="6" t="str">
        <f>IFERROR(__xludf.DUMMYFUNCTION("""COMPUTED_VALUE"""),"male")</f>
        <v>male</v>
      </c>
      <c r="I4510" s="6" t="str">
        <f>IFERROR(__xludf.DUMMYFUNCTION("""COMPUTED_VALUE"""),"Level 2")</f>
        <v>Level 2</v>
      </c>
      <c r="J4510" s="6" t="str">
        <f>IFERROR(__xludf.DUMMYFUNCTION("""COMPUTED_VALUE"""),"5")</f>
        <v>5</v>
      </c>
      <c r="K4510" s="6" t="str">
        <f>IFERROR(__xludf.DUMMYFUNCTION("""COMPUTED_VALUE"""),"akvionadam.jenkins@2hourlearning.com")</f>
        <v>akvionadam.jenkins@2hourlearning.com</v>
      </c>
      <c r="L4510" s="6" t="str">
        <f>IFERROR(__xludf.DUMMYFUNCTION("""COMPUTED_VALUE"""),"JHES - Hardeeville Elementary School")</f>
        <v>JHES - Hardeeville Elementary School</v>
      </c>
      <c r="M4510" s="6" t="str">
        <f>IFERROR(__xludf.DUMMYFUNCTION("""COMPUTED_VALUE"""),"")</f>
        <v/>
      </c>
      <c r="N4510" s="6" t="str">
        <f>IFERROR(__xludf.DUMMYFUNCTION("""COMPUTED_VALUE"""),"")</f>
        <v/>
      </c>
      <c r="O4510" s="87" t="str">
        <f>IFERROR(__xludf.DUMMYFUNCTION("""COMPUTED_VALUE"""),"https://drive.google.com/drive/folders/10T2cTQHqEJZqE-st6uFKPoI?usp=share_link")</f>
        <v>https://drive.google.com/drive/folders/10T2cTQHqEJZqE-st6uFKPoI?usp=share_link</v>
      </c>
      <c r="P4510" s="6" t="str">
        <f>IFERROR(__xludf.DUMMYFUNCTION("""COMPUTED_VALUE"""),"A'kvion Adam Jenkins")</f>
        <v>A'kvion Adam Jenkins</v>
      </c>
      <c r="Q4510" s="6" t="str">
        <f>IFERROR(__xludf.DUMMYFUNCTION("""COMPUTED_VALUE"""),"L2")</f>
        <v>L2</v>
      </c>
      <c r="R4510" s="6">
        <f>IFERROR(__xludf.DUMMYFUNCTION("""COMPUTED_VALUE"""),2.0)</f>
        <v>2</v>
      </c>
      <c r="S4510" s="6" t="str">
        <f>IFERROR(__xludf.DUMMYFUNCTION("""COMPUTED_VALUE""")," ")</f>
        <v> </v>
      </c>
      <c r="T4510" s="6" t="str">
        <f>IFERROR(__xludf.DUMMYFUNCTION("""COMPUTED_VALUE"""),"")</f>
        <v/>
      </c>
      <c r="U4510" s="6" t="str">
        <f>IFERROR(__xludf.DUMMYFUNCTION("""COMPUTED_VALUE"""),"5")</f>
        <v>5</v>
      </c>
      <c r="V4510" s="6" t="str">
        <f>IFERROR(__xludf.DUMMYFUNCTION("""COMPUTED_VALUE"""),"")</f>
        <v/>
      </c>
      <c r="W4510" s="6" t="str">
        <f>IFERROR(__xludf.DUMMYFUNCTION("""COMPUTED_VALUE"""),"[]")</f>
        <v>[]</v>
      </c>
      <c r="X4510" s="6" t="str">
        <f>IFERROR(__xludf.DUMMYFUNCTION("""COMPUTED_VALUE"""),"Enrolled")</f>
        <v>Enrolled</v>
      </c>
    </row>
    <row r="4511">
      <c r="A4511" s="6" t="str">
        <f>IFERROR(__xludf.DUMMYFUNCTION("""COMPUTED_VALUE"""),"083-11798")</f>
        <v>083-11798</v>
      </c>
      <c r="B4511" s="6" t="str">
        <f>IFERROR(__xludf.DUMMYFUNCTION("""COMPUTED_VALUE"""),"83")</f>
        <v>83</v>
      </c>
      <c r="C4511" s="6" t="str">
        <f>IFERROR(__xludf.DUMMYFUNCTION("""COMPUTED_VALUE"""),"11798")</f>
        <v>11798</v>
      </c>
      <c r="D4511" s="6" t="str">
        <f>IFERROR(__xludf.DUMMYFUNCTION("""COMPUTED_VALUE"""),"Lyric")</f>
        <v>Lyric</v>
      </c>
      <c r="E4511" s="6" t="str">
        <f>IFERROR(__xludf.DUMMYFUNCTION("""COMPUTED_VALUE"""),"")</f>
        <v/>
      </c>
      <c r="F4511" s="6" t="str">
        <f>IFERROR(__xludf.DUMMYFUNCTION("""COMPUTED_VALUE"""),"Johnson")</f>
        <v>Johnson</v>
      </c>
      <c r="G4511" s="6" t="str">
        <f>IFERROR(__xludf.DUMMYFUNCTION("""COMPUTED_VALUE"""),"11/28/2014")</f>
        <v>11/28/2014</v>
      </c>
      <c r="H4511" s="6" t="str">
        <f>IFERROR(__xludf.DUMMYFUNCTION("""COMPUTED_VALUE"""),"female")</f>
        <v>female</v>
      </c>
      <c r="I4511" s="6" t="str">
        <f>IFERROR(__xludf.DUMMYFUNCTION("""COMPUTED_VALUE"""),"Level 2")</f>
        <v>Level 2</v>
      </c>
      <c r="J4511" s="6" t="str">
        <f>IFERROR(__xludf.DUMMYFUNCTION("""COMPUTED_VALUE"""),"5")</f>
        <v>5</v>
      </c>
      <c r="K4511" s="6" t="str">
        <f>IFERROR(__xludf.DUMMYFUNCTION("""COMPUTED_VALUE"""),"lyric.johnson@2hourlearning.com")</f>
        <v>lyric.johnson@2hourlearning.com</v>
      </c>
      <c r="L4511" s="6" t="str">
        <f>IFERROR(__xludf.DUMMYFUNCTION("""COMPUTED_VALUE"""),"JHES - Hardeeville Elementary School")</f>
        <v>JHES - Hardeeville Elementary School</v>
      </c>
      <c r="M4511" s="6" t="str">
        <f>IFERROR(__xludf.DUMMYFUNCTION("""COMPUTED_VALUE"""),"")</f>
        <v/>
      </c>
      <c r="N4511" s="6" t="str">
        <f>IFERROR(__xludf.DUMMYFUNCTION("""COMPUTED_VALUE"""),"")</f>
        <v/>
      </c>
      <c r="O4511" s="87" t="str">
        <f>IFERROR(__xludf.DUMMYFUNCTION("""COMPUTED_VALUE"""),"https://drive.google.com/drive/folders/10T2cTQHqEJZqE-st6uFKPoI?usp=share_link")</f>
        <v>https://drive.google.com/drive/folders/10T2cTQHqEJZqE-st6uFKPoI?usp=share_link</v>
      </c>
      <c r="P4511" s="6" t="str">
        <f>IFERROR(__xludf.DUMMYFUNCTION("""COMPUTED_VALUE"""),"Lyric Johnson")</f>
        <v>Lyric Johnson</v>
      </c>
      <c r="Q4511" s="6" t="str">
        <f>IFERROR(__xludf.DUMMYFUNCTION("""COMPUTED_VALUE"""),"L2")</f>
        <v>L2</v>
      </c>
      <c r="R4511" s="6">
        <f>IFERROR(__xludf.DUMMYFUNCTION("""COMPUTED_VALUE"""),2.0)</f>
        <v>2</v>
      </c>
      <c r="S4511" s="6" t="str">
        <f>IFERROR(__xludf.DUMMYFUNCTION("""COMPUTED_VALUE""")," ")</f>
        <v> </v>
      </c>
      <c r="T4511" s="6" t="str">
        <f>IFERROR(__xludf.DUMMYFUNCTION("""COMPUTED_VALUE"""),"")</f>
        <v/>
      </c>
      <c r="U4511" s="6" t="str">
        <f>IFERROR(__xludf.DUMMYFUNCTION("""COMPUTED_VALUE"""),"5")</f>
        <v>5</v>
      </c>
      <c r="V4511" s="6" t="str">
        <f>IFERROR(__xludf.DUMMYFUNCTION("""COMPUTED_VALUE"""),"")</f>
        <v/>
      </c>
      <c r="W4511" s="6" t="str">
        <f>IFERROR(__xludf.DUMMYFUNCTION("""COMPUTED_VALUE"""),"[]")</f>
        <v>[]</v>
      </c>
      <c r="X4511" s="6" t="str">
        <f>IFERROR(__xludf.DUMMYFUNCTION("""COMPUTED_VALUE"""),"Enrolled")</f>
        <v>Enrolled</v>
      </c>
    </row>
    <row r="4512">
      <c r="A4512" s="6" t="str">
        <f>IFERROR(__xludf.DUMMYFUNCTION("""COMPUTED_VALUE"""),"083-11799")</f>
        <v>083-11799</v>
      </c>
      <c r="B4512" s="6" t="str">
        <f>IFERROR(__xludf.DUMMYFUNCTION("""COMPUTED_VALUE"""),"83")</f>
        <v>83</v>
      </c>
      <c r="C4512" s="6" t="str">
        <f>IFERROR(__xludf.DUMMYFUNCTION("""COMPUTED_VALUE"""),"11799")</f>
        <v>11799</v>
      </c>
      <c r="D4512" s="6" t="str">
        <f>IFERROR(__xludf.DUMMYFUNCTION("""COMPUTED_VALUE"""),"Lucy")</f>
        <v>Lucy</v>
      </c>
      <c r="E4512" s="6" t="str">
        <f>IFERROR(__xludf.DUMMYFUNCTION("""COMPUTED_VALUE"""),"")</f>
        <v/>
      </c>
      <c r="F4512" s="6" t="str">
        <f>IFERROR(__xludf.DUMMYFUNCTION("""COMPUTED_VALUE"""),"Lopez Maceda")</f>
        <v>Lopez Maceda</v>
      </c>
      <c r="G4512" s="6" t="str">
        <f>IFERROR(__xludf.DUMMYFUNCTION("""COMPUTED_VALUE"""),"09/17/2014")</f>
        <v>09/17/2014</v>
      </c>
      <c r="H4512" s="6" t="str">
        <f>IFERROR(__xludf.DUMMYFUNCTION("""COMPUTED_VALUE"""),"female")</f>
        <v>female</v>
      </c>
      <c r="I4512" s="6" t="str">
        <f>IFERROR(__xludf.DUMMYFUNCTION("""COMPUTED_VALUE"""),"Level 2")</f>
        <v>Level 2</v>
      </c>
      <c r="J4512" s="6" t="str">
        <f>IFERROR(__xludf.DUMMYFUNCTION("""COMPUTED_VALUE"""),"5")</f>
        <v>5</v>
      </c>
      <c r="K4512" s="6" t="str">
        <f>IFERROR(__xludf.DUMMYFUNCTION("""COMPUTED_VALUE"""),"lucy.lopezmaceda@2hourlearning.com")</f>
        <v>lucy.lopezmaceda@2hourlearning.com</v>
      </c>
      <c r="L4512" s="6" t="str">
        <f>IFERROR(__xludf.DUMMYFUNCTION("""COMPUTED_VALUE"""),"JHES - Hardeeville Elementary School")</f>
        <v>JHES - Hardeeville Elementary School</v>
      </c>
      <c r="M4512" s="6" t="str">
        <f>IFERROR(__xludf.DUMMYFUNCTION("""COMPUTED_VALUE"""),"")</f>
        <v/>
      </c>
      <c r="N4512" s="6" t="str">
        <f>IFERROR(__xludf.DUMMYFUNCTION("""COMPUTED_VALUE"""),"")</f>
        <v/>
      </c>
      <c r="O4512" s="87" t="str">
        <f>IFERROR(__xludf.DUMMYFUNCTION("""COMPUTED_VALUE"""),"https://drive.google.com/drive/folders/10T2cTQHqEJZqE-st6uFKPoI?usp=share_link")</f>
        <v>https://drive.google.com/drive/folders/10T2cTQHqEJZqE-st6uFKPoI?usp=share_link</v>
      </c>
      <c r="P4512" s="6" t="str">
        <f>IFERROR(__xludf.DUMMYFUNCTION("""COMPUTED_VALUE"""),"Lucy Lopez Maceda")</f>
        <v>Lucy Lopez Maceda</v>
      </c>
      <c r="Q4512" s="6" t="str">
        <f>IFERROR(__xludf.DUMMYFUNCTION("""COMPUTED_VALUE"""),"L2")</f>
        <v>L2</v>
      </c>
      <c r="R4512" s="6">
        <f>IFERROR(__xludf.DUMMYFUNCTION("""COMPUTED_VALUE"""),2.0)</f>
        <v>2</v>
      </c>
      <c r="S4512" s="6" t="str">
        <f>IFERROR(__xludf.DUMMYFUNCTION("""COMPUTED_VALUE""")," ")</f>
        <v> </v>
      </c>
      <c r="T4512" s="6" t="str">
        <f>IFERROR(__xludf.DUMMYFUNCTION("""COMPUTED_VALUE"""),"")</f>
        <v/>
      </c>
      <c r="U4512" s="6" t="str">
        <f>IFERROR(__xludf.DUMMYFUNCTION("""COMPUTED_VALUE"""),"5")</f>
        <v>5</v>
      </c>
      <c r="V4512" s="6" t="str">
        <f>IFERROR(__xludf.DUMMYFUNCTION("""COMPUTED_VALUE"""),"")</f>
        <v/>
      </c>
      <c r="W4512" s="6" t="str">
        <f>IFERROR(__xludf.DUMMYFUNCTION("""COMPUTED_VALUE"""),"[]")</f>
        <v>[]</v>
      </c>
      <c r="X4512" s="6" t="str">
        <f>IFERROR(__xludf.DUMMYFUNCTION("""COMPUTED_VALUE"""),"Enrolled")</f>
        <v>Enrolled</v>
      </c>
    </row>
    <row r="4513">
      <c r="A4513" s="6" t="str">
        <f>IFERROR(__xludf.DUMMYFUNCTION("""COMPUTED_VALUE"""),"083-11800")</f>
        <v>083-11800</v>
      </c>
      <c r="B4513" s="6" t="str">
        <f>IFERROR(__xludf.DUMMYFUNCTION("""COMPUTED_VALUE"""),"83")</f>
        <v>83</v>
      </c>
      <c r="C4513" s="6" t="str">
        <f>IFERROR(__xludf.DUMMYFUNCTION("""COMPUTED_VALUE"""),"11800")</f>
        <v>11800</v>
      </c>
      <c r="D4513" s="6" t="str">
        <f>IFERROR(__xludf.DUMMYFUNCTION("""COMPUTED_VALUE"""),"Lesli")</f>
        <v>Lesli</v>
      </c>
      <c r="E4513" s="6" t="str">
        <f>IFERROR(__xludf.DUMMYFUNCTION("""COMPUTED_VALUE"""),"")</f>
        <v/>
      </c>
      <c r="F4513" s="6" t="str">
        <f>IFERROR(__xludf.DUMMYFUNCTION("""COMPUTED_VALUE"""),"Martinez-Leyva")</f>
        <v>Martinez-Leyva</v>
      </c>
      <c r="G4513" s="6" t="str">
        <f>IFERROR(__xludf.DUMMYFUNCTION("""COMPUTED_VALUE"""),"11/13/2014")</f>
        <v>11/13/2014</v>
      </c>
      <c r="H4513" s="6" t="str">
        <f>IFERROR(__xludf.DUMMYFUNCTION("""COMPUTED_VALUE"""),"female")</f>
        <v>female</v>
      </c>
      <c r="I4513" s="6" t="str">
        <f>IFERROR(__xludf.DUMMYFUNCTION("""COMPUTED_VALUE"""),"Level 2")</f>
        <v>Level 2</v>
      </c>
      <c r="J4513" s="6" t="str">
        <f>IFERROR(__xludf.DUMMYFUNCTION("""COMPUTED_VALUE"""),"5")</f>
        <v>5</v>
      </c>
      <c r="K4513" s="6" t="str">
        <f>IFERROR(__xludf.DUMMYFUNCTION("""COMPUTED_VALUE"""),"lesli.martinezleyva@2hourlearning.com")</f>
        <v>lesli.martinezleyva@2hourlearning.com</v>
      </c>
      <c r="L4513" s="6" t="str">
        <f>IFERROR(__xludf.DUMMYFUNCTION("""COMPUTED_VALUE"""),"JHES - Hardeeville Elementary School")</f>
        <v>JHES - Hardeeville Elementary School</v>
      </c>
      <c r="M4513" s="6" t="str">
        <f>IFERROR(__xludf.DUMMYFUNCTION("""COMPUTED_VALUE"""),"")</f>
        <v/>
      </c>
      <c r="N4513" s="6" t="str">
        <f>IFERROR(__xludf.DUMMYFUNCTION("""COMPUTED_VALUE"""),"")</f>
        <v/>
      </c>
      <c r="O4513" s="87" t="str">
        <f>IFERROR(__xludf.DUMMYFUNCTION("""COMPUTED_VALUE"""),"https://drive.google.com/drive/folders/10T2cTQHqEJZqE-st6uFKPoI?usp=share_link")</f>
        <v>https://drive.google.com/drive/folders/10T2cTQHqEJZqE-st6uFKPoI?usp=share_link</v>
      </c>
      <c r="P4513" s="6" t="str">
        <f>IFERROR(__xludf.DUMMYFUNCTION("""COMPUTED_VALUE"""),"Lesli Martinez-Leyva")</f>
        <v>Lesli Martinez-Leyva</v>
      </c>
      <c r="Q4513" s="6" t="str">
        <f>IFERROR(__xludf.DUMMYFUNCTION("""COMPUTED_VALUE"""),"L2")</f>
        <v>L2</v>
      </c>
      <c r="R4513" s="6">
        <f>IFERROR(__xludf.DUMMYFUNCTION("""COMPUTED_VALUE"""),2.0)</f>
        <v>2</v>
      </c>
      <c r="S4513" s="6" t="str">
        <f>IFERROR(__xludf.DUMMYFUNCTION("""COMPUTED_VALUE""")," ")</f>
        <v> </v>
      </c>
      <c r="T4513" s="6" t="str">
        <f>IFERROR(__xludf.DUMMYFUNCTION("""COMPUTED_VALUE"""),"")</f>
        <v/>
      </c>
      <c r="U4513" s="6" t="str">
        <f>IFERROR(__xludf.DUMMYFUNCTION("""COMPUTED_VALUE"""),"5")</f>
        <v>5</v>
      </c>
      <c r="V4513" s="6" t="str">
        <f>IFERROR(__xludf.DUMMYFUNCTION("""COMPUTED_VALUE"""),"")</f>
        <v/>
      </c>
      <c r="W4513" s="6" t="str">
        <f>IFERROR(__xludf.DUMMYFUNCTION("""COMPUTED_VALUE"""),"[]")</f>
        <v>[]</v>
      </c>
      <c r="X4513" s="6" t="str">
        <f>IFERROR(__xludf.DUMMYFUNCTION("""COMPUTED_VALUE"""),"Enrolled")</f>
        <v>Enrolled</v>
      </c>
    </row>
    <row r="4514">
      <c r="A4514" s="6" t="str">
        <f>IFERROR(__xludf.DUMMYFUNCTION("""COMPUTED_VALUE"""),"083-11801")</f>
        <v>083-11801</v>
      </c>
      <c r="B4514" s="6" t="str">
        <f>IFERROR(__xludf.DUMMYFUNCTION("""COMPUTED_VALUE"""),"83")</f>
        <v>83</v>
      </c>
      <c r="C4514" s="6" t="str">
        <f>IFERROR(__xludf.DUMMYFUNCTION("""COMPUTED_VALUE"""),"11801")</f>
        <v>11801</v>
      </c>
      <c r="D4514" s="6" t="str">
        <f>IFERROR(__xludf.DUMMYFUNCTION("""COMPUTED_VALUE"""),"Erick Esau")</f>
        <v>Erick Esau</v>
      </c>
      <c r="E4514" s="6" t="str">
        <f>IFERROR(__xludf.DUMMYFUNCTION("""COMPUTED_VALUE"""),"")</f>
        <v/>
      </c>
      <c r="F4514" s="6" t="str">
        <f>IFERROR(__xludf.DUMMYFUNCTION("""COMPUTED_VALUE"""),"Mejia Mazariegos")</f>
        <v>Mejia Mazariegos</v>
      </c>
      <c r="G4514" s="6" t="str">
        <f>IFERROR(__xludf.DUMMYFUNCTION("""COMPUTED_VALUE"""),"02/17/2014")</f>
        <v>02/17/2014</v>
      </c>
      <c r="H4514" s="6" t="str">
        <f>IFERROR(__xludf.DUMMYFUNCTION("""COMPUTED_VALUE"""),"male")</f>
        <v>male</v>
      </c>
      <c r="I4514" s="6" t="str">
        <f>IFERROR(__xludf.DUMMYFUNCTION("""COMPUTED_VALUE"""),"Level 2")</f>
        <v>Level 2</v>
      </c>
      <c r="J4514" s="6" t="str">
        <f>IFERROR(__xludf.DUMMYFUNCTION("""COMPUTED_VALUE"""),"5")</f>
        <v>5</v>
      </c>
      <c r="K4514" s="6" t="str">
        <f>IFERROR(__xludf.DUMMYFUNCTION("""COMPUTED_VALUE"""),"erickesau.mejiamazariegos@2hourlearning.com")</f>
        <v>erickesau.mejiamazariegos@2hourlearning.com</v>
      </c>
      <c r="L4514" s="6" t="str">
        <f>IFERROR(__xludf.DUMMYFUNCTION("""COMPUTED_VALUE"""),"JHES - Hardeeville Elementary School")</f>
        <v>JHES - Hardeeville Elementary School</v>
      </c>
      <c r="M4514" s="6" t="str">
        <f>IFERROR(__xludf.DUMMYFUNCTION("""COMPUTED_VALUE"""),"")</f>
        <v/>
      </c>
      <c r="N4514" s="6" t="str">
        <f>IFERROR(__xludf.DUMMYFUNCTION("""COMPUTED_VALUE"""),"")</f>
        <v/>
      </c>
      <c r="O4514" s="87" t="str">
        <f>IFERROR(__xludf.DUMMYFUNCTION("""COMPUTED_VALUE"""),"https://drive.google.com/drive/folders/10T2cTQHqEJZqE-st6uFKPoI?usp=share_link")</f>
        <v>https://drive.google.com/drive/folders/10T2cTQHqEJZqE-st6uFKPoI?usp=share_link</v>
      </c>
      <c r="P4514" s="6" t="str">
        <f>IFERROR(__xludf.DUMMYFUNCTION("""COMPUTED_VALUE"""),"Erick Esau Mejia Mazariegos")</f>
        <v>Erick Esau Mejia Mazariegos</v>
      </c>
      <c r="Q4514" s="6" t="str">
        <f>IFERROR(__xludf.DUMMYFUNCTION("""COMPUTED_VALUE"""),"L2")</f>
        <v>L2</v>
      </c>
      <c r="R4514" s="6">
        <f>IFERROR(__xludf.DUMMYFUNCTION("""COMPUTED_VALUE"""),2.0)</f>
        <v>2</v>
      </c>
      <c r="S4514" s="6" t="str">
        <f>IFERROR(__xludf.DUMMYFUNCTION("""COMPUTED_VALUE""")," ")</f>
        <v> </v>
      </c>
      <c r="T4514" s="6" t="str">
        <f>IFERROR(__xludf.DUMMYFUNCTION("""COMPUTED_VALUE"""),"")</f>
        <v/>
      </c>
      <c r="U4514" s="6" t="str">
        <f>IFERROR(__xludf.DUMMYFUNCTION("""COMPUTED_VALUE"""),"5")</f>
        <v>5</v>
      </c>
      <c r="V4514" s="6" t="str">
        <f>IFERROR(__xludf.DUMMYFUNCTION("""COMPUTED_VALUE"""),"")</f>
        <v/>
      </c>
      <c r="W4514" s="6" t="str">
        <f>IFERROR(__xludf.DUMMYFUNCTION("""COMPUTED_VALUE"""),"[]")</f>
        <v>[]</v>
      </c>
      <c r="X4514" s="6" t="str">
        <f>IFERROR(__xludf.DUMMYFUNCTION("""COMPUTED_VALUE"""),"Enrolled")</f>
        <v>Enrolled</v>
      </c>
    </row>
    <row r="4515">
      <c r="A4515" s="6" t="str">
        <f>IFERROR(__xludf.DUMMYFUNCTION("""COMPUTED_VALUE"""),"083-11802")</f>
        <v>083-11802</v>
      </c>
      <c r="B4515" s="6" t="str">
        <f>IFERROR(__xludf.DUMMYFUNCTION("""COMPUTED_VALUE"""),"83")</f>
        <v>83</v>
      </c>
      <c r="C4515" s="6" t="str">
        <f>IFERROR(__xludf.DUMMYFUNCTION("""COMPUTED_VALUE"""),"11802")</f>
        <v>11802</v>
      </c>
      <c r="D4515" s="6" t="str">
        <f>IFERROR(__xludf.DUMMYFUNCTION("""COMPUTED_VALUE"""),"Melany")</f>
        <v>Melany</v>
      </c>
      <c r="E4515" s="6" t="str">
        <f>IFERROR(__xludf.DUMMYFUNCTION("""COMPUTED_VALUE"""),"")</f>
        <v/>
      </c>
      <c r="F4515" s="6" t="str">
        <f>IFERROR(__xludf.DUMMYFUNCTION("""COMPUTED_VALUE"""),"Mendoza")</f>
        <v>Mendoza</v>
      </c>
      <c r="G4515" s="6" t="str">
        <f>IFERROR(__xludf.DUMMYFUNCTION("""COMPUTED_VALUE"""),"12/09/2014")</f>
        <v>12/09/2014</v>
      </c>
      <c r="H4515" s="6" t="str">
        <f>IFERROR(__xludf.DUMMYFUNCTION("""COMPUTED_VALUE"""),"female")</f>
        <v>female</v>
      </c>
      <c r="I4515" s="6" t="str">
        <f>IFERROR(__xludf.DUMMYFUNCTION("""COMPUTED_VALUE"""),"Level 2")</f>
        <v>Level 2</v>
      </c>
      <c r="J4515" s="6" t="str">
        <f>IFERROR(__xludf.DUMMYFUNCTION("""COMPUTED_VALUE"""),"5")</f>
        <v>5</v>
      </c>
      <c r="K4515" s="6" t="str">
        <f>IFERROR(__xludf.DUMMYFUNCTION("""COMPUTED_VALUE"""),"melany.mendoza@2hourlearning.com")</f>
        <v>melany.mendoza@2hourlearning.com</v>
      </c>
      <c r="L4515" s="6" t="str">
        <f>IFERROR(__xludf.DUMMYFUNCTION("""COMPUTED_VALUE"""),"JHES - Hardeeville Elementary School")</f>
        <v>JHES - Hardeeville Elementary School</v>
      </c>
      <c r="M4515" s="6" t="str">
        <f>IFERROR(__xludf.DUMMYFUNCTION("""COMPUTED_VALUE"""),"")</f>
        <v/>
      </c>
      <c r="N4515" s="6" t="str">
        <f>IFERROR(__xludf.DUMMYFUNCTION("""COMPUTED_VALUE"""),"")</f>
        <v/>
      </c>
      <c r="O4515" s="87" t="str">
        <f>IFERROR(__xludf.DUMMYFUNCTION("""COMPUTED_VALUE"""),"https://drive.google.com/drive/folders/10T2cTQHqEJZqE-st6uFKPoI?usp=share_link")</f>
        <v>https://drive.google.com/drive/folders/10T2cTQHqEJZqE-st6uFKPoI?usp=share_link</v>
      </c>
      <c r="P4515" s="6" t="str">
        <f>IFERROR(__xludf.DUMMYFUNCTION("""COMPUTED_VALUE"""),"Melany Mendoza")</f>
        <v>Melany Mendoza</v>
      </c>
      <c r="Q4515" s="6" t="str">
        <f>IFERROR(__xludf.DUMMYFUNCTION("""COMPUTED_VALUE"""),"L2")</f>
        <v>L2</v>
      </c>
      <c r="R4515" s="6">
        <f>IFERROR(__xludf.DUMMYFUNCTION("""COMPUTED_VALUE"""),2.0)</f>
        <v>2</v>
      </c>
      <c r="S4515" s="6" t="str">
        <f>IFERROR(__xludf.DUMMYFUNCTION("""COMPUTED_VALUE""")," ")</f>
        <v> </v>
      </c>
      <c r="T4515" s="6" t="str">
        <f>IFERROR(__xludf.DUMMYFUNCTION("""COMPUTED_VALUE"""),"")</f>
        <v/>
      </c>
      <c r="U4515" s="6" t="str">
        <f>IFERROR(__xludf.DUMMYFUNCTION("""COMPUTED_VALUE"""),"5")</f>
        <v>5</v>
      </c>
      <c r="V4515" s="6" t="str">
        <f>IFERROR(__xludf.DUMMYFUNCTION("""COMPUTED_VALUE"""),"")</f>
        <v/>
      </c>
      <c r="W4515" s="6" t="str">
        <f>IFERROR(__xludf.DUMMYFUNCTION("""COMPUTED_VALUE"""),"[]")</f>
        <v>[]</v>
      </c>
      <c r="X4515" s="6" t="str">
        <f>IFERROR(__xludf.DUMMYFUNCTION("""COMPUTED_VALUE"""),"Enrolled")</f>
        <v>Enrolled</v>
      </c>
    </row>
    <row r="4516">
      <c r="A4516" s="6" t="str">
        <f>IFERROR(__xludf.DUMMYFUNCTION("""COMPUTED_VALUE"""),"083-11803")</f>
        <v>083-11803</v>
      </c>
      <c r="B4516" s="6" t="str">
        <f>IFERROR(__xludf.DUMMYFUNCTION("""COMPUTED_VALUE"""),"83")</f>
        <v>83</v>
      </c>
      <c r="C4516" s="6" t="str">
        <f>IFERROR(__xludf.DUMMYFUNCTION("""COMPUTED_VALUE"""),"11803")</f>
        <v>11803</v>
      </c>
      <c r="D4516" s="6" t="str">
        <f>IFERROR(__xludf.DUMMYFUNCTION("""COMPUTED_VALUE"""),"Ruben")</f>
        <v>Ruben</v>
      </c>
      <c r="E4516" s="6" t="str">
        <f>IFERROR(__xludf.DUMMYFUNCTION("""COMPUTED_VALUE"""),"")</f>
        <v/>
      </c>
      <c r="F4516" s="6" t="str">
        <f>IFERROR(__xludf.DUMMYFUNCTION("""COMPUTED_VALUE"""),"Moctezuma De La Cruz")</f>
        <v>Moctezuma De La Cruz</v>
      </c>
      <c r="G4516" s="6" t="str">
        <f>IFERROR(__xludf.DUMMYFUNCTION("""COMPUTED_VALUE"""),"08/29/2015")</f>
        <v>08/29/2015</v>
      </c>
      <c r="H4516" s="6" t="str">
        <f>IFERROR(__xludf.DUMMYFUNCTION("""COMPUTED_VALUE"""),"male")</f>
        <v>male</v>
      </c>
      <c r="I4516" s="6" t="str">
        <f>IFERROR(__xludf.DUMMYFUNCTION("""COMPUTED_VALUE"""),"Level 2")</f>
        <v>Level 2</v>
      </c>
      <c r="J4516" s="6" t="str">
        <f>IFERROR(__xludf.DUMMYFUNCTION("""COMPUTED_VALUE"""),"5")</f>
        <v>5</v>
      </c>
      <c r="K4516" s="6" t="str">
        <f>IFERROR(__xludf.DUMMYFUNCTION("""COMPUTED_VALUE"""),"ruben.moctezumadelacruz@2hourlearning.com")</f>
        <v>ruben.moctezumadelacruz@2hourlearning.com</v>
      </c>
      <c r="L4516" s="6" t="str">
        <f>IFERROR(__xludf.DUMMYFUNCTION("""COMPUTED_VALUE"""),"JHES - Hardeeville Elementary School")</f>
        <v>JHES - Hardeeville Elementary School</v>
      </c>
      <c r="M4516" s="6" t="str">
        <f>IFERROR(__xludf.DUMMYFUNCTION("""COMPUTED_VALUE"""),"")</f>
        <v/>
      </c>
      <c r="N4516" s="6" t="str">
        <f>IFERROR(__xludf.DUMMYFUNCTION("""COMPUTED_VALUE"""),"")</f>
        <v/>
      </c>
      <c r="O4516" s="87" t="str">
        <f>IFERROR(__xludf.DUMMYFUNCTION("""COMPUTED_VALUE"""),"https://drive.google.com/drive/folders/10T2cTQHqEJZqE-st6uFKPoI?usp=share_link")</f>
        <v>https://drive.google.com/drive/folders/10T2cTQHqEJZqE-st6uFKPoI?usp=share_link</v>
      </c>
      <c r="P4516" s="6" t="str">
        <f>IFERROR(__xludf.DUMMYFUNCTION("""COMPUTED_VALUE"""),"Ruben Moctezuma De La Cruz")</f>
        <v>Ruben Moctezuma De La Cruz</v>
      </c>
      <c r="Q4516" s="6" t="str">
        <f>IFERROR(__xludf.DUMMYFUNCTION("""COMPUTED_VALUE"""),"L2")</f>
        <v>L2</v>
      </c>
      <c r="R4516" s="6">
        <f>IFERROR(__xludf.DUMMYFUNCTION("""COMPUTED_VALUE"""),2.0)</f>
        <v>2</v>
      </c>
      <c r="S4516" s="6" t="str">
        <f>IFERROR(__xludf.DUMMYFUNCTION("""COMPUTED_VALUE""")," ")</f>
        <v> </v>
      </c>
      <c r="T4516" s="6" t="str">
        <f>IFERROR(__xludf.DUMMYFUNCTION("""COMPUTED_VALUE"""),"")</f>
        <v/>
      </c>
      <c r="U4516" s="6" t="str">
        <f>IFERROR(__xludf.DUMMYFUNCTION("""COMPUTED_VALUE"""),"5")</f>
        <v>5</v>
      </c>
      <c r="V4516" s="6" t="str">
        <f>IFERROR(__xludf.DUMMYFUNCTION("""COMPUTED_VALUE"""),"")</f>
        <v/>
      </c>
      <c r="W4516" s="6" t="str">
        <f>IFERROR(__xludf.DUMMYFUNCTION("""COMPUTED_VALUE"""),"[]")</f>
        <v>[]</v>
      </c>
      <c r="X4516" s="6" t="str">
        <f>IFERROR(__xludf.DUMMYFUNCTION("""COMPUTED_VALUE"""),"Enrolled")</f>
        <v>Enrolled</v>
      </c>
    </row>
    <row r="4517">
      <c r="A4517" s="6" t="str">
        <f>IFERROR(__xludf.DUMMYFUNCTION("""COMPUTED_VALUE"""),"083-11804")</f>
        <v>083-11804</v>
      </c>
      <c r="B4517" s="6" t="str">
        <f>IFERROR(__xludf.DUMMYFUNCTION("""COMPUTED_VALUE"""),"83")</f>
        <v>83</v>
      </c>
      <c r="C4517" s="6" t="str">
        <f>IFERROR(__xludf.DUMMYFUNCTION("""COMPUTED_VALUE"""),"11804")</f>
        <v>11804</v>
      </c>
      <c r="D4517" s="6" t="str">
        <f>IFERROR(__xludf.DUMMYFUNCTION("""COMPUTED_VALUE"""),"Harrison")</f>
        <v>Harrison</v>
      </c>
      <c r="E4517" s="6" t="str">
        <f>IFERROR(__xludf.DUMMYFUNCTION("""COMPUTED_VALUE"""),"")</f>
        <v/>
      </c>
      <c r="F4517" s="6" t="str">
        <f>IFERROR(__xludf.DUMMYFUNCTION("""COMPUTED_VALUE"""),"Morales Garcia")</f>
        <v>Morales Garcia</v>
      </c>
      <c r="G4517" s="6" t="str">
        <f>IFERROR(__xludf.DUMMYFUNCTION("""COMPUTED_VALUE"""),"12/05/2014")</f>
        <v>12/05/2014</v>
      </c>
      <c r="H4517" s="6" t="str">
        <f>IFERROR(__xludf.DUMMYFUNCTION("""COMPUTED_VALUE"""),"male")</f>
        <v>male</v>
      </c>
      <c r="I4517" s="6" t="str">
        <f>IFERROR(__xludf.DUMMYFUNCTION("""COMPUTED_VALUE"""),"Level 2")</f>
        <v>Level 2</v>
      </c>
      <c r="J4517" s="6" t="str">
        <f>IFERROR(__xludf.DUMMYFUNCTION("""COMPUTED_VALUE"""),"5")</f>
        <v>5</v>
      </c>
      <c r="K4517" s="6" t="str">
        <f>IFERROR(__xludf.DUMMYFUNCTION("""COMPUTED_VALUE"""),"harrison.moralesgarcia@2hourlearning.com")</f>
        <v>harrison.moralesgarcia@2hourlearning.com</v>
      </c>
      <c r="L4517" s="6" t="str">
        <f>IFERROR(__xludf.DUMMYFUNCTION("""COMPUTED_VALUE"""),"JHES - Hardeeville Elementary School")</f>
        <v>JHES - Hardeeville Elementary School</v>
      </c>
      <c r="M4517" s="6" t="str">
        <f>IFERROR(__xludf.DUMMYFUNCTION("""COMPUTED_VALUE"""),"")</f>
        <v/>
      </c>
      <c r="N4517" s="6" t="str">
        <f>IFERROR(__xludf.DUMMYFUNCTION("""COMPUTED_VALUE"""),"")</f>
        <v/>
      </c>
      <c r="O4517" s="87" t="str">
        <f>IFERROR(__xludf.DUMMYFUNCTION("""COMPUTED_VALUE"""),"https://drive.google.com/drive/folders/10T2cTQHqEJZqE-st6uFKPoI?usp=share_link")</f>
        <v>https://drive.google.com/drive/folders/10T2cTQHqEJZqE-st6uFKPoI?usp=share_link</v>
      </c>
      <c r="P4517" s="6" t="str">
        <f>IFERROR(__xludf.DUMMYFUNCTION("""COMPUTED_VALUE"""),"Harrison Morales Garcia")</f>
        <v>Harrison Morales Garcia</v>
      </c>
      <c r="Q4517" s="6" t="str">
        <f>IFERROR(__xludf.DUMMYFUNCTION("""COMPUTED_VALUE"""),"L2")</f>
        <v>L2</v>
      </c>
      <c r="R4517" s="6">
        <f>IFERROR(__xludf.DUMMYFUNCTION("""COMPUTED_VALUE"""),2.0)</f>
        <v>2</v>
      </c>
      <c r="S4517" s="6" t="str">
        <f>IFERROR(__xludf.DUMMYFUNCTION("""COMPUTED_VALUE""")," ")</f>
        <v> </v>
      </c>
      <c r="T4517" s="6" t="str">
        <f>IFERROR(__xludf.DUMMYFUNCTION("""COMPUTED_VALUE"""),"")</f>
        <v/>
      </c>
      <c r="U4517" s="6" t="str">
        <f>IFERROR(__xludf.DUMMYFUNCTION("""COMPUTED_VALUE"""),"5")</f>
        <v>5</v>
      </c>
      <c r="V4517" s="6" t="str">
        <f>IFERROR(__xludf.DUMMYFUNCTION("""COMPUTED_VALUE"""),"")</f>
        <v/>
      </c>
      <c r="W4517" s="6" t="str">
        <f>IFERROR(__xludf.DUMMYFUNCTION("""COMPUTED_VALUE"""),"[]")</f>
        <v>[]</v>
      </c>
      <c r="X4517" s="6" t="str">
        <f>IFERROR(__xludf.DUMMYFUNCTION("""COMPUTED_VALUE"""),"Enrolled")</f>
        <v>Enrolled</v>
      </c>
    </row>
    <row r="4518">
      <c r="A4518" s="6" t="str">
        <f>IFERROR(__xludf.DUMMYFUNCTION("""COMPUTED_VALUE"""),"083-11805")</f>
        <v>083-11805</v>
      </c>
      <c r="B4518" s="6" t="str">
        <f>IFERROR(__xludf.DUMMYFUNCTION("""COMPUTED_VALUE"""),"83")</f>
        <v>83</v>
      </c>
      <c r="C4518" s="6" t="str">
        <f>IFERROR(__xludf.DUMMYFUNCTION("""COMPUTED_VALUE"""),"11805")</f>
        <v>11805</v>
      </c>
      <c r="D4518" s="6" t="str">
        <f>IFERROR(__xludf.DUMMYFUNCTION("""COMPUTED_VALUE"""),"Estefany")</f>
        <v>Estefany</v>
      </c>
      <c r="E4518" s="6" t="str">
        <f>IFERROR(__xludf.DUMMYFUNCTION("""COMPUTED_VALUE"""),"")</f>
        <v/>
      </c>
      <c r="F4518" s="6" t="str">
        <f>IFERROR(__xludf.DUMMYFUNCTION("""COMPUTED_VALUE"""),"Ortiz")</f>
        <v>Ortiz</v>
      </c>
      <c r="G4518" s="6" t="str">
        <f>IFERROR(__xludf.DUMMYFUNCTION("""COMPUTED_VALUE"""),"12/15/2014")</f>
        <v>12/15/2014</v>
      </c>
      <c r="H4518" s="6" t="str">
        <f>IFERROR(__xludf.DUMMYFUNCTION("""COMPUTED_VALUE"""),"female")</f>
        <v>female</v>
      </c>
      <c r="I4518" s="6" t="str">
        <f>IFERROR(__xludf.DUMMYFUNCTION("""COMPUTED_VALUE"""),"Level 2")</f>
        <v>Level 2</v>
      </c>
      <c r="J4518" s="6" t="str">
        <f>IFERROR(__xludf.DUMMYFUNCTION("""COMPUTED_VALUE"""),"5")</f>
        <v>5</v>
      </c>
      <c r="K4518" s="6" t="str">
        <f>IFERROR(__xludf.DUMMYFUNCTION("""COMPUTED_VALUE"""),"estefany.ortiz@2hourlearning.com")</f>
        <v>estefany.ortiz@2hourlearning.com</v>
      </c>
      <c r="L4518" s="6" t="str">
        <f>IFERROR(__xludf.DUMMYFUNCTION("""COMPUTED_VALUE"""),"JHES - Hardeeville Elementary School")</f>
        <v>JHES - Hardeeville Elementary School</v>
      </c>
      <c r="M4518" s="6" t="str">
        <f>IFERROR(__xludf.DUMMYFUNCTION("""COMPUTED_VALUE"""),"")</f>
        <v/>
      </c>
      <c r="N4518" s="6" t="str">
        <f>IFERROR(__xludf.DUMMYFUNCTION("""COMPUTED_VALUE"""),"")</f>
        <v/>
      </c>
      <c r="O4518" s="87" t="str">
        <f>IFERROR(__xludf.DUMMYFUNCTION("""COMPUTED_VALUE"""),"https://drive.google.com/drive/folders/10T2cTQHqEJZqE-st6uFKPoI?usp=share_link")</f>
        <v>https://drive.google.com/drive/folders/10T2cTQHqEJZqE-st6uFKPoI?usp=share_link</v>
      </c>
      <c r="P4518" s="6" t="str">
        <f>IFERROR(__xludf.DUMMYFUNCTION("""COMPUTED_VALUE"""),"Estefany Ortiz")</f>
        <v>Estefany Ortiz</v>
      </c>
      <c r="Q4518" s="6" t="str">
        <f>IFERROR(__xludf.DUMMYFUNCTION("""COMPUTED_VALUE"""),"L2")</f>
        <v>L2</v>
      </c>
      <c r="R4518" s="6">
        <f>IFERROR(__xludf.DUMMYFUNCTION("""COMPUTED_VALUE"""),2.0)</f>
        <v>2</v>
      </c>
      <c r="S4518" s="6" t="str">
        <f>IFERROR(__xludf.DUMMYFUNCTION("""COMPUTED_VALUE""")," ")</f>
        <v> </v>
      </c>
      <c r="T4518" s="6" t="str">
        <f>IFERROR(__xludf.DUMMYFUNCTION("""COMPUTED_VALUE"""),"")</f>
        <v/>
      </c>
      <c r="U4518" s="6" t="str">
        <f>IFERROR(__xludf.DUMMYFUNCTION("""COMPUTED_VALUE"""),"5")</f>
        <v>5</v>
      </c>
      <c r="V4518" s="6" t="str">
        <f>IFERROR(__xludf.DUMMYFUNCTION("""COMPUTED_VALUE"""),"")</f>
        <v/>
      </c>
      <c r="W4518" s="6" t="str">
        <f>IFERROR(__xludf.DUMMYFUNCTION("""COMPUTED_VALUE"""),"[]")</f>
        <v>[]</v>
      </c>
      <c r="X4518" s="6" t="str">
        <f>IFERROR(__xludf.DUMMYFUNCTION("""COMPUTED_VALUE"""),"Enrolled")</f>
        <v>Enrolled</v>
      </c>
    </row>
    <row r="4519">
      <c r="A4519" s="6" t="str">
        <f>IFERROR(__xludf.DUMMYFUNCTION("""COMPUTED_VALUE"""),"083-11806")</f>
        <v>083-11806</v>
      </c>
      <c r="B4519" s="6" t="str">
        <f>IFERROR(__xludf.DUMMYFUNCTION("""COMPUTED_VALUE"""),"83")</f>
        <v>83</v>
      </c>
      <c r="C4519" s="6" t="str">
        <f>IFERROR(__xludf.DUMMYFUNCTION("""COMPUTED_VALUE"""),"11806")</f>
        <v>11806</v>
      </c>
      <c r="D4519" s="6" t="str">
        <f>IFERROR(__xludf.DUMMYFUNCTION("""COMPUTED_VALUE"""),"Genesis")</f>
        <v>Genesis</v>
      </c>
      <c r="E4519" s="6" t="str">
        <f>IFERROR(__xludf.DUMMYFUNCTION("""COMPUTED_VALUE"""),"")</f>
        <v/>
      </c>
      <c r="F4519" s="6" t="str">
        <f>IFERROR(__xludf.DUMMYFUNCTION("""COMPUTED_VALUE"""),"Page")</f>
        <v>Page</v>
      </c>
      <c r="G4519" s="6" t="str">
        <f>IFERROR(__xludf.DUMMYFUNCTION("""COMPUTED_VALUE"""),"02/03/2015")</f>
        <v>02/03/2015</v>
      </c>
      <c r="H4519" s="6" t="str">
        <f>IFERROR(__xludf.DUMMYFUNCTION("""COMPUTED_VALUE"""),"female")</f>
        <v>female</v>
      </c>
      <c r="I4519" s="6" t="str">
        <f>IFERROR(__xludf.DUMMYFUNCTION("""COMPUTED_VALUE"""),"Level 2")</f>
        <v>Level 2</v>
      </c>
      <c r="J4519" s="6" t="str">
        <f>IFERROR(__xludf.DUMMYFUNCTION("""COMPUTED_VALUE"""),"5")</f>
        <v>5</v>
      </c>
      <c r="K4519" s="6" t="str">
        <f>IFERROR(__xludf.DUMMYFUNCTION("""COMPUTED_VALUE"""),"genesis.page@2hourlearning.com")</f>
        <v>genesis.page@2hourlearning.com</v>
      </c>
      <c r="L4519" s="6" t="str">
        <f>IFERROR(__xludf.DUMMYFUNCTION("""COMPUTED_VALUE"""),"JHES - Hardeeville Elementary School")</f>
        <v>JHES - Hardeeville Elementary School</v>
      </c>
      <c r="M4519" s="6" t="str">
        <f>IFERROR(__xludf.DUMMYFUNCTION("""COMPUTED_VALUE"""),"")</f>
        <v/>
      </c>
      <c r="N4519" s="6" t="str">
        <f>IFERROR(__xludf.DUMMYFUNCTION("""COMPUTED_VALUE"""),"")</f>
        <v/>
      </c>
      <c r="O4519" s="87" t="str">
        <f>IFERROR(__xludf.DUMMYFUNCTION("""COMPUTED_VALUE"""),"https://drive.google.com/drive/folders/10T2cTQHqEJZqE-st6uFKPoI?usp=share_link")</f>
        <v>https://drive.google.com/drive/folders/10T2cTQHqEJZqE-st6uFKPoI?usp=share_link</v>
      </c>
      <c r="P4519" s="6" t="str">
        <f>IFERROR(__xludf.DUMMYFUNCTION("""COMPUTED_VALUE"""),"Genesis Page")</f>
        <v>Genesis Page</v>
      </c>
      <c r="Q4519" s="6" t="str">
        <f>IFERROR(__xludf.DUMMYFUNCTION("""COMPUTED_VALUE"""),"L2")</f>
        <v>L2</v>
      </c>
      <c r="R4519" s="6">
        <f>IFERROR(__xludf.DUMMYFUNCTION("""COMPUTED_VALUE"""),2.0)</f>
        <v>2</v>
      </c>
      <c r="S4519" s="6" t="str">
        <f>IFERROR(__xludf.DUMMYFUNCTION("""COMPUTED_VALUE""")," ")</f>
        <v> </v>
      </c>
      <c r="T4519" s="6" t="str">
        <f>IFERROR(__xludf.DUMMYFUNCTION("""COMPUTED_VALUE"""),"")</f>
        <v/>
      </c>
      <c r="U4519" s="6" t="str">
        <f>IFERROR(__xludf.DUMMYFUNCTION("""COMPUTED_VALUE"""),"5")</f>
        <v>5</v>
      </c>
      <c r="V4519" s="6" t="str">
        <f>IFERROR(__xludf.DUMMYFUNCTION("""COMPUTED_VALUE"""),"")</f>
        <v/>
      </c>
      <c r="W4519" s="6" t="str">
        <f>IFERROR(__xludf.DUMMYFUNCTION("""COMPUTED_VALUE"""),"[]")</f>
        <v>[]</v>
      </c>
      <c r="X4519" s="6" t="str">
        <f>IFERROR(__xludf.DUMMYFUNCTION("""COMPUTED_VALUE"""),"Enrolled")</f>
        <v>Enrolled</v>
      </c>
    </row>
    <row r="4520">
      <c r="A4520" s="6" t="str">
        <f>IFERROR(__xludf.DUMMYFUNCTION("""COMPUTED_VALUE"""),"083-11807")</f>
        <v>083-11807</v>
      </c>
      <c r="B4520" s="6" t="str">
        <f>IFERROR(__xludf.DUMMYFUNCTION("""COMPUTED_VALUE"""),"83")</f>
        <v>83</v>
      </c>
      <c r="C4520" s="6" t="str">
        <f>IFERROR(__xludf.DUMMYFUNCTION("""COMPUTED_VALUE"""),"11807")</f>
        <v>11807</v>
      </c>
      <c r="D4520" s="6" t="str">
        <f>IFERROR(__xludf.DUMMYFUNCTION("""COMPUTED_VALUE"""),"Junior J")</f>
        <v>Junior J</v>
      </c>
      <c r="E4520" s="6" t="str">
        <f>IFERROR(__xludf.DUMMYFUNCTION("""COMPUTED_VALUE"""),"")</f>
        <v/>
      </c>
      <c r="F4520" s="6" t="str">
        <f>IFERROR(__xludf.DUMMYFUNCTION("""COMPUTED_VALUE"""),"Paz Flores")</f>
        <v>Paz Flores</v>
      </c>
      <c r="G4520" s="6" t="str">
        <f>IFERROR(__xludf.DUMMYFUNCTION("""COMPUTED_VALUE"""),"07/16/2015")</f>
        <v>07/16/2015</v>
      </c>
      <c r="H4520" s="6" t="str">
        <f>IFERROR(__xludf.DUMMYFUNCTION("""COMPUTED_VALUE"""),"male")</f>
        <v>male</v>
      </c>
      <c r="I4520" s="6" t="str">
        <f>IFERROR(__xludf.DUMMYFUNCTION("""COMPUTED_VALUE"""),"Level 2")</f>
        <v>Level 2</v>
      </c>
      <c r="J4520" s="6" t="str">
        <f>IFERROR(__xludf.DUMMYFUNCTION("""COMPUTED_VALUE"""),"5")</f>
        <v>5</v>
      </c>
      <c r="K4520" s="6" t="str">
        <f>IFERROR(__xludf.DUMMYFUNCTION("""COMPUTED_VALUE"""),"juniorj.pazflores@2hourlearning.com")</f>
        <v>juniorj.pazflores@2hourlearning.com</v>
      </c>
      <c r="L4520" s="6" t="str">
        <f>IFERROR(__xludf.DUMMYFUNCTION("""COMPUTED_VALUE"""),"JHES - Hardeeville Elementary School")</f>
        <v>JHES - Hardeeville Elementary School</v>
      </c>
      <c r="M4520" s="6" t="str">
        <f>IFERROR(__xludf.DUMMYFUNCTION("""COMPUTED_VALUE"""),"")</f>
        <v/>
      </c>
      <c r="N4520" s="6" t="str">
        <f>IFERROR(__xludf.DUMMYFUNCTION("""COMPUTED_VALUE"""),"")</f>
        <v/>
      </c>
      <c r="O4520" s="87" t="str">
        <f>IFERROR(__xludf.DUMMYFUNCTION("""COMPUTED_VALUE"""),"https://drive.google.com/drive/folders/10T2cTQHqEJZqE-st6uFKPoI?usp=share_link")</f>
        <v>https://drive.google.com/drive/folders/10T2cTQHqEJZqE-st6uFKPoI?usp=share_link</v>
      </c>
      <c r="P4520" s="6" t="str">
        <f>IFERROR(__xludf.DUMMYFUNCTION("""COMPUTED_VALUE"""),"Junior J Paz Flores")</f>
        <v>Junior J Paz Flores</v>
      </c>
      <c r="Q4520" s="6" t="str">
        <f>IFERROR(__xludf.DUMMYFUNCTION("""COMPUTED_VALUE"""),"L2")</f>
        <v>L2</v>
      </c>
      <c r="R4520" s="6">
        <f>IFERROR(__xludf.DUMMYFUNCTION("""COMPUTED_VALUE"""),2.0)</f>
        <v>2</v>
      </c>
      <c r="S4520" s="6" t="str">
        <f>IFERROR(__xludf.DUMMYFUNCTION("""COMPUTED_VALUE""")," ")</f>
        <v> </v>
      </c>
      <c r="T4520" s="6" t="str">
        <f>IFERROR(__xludf.DUMMYFUNCTION("""COMPUTED_VALUE"""),"")</f>
        <v/>
      </c>
      <c r="U4520" s="6" t="str">
        <f>IFERROR(__xludf.DUMMYFUNCTION("""COMPUTED_VALUE"""),"5")</f>
        <v>5</v>
      </c>
      <c r="V4520" s="6" t="str">
        <f>IFERROR(__xludf.DUMMYFUNCTION("""COMPUTED_VALUE"""),"")</f>
        <v/>
      </c>
      <c r="W4520" s="6" t="str">
        <f>IFERROR(__xludf.DUMMYFUNCTION("""COMPUTED_VALUE"""),"[]")</f>
        <v>[]</v>
      </c>
      <c r="X4520" s="6" t="str">
        <f>IFERROR(__xludf.DUMMYFUNCTION("""COMPUTED_VALUE"""),"Enrolled")</f>
        <v>Enrolled</v>
      </c>
    </row>
    <row r="4521">
      <c r="A4521" s="6" t="str">
        <f>IFERROR(__xludf.DUMMYFUNCTION("""COMPUTED_VALUE"""),"083-11808")</f>
        <v>083-11808</v>
      </c>
      <c r="B4521" s="6" t="str">
        <f>IFERROR(__xludf.DUMMYFUNCTION("""COMPUTED_VALUE"""),"83")</f>
        <v>83</v>
      </c>
      <c r="C4521" s="6" t="str">
        <f>IFERROR(__xludf.DUMMYFUNCTION("""COMPUTED_VALUE"""),"11808")</f>
        <v>11808</v>
      </c>
      <c r="D4521" s="6" t="str">
        <f>IFERROR(__xludf.DUMMYFUNCTION("""COMPUTED_VALUE"""),"Katerin")</f>
        <v>Katerin</v>
      </c>
      <c r="E4521" s="6" t="str">
        <f>IFERROR(__xludf.DUMMYFUNCTION("""COMPUTED_VALUE"""),"")</f>
        <v/>
      </c>
      <c r="F4521" s="6" t="str">
        <f>IFERROR(__xludf.DUMMYFUNCTION("""COMPUTED_VALUE"""),"Reyes Velasquez")</f>
        <v>Reyes Velasquez</v>
      </c>
      <c r="G4521" s="6" t="str">
        <f>IFERROR(__xludf.DUMMYFUNCTION("""COMPUTED_VALUE"""),"09/18/2014")</f>
        <v>09/18/2014</v>
      </c>
      <c r="H4521" s="6" t="str">
        <f>IFERROR(__xludf.DUMMYFUNCTION("""COMPUTED_VALUE"""),"female")</f>
        <v>female</v>
      </c>
      <c r="I4521" s="6" t="str">
        <f>IFERROR(__xludf.DUMMYFUNCTION("""COMPUTED_VALUE"""),"Level 2")</f>
        <v>Level 2</v>
      </c>
      <c r="J4521" s="6" t="str">
        <f>IFERROR(__xludf.DUMMYFUNCTION("""COMPUTED_VALUE"""),"5")</f>
        <v>5</v>
      </c>
      <c r="K4521" s="6" t="str">
        <f>IFERROR(__xludf.DUMMYFUNCTION("""COMPUTED_VALUE"""),"katerin.reyesvelasquez@2hourlearning.com")</f>
        <v>katerin.reyesvelasquez@2hourlearning.com</v>
      </c>
      <c r="L4521" s="6" t="str">
        <f>IFERROR(__xludf.DUMMYFUNCTION("""COMPUTED_VALUE"""),"JHES - Hardeeville Elementary School")</f>
        <v>JHES - Hardeeville Elementary School</v>
      </c>
      <c r="M4521" s="6" t="str">
        <f>IFERROR(__xludf.DUMMYFUNCTION("""COMPUTED_VALUE"""),"")</f>
        <v/>
      </c>
      <c r="N4521" s="6" t="str">
        <f>IFERROR(__xludf.DUMMYFUNCTION("""COMPUTED_VALUE"""),"")</f>
        <v/>
      </c>
      <c r="O4521" s="87" t="str">
        <f>IFERROR(__xludf.DUMMYFUNCTION("""COMPUTED_VALUE"""),"https://drive.google.com/drive/folders/10T2cTQHqEJZqE-st6uFKPoI?usp=share_link")</f>
        <v>https://drive.google.com/drive/folders/10T2cTQHqEJZqE-st6uFKPoI?usp=share_link</v>
      </c>
      <c r="P4521" s="6" t="str">
        <f>IFERROR(__xludf.DUMMYFUNCTION("""COMPUTED_VALUE"""),"Katerin Reyes Velasquez")</f>
        <v>Katerin Reyes Velasquez</v>
      </c>
      <c r="Q4521" s="6" t="str">
        <f>IFERROR(__xludf.DUMMYFUNCTION("""COMPUTED_VALUE"""),"L2")</f>
        <v>L2</v>
      </c>
      <c r="R4521" s="6">
        <f>IFERROR(__xludf.DUMMYFUNCTION("""COMPUTED_VALUE"""),2.0)</f>
        <v>2</v>
      </c>
      <c r="S4521" s="6" t="str">
        <f>IFERROR(__xludf.DUMMYFUNCTION("""COMPUTED_VALUE""")," ")</f>
        <v> </v>
      </c>
      <c r="T4521" s="6" t="str">
        <f>IFERROR(__xludf.DUMMYFUNCTION("""COMPUTED_VALUE"""),"")</f>
        <v/>
      </c>
      <c r="U4521" s="6" t="str">
        <f>IFERROR(__xludf.DUMMYFUNCTION("""COMPUTED_VALUE"""),"5")</f>
        <v>5</v>
      </c>
      <c r="V4521" s="6" t="str">
        <f>IFERROR(__xludf.DUMMYFUNCTION("""COMPUTED_VALUE"""),"")</f>
        <v/>
      </c>
      <c r="W4521" s="6" t="str">
        <f>IFERROR(__xludf.DUMMYFUNCTION("""COMPUTED_VALUE"""),"[]")</f>
        <v>[]</v>
      </c>
      <c r="X4521" s="6" t="str">
        <f>IFERROR(__xludf.DUMMYFUNCTION("""COMPUTED_VALUE"""),"Enrolled")</f>
        <v>Enrolled</v>
      </c>
    </row>
    <row r="4522">
      <c r="A4522" s="6" t="str">
        <f>IFERROR(__xludf.DUMMYFUNCTION("""COMPUTED_VALUE"""),"083-11809")</f>
        <v>083-11809</v>
      </c>
      <c r="B4522" s="6" t="str">
        <f>IFERROR(__xludf.DUMMYFUNCTION("""COMPUTED_VALUE"""),"83")</f>
        <v>83</v>
      </c>
      <c r="C4522" s="6" t="str">
        <f>IFERROR(__xludf.DUMMYFUNCTION("""COMPUTED_VALUE"""),"11809")</f>
        <v>11809</v>
      </c>
      <c r="D4522" s="6" t="str">
        <f>IFERROR(__xludf.DUMMYFUNCTION("""COMPUTED_VALUE"""),"Daleysa")</f>
        <v>Daleysa</v>
      </c>
      <c r="E4522" s="6" t="str">
        <f>IFERROR(__xludf.DUMMYFUNCTION("""COMPUTED_VALUE"""),"")</f>
        <v/>
      </c>
      <c r="F4522" s="6" t="str">
        <f>IFERROR(__xludf.DUMMYFUNCTION("""COMPUTED_VALUE"""),"Rojo-Ortiz")</f>
        <v>Rojo-Ortiz</v>
      </c>
      <c r="G4522" s="6" t="str">
        <f>IFERROR(__xludf.DUMMYFUNCTION("""COMPUTED_VALUE"""),"05/07/2015")</f>
        <v>05/07/2015</v>
      </c>
      <c r="H4522" s="6" t="str">
        <f>IFERROR(__xludf.DUMMYFUNCTION("""COMPUTED_VALUE"""),"female")</f>
        <v>female</v>
      </c>
      <c r="I4522" s="6" t="str">
        <f>IFERROR(__xludf.DUMMYFUNCTION("""COMPUTED_VALUE"""),"Level 2")</f>
        <v>Level 2</v>
      </c>
      <c r="J4522" s="6" t="str">
        <f>IFERROR(__xludf.DUMMYFUNCTION("""COMPUTED_VALUE"""),"5")</f>
        <v>5</v>
      </c>
      <c r="K4522" s="6" t="str">
        <f>IFERROR(__xludf.DUMMYFUNCTION("""COMPUTED_VALUE"""),"daleysa.rojoortiz@2hourlearning.com")</f>
        <v>daleysa.rojoortiz@2hourlearning.com</v>
      </c>
      <c r="L4522" s="6" t="str">
        <f>IFERROR(__xludf.DUMMYFUNCTION("""COMPUTED_VALUE"""),"JHES - Hardeeville Elementary School")</f>
        <v>JHES - Hardeeville Elementary School</v>
      </c>
      <c r="M4522" s="6" t="str">
        <f>IFERROR(__xludf.DUMMYFUNCTION("""COMPUTED_VALUE"""),"")</f>
        <v/>
      </c>
      <c r="N4522" s="6" t="str">
        <f>IFERROR(__xludf.DUMMYFUNCTION("""COMPUTED_VALUE"""),"")</f>
        <v/>
      </c>
      <c r="O4522" s="87" t="str">
        <f>IFERROR(__xludf.DUMMYFUNCTION("""COMPUTED_VALUE"""),"https://drive.google.com/drive/folders/10T2cTQHqEJZqE-st6uFKPoI?usp=share_link")</f>
        <v>https://drive.google.com/drive/folders/10T2cTQHqEJZqE-st6uFKPoI?usp=share_link</v>
      </c>
      <c r="P4522" s="6" t="str">
        <f>IFERROR(__xludf.DUMMYFUNCTION("""COMPUTED_VALUE"""),"Daleysa Rojo-Ortiz")</f>
        <v>Daleysa Rojo-Ortiz</v>
      </c>
      <c r="Q4522" s="6" t="str">
        <f>IFERROR(__xludf.DUMMYFUNCTION("""COMPUTED_VALUE"""),"L2")</f>
        <v>L2</v>
      </c>
      <c r="R4522" s="6">
        <f>IFERROR(__xludf.DUMMYFUNCTION("""COMPUTED_VALUE"""),2.0)</f>
        <v>2</v>
      </c>
      <c r="S4522" s="6" t="str">
        <f>IFERROR(__xludf.DUMMYFUNCTION("""COMPUTED_VALUE""")," ")</f>
        <v> </v>
      </c>
      <c r="T4522" s="6" t="str">
        <f>IFERROR(__xludf.DUMMYFUNCTION("""COMPUTED_VALUE"""),"")</f>
        <v/>
      </c>
      <c r="U4522" s="6" t="str">
        <f>IFERROR(__xludf.DUMMYFUNCTION("""COMPUTED_VALUE"""),"5")</f>
        <v>5</v>
      </c>
      <c r="V4522" s="6" t="str">
        <f>IFERROR(__xludf.DUMMYFUNCTION("""COMPUTED_VALUE"""),"")</f>
        <v/>
      </c>
      <c r="W4522" s="6" t="str">
        <f>IFERROR(__xludf.DUMMYFUNCTION("""COMPUTED_VALUE"""),"[]")</f>
        <v>[]</v>
      </c>
      <c r="X4522" s="6" t="str">
        <f>IFERROR(__xludf.DUMMYFUNCTION("""COMPUTED_VALUE"""),"Enrolled")</f>
        <v>Enrolled</v>
      </c>
    </row>
    <row r="4523">
      <c r="A4523" s="6" t="str">
        <f>IFERROR(__xludf.DUMMYFUNCTION("""COMPUTED_VALUE"""),"083-11810")</f>
        <v>083-11810</v>
      </c>
      <c r="B4523" s="6" t="str">
        <f>IFERROR(__xludf.DUMMYFUNCTION("""COMPUTED_VALUE"""),"83")</f>
        <v>83</v>
      </c>
      <c r="C4523" s="6" t="str">
        <f>IFERROR(__xludf.DUMMYFUNCTION("""COMPUTED_VALUE"""),"11810")</f>
        <v>11810</v>
      </c>
      <c r="D4523" s="6" t="str">
        <f>IFERROR(__xludf.DUMMYFUNCTION("""COMPUTED_VALUE"""),"Adilene")</f>
        <v>Adilene</v>
      </c>
      <c r="E4523" s="6" t="str">
        <f>IFERROR(__xludf.DUMMYFUNCTION("""COMPUTED_VALUE"""),"")</f>
        <v/>
      </c>
      <c r="F4523" s="6" t="str">
        <f>IFERROR(__xludf.DUMMYFUNCTION("""COMPUTED_VALUE"""),"Sanchez Barajas")</f>
        <v>Sanchez Barajas</v>
      </c>
      <c r="G4523" s="6" t="str">
        <f>IFERROR(__xludf.DUMMYFUNCTION("""COMPUTED_VALUE"""),"02/10/2014")</f>
        <v>02/10/2014</v>
      </c>
      <c r="H4523" s="6" t="str">
        <f>IFERROR(__xludf.DUMMYFUNCTION("""COMPUTED_VALUE"""),"female")</f>
        <v>female</v>
      </c>
      <c r="I4523" s="6" t="str">
        <f>IFERROR(__xludf.DUMMYFUNCTION("""COMPUTED_VALUE"""),"Level 2")</f>
        <v>Level 2</v>
      </c>
      <c r="J4523" s="6" t="str">
        <f>IFERROR(__xludf.DUMMYFUNCTION("""COMPUTED_VALUE"""),"5")</f>
        <v>5</v>
      </c>
      <c r="K4523" s="6" t="str">
        <f>IFERROR(__xludf.DUMMYFUNCTION("""COMPUTED_VALUE"""),"adilene.sanchezbarajas@2hourlearning.com")</f>
        <v>adilene.sanchezbarajas@2hourlearning.com</v>
      </c>
      <c r="L4523" s="6" t="str">
        <f>IFERROR(__xludf.DUMMYFUNCTION("""COMPUTED_VALUE"""),"JHES - Hardeeville Elementary School")</f>
        <v>JHES - Hardeeville Elementary School</v>
      </c>
      <c r="M4523" s="6" t="str">
        <f>IFERROR(__xludf.DUMMYFUNCTION("""COMPUTED_VALUE"""),"")</f>
        <v/>
      </c>
      <c r="N4523" s="6" t="str">
        <f>IFERROR(__xludf.DUMMYFUNCTION("""COMPUTED_VALUE"""),"")</f>
        <v/>
      </c>
      <c r="O4523" s="87" t="str">
        <f>IFERROR(__xludf.DUMMYFUNCTION("""COMPUTED_VALUE"""),"https://drive.google.com/drive/folders/10T2cTQHqEJZqE-st6uFKPoI?usp=share_link")</f>
        <v>https://drive.google.com/drive/folders/10T2cTQHqEJZqE-st6uFKPoI?usp=share_link</v>
      </c>
      <c r="P4523" s="6" t="str">
        <f>IFERROR(__xludf.DUMMYFUNCTION("""COMPUTED_VALUE"""),"Adilene Sanchez Barajas")</f>
        <v>Adilene Sanchez Barajas</v>
      </c>
      <c r="Q4523" s="6" t="str">
        <f>IFERROR(__xludf.DUMMYFUNCTION("""COMPUTED_VALUE"""),"L2")</f>
        <v>L2</v>
      </c>
      <c r="R4523" s="6">
        <f>IFERROR(__xludf.DUMMYFUNCTION("""COMPUTED_VALUE"""),2.0)</f>
        <v>2</v>
      </c>
      <c r="S4523" s="6" t="str">
        <f>IFERROR(__xludf.DUMMYFUNCTION("""COMPUTED_VALUE""")," ")</f>
        <v> </v>
      </c>
      <c r="T4523" s="6" t="str">
        <f>IFERROR(__xludf.DUMMYFUNCTION("""COMPUTED_VALUE"""),"")</f>
        <v/>
      </c>
      <c r="U4523" s="6" t="str">
        <f>IFERROR(__xludf.DUMMYFUNCTION("""COMPUTED_VALUE"""),"5")</f>
        <v>5</v>
      </c>
      <c r="V4523" s="6" t="str">
        <f>IFERROR(__xludf.DUMMYFUNCTION("""COMPUTED_VALUE"""),"")</f>
        <v/>
      </c>
      <c r="W4523" s="6" t="str">
        <f>IFERROR(__xludf.DUMMYFUNCTION("""COMPUTED_VALUE"""),"[]")</f>
        <v>[]</v>
      </c>
      <c r="X4523" s="6" t="str">
        <f>IFERROR(__xludf.DUMMYFUNCTION("""COMPUTED_VALUE"""),"Enrolled")</f>
        <v>Enrolled</v>
      </c>
    </row>
    <row r="4524">
      <c r="A4524" s="6" t="str">
        <f>IFERROR(__xludf.DUMMYFUNCTION("""COMPUTED_VALUE"""),"083-11811")</f>
        <v>083-11811</v>
      </c>
      <c r="B4524" s="6" t="str">
        <f>IFERROR(__xludf.DUMMYFUNCTION("""COMPUTED_VALUE"""),"83")</f>
        <v>83</v>
      </c>
      <c r="C4524" s="6" t="str">
        <f>IFERROR(__xludf.DUMMYFUNCTION("""COMPUTED_VALUE"""),"11811")</f>
        <v>11811</v>
      </c>
      <c r="D4524" s="6" t="str">
        <f>IFERROR(__xludf.DUMMYFUNCTION("""COMPUTED_VALUE"""),"Jazmine")</f>
        <v>Jazmine</v>
      </c>
      <c r="E4524" s="6" t="str">
        <f>IFERROR(__xludf.DUMMYFUNCTION("""COMPUTED_VALUE"""),"")</f>
        <v/>
      </c>
      <c r="F4524" s="6" t="str">
        <f>IFERROR(__xludf.DUMMYFUNCTION("""COMPUTED_VALUE"""),"Stevenson")</f>
        <v>Stevenson</v>
      </c>
      <c r="G4524" s="6" t="str">
        <f>IFERROR(__xludf.DUMMYFUNCTION("""COMPUTED_VALUE"""),"09/07/2014")</f>
        <v>09/07/2014</v>
      </c>
      <c r="H4524" s="6" t="str">
        <f>IFERROR(__xludf.DUMMYFUNCTION("""COMPUTED_VALUE"""),"female")</f>
        <v>female</v>
      </c>
      <c r="I4524" s="6" t="str">
        <f>IFERROR(__xludf.DUMMYFUNCTION("""COMPUTED_VALUE"""),"Level 2")</f>
        <v>Level 2</v>
      </c>
      <c r="J4524" s="6" t="str">
        <f>IFERROR(__xludf.DUMMYFUNCTION("""COMPUTED_VALUE"""),"5")</f>
        <v>5</v>
      </c>
      <c r="K4524" s="6" t="str">
        <f>IFERROR(__xludf.DUMMYFUNCTION("""COMPUTED_VALUE"""),"jazmine.stevenson@2hourlearning.com")</f>
        <v>jazmine.stevenson@2hourlearning.com</v>
      </c>
      <c r="L4524" s="6" t="str">
        <f>IFERROR(__xludf.DUMMYFUNCTION("""COMPUTED_VALUE"""),"JHES - Hardeeville Elementary School")</f>
        <v>JHES - Hardeeville Elementary School</v>
      </c>
      <c r="M4524" s="6" t="str">
        <f>IFERROR(__xludf.DUMMYFUNCTION("""COMPUTED_VALUE"""),"")</f>
        <v/>
      </c>
      <c r="N4524" s="6" t="str">
        <f>IFERROR(__xludf.DUMMYFUNCTION("""COMPUTED_VALUE"""),"")</f>
        <v/>
      </c>
      <c r="O4524" s="87" t="str">
        <f>IFERROR(__xludf.DUMMYFUNCTION("""COMPUTED_VALUE"""),"https://drive.google.com/drive/folders/10T2cTQHqEJZqE-st6uFKPoI?usp=share_link")</f>
        <v>https://drive.google.com/drive/folders/10T2cTQHqEJZqE-st6uFKPoI?usp=share_link</v>
      </c>
      <c r="P4524" s="6" t="str">
        <f>IFERROR(__xludf.DUMMYFUNCTION("""COMPUTED_VALUE"""),"Jazmine Stevenson")</f>
        <v>Jazmine Stevenson</v>
      </c>
      <c r="Q4524" s="6" t="str">
        <f>IFERROR(__xludf.DUMMYFUNCTION("""COMPUTED_VALUE"""),"L2")</f>
        <v>L2</v>
      </c>
      <c r="R4524" s="6">
        <f>IFERROR(__xludf.DUMMYFUNCTION("""COMPUTED_VALUE"""),2.0)</f>
        <v>2</v>
      </c>
      <c r="S4524" s="6" t="str">
        <f>IFERROR(__xludf.DUMMYFUNCTION("""COMPUTED_VALUE""")," ")</f>
        <v> </v>
      </c>
      <c r="T4524" s="6" t="str">
        <f>IFERROR(__xludf.DUMMYFUNCTION("""COMPUTED_VALUE"""),"")</f>
        <v/>
      </c>
      <c r="U4524" s="6" t="str">
        <f>IFERROR(__xludf.DUMMYFUNCTION("""COMPUTED_VALUE"""),"5")</f>
        <v>5</v>
      </c>
      <c r="V4524" s="6" t="str">
        <f>IFERROR(__xludf.DUMMYFUNCTION("""COMPUTED_VALUE"""),"")</f>
        <v/>
      </c>
      <c r="W4524" s="6" t="str">
        <f>IFERROR(__xludf.DUMMYFUNCTION("""COMPUTED_VALUE"""),"[]")</f>
        <v>[]</v>
      </c>
      <c r="X4524" s="6" t="str">
        <f>IFERROR(__xludf.DUMMYFUNCTION("""COMPUTED_VALUE"""),"Enrolled")</f>
        <v>Enrolled</v>
      </c>
    </row>
    <row r="4525">
      <c r="A4525" s="6" t="str">
        <f>IFERROR(__xludf.DUMMYFUNCTION("""COMPUTED_VALUE"""),"083-11812")</f>
        <v>083-11812</v>
      </c>
      <c r="B4525" s="6" t="str">
        <f>IFERROR(__xludf.DUMMYFUNCTION("""COMPUTED_VALUE"""),"83")</f>
        <v>83</v>
      </c>
      <c r="C4525" s="6" t="str">
        <f>IFERROR(__xludf.DUMMYFUNCTION("""COMPUTED_VALUE"""),"11812")</f>
        <v>11812</v>
      </c>
      <c r="D4525" s="6" t="str">
        <f>IFERROR(__xludf.DUMMYFUNCTION("""COMPUTED_VALUE"""),"Juan")</f>
        <v>Juan</v>
      </c>
      <c r="E4525" s="6" t="str">
        <f>IFERROR(__xludf.DUMMYFUNCTION("""COMPUTED_VALUE"""),"")</f>
        <v/>
      </c>
      <c r="F4525" s="6" t="str">
        <f>IFERROR(__xludf.DUMMYFUNCTION("""COMPUTED_VALUE"""),"Tinoco Alarcon")</f>
        <v>Tinoco Alarcon</v>
      </c>
      <c r="G4525" s="6" t="str">
        <f>IFERROR(__xludf.DUMMYFUNCTION("""COMPUTED_VALUE"""),"06/24/2015")</f>
        <v>06/24/2015</v>
      </c>
      <c r="H4525" s="6" t="str">
        <f>IFERROR(__xludf.DUMMYFUNCTION("""COMPUTED_VALUE"""),"male")</f>
        <v>male</v>
      </c>
      <c r="I4525" s="6" t="str">
        <f>IFERROR(__xludf.DUMMYFUNCTION("""COMPUTED_VALUE"""),"Level 2")</f>
        <v>Level 2</v>
      </c>
      <c r="J4525" s="6" t="str">
        <f>IFERROR(__xludf.DUMMYFUNCTION("""COMPUTED_VALUE"""),"5")</f>
        <v>5</v>
      </c>
      <c r="K4525" s="6" t="str">
        <f>IFERROR(__xludf.DUMMYFUNCTION("""COMPUTED_VALUE"""),"juan.tinocoalarcon@2hourlearning.com")</f>
        <v>juan.tinocoalarcon@2hourlearning.com</v>
      </c>
      <c r="L4525" s="6" t="str">
        <f>IFERROR(__xludf.DUMMYFUNCTION("""COMPUTED_VALUE"""),"JHES - Hardeeville Elementary School")</f>
        <v>JHES - Hardeeville Elementary School</v>
      </c>
      <c r="M4525" s="6" t="str">
        <f>IFERROR(__xludf.DUMMYFUNCTION("""COMPUTED_VALUE"""),"")</f>
        <v/>
      </c>
      <c r="N4525" s="6" t="str">
        <f>IFERROR(__xludf.DUMMYFUNCTION("""COMPUTED_VALUE"""),"")</f>
        <v/>
      </c>
      <c r="O4525" s="87" t="str">
        <f>IFERROR(__xludf.DUMMYFUNCTION("""COMPUTED_VALUE"""),"https://drive.google.com/drive/folders/10T2cTQHqEJZqE-st6uFKPoI?usp=share_link")</f>
        <v>https://drive.google.com/drive/folders/10T2cTQHqEJZqE-st6uFKPoI?usp=share_link</v>
      </c>
      <c r="P4525" s="6" t="str">
        <f>IFERROR(__xludf.DUMMYFUNCTION("""COMPUTED_VALUE"""),"Juan Tinoco Alarcon")</f>
        <v>Juan Tinoco Alarcon</v>
      </c>
      <c r="Q4525" s="6" t="str">
        <f>IFERROR(__xludf.DUMMYFUNCTION("""COMPUTED_VALUE"""),"L2")</f>
        <v>L2</v>
      </c>
      <c r="R4525" s="6">
        <f>IFERROR(__xludf.DUMMYFUNCTION("""COMPUTED_VALUE"""),2.0)</f>
        <v>2</v>
      </c>
      <c r="S4525" s="6" t="str">
        <f>IFERROR(__xludf.DUMMYFUNCTION("""COMPUTED_VALUE""")," ")</f>
        <v> </v>
      </c>
      <c r="T4525" s="6" t="str">
        <f>IFERROR(__xludf.DUMMYFUNCTION("""COMPUTED_VALUE"""),"")</f>
        <v/>
      </c>
      <c r="U4525" s="6" t="str">
        <f>IFERROR(__xludf.DUMMYFUNCTION("""COMPUTED_VALUE"""),"5")</f>
        <v>5</v>
      </c>
      <c r="V4525" s="6" t="str">
        <f>IFERROR(__xludf.DUMMYFUNCTION("""COMPUTED_VALUE"""),"")</f>
        <v/>
      </c>
      <c r="W4525" s="6" t="str">
        <f>IFERROR(__xludf.DUMMYFUNCTION("""COMPUTED_VALUE"""),"[]")</f>
        <v>[]</v>
      </c>
      <c r="X4525" s="6" t="str">
        <f>IFERROR(__xludf.DUMMYFUNCTION("""COMPUTED_VALUE"""),"Enrolled")</f>
        <v>Enrolled</v>
      </c>
    </row>
    <row r="4526">
      <c r="A4526" s="6" t="str">
        <f>IFERROR(__xludf.DUMMYFUNCTION("""COMPUTED_VALUE"""),"083-11813")</f>
        <v>083-11813</v>
      </c>
      <c r="B4526" s="6" t="str">
        <f>IFERROR(__xludf.DUMMYFUNCTION("""COMPUTED_VALUE"""),"83")</f>
        <v>83</v>
      </c>
      <c r="C4526" s="6" t="str">
        <f>IFERROR(__xludf.DUMMYFUNCTION("""COMPUTED_VALUE"""),"11813")</f>
        <v>11813</v>
      </c>
      <c r="D4526" s="6" t="str">
        <f>IFERROR(__xludf.DUMMYFUNCTION("""COMPUTED_VALUE"""),"Colton")</f>
        <v>Colton</v>
      </c>
      <c r="E4526" s="6" t="str">
        <f>IFERROR(__xludf.DUMMYFUNCTION("""COMPUTED_VALUE"""),"")</f>
        <v/>
      </c>
      <c r="F4526" s="6" t="str">
        <f>IFERROR(__xludf.DUMMYFUNCTION("""COMPUTED_VALUE"""),"Touchton")</f>
        <v>Touchton</v>
      </c>
      <c r="G4526" s="6" t="str">
        <f>IFERROR(__xludf.DUMMYFUNCTION("""COMPUTED_VALUE"""),"03/09/2015")</f>
        <v>03/09/2015</v>
      </c>
      <c r="H4526" s="6" t="str">
        <f>IFERROR(__xludf.DUMMYFUNCTION("""COMPUTED_VALUE"""),"male")</f>
        <v>male</v>
      </c>
      <c r="I4526" s="6" t="str">
        <f>IFERROR(__xludf.DUMMYFUNCTION("""COMPUTED_VALUE"""),"Level 2")</f>
        <v>Level 2</v>
      </c>
      <c r="J4526" s="6" t="str">
        <f>IFERROR(__xludf.DUMMYFUNCTION("""COMPUTED_VALUE"""),"5")</f>
        <v>5</v>
      </c>
      <c r="K4526" s="6" t="str">
        <f>IFERROR(__xludf.DUMMYFUNCTION("""COMPUTED_VALUE"""),"colton.touchton@2hourlearning.com")</f>
        <v>colton.touchton@2hourlearning.com</v>
      </c>
      <c r="L4526" s="6" t="str">
        <f>IFERROR(__xludf.DUMMYFUNCTION("""COMPUTED_VALUE"""),"JHES - Hardeeville Elementary School")</f>
        <v>JHES - Hardeeville Elementary School</v>
      </c>
      <c r="M4526" s="6" t="str">
        <f>IFERROR(__xludf.DUMMYFUNCTION("""COMPUTED_VALUE"""),"")</f>
        <v/>
      </c>
      <c r="N4526" s="6" t="str">
        <f>IFERROR(__xludf.DUMMYFUNCTION("""COMPUTED_VALUE"""),"")</f>
        <v/>
      </c>
      <c r="O4526" s="87" t="str">
        <f>IFERROR(__xludf.DUMMYFUNCTION("""COMPUTED_VALUE"""),"https://drive.google.com/drive/folders/10T2cTQHqEJZqE-st6uFKPoI?usp=share_link")</f>
        <v>https://drive.google.com/drive/folders/10T2cTQHqEJZqE-st6uFKPoI?usp=share_link</v>
      </c>
      <c r="P4526" s="6" t="str">
        <f>IFERROR(__xludf.DUMMYFUNCTION("""COMPUTED_VALUE"""),"Colton Touchton")</f>
        <v>Colton Touchton</v>
      </c>
      <c r="Q4526" s="6" t="str">
        <f>IFERROR(__xludf.DUMMYFUNCTION("""COMPUTED_VALUE"""),"L2")</f>
        <v>L2</v>
      </c>
      <c r="R4526" s="6">
        <f>IFERROR(__xludf.DUMMYFUNCTION("""COMPUTED_VALUE"""),2.0)</f>
        <v>2</v>
      </c>
      <c r="S4526" s="6" t="str">
        <f>IFERROR(__xludf.DUMMYFUNCTION("""COMPUTED_VALUE""")," ")</f>
        <v> </v>
      </c>
      <c r="T4526" s="6" t="str">
        <f>IFERROR(__xludf.DUMMYFUNCTION("""COMPUTED_VALUE"""),"")</f>
        <v/>
      </c>
      <c r="U4526" s="6" t="str">
        <f>IFERROR(__xludf.DUMMYFUNCTION("""COMPUTED_VALUE"""),"5")</f>
        <v>5</v>
      </c>
      <c r="V4526" s="6" t="str">
        <f>IFERROR(__xludf.DUMMYFUNCTION("""COMPUTED_VALUE"""),"")</f>
        <v/>
      </c>
      <c r="W4526" s="6" t="str">
        <f>IFERROR(__xludf.DUMMYFUNCTION("""COMPUTED_VALUE"""),"[]")</f>
        <v>[]</v>
      </c>
      <c r="X4526" s="6" t="str">
        <f>IFERROR(__xludf.DUMMYFUNCTION("""COMPUTED_VALUE"""),"Enrolled")</f>
        <v>Enrolled</v>
      </c>
    </row>
    <row r="4527">
      <c r="A4527" s="6" t="str">
        <f>IFERROR(__xludf.DUMMYFUNCTION("""COMPUTED_VALUE"""),"083-11814")</f>
        <v>083-11814</v>
      </c>
      <c r="B4527" s="6" t="str">
        <f>IFERROR(__xludf.DUMMYFUNCTION("""COMPUTED_VALUE"""),"83")</f>
        <v>83</v>
      </c>
      <c r="C4527" s="6" t="str">
        <f>IFERROR(__xludf.DUMMYFUNCTION("""COMPUTED_VALUE"""),"11814")</f>
        <v>11814</v>
      </c>
      <c r="D4527" s="6" t="str">
        <f>IFERROR(__xludf.DUMMYFUNCTION("""COMPUTED_VALUE"""),"Zy'onia")</f>
        <v>Zy'onia</v>
      </c>
      <c r="E4527" s="6" t="str">
        <f>IFERROR(__xludf.DUMMYFUNCTION("""COMPUTED_VALUE"""),"")</f>
        <v/>
      </c>
      <c r="F4527" s="6" t="str">
        <f>IFERROR(__xludf.DUMMYFUNCTION("""COMPUTED_VALUE"""),"Wilson")</f>
        <v>Wilson</v>
      </c>
      <c r="G4527" s="6" t="str">
        <f>IFERROR(__xludf.DUMMYFUNCTION("""COMPUTED_VALUE"""),"07/14/2015")</f>
        <v>07/14/2015</v>
      </c>
      <c r="H4527" s="6" t="str">
        <f>IFERROR(__xludf.DUMMYFUNCTION("""COMPUTED_VALUE"""),"female")</f>
        <v>female</v>
      </c>
      <c r="I4527" s="6" t="str">
        <f>IFERROR(__xludf.DUMMYFUNCTION("""COMPUTED_VALUE"""),"Level 2")</f>
        <v>Level 2</v>
      </c>
      <c r="J4527" s="6" t="str">
        <f>IFERROR(__xludf.DUMMYFUNCTION("""COMPUTED_VALUE"""),"5")</f>
        <v>5</v>
      </c>
      <c r="K4527" s="6" t="str">
        <f>IFERROR(__xludf.DUMMYFUNCTION("""COMPUTED_VALUE"""),"zyonia.wilson@2hourlearning.com")</f>
        <v>zyonia.wilson@2hourlearning.com</v>
      </c>
      <c r="L4527" s="6" t="str">
        <f>IFERROR(__xludf.DUMMYFUNCTION("""COMPUTED_VALUE"""),"JHES - Hardeeville Elementary School")</f>
        <v>JHES - Hardeeville Elementary School</v>
      </c>
      <c r="M4527" s="6" t="str">
        <f>IFERROR(__xludf.DUMMYFUNCTION("""COMPUTED_VALUE"""),"")</f>
        <v/>
      </c>
      <c r="N4527" s="6" t="str">
        <f>IFERROR(__xludf.DUMMYFUNCTION("""COMPUTED_VALUE"""),"")</f>
        <v/>
      </c>
      <c r="O4527" s="87" t="str">
        <f>IFERROR(__xludf.DUMMYFUNCTION("""COMPUTED_VALUE"""),"https://drive.google.com/drive/folders/10T2cTQHqEJZqE-st6uFKPoI?usp=share_link")</f>
        <v>https://drive.google.com/drive/folders/10T2cTQHqEJZqE-st6uFKPoI?usp=share_link</v>
      </c>
      <c r="P4527" s="6" t="str">
        <f>IFERROR(__xludf.DUMMYFUNCTION("""COMPUTED_VALUE"""),"Zy'onia Wilson")</f>
        <v>Zy'onia Wilson</v>
      </c>
      <c r="Q4527" s="6" t="str">
        <f>IFERROR(__xludf.DUMMYFUNCTION("""COMPUTED_VALUE"""),"L2")</f>
        <v>L2</v>
      </c>
      <c r="R4527" s="6">
        <f>IFERROR(__xludf.DUMMYFUNCTION("""COMPUTED_VALUE"""),2.0)</f>
        <v>2</v>
      </c>
      <c r="S4527" s="6" t="str">
        <f>IFERROR(__xludf.DUMMYFUNCTION("""COMPUTED_VALUE""")," ")</f>
        <v> </v>
      </c>
      <c r="T4527" s="6" t="str">
        <f>IFERROR(__xludf.DUMMYFUNCTION("""COMPUTED_VALUE"""),"")</f>
        <v/>
      </c>
      <c r="U4527" s="6" t="str">
        <f>IFERROR(__xludf.DUMMYFUNCTION("""COMPUTED_VALUE"""),"5")</f>
        <v>5</v>
      </c>
      <c r="V4527" s="6" t="str">
        <f>IFERROR(__xludf.DUMMYFUNCTION("""COMPUTED_VALUE"""),"")</f>
        <v/>
      </c>
      <c r="W4527" s="6" t="str">
        <f>IFERROR(__xludf.DUMMYFUNCTION("""COMPUTED_VALUE"""),"[]")</f>
        <v>[]</v>
      </c>
      <c r="X4527" s="6" t="str">
        <f>IFERROR(__xludf.DUMMYFUNCTION("""COMPUTED_VALUE"""),"Enrolled")</f>
        <v>Enrolled</v>
      </c>
    </row>
    <row r="4528">
      <c r="A4528" s="6" t="str">
        <f>IFERROR(__xludf.DUMMYFUNCTION("""COMPUTED_VALUE"""),"083-11815")</f>
        <v>083-11815</v>
      </c>
      <c r="B4528" s="6" t="str">
        <f>IFERROR(__xludf.DUMMYFUNCTION("""COMPUTED_VALUE"""),"83")</f>
        <v>83</v>
      </c>
      <c r="C4528" s="6" t="str">
        <f>IFERROR(__xludf.DUMMYFUNCTION("""COMPUTED_VALUE"""),"11815")</f>
        <v>11815</v>
      </c>
      <c r="D4528" s="6" t="str">
        <f>IFERROR(__xludf.DUMMYFUNCTION("""COMPUTED_VALUE"""),"Heidi")</f>
        <v>Heidi</v>
      </c>
      <c r="E4528" s="6" t="str">
        <f>IFERROR(__xludf.DUMMYFUNCTION("""COMPUTED_VALUE"""),"")</f>
        <v/>
      </c>
      <c r="F4528" s="6" t="str">
        <f>IFERROR(__xludf.DUMMYFUNCTION("""COMPUTED_VALUE"""),"Amaro Cruz")</f>
        <v>Amaro Cruz</v>
      </c>
      <c r="G4528" s="6" t="str">
        <f>IFERROR(__xludf.DUMMYFUNCTION("""COMPUTED_VALUE"""),"11/20/2016")</f>
        <v>11/20/2016</v>
      </c>
      <c r="H4528" s="6" t="str">
        <f>IFERROR(__xludf.DUMMYFUNCTION("""COMPUTED_VALUE"""),"female")</f>
        <v>female</v>
      </c>
      <c r="I4528" s="6" t="str">
        <f>IFERROR(__xludf.DUMMYFUNCTION("""COMPUTED_VALUE"""),"Level 1")</f>
        <v>Level 1</v>
      </c>
      <c r="J4528" s="6" t="str">
        <f>IFERROR(__xludf.DUMMYFUNCTION("""COMPUTED_VALUE"""),"3")</f>
        <v>3</v>
      </c>
      <c r="K4528" s="6" t="str">
        <f>IFERROR(__xludf.DUMMYFUNCTION("""COMPUTED_VALUE"""),"heidi.amarocruz@2hourlearning.com")</f>
        <v>heidi.amarocruz@2hourlearning.com</v>
      </c>
      <c r="L4528" s="6" t="str">
        <f>IFERROR(__xludf.DUMMYFUNCTION("""COMPUTED_VALUE"""),"JHES - Hardeeville Elementary School")</f>
        <v>JHES - Hardeeville Elementary School</v>
      </c>
      <c r="M4528" s="6" t="str">
        <f>IFERROR(__xludf.DUMMYFUNCTION("""COMPUTED_VALUE"""),"")</f>
        <v/>
      </c>
      <c r="N4528" s="6" t="str">
        <f>IFERROR(__xludf.DUMMYFUNCTION("""COMPUTED_VALUE"""),"")</f>
        <v/>
      </c>
      <c r="O4528" s="87" t="str">
        <f>IFERROR(__xludf.DUMMYFUNCTION("""COMPUTED_VALUE"""),"https://drive.google.com/drive/folders/10T2cTQHqEJZqE-st6uFKPoI?usp=share_link")</f>
        <v>https://drive.google.com/drive/folders/10T2cTQHqEJZqE-st6uFKPoI?usp=share_link</v>
      </c>
      <c r="P4528" s="6" t="str">
        <f>IFERROR(__xludf.DUMMYFUNCTION("""COMPUTED_VALUE"""),"Heidi Amaro Cruz")</f>
        <v>Heidi Amaro Cruz</v>
      </c>
      <c r="Q4528" s="6" t="str">
        <f>IFERROR(__xludf.DUMMYFUNCTION("""COMPUTED_VALUE"""),"L1")</f>
        <v>L1</v>
      </c>
      <c r="R4528" s="6">
        <f>IFERROR(__xludf.DUMMYFUNCTION("""COMPUTED_VALUE"""),1.0)</f>
        <v>1</v>
      </c>
      <c r="S4528" s="6" t="str">
        <f>IFERROR(__xludf.DUMMYFUNCTION("""COMPUTED_VALUE""")," ")</f>
        <v> </v>
      </c>
      <c r="T4528" s="6" t="str">
        <f>IFERROR(__xludf.DUMMYFUNCTION("""COMPUTED_VALUE"""),"")</f>
        <v/>
      </c>
      <c r="U4528" s="6" t="str">
        <f>IFERROR(__xludf.DUMMYFUNCTION("""COMPUTED_VALUE"""),"3")</f>
        <v>3</v>
      </c>
      <c r="V4528" s="6" t="str">
        <f>IFERROR(__xludf.DUMMYFUNCTION("""COMPUTED_VALUE"""),"")</f>
        <v/>
      </c>
      <c r="W4528" s="6" t="str">
        <f>IFERROR(__xludf.DUMMYFUNCTION("""COMPUTED_VALUE"""),"[]")</f>
        <v>[]</v>
      </c>
      <c r="X4528" s="6" t="str">
        <f>IFERROR(__xludf.DUMMYFUNCTION("""COMPUTED_VALUE"""),"Enrolled")</f>
        <v>Enrolled</v>
      </c>
    </row>
    <row r="4529">
      <c r="A4529" s="6" t="str">
        <f>IFERROR(__xludf.DUMMYFUNCTION("""COMPUTED_VALUE"""),"083-11816")</f>
        <v>083-11816</v>
      </c>
      <c r="B4529" s="6" t="str">
        <f>IFERROR(__xludf.DUMMYFUNCTION("""COMPUTED_VALUE"""),"83")</f>
        <v>83</v>
      </c>
      <c r="C4529" s="6" t="str">
        <f>IFERROR(__xludf.DUMMYFUNCTION("""COMPUTED_VALUE"""),"11816")</f>
        <v>11816</v>
      </c>
      <c r="D4529" s="6" t="str">
        <f>IFERROR(__xludf.DUMMYFUNCTION("""COMPUTED_VALUE"""),"Issis")</f>
        <v>Issis</v>
      </c>
      <c r="E4529" s="6" t="str">
        <f>IFERROR(__xludf.DUMMYFUNCTION("""COMPUTED_VALUE"""),"")</f>
        <v/>
      </c>
      <c r="F4529" s="6" t="str">
        <f>IFERROR(__xludf.DUMMYFUNCTION("""COMPUTED_VALUE"""),"Arriaza Ortiz")</f>
        <v>Arriaza Ortiz</v>
      </c>
      <c r="G4529" s="6" t="str">
        <f>IFERROR(__xludf.DUMMYFUNCTION("""COMPUTED_VALUE"""),"04/08/2016")</f>
        <v>04/08/2016</v>
      </c>
      <c r="H4529" s="6" t="str">
        <f>IFERROR(__xludf.DUMMYFUNCTION("""COMPUTED_VALUE"""),"female")</f>
        <v>female</v>
      </c>
      <c r="I4529" s="6" t="str">
        <f>IFERROR(__xludf.DUMMYFUNCTION("""COMPUTED_VALUE"""),"Level 1")</f>
        <v>Level 1</v>
      </c>
      <c r="J4529" s="6" t="str">
        <f>IFERROR(__xludf.DUMMYFUNCTION("""COMPUTED_VALUE"""),"3")</f>
        <v>3</v>
      </c>
      <c r="K4529" s="6" t="str">
        <f>IFERROR(__xludf.DUMMYFUNCTION("""COMPUTED_VALUE"""),"issis.arriazaortiz@2hourlearning.com")</f>
        <v>issis.arriazaortiz@2hourlearning.com</v>
      </c>
      <c r="L4529" s="6" t="str">
        <f>IFERROR(__xludf.DUMMYFUNCTION("""COMPUTED_VALUE"""),"JHES - Hardeeville Elementary School")</f>
        <v>JHES - Hardeeville Elementary School</v>
      </c>
      <c r="M4529" s="6" t="str">
        <f>IFERROR(__xludf.DUMMYFUNCTION("""COMPUTED_VALUE"""),"")</f>
        <v/>
      </c>
      <c r="N4529" s="6" t="str">
        <f>IFERROR(__xludf.DUMMYFUNCTION("""COMPUTED_VALUE"""),"")</f>
        <v/>
      </c>
      <c r="O4529" s="87" t="str">
        <f>IFERROR(__xludf.DUMMYFUNCTION("""COMPUTED_VALUE"""),"https://drive.google.com/drive/folders/10T2cTQHqEJZqE-st6uFKPoI?usp=share_link")</f>
        <v>https://drive.google.com/drive/folders/10T2cTQHqEJZqE-st6uFKPoI?usp=share_link</v>
      </c>
      <c r="P4529" s="6" t="str">
        <f>IFERROR(__xludf.DUMMYFUNCTION("""COMPUTED_VALUE"""),"Issis Arriaza Ortiz")</f>
        <v>Issis Arriaza Ortiz</v>
      </c>
      <c r="Q4529" s="6" t="str">
        <f>IFERROR(__xludf.DUMMYFUNCTION("""COMPUTED_VALUE"""),"L1")</f>
        <v>L1</v>
      </c>
      <c r="R4529" s="6">
        <f>IFERROR(__xludf.DUMMYFUNCTION("""COMPUTED_VALUE"""),1.0)</f>
        <v>1</v>
      </c>
      <c r="S4529" s="6" t="str">
        <f>IFERROR(__xludf.DUMMYFUNCTION("""COMPUTED_VALUE""")," ")</f>
        <v> </v>
      </c>
      <c r="T4529" s="6" t="str">
        <f>IFERROR(__xludf.DUMMYFUNCTION("""COMPUTED_VALUE"""),"")</f>
        <v/>
      </c>
      <c r="U4529" s="6" t="str">
        <f>IFERROR(__xludf.DUMMYFUNCTION("""COMPUTED_VALUE"""),"3")</f>
        <v>3</v>
      </c>
      <c r="V4529" s="6" t="str">
        <f>IFERROR(__xludf.DUMMYFUNCTION("""COMPUTED_VALUE"""),"")</f>
        <v/>
      </c>
      <c r="W4529" s="6" t="str">
        <f>IFERROR(__xludf.DUMMYFUNCTION("""COMPUTED_VALUE"""),"[]")</f>
        <v>[]</v>
      </c>
      <c r="X4529" s="6" t="str">
        <f>IFERROR(__xludf.DUMMYFUNCTION("""COMPUTED_VALUE"""),"Enrolled")</f>
        <v>Enrolled</v>
      </c>
    </row>
    <row r="4530">
      <c r="A4530" s="6" t="str">
        <f>IFERROR(__xludf.DUMMYFUNCTION("""COMPUTED_VALUE"""),"083-11817")</f>
        <v>083-11817</v>
      </c>
      <c r="B4530" s="6" t="str">
        <f>IFERROR(__xludf.DUMMYFUNCTION("""COMPUTED_VALUE"""),"83")</f>
        <v>83</v>
      </c>
      <c r="C4530" s="6" t="str">
        <f>IFERROR(__xludf.DUMMYFUNCTION("""COMPUTED_VALUE"""),"11817")</f>
        <v>11817</v>
      </c>
      <c r="D4530" s="6" t="str">
        <f>IFERROR(__xludf.DUMMYFUNCTION("""COMPUTED_VALUE"""),"Brandon Omar")</f>
        <v>Brandon Omar</v>
      </c>
      <c r="E4530" s="6" t="str">
        <f>IFERROR(__xludf.DUMMYFUNCTION("""COMPUTED_VALUE"""),"")</f>
        <v/>
      </c>
      <c r="F4530" s="6" t="str">
        <f>IFERROR(__xludf.DUMMYFUNCTION("""COMPUTED_VALUE"""),"Benitez Sanchez")</f>
        <v>Benitez Sanchez</v>
      </c>
      <c r="G4530" s="6" t="str">
        <f>IFERROR(__xludf.DUMMYFUNCTION("""COMPUTED_VALUE"""),"05/26/2016")</f>
        <v>05/26/2016</v>
      </c>
      <c r="H4530" s="6" t="str">
        <f>IFERROR(__xludf.DUMMYFUNCTION("""COMPUTED_VALUE"""),"male")</f>
        <v>male</v>
      </c>
      <c r="I4530" s="6" t="str">
        <f>IFERROR(__xludf.DUMMYFUNCTION("""COMPUTED_VALUE"""),"Level 1")</f>
        <v>Level 1</v>
      </c>
      <c r="J4530" s="6" t="str">
        <f>IFERROR(__xludf.DUMMYFUNCTION("""COMPUTED_VALUE"""),"3")</f>
        <v>3</v>
      </c>
      <c r="K4530" s="6" t="str">
        <f>IFERROR(__xludf.DUMMYFUNCTION("""COMPUTED_VALUE"""),"brandonomar.benitezsanchez@2hourlearning.com")</f>
        <v>brandonomar.benitezsanchez@2hourlearning.com</v>
      </c>
      <c r="L4530" s="6" t="str">
        <f>IFERROR(__xludf.DUMMYFUNCTION("""COMPUTED_VALUE"""),"JHES - Hardeeville Elementary School")</f>
        <v>JHES - Hardeeville Elementary School</v>
      </c>
      <c r="M4530" s="6" t="str">
        <f>IFERROR(__xludf.DUMMYFUNCTION("""COMPUTED_VALUE"""),"")</f>
        <v/>
      </c>
      <c r="N4530" s="6" t="str">
        <f>IFERROR(__xludf.DUMMYFUNCTION("""COMPUTED_VALUE"""),"")</f>
        <v/>
      </c>
      <c r="O4530" s="87" t="str">
        <f>IFERROR(__xludf.DUMMYFUNCTION("""COMPUTED_VALUE"""),"https://drive.google.com/drive/folders/10T2cTQHqEJZqE-st6uFKPoI?usp=share_link")</f>
        <v>https://drive.google.com/drive/folders/10T2cTQHqEJZqE-st6uFKPoI?usp=share_link</v>
      </c>
      <c r="P4530" s="6" t="str">
        <f>IFERROR(__xludf.DUMMYFUNCTION("""COMPUTED_VALUE"""),"Brandon Omar Benitez Sanchez")</f>
        <v>Brandon Omar Benitez Sanchez</v>
      </c>
      <c r="Q4530" s="6" t="str">
        <f>IFERROR(__xludf.DUMMYFUNCTION("""COMPUTED_VALUE"""),"L1")</f>
        <v>L1</v>
      </c>
      <c r="R4530" s="6">
        <f>IFERROR(__xludf.DUMMYFUNCTION("""COMPUTED_VALUE"""),1.0)</f>
        <v>1</v>
      </c>
      <c r="S4530" s="6" t="str">
        <f>IFERROR(__xludf.DUMMYFUNCTION("""COMPUTED_VALUE""")," ")</f>
        <v> </v>
      </c>
      <c r="T4530" s="6" t="str">
        <f>IFERROR(__xludf.DUMMYFUNCTION("""COMPUTED_VALUE"""),"")</f>
        <v/>
      </c>
      <c r="U4530" s="6" t="str">
        <f>IFERROR(__xludf.DUMMYFUNCTION("""COMPUTED_VALUE"""),"3")</f>
        <v>3</v>
      </c>
      <c r="V4530" s="6" t="str">
        <f>IFERROR(__xludf.DUMMYFUNCTION("""COMPUTED_VALUE"""),"")</f>
        <v/>
      </c>
      <c r="W4530" s="6" t="str">
        <f>IFERROR(__xludf.DUMMYFUNCTION("""COMPUTED_VALUE"""),"[]")</f>
        <v>[]</v>
      </c>
      <c r="X4530" s="6" t="str">
        <f>IFERROR(__xludf.DUMMYFUNCTION("""COMPUTED_VALUE"""),"Enrolled")</f>
        <v>Enrolled</v>
      </c>
    </row>
    <row r="4531">
      <c r="A4531" s="6" t="str">
        <f>IFERROR(__xludf.DUMMYFUNCTION("""COMPUTED_VALUE"""),"083-11818")</f>
        <v>083-11818</v>
      </c>
      <c r="B4531" s="6" t="str">
        <f>IFERROR(__xludf.DUMMYFUNCTION("""COMPUTED_VALUE"""),"83")</f>
        <v>83</v>
      </c>
      <c r="C4531" s="6" t="str">
        <f>IFERROR(__xludf.DUMMYFUNCTION("""COMPUTED_VALUE"""),"11818")</f>
        <v>11818</v>
      </c>
      <c r="D4531" s="6" t="str">
        <f>IFERROR(__xludf.DUMMYFUNCTION("""COMPUTED_VALUE"""),"Jania Ibeth")</f>
        <v>Jania Ibeth</v>
      </c>
      <c r="E4531" s="6" t="str">
        <f>IFERROR(__xludf.DUMMYFUNCTION("""COMPUTED_VALUE"""),"")</f>
        <v/>
      </c>
      <c r="F4531" s="6" t="str">
        <f>IFERROR(__xludf.DUMMYFUNCTION("""COMPUTED_VALUE"""),"Casimiro Velez")</f>
        <v>Casimiro Velez</v>
      </c>
      <c r="G4531" s="6" t="str">
        <f>IFERROR(__xludf.DUMMYFUNCTION("""COMPUTED_VALUE"""),"07/24/2017")</f>
        <v>07/24/2017</v>
      </c>
      <c r="H4531" s="6" t="str">
        <f>IFERROR(__xludf.DUMMYFUNCTION("""COMPUTED_VALUE"""),"female")</f>
        <v>female</v>
      </c>
      <c r="I4531" s="6" t="str">
        <f>IFERROR(__xludf.DUMMYFUNCTION("""COMPUTED_VALUE"""),"Level 1")</f>
        <v>Level 1</v>
      </c>
      <c r="J4531" s="6" t="str">
        <f>IFERROR(__xludf.DUMMYFUNCTION("""COMPUTED_VALUE"""),"3")</f>
        <v>3</v>
      </c>
      <c r="K4531" s="6" t="str">
        <f>IFERROR(__xludf.DUMMYFUNCTION("""COMPUTED_VALUE"""),"janiaibeth.casimirovelez@2hourlearning.com")</f>
        <v>janiaibeth.casimirovelez@2hourlearning.com</v>
      </c>
      <c r="L4531" s="6" t="str">
        <f>IFERROR(__xludf.DUMMYFUNCTION("""COMPUTED_VALUE"""),"JHES - Hardeeville Elementary School")</f>
        <v>JHES - Hardeeville Elementary School</v>
      </c>
      <c r="M4531" s="6" t="str">
        <f>IFERROR(__xludf.DUMMYFUNCTION("""COMPUTED_VALUE"""),"")</f>
        <v/>
      </c>
      <c r="N4531" s="6" t="str">
        <f>IFERROR(__xludf.DUMMYFUNCTION("""COMPUTED_VALUE"""),"")</f>
        <v/>
      </c>
      <c r="O4531" s="87" t="str">
        <f>IFERROR(__xludf.DUMMYFUNCTION("""COMPUTED_VALUE"""),"https://drive.google.com/drive/folders/10T2cTQHqEJZqE-st6uFKPoI?usp=share_link")</f>
        <v>https://drive.google.com/drive/folders/10T2cTQHqEJZqE-st6uFKPoI?usp=share_link</v>
      </c>
      <c r="P4531" s="6" t="str">
        <f>IFERROR(__xludf.DUMMYFUNCTION("""COMPUTED_VALUE"""),"Jania Ibeth Casimiro Velez")</f>
        <v>Jania Ibeth Casimiro Velez</v>
      </c>
      <c r="Q4531" s="6" t="str">
        <f>IFERROR(__xludf.DUMMYFUNCTION("""COMPUTED_VALUE"""),"L1")</f>
        <v>L1</v>
      </c>
      <c r="R4531" s="6">
        <f>IFERROR(__xludf.DUMMYFUNCTION("""COMPUTED_VALUE"""),1.0)</f>
        <v>1</v>
      </c>
      <c r="S4531" s="6" t="str">
        <f>IFERROR(__xludf.DUMMYFUNCTION("""COMPUTED_VALUE""")," ")</f>
        <v> </v>
      </c>
      <c r="T4531" s="6" t="str">
        <f>IFERROR(__xludf.DUMMYFUNCTION("""COMPUTED_VALUE"""),"")</f>
        <v/>
      </c>
      <c r="U4531" s="6" t="str">
        <f>IFERROR(__xludf.DUMMYFUNCTION("""COMPUTED_VALUE"""),"3")</f>
        <v>3</v>
      </c>
      <c r="V4531" s="6" t="str">
        <f>IFERROR(__xludf.DUMMYFUNCTION("""COMPUTED_VALUE"""),"")</f>
        <v/>
      </c>
      <c r="W4531" s="6" t="str">
        <f>IFERROR(__xludf.DUMMYFUNCTION("""COMPUTED_VALUE"""),"[]")</f>
        <v>[]</v>
      </c>
      <c r="X4531" s="6" t="str">
        <f>IFERROR(__xludf.DUMMYFUNCTION("""COMPUTED_VALUE"""),"Enrolled")</f>
        <v>Enrolled</v>
      </c>
    </row>
    <row r="4532">
      <c r="A4532" s="6" t="str">
        <f>IFERROR(__xludf.DUMMYFUNCTION("""COMPUTED_VALUE"""),"083-11819")</f>
        <v>083-11819</v>
      </c>
      <c r="B4532" s="6" t="str">
        <f>IFERROR(__xludf.DUMMYFUNCTION("""COMPUTED_VALUE"""),"83")</f>
        <v>83</v>
      </c>
      <c r="C4532" s="6" t="str">
        <f>IFERROR(__xludf.DUMMYFUNCTION("""COMPUTED_VALUE"""),"11819")</f>
        <v>11819</v>
      </c>
      <c r="D4532" s="6" t="str">
        <f>IFERROR(__xludf.DUMMYFUNCTION("""COMPUTED_VALUE"""),"Brayden")</f>
        <v>Brayden</v>
      </c>
      <c r="E4532" s="6" t="str">
        <f>IFERROR(__xludf.DUMMYFUNCTION("""COMPUTED_VALUE"""),"")</f>
        <v/>
      </c>
      <c r="F4532" s="6" t="str">
        <f>IFERROR(__xludf.DUMMYFUNCTION("""COMPUTED_VALUE"""),"Castillo Merida")</f>
        <v>Castillo Merida</v>
      </c>
      <c r="G4532" s="6" t="str">
        <f>IFERROR(__xludf.DUMMYFUNCTION("""COMPUTED_VALUE"""),"12/21/2016")</f>
        <v>12/21/2016</v>
      </c>
      <c r="H4532" s="6" t="str">
        <f>IFERROR(__xludf.DUMMYFUNCTION("""COMPUTED_VALUE"""),"male")</f>
        <v>male</v>
      </c>
      <c r="I4532" s="6" t="str">
        <f>IFERROR(__xludf.DUMMYFUNCTION("""COMPUTED_VALUE"""),"Level 1")</f>
        <v>Level 1</v>
      </c>
      <c r="J4532" s="6" t="str">
        <f>IFERROR(__xludf.DUMMYFUNCTION("""COMPUTED_VALUE"""),"3")</f>
        <v>3</v>
      </c>
      <c r="K4532" s="6" t="str">
        <f>IFERROR(__xludf.DUMMYFUNCTION("""COMPUTED_VALUE"""),"brayden.castillomerida@2hourlearning.com")</f>
        <v>brayden.castillomerida@2hourlearning.com</v>
      </c>
      <c r="L4532" s="6" t="str">
        <f>IFERROR(__xludf.DUMMYFUNCTION("""COMPUTED_VALUE"""),"JHES - Hardeeville Elementary School")</f>
        <v>JHES - Hardeeville Elementary School</v>
      </c>
      <c r="M4532" s="6" t="str">
        <f>IFERROR(__xludf.DUMMYFUNCTION("""COMPUTED_VALUE"""),"")</f>
        <v/>
      </c>
      <c r="N4532" s="6" t="str">
        <f>IFERROR(__xludf.DUMMYFUNCTION("""COMPUTED_VALUE"""),"")</f>
        <v/>
      </c>
      <c r="O4532" s="87" t="str">
        <f>IFERROR(__xludf.DUMMYFUNCTION("""COMPUTED_VALUE"""),"https://drive.google.com/drive/folders/10T2cTQHqEJZqE-st6uFKPoI?usp=share_link")</f>
        <v>https://drive.google.com/drive/folders/10T2cTQHqEJZqE-st6uFKPoI?usp=share_link</v>
      </c>
      <c r="P4532" s="6" t="str">
        <f>IFERROR(__xludf.DUMMYFUNCTION("""COMPUTED_VALUE"""),"Brayden Castillo Merida")</f>
        <v>Brayden Castillo Merida</v>
      </c>
      <c r="Q4532" s="6" t="str">
        <f>IFERROR(__xludf.DUMMYFUNCTION("""COMPUTED_VALUE"""),"L1")</f>
        <v>L1</v>
      </c>
      <c r="R4532" s="6">
        <f>IFERROR(__xludf.DUMMYFUNCTION("""COMPUTED_VALUE"""),1.0)</f>
        <v>1</v>
      </c>
      <c r="S4532" s="6" t="str">
        <f>IFERROR(__xludf.DUMMYFUNCTION("""COMPUTED_VALUE""")," ")</f>
        <v> </v>
      </c>
      <c r="T4532" s="6" t="str">
        <f>IFERROR(__xludf.DUMMYFUNCTION("""COMPUTED_VALUE"""),"")</f>
        <v/>
      </c>
      <c r="U4532" s="6" t="str">
        <f>IFERROR(__xludf.DUMMYFUNCTION("""COMPUTED_VALUE"""),"3")</f>
        <v>3</v>
      </c>
      <c r="V4532" s="6" t="str">
        <f>IFERROR(__xludf.DUMMYFUNCTION("""COMPUTED_VALUE"""),"")</f>
        <v/>
      </c>
      <c r="W4532" s="6" t="str">
        <f>IFERROR(__xludf.DUMMYFUNCTION("""COMPUTED_VALUE"""),"[]")</f>
        <v>[]</v>
      </c>
      <c r="X4532" s="6" t="str">
        <f>IFERROR(__xludf.DUMMYFUNCTION("""COMPUTED_VALUE"""),"Enrolled")</f>
        <v>Enrolled</v>
      </c>
    </row>
    <row r="4533">
      <c r="A4533" s="6" t="str">
        <f>IFERROR(__xludf.DUMMYFUNCTION("""COMPUTED_VALUE"""),"083-11820")</f>
        <v>083-11820</v>
      </c>
      <c r="B4533" s="6" t="str">
        <f>IFERROR(__xludf.DUMMYFUNCTION("""COMPUTED_VALUE"""),"83")</f>
        <v>83</v>
      </c>
      <c r="C4533" s="6" t="str">
        <f>IFERROR(__xludf.DUMMYFUNCTION("""COMPUTED_VALUE"""),"11820")</f>
        <v>11820</v>
      </c>
      <c r="D4533" s="6" t="str">
        <f>IFERROR(__xludf.DUMMYFUNCTION("""COMPUTED_VALUE"""),"Mateo")</f>
        <v>Mateo</v>
      </c>
      <c r="E4533" s="6" t="str">
        <f>IFERROR(__xludf.DUMMYFUNCTION("""COMPUTED_VALUE"""),"")</f>
        <v/>
      </c>
      <c r="F4533" s="6" t="str">
        <f>IFERROR(__xludf.DUMMYFUNCTION("""COMPUTED_VALUE"""),"Chavez-Melendez")</f>
        <v>Chavez-Melendez</v>
      </c>
      <c r="G4533" s="6" t="str">
        <f>IFERROR(__xludf.DUMMYFUNCTION("""COMPUTED_VALUE"""),"04/18/2017")</f>
        <v>04/18/2017</v>
      </c>
      <c r="H4533" s="6" t="str">
        <f>IFERROR(__xludf.DUMMYFUNCTION("""COMPUTED_VALUE"""),"male")</f>
        <v>male</v>
      </c>
      <c r="I4533" s="6" t="str">
        <f>IFERROR(__xludf.DUMMYFUNCTION("""COMPUTED_VALUE"""),"Level 1")</f>
        <v>Level 1</v>
      </c>
      <c r="J4533" s="6" t="str">
        <f>IFERROR(__xludf.DUMMYFUNCTION("""COMPUTED_VALUE"""),"3")</f>
        <v>3</v>
      </c>
      <c r="K4533" s="6" t="str">
        <f>IFERROR(__xludf.DUMMYFUNCTION("""COMPUTED_VALUE"""),"mateo.chavezmelendez@2hourlearning.com")</f>
        <v>mateo.chavezmelendez@2hourlearning.com</v>
      </c>
      <c r="L4533" s="6" t="str">
        <f>IFERROR(__xludf.DUMMYFUNCTION("""COMPUTED_VALUE"""),"JHES - Hardeeville Elementary School")</f>
        <v>JHES - Hardeeville Elementary School</v>
      </c>
      <c r="M4533" s="6" t="str">
        <f>IFERROR(__xludf.DUMMYFUNCTION("""COMPUTED_VALUE"""),"")</f>
        <v/>
      </c>
      <c r="N4533" s="6" t="str">
        <f>IFERROR(__xludf.DUMMYFUNCTION("""COMPUTED_VALUE"""),"")</f>
        <v/>
      </c>
      <c r="O4533" s="87" t="str">
        <f>IFERROR(__xludf.DUMMYFUNCTION("""COMPUTED_VALUE"""),"https://drive.google.com/drive/folders/10T2cTQHqEJZqE-st6uFKPoI?usp=share_link")</f>
        <v>https://drive.google.com/drive/folders/10T2cTQHqEJZqE-st6uFKPoI?usp=share_link</v>
      </c>
      <c r="P4533" s="6" t="str">
        <f>IFERROR(__xludf.DUMMYFUNCTION("""COMPUTED_VALUE"""),"Mateo Chavez-Melendez")</f>
        <v>Mateo Chavez-Melendez</v>
      </c>
      <c r="Q4533" s="6" t="str">
        <f>IFERROR(__xludf.DUMMYFUNCTION("""COMPUTED_VALUE"""),"L1")</f>
        <v>L1</v>
      </c>
      <c r="R4533" s="6">
        <f>IFERROR(__xludf.DUMMYFUNCTION("""COMPUTED_VALUE"""),1.0)</f>
        <v>1</v>
      </c>
      <c r="S4533" s="6" t="str">
        <f>IFERROR(__xludf.DUMMYFUNCTION("""COMPUTED_VALUE""")," ")</f>
        <v> </v>
      </c>
      <c r="T4533" s="6" t="str">
        <f>IFERROR(__xludf.DUMMYFUNCTION("""COMPUTED_VALUE"""),"")</f>
        <v/>
      </c>
      <c r="U4533" s="6" t="str">
        <f>IFERROR(__xludf.DUMMYFUNCTION("""COMPUTED_VALUE"""),"3")</f>
        <v>3</v>
      </c>
      <c r="V4533" s="6" t="str">
        <f>IFERROR(__xludf.DUMMYFUNCTION("""COMPUTED_VALUE"""),"")</f>
        <v/>
      </c>
      <c r="W4533" s="6" t="str">
        <f>IFERROR(__xludf.DUMMYFUNCTION("""COMPUTED_VALUE"""),"[]")</f>
        <v>[]</v>
      </c>
      <c r="X4533" s="6" t="str">
        <f>IFERROR(__xludf.DUMMYFUNCTION("""COMPUTED_VALUE"""),"Enrolled")</f>
        <v>Enrolled</v>
      </c>
    </row>
    <row r="4534">
      <c r="A4534" s="6" t="str">
        <f>IFERROR(__xludf.DUMMYFUNCTION("""COMPUTED_VALUE"""),"083-11821")</f>
        <v>083-11821</v>
      </c>
      <c r="B4534" s="6" t="str">
        <f>IFERROR(__xludf.DUMMYFUNCTION("""COMPUTED_VALUE"""),"83")</f>
        <v>83</v>
      </c>
      <c r="C4534" s="6" t="str">
        <f>IFERROR(__xludf.DUMMYFUNCTION("""COMPUTED_VALUE"""),"11821")</f>
        <v>11821</v>
      </c>
      <c r="D4534" s="6" t="str">
        <f>IFERROR(__xludf.DUMMYFUNCTION("""COMPUTED_VALUE"""),"Israel")</f>
        <v>Israel</v>
      </c>
      <c r="E4534" s="6" t="str">
        <f>IFERROR(__xludf.DUMMYFUNCTION("""COMPUTED_VALUE"""),"")</f>
        <v/>
      </c>
      <c r="F4534" s="6" t="str">
        <f>IFERROR(__xludf.DUMMYFUNCTION("""COMPUTED_VALUE"""),"De La Cruz")</f>
        <v>De La Cruz</v>
      </c>
      <c r="G4534" s="6" t="str">
        <f>IFERROR(__xludf.DUMMYFUNCTION("""COMPUTED_VALUE"""),"05/09/2017")</f>
        <v>05/09/2017</v>
      </c>
      <c r="H4534" s="6" t="str">
        <f>IFERROR(__xludf.DUMMYFUNCTION("""COMPUTED_VALUE"""),"male")</f>
        <v>male</v>
      </c>
      <c r="I4534" s="6" t="str">
        <f>IFERROR(__xludf.DUMMYFUNCTION("""COMPUTED_VALUE"""),"Level 1")</f>
        <v>Level 1</v>
      </c>
      <c r="J4534" s="6" t="str">
        <f>IFERROR(__xludf.DUMMYFUNCTION("""COMPUTED_VALUE"""),"3")</f>
        <v>3</v>
      </c>
      <c r="K4534" s="6" t="str">
        <f>IFERROR(__xludf.DUMMYFUNCTION("""COMPUTED_VALUE"""),"israel.delacruz@2hourlearning.com")</f>
        <v>israel.delacruz@2hourlearning.com</v>
      </c>
      <c r="L4534" s="6" t="str">
        <f>IFERROR(__xludf.DUMMYFUNCTION("""COMPUTED_VALUE"""),"JHES - Hardeeville Elementary School")</f>
        <v>JHES - Hardeeville Elementary School</v>
      </c>
      <c r="M4534" s="6" t="str">
        <f>IFERROR(__xludf.DUMMYFUNCTION("""COMPUTED_VALUE"""),"")</f>
        <v/>
      </c>
      <c r="N4534" s="6" t="str">
        <f>IFERROR(__xludf.DUMMYFUNCTION("""COMPUTED_VALUE"""),"")</f>
        <v/>
      </c>
      <c r="O4534" s="87" t="str">
        <f>IFERROR(__xludf.DUMMYFUNCTION("""COMPUTED_VALUE"""),"https://drive.google.com/drive/folders/10T2cTQHqEJZqE-st6uFKPoI?usp=share_link")</f>
        <v>https://drive.google.com/drive/folders/10T2cTQHqEJZqE-st6uFKPoI?usp=share_link</v>
      </c>
      <c r="P4534" s="6" t="str">
        <f>IFERROR(__xludf.DUMMYFUNCTION("""COMPUTED_VALUE"""),"Israel De La Cruz")</f>
        <v>Israel De La Cruz</v>
      </c>
      <c r="Q4534" s="6" t="str">
        <f>IFERROR(__xludf.DUMMYFUNCTION("""COMPUTED_VALUE"""),"L1")</f>
        <v>L1</v>
      </c>
      <c r="R4534" s="6">
        <f>IFERROR(__xludf.DUMMYFUNCTION("""COMPUTED_VALUE"""),1.0)</f>
        <v>1</v>
      </c>
      <c r="S4534" s="6" t="str">
        <f>IFERROR(__xludf.DUMMYFUNCTION("""COMPUTED_VALUE""")," ")</f>
        <v> </v>
      </c>
      <c r="T4534" s="6" t="str">
        <f>IFERROR(__xludf.DUMMYFUNCTION("""COMPUTED_VALUE"""),"")</f>
        <v/>
      </c>
      <c r="U4534" s="6" t="str">
        <f>IFERROR(__xludf.DUMMYFUNCTION("""COMPUTED_VALUE"""),"3")</f>
        <v>3</v>
      </c>
      <c r="V4534" s="6" t="str">
        <f>IFERROR(__xludf.DUMMYFUNCTION("""COMPUTED_VALUE"""),"")</f>
        <v/>
      </c>
      <c r="W4534" s="6" t="str">
        <f>IFERROR(__xludf.DUMMYFUNCTION("""COMPUTED_VALUE"""),"[]")</f>
        <v>[]</v>
      </c>
      <c r="X4534" s="6" t="str">
        <f>IFERROR(__xludf.DUMMYFUNCTION("""COMPUTED_VALUE"""),"Enrolled")</f>
        <v>Enrolled</v>
      </c>
    </row>
    <row r="4535">
      <c r="A4535" s="6" t="str">
        <f>IFERROR(__xludf.DUMMYFUNCTION("""COMPUTED_VALUE"""),"083-11822")</f>
        <v>083-11822</v>
      </c>
      <c r="B4535" s="6" t="str">
        <f>IFERROR(__xludf.DUMMYFUNCTION("""COMPUTED_VALUE"""),"83")</f>
        <v>83</v>
      </c>
      <c r="C4535" s="6" t="str">
        <f>IFERROR(__xludf.DUMMYFUNCTION("""COMPUTED_VALUE"""),"11822")</f>
        <v>11822</v>
      </c>
      <c r="D4535" s="6" t="str">
        <f>IFERROR(__xludf.DUMMYFUNCTION("""COMPUTED_VALUE"""),"Lian")</f>
        <v>Lian</v>
      </c>
      <c r="E4535" s="6" t="str">
        <f>IFERROR(__xludf.DUMMYFUNCTION("""COMPUTED_VALUE"""),"")</f>
        <v/>
      </c>
      <c r="F4535" s="6" t="str">
        <f>IFERROR(__xludf.DUMMYFUNCTION("""COMPUTED_VALUE"""),"Delgado Alvarez")</f>
        <v>Delgado Alvarez</v>
      </c>
      <c r="G4535" s="6" t="str">
        <f>IFERROR(__xludf.DUMMYFUNCTION("""COMPUTED_VALUE"""),"09/10/2016")</f>
        <v>09/10/2016</v>
      </c>
      <c r="H4535" s="6" t="str">
        <f>IFERROR(__xludf.DUMMYFUNCTION("""COMPUTED_VALUE"""),"male")</f>
        <v>male</v>
      </c>
      <c r="I4535" s="6" t="str">
        <f>IFERROR(__xludf.DUMMYFUNCTION("""COMPUTED_VALUE"""),"Level 1")</f>
        <v>Level 1</v>
      </c>
      <c r="J4535" s="6" t="str">
        <f>IFERROR(__xludf.DUMMYFUNCTION("""COMPUTED_VALUE"""),"3")</f>
        <v>3</v>
      </c>
      <c r="K4535" s="6" t="str">
        <f>IFERROR(__xludf.DUMMYFUNCTION("""COMPUTED_VALUE"""),"lian.delgadoalvarez@2hourlearning.com")</f>
        <v>lian.delgadoalvarez@2hourlearning.com</v>
      </c>
      <c r="L4535" s="6" t="str">
        <f>IFERROR(__xludf.DUMMYFUNCTION("""COMPUTED_VALUE"""),"JHES - Hardeeville Elementary School")</f>
        <v>JHES - Hardeeville Elementary School</v>
      </c>
      <c r="M4535" s="6" t="str">
        <f>IFERROR(__xludf.DUMMYFUNCTION("""COMPUTED_VALUE"""),"")</f>
        <v/>
      </c>
      <c r="N4535" s="6" t="str">
        <f>IFERROR(__xludf.DUMMYFUNCTION("""COMPUTED_VALUE"""),"")</f>
        <v/>
      </c>
      <c r="O4535" s="87" t="str">
        <f>IFERROR(__xludf.DUMMYFUNCTION("""COMPUTED_VALUE"""),"https://drive.google.com/drive/folders/10T2cTQHqEJZqE-st6uFKPoI?usp=share_link")</f>
        <v>https://drive.google.com/drive/folders/10T2cTQHqEJZqE-st6uFKPoI?usp=share_link</v>
      </c>
      <c r="P4535" s="6" t="str">
        <f>IFERROR(__xludf.DUMMYFUNCTION("""COMPUTED_VALUE"""),"Lian Delgado Alvarez")</f>
        <v>Lian Delgado Alvarez</v>
      </c>
      <c r="Q4535" s="6" t="str">
        <f>IFERROR(__xludf.DUMMYFUNCTION("""COMPUTED_VALUE"""),"L1")</f>
        <v>L1</v>
      </c>
      <c r="R4535" s="6">
        <f>IFERROR(__xludf.DUMMYFUNCTION("""COMPUTED_VALUE"""),1.0)</f>
        <v>1</v>
      </c>
      <c r="S4535" s="6" t="str">
        <f>IFERROR(__xludf.DUMMYFUNCTION("""COMPUTED_VALUE""")," ")</f>
        <v> </v>
      </c>
      <c r="T4535" s="6" t="str">
        <f>IFERROR(__xludf.DUMMYFUNCTION("""COMPUTED_VALUE"""),"")</f>
        <v/>
      </c>
      <c r="U4535" s="6" t="str">
        <f>IFERROR(__xludf.DUMMYFUNCTION("""COMPUTED_VALUE"""),"3")</f>
        <v>3</v>
      </c>
      <c r="V4535" s="6" t="str">
        <f>IFERROR(__xludf.DUMMYFUNCTION("""COMPUTED_VALUE"""),"")</f>
        <v/>
      </c>
      <c r="W4535" s="6" t="str">
        <f>IFERROR(__xludf.DUMMYFUNCTION("""COMPUTED_VALUE"""),"[]")</f>
        <v>[]</v>
      </c>
      <c r="X4535" s="6" t="str">
        <f>IFERROR(__xludf.DUMMYFUNCTION("""COMPUTED_VALUE"""),"Enrolled")</f>
        <v>Enrolled</v>
      </c>
    </row>
    <row r="4536">
      <c r="A4536" s="6" t="str">
        <f>IFERROR(__xludf.DUMMYFUNCTION("""COMPUTED_VALUE"""),"083-11823")</f>
        <v>083-11823</v>
      </c>
      <c r="B4536" s="6" t="str">
        <f>IFERROR(__xludf.DUMMYFUNCTION("""COMPUTED_VALUE"""),"83")</f>
        <v>83</v>
      </c>
      <c r="C4536" s="6" t="str">
        <f>IFERROR(__xludf.DUMMYFUNCTION("""COMPUTED_VALUE"""),"11823")</f>
        <v>11823</v>
      </c>
      <c r="D4536" s="6" t="str">
        <f>IFERROR(__xludf.DUMMYFUNCTION("""COMPUTED_VALUE"""),"Josiah")</f>
        <v>Josiah</v>
      </c>
      <c r="E4536" s="6" t="str">
        <f>IFERROR(__xludf.DUMMYFUNCTION("""COMPUTED_VALUE"""),"")</f>
        <v/>
      </c>
      <c r="F4536" s="6" t="str">
        <f>IFERROR(__xludf.DUMMYFUNCTION("""COMPUTED_VALUE"""),"Diaz")</f>
        <v>Diaz</v>
      </c>
      <c r="G4536" s="6" t="str">
        <f>IFERROR(__xludf.DUMMYFUNCTION("""COMPUTED_VALUE"""),"07/10/2017")</f>
        <v>07/10/2017</v>
      </c>
      <c r="H4536" s="6" t="str">
        <f>IFERROR(__xludf.DUMMYFUNCTION("""COMPUTED_VALUE"""),"male")</f>
        <v>male</v>
      </c>
      <c r="I4536" s="6" t="str">
        <f>IFERROR(__xludf.DUMMYFUNCTION("""COMPUTED_VALUE"""),"Level 1")</f>
        <v>Level 1</v>
      </c>
      <c r="J4536" s="6" t="str">
        <f>IFERROR(__xludf.DUMMYFUNCTION("""COMPUTED_VALUE"""),"3")</f>
        <v>3</v>
      </c>
      <c r="K4536" s="6" t="str">
        <f>IFERROR(__xludf.DUMMYFUNCTION("""COMPUTED_VALUE"""),"josiah.diaz@2hourlearning.com")</f>
        <v>josiah.diaz@2hourlearning.com</v>
      </c>
      <c r="L4536" s="6" t="str">
        <f>IFERROR(__xludf.DUMMYFUNCTION("""COMPUTED_VALUE"""),"JHES - Hardeeville Elementary School")</f>
        <v>JHES - Hardeeville Elementary School</v>
      </c>
      <c r="M4536" s="6" t="str">
        <f>IFERROR(__xludf.DUMMYFUNCTION("""COMPUTED_VALUE"""),"")</f>
        <v/>
      </c>
      <c r="N4536" s="6" t="str">
        <f>IFERROR(__xludf.DUMMYFUNCTION("""COMPUTED_VALUE"""),"")</f>
        <v/>
      </c>
      <c r="O4536" s="87" t="str">
        <f>IFERROR(__xludf.DUMMYFUNCTION("""COMPUTED_VALUE"""),"https://drive.google.com/drive/folders/10T2cTQHqEJZqE-st6uFKPoI?usp=share_link")</f>
        <v>https://drive.google.com/drive/folders/10T2cTQHqEJZqE-st6uFKPoI?usp=share_link</v>
      </c>
      <c r="P4536" s="6" t="str">
        <f>IFERROR(__xludf.DUMMYFUNCTION("""COMPUTED_VALUE"""),"Josiah Diaz")</f>
        <v>Josiah Diaz</v>
      </c>
      <c r="Q4536" s="6" t="str">
        <f>IFERROR(__xludf.DUMMYFUNCTION("""COMPUTED_VALUE"""),"L1")</f>
        <v>L1</v>
      </c>
      <c r="R4536" s="6">
        <f>IFERROR(__xludf.DUMMYFUNCTION("""COMPUTED_VALUE"""),1.0)</f>
        <v>1</v>
      </c>
      <c r="S4536" s="6" t="str">
        <f>IFERROR(__xludf.DUMMYFUNCTION("""COMPUTED_VALUE""")," ")</f>
        <v> </v>
      </c>
      <c r="T4536" s="6" t="str">
        <f>IFERROR(__xludf.DUMMYFUNCTION("""COMPUTED_VALUE"""),"")</f>
        <v/>
      </c>
      <c r="U4536" s="6" t="str">
        <f>IFERROR(__xludf.DUMMYFUNCTION("""COMPUTED_VALUE"""),"3")</f>
        <v>3</v>
      </c>
      <c r="V4536" s="6" t="str">
        <f>IFERROR(__xludf.DUMMYFUNCTION("""COMPUTED_VALUE"""),"")</f>
        <v/>
      </c>
      <c r="W4536" s="6" t="str">
        <f>IFERROR(__xludf.DUMMYFUNCTION("""COMPUTED_VALUE"""),"[]")</f>
        <v>[]</v>
      </c>
      <c r="X4536" s="6" t="str">
        <f>IFERROR(__xludf.DUMMYFUNCTION("""COMPUTED_VALUE"""),"Enrolled")</f>
        <v>Enrolled</v>
      </c>
    </row>
    <row r="4537">
      <c r="A4537" s="6" t="str">
        <f>IFERROR(__xludf.DUMMYFUNCTION("""COMPUTED_VALUE"""),"083-11824")</f>
        <v>083-11824</v>
      </c>
      <c r="B4537" s="6" t="str">
        <f>IFERROR(__xludf.DUMMYFUNCTION("""COMPUTED_VALUE"""),"83")</f>
        <v>83</v>
      </c>
      <c r="C4537" s="6" t="str">
        <f>IFERROR(__xludf.DUMMYFUNCTION("""COMPUTED_VALUE"""),"11824")</f>
        <v>11824</v>
      </c>
      <c r="D4537" s="6" t="str">
        <f>IFERROR(__xludf.DUMMYFUNCTION("""COMPUTED_VALUE"""),"Josiah")</f>
        <v>Josiah</v>
      </c>
      <c r="E4537" s="6" t="str">
        <f>IFERROR(__xludf.DUMMYFUNCTION("""COMPUTED_VALUE"""),"")</f>
        <v/>
      </c>
      <c r="F4537" s="6" t="str">
        <f>IFERROR(__xludf.DUMMYFUNCTION("""COMPUTED_VALUE"""),"Dupont")</f>
        <v>Dupont</v>
      </c>
      <c r="G4537" s="6" t="str">
        <f>IFERROR(__xludf.DUMMYFUNCTION("""COMPUTED_VALUE"""),"10/03/2016")</f>
        <v>10/03/2016</v>
      </c>
      <c r="H4537" s="6" t="str">
        <f>IFERROR(__xludf.DUMMYFUNCTION("""COMPUTED_VALUE"""),"male")</f>
        <v>male</v>
      </c>
      <c r="I4537" s="6" t="str">
        <f>IFERROR(__xludf.DUMMYFUNCTION("""COMPUTED_VALUE"""),"Level 1")</f>
        <v>Level 1</v>
      </c>
      <c r="J4537" s="6" t="str">
        <f>IFERROR(__xludf.DUMMYFUNCTION("""COMPUTED_VALUE"""),"3")</f>
        <v>3</v>
      </c>
      <c r="K4537" s="6" t="str">
        <f>IFERROR(__xludf.DUMMYFUNCTION("""COMPUTED_VALUE"""),"josiah.dupont@2hourlearning.com")</f>
        <v>josiah.dupont@2hourlearning.com</v>
      </c>
      <c r="L4537" s="6" t="str">
        <f>IFERROR(__xludf.DUMMYFUNCTION("""COMPUTED_VALUE"""),"JHES - Hardeeville Elementary School")</f>
        <v>JHES - Hardeeville Elementary School</v>
      </c>
      <c r="M4537" s="6" t="str">
        <f>IFERROR(__xludf.DUMMYFUNCTION("""COMPUTED_VALUE"""),"")</f>
        <v/>
      </c>
      <c r="N4537" s="6" t="str">
        <f>IFERROR(__xludf.DUMMYFUNCTION("""COMPUTED_VALUE"""),"")</f>
        <v/>
      </c>
      <c r="O4537" s="87" t="str">
        <f>IFERROR(__xludf.DUMMYFUNCTION("""COMPUTED_VALUE"""),"https://drive.google.com/drive/folders/10T2cTQHqEJZqE-st6uFKPoI?usp=share_link")</f>
        <v>https://drive.google.com/drive/folders/10T2cTQHqEJZqE-st6uFKPoI?usp=share_link</v>
      </c>
      <c r="P4537" s="6" t="str">
        <f>IFERROR(__xludf.DUMMYFUNCTION("""COMPUTED_VALUE"""),"Josiah Dupont")</f>
        <v>Josiah Dupont</v>
      </c>
      <c r="Q4537" s="6" t="str">
        <f>IFERROR(__xludf.DUMMYFUNCTION("""COMPUTED_VALUE"""),"L1")</f>
        <v>L1</v>
      </c>
      <c r="R4537" s="6">
        <f>IFERROR(__xludf.DUMMYFUNCTION("""COMPUTED_VALUE"""),1.0)</f>
        <v>1</v>
      </c>
      <c r="S4537" s="6" t="str">
        <f>IFERROR(__xludf.DUMMYFUNCTION("""COMPUTED_VALUE""")," ")</f>
        <v> </v>
      </c>
      <c r="T4537" s="6" t="str">
        <f>IFERROR(__xludf.DUMMYFUNCTION("""COMPUTED_VALUE"""),"")</f>
        <v/>
      </c>
      <c r="U4537" s="6" t="str">
        <f>IFERROR(__xludf.DUMMYFUNCTION("""COMPUTED_VALUE"""),"3")</f>
        <v>3</v>
      </c>
      <c r="V4537" s="6" t="str">
        <f>IFERROR(__xludf.DUMMYFUNCTION("""COMPUTED_VALUE"""),"")</f>
        <v/>
      </c>
      <c r="W4537" s="6" t="str">
        <f>IFERROR(__xludf.DUMMYFUNCTION("""COMPUTED_VALUE"""),"[]")</f>
        <v>[]</v>
      </c>
      <c r="X4537" s="6" t="str">
        <f>IFERROR(__xludf.DUMMYFUNCTION("""COMPUTED_VALUE"""),"Enrolled")</f>
        <v>Enrolled</v>
      </c>
    </row>
    <row r="4538">
      <c r="A4538" s="6" t="str">
        <f>IFERROR(__xludf.DUMMYFUNCTION("""COMPUTED_VALUE"""),"083-11825")</f>
        <v>083-11825</v>
      </c>
      <c r="B4538" s="6" t="str">
        <f>IFERROR(__xludf.DUMMYFUNCTION("""COMPUTED_VALUE"""),"83")</f>
        <v>83</v>
      </c>
      <c r="C4538" s="6" t="str">
        <f>IFERROR(__xludf.DUMMYFUNCTION("""COMPUTED_VALUE"""),"11825")</f>
        <v>11825</v>
      </c>
      <c r="D4538" s="6" t="str">
        <f>IFERROR(__xludf.DUMMYFUNCTION("""COMPUTED_VALUE"""),"Adriana")</f>
        <v>Adriana</v>
      </c>
      <c r="E4538" s="6" t="str">
        <f>IFERROR(__xludf.DUMMYFUNCTION("""COMPUTED_VALUE"""),"")</f>
        <v/>
      </c>
      <c r="F4538" s="6" t="str">
        <f>IFERROR(__xludf.DUMMYFUNCTION("""COMPUTED_VALUE"""),"Falcon Hernandez")</f>
        <v>Falcon Hernandez</v>
      </c>
      <c r="G4538" s="6" t="str">
        <f>IFERROR(__xludf.DUMMYFUNCTION("""COMPUTED_VALUE"""),"04/10/2017")</f>
        <v>04/10/2017</v>
      </c>
      <c r="H4538" s="6" t="str">
        <f>IFERROR(__xludf.DUMMYFUNCTION("""COMPUTED_VALUE"""),"female")</f>
        <v>female</v>
      </c>
      <c r="I4538" s="6" t="str">
        <f>IFERROR(__xludf.DUMMYFUNCTION("""COMPUTED_VALUE"""),"Level 1")</f>
        <v>Level 1</v>
      </c>
      <c r="J4538" s="6" t="str">
        <f>IFERROR(__xludf.DUMMYFUNCTION("""COMPUTED_VALUE"""),"3")</f>
        <v>3</v>
      </c>
      <c r="K4538" s="6" t="str">
        <f>IFERROR(__xludf.DUMMYFUNCTION("""COMPUTED_VALUE"""),"adriana.falconhernandez@2hourlearning.com")</f>
        <v>adriana.falconhernandez@2hourlearning.com</v>
      </c>
      <c r="L4538" s="6" t="str">
        <f>IFERROR(__xludf.DUMMYFUNCTION("""COMPUTED_VALUE"""),"JHES - Hardeeville Elementary School")</f>
        <v>JHES - Hardeeville Elementary School</v>
      </c>
      <c r="M4538" s="6" t="str">
        <f>IFERROR(__xludf.DUMMYFUNCTION("""COMPUTED_VALUE"""),"")</f>
        <v/>
      </c>
      <c r="N4538" s="6" t="str">
        <f>IFERROR(__xludf.DUMMYFUNCTION("""COMPUTED_VALUE"""),"")</f>
        <v/>
      </c>
      <c r="O4538" s="87" t="str">
        <f>IFERROR(__xludf.DUMMYFUNCTION("""COMPUTED_VALUE"""),"https://drive.google.com/drive/folders/10T2cTQHqEJZqE-st6uFKPoI?usp=share_link")</f>
        <v>https://drive.google.com/drive/folders/10T2cTQHqEJZqE-st6uFKPoI?usp=share_link</v>
      </c>
      <c r="P4538" s="6" t="str">
        <f>IFERROR(__xludf.DUMMYFUNCTION("""COMPUTED_VALUE"""),"Adriana Falcon Hernandez")</f>
        <v>Adriana Falcon Hernandez</v>
      </c>
      <c r="Q4538" s="6" t="str">
        <f>IFERROR(__xludf.DUMMYFUNCTION("""COMPUTED_VALUE"""),"L1")</f>
        <v>L1</v>
      </c>
      <c r="R4538" s="6">
        <f>IFERROR(__xludf.DUMMYFUNCTION("""COMPUTED_VALUE"""),1.0)</f>
        <v>1</v>
      </c>
      <c r="S4538" s="6" t="str">
        <f>IFERROR(__xludf.DUMMYFUNCTION("""COMPUTED_VALUE""")," ")</f>
        <v> </v>
      </c>
      <c r="T4538" s="6" t="str">
        <f>IFERROR(__xludf.DUMMYFUNCTION("""COMPUTED_VALUE"""),"")</f>
        <v/>
      </c>
      <c r="U4538" s="6" t="str">
        <f>IFERROR(__xludf.DUMMYFUNCTION("""COMPUTED_VALUE"""),"3")</f>
        <v>3</v>
      </c>
      <c r="V4538" s="6" t="str">
        <f>IFERROR(__xludf.DUMMYFUNCTION("""COMPUTED_VALUE"""),"")</f>
        <v/>
      </c>
      <c r="W4538" s="6" t="str">
        <f>IFERROR(__xludf.DUMMYFUNCTION("""COMPUTED_VALUE"""),"[]")</f>
        <v>[]</v>
      </c>
      <c r="X4538" s="6" t="str">
        <f>IFERROR(__xludf.DUMMYFUNCTION("""COMPUTED_VALUE"""),"Enrolled")</f>
        <v>Enrolled</v>
      </c>
    </row>
    <row r="4539">
      <c r="A4539" s="6" t="str">
        <f>IFERROR(__xludf.DUMMYFUNCTION("""COMPUTED_VALUE"""),"083-11826")</f>
        <v>083-11826</v>
      </c>
      <c r="B4539" s="6" t="str">
        <f>IFERROR(__xludf.DUMMYFUNCTION("""COMPUTED_VALUE"""),"83")</f>
        <v>83</v>
      </c>
      <c r="C4539" s="6" t="str">
        <f>IFERROR(__xludf.DUMMYFUNCTION("""COMPUTED_VALUE"""),"11826")</f>
        <v>11826</v>
      </c>
      <c r="D4539" s="6" t="str">
        <f>IFERROR(__xludf.DUMMYFUNCTION("""COMPUTED_VALUE"""),"Qua'leel")</f>
        <v>Qua'leel</v>
      </c>
      <c r="E4539" s="6" t="str">
        <f>IFERROR(__xludf.DUMMYFUNCTION("""COMPUTED_VALUE"""),"")</f>
        <v/>
      </c>
      <c r="F4539" s="6" t="str">
        <f>IFERROR(__xludf.DUMMYFUNCTION("""COMPUTED_VALUE"""),"Ford")</f>
        <v>Ford</v>
      </c>
      <c r="G4539" s="6" t="str">
        <f>IFERROR(__xludf.DUMMYFUNCTION("""COMPUTED_VALUE"""),"06/14/2017")</f>
        <v>06/14/2017</v>
      </c>
      <c r="H4539" s="6" t="str">
        <f>IFERROR(__xludf.DUMMYFUNCTION("""COMPUTED_VALUE"""),"male")</f>
        <v>male</v>
      </c>
      <c r="I4539" s="6" t="str">
        <f>IFERROR(__xludf.DUMMYFUNCTION("""COMPUTED_VALUE"""),"Level 1")</f>
        <v>Level 1</v>
      </c>
      <c r="J4539" s="6" t="str">
        <f>IFERROR(__xludf.DUMMYFUNCTION("""COMPUTED_VALUE"""),"3")</f>
        <v>3</v>
      </c>
      <c r="K4539" s="6" t="str">
        <f>IFERROR(__xludf.DUMMYFUNCTION("""COMPUTED_VALUE"""),"qualeel.ford@2hourlearning.com")</f>
        <v>qualeel.ford@2hourlearning.com</v>
      </c>
      <c r="L4539" s="6" t="str">
        <f>IFERROR(__xludf.DUMMYFUNCTION("""COMPUTED_VALUE"""),"JHES - Hardeeville Elementary School")</f>
        <v>JHES - Hardeeville Elementary School</v>
      </c>
      <c r="M4539" s="6" t="str">
        <f>IFERROR(__xludf.DUMMYFUNCTION("""COMPUTED_VALUE"""),"")</f>
        <v/>
      </c>
      <c r="N4539" s="6" t="str">
        <f>IFERROR(__xludf.DUMMYFUNCTION("""COMPUTED_VALUE"""),"")</f>
        <v/>
      </c>
      <c r="O4539" s="87" t="str">
        <f>IFERROR(__xludf.DUMMYFUNCTION("""COMPUTED_VALUE"""),"https://drive.google.com/drive/folders/10T2cTQHqEJZqE-st6uFKPoI?usp=share_link")</f>
        <v>https://drive.google.com/drive/folders/10T2cTQHqEJZqE-st6uFKPoI?usp=share_link</v>
      </c>
      <c r="P4539" s="6" t="str">
        <f>IFERROR(__xludf.DUMMYFUNCTION("""COMPUTED_VALUE"""),"Qua'leel Ford")</f>
        <v>Qua'leel Ford</v>
      </c>
      <c r="Q4539" s="6" t="str">
        <f>IFERROR(__xludf.DUMMYFUNCTION("""COMPUTED_VALUE"""),"L1")</f>
        <v>L1</v>
      </c>
      <c r="R4539" s="6">
        <f>IFERROR(__xludf.DUMMYFUNCTION("""COMPUTED_VALUE"""),1.0)</f>
        <v>1</v>
      </c>
      <c r="S4539" s="6" t="str">
        <f>IFERROR(__xludf.DUMMYFUNCTION("""COMPUTED_VALUE""")," ")</f>
        <v> </v>
      </c>
      <c r="T4539" s="6" t="str">
        <f>IFERROR(__xludf.DUMMYFUNCTION("""COMPUTED_VALUE"""),"")</f>
        <v/>
      </c>
      <c r="U4539" s="6" t="str">
        <f>IFERROR(__xludf.DUMMYFUNCTION("""COMPUTED_VALUE"""),"3")</f>
        <v>3</v>
      </c>
      <c r="V4539" s="6" t="str">
        <f>IFERROR(__xludf.DUMMYFUNCTION("""COMPUTED_VALUE"""),"")</f>
        <v/>
      </c>
      <c r="W4539" s="6" t="str">
        <f>IFERROR(__xludf.DUMMYFUNCTION("""COMPUTED_VALUE"""),"[]")</f>
        <v>[]</v>
      </c>
      <c r="X4539" s="6" t="str">
        <f>IFERROR(__xludf.DUMMYFUNCTION("""COMPUTED_VALUE"""),"Enrolled")</f>
        <v>Enrolled</v>
      </c>
    </row>
    <row r="4540">
      <c r="A4540" s="6" t="str">
        <f>IFERROR(__xludf.DUMMYFUNCTION("""COMPUTED_VALUE"""),"083-11827")</f>
        <v>083-11827</v>
      </c>
      <c r="B4540" s="6" t="str">
        <f>IFERROR(__xludf.DUMMYFUNCTION("""COMPUTED_VALUE"""),"83")</f>
        <v>83</v>
      </c>
      <c r="C4540" s="6" t="str">
        <f>IFERROR(__xludf.DUMMYFUNCTION("""COMPUTED_VALUE"""),"11827")</f>
        <v>11827</v>
      </c>
      <c r="D4540" s="6" t="str">
        <f>IFERROR(__xludf.DUMMYFUNCTION("""COMPUTED_VALUE"""),"Carlos A")</f>
        <v>Carlos A</v>
      </c>
      <c r="E4540" s="6" t="str">
        <f>IFERROR(__xludf.DUMMYFUNCTION("""COMPUTED_VALUE"""),"")</f>
        <v/>
      </c>
      <c r="F4540" s="6" t="str">
        <f>IFERROR(__xludf.DUMMYFUNCTION("""COMPUTED_VALUE"""),"Gonzalez Islas")</f>
        <v>Gonzalez Islas</v>
      </c>
      <c r="G4540" s="6" t="str">
        <f>IFERROR(__xludf.DUMMYFUNCTION("""COMPUTED_VALUE"""),"01/21/2017")</f>
        <v>01/21/2017</v>
      </c>
      <c r="H4540" s="6" t="str">
        <f>IFERROR(__xludf.DUMMYFUNCTION("""COMPUTED_VALUE"""),"male")</f>
        <v>male</v>
      </c>
      <c r="I4540" s="6" t="str">
        <f>IFERROR(__xludf.DUMMYFUNCTION("""COMPUTED_VALUE"""),"Level 1")</f>
        <v>Level 1</v>
      </c>
      <c r="J4540" s="6" t="str">
        <f>IFERROR(__xludf.DUMMYFUNCTION("""COMPUTED_VALUE"""),"3")</f>
        <v>3</v>
      </c>
      <c r="K4540" s="6" t="str">
        <f>IFERROR(__xludf.DUMMYFUNCTION("""COMPUTED_VALUE"""),"carlosa.gonzalezislas@2hourlearning.com")</f>
        <v>carlosa.gonzalezislas@2hourlearning.com</v>
      </c>
      <c r="L4540" s="6" t="str">
        <f>IFERROR(__xludf.DUMMYFUNCTION("""COMPUTED_VALUE"""),"JHES - Hardeeville Elementary School")</f>
        <v>JHES - Hardeeville Elementary School</v>
      </c>
      <c r="M4540" s="6" t="str">
        <f>IFERROR(__xludf.DUMMYFUNCTION("""COMPUTED_VALUE"""),"")</f>
        <v/>
      </c>
      <c r="N4540" s="6" t="str">
        <f>IFERROR(__xludf.DUMMYFUNCTION("""COMPUTED_VALUE"""),"")</f>
        <v/>
      </c>
      <c r="O4540" s="87" t="str">
        <f>IFERROR(__xludf.DUMMYFUNCTION("""COMPUTED_VALUE"""),"https://drive.google.com/drive/folders/10T2cTQHqEJZqE-st6uFKPoI?usp=share_link")</f>
        <v>https://drive.google.com/drive/folders/10T2cTQHqEJZqE-st6uFKPoI?usp=share_link</v>
      </c>
      <c r="P4540" s="6" t="str">
        <f>IFERROR(__xludf.DUMMYFUNCTION("""COMPUTED_VALUE"""),"Carlos A Gonzalez Islas")</f>
        <v>Carlos A Gonzalez Islas</v>
      </c>
      <c r="Q4540" s="6" t="str">
        <f>IFERROR(__xludf.DUMMYFUNCTION("""COMPUTED_VALUE"""),"L1")</f>
        <v>L1</v>
      </c>
      <c r="R4540" s="6">
        <f>IFERROR(__xludf.DUMMYFUNCTION("""COMPUTED_VALUE"""),1.0)</f>
        <v>1</v>
      </c>
      <c r="S4540" s="6" t="str">
        <f>IFERROR(__xludf.DUMMYFUNCTION("""COMPUTED_VALUE""")," ")</f>
        <v> </v>
      </c>
      <c r="T4540" s="6" t="str">
        <f>IFERROR(__xludf.DUMMYFUNCTION("""COMPUTED_VALUE"""),"")</f>
        <v/>
      </c>
      <c r="U4540" s="6" t="str">
        <f>IFERROR(__xludf.DUMMYFUNCTION("""COMPUTED_VALUE"""),"3")</f>
        <v>3</v>
      </c>
      <c r="V4540" s="6" t="str">
        <f>IFERROR(__xludf.DUMMYFUNCTION("""COMPUTED_VALUE"""),"")</f>
        <v/>
      </c>
      <c r="W4540" s="6" t="str">
        <f>IFERROR(__xludf.DUMMYFUNCTION("""COMPUTED_VALUE"""),"[]")</f>
        <v>[]</v>
      </c>
      <c r="X4540" s="6" t="str">
        <f>IFERROR(__xludf.DUMMYFUNCTION("""COMPUTED_VALUE"""),"Enrolled")</f>
        <v>Enrolled</v>
      </c>
    </row>
    <row r="4541">
      <c r="A4541" s="6" t="str">
        <f>IFERROR(__xludf.DUMMYFUNCTION("""COMPUTED_VALUE"""),"083-11828")</f>
        <v>083-11828</v>
      </c>
      <c r="B4541" s="6" t="str">
        <f>IFERROR(__xludf.DUMMYFUNCTION("""COMPUTED_VALUE"""),"83")</f>
        <v>83</v>
      </c>
      <c r="C4541" s="6" t="str">
        <f>IFERROR(__xludf.DUMMYFUNCTION("""COMPUTED_VALUE"""),"11828")</f>
        <v>11828</v>
      </c>
      <c r="D4541" s="6" t="str">
        <f>IFERROR(__xludf.DUMMYFUNCTION("""COMPUTED_VALUE"""),"Karter")</f>
        <v>Karter</v>
      </c>
      <c r="E4541" s="6" t="str">
        <f>IFERROR(__xludf.DUMMYFUNCTION("""COMPUTED_VALUE"""),"")</f>
        <v/>
      </c>
      <c r="F4541" s="6" t="str">
        <f>IFERROR(__xludf.DUMMYFUNCTION("""COMPUTED_VALUE"""),"Grant")</f>
        <v>Grant</v>
      </c>
      <c r="G4541" s="6" t="str">
        <f>IFERROR(__xludf.DUMMYFUNCTION("""COMPUTED_VALUE"""),"07/28/2017")</f>
        <v>07/28/2017</v>
      </c>
      <c r="H4541" s="6" t="str">
        <f>IFERROR(__xludf.DUMMYFUNCTION("""COMPUTED_VALUE"""),"female")</f>
        <v>female</v>
      </c>
      <c r="I4541" s="6" t="str">
        <f>IFERROR(__xludf.DUMMYFUNCTION("""COMPUTED_VALUE"""),"Level 1")</f>
        <v>Level 1</v>
      </c>
      <c r="J4541" s="6" t="str">
        <f>IFERROR(__xludf.DUMMYFUNCTION("""COMPUTED_VALUE"""),"3")</f>
        <v>3</v>
      </c>
      <c r="K4541" s="6" t="str">
        <f>IFERROR(__xludf.DUMMYFUNCTION("""COMPUTED_VALUE"""),"karter.grant@2hourlearning.com")</f>
        <v>karter.grant@2hourlearning.com</v>
      </c>
      <c r="L4541" s="6" t="str">
        <f>IFERROR(__xludf.DUMMYFUNCTION("""COMPUTED_VALUE"""),"JHES - Hardeeville Elementary School")</f>
        <v>JHES - Hardeeville Elementary School</v>
      </c>
      <c r="M4541" s="6" t="str">
        <f>IFERROR(__xludf.DUMMYFUNCTION("""COMPUTED_VALUE"""),"")</f>
        <v/>
      </c>
      <c r="N4541" s="6" t="str">
        <f>IFERROR(__xludf.DUMMYFUNCTION("""COMPUTED_VALUE"""),"")</f>
        <v/>
      </c>
      <c r="O4541" s="87" t="str">
        <f>IFERROR(__xludf.DUMMYFUNCTION("""COMPUTED_VALUE"""),"https://drive.google.com/drive/folders/10T2cTQHqEJZqE-st6uFKPoI?usp=share_link")</f>
        <v>https://drive.google.com/drive/folders/10T2cTQHqEJZqE-st6uFKPoI?usp=share_link</v>
      </c>
      <c r="P4541" s="6" t="str">
        <f>IFERROR(__xludf.DUMMYFUNCTION("""COMPUTED_VALUE"""),"Karter Grant")</f>
        <v>Karter Grant</v>
      </c>
      <c r="Q4541" s="6" t="str">
        <f>IFERROR(__xludf.DUMMYFUNCTION("""COMPUTED_VALUE"""),"L1")</f>
        <v>L1</v>
      </c>
      <c r="R4541" s="6">
        <f>IFERROR(__xludf.DUMMYFUNCTION("""COMPUTED_VALUE"""),1.0)</f>
        <v>1</v>
      </c>
      <c r="S4541" s="6" t="str">
        <f>IFERROR(__xludf.DUMMYFUNCTION("""COMPUTED_VALUE""")," ")</f>
        <v> </v>
      </c>
      <c r="T4541" s="6" t="str">
        <f>IFERROR(__xludf.DUMMYFUNCTION("""COMPUTED_VALUE"""),"")</f>
        <v/>
      </c>
      <c r="U4541" s="6" t="str">
        <f>IFERROR(__xludf.DUMMYFUNCTION("""COMPUTED_VALUE"""),"3")</f>
        <v>3</v>
      </c>
      <c r="V4541" s="6" t="str">
        <f>IFERROR(__xludf.DUMMYFUNCTION("""COMPUTED_VALUE"""),"")</f>
        <v/>
      </c>
      <c r="W4541" s="6" t="str">
        <f>IFERROR(__xludf.DUMMYFUNCTION("""COMPUTED_VALUE"""),"[]")</f>
        <v>[]</v>
      </c>
      <c r="X4541" s="6" t="str">
        <f>IFERROR(__xludf.DUMMYFUNCTION("""COMPUTED_VALUE"""),"Enrolled")</f>
        <v>Enrolled</v>
      </c>
    </row>
    <row r="4542">
      <c r="A4542" s="6" t="str">
        <f>IFERROR(__xludf.DUMMYFUNCTION("""COMPUTED_VALUE"""),"083-11829")</f>
        <v>083-11829</v>
      </c>
      <c r="B4542" s="6" t="str">
        <f>IFERROR(__xludf.DUMMYFUNCTION("""COMPUTED_VALUE"""),"83")</f>
        <v>83</v>
      </c>
      <c r="C4542" s="6" t="str">
        <f>IFERROR(__xludf.DUMMYFUNCTION("""COMPUTED_VALUE"""),"11829")</f>
        <v>11829</v>
      </c>
      <c r="D4542" s="6" t="str">
        <f>IFERROR(__xludf.DUMMYFUNCTION("""COMPUTED_VALUE"""),"Jayda")</f>
        <v>Jayda</v>
      </c>
      <c r="E4542" s="6" t="str">
        <f>IFERROR(__xludf.DUMMYFUNCTION("""COMPUTED_VALUE"""),"")</f>
        <v/>
      </c>
      <c r="F4542" s="6" t="str">
        <f>IFERROR(__xludf.DUMMYFUNCTION("""COMPUTED_VALUE"""),"Hill")</f>
        <v>Hill</v>
      </c>
      <c r="G4542" s="6" t="str">
        <f>IFERROR(__xludf.DUMMYFUNCTION("""COMPUTED_VALUE"""),"04/28/2017")</f>
        <v>04/28/2017</v>
      </c>
      <c r="H4542" s="6" t="str">
        <f>IFERROR(__xludf.DUMMYFUNCTION("""COMPUTED_VALUE"""),"female")</f>
        <v>female</v>
      </c>
      <c r="I4542" s="6" t="str">
        <f>IFERROR(__xludf.DUMMYFUNCTION("""COMPUTED_VALUE"""),"Level 1")</f>
        <v>Level 1</v>
      </c>
      <c r="J4542" s="6" t="str">
        <f>IFERROR(__xludf.DUMMYFUNCTION("""COMPUTED_VALUE"""),"3")</f>
        <v>3</v>
      </c>
      <c r="K4542" s="6" t="str">
        <f>IFERROR(__xludf.DUMMYFUNCTION("""COMPUTED_VALUE"""),"jayda.hill@2hourlearning.com")</f>
        <v>jayda.hill@2hourlearning.com</v>
      </c>
      <c r="L4542" s="6" t="str">
        <f>IFERROR(__xludf.DUMMYFUNCTION("""COMPUTED_VALUE"""),"JHES - Hardeeville Elementary School")</f>
        <v>JHES - Hardeeville Elementary School</v>
      </c>
      <c r="M4542" s="6" t="str">
        <f>IFERROR(__xludf.DUMMYFUNCTION("""COMPUTED_VALUE"""),"")</f>
        <v/>
      </c>
      <c r="N4542" s="6" t="str">
        <f>IFERROR(__xludf.DUMMYFUNCTION("""COMPUTED_VALUE"""),"")</f>
        <v/>
      </c>
      <c r="O4542" s="87" t="str">
        <f>IFERROR(__xludf.DUMMYFUNCTION("""COMPUTED_VALUE"""),"https://drive.google.com/drive/folders/10T2cTQHqEJZqE-st6uFKPoI?usp=share_link")</f>
        <v>https://drive.google.com/drive/folders/10T2cTQHqEJZqE-st6uFKPoI?usp=share_link</v>
      </c>
      <c r="P4542" s="6" t="str">
        <f>IFERROR(__xludf.DUMMYFUNCTION("""COMPUTED_VALUE"""),"Jayda Hill")</f>
        <v>Jayda Hill</v>
      </c>
      <c r="Q4542" s="6" t="str">
        <f>IFERROR(__xludf.DUMMYFUNCTION("""COMPUTED_VALUE"""),"L1")</f>
        <v>L1</v>
      </c>
      <c r="R4542" s="6">
        <f>IFERROR(__xludf.DUMMYFUNCTION("""COMPUTED_VALUE"""),1.0)</f>
        <v>1</v>
      </c>
      <c r="S4542" s="6" t="str">
        <f>IFERROR(__xludf.DUMMYFUNCTION("""COMPUTED_VALUE""")," ")</f>
        <v> </v>
      </c>
      <c r="T4542" s="6" t="str">
        <f>IFERROR(__xludf.DUMMYFUNCTION("""COMPUTED_VALUE"""),"")</f>
        <v/>
      </c>
      <c r="U4542" s="6" t="str">
        <f>IFERROR(__xludf.DUMMYFUNCTION("""COMPUTED_VALUE"""),"3")</f>
        <v>3</v>
      </c>
      <c r="V4542" s="6" t="str">
        <f>IFERROR(__xludf.DUMMYFUNCTION("""COMPUTED_VALUE"""),"")</f>
        <v/>
      </c>
      <c r="W4542" s="6" t="str">
        <f>IFERROR(__xludf.DUMMYFUNCTION("""COMPUTED_VALUE"""),"[]")</f>
        <v>[]</v>
      </c>
      <c r="X4542" s="6" t="str">
        <f>IFERROR(__xludf.DUMMYFUNCTION("""COMPUTED_VALUE"""),"Enrolled")</f>
        <v>Enrolled</v>
      </c>
    </row>
    <row r="4543">
      <c r="A4543" s="6" t="str">
        <f>IFERROR(__xludf.DUMMYFUNCTION("""COMPUTED_VALUE"""),"083-11830")</f>
        <v>083-11830</v>
      </c>
      <c r="B4543" s="6" t="str">
        <f>IFERROR(__xludf.DUMMYFUNCTION("""COMPUTED_VALUE"""),"83")</f>
        <v>83</v>
      </c>
      <c r="C4543" s="6" t="str">
        <f>IFERROR(__xludf.DUMMYFUNCTION("""COMPUTED_VALUE"""),"11830")</f>
        <v>11830</v>
      </c>
      <c r="D4543" s="6" t="str">
        <f>IFERROR(__xludf.DUMMYFUNCTION("""COMPUTED_VALUE"""),"Pamela")</f>
        <v>Pamela</v>
      </c>
      <c r="E4543" s="6" t="str">
        <f>IFERROR(__xludf.DUMMYFUNCTION("""COMPUTED_VALUE"""),"")</f>
        <v/>
      </c>
      <c r="F4543" s="6" t="str">
        <f>IFERROR(__xludf.DUMMYFUNCTION("""COMPUTED_VALUE"""),"Jenkins")</f>
        <v>Jenkins</v>
      </c>
      <c r="G4543" s="6" t="str">
        <f>IFERROR(__xludf.DUMMYFUNCTION("""COMPUTED_VALUE"""),"02/01/2017")</f>
        <v>02/01/2017</v>
      </c>
      <c r="H4543" s="6" t="str">
        <f>IFERROR(__xludf.DUMMYFUNCTION("""COMPUTED_VALUE"""),"female")</f>
        <v>female</v>
      </c>
      <c r="I4543" s="6" t="str">
        <f>IFERROR(__xludf.DUMMYFUNCTION("""COMPUTED_VALUE"""),"Level 1")</f>
        <v>Level 1</v>
      </c>
      <c r="J4543" s="6" t="str">
        <f>IFERROR(__xludf.DUMMYFUNCTION("""COMPUTED_VALUE"""),"3")</f>
        <v>3</v>
      </c>
      <c r="K4543" s="6" t="str">
        <f>IFERROR(__xludf.DUMMYFUNCTION("""COMPUTED_VALUE"""),"pamela.jenkins@2hourlearning.com")</f>
        <v>pamela.jenkins@2hourlearning.com</v>
      </c>
      <c r="L4543" s="6" t="str">
        <f>IFERROR(__xludf.DUMMYFUNCTION("""COMPUTED_VALUE"""),"JHES - Hardeeville Elementary School")</f>
        <v>JHES - Hardeeville Elementary School</v>
      </c>
      <c r="M4543" s="6" t="str">
        <f>IFERROR(__xludf.DUMMYFUNCTION("""COMPUTED_VALUE"""),"")</f>
        <v/>
      </c>
      <c r="N4543" s="6" t="str">
        <f>IFERROR(__xludf.DUMMYFUNCTION("""COMPUTED_VALUE"""),"")</f>
        <v/>
      </c>
      <c r="O4543" s="87" t="str">
        <f>IFERROR(__xludf.DUMMYFUNCTION("""COMPUTED_VALUE"""),"https://drive.google.com/drive/folders/10T2cTQHqEJZqE-st6uFKPoI?usp=share_link")</f>
        <v>https://drive.google.com/drive/folders/10T2cTQHqEJZqE-st6uFKPoI?usp=share_link</v>
      </c>
      <c r="P4543" s="6" t="str">
        <f>IFERROR(__xludf.DUMMYFUNCTION("""COMPUTED_VALUE"""),"Pamela Jenkins")</f>
        <v>Pamela Jenkins</v>
      </c>
      <c r="Q4543" s="6" t="str">
        <f>IFERROR(__xludf.DUMMYFUNCTION("""COMPUTED_VALUE"""),"L1")</f>
        <v>L1</v>
      </c>
      <c r="R4543" s="6">
        <f>IFERROR(__xludf.DUMMYFUNCTION("""COMPUTED_VALUE"""),1.0)</f>
        <v>1</v>
      </c>
      <c r="S4543" s="6" t="str">
        <f>IFERROR(__xludf.DUMMYFUNCTION("""COMPUTED_VALUE""")," ")</f>
        <v> </v>
      </c>
      <c r="T4543" s="6" t="str">
        <f>IFERROR(__xludf.DUMMYFUNCTION("""COMPUTED_VALUE"""),"")</f>
        <v/>
      </c>
      <c r="U4543" s="6" t="str">
        <f>IFERROR(__xludf.DUMMYFUNCTION("""COMPUTED_VALUE"""),"3")</f>
        <v>3</v>
      </c>
      <c r="V4543" s="6" t="str">
        <f>IFERROR(__xludf.DUMMYFUNCTION("""COMPUTED_VALUE"""),"")</f>
        <v/>
      </c>
      <c r="W4543" s="6" t="str">
        <f>IFERROR(__xludf.DUMMYFUNCTION("""COMPUTED_VALUE"""),"[]")</f>
        <v>[]</v>
      </c>
      <c r="X4543" s="6" t="str">
        <f>IFERROR(__xludf.DUMMYFUNCTION("""COMPUTED_VALUE"""),"Enrolled")</f>
        <v>Enrolled</v>
      </c>
    </row>
    <row r="4544">
      <c r="A4544" s="6" t="str">
        <f>IFERROR(__xludf.DUMMYFUNCTION("""COMPUTED_VALUE"""),"083-11831")</f>
        <v>083-11831</v>
      </c>
      <c r="B4544" s="6" t="str">
        <f>IFERROR(__xludf.DUMMYFUNCTION("""COMPUTED_VALUE"""),"83")</f>
        <v>83</v>
      </c>
      <c r="C4544" s="6" t="str">
        <f>IFERROR(__xludf.DUMMYFUNCTION("""COMPUTED_VALUE"""),"11831")</f>
        <v>11831</v>
      </c>
      <c r="D4544" s="6" t="str">
        <f>IFERROR(__xludf.DUMMYFUNCTION("""COMPUTED_VALUE"""),"Zyion")</f>
        <v>Zyion</v>
      </c>
      <c r="E4544" s="6" t="str">
        <f>IFERROR(__xludf.DUMMYFUNCTION("""COMPUTED_VALUE"""),"")</f>
        <v/>
      </c>
      <c r="F4544" s="6" t="str">
        <f>IFERROR(__xludf.DUMMYFUNCTION("""COMPUTED_VALUE"""),"Kelly")</f>
        <v>Kelly</v>
      </c>
      <c r="G4544" s="6" t="str">
        <f>IFERROR(__xludf.DUMMYFUNCTION("""COMPUTED_VALUE"""),"07/10/2017")</f>
        <v>07/10/2017</v>
      </c>
      <c r="H4544" s="6" t="str">
        <f>IFERROR(__xludf.DUMMYFUNCTION("""COMPUTED_VALUE"""),"male")</f>
        <v>male</v>
      </c>
      <c r="I4544" s="6" t="str">
        <f>IFERROR(__xludf.DUMMYFUNCTION("""COMPUTED_VALUE"""),"Level 1")</f>
        <v>Level 1</v>
      </c>
      <c r="J4544" s="6" t="str">
        <f>IFERROR(__xludf.DUMMYFUNCTION("""COMPUTED_VALUE"""),"3")</f>
        <v>3</v>
      </c>
      <c r="K4544" s="6" t="str">
        <f>IFERROR(__xludf.DUMMYFUNCTION("""COMPUTED_VALUE"""),"zyion.kelly@2hourlearning.com")</f>
        <v>zyion.kelly@2hourlearning.com</v>
      </c>
      <c r="L4544" s="6" t="str">
        <f>IFERROR(__xludf.DUMMYFUNCTION("""COMPUTED_VALUE"""),"JHES - Hardeeville Elementary School")</f>
        <v>JHES - Hardeeville Elementary School</v>
      </c>
      <c r="M4544" s="6" t="str">
        <f>IFERROR(__xludf.DUMMYFUNCTION("""COMPUTED_VALUE"""),"")</f>
        <v/>
      </c>
      <c r="N4544" s="6" t="str">
        <f>IFERROR(__xludf.DUMMYFUNCTION("""COMPUTED_VALUE"""),"")</f>
        <v/>
      </c>
      <c r="O4544" s="87" t="str">
        <f>IFERROR(__xludf.DUMMYFUNCTION("""COMPUTED_VALUE"""),"https://drive.google.com/drive/folders/10T2cTQHqEJZqE-st6uFKPoI?usp=share_link")</f>
        <v>https://drive.google.com/drive/folders/10T2cTQHqEJZqE-st6uFKPoI?usp=share_link</v>
      </c>
      <c r="P4544" s="6" t="str">
        <f>IFERROR(__xludf.DUMMYFUNCTION("""COMPUTED_VALUE"""),"Zyion Kelly")</f>
        <v>Zyion Kelly</v>
      </c>
      <c r="Q4544" s="6" t="str">
        <f>IFERROR(__xludf.DUMMYFUNCTION("""COMPUTED_VALUE"""),"L1")</f>
        <v>L1</v>
      </c>
      <c r="R4544" s="6">
        <f>IFERROR(__xludf.DUMMYFUNCTION("""COMPUTED_VALUE"""),1.0)</f>
        <v>1</v>
      </c>
      <c r="S4544" s="6" t="str">
        <f>IFERROR(__xludf.DUMMYFUNCTION("""COMPUTED_VALUE""")," ")</f>
        <v> </v>
      </c>
      <c r="T4544" s="6" t="str">
        <f>IFERROR(__xludf.DUMMYFUNCTION("""COMPUTED_VALUE"""),"")</f>
        <v/>
      </c>
      <c r="U4544" s="6" t="str">
        <f>IFERROR(__xludf.DUMMYFUNCTION("""COMPUTED_VALUE"""),"3")</f>
        <v>3</v>
      </c>
      <c r="V4544" s="6" t="str">
        <f>IFERROR(__xludf.DUMMYFUNCTION("""COMPUTED_VALUE"""),"")</f>
        <v/>
      </c>
      <c r="W4544" s="6" t="str">
        <f>IFERROR(__xludf.DUMMYFUNCTION("""COMPUTED_VALUE"""),"[]")</f>
        <v>[]</v>
      </c>
      <c r="X4544" s="6" t="str">
        <f>IFERROR(__xludf.DUMMYFUNCTION("""COMPUTED_VALUE"""),"Enrolled")</f>
        <v>Enrolled</v>
      </c>
    </row>
    <row r="4545">
      <c r="A4545" s="6" t="str">
        <f>IFERROR(__xludf.DUMMYFUNCTION("""COMPUTED_VALUE"""),"083-11832")</f>
        <v>083-11832</v>
      </c>
      <c r="B4545" s="6" t="str">
        <f>IFERROR(__xludf.DUMMYFUNCTION("""COMPUTED_VALUE"""),"83")</f>
        <v>83</v>
      </c>
      <c r="C4545" s="6" t="str">
        <f>IFERROR(__xludf.DUMMYFUNCTION("""COMPUTED_VALUE"""),"11832")</f>
        <v>11832</v>
      </c>
      <c r="D4545" s="6" t="str">
        <f>IFERROR(__xludf.DUMMYFUNCTION("""COMPUTED_VALUE"""),"Axl")</f>
        <v>Axl</v>
      </c>
      <c r="E4545" s="6" t="str">
        <f>IFERROR(__xludf.DUMMYFUNCTION("""COMPUTED_VALUE"""),"")</f>
        <v/>
      </c>
      <c r="F4545" s="6" t="str">
        <f>IFERROR(__xludf.DUMMYFUNCTION("""COMPUTED_VALUE"""),"Lara Romero")</f>
        <v>Lara Romero</v>
      </c>
      <c r="G4545" s="6" t="str">
        <f>IFERROR(__xludf.DUMMYFUNCTION("""COMPUTED_VALUE"""),"03/04/2017")</f>
        <v>03/04/2017</v>
      </c>
      <c r="H4545" s="6" t="str">
        <f>IFERROR(__xludf.DUMMYFUNCTION("""COMPUTED_VALUE"""),"male")</f>
        <v>male</v>
      </c>
      <c r="I4545" s="6" t="str">
        <f>IFERROR(__xludf.DUMMYFUNCTION("""COMPUTED_VALUE"""),"Level 1")</f>
        <v>Level 1</v>
      </c>
      <c r="J4545" s="6" t="str">
        <f>IFERROR(__xludf.DUMMYFUNCTION("""COMPUTED_VALUE"""),"3")</f>
        <v>3</v>
      </c>
      <c r="K4545" s="6" t="str">
        <f>IFERROR(__xludf.DUMMYFUNCTION("""COMPUTED_VALUE"""),"axl.lararomero@2hourlearning.com")</f>
        <v>axl.lararomero@2hourlearning.com</v>
      </c>
      <c r="L4545" s="6" t="str">
        <f>IFERROR(__xludf.DUMMYFUNCTION("""COMPUTED_VALUE"""),"JHES - Hardeeville Elementary School")</f>
        <v>JHES - Hardeeville Elementary School</v>
      </c>
      <c r="M4545" s="6" t="str">
        <f>IFERROR(__xludf.DUMMYFUNCTION("""COMPUTED_VALUE"""),"")</f>
        <v/>
      </c>
      <c r="N4545" s="6" t="str">
        <f>IFERROR(__xludf.DUMMYFUNCTION("""COMPUTED_VALUE"""),"")</f>
        <v/>
      </c>
      <c r="O4545" s="87" t="str">
        <f>IFERROR(__xludf.DUMMYFUNCTION("""COMPUTED_VALUE"""),"https://drive.google.com/drive/folders/10T2cTQHqEJZqE-st6uFKPoI?usp=share_link")</f>
        <v>https://drive.google.com/drive/folders/10T2cTQHqEJZqE-st6uFKPoI?usp=share_link</v>
      </c>
      <c r="P4545" s="6" t="str">
        <f>IFERROR(__xludf.DUMMYFUNCTION("""COMPUTED_VALUE"""),"Axl Lara Romero")</f>
        <v>Axl Lara Romero</v>
      </c>
      <c r="Q4545" s="6" t="str">
        <f>IFERROR(__xludf.DUMMYFUNCTION("""COMPUTED_VALUE"""),"L1")</f>
        <v>L1</v>
      </c>
      <c r="R4545" s="6">
        <f>IFERROR(__xludf.DUMMYFUNCTION("""COMPUTED_VALUE"""),1.0)</f>
        <v>1</v>
      </c>
      <c r="S4545" s="6" t="str">
        <f>IFERROR(__xludf.DUMMYFUNCTION("""COMPUTED_VALUE""")," ")</f>
        <v> </v>
      </c>
      <c r="T4545" s="6" t="str">
        <f>IFERROR(__xludf.DUMMYFUNCTION("""COMPUTED_VALUE"""),"")</f>
        <v/>
      </c>
      <c r="U4545" s="6" t="str">
        <f>IFERROR(__xludf.DUMMYFUNCTION("""COMPUTED_VALUE"""),"3")</f>
        <v>3</v>
      </c>
      <c r="V4545" s="6" t="str">
        <f>IFERROR(__xludf.DUMMYFUNCTION("""COMPUTED_VALUE"""),"")</f>
        <v/>
      </c>
      <c r="W4545" s="6" t="str">
        <f>IFERROR(__xludf.DUMMYFUNCTION("""COMPUTED_VALUE"""),"[]")</f>
        <v>[]</v>
      </c>
      <c r="X4545" s="6" t="str">
        <f>IFERROR(__xludf.DUMMYFUNCTION("""COMPUTED_VALUE"""),"Enrolled")</f>
        <v>Enrolled</v>
      </c>
    </row>
    <row r="4546">
      <c r="A4546" s="6" t="str">
        <f>IFERROR(__xludf.DUMMYFUNCTION("""COMPUTED_VALUE"""),"083-11833")</f>
        <v>083-11833</v>
      </c>
      <c r="B4546" s="6" t="str">
        <f>IFERROR(__xludf.DUMMYFUNCTION("""COMPUTED_VALUE"""),"83")</f>
        <v>83</v>
      </c>
      <c r="C4546" s="6" t="str">
        <f>IFERROR(__xludf.DUMMYFUNCTION("""COMPUTED_VALUE"""),"11833")</f>
        <v>11833</v>
      </c>
      <c r="D4546" s="6" t="str">
        <f>IFERROR(__xludf.DUMMYFUNCTION("""COMPUTED_VALUE"""),"Tristin")</f>
        <v>Tristin</v>
      </c>
      <c r="E4546" s="6" t="str">
        <f>IFERROR(__xludf.DUMMYFUNCTION("""COMPUTED_VALUE"""),"")</f>
        <v/>
      </c>
      <c r="F4546" s="6" t="str">
        <f>IFERROR(__xludf.DUMMYFUNCTION("""COMPUTED_VALUE"""),"Martin")</f>
        <v>Martin</v>
      </c>
      <c r="G4546" s="6" t="str">
        <f>IFERROR(__xludf.DUMMYFUNCTION("""COMPUTED_VALUE"""),"12/17/2016")</f>
        <v>12/17/2016</v>
      </c>
      <c r="H4546" s="6" t="str">
        <f>IFERROR(__xludf.DUMMYFUNCTION("""COMPUTED_VALUE"""),"male")</f>
        <v>male</v>
      </c>
      <c r="I4546" s="6" t="str">
        <f>IFERROR(__xludf.DUMMYFUNCTION("""COMPUTED_VALUE"""),"Level 1")</f>
        <v>Level 1</v>
      </c>
      <c r="J4546" s="6" t="str">
        <f>IFERROR(__xludf.DUMMYFUNCTION("""COMPUTED_VALUE"""),"3")</f>
        <v>3</v>
      </c>
      <c r="K4546" s="6" t="str">
        <f>IFERROR(__xludf.DUMMYFUNCTION("""COMPUTED_VALUE"""),"tristin.martin@2hourlearning.com")</f>
        <v>tristin.martin@2hourlearning.com</v>
      </c>
      <c r="L4546" s="6" t="str">
        <f>IFERROR(__xludf.DUMMYFUNCTION("""COMPUTED_VALUE"""),"JHES - Hardeeville Elementary School")</f>
        <v>JHES - Hardeeville Elementary School</v>
      </c>
      <c r="M4546" s="6" t="str">
        <f>IFERROR(__xludf.DUMMYFUNCTION("""COMPUTED_VALUE"""),"")</f>
        <v/>
      </c>
      <c r="N4546" s="6" t="str">
        <f>IFERROR(__xludf.DUMMYFUNCTION("""COMPUTED_VALUE"""),"")</f>
        <v/>
      </c>
      <c r="O4546" s="87" t="str">
        <f>IFERROR(__xludf.DUMMYFUNCTION("""COMPUTED_VALUE"""),"https://drive.google.com/drive/folders/10T2cTQHqEJZqE-st6uFKPoI?usp=share_link")</f>
        <v>https://drive.google.com/drive/folders/10T2cTQHqEJZqE-st6uFKPoI?usp=share_link</v>
      </c>
      <c r="P4546" s="6" t="str">
        <f>IFERROR(__xludf.DUMMYFUNCTION("""COMPUTED_VALUE"""),"Tristin Martin")</f>
        <v>Tristin Martin</v>
      </c>
      <c r="Q4546" s="6" t="str">
        <f>IFERROR(__xludf.DUMMYFUNCTION("""COMPUTED_VALUE"""),"L1")</f>
        <v>L1</v>
      </c>
      <c r="R4546" s="6">
        <f>IFERROR(__xludf.DUMMYFUNCTION("""COMPUTED_VALUE"""),1.0)</f>
        <v>1</v>
      </c>
      <c r="S4546" s="6" t="str">
        <f>IFERROR(__xludf.DUMMYFUNCTION("""COMPUTED_VALUE""")," ")</f>
        <v> </v>
      </c>
      <c r="T4546" s="6" t="str">
        <f>IFERROR(__xludf.DUMMYFUNCTION("""COMPUTED_VALUE"""),"")</f>
        <v/>
      </c>
      <c r="U4546" s="6" t="str">
        <f>IFERROR(__xludf.DUMMYFUNCTION("""COMPUTED_VALUE"""),"3")</f>
        <v>3</v>
      </c>
      <c r="V4546" s="6" t="str">
        <f>IFERROR(__xludf.DUMMYFUNCTION("""COMPUTED_VALUE"""),"")</f>
        <v/>
      </c>
      <c r="W4546" s="6" t="str">
        <f>IFERROR(__xludf.DUMMYFUNCTION("""COMPUTED_VALUE"""),"[]")</f>
        <v>[]</v>
      </c>
      <c r="X4546" s="6" t="str">
        <f>IFERROR(__xludf.DUMMYFUNCTION("""COMPUTED_VALUE"""),"Enrolled")</f>
        <v>Enrolled</v>
      </c>
    </row>
    <row r="4547">
      <c r="A4547" s="6" t="str">
        <f>IFERROR(__xludf.DUMMYFUNCTION("""COMPUTED_VALUE"""),"083-11834")</f>
        <v>083-11834</v>
      </c>
      <c r="B4547" s="6" t="str">
        <f>IFERROR(__xludf.DUMMYFUNCTION("""COMPUTED_VALUE"""),"83")</f>
        <v>83</v>
      </c>
      <c r="C4547" s="6" t="str">
        <f>IFERROR(__xludf.DUMMYFUNCTION("""COMPUTED_VALUE"""),"11834")</f>
        <v>11834</v>
      </c>
      <c r="D4547" s="6" t="str">
        <f>IFERROR(__xludf.DUMMYFUNCTION("""COMPUTED_VALUE"""),"Nariah")</f>
        <v>Nariah</v>
      </c>
      <c r="E4547" s="6" t="str">
        <f>IFERROR(__xludf.DUMMYFUNCTION("""COMPUTED_VALUE"""),"")</f>
        <v/>
      </c>
      <c r="F4547" s="6" t="str">
        <f>IFERROR(__xludf.DUMMYFUNCTION("""COMPUTED_VALUE"""),"Owens")</f>
        <v>Owens</v>
      </c>
      <c r="G4547" s="6" t="str">
        <f>IFERROR(__xludf.DUMMYFUNCTION("""COMPUTED_VALUE"""),"11/21/2016")</f>
        <v>11/21/2016</v>
      </c>
      <c r="H4547" s="6" t="str">
        <f>IFERROR(__xludf.DUMMYFUNCTION("""COMPUTED_VALUE"""),"female")</f>
        <v>female</v>
      </c>
      <c r="I4547" s="6" t="str">
        <f>IFERROR(__xludf.DUMMYFUNCTION("""COMPUTED_VALUE"""),"Level 1")</f>
        <v>Level 1</v>
      </c>
      <c r="J4547" s="6" t="str">
        <f>IFERROR(__xludf.DUMMYFUNCTION("""COMPUTED_VALUE"""),"3")</f>
        <v>3</v>
      </c>
      <c r="K4547" s="6" t="str">
        <f>IFERROR(__xludf.DUMMYFUNCTION("""COMPUTED_VALUE"""),"nariah.owens@2hourlearning.com")</f>
        <v>nariah.owens@2hourlearning.com</v>
      </c>
      <c r="L4547" s="6" t="str">
        <f>IFERROR(__xludf.DUMMYFUNCTION("""COMPUTED_VALUE"""),"JHES - Hardeeville Elementary School")</f>
        <v>JHES - Hardeeville Elementary School</v>
      </c>
      <c r="M4547" s="6" t="str">
        <f>IFERROR(__xludf.DUMMYFUNCTION("""COMPUTED_VALUE"""),"")</f>
        <v/>
      </c>
      <c r="N4547" s="6" t="str">
        <f>IFERROR(__xludf.DUMMYFUNCTION("""COMPUTED_VALUE"""),"")</f>
        <v/>
      </c>
      <c r="O4547" s="87" t="str">
        <f>IFERROR(__xludf.DUMMYFUNCTION("""COMPUTED_VALUE"""),"https://drive.google.com/drive/folders/10T2cTQHqEJZqE-st6uFKPoI?usp=share_link")</f>
        <v>https://drive.google.com/drive/folders/10T2cTQHqEJZqE-st6uFKPoI?usp=share_link</v>
      </c>
      <c r="P4547" s="6" t="str">
        <f>IFERROR(__xludf.DUMMYFUNCTION("""COMPUTED_VALUE"""),"Nariah Owens")</f>
        <v>Nariah Owens</v>
      </c>
      <c r="Q4547" s="6" t="str">
        <f>IFERROR(__xludf.DUMMYFUNCTION("""COMPUTED_VALUE"""),"L1")</f>
        <v>L1</v>
      </c>
      <c r="R4547" s="6">
        <f>IFERROR(__xludf.DUMMYFUNCTION("""COMPUTED_VALUE"""),1.0)</f>
        <v>1</v>
      </c>
      <c r="S4547" s="6" t="str">
        <f>IFERROR(__xludf.DUMMYFUNCTION("""COMPUTED_VALUE""")," ")</f>
        <v> </v>
      </c>
      <c r="T4547" s="6" t="str">
        <f>IFERROR(__xludf.DUMMYFUNCTION("""COMPUTED_VALUE"""),"")</f>
        <v/>
      </c>
      <c r="U4547" s="6" t="str">
        <f>IFERROR(__xludf.DUMMYFUNCTION("""COMPUTED_VALUE"""),"3")</f>
        <v>3</v>
      </c>
      <c r="V4547" s="6" t="str">
        <f>IFERROR(__xludf.DUMMYFUNCTION("""COMPUTED_VALUE"""),"")</f>
        <v/>
      </c>
      <c r="W4547" s="6" t="str">
        <f>IFERROR(__xludf.DUMMYFUNCTION("""COMPUTED_VALUE"""),"[]")</f>
        <v>[]</v>
      </c>
      <c r="X4547" s="6" t="str">
        <f>IFERROR(__xludf.DUMMYFUNCTION("""COMPUTED_VALUE"""),"Enrolled")</f>
        <v>Enrolled</v>
      </c>
    </row>
    <row r="4548">
      <c r="A4548" s="6" t="str">
        <f>IFERROR(__xludf.DUMMYFUNCTION("""COMPUTED_VALUE"""),"083-11835")</f>
        <v>083-11835</v>
      </c>
      <c r="B4548" s="6" t="str">
        <f>IFERROR(__xludf.DUMMYFUNCTION("""COMPUTED_VALUE"""),"83")</f>
        <v>83</v>
      </c>
      <c r="C4548" s="6" t="str">
        <f>IFERROR(__xludf.DUMMYFUNCTION("""COMPUTED_VALUE"""),"11835")</f>
        <v>11835</v>
      </c>
      <c r="D4548" s="6" t="str">
        <f>IFERROR(__xludf.DUMMYFUNCTION("""COMPUTED_VALUE"""),"Allina")</f>
        <v>Allina</v>
      </c>
      <c r="E4548" s="6" t="str">
        <f>IFERROR(__xludf.DUMMYFUNCTION("""COMPUTED_VALUE"""),"")</f>
        <v/>
      </c>
      <c r="F4548" s="6" t="str">
        <f>IFERROR(__xludf.DUMMYFUNCTION("""COMPUTED_VALUE"""),"Perez Giron")</f>
        <v>Perez Giron</v>
      </c>
      <c r="G4548" s="6" t="str">
        <f>IFERROR(__xludf.DUMMYFUNCTION("""COMPUTED_VALUE"""),"11/22/2016")</f>
        <v>11/22/2016</v>
      </c>
      <c r="H4548" s="6" t="str">
        <f>IFERROR(__xludf.DUMMYFUNCTION("""COMPUTED_VALUE"""),"female")</f>
        <v>female</v>
      </c>
      <c r="I4548" s="6" t="str">
        <f>IFERROR(__xludf.DUMMYFUNCTION("""COMPUTED_VALUE"""),"Level 1")</f>
        <v>Level 1</v>
      </c>
      <c r="J4548" s="6" t="str">
        <f>IFERROR(__xludf.DUMMYFUNCTION("""COMPUTED_VALUE"""),"3")</f>
        <v>3</v>
      </c>
      <c r="K4548" s="6" t="str">
        <f>IFERROR(__xludf.DUMMYFUNCTION("""COMPUTED_VALUE"""),"allina.perezgiron@2hourlearning.com")</f>
        <v>allina.perezgiron@2hourlearning.com</v>
      </c>
      <c r="L4548" s="6" t="str">
        <f>IFERROR(__xludf.DUMMYFUNCTION("""COMPUTED_VALUE"""),"JHES - Hardeeville Elementary School")</f>
        <v>JHES - Hardeeville Elementary School</v>
      </c>
      <c r="M4548" s="6" t="str">
        <f>IFERROR(__xludf.DUMMYFUNCTION("""COMPUTED_VALUE"""),"")</f>
        <v/>
      </c>
      <c r="N4548" s="6" t="str">
        <f>IFERROR(__xludf.DUMMYFUNCTION("""COMPUTED_VALUE"""),"")</f>
        <v/>
      </c>
      <c r="O4548" s="87" t="str">
        <f>IFERROR(__xludf.DUMMYFUNCTION("""COMPUTED_VALUE"""),"https://drive.google.com/drive/folders/10T2cTQHqEJZqE-st6uFKPoI?usp=share_link")</f>
        <v>https://drive.google.com/drive/folders/10T2cTQHqEJZqE-st6uFKPoI?usp=share_link</v>
      </c>
      <c r="P4548" s="6" t="str">
        <f>IFERROR(__xludf.DUMMYFUNCTION("""COMPUTED_VALUE"""),"Allina Perez Giron")</f>
        <v>Allina Perez Giron</v>
      </c>
      <c r="Q4548" s="6" t="str">
        <f>IFERROR(__xludf.DUMMYFUNCTION("""COMPUTED_VALUE"""),"L1")</f>
        <v>L1</v>
      </c>
      <c r="R4548" s="6">
        <f>IFERROR(__xludf.DUMMYFUNCTION("""COMPUTED_VALUE"""),1.0)</f>
        <v>1</v>
      </c>
      <c r="S4548" s="6" t="str">
        <f>IFERROR(__xludf.DUMMYFUNCTION("""COMPUTED_VALUE""")," ")</f>
        <v> </v>
      </c>
      <c r="T4548" s="6" t="str">
        <f>IFERROR(__xludf.DUMMYFUNCTION("""COMPUTED_VALUE"""),"")</f>
        <v/>
      </c>
      <c r="U4548" s="6" t="str">
        <f>IFERROR(__xludf.DUMMYFUNCTION("""COMPUTED_VALUE"""),"3")</f>
        <v>3</v>
      </c>
      <c r="V4548" s="6" t="str">
        <f>IFERROR(__xludf.DUMMYFUNCTION("""COMPUTED_VALUE"""),"")</f>
        <v/>
      </c>
      <c r="W4548" s="6" t="str">
        <f>IFERROR(__xludf.DUMMYFUNCTION("""COMPUTED_VALUE"""),"[]")</f>
        <v>[]</v>
      </c>
      <c r="X4548" s="6" t="str">
        <f>IFERROR(__xludf.DUMMYFUNCTION("""COMPUTED_VALUE"""),"Enrolled")</f>
        <v>Enrolled</v>
      </c>
    </row>
    <row r="4549">
      <c r="A4549" s="6" t="str">
        <f>IFERROR(__xludf.DUMMYFUNCTION("""COMPUTED_VALUE"""),"083-11836")</f>
        <v>083-11836</v>
      </c>
      <c r="B4549" s="6" t="str">
        <f>IFERROR(__xludf.DUMMYFUNCTION("""COMPUTED_VALUE"""),"83")</f>
        <v>83</v>
      </c>
      <c r="C4549" s="6" t="str">
        <f>IFERROR(__xludf.DUMMYFUNCTION("""COMPUTED_VALUE"""),"11836")</f>
        <v>11836</v>
      </c>
      <c r="D4549" s="6" t="str">
        <f>IFERROR(__xludf.DUMMYFUNCTION("""COMPUTED_VALUE"""),"Joan")</f>
        <v>Joan</v>
      </c>
      <c r="E4549" s="6" t="str">
        <f>IFERROR(__xludf.DUMMYFUNCTION("""COMPUTED_VALUE"""),"")</f>
        <v/>
      </c>
      <c r="F4549" s="6" t="str">
        <f>IFERROR(__xludf.DUMMYFUNCTION("""COMPUTED_VALUE"""),"Torres")</f>
        <v>Torres</v>
      </c>
      <c r="G4549" s="6" t="str">
        <f>IFERROR(__xludf.DUMMYFUNCTION("""COMPUTED_VALUE"""),"02/19/2017")</f>
        <v>02/19/2017</v>
      </c>
      <c r="H4549" s="6" t="str">
        <f>IFERROR(__xludf.DUMMYFUNCTION("""COMPUTED_VALUE"""),"female")</f>
        <v>female</v>
      </c>
      <c r="I4549" s="6" t="str">
        <f>IFERROR(__xludf.DUMMYFUNCTION("""COMPUTED_VALUE"""),"Level 1")</f>
        <v>Level 1</v>
      </c>
      <c r="J4549" s="6" t="str">
        <f>IFERROR(__xludf.DUMMYFUNCTION("""COMPUTED_VALUE"""),"3")</f>
        <v>3</v>
      </c>
      <c r="K4549" s="6" t="str">
        <f>IFERROR(__xludf.DUMMYFUNCTION("""COMPUTED_VALUE"""),"joan.torres@2hourlearning.com")</f>
        <v>joan.torres@2hourlearning.com</v>
      </c>
      <c r="L4549" s="6" t="str">
        <f>IFERROR(__xludf.DUMMYFUNCTION("""COMPUTED_VALUE"""),"JHES - Hardeeville Elementary School")</f>
        <v>JHES - Hardeeville Elementary School</v>
      </c>
      <c r="M4549" s="6" t="str">
        <f>IFERROR(__xludf.DUMMYFUNCTION("""COMPUTED_VALUE"""),"")</f>
        <v/>
      </c>
      <c r="N4549" s="6" t="str">
        <f>IFERROR(__xludf.DUMMYFUNCTION("""COMPUTED_VALUE"""),"")</f>
        <v/>
      </c>
      <c r="O4549" s="87" t="str">
        <f>IFERROR(__xludf.DUMMYFUNCTION("""COMPUTED_VALUE"""),"https://drive.google.com/drive/folders/10T2cTQHqEJZqE-st6uFKPoI?usp=share_link")</f>
        <v>https://drive.google.com/drive/folders/10T2cTQHqEJZqE-st6uFKPoI?usp=share_link</v>
      </c>
      <c r="P4549" s="6" t="str">
        <f>IFERROR(__xludf.DUMMYFUNCTION("""COMPUTED_VALUE"""),"Joan Torres")</f>
        <v>Joan Torres</v>
      </c>
      <c r="Q4549" s="6" t="str">
        <f>IFERROR(__xludf.DUMMYFUNCTION("""COMPUTED_VALUE"""),"L1")</f>
        <v>L1</v>
      </c>
      <c r="R4549" s="6">
        <f>IFERROR(__xludf.DUMMYFUNCTION("""COMPUTED_VALUE"""),1.0)</f>
        <v>1</v>
      </c>
      <c r="S4549" s="6" t="str">
        <f>IFERROR(__xludf.DUMMYFUNCTION("""COMPUTED_VALUE""")," ")</f>
        <v> </v>
      </c>
      <c r="T4549" s="6" t="str">
        <f>IFERROR(__xludf.DUMMYFUNCTION("""COMPUTED_VALUE"""),"")</f>
        <v/>
      </c>
      <c r="U4549" s="6" t="str">
        <f>IFERROR(__xludf.DUMMYFUNCTION("""COMPUTED_VALUE"""),"3")</f>
        <v>3</v>
      </c>
      <c r="V4549" s="6" t="str">
        <f>IFERROR(__xludf.DUMMYFUNCTION("""COMPUTED_VALUE"""),"")</f>
        <v/>
      </c>
      <c r="W4549" s="6" t="str">
        <f>IFERROR(__xludf.DUMMYFUNCTION("""COMPUTED_VALUE"""),"[]")</f>
        <v>[]</v>
      </c>
      <c r="X4549" s="6" t="str">
        <f>IFERROR(__xludf.DUMMYFUNCTION("""COMPUTED_VALUE"""),"Enrolled")</f>
        <v>Enrolled</v>
      </c>
    </row>
    <row r="4550">
      <c r="A4550" s="6" t="str">
        <f>IFERROR(__xludf.DUMMYFUNCTION("""COMPUTED_VALUE"""),"083-11837")</f>
        <v>083-11837</v>
      </c>
      <c r="B4550" s="6" t="str">
        <f>IFERROR(__xludf.DUMMYFUNCTION("""COMPUTED_VALUE"""),"83")</f>
        <v>83</v>
      </c>
      <c r="C4550" s="6" t="str">
        <f>IFERROR(__xludf.DUMMYFUNCTION("""COMPUTED_VALUE"""),"11837")</f>
        <v>11837</v>
      </c>
      <c r="D4550" s="6" t="str">
        <f>IFERROR(__xludf.DUMMYFUNCTION("""COMPUTED_VALUE"""),"Fernanda J")</f>
        <v>Fernanda J</v>
      </c>
      <c r="E4550" s="6" t="str">
        <f>IFERROR(__xludf.DUMMYFUNCTION("""COMPUTED_VALUE"""),"")</f>
        <v/>
      </c>
      <c r="F4550" s="6" t="str">
        <f>IFERROR(__xludf.DUMMYFUNCTION("""COMPUTED_VALUE"""),"Vazquez Bravo")</f>
        <v>Vazquez Bravo</v>
      </c>
      <c r="G4550" s="6" t="str">
        <f>IFERROR(__xludf.DUMMYFUNCTION("""COMPUTED_VALUE"""),"05/06/2017")</f>
        <v>05/06/2017</v>
      </c>
      <c r="H4550" s="6" t="str">
        <f>IFERROR(__xludf.DUMMYFUNCTION("""COMPUTED_VALUE"""),"female")</f>
        <v>female</v>
      </c>
      <c r="I4550" s="6" t="str">
        <f>IFERROR(__xludf.DUMMYFUNCTION("""COMPUTED_VALUE"""),"Level 1")</f>
        <v>Level 1</v>
      </c>
      <c r="J4550" s="6" t="str">
        <f>IFERROR(__xludf.DUMMYFUNCTION("""COMPUTED_VALUE"""),"3")</f>
        <v>3</v>
      </c>
      <c r="K4550" s="6" t="str">
        <f>IFERROR(__xludf.DUMMYFUNCTION("""COMPUTED_VALUE"""),"fernandaj.vazquezbravo@2hourlearning.com")</f>
        <v>fernandaj.vazquezbravo@2hourlearning.com</v>
      </c>
      <c r="L4550" s="6" t="str">
        <f>IFERROR(__xludf.DUMMYFUNCTION("""COMPUTED_VALUE"""),"JHES - Hardeeville Elementary School")</f>
        <v>JHES - Hardeeville Elementary School</v>
      </c>
      <c r="M4550" s="6" t="str">
        <f>IFERROR(__xludf.DUMMYFUNCTION("""COMPUTED_VALUE"""),"")</f>
        <v/>
      </c>
      <c r="N4550" s="6" t="str">
        <f>IFERROR(__xludf.DUMMYFUNCTION("""COMPUTED_VALUE"""),"")</f>
        <v/>
      </c>
      <c r="O4550" s="87" t="str">
        <f>IFERROR(__xludf.DUMMYFUNCTION("""COMPUTED_VALUE"""),"https://drive.google.com/drive/folders/10T2cTQHqEJZqE-st6uFKPoI?usp=share_link")</f>
        <v>https://drive.google.com/drive/folders/10T2cTQHqEJZqE-st6uFKPoI?usp=share_link</v>
      </c>
      <c r="P4550" s="6" t="str">
        <f>IFERROR(__xludf.DUMMYFUNCTION("""COMPUTED_VALUE"""),"Fernanda J Vazquez Bravo")</f>
        <v>Fernanda J Vazquez Bravo</v>
      </c>
      <c r="Q4550" s="6" t="str">
        <f>IFERROR(__xludf.DUMMYFUNCTION("""COMPUTED_VALUE"""),"L1")</f>
        <v>L1</v>
      </c>
      <c r="R4550" s="6">
        <f>IFERROR(__xludf.DUMMYFUNCTION("""COMPUTED_VALUE"""),1.0)</f>
        <v>1</v>
      </c>
      <c r="S4550" s="6" t="str">
        <f>IFERROR(__xludf.DUMMYFUNCTION("""COMPUTED_VALUE""")," ")</f>
        <v> </v>
      </c>
      <c r="T4550" s="6" t="str">
        <f>IFERROR(__xludf.DUMMYFUNCTION("""COMPUTED_VALUE"""),"")</f>
        <v/>
      </c>
      <c r="U4550" s="6" t="str">
        <f>IFERROR(__xludf.DUMMYFUNCTION("""COMPUTED_VALUE"""),"3")</f>
        <v>3</v>
      </c>
      <c r="V4550" s="6" t="str">
        <f>IFERROR(__xludf.DUMMYFUNCTION("""COMPUTED_VALUE"""),"")</f>
        <v/>
      </c>
      <c r="W4550" s="6" t="str">
        <f>IFERROR(__xludf.DUMMYFUNCTION("""COMPUTED_VALUE"""),"[]")</f>
        <v>[]</v>
      </c>
      <c r="X4550" s="6" t="str">
        <f>IFERROR(__xludf.DUMMYFUNCTION("""COMPUTED_VALUE"""),"Enrolled")</f>
        <v>Enrolled</v>
      </c>
    </row>
    <row r="4551">
      <c r="A4551" s="6" t="str">
        <f>IFERROR(__xludf.DUMMYFUNCTION("""COMPUTED_VALUE"""),"083-11838")</f>
        <v>083-11838</v>
      </c>
      <c r="B4551" s="6" t="str">
        <f>IFERROR(__xludf.DUMMYFUNCTION("""COMPUTED_VALUE"""),"83")</f>
        <v>83</v>
      </c>
      <c r="C4551" s="6" t="str">
        <f>IFERROR(__xludf.DUMMYFUNCTION("""COMPUTED_VALUE"""),"11838")</f>
        <v>11838</v>
      </c>
      <c r="D4551" s="6" t="str">
        <f>IFERROR(__xludf.DUMMYFUNCTION("""COMPUTED_VALUE"""),"Aylin")</f>
        <v>Aylin</v>
      </c>
      <c r="E4551" s="6" t="str">
        <f>IFERROR(__xludf.DUMMYFUNCTION("""COMPUTED_VALUE"""),"")</f>
        <v/>
      </c>
      <c r="F4551" s="6" t="str">
        <f>IFERROR(__xludf.DUMMYFUNCTION("""COMPUTED_VALUE"""),"Velasquez")</f>
        <v>Velasquez</v>
      </c>
      <c r="G4551" s="6" t="str">
        <f>IFERROR(__xludf.DUMMYFUNCTION("""COMPUTED_VALUE"""),"04/14/2017")</f>
        <v>04/14/2017</v>
      </c>
      <c r="H4551" s="6" t="str">
        <f>IFERROR(__xludf.DUMMYFUNCTION("""COMPUTED_VALUE"""),"female")</f>
        <v>female</v>
      </c>
      <c r="I4551" s="6" t="str">
        <f>IFERROR(__xludf.DUMMYFUNCTION("""COMPUTED_VALUE"""),"Level 1")</f>
        <v>Level 1</v>
      </c>
      <c r="J4551" s="6" t="str">
        <f>IFERROR(__xludf.DUMMYFUNCTION("""COMPUTED_VALUE"""),"3")</f>
        <v>3</v>
      </c>
      <c r="K4551" s="6" t="str">
        <f>IFERROR(__xludf.DUMMYFUNCTION("""COMPUTED_VALUE"""),"aylin.velasquez@2hourlearning.com")</f>
        <v>aylin.velasquez@2hourlearning.com</v>
      </c>
      <c r="L4551" s="6" t="str">
        <f>IFERROR(__xludf.DUMMYFUNCTION("""COMPUTED_VALUE"""),"JHES - Hardeeville Elementary School")</f>
        <v>JHES - Hardeeville Elementary School</v>
      </c>
      <c r="M4551" s="6" t="str">
        <f>IFERROR(__xludf.DUMMYFUNCTION("""COMPUTED_VALUE"""),"")</f>
        <v/>
      </c>
      <c r="N4551" s="6" t="str">
        <f>IFERROR(__xludf.DUMMYFUNCTION("""COMPUTED_VALUE"""),"")</f>
        <v/>
      </c>
      <c r="O4551" s="87" t="str">
        <f>IFERROR(__xludf.DUMMYFUNCTION("""COMPUTED_VALUE"""),"https://drive.google.com/drive/folders/10T2cTQHqEJZqE-st6uFKPoI?usp=share_link")</f>
        <v>https://drive.google.com/drive/folders/10T2cTQHqEJZqE-st6uFKPoI?usp=share_link</v>
      </c>
      <c r="P4551" s="6" t="str">
        <f>IFERROR(__xludf.DUMMYFUNCTION("""COMPUTED_VALUE"""),"Aylin Velasquez")</f>
        <v>Aylin Velasquez</v>
      </c>
      <c r="Q4551" s="6" t="str">
        <f>IFERROR(__xludf.DUMMYFUNCTION("""COMPUTED_VALUE"""),"L1")</f>
        <v>L1</v>
      </c>
      <c r="R4551" s="6">
        <f>IFERROR(__xludf.DUMMYFUNCTION("""COMPUTED_VALUE"""),1.0)</f>
        <v>1</v>
      </c>
      <c r="S4551" s="6" t="str">
        <f>IFERROR(__xludf.DUMMYFUNCTION("""COMPUTED_VALUE""")," ")</f>
        <v> </v>
      </c>
      <c r="T4551" s="6" t="str">
        <f>IFERROR(__xludf.DUMMYFUNCTION("""COMPUTED_VALUE"""),"")</f>
        <v/>
      </c>
      <c r="U4551" s="6" t="str">
        <f>IFERROR(__xludf.DUMMYFUNCTION("""COMPUTED_VALUE"""),"3")</f>
        <v>3</v>
      </c>
      <c r="V4551" s="6" t="str">
        <f>IFERROR(__xludf.DUMMYFUNCTION("""COMPUTED_VALUE"""),"")</f>
        <v/>
      </c>
      <c r="W4551" s="6" t="str">
        <f>IFERROR(__xludf.DUMMYFUNCTION("""COMPUTED_VALUE"""),"[]")</f>
        <v>[]</v>
      </c>
      <c r="X4551" s="6" t="str">
        <f>IFERROR(__xludf.DUMMYFUNCTION("""COMPUTED_VALUE"""),"Enrolled")</f>
        <v>Enrolled</v>
      </c>
    </row>
    <row r="4552">
      <c r="A4552" s="6" t="str">
        <f>IFERROR(__xludf.DUMMYFUNCTION("""COMPUTED_VALUE"""),"083-11839")</f>
        <v>083-11839</v>
      </c>
      <c r="B4552" s="6" t="str">
        <f>IFERROR(__xludf.DUMMYFUNCTION("""COMPUTED_VALUE"""),"83")</f>
        <v>83</v>
      </c>
      <c r="C4552" s="6" t="str">
        <f>IFERROR(__xludf.DUMMYFUNCTION("""COMPUTED_VALUE"""),"11839")</f>
        <v>11839</v>
      </c>
      <c r="D4552" s="6" t="str">
        <f>IFERROR(__xludf.DUMMYFUNCTION("""COMPUTED_VALUE"""),"Symphany A")</f>
        <v>Symphany A</v>
      </c>
      <c r="E4552" s="6" t="str">
        <f>IFERROR(__xludf.DUMMYFUNCTION("""COMPUTED_VALUE"""),"")</f>
        <v/>
      </c>
      <c r="F4552" s="6" t="str">
        <f>IFERROR(__xludf.DUMMYFUNCTION("""COMPUTED_VALUE"""),"Wright")</f>
        <v>Wright</v>
      </c>
      <c r="G4552" s="6" t="str">
        <f>IFERROR(__xludf.DUMMYFUNCTION("""COMPUTED_VALUE"""),"09/30/2016")</f>
        <v>09/30/2016</v>
      </c>
      <c r="H4552" s="6" t="str">
        <f>IFERROR(__xludf.DUMMYFUNCTION("""COMPUTED_VALUE"""),"female")</f>
        <v>female</v>
      </c>
      <c r="I4552" s="6" t="str">
        <f>IFERROR(__xludf.DUMMYFUNCTION("""COMPUTED_VALUE"""),"Level 1")</f>
        <v>Level 1</v>
      </c>
      <c r="J4552" s="6" t="str">
        <f>IFERROR(__xludf.DUMMYFUNCTION("""COMPUTED_VALUE"""),"3")</f>
        <v>3</v>
      </c>
      <c r="K4552" s="6" t="str">
        <f>IFERROR(__xludf.DUMMYFUNCTION("""COMPUTED_VALUE"""),"symphanya.wright@2hourlearning.com")</f>
        <v>symphanya.wright@2hourlearning.com</v>
      </c>
      <c r="L4552" s="6" t="str">
        <f>IFERROR(__xludf.DUMMYFUNCTION("""COMPUTED_VALUE"""),"JHES - Hardeeville Elementary School")</f>
        <v>JHES - Hardeeville Elementary School</v>
      </c>
      <c r="M4552" s="6" t="str">
        <f>IFERROR(__xludf.DUMMYFUNCTION("""COMPUTED_VALUE"""),"")</f>
        <v/>
      </c>
      <c r="N4552" s="6" t="str">
        <f>IFERROR(__xludf.DUMMYFUNCTION("""COMPUTED_VALUE"""),"")</f>
        <v/>
      </c>
      <c r="O4552" s="87" t="str">
        <f>IFERROR(__xludf.DUMMYFUNCTION("""COMPUTED_VALUE"""),"https://drive.google.com/drive/folders/10T2cTQHqEJZqE-st6uFKPoI?usp=share_link")</f>
        <v>https://drive.google.com/drive/folders/10T2cTQHqEJZqE-st6uFKPoI?usp=share_link</v>
      </c>
      <c r="P4552" s="6" t="str">
        <f>IFERROR(__xludf.DUMMYFUNCTION("""COMPUTED_VALUE"""),"Symphany A Wright")</f>
        <v>Symphany A Wright</v>
      </c>
      <c r="Q4552" s="6" t="str">
        <f>IFERROR(__xludf.DUMMYFUNCTION("""COMPUTED_VALUE"""),"L1")</f>
        <v>L1</v>
      </c>
      <c r="R4552" s="6">
        <f>IFERROR(__xludf.DUMMYFUNCTION("""COMPUTED_VALUE"""),1.0)</f>
        <v>1</v>
      </c>
      <c r="S4552" s="6" t="str">
        <f>IFERROR(__xludf.DUMMYFUNCTION("""COMPUTED_VALUE""")," ")</f>
        <v> </v>
      </c>
      <c r="T4552" s="6" t="str">
        <f>IFERROR(__xludf.DUMMYFUNCTION("""COMPUTED_VALUE"""),"")</f>
        <v/>
      </c>
      <c r="U4552" s="6" t="str">
        <f>IFERROR(__xludf.DUMMYFUNCTION("""COMPUTED_VALUE"""),"3")</f>
        <v>3</v>
      </c>
      <c r="V4552" s="6" t="str">
        <f>IFERROR(__xludf.DUMMYFUNCTION("""COMPUTED_VALUE"""),"")</f>
        <v/>
      </c>
      <c r="W4552" s="6" t="str">
        <f>IFERROR(__xludf.DUMMYFUNCTION("""COMPUTED_VALUE"""),"[]")</f>
        <v>[]</v>
      </c>
      <c r="X4552" s="6" t="str">
        <f>IFERROR(__xludf.DUMMYFUNCTION("""COMPUTED_VALUE"""),"Enrolled")</f>
        <v>Enrolled</v>
      </c>
    </row>
    <row r="4553">
      <c r="A4553" s="6" t="str">
        <f>IFERROR(__xludf.DUMMYFUNCTION("""COMPUTED_VALUE"""),"083-11840")</f>
        <v>083-11840</v>
      </c>
      <c r="B4553" s="6" t="str">
        <f>IFERROR(__xludf.DUMMYFUNCTION("""COMPUTED_VALUE"""),"83")</f>
        <v>83</v>
      </c>
      <c r="C4553" s="6" t="str">
        <f>IFERROR(__xludf.DUMMYFUNCTION("""COMPUTED_VALUE"""),"11840")</f>
        <v>11840</v>
      </c>
      <c r="D4553" s="6" t="str">
        <f>IFERROR(__xludf.DUMMYFUNCTION("""COMPUTED_VALUE"""),"Jose")</f>
        <v>Jose</v>
      </c>
      <c r="E4553" s="6" t="str">
        <f>IFERROR(__xludf.DUMMYFUNCTION("""COMPUTED_VALUE"""),"")</f>
        <v/>
      </c>
      <c r="F4553" s="6" t="str">
        <f>IFERROR(__xludf.DUMMYFUNCTION("""COMPUTED_VALUE"""),"Roque Cervantes")</f>
        <v>Roque Cervantes</v>
      </c>
      <c r="G4553" s="6" t="str">
        <f>IFERROR(__xludf.DUMMYFUNCTION("""COMPUTED_VALUE"""),"07/05/2016")</f>
        <v>07/05/2016</v>
      </c>
      <c r="H4553" s="6" t="str">
        <f>IFERROR(__xludf.DUMMYFUNCTION("""COMPUTED_VALUE"""),"male")</f>
        <v>male</v>
      </c>
      <c r="I4553" s="6" t="str">
        <f>IFERROR(__xludf.DUMMYFUNCTION("""COMPUTED_VALUE"""),"Level 2")</f>
        <v>Level 2</v>
      </c>
      <c r="J4553" s="6" t="str">
        <f>IFERROR(__xludf.DUMMYFUNCTION("""COMPUTED_VALUE"""),"4")</f>
        <v>4</v>
      </c>
      <c r="K4553" s="6" t="str">
        <f>IFERROR(__xludf.DUMMYFUNCTION("""COMPUTED_VALUE"""),"jose.roquecervantes@2hourlearning.com")</f>
        <v>jose.roquecervantes@2hourlearning.com</v>
      </c>
      <c r="L4553" s="6" t="str">
        <f>IFERROR(__xludf.DUMMYFUNCTION("""COMPUTED_VALUE"""),"JHES - Hardeeville Elementary School")</f>
        <v>JHES - Hardeeville Elementary School</v>
      </c>
      <c r="M4553" s="6" t="str">
        <f>IFERROR(__xludf.DUMMYFUNCTION("""COMPUTED_VALUE"""),"")</f>
        <v/>
      </c>
      <c r="N4553" s="6" t="str">
        <f>IFERROR(__xludf.DUMMYFUNCTION("""COMPUTED_VALUE"""),"")</f>
        <v/>
      </c>
      <c r="O4553" s="87" t="str">
        <f>IFERROR(__xludf.DUMMYFUNCTION("""COMPUTED_VALUE"""),"https://drive.google.com/drive/folders/10T2cTQHqEJZqE-st6uFKPoI?usp=share_link")</f>
        <v>https://drive.google.com/drive/folders/10T2cTQHqEJZqE-st6uFKPoI?usp=share_link</v>
      </c>
      <c r="P4553" s="6" t="str">
        <f>IFERROR(__xludf.DUMMYFUNCTION("""COMPUTED_VALUE"""),"Jose Roque Cervantes")</f>
        <v>Jose Roque Cervantes</v>
      </c>
      <c r="Q4553" s="6" t="str">
        <f>IFERROR(__xludf.DUMMYFUNCTION("""COMPUTED_VALUE"""),"L2")</f>
        <v>L2</v>
      </c>
      <c r="R4553" s="6">
        <f>IFERROR(__xludf.DUMMYFUNCTION("""COMPUTED_VALUE"""),2.0)</f>
        <v>2</v>
      </c>
      <c r="S4553" s="6" t="str">
        <f>IFERROR(__xludf.DUMMYFUNCTION("""COMPUTED_VALUE""")," ")</f>
        <v> </v>
      </c>
      <c r="T4553" s="6" t="str">
        <f>IFERROR(__xludf.DUMMYFUNCTION("""COMPUTED_VALUE"""),"")</f>
        <v/>
      </c>
      <c r="U4553" s="6" t="str">
        <f>IFERROR(__xludf.DUMMYFUNCTION("""COMPUTED_VALUE"""),"4")</f>
        <v>4</v>
      </c>
      <c r="V4553" s="6" t="str">
        <f>IFERROR(__xludf.DUMMYFUNCTION("""COMPUTED_VALUE"""),"")</f>
        <v/>
      </c>
      <c r="W4553" s="6" t="str">
        <f>IFERROR(__xludf.DUMMYFUNCTION("""COMPUTED_VALUE"""),"[]")</f>
        <v>[]</v>
      </c>
      <c r="X4553" s="6" t="str">
        <f>IFERROR(__xludf.DUMMYFUNCTION("""COMPUTED_VALUE"""),"Enrolled")</f>
        <v>Enrolled</v>
      </c>
    </row>
    <row r="4554">
      <c r="A4554" s="6" t="str">
        <f>IFERROR(__xludf.DUMMYFUNCTION("""COMPUTED_VALUE"""),"083-11841")</f>
        <v>083-11841</v>
      </c>
      <c r="B4554" s="6" t="str">
        <f>IFERROR(__xludf.DUMMYFUNCTION("""COMPUTED_VALUE"""),"83")</f>
        <v>83</v>
      </c>
      <c r="C4554" s="6" t="str">
        <f>IFERROR(__xludf.DUMMYFUNCTION("""COMPUTED_VALUE"""),"11841")</f>
        <v>11841</v>
      </c>
      <c r="D4554" s="6" t="str">
        <f>IFERROR(__xludf.DUMMYFUNCTION("""COMPUTED_VALUE"""),"Jonathan")</f>
        <v>Jonathan</v>
      </c>
      <c r="E4554" s="6" t="str">
        <f>IFERROR(__xludf.DUMMYFUNCTION("""COMPUTED_VALUE"""),"")</f>
        <v/>
      </c>
      <c r="F4554" s="6" t="str">
        <f>IFERROR(__xludf.DUMMYFUNCTION("""COMPUTED_VALUE"""),"Valente Alday")</f>
        <v>Valente Alday</v>
      </c>
      <c r="G4554" s="6" t="str">
        <f>IFERROR(__xludf.DUMMYFUNCTION("""COMPUTED_VALUE"""),"03/11/2016")</f>
        <v>03/11/2016</v>
      </c>
      <c r="H4554" s="6" t="str">
        <f>IFERROR(__xludf.DUMMYFUNCTION("""COMPUTED_VALUE"""),"male")</f>
        <v>male</v>
      </c>
      <c r="I4554" s="6" t="str">
        <f>IFERROR(__xludf.DUMMYFUNCTION("""COMPUTED_VALUE"""),"Level 2")</f>
        <v>Level 2</v>
      </c>
      <c r="J4554" s="6" t="str">
        <f>IFERROR(__xludf.DUMMYFUNCTION("""COMPUTED_VALUE"""),"4")</f>
        <v>4</v>
      </c>
      <c r="K4554" s="6" t="str">
        <f>IFERROR(__xludf.DUMMYFUNCTION("""COMPUTED_VALUE"""),"jonathan.valentealday@2hourlearning.com")</f>
        <v>jonathan.valentealday@2hourlearning.com</v>
      </c>
      <c r="L4554" s="6" t="str">
        <f>IFERROR(__xludf.DUMMYFUNCTION("""COMPUTED_VALUE"""),"JHES - Hardeeville Elementary School")</f>
        <v>JHES - Hardeeville Elementary School</v>
      </c>
      <c r="M4554" s="6" t="str">
        <f>IFERROR(__xludf.DUMMYFUNCTION("""COMPUTED_VALUE"""),"")</f>
        <v/>
      </c>
      <c r="N4554" s="6" t="str">
        <f>IFERROR(__xludf.DUMMYFUNCTION("""COMPUTED_VALUE"""),"")</f>
        <v/>
      </c>
      <c r="O4554" s="87" t="str">
        <f>IFERROR(__xludf.DUMMYFUNCTION("""COMPUTED_VALUE"""),"https://drive.google.com/drive/folders/10T2cTQHqEJZqE-st6uFKPoI?usp=share_link")</f>
        <v>https://drive.google.com/drive/folders/10T2cTQHqEJZqE-st6uFKPoI?usp=share_link</v>
      </c>
      <c r="P4554" s="6" t="str">
        <f>IFERROR(__xludf.DUMMYFUNCTION("""COMPUTED_VALUE"""),"Jonathan Valente Alday")</f>
        <v>Jonathan Valente Alday</v>
      </c>
      <c r="Q4554" s="6" t="str">
        <f>IFERROR(__xludf.DUMMYFUNCTION("""COMPUTED_VALUE"""),"L2")</f>
        <v>L2</v>
      </c>
      <c r="R4554" s="6">
        <f>IFERROR(__xludf.DUMMYFUNCTION("""COMPUTED_VALUE"""),2.0)</f>
        <v>2</v>
      </c>
      <c r="S4554" s="6" t="str">
        <f>IFERROR(__xludf.DUMMYFUNCTION("""COMPUTED_VALUE""")," ")</f>
        <v> </v>
      </c>
      <c r="T4554" s="6" t="str">
        <f>IFERROR(__xludf.DUMMYFUNCTION("""COMPUTED_VALUE"""),"")</f>
        <v/>
      </c>
      <c r="U4554" s="6" t="str">
        <f>IFERROR(__xludf.DUMMYFUNCTION("""COMPUTED_VALUE"""),"4")</f>
        <v>4</v>
      </c>
      <c r="V4554" s="6" t="str">
        <f>IFERROR(__xludf.DUMMYFUNCTION("""COMPUTED_VALUE"""),"")</f>
        <v/>
      </c>
      <c r="W4554" s="6" t="str">
        <f>IFERROR(__xludf.DUMMYFUNCTION("""COMPUTED_VALUE"""),"[]")</f>
        <v>[]</v>
      </c>
      <c r="X4554" s="6" t="str">
        <f>IFERROR(__xludf.DUMMYFUNCTION("""COMPUTED_VALUE"""),"Enrolled")</f>
        <v>Enrolled</v>
      </c>
    </row>
    <row r="4555">
      <c r="A4555" s="6" t="str">
        <f>IFERROR(__xludf.DUMMYFUNCTION("""COMPUTED_VALUE"""),"083-13334")</f>
        <v>083-13334</v>
      </c>
      <c r="B4555" s="6" t="str">
        <f>IFERROR(__xludf.DUMMYFUNCTION("""COMPUTED_VALUE"""),"83")</f>
        <v>83</v>
      </c>
      <c r="C4555" s="6" t="str">
        <f>IFERROR(__xludf.DUMMYFUNCTION("""COMPUTED_VALUE"""),"13334")</f>
        <v>13334</v>
      </c>
      <c r="D4555" s="6" t="str">
        <f>IFERROR(__xludf.DUMMYFUNCTION("""COMPUTED_VALUE"""),"Test")</f>
        <v>Test</v>
      </c>
      <c r="E4555" s="6" t="str">
        <f>IFERROR(__xludf.DUMMYFUNCTION("""COMPUTED_VALUE"""),"")</f>
        <v/>
      </c>
      <c r="F4555" s="6" t="str">
        <f>IFERROR(__xludf.DUMMYFUNCTION("""COMPUTED_VALUE"""),"JHES")</f>
        <v>JHES</v>
      </c>
      <c r="G4555" s="6" t="str">
        <f>IFERROR(__xludf.DUMMYFUNCTION("""COMPUTED_VALUE"""),"01/15/2013")</f>
        <v>01/15/2013</v>
      </c>
      <c r="H4555" s="6" t="str">
        <f>IFERROR(__xludf.DUMMYFUNCTION("""COMPUTED_VALUE"""),"male")</f>
        <v>male</v>
      </c>
      <c r="I4555" s="6" t="str">
        <f>IFERROR(__xludf.DUMMYFUNCTION("""COMPUTED_VALUE"""),"Level 2")</f>
        <v>Level 2</v>
      </c>
      <c r="J4555" s="6" t="str">
        <f>IFERROR(__xludf.DUMMYFUNCTION("""COMPUTED_VALUE"""),"5")</f>
        <v>5</v>
      </c>
      <c r="K4555" s="6" t="str">
        <f>IFERROR(__xludf.DUMMYFUNCTION("""COMPUTED_VALUE"""),"test.jhes@2hourlearning.com")</f>
        <v>test.jhes@2hourlearning.com</v>
      </c>
      <c r="L4555" s="6" t="str">
        <f>IFERROR(__xludf.DUMMYFUNCTION("""COMPUTED_VALUE"""),"JHES - Hardeeville Elementary School")</f>
        <v>JHES - Hardeeville Elementary School</v>
      </c>
      <c r="M4555" s="6" t="str">
        <f>IFERROR(__xludf.DUMMYFUNCTION("""COMPUTED_VALUE"""),"")</f>
        <v/>
      </c>
      <c r="N4555" s="6" t="str">
        <f>IFERROR(__xludf.DUMMYFUNCTION("""COMPUTED_VALUE"""),"")</f>
        <v/>
      </c>
      <c r="O4555" s="87" t="str">
        <f>IFERROR(__xludf.DUMMYFUNCTION("""COMPUTED_VALUE"""),"https://drive.google.com/drive/folders/10T2cTQHqEJZqE-st6uFKPoI?usp=share_link")</f>
        <v>https://drive.google.com/drive/folders/10T2cTQHqEJZqE-st6uFKPoI?usp=share_link</v>
      </c>
      <c r="P4555" s="6" t="str">
        <f>IFERROR(__xludf.DUMMYFUNCTION("""COMPUTED_VALUE"""),"Test JHES")</f>
        <v>Test JHES</v>
      </c>
      <c r="Q4555" s="6" t="str">
        <f>IFERROR(__xludf.DUMMYFUNCTION("""COMPUTED_VALUE"""),"L2")</f>
        <v>L2</v>
      </c>
      <c r="R4555" s="6">
        <f>IFERROR(__xludf.DUMMYFUNCTION("""COMPUTED_VALUE"""),2.0)</f>
        <v>2</v>
      </c>
      <c r="S4555" s="6" t="str">
        <f>IFERROR(__xludf.DUMMYFUNCTION("""COMPUTED_VALUE""")," ")</f>
        <v> </v>
      </c>
      <c r="T4555" s="6" t="str">
        <f>IFERROR(__xludf.DUMMYFUNCTION("""COMPUTED_VALUE"""),"")</f>
        <v/>
      </c>
      <c r="U4555" s="6" t="str">
        <f>IFERROR(__xludf.DUMMYFUNCTION("""COMPUTED_VALUE"""),"5")</f>
        <v>5</v>
      </c>
      <c r="V4555" s="6" t="str">
        <f>IFERROR(__xludf.DUMMYFUNCTION("""COMPUTED_VALUE"""),"")</f>
        <v/>
      </c>
      <c r="W4555" s="6" t="str">
        <f>IFERROR(__xludf.DUMMYFUNCTION("""COMPUTED_VALUE"""),"[]")</f>
        <v>[]</v>
      </c>
      <c r="X4555" s="6" t="str">
        <f>IFERROR(__xludf.DUMMYFUNCTION("""COMPUTED_VALUE"""),"Enrolled")</f>
        <v>Enrolled</v>
      </c>
    </row>
    <row r="4556">
      <c r="A4556" s="6" t="str">
        <f>IFERROR(__xludf.DUMMYFUNCTION("""COMPUTED_VALUE"""),"084-12918")</f>
        <v>084-12918</v>
      </c>
      <c r="B4556" s="6" t="str">
        <f>IFERROR(__xludf.DUMMYFUNCTION("""COMPUTED_VALUE"""),"84")</f>
        <v>84</v>
      </c>
      <c r="C4556" s="6" t="str">
        <f>IFERROR(__xludf.DUMMYFUNCTION("""COMPUTED_VALUE"""),"12918")</f>
        <v>12918</v>
      </c>
      <c r="D4556" s="6" t="str">
        <f>IFERROR(__xludf.DUMMYFUNCTION("""COMPUTED_VALUE"""),"Aaron")</f>
        <v>Aaron</v>
      </c>
      <c r="E4556" s="6" t="str">
        <f>IFERROR(__xludf.DUMMYFUNCTION("""COMPUTED_VALUE"""),"")</f>
        <v/>
      </c>
      <c r="F4556" s="6" t="str">
        <f>IFERROR(__xludf.DUMMYFUNCTION("""COMPUTED_VALUE"""),"Aceituno Paz")</f>
        <v>Aceituno Paz</v>
      </c>
      <c r="G4556" s="6" t="str">
        <f>IFERROR(__xludf.DUMMYFUNCTION("""COMPUTED_VALUE"""),"01/31/2012")</f>
        <v>01/31/2012</v>
      </c>
      <c r="H4556" s="6" t="str">
        <f>IFERROR(__xludf.DUMMYFUNCTION("""COMPUTED_VALUE"""),"male")</f>
        <v>male</v>
      </c>
      <c r="I4556" s="6" t="str">
        <f>IFERROR(__xludf.DUMMYFUNCTION("""COMPUTED_VALUE"""),"Middle School")</f>
        <v>Middle School</v>
      </c>
      <c r="J4556" s="6" t="str">
        <f>IFERROR(__xludf.DUMMYFUNCTION("""COMPUTED_VALUE"""),"8")</f>
        <v>8</v>
      </c>
      <c r="K4556" s="6" t="str">
        <f>IFERROR(__xludf.DUMMYFUNCTION("""COMPUTED_VALUE"""),"aaron.aceitunopaz@2hourlearning.com")</f>
        <v>aaron.aceitunopaz@2hourlearning.com</v>
      </c>
      <c r="L4556" s="6" t="str">
        <f>IFERROR(__xludf.DUMMYFUNCTION("""COMPUTED_VALUE"""),"JHMS - Hardeeville Junior Senior High School")</f>
        <v>JHMS - Hardeeville Junior Senior High School</v>
      </c>
      <c r="M4556" s="6" t="str">
        <f>IFERROR(__xludf.DUMMYFUNCTION("""COMPUTED_VALUE"""),"")</f>
        <v/>
      </c>
      <c r="N4556" s="6" t="str">
        <f>IFERROR(__xludf.DUMMYFUNCTION("""COMPUTED_VALUE"""),"")</f>
        <v/>
      </c>
      <c r="O4556" s="87" t="str">
        <f>IFERROR(__xludf.DUMMYFUNCTION("""COMPUTED_VALUE"""),"https://drive.google.com/drive/folders/10T2cTQHqEJZqE-st6uFKPoI?usp=share_link")</f>
        <v>https://drive.google.com/drive/folders/10T2cTQHqEJZqE-st6uFKPoI?usp=share_link</v>
      </c>
      <c r="P4556" s="6" t="str">
        <f>IFERROR(__xludf.DUMMYFUNCTION("""COMPUTED_VALUE"""),"Aaron Aceituno Paz")</f>
        <v>Aaron Aceituno Paz</v>
      </c>
      <c r="Q4556" s="6" t="str">
        <f>IFERROR(__xludf.DUMMYFUNCTION("""COMPUTED_VALUE"""),"MS")</f>
        <v>MS</v>
      </c>
      <c r="R4556" s="6">
        <f>IFERROR(__xludf.DUMMYFUNCTION("""COMPUTED_VALUE"""),0.0)</f>
        <v>0</v>
      </c>
      <c r="S4556" s="6" t="str">
        <f>IFERROR(__xludf.DUMMYFUNCTION("""COMPUTED_VALUE"""),"Kimberly Ball")</f>
        <v>Kimberly Ball</v>
      </c>
      <c r="T4556" s="6" t="str">
        <f>IFERROR(__xludf.DUMMYFUNCTION("""COMPUTED_VALUE"""),"kimberly.ball@studient.com")</f>
        <v>kimberly.ball@studient.com</v>
      </c>
      <c r="U4556" s="6" t="str">
        <f>IFERROR(__xludf.DUMMYFUNCTION("""COMPUTED_VALUE"""),"8")</f>
        <v>8</v>
      </c>
      <c r="V4556" s="6" t="str">
        <f>IFERROR(__xludf.DUMMYFUNCTION("""COMPUTED_VALUE"""),"")</f>
        <v/>
      </c>
      <c r="W4556" s="6" t="str">
        <f>IFERROR(__xludf.DUMMYFUNCTION("""COMPUTED_VALUE"""),"[]")</f>
        <v>[]</v>
      </c>
      <c r="X4556" s="6" t="str">
        <f>IFERROR(__xludf.DUMMYFUNCTION("""COMPUTED_VALUE"""),"Enrolled")</f>
        <v>Enrolled</v>
      </c>
    </row>
    <row r="4557">
      <c r="A4557" s="6" t="str">
        <f>IFERROR(__xludf.DUMMYFUNCTION("""COMPUTED_VALUE"""),"084-12919")</f>
        <v>084-12919</v>
      </c>
      <c r="B4557" s="6" t="str">
        <f>IFERROR(__xludf.DUMMYFUNCTION("""COMPUTED_VALUE"""),"84")</f>
        <v>84</v>
      </c>
      <c r="C4557" s="6" t="str">
        <f>IFERROR(__xludf.DUMMYFUNCTION("""COMPUTED_VALUE"""),"12919")</f>
        <v>12919</v>
      </c>
      <c r="D4557" s="6" t="str">
        <f>IFERROR(__xludf.DUMMYFUNCTION("""COMPUTED_VALUE"""),"Joshua")</f>
        <v>Joshua</v>
      </c>
      <c r="E4557" s="6" t="str">
        <f>IFERROR(__xludf.DUMMYFUNCTION("""COMPUTED_VALUE"""),"")</f>
        <v/>
      </c>
      <c r="F4557" s="6" t="str">
        <f>IFERROR(__xludf.DUMMYFUNCTION("""COMPUTED_VALUE"""),"Adame Reyna")</f>
        <v>Adame Reyna</v>
      </c>
      <c r="G4557" s="6" t="str">
        <f>IFERROR(__xludf.DUMMYFUNCTION("""COMPUTED_VALUE"""),"12/07/2011")</f>
        <v>12/07/2011</v>
      </c>
      <c r="H4557" s="6" t="str">
        <f>IFERROR(__xludf.DUMMYFUNCTION("""COMPUTED_VALUE"""),"male")</f>
        <v>male</v>
      </c>
      <c r="I4557" s="6" t="str">
        <f>IFERROR(__xludf.DUMMYFUNCTION("""COMPUTED_VALUE"""),"Middle School")</f>
        <v>Middle School</v>
      </c>
      <c r="J4557" s="6" t="str">
        <f>IFERROR(__xludf.DUMMYFUNCTION("""COMPUTED_VALUE"""),"8")</f>
        <v>8</v>
      </c>
      <c r="K4557" s="6" t="str">
        <f>IFERROR(__xludf.DUMMYFUNCTION("""COMPUTED_VALUE"""),"joshua.adamereyna@2hourlearning.com")</f>
        <v>joshua.adamereyna@2hourlearning.com</v>
      </c>
      <c r="L4557" s="6" t="str">
        <f>IFERROR(__xludf.DUMMYFUNCTION("""COMPUTED_VALUE"""),"JHMS - Hardeeville Junior Senior High School")</f>
        <v>JHMS - Hardeeville Junior Senior High School</v>
      </c>
      <c r="M4557" s="6" t="str">
        <f>IFERROR(__xludf.DUMMYFUNCTION("""COMPUTED_VALUE"""),"")</f>
        <v/>
      </c>
      <c r="N4557" s="6" t="str">
        <f>IFERROR(__xludf.DUMMYFUNCTION("""COMPUTED_VALUE"""),"")</f>
        <v/>
      </c>
      <c r="O4557" s="87" t="str">
        <f>IFERROR(__xludf.DUMMYFUNCTION("""COMPUTED_VALUE"""),"https://drive.google.com/drive/folders/10T2cTQHqEJZqE-st6uFKPoI?usp=share_link")</f>
        <v>https://drive.google.com/drive/folders/10T2cTQHqEJZqE-st6uFKPoI?usp=share_link</v>
      </c>
      <c r="P4557" s="6" t="str">
        <f>IFERROR(__xludf.DUMMYFUNCTION("""COMPUTED_VALUE"""),"Joshua Adame Reyna")</f>
        <v>Joshua Adame Reyna</v>
      </c>
      <c r="Q4557" s="6" t="str">
        <f>IFERROR(__xludf.DUMMYFUNCTION("""COMPUTED_VALUE"""),"MS")</f>
        <v>MS</v>
      </c>
      <c r="R4557" s="6">
        <f>IFERROR(__xludf.DUMMYFUNCTION("""COMPUTED_VALUE"""),0.0)</f>
        <v>0</v>
      </c>
      <c r="S4557" s="6" t="str">
        <f>IFERROR(__xludf.DUMMYFUNCTION("""COMPUTED_VALUE"""),"Kimberly Ball")</f>
        <v>Kimberly Ball</v>
      </c>
      <c r="T4557" s="6" t="str">
        <f>IFERROR(__xludf.DUMMYFUNCTION("""COMPUTED_VALUE"""),"kimberly.ball@studient.com")</f>
        <v>kimberly.ball@studient.com</v>
      </c>
      <c r="U4557" s="6" t="str">
        <f>IFERROR(__xludf.DUMMYFUNCTION("""COMPUTED_VALUE"""),"8")</f>
        <v>8</v>
      </c>
      <c r="V4557" s="6" t="str">
        <f>IFERROR(__xludf.DUMMYFUNCTION("""COMPUTED_VALUE"""),"")</f>
        <v/>
      </c>
      <c r="W4557" s="6" t="str">
        <f>IFERROR(__xludf.DUMMYFUNCTION("""COMPUTED_VALUE"""),"[]")</f>
        <v>[]</v>
      </c>
      <c r="X4557" s="6" t="str">
        <f>IFERROR(__xludf.DUMMYFUNCTION("""COMPUTED_VALUE"""),"Enrolled")</f>
        <v>Enrolled</v>
      </c>
    </row>
    <row r="4558">
      <c r="A4558" s="6" t="str">
        <f>IFERROR(__xludf.DUMMYFUNCTION("""COMPUTED_VALUE"""),"084-12920")</f>
        <v>084-12920</v>
      </c>
      <c r="B4558" s="6" t="str">
        <f>IFERROR(__xludf.DUMMYFUNCTION("""COMPUTED_VALUE"""),"84")</f>
        <v>84</v>
      </c>
      <c r="C4558" s="6" t="str">
        <f>IFERROR(__xludf.DUMMYFUNCTION("""COMPUTED_VALUE"""),"12920")</f>
        <v>12920</v>
      </c>
      <c r="D4558" s="6" t="str">
        <f>IFERROR(__xludf.DUMMYFUNCTION("""COMPUTED_VALUE"""),"Iker")</f>
        <v>Iker</v>
      </c>
      <c r="E4558" s="6" t="str">
        <f>IFERROR(__xludf.DUMMYFUNCTION("""COMPUTED_VALUE"""),"")</f>
        <v/>
      </c>
      <c r="F4558" s="6" t="str">
        <f>IFERROR(__xludf.DUMMYFUNCTION("""COMPUTED_VALUE"""),"Adame Sotelo")</f>
        <v>Adame Sotelo</v>
      </c>
      <c r="G4558" s="6" t="str">
        <f>IFERROR(__xludf.DUMMYFUNCTION("""COMPUTED_VALUE"""),"08/20/2012")</f>
        <v>08/20/2012</v>
      </c>
      <c r="H4558" s="6" t="str">
        <f>IFERROR(__xludf.DUMMYFUNCTION("""COMPUTED_VALUE"""),"male")</f>
        <v>male</v>
      </c>
      <c r="I4558" s="6" t="str">
        <f>IFERROR(__xludf.DUMMYFUNCTION("""COMPUTED_VALUE"""),"Middle School")</f>
        <v>Middle School</v>
      </c>
      <c r="J4558" s="6" t="str">
        <f>IFERROR(__xludf.DUMMYFUNCTION("""COMPUTED_VALUE"""),"8")</f>
        <v>8</v>
      </c>
      <c r="K4558" s="6" t="str">
        <f>IFERROR(__xludf.DUMMYFUNCTION("""COMPUTED_VALUE"""),"iker.adamesotelo@2hourlearning.com")</f>
        <v>iker.adamesotelo@2hourlearning.com</v>
      </c>
      <c r="L4558" s="6" t="str">
        <f>IFERROR(__xludf.DUMMYFUNCTION("""COMPUTED_VALUE"""),"JHMS - Hardeeville Junior Senior High School")</f>
        <v>JHMS - Hardeeville Junior Senior High School</v>
      </c>
      <c r="M4558" s="6" t="str">
        <f>IFERROR(__xludf.DUMMYFUNCTION("""COMPUTED_VALUE"""),"")</f>
        <v/>
      </c>
      <c r="N4558" s="6" t="str">
        <f>IFERROR(__xludf.DUMMYFUNCTION("""COMPUTED_VALUE"""),"")</f>
        <v/>
      </c>
      <c r="O4558" s="87" t="str">
        <f>IFERROR(__xludf.DUMMYFUNCTION("""COMPUTED_VALUE"""),"https://drive.google.com/drive/folders/10T2cTQHqEJZqE-st6uFKPoI?usp=share_link")</f>
        <v>https://drive.google.com/drive/folders/10T2cTQHqEJZqE-st6uFKPoI?usp=share_link</v>
      </c>
      <c r="P4558" s="6" t="str">
        <f>IFERROR(__xludf.DUMMYFUNCTION("""COMPUTED_VALUE"""),"Iker Adame Sotelo")</f>
        <v>Iker Adame Sotelo</v>
      </c>
      <c r="Q4558" s="6" t="str">
        <f>IFERROR(__xludf.DUMMYFUNCTION("""COMPUTED_VALUE"""),"MS")</f>
        <v>MS</v>
      </c>
      <c r="R4558" s="6">
        <f>IFERROR(__xludf.DUMMYFUNCTION("""COMPUTED_VALUE"""),0.0)</f>
        <v>0</v>
      </c>
      <c r="S4558" s="6" t="str">
        <f>IFERROR(__xludf.DUMMYFUNCTION("""COMPUTED_VALUE"""),"Kimberly Ball")</f>
        <v>Kimberly Ball</v>
      </c>
      <c r="T4558" s="6" t="str">
        <f>IFERROR(__xludf.DUMMYFUNCTION("""COMPUTED_VALUE"""),"kimberly.ball@studient.com")</f>
        <v>kimberly.ball@studient.com</v>
      </c>
      <c r="U4558" s="6" t="str">
        <f>IFERROR(__xludf.DUMMYFUNCTION("""COMPUTED_VALUE"""),"8")</f>
        <v>8</v>
      </c>
      <c r="V4558" s="6" t="str">
        <f>IFERROR(__xludf.DUMMYFUNCTION("""COMPUTED_VALUE"""),"")</f>
        <v/>
      </c>
      <c r="W4558" s="6" t="str">
        <f>IFERROR(__xludf.DUMMYFUNCTION("""COMPUTED_VALUE"""),"[]")</f>
        <v>[]</v>
      </c>
      <c r="X4558" s="6" t="str">
        <f>IFERROR(__xludf.DUMMYFUNCTION("""COMPUTED_VALUE"""),"Enrolled")</f>
        <v>Enrolled</v>
      </c>
    </row>
    <row r="4559">
      <c r="A4559" s="6" t="str">
        <f>IFERROR(__xludf.DUMMYFUNCTION("""COMPUTED_VALUE"""),"084-12921")</f>
        <v>084-12921</v>
      </c>
      <c r="B4559" s="6" t="str">
        <f>IFERROR(__xludf.DUMMYFUNCTION("""COMPUTED_VALUE"""),"84")</f>
        <v>84</v>
      </c>
      <c r="C4559" s="6" t="str">
        <f>IFERROR(__xludf.DUMMYFUNCTION("""COMPUTED_VALUE"""),"12921")</f>
        <v>12921</v>
      </c>
      <c r="D4559" s="6" t="str">
        <f>IFERROR(__xludf.DUMMYFUNCTION("""COMPUTED_VALUE"""),"A'riyah")</f>
        <v>A'riyah</v>
      </c>
      <c r="E4559" s="6" t="str">
        <f>IFERROR(__xludf.DUMMYFUNCTION("""COMPUTED_VALUE"""),"")</f>
        <v/>
      </c>
      <c r="F4559" s="6" t="str">
        <f>IFERROR(__xludf.DUMMYFUNCTION("""COMPUTED_VALUE"""),"Adams")</f>
        <v>Adams</v>
      </c>
      <c r="G4559" s="6" t="str">
        <f>IFERROR(__xludf.DUMMYFUNCTION("""COMPUTED_VALUE"""),"10/16/2011")</f>
        <v>10/16/2011</v>
      </c>
      <c r="H4559" s="6" t="str">
        <f>IFERROR(__xludf.DUMMYFUNCTION("""COMPUTED_VALUE"""),"female")</f>
        <v>female</v>
      </c>
      <c r="I4559" s="6" t="str">
        <f>IFERROR(__xludf.DUMMYFUNCTION("""COMPUTED_VALUE"""),"Middle School")</f>
        <v>Middle School</v>
      </c>
      <c r="J4559" s="6" t="str">
        <f>IFERROR(__xludf.DUMMYFUNCTION("""COMPUTED_VALUE"""),"8")</f>
        <v>8</v>
      </c>
      <c r="K4559" s="6" t="str">
        <f>IFERROR(__xludf.DUMMYFUNCTION("""COMPUTED_VALUE"""),"ariyah.adams@2hourlearning.com")</f>
        <v>ariyah.adams@2hourlearning.com</v>
      </c>
      <c r="L4559" s="6" t="str">
        <f>IFERROR(__xludf.DUMMYFUNCTION("""COMPUTED_VALUE"""),"JHMS - Hardeeville Junior Senior High School")</f>
        <v>JHMS - Hardeeville Junior Senior High School</v>
      </c>
      <c r="M4559" s="6" t="str">
        <f>IFERROR(__xludf.DUMMYFUNCTION("""COMPUTED_VALUE"""),"")</f>
        <v/>
      </c>
      <c r="N4559" s="6" t="str">
        <f>IFERROR(__xludf.DUMMYFUNCTION("""COMPUTED_VALUE"""),"")</f>
        <v/>
      </c>
      <c r="O4559" s="87" t="str">
        <f>IFERROR(__xludf.DUMMYFUNCTION("""COMPUTED_VALUE"""),"https://drive.google.com/drive/folders/10T2cTQHqEJZqE-st6uFKPoI?usp=share_link")</f>
        <v>https://drive.google.com/drive/folders/10T2cTQHqEJZqE-st6uFKPoI?usp=share_link</v>
      </c>
      <c r="P4559" s="6" t="str">
        <f>IFERROR(__xludf.DUMMYFUNCTION("""COMPUTED_VALUE"""),"A'riyah Adams")</f>
        <v>A'riyah Adams</v>
      </c>
      <c r="Q4559" s="6" t="str">
        <f>IFERROR(__xludf.DUMMYFUNCTION("""COMPUTED_VALUE"""),"MS")</f>
        <v>MS</v>
      </c>
      <c r="R4559" s="6">
        <f>IFERROR(__xludf.DUMMYFUNCTION("""COMPUTED_VALUE"""),0.0)</f>
        <v>0</v>
      </c>
      <c r="S4559" s="6" t="str">
        <f>IFERROR(__xludf.DUMMYFUNCTION("""COMPUTED_VALUE"""),"Kimberly Ball")</f>
        <v>Kimberly Ball</v>
      </c>
      <c r="T4559" s="6" t="str">
        <f>IFERROR(__xludf.DUMMYFUNCTION("""COMPUTED_VALUE"""),"kimberly.ball@studient.com")</f>
        <v>kimberly.ball@studient.com</v>
      </c>
      <c r="U4559" s="6" t="str">
        <f>IFERROR(__xludf.DUMMYFUNCTION("""COMPUTED_VALUE"""),"8")</f>
        <v>8</v>
      </c>
      <c r="V4559" s="6" t="str">
        <f>IFERROR(__xludf.DUMMYFUNCTION("""COMPUTED_VALUE"""),"")</f>
        <v/>
      </c>
      <c r="W4559" s="6" t="str">
        <f>IFERROR(__xludf.DUMMYFUNCTION("""COMPUTED_VALUE"""),"[]")</f>
        <v>[]</v>
      </c>
      <c r="X4559" s="6" t="str">
        <f>IFERROR(__xludf.DUMMYFUNCTION("""COMPUTED_VALUE"""),"Enrolled")</f>
        <v>Enrolled</v>
      </c>
    </row>
    <row r="4560">
      <c r="A4560" s="6" t="str">
        <f>IFERROR(__xludf.DUMMYFUNCTION("""COMPUTED_VALUE"""),"084-12922")</f>
        <v>084-12922</v>
      </c>
      <c r="B4560" s="6" t="str">
        <f>IFERROR(__xludf.DUMMYFUNCTION("""COMPUTED_VALUE"""),"84")</f>
        <v>84</v>
      </c>
      <c r="C4560" s="6" t="str">
        <f>IFERROR(__xludf.DUMMYFUNCTION("""COMPUTED_VALUE"""),"12922")</f>
        <v>12922</v>
      </c>
      <c r="D4560" s="6" t="str">
        <f>IFERROR(__xludf.DUMMYFUNCTION("""COMPUTED_VALUE"""),"Jeremy")</f>
        <v>Jeremy</v>
      </c>
      <c r="E4560" s="6" t="str">
        <f>IFERROR(__xludf.DUMMYFUNCTION("""COMPUTED_VALUE"""),"")</f>
        <v/>
      </c>
      <c r="F4560" s="6" t="str">
        <f>IFERROR(__xludf.DUMMYFUNCTION("""COMPUTED_VALUE"""),"Aguilar Jimenez")</f>
        <v>Aguilar Jimenez</v>
      </c>
      <c r="G4560" s="6" t="str">
        <f>IFERROR(__xludf.DUMMYFUNCTION("""COMPUTED_VALUE"""),"05/08/2011")</f>
        <v>05/08/2011</v>
      </c>
      <c r="H4560" s="6" t="str">
        <f>IFERROR(__xludf.DUMMYFUNCTION("""COMPUTED_VALUE"""),"male")</f>
        <v>male</v>
      </c>
      <c r="I4560" s="6" t="str">
        <f>IFERROR(__xludf.DUMMYFUNCTION("""COMPUTED_VALUE"""),"Middle School")</f>
        <v>Middle School</v>
      </c>
      <c r="J4560" s="6" t="str">
        <f>IFERROR(__xludf.DUMMYFUNCTION("""COMPUTED_VALUE"""),"8")</f>
        <v>8</v>
      </c>
      <c r="K4560" s="6" t="str">
        <f>IFERROR(__xludf.DUMMYFUNCTION("""COMPUTED_VALUE"""),"jeremy.aguilarjimenez@2hourlearning.com")</f>
        <v>jeremy.aguilarjimenez@2hourlearning.com</v>
      </c>
      <c r="L4560" s="6" t="str">
        <f>IFERROR(__xludf.DUMMYFUNCTION("""COMPUTED_VALUE"""),"JHMS - Hardeeville Junior Senior High School")</f>
        <v>JHMS - Hardeeville Junior Senior High School</v>
      </c>
      <c r="M4560" s="6" t="str">
        <f>IFERROR(__xludf.DUMMYFUNCTION("""COMPUTED_VALUE"""),"")</f>
        <v/>
      </c>
      <c r="N4560" s="6" t="str">
        <f>IFERROR(__xludf.DUMMYFUNCTION("""COMPUTED_VALUE"""),"")</f>
        <v/>
      </c>
      <c r="O4560" s="87" t="str">
        <f>IFERROR(__xludf.DUMMYFUNCTION("""COMPUTED_VALUE"""),"https://drive.google.com/drive/folders/10T2cTQHqEJZqE-st6uFKPoI?usp=share_link")</f>
        <v>https://drive.google.com/drive/folders/10T2cTQHqEJZqE-st6uFKPoI?usp=share_link</v>
      </c>
      <c r="P4560" s="6" t="str">
        <f>IFERROR(__xludf.DUMMYFUNCTION("""COMPUTED_VALUE"""),"Jeremy Aguilar Jimenez")</f>
        <v>Jeremy Aguilar Jimenez</v>
      </c>
      <c r="Q4560" s="6" t="str">
        <f>IFERROR(__xludf.DUMMYFUNCTION("""COMPUTED_VALUE"""),"MS")</f>
        <v>MS</v>
      </c>
      <c r="R4560" s="6">
        <f>IFERROR(__xludf.DUMMYFUNCTION("""COMPUTED_VALUE"""),0.0)</f>
        <v>0</v>
      </c>
      <c r="S4560" s="6" t="str">
        <f>IFERROR(__xludf.DUMMYFUNCTION("""COMPUTED_VALUE"""),"Kimberly Ball")</f>
        <v>Kimberly Ball</v>
      </c>
      <c r="T4560" s="6" t="str">
        <f>IFERROR(__xludf.DUMMYFUNCTION("""COMPUTED_VALUE"""),"kimberly.ball@studient.com")</f>
        <v>kimberly.ball@studient.com</v>
      </c>
      <c r="U4560" s="6" t="str">
        <f>IFERROR(__xludf.DUMMYFUNCTION("""COMPUTED_VALUE"""),"8")</f>
        <v>8</v>
      </c>
      <c r="V4560" s="6" t="str">
        <f>IFERROR(__xludf.DUMMYFUNCTION("""COMPUTED_VALUE"""),"")</f>
        <v/>
      </c>
      <c r="W4560" s="6" t="str">
        <f>IFERROR(__xludf.DUMMYFUNCTION("""COMPUTED_VALUE"""),"[]")</f>
        <v>[]</v>
      </c>
      <c r="X4560" s="6" t="str">
        <f>IFERROR(__xludf.DUMMYFUNCTION("""COMPUTED_VALUE"""),"Enrolled")</f>
        <v>Enrolled</v>
      </c>
    </row>
    <row r="4561">
      <c r="A4561" s="6" t="str">
        <f>IFERROR(__xludf.DUMMYFUNCTION("""COMPUTED_VALUE"""),"084-12923")</f>
        <v>084-12923</v>
      </c>
      <c r="B4561" s="6" t="str">
        <f>IFERROR(__xludf.DUMMYFUNCTION("""COMPUTED_VALUE"""),"84")</f>
        <v>84</v>
      </c>
      <c r="C4561" s="6" t="str">
        <f>IFERROR(__xludf.DUMMYFUNCTION("""COMPUTED_VALUE"""),"12923")</f>
        <v>12923</v>
      </c>
      <c r="D4561" s="6" t="str">
        <f>IFERROR(__xludf.DUMMYFUNCTION("""COMPUTED_VALUE"""),"Brooke")</f>
        <v>Brooke</v>
      </c>
      <c r="E4561" s="6" t="str">
        <f>IFERROR(__xludf.DUMMYFUNCTION("""COMPUTED_VALUE"""),"")</f>
        <v/>
      </c>
      <c r="F4561" s="6" t="str">
        <f>IFERROR(__xludf.DUMMYFUNCTION("""COMPUTED_VALUE"""),"Aiken")</f>
        <v>Aiken</v>
      </c>
      <c r="G4561" s="6" t="str">
        <f>IFERROR(__xludf.DUMMYFUNCTION("""COMPUTED_VALUE"""),"11/11/2011")</f>
        <v>11/11/2011</v>
      </c>
      <c r="H4561" s="6" t="str">
        <f>IFERROR(__xludf.DUMMYFUNCTION("""COMPUTED_VALUE"""),"female")</f>
        <v>female</v>
      </c>
      <c r="I4561" s="6" t="str">
        <f>IFERROR(__xludf.DUMMYFUNCTION("""COMPUTED_VALUE"""),"Middle School")</f>
        <v>Middle School</v>
      </c>
      <c r="J4561" s="6" t="str">
        <f>IFERROR(__xludf.DUMMYFUNCTION("""COMPUTED_VALUE"""),"8")</f>
        <v>8</v>
      </c>
      <c r="K4561" s="6" t="str">
        <f>IFERROR(__xludf.DUMMYFUNCTION("""COMPUTED_VALUE"""),"brooke.aiken@2hourlearning.com")</f>
        <v>brooke.aiken@2hourlearning.com</v>
      </c>
      <c r="L4561" s="6" t="str">
        <f>IFERROR(__xludf.DUMMYFUNCTION("""COMPUTED_VALUE"""),"JHMS - Hardeeville Junior Senior High School")</f>
        <v>JHMS - Hardeeville Junior Senior High School</v>
      </c>
      <c r="M4561" s="6" t="str">
        <f>IFERROR(__xludf.DUMMYFUNCTION("""COMPUTED_VALUE"""),"")</f>
        <v/>
      </c>
      <c r="N4561" s="6" t="str">
        <f>IFERROR(__xludf.DUMMYFUNCTION("""COMPUTED_VALUE"""),"")</f>
        <v/>
      </c>
      <c r="O4561" s="87" t="str">
        <f>IFERROR(__xludf.DUMMYFUNCTION("""COMPUTED_VALUE"""),"https://drive.google.com/drive/folders/10T2cTQHqEJZqE-st6uFKPoI?usp=share_link")</f>
        <v>https://drive.google.com/drive/folders/10T2cTQHqEJZqE-st6uFKPoI?usp=share_link</v>
      </c>
      <c r="P4561" s="6" t="str">
        <f>IFERROR(__xludf.DUMMYFUNCTION("""COMPUTED_VALUE"""),"Brooke Aiken")</f>
        <v>Brooke Aiken</v>
      </c>
      <c r="Q4561" s="6" t="str">
        <f>IFERROR(__xludf.DUMMYFUNCTION("""COMPUTED_VALUE"""),"MS")</f>
        <v>MS</v>
      </c>
      <c r="R4561" s="6">
        <f>IFERROR(__xludf.DUMMYFUNCTION("""COMPUTED_VALUE"""),0.0)</f>
        <v>0</v>
      </c>
      <c r="S4561" s="6" t="str">
        <f>IFERROR(__xludf.DUMMYFUNCTION("""COMPUTED_VALUE"""),"Kimberly Ball")</f>
        <v>Kimberly Ball</v>
      </c>
      <c r="T4561" s="6" t="str">
        <f>IFERROR(__xludf.DUMMYFUNCTION("""COMPUTED_VALUE"""),"kimberly.ball@studient.com")</f>
        <v>kimberly.ball@studient.com</v>
      </c>
      <c r="U4561" s="6" t="str">
        <f>IFERROR(__xludf.DUMMYFUNCTION("""COMPUTED_VALUE"""),"8")</f>
        <v>8</v>
      </c>
      <c r="V4561" s="6" t="str">
        <f>IFERROR(__xludf.DUMMYFUNCTION("""COMPUTED_VALUE"""),"")</f>
        <v/>
      </c>
      <c r="W4561" s="6" t="str">
        <f>IFERROR(__xludf.DUMMYFUNCTION("""COMPUTED_VALUE"""),"[]")</f>
        <v>[]</v>
      </c>
      <c r="X4561" s="6" t="str">
        <f>IFERROR(__xludf.DUMMYFUNCTION("""COMPUTED_VALUE"""),"Enrolled")</f>
        <v>Enrolled</v>
      </c>
    </row>
    <row r="4562">
      <c r="A4562" s="6" t="str">
        <f>IFERROR(__xludf.DUMMYFUNCTION("""COMPUTED_VALUE"""),"084-12924")</f>
        <v>084-12924</v>
      </c>
      <c r="B4562" s="6" t="str">
        <f>IFERROR(__xludf.DUMMYFUNCTION("""COMPUTED_VALUE"""),"84")</f>
        <v>84</v>
      </c>
      <c r="C4562" s="6" t="str">
        <f>IFERROR(__xludf.DUMMYFUNCTION("""COMPUTED_VALUE"""),"12924")</f>
        <v>12924</v>
      </c>
      <c r="D4562" s="6" t="str">
        <f>IFERROR(__xludf.DUMMYFUNCTION("""COMPUTED_VALUE"""),"Sussan")</f>
        <v>Sussan</v>
      </c>
      <c r="E4562" s="6" t="str">
        <f>IFERROR(__xludf.DUMMYFUNCTION("""COMPUTED_VALUE"""),"")</f>
        <v/>
      </c>
      <c r="F4562" s="6" t="str">
        <f>IFERROR(__xludf.DUMMYFUNCTION("""COMPUTED_VALUE"""),"Alegria Recinos")</f>
        <v>Alegria Recinos</v>
      </c>
      <c r="G4562" s="6" t="str">
        <f>IFERROR(__xludf.DUMMYFUNCTION("""COMPUTED_VALUE"""),"06/26/2012")</f>
        <v>06/26/2012</v>
      </c>
      <c r="H4562" s="6" t="str">
        <f>IFERROR(__xludf.DUMMYFUNCTION("""COMPUTED_VALUE"""),"female")</f>
        <v>female</v>
      </c>
      <c r="I4562" s="6" t="str">
        <f>IFERROR(__xludf.DUMMYFUNCTION("""COMPUTED_VALUE"""),"Middle School")</f>
        <v>Middle School</v>
      </c>
      <c r="J4562" s="6" t="str">
        <f>IFERROR(__xludf.DUMMYFUNCTION("""COMPUTED_VALUE"""),"8")</f>
        <v>8</v>
      </c>
      <c r="K4562" s="6" t="str">
        <f>IFERROR(__xludf.DUMMYFUNCTION("""COMPUTED_VALUE"""),"sussan.alegriarecinos@2hourlearning.com")</f>
        <v>sussan.alegriarecinos@2hourlearning.com</v>
      </c>
      <c r="L4562" s="6" t="str">
        <f>IFERROR(__xludf.DUMMYFUNCTION("""COMPUTED_VALUE"""),"JHMS - Hardeeville Junior Senior High School")</f>
        <v>JHMS - Hardeeville Junior Senior High School</v>
      </c>
      <c r="M4562" s="6" t="str">
        <f>IFERROR(__xludf.DUMMYFUNCTION("""COMPUTED_VALUE"""),"")</f>
        <v/>
      </c>
      <c r="N4562" s="6" t="str">
        <f>IFERROR(__xludf.DUMMYFUNCTION("""COMPUTED_VALUE"""),"")</f>
        <v/>
      </c>
      <c r="O4562" s="87" t="str">
        <f>IFERROR(__xludf.DUMMYFUNCTION("""COMPUTED_VALUE"""),"https://drive.google.com/drive/folders/10T2cTQHqEJZqE-st6uFKPoI?usp=share_link")</f>
        <v>https://drive.google.com/drive/folders/10T2cTQHqEJZqE-st6uFKPoI?usp=share_link</v>
      </c>
      <c r="P4562" s="6" t="str">
        <f>IFERROR(__xludf.DUMMYFUNCTION("""COMPUTED_VALUE"""),"Sussan Alegria Recinos")</f>
        <v>Sussan Alegria Recinos</v>
      </c>
      <c r="Q4562" s="6" t="str">
        <f>IFERROR(__xludf.DUMMYFUNCTION("""COMPUTED_VALUE"""),"MS")</f>
        <v>MS</v>
      </c>
      <c r="R4562" s="6">
        <f>IFERROR(__xludf.DUMMYFUNCTION("""COMPUTED_VALUE"""),0.0)</f>
        <v>0</v>
      </c>
      <c r="S4562" s="6" t="str">
        <f>IFERROR(__xludf.DUMMYFUNCTION("""COMPUTED_VALUE"""),"Kimberly Ball")</f>
        <v>Kimberly Ball</v>
      </c>
      <c r="T4562" s="6" t="str">
        <f>IFERROR(__xludf.DUMMYFUNCTION("""COMPUTED_VALUE"""),"kimberly.ball@studient.com")</f>
        <v>kimberly.ball@studient.com</v>
      </c>
      <c r="U4562" s="6" t="str">
        <f>IFERROR(__xludf.DUMMYFUNCTION("""COMPUTED_VALUE"""),"8")</f>
        <v>8</v>
      </c>
      <c r="V4562" s="6" t="str">
        <f>IFERROR(__xludf.DUMMYFUNCTION("""COMPUTED_VALUE"""),"")</f>
        <v/>
      </c>
      <c r="W4562" s="6" t="str">
        <f>IFERROR(__xludf.DUMMYFUNCTION("""COMPUTED_VALUE"""),"[]")</f>
        <v>[]</v>
      </c>
      <c r="X4562" s="6" t="str">
        <f>IFERROR(__xludf.DUMMYFUNCTION("""COMPUTED_VALUE"""),"Enrolled")</f>
        <v>Enrolled</v>
      </c>
    </row>
    <row r="4563">
      <c r="A4563" s="6" t="str">
        <f>IFERROR(__xludf.DUMMYFUNCTION("""COMPUTED_VALUE"""),"084-12925")</f>
        <v>084-12925</v>
      </c>
      <c r="B4563" s="6" t="str">
        <f>IFERROR(__xludf.DUMMYFUNCTION("""COMPUTED_VALUE"""),"84")</f>
        <v>84</v>
      </c>
      <c r="C4563" s="6" t="str">
        <f>IFERROR(__xludf.DUMMYFUNCTION("""COMPUTED_VALUE"""),"12925")</f>
        <v>12925</v>
      </c>
      <c r="D4563" s="6" t="str">
        <f>IFERROR(__xludf.DUMMYFUNCTION("""COMPUTED_VALUE"""),"Leodan")</f>
        <v>Leodan</v>
      </c>
      <c r="E4563" s="6" t="str">
        <f>IFERROR(__xludf.DUMMYFUNCTION("""COMPUTED_VALUE"""),"")</f>
        <v/>
      </c>
      <c r="F4563" s="6" t="str">
        <f>IFERROR(__xludf.DUMMYFUNCTION("""COMPUTED_VALUE"""),"Andrade Antunez")</f>
        <v>Andrade Antunez</v>
      </c>
      <c r="G4563" s="6" t="str">
        <f>IFERROR(__xludf.DUMMYFUNCTION("""COMPUTED_VALUE"""),"06/11/2012")</f>
        <v>06/11/2012</v>
      </c>
      <c r="H4563" s="6" t="str">
        <f>IFERROR(__xludf.DUMMYFUNCTION("""COMPUTED_VALUE"""),"male")</f>
        <v>male</v>
      </c>
      <c r="I4563" s="6" t="str">
        <f>IFERROR(__xludf.DUMMYFUNCTION("""COMPUTED_VALUE"""),"Middle School")</f>
        <v>Middle School</v>
      </c>
      <c r="J4563" s="6" t="str">
        <f>IFERROR(__xludf.DUMMYFUNCTION("""COMPUTED_VALUE"""),"8")</f>
        <v>8</v>
      </c>
      <c r="K4563" s="6" t="str">
        <f>IFERROR(__xludf.DUMMYFUNCTION("""COMPUTED_VALUE"""),"leodan.andradeantunez@2hourlearning.com")</f>
        <v>leodan.andradeantunez@2hourlearning.com</v>
      </c>
      <c r="L4563" s="6" t="str">
        <f>IFERROR(__xludf.DUMMYFUNCTION("""COMPUTED_VALUE"""),"JHMS - Hardeeville Junior Senior High School")</f>
        <v>JHMS - Hardeeville Junior Senior High School</v>
      </c>
      <c r="M4563" s="6" t="str">
        <f>IFERROR(__xludf.DUMMYFUNCTION("""COMPUTED_VALUE"""),"")</f>
        <v/>
      </c>
      <c r="N4563" s="6" t="str">
        <f>IFERROR(__xludf.DUMMYFUNCTION("""COMPUTED_VALUE"""),"")</f>
        <v/>
      </c>
      <c r="O4563" s="87" t="str">
        <f>IFERROR(__xludf.DUMMYFUNCTION("""COMPUTED_VALUE"""),"https://drive.google.com/drive/folders/10T2cTQHqEJZqE-st6uFKPoI?usp=share_link")</f>
        <v>https://drive.google.com/drive/folders/10T2cTQHqEJZqE-st6uFKPoI?usp=share_link</v>
      </c>
      <c r="P4563" s="6" t="str">
        <f>IFERROR(__xludf.DUMMYFUNCTION("""COMPUTED_VALUE"""),"Leodan Andrade Antunez")</f>
        <v>Leodan Andrade Antunez</v>
      </c>
      <c r="Q4563" s="6" t="str">
        <f>IFERROR(__xludf.DUMMYFUNCTION("""COMPUTED_VALUE"""),"MS")</f>
        <v>MS</v>
      </c>
      <c r="R4563" s="6">
        <f>IFERROR(__xludf.DUMMYFUNCTION("""COMPUTED_VALUE"""),0.0)</f>
        <v>0</v>
      </c>
      <c r="S4563" s="6" t="str">
        <f>IFERROR(__xludf.DUMMYFUNCTION("""COMPUTED_VALUE"""),"Kimberly Ball")</f>
        <v>Kimberly Ball</v>
      </c>
      <c r="T4563" s="6" t="str">
        <f>IFERROR(__xludf.DUMMYFUNCTION("""COMPUTED_VALUE"""),"kimberly.ball@studient.com")</f>
        <v>kimberly.ball@studient.com</v>
      </c>
      <c r="U4563" s="6" t="str">
        <f>IFERROR(__xludf.DUMMYFUNCTION("""COMPUTED_VALUE"""),"8")</f>
        <v>8</v>
      </c>
      <c r="V4563" s="6" t="str">
        <f>IFERROR(__xludf.DUMMYFUNCTION("""COMPUTED_VALUE"""),"")</f>
        <v/>
      </c>
      <c r="W4563" s="6" t="str">
        <f>IFERROR(__xludf.DUMMYFUNCTION("""COMPUTED_VALUE"""),"[]")</f>
        <v>[]</v>
      </c>
      <c r="X4563" s="6" t="str">
        <f>IFERROR(__xludf.DUMMYFUNCTION("""COMPUTED_VALUE"""),"Enrolled")</f>
        <v>Enrolled</v>
      </c>
    </row>
    <row r="4564">
      <c r="A4564" s="6" t="str">
        <f>IFERROR(__xludf.DUMMYFUNCTION("""COMPUTED_VALUE"""),"084-12926")</f>
        <v>084-12926</v>
      </c>
      <c r="B4564" s="6" t="str">
        <f>IFERROR(__xludf.DUMMYFUNCTION("""COMPUTED_VALUE"""),"84")</f>
        <v>84</v>
      </c>
      <c r="C4564" s="6" t="str">
        <f>IFERROR(__xludf.DUMMYFUNCTION("""COMPUTED_VALUE"""),"12926")</f>
        <v>12926</v>
      </c>
      <c r="D4564" s="6" t="str">
        <f>IFERROR(__xludf.DUMMYFUNCTION("""COMPUTED_VALUE"""),"Jose")</f>
        <v>Jose</v>
      </c>
      <c r="E4564" s="6" t="str">
        <f>IFERROR(__xludf.DUMMYFUNCTION("""COMPUTED_VALUE"""),"")</f>
        <v/>
      </c>
      <c r="F4564" s="6" t="str">
        <f>IFERROR(__xludf.DUMMYFUNCTION("""COMPUTED_VALUE"""),"Arellano Tinoco")</f>
        <v>Arellano Tinoco</v>
      </c>
      <c r="G4564" s="6" t="str">
        <f>IFERROR(__xludf.DUMMYFUNCTION("""COMPUTED_VALUE"""),"03/25/2012")</f>
        <v>03/25/2012</v>
      </c>
      <c r="H4564" s="6" t="str">
        <f>IFERROR(__xludf.DUMMYFUNCTION("""COMPUTED_VALUE"""),"male")</f>
        <v>male</v>
      </c>
      <c r="I4564" s="6" t="str">
        <f>IFERROR(__xludf.DUMMYFUNCTION("""COMPUTED_VALUE"""),"Middle School")</f>
        <v>Middle School</v>
      </c>
      <c r="J4564" s="6" t="str">
        <f>IFERROR(__xludf.DUMMYFUNCTION("""COMPUTED_VALUE"""),"8")</f>
        <v>8</v>
      </c>
      <c r="K4564" s="6" t="str">
        <f>IFERROR(__xludf.DUMMYFUNCTION("""COMPUTED_VALUE"""),"jose.arellanotinoco@2hourlearning.com")</f>
        <v>jose.arellanotinoco@2hourlearning.com</v>
      </c>
      <c r="L4564" s="6" t="str">
        <f>IFERROR(__xludf.DUMMYFUNCTION("""COMPUTED_VALUE"""),"JHMS - Hardeeville Junior Senior High School")</f>
        <v>JHMS - Hardeeville Junior Senior High School</v>
      </c>
      <c r="M4564" s="6" t="str">
        <f>IFERROR(__xludf.DUMMYFUNCTION("""COMPUTED_VALUE"""),"")</f>
        <v/>
      </c>
      <c r="N4564" s="6" t="str">
        <f>IFERROR(__xludf.DUMMYFUNCTION("""COMPUTED_VALUE"""),"")</f>
        <v/>
      </c>
      <c r="O4564" s="87" t="str">
        <f>IFERROR(__xludf.DUMMYFUNCTION("""COMPUTED_VALUE"""),"https://drive.google.com/drive/folders/10T2cTQHqEJZqE-st6uFKPoI?usp=share_link")</f>
        <v>https://drive.google.com/drive/folders/10T2cTQHqEJZqE-st6uFKPoI?usp=share_link</v>
      </c>
      <c r="P4564" s="6" t="str">
        <f>IFERROR(__xludf.DUMMYFUNCTION("""COMPUTED_VALUE"""),"Jose Arellano Tinoco")</f>
        <v>Jose Arellano Tinoco</v>
      </c>
      <c r="Q4564" s="6" t="str">
        <f>IFERROR(__xludf.DUMMYFUNCTION("""COMPUTED_VALUE"""),"MS")</f>
        <v>MS</v>
      </c>
      <c r="R4564" s="6">
        <f>IFERROR(__xludf.DUMMYFUNCTION("""COMPUTED_VALUE"""),0.0)</f>
        <v>0</v>
      </c>
      <c r="S4564" s="6" t="str">
        <f>IFERROR(__xludf.DUMMYFUNCTION("""COMPUTED_VALUE"""),"Kimberly Ball")</f>
        <v>Kimberly Ball</v>
      </c>
      <c r="T4564" s="6" t="str">
        <f>IFERROR(__xludf.DUMMYFUNCTION("""COMPUTED_VALUE"""),"kimberly.ball@studient.com")</f>
        <v>kimberly.ball@studient.com</v>
      </c>
      <c r="U4564" s="6" t="str">
        <f>IFERROR(__xludf.DUMMYFUNCTION("""COMPUTED_VALUE"""),"8")</f>
        <v>8</v>
      </c>
      <c r="V4564" s="6" t="str">
        <f>IFERROR(__xludf.DUMMYFUNCTION("""COMPUTED_VALUE"""),"")</f>
        <v/>
      </c>
      <c r="W4564" s="6" t="str">
        <f>IFERROR(__xludf.DUMMYFUNCTION("""COMPUTED_VALUE"""),"[]")</f>
        <v>[]</v>
      </c>
      <c r="X4564" s="6" t="str">
        <f>IFERROR(__xludf.DUMMYFUNCTION("""COMPUTED_VALUE"""),"Enrolled")</f>
        <v>Enrolled</v>
      </c>
    </row>
    <row r="4565">
      <c r="A4565" s="6" t="str">
        <f>IFERROR(__xludf.DUMMYFUNCTION("""COMPUTED_VALUE"""),"084-12927")</f>
        <v>084-12927</v>
      </c>
      <c r="B4565" s="6" t="str">
        <f>IFERROR(__xludf.DUMMYFUNCTION("""COMPUTED_VALUE"""),"84")</f>
        <v>84</v>
      </c>
      <c r="C4565" s="6" t="str">
        <f>IFERROR(__xludf.DUMMYFUNCTION("""COMPUTED_VALUE"""),"12927")</f>
        <v>12927</v>
      </c>
      <c r="D4565" s="6" t="str">
        <f>IFERROR(__xludf.DUMMYFUNCTION("""COMPUTED_VALUE"""),"Richard")</f>
        <v>Richard</v>
      </c>
      <c r="E4565" s="6" t="str">
        <f>IFERROR(__xludf.DUMMYFUNCTION("""COMPUTED_VALUE"""),"")</f>
        <v/>
      </c>
      <c r="F4565" s="6" t="str">
        <f>IFERROR(__xludf.DUMMYFUNCTION("""COMPUTED_VALUE"""),"Arthur")</f>
        <v>Arthur</v>
      </c>
      <c r="G4565" s="6" t="str">
        <f>IFERROR(__xludf.DUMMYFUNCTION("""COMPUTED_VALUE"""),"04/02/2013")</f>
        <v>04/02/2013</v>
      </c>
      <c r="H4565" s="6" t="str">
        <f>IFERROR(__xludf.DUMMYFUNCTION("""COMPUTED_VALUE"""),"male")</f>
        <v>male</v>
      </c>
      <c r="I4565" s="6" t="str">
        <f>IFERROR(__xludf.DUMMYFUNCTION("""COMPUTED_VALUE"""),"Middle School")</f>
        <v>Middle School</v>
      </c>
      <c r="J4565" s="6" t="str">
        <f>IFERROR(__xludf.DUMMYFUNCTION("""COMPUTED_VALUE"""),"8")</f>
        <v>8</v>
      </c>
      <c r="K4565" s="6" t="str">
        <f>IFERROR(__xludf.DUMMYFUNCTION("""COMPUTED_VALUE"""),"richard.arthur@2hourlearning.com")</f>
        <v>richard.arthur@2hourlearning.com</v>
      </c>
      <c r="L4565" s="6" t="str">
        <f>IFERROR(__xludf.DUMMYFUNCTION("""COMPUTED_VALUE"""),"JHMS - Hardeeville Junior Senior High School")</f>
        <v>JHMS - Hardeeville Junior Senior High School</v>
      </c>
      <c r="M4565" s="6" t="str">
        <f>IFERROR(__xludf.DUMMYFUNCTION("""COMPUTED_VALUE"""),"")</f>
        <v/>
      </c>
      <c r="N4565" s="6" t="str">
        <f>IFERROR(__xludf.DUMMYFUNCTION("""COMPUTED_VALUE"""),"")</f>
        <v/>
      </c>
      <c r="O4565" s="87" t="str">
        <f>IFERROR(__xludf.DUMMYFUNCTION("""COMPUTED_VALUE"""),"https://drive.google.com/drive/folders/10T2cTQHqEJZqE-st6uFKPoI?usp=share_link")</f>
        <v>https://drive.google.com/drive/folders/10T2cTQHqEJZqE-st6uFKPoI?usp=share_link</v>
      </c>
      <c r="P4565" s="6" t="str">
        <f>IFERROR(__xludf.DUMMYFUNCTION("""COMPUTED_VALUE"""),"Richard Arthur")</f>
        <v>Richard Arthur</v>
      </c>
      <c r="Q4565" s="6" t="str">
        <f>IFERROR(__xludf.DUMMYFUNCTION("""COMPUTED_VALUE"""),"MS")</f>
        <v>MS</v>
      </c>
      <c r="R4565" s="6">
        <f>IFERROR(__xludf.DUMMYFUNCTION("""COMPUTED_VALUE"""),0.0)</f>
        <v>0</v>
      </c>
      <c r="S4565" s="6" t="str">
        <f>IFERROR(__xludf.DUMMYFUNCTION("""COMPUTED_VALUE"""),"Kimberly Ball")</f>
        <v>Kimberly Ball</v>
      </c>
      <c r="T4565" s="6" t="str">
        <f>IFERROR(__xludf.DUMMYFUNCTION("""COMPUTED_VALUE"""),"kimberly.ball@studient.com")</f>
        <v>kimberly.ball@studient.com</v>
      </c>
      <c r="U4565" s="6" t="str">
        <f>IFERROR(__xludf.DUMMYFUNCTION("""COMPUTED_VALUE"""),"8")</f>
        <v>8</v>
      </c>
      <c r="V4565" s="6" t="str">
        <f>IFERROR(__xludf.DUMMYFUNCTION("""COMPUTED_VALUE"""),"")</f>
        <v/>
      </c>
      <c r="W4565" s="6" t="str">
        <f>IFERROR(__xludf.DUMMYFUNCTION("""COMPUTED_VALUE"""),"[]")</f>
        <v>[]</v>
      </c>
      <c r="X4565" s="6" t="str">
        <f>IFERROR(__xludf.DUMMYFUNCTION("""COMPUTED_VALUE"""),"Enrolled")</f>
        <v>Enrolled</v>
      </c>
    </row>
    <row r="4566">
      <c r="A4566" s="6" t="str">
        <f>IFERROR(__xludf.DUMMYFUNCTION("""COMPUTED_VALUE"""),"084-12928")</f>
        <v>084-12928</v>
      </c>
      <c r="B4566" s="6" t="str">
        <f>IFERROR(__xludf.DUMMYFUNCTION("""COMPUTED_VALUE"""),"84")</f>
        <v>84</v>
      </c>
      <c r="C4566" s="6" t="str">
        <f>IFERROR(__xludf.DUMMYFUNCTION("""COMPUTED_VALUE"""),"12928")</f>
        <v>12928</v>
      </c>
      <c r="D4566" s="6" t="str">
        <f>IFERROR(__xludf.DUMMYFUNCTION("""COMPUTED_VALUE"""),"Alison")</f>
        <v>Alison</v>
      </c>
      <c r="E4566" s="6" t="str">
        <f>IFERROR(__xludf.DUMMYFUNCTION("""COMPUTED_VALUE"""),"")</f>
        <v/>
      </c>
      <c r="F4566" s="6" t="str">
        <f>IFERROR(__xludf.DUMMYFUNCTION("""COMPUTED_VALUE"""),"Avila Jimenez")</f>
        <v>Avila Jimenez</v>
      </c>
      <c r="G4566" s="6" t="str">
        <f>IFERROR(__xludf.DUMMYFUNCTION("""COMPUTED_VALUE"""),"02/23/2011")</f>
        <v>02/23/2011</v>
      </c>
      <c r="H4566" s="6" t="str">
        <f>IFERROR(__xludf.DUMMYFUNCTION("""COMPUTED_VALUE"""),"female")</f>
        <v>female</v>
      </c>
      <c r="I4566" s="6" t="str">
        <f>IFERROR(__xludf.DUMMYFUNCTION("""COMPUTED_VALUE"""),"Middle School")</f>
        <v>Middle School</v>
      </c>
      <c r="J4566" s="6" t="str">
        <f>IFERROR(__xludf.DUMMYFUNCTION("""COMPUTED_VALUE"""),"8")</f>
        <v>8</v>
      </c>
      <c r="K4566" s="6" t="str">
        <f>IFERROR(__xludf.DUMMYFUNCTION("""COMPUTED_VALUE"""),"alison.avilajimenez@2hourlearning.com")</f>
        <v>alison.avilajimenez@2hourlearning.com</v>
      </c>
      <c r="L4566" s="6" t="str">
        <f>IFERROR(__xludf.DUMMYFUNCTION("""COMPUTED_VALUE"""),"JHMS - Hardeeville Junior Senior High School")</f>
        <v>JHMS - Hardeeville Junior Senior High School</v>
      </c>
      <c r="M4566" s="6" t="str">
        <f>IFERROR(__xludf.DUMMYFUNCTION("""COMPUTED_VALUE"""),"")</f>
        <v/>
      </c>
      <c r="N4566" s="6" t="str">
        <f>IFERROR(__xludf.DUMMYFUNCTION("""COMPUTED_VALUE"""),"")</f>
        <v/>
      </c>
      <c r="O4566" s="87" t="str">
        <f>IFERROR(__xludf.DUMMYFUNCTION("""COMPUTED_VALUE"""),"https://drive.google.com/drive/folders/10T2cTQHqEJZqE-st6uFKPoI?usp=share_link")</f>
        <v>https://drive.google.com/drive/folders/10T2cTQHqEJZqE-st6uFKPoI?usp=share_link</v>
      </c>
      <c r="P4566" s="6" t="str">
        <f>IFERROR(__xludf.DUMMYFUNCTION("""COMPUTED_VALUE"""),"Alison Avila Jimenez")</f>
        <v>Alison Avila Jimenez</v>
      </c>
      <c r="Q4566" s="6" t="str">
        <f>IFERROR(__xludf.DUMMYFUNCTION("""COMPUTED_VALUE"""),"MS")</f>
        <v>MS</v>
      </c>
      <c r="R4566" s="6">
        <f>IFERROR(__xludf.DUMMYFUNCTION("""COMPUTED_VALUE"""),0.0)</f>
        <v>0</v>
      </c>
      <c r="S4566" s="6" t="str">
        <f>IFERROR(__xludf.DUMMYFUNCTION("""COMPUTED_VALUE"""),"Kimberly Ball")</f>
        <v>Kimberly Ball</v>
      </c>
      <c r="T4566" s="6" t="str">
        <f>IFERROR(__xludf.DUMMYFUNCTION("""COMPUTED_VALUE"""),"kimberly.ball@studient.com")</f>
        <v>kimberly.ball@studient.com</v>
      </c>
      <c r="U4566" s="6" t="str">
        <f>IFERROR(__xludf.DUMMYFUNCTION("""COMPUTED_VALUE"""),"8")</f>
        <v>8</v>
      </c>
      <c r="V4566" s="6" t="str">
        <f>IFERROR(__xludf.DUMMYFUNCTION("""COMPUTED_VALUE"""),"")</f>
        <v/>
      </c>
      <c r="W4566" s="6" t="str">
        <f>IFERROR(__xludf.DUMMYFUNCTION("""COMPUTED_VALUE"""),"[]")</f>
        <v>[]</v>
      </c>
      <c r="X4566" s="6" t="str">
        <f>IFERROR(__xludf.DUMMYFUNCTION("""COMPUTED_VALUE"""),"Enrolled")</f>
        <v>Enrolled</v>
      </c>
    </row>
    <row r="4567">
      <c r="A4567" s="6" t="str">
        <f>IFERROR(__xludf.DUMMYFUNCTION("""COMPUTED_VALUE"""),"084-12929")</f>
        <v>084-12929</v>
      </c>
      <c r="B4567" s="6" t="str">
        <f>IFERROR(__xludf.DUMMYFUNCTION("""COMPUTED_VALUE"""),"84")</f>
        <v>84</v>
      </c>
      <c r="C4567" s="6" t="str">
        <f>IFERROR(__xludf.DUMMYFUNCTION("""COMPUTED_VALUE"""),"12929")</f>
        <v>12929</v>
      </c>
      <c r="D4567" s="6" t="str">
        <f>IFERROR(__xludf.DUMMYFUNCTION("""COMPUTED_VALUE"""),"Zoe")</f>
        <v>Zoe</v>
      </c>
      <c r="E4567" s="6" t="str">
        <f>IFERROR(__xludf.DUMMYFUNCTION("""COMPUTED_VALUE"""),"")</f>
        <v/>
      </c>
      <c r="F4567" s="6" t="str">
        <f>IFERROR(__xludf.DUMMYFUNCTION("""COMPUTED_VALUE"""),"Ayala Serrano")</f>
        <v>Ayala Serrano</v>
      </c>
      <c r="G4567" s="6" t="str">
        <f>IFERROR(__xludf.DUMMYFUNCTION("""COMPUTED_VALUE"""),"10/18/2011")</f>
        <v>10/18/2011</v>
      </c>
      <c r="H4567" s="6" t="str">
        <f>IFERROR(__xludf.DUMMYFUNCTION("""COMPUTED_VALUE"""),"female")</f>
        <v>female</v>
      </c>
      <c r="I4567" s="6" t="str">
        <f>IFERROR(__xludf.DUMMYFUNCTION("""COMPUTED_VALUE"""),"Middle School")</f>
        <v>Middle School</v>
      </c>
      <c r="J4567" s="6" t="str">
        <f>IFERROR(__xludf.DUMMYFUNCTION("""COMPUTED_VALUE"""),"8")</f>
        <v>8</v>
      </c>
      <c r="K4567" s="6" t="str">
        <f>IFERROR(__xludf.DUMMYFUNCTION("""COMPUTED_VALUE"""),"zoe.ayalaserrano@2hourlearning.com")</f>
        <v>zoe.ayalaserrano@2hourlearning.com</v>
      </c>
      <c r="L4567" s="6" t="str">
        <f>IFERROR(__xludf.DUMMYFUNCTION("""COMPUTED_VALUE"""),"JHMS - Hardeeville Junior Senior High School")</f>
        <v>JHMS - Hardeeville Junior Senior High School</v>
      </c>
      <c r="M4567" s="6" t="str">
        <f>IFERROR(__xludf.DUMMYFUNCTION("""COMPUTED_VALUE"""),"")</f>
        <v/>
      </c>
      <c r="N4567" s="6" t="str">
        <f>IFERROR(__xludf.DUMMYFUNCTION("""COMPUTED_VALUE"""),"")</f>
        <v/>
      </c>
      <c r="O4567" s="87" t="str">
        <f>IFERROR(__xludf.DUMMYFUNCTION("""COMPUTED_VALUE"""),"https://drive.google.com/drive/folders/10T2cTQHqEJZqE-st6uFKPoI?usp=share_link")</f>
        <v>https://drive.google.com/drive/folders/10T2cTQHqEJZqE-st6uFKPoI?usp=share_link</v>
      </c>
      <c r="P4567" s="6" t="str">
        <f>IFERROR(__xludf.DUMMYFUNCTION("""COMPUTED_VALUE"""),"Zoe Ayala Serrano")</f>
        <v>Zoe Ayala Serrano</v>
      </c>
      <c r="Q4567" s="6" t="str">
        <f>IFERROR(__xludf.DUMMYFUNCTION("""COMPUTED_VALUE"""),"MS")</f>
        <v>MS</v>
      </c>
      <c r="R4567" s="6">
        <f>IFERROR(__xludf.DUMMYFUNCTION("""COMPUTED_VALUE"""),0.0)</f>
        <v>0</v>
      </c>
      <c r="S4567" s="6" t="str">
        <f>IFERROR(__xludf.DUMMYFUNCTION("""COMPUTED_VALUE"""),"Kimberly Ball")</f>
        <v>Kimberly Ball</v>
      </c>
      <c r="T4567" s="6" t="str">
        <f>IFERROR(__xludf.DUMMYFUNCTION("""COMPUTED_VALUE"""),"kimberly.ball@studient.com")</f>
        <v>kimberly.ball@studient.com</v>
      </c>
      <c r="U4567" s="6" t="str">
        <f>IFERROR(__xludf.DUMMYFUNCTION("""COMPUTED_VALUE"""),"8")</f>
        <v>8</v>
      </c>
      <c r="V4567" s="6" t="str">
        <f>IFERROR(__xludf.DUMMYFUNCTION("""COMPUTED_VALUE"""),"")</f>
        <v/>
      </c>
      <c r="W4567" s="6" t="str">
        <f>IFERROR(__xludf.DUMMYFUNCTION("""COMPUTED_VALUE"""),"[]")</f>
        <v>[]</v>
      </c>
      <c r="X4567" s="6" t="str">
        <f>IFERROR(__xludf.DUMMYFUNCTION("""COMPUTED_VALUE"""),"Enrolled")</f>
        <v>Enrolled</v>
      </c>
    </row>
    <row r="4568">
      <c r="A4568" s="6" t="str">
        <f>IFERROR(__xludf.DUMMYFUNCTION("""COMPUTED_VALUE"""),"084-12930")</f>
        <v>084-12930</v>
      </c>
      <c r="B4568" s="6" t="str">
        <f>IFERROR(__xludf.DUMMYFUNCTION("""COMPUTED_VALUE"""),"84")</f>
        <v>84</v>
      </c>
      <c r="C4568" s="6" t="str">
        <f>IFERROR(__xludf.DUMMYFUNCTION("""COMPUTED_VALUE"""),"12930")</f>
        <v>12930</v>
      </c>
      <c r="D4568" s="6" t="str">
        <f>IFERROR(__xludf.DUMMYFUNCTION("""COMPUTED_VALUE"""),"Kenya")</f>
        <v>Kenya</v>
      </c>
      <c r="E4568" s="6" t="str">
        <f>IFERROR(__xludf.DUMMYFUNCTION("""COMPUTED_VALUE"""),"")</f>
        <v/>
      </c>
      <c r="F4568" s="6" t="str">
        <f>IFERROR(__xludf.DUMMYFUNCTION("""COMPUTED_VALUE"""),"Bardales")</f>
        <v>Bardales</v>
      </c>
      <c r="G4568" s="6" t="str">
        <f>IFERROR(__xludf.DUMMYFUNCTION("""COMPUTED_VALUE"""),"02/16/2012")</f>
        <v>02/16/2012</v>
      </c>
      <c r="H4568" s="6" t="str">
        <f>IFERROR(__xludf.DUMMYFUNCTION("""COMPUTED_VALUE"""),"female")</f>
        <v>female</v>
      </c>
      <c r="I4568" s="6" t="str">
        <f>IFERROR(__xludf.DUMMYFUNCTION("""COMPUTED_VALUE"""),"Middle School")</f>
        <v>Middle School</v>
      </c>
      <c r="J4568" s="6" t="str">
        <f>IFERROR(__xludf.DUMMYFUNCTION("""COMPUTED_VALUE"""),"8")</f>
        <v>8</v>
      </c>
      <c r="K4568" s="6" t="str">
        <f>IFERROR(__xludf.DUMMYFUNCTION("""COMPUTED_VALUE"""),"kenya.bardales@2hourlearning.com")</f>
        <v>kenya.bardales@2hourlearning.com</v>
      </c>
      <c r="L4568" s="6" t="str">
        <f>IFERROR(__xludf.DUMMYFUNCTION("""COMPUTED_VALUE"""),"JHMS - Hardeeville Junior Senior High School")</f>
        <v>JHMS - Hardeeville Junior Senior High School</v>
      </c>
      <c r="M4568" s="6" t="str">
        <f>IFERROR(__xludf.DUMMYFUNCTION("""COMPUTED_VALUE"""),"")</f>
        <v/>
      </c>
      <c r="N4568" s="6" t="str">
        <f>IFERROR(__xludf.DUMMYFUNCTION("""COMPUTED_VALUE"""),"")</f>
        <v/>
      </c>
      <c r="O4568" s="87" t="str">
        <f>IFERROR(__xludf.DUMMYFUNCTION("""COMPUTED_VALUE"""),"https://drive.google.com/drive/folders/10T2cTQHqEJZqE-st6uFKPoI?usp=share_link")</f>
        <v>https://drive.google.com/drive/folders/10T2cTQHqEJZqE-st6uFKPoI?usp=share_link</v>
      </c>
      <c r="P4568" s="6" t="str">
        <f>IFERROR(__xludf.DUMMYFUNCTION("""COMPUTED_VALUE"""),"Kenya Bardales")</f>
        <v>Kenya Bardales</v>
      </c>
      <c r="Q4568" s="6" t="str">
        <f>IFERROR(__xludf.DUMMYFUNCTION("""COMPUTED_VALUE"""),"MS")</f>
        <v>MS</v>
      </c>
      <c r="R4568" s="6">
        <f>IFERROR(__xludf.DUMMYFUNCTION("""COMPUTED_VALUE"""),0.0)</f>
        <v>0</v>
      </c>
      <c r="S4568" s="6" t="str">
        <f>IFERROR(__xludf.DUMMYFUNCTION("""COMPUTED_VALUE"""),"Kimberly Ball")</f>
        <v>Kimberly Ball</v>
      </c>
      <c r="T4568" s="6" t="str">
        <f>IFERROR(__xludf.DUMMYFUNCTION("""COMPUTED_VALUE"""),"kimberly.ball@studient.com")</f>
        <v>kimberly.ball@studient.com</v>
      </c>
      <c r="U4568" s="6" t="str">
        <f>IFERROR(__xludf.DUMMYFUNCTION("""COMPUTED_VALUE"""),"8")</f>
        <v>8</v>
      </c>
      <c r="V4568" s="6" t="str">
        <f>IFERROR(__xludf.DUMMYFUNCTION("""COMPUTED_VALUE"""),"")</f>
        <v/>
      </c>
      <c r="W4568" s="6" t="str">
        <f>IFERROR(__xludf.DUMMYFUNCTION("""COMPUTED_VALUE"""),"[]")</f>
        <v>[]</v>
      </c>
      <c r="X4568" s="6" t="str">
        <f>IFERROR(__xludf.DUMMYFUNCTION("""COMPUTED_VALUE"""),"Enrolled")</f>
        <v>Enrolled</v>
      </c>
    </row>
    <row r="4569">
      <c r="A4569" s="6" t="str">
        <f>IFERROR(__xludf.DUMMYFUNCTION("""COMPUTED_VALUE"""),"084-12931")</f>
        <v>084-12931</v>
      </c>
      <c r="B4569" s="6" t="str">
        <f>IFERROR(__xludf.DUMMYFUNCTION("""COMPUTED_VALUE"""),"84")</f>
        <v>84</v>
      </c>
      <c r="C4569" s="6" t="str">
        <f>IFERROR(__xludf.DUMMYFUNCTION("""COMPUTED_VALUE"""),"12931")</f>
        <v>12931</v>
      </c>
      <c r="D4569" s="6" t="str">
        <f>IFERROR(__xludf.DUMMYFUNCTION("""COMPUTED_VALUE"""),"Valerie")</f>
        <v>Valerie</v>
      </c>
      <c r="E4569" s="6" t="str">
        <f>IFERROR(__xludf.DUMMYFUNCTION("""COMPUTED_VALUE"""),"")</f>
        <v/>
      </c>
      <c r="F4569" s="6" t="str">
        <f>IFERROR(__xludf.DUMMYFUNCTION("""COMPUTED_VALUE"""),"Briseno")</f>
        <v>Briseno</v>
      </c>
      <c r="G4569" s="6" t="str">
        <f>IFERROR(__xludf.DUMMYFUNCTION("""COMPUTED_VALUE"""),"08/10/2012")</f>
        <v>08/10/2012</v>
      </c>
      <c r="H4569" s="6" t="str">
        <f>IFERROR(__xludf.DUMMYFUNCTION("""COMPUTED_VALUE"""),"female")</f>
        <v>female</v>
      </c>
      <c r="I4569" s="6" t="str">
        <f>IFERROR(__xludf.DUMMYFUNCTION("""COMPUTED_VALUE"""),"Middle School")</f>
        <v>Middle School</v>
      </c>
      <c r="J4569" s="6" t="str">
        <f>IFERROR(__xludf.DUMMYFUNCTION("""COMPUTED_VALUE"""),"8")</f>
        <v>8</v>
      </c>
      <c r="K4569" s="6" t="str">
        <f>IFERROR(__xludf.DUMMYFUNCTION("""COMPUTED_VALUE"""),"valerie.briseno@2hourlearning.com")</f>
        <v>valerie.briseno@2hourlearning.com</v>
      </c>
      <c r="L4569" s="6" t="str">
        <f>IFERROR(__xludf.DUMMYFUNCTION("""COMPUTED_VALUE"""),"JHMS - Hardeeville Junior Senior High School")</f>
        <v>JHMS - Hardeeville Junior Senior High School</v>
      </c>
      <c r="M4569" s="6" t="str">
        <f>IFERROR(__xludf.DUMMYFUNCTION("""COMPUTED_VALUE"""),"")</f>
        <v/>
      </c>
      <c r="N4569" s="6" t="str">
        <f>IFERROR(__xludf.DUMMYFUNCTION("""COMPUTED_VALUE"""),"")</f>
        <v/>
      </c>
      <c r="O4569" s="87" t="str">
        <f>IFERROR(__xludf.DUMMYFUNCTION("""COMPUTED_VALUE"""),"https://drive.google.com/drive/folders/10T2cTQHqEJZqE-st6uFKPoI?usp=share_link")</f>
        <v>https://drive.google.com/drive/folders/10T2cTQHqEJZqE-st6uFKPoI?usp=share_link</v>
      </c>
      <c r="P4569" s="6" t="str">
        <f>IFERROR(__xludf.DUMMYFUNCTION("""COMPUTED_VALUE"""),"Valerie Briseno")</f>
        <v>Valerie Briseno</v>
      </c>
      <c r="Q4569" s="6" t="str">
        <f>IFERROR(__xludf.DUMMYFUNCTION("""COMPUTED_VALUE"""),"MS")</f>
        <v>MS</v>
      </c>
      <c r="R4569" s="6">
        <f>IFERROR(__xludf.DUMMYFUNCTION("""COMPUTED_VALUE"""),0.0)</f>
        <v>0</v>
      </c>
      <c r="S4569" s="6" t="str">
        <f>IFERROR(__xludf.DUMMYFUNCTION("""COMPUTED_VALUE"""),"Kimberly Ball")</f>
        <v>Kimberly Ball</v>
      </c>
      <c r="T4569" s="6" t="str">
        <f>IFERROR(__xludf.DUMMYFUNCTION("""COMPUTED_VALUE"""),"kimberly.ball@studient.com")</f>
        <v>kimberly.ball@studient.com</v>
      </c>
      <c r="U4569" s="6" t="str">
        <f>IFERROR(__xludf.DUMMYFUNCTION("""COMPUTED_VALUE"""),"8")</f>
        <v>8</v>
      </c>
      <c r="V4569" s="6" t="str">
        <f>IFERROR(__xludf.DUMMYFUNCTION("""COMPUTED_VALUE"""),"")</f>
        <v/>
      </c>
      <c r="W4569" s="6" t="str">
        <f>IFERROR(__xludf.DUMMYFUNCTION("""COMPUTED_VALUE"""),"[]")</f>
        <v>[]</v>
      </c>
      <c r="X4569" s="6" t="str">
        <f>IFERROR(__xludf.DUMMYFUNCTION("""COMPUTED_VALUE"""),"Enrolled")</f>
        <v>Enrolled</v>
      </c>
    </row>
    <row r="4570">
      <c r="A4570" s="6" t="str">
        <f>IFERROR(__xludf.DUMMYFUNCTION("""COMPUTED_VALUE"""),"084-12932")</f>
        <v>084-12932</v>
      </c>
      <c r="B4570" s="6" t="str">
        <f>IFERROR(__xludf.DUMMYFUNCTION("""COMPUTED_VALUE"""),"84")</f>
        <v>84</v>
      </c>
      <c r="C4570" s="6" t="str">
        <f>IFERROR(__xludf.DUMMYFUNCTION("""COMPUTED_VALUE"""),"12932")</f>
        <v>12932</v>
      </c>
      <c r="D4570" s="6" t="str">
        <f>IFERROR(__xludf.DUMMYFUNCTION("""COMPUTED_VALUE"""),"Amiah")</f>
        <v>Amiah</v>
      </c>
      <c r="E4570" s="6" t="str">
        <f>IFERROR(__xludf.DUMMYFUNCTION("""COMPUTED_VALUE"""),"")</f>
        <v/>
      </c>
      <c r="F4570" s="6" t="str">
        <f>IFERROR(__xludf.DUMMYFUNCTION("""COMPUTED_VALUE"""),"Brown")</f>
        <v>Brown</v>
      </c>
      <c r="G4570" s="6" t="str">
        <f>IFERROR(__xludf.DUMMYFUNCTION("""COMPUTED_VALUE"""),"12/09/2011")</f>
        <v>12/09/2011</v>
      </c>
      <c r="H4570" s="6" t="str">
        <f>IFERROR(__xludf.DUMMYFUNCTION("""COMPUTED_VALUE"""),"female")</f>
        <v>female</v>
      </c>
      <c r="I4570" s="6" t="str">
        <f>IFERROR(__xludf.DUMMYFUNCTION("""COMPUTED_VALUE"""),"Middle School")</f>
        <v>Middle School</v>
      </c>
      <c r="J4570" s="6" t="str">
        <f>IFERROR(__xludf.DUMMYFUNCTION("""COMPUTED_VALUE"""),"8")</f>
        <v>8</v>
      </c>
      <c r="K4570" s="6" t="str">
        <f>IFERROR(__xludf.DUMMYFUNCTION("""COMPUTED_VALUE"""),"amiah.brown@2hourlearning.com")</f>
        <v>amiah.brown@2hourlearning.com</v>
      </c>
      <c r="L4570" s="6" t="str">
        <f>IFERROR(__xludf.DUMMYFUNCTION("""COMPUTED_VALUE"""),"JHMS - Hardeeville Junior Senior High School")</f>
        <v>JHMS - Hardeeville Junior Senior High School</v>
      </c>
      <c r="M4570" s="6" t="str">
        <f>IFERROR(__xludf.DUMMYFUNCTION("""COMPUTED_VALUE"""),"")</f>
        <v/>
      </c>
      <c r="N4570" s="6" t="str">
        <f>IFERROR(__xludf.DUMMYFUNCTION("""COMPUTED_VALUE"""),"")</f>
        <v/>
      </c>
      <c r="O4570" s="87" t="str">
        <f>IFERROR(__xludf.DUMMYFUNCTION("""COMPUTED_VALUE"""),"https://drive.google.com/drive/folders/10T2cTQHqEJZqE-st6uFKPoI?usp=share_link")</f>
        <v>https://drive.google.com/drive/folders/10T2cTQHqEJZqE-st6uFKPoI?usp=share_link</v>
      </c>
      <c r="P4570" s="6" t="str">
        <f>IFERROR(__xludf.DUMMYFUNCTION("""COMPUTED_VALUE"""),"Amiah Brown")</f>
        <v>Amiah Brown</v>
      </c>
      <c r="Q4570" s="6" t="str">
        <f>IFERROR(__xludf.DUMMYFUNCTION("""COMPUTED_VALUE"""),"MS")</f>
        <v>MS</v>
      </c>
      <c r="R4570" s="6">
        <f>IFERROR(__xludf.DUMMYFUNCTION("""COMPUTED_VALUE"""),0.0)</f>
        <v>0</v>
      </c>
      <c r="S4570" s="6" t="str">
        <f>IFERROR(__xludf.DUMMYFUNCTION("""COMPUTED_VALUE"""),"Kimberly Ball")</f>
        <v>Kimberly Ball</v>
      </c>
      <c r="T4570" s="6" t="str">
        <f>IFERROR(__xludf.DUMMYFUNCTION("""COMPUTED_VALUE"""),"kimberly.ball@studient.com")</f>
        <v>kimberly.ball@studient.com</v>
      </c>
      <c r="U4570" s="6" t="str">
        <f>IFERROR(__xludf.DUMMYFUNCTION("""COMPUTED_VALUE"""),"8")</f>
        <v>8</v>
      </c>
      <c r="V4570" s="6" t="str">
        <f>IFERROR(__xludf.DUMMYFUNCTION("""COMPUTED_VALUE"""),"")</f>
        <v/>
      </c>
      <c r="W4570" s="6" t="str">
        <f>IFERROR(__xludf.DUMMYFUNCTION("""COMPUTED_VALUE"""),"[]")</f>
        <v>[]</v>
      </c>
      <c r="X4570" s="6" t="str">
        <f>IFERROR(__xludf.DUMMYFUNCTION("""COMPUTED_VALUE"""),"Enrolled")</f>
        <v>Enrolled</v>
      </c>
    </row>
    <row r="4571">
      <c r="A4571" s="6" t="str">
        <f>IFERROR(__xludf.DUMMYFUNCTION("""COMPUTED_VALUE"""),"084-12933")</f>
        <v>084-12933</v>
      </c>
      <c r="B4571" s="6" t="str">
        <f>IFERROR(__xludf.DUMMYFUNCTION("""COMPUTED_VALUE"""),"84")</f>
        <v>84</v>
      </c>
      <c r="C4571" s="6" t="str">
        <f>IFERROR(__xludf.DUMMYFUNCTION("""COMPUTED_VALUE"""),"12933")</f>
        <v>12933</v>
      </c>
      <c r="D4571" s="6" t="str">
        <f>IFERROR(__xludf.DUMMYFUNCTION("""COMPUTED_VALUE"""),"Eyoni")</f>
        <v>Eyoni</v>
      </c>
      <c r="E4571" s="6" t="str">
        <f>IFERROR(__xludf.DUMMYFUNCTION("""COMPUTED_VALUE"""),"")</f>
        <v/>
      </c>
      <c r="F4571" s="6" t="str">
        <f>IFERROR(__xludf.DUMMYFUNCTION("""COMPUTED_VALUE"""),"Brown")</f>
        <v>Brown</v>
      </c>
      <c r="G4571" s="6" t="str">
        <f>IFERROR(__xludf.DUMMYFUNCTION("""COMPUTED_VALUE"""),"01/18/2012")</f>
        <v>01/18/2012</v>
      </c>
      <c r="H4571" s="6" t="str">
        <f>IFERROR(__xludf.DUMMYFUNCTION("""COMPUTED_VALUE"""),"female")</f>
        <v>female</v>
      </c>
      <c r="I4571" s="6" t="str">
        <f>IFERROR(__xludf.DUMMYFUNCTION("""COMPUTED_VALUE"""),"Middle School")</f>
        <v>Middle School</v>
      </c>
      <c r="J4571" s="6" t="str">
        <f>IFERROR(__xludf.DUMMYFUNCTION("""COMPUTED_VALUE"""),"8")</f>
        <v>8</v>
      </c>
      <c r="K4571" s="6" t="str">
        <f>IFERROR(__xludf.DUMMYFUNCTION("""COMPUTED_VALUE"""),"eyoni.brown@2hourlearning.com")</f>
        <v>eyoni.brown@2hourlearning.com</v>
      </c>
      <c r="L4571" s="6" t="str">
        <f>IFERROR(__xludf.DUMMYFUNCTION("""COMPUTED_VALUE"""),"JHMS - Hardeeville Junior Senior High School")</f>
        <v>JHMS - Hardeeville Junior Senior High School</v>
      </c>
      <c r="M4571" s="6" t="str">
        <f>IFERROR(__xludf.DUMMYFUNCTION("""COMPUTED_VALUE"""),"")</f>
        <v/>
      </c>
      <c r="N4571" s="6" t="str">
        <f>IFERROR(__xludf.DUMMYFUNCTION("""COMPUTED_VALUE"""),"")</f>
        <v/>
      </c>
      <c r="O4571" s="87" t="str">
        <f>IFERROR(__xludf.DUMMYFUNCTION("""COMPUTED_VALUE"""),"https://drive.google.com/drive/folders/10T2cTQHqEJZqE-st6uFKPoI?usp=share_link")</f>
        <v>https://drive.google.com/drive/folders/10T2cTQHqEJZqE-st6uFKPoI?usp=share_link</v>
      </c>
      <c r="P4571" s="6" t="str">
        <f>IFERROR(__xludf.DUMMYFUNCTION("""COMPUTED_VALUE"""),"Eyoni Brown")</f>
        <v>Eyoni Brown</v>
      </c>
      <c r="Q4571" s="6" t="str">
        <f>IFERROR(__xludf.DUMMYFUNCTION("""COMPUTED_VALUE"""),"MS")</f>
        <v>MS</v>
      </c>
      <c r="R4571" s="6">
        <f>IFERROR(__xludf.DUMMYFUNCTION("""COMPUTED_VALUE"""),0.0)</f>
        <v>0</v>
      </c>
      <c r="S4571" s="6" t="str">
        <f>IFERROR(__xludf.DUMMYFUNCTION("""COMPUTED_VALUE"""),"Kimberly Ball")</f>
        <v>Kimberly Ball</v>
      </c>
      <c r="T4571" s="6" t="str">
        <f>IFERROR(__xludf.DUMMYFUNCTION("""COMPUTED_VALUE"""),"kimberly.ball@studient.com")</f>
        <v>kimberly.ball@studient.com</v>
      </c>
      <c r="U4571" s="6" t="str">
        <f>IFERROR(__xludf.DUMMYFUNCTION("""COMPUTED_VALUE"""),"8")</f>
        <v>8</v>
      </c>
      <c r="V4571" s="6" t="str">
        <f>IFERROR(__xludf.DUMMYFUNCTION("""COMPUTED_VALUE"""),"")</f>
        <v/>
      </c>
      <c r="W4571" s="6" t="str">
        <f>IFERROR(__xludf.DUMMYFUNCTION("""COMPUTED_VALUE"""),"[]")</f>
        <v>[]</v>
      </c>
      <c r="X4571" s="6" t="str">
        <f>IFERROR(__xludf.DUMMYFUNCTION("""COMPUTED_VALUE"""),"Enrolled")</f>
        <v>Enrolled</v>
      </c>
    </row>
    <row r="4572">
      <c r="A4572" s="6" t="str">
        <f>IFERROR(__xludf.DUMMYFUNCTION("""COMPUTED_VALUE"""),"084-12934")</f>
        <v>084-12934</v>
      </c>
      <c r="B4572" s="6" t="str">
        <f>IFERROR(__xludf.DUMMYFUNCTION("""COMPUTED_VALUE"""),"84")</f>
        <v>84</v>
      </c>
      <c r="C4572" s="6" t="str">
        <f>IFERROR(__xludf.DUMMYFUNCTION("""COMPUTED_VALUE"""),"12934")</f>
        <v>12934</v>
      </c>
      <c r="D4572" s="6" t="str">
        <f>IFERROR(__xludf.DUMMYFUNCTION("""COMPUTED_VALUE"""),"Taylor")</f>
        <v>Taylor</v>
      </c>
      <c r="E4572" s="6" t="str">
        <f>IFERROR(__xludf.DUMMYFUNCTION("""COMPUTED_VALUE"""),"")</f>
        <v/>
      </c>
      <c r="F4572" s="6" t="str">
        <f>IFERROR(__xludf.DUMMYFUNCTION("""COMPUTED_VALUE"""),"Bryan")</f>
        <v>Bryan</v>
      </c>
      <c r="G4572" s="6" t="str">
        <f>IFERROR(__xludf.DUMMYFUNCTION("""COMPUTED_VALUE"""),"08/08/2012")</f>
        <v>08/08/2012</v>
      </c>
      <c r="H4572" s="6" t="str">
        <f>IFERROR(__xludf.DUMMYFUNCTION("""COMPUTED_VALUE"""),"male")</f>
        <v>male</v>
      </c>
      <c r="I4572" s="6" t="str">
        <f>IFERROR(__xludf.DUMMYFUNCTION("""COMPUTED_VALUE"""),"Middle School")</f>
        <v>Middle School</v>
      </c>
      <c r="J4572" s="6" t="str">
        <f>IFERROR(__xludf.DUMMYFUNCTION("""COMPUTED_VALUE"""),"8")</f>
        <v>8</v>
      </c>
      <c r="K4572" s="6" t="str">
        <f>IFERROR(__xludf.DUMMYFUNCTION("""COMPUTED_VALUE"""),"taylor.bryan@2hourlearning.com")</f>
        <v>taylor.bryan@2hourlearning.com</v>
      </c>
      <c r="L4572" s="6" t="str">
        <f>IFERROR(__xludf.DUMMYFUNCTION("""COMPUTED_VALUE"""),"JHMS - Hardeeville Junior Senior High School")</f>
        <v>JHMS - Hardeeville Junior Senior High School</v>
      </c>
      <c r="M4572" s="6" t="str">
        <f>IFERROR(__xludf.DUMMYFUNCTION("""COMPUTED_VALUE"""),"")</f>
        <v/>
      </c>
      <c r="N4572" s="6" t="str">
        <f>IFERROR(__xludf.DUMMYFUNCTION("""COMPUTED_VALUE"""),"")</f>
        <v/>
      </c>
      <c r="O4572" s="87" t="str">
        <f>IFERROR(__xludf.DUMMYFUNCTION("""COMPUTED_VALUE"""),"https://drive.google.com/drive/folders/10T2cTQHqEJZqE-st6uFKPoI?usp=share_link")</f>
        <v>https://drive.google.com/drive/folders/10T2cTQHqEJZqE-st6uFKPoI?usp=share_link</v>
      </c>
      <c r="P4572" s="6" t="str">
        <f>IFERROR(__xludf.DUMMYFUNCTION("""COMPUTED_VALUE"""),"Taylor Bryan")</f>
        <v>Taylor Bryan</v>
      </c>
      <c r="Q4572" s="6" t="str">
        <f>IFERROR(__xludf.DUMMYFUNCTION("""COMPUTED_VALUE"""),"MS")</f>
        <v>MS</v>
      </c>
      <c r="R4572" s="6">
        <f>IFERROR(__xludf.DUMMYFUNCTION("""COMPUTED_VALUE"""),0.0)</f>
        <v>0</v>
      </c>
      <c r="S4572" s="6" t="str">
        <f>IFERROR(__xludf.DUMMYFUNCTION("""COMPUTED_VALUE"""),"Kimberly Ball")</f>
        <v>Kimberly Ball</v>
      </c>
      <c r="T4572" s="6" t="str">
        <f>IFERROR(__xludf.DUMMYFUNCTION("""COMPUTED_VALUE"""),"kimberly.ball@studient.com")</f>
        <v>kimberly.ball@studient.com</v>
      </c>
      <c r="U4572" s="6" t="str">
        <f>IFERROR(__xludf.DUMMYFUNCTION("""COMPUTED_VALUE"""),"8")</f>
        <v>8</v>
      </c>
      <c r="V4572" s="6" t="str">
        <f>IFERROR(__xludf.DUMMYFUNCTION("""COMPUTED_VALUE"""),"")</f>
        <v/>
      </c>
      <c r="W4572" s="6" t="str">
        <f>IFERROR(__xludf.DUMMYFUNCTION("""COMPUTED_VALUE"""),"[]")</f>
        <v>[]</v>
      </c>
      <c r="X4572" s="6" t="str">
        <f>IFERROR(__xludf.DUMMYFUNCTION("""COMPUTED_VALUE"""),"Enrolled")</f>
        <v>Enrolled</v>
      </c>
    </row>
    <row r="4573">
      <c r="A4573" s="6" t="str">
        <f>IFERROR(__xludf.DUMMYFUNCTION("""COMPUTED_VALUE"""),"084-12935")</f>
        <v>084-12935</v>
      </c>
      <c r="B4573" s="6" t="str">
        <f>IFERROR(__xludf.DUMMYFUNCTION("""COMPUTED_VALUE"""),"84")</f>
        <v>84</v>
      </c>
      <c r="C4573" s="6" t="str">
        <f>IFERROR(__xludf.DUMMYFUNCTION("""COMPUTED_VALUE"""),"12935")</f>
        <v>12935</v>
      </c>
      <c r="D4573" s="6" t="str">
        <f>IFERROR(__xludf.DUMMYFUNCTION("""COMPUTED_VALUE"""),"David")</f>
        <v>David</v>
      </c>
      <c r="E4573" s="6" t="str">
        <f>IFERROR(__xludf.DUMMYFUNCTION("""COMPUTED_VALUE"""),"")</f>
        <v/>
      </c>
      <c r="F4573" s="6" t="str">
        <f>IFERROR(__xludf.DUMMYFUNCTION("""COMPUTED_VALUE"""),"Burke")</f>
        <v>Burke</v>
      </c>
      <c r="G4573" s="6" t="str">
        <f>IFERROR(__xludf.DUMMYFUNCTION("""COMPUTED_VALUE"""),"06/27/2012")</f>
        <v>06/27/2012</v>
      </c>
      <c r="H4573" s="6" t="str">
        <f>IFERROR(__xludf.DUMMYFUNCTION("""COMPUTED_VALUE"""),"male")</f>
        <v>male</v>
      </c>
      <c r="I4573" s="6" t="str">
        <f>IFERROR(__xludf.DUMMYFUNCTION("""COMPUTED_VALUE"""),"Middle School")</f>
        <v>Middle School</v>
      </c>
      <c r="J4573" s="6" t="str">
        <f>IFERROR(__xludf.DUMMYFUNCTION("""COMPUTED_VALUE"""),"8")</f>
        <v>8</v>
      </c>
      <c r="K4573" s="6" t="str">
        <f>IFERROR(__xludf.DUMMYFUNCTION("""COMPUTED_VALUE"""),"david.burke@2hourlearning.com")</f>
        <v>david.burke@2hourlearning.com</v>
      </c>
      <c r="L4573" s="6" t="str">
        <f>IFERROR(__xludf.DUMMYFUNCTION("""COMPUTED_VALUE"""),"JHMS - Hardeeville Junior Senior High School")</f>
        <v>JHMS - Hardeeville Junior Senior High School</v>
      </c>
      <c r="M4573" s="6" t="str">
        <f>IFERROR(__xludf.DUMMYFUNCTION("""COMPUTED_VALUE"""),"")</f>
        <v/>
      </c>
      <c r="N4573" s="6" t="str">
        <f>IFERROR(__xludf.DUMMYFUNCTION("""COMPUTED_VALUE"""),"")</f>
        <v/>
      </c>
      <c r="O4573" s="87" t="str">
        <f>IFERROR(__xludf.DUMMYFUNCTION("""COMPUTED_VALUE"""),"https://drive.google.com/drive/folders/10T2cTQHqEJZqE-st6uFKPoI?usp=share_link")</f>
        <v>https://drive.google.com/drive/folders/10T2cTQHqEJZqE-st6uFKPoI?usp=share_link</v>
      </c>
      <c r="P4573" s="6" t="str">
        <f>IFERROR(__xludf.DUMMYFUNCTION("""COMPUTED_VALUE"""),"David Burke")</f>
        <v>David Burke</v>
      </c>
      <c r="Q4573" s="6" t="str">
        <f>IFERROR(__xludf.DUMMYFUNCTION("""COMPUTED_VALUE"""),"MS")</f>
        <v>MS</v>
      </c>
      <c r="R4573" s="6">
        <f>IFERROR(__xludf.DUMMYFUNCTION("""COMPUTED_VALUE"""),0.0)</f>
        <v>0</v>
      </c>
      <c r="S4573" s="6" t="str">
        <f>IFERROR(__xludf.DUMMYFUNCTION("""COMPUTED_VALUE"""),"Kimberly Ball")</f>
        <v>Kimberly Ball</v>
      </c>
      <c r="T4573" s="6" t="str">
        <f>IFERROR(__xludf.DUMMYFUNCTION("""COMPUTED_VALUE"""),"kimberly.ball@studient.com")</f>
        <v>kimberly.ball@studient.com</v>
      </c>
      <c r="U4573" s="6" t="str">
        <f>IFERROR(__xludf.DUMMYFUNCTION("""COMPUTED_VALUE"""),"8")</f>
        <v>8</v>
      </c>
      <c r="V4573" s="6" t="str">
        <f>IFERROR(__xludf.DUMMYFUNCTION("""COMPUTED_VALUE"""),"")</f>
        <v/>
      </c>
      <c r="W4573" s="6" t="str">
        <f>IFERROR(__xludf.DUMMYFUNCTION("""COMPUTED_VALUE"""),"[]")</f>
        <v>[]</v>
      </c>
      <c r="X4573" s="6" t="str">
        <f>IFERROR(__xludf.DUMMYFUNCTION("""COMPUTED_VALUE"""),"Enrolled")</f>
        <v>Enrolled</v>
      </c>
    </row>
    <row r="4574">
      <c r="A4574" s="6" t="str">
        <f>IFERROR(__xludf.DUMMYFUNCTION("""COMPUTED_VALUE"""),"084-12936")</f>
        <v>084-12936</v>
      </c>
      <c r="B4574" s="6" t="str">
        <f>IFERROR(__xludf.DUMMYFUNCTION("""COMPUTED_VALUE"""),"84")</f>
        <v>84</v>
      </c>
      <c r="C4574" s="6" t="str">
        <f>IFERROR(__xludf.DUMMYFUNCTION("""COMPUTED_VALUE"""),"12936")</f>
        <v>12936</v>
      </c>
      <c r="D4574" s="6" t="str">
        <f>IFERROR(__xludf.DUMMYFUNCTION("""COMPUTED_VALUE"""),"Alexis")</f>
        <v>Alexis</v>
      </c>
      <c r="E4574" s="6" t="str">
        <f>IFERROR(__xludf.DUMMYFUNCTION("""COMPUTED_VALUE"""),"")</f>
        <v/>
      </c>
      <c r="F4574" s="6" t="str">
        <f>IFERROR(__xludf.DUMMYFUNCTION("""COMPUTED_VALUE"""),"Celestino Orozco")</f>
        <v>Celestino Orozco</v>
      </c>
      <c r="G4574" s="6" t="str">
        <f>IFERROR(__xludf.DUMMYFUNCTION("""COMPUTED_VALUE"""),"09/19/2011")</f>
        <v>09/19/2011</v>
      </c>
      <c r="H4574" s="6" t="str">
        <f>IFERROR(__xludf.DUMMYFUNCTION("""COMPUTED_VALUE"""),"female")</f>
        <v>female</v>
      </c>
      <c r="I4574" s="6" t="str">
        <f>IFERROR(__xludf.DUMMYFUNCTION("""COMPUTED_VALUE"""),"Middle School")</f>
        <v>Middle School</v>
      </c>
      <c r="J4574" s="6" t="str">
        <f>IFERROR(__xludf.DUMMYFUNCTION("""COMPUTED_VALUE"""),"8")</f>
        <v>8</v>
      </c>
      <c r="K4574" s="6" t="str">
        <f>IFERROR(__xludf.DUMMYFUNCTION("""COMPUTED_VALUE"""),"alexis.celestinoorozco@2hourlearning.com")</f>
        <v>alexis.celestinoorozco@2hourlearning.com</v>
      </c>
      <c r="L4574" s="6" t="str">
        <f>IFERROR(__xludf.DUMMYFUNCTION("""COMPUTED_VALUE"""),"JHMS - Hardeeville Junior Senior High School")</f>
        <v>JHMS - Hardeeville Junior Senior High School</v>
      </c>
      <c r="M4574" s="6" t="str">
        <f>IFERROR(__xludf.DUMMYFUNCTION("""COMPUTED_VALUE"""),"")</f>
        <v/>
      </c>
      <c r="N4574" s="6" t="str">
        <f>IFERROR(__xludf.DUMMYFUNCTION("""COMPUTED_VALUE"""),"")</f>
        <v/>
      </c>
      <c r="O4574" s="87" t="str">
        <f>IFERROR(__xludf.DUMMYFUNCTION("""COMPUTED_VALUE"""),"https://drive.google.com/drive/folders/10T2cTQHqEJZqE-st6uFKPoI?usp=share_link")</f>
        <v>https://drive.google.com/drive/folders/10T2cTQHqEJZqE-st6uFKPoI?usp=share_link</v>
      </c>
      <c r="P4574" s="6" t="str">
        <f>IFERROR(__xludf.DUMMYFUNCTION("""COMPUTED_VALUE"""),"Alexis Celestino Orozco")</f>
        <v>Alexis Celestino Orozco</v>
      </c>
      <c r="Q4574" s="6" t="str">
        <f>IFERROR(__xludf.DUMMYFUNCTION("""COMPUTED_VALUE"""),"MS")</f>
        <v>MS</v>
      </c>
      <c r="R4574" s="6">
        <f>IFERROR(__xludf.DUMMYFUNCTION("""COMPUTED_VALUE"""),0.0)</f>
        <v>0</v>
      </c>
      <c r="S4574" s="6" t="str">
        <f>IFERROR(__xludf.DUMMYFUNCTION("""COMPUTED_VALUE"""),"Kimberly Ball")</f>
        <v>Kimberly Ball</v>
      </c>
      <c r="T4574" s="6" t="str">
        <f>IFERROR(__xludf.DUMMYFUNCTION("""COMPUTED_VALUE"""),"kimberly.ball@studient.com")</f>
        <v>kimberly.ball@studient.com</v>
      </c>
      <c r="U4574" s="6" t="str">
        <f>IFERROR(__xludf.DUMMYFUNCTION("""COMPUTED_VALUE"""),"8")</f>
        <v>8</v>
      </c>
      <c r="V4574" s="6" t="str">
        <f>IFERROR(__xludf.DUMMYFUNCTION("""COMPUTED_VALUE"""),"")</f>
        <v/>
      </c>
      <c r="W4574" s="6" t="str">
        <f>IFERROR(__xludf.DUMMYFUNCTION("""COMPUTED_VALUE"""),"[]")</f>
        <v>[]</v>
      </c>
      <c r="X4574" s="6" t="str">
        <f>IFERROR(__xludf.DUMMYFUNCTION("""COMPUTED_VALUE"""),"Enrolled")</f>
        <v>Enrolled</v>
      </c>
    </row>
    <row r="4575">
      <c r="A4575" s="6" t="str">
        <f>IFERROR(__xludf.DUMMYFUNCTION("""COMPUTED_VALUE"""),"084-12937")</f>
        <v>084-12937</v>
      </c>
      <c r="B4575" s="6" t="str">
        <f>IFERROR(__xludf.DUMMYFUNCTION("""COMPUTED_VALUE"""),"84")</f>
        <v>84</v>
      </c>
      <c r="C4575" s="6" t="str">
        <f>IFERROR(__xludf.DUMMYFUNCTION("""COMPUTED_VALUE"""),"12937")</f>
        <v>12937</v>
      </c>
      <c r="D4575" s="6" t="str">
        <f>IFERROR(__xludf.DUMMYFUNCTION("""COMPUTED_VALUE"""),"Darey")</f>
        <v>Darey</v>
      </c>
      <c r="E4575" s="6" t="str">
        <f>IFERROR(__xludf.DUMMYFUNCTION("""COMPUTED_VALUE"""),"")</f>
        <v/>
      </c>
      <c r="F4575" s="6" t="str">
        <f>IFERROR(__xludf.DUMMYFUNCTION("""COMPUTED_VALUE"""),"Chalmers Gomez")</f>
        <v>Chalmers Gomez</v>
      </c>
      <c r="G4575" s="6" t="str">
        <f>IFERROR(__xludf.DUMMYFUNCTION("""COMPUTED_VALUE"""),"10/19/2011")</f>
        <v>10/19/2011</v>
      </c>
      <c r="H4575" s="6" t="str">
        <f>IFERROR(__xludf.DUMMYFUNCTION("""COMPUTED_VALUE"""),"male")</f>
        <v>male</v>
      </c>
      <c r="I4575" s="6" t="str">
        <f>IFERROR(__xludf.DUMMYFUNCTION("""COMPUTED_VALUE"""),"Middle School")</f>
        <v>Middle School</v>
      </c>
      <c r="J4575" s="6" t="str">
        <f>IFERROR(__xludf.DUMMYFUNCTION("""COMPUTED_VALUE"""),"8")</f>
        <v>8</v>
      </c>
      <c r="K4575" s="6" t="str">
        <f>IFERROR(__xludf.DUMMYFUNCTION("""COMPUTED_VALUE"""),"darey.chalmersgomez@2hourlearning.com")</f>
        <v>darey.chalmersgomez@2hourlearning.com</v>
      </c>
      <c r="L4575" s="6" t="str">
        <f>IFERROR(__xludf.DUMMYFUNCTION("""COMPUTED_VALUE"""),"JHMS - Hardeeville Junior Senior High School")</f>
        <v>JHMS - Hardeeville Junior Senior High School</v>
      </c>
      <c r="M4575" s="6" t="str">
        <f>IFERROR(__xludf.DUMMYFUNCTION("""COMPUTED_VALUE"""),"")</f>
        <v/>
      </c>
      <c r="N4575" s="6" t="str">
        <f>IFERROR(__xludf.DUMMYFUNCTION("""COMPUTED_VALUE"""),"")</f>
        <v/>
      </c>
      <c r="O4575" s="87" t="str">
        <f>IFERROR(__xludf.DUMMYFUNCTION("""COMPUTED_VALUE"""),"https://drive.google.com/drive/folders/10T2cTQHqEJZqE-st6uFKPoI?usp=share_link")</f>
        <v>https://drive.google.com/drive/folders/10T2cTQHqEJZqE-st6uFKPoI?usp=share_link</v>
      </c>
      <c r="P4575" s="6" t="str">
        <f>IFERROR(__xludf.DUMMYFUNCTION("""COMPUTED_VALUE"""),"Darey Chalmers Gomez")</f>
        <v>Darey Chalmers Gomez</v>
      </c>
      <c r="Q4575" s="6" t="str">
        <f>IFERROR(__xludf.DUMMYFUNCTION("""COMPUTED_VALUE"""),"MS")</f>
        <v>MS</v>
      </c>
      <c r="R4575" s="6">
        <f>IFERROR(__xludf.DUMMYFUNCTION("""COMPUTED_VALUE"""),0.0)</f>
        <v>0</v>
      </c>
      <c r="S4575" s="6" t="str">
        <f>IFERROR(__xludf.DUMMYFUNCTION("""COMPUTED_VALUE"""),"Kimberly Ball")</f>
        <v>Kimberly Ball</v>
      </c>
      <c r="T4575" s="6" t="str">
        <f>IFERROR(__xludf.DUMMYFUNCTION("""COMPUTED_VALUE"""),"kimberly.ball@studient.com")</f>
        <v>kimberly.ball@studient.com</v>
      </c>
      <c r="U4575" s="6" t="str">
        <f>IFERROR(__xludf.DUMMYFUNCTION("""COMPUTED_VALUE"""),"8")</f>
        <v>8</v>
      </c>
      <c r="V4575" s="6" t="str">
        <f>IFERROR(__xludf.DUMMYFUNCTION("""COMPUTED_VALUE"""),"")</f>
        <v/>
      </c>
      <c r="W4575" s="6" t="str">
        <f>IFERROR(__xludf.DUMMYFUNCTION("""COMPUTED_VALUE"""),"[]")</f>
        <v>[]</v>
      </c>
      <c r="X4575" s="6" t="str">
        <f>IFERROR(__xludf.DUMMYFUNCTION("""COMPUTED_VALUE"""),"Enrolled")</f>
        <v>Enrolled</v>
      </c>
    </row>
    <row r="4576">
      <c r="A4576" s="6" t="str">
        <f>IFERROR(__xludf.DUMMYFUNCTION("""COMPUTED_VALUE"""),"084-12938")</f>
        <v>084-12938</v>
      </c>
      <c r="B4576" s="6" t="str">
        <f>IFERROR(__xludf.DUMMYFUNCTION("""COMPUTED_VALUE"""),"84")</f>
        <v>84</v>
      </c>
      <c r="C4576" s="6" t="str">
        <f>IFERROR(__xludf.DUMMYFUNCTION("""COMPUTED_VALUE"""),"12938")</f>
        <v>12938</v>
      </c>
      <c r="D4576" s="6" t="str">
        <f>IFERROR(__xludf.DUMMYFUNCTION("""COMPUTED_VALUE"""),"Jose")</f>
        <v>Jose</v>
      </c>
      <c r="E4576" s="6" t="str">
        <f>IFERROR(__xludf.DUMMYFUNCTION("""COMPUTED_VALUE"""),"")</f>
        <v/>
      </c>
      <c r="F4576" s="6" t="str">
        <f>IFERROR(__xludf.DUMMYFUNCTION("""COMPUTED_VALUE"""),"Chaves Garcia")</f>
        <v>Chaves Garcia</v>
      </c>
      <c r="G4576" s="6" t="str">
        <f>IFERROR(__xludf.DUMMYFUNCTION("""COMPUTED_VALUE"""),"07/23/2012")</f>
        <v>07/23/2012</v>
      </c>
      <c r="H4576" s="6" t="str">
        <f>IFERROR(__xludf.DUMMYFUNCTION("""COMPUTED_VALUE"""),"female")</f>
        <v>female</v>
      </c>
      <c r="I4576" s="6" t="str">
        <f>IFERROR(__xludf.DUMMYFUNCTION("""COMPUTED_VALUE"""),"Middle School")</f>
        <v>Middle School</v>
      </c>
      <c r="J4576" s="6" t="str">
        <f>IFERROR(__xludf.DUMMYFUNCTION("""COMPUTED_VALUE"""),"8")</f>
        <v>8</v>
      </c>
      <c r="K4576" s="6" t="str">
        <f>IFERROR(__xludf.DUMMYFUNCTION("""COMPUTED_VALUE"""),"jose.chavesgarcia@2hourlearning.com")</f>
        <v>jose.chavesgarcia@2hourlearning.com</v>
      </c>
      <c r="L4576" s="6" t="str">
        <f>IFERROR(__xludf.DUMMYFUNCTION("""COMPUTED_VALUE"""),"JHMS - Hardeeville Junior Senior High School")</f>
        <v>JHMS - Hardeeville Junior Senior High School</v>
      </c>
      <c r="M4576" s="6" t="str">
        <f>IFERROR(__xludf.DUMMYFUNCTION("""COMPUTED_VALUE"""),"")</f>
        <v/>
      </c>
      <c r="N4576" s="6" t="str">
        <f>IFERROR(__xludf.DUMMYFUNCTION("""COMPUTED_VALUE"""),"")</f>
        <v/>
      </c>
      <c r="O4576" s="87" t="str">
        <f>IFERROR(__xludf.DUMMYFUNCTION("""COMPUTED_VALUE"""),"https://drive.google.com/drive/folders/10T2cTQHqEJZqE-st6uFKPoI?usp=share_link")</f>
        <v>https://drive.google.com/drive/folders/10T2cTQHqEJZqE-st6uFKPoI?usp=share_link</v>
      </c>
      <c r="P4576" s="6" t="str">
        <f>IFERROR(__xludf.DUMMYFUNCTION("""COMPUTED_VALUE"""),"Jose Chaves Garcia")</f>
        <v>Jose Chaves Garcia</v>
      </c>
      <c r="Q4576" s="6" t="str">
        <f>IFERROR(__xludf.DUMMYFUNCTION("""COMPUTED_VALUE"""),"MS")</f>
        <v>MS</v>
      </c>
      <c r="R4576" s="6">
        <f>IFERROR(__xludf.DUMMYFUNCTION("""COMPUTED_VALUE"""),0.0)</f>
        <v>0</v>
      </c>
      <c r="S4576" s="6" t="str">
        <f>IFERROR(__xludf.DUMMYFUNCTION("""COMPUTED_VALUE"""),"Kimberly Ball")</f>
        <v>Kimberly Ball</v>
      </c>
      <c r="T4576" s="6" t="str">
        <f>IFERROR(__xludf.DUMMYFUNCTION("""COMPUTED_VALUE"""),"kimberly.ball@studient.com")</f>
        <v>kimberly.ball@studient.com</v>
      </c>
      <c r="U4576" s="6" t="str">
        <f>IFERROR(__xludf.DUMMYFUNCTION("""COMPUTED_VALUE"""),"8")</f>
        <v>8</v>
      </c>
      <c r="V4576" s="6" t="str">
        <f>IFERROR(__xludf.DUMMYFUNCTION("""COMPUTED_VALUE"""),"")</f>
        <v/>
      </c>
      <c r="W4576" s="6" t="str">
        <f>IFERROR(__xludf.DUMMYFUNCTION("""COMPUTED_VALUE"""),"[]")</f>
        <v>[]</v>
      </c>
      <c r="X4576" s="6" t="str">
        <f>IFERROR(__xludf.DUMMYFUNCTION("""COMPUTED_VALUE"""),"Enrolled")</f>
        <v>Enrolled</v>
      </c>
    </row>
    <row r="4577">
      <c r="A4577" s="6" t="str">
        <f>IFERROR(__xludf.DUMMYFUNCTION("""COMPUTED_VALUE"""),"084-12939")</f>
        <v>084-12939</v>
      </c>
      <c r="B4577" s="6" t="str">
        <f>IFERROR(__xludf.DUMMYFUNCTION("""COMPUTED_VALUE"""),"84")</f>
        <v>84</v>
      </c>
      <c r="C4577" s="6" t="str">
        <f>IFERROR(__xludf.DUMMYFUNCTION("""COMPUTED_VALUE"""),"12939")</f>
        <v>12939</v>
      </c>
      <c r="D4577" s="6" t="str">
        <f>IFERROR(__xludf.DUMMYFUNCTION("""COMPUTED_VALUE"""),"Franklin")</f>
        <v>Franklin</v>
      </c>
      <c r="E4577" s="6" t="str">
        <f>IFERROR(__xludf.DUMMYFUNCTION("""COMPUTED_VALUE"""),"")</f>
        <v/>
      </c>
      <c r="F4577" s="6" t="str">
        <f>IFERROR(__xludf.DUMMYFUNCTION("""COMPUTED_VALUE"""),"Co Chial")</f>
        <v>Co Chial</v>
      </c>
      <c r="G4577" s="6" t="str">
        <f>IFERROR(__xludf.DUMMYFUNCTION("""COMPUTED_VALUE"""),"01/07/2012")</f>
        <v>01/07/2012</v>
      </c>
      <c r="H4577" s="6" t="str">
        <f>IFERROR(__xludf.DUMMYFUNCTION("""COMPUTED_VALUE"""),"female")</f>
        <v>female</v>
      </c>
      <c r="I4577" s="6" t="str">
        <f>IFERROR(__xludf.DUMMYFUNCTION("""COMPUTED_VALUE"""),"Middle School")</f>
        <v>Middle School</v>
      </c>
      <c r="J4577" s="6" t="str">
        <f>IFERROR(__xludf.DUMMYFUNCTION("""COMPUTED_VALUE"""),"8")</f>
        <v>8</v>
      </c>
      <c r="K4577" s="6" t="str">
        <f>IFERROR(__xludf.DUMMYFUNCTION("""COMPUTED_VALUE"""),"franklin.cochial@2hourlearning.com")</f>
        <v>franklin.cochial@2hourlearning.com</v>
      </c>
      <c r="L4577" s="6" t="str">
        <f>IFERROR(__xludf.DUMMYFUNCTION("""COMPUTED_VALUE"""),"JHMS - Hardeeville Junior Senior High School")</f>
        <v>JHMS - Hardeeville Junior Senior High School</v>
      </c>
      <c r="M4577" s="6" t="str">
        <f>IFERROR(__xludf.DUMMYFUNCTION("""COMPUTED_VALUE"""),"")</f>
        <v/>
      </c>
      <c r="N4577" s="6" t="str">
        <f>IFERROR(__xludf.DUMMYFUNCTION("""COMPUTED_VALUE"""),"")</f>
        <v/>
      </c>
      <c r="O4577" s="87" t="str">
        <f>IFERROR(__xludf.DUMMYFUNCTION("""COMPUTED_VALUE"""),"https://drive.google.com/drive/folders/10T2cTQHqEJZqE-st6uFKPoI?usp=share_link")</f>
        <v>https://drive.google.com/drive/folders/10T2cTQHqEJZqE-st6uFKPoI?usp=share_link</v>
      </c>
      <c r="P4577" s="6" t="str">
        <f>IFERROR(__xludf.DUMMYFUNCTION("""COMPUTED_VALUE"""),"Franklin Co Chial")</f>
        <v>Franklin Co Chial</v>
      </c>
      <c r="Q4577" s="6" t="str">
        <f>IFERROR(__xludf.DUMMYFUNCTION("""COMPUTED_VALUE"""),"MS")</f>
        <v>MS</v>
      </c>
      <c r="R4577" s="6">
        <f>IFERROR(__xludf.DUMMYFUNCTION("""COMPUTED_VALUE"""),0.0)</f>
        <v>0</v>
      </c>
      <c r="S4577" s="6" t="str">
        <f>IFERROR(__xludf.DUMMYFUNCTION("""COMPUTED_VALUE"""),"Kimberly Ball")</f>
        <v>Kimberly Ball</v>
      </c>
      <c r="T4577" s="6" t="str">
        <f>IFERROR(__xludf.DUMMYFUNCTION("""COMPUTED_VALUE"""),"kimberly.ball@studient.com")</f>
        <v>kimberly.ball@studient.com</v>
      </c>
      <c r="U4577" s="6" t="str">
        <f>IFERROR(__xludf.DUMMYFUNCTION("""COMPUTED_VALUE"""),"8")</f>
        <v>8</v>
      </c>
      <c r="V4577" s="6" t="str">
        <f>IFERROR(__xludf.DUMMYFUNCTION("""COMPUTED_VALUE"""),"")</f>
        <v/>
      </c>
      <c r="W4577" s="6" t="str">
        <f>IFERROR(__xludf.DUMMYFUNCTION("""COMPUTED_VALUE"""),"[]")</f>
        <v>[]</v>
      </c>
      <c r="X4577" s="6" t="str">
        <f>IFERROR(__xludf.DUMMYFUNCTION("""COMPUTED_VALUE"""),"Enrolled")</f>
        <v>Enrolled</v>
      </c>
    </row>
    <row r="4578">
      <c r="A4578" s="6" t="str">
        <f>IFERROR(__xludf.DUMMYFUNCTION("""COMPUTED_VALUE"""),"084-12940")</f>
        <v>084-12940</v>
      </c>
      <c r="B4578" s="6" t="str">
        <f>IFERROR(__xludf.DUMMYFUNCTION("""COMPUTED_VALUE"""),"84")</f>
        <v>84</v>
      </c>
      <c r="C4578" s="6" t="str">
        <f>IFERROR(__xludf.DUMMYFUNCTION("""COMPUTED_VALUE"""),"12940")</f>
        <v>12940</v>
      </c>
      <c r="D4578" s="6" t="str">
        <f>IFERROR(__xludf.DUMMYFUNCTION("""COMPUTED_VALUE"""),"Estevan")</f>
        <v>Estevan</v>
      </c>
      <c r="E4578" s="6" t="str">
        <f>IFERROR(__xludf.DUMMYFUNCTION("""COMPUTED_VALUE"""),"")</f>
        <v/>
      </c>
      <c r="F4578" s="6" t="str">
        <f>IFERROR(__xludf.DUMMYFUNCTION("""COMPUTED_VALUE"""),"Cortez")</f>
        <v>Cortez</v>
      </c>
      <c r="G4578" s="6" t="str">
        <f>IFERROR(__xludf.DUMMYFUNCTION("""COMPUTED_VALUE"""),"05/17/2012")</f>
        <v>05/17/2012</v>
      </c>
      <c r="H4578" s="6" t="str">
        <f>IFERROR(__xludf.DUMMYFUNCTION("""COMPUTED_VALUE"""),"male")</f>
        <v>male</v>
      </c>
      <c r="I4578" s="6" t="str">
        <f>IFERROR(__xludf.DUMMYFUNCTION("""COMPUTED_VALUE"""),"Middle School")</f>
        <v>Middle School</v>
      </c>
      <c r="J4578" s="6" t="str">
        <f>IFERROR(__xludf.DUMMYFUNCTION("""COMPUTED_VALUE"""),"8")</f>
        <v>8</v>
      </c>
      <c r="K4578" s="6" t="str">
        <f>IFERROR(__xludf.DUMMYFUNCTION("""COMPUTED_VALUE"""),"estevan.cortez@2hourlearning.com")</f>
        <v>estevan.cortez@2hourlearning.com</v>
      </c>
      <c r="L4578" s="6" t="str">
        <f>IFERROR(__xludf.DUMMYFUNCTION("""COMPUTED_VALUE"""),"JHMS - Hardeeville Junior Senior High School")</f>
        <v>JHMS - Hardeeville Junior Senior High School</v>
      </c>
      <c r="M4578" s="6" t="str">
        <f>IFERROR(__xludf.DUMMYFUNCTION("""COMPUTED_VALUE"""),"")</f>
        <v/>
      </c>
      <c r="N4578" s="6" t="str">
        <f>IFERROR(__xludf.DUMMYFUNCTION("""COMPUTED_VALUE"""),"")</f>
        <v/>
      </c>
      <c r="O4578" s="87" t="str">
        <f>IFERROR(__xludf.DUMMYFUNCTION("""COMPUTED_VALUE"""),"https://drive.google.com/drive/folders/10T2cTQHqEJZqE-st6uFKPoI?usp=share_link")</f>
        <v>https://drive.google.com/drive/folders/10T2cTQHqEJZqE-st6uFKPoI?usp=share_link</v>
      </c>
      <c r="P4578" s="6" t="str">
        <f>IFERROR(__xludf.DUMMYFUNCTION("""COMPUTED_VALUE"""),"Estevan Cortez")</f>
        <v>Estevan Cortez</v>
      </c>
      <c r="Q4578" s="6" t="str">
        <f>IFERROR(__xludf.DUMMYFUNCTION("""COMPUTED_VALUE"""),"MS")</f>
        <v>MS</v>
      </c>
      <c r="R4578" s="6">
        <f>IFERROR(__xludf.DUMMYFUNCTION("""COMPUTED_VALUE"""),0.0)</f>
        <v>0</v>
      </c>
      <c r="S4578" s="6" t="str">
        <f>IFERROR(__xludf.DUMMYFUNCTION("""COMPUTED_VALUE"""),"Kimberly Ball")</f>
        <v>Kimberly Ball</v>
      </c>
      <c r="T4578" s="6" t="str">
        <f>IFERROR(__xludf.DUMMYFUNCTION("""COMPUTED_VALUE"""),"kimberly.ball@studient.com")</f>
        <v>kimberly.ball@studient.com</v>
      </c>
      <c r="U4578" s="6" t="str">
        <f>IFERROR(__xludf.DUMMYFUNCTION("""COMPUTED_VALUE"""),"8")</f>
        <v>8</v>
      </c>
      <c r="V4578" s="6" t="str">
        <f>IFERROR(__xludf.DUMMYFUNCTION("""COMPUTED_VALUE"""),"")</f>
        <v/>
      </c>
      <c r="W4578" s="6" t="str">
        <f>IFERROR(__xludf.DUMMYFUNCTION("""COMPUTED_VALUE"""),"[]")</f>
        <v>[]</v>
      </c>
      <c r="X4578" s="6" t="str">
        <f>IFERROR(__xludf.DUMMYFUNCTION("""COMPUTED_VALUE"""),"Enrolled")</f>
        <v>Enrolled</v>
      </c>
    </row>
    <row r="4579">
      <c r="A4579" s="6" t="str">
        <f>IFERROR(__xludf.DUMMYFUNCTION("""COMPUTED_VALUE"""),"084-12941")</f>
        <v>084-12941</v>
      </c>
      <c r="B4579" s="6" t="str">
        <f>IFERROR(__xludf.DUMMYFUNCTION("""COMPUTED_VALUE"""),"84")</f>
        <v>84</v>
      </c>
      <c r="C4579" s="6" t="str">
        <f>IFERROR(__xludf.DUMMYFUNCTION("""COMPUTED_VALUE"""),"12941")</f>
        <v>12941</v>
      </c>
      <c r="D4579" s="6" t="str">
        <f>IFERROR(__xludf.DUMMYFUNCTION("""COMPUTED_VALUE"""),"Joanna")</f>
        <v>Joanna</v>
      </c>
      <c r="E4579" s="6" t="str">
        <f>IFERROR(__xludf.DUMMYFUNCTION("""COMPUTED_VALUE"""),"")</f>
        <v/>
      </c>
      <c r="F4579" s="6" t="str">
        <f>IFERROR(__xludf.DUMMYFUNCTION("""COMPUTED_VALUE"""),"Cruz")</f>
        <v>Cruz</v>
      </c>
      <c r="G4579" s="6" t="str">
        <f>IFERROR(__xludf.DUMMYFUNCTION("""COMPUTED_VALUE"""),"07/26/2012")</f>
        <v>07/26/2012</v>
      </c>
      <c r="H4579" s="6" t="str">
        <f>IFERROR(__xludf.DUMMYFUNCTION("""COMPUTED_VALUE"""),"female")</f>
        <v>female</v>
      </c>
      <c r="I4579" s="6" t="str">
        <f>IFERROR(__xludf.DUMMYFUNCTION("""COMPUTED_VALUE"""),"Middle School")</f>
        <v>Middle School</v>
      </c>
      <c r="J4579" s="6" t="str">
        <f>IFERROR(__xludf.DUMMYFUNCTION("""COMPUTED_VALUE"""),"8")</f>
        <v>8</v>
      </c>
      <c r="K4579" s="6" t="str">
        <f>IFERROR(__xludf.DUMMYFUNCTION("""COMPUTED_VALUE"""),"joanna.cruz@2hourlearning.com")</f>
        <v>joanna.cruz@2hourlearning.com</v>
      </c>
      <c r="L4579" s="6" t="str">
        <f>IFERROR(__xludf.DUMMYFUNCTION("""COMPUTED_VALUE"""),"JHMS - Hardeeville Junior Senior High School")</f>
        <v>JHMS - Hardeeville Junior Senior High School</v>
      </c>
      <c r="M4579" s="6" t="str">
        <f>IFERROR(__xludf.DUMMYFUNCTION("""COMPUTED_VALUE"""),"")</f>
        <v/>
      </c>
      <c r="N4579" s="6" t="str">
        <f>IFERROR(__xludf.DUMMYFUNCTION("""COMPUTED_VALUE"""),"")</f>
        <v/>
      </c>
      <c r="O4579" s="87" t="str">
        <f>IFERROR(__xludf.DUMMYFUNCTION("""COMPUTED_VALUE"""),"https://drive.google.com/drive/folders/10T2cTQHqEJZqE-st6uFKPoI?usp=share_link")</f>
        <v>https://drive.google.com/drive/folders/10T2cTQHqEJZqE-st6uFKPoI?usp=share_link</v>
      </c>
      <c r="P4579" s="6" t="str">
        <f>IFERROR(__xludf.DUMMYFUNCTION("""COMPUTED_VALUE"""),"Joanna Cruz")</f>
        <v>Joanna Cruz</v>
      </c>
      <c r="Q4579" s="6" t="str">
        <f>IFERROR(__xludf.DUMMYFUNCTION("""COMPUTED_VALUE"""),"MS")</f>
        <v>MS</v>
      </c>
      <c r="R4579" s="6">
        <f>IFERROR(__xludf.DUMMYFUNCTION("""COMPUTED_VALUE"""),0.0)</f>
        <v>0</v>
      </c>
      <c r="S4579" s="6" t="str">
        <f>IFERROR(__xludf.DUMMYFUNCTION("""COMPUTED_VALUE"""),"Kimberly Ball")</f>
        <v>Kimberly Ball</v>
      </c>
      <c r="T4579" s="6" t="str">
        <f>IFERROR(__xludf.DUMMYFUNCTION("""COMPUTED_VALUE"""),"kimberly.ball@studient.com")</f>
        <v>kimberly.ball@studient.com</v>
      </c>
      <c r="U4579" s="6" t="str">
        <f>IFERROR(__xludf.DUMMYFUNCTION("""COMPUTED_VALUE"""),"8")</f>
        <v>8</v>
      </c>
      <c r="V4579" s="6" t="str">
        <f>IFERROR(__xludf.DUMMYFUNCTION("""COMPUTED_VALUE"""),"")</f>
        <v/>
      </c>
      <c r="W4579" s="6" t="str">
        <f>IFERROR(__xludf.DUMMYFUNCTION("""COMPUTED_VALUE"""),"[]")</f>
        <v>[]</v>
      </c>
      <c r="X4579" s="6" t="str">
        <f>IFERROR(__xludf.DUMMYFUNCTION("""COMPUTED_VALUE"""),"Enrolled")</f>
        <v>Enrolled</v>
      </c>
    </row>
    <row r="4580">
      <c r="A4580" s="6" t="str">
        <f>IFERROR(__xludf.DUMMYFUNCTION("""COMPUTED_VALUE"""),"084-12942")</f>
        <v>084-12942</v>
      </c>
      <c r="B4580" s="6" t="str">
        <f>IFERROR(__xludf.DUMMYFUNCTION("""COMPUTED_VALUE"""),"84")</f>
        <v>84</v>
      </c>
      <c r="C4580" s="6" t="str">
        <f>IFERROR(__xludf.DUMMYFUNCTION("""COMPUTED_VALUE"""),"12942")</f>
        <v>12942</v>
      </c>
      <c r="D4580" s="6" t="str">
        <f>IFERROR(__xludf.DUMMYFUNCTION("""COMPUTED_VALUE"""),"Jaiden")</f>
        <v>Jaiden</v>
      </c>
      <c r="E4580" s="6" t="str">
        <f>IFERROR(__xludf.DUMMYFUNCTION("""COMPUTED_VALUE"""),"")</f>
        <v/>
      </c>
      <c r="F4580" s="6" t="str">
        <f>IFERROR(__xludf.DUMMYFUNCTION("""COMPUTED_VALUE"""),"Downer")</f>
        <v>Downer</v>
      </c>
      <c r="G4580" s="6" t="str">
        <f>IFERROR(__xludf.DUMMYFUNCTION("""COMPUTED_VALUE"""),"10/29/2011")</f>
        <v>10/29/2011</v>
      </c>
      <c r="H4580" s="6" t="str">
        <f>IFERROR(__xludf.DUMMYFUNCTION("""COMPUTED_VALUE"""),"female")</f>
        <v>female</v>
      </c>
      <c r="I4580" s="6" t="str">
        <f>IFERROR(__xludf.DUMMYFUNCTION("""COMPUTED_VALUE"""),"Middle School")</f>
        <v>Middle School</v>
      </c>
      <c r="J4580" s="6" t="str">
        <f>IFERROR(__xludf.DUMMYFUNCTION("""COMPUTED_VALUE"""),"8")</f>
        <v>8</v>
      </c>
      <c r="K4580" s="6" t="str">
        <f>IFERROR(__xludf.DUMMYFUNCTION("""COMPUTED_VALUE"""),"jaiden.downer@2hourlearning.com")</f>
        <v>jaiden.downer@2hourlearning.com</v>
      </c>
      <c r="L4580" s="6" t="str">
        <f>IFERROR(__xludf.DUMMYFUNCTION("""COMPUTED_VALUE"""),"JHMS - Hardeeville Junior Senior High School")</f>
        <v>JHMS - Hardeeville Junior Senior High School</v>
      </c>
      <c r="M4580" s="6" t="str">
        <f>IFERROR(__xludf.DUMMYFUNCTION("""COMPUTED_VALUE"""),"")</f>
        <v/>
      </c>
      <c r="N4580" s="6" t="str">
        <f>IFERROR(__xludf.DUMMYFUNCTION("""COMPUTED_VALUE"""),"")</f>
        <v/>
      </c>
      <c r="O4580" s="87" t="str">
        <f>IFERROR(__xludf.DUMMYFUNCTION("""COMPUTED_VALUE"""),"https://drive.google.com/drive/folders/10T2cTQHqEJZqE-st6uFKPoI?usp=share_link")</f>
        <v>https://drive.google.com/drive/folders/10T2cTQHqEJZqE-st6uFKPoI?usp=share_link</v>
      </c>
      <c r="P4580" s="6" t="str">
        <f>IFERROR(__xludf.DUMMYFUNCTION("""COMPUTED_VALUE"""),"Jaiden Downer")</f>
        <v>Jaiden Downer</v>
      </c>
      <c r="Q4580" s="6" t="str">
        <f>IFERROR(__xludf.DUMMYFUNCTION("""COMPUTED_VALUE"""),"MS")</f>
        <v>MS</v>
      </c>
      <c r="R4580" s="6">
        <f>IFERROR(__xludf.DUMMYFUNCTION("""COMPUTED_VALUE"""),0.0)</f>
        <v>0</v>
      </c>
      <c r="S4580" s="6" t="str">
        <f>IFERROR(__xludf.DUMMYFUNCTION("""COMPUTED_VALUE"""),"Kimberly Ball")</f>
        <v>Kimberly Ball</v>
      </c>
      <c r="T4580" s="6" t="str">
        <f>IFERROR(__xludf.DUMMYFUNCTION("""COMPUTED_VALUE"""),"kimberly.ball@studient.com")</f>
        <v>kimberly.ball@studient.com</v>
      </c>
      <c r="U4580" s="6" t="str">
        <f>IFERROR(__xludf.DUMMYFUNCTION("""COMPUTED_VALUE"""),"8")</f>
        <v>8</v>
      </c>
      <c r="V4580" s="6" t="str">
        <f>IFERROR(__xludf.DUMMYFUNCTION("""COMPUTED_VALUE"""),"")</f>
        <v/>
      </c>
      <c r="W4580" s="6" t="str">
        <f>IFERROR(__xludf.DUMMYFUNCTION("""COMPUTED_VALUE"""),"[]")</f>
        <v>[]</v>
      </c>
      <c r="X4580" s="6" t="str">
        <f>IFERROR(__xludf.DUMMYFUNCTION("""COMPUTED_VALUE"""),"Enrolled")</f>
        <v>Enrolled</v>
      </c>
    </row>
    <row r="4581">
      <c r="A4581" s="6" t="str">
        <f>IFERROR(__xludf.DUMMYFUNCTION("""COMPUTED_VALUE"""),"084-12943")</f>
        <v>084-12943</v>
      </c>
      <c r="B4581" s="6" t="str">
        <f>IFERROR(__xludf.DUMMYFUNCTION("""COMPUTED_VALUE"""),"84")</f>
        <v>84</v>
      </c>
      <c r="C4581" s="6" t="str">
        <f>IFERROR(__xludf.DUMMYFUNCTION("""COMPUTED_VALUE"""),"12943")</f>
        <v>12943</v>
      </c>
      <c r="D4581" s="6" t="str">
        <f>IFERROR(__xludf.DUMMYFUNCTION("""COMPUTED_VALUE"""),"Aaliyah")</f>
        <v>Aaliyah</v>
      </c>
      <c r="E4581" s="6" t="str">
        <f>IFERROR(__xludf.DUMMYFUNCTION("""COMPUTED_VALUE"""),"")</f>
        <v/>
      </c>
      <c r="F4581" s="6" t="str">
        <f>IFERROR(__xludf.DUMMYFUNCTION("""COMPUTED_VALUE"""),"Driggers")</f>
        <v>Driggers</v>
      </c>
      <c r="G4581" s="6" t="str">
        <f>IFERROR(__xludf.DUMMYFUNCTION("""COMPUTED_VALUE"""),"12/15/2011")</f>
        <v>12/15/2011</v>
      </c>
      <c r="H4581" s="6" t="str">
        <f>IFERROR(__xludf.DUMMYFUNCTION("""COMPUTED_VALUE"""),"male")</f>
        <v>male</v>
      </c>
      <c r="I4581" s="6" t="str">
        <f>IFERROR(__xludf.DUMMYFUNCTION("""COMPUTED_VALUE"""),"Middle School")</f>
        <v>Middle School</v>
      </c>
      <c r="J4581" s="6" t="str">
        <f>IFERROR(__xludf.DUMMYFUNCTION("""COMPUTED_VALUE"""),"8")</f>
        <v>8</v>
      </c>
      <c r="K4581" s="6" t="str">
        <f>IFERROR(__xludf.DUMMYFUNCTION("""COMPUTED_VALUE"""),"aaliyah.driggers@2hourlearning.com")</f>
        <v>aaliyah.driggers@2hourlearning.com</v>
      </c>
      <c r="L4581" s="6" t="str">
        <f>IFERROR(__xludf.DUMMYFUNCTION("""COMPUTED_VALUE"""),"JHMS - Hardeeville Junior Senior High School")</f>
        <v>JHMS - Hardeeville Junior Senior High School</v>
      </c>
      <c r="M4581" s="6" t="str">
        <f>IFERROR(__xludf.DUMMYFUNCTION("""COMPUTED_VALUE"""),"")</f>
        <v/>
      </c>
      <c r="N4581" s="6" t="str">
        <f>IFERROR(__xludf.DUMMYFUNCTION("""COMPUTED_VALUE"""),"")</f>
        <v/>
      </c>
      <c r="O4581" s="87" t="str">
        <f>IFERROR(__xludf.DUMMYFUNCTION("""COMPUTED_VALUE"""),"https://drive.google.com/drive/folders/10T2cTQHqEJZqE-st6uFKPoI?usp=share_link")</f>
        <v>https://drive.google.com/drive/folders/10T2cTQHqEJZqE-st6uFKPoI?usp=share_link</v>
      </c>
      <c r="P4581" s="6" t="str">
        <f>IFERROR(__xludf.DUMMYFUNCTION("""COMPUTED_VALUE"""),"Aaliyah Driggers")</f>
        <v>Aaliyah Driggers</v>
      </c>
      <c r="Q4581" s="6" t="str">
        <f>IFERROR(__xludf.DUMMYFUNCTION("""COMPUTED_VALUE"""),"MS")</f>
        <v>MS</v>
      </c>
      <c r="R4581" s="6">
        <f>IFERROR(__xludf.DUMMYFUNCTION("""COMPUTED_VALUE"""),0.0)</f>
        <v>0</v>
      </c>
      <c r="S4581" s="6" t="str">
        <f>IFERROR(__xludf.DUMMYFUNCTION("""COMPUTED_VALUE"""),"Kimberly Ball")</f>
        <v>Kimberly Ball</v>
      </c>
      <c r="T4581" s="6" t="str">
        <f>IFERROR(__xludf.DUMMYFUNCTION("""COMPUTED_VALUE"""),"kimberly.ball@studient.com")</f>
        <v>kimberly.ball@studient.com</v>
      </c>
      <c r="U4581" s="6" t="str">
        <f>IFERROR(__xludf.DUMMYFUNCTION("""COMPUTED_VALUE"""),"8")</f>
        <v>8</v>
      </c>
      <c r="V4581" s="6" t="str">
        <f>IFERROR(__xludf.DUMMYFUNCTION("""COMPUTED_VALUE"""),"")</f>
        <v/>
      </c>
      <c r="W4581" s="6" t="str">
        <f>IFERROR(__xludf.DUMMYFUNCTION("""COMPUTED_VALUE"""),"[]")</f>
        <v>[]</v>
      </c>
      <c r="X4581" s="6" t="str">
        <f>IFERROR(__xludf.DUMMYFUNCTION("""COMPUTED_VALUE"""),"Enrolled")</f>
        <v>Enrolled</v>
      </c>
    </row>
    <row r="4582">
      <c r="A4582" s="6" t="str">
        <f>IFERROR(__xludf.DUMMYFUNCTION("""COMPUTED_VALUE"""),"084-12944")</f>
        <v>084-12944</v>
      </c>
      <c r="B4582" s="6" t="str">
        <f>IFERROR(__xludf.DUMMYFUNCTION("""COMPUTED_VALUE"""),"84")</f>
        <v>84</v>
      </c>
      <c r="C4582" s="6" t="str">
        <f>IFERROR(__xludf.DUMMYFUNCTION("""COMPUTED_VALUE"""),"12944")</f>
        <v>12944</v>
      </c>
      <c r="D4582" s="6" t="str">
        <f>IFERROR(__xludf.DUMMYFUNCTION("""COMPUTED_VALUE"""),"Jeremiah")</f>
        <v>Jeremiah</v>
      </c>
      <c r="E4582" s="6" t="str">
        <f>IFERROR(__xludf.DUMMYFUNCTION("""COMPUTED_VALUE"""),"")</f>
        <v/>
      </c>
      <c r="F4582" s="6" t="str">
        <f>IFERROR(__xludf.DUMMYFUNCTION("""COMPUTED_VALUE"""),"Dunham")</f>
        <v>Dunham</v>
      </c>
      <c r="G4582" s="6" t="str">
        <f>IFERROR(__xludf.DUMMYFUNCTION("""COMPUTED_VALUE"""),"12/06/2011")</f>
        <v>12/06/2011</v>
      </c>
      <c r="H4582" s="6" t="str">
        <f>IFERROR(__xludf.DUMMYFUNCTION("""COMPUTED_VALUE"""),"female")</f>
        <v>female</v>
      </c>
      <c r="I4582" s="6" t="str">
        <f>IFERROR(__xludf.DUMMYFUNCTION("""COMPUTED_VALUE"""),"Middle School")</f>
        <v>Middle School</v>
      </c>
      <c r="J4582" s="6" t="str">
        <f>IFERROR(__xludf.DUMMYFUNCTION("""COMPUTED_VALUE"""),"8")</f>
        <v>8</v>
      </c>
      <c r="K4582" s="6" t="str">
        <f>IFERROR(__xludf.DUMMYFUNCTION("""COMPUTED_VALUE"""),"jeremiah.dunham@2hourlearning.com")</f>
        <v>jeremiah.dunham@2hourlearning.com</v>
      </c>
      <c r="L4582" s="6" t="str">
        <f>IFERROR(__xludf.DUMMYFUNCTION("""COMPUTED_VALUE"""),"JHMS - Hardeeville Junior Senior High School")</f>
        <v>JHMS - Hardeeville Junior Senior High School</v>
      </c>
      <c r="M4582" s="6" t="str">
        <f>IFERROR(__xludf.DUMMYFUNCTION("""COMPUTED_VALUE"""),"")</f>
        <v/>
      </c>
      <c r="N4582" s="6" t="str">
        <f>IFERROR(__xludf.DUMMYFUNCTION("""COMPUTED_VALUE"""),"")</f>
        <v/>
      </c>
      <c r="O4582" s="87" t="str">
        <f>IFERROR(__xludf.DUMMYFUNCTION("""COMPUTED_VALUE"""),"https://drive.google.com/drive/folders/10T2cTQHqEJZqE-st6uFKPoI?usp=share_link")</f>
        <v>https://drive.google.com/drive/folders/10T2cTQHqEJZqE-st6uFKPoI?usp=share_link</v>
      </c>
      <c r="P4582" s="6" t="str">
        <f>IFERROR(__xludf.DUMMYFUNCTION("""COMPUTED_VALUE"""),"Jeremiah Dunham")</f>
        <v>Jeremiah Dunham</v>
      </c>
      <c r="Q4582" s="6" t="str">
        <f>IFERROR(__xludf.DUMMYFUNCTION("""COMPUTED_VALUE"""),"MS")</f>
        <v>MS</v>
      </c>
      <c r="R4582" s="6">
        <f>IFERROR(__xludf.DUMMYFUNCTION("""COMPUTED_VALUE"""),0.0)</f>
        <v>0</v>
      </c>
      <c r="S4582" s="6" t="str">
        <f>IFERROR(__xludf.DUMMYFUNCTION("""COMPUTED_VALUE"""),"Kimberly Ball")</f>
        <v>Kimberly Ball</v>
      </c>
      <c r="T4582" s="6" t="str">
        <f>IFERROR(__xludf.DUMMYFUNCTION("""COMPUTED_VALUE"""),"kimberly.ball@studient.com")</f>
        <v>kimberly.ball@studient.com</v>
      </c>
      <c r="U4582" s="6" t="str">
        <f>IFERROR(__xludf.DUMMYFUNCTION("""COMPUTED_VALUE"""),"8")</f>
        <v>8</v>
      </c>
      <c r="V4582" s="6" t="str">
        <f>IFERROR(__xludf.DUMMYFUNCTION("""COMPUTED_VALUE"""),"")</f>
        <v/>
      </c>
      <c r="W4582" s="6" t="str">
        <f>IFERROR(__xludf.DUMMYFUNCTION("""COMPUTED_VALUE"""),"[]")</f>
        <v>[]</v>
      </c>
      <c r="X4582" s="6" t="str">
        <f>IFERROR(__xludf.DUMMYFUNCTION("""COMPUTED_VALUE"""),"Enrolled")</f>
        <v>Enrolled</v>
      </c>
    </row>
    <row r="4583">
      <c r="A4583" s="6" t="str">
        <f>IFERROR(__xludf.DUMMYFUNCTION("""COMPUTED_VALUE"""),"084-12945")</f>
        <v>084-12945</v>
      </c>
      <c r="B4583" s="6" t="str">
        <f>IFERROR(__xludf.DUMMYFUNCTION("""COMPUTED_VALUE"""),"84")</f>
        <v>84</v>
      </c>
      <c r="C4583" s="6" t="str">
        <f>IFERROR(__xludf.DUMMYFUNCTION("""COMPUTED_VALUE"""),"12945")</f>
        <v>12945</v>
      </c>
      <c r="D4583" s="6" t="str">
        <f>IFERROR(__xludf.DUMMYFUNCTION("""COMPUTED_VALUE"""),"Jorley")</f>
        <v>Jorley</v>
      </c>
      <c r="E4583" s="6" t="str">
        <f>IFERROR(__xludf.DUMMYFUNCTION("""COMPUTED_VALUE"""),"")</f>
        <v/>
      </c>
      <c r="F4583" s="6" t="str">
        <f>IFERROR(__xludf.DUMMYFUNCTION("""COMPUTED_VALUE"""),"Espinosa Vazques")</f>
        <v>Espinosa Vazques</v>
      </c>
      <c r="G4583" s="6" t="str">
        <f>IFERROR(__xludf.DUMMYFUNCTION("""COMPUTED_VALUE"""),"01/30/2012")</f>
        <v>01/30/2012</v>
      </c>
      <c r="H4583" s="6" t="str">
        <f>IFERROR(__xludf.DUMMYFUNCTION("""COMPUTED_VALUE"""),"Self Identify")</f>
        <v>Self Identify</v>
      </c>
      <c r="I4583" s="6" t="str">
        <f>IFERROR(__xludf.DUMMYFUNCTION("""COMPUTED_VALUE"""),"Middle School")</f>
        <v>Middle School</v>
      </c>
      <c r="J4583" s="6" t="str">
        <f>IFERROR(__xludf.DUMMYFUNCTION("""COMPUTED_VALUE"""),"8")</f>
        <v>8</v>
      </c>
      <c r="K4583" s="6" t="str">
        <f>IFERROR(__xludf.DUMMYFUNCTION("""COMPUTED_VALUE"""),"jorley.espinosavazques@2hourlearning.com")</f>
        <v>jorley.espinosavazques@2hourlearning.com</v>
      </c>
      <c r="L4583" s="6" t="str">
        <f>IFERROR(__xludf.DUMMYFUNCTION("""COMPUTED_VALUE"""),"JHMS - Hardeeville Junior Senior High School")</f>
        <v>JHMS - Hardeeville Junior Senior High School</v>
      </c>
      <c r="M4583" s="6" t="str">
        <f>IFERROR(__xludf.DUMMYFUNCTION("""COMPUTED_VALUE"""),"")</f>
        <v/>
      </c>
      <c r="N4583" s="6" t="str">
        <f>IFERROR(__xludf.DUMMYFUNCTION("""COMPUTED_VALUE"""),"")</f>
        <v/>
      </c>
      <c r="O4583" s="87" t="str">
        <f>IFERROR(__xludf.DUMMYFUNCTION("""COMPUTED_VALUE"""),"https://drive.google.com/drive/folders/10T2cTQHqEJZqE-st6uFKPoI?usp=share_link")</f>
        <v>https://drive.google.com/drive/folders/10T2cTQHqEJZqE-st6uFKPoI?usp=share_link</v>
      </c>
      <c r="P4583" s="6" t="str">
        <f>IFERROR(__xludf.DUMMYFUNCTION("""COMPUTED_VALUE"""),"Jorley Espinosa Vazques")</f>
        <v>Jorley Espinosa Vazques</v>
      </c>
      <c r="Q4583" s="6" t="str">
        <f>IFERROR(__xludf.DUMMYFUNCTION("""COMPUTED_VALUE"""),"MS")</f>
        <v>MS</v>
      </c>
      <c r="R4583" s="6">
        <f>IFERROR(__xludf.DUMMYFUNCTION("""COMPUTED_VALUE"""),0.0)</f>
        <v>0</v>
      </c>
      <c r="S4583" s="6" t="str">
        <f>IFERROR(__xludf.DUMMYFUNCTION("""COMPUTED_VALUE"""),"Kimberly Ball")</f>
        <v>Kimberly Ball</v>
      </c>
      <c r="T4583" s="6" t="str">
        <f>IFERROR(__xludf.DUMMYFUNCTION("""COMPUTED_VALUE"""),"kimberly.ball@studient.com")</f>
        <v>kimberly.ball@studient.com</v>
      </c>
      <c r="U4583" s="6" t="str">
        <f>IFERROR(__xludf.DUMMYFUNCTION("""COMPUTED_VALUE"""),"8")</f>
        <v>8</v>
      </c>
      <c r="V4583" s="6" t="str">
        <f>IFERROR(__xludf.DUMMYFUNCTION("""COMPUTED_VALUE"""),"")</f>
        <v/>
      </c>
      <c r="W4583" s="6" t="str">
        <f>IFERROR(__xludf.DUMMYFUNCTION("""COMPUTED_VALUE"""),"[]")</f>
        <v>[]</v>
      </c>
      <c r="X4583" s="6" t="str">
        <f>IFERROR(__xludf.DUMMYFUNCTION("""COMPUTED_VALUE"""),"Enrolled")</f>
        <v>Enrolled</v>
      </c>
    </row>
    <row r="4584">
      <c r="A4584" s="6" t="str">
        <f>IFERROR(__xludf.DUMMYFUNCTION("""COMPUTED_VALUE"""),"084-12946")</f>
        <v>084-12946</v>
      </c>
      <c r="B4584" s="6" t="str">
        <f>IFERROR(__xludf.DUMMYFUNCTION("""COMPUTED_VALUE"""),"84")</f>
        <v>84</v>
      </c>
      <c r="C4584" s="6" t="str">
        <f>IFERROR(__xludf.DUMMYFUNCTION("""COMPUTED_VALUE"""),"12946")</f>
        <v>12946</v>
      </c>
      <c r="D4584" s="6" t="str">
        <f>IFERROR(__xludf.DUMMYFUNCTION("""COMPUTED_VALUE"""),"Alexander")</f>
        <v>Alexander</v>
      </c>
      <c r="E4584" s="6" t="str">
        <f>IFERROR(__xludf.DUMMYFUNCTION("""COMPUTED_VALUE"""),"")</f>
        <v/>
      </c>
      <c r="F4584" s="6" t="str">
        <f>IFERROR(__xludf.DUMMYFUNCTION("""COMPUTED_VALUE"""),"Fernando Arcos")</f>
        <v>Fernando Arcos</v>
      </c>
      <c r="G4584" s="6" t="str">
        <f>IFERROR(__xludf.DUMMYFUNCTION("""COMPUTED_VALUE"""),"02/04/2012")</f>
        <v>02/04/2012</v>
      </c>
      <c r="H4584" s="6" t="str">
        <f>IFERROR(__xludf.DUMMYFUNCTION("""COMPUTED_VALUE"""),"male")</f>
        <v>male</v>
      </c>
      <c r="I4584" s="6" t="str">
        <f>IFERROR(__xludf.DUMMYFUNCTION("""COMPUTED_VALUE"""),"Middle School")</f>
        <v>Middle School</v>
      </c>
      <c r="J4584" s="6" t="str">
        <f>IFERROR(__xludf.DUMMYFUNCTION("""COMPUTED_VALUE"""),"8")</f>
        <v>8</v>
      </c>
      <c r="K4584" s="6" t="str">
        <f>IFERROR(__xludf.DUMMYFUNCTION("""COMPUTED_VALUE"""),"alexander.fernandoarcos@2hourlearning.com")</f>
        <v>alexander.fernandoarcos@2hourlearning.com</v>
      </c>
      <c r="L4584" s="6" t="str">
        <f>IFERROR(__xludf.DUMMYFUNCTION("""COMPUTED_VALUE"""),"JHMS - Hardeeville Junior Senior High School")</f>
        <v>JHMS - Hardeeville Junior Senior High School</v>
      </c>
      <c r="M4584" s="6" t="str">
        <f>IFERROR(__xludf.DUMMYFUNCTION("""COMPUTED_VALUE"""),"")</f>
        <v/>
      </c>
      <c r="N4584" s="6" t="str">
        <f>IFERROR(__xludf.DUMMYFUNCTION("""COMPUTED_VALUE"""),"")</f>
        <v/>
      </c>
      <c r="O4584" s="87" t="str">
        <f>IFERROR(__xludf.DUMMYFUNCTION("""COMPUTED_VALUE"""),"https://drive.google.com/drive/folders/10T2cTQHqEJZqE-st6uFKPoI?usp=share_link")</f>
        <v>https://drive.google.com/drive/folders/10T2cTQHqEJZqE-st6uFKPoI?usp=share_link</v>
      </c>
      <c r="P4584" s="6" t="str">
        <f>IFERROR(__xludf.DUMMYFUNCTION("""COMPUTED_VALUE"""),"Alexander Fernando Arcos")</f>
        <v>Alexander Fernando Arcos</v>
      </c>
      <c r="Q4584" s="6" t="str">
        <f>IFERROR(__xludf.DUMMYFUNCTION("""COMPUTED_VALUE"""),"MS")</f>
        <v>MS</v>
      </c>
      <c r="R4584" s="6">
        <f>IFERROR(__xludf.DUMMYFUNCTION("""COMPUTED_VALUE"""),0.0)</f>
        <v>0</v>
      </c>
      <c r="S4584" s="6" t="str">
        <f>IFERROR(__xludf.DUMMYFUNCTION("""COMPUTED_VALUE"""),"Kimberly Ball")</f>
        <v>Kimberly Ball</v>
      </c>
      <c r="T4584" s="6" t="str">
        <f>IFERROR(__xludf.DUMMYFUNCTION("""COMPUTED_VALUE"""),"kimberly.ball@studient.com")</f>
        <v>kimberly.ball@studient.com</v>
      </c>
      <c r="U4584" s="6" t="str">
        <f>IFERROR(__xludf.DUMMYFUNCTION("""COMPUTED_VALUE"""),"8")</f>
        <v>8</v>
      </c>
      <c r="V4584" s="6" t="str">
        <f>IFERROR(__xludf.DUMMYFUNCTION("""COMPUTED_VALUE"""),"")</f>
        <v/>
      </c>
      <c r="W4584" s="6" t="str">
        <f>IFERROR(__xludf.DUMMYFUNCTION("""COMPUTED_VALUE"""),"[]")</f>
        <v>[]</v>
      </c>
      <c r="X4584" s="6" t="str">
        <f>IFERROR(__xludf.DUMMYFUNCTION("""COMPUTED_VALUE"""),"Enrolled")</f>
        <v>Enrolled</v>
      </c>
    </row>
    <row r="4585">
      <c r="A4585" s="6" t="str">
        <f>IFERROR(__xludf.DUMMYFUNCTION("""COMPUTED_VALUE"""),"084-12947")</f>
        <v>084-12947</v>
      </c>
      <c r="B4585" s="6" t="str">
        <f>IFERROR(__xludf.DUMMYFUNCTION("""COMPUTED_VALUE"""),"84")</f>
        <v>84</v>
      </c>
      <c r="C4585" s="6" t="str">
        <f>IFERROR(__xludf.DUMMYFUNCTION("""COMPUTED_VALUE"""),"12947")</f>
        <v>12947</v>
      </c>
      <c r="D4585" s="6" t="str">
        <f>IFERROR(__xludf.DUMMYFUNCTION("""COMPUTED_VALUE"""),"Terrance")</f>
        <v>Terrance</v>
      </c>
      <c r="E4585" s="6" t="str">
        <f>IFERROR(__xludf.DUMMYFUNCTION("""COMPUTED_VALUE"""),"")</f>
        <v/>
      </c>
      <c r="F4585" s="6" t="str">
        <f>IFERROR(__xludf.DUMMYFUNCTION("""COMPUTED_VALUE"""),"Fields")</f>
        <v>Fields</v>
      </c>
      <c r="G4585" s="6" t="str">
        <f>IFERROR(__xludf.DUMMYFUNCTION("""COMPUTED_VALUE"""),"11/28/2011")</f>
        <v>11/28/2011</v>
      </c>
      <c r="H4585" s="6" t="str">
        <f>IFERROR(__xludf.DUMMYFUNCTION("""COMPUTED_VALUE"""),"female")</f>
        <v>female</v>
      </c>
      <c r="I4585" s="6" t="str">
        <f>IFERROR(__xludf.DUMMYFUNCTION("""COMPUTED_VALUE"""),"Middle School")</f>
        <v>Middle School</v>
      </c>
      <c r="J4585" s="6" t="str">
        <f>IFERROR(__xludf.DUMMYFUNCTION("""COMPUTED_VALUE"""),"8")</f>
        <v>8</v>
      </c>
      <c r="K4585" s="6" t="str">
        <f>IFERROR(__xludf.DUMMYFUNCTION("""COMPUTED_VALUE"""),"terrance.fields@2hourlearning.com")</f>
        <v>terrance.fields@2hourlearning.com</v>
      </c>
      <c r="L4585" s="6" t="str">
        <f>IFERROR(__xludf.DUMMYFUNCTION("""COMPUTED_VALUE"""),"JHMS - Hardeeville Junior Senior High School")</f>
        <v>JHMS - Hardeeville Junior Senior High School</v>
      </c>
      <c r="M4585" s="6" t="str">
        <f>IFERROR(__xludf.DUMMYFUNCTION("""COMPUTED_VALUE"""),"")</f>
        <v/>
      </c>
      <c r="N4585" s="6" t="str">
        <f>IFERROR(__xludf.DUMMYFUNCTION("""COMPUTED_VALUE"""),"")</f>
        <v/>
      </c>
      <c r="O4585" s="87" t="str">
        <f>IFERROR(__xludf.DUMMYFUNCTION("""COMPUTED_VALUE"""),"https://drive.google.com/drive/folders/10T2cTQHqEJZqE-st6uFKPoI?usp=share_link")</f>
        <v>https://drive.google.com/drive/folders/10T2cTQHqEJZqE-st6uFKPoI?usp=share_link</v>
      </c>
      <c r="P4585" s="6" t="str">
        <f>IFERROR(__xludf.DUMMYFUNCTION("""COMPUTED_VALUE"""),"Terrance Fields")</f>
        <v>Terrance Fields</v>
      </c>
      <c r="Q4585" s="6" t="str">
        <f>IFERROR(__xludf.DUMMYFUNCTION("""COMPUTED_VALUE"""),"MS")</f>
        <v>MS</v>
      </c>
      <c r="R4585" s="6">
        <f>IFERROR(__xludf.DUMMYFUNCTION("""COMPUTED_VALUE"""),0.0)</f>
        <v>0</v>
      </c>
      <c r="S4585" s="6" t="str">
        <f>IFERROR(__xludf.DUMMYFUNCTION("""COMPUTED_VALUE"""),"Kimberly Ball")</f>
        <v>Kimberly Ball</v>
      </c>
      <c r="T4585" s="6" t="str">
        <f>IFERROR(__xludf.DUMMYFUNCTION("""COMPUTED_VALUE"""),"kimberly.ball@studient.com")</f>
        <v>kimberly.ball@studient.com</v>
      </c>
      <c r="U4585" s="6" t="str">
        <f>IFERROR(__xludf.DUMMYFUNCTION("""COMPUTED_VALUE"""),"8")</f>
        <v>8</v>
      </c>
      <c r="V4585" s="6" t="str">
        <f>IFERROR(__xludf.DUMMYFUNCTION("""COMPUTED_VALUE"""),"")</f>
        <v/>
      </c>
      <c r="W4585" s="6" t="str">
        <f>IFERROR(__xludf.DUMMYFUNCTION("""COMPUTED_VALUE"""),"[]")</f>
        <v>[]</v>
      </c>
      <c r="X4585" s="6" t="str">
        <f>IFERROR(__xludf.DUMMYFUNCTION("""COMPUTED_VALUE"""),"Enrolled")</f>
        <v>Enrolled</v>
      </c>
    </row>
    <row r="4586">
      <c r="A4586" s="6" t="str">
        <f>IFERROR(__xludf.DUMMYFUNCTION("""COMPUTED_VALUE"""),"084-12948")</f>
        <v>084-12948</v>
      </c>
      <c r="B4586" s="6" t="str">
        <f>IFERROR(__xludf.DUMMYFUNCTION("""COMPUTED_VALUE"""),"84")</f>
        <v>84</v>
      </c>
      <c r="C4586" s="6" t="str">
        <f>IFERROR(__xludf.DUMMYFUNCTION("""COMPUTED_VALUE"""),"12948")</f>
        <v>12948</v>
      </c>
      <c r="D4586" s="6" t="str">
        <f>IFERROR(__xludf.DUMMYFUNCTION("""COMPUTED_VALUE"""),"Luisa")</f>
        <v>Luisa</v>
      </c>
      <c r="E4586" s="6" t="str">
        <f>IFERROR(__xludf.DUMMYFUNCTION("""COMPUTED_VALUE"""),"")</f>
        <v/>
      </c>
      <c r="F4586" s="6" t="str">
        <f>IFERROR(__xludf.DUMMYFUNCTION("""COMPUTED_VALUE"""),"Figueroa Nava")</f>
        <v>Figueroa Nava</v>
      </c>
      <c r="G4586" s="6" t="str">
        <f>IFERROR(__xludf.DUMMYFUNCTION("""COMPUTED_VALUE"""),"01/27/2012")</f>
        <v>01/27/2012</v>
      </c>
      <c r="H4586" s="6" t="str">
        <f>IFERROR(__xludf.DUMMYFUNCTION("""COMPUTED_VALUE"""),"male")</f>
        <v>male</v>
      </c>
      <c r="I4586" s="6" t="str">
        <f>IFERROR(__xludf.DUMMYFUNCTION("""COMPUTED_VALUE"""),"Middle School")</f>
        <v>Middle School</v>
      </c>
      <c r="J4586" s="6" t="str">
        <f>IFERROR(__xludf.DUMMYFUNCTION("""COMPUTED_VALUE"""),"8")</f>
        <v>8</v>
      </c>
      <c r="K4586" s="6" t="str">
        <f>IFERROR(__xludf.DUMMYFUNCTION("""COMPUTED_VALUE"""),"luisa.figueroanava@2hourlearning.com")</f>
        <v>luisa.figueroanava@2hourlearning.com</v>
      </c>
      <c r="L4586" s="6" t="str">
        <f>IFERROR(__xludf.DUMMYFUNCTION("""COMPUTED_VALUE"""),"JHMS - Hardeeville Junior Senior High School")</f>
        <v>JHMS - Hardeeville Junior Senior High School</v>
      </c>
      <c r="M4586" s="6" t="str">
        <f>IFERROR(__xludf.DUMMYFUNCTION("""COMPUTED_VALUE"""),"")</f>
        <v/>
      </c>
      <c r="N4586" s="6" t="str">
        <f>IFERROR(__xludf.DUMMYFUNCTION("""COMPUTED_VALUE"""),"")</f>
        <v/>
      </c>
      <c r="O4586" s="87" t="str">
        <f>IFERROR(__xludf.DUMMYFUNCTION("""COMPUTED_VALUE"""),"https://drive.google.com/drive/folders/10T2cTQHqEJZqE-st6uFKPoI?usp=share_link")</f>
        <v>https://drive.google.com/drive/folders/10T2cTQHqEJZqE-st6uFKPoI?usp=share_link</v>
      </c>
      <c r="P4586" s="6" t="str">
        <f>IFERROR(__xludf.DUMMYFUNCTION("""COMPUTED_VALUE"""),"Luisa Figueroa Nava")</f>
        <v>Luisa Figueroa Nava</v>
      </c>
      <c r="Q4586" s="6" t="str">
        <f>IFERROR(__xludf.DUMMYFUNCTION("""COMPUTED_VALUE"""),"MS")</f>
        <v>MS</v>
      </c>
      <c r="R4586" s="6">
        <f>IFERROR(__xludf.DUMMYFUNCTION("""COMPUTED_VALUE"""),0.0)</f>
        <v>0</v>
      </c>
      <c r="S4586" s="6" t="str">
        <f>IFERROR(__xludf.DUMMYFUNCTION("""COMPUTED_VALUE"""),"Kimberly Ball")</f>
        <v>Kimberly Ball</v>
      </c>
      <c r="T4586" s="6" t="str">
        <f>IFERROR(__xludf.DUMMYFUNCTION("""COMPUTED_VALUE"""),"kimberly.ball@studient.com")</f>
        <v>kimberly.ball@studient.com</v>
      </c>
      <c r="U4586" s="6" t="str">
        <f>IFERROR(__xludf.DUMMYFUNCTION("""COMPUTED_VALUE"""),"8")</f>
        <v>8</v>
      </c>
      <c r="V4586" s="6" t="str">
        <f>IFERROR(__xludf.DUMMYFUNCTION("""COMPUTED_VALUE"""),"")</f>
        <v/>
      </c>
      <c r="W4586" s="6" t="str">
        <f>IFERROR(__xludf.DUMMYFUNCTION("""COMPUTED_VALUE"""),"[]")</f>
        <v>[]</v>
      </c>
      <c r="X4586" s="6" t="str">
        <f>IFERROR(__xludf.DUMMYFUNCTION("""COMPUTED_VALUE"""),"Enrolled")</f>
        <v>Enrolled</v>
      </c>
    </row>
    <row r="4587">
      <c r="A4587" s="6" t="str">
        <f>IFERROR(__xludf.DUMMYFUNCTION("""COMPUTED_VALUE"""),"084-12949")</f>
        <v>084-12949</v>
      </c>
      <c r="B4587" s="6" t="str">
        <f>IFERROR(__xludf.DUMMYFUNCTION("""COMPUTED_VALUE"""),"84")</f>
        <v>84</v>
      </c>
      <c r="C4587" s="6" t="str">
        <f>IFERROR(__xludf.DUMMYFUNCTION("""COMPUTED_VALUE"""),"12949")</f>
        <v>12949</v>
      </c>
      <c r="D4587" s="6" t="str">
        <f>IFERROR(__xludf.DUMMYFUNCTION("""COMPUTED_VALUE"""),"Sincere")</f>
        <v>Sincere</v>
      </c>
      <c r="E4587" s="6" t="str">
        <f>IFERROR(__xludf.DUMMYFUNCTION("""COMPUTED_VALUE"""),"")</f>
        <v/>
      </c>
      <c r="F4587" s="6" t="str">
        <f>IFERROR(__xludf.DUMMYFUNCTION("""COMPUTED_VALUE"""),"Frazier")</f>
        <v>Frazier</v>
      </c>
      <c r="G4587" s="6" t="str">
        <f>IFERROR(__xludf.DUMMYFUNCTION("""COMPUTED_VALUE"""),"07/24/2012")</f>
        <v>07/24/2012</v>
      </c>
      <c r="H4587" s="6" t="str">
        <f>IFERROR(__xludf.DUMMYFUNCTION("""COMPUTED_VALUE"""),"male")</f>
        <v>male</v>
      </c>
      <c r="I4587" s="6" t="str">
        <f>IFERROR(__xludf.DUMMYFUNCTION("""COMPUTED_VALUE"""),"Middle School")</f>
        <v>Middle School</v>
      </c>
      <c r="J4587" s="6" t="str">
        <f>IFERROR(__xludf.DUMMYFUNCTION("""COMPUTED_VALUE"""),"8")</f>
        <v>8</v>
      </c>
      <c r="K4587" s="6" t="str">
        <f>IFERROR(__xludf.DUMMYFUNCTION("""COMPUTED_VALUE"""),"sincere.frazier@2hourlearning.com")</f>
        <v>sincere.frazier@2hourlearning.com</v>
      </c>
      <c r="L4587" s="6" t="str">
        <f>IFERROR(__xludf.DUMMYFUNCTION("""COMPUTED_VALUE"""),"JHMS - Hardeeville Junior Senior High School")</f>
        <v>JHMS - Hardeeville Junior Senior High School</v>
      </c>
      <c r="M4587" s="6" t="str">
        <f>IFERROR(__xludf.DUMMYFUNCTION("""COMPUTED_VALUE"""),"")</f>
        <v/>
      </c>
      <c r="N4587" s="6" t="str">
        <f>IFERROR(__xludf.DUMMYFUNCTION("""COMPUTED_VALUE"""),"")</f>
        <v/>
      </c>
      <c r="O4587" s="87" t="str">
        <f>IFERROR(__xludf.DUMMYFUNCTION("""COMPUTED_VALUE"""),"https://drive.google.com/drive/folders/10T2cTQHqEJZqE-st6uFKPoI?usp=share_link")</f>
        <v>https://drive.google.com/drive/folders/10T2cTQHqEJZqE-st6uFKPoI?usp=share_link</v>
      </c>
      <c r="P4587" s="6" t="str">
        <f>IFERROR(__xludf.DUMMYFUNCTION("""COMPUTED_VALUE"""),"Sincere Frazier")</f>
        <v>Sincere Frazier</v>
      </c>
      <c r="Q4587" s="6" t="str">
        <f>IFERROR(__xludf.DUMMYFUNCTION("""COMPUTED_VALUE"""),"MS")</f>
        <v>MS</v>
      </c>
      <c r="R4587" s="6">
        <f>IFERROR(__xludf.DUMMYFUNCTION("""COMPUTED_VALUE"""),0.0)</f>
        <v>0</v>
      </c>
      <c r="S4587" s="6" t="str">
        <f>IFERROR(__xludf.DUMMYFUNCTION("""COMPUTED_VALUE"""),"Kimberly Ball")</f>
        <v>Kimberly Ball</v>
      </c>
      <c r="T4587" s="6" t="str">
        <f>IFERROR(__xludf.DUMMYFUNCTION("""COMPUTED_VALUE"""),"kimberly.ball@studient.com")</f>
        <v>kimberly.ball@studient.com</v>
      </c>
      <c r="U4587" s="6" t="str">
        <f>IFERROR(__xludf.DUMMYFUNCTION("""COMPUTED_VALUE"""),"8")</f>
        <v>8</v>
      </c>
      <c r="V4587" s="6" t="str">
        <f>IFERROR(__xludf.DUMMYFUNCTION("""COMPUTED_VALUE"""),"")</f>
        <v/>
      </c>
      <c r="W4587" s="6" t="str">
        <f>IFERROR(__xludf.DUMMYFUNCTION("""COMPUTED_VALUE"""),"[]")</f>
        <v>[]</v>
      </c>
      <c r="X4587" s="6" t="str">
        <f>IFERROR(__xludf.DUMMYFUNCTION("""COMPUTED_VALUE"""),"Enrolled")</f>
        <v>Enrolled</v>
      </c>
    </row>
    <row r="4588">
      <c r="A4588" s="6" t="str">
        <f>IFERROR(__xludf.DUMMYFUNCTION("""COMPUTED_VALUE"""),"084-12950")</f>
        <v>084-12950</v>
      </c>
      <c r="B4588" s="6" t="str">
        <f>IFERROR(__xludf.DUMMYFUNCTION("""COMPUTED_VALUE"""),"84")</f>
        <v>84</v>
      </c>
      <c r="C4588" s="6" t="str">
        <f>IFERROR(__xludf.DUMMYFUNCTION("""COMPUTED_VALUE"""),"12950")</f>
        <v>12950</v>
      </c>
      <c r="D4588" s="6" t="str">
        <f>IFERROR(__xludf.DUMMYFUNCTION("""COMPUTED_VALUE"""),"Genesis")</f>
        <v>Genesis</v>
      </c>
      <c r="E4588" s="6" t="str">
        <f>IFERROR(__xludf.DUMMYFUNCTION("""COMPUTED_VALUE"""),"")</f>
        <v/>
      </c>
      <c r="F4588" s="6" t="str">
        <f>IFERROR(__xludf.DUMMYFUNCTION("""COMPUTED_VALUE"""),"Fuentes Cruz")</f>
        <v>Fuentes Cruz</v>
      </c>
      <c r="G4588" s="6" t="str">
        <f>IFERROR(__xludf.DUMMYFUNCTION("""COMPUTED_VALUE"""),"12/21/2011")</f>
        <v>12/21/2011</v>
      </c>
      <c r="H4588" s="6" t="str">
        <f>IFERROR(__xludf.DUMMYFUNCTION("""COMPUTED_VALUE"""),"female")</f>
        <v>female</v>
      </c>
      <c r="I4588" s="6" t="str">
        <f>IFERROR(__xludf.DUMMYFUNCTION("""COMPUTED_VALUE"""),"Middle School")</f>
        <v>Middle School</v>
      </c>
      <c r="J4588" s="6" t="str">
        <f>IFERROR(__xludf.DUMMYFUNCTION("""COMPUTED_VALUE"""),"8")</f>
        <v>8</v>
      </c>
      <c r="K4588" s="6" t="str">
        <f>IFERROR(__xludf.DUMMYFUNCTION("""COMPUTED_VALUE"""),"genesis.fuentescruz@2hourlearning.com")</f>
        <v>genesis.fuentescruz@2hourlearning.com</v>
      </c>
      <c r="L4588" s="6" t="str">
        <f>IFERROR(__xludf.DUMMYFUNCTION("""COMPUTED_VALUE"""),"JHMS - Hardeeville Junior Senior High School")</f>
        <v>JHMS - Hardeeville Junior Senior High School</v>
      </c>
      <c r="M4588" s="6" t="str">
        <f>IFERROR(__xludf.DUMMYFUNCTION("""COMPUTED_VALUE"""),"")</f>
        <v/>
      </c>
      <c r="N4588" s="6" t="str">
        <f>IFERROR(__xludf.DUMMYFUNCTION("""COMPUTED_VALUE"""),"")</f>
        <v/>
      </c>
      <c r="O4588" s="87" t="str">
        <f>IFERROR(__xludf.DUMMYFUNCTION("""COMPUTED_VALUE"""),"https://drive.google.com/drive/folders/10T2cTQHqEJZqE-st6uFKPoI?usp=share_link")</f>
        <v>https://drive.google.com/drive/folders/10T2cTQHqEJZqE-st6uFKPoI?usp=share_link</v>
      </c>
      <c r="P4588" s="6" t="str">
        <f>IFERROR(__xludf.DUMMYFUNCTION("""COMPUTED_VALUE"""),"Genesis Fuentes Cruz")</f>
        <v>Genesis Fuentes Cruz</v>
      </c>
      <c r="Q4588" s="6" t="str">
        <f>IFERROR(__xludf.DUMMYFUNCTION("""COMPUTED_VALUE"""),"MS")</f>
        <v>MS</v>
      </c>
      <c r="R4588" s="6">
        <f>IFERROR(__xludf.DUMMYFUNCTION("""COMPUTED_VALUE"""),0.0)</f>
        <v>0</v>
      </c>
      <c r="S4588" s="6" t="str">
        <f>IFERROR(__xludf.DUMMYFUNCTION("""COMPUTED_VALUE"""),"Kimberly Ball")</f>
        <v>Kimberly Ball</v>
      </c>
      <c r="T4588" s="6" t="str">
        <f>IFERROR(__xludf.DUMMYFUNCTION("""COMPUTED_VALUE"""),"kimberly.ball@studient.com")</f>
        <v>kimberly.ball@studient.com</v>
      </c>
      <c r="U4588" s="6" t="str">
        <f>IFERROR(__xludf.DUMMYFUNCTION("""COMPUTED_VALUE"""),"8")</f>
        <v>8</v>
      </c>
      <c r="V4588" s="6" t="str">
        <f>IFERROR(__xludf.DUMMYFUNCTION("""COMPUTED_VALUE"""),"")</f>
        <v/>
      </c>
      <c r="W4588" s="6" t="str">
        <f>IFERROR(__xludf.DUMMYFUNCTION("""COMPUTED_VALUE"""),"[]")</f>
        <v>[]</v>
      </c>
      <c r="X4588" s="6" t="str">
        <f>IFERROR(__xludf.DUMMYFUNCTION("""COMPUTED_VALUE"""),"Enrolled")</f>
        <v>Enrolled</v>
      </c>
    </row>
    <row r="4589">
      <c r="A4589" s="6" t="str">
        <f>IFERROR(__xludf.DUMMYFUNCTION("""COMPUTED_VALUE"""),"084-12951")</f>
        <v>084-12951</v>
      </c>
      <c r="B4589" s="6" t="str">
        <f>IFERROR(__xludf.DUMMYFUNCTION("""COMPUTED_VALUE"""),"84")</f>
        <v>84</v>
      </c>
      <c r="C4589" s="6" t="str">
        <f>IFERROR(__xludf.DUMMYFUNCTION("""COMPUTED_VALUE"""),"12951")</f>
        <v>12951</v>
      </c>
      <c r="D4589" s="6" t="str">
        <f>IFERROR(__xludf.DUMMYFUNCTION("""COMPUTED_VALUE"""),"Joshuar")</f>
        <v>Joshuar</v>
      </c>
      <c r="E4589" s="6" t="str">
        <f>IFERROR(__xludf.DUMMYFUNCTION("""COMPUTED_VALUE"""),"")</f>
        <v/>
      </c>
      <c r="F4589" s="6" t="str">
        <f>IFERROR(__xludf.DUMMYFUNCTION("""COMPUTED_VALUE"""),"Galindo Lagos")</f>
        <v>Galindo Lagos</v>
      </c>
      <c r="G4589" s="6" t="str">
        <f>IFERROR(__xludf.DUMMYFUNCTION("""COMPUTED_VALUE"""),"01/03/2011")</f>
        <v>01/03/2011</v>
      </c>
      <c r="H4589" s="6" t="str">
        <f>IFERROR(__xludf.DUMMYFUNCTION("""COMPUTED_VALUE"""),"male")</f>
        <v>male</v>
      </c>
      <c r="I4589" s="6" t="str">
        <f>IFERROR(__xludf.DUMMYFUNCTION("""COMPUTED_VALUE"""),"Middle School")</f>
        <v>Middle School</v>
      </c>
      <c r="J4589" s="6" t="str">
        <f>IFERROR(__xludf.DUMMYFUNCTION("""COMPUTED_VALUE"""),"8")</f>
        <v>8</v>
      </c>
      <c r="K4589" s="6" t="str">
        <f>IFERROR(__xludf.DUMMYFUNCTION("""COMPUTED_VALUE"""),"joshuar.galindolagos@2hourlearning.com")</f>
        <v>joshuar.galindolagos@2hourlearning.com</v>
      </c>
      <c r="L4589" s="6" t="str">
        <f>IFERROR(__xludf.DUMMYFUNCTION("""COMPUTED_VALUE"""),"JHMS - Hardeeville Junior Senior High School")</f>
        <v>JHMS - Hardeeville Junior Senior High School</v>
      </c>
      <c r="M4589" s="6" t="str">
        <f>IFERROR(__xludf.DUMMYFUNCTION("""COMPUTED_VALUE"""),"")</f>
        <v/>
      </c>
      <c r="N4589" s="6" t="str">
        <f>IFERROR(__xludf.DUMMYFUNCTION("""COMPUTED_VALUE"""),"")</f>
        <v/>
      </c>
      <c r="O4589" s="87" t="str">
        <f>IFERROR(__xludf.DUMMYFUNCTION("""COMPUTED_VALUE"""),"https://drive.google.com/drive/folders/10T2cTQHqEJZqE-st6uFKPoI?usp=share_link")</f>
        <v>https://drive.google.com/drive/folders/10T2cTQHqEJZqE-st6uFKPoI?usp=share_link</v>
      </c>
      <c r="P4589" s="6" t="str">
        <f>IFERROR(__xludf.DUMMYFUNCTION("""COMPUTED_VALUE"""),"Joshuar Galindo Lagos")</f>
        <v>Joshuar Galindo Lagos</v>
      </c>
      <c r="Q4589" s="6" t="str">
        <f>IFERROR(__xludf.DUMMYFUNCTION("""COMPUTED_VALUE"""),"MS")</f>
        <v>MS</v>
      </c>
      <c r="R4589" s="6">
        <f>IFERROR(__xludf.DUMMYFUNCTION("""COMPUTED_VALUE"""),0.0)</f>
        <v>0</v>
      </c>
      <c r="S4589" s="6" t="str">
        <f>IFERROR(__xludf.DUMMYFUNCTION("""COMPUTED_VALUE"""),"Kimberly Ball")</f>
        <v>Kimberly Ball</v>
      </c>
      <c r="T4589" s="6" t="str">
        <f>IFERROR(__xludf.DUMMYFUNCTION("""COMPUTED_VALUE"""),"kimberly.ball@studient.com")</f>
        <v>kimberly.ball@studient.com</v>
      </c>
      <c r="U4589" s="6" t="str">
        <f>IFERROR(__xludf.DUMMYFUNCTION("""COMPUTED_VALUE"""),"8")</f>
        <v>8</v>
      </c>
      <c r="V4589" s="6" t="str">
        <f>IFERROR(__xludf.DUMMYFUNCTION("""COMPUTED_VALUE"""),"")</f>
        <v/>
      </c>
      <c r="W4589" s="6" t="str">
        <f>IFERROR(__xludf.DUMMYFUNCTION("""COMPUTED_VALUE"""),"[]")</f>
        <v>[]</v>
      </c>
      <c r="X4589" s="6" t="str">
        <f>IFERROR(__xludf.DUMMYFUNCTION("""COMPUTED_VALUE"""),"Enrolled")</f>
        <v>Enrolled</v>
      </c>
    </row>
    <row r="4590">
      <c r="A4590" s="6" t="str">
        <f>IFERROR(__xludf.DUMMYFUNCTION("""COMPUTED_VALUE"""),"084-12952")</f>
        <v>084-12952</v>
      </c>
      <c r="B4590" s="6" t="str">
        <f>IFERROR(__xludf.DUMMYFUNCTION("""COMPUTED_VALUE"""),"84")</f>
        <v>84</v>
      </c>
      <c r="C4590" s="6" t="str">
        <f>IFERROR(__xludf.DUMMYFUNCTION("""COMPUTED_VALUE"""),"12952")</f>
        <v>12952</v>
      </c>
      <c r="D4590" s="6" t="str">
        <f>IFERROR(__xludf.DUMMYFUNCTION("""COMPUTED_VALUE"""),"Claudia")</f>
        <v>Claudia</v>
      </c>
      <c r="E4590" s="6" t="str">
        <f>IFERROR(__xludf.DUMMYFUNCTION("""COMPUTED_VALUE"""),"")</f>
        <v/>
      </c>
      <c r="F4590" s="6" t="str">
        <f>IFERROR(__xludf.DUMMYFUNCTION("""COMPUTED_VALUE"""),"Garcia Jaimes")</f>
        <v>Garcia Jaimes</v>
      </c>
      <c r="G4590" s="6" t="str">
        <f>IFERROR(__xludf.DUMMYFUNCTION("""COMPUTED_VALUE"""),"08/01/2011")</f>
        <v>08/01/2011</v>
      </c>
      <c r="H4590" s="6" t="str">
        <f>IFERROR(__xludf.DUMMYFUNCTION("""COMPUTED_VALUE"""),"female")</f>
        <v>female</v>
      </c>
      <c r="I4590" s="6" t="str">
        <f>IFERROR(__xludf.DUMMYFUNCTION("""COMPUTED_VALUE"""),"Middle School")</f>
        <v>Middle School</v>
      </c>
      <c r="J4590" s="6" t="str">
        <f>IFERROR(__xludf.DUMMYFUNCTION("""COMPUTED_VALUE"""),"8")</f>
        <v>8</v>
      </c>
      <c r="K4590" s="6" t="str">
        <f>IFERROR(__xludf.DUMMYFUNCTION("""COMPUTED_VALUE"""),"claudia.garciajaimes@2hourlearning.com")</f>
        <v>claudia.garciajaimes@2hourlearning.com</v>
      </c>
      <c r="L4590" s="6" t="str">
        <f>IFERROR(__xludf.DUMMYFUNCTION("""COMPUTED_VALUE"""),"JHMS - Hardeeville Junior Senior High School")</f>
        <v>JHMS - Hardeeville Junior Senior High School</v>
      </c>
      <c r="M4590" s="6" t="str">
        <f>IFERROR(__xludf.DUMMYFUNCTION("""COMPUTED_VALUE"""),"")</f>
        <v/>
      </c>
      <c r="N4590" s="6" t="str">
        <f>IFERROR(__xludf.DUMMYFUNCTION("""COMPUTED_VALUE"""),"")</f>
        <v/>
      </c>
      <c r="O4590" s="87" t="str">
        <f>IFERROR(__xludf.DUMMYFUNCTION("""COMPUTED_VALUE"""),"https://drive.google.com/drive/folders/10T2cTQHqEJZqE-st6uFKPoI?usp=share_link")</f>
        <v>https://drive.google.com/drive/folders/10T2cTQHqEJZqE-st6uFKPoI?usp=share_link</v>
      </c>
      <c r="P4590" s="6" t="str">
        <f>IFERROR(__xludf.DUMMYFUNCTION("""COMPUTED_VALUE"""),"Claudia Garcia Jaimes")</f>
        <v>Claudia Garcia Jaimes</v>
      </c>
      <c r="Q4590" s="6" t="str">
        <f>IFERROR(__xludf.DUMMYFUNCTION("""COMPUTED_VALUE"""),"MS")</f>
        <v>MS</v>
      </c>
      <c r="R4590" s="6">
        <f>IFERROR(__xludf.DUMMYFUNCTION("""COMPUTED_VALUE"""),0.0)</f>
        <v>0</v>
      </c>
      <c r="S4590" s="6" t="str">
        <f>IFERROR(__xludf.DUMMYFUNCTION("""COMPUTED_VALUE"""),"Kimberly Ball")</f>
        <v>Kimberly Ball</v>
      </c>
      <c r="T4590" s="6" t="str">
        <f>IFERROR(__xludf.DUMMYFUNCTION("""COMPUTED_VALUE"""),"kimberly.ball@studient.com")</f>
        <v>kimberly.ball@studient.com</v>
      </c>
      <c r="U4590" s="6" t="str">
        <f>IFERROR(__xludf.DUMMYFUNCTION("""COMPUTED_VALUE"""),"8")</f>
        <v>8</v>
      </c>
      <c r="V4590" s="6" t="str">
        <f>IFERROR(__xludf.DUMMYFUNCTION("""COMPUTED_VALUE"""),"")</f>
        <v/>
      </c>
      <c r="W4590" s="6" t="str">
        <f>IFERROR(__xludf.DUMMYFUNCTION("""COMPUTED_VALUE"""),"[]")</f>
        <v>[]</v>
      </c>
      <c r="X4590" s="6" t="str">
        <f>IFERROR(__xludf.DUMMYFUNCTION("""COMPUTED_VALUE"""),"Enrolled")</f>
        <v>Enrolled</v>
      </c>
    </row>
    <row r="4591">
      <c r="A4591" s="6" t="str">
        <f>IFERROR(__xludf.DUMMYFUNCTION("""COMPUTED_VALUE"""),"084-12953")</f>
        <v>084-12953</v>
      </c>
      <c r="B4591" s="6" t="str">
        <f>IFERROR(__xludf.DUMMYFUNCTION("""COMPUTED_VALUE"""),"84")</f>
        <v>84</v>
      </c>
      <c r="C4591" s="6" t="str">
        <f>IFERROR(__xludf.DUMMYFUNCTION("""COMPUTED_VALUE"""),"12953")</f>
        <v>12953</v>
      </c>
      <c r="D4591" s="6" t="str">
        <f>IFERROR(__xludf.DUMMYFUNCTION("""COMPUTED_VALUE"""),"Anthony")</f>
        <v>Anthony</v>
      </c>
      <c r="E4591" s="6" t="str">
        <f>IFERROR(__xludf.DUMMYFUNCTION("""COMPUTED_VALUE"""),"")</f>
        <v/>
      </c>
      <c r="F4591" s="6" t="str">
        <f>IFERROR(__xludf.DUMMYFUNCTION("""COMPUTED_VALUE"""),"Garcia Sanchez")</f>
        <v>Garcia Sanchez</v>
      </c>
      <c r="G4591" s="6" t="str">
        <f>IFERROR(__xludf.DUMMYFUNCTION("""COMPUTED_VALUE"""),"01/26/2012")</f>
        <v>01/26/2012</v>
      </c>
      <c r="H4591" s="6" t="str">
        <f>IFERROR(__xludf.DUMMYFUNCTION("""COMPUTED_VALUE"""),"male")</f>
        <v>male</v>
      </c>
      <c r="I4591" s="6" t="str">
        <f>IFERROR(__xludf.DUMMYFUNCTION("""COMPUTED_VALUE"""),"Middle School")</f>
        <v>Middle School</v>
      </c>
      <c r="J4591" s="6" t="str">
        <f>IFERROR(__xludf.DUMMYFUNCTION("""COMPUTED_VALUE"""),"8")</f>
        <v>8</v>
      </c>
      <c r="K4591" s="6" t="str">
        <f>IFERROR(__xludf.DUMMYFUNCTION("""COMPUTED_VALUE"""),"anthony.garciasanchez@2hourlearning.com")</f>
        <v>anthony.garciasanchez@2hourlearning.com</v>
      </c>
      <c r="L4591" s="6" t="str">
        <f>IFERROR(__xludf.DUMMYFUNCTION("""COMPUTED_VALUE"""),"JHMS - Hardeeville Junior Senior High School")</f>
        <v>JHMS - Hardeeville Junior Senior High School</v>
      </c>
      <c r="M4591" s="6" t="str">
        <f>IFERROR(__xludf.DUMMYFUNCTION("""COMPUTED_VALUE"""),"")</f>
        <v/>
      </c>
      <c r="N4591" s="6" t="str">
        <f>IFERROR(__xludf.DUMMYFUNCTION("""COMPUTED_VALUE"""),"")</f>
        <v/>
      </c>
      <c r="O4591" s="87" t="str">
        <f>IFERROR(__xludf.DUMMYFUNCTION("""COMPUTED_VALUE"""),"https://drive.google.com/drive/folders/10T2cTQHqEJZqE-st6uFKPoI?usp=share_link")</f>
        <v>https://drive.google.com/drive/folders/10T2cTQHqEJZqE-st6uFKPoI?usp=share_link</v>
      </c>
      <c r="P4591" s="6" t="str">
        <f>IFERROR(__xludf.DUMMYFUNCTION("""COMPUTED_VALUE"""),"Anthony Garcia Sanchez")</f>
        <v>Anthony Garcia Sanchez</v>
      </c>
      <c r="Q4591" s="6" t="str">
        <f>IFERROR(__xludf.DUMMYFUNCTION("""COMPUTED_VALUE"""),"MS")</f>
        <v>MS</v>
      </c>
      <c r="R4591" s="6">
        <f>IFERROR(__xludf.DUMMYFUNCTION("""COMPUTED_VALUE"""),0.0)</f>
        <v>0</v>
      </c>
      <c r="S4591" s="6" t="str">
        <f>IFERROR(__xludf.DUMMYFUNCTION("""COMPUTED_VALUE"""),"Kimberly Ball")</f>
        <v>Kimberly Ball</v>
      </c>
      <c r="T4591" s="6" t="str">
        <f>IFERROR(__xludf.DUMMYFUNCTION("""COMPUTED_VALUE"""),"kimberly.ball@studient.com")</f>
        <v>kimberly.ball@studient.com</v>
      </c>
      <c r="U4591" s="6" t="str">
        <f>IFERROR(__xludf.DUMMYFUNCTION("""COMPUTED_VALUE"""),"8")</f>
        <v>8</v>
      </c>
      <c r="V4591" s="6" t="str">
        <f>IFERROR(__xludf.DUMMYFUNCTION("""COMPUTED_VALUE"""),"")</f>
        <v/>
      </c>
      <c r="W4591" s="6" t="str">
        <f>IFERROR(__xludf.DUMMYFUNCTION("""COMPUTED_VALUE"""),"[]")</f>
        <v>[]</v>
      </c>
      <c r="X4591" s="6" t="str">
        <f>IFERROR(__xludf.DUMMYFUNCTION("""COMPUTED_VALUE"""),"Enrolled")</f>
        <v>Enrolled</v>
      </c>
    </row>
    <row r="4592">
      <c r="A4592" s="6" t="str">
        <f>IFERROR(__xludf.DUMMYFUNCTION("""COMPUTED_VALUE"""),"084-12954")</f>
        <v>084-12954</v>
      </c>
      <c r="B4592" s="6" t="str">
        <f>IFERROR(__xludf.DUMMYFUNCTION("""COMPUTED_VALUE"""),"84")</f>
        <v>84</v>
      </c>
      <c r="C4592" s="6" t="str">
        <f>IFERROR(__xludf.DUMMYFUNCTION("""COMPUTED_VALUE"""),"12954")</f>
        <v>12954</v>
      </c>
      <c r="D4592" s="6" t="str">
        <f>IFERROR(__xludf.DUMMYFUNCTION("""COMPUTED_VALUE"""),"William")</f>
        <v>William</v>
      </c>
      <c r="E4592" s="6" t="str">
        <f>IFERROR(__xludf.DUMMYFUNCTION("""COMPUTED_VALUE"""),"")</f>
        <v/>
      </c>
      <c r="F4592" s="6" t="str">
        <f>IFERROR(__xludf.DUMMYFUNCTION("""COMPUTED_VALUE"""),"Garcia Velasquez")</f>
        <v>Garcia Velasquez</v>
      </c>
      <c r="G4592" s="6" t="str">
        <f>IFERROR(__xludf.DUMMYFUNCTION("""COMPUTED_VALUE"""),"12/28/2011")</f>
        <v>12/28/2011</v>
      </c>
      <c r="H4592" s="6" t="str">
        <f>IFERROR(__xludf.DUMMYFUNCTION("""COMPUTED_VALUE"""),"Self Identify")</f>
        <v>Self Identify</v>
      </c>
      <c r="I4592" s="6" t="str">
        <f>IFERROR(__xludf.DUMMYFUNCTION("""COMPUTED_VALUE"""),"Middle School")</f>
        <v>Middle School</v>
      </c>
      <c r="J4592" s="6" t="str">
        <f>IFERROR(__xludf.DUMMYFUNCTION("""COMPUTED_VALUE"""),"8")</f>
        <v>8</v>
      </c>
      <c r="K4592" s="6" t="str">
        <f>IFERROR(__xludf.DUMMYFUNCTION("""COMPUTED_VALUE"""),"william.garciavelasquez@2hourlearning.com")</f>
        <v>william.garciavelasquez@2hourlearning.com</v>
      </c>
      <c r="L4592" s="6" t="str">
        <f>IFERROR(__xludf.DUMMYFUNCTION("""COMPUTED_VALUE"""),"JHMS - Hardeeville Junior Senior High School")</f>
        <v>JHMS - Hardeeville Junior Senior High School</v>
      </c>
      <c r="M4592" s="6" t="str">
        <f>IFERROR(__xludf.DUMMYFUNCTION("""COMPUTED_VALUE"""),"")</f>
        <v/>
      </c>
      <c r="N4592" s="6" t="str">
        <f>IFERROR(__xludf.DUMMYFUNCTION("""COMPUTED_VALUE"""),"")</f>
        <v/>
      </c>
      <c r="O4592" s="87" t="str">
        <f>IFERROR(__xludf.DUMMYFUNCTION("""COMPUTED_VALUE"""),"https://drive.google.com/drive/folders/10T2cTQHqEJZqE-st6uFKPoI?usp=share_link")</f>
        <v>https://drive.google.com/drive/folders/10T2cTQHqEJZqE-st6uFKPoI?usp=share_link</v>
      </c>
      <c r="P4592" s="6" t="str">
        <f>IFERROR(__xludf.DUMMYFUNCTION("""COMPUTED_VALUE"""),"William Garcia Velasquez")</f>
        <v>William Garcia Velasquez</v>
      </c>
      <c r="Q4592" s="6" t="str">
        <f>IFERROR(__xludf.DUMMYFUNCTION("""COMPUTED_VALUE"""),"MS")</f>
        <v>MS</v>
      </c>
      <c r="R4592" s="6">
        <f>IFERROR(__xludf.DUMMYFUNCTION("""COMPUTED_VALUE"""),0.0)</f>
        <v>0</v>
      </c>
      <c r="S4592" s="6" t="str">
        <f>IFERROR(__xludf.DUMMYFUNCTION("""COMPUTED_VALUE"""),"Kimberly Ball")</f>
        <v>Kimberly Ball</v>
      </c>
      <c r="T4592" s="6" t="str">
        <f>IFERROR(__xludf.DUMMYFUNCTION("""COMPUTED_VALUE"""),"kimberly.ball@studient.com")</f>
        <v>kimberly.ball@studient.com</v>
      </c>
      <c r="U4592" s="6" t="str">
        <f>IFERROR(__xludf.DUMMYFUNCTION("""COMPUTED_VALUE"""),"8")</f>
        <v>8</v>
      </c>
      <c r="V4592" s="6" t="str">
        <f>IFERROR(__xludf.DUMMYFUNCTION("""COMPUTED_VALUE"""),"")</f>
        <v/>
      </c>
      <c r="W4592" s="6" t="str">
        <f>IFERROR(__xludf.DUMMYFUNCTION("""COMPUTED_VALUE"""),"[]")</f>
        <v>[]</v>
      </c>
      <c r="X4592" s="6" t="str">
        <f>IFERROR(__xludf.DUMMYFUNCTION("""COMPUTED_VALUE"""),"Enrolled")</f>
        <v>Enrolled</v>
      </c>
    </row>
    <row r="4593">
      <c r="A4593" s="6" t="str">
        <f>IFERROR(__xludf.DUMMYFUNCTION("""COMPUTED_VALUE"""),"084-12955")</f>
        <v>084-12955</v>
      </c>
      <c r="B4593" s="6" t="str">
        <f>IFERROR(__xludf.DUMMYFUNCTION("""COMPUTED_VALUE"""),"84")</f>
        <v>84</v>
      </c>
      <c r="C4593" s="6" t="str">
        <f>IFERROR(__xludf.DUMMYFUNCTION("""COMPUTED_VALUE"""),"12955")</f>
        <v>12955</v>
      </c>
      <c r="D4593" s="6" t="str">
        <f>IFERROR(__xludf.DUMMYFUNCTION("""COMPUTED_VALUE"""),"Ja'Niyiah")</f>
        <v>Ja'Niyiah</v>
      </c>
      <c r="E4593" s="6" t="str">
        <f>IFERROR(__xludf.DUMMYFUNCTION("""COMPUTED_VALUE"""),"")</f>
        <v/>
      </c>
      <c r="F4593" s="6" t="str">
        <f>IFERROR(__xludf.DUMMYFUNCTION("""COMPUTED_VALUE"""),"Garvin")</f>
        <v>Garvin</v>
      </c>
      <c r="G4593" s="6" t="str">
        <f>IFERROR(__xludf.DUMMYFUNCTION("""COMPUTED_VALUE"""),"04/05/2012")</f>
        <v>04/05/2012</v>
      </c>
      <c r="H4593" s="6" t="str">
        <f>IFERROR(__xludf.DUMMYFUNCTION("""COMPUTED_VALUE"""),"male")</f>
        <v>male</v>
      </c>
      <c r="I4593" s="6" t="str">
        <f>IFERROR(__xludf.DUMMYFUNCTION("""COMPUTED_VALUE"""),"Middle School")</f>
        <v>Middle School</v>
      </c>
      <c r="J4593" s="6" t="str">
        <f>IFERROR(__xludf.DUMMYFUNCTION("""COMPUTED_VALUE"""),"8")</f>
        <v>8</v>
      </c>
      <c r="K4593" s="6" t="str">
        <f>IFERROR(__xludf.DUMMYFUNCTION("""COMPUTED_VALUE"""),"janiyiah.garvin@2hourlearning.com")</f>
        <v>janiyiah.garvin@2hourlearning.com</v>
      </c>
      <c r="L4593" s="6" t="str">
        <f>IFERROR(__xludf.DUMMYFUNCTION("""COMPUTED_VALUE"""),"JHMS - Hardeeville Junior Senior High School")</f>
        <v>JHMS - Hardeeville Junior Senior High School</v>
      </c>
      <c r="M4593" s="6" t="str">
        <f>IFERROR(__xludf.DUMMYFUNCTION("""COMPUTED_VALUE"""),"")</f>
        <v/>
      </c>
      <c r="N4593" s="6" t="str">
        <f>IFERROR(__xludf.DUMMYFUNCTION("""COMPUTED_VALUE"""),"")</f>
        <v/>
      </c>
      <c r="O4593" s="87" t="str">
        <f>IFERROR(__xludf.DUMMYFUNCTION("""COMPUTED_VALUE"""),"https://drive.google.com/drive/folders/10T2cTQHqEJZqE-st6uFKPoI?usp=share_link")</f>
        <v>https://drive.google.com/drive/folders/10T2cTQHqEJZqE-st6uFKPoI?usp=share_link</v>
      </c>
      <c r="P4593" s="6" t="str">
        <f>IFERROR(__xludf.DUMMYFUNCTION("""COMPUTED_VALUE"""),"Ja'Niyiah Garvin")</f>
        <v>Ja'Niyiah Garvin</v>
      </c>
      <c r="Q4593" s="6" t="str">
        <f>IFERROR(__xludf.DUMMYFUNCTION("""COMPUTED_VALUE"""),"MS")</f>
        <v>MS</v>
      </c>
      <c r="R4593" s="6">
        <f>IFERROR(__xludf.DUMMYFUNCTION("""COMPUTED_VALUE"""),0.0)</f>
        <v>0</v>
      </c>
      <c r="S4593" s="6" t="str">
        <f>IFERROR(__xludf.DUMMYFUNCTION("""COMPUTED_VALUE"""),"Kimberly Ball")</f>
        <v>Kimberly Ball</v>
      </c>
      <c r="T4593" s="6" t="str">
        <f>IFERROR(__xludf.DUMMYFUNCTION("""COMPUTED_VALUE"""),"kimberly.ball@studient.com")</f>
        <v>kimberly.ball@studient.com</v>
      </c>
      <c r="U4593" s="6" t="str">
        <f>IFERROR(__xludf.DUMMYFUNCTION("""COMPUTED_VALUE"""),"8")</f>
        <v>8</v>
      </c>
      <c r="V4593" s="6" t="str">
        <f>IFERROR(__xludf.DUMMYFUNCTION("""COMPUTED_VALUE"""),"")</f>
        <v/>
      </c>
      <c r="W4593" s="6" t="str">
        <f>IFERROR(__xludf.DUMMYFUNCTION("""COMPUTED_VALUE"""),"[]")</f>
        <v>[]</v>
      </c>
      <c r="X4593" s="6" t="str">
        <f>IFERROR(__xludf.DUMMYFUNCTION("""COMPUTED_VALUE"""),"Enrolled")</f>
        <v>Enrolled</v>
      </c>
    </row>
    <row r="4594">
      <c r="A4594" s="6" t="str">
        <f>IFERROR(__xludf.DUMMYFUNCTION("""COMPUTED_VALUE"""),"084-12956")</f>
        <v>084-12956</v>
      </c>
      <c r="B4594" s="6" t="str">
        <f>IFERROR(__xludf.DUMMYFUNCTION("""COMPUTED_VALUE"""),"84")</f>
        <v>84</v>
      </c>
      <c r="C4594" s="6" t="str">
        <f>IFERROR(__xludf.DUMMYFUNCTION("""COMPUTED_VALUE"""),"12956")</f>
        <v>12956</v>
      </c>
      <c r="D4594" s="6" t="str">
        <f>IFERROR(__xludf.DUMMYFUNCTION("""COMPUTED_VALUE"""),"Tajae'")</f>
        <v>Tajae'</v>
      </c>
      <c r="E4594" s="6" t="str">
        <f>IFERROR(__xludf.DUMMYFUNCTION("""COMPUTED_VALUE"""),"")</f>
        <v/>
      </c>
      <c r="F4594" s="6" t="str">
        <f>IFERROR(__xludf.DUMMYFUNCTION("""COMPUTED_VALUE"""),"Garvin")</f>
        <v>Garvin</v>
      </c>
      <c r="G4594" s="6" t="str">
        <f>IFERROR(__xludf.DUMMYFUNCTION("""COMPUTED_VALUE"""),"03/28/2013")</f>
        <v>03/28/2013</v>
      </c>
      <c r="H4594" s="6" t="str">
        <f>IFERROR(__xludf.DUMMYFUNCTION("""COMPUTED_VALUE"""),"male")</f>
        <v>male</v>
      </c>
      <c r="I4594" s="6" t="str">
        <f>IFERROR(__xludf.DUMMYFUNCTION("""COMPUTED_VALUE"""),"Middle School")</f>
        <v>Middle School</v>
      </c>
      <c r="J4594" s="6" t="str">
        <f>IFERROR(__xludf.DUMMYFUNCTION("""COMPUTED_VALUE"""),"8")</f>
        <v>8</v>
      </c>
      <c r="K4594" s="6" t="str">
        <f>IFERROR(__xludf.DUMMYFUNCTION("""COMPUTED_VALUE"""),"tajae.garvin@2hourlearning.com")</f>
        <v>tajae.garvin@2hourlearning.com</v>
      </c>
      <c r="L4594" s="6" t="str">
        <f>IFERROR(__xludf.DUMMYFUNCTION("""COMPUTED_VALUE"""),"JHMS - Hardeeville Junior Senior High School")</f>
        <v>JHMS - Hardeeville Junior Senior High School</v>
      </c>
      <c r="M4594" s="6" t="str">
        <f>IFERROR(__xludf.DUMMYFUNCTION("""COMPUTED_VALUE"""),"")</f>
        <v/>
      </c>
      <c r="N4594" s="6" t="str">
        <f>IFERROR(__xludf.DUMMYFUNCTION("""COMPUTED_VALUE"""),"")</f>
        <v/>
      </c>
      <c r="O4594" s="87" t="str">
        <f>IFERROR(__xludf.DUMMYFUNCTION("""COMPUTED_VALUE"""),"https://drive.google.com/drive/folders/10T2cTQHqEJZqE-st6uFKPoI?usp=share_link")</f>
        <v>https://drive.google.com/drive/folders/10T2cTQHqEJZqE-st6uFKPoI?usp=share_link</v>
      </c>
      <c r="P4594" s="6" t="str">
        <f>IFERROR(__xludf.DUMMYFUNCTION("""COMPUTED_VALUE"""),"Tajae' Garvin")</f>
        <v>Tajae' Garvin</v>
      </c>
      <c r="Q4594" s="6" t="str">
        <f>IFERROR(__xludf.DUMMYFUNCTION("""COMPUTED_VALUE"""),"MS")</f>
        <v>MS</v>
      </c>
      <c r="R4594" s="6">
        <f>IFERROR(__xludf.DUMMYFUNCTION("""COMPUTED_VALUE"""),0.0)</f>
        <v>0</v>
      </c>
      <c r="S4594" s="6" t="str">
        <f>IFERROR(__xludf.DUMMYFUNCTION("""COMPUTED_VALUE"""),"Kimberly Ball")</f>
        <v>Kimberly Ball</v>
      </c>
      <c r="T4594" s="6" t="str">
        <f>IFERROR(__xludf.DUMMYFUNCTION("""COMPUTED_VALUE"""),"kimberly.ball@studient.com")</f>
        <v>kimberly.ball@studient.com</v>
      </c>
      <c r="U4594" s="6" t="str">
        <f>IFERROR(__xludf.DUMMYFUNCTION("""COMPUTED_VALUE"""),"8")</f>
        <v>8</v>
      </c>
      <c r="V4594" s="6" t="str">
        <f>IFERROR(__xludf.DUMMYFUNCTION("""COMPUTED_VALUE"""),"")</f>
        <v/>
      </c>
      <c r="W4594" s="6" t="str">
        <f>IFERROR(__xludf.DUMMYFUNCTION("""COMPUTED_VALUE"""),"[]")</f>
        <v>[]</v>
      </c>
      <c r="X4594" s="6" t="str">
        <f>IFERROR(__xludf.DUMMYFUNCTION("""COMPUTED_VALUE"""),"Enrolled")</f>
        <v>Enrolled</v>
      </c>
    </row>
    <row r="4595">
      <c r="A4595" s="6" t="str">
        <f>IFERROR(__xludf.DUMMYFUNCTION("""COMPUTED_VALUE"""),"084-12957")</f>
        <v>084-12957</v>
      </c>
      <c r="B4595" s="6" t="str">
        <f>IFERROR(__xludf.DUMMYFUNCTION("""COMPUTED_VALUE"""),"84")</f>
        <v>84</v>
      </c>
      <c r="C4595" s="6" t="str">
        <f>IFERROR(__xludf.DUMMYFUNCTION("""COMPUTED_VALUE"""),"12957")</f>
        <v>12957</v>
      </c>
      <c r="D4595" s="6" t="str">
        <f>IFERROR(__xludf.DUMMYFUNCTION("""COMPUTED_VALUE"""),"Misael")</f>
        <v>Misael</v>
      </c>
      <c r="E4595" s="6" t="str">
        <f>IFERROR(__xludf.DUMMYFUNCTION("""COMPUTED_VALUE"""),"")</f>
        <v/>
      </c>
      <c r="F4595" s="6" t="str">
        <f>IFERROR(__xludf.DUMMYFUNCTION("""COMPUTED_VALUE"""),"Garzon")</f>
        <v>Garzon</v>
      </c>
      <c r="G4595" s="6" t="str">
        <f>IFERROR(__xludf.DUMMYFUNCTION("""COMPUTED_VALUE"""),"03/28/2012")</f>
        <v>03/28/2012</v>
      </c>
      <c r="H4595" s="6" t="str">
        <f>IFERROR(__xludf.DUMMYFUNCTION("""COMPUTED_VALUE"""),"female")</f>
        <v>female</v>
      </c>
      <c r="I4595" s="6" t="str">
        <f>IFERROR(__xludf.DUMMYFUNCTION("""COMPUTED_VALUE"""),"Middle School")</f>
        <v>Middle School</v>
      </c>
      <c r="J4595" s="6" t="str">
        <f>IFERROR(__xludf.DUMMYFUNCTION("""COMPUTED_VALUE"""),"8")</f>
        <v>8</v>
      </c>
      <c r="K4595" s="6" t="str">
        <f>IFERROR(__xludf.DUMMYFUNCTION("""COMPUTED_VALUE"""),"misael.garzon@2hourlearning.com")</f>
        <v>misael.garzon@2hourlearning.com</v>
      </c>
      <c r="L4595" s="6" t="str">
        <f>IFERROR(__xludf.DUMMYFUNCTION("""COMPUTED_VALUE"""),"JHMS - Hardeeville Junior Senior High School")</f>
        <v>JHMS - Hardeeville Junior Senior High School</v>
      </c>
      <c r="M4595" s="6" t="str">
        <f>IFERROR(__xludf.DUMMYFUNCTION("""COMPUTED_VALUE"""),"")</f>
        <v/>
      </c>
      <c r="N4595" s="6" t="str">
        <f>IFERROR(__xludf.DUMMYFUNCTION("""COMPUTED_VALUE"""),"")</f>
        <v/>
      </c>
      <c r="O4595" s="87" t="str">
        <f>IFERROR(__xludf.DUMMYFUNCTION("""COMPUTED_VALUE"""),"https://drive.google.com/drive/folders/10T2cTQHqEJZqE-st6uFKPoI?usp=share_link")</f>
        <v>https://drive.google.com/drive/folders/10T2cTQHqEJZqE-st6uFKPoI?usp=share_link</v>
      </c>
      <c r="P4595" s="6" t="str">
        <f>IFERROR(__xludf.DUMMYFUNCTION("""COMPUTED_VALUE"""),"Misael Garzon")</f>
        <v>Misael Garzon</v>
      </c>
      <c r="Q4595" s="6" t="str">
        <f>IFERROR(__xludf.DUMMYFUNCTION("""COMPUTED_VALUE"""),"MS")</f>
        <v>MS</v>
      </c>
      <c r="R4595" s="6">
        <f>IFERROR(__xludf.DUMMYFUNCTION("""COMPUTED_VALUE"""),0.0)</f>
        <v>0</v>
      </c>
      <c r="S4595" s="6" t="str">
        <f>IFERROR(__xludf.DUMMYFUNCTION("""COMPUTED_VALUE"""),"Kimberly Ball")</f>
        <v>Kimberly Ball</v>
      </c>
      <c r="T4595" s="6" t="str">
        <f>IFERROR(__xludf.DUMMYFUNCTION("""COMPUTED_VALUE"""),"kimberly.ball@studient.com")</f>
        <v>kimberly.ball@studient.com</v>
      </c>
      <c r="U4595" s="6" t="str">
        <f>IFERROR(__xludf.DUMMYFUNCTION("""COMPUTED_VALUE"""),"8")</f>
        <v>8</v>
      </c>
      <c r="V4595" s="6" t="str">
        <f>IFERROR(__xludf.DUMMYFUNCTION("""COMPUTED_VALUE"""),"")</f>
        <v/>
      </c>
      <c r="W4595" s="6" t="str">
        <f>IFERROR(__xludf.DUMMYFUNCTION("""COMPUTED_VALUE"""),"[]")</f>
        <v>[]</v>
      </c>
      <c r="X4595" s="6" t="str">
        <f>IFERROR(__xludf.DUMMYFUNCTION("""COMPUTED_VALUE"""),"Enrolled")</f>
        <v>Enrolled</v>
      </c>
    </row>
    <row r="4596">
      <c r="A4596" s="6" t="str">
        <f>IFERROR(__xludf.DUMMYFUNCTION("""COMPUTED_VALUE"""),"084-12958")</f>
        <v>084-12958</v>
      </c>
      <c r="B4596" s="6" t="str">
        <f>IFERROR(__xludf.DUMMYFUNCTION("""COMPUTED_VALUE"""),"84")</f>
        <v>84</v>
      </c>
      <c r="C4596" s="6" t="str">
        <f>IFERROR(__xludf.DUMMYFUNCTION("""COMPUTED_VALUE"""),"12958")</f>
        <v>12958</v>
      </c>
      <c r="D4596" s="6" t="str">
        <f>IFERROR(__xludf.DUMMYFUNCTION("""COMPUTED_VALUE"""),"Henry")</f>
        <v>Henry</v>
      </c>
      <c r="E4596" s="6" t="str">
        <f>IFERROR(__xludf.DUMMYFUNCTION("""COMPUTED_VALUE"""),"")</f>
        <v/>
      </c>
      <c r="F4596" s="6" t="str">
        <f>IFERROR(__xludf.DUMMYFUNCTION("""COMPUTED_VALUE"""),"Giron Perez")</f>
        <v>Giron Perez</v>
      </c>
      <c r="G4596" s="6" t="str">
        <f>IFERROR(__xludf.DUMMYFUNCTION("""COMPUTED_VALUE"""),"05/29/2012")</f>
        <v>05/29/2012</v>
      </c>
      <c r="H4596" s="6" t="str">
        <f>IFERROR(__xludf.DUMMYFUNCTION("""COMPUTED_VALUE"""),"male")</f>
        <v>male</v>
      </c>
      <c r="I4596" s="6" t="str">
        <f>IFERROR(__xludf.DUMMYFUNCTION("""COMPUTED_VALUE"""),"Middle School")</f>
        <v>Middle School</v>
      </c>
      <c r="J4596" s="6" t="str">
        <f>IFERROR(__xludf.DUMMYFUNCTION("""COMPUTED_VALUE"""),"8")</f>
        <v>8</v>
      </c>
      <c r="K4596" s="6" t="str">
        <f>IFERROR(__xludf.DUMMYFUNCTION("""COMPUTED_VALUE"""),"henry.gironperez@2hourlearning.com")</f>
        <v>henry.gironperez@2hourlearning.com</v>
      </c>
      <c r="L4596" s="6" t="str">
        <f>IFERROR(__xludf.DUMMYFUNCTION("""COMPUTED_VALUE"""),"JHMS - Hardeeville Junior Senior High School")</f>
        <v>JHMS - Hardeeville Junior Senior High School</v>
      </c>
      <c r="M4596" s="6" t="str">
        <f>IFERROR(__xludf.DUMMYFUNCTION("""COMPUTED_VALUE"""),"")</f>
        <v/>
      </c>
      <c r="N4596" s="6" t="str">
        <f>IFERROR(__xludf.DUMMYFUNCTION("""COMPUTED_VALUE"""),"")</f>
        <v/>
      </c>
      <c r="O4596" s="87" t="str">
        <f>IFERROR(__xludf.DUMMYFUNCTION("""COMPUTED_VALUE"""),"https://drive.google.com/drive/folders/10T2cTQHqEJZqE-st6uFKPoI?usp=share_link")</f>
        <v>https://drive.google.com/drive/folders/10T2cTQHqEJZqE-st6uFKPoI?usp=share_link</v>
      </c>
      <c r="P4596" s="6" t="str">
        <f>IFERROR(__xludf.DUMMYFUNCTION("""COMPUTED_VALUE"""),"Henry Giron Perez")</f>
        <v>Henry Giron Perez</v>
      </c>
      <c r="Q4596" s="6" t="str">
        <f>IFERROR(__xludf.DUMMYFUNCTION("""COMPUTED_VALUE"""),"MS")</f>
        <v>MS</v>
      </c>
      <c r="R4596" s="6">
        <f>IFERROR(__xludf.DUMMYFUNCTION("""COMPUTED_VALUE"""),0.0)</f>
        <v>0</v>
      </c>
      <c r="S4596" s="6" t="str">
        <f>IFERROR(__xludf.DUMMYFUNCTION("""COMPUTED_VALUE"""),"Kimberly Ball")</f>
        <v>Kimberly Ball</v>
      </c>
      <c r="T4596" s="6" t="str">
        <f>IFERROR(__xludf.DUMMYFUNCTION("""COMPUTED_VALUE"""),"kimberly.ball@studient.com")</f>
        <v>kimberly.ball@studient.com</v>
      </c>
      <c r="U4596" s="6" t="str">
        <f>IFERROR(__xludf.DUMMYFUNCTION("""COMPUTED_VALUE"""),"8")</f>
        <v>8</v>
      </c>
      <c r="V4596" s="6" t="str">
        <f>IFERROR(__xludf.DUMMYFUNCTION("""COMPUTED_VALUE"""),"")</f>
        <v/>
      </c>
      <c r="W4596" s="6" t="str">
        <f>IFERROR(__xludf.DUMMYFUNCTION("""COMPUTED_VALUE"""),"[]")</f>
        <v>[]</v>
      </c>
      <c r="X4596" s="6" t="str">
        <f>IFERROR(__xludf.DUMMYFUNCTION("""COMPUTED_VALUE"""),"Enrolled")</f>
        <v>Enrolled</v>
      </c>
    </row>
    <row r="4597">
      <c r="A4597" s="6" t="str">
        <f>IFERROR(__xludf.DUMMYFUNCTION("""COMPUTED_VALUE"""),"084-12959")</f>
        <v>084-12959</v>
      </c>
      <c r="B4597" s="6" t="str">
        <f>IFERROR(__xludf.DUMMYFUNCTION("""COMPUTED_VALUE"""),"84")</f>
        <v>84</v>
      </c>
      <c r="C4597" s="6" t="str">
        <f>IFERROR(__xludf.DUMMYFUNCTION("""COMPUTED_VALUE"""),"12959")</f>
        <v>12959</v>
      </c>
      <c r="D4597" s="6" t="str">
        <f>IFERROR(__xludf.DUMMYFUNCTION("""COMPUTED_VALUE"""),"D'Aisha")</f>
        <v>D'Aisha</v>
      </c>
      <c r="E4597" s="6" t="str">
        <f>IFERROR(__xludf.DUMMYFUNCTION("""COMPUTED_VALUE"""),"")</f>
        <v/>
      </c>
      <c r="F4597" s="6" t="str">
        <f>IFERROR(__xludf.DUMMYFUNCTION("""COMPUTED_VALUE"""),"Glasscho")</f>
        <v>Glasscho</v>
      </c>
      <c r="G4597" s="6" t="str">
        <f>IFERROR(__xludf.DUMMYFUNCTION("""COMPUTED_VALUE"""),"01/27/2012")</f>
        <v>01/27/2012</v>
      </c>
      <c r="H4597" s="6" t="str">
        <f>IFERROR(__xludf.DUMMYFUNCTION("""COMPUTED_VALUE"""),"male")</f>
        <v>male</v>
      </c>
      <c r="I4597" s="6" t="str">
        <f>IFERROR(__xludf.DUMMYFUNCTION("""COMPUTED_VALUE"""),"Middle School")</f>
        <v>Middle School</v>
      </c>
      <c r="J4597" s="6" t="str">
        <f>IFERROR(__xludf.DUMMYFUNCTION("""COMPUTED_VALUE"""),"8")</f>
        <v>8</v>
      </c>
      <c r="K4597" s="6" t="str">
        <f>IFERROR(__xludf.DUMMYFUNCTION("""COMPUTED_VALUE"""),"daisha.glasscho@2hourlearning.com")</f>
        <v>daisha.glasscho@2hourlearning.com</v>
      </c>
      <c r="L4597" s="6" t="str">
        <f>IFERROR(__xludf.DUMMYFUNCTION("""COMPUTED_VALUE"""),"JHMS - Hardeeville Junior Senior High School")</f>
        <v>JHMS - Hardeeville Junior Senior High School</v>
      </c>
      <c r="M4597" s="6" t="str">
        <f>IFERROR(__xludf.DUMMYFUNCTION("""COMPUTED_VALUE"""),"")</f>
        <v/>
      </c>
      <c r="N4597" s="6" t="str">
        <f>IFERROR(__xludf.DUMMYFUNCTION("""COMPUTED_VALUE"""),"")</f>
        <v/>
      </c>
      <c r="O4597" s="87" t="str">
        <f>IFERROR(__xludf.DUMMYFUNCTION("""COMPUTED_VALUE"""),"https://drive.google.com/drive/folders/10T2cTQHqEJZqE-st6uFKPoI?usp=share_link")</f>
        <v>https://drive.google.com/drive/folders/10T2cTQHqEJZqE-st6uFKPoI?usp=share_link</v>
      </c>
      <c r="P4597" s="6" t="str">
        <f>IFERROR(__xludf.DUMMYFUNCTION("""COMPUTED_VALUE"""),"D'Aisha Glasscho")</f>
        <v>D'Aisha Glasscho</v>
      </c>
      <c r="Q4597" s="6" t="str">
        <f>IFERROR(__xludf.DUMMYFUNCTION("""COMPUTED_VALUE"""),"MS")</f>
        <v>MS</v>
      </c>
      <c r="R4597" s="6">
        <f>IFERROR(__xludf.DUMMYFUNCTION("""COMPUTED_VALUE"""),0.0)</f>
        <v>0</v>
      </c>
      <c r="S4597" s="6" t="str">
        <f>IFERROR(__xludf.DUMMYFUNCTION("""COMPUTED_VALUE"""),"Kimberly Ball")</f>
        <v>Kimberly Ball</v>
      </c>
      <c r="T4597" s="6" t="str">
        <f>IFERROR(__xludf.DUMMYFUNCTION("""COMPUTED_VALUE"""),"kimberly.ball@studient.com")</f>
        <v>kimberly.ball@studient.com</v>
      </c>
      <c r="U4597" s="6" t="str">
        <f>IFERROR(__xludf.DUMMYFUNCTION("""COMPUTED_VALUE"""),"8")</f>
        <v>8</v>
      </c>
      <c r="V4597" s="6" t="str">
        <f>IFERROR(__xludf.DUMMYFUNCTION("""COMPUTED_VALUE"""),"")</f>
        <v/>
      </c>
      <c r="W4597" s="6" t="str">
        <f>IFERROR(__xludf.DUMMYFUNCTION("""COMPUTED_VALUE"""),"[]")</f>
        <v>[]</v>
      </c>
      <c r="X4597" s="6" t="str">
        <f>IFERROR(__xludf.DUMMYFUNCTION("""COMPUTED_VALUE"""),"Enrolled")</f>
        <v>Enrolled</v>
      </c>
    </row>
    <row r="4598">
      <c r="A4598" s="6" t="str">
        <f>IFERROR(__xludf.DUMMYFUNCTION("""COMPUTED_VALUE"""),"084-12960")</f>
        <v>084-12960</v>
      </c>
      <c r="B4598" s="6" t="str">
        <f>IFERROR(__xludf.DUMMYFUNCTION("""COMPUTED_VALUE"""),"84")</f>
        <v>84</v>
      </c>
      <c r="C4598" s="6" t="str">
        <f>IFERROR(__xludf.DUMMYFUNCTION("""COMPUTED_VALUE"""),"12960")</f>
        <v>12960</v>
      </c>
      <c r="D4598" s="6" t="str">
        <f>IFERROR(__xludf.DUMMYFUNCTION("""COMPUTED_VALUE"""),"Javier")</f>
        <v>Javier</v>
      </c>
      <c r="E4598" s="6" t="str">
        <f>IFERROR(__xludf.DUMMYFUNCTION("""COMPUTED_VALUE"""),"")</f>
        <v/>
      </c>
      <c r="F4598" s="6" t="str">
        <f>IFERROR(__xludf.DUMMYFUNCTION("""COMPUTED_VALUE"""),"Gomez Rodriguez")</f>
        <v>Gomez Rodriguez</v>
      </c>
      <c r="G4598" s="6" t="str">
        <f>IFERROR(__xludf.DUMMYFUNCTION("""COMPUTED_VALUE"""),"07/31/2011")</f>
        <v>07/31/2011</v>
      </c>
      <c r="H4598" s="6" t="str">
        <f>IFERROR(__xludf.DUMMYFUNCTION("""COMPUTED_VALUE"""),"female")</f>
        <v>female</v>
      </c>
      <c r="I4598" s="6" t="str">
        <f>IFERROR(__xludf.DUMMYFUNCTION("""COMPUTED_VALUE"""),"Middle School")</f>
        <v>Middle School</v>
      </c>
      <c r="J4598" s="6" t="str">
        <f>IFERROR(__xludf.DUMMYFUNCTION("""COMPUTED_VALUE"""),"8")</f>
        <v>8</v>
      </c>
      <c r="K4598" s="6" t="str">
        <f>IFERROR(__xludf.DUMMYFUNCTION("""COMPUTED_VALUE"""),"javier.gomezrodriguez@2hourlearning.com")</f>
        <v>javier.gomezrodriguez@2hourlearning.com</v>
      </c>
      <c r="L4598" s="6" t="str">
        <f>IFERROR(__xludf.DUMMYFUNCTION("""COMPUTED_VALUE"""),"JHMS - Hardeeville Junior Senior High School")</f>
        <v>JHMS - Hardeeville Junior Senior High School</v>
      </c>
      <c r="M4598" s="6" t="str">
        <f>IFERROR(__xludf.DUMMYFUNCTION("""COMPUTED_VALUE"""),"")</f>
        <v/>
      </c>
      <c r="N4598" s="6" t="str">
        <f>IFERROR(__xludf.DUMMYFUNCTION("""COMPUTED_VALUE"""),"")</f>
        <v/>
      </c>
      <c r="O4598" s="87" t="str">
        <f>IFERROR(__xludf.DUMMYFUNCTION("""COMPUTED_VALUE"""),"https://drive.google.com/drive/folders/10T2cTQHqEJZqE-st6uFKPoI?usp=share_link")</f>
        <v>https://drive.google.com/drive/folders/10T2cTQHqEJZqE-st6uFKPoI?usp=share_link</v>
      </c>
      <c r="P4598" s="6" t="str">
        <f>IFERROR(__xludf.DUMMYFUNCTION("""COMPUTED_VALUE"""),"Javier Gomez Rodriguez")</f>
        <v>Javier Gomez Rodriguez</v>
      </c>
      <c r="Q4598" s="6" t="str">
        <f>IFERROR(__xludf.DUMMYFUNCTION("""COMPUTED_VALUE"""),"MS")</f>
        <v>MS</v>
      </c>
      <c r="R4598" s="6">
        <f>IFERROR(__xludf.DUMMYFUNCTION("""COMPUTED_VALUE"""),0.0)</f>
        <v>0</v>
      </c>
      <c r="S4598" s="6" t="str">
        <f>IFERROR(__xludf.DUMMYFUNCTION("""COMPUTED_VALUE"""),"Kimberly Ball")</f>
        <v>Kimberly Ball</v>
      </c>
      <c r="T4598" s="6" t="str">
        <f>IFERROR(__xludf.DUMMYFUNCTION("""COMPUTED_VALUE"""),"kimberly.ball@studient.com")</f>
        <v>kimberly.ball@studient.com</v>
      </c>
      <c r="U4598" s="6" t="str">
        <f>IFERROR(__xludf.DUMMYFUNCTION("""COMPUTED_VALUE"""),"8")</f>
        <v>8</v>
      </c>
      <c r="V4598" s="6" t="str">
        <f>IFERROR(__xludf.DUMMYFUNCTION("""COMPUTED_VALUE"""),"")</f>
        <v/>
      </c>
      <c r="W4598" s="6" t="str">
        <f>IFERROR(__xludf.DUMMYFUNCTION("""COMPUTED_VALUE"""),"[]")</f>
        <v>[]</v>
      </c>
      <c r="X4598" s="6" t="str">
        <f>IFERROR(__xludf.DUMMYFUNCTION("""COMPUTED_VALUE"""),"Enrolled")</f>
        <v>Enrolled</v>
      </c>
    </row>
    <row r="4599">
      <c r="A4599" s="6" t="str">
        <f>IFERROR(__xludf.DUMMYFUNCTION("""COMPUTED_VALUE"""),"084-12961")</f>
        <v>084-12961</v>
      </c>
      <c r="B4599" s="6" t="str">
        <f>IFERROR(__xludf.DUMMYFUNCTION("""COMPUTED_VALUE"""),"84")</f>
        <v>84</v>
      </c>
      <c r="C4599" s="6" t="str">
        <f>IFERROR(__xludf.DUMMYFUNCTION("""COMPUTED_VALUE"""),"12961")</f>
        <v>12961</v>
      </c>
      <c r="D4599" s="6" t="str">
        <f>IFERROR(__xludf.DUMMYFUNCTION("""COMPUTED_VALUE"""),"Itzayani")</f>
        <v>Itzayani</v>
      </c>
      <c r="E4599" s="6" t="str">
        <f>IFERROR(__xludf.DUMMYFUNCTION("""COMPUTED_VALUE"""),"")</f>
        <v/>
      </c>
      <c r="F4599" s="6" t="str">
        <f>IFERROR(__xludf.DUMMYFUNCTION("""COMPUTED_VALUE"""),"Gonzalez Islas")</f>
        <v>Gonzalez Islas</v>
      </c>
      <c r="G4599" s="6" t="str">
        <f>IFERROR(__xludf.DUMMYFUNCTION("""COMPUTED_VALUE"""),"07/07/2011")</f>
        <v>07/07/2011</v>
      </c>
      <c r="H4599" s="6" t="str">
        <f>IFERROR(__xludf.DUMMYFUNCTION("""COMPUTED_VALUE"""),"female")</f>
        <v>female</v>
      </c>
      <c r="I4599" s="6" t="str">
        <f>IFERROR(__xludf.DUMMYFUNCTION("""COMPUTED_VALUE"""),"Middle School")</f>
        <v>Middle School</v>
      </c>
      <c r="J4599" s="6" t="str">
        <f>IFERROR(__xludf.DUMMYFUNCTION("""COMPUTED_VALUE"""),"8")</f>
        <v>8</v>
      </c>
      <c r="K4599" s="6" t="str">
        <f>IFERROR(__xludf.DUMMYFUNCTION("""COMPUTED_VALUE"""),"itzayani.gonzalezislas@2hourlearning.com")</f>
        <v>itzayani.gonzalezislas@2hourlearning.com</v>
      </c>
      <c r="L4599" s="6" t="str">
        <f>IFERROR(__xludf.DUMMYFUNCTION("""COMPUTED_VALUE"""),"JHMS - Hardeeville Junior Senior High School")</f>
        <v>JHMS - Hardeeville Junior Senior High School</v>
      </c>
      <c r="M4599" s="6" t="str">
        <f>IFERROR(__xludf.DUMMYFUNCTION("""COMPUTED_VALUE"""),"")</f>
        <v/>
      </c>
      <c r="N4599" s="6" t="str">
        <f>IFERROR(__xludf.DUMMYFUNCTION("""COMPUTED_VALUE"""),"")</f>
        <v/>
      </c>
      <c r="O4599" s="87" t="str">
        <f>IFERROR(__xludf.DUMMYFUNCTION("""COMPUTED_VALUE"""),"https://drive.google.com/drive/folders/10T2cTQHqEJZqE-st6uFKPoI?usp=share_link")</f>
        <v>https://drive.google.com/drive/folders/10T2cTQHqEJZqE-st6uFKPoI?usp=share_link</v>
      </c>
      <c r="P4599" s="6" t="str">
        <f>IFERROR(__xludf.DUMMYFUNCTION("""COMPUTED_VALUE"""),"Itzayani Gonzalez Islas")</f>
        <v>Itzayani Gonzalez Islas</v>
      </c>
      <c r="Q4599" s="6" t="str">
        <f>IFERROR(__xludf.DUMMYFUNCTION("""COMPUTED_VALUE"""),"MS")</f>
        <v>MS</v>
      </c>
      <c r="R4599" s="6">
        <f>IFERROR(__xludf.DUMMYFUNCTION("""COMPUTED_VALUE"""),0.0)</f>
        <v>0</v>
      </c>
      <c r="S4599" s="6" t="str">
        <f>IFERROR(__xludf.DUMMYFUNCTION("""COMPUTED_VALUE"""),"Kimberly Ball")</f>
        <v>Kimberly Ball</v>
      </c>
      <c r="T4599" s="6" t="str">
        <f>IFERROR(__xludf.DUMMYFUNCTION("""COMPUTED_VALUE"""),"kimberly.ball@studient.com")</f>
        <v>kimberly.ball@studient.com</v>
      </c>
      <c r="U4599" s="6" t="str">
        <f>IFERROR(__xludf.DUMMYFUNCTION("""COMPUTED_VALUE"""),"8")</f>
        <v>8</v>
      </c>
      <c r="V4599" s="6" t="str">
        <f>IFERROR(__xludf.DUMMYFUNCTION("""COMPUTED_VALUE"""),"")</f>
        <v/>
      </c>
      <c r="W4599" s="6" t="str">
        <f>IFERROR(__xludf.DUMMYFUNCTION("""COMPUTED_VALUE"""),"[]")</f>
        <v>[]</v>
      </c>
      <c r="X4599" s="6" t="str">
        <f>IFERROR(__xludf.DUMMYFUNCTION("""COMPUTED_VALUE"""),"Enrolled")</f>
        <v>Enrolled</v>
      </c>
    </row>
    <row r="4600">
      <c r="A4600" s="6" t="str">
        <f>IFERROR(__xludf.DUMMYFUNCTION("""COMPUTED_VALUE"""),"084-12962")</f>
        <v>084-12962</v>
      </c>
      <c r="B4600" s="6" t="str">
        <f>IFERROR(__xludf.DUMMYFUNCTION("""COMPUTED_VALUE"""),"84")</f>
        <v>84</v>
      </c>
      <c r="C4600" s="6" t="str">
        <f>IFERROR(__xludf.DUMMYFUNCTION("""COMPUTED_VALUE"""),"12962")</f>
        <v>12962</v>
      </c>
      <c r="D4600" s="6" t="str">
        <f>IFERROR(__xludf.DUMMYFUNCTION("""COMPUTED_VALUE"""),"Diego")</f>
        <v>Diego</v>
      </c>
      <c r="E4600" s="6" t="str">
        <f>IFERROR(__xludf.DUMMYFUNCTION("""COMPUTED_VALUE"""),"")</f>
        <v/>
      </c>
      <c r="F4600" s="6" t="str">
        <f>IFERROR(__xludf.DUMMYFUNCTION("""COMPUTED_VALUE"""),"Gonzalez Salmeron")</f>
        <v>Gonzalez Salmeron</v>
      </c>
      <c r="G4600" s="6" t="str">
        <f>IFERROR(__xludf.DUMMYFUNCTION("""COMPUTED_VALUE"""),"03/25/2012")</f>
        <v>03/25/2012</v>
      </c>
      <c r="H4600" s="6" t="str">
        <f>IFERROR(__xludf.DUMMYFUNCTION("""COMPUTED_VALUE"""),"male")</f>
        <v>male</v>
      </c>
      <c r="I4600" s="6" t="str">
        <f>IFERROR(__xludf.DUMMYFUNCTION("""COMPUTED_VALUE"""),"Middle School")</f>
        <v>Middle School</v>
      </c>
      <c r="J4600" s="6" t="str">
        <f>IFERROR(__xludf.DUMMYFUNCTION("""COMPUTED_VALUE"""),"8")</f>
        <v>8</v>
      </c>
      <c r="K4600" s="6" t="str">
        <f>IFERROR(__xludf.DUMMYFUNCTION("""COMPUTED_VALUE"""),"diego.gonzalezsalmeron@2hourlearning.com")</f>
        <v>diego.gonzalezsalmeron@2hourlearning.com</v>
      </c>
      <c r="L4600" s="6" t="str">
        <f>IFERROR(__xludf.DUMMYFUNCTION("""COMPUTED_VALUE"""),"JHMS - Hardeeville Junior Senior High School")</f>
        <v>JHMS - Hardeeville Junior Senior High School</v>
      </c>
      <c r="M4600" s="6" t="str">
        <f>IFERROR(__xludf.DUMMYFUNCTION("""COMPUTED_VALUE"""),"")</f>
        <v/>
      </c>
      <c r="N4600" s="6" t="str">
        <f>IFERROR(__xludf.DUMMYFUNCTION("""COMPUTED_VALUE"""),"")</f>
        <v/>
      </c>
      <c r="O4600" s="87" t="str">
        <f>IFERROR(__xludf.DUMMYFUNCTION("""COMPUTED_VALUE"""),"https://drive.google.com/drive/folders/10T2cTQHqEJZqE-st6uFKPoI?usp=share_link")</f>
        <v>https://drive.google.com/drive/folders/10T2cTQHqEJZqE-st6uFKPoI?usp=share_link</v>
      </c>
      <c r="P4600" s="6" t="str">
        <f>IFERROR(__xludf.DUMMYFUNCTION("""COMPUTED_VALUE"""),"Diego Gonzalez Salmeron")</f>
        <v>Diego Gonzalez Salmeron</v>
      </c>
      <c r="Q4600" s="6" t="str">
        <f>IFERROR(__xludf.DUMMYFUNCTION("""COMPUTED_VALUE"""),"MS")</f>
        <v>MS</v>
      </c>
      <c r="R4600" s="6">
        <f>IFERROR(__xludf.DUMMYFUNCTION("""COMPUTED_VALUE"""),0.0)</f>
        <v>0</v>
      </c>
      <c r="S4600" s="6" t="str">
        <f>IFERROR(__xludf.DUMMYFUNCTION("""COMPUTED_VALUE"""),"Kimberly Ball")</f>
        <v>Kimberly Ball</v>
      </c>
      <c r="T4600" s="6" t="str">
        <f>IFERROR(__xludf.DUMMYFUNCTION("""COMPUTED_VALUE"""),"kimberly.ball@studient.com")</f>
        <v>kimberly.ball@studient.com</v>
      </c>
      <c r="U4600" s="6" t="str">
        <f>IFERROR(__xludf.DUMMYFUNCTION("""COMPUTED_VALUE"""),"8")</f>
        <v>8</v>
      </c>
      <c r="V4600" s="6" t="str">
        <f>IFERROR(__xludf.DUMMYFUNCTION("""COMPUTED_VALUE"""),"")</f>
        <v/>
      </c>
      <c r="W4600" s="6" t="str">
        <f>IFERROR(__xludf.DUMMYFUNCTION("""COMPUTED_VALUE"""),"[]")</f>
        <v>[]</v>
      </c>
      <c r="X4600" s="6" t="str">
        <f>IFERROR(__xludf.DUMMYFUNCTION("""COMPUTED_VALUE"""),"Enrolled")</f>
        <v>Enrolled</v>
      </c>
    </row>
    <row r="4601">
      <c r="A4601" s="6" t="str">
        <f>IFERROR(__xludf.DUMMYFUNCTION("""COMPUTED_VALUE"""),"084-12963")</f>
        <v>084-12963</v>
      </c>
      <c r="B4601" s="6" t="str">
        <f>IFERROR(__xludf.DUMMYFUNCTION("""COMPUTED_VALUE"""),"84")</f>
        <v>84</v>
      </c>
      <c r="C4601" s="6" t="str">
        <f>IFERROR(__xludf.DUMMYFUNCTION("""COMPUTED_VALUE"""),"12963")</f>
        <v>12963</v>
      </c>
      <c r="D4601" s="6" t="str">
        <f>IFERROR(__xludf.DUMMYFUNCTION("""COMPUTED_VALUE"""),"Aniyah")</f>
        <v>Aniyah</v>
      </c>
      <c r="E4601" s="6" t="str">
        <f>IFERROR(__xludf.DUMMYFUNCTION("""COMPUTED_VALUE"""),"")</f>
        <v/>
      </c>
      <c r="F4601" s="6" t="str">
        <f>IFERROR(__xludf.DUMMYFUNCTION("""COMPUTED_VALUE"""),"Goolsby")</f>
        <v>Goolsby</v>
      </c>
      <c r="G4601" s="6" t="str">
        <f>IFERROR(__xludf.DUMMYFUNCTION("""COMPUTED_VALUE"""),"04/06/2012")</f>
        <v>04/06/2012</v>
      </c>
      <c r="H4601" s="6" t="str">
        <f>IFERROR(__xludf.DUMMYFUNCTION("""COMPUTED_VALUE"""),"female")</f>
        <v>female</v>
      </c>
      <c r="I4601" s="6" t="str">
        <f>IFERROR(__xludf.DUMMYFUNCTION("""COMPUTED_VALUE"""),"Middle School")</f>
        <v>Middle School</v>
      </c>
      <c r="J4601" s="6" t="str">
        <f>IFERROR(__xludf.DUMMYFUNCTION("""COMPUTED_VALUE"""),"8")</f>
        <v>8</v>
      </c>
      <c r="K4601" s="6" t="str">
        <f>IFERROR(__xludf.DUMMYFUNCTION("""COMPUTED_VALUE"""),"aniyah.goolsby@2hourlearning.com")</f>
        <v>aniyah.goolsby@2hourlearning.com</v>
      </c>
      <c r="L4601" s="6" t="str">
        <f>IFERROR(__xludf.DUMMYFUNCTION("""COMPUTED_VALUE"""),"JHMS - Hardeeville Junior Senior High School")</f>
        <v>JHMS - Hardeeville Junior Senior High School</v>
      </c>
      <c r="M4601" s="6" t="str">
        <f>IFERROR(__xludf.DUMMYFUNCTION("""COMPUTED_VALUE"""),"")</f>
        <v/>
      </c>
      <c r="N4601" s="6" t="str">
        <f>IFERROR(__xludf.DUMMYFUNCTION("""COMPUTED_VALUE"""),"")</f>
        <v/>
      </c>
      <c r="O4601" s="87" t="str">
        <f>IFERROR(__xludf.DUMMYFUNCTION("""COMPUTED_VALUE"""),"https://drive.google.com/drive/folders/10T2cTQHqEJZqE-st6uFKPoI?usp=share_link")</f>
        <v>https://drive.google.com/drive/folders/10T2cTQHqEJZqE-st6uFKPoI?usp=share_link</v>
      </c>
      <c r="P4601" s="6" t="str">
        <f>IFERROR(__xludf.DUMMYFUNCTION("""COMPUTED_VALUE"""),"Aniyah Goolsby")</f>
        <v>Aniyah Goolsby</v>
      </c>
      <c r="Q4601" s="6" t="str">
        <f>IFERROR(__xludf.DUMMYFUNCTION("""COMPUTED_VALUE"""),"MS")</f>
        <v>MS</v>
      </c>
      <c r="R4601" s="6">
        <f>IFERROR(__xludf.DUMMYFUNCTION("""COMPUTED_VALUE"""),0.0)</f>
        <v>0</v>
      </c>
      <c r="S4601" s="6" t="str">
        <f>IFERROR(__xludf.DUMMYFUNCTION("""COMPUTED_VALUE"""),"Kimberly Ball")</f>
        <v>Kimberly Ball</v>
      </c>
      <c r="T4601" s="6" t="str">
        <f>IFERROR(__xludf.DUMMYFUNCTION("""COMPUTED_VALUE"""),"kimberly.ball@studient.com")</f>
        <v>kimberly.ball@studient.com</v>
      </c>
      <c r="U4601" s="6" t="str">
        <f>IFERROR(__xludf.DUMMYFUNCTION("""COMPUTED_VALUE"""),"8")</f>
        <v>8</v>
      </c>
      <c r="V4601" s="6" t="str">
        <f>IFERROR(__xludf.DUMMYFUNCTION("""COMPUTED_VALUE"""),"")</f>
        <v/>
      </c>
      <c r="W4601" s="6" t="str">
        <f>IFERROR(__xludf.DUMMYFUNCTION("""COMPUTED_VALUE"""),"[]")</f>
        <v>[]</v>
      </c>
      <c r="X4601" s="6" t="str">
        <f>IFERROR(__xludf.DUMMYFUNCTION("""COMPUTED_VALUE"""),"Enrolled")</f>
        <v>Enrolled</v>
      </c>
    </row>
    <row r="4602">
      <c r="A4602" s="6" t="str">
        <f>IFERROR(__xludf.DUMMYFUNCTION("""COMPUTED_VALUE"""),"084-12964")</f>
        <v>084-12964</v>
      </c>
      <c r="B4602" s="6" t="str">
        <f>IFERROR(__xludf.DUMMYFUNCTION("""COMPUTED_VALUE"""),"84")</f>
        <v>84</v>
      </c>
      <c r="C4602" s="6" t="str">
        <f>IFERROR(__xludf.DUMMYFUNCTION("""COMPUTED_VALUE"""),"12964")</f>
        <v>12964</v>
      </c>
      <c r="D4602" s="6" t="str">
        <f>IFERROR(__xludf.DUMMYFUNCTION("""COMPUTED_VALUE"""),"Jameel")</f>
        <v>Jameel</v>
      </c>
      <c r="E4602" s="6" t="str">
        <f>IFERROR(__xludf.DUMMYFUNCTION("""COMPUTED_VALUE"""),"")</f>
        <v/>
      </c>
      <c r="F4602" s="6" t="str">
        <f>IFERROR(__xludf.DUMMYFUNCTION("""COMPUTED_VALUE"""),"Grant")</f>
        <v>Grant</v>
      </c>
      <c r="G4602" s="6" t="str">
        <f>IFERROR(__xludf.DUMMYFUNCTION("""COMPUTED_VALUE"""),"01/17/2012")</f>
        <v>01/17/2012</v>
      </c>
      <c r="H4602" s="6" t="str">
        <f>IFERROR(__xludf.DUMMYFUNCTION("""COMPUTED_VALUE"""),"female")</f>
        <v>female</v>
      </c>
      <c r="I4602" s="6" t="str">
        <f>IFERROR(__xludf.DUMMYFUNCTION("""COMPUTED_VALUE"""),"Middle School")</f>
        <v>Middle School</v>
      </c>
      <c r="J4602" s="6" t="str">
        <f>IFERROR(__xludf.DUMMYFUNCTION("""COMPUTED_VALUE"""),"8")</f>
        <v>8</v>
      </c>
      <c r="K4602" s="6" t="str">
        <f>IFERROR(__xludf.DUMMYFUNCTION("""COMPUTED_VALUE"""),"jameel.grant@2hourlearning.com")</f>
        <v>jameel.grant@2hourlearning.com</v>
      </c>
      <c r="L4602" s="6" t="str">
        <f>IFERROR(__xludf.DUMMYFUNCTION("""COMPUTED_VALUE"""),"JHMS - Hardeeville Junior Senior High School")</f>
        <v>JHMS - Hardeeville Junior Senior High School</v>
      </c>
      <c r="M4602" s="6" t="str">
        <f>IFERROR(__xludf.DUMMYFUNCTION("""COMPUTED_VALUE"""),"")</f>
        <v/>
      </c>
      <c r="N4602" s="6" t="str">
        <f>IFERROR(__xludf.DUMMYFUNCTION("""COMPUTED_VALUE"""),"")</f>
        <v/>
      </c>
      <c r="O4602" s="87" t="str">
        <f>IFERROR(__xludf.DUMMYFUNCTION("""COMPUTED_VALUE"""),"https://drive.google.com/drive/folders/10T2cTQHqEJZqE-st6uFKPoI?usp=share_link")</f>
        <v>https://drive.google.com/drive/folders/10T2cTQHqEJZqE-st6uFKPoI?usp=share_link</v>
      </c>
      <c r="P4602" s="6" t="str">
        <f>IFERROR(__xludf.DUMMYFUNCTION("""COMPUTED_VALUE"""),"Jameel Grant")</f>
        <v>Jameel Grant</v>
      </c>
      <c r="Q4602" s="6" t="str">
        <f>IFERROR(__xludf.DUMMYFUNCTION("""COMPUTED_VALUE"""),"MS")</f>
        <v>MS</v>
      </c>
      <c r="R4602" s="6">
        <f>IFERROR(__xludf.DUMMYFUNCTION("""COMPUTED_VALUE"""),0.0)</f>
        <v>0</v>
      </c>
      <c r="S4602" s="6" t="str">
        <f>IFERROR(__xludf.DUMMYFUNCTION("""COMPUTED_VALUE"""),"Kimberly Ball")</f>
        <v>Kimberly Ball</v>
      </c>
      <c r="T4602" s="6" t="str">
        <f>IFERROR(__xludf.DUMMYFUNCTION("""COMPUTED_VALUE"""),"kimberly.ball@studient.com")</f>
        <v>kimberly.ball@studient.com</v>
      </c>
      <c r="U4602" s="6" t="str">
        <f>IFERROR(__xludf.DUMMYFUNCTION("""COMPUTED_VALUE"""),"8")</f>
        <v>8</v>
      </c>
      <c r="V4602" s="6" t="str">
        <f>IFERROR(__xludf.DUMMYFUNCTION("""COMPUTED_VALUE"""),"")</f>
        <v/>
      </c>
      <c r="W4602" s="6" t="str">
        <f>IFERROR(__xludf.DUMMYFUNCTION("""COMPUTED_VALUE"""),"[]")</f>
        <v>[]</v>
      </c>
      <c r="X4602" s="6" t="str">
        <f>IFERROR(__xludf.DUMMYFUNCTION("""COMPUTED_VALUE"""),"Enrolled")</f>
        <v>Enrolled</v>
      </c>
    </row>
    <row r="4603">
      <c r="A4603" s="6" t="str">
        <f>IFERROR(__xludf.DUMMYFUNCTION("""COMPUTED_VALUE"""),"084-12965")</f>
        <v>084-12965</v>
      </c>
      <c r="B4603" s="6" t="str">
        <f>IFERROR(__xludf.DUMMYFUNCTION("""COMPUTED_VALUE"""),"84")</f>
        <v>84</v>
      </c>
      <c r="C4603" s="6" t="str">
        <f>IFERROR(__xludf.DUMMYFUNCTION("""COMPUTED_VALUE"""),"12965")</f>
        <v>12965</v>
      </c>
      <c r="D4603" s="6" t="str">
        <f>IFERROR(__xludf.DUMMYFUNCTION("""COMPUTED_VALUE"""),"Jonathan")</f>
        <v>Jonathan</v>
      </c>
      <c r="E4603" s="6" t="str">
        <f>IFERROR(__xludf.DUMMYFUNCTION("""COMPUTED_VALUE"""),"")</f>
        <v/>
      </c>
      <c r="F4603" s="6" t="str">
        <f>IFERROR(__xludf.DUMMYFUNCTION("""COMPUTED_VALUE"""),"Grant")</f>
        <v>Grant</v>
      </c>
      <c r="G4603" s="6" t="str">
        <f>IFERROR(__xludf.DUMMYFUNCTION("""COMPUTED_VALUE"""),"04/20/2012")</f>
        <v>04/20/2012</v>
      </c>
      <c r="H4603" s="6" t="str">
        <f>IFERROR(__xludf.DUMMYFUNCTION("""COMPUTED_VALUE"""),"male")</f>
        <v>male</v>
      </c>
      <c r="I4603" s="6" t="str">
        <f>IFERROR(__xludf.DUMMYFUNCTION("""COMPUTED_VALUE"""),"Middle School")</f>
        <v>Middle School</v>
      </c>
      <c r="J4603" s="6" t="str">
        <f>IFERROR(__xludf.DUMMYFUNCTION("""COMPUTED_VALUE"""),"8")</f>
        <v>8</v>
      </c>
      <c r="K4603" s="6" t="str">
        <f>IFERROR(__xludf.DUMMYFUNCTION("""COMPUTED_VALUE"""),"jonathan.grant@2hourlearning.com")</f>
        <v>jonathan.grant@2hourlearning.com</v>
      </c>
      <c r="L4603" s="6" t="str">
        <f>IFERROR(__xludf.DUMMYFUNCTION("""COMPUTED_VALUE"""),"JHMS - Hardeeville Junior Senior High School")</f>
        <v>JHMS - Hardeeville Junior Senior High School</v>
      </c>
      <c r="M4603" s="6" t="str">
        <f>IFERROR(__xludf.DUMMYFUNCTION("""COMPUTED_VALUE"""),"")</f>
        <v/>
      </c>
      <c r="N4603" s="6" t="str">
        <f>IFERROR(__xludf.DUMMYFUNCTION("""COMPUTED_VALUE"""),"")</f>
        <v/>
      </c>
      <c r="O4603" s="87" t="str">
        <f>IFERROR(__xludf.DUMMYFUNCTION("""COMPUTED_VALUE"""),"https://drive.google.com/drive/folders/10T2cTQHqEJZqE-st6uFKPoI?usp=share_link")</f>
        <v>https://drive.google.com/drive/folders/10T2cTQHqEJZqE-st6uFKPoI?usp=share_link</v>
      </c>
      <c r="P4603" s="6" t="str">
        <f>IFERROR(__xludf.DUMMYFUNCTION("""COMPUTED_VALUE"""),"Jonathan Grant")</f>
        <v>Jonathan Grant</v>
      </c>
      <c r="Q4603" s="6" t="str">
        <f>IFERROR(__xludf.DUMMYFUNCTION("""COMPUTED_VALUE"""),"MS")</f>
        <v>MS</v>
      </c>
      <c r="R4603" s="6">
        <f>IFERROR(__xludf.DUMMYFUNCTION("""COMPUTED_VALUE"""),0.0)</f>
        <v>0</v>
      </c>
      <c r="S4603" s="6" t="str">
        <f>IFERROR(__xludf.DUMMYFUNCTION("""COMPUTED_VALUE"""),"Kimberly Ball")</f>
        <v>Kimberly Ball</v>
      </c>
      <c r="T4603" s="6" t="str">
        <f>IFERROR(__xludf.DUMMYFUNCTION("""COMPUTED_VALUE"""),"kimberly.ball@studient.com")</f>
        <v>kimberly.ball@studient.com</v>
      </c>
      <c r="U4603" s="6" t="str">
        <f>IFERROR(__xludf.DUMMYFUNCTION("""COMPUTED_VALUE"""),"8")</f>
        <v>8</v>
      </c>
      <c r="V4603" s="6" t="str">
        <f>IFERROR(__xludf.DUMMYFUNCTION("""COMPUTED_VALUE"""),"")</f>
        <v/>
      </c>
      <c r="W4603" s="6" t="str">
        <f>IFERROR(__xludf.DUMMYFUNCTION("""COMPUTED_VALUE"""),"[]")</f>
        <v>[]</v>
      </c>
      <c r="X4603" s="6" t="str">
        <f>IFERROR(__xludf.DUMMYFUNCTION("""COMPUTED_VALUE"""),"Enrolled")</f>
        <v>Enrolled</v>
      </c>
    </row>
    <row r="4604">
      <c r="A4604" s="6" t="str">
        <f>IFERROR(__xludf.DUMMYFUNCTION("""COMPUTED_VALUE"""),"084-12966")</f>
        <v>084-12966</v>
      </c>
      <c r="B4604" s="6" t="str">
        <f>IFERROR(__xludf.DUMMYFUNCTION("""COMPUTED_VALUE"""),"84")</f>
        <v>84</v>
      </c>
      <c r="C4604" s="6" t="str">
        <f>IFERROR(__xludf.DUMMYFUNCTION("""COMPUTED_VALUE"""),"12966")</f>
        <v>12966</v>
      </c>
      <c r="D4604" s="6" t="str">
        <f>IFERROR(__xludf.DUMMYFUNCTION("""COMPUTED_VALUE"""),"Ely")</f>
        <v>Ely</v>
      </c>
      <c r="E4604" s="6" t="str">
        <f>IFERROR(__xludf.DUMMYFUNCTION("""COMPUTED_VALUE"""),"")</f>
        <v/>
      </c>
      <c r="F4604" s="6" t="str">
        <f>IFERROR(__xludf.DUMMYFUNCTION("""COMPUTED_VALUE"""),"Guevara Gutierrez")</f>
        <v>Guevara Gutierrez</v>
      </c>
      <c r="G4604" s="6" t="str">
        <f>IFERROR(__xludf.DUMMYFUNCTION("""COMPUTED_VALUE"""),"07/25/2012")</f>
        <v>07/25/2012</v>
      </c>
      <c r="H4604" s="6" t="str">
        <f>IFERROR(__xludf.DUMMYFUNCTION("""COMPUTED_VALUE"""),"female")</f>
        <v>female</v>
      </c>
      <c r="I4604" s="6" t="str">
        <f>IFERROR(__xludf.DUMMYFUNCTION("""COMPUTED_VALUE"""),"Middle School")</f>
        <v>Middle School</v>
      </c>
      <c r="J4604" s="6" t="str">
        <f>IFERROR(__xludf.DUMMYFUNCTION("""COMPUTED_VALUE"""),"8")</f>
        <v>8</v>
      </c>
      <c r="K4604" s="6" t="str">
        <f>IFERROR(__xludf.DUMMYFUNCTION("""COMPUTED_VALUE"""),"ely.guevaragutierrez@2hourlearning.com")</f>
        <v>ely.guevaragutierrez@2hourlearning.com</v>
      </c>
      <c r="L4604" s="6" t="str">
        <f>IFERROR(__xludf.DUMMYFUNCTION("""COMPUTED_VALUE"""),"JHMS - Hardeeville Junior Senior High School")</f>
        <v>JHMS - Hardeeville Junior Senior High School</v>
      </c>
      <c r="M4604" s="6" t="str">
        <f>IFERROR(__xludf.DUMMYFUNCTION("""COMPUTED_VALUE"""),"")</f>
        <v/>
      </c>
      <c r="N4604" s="6" t="str">
        <f>IFERROR(__xludf.DUMMYFUNCTION("""COMPUTED_VALUE"""),"")</f>
        <v/>
      </c>
      <c r="O4604" s="87" t="str">
        <f>IFERROR(__xludf.DUMMYFUNCTION("""COMPUTED_VALUE"""),"https://drive.google.com/drive/folders/10T2cTQHqEJZqE-st6uFKPoI?usp=share_link")</f>
        <v>https://drive.google.com/drive/folders/10T2cTQHqEJZqE-st6uFKPoI?usp=share_link</v>
      </c>
      <c r="P4604" s="6" t="str">
        <f>IFERROR(__xludf.DUMMYFUNCTION("""COMPUTED_VALUE"""),"Ely Guevara Gutierrez")</f>
        <v>Ely Guevara Gutierrez</v>
      </c>
      <c r="Q4604" s="6" t="str">
        <f>IFERROR(__xludf.DUMMYFUNCTION("""COMPUTED_VALUE"""),"MS")</f>
        <v>MS</v>
      </c>
      <c r="R4604" s="6">
        <f>IFERROR(__xludf.DUMMYFUNCTION("""COMPUTED_VALUE"""),0.0)</f>
        <v>0</v>
      </c>
      <c r="S4604" s="6" t="str">
        <f>IFERROR(__xludf.DUMMYFUNCTION("""COMPUTED_VALUE"""),"Kimberly Ball")</f>
        <v>Kimberly Ball</v>
      </c>
      <c r="T4604" s="6" t="str">
        <f>IFERROR(__xludf.DUMMYFUNCTION("""COMPUTED_VALUE"""),"kimberly.ball@studient.com")</f>
        <v>kimberly.ball@studient.com</v>
      </c>
      <c r="U4604" s="6" t="str">
        <f>IFERROR(__xludf.DUMMYFUNCTION("""COMPUTED_VALUE"""),"8")</f>
        <v>8</v>
      </c>
      <c r="V4604" s="6" t="str">
        <f>IFERROR(__xludf.DUMMYFUNCTION("""COMPUTED_VALUE"""),"")</f>
        <v/>
      </c>
      <c r="W4604" s="6" t="str">
        <f>IFERROR(__xludf.DUMMYFUNCTION("""COMPUTED_VALUE"""),"[]")</f>
        <v>[]</v>
      </c>
      <c r="X4604" s="6" t="str">
        <f>IFERROR(__xludf.DUMMYFUNCTION("""COMPUTED_VALUE"""),"Enrolled")</f>
        <v>Enrolled</v>
      </c>
    </row>
    <row r="4605">
      <c r="A4605" s="6" t="str">
        <f>IFERROR(__xludf.DUMMYFUNCTION("""COMPUTED_VALUE"""),"084-12967")</f>
        <v>084-12967</v>
      </c>
      <c r="B4605" s="6" t="str">
        <f>IFERROR(__xludf.DUMMYFUNCTION("""COMPUTED_VALUE"""),"84")</f>
        <v>84</v>
      </c>
      <c r="C4605" s="6" t="str">
        <f>IFERROR(__xludf.DUMMYFUNCTION("""COMPUTED_VALUE"""),"12967")</f>
        <v>12967</v>
      </c>
      <c r="D4605" s="6" t="str">
        <f>IFERROR(__xludf.DUMMYFUNCTION("""COMPUTED_VALUE"""),"Ramses")</f>
        <v>Ramses</v>
      </c>
      <c r="E4605" s="6" t="str">
        <f>IFERROR(__xludf.DUMMYFUNCTION("""COMPUTED_VALUE"""),"")</f>
        <v/>
      </c>
      <c r="F4605" s="6" t="str">
        <f>IFERROR(__xludf.DUMMYFUNCTION("""COMPUTED_VALUE"""),"Gutierrez Ramirez")</f>
        <v>Gutierrez Ramirez</v>
      </c>
      <c r="G4605" s="6" t="str">
        <f>IFERROR(__xludf.DUMMYFUNCTION("""COMPUTED_VALUE"""),"06/24/2012")</f>
        <v>06/24/2012</v>
      </c>
      <c r="H4605" s="6" t="str">
        <f>IFERROR(__xludf.DUMMYFUNCTION("""COMPUTED_VALUE"""),"female")</f>
        <v>female</v>
      </c>
      <c r="I4605" s="6" t="str">
        <f>IFERROR(__xludf.DUMMYFUNCTION("""COMPUTED_VALUE"""),"Middle School")</f>
        <v>Middle School</v>
      </c>
      <c r="J4605" s="6" t="str">
        <f>IFERROR(__xludf.DUMMYFUNCTION("""COMPUTED_VALUE"""),"8")</f>
        <v>8</v>
      </c>
      <c r="K4605" s="6" t="str">
        <f>IFERROR(__xludf.DUMMYFUNCTION("""COMPUTED_VALUE"""),"ramses.gutierrezramirez@2hourlearning.com")</f>
        <v>ramses.gutierrezramirez@2hourlearning.com</v>
      </c>
      <c r="L4605" s="6" t="str">
        <f>IFERROR(__xludf.DUMMYFUNCTION("""COMPUTED_VALUE"""),"JHMS - Hardeeville Junior Senior High School")</f>
        <v>JHMS - Hardeeville Junior Senior High School</v>
      </c>
      <c r="M4605" s="6" t="str">
        <f>IFERROR(__xludf.DUMMYFUNCTION("""COMPUTED_VALUE"""),"")</f>
        <v/>
      </c>
      <c r="N4605" s="6" t="str">
        <f>IFERROR(__xludf.DUMMYFUNCTION("""COMPUTED_VALUE"""),"")</f>
        <v/>
      </c>
      <c r="O4605" s="87" t="str">
        <f>IFERROR(__xludf.DUMMYFUNCTION("""COMPUTED_VALUE"""),"https://drive.google.com/drive/folders/10T2cTQHqEJZqE-st6uFKPoI?usp=share_link")</f>
        <v>https://drive.google.com/drive/folders/10T2cTQHqEJZqE-st6uFKPoI?usp=share_link</v>
      </c>
      <c r="P4605" s="6" t="str">
        <f>IFERROR(__xludf.DUMMYFUNCTION("""COMPUTED_VALUE"""),"Ramses Gutierrez Ramirez")</f>
        <v>Ramses Gutierrez Ramirez</v>
      </c>
      <c r="Q4605" s="6" t="str">
        <f>IFERROR(__xludf.DUMMYFUNCTION("""COMPUTED_VALUE"""),"MS")</f>
        <v>MS</v>
      </c>
      <c r="R4605" s="6">
        <f>IFERROR(__xludf.DUMMYFUNCTION("""COMPUTED_VALUE"""),0.0)</f>
        <v>0</v>
      </c>
      <c r="S4605" s="6" t="str">
        <f>IFERROR(__xludf.DUMMYFUNCTION("""COMPUTED_VALUE"""),"Kimberly Ball")</f>
        <v>Kimberly Ball</v>
      </c>
      <c r="T4605" s="6" t="str">
        <f>IFERROR(__xludf.DUMMYFUNCTION("""COMPUTED_VALUE"""),"kimberly.ball@studient.com")</f>
        <v>kimberly.ball@studient.com</v>
      </c>
      <c r="U4605" s="6" t="str">
        <f>IFERROR(__xludf.DUMMYFUNCTION("""COMPUTED_VALUE"""),"8")</f>
        <v>8</v>
      </c>
      <c r="V4605" s="6" t="str">
        <f>IFERROR(__xludf.DUMMYFUNCTION("""COMPUTED_VALUE"""),"")</f>
        <v/>
      </c>
      <c r="W4605" s="6" t="str">
        <f>IFERROR(__xludf.DUMMYFUNCTION("""COMPUTED_VALUE"""),"[]")</f>
        <v>[]</v>
      </c>
      <c r="X4605" s="6" t="str">
        <f>IFERROR(__xludf.DUMMYFUNCTION("""COMPUTED_VALUE"""),"Enrolled")</f>
        <v>Enrolled</v>
      </c>
    </row>
    <row r="4606">
      <c r="A4606" s="6" t="str">
        <f>IFERROR(__xludf.DUMMYFUNCTION("""COMPUTED_VALUE"""),"084-12968")</f>
        <v>084-12968</v>
      </c>
      <c r="B4606" s="6" t="str">
        <f>IFERROR(__xludf.DUMMYFUNCTION("""COMPUTED_VALUE"""),"84")</f>
        <v>84</v>
      </c>
      <c r="C4606" s="6" t="str">
        <f>IFERROR(__xludf.DUMMYFUNCTION("""COMPUTED_VALUE"""),"12968")</f>
        <v>12968</v>
      </c>
      <c r="D4606" s="6" t="str">
        <f>IFERROR(__xludf.DUMMYFUNCTION("""COMPUTED_VALUE"""),"Alondra")</f>
        <v>Alondra</v>
      </c>
      <c r="E4606" s="6" t="str">
        <f>IFERROR(__xludf.DUMMYFUNCTION("""COMPUTED_VALUE"""),"")</f>
        <v/>
      </c>
      <c r="F4606" s="6" t="str">
        <f>IFERROR(__xludf.DUMMYFUNCTION("""COMPUTED_VALUE"""),"Guzman De La Cruz")</f>
        <v>Guzman De La Cruz</v>
      </c>
      <c r="G4606" s="6" t="str">
        <f>IFERROR(__xludf.DUMMYFUNCTION("""COMPUTED_VALUE"""),"07/29/2012")</f>
        <v>07/29/2012</v>
      </c>
      <c r="H4606" s="6" t="str">
        <f>IFERROR(__xludf.DUMMYFUNCTION("""COMPUTED_VALUE"""),"female")</f>
        <v>female</v>
      </c>
      <c r="I4606" s="6" t="str">
        <f>IFERROR(__xludf.DUMMYFUNCTION("""COMPUTED_VALUE"""),"Middle School")</f>
        <v>Middle School</v>
      </c>
      <c r="J4606" s="6" t="str">
        <f>IFERROR(__xludf.DUMMYFUNCTION("""COMPUTED_VALUE"""),"8")</f>
        <v>8</v>
      </c>
      <c r="K4606" s="6" t="str">
        <f>IFERROR(__xludf.DUMMYFUNCTION("""COMPUTED_VALUE"""),"alondra.guzmandelacruz@2hourlearning.com")</f>
        <v>alondra.guzmandelacruz@2hourlearning.com</v>
      </c>
      <c r="L4606" s="6" t="str">
        <f>IFERROR(__xludf.DUMMYFUNCTION("""COMPUTED_VALUE"""),"JHMS - Hardeeville Junior Senior High School")</f>
        <v>JHMS - Hardeeville Junior Senior High School</v>
      </c>
      <c r="M4606" s="6" t="str">
        <f>IFERROR(__xludf.DUMMYFUNCTION("""COMPUTED_VALUE"""),"")</f>
        <v/>
      </c>
      <c r="N4606" s="6" t="str">
        <f>IFERROR(__xludf.DUMMYFUNCTION("""COMPUTED_VALUE"""),"")</f>
        <v/>
      </c>
      <c r="O4606" s="87" t="str">
        <f>IFERROR(__xludf.DUMMYFUNCTION("""COMPUTED_VALUE"""),"https://drive.google.com/drive/folders/10T2cTQHqEJZqE-st6uFKPoI?usp=share_link")</f>
        <v>https://drive.google.com/drive/folders/10T2cTQHqEJZqE-st6uFKPoI?usp=share_link</v>
      </c>
      <c r="P4606" s="6" t="str">
        <f>IFERROR(__xludf.DUMMYFUNCTION("""COMPUTED_VALUE"""),"Alondra Guzman De La Cruz")</f>
        <v>Alondra Guzman De La Cruz</v>
      </c>
      <c r="Q4606" s="6" t="str">
        <f>IFERROR(__xludf.DUMMYFUNCTION("""COMPUTED_VALUE"""),"MS")</f>
        <v>MS</v>
      </c>
      <c r="R4606" s="6">
        <f>IFERROR(__xludf.DUMMYFUNCTION("""COMPUTED_VALUE"""),0.0)</f>
        <v>0</v>
      </c>
      <c r="S4606" s="6" t="str">
        <f>IFERROR(__xludf.DUMMYFUNCTION("""COMPUTED_VALUE"""),"Kimberly Ball")</f>
        <v>Kimberly Ball</v>
      </c>
      <c r="T4606" s="6" t="str">
        <f>IFERROR(__xludf.DUMMYFUNCTION("""COMPUTED_VALUE"""),"kimberly.ball@studient.com")</f>
        <v>kimberly.ball@studient.com</v>
      </c>
      <c r="U4606" s="6" t="str">
        <f>IFERROR(__xludf.DUMMYFUNCTION("""COMPUTED_VALUE"""),"8")</f>
        <v>8</v>
      </c>
      <c r="V4606" s="6" t="str">
        <f>IFERROR(__xludf.DUMMYFUNCTION("""COMPUTED_VALUE"""),"")</f>
        <v/>
      </c>
      <c r="W4606" s="6" t="str">
        <f>IFERROR(__xludf.DUMMYFUNCTION("""COMPUTED_VALUE"""),"[]")</f>
        <v>[]</v>
      </c>
      <c r="X4606" s="6" t="str">
        <f>IFERROR(__xludf.DUMMYFUNCTION("""COMPUTED_VALUE"""),"Enrolled")</f>
        <v>Enrolled</v>
      </c>
    </row>
    <row r="4607">
      <c r="A4607" s="6" t="str">
        <f>IFERROR(__xludf.DUMMYFUNCTION("""COMPUTED_VALUE"""),"084-12969")</f>
        <v>084-12969</v>
      </c>
      <c r="B4607" s="6" t="str">
        <f>IFERROR(__xludf.DUMMYFUNCTION("""COMPUTED_VALUE"""),"84")</f>
        <v>84</v>
      </c>
      <c r="C4607" s="6" t="str">
        <f>IFERROR(__xludf.DUMMYFUNCTION("""COMPUTED_VALUE"""),"12969")</f>
        <v>12969</v>
      </c>
      <c r="D4607" s="6" t="str">
        <f>IFERROR(__xludf.DUMMYFUNCTION("""COMPUTED_VALUE"""),"Travon")</f>
        <v>Travon</v>
      </c>
      <c r="E4607" s="6" t="str">
        <f>IFERROR(__xludf.DUMMYFUNCTION("""COMPUTED_VALUE"""),"")</f>
        <v/>
      </c>
      <c r="F4607" s="6" t="str">
        <f>IFERROR(__xludf.DUMMYFUNCTION("""COMPUTED_VALUE"""),"Harris")</f>
        <v>Harris</v>
      </c>
      <c r="G4607" s="6" t="str">
        <f>IFERROR(__xludf.DUMMYFUNCTION("""COMPUTED_VALUE"""),"08/13/2012")</f>
        <v>08/13/2012</v>
      </c>
      <c r="H4607" s="6" t="str">
        <f>IFERROR(__xludf.DUMMYFUNCTION("""COMPUTED_VALUE"""),"male")</f>
        <v>male</v>
      </c>
      <c r="I4607" s="6" t="str">
        <f>IFERROR(__xludf.DUMMYFUNCTION("""COMPUTED_VALUE"""),"Middle School")</f>
        <v>Middle School</v>
      </c>
      <c r="J4607" s="6" t="str">
        <f>IFERROR(__xludf.DUMMYFUNCTION("""COMPUTED_VALUE"""),"8")</f>
        <v>8</v>
      </c>
      <c r="K4607" s="6" t="str">
        <f>IFERROR(__xludf.DUMMYFUNCTION("""COMPUTED_VALUE"""),"travon.harris@2hourlearning.com")</f>
        <v>travon.harris@2hourlearning.com</v>
      </c>
      <c r="L4607" s="6" t="str">
        <f>IFERROR(__xludf.DUMMYFUNCTION("""COMPUTED_VALUE"""),"JHMS - Hardeeville Junior Senior High School")</f>
        <v>JHMS - Hardeeville Junior Senior High School</v>
      </c>
      <c r="M4607" s="6" t="str">
        <f>IFERROR(__xludf.DUMMYFUNCTION("""COMPUTED_VALUE"""),"")</f>
        <v/>
      </c>
      <c r="N4607" s="6" t="str">
        <f>IFERROR(__xludf.DUMMYFUNCTION("""COMPUTED_VALUE"""),"")</f>
        <v/>
      </c>
      <c r="O4607" s="87" t="str">
        <f>IFERROR(__xludf.DUMMYFUNCTION("""COMPUTED_VALUE"""),"https://drive.google.com/drive/folders/10T2cTQHqEJZqE-st6uFKPoI?usp=share_link")</f>
        <v>https://drive.google.com/drive/folders/10T2cTQHqEJZqE-st6uFKPoI?usp=share_link</v>
      </c>
      <c r="P4607" s="6" t="str">
        <f>IFERROR(__xludf.DUMMYFUNCTION("""COMPUTED_VALUE"""),"Travon Harris")</f>
        <v>Travon Harris</v>
      </c>
      <c r="Q4607" s="6" t="str">
        <f>IFERROR(__xludf.DUMMYFUNCTION("""COMPUTED_VALUE"""),"MS")</f>
        <v>MS</v>
      </c>
      <c r="R4607" s="6">
        <f>IFERROR(__xludf.DUMMYFUNCTION("""COMPUTED_VALUE"""),0.0)</f>
        <v>0</v>
      </c>
      <c r="S4607" s="6" t="str">
        <f>IFERROR(__xludf.DUMMYFUNCTION("""COMPUTED_VALUE"""),"Kimberly Ball")</f>
        <v>Kimberly Ball</v>
      </c>
      <c r="T4607" s="6" t="str">
        <f>IFERROR(__xludf.DUMMYFUNCTION("""COMPUTED_VALUE"""),"kimberly.ball@studient.com")</f>
        <v>kimberly.ball@studient.com</v>
      </c>
      <c r="U4607" s="6" t="str">
        <f>IFERROR(__xludf.DUMMYFUNCTION("""COMPUTED_VALUE"""),"8")</f>
        <v>8</v>
      </c>
      <c r="V4607" s="6" t="str">
        <f>IFERROR(__xludf.DUMMYFUNCTION("""COMPUTED_VALUE"""),"")</f>
        <v/>
      </c>
      <c r="W4607" s="6" t="str">
        <f>IFERROR(__xludf.DUMMYFUNCTION("""COMPUTED_VALUE"""),"[]")</f>
        <v>[]</v>
      </c>
      <c r="X4607" s="6" t="str">
        <f>IFERROR(__xludf.DUMMYFUNCTION("""COMPUTED_VALUE"""),"Enrolled")</f>
        <v>Enrolled</v>
      </c>
    </row>
    <row r="4608">
      <c r="A4608" s="6" t="str">
        <f>IFERROR(__xludf.DUMMYFUNCTION("""COMPUTED_VALUE"""),"084-12970")</f>
        <v>084-12970</v>
      </c>
      <c r="B4608" s="6" t="str">
        <f>IFERROR(__xludf.DUMMYFUNCTION("""COMPUTED_VALUE"""),"84")</f>
        <v>84</v>
      </c>
      <c r="C4608" s="6" t="str">
        <f>IFERROR(__xludf.DUMMYFUNCTION("""COMPUTED_VALUE"""),"12970")</f>
        <v>12970</v>
      </c>
      <c r="D4608" s="6" t="str">
        <f>IFERROR(__xludf.DUMMYFUNCTION("""COMPUTED_VALUE"""),"Kaylon")</f>
        <v>Kaylon</v>
      </c>
      <c r="E4608" s="6" t="str">
        <f>IFERROR(__xludf.DUMMYFUNCTION("""COMPUTED_VALUE"""),"")</f>
        <v/>
      </c>
      <c r="F4608" s="6" t="str">
        <f>IFERROR(__xludf.DUMMYFUNCTION("""COMPUTED_VALUE"""),"Jackson")</f>
        <v>Jackson</v>
      </c>
      <c r="G4608" s="6" t="str">
        <f>IFERROR(__xludf.DUMMYFUNCTION("""COMPUTED_VALUE"""),"02/20/2012")</f>
        <v>02/20/2012</v>
      </c>
      <c r="H4608" s="6" t="str">
        <f>IFERROR(__xludf.DUMMYFUNCTION("""COMPUTED_VALUE"""),"male")</f>
        <v>male</v>
      </c>
      <c r="I4608" s="6" t="str">
        <f>IFERROR(__xludf.DUMMYFUNCTION("""COMPUTED_VALUE"""),"Middle School")</f>
        <v>Middle School</v>
      </c>
      <c r="J4608" s="6" t="str">
        <f>IFERROR(__xludf.DUMMYFUNCTION("""COMPUTED_VALUE"""),"8")</f>
        <v>8</v>
      </c>
      <c r="K4608" s="6" t="str">
        <f>IFERROR(__xludf.DUMMYFUNCTION("""COMPUTED_VALUE"""),"kaylon.jackson@2hourlearning.com")</f>
        <v>kaylon.jackson@2hourlearning.com</v>
      </c>
      <c r="L4608" s="6" t="str">
        <f>IFERROR(__xludf.DUMMYFUNCTION("""COMPUTED_VALUE"""),"JHMS - Hardeeville Junior Senior High School")</f>
        <v>JHMS - Hardeeville Junior Senior High School</v>
      </c>
      <c r="M4608" s="6" t="str">
        <f>IFERROR(__xludf.DUMMYFUNCTION("""COMPUTED_VALUE"""),"")</f>
        <v/>
      </c>
      <c r="N4608" s="6" t="str">
        <f>IFERROR(__xludf.DUMMYFUNCTION("""COMPUTED_VALUE"""),"")</f>
        <v/>
      </c>
      <c r="O4608" s="87" t="str">
        <f>IFERROR(__xludf.DUMMYFUNCTION("""COMPUTED_VALUE"""),"https://drive.google.com/drive/folders/10T2cTQHqEJZqE-st6uFKPoI?usp=share_link")</f>
        <v>https://drive.google.com/drive/folders/10T2cTQHqEJZqE-st6uFKPoI?usp=share_link</v>
      </c>
      <c r="P4608" s="6" t="str">
        <f>IFERROR(__xludf.DUMMYFUNCTION("""COMPUTED_VALUE"""),"Kaylon Jackson")</f>
        <v>Kaylon Jackson</v>
      </c>
      <c r="Q4608" s="6" t="str">
        <f>IFERROR(__xludf.DUMMYFUNCTION("""COMPUTED_VALUE"""),"MS")</f>
        <v>MS</v>
      </c>
      <c r="R4608" s="6">
        <f>IFERROR(__xludf.DUMMYFUNCTION("""COMPUTED_VALUE"""),0.0)</f>
        <v>0</v>
      </c>
      <c r="S4608" s="6" t="str">
        <f>IFERROR(__xludf.DUMMYFUNCTION("""COMPUTED_VALUE"""),"Kimberly Ball")</f>
        <v>Kimberly Ball</v>
      </c>
      <c r="T4608" s="6" t="str">
        <f>IFERROR(__xludf.DUMMYFUNCTION("""COMPUTED_VALUE"""),"kimberly.ball@studient.com")</f>
        <v>kimberly.ball@studient.com</v>
      </c>
      <c r="U4608" s="6" t="str">
        <f>IFERROR(__xludf.DUMMYFUNCTION("""COMPUTED_VALUE"""),"8")</f>
        <v>8</v>
      </c>
      <c r="V4608" s="6" t="str">
        <f>IFERROR(__xludf.DUMMYFUNCTION("""COMPUTED_VALUE"""),"")</f>
        <v/>
      </c>
      <c r="W4608" s="6" t="str">
        <f>IFERROR(__xludf.DUMMYFUNCTION("""COMPUTED_VALUE"""),"[]")</f>
        <v>[]</v>
      </c>
      <c r="X4608" s="6" t="str">
        <f>IFERROR(__xludf.DUMMYFUNCTION("""COMPUTED_VALUE"""),"Enrolled")</f>
        <v>Enrolled</v>
      </c>
    </row>
    <row r="4609">
      <c r="A4609" s="6" t="str">
        <f>IFERROR(__xludf.DUMMYFUNCTION("""COMPUTED_VALUE"""),"084-12971")</f>
        <v>084-12971</v>
      </c>
      <c r="B4609" s="6" t="str">
        <f>IFERROR(__xludf.DUMMYFUNCTION("""COMPUTED_VALUE"""),"84")</f>
        <v>84</v>
      </c>
      <c r="C4609" s="6" t="str">
        <f>IFERROR(__xludf.DUMMYFUNCTION("""COMPUTED_VALUE"""),"12971")</f>
        <v>12971</v>
      </c>
      <c r="D4609" s="6" t="str">
        <f>IFERROR(__xludf.DUMMYFUNCTION("""COMPUTED_VALUE"""),"Julian")</f>
        <v>Julian</v>
      </c>
      <c r="E4609" s="6" t="str">
        <f>IFERROR(__xludf.DUMMYFUNCTION("""COMPUTED_VALUE"""),"")</f>
        <v/>
      </c>
      <c r="F4609" s="6" t="str">
        <f>IFERROR(__xludf.DUMMYFUNCTION("""COMPUTED_VALUE"""),"Jimenez Barrientos")</f>
        <v>Jimenez Barrientos</v>
      </c>
      <c r="G4609" s="6" t="str">
        <f>IFERROR(__xludf.DUMMYFUNCTION("""COMPUTED_VALUE"""),"12/06/2011")</f>
        <v>12/06/2011</v>
      </c>
      <c r="H4609" s="6" t="str">
        <f>IFERROR(__xludf.DUMMYFUNCTION("""COMPUTED_VALUE"""),"male")</f>
        <v>male</v>
      </c>
      <c r="I4609" s="6" t="str">
        <f>IFERROR(__xludf.DUMMYFUNCTION("""COMPUTED_VALUE"""),"Middle School")</f>
        <v>Middle School</v>
      </c>
      <c r="J4609" s="6" t="str">
        <f>IFERROR(__xludf.DUMMYFUNCTION("""COMPUTED_VALUE"""),"8")</f>
        <v>8</v>
      </c>
      <c r="K4609" s="6" t="str">
        <f>IFERROR(__xludf.DUMMYFUNCTION("""COMPUTED_VALUE"""),"julian.jimenezbarrientos@2hourlearning.com")</f>
        <v>julian.jimenezbarrientos@2hourlearning.com</v>
      </c>
      <c r="L4609" s="6" t="str">
        <f>IFERROR(__xludf.DUMMYFUNCTION("""COMPUTED_VALUE"""),"JHMS - Hardeeville Junior Senior High School")</f>
        <v>JHMS - Hardeeville Junior Senior High School</v>
      </c>
      <c r="M4609" s="6" t="str">
        <f>IFERROR(__xludf.DUMMYFUNCTION("""COMPUTED_VALUE"""),"")</f>
        <v/>
      </c>
      <c r="N4609" s="6" t="str">
        <f>IFERROR(__xludf.DUMMYFUNCTION("""COMPUTED_VALUE"""),"")</f>
        <v/>
      </c>
      <c r="O4609" s="87" t="str">
        <f>IFERROR(__xludf.DUMMYFUNCTION("""COMPUTED_VALUE"""),"https://drive.google.com/drive/folders/10T2cTQHqEJZqE-st6uFKPoI?usp=share_link")</f>
        <v>https://drive.google.com/drive/folders/10T2cTQHqEJZqE-st6uFKPoI?usp=share_link</v>
      </c>
      <c r="P4609" s="6" t="str">
        <f>IFERROR(__xludf.DUMMYFUNCTION("""COMPUTED_VALUE"""),"Julian Jimenez Barrientos")</f>
        <v>Julian Jimenez Barrientos</v>
      </c>
      <c r="Q4609" s="6" t="str">
        <f>IFERROR(__xludf.DUMMYFUNCTION("""COMPUTED_VALUE"""),"MS")</f>
        <v>MS</v>
      </c>
      <c r="R4609" s="6">
        <f>IFERROR(__xludf.DUMMYFUNCTION("""COMPUTED_VALUE"""),0.0)</f>
        <v>0</v>
      </c>
      <c r="S4609" s="6" t="str">
        <f>IFERROR(__xludf.DUMMYFUNCTION("""COMPUTED_VALUE"""),"Kimberly Ball")</f>
        <v>Kimberly Ball</v>
      </c>
      <c r="T4609" s="6" t="str">
        <f>IFERROR(__xludf.DUMMYFUNCTION("""COMPUTED_VALUE"""),"kimberly.ball@studient.com")</f>
        <v>kimberly.ball@studient.com</v>
      </c>
      <c r="U4609" s="6" t="str">
        <f>IFERROR(__xludf.DUMMYFUNCTION("""COMPUTED_VALUE"""),"8")</f>
        <v>8</v>
      </c>
      <c r="V4609" s="6" t="str">
        <f>IFERROR(__xludf.DUMMYFUNCTION("""COMPUTED_VALUE"""),"")</f>
        <v/>
      </c>
      <c r="W4609" s="6" t="str">
        <f>IFERROR(__xludf.DUMMYFUNCTION("""COMPUTED_VALUE"""),"[]")</f>
        <v>[]</v>
      </c>
      <c r="X4609" s="6" t="str">
        <f>IFERROR(__xludf.DUMMYFUNCTION("""COMPUTED_VALUE"""),"Enrolled")</f>
        <v>Enrolled</v>
      </c>
    </row>
    <row r="4610">
      <c r="A4610" s="6" t="str">
        <f>IFERROR(__xludf.DUMMYFUNCTION("""COMPUTED_VALUE"""),"084-12972")</f>
        <v>084-12972</v>
      </c>
      <c r="B4610" s="6" t="str">
        <f>IFERROR(__xludf.DUMMYFUNCTION("""COMPUTED_VALUE"""),"84")</f>
        <v>84</v>
      </c>
      <c r="C4610" s="6" t="str">
        <f>IFERROR(__xludf.DUMMYFUNCTION("""COMPUTED_VALUE"""),"12972")</f>
        <v>12972</v>
      </c>
      <c r="D4610" s="6" t="str">
        <f>IFERROR(__xludf.DUMMYFUNCTION("""COMPUTED_VALUE"""),"Catherina")</f>
        <v>Catherina</v>
      </c>
      <c r="E4610" s="6" t="str">
        <f>IFERROR(__xludf.DUMMYFUNCTION("""COMPUTED_VALUE"""),"")</f>
        <v/>
      </c>
      <c r="F4610" s="6" t="str">
        <f>IFERROR(__xludf.DUMMYFUNCTION("""COMPUTED_VALUE"""),"Joseph")</f>
        <v>Joseph</v>
      </c>
      <c r="G4610" s="6" t="str">
        <f>IFERROR(__xludf.DUMMYFUNCTION("""COMPUTED_VALUE"""),"06/19/2012")</f>
        <v>06/19/2012</v>
      </c>
      <c r="H4610" s="6" t="str">
        <f>IFERROR(__xludf.DUMMYFUNCTION("""COMPUTED_VALUE"""),"female")</f>
        <v>female</v>
      </c>
      <c r="I4610" s="6" t="str">
        <f>IFERROR(__xludf.DUMMYFUNCTION("""COMPUTED_VALUE"""),"Middle School")</f>
        <v>Middle School</v>
      </c>
      <c r="J4610" s="6" t="str">
        <f>IFERROR(__xludf.DUMMYFUNCTION("""COMPUTED_VALUE"""),"8")</f>
        <v>8</v>
      </c>
      <c r="K4610" s="6" t="str">
        <f>IFERROR(__xludf.DUMMYFUNCTION("""COMPUTED_VALUE"""),"catherina.joseph@2hourlearning.com")</f>
        <v>catherina.joseph@2hourlearning.com</v>
      </c>
      <c r="L4610" s="6" t="str">
        <f>IFERROR(__xludf.DUMMYFUNCTION("""COMPUTED_VALUE"""),"JHMS - Hardeeville Junior Senior High School")</f>
        <v>JHMS - Hardeeville Junior Senior High School</v>
      </c>
      <c r="M4610" s="6" t="str">
        <f>IFERROR(__xludf.DUMMYFUNCTION("""COMPUTED_VALUE"""),"")</f>
        <v/>
      </c>
      <c r="N4610" s="6" t="str">
        <f>IFERROR(__xludf.DUMMYFUNCTION("""COMPUTED_VALUE"""),"")</f>
        <v/>
      </c>
      <c r="O4610" s="87" t="str">
        <f>IFERROR(__xludf.DUMMYFUNCTION("""COMPUTED_VALUE"""),"https://drive.google.com/drive/folders/10T2cTQHqEJZqE-st6uFKPoI?usp=share_link")</f>
        <v>https://drive.google.com/drive/folders/10T2cTQHqEJZqE-st6uFKPoI?usp=share_link</v>
      </c>
      <c r="P4610" s="6" t="str">
        <f>IFERROR(__xludf.DUMMYFUNCTION("""COMPUTED_VALUE"""),"Catherina Joseph")</f>
        <v>Catherina Joseph</v>
      </c>
      <c r="Q4610" s="6" t="str">
        <f>IFERROR(__xludf.DUMMYFUNCTION("""COMPUTED_VALUE"""),"MS")</f>
        <v>MS</v>
      </c>
      <c r="R4610" s="6">
        <f>IFERROR(__xludf.DUMMYFUNCTION("""COMPUTED_VALUE"""),0.0)</f>
        <v>0</v>
      </c>
      <c r="S4610" s="6" t="str">
        <f>IFERROR(__xludf.DUMMYFUNCTION("""COMPUTED_VALUE"""),"Kimberly Ball")</f>
        <v>Kimberly Ball</v>
      </c>
      <c r="T4610" s="6" t="str">
        <f>IFERROR(__xludf.DUMMYFUNCTION("""COMPUTED_VALUE"""),"kimberly.ball@studient.com")</f>
        <v>kimberly.ball@studient.com</v>
      </c>
      <c r="U4610" s="6" t="str">
        <f>IFERROR(__xludf.DUMMYFUNCTION("""COMPUTED_VALUE"""),"8")</f>
        <v>8</v>
      </c>
      <c r="V4610" s="6" t="str">
        <f>IFERROR(__xludf.DUMMYFUNCTION("""COMPUTED_VALUE"""),"")</f>
        <v/>
      </c>
      <c r="W4610" s="6" t="str">
        <f>IFERROR(__xludf.DUMMYFUNCTION("""COMPUTED_VALUE"""),"[]")</f>
        <v>[]</v>
      </c>
      <c r="X4610" s="6" t="str">
        <f>IFERROR(__xludf.DUMMYFUNCTION("""COMPUTED_VALUE"""),"Enrolled")</f>
        <v>Enrolled</v>
      </c>
    </row>
    <row r="4611">
      <c r="A4611" s="6" t="str">
        <f>IFERROR(__xludf.DUMMYFUNCTION("""COMPUTED_VALUE"""),"084-12973")</f>
        <v>084-12973</v>
      </c>
      <c r="B4611" s="6" t="str">
        <f>IFERROR(__xludf.DUMMYFUNCTION("""COMPUTED_VALUE"""),"84")</f>
        <v>84</v>
      </c>
      <c r="C4611" s="6" t="str">
        <f>IFERROR(__xludf.DUMMYFUNCTION("""COMPUTED_VALUE"""),"12973")</f>
        <v>12973</v>
      </c>
      <c r="D4611" s="6" t="str">
        <f>IFERROR(__xludf.DUMMYFUNCTION("""COMPUTED_VALUE"""),"Harper")</f>
        <v>Harper</v>
      </c>
      <c r="E4611" s="6" t="str">
        <f>IFERROR(__xludf.DUMMYFUNCTION("""COMPUTED_VALUE"""),"")</f>
        <v/>
      </c>
      <c r="F4611" s="6" t="str">
        <f>IFERROR(__xludf.DUMMYFUNCTION("""COMPUTED_VALUE"""),"Kidwell")</f>
        <v>Kidwell</v>
      </c>
      <c r="G4611" s="6" t="str">
        <f>IFERROR(__xludf.DUMMYFUNCTION("""COMPUTED_VALUE"""),"08/24/2011")</f>
        <v>08/24/2011</v>
      </c>
      <c r="H4611" s="6" t="str">
        <f>IFERROR(__xludf.DUMMYFUNCTION("""COMPUTED_VALUE"""),"female")</f>
        <v>female</v>
      </c>
      <c r="I4611" s="6" t="str">
        <f>IFERROR(__xludf.DUMMYFUNCTION("""COMPUTED_VALUE"""),"Middle School")</f>
        <v>Middle School</v>
      </c>
      <c r="J4611" s="6" t="str">
        <f>IFERROR(__xludf.DUMMYFUNCTION("""COMPUTED_VALUE"""),"8")</f>
        <v>8</v>
      </c>
      <c r="K4611" s="6" t="str">
        <f>IFERROR(__xludf.DUMMYFUNCTION("""COMPUTED_VALUE"""),"harper.kidwell@2hourlearning.com")</f>
        <v>harper.kidwell@2hourlearning.com</v>
      </c>
      <c r="L4611" s="6" t="str">
        <f>IFERROR(__xludf.DUMMYFUNCTION("""COMPUTED_VALUE"""),"JHMS - Hardeeville Junior Senior High School")</f>
        <v>JHMS - Hardeeville Junior Senior High School</v>
      </c>
      <c r="M4611" s="6" t="str">
        <f>IFERROR(__xludf.DUMMYFUNCTION("""COMPUTED_VALUE"""),"")</f>
        <v/>
      </c>
      <c r="N4611" s="6" t="str">
        <f>IFERROR(__xludf.DUMMYFUNCTION("""COMPUTED_VALUE"""),"")</f>
        <v/>
      </c>
      <c r="O4611" s="87" t="str">
        <f>IFERROR(__xludf.DUMMYFUNCTION("""COMPUTED_VALUE"""),"https://drive.google.com/drive/folders/10T2cTQHqEJZqE-st6uFKPoI?usp=share_link")</f>
        <v>https://drive.google.com/drive/folders/10T2cTQHqEJZqE-st6uFKPoI?usp=share_link</v>
      </c>
      <c r="P4611" s="6" t="str">
        <f>IFERROR(__xludf.DUMMYFUNCTION("""COMPUTED_VALUE"""),"Harper Kidwell")</f>
        <v>Harper Kidwell</v>
      </c>
      <c r="Q4611" s="6" t="str">
        <f>IFERROR(__xludf.DUMMYFUNCTION("""COMPUTED_VALUE"""),"MS")</f>
        <v>MS</v>
      </c>
      <c r="R4611" s="6">
        <f>IFERROR(__xludf.DUMMYFUNCTION("""COMPUTED_VALUE"""),0.0)</f>
        <v>0</v>
      </c>
      <c r="S4611" s="6" t="str">
        <f>IFERROR(__xludf.DUMMYFUNCTION("""COMPUTED_VALUE"""),"Kimberly Ball")</f>
        <v>Kimberly Ball</v>
      </c>
      <c r="T4611" s="6" t="str">
        <f>IFERROR(__xludf.DUMMYFUNCTION("""COMPUTED_VALUE"""),"kimberly.ball@studient.com")</f>
        <v>kimberly.ball@studient.com</v>
      </c>
      <c r="U4611" s="6" t="str">
        <f>IFERROR(__xludf.DUMMYFUNCTION("""COMPUTED_VALUE"""),"8")</f>
        <v>8</v>
      </c>
      <c r="V4611" s="6" t="str">
        <f>IFERROR(__xludf.DUMMYFUNCTION("""COMPUTED_VALUE"""),"")</f>
        <v/>
      </c>
      <c r="W4611" s="6" t="str">
        <f>IFERROR(__xludf.DUMMYFUNCTION("""COMPUTED_VALUE"""),"[]")</f>
        <v>[]</v>
      </c>
      <c r="X4611" s="6" t="str">
        <f>IFERROR(__xludf.DUMMYFUNCTION("""COMPUTED_VALUE"""),"Enrolled")</f>
        <v>Enrolled</v>
      </c>
    </row>
    <row r="4612">
      <c r="A4612" s="6" t="str">
        <f>IFERROR(__xludf.DUMMYFUNCTION("""COMPUTED_VALUE"""),"084-12974")</f>
        <v>084-12974</v>
      </c>
      <c r="B4612" s="6" t="str">
        <f>IFERROR(__xludf.DUMMYFUNCTION("""COMPUTED_VALUE"""),"84")</f>
        <v>84</v>
      </c>
      <c r="C4612" s="6" t="str">
        <f>IFERROR(__xludf.DUMMYFUNCTION("""COMPUTED_VALUE"""),"12974")</f>
        <v>12974</v>
      </c>
      <c r="D4612" s="6" t="str">
        <f>IFERROR(__xludf.DUMMYFUNCTION("""COMPUTED_VALUE"""),"Jacelyn")</f>
        <v>Jacelyn</v>
      </c>
      <c r="E4612" s="6" t="str">
        <f>IFERROR(__xludf.DUMMYFUNCTION("""COMPUTED_VALUE"""),"")</f>
        <v/>
      </c>
      <c r="F4612" s="6" t="str">
        <f>IFERROR(__xludf.DUMMYFUNCTION("""COMPUTED_VALUE"""),"Luna Ramirez")</f>
        <v>Luna Ramirez</v>
      </c>
      <c r="G4612" s="6" t="str">
        <f>IFERROR(__xludf.DUMMYFUNCTION("""COMPUTED_VALUE"""),"09/10/2011")</f>
        <v>09/10/2011</v>
      </c>
      <c r="H4612" s="6" t="str">
        <f>IFERROR(__xludf.DUMMYFUNCTION("""COMPUTED_VALUE"""),"male")</f>
        <v>male</v>
      </c>
      <c r="I4612" s="6" t="str">
        <f>IFERROR(__xludf.DUMMYFUNCTION("""COMPUTED_VALUE"""),"Middle School")</f>
        <v>Middle School</v>
      </c>
      <c r="J4612" s="6" t="str">
        <f>IFERROR(__xludf.DUMMYFUNCTION("""COMPUTED_VALUE"""),"8")</f>
        <v>8</v>
      </c>
      <c r="K4612" s="6" t="str">
        <f>IFERROR(__xludf.DUMMYFUNCTION("""COMPUTED_VALUE"""),"jacelyn.lunaramirez@2hourlearning.com")</f>
        <v>jacelyn.lunaramirez@2hourlearning.com</v>
      </c>
      <c r="L4612" s="6" t="str">
        <f>IFERROR(__xludf.DUMMYFUNCTION("""COMPUTED_VALUE"""),"JHMS - Hardeeville Junior Senior High School")</f>
        <v>JHMS - Hardeeville Junior Senior High School</v>
      </c>
      <c r="M4612" s="6" t="str">
        <f>IFERROR(__xludf.DUMMYFUNCTION("""COMPUTED_VALUE"""),"")</f>
        <v/>
      </c>
      <c r="N4612" s="6" t="str">
        <f>IFERROR(__xludf.DUMMYFUNCTION("""COMPUTED_VALUE"""),"")</f>
        <v/>
      </c>
      <c r="O4612" s="87" t="str">
        <f>IFERROR(__xludf.DUMMYFUNCTION("""COMPUTED_VALUE"""),"https://drive.google.com/drive/folders/10T2cTQHqEJZqE-st6uFKPoI?usp=share_link")</f>
        <v>https://drive.google.com/drive/folders/10T2cTQHqEJZqE-st6uFKPoI?usp=share_link</v>
      </c>
      <c r="P4612" s="6" t="str">
        <f>IFERROR(__xludf.DUMMYFUNCTION("""COMPUTED_VALUE"""),"Jacelyn Luna Ramirez")</f>
        <v>Jacelyn Luna Ramirez</v>
      </c>
      <c r="Q4612" s="6" t="str">
        <f>IFERROR(__xludf.DUMMYFUNCTION("""COMPUTED_VALUE"""),"MS")</f>
        <v>MS</v>
      </c>
      <c r="R4612" s="6">
        <f>IFERROR(__xludf.DUMMYFUNCTION("""COMPUTED_VALUE"""),0.0)</f>
        <v>0</v>
      </c>
      <c r="S4612" s="6" t="str">
        <f>IFERROR(__xludf.DUMMYFUNCTION("""COMPUTED_VALUE"""),"Kimberly Ball")</f>
        <v>Kimberly Ball</v>
      </c>
      <c r="T4612" s="6" t="str">
        <f>IFERROR(__xludf.DUMMYFUNCTION("""COMPUTED_VALUE"""),"kimberly.ball@studient.com")</f>
        <v>kimberly.ball@studient.com</v>
      </c>
      <c r="U4612" s="6" t="str">
        <f>IFERROR(__xludf.DUMMYFUNCTION("""COMPUTED_VALUE"""),"8")</f>
        <v>8</v>
      </c>
      <c r="V4612" s="6" t="str">
        <f>IFERROR(__xludf.DUMMYFUNCTION("""COMPUTED_VALUE"""),"")</f>
        <v/>
      </c>
      <c r="W4612" s="6" t="str">
        <f>IFERROR(__xludf.DUMMYFUNCTION("""COMPUTED_VALUE"""),"[]")</f>
        <v>[]</v>
      </c>
      <c r="X4612" s="6" t="str">
        <f>IFERROR(__xludf.DUMMYFUNCTION("""COMPUTED_VALUE"""),"Enrolled")</f>
        <v>Enrolled</v>
      </c>
    </row>
    <row r="4613">
      <c r="A4613" s="6" t="str">
        <f>IFERROR(__xludf.DUMMYFUNCTION("""COMPUTED_VALUE"""),"084-12975")</f>
        <v>084-12975</v>
      </c>
      <c r="B4613" s="6" t="str">
        <f>IFERROR(__xludf.DUMMYFUNCTION("""COMPUTED_VALUE"""),"84")</f>
        <v>84</v>
      </c>
      <c r="C4613" s="6" t="str">
        <f>IFERROR(__xludf.DUMMYFUNCTION("""COMPUTED_VALUE"""),"12975")</f>
        <v>12975</v>
      </c>
      <c r="D4613" s="6" t="str">
        <f>IFERROR(__xludf.DUMMYFUNCTION("""COMPUTED_VALUE"""),"Aldo")</f>
        <v>Aldo</v>
      </c>
      <c r="E4613" s="6" t="str">
        <f>IFERROR(__xludf.DUMMYFUNCTION("""COMPUTED_VALUE"""),"")</f>
        <v/>
      </c>
      <c r="F4613" s="6" t="str">
        <f>IFERROR(__xludf.DUMMYFUNCTION("""COMPUTED_VALUE"""),"Maldonado Solano")</f>
        <v>Maldonado Solano</v>
      </c>
      <c r="G4613" s="6" t="str">
        <f>IFERROR(__xludf.DUMMYFUNCTION("""COMPUTED_VALUE"""),"11/18/2011")</f>
        <v>11/18/2011</v>
      </c>
      <c r="H4613" s="6" t="str">
        <f>IFERROR(__xludf.DUMMYFUNCTION("""COMPUTED_VALUE"""),"male")</f>
        <v>male</v>
      </c>
      <c r="I4613" s="6" t="str">
        <f>IFERROR(__xludf.DUMMYFUNCTION("""COMPUTED_VALUE"""),"Middle School")</f>
        <v>Middle School</v>
      </c>
      <c r="J4613" s="6" t="str">
        <f>IFERROR(__xludf.DUMMYFUNCTION("""COMPUTED_VALUE"""),"8")</f>
        <v>8</v>
      </c>
      <c r="K4613" s="6" t="str">
        <f>IFERROR(__xludf.DUMMYFUNCTION("""COMPUTED_VALUE"""),"aldo.maldonadosolano@2hourlearning.com")</f>
        <v>aldo.maldonadosolano@2hourlearning.com</v>
      </c>
      <c r="L4613" s="6" t="str">
        <f>IFERROR(__xludf.DUMMYFUNCTION("""COMPUTED_VALUE"""),"JHMS - Hardeeville Junior Senior High School")</f>
        <v>JHMS - Hardeeville Junior Senior High School</v>
      </c>
      <c r="M4613" s="6" t="str">
        <f>IFERROR(__xludf.DUMMYFUNCTION("""COMPUTED_VALUE"""),"")</f>
        <v/>
      </c>
      <c r="N4613" s="6" t="str">
        <f>IFERROR(__xludf.DUMMYFUNCTION("""COMPUTED_VALUE"""),"")</f>
        <v/>
      </c>
      <c r="O4613" s="87" t="str">
        <f>IFERROR(__xludf.DUMMYFUNCTION("""COMPUTED_VALUE"""),"https://drive.google.com/drive/folders/10T2cTQHqEJZqE-st6uFKPoI?usp=share_link")</f>
        <v>https://drive.google.com/drive/folders/10T2cTQHqEJZqE-st6uFKPoI?usp=share_link</v>
      </c>
      <c r="P4613" s="6" t="str">
        <f>IFERROR(__xludf.DUMMYFUNCTION("""COMPUTED_VALUE"""),"Aldo Maldonado Solano")</f>
        <v>Aldo Maldonado Solano</v>
      </c>
      <c r="Q4613" s="6" t="str">
        <f>IFERROR(__xludf.DUMMYFUNCTION("""COMPUTED_VALUE"""),"MS")</f>
        <v>MS</v>
      </c>
      <c r="R4613" s="6">
        <f>IFERROR(__xludf.DUMMYFUNCTION("""COMPUTED_VALUE"""),0.0)</f>
        <v>0</v>
      </c>
      <c r="S4613" s="6" t="str">
        <f>IFERROR(__xludf.DUMMYFUNCTION("""COMPUTED_VALUE"""),"Kimberly Ball")</f>
        <v>Kimberly Ball</v>
      </c>
      <c r="T4613" s="6" t="str">
        <f>IFERROR(__xludf.DUMMYFUNCTION("""COMPUTED_VALUE"""),"kimberly.ball@studient.com")</f>
        <v>kimberly.ball@studient.com</v>
      </c>
      <c r="U4613" s="6" t="str">
        <f>IFERROR(__xludf.DUMMYFUNCTION("""COMPUTED_VALUE"""),"8")</f>
        <v>8</v>
      </c>
      <c r="V4613" s="6" t="str">
        <f>IFERROR(__xludf.DUMMYFUNCTION("""COMPUTED_VALUE"""),"")</f>
        <v/>
      </c>
      <c r="W4613" s="6" t="str">
        <f>IFERROR(__xludf.DUMMYFUNCTION("""COMPUTED_VALUE"""),"[]")</f>
        <v>[]</v>
      </c>
      <c r="X4613" s="6" t="str">
        <f>IFERROR(__xludf.DUMMYFUNCTION("""COMPUTED_VALUE"""),"Enrolled")</f>
        <v>Enrolled</v>
      </c>
    </row>
    <row r="4614">
      <c r="A4614" s="6" t="str">
        <f>IFERROR(__xludf.DUMMYFUNCTION("""COMPUTED_VALUE"""),"084-12976")</f>
        <v>084-12976</v>
      </c>
      <c r="B4614" s="6" t="str">
        <f>IFERROR(__xludf.DUMMYFUNCTION("""COMPUTED_VALUE"""),"84")</f>
        <v>84</v>
      </c>
      <c r="C4614" s="6" t="str">
        <f>IFERROR(__xludf.DUMMYFUNCTION("""COMPUTED_VALUE"""),"12976")</f>
        <v>12976</v>
      </c>
      <c r="D4614" s="6" t="str">
        <f>IFERROR(__xludf.DUMMYFUNCTION("""COMPUTED_VALUE"""),"Thiago")</f>
        <v>Thiago</v>
      </c>
      <c r="E4614" s="6" t="str">
        <f>IFERROR(__xludf.DUMMYFUNCTION("""COMPUTED_VALUE"""),"")</f>
        <v/>
      </c>
      <c r="F4614" s="6" t="str">
        <f>IFERROR(__xludf.DUMMYFUNCTION("""COMPUTED_VALUE"""),"Martinez")</f>
        <v>Martinez</v>
      </c>
      <c r="G4614" s="6" t="str">
        <f>IFERROR(__xludf.DUMMYFUNCTION("""COMPUTED_VALUE"""),"06/28/2011")</f>
        <v>06/28/2011</v>
      </c>
      <c r="H4614" s="6" t="str">
        <f>IFERROR(__xludf.DUMMYFUNCTION("""COMPUTED_VALUE"""),"male")</f>
        <v>male</v>
      </c>
      <c r="I4614" s="6" t="str">
        <f>IFERROR(__xludf.DUMMYFUNCTION("""COMPUTED_VALUE"""),"Middle School")</f>
        <v>Middle School</v>
      </c>
      <c r="J4614" s="6" t="str">
        <f>IFERROR(__xludf.DUMMYFUNCTION("""COMPUTED_VALUE"""),"8")</f>
        <v>8</v>
      </c>
      <c r="K4614" s="6" t="str">
        <f>IFERROR(__xludf.DUMMYFUNCTION("""COMPUTED_VALUE"""),"thiago.martinez@2hourlearning.com")</f>
        <v>thiago.martinez@2hourlearning.com</v>
      </c>
      <c r="L4614" s="6" t="str">
        <f>IFERROR(__xludf.DUMMYFUNCTION("""COMPUTED_VALUE"""),"JHMS - Hardeeville Junior Senior High School")</f>
        <v>JHMS - Hardeeville Junior Senior High School</v>
      </c>
      <c r="M4614" s="6" t="str">
        <f>IFERROR(__xludf.DUMMYFUNCTION("""COMPUTED_VALUE"""),"")</f>
        <v/>
      </c>
      <c r="N4614" s="6" t="str">
        <f>IFERROR(__xludf.DUMMYFUNCTION("""COMPUTED_VALUE"""),"")</f>
        <v/>
      </c>
      <c r="O4614" s="87" t="str">
        <f>IFERROR(__xludf.DUMMYFUNCTION("""COMPUTED_VALUE"""),"https://drive.google.com/drive/folders/10T2cTQHqEJZqE-st6uFKPoI?usp=share_link")</f>
        <v>https://drive.google.com/drive/folders/10T2cTQHqEJZqE-st6uFKPoI?usp=share_link</v>
      </c>
      <c r="P4614" s="6" t="str">
        <f>IFERROR(__xludf.DUMMYFUNCTION("""COMPUTED_VALUE"""),"Thiago Martinez")</f>
        <v>Thiago Martinez</v>
      </c>
      <c r="Q4614" s="6" t="str">
        <f>IFERROR(__xludf.DUMMYFUNCTION("""COMPUTED_VALUE"""),"MS")</f>
        <v>MS</v>
      </c>
      <c r="R4614" s="6">
        <f>IFERROR(__xludf.DUMMYFUNCTION("""COMPUTED_VALUE"""),0.0)</f>
        <v>0</v>
      </c>
      <c r="S4614" s="6" t="str">
        <f>IFERROR(__xludf.DUMMYFUNCTION("""COMPUTED_VALUE"""),"Kimberly Ball")</f>
        <v>Kimberly Ball</v>
      </c>
      <c r="T4614" s="6" t="str">
        <f>IFERROR(__xludf.DUMMYFUNCTION("""COMPUTED_VALUE"""),"kimberly.ball@studient.com")</f>
        <v>kimberly.ball@studient.com</v>
      </c>
      <c r="U4614" s="6" t="str">
        <f>IFERROR(__xludf.DUMMYFUNCTION("""COMPUTED_VALUE"""),"8")</f>
        <v>8</v>
      </c>
      <c r="V4614" s="6" t="str">
        <f>IFERROR(__xludf.DUMMYFUNCTION("""COMPUTED_VALUE"""),"")</f>
        <v/>
      </c>
      <c r="W4614" s="6" t="str">
        <f>IFERROR(__xludf.DUMMYFUNCTION("""COMPUTED_VALUE"""),"[]")</f>
        <v>[]</v>
      </c>
      <c r="X4614" s="6" t="str">
        <f>IFERROR(__xludf.DUMMYFUNCTION("""COMPUTED_VALUE"""),"Enrolled")</f>
        <v>Enrolled</v>
      </c>
    </row>
    <row r="4615">
      <c r="A4615" s="6" t="str">
        <f>IFERROR(__xludf.DUMMYFUNCTION("""COMPUTED_VALUE"""),"084-12977")</f>
        <v>084-12977</v>
      </c>
      <c r="B4615" s="6" t="str">
        <f>IFERROR(__xludf.DUMMYFUNCTION("""COMPUTED_VALUE"""),"84")</f>
        <v>84</v>
      </c>
      <c r="C4615" s="6" t="str">
        <f>IFERROR(__xludf.DUMMYFUNCTION("""COMPUTED_VALUE"""),"12977")</f>
        <v>12977</v>
      </c>
      <c r="D4615" s="6" t="str">
        <f>IFERROR(__xludf.DUMMYFUNCTION("""COMPUTED_VALUE"""),"Rosalinda")</f>
        <v>Rosalinda</v>
      </c>
      <c r="E4615" s="6" t="str">
        <f>IFERROR(__xludf.DUMMYFUNCTION("""COMPUTED_VALUE"""),"")</f>
        <v/>
      </c>
      <c r="F4615" s="6" t="str">
        <f>IFERROR(__xludf.DUMMYFUNCTION("""COMPUTED_VALUE"""),"Martinez Cuxum")</f>
        <v>Martinez Cuxum</v>
      </c>
      <c r="G4615" s="6" t="str">
        <f>IFERROR(__xludf.DUMMYFUNCTION("""COMPUTED_VALUE"""),"04/29/2012")</f>
        <v>04/29/2012</v>
      </c>
      <c r="H4615" s="6" t="str">
        <f>IFERROR(__xludf.DUMMYFUNCTION("""COMPUTED_VALUE"""),"female")</f>
        <v>female</v>
      </c>
      <c r="I4615" s="6" t="str">
        <f>IFERROR(__xludf.DUMMYFUNCTION("""COMPUTED_VALUE"""),"Middle School")</f>
        <v>Middle School</v>
      </c>
      <c r="J4615" s="6" t="str">
        <f>IFERROR(__xludf.DUMMYFUNCTION("""COMPUTED_VALUE"""),"8")</f>
        <v>8</v>
      </c>
      <c r="K4615" s="6" t="str">
        <f>IFERROR(__xludf.DUMMYFUNCTION("""COMPUTED_VALUE"""),"rosalinda.martinezcuxum@2hourlearning.com")</f>
        <v>rosalinda.martinezcuxum@2hourlearning.com</v>
      </c>
      <c r="L4615" s="6" t="str">
        <f>IFERROR(__xludf.DUMMYFUNCTION("""COMPUTED_VALUE"""),"JHMS - Hardeeville Junior Senior High School")</f>
        <v>JHMS - Hardeeville Junior Senior High School</v>
      </c>
      <c r="M4615" s="6" t="str">
        <f>IFERROR(__xludf.DUMMYFUNCTION("""COMPUTED_VALUE"""),"")</f>
        <v/>
      </c>
      <c r="N4615" s="6" t="str">
        <f>IFERROR(__xludf.DUMMYFUNCTION("""COMPUTED_VALUE"""),"")</f>
        <v/>
      </c>
      <c r="O4615" s="87" t="str">
        <f>IFERROR(__xludf.DUMMYFUNCTION("""COMPUTED_VALUE"""),"https://drive.google.com/drive/folders/10T2cTQHqEJZqE-st6uFKPoI?usp=share_link")</f>
        <v>https://drive.google.com/drive/folders/10T2cTQHqEJZqE-st6uFKPoI?usp=share_link</v>
      </c>
      <c r="P4615" s="6" t="str">
        <f>IFERROR(__xludf.DUMMYFUNCTION("""COMPUTED_VALUE"""),"Rosalinda Martinez Cuxum")</f>
        <v>Rosalinda Martinez Cuxum</v>
      </c>
      <c r="Q4615" s="6" t="str">
        <f>IFERROR(__xludf.DUMMYFUNCTION("""COMPUTED_VALUE"""),"MS")</f>
        <v>MS</v>
      </c>
      <c r="R4615" s="6">
        <f>IFERROR(__xludf.DUMMYFUNCTION("""COMPUTED_VALUE"""),0.0)</f>
        <v>0</v>
      </c>
      <c r="S4615" s="6" t="str">
        <f>IFERROR(__xludf.DUMMYFUNCTION("""COMPUTED_VALUE"""),"Kimberly Ball")</f>
        <v>Kimberly Ball</v>
      </c>
      <c r="T4615" s="6" t="str">
        <f>IFERROR(__xludf.DUMMYFUNCTION("""COMPUTED_VALUE"""),"kimberly.ball@studient.com")</f>
        <v>kimberly.ball@studient.com</v>
      </c>
      <c r="U4615" s="6" t="str">
        <f>IFERROR(__xludf.DUMMYFUNCTION("""COMPUTED_VALUE"""),"8")</f>
        <v>8</v>
      </c>
      <c r="V4615" s="6" t="str">
        <f>IFERROR(__xludf.DUMMYFUNCTION("""COMPUTED_VALUE"""),"")</f>
        <v/>
      </c>
      <c r="W4615" s="6" t="str">
        <f>IFERROR(__xludf.DUMMYFUNCTION("""COMPUTED_VALUE"""),"[]")</f>
        <v>[]</v>
      </c>
      <c r="X4615" s="6" t="str">
        <f>IFERROR(__xludf.DUMMYFUNCTION("""COMPUTED_VALUE"""),"Enrolled")</f>
        <v>Enrolled</v>
      </c>
    </row>
    <row r="4616">
      <c r="A4616" s="6" t="str">
        <f>IFERROR(__xludf.DUMMYFUNCTION("""COMPUTED_VALUE"""),"084-12978")</f>
        <v>084-12978</v>
      </c>
      <c r="B4616" s="6" t="str">
        <f>IFERROR(__xludf.DUMMYFUNCTION("""COMPUTED_VALUE"""),"84")</f>
        <v>84</v>
      </c>
      <c r="C4616" s="6" t="str">
        <f>IFERROR(__xludf.DUMMYFUNCTION("""COMPUTED_VALUE"""),"12978")</f>
        <v>12978</v>
      </c>
      <c r="D4616" s="6" t="str">
        <f>IFERROR(__xludf.DUMMYFUNCTION("""COMPUTED_VALUE"""),"Karen")</f>
        <v>Karen</v>
      </c>
      <c r="E4616" s="6" t="str">
        <f>IFERROR(__xludf.DUMMYFUNCTION("""COMPUTED_VALUE"""),"")</f>
        <v/>
      </c>
      <c r="F4616" s="6" t="str">
        <f>IFERROR(__xludf.DUMMYFUNCTION("""COMPUTED_VALUE"""),"Martinez Palma")</f>
        <v>Martinez Palma</v>
      </c>
      <c r="G4616" s="6" t="str">
        <f>IFERROR(__xludf.DUMMYFUNCTION("""COMPUTED_VALUE"""),"08/11/2011")</f>
        <v>08/11/2011</v>
      </c>
      <c r="H4616" s="6" t="str">
        <f>IFERROR(__xludf.DUMMYFUNCTION("""COMPUTED_VALUE"""),"female")</f>
        <v>female</v>
      </c>
      <c r="I4616" s="6" t="str">
        <f>IFERROR(__xludf.DUMMYFUNCTION("""COMPUTED_VALUE"""),"Middle School")</f>
        <v>Middle School</v>
      </c>
      <c r="J4616" s="6" t="str">
        <f>IFERROR(__xludf.DUMMYFUNCTION("""COMPUTED_VALUE"""),"8")</f>
        <v>8</v>
      </c>
      <c r="K4616" s="6" t="str">
        <f>IFERROR(__xludf.DUMMYFUNCTION("""COMPUTED_VALUE"""),"karen.martinezpalma@2hourlearning.com")</f>
        <v>karen.martinezpalma@2hourlearning.com</v>
      </c>
      <c r="L4616" s="6" t="str">
        <f>IFERROR(__xludf.DUMMYFUNCTION("""COMPUTED_VALUE"""),"JHMS - Hardeeville Junior Senior High School")</f>
        <v>JHMS - Hardeeville Junior Senior High School</v>
      </c>
      <c r="M4616" s="6" t="str">
        <f>IFERROR(__xludf.DUMMYFUNCTION("""COMPUTED_VALUE"""),"")</f>
        <v/>
      </c>
      <c r="N4616" s="6" t="str">
        <f>IFERROR(__xludf.DUMMYFUNCTION("""COMPUTED_VALUE"""),"")</f>
        <v/>
      </c>
      <c r="O4616" s="87" t="str">
        <f>IFERROR(__xludf.DUMMYFUNCTION("""COMPUTED_VALUE"""),"https://drive.google.com/drive/folders/10T2cTQHqEJZqE-st6uFKPoI?usp=share_link")</f>
        <v>https://drive.google.com/drive/folders/10T2cTQHqEJZqE-st6uFKPoI?usp=share_link</v>
      </c>
      <c r="P4616" s="6" t="str">
        <f>IFERROR(__xludf.DUMMYFUNCTION("""COMPUTED_VALUE"""),"Karen Martinez Palma")</f>
        <v>Karen Martinez Palma</v>
      </c>
      <c r="Q4616" s="6" t="str">
        <f>IFERROR(__xludf.DUMMYFUNCTION("""COMPUTED_VALUE"""),"MS")</f>
        <v>MS</v>
      </c>
      <c r="R4616" s="6">
        <f>IFERROR(__xludf.DUMMYFUNCTION("""COMPUTED_VALUE"""),0.0)</f>
        <v>0</v>
      </c>
      <c r="S4616" s="6" t="str">
        <f>IFERROR(__xludf.DUMMYFUNCTION("""COMPUTED_VALUE"""),"Kimberly Ball")</f>
        <v>Kimberly Ball</v>
      </c>
      <c r="T4616" s="6" t="str">
        <f>IFERROR(__xludf.DUMMYFUNCTION("""COMPUTED_VALUE"""),"kimberly.ball@studient.com")</f>
        <v>kimberly.ball@studient.com</v>
      </c>
      <c r="U4616" s="6" t="str">
        <f>IFERROR(__xludf.DUMMYFUNCTION("""COMPUTED_VALUE"""),"8")</f>
        <v>8</v>
      </c>
      <c r="V4616" s="6" t="str">
        <f>IFERROR(__xludf.DUMMYFUNCTION("""COMPUTED_VALUE"""),"")</f>
        <v/>
      </c>
      <c r="W4616" s="6" t="str">
        <f>IFERROR(__xludf.DUMMYFUNCTION("""COMPUTED_VALUE"""),"[]")</f>
        <v>[]</v>
      </c>
      <c r="X4616" s="6" t="str">
        <f>IFERROR(__xludf.DUMMYFUNCTION("""COMPUTED_VALUE"""),"Enrolled")</f>
        <v>Enrolled</v>
      </c>
    </row>
    <row r="4617">
      <c r="A4617" s="6" t="str">
        <f>IFERROR(__xludf.DUMMYFUNCTION("""COMPUTED_VALUE"""),"084-12979")</f>
        <v>084-12979</v>
      </c>
      <c r="B4617" s="6" t="str">
        <f>IFERROR(__xludf.DUMMYFUNCTION("""COMPUTED_VALUE"""),"84")</f>
        <v>84</v>
      </c>
      <c r="C4617" s="6" t="str">
        <f>IFERROR(__xludf.DUMMYFUNCTION("""COMPUTED_VALUE"""),"12979")</f>
        <v>12979</v>
      </c>
      <c r="D4617" s="6" t="str">
        <f>IFERROR(__xludf.DUMMYFUNCTION("""COMPUTED_VALUE"""),"Adrian")</f>
        <v>Adrian</v>
      </c>
      <c r="E4617" s="6" t="str">
        <f>IFERROR(__xludf.DUMMYFUNCTION("""COMPUTED_VALUE"""),"")</f>
        <v/>
      </c>
      <c r="F4617" s="6" t="str">
        <f>IFERROR(__xludf.DUMMYFUNCTION("""COMPUTED_VALUE"""),"McKinney")</f>
        <v>McKinney</v>
      </c>
      <c r="G4617" s="6" t="str">
        <f>IFERROR(__xludf.DUMMYFUNCTION("""COMPUTED_VALUE"""),"07/07/2011")</f>
        <v>07/07/2011</v>
      </c>
      <c r="H4617" s="6" t="str">
        <f>IFERROR(__xludf.DUMMYFUNCTION("""COMPUTED_VALUE"""),"female")</f>
        <v>female</v>
      </c>
      <c r="I4617" s="6" t="str">
        <f>IFERROR(__xludf.DUMMYFUNCTION("""COMPUTED_VALUE"""),"Middle School")</f>
        <v>Middle School</v>
      </c>
      <c r="J4617" s="6" t="str">
        <f>IFERROR(__xludf.DUMMYFUNCTION("""COMPUTED_VALUE"""),"8")</f>
        <v>8</v>
      </c>
      <c r="K4617" s="6" t="str">
        <f>IFERROR(__xludf.DUMMYFUNCTION("""COMPUTED_VALUE"""),"adrian.mckinney@2hourlearning.com")</f>
        <v>adrian.mckinney@2hourlearning.com</v>
      </c>
      <c r="L4617" s="6" t="str">
        <f>IFERROR(__xludf.DUMMYFUNCTION("""COMPUTED_VALUE"""),"JHMS - Hardeeville Junior Senior High School")</f>
        <v>JHMS - Hardeeville Junior Senior High School</v>
      </c>
      <c r="M4617" s="6" t="str">
        <f>IFERROR(__xludf.DUMMYFUNCTION("""COMPUTED_VALUE"""),"")</f>
        <v/>
      </c>
      <c r="N4617" s="6" t="str">
        <f>IFERROR(__xludf.DUMMYFUNCTION("""COMPUTED_VALUE"""),"")</f>
        <v/>
      </c>
      <c r="O4617" s="87" t="str">
        <f>IFERROR(__xludf.DUMMYFUNCTION("""COMPUTED_VALUE"""),"https://drive.google.com/drive/folders/10T2cTQHqEJZqE-st6uFKPoI?usp=share_link")</f>
        <v>https://drive.google.com/drive/folders/10T2cTQHqEJZqE-st6uFKPoI?usp=share_link</v>
      </c>
      <c r="P4617" s="6" t="str">
        <f>IFERROR(__xludf.DUMMYFUNCTION("""COMPUTED_VALUE"""),"Adrian McKinney")</f>
        <v>Adrian McKinney</v>
      </c>
      <c r="Q4617" s="6" t="str">
        <f>IFERROR(__xludf.DUMMYFUNCTION("""COMPUTED_VALUE"""),"MS")</f>
        <v>MS</v>
      </c>
      <c r="R4617" s="6">
        <f>IFERROR(__xludf.DUMMYFUNCTION("""COMPUTED_VALUE"""),0.0)</f>
        <v>0</v>
      </c>
      <c r="S4617" s="6" t="str">
        <f>IFERROR(__xludf.DUMMYFUNCTION("""COMPUTED_VALUE"""),"Kimberly Ball")</f>
        <v>Kimberly Ball</v>
      </c>
      <c r="T4617" s="6" t="str">
        <f>IFERROR(__xludf.DUMMYFUNCTION("""COMPUTED_VALUE"""),"kimberly.ball@studient.com")</f>
        <v>kimberly.ball@studient.com</v>
      </c>
      <c r="U4617" s="6" t="str">
        <f>IFERROR(__xludf.DUMMYFUNCTION("""COMPUTED_VALUE"""),"8")</f>
        <v>8</v>
      </c>
      <c r="V4617" s="6" t="str">
        <f>IFERROR(__xludf.DUMMYFUNCTION("""COMPUTED_VALUE"""),"")</f>
        <v/>
      </c>
      <c r="W4617" s="6" t="str">
        <f>IFERROR(__xludf.DUMMYFUNCTION("""COMPUTED_VALUE"""),"[]")</f>
        <v>[]</v>
      </c>
      <c r="X4617" s="6" t="str">
        <f>IFERROR(__xludf.DUMMYFUNCTION("""COMPUTED_VALUE"""),"Enrolled")</f>
        <v>Enrolled</v>
      </c>
    </row>
    <row r="4618">
      <c r="A4618" s="6" t="str">
        <f>IFERROR(__xludf.DUMMYFUNCTION("""COMPUTED_VALUE"""),"084-12980")</f>
        <v>084-12980</v>
      </c>
      <c r="B4618" s="6" t="str">
        <f>IFERROR(__xludf.DUMMYFUNCTION("""COMPUTED_VALUE"""),"84")</f>
        <v>84</v>
      </c>
      <c r="C4618" s="6" t="str">
        <f>IFERROR(__xludf.DUMMYFUNCTION("""COMPUTED_VALUE"""),"12980")</f>
        <v>12980</v>
      </c>
      <c r="D4618" s="6" t="str">
        <f>IFERROR(__xludf.DUMMYFUNCTION("""COMPUTED_VALUE"""),"Kimberli")</f>
        <v>Kimberli</v>
      </c>
      <c r="E4618" s="6" t="str">
        <f>IFERROR(__xludf.DUMMYFUNCTION("""COMPUTED_VALUE"""),"")</f>
        <v/>
      </c>
      <c r="F4618" s="6" t="str">
        <f>IFERROR(__xludf.DUMMYFUNCTION("""COMPUTED_VALUE"""),"Mejia Flores")</f>
        <v>Mejia Flores</v>
      </c>
      <c r="G4618" s="6" t="str">
        <f>IFERROR(__xludf.DUMMYFUNCTION("""COMPUTED_VALUE"""),"08/18/2012")</f>
        <v>08/18/2012</v>
      </c>
      <c r="H4618" s="6" t="str">
        <f>IFERROR(__xludf.DUMMYFUNCTION("""COMPUTED_VALUE"""),"male")</f>
        <v>male</v>
      </c>
      <c r="I4618" s="6" t="str">
        <f>IFERROR(__xludf.DUMMYFUNCTION("""COMPUTED_VALUE"""),"Middle School")</f>
        <v>Middle School</v>
      </c>
      <c r="J4618" s="6" t="str">
        <f>IFERROR(__xludf.DUMMYFUNCTION("""COMPUTED_VALUE"""),"8")</f>
        <v>8</v>
      </c>
      <c r="K4618" s="6" t="str">
        <f>IFERROR(__xludf.DUMMYFUNCTION("""COMPUTED_VALUE"""),"kimberli.mejiaflores@2hourlearning.com")</f>
        <v>kimberli.mejiaflores@2hourlearning.com</v>
      </c>
      <c r="L4618" s="6" t="str">
        <f>IFERROR(__xludf.DUMMYFUNCTION("""COMPUTED_VALUE"""),"JHMS - Hardeeville Junior Senior High School")</f>
        <v>JHMS - Hardeeville Junior Senior High School</v>
      </c>
      <c r="M4618" s="6" t="str">
        <f>IFERROR(__xludf.DUMMYFUNCTION("""COMPUTED_VALUE"""),"")</f>
        <v/>
      </c>
      <c r="N4618" s="6" t="str">
        <f>IFERROR(__xludf.DUMMYFUNCTION("""COMPUTED_VALUE"""),"")</f>
        <v/>
      </c>
      <c r="O4618" s="87" t="str">
        <f>IFERROR(__xludf.DUMMYFUNCTION("""COMPUTED_VALUE"""),"https://drive.google.com/drive/folders/10T2cTQHqEJZqE-st6uFKPoI?usp=share_link")</f>
        <v>https://drive.google.com/drive/folders/10T2cTQHqEJZqE-st6uFKPoI?usp=share_link</v>
      </c>
      <c r="P4618" s="6" t="str">
        <f>IFERROR(__xludf.DUMMYFUNCTION("""COMPUTED_VALUE"""),"Kimberli Mejia Flores")</f>
        <v>Kimberli Mejia Flores</v>
      </c>
      <c r="Q4618" s="6" t="str">
        <f>IFERROR(__xludf.DUMMYFUNCTION("""COMPUTED_VALUE"""),"MS")</f>
        <v>MS</v>
      </c>
      <c r="R4618" s="6">
        <f>IFERROR(__xludf.DUMMYFUNCTION("""COMPUTED_VALUE"""),0.0)</f>
        <v>0</v>
      </c>
      <c r="S4618" s="6" t="str">
        <f>IFERROR(__xludf.DUMMYFUNCTION("""COMPUTED_VALUE"""),"Kimberly Ball")</f>
        <v>Kimberly Ball</v>
      </c>
      <c r="T4618" s="6" t="str">
        <f>IFERROR(__xludf.DUMMYFUNCTION("""COMPUTED_VALUE"""),"kimberly.ball@studient.com")</f>
        <v>kimberly.ball@studient.com</v>
      </c>
      <c r="U4618" s="6" t="str">
        <f>IFERROR(__xludf.DUMMYFUNCTION("""COMPUTED_VALUE"""),"8")</f>
        <v>8</v>
      </c>
      <c r="V4618" s="6" t="str">
        <f>IFERROR(__xludf.DUMMYFUNCTION("""COMPUTED_VALUE"""),"")</f>
        <v/>
      </c>
      <c r="W4618" s="6" t="str">
        <f>IFERROR(__xludf.DUMMYFUNCTION("""COMPUTED_VALUE"""),"[]")</f>
        <v>[]</v>
      </c>
      <c r="X4618" s="6" t="str">
        <f>IFERROR(__xludf.DUMMYFUNCTION("""COMPUTED_VALUE"""),"Enrolled")</f>
        <v>Enrolled</v>
      </c>
    </row>
    <row r="4619">
      <c r="A4619" s="6" t="str">
        <f>IFERROR(__xludf.DUMMYFUNCTION("""COMPUTED_VALUE"""),"084-12981")</f>
        <v>084-12981</v>
      </c>
      <c r="B4619" s="6" t="str">
        <f>IFERROR(__xludf.DUMMYFUNCTION("""COMPUTED_VALUE"""),"84")</f>
        <v>84</v>
      </c>
      <c r="C4619" s="6" t="str">
        <f>IFERROR(__xludf.DUMMYFUNCTION("""COMPUTED_VALUE"""),"12981")</f>
        <v>12981</v>
      </c>
      <c r="D4619" s="6" t="str">
        <f>IFERROR(__xludf.DUMMYFUNCTION("""COMPUTED_VALUE"""),"Steven")</f>
        <v>Steven</v>
      </c>
      <c r="E4619" s="6" t="str">
        <f>IFERROR(__xludf.DUMMYFUNCTION("""COMPUTED_VALUE"""),"")</f>
        <v/>
      </c>
      <c r="F4619" s="6" t="str">
        <f>IFERROR(__xludf.DUMMYFUNCTION("""COMPUTED_VALUE"""),"Mendoza Santiago")</f>
        <v>Mendoza Santiago</v>
      </c>
      <c r="G4619" s="6" t="str">
        <f>IFERROR(__xludf.DUMMYFUNCTION("""COMPUTED_VALUE"""),"12/25/2011")</f>
        <v>12/25/2011</v>
      </c>
      <c r="H4619" s="6" t="str">
        <f>IFERROR(__xludf.DUMMYFUNCTION("""COMPUTED_VALUE"""),"female")</f>
        <v>female</v>
      </c>
      <c r="I4619" s="6" t="str">
        <f>IFERROR(__xludf.DUMMYFUNCTION("""COMPUTED_VALUE"""),"Middle School")</f>
        <v>Middle School</v>
      </c>
      <c r="J4619" s="6" t="str">
        <f>IFERROR(__xludf.DUMMYFUNCTION("""COMPUTED_VALUE"""),"8")</f>
        <v>8</v>
      </c>
      <c r="K4619" s="6" t="str">
        <f>IFERROR(__xludf.DUMMYFUNCTION("""COMPUTED_VALUE"""),"steven.mendozasantiago@2hourlearning.com")</f>
        <v>steven.mendozasantiago@2hourlearning.com</v>
      </c>
      <c r="L4619" s="6" t="str">
        <f>IFERROR(__xludf.DUMMYFUNCTION("""COMPUTED_VALUE"""),"JHMS - Hardeeville Junior Senior High School")</f>
        <v>JHMS - Hardeeville Junior Senior High School</v>
      </c>
      <c r="M4619" s="6" t="str">
        <f>IFERROR(__xludf.DUMMYFUNCTION("""COMPUTED_VALUE"""),"")</f>
        <v/>
      </c>
      <c r="N4619" s="6" t="str">
        <f>IFERROR(__xludf.DUMMYFUNCTION("""COMPUTED_VALUE"""),"")</f>
        <v/>
      </c>
      <c r="O4619" s="87" t="str">
        <f>IFERROR(__xludf.DUMMYFUNCTION("""COMPUTED_VALUE"""),"https://drive.google.com/drive/folders/10T2cTQHqEJZqE-st6uFKPoI?usp=share_link")</f>
        <v>https://drive.google.com/drive/folders/10T2cTQHqEJZqE-st6uFKPoI?usp=share_link</v>
      </c>
      <c r="P4619" s="6" t="str">
        <f>IFERROR(__xludf.DUMMYFUNCTION("""COMPUTED_VALUE"""),"Steven Mendoza Santiago")</f>
        <v>Steven Mendoza Santiago</v>
      </c>
      <c r="Q4619" s="6" t="str">
        <f>IFERROR(__xludf.DUMMYFUNCTION("""COMPUTED_VALUE"""),"MS")</f>
        <v>MS</v>
      </c>
      <c r="R4619" s="6">
        <f>IFERROR(__xludf.DUMMYFUNCTION("""COMPUTED_VALUE"""),0.0)</f>
        <v>0</v>
      </c>
      <c r="S4619" s="6" t="str">
        <f>IFERROR(__xludf.DUMMYFUNCTION("""COMPUTED_VALUE"""),"Kimberly Ball")</f>
        <v>Kimberly Ball</v>
      </c>
      <c r="T4619" s="6" t="str">
        <f>IFERROR(__xludf.DUMMYFUNCTION("""COMPUTED_VALUE"""),"kimberly.ball@studient.com")</f>
        <v>kimberly.ball@studient.com</v>
      </c>
      <c r="U4619" s="6" t="str">
        <f>IFERROR(__xludf.DUMMYFUNCTION("""COMPUTED_VALUE"""),"8")</f>
        <v>8</v>
      </c>
      <c r="V4619" s="6" t="str">
        <f>IFERROR(__xludf.DUMMYFUNCTION("""COMPUTED_VALUE"""),"")</f>
        <v/>
      </c>
      <c r="W4619" s="6" t="str">
        <f>IFERROR(__xludf.DUMMYFUNCTION("""COMPUTED_VALUE"""),"[]")</f>
        <v>[]</v>
      </c>
      <c r="X4619" s="6" t="str">
        <f>IFERROR(__xludf.DUMMYFUNCTION("""COMPUTED_VALUE"""),"Enrolled")</f>
        <v>Enrolled</v>
      </c>
    </row>
    <row r="4620">
      <c r="A4620" s="6" t="str">
        <f>IFERROR(__xludf.DUMMYFUNCTION("""COMPUTED_VALUE"""),"084-12982")</f>
        <v>084-12982</v>
      </c>
      <c r="B4620" s="6" t="str">
        <f>IFERROR(__xludf.DUMMYFUNCTION("""COMPUTED_VALUE"""),"84")</f>
        <v>84</v>
      </c>
      <c r="C4620" s="6" t="str">
        <f>IFERROR(__xludf.DUMMYFUNCTION("""COMPUTED_VALUE"""),"12982")</f>
        <v>12982</v>
      </c>
      <c r="D4620" s="6" t="str">
        <f>IFERROR(__xludf.DUMMYFUNCTION("""COMPUTED_VALUE"""),"Angeline")</f>
        <v>Angeline</v>
      </c>
      <c r="E4620" s="6" t="str">
        <f>IFERROR(__xludf.DUMMYFUNCTION("""COMPUTED_VALUE"""),"")</f>
        <v/>
      </c>
      <c r="F4620" s="6" t="str">
        <f>IFERROR(__xludf.DUMMYFUNCTION("""COMPUTED_VALUE"""),"Miguel Gonzalez")</f>
        <v>Miguel Gonzalez</v>
      </c>
      <c r="G4620" s="6" t="str">
        <f>IFERROR(__xludf.DUMMYFUNCTION("""COMPUTED_VALUE"""),"06/30/2012")</f>
        <v>06/30/2012</v>
      </c>
      <c r="H4620" s="6" t="str">
        <f>IFERROR(__xludf.DUMMYFUNCTION("""COMPUTED_VALUE"""),"male")</f>
        <v>male</v>
      </c>
      <c r="I4620" s="6" t="str">
        <f>IFERROR(__xludf.DUMMYFUNCTION("""COMPUTED_VALUE"""),"Middle School")</f>
        <v>Middle School</v>
      </c>
      <c r="J4620" s="6" t="str">
        <f>IFERROR(__xludf.DUMMYFUNCTION("""COMPUTED_VALUE"""),"8")</f>
        <v>8</v>
      </c>
      <c r="K4620" s="6" t="str">
        <f>IFERROR(__xludf.DUMMYFUNCTION("""COMPUTED_VALUE"""),"angeline.miguelgonzalez@2hourlearning.com")</f>
        <v>angeline.miguelgonzalez@2hourlearning.com</v>
      </c>
      <c r="L4620" s="6" t="str">
        <f>IFERROR(__xludf.DUMMYFUNCTION("""COMPUTED_VALUE"""),"JHMS - Hardeeville Junior Senior High School")</f>
        <v>JHMS - Hardeeville Junior Senior High School</v>
      </c>
      <c r="M4620" s="6" t="str">
        <f>IFERROR(__xludf.DUMMYFUNCTION("""COMPUTED_VALUE"""),"")</f>
        <v/>
      </c>
      <c r="N4620" s="6" t="str">
        <f>IFERROR(__xludf.DUMMYFUNCTION("""COMPUTED_VALUE"""),"")</f>
        <v/>
      </c>
      <c r="O4620" s="87" t="str">
        <f>IFERROR(__xludf.DUMMYFUNCTION("""COMPUTED_VALUE"""),"https://drive.google.com/drive/folders/10T2cTQHqEJZqE-st6uFKPoI?usp=share_link")</f>
        <v>https://drive.google.com/drive/folders/10T2cTQHqEJZqE-st6uFKPoI?usp=share_link</v>
      </c>
      <c r="P4620" s="6" t="str">
        <f>IFERROR(__xludf.DUMMYFUNCTION("""COMPUTED_VALUE"""),"Angeline Miguel Gonzalez")</f>
        <v>Angeline Miguel Gonzalez</v>
      </c>
      <c r="Q4620" s="6" t="str">
        <f>IFERROR(__xludf.DUMMYFUNCTION("""COMPUTED_VALUE"""),"MS")</f>
        <v>MS</v>
      </c>
      <c r="R4620" s="6">
        <f>IFERROR(__xludf.DUMMYFUNCTION("""COMPUTED_VALUE"""),0.0)</f>
        <v>0</v>
      </c>
      <c r="S4620" s="6" t="str">
        <f>IFERROR(__xludf.DUMMYFUNCTION("""COMPUTED_VALUE"""),"Kimberly Ball")</f>
        <v>Kimberly Ball</v>
      </c>
      <c r="T4620" s="6" t="str">
        <f>IFERROR(__xludf.DUMMYFUNCTION("""COMPUTED_VALUE"""),"kimberly.ball@studient.com")</f>
        <v>kimberly.ball@studient.com</v>
      </c>
      <c r="U4620" s="6" t="str">
        <f>IFERROR(__xludf.DUMMYFUNCTION("""COMPUTED_VALUE"""),"8")</f>
        <v>8</v>
      </c>
      <c r="V4620" s="6" t="str">
        <f>IFERROR(__xludf.DUMMYFUNCTION("""COMPUTED_VALUE"""),"")</f>
        <v/>
      </c>
      <c r="W4620" s="6" t="str">
        <f>IFERROR(__xludf.DUMMYFUNCTION("""COMPUTED_VALUE"""),"[]")</f>
        <v>[]</v>
      </c>
      <c r="X4620" s="6" t="str">
        <f>IFERROR(__xludf.DUMMYFUNCTION("""COMPUTED_VALUE"""),"Enrolled")</f>
        <v>Enrolled</v>
      </c>
    </row>
    <row r="4621">
      <c r="A4621" s="6" t="str">
        <f>IFERROR(__xludf.DUMMYFUNCTION("""COMPUTED_VALUE"""),"084-12983")</f>
        <v>084-12983</v>
      </c>
      <c r="B4621" s="6" t="str">
        <f>IFERROR(__xludf.DUMMYFUNCTION("""COMPUTED_VALUE"""),"84")</f>
        <v>84</v>
      </c>
      <c r="C4621" s="6" t="str">
        <f>IFERROR(__xludf.DUMMYFUNCTION("""COMPUTED_VALUE"""),"12983")</f>
        <v>12983</v>
      </c>
      <c r="D4621" s="6" t="str">
        <f>IFERROR(__xludf.DUMMYFUNCTION("""COMPUTED_VALUE"""),"Jasir")</f>
        <v>Jasir</v>
      </c>
      <c r="E4621" s="6" t="str">
        <f>IFERROR(__xludf.DUMMYFUNCTION("""COMPUTED_VALUE"""),"")</f>
        <v/>
      </c>
      <c r="F4621" s="6" t="str">
        <f>IFERROR(__xludf.DUMMYFUNCTION("""COMPUTED_VALUE"""),"Moore")</f>
        <v>Moore</v>
      </c>
      <c r="G4621" s="6" t="str">
        <f>IFERROR(__xludf.DUMMYFUNCTION("""COMPUTED_VALUE"""),"06/30/2012")</f>
        <v>06/30/2012</v>
      </c>
      <c r="H4621" s="6" t="str">
        <f>IFERROR(__xludf.DUMMYFUNCTION("""COMPUTED_VALUE"""),"female")</f>
        <v>female</v>
      </c>
      <c r="I4621" s="6" t="str">
        <f>IFERROR(__xludf.DUMMYFUNCTION("""COMPUTED_VALUE"""),"Middle School")</f>
        <v>Middle School</v>
      </c>
      <c r="J4621" s="6" t="str">
        <f>IFERROR(__xludf.DUMMYFUNCTION("""COMPUTED_VALUE"""),"8")</f>
        <v>8</v>
      </c>
      <c r="K4621" s="6" t="str">
        <f>IFERROR(__xludf.DUMMYFUNCTION("""COMPUTED_VALUE"""),"jasir.moore@2hourlearning.com")</f>
        <v>jasir.moore@2hourlearning.com</v>
      </c>
      <c r="L4621" s="6" t="str">
        <f>IFERROR(__xludf.DUMMYFUNCTION("""COMPUTED_VALUE"""),"JHMS - Hardeeville Junior Senior High School")</f>
        <v>JHMS - Hardeeville Junior Senior High School</v>
      </c>
      <c r="M4621" s="6" t="str">
        <f>IFERROR(__xludf.DUMMYFUNCTION("""COMPUTED_VALUE"""),"")</f>
        <v/>
      </c>
      <c r="N4621" s="6" t="str">
        <f>IFERROR(__xludf.DUMMYFUNCTION("""COMPUTED_VALUE"""),"")</f>
        <v/>
      </c>
      <c r="O4621" s="87" t="str">
        <f>IFERROR(__xludf.DUMMYFUNCTION("""COMPUTED_VALUE"""),"https://drive.google.com/drive/folders/10T2cTQHqEJZqE-st6uFKPoI?usp=share_link")</f>
        <v>https://drive.google.com/drive/folders/10T2cTQHqEJZqE-st6uFKPoI?usp=share_link</v>
      </c>
      <c r="P4621" s="6" t="str">
        <f>IFERROR(__xludf.DUMMYFUNCTION("""COMPUTED_VALUE"""),"Jasir Moore")</f>
        <v>Jasir Moore</v>
      </c>
      <c r="Q4621" s="6" t="str">
        <f>IFERROR(__xludf.DUMMYFUNCTION("""COMPUTED_VALUE"""),"MS")</f>
        <v>MS</v>
      </c>
      <c r="R4621" s="6">
        <f>IFERROR(__xludf.DUMMYFUNCTION("""COMPUTED_VALUE"""),0.0)</f>
        <v>0</v>
      </c>
      <c r="S4621" s="6" t="str">
        <f>IFERROR(__xludf.DUMMYFUNCTION("""COMPUTED_VALUE"""),"Kimberly Ball")</f>
        <v>Kimberly Ball</v>
      </c>
      <c r="T4621" s="6" t="str">
        <f>IFERROR(__xludf.DUMMYFUNCTION("""COMPUTED_VALUE"""),"kimberly.ball@studient.com")</f>
        <v>kimberly.ball@studient.com</v>
      </c>
      <c r="U4621" s="6" t="str">
        <f>IFERROR(__xludf.DUMMYFUNCTION("""COMPUTED_VALUE"""),"8")</f>
        <v>8</v>
      </c>
      <c r="V4621" s="6" t="str">
        <f>IFERROR(__xludf.DUMMYFUNCTION("""COMPUTED_VALUE"""),"")</f>
        <v/>
      </c>
      <c r="W4621" s="6" t="str">
        <f>IFERROR(__xludf.DUMMYFUNCTION("""COMPUTED_VALUE"""),"[]")</f>
        <v>[]</v>
      </c>
      <c r="X4621" s="6" t="str">
        <f>IFERROR(__xludf.DUMMYFUNCTION("""COMPUTED_VALUE"""),"Enrolled")</f>
        <v>Enrolled</v>
      </c>
    </row>
    <row r="4622">
      <c r="A4622" s="6" t="str">
        <f>IFERROR(__xludf.DUMMYFUNCTION("""COMPUTED_VALUE"""),"084-12984")</f>
        <v>084-12984</v>
      </c>
      <c r="B4622" s="6" t="str">
        <f>IFERROR(__xludf.DUMMYFUNCTION("""COMPUTED_VALUE"""),"84")</f>
        <v>84</v>
      </c>
      <c r="C4622" s="6" t="str">
        <f>IFERROR(__xludf.DUMMYFUNCTION("""COMPUTED_VALUE"""),"12984")</f>
        <v>12984</v>
      </c>
      <c r="D4622" s="6" t="str">
        <f>IFERROR(__xludf.DUMMYFUNCTION("""COMPUTED_VALUE"""),"Yaremi")</f>
        <v>Yaremi</v>
      </c>
      <c r="E4622" s="6" t="str">
        <f>IFERROR(__xludf.DUMMYFUNCTION("""COMPUTED_VALUE"""),"")</f>
        <v/>
      </c>
      <c r="F4622" s="6" t="str">
        <f>IFERROR(__xludf.DUMMYFUNCTION("""COMPUTED_VALUE"""),"Morales")</f>
        <v>Morales</v>
      </c>
      <c r="G4622" s="6" t="str">
        <f>IFERROR(__xludf.DUMMYFUNCTION("""COMPUTED_VALUE"""),"02/04/2013")</f>
        <v>02/04/2013</v>
      </c>
      <c r="H4622" s="6" t="str">
        <f>IFERROR(__xludf.DUMMYFUNCTION("""COMPUTED_VALUE"""),"female")</f>
        <v>female</v>
      </c>
      <c r="I4622" s="6" t="str">
        <f>IFERROR(__xludf.DUMMYFUNCTION("""COMPUTED_VALUE"""),"Middle School")</f>
        <v>Middle School</v>
      </c>
      <c r="J4622" s="6" t="str">
        <f>IFERROR(__xludf.DUMMYFUNCTION("""COMPUTED_VALUE"""),"8")</f>
        <v>8</v>
      </c>
      <c r="K4622" s="6" t="str">
        <f>IFERROR(__xludf.DUMMYFUNCTION("""COMPUTED_VALUE"""),"yaremi.morales@2hourlearning.com")</f>
        <v>yaremi.morales@2hourlearning.com</v>
      </c>
      <c r="L4622" s="6" t="str">
        <f>IFERROR(__xludf.DUMMYFUNCTION("""COMPUTED_VALUE"""),"JHMS - Hardeeville Junior Senior High School")</f>
        <v>JHMS - Hardeeville Junior Senior High School</v>
      </c>
      <c r="M4622" s="6" t="str">
        <f>IFERROR(__xludf.DUMMYFUNCTION("""COMPUTED_VALUE"""),"")</f>
        <v/>
      </c>
      <c r="N4622" s="6" t="str">
        <f>IFERROR(__xludf.DUMMYFUNCTION("""COMPUTED_VALUE"""),"")</f>
        <v/>
      </c>
      <c r="O4622" s="87" t="str">
        <f>IFERROR(__xludf.DUMMYFUNCTION("""COMPUTED_VALUE"""),"https://drive.google.com/drive/folders/10T2cTQHqEJZqE-st6uFKPoI?usp=share_link")</f>
        <v>https://drive.google.com/drive/folders/10T2cTQHqEJZqE-st6uFKPoI?usp=share_link</v>
      </c>
      <c r="P4622" s="6" t="str">
        <f>IFERROR(__xludf.DUMMYFUNCTION("""COMPUTED_VALUE"""),"Yaremi Morales")</f>
        <v>Yaremi Morales</v>
      </c>
      <c r="Q4622" s="6" t="str">
        <f>IFERROR(__xludf.DUMMYFUNCTION("""COMPUTED_VALUE"""),"MS")</f>
        <v>MS</v>
      </c>
      <c r="R4622" s="6">
        <f>IFERROR(__xludf.DUMMYFUNCTION("""COMPUTED_VALUE"""),0.0)</f>
        <v>0</v>
      </c>
      <c r="S4622" s="6" t="str">
        <f>IFERROR(__xludf.DUMMYFUNCTION("""COMPUTED_VALUE"""),"Kimberly Ball")</f>
        <v>Kimberly Ball</v>
      </c>
      <c r="T4622" s="6" t="str">
        <f>IFERROR(__xludf.DUMMYFUNCTION("""COMPUTED_VALUE"""),"kimberly.ball@studient.com")</f>
        <v>kimberly.ball@studient.com</v>
      </c>
      <c r="U4622" s="6" t="str">
        <f>IFERROR(__xludf.DUMMYFUNCTION("""COMPUTED_VALUE"""),"8")</f>
        <v>8</v>
      </c>
      <c r="V4622" s="6" t="str">
        <f>IFERROR(__xludf.DUMMYFUNCTION("""COMPUTED_VALUE"""),"")</f>
        <v/>
      </c>
      <c r="W4622" s="6" t="str">
        <f>IFERROR(__xludf.DUMMYFUNCTION("""COMPUTED_VALUE"""),"[]")</f>
        <v>[]</v>
      </c>
      <c r="X4622" s="6" t="str">
        <f>IFERROR(__xludf.DUMMYFUNCTION("""COMPUTED_VALUE"""),"Enrolled")</f>
        <v>Enrolled</v>
      </c>
    </row>
    <row r="4623">
      <c r="A4623" s="6" t="str">
        <f>IFERROR(__xludf.DUMMYFUNCTION("""COMPUTED_VALUE"""),"084-12985")</f>
        <v>084-12985</v>
      </c>
      <c r="B4623" s="6" t="str">
        <f>IFERROR(__xludf.DUMMYFUNCTION("""COMPUTED_VALUE"""),"84")</f>
        <v>84</v>
      </c>
      <c r="C4623" s="6" t="str">
        <f>IFERROR(__xludf.DUMMYFUNCTION("""COMPUTED_VALUE"""),"12985")</f>
        <v>12985</v>
      </c>
      <c r="D4623" s="6" t="str">
        <f>IFERROR(__xludf.DUMMYFUNCTION("""COMPUTED_VALUE"""),"Sophia")</f>
        <v>Sophia</v>
      </c>
      <c r="E4623" s="6" t="str">
        <f>IFERROR(__xludf.DUMMYFUNCTION("""COMPUTED_VALUE"""),"")</f>
        <v/>
      </c>
      <c r="F4623" s="6" t="str">
        <f>IFERROR(__xludf.DUMMYFUNCTION("""COMPUTED_VALUE"""),"Morales Santiago")</f>
        <v>Morales Santiago</v>
      </c>
      <c r="G4623" s="6" t="str">
        <f>IFERROR(__xludf.DUMMYFUNCTION("""COMPUTED_VALUE"""),"09/03/2012")</f>
        <v>09/03/2012</v>
      </c>
      <c r="H4623" s="6" t="str">
        <f>IFERROR(__xludf.DUMMYFUNCTION("""COMPUTED_VALUE"""),"female")</f>
        <v>female</v>
      </c>
      <c r="I4623" s="6" t="str">
        <f>IFERROR(__xludf.DUMMYFUNCTION("""COMPUTED_VALUE"""),"Middle School")</f>
        <v>Middle School</v>
      </c>
      <c r="J4623" s="6" t="str">
        <f>IFERROR(__xludf.DUMMYFUNCTION("""COMPUTED_VALUE"""),"8")</f>
        <v>8</v>
      </c>
      <c r="K4623" s="6" t="str">
        <f>IFERROR(__xludf.DUMMYFUNCTION("""COMPUTED_VALUE"""),"sophia.moralessantiago@2hourlearning.com")</f>
        <v>sophia.moralessantiago@2hourlearning.com</v>
      </c>
      <c r="L4623" s="6" t="str">
        <f>IFERROR(__xludf.DUMMYFUNCTION("""COMPUTED_VALUE"""),"JHMS - Hardeeville Junior Senior High School")</f>
        <v>JHMS - Hardeeville Junior Senior High School</v>
      </c>
      <c r="M4623" s="6" t="str">
        <f>IFERROR(__xludf.DUMMYFUNCTION("""COMPUTED_VALUE"""),"")</f>
        <v/>
      </c>
      <c r="N4623" s="6" t="str">
        <f>IFERROR(__xludf.DUMMYFUNCTION("""COMPUTED_VALUE"""),"")</f>
        <v/>
      </c>
      <c r="O4623" s="87" t="str">
        <f>IFERROR(__xludf.DUMMYFUNCTION("""COMPUTED_VALUE"""),"https://drive.google.com/drive/folders/10T2cTQHqEJZqE-st6uFKPoI?usp=share_link")</f>
        <v>https://drive.google.com/drive/folders/10T2cTQHqEJZqE-st6uFKPoI?usp=share_link</v>
      </c>
      <c r="P4623" s="6" t="str">
        <f>IFERROR(__xludf.DUMMYFUNCTION("""COMPUTED_VALUE"""),"Sophia Morales Santiago")</f>
        <v>Sophia Morales Santiago</v>
      </c>
      <c r="Q4623" s="6" t="str">
        <f>IFERROR(__xludf.DUMMYFUNCTION("""COMPUTED_VALUE"""),"MS")</f>
        <v>MS</v>
      </c>
      <c r="R4623" s="6">
        <f>IFERROR(__xludf.DUMMYFUNCTION("""COMPUTED_VALUE"""),0.0)</f>
        <v>0</v>
      </c>
      <c r="S4623" s="6" t="str">
        <f>IFERROR(__xludf.DUMMYFUNCTION("""COMPUTED_VALUE"""),"Kimberly Ball")</f>
        <v>Kimberly Ball</v>
      </c>
      <c r="T4623" s="6" t="str">
        <f>IFERROR(__xludf.DUMMYFUNCTION("""COMPUTED_VALUE"""),"kimberly.ball@studient.com")</f>
        <v>kimberly.ball@studient.com</v>
      </c>
      <c r="U4623" s="6" t="str">
        <f>IFERROR(__xludf.DUMMYFUNCTION("""COMPUTED_VALUE"""),"8")</f>
        <v>8</v>
      </c>
      <c r="V4623" s="6" t="str">
        <f>IFERROR(__xludf.DUMMYFUNCTION("""COMPUTED_VALUE"""),"")</f>
        <v/>
      </c>
      <c r="W4623" s="6" t="str">
        <f>IFERROR(__xludf.DUMMYFUNCTION("""COMPUTED_VALUE"""),"[]")</f>
        <v>[]</v>
      </c>
      <c r="X4623" s="6" t="str">
        <f>IFERROR(__xludf.DUMMYFUNCTION("""COMPUTED_VALUE"""),"Enrolled")</f>
        <v>Enrolled</v>
      </c>
    </row>
    <row r="4624">
      <c r="A4624" s="6" t="str">
        <f>IFERROR(__xludf.DUMMYFUNCTION("""COMPUTED_VALUE"""),"084-12986")</f>
        <v>084-12986</v>
      </c>
      <c r="B4624" s="6" t="str">
        <f>IFERROR(__xludf.DUMMYFUNCTION("""COMPUTED_VALUE"""),"84")</f>
        <v>84</v>
      </c>
      <c r="C4624" s="6" t="str">
        <f>IFERROR(__xludf.DUMMYFUNCTION("""COMPUTED_VALUE"""),"12986")</f>
        <v>12986</v>
      </c>
      <c r="D4624" s="6" t="str">
        <f>IFERROR(__xludf.DUMMYFUNCTION("""COMPUTED_VALUE"""),"Tahlib")</f>
        <v>Tahlib</v>
      </c>
      <c r="E4624" s="6" t="str">
        <f>IFERROR(__xludf.DUMMYFUNCTION("""COMPUTED_VALUE"""),"")</f>
        <v/>
      </c>
      <c r="F4624" s="6" t="str">
        <f>IFERROR(__xludf.DUMMYFUNCTION("""COMPUTED_VALUE"""),"Nelson")</f>
        <v>Nelson</v>
      </c>
      <c r="G4624" s="6" t="str">
        <f>IFERROR(__xludf.DUMMYFUNCTION("""COMPUTED_VALUE"""),"01/23/2012")</f>
        <v>01/23/2012</v>
      </c>
      <c r="H4624" s="6" t="str">
        <f>IFERROR(__xludf.DUMMYFUNCTION("""COMPUTED_VALUE"""),"female")</f>
        <v>female</v>
      </c>
      <c r="I4624" s="6" t="str">
        <f>IFERROR(__xludf.DUMMYFUNCTION("""COMPUTED_VALUE"""),"Middle School")</f>
        <v>Middle School</v>
      </c>
      <c r="J4624" s="6" t="str">
        <f>IFERROR(__xludf.DUMMYFUNCTION("""COMPUTED_VALUE"""),"8")</f>
        <v>8</v>
      </c>
      <c r="K4624" s="6" t="str">
        <f>IFERROR(__xludf.DUMMYFUNCTION("""COMPUTED_VALUE"""),"tahlib.nelson@2hourlearning.com")</f>
        <v>tahlib.nelson@2hourlearning.com</v>
      </c>
      <c r="L4624" s="6" t="str">
        <f>IFERROR(__xludf.DUMMYFUNCTION("""COMPUTED_VALUE"""),"JHMS - Hardeeville Junior Senior High School")</f>
        <v>JHMS - Hardeeville Junior Senior High School</v>
      </c>
      <c r="M4624" s="6" t="str">
        <f>IFERROR(__xludf.DUMMYFUNCTION("""COMPUTED_VALUE"""),"")</f>
        <v/>
      </c>
      <c r="N4624" s="6" t="str">
        <f>IFERROR(__xludf.DUMMYFUNCTION("""COMPUTED_VALUE"""),"")</f>
        <v/>
      </c>
      <c r="O4624" s="87" t="str">
        <f>IFERROR(__xludf.DUMMYFUNCTION("""COMPUTED_VALUE"""),"https://drive.google.com/drive/folders/10T2cTQHqEJZqE-st6uFKPoI?usp=share_link")</f>
        <v>https://drive.google.com/drive/folders/10T2cTQHqEJZqE-st6uFKPoI?usp=share_link</v>
      </c>
      <c r="P4624" s="6" t="str">
        <f>IFERROR(__xludf.DUMMYFUNCTION("""COMPUTED_VALUE"""),"Tahlib Nelson")</f>
        <v>Tahlib Nelson</v>
      </c>
      <c r="Q4624" s="6" t="str">
        <f>IFERROR(__xludf.DUMMYFUNCTION("""COMPUTED_VALUE"""),"MS")</f>
        <v>MS</v>
      </c>
      <c r="R4624" s="6">
        <f>IFERROR(__xludf.DUMMYFUNCTION("""COMPUTED_VALUE"""),0.0)</f>
        <v>0</v>
      </c>
      <c r="S4624" s="6" t="str">
        <f>IFERROR(__xludf.DUMMYFUNCTION("""COMPUTED_VALUE"""),"Kimberly Ball")</f>
        <v>Kimberly Ball</v>
      </c>
      <c r="T4624" s="6" t="str">
        <f>IFERROR(__xludf.DUMMYFUNCTION("""COMPUTED_VALUE"""),"kimberly.ball@studient.com")</f>
        <v>kimberly.ball@studient.com</v>
      </c>
      <c r="U4624" s="6" t="str">
        <f>IFERROR(__xludf.DUMMYFUNCTION("""COMPUTED_VALUE"""),"8")</f>
        <v>8</v>
      </c>
      <c r="V4624" s="6" t="str">
        <f>IFERROR(__xludf.DUMMYFUNCTION("""COMPUTED_VALUE"""),"")</f>
        <v/>
      </c>
      <c r="W4624" s="6" t="str">
        <f>IFERROR(__xludf.DUMMYFUNCTION("""COMPUTED_VALUE"""),"[]")</f>
        <v>[]</v>
      </c>
      <c r="X4624" s="6" t="str">
        <f>IFERROR(__xludf.DUMMYFUNCTION("""COMPUTED_VALUE"""),"Enrolled")</f>
        <v>Enrolled</v>
      </c>
    </row>
    <row r="4625">
      <c r="A4625" s="6" t="str">
        <f>IFERROR(__xludf.DUMMYFUNCTION("""COMPUTED_VALUE"""),"084-12987")</f>
        <v>084-12987</v>
      </c>
      <c r="B4625" s="6" t="str">
        <f>IFERROR(__xludf.DUMMYFUNCTION("""COMPUTED_VALUE"""),"84")</f>
        <v>84</v>
      </c>
      <c r="C4625" s="6" t="str">
        <f>IFERROR(__xludf.DUMMYFUNCTION("""COMPUTED_VALUE"""),"12987")</f>
        <v>12987</v>
      </c>
      <c r="D4625" s="6" t="str">
        <f>IFERROR(__xludf.DUMMYFUNCTION("""COMPUTED_VALUE"""),"Daira")</f>
        <v>Daira</v>
      </c>
      <c r="E4625" s="6" t="str">
        <f>IFERROR(__xludf.DUMMYFUNCTION("""COMPUTED_VALUE"""),"")</f>
        <v/>
      </c>
      <c r="F4625" s="6" t="str">
        <f>IFERROR(__xludf.DUMMYFUNCTION("""COMPUTED_VALUE"""),"Neri Romero")</f>
        <v>Neri Romero</v>
      </c>
      <c r="G4625" s="6" t="str">
        <f>IFERROR(__xludf.DUMMYFUNCTION("""COMPUTED_VALUE"""),"03/27/2011")</f>
        <v>03/27/2011</v>
      </c>
      <c r="H4625" s="6" t="str">
        <f>IFERROR(__xludf.DUMMYFUNCTION("""COMPUTED_VALUE"""),"male")</f>
        <v>male</v>
      </c>
      <c r="I4625" s="6" t="str">
        <f>IFERROR(__xludf.DUMMYFUNCTION("""COMPUTED_VALUE"""),"Middle School")</f>
        <v>Middle School</v>
      </c>
      <c r="J4625" s="6" t="str">
        <f>IFERROR(__xludf.DUMMYFUNCTION("""COMPUTED_VALUE"""),"8")</f>
        <v>8</v>
      </c>
      <c r="K4625" s="6" t="str">
        <f>IFERROR(__xludf.DUMMYFUNCTION("""COMPUTED_VALUE"""),"daira.neriromero@2hourlearning.com")</f>
        <v>daira.neriromero@2hourlearning.com</v>
      </c>
      <c r="L4625" s="6" t="str">
        <f>IFERROR(__xludf.DUMMYFUNCTION("""COMPUTED_VALUE"""),"JHMS - Hardeeville Junior Senior High School")</f>
        <v>JHMS - Hardeeville Junior Senior High School</v>
      </c>
      <c r="M4625" s="6" t="str">
        <f>IFERROR(__xludf.DUMMYFUNCTION("""COMPUTED_VALUE"""),"")</f>
        <v/>
      </c>
      <c r="N4625" s="6" t="str">
        <f>IFERROR(__xludf.DUMMYFUNCTION("""COMPUTED_VALUE"""),"")</f>
        <v/>
      </c>
      <c r="O4625" s="87" t="str">
        <f>IFERROR(__xludf.DUMMYFUNCTION("""COMPUTED_VALUE"""),"https://drive.google.com/drive/folders/10T2cTQHqEJZqE-st6uFKPoI?usp=share_link")</f>
        <v>https://drive.google.com/drive/folders/10T2cTQHqEJZqE-st6uFKPoI?usp=share_link</v>
      </c>
      <c r="P4625" s="6" t="str">
        <f>IFERROR(__xludf.DUMMYFUNCTION("""COMPUTED_VALUE"""),"Daira Neri Romero")</f>
        <v>Daira Neri Romero</v>
      </c>
      <c r="Q4625" s="6" t="str">
        <f>IFERROR(__xludf.DUMMYFUNCTION("""COMPUTED_VALUE"""),"MS")</f>
        <v>MS</v>
      </c>
      <c r="R4625" s="6">
        <f>IFERROR(__xludf.DUMMYFUNCTION("""COMPUTED_VALUE"""),0.0)</f>
        <v>0</v>
      </c>
      <c r="S4625" s="6" t="str">
        <f>IFERROR(__xludf.DUMMYFUNCTION("""COMPUTED_VALUE"""),"Kimberly Ball")</f>
        <v>Kimberly Ball</v>
      </c>
      <c r="T4625" s="6" t="str">
        <f>IFERROR(__xludf.DUMMYFUNCTION("""COMPUTED_VALUE"""),"kimberly.ball@studient.com")</f>
        <v>kimberly.ball@studient.com</v>
      </c>
      <c r="U4625" s="6" t="str">
        <f>IFERROR(__xludf.DUMMYFUNCTION("""COMPUTED_VALUE"""),"8")</f>
        <v>8</v>
      </c>
      <c r="V4625" s="6" t="str">
        <f>IFERROR(__xludf.DUMMYFUNCTION("""COMPUTED_VALUE"""),"")</f>
        <v/>
      </c>
      <c r="W4625" s="6" t="str">
        <f>IFERROR(__xludf.DUMMYFUNCTION("""COMPUTED_VALUE"""),"[]")</f>
        <v>[]</v>
      </c>
      <c r="X4625" s="6" t="str">
        <f>IFERROR(__xludf.DUMMYFUNCTION("""COMPUTED_VALUE"""),"Enrolled")</f>
        <v>Enrolled</v>
      </c>
    </row>
    <row r="4626">
      <c r="A4626" s="6" t="str">
        <f>IFERROR(__xludf.DUMMYFUNCTION("""COMPUTED_VALUE"""),"084-12988")</f>
        <v>084-12988</v>
      </c>
      <c r="B4626" s="6" t="str">
        <f>IFERROR(__xludf.DUMMYFUNCTION("""COMPUTED_VALUE"""),"84")</f>
        <v>84</v>
      </c>
      <c r="C4626" s="6" t="str">
        <f>IFERROR(__xludf.DUMMYFUNCTION("""COMPUTED_VALUE"""),"12988")</f>
        <v>12988</v>
      </c>
      <c r="D4626" s="6" t="str">
        <f>IFERROR(__xludf.DUMMYFUNCTION("""COMPUTED_VALUE"""),"Oscar")</f>
        <v>Oscar</v>
      </c>
      <c r="E4626" s="6" t="str">
        <f>IFERROR(__xludf.DUMMYFUNCTION("""COMPUTED_VALUE"""),"")</f>
        <v/>
      </c>
      <c r="F4626" s="6" t="str">
        <f>IFERROR(__xludf.DUMMYFUNCTION("""COMPUTED_VALUE"""),"Nunez Juanez")</f>
        <v>Nunez Juanez</v>
      </c>
      <c r="G4626" s="6" t="str">
        <f>IFERROR(__xludf.DUMMYFUNCTION("""COMPUTED_VALUE"""),"08/25/2011")</f>
        <v>08/25/2011</v>
      </c>
      <c r="H4626" s="6" t="str">
        <f>IFERROR(__xludf.DUMMYFUNCTION("""COMPUTED_VALUE"""),"female")</f>
        <v>female</v>
      </c>
      <c r="I4626" s="6" t="str">
        <f>IFERROR(__xludf.DUMMYFUNCTION("""COMPUTED_VALUE"""),"Middle School")</f>
        <v>Middle School</v>
      </c>
      <c r="J4626" s="6" t="str">
        <f>IFERROR(__xludf.DUMMYFUNCTION("""COMPUTED_VALUE"""),"8")</f>
        <v>8</v>
      </c>
      <c r="K4626" s="6" t="str">
        <f>IFERROR(__xludf.DUMMYFUNCTION("""COMPUTED_VALUE"""),"oscar.nunezjuanez@2hourlearning.com")</f>
        <v>oscar.nunezjuanez@2hourlearning.com</v>
      </c>
      <c r="L4626" s="6" t="str">
        <f>IFERROR(__xludf.DUMMYFUNCTION("""COMPUTED_VALUE"""),"JHMS - Hardeeville Junior Senior High School")</f>
        <v>JHMS - Hardeeville Junior Senior High School</v>
      </c>
      <c r="M4626" s="6" t="str">
        <f>IFERROR(__xludf.DUMMYFUNCTION("""COMPUTED_VALUE"""),"")</f>
        <v/>
      </c>
      <c r="N4626" s="6" t="str">
        <f>IFERROR(__xludf.DUMMYFUNCTION("""COMPUTED_VALUE"""),"")</f>
        <v/>
      </c>
      <c r="O4626" s="87" t="str">
        <f>IFERROR(__xludf.DUMMYFUNCTION("""COMPUTED_VALUE"""),"https://drive.google.com/drive/folders/10T2cTQHqEJZqE-st6uFKPoI?usp=share_link")</f>
        <v>https://drive.google.com/drive/folders/10T2cTQHqEJZqE-st6uFKPoI?usp=share_link</v>
      </c>
      <c r="P4626" s="6" t="str">
        <f>IFERROR(__xludf.DUMMYFUNCTION("""COMPUTED_VALUE"""),"Oscar Nunez Juanez")</f>
        <v>Oscar Nunez Juanez</v>
      </c>
      <c r="Q4626" s="6" t="str">
        <f>IFERROR(__xludf.DUMMYFUNCTION("""COMPUTED_VALUE"""),"MS")</f>
        <v>MS</v>
      </c>
      <c r="R4626" s="6">
        <f>IFERROR(__xludf.DUMMYFUNCTION("""COMPUTED_VALUE"""),0.0)</f>
        <v>0</v>
      </c>
      <c r="S4626" s="6" t="str">
        <f>IFERROR(__xludf.DUMMYFUNCTION("""COMPUTED_VALUE"""),"Kimberly Ball")</f>
        <v>Kimberly Ball</v>
      </c>
      <c r="T4626" s="6" t="str">
        <f>IFERROR(__xludf.DUMMYFUNCTION("""COMPUTED_VALUE"""),"kimberly.ball@studient.com")</f>
        <v>kimberly.ball@studient.com</v>
      </c>
      <c r="U4626" s="6" t="str">
        <f>IFERROR(__xludf.DUMMYFUNCTION("""COMPUTED_VALUE"""),"8")</f>
        <v>8</v>
      </c>
      <c r="V4626" s="6" t="str">
        <f>IFERROR(__xludf.DUMMYFUNCTION("""COMPUTED_VALUE"""),"")</f>
        <v/>
      </c>
      <c r="W4626" s="6" t="str">
        <f>IFERROR(__xludf.DUMMYFUNCTION("""COMPUTED_VALUE"""),"[]")</f>
        <v>[]</v>
      </c>
      <c r="X4626" s="6" t="str">
        <f>IFERROR(__xludf.DUMMYFUNCTION("""COMPUTED_VALUE"""),"Enrolled")</f>
        <v>Enrolled</v>
      </c>
    </row>
    <row r="4627">
      <c r="A4627" s="6" t="str">
        <f>IFERROR(__xludf.DUMMYFUNCTION("""COMPUTED_VALUE"""),"084-12989")</f>
        <v>084-12989</v>
      </c>
      <c r="B4627" s="6" t="str">
        <f>IFERROR(__xludf.DUMMYFUNCTION("""COMPUTED_VALUE"""),"84")</f>
        <v>84</v>
      </c>
      <c r="C4627" s="6" t="str">
        <f>IFERROR(__xludf.DUMMYFUNCTION("""COMPUTED_VALUE"""),"12989")</f>
        <v>12989</v>
      </c>
      <c r="D4627" s="6" t="str">
        <f>IFERROR(__xludf.DUMMYFUNCTION("""COMPUTED_VALUE"""),"Angel")</f>
        <v>Angel</v>
      </c>
      <c r="E4627" s="6" t="str">
        <f>IFERROR(__xludf.DUMMYFUNCTION("""COMPUTED_VALUE"""),"")</f>
        <v/>
      </c>
      <c r="F4627" s="6" t="str">
        <f>IFERROR(__xludf.DUMMYFUNCTION("""COMPUTED_VALUE"""),"Nunez-Reyes")</f>
        <v>Nunez-Reyes</v>
      </c>
      <c r="G4627" s="6" t="str">
        <f>IFERROR(__xludf.DUMMYFUNCTION("""COMPUTED_VALUE"""),"07/17/2012")</f>
        <v>07/17/2012</v>
      </c>
      <c r="H4627" s="6" t="str">
        <f>IFERROR(__xludf.DUMMYFUNCTION("""COMPUTED_VALUE"""),"male")</f>
        <v>male</v>
      </c>
      <c r="I4627" s="6" t="str">
        <f>IFERROR(__xludf.DUMMYFUNCTION("""COMPUTED_VALUE"""),"Middle School")</f>
        <v>Middle School</v>
      </c>
      <c r="J4627" s="6" t="str">
        <f>IFERROR(__xludf.DUMMYFUNCTION("""COMPUTED_VALUE"""),"8")</f>
        <v>8</v>
      </c>
      <c r="K4627" s="6" t="str">
        <f>IFERROR(__xludf.DUMMYFUNCTION("""COMPUTED_VALUE"""),"angel.nunez-reyes@2hourlearning.com")</f>
        <v>angel.nunez-reyes@2hourlearning.com</v>
      </c>
      <c r="L4627" s="6" t="str">
        <f>IFERROR(__xludf.DUMMYFUNCTION("""COMPUTED_VALUE"""),"JHMS - Hardeeville Junior Senior High School")</f>
        <v>JHMS - Hardeeville Junior Senior High School</v>
      </c>
      <c r="M4627" s="6" t="str">
        <f>IFERROR(__xludf.DUMMYFUNCTION("""COMPUTED_VALUE"""),"")</f>
        <v/>
      </c>
      <c r="N4627" s="6" t="str">
        <f>IFERROR(__xludf.DUMMYFUNCTION("""COMPUTED_VALUE"""),"")</f>
        <v/>
      </c>
      <c r="O4627" s="87" t="str">
        <f>IFERROR(__xludf.DUMMYFUNCTION("""COMPUTED_VALUE"""),"https://drive.google.com/drive/folders/10T2cTQHqEJZqE-st6uFKPoI?usp=share_link")</f>
        <v>https://drive.google.com/drive/folders/10T2cTQHqEJZqE-st6uFKPoI?usp=share_link</v>
      </c>
      <c r="P4627" s="6" t="str">
        <f>IFERROR(__xludf.DUMMYFUNCTION("""COMPUTED_VALUE"""),"Angel Nunez-Reyes")</f>
        <v>Angel Nunez-Reyes</v>
      </c>
      <c r="Q4627" s="6" t="str">
        <f>IFERROR(__xludf.DUMMYFUNCTION("""COMPUTED_VALUE"""),"MS")</f>
        <v>MS</v>
      </c>
      <c r="R4627" s="6">
        <f>IFERROR(__xludf.DUMMYFUNCTION("""COMPUTED_VALUE"""),0.0)</f>
        <v>0</v>
      </c>
      <c r="S4627" s="6" t="str">
        <f>IFERROR(__xludf.DUMMYFUNCTION("""COMPUTED_VALUE"""),"Kimberly Ball")</f>
        <v>Kimberly Ball</v>
      </c>
      <c r="T4627" s="6" t="str">
        <f>IFERROR(__xludf.DUMMYFUNCTION("""COMPUTED_VALUE"""),"kimberly.ball@studient.com")</f>
        <v>kimberly.ball@studient.com</v>
      </c>
      <c r="U4627" s="6" t="str">
        <f>IFERROR(__xludf.DUMMYFUNCTION("""COMPUTED_VALUE"""),"8")</f>
        <v>8</v>
      </c>
      <c r="V4627" s="6" t="str">
        <f>IFERROR(__xludf.DUMMYFUNCTION("""COMPUTED_VALUE"""),"")</f>
        <v/>
      </c>
      <c r="W4627" s="6" t="str">
        <f>IFERROR(__xludf.DUMMYFUNCTION("""COMPUTED_VALUE"""),"[]")</f>
        <v>[]</v>
      </c>
      <c r="X4627" s="6" t="str">
        <f>IFERROR(__xludf.DUMMYFUNCTION("""COMPUTED_VALUE"""),"Enrolled")</f>
        <v>Enrolled</v>
      </c>
    </row>
    <row r="4628">
      <c r="A4628" s="6" t="str">
        <f>IFERROR(__xludf.DUMMYFUNCTION("""COMPUTED_VALUE"""),"084-12990")</f>
        <v>084-12990</v>
      </c>
      <c r="B4628" s="6" t="str">
        <f>IFERROR(__xludf.DUMMYFUNCTION("""COMPUTED_VALUE"""),"84")</f>
        <v>84</v>
      </c>
      <c r="C4628" s="6" t="str">
        <f>IFERROR(__xludf.DUMMYFUNCTION("""COMPUTED_VALUE"""),"12990")</f>
        <v>12990</v>
      </c>
      <c r="D4628" s="6" t="str">
        <f>IFERROR(__xludf.DUMMYFUNCTION("""COMPUTED_VALUE"""),"Fabio")</f>
        <v>Fabio</v>
      </c>
      <c r="E4628" s="6" t="str">
        <f>IFERROR(__xludf.DUMMYFUNCTION("""COMPUTED_VALUE"""),"")</f>
        <v/>
      </c>
      <c r="F4628" s="6" t="str">
        <f>IFERROR(__xludf.DUMMYFUNCTION("""COMPUTED_VALUE"""),"Ortega Barchas")</f>
        <v>Ortega Barchas</v>
      </c>
      <c r="G4628" s="6" t="str">
        <f>IFERROR(__xludf.DUMMYFUNCTION("""COMPUTED_VALUE"""),"07/17/2012")</f>
        <v>07/17/2012</v>
      </c>
      <c r="H4628" s="6" t="str">
        <f>IFERROR(__xludf.DUMMYFUNCTION("""COMPUTED_VALUE"""),"male")</f>
        <v>male</v>
      </c>
      <c r="I4628" s="6" t="str">
        <f>IFERROR(__xludf.DUMMYFUNCTION("""COMPUTED_VALUE"""),"Middle School")</f>
        <v>Middle School</v>
      </c>
      <c r="J4628" s="6" t="str">
        <f>IFERROR(__xludf.DUMMYFUNCTION("""COMPUTED_VALUE"""),"8")</f>
        <v>8</v>
      </c>
      <c r="K4628" s="6" t="str">
        <f>IFERROR(__xludf.DUMMYFUNCTION("""COMPUTED_VALUE"""),"fabio.ortegabarchas@2hourlearning.com")</f>
        <v>fabio.ortegabarchas@2hourlearning.com</v>
      </c>
      <c r="L4628" s="6" t="str">
        <f>IFERROR(__xludf.DUMMYFUNCTION("""COMPUTED_VALUE"""),"JHMS - Hardeeville Junior Senior High School")</f>
        <v>JHMS - Hardeeville Junior Senior High School</v>
      </c>
      <c r="M4628" s="6" t="str">
        <f>IFERROR(__xludf.DUMMYFUNCTION("""COMPUTED_VALUE"""),"")</f>
        <v/>
      </c>
      <c r="N4628" s="6" t="str">
        <f>IFERROR(__xludf.DUMMYFUNCTION("""COMPUTED_VALUE"""),"")</f>
        <v/>
      </c>
      <c r="O4628" s="87" t="str">
        <f>IFERROR(__xludf.DUMMYFUNCTION("""COMPUTED_VALUE"""),"https://drive.google.com/drive/folders/10T2cTQHqEJZqE-st6uFKPoI?usp=share_link")</f>
        <v>https://drive.google.com/drive/folders/10T2cTQHqEJZqE-st6uFKPoI?usp=share_link</v>
      </c>
      <c r="P4628" s="6" t="str">
        <f>IFERROR(__xludf.DUMMYFUNCTION("""COMPUTED_VALUE"""),"Fabio Ortega Barchas")</f>
        <v>Fabio Ortega Barchas</v>
      </c>
      <c r="Q4628" s="6" t="str">
        <f>IFERROR(__xludf.DUMMYFUNCTION("""COMPUTED_VALUE"""),"MS")</f>
        <v>MS</v>
      </c>
      <c r="R4628" s="6">
        <f>IFERROR(__xludf.DUMMYFUNCTION("""COMPUTED_VALUE"""),0.0)</f>
        <v>0</v>
      </c>
      <c r="S4628" s="6" t="str">
        <f>IFERROR(__xludf.DUMMYFUNCTION("""COMPUTED_VALUE"""),"Kimberly Ball")</f>
        <v>Kimberly Ball</v>
      </c>
      <c r="T4628" s="6" t="str">
        <f>IFERROR(__xludf.DUMMYFUNCTION("""COMPUTED_VALUE"""),"kimberly.ball@studient.com")</f>
        <v>kimberly.ball@studient.com</v>
      </c>
      <c r="U4628" s="6" t="str">
        <f>IFERROR(__xludf.DUMMYFUNCTION("""COMPUTED_VALUE"""),"8")</f>
        <v>8</v>
      </c>
      <c r="V4628" s="6" t="str">
        <f>IFERROR(__xludf.DUMMYFUNCTION("""COMPUTED_VALUE"""),"")</f>
        <v/>
      </c>
      <c r="W4628" s="6" t="str">
        <f>IFERROR(__xludf.DUMMYFUNCTION("""COMPUTED_VALUE"""),"[]")</f>
        <v>[]</v>
      </c>
      <c r="X4628" s="6" t="str">
        <f>IFERROR(__xludf.DUMMYFUNCTION("""COMPUTED_VALUE"""),"Enrolled")</f>
        <v>Enrolled</v>
      </c>
    </row>
    <row r="4629">
      <c r="A4629" s="6" t="str">
        <f>IFERROR(__xludf.DUMMYFUNCTION("""COMPUTED_VALUE"""),"084-12991")</f>
        <v>084-12991</v>
      </c>
      <c r="B4629" s="6" t="str">
        <f>IFERROR(__xludf.DUMMYFUNCTION("""COMPUTED_VALUE"""),"84")</f>
        <v>84</v>
      </c>
      <c r="C4629" s="6" t="str">
        <f>IFERROR(__xludf.DUMMYFUNCTION("""COMPUTED_VALUE"""),"12991")</f>
        <v>12991</v>
      </c>
      <c r="D4629" s="6" t="str">
        <f>IFERROR(__xludf.DUMMYFUNCTION("""COMPUTED_VALUE"""),"Yasly")</f>
        <v>Yasly</v>
      </c>
      <c r="E4629" s="6" t="str">
        <f>IFERROR(__xludf.DUMMYFUNCTION("""COMPUTED_VALUE"""),"")</f>
        <v/>
      </c>
      <c r="F4629" s="6" t="str">
        <f>IFERROR(__xludf.DUMMYFUNCTION("""COMPUTED_VALUE"""),"Aguilar")</f>
        <v>Aguilar</v>
      </c>
      <c r="G4629" s="6" t="str">
        <f>IFERROR(__xludf.DUMMYFUNCTION("""COMPUTED_VALUE"""),"05/14/2012")</f>
        <v>05/14/2012</v>
      </c>
      <c r="H4629" s="6" t="str">
        <f>IFERROR(__xludf.DUMMYFUNCTION("""COMPUTED_VALUE"""),"female")</f>
        <v>female</v>
      </c>
      <c r="I4629" s="6" t="str">
        <f>IFERROR(__xludf.DUMMYFUNCTION("""COMPUTED_VALUE"""),"Middle School")</f>
        <v>Middle School</v>
      </c>
      <c r="J4629" s="6" t="str">
        <f>IFERROR(__xludf.DUMMYFUNCTION("""COMPUTED_VALUE"""),"7")</f>
        <v>7</v>
      </c>
      <c r="K4629" s="6" t="str">
        <f>IFERROR(__xludf.DUMMYFUNCTION("""COMPUTED_VALUE"""),"yasly.aguilar@2hourlearning.com")</f>
        <v>yasly.aguilar@2hourlearning.com</v>
      </c>
      <c r="L4629" s="6" t="str">
        <f>IFERROR(__xludf.DUMMYFUNCTION("""COMPUTED_VALUE"""),"JHMS - Hardeeville Junior Senior High School")</f>
        <v>JHMS - Hardeeville Junior Senior High School</v>
      </c>
      <c r="M4629" s="6" t="str">
        <f>IFERROR(__xludf.DUMMYFUNCTION("""COMPUTED_VALUE"""),"")</f>
        <v/>
      </c>
      <c r="N4629" s="6" t="str">
        <f>IFERROR(__xludf.DUMMYFUNCTION("""COMPUTED_VALUE"""),"")</f>
        <v/>
      </c>
      <c r="O4629" s="87" t="str">
        <f>IFERROR(__xludf.DUMMYFUNCTION("""COMPUTED_VALUE"""),"https://drive.google.com/drive/folders/10T2cTQHqEJZqE-st6uFKPoI?usp=share_link")</f>
        <v>https://drive.google.com/drive/folders/10T2cTQHqEJZqE-st6uFKPoI?usp=share_link</v>
      </c>
      <c r="P4629" s="6" t="str">
        <f>IFERROR(__xludf.DUMMYFUNCTION("""COMPUTED_VALUE"""),"Yasly Aguilar")</f>
        <v>Yasly Aguilar</v>
      </c>
      <c r="Q4629" s="6" t="str">
        <f>IFERROR(__xludf.DUMMYFUNCTION("""COMPUTED_VALUE"""),"MS")</f>
        <v>MS</v>
      </c>
      <c r="R4629" s="6">
        <f>IFERROR(__xludf.DUMMYFUNCTION("""COMPUTED_VALUE"""),0.0)</f>
        <v>0</v>
      </c>
      <c r="S4629" s="6" t="str">
        <f>IFERROR(__xludf.DUMMYFUNCTION("""COMPUTED_VALUE"""),"Kimberly Ball")</f>
        <v>Kimberly Ball</v>
      </c>
      <c r="T4629" s="6" t="str">
        <f>IFERROR(__xludf.DUMMYFUNCTION("""COMPUTED_VALUE"""),"kimberly.ball@studient.com")</f>
        <v>kimberly.ball@studient.com</v>
      </c>
      <c r="U4629" s="6" t="str">
        <f>IFERROR(__xludf.DUMMYFUNCTION("""COMPUTED_VALUE"""),"7")</f>
        <v>7</v>
      </c>
      <c r="V4629" s="6" t="str">
        <f>IFERROR(__xludf.DUMMYFUNCTION("""COMPUTED_VALUE"""),"")</f>
        <v/>
      </c>
      <c r="W4629" s="6" t="str">
        <f>IFERROR(__xludf.DUMMYFUNCTION("""COMPUTED_VALUE"""),"[]")</f>
        <v>[]</v>
      </c>
      <c r="X4629" s="6" t="str">
        <f>IFERROR(__xludf.DUMMYFUNCTION("""COMPUTED_VALUE"""),"Enrolled")</f>
        <v>Enrolled</v>
      </c>
    </row>
    <row r="4630">
      <c r="A4630" s="6" t="str">
        <f>IFERROR(__xludf.DUMMYFUNCTION("""COMPUTED_VALUE"""),"084-12992")</f>
        <v>084-12992</v>
      </c>
      <c r="B4630" s="6" t="str">
        <f>IFERROR(__xludf.DUMMYFUNCTION("""COMPUTED_VALUE"""),"84")</f>
        <v>84</v>
      </c>
      <c r="C4630" s="6" t="str">
        <f>IFERROR(__xludf.DUMMYFUNCTION("""COMPUTED_VALUE"""),"12992")</f>
        <v>12992</v>
      </c>
      <c r="D4630" s="6" t="str">
        <f>IFERROR(__xludf.DUMMYFUNCTION("""COMPUTED_VALUE"""),"Galilea")</f>
        <v>Galilea</v>
      </c>
      <c r="E4630" s="6" t="str">
        <f>IFERROR(__xludf.DUMMYFUNCTION("""COMPUTED_VALUE"""),"")</f>
        <v/>
      </c>
      <c r="F4630" s="6" t="str">
        <f>IFERROR(__xludf.DUMMYFUNCTION("""COMPUTED_VALUE"""),"Alvarado Garcia")</f>
        <v>Alvarado Garcia</v>
      </c>
      <c r="G4630" s="6" t="str">
        <f>IFERROR(__xludf.DUMMYFUNCTION("""COMPUTED_VALUE"""),"08/08/2012")</f>
        <v>08/08/2012</v>
      </c>
      <c r="H4630" s="6" t="str">
        <f>IFERROR(__xludf.DUMMYFUNCTION("""COMPUTED_VALUE"""),"female")</f>
        <v>female</v>
      </c>
      <c r="I4630" s="6" t="str">
        <f>IFERROR(__xludf.DUMMYFUNCTION("""COMPUTED_VALUE"""),"Middle School")</f>
        <v>Middle School</v>
      </c>
      <c r="J4630" s="6" t="str">
        <f>IFERROR(__xludf.DUMMYFUNCTION("""COMPUTED_VALUE"""),"7")</f>
        <v>7</v>
      </c>
      <c r="K4630" s="6" t="str">
        <f>IFERROR(__xludf.DUMMYFUNCTION("""COMPUTED_VALUE"""),"galilea.alvaradogarcia@2hourlearning.com")</f>
        <v>galilea.alvaradogarcia@2hourlearning.com</v>
      </c>
      <c r="L4630" s="6" t="str">
        <f>IFERROR(__xludf.DUMMYFUNCTION("""COMPUTED_VALUE"""),"JHMS - Hardeeville Junior Senior High School")</f>
        <v>JHMS - Hardeeville Junior Senior High School</v>
      </c>
      <c r="M4630" s="6" t="str">
        <f>IFERROR(__xludf.DUMMYFUNCTION("""COMPUTED_VALUE"""),"")</f>
        <v/>
      </c>
      <c r="N4630" s="6" t="str">
        <f>IFERROR(__xludf.DUMMYFUNCTION("""COMPUTED_VALUE"""),"")</f>
        <v/>
      </c>
      <c r="O4630" s="87" t="str">
        <f>IFERROR(__xludf.DUMMYFUNCTION("""COMPUTED_VALUE"""),"https://drive.google.com/drive/folders/10T2cTQHqEJZqE-st6uFKPoI?usp=share_link")</f>
        <v>https://drive.google.com/drive/folders/10T2cTQHqEJZqE-st6uFKPoI?usp=share_link</v>
      </c>
      <c r="P4630" s="6" t="str">
        <f>IFERROR(__xludf.DUMMYFUNCTION("""COMPUTED_VALUE"""),"Galilea Alvarado Garcia")</f>
        <v>Galilea Alvarado Garcia</v>
      </c>
      <c r="Q4630" s="6" t="str">
        <f>IFERROR(__xludf.DUMMYFUNCTION("""COMPUTED_VALUE"""),"MS")</f>
        <v>MS</v>
      </c>
      <c r="R4630" s="6">
        <f>IFERROR(__xludf.DUMMYFUNCTION("""COMPUTED_VALUE"""),0.0)</f>
        <v>0</v>
      </c>
      <c r="S4630" s="6" t="str">
        <f>IFERROR(__xludf.DUMMYFUNCTION("""COMPUTED_VALUE"""),"Kimberly Ball")</f>
        <v>Kimberly Ball</v>
      </c>
      <c r="T4630" s="6" t="str">
        <f>IFERROR(__xludf.DUMMYFUNCTION("""COMPUTED_VALUE"""),"kimberly.ball@studient.com")</f>
        <v>kimberly.ball@studient.com</v>
      </c>
      <c r="U4630" s="6" t="str">
        <f>IFERROR(__xludf.DUMMYFUNCTION("""COMPUTED_VALUE"""),"7")</f>
        <v>7</v>
      </c>
      <c r="V4630" s="6" t="str">
        <f>IFERROR(__xludf.DUMMYFUNCTION("""COMPUTED_VALUE"""),"")</f>
        <v/>
      </c>
      <c r="W4630" s="6" t="str">
        <f>IFERROR(__xludf.DUMMYFUNCTION("""COMPUTED_VALUE"""),"[]")</f>
        <v>[]</v>
      </c>
      <c r="X4630" s="6" t="str">
        <f>IFERROR(__xludf.DUMMYFUNCTION("""COMPUTED_VALUE"""),"Enrolled")</f>
        <v>Enrolled</v>
      </c>
    </row>
    <row r="4631">
      <c r="A4631" s="6" t="str">
        <f>IFERROR(__xludf.DUMMYFUNCTION("""COMPUTED_VALUE"""),"084-12993")</f>
        <v>084-12993</v>
      </c>
      <c r="B4631" s="6" t="str">
        <f>IFERROR(__xludf.DUMMYFUNCTION("""COMPUTED_VALUE"""),"84")</f>
        <v>84</v>
      </c>
      <c r="C4631" s="6" t="str">
        <f>IFERROR(__xludf.DUMMYFUNCTION("""COMPUTED_VALUE"""),"12993")</f>
        <v>12993</v>
      </c>
      <c r="D4631" s="6" t="str">
        <f>IFERROR(__xludf.DUMMYFUNCTION("""COMPUTED_VALUE"""),"Jeymer")</f>
        <v>Jeymer</v>
      </c>
      <c r="E4631" s="6" t="str">
        <f>IFERROR(__xludf.DUMMYFUNCTION("""COMPUTED_VALUE"""),"")</f>
        <v/>
      </c>
      <c r="F4631" s="6" t="str">
        <f>IFERROR(__xludf.DUMMYFUNCTION("""COMPUTED_VALUE"""),"Alvarado Ramos")</f>
        <v>Alvarado Ramos</v>
      </c>
      <c r="G4631" s="6" t="str">
        <f>IFERROR(__xludf.DUMMYFUNCTION("""COMPUTED_VALUE"""),"11/14/2011")</f>
        <v>11/14/2011</v>
      </c>
      <c r="H4631" s="6" t="str">
        <f>IFERROR(__xludf.DUMMYFUNCTION("""COMPUTED_VALUE"""),"male")</f>
        <v>male</v>
      </c>
      <c r="I4631" s="6" t="str">
        <f>IFERROR(__xludf.DUMMYFUNCTION("""COMPUTED_VALUE"""),"Middle School")</f>
        <v>Middle School</v>
      </c>
      <c r="J4631" s="6" t="str">
        <f>IFERROR(__xludf.DUMMYFUNCTION("""COMPUTED_VALUE"""),"7")</f>
        <v>7</v>
      </c>
      <c r="K4631" s="6" t="str">
        <f>IFERROR(__xludf.DUMMYFUNCTION("""COMPUTED_VALUE"""),"jeymer.alvaradoramos@2hourlearning.com")</f>
        <v>jeymer.alvaradoramos@2hourlearning.com</v>
      </c>
      <c r="L4631" s="6" t="str">
        <f>IFERROR(__xludf.DUMMYFUNCTION("""COMPUTED_VALUE"""),"JHMS - Hardeeville Junior Senior High School")</f>
        <v>JHMS - Hardeeville Junior Senior High School</v>
      </c>
      <c r="M4631" s="6" t="str">
        <f>IFERROR(__xludf.DUMMYFUNCTION("""COMPUTED_VALUE"""),"")</f>
        <v/>
      </c>
      <c r="N4631" s="6" t="str">
        <f>IFERROR(__xludf.DUMMYFUNCTION("""COMPUTED_VALUE"""),"")</f>
        <v/>
      </c>
      <c r="O4631" s="87" t="str">
        <f>IFERROR(__xludf.DUMMYFUNCTION("""COMPUTED_VALUE"""),"https://drive.google.com/drive/folders/10T2cTQHqEJZqE-st6uFKPoI?usp=share_link")</f>
        <v>https://drive.google.com/drive/folders/10T2cTQHqEJZqE-st6uFKPoI?usp=share_link</v>
      </c>
      <c r="P4631" s="6" t="str">
        <f>IFERROR(__xludf.DUMMYFUNCTION("""COMPUTED_VALUE"""),"Jeymer Alvarado Ramos")</f>
        <v>Jeymer Alvarado Ramos</v>
      </c>
      <c r="Q4631" s="6" t="str">
        <f>IFERROR(__xludf.DUMMYFUNCTION("""COMPUTED_VALUE"""),"MS")</f>
        <v>MS</v>
      </c>
      <c r="R4631" s="6">
        <f>IFERROR(__xludf.DUMMYFUNCTION("""COMPUTED_VALUE"""),0.0)</f>
        <v>0</v>
      </c>
      <c r="S4631" s="6" t="str">
        <f>IFERROR(__xludf.DUMMYFUNCTION("""COMPUTED_VALUE"""),"Kimberly Ball")</f>
        <v>Kimberly Ball</v>
      </c>
      <c r="T4631" s="6" t="str">
        <f>IFERROR(__xludf.DUMMYFUNCTION("""COMPUTED_VALUE"""),"kimberly.ball@studient.com")</f>
        <v>kimberly.ball@studient.com</v>
      </c>
      <c r="U4631" s="6" t="str">
        <f>IFERROR(__xludf.DUMMYFUNCTION("""COMPUTED_VALUE"""),"7")</f>
        <v>7</v>
      </c>
      <c r="V4631" s="6" t="str">
        <f>IFERROR(__xludf.DUMMYFUNCTION("""COMPUTED_VALUE"""),"")</f>
        <v/>
      </c>
      <c r="W4631" s="6" t="str">
        <f>IFERROR(__xludf.DUMMYFUNCTION("""COMPUTED_VALUE"""),"[]")</f>
        <v>[]</v>
      </c>
      <c r="X4631" s="6" t="str">
        <f>IFERROR(__xludf.DUMMYFUNCTION("""COMPUTED_VALUE"""),"Enrolled")</f>
        <v>Enrolled</v>
      </c>
    </row>
    <row r="4632">
      <c r="A4632" s="6" t="str">
        <f>IFERROR(__xludf.DUMMYFUNCTION("""COMPUTED_VALUE"""),"084-12994")</f>
        <v>084-12994</v>
      </c>
      <c r="B4632" s="6" t="str">
        <f>IFERROR(__xludf.DUMMYFUNCTION("""COMPUTED_VALUE"""),"84")</f>
        <v>84</v>
      </c>
      <c r="C4632" s="6" t="str">
        <f>IFERROR(__xludf.DUMMYFUNCTION("""COMPUTED_VALUE"""),"12994")</f>
        <v>12994</v>
      </c>
      <c r="D4632" s="6" t="str">
        <f>IFERROR(__xludf.DUMMYFUNCTION("""COMPUTED_VALUE"""),"Samuel")</f>
        <v>Samuel</v>
      </c>
      <c r="E4632" s="6" t="str">
        <f>IFERROR(__xludf.DUMMYFUNCTION("""COMPUTED_VALUE"""),"")</f>
        <v/>
      </c>
      <c r="F4632" s="6" t="str">
        <f>IFERROR(__xludf.DUMMYFUNCTION("""COMPUTED_VALUE"""),"Aponte")</f>
        <v>Aponte</v>
      </c>
      <c r="G4632" s="6" t="str">
        <f>IFERROR(__xludf.DUMMYFUNCTION("""COMPUTED_VALUE"""),"05/23/2012")</f>
        <v>05/23/2012</v>
      </c>
      <c r="H4632" s="6" t="str">
        <f>IFERROR(__xludf.DUMMYFUNCTION("""COMPUTED_VALUE"""),"male")</f>
        <v>male</v>
      </c>
      <c r="I4632" s="6" t="str">
        <f>IFERROR(__xludf.DUMMYFUNCTION("""COMPUTED_VALUE"""),"Middle School")</f>
        <v>Middle School</v>
      </c>
      <c r="J4632" s="6" t="str">
        <f>IFERROR(__xludf.DUMMYFUNCTION("""COMPUTED_VALUE"""),"7")</f>
        <v>7</v>
      </c>
      <c r="K4632" s="6" t="str">
        <f>IFERROR(__xludf.DUMMYFUNCTION("""COMPUTED_VALUE"""),"samuel.aponte@2hourlearning.com")</f>
        <v>samuel.aponte@2hourlearning.com</v>
      </c>
      <c r="L4632" s="6" t="str">
        <f>IFERROR(__xludf.DUMMYFUNCTION("""COMPUTED_VALUE"""),"JHMS - Hardeeville Junior Senior High School")</f>
        <v>JHMS - Hardeeville Junior Senior High School</v>
      </c>
      <c r="M4632" s="6" t="str">
        <f>IFERROR(__xludf.DUMMYFUNCTION("""COMPUTED_VALUE"""),"")</f>
        <v/>
      </c>
      <c r="N4632" s="6" t="str">
        <f>IFERROR(__xludf.DUMMYFUNCTION("""COMPUTED_VALUE"""),"")</f>
        <v/>
      </c>
      <c r="O4632" s="87" t="str">
        <f>IFERROR(__xludf.DUMMYFUNCTION("""COMPUTED_VALUE"""),"https://drive.google.com/drive/folders/10T2cTQHqEJZqE-st6uFKPoI?usp=share_link")</f>
        <v>https://drive.google.com/drive/folders/10T2cTQHqEJZqE-st6uFKPoI?usp=share_link</v>
      </c>
      <c r="P4632" s="6" t="str">
        <f>IFERROR(__xludf.DUMMYFUNCTION("""COMPUTED_VALUE"""),"Samuel Aponte")</f>
        <v>Samuel Aponte</v>
      </c>
      <c r="Q4632" s="6" t="str">
        <f>IFERROR(__xludf.DUMMYFUNCTION("""COMPUTED_VALUE"""),"MS")</f>
        <v>MS</v>
      </c>
      <c r="R4632" s="6">
        <f>IFERROR(__xludf.DUMMYFUNCTION("""COMPUTED_VALUE"""),0.0)</f>
        <v>0</v>
      </c>
      <c r="S4632" s="6" t="str">
        <f>IFERROR(__xludf.DUMMYFUNCTION("""COMPUTED_VALUE"""),"Kimberly Ball")</f>
        <v>Kimberly Ball</v>
      </c>
      <c r="T4632" s="6" t="str">
        <f>IFERROR(__xludf.DUMMYFUNCTION("""COMPUTED_VALUE"""),"kimberly.ball@studient.com")</f>
        <v>kimberly.ball@studient.com</v>
      </c>
      <c r="U4632" s="6" t="str">
        <f>IFERROR(__xludf.DUMMYFUNCTION("""COMPUTED_VALUE"""),"7")</f>
        <v>7</v>
      </c>
      <c r="V4632" s="6" t="str">
        <f>IFERROR(__xludf.DUMMYFUNCTION("""COMPUTED_VALUE"""),"")</f>
        <v/>
      </c>
      <c r="W4632" s="6" t="str">
        <f>IFERROR(__xludf.DUMMYFUNCTION("""COMPUTED_VALUE"""),"[]")</f>
        <v>[]</v>
      </c>
      <c r="X4632" s="6" t="str">
        <f>IFERROR(__xludf.DUMMYFUNCTION("""COMPUTED_VALUE"""),"Enrolled")</f>
        <v>Enrolled</v>
      </c>
    </row>
    <row r="4633">
      <c r="A4633" s="6" t="str">
        <f>IFERROR(__xludf.DUMMYFUNCTION("""COMPUTED_VALUE"""),"084-12995")</f>
        <v>084-12995</v>
      </c>
      <c r="B4633" s="6" t="str">
        <f>IFERROR(__xludf.DUMMYFUNCTION("""COMPUTED_VALUE"""),"84")</f>
        <v>84</v>
      </c>
      <c r="C4633" s="6" t="str">
        <f>IFERROR(__xludf.DUMMYFUNCTION("""COMPUTED_VALUE"""),"12995")</f>
        <v>12995</v>
      </c>
      <c r="D4633" s="6" t="str">
        <f>IFERROR(__xludf.DUMMYFUNCTION("""COMPUTED_VALUE"""),"Leandrismar Sofia")</f>
        <v>Leandrismar Sofia</v>
      </c>
      <c r="E4633" s="6" t="str">
        <f>IFERROR(__xludf.DUMMYFUNCTION("""COMPUTED_VALUE"""),"")</f>
        <v/>
      </c>
      <c r="F4633" s="6" t="str">
        <f>IFERROR(__xludf.DUMMYFUNCTION("""COMPUTED_VALUE"""),"Aranguren Alvarez")</f>
        <v>Aranguren Alvarez</v>
      </c>
      <c r="G4633" s="6" t="str">
        <f>IFERROR(__xludf.DUMMYFUNCTION("""COMPUTED_VALUE"""),"12/12/2013")</f>
        <v>12/12/2013</v>
      </c>
      <c r="H4633" s="6" t="str">
        <f>IFERROR(__xludf.DUMMYFUNCTION("""COMPUTED_VALUE"""),"female")</f>
        <v>female</v>
      </c>
      <c r="I4633" s="6" t="str">
        <f>IFERROR(__xludf.DUMMYFUNCTION("""COMPUTED_VALUE"""),"Middle School")</f>
        <v>Middle School</v>
      </c>
      <c r="J4633" s="6" t="str">
        <f>IFERROR(__xludf.DUMMYFUNCTION("""COMPUTED_VALUE"""),"7")</f>
        <v>7</v>
      </c>
      <c r="K4633" s="6" t="str">
        <f>IFERROR(__xludf.DUMMYFUNCTION("""COMPUTED_VALUE"""),"leandrismarsofia.arangurenalvarez@2hourlearning.com")</f>
        <v>leandrismarsofia.arangurenalvarez@2hourlearning.com</v>
      </c>
      <c r="L4633" s="6" t="str">
        <f>IFERROR(__xludf.DUMMYFUNCTION("""COMPUTED_VALUE"""),"JHMS - Hardeeville Junior Senior High School")</f>
        <v>JHMS - Hardeeville Junior Senior High School</v>
      </c>
      <c r="M4633" s="6" t="str">
        <f>IFERROR(__xludf.DUMMYFUNCTION("""COMPUTED_VALUE"""),"")</f>
        <v/>
      </c>
      <c r="N4633" s="6" t="str">
        <f>IFERROR(__xludf.DUMMYFUNCTION("""COMPUTED_VALUE"""),"")</f>
        <v/>
      </c>
      <c r="O4633" s="87" t="str">
        <f>IFERROR(__xludf.DUMMYFUNCTION("""COMPUTED_VALUE"""),"https://drive.google.com/drive/folders/10T2cTQHqEJZqE-st6uFKPoI?usp=share_link")</f>
        <v>https://drive.google.com/drive/folders/10T2cTQHqEJZqE-st6uFKPoI?usp=share_link</v>
      </c>
      <c r="P4633" s="6" t="str">
        <f>IFERROR(__xludf.DUMMYFUNCTION("""COMPUTED_VALUE"""),"Leandrismar Sofia Aranguren Alvarez")</f>
        <v>Leandrismar Sofia Aranguren Alvarez</v>
      </c>
      <c r="Q4633" s="6" t="str">
        <f>IFERROR(__xludf.DUMMYFUNCTION("""COMPUTED_VALUE"""),"MS")</f>
        <v>MS</v>
      </c>
      <c r="R4633" s="6">
        <f>IFERROR(__xludf.DUMMYFUNCTION("""COMPUTED_VALUE"""),0.0)</f>
        <v>0</v>
      </c>
      <c r="S4633" s="6" t="str">
        <f>IFERROR(__xludf.DUMMYFUNCTION("""COMPUTED_VALUE"""),"Kimberly Ball")</f>
        <v>Kimberly Ball</v>
      </c>
      <c r="T4633" s="6" t="str">
        <f>IFERROR(__xludf.DUMMYFUNCTION("""COMPUTED_VALUE"""),"kimberly.ball@studient.com")</f>
        <v>kimberly.ball@studient.com</v>
      </c>
      <c r="U4633" s="6" t="str">
        <f>IFERROR(__xludf.DUMMYFUNCTION("""COMPUTED_VALUE"""),"7")</f>
        <v>7</v>
      </c>
      <c r="V4633" s="6" t="str">
        <f>IFERROR(__xludf.DUMMYFUNCTION("""COMPUTED_VALUE"""),"")</f>
        <v/>
      </c>
      <c r="W4633" s="6" t="str">
        <f>IFERROR(__xludf.DUMMYFUNCTION("""COMPUTED_VALUE"""),"[]")</f>
        <v>[]</v>
      </c>
      <c r="X4633" s="6" t="str">
        <f>IFERROR(__xludf.DUMMYFUNCTION("""COMPUTED_VALUE"""),"Enrolled")</f>
        <v>Enrolled</v>
      </c>
    </row>
    <row r="4634">
      <c r="A4634" s="6" t="str">
        <f>IFERROR(__xludf.DUMMYFUNCTION("""COMPUTED_VALUE"""),"084-12996")</f>
        <v>084-12996</v>
      </c>
      <c r="B4634" s="6" t="str">
        <f>IFERROR(__xludf.DUMMYFUNCTION("""COMPUTED_VALUE"""),"84")</f>
        <v>84</v>
      </c>
      <c r="C4634" s="6" t="str">
        <f>IFERROR(__xludf.DUMMYFUNCTION("""COMPUTED_VALUE"""),"12996")</f>
        <v>12996</v>
      </c>
      <c r="D4634" s="6" t="str">
        <f>IFERROR(__xludf.DUMMYFUNCTION("""COMPUTED_VALUE"""),"Dennis")</f>
        <v>Dennis</v>
      </c>
      <c r="E4634" s="6" t="str">
        <f>IFERROR(__xludf.DUMMYFUNCTION("""COMPUTED_VALUE"""),"")</f>
        <v/>
      </c>
      <c r="F4634" s="6" t="str">
        <f>IFERROR(__xludf.DUMMYFUNCTION("""COMPUTED_VALUE"""),"Argueta Alfaro")</f>
        <v>Argueta Alfaro</v>
      </c>
      <c r="G4634" s="6" t="str">
        <f>IFERROR(__xludf.DUMMYFUNCTION("""COMPUTED_VALUE"""),"02/17/2012")</f>
        <v>02/17/2012</v>
      </c>
      <c r="H4634" s="6" t="str">
        <f>IFERROR(__xludf.DUMMYFUNCTION("""COMPUTED_VALUE"""),"male")</f>
        <v>male</v>
      </c>
      <c r="I4634" s="6" t="str">
        <f>IFERROR(__xludf.DUMMYFUNCTION("""COMPUTED_VALUE"""),"Middle School")</f>
        <v>Middle School</v>
      </c>
      <c r="J4634" s="6" t="str">
        <f>IFERROR(__xludf.DUMMYFUNCTION("""COMPUTED_VALUE"""),"7")</f>
        <v>7</v>
      </c>
      <c r="K4634" s="6" t="str">
        <f>IFERROR(__xludf.DUMMYFUNCTION("""COMPUTED_VALUE"""),"dennis.arguetaalfaro@2hourlearning.com")</f>
        <v>dennis.arguetaalfaro@2hourlearning.com</v>
      </c>
      <c r="L4634" s="6" t="str">
        <f>IFERROR(__xludf.DUMMYFUNCTION("""COMPUTED_VALUE"""),"JHMS - Hardeeville Junior Senior High School")</f>
        <v>JHMS - Hardeeville Junior Senior High School</v>
      </c>
      <c r="M4634" s="6" t="str">
        <f>IFERROR(__xludf.DUMMYFUNCTION("""COMPUTED_VALUE"""),"")</f>
        <v/>
      </c>
      <c r="N4634" s="6" t="str">
        <f>IFERROR(__xludf.DUMMYFUNCTION("""COMPUTED_VALUE"""),"")</f>
        <v/>
      </c>
      <c r="O4634" s="87" t="str">
        <f>IFERROR(__xludf.DUMMYFUNCTION("""COMPUTED_VALUE"""),"https://drive.google.com/drive/folders/10T2cTQHqEJZqE-st6uFKPoI?usp=share_link")</f>
        <v>https://drive.google.com/drive/folders/10T2cTQHqEJZqE-st6uFKPoI?usp=share_link</v>
      </c>
      <c r="P4634" s="6" t="str">
        <f>IFERROR(__xludf.DUMMYFUNCTION("""COMPUTED_VALUE"""),"Dennis Argueta Alfaro")</f>
        <v>Dennis Argueta Alfaro</v>
      </c>
      <c r="Q4634" s="6" t="str">
        <f>IFERROR(__xludf.DUMMYFUNCTION("""COMPUTED_VALUE"""),"MS")</f>
        <v>MS</v>
      </c>
      <c r="R4634" s="6">
        <f>IFERROR(__xludf.DUMMYFUNCTION("""COMPUTED_VALUE"""),0.0)</f>
        <v>0</v>
      </c>
      <c r="S4634" s="6" t="str">
        <f>IFERROR(__xludf.DUMMYFUNCTION("""COMPUTED_VALUE"""),"Kimberly Ball")</f>
        <v>Kimberly Ball</v>
      </c>
      <c r="T4634" s="6" t="str">
        <f>IFERROR(__xludf.DUMMYFUNCTION("""COMPUTED_VALUE"""),"kimberly.ball@studient.com")</f>
        <v>kimberly.ball@studient.com</v>
      </c>
      <c r="U4634" s="6" t="str">
        <f>IFERROR(__xludf.DUMMYFUNCTION("""COMPUTED_VALUE"""),"7")</f>
        <v>7</v>
      </c>
      <c r="V4634" s="6" t="str">
        <f>IFERROR(__xludf.DUMMYFUNCTION("""COMPUTED_VALUE"""),"")</f>
        <v/>
      </c>
      <c r="W4634" s="6" t="str">
        <f>IFERROR(__xludf.DUMMYFUNCTION("""COMPUTED_VALUE"""),"[]")</f>
        <v>[]</v>
      </c>
      <c r="X4634" s="6" t="str">
        <f>IFERROR(__xludf.DUMMYFUNCTION("""COMPUTED_VALUE"""),"Enrolled")</f>
        <v>Enrolled</v>
      </c>
    </row>
    <row r="4635">
      <c r="A4635" s="6" t="str">
        <f>IFERROR(__xludf.DUMMYFUNCTION("""COMPUTED_VALUE"""),"084-12997")</f>
        <v>084-12997</v>
      </c>
      <c r="B4635" s="6" t="str">
        <f>IFERROR(__xludf.DUMMYFUNCTION("""COMPUTED_VALUE"""),"84")</f>
        <v>84</v>
      </c>
      <c r="C4635" s="6" t="str">
        <f>IFERROR(__xludf.DUMMYFUNCTION("""COMPUTED_VALUE"""),"12997")</f>
        <v>12997</v>
      </c>
      <c r="D4635" s="6" t="str">
        <f>IFERROR(__xludf.DUMMYFUNCTION("""COMPUTED_VALUE"""),"Dana")</f>
        <v>Dana</v>
      </c>
      <c r="E4635" s="6" t="str">
        <f>IFERROR(__xludf.DUMMYFUNCTION("""COMPUTED_VALUE"""),"")</f>
        <v/>
      </c>
      <c r="F4635" s="6" t="str">
        <f>IFERROR(__xludf.DUMMYFUNCTION("""COMPUTED_VALUE"""),"Arteaga Solorzano")</f>
        <v>Arteaga Solorzano</v>
      </c>
      <c r="G4635" s="6" t="str">
        <f>IFERROR(__xludf.DUMMYFUNCTION("""COMPUTED_VALUE"""),"10/16/2012")</f>
        <v>10/16/2012</v>
      </c>
      <c r="H4635" s="6" t="str">
        <f>IFERROR(__xludf.DUMMYFUNCTION("""COMPUTED_VALUE"""),"female")</f>
        <v>female</v>
      </c>
      <c r="I4635" s="6" t="str">
        <f>IFERROR(__xludf.DUMMYFUNCTION("""COMPUTED_VALUE"""),"Middle School")</f>
        <v>Middle School</v>
      </c>
      <c r="J4635" s="6" t="str">
        <f>IFERROR(__xludf.DUMMYFUNCTION("""COMPUTED_VALUE"""),"7")</f>
        <v>7</v>
      </c>
      <c r="K4635" s="6" t="str">
        <f>IFERROR(__xludf.DUMMYFUNCTION("""COMPUTED_VALUE"""),"dana.arteagasolorzano@2hourlearning.com")</f>
        <v>dana.arteagasolorzano@2hourlearning.com</v>
      </c>
      <c r="L4635" s="6" t="str">
        <f>IFERROR(__xludf.DUMMYFUNCTION("""COMPUTED_VALUE"""),"JHMS - Hardeeville Junior Senior High School")</f>
        <v>JHMS - Hardeeville Junior Senior High School</v>
      </c>
      <c r="M4635" s="6" t="str">
        <f>IFERROR(__xludf.DUMMYFUNCTION("""COMPUTED_VALUE"""),"")</f>
        <v/>
      </c>
      <c r="N4635" s="6" t="str">
        <f>IFERROR(__xludf.DUMMYFUNCTION("""COMPUTED_VALUE"""),"")</f>
        <v/>
      </c>
      <c r="O4635" s="87" t="str">
        <f>IFERROR(__xludf.DUMMYFUNCTION("""COMPUTED_VALUE"""),"https://drive.google.com/drive/folders/10T2cTQHqEJZqE-st6uFKPoI?usp=share_link")</f>
        <v>https://drive.google.com/drive/folders/10T2cTQHqEJZqE-st6uFKPoI?usp=share_link</v>
      </c>
      <c r="P4635" s="6" t="str">
        <f>IFERROR(__xludf.DUMMYFUNCTION("""COMPUTED_VALUE"""),"Dana Arteaga Solorzano")</f>
        <v>Dana Arteaga Solorzano</v>
      </c>
      <c r="Q4635" s="6" t="str">
        <f>IFERROR(__xludf.DUMMYFUNCTION("""COMPUTED_VALUE"""),"MS")</f>
        <v>MS</v>
      </c>
      <c r="R4635" s="6">
        <f>IFERROR(__xludf.DUMMYFUNCTION("""COMPUTED_VALUE"""),0.0)</f>
        <v>0</v>
      </c>
      <c r="S4635" s="6" t="str">
        <f>IFERROR(__xludf.DUMMYFUNCTION("""COMPUTED_VALUE"""),"Kimberly Ball")</f>
        <v>Kimberly Ball</v>
      </c>
      <c r="T4635" s="6" t="str">
        <f>IFERROR(__xludf.DUMMYFUNCTION("""COMPUTED_VALUE"""),"kimberly.ball@studient.com")</f>
        <v>kimberly.ball@studient.com</v>
      </c>
      <c r="U4635" s="6" t="str">
        <f>IFERROR(__xludf.DUMMYFUNCTION("""COMPUTED_VALUE"""),"7")</f>
        <v>7</v>
      </c>
      <c r="V4635" s="6" t="str">
        <f>IFERROR(__xludf.DUMMYFUNCTION("""COMPUTED_VALUE"""),"")</f>
        <v/>
      </c>
      <c r="W4635" s="6" t="str">
        <f>IFERROR(__xludf.DUMMYFUNCTION("""COMPUTED_VALUE"""),"[]")</f>
        <v>[]</v>
      </c>
      <c r="X4635" s="6" t="str">
        <f>IFERROR(__xludf.DUMMYFUNCTION("""COMPUTED_VALUE"""),"Enrolled")</f>
        <v>Enrolled</v>
      </c>
    </row>
    <row r="4636">
      <c r="A4636" s="6" t="str">
        <f>IFERROR(__xludf.DUMMYFUNCTION("""COMPUTED_VALUE"""),"084-12998")</f>
        <v>084-12998</v>
      </c>
      <c r="B4636" s="6" t="str">
        <f>IFERROR(__xludf.DUMMYFUNCTION("""COMPUTED_VALUE"""),"84")</f>
        <v>84</v>
      </c>
      <c r="C4636" s="6" t="str">
        <f>IFERROR(__xludf.DUMMYFUNCTION("""COMPUTED_VALUE"""),"12998")</f>
        <v>12998</v>
      </c>
      <c r="D4636" s="6" t="str">
        <f>IFERROR(__xludf.DUMMYFUNCTION("""COMPUTED_VALUE"""),"Jacob")</f>
        <v>Jacob</v>
      </c>
      <c r="E4636" s="6" t="str">
        <f>IFERROR(__xludf.DUMMYFUNCTION("""COMPUTED_VALUE"""),"")</f>
        <v/>
      </c>
      <c r="F4636" s="6" t="str">
        <f>IFERROR(__xludf.DUMMYFUNCTION("""COMPUTED_VALUE"""),"Avery")</f>
        <v>Avery</v>
      </c>
      <c r="G4636" s="6" t="str">
        <f>IFERROR(__xludf.DUMMYFUNCTION("""COMPUTED_VALUE"""),"01/11/2013")</f>
        <v>01/11/2013</v>
      </c>
      <c r="H4636" s="6" t="str">
        <f>IFERROR(__xludf.DUMMYFUNCTION("""COMPUTED_VALUE"""),"male")</f>
        <v>male</v>
      </c>
      <c r="I4636" s="6" t="str">
        <f>IFERROR(__xludf.DUMMYFUNCTION("""COMPUTED_VALUE"""),"Middle School")</f>
        <v>Middle School</v>
      </c>
      <c r="J4636" s="6" t="str">
        <f>IFERROR(__xludf.DUMMYFUNCTION("""COMPUTED_VALUE"""),"7")</f>
        <v>7</v>
      </c>
      <c r="K4636" s="6" t="str">
        <f>IFERROR(__xludf.DUMMYFUNCTION("""COMPUTED_VALUE"""),"jacob.avery@2hourlearning.com")</f>
        <v>jacob.avery@2hourlearning.com</v>
      </c>
      <c r="L4636" s="6" t="str">
        <f>IFERROR(__xludf.DUMMYFUNCTION("""COMPUTED_VALUE"""),"JHMS - Hardeeville Junior Senior High School")</f>
        <v>JHMS - Hardeeville Junior Senior High School</v>
      </c>
      <c r="M4636" s="6" t="str">
        <f>IFERROR(__xludf.DUMMYFUNCTION("""COMPUTED_VALUE"""),"")</f>
        <v/>
      </c>
      <c r="N4636" s="6" t="str">
        <f>IFERROR(__xludf.DUMMYFUNCTION("""COMPUTED_VALUE"""),"")</f>
        <v/>
      </c>
      <c r="O4636" s="87" t="str">
        <f>IFERROR(__xludf.DUMMYFUNCTION("""COMPUTED_VALUE"""),"https://drive.google.com/drive/folders/10T2cTQHqEJZqE-st6uFKPoI?usp=share_link")</f>
        <v>https://drive.google.com/drive/folders/10T2cTQHqEJZqE-st6uFKPoI?usp=share_link</v>
      </c>
      <c r="P4636" s="6" t="str">
        <f>IFERROR(__xludf.DUMMYFUNCTION("""COMPUTED_VALUE"""),"Jacob Avery")</f>
        <v>Jacob Avery</v>
      </c>
      <c r="Q4636" s="6" t="str">
        <f>IFERROR(__xludf.DUMMYFUNCTION("""COMPUTED_VALUE"""),"MS")</f>
        <v>MS</v>
      </c>
      <c r="R4636" s="6">
        <f>IFERROR(__xludf.DUMMYFUNCTION("""COMPUTED_VALUE"""),0.0)</f>
        <v>0</v>
      </c>
      <c r="S4636" s="6" t="str">
        <f>IFERROR(__xludf.DUMMYFUNCTION("""COMPUTED_VALUE"""),"Kimberly Ball")</f>
        <v>Kimberly Ball</v>
      </c>
      <c r="T4636" s="6" t="str">
        <f>IFERROR(__xludf.DUMMYFUNCTION("""COMPUTED_VALUE"""),"kimberly.ball@studient.com")</f>
        <v>kimberly.ball@studient.com</v>
      </c>
      <c r="U4636" s="6" t="str">
        <f>IFERROR(__xludf.DUMMYFUNCTION("""COMPUTED_VALUE"""),"7")</f>
        <v>7</v>
      </c>
      <c r="V4636" s="6" t="str">
        <f>IFERROR(__xludf.DUMMYFUNCTION("""COMPUTED_VALUE"""),"")</f>
        <v/>
      </c>
      <c r="W4636" s="6" t="str">
        <f>IFERROR(__xludf.DUMMYFUNCTION("""COMPUTED_VALUE"""),"[]")</f>
        <v>[]</v>
      </c>
      <c r="X4636" s="6" t="str">
        <f>IFERROR(__xludf.DUMMYFUNCTION("""COMPUTED_VALUE"""),"Enrolled")</f>
        <v>Enrolled</v>
      </c>
    </row>
    <row r="4637">
      <c r="A4637" s="6" t="str">
        <f>IFERROR(__xludf.DUMMYFUNCTION("""COMPUTED_VALUE"""),"084-12999")</f>
        <v>084-12999</v>
      </c>
      <c r="B4637" s="6" t="str">
        <f>IFERROR(__xludf.DUMMYFUNCTION("""COMPUTED_VALUE"""),"84")</f>
        <v>84</v>
      </c>
      <c r="C4637" s="6" t="str">
        <f>IFERROR(__xludf.DUMMYFUNCTION("""COMPUTED_VALUE"""),"12999")</f>
        <v>12999</v>
      </c>
      <c r="D4637" s="6" t="str">
        <f>IFERROR(__xludf.DUMMYFUNCTION("""COMPUTED_VALUE"""),"Emily")</f>
        <v>Emily</v>
      </c>
      <c r="E4637" s="6" t="str">
        <f>IFERROR(__xludf.DUMMYFUNCTION("""COMPUTED_VALUE"""),"")</f>
        <v/>
      </c>
      <c r="F4637" s="6" t="str">
        <f>IFERROR(__xludf.DUMMYFUNCTION("""COMPUTED_VALUE"""),"Barragan Estrada")</f>
        <v>Barragan Estrada</v>
      </c>
      <c r="G4637" s="6" t="str">
        <f>IFERROR(__xludf.DUMMYFUNCTION("""COMPUTED_VALUE"""),"04/16/2013")</f>
        <v>04/16/2013</v>
      </c>
      <c r="H4637" s="6" t="str">
        <f>IFERROR(__xludf.DUMMYFUNCTION("""COMPUTED_VALUE"""),"female")</f>
        <v>female</v>
      </c>
      <c r="I4637" s="6" t="str">
        <f>IFERROR(__xludf.DUMMYFUNCTION("""COMPUTED_VALUE"""),"Middle School")</f>
        <v>Middle School</v>
      </c>
      <c r="J4637" s="6" t="str">
        <f>IFERROR(__xludf.DUMMYFUNCTION("""COMPUTED_VALUE"""),"7")</f>
        <v>7</v>
      </c>
      <c r="K4637" s="6" t="str">
        <f>IFERROR(__xludf.DUMMYFUNCTION("""COMPUTED_VALUE"""),"emily.barraganestrada@2hourlearning.com")</f>
        <v>emily.barraganestrada@2hourlearning.com</v>
      </c>
      <c r="L4637" s="6" t="str">
        <f>IFERROR(__xludf.DUMMYFUNCTION("""COMPUTED_VALUE"""),"JHMS - Hardeeville Junior Senior High School")</f>
        <v>JHMS - Hardeeville Junior Senior High School</v>
      </c>
      <c r="M4637" s="6" t="str">
        <f>IFERROR(__xludf.DUMMYFUNCTION("""COMPUTED_VALUE"""),"")</f>
        <v/>
      </c>
      <c r="N4637" s="6" t="str">
        <f>IFERROR(__xludf.DUMMYFUNCTION("""COMPUTED_VALUE"""),"")</f>
        <v/>
      </c>
      <c r="O4637" s="87" t="str">
        <f>IFERROR(__xludf.DUMMYFUNCTION("""COMPUTED_VALUE"""),"https://drive.google.com/drive/folders/10T2cTQHqEJZqE-st6uFKPoI?usp=share_link")</f>
        <v>https://drive.google.com/drive/folders/10T2cTQHqEJZqE-st6uFKPoI?usp=share_link</v>
      </c>
      <c r="P4637" s="6" t="str">
        <f>IFERROR(__xludf.DUMMYFUNCTION("""COMPUTED_VALUE"""),"Emily Barragan Estrada")</f>
        <v>Emily Barragan Estrada</v>
      </c>
      <c r="Q4637" s="6" t="str">
        <f>IFERROR(__xludf.DUMMYFUNCTION("""COMPUTED_VALUE"""),"MS")</f>
        <v>MS</v>
      </c>
      <c r="R4637" s="6">
        <f>IFERROR(__xludf.DUMMYFUNCTION("""COMPUTED_VALUE"""),0.0)</f>
        <v>0</v>
      </c>
      <c r="S4637" s="6" t="str">
        <f>IFERROR(__xludf.DUMMYFUNCTION("""COMPUTED_VALUE"""),"Kimberly Ball")</f>
        <v>Kimberly Ball</v>
      </c>
      <c r="T4637" s="6" t="str">
        <f>IFERROR(__xludf.DUMMYFUNCTION("""COMPUTED_VALUE"""),"kimberly.ball@studient.com")</f>
        <v>kimberly.ball@studient.com</v>
      </c>
      <c r="U4637" s="6" t="str">
        <f>IFERROR(__xludf.DUMMYFUNCTION("""COMPUTED_VALUE"""),"7")</f>
        <v>7</v>
      </c>
      <c r="V4637" s="6" t="str">
        <f>IFERROR(__xludf.DUMMYFUNCTION("""COMPUTED_VALUE"""),"")</f>
        <v/>
      </c>
      <c r="W4637" s="6" t="str">
        <f>IFERROR(__xludf.DUMMYFUNCTION("""COMPUTED_VALUE"""),"[]")</f>
        <v>[]</v>
      </c>
      <c r="X4637" s="6" t="str">
        <f>IFERROR(__xludf.DUMMYFUNCTION("""COMPUTED_VALUE"""),"Enrolled")</f>
        <v>Enrolled</v>
      </c>
    </row>
    <row r="4638">
      <c r="A4638" s="6" t="str">
        <f>IFERROR(__xludf.DUMMYFUNCTION("""COMPUTED_VALUE"""),"084-13000")</f>
        <v>084-13000</v>
      </c>
      <c r="B4638" s="6" t="str">
        <f>IFERROR(__xludf.DUMMYFUNCTION("""COMPUTED_VALUE"""),"84")</f>
        <v>84</v>
      </c>
      <c r="C4638" s="6" t="str">
        <f>IFERROR(__xludf.DUMMYFUNCTION("""COMPUTED_VALUE"""),"13000")</f>
        <v>13000</v>
      </c>
      <c r="D4638" s="6" t="str">
        <f>IFERROR(__xludf.DUMMYFUNCTION("""COMPUTED_VALUE"""),"America")</f>
        <v>America</v>
      </c>
      <c r="E4638" s="6" t="str">
        <f>IFERROR(__xludf.DUMMYFUNCTION("""COMPUTED_VALUE"""),"")</f>
        <v/>
      </c>
      <c r="F4638" s="6" t="str">
        <f>IFERROR(__xludf.DUMMYFUNCTION("""COMPUTED_VALUE"""),"Becerril")</f>
        <v>Becerril</v>
      </c>
      <c r="G4638" s="6" t="str">
        <f>IFERROR(__xludf.DUMMYFUNCTION("""COMPUTED_VALUE"""),"02/18/2013")</f>
        <v>02/18/2013</v>
      </c>
      <c r="H4638" s="6" t="str">
        <f>IFERROR(__xludf.DUMMYFUNCTION("""COMPUTED_VALUE"""),"female")</f>
        <v>female</v>
      </c>
      <c r="I4638" s="6" t="str">
        <f>IFERROR(__xludf.DUMMYFUNCTION("""COMPUTED_VALUE"""),"Middle School")</f>
        <v>Middle School</v>
      </c>
      <c r="J4638" s="6" t="str">
        <f>IFERROR(__xludf.DUMMYFUNCTION("""COMPUTED_VALUE"""),"7")</f>
        <v>7</v>
      </c>
      <c r="K4638" s="6" t="str">
        <f>IFERROR(__xludf.DUMMYFUNCTION("""COMPUTED_VALUE"""),"america.becerril@2hourlearning.com")</f>
        <v>america.becerril@2hourlearning.com</v>
      </c>
      <c r="L4638" s="6" t="str">
        <f>IFERROR(__xludf.DUMMYFUNCTION("""COMPUTED_VALUE"""),"JHMS - Hardeeville Junior Senior High School")</f>
        <v>JHMS - Hardeeville Junior Senior High School</v>
      </c>
      <c r="M4638" s="6" t="str">
        <f>IFERROR(__xludf.DUMMYFUNCTION("""COMPUTED_VALUE"""),"")</f>
        <v/>
      </c>
      <c r="N4638" s="6" t="str">
        <f>IFERROR(__xludf.DUMMYFUNCTION("""COMPUTED_VALUE"""),"")</f>
        <v/>
      </c>
      <c r="O4638" s="87" t="str">
        <f>IFERROR(__xludf.DUMMYFUNCTION("""COMPUTED_VALUE"""),"https://drive.google.com/drive/folders/10T2cTQHqEJZqE-st6uFKPoI?usp=share_link")</f>
        <v>https://drive.google.com/drive/folders/10T2cTQHqEJZqE-st6uFKPoI?usp=share_link</v>
      </c>
      <c r="P4638" s="6" t="str">
        <f>IFERROR(__xludf.DUMMYFUNCTION("""COMPUTED_VALUE"""),"America Becerril")</f>
        <v>America Becerril</v>
      </c>
      <c r="Q4638" s="6" t="str">
        <f>IFERROR(__xludf.DUMMYFUNCTION("""COMPUTED_VALUE"""),"MS")</f>
        <v>MS</v>
      </c>
      <c r="R4638" s="6">
        <f>IFERROR(__xludf.DUMMYFUNCTION("""COMPUTED_VALUE"""),0.0)</f>
        <v>0</v>
      </c>
      <c r="S4638" s="6" t="str">
        <f>IFERROR(__xludf.DUMMYFUNCTION("""COMPUTED_VALUE"""),"Kimberly Ball")</f>
        <v>Kimberly Ball</v>
      </c>
      <c r="T4638" s="6" t="str">
        <f>IFERROR(__xludf.DUMMYFUNCTION("""COMPUTED_VALUE"""),"kimberly.ball@studient.com")</f>
        <v>kimberly.ball@studient.com</v>
      </c>
      <c r="U4638" s="6" t="str">
        <f>IFERROR(__xludf.DUMMYFUNCTION("""COMPUTED_VALUE"""),"7")</f>
        <v>7</v>
      </c>
      <c r="V4638" s="6" t="str">
        <f>IFERROR(__xludf.DUMMYFUNCTION("""COMPUTED_VALUE"""),"")</f>
        <v/>
      </c>
      <c r="W4638" s="6" t="str">
        <f>IFERROR(__xludf.DUMMYFUNCTION("""COMPUTED_VALUE"""),"[]")</f>
        <v>[]</v>
      </c>
      <c r="X4638" s="6" t="str">
        <f>IFERROR(__xludf.DUMMYFUNCTION("""COMPUTED_VALUE"""),"Enrolled")</f>
        <v>Enrolled</v>
      </c>
    </row>
    <row r="4639">
      <c r="A4639" s="6" t="str">
        <f>IFERROR(__xludf.DUMMYFUNCTION("""COMPUTED_VALUE"""),"084-13001")</f>
        <v>084-13001</v>
      </c>
      <c r="B4639" s="6" t="str">
        <f>IFERROR(__xludf.DUMMYFUNCTION("""COMPUTED_VALUE"""),"84")</f>
        <v>84</v>
      </c>
      <c r="C4639" s="6" t="str">
        <f>IFERROR(__xludf.DUMMYFUNCTION("""COMPUTED_VALUE"""),"13001")</f>
        <v>13001</v>
      </c>
      <c r="D4639" s="6" t="str">
        <f>IFERROR(__xludf.DUMMYFUNCTION("""COMPUTED_VALUE"""),"Leonardo")</f>
        <v>Leonardo</v>
      </c>
      <c r="E4639" s="6" t="str">
        <f>IFERROR(__xludf.DUMMYFUNCTION("""COMPUTED_VALUE"""),"")</f>
        <v/>
      </c>
      <c r="F4639" s="6" t="str">
        <f>IFERROR(__xludf.DUMMYFUNCTION("""COMPUTED_VALUE"""),"Beltre Escorza")</f>
        <v>Beltre Escorza</v>
      </c>
      <c r="G4639" s="6" t="str">
        <f>IFERROR(__xludf.DUMMYFUNCTION("""COMPUTED_VALUE"""),"06/21/2013")</f>
        <v>06/21/2013</v>
      </c>
      <c r="H4639" s="6" t="str">
        <f>IFERROR(__xludf.DUMMYFUNCTION("""COMPUTED_VALUE"""),"male")</f>
        <v>male</v>
      </c>
      <c r="I4639" s="6" t="str">
        <f>IFERROR(__xludf.DUMMYFUNCTION("""COMPUTED_VALUE"""),"Middle School")</f>
        <v>Middle School</v>
      </c>
      <c r="J4639" s="6" t="str">
        <f>IFERROR(__xludf.DUMMYFUNCTION("""COMPUTED_VALUE"""),"7")</f>
        <v>7</v>
      </c>
      <c r="K4639" s="6" t="str">
        <f>IFERROR(__xludf.DUMMYFUNCTION("""COMPUTED_VALUE"""),"leonardo.beltreescorza@2hourlearning.com")</f>
        <v>leonardo.beltreescorza@2hourlearning.com</v>
      </c>
      <c r="L4639" s="6" t="str">
        <f>IFERROR(__xludf.DUMMYFUNCTION("""COMPUTED_VALUE"""),"JHMS - Hardeeville Junior Senior High School")</f>
        <v>JHMS - Hardeeville Junior Senior High School</v>
      </c>
      <c r="M4639" s="6" t="str">
        <f>IFERROR(__xludf.DUMMYFUNCTION("""COMPUTED_VALUE"""),"")</f>
        <v/>
      </c>
      <c r="N4639" s="6" t="str">
        <f>IFERROR(__xludf.DUMMYFUNCTION("""COMPUTED_VALUE"""),"")</f>
        <v/>
      </c>
      <c r="O4639" s="87" t="str">
        <f>IFERROR(__xludf.DUMMYFUNCTION("""COMPUTED_VALUE"""),"https://drive.google.com/drive/folders/10T2cTQHqEJZqE-st6uFKPoI?usp=share_link")</f>
        <v>https://drive.google.com/drive/folders/10T2cTQHqEJZqE-st6uFKPoI?usp=share_link</v>
      </c>
      <c r="P4639" s="6" t="str">
        <f>IFERROR(__xludf.DUMMYFUNCTION("""COMPUTED_VALUE"""),"Leonardo Beltre Escorza")</f>
        <v>Leonardo Beltre Escorza</v>
      </c>
      <c r="Q4639" s="6" t="str">
        <f>IFERROR(__xludf.DUMMYFUNCTION("""COMPUTED_VALUE"""),"MS")</f>
        <v>MS</v>
      </c>
      <c r="R4639" s="6">
        <f>IFERROR(__xludf.DUMMYFUNCTION("""COMPUTED_VALUE"""),0.0)</f>
        <v>0</v>
      </c>
      <c r="S4639" s="6" t="str">
        <f>IFERROR(__xludf.DUMMYFUNCTION("""COMPUTED_VALUE"""),"Kimberly Ball")</f>
        <v>Kimberly Ball</v>
      </c>
      <c r="T4639" s="6" t="str">
        <f>IFERROR(__xludf.DUMMYFUNCTION("""COMPUTED_VALUE"""),"kimberly.ball@studient.com")</f>
        <v>kimberly.ball@studient.com</v>
      </c>
      <c r="U4639" s="6" t="str">
        <f>IFERROR(__xludf.DUMMYFUNCTION("""COMPUTED_VALUE"""),"7")</f>
        <v>7</v>
      </c>
      <c r="V4639" s="6" t="str">
        <f>IFERROR(__xludf.DUMMYFUNCTION("""COMPUTED_VALUE"""),"")</f>
        <v/>
      </c>
      <c r="W4639" s="6" t="str">
        <f>IFERROR(__xludf.DUMMYFUNCTION("""COMPUTED_VALUE"""),"[]")</f>
        <v>[]</v>
      </c>
      <c r="X4639" s="6" t="str">
        <f>IFERROR(__xludf.DUMMYFUNCTION("""COMPUTED_VALUE"""),"Enrolled")</f>
        <v>Enrolled</v>
      </c>
    </row>
    <row r="4640">
      <c r="A4640" s="6" t="str">
        <f>IFERROR(__xludf.DUMMYFUNCTION("""COMPUTED_VALUE"""),"084-13002")</f>
        <v>084-13002</v>
      </c>
      <c r="B4640" s="6" t="str">
        <f>IFERROR(__xludf.DUMMYFUNCTION("""COMPUTED_VALUE"""),"84")</f>
        <v>84</v>
      </c>
      <c r="C4640" s="6" t="str">
        <f>IFERROR(__xludf.DUMMYFUNCTION("""COMPUTED_VALUE"""),"13002")</f>
        <v>13002</v>
      </c>
      <c r="D4640" s="6" t="str">
        <f>IFERROR(__xludf.DUMMYFUNCTION("""COMPUTED_VALUE"""),"Lisbeth Antonia")</f>
        <v>Lisbeth Antonia</v>
      </c>
      <c r="E4640" s="6" t="str">
        <f>IFERROR(__xludf.DUMMYFUNCTION("""COMPUTED_VALUE"""),"")</f>
        <v/>
      </c>
      <c r="F4640" s="6" t="str">
        <f>IFERROR(__xludf.DUMMYFUNCTION("""COMPUTED_VALUE"""),"Berduo Morales")</f>
        <v>Berduo Morales</v>
      </c>
      <c r="G4640" s="6" t="str">
        <f>IFERROR(__xludf.DUMMYFUNCTION("""COMPUTED_VALUE"""),"03/13/2013")</f>
        <v>03/13/2013</v>
      </c>
      <c r="H4640" s="6" t="str">
        <f>IFERROR(__xludf.DUMMYFUNCTION("""COMPUTED_VALUE"""),"female")</f>
        <v>female</v>
      </c>
      <c r="I4640" s="6" t="str">
        <f>IFERROR(__xludf.DUMMYFUNCTION("""COMPUTED_VALUE"""),"Middle School")</f>
        <v>Middle School</v>
      </c>
      <c r="J4640" s="6" t="str">
        <f>IFERROR(__xludf.DUMMYFUNCTION("""COMPUTED_VALUE"""),"7")</f>
        <v>7</v>
      </c>
      <c r="K4640" s="6" t="str">
        <f>IFERROR(__xludf.DUMMYFUNCTION("""COMPUTED_VALUE"""),"lisbethantonia.berduomorales@2hourlearning.com")</f>
        <v>lisbethantonia.berduomorales@2hourlearning.com</v>
      </c>
      <c r="L4640" s="6" t="str">
        <f>IFERROR(__xludf.DUMMYFUNCTION("""COMPUTED_VALUE"""),"JHMS - Hardeeville Junior Senior High School")</f>
        <v>JHMS - Hardeeville Junior Senior High School</v>
      </c>
      <c r="M4640" s="6" t="str">
        <f>IFERROR(__xludf.DUMMYFUNCTION("""COMPUTED_VALUE"""),"")</f>
        <v/>
      </c>
      <c r="N4640" s="6" t="str">
        <f>IFERROR(__xludf.DUMMYFUNCTION("""COMPUTED_VALUE"""),"")</f>
        <v/>
      </c>
      <c r="O4640" s="87" t="str">
        <f>IFERROR(__xludf.DUMMYFUNCTION("""COMPUTED_VALUE"""),"https://drive.google.com/drive/folders/10T2cTQHqEJZqE-st6uFKPoI?usp=share_link")</f>
        <v>https://drive.google.com/drive/folders/10T2cTQHqEJZqE-st6uFKPoI?usp=share_link</v>
      </c>
      <c r="P4640" s="6" t="str">
        <f>IFERROR(__xludf.DUMMYFUNCTION("""COMPUTED_VALUE"""),"Lisbeth Antonia Berduo Morales")</f>
        <v>Lisbeth Antonia Berduo Morales</v>
      </c>
      <c r="Q4640" s="6" t="str">
        <f>IFERROR(__xludf.DUMMYFUNCTION("""COMPUTED_VALUE"""),"MS")</f>
        <v>MS</v>
      </c>
      <c r="R4640" s="6">
        <f>IFERROR(__xludf.DUMMYFUNCTION("""COMPUTED_VALUE"""),0.0)</f>
        <v>0</v>
      </c>
      <c r="S4640" s="6" t="str">
        <f>IFERROR(__xludf.DUMMYFUNCTION("""COMPUTED_VALUE"""),"Kimberly Ball")</f>
        <v>Kimberly Ball</v>
      </c>
      <c r="T4640" s="6" t="str">
        <f>IFERROR(__xludf.DUMMYFUNCTION("""COMPUTED_VALUE"""),"kimberly.ball@studient.com")</f>
        <v>kimberly.ball@studient.com</v>
      </c>
      <c r="U4640" s="6" t="str">
        <f>IFERROR(__xludf.DUMMYFUNCTION("""COMPUTED_VALUE"""),"7")</f>
        <v>7</v>
      </c>
      <c r="V4640" s="6" t="str">
        <f>IFERROR(__xludf.DUMMYFUNCTION("""COMPUTED_VALUE"""),"")</f>
        <v/>
      </c>
      <c r="W4640" s="6" t="str">
        <f>IFERROR(__xludf.DUMMYFUNCTION("""COMPUTED_VALUE"""),"[]")</f>
        <v>[]</v>
      </c>
      <c r="X4640" s="6" t="str">
        <f>IFERROR(__xludf.DUMMYFUNCTION("""COMPUTED_VALUE"""),"Enrolled")</f>
        <v>Enrolled</v>
      </c>
    </row>
    <row r="4641">
      <c r="A4641" s="6" t="str">
        <f>IFERROR(__xludf.DUMMYFUNCTION("""COMPUTED_VALUE"""),"084-13003")</f>
        <v>084-13003</v>
      </c>
      <c r="B4641" s="6" t="str">
        <f>IFERROR(__xludf.DUMMYFUNCTION("""COMPUTED_VALUE"""),"84")</f>
        <v>84</v>
      </c>
      <c r="C4641" s="6" t="str">
        <f>IFERROR(__xludf.DUMMYFUNCTION("""COMPUTED_VALUE"""),"13003")</f>
        <v>13003</v>
      </c>
      <c r="D4641" s="6" t="str">
        <f>IFERROR(__xludf.DUMMYFUNCTION("""COMPUTED_VALUE"""),"Yasuri Reyna")</f>
        <v>Yasuri Reyna</v>
      </c>
      <c r="E4641" s="6" t="str">
        <f>IFERROR(__xludf.DUMMYFUNCTION("""COMPUTED_VALUE"""),"")</f>
        <v/>
      </c>
      <c r="F4641" s="6" t="str">
        <f>IFERROR(__xludf.DUMMYFUNCTION("""COMPUTED_VALUE"""),"Berduo Morales")</f>
        <v>Berduo Morales</v>
      </c>
      <c r="G4641" s="6" t="str">
        <f>IFERROR(__xludf.DUMMYFUNCTION("""COMPUTED_VALUE"""),"03/13/2013")</f>
        <v>03/13/2013</v>
      </c>
      <c r="H4641" s="6" t="str">
        <f>IFERROR(__xludf.DUMMYFUNCTION("""COMPUTED_VALUE"""),"female")</f>
        <v>female</v>
      </c>
      <c r="I4641" s="6" t="str">
        <f>IFERROR(__xludf.DUMMYFUNCTION("""COMPUTED_VALUE"""),"Middle School")</f>
        <v>Middle School</v>
      </c>
      <c r="J4641" s="6" t="str">
        <f>IFERROR(__xludf.DUMMYFUNCTION("""COMPUTED_VALUE"""),"7")</f>
        <v>7</v>
      </c>
      <c r="K4641" s="6" t="str">
        <f>IFERROR(__xludf.DUMMYFUNCTION("""COMPUTED_VALUE"""),"yasurireyna.berduomorales@2hourlearning.com")</f>
        <v>yasurireyna.berduomorales@2hourlearning.com</v>
      </c>
      <c r="L4641" s="6" t="str">
        <f>IFERROR(__xludf.DUMMYFUNCTION("""COMPUTED_VALUE"""),"JHMS - Hardeeville Junior Senior High School")</f>
        <v>JHMS - Hardeeville Junior Senior High School</v>
      </c>
      <c r="M4641" s="6" t="str">
        <f>IFERROR(__xludf.DUMMYFUNCTION("""COMPUTED_VALUE"""),"")</f>
        <v/>
      </c>
      <c r="N4641" s="6" t="str">
        <f>IFERROR(__xludf.DUMMYFUNCTION("""COMPUTED_VALUE"""),"")</f>
        <v/>
      </c>
      <c r="O4641" s="87" t="str">
        <f>IFERROR(__xludf.DUMMYFUNCTION("""COMPUTED_VALUE"""),"https://drive.google.com/drive/folders/10T2cTQHqEJZqE-st6uFKPoI?usp=share_link")</f>
        <v>https://drive.google.com/drive/folders/10T2cTQHqEJZqE-st6uFKPoI?usp=share_link</v>
      </c>
      <c r="P4641" s="6" t="str">
        <f>IFERROR(__xludf.DUMMYFUNCTION("""COMPUTED_VALUE"""),"Yasuri Reyna Berduo Morales")</f>
        <v>Yasuri Reyna Berduo Morales</v>
      </c>
      <c r="Q4641" s="6" t="str">
        <f>IFERROR(__xludf.DUMMYFUNCTION("""COMPUTED_VALUE"""),"MS")</f>
        <v>MS</v>
      </c>
      <c r="R4641" s="6">
        <f>IFERROR(__xludf.DUMMYFUNCTION("""COMPUTED_VALUE"""),0.0)</f>
        <v>0</v>
      </c>
      <c r="S4641" s="6" t="str">
        <f>IFERROR(__xludf.DUMMYFUNCTION("""COMPUTED_VALUE"""),"Kimberly Ball")</f>
        <v>Kimberly Ball</v>
      </c>
      <c r="T4641" s="6" t="str">
        <f>IFERROR(__xludf.DUMMYFUNCTION("""COMPUTED_VALUE"""),"kimberly.ball@studient.com")</f>
        <v>kimberly.ball@studient.com</v>
      </c>
      <c r="U4641" s="6" t="str">
        <f>IFERROR(__xludf.DUMMYFUNCTION("""COMPUTED_VALUE"""),"7")</f>
        <v>7</v>
      </c>
      <c r="V4641" s="6" t="str">
        <f>IFERROR(__xludf.DUMMYFUNCTION("""COMPUTED_VALUE"""),"")</f>
        <v/>
      </c>
      <c r="W4641" s="6" t="str">
        <f>IFERROR(__xludf.DUMMYFUNCTION("""COMPUTED_VALUE"""),"[]")</f>
        <v>[]</v>
      </c>
      <c r="X4641" s="6" t="str">
        <f>IFERROR(__xludf.DUMMYFUNCTION("""COMPUTED_VALUE"""),"Enrolled")</f>
        <v>Enrolled</v>
      </c>
    </row>
    <row r="4642">
      <c r="A4642" s="6" t="str">
        <f>IFERROR(__xludf.DUMMYFUNCTION("""COMPUTED_VALUE"""),"084-13004")</f>
        <v>084-13004</v>
      </c>
      <c r="B4642" s="6" t="str">
        <f>IFERROR(__xludf.DUMMYFUNCTION("""COMPUTED_VALUE"""),"84")</f>
        <v>84</v>
      </c>
      <c r="C4642" s="6" t="str">
        <f>IFERROR(__xludf.DUMMYFUNCTION("""COMPUTED_VALUE"""),"13004")</f>
        <v>13004</v>
      </c>
      <c r="D4642" s="6" t="str">
        <f>IFERROR(__xludf.DUMMYFUNCTION("""COMPUTED_VALUE"""),"Travayis")</f>
        <v>Travayis</v>
      </c>
      <c r="E4642" s="6" t="str">
        <f>IFERROR(__xludf.DUMMYFUNCTION("""COMPUTED_VALUE"""),"")</f>
        <v/>
      </c>
      <c r="F4642" s="6" t="str">
        <f>IFERROR(__xludf.DUMMYFUNCTION("""COMPUTED_VALUE"""),"Bransteitter")</f>
        <v>Bransteitter</v>
      </c>
      <c r="G4642" s="6" t="str">
        <f>IFERROR(__xludf.DUMMYFUNCTION("""COMPUTED_VALUE"""),"06/10/2012")</f>
        <v>06/10/2012</v>
      </c>
      <c r="H4642" s="6" t="str">
        <f>IFERROR(__xludf.DUMMYFUNCTION("""COMPUTED_VALUE"""),"male")</f>
        <v>male</v>
      </c>
      <c r="I4642" s="6" t="str">
        <f>IFERROR(__xludf.DUMMYFUNCTION("""COMPUTED_VALUE"""),"Middle School")</f>
        <v>Middle School</v>
      </c>
      <c r="J4642" s="6" t="str">
        <f>IFERROR(__xludf.DUMMYFUNCTION("""COMPUTED_VALUE"""),"7")</f>
        <v>7</v>
      </c>
      <c r="K4642" s="6" t="str">
        <f>IFERROR(__xludf.DUMMYFUNCTION("""COMPUTED_VALUE"""),"travayis.bransteitter@2hourlearning.com")</f>
        <v>travayis.bransteitter@2hourlearning.com</v>
      </c>
      <c r="L4642" s="6" t="str">
        <f>IFERROR(__xludf.DUMMYFUNCTION("""COMPUTED_VALUE"""),"JHMS - Hardeeville Junior Senior High School")</f>
        <v>JHMS - Hardeeville Junior Senior High School</v>
      </c>
      <c r="M4642" s="6" t="str">
        <f>IFERROR(__xludf.DUMMYFUNCTION("""COMPUTED_VALUE"""),"")</f>
        <v/>
      </c>
      <c r="N4642" s="6" t="str">
        <f>IFERROR(__xludf.DUMMYFUNCTION("""COMPUTED_VALUE"""),"")</f>
        <v/>
      </c>
      <c r="O4642" s="87" t="str">
        <f>IFERROR(__xludf.DUMMYFUNCTION("""COMPUTED_VALUE"""),"https://drive.google.com/drive/folders/10T2cTQHqEJZqE-st6uFKPoI?usp=share_link")</f>
        <v>https://drive.google.com/drive/folders/10T2cTQHqEJZqE-st6uFKPoI?usp=share_link</v>
      </c>
      <c r="P4642" s="6" t="str">
        <f>IFERROR(__xludf.DUMMYFUNCTION("""COMPUTED_VALUE"""),"Travayis Bransteitter")</f>
        <v>Travayis Bransteitter</v>
      </c>
      <c r="Q4642" s="6" t="str">
        <f>IFERROR(__xludf.DUMMYFUNCTION("""COMPUTED_VALUE"""),"MS")</f>
        <v>MS</v>
      </c>
      <c r="R4642" s="6">
        <f>IFERROR(__xludf.DUMMYFUNCTION("""COMPUTED_VALUE"""),0.0)</f>
        <v>0</v>
      </c>
      <c r="S4642" s="6" t="str">
        <f>IFERROR(__xludf.DUMMYFUNCTION("""COMPUTED_VALUE"""),"Kimberly Ball")</f>
        <v>Kimberly Ball</v>
      </c>
      <c r="T4642" s="6" t="str">
        <f>IFERROR(__xludf.DUMMYFUNCTION("""COMPUTED_VALUE"""),"kimberly.ball@studient.com")</f>
        <v>kimberly.ball@studient.com</v>
      </c>
      <c r="U4642" s="6" t="str">
        <f>IFERROR(__xludf.DUMMYFUNCTION("""COMPUTED_VALUE"""),"7")</f>
        <v>7</v>
      </c>
      <c r="V4642" s="6" t="str">
        <f>IFERROR(__xludf.DUMMYFUNCTION("""COMPUTED_VALUE"""),"")</f>
        <v/>
      </c>
      <c r="W4642" s="6" t="str">
        <f>IFERROR(__xludf.DUMMYFUNCTION("""COMPUTED_VALUE"""),"[]")</f>
        <v>[]</v>
      </c>
      <c r="X4642" s="6" t="str">
        <f>IFERROR(__xludf.DUMMYFUNCTION("""COMPUTED_VALUE"""),"Enrolled")</f>
        <v>Enrolled</v>
      </c>
    </row>
    <row r="4643">
      <c r="A4643" s="6" t="str">
        <f>IFERROR(__xludf.DUMMYFUNCTION("""COMPUTED_VALUE"""),"084-13005")</f>
        <v>084-13005</v>
      </c>
      <c r="B4643" s="6" t="str">
        <f>IFERROR(__xludf.DUMMYFUNCTION("""COMPUTED_VALUE"""),"84")</f>
        <v>84</v>
      </c>
      <c r="C4643" s="6" t="str">
        <f>IFERROR(__xludf.DUMMYFUNCTION("""COMPUTED_VALUE"""),"13005")</f>
        <v>13005</v>
      </c>
      <c r="D4643" s="6" t="str">
        <f>IFERROR(__xludf.DUMMYFUNCTION("""COMPUTED_VALUE"""),"Nevaeh")</f>
        <v>Nevaeh</v>
      </c>
      <c r="E4643" s="6" t="str">
        <f>IFERROR(__xludf.DUMMYFUNCTION("""COMPUTED_VALUE"""),"")</f>
        <v/>
      </c>
      <c r="F4643" s="6" t="str">
        <f>IFERROR(__xludf.DUMMYFUNCTION("""COMPUTED_VALUE"""),"Brewer")</f>
        <v>Brewer</v>
      </c>
      <c r="G4643" s="6" t="str">
        <f>IFERROR(__xludf.DUMMYFUNCTION("""COMPUTED_VALUE"""),"09/13/2012")</f>
        <v>09/13/2012</v>
      </c>
      <c r="H4643" s="6" t="str">
        <f>IFERROR(__xludf.DUMMYFUNCTION("""COMPUTED_VALUE"""),"female")</f>
        <v>female</v>
      </c>
      <c r="I4643" s="6" t="str">
        <f>IFERROR(__xludf.DUMMYFUNCTION("""COMPUTED_VALUE"""),"Middle School")</f>
        <v>Middle School</v>
      </c>
      <c r="J4643" s="6" t="str">
        <f>IFERROR(__xludf.DUMMYFUNCTION("""COMPUTED_VALUE"""),"7")</f>
        <v>7</v>
      </c>
      <c r="K4643" s="6" t="str">
        <f>IFERROR(__xludf.DUMMYFUNCTION("""COMPUTED_VALUE"""),"nevaeh.brewer@2hourlearning.com")</f>
        <v>nevaeh.brewer@2hourlearning.com</v>
      </c>
      <c r="L4643" s="6" t="str">
        <f>IFERROR(__xludf.DUMMYFUNCTION("""COMPUTED_VALUE"""),"JHMS - Hardeeville Junior Senior High School")</f>
        <v>JHMS - Hardeeville Junior Senior High School</v>
      </c>
      <c r="M4643" s="6" t="str">
        <f>IFERROR(__xludf.DUMMYFUNCTION("""COMPUTED_VALUE"""),"")</f>
        <v/>
      </c>
      <c r="N4643" s="6" t="str">
        <f>IFERROR(__xludf.DUMMYFUNCTION("""COMPUTED_VALUE"""),"")</f>
        <v/>
      </c>
      <c r="O4643" s="87" t="str">
        <f>IFERROR(__xludf.DUMMYFUNCTION("""COMPUTED_VALUE"""),"https://drive.google.com/drive/folders/10T2cTQHqEJZqE-st6uFKPoI?usp=share_link")</f>
        <v>https://drive.google.com/drive/folders/10T2cTQHqEJZqE-st6uFKPoI?usp=share_link</v>
      </c>
      <c r="P4643" s="6" t="str">
        <f>IFERROR(__xludf.DUMMYFUNCTION("""COMPUTED_VALUE"""),"Nevaeh Brewer")</f>
        <v>Nevaeh Brewer</v>
      </c>
      <c r="Q4643" s="6" t="str">
        <f>IFERROR(__xludf.DUMMYFUNCTION("""COMPUTED_VALUE"""),"MS")</f>
        <v>MS</v>
      </c>
      <c r="R4643" s="6">
        <f>IFERROR(__xludf.DUMMYFUNCTION("""COMPUTED_VALUE"""),0.0)</f>
        <v>0</v>
      </c>
      <c r="S4643" s="6" t="str">
        <f>IFERROR(__xludf.DUMMYFUNCTION("""COMPUTED_VALUE"""),"Kimberly Ball")</f>
        <v>Kimberly Ball</v>
      </c>
      <c r="T4643" s="6" t="str">
        <f>IFERROR(__xludf.DUMMYFUNCTION("""COMPUTED_VALUE"""),"kimberly.ball@studient.com")</f>
        <v>kimberly.ball@studient.com</v>
      </c>
      <c r="U4643" s="6" t="str">
        <f>IFERROR(__xludf.DUMMYFUNCTION("""COMPUTED_VALUE"""),"7")</f>
        <v>7</v>
      </c>
      <c r="V4643" s="6" t="str">
        <f>IFERROR(__xludf.DUMMYFUNCTION("""COMPUTED_VALUE"""),"")</f>
        <v/>
      </c>
      <c r="W4643" s="6" t="str">
        <f>IFERROR(__xludf.DUMMYFUNCTION("""COMPUTED_VALUE"""),"[]")</f>
        <v>[]</v>
      </c>
      <c r="X4643" s="6" t="str">
        <f>IFERROR(__xludf.DUMMYFUNCTION("""COMPUTED_VALUE"""),"Enrolled")</f>
        <v>Enrolled</v>
      </c>
    </row>
    <row r="4644">
      <c r="A4644" s="6" t="str">
        <f>IFERROR(__xludf.DUMMYFUNCTION("""COMPUTED_VALUE"""),"084-13006")</f>
        <v>084-13006</v>
      </c>
      <c r="B4644" s="6" t="str">
        <f>IFERROR(__xludf.DUMMYFUNCTION("""COMPUTED_VALUE"""),"84")</f>
        <v>84</v>
      </c>
      <c r="C4644" s="6" t="str">
        <f>IFERROR(__xludf.DUMMYFUNCTION("""COMPUTED_VALUE"""),"13006")</f>
        <v>13006</v>
      </c>
      <c r="D4644" s="6" t="str">
        <f>IFERROR(__xludf.DUMMYFUNCTION("""COMPUTED_VALUE"""),"King")</f>
        <v>King</v>
      </c>
      <c r="E4644" s="6" t="str">
        <f>IFERROR(__xludf.DUMMYFUNCTION("""COMPUTED_VALUE"""),"")</f>
        <v/>
      </c>
      <c r="F4644" s="6" t="str">
        <f>IFERROR(__xludf.DUMMYFUNCTION("""COMPUTED_VALUE"""),"Brown")</f>
        <v>Brown</v>
      </c>
      <c r="G4644" s="6" t="str">
        <f>IFERROR(__xludf.DUMMYFUNCTION("""COMPUTED_VALUE"""),"10/03/2012")</f>
        <v>10/03/2012</v>
      </c>
      <c r="H4644" s="6" t="str">
        <f>IFERROR(__xludf.DUMMYFUNCTION("""COMPUTED_VALUE"""),"male")</f>
        <v>male</v>
      </c>
      <c r="I4644" s="6" t="str">
        <f>IFERROR(__xludf.DUMMYFUNCTION("""COMPUTED_VALUE"""),"Middle School")</f>
        <v>Middle School</v>
      </c>
      <c r="J4644" s="6" t="str">
        <f>IFERROR(__xludf.DUMMYFUNCTION("""COMPUTED_VALUE"""),"7")</f>
        <v>7</v>
      </c>
      <c r="K4644" s="6" t="str">
        <f>IFERROR(__xludf.DUMMYFUNCTION("""COMPUTED_VALUE"""),"king.brown@2hourlearning.com")</f>
        <v>king.brown@2hourlearning.com</v>
      </c>
      <c r="L4644" s="6" t="str">
        <f>IFERROR(__xludf.DUMMYFUNCTION("""COMPUTED_VALUE"""),"JHMS - Hardeeville Junior Senior High School")</f>
        <v>JHMS - Hardeeville Junior Senior High School</v>
      </c>
      <c r="M4644" s="6" t="str">
        <f>IFERROR(__xludf.DUMMYFUNCTION("""COMPUTED_VALUE"""),"")</f>
        <v/>
      </c>
      <c r="N4644" s="6" t="str">
        <f>IFERROR(__xludf.DUMMYFUNCTION("""COMPUTED_VALUE"""),"")</f>
        <v/>
      </c>
      <c r="O4644" s="87" t="str">
        <f>IFERROR(__xludf.DUMMYFUNCTION("""COMPUTED_VALUE"""),"https://drive.google.com/drive/folders/10T2cTQHqEJZqE-st6uFKPoI?usp=share_link")</f>
        <v>https://drive.google.com/drive/folders/10T2cTQHqEJZqE-st6uFKPoI?usp=share_link</v>
      </c>
      <c r="P4644" s="6" t="str">
        <f>IFERROR(__xludf.DUMMYFUNCTION("""COMPUTED_VALUE"""),"King Brown")</f>
        <v>King Brown</v>
      </c>
      <c r="Q4644" s="6" t="str">
        <f>IFERROR(__xludf.DUMMYFUNCTION("""COMPUTED_VALUE"""),"MS")</f>
        <v>MS</v>
      </c>
      <c r="R4644" s="6">
        <f>IFERROR(__xludf.DUMMYFUNCTION("""COMPUTED_VALUE"""),0.0)</f>
        <v>0</v>
      </c>
      <c r="S4644" s="6" t="str">
        <f>IFERROR(__xludf.DUMMYFUNCTION("""COMPUTED_VALUE"""),"Kimberly Ball")</f>
        <v>Kimberly Ball</v>
      </c>
      <c r="T4644" s="6" t="str">
        <f>IFERROR(__xludf.DUMMYFUNCTION("""COMPUTED_VALUE"""),"kimberly.ball@studient.com")</f>
        <v>kimberly.ball@studient.com</v>
      </c>
      <c r="U4644" s="6" t="str">
        <f>IFERROR(__xludf.DUMMYFUNCTION("""COMPUTED_VALUE"""),"7")</f>
        <v>7</v>
      </c>
      <c r="V4644" s="6" t="str">
        <f>IFERROR(__xludf.DUMMYFUNCTION("""COMPUTED_VALUE"""),"")</f>
        <v/>
      </c>
      <c r="W4644" s="6" t="str">
        <f>IFERROR(__xludf.DUMMYFUNCTION("""COMPUTED_VALUE"""),"[]")</f>
        <v>[]</v>
      </c>
      <c r="X4644" s="6" t="str">
        <f>IFERROR(__xludf.DUMMYFUNCTION("""COMPUTED_VALUE"""),"Enrolled")</f>
        <v>Enrolled</v>
      </c>
    </row>
    <row r="4645">
      <c r="A4645" s="6" t="str">
        <f>IFERROR(__xludf.DUMMYFUNCTION("""COMPUTED_VALUE"""),"084-13007")</f>
        <v>084-13007</v>
      </c>
      <c r="B4645" s="6" t="str">
        <f>IFERROR(__xludf.DUMMYFUNCTION("""COMPUTED_VALUE"""),"84")</f>
        <v>84</v>
      </c>
      <c r="C4645" s="6" t="str">
        <f>IFERROR(__xludf.DUMMYFUNCTION("""COMPUTED_VALUE"""),"13007")</f>
        <v>13007</v>
      </c>
      <c r="D4645" s="6" t="str">
        <f>IFERROR(__xludf.DUMMYFUNCTION("""COMPUTED_VALUE"""),"Michael")</f>
        <v>Michael</v>
      </c>
      <c r="E4645" s="6" t="str">
        <f>IFERROR(__xludf.DUMMYFUNCTION("""COMPUTED_VALUE"""),"")</f>
        <v/>
      </c>
      <c r="F4645" s="6" t="str">
        <f>IFERROR(__xludf.DUMMYFUNCTION("""COMPUTED_VALUE"""),"Callejas Ramirez")</f>
        <v>Callejas Ramirez</v>
      </c>
      <c r="G4645" s="6" t="str">
        <f>IFERROR(__xludf.DUMMYFUNCTION("""COMPUTED_VALUE"""),"03/07/2013")</f>
        <v>03/07/2013</v>
      </c>
      <c r="H4645" s="6" t="str">
        <f>IFERROR(__xludf.DUMMYFUNCTION("""COMPUTED_VALUE"""),"male")</f>
        <v>male</v>
      </c>
      <c r="I4645" s="6" t="str">
        <f>IFERROR(__xludf.DUMMYFUNCTION("""COMPUTED_VALUE"""),"Middle School")</f>
        <v>Middle School</v>
      </c>
      <c r="J4645" s="6" t="str">
        <f>IFERROR(__xludf.DUMMYFUNCTION("""COMPUTED_VALUE"""),"7")</f>
        <v>7</v>
      </c>
      <c r="K4645" s="6" t="str">
        <f>IFERROR(__xludf.DUMMYFUNCTION("""COMPUTED_VALUE"""),"michael.callejasramirez@2hourlearning.com")</f>
        <v>michael.callejasramirez@2hourlearning.com</v>
      </c>
      <c r="L4645" s="6" t="str">
        <f>IFERROR(__xludf.DUMMYFUNCTION("""COMPUTED_VALUE"""),"JHMS - Hardeeville Junior Senior High School")</f>
        <v>JHMS - Hardeeville Junior Senior High School</v>
      </c>
      <c r="M4645" s="6" t="str">
        <f>IFERROR(__xludf.DUMMYFUNCTION("""COMPUTED_VALUE"""),"")</f>
        <v/>
      </c>
      <c r="N4645" s="6" t="str">
        <f>IFERROR(__xludf.DUMMYFUNCTION("""COMPUTED_VALUE"""),"")</f>
        <v/>
      </c>
      <c r="O4645" s="87" t="str">
        <f>IFERROR(__xludf.DUMMYFUNCTION("""COMPUTED_VALUE"""),"https://drive.google.com/drive/folders/10T2cTQHqEJZqE-st6uFKPoI?usp=share_link")</f>
        <v>https://drive.google.com/drive/folders/10T2cTQHqEJZqE-st6uFKPoI?usp=share_link</v>
      </c>
      <c r="P4645" s="6" t="str">
        <f>IFERROR(__xludf.DUMMYFUNCTION("""COMPUTED_VALUE"""),"Michael Callejas Ramirez")</f>
        <v>Michael Callejas Ramirez</v>
      </c>
      <c r="Q4645" s="6" t="str">
        <f>IFERROR(__xludf.DUMMYFUNCTION("""COMPUTED_VALUE"""),"MS")</f>
        <v>MS</v>
      </c>
      <c r="R4645" s="6">
        <f>IFERROR(__xludf.DUMMYFUNCTION("""COMPUTED_VALUE"""),0.0)</f>
        <v>0</v>
      </c>
      <c r="S4645" s="6" t="str">
        <f>IFERROR(__xludf.DUMMYFUNCTION("""COMPUTED_VALUE"""),"Kimberly Ball")</f>
        <v>Kimberly Ball</v>
      </c>
      <c r="T4645" s="6" t="str">
        <f>IFERROR(__xludf.DUMMYFUNCTION("""COMPUTED_VALUE"""),"kimberly.ball@studient.com")</f>
        <v>kimberly.ball@studient.com</v>
      </c>
      <c r="U4645" s="6" t="str">
        <f>IFERROR(__xludf.DUMMYFUNCTION("""COMPUTED_VALUE"""),"7")</f>
        <v>7</v>
      </c>
      <c r="V4645" s="6" t="str">
        <f>IFERROR(__xludf.DUMMYFUNCTION("""COMPUTED_VALUE"""),"")</f>
        <v/>
      </c>
      <c r="W4645" s="6" t="str">
        <f>IFERROR(__xludf.DUMMYFUNCTION("""COMPUTED_VALUE"""),"[]")</f>
        <v>[]</v>
      </c>
      <c r="X4645" s="6" t="str">
        <f>IFERROR(__xludf.DUMMYFUNCTION("""COMPUTED_VALUE"""),"Enrolled")</f>
        <v>Enrolled</v>
      </c>
    </row>
    <row r="4646">
      <c r="A4646" s="6" t="str">
        <f>IFERROR(__xludf.DUMMYFUNCTION("""COMPUTED_VALUE"""),"084-13008")</f>
        <v>084-13008</v>
      </c>
      <c r="B4646" s="6" t="str">
        <f>IFERROR(__xludf.DUMMYFUNCTION("""COMPUTED_VALUE"""),"84")</f>
        <v>84</v>
      </c>
      <c r="C4646" s="6" t="str">
        <f>IFERROR(__xludf.DUMMYFUNCTION("""COMPUTED_VALUE"""),"13008")</f>
        <v>13008</v>
      </c>
      <c r="D4646" s="6" t="str">
        <f>IFERROR(__xludf.DUMMYFUNCTION("""COMPUTED_VALUE"""),"Gadiel")</f>
        <v>Gadiel</v>
      </c>
      <c r="E4646" s="6" t="str">
        <f>IFERROR(__xludf.DUMMYFUNCTION("""COMPUTED_VALUE"""),"")</f>
        <v/>
      </c>
      <c r="F4646" s="6" t="str">
        <f>IFERROR(__xludf.DUMMYFUNCTION("""COMPUTED_VALUE"""),"Camacho Benitez")</f>
        <v>Camacho Benitez</v>
      </c>
      <c r="G4646" s="6" t="str">
        <f>IFERROR(__xludf.DUMMYFUNCTION("""COMPUTED_VALUE"""),"07/16/2013")</f>
        <v>07/16/2013</v>
      </c>
      <c r="H4646" s="6" t="str">
        <f>IFERROR(__xludf.DUMMYFUNCTION("""COMPUTED_VALUE"""),"male")</f>
        <v>male</v>
      </c>
      <c r="I4646" s="6" t="str">
        <f>IFERROR(__xludf.DUMMYFUNCTION("""COMPUTED_VALUE"""),"Middle School")</f>
        <v>Middle School</v>
      </c>
      <c r="J4646" s="6" t="str">
        <f>IFERROR(__xludf.DUMMYFUNCTION("""COMPUTED_VALUE"""),"7")</f>
        <v>7</v>
      </c>
      <c r="K4646" s="6" t="str">
        <f>IFERROR(__xludf.DUMMYFUNCTION("""COMPUTED_VALUE"""),"gadiel.camachobenitez@2hourlearning.com")</f>
        <v>gadiel.camachobenitez@2hourlearning.com</v>
      </c>
      <c r="L4646" s="6" t="str">
        <f>IFERROR(__xludf.DUMMYFUNCTION("""COMPUTED_VALUE"""),"JHMS - Hardeeville Junior Senior High School")</f>
        <v>JHMS - Hardeeville Junior Senior High School</v>
      </c>
      <c r="M4646" s="6" t="str">
        <f>IFERROR(__xludf.DUMMYFUNCTION("""COMPUTED_VALUE"""),"")</f>
        <v/>
      </c>
      <c r="N4646" s="6" t="str">
        <f>IFERROR(__xludf.DUMMYFUNCTION("""COMPUTED_VALUE"""),"")</f>
        <v/>
      </c>
      <c r="O4646" s="87" t="str">
        <f>IFERROR(__xludf.DUMMYFUNCTION("""COMPUTED_VALUE"""),"https://drive.google.com/drive/folders/10T2cTQHqEJZqE-st6uFKPoI?usp=share_link")</f>
        <v>https://drive.google.com/drive/folders/10T2cTQHqEJZqE-st6uFKPoI?usp=share_link</v>
      </c>
      <c r="P4646" s="6" t="str">
        <f>IFERROR(__xludf.DUMMYFUNCTION("""COMPUTED_VALUE"""),"Gadiel Camacho Benitez")</f>
        <v>Gadiel Camacho Benitez</v>
      </c>
      <c r="Q4646" s="6" t="str">
        <f>IFERROR(__xludf.DUMMYFUNCTION("""COMPUTED_VALUE"""),"MS")</f>
        <v>MS</v>
      </c>
      <c r="R4646" s="6">
        <f>IFERROR(__xludf.DUMMYFUNCTION("""COMPUTED_VALUE"""),0.0)</f>
        <v>0</v>
      </c>
      <c r="S4646" s="6" t="str">
        <f>IFERROR(__xludf.DUMMYFUNCTION("""COMPUTED_VALUE"""),"Kimberly Ball")</f>
        <v>Kimberly Ball</v>
      </c>
      <c r="T4646" s="6" t="str">
        <f>IFERROR(__xludf.DUMMYFUNCTION("""COMPUTED_VALUE"""),"kimberly.ball@studient.com")</f>
        <v>kimberly.ball@studient.com</v>
      </c>
      <c r="U4646" s="6" t="str">
        <f>IFERROR(__xludf.DUMMYFUNCTION("""COMPUTED_VALUE"""),"7")</f>
        <v>7</v>
      </c>
      <c r="V4646" s="6" t="str">
        <f>IFERROR(__xludf.DUMMYFUNCTION("""COMPUTED_VALUE"""),"")</f>
        <v/>
      </c>
      <c r="W4646" s="6" t="str">
        <f>IFERROR(__xludf.DUMMYFUNCTION("""COMPUTED_VALUE"""),"[]")</f>
        <v>[]</v>
      </c>
      <c r="X4646" s="6" t="str">
        <f>IFERROR(__xludf.DUMMYFUNCTION("""COMPUTED_VALUE"""),"Enrolled")</f>
        <v>Enrolled</v>
      </c>
    </row>
    <row r="4647">
      <c r="A4647" s="6" t="str">
        <f>IFERROR(__xludf.DUMMYFUNCTION("""COMPUTED_VALUE"""),"084-13009")</f>
        <v>084-13009</v>
      </c>
      <c r="B4647" s="6" t="str">
        <f>IFERROR(__xludf.DUMMYFUNCTION("""COMPUTED_VALUE"""),"84")</f>
        <v>84</v>
      </c>
      <c r="C4647" s="6" t="str">
        <f>IFERROR(__xludf.DUMMYFUNCTION("""COMPUTED_VALUE"""),"13009")</f>
        <v>13009</v>
      </c>
      <c r="D4647" s="6" t="str">
        <f>IFERROR(__xludf.DUMMYFUNCTION("""COMPUTED_VALUE"""),"Medalin")</f>
        <v>Medalin</v>
      </c>
      <c r="E4647" s="6" t="str">
        <f>IFERROR(__xludf.DUMMYFUNCTION("""COMPUTED_VALUE"""),"")</f>
        <v/>
      </c>
      <c r="F4647" s="6" t="str">
        <f>IFERROR(__xludf.DUMMYFUNCTION("""COMPUTED_VALUE"""),"Cano Alvarado")</f>
        <v>Cano Alvarado</v>
      </c>
      <c r="G4647" s="6" t="str">
        <f>IFERROR(__xludf.DUMMYFUNCTION("""COMPUTED_VALUE"""),"10/25/2011")</f>
        <v>10/25/2011</v>
      </c>
      <c r="H4647" s="6" t="str">
        <f>IFERROR(__xludf.DUMMYFUNCTION("""COMPUTED_VALUE"""),"female")</f>
        <v>female</v>
      </c>
      <c r="I4647" s="6" t="str">
        <f>IFERROR(__xludf.DUMMYFUNCTION("""COMPUTED_VALUE"""),"Middle School")</f>
        <v>Middle School</v>
      </c>
      <c r="J4647" s="6" t="str">
        <f>IFERROR(__xludf.DUMMYFUNCTION("""COMPUTED_VALUE"""),"7")</f>
        <v>7</v>
      </c>
      <c r="K4647" s="6" t="str">
        <f>IFERROR(__xludf.DUMMYFUNCTION("""COMPUTED_VALUE"""),"medalin.canoalvarado@2hourlearning.com")</f>
        <v>medalin.canoalvarado@2hourlearning.com</v>
      </c>
      <c r="L4647" s="6" t="str">
        <f>IFERROR(__xludf.DUMMYFUNCTION("""COMPUTED_VALUE"""),"JHMS - Hardeeville Junior Senior High School")</f>
        <v>JHMS - Hardeeville Junior Senior High School</v>
      </c>
      <c r="M4647" s="6" t="str">
        <f>IFERROR(__xludf.DUMMYFUNCTION("""COMPUTED_VALUE"""),"")</f>
        <v/>
      </c>
      <c r="N4647" s="6" t="str">
        <f>IFERROR(__xludf.DUMMYFUNCTION("""COMPUTED_VALUE"""),"")</f>
        <v/>
      </c>
      <c r="O4647" s="87" t="str">
        <f>IFERROR(__xludf.DUMMYFUNCTION("""COMPUTED_VALUE"""),"https://drive.google.com/drive/folders/10T2cTQHqEJZqE-st6uFKPoI?usp=share_link")</f>
        <v>https://drive.google.com/drive/folders/10T2cTQHqEJZqE-st6uFKPoI?usp=share_link</v>
      </c>
      <c r="P4647" s="6" t="str">
        <f>IFERROR(__xludf.DUMMYFUNCTION("""COMPUTED_VALUE"""),"Medalin Cano Alvarado")</f>
        <v>Medalin Cano Alvarado</v>
      </c>
      <c r="Q4647" s="6" t="str">
        <f>IFERROR(__xludf.DUMMYFUNCTION("""COMPUTED_VALUE"""),"MS")</f>
        <v>MS</v>
      </c>
      <c r="R4647" s="6">
        <f>IFERROR(__xludf.DUMMYFUNCTION("""COMPUTED_VALUE"""),0.0)</f>
        <v>0</v>
      </c>
      <c r="S4647" s="6" t="str">
        <f>IFERROR(__xludf.DUMMYFUNCTION("""COMPUTED_VALUE"""),"Kimberly Ball")</f>
        <v>Kimberly Ball</v>
      </c>
      <c r="T4647" s="6" t="str">
        <f>IFERROR(__xludf.DUMMYFUNCTION("""COMPUTED_VALUE"""),"kimberly.ball@studient.com")</f>
        <v>kimberly.ball@studient.com</v>
      </c>
      <c r="U4647" s="6" t="str">
        <f>IFERROR(__xludf.DUMMYFUNCTION("""COMPUTED_VALUE"""),"7")</f>
        <v>7</v>
      </c>
      <c r="V4647" s="6" t="str">
        <f>IFERROR(__xludf.DUMMYFUNCTION("""COMPUTED_VALUE"""),"")</f>
        <v/>
      </c>
      <c r="W4647" s="6" t="str">
        <f>IFERROR(__xludf.DUMMYFUNCTION("""COMPUTED_VALUE"""),"[]")</f>
        <v>[]</v>
      </c>
      <c r="X4647" s="6" t="str">
        <f>IFERROR(__xludf.DUMMYFUNCTION("""COMPUTED_VALUE"""),"Enrolled")</f>
        <v>Enrolled</v>
      </c>
    </row>
    <row r="4648">
      <c r="A4648" s="6" t="str">
        <f>IFERROR(__xludf.DUMMYFUNCTION("""COMPUTED_VALUE"""),"084-13010")</f>
        <v>084-13010</v>
      </c>
      <c r="B4648" s="6" t="str">
        <f>IFERROR(__xludf.DUMMYFUNCTION("""COMPUTED_VALUE"""),"84")</f>
        <v>84</v>
      </c>
      <c r="C4648" s="6" t="str">
        <f>IFERROR(__xludf.DUMMYFUNCTION("""COMPUTED_VALUE"""),"13010")</f>
        <v>13010</v>
      </c>
      <c r="D4648" s="6" t="str">
        <f>IFERROR(__xludf.DUMMYFUNCTION("""COMPUTED_VALUE"""),"Sara C")</f>
        <v>Sara C</v>
      </c>
      <c r="E4648" s="6" t="str">
        <f>IFERROR(__xludf.DUMMYFUNCTION("""COMPUTED_VALUE"""),"")</f>
        <v/>
      </c>
      <c r="F4648" s="6" t="str">
        <f>IFERROR(__xludf.DUMMYFUNCTION("""COMPUTED_VALUE"""),"Cano Chaux")</f>
        <v>Cano Chaux</v>
      </c>
      <c r="G4648" s="6" t="str">
        <f>IFERROR(__xludf.DUMMYFUNCTION("""COMPUTED_VALUE"""),"03/18/2014")</f>
        <v>03/18/2014</v>
      </c>
      <c r="H4648" s="6" t="str">
        <f>IFERROR(__xludf.DUMMYFUNCTION("""COMPUTED_VALUE"""),"female")</f>
        <v>female</v>
      </c>
      <c r="I4648" s="6" t="str">
        <f>IFERROR(__xludf.DUMMYFUNCTION("""COMPUTED_VALUE"""),"Middle School")</f>
        <v>Middle School</v>
      </c>
      <c r="J4648" s="6" t="str">
        <f>IFERROR(__xludf.DUMMYFUNCTION("""COMPUTED_VALUE"""),"7")</f>
        <v>7</v>
      </c>
      <c r="K4648" s="6" t="str">
        <f>IFERROR(__xludf.DUMMYFUNCTION("""COMPUTED_VALUE"""),"sarac.canochaux@2hourlearning.com")</f>
        <v>sarac.canochaux@2hourlearning.com</v>
      </c>
      <c r="L4648" s="6" t="str">
        <f>IFERROR(__xludf.DUMMYFUNCTION("""COMPUTED_VALUE"""),"JHMS - Hardeeville Junior Senior High School")</f>
        <v>JHMS - Hardeeville Junior Senior High School</v>
      </c>
      <c r="M4648" s="6" t="str">
        <f>IFERROR(__xludf.DUMMYFUNCTION("""COMPUTED_VALUE"""),"")</f>
        <v/>
      </c>
      <c r="N4648" s="6" t="str">
        <f>IFERROR(__xludf.DUMMYFUNCTION("""COMPUTED_VALUE"""),"")</f>
        <v/>
      </c>
      <c r="O4648" s="87" t="str">
        <f>IFERROR(__xludf.DUMMYFUNCTION("""COMPUTED_VALUE"""),"https://drive.google.com/drive/folders/10T2cTQHqEJZqE-st6uFKPoI?usp=share_link")</f>
        <v>https://drive.google.com/drive/folders/10T2cTQHqEJZqE-st6uFKPoI?usp=share_link</v>
      </c>
      <c r="P4648" s="6" t="str">
        <f>IFERROR(__xludf.DUMMYFUNCTION("""COMPUTED_VALUE"""),"Sara C Cano Chaux")</f>
        <v>Sara C Cano Chaux</v>
      </c>
      <c r="Q4648" s="6" t="str">
        <f>IFERROR(__xludf.DUMMYFUNCTION("""COMPUTED_VALUE"""),"MS")</f>
        <v>MS</v>
      </c>
      <c r="R4648" s="6">
        <f>IFERROR(__xludf.DUMMYFUNCTION("""COMPUTED_VALUE"""),0.0)</f>
        <v>0</v>
      </c>
      <c r="S4648" s="6" t="str">
        <f>IFERROR(__xludf.DUMMYFUNCTION("""COMPUTED_VALUE"""),"Kimberly Ball")</f>
        <v>Kimberly Ball</v>
      </c>
      <c r="T4648" s="6" t="str">
        <f>IFERROR(__xludf.DUMMYFUNCTION("""COMPUTED_VALUE"""),"kimberly.ball@studient.com")</f>
        <v>kimberly.ball@studient.com</v>
      </c>
      <c r="U4648" s="6" t="str">
        <f>IFERROR(__xludf.DUMMYFUNCTION("""COMPUTED_VALUE"""),"7")</f>
        <v>7</v>
      </c>
      <c r="V4648" s="6" t="str">
        <f>IFERROR(__xludf.DUMMYFUNCTION("""COMPUTED_VALUE"""),"")</f>
        <v/>
      </c>
      <c r="W4648" s="6" t="str">
        <f>IFERROR(__xludf.DUMMYFUNCTION("""COMPUTED_VALUE"""),"[]")</f>
        <v>[]</v>
      </c>
      <c r="X4648" s="6" t="str">
        <f>IFERROR(__xludf.DUMMYFUNCTION("""COMPUTED_VALUE"""),"Enrolled")</f>
        <v>Enrolled</v>
      </c>
    </row>
    <row r="4649">
      <c r="A4649" s="6" t="str">
        <f>IFERROR(__xludf.DUMMYFUNCTION("""COMPUTED_VALUE"""),"084-13011")</f>
        <v>084-13011</v>
      </c>
      <c r="B4649" s="6" t="str">
        <f>IFERROR(__xludf.DUMMYFUNCTION("""COMPUTED_VALUE"""),"84")</f>
        <v>84</v>
      </c>
      <c r="C4649" s="6" t="str">
        <f>IFERROR(__xludf.DUMMYFUNCTION("""COMPUTED_VALUE"""),"13011")</f>
        <v>13011</v>
      </c>
      <c r="D4649" s="6" t="str">
        <f>IFERROR(__xludf.DUMMYFUNCTION("""COMPUTED_VALUE"""),"Sofia")</f>
        <v>Sofia</v>
      </c>
      <c r="E4649" s="6" t="str">
        <f>IFERROR(__xludf.DUMMYFUNCTION("""COMPUTED_VALUE"""),"")</f>
        <v/>
      </c>
      <c r="F4649" s="6" t="str">
        <f>IFERROR(__xludf.DUMMYFUNCTION("""COMPUTED_VALUE"""),"Carcamo Rodriguez")</f>
        <v>Carcamo Rodriguez</v>
      </c>
      <c r="G4649" s="6" t="str">
        <f>IFERROR(__xludf.DUMMYFUNCTION("""COMPUTED_VALUE"""),"11/24/2012")</f>
        <v>11/24/2012</v>
      </c>
      <c r="H4649" s="6" t="str">
        <f>IFERROR(__xludf.DUMMYFUNCTION("""COMPUTED_VALUE"""),"female")</f>
        <v>female</v>
      </c>
      <c r="I4649" s="6" t="str">
        <f>IFERROR(__xludf.DUMMYFUNCTION("""COMPUTED_VALUE"""),"Middle School")</f>
        <v>Middle School</v>
      </c>
      <c r="J4649" s="6" t="str">
        <f>IFERROR(__xludf.DUMMYFUNCTION("""COMPUTED_VALUE"""),"7")</f>
        <v>7</v>
      </c>
      <c r="K4649" s="6" t="str">
        <f>IFERROR(__xludf.DUMMYFUNCTION("""COMPUTED_VALUE"""),"sofia.carcamorodriguez@2hourlearning.com")</f>
        <v>sofia.carcamorodriguez@2hourlearning.com</v>
      </c>
      <c r="L4649" s="6" t="str">
        <f>IFERROR(__xludf.DUMMYFUNCTION("""COMPUTED_VALUE"""),"JHMS - Hardeeville Junior Senior High School")</f>
        <v>JHMS - Hardeeville Junior Senior High School</v>
      </c>
      <c r="M4649" s="6" t="str">
        <f>IFERROR(__xludf.DUMMYFUNCTION("""COMPUTED_VALUE"""),"")</f>
        <v/>
      </c>
      <c r="N4649" s="6" t="str">
        <f>IFERROR(__xludf.DUMMYFUNCTION("""COMPUTED_VALUE"""),"")</f>
        <v/>
      </c>
      <c r="O4649" s="87" t="str">
        <f>IFERROR(__xludf.DUMMYFUNCTION("""COMPUTED_VALUE"""),"https://drive.google.com/drive/folders/10T2cTQHqEJZqE-st6uFKPoI?usp=share_link")</f>
        <v>https://drive.google.com/drive/folders/10T2cTQHqEJZqE-st6uFKPoI?usp=share_link</v>
      </c>
      <c r="P4649" s="6" t="str">
        <f>IFERROR(__xludf.DUMMYFUNCTION("""COMPUTED_VALUE"""),"Sofia Carcamo Rodriguez")</f>
        <v>Sofia Carcamo Rodriguez</v>
      </c>
      <c r="Q4649" s="6" t="str">
        <f>IFERROR(__xludf.DUMMYFUNCTION("""COMPUTED_VALUE"""),"MS")</f>
        <v>MS</v>
      </c>
      <c r="R4649" s="6">
        <f>IFERROR(__xludf.DUMMYFUNCTION("""COMPUTED_VALUE"""),0.0)</f>
        <v>0</v>
      </c>
      <c r="S4649" s="6" t="str">
        <f>IFERROR(__xludf.DUMMYFUNCTION("""COMPUTED_VALUE"""),"Kimberly Ball")</f>
        <v>Kimberly Ball</v>
      </c>
      <c r="T4649" s="6" t="str">
        <f>IFERROR(__xludf.DUMMYFUNCTION("""COMPUTED_VALUE"""),"kimberly.ball@studient.com")</f>
        <v>kimberly.ball@studient.com</v>
      </c>
      <c r="U4649" s="6" t="str">
        <f>IFERROR(__xludf.DUMMYFUNCTION("""COMPUTED_VALUE"""),"7")</f>
        <v>7</v>
      </c>
      <c r="V4649" s="6" t="str">
        <f>IFERROR(__xludf.DUMMYFUNCTION("""COMPUTED_VALUE"""),"")</f>
        <v/>
      </c>
      <c r="W4649" s="6" t="str">
        <f>IFERROR(__xludf.DUMMYFUNCTION("""COMPUTED_VALUE"""),"[]")</f>
        <v>[]</v>
      </c>
      <c r="X4649" s="6" t="str">
        <f>IFERROR(__xludf.DUMMYFUNCTION("""COMPUTED_VALUE"""),"Enrolled")</f>
        <v>Enrolled</v>
      </c>
    </row>
    <row r="4650">
      <c r="A4650" s="6" t="str">
        <f>IFERROR(__xludf.DUMMYFUNCTION("""COMPUTED_VALUE"""),"084-13012")</f>
        <v>084-13012</v>
      </c>
      <c r="B4650" s="6" t="str">
        <f>IFERROR(__xludf.DUMMYFUNCTION("""COMPUTED_VALUE"""),"84")</f>
        <v>84</v>
      </c>
      <c r="C4650" s="6" t="str">
        <f>IFERROR(__xludf.DUMMYFUNCTION("""COMPUTED_VALUE"""),"13012")</f>
        <v>13012</v>
      </c>
      <c r="D4650" s="6" t="str">
        <f>IFERROR(__xludf.DUMMYFUNCTION("""COMPUTED_VALUE"""),"Yonathan")</f>
        <v>Yonathan</v>
      </c>
      <c r="E4650" s="6" t="str">
        <f>IFERROR(__xludf.DUMMYFUNCTION("""COMPUTED_VALUE"""),"")</f>
        <v/>
      </c>
      <c r="F4650" s="6" t="str">
        <f>IFERROR(__xludf.DUMMYFUNCTION("""COMPUTED_VALUE"""),"Castro Diaz")</f>
        <v>Castro Diaz</v>
      </c>
      <c r="G4650" s="6" t="str">
        <f>IFERROR(__xludf.DUMMYFUNCTION("""COMPUTED_VALUE"""),"10/22/2012")</f>
        <v>10/22/2012</v>
      </c>
      <c r="H4650" s="6" t="str">
        <f>IFERROR(__xludf.DUMMYFUNCTION("""COMPUTED_VALUE"""),"male")</f>
        <v>male</v>
      </c>
      <c r="I4650" s="6" t="str">
        <f>IFERROR(__xludf.DUMMYFUNCTION("""COMPUTED_VALUE"""),"Middle School")</f>
        <v>Middle School</v>
      </c>
      <c r="J4650" s="6" t="str">
        <f>IFERROR(__xludf.DUMMYFUNCTION("""COMPUTED_VALUE"""),"7")</f>
        <v>7</v>
      </c>
      <c r="K4650" s="6" t="str">
        <f>IFERROR(__xludf.DUMMYFUNCTION("""COMPUTED_VALUE"""),"yonathan.castrodiaz@2hourlearning.com")</f>
        <v>yonathan.castrodiaz@2hourlearning.com</v>
      </c>
      <c r="L4650" s="6" t="str">
        <f>IFERROR(__xludf.DUMMYFUNCTION("""COMPUTED_VALUE"""),"JHMS - Hardeeville Junior Senior High School")</f>
        <v>JHMS - Hardeeville Junior Senior High School</v>
      </c>
      <c r="M4650" s="6" t="str">
        <f>IFERROR(__xludf.DUMMYFUNCTION("""COMPUTED_VALUE"""),"")</f>
        <v/>
      </c>
      <c r="N4650" s="6" t="str">
        <f>IFERROR(__xludf.DUMMYFUNCTION("""COMPUTED_VALUE"""),"")</f>
        <v/>
      </c>
      <c r="O4650" s="87" t="str">
        <f>IFERROR(__xludf.DUMMYFUNCTION("""COMPUTED_VALUE"""),"https://drive.google.com/drive/folders/10T2cTQHqEJZqE-st6uFKPoI?usp=share_link")</f>
        <v>https://drive.google.com/drive/folders/10T2cTQHqEJZqE-st6uFKPoI?usp=share_link</v>
      </c>
      <c r="P4650" s="6" t="str">
        <f>IFERROR(__xludf.DUMMYFUNCTION("""COMPUTED_VALUE"""),"Yonathan Castro Diaz")</f>
        <v>Yonathan Castro Diaz</v>
      </c>
      <c r="Q4650" s="6" t="str">
        <f>IFERROR(__xludf.DUMMYFUNCTION("""COMPUTED_VALUE"""),"MS")</f>
        <v>MS</v>
      </c>
      <c r="R4650" s="6">
        <f>IFERROR(__xludf.DUMMYFUNCTION("""COMPUTED_VALUE"""),0.0)</f>
        <v>0</v>
      </c>
      <c r="S4650" s="6" t="str">
        <f>IFERROR(__xludf.DUMMYFUNCTION("""COMPUTED_VALUE"""),"Kimberly Ball")</f>
        <v>Kimberly Ball</v>
      </c>
      <c r="T4650" s="6" t="str">
        <f>IFERROR(__xludf.DUMMYFUNCTION("""COMPUTED_VALUE"""),"kimberly.ball@studient.com")</f>
        <v>kimberly.ball@studient.com</v>
      </c>
      <c r="U4650" s="6" t="str">
        <f>IFERROR(__xludf.DUMMYFUNCTION("""COMPUTED_VALUE"""),"7")</f>
        <v>7</v>
      </c>
      <c r="V4650" s="6" t="str">
        <f>IFERROR(__xludf.DUMMYFUNCTION("""COMPUTED_VALUE"""),"")</f>
        <v/>
      </c>
      <c r="W4650" s="6" t="str">
        <f>IFERROR(__xludf.DUMMYFUNCTION("""COMPUTED_VALUE"""),"[]")</f>
        <v>[]</v>
      </c>
      <c r="X4650" s="6" t="str">
        <f>IFERROR(__xludf.DUMMYFUNCTION("""COMPUTED_VALUE"""),"Enrolled")</f>
        <v>Enrolled</v>
      </c>
    </row>
    <row r="4651">
      <c r="A4651" s="6" t="str">
        <f>IFERROR(__xludf.DUMMYFUNCTION("""COMPUTED_VALUE"""),"084-13013")</f>
        <v>084-13013</v>
      </c>
      <c r="B4651" s="6" t="str">
        <f>IFERROR(__xludf.DUMMYFUNCTION("""COMPUTED_VALUE"""),"84")</f>
        <v>84</v>
      </c>
      <c r="C4651" s="6" t="str">
        <f>IFERROR(__xludf.DUMMYFUNCTION("""COMPUTED_VALUE"""),"13013")</f>
        <v>13013</v>
      </c>
      <c r="D4651" s="6" t="str">
        <f>IFERROR(__xludf.DUMMYFUNCTION("""COMPUTED_VALUE"""),"Joshua")</f>
        <v>Joshua</v>
      </c>
      <c r="E4651" s="6" t="str">
        <f>IFERROR(__xludf.DUMMYFUNCTION("""COMPUTED_VALUE"""),"")</f>
        <v/>
      </c>
      <c r="F4651" s="6" t="str">
        <f>IFERROR(__xludf.DUMMYFUNCTION("""COMPUTED_VALUE"""),"Chalmers Gomez")</f>
        <v>Chalmers Gomez</v>
      </c>
      <c r="G4651" s="6" t="str">
        <f>IFERROR(__xludf.DUMMYFUNCTION("""COMPUTED_VALUE"""),"02/25/2013")</f>
        <v>02/25/2013</v>
      </c>
      <c r="H4651" s="6" t="str">
        <f>IFERROR(__xludf.DUMMYFUNCTION("""COMPUTED_VALUE"""),"male")</f>
        <v>male</v>
      </c>
      <c r="I4651" s="6" t="str">
        <f>IFERROR(__xludf.DUMMYFUNCTION("""COMPUTED_VALUE"""),"Middle School")</f>
        <v>Middle School</v>
      </c>
      <c r="J4651" s="6" t="str">
        <f>IFERROR(__xludf.DUMMYFUNCTION("""COMPUTED_VALUE"""),"7")</f>
        <v>7</v>
      </c>
      <c r="K4651" s="6" t="str">
        <f>IFERROR(__xludf.DUMMYFUNCTION("""COMPUTED_VALUE"""),"joshua.chalmersgomez@2hourlearning.com")</f>
        <v>joshua.chalmersgomez@2hourlearning.com</v>
      </c>
      <c r="L4651" s="6" t="str">
        <f>IFERROR(__xludf.DUMMYFUNCTION("""COMPUTED_VALUE"""),"JHMS - Hardeeville Junior Senior High School")</f>
        <v>JHMS - Hardeeville Junior Senior High School</v>
      </c>
      <c r="M4651" s="6" t="str">
        <f>IFERROR(__xludf.DUMMYFUNCTION("""COMPUTED_VALUE"""),"")</f>
        <v/>
      </c>
      <c r="N4651" s="6" t="str">
        <f>IFERROR(__xludf.DUMMYFUNCTION("""COMPUTED_VALUE"""),"")</f>
        <v/>
      </c>
      <c r="O4651" s="87" t="str">
        <f>IFERROR(__xludf.DUMMYFUNCTION("""COMPUTED_VALUE"""),"https://drive.google.com/drive/folders/10T2cTQHqEJZqE-st6uFKPoI?usp=share_link")</f>
        <v>https://drive.google.com/drive/folders/10T2cTQHqEJZqE-st6uFKPoI?usp=share_link</v>
      </c>
      <c r="P4651" s="6" t="str">
        <f>IFERROR(__xludf.DUMMYFUNCTION("""COMPUTED_VALUE"""),"Joshua Chalmers Gomez")</f>
        <v>Joshua Chalmers Gomez</v>
      </c>
      <c r="Q4651" s="6" t="str">
        <f>IFERROR(__xludf.DUMMYFUNCTION("""COMPUTED_VALUE"""),"MS")</f>
        <v>MS</v>
      </c>
      <c r="R4651" s="6">
        <f>IFERROR(__xludf.DUMMYFUNCTION("""COMPUTED_VALUE"""),0.0)</f>
        <v>0</v>
      </c>
      <c r="S4651" s="6" t="str">
        <f>IFERROR(__xludf.DUMMYFUNCTION("""COMPUTED_VALUE"""),"Kimberly Ball")</f>
        <v>Kimberly Ball</v>
      </c>
      <c r="T4651" s="6" t="str">
        <f>IFERROR(__xludf.DUMMYFUNCTION("""COMPUTED_VALUE"""),"kimberly.ball@studient.com")</f>
        <v>kimberly.ball@studient.com</v>
      </c>
      <c r="U4651" s="6" t="str">
        <f>IFERROR(__xludf.DUMMYFUNCTION("""COMPUTED_VALUE"""),"7")</f>
        <v>7</v>
      </c>
      <c r="V4651" s="6" t="str">
        <f>IFERROR(__xludf.DUMMYFUNCTION("""COMPUTED_VALUE"""),"")</f>
        <v/>
      </c>
      <c r="W4651" s="6" t="str">
        <f>IFERROR(__xludf.DUMMYFUNCTION("""COMPUTED_VALUE"""),"[]")</f>
        <v>[]</v>
      </c>
      <c r="X4651" s="6" t="str">
        <f>IFERROR(__xludf.DUMMYFUNCTION("""COMPUTED_VALUE"""),"Enrolled")</f>
        <v>Enrolled</v>
      </c>
    </row>
    <row r="4652">
      <c r="A4652" s="6" t="str">
        <f>IFERROR(__xludf.DUMMYFUNCTION("""COMPUTED_VALUE"""),"084-13014")</f>
        <v>084-13014</v>
      </c>
      <c r="B4652" s="6" t="str">
        <f>IFERROR(__xludf.DUMMYFUNCTION("""COMPUTED_VALUE"""),"84")</f>
        <v>84</v>
      </c>
      <c r="C4652" s="6" t="str">
        <f>IFERROR(__xludf.DUMMYFUNCTION("""COMPUTED_VALUE"""),"13014")</f>
        <v>13014</v>
      </c>
      <c r="D4652" s="6" t="str">
        <f>IFERROR(__xludf.DUMMYFUNCTION("""COMPUTED_VALUE"""),"Azucena A")</f>
        <v>Azucena A</v>
      </c>
      <c r="E4652" s="6" t="str">
        <f>IFERROR(__xludf.DUMMYFUNCTION("""COMPUTED_VALUE"""),"")</f>
        <v/>
      </c>
      <c r="F4652" s="6" t="str">
        <f>IFERROR(__xludf.DUMMYFUNCTION("""COMPUTED_VALUE"""),"Chay de la Cruz")</f>
        <v>Chay de la Cruz</v>
      </c>
      <c r="G4652" s="6" t="str">
        <f>IFERROR(__xludf.DUMMYFUNCTION("""COMPUTED_VALUE"""),"01/27/2013")</f>
        <v>01/27/2013</v>
      </c>
      <c r="H4652" s="6" t="str">
        <f>IFERROR(__xludf.DUMMYFUNCTION("""COMPUTED_VALUE"""),"female")</f>
        <v>female</v>
      </c>
      <c r="I4652" s="6" t="str">
        <f>IFERROR(__xludf.DUMMYFUNCTION("""COMPUTED_VALUE"""),"Middle School")</f>
        <v>Middle School</v>
      </c>
      <c r="J4652" s="6" t="str">
        <f>IFERROR(__xludf.DUMMYFUNCTION("""COMPUTED_VALUE"""),"7")</f>
        <v>7</v>
      </c>
      <c r="K4652" s="6" t="str">
        <f>IFERROR(__xludf.DUMMYFUNCTION("""COMPUTED_VALUE"""),"azucenaa.chaydelacruz@2hourlearning.com")</f>
        <v>azucenaa.chaydelacruz@2hourlearning.com</v>
      </c>
      <c r="L4652" s="6" t="str">
        <f>IFERROR(__xludf.DUMMYFUNCTION("""COMPUTED_VALUE"""),"JHMS - Hardeeville Junior Senior High School")</f>
        <v>JHMS - Hardeeville Junior Senior High School</v>
      </c>
      <c r="M4652" s="6" t="str">
        <f>IFERROR(__xludf.DUMMYFUNCTION("""COMPUTED_VALUE"""),"")</f>
        <v/>
      </c>
      <c r="N4652" s="6" t="str">
        <f>IFERROR(__xludf.DUMMYFUNCTION("""COMPUTED_VALUE"""),"")</f>
        <v/>
      </c>
      <c r="O4652" s="87" t="str">
        <f>IFERROR(__xludf.DUMMYFUNCTION("""COMPUTED_VALUE"""),"https://drive.google.com/drive/folders/10T2cTQHqEJZqE-st6uFKPoI?usp=share_link")</f>
        <v>https://drive.google.com/drive/folders/10T2cTQHqEJZqE-st6uFKPoI?usp=share_link</v>
      </c>
      <c r="P4652" s="6" t="str">
        <f>IFERROR(__xludf.DUMMYFUNCTION("""COMPUTED_VALUE"""),"Azucena A Chay de la Cruz")</f>
        <v>Azucena A Chay de la Cruz</v>
      </c>
      <c r="Q4652" s="6" t="str">
        <f>IFERROR(__xludf.DUMMYFUNCTION("""COMPUTED_VALUE"""),"MS")</f>
        <v>MS</v>
      </c>
      <c r="R4652" s="6">
        <f>IFERROR(__xludf.DUMMYFUNCTION("""COMPUTED_VALUE"""),0.0)</f>
        <v>0</v>
      </c>
      <c r="S4652" s="6" t="str">
        <f>IFERROR(__xludf.DUMMYFUNCTION("""COMPUTED_VALUE"""),"Kimberly Ball")</f>
        <v>Kimberly Ball</v>
      </c>
      <c r="T4652" s="6" t="str">
        <f>IFERROR(__xludf.DUMMYFUNCTION("""COMPUTED_VALUE"""),"kimberly.ball@studient.com")</f>
        <v>kimberly.ball@studient.com</v>
      </c>
      <c r="U4652" s="6" t="str">
        <f>IFERROR(__xludf.DUMMYFUNCTION("""COMPUTED_VALUE"""),"7")</f>
        <v>7</v>
      </c>
      <c r="V4652" s="6" t="str">
        <f>IFERROR(__xludf.DUMMYFUNCTION("""COMPUTED_VALUE"""),"")</f>
        <v/>
      </c>
      <c r="W4652" s="6" t="str">
        <f>IFERROR(__xludf.DUMMYFUNCTION("""COMPUTED_VALUE"""),"[]")</f>
        <v>[]</v>
      </c>
      <c r="X4652" s="6" t="str">
        <f>IFERROR(__xludf.DUMMYFUNCTION("""COMPUTED_VALUE"""),"Enrolled")</f>
        <v>Enrolled</v>
      </c>
    </row>
    <row r="4653">
      <c r="A4653" s="6" t="str">
        <f>IFERROR(__xludf.DUMMYFUNCTION("""COMPUTED_VALUE"""),"084-13015")</f>
        <v>084-13015</v>
      </c>
      <c r="B4653" s="6" t="str">
        <f>IFERROR(__xludf.DUMMYFUNCTION("""COMPUTED_VALUE"""),"84")</f>
        <v>84</v>
      </c>
      <c r="C4653" s="6" t="str">
        <f>IFERROR(__xludf.DUMMYFUNCTION("""COMPUTED_VALUE"""),"13015")</f>
        <v>13015</v>
      </c>
      <c r="D4653" s="6" t="str">
        <f>IFERROR(__xludf.DUMMYFUNCTION("""COMPUTED_VALUE"""),"Collin")</f>
        <v>Collin</v>
      </c>
      <c r="E4653" s="6" t="str">
        <f>IFERROR(__xludf.DUMMYFUNCTION("""COMPUTED_VALUE"""),"")</f>
        <v/>
      </c>
      <c r="F4653" s="6" t="str">
        <f>IFERROR(__xludf.DUMMYFUNCTION("""COMPUTED_VALUE"""),"Chisolm")</f>
        <v>Chisolm</v>
      </c>
      <c r="G4653" s="6" t="str">
        <f>IFERROR(__xludf.DUMMYFUNCTION("""COMPUTED_VALUE"""),"11/14/2011")</f>
        <v>11/14/2011</v>
      </c>
      <c r="H4653" s="6" t="str">
        <f>IFERROR(__xludf.DUMMYFUNCTION("""COMPUTED_VALUE"""),"male")</f>
        <v>male</v>
      </c>
      <c r="I4653" s="6" t="str">
        <f>IFERROR(__xludf.DUMMYFUNCTION("""COMPUTED_VALUE"""),"Middle School")</f>
        <v>Middle School</v>
      </c>
      <c r="J4653" s="6" t="str">
        <f>IFERROR(__xludf.DUMMYFUNCTION("""COMPUTED_VALUE"""),"7")</f>
        <v>7</v>
      </c>
      <c r="K4653" s="6" t="str">
        <f>IFERROR(__xludf.DUMMYFUNCTION("""COMPUTED_VALUE"""),"collin.chisolm@2hourlearning.com")</f>
        <v>collin.chisolm@2hourlearning.com</v>
      </c>
      <c r="L4653" s="6" t="str">
        <f>IFERROR(__xludf.DUMMYFUNCTION("""COMPUTED_VALUE"""),"JHMS - Hardeeville Junior Senior High School")</f>
        <v>JHMS - Hardeeville Junior Senior High School</v>
      </c>
      <c r="M4653" s="6" t="str">
        <f>IFERROR(__xludf.DUMMYFUNCTION("""COMPUTED_VALUE"""),"")</f>
        <v/>
      </c>
      <c r="N4653" s="6" t="str">
        <f>IFERROR(__xludf.DUMMYFUNCTION("""COMPUTED_VALUE"""),"")</f>
        <v/>
      </c>
      <c r="O4653" s="87" t="str">
        <f>IFERROR(__xludf.DUMMYFUNCTION("""COMPUTED_VALUE"""),"https://drive.google.com/drive/folders/10T2cTQHqEJZqE-st6uFKPoI?usp=share_link")</f>
        <v>https://drive.google.com/drive/folders/10T2cTQHqEJZqE-st6uFKPoI?usp=share_link</v>
      </c>
      <c r="P4653" s="6" t="str">
        <f>IFERROR(__xludf.DUMMYFUNCTION("""COMPUTED_VALUE"""),"Collin Chisolm")</f>
        <v>Collin Chisolm</v>
      </c>
      <c r="Q4653" s="6" t="str">
        <f>IFERROR(__xludf.DUMMYFUNCTION("""COMPUTED_VALUE"""),"MS")</f>
        <v>MS</v>
      </c>
      <c r="R4653" s="6">
        <f>IFERROR(__xludf.DUMMYFUNCTION("""COMPUTED_VALUE"""),0.0)</f>
        <v>0</v>
      </c>
      <c r="S4653" s="6" t="str">
        <f>IFERROR(__xludf.DUMMYFUNCTION("""COMPUTED_VALUE"""),"Kimberly Ball")</f>
        <v>Kimberly Ball</v>
      </c>
      <c r="T4653" s="6" t="str">
        <f>IFERROR(__xludf.DUMMYFUNCTION("""COMPUTED_VALUE"""),"kimberly.ball@studient.com")</f>
        <v>kimberly.ball@studient.com</v>
      </c>
      <c r="U4653" s="6" t="str">
        <f>IFERROR(__xludf.DUMMYFUNCTION("""COMPUTED_VALUE"""),"7")</f>
        <v>7</v>
      </c>
      <c r="V4653" s="6" t="str">
        <f>IFERROR(__xludf.DUMMYFUNCTION("""COMPUTED_VALUE"""),"")</f>
        <v/>
      </c>
      <c r="W4653" s="6" t="str">
        <f>IFERROR(__xludf.DUMMYFUNCTION("""COMPUTED_VALUE"""),"[]")</f>
        <v>[]</v>
      </c>
      <c r="X4653" s="6" t="str">
        <f>IFERROR(__xludf.DUMMYFUNCTION("""COMPUTED_VALUE"""),"Enrolled")</f>
        <v>Enrolled</v>
      </c>
    </row>
    <row r="4654">
      <c r="A4654" s="6" t="str">
        <f>IFERROR(__xludf.DUMMYFUNCTION("""COMPUTED_VALUE"""),"084-13016")</f>
        <v>084-13016</v>
      </c>
      <c r="B4654" s="6" t="str">
        <f>IFERROR(__xludf.DUMMYFUNCTION("""COMPUTED_VALUE"""),"84")</f>
        <v>84</v>
      </c>
      <c r="C4654" s="6" t="str">
        <f>IFERROR(__xludf.DUMMYFUNCTION("""COMPUTED_VALUE"""),"13016")</f>
        <v>13016</v>
      </c>
      <c r="D4654" s="6" t="str">
        <f>IFERROR(__xludf.DUMMYFUNCTION("""COMPUTED_VALUE"""),"Michelle")</f>
        <v>Michelle</v>
      </c>
      <c r="E4654" s="6" t="str">
        <f>IFERROR(__xludf.DUMMYFUNCTION("""COMPUTED_VALUE"""),"")</f>
        <v/>
      </c>
      <c r="F4654" s="6" t="str">
        <f>IFERROR(__xludf.DUMMYFUNCTION("""COMPUTED_VALUE"""),"Chisolm")</f>
        <v>Chisolm</v>
      </c>
      <c r="G4654" s="6" t="str">
        <f>IFERROR(__xludf.DUMMYFUNCTION("""COMPUTED_VALUE"""),"11/15/2012")</f>
        <v>11/15/2012</v>
      </c>
      <c r="H4654" s="6" t="str">
        <f>IFERROR(__xludf.DUMMYFUNCTION("""COMPUTED_VALUE"""),"female")</f>
        <v>female</v>
      </c>
      <c r="I4654" s="6" t="str">
        <f>IFERROR(__xludf.DUMMYFUNCTION("""COMPUTED_VALUE"""),"Middle School")</f>
        <v>Middle School</v>
      </c>
      <c r="J4654" s="6" t="str">
        <f>IFERROR(__xludf.DUMMYFUNCTION("""COMPUTED_VALUE"""),"7")</f>
        <v>7</v>
      </c>
      <c r="K4654" s="6" t="str">
        <f>IFERROR(__xludf.DUMMYFUNCTION("""COMPUTED_VALUE"""),"michelle.chisolm@2hourlearning.com")</f>
        <v>michelle.chisolm@2hourlearning.com</v>
      </c>
      <c r="L4654" s="6" t="str">
        <f>IFERROR(__xludf.DUMMYFUNCTION("""COMPUTED_VALUE"""),"JHMS - Hardeeville Junior Senior High School")</f>
        <v>JHMS - Hardeeville Junior Senior High School</v>
      </c>
      <c r="M4654" s="6" t="str">
        <f>IFERROR(__xludf.DUMMYFUNCTION("""COMPUTED_VALUE"""),"")</f>
        <v/>
      </c>
      <c r="N4654" s="6" t="str">
        <f>IFERROR(__xludf.DUMMYFUNCTION("""COMPUTED_VALUE"""),"")</f>
        <v/>
      </c>
      <c r="O4654" s="87" t="str">
        <f>IFERROR(__xludf.DUMMYFUNCTION("""COMPUTED_VALUE"""),"https://drive.google.com/drive/folders/10T2cTQHqEJZqE-st6uFKPoI?usp=share_link")</f>
        <v>https://drive.google.com/drive/folders/10T2cTQHqEJZqE-st6uFKPoI?usp=share_link</v>
      </c>
      <c r="P4654" s="6" t="str">
        <f>IFERROR(__xludf.DUMMYFUNCTION("""COMPUTED_VALUE"""),"Michelle Chisolm")</f>
        <v>Michelle Chisolm</v>
      </c>
      <c r="Q4654" s="6" t="str">
        <f>IFERROR(__xludf.DUMMYFUNCTION("""COMPUTED_VALUE"""),"MS")</f>
        <v>MS</v>
      </c>
      <c r="R4654" s="6">
        <f>IFERROR(__xludf.DUMMYFUNCTION("""COMPUTED_VALUE"""),0.0)</f>
        <v>0</v>
      </c>
      <c r="S4654" s="6" t="str">
        <f>IFERROR(__xludf.DUMMYFUNCTION("""COMPUTED_VALUE"""),"Kimberly Ball")</f>
        <v>Kimberly Ball</v>
      </c>
      <c r="T4654" s="6" t="str">
        <f>IFERROR(__xludf.DUMMYFUNCTION("""COMPUTED_VALUE"""),"kimberly.ball@studient.com")</f>
        <v>kimberly.ball@studient.com</v>
      </c>
      <c r="U4654" s="6" t="str">
        <f>IFERROR(__xludf.DUMMYFUNCTION("""COMPUTED_VALUE"""),"7")</f>
        <v>7</v>
      </c>
      <c r="V4654" s="6" t="str">
        <f>IFERROR(__xludf.DUMMYFUNCTION("""COMPUTED_VALUE"""),"")</f>
        <v/>
      </c>
      <c r="W4654" s="6" t="str">
        <f>IFERROR(__xludf.DUMMYFUNCTION("""COMPUTED_VALUE"""),"[]")</f>
        <v>[]</v>
      </c>
      <c r="X4654" s="6" t="str">
        <f>IFERROR(__xludf.DUMMYFUNCTION("""COMPUTED_VALUE"""),"Enrolled")</f>
        <v>Enrolled</v>
      </c>
    </row>
    <row r="4655">
      <c r="A4655" s="6" t="str">
        <f>IFERROR(__xludf.DUMMYFUNCTION("""COMPUTED_VALUE"""),"084-13017")</f>
        <v>084-13017</v>
      </c>
      <c r="B4655" s="6" t="str">
        <f>IFERROR(__xludf.DUMMYFUNCTION("""COMPUTED_VALUE"""),"84")</f>
        <v>84</v>
      </c>
      <c r="C4655" s="6" t="str">
        <f>IFERROR(__xludf.DUMMYFUNCTION("""COMPUTED_VALUE"""),"13017")</f>
        <v>13017</v>
      </c>
      <c r="D4655" s="6" t="str">
        <f>IFERROR(__xludf.DUMMYFUNCTION("""COMPUTED_VALUE"""),"Luis F")</f>
        <v>Luis F</v>
      </c>
      <c r="E4655" s="6" t="str">
        <f>IFERROR(__xludf.DUMMYFUNCTION("""COMPUTED_VALUE"""),"")</f>
        <v/>
      </c>
      <c r="F4655" s="6" t="str">
        <f>IFERROR(__xludf.DUMMYFUNCTION("""COMPUTED_VALUE"""),"Cisneros Martinez")</f>
        <v>Cisneros Martinez</v>
      </c>
      <c r="G4655" s="6" t="str">
        <f>IFERROR(__xludf.DUMMYFUNCTION("""COMPUTED_VALUE"""),"06/11/2013")</f>
        <v>06/11/2013</v>
      </c>
      <c r="H4655" s="6" t="str">
        <f>IFERROR(__xludf.DUMMYFUNCTION("""COMPUTED_VALUE"""),"male")</f>
        <v>male</v>
      </c>
      <c r="I4655" s="6" t="str">
        <f>IFERROR(__xludf.DUMMYFUNCTION("""COMPUTED_VALUE"""),"Middle School")</f>
        <v>Middle School</v>
      </c>
      <c r="J4655" s="6" t="str">
        <f>IFERROR(__xludf.DUMMYFUNCTION("""COMPUTED_VALUE"""),"7")</f>
        <v>7</v>
      </c>
      <c r="K4655" s="6" t="str">
        <f>IFERROR(__xludf.DUMMYFUNCTION("""COMPUTED_VALUE"""),"luisf.cisnerosmartinez@2hourlearning.com")</f>
        <v>luisf.cisnerosmartinez@2hourlearning.com</v>
      </c>
      <c r="L4655" s="6" t="str">
        <f>IFERROR(__xludf.DUMMYFUNCTION("""COMPUTED_VALUE"""),"JHMS - Hardeeville Junior Senior High School")</f>
        <v>JHMS - Hardeeville Junior Senior High School</v>
      </c>
      <c r="M4655" s="6" t="str">
        <f>IFERROR(__xludf.DUMMYFUNCTION("""COMPUTED_VALUE"""),"")</f>
        <v/>
      </c>
      <c r="N4655" s="6" t="str">
        <f>IFERROR(__xludf.DUMMYFUNCTION("""COMPUTED_VALUE"""),"")</f>
        <v/>
      </c>
      <c r="O4655" s="87" t="str">
        <f>IFERROR(__xludf.DUMMYFUNCTION("""COMPUTED_VALUE"""),"https://drive.google.com/drive/folders/10T2cTQHqEJZqE-st6uFKPoI?usp=share_link")</f>
        <v>https://drive.google.com/drive/folders/10T2cTQHqEJZqE-st6uFKPoI?usp=share_link</v>
      </c>
      <c r="P4655" s="6" t="str">
        <f>IFERROR(__xludf.DUMMYFUNCTION("""COMPUTED_VALUE"""),"Luis F Cisneros Martinez")</f>
        <v>Luis F Cisneros Martinez</v>
      </c>
      <c r="Q4655" s="6" t="str">
        <f>IFERROR(__xludf.DUMMYFUNCTION("""COMPUTED_VALUE"""),"MS")</f>
        <v>MS</v>
      </c>
      <c r="R4655" s="6">
        <f>IFERROR(__xludf.DUMMYFUNCTION("""COMPUTED_VALUE"""),0.0)</f>
        <v>0</v>
      </c>
      <c r="S4655" s="6" t="str">
        <f>IFERROR(__xludf.DUMMYFUNCTION("""COMPUTED_VALUE"""),"Kimberly Ball")</f>
        <v>Kimberly Ball</v>
      </c>
      <c r="T4655" s="6" t="str">
        <f>IFERROR(__xludf.DUMMYFUNCTION("""COMPUTED_VALUE"""),"kimberly.ball@studient.com")</f>
        <v>kimberly.ball@studient.com</v>
      </c>
      <c r="U4655" s="6" t="str">
        <f>IFERROR(__xludf.DUMMYFUNCTION("""COMPUTED_VALUE"""),"7")</f>
        <v>7</v>
      </c>
      <c r="V4655" s="6" t="str">
        <f>IFERROR(__xludf.DUMMYFUNCTION("""COMPUTED_VALUE"""),"")</f>
        <v/>
      </c>
      <c r="W4655" s="6" t="str">
        <f>IFERROR(__xludf.DUMMYFUNCTION("""COMPUTED_VALUE"""),"[]")</f>
        <v>[]</v>
      </c>
      <c r="X4655" s="6" t="str">
        <f>IFERROR(__xludf.DUMMYFUNCTION("""COMPUTED_VALUE"""),"Enrolled")</f>
        <v>Enrolled</v>
      </c>
    </row>
    <row r="4656">
      <c r="A4656" s="6" t="str">
        <f>IFERROR(__xludf.DUMMYFUNCTION("""COMPUTED_VALUE"""),"084-13018")</f>
        <v>084-13018</v>
      </c>
      <c r="B4656" s="6" t="str">
        <f>IFERROR(__xludf.DUMMYFUNCTION("""COMPUTED_VALUE"""),"84")</f>
        <v>84</v>
      </c>
      <c r="C4656" s="6" t="str">
        <f>IFERROR(__xludf.DUMMYFUNCTION("""COMPUTED_VALUE"""),"13018")</f>
        <v>13018</v>
      </c>
      <c r="D4656" s="6" t="str">
        <f>IFERROR(__xludf.DUMMYFUNCTION("""COMPUTED_VALUE"""),"Daleyza")</f>
        <v>Daleyza</v>
      </c>
      <c r="E4656" s="6" t="str">
        <f>IFERROR(__xludf.DUMMYFUNCTION("""COMPUTED_VALUE"""),"")</f>
        <v/>
      </c>
      <c r="F4656" s="6" t="str">
        <f>IFERROR(__xludf.DUMMYFUNCTION("""COMPUTED_VALUE"""),"Contreras Ramos")</f>
        <v>Contreras Ramos</v>
      </c>
      <c r="G4656" s="6" t="str">
        <f>IFERROR(__xludf.DUMMYFUNCTION("""COMPUTED_VALUE"""),"02/26/2013")</f>
        <v>02/26/2013</v>
      </c>
      <c r="H4656" s="6" t="str">
        <f>IFERROR(__xludf.DUMMYFUNCTION("""COMPUTED_VALUE"""),"Self Identify")</f>
        <v>Self Identify</v>
      </c>
      <c r="I4656" s="6" t="str">
        <f>IFERROR(__xludf.DUMMYFUNCTION("""COMPUTED_VALUE"""),"Middle School")</f>
        <v>Middle School</v>
      </c>
      <c r="J4656" s="6" t="str">
        <f>IFERROR(__xludf.DUMMYFUNCTION("""COMPUTED_VALUE"""),"7")</f>
        <v>7</v>
      </c>
      <c r="K4656" s="6" t="str">
        <f>IFERROR(__xludf.DUMMYFUNCTION("""COMPUTED_VALUE"""),"daleyza.contrerasramos@2hourlearning.com")</f>
        <v>daleyza.contrerasramos@2hourlearning.com</v>
      </c>
      <c r="L4656" s="6" t="str">
        <f>IFERROR(__xludf.DUMMYFUNCTION("""COMPUTED_VALUE"""),"JHMS - Hardeeville Junior Senior High School")</f>
        <v>JHMS - Hardeeville Junior Senior High School</v>
      </c>
      <c r="M4656" s="6" t="str">
        <f>IFERROR(__xludf.DUMMYFUNCTION("""COMPUTED_VALUE"""),"")</f>
        <v/>
      </c>
      <c r="N4656" s="6" t="str">
        <f>IFERROR(__xludf.DUMMYFUNCTION("""COMPUTED_VALUE"""),"")</f>
        <v/>
      </c>
      <c r="O4656" s="87" t="str">
        <f>IFERROR(__xludf.DUMMYFUNCTION("""COMPUTED_VALUE"""),"https://drive.google.com/drive/folders/10T2cTQHqEJZqE-st6uFKPoI?usp=share_link")</f>
        <v>https://drive.google.com/drive/folders/10T2cTQHqEJZqE-st6uFKPoI?usp=share_link</v>
      </c>
      <c r="P4656" s="6" t="str">
        <f>IFERROR(__xludf.DUMMYFUNCTION("""COMPUTED_VALUE"""),"Daleyza Contreras Ramos")</f>
        <v>Daleyza Contreras Ramos</v>
      </c>
      <c r="Q4656" s="6" t="str">
        <f>IFERROR(__xludf.DUMMYFUNCTION("""COMPUTED_VALUE"""),"MS")</f>
        <v>MS</v>
      </c>
      <c r="R4656" s="6">
        <f>IFERROR(__xludf.DUMMYFUNCTION("""COMPUTED_VALUE"""),0.0)</f>
        <v>0</v>
      </c>
      <c r="S4656" s="6" t="str">
        <f>IFERROR(__xludf.DUMMYFUNCTION("""COMPUTED_VALUE"""),"Kimberly Ball")</f>
        <v>Kimberly Ball</v>
      </c>
      <c r="T4656" s="6" t="str">
        <f>IFERROR(__xludf.DUMMYFUNCTION("""COMPUTED_VALUE"""),"kimberly.ball@studient.com")</f>
        <v>kimberly.ball@studient.com</v>
      </c>
      <c r="U4656" s="6" t="str">
        <f>IFERROR(__xludf.DUMMYFUNCTION("""COMPUTED_VALUE"""),"7")</f>
        <v>7</v>
      </c>
      <c r="V4656" s="6" t="str">
        <f>IFERROR(__xludf.DUMMYFUNCTION("""COMPUTED_VALUE"""),"")</f>
        <v/>
      </c>
      <c r="W4656" s="6" t="str">
        <f>IFERROR(__xludf.DUMMYFUNCTION("""COMPUTED_VALUE"""),"[]")</f>
        <v>[]</v>
      </c>
      <c r="X4656" s="6" t="str">
        <f>IFERROR(__xludf.DUMMYFUNCTION("""COMPUTED_VALUE"""),"Enrolled")</f>
        <v>Enrolled</v>
      </c>
    </row>
    <row r="4657">
      <c r="A4657" s="6" t="str">
        <f>IFERROR(__xludf.DUMMYFUNCTION("""COMPUTED_VALUE"""),"084-13019")</f>
        <v>084-13019</v>
      </c>
      <c r="B4657" s="6" t="str">
        <f>IFERROR(__xludf.DUMMYFUNCTION("""COMPUTED_VALUE"""),"84")</f>
        <v>84</v>
      </c>
      <c r="C4657" s="6" t="str">
        <f>IFERROR(__xludf.DUMMYFUNCTION("""COMPUTED_VALUE"""),"13019")</f>
        <v>13019</v>
      </c>
      <c r="D4657" s="6" t="str">
        <f>IFERROR(__xludf.DUMMYFUNCTION("""COMPUTED_VALUE"""),"Caesar")</f>
        <v>Caesar</v>
      </c>
      <c r="E4657" s="6" t="str">
        <f>IFERROR(__xludf.DUMMYFUNCTION("""COMPUTED_VALUE"""),"")</f>
        <v/>
      </c>
      <c r="F4657" s="6" t="str">
        <f>IFERROR(__xludf.DUMMYFUNCTION("""COMPUTED_VALUE"""),"Cordoba Cortez")</f>
        <v>Cordoba Cortez</v>
      </c>
      <c r="G4657" s="6" t="str">
        <f>IFERROR(__xludf.DUMMYFUNCTION("""COMPUTED_VALUE"""),"08/28/2013")</f>
        <v>08/28/2013</v>
      </c>
      <c r="H4657" s="6" t="str">
        <f>IFERROR(__xludf.DUMMYFUNCTION("""COMPUTED_VALUE"""),"male")</f>
        <v>male</v>
      </c>
      <c r="I4657" s="6" t="str">
        <f>IFERROR(__xludf.DUMMYFUNCTION("""COMPUTED_VALUE"""),"Middle School")</f>
        <v>Middle School</v>
      </c>
      <c r="J4657" s="6" t="str">
        <f>IFERROR(__xludf.DUMMYFUNCTION("""COMPUTED_VALUE"""),"7")</f>
        <v>7</v>
      </c>
      <c r="K4657" s="6" t="str">
        <f>IFERROR(__xludf.DUMMYFUNCTION("""COMPUTED_VALUE"""),"caesar.cordobacortez@2hourlearning.com")</f>
        <v>caesar.cordobacortez@2hourlearning.com</v>
      </c>
      <c r="L4657" s="6" t="str">
        <f>IFERROR(__xludf.DUMMYFUNCTION("""COMPUTED_VALUE"""),"JHMS - Hardeeville Junior Senior High School")</f>
        <v>JHMS - Hardeeville Junior Senior High School</v>
      </c>
      <c r="M4657" s="6" t="str">
        <f>IFERROR(__xludf.DUMMYFUNCTION("""COMPUTED_VALUE"""),"")</f>
        <v/>
      </c>
      <c r="N4657" s="6" t="str">
        <f>IFERROR(__xludf.DUMMYFUNCTION("""COMPUTED_VALUE"""),"")</f>
        <v/>
      </c>
      <c r="O4657" s="87" t="str">
        <f>IFERROR(__xludf.DUMMYFUNCTION("""COMPUTED_VALUE"""),"https://drive.google.com/drive/folders/10T2cTQHqEJZqE-st6uFKPoI?usp=share_link")</f>
        <v>https://drive.google.com/drive/folders/10T2cTQHqEJZqE-st6uFKPoI?usp=share_link</v>
      </c>
      <c r="P4657" s="6" t="str">
        <f>IFERROR(__xludf.DUMMYFUNCTION("""COMPUTED_VALUE"""),"Caesar Cordoba Cortez")</f>
        <v>Caesar Cordoba Cortez</v>
      </c>
      <c r="Q4657" s="6" t="str">
        <f>IFERROR(__xludf.DUMMYFUNCTION("""COMPUTED_VALUE"""),"MS")</f>
        <v>MS</v>
      </c>
      <c r="R4657" s="6">
        <f>IFERROR(__xludf.DUMMYFUNCTION("""COMPUTED_VALUE"""),0.0)</f>
        <v>0</v>
      </c>
      <c r="S4657" s="6" t="str">
        <f>IFERROR(__xludf.DUMMYFUNCTION("""COMPUTED_VALUE"""),"Kimberly Ball")</f>
        <v>Kimberly Ball</v>
      </c>
      <c r="T4657" s="6" t="str">
        <f>IFERROR(__xludf.DUMMYFUNCTION("""COMPUTED_VALUE"""),"kimberly.ball@studient.com")</f>
        <v>kimberly.ball@studient.com</v>
      </c>
      <c r="U4657" s="6" t="str">
        <f>IFERROR(__xludf.DUMMYFUNCTION("""COMPUTED_VALUE"""),"7")</f>
        <v>7</v>
      </c>
      <c r="V4657" s="6" t="str">
        <f>IFERROR(__xludf.DUMMYFUNCTION("""COMPUTED_VALUE"""),"")</f>
        <v/>
      </c>
      <c r="W4657" s="6" t="str">
        <f>IFERROR(__xludf.DUMMYFUNCTION("""COMPUTED_VALUE"""),"[]")</f>
        <v>[]</v>
      </c>
      <c r="X4657" s="6" t="str">
        <f>IFERROR(__xludf.DUMMYFUNCTION("""COMPUTED_VALUE"""),"Enrolled")</f>
        <v>Enrolled</v>
      </c>
    </row>
    <row r="4658">
      <c r="A4658" s="6" t="str">
        <f>IFERROR(__xludf.DUMMYFUNCTION("""COMPUTED_VALUE"""),"084-13020")</f>
        <v>084-13020</v>
      </c>
      <c r="B4658" s="6" t="str">
        <f>IFERROR(__xludf.DUMMYFUNCTION("""COMPUTED_VALUE"""),"84")</f>
        <v>84</v>
      </c>
      <c r="C4658" s="6" t="str">
        <f>IFERROR(__xludf.DUMMYFUNCTION("""COMPUTED_VALUE"""),"13020")</f>
        <v>13020</v>
      </c>
      <c r="D4658" s="6" t="str">
        <f>IFERROR(__xludf.DUMMYFUNCTION("""COMPUTED_VALUE"""),"Anyely S")</f>
        <v>Anyely S</v>
      </c>
      <c r="E4658" s="6" t="str">
        <f>IFERROR(__xludf.DUMMYFUNCTION("""COMPUTED_VALUE"""),"")</f>
        <v/>
      </c>
      <c r="F4658" s="6" t="str">
        <f>IFERROR(__xludf.DUMMYFUNCTION("""COMPUTED_VALUE"""),"Cortez Juan")</f>
        <v>Cortez Juan</v>
      </c>
      <c r="G4658" s="6" t="str">
        <f>IFERROR(__xludf.DUMMYFUNCTION("""COMPUTED_VALUE"""),"03/03/2013")</f>
        <v>03/03/2013</v>
      </c>
      <c r="H4658" s="6" t="str">
        <f>IFERROR(__xludf.DUMMYFUNCTION("""COMPUTED_VALUE"""),"female")</f>
        <v>female</v>
      </c>
      <c r="I4658" s="6" t="str">
        <f>IFERROR(__xludf.DUMMYFUNCTION("""COMPUTED_VALUE"""),"Middle School")</f>
        <v>Middle School</v>
      </c>
      <c r="J4658" s="6" t="str">
        <f>IFERROR(__xludf.DUMMYFUNCTION("""COMPUTED_VALUE"""),"7")</f>
        <v>7</v>
      </c>
      <c r="K4658" s="6" t="str">
        <f>IFERROR(__xludf.DUMMYFUNCTION("""COMPUTED_VALUE"""),"anyelys.cortezjuan@2hourlearning.com")</f>
        <v>anyelys.cortezjuan@2hourlearning.com</v>
      </c>
      <c r="L4658" s="6" t="str">
        <f>IFERROR(__xludf.DUMMYFUNCTION("""COMPUTED_VALUE"""),"JHMS - Hardeeville Junior Senior High School")</f>
        <v>JHMS - Hardeeville Junior Senior High School</v>
      </c>
      <c r="M4658" s="6" t="str">
        <f>IFERROR(__xludf.DUMMYFUNCTION("""COMPUTED_VALUE"""),"")</f>
        <v/>
      </c>
      <c r="N4658" s="6" t="str">
        <f>IFERROR(__xludf.DUMMYFUNCTION("""COMPUTED_VALUE"""),"")</f>
        <v/>
      </c>
      <c r="O4658" s="87" t="str">
        <f>IFERROR(__xludf.DUMMYFUNCTION("""COMPUTED_VALUE"""),"https://drive.google.com/drive/folders/10T2cTQHqEJZqE-st6uFKPoI?usp=share_link")</f>
        <v>https://drive.google.com/drive/folders/10T2cTQHqEJZqE-st6uFKPoI?usp=share_link</v>
      </c>
      <c r="P4658" s="6" t="str">
        <f>IFERROR(__xludf.DUMMYFUNCTION("""COMPUTED_VALUE"""),"Anyely S Cortez Juan")</f>
        <v>Anyely S Cortez Juan</v>
      </c>
      <c r="Q4658" s="6" t="str">
        <f>IFERROR(__xludf.DUMMYFUNCTION("""COMPUTED_VALUE"""),"MS")</f>
        <v>MS</v>
      </c>
      <c r="R4658" s="6">
        <f>IFERROR(__xludf.DUMMYFUNCTION("""COMPUTED_VALUE"""),0.0)</f>
        <v>0</v>
      </c>
      <c r="S4658" s="6" t="str">
        <f>IFERROR(__xludf.DUMMYFUNCTION("""COMPUTED_VALUE"""),"Kimberly Ball")</f>
        <v>Kimberly Ball</v>
      </c>
      <c r="T4658" s="6" t="str">
        <f>IFERROR(__xludf.DUMMYFUNCTION("""COMPUTED_VALUE"""),"kimberly.ball@studient.com")</f>
        <v>kimberly.ball@studient.com</v>
      </c>
      <c r="U4658" s="6" t="str">
        <f>IFERROR(__xludf.DUMMYFUNCTION("""COMPUTED_VALUE"""),"7")</f>
        <v>7</v>
      </c>
      <c r="V4658" s="6" t="str">
        <f>IFERROR(__xludf.DUMMYFUNCTION("""COMPUTED_VALUE"""),"")</f>
        <v/>
      </c>
      <c r="W4658" s="6" t="str">
        <f>IFERROR(__xludf.DUMMYFUNCTION("""COMPUTED_VALUE"""),"[]")</f>
        <v>[]</v>
      </c>
      <c r="X4658" s="6" t="str">
        <f>IFERROR(__xludf.DUMMYFUNCTION("""COMPUTED_VALUE"""),"Enrolled")</f>
        <v>Enrolled</v>
      </c>
    </row>
    <row r="4659">
      <c r="A4659" s="6" t="str">
        <f>IFERROR(__xludf.DUMMYFUNCTION("""COMPUTED_VALUE"""),"084-13021")</f>
        <v>084-13021</v>
      </c>
      <c r="B4659" s="6" t="str">
        <f>IFERROR(__xludf.DUMMYFUNCTION("""COMPUTED_VALUE"""),"84")</f>
        <v>84</v>
      </c>
      <c r="C4659" s="6" t="str">
        <f>IFERROR(__xludf.DUMMYFUNCTION("""COMPUTED_VALUE"""),"13021")</f>
        <v>13021</v>
      </c>
      <c r="D4659" s="6" t="str">
        <f>IFERROR(__xludf.DUMMYFUNCTION("""COMPUTED_VALUE"""),"Evelyn")</f>
        <v>Evelyn</v>
      </c>
      <c r="E4659" s="6" t="str">
        <f>IFERROR(__xludf.DUMMYFUNCTION("""COMPUTED_VALUE"""),"")</f>
        <v/>
      </c>
      <c r="F4659" s="6" t="str">
        <f>IFERROR(__xludf.DUMMYFUNCTION("""COMPUTED_VALUE"""),"Diaz-Perez")</f>
        <v>Diaz-Perez</v>
      </c>
      <c r="G4659" s="6" t="str">
        <f>IFERROR(__xludf.DUMMYFUNCTION("""COMPUTED_VALUE"""),"11/09/2012")</f>
        <v>11/09/2012</v>
      </c>
      <c r="H4659" s="6" t="str">
        <f>IFERROR(__xludf.DUMMYFUNCTION("""COMPUTED_VALUE"""),"female")</f>
        <v>female</v>
      </c>
      <c r="I4659" s="6" t="str">
        <f>IFERROR(__xludf.DUMMYFUNCTION("""COMPUTED_VALUE"""),"Middle School")</f>
        <v>Middle School</v>
      </c>
      <c r="J4659" s="6" t="str">
        <f>IFERROR(__xludf.DUMMYFUNCTION("""COMPUTED_VALUE"""),"7")</f>
        <v>7</v>
      </c>
      <c r="K4659" s="6" t="str">
        <f>IFERROR(__xludf.DUMMYFUNCTION("""COMPUTED_VALUE"""),"evelyn.diaz-perez@2hourlearning.com")</f>
        <v>evelyn.diaz-perez@2hourlearning.com</v>
      </c>
      <c r="L4659" s="6" t="str">
        <f>IFERROR(__xludf.DUMMYFUNCTION("""COMPUTED_VALUE"""),"JHMS - Hardeeville Junior Senior High School")</f>
        <v>JHMS - Hardeeville Junior Senior High School</v>
      </c>
      <c r="M4659" s="6" t="str">
        <f>IFERROR(__xludf.DUMMYFUNCTION("""COMPUTED_VALUE"""),"")</f>
        <v/>
      </c>
      <c r="N4659" s="6" t="str">
        <f>IFERROR(__xludf.DUMMYFUNCTION("""COMPUTED_VALUE"""),"")</f>
        <v/>
      </c>
      <c r="O4659" s="87" t="str">
        <f>IFERROR(__xludf.DUMMYFUNCTION("""COMPUTED_VALUE"""),"https://drive.google.com/drive/folders/10T2cTQHqEJZqE-st6uFKPoI?usp=share_link")</f>
        <v>https://drive.google.com/drive/folders/10T2cTQHqEJZqE-st6uFKPoI?usp=share_link</v>
      </c>
      <c r="P4659" s="6" t="str">
        <f>IFERROR(__xludf.DUMMYFUNCTION("""COMPUTED_VALUE"""),"Evelyn Diaz-Perez")</f>
        <v>Evelyn Diaz-Perez</v>
      </c>
      <c r="Q4659" s="6" t="str">
        <f>IFERROR(__xludf.DUMMYFUNCTION("""COMPUTED_VALUE"""),"MS")</f>
        <v>MS</v>
      </c>
      <c r="R4659" s="6">
        <f>IFERROR(__xludf.DUMMYFUNCTION("""COMPUTED_VALUE"""),0.0)</f>
        <v>0</v>
      </c>
      <c r="S4659" s="6" t="str">
        <f>IFERROR(__xludf.DUMMYFUNCTION("""COMPUTED_VALUE"""),"Kimberly Ball")</f>
        <v>Kimberly Ball</v>
      </c>
      <c r="T4659" s="6" t="str">
        <f>IFERROR(__xludf.DUMMYFUNCTION("""COMPUTED_VALUE"""),"kimberly.ball@studient.com")</f>
        <v>kimberly.ball@studient.com</v>
      </c>
      <c r="U4659" s="6" t="str">
        <f>IFERROR(__xludf.DUMMYFUNCTION("""COMPUTED_VALUE"""),"7")</f>
        <v>7</v>
      </c>
      <c r="V4659" s="6" t="str">
        <f>IFERROR(__xludf.DUMMYFUNCTION("""COMPUTED_VALUE"""),"")</f>
        <v/>
      </c>
      <c r="W4659" s="6" t="str">
        <f>IFERROR(__xludf.DUMMYFUNCTION("""COMPUTED_VALUE"""),"[]")</f>
        <v>[]</v>
      </c>
      <c r="X4659" s="6" t="str">
        <f>IFERROR(__xludf.DUMMYFUNCTION("""COMPUTED_VALUE"""),"Enrolled")</f>
        <v>Enrolled</v>
      </c>
    </row>
    <row r="4660">
      <c r="A4660" s="6" t="str">
        <f>IFERROR(__xludf.DUMMYFUNCTION("""COMPUTED_VALUE"""),"084-13022")</f>
        <v>084-13022</v>
      </c>
      <c r="B4660" s="6" t="str">
        <f>IFERROR(__xludf.DUMMYFUNCTION("""COMPUTED_VALUE"""),"84")</f>
        <v>84</v>
      </c>
      <c r="C4660" s="6" t="str">
        <f>IFERROR(__xludf.DUMMYFUNCTION("""COMPUTED_VALUE"""),"13022")</f>
        <v>13022</v>
      </c>
      <c r="D4660" s="6" t="str">
        <f>IFERROR(__xludf.DUMMYFUNCTION("""COMPUTED_VALUE"""),"Daira")</f>
        <v>Daira</v>
      </c>
      <c r="E4660" s="6" t="str">
        <f>IFERROR(__xludf.DUMMYFUNCTION("""COMPUTED_VALUE"""),"")</f>
        <v/>
      </c>
      <c r="F4660" s="6" t="str">
        <f>IFERROR(__xludf.DUMMYFUNCTION("""COMPUTED_VALUE"""),"Escalante Izaguirre")</f>
        <v>Escalante Izaguirre</v>
      </c>
      <c r="G4660" s="6" t="str">
        <f>IFERROR(__xludf.DUMMYFUNCTION("""COMPUTED_VALUE"""),"01/10/2012")</f>
        <v>01/10/2012</v>
      </c>
      <c r="H4660" s="6" t="str">
        <f>IFERROR(__xludf.DUMMYFUNCTION("""COMPUTED_VALUE"""),"female")</f>
        <v>female</v>
      </c>
      <c r="I4660" s="6" t="str">
        <f>IFERROR(__xludf.DUMMYFUNCTION("""COMPUTED_VALUE"""),"Middle School")</f>
        <v>Middle School</v>
      </c>
      <c r="J4660" s="6" t="str">
        <f>IFERROR(__xludf.DUMMYFUNCTION("""COMPUTED_VALUE"""),"7")</f>
        <v>7</v>
      </c>
      <c r="K4660" s="6" t="str">
        <f>IFERROR(__xludf.DUMMYFUNCTION("""COMPUTED_VALUE"""),"daira.escalanteizaguirre@2hourlearning.com")</f>
        <v>daira.escalanteizaguirre@2hourlearning.com</v>
      </c>
      <c r="L4660" s="6" t="str">
        <f>IFERROR(__xludf.DUMMYFUNCTION("""COMPUTED_VALUE"""),"JHMS - Hardeeville Junior Senior High School")</f>
        <v>JHMS - Hardeeville Junior Senior High School</v>
      </c>
      <c r="M4660" s="6" t="str">
        <f>IFERROR(__xludf.DUMMYFUNCTION("""COMPUTED_VALUE"""),"")</f>
        <v/>
      </c>
      <c r="N4660" s="6" t="str">
        <f>IFERROR(__xludf.DUMMYFUNCTION("""COMPUTED_VALUE"""),"")</f>
        <v/>
      </c>
      <c r="O4660" s="87" t="str">
        <f>IFERROR(__xludf.DUMMYFUNCTION("""COMPUTED_VALUE"""),"https://drive.google.com/drive/folders/10T2cTQHqEJZqE-st6uFKPoI?usp=share_link")</f>
        <v>https://drive.google.com/drive/folders/10T2cTQHqEJZqE-st6uFKPoI?usp=share_link</v>
      </c>
      <c r="P4660" s="6" t="str">
        <f>IFERROR(__xludf.DUMMYFUNCTION("""COMPUTED_VALUE"""),"Daira Escalante Izaguirre")</f>
        <v>Daira Escalante Izaguirre</v>
      </c>
      <c r="Q4660" s="6" t="str">
        <f>IFERROR(__xludf.DUMMYFUNCTION("""COMPUTED_VALUE"""),"MS")</f>
        <v>MS</v>
      </c>
      <c r="R4660" s="6">
        <f>IFERROR(__xludf.DUMMYFUNCTION("""COMPUTED_VALUE"""),0.0)</f>
        <v>0</v>
      </c>
      <c r="S4660" s="6" t="str">
        <f>IFERROR(__xludf.DUMMYFUNCTION("""COMPUTED_VALUE"""),"Kimberly Ball")</f>
        <v>Kimberly Ball</v>
      </c>
      <c r="T4660" s="6" t="str">
        <f>IFERROR(__xludf.DUMMYFUNCTION("""COMPUTED_VALUE"""),"kimberly.ball@studient.com")</f>
        <v>kimberly.ball@studient.com</v>
      </c>
      <c r="U4660" s="6" t="str">
        <f>IFERROR(__xludf.DUMMYFUNCTION("""COMPUTED_VALUE"""),"7")</f>
        <v>7</v>
      </c>
      <c r="V4660" s="6" t="str">
        <f>IFERROR(__xludf.DUMMYFUNCTION("""COMPUTED_VALUE"""),"")</f>
        <v/>
      </c>
      <c r="W4660" s="6" t="str">
        <f>IFERROR(__xludf.DUMMYFUNCTION("""COMPUTED_VALUE"""),"[]")</f>
        <v>[]</v>
      </c>
      <c r="X4660" s="6" t="str">
        <f>IFERROR(__xludf.DUMMYFUNCTION("""COMPUTED_VALUE"""),"Enrolled")</f>
        <v>Enrolled</v>
      </c>
    </row>
    <row r="4661">
      <c r="A4661" s="6" t="str">
        <f>IFERROR(__xludf.DUMMYFUNCTION("""COMPUTED_VALUE"""),"084-13023")</f>
        <v>084-13023</v>
      </c>
      <c r="B4661" s="6" t="str">
        <f>IFERROR(__xludf.DUMMYFUNCTION("""COMPUTED_VALUE"""),"84")</f>
        <v>84</v>
      </c>
      <c r="C4661" s="6" t="str">
        <f>IFERROR(__xludf.DUMMYFUNCTION("""COMPUTED_VALUE"""),"13023")</f>
        <v>13023</v>
      </c>
      <c r="D4661" s="6" t="str">
        <f>IFERROR(__xludf.DUMMYFUNCTION("""COMPUTED_VALUE"""),"Zoe")</f>
        <v>Zoe</v>
      </c>
      <c r="E4661" s="6" t="str">
        <f>IFERROR(__xludf.DUMMYFUNCTION("""COMPUTED_VALUE"""),"")</f>
        <v/>
      </c>
      <c r="F4661" s="6" t="str">
        <f>IFERROR(__xludf.DUMMYFUNCTION("""COMPUTED_VALUE"""),"Escalante Izaguirre")</f>
        <v>Escalante Izaguirre</v>
      </c>
      <c r="G4661" s="6" t="str">
        <f>IFERROR(__xludf.DUMMYFUNCTION("""COMPUTED_VALUE"""),"06/04/2013")</f>
        <v>06/04/2013</v>
      </c>
      <c r="H4661" s="6" t="str">
        <f>IFERROR(__xludf.DUMMYFUNCTION("""COMPUTED_VALUE"""),"female")</f>
        <v>female</v>
      </c>
      <c r="I4661" s="6" t="str">
        <f>IFERROR(__xludf.DUMMYFUNCTION("""COMPUTED_VALUE"""),"Middle School")</f>
        <v>Middle School</v>
      </c>
      <c r="J4661" s="6" t="str">
        <f>IFERROR(__xludf.DUMMYFUNCTION("""COMPUTED_VALUE"""),"7")</f>
        <v>7</v>
      </c>
      <c r="K4661" s="6" t="str">
        <f>IFERROR(__xludf.DUMMYFUNCTION("""COMPUTED_VALUE"""),"zoe.escalanteizaguirre@2hourlearning.com")</f>
        <v>zoe.escalanteizaguirre@2hourlearning.com</v>
      </c>
      <c r="L4661" s="6" t="str">
        <f>IFERROR(__xludf.DUMMYFUNCTION("""COMPUTED_VALUE"""),"JHMS - Hardeeville Junior Senior High School")</f>
        <v>JHMS - Hardeeville Junior Senior High School</v>
      </c>
      <c r="M4661" s="6" t="str">
        <f>IFERROR(__xludf.DUMMYFUNCTION("""COMPUTED_VALUE"""),"")</f>
        <v/>
      </c>
      <c r="N4661" s="6" t="str">
        <f>IFERROR(__xludf.DUMMYFUNCTION("""COMPUTED_VALUE"""),"")</f>
        <v/>
      </c>
      <c r="O4661" s="87" t="str">
        <f>IFERROR(__xludf.DUMMYFUNCTION("""COMPUTED_VALUE"""),"https://drive.google.com/drive/folders/10T2cTQHqEJZqE-st6uFKPoI?usp=share_link")</f>
        <v>https://drive.google.com/drive/folders/10T2cTQHqEJZqE-st6uFKPoI?usp=share_link</v>
      </c>
      <c r="P4661" s="6" t="str">
        <f>IFERROR(__xludf.DUMMYFUNCTION("""COMPUTED_VALUE"""),"Zoe Escalante Izaguirre")</f>
        <v>Zoe Escalante Izaguirre</v>
      </c>
      <c r="Q4661" s="6" t="str">
        <f>IFERROR(__xludf.DUMMYFUNCTION("""COMPUTED_VALUE"""),"MS")</f>
        <v>MS</v>
      </c>
      <c r="R4661" s="6">
        <f>IFERROR(__xludf.DUMMYFUNCTION("""COMPUTED_VALUE"""),0.0)</f>
        <v>0</v>
      </c>
      <c r="S4661" s="6" t="str">
        <f>IFERROR(__xludf.DUMMYFUNCTION("""COMPUTED_VALUE"""),"Kimberly Ball")</f>
        <v>Kimberly Ball</v>
      </c>
      <c r="T4661" s="6" t="str">
        <f>IFERROR(__xludf.DUMMYFUNCTION("""COMPUTED_VALUE"""),"kimberly.ball@studient.com")</f>
        <v>kimberly.ball@studient.com</v>
      </c>
      <c r="U4661" s="6" t="str">
        <f>IFERROR(__xludf.DUMMYFUNCTION("""COMPUTED_VALUE"""),"7")</f>
        <v>7</v>
      </c>
      <c r="V4661" s="6" t="str">
        <f>IFERROR(__xludf.DUMMYFUNCTION("""COMPUTED_VALUE"""),"")</f>
        <v/>
      </c>
      <c r="W4661" s="6" t="str">
        <f>IFERROR(__xludf.DUMMYFUNCTION("""COMPUTED_VALUE"""),"[]")</f>
        <v>[]</v>
      </c>
      <c r="X4661" s="6" t="str">
        <f>IFERROR(__xludf.DUMMYFUNCTION("""COMPUTED_VALUE"""),"Enrolled")</f>
        <v>Enrolled</v>
      </c>
    </row>
    <row r="4662">
      <c r="A4662" s="6" t="str">
        <f>IFERROR(__xludf.DUMMYFUNCTION("""COMPUTED_VALUE"""),"084-13024")</f>
        <v>084-13024</v>
      </c>
      <c r="B4662" s="6" t="str">
        <f>IFERROR(__xludf.DUMMYFUNCTION("""COMPUTED_VALUE"""),"84")</f>
        <v>84</v>
      </c>
      <c r="C4662" s="6" t="str">
        <f>IFERROR(__xludf.DUMMYFUNCTION("""COMPUTED_VALUE"""),"13024")</f>
        <v>13024</v>
      </c>
      <c r="D4662" s="6" t="str">
        <f>IFERROR(__xludf.DUMMYFUNCTION("""COMPUTED_VALUE"""),"Anthony")</f>
        <v>Anthony</v>
      </c>
      <c r="E4662" s="6" t="str">
        <f>IFERROR(__xludf.DUMMYFUNCTION("""COMPUTED_VALUE"""),"")</f>
        <v/>
      </c>
      <c r="F4662" s="6" t="str">
        <f>IFERROR(__xludf.DUMMYFUNCTION("""COMPUTED_VALUE"""),"Evaristo Galvin")</f>
        <v>Evaristo Galvin</v>
      </c>
      <c r="G4662" s="6" t="str">
        <f>IFERROR(__xludf.DUMMYFUNCTION("""COMPUTED_VALUE"""),"09/21/2012")</f>
        <v>09/21/2012</v>
      </c>
      <c r="H4662" s="6" t="str">
        <f>IFERROR(__xludf.DUMMYFUNCTION("""COMPUTED_VALUE"""),"male")</f>
        <v>male</v>
      </c>
      <c r="I4662" s="6" t="str">
        <f>IFERROR(__xludf.DUMMYFUNCTION("""COMPUTED_VALUE"""),"Middle School")</f>
        <v>Middle School</v>
      </c>
      <c r="J4662" s="6" t="str">
        <f>IFERROR(__xludf.DUMMYFUNCTION("""COMPUTED_VALUE"""),"7")</f>
        <v>7</v>
      </c>
      <c r="K4662" s="6" t="str">
        <f>IFERROR(__xludf.DUMMYFUNCTION("""COMPUTED_VALUE"""),"anthony.evaristogalvin@2hourlearning.com")</f>
        <v>anthony.evaristogalvin@2hourlearning.com</v>
      </c>
      <c r="L4662" s="6" t="str">
        <f>IFERROR(__xludf.DUMMYFUNCTION("""COMPUTED_VALUE"""),"JHMS - Hardeeville Junior Senior High School")</f>
        <v>JHMS - Hardeeville Junior Senior High School</v>
      </c>
      <c r="M4662" s="6" t="str">
        <f>IFERROR(__xludf.DUMMYFUNCTION("""COMPUTED_VALUE"""),"")</f>
        <v/>
      </c>
      <c r="N4662" s="6" t="str">
        <f>IFERROR(__xludf.DUMMYFUNCTION("""COMPUTED_VALUE"""),"")</f>
        <v/>
      </c>
      <c r="O4662" s="87" t="str">
        <f>IFERROR(__xludf.DUMMYFUNCTION("""COMPUTED_VALUE"""),"https://drive.google.com/drive/folders/10T2cTQHqEJZqE-st6uFKPoI?usp=share_link")</f>
        <v>https://drive.google.com/drive/folders/10T2cTQHqEJZqE-st6uFKPoI?usp=share_link</v>
      </c>
      <c r="P4662" s="6" t="str">
        <f>IFERROR(__xludf.DUMMYFUNCTION("""COMPUTED_VALUE"""),"Anthony Evaristo Galvin")</f>
        <v>Anthony Evaristo Galvin</v>
      </c>
      <c r="Q4662" s="6" t="str">
        <f>IFERROR(__xludf.DUMMYFUNCTION("""COMPUTED_VALUE"""),"MS")</f>
        <v>MS</v>
      </c>
      <c r="R4662" s="6">
        <f>IFERROR(__xludf.DUMMYFUNCTION("""COMPUTED_VALUE"""),0.0)</f>
        <v>0</v>
      </c>
      <c r="S4662" s="6" t="str">
        <f>IFERROR(__xludf.DUMMYFUNCTION("""COMPUTED_VALUE"""),"Kimberly Ball")</f>
        <v>Kimberly Ball</v>
      </c>
      <c r="T4662" s="6" t="str">
        <f>IFERROR(__xludf.DUMMYFUNCTION("""COMPUTED_VALUE"""),"kimberly.ball@studient.com")</f>
        <v>kimberly.ball@studient.com</v>
      </c>
      <c r="U4662" s="6" t="str">
        <f>IFERROR(__xludf.DUMMYFUNCTION("""COMPUTED_VALUE"""),"7")</f>
        <v>7</v>
      </c>
      <c r="V4662" s="6" t="str">
        <f>IFERROR(__xludf.DUMMYFUNCTION("""COMPUTED_VALUE"""),"")</f>
        <v/>
      </c>
      <c r="W4662" s="6" t="str">
        <f>IFERROR(__xludf.DUMMYFUNCTION("""COMPUTED_VALUE"""),"[]")</f>
        <v>[]</v>
      </c>
      <c r="X4662" s="6" t="str">
        <f>IFERROR(__xludf.DUMMYFUNCTION("""COMPUTED_VALUE"""),"Enrolled")</f>
        <v>Enrolled</v>
      </c>
    </row>
    <row r="4663">
      <c r="A4663" s="6" t="str">
        <f>IFERROR(__xludf.DUMMYFUNCTION("""COMPUTED_VALUE"""),"084-13025")</f>
        <v>084-13025</v>
      </c>
      <c r="B4663" s="6" t="str">
        <f>IFERROR(__xludf.DUMMYFUNCTION("""COMPUTED_VALUE"""),"84")</f>
        <v>84</v>
      </c>
      <c r="C4663" s="6" t="str">
        <f>IFERROR(__xludf.DUMMYFUNCTION("""COMPUTED_VALUE"""),"13025")</f>
        <v>13025</v>
      </c>
      <c r="D4663" s="6" t="str">
        <f>IFERROR(__xludf.DUMMYFUNCTION("""COMPUTED_VALUE"""),"Mateo")</f>
        <v>Mateo</v>
      </c>
      <c r="E4663" s="6" t="str">
        <f>IFERROR(__xludf.DUMMYFUNCTION("""COMPUTED_VALUE"""),"")</f>
        <v/>
      </c>
      <c r="F4663" s="6" t="str">
        <f>IFERROR(__xludf.DUMMYFUNCTION("""COMPUTED_VALUE"""),"Figueroa-Nava")</f>
        <v>Figueroa-Nava</v>
      </c>
      <c r="G4663" s="6" t="str">
        <f>IFERROR(__xludf.DUMMYFUNCTION("""COMPUTED_VALUE"""),"07/12/2013")</f>
        <v>07/12/2013</v>
      </c>
      <c r="H4663" s="6" t="str">
        <f>IFERROR(__xludf.DUMMYFUNCTION("""COMPUTED_VALUE"""),"male")</f>
        <v>male</v>
      </c>
      <c r="I4663" s="6" t="str">
        <f>IFERROR(__xludf.DUMMYFUNCTION("""COMPUTED_VALUE"""),"Middle School")</f>
        <v>Middle School</v>
      </c>
      <c r="J4663" s="6" t="str">
        <f>IFERROR(__xludf.DUMMYFUNCTION("""COMPUTED_VALUE"""),"7")</f>
        <v>7</v>
      </c>
      <c r="K4663" s="6" t="str">
        <f>IFERROR(__xludf.DUMMYFUNCTION("""COMPUTED_VALUE"""),"mateo.figueroa-nava@2hourlearning.com")</f>
        <v>mateo.figueroa-nava@2hourlearning.com</v>
      </c>
      <c r="L4663" s="6" t="str">
        <f>IFERROR(__xludf.DUMMYFUNCTION("""COMPUTED_VALUE"""),"JHMS - Hardeeville Junior Senior High School")</f>
        <v>JHMS - Hardeeville Junior Senior High School</v>
      </c>
      <c r="M4663" s="6" t="str">
        <f>IFERROR(__xludf.DUMMYFUNCTION("""COMPUTED_VALUE"""),"")</f>
        <v/>
      </c>
      <c r="N4663" s="6" t="str">
        <f>IFERROR(__xludf.DUMMYFUNCTION("""COMPUTED_VALUE"""),"")</f>
        <v/>
      </c>
      <c r="O4663" s="87" t="str">
        <f>IFERROR(__xludf.DUMMYFUNCTION("""COMPUTED_VALUE"""),"https://drive.google.com/drive/folders/10T2cTQHqEJZqE-st6uFKPoI?usp=share_link")</f>
        <v>https://drive.google.com/drive/folders/10T2cTQHqEJZqE-st6uFKPoI?usp=share_link</v>
      </c>
      <c r="P4663" s="6" t="str">
        <f>IFERROR(__xludf.DUMMYFUNCTION("""COMPUTED_VALUE"""),"Mateo Figueroa-Nava")</f>
        <v>Mateo Figueroa-Nava</v>
      </c>
      <c r="Q4663" s="6" t="str">
        <f>IFERROR(__xludf.DUMMYFUNCTION("""COMPUTED_VALUE"""),"MS")</f>
        <v>MS</v>
      </c>
      <c r="R4663" s="6">
        <f>IFERROR(__xludf.DUMMYFUNCTION("""COMPUTED_VALUE"""),0.0)</f>
        <v>0</v>
      </c>
      <c r="S4663" s="6" t="str">
        <f>IFERROR(__xludf.DUMMYFUNCTION("""COMPUTED_VALUE"""),"Kimberly Ball")</f>
        <v>Kimberly Ball</v>
      </c>
      <c r="T4663" s="6" t="str">
        <f>IFERROR(__xludf.DUMMYFUNCTION("""COMPUTED_VALUE"""),"kimberly.ball@studient.com")</f>
        <v>kimberly.ball@studient.com</v>
      </c>
      <c r="U4663" s="6" t="str">
        <f>IFERROR(__xludf.DUMMYFUNCTION("""COMPUTED_VALUE"""),"7")</f>
        <v>7</v>
      </c>
      <c r="V4663" s="6" t="str">
        <f>IFERROR(__xludf.DUMMYFUNCTION("""COMPUTED_VALUE"""),"")</f>
        <v/>
      </c>
      <c r="W4663" s="6" t="str">
        <f>IFERROR(__xludf.DUMMYFUNCTION("""COMPUTED_VALUE"""),"[]")</f>
        <v>[]</v>
      </c>
      <c r="X4663" s="6" t="str">
        <f>IFERROR(__xludf.DUMMYFUNCTION("""COMPUTED_VALUE"""),"Enrolled")</f>
        <v>Enrolled</v>
      </c>
    </row>
    <row r="4664">
      <c r="A4664" s="6" t="str">
        <f>IFERROR(__xludf.DUMMYFUNCTION("""COMPUTED_VALUE"""),"084-13026")</f>
        <v>084-13026</v>
      </c>
      <c r="B4664" s="6" t="str">
        <f>IFERROR(__xludf.DUMMYFUNCTION("""COMPUTED_VALUE"""),"84")</f>
        <v>84</v>
      </c>
      <c r="C4664" s="6" t="str">
        <f>IFERROR(__xludf.DUMMYFUNCTION("""COMPUTED_VALUE"""),"13026")</f>
        <v>13026</v>
      </c>
      <c r="D4664" s="6" t="str">
        <f>IFERROR(__xludf.DUMMYFUNCTION("""COMPUTED_VALUE"""),"Fatima")</f>
        <v>Fatima</v>
      </c>
      <c r="E4664" s="6" t="str">
        <f>IFERROR(__xludf.DUMMYFUNCTION("""COMPUTED_VALUE"""),"")</f>
        <v/>
      </c>
      <c r="F4664" s="6" t="str">
        <f>IFERROR(__xludf.DUMMYFUNCTION("""COMPUTED_VALUE"""),"Flores Adame")</f>
        <v>Flores Adame</v>
      </c>
      <c r="G4664" s="6" t="str">
        <f>IFERROR(__xludf.DUMMYFUNCTION("""COMPUTED_VALUE"""),"10/23/2012")</f>
        <v>10/23/2012</v>
      </c>
      <c r="H4664" s="6" t="str">
        <f>IFERROR(__xludf.DUMMYFUNCTION("""COMPUTED_VALUE"""),"female")</f>
        <v>female</v>
      </c>
      <c r="I4664" s="6" t="str">
        <f>IFERROR(__xludf.DUMMYFUNCTION("""COMPUTED_VALUE"""),"Middle School")</f>
        <v>Middle School</v>
      </c>
      <c r="J4664" s="6" t="str">
        <f>IFERROR(__xludf.DUMMYFUNCTION("""COMPUTED_VALUE"""),"7")</f>
        <v>7</v>
      </c>
      <c r="K4664" s="6" t="str">
        <f>IFERROR(__xludf.DUMMYFUNCTION("""COMPUTED_VALUE"""),"fatima.floresadame@2hourlearning.com")</f>
        <v>fatima.floresadame@2hourlearning.com</v>
      </c>
      <c r="L4664" s="6" t="str">
        <f>IFERROR(__xludf.DUMMYFUNCTION("""COMPUTED_VALUE"""),"JHMS - Hardeeville Junior Senior High School")</f>
        <v>JHMS - Hardeeville Junior Senior High School</v>
      </c>
      <c r="M4664" s="6" t="str">
        <f>IFERROR(__xludf.DUMMYFUNCTION("""COMPUTED_VALUE"""),"")</f>
        <v/>
      </c>
      <c r="N4664" s="6" t="str">
        <f>IFERROR(__xludf.DUMMYFUNCTION("""COMPUTED_VALUE"""),"")</f>
        <v/>
      </c>
      <c r="O4664" s="87" t="str">
        <f>IFERROR(__xludf.DUMMYFUNCTION("""COMPUTED_VALUE"""),"https://drive.google.com/drive/folders/10T2cTQHqEJZqE-st6uFKPoI?usp=share_link")</f>
        <v>https://drive.google.com/drive/folders/10T2cTQHqEJZqE-st6uFKPoI?usp=share_link</v>
      </c>
      <c r="P4664" s="6" t="str">
        <f>IFERROR(__xludf.DUMMYFUNCTION("""COMPUTED_VALUE"""),"Fatima Flores Adame")</f>
        <v>Fatima Flores Adame</v>
      </c>
      <c r="Q4664" s="6" t="str">
        <f>IFERROR(__xludf.DUMMYFUNCTION("""COMPUTED_VALUE"""),"MS")</f>
        <v>MS</v>
      </c>
      <c r="R4664" s="6">
        <f>IFERROR(__xludf.DUMMYFUNCTION("""COMPUTED_VALUE"""),0.0)</f>
        <v>0</v>
      </c>
      <c r="S4664" s="6" t="str">
        <f>IFERROR(__xludf.DUMMYFUNCTION("""COMPUTED_VALUE"""),"Kimberly Ball")</f>
        <v>Kimberly Ball</v>
      </c>
      <c r="T4664" s="6" t="str">
        <f>IFERROR(__xludf.DUMMYFUNCTION("""COMPUTED_VALUE"""),"kimberly.ball@studient.com")</f>
        <v>kimberly.ball@studient.com</v>
      </c>
      <c r="U4664" s="6" t="str">
        <f>IFERROR(__xludf.DUMMYFUNCTION("""COMPUTED_VALUE"""),"7")</f>
        <v>7</v>
      </c>
      <c r="V4664" s="6" t="str">
        <f>IFERROR(__xludf.DUMMYFUNCTION("""COMPUTED_VALUE"""),"")</f>
        <v/>
      </c>
      <c r="W4664" s="6" t="str">
        <f>IFERROR(__xludf.DUMMYFUNCTION("""COMPUTED_VALUE"""),"[]")</f>
        <v>[]</v>
      </c>
      <c r="X4664" s="6" t="str">
        <f>IFERROR(__xludf.DUMMYFUNCTION("""COMPUTED_VALUE"""),"Enrolled")</f>
        <v>Enrolled</v>
      </c>
    </row>
    <row r="4665">
      <c r="A4665" s="6" t="str">
        <f>IFERROR(__xludf.DUMMYFUNCTION("""COMPUTED_VALUE"""),"084-13027")</f>
        <v>084-13027</v>
      </c>
      <c r="B4665" s="6" t="str">
        <f>IFERROR(__xludf.DUMMYFUNCTION("""COMPUTED_VALUE"""),"84")</f>
        <v>84</v>
      </c>
      <c r="C4665" s="6" t="str">
        <f>IFERROR(__xludf.DUMMYFUNCTION("""COMPUTED_VALUE"""),"13027")</f>
        <v>13027</v>
      </c>
      <c r="D4665" s="6" t="str">
        <f>IFERROR(__xludf.DUMMYFUNCTION("""COMPUTED_VALUE"""),"Kayden")</f>
        <v>Kayden</v>
      </c>
      <c r="E4665" s="6" t="str">
        <f>IFERROR(__xludf.DUMMYFUNCTION("""COMPUTED_VALUE"""),"")</f>
        <v/>
      </c>
      <c r="F4665" s="6" t="str">
        <f>IFERROR(__xludf.DUMMYFUNCTION("""COMPUTED_VALUE"""),"Foil")</f>
        <v>Foil</v>
      </c>
      <c r="G4665" s="6" t="str">
        <f>IFERROR(__xludf.DUMMYFUNCTION("""COMPUTED_VALUE"""),"07/31/2013")</f>
        <v>07/31/2013</v>
      </c>
      <c r="H4665" s="6" t="str">
        <f>IFERROR(__xludf.DUMMYFUNCTION("""COMPUTED_VALUE"""),"male")</f>
        <v>male</v>
      </c>
      <c r="I4665" s="6" t="str">
        <f>IFERROR(__xludf.DUMMYFUNCTION("""COMPUTED_VALUE"""),"Middle School")</f>
        <v>Middle School</v>
      </c>
      <c r="J4665" s="6" t="str">
        <f>IFERROR(__xludf.DUMMYFUNCTION("""COMPUTED_VALUE"""),"7")</f>
        <v>7</v>
      </c>
      <c r="K4665" s="6" t="str">
        <f>IFERROR(__xludf.DUMMYFUNCTION("""COMPUTED_VALUE"""),"kayden.foil@2hourlearning.com")</f>
        <v>kayden.foil@2hourlearning.com</v>
      </c>
      <c r="L4665" s="6" t="str">
        <f>IFERROR(__xludf.DUMMYFUNCTION("""COMPUTED_VALUE"""),"JHMS - Hardeeville Junior Senior High School")</f>
        <v>JHMS - Hardeeville Junior Senior High School</v>
      </c>
      <c r="M4665" s="6" t="str">
        <f>IFERROR(__xludf.DUMMYFUNCTION("""COMPUTED_VALUE"""),"")</f>
        <v/>
      </c>
      <c r="N4665" s="6" t="str">
        <f>IFERROR(__xludf.DUMMYFUNCTION("""COMPUTED_VALUE"""),"")</f>
        <v/>
      </c>
      <c r="O4665" s="87" t="str">
        <f>IFERROR(__xludf.DUMMYFUNCTION("""COMPUTED_VALUE"""),"https://drive.google.com/drive/folders/10T2cTQHqEJZqE-st6uFKPoI?usp=share_link")</f>
        <v>https://drive.google.com/drive/folders/10T2cTQHqEJZqE-st6uFKPoI?usp=share_link</v>
      </c>
      <c r="P4665" s="6" t="str">
        <f>IFERROR(__xludf.DUMMYFUNCTION("""COMPUTED_VALUE"""),"Kayden Foil")</f>
        <v>Kayden Foil</v>
      </c>
      <c r="Q4665" s="6" t="str">
        <f>IFERROR(__xludf.DUMMYFUNCTION("""COMPUTED_VALUE"""),"MS")</f>
        <v>MS</v>
      </c>
      <c r="R4665" s="6">
        <f>IFERROR(__xludf.DUMMYFUNCTION("""COMPUTED_VALUE"""),0.0)</f>
        <v>0</v>
      </c>
      <c r="S4665" s="6" t="str">
        <f>IFERROR(__xludf.DUMMYFUNCTION("""COMPUTED_VALUE"""),"Kimberly Ball")</f>
        <v>Kimberly Ball</v>
      </c>
      <c r="T4665" s="6" t="str">
        <f>IFERROR(__xludf.DUMMYFUNCTION("""COMPUTED_VALUE"""),"kimberly.ball@studient.com")</f>
        <v>kimberly.ball@studient.com</v>
      </c>
      <c r="U4665" s="6" t="str">
        <f>IFERROR(__xludf.DUMMYFUNCTION("""COMPUTED_VALUE"""),"7")</f>
        <v>7</v>
      </c>
      <c r="V4665" s="6" t="str">
        <f>IFERROR(__xludf.DUMMYFUNCTION("""COMPUTED_VALUE"""),"")</f>
        <v/>
      </c>
      <c r="W4665" s="6" t="str">
        <f>IFERROR(__xludf.DUMMYFUNCTION("""COMPUTED_VALUE"""),"[]")</f>
        <v>[]</v>
      </c>
      <c r="X4665" s="6" t="str">
        <f>IFERROR(__xludf.DUMMYFUNCTION("""COMPUTED_VALUE"""),"Enrolled")</f>
        <v>Enrolled</v>
      </c>
    </row>
    <row r="4666">
      <c r="A4666" s="6" t="str">
        <f>IFERROR(__xludf.DUMMYFUNCTION("""COMPUTED_VALUE"""),"084-13028")</f>
        <v>084-13028</v>
      </c>
      <c r="B4666" s="6" t="str">
        <f>IFERROR(__xludf.DUMMYFUNCTION("""COMPUTED_VALUE"""),"84")</f>
        <v>84</v>
      </c>
      <c r="C4666" s="6" t="str">
        <f>IFERROR(__xludf.DUMMYFUNCTION("""COMPUTED_VALUE"""),"13028")</f>
        <v>13028</v>
      </c>
      <c r="D4666" s="6" t="str">
        <f>IFERROR(__xludf.DUMMYFUNCTION("""COMPUTED_VALUE"""),"Adam")</f>
        <v>Adam</v>
      </c>
      <c r="E4666" s="6" t="str">
        <f>IFERROR(__xludf.DUMMYFUNCTION("""COMPUTED_VALUE"""),"")</f>
        <v/>
      </c>
      <c r="F4666" s="6" t="str">
        <f>IFERROR(__xludf.DUMMYFUNCTION("""COMPUTED_VALUE"""),"Fripp")</f>
        <v>Fripp</v>
      </c>
      <c r="G4666" s="6" t="str">
        <f>IFERROR(__xludf.DUMMYFUNCTION("""COMPUTED_VALUE"""),"05/23/2012")</f>
        <v>05/23/2012</v>
      </c>
      <c r="H4666" s="6" t="str">
        <f>IFERROR(__xludf.DUMMYFUNCTION("""COMPUTED_VALUE"""),"male")</f>
        <v>male</v>
      </c>
      <c r="I4666" s="6" t="str">
        <f>IFERROR(__xludf.DUMMYFUNCTION("""COMPUTED_VALUE"""),"Middle School")</f>
        <v>Middle School</v>
      </c>
      <c r="J4666" s="6" t="str">
        <f>IFERROR(__xludf.DUMMYFUNCTION("""COMPUTED_VALUE"""),"7")</f>
        <v>7</v>
      </c>
      <c r="K4666" s="6" t="str">
        <f>IFERROR(__xludf.DUMMYFUNCTION("""COMPUTED_VALUE"""),"adam.fripp@2hourlearning.com")</f>
        <v>adam.fripp@2hourlearning.com</v>
      </c>
      <c r="L4666" s="6" t="str">
        <f>IFERROR(__xludf.DUMMYFUNCTION("""COMPUTED_VALUE"""),"JHMS - Hardeeville Junior Senior High School")</f>
        <v>JHMS - Hardeeville Junior Senior High School</v>
      </c>
      <c r="M4666" s="6" t="str">
        <f>IFERROR(__xludf.DUMMYFUNCTION("""COMPUTED_VALUE"""),"")</f>
        <v/>
      </c>
      <c r="N4666" s="6" t="str">
        <f>IFERROR(__xludf.DUMMYFUNCTION("""COMPUTED_VALUE"""),"")</f>
        <v/>
      </c>
      <c r="O4666" s="87" t="str">
        <f>IFERROR(__xludf.DUMMYFUNCTION("""COMPUTED_VALUE"""),"https://drive.google.com/drive/folders/10T2cTQHqEJZqE-st6uFKPoI?usp=share_link")</f>
        <v>https://drive.google.com/drive/folders/10T2cTQHqEJZqE-st6uFKPoI?usp=share_link</v>
      </c>
      <c r="P4666" s="6" t="str">
        <f>IFERROR(__xludf.DUMMYFUNCTION("""COMPUTED_VALUE"""),"Adam Fripp")</f>
        <v>Adam Fripp</v>
      </c>
      <c r="Q4666" s="6" t="str">
        <f>IFERROR(__xludf.DUMMYFUNCTION("""COMPUTED_VALUE"""),"MS")</f>
        <v>MS</v>
      </c>
      <c r="R4666" s="6">
        <f>IFERROR(__xludf.DUMMYFUNCTION("""COMPUTED_VALUE"""),0.0)</f>
        <v>0</v>
      </c>
      <c r="S4666" s="6" t="str">
        <f>IFERROR(__xludf.DUMMYFUNCTION("""COMPUTED_VALUE"""),"Kimberly Ball")</f>
        <v>Kimberly Ball</v>
      </c>
      <c r="T4666" s="6" t="str">
        <f>IFERROR(__xludf.DUMMYFUNCTION("""COMPUTED_VALUE"""),"kimberly.ball@studient.com")</f>
        <v>kimberly.ball@studient.com</v>
      </c>
      <c r="U4666" s="6" t="str">
        <f>IFERROR(__xludf.DUMMYFUNCTION("""COMPUTED_VALUE"""),"7")</f>
        <v>7</v>
      </c>
      <c r="V4666" s="6" t="str">
        <f>IFERROR(__xludf.DUMMYFUNCTION("""COMPUTED_VALUE"""),"")</f>
        <v/>
      </c>
      <c r="W4666" s="6" t="str">
        <f>IFERROR(__xludf.DUMMYFUNCTION("""COMPUTED_VALUE"""),"[]")</f>
        <v>[]</v>
      </c>
      <c r="X4666" s="6" t="str">
        <f>IFERROR(__xludf.DUMMYFUNCTION("""COMPUTED_VALUE"""),"Enrolled")</f>
        <v>Enrolled</v>
      </c>
    </row>
    <row r="4667">
      <c r="A4667" s="6" t="str">
        <f>IFERROR(__xludf.DUMMYFUNCTION("""COMPUTED_VALUE"""),"084-13029")</f>
        <v>084-13029</v>
      </c>
      <c r="B4667" s="6" t="str">
        <f>IFERROR(__xludf.DUMMYFUNCTION("""COMPUTED_VALUE"""),"84")</f>
        <v>84</v>
      </c>
      <c r="C4667" s="6" t="str">
        <f>IFERROR(__xludf.DUMMYFUNCTION("""COMPUTED_VALUE"""),"13029")</f>
        <v>13029</v>
      </c>
      <c r="D4667" s="6" t="str">
        <f>IFERROR(__xludf.DUMMYFUNCTION("""COMPUTED_VALUE"""),"Thomas")</f>
        <v>Thomas</v>
      </c>
      <c r="E4667" s="6" t="str">
        <f>IFERROR(__xludf.DUMMYFUNCTION("""COMPUTED_VALUE"""),"")</f>
        <v/>
      </c>
      <c r="F4667" s="6" t="str">
        <f>IFERROR(__xludf.DUMMYFUNCTION("""COMPUTED_VALUE"""),"Funes de Leon")</f>
        <v>Funes de Leon</v>
      </c>
      <c r="G4667" s="6" t="str">
        <f>IFERROR(__xludf.DUMMYFUNCTION("""COMPUTED_VALUE"""),"11/01/2012")</f>
        <v>11/01/2012</v>
      </c>
      <c r="H4667" s="6" t="str">
        <f>IFERROR(__xludf.DUMMYFUNCTION("""COMPUTED_VALUE"""),"female")</f>
        <v>female</v>
      </c>
      <c r="I4667" s="6" t="str">
        <f>IFERROR(__xludf.DUMMYFUNCTION("""COMPUTED_VALUE"""),"Middle School")</f>
        <v>Middle School</v>
      </c>
      <c r="J4667" s="6" t="str">
        <f>IFERROR(__xludf.DUMMYFUNCTION("""COMPUTED_VALUE"""),"7")</f>
        <v>7</v>
      </c>
      <c r="K4667" s="6" t="str">
        <f>IFERROR(__xludf.DUMMYFUNCTION("""COMPUTED_VALUE"""),"thomas.funesdeleon@2hourlearning.com")</f>
        <v>thomas.funesdeleon@2hourlearning.com</v>
      </c>
      <c r="L4667" s="6" t="str">
        <f>IFERROR(__xludf.DUMMYFUNCTION("""COMPUTED_VALUE"""),"JHMS - Hardeeville Junior Senior High School")</f>
        <v>JHMS - Hardeeville Junior Senior High School</v>
      </c>
      <c r="M4667" s="6" t="str">
        <f>IFERROR(__xludf.DUMMYFUNCTION("""COMPUTED_VALUE"""),"")</f>
        <v/>
      </c>
      <c r="N4667" s="6" t="str">
        <f>IFERROR(__xludf.DUMMYFUNCTION("""COMPUTED_VALUE"""),"")</f>
        <v/>
      </c>
      <c r="O4667" s="87" t="str">
        <f>IFERROR(__xludf.DUMMYFUNCTION("""COMPUTED_VALUE"""),"https://drive.google.com/drive/folders/10T2cTQHqEJZqE-st6uFKPoI?usp=share_link")</f>
        <v>https://drive.google.com/drive/folders/10T2cTQHqEJZqE-st6uFKPoI?usp=share_link</v>
      </c>
      <c r="P4667" s="6" t="str">
        <f>IFERROR(__xludf.DUMMYFUNCTION("""COMPUTED_VALUE"""),"Thomas Funes de Leon")</f>
        <v>Thomas Funes de Leon</v>
      </c>
      <c r="Q4667" s="6" t="str">
        <f>IFERROR(__xludf.DUMMYFUNCTION("""COMPUTED_VALUE"""),"MS")</f>
        <v>MS</v>
      </c>
      <c r="R4667" s="6">
        <f>IFERROR(__xludf.DUMMYFUNCTION("""COMPUTED_VALUE"""),0.0)</f>
        <v>0</v>
      </c>
      <c r="S4667" s="6" t="str">
        <f>IFERROR(__xludf.DUMMYFUNCTION("""COMPUTED_VALUE"""),"Kimberly Ball")</f>
        <v>Kimberly Ball</v>
      </c>
      <c r="T4667" s="6" t="str">
        <f>IFERROR(__xludf.DUMMYFUNCTION("""COMPUTED_VALUE"""),"kimberly.ball@studient.com")</f>
        <v>kimberly.ball@studient.com</v>
      </c>
      <c r="U4667" s="6" t="str">
        <f>IFERROR(__xludf.DUMMYFUNCTION("""COMPUTED_VALUE"""),"7")</f>
        <v>7</v>
      </c>
      <c r="V4667" s="6" t="str">
        <f>IFERROR(__xludf.DUMMYFUNCTION("""COMPUTED_VALUE"""),"")</f>
        <v/>
      </c>
      <c r="W4667" s="6" t="str">
        <f>IFERROR(__xludf.DUMMYFUNCTION("""COMPUTED_VALUE"""),"[]")</f>
        <v>[]</v>
      </c>
      <c r="X4667" s="6" t="str">
        <f>IFERROR(__xludf.DUMMYFUNCTION("""COMPUTED_VALUE"""),"Enrolled")</f>
        <v>Enrolled</v>
      </c>
    </row>
    <row r="4668">
      <c r="A4668" s="6" t="str">
        <f>IFERROR(__xludf.DUMMYFUNCTION("""COMPUTED_VALUE"""),"084-13030")</f>
        <v>084-13030</v>
      </c>
      <c r="B4668" s="6" t="str">
        <f>IFERROR(__xludf.DUMMYFUNCTION("""COMPUTED_VALUE"""),"84")</f>
        <v>84</v>
      </c>
      <c r="C4668" s="6" t="str">
        <f>IFERROR(__xludf.DUMMYFUNCTION("""COMPUTED_VALUE"""),"13030")</f>
        <v>13030</v>
      </c>
      <c r="D4668" s="6" t="str">
        <f>IFERROR(__xludf.DUMMYFUNCTION("""COMPUTED_VALUE"""),"Adileni")</f>
        <v>Adileni</v>
      </c>
      <c r="E4668" s="6" t="str">
        <f>IFERROR(__xludf.DUMMYFUNCTION("""COMPUTED_VALUE"""),"")</f>
        <v/>
      </c>
      <c r="F4668" s="6" t="str">
        <f>IFERROR(__xludf.DUMMYFUNCTION("""COMPUTED_VALUE"""),"Galvan Lopez")</f>
        <v>Galvan Lopez</v>
      </c>
      <c r="G4668" s="6" t="str">
        <f>IFERROR(__xludf.DUMMYFUNCTION("""COMPUTED_VALUE"""),"12/06/2012")</f>
        <v>12/06/2012</v>
      </c>
      <c r="H4668" s="6" t="str">
        <f>IFERROR(__xludf.DUMMYFUNCTION("""COMPUTED_VALUE"""),"male")</f>
        <v>male</v>
      </c>
      <c r="I4668" s="6" t="str">
        <f>IFERROR(__xludf.DUMMYFUNCTION("""COMPUTED_VALUE"""),"Middle School")</f>
        <v>Middle School</v>
      </c>
      <c r="J4668" s="6" t="str">
        <f>IFERROR(__xludf.DUMMYFUNCTION("""COMPUTED_VALUE"""),"7")</f>
        <v>7</v>
      </c>
      <c r="K4668" s="6" t="str">
        <f>IFERROR(__xludf.DUMMYFUNCTION("""COMPUTED_VALUE"""),"adileni.galvanlopez@2hourlearning.com")</f>
        <v>adileni.galvanlopez@2hourlearning.com</v>
      </c>
      <c r="L4668" s="6" t="str">
        <f>IFERROR(__xludf.DUMMYFUNCTION("""COMPUTED_VALUE"""),"JHMS - Hardeeville Junior Senior High School")</f>
        <v>JHMS - Hardeeville Junior Senior High School</v>
      </c>
      <c r="M4668" s="6" t="str">
        <f>IFERROR(__xludf.DUMMYFUNCTION("""COMPUTED_VALUE"""),"")</f>
        <v/>
      </c>
      <c r="N4668" s="6" t="str">
        <f>IFERROR(__xludf.DUMMYFUNCTION("""COMPUTED_VALUE"""),"")</f>
        <v/>
      </c>
      <c r="O4668" s="87" t="str">
        <f>IFERROR(__xludf.DUMMYFUNCTION("""COMPUTED_VALUE"""),"https://drive.google.com/drive/folders/10T2cTQHqEJZqE-st6uFKPoI?usp=share_link")</f>
        <v>https://drive.google.com/drive/folders/10T2cTQHqEJZqE-st6uFKPoI?usp=share_link</v>
      </c>
      <c r="P4668" s="6" t="str">
        <f>IFERROR(__xludf.DUMMYFUNCTION("""COMPUTED_VALUE"""),"Adileni Galvan Lopez")</f>
        <v>Adileni Galvan Lopez</v>
      </c>
      <c r="Q4668" s="6" t="str">
        <f>IFERROR(__xludf.DUMMYFUNCTION("""COMPUTED_VALUE"""),"MS")</f>
        <v>MS</v>
      </c>
      <c r="R4668" s="6">
        <f>IFERROR(__xludf.DUMMYFUNCTION("""COMPUTED_VALUE"""),0.0)</f>
        <v>0</v>
      </c>
      <c r="S4668" s="6" t="str">
        <f>IFERROR(__xludf.DUMMYFUNCTION("""COMPUTED_VALUE"""),"Kimberly Ball")</f>
        <v>Kimberly Ball</v>
      </c>
      <c r="T4668" s="6" t="str">
        <f>IFERROR(__xludf.DUMMYFUNCTION("""COMPUTED_VALUE"""),"kimberly.ball@studient.com")</f>
        <v>kimberly.ball@studient.com</v>
      </c>
      <c r="U4668" s="6" t="str">
        <f>IFERROR(__xludf.DUMMYFUNCTION("""COMPUTED_VALUE"""),"7")</f>
        <v>7</v>
      </c>
      <c r="V4668" s="6" t="str">
        <f>IFERROR(__xludf.DUMMYFUNCTION("""COMPUTED_VALUE"""),"")</f>
        <v/>
      </c>
      <c r="W4668" s="6" t="str">
        <f>IFERROR(__xludf.DUMMYFUNCTION("""COMPUTED_VALUE"""),"[]")</f>
        <v>[]</v>
      </c>
      <c r="X4668" s="6" t="str">
        <f>IFERROR(__xludf.DUMMYFUNCTION("""COMPUTED_VALUE"""),"Enrolled")</f>
        <v>Enrolled</v>
      </c>
    </row>
    <row r="4669">
      <c r="A4669" s="6" t="str">
        <f>IFERROR(__xludf.DUMMYFUNCTION("""COMPUTED_VALUE"""),"084-13031")</f>
        <v>084-13031</v>
      </c>
      <c r="B4669" s="6" t="str">
        <f>IFERROR(__xludf.DUMMYFUNCTION("""COMPUTED_VALUE"""),"84")</f>
        <v>84</v>
      </c>
      <c r="C4669" s="6" t="str">
        <f>IFERROR(__xludf.DUMMYFUNCTION("""COMPUTED_VALUE"""),"13031")</f>
        <v>13031</v>
      </c>
      <c r="D4669" s="6" t="str">
        <f>IFERROR(__xludf.DUMMYFUNCTION("""COMPUTED_VALUE"""),"Roberth")</f>
        <v>Roberth</v>
      </c>
      <c r="E4669" s="6" t="str">
        <f>IFERROR(__xludf.DUMMYFUNCTION("""COMPUTED_VALUE"""),"")</f>
        <v/>
      </c>
      <c r="F4669" s="6" t="str">
        <f>IFERROR(__xludf.DUMMYFUNCTION("""COMPUTED_VALUE"""),"Galvez-Sanchez")</f>
        <v>Galvez-Sanchez</v>
      </c>
      <c r="G4669" s="6" t="str">
        <f>IFERROR(__xludf.DUMMYFUNCTION("""COMPUTED_VALUE"""),"08/17/2012")</f>
        <v>08/17/2012</v>
      </c>
      <c r="H4669" s="6" t="str">
        <f>IFERROR(__xludf.DUMMYFUNCTION("""COMPUTED_VALUE"""),"male")</f>
        <v>male</v>
      </c>
      <c r="I4669" s="6" t="str">
        <f>IFERROR(__xludf.DUMMYFUNCTION("""COMPUTED_VALUE"""),"Middle School")</f>
        <v>Middle School</v>
      </c>
      <c r="J4669" s="6" t="str">
        <f>IFERROR(__xludf.DUMMYFUNCTION("""COMPUTED_VALUE"""),"7")</f>
        <v>7</v>
      </c>
      <c r="K4669" s="6" t="str">
        <f>IFERROR(__xludf.DUMMYFUNCTION("""COMPUTED_VALUE"""),"roberth.galvez-sanchez@2hourlearning.com")</f>
        <v>roberth.galvez-sanchez@2hourlearning.com</v>
      </c>
      <c r="L4669" s="6" t="str">
        <f>IFERROR(__xludf.DUMMYFUNCTION("""COMPUTED_VALUE"""),"JHMS - Hardeeville Junior Senior High School")</f>
        <v>JHMS - Hardeeville Junior Senior High School</v>
      </c>
      <c r="M4669" s="6" t="str">
        <f>IFERROR(__xludf.DUMMYFUNCTION("""COMPUTED_VALUE"""),"")</f>
        <v/>
      </c>
      <c r="N4669" s="6" t="str">
        <f>IFERROR(__xludf.DUMMYFUNCTION("""COMPUTED_VALUE"""),"")</f>
        <v/>
      </c>
      <c r="O4669" s="87" t="str">
        <f>IFERROR(__xludf.DUMMYFUNCTION("""COMPUTED_VALUE"""),"https://drive.google.com/drive/folders/10T2cTQHqEJZqE-st6uFKPoI?usp=share_link")</f>
        <v>https://drive.google.com/drive/folders/10T2cTQHqEJZqE-st6uFKPoI?usp=share_link</v>
      </c>
      <c r="P4669" s="6" t="str">
        <f>IFERROR(__xludf.DUMMYFUNCTION("""COMPUTED_VALUE"""),"Roberth Galvez-Sanchez")</f>
        <v>Roberth Galvez-Sanchez</v>
      </c>
      <c r="Q4669" s="6" t="str">
        <f>IFERROR(__xludf.DUMMYFUNCTION("""COMPUTED_VALUE"""),"MS")</f>
        <v>MS</v>
      </c>
      <c r="R4669" s="6">
        <f>IFERROR(__xludf.DUMMYFUNCTION("""COMPUTED_VALUE"""),0.0)</f>
        <v>0</v>
      </c>
      <c r="S4669" s="6" t="str">
        <f>IFERROR(__xludf.DUMMYFUNCTION("""COMPUTED_VALUE"""),"Kimberly Ball")</f>
        <v>Kimberly Ball</v>
      </c>
      <c r="T4669" s="6" t="str">
        <f>IFERROR(__xludf.DUMMYFUNCTION("""COMPUTED_VALUE"""),"kimberly.ball@studient.com")</f>
        <v>kimberly.ball@studient.com</v>
      </c>
      <c r="U4669" s="6" t="str">
        <f>IFERROR(__xludf.DUMMYFUNCTION("""COMPUTED_VALUE"""),"7")</f>
        <v>7</v>
      </c>
      <c r="V4669" s="6" t="str">
        <f>IFERROR(__xludf.DUMMYFUNCTION("""COMPUTED_VALUE"""),"")</f>
        <v/>
      </c>
      <c r="W4669" s="6" t="str">
        <f>IFERROR(__xludf.DUMMYFUNCTION("""COMPUTED_VALUE"""),"[]")</f>
        <v>[]</v>
      </c>
      <c r="X4669" s="6" t="str">
        <f>IFERROR(__xludf.DUMMYFUNCTION("""COMPUTED_VALUE"""),"Enrolled")</f>
        <v>Enrolled</v>
      </c>
    </row>
    <row r="4670">
      <c r="A4670" s="6" t="str">
        <f>IFERROR(__xludf.DUMMYFUNCTION("""COMPUTED_VALUE"""),"084-13032")</f>
        <v>084-13032</v>
      </c>
      <c r="B4670" s="6" t="str">
        <f>IFERROR(__xludf.DUMMYFUNCTION("""COMPUTED_VALUE"""),"84")</f>
        <v>84</v>
      </c>
      <c r="C4670" s="6" t="str">
        <f>IFERROR(__xludf.DUMMYFUNCTION("""COMPUTED_VALUE"""),"13032")</f>
        <v>13032</v>
      </c>
      <c r="D4670" s="6" t="str">
        <f>IFERROR(__xludf.DUMMYFUNCTION("""COMPUTED_VALUE"""),"Maikol")</f>
        <v>Maikol</v>
      </c>
      <c r="E4670" s="6" t="str">
        <f>IFERROR(__xludf.DUMMYFUNCTION("""COMPUTED_VALUE"""),"")</f>
        <v/>
      </c>
      <c r="F4670" s="6" t="str">
        <f>IFERROR(__xludf.DUMMYFUNCTION("""COMPUTED_VALUE"""),"Garcia Escarano")</f>
        <v>Garcia Escarano</v>
      </c>
      <c r="G4670" s="6" t="str">
        <f>IFERROR(__xludf.DUMMYFUNCTION("""COMPUTED_VALUE"""),"10/24/2012")</f>
        <v>10/24/2012</v>
      </c>
      <c r="H4670" s="6" t="str">
        <f>IFERROR(__xludf.DUMMYFUNCTION("""COMPUTED_VALUE"""),"female")</f>
        <v>female</v>
      </c>
      <c r="I4670" s="6" t="str">
        <f>IFERROR(__xludf.DUMMYFUNCTION("""COMPUTED_VALUE"""),"Middle School")</f>
        <v>Middle School</v>
      </c>
      <c r="J4670" s="6" t="str">
        <f>IFERROR(__xludf.DUMMYFUNCTION("""COMPUTED_VALUE"""),"7")</f>
        <v>7</v>
      </c>
      <c r="K4670" s="6" t="str">
        <f>IFERROR(__xludf.DUMMYFUNCTION("""COMPUTED_VALUE"""),"maikol.garciaescarano@2hourlearning.com")</f>
        <v>maikol.garciaescarano@2hourlearning.com</v>
      </c>
      <c r="L4670" s="6" t="str">
        <f>IFERROR(__xludf.DUMMYFUNCTION("""COMPUTED_VALUE"""),"JHMS - Hardeeville Junior Senior High School")</f>
        <v>JHMS - Hardeeville Junior Senior High School</v>
      </c>
      <c r="M4670" s="6" t="str">
        <f>IFERROR(__xludf.DUMMYFUNCTION("""COMPUTED_VALUE"""),"")</f>
        <v/>
      </c>
      <c r="N4670" s="6" t="str">
        <f>IFERROR(__xludf.DUMMYFUNCTION("""COMPUTED_VALUE"""),"")</f>
        <v/>
      </c>
      <c r="O4670" s="87" t="str">
        <f>IFERROR(__xludf.DUMMYFUNCTION("""COMPUTED_VALUE"""),"https://drive.google.com/drive/folders/10T2cTQHqEJZqE-st6uFKPoI?usp=share_link")</f>
        <v>https://drive.google.com/drive/folders/10T2cTQHqEJZqE-st6uFKPoI?usp=share_link</v>
      </c>
      <c r="P4670" s="6" t="str">
        <f>IFERROR(__xludf.DUMMYFUNCTION("""COMPUTED_VALUE"""),"Maikol Garcia Escarano")</f>
        <v>Maikol Garcia Escarano</v>
      </c>
      <c r="Q4670" s="6" t="str">
        <f>IFERROR(__xludf.DUMMYFUNCTION("""COMPUTED_VALUE"""),"MS")</f>
        <v>MS</v>
      </c>
      <c r="R4670" s="6">
        <f>IFERROR(__xludf.DUMMYFUNCTION("""COMPUTED_VALUE"""),0.0)</f>
        <v>0</v>
      </c>
      <c r="S4670" s="6" t="str">
        <f>IFERROR(__xludf.DUMMYFUNCTION("""COMPUTED_VALUE"""),"Kimberly Ball")</f>
        <v>Kimberly Ball</v>
      </c>
      <c r="T4670" s="6" t="str">
        <f>IFERROR(__xludf.DUMMYFUNCTION("""COMPUTED_VALUE"""),"kimberly.ball@studient.com")</f>
        <v>kimberly.ball@studient.com</v>
      </c>
      <c r="U4670" s="6" t="str">
        <f>IFERROR(__xludf.DUMMYFUNCTION("""COMPUTED_VALUE"""),"7")</f>
        <v>7</v>
      </c>
      <c r="V4670" s="6" t="str">
        <f>IFERROR(__xludf.DUMMYFUNCTION("""COMPUTED_VALUE"""),"")</f>
        <v/>
      </c>
      <c r="W4670" s="6" t="str">
        <f>IFERROR(__xludf.DUMMYFUNCTION("""COMPUTED_VALUE"""),"[]")</f>
        <v>[]</v>
      </c>
      <c r="X4670" s="6" t="str">
        <f>IFERROR(__xludf.DUMMYFUNCTION("""COMPUTED_VALUE"""),"Enrolled")</f>
        <v>Enrolled</v>
      </c>
    </row>
    <row r="4671">
      <c r="A4671" s="6" t="str">
        <f>IFERROR(__xludf.DUMMYFUNCTION("""COMPUTED_VALUE"""),"084-13033")</f>
        <v>084-13033</v>
      </c>
      <c r="B4671" s="6" t="str">
        <f>IFERROR(__xludf.DUMMYFUNCTION("""COMPUTED_VALUE"""),"84")</f>
        <v>84</v>
      </c>
      <c r="C4671" s="6" t="str">
        <f>IFERROR(__xludf.DUMMYFUNCTION("""COMPUTED_VALUE"""),"13033")</f>
        <v>13033</v>
      </c>
      <c r="D4671" s="6" t="str">
        <f>IFERROR(__xludf.DUMMYFUNCTION("""COMPUTED_VALUE"""),"Tri'Nae")</f>
        <v>Tri'Nae</v>
      </c>
      <c r="E4671" s="6" t="str">
        <f>IFERROR(__xludf.DUMMYFUNCTION("""COMPUTED_VALUE"""),"")</f>
        <v/>
      </c>
      <c r="F4671" s="6" t="str">
        <f>IFERROR(__xludf.DUMMYFUNCTION("""COMPUTED_VALUE"""),"Garvin")</f>
        <v>Garvin</v>
      </c>
      <c r="G4671" s="6" t="str">
        <f>IFERROR(__xludf.DUMMYFUNCTION("""COMPUTED_VALUE"""),"02/14/2013")</f>
        <v>02/14/2013</v>
      </c>
      <c r="H4671" s="6" t="str">
        <f>IFERROR(__xludf.DUMMYFUNCTION("""COMPUTED_VALUE"""),"female")</f>
        <v>female</v>
      </c>
      <c r="I4671" s="6" t="str">
        <f>IFERROR(__xludf.DUMMYFUNCTION("""COMPUTED_VALUE"""),"Middle School")</f>
        <v>Middle School</v>
      </c>
      <c r="J4671" s="6" t="str">
        <f>IFERROR(__xludf.DUMMYFUNCTION("""COMPUTED_VALUE"""),"7")</f>
        <v>7</v>
      </c>
      <c r="K4671" s="6" t="str">
        <f>IFERROR(__xludf.DUMMYFUNCTION("""COMPUTED_VALUE"""),"trinae.garvin@2hourlearning.com")</f>
        <v>trinae.garvin@2hourlearning.com</v>
      </c>
      <c r="L4671" s="6" t="str">
        <f>IFERROR(__xludf.DUMMYFUNCTION("""COMPUTED_VALUE"""),"JHMS - Hardeeville Junior Senior High School")</f>
        <v>JHMS - Hardeeville Junior Senior High School</v>
      </c>
      <c r="M4671" s="6" t="str">
        <f>IFERROR(__xludf.DUMMYFUNCTION("""COMPUTED_VALUE"""),"")</f>
        <v/>
      </c>
      <c r="N4671" s="6" t="str">
        <f>IFERROR(__xludf.DUMMYFUNCTION("""COMPUTED_VALUE"""),"")</f>
        <v/>
      </c>
      <c r="O4671" s="87" t="str">
        <f>IFERROR(__xludf.DUMMYFUNCTION("""COMPUTED_VALUE"""),"https://drive.google.com/drive/folders/10T2cTQHqEJZqE-st6uFKPoI?usp=share_link")</f>
        <v>https://drive.google.com/drive/folders/10T2cTQHqEJZqE-st6uFKPoI?usp=share_link</v>
      </c>
      <c r="P4671" s="6" t="str">
        <f>IFERROR(__xludf.DUMMYFUNCTION("""COMPUTED_VALUE"""),"Tri'Nae Garvin")</f>
        <v>Tri'Nae Garvin</v>
      </c>
      <c r="Q4671" s="6" t="str">
        <f>IFERROR(__xludf.DUMMYFUNCTION("""COMPUTED_VALUE"""),"MS")</f>
        <v>MS</v>
      </c>
      <c r="R4671" s="6">
        <f>IFERROR(__xludf.DUMMYFUNCTION("""COMPUTED_VALUE"""),0.0)</f>
        <v>0</v>
      </c>
      <c r="S4671" s="6" t="str">
        <f>IFERROR(__xludf.DUMMYFUNCTION("""COMPUTED_VALUE"""),"Kimberly Ball")</f>
        <v>Kimberly Ball</v>
      </c>
      <c r="T4671" s="6" t="str">
        <f>IFERROR(__xludf.DUMMYFUNCTION("""COMPUTED_VALUE"""),"kimberly.ball@studient.com")</f>
        <v>kimberly.ball@studient.com</v>
      </c>
      <c r="U4671" s="6" t="str">
        <f>IFERROR(__xludf.DUMMYFUNCTION("""COMPUTED_VALUE"""),"7")</f>
        <v>7</v>
      </c>
      <c r="V4671" s="6" t="str">
        <f>IFERROR(__xludf.DUMMYFUNCTION("""COMPUTED_VALUE"""),"")</f>
        <v/>
      </c>
      <c r="W4671" s="6" t="str">
        <f>IFERROR(__xludf.DUMMYFUNCTION("""COMPUTED_VALUE"""),"[]")</f>
        <v>[]</v>
      </c>
      <c r="X4671" s="6" t="str">
        <f>IFERROR(__xludf.DUMMYFUNCTION("""COMPUTED_VALUE"""),"Enrolled")</f>
        <v>Enrolled</v>
      </c>
    </row>
    <row r="4672">
      <c r="A4672" s="6" t="str">
        <f>IFERROR(__xludf.DUMMYFUNCTION("""COMPUTED_VALUE"""),"084-13034")</f>
        <v>084-13034</v>
      </c>
      <c r="B4672" s="6" t="str">
        <f>IFERROR(__xludf.DUMMYFUNCTION("""COMPUTED_VALUE"""),"84")</f>
        <v>84</v>
      </c>
      <c r="C4672" s="6" t="str">
        <f>IFERROR(__xludf.DUMMYFUNCTION("""COMPUTED_VALUE"""),"13034")</f>
        <v>13034</v>
      </c>
      <c r="D4672" s="6" t="str">
        <f>IFERROR(__xludf.DUMMYFUNCTION("""COMPUTED_VALUE"""),"Alinson")</f>
        <v>Alinson</v>
      </c>
      <c r="E4672" s="6" t="str">
        <f>IFERROR(__xludf.DUMMYFUNCTION("""COMPUTED_VALUE"""),"")</f>
        <v/>
      </c>
      <c r="F4672" s="6" t="str">
        <f>IFERROR(__xludf.DUMMYFUNCTION("""COMPUTED_VALUE"""),"Gomez Cruz")</f>
        <v>Gomez Cruz</v>
      </c>
      <c r="G4672" s="6" t="str">
        <f>IFERROR(__xludf.DUMMYFUNCTION("""COMPUTED_VALUE"""),"06/06/2013")</f>
        <v>06/06/2013</v>
      </c>
      <c r="H4672" s="6" t="str">
        <f>IFERROR(__xludf.DUMMYFUNCTION("""COMPUTED_VALUE"""),"male")</f>
        <v>male</v>
      </c>
      <c r="I4672" s="6" t="str">
        <f>IFERROR(__xludf.DUMMYFUNCTION("""COMPUTED_VALUE"""),"Middle School")</f>
        <v>Middle School</v>
      </c>
      <c r="J4672" s="6" t="str">
        <f>IFERROR(__xludf.DUMMYFUNCTION("""COMPUTED_VALUE"""),"7")</f>
        <v>7</v>
      </c>
      <c r="K4672" s="6" t="str">
        <f>IFERROR(__xludf.DUMMYFUNCTION("""COMPUTED_VALUE"""),"alinson.gomezcruz@2hourlearning.com")</f>
        <v>alinson.gomezcruz@2hourlearning.com</v>
      </c>
      <c r="L4672" s="6" t="str">
        <f>IFERROR(__xludf.DUMMYFUNCTION("""COMPUTED_VALUE"""),"JHMS - Hardeeville Junior Senior High School")</f>
        <v>JHMS - Hardeeville Junior Senior High School</v>
      </c>
      <c r="M4672" s="6" t="str">
        <f>IFERROR(__xludf.DUMMYFUNCTION("""COMPUTED_VALUE"""),"")</f>
        <v/>
      </c>
      <c r="N4672" s="6" t="str">
        <f>IFERROR(__xludf.DUMMYFUNCTION("""COMPUTED_VALUE"""),"")</f>
        <v/>
      </c>
      <c r="O4672" s="87" t="str">
        <f>IFERROR(__xludf.DUMMYFUNCTION("""COMPUTED_VALUE"""),"https://drive.google.com/drive/folders/10T2cTQHqEJZqE-st6uFKPoI?usp=share_link")</f>
        <v>https://drive.google.com/drive/folders/10T2cTQHqEJZqE-st6uFKPoI?usp=share_link</v>
      </c>
      <c r="P4672" s="6" t="str">
        <f>IFERROR(__xludf.DUMMYFUNCTION("""COMPUTED_VALUE"""),"Alinson Gomez Cruz")</f>
        <v>Alinson Gomez Cruz</v>
      </c>
      <c r="Q4672" s="6" t="str">
        <f>IFERROR(__xludf.DUMMYFUNCTION("""COMPUTED_VALUE"""),"MS")</f>
        <v>MS</v>
      </c>
      <c r="R4672" s="6">
        <f>IFERROR(__xludf.DUMMYFUNCTION("""COMPUTED_VALUE"""),0.0)</f>
        <v>0</v>
      </c>
      <c r="S4672" s="6" t="str">
        <f>IFERROR(__xludf.DUMMYFUNCTION("""COMPUTED_VALUE"""),"Kimberly Ball")</f>
        <v>Kimberly Ball</v>
      </c>
      <c r="T4672" s="6" t="str">
        <f>IFERROR(__xludf.DUMMYFUNCTION("""COMPUTED_VALUE"""),"kimberly.ball@studient.com")</f>
        <v>kimberly.ball@studient.com</v>
      </c>
      <c r="U4672" s="6" t="str">
        <f>IFERROR(__xludf.DUMMYFUNCTION("""COMPUTED_VALUE"""),"7")</f>
        <v>7</v>
      </c>
      <c r="V4672" s="6" t="str">
        <f>IFERROR(__xludf.DUMMYFUNCTION("""COMPUTED_VALUE"""),"")</f>
        <v/>
      </c>
      <c r="W4672" s="6" t="str">
        <f>IFERROR(__xludf.DUMMYFUNCTION("""COMPUTED_VALUE"""),"[]")</f>
        <v>[]</v>
      </c>
      <c r="X4672" s="6" t="str">
        <f>IFERROR(__xludf.DUMMYFUNCTION("""COMPUTED_VALUE"""),"Enrolled")</f>
        <v>Enrolled</v>
      </c>
    </row>
    <row r="4673">
      <c r="A4673" s="6" t="str">
        <f>IFERROR(__xludf.DUMMYFUNCTION("""COMPUTED_VALUE"""),"084-13035")</f>
        <v>084-13035</v>
      </c>
      <c r="B4673" s="6" t="str">
        <f>IFERROR(__xludf.DUMMYFUNCTION("""COMPUTED_VALUE"""),"84")</f>
        <v>84</v>
      </c>
      <c r="C4673" s="6" t="str">
        <f>IFERROR(__xludf.DUMMYFUNCTION("""COMPUTED_VALUE"""),"13035")</f>
        <v>13035</v>
      </c>
      <c r="D4673" s="6" t="str">
        <f>IFERROR(__xludf.DUMMYFUNCTION("""COMPUTED_VALUE"""),"Estefani")</f>
        <v>Estefani</v>
      </c>
      <c r="E4673" s="6" t="str">
        <f>IFERROR(__xludf.DUMMYFUNCTION("""COMPUTED_VALUE"""),"")</f>
        <v/>
      </c>
      <c r="F4673" s="6" t="str">
        <f>IFERROR(__xludf.DUMMYFUNCTION("""COMPUTED_VALUE"""),"Gonzalez Salmeron")</f>
        <v>Gonzalez Salmeron</v>
      </c>
      <c r="G4673" s="6" t="str">
        <f>IFERROR(__xludf.DUMMYFUNCTION("""COMPUTED_VALUE"""),"11/25/2012")</f>
        <v>11/25/2012</v>
      </c>
      <c r="H4673" s="6" t="str">
        <f>IFERROR(__xludf.DUMMYFUNCTION("""COMPUTED_VALUE"""),"female")</f>
        <v>female</v>
      </c>
      <c r="I4673" s="6" t="str">
        <f>IFERROR(__xludf.DUMMYFUNCTION("""COMPUTED_VALUE"""),"Middle School")</f>
        <v>Middle School</v>
      </c>
      <c r="J4673" s="6" t="str">
        <f>IFERROR(__xludf.DUMMYFUNCTION("""COMPUTED_VALUE"""),"7")</f>
        <v>7</v>
      </c>
      <c r="K4673" s="6" t="str">
        <f>IFERROR(__xludf.DUMMYFUNCTION("""COMPUTED_VALUE"""),"estefani.gonzalezsalmeron@2hourlearning.com")</f>
        <v>estefani.gonzalezsalmeron@2hourlearning.com</v>
      </c>
      <c r="L4673" s="6" t="str">
        <f>IFERROR(__xludf.DUMMYFUNCTION("""COMPUTED_VALUE"""),"JHMS - Hardeeville Junior Senior High School")</f>
        <v>JHMS - Hardeeville Junior Senior High School</v>
      </c>
      <c r="M4673" s="6" t="str">
        <f>IFERROR(__xludf.DUMMYFUNCTION("""COMPUTED_VALUE"""),"")</f>
        <v/>
      </c>
      <c r="N4673" s="6" t="str">
        <f>IFERROR(__xludf.DUMMYFUNCTION("""COMPUTED_VALUE"""),"")</f>
        <v/>
      </c>
      <c r="O4673" s="87" t="str">
        <f>IFERROR(__xludf.DUMMYFUNCTION("""COMPUTED_VALUE"""),"https://drive.google.com/drive/folders/10T2cTQHqEJZqE-st6uFKPoI?usp=share_link")</f>
        <v>https://drive.google.com/drive/folders/10T2cTQHqEJZqE-st6uFKPoI?usp=share_link</v>
      </c>
      <c r="P4673" s="6" t="str">
        <f>IFERROR(__xludf.DUMMYFUNCTION("""COMPUTED_VALUE"""),"Estefani Gonzalez Salmeron")</f>
        <v>Estefani Gonzalez Salmeron</v>
      </c>
      <c r="Q4673" s="6" t="str">
        <f>IFERROR(__xludf.DUMMYFUNCTION("""COMPUTED_VALUE"""),"MS")</f>
        <v>MS</v>
      </c>
      <c r="R4673" s="6">
        <f>IFERROR(__xludf.DUMMYFUNCTION("""COMPUTED_VALUE"""),0.0)</f>
        <v>0</v>
      </c>
      <c r="S4673" s="6" t="str">
        <f>IFERROR(__xludf.DUMMYFUNCTION("""COMPUTED_VALUE"""),"Kimberly Ball")</f>
        <v>Kimberly Ball</v>
      </c>
      <c r="T4673" s="6" t="str">
        <f>IFERROR(__xludf.DUMMYFUNCTION("""COMPUTED_VALUE"""),"kimberly.ball@studient.com")</f>
        <v>kimberly.ball@studient.com</v>
      </c>
      <c r="U4673" s="6" t="str">
        <f>IFERROR(__xludf.DUMMYFUNCTION("""COMPUTED_VALUE"""),"7")</f>
        <v>7</v>
      </c>
      <c r="V4673" s="6" t="str">
        <f>IFERROR(__xludf.DUMMYFUNCTION("""COMPUTED_VALUE"""),"")</f>
        <v/>
      </c>
      <c r="W4673" s="6" t="str">
        <f>IFERROR(__xludf.DUMMYFUNCTION("""COMPUTED_VALUE"""),"[]")</f>
        <v>[]</v>
      </c>
      <c r="X4673" s="6" t="str">
        <f>IFERROR(__xludf.DUMMYFUNCTION("""COMPUTED_VALUE"""),"Enrolled")</f>
        <v>Enrolled</v>
      </c>
    </row>
    <row r="4674">
      <c r="A4674" s="6" t="str">
        <f>IFERROR(__xludf.DUMMYFUNCTION("""COMPUTED_VALUE"""),"084-13036")</f>
        <v>084-13036</v>
      </c>
      <c r="B4674" s="6" t="str">
        <f>IFERROR(__xludf.DUMMYFUNCTION("""COMPUTED_VALUE"""),"84")</f>
        <v>84</v>
      </c>
      <c r="C4674" s="6" t="str">
        <f>IFERROR(__xludf.DUMMYFUNCTION("""COMPUTED_VALUE"""),"13036")</f>
        <v>13036</v>
      </c>
      <c r="D4674" s="6" t="str">
        <f>IFERROR(__xludf.DUMMYFUNCTION("""COMPUTED_VALUE"""),"Exavier")</f>
        <v>Exavier</v>
      </c>
      <c r="E4674" s="6" t="str">
        <f>IFERROR(__xludf.DUMMYFUNCTION("""COMPUTED_VALUE"""),"")</f>
        <v/>
      </c>
      <c r="F4674" s="6" t="str">
        <f>IFERROR(__xludf.DUMMYFUNCTION("""COMPUTED_VALUE"""),"Hamilton")</f>
        <v>Hamilton</v>
      </c>
      <c r="G4674" s="6" t="str">
        <f>IFERROR(__xludf.DUMMYFUNCTION("""COMPUTED_VALUE"""),"12/21/2013")</f>
        <v>12/21/2013</v>
      </c>
      <c r="H4674" s="6" t="str">
        <f>IFERROR(__xludf.DUMMYFUNCTION("""COMPUTED_VALUE"""),"female")</f>
        <v>female</v>
      </c>
      <c r="I4674" s="6" t="str">
        <f>IFERROR(__xludf.DUMMYFUNCTION("""COMPUTED_VALUE"""),"Middle School")</f>
        <v>Middle School</v>
      </c>
      <c r="J4674" s="6" t="str">
        <f>IFERROR(__xludf.DUMMYFUNCTION("""COMPUTED_VALUE"""),"7")</f>
        <v>7</v>
      </c>
      <c r="K4674" s="6" t="str">
        <f>IFERROR(__xludf.DUMMYFUNCTION("""COMPUTED_VALUE"""),"exavier.hamilton@2hourlearning.com")</f>
        <v>exavier.hamilton@2hourlearning.com</v>
      </c>
      <c r="L4674" s="6" t="str">
        <f>IFERROR(__xludf.DUMMYFUNCTION("""COMPUTED_VALUE"""),"JHMS - Hardeeville Junior Senior High School")</f>
        <v>JHMS - Hardeeville Junior Senior High School</v>
      </c>
      <c r="M4674" s="6" t="str">
        <f>IFERROR(__xludf.DUMMYFUNCTION("""COMPUTED_VALUE"""),"")</f>
        <v/>
      </c>
      <c r="N4674" s="6" t="str">
        <f>IFERROR(__xludf.DUMMYFUNCTION("""COMPUTED_VALUE"""),"")</f>
        <v/>
      </c>
      <c r="O4674" s="87" t="str">
        <f>IFERROR(__xludf.DUMMYFUNCTION("""COMPUTED_VALUE"""),"https://drive.google.com/drive/folders/10T2cTQHqEJZqE-st6uFKPoI?usp=share_link")</f>
        <v>https://drive.google.com/drive/folders/10T2cTQHqEJZqE-st6uFKPoI?usp=share_link</v>
      </c>
      <c r="P4674" s="6" t="str">
        <f>IFERROR(__xludf.DUMMYFUNCTION("""COMPUTED_VALUE"""),"Exavier Hamilton")</f>
        <v>Exavier Hamilton</v>
      </c>
      <c r="Q4674" s="6" t="str">
        <f>IFERROR(__xludf.DUMMYFUNCTION("""COMPUTED_VALUE"""),"MS")</f>
        <v>MS</v>
      </c>
      <c r="R4674" s="6">
        <f>IFERROR(__xludf.DUMMYFUNCTION("""COMPUTED_VALUE"""),0.0)</f>
        <v>0</v>
      </c>
      <c r="S4674" s="6" t="str">
        <f>IFERROR(__xludf.DUMMYFUNCTION("""COMPUTED_VALUE"""),"Kimberly Ball")</f>
        <v>Kimberly Ball</v>
      </c>
      <c r="T4674" s="6" t="str">
        <f>IFERROR(__xludf.DUMMYFUNCTION("""COMPUTED_VALUE"""),"kimberly.ball@studient.com")</f>
        <v>kimberly.ball@studient.com</v>
      </c>
      <c r="U4674" s="6" t="str">
        <f>IFERROR(__xludf.DUMMYFUNCTION("""COMPUTED_VALUE"""),"7")</f>
        <v>7</v>
      </c>
      <c r="V4674" s="6" t="str">
        <f>IFERROR(__xludf.DUMMYFUNCTION("""COMPUTED_VALUE"""),"")</f>
        <v/>
      </c>
      <c r="W4674" s="6" t="str">
        <f>IFERROR(__xludf.DUMMYFUNCTION("""COMPUTED_VALUE"""),"[]")</f>
        <v>[]</v>
      </c>
      <c r="X4674" s="6" t="str">
        <f>IFERROR(__xludf.DUMMYFUNCTION("""COMPUTED_VALUE"""),"Enrolled")</f>
        <v>Enrolled</v>
      </c>
    </row>
    <row r="4675">
      <c r="A4675" s="6" t="str">
        <f>IFERROR(__xludf.DUMMYFUNCTION("""COMPUTED_VALUE"""),"084-13037")</f>
        <v>084-13037</v>
      </c>
      <c r="B4675" s="6" t="str">
        <f>IFERROR(__xludf.DUMMYFUNCTION("""COMPUTED_VALUE"""),"84")</f>
        <v>84</v>
      </c>
      <c r="C4675" s="6" t="str">
        <f>IFERROR(__xludf.DUMMYFUNCTION("""COMPUTED_VALUE"""),"13037")</f>
        <v>13037</v>
      </c>
      <c r="D4675" s="6" t="str">
        <f>IFERROR(__xludf.DUMMYFUNCTION("""COMPUTED_VALUE"""),"Brigitte")</f>
        <v>Brigitte</v>
      </c>
      <c r="E4675" s="6" t="str">
        <f>IFERROR(__xludf.DUMMYFUNCTION("""COMPUTED_VALUE"""),"")</f>
        <v/>
      </c>
      <c r="F4675" s="6" t="str">
        <f>IFERROR(__xludf.DUMMYFUNCTION("""COMPUTED_VALUE"""),"Hernandez Camargo")</f>
        <v>Hernandez Camargo</v>
      </c>
      <c r="G4675" s="6" t="str">
        <f>IFERROR(__xludf.DUMMYFUNCTION("""COMPUTED_VALUE"""),"08/24/2013")</f>
        <v>08/24/2013</v>
      </c>
      <c r="H4675" s="6" t="str">
        <f>IFERROR(__xludf.DUMMYFUNCTION("""COMPUTED_VALUE"""),"female")</f>
        <v>female</v>
      </c>
      <c r="I4675" s="6" t="str">
        <f>IFERROR(__xludf.DUMMYFUNCTION("""COMPUTED_VALUE"""),"Middle School")</f>
        <v>Middle School</v>
      </c>
      <c r="J4675" s="6" t="str">
        <f>IFERROR(__xludf.DUMMYFUNCTION("""COMPUTED_VALUE"""),"7")</f>
        <v>7</v>
      </c>
      <c r="K4675" s="6" t="str">
        <f>IFERROR(__xludf.DUMMYFUNCTION("""COMPUTED_VALUE"""),"brigitte.hernandezcamargo@2hourlearning.com")</f>
        <v>brigitte.hernandezcamargo@2hourlearning.com</v>
      </c>
      <c r="L4675" s="6" t="str">
        <f>IFERROR(__xludf.DUMMYFUNCTION("""COMPUTED_VALUE"""),"JHMS - Hardeeville Junior Senior High School")</f>
        <v>JHMS - Hardeeville Junior Senior High School</v>
      </c>
      <c r="M4675" s="6" t="str">
        <f>IFERROR(__xludf.DUMMYFUNCTION("""COMPUTED_VALUE"""),"")</f>
        <v/>
      </c>
      <c r="N4675" s="6" t="str">
        <f>IFERROR(__xludf.DUMMYFUNCTION("""COMPUTED_VALUE"""),"")</f>
        <v/>
      </c>
      <c r="O4675" s="87" t="str">
        <f>IFERROR(__xludf.DUMMYFUNCTION("""COMPUTED_VALUE"""),"https://drive.google.com/drive/folders/10T2cTQHqEJZqE-st6uFKPoI?usp=share_link")</f>
        <v>https://drive.google.com/drive/folders/10T2cTQHqEJZqE-st6uFKPoI?usp=share_link</v>
      </c>
      <c r="P4675" s="6" t="str">
        <f>IFERROR(__xludf.DUMMYFUNCTION("""COMPUTED_VALUE"""),"Brigitte Hernandez Camargo")</f>
        <v>Brigitte Hernandez Camargo</v>
      </c>
      <c r="Q4675" s="6" t="str">
        <f>IFERROR(__xludf.DUMMYFUNCTION("""COMPUTED_VALUE"""),"MS")</f>
        <v>MS</v>
      </c>
      <c r="R4675" s="6">
        <f>IFERROR(__xludf.DUMMYFUNCTION("""COMPUTED_VALUE"""),0.0)</f>
        <v>0</v>
      </c>
      <c r="S4675" s="6" t="str">
        <f>IFERROR(__xludf.DUMMYFUNCTION("""COMPUTED_VALUE"""),"Kimberly Ball")</f>
        <v>Kimberly Ball</v>
      </c>
      <c r="T4675" s="6" t="str">
        <f>IFERROR(__xludf.DUMMYFUNCTION("""COMPUTED_VALUE"""),"kimberly.ball@studient.com")</f>
        <v>kimberly.ball@studient.com</v>
      </c>
      <c r="U4675" s="6" t="str">
        <f>IFERROR(__xludf.DUMMYFUNCTION("""COMPUTED_VALUE"""),"7")</f>
        <v>7</v>
      </c>
      <c r="V4675" s="6" t="str">
        <f>IFERROR(__xludf.DUMMYFUNCTION("""COMPUTED_VALUE"""),"")</f>
        <v/>
      </c>
      <c r="W4675" s="6" t="str">
        <f>IFERROR(__xludf.DUMMYFUNCTION("""COMPUTED_VALUE"""),"[]")</f>
        <v>[]</v>
      </c>
      <c r="X4675" s="6" t="str">
        <f>IFERROR(__xludf.DUMMYFUNCTION("""COMPUTED_VALUE"""),"Enrolled")</f>
        <v>Enrolled</v>
      </c>
    </row>
    <row r="4676">
      <c r="A4676" s="6" t="str">
        <f>IFERROR(__xludf.DUMMYFUNCTION("""COMPUTED_VALUE"""),"084-13038")</f>
        <v>084-13038</v>
      </c>
      <c r="B4676" s="6" t="str">
        <f>IFERROR(__xludf.DUMMYFUNCTION("""COMPUTED_VALUE"""),"84")</f>
        <v>84</v>
      </c>
      <c r="C4676" s="6" t="str">
        <f>IFERROR(__xludf.DUMMYFUNCTION("""COMPUTED_VALUE"""),"13038")</f>
        <v>13038</v>
      </c>
      <c r="D4676" s="6" t="str">
        <f>IFERROR(__xludf.DUMMYFUNCTION("""COMPUTED_VALUE"""),"Thaily")</f>
        <v>Thaily</v>
      </c>
      <c r="E4676" s="6" t="str">
        <f>IFERROR(__xludf.DUMMYFUNCTION("""COMPUTED_VALUE"""),"")</f>
        <v/>
      </c>
      <c r="F4676" s="6" t="str">
        <f>IFERROR(__xludf.DUMMYFUNCTION("""COMPUTED_VALUE"""),"Hernandez Hernandez")</f>
        <v>Hernandez Hernandez</v>
      </c>
      <c r="G4676" s="6" t="str">
        <f>IFERROR(__xludf.DUMMYFUNCTION("""COMPUTED_VALUE"""),"08/05/2013")</f>
        <v>08/05/2013</v>
      </c>
      <c r="H4676" s="6" t="str">
        <f>IFERROR(__xludf.DUMMYFUNCTION("""COMPUTED_VALUE"""),"female")</f>
        <v>female</v>
      </c>
      <c r="I4676" s="6" t="str">
        <f>IFERROR(__xludf.DUMMYFUNCTION("""COMPUTED_VALUE"""),"Middle School")</f>
        <v>Middle School</v>
      </c>
      <c r="J4676" s="6" t="str">
        <f>IFERROR(__xludf.DUMMYFUNCTION("""COMPUTED_VALUE"""),"7")</f>
        <v>7</v>
      </c>
      <c r="K4676" s="6" t="str">
        <f>IFERROR(__xludf.DUMMYFUNCTION("""COMPUTED_VALUE"""),"thaily.hernandezhernandez@2hourlearning.com")</f>
        <v>thaily.hernandezhernandez@2hourlearning.com</v>
      </c>
      <c r="L4676" s="6" t="str">
        <f>IFERROR(__xludf.DUMMYFUNCTION("""COMPUTED_VALUE"""),"JHMS - Hardeeville Junior Senior High School")</f>
        <v>JHMS - Hardeeville Junior Senior High School</v>
      </c>
      <c r="M4676" s="6" t="str">
        <f>IFERROR(__xludf.DUMMYFUNCTION("""COMPUTED_VALUE"""),"")</f>
        <v/>
      </c>
      <c r="N4676" s="6" t="str">
        <f>IFERROR(__xludf.DUMMYFUNCTION("""COMPUTED_VALUE"""),"")</f>
        <v/>
      </c>
      <c r="O4676" s="87" t="str">
        <f>IFERROR(__xludf.DUMMYFUNCTION("""COMPUTED_VALUE"""),"https://drive.google.com/drive/folders/10T2cTQHqEJZqE-st6uFKPoI?usp=share_link")</f>
        <v>https://drive.google.com/drive/folders/10T2cTQHqEJZqE-st6uFKPoI?usp=share_link</v>
      </c>
      <c r="P4676" s="6" t="str">
        <f>IFERROR(__xludf.DUMMYFUNCTION("""COMPUTED_VALUE"""),"Thaily Hernandez Hernandez")</f>
        <v>Thaily Hernandez Hernandez</v>
      </c>
      <c r="Q4676" s="6" t="str">
        <f>IFERROR(__xludf.DUMMYFUNCTION("""COMPUTED_VALUE"""),"MS")</f>
        <v>MS</v>
      </c>
      <c r="R4676" s="6">
        <f>IFERROR(__xludf.DUMMYFUNCTION("""COMPUTED_VALUE"""),0.0)</f>
        <v>0</v>
      </c>
      <c r="S4676" s="6" t="str">
        <f>IFERROR(__xludf.DUMMYFUNCTION("""COMPUTED_VALUE"""),"Kimberly Ball")</f>
        <v>Kimberly Ball</v>
      </c>
      <c r="T4676" s="6" t="str">
        <f>IFERROR(__xludf.DUMMYFUNCTION("""COMPUTED_VALUE"""),"kimberly.ball@studient.com")</f>
        <v>kimberly.ball@studient.com</v>
      </c>
      <c r="U4676" s="6" t="str">
        <f>IFERROR(__xludf.DUMMYFUNCTION("""COMPUTED_VALUE"""),"7")</f>
        <v>7</v>
      </c>
      <c r="V4676" s="6" t="str">
        <f>IFERROR(__xludf.DUMMYFUNCTION("""COMPUTED_VALUE"""),"")</f>
        <v/>
      </c>
      <c r="W4676" s="6" t="str">
        <f>IFERROR(__xludf.DUMMYFUNCTION("""COMPUTED_VALUE"""),"[]")</f>
        <v>[]</v>
      </c>
      <c r="X4676" s="6" t="str">
        <f>IFERROR(__xludf.DUMMYFUNCTION("""COMPUTED_VALUE"""),"Enrolled")</f>
        <v>Enrolled</v>
      </c>
    </row>
    <row r="4677">
      <c r="A4677" s="6" t="str">
        <f>IFERROR(__xludf.DUMMYFUNCTION("""COMPUTED_VALUE"""),"084-13039")</f>
        <v>084-13039</v>
      </c>
      <c r="B4677" s="6" t="str">
        <f>IFERROR(__xludf.DUMMYFUNCTION("""COMPUTED_VALUE"""),"84")</f>
        <v>84</v>
      </c>
      <c r="C4677" s="6" t="str">
        <f>IFERROR(__xludf.DUMMYFUNCTION("""COMPUTED_VALUE"""),"13039")</f>
        <v>13039</v>
      </c>
      <c r="D4677" s="6" t="str">
        <f>IFERROR(__xludf.DUMMYFUNCTION("""COMPUTED_VALUE"""),"Camila")</f>
        <v>Camila</v>
      </c>
      <c r="E4677" s="6" t="str">
        <f>IFERROR(__xludf.DUMMYFUNCTION("""COMPUTED_VALUE"""),"")</f>
        <v/>
      </c>
      <c r="F4677" s="6" t="str">
        <f>IFERROR(__xludf.DUMMYFUNCTION("""COMPUTED_VALUE"""),"Hernandez-Pineda")</f>
        <v>Hernandez-Pineda</v>
      </c>
      <c r="G4677" s="6" t="str">
        <f>IFERROR(__xludf.DUMMYFUNCTION("""COMPUTED_VALUE"""),"11/17/2012")</f>
        <v>11/17/2012</v>
      </c>
      <c r="H4677" s="6" t="str">
        <f>IFERROR(__xludf.DUMMYFUNCTION("""COMPUTED_VALUE"""),"male")</f>
        <v>male</v>
      </c>
      <c r="I4677" s="6" t="str">
        <f>IFERROR(__xludf.DUMMYFUNCTION("""COMPUTED_VALUE"""),"Middle School")</f>
        <v>Middle School</v>
      </c>
      <c r="J4677" s="6" t="str">
        <f>IFERROR(__xludf.DUMMYFUNCTION("""COMPUTED_VALUE"""),"7")</f>
        <v>7</v>
      </c>
      <c r="K4677" s="6" t="str">
        <f>IFERROR(__xludf.DUMMYFUNCTION("""COMPUTED_VALUE"""),"camila.hernandez-pineda@2hourlearning.com")</f>
        <v>camila.hernandez-pineda@2hourlearning.com</v>
      </c>
      <c r="L4677" s="6" t="str">
        <f>IFERROR(__xludf.DUMMYFUNCTION("""COMPUTED_VALUE"""),"JHMS - Hardeeville Junior Senior High School")</f>
        <v>JHMS - Hardeeville Junior Senior High School</v>
      </c>
      <c r="M4677" s="6" t="str">
        <f>IFERROR(__xludf.DUMMYFUNCTION("""COMPUTED_VALUE"""),"")</f>
        <v/>
      </c>
      <c r="N4677" s="6" t="str">
        <f>IFERROR(__xludf.DUMMYFUNCTION("""COMPUTED_VALUE"""),"")</f>
        <v/>
      </c>
      <c r="O4677" s="87" t="str">
        <f>IFERROR(__xludf.DUMMYFUNCTION("""COMPUTED_VALUE"""),"https://drive.google.com/drive/folders/10T2cTQHqEJZqE-st6uFKPoI?usp=share_link")</f>
        <v>https://drive.google.com/drive/folders/10T2cTQHqEJZqE-st6uFKPoI?usp=share_link</v>
      </c>
      <c r="P4677" s="6" t="str">
        <f>IFERROR(__xludf.DUMMYFUNCTION("""COMPUTED_VALUE"""),"Camila Hernandez-Pineda")</f>
        <v>Camila Hernandez-Pineda</v>
      </c>
      <c r="Q4677" s="6" t="str">
        <f>IFERROR(__xludf.DUMMYFUNCTION("""COMPUTED_VALUE"""),"MS")</f>
        <v>MS</v>
      </c>
      <c r="R4677" s="6">
        <f>IFERROR(__xludf.DUMMYFUNCTION("""COMPUTED_VALUE"""),0.0)</f>
        <v>0</v>
      </c>
      <c r="S4677" s="6" t="str">
        <f>IFERROR(__xludf.DUMMYFUNCTION("""COMPUTED_VALUE"""),"Kimberly Ball")</f>
        <v>Kimberly Ball</v>
      </c>
      <c r="T4677" s="6" t="str">
        <f>IFERROR(__xludf.DUMMYFUNCTION("""COMPUTED_VALUE"""),"kimberly.ball@studient.com")</f>
        <v>kimberly.ball@studient.com</v>
      </c>
      <c r="U4677" s="6" t="str">
        <f>IFERROR(__xludf.DUMMYFUNCTION("""COMPUTED_VALUE"""),"7")</f>
        <v>7</v>
      </c>
      <c r="V4677" s="6" t="str">
        <f>IFERROR(__xludf.DUMMYFUNCTION("""COMPUTED_VALUE"""),"")</f>
        <v/>
      </c>
      <c r="W4677" s="6" t="str">
        <f>IFERROR(__xludf.DUMMYFUNCTION("""COMPUTED_VALUE"""),"[]")</f>
        <v>[]</v>
      </c>
      <c r="X4677" s="6" t="str">
        <f>IFERROR(__xludf.DUMMYFUNCTION("""COMPUTED_VALUE"""),"Enrolled")</f>
        <v>Enrolled</v>
      </c>
    </row>
    <row r="4678">
      <c r="A4678" s="6" t="str">
        <f>IFERROR(__xludf.DUMMYFUNCTION("""COMPUTED_VALUE"""),"084-13040")</f>
        <v>084-13040</v>
      </c>
      <c r="B4678" s="6" t="str">
        <f>IFERROR(__xludf.DUMMYFUNCTION("""COMPUTED_VALUE"""),"84")</f>
        <v>84</v>
      </c>
      <c r="C4678" s="6" t="str">
        <f>IFERROR(__xludf.DUMMYFUNCTION("""COMPUTED_VALUE"""),"13040")</f>
        <v>13040</v>
      </c>
      <c r="D4678" s="6" t="str">
        <f>IFERROR(__xludf.DUMMYFUNCTION("""COMPUTED_VALUE"""),"Ashley")</f>
        <v>Ashley</v>
      </c>
      <c r="E4678" s="6" t="str">
        <f>IFERROR(__xludf.DUMMYFUNCTION("""COMPUTED_VALUE"""),"")</f>
        <v/>
      </c>
      <c r="F4678" s="6" t="str">
        <f>IFERROR(__xludf.DUMMYFUNCTION("""COMPUTED_VALUE"""),"Herrera Espinoza")</f>
        <v>Herrera Espinoza</v>
      </c>
      <c r="G4678" s="6" t="str">
        <f>IFERROR(__xludf.DUMMYFUNCTION("""COMPUTED_VALUE"""),"02/19/2013")</f>
        <v>02/19/2013</v>
      </c>
      <c r="H4678" s="6" t="str">
        <f>IFERROR(__xludf.DUMMYFUNCTION("""COMPUTED_VALUE"""),"male")</f>
        <v>male</v>
      </c>
      <c r="I4678" s="6" t="str">
        <f>IFERROR(__xludf.DUMMYFUNCTION("""COMPUTED_VALUE"""),"Middle School")</f>
        <v>Middle School</v>
      </c>
      <c r="J4678" s="6" t="str">
        <f>IFERROR(__xludf.DUMMYFUNCTION("""COMPUTED_VALUE"""),"7")</f>
        <v>7</v>
      </c>
      <c r="K4678" s="6" t="str">
        <f>IFERROR(__xludf.DUMMYFUNCTION("""COMPUTED_VALUE"""),"ashley.herreraespinoza@2hourlearning.com")</f>
        <v>ashley.herreraespinoza@2hourlearning.com</v>
      </c>
      <c r="L4678" s="6" t="str">
        <f>IFERROR(__xludf.DUMMYFUNCTION("""COMPUTED_VALUE"""),"JHMS - Hardeeville Junior Senior High School")</f>
        <v>JHMS - Hardeeville Junior Senior High School</v>
      </c>
      <c r="M4678" s="6" t="str">
        <f>IFERROR(__xludf.DUMMYFUNCTION("""COMPUTED_VALUE"""),"")</f>
        <v/>
      </c>
      <c r="N4678" s="6" t="str">
        <f>IFERROR(__xludf.DUMMYFUNCTION("""COMPUTED_VALUE"""),"")</f>
        <v/>
      </c>
      <c r="O4678" s="87" t="str">
        <f>IFERROR(__xludf.DUMMYFUNCTION("""COMPUTED_VALUE"""),"https://drive.google.com/drive/folders/10T2cTQHqEJZqE-st6uFKPoI?usp=share_link")</f>
        <v>https://drive.google.com/drive/folders/10T2cTQHqEJZqE-st6uFKPoI?usp=share_link</v>
      </c>
      <c r="P4678" s="6" t="str">
        <f>IFERROR(__xludf.DUMMYFUNCTION("""COMPUTED_VALUE"""),"Ashley Herrera Espinoza")</f>
        <v>Ashley Herrera Espinoza</v>
      </c>
      <c r="Q4678" s="6" t="str">
        <f>IFERROR(__xludf.DUMMYFUNCTION("""COMPUTED_VALUE"""),"MS")</f>
        <v>MS</v>
      </c>
      <c r="R4678" s="6">
        <f>IFERROR(__xludf.DUMMYFUNCTION("""COMPUTED_VALUE"""),0.0)</f>
        <v>0</v>
      </c>
      <c r="S4678" s="6" t="str">
        <f>IFERROR(__xludf.DUMMYFUNCTION("""COMPUTED_VALUE"""),"Kimberly Ball")</f>
        <v>Kimberly Ball</v>
      </c>
      <c r="T4678" s="6" t="str">
        <f>IFERROR(__xludf.DUMMYFUNCTION("""COMPUTED_VALUE"""),"kimberly.ball@studient.com")</f>
        <v>kimberly.ball@studient.com</v>
      </c>
      <c r="U4678" s="6" t="str">
        <f>IFERROR(__xludf.DUMMYFUNCTION("""COMPUTED_VALUE"""),"7")</f>
        <v>7</v>
      </c>
      <c r="V4678" s="6" t="str">
        <f>IFERROR(__xludf.DUMMYFUNCTION("""COMPUTED_VALUE"""),"")</f>
        <v/>
      </c>
      <c r="W4678" s="6" t="str">
        <f>IFERROR(__xludf.DUMMYFUNCTION("""COMPUTED_VALUE"""),"[]")</f>
        <v>[]</v>
      </c>
      <c r="X4678" s="6" t="str">
        <f>IFERROR(__xludf.DUMMYFUNCTION("""COMPUTED_VALUE"""),"Enrolled")</f>
        <v>Enrolled</v>
      </c>
    </row>
    <row r="4679">
      <c r="A4679" s="6" t="str">
        <f>IFERROR(__xludf.DUMMYFUNCTION("""COMPUTED_VALUE"""),"084-13041")</f>
        <v>084-13041</v>
      </c>
      <c r="B4679" s="6" t="str">
        <f>IFERROR(__xludf.DUMMYFUNCTION("""COMPUTED_VALUE"""),"84")</f>
        <v>84</v>
      </c>
      <c r="C4679" s="6" t="str">
        <f>IFERROR(__xludf.DUMMYFUNCTION("""COMPUTED_VALUE"""),"13041")</f>
        <v>13041</v>
      </c>
      <c r="D4679" s="6" t="str">
        <f>IFERROR(__xludf.DUMMYFUNCTION("""COMPUTED_VALUE"""),"Peter")</f>
        <v>Peter</v>
      </c>
      <c r="E4679" s="6" t="str">
        <f>IFERROR(__xludf.DUMMYFUNCTION("""COMPUTED_VALUE"""),"")</f>
        <v/>
      </c>
      <c r="F4679" s="6" t="str">
        <f>IFERROR(__xludf.DUMMYFUNCTION("""COMPUTED_VALUE"""),"Jackson")</f>
        <v>Jackson</v>
      </c>
      <c r="G4679" s="6" t="str">
        <f>IFERROR(__xludf.DUMMYFUNCTION("""COMPUTED_VALUE"""),"03/31/2012")</f>
        <v>03/31/2012</v>
      </c>
      <c r="H4679" s="6" t="str">
        <f>IFERROR(__xludf.DUMMYFUNCTION("""COMPUTED_VALUE"""),"female")</f>
        <v>female</v>
      </c>
      <c r="I4679" s="6" t="str">
        <f>IFERROR(__xludf.DUMMYFUNCTION("""COMPUTED_VALUE"""),"Middle School")</f>
        <v>Middle School</v>
      </c>
      <c r="J4679" s="6" t="str">
        <f>IFERROR(__xludf.DUMMYFUNCTION("""COMPUTED_VALUE"""),"7")</f>
        <v>7</v>
      </c>
      <c r="K4679" s="6" t="str">
        <f>IFERROR(__xludf.DUMMYFUNCTION("""COMPUTED_VALUE"""),"peter.jackson@2hourlearning.com")</f>
        <v>peter.jackson@2hourlearning.com</v>
      </c>
      <c r="L4679" s="6" t="str">
        <f>IFERROR(__xludf.DUMMYFUNCTION("""COMPUTED_VALUE"""),"JHMS - Hardeeville Junior Senior High School")</f>
        <v>JHMS - Hardeeville Junior Senior High School</v>
      </c>
      <c r="M4679" s="6" t="str">
        <f>IFERROR(__xludf.DUMMYFUNCTION("""COMPUTED_VALUE"""),"")</f>
        <v/>
      </c>
      <c r="N4679" s="6" t="str">
        <f>IFERROR(__xludf.DUMMYFUNCTION("""COMPUTED_VALUE"""),"")</f>
        <v/>
      </c>
      <c r="O4679" s="87" t="str">
        <f>IFERROR(__xludf.DUMMYFUNCTION("""COMPUTED_VALUE"""),"https://drive.google.com/drive/folders/10T2cTQHqEJZqE-st6uFKPoI?usp=share_link")</f>
        <v>https://drive.google.com/drive/folders/10T2cTQHqEJZqE-st6uFKPoI?usp=share_link</v>
      </c>
      <c r="P4679" s="6" t="str">
        <f>IFERROR(__xludf.DUMMYFUNCTION("""COMPUTED_VALUE"""),"Peter Jackson")</f>
        <v>Peter Jackson</v>
      </c>
      <c r="Q4679" s="6" t="str">
        <f>IFERROR(__xludf.DUMMYFUNCTION("""COMPUTED_VALUE"""),"MS")</f>
        <v>MS</v>
      </c>
      <c r="R4679" s="6">
        <f>IFERROR(__xludf.DUMMYFUNCTION("""COMPUTED_VALUE"""),0.0)</f>
        <v>0</v>
      </c>
      <c r="S4679" s="6" t="str">
        <f>IFERROR(__xludf.DUMMYFUNCTION("""COMPUTED_VALUE"""),"Kimberly Ball")</f>
        <v>Kimberly Ball</v>
      </c>
      <c r="T4679" s="6" t="str">
        <f>IFERROR(__xludf.DUMMYFUNCTION("""COMPUTED_VALUE"""),"kimberly.ball@studient.com")</f>
        <v>kimberly.ball@studient.com</v>
      </c>
      <c r="U4679" s="6" t="str">
        <f>IFERROR(__xludf.DUMMYFUNCTION("""COMPUTED_VALUE"""),"7")</f>
        <v>7</v>
      </c>
      <c r="V4679" s="6" t="str">
        <f>IFERROR(__xludf.DUMMYFUNCTION("""COMPUTED_VALUE"""),"")</f>
        <v/>
      </c>
      <c r="W4679" s="6" t="str">
        <f>IFERROR(__xludf.DUMMYFUNCTION("""COMPUTED_VALUE"""),"[]")</f>
        <v>[]</v>
      </c>
      <c r="X4679" s="6" t="str">
        <f>IFERROR(__xludf.DUMMYFUNCTION("""COMPUTED_VALUE"""),"Enrolled")</f>
        <v>Enrolled</v>
      </c>
    </row>
    <row r="4680">
      <c r="A4680" s="6" t="str">
        <f>IFERROR(__xludf.DUMMYFUNCTION("""COMPUTED_VALUE"""),"084-13042")</f>
        <v>084-13042</v>
      </c>
      <c r="B4680" s="6" t="str">
        <f>IFERROR(__xludf.DUMMYFUNCTION("""COMPUTED_VALUE"""),"84")</f>
        <v>84</v>
      </c>
      <c r="C4680" s="6" t="str">
        <f>IFERROR(__xludf.DUMMYFUNCTION("""COMPUTED_VALUE"""),"13042")</f>
        <v>13042</v>
      </c>
      <c r="D4680" s="6" t="str">
        <f>IFERROR(__xludf.DUMMYFUNCTION("""COMPUTED_VALUE"""),"Bryson")</f>
        <v>Bryson</v>
      </c>
      <c r="E4680" s="6" t="str">
        <f>IFERROR(__xludf.DUMMYFUNCTION("""COMPUTED_VALUE"""),"")</f>
        <v/>
      </c>
      <c r="F4680" s="6" t="str">
        <f>IFERROR(__xludf.DUMMYFUNCTION("""COMPUTED_VALUE"""),"Jefferson")</f>
        <v>Jefferson</v>
      </c>
      <c r="G4680" s="6" t="str">
        <f>IFERROR(__xludf.DUMMYFUNCTION("""COMPUTED_VALUE"""),"12/05/2012")</f>
        <v>12/05/2012</v>
      </c>
      <c r="H4680" s="6" t="str">
        <f>IFERROR(__xludf.DUMMYFUNCTION("""COMPUTED_VALUE"""),"male")</f>
        <v>male</v>
      </c>
      <c r="I4680" s="6" t="str">
        <f>IFERROR(__xludf.DUMMYFUNCTION("""COMPUTED_VALUE"""),"Middle School")</f>
        <v>Middle School</v>
      </c>
      <c r="J4680" s="6" t="str">
        <f>IFERROR(__xludf.DUMMYFUNCTION("""COMPUTED_VALUE"""),"7")</f>
        <v>7</v>
      </c>
      <c r="K4680" s="6" t="str">
        <f>IFERROR(__xludf.DUMMYFUNCTION("""COMPUTED_VALUE"""),"bryson.jefferson@2hourlearning.com")</f>
        <v>bryson.jefferson@2hourlearning.com</v>
      </c>
      <c r="L4680" s="6" t="str">
        <f>IFERROR(__xludf.DUMMYFUNCTION("""COMPUTED_VALUE"""),"JHMS - Hardeeville Junior Senior High School")</f>
        <v>JHMS - Hardeeville Junior Senior High School</v>
      </c>
      <c r="M4680" s="6" t="str">
        <f>IFERROR(__xludf.DUMMYFUNCTION("""COMPUTED_VALUE"""),"")</f>
        <v/>
      </c>
      <c r="N4680" s="6" t="str">
        <f>IFERROR(__xludf.DUMMYFUNCTION("""COMPUTED_VALUE"""),"")</f>
        <v/>
      </c>
      <c r="O4680" s="87" t="str">
        <f>IFERROR(__xludf.DUMMYFUNCTION("""COMPUTED_VALUE"""),"https://drive.google.com/drive/folders/10T2cTQHqEJZqE-st6uFKPoI?usp=share_link")</f>
        <v>https://drive.google.com/drive/folders/10T2cTQHqEJZqE-st6uFKPoI?usp=share_link</v>
      </c>
      <c r="P4680" s="6" t="str">
        <f>IFERROR(__xludf.DUMMYFUNCTION("""COMPUTED_VALUE"""),"Bryson Jefferson")</f>
        <v>Bryson Jefferson</v>
      </c>
      <c r="Q4680" s="6" t="str">
        <f>IFERROR(__xludf.DUMMYFUNCTION("""COMPUTED_VALUE"""),"MS")</f>
        <v>MS</v>
      </c>
      <c r="R4680" s="6">
        <f>IFERROR(__xludf.DUMMYFUNCTION("""COMPUTED_VALUE"""),0.0)</f>
        <v>0</v>
      </c>
      <c r="S4680" s="6" t="str">
        <f>IFERROR(__xludf.DUMMYFUNCTION("""COMPUTED_VALUE"""),"Kimberly Ball")</f>
        <v>Kimberly Ball</v>
      </c>
      <c r="T4680" s="6" t="str">
        <f>IFERROR(__xludf.DUMMYFUNCTION("""COMPUTED_VALUE"""),"kimberly.ball@studient.com")</f>
        <v>kimberly.ball@studient.com</v>
      </c>
      <c r="U4680" s="6" t="str">
        <f>IFERROR(__xludf.DUMMYFUNCTION("""COMPUTED_VALUE"""),"7")</f>
        <v>7</v>
      </c>
      <c r="V4680" s="6" t="str">
        <f>IFERROR(__xludf.DUMMYFUNCTION("""COMPUTED_VALUE"""),"")</f>
        <v/>
      </c>
      <c r="W4680" s="6" t="str">
        <f>IFERROR(__xludf.DUMMYFUNCTION("""COMPUTED_VALUE"""),"[]")</f>
        <v>[]</v>
      </c>
      <c r="X4680" s="6" t="str">
        <f>IFERROR(__xludf.DUMMYFUNCTION("""COMPUTED_VALUE"""),"Enrolled")</f>
        <v>Enrolled</v>
      </c>
    </row>
    <row r="4681">
      <c r="A4681" s="6" t="str">
        <f>IFERROR(__xludf.DUMMYFUNCTION("""COMPUTED_VALUE"""),"084-13043")</f>
        <v>084-13043</v>
      </c>
      <c r="B4681" s="6" t="str">
        <f>IFERROR(__xludf.DUMMYFUNCTION("""COMPUTED_VALUE"""),"84")</f>
        <v>84</v>
      </c>
      <c r="C4681" s="6" t="str">
        <f>IFERROR(__xludf.DUMMYFUNCTION("""COMPUTED_VALUE"""),"13043")</f>
        <v>13043</v>
      </c>
      <c r="D4681" s="6" t="str">
        <f>IFERROR(__xludf.DUMMYFUNCTION("""COMPUTED_VALUE"""),"Bless")</f>
        <v>Bless</v>
      </c>
      <c r="E4681" s="6" t="str">
        <f>IFERROR(__xludf.DUMMYFUNCTION("""COMPUTED_VALUE"""),"")</f>
        <v/>
      </c>
      <c r="F4681" s="6" t="str">
        <f>IFERROR(__xludf.DUMMYFUNCTION("""COMPUTED_VALUE"""),"Jenkins")</f>
        <v>Jenkins</v>
      </c>
      <c r="G4681" s="6" t="str">
        <f>IFERROR(__xludf.DUMMYFUNCTION("""COMPUTED_VALUE"""),"05/28/2013")</f>
        <v>05/28/2013</v>
      </c>
      <c r="H4681" s="6" t="str">
        <f>IFERROR(__xludf.DUMMYFUNCTION("""COMPUTED_VALUE"""),"female")</f>
        <v>female</v>
      </c>
      <c r="I4681" s="6" t="str">
        <f>IFERROR(__xludf.DUMMYFUNCTION("""COMPUTED_VALUE"""),"Middle School")</f>
        <v>Middle School</v>
      </c>
      <c r="J4681" s="6" t="str">
        <f>IFERROR(__xludf.DUMMYFUNCTION("""COMPUTED_VALUE"""),"7")</f>
        <v>7</v>
      </c>
      <c r="K4681" s="6" t="str">
        <f>IFERROR(__xludf.DUMMYFUNCTION("""COMPUTED_VALUE"""),"bless.jenkins@2hourlearning.com")</f>
        <v>bless.jenkins@2hourlearning.com</v>
      </c>
      <c r="L4681" s="6" t="str">
        <f>IFERROR(__xludf.DUMMYFUNCTION("""COMPUTED_VALUE"""),"JHMS - Hardeeville Junior Senior High School")</f>
        <v>JHMS - Hardeeville Junior Senior High School</v>
      </c>
      <c r="M4681" s="6" t="str">
        <f>IFERROR(__xludf.DUMMYFUNCTION("""COMPUTED_VALUE"""),"")</f>
        <v/>
      </c>
      <c r="N4681" s="6" t="str">
        <f>IFERROR(__xludf.DUMMYFUNCTION("""COMPUTED_VALUE"""),"")</f>
        <v/>
      </c>
      <c r="O4681" s="87" t="str">
        <f>IFERROR(__xludf.DUMMYFUNCTION("""COMPUTED_VALUE"""),"https://drive.google.com/drive/folders/10T2cTQHqEJZqE-st6uFKPoI?usp=share_link")</f>
        <v>https://drive.google.com/drive/folders/10T2cTQHqEJZqE-st6uFKPoI?usp=share_link</v>
      </c>
      <c r="P4681" s="6" t="str">
        <f>IFERROR(__xludf.DUMMYFUNCTION("""COMPUTED_VALUE"""),"Bless Jenkins")</f>
        <v>Bless Jenkins</v>
      </c>
      <c r="Q4681" s="6" t="str">
        <f>IFERROR(__xludf.DUMMYFUNCTION("""COMPUTED_VALUE"""),"MS")</f>
        <v>MS</v>
      </c>
      <c r="R4681" s="6">
        <f>IFERROR(__xludf.DUMMYFUNCTION("""COMPUTED_VALUE"""),0.0)</f>
        <v>0</v>
      </c>
      <c r="S4681" s="6" t="str">
        <f>IFERROR(__xludf.DUMMYFUNCTION("""COMPUTED_VALUE"""),"Kimberly Ball")</f>
        <v>Kimberly Ball</v>
      </c>
      <c r="T4681" s="6" t="str">
        <f>IFERROR(__xludf.DUMMYFUNCTION("""COMPUTED_VALUE"""),"kimberly.ball@studient.com")</f>
        <v>kimberly.ball@studient.com</v>
      </c>
      <c r="U4681" s="6" t="str">
        <f>IFERROR(__xludf.DUMMYFUNCTION("""COMPUTED_VALUE"""),"7")</f>
        <v>7</v>
      </c>
      <c r="V4681" s="6" t="str">
        <f>IFERROR(__xludf.DUMMYFUNCTION("""COMPUTED_VALUE"""),"")</f>
        <v/>
      </c>
      <c r="W4681" s="6" t="str">
        <f>IFERROR(__xludf.DUMMYFUNCTION("""COMPUTED_VALUE"""),"[]")</f>
        <v>[]</v>
      </c>
      <c r="X4681" s="6" t="str">
        <f>IFERROR(__xludf.DUMMYFUNCTION("""COMPUTED_VALUE"""),"Enrolled")</f>
        <v>Enrolled</v>
      </c>
    </row>
    <row r="4682">
      <c r="A4682" s="6" t="str">
        <f>IFERROR(__xludf.DUMMYFUNCTION("""COMPUTED_VALUE"""),"084-13044")</f>
        <v>084-13044</v>
      </c>
      <c r="B4682" s="6" t="str">
        <f>IFERROR(__xludf.DUMMYFUNCTION("""COMPUTED_VALUE"""),"84")</f>
        <v>84</v>
      </c>
      <c r="C4682" s="6" t="str">
        <f>IFERROR(__xludf.DUMMYFUNCTION("""COMPUTED_VALUE"""),"13044")</f>
        <v>13044</v>
      </c>
      <c r="D4682" s="6" t="str">
        <f>IFERROR(__xludf.DUMMYFUNCTION("""COMPUTED_VALUE"""),"Torrie")</f>
        <v>Torrie</v>
      </c>
      <c r="E4682" s="6" t="str">
        <f>IFERROR(__xludf.DUMMYFUNCTION("""COMPUTED_VALUE"""),"")</f>
        <v/>
      </c>
      <c r="F4682" s="6" t="str">
        <f>IFERROR(__xludf.DUMMYFUNCTION("""COMPUTED_VALUE"""),"Latham")</f>
        <v>Latham</v>
      </c>
      <c r="G4682" s="6" t="str">
        <f>IFERROR(__xludf.DUMMYFUNCTION("""COMPUTED_VALUE"""),"09/13/2012")</f>
        <v>09/13/2012</v>
      </c>
      <c r="H4682" s="6" t="str">
        <f>IFERROR(__xludf.DUMMYFUNCTION("""COMPUTED_VALUE"""),"female")</f>
        <v>female</v>
      </c>
      <c r="I4682" s="6" t="str">
        <f>IFERROR(__xludf.DUMMYFUNCTION("""COMPUTED_VALUE"""),"Middle School")</f>
        <v>Middle School</v>
      </c>
      <c r="J4682" s="6" t="str">
        <f>IFERROR(__xludf.DUMMYFUNCTION("""COMPUTED_VALUE"""),"7")</f>
        <v>7</v>
      </c>
      <c r="K4682" s="6" t="str">
        <f>IFERROR(__xludf.DUMMYFUNCTION("""COMPUTED_VALUE"""),"torrie.latham@2hourlearning.com")</f>
        <v>torrie.latham@2hourlearning.com</v>
      </c>
      <c r="L4682" s="6" t="str">
        <f>IFERROR(__xludf.DUMMYFUNCTION("""COMPUTED_VALUE"""),"JHMS - Hardeeville Junior Senior High School")</f>
        <v>JHMS - Hardeeville Junior Senior High School</v>
      </c>
      <c r="M4682" s="6" t="str">
        <f>IFERROR(__xludf.DUMMYFUNCTION("""COMPUTED_VALUE"""),"")</f>
        <v/>
      </c>
      <c r="N4682" s="6" t="str">
        <f>IFERROR(__xludf.DUMMYFUNCTION("""COMPUTED_VALUE"""),"")</f>
        <v/>
      </c>
      <c r="O4682" s="87" t="str">
        <f>IFERROR(__xludf.DUMMYFUNCTION("""COMPUTED_VALUE"""),"https://drive.google.com/drive/folders/10T2cTQHqEJZqE-st6uFKPoI?usp=share_link")</f>
        <v>https://drive.google.com/drive/folders/10T2cTQHqEJZqE-st6uFKPoI?usp=share_link</v>
      </c>
      <c r="P4682" s="6" t="str">
        <f>IFERROR(__xludf.DUMMYFUNCTION("""COMPUTED_VALUE"""),"Torrie Latham")</f>
        <v>Torrie Latham</v>
      </c>
      <c r="Q4682" s="6" t="str">
        <f>IFERROR(__xludf.DUMMYFUNCTION("""COMPUTED_VALUE"""),"MS")</f>
        <v>MS</v>
      </c>
      <c r="R4682" s="6">
        <f>IFERROR(__xludf.DUMMYFUNCTION("""COMPUTED_VALUE"""),0.0)</f>
        <v>0</v>
      </c>
      <c r="S4682" s="6" t="str">
        <f>IFERROR(__xludf.DUMMYFUNCTION("""COMPUTED_VALUE"""),"Kimberly Ball")</f>
        <v>Kimberly Ball</v>
      </c>
      <c r="T4682" s="6" t="str">
        <f>IFERROR(__xludf.DUMMYFUNCTION("""COMPUTED_VALUE"""),"kimberly.ball@studient.com")</f>
        <v>kimberly.ball@studient.com</v>
      </c>
      <c r="U4682" s="6" t="str">
        <f>IFERROR(__xludf.DUMMYFUNCTION("""COMPUTED_VALUE"""),"7")</f>
        <v>7</v>
      </c>
      <c r="V4682" s="6" t="str">
        <f>IFERROR(__xludf.DUMMYFUNCTION("""COMPUTED_VALUE"""),"")</f>
        <v/>
      </c>
      <c r="W4682" s="6" t="str">
        <f>IFERROR(__xludf.DUMMYFUNCTION("""COMPUTED_VALUE"""),"[]")</f>
        <v>[]</v>
      </c>
      <c r="X4682" s="6" t="str">
        <f>IFERROR(__xludf.DUMMYFUNCTION("""COMPUTED_VALUE"""),"Enrolled")</f>
        <v>Enrolled</v>
      </c>
    </row>
    <row r="4683">
      <c r="A4683" s="6" t="str">
        <f>IFERROR(__xludf.DUMMYFUNCTION("""COMPUTED_VALUE"""),"084-13045")</f>
        <v>084-13045</v>
      </c>
      <c r="B4683" s="6" t="str">
        <f>IFERROR(__xludf.DUMMYFUNCTION("""COMPUTED_VALUE"""),"84")</f>
        <v>84</v>
      </c>
      <c r="C4683" s="6" t="str">
        <f>IFERROR(__xludf.DUMMYFUNCTION("""COMPUTED_VALUE"""),"13045")</f>
        <v>13045</v>
      </c>
      <c r="D4683" s="6" t="str">
        <f>IFERROR(__xludf.DUMMYFUNCTION("""COMPUTED_VALUE"""),"Mayteth")</f>
        <v>Mayteth</v>
      </c>
      <c r="E4683" s="6" t="str">
        <f>IFERROR(__xludf.DUMMYFUNCTION("""COMPUTED_VALUE"""),"")</f>
        <v/>
      </c>
      <c r="F4683" s="6" t="str">
        <f>IFERROR(__xludf.DUMMYFUNCTION("""COMPUTED_VALUE"""),"Leyva Candelario")</f>
        <v>Leyva Candelario</v>
      </c>
      <c r="G4683" s="6" t="str">
        <f>IFERROR(__xludf.DUMMYFUNCTION("""COMPUTED_VALUE"""),"02/14/2013")</f>
        <v>02/14/2013</v>
      </c>
      <c r="H4683" s="6" t="str">
        <f>IFERROR(__xludf.DUMMYFUNCTION("""COMPUTED_VALUE"""),"female")</f>
        <v>female</v>
      </c>
      <c r="I4683" s="6" t="str">
        <f>IFERROR(__xludf.DUMMYFUNCTION("""COMPUTED_VALUE"""),"Middle School")</f>
        <v>Middle School</v>
      </c>
      <c r="J4683" s="6" t="str">
        <f>IFERROR(__xludf.DUMMYFUNCTION("""COMPUTED_VALUE"""),"7")</f>
        <v>7</v>
      </c>
      <c r="K4683" s="6" t="str">
        <f>IFERROR(__xludf.DUMMYFUNCTION("""COMPUTED_VALUE"""),"mayteth.leyvacandelario@2hourlearning.com")</f>
        <v>mayteth.leyvacandelario@2hourlearning.com</v>
      </c>
      <c r="L4683" s="6" t="str">
        <f>IFERROR(__xludf.DUMMYFUNCTION("""COMPUTED_VALUE"""),"JHMS - Hardeeville Junior Senior High School")</f>
        <v>JHMS - Hardeeville Junior Senior High School</v>
      </c>
      <c r="M4683" s="6" t="str">
        <f>IFERROR(__xludf.DUMMYFUNCTION("""COMPUTED_VALUE"""),"")</f>
        <v/>
      </c>
      <c r="N4683" s="6" t="str">
        <f>IFERROR(__xludf.DUMMYFUNCTION("""COMPUTED_VALUE"""),"")</f>
        <v/>
      </c>
      <c r="O4683" s="87" t="str">
        <f>IFERROR(__xludf.DUMMYFUNCTION("""COMPUTED_VALUE"""),"https://drive.google.com/drive/folders/10T2cTQHqEJZqE-st6uFKPoI?usp=share_link")</f>
        <v>https://drive.google.com/drive/folders/10T2cTQHqEJZqE-st6uFKPoI?usp=share_link</v>
      </c>
      <c r="P4683" s="6" t="str">
        <f>IFERROR(__xludf.DUMMYFUNCTION("""COMPUTED_VALUE"""),"Mayteth Leyva Candelario")</f>
        <v>Mayteth Leyva Candelario</v>
      </c>
      <c r="Q4683" s="6" t="str">
        <f>IFERROR(__xludf.DUMMYFUNCTION("""COMPUTED_VALUE"""),"MS")</f>
        <v>MS</v>
      </c>
      <c r="R4683" s="6">
        <f>IFERROR(__xludf.DUMMYFUNCTION("""COMPUTED_VALUE"""),0.0)</f>
        <v>0</v>
      </c>
      <c r="S4683" s="6" t="str">
        <f>IFERROR(__xludf.DUMMYFUNCTION("""COMPUTED_VALUE"""),"Kimberly Ball")</f>
        <v>Kimberly Ball</v>
      </c>
      <c r="T4683" s="6" t="str">
        <f>IFERROR(__xludf.DUMMYFUNCTION("""COMPUTED_VALUE"""),"kimberly.ball@studient.com")</f>
        <v>kimberly.ball@studient.com</v>
      </c>
      <c r="U4683" s="6" t="str">
        <f>IFERROR(__xludf.DUMMYFUNCTION("""COMPUTED_VALUE"""),"7")</f>
        <v>7</v>
      </c>
      <c r="V4683" s="6" t="str">
        <f>IFERROR(__xludf.DUMMYFUNCTION("""COMPUTED_VALUE"""),"")</f>
        <v/>
      </c>
      <c r="W4683" s="6" t="str">
        <f>IFERROR(__xludf.DUMMYFUNCTION("""COMPUTED_VALUE"""),"[]")</f>
        <v>[]</v>
      </c>
      <c r="X4683" s="6" t="str">
        <f>IFERROR(__xludf.DUMMYFUNCTION("""COMPUTED_VALUE"""),"Enrolled")</f>
        <v>Enrolled</v>
      </c>
    </row>
    <row r="4684">
      <c r="A4684" s="6" t="str">
        <f>IFERROR(__xludf.DUMMYFUNCTION("""COMPUTED_VALUE"""),"084-13046")</f>
        <v>084-13046</v>
      </c>
      <c r="B4684" s="6" t="str">
        <f>IFERROR(__xludf.DUMMYFUNCTION("""COMPUTED_VALUE"""),"84")</f>
        <v>84</v>
      </c>
      <c r="C4684" s="6" t="str">
        <f>IFERROR(__xludf.DUMMYFUNCTION("""COMPUTED_VALUE"""),"13046")</f>
        <v>13046</v>
      </c>
      <c r="D4684" s="6" t="str">
        <f>IFERROR(__xludf.DUMMYFUNCTION("""COMPUTED_VALUE"""),"Yesica")</f>
        <v>Yesica</v>
      </c>
      <c r="E4684" s="6" t="str">
        <f>IFERROR(__xludf.DUMMYFUNCTION("""COMPUTED_VALUE"""),"")</f>
        <v/>
      </c>
      <c r="F4684" s="6" t="str">
        <f>IFERROR(__xludf.DUMMYFUNCTION("""COMPUTED_VALUE"""),"Lopez Morales")</f>
        <v>Lopez Morales</v>
      </c>
      <c r="G4684" s="6" t="str">
        <f>IFERROR(__xludf.DUMMYFUNCTION("""COMPUTED_VALUE"""),"09/12/2012")</f>
        <v>09/12/2012</v>
      </c>
      <c r="H4684" s="6" t="str">
        <f>IFERROR(__xludf.DUMMYFUNCTION("""COMPUTED_VALUE"""),"female")</f>
        <v>female</v>
      </c>
      <c r="I4684" s="6" t="str">
        <f>IFERROR(__xludf.DUMMYFUNCTION("""COMPUTED_VALUE"""),"Middle School")</f>
        <v>Middle School</v>
      </c>
      <c r="J4684" s="6" t="str">
        <f>IFERROR(__xludf.DUMMYFUNCTION("""COMPUTED_VALUE"""),"7")</f>
        <v>7</v>
      </c>
      <c r="K4684" s="6" t="str">
        <f>IFERROR(__xludf.DUMMYFUNCTION("""COMPUTED_VALUE"""),"yesica.lopezmorales@2hourlearning.com")</f>
        <v>yesica.lopezmorales@2hourlearning.com</v>
      </c>
      <c r="L4684" s="6" t="str">
        <f>IFERROR(__xludf.DUMMYFUNCTION("""COMPUTED_VALUE"""),"JHMS - Hardeeville Junior Senior High School")</f>
        <v>JHMS - Hardeeville Junior Senior High School</v>
      </c>
      <c r="M4684" s="6" t="str">
        <f>IFERROR(__xludf.DUMMYFUNCTION("""COMPUTED_VALUE"""),"")</f>
        <v/>
      </c>
      <c r="N4684" s="6" t="str">
        <f>IFERROR(__xludf.DUMMYFUNCTION("""COMPUTED_VALUE"""),"")</f>
        <v/>
      </c>
      <c r="O4684" s="87" t="str">
        <f>IFERROR(__xludf.DUMMYFUNCTION("""COMPUTED_VALUE"""),"https://drive.google.com/drive/folders/10T2cTQHqEJZqE-st6uFKPoI?usp=share_link")</f>
        <v>https://drive.google.com/drive/folders/10T2cTQHqEJZqE-st6uFKPoI?usp=share_link</v>
      </c>
      <c r="P4684" s="6" t="str">
        <f>IFERROR(__xludf.DUMMYFUNCTION("""COMPUTED_VALUE"""),"Yesica Lopez Morales")</f>
        <v>Yesica Lopez Morales</v>
      </c>
      <c r="Q4684" s="6" t="str">
        <f>IFERROR(__xludf.DUMMYFUNCTION("""COMPUTED_VALUE"""),"MS")</f>
        <v>MS</v>
      </c>
      <c r="R4684" s="6">
        <f>IFERROR(__xludf.DUMMYFUNCTION("""COMPUTED_VALUE"""),0.0)</f>
        <v>0</v>
      </c>
      <c r="S4684" s="6" t="str">
        <f>IFERROR(__xludf.DUMMYFUNCTION("""COMPUTED_VALUE"""),"Kimberly Ball")</f>
        <v>Kimberly Ball</v>
      </c>
      <c r="T4684" s="6" t="str">
        <f>IFERROR(__xludf.DUMMYFUNCTION("""COMPUTED_VALUE"""),"kimberly.ball@studient.com")</f>
        <v>kimberly.ball@studient.com</v>
      </c>
      <c r="U4684" s="6" t="str">
        <f>IFERROR(__xludf.DUMMYFUNCTION("""COMPUTED_VALUE"""),"7")</f>
        <v>7</v>
      </c>
      <c r="V4684" s="6" t="str">
        <f>IFERROR(__xludf.DUMMYFUNCTION("""COMPUTED_VALUE"""),"")</f>
        <v/>
      </c>
      <c r="W4684" s="6" t="str">
        <f>IFERROR(__xludf.DUMMYFUNCTION("""COMPUTED_VALUE"""),"[]")</f>
        <v>[]</v>
      </c>
      <c r="X4684" s="6" t="str">
        <f>IFERROR(__xludf.DUMMYFUNCTION("""COMPUTED_VALUE"""),"Enrolled")</f>
        <v>Enrolled</v>
      </c>
    </row>
    <row r="4685">
      <c r="A4685" s="6" t="str">
        <f>IFERROR(__xludf.DUMMYFUNCTION("""COMPUTED_VALUE"""),"084-13047")</f>
        <v>084-13047</v>
      </c>
      <c r="B4685" s="6" t="str">
        <f>IFERROR(__xludf.DUMMYFUNCTION("""COMPUTED_VALUE"""),"84")</f>
        <v>84</v>
      </c>
      <c r="C4685" s="6" t="str">
        <f>IFERROR(__xludf.DUMMYFUNCTION("""COMPUTED_VALUE"""),"13047")</f>
        <v>13047</v>
      </c>
      <c r="D4685" s="6" t="str">
        <f>IFERROR(__xludf.DUMMYFUNCTION("""COMPUTED_VALUE"""),"Crista")</f>
        <v>Crista</v>
      </c>
      <c r="E4685" s="6" t="str">
        <f>IFERROR(__xludf.DUMMYFUNCTION("""COMPUTED_VALUE"""),"")</f>
        <v/>
      </c>
      <c r="F4685" s="6" t="str">
        <f>IFERROR(__xludf.DUMMYFUNCTION("""COMPUTED_VALUE"""),"Maradiaga Enamorado")</f>
        <v>Maradiaga Enamorado</v>
      </c>
      <c r="G4685" s="6" t="str">
        <f>IFERROR(__xludf.DUMMYFUNCTION("""COMPUTED_VALUE"""),"12/25/2012")</f>
        <v>12/25/2012</v>
      </c>
      <c r="H4685" s="6" t="str">
        <f>IFERROR(__xludf.DUMMYFUNCTION("""COMPUTED_VALUE"""),"male")</f>
        <v>male</v>
      </c>
      <c r="I4685" s="6" t="str">
        <f>IFERROR(__xludf.DUMMYFUNCTION("""COMPUTED_VALUE"""),"Middle School")</f>
        <v>Middle School</v>
      </c>
      <c r="J4685" s="6" t="str">
        <f>IFERROR(__xludf.DUMMYFUNCTION("""COMPUTED_VALUE"""),"7")</f>
        <v>7</v>
      </c>
      <c r="K4685" s="6" t="str">
        <f>IFERROR(__xludf.DUMMYFUNCTION("""COMPUTED_VALUE"""),"crista.maradiagaenamorado@2hourlearning.com")</f>
        <v>crista.maradiagaenamorado@2hourlearning.com</v>
      </c>
      <c r="L4685" s="6" t="str">
        <f>IFERROR(__xludf.DUMMYFUNCTION("""COMPUTED_VALUE"""),"JHMS - Hardeeville Junior Senior High School")</f>
        <v>JHMS - Hardeeville Junior Senior High School</v>
      </c>
      <c r="M4685" s="6" t="str">
        <f>IFERROR(__xludf.DUMMYFUNCTION("""COMPUTED_VALUE"""),"")</f>
        <v/>
      </c>
      <c r="N4685" s="6" t="str">
        <f>IFERROR(__xludf.DUMMYFUNCTION("""COMPUTED_VALUE"""),"")</f>
        <v/>
      </c>
      <c r="O4685" s="87" t="str">
        <f>IFERROR(__xludf.DUMMYFUNCTION("""COMPUTED_VALUE"""),"https://drive.google.com/drive/folders/10T2cTQHqEJZqE-st6uFKPoI?usp=share_link")</f>
        <v>https://drive.google.com/drive/folders/10T2cTQHqEJZqE-st6uFKPoI?usp=share_link</v>
      </c>
      <c r="P4685" s="6" t="str">
        <f>IFERROR(__xludf.DUMMYFUNCTION("""COMPUTED_VALUE"""),"Crista Maradiaga Enamorado")</f>
        <v>Crista Maradiaga Enamorado</v>
      </c>
      <c r="Q4685" s="6" t="str">
        <f>IFERROR(__xludf.DUMMYFUNCTION("""COMPUTED_VALUE"""),"MS")</f>
        <v>MS</v>
      </c>
      <c r="R4685" s="6">
        <f>IFERROR(__xludf.DUMMYFUNCTION("""COMPUTED_VALUE"""),0.0)</f>
        <v>0</v>
      </c>
      <c r="S4685" s="6" t="str">
        <f>IFERROR(__xludf.DUMMYFUNCTION("""COMPUTED_VALUE"""),"Kimberly Ball")</f>
        <v>Kimberly Ball</v>
      </c>
      <c r="T4685" s="6" t="str">
        <f>IFERROR(__xludf.DUMMYFUNCTION("""COMPUTED_VALUE"""),"kimberly.ball@studient.com")</f>
        <v>kimberly.ball@studient.com</v>
      </c>
      <c r="U4685" s="6" t="str">
        <f>IFERROR(__xludf.DUMMYFUNCTION("""COMPUTED_VALUE"""),"7")</f>
        <v>7</v>
      </c>
      <c r="V4685" s="6" t="str">
        <f>IFERROR(__xludf.DUMMYFUNCTION("""COMPUTED_VALUE"""),"")</f>
        <v/>
      </c>
      <c r="W4685" s="6" t="str">
        <f>IFERROR(__xludf.DUMMYFUNCTION("""COMPUTED_VALUE"""),"[]")</f>
        <v>[]</v>
      </c>
      <c r="X4685" s="6" t="str">
        <f>IFERROR(__xludf.DUMMYFUNCTION("""COMPUTED_VALUE"""),"Enrolled")</f>
        <v>Enrolled</v>
      </c>
    </row>
    <row r="4686">
      <c r="A4686" s="6" t="str">
        <f>IFERROR(__xludf.DUMMYFUNCTION("""COMPUTED_VALUE"""),"084-13048")</f>
        <v>084-13048</v>
      </c>
      <c r="B4686" s="6" t="str">
        <f>IFERROR(__xludf.DUMMYFUNCTION("""COMPUTED_VALUE"""),"84")</f>
        <v>84</v>
      </c>
      <c r="C4686" s="6" t="str">
        <f>IFERROR(__xludf.DUMMYFUNCTION("""COMPUTED_VALUE"""),"13048")</f>
        <v>13048</v>
      </c>
      <c r="D4686" s="6" t="str">
        <f>IFERROR(__xludf.DUMMYFUNCTION("""COMPUTED_VALUE"""),"Evolett K")</f>
        <v>Evolett K</v>
      </c>
      <c r="E4686" s="6" t="str">
        <f>IFERROR(__xludf.DUMMYFUNCTION("""COMPUTED_VALUE"""),"")</f>
        <v/>
      </c>
      <c r="F4686" s="6" t="str">
        <f>IFERROR(__xludf.DUMMYFUNCTION("""COMPUTED_VALUE"""),"Martinez Arellano")</f>
        <v>Martinez Arellano</v>
      </c>
      <c r="G4686" s="6" t="str">
        <f>IFERROR(__xludf.DUMMYFUNCTION("""COMPUTED_VALUE"""),"07/13/2012")</f>
        <v>07/13/2012</v>
      </c>
      <c r="H4686" s="6" t="str">
        <f>IFERROR(__xludf.DUMMYFUNCTION("""COMPUTED_VALUE"""),"female")</f>
        <v>female</v>
      </c>
      <c r="I4686" s="6" t="str">
        <f>IFERROR(__xludf.DUMMYFUNCTION("""COMPUTED_VALUE"""),"Middle School")</f>
        <v>Middle School</v>
      </c>
      <c r="J4686" s="6" t="str">
        <f>IFERROR(__xludf.DUMMYFUNCTION("""COMPUTED_VALUE"""),"7")</f>
        <v>7</v>
      </c>
      <c r="K4686" s="6" t="str">
        <f>IFERROR(__xludf.DUMMYFUNCTION("""COMPUTED_VALUE"""),"evolettk.martinezarellano@2hourlearning.com")</f>
        <v>evolettk.martinezarellano@2hourlearning.com</v>
      </c>
      <c r="L4686" s="6" t="str">
        <f>IFERROR(__xludf.DUMMYFUNCTION("""COMPUTED_VALUE"""),"JHMS - Hardeeville Junior Senior High School")</f>
        <v>JHMS - Hardeeville Junior Senior High School</v>
      </c>
      <c r="M4686" s="6" t="str">
        <f>IFERROR(__xludf.DUMMYFUNCTION("""COMPUTED_VALUE"""),"")</f>
        <v/>
      </c>
      <c r="N4686" s="6" t="str">
        <f>IFERROR(__xludf.DUMMYFUNCTION("""COMPUTED_VALUE"""),"")</f>
        <v/>
      </c>
      <c r="O4686" s="87" t="str">
        <f>IFERROR(__xludf.DUMMYFUNCTION("""COMPUTED_VALUE"""),"https://drive.google.com/drive/folders/10T2cTQHqEJZqE-st6uFKPoI?usp=share_link")</f>
        <v>https://drive.google.com/drive/folders/10T2cTQHqEJZqE-st6uFKPoI?usp=share_link</v>
      </c>
      <c r="P4686" s="6" t="str">
        <f>IFERROR(__xludf.DUMMYFUNCTION("""COMPUTED_VALUE"""),"Evolett K Martinez Arellano")</f>
        <v>Evolett K Martinez Arellano</v>
      </c>
      <c r="Q4686" s="6" t="str">
        <f>IFERROR(__xludf.DUMMYFUNCTION("""COMPUTED_VALUE"""),"MS")</f>
        <v>MS</v>
      </c>
      <c r="R4686" s="6">
        <f>IFERROR(__xludf.DUMMYFUNCTION("""COMPUTED_VALUE"""),0.0)</f>
        <v>0</v>
      </c>
      <c r="S4686" s="6" t="str">
        <f>IFERROR(__xludf.DUMMYFUNCTION("""COMPUTED_VALUE"""),"Kimberly Ball")</f>
        <v>Kimberly Ball</v>
      </c>
      <c r="T4686" s="6" t="str">
        <f>IFERROR(__xludf.DUMMYFUNCTION("""COMPUTED_VALUE"""),"kimberly.ball@studient.com")</f>
        <v>kimberly.ball@studient.com</v>
      </c>
      <c r="U4686" s="6" t="str">
        <f>IFERROR(__xludf.DUMMYFUNCTION("""COMPUTED_VALUE"""),"7")</f>
        <v>7</v>
      </c>
      <c r="V4686" s="6" t="str">
        <f>IFERROR(__xludf.DUMMYFUNCTION("""COMPUTED_VALUE"""),"")</f>
        <v/>
      </c>
      <c r="W4686" s="6" t="str">
        <f>IFERROR(__xludf.DUMMYFUNCTION("""COMPUTED_VALUE"""),"[]")</f>
        <v>[]</v>
      </c>
      <c r="X4686" s="6" t="str">
        <f>IFERROR(__xludf.DUMMYFUNCTION("""COMPUTED_VALUE"""),"Enrolled")</f>
        <v>Enrolled</v>
      </c>
    </row>
    <row r="4687">
      <c r="A4687" s="6" t="str">
        <f>IFERROR(__xludf.DUMMYFUNCTION("""COMPUTED_VALUE"""),"084-13049")</f>
        <v>084-13049</v>
      </c>
      <c r="B4687" s="6" t="str">
        <f>IFERROR(__xludf.DUMMYFUNCTION("""COMPUTED_VALUE"""),"84")</f>
        <v>84</v>
      </c>
      <c r="C4687" s="6" t="str">
        <f>IFERROR(__xludf.DUMMYFUNCTION("""COMPUTED_VALUE"""),"13049")</f>
        <v>13049</v>
      </c>
      <c r="D4687" s="6" t="str">
        <f>IFERROR(__xludf.DUMMYFUNCTION("""COMPUTED_VALUE"""),"Jose")</f>
        <v>Jose</v>
      </c>
      <c r="E4687" s="6" t="str">
        <f>IFERROR(__xludf.DUMMYFUNCTION("""COMPUTED_VALUE"""),"")</f>
        <v/>
      </c>
      <c r="F4687" s="6" t="str">
        <f>IFERROR(__xludf.DUMMYFUNCTION("""COMPUTED_VALUE"""),"Martinez Hernandez")</f>
        <v>Martinez Hernandez</v>
      </c>
      <c r="G4687" s="6" t="str">
        <f>IFERROR(__xludf.DUMMYFUNCTION("""COMPUTED_VALUE"""),"05/31/2013")</f>
        <v>05/31/2013</v>
      </c>
      <c r="H4687" s="6" t="str">
        <f>IFERROR(__xludf.DUMMYFUNCTION("""COMPUTED_VALUE"""),"female")</f>
        <v>female</v>
      </c>
      <c r="I4687" s="6" t="str">
        <f>IFERROR(__xludf.DUMMYFUNCTION("""COMPUTED_VALUE"""),"Middle School")</f>
        <v>Middle School</v>
      </c>
      <c r="J4687" s="6" t="str">
        <f>IFERROR(__xludf.DUMMYFUNCTION("""COMPUTED_VALUE"""),"7")</f>
        <v>7</v>
      </c>
      <c r="K4687" s="6" t="str">
        <f>IFERROR(__xludf.DUMMYFUNCTION("""COMPUTED_VALUE"""),"jose.martinezhernandez@2hourlearning.com")</f>
        <v>jose.martinezhernandez@2hourlearning.com</v>
      </c>
      <c r="L4687" s="6" t="str">
        <f>IFERROR(__xludf.DUMMYFUNCTION("""COMPUTED_VALUE"""),"JHMS - Hardeeville Junior Senior High School")</f>
        <v>JHMS - Hardeeville Junior Senior High School</v>
      </c>
      <c r="M4687" s="6" t="str">
        <f>IFERROR(__xludf.DUMMYFUNCTION("""COMPUTED_VALUE"""),"")</f>
        <v/>
      </c>
      <c r="N4687" s="6" t="str">
        <f>IFERROR(__xludf.DUMMYFUNCTION("""COMPUTED_VALUE"""),"")</f>
        <v/>
      </c>
      <c r="O4687" s="87" t="str">
        <f>IFERROR(__xludf.DUMMYFUNCTION("""COMPUTED_VALUE"""),"https://drive.google.com/drive/folders/10T2cTQHqEJZqE-st6uFKPoI?usp=share_link")</f>
        <v>https://drive.google.com/drive/folders/10T2cTQHqEJZqE-st6uFKPoI?usp=share_link</v>
      </c>
      <c r="P4687" s="6" t="str">
        <f>IFERROR(__xludf.DUMMYFUNCTION("""COMPUTED_VALUE"""),"Jose Martinez Hernandez")</f>
        <v>Jose Martinez Hernandez</v>
      </c>
      <c r="Q4687" s="6" t="str">
        <f>IFERROR(__xludf.DUMMYFUNCTION("""COMPUTED_VALUE"""),"MS")</f>
        <v>MS</v>
      </c>
      <c r="R4687" s="6">
        <f>IFERROR(__xludf.DUMMYFUNCTION("""COMPUTED_VALUE"""),0.0)</f>
        <v>0</v>
      </c>
      <c r="S4687" s="6" t="str">
        <f>IFERROR(__xludf.DUMMYFUNCTION("""COMPUTED_VALUE"""),"Kimberly Ball")</f>
        <v>Kimberly Ball</v>
      </c>
      <c r="T4687" s="6" t="str">
        <f>IFERROR(__xludf.DUMMYFUNCTION("""COMPUTED_VALUE"""),"kimberly.ball@studient.com")</f>
        <v>kimberly.ball@studient.com</v>
      </c>
      <c r="U4687" s="6" t="str">
        <f>IFERROR(__xludf.DUMMYFUNCTION("""COMPUTED_VALUE"""),"7")</f>
        <v>7</v>
      </c>
      <c r="V4687" s="6" t="str">
        <f>IFERROR(__xludf.DUMMYFUNCTION("""COMPUTED_VALUE"""),"")</f>
        <v/>
      </c>
      <c r="W4687" s="6" t="str">
        <f>IFERROR(__xludf.DUMMYFUNCTION("""COMPUTED_VALUE"""),"[]")</f>
        <v>[]</v>
      </c>
      <c r="X4687" s="6" t="str">
        <f>IFERROR(__xludf.DUMMYFUNCTION("""COMPUTED_VALUE"""),"Enrolled")</f>
        <v>Enrolled</v>
      </c>
    </row>
    <row r="4688">
      <c r="A4688" s="6" t="str">
        <f>IFERROR(__xludf.DUMMYFUNCTION("""COMPUTED_VALUE"""),"084-13050")</f>
        <v>084-13050</v>
      </c>
      <c r="B4688" s="6" t="str">
        <f>IFERROR(__xludf.DUMMYFUNCTION("""COMPUTED_VALUE"""),"84")</f>
        <v>84</v>
      </c>
      <c r="C4688" s="6" t="str">
        <f>IFERROR(__xludf.DUMMYFUNCTION("""COMPUTED_VALUE"""),"13050")</f>
        <v>13050</v>
      </c>
      <c r="D4688" s="6" t="str">
        <f>IFERROR(__xludf.DUMMYFUNCTION("""COMPUTED_VALUE"""),"Lisbeth")</f>
        <v>Lisbeth</v>
      </c>
      <c r="E4688" s="6" t="str">
        <f>IFERROR(__xludf.DUMMYFUNCTION("""COMPUTED_VALUE"""),"")</f>
        <v/>
      </c>
      <c r="F4688" s="6" t="str">
        <f>IFERROR(__xludf.DUMMYFUNCTION("""COMPUTED_VALUE"""),"Matamoros Izaguirre")</f>
        <v>Matamoros Izaguirre</v>
      </c>
      <c r="G4688" s="6" t="str">
        <f>IFERROR(__xludf.DUMMYFUNCTION("""COMPUTED_VALUE"""),"06/18/2013")</f>
        <v>06/18/2013</v>
      </c>
      <c r="H4688" s="6" t="str">
        <f>IFERROR(__xludf.DUMMYFUNCTION("""COMPUTED_VALUE"""),"male")</f>
        <v>male</v>
      </c>
      <c r="I4688" s="6" t="str">
        <f>IFERROR(__xludf.DUMMYFUNCTION("""COMPUTED_VALUE"""),"Middle School")</f>
        <v>Middle School</v>
      </c>
      <c r="J4688" s="6" t="str">
        <f>IFERROR(__xludf.DUMMYFUNCTION("""COMPUTED_VALUE"""),"7")</f>
        <v>7</v>
      </c>
      <c r="K4688" s="6" t="str">
        <f>IFERROR(__xludf.DUMMYFUNCTION("""COMPUTED_VALUE"""),"lisbeth.matamorosizaguirre@2hourlearning.com")</f>
        <v>lisbeth.matamorosizaguirre@2hourlearning.com</v>
      </c>
      <c r="L4688" s="6" t="str">
        <f>IFERROR(__xludf.DUMMYFUNCTION("""COMPUTED_VALUE"""),"JHMS - Hardeeville Junior Senior High School")</f>
        <v>JHMS - Hardeeville Junior Senior High School</v>
      </c>
      <c r="M4688" s="6" t="str">
        <f>IFERROR(__xludf.DUMMYFUNCTION("""COMPUTED_VALUE"""),"")</f>
        <v/>
      </c>
      <c r="N4688" s="6" t="str">
        <f>IFERROR(__xludf.DUMMYFUNCTION("""COMPUTED_VALUE"""),"")</f>
        <v/>
      </c>
      <c r="O4688" s="87" t="str">
        <f>IFERROR(__xludf.DUMMYFUNCTION("""COMPUTED_VALUE"""),"https://drive.google.com/drive/folders/10T2cTQHqEJZqE-st6uFKPoI?usp=share_link")</f>
        <v>https://drive.google.com/drive/folders/10T2cTQHqEJZqE-st6uFKPoI?usp=share_link</v>
      </c>
      <c r="P4688" s="6" t="str">
        <f>IFERROR(__xludf.DUMMYFUNCTION("""COMPUTED_VALUE"""),"Lisbeth Matamoros Izaguirre")</f>
        <v>Lisbeth Matamoros Izaguirre</v>
      </c>
      <c r="Q4688" s="6" t="str">
        <f>IFERROR(__xludf.DUMMYFUNCTION("""COMPUTED_VALUE"""),"MS")</f>
        <v>MS</v>
      </c>
      <c r="R4688" s="6">
        <f>IFERROR(__xludf.DUMMYFUNCTION("""COMPUTED_VALUE"""),0.0)</f>
        <v>0</v>
      </c>
      <c r="S4688" s="6" t="str">
        <f>IFERROR(__xludf.DUMMYFUNCTION("""COMPUTED_VALUE"""),"Kimberly Ball")</f>
        <v>Kimberly Ball</v>
      </c>
      <c r="T4688" s="6" t="str">
        <f>IFERROR(__xludf.DUMMYFUNCTION("""COMPUTED_VALUE"""),"kimberly.ball@studient.com")</f>
        <v>kimberly.ball@studient.com</v>
      </c>
      <c r="U4688" s="6" t="str">
        <f>IFERROR(__xludf.DUMMYFUNCTION("""COMPUTED_VALUE"""),"7")</f>
        <v>7</v>
      </c>
      <c r="V4688" s="6" t="str">
        <f>IFERROR(__xludf.DUMMYFUNCTION("""COMPUTED_VALUE"""),"")</f>
        <v/>
      </c>
      <c r="W4688" s="6" t="str">
        <f>IFERROR(__xludf.DUMMYFUNCTION("""COMPUTED_VALUE"""),"[]")</f>
        <v>[]</v>
      </c>
      <c r="X4688" s="6" t="str">
        <f>IFERROR(__xludf.DUMMYFUNCTION("""COMPUTED_VALUE"""),"Enrolled")</f>
        <v>Enrolled</v>
      </c>
    </row>
    <row r="4689">
      <c r="A4689" s="6" t="str">
        <f>IFERROR(__xludf.DUMMYFUNCTION("""COMPUTED_VALUE"""),"084-13051")</f>
        <v>084-13051</v>
      </c>
      <c r="B4689" s="6" t="str">
        <f>IFERROR(__xludf.DUMMYFUNCTION("""COMPUTED_VALUE"""),"84")</f>
        <v>84</v>
      </c>
      <c r="C4689" s="6" t="str">
        <f>IFERROR(__xludf.DUMMYFUNCTION("""COMPUTED_VALUE"""),"13051")</f>
        <v>13051</v>
      </c>
      <c r="D4689" s="6" t="str">
        <f>IFERROR(__xludf.DUMMYFUNCTION("""COMPUTED_VALUE"""),"Addison")</f>
        <v>Addison</v>
      </c>
      <c r="E4689" s="6" t="str">
        <f>IFERROR(__xludf.DUMMYFUNCTION("""COMPUTED_VALUE"""),"")</f>
        <v/>
      </c>
      <c r="F4689" s="6" t="str">
        <f>IFERROR(__xludf.DUMMYFUNCTION("""COMPUTED_VALUE"""),"Medley")</f>
        <v>Medley</v>
      </c>
      <c r="G4689" s="6" t="str">
        <f>IFERROR(__xludf.DUMMYFUNCTION("""COMPUTED_VALUE"""),"03/14/2013")</f>
        <v>03/14/2013</v>
      </c>
      <c r="H4689" s="6" t="str">
        <f>IFERROR(__xludf.DUMMYFUNCTION("""COMPUTED_VALUE"""),"female")</f>
        <v>female</v>
      </c>
      <c r="I4689" s="6" t="str">
        <f>IFERROR(__xludf.DUMMYFUNCTION("""COMPUTED_VALUE"""),"Middle School")</f>
        <v>Middle School</v>
      </c>
      <c r="J4689" s="6" t="str">
        <f>IFERROR(__xludf.DUMMYFUNCTION("""COMPUTED_VALUE"""),"7")</f>
        <v>7</v>
      </c>
      <c r="K4689" s="6" t="str">
        <f>IFERROR(__xludf.DUMMYFUNCTION("""COMPUTED_VALUE"""),"addison.medley@2hourlearning.com")</f>
        <v>addison.medley@2hourlearning.com</v>
      </c>
      <c r="L4689" s="6" t="str">
        <f>IFERROR(__xludf.DUMMYFUNCTION("""COMPUTED_VALUE"""),"JHMS - Hardeeville Junior Senior High School")</f>
        <v>JHMS - Hardeeville Junior Senior High School</v>
      </c>
      <c r="M4689" s="6" t="str">
        <f>IFERROR(__xludf.DUMMYFUNCTION("""COMPUTED_VALUE"""),"")</f>
        <v/>
      </c>
      <c r="N4689" s="6" t="str">
        <f>IFERROR(__xludf.DUMMYFUNCTION("""COMPUTED_VALUE"""),"")</f>
        <v/>
      </c>
      <c r="O4689" s="87" t="str">
        <f>IFERROR(__xludf.DUMMYFUNCTION("""COMPUTED_VALUE"""),"https://drive.google.com/drive/folders/10T2cTQHqEJZqE-st6uFKPoI?usp=share_link")</f>
        <v>https://drive.google.com/drive/folders/10T2cTQHqEJZqE-st6uFKPoI?usp=share_link</v>
      </c>
      <c r="P4689" s="6" t="str">
        <f>IFERROR(__xludf.DUMMYFUNCTION("""COMPUTED_VALUE"""),"Addison Medley")</f>
        <v>Addison Medley</v>
      </c>
      <c r="Q4689" s="6" t="str">
        <f>IFERROR(__xludf.DUMMYFUNCTION("""COMPUTED_VALUE"""),"MS")</f>
        <v>MS</v>
      </c>
      <c r="R4689" s="6">
        <f>IFERROR(__xludf.DUMMYFUNCTION("""COMPUTED_VALUE"""),0.0)</f>
        <v>0</v>
      </c>
      <c r="S4689" s="6" t="str">
        <f>IFERROR(__xludf.DUMMYFUNCTION("""COMPUTED_VALUE"""),"Kimberly Ball")</f>
        <v>Kimberly Ball</v>
      </c>
      <c r="T4689" s="6" t="str">
        <f>IFERROR(__xludf.DUMMYFUNCTION("""COMPUTED_VALUE"""),"kimberly.ball@studient.com")</f>
        <v>kimberly.ball@studient.com</v>
      </c>
      <c r="U4689" s="6" t="str">
        <f>IFERROR(__xludf.DUMMYFUNCTION("""COMPUTED_VALUE"""),"7")</f>
        <v>7</v>
      </c>
      <c r="V4689" s="6" t="str">
        <f>IFERROR(__xludf.DUMMYFUNCTION("""COMPUTED_VALUE"""),"")</f>
        <v/>
      </c>
      <c r="W4689" s="6" t="str">
        <f>IFERROR(__xludf.DUMMYFUNCTION("""COMPUTED_VALUE"""),"[]")</f>
        <v>[]</v>
      </c>
      <c r="X4689" s="6" t="str">
        <f>IFERROR(__xludf.DUMMYFUNCTION("""COMPUTED_VALUE"""),"Enrolled")</f>
        <v>Enrolled</v>
      </c>
    </row>
    <row r="4690">
      <c r="A4690" s="6" t="str">
        <f>IFERROR(__xludf.DUMMYFUNCTION("""COMPUTED_VALUE"""),"084-13052")</f>
        <v>084-13052</v>
      </c>
      <c r="B4690" s="6" t="str">
        <f>IFERROR(__xludf.DUMMYFUNCTION("""COMPUTED_VALUE"""),"84")</f>
        <v>84</v>
      </c>
      <c r="C4690" s="6" t="str">
        <f>IFERROR(__xludf.DUMMYFUNCTION("""COMPUTED_VALUE"""),"13052")</f>
        <v>13052</v>
      </c>
      <c r="D4690" s="6" t="str">
        <f>IFERROR(__xludf.DUMMYFUNCTION("""COMPUTED_VALUE"""),"Crysthian")</f>
        <v>Crysthian</v>
      </c>
      <c r="E4690" s="6" t="str">
        <f>IFERROR(__xludf.DUMMYFUNCTION("""COMPUTED_VALUE"""),"")</f>
        <v/>
      </c>
      <c r="F4690" s="6" t="str">
        <f>IFERROR(__xludf.DUMMYFUNCTION("""COMPUTED_VALUE"""),"Mejia-Moreno")</f>
        <v>Mejia-Moreno</v>
      </c>
      <c r="G4690" s="6" t="str">
        <f>IFERROR(__xludf.DUMMYFUNCTION("""COMPUTED_VALUE"""),"03/27/2013")</f>
        <v>03/27/2013</v>
      </c>
      <c r="H4690" s="6" t="str">
        <f>IFERROR(__xludf.DUMMYFUNCTION("""COMPUTED_VALUE"""),"male")</f>
        <v>male</v>
      </c>
      <c r="I4690" s="6" t="str">
        <f>IFERROR(__xludf.DUMMYFUNCTION("""COMPUTED_VALUE"""),"Middle School")</f>
        <v>Middle School</v>
      </c>
      <c r="J4690" s="6" t="str">
        <f>IFERROR(__xludf.DUMMYFUNCTION("""COMPUTED_VALUE"""),"7")</f>
        <v>7</v>
      </c>
      <c r="K4690" s="6" t="str">
        <f>IFERROR(__xludf.DUMMYFUNCTION("""COMPUTED_VALUE"""),"crysthian.mejia-moreno@2hourlearning.com")</f>
        <v>crysthian.mejia-moreno@2hourlearning.com</v>
      </c>
      <c r="L4690" s="6" t="str">
        <f>IFERROR(__xludf.DUMMYFUNCTION("""COMPUTED_VALUE"""),"JHMS - Hardeeville Junior Senior High School")</f>
        <v>JHMS - Hardeeville Junior Senior High School</v>
      </c>
      <c r="M4690" s="6" t="str">
        <f>IFERROR(__xludf.DUMMYFUNCTION("""COMPUTED_VALUE"""),"")</f>
        <v/>
      </c>
      <c r="N4690" s="6" t="str">
        <f>IFERROR(__xludf.DUMMYFUNCTION("""COMPUTED_VALUE"""),"")</f>
        <v/>
      </c>
      <c r="O4690" s="87" t="str">
        <f>IFERROR(__xludf.DUMMYFUNCTION("""COMPUTED_VALUE"""),"https://drive.google.com/drive/folders/10T2cTQHqEJZqE-st6uFKPoI?usp=share_link")</f>
        <v>https://drive.google.com/drive/folders/10T2cTQHqEJZqE-st6uFKPoI?usp=share_link</v>
      </c>
      <c r="P4690" s="6" t="str">
        <f>IFERROR(__xludf.DUMMYFUNCTION("""COMPUTED_VALUE"""),"Crysthian Mejia-Moreno")</f>
        <v>Crysthian Mejia-Moreno</v>
      </c>
      <c r="Q4690" s="6" t="str">
        <f>IFERROR(__xludf.DUMMYFUNCTION("""COMPUTED_VALUE"""),"MS")</f>
        <v>MS</v>
      </c>
      <c r="R4690" s="6">
        <f>IFERROR(__xludf.DUMMYFUNCTION("""COMPUTED_VALUE"""),0.0)</f>
        <v>0</v>
      </c>
      <c r="S4690" s="6" t="str">
        <f>IFERROR(__xludf.DUMMYFUNCTION("""COMPUTED_VALUE"""),"Kimberly Ball")</f>
        <v>Kimberly Ball</v>
      </c>
      <c r="T4690" s="6" t="str">
        <f>IFERROR(__xludf.DUMMYFUNCTION("""COMPUTED_VALUE"""),"kimberly.ball@studient.com")</f>
        <v>kimberly.ball@studient.com</v>
      </c>
      <c r="U4690" s="6" t="str">
        <f>IFERROR(__xludf.DUMMYFUNCTION("""COMPUTED_VALUE"""),"7")</f>
        <v>7</v>
      </c>
      <c r="V4690" s="6" t="str">
        <f>IFERROR(__xludf.DUMMYFUNCTION("""COMPUTED_VALUE"""),"")</f>
        <v/>
      </c>
      <c r="W4690" s="6" t="str">
        <f>IFERROR(__xludf.DUMMYFUNCTION("""COMPUTED_VALUE"""),"[]")</f>
        <v>[]</v>
      </c>
      <c r="X4690" s="6" t="str">
        <f>IFERROR(__xludf.DUMMYFUNCTION("""COMPUTED_VALUE"""),"Enrolled")</f>
        <v>Enrolled</v>
      </c>
    </row>
    <row r="4691">
      <c r="A4691" s="6" t="str">
        <f>IFERROR(__xludf.DUMMYFUNCTION("""COMPUTED_VALUE"""),"084-13053")</f>
        <v>084-13053</v>
      </c>
      <c r="B4691" s="6" t="str">
        <f>IFERROR(__xludf.DUMMYFUNCTION("""COMPUTED_VALUE"""),"84")</f>
        <v>84</v>
      </c>
      <c r="C4691" s="6" t="str">
        <f>IFERROR(__xludf.DUMMYFUNCTION("""COMPUTED_VALUE"""),"13053")</f>
        <v>13053</v>
      </c>
      <c r="D4691" s="6" t="str">
        <f>IFERROR(__xludf.DUMMYFUNCTION("""COMPUTED_VALUE"""),"Litzy")</f>
        <v>Litzy</v>
      </c>
      <c r="E4691" s="6" t="str">
        <f>IFERROR(__xludf.DUMMYFUNCTION("""COMPUTED_VALUE"""),"")</f>
        <v/>
      </c>
      <c r="F4691" s="6" t="str">
        <f>IFERROR(__xludf.DUMMYFUNCTION("""COMPUTED_VALUE"""),"Mercado Bautista")</f>
        <v>Mercado Bautista</v>
      </c>
      <c r="G4691" s="6" t="str">
        <f>IFERROR(__xludf.DUMMYFUNCTION("""COMPUTED_VALUE"""),"02/04/2013")</f>
        <v>02/04/2013</v>
      </c>
      <c r="H4691" s="6" t="str">
        <f>IFERROR(__xludf.DUMMYFUNCTION("""COMPUTED_VALUE"""),"male")</f>
        <v>male</v>
      </c>
      <c r="I4691" s="6" t="str">
        <f>IFERROR(__xludf.DUMMYFUNCTION("""COMPUTED_VALUE"""),"Middle School")</f>
        <v>Middle School</v>
      </c>
      <c r="J4691" s="6" t="str">
        <f>IFERROR(__xludf.DUMMYFUNCTION("""COMPUTED_VALUE"""),"7")</f>
        <v>7</v>
      </c>
      <c r="K4691" s="6" t="str">
        <f>IFERROR(__xludf.DUMMYFUNCTION("""COMPUTED_VALUE"""),"litzy.mercadobautista@2hourlearning.com")</f>
        <v>litzy.mercadobautista@2hourlearning.com</v>
      </c>
      <c r="L4691" s="6" t="str">
        <f>IFERROR(__xludf.DUMMYFUNCTION("""COMPUTED_VALUE"""),"JHMS - Hardeeville Junior Senior High School")</f>
        <v>JHMS - Hardeeville Junior Senior High School</v>
      </c>
      <c r="M4691" s="6" t="str">
        <f>IFERROR(__xludf.DUMMYFUNCTION("""COMPUTED_VALUE"""),"")</f>
        <v/>
      </c>
      <c r="N4691" s="6" t="str">
        <f>IFERROR(__xludf.DUMMYFUNCTION("""COMPUTED_VALUE"""),"")</f>
        <v/>
      </c>
      <c r="O4691" s="87" t="str">
        <f>IFERROR(__xludf.DUMMYFUNCTION("""COMPUTED_VALUE"""),"https://drive.google.com/drive/folders/10T2cTQHqEJZqE-st6uFKPoI?usp=share_link")</f>
        <v>https://drive.google.com/drive/folders/10T2cTQHqEJZqE-st6uFKPoI?usp=share_link</v>
      </c>
      <c r="P4691" s="6" t="str">
        <f>IFERROR(__xludf.DUMMYFUNCTION("""COMPUTED_VALUE"""),"Litzy Mercado Bautista")</f>
        <v>Litzy Mercado Bautista</v>
      </c>
      <c r="Q4691" s="6" t="str">
        <f>IFERROR(__xludf.DUMMYFUNCTION("""COMPUTED_VALUE"""),"MS")</f>
        <v>MS</v>
      </c>
      <c r="R4691" s="6">
        <f>IFERROR(__xludf.DUMMYFUNCTION("""COMPUTED_VALUE"""),0.0)</f>
        <v>0</v>
      </c>
      <c r="S4691" s="6" t="str">
        <f>IFERROR(__xludf.DUMMYFUNCTION("""COMPUTED_VALUE"""),"Kimberly Ball")</f>
        <v>Kimberly Ball</v>
      </c>
      <c r="T4691" s="6" t="str">
        <f>IFERROR(__xludf.DUMMYFUNCTION("""COMPUTED_VALUE"""),"kimberly.ball@studient.com")</f>
        <v>kimberly.ball@studient.com</v>
      </c>
      <c r="U4691" s="6" t="str">
        <f>IFERROR(__xludf.DUMMYFUNCTION("""COMPUTED_VALUE"""),"7")</f>
        <v>7</v>
      </c>
      <c r="V4691" s="6" t="str">
        <f>IFERROR(__xludf.DUMMYFUNCTION("""COMPUTED_VALUE"""),"")</f>
        <v/>
      </c>
      <c r="W4691" s="6" t="str">
        <f>IFERROR(__xludf.DUMMYFUNCTION("""COMPUTED_VALUE"""),"[]")</f>
        <v>[]</v>
      </c>
      <c r="X4691" s="6" t="str">
        <f>IFERROR(__xludf.DUMMYFUNCTION("""COMPUTED_VALUE"""),"Enrolled")</f>
        <v>Enrolled</v>
      </c>
    </row>
    <row r="4692">
      <c r="A4692" s="6" t="str">
        <f>IFERROR(__xludf.DUMMYFUNCTION("""COMPUTED_VALUE"""),"084-13054")</f>
        <v>084-13054</v>
      </c>
      <c r="B4692" s="6" t="str">
        <f>IFERROR(__xludf.DUMMYFUNCTION("""COMPUTED_VALUE"""),"84")</f>
        <v>84</v>
      </c>
      <c r="C4692" s="6" t="str">
        <f>IFERROR(__xludf.DUMMYFUNCTION("""COMPUTED_VALUE"""),"13054")</f>
        <v>13054</v>
      </c>
      <c r="D4692" s="6" t="str">
        <f>IFERROR(__xludf.DUMMYFUNCTION("""COMPUTED_VALUE"""),"Mezziah")</f>
        <v>Mezziah</v>
      </c>
      <c r="E4692" s="6" t="str">
        <f>IFERROR(__xludf.DUMMYFUNCTION("""COMPUTED_VALUE"""),"")</f>
        <v/>
      </c>
      <c r="F4692" s="6" t="str">
        <f>IFERROR(__xludf.DUMMYFUNCTION("""COMPUTED_VALUE"""),"Mervin")</f>
        <v>Mervin</v>
      </c>
      <c r="G4692" s="6" t="str">
        <f>IFERROR(__xludf.DUMMYFUNCTION("""COMPUTED_VALUE"""),"03/26/2014")</f>
        <v>03/26/2014</v>
      </c>
      <c r="H4692" s="6" t="str">
        <f>IFERROR(__xludf.DUMMYFUNCTION("""COMPUTED_VALUE"""),"female")</f>
        <v>female</v>
      </c>
      <c r="I4692" s="6" t="str">
        <f>IFERROR(__xludf.DUMMYFUNCTION("""COMPUTED_VALUE"""),"Middle School")</f>
        <v>Middle School</v>
      </c>
      <c r="J4692" s="6" t="str">
        <f>IFERROR(__xludf.DUMMYFUNCTION("""COMPUTED_VALUE"""),"7")</f>
        <v>7</v>
      </c>
      <c r="K4692" s="6" t="str">
        <f>IFERROR(__xludf.DUMMYFUNCTION("""COMPUTED_VALUE"""),"mezziah.mervin@2hourlearning.com")</f>
        <v>mezziah.mervin@2hourlearning.com</v>
      </c>
      <c r="L4692" s="6" t="str">
        <f>IFERROR(__xludf.DUMMYFUNCTION("""COMPUTED_VALUE"""),"JHMS - Hardeeville Junior Senior High School")</f>
        <v>JHMS - Hardeeville Junior Senior High School</v>
      </c>
      <c r="M4692" s="6" t="str">
        <f>IFERROR(__xludf.DUMMYFUNCTION("""COMPUTED_VALUE"""),"")</f>
        <v/>
      </c>
      <c r="N4692" s="6" t="str">
        <f>IFERROR(__xludf.DUMMYFUNCTION("""COMPUTED_VALUE"""),"")</f>
        <v/>
      </c>
      <c r="O4692" s="87" t="str">
        <f>IFERROR(__xludf.DUMMYFUNCTION("""COMPUTED_VALUE"""),"https://drive.google.com/drive/folders/10T2cTQHqEJZqE-st6uFKPoI?usp=share_link")</f>
        <v>https://drive.google.com/drive/folders/10T2cTQHqEJZqE-st6uFKPoI?usp=share_link</v>
      </c>
      <c r="P4692" s="6" t="str">
        <f>IFERROR(__xludf.DUMMYFUNCTION("""COMPUTED_VALUE"""),"Mezziah Mervin")</f>
        <v>Mezziah Mervin</v>
      </c>
      <c r="Q4692" s="6" t="str">
        <f>IFERROR(__xludf.DUMMYFUNCTION("""COMPUTED_VALUE"""),"MS")</f>
        <v>MS</v>
      </c>
      <c r="R4692" s="6">
        <f>IFERROR(__xludf.DUMMYFUNCTION("""COMPUTED_VALUE"""),0.0)</f>
        <v>0</v>
      </c>
      <c r="S4692" s="6" t="str">
        <f>IFERROR(__xludf.DUMMYFUNCTION("""COMPUTED_VALUE"""),"Kimberly Ball")</f>
        <v>Kimberly Ball</v>
      </c>
      <c r="T4692" s="6" t="str">
        <f>IFERROR(__xludf.DUMMYFUNCTION("""COMPUTED_VALUE"""),"kimberly.ball@studient.com")</f>
        <v>kimberly.ball@studient.com</v>
      </c>
      <c r="U4692" s="6" t="str">
        <f>IFERROR(__xludf.DUMMYFUNCTION("""COMPUTED_VALUE"""),"7")</f>
        <v>7</v>
      </c>
      <c r="V4692" s="6" t="str">
        <f>IFERROR(__xludf.DUMMYFUNCTION("""COMPUTED_VALUE"""),"")</f>
        <v/>
      </c>
      <c r="W4692" s="6" t="str">
        <f>IFERROR(__xludf.DUMMYFUNCTION("""COMPUTED_VALUE"""),"[]")</f>
        <v>[]</v>
      </c>
      <c r="X4692" s="6" t="str">
        <f>IFERROR(__xludf.DUMMYFUNCTION("""COMPUTED_VALUE"""),"Enrolled")</f>
        <v>Enrolled</v>
      </c>
    </row>
    <row r="4693">
      <c r="A4693" s="6" t="str">
        <f>IFERROR(__xludf.DUMMYFUNCTION("""COMPUTED_VALUE"""),"084-13055")</f>
        <v>084-13055</v>
      </c>
      <c r="B4693" s="6" t="str">
        <f>IFERROR(__xludf.DUMMYFUNCTION("""COMPUTED_VALUE"""),"84")</f>
        <v>84</v>
      </c>
      <c r="C4693" s="6" t="str">
        <f>IFERROR(__xludf.DUMMYFUNCTION("""COMPUTED_VALUE"""),"13055")</f>
        <v>13055</v>
      </c>
      <c r="D4693" s="6" t="str">
        <f>IFERROR(__xludf.DUMMYFUNCTION("""COMPUTED_VALUE"""),"Caleb")</f>
        <v>Caleb</v>
      </c>
      <c r="E4693" s="6" t="str">
        <f>IFERROR(__xludf.DUMMYFUNCTION("""COMPUTED_VALUE"""),"")</f>
        <v/>
      </c>
      <c r="F4693" s="6" t="str">
        <f>IFERROR(__xludf.DUMMYFUNCTION("""COMPUTED_VALUE"""),"Minis")</f>
        <v>Minis</v>
      </c>
      <c r="G4693" s="6" t="str">
        <f>IFERROR(__xludf.DUMMYFUNCTION("""COMPUTED_VALUE"""),"07/09/2013")</f>
        <v>07/09/2013</v>
      </c>
      <c r="H4693" s="6" t="str">
        <f>IFERROR(__xludf.DUMMYFUNCTION("""COMPUTED_VALUE"""),"female")</f>
        <v>female</v>
      </c>
      <c r="I4693" s="6" t="str">
        <f>IFERROR(__xludf.DUMMYFUNCTION("""COMPUTED_VALUE"""),"Middle School")</f>
        <v>Middle School</v>
      </c>
      <c r="J4693" s="6" t="str">
        <f>IFERROR(__xludf.DUMMYFUNCTION("""COMPUTED_VALUE"""),"7")</f>
        <v>7</v>
      </c>
      <c r="K4693" s="6" t="str">
        <f>IFERROR(__xludf.DUMMYFUNCTION("""COMPUTED_VALUE"""),"caleb.minis@2hourlearning.com")</f>
        <v>caleb.minis@2hourlearning.com</v>
      </c>
      <c r="L4693" s="6" t="str">
        <f>IFERROR(__xludf.DUMMYFUNCTION("""COMPUTED_VALUE"""),"JHMS - Hardeeville Junior Senior High School")</f>
        <v>JHMS - Hardeeville Junior Senior High School</v>
      </c>
      <c r="M4693" s="6" t="str">
        <f>IFERROR(__xludf.DUMMYFUNCTION("""COMPUTED_VALUE"""),"")</f>
        <v/>
      </c>
      <c r="N4693" s="6" t="str">
        <f>IFERROR(__xludf.DUMMYFUNCTION("""COMPUTED_VALUE"""),"")</f>
        <v/>
      </c>
      <c r="O4693" s="87" t="str">
        <f>IFERROR(__xludf.DUMMYFUNCTION("""COMPUTED_VALUE"""),"https://drive.google.com/drive/folders/10T2cTQHqEJZqE-st6uFKPoI?usp=share_link")</f>
        <v>https://drive.google.com/drive/folders/10T2cTQHqEJZqE-st6uFKPoI?usp=share_link</v>
      </c>
      <c r="P4693" s="6" t="str">
        <f>IFERROR(__xludf.DUMMYFUNCTION("""COMPUTED_VALUE"""),"Caleb Minis")</f>
        <v>Caleb Minis</v>
      </c>
      <c r="Q4693" s="6" t="str">
        <f>IFERROR(__xludf.DUMMYFUNCTION("""COMPUTED_VALUE"""),"MS")</f>
        <v>MS</v>
      </c>
      <c r="R4693" s="6">
        <f>IFERROR(__xludf.DUMMYFUNCTION("""COMPUTED_VALUE"""),0.0)</f>
        <v>0</v>
      </c>
      <c r="S4693" s="6" t="str">
        <f>IFERROR(__xludf.DUMMYFUNCTION("""COMPUTED_VALUE"""),"Kimberly Ball")</f>
        <v>Kimberly Ball</v>
      </c>
      <c r="T4693" s="6" t="str">
        <f>IFERROR(__xludf.DUMMYFUNCTION("""COMPUTED_VALUE"""),"kimberly.ball@studient.com")</f>
        <v>kimberly.ball@studient.com</v>
      </c>
      <c r="U4693" s="6" t="str">
        <f>IFERROR(__xludf.DUMMYFUNCTION("""COMPUTED_VALUE"""),"7")</f>
        <v>7</v>
      </c>
      <c r="V4693" s="6" t="str">
        <f>IFERROR(__xludf.DUMMYFUNCTION("""COMPUTED_VALUE"""),"")</f>
        <v/>
      </c>
      <c r="W4693" s="6" t="str">
        <f>IFERROR(__xludf.DUMMYFUNCTION("""COMPUTED_VALUE"""),"[]")</f>
        <v>[]</v>
      </c>
      <c r="X4693" s="6" t="str">
        <f>IFERROR(__xludf.DUMMYFUNCTION("""COMPUTED_VALUE"""),"Enrolled")</f>
        <v>Enrolled</v>
      </c>
    </row>
    <row r="4694">
      <c r="A4694" s="6" t="str">
        <f>IFERROR(__xludf.DUMMYFUNCTION("""COMPUTED_VALUE"""),"084-13056")</f>
        <v>084-13056</v>
      </c>
      <c r="B4694" s="6" t="str">
        <f>IFERROR(__xludf.DUMMYFUNCTION("""COMPUTED_VALUE"""),"84")</f>
        <v>84</v>
      </c>
      <c r="C4694" s="6" t="str">
        <f>IFERROR(__xludf.DUMMYFUNCTION("""COMPUTED_VALUE"""),"13056")</f>
        <v>13056</v>
      </c>
      <c r="D4694" s="6" t="str">
        <f>IFERROR(__xludf.DUMMYFUNCTION("""COMPUTED_VALUE"""),"Vacara")</f>
        <v>Vacara</v>
      </c>
      <c r="E4694" s="6" t="str">
        <f>IFERROR(__xludf.DUMMYFUNCTION("""COMPUTED_VALUE"""),"")</f>
        <v/>
      </c>
      <c r="F4694" s="6" t="str">
        <f>IFERROR(__xludf.DUMMYFUNCTION("""COMPUTED_VALUE"""),"Morley")</f>
        <v>Morley</v>
      </c>
      <c r="G4694" s="6" t="str">
        <f>IFERROR(__xludf.DUMMYFUNCTION("""COMPUTED_VALUE"""),"11/20/2012")</f>
        <v>11/20/2012</v>
      </c>
      <c r="H4694" s="6" t="str">
        <f>IFERROR(__xludf.DUMMYFUNCTION("""COMPUTED_VALUE"""),"female")</f>
        <v>female</v>
      </c>
      <c r="I4694" s="6" t="str">
        <f>IFERROR(__xludf.DUMMYFUNCTION("""COMPUTED_VALUE"""),"Middle School")</f>
        <v>Middle School</v>
      </c>
      <c r="J4694" s="6" t="str">
        <f>IFERROR(__xludf.DUMMYFUNCTION("""COMPUTED_VALUE"""),"7")</f>
        <v>7</v>
      </c>
      <c r="K4694" s="6" t="str">
        <f>IFERROR(__xludf.DUMMYFUNCTION("""COMPUTED_VALUE"""),"vacara.morley@2hourlearning.com")</f>
        <v>vacara.morley@2hourlearning.com</v>
      </c>
      <c r="L4694" s="6" t="str">
        <f>IFERROR(__xludf.DUMMYFUNCTION("""COMPUTED_VALUE"""),"JHMS - Hardeeville Junior Senior High School")</f>
        <v>JHMS - Hardeeville Junior Senior High School</v>
      </c>
      <c r="M4694" s="6" t="str">
        <f>IFERROR(__xludf.DUMMYFUNCTION("""COMPUTED_VALUE"""),"")</f>
        <v/>
      </c>
      <c r="N4694" s="6" t="str">
        <f>IFERROR(__xludf.DUMMYFUNCTION("""COMPUTED_VALUE"""),"")</f>
        <v/>
      </c>
      <c r="O4694" s="87" t="str">
        <f>IFERROR(__xludf.DUMMYFUNCTION("""COMPUTED_VALUE"""),"https://drive.google.com/drive/folders/10T2cTQHqEJZqE-st6uFKPoI?usp=share_link")</f>
        <v>https://drive.google.com/drive/folders/10T2cTQHqEJZqE-st6uFKPoI?usp=share_link</v>
      </c>
      <c r="P4694" s="6" t="str">
        <f>IFERROR(__xludf.DUMMYFUNCTION("""COMPUTED_VALUE"""),"Vacara Morley")</f>
        <v>Vacara Morley</v>
      </c>
      <c r="Q4694" s="6" t="str">
        <f>IFERROR(__xludf.DUMMYFUNCTION("""COMPUTED_VALUE"""),"MS")</f>
        <v>MS</v>
      </c>
      <c r="R4694" s="6">
        <f>IFERROR(__xludf.DUMMYFUNCTION("""COMPUTED_VALUE"""),0.0)</f>
        <v>0</v>
      </c>
      <c r="S4694" s="6" t="str">
        <f>IFERROR(__xludf.DUMMYFUNCTION("""COMPUTED_VALUE"""),"Kimberly Ball")</f>
        <v>Kimberly Ball</v>
      </c>
      <c r="T4694" s="6" t="str">
        <f>IFERROR(__xludf.DUMMYFUNCTION("""COMPUTED_VALUE"""),"kimberly.ball@studient.com")</f>
        <v>kimberly.ball@studient.com</v>
      </c>
      <c r="U4694" s="6" t="str">
        <f>IFERROR(__xludf.DUMMYFUNCTION("""COMPUTED_VALUE"""),"7")</f>
        <v>7</v>
      </c>
      <c r="V4694" s="6" t="str">
        <f>IFERROR(__xludf.DUMMYFUNCTION("""COMPUTED_VALUE"""),"")</f>
        <v/>
      </c>
      <c r="W4694" s="6" t="str">
        <f>IFERROR(__xludf.DUMMYFUNCTION("""COMPUTED_VALUE"""),"[]")</f>
        <v>[]</v>
      </c>
      <c r="X4694" s="6" t="str">
        <f>IFERROR(__xludf.DUMMYFUNCTION("""COMPUTED_VALUE"""),"Enrolled")</f>
        <v>Enrolled</v>
      </c>
    </row>
    <row r="4695">
      <c r="A4695" s="6" t="str">
        <f>IFERROR(__xludf.DUMMYFUNCTION("""COMPUTED_VALUE"""),"084-13057")</f>
        <v>084-13057</v>
      </c>
      <c r="B4695" s="6" t="str">
        <f>IFERROR(__xludf.DUMMYFUNCTION("""COMPUTED_VALUE"""),"84")</f>
        <v>84</v>
      </c>
      <c r="C4695" s="6" t="str">
        <f>IFERROR(__xludf.DUMMYFUNCTION("""COMPUTED_VALUE"""),"13057")</f>
        <v>13057</v>
      </c>
      <c r="D4695" s="6" t="str">
        <f>IFERROR(__xludf.DUMMYFUNCTION("""COMPUTED_VALUE"""),"Antoinette")</f>
        <v>Antoinette</v>
      </c>
      <c r="E4695" s="6" t="str">
        <f>IFERROR(__xludf.DUMMYFUNCTION("""COMPUTED_VALUE"""),"")</f>
        <v/>
      </c>
      <c r="F4695" s="6" t="str">
        <f>IFERROR(__xludf.DUMMYFUNCTION("""COMPUTED_VALUE"""),"Page")</f>
        <v>Page</v>
      </c>
      <c r="G4695" s="6" t="str">
        <f>IFERROR(__xludf.DUMMYFUNCTION("""COMPUTED_VALUE"""),"11/06/2012")</f>
        <v>11/06/2012</v>
      </c>
      <c r="H4695" s="6" t="str">
        <f>IFERROR(__xludf.DUMMYFUNCTION("""COMPUTED_VALUE"""),"male")</f>
        <v>male</v>
      </c>
      <c r="I4695" s="6" t="str">
        <f>IFERROR(__xludf.DUMMYFUNCTION("""COMPUTED_VALUE"""),"Middle School")</f>
        <v>Middle School</v>
      </c>
      <c r="J4695" s="6" t="str">
        <f>IFERROR(__xludf.DUMMYFUNCTION("""COMPUTED_VALUE"""),"7")</f>
        <v>7</v>
      </c>
      <c r="K4695" s="6" t="str">
        <f>IFERROR(__xludf.DUMMYFUNCTION("""COMPUTED_VALUE"""),"antoinette.page@2hourlearning.com")</f>
        <v>antoinette.page@2hourlearning.com</v>
      </c>
      <c r="L4695" s="6" t="str">
        <f>IFERROR(__xludf.DUMMYFUNCTION("""COMPUTED_VALUE"""),"JHMS - Hardeeville Junior Senior High School")</f>
        <v>JHMS - Hardeeville Junior Senior High School</v>
      </c>
      <c r="M4695" s="6" t="str">
        <f>IFERROR(__xludf.DUMMYFUNCTION("""COMPUTED_VALUE"""),"")</f>
        <v/>
      </c>
      <c r="N4695" s="6" t="str">
        <f>IFERROR(__xludf.DUMMYFUNCTION("""COMPUTED_VALUE"""),"")</f>
        <v/>
      </c>
      <c r="O4695" s="87" t="str">
        <f>IFERROR(__xludf.DUMMYFUNCTION("""COMPUTED_VALUE"""),"https://drive.google.com/drive/folders/10T2cTQHqEJZqE-st6uFKPoI?usp=share_link")</f>
        <v>https://drive.google.com/drive/folders/10T2cTQHqEJZqE-st6uFKPoI?usp=share_link</v>
      </c>
      <c r="P4695" s="6" t="str">
        <f>IFERROR(__xludf.DUMMYFUNCTION("""COMPUTED_VALUE"""),"Antoinette Page")</f>
        <v>Antoinette Page</v>
      </c>
      <c r="Q4695" s="6" t="str">
        <f>IFERROR(__xludf.DUMMYFUNCTION("""COMPUTED_VALUE"""),"MS")</f>
        <v>MS</v>
      </c>
      <c r="R4695" s="6">
        <f>IFERROR(__xludf.DUMMYFUNCTION("""COMPUTED_VALUE"""),0.0)</f>
        <v>0</v>
      </c>
      <c r="S4695" s="6" t="str">
        <f>IFERROR(__xludf.DUMMYFUNCTION("""COMPUTED_VALUE"""),"Kimberly Ball")</f>
        <v>Kimberly Ball</v>
      </c>
      <c r="T4695" s="6" t="str">
        <f>IFERROR(__xludf.DUMMYFUNCTION("""COMPUTED_VALUE"""),"kimberly.ball@studient.com")</f>
        <v>kimberly.ball@studient.com</v>
      </c>
      <c r="U4695" s="6" t="str">
        <f>IFERROR(__xludf.DUMMYFUNCTION("""COMPUTED_VALUE"""),"7")</f>
        <v>7</v>
      </c>
      <c r="V4695" s="6" t="str">
        <f>IFERROR(__xludf.DUMMYFUNCTION("""COMPUTED_VALUE"""),"")</f>
        <v/>
      </c>
      <c r="W4695" s="6" t="str">
        <f>IFERROR(__xludf.DUMMYFUNCTION("""COMPUTED_VALUE"""),"[]")</f>
        <v>[]</v>
      </c>
      <c r="X4695" s="6" t="str">
        <f>IFERROR(__xludf.DUMMYFUNCTION("""COMPUTED_VALUE"""),"Enrolled")</f>
        <v>Enrolled</v>
      </c>
    </row>
    <row r="4696">
      <c r="A4696" s="6" t="str">
        <f>IFERROR(__xludf.DUMMYFUNCTION("""COMPUTED_VALUE"""),"084-13058")</f>
        <v>084-13058</v>
      </c>
      <c r="B4696" s="6" t="str">
        <f>IFERROR(__xludf.DUMMYFUNCTION("""COMPUTED_VALUE"""),"84")</f>
        <v>84</v>
      </c>
      <c r="C4696" s="6" t="str">
        <f>IFERROR(__xludf.DUMMYFUNCTION("""COMPUTED_VALUE"""),"13058")</f>
        <v>13058</v>
      </c>
      <c r="D4696" s="6" t="str">
        <f>IFERROR(__xludf.DUMMYFUNCTION("""COMPUTED_VALUE"""),"Estefany")</f>
        <v>Estefany</v>
      </c>
      <c r="E4696" s="6" t="str">
        <f>IFERROR(__xludf.DUMMYFUNCTION("""COMPUTED_VALUE"""),"")</f>
        <v/>
      </c>
      <c r="F4696" s="6" t="str">
        <f>IFERROR(__xludf.DUMMYFUNCTION("""COMPUTED_VALUE"""),"Peralta Gonzalez")</f>
        <v>Peralta Gonzalez</v>
      </c>
      <c r="G4696" s="6" t="str">
        <f>IFERROR(__xludf.DUMMYFUNCTION("""COMPUTED_VALUE"""),"03/29/2013")</f>
        <v>03/29/2013</v>
      </c>
      <c r="H4696" s="6" t="str">
        <f>IFERROR(__xludf.DUMMYFUNCTION("""COMPUTED_VALUE"""),"male")</f>
        <v>male</v>
      </c>
      <c r="I4696" s="6" t="str">
        <f>IFERROR(__xludf.DUMMYFUNCTION("""COMPUTED_VALUE"""),"Middle School")</f>
        <v>Middle School</v>
      </c>
      <c r="J4696" s="6" t="str">
        <f>IFERROR(__xludf.DUMMYFUNCTION("""COMPUTED_VALUE"""),"7")</f>
        <v>7</v>
      </c>
      <c r="K4696" s="6" t="str">
        <f>IFERROR(__xludf.DUMMYFUNCTION("""COMPUTED_VALUE"""),"estefany.peraltagonzalez@2hourlearning.com")</f>
        <v>estefany.peraltagonzalez@2hourlearning.com</v>
      </c>
      <c r="L4696" s="6" t="str">
        <f>IFERROR(__xludf.DUMMYFUNCTION("""COMPUTED_VALUE"""),"JHMS - Hardeeville Junior Senior High School")</f>
        <v>JHMS - Hardeeville Junior Senior High School</v>
      </c>
      <c r="M4696" s="6" t="str">
        <f>IFERROR(__xludf.DUMMYFUNCTION("""COMPUTED_VALUE"""),"")</f>
        <v/>
      </c>
      <c r="N4696" s="6" t="str">
        <f>IFERROR(__xludf.DUMMYFUNCTION("""COMPUTED_VALUE"""),"")</f>
        <v/>
      </c>
      <c r="O4696" s="87" t="str">
        <f>IFERROR(__xludf.DUMMYFUNCTION("""COMPUTED_VALUE"""),"https://drive.google.com/drive/folders/10T2cTQHqEJZqE-st6uFKPoI?usp=share_link")</f>
        <v>https://drive.google.com/drive/folders/10T2cTQHqEJZqE-st6uFKPoI?usp=share_link</v>
      </c>
      <c r="P4696" s="6" t="str">
        <f>IFERROR(__xludf.DUMMYFUNCTION("""COMPUTED_VALUE"""),"Estefany Peralta Gonzalez")</f>
        <v>Estefany Peralta Gonzalez</v>
      </c>
      <c r="Q4696" s="6" t="str">
        <f>IFERROR(__xludf.DUMMYFUNCTION("""COMPUTED_VALUE"""),"MS")</f>
        <v>MS</v>
      </c>
      <c r="R4696" s="6">
        <f>IFERROR(__xludf.DUMMYFUNCTION("""COMPUTED_VALUE"""),0.0)</f>
        <v>0</v>
      </c>
      <c r="S4696" s="6" t="str">
        <f>IFERROR(__xludf.DUMMYFUNCTION("""COMPUTED_VALUE"""),"Kimberly Ball")</f>
        <v>Kimberly Ball</v>
      </c>
      <c r="T4696" s="6" t="str">
        <f>IFERROR(__xludf.DUMMYFUNCTION("""COMPUTED_VALUE"""),"kimberly.ball@studient.com")</f>
        <v>kimberly.ball@studient.com</v>
      </c>
      <c r="U4696" s="6" t="str">
        <f>IFERROR(__xludf.DUMMYFUNCTION("""COMPUTED_VALUE"""),"7")</f>
        <v>7</v>
      </c>
      <c r="V4696" s="6" t="str">
        <f>IFERROR(__xludf.DUMMYFUNCTION("""COMPUTED_VALUE"""),"")</f>
        <v/>
      </c>
      <c r="W4696" s="6" t="str">
        <f>IFERROR(__xludf.DUMMYFUNCTION("""COMPUTED_VALUE"""),"[]")</f>
        <v>[]</v>
      </c>
      <c r="X4696" s="6" t="str">
        <f>IFERROR(__xludf.DUMMYFUNCTION("""COMPUTED_VALUE"""),"Enrolled")</f>
        <v>Enrolled</v>
      </c>
    </row>
    <row r="4697">
      <c r="A4697" s="6" t="str">
        <f>IFERROR(__xludf.DUMMYFUNCTION("""COMPUTED_VALUE"""),"084-13059")</f>
        <v>084-13059</v>
      </c>
      <c r="B4697" s="6" t="str">
        <f>IFERROR(__xludf.DUMMYFUNCTION("""COMPUTED_VALUE"""),"84")</f>
        <v>84</v>
      </c>
      <c r="C4697" s="6" t="str">
        <f>IFERROR(__xludf.DUMMYFUNCTION("""COMPUTED_VALUE"""),"13059")</f>
        <v>13059</v>
      </c>
      <c r="D4697" s="6" t="str">
        <f>IFERROR(__xludf.DUMMYFUNCTION("""COMPUTED_VALUE"""),"Willian")</f>
        <v>Willian</v>
      </c>
      <c r="E4697" s="6" t="str">
        <f>IFERROR(__xludf.DUMMYFUNCTION("""COMPUTED_VALUE"""),"")</f>
        <v/>
      </c>
      <c r="F4697" s="6" t="str">
        <f>IFERROR(__xludf.DUMMYFUNCTION("""COMPUTED_VALUE"""),"Perdomo Hernandez")</f>
        <v>Perdomo Hernandez</v>
      </c>
      <c r="G4697" s="6" t="str">
        <f>IFERROR(__xludf.DUMMYFUNCTION("""COMPUTED_VALUE"""),"05/21/2013")</f>
        <v>05/21/2013</v>
      </c>
      <c r="H4697" s="6" t="str">
        <f>IFERROR(__xludf.DUMMYFUNCTION("""COMPUTED_VALUE"""),"female")</f>
        <v>female</v>
      </c>
      <c r="I4697" s="6" t="str">
        <f>IFERROR(__xludf.DUMMYFUNCTION("""COMPUTED_VALUE"""),"Middle School")</f>
        <v>Middle School</v>
      </c>
      <c r="J4697" s="6" t="str">
        <f>IFERROR(__xludf.DUMMYFUNCTION("""COMPUTED_VALUE"""),"7")</f>
        <v>7</v>
      </c>
      <c r="K4697" s="6" t="str">
        <f>IFERROR(__xludf.DUMMYFUNCTION("""COMPUTED_VALUE"""),"willian.perdomohernandez@2hourlearning.com")</f>
        <v>willian.perdomohernandez@2hourlearning.com</v>
      </c>
      <c r="L4697" s="6" t="str">
        <f>IFERROR(__xludf.DUMMYFUNCTION("""COMPUTED_VALUE"""),"JHMS - Hardeeville Junior Senior High School")</f>
        <v>JHMS - Hardeeville Junior Senior High School</v>
      </c>
      <c r="M4697" s="6" t="str">
        <f>IFERROR(__xludf.DUMMYFUNCTION("""COMPUTED_VALUE"""),"")</f>
        <v/>
      </c>
      <c r="N4697" s="6" t="str">
        <f>IFERROR(__xludf.DUMMYFUNCTION("""COMPUTED_VALUE"""),"")</f>
        <v/>
      </c>
      <c r="O4697" s="87" t="str">
        <f>IFERROR(__xludf.DUMMYFUNCTION("""COMPUTED_VALUE"""),"https://drive.google.com/drive/folders/10T2cTQHqEJZqE-st6uFKPoI?usp=share_link")</f>
        <v>https://drive.google.com/drive/folders/10T2cTQHqEJZqE-st6uFKPoI?usp=share_link</v>
      </c>
      <c r="P4697" s="6" t="str">
        <f>IFERROR(__xludf.DUMMYFUNCTION("""COMPUTED_VALUE"""),"Willian Perdomo Hernandez")</f>
        <v>Willian Perdomo Hernandez</v>
      </c>
      <c r="Q4697" s="6" t="str">
        <f>IFERROR(__xludf.DUMMYFUNCTION("""COMPUTED_VALUE"""),"MS")</f>
        <v>MS</v>
      </c>
      <c r="R4697" s="6">
        <f>IFERROR(__xludf.DUMMYFUNCTION("""COMPUTED_VALUE"""),0.0)</f>
        <v>0</v>
      </c>
      <c r="S4697" s="6" t="str">
        <f>IFERROR(__xludf.DUMMYFUNCTION("""COMPUTED_VALUE"""),"Kimberly Ball")</f>
        <v>Kimberly Ball</v>
      </c>
      <c r="T4697" s="6" t="str">
        <f>IFERROR(__xludf.DUMMYFUNCTION("""COMPUTED_VALUE"""),"kimberly.ball@studient.com")</f>
        <v>kimberly.ball@studient.com</v>
      </c>
      <c r="U4697" s="6" t="str">
        <f>IFERROR(__xludf.DUMMYFUNCTION("""COMPUTED_VALUE"""),"7")</f>
        <v>7</v>
      </c>
      <c r="V4697" s="6" t="str">
        <f>IFERROR(__xludf.DUMMYFUNCTION("""COMPUTED_VALUE"""),"")</f>
        <v/>
      </c>
      <c r="W4697" s="6" t="str">
        <f>IFERROR(__xludf.DUMMYFUNCTION("""COMPUTED_VALUE"""),"[]")</f>
        <v>[]</v>
      </c>
      <c r="X4697" s="6" t="str">
        <f>IFERROR(__xludf.DUMMYFUNCTION("""COMPUTED_VALUE"""),"Enrolled")</f>
        <v>Enrolled</v>
      </c>
    </row>
    <row r="4698">
      <c r="A4698" s="6" t="str">
        <f>IFERROR(__xludf.DUMMYFUNCTION("""COMPUTED_VALUE"""),"084-13060")</f>
        <v>084-13060</v>
      </c>
      <c r="B4698" s="6" t="str">
        <f>IFERROR(__xludf.DUMMYFUNCTION("""COMPUTED_VALUE"""),"84")</f>
        <v>84</v>
      </c>
      <c r="C4698" s="6" t="str">
        <f>IFERROR(__xludf.DUMMYFUNCTION("""COMPUTED_VALUE"""),"13060")</f>
        <v>13060</v>
      </c>
      <c r="D4698" s="6" t="str">
        <f>IFERROR(__xludf.DUMMYFUNCTION("""COMPUTED_VALUE"""),"Keneeth")</f>
        <v>Keneeth</v>
      </c>
      <c r="E4698" s="6" t="str">
        <f>IFERROR(__xludf.DUMMYFUNCTION("""COMPUTED_VALUE"""),"")</f>
        <v/>
      </c>
      <c r="F4698" s="6" t="str">
        <f>IFERROR(__xludf.DUMMYFUNCTION("""COMPUTED_VALUE"""),"Perez Giron")</f>
        <v>Perez Giron</v>
      </c>
      <c r="G4698" s="6" t="str">
        <f>IFERROR(__xludf.DUMMYFUNCTION("""COMPUTED_VALUE"""),"03/14/2013")</f>
        <v>03/14/2013</v>
      </c>
      <c r="H4698" s="6" t="str">
        <f>IFERROR(__xludf.DUMMYFUNCTION("""COMPUTED_VALUE"""),"female")</f>
        <v>female</v>
      </c>
      <c r="I4698" s="6" t="str">
        <f>IFERROR(__xludf.DUMMYFUNCTION("""COMPUTED_VALUE"""),"Middle School")</f>
        <v>Middle School</v>
      </c>
      <c r="J4698" s="6" t="str">
        <f>IFERROR(__xludf.DUMMYFUNCTION("""COMPUTED_VALUE"""),"7")</f>
        <v>7</v>
      </c>
      <c r="K4698" s="6" t="str">
        <f>IFERROR(__xludf.DUMMYFUNCTION("""COMPUTED_VALUE"""),"keneeth.perezgiron@2hourlearning.com")</f>
        <v>keneeth.perezgiron@2hourlearning.com</v>
      </c>
      <c r="L4698" s="6" t="str">
        <f>IFERROR(__xludf.DUMMYFUNCTION("""COMPUTED_VALUE"""),"JHMS - Hardeeville Junior Senior High School")</f>
        <v>JHMS - Hardeeville Junior Senior High School</v>
      </c>
      <c r="M4698" s="6" t="str">
        <f>IFERROR(__xludf.DUMMYFUNCTION("""COMPUTED_VALUE"""),"")</f>
        <v/>
      </c>
      <c r="N4698" s="6" t="str">
        <f>IFERROR(__xludf.DUMMYFUNCTION("""COMPUTED_VALUE"""),"")</f>
        <v/>
      </c>
      <c r="O4698" s="87" t="str">
        <f>IFERROR(__xludf.DUMMYFUNCTION("""COMPUTED_VALUE"""),"https://drive.google.com/drive/folders/10T2cTQHqEJZqE-st6uFKPoI?usp=share_link")</f>
        <v>https://drive.google.com/drive/folders/10T2cTQHqEJZqE-st6uFKPoI?usp=share_link</v>
      </c>
      <c r="P4698" s="6" t="str">
        <f>IFERROR(__xludf.DUMMYFUNCTION("""COMPUTED_VALUE"""),"Keneeth Perez Giron")</f>
        <v>Keneeth Perez Giron</v>
      </c>
      <c r="Q4698" s="6" t="str">
        <f>IFERROR(__xludf.DUMMYFUNCTION("""COMPUTED_VALUE"""),"MS")</f>
        <v>MS</v>
      </c>
      <c r="R4698" s="6">
        <f>IFERROR(__xludf.DUMMYFUNCTION("""COMPUTED_VALUE"""),0.0)</f>
        <v>0</v>
      </c>
      <c r="S4698" s="6" t="str">
        <f>IFERROR(__xludf.DUMMYFUNCTION("""COMPUTED_VALUE"""),"Kimberly Ball")</f>
        <v>Kimberly Ball</v>
      </c>
      <c r="T4698" s="6" t="str">
        <f>IFERROR(__xludf.DUMMYFUNCTION("""COMPUTED_VALUE"""),"kimberly.ball@studient.com")</f>
        <v>kimberly.ball@studient.com</v>
      </c>
      <c r="U4698" s="6" t="str">
        <f>IFERROR(__xludf.DUMMYFUNCTION("""COMPUTED_VALUE"""),"7")</f>
        <v>7</v>
      </c>
      <c r="V4698" s="6" t="str">
        <f>IFERROR(__xludf.DUMMYFUNCTION("""COMPUTED_VALUE"""),"")</f>
        <v/>
      </c>
      <c r="W4698" s="6" t="str">
        <f>IFERROR(__xludf.DUMMYFUNCTION("""COMPUTED_VALUE"""),"[]")</f>
        <v>[]</v>
      </c>
      <c r="X4698" s="6" t="str">
        <f>IFERROR(__xludf.DUMMYFUNCTION("""COMPUTED_VALUE"""),"Enrolled")</f>
        <v>Enrolled</v>
      </c>
    </row>
    <row r="4699">
      <c r="A4699" s="6" t="str">
        <f>IFERROR(__xludf.DUMMYFUNCTION("""COMPUTED_VALUE"""),"084-13061")</f>
        <v>084-13061</v>
      </c>
      <c r="B4699" s="6" t="str">
        <f>IFERROR(__xludf.DUMMYFUNCTION("""COMPUTED_VALUE"""),"84")</f>
        <v>84</v>
      </c>
      <c r="C4699" s="6" t="str">
        <f>IFERROR(__xludf.DUMMYFUNCTION("""COMPUTED_VALUE"""),"13061")</f>
        <v>13061</v>
      </c>
      <c r="D4699" s="6" t="str">
        <f>IFERROR(__xludf.DUMMYFUNCTION("""COMPUTED_VALUE"""),"Jade")</f>
        <v>Jade</v>
      </c>
      <c r="E4699" s="6" t="str">
        <f>IFERROR(__xludf.DUMMYFUNCTION("""COMPUTED_VALUE"""),"")</f>
        <v/>
      </c>
      <c r="F4699" s="6" t="str">
        <f>IFERROR(__xludf.DUMMYFUNCTION("""COMPUTED_VALUE"""),"Pineda")</f>
        <v>Pineda</v>
      </c>
      <c r="G4699" s="6" t="str">
        <f>IFERROR(__xludf.DUMMYFUNCTION("""COMPUTED_VALUE"""),"08/05/2013")</f>
        <v>08/05/2013</v>
      </c>
      <c r="H4699" s="6" t="str">
        <f>IFERROR(__xludf.DUMMYFUNCTION("""COMPUTED_VALUE"""),"female")</f>
        <v>female</v>
      </c>
      <c r="I4699" s="6" t="str">
        <f>IFERROR(__xludf.DUMMYFUNCTION("""COMPUTED_VALUE"""),"Middle School")</f>
        <v>Middle School</v>
      </c>
      <c r="J4699" s="6" t="str">
        <f>IFERROR(__xludf.DUMMYFUNCTION("""COMPUTED_VALUE"""),"7")</f>
        <v>7</v>
      </c>
      <c r="K4699" s="6" t="str">
        <f>IFERROR(__xludf.DUMMYFUNCTION("""COMPUTED_VALUE"""),"jade.pineda@2hourlearning.com")</f>
        <v>jade.pineda@2hourlearning.com</v>
      </c>
      <c r="L4699" s="6" t="str">
        <f>IFERROR(__xludf.DUMMYFUNCTION("""COMPUTED_VALUE"""),"JHMS - Hardeeville Junior Senior High School")</f>
        <v>JHMS - Hardeeville Junior Senior High School</v>
      </c>
      <c r="M4699" s="6" t="str">
        <f>IFERROR(__xludf.DUMMYFUNCTION("""COMPUTED_VALUE"""),"")</f>
        <v/>
      </c>
      <c r="N4699" s="6" t="str">
        <f>IFERROR(__xludf.DUMMYFUNCTION("""COMPUTED_VALUE"""),"")</f>
        <v/>
      </c>
      <c r="O4699" s="87" t="str">
        <f>IFERROR(__xludf.DUMMYFUNCTION("""COMPUTED_VALUE"""),"https://drive.google.com/drive/folders/10T2cTQHqEJZqE-st6uFKPoI?usp=share_link")</f>
        <v>https://drive.google.com/drive/folders/10T2cTQHqEJZqE-st6uFKPoI?usp=share_link</v>
      </c>
      <c r="P4699" s="6" t="str">
        <f>IFERROR(__xludf.DUMMYFUNCTION("""COMPUTED_VALUE"""),"Jade Pineda")</f>
        <v>Jade Pineda</v>
      </c>
      <c r="Q4699" s="6" t="str">
        <f>IFERROR(__xludf.DUMMYFUNCTION("""COMPUTED_VALUE"""),"MS")</f>
        <v>MS</v>
      </c>
      <c r="R4699" s="6">
        <f>IFERROR(__xludf.DUMMYFUNCTION("""COMPUTED_VALUE"""),0.0)</f>
        <v>0</v>
      </c>
      <c r="S4699" s="6" t="str">
        <f>IFERROR(__xludf.DUMMYFUNCTION("""COMPUTED_VALUE"""),"Kimberly Ball")</f>
        <v>Kimberly Ball</v>
      </c>
      <c r="T4699" s="6" t="str">
        <f>IFERROR(__xludf.DUMMYFUNCTION("""COMPUTED_VALUE"""),"kimberly.ball@studient.com")</f>
        <v>kimberly.ball@studient.com</v>
      </c>
      <c r="U4699" s="6" t="str">
        <f>IFERROR(__xludf.DUMMYFUNCTION("""COMPUTED_VALUE"""),"7")</f>
        <v>7</v>
      </c>
      <c r="V4699" s="6" t="str">
        <f>IFERROR(__xludf.DUMMYFUNCTION("""COMPUTED_VALUE"""),"")</f>
        <v/>
      </c>
      <c r="W4699" s="6" t="str">
        <f>IFERROR(__xludf.DUMMYFUNCTION("""COMPUTED_VALUE"""),"[]")</f>
        <v>[]</v>
      </c>
      <c r="X4699" s="6" t="str">
        <f>IFERROR(__xludf.DUMMYFUNCTION("""COMPUTED_VALUE"""),"Enrolled")</f>
        <v>Enrolled</v>
      </c>
    </row>
    <row r="4700">
      <c r="A4700" s="6" t="str">
        <f>IFERROR(__xludf.DUMMYFUNCTION("""COMPUTED_VALUE"""),"084-13062")</f>
        <v>084-13062</v>
      </c>
      <c r="B4700" s="6" t="str">
        <f>IFERROR(__xludf.DUMMYFUNCTION("""COMPUTED_VALUE"""),"84")</f>
        <v>84</v>
      </c>
      <c r="C4700" s="6" t="str">
        <f>IFERROR(__xludf.DUMMYFUNCTION("""COMPUTED_VALUE"""),"13062")</f>
        <v>13062</v>
      </c>
      <c r="D4700" s="6" t="str">
        <f>IFERROR(__xludf.DUMMYFUNCTION("""COMPUTED_VALUE"""),"Catalina Ammaral")</f>
        <v>Catalina Ammaral</v>
      </c>
      <c r="E4700" s="6" t="str">
        <f>IFERROR(__xludf.DUMMYFUNCTION("""COMPUTED_VALUE"""),"")</f>
        <v/>
      </c>
      <c r="F4700" s="6" t="str">
        <f>IFERROR(__xludf.DUMMYFUNCTION("""COMPUTED_VALUE"""),"Pino Morales")</f>
        <v>Pino Morales</v>
      </c>
      <c r="G4700" s="6" t="str">
        <f>IFERROR(__xludf.DUMMYFUNCTION("""COMPUTED_VALUE"""),"12/24/2012")</f>
        <v>12/24/2012</v>
      </c>
      <c r="H4700" s="6" t="str">
        <f>IFERROR(__xludf.DUMMYFUNCTION("""COMPUTED_VALUE"""),"female")</f>
        <v>female</v>
      </c>
      <c r="I4700" s="6" t="str">
        <f>IFERROR(__xludf.DUMMYFUNCTION("""COMPUTED_VALUE"""),"Middle School")</f>
        <v>Middle School</v>
      </c>
      <c r="J4700" s="6" t="str">
        <f>IFERROR(__xludf.DUMMYFUNCTION("""COMPUTED_VALUE"""),"7")</f>
        <v>7</v>
      </c>
      <c r="K4700" s="6" t="str">
        <f>IFERROR(__xludf.DUMMYFUNCTION("""COMPUTED_VALUE"""),"catalinaammaral.pinomorales@2hourlearning.com")</f>
        <v>catalinaammaral.pinomorales@2hourlearning.com</v>
      </c>
      <c r="L4700" s="6" t="str">
        <f>IFERROR(__xludf.DUMMYFUNCTION("""COMPUTED_VALUE"""),"JHMS - Hardeeville Junior Senior High School")</f>
        <v>JHMS - Hardeeville Junior Senior High School</v>
      </c>
      <c r="M4700" s="6" t="str">
        <f>IFERROR(__xludf.DUMMYFUNCTION("""COMPUTED_VALUE"""),"")</f>
        <v/>
      </c>
      <c r="N4700" s="6" t="str">
        <f>IFERROR(__xludf.DUMMYFUNCTION("""COMPUTED_VALUE"""),"")</f>
        <v/>
      </c>
      <c r="O4700" s="87" t="str">
        <f>IFERROR(__xludf.DUMMYFUNCTION("""COMPUTED_VALUE"""),"https://drive.google.com/drive/folders/10T2cTQHqEJZqE-st6uFKPoI?usp=share_link")</f>
        <v>https://drive.google.com/drive/folders/10T2cTQHqEJZqE-st6uFKPoI?usp=share_link</v>
      </c>
      <c r="P4700" s="6" t="str">
        <f>IFERROR(__xludf.DUMMYFUNCTION("""COMPUTED_VALUE"""),"Catalina Ammaral Pino Morales")</f>
        <v>Catalina Ammaral Pino Morales</v>
      </c>
      <c r="Q4700" s="6" t="str">
        <f>IFERROR(__xludf.DUMMYFUNCTION("""COMPUTED_VALUE"""),"MS")</f>
        <v>MS</v>
      </c>
      <c r="R4700" s="6">
        <f>IFERROR(__xludf.DUMMYFUNCTION("""COMPUTED_VALUE"""),0.0)</f>
        <v>0</v>
      </c>
      <c r="S4700" s="6" t="str">
        <f>IFERROR(__xludf.DUMMYFUNCTION("""COMPUTED_VALUE"""),"Kimberly Ball")</f>
        <v>Kimberly Ball</v>
      </c>
      <c r="T4700" s="6" t="str">
        <f>IFERROR(__xludf.DUMMYFUNCTION("""COMPUTED_VALUE"""),"kimberly.ball@studient.com")</f>
        <v>kimberly.ball@studient.com</v>
      </c>
      <c r="U4700" s="6" t="str">
        <f>IFERROR(__xludf.DUMMYFUNCTION("""COMPUTED_VALUE"""),"7")</f>
        <v>7</v>
      </c>
      <c r="V4700" s="6" t="str">
        <f>IFERROR(__xludf.DUMMYFUNCTION("""COMPUTED_VALUE"""),"")</f>
        <v/>
      </c>
      <c r="W4700" s="6" t="str">
        <f>IFERROR(__xludf.DUMMYFUNCTION("""COMPUTED_VALUE"""),"[]")</f>
        <v>[]</v>
      </c>
      <c r="X4700" s="6" t="str">
        <f>IFERROR(__xludf.DUMMYFUNCTION("""COMPUTED_VALUE"""),"Enrolled")</f>
        <v>Enrolled</v>
      </c>
    </row>
    <row r="4701">
      <c r="A4701" s="6" t="str">
        <f>IFERROR(__xludf.DUMMYFUNCTION("""COMPUTED_VALUE"""),"084-13063")</f>
        <v>084-13063</v>
      </c>
      <c r="B4701" s="6" t="str">
        <f>IFERROR(__xludf.DUMMYFUNCTION("""COMPUTED_VALUE"""),"84")</f>
        <v>84</v>
      </c>
      <c r="C4701" s="6" t="str">
        <f>IFERROR(__xludf.DUMMYFUNCTION("""COMPUTED_VALUE"""),"13063")</f>
        <v>13063</v>
      </c>
      <c r="D4701" s="6" t="str">
        <f>IFERROR(__xludf.DUMMYFUNCTION("""COMPUTED_VALUE"""),"Catherine")</f>
        <v>Catherine</v>
      </c>
      <c r="E4701" s="6" t="str">
        <f>IFERROR(__xludf.DUMMYFUNCTION("""COMPUTED_VALUE"""),"")</f>
        <v/>
      </c>
      <c r="F4701" s="6" t="str">
        <f>IFERROR(__xludf.DUMMYFUNCTION("""COMPUTED_VALUE"""),"Platt")</f>
        <v>Platt</v>
      </c>
      <c r="G4701" s="6" t="str">
        <f>IFERROR(__xludf.DUMMYFUNCTION("""COMPUTED_VALUE"""),"08/30/2013")</f>
        <v>08/30/2013</v>
      </c>
      <c r="H4701" s="6" t="str">
        <f>IFERROR(__xludf.DUMMYFUNCTION("""COMPUTED_VALUE"""),"male")</f>
        <v>male</v>
      </c>
      <c r="I4701" s="6" t="str">
        <f>IFERROR(__xludf.DUMMYFUNCTION("""COMPUTED_VALUE"""),"Middle School")</f>
        <v>Middle School</v>
      </c>
      <c r="J4701" s="6" t="str">
        <f>IFERROR(__xludf.DUMMYFUNCTION("""COMPUTED_VALUE"""),"7")</f>
        <v>7</v>
      </c>
      <c r="K4701" s="6" t="str">
        <f>IFERROR(__xludf.DUMMYFUNCTION("""COMPUTED_VALUE"""),"catherine.platt@2hourlearning.com")</f>
        <v>catherine.platt@2hourlearning.com</v>
      </c>
      <c r="L4701" s="6" t="str">
        <f>IFERROR(__xludf.DUMMYFUNCTION("""COMPUTED_VALUE"""),"JHMS - Hardeeville Junior Senior High School")</f>
        <v>JHMS - Hardeeville Junior Senior High School</v>
      </c>
      <c r="M4701" s="6" t="str">
        <f>IFERROR(__xludf.DUMMYFUNCTION("""COMPUTED_VALUE"""),"")</f>
        <v/>
      </c>
      <c r="N4701" s="6" t="str">
        <f>IFERROR(__xludf.DUMMYFUNCTION("""COMPUTED_VALUE"""),"")</f>
        <v/>
      </c>
      <c r="O4701" s="87" t="str">
        <f>IFERROR(__xludf.DUMMYFUNCTION("""COMPUTED_VALUE"""),"https://drive.google.com/drive/folders/10T2cTQHqEJZqE-st6uFKPoI?usp=share_link")</f>
        <v>https://drive.google.com/drive/folders/10T2cTQHqEJZqE-st6uFKPoI?usp=share_link</v>
      </c>
      <c r="P4701" s="6" t="str">
        <f>IFERROR(__xludf.DUMMYFUNCTION("""COMPUTED_VALUE"""),"Catherine Platt")</f>
        <v>Catherine Platt</v>
      </c>
      <c r="Q4701" s="6" t="str">
        <f>IFERROR(__xludf.DUMMYFUNCTION("""COMPUTED_VALUE"""),"MS")</f>
        <v>MS</v>
      </c>
      <c r="R4701" s="6">
        <f>IFERROR(__xludf.DUMMYFUNCTION("""COMPUTED_VALUE"""),0.0)</f>
        <v>0</v>
      </c>
      <c r="S4701" s="6" t="str">
        <f>IFERROR(__xludf.DUMMYFUNCTION("""COMPUTED_VALUE"""),"Kimberly Ball")</f>
        <v>Kimberly Ball</v>
      </c>
      <c r="T4701" s="6" t="str">
        <f>IFERROR(__xludf.DUMMYFUNCTION("""COMPUTED_VALUE"""),"kimberly.ball@studient.com")</f>
        <v>kimberly.ball@studient.com</v>
      </c>
      <c r="U4701" s="6" t="str">
        <f>IFERROR(__xludf.DUMMYFUNCTION("""COMPUTED_VALUE"""),"7")</f>
        <v>7</v>
      </c>
      <c r="V4701" s="6" t="str">
        <f>IFERROR(__xludf.DUMMYFUNCTION("""COMPUTED_VALUE"""),"")</f>
        <v/>
      </c>
      <c r="W4701" s="6" t="str">
        <f>IFERROR(__xludf.DUMMYFUNCTION("""COMPUTED_VALUE"""),"[]")</f>
        <v>[]</v>
      </c>
      <c r="X4701" s="6" t="str">
        <f>IFERROR(__xludf.DUMMYFUNCTION("""COMPUTED_VALUE"""),"Enrolled")</f>
        <v>Enrolled</v>
      </c>
    </row>
    <row r="4702">
      <c r="A4702" s="6" t="str">
        <f>IFERROR(__xludf.DUMMYFUNCTION("""COMPUTED_VALUE"""),"084-13064")</f>
        <v>084-13064</v>
      </c>
      <c r="B4702" s="6" t="str">
        <f>IFERROR(__xludf.DUMMYFUNCTION("""COMPUTED_VALUE"""),"84")</f>
        <v>84</v>
      </c>
      <c r="C4702" s="6" t="str">
        <f>IFERROR(__xludf.DUMMYFUNCTION("""COMPUTED_VALUE"""),"13064")</f>
        <v>13064</v>
      </c>
      <c r="D4702" s="6" t="str">
        <f>IFERROR(__xludf.DUMMYFUNCTION("""COMPUTED_VALUE"""),"Ashly")</f>
        <v>Ashly</v>
      </c>
      <c r="E4702" s="6" t="str">
        <f>IFERROR(__xludf.DUMMYFUNCTION("""COMPUTED_VALUE"""),"")</f>
        <v/>
      </c>
      <c r="F4702" s="6" t="str">
        <f>IFERROR(__xludf.DUMMYFUNCTION("""COMPUTED_VALUE"""),"Reyes Nava")</f>
        <v>Reyes Nava</v>
      </c>
      <c r="G4702" s="6" t="str">
        <f>IFERROR(__xludf.DUMMYFUNCTION("""COMPUTED_VALUE"""),"11/28/2012")</f>
        <v>11/28/2012</v>
      </c>
      <c r="H4702" s="6" t="str">
        <f>IFERROR(__xludf.DUMMYFUNCTION("""COMPUTED_VALUE"""),"male")</f>
        <v>male</v>
      </c>
      <c r="I4702" s="6" t="str">
        <f>IFERROR(__xludf.DUMMYFUNCTION("""COMPUTED_VALUE"""),"Middle School")</f>
        <v>Middle School</v>
      </c>
      <c r="J4702" s="6" t="str">
        <f>IFERROR(__xludf.DUMMYFUNCTION("""COMPUTED_VALUE"""),"7")</f>
        <v>7</v>
      </c>
      <c r="K4702" s="6" t="str">
        <f>IFERROR(__xludf.DUMMYFUNCTION("""COMPUTED_VALUE"""),"ashly.reyesnava@2hourlearning.com")</f>
        <v>ashly.reyesnava@2hourlearning.com</v>
      </c>
      <c r="L4702" s="6" t="str">
        <f>IFERROR(__xludf.DUMMYFUNCTION("""COMPUTED_VALUE"""),"JHMS - Hardeeville Junior Senior High School")</f>
        <v>JHMS - Hardeeville Junior Senior High School</v>
      </c>
      <c r="M4702" s="6" t="str">
        <f>IFERROR(__xludf.DUMMYFUNCTION("""COMPUTED_VALUE"""),"")</f>
        <v/>
      </c>
      <c r="N4702" s="6" t="str">
        <f>IFERROR(__xludf.DUMMYFUNCTION("""COMPUTED_VALUE"""),"")</f>
        <v/>
      </c>
      <c r="O4702" s="87" t="str">
        <f>IFERROR(__xludf.DUMMYFUNCTION("""COMPUTED_VALUE"""),"https://drive.google.com/drive/folders/10T2cTQHqEJZqE-st6uFKPoI?usp=share_link")</f>
        <v>https://drive.google.com/drive/folders/10T2cTQHqEJZqE-st6uFKPoI?usp=share_link</v>
      </c>
      <c r="P4702" s="6" t="str">
        <f>IFERROR(__xludf.DUMMYFUNCTION("""COMPUTED_VALUE"""),"Ashly Reyes Nava")</f>
        <v>Ashly Reyes Nava</v>
      </c>
      <c r="Q4702" s="6" t="str">
        <f>IFERROR(__xludf.DUMMYFUNCTION("""COMPUTED_VALUE"""),"MS")</f>
        <v>MS</v>
      </c>
      <c r="R4702" s="6">
        <f>IFERROR(__xludf.DUMMYFUNCTION("""COMPUTED_VALUE"""),0.0)</f>
        <v>0</v>
      </c>
      <c r="S4702" s="6" t="str">
        <f>IFERROR(__xludf.DUMMYFUNCTION("""COMPUTED_VALUE"""),"Kimberly Ball")</f>
        <v>Kimberly Ball</v>
      </c>
      <c r="T4702" s="6" t="str">
        <f>IFERROR(__xludf.DUMMYFUNCTION("""COMPUTED_VALUE"""),"kimberly.ball@studient.com")</f>
        <v>kimberly.ball@studient.com</v>
      </c>
      <c r="U4702" s="6" t="str">
        <f>IFERROR(__xludf.DUMMYFUNCTION("""COMPUTED_VALUE"""),"7")</f>
        <v>7</v>
      </c>
      <c r="V4702" s="6" t="str">
        <f>IFERROR(__xludf.DUMMYFUNCTION("""COMPUTED_VALUE"""),"")</f>
        <v/>
      </c>
      <c r="W4702" s="6" t="str">
        <f>IFERROR(__xludf.DUMMYFUNCTION("""COMPUTED_VALUE"""),"[]")</f>
        <v>[]</v>
      </c>
      <c r="X4702" s="6" t="str">
        <f>IFERROR(__xludf.DUMMYFUNCTION("""COMPUTED_VALUE"""),"Enrolled")</f>
        <v>Enrolled</v>
      </c>
    </row>
    <row r="4703">
      <c r="A4703" s="6" t="str">
        <f>IFERROR(__xludf.DUMMYFUNCTION("""COMPUTED_VALUE"""),"084-13065")</f>
        <v>084-13065</v>
      </c>
      <c r="B4703" s="6" t="str">
        <f>IFERROR(__xludf.DUMMYFUNCTION("""COMPUTED_VALUE"""),"84")</f>
        <v>84</v>
      </c>
      <c r="C4703" s="6" t="str">
        <f>IFERROR(__xludf.DUMMYFUNCTION("""COMPUTED_VALUE"""),"13065")</f>
        <v>13065</v>
      </c>
      <c r="D4703" s="6" t="str">
        <f>IFERROR(__xludf.DUMMYFUNCTION("""COMPUTED_VALUE"""),"Kalef")</f>
        <v>Kalef</v>
      </c>
      <c r="E4703" s="6" t="str">
        <f>IFERROR(__xludf.DUMMYFUNCTION("""COMPUTED_VALUE"""),"")</f>
        <v/>
      </c>
      <c r="F4703" s="6" t="str">
        <f>IFERROR(__xludf.DUMMYFUNCTION("""COMPUTED_VALUE"""),"Reyes-Ramirez")</f>
        <v>Reyes-Ramirez</v>
      </c>
      <c r="G4703" s="6" t="str">
        <f>IFERROR(__xludf.DUMMYFUNCTION("""COMPUTED_VALUE"""),"09/30/2012")</f>
        <v>09/30/2012</v>
      </c>
      <c r="H4703" s="6" t="str">
        <f>IFERROR(__xludf.DUMMYFUNCTION("""COMPUTED_VALUE"""),"female")</f>
        <v>female</v>
      </c>
      <c r="I4703" s="6" t="str">
        <f>IFERROR(__xludf.DUMMYFUNCTION("""COMPUTED_VALUE"""),"Middle School")</f>
        <v>Middle School</v>
      </c>
      <c r="J4703" s="6" t="str">
        <f>IFERROR(__xludf.DUMMYFUNCTION("""COMPUTED_VALUE"""),"7")</f>
        <v>7</v>
      </c>
      <c r="K4703" s="6" t="str">
        <f>IFERROR(__xludf.DUMMYFUNCTION("""COMPUTED_VALUE"""),"kalef.reyes-ramirez@2hourlearning.com")</f>
        <v>kalef.reyes-ramirez@2hourlearning.com</v>
      </c>
      <c r="L4703" s="6" t="str">
        <f>IFERROR(__xludf.DUMMYFUNCTION("""COMPUTED_VALUE"""),"JHMS - Hardeeville Junior Senior High School")</f>
        <v>JHMS - Hardeeville Junior Senior High School</v>
      </c>
      <c r="M4703" s="6" t="str">
        <f>IFERROR(__xludf.DUMMYFUNCTION("""COMPUTED_VALUE"""),"")</f>
        <v/>
      </c>
      <c r="N4703" s="6" t="str">
        <f>IFERROR(__xludf.DUMMYFUNCTION("""COMPUTED_VALUE"""),"")</f>
        <v/>
      </c>
      <c r="O4703" s="87" t="str">
        <f>IFERROR(__xludf.DUMMYFUNCTION("""COMPUTED_VALUE"""),"https://drive.google.com/drive/folders/10T2cTQHqEJZqE-st6uFKPoI?usp=share_link")</f>
        <v>https://drive.google.com/drive/folders/10T2cTQHqEJZqE-st6uFKPoI?usp=share_link</v>
      </c>
      <c r="P4703" s="6" t="str">
        <f>IFERROR(__xludf.DUMMYFUNCTION("""COMPUTED_VALUE"""),"Kalef Reyes-Ramirez")</f>
        <v>Kalef Reyes-Ramirez</v>
      </c>
      <c r="Q4703" s="6" t="str">
        <f>IFERROR(__xludf.DUMMYFUNCTION("""COMPUTED_VALUE"""),"MS")</f>
        <v>MS</v>
      </c>
      <c r="R4703" s="6">
        <f>IFERROR(__xludf.DUMMYFUNCTION("""COMPUTED_VALUE"""),0.0)</f>
        <v>0</v>
      </c>
      <c r="S4703" s="6" t="str">
        <f>IFERROR(__xludf.DUMMYFUNCTION("""COMPUTED_VALUE"""),"Kimberly Ball")</f>
        <v>Kimberly Ball</v>
      </c>
      <c r="T4703" s="6" t="str">
        <f>IFERROR(__xludf.DUMMYFUNCTION("""COMPUTED_VALUE"""),"kimberly.ball@studient.com")</f>
        <v>kimberly.ball@studient.com</v>
      </c>
      <c r="U4703" s="6" t="str">
        <f>IFERROR(__xludf.DUMMYFUNCTION("""COMPUTED_VALUE"""),"7")</f>
        <v>7</v>
      </c>
      <c r="V4703" s="6" t="str">
        <f>IFERROR(__xludf.DUMMYFUNCTION("""COMPUTED_VALUE"""),"")</f>
        <v/>
      </c>
      <c r="W4703" s="6" t="str">
        <f>IFERROR(__xludf.DUMMYFUNCTION("""COMPUTED_VALUE"""),"[]")</f>
        <v>[]</v>
      </c>
      <c r="X4703" s="6" t="str">
        <f>IFERROR(__xludf.DUMMYFUNCTION("""COMPUTED_VALUE"""),"Enrolled")</f>
        <v>Enrolled</v>
      </c>
    </row>
    <row r="4704">
      <c r="A4704" s="6" t="str">
        <f>IFERROR(__xludf.DUMMYFUNCTION("""COMPUTED_VALUE"""),"084-13066")</f>
        <v>084-13066</v>
      </c>
      <c r="B4704" s="6" t="str">
        <f>IFERROR(__xludf.DUMMYFUNCTION("""COMPUTED_VALUE"""),"84")</f>
        <v>84</v>
      </c>
      <c r="C4704" s="6" t="str">
        <f>IFERROR(__xludf.DUMMYFUNCTION("""COMPUTED_VALUE"""),"13066")</f>
        <v>13066</v>
      </c>
      <c r="D4704" s="6" t="str">
        <f>IFERROR(__xludf.DUMMYFUNCTION("""COMPUTED_VALUE"""),"Fabian")</f>
        <v>Fabian</v>
      </c>
      <c r="E4704" s="6" t="str">
        <f>IFERROR(__xludf.DUMMYFUNCTION("""COMPUTED_VALUE"""),"")</f>
        <v/>
      </c>
      <c r="F4704" s="6" t="str">
        <f>IFERROR(__xludf.DUMMYFUNCTION("""COMPUTED_VALUE"""),"Reyna Adame")</f>
        <v>Reyna Adame</v>
      </c>
      <c r="G4704" s="6" t="str">
        <f>IFERROR(__xludf.DUMMYFUNCTION("""COMPUTED_VALUE"""),"11/28/2012")</f>
        <v>11/28/2012</v>
      </c>
      <c r="H4704" s="6" t="str">
        <f>IFERROR(__xludf.DUMMYFUNCTION("""COMPUTED_VALUE"""),"female")</f>
        <v>female</v>
      </c>
      <c r="I4704" s="6" t="str">
        <f>IFERROR(__xludf.DUMMYFUNCTION("""COMPUTED_VALUE"""),"Middle School")</f>
        <v>Middle School</v>
      </c>
      <c r="J4704" s="6" t="str">
        <f>IFERROR(__xludf.DUMMYFUNCTION("""COMPUTED_VALUE"""),"7")</f>
        <v>7</v>
      </c>
      <c r="K4704" s="6" t="str">
        <f>IFERROR(__xludf.DUMMYFUNCTION("""COMPUTED_VALUE"""),"fabian.reynaadame@2hourlearning.com")</f>
        <v>fabian.reynaadame@2hourlearning.com</v>
      </c>
      <c r="L4704" s="6" t="str">
        <f>IFERROR(__xludf.DUMMYFUNCTION("""COMPUTED_VALUE"""),"JHMS - Hardeeville Junior Senior High School")</f>
        <v>JHMS - Hardeeville Junior Senior High School</v>
      </c>
      <c r="M4704" s="6" t="str">
        <f>IFERROR(__xludf.DUMMYFUNCTION("""COMPUTED_VALUE"""),"")</f>
        <v/>
      </c>
      <c r="N4704" s="6" t="str">
        <f>IFERROR(__xludf.DUMMYFUNCTION("""COMPUTED_VALUE"""),"")</f>
        <v/>
      </c>
      <c r="O4704" s="87" t="str">
        <f>IFERROR(__xludf.DUMMYFUNCTION("""COMPUTED_VALUE"""),"https://drive.google.com/drive/folders/10T2cTQHqEJZqE-st6uFKPoI?usp=share_link")</f>
        <v>https://drive.google.com/drive/folders/10T2cTQHqEJZqE-st6uFKPoI?usp=share_link</v>
      </c>
      <c r="P4704" s="6" t="str">
        <f>IFERROR(__xludf.DUMMYFUNCTION("""COMPUTED_VALUE"""),"Fabian Reyna Adame")</f>
        <v>Fabian Reyna Adame</v>
      </c>
      <c r="Q4704" s="6" t="str">
        <f>IFERROR(__xludf.DUMMYFUNCTION("""COMPUTED_VALUE"""),"MS")</f>
        <v>MS</v>
      </c>
      <c r="R4704" s="6">
        <f>IFERROR(__xludf.DUMMYFUNCTION("""COMPUTED_VALUE"""),0.0)</f>
        <v>0</v>
      </c>
      <c r="S4704" s="6" t="str">
        <f>IFERROR(__xludf.DUMMYFUNCTION("""COMPUTED_VALUE"""),"Kimberly Ball")</f>
        <v>Kimberly Ball</v>
      </c>
      <c r="T4704" s="6" t="str">
        <f>IFERROR(__xludf.DUMMYFUNCTION("""COMPUTED_VALUE"""),"kimberly.ball@studient.com")</f>
        <v>kimberly.ball@studient.com</v>
      </c>
      <c r="U4704" s="6" t="str">
        <f>IFERROR(__xludf.DUMMYFUNCTION("""COMPUTED_VALUE"""),"7")</f>
        <v>7</v>
      </c>
      <c r="V4704" s="6" t="str">
        <f>IFERROR(__xludf.DUMMYFUNCTION("""COMPUTED_VALUE"""),"")</f>
        <v/>
      </c>
      <c r="W4704" s="6" t="str">
        <f>IFERROR(__xludf.DUMMYFUNCTION("""COMPUTED_VALUE"""),"[]")</f>
        <v>[]</v>
      </c>
      <c r="X4704" s="6" t="str">
        <f>IFERROR(__xludf.DUMMYFUNCTION("""COMPUTED_VALUE"""),"Enrolled")</f>
        <v>Enrolled</v>
      </c>
    </row>
    <row r="4705">
      <c r="A4705" s="6" t="str">
        <f>IFERROR(__xludf.DUMMYFUNCTION("""COMPUTED_VALUE"""),"084-13067")</f>
        <v>084-13067</v>
      </c>
      <c r="B4705" s="6" t="str">
        <f>IFERROR(__xludf.DUMMYFUNCTION("""COMPUTED_VALUE"""),"84")</f>
        <v>84</v>
      </c>
      <c r="C4705" s="6" t="str">
        <f>IFERROR(__xludf.DUMMYFUNCTION("""COMPUTED_VALUE"""),"13067")</f>
        <v>13067</v>
      </c>
      <c r="D4705" s="6" t="str">
        <f>IFERROR(__xludf.DUMMYFUNCTION("""COMPUTED_VALUE"""),"Trinity")</f>
        <v>Trinity</v>
      </c>
      <c r="E4705" s="6" t="str">
        <f>IFERROR(__xludf.DUMMYFUNCTION("""COMPUTED_VALUE"""),"")</f>
        <v/>
      </c>
      <c r="F4705" s="6" t="str">
        <f>IFERROR(__xludf.DUMMYFUNCTION("""COMPUTED_VALUE"""),"Riley")</f>
        <v>Riley</v>
      </c>
      <c r="G4705" s="6" t="str">
        <f>IFERROR(__xludf.DUMMYFUNCTION("""COMPUTED_VALUE"""),"04/28/2013")</f>
        <v>04/28/2013</v>
      </c>
      <c r="H4705" s="6" t="str">
        <f>IFERROR(__xludf.DUMMYFUNCTION("""COMPUTED_VALUE"""),"male")</f>
        <v>male</v>
      </c>
      <c r="I4705" s="6" t="str">
        <f>IFERROR(__xludf.DUMMYFUNCTION("""COMPUTED_VALUE"""),"Middle School")</f>
        <v>Middle School</v>
      </c>
      <c r="J4705" s="6" t="str">
        <f>IFERROR(__xludf.DUMMYFUNCTION("""COMPUTED_VALUE"""),"7")</f>
        <v>7</v>
      </c>
      <c r="K4705" s="6" t="str">
        <f>IFERROR(__xludf.DUMMYFUNCTION("""COMPUTED_VALUE"""),"trinity.riley@2hourlearning.com")</f>
        <v>trinity.riley@2hourlearning.com</v>
      </c>
      <c r="L4705" s="6" t="str">
        <f>IFERROR(__xludf.DUMMYFUNCTION("""COMPUTED_VALUE"""),"JHMS - Hardeeville Junior Senior High School")</f>
        <v>JHMS - Hardeeville Junior Senior High School</v>
      </c>
      <c r="M4705" s="6" t="str">
        <f>IFERROR(__xludf.DUMMYFUNCTION("""COMPUTED_VALUE"""),"")</f>
        <v/>
      </c>
      <c r="N4705" s="6" t="str">
        <f>IFERROR(__xludf.DUMMYFUNCTION("""COMPUTED_VALUE"""),"")</f>
        <v/>
      </c>
      <c r="O4705" s="87" t="str">
        <f>IFERROR(__xludf.DUMMYFUNCTION("""COMPUTED_VALUE"""),"https://drive.google.com/drive/folders/10T2cTQHqEJZqE-st6uFKPoI?usp=share_link")</f>
        <v>https://drive.google.com/drive/folders/10T2cTQHqEJZqE-st6uFKPoI?usp=share_link</v>
      </c>
      <c r="P4705" s="6" t="str">
        <f>IFERROR(__xludf.DUMMYFUNCTION("""COMPUTED_VALUE"""),"Trinity Riley")</f>
        <v>Trinity Riley</v>
      </c>
      <c r="Q4705" s="6" t="str">
        <f>IFERROR(__xludf.DUMMYFUNCTION("""COMPUTED_VALUE"""),"MS")</f>
        <v>MS</v>
      </c>
      <c r="R4705" s="6">
        <f>IFERROR(__xludf.DUMMYFUNCTION("""COMPUTED_VALUE"""),0.0)</f>
        <v>0</v>
      </c>
      <c r="S4705" s="6" t="str">
        <f>IFERROR(__xludf.DUMMYFUNCTION("""COMPUTED_VALUE"""),"Kimberly Ball")</f>
        <v>Kimberly Ball</v>
      </c>
      <c r="T4705" s="6" t="str">
        <f>IFERROR(__xludf.DUMMYFUNCTION("""COMPUTED_VALUE"""),"kimberly.ball@studient.com")</f>
        <v>kimberly.ball@studient.com</v>
      </c>
      <c r="U4705" s="6" t="str">
        <f>IFERROR(__xludf.DUMMYFUNCTION("""COMPUTED_VALUE"""),"7")</f>
        <v>7</v>
      </c>
      <c r="V4705" s="6" t="str">
        <f>IFERROR(__xludf.DUMMYFUNCTION("""COMPUTED_VALUE"""),"")</f>
        <v/>
      </c>
      <c r="W4705" s="6" t="str">
        <f>IFERROR(__xludf.DUMMYFUNCTION("""COMPUTED_VALUE"""),"[]")</f>
        <v>[]</v>
      </c>
      <c r="X4705" s="6" t="str">
        <f>IFERROR(__xludf.DUMMYFUNCTION("""COMPUTED_VALUE"""),"Enrolled")</f>
        <v>Enrolled</v>
      </c>
    </row>
    <row r="4706">
      <c r="A4706" s="6" t="str">
        <f>IFERROR(__xludf.DUMMYFUNCTION("""COMPUTED_VALUE"""),"084-13068")</f>
        <v>084-13068</v>
      </c>
      <c r="B4706" s="6" t="str">
        <f>IFERROR(__xludf.DUMMYFUNCTION("""COMPUTED_VALUE"""),"84")</f>
        <v>84</v>
      </c>
      <c r="C4706" s="6" t="str">
        <f>IFERROR(__xludf.DUMMYFUNCTION("""COMPUTED_VALUE"""),"13068")</f>
        <v>13068</v>
      </c>
      <c r="D4706" s="6" t="str">
        <f>IFERROR(__xludf.DUMMYFUNCTION("""COMPUTED_VALUE"""),"Khloe")</f>
        <v>Khloe</v>
      </c>
      <c r="E4706" s="6" t="str">
        <f>IFERROR(__xludf.DUMMYFUNCTION("""COMPUTED_VALUE"""),"")</f>
        <v/>
      </c>
      <c r="F4706" s="6" t="str">
        <f>IFERROR(__xludf.DUMMYFUNCTION("""COMPUTED_VALUE"""),"Roberts")</f>
        <v>Roberts</v>
      </c>
      <c r="G4706" s="6" t="str">
        <f>IFERROR(__xludf.DUMMYFUNCTION("""COMPUTED_VALUE"""),"06/23/2013")</f>
        <v>06/23/2013</v>
      </c>
      <c r="H4706" s="6" t="str">
        <f>IFERROR(__xludf.DUMMYFUNCTION("""COMPUTED_VALUE"""),"male")</f>
        <v>male</v>
      </c>
      <c r="I4706" s="6" t="str">
        <f>IFERROR(__xludf.DUMMYFUNCTION("""COMPUTED_VALUE"""),"Middle School")</f>
        <v>Middle School</v>
      </c>
      <c r="J4706" s="6" t="str">
        <f>IFERROR(__xludf.DUMMYFUNCTION("""COMPUTED_VALUE"""),"7")</f>
        <v>7</v>
      </c>
      <c r="K4706" s="6" t="str">
        <f>IFERROR(__xludf.DUMMYFUNCTION("""COMPUTED_VALUE"""),"khloe.roberts@2hourlearning.com")</f>
        <v>khloe.roberts@2hourlearning.com</v>
      </c>
      <c r="L4706" s="6" t="str">
        <f>IFERROR(__xludf.DUMMYFUNCTION("""COMPUTED_VALUE"""),"JHMS - Hardeeville Junior Senior High School")</f>
        <v>JHMS - Hardeeville Junior Senior High School</v>
      </c>
      <c r="M4706" s="6" t="str">
        <f>IFERROR(__xludf.DUMMYFUNCTION("""COMPUTED_VALUE"""),"")</f>
        <v/>
      </c>
      <c r="N4706" s="6" t="str">
        <f>IFERROR(__xludf.DUMMYFUNCTION("""COMPUTED_VALUE"""),"")</f>
        <v/>
      </c>
      <c r="O4706" s="87" t="str">
        <f>IFERROR(__xludf.DUMMYFUNCTION("""COMPUTED_VALUE"""),"https://drive.google.com/drive/folders/10T2cTQHqEJZqE-st6uFKPoI?usp=share_link")</f>
        <v>https://drive.google.com/drive/folders/10T2cTQHqEJZqE-st6uFKPoI?usp=share_link</v>
      </c>
      <c r="P4706" s="6" t="str">
        <f>IFERROR(__xludf.DUMMYFUNCTION("""COMPUTED_VALUE"""),"Khloe Roberts")</f>
        <v>Khloe Roberts</v>
      </c>
      <c r="Q4706" s="6" t="str">
        <f>IFERROR(__xludf.DUMMYFUNCTION("""COMPUTED_VALUE"""),"MS")</f>
        <v>MS</v>
      </c>
      <c r="R4706" s="6">
        <f>IFERROR(__xludf.DUMMYFUNCTION("""COMPUTED_VALUE"""),0.0)</f>
        <v>0</v>
      </c>
      <c r="S4706" s="6" t="str">
        <f>IFERROR(__xludf.DUMMYFUNCTION("""COMPUTED_VALUE"""),"Kimberly Ball")</f>
        <v>Kimberly Ball</v>
      </c>
      <c r="T4706" s="6" t="str">
        <f>IFERROR(__xludf.DUMMYFUNCTION("""COMPUTED_VALUE"""),"kimberly.ball@studient.com")</f>
        <v>kimberly.ball@studient.com</v>
      </c>
      <c r="U4706" s="6" t="str">
        <f>IFERROR(__xludf.DUMMYFUNCTION("""COMPUTED_VALUE"""),"7")</f>
        <v>7</v>
      </c>
      <c r="V4706" s="6" t="str">
        <f>IFERROR(__xludf.DUMMYFUNCTION("""COMPUTED_VALUE"""),"")</f>
        <v/>
      </c>
      <c r="W4706" s="6" t="str">
        <f>IFERROR(__xludf.DUMMYFUNCTION("""COMPUTED_VALUE"""),"[]")</f>
        <v>[]</v>
      </c>
      <c r="X4706" s="6" t="str">
        <f>IFERROR(__xludf.DUMMYFUNCTION("""COMPUTED_VALUE"""),"Enrolled")</f>
        <v>Enrolled</v>
      </c>
    </row>
    <row r="4707">
      <c r="A4707" s="6" t="str">
        <f>IFERROR(__xludf.DUMMYFUNCTION("""COMPUTED_VALUE"""),"084-13069")</f>
        <v>084-13069</v>
      </c>
      <c r="B4707" s="6" t="str">
        <f>IFERROR(__xludf.DUMMYFUNCTION("""COMPUTED_VALUE"""),"84")</f>
        <v>84</v>
      </c>
      <c r="C4707" s="6" t="str">
        <f>IFERROR(__xludf.DUMMYFUNCTION("""COMPUTED_VALUE"""),"13069")</f>
        <v>13069</v>
      </c>
      <c r="D4707" s="6" t="str">
        <f>IFERROR(__xludf.DUMMYFUNCTION("""COMPUTED_VALUE"""),"Juan")</f>
        <v>Juan</v>
      </c>
      <c r="E4707" s="6" t="str">
        <f>IFERROR(__xludf.DUMMYFUNCTION("""COMPUTED_VALUE"""),"")</f>
        <v/>
      </c>
      <c r="F4707" s="6" t="str">
        <f>IFERROR(__xludf.DUMMYFUNCTION("""COMPUTED_VALUE"""),"Roblero Perez")</f>
        <v>Roblero Perez</v>
      </c>
      <c r="G4707" s="6" t="str">
        <f>IFERROR(__xludf.DUMMYFUNCTION("""COMPUTED_VALUE"""),"06/22/2013")</f>
        <v>06/22/2013</v>
      </c>
      <c r="H4707" s="6" t="str">
        <f>IFERROR(__xludf.DUMMYFUNCTION("""COMPUTED_VALUE"""),"female")</f>
        <v>female</v>
      </c>
      <c r="I4707" s="6" t="str">
        <f>IFERROR(__xludf.DUMMYFUNCTION("""COMPUTED_VALUE"""),"Middle School")</f>
        <v>Middle School</v>
      </c>
      <c r="J4707" s="6" t="str">
        <f>IFERROR(__xludf.DUMMYFUNCTION("""COMPUTED_VALUE"""),"7")</f>
        <v>7</v>
      </c>
      <c r="K4707" s="6" t="str">
        <f>IFERROR(__xludf.DUMMYFUNCTION("""COMPUTED_VALUE"""),"juan.robleroperez@2hourlearning.com")</f>
        <v>juan.robleroperez@2hourlearning.com</v>
      </c>
      <c r="L4707" s="6" t="str">
        <f>IFERROR(__xludf.DUMMYFUNCTION("""COMPUTED_VALUE"""),"JHMS - Hardeeville Junior Senior High School")</f>
        <v>JHMS - Hardeeville Junior Senior High School</v>
      </c>
      <c r="M4707" s="6" t="str">
        <f>IFERROR(__xludf.DUMMYFUNCTION("""COMPUTED_VALUE"""),"")</f>
        <v/>
      </c>
      <c r="N4707" s="6" t="str">
        <f>IFERROR(__xludf.DUMMYFUNCTION("""COMPUTED_VALUE"""),"")</f>
        <v/>
      </c>
      <c r="O4707" s="87" t="str">
        <f>IFERROR(__xludf.DUMMYFUNCTION("""COMPUTED_VALUE"""),"https://drive.google.com/drive/folders/10T2cTQHqEJZqE-st6uFKPoI?usp=share_link")</f>
        <v>https://drive.google.com/drive/folders/10T2cTQHqEJZqE-st6uFKPoI?usp=share_link</v>
      </c>
      <c r="P4707" s="6" t="str">
        <f>IFERROR(__xludf.DUMMYFUNCTION("""COMPUTED_VALUE"""),"Juan Roblero Perez")</f>
        <v>Juan Roblero Perez</v>
      </c>
      <c r="Q4707" s="6" t="str">
        <f>IFERROR(__xludf.DUMMYFUNCTION("""COMPUTED_VALUE"""),"MS")</f>
        <v>MS</v>
      </c>
      <c r="R4707" s="6">
        <f>IFERROR(__xludf.DUMMYFUNCTION("""COMPUTED_VALUE"""),0.0)</f>
        <v>0</v>
      </c>
      <c r="S4707" s="6" t="str">
        <f>IFERROR(__xludf.DUMMYFUNCTION("""COMPUTED_VALUE"""),"Kimberly Ball")</f>
        <v>Kimberly Ball</v>
      </c>
      <c r="T4707" s="6" t="str">
        <f>IFERROR(__xludf.DUMMYFUNCTION("""COMPUTED_VALUE"""),"kimberly.ball@studient.com")</f>
        <v>kimberly.ball@studient.com</v>
      </c>
      <c r="U4707" s="6" t="str">
        <f>IFERROR(__xludf.DUMMYFUNCTION("""COMPUTED_VALUE"""),"7")</f>
        <v>7</v>
      </c>
      <c r="V4707" s="6" t="str">
        <f>IFERROR(__xludf.DUMMYFUNCTION("""COMPUTED_VALUE"""),"")</f>
        <v/>
      </c>
      <c r="W4707" s="6" t="str">
        <f>IFERROR(__xludf.DUMMYFUNCTION("""COMPUTED_VALUE"""),"[]")</f>
        <v>[]</v>
      </c>
      <c r="X4707" s="6" t="str">
        <f>IFERROR(__xludf.DUMMYFUNCTION("""COMPUTED_VALUE"""),"Enrolled")</f>
        <v>Enrolled</v>
      </c>
    </row>
    <row r="4708">
      <c r="A4708" s="6" t="str">
        <f>IFERROR(__xludf.DUMMYFUNCTION("""COMPUTED_VALUE"""),"084-13070")</f>
        <v>084-13070</v>
      </c>
      <c r="B4708" s="6" t="str">
        <f>IFERROR(__xludf.DUMMYFUNCTION("""COMPUTED_VALUE"""),"84")</f>
        <v>84</v>
      </c>
      <c r="C4708" s="6" t="str">
        <f>IFERROR(__xludf.DUMMYFUNCTION("""COMPUTED_VALUE"""),"13070")</f>
        <v>13070</v>
      </c>
      <c r="D4708" s="6" t="str">
        <f>IFERROR(__xludf.DUMMYFUNCTION("""COMPUTED_VALUE"""),"Iker")</f>
        <v>Iker</v>
      </c>
      <c r="E4708" s="6" t="str">
        <f>IFERROR(__xludf.DUMMYFUNCTION("""COMPUTED_VALUE"""),"")</f>
        <v/>
      </c>
      <c r="F4708" s="6" t="str">
        <f>IFERROR(__xludf.DUMMYFUNCTION("""COMPUTED_VALUE"""),"Rodriguez Lara")</f>
        <v>Rodriguez Lara</v>
      </c>
      <c r="G4708" s="6" t="str">
        <f>IFERROR(__xludf.DUMMYFUNCTION("""COMPUTED_VALUE"""),"01/16/2013")</f>
        <v>01/16/2013</v>
      </c>
      <c r="H4708" s="6" t="str">
        <f>IFERROR(__xludf.DUMMYFUNCTION("""COMPUTED_VALUE"""),"female")</f>
        <v>female</v>
      </c>
      <c r="I4708" s="6" t="str">
        <f>IFERROR(__xludf.DUMMYFUNCTION("""COMPUTED_VALUE"""),"Middle School")</f>
        <v>Middle School</v>
      </c>
      <c r="J4708" s="6" t="str">
        <f>IFERROR(__xludf.DUMMYFUNCTION("""COMPUTED_VALUE"""),"7")</f>
        <v>7</v>
      </c>
      <c r="K4708" s="6" t="str">
        <f>IFERROR(__xludf.DUMMYFUNCTION("""COMPUTED_VALUE"""),"iker.rodriguezlara@2hourlearning.com")</f>
        <v>iker.rodriguezlara@2hourlearning.com</v>
      </c>
      <c r="L4708" s="6" t="str">
        <f>IFERROR(__xludf.DUMMYFUNCTION("""COMPUTED_VALUE"""),"JHMS - Hardeeville Junior Senior High School")</f>
        <v>JHMS - Hardeeville Junior Senior High School</v>
      </c>
      <c r="M4708" s="6" t="str">
        <f>IFERROR(__xludf.DUMMYFUNCTION("""COMPUTED_VALUE"""),"")</f>
        <v/>
      </c>
      <c r="N4708" s="6" t="str">
        <f>IFERROR(__xludf.DUMMYFUNCTION("""COMPUTED_VALUE"""),"")</f>
        <v/>
      </c>
      <c r="O4708" s="87" t="str">
        <f>IFERROR(__xludf.DUMMYFUNCTION("""COMPUTED_VALUE"""),"https://drive.google.com/drive/folders/10T2cTQHqEJZqE-st6uFKPoI?usp=share_link")</f>
        <v>https://drive.google.com/drive/folders/10T2cTQHqEJZqE-st6uFKPoI?usp=share_link</v>
      </c>
      <c r="P4708" s="6" t="str">
        <f>IFERROR(__xludf.DUMMYFUNCTION("""COMPUTED_VALUE"""),"Iker Rodriguez Lara")</f>
        <v>Iker Rodriguez Lara</v>
      </c>
      <c r="Q4708" s="6" t="str">
        <f>IFERROR(__xludf.DUMMYFUNCTION("""COMPUTED_VALUE"""),"MS")</f>
        <v>MS</v>
      </c>
      <c r="R4708" s="6">
        <f>IFERROR(__xludf.DUMMYFUNCTION("""COMPUTED_VALUE"""),0.0)</f>
        <v>0</v>
      </c>
      <c r="S4708" s="6" t="str">
        <f>IFERROR(__xludf.DUMMYFUNCTION("""COMPUTED_VALUE"""),"Kimberly Ball")</f>
        <v>Kimberly Ball</v>
      </c>
      <c r="T4708" s="6" t="str">
        <f>IFERROR(__xludf.DUMMYFUNCTION("""COMPUTED_VALUE"""),"kimberly.ball@studient.com")</f>
        <v>kimberly.ball@studient.com</v>
      </c>
      <c r="U4708" s="6" t="str">
        <f>IFERROR(__xludf.DUMMYFUNCTION("""COMPUTED_VALUE"""),"7")</f>
        <v>7</v>
      </c>
      <c r="V4708" s="6" t="str">
        <f>IFERROR(__xludf.DUMMYFUNCTION("""COMPUTED_VALUE"""),"")</f>
        <v/>
      </c>
      <c r="W4708" s="6" t="str">
        <f>IFERROR(__xludf.DUMMYFUNCTION("""COMPUTED_VALUE"""),"[]")</f>
        <v>[]</v>
      </c>
      <c r="X4708" s="6" t="str">
        <f>IFERROR(__xludf.DUMMYFUNCTION("""COMPUTED_VALUE"""),"Enrolled")</f>
        <v>Enrolled</v>
      </c>
    </row>
    <row r="4709">
      <c r="A4709" s="6" t="str">
        <f>IFERROR(__xludf.DUMMYFUNCTION("""COMPUTED_VALUE"""),"084-13071")</f>
        <v>084-13071</v>
      </c>
      <c r="B4709" s="6" t="str">
        <f>IFERROR(__xludf.DUMMYFUNCTION("""COMPUTED_VALUE"""),"84")</f>
        <v>84</v>
      </c>
      <c r="C4709" s="6" t="str">
        <f>IFERROR(__xludf.DUMMYFUNCTION("""COMPUTED_VALUE"""),"13071")</f>
        <v>13071</v>
      </c>
      <c r="D4709" s="6" t="str">
        <f>IFERROR(__xludf.DUMMYFUNCTION("""COMPUTED_VALUE"""),"Jessie")</f>
        <v>Jessie</v>
      </c>
      <c r="E4709" s="6" t="str">
        <f>IFERROR(__xludf.DUMMYFUNCTION("""COMPUTED_VALUE"""),"")</f>
        <v/>
      </c>
      <c r="F4709" s="6" t="str">
        <f>IFERROR(__xludf.DUMMYFUNCTION("""COMPUTED_VALUE"""),"Rodriguez-Merida")</f>
        <v>Rodriguez-Merida</v>
      </c>
      <c r="G4709" s="6" t="str">
        <f>IFERROR(__xludf.DUMMYFUNCTION("""COMPUTED_VALUE"""),"11/20/2012")</f>
        <v>11/20/2012</v>
      </c>
      <c r="H4709" s="6" t="str">
        <f>IFERROR(__xludf.DUMMYFUNCTION("""COMPUTED_VALUE"""),"male")</f>
        <v>male</v>
      </c>
      <c r="I4709" s="6" t="str">
        <f>IFERROR(__xludf.DUMMYFUNCTION("""COMPUTED_VALUE"""),"Middle School")</f>
        <v>Middle School</v>
      </c>
      <c r="J4709" s="6" t="str">
        <f>IFERROR(__xludf.DUMMYFUNCTION("""COMPUTED_VALUE"""),"7")</f>
        <v>7</v>
      </c>
      <c r="K4709" s="6" t="str">
        <f>IFERROR(__xludf.DUMMYFUNCTION("""COMPUTED_VALUE"""),"jessie.rodriguez-merida@2hourlearning.com")</f>
        <v>jessie.rodriguez-merida@2hourlearning.com</v>
      </c>
      <c r="L4709" s="6" t="str">
        <f>IFERROR(__xludf.DUMMYFUNCTION("""COMPUTED_VALUE"""),"JHMS - Hardeeville Junior Senior High School")</f>
        <v>JHMS - Hardeeville Junior Senior High School</v>
      </c>
      <c r="M4709" s="6" t="str">
        <f>IFERROR(__xludf.DUMMYFUNCTION("""COMPUTED_VALUE"""),"")</f>
        <v/>
      </c>
      <c r="N4709" s="6" t="str">
        <f>IFERROR(__xludf.DUMMYFUNCTION("""COMPUTED_VALUE"""),"")</f>
        <v/>
      </c>
      <c r="O4709" s="87" t="str">
        <f>IFERROR(__xludf.DUMMYFUNCTION("""COMPUTED_VALUE"""),"https://drive.google.com/drive/folders/10T2cTQHqEJZqE-st6uFKPoI?usp=share_link")</f>
        <v>https://drive.google.com/drive/folders/10T2cTQHqEJZqE-st6uFKPoI?usp=share_link</v>
      </c>
      <c r="P4709" s="6" t="str">
        <f>IFERROR(__xludf.DUMMYFUNCTION("""COMPUTED_VALUE"""),"Jessie Rodriguez-Merida")</f>
        <v>Jessie Rodriguez-Merida</v>
      </c>
      <c r="Q4709" s="6" t="str">
        <f>IFERROR(__xludf.DUMMYFUNCTION("""COMPUTED_VALUE"""),"MS")</f>
        <v>MS</v>
      </c>
      <c r="R4709" s="6">
        <f>IFERROR(__xludf.DUMMYFUNCTION("""COMPUTED_VALUE"""),0.0)</f>
        <v>0</v>
      </c>
      <c r="S4709" s="6" t="str">
        <f>IFERROR(__xludf.DUMMYFUNCTION("""COMPUTED_VALUE"""),"Kimberly Ball")</f>
        <v>Kimberly Ball</v>
      </c>
      <c r="T4709" s="6" t="str">
        <f>IFERROR(__xludf.DUMMYFUNCTION("""COMPUTED_VALUE"""),"kimberly.ball@studient.com")</f>
        <v>kimberly.ball@studient.com</v>
      </c>
      <c r="U4709" s="6" t="str">
        <f>IFERROR(__xludf.DUMMYFUNCTION("""COMPUTED_VALUE"""),"7")</f>
        <v>7</v>
      </c>
      <c r="V4709" s="6" t="str">
        <f>IFERROR(__xludf.DUMMYFUNCTION("""COMPUTED_VALUE"""),"")</f>
        <v/>
      </c>
      <c r="W4709" s="6" t="str">
        <f>IFERROR(__xludf.DUMMYFUNCTION("""COMPUTED_VALUE"""),"[]")</f>
        <v>[]</v>
      </c>
      <c r="X4709" s="6" t="str">
        <f>IFERROR(__xludf.DUMMYFUNCTION("""COMPUTED_VALUE"""),"Enrolled")</f>
        <v>Enrolled</v>
      </c>
    </row>
    <row r="4710">
      <c r="A4710" s="6" t="str">
        <f>IFERROR(__xludf.DUMMYFUNCTION("""COMPUTED_VALUE"""),"084-13072")</f>
        <v>084-13072</v>
      </c>
      <c r="B4710" s="6" t="str">
        <f>IFERROR(__xludf.DUMMYFUNCTION("""COMPUTED_VALUE"""),"84")</f>
        <v>84</v>
      </c>
      <c r="C4710" s="6" t="str">
        <f>IFERROR(__xludf.DUMMYFUNCTION("""COMPUTED_VALUE"""),"13072")</f>
        <v>13072</v>
      </c>
      <c r="D4710" s="6" t="str">
        <f>IFERROR(__xludf.DUMMYFUNCTION("""COMPUTED_VALUE"""),"Tania")</f>
        <v>Tania</v>
      </c>
      <c r="E4710" s="6" t="str">
        <f>IFERROR(__xludf.DUMMYFUNCTION("""COMPUTED_VALUE"""),"")</f>
        <v/>
      </c>
      <c r="F4710" s="6" t="str">
        <f>IFERROR(__xludf.DUMMYFUNCTION("""COMPUTED_VALUE"""),"Romero Fernandez")</f>
        <v>Romero Fernandez</v>
      </c>
      <c r="G4710" s="6" t="str">
        <f>IFERROR(__xludf.DUMMYFUNCTION("""COMPUTED_VALUE"""),"12/08/2012")</f>
        <v>12/08/2012</v>
      </c>
      <c r="H4710" s="6" t="str">
        <f>IFERROR(__xludf.DUMMYFUNCTION("""COMPUTED_VALUE"""),"male")</f>
        <v>male</v>
      </c>
      <c r="I4710" s="6" t="str">
        <f>IFERROR(__xludf.DUMMYFUNCTION("""COMPUTED_VALUE"""),"Middle School")</f>
        <v>Middle School</v>
      </c>
      <c r="J4710" s="6" t="str">
        <f>IFERROR(__xludf.DUMMYFUNCTION("""COMPUTED_VALUE"""),"7")</f>
        <v>7</v>
      </c>
      <c r="K4710" s="6" t="str">
        <f>IFERROR(__xludf.DUMMYFUNCTION("""COMPUTED_VALUE"""),"tania.romerofernandez@2hourlearning.com")</f>
        <v>tania.romerofernandez@2hourlearning.com</v>
      </c>
      <c r="L4710" s="6" t="str">
        <f>IFERROR(__xludf.DUMMYFUNCTION("""COMPUTED_VALUE"""),"JHMS - Hardeeville Junior Senior High School")</f>
        <v>JHMS - Hardeeville Junior Senior High School</v>
      </c>
      <c r="M4710" s="6" t="str">
        <f>IFERROR(__xludf.DUMMYFUNCTION("""COMPUTED_VALUE"""),"")</f>
        <v/>
      </c>
      <c r="N4710" s="6" t="str">
        <f>IFERROR(__xludf.DUMMYFUNCTION("""COMPUTED_VALUE"""),"")</f>
        <v/>
      </c>
      <c r="O4710" s="87" t="str">
        <f>IFERROR(__xludf.DUMMYFUNCTION("""COMPUTED_VALUE"""),"https://drive.google.com/drive/folders/10T2cTQHqEJZqE-st6uFKPoI?usp=share_link")</f>
        <v>https://drive.google.com/drive/folders/10T2cTQHqEJZqE-st6uFKPoI?usp=share_link</v>
      </c>
      <c r="P4710" s="6" t="str">
        <f>IFERROR(__xludf.DUMMYFUNCTION("""COMPUTED_VALUE"""),"Tania Romero Fernandez")</f>
        <v>Tania Romero Fernandez</v>
      </c>
      <c r="Q4710" s="6" t="str">
        <f>IFERROR(__xludf.DUMMYFUNCTION("""COMPUTED_VALUE"""),"MS")</f>
        <v>MS</v>
      </c>
      <c r="R4710" s="6">
        <f>IFERROR(__xludf.DUMMYFUNCTION("""COMPUTED_VALUE"""),0.0)</f>
        <v>0</v>
      </c>
      <c r="S4710" s="6" t="str">
        <f>IFERROR(__xludf.DUMMYFUNCTION("""COMPUTED_VALUE"""),"Kimberly Ball")</f>
        <v>Kimberly Ball</v>
      </c>
      <c r="T4710" s="6" t="str">
        <f>IFERROR(__xludf.DUMMYFUNCTION("""COMPUTED_VALUE"""),"kimberly.ball@studient.com")</f>
        <v>kimberly.ball@studient.com</v>
      </c>
      <c r="U4710" s="6" t="str">
        <f>IFERROR(__xludf.DUMMYFUNCTION("""COMPUTED_VALUE"""),"7")</f>
        <v>7</v>
      </c>
      <c r="V4710" s="6" t="str">
        <f>IFERROR(__xludf.DUMMYFUNCTION("""COMPUTED_VALUE"""),"")</f>
        <v/>
      </c>
      <c r="W4710" s="6" t="str">
        <f>IFERROR(__xludf.DUMMYFUNCTION("""COMPUTED_VALUE"""),"[]")</f>
        <v>[]</v>
      </c>
      <c r="X4710" s="6" t="str">
        <f>IFERROR(__xludf.DUMMYFUNCTION("""COMPUTED_VALUE"""),"Enrolled")</f>
        <v>Enrolled</v>
      </c>
    </row>
    <row r="4711">
      <c r="A4711" s="6" t="str">
        <f>IFERROR(__xludf.DUMMYFUNCTION("""COMPUTED_VALUE"""),"084-13073")</f>
        <v>084-13073</v>
      </c>
      <c r="B4711" s="6" t="str">
        <f>IFERROR(__xludf.DUMMYFUNCTION("""COMPUTED_VALUE"""),"84")</f>
        <v>84</v>
      </c>
      <c r="C4711" s="6" t="str">
        <f>IFERROR(__xludf.DUMMYFUNCTION("""COMPUTED_VALUE"""),"13073")</f>
        <v>13073</v>
      </c>
      <c r="D4711" s="6" t="str">
        <f>IFERROR(__xludf.DUMMYFUNCTION("""COMPUTED_VALUE"""),"Maryin Josabeth")</f>
        <v>Maryin Josabeth</v>
      </c>
      <c r="E4711" s="6" t="str">
        <f>IFERROR(__xludf.DUMMYFUNCTION("""COMPUTED_VALUE"""),"")</f>
        <v/>
      </c>
      <c r="F4711" s="6" t="str">
        <f>IFERROR(__xludf.DUMMYFUNCTION("""COMPUTED_VALUE"""),"Romero Salgado")</f>
        <v>Romero Salgado</v>
      </c>
      <c r="G4711" s="6" t="str">
        <f>IFERROR(__xludf.DUMMYFUNCTION("""COMPUTED_VALUE"""),"02/06/2013")</f>
        <v>02/06/2013</v>
      </c>
      <c r="H4711" s="6" t="str">
        <f>IFERROR(__xludf.DUMMYFUNCTION("""COMPUTED_VALUE"""),"Self Identify")</f>
        <v>Self Identify</v>
      </c>
      <c r="I4711" s="6" t="str">
        <f>IFERROR(__xludf.DUMMYFUNCTION("""COMPUTED_VALUE"""),"Middle School")</f>
        <v>Middle School</v>
      </c>
      <c r="J4711" s="6" t="str">
        <f>IFERROR(__xludf.DUMMYFUNCTION("""COMPUTED_VALUE"""),"7")</f>
        <v>7</v>
      </c>
      <c r="K4711" s="6" t="str">
        <f>IFERROR(__xludf.DUMMYFUNCTION("""COMPUTED_VALUE"""),"maryinjosabeth.romerosalgado@2hourlearning.com")</f>
        <v>maryinjosabeth.romerosalgado@2hourlearning.com</v>
      </c>
      <c r="L4711" s="6" t="str">
        <f>IFERROR(__xludf.DUMMYFUNCTION("""COMPUTED_VALUE"""),"JHMS - Hardeeville Junior Senior High School")</f>
        <v>JHMS - Hardeeville Junior Senior High School</v>
      </c>
      <c r="M4711" s="6" t="str">
        <f>IFERROR(__xludf.DUMMYFUNCTION("""COMPUTED_VALUE"""),"")</f>
        <v/>
      </c>
      <c r="N4711" s="6" t="str">
        <f>IFERROR(__xludf.DUMMYFUNCTION("""COMPUTED_VALUE"""),"")</f>
        <v/>
      </c>
      <c r="O4711" s="87" t="str">
        <f>IFERROR(__xludf.DUMMYFUNCTION("""COMPUTED_VALUE"""),"https://drive.google.com/drive/folders/10T2cTQHqEJZqE-st6uFKPoI?usp=share_link")</f>
        <v>https://drive.google.com/drive/folders/10T2cTQHqEJZqE-st6uFKPoI?usp=share_link</v>
      </c>
      <c r="P4711" s="6" t="str">
        <f>IFERROR(__xludf.DUMMYFUNCTION("""COMPUTED_VALUE"""),"Maryin Josabeth Romero Salgado")</f>
        <v>Maryin Josabeth Romero Salgado</v>
      </c>
      <c r="Q4711" s="6" t="str">
        <f>IFERROR(__xludf.DUMMYFUNCTION("""COMPUTED_VALUE"""),"MS")</f>
        <v>MS</v>
      </c>
      <c r="R4711" s="6">
        <f>IFERROR(__xludf.DUMMYFUNCTION("""COMPUTED_VALUE"""),0.0)</f>
        <v>0</v>
      </c>
      <c r="S4711" s="6" t="str">
        <f>IFERROR(__xludf.DUMMYFUNCTION("""COMPUTED_VALUE"""),"Kimberly Ball")</f>
        <v>Kimberly Ball</v>
      </c>
      <c r="T4711" s="6" t="str">
        <f>IFERROR(__xludf.DUMMYFUNCTION("""COMPUTED_VALUE"""),"kimberly.ball@studient.com")</f>
        <v>kimberly.ball@studient.com</v>
      </c>
      <c r="U4711" s="6" t="str">
        <f>IFERROR(__xludf.DUMMYFUNCTION("""COMPUTED_VALUE"""),"7")</f>
        <v>7</v>
      </c>
      <c r="V4711" s="6" t="str">
        <f>IFERROR(__xludf.DUMMYFUNCTION("""COMPUTED_VALUE"""),"")</f>
        <v/>
      </c>
      <c r="W4711" s="6" t="str">
        <f>IFERROR(__xludf.DUMMYFUNCTION("""COMPUTED_VALUE"""),"[]")</f>
        <v>[]</v>
      </c>
      <c r="X4711" s="6" t="str">
        <f>IFERROR(__xludf.DUMMYFUNCTION("""COMPUTED_VALUE"""),"Enrolled")</f>
        <v>Enrolled</v>
      </c>
    </row>
    <row r="4712">
      <c r="A4712" s="6" t="str">
        <f>IFERROR(__xludf.DUMMYFUNCTION("""COMPUTED_VALUE"""),"084-13074")</f>
        <v>084-13074</v>
      </c>
      <c r="B4712" s="6" t="str">
        <f>IFERROR(__xludf.DUMMYFUNCTION("""COMPUTED_VALUE"""),"84")</f>
        <v>84</v>
      </c>
      <c r="C4712" s="6" t="str">
        <f>IFERROR(__xludf.DUMMYFUNCTION("""COMPUTED_VALUE"""),"13074")</f>
        <v>13074</v>
      </c>
      <c r="D4712" s="6" t="str">
        <f>IFERROR(__xludf.DUMMYFUNCTION("""COMPUTED_VALUE"""),"Javier")</f>
        <v>Javier</v>
      </c>
      <c r="E4712" s="6" t="str">
        <f>IFERROR(__xludf.DUMMYFUNCTION("""COMPUTED_VALUE"""),"")</f>
        <v/>
      </c>
      <c r="F4712" s="6" t="str">
        <f>IFERROR(__xludf.DUMMYFUNCTION("""COMPUTED_VALUE"""),"Rosales Rangel")</f>
        <v>Rosales Rangel</v>
      </c>
      <c r="G4712" s="6" t="str">
        <f>IFERROR(__xludf.DUMMYFUNCTION("""COMPUTED_VALUE"""),"12/15/2012")</f>
        <v>12/15/2012</v>
      </c>
      <c r="H4712" s="6" t="str">
        <f>IFERROR(__xludf.DUMMYFUNCTION("""COMPUTED_VALUE"""),"male")</f>
        <v>male</v>
      </c>
      <c r="I4712" s="6" t="str">
        <f>IFERROR(__xludf.DUMMYFUNCTION("""COMPUTED_VALUE"""),"Middle School")</f>
        <v>Middle School</v>
      </c>
      <c r="J4712" s="6" t="str">
        <f>IFERROR(__xludf.DUMMYFUNCTION("""COMPUTED_VALUE"""),"7")</f>
        <v>7</v>
      </c>
      <c r="K4712" s="6" t="str">
        <f>IFERROR(__xludf.DUMMYFUNCTION("""COMPUTED_VALUE"""),"javier.rosalesrangel@2hourlearning.com")</f>
        <v>javier.rosalesrangel@2hourlearning.com</v>
      </c>
      <c r="L4712" s="6" t="str">
        <f>IFERROR(__xludf.DUMMYFUNCTION("""COMPUTED_VALUE"""),"JHMS - Hardeeville Junior Senior High School")</f>
        <v>JHMS - Hardeeville Junior Senior High School</v>
      </c>
      <c r="M4712" s="6" t="str">
        <f>IFERROR(__xludf.DUMMYFUNCTION("""COMPUTED_VALUE"""),"")</f>
        <v/>
      </c>
      <c r="N4712" s="6" t="str">
        <f>IFERROR(__xludf.DUMMYFUNCTION("""COMPUTED_VALUE"""),"")</f>
        <v/>
      </c>
      <c r="O4712" s="87" t="str">
        <f>IFERROR(__xludf.DUMMYFUNCTION("""COMPUTED_VALUE"""),"https://drive.google.com/drive/folders/10T2cTQHqEJZqE-st6uFKPoI?usp=share_link")</f>
        <v>https://drive.google.com/drive/folders/10T2cTQHqEJZqE-st6uFKPoI?usp=share_link</v>
      </c>
      <c r="P4712" s="6" t="str">
        <f>IFERROR(__xludf.DUMMYFUNCTION("""COMPUTED_VALUE"""),"Javier Rosales Rangel")</f>
        <v>Javier Rosales Rangel</v>
      </c>
      <c r="Q4712" s="6" t="str">
        <f>IFERROR(__xludf.DUMMYFUNCTION("""COMPUTED_VALUE"""),"MS")</f>
        <v>MS</v>
      </c>
      <c r="R4712" s="6">
        <f>IFERROR(__xludf.DUMMYFUNCTION("""COMPUTED_VALUE"""),0.0)</f>
        <v>0</v>
      </c>
      <c r="S4712" s="6" t="str">
        <f>IFERROR(__xludf.DUMMYFUNCTION("""COMPUTED_VALUE"""),"Kimberly Ball")</f>
        <v>Kimberly Ball</v>
      </c>
      <c r="T4712" s="6" t="str">
        <f>IFERROR(__xludf.DUMMYFUNCTION("""COMPUTED_VALUE"""),"kimberly.ball@studient.com")</f>
        <v>kimberly.ball@studient.com</v>
      </c>
      <c r="U4712" s="6" t="str">
        <f>IFERROR(__xludf.DUMMYFUNCTION("""COMPUTED_VALUE"""),"7")</f>
        <v>7</v>
      </c>
      <c r="V4712" s="6" t="str">
        <f>IFERROR(__xludf.DUMMYFUNCTION("""COMPUTED_VALUE"""),"")</f>
        <v/>
      </c>
      <c r="W4712" s="6" t="str">
        <f>IFERROR(__xludf.DUMMYFUNCTION("""COMPUTED_VALUE"""),"[]")</f>
        <v>[]</v>
      </c>
      <c r="X4712" s="6" t="str">
        <f>IFERROR(__xludf.DUMMYFUNCTION("""COMPUTED_VALUE"""),"Enrolled")</f>
        <v>Enrolled</v>
      </c>
    </row>
    <row r="4713">
      <c r="A4713" s="6" t="str">
        <f>IFERROR(__xludf.DUMMYFUNCTION("""COMPUTED_VALUE"""),"084-13075")</f>
        <v>084-13075</v>
      </c>
      <c r="B4713" s="6" t="str">
        <f>IFERROR(__xludf.DUMMYFUNCTION("""COMPUTED_VALUE"""),"84")</f>
        <v>84</v>
      </c>
      <c r="C4713" s="6" t="str">
        <f>IFERROR(__xludf.DUMMYFUNCTION("""COMPUTED_VALUE"""),"13075")</f>
        <v>13075</v>
      </c>
      <c r="D4713" s="6" t="str">
        <f>IFERROR(__xludf.DUMMYFUNCTION("""COMPUTED_VALUE"""),"Terry")</f>
        <v>Terry</v>
      </c>
      <c r="E4713" s="6" t="str">
        <f>IFERROR(__xludf.DUMMYFUNCTION("""COMPUTED_VALUE"""),"")</f>
        <v/>
      </c>
      <c r="F4713" s="6" t="str">
        <f>IFERROR(__xludf.DUMMYFUNCTION("""COMPUTED_VALUE"""),"Ruff")</f>
        <v>Ruff</v>
      </c>
      <c r="G4713" s="6" t="str">
        <f>IFERROR(__xludf.DUMMYFUNCTION("""COMPUTED_VALUE"""),"04/10/2013")</f>
        <v>04/10/2013</v>
      </c>
      <c r="H4713" s="6" t="str">
        <f>IFERROR(__xludf.DUMMYFUNCTION("""COMPUTED_VALUE"""),"male")</f>
        <v>male</v>
      </c>
      <c r="I4713" s="6" t="str">
        <f>IFERROR(__xludf.DUMMYFUNCTION("""COMPUTED_VALUE"""),"Middle School")</f>
        <v>Middle School</v>
      </c>
      <c r="J4713" s="6" t="str">
        <f>IFERROR(__xludf.DUMMYFUNCTION("""COMPUTED_VALUE"""),"7")</f>
        <v>7</v>
      </c>
      <c r="K4713" s="6" t="str">
        <f>IFERROR(__xludf.DUMMYFUNCTION("""COMPUTED_VALUE"""),"terry.ruff@2hourlearning.com")</f>
        <v>terry.ruff@2hourlearning.com</v>
      </c>
      <c r="L4713" s="6" t="str">
        <f>IFERROR(__xludf.DUMMYFUNCTION("""COMPUTED_VALUE"""),"JHMS - Hardeeville Junior Senior High School")</f>
        <v>JHMS - Hardeeville Junior Senior High School</v>
      </c>
      <c r="M4713" s="6" t="str">
        <f>IFERROR(__xludf.DUMMYFUNCTION("""COMPUTED_VALUE"""),"")</f>
        <v/>
      </c>
      <c r="N4713" s="6" t="str">
        <f>IFERROR(__xludf.DUMMYFUNCTION("""COMPUTED_VALUE"""),"")</f>
        <v/>
      </c>
      <c r="O4713" s="87" t="str">
        <f>IFERROR(__xludf.DUMMYFUNCTION("""COMPUTED_VALUE"""),"https://drive.google.com/drive/folders/10T2cTQHqEJZqE-st6uFKPoI?usp=share_link")</f>
        <v>https://drive.google.com/drive/folders/10T2cTQHqEJZqE-st6uFKPoI?usp=share_link</v>
      </c>
      <c r="P4713" s="6" t="str">
        <f>IFERROR(__xludf.DUMMYFUNCTION("""COMPUTED_VALUE"""),"Terry Ruff")</f>
        <v>Terry Ruff</v>
      </c>
      <c r="Q4713" s="6" t="str">
        <f>IFERROR(__xludf.DUMMYFUNCTION("""COMPUTED_VALUE"""),"MS")</f>
        <v>MS</v>
      </c>
      <c r="R4713" s="6">
        <f>IFERROR(__xludf.DUMMYFUNCTION("""COMPUTED_VALUE"""),0.0)</f>
        <v>0</v>
      </c>
      <c r="S4713" s="6" t="str">
        <f>IFERROR(__xludf.DUMMYFUNCTION("""COMPUTED_VALUE"""),"Kimberly Ball")</f>
        <v>Kimberly Ball</v>
      </c>
      <c r="T4713" s="6" t="str">
        <f>IFERROR(__xludf.DUMMYFUNCTION("""COMPUTED_VALUE"""),"kimberly.ball@studient.com")</f>
        <v>kimberly.ball@studient.com</v>
      </c>
      <c r="U4713" s="6" t="str">
        <f>IFERROR(__xludf.DUMMYFUNCTION("""COMPUTED_VALUE"""),"7")</f>
        <v>7</v>
      </c>
      <c r="V4713" s="6" t="str">
        <f>IFERROR(__xludf.DUMMYFUNCTION("""COMPUTED_VALUE"""),"")</f>
        <v/>
      </c>
      <c r="W4713" s="6" t="str">
        <f>IFERROR(__xludf.DUMMYFUNCTION("""COMPUTED_VALUE"""),"[]")</f>
        <v>[]</v>
      </c>
      <c r="X4713" s="6" t="str">
        <f>IFERROR(__xludf.DUMMYFUNCTION("""COMPUTED_VALUE"""),"Enrolled")</f>
        <v>Enrolled</v>
      </c>
    </row>
    <row r="4714">
      <c r="A4714" s="6" t="str">
        <f>IFERROR(__xludf.DUMMYFUNCTION("""COMPUTED_VALUE"""),"084-13076")</f>
        <v>084-13076</v>
      </c>
      <c r="B4714" s="6" t="str">
        <f>IFERROR(__xludf.DUMMYFUNCTION("""COMPUTED_VALUE"""),"84")</f>
        <v>84</v>
      </c>
      <c r="C4714" s="6" t="str">
        <f>IFERROR(__xludf.DUMMYFUNCTION("""COMPUTED_VALUE"""),"13076")</f>
        <v>13076</v>
      </c>
      <c r="D4714" s="6" t="str">
        <f>IFERROR(__xludf.DUMMYFUNCTION("""COMPUTED_VALUE"""),"Oliver")</f>
        <v>Oliver</v>
      </c>
      <c r="E4714" s="6" t="str">
        <f>IFERROR(__xludf.DUMMYFUNCTION("""COMPUTED_VALUE"""),"")</f>
        <v/>
      </c>
      <c r="F4714" s="6" t="str">
        <f>IFERROR(__xludf.DUMMYFUNCTION("""COMPUTED_VALUE"""),"Salgado Hernandez")</f>
        <v>Salgado Hernandez</v>
      </c>
      <c r="G4714" s="6" t="str">
        <f>IFERROR(__xludf.DUMMYFUNCTION("""COMPUTED_VALUE"""),"10/26/2012")</f>
        <v>10/26/2012</v>
      </c>
      <c r="H4714" s="6" t="str">
        <f>IFERROR(__xludf.DUMMYFUNCTION("""COMPUTED_VALUE"""),"female")</f>
        <v>female</v>
      </c>
      <c r="I4714" s="6" t="str">
        <f>IFERROR(__xludf.DUMMYFUNCTION("""COMPUTED_VALUE"""),"Middle School")</f>
        <v>Middle School</v>
      </c>
      <c r="J4714" s="6" t="str">
        <f>IFERROR(__xludf.DUMMYFUNCTION("""COMPUTED_VALUE"""),"7")</f>
        <v>7</v>
      </c>
      <c r="K4714" s="6" t="str">
        <f>IFERROR(__xludf.DUMMYFUNCTION("""COMPUTED_VALUE"""),"oliver.salgadohernandez@2hourlearning.com")</f>
        <v>oliver.salgadohernandez@2hourlearning.com</v>
      </c>
      <c r="L4714" s="6" t="str">
        <f>IFERROR(__xludf.DUMMYFUNCTION("""COMPUTED_VALUE"""),"JHMS - Hardeeville Junior Senior High School")</f>
        <v>JHMS - Hardeeville Junior Senior High School</v>
      </c>
      <c r="M4714" s="6" t="str">
        <f>IFERROR(__xludf.DUMMYFUNCTION("""COMPUTED_VALUE"""),"")</f>
        <v/>
      </c>
      <c r="N4714" s="6" t="str">
        <f>IFERROR(__xludf.DUMMYFUNCTION("""COMPUTED_VALUE"""),"")</f>
        <v/>
      </c>
      <c r="O4714" s="87" t="str">
        <f>IFERROR(__xludf.DUMMYFUNCTION("""COMPUTED_VALUE"""),"https://drive.google.com/drive/folders/10T2cTQHqEJZqE-st6uFKPoI?usp=share_link")</f>
        <v>https://drive.google.com/drive/folders/10T2cTQHqEJZqE-st6uFKPoI?usp=share_link</v>
      </c>
      <c r="P4714" s="6" t="str">
        <f>IFERROR(__xludf.DUMMYFUNCTION("""COMPUTED_VALUE"""),"Oliver Salgado Hernandez")</f>
        <v>Oliver Salgado Hernandez</v>
      </c>
      <c r="Q4714" s="6" t="str">
        <f>IFERROR(__xludf.DUMMYFUNCTION("""COMPUTED_VALUE"""),"MS")</f>
        <v>MS</v>
      </c>
      <c r="R4714" s="6">
        <f>IFERROR(__xludf.DUMMYFUNCTION("""COMPUTED_VALUE"""),0.0)</f>
        <v>0</v>
      </c>
      <c r="S4714" s="6" t="str">
        <f>IFERROR(__xludf.DUMMYFUNCTION("""COMPUTED_VALUE"""),"Kimberly Ball")</f>
        <v>Kimberly Ball</v>
      </c>
      <c r="T4714" s="6" t="str">
        <f>IFERROR(__xludf.DUMMYFUNCTION("""COMPUTED_VALUE"""),"kimberly.ball@studient.com")</f>
        <v>kimberly.ball@studient.com</v>
      </c>
      <c r="U4714" s="6" t="str">
        <f>IFERROR(__xludf.DUMMYFUNCTION("""COMPUTED_VALUE"""),"7")</f>
        <v>7</v>
      </c>
      <c r="V4714" s="6" t="str">
        <f>IFERROR(__xludf.DUMMYFUNCTION("""COMPUTED_VALUE"""),"")</f>
        <v/>
      </c>
      <c r="W4714" s="6" t="str">
        <f>IFERROR(__xludf.DUMMYFUNCTION("""COMPUTED_VALUE"""),"[]")</f>
        <v>[]</v>
      </c>
      <c r="X4714" s="6" t="str">
        <f>IFERROR(__xludf.DUMMYFUNCTION("""COMPUTED_VALUE"""),"Enrolled")</f>
        <v>Enrolled</v>
      </c>
    </row>
    <row r="4715">
      <c r="A4715" s="6" t="str">
        <f>IFERROR(__xludf.DUMMYFUNCTION("""COMPUTED_VALUE"""),"084-13077")</f>
        <v>084-13077</v>
      </c>
      <c r="B4715" s="6" t="str">
        <f>IFERROR(__xludf.DUMMYFUNCTION("""COMPUTED_VALUE"""),"84")</f>
        <v>84</v>
      </c>
      <c r="C4715" s="6" t="str">
        <f>IFERROR(__xludf.DUMMYFUNCTION("""COMPUTED_VALUE"""),"13077")</f>
        <v>13077</v>
      </c>
      <c r="D4715" s="6" t="str">
        <f>IFERROR(__xludf.DUMMYFUNCTION("""COMPUTED_VALUE"""),"Jayden Manuel")</f>
        <v>Jayden Manuel</v>
      </c>
      <c r="E4715" s="6" t="str">
        <f>IFERROR(__xludf.DUMMYFUNCTION("""COMPUTED_VALUE"""),"")</f>
        <v/>
      </c>
      <c r="F4715" s="6" t="str">
        <f>IFERROR(__xludf.DUMMYFUNCTION("""COMPUTED_VALUE"""),"Sanchez")</f>
        <v>Sanchez</v>
      </c>
      <c r="G4715" s="6" t="str">
        <f>IFERROR(__xludf.DUMMYFUNCTION("""COMPUTED_VALUE"""),"03/16/2012")</f>
        <v>03/16/2012</v>
      </c>
      <c r="H4715" s="6" t="str">
        <f>IFERROR(__xludf.DUMMYFUNCTION("""COMPUTED_VALUE"""),"female")</f>
        <v>female</v>
      </c>
      <c r="I4715" s="6" t="str">
        <f>IFERROR(__xludf.DUMMYFUNCTION("""COMPUTED_VALUE"""),"Middle School")</f>
        <v>Middle School</v>
      </c>
      <c r="J4715" s="6" t="str">
        <f>IFERROR(__xludf.DUMMYFUNCTION("""COMPUTED_VALUE"""),"7")</f>
        <v>7</v>
      </c>
      <c r="K4715" s="6" t="str">
        <f>IFERROR(__xludf.DUMMYFUNCTION("""COMPUTED_VALUE"""),"jaydenmanuel.sanchez@2hourlearning.com")</f>
        <v>jaydenmanuel.sanchez@2hourlearning.com</v>
      </c>
      <c r="L4715" s="6" t="str">
        <f>IFERROR(__xludf.DUMMYFUNCTION("""COMPUTED_VALUE"""),"JHMS - Hardeeville Junior Senior High School")</f>
        <v>JHMS - Hardeeville Junior Senior High School</v>
      </c>
      <c r="M4715" s="6" t="str">
        <f>IFERROR(__xludf.DUMMYFUNCTION("""COMPUTED_VALUE"""),"")</f>
        <v/>
      </c>
      <c r="N4715" s="6" t="str">
        <f>IFERROR(__xludf.DUMMYFUNCTION("""COMPUTED_VALUE"""),"")</f>
        <v/>
      </c>
      <c r="O4715" s="87" t="str">
        <f>IFERROR(__xludf.DUMMYFUNCTION("""COMPUTED_VALUE"""),"https://drive.google.com/drive/folders/10T2cTQHqEJZqE-st6uFKPoI?usp=share_link")</f>
        <v>https://drive.google.com/drive/folders/10T2cTQHqEJZqE-st6uFKPoI?usp=share_link</v>
      </c>
      <c r="P4715" s="6" t="str">
        <f>IFERROR(__xludf.DUMMYFUNCTION("""COMPUTED_VALUE"""),"Jayden Manuel Sanchez")</f>
        <v>Jayden Manuel Sanchez</v>
      </c>
      <c r="Q4715" s="6" t="str">
        <f>IFERROR(__xludf.DUMMYFUNCTION("""COMPUTED_VALUE"""),"MS")</f>
        <v>MS</v>
      </c>
      <c r="R4715" s="6">
        <f>IFERROR(__xludf.DUMMYFUNCTION("""COMPUTED_VALUE"""),0.0)</f>
        <v>0</v>
      </c>
      <c r="S4715" s="6" t="str">
        <f>IFERROR(__xludf.DUMMYFUNCTION("""COMPUTED_VALUE"""),"Kimberly Ball")</f>
        <v>Kimberly Ball</v>
      </c>
      <c r="T4715" s="6" t="str">
        <f>IFERROR(__xludf.DUMMYFUNCTION("""COMPUTED_VALUE"""),"kimberly.ball@studient.com")</f>
        <v>kimberly.ball@studient.com</v>
      </c>
      <c r="U4715" s="6" t="str">
        <f>IFERROR(__xludf.DUMMYFUNCTION("""COMPUTED_VALUE"""),"7")</f>
        <v>7</v>
      </c>
      <c r="V4715" s="6" t="str">
        <f>IFERROR(__xludf.DUMMYFUNCTION("""COMPUTED_VALUE"""),"")</f>
        <v/>
      </c>
      <c r="W4715" s="6" t="str">
        <f>IFERROR(__xludf.DUMMYFUNCTION("""COMPUTED_VALUE"""),"[]")</f>
        <v>[]</v>
      </c>
      <c r="X4715" s="6" t="str">
        <f>IFERROR(__xludf.DUMMYFUNCTION("""COMPUTED_VALUE"""),"Enrolled")</f>
        <v>Enrolled</v>
      </c>
    </row>
    <row r="4716">
      <c r="A4716" s="6" t="str">
        <f>IFERROR(__xludf.DUMMYFUNCTION("""COMPUTED_VALUE"""),"084-13078")</f>
        <v>084-13078</v>
      </c>
      <c r="B4716" s="6" t="str">
        <f>IFERROR(__xludf.DUMMYFUNCTION("""COMPUTED_VALUE"""),"84")</f>
        <v>84</v>
      </c>
      <c r="C4716" s="6" t="str">
        <f>IFERROR(__xludf.DUMMYFUNCTION("""COMPUTED_VALUE"""),"13078")</f>
        <v>13078</v>
      </c>
      <c r="D4716" s="6" t="str">
        <f>IFERROR(__xludf.DUMMYFUNCTION("""COMPUTED_VALUE"""),"Geizi")</f>
        <v>Geizi</v>
      </c>
      <c r="E4716" s="6" t="str">
        <f>IFERROR(__xludf.DUMMYFUNCTION("""COMPUTED_VALUE"""),"")</f>
        <v/>
      </c>
      <c r="F4716" s="6" t="str">
        <f>IFERROR(__xludf.DUMMYFUNCTION("""COMPUTED_VALUE"""),"Sanchez Romero")</f>
        <v>Sanchez Romero</v>
      </c>
      <c r="G4716" s="6" t="str">
        <f>IFERROR(__xludf.DUMMYFUNCTION("""COMPUTED_VALUE"""),"12/31/2012")</f>
        <v>12/31/2012</v>
      </c>
      <c r="H4716" s="6" t="str">
        <f>IFERROR(__xludf.DUMMYFUNCTION("""COMPUTED_VALUE"""),"male")</f>
        <v>male</v>
      </c>
      <c r="I4716" s="6" t="str">
        <f>IFERROR(__xludf.DUMMYFUNCTION("""COMPUTED_VALUE"""),"Middle School")</f>
        <v>Middle School</v>
      </c>
      <c r="J4716" s="6" t="str">
        <f>IFERROR(__xludf.DUMMYFUNCTION("""COMPUTED_VALUE"""),"7")</f>
        <v>7</v>
      </c>
      <c r="K4716" s="6" t="str">
        <f>IFERROR(__xludf.DUMMYFUNCTION("""COMPUTED_VALUE"""),"geizi.sanchezromero@2hourlearning.com")</f>
        <v>geizi.sanchezromero@2hourlearning.com</v>
      </c>
      <c r="L4716" s="6" t="str">
        <f>IFERROR(__xludf.DUMMYFUNCTION("""COMPUTED_VALUE"""),"JHMS - Hardeeville Junior Senior High School")</f>
        <v>JHMS - Hardeeville Junior Senior High School</v>
      </c>
      <c r="M4716" s="6" t="str">
        <f>IFERROR(__xludf.DUMMYFUNCTION("""COMPUTED_VALUE"""),"")</f>
        <v/>
      </c>
      <c r="N4716" s="6" t="str">
        <f>IFERROR(__xludf.DUMMYFUNCTION("""COMPUTED_VALUE"""),"")</f>
        <v/>
      </c>
      <c r="O4716" s="87" t="str">
        <f>IFERROR(__xludf.DUMMYFUNCTION("""COMPUTED_VALUE"""),"https://drive.google.com/drive/folders/10T2cTQHqEJZqE-st6uFKPoI?usp=share_link")</f>
        <v>https://drive.google.com/drive/folders/10T2cTQHqEJZqE-st6uFKPoI?usp=share_link</v>
      </c>
      <c r="P4716" s="6" t="str">
        <f>IFERROR(__xludf.DUMMYFUNCTION("""COMPUTED_VALUE"""),"Geizi Sanchez Romero")</f>
        <v>Geizi Sanchez Romero</v>
      </c>
      <c r="Q4716" s="6" t="str">
        <f>IFERROR(__xludf.DUMMYFUNCTION("""COMPUTED_VALUE"""),"MS")</f>
        <v>MS</v>
      </c>
      <c r="R4716" s="6">
        <f>IFERROR(__xludf.DUMMYFUNCTION("""COMPUTED_VALUE"""),0.0)</f>
        <v>0</v>
      </c>
      <c r="S4716" s="6" t="str">
        <f>IFERROR(__xludf.DUMMYFUNCTION("""COMPUTED_VALUE"""),"Kimberly Ball")</f>
        <v>Kimberly Ball</v>
      </c>
      <c r="T4716" s="6" t="str">
        <f>IFERROR(__xludf.DUMMYFUNCTION("""COMPUTED_VALUE"""),"kimberly.ball@studient.com")</f>
        <v>kimberly.ball@studient.com</v>
      </c>
      <c r="U4716" s="6" t="str">
        <f>IFERROR(__xludf.DUMMYFUNCTION("""COMPUTED_VALUE"""),"7")</f>
        <v>7</v>
      </c>
      <c r="V4716" s="6" t="str">
        <f>IFERROR(__xludf.DUMMYFUNCTION("""COMPUTED_VALUE"""),"")</f>
        <v/>
      </c>
      <c r="W4716" s="6" t="str">
        <f>IFERROR(__xludf.DUMMYFUNCTION("""COMPUTED_VALUE"""),"[]")</f>
        <v>[]</v>
      </c>
      <c r="X4716" s="6" t="str">
        <f>IFERROR(__xludf.DUMMYFUNCTION("""COMPUTED_VALUE"""),"Enrolled")</f>
        <v>Enrolled</v>
      </c>
    </row>
    <row r="4717">
      <c r="A4717" s="6" t="str">
        <f>IFERROR(__xludf.DUMMYFUNCTION("""COMPUTED_VALUE"""),"084-13079")</f>
        <v>084-13079</v>
      </c>
      <c r="B4717" s="6" t="str">
        <f>IFERROR(__xludf.DUMMYFUNCTION("""COMPUTED_VALUE"""),"84")</f>
        <v>84</v>
      </c>
      <c r="C4717" s="6" t="str">
        <f>IFERROR(__xludf.DUMMYFUNCTION("""COMPUTED_VALUE"""),"13079")</f>
        <v>13079</v>
      </c>
      <c r="D4717" s="6" t="str">
        <f>IFERROR(__xludf.DUMMYFUNCTION("""COMPUTED_VALUE"""),"Deadranique")</f>
        <v>Deadranique</v>
      </c>
      <c r="E4717" s="6" t="str">
        <f>IFERROR(__xludf.DUMMYFUNCTION("""COMPUTED_VALUE"""),"")</f>
        <v/>
      </c>
      <c r="F4717" s="6" t="str">
        <f>IFERROR(__xludf.DUMMYFUNCTION("""COMPUTED_VALUE"""),"Sands")</f>
        <v>Sands</v>
      </c>
      <c r="G4717" s="6" t="str">
        <f>IFERROR(__xludf.DUMMYFUNCTION("""COMPUTED_VALUE"""),"05/29/2013")</f>
        <v>05/29/2013</v>
      </c>
      <c r="H4717" s="6" t="str">
        <f>IFERROR(__xludf.DUMMYFUNCTION("""COMPUTED_VALUE"""),"female")</f>
        <v>female</v>
      </c>
      <c r="I4717" s="6" t="str">
        <f>IFERROR(__xludf.DUMMYFUNCTION("""COMPUTED_VALUE"""),"Middle School")</f>
        <v>Middle School</v>
      </c>
      <c r="J4717" s="6" t="str">
        <f>IFERROR(__xludf.DUMMYFUNCTION("""COMPUTED_VALUE"""),"7")</f>
        <v>7</v>
      </c>
      <c r="K4717" s="6" t="str">
        <f>IFERROR(__xludf.DUMMYFUNCTION("""COMPUTED_VALUE"""),"deadranique.sands@2hourlearning.com")</f>
        <v>deadranique.sands@2hourlearning.com</v>
      </c>
      <c r="L4717" s="6" t="str">
        <f>IFERROR(__xludf.DUMMYFUNCTION("""COMPUTED_VALUE"""),"JHMS - Hardeeville Junior Senior High School")</f>
        <v>JHMS - Hardeeville Junior Senior High School</v>
      </c>
      <c r="M4717" s="6" t="str">
        <f>IFERROR(__xludf.DUMMYFUNCTION("""COMPUTED_VALUE"""),"")</f>
        <v/>
      </c>
      <c r="N4717" s="6" t="str">
        <f>IFERROR(__xludf.DUMMYFUNCTION("""COMPUTED_VALUE"""),"")</f>
        <v/>
      </c>
      <c r="O4717" s="87" t="str">
        <f>IFERROR(__xludf.DUMMYFUNCTION("""COMPUTED_VALUE"""),"https://drive.google.com/drive/folders/10T2cTQHqEJZqE-st6uFKPoI?usp=share_link")</f>
        <v>https://drive.google.com/drive/folders/10T2cTQHqEJZqE-st6uFKPoI?usp=share_link</v>
      </c>
      <c r="P4717" s="6" t="str">
        <f>IFERROR(__xludf.DUMMYFUNCTION("""COMPUTED_VALUE"""),"Deadranique Sands")</f>
        <v>Deadranique Sands</v>
      </c>
      <c r="Q4717" s="6" t="str">
        <f>IFERROR(__xludf.DUMMYFUNCTION("""COMPUTED_VALUE"""),"MS")</f>
        <v>MS</v>
      </c>
      <c r="R4717" s="6">
        <f>IFERROR(__xludf.DUMMYFUNCTION("""COMPUTED_VALUE"""),0.0)</f>
        <v>0</v>
      </c>
      <c r="S4717" s="6" t="str">
        <f>IFERROR(__xludf.DUMMYFUNCTION("""COMPUTED_VALUE"""),"Kimberly Ball")</f>
        <v>Kimberly Ball</v>
      </c>
      <c r="T4717" s="6" t="str">
        <f>IFERROR(__xludf.DUMMYFUNCTION("""COMPUTED_VALUE"""),"kimberly.ball@studient.com")</f>
        <v>kimberly.ball@studient.com</v>
      </c>
      <c r="U4717" s="6" t="str">
        <f>IFERROR(__xludf.DUMMYFUNCTION("""COMPUTED_VALUE"""),"7")</f>
        <v>7</v>
      </c>
      <c r="V4717" s="6" t="str">
        <f>IFERROR(__xludf.DUMMYFUNCTION("""COMPUTED_VALUE"""),"")</f>
        <v/>
      </c>
      <c r="W4717" s="6" t="str">
        <f>IFERROR(__xludf.DUMMYFUNCTION("""COMPUTED_VALUE"""),"[]")</f>
        <v>[]</v>
      </c>
      <c r="X4717" s="6" t="str">
        <f>IFERROR(__xludf.DUMMYFUNCTION("""COMPUTED_VALUE"""),"Enrolled")</f>
        <v>Enrolled</v>
      </c>
    </row>
    <row r="4718">
      <c r="A4718" s="6" t="str">
        <f>IFERROR(__xludf.DUMMYFUNCTION("""COMPUTED_VALUE"""),"084-13080")</f>
        <v>084-13080</v>
      </c>
      <c r="B4718" s="6" t="str">
        <f>IFERROR(__xludf.DUMMYFUNCTION("""COMPUTED_VALUE"""),"84")</f>
        <v>84</v>
      </c>
      <c r="C4718" s="6" t="str">
        <f>IFERROR(__xludf.DUMMYFUNCTION("""COMPUTED_VALUE"""),"13080")</f>
        <v>13080</v>
      </c>
      <c r="D4718" s="6" t="str">
        <f>IFERROR(__xludf.DUMMYFUNCTION("""COMPUTED_VALUE"""),"Jolia")</f>
        <v>Jolia</v>
      </c>
      <c r="E4718" s="6" t="str">
        <f>IFERROR(__xludf.DUMMYFUNCTION("""COMPUTED_VALUE"""),"")</f>
        <v/>
      </c>
      <c r="F4718" s="6" t="str">
        <f>IFERROR(__xludf.DUMMYFUNCTION("""COMPUTED_VALUE"""),"Singleton")</f>
        <v>Singleton</v>
      </c>
      <c r="G4718" s="6" t="str">
        <f>IFERROR(__xludf.DUMMYFUNCTION("""COMPUTED_VALUE"""),"09/17/2012")</f>
        <v>09/17/2012</v>
      </c>
      <c r="H4718" s="6" t="str">
        <f>IFERROR(__xludf.DUMMYFUNCTION("""COMPUTED_VALUE"""),"male")</f>
        <v>male</v>
      </c>
      <c r="I4718" s="6" t="str">
        <f>IFERROR(__xludf.DUMMYFUNCTION("""COMPUTED_VALUE"""),"Middle School")</f>
        <v>Middle School</v>
      </c>
      <c r="J4718" s="6" t="str">
        <f>IFERROR(__xludf.DUMMYFUNCTION("""COMPUTED_VALUE"""),"7")</f>
        <v>7</v>
      </c>
      <c r="K4718" s="6" t="str">
        <f>IFERROR(__xludf.DUMMYFUNCTION("""COMPUTED_VALUE"""),"jolia.singleton@2hourlearning.com")</f>
        <v>jolia.singleton@2hourlearning.com</v>
      </c>
      <c r="L4718" s="6" t="str">
        <f>IFERROR(__xludf.DUMMYFUNCTION("""COMPUTED_VALUE"""),"JHMS - Hardeeville Junior Senior High School")</f>
        <v>JHMS - Hardeeville Junior Senior High School</v>
      </c>
      <c r="M4718" s="6" t="str">
        <f>IFERROR(__xludf.DUMMYFUNCTION("""COMPUTED_VALUE"""),"")</f>
        <v/>
      </c>
      <c r="N4718" s="6" t="str">
        <f>IFERROR(__xludf.DUMMYFUNCTION("""COMPUTED_VALUE"""),"")</f>
        <v/>
      </c>
      <c r="O4718" s="87" t="str">
        <f>IFERROR(__xludf.DUMMYFUNCTION("""COMPUTED_VALUE"""),"https://drive.google.com/drive/folders/10T2cTQHqEJZqE-st6uFKPoI?usp=share_link")</f>
        <v>https://drive.google.com/drive/folders/10T2cTQHqEJZqE-st6uFKPoI?usp=share_link</v>
      </c>
      <c r="P4718" s="6" t="str">
        <f>IFERROR(__xludf.DUMMYFUNCTION("""COMPUTED_VALUE"""),"Jolia Singleton")</f>
        <v>Jolia Singleton</v>
      </c>
      <c r="Q4718" s="6" t="str">
        <f>IFERROR(__xludf.DUMMYFUNCTION("""COMPUTED_VALUE"""),"MS")</f>
        <v>MS</v>
      </c>
      <c r="R4718" s="6">
        <f>IFERROR(__xludf.DUMMYFUNCTION("""COMPUTED_VALUE"""),0.0)</f>
        <v>0</v>
      </c>
      <c r="S4718" s="6" t="str">
        <f>IFERROR(__xludf.DUMMYFUNCTION("""COMPUTED_VALUE"""),"Kimberly Ball")</f>
        <v>Kimberly Ball</v>
      </c>
      <c r="T4718" s="6" t="str">
        <f>IFERROR(__xludf.DUMMYFUNCTION("""COMPUTED_VALUE"""),"kimberly.ball@studient.com")</f>
        <v>kimberly.ball@studient.com</v>
      </c>
      <c r="U4718" s="6" t="str">
        <f>IFERROR(__xludf.DUMMYFUNCTION("""COMPUTED_VALUE"""),"7")</f>
        <v>7</v>
      </c>
      <c r="V4718" s="6" t="str">
        <f>IFERROR(__xludf.DUMMYFUNCTION("""COMPUTED_VALUE"""),"")</f>
        <v/>
      </c>
      <c r="W4718" s="6" t="str">
        <f>IFERROR(__xludf.DUMMYFUNCTION("""COMPUTED_VALUE"""),"[]")</f>
        <v>[]</v>
      </c>
      <c r="X4718" s="6" t="str">
        <f>IFERROR(__xludf.DUMMYFUNCTION("""COMPUTED_VALUE"""),"Enrolled")</f>
        <v>Enrolled</v>
      </c>
    </row>
    <row r="4719">
      <c r="A4719" s="6" t="str">
        <f>IFERROR(__xludf.DUMMYFUNCTION("""COMPUTED_VALUE"""),"084-13081")</f>
        <v>084-13081</v>
      </c>
      <c r="B4719" s="6" t="str">
        <f>IFERROR(__xludf.DUMMYFUNCTION("""COMPUTED_VALUE"""),"84")</f>
        <v>84</v>
      </c>
      <c r="C4719" s="6" t="str">
        <f>IFERROR(__xludf.DUMMYFUNCTION("""COMPUTED_VALUE"""),"13081")</f>
        <v>13081</v>
      </c>
      <c r="D4719" s="6" t="str">
        <f>IFERROR(__xludf.DUMMYFUNCTION("""COMPUTED_VALUE"""),"Elias")</f>
        <v>Elias</v>
      </c>
      <c r="E4719" s="6" t="str">
        <f>IFERROR(__xludf.DUMMYFUNCTION("""COMPUTED_VALUE"""),"")</f>
        <v/>
      </c>
      <c r="F4719" s="6" t="str">
        <f>IFERROR(__xludf.DUMMYFUNCTION("""COMPUTED_VALUE"""),"Soriano-Hernandez")</f>
        <v>Soriano-Hernandez</v>
      </c>
      <c r="G4719" s="6" t="str">
        <f>IFERROR(__xludf.DUMMYFUNCTION("""COMPUTED_VALUE"""),"09/01/2013")</f>
        <v>09/01/2013</v>
      </c>
      <c r="H4719" s="6" t="str">
        <f>IFERROR(__xludf.DUMMYFUNCTION("""COMPUTED_VALUE"""),"female")</f>
        <v>female</v>
      </c>
      <c r="I4719" s="6" t="str">
        <f>IFERROR(__xludf.DUMMYFUNCTION("""COMPUTED_VALUE"""),"Middle School")</f>
        <v>Middle School</v>
      </c>
      <c r="J4719" s="6" t="str">
        <f>IFERROR(__xludf.DUMMYFUNCTION("""COMPUTED_VALUE"""),"7")</f>
        <v>7</v>
      </c>
      <c r="K4719" s="6" t="str">
        <f>IFERROR(__xludf.DUMMYFUNCTION("""COMPUTED_VALUE"""),"elias.soriano-hernandez@2hourlearning.com")</f>
        <v>elias.soriano-hernandez@2hourlearning.com</v>
      </c>
      <c r="L4719" s="6" t="str">
        <f>IFERROR(__xludf.DUMMYFUNCTION("""COMPUTED_VALUE"""),"JHMS - Hardeeville Junior Senior High School")</f>
        <v>JHMS - Hardeeville Junior Senior High School</v>
      </c>
      <c r="M4719" s="6" t="str">
        <f>IFERROR(__xludf.DUMMYFUNCTION("""COMPUTED_VALUE"""),"")</f>
        <v/>
      </c>
      <c r="N4719" s="6" t="str">
        <f>IFERROR(__xludf.DUMMYFUNCTION("""COMPUTED_VALUE"""),"")</f>
        <v/>
      </c>
      <c r="O4719" s="87" t="str">
        <f>IFERROR(__xludf.DUMMYFUNCTION("""COMPUTED_VALUE"""),"https://drive.google.com/drive/folders/10T2cTQHqEJZqE-st6uFKPoI?usp=share_link")</f>
        <v>https://drive.google.com/drive/folders/10T2cTQHqEJZqE-st6uFKPoI?usp=share_link</v>
      </c>
      <c r="P4719" s="6" t="str">
        <f>IFERROR(__xludf.DUMMYFUNCTION("""COMPUTED_VALUE"""),"Elias Soriano-Hernandez")</f>
        <v>Elias Soriano-Hernandez</v>
      </c>
      <c r="Q4719" s="6" t="str">
        <f>IFERROR(__xludf.DUMMYFUNCTION("""COMPUTED_VALUE"""),"MS")</f>
        <v>MS</v>
      </c>
      <c r="R4719" s="6">
        <f>IFERROR(__xludf.DUMMYFUNCTION("""COMPUTED_VALUE"""),0.0)</f>
        <v>0</v>
      </c>
      <c r="S4719" s="6" t="str">
        <f>IFERROR(__xludf.DUMMYFUNCTION("""COMPUTED_VALUE"""),"Kimberly Ball")</f>
        <v>Kimberly Ball</v>
      </c>
      <c r="T4719" s="6" t="str">
        <f>IFERROR(__xludf.DUMMYFUNCTION("""COMPUTED_VALUE"""),"kimberly.ball@studient.com")</f>
        <v>kimberly.ball@studient.com</v>
      </c>
      <c r="U4719" s="6" t="str">
        <f>IFERROR(__xludf.DUMMYFUNCTION("""COMPUTED_VALUE"""),"7")</f>
        <v>7</v>
      </c>
      <c r="V4719" s="6" t="str">
        <f>IFERROR(__xludf.DUMMYFUNCTION("""COMPUTED_VALUE"""),"")</f>
        <v/>
      </c>
      <c r="W4719" s="6" t="str">
        <f>IFERROR(__xludf.DUMMYFUNCTION("""COMPUTED_VALUE"""),"[]")</f>
        <v>[]</v>
      </c>
      <c r="X4719" s="6" t="str">
        <f>IFERROR(__xludf.DUMMYFUNCTION("""COMPUTED_VALUE"""),"Enrolled")</f>
        <v>Enrolled</v>
      </c>
    </row>
    <row r="4720">
      <c r="A4720" s="6" t="str">
        <f>IFERROR(__xludf.DUMMYFUNCTION("""COMPUTED_VALUE"""),"084-13082")</f>
        <v>084-13082</v>
      </c>
      <c r="B4720" s="6" t="str">
        <f>IFERROR(__xludf.DUMMYFUNCTION("""COMPUTED_VALUE"""),"84")</f>
        <v>84</v>
      </c>
      <c r="C4720" s="6" t="str">
        <f>IFERROR(__xludf.DUMMYFUNCTION("""COMPUTED_VALUE"""),"13082")</f>
        <v>13082</v>
      </c>
      <c r="D4720" s="6" t="str">
        <f>IFERROR(__xludf.DUMMYFUNCTION("""COMPUTED_VALUE"""),"Na'Taivea")</f>
        <v>Na'Taivea</v>
      </c>
      <c r="E4720" s="6" t="str">
        <f>IFERROR(__xludf.DUMMYFUNCTION("""COMPUTED_VALUE"""),"")</f>
        <v/>
      </c>
      <c r="F4720" s="6" t="str">
        <f>IFERROR(__xludf.DUMMYFUNCTION("""COMPUTED_VALUE"""),"Stevenson-Chisolm")</f>
        <v>Stevenson-Chisolm</v>
      </c>
      <c r="G4720" s="6" t="str">
        <f>IFERROR(__xludf.DUMMYFUNCTION("""COMPUTED_VALUE"""),"06/22/2013")</f>
        <v>06/22/2013</v>
      </c>
      <c r="H4720" s="6" t="str">
        <f>IFERROR(__xludf.DUMMYFUNCTION("""COMPUTED_VALUE"""),"female")</f>
        <v>female</v>
      </c>
      <c r="I4720" s="6" t="str">
        <f>IFERROR(__xludf.DUMMYFUNCTION("""COMPUTED_VALUE"""),"Middle School")</f>
        <v>Middle School</v>
      </c>
      <c r="J4720" s="6" t="str">
        <f>IFERROR(__xludf.DUMMYFUNCTION("""COMPUTED_VALUE"""),"7")</f>
        <v>7</v>
      </c>
      <c r="K4720" s="6" t="str">
        <f>IFERROR(__xludf.DUMMYFUNCTION("""COMPUTED_VALUE"""),"nataivea.stevenson-chisolm@2hourlearning.com")</f>
        <v>nataivea.stevenson-chisolm@2hourlearning.com</v>
      </c>
      <c r="L4720" s="6" t="str">
        <f>IFERROR(__xludf.DUMMYFUNCTION("""COMPUTED_VALUE"""),"JHMS - Hardeeville Junior Senior High School")</f>
        <v>JHMS - Hardeeville Junior Senior High School</v>
      </c>
      <c r="M4720" s="6" t="str">
        <f>IFERROR(__xludf.DUMMYFUNCTION("""COMPUTED_VALUE"""),"")</f>
        <v/>
      </c>
      <c r="N4720" s="6" t="str">
        <f>IFERROR(__xludf.DUMMYFUNCTION("""COMPUTED_VALUE"""),"")</f>
        <v/>
      </c>
      <c r="O4720" s="87" t="str">
        <f>IFERROR(__xludf.DUMMYFUNCTION("""COMPUTED_VALUE"""),"https://drive.google.com/drive/folders/10T2cTQHqEJZqE-st6uFKPoI?usp=share_link")</f>
        <v>https://drive.google.com/drive/folders/10T2cTQHqEJZqE-st6uFKPoI?usp=share_link</v>
      </c>
      <c r="P4720" s="6" t="str">
        <f>IFERROR(__xludf.DUMMYFUNCTION("""COMPUTED_VALUE"""),"Na'Taivea Stevenson-Chisolm")</f>
        <v>Na'Taivea Stevenson-Chisolm</v>
      </c>
      <c r="Q4720" s="6" t="str">
        <f>IFERROR(__xludf.DUMMYFUNCTION("""COMPUTED_VALUE"""),"MS")</f>
        <v>MS</v>
      </c>
      <c r="R4720" s="6">
        <f>IFERROR(__xludf.DUMMYFUNCTION("""COMPUTED_VALUE"""),0.0)</f>
        <v>0</v>
      </c>
      <c r="S4720" s="6" t="str">
        <f>IFERROR(__xludf.DUMMYFUNCTION("""COMPUTED_VALUE"""),"Kimberly Ball")</f>
        <v>Kimberly Ball</v>
      </c>
      <c r="T4720" s="6" t="str">
        <f>IFERROR(__xludf.DUMMYFUNCTION("""COMPUTED_VALUE"""),"kimberly.ball@studient.com")</f>
        <v>kimberly.ball@studient.com</v>
      </c>
      <c r="U4720" s="6" t="str">
        <f>IFERROR(__xludf.DUMMYFUNCTION("""COMPUTED_VALUE"""),"7")</f>
        <v>7</v>
      </c>
      <c r="V4720" s="6" t="str">
        <f>IFERROR(__xludf.DUMMYFUNCTION("""COMPUTED_VALUE"""),"")</f>
        <v/>
      </c>
      <c r="W4720" s="6" t="str">
        <f>IFERROR(__xludf.DUMMYFUNCTION("""COMPUTED_VALUE"""),"[]")</f>
        <v>[]</v>
      </c>
      <c r="X4720" s="6" t="str">
        <f>IFERROR(__xludf.DUMMYFUNCTION("""COMPUTED_VALUE"""),"Enrolled")</f>
        <v>Enrolled</v>
      </c>
    </row>
    <row r="4721">
      <c r="A4721" s="6" t="str">
        <f>IFERROR(__xludf.DUMMYFUNCTION("""COMPUTED_VALUE"""),"084-13083")</f>
        <v>084-13083</v>
      </c>
      <c r="B4721" s="6" t="str">
        <f>IFERROR(__xludf.DUMMYFUNCTION("""COMPUTED_VALUE"""),"84")</f>
        <v>84</v>
      </c>
      <c r="C4721" s="6" t="str">
        <f>IFERROR(__xludf.DUMMYFUNCTION("""COMPUTED_VALUE"""),"13083")</f>
        <v>13083</v>
      </c>
      <c r="D4721" s="6" t="str">
        <f>IFERROR(__xludf.DUMMYFUNCTION("""COMPUTED_VALUE"""),"Cristobal")</f>
        <v>Cristobal</v>
      </c>
      <c r="E4721" s="6" t="str">
        <f>IFERROR(__xludf.DUMMYFUNCTION("""COMPUTED_VALUE"""),"")</f>
        <v/>
      </c>
      <c r="F4721" s="6" t="str">
        <f>IFERROR(__xludf.DUMMYFUNCTION("""COMPUTED_VALUE"""),"Suastegui Miranda")</f>
        <v>Suastegui Miranda</v>
      </c>
      <c r="G4721" s="6" t="str">
        <f>IFERROR(__xludf.DUMMYFUNCTION("""COMPUTED_VALUE"""),"05/16/2013")</f>
        <v>05/16/2013</v>
      </c>
      <c r="H4721" s="6" t="str">
        <f>IFERROR(__xludf.DUMMYFUNCTION("""COMPUTED_VALUE"""),"male")</f>
        <v>male</v>
      </c>
      <c r="I4721" s="6" t="str">
        <f>IFERROR(__xludf.DUMMYFUNCTION("""COMPUTED_VALUE"""),"Middle School")</f>
        <v>Middle School</v>
      </c>
      <c r="J4721" s="6" t="str">
        <f>IFERROR(__xludf.DUMMYFUNCTION("""COMPUTED_VALUE"""),"7")</f>
        <v>7</v>
      </c>
      <c r="K4721" s="6" t="str">
        <f>IFERROR(__xludf.DUMMYFUNCTION("""COMPUTED_VALUE"""),"cristobal.suasteguimiranda@2hourlearning.com")</f>
        <v>cristobal.suasteguimiranda@2hourlearning.com</v>
      </c>
      <c r="L4721" s="6" t="str">
        <f>IFERROR(__xludf.DUMMYFUNCTION("""COMPUTED_VALUE"""),"JHMS - Hardeeville Junior Senior High School")</f>
        <v>JHMS - Hardeeville Junior Senior High School</v>
      </c>
      <c r="M4721" s="6" t="str">
        <f>IFERROR(__xludf.DUMMYFUNCTION("""COMPUTED_VALUE"""),"")</f>
        <v/>
      </c>
      <c r="N4721" s="6" t="str">
        <f>IFERROR(__xludf.DUMMYFUNCTION("""COMPUTED_VALUE"""),"")</f>
        <v/>
      </c>
      <c r="O4721" s="87" t="str">
        <f>IFERROR(__xludf.DUMMYFUNCTION("""COMPUTED_VALUE"""),"https://drive.google.com/drive/folders/10T2cTQHqEJZqE-st6uFKPoI?usp=share_link")</f>
        <v>https://drive.google.com/drive/folders/10T2cTQHqEJZqE-st6uFKPoI?usp=share_link</v>
      </c>
      <c r="P4721" s="6" t="str">
        <f>IFERROR(__xludf.DUMMYFUNCTION("""COMPUTED_VALUE"""),"Cristobal Suastegui Miranda")</f>
        <v>Cristobal Suastegui Miranda</v>
      </c>
      <c r="Q4721" s="6" t="str">
        <f>IFERROR(__xludf.DUMMYFUNCTION("""COMPUTED_VALUE"""),"MS")</f>
        <v>MS</v>
      </c>
      <c r="R4721" s="6">
        <f>IFERROR(__xludf.DUMMYFUNCTION("""COMPUTED_VALUE"""),0.0)</f>
        <v>0</v>
      </c>
      <c r="S4721" s="6" t="str">
        <f>IFERROR(__xludf.DUMMYFUNCTION("""COMPUTED_VALUE"""),"Kimberly Ball")</f>
        <v>Kimberly Ball</v>
      </c>
      <c r="T4721" s="6" t="str">
        <f>IFERROR(__xludf.DUMMYFUNCTION("""COMPUTED_VALUE"""),"kimberly.ball@studient.com")</f>
        <v>kimberly.ball@studient.com</v>
      </c>
      <c r="U4721" s="6" t="str">
        <f>IFERROR(__xludf.DUMMYFUNCTION("""COMPUTED_VALUE"""),"7")</f>
        <v>7</v>
      </c>
      <c r="V4721" s="6" t="str">
        <f>IFERROR(__xludf.DUMMYFUNCTION("""COMPUTED_VALUE"""),"")</f>
        <v/>
      </c>
      <c r="W4721" s="6" t="str">
        <f>IFERROR(__xludf.DUMMYFUNCTION("""COMPUTED_VALUE"""),"[]")</f>
        <v>[]</v>
      </c>
      <c r="X4721" s="6" t="str">
        <f>IFERROR(__xludf.DUMMYFUNCTION("""COMPUTED_VALUE"""),"Enrolled")</f>
        <v>Enrolled</v>
      </c>
    </row>
    <row r="4722">
      <c r="A4722" s="6" t="str">
        <f>IFERROR(__xludf.DUMMYFUNCTION("""COMPUTED_VALUE"""),"084-13084")</f>
        <v>084-13084</v>
      </c>
      <c r="B4722" s="6" t="str">
        <f>IFERROR(__xludf.DUMMYFUNCTION("""COMPUTED_VALUE"""),"84")</f>
        <v>84</v>
      </c>
      <c r="C4722" s="6" t="str">
        <f>IFERROR(__xludf.DUMMYFUNCTION("""COMPUTED_VALUE"""),"13084")</f>
        <v>13084</v>
      </c>
      <c r="D4722" s="6" t="str">
        <f>IFERROR(__xludf.DUMMYFUNCTION("""COMPUTED_VALUE"""),"Hellen")</f>
        <v>Hellen</v>
      </c>
      <c r="E4722" s="6" t="str">
        <f>IFERROR(__xludf.DUMMYFUNCTION("""COMPUTED_VALUE"""),"")</f>
        <v/>
      </c>
      <c r="F4722" s="6" t="str">
        <f>IFERROR(__xludf.DUMMYFUNCTION("""COMPUTED_VALUE"""),"Suastegui-Saguilan")</f>
        <v>Suastegui-Saguilan</v>
      </c>
      <c r="G4722" s="6" t="str">
        <f>IFERROR(__xludf.DUMMYFUNCTION("""COMPUTED_VALUE"""),"09/07/2012")</f>
        <v>09/07/2012</v>
      </c>
      <c r="H4722" s="6" t="str">
        <f>IFERROR(__xludf.DUMMYFUNCTION("""COMPUTED_VALUE"""),"male")</f>
        <v>male</v>
      </c>
      <c r="I4722" s="6" t="str">
        <f>IFERROR(__xludf.DUMMYFUNCTION("""COMPUTED_VALUE"""),"Middle School")</f>
        <v>Middle School</v>
      </c>
      <c r="J4722" s="6" t="str">
        <f>IFERROR(__xludf.DUMMYFUNCTION("""COMPUTED_VALUE"""),"7")</f>
        <v>7</v>
      </c>
      <c r="K4722" s="6" t="str">
        <f>IFERROR(__xludf.DUMMYFUNCTION("""COMPUTED_VALUE"""),"hellen.suastegui-saguilan@2hourlearning.com")</f>
        <v>hellen.suastegui-saguilan@2hourlearning.com</v>
      </c>
      <c r="L4722" s="6" t="str">
        <f>IFERROR(__xludf.DUMMYFUNCTION("""COMPUTED_VALUE"""),"JHMS - Hardeeville Junior Senior High School")</f>
        <v>JHMS - Hardeeville Junior Senior High School</v>
      </c>
      <c r="M4722" s="6" t="str">
        <f>IFERROR(__xludf.DUMMYFUNCTION("""COMPUTED_VALUE"""),"")</f>
        <v/>
      </c>
      <c r="N4722" s="6" t="str">
        <f>IFERROR(__xludf.DUMMYFUNCTION("""COMPUTED_VALUE"""),"")</f>
        <v/>
      </c>
      <c r="O4722" s="87" t="str">
        <f>IFERROR(__xludf.DUMMYFUNCTION("""COMPUTED_VALUE"""),"https://drive.google.com/drive/folders/10T2cTQHqEJZqE-st6uFKPoI?usp=share_link")</f>
        <v>https://drive.google.com/drive/folders/10T2cTQHqEJZqE-st6uFKPoI?usp=share_link</v>
      </c>
      <c r="P4722" s="6" t="str">
        <f>IFERROR(__xludf.DUMMYFUNCTION("""COMPUTED_VALUE"""),"Hellen Suastegui-Saguilan")</f>
        <v>Hellen Suastegui-Saguilan</v>
      </c>
      <c r="Q4722" s="6" t="str">
        <f>IFERROR(__xludf.DUMMYFUNCTION("""COMPUTED_VALUE"""),"MS")</f>
        <v>MS</v>
      </c>
      <c r="R4722" s="6">
        <f>IFERROR(__xludf.DUMMYFUNCTION("""COMPUTED_VALUE"""),0.0)</f>
        <v>0</v>
      </c>
      <c r="S4722" s="6" t="str">
        <f>IFERROR(__xludf.DUMMYFUNCTION("""COMPUTED_VALUE"""),"Kimberly Ball")</f>
        <v>Kimberly Ball</v>
      </c>
      <c r="T4722" s="6" t="str">
        <f>IFERROR(__xludf.DUMMYFUNCTION("""COMPUTED_VALUE"""),"kimberly.ball@studient.com")</f>
        <v>kimberly.ball@studient.com</v>
      </c>
      <c r="U4722" s="6" t="str">
        <f>IFERROR(__xludf.DUMMYFUNCTION("""COMPUTED_VALUE"""),"7")</f>
        <v>7</v>
      </c>
      <c r="V4722" s="6" t="str">
        <f>IFERROR(__xludf.DUMMYFUNCTION("""COMPUTED_VALUE"""),"")</f>
        <v/>
      </c>
      <c r="W4722" s="6" t="str">
        <f>IFERROR(__xludf.DUMMYFUNCTION("""COMPUTED_VALUE"""),"[]")</f>
        <v>[]</v>
      </c>
      <c r="X4722" s="6" t="str">
        <f>IFERROR(__xludf.DUMMYFUNCTION("""COMPUTED_VALUE"""),"Enrolled")</f>
        <v>Enrolled</v>
      </c>
    </row>
    <row r="4723">
      <c r="A4723" s="6" t="str">
        <f>IFERROR(__xludf.DUMMYFUNCTION("""COMPUTED_VALUE"""),"084-13085")</f>
        <v>084-13085</v>
      </c>
      <c r="B4723" s="6" t="str">
        <f>IFERROR(__xludf.DUMMYFUNCTION("""COMPUTED_VALUE"""),"84")</f>
        <v>84</v>
      </c>
      <c r="C4723" s="6" t="str">
        <f>IFERROR(__xludf.DUMMYFUNCTION("""COMPUTED_VALUE"""),"13085")</f>
        <v>13085</v>
      </c>
      <c r="D4723" s="6" t="str">
        <f>IFERROR(__xludf.DUMMYFUNCTION("""COMPUTED_VALUE"""),"Valeria")</f>
        <v>Valeria</v>
      </c>
      <c r="E4723" s="6" t="str">
        <f>IFERROR(__xludf.DUMMYFUNCTION("""COMPUTED_VALUE"""),"")</f>
        <v/>
      </c>
      <c r="F4723" s="6" t="str">
        <f>IFERROR(__xludf.DUMMYFUNCTION("""COMPUTED_VALUE"""),"Tinoco Miranda")</f>
        <v>Tinoco Miranda</v>
      </c>
      <c r="G4723" s="6" t="str">
        <f>IFERROR(__xludf.DUMMYFUNCTION("""COMPUTED_VALUE"""),"11/10/2012")</f>
        <v>11/10/2012</v>
      </c>
      <c r="H4723" s="6" t="str">
        <f>IFERROR(__xludf.DUMMYFUNCTION("""COMPUTED_VALUE"""),"female")</f>
        <v>female</v>
      </c>
      <c r="I4723" s="6" t="str">
        <f>IFERROR(__xludf.DUMMYFUNCTION("""COMPUTED_VALUE"""),"Middle School")</f>
        <v>Middle School</v>
      </c>
      <c r="J4723" s="6" t="str">
        <f>IFERROR(__xludf.DUMMYFUNCTION("""COMPUTED_VALUE"""),"7")</f>
        <v>7</v>
      </c>
      <c r="K4723" s="6" t="str">
        <f>IFERROR(__xludf.DUMMYFUNCTION("""COMPUTED_VALUE"""),"valeria.tinocomiranda@2hourlearning.com")</f>
        <v>valeria.tinocomiranda@2hourlearning.com</v>
      </c>
      <c r="L4723" s="6" t="str">
        <f>IFERROR(__xludf.DUMMYFUNCTION("""COMPUTED_VALUE"""),"JHMS - Hardeeville Junior Senior High School")</f>
        <v>JHMS - Hardeeville Junior Senior High School</v>
      </c>
      <c r="M4723" s="6" t="str">
        <f>IFERROR(__xludf.DUMMYFUNCTION("""COMPUTED_VALUE"""),"")</f>
        <v/>
      </c>
      <c r="N4723" s="6" t="str">
        <f>IFERROR(__xludf.DUMMYFUNCTION("""COMPUTED_VALUE"""),"")</f>
        <v/>
      </c>
      <c r="O4723" s="87" t="str">
        <f>IFERROR(__xludf.DUMMYFUNCTION("""COMPUTED_VALUE"""),"https://drive.google.com/drive/folders/10T2cTQHqEJZqE-st6uFKPoI?usp=share_link")</f>
        <v>https://drive.google.com/drive/folders/10T2cTQHqEJZqE-st6uFKPoI?usp=share_link</v>
      </c>
      <c r="P4723" s="6" t="str">
        <f>IFERROR(__xludf.DUMMYFUNCTION("""COMPUTED_VALUE"""),"Valeria Tinoco Miranda")</f>
        <v>Valeria Tinoco Miranda</v>
      </c>
      <c r="Q4723" s="6" t="str">
        <f>IFERROR(__xludf.DUMMYFUNCTION("""COMPUTED_VALUE"""),"MS")</f>
        <v>MS</v>
      </c>
      <c r="R4723" s="6">
        <f>IFERROR(__xludf.DUMMYFUNCTION("""COMPUTED_VALUE"""),0.0)</f>
        <v>0</v>
      </c>
      <c r="S4723" s="6" t="str">
        <f>IFERROR(__xludf.DUMMYFUNCTION("""COMPUTED_VALUE"""),"Kimberly Ball")</f>
        <v>Kimberly Ball</v>
      </c>
      <c r="T4723" s="6" t="str">
        <f>IFERROR(__xludf.DUMMYFUNCTION("""COMPUTED_VALUE"""),"kimberly.ball@studient.com")</f>
        <v>kimberly.ball@studient.com</v>
      </c>
      <c r="U4723" s="6" t="str">
        <f>IFERROR(__xludf.DUMMYFUNCTION("""COMPUTED_VALUE"""),"7")</f>
        <v>7</v>
      </c>
      <c r="V4723" s="6" t="str">
        <f>IFERROR(__xludf.DUMMYFUNCTION("""COMPUTED_VALUE"""),"")</f>
        <v/>
      </c>
      <c r="W4723" s="6" t="str">
        <f>IFERROR(__xludf.DUMMYFUNCTION("""COMPUTED_VALUE"""),"[]")</f>
        <v>[]</v>
      </c>
      <c r="X4723" s="6" t="str">
        <f>IFERROR(__xludf.DUMMYFUNCTION("""COMPUTED_VALUE"""),"Enrolled")</f>
        <v>Enrolled</v>
      </c>
    </row>
    <row r="4724">
      <c r="A4724" s="6" t="str">
        <f>IFERROR(__xludf.DUMMYFUNCTION("""COMPUTED_VALUE"""),"084-13086")</f>
        <v>084-13086</v>
      </c>
      <c r="B4724" s="6" t="str">
        <f>IFERROR(__xludf.DUMMYFUNCTION("""COMPUTED_VALUE"""),"84")</f>
        <v>84</v>
      </c>
      <c r="C4724" s="6" t="str">
        <f>IFERROR(__xludf.DUMMYFUNCTION("""COMPUTED_VALUE"""),"13086")</f>
        <v>13086</v>
      </c>
      <c r="D4724" s="6" t="str">
        <f>IFERROR(__xludf.DUMMYFUNCTION("""COMPUTED_VALUE"""),"Iker")</f>
        <v>Iker</v>
      </c>
      <c r="E4724" s="6" t="str">
        <f>IFERROR(__xludf.DUMMYFUNCTION("""COMPUTED_VALUE"""),"")</f>
        <v/>
      </c>
      <c r="F4724" s="6" t="str">
        <f>IFERROR(__xludf.DUMMYFUNCTION("""COMPUTED_VALUE"""),"Tinoco-Sanchez")</f>
        <v>Tinoco-Sanchez</v>
      </c>
      <c r="G4724" s="6" t="str">
        <f>IFERROR(__xludf.DUMMYFUNCTION("""COMPUTED_VALUE"""),"08/02/2013")</f>
        <v>08/02/2013</v>
      </c>
      <c r="H4724" s="6" t="str">
        <f>IFERROR(__xludf.DUMMYFUNCTION("""COMPUTED_VALUE"""),"male")</f>
        <v>male</v>
      </c>
      <c r="I4724" s="6" t="str">
        <f>IFERROR(__xludf.DUMMYFUNCTION("""COMPUTED_VALUE"""),"Middle School")</f>
        <v>Middle School</v>
      </c>
      <c r="J4724" s="6" t="str">
        <f>IFERROR(__xludf.DUMMYFUNCTION("""COMPUTED_VALUE"""),"7")</f>
        <v>7</v>
      </c>
      <c r="K4724" s="6" t="str">
        <f>IFERROR(__xludf.DUMMYFUNCTION("""COMPUTED_VALUE"""),"iker.tinoco-sanchez@2hourlearning.com")</f>
        <v>iker.tinoco-sanchez@2hourlearning.com</v>
      </c>
      <c r="L4724" s="6" t="str">
        <f>IFERROR(__xludf.DUMMYFUNCTION("""COMPUTED_VALUE"""),"JHMS - Hardeeville Junior Senior High School")</f>
        <v>JHMS - Hardeeville Junior Senior High School</v>
      </c>
      <c r="M4724" s="6" t="str">
        <f>IFERROR(__xludf.DUMMYFUNCTION("""COMPUTED_VALUE"""),"")</f>
        <v/>
      </c>
      <c r="N4724" s="6" t="str">
        <f>IFERROR(__xludf.DUMMYFUNCTION("""COMPUTED_VALUE"""),"")</f>
        <v/>
      </c>
      <c r="O4724" s="87" t="str">
        <f>IFERROR(__xludf.DUMMYFUNCTION("""COMPUTED_VALUE"""),"https://drive.google.com/drive/folders/10T2cTQHqEJZqE-st6uFKPoI?usp=share_link")</f>
        <v>https://drive.google.com/drive/folders/10T2cTQHqEJZqE-st6uFKPoI?usp=share_link</v>
      </c>
      <c r="P4724" s="6" t="str">
        <f>IFERROR(__xludf.DUMMYFUNCTION("""COMPUTED_VALUE"""),"Iker Tinoco-Sanchez")</f>
        <v>Iker Tinoco-Sanchez</v>
      </c>
      <c r="Q4724" s="6" t="str">
        <f>IFERROR(__xludf.DUMMYFUNCTION("""COMPUTED_VALUE"""),"MS")</f>
        <v>MS</v>
      </c>
      <c r="R4724" s="6">
        <f>IFERROR(__xludf.DUMMYFUNCTION("""COMPUTED_VALUE"""),0.0)</f>
        <v>0</v>
      </c>
      <c r="S4724" s="6" t="str">
        <f>IFERROR(__xludf.DUMMYFUNCTION("""COMPUTED_VALUE"""),"Kimberly Ball")</f>
        <v>Kimberly Ball</v>
      </c>
      <c r="T4724" s="6" t="str">
        <f>IFERROR(__xludf.DUMMYFUNCTION("""COMPUTED_VALUE"""),"kimberly.ball@studient.com")</f>
        <v>kimberly.ball@studient.com</v>
      </c>
      <c r="U4724" s="6" t="str">
        <f>IFERROR(__xludf.DUMMYFUNCTION("""COMPUTED_VALUE"""),"7")</f>
        <v>7</v>
      </c>
      <c r="V4724" s="6" t="str">
        <f>IFERROR(__xludf.DUMMYFUNCTION("""COMPUTED_VALUE"""),"")</f>
        <v/>
      </c>
      <c r="W4724" s="6" t="str">
        <f>IFERROR(__xludf.DUMMYFUNCTION("""COMPUTED_VALUE"""),"[]")</f>
        <v>[]</v>
      </c>
      <c r="X4724" s="6" t="str">
        <f>IFERROR(__xludf.DUMMYFUNCTION("""COMPUTED_VALUE"""),"Enrolled")</f>
        <v>Enrolled</v>
      </c>
    </row>
    <row r="4725">
      <c r="A4725" s="6" t="str">
        <f>IFERROR(__xludf.DUMMYFUNCTION("""COMPUTED_VALUE"""),"084-13087")</f>
        <v>084-13087</v>
      </c>
      <c r="B4725" s="6" t="str">
        <f>IFERROR(__xludf.DUMMYFUNCTION("""COMPUTED_VALUE"""),"84")</f>
        <v>84</v>
      </c>
      <c r="C4725" s="6" t="str">
        <f>IFERROR(__xludf.DUMMYFUNCTION("""COMPUTED_VALUE"""),"13087")</f>
        <v>13087</v>
      </c>
      <c r="D4725" s="6" t="str">
        <f>IFERROR(__xludf.DUMMYFUNCTION("""COMPUTED_VALUE"""),"Wesley A")</f>
        <v>Wesley A</v>
      </c>
      <c r="E4725" s="6" t="str">
        <f>IFERROR(__xludf.DUMMYFUNCTION("""COMPUTED_VALUE"""),"")</f>
        <v/>
      </c>
      <c r="F4725" s="6" t="str">
        <f>IFERROR(__xludf.DUMMYFUNCTION("""COMPUTED_VALUE"""),"Tojil Roblero")</f>
        <v>Tojil Roblero</v>
      </c>
      <c r="G4725" s="6" t="str">
        <f>IFERROR(__xludf.DUMMYFUNCTION("""COMPUTED_VALUE"""),"03/01/2013")</f>
        <v>03/01/2013</v>
      </c>
      <c r="H4725" s="6" t="str">
        <f>IFERROR(__xludf.DUMMYFUNCTION("""COMPUTED_VALUE"""),"male")</f>
        <v>male</v>
      </c>
      <c r="I4725" s="6" t="str">
        <f>IFERROR(__xludf.DUMMYFUNCTION("""COMPUTED_VALUE"""),"Middle School")</f>
        <v>Middle School</v>
      </c>
      <c r="J4725" s="6" t="str">
        <f>IFERROR(__xludf.DUMMYFUNCTION("""COMPUTED_VALUE"""),"7")</f>
        <v>7</v>
      </c>
      <c r="K4725" s="6" t="str">
        <f>IFERROR(__xludf.DUMMYFUNCTION("""COMPUTED_VALUE"""),"wesleya.tojilroblero@2hourlearning.com")</f>
        <v>wesleya.tojilroblero@2hourlearning.com</v>
      </c>
      <c r="L4725" s="6" t="str">
        <f>IFERROR(__xludf.DUMMYFUNCTION("""COMPUTED_VALUE"""),"JHMS - Hardeeville Junior Senior High School")</f>
        <v>JHMS - Hardeeville Junior Senior High School</v>
      </c>
      <c r="M4725" s="6" t="str">
        <f>IFERROR(__xludf.DUMMYFUNCTION("""COMPUTED_VALUE"""),"")</f>
        <v/>
      </c>
      <c r="N4725" s="6" t="str">
        <f>IFERROR(__xludf.DUMMYFUNCTION("""COMPUTED_VALUE"""),"")</f>
        <v/>
      </c>
      <c r="O4725" s="87" t="str">
        <f>IFERROR(__xludf.DUMMYFUNCTION("""COMPUTED_VALUE"""),"https://drive.google.com/drive/folders/10T2cTQHqEJZqE-st6uFKPoI?usp=share_link")</f>
        <v>https://drive.google.com/drive/folders/10T2cTQHqEJZqE-st6uFKPoI?usp=share_link</v>
      </c>
      <c r="P4725" s="6" t="str">
        <f>IFERROR(__xludf.DUMMYFUNCTION("""COMPUTED_VALUE"""),"Wesley A Tojil Roblero")</f>
        <v>Wesley A Tojil Roblero</v>
      </c>
      <c r="Q4725" s="6" t="str">
        <f>IFERROR(__xludf.DUMMYFUNCTION("""COMPUTED_VALUE"""),"MS")</f>
        <v>MS</v>
      </c>
      <c r="R4725" s="6">
        <f>IFERROR(__xludf.DUMMYFUNCTION("""COMPUTED_VALUE"""),0.0)</f>
        <v>0</v>
      </c>
      <c r="S4725" s="6" t="str">
        <f>IFERROR(__xludf.DUMMYFUNCTION("""COMPUTED_VALUE"""),"Kimberly Ball")</f>
        <v>Kimberly Ball</v>
      </c>
      <c r="T4725" s="6" t="str">
        <f>IFERROR(__xludf.DUMMYFUNCTION("""COMPUTED_VALUE"""),"kimberly.ball@studient.com")</f>
        <v>kimberly.ball@studient.com</v>
      </c>
      <c r="U4725" s="6" t="str">
        <f>IFERROR(__xludf.DUMMYFUNCTION("""COMPUTED_VALUE"""),"7")</f>
        <v>7</v>
      </c>
      <c r="V4725" s="6" t="str">
        <f>IFERROR(__xludf.DUMMYFUNCTION("""COMPUTED_VALUE"""),"")</f>
        <v/>
      </c>
      <c r="W4725" s="6" t="str">
        <f>IFERROR(__xludf.DUMMYFUNCTION("""COMPUTED_VALUE"""),"[]")</f>
        <v>[]</v>
      </c>
      <c r="X4725" s="6" t="str">
        <f>IFERROR(__xludf.DUMMYFUNCTION("""COMPUTED_VALUE"""),"Enrolled")</f>
        <v>Enrolled</v>
      </c>
    </row>
    <row r="4726">
      <c r="A4726" s="6" t="str">
        <f>IFERROR(__xludf.DUMMYFUNCTION("""COMPUTED_VALUE"""),"084-13088")</f>
        <v>084-13088</v>
      </c>
      <c r="B4726" s="6" t="str">
        <f>IFERROR(__xludf.DUMMYFUNCTION("""COMPUTED_VALUE"""),"84")</f>
        <v>84</v>
      </c>
      <c r="C4726" s="6" t="str">
        <f>IFERROR(__xludf.DUMMYFUNCTION("""COMPUTED_VALUE"""),"13088")</f>
        <v>13088</v>
      </c>
      <c r="D4726" s="6" t="str">
        <f>IFERROR(__xludf.DUMMYFUNCTION("""COMPUTED_VALUE"""),"Artiyanna")</f>
        <v>Artiyanna</v>
      </c>
      <c r="E4726" s="6" t="str">
        <f>IFERROR(__xludf.DUMMYFUNCTION("""COMPUTED_VALUE"""),"")</f>
        <v/>
      </c>
      <c r="F4726" s="6" t="str">
        <f>IFERROR(__xludf.DUMMYFUNCTION("""COMPUTED_VALUE"""),"Townsend")</f>
        <v>Townsend</v>
      </c>
      <c r="G4726" s="6" t="str">
        <f>IFERROR(__xludf.DUMMYFUNCTION("""COMPUTED_VALUE"""),"10/01/2012")</f>
        <v>10/01/2012</v>
      </c>
      <c r="H4726" s="6" t="str">
        <f>IFERROR(__xludf.DUMMYFUNCTION("""COMPUTED_VALUE"""),"male")</f>
        <v>male</v>
      </c>
      <c r="I4726" s="6" t="str">
        <f>IFERROR(__xludf.DUMMYFUNCTION("""COMPUTED_VALUE"""),"Middle School")</f>
        <v>Middle School</v>
      </c>
      <c r="J4726" s="6" t="str">
        <f>IFERROR(__xludf.DUMMYFUNCTION("""COMPUTED_VALUE"""),"7")</f>
        <v>7</v>
      </c>
      <c r="K4726" s="6" t="str">
        <f>IFERROR(__xludf.DUMMYFUNCTION("""COMPUTED_VALUE"""),"artiyanna.townsend@2hourlearning.com")</f>
        <v>artiyanna.townsend@2hourlearning.com</v>
      </c>
      <c r="L4726" s="6" t="str">
        <f>IFERROR(__xludf.DUMMYFUNCTION("""COMPUTED_VALUE"""),"JHMS - Hardeeville Junior Senior High School")</f>
        <v>JHMS - Hardeeville Junior Senior High School</v>
      </c>
      <c r="M4726" s="6" t="str">
        <f>IFERROR(__xludf.DUMMYFUNCTION("""COMPUTED_VALUE"""),"")</f>
        <v/>
      </c>
      <c r="N4726" s="6" t="str">
        <f>IFERROR(__xludf.DUMMYFUNCTION("""COMPUTED_VALUE"""),"")</f>
        <v/>
      </c>
      <c r="O4726" s="87" t="str">
        <f>IFERROR(__xludf.DUMMYFUNCTION("""COMPUTED_VALUE"""),"https://drive.google.com/drive/folders/10T2cTQHqEJZqE-st6uFKPoI?usp=share_link")</f>
        <v>https://drive.google.com/drive/folders/10T2cTQHqEJZqE-st6uFKPoI?usp=share_link</v>
      </c>
      <c r="P4726" s="6" t="str">
        <f>IFERROR(__xludf.DUMMYFUNCTION("""COMPUTED_VALUE"""),"Artiyanna Townsend")</f>
        <v>Artiyanna Townsend</v>
      </c>
      <c r="Q4726" s="6" t="str">
        <f>IFERROR(__xludf.DUMMYFUNCTION("""COMPUTED_VALUE"""),"MS")</f>
        <v>MS</v>
      </c>
      <c r="R4726" s="6">
        <f>IFERROR(__xludf.DUMMYFUNCTION("""COMPUTED_VALUE"""),0.0)</f>
        <v>0</v>
      </c>
      <c r="S4726" s="6" t="str">
        <f>IFERROR(__xludf.DUMMYFUNCTION("""COMPUTED_VALUE"""),"Kimberly Ball")</f>
        <v>Kimberly Ball</v>
      </c>
      <c r="T4726" s="6" t="str">
        <f>IFERROR(__xludf.DUMMYFUNCTION("""COMPUTED_VALUE"""),"kimberly.ball@studient.com")</f>
        <v>kimberly.ball@studient.com</v>
      </c>
      <c r="U4726" s="6" t="str">
        <f>IFERROR(__xludf.DUMMYFUNCTION("""COMPUTED_VALUE"""),"7")</f>
        <v>7</v>
      </c>
      <c r="V4726" s="6" t="str">
        <f>IFERROR(__xludf.DUMMYFUNCTION("""COMPUTED_VALUE"""),"")</f>
        <v/>
      </c>
      <c r="W4726" s="6" t="str">
        <f>IFERROR(__xludf.DUMMYFUNCTION("""COMPUTED_VALUE"""),"[]")</f>
        <v>[]</v>
      </c>
      <c r="X4726" s="6" t="str">
        <f>IFERROR(__xludf.DUMMYFUNCTION("""COMPUTED_VALUE"""),"Enrolled")</f>
        <v>Enrolled</v>
      </c>
    </row>
    <row r="4727">
      <c r="A4727" s="6" t="str">
        <f>IFERROR(__xludf.DUMMYFUNCTION("""COMPUTED_VALUE"""),"084-13089")</f>
        <v>084-13089</v>
      </c>
      <c r="B4727" s="6" t="str">
        <f>IFERROR(__xludf.DUMMYFUNCTION("""COMPUTED_VALUE"""),"84")</f>
        <v>84</v>
      </c>
      <c r="C4727" s="6" t="str">
        <f>IFERROR(__xludf.DUMMYFUNCTION("""COMPUTED_VALUE"""),"13089")</f>
        <v>13089</v>
      </c>
      <c r="D4727" s="6" t="str">
        <f>IFERROR(__xludf.DUMMYFUNCTION("""COMPUTED_VALUE"""),"Christopher")</f>
        <v>Christopher</v>
      </c>
      <c r="E4727" s="6" t="str">
        <f>IFERROR(__xludf.DUMMYFUNCTION("""COMPUTED_VALUE"""),"")</f>
        <v/>
      </c>
      <c r="F4727" s="6" t="str">
        <f>IFERROR(__xludf.DUMMYFUNCTION("""COMPUTED_VALUE"""),"Trejo")</f>
        <v>Trejo</v>
      </c>
      <c r="G4727" s="6" t="str">
        <f>IFERROR(__xludf.DUMMYFUNCTION("""COMPUTED_VALUE"""),"08/08/2013")</f>
        <v>08/08/2013</v>
      </c>
      <c r="H4727" s="6" t="str">
        <f>IFERROR(__xludf.DUMMYFUNCTION("""COMPUTED_VALUE"""),"female")</f>
        <v>female</v>
      </c>
      <c r="I4727" s="6" t="str">
        <f>IFERROR(__xludf.DUMMYFUNCTION("""COMPUTED_VALUE"""),"Middle School")</f>
        <v>Middle School</v>
      </c>
      <c r="J4727" s="6" t="str">
        <f>IFERROR(__xludf.DUMMYFUNCTION("""COMPUTED_VALUE"""),"7")</f>
        <v>7</v>
      </c>
      <c r="K4727" s="6" t="str">
        <f>IFERROR(__xludf.DUMMYFUNCTION("""COMPUTED_VALUE"""),"christopher.trejo@2hourlearning.com")</f>
        <v>christopher.trejo@2hourlearning.com</v>
      </c>
      <c r="L4727" s="6" t="str">
        <f>IFERROR(__xludf.DUMMYFUNCTION("""COMPUTED_VALUE"""),"JHMS - Hardeeville Junior Senior High School")</f>
        <v>JHMS - Hardeeville Junior Senior High School</v>
      </c>
      <c r="M4727" s="6" t="str">
        <f>IFERROR(__xludf.DUMMYFUNCTION("""COMPUTED_VALUE"""),"")</f>
        <v/>
      </c>
      <c r="N4727" s="6" t="str">
        <f>IFERROR(__xludf.DUMMYFUNCTION("""COMPUTED_VALUE"""),"")</f>
        <v/>
      </c>
      <c r="O4727" s="87" t="str">
        <f>IFERROR(__xludf.DUMMYFUNCTION("""COMPUTED_VALUE"""),"https://drive.google.com/drive/folders/10T2cTQHqEJZqE-st6uFKPoI?usp=share_link")</f>
        <v>https://drive.google.com/drive/folders/10T2cTQHqEJZqE-st6uFKPoI?usp=share_link</v>
      </c>
      <c r="P4727" s="6" t="str">
        <f>IFERROR(__xludf.DUMMYFUNCTION("""COMPUTED_VALUE"""),"Christopher Trejo")</f>
        <v>Christopher Trejo</v>
      </c>
      <c r="Q4727" s="6" t="str">
        <f>IFERROR(__xludf.DUMMYFUNCTION("""COMPUTED_VALUE"""),"MS")</f>
        <v>MS</v>
      </c>
      <c r="R4727" s="6">
        <f>IFERROR(__xludf.DUMMYFUNCTION("""COMPUTED_VALUE"""),0.0)</f>
        <v>0</v>
      </c>
      <c r="S4727" s="6" t="str">
        <f>IFERROR(__xludf.DUMMYFUNCTION("""COMPUTED_VALUE"""),"Kimberly Ball")</f>
        <v>Kimberly Ball</v>
      </c>
      <c r="T4727" s="6" t="str">
        <f>IFERROR(__xludf.DUMMYFUNCTION("""COMPUTED_VALUE"""),"kimberly.ball@studient.com")</f>
        <v>kimberly.ball@studient.com</v>
      </c>
      <c r="U4727" s="6" t="str">
        <f>IFERROR(__xludf.DUMMYFUNCTION("""COMPUTED_VALUE"""),"7")</f>
        <v>7</v>
      </c>
      <c r="V4727" s="6" t="str">
        <f>IFERROR(__xludf.DUMMYFUNCTION("""COMPUTED_VALUE"""),"")</f>
        <v/>
      </c>
      <c r="W4727" s="6" t="str">
        <f>IFERROR(__xludf.DUMMYFUNCTION("""COMPUTED_VALUE"""),"[]")</f>
        <v>[]</v>
      </c>
      <c r="X4727" s="6" t="str">
        <f>IFERROR(__xludf.DUMMYFUNCTION("""COMPUTED_VALUE"""),"Enrolled")</f>
        <v>Enrolled</v>
      </c>
    </row>
    <row r="4728">
      <c r="A4728" s="6" t="str">
        <f>IFERROR(__xludf.DUMMYFUNCTION("""COMPUTED_VALUE"""),"084-13090")</f>
        <v>084-13090</v>
      </c>
      <c r="B4728" s="6" t="str">
        <f>IFERROR(__xludf.DUMMYFUNCTION("""COMPUTED_VALUE"""),"84")</f>
        <v>84</v>
      </c>
      <c r="C4728" s="6" t="str">
        <f>IFERROR(__xludf.DUMMYFUNCTION("""COMPUTED_VALUE"""),"13090")</f>
        <v>13090</v>
      </c>
      <c r="D4728" s="6" t="str">
        <f>IFERROR(__xludf.DUMMYFUNCTION("""COMPUTED_VALUE"""),"Gabriel")</f>
        <v>Gabriel</v>
      </c>
      <c r="E4728" s="6" t="str">
        <f>IFERROR(__xludf.DUMMYFUNCTION("""COMPUTED_VALUE"""),"")</f>
        <v/>
      </c>
      <c r="F4728" s="6" t="str">
        <f>IFERROR(__xludf.DUMMYFUNCTION("""COMPUTED_VALUE"""),"Trejo")</f>
        <v>Trejo</v>
      </c>
      <c r="G4728" s="6" t="str">
        <f>IFERROR(__xludf.DUMMYFUNCTION("""COMPUTED_VALUE"""),"09/19/2013")</f>
        <v>09/19/2013</v>
      </c>
      <c r="H4728" s="6" t="str">
        <f>IFERROR(__xludf.DUMMYFUNCTION("""COMPUTED_VALUE"""),"male")</f>
        <v>male</v>
      </c>
      <c r="I4728" s="6" t="str">
        <f>IFERROR(__xludf.DUMMYFUNCTION("""COMPUTED_VALUE"""),"Middle School")</f>
        <v>Middle School</v>
      </c>
      <c r="J4728" s="6" t="str">
        <f>IFERROR(__xludf.DUMMYFUNCTION("""COMPUTED_VALUE"""),"7")</f>
        <v>7</v>
      </c>
      <c r="K4728" s="6" t="str">
        <f>IFERROR(__xludf.DUMMYFUNCTION("""COMPUTED_VALUE"""),"gabriel.trejo@2hourlearning.com")</f>
        <v>gabriel.trejo@2hourlearning.com</v>
      </c>
      <c r="L4728" s="6" t="str">
        <f>IFERROR(__xludf.DUMMYFUNCTION("""COMPUTED_VALUE"""),"JHMS - Hardeeville Junior Senior High School")</f>
        <v>JHMS - Hardeeville Junior Senior High School</v>
      </c>
      <c r="M4728" s="6" t="str">
        <f>IFERROR(__xludf.DUMMYFUNCTION("""COMPUTED_VALUE"""),"")</f>
        <v/>
      </c>
      <c r="N4728" s="6" t="str">
        <f>IFERROR(__xludf.DUMMYFUNCTION("""COMPUTED_VALUE"""),"")</f>
        <v/>
      </c>
      <c r="O4728" s="87" t="str">
        <f>IFERROR(__xludf.DUMMYFUNCTION("""COMPUTED_VALUE"""),"https://drive.google.com/drive/folders/10T2cTQHqEJZqE-st6uFKPoI?usp=share_link")</f>
        <v>https://drive.google.com/drive/folders/10T2cTQHqEJZqE-st6uFKPoI?usp=share_link</v>
      </c>
      <c r="P4728" s="6" t="str">
        <f>IFERROR(__xludf.DUMMYFUNCTION("""COMPUTED_VALUE"""),"Gabriel Trejo")</f>
        <v>Gabriel Trejo</v>
      </c>
      <c r="Q4728" s="6" t="str">
        <f>IFERROR(__xludf.DUMMYFUNCTION("""COMPUTED_VALUE"""),"MS")</f>
        <v>MS</v>
      </c>
      <c r="R4728" s="6">
        <f>IFERROR(__xludf.DUMMYFUNCTION("""COMPUTED_VALUE"""),0.0)</f>
        <v>0</v>
      </c>
      <c r="S4728" s="6" t="str">
        <f>IFERROR(__xludf.DUMMYFUNCTION("""COMPUTED_VALUE"""),"Kimberly Ball")</f>
        <v>Kimberly Ball</v>
      </c>
      <c r="T4728" s="6" t="str">
        <f>IFERROR(__xludf.DUMMYFUNCTION("""COMPUTED_VALUE"""),"kimberly.ball@studient.com")</f>
        <v>kimberly.ball@studient.com</v>
      </c>
      <c r="U4728" s="6" t="str">
        <f>IFERROR(__xludf.DUMMYFUNCTION("""COMPUTED_VALUE"""),"7")</f>
        <v>7</v>
      </c>
      <c r="V4728" s="6" t="str">
        <f>IFERROR(__xludf.DUMMYFUNCTION("""COMPUTED_VALUE"""),"")</f>
        <v/>
      </c>
      <c r="W4728" s="6" t="str">
        <f>IFERROR(__xludf.DUMMYFUNCTION("""COMPUTED_VALUE"""),"[]")</f>
        <v>[]</v>
      </c>
      <c r="X4728" s="6" t="str">
        <f>IFERROR(__xludf.DUMMYFUNCTION("""COMPUTED_VALUE"""),"Enrolled")</f>
        <v>Enrolled</v>
      </c>
    </row>
    <row r="4729">
      <c r="A4729" s="6" t="str">
        <f>IFERROR(__xludf.DUMMYFUNCTION("""COMPUTED_VALUE"""),"084-13091")</f>
        <v>084-13091</v>
      </c>
      <c r="B4729" s="6" t="str">
        <f>IFERROR(__xludf.DUMMYFUNCTION("""COMPUTED_VALUE"""),"84")</f>
        <v>84</v>
      </c>
      <c r="C4729" s="6" t="str">
        <f>IFERROR(__xludf.DUMMYFUNCTION("""COMPUTED_VALUE"""),"13091")</f>
        <v>13091</v>
      </c>
      <c r="D4729" s="6" t="str">
        <f>IFERROR(__xludf.DUMMYFUNCTION("""COMPUTED_VALUE"""),"Alexander")</f>
        <v>Alexander</v>
      </c>
      <c r="E4729" s="6" t="str">
        <f>IFERROR(__xludf.DUMMYFUNCTION("""COMPUTED_VALUE"""),"")</f>
        <v/>
      </c>
      <c r="F4729" s="6" t="str">
        <f>IFERROR(__xludf.DUMMYFUNCTION("""COMPUTED_VALUE"""),"Ulmer")</f>
        <v>Ulmer</v>
      </c>
      <c r="G4729" s="6" t="str">
        <f>IFERROR(__xludf.DUMMYFUNCTION("""COMPUTED_VALUE"""),"10/23/2012")</f>
        <v>10/23/2012</v>
      </c>
      <c r="H4729" s="6" t="str">
        <f>IFERROR(__xludf.DUMMYFUNCTION("""COMPUTED_VALUE"""),"female")</f>
        <v>female</v>
      </c>
      <c r="I4729" s="6" t="str">
        <f>IFERROR(__xludf.DUMMYFUNCTION("""COMPUTED_VALUE"""),"Middle School")</f>
        <v>Middle School</v>
      </c>
      <c r="J4729" s="6" t="str">
        <f>IFERROR(__xludf.DUMMYFUNCTION("""COMPUTED_VALUE"""),"7")</f>
        <v>7</v>
      </c>
      <c r="K4729" s="6" t="str">
        <f>IFERROR(__xludf.DUMMYFUNCTION("""COMPUTED_VALUE"""),"alexander.ulmer@2hourlearning.com")</f>
        <v>alexander.ulmer@2hourlearning.com</v>
      </c>
      <c r="L4729" s="6" t="str">
        <f>IFERROR(__xludf.DUMMYFUNCTION("""COMPUTED_VALUE"""),"JHMS - Hardeeville Junior Senior High School")</f>
        <v>JHMS - Hardeeville Junior Senior High School</v>
      </c>
      <c r="M4729" s="6" t="str">
        <f>IFERROR(__xludf.DUMMYFUNCTION("""COMPUTED_VALUE"""),"")</f>
        <v/>
      </c>
      <c r="N4729" s="6" t="str">
        <f>IFERROR(__xludf.DUMMYFUNCTION("""COMPUTED_VALUE"""),"")</f>
        <v/>
      </c>
      <c r="O4729" s="87" t="str">
        <f>IFERROR(__xludf.DUMMYFUNCTION("""COMPUTED_VALUE"""),"https://drive.google.com/drive/folders/10T2cTQHqEJZqE-st6uFKPoI?usp=share_link")</f>
        <v>https://drive.google.com/drive/folders/10T2cTQHqEJZqE-st6uFKPoI?usp=share_link</v>
      </c>
      <c r="P4729" s="6" t="str">
        <f>IFERROR(__xludf.DUMMYFUNCTION("""COMPUTED_VALUE"""),"Alexander Ulmer")</f>
        <v>Alexander Ulmer</v>
      </c>
      <c r="Q4729" s="6" t="str">
        <f>IFERROR(__xludf.DUMMYFUNCTION("""COMPUTED_VALUE"""),"MS")</f>
        <v>MS</v>
      </c>
      <c r="R4729" s="6">
        <f>IFERROR(__xludf.DUMMYFUNCTION("""COMPUTED_VALUE"""),0.0)</f>
        <v>0</v>
      </c>
      <c r="S4729" s="6" t="str">
        <f>IFERROR(__xludf.DUMMYFUNCTION("""COMPUTED_VALUE"""),"Kimberly Ball")</f>
        <v>Kimberly Ball</v>
      </c>
      <c r="T4729" s="6" t="str">
        <f>IFERROR(__xludf.DUMMYFUNCTION("""COMPUTED_VALUE"""),"kimberly.ball@studient.com")</f>
        <v>kimberly.ball@studient.com</v>
      </c>
      <c r="U4729" s="6" t="str">
        <f>IFERROR(__xludf.DUMMYFUNCTION("""COMPUTED_VALUE"""),"7")</f>
        <v>7</v>
      </c>
      <c r="V4729" s="6" t="str">
        <f>IFERROR(__xludf.DUMMYFUNCTION("""COMPUTED_VALUE"""),"")</f>
        <v/>
      </c>
      <c r="W4729" s="6" t="str">
        <f>IFERROR(__xludf.DUMMYFUNCTION("""COMPUTED_VALUE"""),"[]")</f>
        <v>[]</v>
      </c>
      <c r="X4729" s="6" t="str">
        <f>IFERROR(__xludf.DUMMYFUNCTION("""COMPUTED_VALUE"""),"Enrolled")</f>
        <v>Enrolled</v>
      </c>
    </row>
    <row r="4730">
      <c r="A4730" s="6" t="str">
        <f>IFERROR(__xludf.DUMMYFUNCTION("""COMPUTED_VALUE"""),"084-13092")</f>
        <v>084-13092</v>
      </c>
      <c r="B4730" s="6" t="str">
        <f>IFERROR(__xludf.DUMMYFUNCTION("""COMPUTED_VALUE"""),"84")</f>
        <v>84</v>
      </c>
      <c r="C4730" s="6" t="str">
        <f>IFERROR(__xludf.DUMMYFUNCTION("""COMPUTED_VALUE"""),"13092")</f>
        <v>13092</v>
      </c>
      <c r="D4730" s="6" t="str">
        <f>IFERROR(__xludf.DUMMYFUNCTION("""COMPUTED_VALUE"""),"Galilea")</f>
        <v>Galilea</v>
      </c>
      <c r="E4730" s="6" t="str">
        <f>IFERROR(__xludf.DUMMYFUNCTION("""COMPUTED_VALUE"""),"")</f>
        <v/>
      </c>
      <c r="F4730" s="6" t="str">
        <f>IFERROR(__xludf.DUMMYFUNCTION("""COMPUTED_VALUE"""),"Valdez Cardenas")</f>
        <v>Valdez Cardenas</v>
      </c>
      <c r="G4730" s="6" t="str">
        <f>IFERROR(__xludf.DUMMYFUNCTION("""COMPUTED_VALUE"""),"04/04/2013")</f>
        <v>04/04/2013</v>
      </c>
      <c r="H4730" s="6" t="str">
        <f>IFERROR(__xludf.DUMMYFUNCTION("""COMPUTED_VALUE"""),"male")</f>
        <v>male</v>
      </c>
      <c r="I4730" s="6" t="str">
        <f>IFERROR(__xludf.DUMMYFUNCTION("""COMPUTED_VALUE"""),"Middle School")</f>
        <v>Middle School</v>
      </c>
      <c r="J4730" s="6" t="str">
        <f>IFERROR(__xludf.DUMMYFUNCTION("""COMPUTED_VALUE"""),"7")</f>
        <v>7</v>
      </c>
      <c r="K4730" s="6" t="str">
        <f>IFERROR(__xludf.DUMMYFUNCTION("""COMPUTED_VALUE"""),"galilea.valdezcardenas@2hourlearning.com")</f>
        <v>galilea.valdezcardenas@2hourlearning.com</v>
      </c>
      <c r="L4730" s="6" t="str">
        <f>IFERROR(__xludf.DUMMYFUNCTION("""COMPUTED_VALUE"""),"JHMS - Hardeeville Junior Senior High School")</f>
        <v>JHMS - Hardeeville Junior Senior High School</v>
      </c>
      <c r="M4730" s="6" t="str">
        <f>IFERROR(__xludf.DUMMYFUNCTION("""COMPUTED_VALUE"""),"")</f>
        <v/>
      </c>
      <c r="N4730" s="6" t="str">
        <f>IFERROR(__xludf.DUMMYFUNCTION("""COMPUTED_VALUE"""),"")</f>
        <v/>
      </c>
      <c r="O4730" s="87" t="str">
        <f>IFERROR(__xludf.DUMMYFUNCTION("""COMPUTED_VALUE"""),"https://drive.google.com/drive/folders/10T2cTQHqEJZqE-st6uFKPoI?usp=share_link")</f>
        <v>https://drive.google.com/drive/folders/10T2cTQHqEJZqE-st6uFKPoI?usp=share_link</v>
      </c>
      <c r="P4730" s="6" t="str">
        <f>IFERROR(__xludf.DUMMYFUNCTION("""COMPUTED_VALUE"""),"Galilea Valdez Cardenas")</f>
        <v>Galilea Valdez Cardenas</v>
      </c>
      <c r="Q4730" s="6" t="str">
        <f>IFERROR(__xludf.DUMMYFUNCTION("""COMPUTED_VALUE"""),"MS")</f>
        <v>MS</v>
      </c>
      <c r="R4730" s="6">
        <f>IFERROR(__xludf.DUMMYFUNCTION("""COMPUTED_VALUE"""),0.0)</f>
        <v>0</v>
      </c>
      <c r="S4730" s="6" t="str">
        <f>IFERROR(__xludf.DUMMYFUNCTION("""COMPUTED_VALUE"""),"Kimberly Ball")</f>
        <v>Kimberly Ball</v>
      </c>
      <c r="T4730" s="6" t="str">
        <f>IFERROR(__xludf.DUMMYFUNCTION("""COMPUTED_VALUE"""),"kimberly.ball@studient.com")</f>
        <v>kimberly.ball@studient.com</v>
      </c>
      <c r="U4730" s="6" t="str">
        <f>IFERROR(__xludf.DUMMYFUNCTION("""COMPUTED_VALUE"""),"7")</f>
        <v>7</v>
      </c>
      <c r="V4730" s="6" t="str">
        <f>IFERROR(__xludf.DUMMYFUNCTION("""COMPUTED_VALUE"""),"")</f>
        <v/>
      </c>
      <c r="W4730" s="6" t="str">
        <f>IFERROR(__xludf.DUMMYFUNCTION("""COMPUTED_VALUE"""),"[]")</f>
        <v>[]</v>
      </c>
      <c r="X4730" s="6" t="str">
        <f>IFERROR(__xludf.DUMMYFUNCTION("""COMPUTED_VALUE"""),"Enrolled")</f>
        <v>Enrolled</v>
      </c>
    </row>
    <row r="4731">
      <c r="A4731" s="6" t="str">
        <f>IFERROR(__xludf.DUMMYFUNCTION("""COMPUTED_VALUE"""),"084-13093")</f>
        <v>084-13093</v>
      </c>
      <c r="B4731" s="6" t="str">
        <f>IFERROR(__xludf.DUMMYFUNCTION("""COMPUTED_VALUE"""),"84")</f>
        <v>84</v>
      </c>
      <c r="C4731" s="6" t="str">
        <f>IFERROR(__xludf.DUMMYFUNCTION("""COMPUTED_VALUE"""),"13093")</f>
        <v>13093</v>
      </c>
      <c r="D4731" s="6" t="str">
        <f>IFERROR(__xludf.DUMMYFUNCTION("""COMPUTED_VALUE"""),"Andres")</f>
        <v>Andres</v>
      </c>
      <c r="E4731" s="6" t="str">
        <f>IFERROR(__xludf.DUMMYFUNCTION("""COMPUTED_VALUE"""),"")</f>
        <v/>
      </c>
      <c r="F4731" s="6" t="str">
        <f>IFERROR(__xludf.DUMMYFUNCTION("""COMPUTED_VALUE"""),"Valero Martinez")</f>
        <v>Valero Martinez</v>
      </c>
      <c r="G4731" s="6" t="str">
        <f>IFERROR(__xludf.DUMMYFUNCTION("""COMPUTED_VALUE"""),"10/24/2011")</f>
        <v>10/24/2011</v>
      </c>
      <c r="H4731" s="6" t="str">
        <f>IFERROR(__xludf.DUMMYFUNCTION("""COMPUTED_VALUE"""),"female")</f>
        <v>female</v>
      </c>
      <c r="I4731" s="6" t="str">
        <f>IFERROR(__xludf.DUMMYFUNCTION("""COMPUTED_VALUE"""),"Middle School")</f>
        <v>Middle School</v>
      </c>
      <c r="J4731" s="6" t="str">
        <f>IFERROR(__xludf.DUMMYFUNCTION("""COMPUTED_VALUE"""),"7")</f>
        <v>7</v>
      </c>
      <c r="K4731" s="6" t="str">
        <f>IFERROR(__xludf.DUMMYFUNCTION("""COMPUTED_VALUE"""),"andres.valeromartinez@2hourlearning.com")</f>
        <v>andres.valeromartinez@2hourlearning.com</v>
      </c>
      <c r="L4731" s="6" t="str">
        <f>IFERROR(__xludf.DUMMYFUNCTION("""COMPUTED_VALUE"""),"JHMS - Hardeeville Junior Senior High School")</f>
        <v>JHMS - Hardeeville Junior Senior High School</v>
      </c>
      <c r="M4731" s="6" t="str">
        <f>IFERROR(__xludf.DUMMYFUNCTION("""COMPUTED_VALUE"""),"")</f>
        <v/>
      </c>
      <c r="N4731" s="6" t="str">
        <f>IFERROR(__xludf.DUMMYFUNCTION("""COMPUTED_VALUE"""),"")</f>
        <v/>
      </c>
      <c r="O4731" s="87" t="str">
        <f>IFERROR(__xludf.DUMMYFUNCTION("""COMPUTED_VALUE"""),"https://drive.google.com/drive/folders/10T2cTQHqEJZqE-st6uFKPoI?usp=share_link")</f>
        <v>https://drive.google.com/drive/folders/10T2cTQHqEJZqE-st6uFKPoI?usp=share_link</v>
      </c>
      <c r="P4731" s="6" t="str">
        <f>IFERROR(__xludf.DUMMYFUNCTION("""COMPUTED_VALUE"""),"Andres Valero Martinez")</f>
        <v>Andres Valero Martinez</v>
      </c>
      <c r="Q4731" s="6" t="str">
        <f>IFERROR(__xludf.DUMMYFUNCTION("""COMPUTED_VALUE"""),"MS")</f>
        <v>MS</v>
      </c>
      <c r="R4731" s="6">
        <f>IFERROR(__xludf.DUMMYFUNCTION("""COMPUTED_VALUE"""),0.0)</f>
        <v>0</v>
      </c>
      <c r="S4731" s="6" t="str">
        <f>IFERROR(__xludf.DUMMYFUNCTION("""COMPUTED_VALUE"""),"Kimberly Ball")</f>
        <v>Kimberly Ball</v>
      </c>
      <c r="T4731" s="6" t="str">
        <f>IFERROR(__xludf.DUMMYFUNCTION("""COMPUTED_VALUE"""),"kimberly.ball@studient.com")</f>
        <v>kimberly.ball@studient.com</v>
      </c>
      <c r="U4731" s="6" t="str">
        <f>IFERROR(__xludf.DUMMYFUNCTION("""COMPUTED_VALUE"""),"7")</f>
        <v>7</v>
      </c>
      <c r="V4731" s="6" t="str">
        <f>IFERROR(__xludf.DUMMYFUNCTION("""COMPUTED_VALUE"""),"")</f>
        <v/>
      </c>
      <c r="W4731" s="6" t="str">
        <f>IFERROR(__xludf.DUMMYFUNCTION("""COMPUTED_VALUE"""),"[]")</f>
        <v>[]</v>
      </c>
      <c r="X4731" s="6" t="str">
        <f>IFERROR(__xludf.DUMMYFUNCTION("""COMPUTED_VALUE"""),"Enrolled")</f>
        <v>Enrolled</v>
      </c>
    </row>
    <row r="4732">
      <c r="A4732" s="6" t="str">
        <f>IFERROR(__xludf.DUMMYFUNCTION("""COMPUTED_VALUE"""),"084-13094")</f>
        <v>084-13094</v>
      </c>
      <c r="B4732" s="6" t="str">
        <f>IFERROR(__xludf.DUMMYFUNCTION("""COMPUTED_VALUE"""),"84")</f>
        <v>84</v>
      </c>
      <c r="C4732" s="6" t="str">
        <f>IFERROR(__xludf.DUMMYFUNCTION("""COMPUTED_VALUE"""),"13094")</f>
        <v>13094</v>
      </c>
      <c r="D4732" s="6" t="str">
        <f>IFERROR(__xludf.DUMMYFUNCTION("""COMPUTED_VALUE"""),"Valeria")</f>
        <v>Valeria</v>
      </c>
      <c r="E4732" s="6" t="str">
        <f>IFERROR(__xludf.DUMMYFUNCTION("""COMPUTED_VALUE"""),"")</f>
        <v/>
      </c>
      <c r="F4732" s="6" t="str">
        <f>IFERROR(__xludf.DUMMYFUNCTION("""COMPUTED_VALUE"""),"Vega Jimenez")</f>
        <v>Vega Jimenez</v>
      </c>
      <c r="G4732" s="6" t="str">
        <f>IFERROR(__xludf.DUMMYFUNCTION("""COMPUTED_VALUE"""),"12/07/2012")</f>
        <v>12/07/2012</v>
      </c>
      <c r="H4732" s="6" t="str">
        <f>IFERROR(__xludf.DUMMYFUNCTION("""COMPUTED_VALUE"""),"male")</f>
        <v>male</v>
      </c>
      <c r="I4732" s="6" t="str">
        <f>IFERROR(__xludf.DUMMYFUNCTION("""COMPUTED_VALUE"""),"Middle School")</f>
        <v>Middle School</v>
      </c>
      <c r="J4732" s="6" t="str">
        <f>IFERROR(__xludf.DUMMYFUNCTION("""COMPUTED_VALUE"""),"7")</f>
        <v>7</v>
      </c>
      <c r="K4732" s="6" t="str">
        <f>IFERROR(__xludf.DUMMYFUNCTION("""COMPUTED_VALUE"""),"valeria.vegajimenez@2hourlearning.com")</f>
        <v>valeria.vegajimenez@2hourlearning.com</v>
      </c>
      <c r="L4732" s="6" t="str">
        <f>IFERROR(__xludf.DUMMYFUNCTION("""COMPUTED_VALUE"""),"JHMS - Hardeeville Junior Senior High School")</f>
        <v>JHMS - Hardeeville Junior Senior High School</v>
      </c>
      <c r="M4732" s="6" t="str">
        <f>IFERROR(__xludf.DUMMYFUNCTION("""COMPUTED_VALUE"""),"")</f>
        <v/>
      </c>
      <c r="N4732" s="6" t="str">
        <f>IFERROR(__xludf.DUMMYFUNCTION("""COMPUTED_VALUE"""),"")</f>
        <v/>
      </c>
      <c r="O4732" s="87" t="str">
        <f>IFERROR(__xludf.DUMMYFUNCTION("""COMPUTED_VALUE"""),"https://drive.google.com/drive/folders/10T2cTQHqEJZqE-st6uFKPoI?usp=share_link")</f>
        <v>https://drive.google.com/drive/folders/10T2cTQHqEJZqE-st6uFKPoI?usp=share_link</v>
      </c>
      <c r="P4732" s="6" t="str">
        <f>IFERROR(__xludf.DUMMYFUNCTION("""COMPUTED_VALUE"""),"Valeria Vega Jimenez")</f>
        <v>Valeria Vega Jimenez</v>
      </c>
      <c r="Q4732" s="6" t="str">
        <f>IFERROR(__xludf.DUMMYFUNCTION("""COMPUTED_VALUE"""),"MS")</f>
        <v>MS</v>
      </c>
      <c r="R4732" s="6">
        <f>IFERROR(__xludf.DUMMYFUNCTION("""COMPUTED_VALUE"""),0.0)</f>
        <v>0</v>
      </c>
      <c r="S4732" s="6" t="str">
        <f>IFERROR(__xludf.DUMMYFUNCTION("""COMPUTED_VALUE"""),"Kimberly Ball")</f>
        <v>Kimberly Ball</v>
      </c>
      <c r="T4732" s="6" t="str">
        <f>IFERROR(__xludf.DUMMYFUNCTION("""COMPUTED_VALUE"""),"kimberly.ball@studient.com")</f>
        <v>kimberly.ball@studient.com</v>
      </c>
      <c r="U4732" s="6" t="str">
        <f>IFERROR(__xludf.DUMMYFUNCTION("""COMPUTED_VALUE"""),"7")</f>
        <v>7</v>
      </c>
      <c r="V4732" s="6" t="str">
        <f>IFERROR(__xludf.DUMMYFUNCTION("""COMPUTED_VALUE"""),"")</f>
        <v/>
      </c>
      <c r="W4732" s="6" t="str">
        <f>IFERROR(__xludf.DUMMYFUNCTION("""COMPUTED_VALUE"""),"[]")</f>
        <v>[]</v>
      </c>
      <c r="X4732" s="6" t="str">
        <f>IFERROR(__xludf.DUMMYFUNCTION("""COMPUTED_VALUE"""),"Enrolled")</f>
        <v>Enrolled</v>
      </c>
    </row>
    <row r="4733">
      <c r="A4733" s="6" t="str">
        <f>IFERROR(__xludf.DUMMYFUNCTION("""COMPUTED_VALUE"""),"084-13095")</f>
        <v>084-13095</v>
      </c>
      <c r="B4733" s="6" t="str">
        <f>IFERROR(__xludf.DUMMYFUNCTION("""COMPUTED_VALUE"""),"84")</f>
        <v>84</v>
      </c>
      <c r="C4733" s="6" t="str">
        <f>IFERROR(__xludf.DUMMYFUNCTION("""COMPUTED_VALUE"""),"13095")</f>
        <v>13095</v>
      </c>
      <c r="D4733" s="6" t="str">
        <f>IFERROR(__xludf.DUMMYFUNCTION("""COMPUTED_VALUE"""),"Anthony")</f>
        <v>Anthony</v>
      </c>
      <c r="E4733" s="6" t="str">
        <f>IFERROR(__xludf.DUMMYFUNCTION("""COMPUTED_VALUE"""),"")</f>
        <v/>
      </c>
      <c r="F4733" s="6" t="str">
        <f>IFERROR(__xludf.DUMMYFUNCTION("""COMPUTED_VALUE"""),"Velasquez-Morales")</f>
        <v>Velasquez-Morales</v>
      </c>
      <c r="G4733" s="6" t="str">
        <f>IFERROR(__xludf.DUMMYFUNCTION("""COMPUTED_VALUE"""),"03/07/2013")</f>
        <v>03/07/2013</v>
      </c>
      <c r="H4733" s="6" t="str">
        <f>IFERROR(__xludf.DUMMYFUNCTION("""COMPUTED_VALUE"""),"male")</f>
        <v>male</v>
      </c>
      <c r="I4733" s="6" t="str">
        <f>IFERROR(__xludf.DUMMYFUNCTION("""COMPUTED_VALUE"""),"Middle School")</f>
        <v>Middle School</v>
      </c>
      <c r="J4733" s="6" t="str">
        <f>IFERROR(__xludf.DUMMYFUNCTION("""COMPUTED_VALUE"""),"7")</f>
        <v>7</v>
      </c>
      <c r="K4733" s="6" t="str">
        <f>IFERROR(__xludf.DUMMYFUNCTION("""COMPUTED_VALUE"""),"anthony.velasquez-morales@2hourlearning.com")</f>
        <v>anthony.velasquez-morales@2hourlearning.com</v>
      </c>
      <c r="L4733" s="6" t="str">
        <f>IFERROR(__xludf.DUMMYFUNCTION("""COMPUTED_VALUE"""),"JHMS - Hardeeville Junior Senior High School")</f>
        <v>JHMS - Hardeeville Junior Senior High School</v>
      </c>
      <c r="M4733" s="6" t="str">
        <f>IFERROR(__xludf.DUMMYFUNCTION("""COMPUTED_VALUE"""),"")</f>
        <v/>
      </c>
      <c r="N4733" s="6" t="str">
        <f>IFERROR(__xludf.DUMMYFUNCTION("""COMPUTED_VALUE"""),"")</f>
        <v/>
      </c>
      <c r="O4733" s="87" t="str">
        <f>IFERROR(__xludf.DUMMYFUNCTION("""COMPUTED_VALUE"""),"https://drive.google.com/drive/folders/10T2cTQHqEJZqE-st6uFKPoI?usp=share_link")</f>
        <v>https://drive.google.com/drive/folders/10T2cTQHqEJZqE-st6uFKPoI?usp=share_link</v>
      </c>
      <c r="P4733" s="6" t="str">
        <f>IFERROR(__xludf.DUMMYFUNCTION("""COMPUTED_VALUE"""),"Anthony Velasquez-Morales")</f>
        <v>Anthony Velasquez-Morales</v>
      </c>
      <c r="Q4733" s="6" t="str">
        <f>IFERROR(__xludf.DUMMYFUNCTION("""COMPUTED_VALUE"""),"MS")</f>
        <v>MS</v>
      </c>
      <c r="R4733" s="6">
        <f>IFERROR(__xludf.DUMMYFUNCTION("""COMPUTED_VALUE"""),0.0)</f>
        <v>0</v>
      </c>
      <c r="S4733" s="6" t="str">
        <f>IFERROR(__xludf.DUMMYFUNCTION("""COMPUTED_VALUE"""),"Kimberly Ball")</f>
        <v>Kimberly Ball</v>
      </c>
      <c r="T4733" s="6" t="str">
        <f>IFERROR(__xludf.DUMMYFUNCTION("""COMPUTED_VALUE"""),"kimberly.ball@studient.com")</f>
        <v>kimberly.ball@studient.com</v>
      </c>
      <c r="U4733" s="6" t="str">
        <f>IFERROR(__xludf.DUMMYFUNCTION("""COMPUTED_VALUE"""),"7")</f>
        <v>7</v>
      </c>
      <c r="V4733" s="6" t="str">
        <f>IFERROR(__xludf.DUMMYFUNCTION("""COMPUTED_VALUE"""),"")</f>
        <v/>
      </c>
      <c r="W4733" s="6" t="str">
        <f>IFERROR(__xludf.DUMMYFUNCTION("""COMPUTED_VALUE"""),"[]")</f>
        <v>[]</v>
      </c>
      <c r="X4733" s="6" t="str">
        <f>IFERROR(__xludf.DUMMYFUNCTION("""COMPUTED_VALUE"""),"Enrolled")</f>
        <v>Enrolled</v>
      </c>
    </row>
    <row r="4734">
      <c r="A4734" s="6" t="str">
        <f>IFERROR(__xludf.DUMMYFUNCTION("""COMPUTED_VALUE"""),"084-13096")</f>
        <v>084-13096</v>
      </c>
      <c r="B4734" s="6" t="str">
        <f>IFERROR(__xludf.DUMMYFUNCTION("""COMPUTED_VALUE"""),"84")</f>
        <v>84</v>
      </c>
      <c r="C4734" s="6" t="str">
        <f>IFERROR(__xludf.DUMMYFUNCTION("""COMPUTED_VALUE"""),"13096")</f>
        <v>13096</v>
      </c>
      <c r="D4734" s="6" t="str">
        <f>IFERROR(__xludf.DUMMYFUNCTION("""COMPUTED_VALUE"""),"Fani")</f>
        <v>Fani</v>
      </c>
      <c r="E4734" s="6" t="str">
        <f>IFERROR(__xludf.DUMMYFUNCTION("""COMPUTED_VALUE"""),"")</f>
        <v/>
      </c>
      <c r="F4734" s="6" t="str">
        <f>IFERROR(__xludf.DUMMYFUNCTION("""COMPUTED_VALUE"""),"Velasquez-Morales")</f>
        <v>Velasquez-Morales</v>
      </c>
      <c r="G4734" s="6" t="str">
        <f>IFERROR(__xludf.DUMMYFUNCTION("""COMPUTED_VALUE"""),"08/12/2013")</f>
        <v>08/12/2013</v>
      </c>
      <c r="H4734" s="6" t="str">
        <f>IFERROR(__xludf.DUMMYFUNCTION("""COMPUTED_VALUE"""),"female")</f>
        <v>female</v>
      </c>
      <c r="I4734" s="6" t="str">
        <f>IFERROR(__xludf.DUMMYFUNCTION("""COMPUTED_VALUE"""),"Middle School")</f>
        <v>Middle School</v>
      </c>
      <c r="J4734" s="6" t="str">
        <f>IFERROR(__xludf.DUMMYFUNCTION("""COMPUTED_VALUE"""),"7")</f>
        <v>7</v>
      </c>
      <c r="K4734" s="6" t="str">
        <f>IFERROR(__xludf.DUMMYFUNCTION("""COMPUTED_VALUE"""),"fani.velasquez-morales@2hourlearning.com")</f>
        <v>fani.velasquez-morales@2hourlearning.com</v>
      </c>
      <c r="L4734" s="6" t="str">
        <f>IFERROR(__xludf.DUMMYFUNCTION("""COMPUTED_VALUE"""),"JHMS - Hardeeville Junior Senior High School")</f>
        <v>JHMS - Hardeeville Junior Senior High School</v>
      </c>
      <c r="M4734" s="6" t="str">
        <f>IFERROR(__xludf.DUMMYFUNCTION("""COMPUTED_VALUE"""),"")</f>
        <v/>
      </c>
      <c r="N4734" s="6" t="str">
        <f>IFERROR(__xludf.DUMMYFUNCTION("""COMPUTED_VALUE"""),"")</f>
        <v/>
      </c>
      <c r="O4734" s="87" t="str">
        <f>IFERROR(__xludf.DUMMYFUNCTION("""COMPUTED_VALUE"""),"https://drive.google.com/drive/folders/10T2cTQHqEJZqE-st6uFKPoI?usp=share_link")</f>
        <v>https://drive.google.com/drive/folders/10T2cTQHqEJZqE-st6uFKPoI?usp=share_link</v>
      </c>
      <c r="P4734" s="6" t="str">
        <f>IFERROR(__xludf.DUMMYFUNCTION("""COMPUTED_VALUE"""),"Fani Velasquez-Morales")</f>
        <v>Fani Velasquez-Morales</v>
      </c>
      <c r="Q4734" s="6" t="str">
        <f>IFERROR(__xludf.DUMMYFUNCTION("""COMPUTED_VALUE"""),"MS")</f>
        <v>MS</v>
      </c>
      <c r="R4734" s="6">
        <f>IFERROR(__xludf.DUMMYFUNCTION("""COMPUTED_VALUE"""),0.0)</f>
        <v>0</v>
      </c>
      <c r="S4734" s="6" t="str">
        <f>IFERROR(__xludf.DUMMYFUNCTION("""COMPUTED_VALUE"""),"Kimberly Ball")</f>
        <v>Kimberly Ball</v>
      </c>
      <c r="T4734" s="6" t="str">
        <f>IFERROR(__xludf.DUMMYFUNCTION("""COMPUTED_VALUE"""),"kimberly.ball@studient.com")</f>
        <v>kimberly.ball@studient.com</v>
      </c>
      <c r="U4734" s="6" t="str">
        <f>IFERROR(__xludf.DUMMYFUNCTION("""COMPUTED_VALUE"""),"7")</f>
        <v>7</v>
      </c>
      <c r="V4734" s="6" t="str">
        <f>IFERROR(__xludf.DUMMYFUNCTION("""COMPUTED_VALUE"""),"")</f>
        <v/>
      </c>
      <c r="W4734" s="6" t="str">
        <f>IFERROR(__xludf.DUMMYFUNCTION("""COMPUTED_VALUE"""),"[]")</f>
        <v>[]</v>
      </c>
      <c r="X4734" s="6" t="str">
        <f>IFERROR(__xludf.DUMMYFUNCTION("""COMPUTED_VALUE"""),"Enrolled")</f>
        <v>Enrolled</v>
      </c>
    </row>
    <row r="4735">
      <c r="A4735" s="6" t="str">
        <f>IFERROR(__xludf.DUMMYFUNCTION("""COMPUTED_VALUE"""),"084-13097")</f>
        <v>084-13097</v>
      </c>
      <c r="B4735" s="6" t="str">
        <f>IFERROR(__xludf.DUMMYFUNCTION("""COMPUTED_VALUE"""),"84")</f>
        <v>84</v>
      </c>
      <c r="C4735" s="6" t="str">
        <f>IFERROR(__xludf.DUMMYFUNCTION("""COMPUTED_VALUE"""),"13097")</f>
        <v>13097</v>
      </c>
      <c r="D4735" s="6" t="str">
        <f>IFERROR(__xludf.DUMMYFUNCTION("""COMPUTED_VALUE"""),"Elvis")</f>
        <v>Elvis</v>
      </c>
      <c r="E4735" s="6" t="str">
        <f>IFERROR(__xludf.DUMMYFUNCTION("""COMPUTED_VALUE"""),"")</f>
        <v/>
      </c>
      <c r="F4735" s="6" t="str">
        <f>IFERROR(__xludf.DUMMYFUNCTION("""COMPUTED_VALUE"""),"Velazquez Martin")</f>
        <v>Velazquez Martin</v>
      </c>
      <c r="G4735" s="6" t="str">
        <f>IFERROR(__xludf.DUMMYFUNCTION("""COMPUTED_VALUE"""),"02/11/2013")</f>
        <v>02/11/2013</v>
      </c>
      <c r="H4735" s="6" t="str">
        <f>IFERROR(__xludf.DUMMYFUNCTION("""COMPUTED_VALUE"""),"female")</f>
        <v>female</v>
      </c>
      <c r="I4735" s="6" t="str">
        <f>IFERROR(__xludf.DUMMYFUNCTION("""COMPUTED_VALUE"""),"Middle School")</f>
        <v>Middle School</v>
      </c>
      <c r="J4735" s="6" t="str">
        <f>IFERROR(__xludf.DUMMYFUNCTION("""COMPUTED_VALUE"""),"7")</f>
        <v>7</v>
      </c>
      <c r="K4735" s="6" t="str">
        <f>IFERROR(__xludf.DUMMYFUNCTION("""COMPUTED_VALUE"""),"elvis.velazquezmartin@2hourlearning.com")</f>
        <v>elvis.velazquezmartin@2hourlearning.com</v>
      </c>
      <c r="L4735" s="6" t="str">
        <f>IFERROR(__xludf.DUMMYFUNCTION("""COMPUTED_VALUE"""),"JHMS - Hardeeville Junior Senior High School")</f>
        <v>JHMS - Hardeeville Junior Senior High School</v>
      </c>
      <c r="M4735" s="6" t="str">
        <f>IFERROR(__xludf.DUMMYFUNCTION("""COMPUTED_VALUE"""),"")</f>
        <v/>
      </c>
      <c r="N4735" s="6" t="str">
        <f>IFERROR(__xludf.DUMMYFUNCTION("""COMPUTED_VALUE"""),"")</f>
        <v/>
      </c>
      <c r="O4735" s="87" t="str">
        <f>IFERROR(__xludf.DUMMYFUNCTION("""COMPUTED_VALUE"""),"https://drive.google.com/drive/folders/10T2cTQHqEJZqE-st6uFKPoI?usp=share_link")</f>
        <v>https://drive.google.com/drive/folders/10T2cTQHqEJZqE-st6uFKPoI?usp=share_link</v>
      </c>
      <c r="P4735" s="6" t="str">
        <f>IFERROR(__xludf.DUMMYFUNCTION("""COMPUTED_VALUE"""),"Elvis Velazquez Martin")</f>
        <v>Elvis Velazquez Martin</v>
      </c>
      <c r="Q4735" s="6" t="str">
        <f>IFERROR(__xludf.DUMMYFUNCTION("""COMPUTED_VALUE"""),"MS")</f>
        <v>MS</v>
      </c>
      <c r="R4735" s="6">
        <f>IFERROR(__xludf.DUMMYFUNCTION("""COMPUTED_VALUE"""),0.0)</f>
        <v>0</v>
      </c>
      <c r="S4735" s="6" t="str">
        <f>IFERROR(__xludf.DUMMYFUNCTION("""COMPUTED_VALUE"""),"Kimberly Ball")</f>
        <v>Kimberly Ball</v>
      </c>
      <c r="T4735" s="6" t="str">
        <f>IFERROR(__xludf.DUMMYFUNCTION("""COMPUTED_VALUE"""),"kimberly.ball@studient.com")</f>
        <v>kimberly.ball@studient.com</v>
      </c>
      <c r="U4735" s="6" t="str">
        <f>IFERROR(__xludf.DUMMYFUNCTION("""COMPUTED_VALUE"""),"7")</f>
        <v>7</v>
      </c>
      <c r="V4735" s="6" t="str">
        <f>IFERROR(__xludf.DUMMYFUNCTION("""COMPUTED_VALUE"""),"")</f>
        <v/>
      </c>
      <c r="W4735" s="6" t="str">
        <f>IFERROR(__xludf.DUMMYFUNCTION("""COMPUTED_VALUE"""),"[]")</f>
        <v>[]</v>
      </c>
      <c r="X4735" s="6" t="str">
        <f>IFERROR(__xludf.DUMMYFUNCTION("""COMPUTED_VALUE"""),"Enrolled")</f>
        <v>Enrolled</v>
      </c>
    </row>
    <row r="4736">
      <c r="A4736" s="6" t="str">
        <f>IFERROR(__xludf.DUMMYFUNCTION("""COMPUTED_VALUE"""),"084-13098")</f>
        <v>084-13098</v>
      </c>
      <c r="B4736" s="6" t="str">
        <f>IFERROR(__xludf.DUMMYFUNCTION("""COMPUTED_VALUE"""),"84")</f>
        <v>84</v>
      </c>
      <c r="C4736" s="6" t="str">
        <f>IFERROR(__xludf.DUMMYFUNCTION("""COMPUTED_VALUE"""),"13098")</f>
        <v>13098</v>
      </c>
      <c r="D4736" s="6" t="str">
        <f>IFERROR(__xludf.DUMMYFUNCTION("""COMPUTED_VALUE"""),"Bryce")</f>
        <v>Bryce</v>
      </c>
      <c r="E4736" s="6" t="str">
        <f>IFERROR(__xludf.DUMMYFUNCTION("""COMPUTED_VALUE"""),"")</f>
        <v/>
      </c>
      <c r="F4736" s="6" t="str">
        <f>IFERROR(__xludf.DUMMYFUNCTION("""COMPUTED_VALUE"""),"Anderson")</f>
        <v>Anderson</v>
      </c>
      <c r="G4736" s="6" t="str">
        <f>IFERROR(__xludf.DUMMYFUNCTION("""COMPUTED_VALUE"""),"02/17/2014")</f>
        <v>02/17/2014</v>
      </c>
      <c r="H4736" s="6" t="str">
        <f>IFERROR(__xludf.DUMMYFUNCTION("""COMPUTED_VALUE"""),"male")</f>
        <v>male</v>
      </c>
      <c r="I4736" s="6" t="str">
        <f>IFERROR(__xludf.DUMMYFUNCTION("""COMPUTED_VALUE"""),"Middle School")</f>
        <v>Middle School</v>
      </c>
      <c r="J4736" s="6" t="str">
        <f>IFERROR(__xludf.DUMMYFUNCTION("""COMPUTED_VALUE"""),"6")</f>
        <v>6</v>
      </c>
      <c r="K4736" s="6" t="str">
        <f>IFERROR(__xludf.DUMMYFUNCTION("""COMPUTED_VALUE"""),"bryce.anderson@2hourlearning.com")</f>
        <v>bryce.anderson@2hourlearning.com</v>
      </c>
      <c r="L4736" s="6" t="str">
        <f>IFERROR(__xludf.DUMMYFUNCTION("""COMPUTED_VALUE"""),"JHMS - Hardeeville Junior Senior High School")</f>
        <v>JHMS - Hardeeville Junior Senior High School</v>
      </c>
      <c r="M4736" s="6" t="str">
        <f>IFERROR(__xludf.DUMMYFUNCTION("""COMPUTED_VALUE"""),"")</f>
        <v/>
      </c>
      <c r="N4736" s="6" t="str">
        <f>IFERROR(__xludf.DUMMYFUNCTION("""COMPUTED_VALUE"""),"")</f>
        <v/>
      </c>
      <c r="O4736" s="87" t="str">
        <f>IFERROR(__xludf.DUMMYFUNCTION("""COMPUTED_VALUE"""),"https://drive.google.com/drive/folders/10T2cTQHqEJZqE-st6uFKPoI?usp=share_link")</f>
        <v>https://drive.google.com/drive/folders/10T2cTQHqEJZqE-st6uFKPoI?usp=share_link</v>
      </c>
      <c r="P4736" s="6" t="str">
        <f>IFERROR(__xludf.DUMMYFUNCTION("""COMPUTED_VALUE"""),"Bryce Anderson")</f>
        <v>Bryce Anderson</v>
      </c>
      <c r="Q4736" s="6" t="str">
        <f>IFERROR(__xludf.DUMMYFUNCTION("""COMPUTED_VALUE"""),"MS")</f>
        <v>MS</v>
      </c>
      <c r="R4736" s="6">
        <f>IFERROR(__xludf.DUMMYFUNCTION("""COMPUTED_VALUE"""),0.0)</f>
        <v>0</v>
      </c>
      <c r="S4736" s="6" t="str">
        <f>IFERROR(__xludf.DUMMYFUNCTION("""COMPUTED_VALUE"""),"Kimberly Ball")</f>
        <v>Kimberly Ball</v>
      </c>
      <c r="T4736" s="6" t="str">
        <f>IFERROR(__xludf.DUMMYFUNCTION("""COMPUTED_VALUE"""),"kimberly.ball@studient.com")</f>
        <v>kimberly.ball@studient.com</v>
      </c>
      <c r="U4736" s="6" t="str">
        <f>IFERROR(__xludf.DUMMYFUNCTION("""COMPUTED_VALUE"""),"6")</f>
        <v>6</v>
      </c>
      <c r="V4736" s="6" t="str">
        <f>IFERROR(__xludf.DUMMYFUNCTION("""COMPUTED_VALUE"""),"")</f>
        <v/>
      </c>
      <c r="W4736" s="6" t="str">
        <f>IFERROR(__xludf.DUMMYFUNCTION("""COMPUTED_VALUE"""),"[]")</f>
        <v>[]</v>
      </c>
      <c r="X4736" s="6" t="str">
        <f>IFERROR(__xludf.DUMMYFUNCTION("""COMPUTED_VALUE"""),"Enrolled")</f>
        <v>Enrolled</v>
      </c>
    </row>
    <row r="4737">
      <c r="A4737" s="6" t="str">
        <f>IFERROR(__xludf.DUMMYFUNCTION("""COMPUTED_VALUE"""),"084-13099")</f>
        <v>084-13099</v>
      </c>
      <c r="B4737" s="6" t="str">
        <f>IFERROR(__xludf.DUMMYFUNCTION("""COMPUTED_VALUE"""),"84")</f>
        <v>84</v>
      </c>
      <c r="C4737" s="6" t="str">
        <f>IFERROR(__xludf.DUMMYFUNCTION("""COMPUTED_VALUE"""),"13099")</f>
        <v>13099</v>
      </c>
      <c r="D4737" s="6" t="str">
        <f>IFERROR(__xludf.DUMMYFUNCTION("""COMPUTED_VALUE"""),"Ja'Kayla")</f>
        <v>Ja'Kayla</v>
      </c>
      <c r="E4737" s="6" t="str">
        <f>IFERROR(__xludf.DUMMYFUNCTION("""COMPUTED_VALUE"""),"")</f>
        <v/>
      </c>
      <c r="F4737" s="6" t="str">
        <f>IFERROR(__xludf.DUMMYFUNCTION("""COMPUTED_VALUE"""),"Anderson")</f>
        <v>Anderson</v>
      </c>
      <c r="G4737" s="6" t="str">
        <f>IFERROR(__xludf.DUMMYFUNCTION("""COMPUTED_VALUE"""),"04/11/2014")</f>
        <v>04/11/2014</v>
      </c>
      <c r="H4737" s="6" t="str">
        <f>IFERROR(__xludf.DUMMYFUNCTION("""COMPUTED_VALUE"""),"female")</f>
        <v>female</v>
      </c>
      <c r="I4737" s="6" t="str">
        <f>IFERROR(__xludf.DUMMYFUNCTION("""COMPUTED_VALUE"""),"Middle School")</f>
        <v>Middle School</v>
      </c>
      <c r="J4737" s="6" t="str">
        <f>IFERROR(__xludf.DUMMYFUNCTION("""COMPUTED_VALUE"""),"6")</f>
        <v>6</v>
      </c>
      <c r="K4737" s="6" t="str">
        <f>IFERROR(__xludf.DUMMYFUNCTION("""COMPUTED_VALUE"""),"jakayla.anderson@2hourlearning.com")</f>
        <v>jakayla.anderson@2hourlearning.com</v>
      </c>
      <c r="L4737" s="6" t="str">
        <f>IFERROR(__xludf.DUMMYFUNCTION("""COMPUTED_VALUE"""),"JHMS - Hardeeville Junior Senior High School")</f>
        <v>JHMS - Hardeeville Junior Senior High School</v>
      </c>
      <c r="M4737" s="6" t="str">
        <f>IFERROR(__xludf.DUMMYFUNCTION("""COMPUTED_VALUE"""),"")</f>
        <v/>
      </c>
      <c r="N4737" s="6" t="str">
        <f>IFERROR(__xludf.DUMMYFUNCTION("""COMPUTED_VALUE"""),"")</f>
        <v/>
      </c>
      <c r="O4737" s="87" t="str">
        <f>IFERROR(__xludf.DUMMYFUNCTION("""COMPUTED_VALUE"""),"https://drive.google.com/drive/folders/10T2cTQHqEJZqE-st6uFKPoI?usp=share_link")</f>
        <v>https://drive.google.com/drive/folders/10T2cTQHqEJZqE-st6uFKPoI?usp=share_link</v>
      </c>
      <c r="P4737" s="6" t="str">
        <f>IFERROR(__xludf.DUMMYFUNCTION("""COMPUTED_VALUE"""),"Ja'Kayla Anderson")</f>
        <v>Ja'Kayla Anderson</v>
      </c>
      <c r="Q4737" s="6" t="str">
        <f>IFERROR(__xludf.DUMMYFUNCTION("""COMPUTED_VALUE"""),"MS")</f>
        <v>MS</v>
      </c>
      <c r="R4737" s="6">
        <f>IFERROR(__xludf.DUMMYFUNCTION("""COMPUTED_VALUE"""),0.0)</f>
        <v>0</v>
      </c>
      <c r="S4737" s="6" t="str">
        <f>IFERROR(__xludf.DUMMYFUNCTION("""COMPUTED_VALUE"""),"Kimberly Ball")</f>
        <v>Kimberly Ball</v>
      </c>
      <c r="T4737" s="6" t="str">
        <f>IFERROR(__xludf.DUMMYFUNCTION("""COMPUTED_VALUE"""),"kimberly.ball@studient.com")</f>
        <v>kimberly.ball@studient.com</v>
      </c>
      <c r="U4737" s="6" t="str">
        <f>IFERROR(__xludf.DUMMYFUNCTION("""COMPUTED_VALUE"""),"6")</f>
        <v>6</v>
      </c>
      <c r="V4737" s="6" t="str">
        <f>IFERROR(__xludf.DUMMYFUNCTION("""COMPUTED_VALUE"""),"")</f>
        <v/>
      </c>
      <c r="W4737" s="6" t="str">
        <f>IFERROR(__xludf.DUMMYFUNCTION("""COMPUTED_VALUE"""),"[]")</f>
        <v>[]</v>
      </c>
      <c r="X4737" s="6" t="str">
        <f>IFERROR(__xludf.DUMMYFUNCTION("""COMPUTED_VALUE"""),"Enrolled")</f>
        <v>Enrolled</v>
      </c>
    </row>
    <row r="4738">
      <c r="A4738" s="6" t="str">
        <f>IFERROR(__xludf.DUMMYFUNCTION("""COMPUTED_VALUE"""),"084-13100")</f>
        <v>084-13100</v>
      </c>
      <c r="B4738" s="6" t="str">
        <f>IFERROR(__xludf.DUMMYFUNCTION("""COMPUTED_VALUE"""),"84")</f>
        <v>84</v>
      </c>
      <c r="C4738" s="6" t="str">
        <f>IFERROR(__xludf.DUMMYFUNCTION("""COMPUTED_VALUE"""),"13100")</f>
        <v>13100</v>
      </c>
      <c r="D4738" s="6" t="str">
        <f>IFERROR(__xludf.DUMMYFUNCTION("""COMPUTED_VALUE"""),"Kameron")</f>
        <v>Kameron</v>
      </c>
      <c r="E4738" s="6" t="str">
        <f>IFERROR(__xludf.DUMMYFUNCTION("""COMPUTED_VALUE"""),"")</f>
        <v/>
      </c>
      <c r="F4738" s="6" t="str">
        <f>IFERROR(__xludf.DUMMYFUNCTION("""COMPUTED_VALUE"""),"Anderson")</f>
        <v>Anderson</v>
      </c>
      <c r="G4738" s="6" t="str">
        <f>IFERROR(__xludf.DUMMYFUNCTION("""COMPUTED_VALUE"""),"05/28/2014")</f>
        <v>05/28/2014</v>
      </c>
      <c r="H4738" s="6" t="str">
        <f>IFERROR(__xludf.DUMMYFUNCTION("""COMPUTED_VALUE"""),"female")</f>
        <v>female</v>
      </c>
      <c r="I4738" s="6" t="str">
        <f>IFERROR(__xludf.DUMMYFUNCTION("""COMPUTED_VALUE"""),"Middle School")</f>
        <v>Middle School</v>
      </c>
      <c r="J4738" s="6" t="str">
        <f>IFERROR(__xludf.DUMMYFUNCTION("""COMPUTED_VALUE"""),"6")</f>
        <v>6</v>
      </c>
      <c r="K4738" s="6" t="str">
        <f>IFERROR(__xludf.DUMMYFUNCTION("""COMPUTED_VALUE"""),"kameron.anderson@2hourlearning.com")</f>
        <v>kameron.anderson@2hourlearning.com</v>
      </c>
      <c r="L4738" s="6" t="str">
        <f>IFERROR(__xludf.DUMMYFUNCTION("""COMPUTED_VALUE"""),"JHMS - Hardeeville Junior Senior High School")</f>
        <v>JHMS - Hardeeville Junior Senior High School</v>
      </c>
      <c r="M4738" s="6" t="str">
        <f>IFERROR(__xludf.DUMMYFUNCTION("""COMPUTED_VALUE"""),"")</f>
        <v/>
      </c>
      <c r="N4738" s="6" t="str">
        <f>IFERROR(__xludf.DUMMYFUNCTION("""COMPUTED_VALUE"""),"")</f>
        <v/>
      </c>
      <c r="O4738" s="87" t="str">
        <f>IFERROR(__xludf.DUMMYFUNCTION("""COMPUTED_VALUE"""),"https://drive.google.com/drive/folders/10T2cTQHqEJZqE-st6uFKPoI?usp=share_link")</f>
        <v>https://drive.google.com/drive/folders/10T2cTQHqEJZqE-st6uFKPoI?usp=share_link</v>
      </c>
      <c r="P4738" s="6" t="str">
        <f>IFERROR(__xludf.DUMMYFUNCTION("""COMPUTED_VALUE"""),"Kameron Anderson")</f>
        <v>Kameron Anderson</v>
      </c>
      <c r="Q4738" s="6" t="str">
        <f>IFERROR(__xludf.DUMMYFUNCTION("""COMPUTED_VALUE"""),"MS")</f>
        <v>MS</v>
      </c>
      <c r="R4738" s="6">
        <f>IFERROR(__xludf.DUMMYFUNCTION("""COMPUTED_VALUE"""),0.0)</f>
        <v>0</v>
      </c>
      <c r="S4738" s="6" t="str">
        <f>IFERROR(__xludf.DUMMYFUNCTION("""COMPUTED_VALUE"""),"Kimberly Ball")</f>
        <v>Kimberly Ball</v>
      </c>
      <c r="T4738" s="6" t="str">
        <f>IFERROR(__xludf.DUMMYFUNCTION("""COMPUTED_VALUE"""),"kimberly.ball@studient.com")</f>
        <v>kimberly.ball@studient.com</v>
      </c>
      <c r="U4738" s="6" t="str">
        <f>IFERROR(__xludf.DUMMYFUNCTION("""COMPUTED_VALUE"""),"6")</f>
        <v>6</v>
      </c>
      <c r="V4738" s="6" t="str">
        <f>IFERROR(__xludf.DUMMYFUNCTION("""COMPUTED_VALUE"""),"")</f>
        <v/>
      </c>
      <c r="W4738" s="6" t="str">
        <f>IFERROR(__xludf.DUMMYFUNCTION("""COMPUTED_VALUE"""),"[]")</f>
        <v>[]</v>
      </c>
      <c r="X4738" s="6" t="str">
        <f>IFERROR(__xludf.DUMMYFUNCTION("""COMPUTED_VALUE"""),"Enrolled")</f>
        <v>Enrolled</v>
      </c>
    </row>
    <row r="4739">
      <c r="A4739" s="6" t="str">
        <f>IFERROR(__xludf.DUMMYFUNCTION("""COMPUTED_VALUE"""),"084-13101")</f>
        <v>084-13101</v>
      </c>
      <c r="B4739" s="6" t="str">
        <f>IFERROR(__xludf.DUMMYFUNCTION("""COMPUTED_VALUE"""),"84")</f>
        <v>84</v>
      </c>
      <c r="C4739" s="6" t="str">
        <f>IFERROR(__xludf.DUMMYFUNCTION("""COMPUTED_VALUE"""),"13101")</f>
        <v>13101</v>
      </c>
      <c r="D4739" s="6" t="str">
        <f>IFERROR(__xludf.DUMMYFUNCTION("""COMPUTED_VALUE"""),"Evelyn")</f>
        <v>Evelyn</v>
      </c>
      <c r="E4739" s="6" t="str">
        <f>IFERROR(__xludf.DUMMYFUNCTION("""COMPUTED_VALUE"""),"")</f>
        <v/>
      </c>
      <c r="F4739" s="6" t="str">
        <f>IFERROR(__xludf.DUMMYFUNCTION("""COMPUTED_VALUE"""),"Antonio-Aguilar")</f>
        <v>Antonio-Aguilar</v>
      </c>
      <c r="G4739" s="6" t="str">
        <f>IFERROR(__xludf.DUMMYFUNCTION("""COMPUTED_VALUE"""),"06/28/2014")</f>
        <v>06/28/2014</v>
      </c>
      <c r="H4739" s="6" t="str">
        <f>IFERROR(__xludf.DUMMYFUNCTION("""COMPUTED_VALUE"""),"female")</f>
        <v>female</v>
      </c>
      <c r="I4739" s="6" t="str">
        <f>IFERROR(__xludf.DUMMYFUNCTION("""COMPUTED_VALUE"""),"Middle School")</f>
        <v>Middle School</v>
      </c>
      <c r="J4739" s="6" t="str">
        <f>IFERROR(__xludf.DUMMYFUNCTION("""COMPUTED_VALUE"""),"6")</f>
        <v>6</v>
      </c>
      <c r="K4739" s="6" t="str">
        <f>IFERROR(__xludf.DUMMYFUNCTION("""COMPUTED_VALUE"""),"evelyn.antonio-aguilar@2hourlearning.com")</f>
        <v>evelyn.antonio-aguilar@2hourlearning.com</v>
      </c>
      <c r="L4739" s="6" t="str">
        <f>IFERROR(__xludf.DUMMYFUNCTION("""COMPUTED_VALUE"""),"JHMS - Hardeeville Junior Senior High School")</f>
        <v>JHMS - Hardeeville Junior Senior High School</v>
      </c>
      <c r="M4739" s="6" t="str">
        <f>IFERROR(__xludf.DUMMYFUNCTION("""COMPUTED_VALUE"""),"")</f>
        <v/>
      </c>
      <c r="N4739" s="6" t="str">
        <f>IFERROR(__xludf.DUMMYFUNCTION("""COMPUTED_VALUE"""),"")</f>
        <v/>
      </c>
      <c r="O4739" s="87" t="str">
        <f>IFERROR(__xludf.DUMMYFUNCTION("""COMPUTED_VALUE"""),"https://drive.google.com/drive/folders/10T2cTQHqEJZqE-st6uFKPoI?usp=share_link")</f>
        <v>https://drive.google.com/drive/folders/10T2cTQHqEJZqE-st6uFKPoI?usp=share_link</v>
      </c>
      <c r="P4739" s="6" t="str">
        <f>IFERROR(__xludf.DUMMYFUNCTION("""COMPUTED_VALUE"""),"Evelyn Antonio-Aguilar")</f>
        <v>Evelyn Antonio-Aguilar</v>
      </c>
      <c r="Q4739" s="6" t="str">
        <f>IFERROR(__xludf.DUMMYFUNCTION("""COMPUTED_VALUE"""),"MS")</f>
        <v>MS</v>
      </c>
      <c r="R4739" s="6">
        <f>IFERROR(__xludf.DUMMYFUNCTION("""COMPUTED_VALUE"""),0.0)</f>
        <v>0</v>
      </c>
      <c r="S4739" s="6" t="str">
        <f>IFERROR(__xludf.DUMMYFUNCTION("""COMPUTED_VALUE"""),"Kimberly Ball")</f>
        <v>Kimberly Ball</v>
      </c>
      <c r="T4739" s="6" t="str">
        <f>IFERROR(__xludf.DUMMYFUNCTION("""COMPUTED_VALUE"""),"kimberly.ball@studient.com")</f>
        <v>kimberly.ball@studient.com</v>
      </c>
      <c r="U4739" s="6" t="str">
        <f>IFERROR(__xludf.DUMMYFUNCTION("""COMPUTED_VALUE"""),"6")</f>
        <v>6</v>
      </c>
      <c r="V4739" s="6" t="str">
        <f>IFERROR(__xludf.DUMMYFUNCTION("""COMPUTED_VALUE"""),"")</f>
        <v/>
      </c>
      <c r="W4739" s="6" t="str">
        <f>IFERROR(__xludf.DUMMYFUNCTION("""COMPUTED_VALUE"""),"[]")</f>
        <v>[]</v>
      </c>
      <c r="X4739" s="6" t="str">
        <f>IFERROR(__xludf.DUMMYFUNCTION("""COMPUTED_VALUE"""),"Enrolled")</f>
        <v>Enrolled</v>
      </c>
    </row>
    <row r="4740">
      <c r="A4740" s="6" t="str">
        <f>IFERROR(__xludf.DUMMYFUNCTION("""COMPUTED_VALUE"""),"084-13102")</f>
        <v>084-13102</v>
      </c>
      <c r="B4740" s="6" t="str">
        <f>IFERROR(__xludf.DUMMYFUNCTION("""COMPUTED_VALUE"""),"84")</f>
        <v>84</v>
      </c>
      <c r="C4740" s="6" t="str">
        <f>IFERROR(__xludf.DUMMYFUNCTION("""COMPUTED_VALUE"""),"13102")</f>
        <v>13102</v>
      </c>
      <c r="D4740" s="6" t="str">
        <f>IFERROR(__xludf.DUMMYFUNCTION("""COMPUTED_VALUE"""),"Lois")</f>
        <v>Lois</v>
      </c>
      <c r="E4740" s="6" t="str">
        <f>IFERROR(__xludf.DUMMYFUNCTION("""COMPUTED_VALUE"""),"")</f>
        <v/>
      </c>
      <c r="F4740" s="6" t="str">
        <f>IFERROR(__xludf.DUMMYFUNCTION("""COMPUTED_VALUE"""),"Arthur")</f>
        <v>Arthur</v>
      </c>
      <c r="G4740" s="6" t="str">
        <f>IFERROR(__xludf.DUMMYFUNCTION("""COMPUTED_VALUE"""),"06/07/2014")</f>
        <v>06/07/2014</v>
      </c>
      <c r="H4740" s="6" t="str">
        <f>IFERROR(__xludf.DUMMYFUNCTION("""COMPUTED_VALUE"""),"female")</f>
        <v>female</v>
      </c>
      <c r="I4740" s="6" t="str">
        <f>IFERROR(__xludf.DUMMYFUNCTION("""COMPUTED_VALUE"""),"Middle School")</f>
        <v>Middle School</v>
      </c>
      <c r="J4740" s="6" t="str">
        <f>IFERROR(__xludf.DUMMYFUNCTION("""COMPUTED_VALUE"""),"6")</f>
        <v>6</v>
      </c>
      <c r="K4740" s="6" t="str">
        <f>IFERROR(__xludf.DUMMYFUNCTION("""COMPUTED_VALUE"""),"lois.arthur@2hourlearning.com")</f>
        <v>lois.arthur@2hourlearning.com</v>
      </c>
      <c r="L4740" s="6" t="str">
        <f>IFERROR(__xludf.DUMMYFUNCTION("""COMPUTED_VALUE"""),"JHMS - Hardeeville Junior Senior High School")</f>
        <v>JHMS - Hardeeville Junior Senior High School</v>
      </c>
      <c r="M4740" s="6" t="str">
        <f>IFERROR(__xludf.DUMMYFUNCTION("""COMPUTED_VALUE"""),"")</f>
        <v/>
      </c>
      <c r="N4740" s="6" t="str">
        <f>IFERROR(__xludf.DUMMYFUNCTION("""COMPUTED_VALUE"""),"")</f>
        <v/>
      </c>
      <c r="O4740" s="87" t="str">
        <f>IFERROR(__xludf.DUMMYFUNCTION("""COMPUTED_VALUE"""),"https://drive.google.com/drive/folders/10T2cTQHqEJZqE-st6uFKPoI?usp=share_link")</f>
        <v>https://drive.google.com/drive/folders/10T2cTQHqEJZqE-st6uFKPoI?usp=share_link</v>
      </c>
      <c r="P4740" s="6" t="str">
        <f>IFERROR(__xludf.DUMMYFUNCTION("""COMPUTED_VALUE"""),"Lois Arthur")</f>
        <v>Lois Arthur</v>
      </c>
      <c r="Q4740" s="6" t="str">
        <f>IFERROR(__xludf.DUMMYFUNCTION("""COMPUTED_VALUE"""),"MS")</f>
        <v>MS</v>
      </c>
      <c r="R4740" s="6">
        <f>IFERROR(__xludf.DUMMYFUNCTION("""COMPUTED_VALUE"""),0.0)</f>
        <v>0</v>
      </c>
      <c r="S4740" s="6" t="str">
        <f>IFERROR(__xludf.DUMMYFUNCTION("""COMPUTED_VALUE"""),"Kimberly Ball")</f>
        <v>Kimberly Ball</v>
      </c>
      <c r="T4740" s="6" t="str">
        <f>IFERROR(__xludf.DUMMYFUNCTION("""COMPUTED_VALUE"""),"kimberly.ball@studient.com")</f>
        <v>kimberly.ball@studient.com</v>
      </c>
      <c r="U4740" s="6" t="str">
        <f>IFERROR(__xludf.DUMMYFUNCTION("""COMPUTED_VALUE"""),"6")</f>
        <v>6</v>
      </c>
      <c r="V4740" s="6" t="str">
        <f>IFERROR(__xludf.DUMMYFUNCTION("""COMPUTED_VALUE"""),"")</f>
        <v/>
      </c>
      <c r="W4740" s="6" t="str">
        <f>IFERROR(__xludf.DUMMYFUNCTION("""COMPUTED_VALUE"""),"[]")</f>
        <v>[]</v>
      </c>
      <c r="X4740" s="6" t="str">
        <f>IFERROR(__xludf.DUMMYFUNCTION("""COMPUTED_VALUE"""),"Enrolled")</f>
        <v>Enrolled</v>
      </c>
    </row>
    <row r="4741">
      <c r="A4741" s="6" t="str">
        <f>IFERROR(__xludf.DUMMYFUNCTION("""COMPUTED_VALUE"""),"084-13103")</f>
        <v>084-13103</v>
      </c>
      <c r="B4741" s="6" t="str">
        <f>IFERROR(__xludf.DUMMYFUNCTION("""COMPUTED_VALUE"""),"84")</f>
        <v>84</v>
      </c>
      <c r="C4741" s="6" t="str">
        <f>IFERROR(__xludf.DUMMYFUNCTION("""COMPUTED_VALUE"""),"13103")</f>
        <v>13103</v>
      </c>
      <c r="D4741" s="6" t="str">
        <f>IFERROR(__xludf.DUMMYFUNCTION("""COMPUTED_VALUE"""),"Safarri")</f>
        <v>Safarri</v>
      </c>
      <c r="E4741" s="6" t="str">
        <f>IFERROR(__xludf.DUMMYFUNCTION("""COMPUTED_VALUE"""),"")</f>
        <v/>
      </c>
      <c r="F4741" s="6" t="str">
        <f>IFERROR(__xludf.DUMMYFUNCTION("""COMPUTED_VALUE"""),"Avedano")</f>
        <v>Avedano</v>
      </c>
      <c r="G4741" s="6" t="str">
        <f>IFERROR(__xludf.DUMMYFUNCTION("""COMPUTED_VALUE"""),"06/25/2014")</f>
        <v>06/25/2014</v>
      </c>
      <c r="H4741" s="6" t="str">
        <f>IFERROR(__xludf.DUMMYFUNCTION("""COMPUTED_VALUE"""),"male")</f>
        <v>male</v>
      </c>
      <c r="I4741" s="6" t="str">
        <f>IFERROR(__xludf.DUMMYFUNCTION("""COMPUTED_VALUE"""),"Middle School")</f>
        <v>Middle School</v>
      </c>
      <c r="J4741" s="6" t="str">
        <f>IFERROR(__xludf.DUMMYFUNCTION("""COMPUTED_VALUE"""),"6")</f>
        <v>6</v>
      </c>
      <c r="K4741" s="6" t="str">
        <f>IFERROR(__xludf.DUMMYFUNCTION("""COMPUTED_VALUE"""),"safarri.avedano@2hourlearning.com")</f>
        <v>safarri.avedano@2hourlearning.com</v>
      </c>
      <c r="L4741" s="6" t="str">
        <f>IFERROR(__xludf.DUMMYFUNCTION("""COMPUTED_VALUE"""),"JHMS - Hardeeville Junior Senior High School")</f>
        <v>JHMS - Hardeeville Junior Senior High School</v>
      </c>
      <c r="M4741" s="6" t="str">
        <f>IFERROR(__xludf.DUMMYFUNCTION("""COMPUTED_VALUE"""),"")</f>
        <v/>
      </c>
      <c r="N4741" s="6" t="str">
        <f>IFERROR(__xludf.DUMMYFUNCTION("""COMPUTED_VALUE"""),"")</f>
        <v/>
      </c>
      <c r="O4741" s="87" t="str">
        <f>IFERROR(__xludf.DUMMYFUNCTION("""COMPUTED_VALUE"""),"https://drive.google.com/drive/folders/10T2cTQHqEJZqE-st6uFKPoI?usp=share_link")</f>
        <v>https://drive.google.com/drive/folders/10T2cTQHqEJZqE-st6uFKPoI?usp=share_link</v>
      </c>
      <c r="P4741" s="6" t="str">
        <f>IFERROR(__xludf.DUMMYFUNCTION("""COMPUTED_VALUE"""),"Safarri Avedano")</f>
        <v>Safarri Avedano</v>
      </c>
      <c r="Q4741" s="6" t="str">
        <f>IFERROR(__xludf.DUMMYFUNCTION("""COMPUTED_VALUE"""),"MS")</f>
        <v>MS</v>
      </c>
      <c r="R4741" s="6">
        <f>IFERROR(__xludf.DUMMYFUNCTION("""COMPUTED_VALUE"""),0.0)</f>
        <v>0</v>
      </c>
      <c r="S4741" s="6" t="str">
        <f>IFERROR(__xludf.DUMMYFUNCTION("""COMPUTED_VALUE"""),"Kimberly Ball")</f>
        <v>Kimberly Ball</v>
      </c>
      <c r="T4741" s="6" t="str">
        <f>IFERROR(__xludf.DUMMYFUNCTION("""COMPUTED_VALUE"""),"kimberly.ball@studient.com")</f>
        <v>kimberly.ball@studient.com</v>
      </c>
      <c r="U4741" s="6" t="str">
        <f>IFERROR(__xludf.DUMMYFUNCTION("""COMPUTED_VALUE"""),"6")</f>
        <v>6</v>
      </c>
      <c r="V4741" s="6" t="str">
        <f>IFERROR(__xludf.DUMMYFUNCTION("""COMPUTED_VALUE"""),"")</f>
        <v/>
      </c>
      <c r="W4741" s="6" t="str">
        <f>IFERROR(__xludf.DUMMYFUNCTION("""COMPUTED_VALUE"""),"[]")</f>
        <v>[]</v>
      </c>
      <c r="X4741" s="6" t="str">
        <f>IFERROR(__xludf.DUMMYFUNCTION("""COMPUTED_VALUE"""),"Enrolled")</f>
        <v>Enrolled</v>
      </c>
    </row>
    <row r="4742">
      <c r="A4742" s="6" t="str">
        <f>IFERROR(__xludf.DUMMYFUNCTION("""COMPUTED_VALUE"""),"084-13104")</f>
        <v>084-13104</v>
      </c>
      <c r="B4742" s="6" t="str">
        <f>IFERROR(__xludf.DUMMYFUNCTION("""COMPUTED_VALUE"""),"84")</f>
        <v>84</v>
      </c>
      <c r="C4742" s="6" t="str">
        <f>IFERROR(__xludf.DUMMYFUNCTION("""COMPUTED_VALUE"""),"13104")</f>
        <v>13104</v>
      </c>
      <c r="D4742" s="6" t="str">
        <f>IFERROR(__xludf.DUMMYFUNCTION("""COMPUTED_VALUE"""),"Tiandra")</f>
        <v>Tiandra</v>
      </c>
      <c r="E4742" s="6" t="str">
        <f>IFERROR(__xludf.DUMMYFUNCTION("""COMPUTED_VALUE"""),"")</f>
        <v/>
      </c>
      <c r="F4742" s="6" t="str">
        <f>IFERROR(__xludf.DUMMYFUNCTION("""COMPUTED_VALUE"""),"Bailey")</f>
        <v>Bailey</v>
      </c>
      <c r="G4742" s="6" t="str">
        <f>IFERROR(__xludf.DUMMYFUNCTION("""COMPUTED_VALUE"""),"02/27/2014")</f>
        <v>02/27/2014</v>
      </c>
      <c r="H4742" s="6" t="str">
        <f>IFERROR(__xludf.DUMMYFUNCTION("""COMPUTED_VALUE"""),"female")</f>
        <v>female</v>
      </c>
      <c r="I4742" s="6" t="str">
        <f>IFERROR(__xludf.DUMMYFUNCTION("""COMPUTED_VALUE"""),"Middle School")</f>
        <v>Middle School</v>
      </c>
      <c r="J4742" s="6" t="str">
        <f>IFERROR(__xludf.DUMMYFUNCTION("""COMPUTED_VALUE"""),"6")</f>
        <v>6</v>
      </c>
      <c r="K4742" s="6" t="str">
        <f>IFERROR(__xludf.DUMMYFUNCTION("""COMPUTED_VALUE"""),"tiandra.bailey@2hourlearning.com")</f>
        <v>tiandra.bailey@2hourlearning.com</v>
      </c>
      <c r="L4742" s="6" t="str">
        <f>IFERROR(__xludf.DUMMYFUNCTION("""COMPUTED_VALUE"""),"JHMS - Hardeeville Junior Senior High School")</f>
        <v>JHMS - Hardeeville Junior Senior High School</v>
      </c>
      <c r="M4742" s="6" t="str">
        <f>IFERROR(__xludf.DUMMYFUNCTION("""COMPUTED_VALUE"""),"")</f>
        <v/>
      </c>
      <c r="N4742" s="6" t="str">
        <f>IFERROR(__xludf.DUMMYFUNCTION("""COMPUTED_VALUE"""),"")</f>
        <v/>
      </c>
      <c r="O4742" s="87" t="str">
        <f>IFERROR(__xludf.DUMMYFUNCTION("""COMPUTED_VALUE"""),"https://drive.google.com/drive/folders/10T2cTQHqEJZqE-st6uFKPoI?usp=share_link")</f>
        <v>https://drive.google.com/drive/folders/10T2cTQHqEJZqE-st6uFKPoI?usp=share_link</v>
      </c>
      <c r="P4742" s="6" t="str">
        <f>IFERROR(__xludf.DUMMYFUNCTION("""COMPUTED_VALUE"""),"Tiandra Bailey")</f>
        <v>Tiandra Bailey</v>
      </c>
      <c r="Q4742" s="6" t="str">
        <f>IFERROR(__xludf.DUMMYFUNCTION("""COMPUTED_VALUE"""),"MS")</f>
        <v>MS</v>
      </c>
      <c r="R4742" s="6">
        <f>IFERROR(__xludf.DUMMYFUNCTION("""COMPUTED_VALUE"""),0.0)</f>
        <v>0</v>
      </c>
      <c r="S4742" s="6" t="str">
        <f>IFERROR(__xludf.DUMMYFUNCTION("""COMPUTED_VALUE"""),"Kimberly Ball")</f>
        <v>Kimberly Ball</v>
      </c>
      <c r="T4742" s="6" t="str">
        <f>IFERROR(__xludf.DUMMYFUNCTION("""COMPUTED_VALUE"""),"kimberly.ball@studient.com")</f>
        <v>kimberly.ball@studient.com</v>
      </c>
      <c r="U4742" s="6" t="str">
        <f>IFERROR(__xludf.DUMMYFUNCTION("""COMPUTED_VALUE"""),"6")</f>
        <v>6</v>
      </c>
      <c r="V4742" s="6" t="str">
        <f>IFERROR(__xludf.DUMMYFUNCTION("""COMPUTED_VALUE"""),"")</f>
        <v/>
      </c>
      <c r="W4742" s="6" t="str">
        <f>IFERROR(__xludf.DUMMYFUNCTION("""COMPUTED_VALUE"""),"[]")</f>
        <v>[]</v>
      </c>
      <c r="X4742" s="6" t="str">
        <f>IFERROR(__xludf.DUMMYFUNCTION("""COMPUTED_VALUE"""),"Enrolled")</f>
        <v>Enrolled</v>
      </c>
    </row>
    <row r="4743">
      <c r="A4743" s="6" t="str">
        <f>IFERROR(__xludf.DUMMYFUNCTION("""COMPUTED_VALUE"""),"084-13105")</f>
        <v>084-13105</v>
      </c>
      <c r="B4743" s="6" t="str">
        <f>IFERROR(__xludf.DUMMYFUNCTION("""COMPUTED_VALUE"""),"84")</f>
        <v>84</v>
      </c>
      <c r="C4743" s="6" t="str">
        <f>IFERROR(__xludf.DUMMYFUNCTION("""COMPUTED_VALUE"""),"13105")</f>
        <v>13105</v>
      </c>
      <c r="D4743" s="6" t="str">
        <f>IFERROR(__xludf.DUMMYFUNCTION("""COMPUTED_VALUE"""),"Dylan")</f>
        <v>Dylan</v>
      </c>
      <c r="E4743" s="6" t="str">
        <f>IFERROR(__xludf.DUMMYFUNCTION("""COMPUTED_VALUE"""),"")</f>
        <v/>
      </c>
      <c r="F4743" s="6" t="str">
        <f>IFERROR(__xludf.DUMMYFUNCTION("""COMPUTED_VALUE"""),"Bardales-Garcia")</f>
        <v>Bardales-Garcia</v>
      </c>
      <c r="G4743" s="6" t="str">
        <f>IFERROR(__xludf.DUMMYFUNCTION("""COMPUTED_VALUE"""),"07/04/2014")</f>
        <v>07/04/2014</v>
      </c>
      <c r="H4743" s="6" t="str">
        <f>IFERROR(__xludf.DUMMYFUNCTION("""COMPUTED_VALUE"""),"male")</f>
        <v>male</v>
      </c>
      <c r="I4743" s="6" t="str">
        <f>IFERROR(__xludf.DUMMYFUNCTION("""COMPUTED_VALUE"""),"Middle School")</f>
        <v>Middle School</v>
      </c>
      <c r="J4743" s="6" t="str">
        <f>IFERROR(__xludf.DUMMYFUNCTION("""COMPUTED_VALUE"""),"6")</f>
        <v>6</v>
      </c>
      <c r="K4743" s="6" t="str">
        <f>IFERROR(__xludf.DUMMYFUNCTION("""COMPUTED_VALUE"""),"dylan.bardales-garcia@2hourlearning.com")</f>
        <v>dylan.bardales-garcia@2hourlearning.com</v>
      </c>
      <c r="L4743" s="6" t="str">
        <f>IFERROR(__xludf.DUMMYFUNCTION("""COMPUTED_VALUE"""),"JHMS - Hardeeville Junior Senior High School")</f>
        <v>JHMS - Hardeeville Junior Senior High School</v>
      </c>
      <c r="M4743" s="6" t="str">
        <f>IFERROR(__xludf.DUMMYFUNCTION("""COMPUTED_VALUE"""),"")</f>
        <v/>
      </c>
      <c r="N4743" s="6" t="str">
        <f>IFERROR(__xludf.DUMMYFUNCTION("""COMPUTED_VALUE"""),"")</f>
        <v/>
      </c>
      <c r="O4743" s="87" t="str">
        <f>IFERROR(__xludf.DUMMYFUNCTION("""COMPUTED_VALUE"""),"https://drive.google.com/drive/folders/10T2cTQHqEJZqE-st6uFKPoI?usp=share_link")</f>
        <v>https://drive.google.com/drive/folders/10T2cTQHqEJZqE-st6uFKPoI?usp=share_link</v>
      </c>
      <c r="P4743" s="6" t="str">
        <f>IFERROR(__xludf.DUMMYFUNCTION("""COMPUTED_VALUE"""),"Dylan Bardales-Garcia")</f>
        <v>Dylan Bardales-Garcia</v>
      </c>
      <c r="Q4743" s="6" t="str">
        <f>IFERROR(__xludf.DUMMYFUNCTION("""COMPUTED_VALUE"""),"MS")</f>
        <v>MS</v>
      </c>
      <c r="R4743" s="6">
        <f>IFERROR(__xludf.DUMMYFUNCTION("""COMPUTED_VALUE"""),0.0)</f>
        <v>0</v>
      </c>
      <c r="S4743" s="6" t="str">
        <f>IFERROR(__xludf.DUMMYFUNCTION("""COMPUTED_VALUE"""),"Kimberly Ball")</f>
        <v>Kimberly Ball</v>
      </c>
      <c r="T4743" s="6" t="str">
        <f>IFERROR(__xludf.DUMMYFUNCTION("""COMPUTED_VALUE"""),"kimberly.ball@studient.com")</f>
        <v>kimberly.ball@studient.com</v>
      </c>
      <c r="U4743" s="6" t="str">
        <f>IFERROR(__xludf.DUMMYFUNCTION("""COMPUTED_VALUE"""),"6")</f>
        <v>6</v>
      </c>
      <c r="V4743" s="6" t="str">
        <f>IFERROR(__xludf.DUMMYFUNCTION("""COMPUTED_VALUE"""),"")</f>
        <v/>
      </c>
      <c r="W4743" s="6" t="str">
        <f>IFERROR(__xludf.DUMMYFUNCTION("""COMPUTED_VALUE"""),"[]")</f>
        <v>[]</v>
      </c>
      <c r="X4743" s="6" t="str">
        <f>IFERROR(__xludf.DUMMYFUNCTION("""COMPUTED_VALUE"""),"Enrolled")</f>
        <v>Enrolled</v>
      </c>
    </row>
    <row r="4744">
      <c r="A4744" s="6" t="str">
        <f>IFERROR(__xludf.DUMMYFUNCTION("""COMPUTED_VALUE"""),"084-13106")</f>
        <v>084-13106</v>
      </c>
      <c r="B4744" s="6" t="str">
        <f>IFERROR(__xludf.DUMMYFUNCTION("""COMPUTED_VALUE"""),"84")</f>
        <v>84</v>
      </c>
      <c r="C4744" s="6" t="str">
        <f>IFERROR(__xludf.DUMMYFUNCTION("""COMPUTED_VALUE"""),"13106")</f>
        <v>13106</v>
      </c>
      <c r="D4744" s="6" t="str">
        <f>IFERROR(__xludf.DUMMYFUNCTION("""COMPUTED_VALUE"""),"Zayne Ivy")</f>
        <v>Zayne Ivy</v>
      </c>
      <c r="E4744" s="6" t="str">
        <f>IFERROR(__xludf.DUMMYFUNCTION("""COMPUTED_VALUE"""),"")</f>
        <v/>
      </c>
      <c r="F4744" s="6" t="str">
        <f>IFERROR(__xludf.DUMMYFUNCTION("""COMPUTED_VALUE"""),"Bedford")</f>
        <v>Bedford</v>
      </c>
      <c r="G4744" s="6" t="str">
        <f>IFERROR(__xludf.DUMMYFUNCTION("""COMPUTED_VALUE"""),"09/15/2014")</f>
        <v>09/15/2014</v>
      </c>
      <c r="H4744" s="6" t="str">
        <f>IFERROR(__xludf.DUMMYFUNCTION("""COMPUTED_VALUE"""),"female")</f>
        <v>female</v>
      </c>
      <c r="I4744" s="6" t="str">
        <f>IFERROR(__xludf.DUMMYFUNCTION("""COMPUTED_VALUE"""),"Middle School")</f>
        <v>Middle School</v>
      </c>
      <c r="J4744" s="6" t="str">
        <f>IFERROR(__xludf.DUMMYFUNCTION("""COMPUTED_VALUE"""),"6")</f>
        <v>6</v>
      </c>
      <c r="K4744" s="6" t="str">
        <f>IFERROR(__xludf.DUMMYFUNCTION("""COMPUTED_VALUE"""),"zayneivy.bedford@2hourlearning.com")</f>
        <v>zayneivy.bedford@2hourlearning.com</v>
      </c>
      <c r="L4744" s="6" t="str">
        <f>IFERROR(__xludf.DUMMYFUNCTION("""COMPUTED_VALUE"""),"JHMS - Hardeeville Junior Senior High School")</f>
        <v>JHMS - Hardeeville Junior Senior High School</v>
      </c>
      <c r="M4744" s="6" t="str">
        <f>IFERROR(__xludf.DUMMYFUNCTION("""COMPUTED_VALUE"""),"")</f>
        <v/>
      </c>
      <c r="N4744" s="6" t="str">
        <f>IFERROR(__xludf.DUMMYFUNCTION("""COMPUTED_VALUE"""),"")</f>
        <v/>
      </c>
      <c r="O4744" s="87" t="str">
        <f>IFERROR(__xludf.DUMMYFUNCTION("""COMPUTED_VALUE"""),"https://drive.google.com/drive/folders/10T2cTQHqEJZqE-st6uFKPoI?usp=share_link")</f>
        <v>https://drive.google.com/drive/folders/10T2cTQHqEJZqE-st6uFKPoI?usp=share_link</v>
      </c>
      <c r="P4744" s="6" t="str">
        <f>IFERROR(__xludf.DUMMYFUNCTION("""COMPUTED_VALUE"""),"Zayne Ivy Bedford")</f>
        <v>Zayne Ivy Bedford</v>
      </c>
      <c r="Q4744" s="6" t="str">
        <f>IFERROR(__xludf.DUMMYFUNCTION("""COMPUTED_VALUE"""),"MS")</f>
        <v>MS</v>
      </c>
      <c r="R4744" s="6">
        <f>IFERROR(__xludf.DUMMYFUNCTION("""COMPUTED_VALUE"""),0.0)</f>
        <v>0</v>
      </c>
      <c r="S4744" s="6" t="str">
        <f>IFERROR(__xludf.DUMMYFUNCTION("""COMPUTED_VALUE"""),"Kimberly Ball")</f>
        <v>Kimberly Ball</v>
      </c>
      <c r="T4744" s="6" t="str">
        <f>IFERROR(__xludf.DUMMYFUNCTION("""COMPUTED_VALUE"""),"kimberly.ball@studient.com")</f>
        <v>kimberly.ball@studient.com</v>
      </c>
      <c r="U4744" s="6" t="str">
        <f>IFERROR(__xludf.DUMMYFUNCTION("""COMPUTED_VALUE"""),"6")</f>
        <v>6</v>
      </c>
      <c r="V4744" s="6" t="str">
        <f>IFERROR(__xludf.DUMMYFUNCTION("""COMPUTED_VALUE"""),"")</f>
        <v/>
      </c>
      <c r="W4744" s="6" t="str">
        <f>IFERROR(__xludf.DUMMYFUNCTION("""COMPUTED_VALUE"""),"[]")</f>
        <v>[]</v>
      </c>
      <c r="X4744" s="6" t="str">
        <f>IFERROR(__xludf.DUMMYFUNCTION("""COMPUTED_VALUE"""),"Enrolled")</f>
        <v>Enrolled</v>
      </c>
    </row>
    <row r="4745">
      <c r="A4745" s="6" t="str">
        <f>IFERROR(__xludf.DUMMYFUNCTION("""COMPUTED_VALUE"""),"084-13107")</f>
        <v>084-13107</v>
      </c>
      <c r="B4745" s="6" t="str">
        <f>IFERROR(__xludf.DUMMYFUNCTION("""COMPUTED_VALUE"""),"84")</f>
        <v>84</v>
      </c>
      <c r="C4745" s="6" t="str">
        <f>IFERROR(__xludf.DUMMYFUNCTION("""COMPUTED_VALUE"""),"13107")</f>
        <v>13107</v>
      </c>
      <c r="D4745" s="6" t="str">
        <f>IFERROR(__xludf.DUMMYFUNCTION("""COMPUTED_VALUE"""),"Miguel")</f>
        <v>Miguel</v>
      </c>
      <c r="E4745" s="6" t="str">
        <f>IFERROR(__xludf.DUMMYFUNCTION("""COMPUTED_VALUE"""),"")</f>
        <v/>
      </c>
      <c r="F4745" s="6" t="str">
        <f>IFERROR(__xludf.DUMMYFUNCTION("""COMPUTED_VALUE"""),"Beltran Duarte")</f>
        <v>Beltran Duarte</v>
      </c>
      <c r="G4745" s="6" t="str">
        <f>IFERROR(__xludf.DUMMYFUNCTION("""COMPUTED_VALUE"""),"10/17/2013")</f>
        <v>10/17/2013</v>
      </c>
      <c r="H4745" s="6" t="str">
        <f>IFERROR(__xludf.DUMMYFUNCTION("""COMPUTED_VALUE"""),"male")</f>
        <v>male</v>
      </c>
      <c r="I4745" s="6" t="str">
        <f>IFERROR(__xludf.DUMMYFUNCTION("""COMPUTED_VALUE"""),"Middle School")</f>
        <v>Middle School</v>
      </c>
      <c r="J4745" s="6" t="str">
        <f>IFERROR(__xludf.DUMMYFUNCTION("""COMPUTED_VALUE"""),"6")</f>
        <v>6</v>
      </c>
      <c r="K4745" s="6" t="str">
        <f>IFERROR(__xludf.DUMMYFUNCTION("""COMPUTED_VALUE"""),"miguel.beltranduarte@2hourlearning.com")</f>
        <v>miguel.beltranduarte@2hourlearning.com</v>
      </c>
      <c r="L4745" s="6" t="str">
        <f>IFERROR(__xludf.DUMMYFUNCTION("""COMPUTED_VALUE"""),"JHMS - Hardeeville Junior Senior High School")</f>
        <v>JHMS - Hardeeville Junior Senior High School</v>
      </c>
      <c r="M4745" s="6" t="str">
        <f>IFERROR(__xludf.DUMMYFUNCTION("""COMPUTED_VALUE"""),"")</f>
        <v/>
      </c>
      <c r="N4745" s="6" t="str">
        <f>IFERROR(__xludf.DUMMYFUNCTION("""COMPUTED_VALUE"""),"")</f>
        <v/>
      </c>
      <c r="O4745" s="87" t="str">
        <f>IFERROR(__xludf.DUMMYFUNCTION("""COMPUTED_VALUE"""),"https://drive.google.com/drive/folders/10T2cTQHqEJZqE-st6uFKPoI?usp=share_link")</f>
        <v>https://drive.google.com/drive/folders/10T2cTQHqEJZqE-st6uFKPoI?usp=share_link</v>
      </c>
      <c r="P4745" s="6" t="str">
        <f>IFERROR(__xludf.DUMMYFUNCTION("""COMPUTED_VALUE"""),"Miguel Beltran Duarte")</f>
        <v>Miguel Beltran Duarte</v>
      </c>
      <c r="Q4745" s="6" t="str">
        <f>IFERROR(__xludf.DUMMYFUNCTION("""COMPUTED_VALUE"""),"MS")</f>
        <v>MS</v>
      </c>
      <c r="R4745" s="6">
        <f>IFERROR(__xludf.DUMMYFUNCTION("""COMPUTED_VALUE"""),0.0)</f>
        <v>0</v>
      </c>
      <c r="S4745" s="6" t="str">
        <f>IFERROR(__xludf.DUMMYFUNCTION("""COMPUTED_VALUE"""),"Kimberly Ball")</f>
        <v>Kimberly Ball</v>
      </c>
      <c r="T4745" s="6" t="str">
        <f>IFERROR(__xludf.DUMMYFUNCTION("""COMPUTED_VALUE"""),"kimberly.ball@studient.com")</f>
        <v>kimberly.ball@studient.com</v>
      </c>
      <c r="U4745" s="6" t="str">
        <f>IFERROR(__xludf.DUMMYFUNCTION("""COMPUTED_VALUE"""),"6")</f>
        <v>6</v>
      </c>
      <c r="V4745" s="6" t="str">
        <f>IFERROR(__xludf.DUMMYFUNCTION("""COMPUTED_VALUE"""),"")</f>
        <v/>
      </c>
      <c r="W4745" s="6" t="str">
        <f>IFERROR(__xludf.DUMMYFUNCTION("""COMPUTED_VALUE"""),"[]")</f>
        <v>[]</v>
      </c>
      <c r="X4745" s="6" t="str">
        <f>IFERROR(__xludf.DUMMYFUNCTION("""COMPUTED_VALUE"""),"Enrolled")</f>
        <v>Enrolled</v>
      </c>
    </row>
    <row r="4746">
      <c r="A4746" s="6" t="str">
        <f>IFERROR(__xludf.DUMMYFUNCTION("""COMPUTED_VALUE"""),"084-13108")</f>
        <v>084-13108</v>
      </c>
      <c r="B4746" s="6" t="str">
        <f>IFERROR(__xludf.DUMMYFUNCTION("""COMPUTED_VALUE"""),"84")</f>
        <v>84</v>
      </c>
      <c r="C4746" s="6" t="str">
        <f>IFERROR(__xludf.DUMMYFUNCTION("""COMPUTED_VALUE"""),"13108")</f>
        <v>13108</v>
      </c>
      <c r="D4746" s="6" t="str">
        <f>IFERROR(__xludf.DUMMYFUNCTION("""COMPUTED_VALUE"""),"Dayana")</f>
        <v>Dayana</v>
      </c>
      <c r="E4746" s="6" t="str">
        <f>IFERROR(__xludf.DUMMYFUNCTION("""COMPUTED_VALUE"""),"")</f>
        <v/>
      </c>
      <c r="F4746" s="6" t="str">
        <f>IFERROR(__xludf.DUMMYFUNCTION("""COMPUTED_VALUE"""),"Berduo Berduo")</f>
        <v>Berduo Berduo</v>
      </c>
      <c r="G4746" s="6" t="str">
        <f>IFERROR(__xludf.DUMMYFUNCTION("""COMPUTED_VALUE"""),"05/24/2013")</f>
        <v>05/24/2013</v>
      </c>
      <c r="H4746" s="6" t="str">
        <f>IFERROR(__xludf.DUMMYFUNCTION("""COMPUTED_VALUE"""),"male")</f>
        <v>male</v>
      </c>
      <c r="I4746" s="6" t="str">
        <f>IFERROR(__xludf.DUMMYFUNCTION("""COMPUTED_VALUE"""),"Middle School")</f>
        <v>Middle School</v>
      </c>
      <c r="J4746" s="6" t="str">
        <f>IFERROR(__xludf.DUMMYFUNCTION("""COMPUTED_VALUE"""),"6")</f>
        <v>6</v>
      </c>
      <c r="K4746" s="6" t="str">
        <f>IFERROR(__xludf.DUMMYFUNCTION("""COMPUTED_VALUE"""),"dayana.berduoberduo@2hourlearning.com")</f>
        <v>dayana.berduoberduo@2hourlearning.com</v>
      </c>
      <c r="L4746" s="6" t="str">
        <f>IFERROR(__xludf.DUMMYFUNCTION("""COMPUTED_VALUE"""),"JHMS - Hardeeville Junior Senior High School")</f>
        <v>JHMS - Hardeeville Junior Senior High School</v>
      </c>
      <c r="M4746" s="6" t="str">
        <f>IFERROR(__xludf.DUMMYFUNCTION("""COMPUTED_VALUE"""),"")</f>
        <v/>
      </c>
      <c r="N4746" s="6" t="str">
        <f>IFERROR(__xludf.DUMMYFUNCTION("""COMPUTED_VALUE"""),"")</f>
        <v/>
      </c>
      <c r="O4746" s="87" t="str">
        <f>IFERROR(__xludf.DUMMYFUNCTION("""COMPUTED_VALUE"""),"https://drive.google.com/drive/folders/10T2cTQHqEJZqE-st6uFKPoI?usp=share_link")</f>
        <v>https://drive.google.com/drive/folders/10T2cTQHqEJZqE-st6uFKPoI?usp=share_link</v>
      </c>
      <c r="P4746" s="6" t="str">
        <f>IFERROR(__xludf.DUMMYFUNCTION("""COMPUTED_VALUE"""),"Dayana Berduo Berduo")</f>
        <v>Dayana Berduo Berduo</v>
      </c>
      <c r="Q4746" s="6" t="str">
        <f>IFERROR(__xludf.DUMMYFUNCTION("""COMPUTED_VALUE"""),"MS")</f>
        <v>MS</v>
      </c>
      <c r="R4746" s="6">
        <f>IFERROR(__xludf.DUMMYFUNCTION("""COMPUTED_VALUE"""),0.0)</f>
        <v>0</v>
      </c>
      <c r="S4746" s="6" t="str">
        <f>IFERROR(__xludf.DUMMYFUNCTION("""COMPUTED_VALUE"""),"Kimberly Ball")</f>
        <v>Kimberly Ball</v>
      </c>
      <c r="T4746" s="6" t="str">
        <f>IFERROR(__xludf.DUMMYFUNCTION("""COMPUTED_VALUE"""),"kimberly.ball@studient.com")</f>
        <v>kimberly.ball@studient.com</v>
      </c>
      <c r="U4746" s="6" t="str">
        <f>IFERROR(__xludf.DUMMYFUNCTION("""COMPUTED_VALUE"""),"6")</f>
        <v>6</v>
      </c>
      <c r="V4746" s="6" t="str">
        <f>IFERROR(__xludf.DUMMYFUNCTION("""COMPUTED_VALUE"""),"")</f>
        <v/>
      </c>
      <c r="W4746" s="6" t="str">
        <f>IFERROR(__xludf.DUMMYFUNCTION("""COMPUTED_VALUE"""),"[]")</f>
        <v>[]</v>
      </c>
      <c r="X4746" s="6" t="str">
        <f>IFERROR(__xludf.DUMMYFUNCTION("""COMPUTED_VALUE"""),"Enrolled")</f>
        <v>Enrolled</v>
      </c>
    </row>
    <row r="4747">
      <c r="A4747" s="6" t="str">
        <f>IFERROR(__xludf.DUMMYFUNCTION("""COMPUTED_VALUE"""),"084-13109")</f>
        <v>084-13109</v>
      </c>
      <c r="B4747" s="6" t="str">
        <f>IFERROR(__xludf.DUMMYFUNCTION("""COMPUTED_VALUE"""),"84")</f>
        <v>84</v>
      </c>
      <c r="C4747" s="6" t="str">
        <f>IFERROR(__xludf.DUMMYFUNCTION("""COMPUTED_VALUE"""),"13109")</f>
        <v>13109</v>
      </c>
      <c r="D4747" s="6" t="str">
        <f>IFERROR(__xludf.DUMMYFUNCTION("""COMPUTED_VALUE"""),"Skyla")</f>
        <v>Skyla</v>
      </c>
      <c r="E4747" s="6" t="str">
        <f>IFERROR(__xludf.DUMMYFUNCTION("""COMPUTED_VALUE"""),"")</f>
        <v/>
      </c>
      <c r="F4747" s="6" t="str">
        <f>IFERROR(__xludf.DUMMYFUNCTION("""COMPUTED_VALUE"""),"Brown")</f>
        <v>Brown</v>
      </c>
      <c r="G4747" s="6" t="str">
        <f>IFERROR(__xludf.DUMMYFUNCTION("""COMPUTED_VALUE"""),"11/15/2013")</f>
        <v>11/15/2013</v>
      </c>
      <c r="H4747" s="6" t="str">
        <f>IFERROR(__xludf.DUMMYFUNCTION("""COMPUTED_VALUE"""),"female")</f>
        <v>female</v>
      </c>
      <c r="I4747" s="6" t="str">
        <f>IFERROR(__xludf.DUMMYFUNCTION("""COMPUTED_VALUE"""),"Middle School")</f>
        <v>Middle School</v>
      </c>
      <c r="J4747" s="6" t="str">
        <f>IFERROR(__xludf.DUMMYFUNCTION("""COMPUTED_VALUE"""),"6")</f>
        <v>6</v>
      </c>
      <c r="K4747" s="6" t="str">
        <f>IFERROR(__xludf.DUMMYFUNCTION("""COMPUTED_VALUE"""),"skyla.brown@2hourlearning.com")</f>
        <v>skyla.brown@2hourlearning.com</v>
      </c>
      <c r="L4747" s="6" t="str">
        <f>IFERROR(__xludf.DUMMYFUNCTION("""COMPUTED_VALUE"""),"JHMS - Hardeeville Junior Senior High School")</f>
        <v>JHMS - Hardeeville Junior Senior High School</v>
      </c>
      <c r="M4747" s="6" t="str">
        <f>IFERROR(__xludf.DUMMYFUNCTION("""COMPUTED_VALUE"""),"")</f>
        <v/>
      </c>
      <c r="N4747" s="6" t="str">
        <f>IFERROR(__xludf.DUMMYFUNCTION("""COMPUTED_VALUE"""),"")</f>
        <v/>
      </c>
      <c r="O4747" s="87" t="str">
        <f>IFERROR(__xludf.DUMMYFUNCTION("""COMPUTED_VALUE"""),"https://drive.google.com/drive/folders/10T2cTQHqEJZqE-st6uFKPoI?usp=share_link")</f>
        <v>https://drive.google.com/drive/folders/10T2cTQHqEJZqE-st6uFKPoI?usp=share_link</v>
      </c>
      <c r="P4747" s="6" t="str">
        <f>IFERROR(__xludf.DUMMYFUNCTION("""COMPUTED_VALUE"""),"Skyla Brown")</f>
        <v>Skyla Brown</v>
      </c>
      <c r="Q4747" s="6" t="str">
        <f>IFERROR(__xludf.DUMMYFUNCTION("""COMPUTED_VALUE"""),"MS")</f>
        <v>MS</v>
      </c>
      <c r="R4747" s="6">
        <f>IFERROR(__xludf.DUMMYFUNCTION("""COMPUTED_VALUE"""),0.0)</f>
        <v>0</v>
      </c>
      <c r="S4747" s="6" t="str">
        <f>IFERROR(__xludf.DUMMYFUNCTION("""COMPUTED_VALUE"""),"Kimberly Ball")</f>
        <v>Kimberly Ball</v>
      </c>
      <c r="T4747" s="6" t="str">
        <f>IFERROR(__xludf.DUMMYFUNCTION("""COMPUTED_VALUE"""),"kimberly.ball@studient.com")</f>
        <v>kimberly.ball@studient.com</v>
      </c>
      <c r="U4747" s="6" t="str">
        <f>IFERROR(__xludf.DUMMYFUNCTION("""COMPUTED_VALUE"""),"6")</f>
        <v>6</v>
      </c>
      <c r="V4747" s="6" t="str">
        <f>IFERROR(__xludf.DUMMYFUNCTION("""COMPUTED_VALUE"""),"")</f>
        <v/>
      </c>
      <c r="W4747" s="6" t="str">
        <f>IFERROR(__xludf.DUMMYFUNCTION("""COMPUTED_VALUE"""),"[]")</f>
        <v>[]</v>
      </c>
      <c r="X4747" s="6" t="str">
        <f>IFERROR(__xludf.DUMMYFUNCTION("""COMPUTED_VALUE"""),"Enrolled")</f>
        <v>Enrolled</v>
      </c>
    </row>
    <row r="4748">
      <c r="A4748" s="6" t="str">
        <f>IFERROR(__xludf.DUMMYFUNCTION("""COMPUTED_VALUE"""),"084-13110")</f>
        <v>084-13110</v>
      </c>
      <c r="B4748" s="6" t="str">
        <f>IFERROR(__xludf.DUMMYFUNCTION("""COMPUTED_VALUE"""),"84")</f>
        <v>84</v>
      </c>
      <c r="C4748" s="6" t="str">
        <f>IFERROR(__xludf.DUMMYFUNCTION("""COMPUTED_VALUE"""),"13110")</f>
        <v>13110</v>
      </c>
      <c r="D4748" s="6" t="str">
        <f>IFERROR(__xludf.DUMMYFUNCTION("""COMPUTED_VALUE"""),"Milton")</f>
        <v>Milton</v>
      </c>
      <c r="E4748" s="6" t="str">
        <f>IFERROR(__xludf.DUMMYFUNCTION("""COMPUTED_VALUE"""),"")</f>
        <v/>
      </c>
      <c r="F4748" s="6" t="str">
        <f>IFERROR(__xludf.DUMMYFUNCTION("""COMPUTED_VALUE"""),"Caceres Medina")</f>
        <v>Caceres Medina</v>
      </c>
      <c r="G4748" s="6" t="str">
        <f>IFERROR(__xludf.DUMMYFUNCTION("""COMPUTED_VALUE"""),"01/24/2014")</f>
        <v>01/24/2014</v>
      </c>
      <c r="H4748" s="6" t="str">
        <f>IFERROR(__xludf.DUMMYFUNCTION("""COMPUTED_VALUE"""),"Self Identify")</f>
        <v>Self Identify</v>
      </c>
      <c r="I4748" s="6" t="str">
        <f>IFERROR(__xludf.DUMMYFUNCTION("""COMPUTED_VALUE"""),"Middle School")</f>
        <v>Middle School</v>
      </c>
      <c r="J4748" s="6" t="str">
        <f>IFERROR(__xludf.DUMMYFUNCTION("""COMPUTED_VALUE"""),"6")</f>
        <v>6</v>
      </c>
      <c r="K4748" s="6" t="str">
        <f>IFERROR(__xludf.DUMMYFUNCTION("""COMPUTED_VALUE"""),"milton.caceresmedina@2hourlearning.com")</f>
        <v>milton.caceresmedina@2hourlearning.com</v>
      </c>
      <c r="L4748" s="6" t="str">
        <f>IFERROR(__xludf.DUMMYFUNCTION("""COMPUTED_VALUE"""),"JHMS - Hardeeville Junior Senior High School")</f>
        <v>JHMS - Hardeeville Junior Senior High School</v>
      </c>
      <c r="M4748" s="6" t="str">
        <f>IFERROR(__xludf.DUMMYFUNCTION("""COMPUTED_VALUE"""),"")</f>
        <v/>
      </c>
      <c r="N4748" s="6" t="str">
        <f>IFERROR(__xludf.DUMMYFUNCTION("""COMPUTED_VALUE"""),"")</f>
        <v/>
      </c>
      <c r="O4748" s="87" t="str">
        <f>IFERROR(__xludf.DUMMYFUNCTION("""COMPUTED_VALUE"""),"https://drive.google.com/drive/folders/10T2cTQHqEJZqE-st6uFKPoI?usp=share_link")</f>
        <v>https://drive.google.com/drive/folders/10T2cTQHqEJZqE-st6uFKPoI?usp=share_link</v>
      </c>
      <c r="P4748" s="6" t="str">
        <f>IFERROR(__xludf.DUMMYFUNCTION("""COMPUTED_VALUE"""),"Milton Caceres Medina")</f>
        <v>Milton Caceres Medina</v>
      </c>
      <c r="Q4748" s="6" t="str">
        <f>IFERROR(__xludf.DUMMYFUNCTION("""COMPUTED_VALUE"""),"MS")</f>
        <v>MS</v>
      </c>
      <c r="R4748" s="6">
        <f>IFERROR(__xludf.DUMMYFUNCTION("""COMPUTED_VALUE"""),0.0)</f>
        <v>0</v>
      </c>
      <c r="S4748" s="6" t="str">
        <f>IFERROR(__xludf.DUMMYFUNCTION("""COMPUTED_VALUE"""),"Kimberly Ball")</f>
        <v>Kimberly Ball</v>
      </c>
      <c r="T4748" s="6" t="str">
        <f>IFERROR(__xludf.DUMMYFUNCTION("""COMPUTED_VALUE"""),"kimberly.ball@studient.com")</f>
        <v>kimberly.ball@studient.com</v>
      </c>
      <c r="U4748" s="6" t="str">
        <f>IFERROR(__xludf.DUMMYFUNCTION("""COMPUTED_VALUE"""),"6")</f>
        <v>6</v>
      </c>
      <c r="V4748" s="6" t="str">
        <f>IFERROR(__xludf.DUMMYFUNCTION("""COMPUTED_VALUE"""),"")</f>
        <v/>
      </c>
      <c r="W4748" s="6" t="str">
        <f>IFERROR(__xludf.DUMMYFUNCTION("""COMPUTED_VALUE"""),"[]")</f>
        <v>[]</v>
      </c>
      <c r="X4748" s="6" t="str">
        <f>IFERROR(__xludf.DUMMYFUNCTION("""COMPUTED_VALUE"""),"Enrolled")</f>
        <v>Enrolled</v>
      </c>
    </row>
    <row r="4749">
      <c r="A4749" s="6" t="str">
        <f>IFERROR(__xludf.DUMMYFUNCTION("""COMPUTED_VALUE"""),"084-13111")</f>
        <v>084-13111</v>
      </c>
      <c r="B4749" s="6" t="str">
        <f>IFERROR(__xludf.DUMMYFUNCTION("""COMPUTED_VALUE"""),"84")</f>
        <v>84</v>
      </c>
      <c r="C4749" s="6" t="str">
        <f>IFERROR(__xludf.DUMMYFUNCTION("""COMPUTED_VALUE"""),"13111")</f>
        <v>13111</v>
      </c>
      <c r="D4749" s="6" t="str">
        <f>IFERROR(__xludf.DUMMYFUNCTION("""COMPUTED_VALUE"""),"Karol")</f>
        <v>Karol</v>
      </c>
      <c r="E4749" s="6" t="str">
        <f>IFERROR(__xludf.DUMMYFUNCTION("""COMPUTED_VALUE"""),"")</f>
        <v/>
      </c>
      <c r="F4749" s="6" t="str">
        <f>IFERROR(__xludf.DUMMYFUNCTION("""COMPUTED_VALUE"""),"Cano Reyna")</f>
        <v>Cano Reyna</v>
      </c>
      <c r="G4749" s="6" t="str">
        <f>IFERROR(__xludf.DUMMYFUNCTION("""COMPUTED_VALUE"""),"08/05/2014")</f>
        <v>08/05/2014</v>
      </c>
      <c r="H4749" s="6" t="str">
        <f>IFERROR(__xludf.DUMMYFUNCTION("""COMPUTED_VALUE"""),"male")</f>
        <v>male</v>
      </c>
      <c r="I4749" s="6" t="str">
        <f>IFERROR(__xludf.DUMMYFUNCTION("""COMPUTED_VALUE"""),"Middle School")</f>
        <v>Middle School</v>
      </c>
      <c r="J4749" s="6" t="str">
        <f>IFERROR(__xludf.DUMMYFUNCTION("""COMPUTED_VALUE"""),"6")</f>
        <v>6</v>
      </c>
      <c r="K4749" s="6" t="str">
        <f>IFERROR(__xludf.DUMMYFUNCTION("""COMPUTED_VALUE"""),"karol.canoreyna@2hourlearning.com")</f>
        <v>karol.canoreyna@2hourlearning.com</v>
      </c>
      <c r="L4749" s="6" t="str">
        <f>IFERROR(__xludf.DUMMYFUNCTION("""COMPUTED_VALUE"""),"JHMS - Hardeeville Junior Senior High School")</f>
        <v>JHMS - Hardeeville Junior Senior High School</v>
      </c>
      <c r="M4749" s="6" t="str">
        <f>IFERROR(__xludf.DUMMYFUNCTION("""COMPUTED_VALUE"""),"")</f>
        <v/>
      </c>
      <c r="N4749" s="6" t="str">
        <f>IFERROR(__xludf.DUMMYFUNCTION("""COMPUTED_VALUE"""),"")</f>
        <v/>
      </c>
      <c r="O4749" s="87" t="str">
        <f>IFERROR(__xludf.DUMMYFUNCTION("""COMPUTED_VALUE"""),"https://drive.google.com/drive/folders/10T2cTQHqEJZqE-st6uFKPoI?usp=share_link")</f>
        <v>https://drive.google.com/drive/folders/10T2cTQHqEJZqE-st6uFKPoI?usp=share_link</v>
      </c>
      <c r="P4749" s="6" t="str">
        <f>IFERROR(__xludf.DUMMYFUNCTION("""COMPUTED_VALUE"""),"Karol Cano Reyna")</f>
        <v>Karol Cano Reyna</v>
      </c>
      <c r="Q4749" s="6" t="str">
        <f>IFERROR(__xludf.DUMMYFUNCTION("""COMPUTED_VALUE"""),"MS")</f>
        <v>MS</v>
      </c>
      <c r="R4749" s="6">
        <f>IFERROR(__xludf.DUMMYFUNCTION("""COMPUTED_VALUE"""),0.0)</f>
        <v>0</v>
      </c>
      <c r="S4749" s="6" t="str">
        <f>IFERROR(__xludf.DUMMYFUNCTION("""COMPUTED_VALUE"""),"Kimberly Ball")</f>
        <v>Kimberly Ball</v>
      </c>
      <c r="T4749" s="6" t="str">
        <f>IFERROR(__xludf.DUMMYFUNCTION("""COMPUTED_VALUE"""),"kimberly.ball@studient.com")</f>
        <v>kimberly.ball@studient.com</v>
      </c>
      <c r="U4749" s="6" t="str">
        <f>IFERROR(__xludf.DUMMYFUNCTION("""COMPUTED_VALUE"""),"6")</f>
        <v>6</v>
      </c>
      <c r="V4749" s="6" t="str">
        <f>IFERROR(__xludf.DUMMYFUNCTION("""COMPUTED_VALUE"""),"")</f>
        <v/>
      </c>
      <c r="W4749" s="6" t="str">
        <f>IFERROR(__xludf.DUMMYFUNCTION("""COMPUTED_VALUE"""),"[]")</f>
        <v>[]</v>
      </c>
      <c r="X4749" s="6" t="str">
        <f>IFERROR(__xludf.DUMMYFUNCTION("""COMPUTED_VALUE"""),"Enrolled")</f>
        <v>Enrolled</v>
      </c>
    </row>
    <row r="4750">
      <c r="A4750" s="6" t="str">
        <f>IFERROR(__xludf.DUMMYFUNCTION("""COMPUTED_VALUE"""),"084-13112")</f>
        <v>084-13112</v>
      </c>
      <c r="B4750" s="6" t="str">
        <f>IFERROR(__xludf.DUMMYFUNCTION("""COMPUTED_VALUE"""),"84")</f>
        <v>84</v>
      </c>
      <c r="C4750" s="6" t="str">
        <f>IFERROR(__xludf.DUMMYFUNCTION("""COMPUTED_VALUE"""),"13112")</f>
        <v>13112</v>
      </c>
      <c r="D4750" s="6" t="str">
        <f>IFERROR(__xludf.DUMMYFUNCTION("""COMPUTED_VALUE"""),"Jasmine")</f>
        <v>Jasmine</v>
      </c>
      <c r="E4750" s="6" t="str">
        <f>IFERROR(__xludf.DUMMYFUNCTION("""COMPUTED_VALUE"""),"")</f>
        <v/>
      </c>
      <c r="F4750" s="6" t="str">
        <f>IFERROR(__xludf.DUMMYFUNCTION("""COMPUTED_VALUE"""),"Carpenter")</f>
        <v>Carpenter</v>
      </c>
      <c r="G4750" s="6" t="str">
        <f>IFERROR(__xludf.DUMMYFUNCTION("""COMPUTED_VALUE"""),"01/10/2014")</f>
        <v>01/10/2014</v>
      </c>
      <c r="H4750" s="6" t="str">
        <f>IFERROR(__xludf.DUMMYFUNCTION("""COMPUTED_VALUE"""),"male")</f>
        <v>male</v>
      </c>
      <c r="I4750" s="6" t="str">
        <f>IFERROR(__xludf.DUMMYFUNCTION("""COMPUTED_VALUE"""),"Middle School")</f>
        <v>Middle School</v>
      </c>
      <c r="J4750" s="6" t="str">
        <f>IFERROR(__xludf.DUMMYFUNCTION("""COMPUTED_VALUE"""),"6")</f>
        <v>6</v>
      </c>
      <c r="K4750" s="6" t="str">
        <f>IFERROR(__xludf.DUMMYFUNCTION("""COMPUTED_VALUE"""),"jasmine.carpenter@2hourlearning.com")</f>
        <v>jasmine.carpenter@2hourlearning.com</v>
      </c>
      <c r="L4750" s="6" t="str">
        <f>IFERROR(__xludf.DUMMYFUNCTION("""COMPUTED_VALUE"""),"JHMS - Hardeeville Junior Senior High School")</f>
        <v>JHMS - Hardeeville Junior Senior High School</v>
      </c>
      <c r="M4750" s="6" t="str">
        <f>IFERROR(__xludf.DUMMYFUNCTION("""COMPUTED_VALUE"""),"")</f>
        <v/>
      </c>
      <c r="N4750" s="6" t="str">
        <f>IFERROR(__xludf.DUMMYFUNCTION("""COMPUTED_VALUE"""),"")</f>
        <v/>
      </c>
      <c r="O4750" s="87" t="str">
        <f>IFERROR(__xludf.DUMMYFUNCTION("""COMPUTED_VALUE"""),"https://drive.google.com/drive/folders/10T2cTQHqEJZqE-st6uFKPoI?usp=share_link")</f>
        <v>https://drive.google.com/drive/folders/10T2cTQHqEJZqE-st6uFKPoI?usp=share_link</v>
      </c>
      <c r="P4750" s="6" t="str">
        <f>IFERROR(__xludf.DUMMYFUNCTION("""COMPUTED_VALUE"""),"Jasmine Carpenter")</f>
        <v>Jasmine Carpenter</v>
      </c>
      <c r="Q4750" s="6" t="str">
        <f>IFERROR(__xludf.DUMMYFUNCTION("""COMPUTED_VALUE"""),"MS")</f>
        <v>MS</v>
      </c>
      <c r="R4750" s="6">
        <f>IFERROR(__xludf.DUMMYFUNCTION("""COMPUTED_VALUE"""),0.0)</f>
        <v>0</v>
      </c>
      <c r="S4750" s="6" t="str">
        <f>IFERROR(__xludf.DUMMYFUNCTION("""COMPUTED_VALUE"""),"Kimberly Ball")</f>
        <v>Kimberly Ball</v>
      </c>
      <c r="T4750" s="6" t="str">
        <f>IFERROR(__xludf.DUMMYFUNCTION("""COMPUTED_VALUE"""),"kimberly.ball@studient.com")</f>
        <v>kimberly.ball@studient.com</v>
      </c>
      <c r="U4750" s="6" t="str">
        <f>IFERROR(__xludf.DUMMYFUNCTION("""COMPUTED_VALUE"""),"6")</f>
        <v>6</v>
      </c>
      <c r="V4750" s="6" t="str">
        <f>IFERROR(__xludf.DUMMYFUNCTION("""COMPUTED_VALUE"""),"")</f>
        <v/>
      </c>
      <c r="W4750" s="6" t="str">
        <f>IFERROR(__xludf.DUMMYFUNCTION("""COMPUTED_VALUE"""),"[]")</f>
        <v>[]</v>
      </c>
      <c r="X4750" s="6" t="str">
        <f>IFERROR(__xludf.DUMMYFUNCTION("""COMPUTED_VALUE"""),"Enrolled")</f>
        <v>Enrolled</v>
      </c>
    </row>
    <row r="4751">
      <c r="A4751" s="6" t="str">
        <f>IFERROR(__xludf.DUMMYFUNCTION("""COMPUTED_VALUE"""),"084-13113")</f>
        <v>084-13113</v>
      </c>
      <c r="B4751" s="6" t="str">
        <f>IFERROR(__xludf.DUMMYFUNCTION("""COMPUTED_VALUE"""),"84")</f>
        <v>84</v>
      </c>
      <c r="C4751" s="6" t="str">
        <f>IFERROR(__xludf.DUMMYFUNCTION("""COMPUTED_VALUE"""),"13113")</f>
        <v>13113</v>
      </c>
      <c r="D4751" s="6" t="str">
        <f>IFERROR(__xludf.DUMMYFUNCTION("""COMPUTED_VALUE"""),"Kendyn")</f>
        <v>Kendyn</v>
      </c>
      <c r="E4751" s="6" t="str">
        <f>IFERROR(__xludf.DUMMYFUNCTION("""COMPUTED_VALUE"""),"")</f>
        <v/>
      </c>
      <c r="F4751" s="6" t="str">
        <f>IFERROR(__xludf.DUMMYFUNCTION("""COMPUTED_VALUE"""),"Casey")</f>
        <v>Casey</v>
      </c>
      <c r="G4751" s="6" t="str">
        <f>IFERROR(__xludf.DUMMYFUNCTION("""COMPUTED_VALUE"""),"12/22/2013")</f>
        <v>12/22/2013</v>
      </c>
      <c r="H4751" s="6" t="str">
        <f>IFERROR(__xludf.DUMMYFUNCTION("""COMPUTED_VALUE"""),"female")</f>
        <v>female</v>
      </c>
      <c r="I4751" s="6" t="str">
        <f>IFERROR(__xludf.DUMMYFUNCTION("""COMPUTED_VALUE"""),"Middle School")</f>
        <v>Middle School</v>
      </c>
      <c r="J4751" s="6" t="str">
        <f>IFERROR(__xludf.DUMMYFUNCTION("""COMPUTED_VALUE"""),"6")</f>
        <v>6</v>
      </c>
      <c r="K4751" s="6" t="str">
        <f>IFERROR(__xludf.DUMMYFUNCTION("""COMPUTED_VALUE"""),"kendyn.casey@2hourlearning.com")</f>
        <v>kendyn.casey@2hourlearning.com</v>
      </c>
      <c r="L4751" s="6" t="str">
        <f>IFERROR(__xludf.DUMMYFUNCTION("""COMPUTED_VALUE"""),"JHMS - Hardeeville Junior Senior High School")</f>
        <v>JHMS - Hardeeville Junior Senior High School</v>
      </c>
      <c r="M4751" s="6" t="str">
        <f>IFERROR(__xludf.DUMMYFUNCTION("""COMPUTED_VALUE"""),"")</f>
        <v/>
      </c>
      <c r="N4751" s="6" t="str">
        <f>IFERROR(__xludf.DUMMYFUNCTION("""COMPUTED_VALUE"""),"")</f>
        <v/>
      </c>
      <c r="O4751" s="87" t="str">
        <f>IFERROR(__xludf.DUMMYFUNCTION("""COMPUTED_VALUE"""),"https://drive.google.com/drive/folders/10T2cTQHqEJZqE-st6uFKPoI?usp=share_link")</f>
        <v>https://drive.google.com/drive/folders/10T2cTQHqEJZqE-st6uFKPoI?usp=share_link</v>
      </c>
      <c r="P4751" s="6" t="str">
        <f>IFERROR(__xludf.DUMMYFUNCTION("""COMPUTED_VALUE"""),"Kendyn Casey")</f>
        <v>Kendyn Casey</v>
      </c>
      <c r="Q4751" s="6" t="str">
        <f>IFERROR(__xludf.DUMMYFUNCTION("""COMPUTED_VALUE"""),"MS")</f>
        <v>MS</v>
      </c>
      <c r="R4751" s="6">
        <f>IFERROR(__xludf.DUMMYFUNCTION("""COMPUTED_VALUE"""),0.0)</f>
        <v>0</v>
      </c>
      <c r="S4751" s="6" t="str">
        <f>IFERROR(__xludf.DUMMYFUNCTION("""COMPUTED_VALUE"""),"Kimberly Ball")</f>
        <v>Kimberly Ball</v>
      </c>
      <c r="T4751" s="6" t="str">
        <f>IFERROR(__xludf.DUMMYFUNCTION("""COMPUTED_VALUE"""),"kimberly.ball@studient.com")</f>
        <v>kimberly.ball@studient.com</v>
      </c>
      <c r="U4751" s="6" t="str">
        <f>IFERROR(__xludf.DUMMYFUNCTION("""COMPUTED_VALUE"""),"6")</f>
        <v>6</v>
      </c>
      <c r="V4751" s="6" t="str">
        <f>IFERROR(__xludf.DUMMYFUNCTION("""COMPUTED_VALUE"""),"")</f>
        <v/>
      </c>
      <c r="W4751" s="6" t="str">
        <f>IFERROR(__xludf.DUMMYFUNCTION("""COMPUTED_VALUE"""),"[]")</f>
        <v>[]</v>
      </c>
      <c r="X4751" s="6" t="str">
        <f>IFERROR(__xludf.DUMMYFUNCTION("""COMPUTED_VALUE"""),"Enrolled")</f>
        <v>Enrolled</v>
      </c>
    </row>
    <row r="4752">
      <c r="A4752" s="6" t="str">
        <f>IFERROR(__xludf.DUMMYFUNCTION("""COMPUTED_VALUE"""),"084-13114")</f>
        <v>084-13114</v>
      </c>
      <c r="B4752" s="6" t="str">
        <f>IFERROR(__xludf.DUMMYFUNCTION("""COMPUTED_VALUE"""),"84")</f>
        <v>84</v>
      </c>
      <c r="C4752" s="6" t="str">
        <f>IFERROR(__xludf.DUMMYFUNCTION("""COMPUTED_VALUE"""),"13114")</f>
        <v>13114</v>
      </c>
      <c r="D4752" s="6" t="str">
        <f>IFERROR(__xludf.DUMMYFUNCTION("""COMPUTED_VALUE"""),"Alexander")</f>
        <v>Alexander</v>
      </c>
      <c r="E4752" s="6" t="str">
        <f>IFERROR(__xludf.DUMMYFUNCTION("""COMPUTED_VALUE"""),"")</f>
        <v/>
      </c>
      <c r="F4752" s="6" t="str">
        <f>IFERROR(__xludf.DUMMYFUNCTION("""COMPUTED_VALUE"""),"Casildo Mota")</f>
        <v>Casildo Mota</v>
      </c>
      <c r="G4752" s="6" t="str">
        <f>IFERROR(__xludf.DUMMYFUNCTION("""COMPUTED_VALUE"""),"02/01/2014")</f>
        <v>02/01/2014</v>
      </c>
      <c r="H4752" s="6" t="str">
        <f>IFERROR(__xludf.DUMMYFUNCTION("""COMPUTED_VALUE"""),"female")</f>
        <v>female</v>
      </c>
      <c r="I4752" s="6" t="str">
        <f>IFERROR(__xludf.DUMMYFUNCTION("""COMPUTED_VALUE"""),"Middle School")</f>
        <v>Middle School</v>
      </c>
      <c r="J4752" s="6" t="str">
        <f>IFERROR(__xludf.DUMMYFUNCTION("""COMPUTED_VALUE"""),"6")</f>
        <v>6</v>
      </c>
      <c r="K4752" s="6" t="str">
        <f>IFERROR(__xludf.DUMMYFUNCTION("""COMPUTED_VALUE"""),"alexander.casildomota@2hourlearning.com")</f>
        <v>alexander.casildomota@2hourlearning.com</v>
      </c>
      <c r="L4752" s="6" t="str">
        <f>IFERROR(__xludf.DUMMYFUNCTION("""COMPUTED_VALUE"""),"JHMS - Hardeeville Junior Senior High School")</f>
        <v>JHMS - Hardeeville Junior Senior High School</v>
      </c>
      <c r="M4752" s="6" t="str">
        <f>IFERROR(__xludf.DUMMYFUNCTION("""COMPUTED_VALUE"""),"")</f>
        <v/>
      </c>
      <c r="N4752" s="6" t="str">
        <f>IFERROR(__xludf.DUMMYFUNCTION("""COMPUTED_VALUE"""),"")</f>
        <v/>
      </c>
      <c r="O4752" s="87" t="str">
        <f>IFERROR(__xludf.DUMMYFUNCTION("""COMPUTED_VALUE"""),"https://drive.google.com/drive/folders/10T2cTQHqEJZqE-st6uFKPoI?usp=share_link")</f>
        <v>https://drive.google.com/drive/folders/10T2cTQHqEJZqE-st6uFKPoI?usp=share_link</v>
      </c>
      <c r="P4752" s="6" t="str">
        <f>IFERROR(__xludf.DUMMYFUNCTION("""COMPUTED_VALUE"""),"Alexander Casildo Mota")</f>
        <v>Alexander Casildo Mota</v>
      </c>
      <c r="Q4752" s="6" t="str">
        <f>IFERROR(__xludf.DUMMYFUNCTION("""COMPUTED_VALUE"""),"MS")</f>
        <v>MS</v>
      </c>
      <c r="R4752" s="6">
        <f>IFERROR(__xludf.DUMMYFUNCTION("""COMPUTED_VALUE"""),0.0)</f>
        <v>0</v>
      </c>
      <c r="S4752" s="6" t="str">
        <f>IFERROR(__xludf.DUMMYFUNCTION("""COMPUTED_VALUE"""),"Kimberly Ball")</f>
        <v>Kimberly Ball</v>
      </c>
      <c r="T4752" s="6" t="str">
        <f>IFERROR(__xludf.DUMMYFUNCTION("""COMPUTED_VALUE"""),"kimberly.ball@studient.com")</f>
        <v>kimberly.ball@studient.com</v>
      </c>
      <c r="U4752" s="6" t="str">
        <f>IFERROR(__xludf.DUMMYFUNCTION("""COMPUTED_VALUE"""),"6")</f>
        <v>6</v>
      </c>
      <c r="V4752" s="6" t="str">
        <f>IFERROR(__xludf.DUMMYFUNCTION("""COMPUTED_VALUE"""),"")</f>
        <v/>
      </c>
      <c r="W4752" s="6" t="str">
        <f>IFERROR(__xludf.DUMMYFUNCTION("""COMPUTED_VALUE"""),"[]")</f>
        <v>[]</v>
      </c>
      <c r="X4752" s="6" t="str">
        <f>IFERROR(__xludf.DUMMYFUNCTION("""COMPUTED_VALUE"""),"Enrolled")</f>
        <v>Enrolled</v>
      </c>
    </row>
    <row r="4753">
      <c r="A4753" s="6" t="str">
        <f>IFERROR(__xludf.DUMMYFUNCTION("""COMPUTED_VALUE"""),"084-13115")</f>
        <v>084-13115</v>
      </c>
      <c r="B4753" s="6" t="str">
        <f>IFERROR(__xludf.DUMMYFUNCTION("""COMPUTED_VALUE"""),"84")</f>
        <v>84</v>
      </c>
      <c r="C4753" s="6" t="str">
        <f>IFERROR(__xludf.DUMMYFUNCTION("""COMPUTED_VALUE"""),"13115")</f>
        <v>13115</v>
      </c>
      <c r="D4753" s="6" t="str">
        <f>IFERROR(__xludf.DUMMYFUNCTION("""COMPUTED_VALUE"""),"Isabel")</f>
        <v>Isabel</v>
      </c>
      <c r="E4753" s="6" t="str">
        <f>IFERROR(__xludf.DUMMYFUNCTION("""COMPUTED_VALUE"""),"")</f>
        <v/>
      </c>
      <c r="F4753" s="6" t="str">
        <f>IFERROR(__xludf.DUMMYFUNCTION("""COMPUTED_VALUE"""),"Castorena Salgado")</f>
        <v>Castorena Salgado</v>
      </c>
      <c r="G4753" s="6" t="str">
        <f>IFERROR(__xludf.DUMMYFUNCTION("""COMPUTED_VALUE"""),"05/21/2014")</f>
        <v>05/21/2014</v>
      </c>
      <c r="H4753" s="6" t="str">
        <f>IFERROR(__xludf.DUMMYFUNCTION("""COMPUTED_VALUE"""),"male")</f>
        <v>male</v>
      </c>
      <c r="I4753" s="6" t="str">
        <f>IFERROR(__xludf.DUMMYFUNCTION("""COMPUTED_VALUE"""),"Middle School")</f>
        <v>Middle School</v>
      </c>
      <c r="J4753" s="6" t="str">
        <f>IFERROR(__xludf.DUMMYFUNCTION("""COMPUTED_VALUE"""),"6")</f>
        <v>6</v>
      </c>
      <c r="K4753" s="6" t="str">
        <f>IFERROR(__xludf.DUMMYFUNCTION("""COMPUTED_VALUE"""),"isabel.castorenasalgado@2hourlearning.com")</f>
        <v>isabel.castorenasalgado@2hourlearning.com</v>
      </c>
      <c r="L4753" s="6" t="str">
        <f>IFERROR(__xludf.DUMMYFUNCTION("""COMPUTED_VALUE"""),"JHMS - Hardeeville Junior Senior High School")</f>
        <v>JHMS - Hardeeville Junior Senior High School</v>
      </c>
      <c r="M4753" s="6" t="str">
        <f>IFERROR(__xludf.DUMMYFUNCTION("""COMPUTED_VALUE"""),"")</f>
        <v/>
      </c>
      <c r="N4753" s="6" t="str">
        <f>IFERROR(__xludf.DUMMYFUNCTION("""COMPUTED_VALUE"""),"")</f>
        <v/>
      </c>
      <c r="O4753" s="87" t="str">
        <f>IFERROR(__xludf.DUMMYFUNCTION("""COMPUTED_VALUE"""),"https://drive.google.com/drive/folders/10T2cTQHqEJZqE-st6uFKPoI?usp=share_link")</f>
        <v>https://drive.google.com/drive/folders/10T2cTQHqEJZqE-st6uFKPoI?usp=share_link</v>
      </c>
      <c r="P4753" s="6" t="str">
        <f>IFERROR(__xludf.DUMMYFUNCTION("""COMPUTED_VALUE"""),"Isabel Castorena Salgado")</f>
        <v>Isabel Castorena Salgado</v>
      </c>
      <c r="Q4753" s="6" t="str">
        <f>IFERROR(__xludf.DUMMYFUNCTION("""COMPUTED_VALUE"""),"MS")</f>
        <v>MS</v>
      </c>
      <c r="R4753" s="6">
        <f>IFERROR(__xludf.DUMMYFUNCTION("""COMPUTED_VALUE"""),0.0)</f>
        <v>0</v>
      </c>
      <c r="S4753" s="6" t="str">
        <f>IFERROR(__xludf.DUMMYFUNCTION("""COMPUTED_VALUE"""),"Kimberly Ball")</f>
        <v>Kimberly Ball</v>
      </c>
      <c r="T4753" s="6" t="str">
        <f>IFERROR(__xludf.DUMMYFUNCTION("""COMPUTED_VALUE"""),"kimberly.ball@studient.com")</f>
        <v>kimberly.ball@studient.com</v>
      </c>
      <c r="U4753" s="6" t="str">
        <f>IFERROR(__xludf.DUMMYFUNCTION("""COMPUTED_VALUE"""),"6")</f>
        <v>6</v>
      </c>
      <c r="V4753" s="6" t="str">
        <f>IFERROR(__xludf.DUMMYFUNCTION("""COMPUTED_VALUE"""),"")</f>
        <v/>
      </c>
      <c r="W4753" s="6" t="str">
        <f>IFERROR(__xludf.DUMMYFUNCTION("""COMPUTED_VALUE"""),"[]")</f>
        <v>[]</v>
      </c>
      <c r="X4753" s="6" t="str">
        <f>IFERROR(__xludf.DUMMYFUNCTION("""COMPUTED_VALUE"""),"Enrolled")</f>
        <v>Enrolled</v>
      </c>
    </row>
    <row r="4754">
      <c r="A4754" s="6" t="str">
        <f>IFERROR(__xludf.DUMMYFUNCTION("""COMPUTED_VALUE"""),"084-13116")</f>
        <v>084-13116</v>
      </c>
      <c r="B4754" s="6" t="str">
        <f>IFERROR(__xludf.DUMMYFUNCTION("""COMPUTED_VALUE"""),"84")</f>
        <v>84</v>
      </c>
      <c r="C4754" s="6" t="str">
        <f>IFERROR(__xludf.DUMMYFUNCTION("""COMPUTED_VALUE"""),"13116")</f>
        <v>13116</v>
      </c>
      <c r="D4754" s="6" t="str">
        <f>IFERROR(__xludf.DUMMYFUNCTION("""COMPUTED_VALUE"""),"Stacy")</f>
        <v>Stacy</v>
      </c>
      <c r="E4754" s="6" t="str">
        <f>IFERROR(__xludf.DUMMYFUNCTION("""COMPUTED_VALUE"""),"")</f>
        <v/>
      </c>
      <c r="F4754" s="6" t="str">
        <f>IFERROR(__xludf.DUMMYFUNCTION("""COMPUTED_VALUE"""),"Celestino-Orozco")</f>
        <v>Celestino-Orozco</v>
      </c>
      <c r="G4754" s="6" t="str">
        <f>IFERROR(__xludf.DUMMYFUNCTION("""COMPUTED_VALUE"""),"07/28/2014")</f>
        <v>07/28/2014</v>
      </c>
      <c r="H4754" s="6" t="str">
        <f>IFERROR(__xludf.DUMMYFUNCTION("""COMPUTED_VALUE"""),"female")</f>
        <v>female</v>
      </c>
      <c r="I4754" s="6" t="str">
        <f>IFERROR(__xludf.DUMMYFUNCTION("""COMPUTED_VALUE"""),"Middle School")</f>
        <v>Middle School</v>
      </c>
      <c r="J4754" s="6" t="str">
        <f>IFERROR(__xludf.DUMMYFUNCTION("""COMPUTED_VALUE"""),"6")</f>
        <v>6</v>
      </c>
      <c r="K4754" s="6" t="str">
        <f>IFERROR(__xludf.DUMMYFUNCTION("""COMPUTED_VALUE"""),"stacy.celestino-orozco@2hourlearning.com")</f>
        <v>stacy.celestino-orozco@2hourlearning.com</v>
      </c>
      <c r="L4754" s="6" t="str">
        <f>IFERROR(__xludf.DUMMYFUNCTION("""COMPUTED_VALUE"""),"JHMS - Hardeeville Junior Senior High School")</f>
        <v>JHMS - Hardeeville Junior Senior High School</v>
      </c>
      <c r="M4754" s="6" t="str">
        <f>IFERROR(__xludf.DUMMYFUNCTION("""COMPUTED_VALUE"""),"")</f>
        <v/>
      </c>
      <c r="N4754" s="6" t="str">
        <f>IFERROR(__xludf.DUMMYFUNCTION("""COMPUTED_VALUE"""),"")</f>
        <v/>
      </c>
      <c r="O4754" s="87" t="str">
        <f>IFERROR(__xludf.DUMMYFUNCTION("""COMPUTED_VALUE"""),"https://drive.google.com/drive/folders/10T2cTQHqEJZqE-st6uFKPoI?usp=share_link")</f>
        <v>https://drive.google.com/drive/folders/10T2cTQHqEJZqE-st6uFKPoI?usp=share_link</v>
      </c>
      <c r="P4754" s="6" t="str">
        <f>IFERROR(__xludf.DUMMYFUNCTION("""COMPUTED_VALUE"""),"Stacy Celestino-Orozco")</f>
        <v>Stacy Celestino-Orozco</v>
      </c>
      <c r="Q4754" s="6" t="str">
        <f>IFERROR(__xludf.DUMMYFUNCTION("""COMPUTED_VALUE"""),"MS")</f>
        <v>MS</v>
      </c>
      <c r="R4754" s="6">
        <f>IFERROR(__xludf.DUMMYFUNCTION("""COMPUTED_VALUE"""),0.0)</f>
        <v>0</v>
      </c>
      <c r="S4754" s="6" t="str">
        <f>IFERROR(__xludf.DUMMYFUNCTION("""COMPUTED_VALUE"""),"Kimberly Ball")</f>
        <v>Kimberly Ball</v>
      </c>
      <c r="T4754" s="6" t="str">
        <f>IFERROR(__xludf.DUMMYFUNCTION("""COMPUTED_VALUE"""),"kimberly.ball@studient.com")</f>
        <v>kimberly.ball@studient.com</v>
      </c>
      <c r="U4754" s="6" t="str">
        <f>IFERROR(__xludf.DUMMYFUNCTION("""COMPUTED_VALUE"""),"6")</f>
        <v>6</v>
      </c>
      <c r="V4754" s="6" t="str">
        <f>IFERROR(__xludf.DUMMYFUNCTION("""COMPUTED_VALUE"""),"")</f>
        <v/>
      </c>
      <c r="W4754" s="6" t="str">
        <f>IFERROR(__xludf.DUMMYFUNCTION("""COMPUTED_VALUE"""),"[]")</f>
        <v>[]</v>
      </c>
      <c r="X4754" s="6" t="str">
        <f>IFERROR(__xludf.DUMMYFUNCTION("""COMPUTED_VALUE"""),"Enrolled")</f>
        <v>Enrolled</v>
      </c>
    </row>
    <row r="4755">
      <c r="A4755" s="6" t="str">
        <f>IFERROR(__xludf.DUMMYFUNCTION("""COMPUTED_VALUE"""),"084-13117")</f>
        <v>084-13117</v>
      </c>
      <c r="B4755" s="6" t="str">
        <f>IFERROR(__xludf.DUMMYFUNCTION("""COMPUTED_VALUE"""),"84")</f>
        <v>84</v>
      </c>
      <c r="C4755" s="6" t="str">
        <f>IFERROR(__xludf.DUMMYFUNCTION("""COMPUTED_VALUE"""),"13117")</f>
        <v>13117</v>
      </c>
      <c r="D4755" s="6" t="str">
        <f>IFERROR(__xludf.DUMMYFUNCTION("""COMPUTED_VALUE"""),"Adan")</f>
        <v>Adan</v>
      </c>
      <c r="E4755" s="6" t="str">
        <f>IFERROR(__xludf.DUMMYFUNCTION("""COMPUTED_VALUE"""),"")</f>
        <v/>
      </c>
      <c r="F4755" s="6" t="str">
        <f>IFERROR(__xludf.DUMMYFUNCTION("""COMPUTED_VALUE"""),"Cervantes Gonzalez")</f>
        <v>Cervantes Gonzalez</v>
      </c>
      <c r="G4755" s="6" t="str">
        <f>IFERROR(__xludf.DUMMYFUNCTION("""COMPUTED_VALUE"""),"03/03/2014")</f>
        <v>03/03/2014</v>
      </c>
      <c r="H4755" s="6" t="str">
        <f>IFERROR(__xludf.DUMMYFUNCTION("""COMPUTED_VALUE"""),"male")</f>
        <v>male</v>
      </c>
      <c r="I4755" s="6" t="str">
        <f>IFERROR(__xludf.DUMMYFUNCTION("""COMPUTED_VALUE"""),"Middle School")</f>
        <v>Middle School</v>
      </c>
      <c r="J4755" s="6" t="str">
        <f>IFERROR(__xludf.DUMMYFUNCTION("""COMPUTED_VALUE"""),"6")</f>
        <v>6</v>
      </c>
      <c r="K4755" s="6" t="str">
        <f>IFERROR(__xludf.DUMMYFUNCTION("""COMPUTED_VALUE"""),"adan.cervantesgonzalez@2hourlearning.com")</f>
        <v>adan.cervantesgonzalez@2hourlearning.com</v>
      </c>
      <c r="L4755" s="6" t="str">
        <f>IFERROR(__xludf.DUMMYFUNCTION("""COMPUTED_VALUE"""),"JHMS - Hardeeville Junior Senior High School")</f>
        <v>JHMS - Hardeeville Junior Senior High School</v>
      </c>
      <c r="M4755" s="6" t="str">
        <f>IFERROR(__xludf.DUMMYFUNCTION("""COMPUTED_VALUE"""),"")</f>
        <v/>
      </c>
      <c r="N4755" s="6" t="str">
        <f>IFERROR(__xludf.DUMMYFUNCTION("""COMPUTED_VALUE"""),"")</f>
        <v/>
      </c>
      <c r="O4755" s="87" t="str">
        <f>IFERROR(__xludf.DUMMYFUNCTION("""COMPUTED_VALUE"""),"https://drive.google.com/drive/folders/10T2cTQHqEJZqE-st6uFKPoI?usp=share_link")</f>
        <v>https://drive.google.com/drive/folders/10T2cTQHqEJZqE-st6uFKPoI?usp=share_link</v>
      </c>
      <c r="P4755" s="6" t="str">
        <f>IFERROR(__xludf.DUMMYFUNCTION("""COMPUTED_VALUE"""),"Adan Cervantes Gonzalez")</f>
        <v>Adan Cervantes Gonzalez</v>
      </c>
      <c r="Q4755" s="6" t="str">
        <f>IFERROR(__xludf.DUMMYFUNCTION("""COMPUTED_VALUE"""),"MS")</f>
        <v>MS</v>
      </c>
      <c r="R4755" s="6">
        <f>IFERROR(__xludf.DUMMYFUNCTION("""COMPUTED_VALUE"""),0.0)</f>
        <v>0</v>
      </c>
      <c r="S4755" s="6" t="str">
        <f>IFERROR(__xludf.DUMMYFUNCTION("""COMPUTED_VALUE"""),"Kimberly Ball")</f>
        <v>Kimberly Ball</v>
      </c>
      <c r="T4755" s="6" t="str">
        <f>IFERROR(__xludf.DUMMYFUNCTION("""COMPUTED_VALUE"""),"kimberly.ball@studient.com")</f>
        <v>kimberly.ball@studient.com</v>
      </c>
      <c r="U4755" s="6" t="str">
        <f>IFERROR(__xludf.DUMMYFUNCTION("""COMPUTED_VALUE"""),"6")</f>
        <v>6</v>
      </c>
      <c r="V4755" s="6" t="str">
        <f>IFERROR(__xludf.DUMMYFUNCTION("""COMPUTED_VALUE"""),"")</f>
        <v/>
      </c>
      <c r="W4755" s="6" t="str">
        <f>IFERROR(__xludf.DUMMYFUNCTION("""COMPUTED_VALUE"""),"[]")</f>
        <v>[]</v>
      </c>
      <c r="X4755" s="6" t="str">
        <f>IFERROR(__xludf.DUMMYFUNCTION("""COMPUTED_VALUE"""),"Enrolled")</f>
        <v>Enrolled</v>
      </c>
    </row>
    <row r="4756">
      <c r="A4756" s="6" t="str">
        <f>IFERROR(__xludf.DUMMYFUNCTION("""COMPUTED_VALUE"""),"084-13118")</f>
        <v>084-13118</v>
      </c>
      <c r="B4756" s="6" t="str">
        <f>IFERROR(__xludf.DUMMYFUNCTION("""COMPUTED_VALUE"""),"84")</f>
        <v>84</v>
      </c>
      <c r="C4756" s="6" t="str">
        <f>IFERROR(__xludf.DUMMYFUNCTION("""COMPUTED_VALUE"""),"13118")</f>
        <v>13118</v>
      </c>
      <c r="D4756" s="6" t="str">
        <f>IFERROR(__xludf.DUMMYFUNCTION("""COMPUTED_VALUE"""),"Ka'Mira")</f>
        <v>Ka'Mira</v>
      </c>
      <c r="E4756" s="6" t="str">
        <f>IFERROR(__xludf.DUMMYFUNCTION("""COMPUTED_VALUE"""),"")</f>
        <v/>
      </c>
      <c r="F4756" s="6" t="str">
        <f>IFERROR(__xludf.DUMMYFUNCTION("""COMPUTED_VALUE"""),"Chaney-Nelson")</f>
        <v>Chaney-Nelson</v>
      </c>
      <c r="G4756" s="6" t="str">
        <f>IFERROR(__xludf.DUMMYFUNCTION("""COMPUTED_VALUE"""),"10/07/2013")</f>
        <v>10/07/2013</v>
      </c>
      <c r="H4756" s="6" t="str">
        <f>IFERROR(__xludf.DUMMYFUNCTION("""COMPUTED_VALUE"""),"female")</f>
        <v>female</v>
      </c>
      <c r="I4756" s="6" t="str">
        <f>IFERROR(__xludf.DUMMYFUNCTION("""COMPUTED_VALUE"""),"Middle School")</f>
        <v>Middle School</v>
      </c>
      <c r="J4756" s="6" t="str">
        <f>IFERROR(__xludf.DUMMYFUNCTION("""COMPUTED_VALUE"""),"6")</f>
        <v>6</v>
      </c>
      <c r="K4756" s="6" t="str">
        <f>IFERROR(__xludf.DUMMYFUNCTION("""COMPUTED_VALUE"""),"kamira.chaney-nelson@2hourlearning.com")</f>
        <v>kamira.chaney-nelson@2hourlearning.com</v>
      </c>
      <c r="L4756" s="6" t="str">
        <f>IFERROR(__xludf.DUMMYFUNCTION("""COMPUTED_VALUE"""),"JHMS - Hardeeville Junior Senior High School")</f>
        <v>JHMS - Hardeeville Junior Senior High School</v>
      </c>
      <c r="M4756" s="6" t="str">
        <f>IFERROR(__xludf.DUMMYFUNCTION("""COMPUTED_VALUE"""),"")</f>
        <v/>
      </c>
      <c r="N4756" s="6" t="str">
        <f>IFERROR(__xludf.DUMMYFUNCTION("""COMPUTED_VALUE"""),"")</f>
        <v/>
      </c>
      <c r="O4756" s="87" t="str">
        <f>IFERROR(__xludf.DUMMYFUNCTION("""COMPUTED_VALUE"""),"https://drive.google.com/drive/folders/10T2cTQHqEJZqE-st6uFKPoI?usp=share_link")</f>
        <v>https://drive.google.com/drive/folders/10T2cTQHqEJZqE-st6uFKPoI?usp=share_link</v>
      </c>
      <c r="P4756" s="6" t="str">
        <f>IFERROR(__xludf.DUMMYFUNCTION("""COMPUTED_VALUE"""),"Ka'Mira Chaney-Nelson")</f>
        <v>Ka'Mira Chaney-Nelson</v>
      </c>
      <c r="Q4756" s="6" t="str">
        <f>IFERROR(__xludf.DUMMYFUNCTION("""COMPUTED_VALUE"""),"MS")</f>
        <v>MS</v>
      </c>
      <c r="R4756" s="6">
        <f>IFERROR(__xludf.DUMMYFUNCTION("""COMPUTED_VALUE"""),0.0)</f>
        <v>0</v>
      </c>
      <c r="S4756" s="6" t="str">
        <f>IFERROR(__xludf.DUMMYFUNCTION("""COMPUTED_VALUE"""),"Kimberly Ball")</f>
        <v>Kimberly Ball</v>
      </c>
      <c r="T4756" s="6" t="str">
        <f>IFERROR(__xludf.DUMMYFUNCTION("""COMPUTED_VALUE"""),"kimberly.ball@studient.com")</f>
        <v>kimberly.ball@studient.com</v>
      </c>
      <c r="U4756" s="6" t="str">
        <f>IFERROR(__xludf.DUMMYFUNCTION("""COMPUTED_VALUE"""),"6")</f>
        <v>6</v>
      </c>
      <c r="V4756" s="6" t="str">
        <f>IFERROR(__xludf.DUMMYFUNCTION("""COMPUTED_VALUE"""),"")</f>
        <v/>
      </c>
      <c r="W4756" s="6" t="str">
        <f>IFERROR(__xludf.DUMMYFUNCTION("""COMPUTED_VALUE"""),"[]")</f>
        <v>[]</v>
      </c>
      <c r="X4756" s="6" t="str">
        <f>IFERROR(__xludf.DUMMYFUNCTION("""COMPUTED_VALUE"""),"Enrolled")</f>
        <v>Enrolled</v>
      </c>
    </row>
    <row r="4757">
      <c r="A4757" s="6" t="str">
        <f>IFERROR(__xludf.DUMMYFUNCTION("""COMPUTED_VALUE"""),"084-13119")</f>
        <v>084-13119</v>
      </c>
      <c r="B4757" s="6" t="str">
        <f>IFERROR(__xludf.DUMMYFUNCTION("""COMPUTED_VALUE"""),"84")</f>
        <v>84</v>
      </c>
      <c r="C4757" s="6" t="str">
        <f>IFERROR(__xludf.DUMMYFUNCTION("""COMPUTED_VALUE"""),"13119")</f>
        <v>13119</v>
      </c>
      <c r="D4757" s="6" t="str">
        <f>IFERROR(__xludf.DUMMYFUNCTION("""COMPUTED_VALUE"""),"Brandon")</f>
        <v>Brandon</v>
      </c>
      <c r="E4757" s="6" t="str">
        <f>IFERROR(__xludf.DUMMYFUNCTION("""COMPUTED_VALUE"""),"")</f>
        <v/>
      </c>
      <c r="F4757" s="6" t="str">
        <f>IFERROR(__xludf.DUMMYFUNCTION("""COMPUTED_VALUE"""),"Chavez De Jesus")</f>
        <v>Chavez De Jesus</v>
      </c>
      <c r="G4757" s="6" t="str">
        <f>IFERROR(__xludf.DUMMYFUNCTION("""COMPUTED_VALUE"""),"08/07/2014")</f>
        <v>08/07/2014</v>
      </c>
      <c r="H4757" s="6" t="str">
        <f>IFERROR(__xludf.DUMMYFUNCTION("""COMPUTED_VALUE"""),"male")</f>
        <v>male</v>
      </c>
      <c r="I4757" s="6" t="str">
        <f>IFERROR(__xludf.DUMMYFUNCTION("""COMPUTED_VALUE"""),"Middle School")</f>
        <v>Middle School</v>
      </c>
      <c r="J4757" s="6" t="str">
        <f>IFERROR(__xludf.DUMMYFUNCTION("""COMPUTED_VALUE"""),"6")</f>
        <v>6</v>
      </c>
      <c r="K4757" s="6" t="str">
        <f>IFERROR(__xludf.DUMMYFUNCTION("""COMPUTED_VALUE"""),"brandon.chavezdejesus@2hourlearning.com")</f>
        <v>brandon.chavezdejesus@2hourlearning.com</v>
      </c>
      <c r="L4757" s="6" t="str">
        <f>IFERROR(__xludf.DUMMYFUNCTION("""COMPUTED_VALUE"""),"JHMS - Hardeeville Junior Senior High School")</f>
        <v>JHMS - Hardeeville Junior Senior High School</v>
      </c>
      <c r="M4757" s="6" t="str">
        <f>IFERROR(__xludf.DUMMYFUNCTION("""COMPUTED_VALUE"""),"")</f>
        <v/>
      </c>
      <c r="N4757" s="6" t="str">
        <f>IFERROR(__xludf.DUMMYFUNCTION("""COMPUTED_VALUE"""),"")</f>
        <v/>
      </c>
      <c r="O4757" s="87" t="str">
        <f>IFERROR(__xludf.DUMMYFUNCTION("""COMPUTED_VALUE"""),"https://drive.google.com/drive/folders/10T2cTQHqEJZqE-st6uFKPoI?usp=share_link")</f>
        <v>https://drive.google.com/drive/folders/10T2cTQHqEJZqE-st6uFKPoI?usp=share_link</v>
      </c>
      <c r="P4757" s="6" t="str">
        <f>IFERROR(__xludf.DUMMYFUNCTION("""COMPUTED_VALUE"""),"Brandon Chavez De Jesus")</f>
        <v>Brandon Chavez De Jesus</v>
      </c>
      <c r="Q4757" s="6" t="str">
        <f>IFERROR(__xludf.DUMMYFUNCTION("""COMPUTED_VALUE"""),"MS")</f>
        <v>MS</v>
      </c>
      <c r="R4757" s="6">
        <f>IFERROR(__xludf.DUMMYFUNCTION("""COMPUTED_VALUE"""),0.0)</f>
        <v>0</v>
      </c>
      <c r="S4757" s="6" t="str">
        <f>IFERROR(__xludf.DUMMYFUNCTION("""COMPUTED_VALUE"""),"Kimberly Ball")</f>
        <v>Kimberly Ball</v>
      </c>
      <c r="T4757" s="6" t="str">
        <f>IFERROR(__xludf.DUMMYFUNCTION("""COMPUTED_VALUE"""),"kimberly.ball@studient.com")</f>
        <v>kimberly.ball@studient.com</v>
      </c>
      <c r="U4757" s="6" t="str">
        <f>IFERROR(__xludf.DUMMYFUNCTION("""COMPUTED_VALUE"""),"6")</f>
        <v>6</v>
      </c>
      <c r="V4757" s="6" t="str">
        <f>IFERROR(__xludf.DUMMYFUNCTION("""COMPUTED_VALUE"""),"")</f>
        <v/>
      </c>
      <c r="W4757" s="6" t="str">
        <f>IFERROR(__xludf.DUMMYFUNCTION("""COMPUTED_VALUE"""),"[]")</f>
        <v>[]</v>
      </c>
      <c r="X4757" s="6" t="str">
        <f>IFERROR(__xludf.DUMMYFUNCTION("""COMPUTED_VALUE"""),"Enrolled")</f>
        <v>Enrolled</v>
      </c>
    </row>
    <row r="4758">
      <c r="A4758" s="6" t="str">
        <f>IFERROR(__xludf.DUMMYFUNCTION("""COMPUTED_VALUE"""),"084-13120")</f>
        <v>084-13120</v>
      </c>
      <c r="B4758" s="6" t="str">
        <f>IFERROR(__xludf.DUMMYFUNCTION("""COMPUTED_VALUE"""),"84")</f>
        <v>84</v>
      </c>
      <c r="C4758" s="6" t="str">
        <f>IFERROR(__xludf.DUMMYFUNCTION("""COMPUTED_VALUE"""),"13120")</f>
        <v>13120</v>
      </c>
      <c r="D4758" s="6" t="str">
        <f>IFERROR(__xludf.DUMMYFUNCTION("""COMPUTED_VALUE"""),"Layla")</f>
        <v>Layla</v>
      </c>
      <c r="E4758" s="6" t="str">
        <f>IFERROR(__xludf.DUMMYFUNCTION("""COMPUTED_VALUE"""),"")</f>
        <v/>
      </c>
      <c r="F4758" s="6" t="str">
        <f>IFERROR(__xludf.DUMMYFUNCTION("""COMPUTED_VALUE"""),"Chavis")</f>
        <v>Chavis</v>
      </c>
      <c r="G4758" s="6" t="str">
        <f>IFERROR(__xludf.DUMMYFUNCTION("""COMPUTED_VALUE"""),"07/02/2014")</f>
        <v>07/02/2014</v>
      </c>
      <c r="H4758" s="6" t="str">
        <f>IFERROR(__xludf.DUMMYFUNCTION("""COMPUTED_VALUE"""),"male")</f>
        <v>male</v>
      </c>
      <c r="I4758" s="6" t="str">
        <f>IFERROR(__xludf.DUMMYFUNCTION("""COMPUTED_VALUE"""),"Middle School")</f>
        <v>Middle School</v>
      </c>
      <c r="J4758" s="6" t="str">
        <f>IFERROR(__xludf.DUMMYFUNCTION("""COMPUTED_VALUE"""),"6")</f>
        <v>6</v>
      </c>
      <c r="K4758" s="6" t="str">
        <f>IFERROR(__xludf.DUMMYFUNCTION("""COMPUTED_VALUE"""),"layla.chavis@2hourlearning.com")</f>
        <v>layla.chavis@2hourlearning.com</v>
      </c>
      <c r="L4758" s="6" t="str">
        <f>IFERROR(__xludf.DUMMYFUNCTION("""COMPUTED_VALUE"""),"JHMS - Hardeeville Junior Senior High School")</f>
        <v>JHMS - Hardeeville Junior Senior High School</v>
      </c>
      <c r="M4758" s="6" t="str">
        <f>IFERROR(__xludf.DUMMYFUNCTION("""COMPUTED_VALUE"""),"")</f>
        <v/>
      </c>
      <c r="N4758" s="6" t="str">
        <f>IFERROR(__xludf.DUMMYFUNCTION("""COMPUTED_VALUE"""),"")</f>
        <v/>
      </c>
      <c r="O4758" s="87" t="str">
        <f>IFERROR(__xludf.DUMMYFUNCTION("""COMPUTED_VALUE"""),"https://drive.google.com/drive/folders/10T2cTQHqEJZqE-st6uFKPoI?usp=share_link")</f>
        <v>https://drive.google.com/drive/folders/10T2cTQHqEJZqE-st6uFKPoI?usp=share_link</v>
      </c>
      <c r="P4758" s="6" t="str">
        <f>IFERROR(__xludf.DUMMYFUNCTION("""COMPUTED_VALUE"""),"Layla Chavis")</f>
        <v>Layla Chavis</v>
      </c>
      <c r="Q4758" s="6" t="str">
        <f>IFERROR(__xludf.DUMMYFUNCTION("""COMPUTED_VALUE"""),"MS")</f>
        <v>MS</v>
      </c>
      <c r="R4758" s="6">
        <f>IFERROR(__xludf.DUMMYFUNCTION("""COMPUTED_VALUE"""),0.0)</f>
        <v>0</v>
      </c>
      <c r="S4758" s="6" t="str">
        <f>IFERROR(__xludf.DUMMYFUNCTION("""COMPUTED_VALUE"""),"Kimberly Ball")</f>
        <v>Kimberly Ball</v>
      </c>
      <c r="T4758" s="6" t="str">
        <f>IFERROR(__xludf.DUMMYFUNCTION("""COMPUTED_VALUE"""),"kimberly.ball@studient.com")</f>
        <v>kimberly.ball@studient.com</v>
      </c>
      <c r="U4758" s="6" t="str">
        <f>IFERROR(__xludf.DUMMYFUNCTION("""COMPUTED_VALUE"""),"6")</f>
        <v>6</v>
      </c>
      <c r="V4758" s="6" t="str">
        <f>IFERROR(__xludf.DUMMYFUNCTION("""COMPUTED_VALUE"""),"")</f>
        <v/>
      </c>
      <c r="W4758" s="6" t="str">
        <f>IFERROR(__xludf.DUMMYFUNCTION("""COMPUTED_VALUE"""),"[]")</f>
        <v>[]</v>
      </c>
      <c r="X4758" s="6" t="str">
        <f>IFERROR(__xludf.DUMMYFUNCTION("""COMPUTED_VALUE"""),"Enrolled")</f>
        <v>Enrolled</v>
      </c>
    </row>
    <row r="4759">
      <c r="A4759" s="6" t="str">
        <f>IFERROR(__xludf.DUMMYFUNCTION("""COMPUTED_VALUE"""),"084-13121")</f>
        <v>084-13121</v>
      </c>
      <c r="B4759" s="6" t="str">
        <f>IFERROR(__xludf.DUMMYFUNCTION("""COMPUTED_VALUE"""),"84")</f>
        <v>84</v>
      </c>
      <c r="C4759" s="6" t="str">
        <f>IFERROR(__xludf.DUMMYFUNCTION("""COMPUTED_VALUE"""),"13121")</f>
        <v>13121</v>
      </c>
      <c r="D4759" s="6" t="str">
        <f>IFERROR(__xludf.DUMMYFUNCTION("""COMPUTED_VALUE"""),"Torrance")</f>
        <v>Torrance</v>
      </c>
      <c r="E4759" s="6" t="str">
        <f>IFERROR(__xludf.DUMMYFUNCTION("""COMPUTED_VALUE"""),"")</f>
        <v/>
      </c>
      <c r="F4759" s="6" t="str">
        <f>IFERROR(__xludf.DUMMYFUNCTION("""COMPUTED_VALUE"""),"Chisolm")</f>
        <v>Chisolm</v>
      </c>
      <c r="G4759" s="6" t="str">
        <f>IFERROR(__xludf.DUMMYFUNCTION("""COMPUTED_VALUE"""),"12/05/2014")</f>
        <v>12/05/2014</v>
      </c>
      <c r="H4759" s="6" t="str">
        <f>IFERROR(__xludf.DUMMYFUNCTION("""COMPUTED_VALUE"""),"female")</f>
        <v>female</v>
      </c>
      <c r="I4759" s="6" t="str">
        <f>IFERROR(__xludf.DUMMYFUNCTION("""COMPUTED_VALUE"""),"Middle School")</f>
        <v>Middle School</v>
      </c>
      <c r="J4759" s="6" t="str">
        <f>IFERROR(__xludf.DUMMYFUNCTION("""COMPUTED_VALUE"""),"6")</f>
        <v>6</v>
      </c>
      <c r="K4759" s="6" t="str">
        <f>IFERROR(__xludf.DUMMYFUNCTION("""COMPUTED_VALUE"""),"torrance.chisolm@2hourlearning.com")</f>
        <v>torrance.chisolm@2hourlearning.com</v>
      </c>
      <c r="L4759" s="6" t="str">
        <f>IFERROR(__xludf.DUMMYFUNCTION("""COMPUTED_VALUE"""),"JHMS - Hardeeville Junior Senior High School")</f>
        <v>JHMS - Hardeeville Junior Senior High School</v>
      </c>
      <c r="M4759" s="6" t="str">
        <f>IFERROR(__xludf.DUMMYFUNCTION("""COMPUTED_VALUE"""),"")</f>
        <v/>
      </c>
      <c r="N4759" s="6" t="str">
        <f>IFERROR(__xludf.DUMMYFUNCTION("""COMPUTED_VALUE"""),"")</f>
        <v/>
      </c>
      <c r="O4759" s="87" t="str">
        <f>IFERROR(__xludf.DUMMYFUNCTION("""COMPUTED_VALUE"""),"https://drive.google.com/drive/folders/10T2cTQHqEJZqE-st6uFKPoI?usp=share_link")</f>
        <v>https://drive.google.com/drive/folders/10T2cTQHqEJZqE-st6uFKPoI?usp=share_link</v>
      </c>
      <c r="P4759" s="6" t="str">
        <f>IFERROR(__xludf.DUMMYFUNCTION("""COMPUTED_VALUE"""),"Torrance Chisolm")</f>
        <v>Torrance Chisolm</v>
      </c>
      <c r="Q4759" s="6" t="str">
        <f>IFERROR(__xludf.DUMMYFUNCTION("""COMPUTED_VALUE"""),"MS")</f>
        <v>MS</v>
      </c>
      <c r="R4759" s="6">
        <f>IFERROR(__xludf.DUMMYFUNCTION("""COMPUTED_VALUE"""),0.0)</f>
        <v>0</v>
      </c>
      <c r="S4759" s="6" t="str">
        <f>IFERROR(__xludf.DUMMYFUNCTION("""COMPUTED_VALUE"""),"Kimberly Ball")</f>
        <v>Kimberly Ball</v>
      </c>
      <c r="T4759" s="6" t="str">
        <f>IFERROR(__xludf.DUMMYFUNCTION("""COMPUTED_VALUE"""),"kimberly.ball@studient.com")</f>
        <v>kimberly.ball@studient.com</v>
      </c>
      <c r="U4759" s="6" t="str">
        <f>IFERROR(__xludf.DUMMYFUNCTION("""COMPUTED_VALUE"""),"6")</f>
        <v>6</v>
      </c>
      <c r="V4759" s="6" t="str">
        <f>IFERROR(__xludf.DUMMYFUNCTION("""COMPUTED_VALUE"""),"")</f>
        <v/>
      </c>
      <c r="W4759" s="6" t="str">
        <f>IFERROR(__xludf.DUMMYFUNCTION("""COMPUTED_VALUE"""),"[]")</f>
        <v>[]</v>
      </c>
      <c r="X4759" s="6" t="str">
        <f>IFERROR(__xludf.DUMMYFUNCTION("""COMPUTED_VALUE"""),"Enrolled")</f>
        <v>Enrolled</v>
      </c>
    </row>
    <row r="4760">
      <c r="A4760" s="6" t="str">
        <f>IFERROR(__xludf.DUMMYFUNCTION("""COMPUTED_VALUE"""),"084-13122")</f>
        <v>084-13122</v>
      </c>
      <c r="B4760" s="6" t="str">
        <f>IFERROR(__xludf.DUMMYFUNCTION("""COMPUTED_VALUE"""),"84")</f>
        <v>84</v>
      </c>
      <c r="C4760" s="6" t="str">
        <f>IFERROR(__xludf.DUMMYFUNCTION("""COMPUTED_VALUE"""),"13122")</f>
        <v>13122</v>
      </c>
      <c r="D4760" s="6" t="str">
        <f>IFERROR(__xludf.DUMMYFUNCTION("""COMPUTED_VALUE"""),"Oliver Yadiel")</f>
        <v>Oliver Yadiel</v>
      </c>
      <c r="E4760" s="6" t="str">
        <f>IFERROR(__xludf.DUMMYFUNCTION("""COMPUTED_VALUE"""),"")</f>
        <v/>
      </c>
      <c r="F4760" s="6" t="str">
        <f>IFERROR(__xludf.DUMMYFUNCTION("""COMPUTED_VALUE"""),"Cortez Juan")</f>
        <v>Cortez Juan</v>
      </c>
      <c r="G4760" s="6" t="str">
        <f>IFERROR(__xludf.DUMMYFUNCTION("""COMPUTED_VALUE"""),"08/17/2013")</f>
        <v>08/17/2013</v>
      </c>
      <c r="H4760" s="6" t="str">
        <f>IFERROR(__xludf.DUMMYFUNCTION("""COMPUTED_VALUE"""),"female")</f>
        <v>female</v>
      </c>
      <c r="I4760" s="6" t="str">
        <f>IFERROR(__xludf.DUMMYFUNCTION("""COMPUTED_VALUE"""),"Middle School")</f>
        <v>Middle School</v>
      </c>
      <c r="J4760" s="6" t="str">
        <f>IFERROR(__xludf.DUMMYFUNCTION("""COMPUTED_VALUE"""),"6")</f>
        <v>6</v>
      </c>
      <c r="K4760" s="6" t="str">
        <f>IFERROR(__xludf.DUMMYFUNCTION("""COMPUTED_VALUE"""),"oliveryadiel.cortezjuan@2hourlearning.com")</f>
        <v>oliveryadiel.cortezjuan@2hourlearning.com</v>
      </c>
      <c r="L4760" s="6" t="str">
        <f>IFERROR(__xludf.DUMMYFUNCTION("""COMPUTED_VALUE"""),"JHMS - Hardeeville Junior Senior High School")</f>
        <v>JHMS - Hardeeville Junior Senior High School</v>
      </c>
      <c r="M4760" s="6" t="str">
        <f>IFERROR(__xludf.DUMMYFUNCTION("""COMPUTED_VALUE"""),"")</f>
        <v/>
      </c>
      <c r="N4760" s="6" t="str">
        <f>IFERROR(__xludf.DUMMYFUNCTION("""COMPUTED_VALUE"""),"")</f>
        <v/>
      </c>
      <c r="O4760" s="87" t="str">
        <f>IFERROR(__xludf.DUMMYFUNCTION("""COMPUTED_VALUE"""),"https://drive.google.com/drive/folders/10T2cTQHqEJZqE-st6uFKPoI?usp=share_link")</f>
        <v>https://drive.google.com/drive/folders/10T2cTQHqEJZqE-st6uFKPoI?usp=share_link</v>
      </c>
      <c r="P4760" s="6" t="str">
        <f>IFERROR(__xludf.DUMMYFUNCTION("""COMPUTED_VALUE"""),"Oliver Yadiel Cortez Juan")</f>
        <v>Oliver Yadiel Cortez Juan</v>
      </c>
      <c r="Q4760" s="6" t="str">
        <f>IFERROR(__xludf.DUMMYFUNCTION("""COMPUTED_VALUE"""),"MS")</f>
        <v>MS</v>
      </c>
      <c r="R4760" s="6">
        <f>IFERROR(__xludf.DUMMYFUNCTION("""COMPUTED_VALUE"""),0.0)</f>
        <v>0</v>
      </c>
      <c r="S4760" s="6" t="str">
        <f>IFERROR(__xludf.DUMMYFUNCTION("""COMPUTED_VALUE"""),"Kimberly Ball")</f>
        <v>Kimberly Ball</v>
      </c>
      <c r="T4760" s="6" t="str">
        <f>IFERROR(__xludf.DUMMYFUNCTION("""COMPUTED_VALUE"""),"kimberly.ball@studient.com")</f>
        <v>kimberly.ball@studient.com</v>
      </c>
      <c r="U4760" s="6" t="str">
        <f>IFERROR(__xludf.DUMMYFUNCTION("""COMPUTED_VALUE"""),"6")</f>
        <v>6</v>
      </c>
      <c r="V4760" s="6" t="str">
        <f>IFERROR(__xludf.DUMMYFUNCTION("""COMPUTED_VALUE"""),"")</f>
        <v/>
      </c>
      <c r="W4760" s="6" t="str">
        <f>IFERROR(__xludf.DUMMYFUNCTION("""COMPUTED_VALUE"""),"[]")</f>
        <v>[]</v>
      </c>
      <c r="X4760" s="6" t="str">
        <f>IFERROR(__xludf.DUMMYFUNCTION("""COMPUTED_VALUE"""),"Enrolled")</f>
        <v>Enrolled</v>
      </c>
    </row>
    <row r="4761">
      <c r="A4761" s="6" t="str">
        <f>IFERROR(__xludf.DUMMYFUNCTION("""COMPUTED_VALUE"""),"084-13123")</f>
        <v>084-13123</v>
      </c>
      <c r="B4761" s="6" t="str">
        <f>IFERROR(__xludf.DUMMYFUNCTION("""COMPUTED_VALUE"""),"84")</f>
        <v>84</v>
      </c>
      <c r="C4761" s="6" t="str">
        <f>IFERROR(__xludf.DUMMYFUNCTION("""COMPUTED_VALUE"""),"13123")</f>
        <v>13123</v>
      </c>
      <c r="D4761" s="6" t="str">
        <f>IFERROR(__xludf.DUMMYFUNCTION("""COMPUTED_VALUE"""),"Bianca")</f>
        <v>Bianca</v>
      </c>
      <c r="E4761" s="6" t="str">
        <f>IFERROR(__xludf.DUMMYFUNCTION("""COMPUTED_VALUE"""),"")</f>
        <v/>
      </c>
      <c r="F4761" s="6" t="str">
        <f>IFERROR(__xludf.DUMMYFUNCTION("""COMPUTED_VALUE"""),"Dartibale Santana")</f>
        <v>Dartibale Santana</v>
      </c>
      <c r="G4761" s="6" t="str">
        <f>IFERROR(__xludf.DUMMYFUNCTION("""COMPUTED_VALUE"""),"10/24/2013")</f>
        <v>10/24/2013</v>
      </c>
      <c r="H4761" s="6" t="str">
        <f>IFERROR(__xludf.DUMMYFUNCTION("""COMPUTED_VALUE"""),"female")</f>
        <v>female</v>
      </c>
      <c r="I4761" s="6" t="str">
        <f>IFERROR(__xludf.DUMMYFUNCTION("""COMPUTED_VALUE"""),"Middle School")</f>
        <v>Middle School</v>
      </c>
      <c r="J4761" s="6" t="str">
        <f>IFERROR(__xludf.DUMMYFUNCTION("""COMPUTED_VALUE"""),"6")</f>
        <v>6</v>
      </c>
      <c r="K4761" s="6" t="str">
        <f>IFERROR(__xludf.DUMMYFUNCTION("""COMPUTED_VALUE"""),"bianca.dartibalesantana@2hourlearning.com")</f>
        <v>bianca.dartibalesantana@2hourlearning.com</v>
      </c>
      <c r="L4761" s="6" t="str">
        <f>IFERROR(__xludf.DUMMYFUNCTION("""COMPUTED_VALUE"""),"JHMS - Hardeeville Junior Senior High School")</f>
        <v>JHMS - Hardeeville Junior Senior High School</v>
      </c>
      <c r="M4761" s="6" t="str">
        <f>IFERROR(__xludf.DUMMYFUNCTION("""COMPUTED_VALUE"""),"")</f>
        <v/>
      </c>
      <c r="N4761" s="6" t="str">
        <f>IFERROR(__xludf.DUMMYFUNCTION("""COMPUTED_VALUE"""),"")</f>
        <v/>
      </c>
      <c r="O4761" s="87" t="str">
        <f>IFERROR(__xludf.DUMMYFUNCTION("""COMPUTED_VALUE"""),"https://drive.google.com/drive/folders/10T2cTQHqEJZqE-st6uFKPoI?usp=share_link")</f>
        <v>https://drive.google.com/drive/folders/10T2cTQHqEJZqE-st6uFKPoI?usp=share_link</v>
      </c>
      <c r="P4761" s="6" t="str">
        <f>IFERROR(__xludf.DUMMYFUNCTION("""COMPUTED_VALUE"""),"Bianca Dartibale Santana")</f>
        <v>Bianca Dartibale Santana</v>
      </c>
      <c r="Q4761" s="6" t="str">
        <f>IFERROR(__xludf.DUMMYFUNCTION("""COMPUTED_VALUE"""),"MS")</f>
        <v>MS</v>
      </c>
      <c r="R4761" s="6">
        <f>IFERROR(__xludf.DUMMYFUNCTION("""COMPUTED_VALUE"""),0.0)</f>
        <v>0</v>
      </c>
      <c r="S4761" s="6" t="str">
        <f>IFERROR(__xludf.DUMMYFUNCTION("""COMPUTED_VALUE"""),"Kimberly Ball")</f>
        <v>Kimberly Ball</v>
      </c>
      <c r="T4761" s="6" t="str">
        <f>IFERROR(__xludf.DUMMYFUNCTION("""COMPUTED_VALUE"""),"kimberly.ball@studient.com")</f>
        <v>kimberly.ball@studient.com</v>
      </c>
      <c r="U4761" s="6" t="str">
        <f>IFERROR(__xludf.DUMMYFUNCTION("""COMPUTED_VALUE"""),"6")</f>
        <v>6</v>
      </c>
      <c r="V4761" s="6" t="str">
        <f>IFERROR(__xludf.DUMMYFUNCTION("""COMPUTED_VALUE"""),"")</f>
        <v/>
      </c>
      <c r="W4761" s="6" t="str">
        <f>IFERROR(__xludf.DUMMYFUNCTION("""COMPUTED_VALUE"""),"[]")</f>
        <v>[]</v>
      </c>
      <c r="X4761" s="6" t="str">
        <f>IFERROR(__xludf.DUMMYFUNCTION("""COMPUTED_VALUE"""),"Enrolled")</f>
        <v>Enrolled</v>
      </c>
    </row>
    <row r="4762">
      <c r="A4762" s="6" t="str">
        <f>IFERROR(__xludf.DUMMYFUNCTION("""COMPUTED_VALUE"""),"084-13124")</f>
        <v>084-13124</v>
      </c>
      <c r="B4762" s="6" t="str">
        <f>IFERROR(__xludf.DUMMYFUNCTION("""COMPUTED_VALUE"""),"84")</f>
        <v>84</v>
      </c>
      <c r="C4762" s="6" t="str">
        <f>IFERROR(__xludf.DUMMYFUNCTION("""COMPUTED_VALUE"""),"13124")</f>
        <v>13124</v>
      </c>
      <c r="D4762" s="6" t="str">
        <f>IFERROR(__xludf.DUMMYFUNCTION("""COMPUTED_VALUE"""),"Mariah")</f>
        <v>Mariah</v>
      </c>
      <c r="E4762" s="6" t="str">
        <f>IFERROR(__xludf.DUMMYFUNCTION("""COMPUTED_VALUE"""),"")</f>
        <v/>
      </c>
      <c r="F4762" s="6" t="str">
        <f>IFERROR(__xludf.DUMMYFUNCTION("""COMPUTED_VALUE"""),"Davis")</f>
        <v>Davis</v>
      </c>
      <c r="G4762" s="6" t="str">
        <f>IFERROR(__xludf.DUMMYFUNCTION("""COMPUTED_VALUE"""),"11/01/2013")</f>
        <v>11/01/2013</v>
      </c>
      <c r="H4762" s="6" t="str">
        <f>IFERROR(__xludf.DUMMYFUNCTION("""COMPUTED_VALUE"""),"female")</f>
        <v>female</v>
      </c>
      <c r="I4762" s="6" t="str">
        <f>IFERROR(__xludf.DUMMYFUNCTION("""COMPUTED_VALUE"""),"Middle School")</f>
        <v>Middle School</v>
      </c>
      <c r="J4762" s="6" t="str">
        <f>IFERROR(__xludf.DUMMYFUNCTION("""COMPUTED_VALUE"""),"6")</f>
        <v>6</v>
      </c>
      <c r="K4762" s="6" t="str">
        <f>IFERROR(__xludf.DUMMYFUNCTION("""COMPUTED_VALUE"""),"mariah.davis@2hourlearning.com")</f>
        <v>mariah.davis@2hourlearning.com</v>
      </c>
      <c r="L4762" s="6" t="str">
        <f>IFERROR(__xludf.DUMMYFUNCTION("""COMPUTED_VALUE"""),"JHMS - Hardeeville Junior Senior High School")</f>
        <v>JHMS - Hardeeville Junior Senior High School</v>
      </c>
      <c r="M4762" s="6" t="str">
        <f>IFERROR(__xludf.DUMMYFUNCTION("""COMPUTED_VALUE"""),"")</f>
        <v/>
      </c>
      <c r="N4762" s="6" t="str">
        <f>IFERROR(__xludf.DUMMYFUNCTION("""COMPUTED_VALUE"""),"")</f>
        <v/>
      </c>
      <c r="O4762" s="87" t="str">
        <f>IFERROR(__xludf.DUMMYFUNCTION("""COMPUTED_VALUE"""),"https://drive.google.com/drive/folders/10T2cTQHqEJZqE-st6uFKPoI?usp=share_link")</f>
        <v>https://drive.google.com/drive/folders/10T2cTQHqEJZqE-st6uFKPoI?usp=share_link</v>
      </c>
      <c r="P4762" s="6" t="str">
        <f>IFERROR(__xludf.DUMMYFUNCTION("""COMPUTED_VALUE"""),"Mariah Davis")</f>
        <v>Mariah Davis</v>
      </c>
      <c r="Q4762" s="6" t="str">
        <f>IFERROR(__xludf.DUMMYFUNCTION("""COMPUTED_VALUE"""),"MS")</f>
        <v>MS</v>
      </c>
      <c r="R4762" s="6">
        <f>IFERROR(__xludf.DUMMYFUNCTION("""COMPUTED_VALUE"""),0.0)</f>
        <v>0</v>
      </c>
      <c r="S4762" s="6" t="str">
        <f>IFERROR(__xludf.DUMMYFUNCTION("""COMPUTED_VALUE"""),"Kimberly Ball")</f>
        <v>Kimberly Ball</v>
      </c>
      <c r="T4762" s="6" t="str">
        <f>IFERROR(__xludf.DUMMYFUNCTION("""COMPUTED_VALUE"""),"kimberly.ball@studient.com")</f>
        <v>kimberly.ball@studient.com</v>
      </c>
      <c r="U4762" s="6" t="str">
        <f>IFERROR(__xludf.DUMMYFUNCTION("""COMPUTED_VALUE"""),"6")</f>
        <v>6</v>
      </c>
      <c r="V4762" s="6" t="str">
        <f>IFERROR(__xludf.DUMMYFUNCTION("""COMPUTED_VALUE"""),"")</f>
        <v/>
      </c>
      <c r="W4762" s="6" t="str">
        <f>IFERROR(__xludf.DUMMYFUNCTION("""COMPUTED_VALUE"""),"[]")</f>
        <v>[]</v>
      </c>
      <c r="X4762" s="6" t="str">
        <f>IFERROR(__xludf.DUMMYFUNCTION("""COMPUTED_VALUE"""),"Enrolled")</f>
        <v>Enrolled</v>
      </c>
    </row>
    <row r="4763">
      <c r="A4763" s="6" t="str">
        <f>IFERROR(__xludf.DUMMYFUNCTION("""COMPUTED_VALUE"""),"084-13125")</f>
        <v>084-13125</v>
      </c>
      <c r="B4763" s="6" t="str">
        <f>IFERROR(__xludf.DUMMYFUNCTION("""COMPUTED_VALUE"""),"84")</f>
        <v>84</v>
      </c>
      <c r="C4763" s="6" t="str">
        <f>IFERROR(__xludf.DUMMYFUNCTION("""COMPUTED_VALUE"""),"13125")</f>
        <v>13125</v>
      </c>
      <c r="D4763" s="6" t="str">
        <f>IFERROR(__xludf.DUMMYFUNCTION("""COMPUTED_VALUE"""),"Yoniska Sofia")</f>
        <v>Yoniska Sofia</v>
      </c>
      <c r="E4763" s="6" t="str">
        <f>IFERROR(__xludf.DUMMYFUNCTION("""COMPUTED_VALUE"""),"")</f>
        <v/>
      </c>
      <c r="F4763" s="6" t="str">
        <f>IFERROR(__xludf.DUMMYFUNCTION("""COMPUTED_VALUE"""),"De La Ossa")</f>
        <v>De La Ossa</v>
      </c>
      <c r="G4763" s="6" t="str">
        <f>IFERROR(__xludf.DUMMYFUNCTION("""COMPUTED_VALUE"""),"08/20/2014")</f>
        <v>08/20/2014</v>
      </c>
      <c r="H4763" s="6" t="str">
        <f>IFERROR(__xludf.DUMMYFUNCTION("""COMPUTED_VALUE"""),"female")</f>
        <v>female</v>
      </c>
      <c r="I4763" s="6" t="str">
        <f>IFERROR(__xludf.DUMMYFUNCTION("""COMPUTED_VALUE"""),"Middle School")</f>
        <v>Middle School</v>
      </c>
      <c r="J4763" s="6" t="str">
        <f>IFERROR(__xludf.DUMMYFUNCTION("""COMPUTED_VALUE"""),"6")</f>
        <v>6</v>
      </c>
      <c r="K4763" s="6" t="str">
        <f>IFERROR(__xludf.DUMMYFUNCTION("""COMPUTED_VALUE"""),"yoniskasofia.delaossa@2hourlearning.com")</f>
        <v>yoniskasofia.delaossa@2hourlearning.com</v>
      </c>
      <c r="L4763" s="6" t="str">
        <f>IFERROR(__xludf.DUMMYFUNCTION("""COMPUTED_VALUE"""),"JHMS - Hardeeville Junior Senior High School")</f>
        <v>JHMS - Hardeeville Junior Senior High School</v>
      </c>
      <c r="M4763" s="6" t="str">
        <f>IFERROR(__xludf.DUMMYFUNCTION("""COMPUTED_VALUE"""),"")</f>
        <v/>
      </c>
      <c r="N4763" s="6" t="str">
        <f>IFERROR(__xludf.DUMMYFUNCTION("""COMPUTED_VALUE"""),"")</f>
        <v/>
      </c>
      <c r="O4763" s="87" t="str">
        <f>IFERROR(__xludf.DUMMYFUNCTION("""COMPUTED_VALUE"""),"https://drive.google.com/drive/folders/10T2cTQHqEJZqE-st6uFKPoI?usp=share_link")</f>
        <v>https://drive.google.com/drive/folders/10T2cTQHqEJZqE-st6uFKPoI?usp=share_link</v>
      </c>
      <c r="P4763" s="6" t="str">
        <f>IFERROR(__xludf.DUMMYFUNCTION("""COMPUTED_VALUE"""),"Yoniska Sofia De La Ossa")</f>
        <v>Yoniska Sofia De La Ossa</v>
      </c>
      <c r="Q4763" s="6" t="str">
        <f>IFERROR(__xludf.DUMMYFUNCTION("""COMPUTED_VALUE"""),"MS")</f>
        <v>MS</v>
      </c>
      <c r="R4763" s="6">
        <f>IFERROR(__xludf.DUMMYFUNCTION("""COMPUTED_VALUE"""),0.0)</f>
        <v>0</v>
      </c>
      <c r="S4763" s="6" t="str">
        <f>IFERROR(__xludf.DUMMYFUNCTION("""COMPUTED_VALUE"""),"Kimberly Ball")</f>
        <v>Kimberly Ball</v>
      </c>
      <c r="T4763" s="6" t="str">
        <f>IFERROR(__xludf.DUMMYFUNCTION("""COMPUTED_VALUE"""),"kimberly.ball@studient.com")</f>
        <v>kimberly.ball@studient.com</v>
      </c>
      <c r="U4763" s="6" t="str">
        <f>IFERROR(__xludf.DUMMYFUNCTION("""COMPUTED_VALUE"""),"6")</f>
        <v>6</v>
      </c>
      <c r="V4763" s="6" t="str">
        <f>IFERROR(__xludf.DUMMYFUNCTION("""COMPUTED_VALUE"""),"")</f>
        <v/>
      </c>
      <c r="W4763" s="6" t="str">
        <f>IFERROR(__xludf.DUMMYFUNCTION("""COMPUTED_VALUE"""),"[]")</f>
        <v>[]</v>
      </c>
      <c r="X4763" s="6" t="str">
        <f>IFERROR(__xludf.DUMMYFUNCTION("""COMPUTED_VALUE"""),"Enrolled")</f>
        <v>Enrolled</v>
      </c>
    </row>
    <row r="4764">
      <c r="A4764" s="6" t="str">
        <f>IFERROR(__xludf.DUMMYFUNCTION("""COMPUTED_VALUE"""),"084-13126")</f>
        <v>084-13126</v>
      </c>
      <c r="B4764" s="6" t="str">
        <f>IFERROR(__xludf.DUMMYFUNCTION("""COMPUTED_VALUE"""),"84")</f>
        <v>84</v>
      </c>
      <c r="C4764" s="6" t="str">
        <f>IFERROR(__xludf.DUMMYFUNCTION("""COMPUTED_VALUE"""),"13126")</f>
        <v>13126</v>
      </c>
      <c r="D4764" s="6" t="str">
        <f>IFERROR(__xludf.DUMMYFUNCTION("""COMPUTED_VALUE"""),"Amaya")</f>
        <v>Amaya</v>
      </c>
      <c r="E4764" s="6" t="str">
        <f>IFERROR(__xludf.DUMMYFUNCTION("""COMPUTED_VALUE"""),"")</f>
        <v/>
      </c>
      <c r="F4764" s="6" t="str">
        <f>IFERROR(__xludf.DUMMYFUNCTION("""COMPUTED_VALUE"""),"Dowers")</f>
        <v>Dowers</v>
      </c>
      <c r="G4764" s="6" t="str">
        <f>IFERROR(__xludf.DUMMYFUNCTION("""COMPUTED_VALUE"""),"06/22/2014")</f>
        <v>06/22/2014</v>
      </c>
      <c r="H4764" s="6" t="str">
        <f>IFERROR(__xludf.DUMMYFUNCTION("""COMPUTED_VALUE"""),"male")</f>
        <v>male</v>
      </c>
      <c r="I4764" s="6" t="str">
        <f>IFERROR(__xludf.DUMMYFUNCTION("""COMPUTED_VALUE"""),"Middle School")</f>
        <v>Middle School</v>
      </c>
      <c r="J4764" s="6" t="str">
        <f>IFERROR(__xludf.DUMMYFUNCTION("""COMPUTED_VALUE"""),"6")</f>
        <v>6</v>
      </c>
      <c r="K4764" s="6" t="str">
        <f>IFERROR(__xludf.DUMMYFUNCTION("""COMPUTED_VALUE"""),"amaya.dowers@2hourlearning.com")</f>
        <v>amaya.dowers@2hourlearning.com</v>
      </c>
      <c r="L4764" s="6" t="str">
        <f>IFERROR(__xludf.DUMMYFUNCTION("""COMPUTED_VALUE"""),"JHMS - Hardeeville Junior Senior High School")</f>
        <v>JHMS - Hardeeville Junior Senior High School</v>
      </c>
      <c r="M4764" s="6" t="str">
        <f>IFERROR(__xludf.DUMMYFUNCTION("""COMPUTED_VALUE"""),"")</f>
        <v/>
      </c>
      <c r="N4764" s="6" t="str">
        <f>IFERROR(__xludf.DUMMYFUNCTION("""COMPUTED_VALUE"""),"")</f>
        <v/>
      </c>
      <c r="O4764" s="87" t="str">
        <f>IFERROR(__xludf.DUMMYFUNCTION("""COMPUTED_VALUE"""),"https://drive.google.com/drive/folders/10T2cTQHqEJZqE-st6uFKPoI?usp=share_link")</f>
        <v>https://drive.google.com/drive/folders/10T2cTQHqEJZqE-st6uFKPoI?usp=share_link</v>
      </c>
      <c r="P4764" s="6" t="str">
        <f>IFERROR(__xludf.DUMMYFUNCTION("""COMPUTED_VALUE"""),"Amaya Dowers")</f>
        <v>Amaya Dowers</v>
      </c>
      <c r="Q4764" s="6" t="str">
        <f>IFERROR(__xludf.DUMMYFUNCTION("""COMPUTED_VALUE"""),"MS")</f>
        <v>MS</v>
      </c>
      <c r="R4764" s="6">
        <f>IFERROR(__xludf.DUMMYFUNCTION("""COMPUTED_VALUE"""),0.0)</f>
        <v>0</v>
      </c>
      <c r="S4764" s="6" t="str">
        <f>IFERROR(__xludf.DUMMYFUNCTION("""COMPUTED_VALUE"""),"Kimberly Ball")</f>
        <v>Kimberly Ball</v>
      </c>
      <c r="T4764" s="6" t="str">
        <f>IFERROR(__xludf.DUMMYFUNCTION("""COMPUTED_VALUE"""),"kimberly.ball@studient.com")</f>
        <v>kimberly.ball@studient.com</v>
      </c>
      <c r="U4764" s="6" t="str">
        <f>IFERROR(__xludf.DUMMYFUNCTION("""COMPUTED_VALUE"""),"6")</f>
        <v>6</v>
      </c>
      <c r="V4764" s="6" t="str">
        <f>IFERROR(__xludf.DUMMYFUNCTION("""COMPUTED_VALUE"""),"")</f>
        <v/>
      </c>
      <c r="W4764" s="6" t="str">
        <f>IFERROR(__xludf.DUMMYFUNCTION("""COMPUTED_VALUE"""),"[]")</f>
        <v>[]</v>
      </c>
      <c r="X4764" s="6" t="str">
        <f>IFERROR(__xludf.DUMMYFUNCTION("""COMPUTED_VALUE"""),"Enrolled")</f>
        <v>Enrolled</v>
      </c>
    </row>
    <row r="4765">
      <c r="A4765" s="6" t="str">
        <f>IFERROR(__xludf.DUMMYFUNCTION("""COMPUTED_VALUE"""),"084-13127")</f>
        <v>084-13127</v>
      </c>
      <c r="B4765" s="6" t="str">
        <f>IFERROR(__xludf.DUMMYFUNCTION("""COMPUTED_VALUE"""),"84")</f>
        <v>84</v>
      </c>
      <c r="C4765" s="6" t="str">
        <f>IFERROR(__xludf.DUMMYFUNCTION("""COMPUTED_VALUE"""),"13127")</f>
        <v>13127</v>
      </c>
      <c r="D4765" s="6" t="str">
        <f>IFERROR(__xludf.DUMMYFUNCTION("""COMPUTED_VALUE"""),"Jacori")</f>
        <v>Jacori</v>
      </c>
      <c r="E4765" s="6" t="str">
        <f>IFERROR(__xludf.DUMMYFUNCTION("""COMPUTED_VALUE"""),"")</f>
        <v/>
      </c>
      <c r="F4765" s="6" t="str">
        <f>IFERROR(__xludf.DUMMYFUNCTION("""COMPUTED_VALUE"""),"Dunham-Brown")</f>
        <v>Dunham-Brown</v>
      </c>
      <c r="G4765" s="6" t="str">
        <f>IFERROR(__xludf.DUMMYFUNCTION("""COMPUTED_VALUE"""),"05/07/2014")</f>
        <v>05/07/2014</v>
      </c>
      <c r="H4765" s="6" t="str">
        <f>IFERROR(__xludf.DUMMYFUNCTION("""COMPUTED_VALUE"""),"male")</f>
        <v>male</v>
      </c>
      <c r="I4765" s="6" t="str">
        <f>IFERROR(__xludf.DUMMYFUNCTION("""COMPUTED_VALUE"""),"Middle School")</f>
        <v>Middle School</v>
      </c>
      <c r="J4765" s="6" t="str">
        <f>IFERROR(__xludf.DUMMYFUNCTION("""COMPUTED_VALUE"""),"6")</f>
        <v>6</v>
      </c>
      <c r="K4765" s="6" t="str">
        <f>IFERROR(__xludf.DUMMYFUNCTION("""COMPUTED_VALUE"""),"jacori.dunham-brown@2hourlearning.com")</f>
        <v>jacori.dunham-brown@2hourlearning.com</v>
      </c>
      <c r="L4765" s="6" t="str">
        <f>IFERROR(__xludf.DUMMYFUNCTION("""COMPUTED_VALUE"""),"JHMS - Hardeeville Junior Senior High School")</f>
        <v>JHMS - Hardeeville Junior Senior High School</v>
      </c>
      <c r="M4765" s="6" t="str">
        <f>IFERROR(__xludf.DUMMYFUNCTION("""COMPUTED_VALUE"""),"")</f>
        <v/>
      </c>
      <c r="N4765" s="6" t="str">
        <f>IFERROR(__xludf.DUMMYFUNCTION("""COMPUTED_VALUE"""),"")</f>
        <v/>
      </c>
      <c r="O4765" s="87" t="str">
        <f>IFERROR(__xludf.DUMMYFUNCTION("""COMPUTED_VALUE"""),"https://drive.google.com/drive/folders/10T2cTQHqEJZqE-st6uFKPoI?usp=share_link")</f>
        <v>https://drive.google.com/drive/folders/10T2cTQHqEJZqE-st6uFKPoI?usp=share_link</v>
      </c>
      <c r="P4765" s="6" t="str">
        <f>IFERROR(__xludf.DUMMYFUNCTION("""COMPUTED_VALUE"""),"Jacori Dunham-Brown")</f>
        <v>Jacori Dunham-Brown</v>
      </c>
      <c r="Q4765" s="6" t="str">
        <f>IFERROR(__xludf.DUMMYFUNCTION("""COMPUTED_VALUE"""),"MS")</f>
        <v>MS</v>
      </c>
      <c r="R4765" s="6">
        <f>IFERROR(__xludf.DUMMYFUNCTION("""COMPUTED_VALUE"""),0.0)</f>
        <v>0</v>
      </c>
      <c r="S4765" s="6" t="str">
        <f>IFERROR(__xludf.DUMMYFUNCTION("""COMPUTED_VALUE"""),"Kimberly Ball")</f>
        <v>Kimberly Ball</v>
      </c>
      <c r="T4765" s="6" t="str">
        <f>IFERROR(__xludf.DUMMYFUNCTION("""COMPUTED_VALUE"""),"kimberly.ball@studient.com")</f>
        <v>kimberly.ball@studient.com</v>
      </c>
      <c r="U4765" s="6" t="str">
        <f>IFERROR(__xludf.DUMMYFUNCTION("""COMPUTED_VALUE"""),"6")</f>
        <v>6</v>
      </c>
      <c r="V4765" s="6" t="str">
        <f>IFERROR(__xludf.DUMMYFUNCTION("""COMPUTED_VALUE"""),"")</f>
        <v/>
      </c>
      <c r="W4765" s="6" t="str">
        <f>IFERROR(__xludf.DUMMYFUNCTION("""COMPUTED_VALUE"""),"[]")</f>
        <v>[]</v>
      </c>
      <c r="X4765" s="6" t="str">
        <f>IFERROR(__xludf.DUMMYFUNCTION("""COMPUTED_VALUE"""),"Enrolled")</f>
        <v>Enrolled</v>
      </c>
    </row>
    <row r="4766">
      <c r="A4766" s="6" t="str">
        <f>IFERROR(__xludf.DUMMYFUNCTION("""COMPUTED_VALUE"""),"084-13128")</f>
        <v>084-13128</v>
      </c>
      <c r="B4766" s="6" t="str">
        <f>IFERROR(__xludf.DUMMYFUNCTION("""COMPUTED_VALUE"""),"84")</f>
        <v>84</v>
      </c>
      <c r="C4766" s="6" t="str">
        <f>IFERROR(__xludf.DUMMYFUNCTION("""COMPUTED_VALUE"""),"13128")</f>
        <v>13128</v>
      </c>
      <c r="D4766" s="6" t="str">
        <f>IFERROR(__xludf.DUMMYFUNCTION("""COMPUTED_VALUE"""),"Geovany")</f>
        <v>Geovany</v>
      </c>
      <c r="E4766" s="6" t="str">
        <f>IFERROR(__xludf.DUMMYFUNCTION("""COMPUTED_VALUE"""),"")</f>
        <v/>
      </c>
      <c r="F4766" s="6" t="str">
        <f>IFERROR(__xludf.DUMMYFUNCTION("""COMPUTED_VALUE"""),"Escalante-Paz")</f>
        <v>Escalante-Paz</v>
      </c>
      <c r="G4766" s="6" t="str">
        <f>IFERROR(__xludf.DUMMYFUNCTION("""COMPUTED_VALUE"""),"08/31/2013")</f>
        <v>08/31/2013</v>
      </c>
      <c r="H4766" s="6" t="str">
        <f>IFERROR(__xludf.DUMMYFUNCTION("""COMPUTED_VALUE"""),"male")</f>
        <v>male</v>
      </c>
      <c r="I4766" s="6" t="str">
        <f>IFERROR(__xludf.DUMMYFUNCTION("""COMPUTED_VALUE"""),"Middle School")</f>
        <v>Middle School</v>
      </c>
      <c r="J4766" s="6" t="str">
        <f>IFERROR(__xludf.DUMMYFUNCTION("""COMPUTED_VALUE"""),"6")</f>
        <v>6</v>
      </c>
      <c r="K4766" s="6" t="str">
        <f>IFERROR(__xludf.DUMMYFUNCTION("""COMPUTED_VALUE"""),"geovany.escalante-paz@2hourlearning.com")</f>
        <v>geovany.escalante-paz@2hourlearning.com</v>
      </c>
      <c r="L4766" s="6" t="str">
        <f>IFERROR(__xludf.DUMMYFUNCTION("""COMPUTED_VALUE"""),"JHMS - Hardeeville Junior Senior High School")</f>
        <v>JHMS - Hardeeville Junior Senior High School</v>
      </c>
      <c r="M4766" s="6" t="str">
        <f>IFERROR(__xludf.DUMMYFUNCTION("""COMPUTED_VALUE"""),"")</f>
        <v/>
      </c>
      <c r="N4766" s="6" t="str">
        <f>IFERROR(__xludf.DUMMYFUNCTION("""COMPUTED_VALUE"""),"")</f>
        <v/>
      </c>
      <c r="O4766" s="87" t="str">
        <f>IFERROR(__xludf.DUMMYFUNCTION("""COMPUTED_VALUE"""),"https://drive.google.com/drive/folders/10T2cTQHqEJZqE-st6uFKPoI?usp=share_link")</f>
        <v>https://drive.google.com/drive/folders/10T2cTQHqEJZqE-st6uFKPoI?usp=share_link</v>
      </c>
      <c r="P4766" s="6" t="str">
        <f>IFERROR(__xludf.DUMMYFUNCTION("""COMPUTED_VALUE"""),"Geovany Escalante-Paz")</f>
        <v>Geovany Escalante-Paz</v>
      </c>
      <c r="Q4766" s="6" t="str">
        <f>IFERROR(__xludf.DUMMYFUNCTION("""COMPUTED_VALUE"""),"MS")</f>
        <v>MS</v>
      </c>
      <c r="R4766" s="6">
        <f>IFERROR(__xludf.DUMMYFUNCTION("""COMPUTED_VALUE"""),0.0)</f>
        <v>0</v>
      </c>
      <c r="S4766" s="6" t="str">
        <f>IFERROR(__xludf.DUMMYFUNCTION("""COMPUTED_VALUE"""),"Kimberly Ball")</f>
        <v>Kimberly Ball</v>
      </c>
      <c r="T4766" s="6" t="str">
        <f>IFERROR(__xludf.DUMMYFUNCTION("""COMPUTED_VALUE"""),"kimberly.ball@studient.com")</f>
        <v>kimberly.ball@studient.com</v>
      </c>
      <c r="U4766" s="6" t="str">
        <f>IFERROR(__xludf.DUMMYFUNCTION("""COMPUTED_VALUE"""),"6")</f>
        <v>6</v>
      </c>
      <c r="V4766" s="6" t="str">
        <f>IFERROR(__xludf.DUMMYFUNCTION("""COMPUTED_VALUE"""),"")</f>
        <v/>
      </c>
      <c r="W4766" s="6" t="str">
        <f>IFERROR(__xludf.DUMMYFUNCTION("""COMPUTED_VALUE"""),"[]")</f>
        <v>[]</v>
      </c>
      <c r="X4766" s="6" t="str">
        <f>IFERROR(__xludf.DUMMYFUNCTION("""COMPUTED_VALUE"""),"Enrolled")</f>
        <v>Enrolled</v>
      </c>
    </row>
    <row r="4767">
      <c r="A4767" s="6" t="str">
        <f>IFERROR(__xludf.DUMMYFUNCTION("""COMPUTED_VALUE"""),"084-13129")</f>
        <v>084-13129</v>
      </c>
      <c r="B4767" s="6" t="str">
        <f>IFERROR(__xludf.DUMMYFUNCTION("""COMPUTED_VALUE"""),"84")</f>
        <v>84</v>
      </c>
      <c r="C4767" s="6" t="str">
        <f>IFERROR(__xludf.DUMMYFUNCTION("""COMPUTED_VALUE"""),"13129")</f>
        <v>13129</v>
      </c>
      <c r="D4767" s="6" t="str">
        <f>IFERROR(__xludf.DUMMYFUNCTION("""COMPUTED_VALUE"""),"Noah")</f>
        <v>Noah</v>
      </c>
      <c r="E4767" s="6" t="str">
        <f>IFERROR(__xludf.DUMMYFUNCTION("""COMPUTED_VALUE"""),"")</f>
        <v/>
      </c>
      <c r="F4767" s="6" t="str">
        <f>IFERROR(__xludf.DUMMYFUNCTION("""COMPUTED_VALUE"""),"Evans")</f>
        <v>Evans</v>
      </c>
      <c r="G4767" s="6" t="str">
        <f>IFERROR(__xludf.DUMMYFUNCTION("""COMPUTED_VALUE"""),"02/14/2014")</f>
        <v>02/14/2014</v>
      </c>
      <c r="H4767" s="6" t="str">
        <f>IFERROR(__xludf.DUMMYFUNCTION("""COMPUTED_VALUE"""),"female")</f>
        <v>female</v>
      </c>
      <c r="I4767" s="6" t="str">
        <f>IFERROR(__xludf.DUMMYFUNCTION("""COMPUTED_VALUE"""),"Middle School")</f>
        <v>Middle School</v>
      </c>
      <c r="J4767" s="6" t="str">
        <f>IFERROR(__xludf.DUMMYFUNCTION("""COMPUTED_VALUE"""),"6")</f>
        <v>6</v>
      </c>
      <c r="K4767" s="6" t="str">
        <f>IFERROR(__xludf.DUMMYFUNCTION("""COMPUTED_VALUE"""),"noah.evans@2hourlearning.com")</f>
        <v>noah.evans@2hourlearning.com</v>
      </c>
      <c r="L4767" s="6" t="str">
        <f>IFERROR(__xludf.DUMMYFUNCTION("""COMPUTED_VALUE"""),"JHMS - Hardeeville Junior Senior High School")</f>
        <v>JHMS - Hardeeville Junior Senior High School</v>
      </c>
      <c r="M4767" s="6" t="str">
        <f>IFERROR(__xludf.DUMMYFUNCTION("""COMPUTED_VALUE"""),"")</f>
        <v/>
      </c>
      <c r="N4767" s="6" t="str">
        <f>IFERROR(__xludf.DUMMYFUNCTION("""COMPUTED_VALUE"""),"")</f>
        <v/>
      </c>
      <c r="O4767" s="87" t="str">
        <f>IFERROR(__xludf.DUMMYFUNCTION("""COMPUTED_VALUE"""),"https://drive.google.com/drive/folders/10T2cTQHqEJZqE-st6uFKPoI?usp=share_link")</f>
        <v>https://drive.google.com/drive/folders/10T2cTQHqEJZqE-st6uFKPoI?usp=share_link</v>
      </c>
      <c r="P4767" s="6" t="str">
        <f>IFERROR(__xludf.DUMMYFUNCTION("""COMPUTED_VALUE"""),"Noah Evans")</f>
        <v>Noah Evans</v>
      </c>
      <c r="Q4767" s="6" t="str">
        <f>IFERROR(__xludf.DUMMYFUNCTION("""COMPUTED_VALUE"""),"MS")</f>
        <v>MS</v>
      </c>
      <c r="R4767" s="6">
        <f>IFERROR(__xludf.DUMMYFUNCTION("""COMPUTED_VALUE"""),0.0)</f>
        <v>0</v>
      </c>
      <c r="S4767" s="6" t="str">
        <f>IFERROR(__xludf.DUMMYFUNCTION("""COMPUTED_VALUE"""),"Kimberly Ball")</f>
        <v>Kimberly Ball</v>
      </c>
      <c r="T4767" s="6" t="str">
        <f>IFERROR(__xludf.DUMMYFUNCTION("""COMPUTED_VALUE"""),"kimberly.ball@studient.com")</f>
        <v>kimberly.ball@studient.com</v>
      </c>
      <c r="U4767" s="6" t="str">
        <f>IFERROR(__xludf.DUMMYFUNCTION("""COMPUTED_VALUE"""),"6")</f>
        <v>6</v>
      </c>
      <c r="V4767" s="6" t="str">
        <f>IFERROR(__xludf.DUMMYFUNCTION("""COMPUTED_VALUE"""),"")</f>
        <v/>
      </c>
      <c r="W4767" s="6" t="str">
        <f>IFERROR(__xludf.DUMMYFUNCTION("""COMPUTED_VALUE"""),"[]")</f>
        <v>[]</v>
      </c>
      <c r="X4767" s="6" t="str">
        <f>IFERROR(__xludf.DUMMYFUNCTION("""COMPUTED_VALUE"""),"Enrolled")</f>
        <v>Enrolled</v>
      </c>
    </row>
    <row r="4768">
      <c r="A4768" s="6" t="str">
        <f>IFERROR(__xludf.DUMMYFUNCTION("""COMPUTED_VALUE"""),"084-13130")</f>
        <v>084-13130</v>
      </c>
      <c r="B4768" s="6" t="str">
        <f>IFERROR(__xludf.DUMMYFUNCTION("""COMPUTED_VALUE"""),"84")</f>
        <v>84</v>
      </c>
      <c r="C4768" s="6" t="str">
        <f>IFERROR(__xludf.DUMMYFUNCTION("""COMPUTED_VALUE"""),"13130")</f>
        <v>13130</v>
      </c>
      <c r="D4768" s="6" t="str">
        <f>IFERROR(__xludf.DUMMYFUNCTION("""COMPUTED_VALUE"""),"Antony")</f>
        <v>Antony</v>
      </c>
      <c r="E4768" s="6" t="str">
        <f>IFERROR(__xludf.DUMMYFUNCTION("""COMPUTED_VALUE"""),"")</f>
        <v/>
      </c>
      <c r="F4768" s="6" t="str">
        <f>IFERROR(__xludf.DUMMYFUNCTION("""COMPUTED_VALUE"""),"Fagundes Branibruch")</f>
        <v>Fagundes Branibruch</v>
      </c>
      <c r="G4768" s="6" t="str">
        <f>IFERROR(__xludf.DUMMYFUNCTION("""COMPUTED_VALUE"""),"10/08/2013")</f>
        <v>10/08/2013</v>
      </c>
      <c r="H4768" s="6" t="str">
        <f>IFERROR(__xludf.DUMMYFUNCTION("""COMPUTED_VALUE"""),"male")</f>
        <v>male</v>
      </c>
      <c r="I4768" s="6" t="str">
        <f>IFERROR(__xludf.DUMMYFUNCTION("""COMPUTED_VALUE"""),"Middle School")</f>
        <v>Middle School</v>
      </c>
      <c r="J4768" s="6" t="str">
        <f>IFERROR(__xludf.DUMMYFUNCTION("""COMPUTED_VALUE"""),"6")</f>
        <v>6</v>
      </c>
      <c r="K4768" s="6" t="str">
        <f>IFERROR(__xludf.DUMMYFUNCTION("""COMPUTED_VALUE"""),"antony.fagundesbranibruch@2hourlearning.com")</f>
        <v>antony.fagundesbranibruch@2hourlearning.com</v>
      </c>
      <c r="L4768" s="6" t="str">
        <f>IFERROR(__xludf.DUMMYFUNCTION("""COMPUTED_VALUE"""),"JHMS - Hardeeville Junior Senior High School")</f>
        <v>JHMS - Hardeeville Junior Senior High School</v>
      </c>
      <c r="M4768" s="6" t="str">
        <f>IFERROR(__xludf.DUMMYFUNCTION("""COMPUTED_VALUE"""),"")</f>
        <v/>
      </c>
      <c r="N4768" s="6" t="str">
        <f>IFERROR(__xludf.DUMMYFUNCTION("""COMPUTED_VALUE"""),"")</f>
        <v/>
      </c>
      <c r="O4768" s="87" t="str">
        <f>IFERROR(__xludf.DUMMYFUNCTION("""COMPUTED_VALUE"""),"https://drive.google.com/drive/folders/10T2cTQHqEJZqE-st6uFKPoI?usp=share_link")</f>
        <v>https://drive.google.com/drive/folders/10T2cTQHqEJZqE-st6uFKPoI?usp=share_link</v>
      </c>
      <c r="P4768" s="6" t="str">
        <f>IFERROR(__xludf.DUMMYFUNCTION("""COMPUTED_VALUE"""),"Antony Fagundes Branibruch")</f>
        <v>Antony Fagundes Branibruch</v>
      </c>
      <c r="Q4768" s="6" t="str">
        <f>IFERROR(__xludf.DUMMYFUNCTION("""COMPUTED_VALUE"""),"MS")</f>
        <v>MS</v>
      </c>
      <c r="R4768" s="6">
        <f>IFERROR(__xludf.DUMMYFUNCTION("""COMPUTED_VALUE"""),0.0)</f>
        <v>0</v>
      </c>
      <c r="S4768" s="6" t="str">
        <f>IFERROR(__xludf.DUMMYFUNCTION("""COMPUTED_VALUE"""),"Kimberly Ball")</f>
        <v>Kimberly Ball</v>
      </c>
      <c r="T4768" s="6" t="str">
        <f>IFERROR(__xludf.DUMMYFUNCTION("""COMPUTED_VALUE"""),"kimberly.ball@studient.com")</f>
        <v>kimberly.ball@studient.com</v>
      </c>
      <c r="U4768" s="6" t="str">
        <f>IFERROR(__xludf.DUMMYFUNCTION("""COMPUTED_VALUE"""),"6")</f>
        <v>6</v>
      </c>
      <c r="V4768" s="6" t="str">
        <f>IFERROR(__xludf.DUMMYFUNCTION("""COMPUTED_VALUE"""),"")</f>
        <v/>
      </c>
      <c r="W4768" s="6" t="str">
        <f>IFERROR(__xludf.DUMMYFUNCTION("""COMPUTED_VALUE"""),"[]")</f>
        <v>[]</v>
      </c>
      <c r="X4768" s="6" t="str">
        <f>IFERROR(__xludf.DUMMYFUNCTION("""COMPUTED_VALUE"""),"Enrolled")</f>
        <v>Enrolled</v>
      </c>
    </row>
    <row r="4769">
      <c r="A4769" s="6" t="str">
        <f>IFERROR(__xludf.DUMMYFUNCTION("""COMPUTED_VALUE"""),"084-13131")</f>
        <v>084-13131</v>
      </c>
      <c r="B4769" s="6" t="str">
        <f>IFERROR(__xludf.DUMMYFUNCTION("""COMPUTED_VALUE"""),"84")</f>
        <v>84</v>
      </c>
      <c r="C4769" s="6" t="str">
        <f>IFERROR(__xludf.DUMMYFUNCTION("""COMPUTED_VALUE"""),"13131")</f>
        <v>13131</v>
      </c>
      <c r="D4769" s="6" t="str">
        <f>IFERROR(__xludf.DUMMYFUNCTION("""COMPUTED_VALUE"""),"Ziyauna")</f>
        <v>Ziyauna</v>
      </c>
      <c r="E4769" s="6" t="str">
        <f>IFERROR(__xludf.DUMMYFUNCTION("""COMPUTED_VALUE"""),"")</f>
        <v/>
      </c>
      <c r="F4769" s="6" t="str">
        <f>IFERROR(__xludf.DUMMYFUNCTION("""COMPUTED_VALUE"""),"Fennell")</f>
        <v>Fennell</v>
      </c>
      <c r="G4769" s="6" t="str">
        <f>IFERROR(__xludf.DUMMYFUNCTION("""COMPUTED_VALUE"""),"06/18/2014")</f>
        <v>06/18/2014</v>
      </c>
      <c r="H4769" s="6" t="str">
        <f>IFERROR(__xludf.DUMMYFUNCTION("""COMPUTED_VALUE"""),"male")</f>
        <v>male</v>
      </c>
      <c r="I4769" s="6" t="str">
        <f>IFERROR(__xludf.DUMMYFUNCTION("""COMPUTED_VALUE"""),"Middle School")</f>
        <v>Middle School</v>
      </c>
      <c r="J4769" s="6" t="str">
        <f>IFERROR(__xludf.DUMMYFUNCTION("""COMPUTED_VALUE"""),"6")</f>
        <v>6</v>
      </c>
      <c r="K4769" s="6" t="str">
        <f>IFERROR(__xludf.DUMMYFUNCTION("""COMPUTED_VALUE"""),"ziyauna.fennell@2hourlearning.com")</f>
        <v>ziyauna.fennell@2hourlearning.com</v>
      </c>
      <c r="L4769" s="6" t="str">
        <f>IFERROR(__xludf.DUMMYFUNCTION("""COMPUTED_VALUE"""),"JHMS - Hardeeville Junior Senior High School")</f>
        <v>JHMS - Hardeeville Junior Senior High School</v>
      </c>
      <c r="M4769" s="6" t="str">
        <f>IFERROR(__xludf.DUMMYFUNCTION("""COMPUTED_VALUE"""),"")</f>
        <v/>
      </c>
      <c r="N4769" s="6" t="str">
        <f>IFERROR(__xludf.DUMMYFUNCTION("""COMPUTED_VALUE"""),"")</f>
        <v/>
      </c>
      <c r="O4769" s="87" t="str">
        <f>IFERROR(__xludf.DUMMYFUNCTION("""COMPUTED_VALUE"""),"https://drive.google.com/drive/folders/10T2cTQHqEJZqE-st6uFKPoI?usp=share_link")</f>
        <v>https://drive.google.com/drive/folders/10T2cTQHqEJZqE-st6uFKPoI?usp=share_link</v>
      </c>
      <c r="P4769" s="6" t="str">
        <f>IFERROR(__xludf.DUMMYFUNCTION("""COMPUTED_VALUE"""),"Ziyauna Fennell")</f>
        <v>Ziyauna Fennell</v>
      </c>
      <c r="Q4769" s="6" t="str">
        <f>IFERROR(__xludf.DUMMYFUNCTION("""COMPUTED_VALUE"""),"MS")</f>
        <v>MS</v>
      </c>
      <c r="R4769" s="6">
        <f>IFERROR(__xludf.DUMMYFUNCTION("""COMPUTED_VALUE"""),0.0)</f>
        <v>0</v>
      </c>
      <c r="S4769" s="6" t="str">
        <f>IFERROR(__xludf.DUMMYFUNCTION("""COMPUTED_VALUE"""),"Kimberly Ball")</f>
        <v>Kimberly Ball</v>
      </c>
      <c r="T4769" s="6" t="str">
        <f>IFERROR(__xludf.DUMMYFUNCTION("""COMPUTED_VALUE"""),"kimberly.ball@studient.com")</f>
        <v>kimberly.ball@studient.com</v>
      </c>
      <c r="U4769" s="6" t="str">
        <f>IFERROR(__xludf.DUMMYFUNCTION("""COMPUTED_VALUE"""),"6")</f>
        <v>6</v>
      </c>
      <c r="V4769" s="6" t="str">
        <f>IFERROR(__xludf.DUMMYFUNCTION("""COMPUTED_VALUE"""),"")</f>
        <v/>
      </c>
      <c r="W4769" s="6" t="str">
        <f>IFERROR(__xludf.DUMMYFUNCTION("""COMPUTED_VALUE"""),"[]")</f>
        <v>[]</v>
      </c>
      <c r="X4769" s="6" t="str">
        <f>IFERROR(__xludf.DUMMYFUNCTION("""COMPUTED_VALUE"""),"Enrolled")</f>
        <v>Enrolled</v>
      </c>
    </row>
    <row r="4770">
      <c r="A4770" s="6" t="str">
        <f>IFERROR(__xludf.DUMMYFUNCTION("""COMPUTED_VALUE"""),"084-13132")</f>
        <v>084-13132</v>
      </c>
      <c r="B4770" s="6" t="str">
        <f>IFERROR(__xludf.DUMMYFUNCTION("""COMPUTED_VALUE"""),"84")</f>
        <v>84</v>
      </c>
      <c r="C4770" s="6" t="str">
        <f>IFERROR(__xludf.DUMMYFUNCTION("""COMPUTED_VALUE"""),"13132")</f>
        <v>13132</v>
      </c>
      <c r="D4770" s="6" t="str">
        <f>IFERROR(__xludf.DUMMYFUNCTION("""COMPUTED_VALUE"""),"Erick")</f>
        <v>Erick</v>
      </c>
      <c r="E4770" s="6" t="str">
        <f>IFERROR(__xludf.DUMMYFUNCTION("""COMPUTED_VALUE"""),"")</f>
        <v/>
      </c>
      <c r="F4770" s="6" t="str">
        <f>IFERROR(__xludf.DUMMYFUNCTION("""COMPUTED_VALUE"""),"Fernandez Alday")</f>
        <v>Fernandez Alday</v>
      </c>
      <c r="G4770" s="6" t="str">
        <f>IFERROR(__xludf.DUMMYFUNCTION("""COMPUTED_VALUE"""),"08/27/2014")</f>
        <v>08/27/2014</v>
      </c>
      <c r="H4770" s="6" t="str">
        <f>IFERROR(__xludf.DUMMYFUNCTION("""COMPUTED_VALUE"""),"male")</f>
        <v>male</v>
      </c>
      <c r="I4770" s="6" t="str">
        <f>IFERROR(__xludf.DUMMYFUNCTION("""COMPUTED_VALUE"""),"Middle School")</f>
        <v>Middle School</v>
      </c>
      <c r="J4770" s="6" t="str">
        <f>IFERROR(__xludf.DUMMYFUNCTION("""COMPUTED_VALUE"""),"6")</f>
        <v>6</v>
      </c>
      <c r="K4770" s="6" t="str">
        <f>IFERROR(__xludf.DUMMYFUNCTION("""COMPUTED_VALUE"""),"erick.fernandezalday@2hourlearning.com")</f>
        <v>erick.fernandezalday@2hourlearning.com</v>
      </c>
      <c r="L4770" s="6" t="str">
        <f>IFERROR(__xludf.DUMMYFUNCTION("""COMPUTED_VALUE"""),"JHMS - Hardeeville Junior Senior High School")</f>
        <v>JHMS - Hardeeville Junior Senior High School</v>
      </c>
      <c r="M4770" s="6" t="str">
        <f>IFERROR(__xludf.DUMMYFUNCTION("""COMPUTED_VALUE"""),"")</f>
        <v/>
      </c>
      <c r="N4770" s="6" t="str">
        <f>IFERROR(__xludf.DUMMYFUNCTION("""COMPUTED_VALUE"""),"")</f>
        <v/>
      </c>
      <c r="O4770" s="87" t="str">
        <f>IFERROR(__xludf.DUMMYFUNCTION("""COMPUTED_VALUE"""),"https://drive.google.com/drive/folders/10T2cTQHqEJZqE-st6uFKPoI?usp=share_link")</f>
        <v>https://drive.google.com/drive/folders/10T2cTQHqEJZqE-st6uFKPoI?usp=share_link</v>
      </c>
      <c r="P4770" s="6" t="str">
        <f>IFERROR(__xludf.DUMMYFUNCTION("""COMPUTED_VALUE"""),"Erick Fernandez Alday")</f>
        <v>Erick Fernandez Alday</v>
      </c>
      <c r="Q4770" s="6" t="str">
        <f>IFERROR(__xludf.DUMMYFUNCTION("""COMPUTED_VALUE"""),"MS")</f>
        <v>MS</v>
      </c>
      <c r="R4770" s="6">
        <f>IFERROR(__xludf.DUMMYFUNCTION("""COMPUTED_VALUE"""),0.0)</f>
        <v>0</v>
      </c>
      <c r="S4770" s="6" t="str">
        <f>IFERROR(__xludf.DUMMYFUNCTION("""COMPUTED_VALUE"""),"Kimberly Ball")</f>
        <v>Kimberly Ball</v>
      </c>
      <c r="T4770" s="6" t="str">
        <f>IFERROR(__xludf.DUMMYFUNCTION("""COMPUTED_VALUE"""),"kimberly.ball@studient.com")</f>
        <v>kimberly.ball@studient.com</v>
      </c>
      <c r="U4770" s="6" t="str">
        <f>IFERROR(__xludf.DUMMYFUNCTION("""COMPUTED_VALUE"""),"6")</f>
        <v>6</v>
      </c>
      <c r="V4770" s="6" t="str">
        <f>IFERROR(__xludf.DUMMYFUNCTION("""COMPUTED_VALUE"""),"")</f>
        <v/>
      </c>
      <c r="W4770" s="6" t="str">
        <f>IFERROR(__xludf.DUMMYFUNCTION("""COMPUTED_VALUE"""),"[]")</f>
        <v>[]</v>
      </c>
      <c r="X4770" s="6" t="str">
        <f>IFERROR(__xludf.DUMMYFUNCTION("""COMPUTED_VALUE"""),"Enrolled")</f>
        <v>Enrolled</v>
      </c>
    </row>
    <row r="4771">
      <c r="A4771" s="6" t="str">
        <f>IFERROR(__xludf.DUMMYFUNCTION("""COMPUTED_VALUE"""),"084-13133")</f>
        <v>084-13133</v>
      </c>
      <c r="B4771" s="6" t="str">
        <f>IFERROR(__xludf.DUMMYFUNCTION("""COMPUTED_VALUE"""),"84")</f>
        <v>84</v>
      </c>
      <c r="C4771" s="6" t="str">
        <f>IFERROR(__xludf.DUMMYFUNCTION("""COMPUTED_VALUE"""),"13133")</f>
        <v>13133</v>
      </c>
      <c r="D4771" s="6" t="str">
        <f>IFERROR(__xludf.DUMMYFUNCTION("""COMPUTED_VALUE"""),"Axel")</f>
        <v>Axel</v>
      </c>
      <c r="E4771" s="6" t="str">
        <f>IFERROR(__xludf.DUMMYFUNCTION("""COMPUTED_VALUE"""),"")</f>
        <v/>
      </c>
      <c r="F4771" s="6" t="str">
        <f>IFERROR(__xludf.DUMMYFUNCTION("""COMPUTED_VALUE"""),"Fernandez Santos")</f>
        <v>Fernandez Santos</v>
      </c>
      <c r="G4771" s="6" t="str">
        <f>IFERROR(__xludf.DUMMYFUNCTION("""COMPUTED_VALUE"""),"10/04/2013")</f>
        <v>10/04/2013</v>
      </c>
      <c r="H4771" s="6" t="str">
        <f>IFERROR(__xludf.DUMMYFUNCTION("""COMPUTED_VALUE"""),"female")</f>
        <v>female</v>
      </c>
      <c r="I4771" s="6" t="str">
        <f>IFERROR(__xludf.DUMMYFUNCTION("""COMPUTED_VALUE"""),"Middle School")</f>
        <v>Middle School</v>
      </c>
      <c r="J4771" s="6" t="str">
        <f>IFERROR(__xludf.DUMMYFUNCTION("""COMPUTED_VALUE"""),"6")</f>
        <v>6</v>
      </c>
      <c r="K4771" s="6" t="str">
        <f>IFERROR(__xludf.DUMMYFUNCTION("""COMPUTED_VALUE"""),"axel.fernandezsantos@2hourlearning.com")</f>
        <v>axel.fernandezsantos@2hourlearning.com</v>
      </c>
      <c r="L4771" s="6" t="str">
        <f>IFERROR(__xludf.DUMMYFUNCTION("""COMPUTED_VALUE"""),"JHMS - Hardeeville Junior Senior High School")</f>
        <v>JHMS - Hardeeville Junior Senior High School</v>
      </c>
      <c r="M4771" s="6" t="str">
        <f>IFERROR(__xludf.DUMMYFUNCTION("""COMPUTED_VALUE"""),"")</f>
        <v/>
      </c>
      <c r="N4771" s="6" t="str">
        <f>IFERROR(__xludf.DUMMYFUNCTION("""COMPUTED_VALUE"""),"")</f>
        <v/>
      </c>
      <c r="O4771" s="87" t="str">
        <f>IFERROR(__xludf.DUMMYFUNCTION("""COMPUTED_VALUE"""),"https://drive.google.com/drive/folders/10T2cTQHqEJZqE-st6uFKPoI?usp=share_link")</f>
        <v>https://drive.google.com/drive/folders/10T2cTQHqEJZqE-st6uFKPoI?usp=share_link</v>
      </c>
      <c r="P4771" s="6" t="str">
        <f>IFERROR(__xludf.DUMMYFUNCTION("""COMPUTED_VALUE"""),"Axel Fernandez Santos")</f>
        <v>Axel Fernandez Santos</v>
      </c>
      <c r="Q4771" s="6" t="str">
        <f>IFERROR(__xludf.DUMMYFUNCTION("""COMPUTED_VALUE"""),"MS")</f>
        <v>MS</v>
      </c>
      <c r="R4771" s="6">
        <f>IFERROR(__xludf.DUMMYFUNCTION("""COMPUTED_VALUE"""),0.0)</f>
        <v>0</v>
      </c>
      <c r="S4771" s="6" t="str">
        <f>IFERROR(__xludf.DUMMYFUNCTION("""COMPUTED_VALUE"""),"Kimberly Ball")</f>
        <v>Kimberly Ball</v>
      </c>
      <c r="T4771" s="6" t="str">
        <f>IFERROR(__xludf.DUMMYFUNCTION("""COMPUTED_VALUE"""),"kimberly.ball@studient.com")</f>
        <v>kimberly.ball@studient.com</v>
      </c>
      <c r="U4771" s="6" t="str">
        <f>IFERROR(__xludf.DUMMYFUNCTION("""COMPUTED_VALUE"""),"6")</f>
        <v>6</v>
      </c>
      <c r="V4771" s="6" t="str">
        <f>IFERROR(__xludf.DUMMYFUNCTION("""COMPUTED_VALUE"""),"")</f>
        <v/>
      </c>
      <c r="W4771" s="6" t="str">
        <f>IFERROR(__xludf.DUMMYFUNCTION("""COMPUTED_VALUE"""),"[]")</f>
        <v>[]</v>
      </c>
      <c r="X4771" s="6" t="str">
        <f>IFERROR(__xludf.DUMMYFUNCTION("""COMPUTED_VALUE"""),"Enrolled")</f>
        <v>Enrolled</v>
      </c>
    </row>
    <row r="4772">
      <c r="A4772" s="6" t="str">
        <f>IFERROR(__xludf.DUMMYFUNCTION("""COMPUTED_VALUE"""),"084-13134")</f>
        <v>084-13134</v>
      </c>
      <c r="B4772" s="6" t="str">
        <f>IFERROR(__xludf.DUMMYFUNCTION("""COMPUTED_VALUE"""),"84")</f>
        <v>84</v>
      </c>
      <c r="C4772" s="6" t="str">
        <f>IFERROR(__xludf.DUMMYFUNCTION("""COMPUTED_VALUE"""),"13134")</f>
        <v>13134</v>
      </c>
      <c r="D4772" s="6" t="str">
        <f>IFERROR(__xludf.DUMMYFUNCTION("""COMPUTED_VALUE"""),"Torrance")</f>
        <v>Torrance</v>
      </c>
      <c r="E4772" s="6" t="str">
        <f>IFERROR(__xludf.DUMMYFUNCTION("""COMPUTED_VALUE"""),"")</f>
        <v/>
      </c>
      <c r="F4772" s="6" t="str">
        <f>IFERROR(__xludf.DUMMYFUNCTION("""COMPUTED_VALUE"""),"Fields")</f>
        <v>Fields</v>
      </c>
      <c r="G4772" s="6" t="str">
        <f>IFERROR(__xludf.DUMMYFUNCTION("""COMPUTED_VALUE"""),"11/18/2013")</f>
        <v>11/18/2013</v>
      </c>
      <c r="H4772" s="6" t="str">
        <f>IFERROR(__xludf.DUMMYFUNCTION("""COMPUTED_VALUE"""),"male")</f>
        <v>male</v>
      </c>
      <c r="I4772" s="6" t="str">
        <f>IFERROR(__xludf.DUMMYFUNCTION("""COMPUTED_VALUE"""),"Middle School")</f>
        <v>Middle School</v>
      </c>
      <c r="J4772" s="6" t="str">
        <f>IFERROR(__xludf.DUMMYFUNCTION("""COMPUTED_VALUE"""),"6")</f>
        <v>6</v>
      </c>
      <c r="K4772" s="6" t="str">
        <f>IFERROR(__xludf.DUMMYFUNCTION("""COMPUTED_VALUE"""),"torrance.fields@2hourlearning.com")</f>
        <v>torrance.fields@2hourlearning.com</v>
      </c>
      <c r="L4772" s="6" t="str">
        <f>IFERROR(__xludf.DUMMYFUNCTION("""COMPUTED_VALUE"""),"JHMS - Hardeeville Junior Senior High School")</f>
        <v>JHMS - Hardeeville Junior Senior High School</v>
      </c>
      <c r="M4772" s="6" t="str">
        <f>IFERROR(__xludf.DUMMYFUNCTION("""COMPUTED_VALUE"""),"")</f>
        <v/>
      </c>
      <c r="N4772" s="6" t="str">
        <f>IFERROR(__xludf.DUMMYFUNCTION("""COMPUTED_VALUE"""),"")</f>
        <v/>
      </c>
      <c r="O4772" s="87" t="str">
        <f>IFERROR(__xludf.DUMMYFUNCTION("""COMPUTED_VALUE"""),"https://drive.google.com/drive/folders/10T2cTQHqEJZqE-st6uFKPoI?usp=share_link")</f>
        <v>https://drive.google.com/drive/folders/10T2cTQHqEJZqE-st6uFKPoI?usp=share_link</v>
      </c>
      <c r="P4772" s="6" t="str">
        <f>IFERROR(__xludf.DUMMYFUNCTION("""COMPUTED_VALUE"""),"Torrance Fields")</f>
        <v>Torrance Fields</v>
      </c>
      <c r="Q4772" s="6" t="str">
        <f>IFERROR(__xludf.DUMMYFUNCTION("""COMPUTED_VALUE"""),"MS")</f>
        <v>MS</v>
      </c>
      <c r="R4772" s="6">
        <f>IFERROR(__xludf.DUMMYFUNCTION("""COMPUTED_VALUE"""),0.0)</f>
        <v>0</v>
      </c>
      <c r="S4772" s="6" t="str">
        <f>IFERROR(__xludf.DUMMYFUNCTION("""COMPUTED_VALUE"""),"Kimberly Ball")</f>
        <v>Kimberly Ball</v>
      </c>
      <c r="T4772" s="6" t="str">
        <f>IFERROR(__xludf.DUMMYFUNCTION("""COMPUTED_VALUE"""),"kimberly.ball@studient.com")</f>
        <v>kimberly.ball@studient.com</v>
      </c>
      <c r="U4772" s="6" t="str">
        <f>IFERROR(__xludf.DUMMYFUNCTION("""COMPUTED_VALUE"""),"6")</f>
        <v>6</v>
      </c>
      <c r="V4772" s="6" t="str">
        <f>IFERROR(__xludf.DUMMYFUNCTION("""COMPUTED_VALUE"""),"")</f>
        <v/>
      </c>
      <c r="W4772" s="6" t="str">
        <f>IFERROR(__xludf.DUMMYFUNCTION("""COMPUTED_VALUE"""),"[]")</f>
        <v>[]</v>
      </c>
      <c r="X4772" s="6" t="str">
        <f>IFERROR(__xludf.DUMMYFUNCTION("""COMPUTED_VALUE"""),"Enrolled")</f>
        <v>Enrolled</v>
      </c>
    </row>
    <row r="4773">
      <c r="A4773" s="6" t="str">
        <f>IFERROR(__xludf.DUMMYFUNCTION("""COMPUTED_VALUE"""),"084-13135")</f>
        <v>084-13135</v>
      </c>
      <c r="B4773" s="6" t="str">
        <f>IFERROR(__xludf.DUMMYFUNCTION("""COMPUTED_VALUE"""),"84")</f>
        <v>84</v>
      </c>
      <c r="C4773" s="6" t="str">
        <f>IFERROR(__xludf.DUMMYFUNCTION("""COMPUTED_VALUE"""),"13135")</f>
        <v>13135</v>
      </c>
      <c r="D4773" s="6" t="str">
        <f>IFERROR(__xludf.DUMMYFUNCTION("""COMPUTED_VALUE"""),"Zoe")</f>
        <v>Zoe</v>
      </c>
      <c r="E4773" s="6" t="str">
        <f>IFERROR(__xludf.DUMMYFUNCTION("""COMPUTED_VALUE"""),"")</f>
        <v/>
      </c>
      <c r="F4773" s="6" t="str">
        <f>IFERROR(__xludf.DUMMYFUNCTION("""COMPUTED_VALUE"""),"Fuentes-Aguilar")</f>
        <v>Fuentes-Aguilar</v>
      </c>
      <c r="G4773" s="6" t="str">
        <f>IFERROR(__xludf.DUMMYFUNCTION("""COMPUTED_VALUE"""),"02/14/2014")</f>
        <v>02/14/2014</v>
      </c>
      <c r="H4773" s="6" t="str">
        <f>IFERROR(__xludf.DUMMYFUNCTION("""COMPUTED_VALUE"""),"female")</f>
        <v>female</v>
      </c>
      <c r="I4773" s="6" t="str">
        <f>IFERROR(__xludf.DUMMYFUNCTION("""COMPUTED_VALUE"""),"Middle School")</f>
        <v>Middle School</v>
      </c>
      <c r="J4773" s="6" t="str">
        <f>IFERROR(__xludf.DUMMYFUNCTION("""COMPUTED_VALUE"""),"6")</f>
        <v>6</v>
      </c>
      <c r="K4773" s="6" t="str">
        <f>IFERROR(__xludf.DUMMYFUNCTION("""COMPUTED_VALUE"""),"zoe.fuentes-aguilar@2hourlearning.com")</f>
        <v>zoe.fuentes-aguilar@2hourlearning.com</v>
      </c>
      <c r="L4773" s="6" t="str">
        <f>IFERROR(__xludf.DUMMYFUNCTION("""COMPUTED_VALUE"""),"JHMS - Hardeeville Junior Senior High School")</f>
        <v>JHMS - Hardeeville Junior Senior High School</v>
      </c>
      <c r="M4773" s="6" t="str">
        <f>IFERROR(__xludf.DUMMYFUNCTION("""COMPUTED_VALUE"""),"")</f>
        <v/>
      </c>
      <c r="N4773" s="6" t="str">
        <f>IFERROR(__xludf.DUMMYFUNCTION("""COMPUTED_VALUE"""),"")</f>
        <v/>
      </c>
      <c r="O4773" s="87" t="str">
        <f>IFERROR(__xludf.DUMMYFUNCTION("""COMPUTED_VALUE"""),"https://drive.google.com/drive/folders/10T2cTQHqEJZqE-st6uFKPoI?usp=share_link")</f>
        <v>https://drive.google.com/drive/folders/10T2cTQHqEJZqE-st6uFKPoI?usp=share_link</v>
      </c>
      <c r="P4773" s="6" t="str">
        <f>IFERROR(__xludf.DUMMYFUNCTION("""COMPUTED_VALUE"""),"Zoe Fuentes-Aguilar")</f>
        <v>Zoe Fuentes-Aguilar</v>
      </c>
      <c r="Q4773" s="6" t="str">
        <f>IFERROR(__xludf.DUMMYFUNCTION("""COMPUTED_VALUE"""),"MS")</f>
        <v>MS</v>
      </c>
      <c r="R4773" s="6">
        <f>IFERROR(__xludf.DUMMYFUNCTION("""COMPUTED_VALUE"""),0.0)</f>
        <v>0</v>
      </c>
      <c r="S4773" s="6" t="str">
        <f>IFERROR(__xludf.DUMMYFUNCTION("""COMPUTED_VALUE"""),"Kimberly Ball")</f>
        <v>Kimberly Ball</v>
      </c>
      <c r="T4773" s="6" t="str">
        <f>IFERROR(__xludf.DUMMYFUNCTION("""COMPUTED_VALUE"""),"kimberly.ball@studient.com")</f>
        <v>kimberly.ball@studient.com</v>
      </c>
      <c r="U4773" s="6" t="str">
        <f>IFERROR(__xludf.DUMMYFUNCTION("""COMPUTED_VALUE"""),"6")</f>
        <v>6</v>
      </c>
      <c r="V4773" s="6" t="str">
        <f>IFERROR(__xludf.DUMMYFUNCTION("""COMPUTED_VALUE"""),"")</f>
        <v/>
      </c>
      <c r="W4773" s="6" t="str">
        <f>IFERROR(__xludf.DUMMYFUNCTION("""COMPUTED_VALUE"""),"[]")</f>
        <v>[]</v>
      </c>
      <c r="X4773" s="6" t="str">
        <f>IFERROR(__xludf.DUMMYFUNCTION("""COMPUTED_VALUE"""),"Enrolled")</f>
        <v>Enrolled</v>
      </c>
    </row>
    <row r="4774">
      <c r="A4774" s="6" t="str">
        <f>IFERROR(__xludf.DUMMYFUNCTION("""COMPUTED_VALUE"""),"084-13136")</f>
        <v>084-13136</v>
      </c>
      <c r="B4774" s="6" t="str">
        <f>IFERROR(__xludf.DUMMYFUNCTION("""COMPUTED_VALUE"""),"84")</f>
        <v>84</v>
      </c>
      <c r="C4774" s="6" t="str">
        <f>IFERROR(__xludf.DUMMYFUNCTION("""COMPUTED_VALUE"""),"13136")</f>
        <v>13136</v>
      </c>
      <c r="D4774" s="6" t="str">
        <f>IFERROR(__xludf.DUMMYFUNCTION("""COMPUTED_VALUE"""),"Richar")</f>
        <v>Richar</v>
      </c>
      <c r="E4774" s="6" t="str">
        <f>IFERROR(__xludf.DUMMYFUNCTION("""COMPUTED_VALUE"""),"")</f>
        <v/>
      </c>
      <c r="F4774" s="6" t="str">
        <f>IFERROR(__xludf.DUMMYFUNCTION("""COMPUTED_VALUE"""),"Galvez-Sanchez")</f>
        <v>Galvez-Sanchez</v>
      </c>
      <c r="G4774" s="6" t="str">
        <f>IFERROR(__xludf.DUMMYFUNCTION("""COMPUTED_VALUE"""),"08/24/2014")</f>
        <v>08/24/2014</v>
      </c>
      <c r="H4774" s="6" t="str">
        <f>IFERROR(__xludf.DUMMYFUNCTION("""COMPUTED_VALUE"""),"male")</f>
        <v>male</v>
      </c>
      <c r="I4774" s="6" t="str">
        <f>IFERROR(__xludf.DUMMYFUNCTION("""COMPUTED_VALUE"""),"Middle School")</f>
        <v>Middle School</v>
      </c>
      <c r="J4774" s="6" t="str">
        <f>IFERROR(__xludf.DUMMYFUNCTION("""COMPUTED_VALUE"""),"6")</f>
        <v>6</v>
      </c>
      <c r="K4774" s="6" t="str">
        <f>IFERROR(__xludf.DUMMYFUNCTION("""COMPUTED_VALUE"""),"richar.galvez-sanchez@2hourlearning.com")</f>
        <v>richar.galvez-sanchez@2hourlearning.com</v>
      </c>
      <c r="L4774" s="6" t="str">
        <f>IFERROR(__xludf.DUMMYFUNCTION("""COMPUTED_VALUE"""),"JHMS - Hardeeville Junior Senior High School")</f>
        <v>JHMS - Hardeeville Junior Senior High School</v>
      </c>
      <c r="M4774" s="6" t="str">
        <f>IFERROR(__xludf.DUMMYFUNCTION("""COMPUTED_VALUE"""),"")</f>
        <v/>
      </c>
      <c r="N4774" s="6" t="str">
        <f>IFERROR(__xludf.DUMMYFUNCTION("""COMPUTED_VALUE"""),"")</f>
        <v/>
      </c>
      <c r="O4774" s="87" t="str">
        <f>IFERROR(__xludf.DUMMYFUNCTION("""COMPUTED_VALUE"""),"https://drive.google.com/drive/folders/10T2cTQHqEJZqE-st6uFKPoI?usp=share_link")</f>
        <v>https://drive.google.com/drive/folders/10T2cTQHqEJZqE-st6uFKPoI?usp=share_link</v>
      </c>
      <c r="P4774" s="6" t="str">
        <f>IFERROR(__xludf.DUMMYFUNCTION("""COMPUTED_VALUE"""),"Richar Galvez-Sanchez")</f>
        <v>Richar Galvez-Sanchez</v>
      </c>
      <c r="Q4774" s="6" t="str">
        <f>IFERROR(__xludf.DUMMYFUNCTION("""COMPUTED_VALUE"""),"MS")</f>
        <v>MS</v>
      </c>
      <c r="R4774" s="6">
        <f>IFERROR(__xludf.DUMMYFUNCTION("""COMPUTED_VALUE"""),0.0)</f>
        <v>0</v>
      </c>
      <c r="S4774" s="6" t="str">
        <f>IFERROR(__xludf.DUMMYFUNCTION("""COMPUTED_VALUE"""),"Kimberly Ball")</f>
        <v>Kimberly Ball</v>
      </c>
      <c r="T4774" s="6" t="str">
        <f>IFERROR(__xludf.DUMMYFUNCTION("""COMPUTED_VALUE"""),"kimberly.ball@studient.com")</f>
        <v>kimberly.ball@studient.com</v>
      </c>
      <c r="U4774" s="6" t="str">
        <f>IFERROR(__xludf.DUMMYFUNCTION("""COMPUTED_VALUE"""),"6")</f>
        <v>6</v>
      </c>
      <c r="V4774" s="6" t="str">
        <f>IFERROR(__xludf.DUMMYFUNCTION("""COMPUTED_VALUE"""),"")</f>
        <v/>
      </c>
      <c r="W4774" s="6" t="str">
        <f>IFERROR(__xludf.DUMMYFUNCTION("""COMPUTED_VALUE"""),"[]")</f>
        <v>[]</v>
      </c>
      <c r="X4774" s="6" t="str">
        <f>IFERROR(__xludf.DUMMYFUNCTION("""COMPUTED_VALUE"""),"Enrolled")</f>
        <v>Enrolled</v>
      </c>
    </row>
    <row r="4775">
      <c r="A4775" s="6" t="str">
        <f>IFERROR(__xludf.DUMMYFUNCTION("""COMPUTED_VALUE"""),"084-13137")</f>
        <v>084-13137</v>
      </c>
      <c r="B4775" s="6" t="str">
        <f>IFERROR(__xludf.DUMMYFUNCTION("""COMPUTED_VALUE"""),"84")</f>
        <v>84</v>
      </c>
      <c r="C4775" s="6" t="str">
        <f>IFERROR(__xludf.DUMMYFUNCTION("""COMPUTED_VALUE"""),"13137")</f>
        <v>13137</v>
      </c>
      <c r="D4775" s="6" t="str">
        <f>IFERROR(__xludf.DUMMYFUNCTION("""COMPUTED_VALUE"""),"Emma")</f>
        <v>Emma</v>
      </c>
      <c r="E4775" s="6" t="str">
        <f>IFERROR(__xludf.DUMMYFUNCTION("""COMPUTED_VALUE"""),"")</f>
        <v/>
      </c>
      <c r="F4775" s="6" t="str">
        <f>IFERROR(__xludf.DUMMYFUNCTION("""COMPUTED_VALUE"""),"Garcia")</f>
        <v>Garcia</v>
      </c>
      <c r="G4775" s="6" t="str">
        <f>IFERROR(__xludf.DUMMYFUNCTION("""COMPUTED_VALUE"""),"10/27/2013")</f>
        <v>10/27/2013</v>
      </c>
      <c r="H4775" s="6" t="str">
        <f>IFERROR(__xludf.DUMMYFUNCTION("""COMPUTED_VALUE"""),"female")</f>
        <v>female</v>
      </c>
      <c r="I4775" s="6" t="str">
        <f>IFERROR(__xludf.DUMMYFUNCTION("""COMPUTED_VALUE"""),"Middle School")</f>
        <v>Middle School</v>
      </c>
      <c r="J4775" s="6" t="str">
        <f>IFERROR(__xludf.DUMMYFUNCTION("""COMPUTED_VALUE"""),"6")</f>
        <v>6</v>
      </c>
      <c r="K4775" s="6" t="str">
        <f>IFERROR(__xludf.DUMMYFUNCTION("""COMPUTED_VALUE"""),"emma.garcia@2hourlearning.com")</f>
        <v>emma.garcia@2hourlearning.com</v>
      </c>
      <c r="L4775" s="6" t="str">
        <f>IFERROR(__xludf.DUMMYFUNCTION("""COMPUTED_VALUE"""),"JHMS - Hardeeville Junior Senior High School")</f>
        <v>JHMS - Hardeeville Junior Senior High School</v>
      </c>
      <c r="M4775" s="6" t="str">
        <f>IFERROR(__xludf.DUMMYFUNCTION("""COMPUTED_VALUE"""),"")</f>
        <v/>
      </c>
      <c r="N4775" s="6" t="str">
        <f>IFERROR(__xludf.DUMMYFUNCTION("""COMPUTED_VALUE"""),"")</f>
        <v/>
      </c>
      <c r="O4775" s="87" t="str">
        <f>IFERROR(__xludf.DUMMYFUNCTION("""COMPUTED_VALUE"""),"https://drive.google.com/drive/folders/10T2cTQHqEJZqE-st6uFKPoI?usp=share_link")</f>
        <v>https://drive.google.com/drive/folders/10T2cTQHqEJZqE-st6uFKPoI?usp=share_link</v>
      </c>
      <c r="P4775" s="6" t="str">
        <f>IFERROR(__xludf.DUMMYFUNCTION("""COMPUTED_VALUE"""),"Emma Garcia")</f>
        <v>Emma Garcia</v>
      </c>
      <c r="Q4775" s="6" t="str">
        <f>IFERROR(__xludf.DUMMYFUNCTION("""COMPUTED_VALUE"""),"MS")</f>
        <v>MS</v>
      </c>
      <c r="R4775" s="6">
        <f>IFERROR(__xludf.DUMMYFUNCTION("""COMPUTED_VALUE"""),0.0)</f>
        <v>0</v>
      </c>
      <c r="S4775" s="6" t="str">
        <f>IFERROR(__xludf.DUMMYFUNCTION("""COMPUTED_VALUE"""),"Kimberly Ball")</f>
        <v>Kimberly Ball</v>
      </c>
      <c r="T4775" s="6" t="str">
        <f>IFERROR(__xludf.DUMMYFUNCTION("""COMPUTED_VALUE"""),"kimberly.ball@studient.com")</f>
        <v>kimberly.ball@studient.com</v>
      </c>
      <c r="U4775" s="6" t="str">
        <f>IFERROR(__xludf.DUMMYFUNCTION("""COMPUTED_VALUE"""),"6")</f>
        <v>6</v>
      </c>
      <c r="V4775" s="6" t="str">
        <f>IFERROR(__xludf.DUMMYFUNCTION("""COMPUTED_VALUE"""),"")</f>
        <v/>
      </c>
      <c r="W4775" s="6" t="str">
        <f>IFERROR(__xludf.DUMMYFUNCTION("""COMPUTED_VALUE"""),"[]")</f>
        <v>[]</v>
      </c>
      <c r="X4775" s="6" t="str">
        <f>IFERROR(__xludf.DUMMYFUNCTION("""COMPUTED_VALUE"""),"Enrolled")</f>
        <v>Enrolled</v>
      </c>
    </row>
    <row r="4776">
      <c r="A4776" s="6" t="str">
        <f>IFERROR(__xludf.DUMMYFUNCTION("""COMPUTED_VALUE"""),"084-13138")</f>
        <v>084-13138</v>
      </c>
      <c r="B4776" s="6" t="str">
        <f>IFERROR(__xludf.DUMMYFUNCTION("""COMPUTED_VALUE"""),"84")</f>
        <v>84</v>
      </c>
      <c r="C4776" s="6" t="str">
        <f>IFERROR(__xludf.DUMMYFUNCTION("""COMPUTED_VALUE"""),"13138")</f>
        <v>13138</v>
      </c>
      <c r="D4776" s="6" t="str">
        <f>IFERROR(__xludf.DUMMYFUNCTION("""COMPUTED_VALUE"""),"Jared")</f>
        <v>Jared</v>
      </c>
      <c r="E4776" s="6" t="str">
        <f>IFERROR(__xludf.DUMMYFUNCTION("""COMPUTED_VALUE"""),"")</f>
        <v/>
      </c>
      <c r="F4776" s="6" t="str">
        <f>IFERROR(__xludf.DUMMYFUNCTION("""COMPUTED_VALUE"""),"Garcia")</f>
        <v>Garcia</v>
      </c>
      <c r="G4776" s="6" t="str">
        <f>IFERROR(__xludf.DUMMYFUNCTION("""COMPUTED_VALUE"""),"10/07/2013")</f>
        <v>10/07/2013</v>
      </c>
      <c r="H4776" s="6" t="str">
        <f>IFERROR(__xludf.DUMMYFUNCTION("""COMPUTED_VALUE"""),"male")</f>
        <v>male</v>
      </c>
      <c r="I4776" s="6" t="str">
        <f>IFERROR(__xludf.DUMMYFUNCTION("""COMPUTED_VALUE"""),"Middle School")</f>
        <v>Middle School</v>
      </c>
      <c r="J4776" s="6" t="str">
        <f>IFERROR(__xludf.DUMMYFUNCTION("""COMPUTED_VALUE"""),"6")</f>
        <v>6</v>
      </c>
      <c r="K4776" s="6" t="str">
        <f>IFERROR(__xludf.DUMMYFUNCTION("""COMPUTED_VALUE"""),"jared.garcia@2hourlearning.com")</f>
        <v>jared.garcia@2hourlearning.com</v>
      </c>
      <c r="L4776" s="6" t="str">
        <f>IFERROR(__xludf.DUMMYFUNCTION("""COMPUTED_VALUE"""),"JHMS - Hardeeville Junior Senior High School")</f>
        <v>JHMS - Hardeeville Junior Senior High School</v>
      </c>
      <c r="M4776" s="6" t="str">
        <f>IFERROR(__xludf.DUMMYFUNCTION("""COMPUTED_VALUE"""),"")</f>
        <v/>
      </c>
      <c r="N4776" s="6" t="str">
        <f>IFERROR(__xludf.DUMMYFUNCTION("""COMPUTED_VALUE"""),"")</f>
        <v/>
      </c>
      <c r="O4776" s="87" t="str">
        <f>IFERROR(__xludf.DUMMYFUNCTION("""COMPUTED_VALUE"""),"https://drive.google.com/drive/folders/10T2cTQHqEJZqE-st6uFKPoI?usp=share_link")</f>
        <v>https://drive.google.com/drive/folders/10T2cTQHqEJZqE-st6uFKPoI?usp=share_link</v>
      </c>
      <c r="P4776" s="6" t="str">
        <f>IFERROR(__xludf.DUMMYFUNCTION("""COMPUTED_VALUE"""),"Jared Garcia")</f>
        <v>Jared Garcia</v>
      </c>
      <c r="Q4776" s="6" t="str">
        <f>IFERROR(__xludf.DUMMYFUNCTION("""COMPUTED_VALUE"""),"MS")</f>
        <v>MS</v>
      </c>
      <c r="R4776" s="6">
        <f>IFERROR(__xludf.DUMMYFUNCTION("""COMPUTED_VALUE"""),0.0)</f>
        <v>0</v>
      </c>
      <c r="S4776" s="6" t="str">
        <f>IFERROR(__xludf.DUMMYFUNCTION("""COMPUTED_VALUE"""),"Kimberly Ball")</f>
        <v>Kimberly Ball</v>
      </c>
      <c r="T4776" s="6" t="str">
        <f>IFERROR(__xludf.DUMMYFUNCTION("""COMPUTED_VALUE"""),"kimberly.ball@studient.com")</f>
        <v>kimberly.ball@studient.com</v>
      </c>
      <c r="U4776" s="6" t="str">
        <f>IFERROR(__xludf.DUMMYFUNCTION("""COMPUTED_VALUE"""),"6")</f>
        <v>6</v>
      </c>
      <c r="V4776" s="6" t="str">
        <f>IFERROR(__xludf.DUMMYFUNCTION("""COMPUTED_VALUE"""),"")</f>
        <v/>
      </c>
      <c r="W4776" s="6" t="str">
        <f>IFERROR(__xludf.DUMMYFUNCTION("""COMPUTED_VALUE"""),"[]")</f>
        <v>[]</v>
      </c>
      <c r="X4776" s="6" t="str">
        <f>IFERROR(__xludf.DUMMYFUNCTION("""COMPUTED_VALUE"""),"Enrolled")</f>
        <v>Enrolled</v>
      </c>
    </row>
    <row r="4777">
      <c r="A4777" s="6" t="str">
        <f>IFERROR(__xludf.DUMMYFUNCTION("""COMPUTED_VALUE"""),"084-13139")</f>
        <v>084-13139</v>
      </c>
      <c r="B4777" s="6" t="str">
        <f>IFERROR(__xludf.DUMMYFUNCTION("""COMPUTED_VALUE"""),"84")</f>
        <v>84</v>
      </c>
      <c r="C4777" s="6" t="str">
        <f>IFERROR(__xludf.DUMMYFUNCTION("""COMPUTED_VALUE"""),"13139")</f>
        <v>13139</v>
      </c>
      <c r="D4777" s="6" t="str">
        <f>IFERROR(__xludf.DUMMYFUNCTION("""COMPUTED_VALUE"""),"Josue L")</f>
        <v>Josue L</v>
      </c>
      <c r="E4777" s="6" t="str">
        <f>IFERROR(__xludf.DUMMYFUNCTION("""COMPUTED_VALUE"""),"")</f>
        <v/>
      </c>
      <c r="F4777" s="6" t="str">
        <f>IFERROR(__xludf.DUMMYFUNCTION("""COMPUTED_VALUE"""),"Garcia Rueda")</f>
        <v>Garcia Rueda</v>
      </c>
      <c r="G4777" s="6" t="str">
        <f>IFERROR(__xludf.DUMMYFUNCTION("""COMPUTED_VALUE"""),"11/17/2013")</f>
        <v>11/17/2013</v>
      </c>
      <c r="H4777" s="6" t="str">
        <f>IFERROR(__xludf.DUMMYFUNCTION("""COMPUTED_VALUE"""),"female")</f>
        <v>female</v>
      </c>
      <c r="I4777" s="6" t="str">
        <f>IFERROR(__xludf.DUMMYFUNCTION("""COMPUTED_VALUE"""),"Middle School")</f>
        <v>Middle School</v>
      </c>
      <c r="J4777" s="6" t="str">
        <f>IFERROR(__xludf.DUMMYFUNCTION("""COMPUTED_VALUE"""),"6")</f>
        <v>6</v>
      </c>
      <c r="K4777" s="6" t="str">
        <f>IFERROR(__xludf.DUMMYFUNCTION("""COMPUTED_VALUE"""),"josuel.garciarueda@2hourlearning.com")</f>
        <v>josuel.garciarueda@2hourlearning.com</v>
      </c>
      <c r="L4777" s="6" t="str">
        <f>IFERROR(__xludf.DUMMYFUNCTION("""COMPUTED_VALUE"""),"JHMS - Hardeeville Junior Senior High School")</f>
        <v>JHMS - Hardeeville Junior Senior High School</v>
      </c>
      <c r="M4777" s="6" t="str">
        <f>IFERROR(__xludf.DUMMYFUNCTION("""COMPUTED_VALUE"""),"")</f>
        <v/>
      </c>
      <c r="N4777" s="6" t="str">
        <f>IFERROR(__xludf.DUMMYFUNCTION("""COMPUTED_VALUE"""),"")</f>
        <v/>
      </c>
      <c r="O4777" s="87" t="str">
        <f>IFERROR(__xludf.DUMMYFUNCTION("""COMPUTED_VALUE"""),"https://drive.google.com/drive/folders/10T2cTQHqEJZqE-st6uFKPoI?usp=share_link")</f>
        <v>https://drive.google.com/drive/folders/10T2cTQHqEJZqE-st6uFKPoI?usp=share_link</v>
      </c>
      <c r="P4777" s="6" t="str">
        <f>IFERROR(__xludf.DUMMYFUNCTION("""COMPUTED_VALUE"""),"Josue L Garcia Rueda")</f>
        <v>Josue L Garcia Rueda</v>
      </c>
      <c r="Q4777" s="6" t="str">
        <f>IFERROR(__xludf.DUMMYFUNCTION("""COMPUTED_VALUE"""),"MS")</f>
        <v>MS</v>
      </c>
      <c r="R4777" s="6">
        <f>IFERROR(__xludf.DUMMYFUNCTION("""COMPUTED_VALUE"""),0.0)</f>
        <v>0</v>
      </c>
      <c r="S4777" s="6" t="str">
        <f>IFERROR(__xludf.DUMMYFUNCTION("""COMPUTED_VALUE"""),"Kimberly Ball")</f>
        <v>Kimberly Ball</v>
      </c>
      <c r="T4777" s="6" t="str">
        <f>IFERROR(__xludf.DUMMYFUNCTION("""COMPUTED_VALUE"""),"kimberly.ball@studient.com")</f>
        <v>kimberly.ball@studient.com</v>
      </c>
      <c r="U4777" s="6" t="str">
        <f>IFERROR(__xludf.DUMMYFUNCTION("""COMPUTED_VALUE"""),"6")</f>
        <v>6</v>
      </c>
      <c r="V4777" s="6" t="str">
        <f>IFERROR(__xludf.DUMMYFUNCTION("""COMPUTED_VALUE"""),"")</f>
        <v/>
      </c>
      <c r="W4777" s="6" t="str">
        <f>IFERROR(__xludf.DUMMYFUNCTION("""COMPUTED_VALUE"""),"[]")</f>
        <v>[]</v>
      </c>
      <c r="X4777" s="6" t="str">
        <f>IFERROR(__xludf.DUMMYFUNCTION("""COMPUTED_VALUE"""),"Enrolled")</f>
        <v>Enrolled</v>
      </c>
    </row>
    <row r="4778">
      <c r="A4778" s="6" t="str">
        <f>IFERROR(__xludf.DUMMYFUNCTION("""COMPUTED_VALUE"""),"084-13140")</f>
        <v>084-13140</v>
      </c>
      <c r="B4778" s="6" t="str">
        <f>IFERROR(__xludf.DUMMYFUNCTION("""COMPUTED_VALUE"""),"84")</f>
        <v>84</v>
      </c>
      <c r="C4778" s="6" t="str">
        <f>IFERROR(__xludf.DUMMYFUNCTION("""COMPUTED_VALUE"""),"13140")</f>
        <v>13140</v>
      </c>
      <c r="D4778" s="6" t="str">
        <f>IFERROR(__xludf.DUMMYFUNCTION("""COMPUTED_VALUE"""),"Kendra")</f>
        <v>Kendra</v>
      </c>
      <c r="E4778" s="6" t="str">
        <f>IFERROR(__xludf.DUMMYFUNCTION("""COMPUTED_VALUE"""),"")</f>
        <v/>
      </c>
      <c r="F4778" s="6" t="str">
        <f>IFERROR(__xludf.DUMMYFUNCTION("""COMPUTED_VALUE"""),"Garcia-Rodriguez")</f>
        <v>Garcia-Rodriguez</v>
      </c>
      <c r="G4778" s="6" t="str">
        <f>IFERROR(__xludf.DUMMYFUNCTION("""COMPUTED_VALUE"""),"12/01/2014")</f>
        <v>12/01/2014</v>
      </c>
      <c r="H4778" s="6" t="str">
        <f>IFERROR(__xludf.DUMMYFUNCTION("""COMPUTED_VALUE"""),"female")</f>
        <v>female</v>
      </c>
      <c r="I4778" s="6" t="str">
        <f>IFERROR(__xludf.DUMMYFUNCTION("""COMPUTED_VALUE"""),"Middle School")</f>
        <v>Middle School</v>
      </c>
      <c r="J4778" s="6" t="str">
        <f>IFERROR(__xludf.DUMMYFUNCTION("""COMPUTED_VALUE"""),"6")</f>
        <v>6</v>
      </c>
      <c r="K4778" s="6" t="str">
        <f>IFERROR(__xludf.DUMMYFUNCTION("""COMPUTED_VALUE"""),"kendra.garcia-rodriguez@2hourlearning.com")</f>
        <v>kendra.garcia-rodriguez@2hourlearning.com</v>
      </c>
      <c r="L4778" s="6" t="str">
        <f>IFERROR(__xludf.DUMMYFUNCTION("""COMPUTED_VALUE"""),"JHMS - Hardeeville Junior Senior High School")</f>
        <v>JHMS - Hardeeville Junior Senior High School</v>
      </c>
      <c r="M4778" s="6" t="str">
        <f>IFERROR(__xludf.DUMMYFUNCTION("""COMPUTED_VALUE"""),"")</f>
        <v/>
      </c>
      <c r="N4778" s="6" t="str">
        <f>IFERROR(__xludf.DUMMYFUNCTION("""COMPUTED_VALUE"""),"")</f>
        <v/>
      </c>
      <c r="O4778" s="87" t="str">
        <f>IFERROR(__xludf.DUMMYFUNCTION("""COMPUTED_VALUE"""),"https://drive.google.com/drive/folders/10T2cTQHqEJZqE-st6uFKPoI?usp=share_link")</f>
        <v>https://drive.google.com/drive/folders/10T2cTQHqEJZqE-st6uFKPoI?usp=share_link</v>
      </c>
      <c r="P4778" s="6" t="str">
        <f>IFERROR(__xludf.DUMMYFUNCTION("""COMPUTED_VALUE"""),"Kendra Garcia-Rodriguez")</f>
        <v>Kendra Garcia-Rodriguez</v>
      </c>
      <c r="Q4778" s="6" t="str">
        <f>IFERROR(__xludf.DUMMYFUNCTION("""COMPUTED_VALUE"""),"MS")</f>
        <v>MS</v>
      </c>
      <c r="R4778" s="6">
        <f>IFERROR(__xludf.DUMMYFUNCTION("""COMPUTED_VALUE"""),0.0)</f>
        <v>0</v>
      </c>
      <c r="S4778" s="6" t="str">
        <f>IFERROR(__xludf.DUMMYFUNCTION("""COMPUTED_VALUE"""),"Kimberly Ball")</f>
        <v>Kimberly Ball</v>
      </c>
      <c r="T4778" s="6" t="str">
        <f>IFERROR(__xludf.DUMMYFUNCTION("""COMPUTED_VALUE"""),"kimberly.ball@studient.com")</f>
        <v>kimberly.ball@studient.com</v>
      </c>
      <c r="U4778" s="6" t="str">
        <f>IFERROR(__xludf.DUMMYFUNCTION("""COMPUTED_VALUE"""),"6")</f>
        <v>6</v>
      </c>
      <c r="V4778" s="6" t="str">
        <f>IFERROR(__xludf.DUMMYFUNCTION("""COMPUTED_VALUE"""),"")</f>
        <v/>
      </c>
      <c r="W4778" s="6" t="str">
        <f>IFERROR(__xludf.DUMMYFUNCTION("""COMPUTED_VALUE"""),"[]")</f>
        <v>[]</v>
      </c>
      <c r="X4778" s="6" t="str">
        <f>IFERROR(__xludf.DUMMYFUNCTION("""COMPUTED_VALUE"""),"Enrolled")</f>
        <v>Enrolled</v>
      </c>
    </row>
    <row r="4779">
      <c r="A4779" s="6" t="str">
        <f>IFERROR(__xludf.DUMMYFUNCTION("""COMPUTED_VALUE"""),"084-13141")</f>
        <v>084-13141</v>
      </c>
      <c r="B4779" s="6" t="str">
        <f>IFERROR(__xludf.DUMMYFUNCTION("""COMPUTED_VALUE"""),"84")</f>
        <v>84</v>
      </c>
      <c r="C4779" s="6" t="str">
        <f>IFERROR(__xludf.DUMMYFUNCTION("""COMPUTED_VALUE"""),"13141")</f>
        <v>13141</v>
      </c>
      <c r="D4779" s="6" t="str">
        <f>IFERROR(__xludf.DUMMYFUNCTION("""COMPUTED_VALUE"""),"Yahaira")</f>
        <v>Yahaira</v>
      </c>
      <c r="E4779" s="6" t="str">
        <f>IFERROR(__xludf.DUMMYFUNCTION("""COMPUTED_VALUE"""),"")</f>
        <v/>
      </c>
      <c r="F4779" s="6" t="str">
        <f>IFERROR(__xludf.DUMMYFUNCTION("""COMPUTED_VALUE"""),"Gonzalez-Gallardo")</f>
        <v>Gonzalez-Gallardo</v>
      </c>
      <c r="G4779" s="6" t="str">
        <f>IFERROR(__xludf.DUMMYFUNCTION("""COMPUTED_VALUE"""),"12/01/2014")</f>
        <v>12/01/2014</v>
      </c>
      <c r="H4779" s="6" t="str">
        <f>IFERROR(__xludf.DUMMYFUNCTION("""COMPUTED_VALUE"""),"female")</f>
        <v>female</v>
      </c>
      <c r="I4779" s="6" t="str">
        <f>IFERROR(__xludf.DUMMYFUNCTION("""COMPUTED_VALUE"""),"Middle School")</f>
        <v>Middle School</v>
      </c>
      <c r="J4779" s="6" t="str">
        <f>IFERROR(__xludf.DUMMYFUNCTION("""COMPUTED_VALUE"""),"6")</f>
        <v>6</v>
      </c>
      <c r="K4779" s="6" t="str">
        <f>IFERROR(__xludf.DUMMYFUNCTION("""COMPUTED_VALUE"""),"yahaira.gonzalez-gallardo@2hourlearning.com")</f>
        <v>yahaira.gonzalez-gallardo@2hourlearning.com</v>
      </c>
      <c r="L4779" s="6" t="str">
        <f>IFERROR(__xludf.DUMMYFUNCTION("""COMPUTED_VALUE"""),"JHMS - Hardeeville Junior Senior High School")</f>
        <v>JHMS - Hardeeville Junior Senior High School</v>
      </c>
      <c r="M4779" s="6" t="str">
        <f>IFERROR(__xludf.DUMMYFUNCTION("""COMPUTED_VALUE"""),"")</f>
        <v/>
      </c>
      <c r="N4779" s="6" t="str">
        <f>IFERROR(__xludf.DUMMYFUNCTION("""COMPUTED_VALUE"""),"")</f>
        <v/>
      </c>
      <c r="O4779" s="87" t="str">
        <f>IFERROR(__xludf.DUMMYFUNCTION("""COMPUTED_VALUE"""),"https://drive.google.com/drive/folders/10T2cTQHqEJZqE-st6uFKPoI?usp=share_link")</f>
        <v>https://drive.google.com/drive/folders/10T2cTQHqEJZqE-st6uFKPoI?usp=share_link</v>
      </c>
      <c r="P4779" s="6" t="str">
        <f>IFERROR(__xludf.DUMMYFUNCTION("""COMPUTED_VALUE"""),"Yahaira Gonzalez-Gallardo")</f>
        <v>Yahaira Gonzalez-Gallardo</v>
      </c>
      <c r="Q4779" s="6" t="str">
        <f>IFERROR(__xludf.DUMMYFUNCTION("""COMPUTED_VALUE"""),"MS")</f>
        <v>MS</v>
      </c>
      <c r="R4779" s="6">
        <f>IFERROR(__xludf.DUMMYFUNCTION("""COMPUTED_VALUE"""),0.0)</f>
        <v>0</v>
      </c>
      <c r="S4779" s="6" t="str">
        <f>IFERROR(__xludf.DUMMYFUNCTION("""COMPUTED_VALUE"""),"Kimberly Ball")</f>
        <v>Kimberly Ball</v>
      </c>
      <c r="T4779" s="6" t="str">
        <f>IFERROR(__xludf.DUMMYFUNCTION("""COMPUTED_VALUE"""),"kimberly.ball@studient.com")</f>
        <v>kimberly.ball@studient.com</v>
      </c>
      <c r="U4779" s="6" t="str">
        <f>IFERROR(__xludf.DUMMYFUNCTION("""COMPUTED_VALUE"""),"6")</f>
        <v>6</v>
      </c>
      <c r="V4779" s="6" t="str">
        <f>IFERROR(__xludf.DUMMYFUNCTION("""COMPUTED_VALUE"""),"")</f>
        <v/>
      </c>
      <c r="W4779" s="6" t="str">
        <f>IFERROR(__xludf.DUMMYFUNCTION("""COMPUTED_VALUE"""),"[]")</f>
        <v>[]</v>
      </c>
      <c r="X4779" s="6" t="str">
        <f>IFERROR(__xludf.DUMMYFUNCTION("""COMPUTED_VALUE"""),"Enrolled")</f>
        <v>Enrolled</v>
      </c>
    </row>
    <row r="4780">
      <c r="A4780" s="6" t="str">
        <f>IFERROR(__xludf.DUMMYFUNCTION("""COMPUTED_VALUE"""),"084-13142")</f>
        <v>084-13142</v>
      </c>
      <c r="B4780" s="6" t="str">
        <f>IFERROR(__xludf.DUMMYFUNCTION("""COMPUTED_VALUE"""),"84")</f>
        <v>84</v>
      </c>
      <c r="C4780" s="6" t="str">
        <f>IFERROR(__xludf.DUMMYFUNCTION("""COMPUTED_VALUE"""),"13142")</f>
        <v>13142</v>
      </c>
      <c r="D4780" s="6" t="str">
        <f>IFERROR(__xludf.DUMMYFUNCTION("""COMPUTED_VALUE"""),"Zanabi")</f>
        <v>Zanabi</v>
      </c>
      <c r="E4780" s="6" t="str">
        <f>IFERROR(__xludf.DUMMYFUNCTION("""COMPUTED_VALUE"""),"")</f>
        <v/>
      </c>
      <c r="F4780" s="6" t="str">
        <f>IFERROR(__xludf.DUMMYFUNCTION("""COMPUTED_VALUE"""),"Grant")</f>
        <v>Grant</v>
      </c>
      <c r="G4780" s="6" t="str">
        <f>IFERROR(__xludf.DUMMYFUNCTION("""COMPUTED_VALUE"""),"03/26/2014")</f>
        <v>03/26/2014</v>
      </c>
      <c r="H4780" s="6" t="str">
        <f>IFERROR(__xludf.DUMMYFUNCTION("""COMPUTED_VALUE"""),"female")</f>
        <v>female</v>
      </c>
      <c r="I4780" s="6" t="str">
        <f>IFERROR(__xludf.DUMMYFUNCTION("""COMPUTED_VALUE"""),"Middle School")</f>
        <v>Middle School</v>
      </c>
      <c r="J4780" s="6" t="str">
        <f>IFERROR(__xludf.DUMMYFUNCTION("""COMPUTED_VALUE"""),"6")</f>
        <v>6</v>
      </c>
      <c r="K4780" s="6" t="str">
        <f>IFERROR(__xludf.DUMMYFUNCTION("""COMPUTED_VALUE"""),"zanabi.grant@2hourlearning.com")</f>
        <v>zanabi.grant@2hourlearning.com</v>
      </c>
      <c r="L4780" s="6" t="str">
        <f>IFERROR(__xludf.DUMMYFUNCTION("""COMPUTED_VALUE"""),"JHMS - Hardeeville Junior Senior High School")</f>
        <v>JHMS - Hardeeville Junior Senior High School</v>
      </c>
      <c r="M4780" s="6" t="str">
        <f>IFERROR(__xludf.DUMMYFUNCTION("""COMPUTED_VALUE"""),"")</f>
        <v/>
      </c>
      <c r="N4780" s="6" t="str">
        <f>IFERROR(__xludf.DUMMYFUNCTION("""COMPUTED_VALUE"""),"")</f>
        <v/>
      </c>
      <c r="O4780" s="87" t="str">
        <f>IFERROR(__xludf.DUMMYFUNCTION("""COMPUTED_VALUE"""),"https://drive.google.com/drive/folders/10T2cTQHqEJZqE-st6uFKPoI?usp=share_link")</f>
        <v>https://drive.google.com/drive/folders/10T2cTQHqEJZqE-st6uFKPoI?usp=share_link</v>
      </c>
      <c r="P4780" s="6" t="str">
        <f>IFERROR(__xludf.DUMMYFUNCTION("""COMPUTED_VALUE"""),"Zanabi Grant")</f>
        <v>Zanabi Grant</v>
      </c>
      <c r="Q4780" s="6" t="str">
        <f>IFERROR(__xludf.DUMMYFUNCTION("""COMPUTED_VALUE"""),"MS")</f>
        <v>MS</v>
      </c>
      <c r="R4780" s="6">
        <f>IFERROR(__xludf.DUMMYFUNCTION("""COMPUTED_VALUE"""),0.0)</f>
        <v>0</v>
      </c>
      <c r="S4780" s="6" t="str">
        <f>IFERROR(__xludf.DUMMYFUNCTION("""COMPUTED_VALUE"""),"Kimberly Ball")</f>
        <v>Kimberly Ball</v>
      </c>
      <c r="T4780" s="6" t="str">
        <f>IFERROR(__xludf.DUMMYFUNCTION("""COMPUTED_VALUE"""),"kimberly.ball@studient.com")</f>
        <v>kimberly.ball@studient.com</v>
      </c>
      <c r="U4780" s="6" t="str">
        <f>IFERROR(__xludf.DUMMYFUNCTION("""COMPUTED_VALUE"""),"6")</f>
        <v>6</v>
      </c>
      <c r="V4780" s="6" t="str">
        <f>IFERROR(__xludf.DUMMYFUNCTION("""COMPUTED_VALUE"""),"")</f>
        <v/>
      </c>
      <c r="W4780" s="6" t="str">
        <f>IFERROR(__xludf.DUMMYFUNCTION("""COMPUTED_VALUE"""),"[]")</f>
        <v>[]</v>
      </c>
      <c r="X4780" s="6" t="str">
        <f>IFERROR(__xludf.DUMMYFUNCTION("""COMPUTED_VALUE"""),"Enrolled")</f>
        <v>Enrolled</v>
      </c>
    </row>
    <row r="4781">
      <c r="A4781" s="6" t="str">
        <f>IFERROR(__xludf.DUMMYFUNCTION("""COMPUTED_VALUE"""),"084-13143")</f>
        <v>084-13143</v>
      </c>
      <c r="B4781" s="6" t="str">
        <f>IFERROR(__xludf.DUMMYFUNCTION("""COMPUTED_VALUE"""),"84")</f>
        <v>84</v>
      </c>
      <c r="C4781" s="6" t="str">
        <f>IFERROR(__xludf.DUMMYFUNCTION("""COMPUTED_VALUE"""),"13143")</f>
        <v>13143</v>
      </c>
      <c r="D4781" s="6" t="str">
        <f>IFERROR(__xludf.DUMMYFUNCTION("""COMPUTED_VALUE"""),"Zawadi")</f>
        <v>Zawadi</v>
      </c>
      <c r="E4781" s="6" t="str">
        <f>IFERROR(__xludf.DUMMYFUNCTION("""COMPUTED_VALUE"""),"")</f>
        <v/>
      </c>
      <c r="F4781" s="6" t="str">
        <f>IFERROR(__xludf.DUMMYFUNCTION("""COMPUTED_VALUE"""),"Grant")</f>
        <v>Grant</v>
      </c>
      <c r="G4781" s="6" t="str">
        <f>IFERROR(__xludf.DUMMYFUNCTION("""COMPUTED_VALUE"""),"12/30/2013")</f>
        <v>12/30/2013</v>
      </c>
      <c r="H4781" s="6" t="str">
        <f>IFERROR(__xludf.DUMMYFUNCTION("""COMPUTED_VALUE"""),"male")</f>
        <v>male</v>
      </c>
      <c r="I4781" s="6" t="str">
        <f>IFERROR(__xludf.DUMMYFUNCTION("""COMPUTED_VALUE"""),"Middle School")</f>
        <v>Middle School</v>
      </c>
      <c r="J4781" s="6" t="str">
        <f>IFERROR(__xludf.DUMMYFUNCTION("""COMPUTED_VALUE"""),"6")</f>
        <v>6</v>
      </c>
      <c r="K4781" s="6" t="str">
        <f>IFERROR(__xludf.DUMMYFUNCTION("""COMPUTED_VALUE"""),"zawadi.grant@2hourlearning.com")</f>
        <v>zawadi.grant@2hourlearning.com</v>
      </c>
      <c r="L4781" s="6" t="str">
        <f>IFERROR(__xludf.DUMMYFUNCTION("""COMPUTED_VALUE"""),"JHMS - Hardeeville Junior Senior High School")</f>
        <v>JHMS - Hardeeville Junior Senior High School</v>
      </c>
      <c r="M4781" s="6" t="str">
        <f>IFERROR(__xludf.DUMMYFUNCTION("""COMPUTED_VALUE"""),"")</f>
        <v/>
      </c>
      <c r="N4781" s="6" t="str">
        <f>IFERROR(__xludf.DUMMYFUNCTION("""COMPUTED_VALUE"""),"")</f>
        <v/>
      </c>
      <c r="O4781" s="87" t="str">
        <f>IFERROR(__xludf.DUMMYFUNCTION("""COMPUTED_VALUE"""),"https://drive.google.com/drive/folders/10T2cTQHqEJZqE-st6uFKPoI?usp=share_link")</f>
        <v>https://drive.google.com/drive/folders/10T2cTQHqEJZqE-st6uFKPoI?usp=share_link</v>
      </c>
      <c r="P4781" s="6" t="str">
        <f>IFERROR(__xludf.DUMMYFUNCTION("""COMPUTED_VALUE"""),"Zawadi Grant")</f>
        <v>Zawadi Grant</v>
      </c>
      <c r="Q4781" s="6" t="str">
        <f>IFERROR(__xludf.DUMMYFUNCTION("""COMPUTED_VALUE"""),"MS")</f>
        <v>MS</v>
      </c>
      <c r="R4781" s="6">
        <f>IFERROR(__xludf.DUMMYFUNCTION("""COMPUTED_VALUE"""),0.0)</f>
        <v>0</v>
      </c>
      <c r="S4781" s="6" t="str">
        <f>IFERROR(__xludf.DUMMYFUNCTION("""COMPUTED_VALUE"""),"Kimberly Ball")</f>
        <v>Kimberly Ball</v>
      </c>
      <c r="T4781" s="6" t="str">
        <f>IFERROR(__xludf.DUMMYFUNCTION("""COMPUTED_VALUE"""),"kimberly.ball@studient.com")</f>
        <v>kimberly.ball@studient.com</v>
      </c>
      <c r="U4781" s="6" t="str">
        <f>IFERROR(__xludf.DUMMYFUNCTION("""COMPUTED_VALUE"""),"6")</f>
        <v>6</v>
      </c>
      <c r="V4781" s="6" t="str">
        <f>IFERROR(__xludf.DUMMYFUNCTION("""COMPUTED_VALUE"""),"")</f>
        <v/>
      </c>
      <c r="W4781" s="6" t="str">
        <f>IFERROR(__xludf.DUMMYFUNCTION("""COMPUTED_VALUE"""),"[]")</f>
        <v>[]</v>
      </c>
      <c r="X4781" s="6" t="str">
        <f>IFERROR(__xludf.DUMMYFUNCTION("""COMPUTED_VALUE"""),"Enrolled")</f>
        <v>Enrolled</v>
      </c>
    </row>
    <row r="4782">
      <c r="A4782" s="6" t="str">
        <f>IFERROR(__xludf.DUMMYFUNCTION("""COMPUTED_VALUE"""),"084-13144")</f>
        <v>084-13144</v>
      </c>
      <c r="B4782" s="6" t="str">
        <f>IFERROR(__xludf.DUMMYFUNCTION("""COMPUTED_VALUE"""),"84")</f>
        <v>84</v>
      </c>
      <c r="C4782" s="6" t="str">
        <f>IFERROR(__xludf.DUMMYFUNCTION("""COMPUTED_VALUE"""),"13144")</f>
        <v>13144</v>
      </c>
      <c r="D4782" s="6" t="str">
        <f>IFERROR(__xludf.DUMMYFUNCTION("""COMPUTED_VALUE"""),"Makenzie")</f>
        <v>Makenzie</v>
      </c>
      <c r="E4782" s="6" t="str">
        <f>IFERROR(__xludf.DUMMYFUNCTION("""COMPUTED_VALUE"""),"")</f>
        <v/>
      </c>
      <c r="F4782" s="6" t="str">
        <f>IFERROR(__xludf.DUMMYFUNCTION("""COMPUTED_VALUE"""),"Harris")</f>
        <v>Harris</v>
      </c>
      <c r="G4782" s="6" t="str">
        <f>IFERROR(__xludf.DUMMYFUNCTION("""COMPUTED_VALUE"""),"06/11/2014")</f>
        <v>06/11/2014</v>
      </c>
      <c r="H4782" s="6" t="str">
        <f>IFERROR(__xludf.DUMMYFUNCTION("""COMPUTED_VALUE"""),"female")</f>
        <v>female</v>
      </c>
      <c r="I4782" s="6" t="str">
        <f>IFERROR(__xludf.DUMMYFUNCTION("""COMPUTED_VALUE"""),"Middle School")</f>
        <v>Middle School</v>
      </c>
      <c r="J4782" s="6" t="str">
        <f>IFERROR(__xludf.DUMMYFUNCTION("""COMPUTED_VALUE"""),"6")</f>
        <v>6</v>
      </c>
      <c r="K4782" s="6" t="str">
        <f>IFERROR(__xludf.DUMMYFUNCTION("""COMPUTED_VALUE"""),"makenzie.harris@2hourlearning.com")</f>
        <v>makenzie.harris@2hourlearning.com</v>
      </c>
      <c r="L4782" s="6" t="str">
        <f>IFERROR(__xludf.DUMMYFUNCTION("""COMPUTED_VALUE"""),"JHMS - Hardeeville Junior Senior High School")</f>
        <v>JHMS - Hardeeville Junior Senior High School</v>
      </c>
      <c r="M4782" s="6" t="str">
        <f>IFERROR(__xludf.DUMMYFUNCTION("""COMPUTED_VALUE"""),"")</f>
        <v/>
      </c>
      <c r="N4782" s="6" t="str">
        <f>IFERROR(__xludf.DUMMYFUNCTION("""COMPUTED_VALUE"""),"")</f>
        <v/>
      </c>
      <c r="O4782" s="87" t="str">
        <f>IFERROR(__xludf.DUMMYFUNCTION("""COMPUTED_VALUE"""),"https://drive.google.com/drive/folders/10T2cTQHqEJZqE-st6uFKPoI?usp=share_link")</f>
        <v>https://drive.google.com/drive/folders/10T2cTQHqEJZqE-st6uFKPoI?usp=share_link</v>
      </c>
      <c r="P4782" s="6" t="str">
        <f>IFERROR(__xludf.DUMMYFUNCTION("""COMPUTED_VALUE"""),"Makenzie Harris")</f>
        <v>Makenzie Harris</v>
      </c>
      <c r="Q4782" s="6" t="str">
        <f>IFERROR(__xludf.DUMMYFUNCTION("""COMPUTED_VALUE"""),"MS")</f>
        <v>MS</v>
      </c>
      <c r="R4782" s="6">
        <f>IFERROR(__xludf.DUMMYFUNCTION("""COMPUTED_VALUE"""),0.0)</f>
        <v>0</v>
      </c>
      <c r="S4782" s="6" t="str">
        <f>IFERROR(__xludf.DUMMYFUNCTION("""COMPUTED_VALUE"""),"Kimberly Ball")</f>
        <v>Kimberly Ball</v>
      </c>
      <c r="T4782" s="6" t="str">
        <f>IFERROR(__xludf.DUMMYFUNCTION("""COMPUTED_VALUE"""),"kimberly.ball@studient.com")</f>
        <v>kimberly.ball@studient.com</v>
      </c>
      <c r="U4782" s="6" t="str">
        <f>IFERROR(__xludf.DUMMYFUNCTION("""COMPUTED_VALUE"""),"6")</f>
        <v>6</v>
      </c>
      <c r="V4782" s="6" t="str">
        <f>IFERROR(__xludf.DUMMYFUNCTION("""COMPUTED_VALUE"""),"")</f>
        <v/>
      </c>
      <c r="W4782" s="6" t="str">
        <f>IFERROR(__xludf.DUMMYFUNCTION("""COMPUTED_VALUE"""),"[]")</f>
        <v>[]</v>
      </c>
      <c r="X4782" s="6" t="str">
        <f>IFERROR(__xludf.DUMMYFUNCTION("""COMPUTED_VALUE"""),"Enrolled")</f>
        <v>Enrolled</v>
      </c>
    </row>
    <row r="4783">
      <c r="A4783" s="6" t="str">
        <f>IFERROR(__xludf.DUMMYFUNCTION("""COMPUTED_VALUE"""),"084-13145")</f>
        <v>084-13145</v>
      </c>
      <c r="B4783" s="6" t="str">
        <f>IFERROR(__xludf.DUMMYFUNCTION("""COMPUTED_VALUE"""),"84")</f>
        <v>84</v>
      </c>
      <c r="C4783" s="6" t="str">
        <f>IFERROR(__xludf.DUMMYFUNCTION("""COMPUTED_VALUE"""),"13145")</f>
        <v>13145</v>
      </c>
      <c r="D4783" s="6" t="str">
        <f>IFERROR(__xludf.DUMMYFUNCTION("""COMPUTED_VALUE"""),"Malik")</f>
        <v>Malik</v>
      </c>
      <c r="E4783" s="6" t="str">
        <f>IFERROR(__xludf.DUMMYFUNCTION("""COMPUTED_VALUE"""),"")</f>
        <v/>
      </c>
      <c r="F4783" s="6" t="str">
        <f>IFERROR(__xludf.DUMMYFUNCTION("""COMPUTED_VALUE"""),"Hayward")</f>
        <v>Hayward</v>
      </c>
      <c r="G4783" s="6" t="str">
        <f>IFERROR(__xludf.DUMMYFUNCTION("""COMPUTED_VALUE"""),"02/04/2014")</f>
        <v>02/04/2014</v>
      </c>
      <c r="H4783" s="6" t="str">
        <f>IFERROR(__xludf.DUMMYFUNCTION("""COMPUTED_VALUE"""),"male")</f>
        <v>male</v>
      </c>
      <c r="I4783" s="6" t="str">
        <f>IFERROR(__xludf.DUMMYFUNCTION("""COMPUTED_VALUE"""),"Middle School")</f>
        <v>Middle School</v>
      </c>
      <c r="J4783" s="6" t="str">
        <f>IFERROR(__xludf.DUMMYFUNCTION("""COMPUTED_VALUE"""),"6")</f>
        <v>6</v>
      </c>
      <c r="K4783" s="6" t="str">
        <f>IFERROR(__xludf.DUMMYFUNCTION("""COMPUTED_VALUE"""),"malik.hayward2@2hourlearning.com")</f>
        <v>malik.hayward2@2hourlearning.com</v>
      </c>
      <c r="L4783" s="6" t="str">
        <f>IFERROR(__xludf.DUMMYFUNCTION("""COMPUTED_VALUE"""),"JHMS - Hardeeville Junior Senior High School")</f>
        <v>JHMS - Hardeeville Junior Senior High School</v>
      </c>
      <c r="M4783" s="6" t="str">
        <f>IFERROR(__xludf.DUMMYFUNCTION("""COMPUTED_VALUE"""),"")</f>
        <v/>
      </c>
      <c r="N4783" s="6" t="str">
        <f>IFERROR(__xludf.DUMMYFUNCTION("""COMPUTED_VALUE"""),"")</f>
        <v/>
      </c>
      <c r="O4783" s="87" t="str">
        <f>IFERROR(__xludf.DUMMYFUNCTION("""COMPUTED_VALUE"""),"https://drive.google.com/drive/folders/10T2cTQHqEJZqE-st6uFKPoI?usp=share_link")</f>
        <v>https://drive.google.com/drive/folders/10T2cTQHqEJZqE-st6uFKPoI?usp=share_link</v>
      </c>
      <c r="P4783" s="6" t="str">
        <f>IFERROR(__xludf.DUMMYFUNCTION("""COMPUTED_VALUE"""),"Malik Hayward")</f>
        <v>Malik Hayward</v>
      </c>
      <c r="Q4783" s="6" t="str">
        <f>IFERROR(__xludf.DUMMYFUNCTION("""COMPUTED_VALUE"""),"MS")</f>
        <v>MS</v>
      </c>
      <c r="R4783" s="6">
        <f>IFERROR(__xludf.DUMMYFUNCTION("""COMPUTED_VALUE"""),0.0)</f>
        <v>0</v>
      </c>
      <c r="S4783" s="6" t="str">
        <f>IFERROR(__xludf.DUMMYFUNCTION("""COMPUTED_VALUE"""),"Kimberly Ball")</f>
        <v>Kimberly Ball</v>
      </c>
      <c r="T4783" s="6" t="str">
        <f>IFERROR(__xludf.DUMMYFUNCTION("""COMPUTED_VALUE"""),"kimberly.ball@studient.com")</f>
        <v>kimberly.ball@studient.com</v>
      </c>
      <c r="U4783" s="6" t="str">
        <f>IFERROR(__xludf.DUMMYFUNCTION("""COMPUTED_VALUE"""),"6")</f>
        <v>6</v>
      </c>
      <c r="V4783" s="6" t="str">
        <f>IFERROR(__xludf.DUMMYFUNCTION("""COMPUTED_VALUE"""),"")</f>
        <v/>
      </c>
      <c r="W4783" s="6" t="str">
        <f>IFERROR(__xludf.DUMMYFUNCTION("""COMPUTED_VALUE"""),"[]")</f>
        <v>[]</v>
      </c>
      <c r="X4783" s="6" t="str">
        <f>IFERROR(__xludf.DUMMYFUNCTION("""COMPUTED_VALUE"""),"Enrolled")</f>
        <v>Enrolled</v>
      </c>
    </row>
    <row r="4784">
      <c r="A4784" s="6" t="str">
        <f>IFERROR(__xludf.DUMMYFUNCTION("""COMPUTED_VALUE"""),"084-13146")</f>
        <v>084-13146</v>
      </c>
      <c r="B4784" s="6" t="str">
        <f>IFERROR(__xludf.DUMMYFUNCTION("""COMPUTED_VALUE"""),"84")</f>
        <v>84</v>
      </c>
      <c r="C4784" s="6" t="str">
        <f>IFERROR(__xludf.DUMMYFUNCTION("""COMPUTED_VALUE"""),"13146")</f>
        <v>13146</v>
      </c>
      <c r="D4784" s="6" t="str">
        <f>IFERROR(__xludf.DUMMYFUNCTION("""COMPUTED_VALUE"""),"Candice")</f>
        <v>Candice</v>
      </c>
      <c r="E4784" s="6" t="str">
        <f>IFERROR(__xludf.DUMMYFUNCTION("""COMPUTED_VALUE"""),"")</f>
        <v/>
      </c>
      <c r="F4784" s="6" t="str">
        <f>IFERROR(__xludf.DUMMYFUNCTION("""COMPUTED_VALUE"""),"Henderson")</f>
        <v>Henderson</v>
      </c>
      <c r="G4784" s="6" t="str">
        <f>IFERROR(__xludf.DUMMYFUNCTION("""COMPUTED_VALUE"""),"06/02/2014")</f>
        <v>06/02/2014</v>
      </c>
      <c r="H4784" s="6" t="str">
        <f>IFERROR(__xludf.DUMMYFUNCTION("""COMPUTED_VALUE"""),"female")</f>
        <v>female</v>
      </c>
      <c r="I4784" s="6" t="str">
        <f>IFERROR(__xludf.DUMMYFUNCTION("""COMPUTED_VALUE"""),"Middle School")</f>
        <v>Middle School</v>
      </c>
      <c r="J4784" s="6" t="str">
        <f>IFERROR(__xludf.DUMMYFUNCTION("""COMPUTED_VALUE"""),"6")</f>
        <v>6</v>
      </c>
      <c r="K4784" s="6" t="str">
        <f>IFERROR(__xludf.DUMMYFUNCTION("""COMPUTED_VALUE"""),"candice.henderson@2hourlearning.com")</f>
        <v>candice.henderson@2hourlearning.com</v>
      </c>
      <c r="L4784" s="6" t="str">
        <f>IFERROR(__xludf.DUMMYFUNCTION("""COMPUTED_VALUE"""),"JHMS - Hardeeville Junior Senior High School")</f>
        <v>JHMS - Hardeeville Junior Senior High School</v>
      </c>
      <c r="M4784" s="6" t="str">
        <f>IFERROR(__xludf.DUMMYFUNCTION("""COMPUTED_VALUE"""),"")</f>
        <v/>
      </c>
      <c r="N4784" s="6" t="str">
        <f>IFERROR(__xludf.DUMMYFUNCTION("""COMPUTED_VALUE"""),"")</f>
        <v/>
      </c>
      <c r="O4784" s="87" t="str">
        <f>IFERROR(__xludf.DUMMYFUNCTION("""COMPUTED_VALUE"""),"https://drive.google.com/drive/folders/10T2cTQHqEJZqE-st6uFKPoI?usp=share_link")</f>
        <v>https://drive.google.com/drive/folders/10T2cTQHqEJZqE-st6uFKPoI?usp=share_link</v>
      </c>
      <c r="P4784" s="6" t="str">
        <f>IFERROR(__xludf.DUMMYFUNCTION("""COMPUTED_VALUE"""),"Candice Henderson")</f>
        <v>Candice Henderson</v>
      </c>
      <c r="Q4784" s="6" t="str">
        <f>IFERROR(__xludf.DUMMYFUNCTION("""COMPUTED_VALUE"""),"MS")</f>
        <v>MS</v>
      </c>
      <c r="R4784" s="6">
        <f>IFERROR(__xludf.DUMMYFUNCTION("""COMPUTED_VALUE"""),0.0)</f>
        <v>0</v>
      </c>
      <c r="S4784" s="6" t="str">
        <f>IFERROR(__xludf.DUMMYFUNCTION("""COMPUTED_VALUE"""),"Kimberly Ball")</f>
        <v>Kimberly Ball</v>
      </c>
      <c r="T4784" s="6" t="str">
        <f>IFERROR(__xludf.DUMMYFUNCTION("""COMPUTED_VALUE"""),"kimberly.ball@studient.com")</f>
        <v>kimberly.ball@studient.com</v>
      </c>
      <c r="U4784" s="6" t="str">
        <f>IFERROR(__xludf.DUMMYFUNCTION("""COMPUTED_VALUE"""),"6")</f>
        <v>6</v>
      </c>
      <c r="V4784" s="6" t="str">
        <f>IFERROR(__xludf.DUMMYFUNCTION("""COMPUTED_VALUE"""),"")</f>
        <v/>
      </c>
      <c r="W4784" s="6" t="str">
        <f>IFERROR(__xludf.DUMMYFUNCTION("""COMPUTED_VALUE"""),"[]")</f>
        <v>[]</v>
      </c>
      <c r="X4784" s="6" t="str">
        <f>IFERROR(__xludf.DUMMYFUNCTION("""COMPUTED_VALUE"""),"Enrolled")</f>
        <v>Enrolled</v>
      </c>
    </row>
    <row r="4785">
      <c r="A4785" s="6" t="str">
        <f>IFERROR(__xludf.DUMMYFUNCTION("""COMPUTED_VALUE"""),"084-13147")</f>
        <v>084-13147</v>
      </c>
      <c r="B4785" s="6" t="str">
        <f>IFERROR(__xludf.DUMMYFUNCTION("""COMPUTED_VALUE"""),"84")</f>
        <v>84</v>
      </c>
      <c r="C4785" s="6" t="str">
        <f>IFERROR(__xludf.DUMMYFUNCTION("""COMPUTED_VALUE"""),"13147")</f>
        <v>13147</v>
      </c>
      <c r="D4785" s="6" t="str">
        <f>IFERROR(__xludf.DUMMYFUNCTION("""COMPUTED_VALUE"""),"Christian")</f>
        <v>Christian</v>
      </c>
      <c r="E4785" s="6" t="str">
        <f>IFERROR(__xludf.DUMMYFUNCTION("""COMPUTED_VALUE"""),"")</f>
        <v/>
      </c>
      <c r="F4785" s="6" t="str">
        <f>IFERROR(__xludf.DUMMYFUNCTION("""COMPUTED_VALUE"""),"Jackson")</f>
        <v>Jackson</v>
      </c>
      <c r="G4785" s="6" t="str">
        <f>IFERROR(__xludf.DUMMYFUNCTION("""COMPUTED_VALUE"""),"03/06/2014")</f>
        <v>03/06/2014</v>
      </c>
      <c r="H4785" s="6" t="str">
        <f>IFERROR(__xludf.DUMMYFUNCTION("""COMPUTED_VALUE"""),"male")</f>
        <v>male</v>
      </c>
      <c r="I4785" s="6" t="str">
        <f>IFERROR(__xludf.DUMMYFUNCTION("""COMPUTED_VALUE"""),"Middle School")</f>
        <v>Middle School</v>
      </c>
      <c r="J4785" s="6" t="str">
        <f>IFERROR(__xludf.DUMMYFUNCTION("""COMPUTED_VALUE"""),"6")</f>
        <v>6</v>
      </c>
      <c r="K4785" s="6" t="str">
        <f>IFERROR(__xludf.DUMMYFUNCTION("""COMPUTED_VALUE"""),"christian.jackson@2hourlearning.com")</f>
        <v>christian.jackson@2hourlearning.com</v>
      </c>
      <c r="L4785" s="6" t="str">
        <f>IFERROR(__xludf.DUMMYFUNCTION("""COMPUTED_VALUE"""),"JHMS - Hardeeville Junior Senior High School")</f>
        <v>JHMS - Hardeeville Junior Senior High School</v>
      </c>
      <c r="M4785" s="6" t="str">
        <f>IFERROR(__xludf.DUMMYFUNCTION("""COMPUTED_VALUE"""),"")</f>
        <v/>
      </c>
      <c r="N4785" s="6" t="str">
        <f>IFERROR(__xludf.DUMMYFUNCTION("""COMPUTED_VALUE"""),"")</f>
        <v/>
      </c>
      <c r="O4785" s="87" t="str">
        <f>IFERROR(__xludf.DUMMYFUNCTION("""COMPUTED_VALUE"""),"https://drive.google.com/drive/folders/10T2cTQHqEJZqE-st6uFKPoI?usp=share_link")</f>
        <v>https://drive.google.com/drive/folders/10T2cTQHqEJZqE-st6uFKPoI?usp=share_link</v>
      </c>
      <c r="P4785" s="6" t="str">
        <f>IFERROR(__xludf.DUMMYFUNCTION("""COMPUTED_VALUE"""),"Christian Jackson")</f>
        <v>Christian Jackson</v>
      </c>
      <c r="Q4785" s="6" t="str">
        <f>IFERROR(__xludf.DUMMYFUNCTION("""COMPUTED_VALUE"""),"MS")</f>
        <v>MS</v>
      </c>
      <c r="R4785" s="6">
        <f>IFERROR(__xludf.DUMMYFUNCTION("""COMPUTED_VALUE"""),0.0)</f>
        <v>0</v>
      </c>
      <c r="S4785" s="6" t="str">
        <f>IFERROR(__xludf.DUMMYFUNCTION("""COMPUTED_VALUE"""),"Kimberly Ball")</f>
        <v>Kimberly Ball</v>
      </c>
      <c r="T4785" s="6" t="str">
        <f>IFERROR(__xludf.DUMMYFUNCTION("""COMPUTED_VALUE"""),"kimberly.ball@studient.com")</f>
        <v>kimberly.ball@studient.com</v>
      </c>
      <c r="U4785" s="6" t="str">
        <f>IFERROR(__xludf.DUMMYFUNCTION("""COMPUTED_VALUE"""),"6")</f>
        <v>6</v>
      </c>
      <c r="V4785" s="6" t="str">
        <f>IFERROR(__xludf.DUMMYFUNCTION("""COMPUTED_VALUE"""),"")</f>
        <v/>
      </c>
      <c r="W4785" s="6" t="str">
        <f>IFERROR(__xludf.DUMMYFUNCTION("""COMPUTED_VALUE"""),"[]")</f>
        <v>[]</v>
      </c>
      <c r="X4785" s="6" t="str">
        <f>IFERROR(__xludf.DUMMYFUNCTION("""COMPUTED_VALUE"""),"Enrolled")</f>
        <v>Enrolled</v>
      </c>
    </row>
    <row r="4786">
      <c r="A4786" s="6" t="str">
        <f>IFERROR(__xludf.DUMMYFUNCTION("""COMPUTED_VALUE"""),"084-13148")</f>
        <v>084-13148</v>
      </c>
      <c r="B4786" s="6" t="str">
        <f>IFERROR(__xludf.DUMMYFUNCTION("""COMPUTED_VALUE"""),"84")</f>
        <v>84</v>
      </c>
      <c r="C4786" s="6" t="str">
        <f>IFERROR(__xludf.DUMMYFUNCTION("""COMPUTED_VALUE"""),"13148")</f>
        <v>13148</v>
      </c>
      <c r="D4786" s="6" t="str">
        <f>IFERROR(__xludf.DUMMYFUNCTION("""COMPUTED_VALUE"""),"Ken'Lemah")</f>
        <v>Ken'Lemah</v>
      </c>
      <c r="E4786" s="6" t="str">
        <f>IFERROR(__xludf.DUMMYFUNCTION("""COMPUTED_VALUE"""),"")</f>
        <v/>
      </c>
      <c r="F4786" s="6" t="str">
        <f>IFERROR(__xludf.DUMMYFUNCTION("""COMPUTED_VALUE"""),"Jackson")</f>
        <v>Jackson</v>
      </c>
      <c r="G4786" s="6" t="str">
        <f>IFERROR(__xludf.DUMMYFUNCTION("""COMPUTED_VALUE"""),"09/18/2013")</f>
        <v>09/18/2013</v>
      </c>
      <c r="H4786" s="6" t="str">
        <f>IFERROR(__xludf.DUMMYFUNCTION("""COMPUTED_VALUE"""),"female")</f>
        <v>female</v>
      </c>
      <c r="I4786" s="6" t="str">
        <f>IFERROR(__xludf.DUMMYFUNCTION("""COMPUTED_VALUE"""),"Middle School")</f>
        <v>Middle School</v>
      </c>
      <c r="J4786" s="6" t="str">
        <f>IFERROR(__xludf.DUMMYFUNCTION("""COMPUTED_VALUE"""),"6")</f>
        <v>6</v>
      </c>
      <c r="K4786" s="6" t="str">
        <f>IFERROR(__xludf.DUMMYFUNCTION("""COMPUTED_VALUE"""),"kenlemah.jackson@2hourlearning.com")</f>
        <v>kenlemah.jackson@2hourlearning.com</v>
      </c>
      <c r="L4786" s="6" t="str">
        <f>IFERROR(__xludf.DUMMYFUNCTION("""COMPUTED_VALUE"""),"JHMS - Hardeeville Junior Senior High School")</f>
        <v>JHMS - Hardeeville Junior Senior High School</v>
      </c>
      <c r="M4786" s="6" t="str">
        <f>IFERROR(__xludf.DUMMYFUNCTION("""COMPUTED_VALUE"""),"")</f>
        <v/>
      </c>
      <c r="N4786" s="6" t="str">
        <f>IFERROR(__xludf.DUMMYFUNCTION("""COMPUTED_VALUE"""),"")</f>
        <v/>
      </c>
      <c r="O4786" s="87" t="str">
        <f>IFERROR(__xludf.DUMMYFUNCTION("""COMPUTED_VALUE"""),"https://drive.google.com/drive/folders/10T2cTQHqEJZqE-st6uFKPoI?usp=share_link")</f>
        <v>https://drive.google.com/drive/folders/10T2cTQHqEJZqE-st6uFKPoI?usp=share_link</v>
      </c>
      <c r="P4786" s="6" t="str">
        <f>IFERROR(__xludf.DUMMYFUNCTION("""COMPUTED_VALUE"""),"Ken'Lemah Jackson")</f>
        <v>Ken'Lemah Jackson</v>
      </c>
      <c r="Q4786" s="6" t="str">
        <f>IFERROR(__xludf.DUMMYFUNCTION("""COMPUTED_VALUE"""),"MS")</f>
        <v>MS</v>
      </c>
      <c r="R4786" s="6">
        <f>IFERROR(__xludf.DUMMYFUNCTION("""COMPUTED_VALUE"""),0.0)</f>
        <v>0</v>
      </c>
      <c r="S4786" s="6" t="str">
        <f>IFERROR(__xludf.DUMMYFUNCTION("""COMPUTED_VALUE"""),"Kimberly Ball")</f>
        <v>Kimberly Ball</v>
      </c>
      <c r="T4786" s="6" t="str">
        <f>IFERROR(__xludf.DUMMYFUNCTION("""COMPUTED_VALUE"""),"kimberly.ball@studient.com")</f>
        <v>kimberly.ball@studient.com</v>
      </c>
      <c r="U4786" s="6" t="str">
        <f>IFERROR(__xludf.DUMMYFUNCTION("""COMPUTED_VALUE"""),"6")</f>
        <v>6</v>
      </c>
      <c r="V4786" s="6" t="str">
        <f>IFERROR(__xludf.DUMMYFUNCTION("""COMPUTED_VALUE"""),"")</f>
        <v/>
      </c>
      <c r="W4786" s="6" t="str">
        <f>IFERROR(__xludf.DUMMYFUNCTION("""COMPUTED_VALUE"""),"[]")</f>
        <v>[]</v>
      </c>
      <c r="X4786" s="6" t="str">
        <f>IFERROR(__xludf.DUMMYFUNCTION("""COMPUTED_VALUE"""),"Enrolled")</f>
        <v>Enrolled</v>
      </c>
    </row>
    <row r="4787">
      <c r="A4787" s="6" t="str">
        <f>IFERROR(__xludf.DUMMYFUNCTION("""COMPUTED_VALUE"""),"084-13149")</f>
        <v>084-13149</v>
      </c>
      <c r="B4787" s="6" t="str">
        <f>IFERROR(__xludf.DUMMYFUNCTION("""COMPUTED_VALUE"""),"84")</f>
        <v>84</v>
      </c>
      <c r="C4787" s="6" t="str">
        <f>IFERROR(__xludf.DUMMYFUNCTION("""COMPUTED_VALUE"""),"13149")</f>
        <v>13149</v>
      </c>
      <c r="D4787" s="6" t="str">
        <f>IFERROR(__xludf.DUMMYFUNCTION("""COMPUTED_VALUE"""),"Ayden")</f>
        <v>Ayden</v>
      </c>
      <c r="E4787" s="6" t="str">
        <f>IFERROR(__xludf.DUMMYFUNCTION("""COMPUTED_VALUE"""),"")</f>
        <v/>
      </c>
      <c r="F4787" s="6" t="str">
        <f>IFERROR(__xludf.DUMMYFUNCTION("""COMPUTED_VALUE"""),"Jaquez")</f>
        <v>Jaquez</v>
      </c>
      <c r="G4787" s="6" t="str">
        <f>IFERROR(__xludf.DUMMYFUNCTION("""COMPUTED_VALUE"""),"09/22/2013")</f>
        <v>09/22/2013</v>
      </c>
      <c r="H4787" s="6" t="str">
        <f>IFERROR(__xludf.DUMMYFUNCTION("""COMPUTED_VALUE"""),"male")</f>
        <v>male</v>
      </c>
      <c r="I4787" s="6" t="str">
        <f>IFERROR(__xludf.DUMMYFUNCTION("""COMPUTED_VALUE"""),"Middle School")</f>
        <v>Middle School</v>
      </c>
      <c r="J4787" s="6" t="str">
        <f>IFERROR(__xludf.DUMMYFUNCTION("""COMPUTED_VALUE"""),"6")</f>
        <v>6</v>
      </c>
      <c r="K4787" s="6" t="str">
        <f>IFERROR(__xludf.DUMMYFUNCTION("""COMPUTED_VALUE"""),"ayden.jaquez@2hourlearning.com")</f>
        <v>ayden.jaquez@2hourlearning.com</v>
      </c>
      <c r="L4787" s="6" t="str">
        <f>IFERROR(__xludf.DUMMYFUNCTION("""COMPUTED_VALUE"""),"JHMS - Hardeeville Junior Senior High School")</f>
        <v>JHMS - Hardeeville Junior Senior High School</v>
      </c>
      <c r="M4787" s="6" t="str">
        <f>IFERROR(__xludf.DUMMYFUNCTION("""COMPUTED_VALUE"""),"")</f>
        <v/>
      </c>
      <c r="N4787" s="6" t="str">
        <f>IFERROR(__xludf.DUMMYFUNCTION("""COMPUTED_VALUE"""),"")</f>
        <v/>
      </c>
      <c r="O4787" s="87" t="str">
        <f>IFERROR(__xludf.DUMMYFUNCTION("""COMPUTED_VALUE"""),"https://drive.google.com/drive/folders/10T2cTQHqEJZqE-st6uFKPoI?usp=share_link")</f>
        <v>https://drive.google.com/drive/folders/10T2cTQHqEJZqE-st6uFKPoI?usp=share_link</v>
      </c>
      <c r="P4787" s="6" t="str">
        <f>IFERROR(__xludf.DUMMYFUNCTION("""COMPUTED_VALUE"""),"Ayden Jaquez")</f>
        <v>Ayden Jaquez</v>
      </c>
      <c r="Q4787" s="6" t="str">
        <f>IFERROR(__xludf.DUMMYFUNCTION("""COMPUTED_VALUE"""),"MS")</f>
        <v>MS</v>
      </c>
      <c r="R4787" s="6">
        <f>IFERROR(__xludf.DUMMYFUNCTION("""COMPUTED_VALUE"""),0.0)</f>
        <v>0</v>
      </c>
      <c r="S4787" s="6" t="str">
        <f>IFERROR(__xludf.DUMMYFUNCTION("""COMPUTED_VALUE"""),"Kimberly Ball")</f>
        <v>Kimberly Ball</v>
      </c>
      <c r="T4787" s="6" t="str">
        <f>IFERROR(__xludf.DUMMYFUNCTION("""COMPUTED_VALUE"""),"kimberly.ball@studient.com")</f>
        <v>kimberly.ball@studient.com</v>
      </c>
      <c r="U4787" s="6" t="str">
        <f>IFERROR(__xludf.DUMMYFUNCTION("""COMPUTED_VALUE"""),"6")</f>
        <v>6</v>
      </c>
      <c r="V4787" s="6" t="str">
        <f>IFERROR(__xludf.DUMMYFUNCTION("""COMPUTED_VALUE"""),"")</f>
        <v/>
      </c>
      <c r="W4787" s="6" t="str">
        <f>IFERROR(__xludf.DUMMYFUNCTION("""COMPUTED_VALUE"""),"[]")</f>
        <v>[]</v>
      </c>
      <c r="X4787" s="6" t="str">
        <f>IFERROR(__xludf.DUMMYFUNCTION("""COMPUTED_VALUE"""),"Enrolled")</f>
        <v>Enrolled</v>
      </c>
    </row>
    <row r="4788">
      <c r="A4788" s="6" t="str">
        <f>IFERROR(__xludf.DUMMYFUNCTION("""COMPUTED_VALUE"""),"084-13150")</f>
        <v>084-13150</v>
      </c>
      <c r="B4788" s="6" t="str">
        <f>IFERROR(__xludf.DUMMYFUNCTION("""COMPUTED_VALUE"""),"84")</f>
        <v>84</v>
      </c>
      <c r="C4788" s="6" t="str">
        <f>IFERROR(__xludf.DUMMYFUNCTION("""COMPUTED_VALUE"""),"13150")</f>
        <v>13150</v>
      </c>
      <c r="D4788" s="6" t="str">
        <f>IFERROR(__xludf.DUMMYFUNCTION("""COMPUTED_VALUE"""),"Sofia")</f>
        <v>Sofia</v>
      </c>
      <c r="E4788" s="6" t="str">
        <f>IFERROR(__xludf.DUMMYFUNCTION("""COMPUTED_VALUE"""),"")</f>
        <v/>
      </c>
      <c r="F4788" s="6" t="str">
        <f>IFERROR(__xludf.DUMMYFUNCTION("""COMPUTED_VALUE"""),"Jimenez-Barrientos")</f>
        <v>Jimenez-Barrientos</v>
      </c>
      <c r="G4788" s="6" t="str">
        <f>IFERROR(__xludf.DUMMYFUNCTION("""COMPUTED_VALUE"""),"07/30/2014")</f>
        <v>07/30/2014</v>
      </c>
      <c r="H4788" s="6" t="str">
        <f>IFERROR(__xludf.DUMMYFUNCTION("""COMPUTED_VALUE"""),"male")</f>
        <v>male</v>
      </c>
      <c r="I4788" s="6" t="str">
        <f>IFERROR(__xludf.DUMMYFUNCTION("""COMPUTED_VALUE"""),"Middle School")</f>
        <v>Middle School</v>
      </c>
      <c r="J4788" s="6" t="str">
        <f>IFERROR(__xludf.DUMMYFUNCTION("""COMPUTED_VALUE"""),"6")</f>
        <v>6</v>
      </c>
      <c r="K4788" s="6" t="str">
        <f>IFERROR(__xludf.DUMMYFUNCTION("""COMPUTED_VALUE"""),"sofia.jimenez-barrientos@2hourlearning.com")</f>
        <v>sofia.jimenez-barrientos@2hourlearning.com</v>
      </c>
      <c r="L4788" s="6" t="str">
        <f>IFERROR(__xludf.DUMMYFUNCTION("""COMPUTED_VALUE"""),"JHMS - Hardeeville Junior Senior High School")</f>
        <v>JHMS - Hardeeville Junior Senior High School</v>
      </c>
      <c r="M4788" s="6" t="str">
        <f>IFERROR(__xludf.DUMMYFUNCTION("""COMPUTED_VALUE"""),"")</f>
        <v/>
      </c>
      <c r="N4788" s="6" t="str">
        <f>IFERROR(__xludf.DUMMYFUNCTION("""COMPUTED_VALUE"""),"")</f>
        <v/>
      </c>
      <c r="O4788" s="87" t="str">
        <f>IFERROR(__xludf.DUMMYFUNCTION("""COMPUTED_VALUE"""),"https://drive.google.com/drive/folders/10T2cTQHqEJZqE-st6uFKPoI?usp=share_link")</f>
        <v>https://drive.google.com/drive/folders/10T2cTQHqEJZqE-st6uFKPoI?usp=share_link</v>
      </c>
      <c r="P4788" s="6" t="str">
        <f>IFERROR(__xludf.DUMMYFUNCTION("""COMPUTED_VALUE"""),"Sofia Jimenez-Barrientos")</f>
        <v>Sofia Jimenez-Barrientos</v>
      </c>
      <c r="Q4788" s="6" t="str">
        <f>IFERROR(__xludf.DUMMYFUNCTION("""COMPUTED_VALUE"""),"MS")</f>
        <v>MS</v>
      </c>
      <c r="R4788" s="6">
        <f>IFERROR(__xludf.DUMMYFUNCTION("""COMPUTED_VALUE"""),0.0)</f>
        <v>0</v>
      </c>
      <c r="S4788" s="6" t="str">
        <f>IFERROR(__xludf.DUMMYFUNCTION("""COMPUTED_VALUE"""),"Kimberly Ball")</f>
        <v>Kimberly Ball</v>
      </c>
      <c r="T4788" s="6" t="str">
        <f>IFERROR(__xludf.DUMMYFUNCTION("""COMPUTED_VALUE"""),"kimberly.ball@studient.com")</f>
        <v>kimberly.ball@studient.com</v>
      </c>
      <c r="U4788" s="6" t="str">
        <f>IFERROR(__xludf.DUMMYFUNCTION("""COMPUTED_VALUE"""),"6")</f>
        <v>6</v>
      </c>
      <c r="V4788" s="6" t="str">
        <f>IFERROR(__xludf.DUMMYFUNCTION("""COMPUTED_VALUE"""),"")</f>
        <v/>
      </c>
      <c r="W4788" s="6" t="str">
        <f>IFERROR(__xludf.DUMMYFUNCTION("""COMPUTED_VALUE"""),"[]")</f>
        <v>[]</v>
      </c>
      <c r="X4788" s="6" t="str">
        <f>IFERROR(__xludf.DUMMYFUNCTION("""COMPUTED_VALUE"""),"Enrolled")</f>
        <v>Enrolled</v>
      </c>
    </row>
    <row r="4789">
      <c r="A4789" s="6" t="str">
        <f>IFERROR(__xludf.DUMMYFUNCTION("""COMPUTED_VALUE"""),"084-13151")</f>
        <v>084-13151</v>
      </c>
      <c r="B4789" s="6" t="str">
        <f>IFERROR(__xludf.DUMMYFUNCTION("""COMPUTED_VALUE"""),"84")</f>
        <v>84</v>
      </c>
      <c r="C4789" s="6" t="str">
        <f>IFERROR(__xludf.DUMMYFUNCTION("""COMPUTED_VALUE"""),"13151")</f>
        <v>13151</v>
      </c>
      <c r="D4789" s="6" t="str">
        <f>IFERROR(__xludf.DUMMYFUNCTION("""COMPUTED_VALUE"""),"Noah")</f>
        <v>Noah</v>
      </c>
      <c r="E4789" s="6" t="str">
        <f>IFERROR(__xludf.DUMMYFUNCTION("""COMPUTED_VALUE"""),"")</f>
        <v/>
      </c>
      <c r="F4789" s="6" t="str">
        <f>IFERROR(__xludf.DUMMYFUNCTION("""COMPUTED_VALUE"""),"Jones")</f>
        <v>Jones</v>
      </c>
      <c r="G4789" s="6" t="str">
        <f>IFERROR(__xludf.DUMMYFUNCTION("""COMPUTED_VALUE"""),"12/02/2013")</f>
        <v>12/02/2013</v>
      </c>
      <c r="H4789" s="6" t="str">
        <f>IFERROR(__xludf.DUMMYFUNCTION("""COMPUTED_VALUE"""),"male")</f>
        <v>male</v>
      </c>
      <c r="I4789" s="6" t="str">
        <f>IFERROR(__xludf.DUMMYFUNCTION("""COMPUTED_VALUE"""),"Middle School")</f>
        <v>Middle School</v>
      </c>
      <c r="J4789" s="6" t="str">
        <f>IFERROR(__xludf.DUMMYFUNCTION("""COMPUTED_VALUE"""),"6")</f>
        <v>6</v>
      </c>
      <c r="K4789" s="6" t="str">
        <f>IFERROR(__xludf.DUMMYFUNCTION("""COMPUTED_VALUE"""),"noah.jones@2hourlearning.com")</f>
        <v>noah.jones@2hourlearning.com</v>
      </c>
      <c r="L4789" s="6" t="str">
        <f>IFERROR(__xludf.DUMMYFUNCTION("""COMPUTED_VALUE"""),"JHMS - Hardeeville Junior Senior High School")</f>
        <v>JHMS - Hardeeville Junior Senior High School</v>
      </c>
      <c r="M4789" s="6" t="str">
        <f>IFERROR(__xludf.DUMMYFUNCTION("""COMPUTED_VALUE"""),"")</f>
        <v/>
      </c>
      <c r="N4789" s="6" t="str">
        <f>IFERROR(__xludf.DUMMYFUNCTION("""COMPUTED_VALUE"""),"")</f>
        <v/>
      </c>
      <c r="O4789" s="87" t="str">
        <f>IFERROR(__xludf.DUMMYFUNCTION("""COMPUTED_VALUE"""),"https://drive.google.com/drive/folders/10T2cTQHqEJZqE-st6uFKPoI?usp=share_link")</f>
        <v>https://drive.google.com/drive/folders/10T2cTQHqEJZqE-st6uFKPoI?usp=share_link</v>
      </c>
      <c r="P4789" s="6" t="str">
        <f>IFERROR(__xludf.DUMMYFUNCTION("""COMPUTED_VALUE"""),"Noah Jones")</f>
        <v>Noah Jones</v>
      </c>
      <c r="Q4789" s="6" t="str">
        <f>IFERROR(__xludf.DUMMYFUNCTION("""COMPUTED_VALUE"""),"MS")</f>
        <v>MS</v>
      </c>
      <c r="R4789" s="6">
        <f>IFERROR(__xludf.DUMMYFUNCTION("""COMPUTED_VALUE"""),0.0)</f>
        <v>0</v>
      </c>
      <c r="S4789" s="6" t="str">
        <f>IFERROR(__xludf.DUMMYFUNCTION("""COMPUTED_VALUE"""),"Kimberly Ball")</f>
        <v>Kimberly Ball</v>
      </c>
      <c r="T4789" s="6" t="str">
        <f>IFERROR(__xludf.DUMMYFUNCTION("""COMPUTED_VALUE"""),"kimberly.ball@studient.com")</f>
        <v>kimberly.ball@studient.com</v>
      </c>
      <c r="U4789" s="6" t="str">
        <f>IFERROR(__xludf.DUMMYFUNCTION("""COMPUTED_VALUE"""),"6")</f>
        <v>6</v>
      </c>
      <c r="V4789" s="6" t="str">
        <f>IFERROR(__xludf.DUMMYFUNCTION("""COMPUTED_VALUE"""),"")</f>
        <v/>
      </c>
      <c r="W4789" s="6" t="str">
        <f>IFERROR(__xludf.DUMMYFUNCTION("""COMPUTED_VALUE"""),"[]")</f>
        <v>[]</v>
      </c>
      <c r="X4789" s="6" t="str">
        <f>IFERROR(__xludf.DUMMYFUNCTION("""COMPUTED_VALUE"""),"Enrolled")</f>
        <v>Enrolled</v>
      </c>
    </row>
    <row r="4790">
      <c r="A4790" s="6" t="str">
        <f>IFERROR(__xludf.DUMMYFUNCTION("""COMPUTED_VALUE"""),"084-13152")</f>
        <v>084-13152</v>
      </c>
      <c r="B4790" s="6" t="str">
        <f>IFERROR(__xludf.DUMMYFUNCTION("""COMPUTED_VALUE"""),"84")</f>
        <v>84</v>
      </c>
      <c r="C4790" s="6" t="str">
        <f>IFERROR(__xludf.DUMMYFUNCTION("""COMPUTED_VALUE"""),"13152")</f>
        <v>13152</v>
      </c>
      <c r="D4790" s="6" t="str">
        <f>IFERROR(__xludf.DUMMYFUNCTION("""COMPUTED_VALUE"""),"Alexander")</f>
        <v>Alexander</v>
      </c>
      <c r="E4790" s="6" t="str">
        <f>IFERROR(__xludf.DUMMYFUNCTION("""COMPUTED_VALUE"""),"")</f>
        <v/>
      </c>
      <c r="F4790" s="6" t="str">
        <f>IFERROR(__xludf.DUMMYFUNCTION("""COMPUTED_VALUE"""),"Joya Mestanza")</f>
        <v>Joya Mestanza</v>
      </c>
      <c r="G4790" s="6" t="str">
        <f>IFERROR(__xludf.DUMMYFUNCTION("""COMPUTED_VALUE"""),"11/06/2012")</f>
        <v>11/06/2012</v>
      </c>
      <c r="H4790" s="6" t="str">
        <f>IFERROR(__xludf.DUMMYFUNCTION("""COMPUTED_VALUE"""),"female")</f>
        <v>female</v>
      </c>
      <c r="I4790" s="6" t="str">
        <f>IFERROR(__xludf.DUMMYFUNCTION("""COMPUTED_VALUE"""),"Middle School")</f>
        <v>Middle School</v>
      </c>
      <c r="J4790" s="6" t="str">
        <f>IFERROR(__xludf.DUMMYFUNCTION("""COMPUTED_VALUE"""),"6")</f>
        <v>6</v>
      </c>
      <c r="K4790" s="6" t="str">
        <f>IFERROR(__xludf.DUMMYFUNCTION("""COMPUTED_VALUE"""),"alexander.joyamestanza@2hourlearning.com")</f>
        <v>alexander.joyamestanza@2hourlearning.com</v>
      </c>
      <c r="L4790" s="6" t="str">
        <f>IFERROR(__xludf.DUMMYFUNCTION("""COMPUTED_VALUE"""),"JHMS - Hardeeville Junior Senior High School")</f>
        <v>JHMS - Hardeeville Junior Senior High School</v>
      </c>
      <c r="M4790" s="6" t="str">
        <f>IFERROR(__xludf.DUMMYFUNCTION("""COMPUTED_VALUE"""),"")</f>
        <v/>
      </c>
      <c r="N4790" s="6" t="str">
        <f>IFERROR(__xludf.DUMMYFUNCTION("""COMPUTED_VALUE"""),"")</f>
        <v/>
      </c>
      <c r="O4790" s="87" t="str">
        <f>IFERROR(__xludf.DUMMYFUNCTION("""COMPUTED_VALUE"""),"https://drive.google.com/drive/folders/10T2cTQHqEJZqE-st6uFKPoI?usp=share_link")</f>
        <v>https://drive.google.com/drive/folders/10T2cTQHqEJZqE-st6uFKPoI?usp=share_link</v>
      </c>
      <c r="P4790" s="6" t="str">
        <f>IFERROR(__xludf.DUMMYFUNCTION("""COMPUTED_VALUE"""),"Alexander Joya Mestanza")</f>
        <v>Alexander Joya Mestanza</v>
      </c>
      <c r="Q4790" s="6" t="str">
        <f>IFERROR(__xludf.DUMMYFUNCTION("""COMPUTED_VALUE"""),"MS")</f>
        <v>MS</v>
      </c>
      <c r="R4790" s="6">
        <f>IFERROR(__xludf.DUMMYFUNCTION("""COMPUTED_VALUE"""),0.0)</f>
        <v>0</v>
      </c>
      <c r="S4790" s="6" t="str">
        <f>IFERROR(__xludf.DUMMYFUNCTION("""COMPUTED_VALUE"""),"Kimberly Ball")</f>
        <v>Kimberly Ball</v>
      </c>
      <c r="T4790" s="6" t="str">
        <f>IFERROR(__xludf.DUMMYFUNCTION("""COMPUTED_VALUE"""),"kimberly.ball@studient.com")</f>
        <v>kimberly.ball@studient.com</v>
      </c>
      <c r="U4790" s="6" t="str">
        <f>IFERROR(__xludf.DUMMYFUNCTION("""COMPUTED_VALUE"""),"6")</f>
        <v>6</v>
      </c>
      <c r="V4790" s="6" t="str">
        <f>IFERROR(__xludf.DUMMYFUNCTION("""COMPUTED_VALUE"""),"")</f>
        <v/>
      </c>
      <c r="W4790" s="6" t="str">
        <f>IFERROR(__xludf.DUMMYFUNCTION("""COMPUTED_VALUE"""),"[]")</f>
        <v>[]</v>
      </c>
      <c r="X4790" s="6" t="str">
        <f>IFERROR(__xludf.DUMMYFUNCTION("""COMPUTED_VALUE"""),"Enrolled")</f>
        <v>Enrolled</v>
      </c>
    </row>
    <row r="4791">
      <c r="A4791" s="6" t="str">
        <f>IFERROR(__xludf.DUMMYFUNCTION("""COMPUTED_VALUE"""),"084-13153")</f>
        <v>084-13153</v>
      </c>
      <c r="B4791" s="6" t="str">
        <f>IFERROR(__xludf.DUMMYFUNCTION("""COMPUTED_VALUE"""),"84")</f>
        <v>84</v>
      </c>
      <c r="C4791" s="6" t="str">
        <f>IFERROR(__xludf.DUMMYFUNCTION("""COMPUTED_VALUE"""),"13153")</f>
        <v>13153</v>
      </c>
      <c r="D4791" s="6" t="str">
        <f>IFERROR(__xludf.DUMMYFUNCTION("""COMPUTED_VALUE"""),"Eli")</f>
        <v>Eli</v>
      </c>
      <c r="E4791" s="6" t="str">
        <f>IFERROR(__xludf.DUMMYFUNCTION("""COMPUTED_VALUE"""),"")</f>
        <v/>
      </c>
      <c r="F4791" s="6" t="str">
        <f>IFERROR(__xludf.DUMMYFUNCTION("""COMPUTED_VALUE"""),"Kidwell")</f>
        <v>Kidwell</v>
      </c>
      <c r="G4791" s="6" t="str">
        <f>IFERROR(__xludf.DUMMYFUNCTION("""COMPUTED_VALUE"""),"01/31/2014")</f>
        <v>01/31/2014</v>
      </c>
      <c r="H4791" s="6" t="str">
        <f>IFERROR(__xludf.DUMMYFUNCTION("""COMPUTED_VALUE"""),"male")</f>
        <v>male</v>
      </c>
      <c r="I4791" s="6" t="str">
        <f>IFERROR(__xludf.DUMMYFUNCTION("""COMPUTED_VALUE"""),"Middle School")</f>
        <v>Middle School</v>
      </c>
      <c r="J4791" s="6" t="str">
        <f>IFERROR(__xludf.DUMMYFUNCTION("""COMPUTED_VALUE"""),"6")</f>
        <v>6</v>
      </c>
      <c r="K4791" s="6" t="str">
        <f>IFERROR(__xludf.DUMMYFUNCTION("""COMPUTED_VALUE"""),"eli.kidwell@2hourlearning.com")</f>
        <v>eli.kidwell@2hourlearning.com</v>
      </c>
      <c r="L4791" s="6" t="str">
        <f>IFERROR(__xludf.DUMMYFUNCTION("""COMPUTED_VALUE"""),"JHMS - Hardeeville Junior Senior High School")</f>
        <v>JHMS - Hardeeville Junior Senior High School</v>
      </c>
      <c r="M4791" s="6" t="str">
        <f>IFERROR(__xludf.DUMMYFUNCTION("""COMPUTED_VALUE"""),"")</f>
        <v/>
      </c>
      <c r="N4791" s="6" t="str">
        <f>IFERROR(__xludf.DUMMYFUNCTION("""COMPUTED_VALUE"""),"")</f>
        <v/>
      </c>
      <c r="O4791" s="87" t="str">
        <f>IFERROR(__xludf.DUMMYFUNCTION("""COMPUTED_VALUE"""),"https://drive.google.com/drive/folders/10T2cTQHqEJZqE-st6uFKPoI?usp=share_link")</f>
        <v>https://drive.google.com/drive/folders/10T2cTQHqEJZqE-st6uFKPoI?usp=share_link</v>
      </c>
      <c r="P4791" s="6" t="str">
        <f>IFERROR(__xludf.DUMMYFUNCTION("""COMPUTED_VALUE"""),"Eli Kidwell")</f>
        <v>Eli Kidwell</v>
      </c>
      <c r="Q4791" s="6" t="str">
        <f>IFERROR(__xludf.DUMMYFUNCTION("""COMPUTED_VALUE"""),"MS")</f>
        <v>MS</v>
      </c>
      <c r="R4791" s="6">
        <f>IFERROR(__xludf.DUMMYFUNCTION("""COMPUTED_VALUE"""),0.0)</f>
        <v>0</v>
      </c>
      <c r="S4791" s="6" t="str">
        <f>IFERROR(__xludf.DUMMYFUNCTION("""COMPUTED_VALUE"""),"Kimberly Ball")</f>
        <v>Kimberly Ball</v>
      </c>
      <c r="T4791" s="6" t="str">
        <f>IFERROR(__xludf.DUMMYFUNCTION("""COMPUTED_VALUE"""),"kimberly.ball@studient.com")</f>
        <v>kimberly.ball@studient.com</v>
      </c>
      <c r="U4791" s="6" t="str">
        <f>IFERROR(__xludf.DUMMYFUNCTION("""COMPUTED_VALUE"""),"6")</f>
        <v>6</v>
      </c>
      <c r="V4791" s="6" t="str">
        <f>IFERROR(__xludf.DUMMYFUNCTION("""COMPUTED_VALUE"""),"")</f>
        <v/>
      </c>
      <c r="W4791" s="6" t="str">
        <f>IFERROR(__xludf.DUMMYFUNCTION("""COMPUTED_VALUE"""),"[]")</f>
        <v>[]</v>
      </c>
      <c r="X4791" s="6" t="str">
        <f>IFERROR(__xludf.DUMMYFUNCTION("""COMPUTED_VALUE"""),"Enrolled")</f>
        <v>Enrolled</v>
      </c>
    </row>
    <row r="4792">
      <c r="A4792" s="6" t="str">
        <f>IFERROR(__xludf.DUMMYFUNCTION("""COMPUTED_VALUE"""),"084-13154")</f>
        <v>084-13154</v>
      </c>
      <c r="B4792" s="6" t="str">
        <f>IFERROR(__xludf.DUMMYFUNCTION("""COMPUTED_VALUE"""),"84")</f>
        <v>84</v>
      </c>
      <c r="C4792" s="6" t="str">
        <f>IFERROR(__xludf.DUMMYFUNCTION("""COMPUTED_VALUE"""),"13154")</f>
        <v>13154</v>
      </c>
      <c r="D4792" s="6" t="str">
        <f>IFERROR(__xludf.DUMMYFUNCTION("""COMPUTED_VALUE"""),"Za'Riyah")</f>
        <v>Za'Riyah</v>
      </c>
      <c r="E4792" s="6" t="str">
        <f>IFERROR(__xludf.DUMMYFUNCTION("""COMPUTED_VALUE"""),"")</f>
        <v/>
      </c>
      <c r="F4792" s="6" t="str">
        <f>IFERROR(__xludf.DUMMYFUNCTION("""COMPUTED_VALUE"""),"Lester")</f>
        <v>Lester</v>
      </c>
      <c r="G4792" s="6" t="str">
        <f>IFERROR(__xludf.DUMMYFUNCTION("""COMPUTED_VALUE"""),"09/26/2013")</f>
        <v>09/26/2013</v>
      </c>
      <c r="H4792" s="6" t="str">
        <f>IFERROR(__xludf.DUMMYFUNCTION("""COMPUTED_VALUE"""),"male")</f>
        <v>male</v>
      </c>
      <c r="I4792" s="6" t="str">
        <f>IFERROR(__xludf.DUMMYFUNCTION("""COMPUTED_VALUE"""),"Middle School")</f>
        <v>Middle School</v>
      </c>
      <c r="J4792" s="6" t="str">
        <f>IFERROR(__xludf.DUMMYFUNCTION("""COMPUTED_VALUE"""),"6")</f>
        <v>6</v>
      </c>
      <c r="K4792" s="6" t="str">
        <f>IFERROR(__xludf.DUMMYFUNCTION("""COMPUTED_VALUE"""),"zariyah.lester@2hourlearning.com")</f>
        <v>zariyah.lester@2hourlearning.com</v>
      </c>
      <c r="L4792" s="6" t="str">
        <f>IFERROR(__xludf.DUMMYFUNCTION("""COMPUTED_VALUE"""),"JHMS - Hardeeville Junior Senior High School")</f>
        <v>JHMS - Hardeeville Junior Senior High School</v>
      </c>
      <c r="M4792" s="6" t="str">
        <f>IFERROR(__xludf.DUMMYFUNCTION("""COMPUTED_VALUE"""),"")</f>
        <v/>
      </c>
      <c r="N4792" s="6" t="str">
        <f>IFERROR(__xludf.DUMMYFUNCTION("""COMPUTED_VALUE"""),"")</f>
        <v/>
      </c>
      <c r="O4792" s="87" t="str">
        <f>IFERROR(__xludf.DUMMYFUNCTION("""COMPUTED_VALUE"""),"https://drive.google.com/drive/folders/10T2cTQHqEJZqE-st6uFKPoI?usp=share_link")</f>
        <v>https://drive.google.com/drive/folders/10T2cTQHqEJZqE-st6uFKPoI?usp=share_link</v>
      </c>
      <c r="P4792" s="6" t="str">
        <f>IFERROR(__xludf.DUMMYFUNCTION("""COMPUTED_VALUE"""),"Za'Riyah Lester")</f>
        <v>Za'Riyah Lester</v>
      </c>
      <c r="Q4792" s="6" t="str">
        <f>IFERROR(__xludf.DUMMYFUNCTION("""COMPUTED_VALUE"""),"MS")</f>
        <v>MS</v>
      </c>
      <c r="R4792" s="6">
        <f>IFERROR(__xludf.DUMMYFUNCTION("""COMPUTED_VALUE"""),0.0)</f>
        <v>0</v>
      </c>
      <c r="S4792" s="6" t="str">
        <f>IFERROR(__xludf.DUMMYFUNCTION("""COMPUTED_VALUE"""),"Kimberly Ball")</f>
        <v>Kimberly Ball</v>
      </c>
      <c r="T4792" s="6" t="str">
        <f>IFERROR(__xludf.DUMMYFUNCTION("""COMPUTED_VALUE"""),"kimberly.ball@studient.com")</f>
        <v>kimberly.ball@studient.com</v>
      </c>
      <c r="U4792" s="6" t="str">
        <f>IFERROR(__xludf.DUMMYFUNCTION("""COMPUTED_VALUE"""),"6")</f>
        <v>6</v>
      </c>
      <c r="V4792" s="6" t="str">
        <f>IFERROR(__xludf.DUMMYFUNCTION("""COMPUTED_VALUE"""),"")</f>
        <v/>
      </c>
      <c r="W4792" s="6" t="str">
        <f>IFERROR(__xludf.DUMMYFUNCTION("""COMPUTED_VALUE"""),"[]")</f>
        <v>[]</v>
      </c>
      <c r="X4792" s="6" t="str">
        <f>IFERROR(__xludf.DUMMYFUNCTION("""COMPUTED_VALUE"""),"Enrolled")</f>
        <v>Enrolled</v>
      </c>
    </row>
    <row r="4793">
      <c r="A4793" s="6" t="str">
        <f>IFERROR(__xludf.DUMMYFUNCTION("""COMPUTED_VALUE"""),"084-13155")</f>
        <v>084-13155</v>
      </c>
      <c r="B4793" s="6" t="str">
        <f>IFERROR(__xludf.DUMMYFUNCTION("""COMPUTED_VALUE"""),"84")</f>
        <v>84</v>
      </c>
      <c r="C4793" s="6" t="str">
        <f>IFERROR(__xludf.DUMMYFUNCTION("""COMPUTED_VALUE"""),"13155")</f>
        <v>13155</v>
      </c>
      <c r="D4793" s="6" t="str">
        <f>IFERROR(__xludf.DUMMYFUNCTION("""COMPUTED_VALUE"""),"Joshua")</f>
        <v>Joshua</v>
      </c>
      <c r="E4793" s="6" t="str">
        <f>IFERROR(__xludf.DUMMYFUNCTION("""COMPUTED_VALUE"""),"")</f>
        <v/>
      </c>
      <c r="F4793" s="6" t="str">
        <f>IFERROR(__xludf.DUMMYFUNCTION("""COMPUTED_VALUE"""),"Lett")</f>
        <v>Lett</v>
      </c>
      <c r="G4793" s="6" t="str">
        <f>IFERROR(__xludf.DUMMYFUNCTION("""COMPUTED_VALUE"""),"11/05/2013")</f>
        <v>11/05/2013</v>
      </c>
      <c r="H4793" s="6" t="str">
        <f>IFERROR(__xludf.DUMMYFUNCTION("""COMPUTED_VALUE"""),"male")</f>
        <v>male</v>
      </c>
      <c r="I4793" s="6" t="str">
        <f>IFERROR(__xludf.DUMMYFUNCTION("""COMPUTED_VALUE"""),"Middle School")</f>
        <v>Middle School</v>
      </c>
      <c r="J4793" s="6" t="str">
        <f>IFERROR(__xludf.DUMMYFUNCTION("""COMPUTED_VALUE"""),"6")</f>
        <v>6</v>
      </c>
      <c r="K4793" s="6" t="str">
        <f>IFERROR(__xludf.DUMMYFUNCTION("""COMPUTED_VALUE"""),"joshua.lett@2hourlearning.com")</f>
        <v>joshua.lett@2hourlearning.com</v>
      </c>
      <c r="L4793" s="6" t="str">
        <f>IFERROR(__xludf.DUMMYFUNCTION("""COMPUTED_VALUE"""),"JHMS - Hardeeville Junior Senior High School")</f>
        <v>JHMS - Hardeeville Junior Senior High School</v>
      </c>
      <c r="M4793" s="6" t="str">
        <f>IFERROR(__xludf.DUMMYFUNCTION("""COMPUTED_VALUE"""),"")</f>
        <v/>
      </c>
      <c r="N4793" s="6" t="str">
        <f>IFERROR(__xludf.DUMMYFUNCTION("""COMPUTED_VALUE"""),"")</f>
        <v/>
      </c>
      <c r="O4793" s="87" t="str">
        <f>IFERROR(__xludf.DUMMYFUNCTION("""COMPUTED_VALUE"""),"https://drive.google.com/drive/folders/10T2cTQHqEJZqE-st6uFKPoI?usp=share_link")</f>
        <v>https://drive.google.com/drive/folders/10T2cTQHqEJZqE-st6uFKPoI?usp=share_link</v>
      </c>
      <c r="P4793" s="6" t="str">
        <f>IFERROR(__xludf.DUMMYFUNCTION("""COMPUTED_VALUE"""),"Joshua Lett")</f>
        <v>Joshua Lett</v>
      </c>
      <c r="Q4793" s="6" t="str">
        <f>IFERROR(__xludf.DUMMYFUNCTION("""COMPUTED_VALUE"""),"MS")</f>
        <v>MS</v>
      </c>
      <c r="R4793" s="6">
        <f>IFERROR(__xludf.DUMMYFUNCTION("""COMPUTED_VALUE"""),0.0)</f>
        <v>0</v>
      </c>
      <c r="S4793" s="6" t="str">
        <f>IFERROR(__xludf.DUMMYFUNCTION("""COMPUTED_VALUE"""),"Kimberly Ball")</f>
        <v>Kimberly Ball</v>
      </c>
      <c r="T4793" s="6" t="str">
        <f>IFERROR(__xludf.DUMMYFUNCTION("""COMPUTED_VALUE"""),"kimberly.ball@studient.com")</f>
        <v>kimberly.ball@studient.com</v>
      </c>
      <c r="U4793" s="6" t="str">
        <f>IFERROR(__xludf.DUMMYFUNCTION("""COMPUTED_VALUE"""),"6")</f>
        <v>6</v>
      </c>
      <c r="V4793" s="6" t="str">
        <f>IFERROR(__xludf.DUMMYFUNCTION("""COMPUTED_VALUE"""),"")</f>
        <v/>
      </c>
      <c r="W4793" s="6" t="str">
        <f>IFERROR(__xludf.DUMMYFUNCTION("""COMPUTED_VALUE"""),"[]")</f>
        <v>[]</v>
      </c>
      <c r="X4793" s="6" t="str">
        <f>IFERROR(__xludf.DUMMYFUNCTION("""COMPUTED_VALUE"""),"Enrolled")</f>
        <v>Enrolled</v>
      </c>
    </row>
    <row r="4794">
      <c r="A4794" s="6" t="str">
        <f>IFERROR(__xludf.DUMMYFUNCTION("""COMPUTED_VALUE"""),"084-13156")</f>
        <v>084-13156</v>
      </c>
      <c r="B4794" s="6" t="str">
        <f>IFERROR(__xludf.DUMMYFUNCTION("""COMPUTED_VALUE"""),"84")</f>
        <v>84</v>
      </c>
      <c r="C4794" s="6" t="str">
        <f>IFERROR(__xludf.DUMMYFUNCTION("""COMPUTED_VALUE"""),"13156")</f>
        <v>13156</v>
      </c>
      <c r="D4794" s="6" t="str">
        <f>IFERROR(__xludf.DUMMYFUNCTION("""COMPUTED_VALUE"""),"Leandro")</f>
        <v>Leandro</v>
      </c>
      <c r="E4794" s="6" t="str">
        <f>IFERROR(__xludf.DUMMYFUNCTION("""COMPUTED_VALUE"""),"")</f>
        <v/>
      </c>
      <c r="F4794" s="6" t="str">
        <f>IFERROR(__xludf.DUMMYFUNCTION("""COMPUTED_VALUE"""),"Lima Da Silva")</f>
        <v>Lima Da Silva</v>
      </c>
      <c r="G4794" s="6" t="str">
        <f>IFERROR(__xludf.DUMMYFUNCTION("""COMPUTED_VALUE"""),"02/20/2014")</f>
        <v>02/20/2014</v>
      </c>
      <c r="H4794" s="6" t="str">
        <f>IFERROR(__xludf.DUMMYFUNCTION("""COMPUTED_VALUE"""),"male")</f>
        <v>male</v>
      </c>
      <c r="I4794" s="6" t="str">
        <f>IFERROR(__xludf.DUMMYFUNCTION("""COMPUTED_VALUE"""),"Middle School")</f>
        <v>Middle School</v>
      </c>
      <c r="J4794" s="6" t="str">
        <f>IFERROR(__xludf.DUMMYFUNCTION("""COMPUTED_VALUE"""),"6")</f>
        <v>6</v>
      </c>
      <c r="K4794" s="6" t="str">
        <f>IFERROR(__xludf.DUMMYFUNCTION("""COMPUTED_VALUE"""),"leandro.limadasilva@2hourlearning.com")</f>
        <v>leandro.limadasilva@2hourlearning.com</v>
      </c>
      <c r="L4794" s="6" t="str">
        <f>IFERROR(__xludf.DUMMYFUNCTION("""COMPUTED_VALUE"""),"JHMS - Hardeeville Junior Senior High School")</f>
        <v>JHMS - Hardeeville Junior Senior High School</v>
      </c>
      <c r="M4794" s="6" t="str">
        <f>IFERROR(__xludf.DUMMYFUNCTION("""COMPUTED_VALUE"""),"")</f>
        <v/>
      </c>
      <c r="N4794" s="6" t="str">
        <f>IFERROR(__xludf.DUMMYFUNCTION("""COMPUTED_VALUE"""),"")</f>
        <v/>
      </c>
      <c r="O4794" s="87" t="str">
        <f>IFERROR(__xludf.DUMMYFUNCTION("""COMPUTED_VALUE"""),"https://drive.google.com/drive/folders/10T2cTQHqEJZqE-st6uFKPoI?usp=share_link")</f>
        <v>https://drive.google.com/drive/folders/10T2cTQHqEJZqE-st6uFKPoI?usp=share_link</v>
      </c>
      <c r="P4794" s="6" t="str">
        <f>IFERROR(__xludf.DUMMYFUNCTION("""COMPUTED_VALUE"""),"Leandro Lima Da Silva")</f>
        <v>Leandro Lima Da Silva</v>
      </c>
      <c r="Q4794" s="6" t="str">
        <f>IFERROR(__xludf.DUMMYFUNCTION("""COMPUTED_VALUE"""),"MS")</f>
        <v>MS</v>
      </c>
      <c r="R4794" s="6">
        <f>IFERROR(__xludf.DUMMYFUNCTION("""COMPUTED_VALUE"""),0.0)</f>
        <v>0</v>
      </c>
      <c r="S4794" s="6" t="str">
        <f>IFERROR(__xludf.DUMMYFUNCTION("""COMPUTED_VALUE"""),"Kimberly Ball")</f>
        <v>Kimberly Ball</v>
      </c>
      <c r="T4794" s="6" t="str">
        <f>IFERROR(__xludf.DUMMYFUNCTION("""COMPUTED_VALUE"""),"kimberly.ball@studient.com")</f>
        <v>kimberly.ball@studient.com</v>
      </c>
      <c r="U4794" s="6" t="str">
        <f>IFERROR(__xludf.DUMMYFUNCTION("""COMPUTED_VALUE"""),"6")</f>
        <v>6</v>
      </c>
      <c r="V4794" s="6" t="str">
        <f>IFERROR(__xludf.DUMMYFUNCTION("""COMPUTED_VALUE"""),"")</f>
        <v/>
      </c>
      <c r="W4794" s="6" t="str">
        <f>IFERROR(__xludf.DUMMYFUNCTION("""COMPUTED_VALUE"""),"[]")</f>
        <v>[]</v>
      </c>
      <c r="X4794" s="6" t="str">
        <f>IFERROR(__xludf.DUMMYFUNCTION("""COMPUTED_VALUE"""),"Enrolled")</f>
        <v>Enrolled</v>
      </c>
    </row>
    <row r="4795">
      <c r="A4795" s="6" t="str">
        <f>IFERROR(__xludf.DUMMYFUNCTION("""COMPUTED_VALUE"""),"084-13157")</f>
        <v>084-13157</v>
      </c>
      <c r="B4795" s="6" t="str">
        <f>IFERROR(__xludf.DUMMYFUNCTION("""COMPUTED_VALUE"""),"84")</f>
        <v>84</v>
      </c>
      <c r="C4795" s="6" t="str">
        <f>IFERROR(__xludf.DUMMYFUNCTION("""COMPUTED_VALUE"""),"13157")</f>
        <v>13157</v>
      </c>
      <c r="D4795" s="6" t="str">
        <f>IFERROR(__xludf.DUMMYFUNCTION("""COMPUTED_VALUE"""),"Dominick G")</f>
        <v>Dominick G</v>
      </c>
      <c r="E4795" s="6" t="str">
        <f>IFERROR(__xludf.DUMMYFUNCTION("""COMPUTED_VALUE"""),"")</f>
        <v/>
      </c>
      <c r="F4795" s="6" t="str">
        <f>IFERROR(__xludf.DUMMYFUNCTION("""COMPUTED_VALUE"""),"Lopez Materan")</f>
        <v>Lopez Materan</v>
      </c>
      <c r="G4795" s="6" t="str">
        <f>IFERROR(__xludf.DUMMYFUNCTION("""COMPUTED_VALUE"""),"02/09/2014")</f>
        <v>02/09/2014</v>
      </c>
      <c r="H4795" s="6" t="str">
        <f>IFERROR(__xludf.DUMMYFUNCTION("""COMPUTED_VALUE"""),"male")</f>
        <v>male</v>
      </c>
      <c r="I4795" s="6" t="str">
        <f>IFERROR(__xludf.DUMMYFUNCTION("""COMPUTED_VALUE"""),"Middle School")</f>
        <v>Middle School</v>
      </c>
      <c r="J4795" s="6" t="str">
        <f>IFERROR(__xludf.DUMMYFUNCTION("""COMPUTED_VALUE"""),"6")</f>
        <v>6</v>
      </c>
      <c r="K4795" s="6" t="str">
        <f>IFERROR(__xludf.DUMMYFUNCTION("""COMPUTED_VALUE"""),"dominickg.lopezmateran@2hourlearning.com")</f>
        <v>dominickg.lopezmateran@2hourlearning.com</v>
      </c>
      <c r="L4795" s="6" t="str">
        <f>IFERROR(__xludf.DUMMYFUNCTION("""COMPUTED_VALUE"""),"JHMS - Hardeeville Junior Senior High School")</f>
        <v>JHMS - Hardeeville Junior Senior High School</v>
      </c>
      <c r="M4795" s="6" t="str">
        <f>IFERROR(__xludf.DUMMYFUNCTION("""COMPUTED_VALUE"""),"")</f>
        <v/>
      </c>
      <c r="N4795" s="6" t="str">
        <f>IFERROR(__xludf.DUMMYFUNCTION("""COMPUTED_VALUE"""),"")</f>
        <v/>
      </c>
      <c r="O4795" s="87" t="str">
        <f>IFERROR(__xludf.DUMMYFUNCTION("""COMPUTED_VALUE"""),"https://drive.google.com/drive/folders/10T2cTQHqEJZqE-st6uFKPoI?usp=share_link")</f>
        <v>https://drive.google.com/drive/folders/10T2cTQHqEJZqE-st6uFKPoI?usp=share_link</v>
      </c>
      <c r="P4795" s="6" t="str">
        <f>IFERROR(__xludf.DUMMYFUNCTION("""COMPUTED_VALUE"""),"Dominick G Lopez Materan")</f>
        <v>Dominick G Lopez Materan</v>
      </c>
      <c r="Q4795" s="6" t="str">
        <f>IFERROR(__xludf.DUMMYFUNCTION("""COMPUTED_VALUE"""),"MS")</f>
        <v>MS</v>
      </c>
      <c r="R4795" s="6">
        <f>IFERROR(__xludf.DUMMYFUNCTION("""COMPUTED_VALUE"""),0.0)</f>
        <v>0</v>
      </c>
      <c r="S4795" s="6" t="str">
        <f>IFERROR(__xludf.DUMMYFUNCTION("""COMPUTED_VALUE"""),"Kimberly Ball")</f>
        <v>Kimberly Ball</v>
      </c>
      <c r="T4795" s="6" t="str">
        <f>IFERROR(__xludf.DUMMYFUNCTION("""COMPUTED_VALUE"""),"kimberly.ball@studient.com")</f>
        <v>kimberly.ball@studient.com</v>
      </c>
      <c r="U4795" s="6" t="str">
        <f>IFERROR(__xludf.DUMMYFUNCTION("""COMPUTED_VALUE"""),"6")</f>
        <v>6</v>
      </c>
      <c r="V4795" s="6" t="str">
        <f>IFERROR(__xludf.DUMMYFUNCTION("""COMPUTED_VALUE"""),"")</f>
        <v/>
      </c>
      <c r="W4795" s="6" t="str">
        <f>IFERROR(__xludf.DUMMYFUNCTION("""COMPUTED_VALUE"""),"[]")</f>
        <v>[]</v>
      </c>
      <c r="X4795" s="6" t="str">
        <f>IFERROR(__xludf.DUMMYFUNCTION("""COMPUTED_VALUE"""),"Enrolled")</f>
        <v>Enrolled</v>
      </c>
    </row>
    <row r="4796">
      <c r="A4796" s="6" t="str">
        <f>IFERROR(__xludf.DUMMYFUNCTION("""COMPUTED_VALUE"""),"084-13158")</f>
        <v>084-13158</v>
      </c>
      <c r="B4796" s="6" t="str">
        <f>IFERROR(__xludf.DUMMYFUNCTION("""COMPUTED_VALUE"""),"84")</f>
        <v>84</v>
      </c>
      <c r="C4796" s="6" t="str">
        <f>IFERROR(__xludf.DUMMYFUNCTION("""COMPUTED_VALUE"""),"13158")</f>
        <v>13158</v>
      </c>
      <c r="D4796" s="6" t="str">
        <f>IFERROR(__xludf.DUMMYFUNCTION("""COMPUTED_VALUE"""),"Mateo")</f>
        <v>Mateo</v>
      </c>
      <c r="E4796" s="6" t="str">
        <f>IFERROR(__xludf.DUMMYFUNCTION("""COMPUTED_VALUE"""),"")</f>
        <v/>
      </c>
      <c r="F4796" s="6" t="str">
        <f>IFERROR(__xludf.DUMMYFUNCTION("""COMPUTED_VALUE"""),"Lucero-Dimas")</f>
        <v>Lucero-Dimas</v>
      </c>
      <c r="G4796" s="6" t="str">
        <f>IFERROR(__xludf.DUMMYFUNCTION("""COMPUTED_VALUE"""),"05/26/2014")</f>
        <v>05/26/2014</v>
      </c>
      <c r="H4796" s="6" t="str">
        <f>IFERROR(__xludf.DUMMYFUNCTION("""COMPUTED_VALUE"""),"female")</f>
        <v>female</v>
      </c>
      <c r="I4796" s="6" t="str">
        <f>IFERROR(__xludf.DUMMYFUNCTION("""COMPUTED_VALUE"""),"Middle School")</f>
        <v>Middle School</v>
      </c>
      <c r="J4796" s="6" t="str">
        <f>IFERROR(__xludf.DUMMYFUNCTION("""COMPUTED_VALUE"""),"6")</f>
        <v>6</v>
      </c>
      <c r="K4796" s="6" t="str">
        <f>IFERROR(__xludf.DUMMYFUNCTION("""COMPUTED_VALUE"""),"mateo.lucero-dimas@2hourlearning.com")</f>
        <v>mateo.lucero-dimas@2hourlearning.com</v>
      </c>
      <c r="L4796" s="6" t="str">
        <f>IFERROR(__xludf.DUMMYFUNCTION("""COMPUTED_VALUE"""),"JHMS - Hardeeville Junior Senior High School")</f>
        <v>JHMS - Hardeeville Junior Senior High School</v>
      </c>
      <c r="M4796" s="6" t="str">
        <f>IFERROR(__xludf.DUMMYFUNCTION("""COMPUTED_VALUE"""),"")</f>
        <v/>
      </c>
      <c r="N4796" s="6" t="str">
        <f>IFERROR(__xludf.DUMMYFUNCTION("""COMPUTED_VALUE"""),"")</f>
        <v/>
      </c>
      <c r="O4796" s="87" t="str">
        <f>IFERROR(__xludf.DUMMYFUNCTION("""COMPUTED_VALUE"""),"https://drive.google.com/drive/folders/10T2cTQHqEJZqE-st6uFKPoI?usp=share_link")</f>
        <v>https://drive.google.com/drive/folders/10T2cTQHqEJZqE-st6uFKPoI?usp=share_link</v>
      </c>
      <c r="P4796" s="6" t="str">
        <f>IFERROR(__xludf.DUMMYFUNCTION("""COMPUTED_VALUE"""),"Mateo Lucero-Dimas")</f>
        <v>Mateo Lucero-Dimas</v>
      </c>
      <c r="Q4796" s="6" t="str">
        <f>IFERROR(__xludf.DUMMYFUNCTION("""COMPUTED_VALUE"""),"MS")</f>
        <v>MS</v>
      </c>
      <c r="R4796" s="6">
        <f>IFERROR(__xludf.DUMMYFUNCTION("""COMPUTED_VALUE"""),0.0)</f>
        <v>0</v>
      </c>
      <c r="S4796" s="6" t="str">
        <f>IFERROR(__xludf.DUMMYFUNCTION("""COMPUTED_VALUE"""),"Kimberly Ball")</f>
        <v>Kimberly Ball</v>
      </c>
      <c r="T4796" s="6" t="str">
        <f>IFERROR(__xludf.DUMMYFUNCTION("""COMPUTED_VALUE"""),"kimberly.ball@studient.com")</f>
        <v>kimberly.ball@studient.com</v>
      </c>
      <c r="U4796" s="6" t="str">
        <f>IFERROR(__xludf.DUMMYFUNCTION("""COMPUTED_VALUE"""),"6")</f>
        <v>6</v>
      </c>
      <c r="V4796" s="6" t="str">
        <f>IFERROR(__xludf.DUMMYFUNCTION("""COMPUTED_VALUE"""),"")</f>
        <v/>
      </c>
      <c r="W4796" s="6" t="str">
        <f>IFERROR(__xludf.DUMMYFUNCTION("""COMPUTED_VALUE"""),"[]")</f>
        <v>[]</v>
      </c>
      <c r="X4796" s="6" t="str">
        <f>IFERROR(__xludf.DUMMYFUNCTION("""COMPUTED_VALUE"""),"Enrolled")</f>
        <v>Enrolled</v>
      </c>
    </row>
    <row r="4797">
      <c r="A4797" s="6" t="str">
        <f>IFERROR(__xludf.DUMMYFUNCTION("""COMPUTED_VALUE"""),"084-13159")</f>
        <v>084-13159</v>
      </c>
      <c r="B4797" s="6" t="str">
        <f>IFERROR(__xludf.DUMMYFUNCTION("""COMPUTED_VALUE"""),"84")</f>
        <v>84</v>
      </c>
      <c r="C4797" s="6" t="str">
        <f>IFERROR(__xludf.DUMMYFUNCTION("""COMPUTED_VALUE"""),"13159")</f>
        <v>13159</v>
      </c>
      <c r="D4797" s="6" t="str">
        <f>IFERROR(__xludf.DUMMYFUNCTION("""COMPUTED_VALUE"""),"Yael")</f>
        <v>Yael</v>
      </c>
      <c r="E4797" s="6" t="str">
        <f>IFERROR(__xludf.DUMMYFUNCTION("""COMPUTED_VALUE"""),"")</f>
        <v/>
      </c>
      <c r="F4797" s="6" t="str">
        <f>IFERROR(__xludf.DUMMYFUNCTION("""COMPUTED_VALUE"""),"Luna Ramirez")</f>
        <v>Luna Ramirez</v>
      </c>
      <c r="G4797" s="6" t="str">
        <f>IFERROR(__xludf.DUMMYFUNCTION("""COMPUTED_VALUE"""),"03/02/2013")</f>
        <v>03/02/2013</v>
      </c>
      <c r="H4797" s="6" t="str">
        <f>IFERROR(__xludf.DUMMYFUNCTION("""COMPUTED_VALUE"""),"male")</f>
        <v>male</v>
      </c>
      <c r="I4797" s="6" t="str">
        <f>IFERROR(__xludf.DUMMYFUNCTION("""COMPUTED_VALUE"""),"Middle School")</f>
        <v>Middle School</v>
      </c>
      <c r="J4797" s="6" t="str">
        <f>IFERROR(__xludf.DUMMYFUNCTION("""COMPUTED_VALUE"""),"6")</f>
        <v>6</v>
      </c>
      <c r="K4797" s="6" t="str">
        <f>IFERROR(__xludf.DUMMYFUNCTION("""COMPUTED_VALUE"""),"yael.lunaramirez@2hourlearning.com")</f>
        <v>yael.lunaramirez@2hourlearning.com</v>
      </c>
      <c r="L4797" s="6" t="str">
        <f>IFERROR(__xludf.DUMMYFUNCTION("""COMPUTED_VALUE"""),"JHMS - Hardeeville Junior Senior High School")</f>
        <v>JHMS - Hardeeville Junior Senior High School</v>
      </c>
      <c r="M4797" s="6" t="str">
        <f>IFERROR(__xludf.DUMMYFUNCTION("""COMPUTED_VALUE"""),"")</f>
        <v/>
      </c>
      <c r="N4797" s="6" t="str">
        <f>IFERROR(__xludf.DUMMYFUNCTION("""COMPUTED_VALUE"""),"")</f>
        <v/>
      </c>
      <c r="O4797" s="87" t="str">
        <f>IFERROR(__xludf.DUMMYFUNCTION("""COMPUTED_VALUE"""),"https://drive.google.com/drive/folders/10T2cTQHqEJZqE-st6uFKPoI?usp=share_link")</f>
        <v>https://drive.google.com/drive/folders/10T2cTQHqEJZqE-st6uFKPoI?usp=share_link</v>
      </c>
      <c r="P4797" s="6" t="str">
        <f>IFERROR(__xludf.DUMMYFUNCTION("""COMPUTED_VALUE"""),"Yael Luna Ramirez")</f>
        <v>Yael Luna Ramirez</v>
      </c>
      <c r="Q4797" s="6" t="str">
        <f>IFERROR(__xludf.DUMMYFUNCTION("""COMPUTED_VALUE"""),"MS")</f>
        <v>MS</v>
      </c>
      <c r="R4797" s="6">
        <f>IFERROR(__xludf.DUMMYFUNCTION("""COMPUTED_VALUE"""),0.0)</f>
        <v>0</v>
      </c>
      <c r="S4797" s="6" t="str">
        <f>IFERROR(__xludf.DUMMYFUNCTION("""COMPUTED_VALUE"""),"Kimberly Ball")</f>
        <v>Kimberly Ball</v>
      </c>
      <c r="T4797" s="6" t="str">
        <f>IFERROR(__xludf.DUMMYFUNCTION("""COMPUTED_VALUE"""),"kimberly.ball@studient.com")</f>
        <v>kimberly.ball@studient.com</v>
      </c>
      <c r="U4797" s="6" t="str">
        <f>IFERROR(__xludf.DUMMYFUNCTION("""COMPUTED_VALUE"""),"6")</f>
        <v>6</v>
      </c>
      <c r="V4797" s="6" t="str">
        <f>IFERROR(__xludf.DUMMYFUNCTION("""COMPUTED_VALUE"""),"")</f>
        <v/>
      </c>
      <c r="W4797" s="6" t="str">
        <f>IFERROR(__xludf.DUMMYFUNCTION("""COMPUTED_VALUE"""),"[]")</f>
        <v>[]</v>
      </c>
      <c r="X4797" s="6" t="str">
        <f>IFERROR(__xludf.DUMMYFUNCTION("""COMPUTED_VALUE"""),"Enrolled")</f>
        <v>Enrolled</v>
      </c>
    </row>
    <row r="4798">
      <c r="A4798" s="6" t="str">
        <f>IFERROR(__xludf.DUMMYFUNCTION("""COMPUTED_VALUE"""),"084-13160")</f>
        <v>084-13160</v>
      </c>
      <c r="B4798" s="6" t="str">
        <f>IFERROR(__xludf.DUMMYFUNCTION("""COMPUTED_VALUE"""),"84")</f>
        <v>84</v>
      </c>
      <c r="C4798" s="6" t="str">
        <f>IFERROR(__xludf.DUMMYFUNCTION("""COMPUTED_VALUE"""),"13160")</f>
        <v>13160</v>
      </c>
      <c r="D4798" s="6" t="str">
        <f>IFERROR(__xludf.DUMMYFUNCTION("""COMPUTED_VALUE"""),"Jalayah")</f>
        <v>Jalayah</v>
      </c>
      <c r="E4798" s="6" t="str">
        <f>IFERROR(__xludf.DUMMYFUNCTION("""COMPUTED_VALUE"""),"")</f>
        <v/>
      </c>
      <c r="F4798" s="6" t="str">
        <f>IFERROR(__xludf.DUMMYFUNCTION("""COMPUTED_VALUE"""),"Mack")</f>
        <v>Mack</v>
      </c>
      <c r="G4798" s="6" t="str">
        <f>IFERROR(__xludf.DUMMYFUNCTION("""COMPUTED_VALUE"""),"03/01/2014")</f>
        <v>03/01/2014</v>
      </c>
      <c r="H4798" s="6" t="str">
        <f>IFERROR(__xludf.DUMMYFUNCTION("""COMPUTED_VALUE"""),"female")</f>
        <v>female</v>
      </c>
      <c r="I4798" s="6" t="str">
        <f>IFERROR(__xludf.DUMMYFUNCTION("""COMPUTED_VALUE"""),"Middle School")</f>
        <v>Middle School</v>
      </c>
      <c r="J4798" s="6" t="str">
        <f>IFERROR(__xludf.DUMMYFUNCTION("""COMPUTED_VALUE"""),"6")</f>
        <v>6</v>
      </c>
      <c r="K4798" s="6" t="str">
        <f>IFERROR(__xludf.DUMMYFUNCTION("""COMPUTED_VALUE"""),"jalayah.mack@2hourlearning.com")</f>
        <v>jalayah.mack@2hourlearning.com</v>
      </c>
      <c r="L4798" s="6" t="str">
        <f>IFERROR(__xludf.DUMMYFUNCTION("""COMPUTED_VALUE"""),"JHMS - Hardeeville Junior Senior High School")</f>
        <v>JHMS - Hardeeville Junior Senior High School</v>
      </c>
      <c r="M4798" s="6" t="str">
        <f>IFERROR(__xludf.DUMMYFUNCTION("""COMPUTED_VALUE"""),"")</f>
        <v/>
      </c>
      <c r="N4798" s="6" t="str">
        <f>IFERROR(__xludf.DUMMYFUNCTION("""COMPUTED_VALUE"""),"")</f>
        <v/>
      </c>
      <c r="O4798" s="87" t="str">
        <f>IFERROR(__xludf.DUMMYFUNCTION("""COMPUTED_VALUE"""),"https://drive.google.com/drive/folders/10T2cTQHqEJZqE-st6uFKPoI?usp=share_link")</f>
        <v>https://drive.google.com/drive/folders/10T2cTQHqEJZqE-st6uFKPoI?usp=share_link</v>
      </c>
      <c r="P4798" s="6" t="str">
        <f>IFERROR(__xludf.DUMMYFUNCTION("""COMPUTED_VALUE"""),"Jalayah Mack")</f>
        <v>Jalayah Mack</v>
      </c>
      <c r="Q4798" s="6" t="str">
        <f>IFERROR(__xludf.DUMMYFUNCTION("""COMPUTED_VALUE"""),"MS")</f>
        <v>MS</v>
      </c>
      <c r="R4798" s="6">
        <f>IFERROR(__xludf.DUMMYFUNCTION("""COMPUTED_VALUE"""),0.0)</f>
        <v>0</v>
      </c>
      <c r="S4798" s="6" t="str">
        <f>IFERROR(__xludf.DUMMYFUNCTION("""COMPUTED_VALUE"""),"Kimberly Ball")</f>
        <v>Kimberly Ball</v>
      </c>
      <c r="T4798" s="6" t="str">
        <f>IFERROR(__xludf.DUMMYFUNCTION("""COMPUTED_VALUE"""),"kimberly.ball@studient.com")</f>
        <v>kimberly.ball@studient.com</v>
      </c>
      <c r="U4798" s="6" t="str">
        <f>IFERROR(__xludf.DUMMYFUNCTION("""COMPUTED_VALUE"""),"6")</f>
        <v>6</v>
      </c>
      <c r="V4798" s="6" t="str">
        <f>IFERROR(__xludf.DUMMYFUNCTION("""COMPUTED_VALUE"""),"")</f>
        <v/>
      </c>
      <c r="W4798" s="6" t="str">
        <f>IFERROR(__xludf.DUMMYFUNCTION("""COMPUTED_VALUE"""),"[]")</f>
        <v>[]</v>
      </c>
      <c r="X4798" s="6" t="str">
        <f>IFERROR(__xludf.DUMMYFUNCTION("""COMPUTED_VALUE"""),"Enrolled")</f>
        <v>Enrolled</v>
      </c>
    </row>
    <row r="4799">
      <c r="A4799" s="6" t="str">
        <f>IFERROR(__xludf.DUMMYFUNCTION("""COMPUTED_VALUE"""),"084-13161")</f>
        <v>084-13161</v>
      </c>
      <c r="B4799" s="6" t="str">
        <f>IFERROR(__xludf.DUMMYFUNCTION("""COMPUTED_VALUE"""),"84")</f>
        <v>84</v>
      </c>
      <c r="C4799" s="6" t="str">
        <f>IFERROR(__xludf.DUMMYFUNCTION("""COMPUTED_VALUE"""),"13161")</f>
        <v>13161</v>
      </c>
      <c r="D4799" s="6" t="str">
        <f>IFERROR(__xludf.DUMMYFUNCTION("""COMPUTED_VALUE"""),"Iann")</f>
        <v>Iann</v>
      </c>
      <c r="E4799" s="6" t="str">
        <f>IFERROR(__xludf.DUMMYFUNCTION("""COMPUTED_VALUE"""),"")</f>
        <v/>
      </c>
      <c r="F4799" s="6" t="str">
        <f>IFERROR(__xludf.DUMMYFUNCTION("""COMPUTED_VALUE"""),"Maldonado Aldana")</f>
        <v>Maldonado Aldana</v>
      </c>
      <c r="G4799" s="6" t="str">
        <f>IFERROR(__xludf.DUMMYFUNCTION("""COMPUTED_VALUE"""),"02/27/2014")</f>
        <v>02/27/2014</v>
      </c>
      <c r="H4799" s="6" t="str">
        <f>IFERROR(__xludf.DUMMYFUNCTION("""COMPUTED_VALUE"""),"Self Identify")</f>
        <v>Self Identify</v>
      </c>
      <c r="I4799" s="6" t="str">
        <f>IFERROR(__xludf.DUMMYFUNCTION("""COMPUTED_VALUE"""),"Middle School")</f>
        <v>Middle School</v>
      </c>
      <c r="J4799" s="6" t="str">
        <f>IFERROR(__xludf.DUMMYFUNCTION("""COMPUTED_VALUE"""),"6")</f>
        <v>6</v>
      </c>
      <c r="K4799" s="6" t="str">
        <f>IFERROR(__xludf.DUMMYFUNCTION("""COMPUTED_VALUE"""),"iann.maldonadoaldana@2hourlearning.com")</f>
        <v>iann.maldonadoaldana@2hourlearning.com</v>
      </c>
      <c r="L4799" s="6" t="str">
        <f>IFERROR(__xludf.DUMMYFUNCTION("""COMPUTED_VALUE"""),"JHMS - Hardeeville Junior Senior High School")</f>
        <v>JHMS - Hardeeville Junior Senior High School</v>
      </c>
      <c r="M4799" s="6" t="str">
        <f>IFERROR(__xludf.DUMMYFUNCTION("""COMPUTED_VALUE"""),"")</f>
        <v/>
      </c>
      <c r="N4799" s="6" t="str">
        <f>IFERROR(__xludf.DUMMYFUNCTION("""COMPUTED_VALUE"""),"")</f>
        <v/>
      </c>
      <c r="O4799" s="87" t="str">
        <f>IFERROR(__xludf.DUMMYFUNCTION("""COMPUTED_VALUE"""),"https://drive.google.com/drive/folders/10T2cTQHqEJZqE-st6uFKPoI?usp=share_link")</f>
        <v>https://drive.google.com/drive/folders/10T2cTQHqEJZqE-st6uFKPoI?usp=share_link</v>
      </c>
      <c r="P4799" s="6" t="str">
        <f>IFERROR(__xludf.DUMMYFUNCTION("""COMPUTED_VALUE"""),"Iann Maldonado Aldana")</f>
        <v>Iann Maldonado Aldana</v>
      </c>
      <c r="Q4799" s="6" t="str">
        <f>IFERROR(__xludf.DUMMYFUNCTION("""COMPUTED_VALUE"""),"MS")</f>
        <v>MS</v>
      </c>
      <c r="R4799" s="6">
        <f>IFERROR(__xludf.DUMMYFUNCTION("""COMPUTED_VALUE"""),0.0)</f>
        <v>0</v>
      </c>
      <c r="S4799" s="6" t="str">
        <f>IFERROR(__xludf.DUMMYFUNCTION("""COMPUTED_VALUE"""),"Kimberly Ball")</f>
        <v>Kimberly Ball</v>
      </c>
      <c r="T4799" s="6" t="str">
        <f>IFERROR(__xludf.DUMMYFUNCTION("""COMPUTED_VALUE"""),"kimberly.ball@studient.com")</f>
        <v>kimberly.ball@studient.com</v>
      </c>
      <c r="U4799" s="6" t="str">
        <f>IFERROR(__xludf.DUMMYFUNCTION("""COMPUTED_VALUE"""),"6")</f>
        <v>6</v>
      </c>
      <c r="V4799" s="6" t="str">
        <f>IFERROR(__xludf.DUMMYFUNCTION("""COMPUTED_VALUE"""),"")</f>
        <v/>
      </c>
      <c r="W4799" s="6" t="str">
        <f>IFERROR(__xludf.DUMMYFUNCTION("""COMPUTED_VALUE"""),"[]")</f>
        <v>[]</v>
      </c>
      <c r="X4799" s="6" t="str">
        <f>IFERROR(__xludf.DUMMYFUNCTION("""COMPUTED_VALUE"""),"Enrolled")</f>
        <v>Enrolled</v>
      </c>
    </row>
    <row r="4800">
      <c r="A4800" s="6" t="str">
        <f>IFERROR(__xludf.DUMMYFUNCTION("""COMPUTED_VALUE"""),"084-13162")</f>
        <v>084-13162</v>
      </c>
      <c r="B4800" s="6" t="str">
        <f>IFERROR(__xludf.DUMMYFUNCTION("""COMPUTED_VALUE"""),"84")</f>
        <v>84</v>
      </c>
      <c r="C4800" s="6" t="str">
        <f>IFERROR(__xludf.DUMMYFUNCTION("""COMPUTED_VALUE"""),"13162")</f>
        <v>13162</v>
      </c>
      <c r="D4800" s="6" t="str">
        <f>IFERROR(__xludf.DUMMYFUNCTION("""COMPUTED_VALUE"""),"Danahia")</f>
        <v>Danahia</v>
      </c>
      <c r="E4800" s="6" t="str">
        <f>IFERROR(__xludf.DUMMYFUNCTION("""COMPUTED_VALUE"""),"")</f>
        <v/>
      </c>
      <c r="F4800" s="6" t="str">
        <f>IFERROR(__xludf.DUMMYFUNCTION("""COMPUTED_VALUE"""),"Marquez Orona")</f>
        <v>Marquez Orona</v>
      </c>
      <c r="G4800" s="6" t="str">
        <f>IFERROR(__xludf.DUMMYFUNCTION("""COMPUTED_VALUE"""),"06/06/2014")</f>
        <v>06/06/2014</v>
      </c>
      <c r="H4800" s="6" t="str">
        <f>IFERROR(__xludf.DUMMYFUNCTION("""COMPUTED_VALUE"""),"male")</f>
        <v>male</v>
      </c>
      <c r="I4800" s="6" t="str">
        <f>IFERROR(__xludf.DUMMYFUNCTION("""COMPUTED_VALUE"""),"Middle School")</f>
        <v>Middle School</v>
      </c>
      <c r="J4800" s="6" t="str">
        <f>IFERROR(__xludf.DUMMYFUNCTION("""COMPUTED_VALUE"""),"6")</f>
        <v>6</v>
      </c>
      <c r="K4800" s="6" t="str">
        <f>IFERROR(__xludf.DUMMYFUNCTION("""COMPUTED_VALUE"""),"danahia.marquezorona@2hourlearning.com")</f>
        <v>danahia.marquezorona@2hourlearning.com</v>
      </c>
      <c r="L4800" s="6" t="str">
        <f>IFERROR(__xludf.DUMMYFUNCTION("""COMPUTED_VALUE"""),"JHMS - Hardeeville Junior Senior High School")</f>
        <v>JHMS - Hardeeville Junior Senior High School</v>
      </c>
      <c r="M4800" s="6" t="str">
        <f>IFERROR(__xludf.DUMMYFUNCTION("""COMPUTED_VALUE"""),"")</f>
        <v/>
      </c>
      <c r="N4800" s="6" t="str">
        <f>IFERROR(__xludf.DUMMYFUNCTION("""COMPUTED_VALUE"""),"")</f>
        <v/>
      </c>
      <c r="O4800" s="87" t="str">
        <f>IFERROR(__xludf.DUMMYFUNCTION("""COMPUTED_VALUE"""),"https://drive.google.com/drive/folders/10T2cTQHqEJZqE-st6uFKPoI?usp=share_link")</f>
        <v>https://drive.google.com/drive/folders/10T2cTQHqEJZqE-st6uFKPoI?usp=share_link</v>
      </c>
      <c r="P4800" s="6" t="str">
        <f>IFERROR(__xludf.DUMMYFUNCTION("""COMPUTED_VALUE"""),"Danahia Marquez Orona")</f>
        <v>Danahia Marquez Orona</v>
      </c>
      <c r="Q4800" s="6" t="str">
        <f>IFERROR(__xludf.DUMMYFUNCTION("""COMPUTED_VALUE"""),"MS")</f>
        <v>MS</v>
      </c>
      <c r="R4800" s="6">
        <f>IFERROR(__xludf.DUMMYFUNCTION("""COMPUTED_VALUE"""),0.0)</f>
        <v>0</v>
      </c>
      <c r="S4800" s="6" t="str">
        <f>IFERROR(__xludf.DUMMYFUNCTION("""COMPUTED_VALUE"""),"Kimberly Ball")</f>
        <v>Kimberly Ball</v>
      </c>
      <c r="T4800" s="6" t="str">
        <f>IFERROR(__xludf.DUMMYFUNCTION("""COMPUTED_VALUE"""),"kimberly.ball@studient.com")</f>
        <v>kimberly.ball@studient.com</v>
      </c>
      <c r="U4800" s="6" t="str">
        <f>IFERROR(__xludf.DUMMYFUNCTION("""COMPUTED_VALUE"""),"6")</f>
        <v>6</v>
      </c>
      <c r="V4800" s="6" t="str">
        <f>IFERROR(__xludf.DUMMYFUNCTION("""COMPUTED_VALUE"""),"")</f>
        <v/>
      </c>
      <c r="W4800" s="6" t="str">
        <f>IFERROR(__xludf.DUMMYFUNCTION("""COMPUTED_VALUE"""),"[]")</f>
        <v>[]</v>
      </c>
      <c r="X4800" s="6" t="str">
        <f>IFERROR(__xludf.DUMMYFUNCTION("""COMPUTED_VALUE"""),"Enrolled")</f>
        <v>Enrolled</v>
      </c>
    </row>
    <row r="4801">
      <c r="A4801" s="6" t="str">
        <f>IFERROR(__xludf.DUMMYFUNCTION("""COMPUTED_VALUE"""),"084-13163")</f>
        <v>084-13163</v>
      </c>
      <c r="B4801" s="6" t="str">
        <f>IFERROR(__xludf.DUMMYFUNCTION("""COMPUTED_VALUE"""),"84")</f>
        <v>84</v>
      </c>
      <c r="C4801" s="6" t="str">
        <f>IFERROR(__xludf.DUMMYFUNCTION("""COMPUTED_VALUE"""),"13163")</f>
        <v>13163</v>
      </c>
      <c r="D4801" s="6" t="str">
        <f>IFERROR(__xludf.DUMMYFUNCTION("""COMPUTED_VALUE"""),"Brigllith")</f>
        <v>Brigllith</v>
      </c>
      <c r="E4801" s="6" t="str">
        <f>IFERROR(__xludf.DUMMYFUNCTION("""COMPUTED_VALUE"""),"")</f>
        <v/>
      </c>
      <c r="F4801" s="6" t="str">
        <f>IFERROR(__xludf.DUMMYFUNCTION("""COMPUTED_VALUE"""),"Martinez Palma")</f>
        <v>Martinez Palma</v>
      </c>
      <c r="G4801" s="6" t="str">
        <f>IFERROR(__xludf.DUMMYFUNCTION("""COMPUTED_VALUE"""),"08/27/2014")</f>
        <v>08/27/2014</v>
      </c>
      <c r="H4801" s="6" t="str">
        <f>IFERROR(__xludf.DUMMYFUNCTION("""COMPUTED_VALUE"""),"male")</f>
        <v>male</v>
      </c>
      <c r="I4801" s="6" t="str">
        <f>IFERROR(__xludf.DUMMYFUNCTION("""COMPUTED_VALUE"""),"Middle School")</f>
        <v>Middle School</v>
      </c>
      <c r="J4801" s="6" t="str">
        <f>IFERROR(__xludf.DUMMYFUNCTION("""COMPUTED_VALUE"""),"6")</f>
        <v>6</v>
      </c>
      <c r="K4801" s="6" t="str">
        <f>IFERROR(__xludf.DUMMYFUNCTION("""COMPUTED_VALUE"""),"brigllith.martinezpalma@2hourlearning.com")</f>
        <v>brigllith.martinezpalma@2hourlearning.com</v>
      </c>
      <c r="L4801" s="6" t="str">
        <f>IFERROR(__xludf.DUMMYFUNCTION("""COMPUTED_VALUE"""),"JHMS - Hardeeville Junior Senior High School")</f>
        <v>JHMS - Hardeeville Junior Senior High School</v>
      </c>
      <c r="M4801" s="6" t="str">
        <f>IFERROR(__xludf.DUMMYFUNCTION("""COMPUTED_VALUE"""),"")</f>
        <v/>
      </c>
      <c r="N4801" s="6" t="str">
        <f>IFERROR(__xludf.DUMMYFUNCTION("""COMPUTED_VALUE"""),"")</f>
        <v/>
      </c>
      <c r="O4801" s="87" t="str">
        <f>IFERROR(__xludf.DUMMYFUNCTION("""COMPUTED_VALUE"""),"https://drive.google.com/drive/folders/10T2cTQHqEJZqE-st6uFKPoI?usp=share_link")</f>
        <v>https://drive.google.com/drive/folders/10T2cTQHqEJZqE-st6uFKPoI?usp=share_link</v>
      </c>
      <c r="P4801" s="6" t="str">
        <f>IFERROR(__xludf.DUMMYFUNCTION("""COMPUTED_VALUE"""),"Brigllith Martinez Palma")</f>
        <v>Brigllith Martinez Palma</v>
      </c>
      <c r="Q4801" s="6" t="str">
        <f>IFERROR(__xludf.DUMMYFUNCTION("""COMPUTED_VALUE"""),"MS")</f>
        <v>MS</v>
      </c>
      <c r="R4801" s="6">
        <f>IFERROR(__xludf.DUMMYFUNCTION("""COMPUTED_VALUE"""),0.0)</f>
        <v>0</v>
      </c>
      <c r="S4801" s="6" t="str">
        <f>IFERROR(__xludf.DUMMYFUNCTION("""COMPUTED_VALUE"""),"Kimberly Ball")</f>
        <v>Kimberly Ball</v>
      </c>
      <c r="T4801" s="6" t="str">
        <f>IFERROR(__xludf.DUMMYFUNCTION("""COMPUTED_VALUE"""),"kimberly.ball@studient.com")</f>
        <v>kimberly.ball@studient.com</v>
      </c>
      <c r="U4801" s="6" t="str">
        <f>IFERROR(__xludf.DUMMYFUNCTION("""COMPUTED_VALUE"""),"6")</f>
        <v>6</v>
      </c>
      <c r="V4801" s="6" t="str">
        <f>IFERROR(__xludf.DUMMYFUNCTION("""COMPUTED_VALUE"""),"")</f>
        <v/>
      </c>
      <c r="W4801" s="6" t="str">
        <f>IFERROR(__xludf.DUMMYFUNCTION("""COMPUTED_VALUE"""),"[]")</f>
        <v>[]</v>
      </c>
      <c r="X4801" s="6" t="str">
        <f>IFERROR(__xludf.DUMMYFUNCTION("""COMPUTED_VALUE"""),"Enrolled")</f>
        <v>Enrolled</v>
      </c>
    </row>
    <row r="4802">
      <c r="A4802" s="6" t="str">
        <f>IFERROR(__xludf.DUMMYFUNCTION("""COMPUTED_VALUE"""),"084-13164")</f>
        <v>084-13164</v>
      </c>
      <c r="B4802" s="6" t="str">
        <f>IFERROR(__xludf.DUMMYFUNCTION("""COMPUTED_VALUE"""),"84")</f>
        <v>84</v>
      </c>
      <c r="C4802" s="6" t="str">
        <f>IFERROR(__xludf.DUMMYFUNCTION("""COMPUTED_VALUE"""),"13164")</f>
        <v>13164</v>
      </c>
      <c r="D4802" s="6" t="str">
        <f>IFERROR(__xludf.DUMMYFUNCTION("""COMPUTED_VALUE"""),"Axel")</f>
        <v>Axel</v>
      </c>
      <c r="E4802" s="6" t="str">
        <f>IFERROR(__xludf.DUMMYFUNCTION("""COMPUTED_VALUE"""),"")</f>
        <v/>
      </c>
      <c r="F4802" s="6" t="str">
        <f>IFERROR(__xludf.DUMMYFUNCTION("""COMPUTED_VALUE"""),"Martinez-Brito")</f>
        <v>Martinez-Brito</v>
      </c>
      <c r="G4802" s="6" t="str">
        <f>IFERROR(__xludf.DUMMYFUNCTION("""COMPUTED_VALUE"""),"11/04/2013")</f>
        <v>11/04/2013</v>
      </c>
      <c r="H4802" s="6" t="str">
        <f>IFERROR(__xludf.DUMMYFUNCTION("""COMPUTED_VALUE"""),"female")</f>
        <v>female</v>
      </c>
      <c r="I4802" s="6" t="str">
        <f>IFERROR(__xludf.DUMMYFUNCTION("""COMPUTED_VALUE"""),"Middle School")</f>
        <v>Middle School</v>
      </c>
      <c r="J4802" s="6" t="str">
        <f>IFERROR(__xludf.DUMMYFUNCTION("""COMPUTED_VALUE"""),"6")</f>
        <v>6</v>
      </c>
      <c r="K4802" s="6" t="str">
        <f>IFERROR(__xludf.DUMMYFUNCTION("""COMPUTED_VALUE"""),"axel.martinez-brito@2hourlearning.com")</f>
        <v>axel.martinez-brito@2hourlearning.com</v>
      </c>
      <c r="L4802" s="6" t="str">
        <f>IFERROR(__xludf.DUMMYFUNCTION("""COMPUTED_VALUE"""),"JHMS - Hardeeville Junior Senior High School")</f>
        <v>JHMS - Hardeeville Junior Senior High School</v>
      </c>
      <c r="M4802" s="6" t="str">
        <f>IFERROR(__xludf.DUMMYFUNCTION("""COMPUTED_VALUE"""),"")</f>
        <v/>
      </c>
      <c r="N4802" s="6" t="str">
        <f>IFERROR(__xludf.DUMMYFUNCTION("""COMPUTED_VALUE"""),"")</f>
        <v/>
      </c>
      <c r="O4802" s="87" t="str">
        <f>IFERROR(__xludf.DUMMYFUNCTION("""COMPUTED_VALUE"""),"https://drive.google.com/drive/folders/10T2cTQHqEJZqE-st6uFKPoI?usp=share_link")</f>
        <v>https://drive.google.com/drive/folders/10T2cTQHqEJZqE-st6uFKPoI?usp=share_link</v>
      </c>
      <c r="P4802" s="6" t="str">
        <f>IFERROR(__xludf.DUMMYFUNCTION("""COMPUTED_VALUE"""),"Axel Martinez-Brito")</f>
        <v>Axel Martinez-Brito</v>
      </c>
      <c r="Q4802" s="6" t="str">
        <f>IFERROR(__xludf.DUMMYFUNCTION("""COMPUTED_VALUE"""),"MS")</f>
        <v>MS</v>
      </c>
      <c r="R4802" s="6">
        <f>IFERROR(__xludf.DUMMYFUNCTION("""COMPUTED_VALUE"""),0.0)</f>
        <v>0</v>
      </c>
      <c r="S4802" s="6" t="str">
        <f>IFERROR(__xludf.DUMMYFUNCTION("""COMPUTED_VALUE"""),"Kimberly Ball")</f>
        <v>Kimberly Ball</v>
      </c>
      <c r="T4802" s="6" t="str">
        <f>IFERROR(__xludf.DUMMYFUNCTION("""COMPUTED_VALUE"""),"kimberly.ball@studient.com")</f>
        <v>kimberly.ball@studient.com</v>
      </c>
      <c r="U4802" s="6" t="str">
        <f>IFERROR(__xludf.DUMMYFUNCTION("""COMPUTED_VALUE"""),"6")</f>
        <v>6</v>
      </c>
      <c r="V4802" s="6" t="str">
        <f>IFERROR(__xludf.DUMMYFUNCTION("""COMPUTED_VALUE"""),"")</f>
        <v/>
      </c>
      <c r="W4802" s="6" t="str">
        <f>IFERROR(__xludf.DUMMYFUNCTION("""COMPUTED_VALUE"""),"[]")</f>
        <v>[]</v>
      </c>
      <c r="X4802" s="6" t="str">
        <f>IFERROR(__xludf.DUMMYFUNCTION("""COMPUTED_VALUE"""),"Enrolled")</f>
        <v>Enrolled</v>
      </c>
    </row>
    <row r="4803">
      <c r="A4803" s="6" t="str">
        <f>IFERROR(__xludf.DUMMYFUNCTION("""COMPUTED_VALUE"""),"084-13165")</f>
        <v>084-13165</v>
      </c>
      <c r="B4803" s="6" t="str">
        <f>IFERROR(__xludf.DUMMYFUNCTION("""COMPUTED_VALUE"""),"84")</f>
        <v>84</v>
      </c>
      <c r="C4803" s="6" t="str">
        <f>IFERROR(__xludf.DUMMYFUNCTION("""COMPUTED_VALUE"""),"13165")</f>
        <v>13165</v>
      </c>
      <c r="D4803" s="6" t="str">
        <f>IFERROR(__xludf.DUMMYFUNCTION("""COMPUTED_VALUE"""),"Tobias")</f>
        <v>Tobias</v>
      </c>
      <c r="E4803" s="6" t="str">
        <f>IFERROR(__xludf.DUMMYFUNCTION("""COMPUTED_VALUE"""),"")</f>
        <v/>
      </c>
      <c r="F4803" s="6" t="str">
        <f>IFERROR(__xludf.DUMMYFUNCTION("""COMPUTED_VALUE"""),"McKellar-Hollis")</f>
        <v>McKellar-Hollis</v>
      </c>
      <c r="G4803" s="6" t="str">
        <f>IFERROR(__xludf.DUMMYFUNCTION("""COMPUTED_VALUE"""),"07/11/2014")</f>
        <v>07/11/2014</v>
      </c>
      <c r="H4803" s="6" t="str">
        <f>IFERROR(__xludf.DUMMYFUNCTION("""COMPUTED_VALUE"""),"male")</f>
        <v>male</v>
      </c>
      <c r="I4803" s="6" t="str">
        <f>IFERROR(__xludf.DUMMYFUNCTION("""COMPUTED_VALUE"""),"Middle School")</f>
        <v>Middle School</v>
      </c>
      <c r="J4803" s="6" t="str">
        <f>IFERROR(__xludf.DUMMYFUNCTION("""COMPUTED_VALUE"""),"6")</f>
        <v>6</v>
      </c>
      <c r="K4803" s="6" t="str">
        <f>IFERROR(__xludf.DUMMYFUNCTION("""COMPUTED_VALUE"""),"tobias.mckellar-hollis@2hourlearning.com")</f>
        <v>tobias.mckellar-hollis@2hourlearning.com</v>
      </c>
      <c r="L4803" s="6" t="str">
        <f>IFERROR(__xludf.DUMMYFUNCTION("""COMPUTED_VALUE"""),"JHMS - Hardeeville Junior Senior High School")</f>
        <v>JHMS - Hardeeville Junior Senior High School</v>
      </c>
      <c r="M4803" s="6" t="str">
        <f>IFERROR(__xludf.DUMMYFUNCTION("""COMPUTED_VALUE"""),"")</f>
        <v/>
      </c>
      <c r="N4803" s="6" t="str">
        <f>IFERROR(__xludf.DUMMYFUNCTION("""COMPUTED_VALUE"""),"")</f>
        <v/>
      </c>
      <c r="O4803" s="87" t="str">
        <f>IFERROR(__xludf.DUMMYFUNCTION("""COMPUTED_VALUE"""),"https://drive.google.com/drive/folders/10T2cTQHqEJZqE-st6uFKPoI?usp=share_link")</f>
        <v>https://drive.google.com/drive/folders/10T2cTQHqEJZqE-st6uFKPoI?usp=share_link</v>
      </c>
      <c r="P4803" s="6" t="str">
        <f>IFERROR(__xludf.DUMMYFUNCTION("""COMPUTED_VALUE"""),"Tobias McKellar-Hollis")</f>
        <v>Tobias McKellar-Hollis</v>
      </c>
      <c r="Q4803" s="6" t="str">
        <f>IFERROR(__xludf.DUMMYFUNCTION("""COMPUTED_VALUE"""),"MS")</f>
        <v>MS</v>
      </c>
      <c r="R4803" s="6">
        <f>IFERROR(__xludf.DUMMYFUNCTION("""COMPUTED_VALUE"""),0.0)</f>
        <v>0</v>
      </c>
      <c r="S4803" s="6" t="str">
        <f>IFERROR(__xludf.DUMMYFUNCTION("""COMPUTED_VALUE"""),"Kimberly Ball")</f>
        <v>Kimberly Ball</v>
      </c>
      <c r="T4803" s="6" t="str">
        <f>IFERROR(__xludf.DUMMYFUNCTION("""COMPUTED_VALUE"""),"kimberly.ball@studient.com")</f>
        <v>kimberly.ball@studient.com</v>
      </c>
      <c r="U4803" s="6" t="str">
        <f>IFERROR(__xludf.DUMMYFUNCTION("""COMPUTED_VALUE"""),"6")</f>
        <v>6</v>
      </c>
      <c r="V4803" s="6" t="str">
        <f>IFERROR(__xludf.DUMMYFUNCTION("""COMPUTED_VALUE"""),"")</f>
        <v/>
      </c>
      <c r="W4803" s="6" t="str">
        <f>IFERROR(__xludf.DUMMYFUNCTION("""COMPUTED_VALUE"""),"[]")</f>
        <v>[]</v>
      </c>
      <c r="X4803" s="6" t="str">
        <f>IFERROR(__xludf.DUMMYFUNCTION("""COMPUTED_VALUE"""),"Enrolled")</f>
        <v>Enrolled</v>
      </c>
    </row>
    <row r="4804">
      <c r="A4804" s="6" t="str">
        <f>IFERROR(__xludf.DUMMYFUNCTION("""COMPUTED_VALUE"""),"084-13166")</f>
        <v>084-13166</v>
      </c>
      <c r="B4804" s="6" t="str">
        <f>IFERROR(__xludf.DUMMYFUNCTION("""COMPUTED_VALUE"""),"84")</f>
        <v>84</v>
      </c>
      <c r="C4804" s="6" t="str">
        <f>IFERROR(__xludf.DUMMYFUNCTION("""COMPUTED_VALUE"""),"13166")</f>
        <v>13166</v>
      </c>
      <c r="D4804" s="6" t="str">
        <f>IFERROR(__xludf.DUMMYFUNCTION("""COMPUTED_VALUE"""),"Evany")</f>
        <v>Evany</v>
      </c>
      <c r="E4804" s="6" t="str">
        <f>IFERROR(__xludf.DUMMYFUNCTION("""COMPUTED_VALUE"""),"")</f>
        <v/>
      </c>
      <c r="F4804" s="6" t="str">
        <f>IFERROR(__xludf.DUMMYFUNCTION("""COMPUTED_VALUE"""),"Mendoza-Maldonado")</f>
        <v>Mendoza-Maldonado</v>
      </c>
      <c r="G4804" s="6" t="str">
        <f>IFERROR(__xludf.DUMMYFUNCTION("""COMPUTED_VALUE"""),"07/12/2013")</f>
        <v>07/12/2013</v>
      </c>
      <c r="H4804" s="6" t="str">
        <f>IFERROR(__xludf.DUMMYFUNCTION("""COMPUTED_VALUE"""),"male")</f>
        <v>male</v>
      </c>
      <c r="I4804" s="6" t="str">
        <f>IFERROR(__xludf.DUMMYFUNCTION("""COMPUTED_VALUE"""),"Middle School")</f>
        <v>Middle School</v>
      </c>
      <c r="J4804" s="6" t="str">
        <f>IFERROR(__xludf.DUMMYFUNCTION("""COMPUTED_VALUE"""),"6")</f>
        <v>6</v>
      </c>
      <c r="K4804" s="6" t="str">
        <f>IFERROR(__xludf.DUMMYFUNCTION("""COMPUTED_VALUE"""),"evany.mendoza-maldonado@2hourlearning.com")</f>
        <v>evany.mendoza-maldonado@2hourlearning.com</v>
      </c>
      <c r="L4804" s="6" t="str">
        <f>IFERROR(__xludf.DUMMYFUNCTION("""COMPUTED_VALUE"""),"JHMS - Hardeeville Junior Senior High School")</f>
        <v>JHMS - Hardeeville Junior Senior High School</v>
      </c>
      <c r="M4804" s="6" t="str">
        <f>IFERROR(__xludf.DUMMYFUNCTION("""COMPUTED_VALUE"""),"")</f>
        <v/>
      </c>
      <c r="N4804" s="6" t="str">
        <f>IFERROR(__xludf.DUMMYFUNCTION("""COMPUTED_VALUE"""),"")</f>
        <v/>
      </c>
      <c r="O4804" s="87" t="str">
        <f>IFERROR(__xludf.DUMMYFUNCTION("""COMPUTED_VALUE"""),"https://drive.google.com/drive/folders/10T2cTQHqEJZqE-st6uFKPoI?usp=share_link")</f>
        <v>https://drive.google.com/drive/folders/10T2cTQHqEJZqE-st6uFKPoI?usp=share_link</v>
      </c>
      <c r="P4804" s="6" t="str">
        <f>IFERROR(__xludf.DUMMYFUNCTION("""COMPUTED_VALUE"""),"Evany Mendoza-Maldonado")</f>
        <v>Evany Mendoza-Maldonado</v>
      </c>
      <c r="Q4804" s="6" t="str">
        <f>IFERROR(__xludf.DUMMYFUNCTION("""COMPUTED_VALUE"""),"MS")</f>
        <v>MS</v>
      </c>
      <c r="R4804" s="6">
        <f>IFERROR(__xludf.DUMMYFUNCTION("""COMPUTED_VALUE"""),0.0)</f>
        <v>0</v>
      </c>
      <c r="S4804" s="6" t="str">
        <f>IFERROR(__xludf.DUMMYFUNCTION("""COMPUTED_VALUE"""),"Kimberly Ball")</f>
        <v>Kimberly Ball</v>
      </c>
      <c r="T4804" s="6" t="str">
        <f>IFERROR(__xludf.DUMMYFUNCTION("""COMPUTED_VALUE"""),"kimberly.ball@studient.com")</f>
        <v>kimberly.ball@studient.com</v>
      </c>
      <c r="U4804" s="6" t="str">
        <f>IFERROR(__xludf.DUMMYFUNCTION("""COMPUTED_VALUE"""),"6")</f>
        <v>6</v>
      </c>
      <c r="V4804" s="6" t="str">
        <f>IFERROR(__xludf.DUMMYFUNCTION("""COMPUTED_VALUE"""),"")</f>
        <v/>
      </c>
      <c r="W4804" s="6" t="str">
        <f>IFERROR(__xludf.DUMMYFUNCTION("""COMPUTED_VALUE"""),"[]")</f>
        <v>[]</v>
      </c>
      <c r="X4804" s="6" t="str">
        <f>IFERROR(__xludf.DUMMYFUNCTION("""COMPUTED_VALUE"""),"Enrolled")</f>
        <v>Enrolled</v>
      </c>
    </row>
    <row r="4805">
      <c r="A4805" s="6" t="str">
        <f>IFERROR(__xludf.DUMMYFUNCTION("""COMPUTED_VALUE"""),"084-13167")</f>
        <v>084-13167</v>
      </c>
      <c r="B4805" s="6" t="str">
        <f>IFERROR(__xludf.DUMMYFUNCTION("""COMPUTED_VALUE"""),"84")</f>
        <v>84</v>
      </c>
      <c r="C4805" s="6" t="str">
        <f>IFERROR(__xludf.DUMMYFUNCTION("""COMPUTED_VALUE"""),"13167")</f>
        <v>13167</v>
      </c>
      <c r="D4805" s="6" t="str">
        <f>IFERROR(__xludf.DUMMYFUNCTION("""COMPUTED_VALUE"""),"Rhenaldo N")</f>
        <v>Rhenaldo N</v>
      </c>
      <c r="E4805" s="6" t="str">
        <f>IFERROR(__xludf.DUMMYFUNCTION("""COMPUTED_VALUE"""),"")</f>
        <v/>
      </c>
      <c r="F4805" s="6" t="str">
        <f>IFERROR(__xludf.DUMMYFUNCTION("""COMPUTED_VALUE"""),"Miller")</f>
        <v>Miller</v>
      </c>
      <c r="G4805" s="6" t="str">
        <f>IFERROR(__xludf.DUMMYFUNCTION("""COMPUTED_VALUE"""),"04/25/2014")</f>
        <v>04/25/2014</v>
      </c>
      <c r="H4805" s="6" t="str">
        <f>IFERROR(__xludf.DUMMYFUNCTION("""COMPUTED_VALUE"""),"female")</f>
        <v>female</v>
      </c>
      <c r="I4805" s="6" t="str">
        <f>IFERROR(__xludf.DUMMYFUNCTION("""COMPUTED_VALUE"""),"Middle School")</f>
        <v>Middle School</v>
      </c>
      <c r="J4805" s="6" t="str">
        <f>IFERROR(__xludf.DUMMYFUNCTION("""COMPUTED_VALUE"""),"6")</f>
        <v>6</v>
      </c>
      <c r="K4805" s="6" t="str">
        <f>IFERROR(__xludf.DUMMYFUNCTION("""COMPUTED_VALUE"""),"rhenaldon.miller@2hourlearning.com")</f>
        <v>rhenaldon.miller@2hourlearning.com</v>
      </c>
      <c r="L4805" s="6" t="str">
        <f>IFERROR(__xludf.DUMMYFUNCTION("""COMPUTED_VALUE"""),"JHMS - Hardeeville Junior Senior High School")</f>
        <v>JHMS - Hardeeville Junior Senior High School</v>
      </c>
      <c r="M4805" s="6" t="str">
        <f>IFERROR(__xludf.DUMMYFUNCTION("""COMPUTED_VALUE"""),"")</f>
        <v/>
      </c>
      <c r="N4805" s="6" t="str">
        <f>IFERROR(__xludf.DUMMYFUNCTION("""COMPUTED_VALUE"""),"")</f>
        <v/>
      </c>
      <c r="O4805" s="87" t="str">
        <f>IFERROR(__xludf.DUMMYFUNCTION("""COMPUTED_VALUE"""),"https://drive.google.com/drive/folders/10T2cTQHqEJZqE-st6uFKPoI?usp=share_link")</f>
        <v>https://drive.google.com/drive/folders/10T2cTQHqEJZqE-st6uFKPoI?usp=share_link</v>
      </c>
      <c r="P4805" s="6" t="str">
        <f>IFERROR(__xludf.DUMMYFUNCTION("""COMPUTED_VALUE"""),"Rhenaldo N Miller")</f>
        <v>Rhenaldo N Miller</v>
      </c>
      <c r="Q4805" s="6" t="str">
        <f>IFERROR(__xludf.DUMMYFUNCTION("""COMPUTED_VALUE"""),"MS")</f>
        <v>MS</v>
      </c>
      <c r="R4805" s="6">
        <f>IFERROR(__xludf.DUMMYFUNCTION("""COMPUTED_VALUE"""),0.0)</f>
        <v>0</v>
      </c>
      <c r="S4805" s="6" t="str">
        <f>IFERROR(__xludf.DUMMYFUNCTION("""COMPUTED_VALUE"""),"Kimberly Ball")</f>
        <v>Kimberly Ball</v>
      </c>
      <c r="T4805" s="6" t="str">
        <f>IFERROR(__xludf.DUMMYFUNCTION("""COMPUTED_VALUE"""),"kimberly.ball@studient.com")</f>
        <v>kimberly.ball@studient.com</v>
      </c>
      <c r="U4805" s="6" t="str">
        <f>IFERROR(__xludf.DUMMYFUNCTION("""COMPUTED_VALUE"""),"6")</f>
        <v>6</v>
      </c>
      <c r="V4805" s="6" t="str">
        <f>IFERROR(__xludf.DUMMYFUNCTION("""COMPUTED_VALUE"""),"")</f>
        <v/>
      </c>
      <c r="W4805" s="6" t="str">
        <f>IFERROR(__xludf.DUMMYFUNCTION("""COMPUTED_VALUE"""),"[]")</f>
        <v>[]</v>
      </c>
      <c r="X4805" s="6" t="str">
        <f>IFERROR(__xludf.DUMMYFUNCTION("""COMPUTED_VALUE"""),"Enrolled")</f>
        <v>Enrolled</v>
      </c>
    </row>
    <row r="4806">
      <c r="A4806" s="6" t="str">
        <f>IFERROR(__xludf.DUMMYFUNCTION("""COMPUTED_VALUE"""),"084-13168")</f>
        <v>084-13168</v>
      </c>
      <c r="B4806" s="6" t="str">
        <f>IFERROR(__xludf.DUMMYFUNCTION("""COMPUTED_VALUE"""),"84")</f>
        <v>84</v>
      </c>
      <c r="C4806" s="6" t="str">
        <f>IFERROR(__xludf.DUMMYFUNCTION("""COMPUTED_VALUE"""),"13168")</f>
        <v>13168</v>
      </c>
      <c r="D4806" s="6" t="str">
        <f>IFERROR(__xludf.DUMMYFUNCTION("""COMPUTED_VALUE"""),"Cameron")</f>
        <v>Cameron</v>
      </c>
      <c r="E4806" s="6" t="str">
        <f>IFERROR(__xludf.DUMMYFUNCTION("""COMPUTED_VALUE"""),"")</f>
        <v/>
      </c>
      <c r="F4806" s="6" t="str">
        <f>IFERROR(__xludf.DUMMYFUNCTION("""COMPUTED_VALUE"""),"Mincey")</f>
        <v>Mincey</v>
      </c>
      <c r="G4806" s="6" t="str">
        <f>IFERROR(__xludf.DUMMYFUNCTION("""COMPUTED_VALUE"""),"11/26/2013")</f>
        <v>11/26/2013</v>
      </c>
      <c r="H4806" s="6" t="str">
        <f>IFERROR(__xludf.DUMMYFUNCTION("""COMPUTED_VALUE"""),"male")</f>
        <v>male</v>
      </c>
      <c r="I4806" s="6" t="str">
        <f>IFERROR(__xludf.DUMMYFUNCTION("""COMPUTED_VALUE"""),"Middle School")</f>
        <v>Middle School</v>
      </c>
      <c r="J4806" s="6" t="str">
        <f>IFERROR(__xludf.DUMMYFUNCTION("""COMPUTED_VALUE"""),"6")</f>
        <v>6</v>
      </c>
      <c r="K4806" s="6" t="str">
        <f>IFERROR(__xludf.DUMMYFUNCTION("""COMPUTED_VALUE"""),"cameron.mincey@2hourlearning.com")</f>
        <v>cameron.mincey@2hourlearning.com</v>
      </c>
      <c r="L4806" s="6" t="str">
        <f>IFERROR(__xludf.DUMMYFUNCTION("""COMPUTED_VALUE"""),"JHMS - Hardeeville Junior Senior High School")</f>
        <v>JHMS - Hardeeville Junior Senior High School</v>
      </c>
      <c r="M4806" s="6" t="str">
        <f>IFERROR(__xludf.DUMMYFUNCTION("""COMPUTED_VALUE"""),"")</f>
        <v/>
      </c>
      <c r="N4806" s="6" t="str">
        <f>IFERROR(__xludf.DUMMYFUNCTION("""COMPUTED_VALUE"""),"")</f>
        <v/>
      </c>
      <c r="O4806" s="87" t="str">
        <f>IFERROR(__xludf.DUMMYFUNCTION("""COMPUTED_VALUE"""),"https://drive.google.com/drive/folders/10T2cTQHqEJZqE-st6uFKPoI?usp=share_link")</f>
        <v>https://drive.google.com/drive/folders/10T2cTQHqEJZqE-st6uFKPoI?usp=share_link</v>
      </c>
      <c r="P4806" s="6" t="str">
        <f>IFERROR(__xludf.DUMMYFUNCTION("""COMPUTED_VALUE"""),"Cameron Mincey")</f>
        <v>Cameron Mincey</v>
      </c>
      <c r="Q4806" s="6" t="str">
        <f>IFERROR(__xludf.DUMMYFUNCTION("""COMPUTED_VALUE"""),"MS")</f>
        <v>MS</v>
      </c>
      <c r="R4806" s="6">
        <f>IFERROR(__xludf.DUMMYFUNCTION("""COMPUTED_VALUE"""),0.0)</f>
        <v>0</v>
      </c>
      <c r="S4806" s="6" t="str">
        <f>IFERROR(__xludf.DUMMYFUNCTION("""COMPUTED_VALUE"""),"Kimberly Ball")</f>
        <v>Kimberly Ball</v>
      </c>
      <c r="T4806" s="6" t="str">
        <f>IFERROR(__xludf.DUMMYFUNCTION("""COMPUTED_VALUE"""),"kimberly.ball@studient.com")</f>
        <v>kimberly.ball@studient.com</v>
      </c>
      <c r="U4806" s="6" t="str">
        <f>IFERROR(__xludf.DUMMYFUNCTION("""COMPUTED_VALUE"""),"6")</f>
        <v>6</v>
      </c>
      <c r="V4806" s="6" t="str">
        <f>IFERROR(__xludf.DUMMYFUNCTION("""COMPUTED_VALUE"""),"")</f>
        <v/>
      </c>
      <c r="W4806" s="6" t="str">
        <f>IFERROR(__xludf.DUMMYFUNCTION("""COMPUTED_VALUE"""),"[]")</f>
        <v>[]</v>
      </c>
      <c r="X4806" s="6" t="str">
        <f>IFERROR(__xludf.DUMMYFUNCTION("""COMPUTED_VALUE"""),"Enrolled")</f>
        <v>Enrolled</v>
      </c>
    </row>
    <row r="4807">
      <c r="A4807" s="6" t="str">
        <f>IFERROR(__xludf.DUMMYFUNCTION("""COMPUTED_VALUE"""),"084-13169")</f>
        <v>084-13169</v>
      </c>
      <c r="B4807" s="6" t="str">
        <f>IFERROR(__xludf.DUMMYFUNCTION("""COMPUTED_VALUE"""),"84")</f>
        <v>84</v>
      </c>
      <c r="C4807" s="6" t="str">
        <f>IFERROR(__xludf.DUMMYFUNCTION("""COMPUTED_VALUE"""),"13169")</f>
        <v>13169</v>
      </c>
      <c r="D4807" s="6" t="str">
        <f>IFERROR(__xludf.DUMMYFUNCTION("""COMPUTED_VALUE"""),"Axel")</f>
        <v>Axel</v>
      </c>
      <c r="E4807" s="6" t="str">
        <f>IFERROR(__xludf.DUMMYFUNCTION("""COMPUTED_VALUE"""),"")</f>
        <v/>
      </c>
      <c r="F4807" s="6" t="str">
        <f>IFERROR(__xludf.DUMMYFUNCTION("""COMPUTED_VALUE"""),"Miranda Gonzalez")</f>
        <v>Miranda Gonzalez</v>
      </c>
      <c r="G4807" s="6" t="str">
        <f>IFERROR(__xludf.DUMMYFUNCTION("""COMPUTED_VALUE"""),"01/12/2014")</f>
        <v>01/12/2014</v>
      </c>
      <c r="H4807" s="6" t="str">
        <f>IFERROR(__xludf.DUMMYFUNCTION("""COMPUTED_VALUE"""),"male")</f>
        <v>male</v>
      </c>
      <c r="I4807" s="6" t="str">
        <f>IFERROR(__xludf.DUMMYFUNCTION("""COMPUTED_VALUE"""),"Middle School")</f>
        <v>Middle School</v>
      </c>
      <c r="J4807" s="6" t="str">
        <f>IFERROR(__xludf.DUMMYFUNCTION("""COMPUTED_VALUE"""),"6")</f>
        <v>6</v>
      </c>
      <c r="K4807" s="6" t="str">
        <f>IFERROR(__xludf.DUMMYFUNCTION("""COMPUTED_VALUE"""),"axel.mirandagonzalez@2hourlearning.com")</f>
        <v>axel.mirandagonzalez@2hourlearning.com</v>
      </c>
      <c r="L4807" s="6" t="str">
        <f>IFERROR(__xludf.DUMMYFUNCTION("""COMPUTED_VALUE"""),"JHMS - Hardeeville Junior Senior High School")</f>
        <v>JHMS - Hardeeville Junior Senior High School</v>
      </c>
      <c r="M4807" s="6" t="str">
        <f>IFERROR(__xludf.DUMMYFUNCTION("""COMPUTED_VALUE"""),"")</f>
        <v/>
      </c>
      <c r="N4807" s="6" t="str">
        <f>IFERROR(__xludf.DUMMYFUNCTION("""COMPUTED_VALUE"""),"")</f>
        <v/>
      </c>
      <c r="O4807" s="87" t="str">
        <f>IFERROR(__xludf.DUMMYFUNCTION("""COMPUTED_VALUE"""),"https://drive.google.com/drive/folders/10T2cTQHqEJZqE-st6uFKPoI?usp=share_link")</f>
        <v>https://drive.google.com/drive/folders/10T2cTQHqEJZqE-st6uFKPoI?usp=share_link</v>
      </c>
      <c r="P4807" s="6" t="str">
        <f>IFERROR(__xludf.DUMMYFUNCTION("""COMPUTED_VALUE"""),"Axel Miranda Gonzalez")</f>
        <v>Axel Miranda Gonzalez</v>
      </c>
      <c r="Q4807" s="6" t="str">
        <f>IFERROR(__xludf.DUMMYFUNCTION("""COMPUTED_VALUE"""),"MS")</f>
        <v>MS</v>
      </c>
      <c r="R4807" s="6">
        <f>IFERROR(__xludf.DUMMYFUNCTION("""COMPUTED_VALUE"""),0.0)</f>
        <v>0</v>
      </c>
      <c r="S4807" s="6" t="str">
        <f>IFERROR(__xludf.DUMMYFUNCTION("""COMPUTED_VALUE"""),"Kimberly Ball")</f>
        <v>Kimberly Ball</v>
      </c>
      <c r="T4807" s="6" t="str">
        <f>IFERROR(__xludf.DUMMYFUNCTION("""COMPUTED_VALUE"""),"kimberly.ball@studient.com")</f>
        <v>kimberly.ball@studient.com</v>
      </c>
      <c r="U4807" s="6" t="str">
        <f>IFERROR(__xludf.DUMMYFUNCTION("""COMPUTED_VALUE"""),"6")</f>
        <v>6</v>
      </c>
      <c r="V4807" s="6" t="str">
        <f>IFERROR(__xludf.DUMMYFUNCTION("""COMPUTED_VALUE"""),"")</f>
        <v/>
      </c>
      <c r="W4807" s="6" t="str">
        <f>IFERROR(__xludf.DUMMYFUNCTION("""COMPUTED_VALUE"""),"[]")</f>
        <v>[]</v>
      </c>
      <c r="X4807" s="6" t="str">
        <f>IFERROR(__xludf.DUMMYFUNCTION("""COMPUTED_VALUE"""),"Enrolled")</f>
        <v>Enrolled</v>
      </c>
    </row>
    <row r="4808">
      <c r="A4808" s="6" t="str">
        <f>IFERROR(__xludf.DUMMYFUNCTION("""COMPUTED_VALUE"""),"084-13170")</f>
        <v>084-13170</v>
      </c>
      <c r="B4808" s="6" t="str">
        <f>IFERROR(__xludf.DUMMYFUNCTION("""COMPUTED_VALUE"""),"84")</f>
        <v>84</v>
      </c>
      <c r="C4808" s="6" t="str">
        <f>IFERROR(__xludf.DUMMYFUNCTION("""COMPUTED_VALUE"""),"13170")</f>
        <v>13170</v>
      </c>
      <c r="D4808" s="6" t="str">
        <f>IFERROR(__xludf.DUMMYFUNCTION("""COMPUTED_VALUE"""),"Nadia")</f>
        <v>Nadia</v>
      </c>
      <c r="E4808" s="6" t="str">
        <f>IFERROR(__xludf.DUMMYFUNCTION("""COMPUTED_VALUE"""),"")</f>
        <v/>
      </c>
      <c r="F4808" s="6" t="str">
        <f>IFERROR(__xludf.DUMMYFUNCTION("""COMPUTED_VALUE"""),"Morales-Angel")</f>
        <v>Morales-Angel</v>
      </c>
      <c r="G4808" s="6" t="str">
        <f>IFERROR(__xludf.DUMMYFUNCTION("""COMPUTED_VALUE"""),"11/30/2012")</f>
        <v>11/30/2012</v>
      </c>
      <c r="H4808" s="6" t="str">
        <f>IFERROR(__xludf.DUMMYFUNCTION("""COMPUTED_VALUE"""),"male")</f>
        <v>male</v>
      </c>
      <c r="I4808" s="6" t="str">
        <f>IFERROR(__xludf.DUMMYFUNCTION("""COMPUTED_VALUE"""),"Middle School")</f>
        <v>Middle School</v>
      </c>
      <c r="J4808" s="6" t="str">
        <f>IFERROR(__xludf.DUMMYFUNCTION("""COMPUTED_VALUE"""),"6")</f>
        <v>6</v>
      </c>
      <c r="K4808" s="6" t="str">
        <f>IFERROR(__xludf.DUMMYFUNCTION("""COMPUTED_VALUE"""),"nadia.morales-angel@2hourlearning.com")</f>
        <v>nadia.morales-angel@2hourlearning.com</v>
      </c>
      <c r="L4808" s="6" t="str">
        <f>IFERROR(__xludf.DUMMYFUNCTION("""COMPUTED_VALUE"""),"JHMS - Hardeeville Junior Senior High School")</f>
        <v>JHMS - Hardeeville Junior Senior High School</v>
      </c>
      <c r="M4808" s="6" t="str">
        <f>IFERROR(__xludf.DUMMYFUNCTION("""COMPUTED_VALUE"""),"")</f>
        <v/>
      </c>
      <c r="N4808" s="6" t="str">
        <f>IFERROR(__xludf.DUMMYFUNCTION("""COMPUTED_VALUE"""),"")</f>
        <v/>
      </c>
      <c r="O4808" s="87" t="str">
        <f>IFERROR(__xludf.DUMMYFUNCTION("""COMPUTED_VALUE"""),"https://drive.google.com/drive/folders/10T2cTQHqEJZqE-st6uFKPoI?usp=share_link")</f>
        <v>https://drive.google.com/drive/folders/10T2cTQHqEJZqE-st6uFKPoI?usp=share_link</v>
      </c>
      <c r="P4808" s="6" t="str">
        <f>IFERROR(__xludf.DUMMYFUNCTION("""COMPUTED_VALUE"""),"Nadia Morales-Angel")</f>
        <v>Nadia Morales-Angel</v>
      </c>
      <c r="Q4808" s="6" t="str">
        <f>IFERROR(__xludf.DUMMYFUNCTION("""COMPUTED_VALUE"""),"MS")</f>
        <v>MS</v>
      </c>
      <c r="R4808" s="6">
        <f>IFERROR(__xludf.DUMMYFUNCTION("""COMPUTED_VALUE"""),0.0)</f>
        <v>0</v>
      </c>
      <c r="S4808" s="6" t="str">
        <f>IFERROR(__xludf.DUMMYFUNCTION("""COMPUTED_VALUE"""),"Kimberly Ball")</f>
        <v>Kimberly Ball</v>
      </c>
      <c r="T4808" s="6" t="str">
        <f>IFERROR(__xludf.DUMMYFUNCTION("""COMPUTED_VALUE"""),"kimberly.ball@studient.com")</f>
        <v>kimberly.ball@studient.com</v>
      </c>
      <c r="U4808" s="6" t="str">
        <f>IFERROR(__xludf.DUMMYFUNCTION("""COMPUTED_VALUE"""),"6")</f>
        <v>6</v>
      </c>
      <c r="V4808" s="6" t="str">
        <f>IFERROR(__xludf.DUMMYFUNCTION("""COMPUTED_VALUE"""),"")</f>
        <v/>
      </c>
      <c r="W4808" s="6" t="str">
        <f>IFERROR(__xludf.DUMMYFUNCTION("""COMPUTED_VALUE"""),"[]")</f>
        <v>[]</v>
      </c>
      <c r="X4808" s="6" t="str">
        <f>IFERROR(__xludf.DUMMYFUNCTION("""COMPUTED_VALUE"""),"Enrolled")</f>
        <v>Enrolled</v>
      </c>
    </row>
    <row r="4809">
      <c r="A4809" s="6" t="str">
        <f>IFERROR(__xludf.DUMMYFUNCTION("""COMPUTED_VALUE"""),"084-13171")</f>
        <v>084-13171</v>
      </c>
      <c r="B4809" s="6" t="str">
        <f>IFERROR(__xludf.DUMMYFUNCTION("""COMPUTED_VALUE"""),"84")</f>
        <v>84</v>
      </c>
      <c r="C4809" s="6" t="str">
        <f>IFERROR(__xludf.DUMMYFUNCTION("""COMPUTED_VALUE"""),"13171")</f>
        <v>13171</v>
      </c>
      <c r="D4809" s="6" t="str">
        <f>IFERROR(__xludf.DUMMYFUNCTION("""COMPUTED_VALUE"""),"Jordan")</f>
        <v>Jordan</v>
      </c>
      <c r="E4809" s="6" t="str">
        <f>IFERROR(__xludf.DUMMYFUNCTION("""COMPUTED_VALUE"""),"")</f>
        <v/>
      </c>
      <c r="F4809" s="6" t="str">
        <f>IFERROR(__xludf.DUMMYFUNCTION("""COMPUTED_VALUE"""),"Morales-Morales")</f>
        <v>Morales-Morales</v>
      </c>
      <c r="G4809" s="6" t="str">
        <f>IFERROR(__xludf.DUMMYFUNCTION("""COMPUTED_VALUE"""),"11/12/2012")</f>
        <v>11/12/2012</v>
      </c>
      <c r="H4809" s="6" t="str">
        <f>IFERROR(__xludf.DUMMYFUNCTION("""COMPUTED_VALUE"""),"female")</f>
        <v>female</v>
      </c>
      <c r="I4809" s="6" t="str">
        <f>IFERROR(__xludf.DUMMYFUNCTION("""COMPUTED_VALUE"""),"Middle School")</f>
        <v>Middle School</v>
      </c>
      <c r="J4809" s="6" t="str">
        <f>IFERROR(__xludf.DUMMYFUNCTION("""COMPUTED_VALUE"""),"6")</f>
        <v>6</v>
      </c>
      <c r="K4809" s="6" t="str">
        <f>IFERROR(__xludf.DUMMYFUNCTION("""COMPUTED_VALUE"""),"jordan.morales-morales@2hourlearning.com")</f>
        <v>jordan.morales-morales@2hourlearning.com</v>
      </c>
      <c r="L4809" s="6" t="str">
        <f>IFERROR(__xludf.DUMMYFUNCTION("""COMPUTED_VALUE"""),"JHMS - Hardeeville Junior Senior High School")</f>
        <v>JHMS - Hardeeville Junior Senior High School</v>
      </c>
      <c r="M4809" s="6" t="str">
        <f>IFERROR(__xludf.DUMMYFUNCTION("""COMPUTED_VALUE"""),"")</f>
        <v/>
      </c>
      <c r="N4809" s="6" t="str">
        <f>IFERROR(__xludf.DUMMYFUNCTION("""COMPUTED_VALUE"""),"")</f>
        <v/>
      </c>
      <c r="O4809" s="87" t="str">
        <f>IFERROR(__xludf.DUMMYFUNCTION("""COMPUTED_VALUE"""),"https://drive.google.com/drive/folders/10T2cTQHqEJZqE-st6uFKPoI?usp=share_link")</f>
        <v>https://drive.google.com/drive/folders/10T2cTQHqEJZqE-st6uFKPoI?usp=share_link</v>
      </c>
      <c r="P4809" s="6" t="str">
        <f>IFERROR(__xludf.DUMMYFUNCTION("""COMPUTED_VALUE"""),"Jordan Morales-Morales")</f>
        <v>Jordan Morales-Morales</v>
      </c>
      <c r="Q4809" s="6" t="str">
        <f>IFERROR(__xludf.DUMMYFUNCTION("""COMPUTED_VALUE"""),"MS")</f>
        <v>MS</v>
      </c>
      <c r="R4809" s="6">
        <f>IFERROR(__xludf.DUMMYFUNCTION("""COMPUTED_VALUE"""),0.0)</f>
        <v>0</v>
      </c>
      <c r="S4809" s="6" t="str">
        <f>IFERROR(__xludf.DUMMYFUNCTION("""COMPUTED_VALUE"""),"Kimberly Ball")</f>
        <v>Kimberly Ball</v>
      </c>
      <c r="T4809" s="6" t="str">
        <f>IFERROR(__xludf.DUMMYFUNCTION("""COMPUTED_VALUE"""),"kimberly.ball@studient.com")</f>
        <v>kimberly.ball@studient.com</v>
      </c>
      <c r="U4809" s="6" t="str">
        <f>IFERROR(__xludf.DUMMYFUNCTION("""COMPUTED_VALUE"""),"6")</f>
        <v>6</v>
      </c>
      <c r="V4809" s="6" t="str">
        <f>IFERROR(__xludf.DUMMYFUNCTION("""COMPUTED_VALUE"""),"")</f>
        <v/>
      </c>
      <c r="W4809" s="6" t="str">
        <f>IFERROR(__xludf.DUMMYFUNCTION("""COMPUTED_VALUE"""),"[]")</f>
        <v>[]</v>
      </c>
      <c r="X4809" s="6" t="str">
        <f>IFERROR(__xludf.DUMMYFUNCTION("""COMPUTED_VALUE"""),"Enrolled")</f>
        <v>Enrolled</v>
      </c>
    </row>
    <row r="4810">
      <c r="A4810" s="6" t="str">
        <f>IFERROR(__xludf.DUMMYFUNCTION("""COMPUTED_VALUE"""),"084-13172")</f>
        <v>084-13172</v>
      </c>
      <c r="B4810" s="6" t="str">
        <f>IFERROR(__xludf.DUMMYFUNCTION("""COMPUTED_VALUE"""),"84")</f>
        <v>84</v>
      </c>
      <c r="C4810" s="6" t="str">
        <f>IFERROR(__xludf.DUMMYFUNCTION("""COMPUTED_VALUE"""),"13172")</f>
        <v>13172</v>
      </c>
      <c r="D4810" s="6" t="str">
        <f>IFERROR(__xludf.DUMMYFUNCTION("""COMPUTED_VALUE"""),"Alex")</f>
        <v>Alex</v>
      </c>
      <c r="E4810" s="6" t="str">
        <f>IFERROR(__xludf.DUMMYFUNCTION("""COMPUTED_VALUE"""),"")</f>
        <v/>
      </c>
      <c r="F4810" s="6" t="str">
        <f>IFERROR(__xludf.DUMMYFUNCTION("""COMPUTED_VALUE"""),"Moreno Tinoco")</f>
        <v>Moreno Tinoco</v>
      </c>
      <c r="G4810" s="6" t="str">
        <f>IFERROR(__xludf.DUMMYFUNCTION("""COMPUTED_VALUE"""),"06/26/2014")</f>
        <v>06/26/2014</v>
      </c>
      <c r="H4810" s="6" t="str">
        <f>IFERROR(__xludf.DUMMYFUNCTION("""COMPUTED_VALUE"""),"female")</f>
        <v>female</v>
      </c>
      <c r="I4810" s="6" t="str">
        <f>IFERROR(__xludf.DUMMYFUNCTION("""COMPUTED_VALUE"""),"Middle School")</f>
        <v>Middle School</v>
      </c>
      <c r="J4810" s="6" t="str">
        <f>IFERROR(__xludf.DUMMYFUNCTION("""COMPUTED_VALUE"""),"6")</f>
        <v>6</v>
      </c>
      <c r="K4810" s="6" t="str">
        <f>IFERROR(__xludf.DUMMYFUNCTION("""COMPUTED_VALUE"""),"alex.morenotinoco@2hourlearning.com")</f>
        <v>alex.morenotinoco@2hourlearning.com</v>
      </c>
      <c r="L4810" s="6" t="str">
        <f>IFERROR(__xludf.DUMMYFUNCTION("""COMPUTED_VALUE"""),"JHMS - Hardeeville Junior Senior High School")</f>
        <v>JHMS - Hardeeville Junior Senior High School</v>
      </c>
      <c r="M4810" s="6" t="str">
        <f>IFERROR(__xludf.DUMMYFUNCTION("""COMPUTED_VALUE"""),"")</f>
        <v/>
      </c>
      <c r="N4810" s="6" t="str">
        <f>IFERROR(__xludf.DUMMYFUNCTION("""COMPUTED_VALUE"""),"")</f>
        <v/>
      </c>
      <c r="O4810" s="87" t="str">
        <f>IFERROR(__xludf.DUMMYFUNCTION("""COMPUTED_VALUE"""),"https://drive.google.com/drive/folders/10T2cTQHqEJZqE-st6uFKPoI?usp=share_link")</f>
        <v>https://drive.google.com/drive/folders/10T2cTQHqEJZqE-st6uFKPoI?usp=share_link</v>
      </c>
      <c r="P4810" s="6" t="str">
        <f>IFERROR(__xludf.DUMMYFUNCTION("""COMPUTED_VALUE"""),"Alex Moreno Tinoco")</f>
        <v>Alex Moreno Tinoco</v>
      </c>
      <c r="Q4810" s="6" t="str">
        <f>IFERROR(__xludf.DUMMYFUNCTION("""COMPUTED_VALUE"""),"MS")</f>
        <v>MS</v>
      </c>
      <c r="R4810" s="6">
        <f>IFERROR(__xludf.DUMMYFUNCTION("""COMPUTED_VALUE"""),0.0)</f>
        <v>0</v>
      </c>
      <c r="S4810" s="6" t="str">
        <f>IFERROR(__xludf.DUMMYFUNCTION("""COMPUTED_VALUE"""),"Kimberly Ball")</f>
        <v>Kimberly Ball</v>
      </c>
      <c r="T4810" s="6" t="str">
        <f>IFERROR(__xludf.DUMMYFUNCTION("""COMPUTED_VALUE"""),"kimberly.ball@studient.com")</f>
        <v>kimberly.ball@studient.com</v>
      </c>
      <c r="U4810" s="6" t="str">
        <f>IFERROR(__xludf.DUMMYFUNCTION("""COMPUTED_VALUE"""),"6")</f>
        <v>6</v>
      </c>
      <c r="V4810" s="6" t="str">
        <f>IFERROR(__xludf.DUMMYFUNCTION("""COMPUTED_VALUE"""),"")</f>
        <v/>
      </c>
      <c r="W4810" s="6" t="str">
        <f>IFERROR(__xludf.DUMMYFUNCTION("""COMPUTED_VALUE"""),"[]")</f>
        <v>[]</v>
      </c>
      <c r="X4810" s="6" t="str">
        <f>IFERROR(__xludf.DUMMYFUNCTION("""COMPUTED_VALUE"""),"Enrolled")</f>
        <v>Enrolled</v>
      </c>
    </row>
    <row r="4811">
      <c r="A4811" s="6" t="str">
        <f>IFERROR(__xludf.DUMMYFUNCTION("""COMPUTED_VALUE"""),"084-13173")</f>
        <v>084-13173</v>
      </c>
      <c r="B4811" s="6" t="str">
        <f>IFERROR(__xludf.DUMMYFUNCTION("""COMPUTED_VALUE"""),"84")</f>
        <v>84</v>
      </c>
      <c r="C4811" s="6" t="str">
        <f>IFERROR(__xludf.DUMMYFUNCTION("""COMPUTED_VALUE"""),"13173")</f>
        <v>13173</v>
      </c>
      <c r="D4811" s="6" t="str">
        <f>IFERROR(__xludf.DUMMYFUNCTION("""COMPUTED_VALUE"""),"Eduard")</f>
        <v>Eduard</v>
      </c>
      <c r="E4811" s="6" t="str">
        <f>IFERROR(__xludf.DUMMYFUNCTION("""COMPUTED_VALUE"""),"")</f>
        <v/>
      </c>
      <c r="F4811" s="6" t="str">
        <f>IFERROR(__xludf.DUMMYFUNCTION("""COMPUTED_VALUE"""),"Munoz Maldonado")</f>
        <v>Munoz Maldonado</v>
      </c>
      <c r="G4811" s="6" t="str">
        <f>IFERROR(__xludf.DUMMYFUNCTION("""COMPUTED_VALUE"""),"08/29/2014")</f>
        <v>08/29/2014</v>
      </c>
      <c r="H4811" s="6" t="str">
        <f>IFERROR(__xludf.DUMMYFUNCTION("""COMPUTED_VALUE"""),"male")</f>
        <v>male</v>
      </c>
      <c r="I4811" s="6" t="str">
        <f>IFERROR(__xludf.DUMMYFUNCTION("""COMPUTED_VALUE"""),"Middle School")</f>
        <v>Middle School</v>
      </c>
      <c r="J4811" s="6" t="str">
        <f>IFERROR(__xludf.DUMMYFUNCTION("""COMPUTED_VALUE"""),"6")</f>
        <v>6</v>
      </c>
      <c r="K4811" s="6" t="str">
        <f>IFERROR(__xludf.DUMMYFUNCTION("""COMPUTED_VALUE"""),"eduard.munozmaldonado@2hourlearning.com")</f>
        <v>eduard.munozmaldonado@2hourlearning.com</v>
      </c>
      <c r="L4811" s="6" t="str">
        <f>IFERROR(__xludf.DUMMYFUNCTION("""COMPUTED_VALUE"""),"JHMS - Hardeeville Junior Senior High School")</f>
        <v>JHMS - Hardeeville Junior Senior High School</v>
      </c>
      <c r="M4811" s="6" t="str">
        <f>IFERROR(__xludf.DUMMYFUNCTION("""COMPUTED_VALUE"""),"")</f>
        <v/>
      </c>
      <c r="N4811" s="6" t="str">
        <f>IFERROR(__xludf.DUMMYFUNCTION("""COMPUTED_VALUE"""),"")</f>
        <v/>
      </c>
      <c r="O4811" s="87" t="str">
        <f>IFERROR(__xludf.DUMMYFUNCTION("""COMPUTED_VALUE"""),"https://drive.google.com/drive/folders/10T2cTQHqEJZqE-st6uFKPoI?usp=share_link")</f>
        <v>https://drive.google.com/drive/folders/10T2cTQHqEJZqE-st6uFKPoI?usp=share_link</v>
      </c>
      <c r="P4811" s="6" t="str">
        <f>IFERROR(__xludf.DUMMYFUNCTION("""COMPUTED_VALUE"""),"Eduard Munoz Maldonado")</f>
        <v>Eduard Munoz Maldonado</v>
      </c>
      <c r="Q4811" s="6" t="str">
        <f>IFERROR(__xludf.DUMMYFUNCTION("""COMPUTED_VALUE"""),"MS")</f>
        <v>MS</v>
      </c>
      <c r="R4811" s="6">
        <f>IFERROR(__xludf.DUMMYFUNCTION("""COMPUTED_VALUE"""),0.0)</f>
        <v>0</v>
      </c>
      <c r="S4811" s="6" t="str">
        <f>IFERROR(__xludf.DUMMYFUNCTION("""COMPUTED_VALUE"""),"Kimberly Ball")</f>
        <v>Kimberly Ball</v>
      </c>
      <c r="T4811" s="6" t="str">
        <f>IFERROR(__xludf.DUMMYFUNCTION("""COMPUTED_VALUE"""),"kimberly.ball@studient.com")</f>
        <v>kimberly.ball@studient.com</v>
      </c>
      <c r="U4811" s="6" t="str">
        <f>IFERROR(__xludf.DUMMYFUNCTION("""COMPUTED_VALUE"""),"6")</f>
        <v>6</v>
      </c>
      <c r="V4811" s="6" t="str">
        <f>IFERROR(__xludf.DUMMYFUNCTION("""COMPUTED_VALUE"""),"")</f>
        <v/>
      </c>
      <c r="W4811" s="6" t="str">
        <f>IFERROR(__xludf.DUMMYFUNCTION("""COMPUTED_VALUE"""),"[]")</f>
        <v>[]</v>
      </c>
      <c r="X4811" s="6" t="str">
        <f>IFERROR(__xludf.DUMMYFUNCTION("""COMPUTED_VALUE"""),"Enrolled")</f>
        <v>Enrolled</v>
      </c>
    </row>
    <row r="4812">
      <c r="A4812" s="6" t="str">
        <f>IFERROR(__xludf.DUMMYFUNCTION("""COMPUTED_VALUE"""),"084-13174")</f>
        <v>084-13174</v>
      </c>
      <c r="B4812" s="6" t="str">
        <f>IFERROR(__xludf.DUMMYFUNCTION("""COMPUTED_VALUE"""),"84")</f>
        <v>84</v>
      </c>
      <c r="C4812" s="6" t="str">
        <f>IFERROR(__xludf.DUMMYFUNCTION("""COMPUTED_VALUE"""),"13174")</f>
        <v>13174</v>
      </c>
      <c r="D4812" s="6" t="str">
        <f>IFERROR(__xludf.DUMMYFUNCTION("""COMPUTED_VALUE"""),"Keily")</f>
        <v>Keily</v>
      </c>
      <c r="E4812" s="6" t="str">
        <f>IFERROR(__xludf.DUMMYFUNCTION("""COMPUTED_VALUE"""),"")</f>
        <v/>
      </c>
      <c r="F4812" s="6" t="str">
        <f>IFERROR(__xludf.DUMMYFUNCTION("""COMPUTED_VALUE"""),"Nava-Mosso")</f>
        <v>Nava-Mosso</v>
      </c>
      <c r="G4812" s="6" t="str">
        <f>IFERROR(__xludf.DUMMYFUNCTION("""COMPUTED_VALUE"""),"08/04/2014")</f>
        <v>08/04/2014</v>
      </c>
      <c r="H4812" s="6" t="str">
        <f>IFERROR(__xludf.DUMMYFUNCTION("""COMPUTED_VALUE"""),"male")</f>
        <v>male</v>
      </c>
      <c r="I4812" s="6" t="str">
        <f>IFERROR(__xludf.DUMMYFUNCTION("""COMPUTED_VALUE"""),"Middle School")</f>
        <v>Middle School</v>
      </c>
      <c r="J4812" s="6" t="str">
        <f>IFERROR(__xludf.DUMMYFUNCTION("""COMPUTED_VALUE"""),"6")</f>
        <v>6</v>
      </c>
      <c r="K4812" s="6" t="str">
        <f>IFERROR(__xludf.DUMMYFUNCTION("""COMPUTED_VALUE"""),"keily.nava-mosso@2hourlearning.com")</f>
        <v>keily.nava-mosso@2hourlearning.com</v>
      </c>
      <c r="L4812" s="6" t="str">
        <f>IFERROR(__xludf.DUMMYFUNCTION("""COMPUTED_VALUE"""),"JHMS - Hardeeville Junior Senior High School")</f>
        <v>JHMS - Hardeeville Junior Senior High School</v>
      </c>
      <c r="M4812" s="6" t="str">
        <f>IFERROR(__xludf.DUMMYFUNCTION("""COMPUTED_VALUE"""),"")</f>
        <v/>
      </c>
      <c r="N4812" s="6" t="str">
        <f>IFERROR(__xludf.DUMMYFUNCTION("""COMPUTED_VALUE"""),"")</f>
        <v/>
      </c>
      <c r="O4812" s="87" t="str">
        <f>IFERROR(__xludf.DUMMYFUNCTION("""COMPUTED_VALUE"""),"https://drive.google.com/drive/folders/10T2cTQHqEJZqE-st6uFKPoI?usp=share_link")</f>
        <v>https://drive.google.com/drive/folders/10T2cTQHqEJZqE-st6uFKPoI?usp=share_link</v>
      </c>
      <c r="P4812" s="6" t="str">
        <f>IFERROR(__xludf.DUMMYFUNCTION("""COMPUTED_VALUE"""),"Keily Nava-Mosso")</f>
        <v>Keily Nava-Mosso</v>
      </c>
      <c r="Q4812" s="6" t="str">
        <f>IFERROR(__xludf.DUMMYFUNCTION("""COMPUTED_VALUE"""),"MS")</f>
        <v>MS</v>
      </c>
      <c r="R4812" s="6">
        <f>IFERROR(__xludf.DUMMYFUNCTION("""COMPUTED_VALUE"""),0.0)</f>
        <v>0</v>
      </c>
      <c r="S4812" s="6" t="str">
        <f>IFERROR(__xludf.DUMMYFUNCTION("""COMPUTED_VALUE"""),"Kimberly Ball")</f>
        <v>Kimberly Ball</v>
      </c>
      <c r="T4812" s="6" t="str">
        <f>IFERROR(__xludf.DUMMYFUNCTION("""COMPUTED_VALUE"""),"kimberly.ball@studient.com")</f>
        <v>kimberly.ball@studient.com</v>
      </c>
      <c r="U4812" s="6" t="str">
        <f>IFERROR(__xludf.DUMMYFUNCTION("""COMPUTED_VALUE"""),"6")</f>
        <v>6</v>
      </c>
      <c r="V4812" s="6" t="str">
        <f>IFERROR(__xludf.DUMMYFUNCTION("""COMPUTED_VALUE"""),"")</f>
        <v/>
      </c>
      <c r="W4812" s="6" t="str">
        <f>IFERROR(__xludf.DUMMYFUNCTION("""COMPUTED_VALUE"""),"[]")</f>
        <v>[]</v>
      </c>
      <c r="X4812" s="6" t="str">
        <f>IFERROR(__xludf.DUMMYFUNCTION("""COMPUTED_VALUE"""),"Enrolled")</f>
        <v>Enrolled</v>
      </c>
    </row>
    <row r="4813">
      <c r="A4813" s="6" t="str">
        <f>IFERROR(__xludf.DUMMYFUNCTION("""COMPUTED_VALUE"""),"084-13175")</f>
        <v>084-13175</v>
      </c>
      <c r="B4813" s="6" t="str">
        <f>IFERROR(__xludf.DUMMYFUNCTION("""COMPUTED_VALUE"""),"84")</f>
        <v>84</v>
      </c>
      <c r="C4813" s="6" t="str">
        <f>IFERROR(__xludf.DUMMYFUNCTION("""COMPUTED_VALUE"""),"13175")</f>
        <v>13175</v>
      </c>
      <c r="D4813" s="6" t="str">
        <f>IFERROR(__xludf.DUMMYFUNCTION("""COMPUTED_VALUE"""),"Briseida")</f>
        <v>Briseida</v>
      </c>
      <c r="E4813" s="6" t="str">
        <f>IFERROR(__xludf.DUMMYFUNCTION("""COMPUTED_VALUE"""),"")</f>
        <v/>
      </c>
      <c r="F4813" s="6" t="str">
        <f>IFERROR(__xludf.DUMMYFUNCTION("""COMPUTED_VALUE"""),"Neri Romero")</f>
        <v>Neri Romero</v>
      </c>
      <c r="G4813" s="6" t="str">
        <f>IFERROR(__xludf.DUMMYFUNCTION("""COMPUTED_VALUE"""),"08/07/2014")</f>
        <v>08/07/2014</v>
      </c>
      <c r="H4813" s="6" t="str">
        <f>IFERROR(__xludf.DUMMYFUNCTION("""COMPUTED_VALUE"""),"male")</f>
        <v>male</v>
      </c>
      <c r="I4813" s="6" t="str">
        <f>IFERROR(__xludf.DUMMYFUNCTION("""COMPUTED_VALUE"""),"Middle School")</f>
        <v>Middle School</v>
      </c>
      <c r="J4813" s="6" t="str">
        <f>IFERROR(__xludf.DUMMYFUNCTION("""COMPUTED_VALUE"""),"6")</f>
        <v>6</v>
      </c>
      <c r="K4813" s="6" t="str">
        <f>IFERROR(__xludf.DUMMYFUNCTION("""COMPUTED_VALUE"""),"briseida.neriromero@2hourlearning.com")</f>
        <v>briseida.neriromero@2hourlearning.com</v>
      </c>
      <c r="L4813" s="6" t="str">
        <f>IFERROR(__xludf.DUMMYFUNCTION("""COMPUTED_VALUE"""),"JHMS - Hardeeville Junior Senior High School")</f>
        <v>JHMS - Hardeeville Junior Senior High School</v>
      </c>
      <c r="M4813" s="6" t="str">
        <f>IFERROR(__xludf.DUMMYFUNCTION("""COMPUTED_VALUE"""),"")</f>
        <v/>
      </c>
      <c r="N4813" s="6" t="str">
        <f>IFERROR(__xludf.DUMMYFUNCTION("""COMPUTED_VALUE"""),"")</f>
        <v/>
      </c>
      <c r="O4813" s="87" t="str">
        <f>IFERROR(__xludf.DUMMYFUNCTION("""COMPUTED_VALUE"""),"https://drive.google.com/drive/folders/10T2cTQHqEJZqE-st6uFKPoI?usp=share_link")</f>
        <v>https://drive.google.com/drive/folders/10T2cTQHqEJZqE-st6uFKPoI?usp=share_link</v>
      </c>
      <c r="P4813" s="6" t="str">
        <f>IFERROR(__xludf.DUMMYFUNCTION("""COMPUTED_VALUE"""),"Briseida Neri Romero")</f>
        <v>Briseida Neri Romero</v>
      </c>
      <c r="Q4813" s="6" t="str">
        <f>IFERROR(__xludf.DUMMYFUNCTION("""COMPUTED_VALUE"""),"MS")</f>
        <v>MS</v>
      </c>
      <c r="R4813" s="6">
        <f>IFERROR(__xludf.DUMMYFUNCTION("""COMPUTED_VALUE"""),0.0)</f>
        <v>0</v>
      </c>
      <c r="S4813" s="6" t="str">
        <f>IFERROR(__xludf.DUMMYFUNCTION("""COMPUTED_VALUE"""),"Kimberly Ball")</f>
        <v>Kimberly Ball</v>
      </c>
      <c r="T4813" s="6" t="str">
        <f>IFERROR(__xludf.DUMMYFUNCTION("""COMPUTED_VALUE"""),"kimberly.ball@studient.com")</f>
        <v>kimberly.ball@studient.com</v>
      </c>
      <c r="U4813" s="6" t="str">
        <f>IFERROR(__xludf.DUMMYFUNCTION("""COMPUTED_VALUE"""),"6")</f>
        <v>6</v>
      </c>
      <c r="V4813" s="6" t="str">
        <f>IFERROR(__xludf.DUMMYFUNCTION("""COMPUTED_VALUE"""),"")</f>
        <v/>
      </c>
      <c r="W4813" s="6" t="str">
        <f>IFERROR(__xludf.DUMMYFUNCTION("""COMPUTED_VALUE"""),"[]")</f>
        <v>[]</v>
      </c>
      <c r="X4813" s="6" t="str">
        <f>IFERROR(__xludf.DUMMYFUNCTION("""COMPUTED_VALUE"""),"Enrolled")</f>
        <v>Enrolled</v>
      </c>
    </row>
    <row r="4814">
      <c r="A4814" s="6" t="str">
        <f>IFERROR(__xludf.DUMMYFUNCTION("""COMPUTED_VALUE"""),"084-13176")</f>
        <v>084-13176</v>
      </c>
      <c r="B4814" s="6" t="str">
        <f>IFERROR(__xludf.DUMMYFUNCTION("""COMPUTED_VALUE"""),"84")</f>
        <v>84</v>
      </c>
      <c r="C4814" s="6" t="str">
        <f>IFERROR(__xludf.DUMMYFUNCTION("""COMPUTED_VALUE"""),"13176")</f>
        <v>13176</v>
      </c>
      <c r="D4814" s="6" t="str">
        <f>IFERROR(__xludf.DUMMYFUNCTION("""COMPUTED_VALUE"""),"Andy")</f>
        <v>Andy</v>
      </c>
      <c r="E4814" s="6" t="str">
        <f>IFERROR(__xludf.DUMMYFUNCTION("""COMPUTED_VALUE"""),"")</f>
        <v/>
      </c>
      <c r="F4814" s="6" t="str">
        <f>IFERROR(__xludf.DUMMYFUNCTION("""COMPUTED_VALUE"""),"Nguyen")</f>
        <v>Nguyen</v>
      </c>
      <c r="G4814" s="6" t="str">
        <f>IFERROR(__xludf.DUMMYFUNCTION("""COMPUTED_VALUE"""),"08/03/2014")</f>
        <v>08/03/2014</v>
      </c>
      <c r="H4814" s="6" t="str">
        <f>IFERROR(__xludf.DUMMYFUNCTION("""COMPUTED_VALUE"""),"male")</f>
        <v>male</v>
      </c>
      <c r="I4814" s="6" t="str">
        <f>IFERROR(__xludf.DUMMYFUNCTION("""COMPUTED_VALUE"""),"Middle School")</f>
        <v>Middle School</v>
      </c>
      <c r="J4814" s="6" t="str">
        <f>IFERROR(__xludf.DUMMYFUNCTION("""COMPUTED_VALUE"""),"6")</f>
        <v>6</v>
      </c>
      <c r="K4814" s="6" t="str">
        <f>IFERROR(__xludf.DUMMYFUNCTION("""COMPUTED_VALUE"""),"andy.nguyen@2hourlearning.com")</f>
        <v>andy.nguyen@2hourlearning.com</v>
      </c>
      <c r="L4814" s="6" t="str">
        <f>IFERROR(__xludf.DUMMYFUNCTION("""COMPUTED_VALUE"""),"JHMS - Hardeeville Junior Senior High School")</f>
        <v>JHMS - Hardeeville Junior Senior High School</v>
      </c>
      <c r="M4814" s="6" t="str">
        <f>IFERROR(__xludf.DUMMYFUNCTION("""COMPUTED_VALUE"""),"")</f>
        <v/>
      </c>
      <c r="N4814" s="6" t="str">
        <f>IFERROR(__xludf.DUMMYFUNCTION("""COMPUTED_VALUE"""),"")</f>
        <v/>
      </c>
      <c r="O4814" s="87" t="str">
        <f>IFERROR(__xludf.DUMMYFUNCTION("""COMPUTED_VALUE"""),"https://drive.google.com/drive/folders/10T2cTQHqEJZqE-st6uFKPoI?usp=share_link")</f>
        <v>https://drive.google.com/drive/folders/10T2cTQHqEJZqE-st6uFKPoI?usp=share_link</v>
      </c>
      <c r="P4814" s="6" t="str">
        <f>IFERROR(__xludf.DUMMYFUNCTION("""COMPUTED_VALUE"""),"Andy Nguyen")</f>
        <v>Andy Nguyen</v>
      </c>
      <c r="Q4814" s="6" t="str">
        <f>IFERROR(__xludf.DUMMYFUNCTION("""COMPUTED_VALUE"""),"MS")</f>
        <v>MS</v>
      </c>
      <c r="R4814" s="6">
        <f>IFERROR(__xludf.DUMMYFUNCTION("""COMPUTED_VALUE"""),0.0)</f>
        <v>0</v>
      </c>
      <c r="S4814" s="6" t="str">
        <f>IFERROR(__xludf.DUMMYFUNCTION("""COMPUTED_VALUE"""),"Kimberly Ball")</f>
        <v>Kimberly Ball</v>
      </c>
      <c r="T4814" s="6" t="str">
        <f>IFERROR(__xludf.DUMMYFUNCTION("""COMPUTED_VALUE"""),"kimberly.ball@studient.com")</f>
        <v>kimberly.ball@studient.com</v>
      </c>
      <c r="U4814" s="6" t="str">
        <f>IFERROR(__xludf.DUMMYFUNCTION("""COMPUTED_VALUE"""),"6")</f>
        <v>6</v>
      </c>
      <c r="V4814" s="6" t="str">
        <f>IFERROR(__xludf.DUMMYFUNCTION("""COMPUTED_VALUE"""),"")</f>
        <v/>
      </c>
      <c r="W4814" s="6" t="str">
        <f>IFERROR(__xludf.DUMMYFUNCTION("""COMPUTED_VALUE"""),"[]")</f>
        <v>[]</v>
      </c>
      <c r="X4814" s="6" t="str">
        <f>IFERROR(__xludf.DUMMYFUNCTION("""COMPUTED_VALUE"""),"Enrolled")</f>
        <v>Enrolled</v>
      </c>
    </row>
    <row r="4815">
      <c r="A4815" s="6" t="str">
        <f>IFERROR(__xludf.DUMMYFUNCTION("""COMPUTED_VALUE"""),"084-13177")</f>
        <v>084-13177</v>
      </c>
      <c r="B4815" s="6" t="str">
        <f>IFERROR(__xludf.DUMMYFUNCTION("""COMPUTED_VALUE"""),"84")</f>
        <v>84</v>
      </c>
      <c r="C4815" s="6" t="str">
        <f>IFERROR(__xludf.DUMMYFUNCTION("""COMPUTED_VALUE"""),"13177")</f>
        <v>13177</v>
      </c>
      <c r="D4815" s="6" t="str">
        <f>IFERROR(__xludf.DUMMYFUNCTION("""COMPUTED_VALUE"""),"Angel")</f>
        <v>Angel</v>
      </c>
      <c r="E4815" s="6" t="str">
        <f>IFERROR(__xludf.DUMMYFUNCTION("""COMPUTED_VALUE"""),"")</f>
        <v/>
      </c>
      <c r="F4815" s="6" t="str">
        <f>IFERROR(__xludf.DUMMYFUNCTION("""COMPUTED_VALUE"""),"Oropeza Trejo")</f>
        <v>Oropeza Trejo</v>
      </c>
      <c r="G4815" s="6" t="str">
        <f>IFERROR(__xludf.DUMMYFUNCTION("""COMPUTED_VALUE"""),"08/28/2014")</f>
        <v>08/28/2014</v>
      </c>
      <c r="H4815" s="6" t="str">
        <f>IFERROR(__xludf.DUMMYFUNCTION("""COMPUTED_VALUE"""),"male")</f>
        <v>male</v>
      </c>
      <c r="I4815" s="6" t="str">
        <f>IFERROR(__xludf.DUMMYFUNCTION("""COMPUTED_VALUE"""),"Middle School")</f>
        <v>Middle School</v>
      </c>
      <c r="J4815" s="6" t="str">
        <f>IFERROR(__xludf.DUMMYFUNCTION("""COMPUTED_VALUE"""),"6")</f>
        <v>6</v>
      </c>
      <c r="K4815" s="6" t="str">
        <f>IFERROR(__xludf.DUMMYFUNCTION("""COMPUTED_VALUE"""),"angel.oropezatrejo@2hourlearning.com")</f>
        <v>angel.oropezatrejo@2hourlearning.com</v>
      </c>
      <c r="L4815" s="6" t="str">
        <f>IFERROR(__xludf.DUMMYFUNCTION("""COMPUTED_VALUE"""),"JHMS - Hardeeville Junior Senior High School")</f>
        <v>JHMS - Hardeeville Junior Senior High School</v>
      </c>
      <c r="M4815" s="6" t="str">
        <f>IFERROR(__xludf.DUMMYFUNCTION("""COMPUTED_VALUE"""),"")</f>
        <v/>
      </c>
      <c r="N4815" s="6" t="str">
        <f>IFERROR(__xludf.DUMMYFUNCTION("""COMPUTED_VALUE"""),"")</f>
        <v/>
      </c>
      <c r="O4815" s="87" t="str">
        <f>IFERROR(__xludf.DUMMYFUNCTION("""COMPUTED_VALUE"""),"https://drive.google.com/drive/folders/10T2cTQHqEJZqE-st6uFKPoI?usp=share_link")</f>
        <v>https://drive.google.com/drive/folders/10T2cTQHqEJZqE-st6uFKPoI?usp=share_link</v>
      </c>
      <c r="P4815" s="6" t="str">
        <f>IFERROR(__xludf.DUMMYFUNCTION("""COMPUTED_VALUE"""),"Angel Oropeza Trejo")</f>
        <v>Angel Oropeza Trejo</v>
      </c>
      <c r="Q4815" s="6" t="str">
        <f>IFERROR(__xludf.DUMMYFUNCTION("""COMPUTED_VALUE"""),"MS")</f>
        <v>MS</v>
      </c>
      <c r="R4815" s="6">
        <f>IFERROR(__xludf.DUMMYFUNCTION("""COMPUTED_VALUE"""),0.0)</f>
        <v>0</v>
      </c>
      <c r="S4815" s="6" t="str">
        <f>IFERROR(__xludf.DUMMYFUNCTION("""COMPUTED_VALUE"""),"Kimberly Ball")</f>
        <v>Kimberly Ball</v>
      </c>
      <c r="T4815" s="6" t="str">
        <f>IFERROR(__xludf.DUMMYFUNCTION("""COMPUTED_VALUE"""),"kimberly.ball@studient.com")</f>
        <v>kimberly.ball@studient.com</v>
      </c>
      <c r="U4815" s="6" t="str">
        <f>IFERROR(__xludf.DUMMYFUNCTION("""COMPUTED_VALUE"""),"6")</f>
        <v>6</v>
      </c>
      <c r="V4815" s="6" t="str">
        <f>IFERROR(__xludf.DUMMYFUNCTION("""COMPUTED_VALUE"""),"")</f>
        <v/>
      </c>
      <c r="W4815" s="6" t="str">
        <f>IFERROR(__xludf.DUMMYFUNCTION("""COMPUTED_VALUE"""),"[]")</f>
        <v>[]</v>
      </c>
      <c r="X4815" s="6" t="str">
        <f>IFERROR(__xludf.DUMMYFUNCTION("""COMPUTED_VALUE"""),"Enrolled")</f>
        <v>Enrolled</v>
      </c>
    </row>
    <row r="4816">
      <c r="A4816" s="6" t="str">
        <f>IFERROR(__xludf.DUMMYFUNCTION("""COMPUTED_VALUE"""),"084-13178")</f>
        <v>084-13178</v>
      </c>
      <c r="B4816" s="6" t="str">
        <f>IFERROR(__xludf.DUMMYFUNCTION("""COMPUTED_VALUE"""),"84")</f>
        <v>84</v>
      </c>
      <c r="C4816" s="6" t="str">
        <f>IFERROR(__xludf.DUMMYFUNCTION("""COMPUTED_VALUE"""),"13178")</f>
        <v>13178</v>
      </c>
      <c r="D4816" s="6" t="str">
        <f>IFERROR(__xludf.DUMMYFUNCTION("""COMPUTED_VALUE"""),"Jaquade")</f>
        <v>Jaquade</v>
      </c>
      <c r="E4816" s="6" t="str">
        <f>IFERROR(__xludf.DUMMYFUNCTION("""COMPUTED_VALUE"""),"")</f>
        <v/>
      </c>
      <c r="F4816" s="6" t="str">
        <f>IFERROR(__xludf.DUMMYFUNCTION("""COMPUTED_VALUE"""),"Outten")</f>
        <v>Outten</v>
      </c>
      <c r="G4816" s="6" t="str">
        <f>IFERROR(__xludf.DUMMYFUNCTION("""COMPUTED_VALUE"""),"03/17/2014")</f>
        <v>03/17/2014</v>
      </c>
      <c r="H4816" s="6" t="str">
        <f>IFERROR(__xludf.DUMMYFUNCTION("""COMPUTED_VALUE"""),"Self Identify")</f>
        <v>Self Identify</v>
      </c>
      <c r="I4816" s="6" t="str">
        <f>IFERROR(__xludf.DUMMYFUNCTION("""COMPUTED_VALUE"""),"Middle School")</f>
        <v>Middle School</v>
      </c>
      <c r="J4816" s="6" t="str">
        <f>IFERROR(__xludf.DUMMYFUNCTION("""COMPUTED_VALUE"""),"6")</f>
        <v>6</v>
      </c>
      <c r="K4816" s="6" t="str">
        <f>IFERROR(__xludf.DUMMYFUNCTION("""COMPUTED_VALUE"""),"jaquade.outten@2hourlearning.com")</f>
        <v>jaquade.outten@2hourlearning.com</v>
      </c>
      <c r="L4816" s="6" t="str">
        <f>IFERROR(__xludf.DUMMYFUNCTION("""COMPUTED_VALUE"""),"JHMS - Hardeeville Junior Senior High School")</f>
        <v>JHMS - Hardeeville Junior Senior High School</v>
      </c>
      <c r="M4816" s="6" t="str">
        <f>IFERROR(__xludf.DUMMYFUNCTION("""COMPUTED_VALUE"""),"")</f>
        <v/>
      </c>
      <c r="N4816" s="6" t="str">
        <f>IFERROR(__xludf.DUMMYFUNCTION("""COMPUTED_VALUE"""),"")</f>
        <v/>
      </c>
      <c r="O4816" s="87" t="str">
        <f>IFERROR(__xludf.DUMMYFUNCTION("""COMPUTED_VALUE"""),"https://drive.google.com/drive/folders/10T2cTQHqEJZqE-st6uFKPoI?usp=share_link")</f>
        <v>https://drive.google.com/drive/folders/10T2cTQHqEJZqE-st6uFKPoI?usp=share_link</v>
      </c>
      <c r="P4816" s="6" t="str">
        <f>IFERROR(__xludf.DUMMYFUNCTION("""COMPUTED_VALUE"""),"Jaquade Outten")</f>
        <v>Jaquade Outten</v>
      </c>
      <c r="Q4816" s="6" t="str">
        <f>IFERROR(__xludf.DUMMYFUNCTION("""COMPUTED_VALUE"""),"MS")</f>
        <v>MS</v>
      </c>
      <c r="R4816" s="6">
        <f>IFERROR(__xludf.DUMMYFUNCTION("""COMPUTED_VALUE"""),0.0)</f>
        <v>0</v>
      </c>
      <c r="S4816" s="6" t="str">
        <f>IFERROR(__xludf.DUMMYFUNCTION("""COMPUTED_VALUE"""),"Kimberly Ball")</f>
        <v>Kimberly Ball</v>
      </c>
      <c r="T4816" s="6" t="str">
        <f>IFERROR(__xludf.DUMMYFUNCTION("""COMPUTED_VALUE"""),"kimberly.ball@studient.com")</f>
        <v>kimberly.ball@studient.com</v>
      </c>
      <c r="U4816" s="6" t="str">
        <f>IFERROR(__xludf.DUMMYFUNCTION("""COMPUTED_VALUE"""),"6")</f>
        <v>6</v>
      </c>
      <c r="V4816" s="6" t="str">
        <f>IFERROR(__xludf.DUMMYFUNCTION("""COMPUTED_VALUE"""),"")</f>
        <v/>
      </c>
      <c r="W4816" s="6" t="str">
        <f>IFERROR(__xludf.DUMMYFUNCTION("""COMPUTED_VALUE"""),"[]")</f>
        <v>[]</v>
      </c>
      <c r="X4816" s="6" t="str">
        <f>IFERROR(__xludf.DUMMYFUNCTION("""COMPUTED_VALUE"""),"Enrolled")</f>
        <v>Enrolled</v>
      </c>
    </row>
    <row r="4817">
      <c r="A4817" s="6" t="str">
        <f>IFERROR(__xludf.DUMMYFUNCTION("""COMPUTED_VALUE"""),"084-13179")</f>
        <v>084-13179</v>
      </c>
      <c r="B4817" s="6" t="str">
        <f>IFERROR(__xludf.DUMMYFUNCTION("""COMPUTED_VALUE"""),"84")</f>
        <v>84</v>
      </c>
      <c r="C4817" s="6" t="str">
        <f>IFERROR(__xludf.DUMMYFUNCTION("""COMPUTED_VALUE"""),"13179")</f>
        <v>13179</v>
      </c>
      <c r="D4817" s="6" t="str">
        <f>IFERROR(__xludf.DUMMYFUNCTION("""COMPUTED_VALUE"""),"Jacari")</f>
        <v>Jacari</v>
      </c>
      <c r="E4817" s="6" t="str">
        <f>IFERROR(__xludf.DUMMYFUNCTION("""COMPUTED_VALUE"""),"")</f>
        <v/>
      </c>
      <c r="F4817" s="6" t="str">
        <f>IFERROR(__xludf.DUMMYFUNCTION("""COMPUTED_VALUE"""),"Owens")</f>
        <v>Owens</v>
      </c>
      <c r="G4817" s="6" t="str">
        <f>IFERROR(__xludf.DUMMYFUNCTION("""COMPUTED_VALUE"""),"11/04/2013")</f>
        <v>11/04/2013</v>
      </c>
      <c r="H4817" s="6" t="str">
        <f>IFERROR(__xludf.DUMMYFUNCTION("""COMPUTED_VALUE"""),"female")</f>
        <v>female</v>
      </c>
      <c r="I4817" s="6" t="str">
        <f>IFERROR(__xludf.DUMMYFUNCTION("""COMPUTED_VALUE"""),"Middle School")</f>
        <v>Middle School</v>
      </c>
      <c r="J4817" s="6" t="str">
        <f>IFERROR(__xludf.DUMMYFUNCTION("""COMPUTED_VALUE"""),"6")</f>
        <v>6</v>
      </c>
      <c r="K4817" s="6" t="str">
        <f>IFERROR(__xludf.DUMMYFUNCTION("""COMPUTED_VALUE"""),"jacari.owens@2hourlearning.com")</f>
        <v>jacari.owens@2hourlearning.com</v>
      </c>
      <c r="L4817" s="6" t="str">
        <f>IFERROR(__xludf.DUMMYFUNCTION("""COMPUTED_VALUE"""),"JHMS - Hardeeville Junior Senior High School")</f>
        <v>JHMS - Hardeeville Junior Senior High School</v>
      </c>
      <c r="M4817" s="6" t="str">
        <f>IFERROR(__xludf.DUMMYFUNCTION("""COMPUTED_VALUE"""),"")</f>
        <v/>
      </c>
      <c r="N4817" s="6" t="str">
        <f>IFERROR(__xludf.DUMMYFUNCTION("""COMPUTED_VALUE"""),"")</f>
        <v/>
      </c>
      <c r="O4817" s="87" t="str">
        <f>IFERROR(__xludf.DUMMYFUNCTION("""COMPUTED_VALUE"""),"https://drive.google.com/drive/folders/10T2cTQHqEJZqE-st6uFKPoI?usp=share_link")</f>
        <v>https://drive.google.com/drive/folders/10T2cTQHqEJZqE-st6uFKPoI?usp=share_link</v>
      </c>
      <c r="P4817" s="6" t="str">
        <f>IFERROR(__xludf.DUMMYFUNCTION("""COMPUTED_VALUE"""),"Jacari Owens")</f>
        <v>Jacari Owens</v>
      </c>
      <c r="Q4817" s="6" t="str">
        <f>IFERROR(__xludf.DUMMYFUNCTION("""COMPUTED_VALUE"""),"MS")</f>
        <v>MS</v>
      </c>
      <c r="R4817" s="6">
        <f>IFERROR(__xludf.DUMMYFUNCTION("""COMPUTED_VALUE"""),0.0)</f>
        <v>0</v>
      </c>
      <c r="S4817" s="6" t="str">
        <f>IFERROR(__xludf.DUMMYFUNCTION("""COMPUTED_VALUE"""),"Kimberly Ball")</f>
        <v>Kimberly Ball</v>
      </c>
      <c r="T4817" s="6" t="str">
        <f>IFERROR(__xludf.DUMMYFUNCTION("""COMPUTED_VALUE"""),"kimberly.ball@studient.com")</f>
        <v>kimberly.ball@studient.com</v>
      </c>
      <c r="U4817" s="6" t="str">
        <f>IFERROR(__xludf.DUMMYFUNCTION("""COMPUTED_VALUE"""),"6")</f>
        <v>6</v>
      </c>
      <c r="V4817" s="6" t="str">
        <f>IFERROR(__xludf.DUMMYFUNCTION("""COMPUTED_VALUE"""),"")</f>
        <v/>
      </c>
      <c r="W4817" s="6" t="str">
        <f>IFERROR(__xludf.DUMMYFUNCTION("""COMPUTED_VALUE"""),"[]")</f>
        <v>[]</v>
      </c>
      <c r="X4817" s="6" t="str">
        <f>IFERROR(__xludf.DUMMYFUNCTION("""COMPUTED_VALUE"""),"Enrolled")</f>
        <v>Enrolled</v>
      </c>
    </row>
    <row r="4818">
      <c r="A4818" s="6" t="str">
        <f>IFERROR(__xludf.DUMMYFUNCTION("""COMPUTED_VALUE"""),"084-13180")</f>
        <v>084-13180</v>
      </c>
      <c r="B4818" s="6" t="str">
        <f>IFERROR(__xludf.DUMMYFUNCTION("""COMPUTED_VALUE"""),"84")</f>
        <v>84</v>
      </c>
      <c r="C4818" s="6" t="str">
        <f>IFERROR(__xludf.DUMMYFUNCTION("""COMPUTED_VALUE"""),"13180")</f>
        <v>13180</v>
      </c>
      <c r="D4818" s="6" t="str">
        <f>IFERROR(__xludf.DUMMYFUNCTION("""COMPUTED_VALUE"""),"Oliver")</f>
        <v>Oliver</v>
      </c>
      <c r="E4818" s="6" t="str">
        <f>IFERROR(__xludf.DUMMYFUNCTION("""COMPUTED_VALUE"""),"")</f>
        <v/>
      </c>
      <c r="F4818" s="6" t="str">
        <f>IFERROR(__xludf.DUMMYFUNCTION("""COMPUTED_VALUE"""),"Paz Flores")</f>
        <v>Paz Flores</v>
      </c>
      <c r="G4818" s="6" t="str">
        <f>IFERROR(__xludf.DUMMYFUNCTION("""COMPUTED_VALUE"""),"08/18/2013")</f>
        <v>08/18/2013</v>
      </c>
      <c r="H4818" s="6" t="str">
        <f>IFERROR(__xludf.DUMMYFUNCTION("""COMPUTED_VALUE"""),"female")</f>
        <v>female</v>
      </c>
      <c r="I4818" s="6" t="str">
        <f>IFERROR(__xludf.DUMMYFUNCTION("""COMPUTED_VALUE"""),"Middle School")</f>
        <v>Middle School</v>
      </c>
      <c r="J4818" s="6" t="str">
        <f>IFERROR(__xludf.DUMMYFUNCTION("""COMPUTED_VALUE"""),"6")</f>
        <v>6</v>
      </c>
      <c r="K4818" s="6" t="str">
        <f>IFERROR(__xludf.DUMMYFUNCTION("""COMPUTED_VALUE"""),"oliver.pazflores@2hourlearning.com")</f>
        <v>oliver.pazflores@2hourlearning.com</v>
      </c>
      <c r="L4818" s="6" t="str">
        <f>IFERROR(__xludf.DUMMYFUNCTION("""COMPUTED_VALUE"""),"JHMS - Hardeeville Junior Senior High School")</f>
        <v>JHMS - Hardeeville Junior Senior High School</v>
      </c>
      <c r="M4818" s="6" t="str">
        <f>IFERROR(__xludf.DUMMYFUNCTION("""COMPUTED_VALUE"""),"")</f>
        <v/>
      </c>
      <c r="N4818" s="6" t="str">
        <f>IFERROR(__xludf.DUMMYFUNCTION("""COMPUTED_VALUE"""),"")</f>
        <v/>
      </c>
      <c r="O4818" s="87" t="str">
        <f>IFERROR(__xludf.DUMMYFUNCTION("""COMPUTED_VALUE"""),"https://drive.google.com/drive/folders/10T2cTQHqEJZqE-st6uFKPoI?usp=share_link")</f>
        <v>https://drive.google.com/drive/folders/10T2cTQHqEJZqE-st6uFKPoI?usp=share_link</v>
      </c>
      <c r="P4818" s="6" t="str">
        <f>IFERROR(__xludf.DUMMYFUNCTION("""COMPUTED_VALUE"""),"Oliver Paz Flores")</f>
        <v>Oliver Paz Flores</v>
      </c>
      <c r="Q4818" s="6" t="str">
        <f>IFERROR(__xludf.DUMMYFUNCTION("""COMPUTED_VALUE"""),"MS")</f>
        <v>MS</v>
      </c>
      <c r="R4818" s="6">
        <f>IFERROR(__xludf.DUMMYFUNCTION("""COMPUTED_VALUE"""),0.0)</f>
        <v>0</v>
      </c>
      <c r="S4818" s="6" t="str">
        <f>IFERROR(__xludf.DUMMYFUNCTION("""COMPUTED_VALUE"""),"Kimberly Ball")</f>
        <v>Kimberly Ball</v>
      </c>
      <c r="T4818" s="6" t="str">
        <f>IFERROR(__xludf.DUMMYFUNCTION("""COMPUTED_VALUE"""),"kimberly.ball@studient.com")</f>
        <v>kimberly.ball@studient.com</v>
      </c>
      <c r="U4818" s="6" t="str">
        <f>IFERROR(__xludf.DUMMYFUNCTION("""COMPUTED_VALUE"""),"6")</f>
        <v>6</v>
      </c>
      <c r="V4818" s="6" t="str">
        <f>IFERROR(__xludf.DUMMYFUNCTION("""COMPUTED_VALUE"""),"")</f>
        <v/>
      </c>
      <c r="W4818" s="6" t="str">
        <f>IFERROR(__xludf.DUMMYFUNCTION("""COMPUTED_VALUE"""),"[]")</f>
        <v>[]</v>
      </c>
      <c r="X4818" s="6" t="str">
        <f>IFERROR(__xludf.DUMMYFUNCTION("""COMPUTED_VALUE"""),"Enrolled")</f>
        <v>Enrolled</v>
      </c>
    </row>
    <row r="4819">
      <c r="A4819" s="6" t="str">
        <f>IFERROR(__xludf.DUMMYFUNCTION("""COMPUTED_VALUE"""),"084-13181")</f>
        <v>084-13181</v>
      </c>
      <c r="B4819" s="6" t="str">
        <f>IFERROR(__xludf.DUMMYFUNCTION("""COMPUTED_VALUE"""),"84")</f>
        <v>84</v>
      </c>
      <c r="C4819" s="6" t="str">
        <f>IFERROR(__xludf.DUMMYFUNCTION("""COMPUTED_VALUE"""),"13181")</f>
        <v>13181</v>
      </c>
      <c r="D4819" s="6" t="str">
        <f>IFERROR(__xludf.DUMMYFUNCTION("""COMPUTED_VALUE"""),"Evelyn")</f>
        <v>Evelyn</v>
      </c>
      <c r="E4819" s="6" t="str">
        <f>IFERROR(__xludf.DUMMYFUNCTION("""COMPUTED_VALUE"""),"")</f>
        <v/>
      </c>
      <c r="F4819" s="6" t="str">
        <f>IFERROR(__xludf.DUMMYFUNCTION("""COMPUTED_VALUE"""),"Perez Orozco")</f>
        <v>Perez Orozco</v>
      </c>
      <c r="G4819" s="6" t="str">
        <f>IFERROR(__xludf.DUMMYFUNCTION("""COMPUTED_VALUE"""),"06/05/2014")</f>
        <v>06/05/2014</v>
      </c>
      <c r="H4819" s="6" t="str">
        <f>IFERROR(__xludf.DUMMYFUNCTION("""COMPUTED_VALUE"""),"female")</f>
        <v>female</v>
      </c>
      <c r="I4819" s="6" t="str">
        <f>IFERROR(__xludf.DUMMYFUNCTION("""COMPUTED_VALUE"""),"Middle School")</f>
        <v>Middle School</v>
      </c>
      <c r="J4819" s="6" t="str">
        <f>IFERROR(__xludf.DUMMYFUNCTION("""COMPUTED_VALUE"""),"6")</f>
        <v>6</v>
      </c>
      <c r="K4819" s="6" t="str">
        <f>IFERROR(__xludf.DUMMYFUNCTION("""COMPUTED_VALUE"""),"evelyn.perezorozco@2hourlearning.com")</f>
        <v>evelyn.perezorozco@2hourlearning.com</v>
      </c>
      <c r="L4819" s="6" t="str">
        <f>IFERROR(__xludf.DUMMYFUNCTION("""COMPUTED_VALUE"""),"JHMS - Hardeeville Junior Senior High School")</f>
        <v>JHMS - Hardeeville Junior Senior High School</v>
      </c>
      <c r="M4819" s="6" t="str">
        <f>IFERROR(__xludf.DUMMYFUNCTION("""COMPUTED_VALUE"""),"")</f>
        <v/>
      </c>
      <c r="N4819" s="6" t="str">
        <f>IFERROR(__xludf.DUMMYFUNCTION("""COMPUTED_VALUE"""),"")</f>
        <v/>
      </c>
      <c r="O4819" s="87" t="str">
        <f>IFERROR(__xludf.DUMMYFUNCTION("""COMPUTED_VALUE"""),"https://drive.google.com/drive/folders/10T2cTQHqEJZqE-st6uFKPoI?usp=share_link")</f>
        <v>https://drive.google.com/drive/folders/10T2cTQHqEJZqE-st6uFKPoI?usp=share_link</v>
      </c>
      <c r="P4819" s="6" t="str">
        <f>IFERROR(__xludf.DUMMYFUNCTION("""COMPUTED_VALUE"""),"Evelyn Perez Orozco")</f>
        <v>Evelyn Perez Orozco</v>
      </c>
      <c r="Q4819" s="6" t="str">
        <f>IFERROR(__xludf.DUMMYFUNCTION("""COMPUTED_VALUE"""),"MS")</f>
        <v>MS</v>
      </c>
      <c r="R4819" s="6">
        <f>IFERROR(__xludf.DUMMYFUNCTION("""COMPUTED_VALUE"""),0.0)</f>
        <v>0</v>
      </c>
      <c r="S4819" s="6" t="str">
        <f>IFERROR(__xludf.DUMMYFUNCTION("""COMPUTED_VALUE"""),"Kimberly Ball")</f>
        <v>Kimberly Ball</v>
      </c>
      <c r="T4819" s="6" t="str">
        <f>IFERROR(__xludf.DUMMYFUNCTION("""COMPUTED_VALUE"""),"kimberly.ball@studient.com")</f>
        <v>kimberly.ball@studient.com</v>
      </c>
      <c r="U4819" s="6" t="str">
        <f>IFERROR(__xludf.DUMMYFUNCTION("""COMPUTED_VALUE"""),"6")</f>
        <v>6</v>
      </c>
      <c r="V4819" s="6" t="str">
        <f>IFERROR(__xludf.DUMMYFUNCTION("""COMPUTED_VALUE"""),"")</f>
        <v/>
      </c>
      <c r="W4819" s="6" t="str">
        <f>IFERROR(__xludf.DUMMYFUNCTION("""COMPUTED_VALUE"""),"[]")</f>
        <v>[]</v>
      </c>
      <c r="X4819" s="6" t="str">
        <f>IFERROR(__xludf.DUMMYFUNCTION("""COMPUTED_VALUE"""),"Enrolled")</f>
        <v>Enrolled</v>
      </c>
    </row>
    <row r="4820">
      <c r="A4820" s="6" t="str">
        <f>IFERROR(__xludf.DUMMYFUNCTION("""COMPUTED_VALUE"""),"084-13182")</f>
        <v>084-13182</v>
      </c>
      <c r="B4820" s="6" t="str">
        <f>IFERROR(__xludf.DUMMYFUNCTION("""COMPUTED_VALUE"""),"84")</f>
        <v>84</v>
      </c>
      <c r="C4820" s="6" t="str">
        <f>IFERROR(__xludf.DUMMYFUNCTION("""COMPUTED_VALUE"""),"13182")</f>
        <v>13182</v>
      </c>
      <c r="D4820" s="6" t="str">
        <f>IFERROR(__xludf.DUMMYFUNCTION("""COMPUTED_VALUE"""),"Alisson")</f>
        <v>Alisson</v>
      </c>
      <c r="E4820" s="6" t="str">
        <f>IFERROR(__xludf.DUMMYFUNCTION("""COMPUTED_VALUE"""),"")</f>
        <v/>
      </c>
      <c r="F4820" s="6" t="str">
        <f>IFERROR(__xludf.DUMMYFUNCTION("""COMPUTED_VALUE"""),"Pineda Ortega")</f>
        <v>Pineda Ortega</v>
      </c>
      <c r="G4820" s="6" t="str">
        <f>IFERROR(__xludf.DUMMYFUNCTION("""COMPUTED_VALUE"""),"09/16/2013")</f>
        <v>09/16/2013</v>
      </c>
      <c r="H4820" s="6" t="str">
        <f>IFERROR(__xludf.DUMMYFUNCTION("""COMPUTED_VALUE"""),"male")</f>
        <v>male</v>
      </c>
      <c r="I4820" s="6" t="str">
        <f>IFERROR(__xludf.DUMMYFUNCTION("""COMPUTED_VALUE"""),"Middle School")</f>
        <v>Middle School</v>
      </c>
      <c r="J4820" s="6" t="str">
        <f>IFERROR(__xludf.DUMMYFUNCTION("""COMPUTED_VALUE"""),"6")</f>
        <v>6</v>
      </c>
      <c r="K4820" s="6" t="str">
        <f>IFERROR(__xludf.DUMMYFUNCTION("""COMPUTED_VALUE"""),"alisson.pinedaortega@2hourlearning.com")</f>
        <v>alisson.pinedaortega@2hourlearning.com</v>
      </c>
      <c r="L4820" s="6" t="str">
        <f>IFERROR(__xludf.DUMMYFUNCTION("""COMPUTED_VALUE"""),"JHMS - Hardeeville Junior Senior High School")</f>
        <v>JHMS - Hardeeville Junior Senior High School</v>
      </c>
      <c r="M4820" s="6" t="str">
        <f>IFERROR(__xludf.DUMMYFUNCTION("""COMPUTED_VALUE"""),"")</f>
        <v/>
      </c>
      <c r="N4820" s="6" t="str">
        <f>IFERROR(__xludf.DUMMYFUNCTION("""COMPUTED_VALUE"""),"")</f>
        <v/>
      </c>
      <c r="O4820" s="87" t="str">
        <f>IFERROR(__xludf.DUMMYFUNCTION("""COMPUTED_VALUE"""),"https://drive.google.com/drive/folders/10T2cTQHqEJZqE-st6uFKPoI?usp=share_link")</f>
        <v>https://drive.google.com/drive/folders/10T2cTQHqEJZqE-st6uFKPoI?usp=share_link</v>
      </c>
      <c r="P4820" s="6" t="str">
        <f>IFERROR(__xludf.DUMMYFUNCTION("""COMPUTED_VALUE"""),"Alisson Pineda Ortega")</f>
        <v>Alisson Pineda Ortega</v>
      </c>
      <c r="Q4820" s="6" t="str">
        <f>IFERROR(__xludf.DUMMYFUNCTION("""COMPUTED_VALUE"""),"MS")</f>
        <v>MS</v>
      </c>
      <c r="R4820" s="6">
        <f>IFERROR(__xludf.DUMMYFUNCTION("""COMPUTED_VALUE"""),0.0)</f>
        <v>0</v>
      </c>
      <c r="S4820" s="6" t="str">
        <f>IFERROR(__xludf.DUMMYFUNCTION("""COMPUTED_VALUE"""),"Kimberly Ball")</f>
        <v>Kimberly Ball</v>
      </c>
      <c r="T4820" s="6" t="str">
        <f>IFERROR(__xludf.DUMMYFUNCTION("""COMPUTED_VALUE"""),"kimberly.ball@studient.com")</f>
        <v>kimberly.ball@studient.com</v>
      </c>
      <c r="U4820" s="6" t="str">
        <f>IFERROR(__xludf.DUMMYFUNCTION("""COMPUTED_VALUE"""),"6")</f>
        <v>6</v>
      </c>
      <c r="V4820" s="6" t="str">
        <f>IFERROR(__xludf.DUMMYFUNCTION("""COMPUTED_VALUE"""),"")</f>
        <v/>
      </c>
      <c r="W4820" s="6" t="str">
        <f>IFERROR(__xludf.DUMMYFUNCTION("""COMPUTED_VALUE"""),"[]")</f>
        <v>[]</v>
      </c>
      <c r="X4820" s="6" t="str">
        <f>IFERROR(__xludf.DUMMYFUNCTION("""COMPUTED_VALUE"""),"Enrolled")</f>
        <v>Enrolled</v>
      </c>
    </row>
    <row r="4821">
      <c r="A4821" s="6" t="str">
        <f>IFERROR(__xludf.DUMMYFUNCTION("""COMPUTED_VALUE"""),"084-13183")</f>
        <v>084-13183</v>
      </c>
      <c r="B4821" s="6" t="str">
        <f>IFERROR(__xludf.DUMMYFUNCTION("""COMPUTED_VALUE"""),"84")</f>
        <v>84</v>
      </c>
      <c r="C4821" s="6" t="str">
        <f>IFERROR(__xludf.DUMMYFUNCTION("""COMPUTED_VALUE"""),"13183")</f>
        <v>13183</v>
      </c>
      <c r="D4821" s="6" t="str">
        <f>IFERROR(__xludf.DUMMYFUNCTION("""COMPUTED_VALUE"""),"Maria")</f>
        <v>Maria</v>
      </c>
      <c r="E4821" s="6" t="str">
        <f>IFERROR(__xludf.DUMMYFUNCTION("""COMPUTED_VALUE"""),"")</f>
        <v/>
      </c>
      <c r="F4821" s="6" t="str">
        <f>IFERROR(__xludf.DUMMYFUNCTION("""COMPUTED_VALUE"""),"Puentes")</f>
        <v>Puentes</v>
      </c>
      <c r="G4821" s="6" t="str">
        <f>IFERROR(__xludf.DUMMYFUNCTION("""COMPUTED_VALUE"""),"08/31/2014")</f>
        <v>08/31/2014</v>
      </c>
      <c r="H4821" s="6" t="str">
        <f>IFERROR(__xludf.DUMMYFUNCTION("""COMPUTED_VALUE"""),"female")</f>
        <v>female</v>
      </c>
      <c r="I4821" s="6" t="str">
        <f>IFERROR(__xludf.DUMMYFUNCTION("""COMPUTED_VALUE"""),"Middle School")</f>
        <v>Middle School</v>
      </c>
      <c r="J4821" s="6" t="str">
        <f>IFERROR(__xludf.DUMMYFUNCTION("""COMPUTED_VALUE"""),"6")</f>
        <v>6</v>
      </c>
      <c r="K4821" s="6" t="str">
        <f>IFERROR(__xludf.DUMMYFUNCTION("""COMPUTED_VALUE"""),"maria.puentes@2hourlearning.com")</f>
        <v>maria.puentes@2hourlearning.com</v>
      </c>
      <c r="L4821" s="6" t="str">
        <f>IFERROR(__xludf.DUMMYFUNCTION("""COMPUTED_VALUE"""),"JHMS - Hardeeville Junior Senior High School")</f>
        <v>JHMS - Hardeeville Junior Senior High School</v>
      </c>
      <c r="M4821" s="6" t="str">
        <f>IFERROR(__xludf.DUMMYFUNCTION("""COMPUTED_VALUE"""),"")</f>
        <v/>
      </c>
      <c r="N4821" s="6" t="str">
        <f>IFERROR(__xludf.DUMMYFUNCTION("""COMPUTED_VALUE"""),"")</f>
        <v/>
      </c>
      <c r="O4821" s="87" t="str">
        <f>IFERROR(__xludf.DUMMYFUNCTION("""COMPUTED_VALUE"""),"https://drive.google.com/drive/folders/10T2cTQHqEJZqE-st6uFKPoI?usp=share_link")</f>
        <v>https://drive.google.com/drive/folders/10T2cTQHqEJZqE-st6uFKPoI?usp=share_link</v>
      </c>
      <c r="P4821" s="6" t="str">
        <f>IFERROR(__xludf.DUMMYFUNCTION("""COMPUTED_VALUE"""),"Maria Puentes")</f>
        <v>Maria Puentes</v>
      </c>
      <c r="Q4821" s="6" t="str">
        <f>IFERROR(__xludf.DUMMYFUNCTION("""COMPUTED_VALUE"""),"MS")</f>
        <v>MS</v>
      </c>
      <c r="R4821" s="6">
        <f>IFERROR(__xludf.DUMMYFUNCTION("""COMPUTED_VALUE"""),0.0)</f>
        <v>0</v>
      </c>
      <c r="S4821" s="6" t="str">
        <f>IFERROR(__xludf.DUMMYFUNCTION("""COMPUTED_VALUE"""),"Kimberly Ball")</f>
        <v>Kimberly Ball</v>
      </c>
      <c r="T4821" s="6" t="str">
        <f>IFERROR(__xludf.DUMMYFUNCTION("""COMPUTED_VALUE"""),"kimberly.ball@studient.com")</f>
        <v>kimberly.ball@studient.com</v>
      </c>
      <c r="U4821" s="6" t="str">
        <f>IFERROR(__xludf.DUMMYFUNCTION("""COMPUTED_VALUE"""),"6")</f>
        <v>6</v>
      </c>
      <c r="V4821" s="6" t="str">
        <f>IFERROR(__xludf.DUMMYFUNCTION("""COMPUTED_VALUE"""),"")</f>
        <v/>
      </c>
      <c r="W4821" s="6" t="str">
        <f>IFERROR(__xludf.DUMMYFUNCTION("""COMPUTED_VALUE"""),"[]")</f>
        <v>[]</v>
      </c>
      <c r="X4821" s="6" t="str">
        <f>IFERROR(__xludf.DUMMYFUNCTION("""COMPUTED_VALUE"""),"Enrolled")</f>
        <v>Enrolled</v>
      </c>
    </row>
    <row r="4822">
      <c r="A4822" s="6" t="str">
        <f>IFERROR(__xludf.DUMMYFUNCTION("""COMPUTED_VALUE"""),"084-13184")</f>
        <v>084-13184</v>
      </c>
      <c r="B4822" s="6" t="str">
        <f>IFERROR(__xludf.DUMMYFUNCTION("""COMPUTED_VALUE"""),"84")</f>
        <v>84</v>
      </c>
      <c r="C4822" s="6" t="str">
        <f>IFERROR(__xludf.DUMMYFUNCTION("""COMPUTED_VALUE"""),"13184")</f>
        <v>13184</v>
      </c>
      <c r="D4822" s="6" t="str">
        <f>IFERROR(__xludf.DUMMYFUNCTION("""COMPUTED_VALUE"""),"Brianna")</f>
        <v>Brianna</v>
      </c>
      <c r="E4822" s="6" t="str">
        <f>IFERROR(__xludf.DUMMYFUNCTION("""COMPUTED_VALUE"""),"")</f>
        <v/>
      </c>
      <c r="F4822" s="6" t="str">
        <f>IFERROR(__xludf.DUMMYFUNCTION("""COMPUTED_VALUE"""),"Quiroz")</f>
        <v>Quiroz</v>
      </c>
      <c r="G4822" s="6" t="str">
        <f>IFERROR(__xludf.DUMMYFUNCTION("""COMPUTED_VALUE"""),"03/04/2014")</f>
        <v>03/04/2014</v>
      </c>
      <c r="H4822" s="6" t="str">
        <f>IFERROR(__xludf.DUMMYFUNCTION("""COMPUTED_VALUE"""),"female")</f>
        <v>female</v>
      </c>
      <c r="I4822" s="6" t="str">
        <f>IFERROR(__xludf.DUMMYFUNCTION("""COMPUTED_VALUE"""),"Middle School")</f>
        <v>Middle School</v>
      </c>
      <c r="J4822" s="6" t="str">
        <f>IFERROR(__xludf.DUMMYFUNCTION("""COMPUTED_VALUE"""),"6")</f>
        <v>6</v>
      </c>
      <c r="K4822" s="6" t="str">
        <f>IFERROR(__xludf.DUMMYFUNCTION("""COMPUTED_VALUE"""),"brianna.quiroz@2hourlearning.com")</f>
        <v>brianna.quiroz@2hourlearning.com</v>
      </c>
      <c r="L4822" s="6" t="str">
        <f>IFERROR(__xludf.DUMMYFUNCTION("""COMPUTED_VALUE"""),"JHMS - Hardeeville Junior Senior High School")</f>
        <v>JHMS - Hardeeville Junior Senior High School</v>
      </c>
      <c r="M4822" s="6" t="str">
        <f>IFERROR(__xludf.DUMMYFUNCTION("""COMPUTED_VALUE"""),"")</f>
        <v/>
      </c>
      <c r="N4822" s="6" t="str">
        <f>IFERROR(__xludf.DUMMYFUNCTION("""COMPUTED_VALUE"""),"")</f>
        <v/>
      </c>
      <c r="O4822" s="87" t="str">
        <f>IFERROR(__xludf.DUMMYFUNCTION("""COMPUTED_VALUE"""),"https://drive.google.com/drive/folders/10T2cTQHqEJZqE-st6uFKPoI?usp=share_link")</f>
        <v>https://drive.google.com/drive/folders/10T2cTQHqEJZqE-st6uFKPoI?usp=share_link</v>
      </c>
      <c r="P4822" s="6" t="str">
        <f>IFERROR(__xludf.DUMMYFUNCTION("""COMPUTED_VALUE"""),"Brianna Quiroz")</f>
        <v>Brianna Quiroz</v>
      </c>
      <c r="Q4822" s="6" t="str">
        <f>IFERROR(__xludf.DUMMYFUNCTION("""COMPUTED_VALUE"""),"MS")</f>
        <v>MS</v>
      </c>
      <c r="R4822" s="6">
        <f>IFERROR(__xludf.DUMMYFUNCTION("""COMPUTED_VALUE"""),0.0)</f>
        <v>0</v>
      </c>
      <c r="S4822" s="6" t="str">
        <f>IFERROR(__xludf.DUMMYFUNCTION("""COMPUTED_VALUE"""),"Kimberly Ball")</f>
        <v>Kimberly Ball</v>
      </c>
      <c r="T4822" s="6" t="str">
        <f>IFERROR(__xludf.DUMMYFUNCTION("""COMPUTED_VALUE"""),"kimberly.ball@studient.com")</f>
        <v>kimberly.ball@studient.com</v>
      </c>
      <c r="U4822" s="6" t="str">
        <f>IFERROR(__xludf.DUMMYFUNCTION("""COMPUTED_VALUE"""),"6")</f>
        <v>6</v>
      </c>
      <c r="V4822" s="6" t="str">
        <f>IFERROR(__xludf.DUMMYFUNCTION("""COMPUTED_VALUE"""),"")</f>
        <v/>
      </c>
      <c r="W4822" s="6" t="str">
        <f>IFERROR(__xludf.DUMMYFUNCTION("""COMPUTED_VALUE"""),"[]")</f>
        <v>[]</v>
      </c>
      <c r="X4822" s="6" t="str">
        <f>IFERROR(__xludf.DUMMYFUNCTION("""COMPUTED_VALUE"""),"Enrolled")</f>
        <v>Enrolled</v>
      </c>
    </row>
    <row r="4823">
      <c r="A4823" s="6" t="str">
        <f>IFERROR(__xludf.DUMMYFUNCTION("""COMPUTED_VALUE"""),"084-13185")</f>
        <v>084-13185</v>
      </c>
      <c r="B4823" s="6" t="str">
        <f>IFERROR(__xludf.DUMMYFUNCTION("""COMPUTED_VALUE"""),"84")</f>
        <v>84</v>
      </c>
      <c r="C4823" s="6" t="str">
        <f>IFERROR(__xludf.DUMMYFUNCTION("""COMPUTED_VALUE"""),"13185")</f>
        <v>13185</v>
      </c>
      <c r="D4823" s="6" t="str">
        <f>IFERROR(__xludf.DUMMYFUNCTION("""COMPUTED_VALUE"""),"Elias")</f>
        <v>Elias</v>
      </c>
      <c r="E4823" s="6" t="str">
        <f>IFERROR(__xludf.DUMMYFUNCTION("""COMPUTED_VALUE"""),"")</f>
        <v/>
      </c>
      <c r="F4823" s="6" t="str">
        <f>IFERROR(__xludf.DUMMYFUNCTION("""COMPUTED_VALUE"""),"Ramirez-Gonzalez")</f>
        <v>Ramirez-Gonzalez</v>
      </c>
      <c r="G4823" s="6" t="str">
        <f>IFERROR(__xludf.DUMMYFUNCTION("""COMPUTED_VALUE"""),"08/12/2013")</f>
        <v>08/12/2013</v>
      </c>
      <c r="H4823" s="6" t="str">
        <f>IFERROR(__xludf.DUMMYFUNCTION("""COMPUTED_VALUE"""),"female")</f>
        <v>female</v>
      </c>
      <c r="I4823" s="6" t="str">
        <f>IFERROR(__xludf.DUMMYFUNCTION("""COMPUTED_VALUE"""),"Middle School")</f>
        <v>Middle School</v>
      </c>
      <c r="J4823" s="6" t="str">
        <f>IFERROR(__xludf.DUMMYFUNCTION("""COMPUTED_VALUE"""),"6")</f>
        <v>6</v>
      </c>
      <c r="K4823" s="6" t="str">
        <f>IFERROR(__xludf.DUMMYFUNCTION("""COMPUTED_VALUE"""),"elias.ramirez-gonzalez@2hourlearning.com")</f>
        <v>elias.ramirez-gonzalez@2hourlearning.com</v>
      </c>
      <c r="L4823" s="6" t="str">
        <f>IFERROR(__xludf.DUMMYFUNCTION("""COMPUTED_VALUE"""),"JHMS - Hardeeville Junior Senior High School")</f>
        <v>JHMS - Hardeeville Junior Senior High School</v>
      </c>
      <c r="M4823" s="6" t="str">
        <f>IFERROR(__xludf.DUMMYFUNCTION("""COMPUTED_VALUE"""),"")</f>
        <v/>
      </c>
      <c r="N4823" s="6" t="str">
        <f>IFERROR(__xludf.DUMMYFUNCTION("""COMPUTED_VALUE"""),"")</f>
        <v/>
      </c>
      <c r="O4823" s="87" t="str">
        <f>IFERROR(__xludf.DUMMYFUNCTION("""COMPUTED_VALUE"""),"https://drive.google.com/drive/folders/10T2cTQHqEJZqE-st6uFKPoI?usp=share_link")</f>
        <v>https://drive.google.com/drive/folders/10T2cTQHqEJZqE-st6uFKPoI?usp=share_link</v>
      </c>
      <c r="P4823" s="6" t="str">
        <f>IFERROR(__xludf.DUMMYFUNCTION("""COMPUTED_VALUE"""),"Elias Ramirez-Gonzalez")</f>
        <v>Elias Ramirez-Gonzalez</v>
      </c>
      <c r="Q4823" s="6" t="str">
        <f>IFERROR(__xludf.DUMMYFUNCTION("""COMPUTED_VALUE"""),"MS")</f>
        <v>MS</v>
      </c>
      <c r="R4823" s="6">
        <f>IFERROR(__xludf.DUMMYFUNCTION("""COMPUTED_VALUE"""),0.0)</f>
        <v>0</v>
      </c>
      <c r="S4823" s="6" t="str">
        <f>IFERROR(__xludf.DUMMYFUNCTION("""COMPUTED_VALUE"""),"Kimberly Ball")</f>
        <v>Kimberly Ball</v>
      </c>
      <c r="T4823" s="6" t="str">
        <f>IFERROR(__xludf.DUMMYFUNCTION("""COMPUTED_VALUE"""),"kimberly.ball@studient.com")</f>
        <v>kimberly.ball@studient.com</v>
      </c>
      <c r="U4823" s="6" t="str">
        <f>IFERROR(__xludf.DUMMYFUNCTION("""COMPUTED_VALUE"""),"6")</f>
        <v>6</v>
      </c>
      <c r="V4823" s="6" t="str">
        <f>IFERROR(__xludf.DUMMYFUNCTION("""COMPUTED_VALUE"""),"")</f>
        <v/>
      </c>
      <c r="W4823" s="6" t="str">
        <f>IFERROR(__xludf.DUMMYFUNCTION("""COMPUTED_VALUE"""),"[]")</f>
        <v>[]</v>
      </c>
      <c r="X4823" s="6" t="str">
        <f>IFERROR(__xludf.DUMMYFUNCTION("""COMPUTED_VALUE"""),"Enrolled")</f>
        <v>Enrolled</v>
      </c>
    </row>
    <row r="4824">
      <c r="A4824" s="6" t="str">
        <f>IFERROR(__xludf.DUMMYFUNCTION("""COMPUTED_VALUE"""),"084-13186")</f>
        <v>084-13186</v>
      </c>
      <c r="B4824" s="6" t="str">
        <f>IFERROR(__xludf.DUMMYFUNCTION("""COMPUTED_VALUE"""),"84")</f>
        <v>84</v>
      </c>
      <c r="C4824" s="6" t="str">
        <f>IFERROR(__xludf.DUMMYFUNCTION("""COMPUTED_VALUE"""),"13186")</f>
        <v>13186</v>
      </c>
      <c r="D4824" s="6" t="str">
        <f>IFERROR(__xludf.DUMMYFUNCTION("""COMPUTED_VALUE"""),"Raven")</f>
        <v>Raven</v>
      </c>
      <c r="E4824" s="6" t="str">
        <f>IFERROR(__xludf.DUMMYFUNCTION("""COMPUTED_VALUE"""),"")</f>
        <v/>
      </c>
      <c r="F4824" s="6" t="str">
        <f>IFERROR(__xludf.DUMMYFUNCTION("""COMPUTED_VALUE"""),"Riley")</f>
        <v>Riley</v>
      </c>
      <c r="G4824" s="6" t="str">
        <f>IFERROR(__xludf.DUMMYFUNCTION("""COMPUTED_VALUE"""),"05/07/2014")</f>
        <v>05/07/2014</v>
      </c>
      <c r="H4824" s="6" t="str">
        <f>IFERROR(__xludf.DUMMYFUNCTION("""COMPUTED_VALUE"""),"male")</f>
        <v>male</v>
      </c>
      <c r="I4824" s="6" t="str">
        <f>IFERROR(__xludf.DUMMYFUNCTION("""COMPUTED_VALUE"""),"Middle School")</f>
        <v>Middle School</v>
      </c>
      <c r="J4824" s="6" t="str">
        <f>IFERROR(__xludf.DUMMYFUNCTION("""COMPUTED_VALUE"""),"6")</f>
        <v>6</v>
      </c>
      <c r="K4824" s="6" t="str">
        <f>IFERROR(__xludf.DUMMYFUNCTION("""COMPUTED_VALUE"""),"raven.riley@2hourlearning.com")</f>
        <v>raven.riley@2hourlearning.com</v>
      </c>
      <c r="L4824" s="6" t="str">
        <f>IFERROR(__xludf.DUMMYFUNCTION("""COMPUTED_VALUE"""),"JHMS - Hardeeville Junior Senior High School")</f>
        <v>JHMS - Hardeeville Junior Senior High School</v>
      </c>
      <c r="M4824" s="6" t="str">
        <f>IFERROR(__xludf.DUMMYFUNCTION("""COMPUTED_VALUE"""),"")</f>
        <v/>
      </c>
      <c r="N4824" s="6" t="str">
        <f>IFERROR(__xludf.DUMMYFUNCTION("""COMPUTED_VALUE"""),"")</f>
        <v/>
      </c>
      <c r="O4824" s="87" t="str">
        <f>IFERROR(__xludf.DUMMYFUNCTION("""COMPUTED_VALUE"""),"https://drive.google.com/drive/folders/10T2cTQHqEJZqE-st6uFKPoI?usp=share_link")</f>
        <v>https://drive.google.com/drive/folders/10T2cTQHqEJZqE-st6uFKPoI?usp=share_link</v>
      </c>
      <c r="P4824" s="6" t="str">
        <f>IFERROR(__xludf.DUMMYFUNCTION("""COMPUTED_VALUE"""),"Raven Riley")</f>
        <v>Raven Riley</v>
      </c>
      <c r="Q4824" s="6" t="str">
        <f>IFERROR(__xludf.DUMMYFUNCTION("""COMPUTED_VALUE"""),"MS")</f>
        <v>MS</v>
      </c>
      <c r="R4824" s="6">
        <f>IFERROR(__xludf.DUMMYFUNCTION("""COMPUTED_VALUE"""),0.0)</f>
        <v>0</v>
      </c>
      <c r="S4824" s="6" t="str">
        <f>IFERROR(__xludf.DUMMYFUNCTION("""COMPUTED_VALUE"""),"Kimberly Ball")</f>
        <v>Kimberly Ball</v>
      </c>
      <c r="T4824" s="6" t="str">
        <f>IFERROR(__xludf.DUMMYFUNCTION("""COMPUTED_VALUE"""),"kimberly.ball@studient.com")</f>
        <v>kimberly.ball@studient.com</v>
      </c>
      <c r="U4824" s="6" t="str">
        <f>IFERROR(__xludf.DUMMYFUNCTION("""COMPUTED_VALUE"""),"6")</f>
        <v>6</v>
      </c>
      <c r="V4824" s="6" t="str">
        <f>IFERROR(__xludf.DUMMYFUNCTION("""COMPUTED_VALUE"""),"")</f>
        <v/>
      </c>
      <c r="W4824" s="6" t="str">
        <f>IFERROR(__xludf.DUMMYFUNCTION("""COMPUTED_VALUE"""),"[]")</f>
        <v>[]</v>
      </c>
      <c r="X4824" s="6" t="str">
        <f>IFERROR(__xludf.DUMMYFUNCTION("""COMPUTED_VALUE"""),"Enrolled")</f>
        <v>Enrolled</v>
      </c>
    </row>
    <row r="4825">
      <c r="A4825" s="6" t="str">
        <f>IFERROR(__xludf.DUMMYFUNCTION("""COMPUTED_VALUE"""),"084-13187")</f>
        <v>084-13187</v>
      </c>
      <c r="B4825" s="6" t="str">
        <f>IFERROR(__xludf.DUMMYFUNCTION("""COMPUTED_VALUE"""),"84")</f>
        <v>84</v>
      </c>
      <c r="C4825" s="6" t="str">
        <f>IFERROR(__xludf.DUMMYFUNCTION("""COMPUTED_VALUE"""),"13187")</f>
        <v>13187</v>
      </c>
      <c r="D4825" s="6" t="str">
        <f>IFERROR(__xludf.DUMMYFUNCTION("""COMPUTED_VALUE"""),"Carolina")</f>
        <v>Carolina</v>
      </c>
      <c r="E4825" s="6" t="str">
        <f>IFERROR(__xludf.DUMMYFUNCTION("""COMPUTED_VALUE"""),"")</f>
        <v/>
      </c>
      <c r="F4825" s="6" t="str">
        <f>IFERROR(__xludf.DUMMYFUNCTION("""COMPUTED_VALUE"""),"Rios Adame")</f>
        <v>Rios Adame</v>
      </c>
      <c r="G4825" s="6" t="str">
        <f>IFERROR(__xludf.DUMMYFUNCTION("""COMPUTED_VALUE"""),"11/15/2013")</f>
        <v>11/15/2013</v>
      </c>
      <c r="H4825" s="6" t="str">
        <f>IFERROR(__xludf.DUMMYFUNCTION("""COMPUTED_VALUE"""),"male")</f>
        <v>male</v>
      </c>
      <c r="I4825" s="6" t="str">
        <f>IFERROR(__xludf.DUMMYFUNCTION("""COMPUTED_VALUE"""),"Middle School")</f>
        <v>Middle School</v>
      </c>
      <c r="J4825" s="6" t="str">
        <f>IFERROR(__xludf.DUMMYFUNCTION("""COMPUTED_VALUE"""),"6")</f>
        <v>6</v>
      </c>
      <c r="K4825" s="6" t="str">
        <f>IFERROR(__xludf.DUMMYFUNCTION("""COMPUTED_VALUE"""),"carolina.riosadame@2hourlearning.com")</f>
        <v>carolina.riosadame@2hourlearning.com</v>
      </c>
      <c r="L4825" s="6" t="str">
        <f>IFERROR(__xludf.DUMMYFUNCTION("""COMPUTED_VALUE"""),"JHMS - Hardeeville Junior Senior High School")</f>
        <v>JHMS - Hardeeville Junior Senior High School</v>
      </c>
      <c r="M4825" s="6" t="str">
        <f>IFERROR(__xludf.DUMMYFUNCTION("""COMPUTED_VALUE"""),"")</f>
        <v/>
      </c>
      <c r="N4825" s="6" t="str">
        <f>IFERROR(__xludf.DUMMYFUNCTION("""COMPUTED_VALUE"""),"")</f>
        <v/>
      </c>
      <c r="O4825" s="87" t="str">
        <f>IFERROR(__xludf.DUMMYFUNCTION("""COMPUTED_VALUE"""),"https://drive.google.com/drive/folders/10T2cTQHqEJZqE-st6uFKPoI?usp=share_link")</f>
        <v>https://drive.google.com/drive/folders/10T2cTQHqEJZqE-st6uFKPoI?usp=share_link</v>
      </c>
      <c r="P4825" s="6" t="str">
        <f>IFERROR(__xludf.DUMMYFUNCTION("""COMPUTED_VALUE"""),"Carolina Rios Adame")</f>
        <v>Carolina Rios Adame</v>
      </c>
      <c r="Q4825" s="6" t="str">
        <f>IFERROR(__xludf.DUMMYFUNCTION("""COMPUTED_VALUE"""),"MS")</f>
        <v>MS</v>
      </c>
      <c r="R4825" s="6">
        <f>IFERROR(__xludf.DUMMYFUNCTION("""COMPUTED_VALUE"""),0.0)</f>
        <v>0</v>
      </c>
      <c r="S4825" s="6" t="str">
        <f>IFERROR(__xludf.DUMMYFUNCTION("""COMPUTED_VALUE"""),"Kimberly Ball")</f>
        <v>Kimberly Ball</v>
      </c>
      <c r="T4825" s="6" t="str">
        <f>IFERROR(__xludf.DUMMYFUNCTION("""COMPUTED_VALUE"""),"kimberly.ball@studient.com")</f>
        <v>kimberly.ball@studient.com</v>
      </c>
      <c r="U4825" s="6" t="str">
        <f>IFERROR(__xludf.DUMMYFUNCTION("""COMPUTED_VALUE"""),"6")</f>
        <v>6</v>
      </c>
      <c r="V4825" s="6" t="str">
        <f>IFERROR(__xludf.DUMMYFUNCTION("""COMPUTED_VALUE"""),"")</f>
        <v/>
      </c>
      <c r="W4825" s="6" t="str">
        <f>IFERROR(__xludf.DUMMYFUNCTION("""COMPUTED_VALUE"""),"[]")</f>
        <v>[]</v>
      </c>
      <c r="X4825" s="6" t="str">
        <f>IFERROR(__xludf.DUMMYFUNCTION("""COMPUTED_VALUE"""),"Enrolled")</f>
        <v>Enrolled</v>
      </c>
    </row>
    <row r="4826">
      <c r="A4826" s="6" t="str">
        <f>IFERROR(__xludf.DUMMYFUNCTION("""COMPUTED_VALUE"""),"084-13188")</f>
        <v>084-13188</v>
      </c>
      <c r="B4826" s="6" t="str">
        <f>IFERROR(__xludf.DUMMYFUNCTION("""COMPUTED_VALUE"""),"84")</f>
        <v>84</v>
      </c>
      <c r="C4826" s="6" t="str">
        <f>IFERROR(__xludf.DUMMYFUNCTION("""COMPUTED_VALUE"""),"13188")</f>
        <v>13188</v>
      </c>
      <c r="D4826" s="6" t="str">
        <f>IFERROR(__xludf.DUMMYFUNCTION("""COMPUTED_VALUE"""),"Denise Yohana")</f>
        <v>Denise Yohana</v>
      </c>
      <c r="E4826" s="6" t="str">
        <f>IFERROR(__xludf.DUMMYFUNCTION("""COMPUTED_VALUE"""),"")</f>
        <v/>
      </c>
      <c r="F4826" s="6" t="str">
        <f>IFERROR(__xludf.DUMMYFUNCTION("""COMPUTED_VALUE"""),"Rios Cruz")</f>
        <v>Rios Cruz</v>
      </c>
      <c r="G4826" s="6" t="str">
        <f>IFERROR(__xludf.DUMMYFUNCTION("""COMPUTED_VALUE"""),"05/02/2014")</f>
        <v>05/02/2014</v>
      </c>
      <c r="H4826" s="6" t="str">
        <f>IFERROR(__xludf.DUMMYFUNCTION("""COMPUTED_VALUE"""),"female")</f>
        <v>female</v>
      </c>
      <c r="I4826" s="6" t="str">
        <f>IFERROR(__xludf.DUMMYFUNCTION("""COMPUTED_VALUE"""),"Middle School")</f>
        <v>Middle School</v>
      </c>
      <c r="J4826" s="6" t="str">
        <f>IFERROR(__xludf.DUMMYFUNCTION("""COMPUTED_VALUE"""),"6")</f>
        <v>6</v>
      </c>
      <c r="K4826" s="6" t="str">
        <f>IFERROR(__xludf.DUMMYFUNCTION("""COMPUTED_VALUE"""),"deniseyohana.rioscruz@2hourlearning.com")</f>
        <v>deniseyohana.rioscruz@2hourlearning.com</v>
      </c>
      <c r="L4826" s="6" t="str">
        <f>IFERROR(__xludf.DUMMYFUNCTION("""COMPUTED_VALUE"""),"JHMS - Hardeeville Junior Senior High School")</f>
        <v>JHMS - Hardeeville Junior Senior High School</v>
      </c>
      <c r="M4826" s="6" t="str">
        <f>IFERROR(__xludf.DUMMYFUNCTION("""COMPUTED_VALUE"""),"")</f>
        <v/>
      </c>
      <c r="N4826" s="6" t="str">
        <f>IFERROR(__xludf.DUMMYFUNCTION("""COMPUTED_VALUE"""),"")</f>
        <v/>
      </c>
      <c r="O4826" s="87" t="str">
        <f>IFERROR(__xludf.DUMMYFUNCTION("""COMPUTED_VALUE"""),"https://drive.google.com/drive/folders/10T2cTQHqEJZqE-st6uFKPoI?usp=share_link")</f>
        <v>https://drive.google.com/drive/folders/10T2cTQHqEJZqE-st6uFKPoI?usp=share_link</v>
      </c>
      <c r="P4826" s="6" t="str">
        <f>IFERROR(__xludf.DUMMYFUNCTION("""COMPUTED_VALUE"""),"Denise Yohana Rios Cruz")</f>
        <v>Denise Yohana Rios Cruz</v>
      </c>
      <c r="Q4826" s="6" t="str">
        <f>IFERROR(__xludf.DUMMYFUNCTION("""COMPUTED_VALUE"""),"MS")</f>
        <v>MS</v>
      </c>
      <c r="R4826" s="6">
        <f>IFERROR(__xludf.DUMMYFUNCTION("""COMPUTED_VALUE"""),0.0)</f>
        <v>0</v>
      </c>
      <c r="S4826" s="6" t="str">
        <f>IFERROR(__xludf.DUMMYFUNCTION("""COMPUTED_VALUE"""),"Kimberly Ball")</f>
        <v>Kimberly Ball</v>
      </c>
      <c r="T4826" s="6" t="str">
        <f>IFERROR(__xludf.DUMMYFUNCTION("""COMPUTED_VALUE"""),"kimberly.ball@studient.com")</f>
        <v>kimberly.ball@studient.com</v>
      </c>
      <c r="U4826" s="6" t="str">
        <f>IFERROR(__xludf.DUMMYFUNCTION("""COMPUTED_VALUE"""),"6")</f>
        <v>6</v>
      </c>
      <c r="V4826" s="6" t="str">
        <f>IFERROR(__xludf.DUMMYFUNCTION("""COMPUTED_VALUE"""),"")</f>
        <v/>
      </c>
      <c r="W4826" s="6" t="str">
        <f>IFERROR(__xludf.DUMMYFUNCTION("""COMPUTED_VALUE"""),"[]")</f>
        <v>[]</v>
      </c>
      <c r="X4826" s="6" t="str">
        <f>IFERROR(__xludf.DUMMYFUNCTION("""COMPUTED_VALUE"""),"Enrolled")</f>
        <v>Enrolled</v>
      </c>
    </row>
    <row r="4827">
      <c r="A4827" s="6" t="str">
        <f>IFERROR(__xludf.DUMMYFUNCTION("""COMPUTED_VALUE"""),"084-13189")</f>
        <v>084-13189</v>
      </c>
      <c r="B4827" s="6" t="str">
        <f>IFERROR(__xludf.DUMMYFUNCTION("""COMPUTED_VALUE"""),"84")</f>
        <v>84</v>
      </c>
      <c r="C4827" s="6" t="str">
        <f>IFERROR(__xludf.DUMMYFUNCTION("""COMPUTED_VALUE"""),"13189")</f>
        <v>13189</v>
      </c>
      <c r="D4827" s="6" t="str">
        <f>IFERROR(__xludf.DUMMYFUNCTION("""COMPUTED_VALUE"""),"Iker")</f>
        <v>Iker</v>
      </c>
      <c r="E4827" s="6" t="str">
        <f>IFERROR(__xludf.DUMMYFUNCTION("""COMPUTED_VALUE"""),"")</f>
        <v/>
      </c>
      <c r="F4827" s="6" t="str">
        <f>IFERROR(__xludf.DUMMYFUNCTION("""COMPUTED_VALUE"""),"Rojo Valente")</f>
        <v>Rojo Valente</v>
      </c>
      <c r="G4827" s="6" t="str">
        <f>IFERROR(__xludf.DUMMYFUNCTION("""COMPUTED_VALUE"""),"01/18/2014")</f>
        <v>01/18/2014</v>
      </c>
      <c r="H4827" s="6" t="str">
        <f>IFERROR(__xludf.DUMMYFUNCTION("""COMPUTED_VALUE"""),"female")</f>
        <v>female</v>
      </c>
      <c r="I4827" s="6" t="str">
        <f>IFERROR(__xludf.DUMMYFUNCTION("""COMPUTED_VALUE"""),"Middle School")</f>
        <v>Middle School</v>
      </c>
      <c r="J4827" s="6" t="str">
        <f>IFERROR(__xludf.DUMMYFUNCTION("""COMPUTED_VALUE"""),"6")</f>
        <v>6</v>
      </c>
      <c r="K4827" s="6" t="str">
        <f>IFERROR(__xludf.DUMMYFUNCTION("""COMPUTED_VALUE"""),"iker.rojovalente@2hourlearning.com")</f>
        <v>iker.rojovalente@2hourlearning.com</v>
      </c>
      <c r="L4827" s="6" t="str">
        <f>IFERROR(__xludf.DUMMYFUNCTION("""COMPUTED_VALUE"""),"JHMS - Hardeeville Junior Senior High School")</f>
        <v>JHMS - Hardeeville Junior Senior High School</v>
      </c>
      <c r="M4827" s="6" t="str">
        <f>IFERROR(__xludf.DUMMYFUNCTION("""COMPUTED_VALUE"""),"")</f>
        <v/>
      </c>
      <c r="N4827" s="6" t="str">
        <f>IFERROR(__xludf.DUMMYFUNCTION("""COMPUTED_VALUE"""),"")</f>
        <v/>
      </c>
      <c r="O4827" s="87" t="str">
        <f>IFERROR(__xludf.DUMMYFUNCTION("""COMPUTED_VALUE"""),"https://drive.google.com/drive/folders/10T2cTQHqEJZqE-st6uFKPoI?usp=share_link")</f>
        <v>https://drive.google.com/drive/folders/10T2cTQHqEJZqE-st6uFKPoI?usp=share_link</v>
      </c>
      <c r="P4827" s="6" t="str">
        <f>IFERROR(__xludf.DUMMYFUNCTION("""COMPUTED_VALUE"""),"Iker Rojo Valente")</f>
        <v>Iker Rojo Valente</v>
      </c>
      <c r="Q4827" s="6" t="str">
        <f>IFERROR(__xludf.DUMMYFUNCTION("""COMPUTED_VALUE"""),"MS")</f>
        <v>MS</v>
      </c>
      <c r="R4827" s="6">
        <f>IFERROR(__xludf.DUMMYFUNCTION("""COMPUTED_VALUE"""),0.0)</f>
        <v>0</v>
      </c>
      <c r="S4827" s="6" t="str">
        <f>IFERROR(__xludf.DUMMYFUNCTION("""COMPUTED_VALUE"""),"Kimberly Ball")</f>
        <v>Kimberly Ball</v>
      </c>
      <c r="T4827" s="6" t="str">
        <f>IFERROR(__xludf.DUMMYFUNCTION("""COMPUTED_VALUE"""),"kimberly.ball@studient.com")</f>
        <v>kimberly.ball@studient.com</v>
      </c>
      <c r="U4827" s="6" t="str">
        <f>IFERROR(__xludf.DUMMYFUNCTION("""COMPUTED_VALUE"""),"6")</f>
        <v>6</v>
      </c>
      <c r="V4827" s="6" t="str">
        <f>IFERROR(__xludf.DUMMYFUNCTION("""COMPUTED_VALUE"""),"")</f>
        <v/>
      </c>
      <c r="W4827" s="6" t="str">
        <f>IFERROR(__xludf.DUMMYFUNCTION("""COMPUTED_VALUE"""),"[]")</f>
        <v>[]</v>
      </c>
      <c r="X4827" s="6" t="str">
        <f>IFERROR(__xludf.DUMMYFUNCTION("""COMPUTED_VALUE"""),"Enrolled")</f>
        <v>Enrolled</v>
      </c>
    </row>
    <row r="4828">
      <c r="A4828" s="6" t="str">
        <f>IFERROR(__xludf.DUMMYFUNCTION("""COMPUTED_VALUE"""),"084-13190")</f>
        <v>084-13190</v>
      </c>
      <c r="B4828" s="6" t="str">
        <f>IFERROR(__xludf.DUMMYFUNCTION("""COMPUTED_VALUE"""),"84")</f>
        <v>84</v>
      </c>
      <c r="C4828" s="6" t="str">
        <f>IFERROR(__xludf.DUMMYFUNCTION("""COMPUTED_VALUE"""),"13190")</f>
        <v>13190</v>
      </c>
      <c r="D4828" s="6" t="str">
        <f>IFERROR(__xludf.DUMMYFUNCTION("""COMPUTED_VALUE"""),"Karim")</f>
        <v>Karim</v>
      </c>
      <c r="E4828" s="6" t="str">
        <f>IFERROR(__xludf.DUMMYFUNCTION("""COMPUTED_VALUE"""),"")</f>
        <v/>
      </c>
      <c r="F4828" s="6" t="str">
        <f>IFERROR(__xludf.DUMMYFUNCTION("""COMPUTED_VALUE"""),"Roman Perez")</f>
        <v>Roman Perez</v>
      </c>
      <c r="G4828" s="6" t="str">
        <f>IFERROR(__xludf.DUMMYFUNCTION("""COMPUTED_VALUE"""),"09/28/2013")</f>
        <v>09/28/2013</v>
      </c>
      <c r="H4828" s="6" t="str">
        <f>IFERROR(__xludf.DUMMYFUNCTION("""COMPUTED_VALUE"""),"female")</f>
        <v>female</v>
      </c>
      <c r="I4828" s="6" t="str">
        <f>IFERROR(__xludf.DUMMYFUNCTION("""COMPUTED_VALUE"""),"Middle School")</f>
        <v>Middle School</v>
      </c>
      <c r="J4828" s="6" t="str">
        <f>IFERROR(__xludf.DUMMYFUNCTION("""COMPUTED_VALUE"""),"6")</f>
        <v>6</v>
      </c>
      <c r="K4828" s="6" t="str">
        <f>IFERROR(__xludf.DUMMYFUNCTION("""COMPUTED_VALUE"""),"karim.romanperez@2hourlearning.com")</f>
        <v>karim.romanperez@2hourlearning.com</v>
      </c>
      <c r="L4828" s="6" t="str">
        <f>IFERROR(__xludf.DUMMYFUNCTION("""COMPUTED_VALUE"""),"JHMS - Hardeeville Junior Senior High School")</f>
        <v>JHMS - Hardeeville Junior Senior High School</v>
      </c>
      <c r="M4828" s="6" t="str">
        <f>IFERROR(__xludf.DUMMYFUNCTION("""COMPUTED_VALUE"""),"")</f>
        <v/>
      </c>
      <c r="N4828" s="6" t="str">
        <f>IFERROR(__xludf.DUMMYFUNCTION("""COMPUTED_VALUE"""),"")</f>
        <v/>
      </c>
      <c r="O4828" s="87" t="str">
        <f>IFERROR(__xludf.DUMMYFUNCTION("""COMPUTED_VALUE"""),"https://drive.google.com/drive/folders/10T2cTQHqEJZqE-st6uFKPoI?usp=share_link")</f>
        <v>https://drive.google.com/drive/folders/10T2cTQHqEJZqE-st6uFKPoI?usp=share_link</v>
      </c>
      <c r="P4828" s="6" t="str">
        <f>IFERROR(__xludf.DUMMYFUNCTION("""COMPUTED_VALUE"""),"Karim Roman Perez")</f>
        <v>Karim Roman Perez</v>
      </c>
      <c r="Q4828" s="6" t="str">
        <f>IFERROR(__xludf.DUMMYFUNCTION("""COMPUTED_VALUE"""),"MS")</f>
        <v>MS</v>
      </c>
      <c r="R4828" s="6">
        <f>IFERROR(__xludf.DUMMYFUNCTION("""COMPUTED_VALUE"""),0.0)</f>
        <v>0</v>
      </c>
      <c r="S4828" s="6" t="str">
        <f>IFERROR(__xludf.DUMMYFUNCTION("""COMPUTED_VALUE"""),"Kimberly Ball")</f>
        <v>Kimberly Ball</v>
      </c>
      <c r="T4828" s="6" t="str">
        <f>IFERROR(__xludf.DUMMYFUNCTION("""COMPUTED_VALUE"""),"kimberly.ball@studient.com")</f>
        <v>kimberly.ball@studient.com</v>
      </c>
      <c r="U4828" s="6" t="str">
        <f>IFERROR(__xludf.DUMMYFUNCTION("""COMPUTED_VALUE"""),"6")</f>
        <v>6</v>
      </c>
      <c r="V4828" s="6" t="str">
        <f>IFERROR(__xludf.DUMMYFUNCTION("""COMPUTED_VALUE"""),"")</f>
        <v/>
      </c>
      <c r="W4828" s="6" t="str">
        <f>IFERROR(__xludf.DUMMYFUNCTION("""COMPUTED_VALUE"""),"[]")</f>
        <v>[]</v>
      </c>
      <c r="X4828" s="6" t="str">
        <f>IFERROR(__xludf.DUMMYFUNCTION("""COMPUTED_VALUE"""),"Enrolled")</f>
        <v>Enrolled</v>
      </c>
    </row>
    <row r="4829">
      <c r="A4829" s="6" t="str">
        <f>IFERROR(__xludf.DUMMYFUNCTION("""COMPUTED_VALUE"""),"084-13191")</f>
        <v>084-13191</v>
      </c>
      <c r="B4829" s="6" t="str">
        <f>IFERROR(__xludf.DUMMYFUNCTION("""COMPUTED_VALUE"""),"84")</f>
        <v>84</v>
      </c>
      <c r="C4829" s="6" t="str">
        <f>IFERROR(__xludf.DUMMYFUNCTION("""COMPUTED_VALUE"""),"13191")</f>
        <v>13191</v>
      </c>
      <c r="D4829" s="6" t="str">
        <f>IFERROR(__xludf.DUMMYFUNCTION("""COMPUTED_VALUE"""),"Diana")</f>
        <v>Diana</v>
      </c>
      <c r="E4829" s="6" t="str">
        <f>IFERROR(__xludf.DUMMYFUNCTION("""COMPUTED_VALUE"""),"")</f>
        <v/>
      </c>
      <c r="F4829" s="6" t="str">
        <f>IFERROR(__xludf.DUMMYFUNCTION("""COMPUTED_VALUE"""),"Romero Martinez")</f>
        <v>Romero Martinez</v>
      </c>
      <c r="G4829" s="6" t="str">
        <f>IFERROR(__xludf.DUMMYFUNCTION("""COMPUTED_VALUE"""),"11/14/2013")</f>
        <v>11/14/2013</v>
      </c>
      <c r="H4829" s="6" t="str">
        <f>IFERROR(__xludf.DUMMYFUNCTION("""COMPUTED_VALUE"""),"female")</f>
        <v>female</v>
      </c>
      <c r="I4829" s="6" t="str">
        <f>IFERROR(__xludf.DUMMYFUNCTION("""COMPUTED_VALUE"""),"Middle School")</f>
        <v>Middle School</v>
      </c>
      <c r="J4829" s="6" t="str">
        <f>IFERROR(__xludf.DUMMYFUNCTION("""COMPUTED_VALUE"""),"6")</f>
        <v>6</v>
      </c>
      <c r="K4829" s="6" t="str">
        <f>IFERROR(__xludf.DUMMYFUNCTION("""COMPUTED_VALUE"""),"diana.romeromartinez@2hourlearning.com")</f>
        <v>diana.romeromartinez@2hourlearning.com</v>
      </c>
      <c r="L4829" s="6" t="str">
        <f>IFERROR(__xludf.DUMMYFUNCTION("""COMPUTED_VALUE"""),"JHMS - Hardeeville Junior Senior High School")</f>
        <v>JHMS - Hardeeville Junior Senior High School</v>
      </c>
      <c r="M4829" s="6" t="str">
        <f>IFERROR(__xludf.DUMMYFUNCTION("""COMPUTED_VALUE"""),"")</f>
        <v/>
      </c>
      <c r="N4829" s="6" t="str">
        <f>IFERROR(__xludf.DUMMYFUNCTION("""COMPUTED_VALUE"""),"")</f>
        <v/>
      </c>
      <c r="O4829" s="87" t="str">
        <f>IFERROR(__xludf.DUMMYFUNCTION("""COMPUTED_VALUE"""),"https://drive.google.com/drive/folders/10T2cTQHqEJZqE-st6uFKPoI?usp=share_link")</f>
        <v>https://drive.google.com/drive/folders/10T2cTQHqEJZqE-st6uFKPoI?usp=share_link</v>
      </c>
      <c r="P4829" s="6" t="str">
        <f>IFERROR(__xludf.DUMMYFUNCTION("""COMPUTED_VALUE"""),"Diana Romero Martinez")</f>
        <v>Diana Romero Martinez</v>
      </c>
      <c r="Q4829" s="6" t="str">
        <f>IFERROR(__xludf.DUMMYFUNCTION("""COMPUTED_VALUE"""),"MS")</f>
        <v>MS</v>
      </c>
      <c r="R4829" s="6">
        <f>IFERROR(__xludf.DUMMYFUNCTION("""COMPUTED_VALUE"""),0.0)</f>
        <v>0</v>
      </c>
      <c r="S4829" s="6" t="str">
        <f>IFERROR(__xludf.DUMMYFUNCTION("""COMPUTED_VALUE"""),"Kimberly Ball")</f>
        <v>Kimberly Ball</v>
      </c>
      <c r="T4829" s="6" t="str">
        <f>IFERROR(__xludf.DUMMYFUNCTION("""COMPUTED_VALUE"""),"kimberly.ball@studient.com")</f>
        <v>kimberly.ball@studient.com</v>
      </c>
      <c r="U4829" s="6" t="str">
        <f>IFERROR(__xludf.DUMMYFUNCTION("""COMPUTED_VALUE"""),"6")</f>
        <v>6</v>
      </c>
      <c r="V4829" s="6" t="str">
        <f>IFERROR(__xludf.DUMMYFUNCTION("""COMPUTED_VALUE"""),"")</f>
        <v/>
      </c>
      <c r="W4829" s="6" t="str">
        <f>IFERROR(__xludf.DUMMYFUNCTION("""COMPUTED_VALUE"""),"[]")</f>
        <v>[]</v>
      </c>
      <c r="X4829" s="6" t="str">
        <f>IFERROR(__xludf.DUMMYFUNCTION("""COMPUTED_VALUE"""),"Enrolled")</f>
        <v>Enrolled</v>
      </c>
    </row>
    <row r="4830">
      <c r="A4830" s="6" t="str">
        <f>IFERROR(__xludf.DUMMYFUNCTION("""COMPUTED_VALUE"""),"084-13192")</f>
        <v>084-13192</v>
      </c>
      <c r="B4830" s="6" t="str">
        <f>IFERROR(__xludf.DUMMYFUNCTION("""COMPUTED_VALUE"""),"84")</f>
        <v>84</v>
      </c>
      <c r="C4830" s="6" t="str">
        <f>IFERROR(__xludf.DUMMYFUNCTION("""COMPUTED_VALUE"""),"13192")</f>
        <v>13192</v>
      </c>
      <c r="D4830" s="6" t="str">
        <f>IFERROR(__xludf.DUMMYFUNCTION("""COMPUTED_VALUE"""),"Kimberly")</f>
        <v>Kimberly</v>
      </c>
      <c r="E4830" s="6" t="str">
        <f>IFERROR(__xludf.DUMMYFUNCTION("""COMPUTED_VALUE"""),"")</f>
        <v/>
      </c>
      <c r="F4830" s="6" t="str">
        <f>IFERROR(__xludf.DUMMYFUNCTION("""COMPUTED_VALUE"""),"Romero-Garcia")</f>
        <v>Romero-Garcia</v>
      </c>
      <c r="G4830" s="6" t="str">
        <f>IFERROR(__xludf.DUMMYFUNCTION("""COMPUTED_VALUE"""),"12/01/2013")</f>
        <v>12/01/2013</v>
      </c>
      <c r="H4830" s="6" t="str">
        <f>IFERROR(__xludf.DUMMYFUNCTION("""COMPUTED_VALUE"""),"male")</f>
        <v>male</v>
      </c>
      <c r="I4830" s="6" t="str">
        <f>IFERROR(__xludf.DUMMYFUNCTION("""COMPUTED_VALUE"""),"Middle School")</f>
        <v>Middle School</v>
      </c>
      <c r="J4830" s="6" t="str">
        <f>IFERROR(__xludf.DUMMYFUNCTION("""COMPUTED_VALUE"""),"6")</f>
        <v>6</v>
      </c>
      <c r="K4830" s="6" t="str">
        <f>IFERROR(__xludf.DUMMYFUNCTION("""COMPUTED_VALUE"""),"kimberly.romero-garcia@2hourlearning.com")</f>
        <v>kimberly.romero-garcia@2hourlearning.com</v>
      </c>
      <c r="L4830" s="6" t="str">
        <f>IFERROR(__xludf.DUMMYFUNCTION("""COMPUTED_VALUE"""),"JHMS - Hardeeville Junior Senior High School")</f>
        <v>JHMS - Hardeeville Junior Senior High School</v>
      </c>
      <c r="M4830" s="6" t="str">
        <f>IFERROR(__xludf.DUMMYFUNCTION("""COMPUTED_VALUE"""),"")</f>
        <v/>
      </c>
      <c r="N4830" s="6" t="str">
        <f>IFERROR(__xludf.DUMMYFUNCTION("""COMPUTED_VALUE"""),"")</f>
        <v/>
      </c>
      <c r="O4830" s="87" t="str">
        <f>IFERROR(__xludf.DUMMYFUNCTION("""COMPUTED_VALUE"""),"https://drive.google.com/drive/folders/10T2cTQHqEJZqE-st6uFKPoI?usp=share_link")</f>
        <v>https://drive.google.com/drive/folders/10T2cTQHqEJZqE-st6uFKPoI?usp=share_link</v>
      </c>
      <c r="P4830" s="6" t="str">
        <f>IFERROR(__xludf.DUMMYFUNCTION("""COMPUTED_VALUE"""),"Kimberly Romero-Garcia")</f>
        <v>Kimberly Romero-Garcia</v>
      </c>
      <c r="Q4830" s="6" t="str">
        <f>IFERROR(__xludf.DUMMYFUNCTION("""COMPUTED_VALUE"""),"MS")</f>
        <v>MS</v>
      </c>
      <c r="R4830" s="6">
        <f>IFERROR(__xludf.DUMMYFUNCTION("""COMPUTED_VALUE"""),0.0)</f>
        <v>0</v>
      </c>
      <c r="S4830" s="6" t="str">
        <f>IFERROR(__xludf.DUMMYFUNCTION("""COMPUTED_VALUE"""),"Kimberly Ball")</f>
        <v>Kimberly Ball</v>
      </c>
      <c r="T4830" s="6" t="str">
        <f>IFERROR(__xludf.DUMMYFUNCTION("""COMPUTED_VALUE"""),"kimberly.ball@studient.com")</f>
        <v>kimberly.ball@studient.com</v>
      </c>
      <c r="U4830" s="6" t="str">
        <f>IFERROR(__xludf.DUMMYFUNCTION("""COMPUTED_VALUE"""),"6")</f>
        <v>6</v>
      </c>
      <c r="V4830" s="6" t="str">
        <f>IFERROR(__xludf.DUMMYFUNCTION("""COMPUTED_VALUE"""),"")</f>
        <v/>
      </c>
      <c r="W4830" s="6" t="str">
        <f>IFERROR(__xludf.DUMMYFUNCTION("""COMPUTED_VALUE"""),"[]")</f>
        <v>[]</v>
      </c>
      <c r="X4830" s="6" t="str">
        <f>IFERROR(__xludf.DUMMYFUNCTION("""COMPUTED_VALUE"""),"Enrolled")</f>
        <v>Enrolled</v>
      </c>
    </row>
    <row r="4831">
      <c r="A4831" s="6" t="str">
        <f>IFERROR(__xludf.DUMMYFUNCTION("""COMPUTED_VALUE"""),"084-13193")</f>
        <v>084-13193</v>
      </c>
      <c r="B4831" s="6" t="str">
        <f>IFERROR(__xludf.DUMMYFUNCTION("""COMPUTED_VALUE"""),"84")</f>
        <v>84</v>
      </c>
      <c r="C4831" s="6" t="str">
        <f>IFERROR(__xludf.DUMMYFUNCTION("""COMPUTED_VALUE"""),"13193")</f>
        <v>13193</v>
      </c>
      <c r="D4831" s="6" t="str">
        <f>IFERROR(__xludf.DUMMYFUNCTION("""COMPUTED_VALUE"""),"Diana Y")</f>
        <v>Diana Y</v>
      </c>
      <c r="E4831" s="6" t="str">
        <f>IFERROR(__xludf.DUMMYFUNCTION("""COMPUTED_VALUE"""),"")</f>
        <v/>
      </c>
      <c r="F4831" s="6" t="str">
        <f>IFERROR(__xludf.DUMMYFUNCTION("""COMPUTED_VALUE"""),"Salgado Donjuan")</f>
        <v>Salgado Donjuan</v>
      </c>
      <c r="G4831" s="6" t="str">
        <f>IFERROR(__xludf.DUMMYFUNCTION("""COMPUTED_VALUE"""),"08/27/2013")</f>
        <v>08/27/2013</v>
      </c>
      <c r="H4831" s="6" t="str">
        <f>IFERROR(__xludf.DUMMYFUNCTION("""COMPUTED_VALUE"""),"male")</f>
        <v>male</v>
      </c>
      <c r="I4831" s="6" t="str">
        <f>IFERROR(__xludf.DUMMYFUNCTION("""COMPUTED_VALUE"""),"Middle School")</f>
        <v>Middle School</v>
      </c>
      <c r="J4831" s="6" t="str">
        <f>IFERROR(__xludf.DUMMYFUNCTION("""COMPUTED_VALUE"""),"6")</f>
        <v>6</v>
      </c>
      <c r="K4831" s="6" t="str">
        <f>IFERROR(__xludf.DUMMYFUNCTION("""COMPUTED_VALUE"""),"dianay.salgadodonjuan@2hourlearning.com")</f>
        <v>dianay.salgadodonjuan@2hourlearning.com</v>
      </c>
      <c r="L4831" s="6" t="str">
        <f>IFERROR(__xludf.DUMMYFUNCTION("""COMPUTED_VALUE"""),"JHMS - Hardeeville Junior Senior High School")</f>
        <v>JHMS - Hardeeville Junior Senior High School</v>
      </c>
      <c r="M4831" s="6" t="str">
        <f>IFERROR(__xludf.DUMMYFUNCTION("""COMPUTED_VALUE"""),"")</f>
        <v/>
      </c>
      <c r="N4831" s="6" t="str">
        <f>IFERROR(__xludf.DUMMYFUNCTION("""COMPUTED_VALUE"""),"")</f>
        <v/>
      </c>
      <c r="O4831" s="87" t="str">
        <f>IFERROR(__xludf.DUMMYFUNCTION("""COMPUTED_VALUE"""),"https://drive.google.com/drive/folders/10T2cTQHqEJZqE-st6uFKPoI?usp=share_link")</f>
        <v>https://drive.google.com/drive/folders/10T2cTQHqEJZqE-st6uFKPoI?usp=share_link</v>
      </c>
      <c r="P4831" s="6" t="str">
        <f>IFERROR(__xludf.DUMMYFUNCTION("""COMPUTED_VALUE"""),"Diana Y Salgado Donjuan")</f>
        <v>Diana Y Salgado Donjuan</v>
      </c>
      <c r="Q4831" s="6" t="str">
        <f>IFERROR(__xludf.DUMMYFUNCTION("""COMPUTED_VALUE"""),"MS")</f>
        <v>MS</v>
      </c>
      <c r="R4831" s="6">
        <f>IFERROR(__xludf.DUMMYFUNCTION("""COMPUTED_VALUE"""),0.0)</f>
        <v>0</v>
      </c>
      <c r="S4831" s="6" t="str">
        <f>IFERROR(__xludf.DUMMYFUNCTION("""COMPUTED_VALUE"""),"Kimberly Ball")</f>
        <v>Kimberly Ball</v>
      </c>
      <c r="T4831" s="6" t="str">
        <f>IFERROR(__xludf.DUMMYFUNCTION("""COMPUTED_VALUE"""),"kimberly.ball@studient.com")</f>
        <v>kimberly.ball@studient.com</v>
      </c>
      <c r="U4831" s="6" t="str">
        <f>IFERROR(__xludf.DUMMYFUNCTION("""COMPUTED_VALUE"""),"6")</f>
        <v>6</v>
      </c>
      <c r="V4831" s="6" t="str">
        <f>IFERROR(__xludf.DUMMYFUNCTION("""COMPUTED_VALUE"""),"")</f>
        <v/>
      </c>
      <c r="W4831" s="6" t="str">
        <f>IFERROR(__xludf.DUMMYFUNCTION("""COMPUTED_VALUE"""),"[]")</f>
        <v>[]</v>
      </c>
      <c r="X4831" s="6" t="str">
        <f>IFERROR(__xludf.DUMMYFUNCTION("""COMPUTED_VALUE"""),"Enrolled")</f>
        <v>Enrolled</v>
      </c>
    </row>
    <row r="4832">
      <c r="A4832" s="6" t="str">
        <f>IFERROR(__xludf.DUMMYFUNCTION("""COMPUTED_VALUE"""),"084-13194")</f>
        <v>084-13194</v>
      </c>
      <c r="B4832" s="6" t="str">
        <f>IFERROR(__xludf.DUMMYFUNCTION("""COMPUTED_VALUE"""),"84")</f>
        <v>84</v>
      </c>
      <c r="C4832" s="6" t="str">
        <f>IFERROR(__xludf.DUMMYFUNCTION("""COMPUTED_VALUE"""),"13194")</f>
        <v>13194</v>
      </c>
      <c r="D4832" s="6" t="str">
        <f>IFERROR(__xludf.DUMMYFUNCTION("""COMPUTED_VALUE"""),"Brittany")</f>
        <v>Brittany</v>
      </c>
      <c r="E4832" s="6" t="str">
        <f>IFERROR(__xludf.DUMMYFUNCTION("""COMPUTED_VALUE"""),"")</f>
        <v/>
      </c>
      <c r="F4832" s="6" t="str">
        <f>IFERROR(__xludf.DUMMYFUNCTION("""COMPUTED_VALUE"""),"Salgado-Maldonado")</f>
        <v>Salgado-Maldonado</v>
      </c>
      <c r="G4832" s="6" t="str">
        <f>IFERROR(__xludf.DUMMYFUNCTION("""COMPUTED_VALUE"""),"04/08/2014")</f>
        <v>04/08/2014</v>
      </c>
      <c r="H4832" s="6" t="str">
        <f>IFERROR(__xludf.DUMMYFUNCTION("""COMPUTED_VALUE"""),"female")</f>
        <v>female</v>
      </c>
      <c r="I4832" s="6" t="str">
        <f>IFERROR(__xludf.DUMMYFUNCTION("""COMPUTED_VALUE"""),"Middle School")</f>
        <v>Middle School</v>
      </c>
      <c r="J4832" s="6" t="str">
        <f>IFERROR(__xludf.DUMMYFUNCTION("""COMPUTED_VALUE"""),"6")</f>
        <v>6</v>
      </c>
      <c r="K4832" s="6" t="str">
        <f>IFERROR(__xludf.DUMMYFUNCTION("""COMPUTED_VALUE"""),"brittany.salgado-maldonado@2hourlearning.com")</f>
        <v>brittany.salgado-maldonado@2hourlearning.com</v>
      </c>
      <c r="L4832" s="6" t="str">
        <f>IFERROR(__xludf.DUMMYFUNCTION("""COMPUTED_VALUE"""),"JHMS - Hardeeville Junior Senior High School")</f>
        <v>JHMS - Hardeeville Junior Senior High School</v>
      </c>
      <c r="M4832" s="6" t="str">
        <f>IFERROR(__xludf.DUMMYFUNCTION("""COMPUTED_VALUE"""),"")</f>
        <v/>
      </c>
      <c r="N4832" s="6" t="str">
        <f>IFERROR(__xludf.DUMMYFUNCTION("""COMPUTED_VALUE"""),"")</f>
        <v/>
      </c>
      <c r="O4832" s="87" t="str">
        <f>IFERROR(__xludf.DUMMYFUNCTION("""COMPUTED_VALUE"""),"https://drive.google.com/drive/folders/10T2cTQHqEJZqE-st6uFKPoI?usp=share_link")</f>
        <v>https://drive.google.com/drive/folders/10T2cTQHqEJZqE-st6uFKPoI?usp=share_link</v>
      </c>
      <c r="P4832" s="6" t="str">
        <f>IFERROR(__xludf.DUMMYFUNCTION("""COMPUTED_VALUE"""),"Brittany Salgado-Maldonado")</f>
        <v>Brittany Salgado-Maldonado</v>
      </c>
      <c r="Q4832" s="6" t="str">
        <f>IFERROR(__xludf.DUMMYFUNCTION("""COMPUTED_VALUE"""),"MS")</f>
        <v>MS</v>
      </c>
      <c r="R4832" s="6">
        <f>IFERROR(__xludf.DUMMYFUNCTION("""COMPUTED_VALUE"""),0.0)</f>
        <v>0</v>
      </c>
      <c r="S4832" s="6" t="str">
        <f>IFERROR(__xludf.DUMMYFUNCTION("""COMPUTED_VALUE"""),"Kimberly Ball")</f>
        <v>Kimberly Ball</v>
      </c>
      <c r="T4832" s="6" t="str">
        <f>IFERROR(__xludf.DUMMYFUNCTION("""COMPUTED_VALUE"""),"kimberly.ball@studient.com")</f>
        <v>kimberly.ball@studient.com</v>
      </c>
      <c r="U4832" s="6" t="str">
        <f>IFERROR(__xludf.DUMMYFUNCTION("""COMPUTED_VALUE"""),"6")</f>
        <v>6</v>
      </c>
      <c r="V4832" s="6" t="str">
        <f>IFERROR(__xludf.DUMMYFUNCTION("""COMPUTED_VALUE"""),"")</f>
        <v/>
      </c>
      <c r="W4832" s="6" t="str">
        <f>IFERROR(__xludf.DUMMYFUNCTION("""COMPUTED_VALUE"""),"[]")</f>
        <v>[]</v>
      </c>
      <c r="X4832" s="6" t="str">
        <f>IFERROR(__xludf.DUMMYFUNCTION("""COMPUTED_VALUE"""),"Enrolled")</f>
        <v>Enrolled</v>
      </c>
    </row>
    <row r="4833">
      <c r="A4833" s="6" t="str">
        <f>IFERROR(__xludf.DUMMYFUNCTION("""COMPUTED_VALUE"""),"084-13195")</f>
        <v>084-13195</v>
      </c>
      <c r="B4833" s="6" t="str">
        <f>IFERROR(__xludf.DUMMYFUNCTION("""COMPUTED_VALUE"""),"84")</f>
        <v>84</v>
      </c>
      <c r="C4833" s="6" t="str">
        <f>IFERROR(__xludf.DUMMYFUNCTION("""COMPUTED_VALUE"""),"13195")</f>
        <v>13195</v>
      </c>
      <c r="D4833" s="6" t="str">
        <f>IFERROR(__xludf.DUMMYFUNCTION("""COMPUTED_VALUE"""),"Edward")</f>
        <v>Edward</v>
      </c>
      <c r="E4833" s="6" t="str">
        <f>IFERROR(__xludf.DUMMYFUNCTION("""COMPUTED_VALUE"""),"")</f>
        <v/>
      </c>
      <c r="F4833" s="6" t="str">
        <f>IFERROR(__xludf.DUMMYFUNCTION("""COMPUTED_VALUE"""),"Sandoval Garcia")</f>
        <v>Sandoval Garcia</v>
      </c>
      <c r="G4833" s="6" t="str">
        <f>IFERROR(__xludf.DUMMYFUNCTION("""COMPUTED_VALUE"""),"04/15/2014")</f>
        <v>04/15/2014</v>
      </c>
      <c r="H4833" s="6" t="str">
        <f>IFERROR(__xludf.DUMMYFUNCTION("""COMPUTED_VALUE"""),"female")</f>
        <v>female</v>
      </c>
      <c r="I4833" s="6" t="str">
        <f>IFERROR(__xludf.DUMMYFUNCTION("""COMPUTED_VALUE"""),"Middle School")</f>
        <v>Middle School</v>
      </c>
      <c r="J4833" s="6" t="str">
        <f>IFERROR(__xludf.DUMMYFUNCTION("""COMPUTED_VALUE"""),"6")</f>
        <v>6</v>
      </c>
      <c r="K4833" s="6" t="str">
        <f>IFERROR(__xludf.DUMMYFUNCTION("""COMPUTED_VALUE"""),"edward.sandovalgarcia@2hourlearning.com")</f>
        <v>edward.sandovalgarcia@2hourlearning.com</v>
      </c>
      <c r="L4833" s="6" t="str">
        <f>IFERROR(__xludf.DUMMYFUNCTION("""COMPUTED_VALUE"""),"JHMS - Hardeeville Junior Senior High School")</f>
        <v>JHMS - Hardeeville Junior Senior High School</v>
      </c>
      <c r="M4833" s="6" t="str">
        <f>IFERROR(__xludf.DUMMYFUNCTION("""COMPUTED_VALUE"""),"")</f>
        <v/>
      </c>
      <c r="N4833" s="6" t="str">
        <f>IFERROR(__xludf.DUMMYFUNCTION("""COMPUTED_VALUE"""),"")</f>
        <v/>
      </c>
      <c r="O4833" s="87" t="str">
        <f>IFERROR(__xludf.DUMMYFUNCTION("""COMPUTED_VALUE"""),"https://drive.google.com/drive/folders/10T2cTQHqEJZqE-st6uFKPoI?usp=share_link")</f>
        <v>https://drive.google.com/drive/folders/10T2cTQHqEJZqE-st6uFKPoI?usp=share_link</v>
      </c>
      <c r="P4833" s="6" t="str">
        <f>IFERROR(__xludf.DUMMYFUNCTION("""COMPUTED_VALUE"""),"Edward Sandoval Garcia")</f>
        <v>Edward Sandoval Garcia</v>
      </c>
      <c r="Q4833" s="6" t="str">
        <f>IFERROR(__xludf.DUMMYFUNCTION("""COMPUTED_VALUE"""),"MS")</f>
        <v>MS</v>
      </c>
      <c r="R4833" s="6">
        <f>IFERROR(__xludf.DUMMYFUNCTION("""COMPUTED_VALUE"""),0.0)</f>
        <v>0</v>
      </c>
      <c r="S4833" s="6" t="str">
        <f>IFERROR(__xludf.DUMMYFUNCTION("""COMPUTED_VALUE"""),"Kimberly Ball")</f>
        <v>Kimberly Ball</v>
      </c>
      <c r="T4833" s="6" t="str">
        <f>IFERROR(__xludf.DUMMYFUNCTION("""COMPUTED_VALUE"""),"kimberly.ball@studient.com")</f>
        <v>kimberly.ball@studient.com</v>
      </c>
      <c r="U4833" s="6" t="str">
        <f>IFERROR(__xludf.DUMMYFUNCTION("""COMPUTED_VALUE"""),"6")</f>
        <v>6</v>
      </c>
      <c r="V4833" s="6" t="str">
        <f>IFERROR(__xludf.DUMMYFUNCTION("""COMPUTED_VALUE"""),"")</f>
        <v/>
      </c>
      <c r="W4833" s="6" t="str">
        <f>IFERROR(__xludf.DUMMYFUNCTION("""COMPUTED_VALUE"""),"[]")</f>
        <v>[]</v>
      </c>
      <c r="X4833" s="6" t="str">
        <f>IFERROR(__xludf.DUMMYFUNCTION("""COMPUTED_VALUE"""),"Enrolled")</f>
        <v>Enrolled</v>
      </c>
    </row>
    <row r="4834">
      <c r="A4834" s="6" t="str">
        <f>IFERROR(__xludf.DUMMYFUNCTION("""COMPUTED_VALUE"""),"084-13196")</f>
        <v>084-13196</v>
      </c>
      <c r="B4834" s="6" t="str">
        <f>IFERROR(__xludf.DUMMYFUNCTION("""COMPUTED_VALUE"""),"84")</f>
        <v>84</v>
      </c>
      <c r="C4834" s="6" t="str">
        <f>IFERROR(__xludf.DUMMYFUNCTION("""COMPUTED_VALUE"""),"13196")</f>
        <v>13196</v>
      </c>
      <c r="D4834" s="6" t="str">
        <f>IFERROR(__xludf.DUMMYFUNCTION("""COMPUTED_VALUE"""),"Kevin")</f>
        <v>Kevin</v>
      </c>
      <c r="E4834" s="6" t="str">
        <f>IFERROR(__xludf.DUMMYFUNCTION("""COMPUTED_VALUE"""),"")</f>
        <v/>
      </c>
      <c r="F4834" s="6" t="str">
        <f>IFERROR(__xludf.DUMMYFUNCTION("""COMPUTED_VALUE"""),"Scott")</f>
        <v>Scott</v>
      </c>
      <c r="G4834" s="6" t="str">
        <f>IFERROR(__xludf.DUMMYFUNCTION("""COMPUTED_VALUE"""),"10/22/2012")</f>
        <v>10/22/2012</v>
      </c>
      <c r="H4834" s="6" t="str">
        <f>IFERROR(__xludf.DUMMYFUNCTION("""COMPUTED_VALUE"""),"male")</f>
        <v>male</v>
      </c>
      <c r="I4834" s="6" t="str">
        <f>IFERROR(__xludf.DUMMYFUNCTION("""COMPUTED_VALUE"""),"Middle School")</f>
        <v>Middle School</v>
      </c>
      <c r="J4834" s="6" t="str">
        <f>IFERROR(__xludf.DUMMYFUNCTION("""COMPUTED_VALUE"""),"6")</f>
        <v>6</v>
      </c>
      <c r="K4834" s="6" t="str">
        <f>IFERROR(__xludf.DUMMYFUNCTION("""COMPUTED_VALUE"""),"kevin.scott@2hourlearning.com")</f>
        <v>kevin.scott@2hourlearning.com</v>
      </c>
      <c r="L4834" s="6" t="str">
        <f>IFERROR(__xludf.DUMMYFUNCTION("""COMPUTED_VALUE"""),"JHMS - Hardeeville Junior Senior High School")</f>
        <v>JHMS - Hardeeville Junior Senior High School</v>
      </c>
      <c r="M4834" s="6" t="str">
        <f>IFERROR(__xludf.DUMMYFUNCTION("""COMPUTED_VALUE"""),"")</f>
        <v/>
      </c>
      <c r="N4834" s="6" t="str">
        <f>IFERROR(__xludf.DUMMYFUNCTION("""COMPUTED_VALUE"""),"")</f>
        <v/>
      </c>
      <c r="O4834" s="87" t="str">
        <f>IFERROR(__xludf.DUMMYFUNCTION("""COMPUTED_VALUE"""),"https://drive.google.com/drive/folders/10T2cTQHqEJZqE-st6uFKPoI?usp=share_link")</f>
        <v>https://drive.google.com/drive/folders/10T2cTQHqEJZqE-st6uFKPoI?usp=share_link</v>
      </c>
      <c r="P4834" s="6" t="str">
        <f>IFERROR(__xludf.DUMMYFUNCTION("""COMPUTED_VALUE"""),"Kevin Scott")</f>
        <v>Kevin Scott</v>
      </c>
      <c r="Q4834" s="6" t="str">
        <f>IFERROR(__xludf.DUMMYFUNCTION("""COMPUTED_VALUE"""),"MS")</f>
        <v>MS</v>
      </c>
      <c r="R4834" s="6">
        <f>IFERROR(__xludf.DUMMYFUNCTION("""COMPUTED_VALUE"""),0.0)</f>
        <v>0</v>
      </c>
      <c r="S4834" s="6" t="str">
        <f>IFERROR(__xludf.DUMMYFUNCTION("""COMPUTED_VALUE"""),"Kimberly Ball")</f>
        <v>Kimberly Ball</v>
      </c>
      <c r="T4834" s="6" t="str">
        <f>IFERROR(__xludf.DUMMYFUNCTION("""COMPUTED_VALUE"""),"kimberly.ball@studient.com")</f>
        <v>kimberly.ball@studient.com</v>
      </c>
      <c r="U4834" s="6" t="str">
        <f>IFERROR(__xludf.DUMMYFUNCTION("""COMPUTED_VALUE"""),"6")</f>
        <v>6</v>
      </c>
      <c r="V4834" s="6" t="str">
        <f>IFERROR(__xludf.DUMMYFUNCTION("""COMPUTED_VALUE"""),"")</f>
        <v/>
      </c>
      <c r="W4834" s="6" t="str">
        <f>IFERROR(__xludf.DUMMYFUNCTION("""COMPUTED_VALUE"""),"[]")</f>
        <v>[]</v>
      </c>
      <c r="X4834" s="6" t="str">
        <f>IFERROR(__xludf.DUMMYFUNCTION("""COMPUTED_VALUE"""),"Enrolled")</f>
        <v>Enrolled</v>
      </c>
    </row>
    <row r="4835">
      <c r="A4835" s="6" t="str">
        <f>IFERROR(__xludf.DUMMYFUNCTION("""COMPUTED_VALUE"""),"084-13197")</f>
        <v>084-13197</v>
      </c>
      <c r="B4835" s="6" t="str">
        <f>IFERROR(__xludf.DUMMYFUNCTION("""COMPUTED_VALUE"""),"84")</f>
        <v>84</v>
      </c>
      <c r="C4835" s="6" t="str">
        <f>IFERROR(__xludf.DUMMYFUNCTION("""COMPUTED_VALUE"""),"13197")</f>
        <v>13197</v>
      </c>
      <c r="D4835" s="6" t="str">
        <f>IFERROR(__xludf.DUMMYFUNCTION("""COMPUTED_VALUE"""),"Alijah")</f>
        <v>Alijah</v>
      </c>
      <c r="E4835" s="6" t="str">
        <f>IFERROR(__xludf.DUMMYFUNCTION("""COMPUTED_VALUE"""),"")</f>
        <v/>
      </c>
      <c r="F4835" s="6" t="str">
        <f>IFERROR(__xludf.DUMMYFUNCTION("""COMPUTED_VALUE"""),"Sharpe")</f>
        <v>Sharpe</v>
      </c>
      <c r="G4835" s="6" t="str">
        <f>IFERROR(__xludf.DUMMYFUNCTION("""COMPUTED_VALUE"""),"01/30/2014")</f>
        <v>01/30/2014</v>
      </c>
      <c r="H4835" s="6" t="str">
        <f>IFERROR(__xludf.DUMMYFUNCTION("""COMPUTED_VALUE"""),"female")</f>
        <v>female</v>
      </c>
      <c r="I4835" s="6" t="str">
        <f>IFERROR(__xludf.DUMMYFUNCTION("""COMPUTED_VALUE"""),"Middle School")</f>
        <v>Middle School</v>
      </c>
      <c r="J4835" s="6" t="str">
        <f>IFERROR(__xludf.DUMMYFUNCTION("""COMPUTED_VALUE"""),"6")</f>
        <v>6</v>
      </c>
      <c r="K4835" s="6" t="str">
        <f>IFERROR(__xludf.DUMMYFUNCTION("""COMPUTED_VALUE"""),"alijah.sharpe@2hourlearning.com")</f>
        <v>alijah.sharpe@2hourlearning.com</v>
      </c>
      <c r="L4835" s="6" t="str">
        <f>IFERROR(__xludf.DUMMYFUNCTION("""COMPUTED_VALUE"""),"JHMS - Hardeeville Junior Senior High School")</f>
        <v>JHMS - Hardeeville Junior Senior High School</v>
      </c>
      <c r="M4835" s="6" t="str">
        <f>IFERROR(__xludf.DUMMYFUNCTION("""COMPUTED_VALUE"""),"")</f>
        <v/>
      </c>
      <c r="N4835" s="6" t="str">
        <f>IFERROR(__xludf.DUMMYFUNCTION("""COMPUTED_VALUE"""),"")</f>
        <v/>
      </c>
      <c r="O4835" s="87" t="str">
        <f>IFERROR(__xludf.DUMMYFUNCTION("""COMPUTED_VALUE"""),"https://drive.google.com/drive/folders/10T2cTQHqEJZqE-st6uFKPoI?usp=share_link")</f>
        <v>https://drive.google.com/drive/folders/10T2cTQHqEJZqE-st6uFKPoI?usp=share_link</v>
      </c>
      <c r="P4835" s="6" t="str">
        <f>IFERROR(__xludf.DUMMYFUNCTION("""COMPUTED_VALUE"""),"Alijah Sharpe")</f>
        <v>Alijah Sharpe</v>
      </c>
      <c r="Q4835" s="6" t="str">
        <f>IFERROR(__xludf.DUMMYFUNCTION("""COMPUTED_VALUE"""),"MS")</f>
        <v>MS</v>
      </c>
      <c r="R4835" s="6">
        <f>IFERROR(__xludf.DUMMYFUNCTION("""COMPUTED_VALUE"""),0.0)</f>
        <v>0</v>
      </c>
      <c r="S4835" s="6" t="str">
        <f>IFERROR(__xludf.DUMMYFUNCTION("""COMPUTED_VALUE"""),"Kimberly Ball")</f>
        <v>Kimberly Ball</v>
      </c>
      <c r="T4835" s="6" t="str">
        <f>IFERROR(__xludf.DUMMYFUNCTION("""COMPUTED_VALUE"""),"kimberly.ball@studient.com")</f>
        <v>kimberly.ball@studient.com</v>
      </c>
      <c r="U4835" s="6" t="str">
        <f>IFERROR(__xludf.DUMMYFUNCTION("""COMPUTED_VALUE"""),"6")</f>
        <v>6</v>
      </c>
      <c r="V4835" s="6" t="str">
        <f>IFERROR(__xludf.DUMMYFUNCTION("""COMPUTED_VALUE"""),"")</f>
        <v/>
      </c>
      <c r="W4835" s="6" t="str">
        <f>IFERROR(__xludf.DUMMYFUNCTION("""COMPUTED_VALUE"""),"[]")</f>
        <v>[]</v>
      </c>
      <c r="X4835" s="6" t="str">
        <f>IFERROR(__xludf.DUMMYFUNCTION("""COMPUTED_VALUE"""),"Enrolled")</f>
        <v>Enrolled</v>
      </c>
    </row>
    <row r="4836">
      <c r="A4836" s="6" t="str">
        <f>IFERROR(__xludf.DUMMYFUNCTION("""COMPUTED_VALUE"""),"084-13198")</f>
        <v>084-13198</v>
      </c>
      <c r="B4836" s="6" t="str">
        <f>IFERROR(__xludf.DUMMYFUNCTION("""COMPUTED_VALUE"""),"84")</f>
        <v>84</v>
      </c>
      <c r="C4836" s="6" t="str">
        <f>IFERROR(__xludf.DUMMYFUNCTION("""COMPUTED_VALUE"""),"13198")</f>
        <v>13198</v>
      </c>
      <c r="D4836" s="6" t="str">
        <f>IFERROR(__xludf.DUMMYFUNCTION("""COMPUTED_VALUE"""),"Korine")</f>
        <v>Korine</v>
      </c>
      <c r="E4836" s="6" t="str">
        <f>IFERROR(__xludf.DUMMYFUNCTION("""COMPUTED_VALUE"""),"")</f>
        <v/>
      </c>
      <c r="F4836" s="6" t="str">
        <f>IFERROR(__xludf.DUMMYFUNCTION("""COMPUTED_VALUE"""),"Singleton")</f>
        <v>Singleton</v>
      </c>
      <c r="G4836" s="6" t="str">
        <f>IFERROR(__xludf.DUMMYFUNCTION("""COMPUTED_VALUE"""),"03/21/2014")</f>
        <v>03/21/2014</v>
      </c>
      <c r="H4836" s="6" t="str">
        <f>IFERROR(__xludf.DUMMYFUNCTION("""COMPUTED_VALUE"""),"female")</f>
        <v>female</v>
      </c>
      <c r="I4836" s="6" t="str">
        <f>IFERROR(__xludf.DUMMYFUNCTION("""COMPUTED_VALUE"""),"Middle School")</f>
        <v>Middle School</v>
      </c>
      <c r="J4836" s="6" t="str">
        <f>IFERROR(__xludf.DUMMYFUNCTION("""COMPUTED_VALUE"""),"6")</f>
        <v>6</v>
      </c>
      <c r="K4836" s="6" t="str">
        <f>IFERROR(__xludf.DUMMYFUNCTION("""COMPUTED_VALUE"""),"korine.singleton@2hourlearning.com")</f>
        <v>korine.singleton@2hourlearning.com</v>
      </c>
      <c r="L4836" s="6" t="str">
        <f>IFERROR(__xludf.DUMMYFUNCTION("""COMPUTED_VALUE"""),"JHMS - Hardeeville Junior Senior High School")</f>
        <v>JHMS - Hardeeville Junior Senior High School</v>
      </c>
      <c r="M4836" s="6" t="str">
        <f>IFERROR(__xludf.DUMMYFUNCTION("""COMPUTED_VALUE"""),"")</f>
        <v/>
      </c>
      <c r="N4836" s="6" t="str">
        <f>IFERROR(__xludf.DUMMYFUNCTION("""COMPUTED_VALUE"""),"")</f>
        <v/>
      </c>
      <c r="O4836" s="87" t="str">
        <f>IFERROR(__xludf.DUMMYFUNCTION("""COMPUTED_VALUE"""),"https://drive.google.com/drive/folders/10T2cTQHqEJZqE-st6uFKPoI?usp=share_link")</f>
        <v>https://drive.google.com/drive/folders/10T2cTQHqEJZqE-st6uFKPoI?usp=share_link</v>
      </c>
      <c r="P4836" s="6" t="str">
        <f>IFERROR(__xludf.DUMMYFUNCTION("""COMPUTED_VALUE"""),"Korine Singleton")</f>
        <v>Korine Singleton</v>
      </c>
      <c r="Q4836" s="6" t="str">
        <f>IFERROR(__xludf.DUMMYFUNCTION("""COMPUTED_VALUE"""),"MS")</f>
        <v>MS</v>
      </c>
      <c r="R4836" s="6">
        <f>IFERROR(__xludf.DUMMYFUNCTION("""COMPUTED_VALUE"""),0.0)</f>
        <v>0</v>
      </c>
      <c r="S4836" s="6" t="str">
        <f>IFERROR(__xludf.DUMMYFUNCTION("""COMPUTED_VALUE"""),"Kimberly Ball")</f>
        <v>Kimberly Ball</v>
      </c>
      <c r="T4836" s="6" t="str">
        <f>IFERROR(__xludf.DUMMYFUNCTION("""COMPUTED_VALUE"""),"kimberly.ball@studient.com")</f>
        <v>kimberly.ball@studient.com</v>
      </c>
      <c r="U4836" s="6" t="str">
        <f>IFERROR(__xludf.DUMMYFUNCTION("""COMPUTED_VALUE"""),"6")</f>
        <v>6</v>
      </c>
      <c r="V4836" s="6" t="str">
        <f>IFERROR(__xludf.DUMMYFUNCTION("""COMPUTED_VALUE"""),"")</f>
        <v/>
      </c>
      <c r="W4836" s="6" t="str">
        <f>IFERROR(__xludf.DUMMYFUNCTION("""COMPUTED_VALUE"""),"[]")</f>
        <v>[]</v>
      </c>
      <c r="X4836" s="6" t="str">
        <f>IFERROR(__xludf.DUMMYFUNCTION("""COMPUTED_VALUE"""),"Enrolled")</f>
        <v>Enrolled</v>
      </c>
    </row>
    <row r="4837">
      <c r="A4837" s="6" t="str">
        <f>IFERROR(__xludf.DUMMYFUNCTION("""COMPUTED_VALUE"""),"084-13199")</f>
        <v>084-13199</v>
      </c>
      <c r="B4837" s="6" t="str">
        <f>IFERROR(__xludf.DUMMYFUNCTION("""COMPUTED_VALUE"""),"84")</f>
        <v>84</v>
      </c>
      <c r="C4837" s="6" t="str">
        <f>IFERROR(__xludf.DUMMYFUNCTION("""COMPUTED_VALUE"""),"13199")</f>
        <v>13199</v>
      </c>
      <c r="D4837" s="6" t="str">
        <f>IFERROR(__xludf.DUMMYFUNCTION("""COMPUTED_VALUE"""),"Angel")</f>
        <v>Angel</v>
      </c>
      <c r="E4837" s="6" t="str">
        <f>IFERROR(__xludf.DUMMYFUNCTION("""COMPUTED_VALUE"""),"")</f>
        <v/>
      </c>
      <c r="F4837" s="6" t="str">
        <f>IFERROR(__xludf.DUMMYFUNCTION("""COMPUTED_VALUE"""),"Solano-Moreno")</f>
        <v>Solano-Moreno</v>
      </c>
      <c r="G4837" s="6" t="str">
        <f>IFERROR(__xludf.DUMMYFUNCTION("""COMPUTED_VALUE"""),"06/11/2014")</f>
        <v>06/11/2014</v>
      </c>
      <c r="H4837" s="6" t="str">
        <f>IFERROR(__xludf.DUMMYFUNCTION("""COMPUTED_VALUE"""),"female")</f>
        <v>female</v>
      </c>
      <c r="I4837" s="6" t="str">
        <f>IFERROR(__xludf.DUMMYFUNCTION("""COMPUTED_VALUE"""),"Middle School")</f>
        <v>Middle School</v>
      </c>
      <c r="J4837" s="6" t="str">
        <f>IFERROR(__xludf.DUMMYFUNCTION("""COMPUTED_VALUE"""),"6")</f>
        <v>6</v>
      </c>
      <c r="K4837" s="6" t="str">
        <f>IFERROR(__xludf.DUMMYFUNCTION("""COMPUTED_VALUE"""),"angel.solano-moreno@2hourlearning.com")</f>
        <v>angel.solano-moreno@2hourlearning.com</v>
      </c>
      <c r="L4837" s="6" t="str">
        <f>IFERROR(__xludf.DUMMYFUNCTION("""COMPUTED_VALUE"""),"JHMS - Hardeeville Junior Senior High School")</f>
        <v>JHMS - Hardeeville Junior Senior High School</v>
      </c>
      <c r="M4837" s="6" t="str">
        <f>IFERROR(__xludf.DUMMYFUNCTION("""COMPUTED_VALUE"""),"")</f>
        <v/>
      </c>
      <c r="N4837" s="6" t="str">
        <f>IFERROR(__xludf.DUMMYFUNCTION("""COMPUTED_VALUE"""),"")</f>
        <v/>
      </c>
      <c r="O4837" s="87" t="str">
        <f>IFERROR(__xludf.DUMMYFUNCTION("""COMPUTED_VALUE"""),"https://drive.google.com/drive/folders/10T2cTQHqEJZqE-st6uFKPoI?usp=share_link")</f>
        <v>https://drive.google.com/drive/folders/10T2cTQHqEJZqE-st6uFKPoI?usp=share_link</v>
      </c>
      <c r="P4837" s="6" t="str">
        <f>IFERROR(__xludf.DUMMYFUNCTION("""COMPUTED_VALUE"""),"Angel Solano-Moreno")</f>
        <v>Angel Solano-Moreno</v>
      </c>
      <c r="Q4837" s="6" t="str">
        <f>IFERROR(__xludf.DUMMYFUNCTION("""COMPUTED_VALUE"""),"MS")</f>
        <v>MS</v>
      </c>
      <c r="R4837" s="6">
        <f>IFERROR(__xludf.DUMMYFUNCTION("""COMPUTED_VALUE"""),0.0)</f>
        <v>0</v>
      </c>
      <c r="S4837" s="6" t="str">
        <f>IFERROR(__xludf.DUMMYFUNCTION("""COMPUTED_VALUE"""),"Kimberly Ball")</f>
        <v>Kimberly Ball</v>
      </c>
      <c r="T4837" s="6" t="str">
        <f>IFERROR(__xludf.DUMMYFUNCTION("""COMPUTED_VALUE"""),"kimberly.ball@studient.com")</f>
        <v>kimberly.ball@studient.com</v>
      </c>
      <c r="U4837" s="6" t="str">
        <f>IFERROR(__xludf.DUMMYFUNCTION("""COMPUTED_VALUE"""),"6")</f>
        <v>6</v>
      </c>
      <c r="V4837" s="6" t="str">
        <f>IFERROR(__xludf.DUMMYFUNCTION("""COMPUTED_VALUE"""),"")</f>
        <v/>
      </c>
      <c r="W4837" s="6" t="str">
        <f>IFERROR(__xludf.DUMMYFUNCTION("""COMPUTED_VALUE"""),"[]")</f>
        <v>[]</v>
      </c>
      <c r="X4837" s="6" t="str">
        <f>IFERROR(__xludf.DUMMYFUNCTION("""COMPUTED_VALUE"""),"Enrolled")</f>
        <v>Enrolled</v>
      </c>
    </row>
    <row r="4838">
      <c r="A4838" s="6" t="str">
        <f>IFERROR(__xludf.DUMMYFUNCTION("""COMPUTED_VALUE"""),"084-13200")</f>
        <v>084-13200</v>
      </c>
      <c r="B4838" s="6" t="str">
        <f>IFERROR(__xludf.DUMMYFUNCTION("""COMPUTED_VALUE"""),"84")</f>
        <v>84</v>
      </c>
      <c r="C4838" s="6" t="str">
        <f>IFERROR(__xludf.DUMMYFUNCTION("""COMPUTED_VALUE"""),"13200")</f>
        <v>13200</v>
      </c>
      <c r="D4838" s="6" t="str">
        <f>IFERROR(__xludf.DUMMYFUNCTION("""COMPUTED_VALUE"""),"Milagros")</f>
        <v>Milagros</v>
      </c>
      <c r="E4838" s="6" t="str">
        <f>IFERROR(__xludf.DUMMYFUNCTION("""COMPUTED_VALUE"""),"")</f>
        <v/>
      </c>
      <c r="F4838" s="6" t="str">
        <f>IFERROR(__xludf.DUMMYFUNCTION("""COMPUTED_VALUE"""),"Talavera Turcios")</f>
        <v>Talavera Turcios</v>
      </c>
      <c r="G4838" s="6" t="str">
        <f>IFERROR(__xludf.DUMMYFUNCTION("""COMPUTED_VALUE"""),"01/08/2014")</f>
        <v>01/08/2014</v>
      </c>
      <c r="H4838" s="6" t="str">
        <f>IFERROR(__xludf.DUMMYFUNCTION("""COMPUTED_VALUE"""),"female")</f>
        <v>female</v>
      </c>
      <c r="I4838" s="6" t="str">
        <f>IFERROR(__xludf.DUMMYFUNCTION("""COMPUTED_VALUE"""),"Middle School")</f>
        <v>Middle School</v>
      </c>
      <c r="J4838" s="6" t="str">
        <f>IFERROR(__xludf.DUMMYFUNCTION("""COMPUTED_VALUE"""),"6")</f>
        <v>6</v>
      </c>
      <c r="K4838" s="6" t="str">
        <f>IFERROR(__xludf.DUMMYFUNCTION("""COMPUTED_VALUE"""),"milagros.talaveraturcios@2hourlearning.com")</f>
        <v>milagros.talaveraturcios@2hourlearning.com</v>
      </c>
      <c r="L4838" s="6" t="str">
        <f>IFERROR(__xludf.DUMMYFUNCTION("""COMPUTED_VALUE"""),"JHMS - Hardeeville Junior Senior High School")</f>
        <v>JHMS - Hardeeville Junior Senior High School</v>
      </c>
      <c r="M4838" s="6" t="str">
        <f>IFERROR(__xludf.DUMMYFUNCTION("""COMPUTED_VALUE"""),"")</f>
        <v/>
      </c>
      <c r="N4838" s="6" t="str">
        <f>IFERROR(__xludf.DUMMYFUNCTION("""COMPUTED_VALUE"""),"")</f>
        <v/>
      </c>
      <c r="O4838" s="87" t="str">
        <f>IFERROR(__xludf.DUMMYFUNCTION("""COMPUTED_VALUE"""),"https://drive.google.com/drive/folders/10T2cTQHqEJZqE-st6uFKPoI?usp=share_link")</f>
        <v>https://drive.google.com/drive/folders/10T2cTQHqEJZqE-st6uFKPoI?usp=share_link</v>
      </c>
      <c r="P4838" s="6" t="str">
        <f>IFERROR(__xludf.DUMMYFUNCTION("""COMPUTED_VALUE"""),"Milagros Talavera Turcios")</f>
        <v>Milagros Talavera Turcios</v>
      </c>
      <c r="Q4838" s="6" t="str">
        <f>IFERROR(__xludf.DUMMYFUNCTION("""COMPUTED_VALUE"""),"MS")</f>
        <v>MS</v>
      </c>
      <c r="R4838" s="6">
        <f>IFERROR(__xludf.DUMMYFUNCTION("""COMPUTED_VALUE"""),0.0)</f>
        <v>0</v>
      </c>
      <c r="S4838" s="6" t="str">
        <f>IFERROR(__xludf.DUMMYFUNCTION("""COMPUTED_VALUE"""),"Kimberly Ball")</f>
        <v>Kimberly Ball</v>
      </c>
      <c r="T4838" s="6" t="str">
        <f>IFERROR(__xludf.DUMMYFUNCTION("""COMPUTED_VALUE"""),"kimberly.ball@studient.com")</f>
        <v>kimberly.ball@studient.com</v>
      </c>
      <c r="U4838" s="6" t="str">
        <f>IFERROR(__xludf.DUMMYFUNCTION("""COMPUTED_VALUE"""),"6")</f>
        <v>6</v>
      </c>
      <c r="V4838" s="6" t="str">
        <f>IFERROR(__xludf.DUMMYFUNCTION("""COMPUTED_VALUE"""),"")</f>
        <v/>
      </c>
      <c r="W4838" s="6" t="str">
        <f>IFERROR(__xludf.DUMMYFUNCTION("""COMPUTED_VALUE"""),"[]")</f>
        <v>[]</v>
      </c>
      <c r="X4838" s="6" t="str">
        <f>IFERROR(__xludf.DUMMYFUNCTION("""COMPUTED_VALUE"""),"Enrolled")</f>
        <v>Enrolled</v>
      </c>
    </row>
    <row r="4839">
      <c r="A4839" s="6" t="str">
        <f>IFERROR(__xludf.DUMMYFUNCTION("""COMPUTED_VALUE"""),"084-13201")</f>
        <v>084-13201</v>
      </c>
      <c r="B4839" s="6" t="str">
        <f>IFERROR(__xludf.DUMMYFUNCTION("""COMPUTED_VALUE"""),"84")</f>
        <v>84</v>
      </c>
      <c r="C4839" s="6" t="str">
        <f>IFERROR(__xludf.DUMMYFUNCTION("""COMPUTED_VALUE"""),"13201")</f>
        <v>13201</v>
      </c>
      <c r="D4839" s="6" t="str">
        <f>IFERROR(__xludf.DUMMYFUNCTION("""COMPUTED_VALUE"""),"Marilyn")</f>
        <v>Marilyn</v>
      </c>
      <c r="E4839" s="6" t="str">
        <f>IFERROR(__xludf.DUMMYFUNCTION("""COMPUTED_VALUE"""),"")</f>
        <v/>
      </c>
      <c r="F4839" s="6" t="str">
        <f>IFERROR(__xludf.DUMMYFUNCTION("""COMPUTED_VALUE"""),"Tojil Roblero")</f>
        <v>Tojil Roblero</v>
      </c>
      <c r="G4839" s="6" t="str">
        <f>IFERROR(__xludf.DUMMYFUNCTION("""COMPUTED_VALUE"""),"02/28/2014")</f>
        <v>02/28/2014</v>
      </c>
      <c r="H4839" s="6" t="str">
        <f>IFERROR(__xludf.DUMMYFUNCTION("""COMPUTED_VALUE"""),"male")</f>
        <v>male</v>
      </c>
      <c r="I4839" s="6" t="str">
        <f>IFERROR(__xludf.DUMMYFUNCTION("""COMPUTED_VALUE"""),"Middle School")</f>
        <v>Middle School</v>
      </c>
      <c r="J4839" s="6" t="str">
        <f>IFERROR(__xludf.DUMMYFUNCTION("""COMPUTED_VALUE"""),"6")</f>
        <v>6</v>
      </c>
      <c r="K4839" s="6" t="str">
        <f>IFERROR(__xludf.DUMMYFUNCTION("""COMPUTED_VALUE"""),"marilyn.tojilroblero@2hourlearning.com")</f>
        <v>marilyn.tojilroblero@2hourlearning.com</v>
      </c>
      <c r="L4839" s="6" t="str">
        <f>IFERROR(__xludf.DUMMYFUNCTION("""COMPUTED_VALUE"""),"JHMS - Hardeeville Junior Senior High School")</f>
        <v>JHMS - Hardeeville Junior Senior High School</v>
      </c>
      <c r="M4839" s="6" t="str">
        <f>IFERROR(__xludf.DUMMYFUNCTION("""COMPUTED_VALUE"""),"")</f>
        <v/>
      </c>
      <c r="N4839" s="6" t="str">
        <f>IFERROR(__xludf.DUMMYFUNCTION("""COMPUTED_VALUE"""),"")</f>
        <v/>
      </c>
      <c r="O4839" s="87" t="str">
        <f>IFERROR(__xludf.DUMMYFUNCTION("""COMPUTED_VALUE"""),"https://drive.google.com/drive/folders/10T2cTQHqEJZqE-st6uFKPoI?usp=share_link")</f>
        <v>https://drive.google.com/drive/folders/10T2cTQHqEJZqE-st6uFKPoI?usp=share_link</v>
      </c>
      <c r="P4839" s="6" t="str">
        <f>IFERROR(__xludf.DUMMYFUNCTION("""COMPUTED_VALUE"""),"Marilyn Tojil Roblero")</f>
        <v>Marilyn Tojil Roblero</v>
      </c>
      <c r="Q4839" s="6" t="str">
        <f>IFERROR(__xludf.DUMMYFUNCTION("""COMPUTED_VALUE"""),"MS")</f>
        <v>MS</v>
      </c>
      <c r="R4839" s="6">
        <f>IFERROR(__xludf.DUMMYFUNCTION("""COMPUTED_VALUE"""),0.0)</f>
        <v>0</v>
      </c>
      <c r="S4839" s="6" t="str">
        <f>IFERROR(__xludf.DUMMYFUNCTION("""COMPUTED_VALUE"""),"Kimberly Ball")</f>
        <v>Kimberly Ball</v>
      </c>
      <c r="T4839" s="6" t="str">
        <f>IFERROR(__xludf.DUMMYFUNCTION("""COMPUTED_VALUE"""),"kimberly.ball@studient.com")</f>
        <v>kimberly.ball@studient.com</v>
      </c>
      <c r="U4839" s="6" t="str">
        <f>IFERROR(__xludf.DUMMYFUNCTION("""COMPUTED_VALUE"""),"6")</f>
        <v>6</v>
      </c>
      <c r="V4839" s="6" t="str">
        <f>IFERROR(__xludf.DUMMYFUNCTION("""COMPUTED_VALUE"""),"")</f>
        <v/>
      </c>
      <c r="W4839" s="6" t="str">
        <f>IFERROR(__xludf.DUMMYFUNCTION("""COMPUTED_VALUE"""),"[]")</f>
        <v>[]</v>
      </c>
      <c r="X4839" s="6" t="str">
        <f>IFERROR(__xludf.DUMMYFUNCTION("""COMPUTED_VALUE"""),"Enrolled")</f>
        <v>Enrolled</v>
      </c>
    </row>
    <row r="4840">
      <c r="A4840" s="6" t="str">
        <f>IFERROR(__xludf.DUMMYFUNCTION("""COMPUTED_VALUE"""),"084-13202")</f>
        <v>084-13202</v>
      </c>
      <c r="B4840" s="6" t="str">
        <f>IFERROR(__xludf.DUMMYFUNCTION("""COMPUTED_VALUE"""),"84")</f>
        <v>84</v>
      </c>
      <c r="C4840" s="6" t="str">
        <f>IFERROR(__xludf.DUMMYFUNCTION("""COMPUTED_VALUE"""),"13202")</f>
        <v>13202</v>
      </c>
      <c r="D4840" s="6" t="str">
        <f>IFERROR(__xludf.DUMMYFUNCTION("""COMPUTED_VALUE"""),"Yarileisi")</f>
        <v>Yarileisi</v>
      </c>
      <c r="E4840" s="6" t="str">
        <f>IFERROR(__xludf.DUMMYFUNCTION("""COMPUTED_VALUE"""),"")</f>
        <v/>
      </c>
      <c r="F4840" s="6" t="str">
        <f>IFERROR(__xludf.DUMMYFUNCTION("""COMPUTED_VALUE"""),"Velasquez-Alvarado")</f>
        <v>Velasquez-Alvarado</v>
      </c>
      <c r="G4840" s="6" t="str">
        <f>IFERROR(__xludf.DUMMYFUNCTION("""COMPUTED_VALUE"""),"03/19/2014")</f>
        <v>03/19/2014</v>
      </c>
      <c r="H4840" s="6" t="str">
        <f>IFERROR(__xludf.DUMMYFUNCTION("""COMPUTED_VALUE"""),"female")</f>
        <v>female</v>
      </c>
      <c r="I4840" s="6" t="str">
        <f>IFERROR(__xludf.DUMMYFUNCTION("""COMPUTED_VALUE"""),"Middle School")</f>
        <v>Middle School</v>
      </c>
      <c r="J4840" s="6" t="str">
        <f>IFERROR(__xludf.DUMMYFUNCTION("""COMPUTED_VALUE"""),"6")</f>
        <v>6</v>
      </c>
      <c r="K4840" s="6" t="str">
        <f>IFERROR(__xludf.DUMMYFUNCTION("""COMPUTED_VALUE"""),"yarileisi.velasquez-alvarado@2hourlearning.com")</f>
        <v>yarileisi.velasquez-alvarado@2hourlearning.com</v>
      </c>
      <c r="L4840" s="6" t="str">
        <f>IFERROR(__xludf.DUMMYFUNCTION("""COMPUTED_VALUE"""),"JHMS - Hardeeville Junior Senior High School")</f>
        <v>JHMS - Hardeeville Junior Senior High School</v>
      </c>
      <c r="M4840" s="6" t="str">
        <f>IFERROR(__xludf.DUMMYFUNCTION("""COMPUTED_VALUE"""),"")</f>
        <v/>
      </c>
      <c r="N4840" s="6" t="str">
        <f>IFERROR(__xludf.DUMMYFUNCTION("""COMPUTED_VALUE"""),"")</f>
        <v/>
      </c>
      <c r="O4840" s="87" t="str">
        <f>IFERROR(__xludf.DUMMYFUNCTION("""COMPUTED_VALUE"""),"https://drive.google.com/drive/folders/10T2cTQHqEJZqE-st6uFKPoI?usp=share_link")</f>
        <v>https://drive.google.com/drive/folders/10T2cTQHqEJZqE-st6uFKPoI?usp=share_link</v>
      </c>
      <c r="P4840" s="6" t="str">
        <f>IFERROR(__xludf.DUMMYFUNCTION("""COMPUTED_VALUE"""),"Yarileisi Velasquez-Alvarado")</f>
        <v>Yarileisi Velasquez-Alvarado</v>
      </c>
      <c r="Q4840" s="6" t="str">
        <f>IFERROR(__xludf.DUMMYFUNCTION("""COMPUTED_VALUE"""),"MS")</f>
        <v>MS</v>
      </c>
      <c r="R4840" s="6">
        <f>IFERROR(__xludf.DUMMYFUNCTION("""COMPUTED_VALUE"""),0.0)</f>
        <v>0</v>
      </c>
      <c r="S4840" s="6" t="str">
        <f>IFERROR(__xludf.DUMMYFUNCTION("""COMPUTED_VALUE"""),"Kimberly Ball")</f>
        <v>Kimberly Ball</v>
      </c>
      <c r="T4840" s="6" t="str">
        <f>IFERROR(__xludf.DUMMYFUNCTION("""COMPUTED_VALUE"""),"kimberly.ball@studient.com")</f>
        <v>kimberly.ball@studient.com</v>
      </c>
      <c r="U4840" s="6" t="str">
        <f>IFERROR(__xludf.DUMMYFUNCTION("""COMPUTED_VALUE"""),"6")</f>
        <v>6</v>
      </c>
      <c r="V4840" s="6" t="str">
        <f>IFERROR(__xludf.DUMMYFUNCTION("""COMPUTED_VALUE"""),"")</f>
        <v/>
      </c>
      <c r="W4840" s="6" t="str">
        <f>IFERROR(__xludf.DUMMYFUNCTION("""COMPUTED_VALUE"""),"[]")</f>
        <v>[]</v>
      </c>
      <c r="X4840" s="6" t="str">
        <f>IFERROR(__xludf.DUMMYFUNCTION("""COMPUTED_VALUE"""),"Enrolled")</f>
        <v>Enrolled</v>
      </c>
    </row>
    <row r="4841">
      <c r="A4841" s="6" t="str">
        <f>IFERROR(__xludf.DUMMYFUNCTION("""COMPUTED_VALUE"""),"084-13203")</f>
        <v>084-13203</v>
      </c>
      <c r="B4841" s="6" t="str">
        <f>IFERROR(__xludf.DUMMYFUNCTION("""COMPUTED_VALUE"""),"84")</f>
        <v>84</v>
      </c>
      <c r="C4841" s="6" t="str">
        <f>IFERROR(__xludf.DUMMYFUNCTION("""COMPUTED_VALUE"""),"13203")</f>
        <v>13203</v>
      </c>
      <c r="D4841" s="6" t="str">
        <f>IFERROR(__xludf.DUMMYFUNCTION("""COMPUTED_VALUE"""),"Jimena")</f>
        <v>Jimena</v>
      </c>
      <c r="E4841" s="6" t="str">
        <f>IFERROR(__xludf.DUMMYFUNCTION("""COMPUTED_VALUE"""),"")</f>
        <v/>
      </c>
      <c r="F4841" s="6" t="str">
        <f>IFERROR(__xludf.DUMMYFUNCTION("""COMPUTED_VALUE"""),"Velazquez Martinez")</f>
        <v>Velazquez Martinez</v>
      </c>
      <c r="G4841" s="6" t="str">
        <f>IFERROR(__xludf.DUMMYFUNCTION("""COMPUTED_VALUE"""),"12/18/2013")</f>
        <v>12/18/2013</v>
      </c>
      <c r="H4841" s="6" t="str">
        <f>IFERROR(__xludf.DUMMYFUNCTION("""COMPUTED_VALUE"""),"female")</f>
        <v>female</v>
      </c>
      <c r="I4841" s="6" t="str">
        <f>IFERROR(__xludf.DUMMYFUNCTION("""COMPUTED_VALUE"""),"Middle School")</f>
        <v>Middle School</v>
      </c>
      <c r="J4841" s="6" t="str">
        <f>IFERROR(__xludf.DUMMYFUNCTION("""COMPUTED_VALUE"""),"6")</f>
        <v>6</v>
      </c>
      <c r="K4841" s="6" t="str">
        <f>IFERROR(__xludf.DUMMYFUNCTION("""COMPUTED_VALUE"""),"jimena.velazquezmartinez@2hourlearning.com")</f>
        <v>jimena.velazquezmartinez@2hourlearning.com</v>
      </c>
      <c r="L4841" s="6" t="str">
        <f>IFERROR(__xludf.DUMMYFUNCTION("""COMPUTED_VALUE"""),"JHMS - Hardeeville Junior Senior High School")</f>
        <v>JHMS - Hardeeville Junior Senior High School</v>
      </c>
      <c r="M4841" s="6" t="str">
        <f>IFERROR(__xludf.DUMMYFUNCTION("""COMPUTED_VALUE"""),"")</f>
        <v/>
      </c>
      <c r="N4841" s="6" t="str">
        <f>IFERROR(__xludf.DUMMYFUNCTION("""COMPUTED_VALUE"""),"")</f>
        <v/>
      </c>
      <c r="O4841" s="87" t="str">
        <f>IFERROR(__xludf.DUMMYFUNCTION("""COMPUTED_VALUE"""),"https://drive.google.com/drive/folders/10T2cTQHqEJZqE-st6uFKPoI?usp=share_link")</f>
        <v>https://drive.google.com/drive/folders/10T2cTQHqEJZqE-st6uFKPoI?usp=share_link</v>
      </c>
      <c r="P4841" s="6" t="str">
        <f>IFERROR(__xludf.DUMMYFUNCTION("""COMPUTED_VALUE"""),"Jimena Velazquez Martinez")</f>
        <v>Jimena Velazquez Martinez</v>
      </c>
      <c r="Q4841" s="6" t="str">
        <f>IFERROR(__xludf.DUMMYFUNCTION("""COMPUTED_VALUE"""),"MS")</f>
        <v>MS</v>
      </c>
      <c r="R4841" s="6">
        <f>IFERROR(__xludf.DUMMYFUNCTION("""COMPUTED_VALUE"""),0.0)</f>
        <v>0</v>
      </c>
      <c r="S4841" s="6" t="str">
        <f>IFERROR(__xludf.DUMMYFUNCTION("""COMPUTED_VALUE"""),"Kimberly Ball")</f>
        <v>Kimberly Ball</v>
      </c>
      <c r="T4841" s="6" t="str">
        <f>IFERROR(__xludf.DUMMYFUNCTION("""COMPUTED_VALUE"""),"kimberly.ball@studient.com")</f>
        <v>kimberly.ball@studient.com</v>
      </c>
      <c r="U4841" s="6" t="str">
        <f>IFERROR(__xludf.DUMMYFUNCTION("""COMPUTED_VALUE"""),"6")</f>
        <v>6</v>
      </c>
      <c r="V4841" s="6" t="str">
        <f>IFERROR(__xludf.DUMMYFUNCTION("""COMPUTED_VALUE"""),"")</f>
        <v/>
      </c>
      <c r="W4841" s="6" t="str">
        <f>IFERROR(__xludf.DUMMYFUNCTION("""COMPUTED_VALUE"""),"[]")</f>
        <v>[]</v>
      </c>
      <c r="X4841" s="6" t="str">
        <f>IFERROR(__xludf.DUMMYFUNCTION("""COMPUTED_VALUE"""),"Enrolled")</f>
        <v>Enrolled</v>
      </c>
    </row>
    <row r="4842">
      <c r="A4842" s="6" t="str">
        <f>IFERROR(__xludf.DUMMYFUNCTION("""COMPUTED_VALUE"""),"084-13204")</f>
        <v>084-13204</v>
      </c>
      <c r="B4842" s="6" t="str">
        <f>IFERROR(__xludf.DUMMYFUNCTION("""COMPUTED_VALUE"""),"84")</f>
        <v>84</v>
      </c>
      <c r="C4842" s="6" t="str">
        <f>IFERROR(__xludf.DUMMYFUNCTION("""COMPUTED_VALUE"""),"13204")</f>
        <v>13204</v>
      </c>
      <c r="D4842" s="6" t="str">
        <f>IFERROR(__xludf.DUMMYFUNCTION("""COMPUTED_VALUE"""),"Ethen")</f>
        <v>Ethen</v>
      </c>
      <c r="E4842" s="6" t="str">
        <f>IFERROR(__xludf.DUMMYFUNCTION("""COMPUTED_VALUE"""),"")</f>
        <v/>
      </c>
      <c r="F4842" s="6" t="str">
        <f>IFERROR(__xludf.DUMMYFUNCTION("""COMPUTED_VALUE"""),"West")</f>
        <v>West</v>
      </c>
      <c r="G4842" s="6" t="str">
        <f>IFERROR(__xludf.DUMMYFUNCTION("""COMPUTED_VALUE"""),"03/31/2014")</f>
        <v>03/31/2014</v>
      </c>
      <c r="H4842" s="6" t="str">
        <f>IFERROR(__xludf.DUMMYFUNCTION("""COMPUTED_VALUE"""),"female")</f>
        <v>female</v>
      </c>
      <c r="I4842" s="6" t="str">
        <f>IFERROR(__xludf.DUMMYFUNCTION("""COMPUTED_VALUE"""),"Middle School")</f>
        <v>Middle School</v>
      </c>
      <c r="J4842" s="6" t="str">
        <f>IFERROR(__xludf.DUMMYFUNCTION("""COMPUTED_VALUE"""),"6")</f>
        <v>6</v>
      </c>
      <c r="K4842" s="6" t="str">
        <f>IFERROR(__xludf.DUMMYFUNCTION("""COMPUTED_VALUE"""),"ethen.west@2hourlearning.com")</f>
        <v>ethen.west@2hourlearning.com</v>
      </c>
      <c r="L4842" s="6" t="str">
        <f>IFERROR(__xludf.DUMMYFUNCTION("""COMPUTED_VALUE"""),"JHMS - Hardeeville Junior Senior High School")</f>
        <v>JHMS - Hardeeville Junior Senior High School</v>
      </c>
      <c r="M4842" s="6" t="str">
        <f>IFERROR(__xludf.DUMMYFUNCTION("""COMPUTED_VALUE"""),"")</f>
        <v/>
      </c>
      <c r="N4842" s="6" t="str">
        <f>IFERROR(__xludf.DUMMYFUNCTION("""COMPUTED_VALUE"""),"")</f>
        <v/>
      </c>
      <c r="O4842" s="87" t="str">
        <f>IFERROR(__xludf.DUMMYFUNCTION("""COMPUTED_VALUE"""),"https://drive.google.com/drive/folders/10T2cTQHqEJZqE-st6uFKPoI?usp=share_link")</f>
        <v>https://drive.google.com/drive/folders/10T2cTQHqEJZqE-st6uFKPoI?usp=share_link</v>
      </c>
      <c r="P4842" s="6" t="str">
        <f>IFERROR(__xludf.DUMMYFUNCTION("""COMPUTED_VALUE"""),"Ethen West")</f>
        <v>Ethen West</v>
      </c>
      <c r="Q4842" s="6" t="str">
        <f>IFERROR(__xludf.DUMMYFUNCTION("""COMPUTED_VALUE"""),"MS")</f>
        <v>MS</v>
      </c>
      <c r="R4842" s="6">
        <f>IFERROR(__xludf.DUMMYFUNCTION("""COMPUTED_VALUE"""),0.0)</f>
        <v>0</v>
      </c>
      <c r="S4842" s="6" t="str">
        <f>IFERROR(__xludf.DUMMYFUNCTION("""COMPUTED_VALUE"""),"Kimberly Ball")</f>
        <v>Kimberly Ball</v>
      </c>
      <c r="T4842" s="6" t="str">
        <f>IFERROR(__xludf.DUMMYFUNCTION("""COMPUTED_VALUE"""),"kimberly.ball@studient.com")</f>
        <v>kimberly.ball@studient.com</v>
      </c>
      <c r="U4842" s="6" t="str">
        <f>IFERROR(__xludf.DUMMYFUNCTION("""COMPUTED_VALUE"""),"6")</f>
        <v>6</v>
      </c>
      <c r="V4842" s="6" t="str">
        <f>IFERROR(__xludf.DUMMYFUNCTION("""COMPUTED_VALUE"""),"")</f>
        <v/>
      </c>
      <c r="W4842" s="6" t="str">
        <f>IFERROR(__xludf.DUMMYFUNCTION("""COMPUTED_VALUE"""),"[]")</f>
        <v>[]</v>
      </c>
      <c r="X4842" s="6" t="str">
        <f>IFERROR(__xludf.DUMMYFUNCTION("""COMPUTED_VALUE"""),"Enrolled")</f>
        <v>Enrolled</v>
      </c>
    </row>
    <row r="4843">
      <c r="A4843" s="6" t="str">
        <f>IFERROR(__xludf.DUMMYFUNCTION("""COMPUTED_VALUE"""),"084-13205")</f>
        <v>084-13205</v>
      </c>
      <c r="B4843" s="6" t="str">
        <f>IFERROR(__xludf.DUMMYFUNCTION("""COMPUTED_VALUE"""),"84")</f>
        <v>84</v>
      </c>
      <c r="C4843" s="6" t="str">
        <f>IFERROR(__xludf.DUMMYFUNCTION("""COMPUTED_VALUE"""),"13205")</f>
        <v>13205</v>
      </c>
      <c r="D4843" s="6" t="str">
        <f>IFERROR(__xludf.DUMMYFUNCTION("""COMPUTED_VALUE"""),"Izabella")</f>
        <v>Izabella</v>
      </c>
      <c r="E4843" s="6" t="str">
        <f>IFERROR(__xludf.DUMMYFUNCTION("""COMPUTED_VALUE"""),"")</f>
        <v/>
      </c>
      <c r="F4843" s="6" t="str">
        <f>IFERROR(__xludf.DUMMYFUNCTION("""COMPUTED_VALUE"""),"Williams")</f>
        <v>Williams</v>
      </c>
      <c r="G4843" s="6" t="str">
        <f>IFERROR(__xludf.DUMMYFUNCTION("""COMPUTED_VALUE"""),"12/12/2012")</f>
        <v>12/12/2012</v>
      </c>
      <c r="H4843" s="6" t="str">
        <f>IFERROR(__xludf.DUMMYFUNCTION("""COMPUTED_VALUE"""),"female")</f>
        <v>female</v>
      </c>
      <c r="I4843" s="6" t="str">
        <f>IFERROR(__xludf.DUMMYFUNCTION("""COMPUTED_VALUE"""),"Middle School")</f>
        <v>Middle School</v>
      </c>
      <c r="J4843" s="6" t="str">
        <f>IFERROR(__xludf.DUMMYFUNCTION("""COMPUTED_VALUE"""),"6")</f>
        <v>6</v>
      </c>
      <c r="K4843" s="6" t="str">
        <f>IFERROR(__xludf.DUMMYFUNCTION("""COMPUTED_VALUE"""),"izabella.williams@2hourlearning.com")</f>
        <v>izabella.williams@2hourlearning.com</v>
      </c>
      <c r="L4843" s="6" t="str">
        <f>IFERROR(__xludf.DUMMYFUNCTION("""COMPUTED_VALUE"""),"JHMS - Hardeeville Junior Senior High School")</f>
        <v>JHMS - Hardeeville Junior Senior High School</v>
      </c>
      <c r="M4843" s="6" t="str">
        <f>IFERROR(__xludf.DUMMYFUNCTION("""COMPUTED_VALUE"""),"")</f>
        <v/>
      </c>
      <c r="N4843" s="6" t="str">
        <f>IFERROR(__xludf.DUMMYFUNCTION("""COMPUTED_VALUE"""),"")</f>
        <v/>
      </c>
      <c r="O4843" s="87" t="str">
        <f>IFERROR(__xludf.DUMMYFUNCTION("""COMPUTED_VALUE"""),"https://drive.google.com/drive/folders/10T2cTQHqEJZqE-st6uFKPoI?usp=share_link")</f>
        <v>https://drive.google.com/drive/folders/10T2cTQHqEJZqE-st6uFKPoI?usp=share_link</v>
      </c>
      <c r="P4843" s="6" t="str">
        <f>IFERROR(__xludf.DUMMYFUNCTION("""COMPUTED_VALUE"""),"Izabella Williams")</f>
        <v>Izabella Williams</v>
      </c>
      <c r="Q4843" s="6" t="str">
        <f>IFERROR(__xludf.DUMMYFUNCTION("""COMPUTED_VALUE"""),"MS")</f>
        <v>MS</v>
      </c>
      <c r="R4843" s="6">
        <f>IFERROR(__xludf.DUMMYFUNCTION("""COMPUTED_VALUE"""),0.0)</f>
        <v>0</v>
      </c>
      <c r="S4843" s="6" t="str">
        <f>IFERROR(__xludf.DUMMYFUNCTION("""COMPUTED_VALUE"""),"Kimberly Ball")</f>
        <v>Kimberly Ball</v>
      </c>
      <c r="T4843" s="6" t="str">
        <f>IFERROR(__xludf.DUMMYFUNCTION("""COMPUTED_VALUE"""),"kimberly.ball@studient.com")</f>
        <v>kimberly.ball@studient.com</v>
      </c>
      <c r="U4843" s="6" t="str">
        <f>IFERROR(__xludf.DUMMYFUNCTION("""COMPUTED_VALUE"""),"6")</f>
        <v>6</v>
      </c>
      <c r="V4843" s="6" t="str">
        <f>IFERROR(__xludf.DUMMYFUNCTION("""COMPUTED_VALUE"""),"")</f>
        <v/>
      </c>
      <c r="W4843" s="6" t="str">
        <f>IFERROR(__xludf.DUMMYFUNCTION("""COMPUTED_VALUE"""),"[]")</f>
        <v>[]</v>
      </c>
      <c r="X4843" s="6" t="str">
        <f>IFERROR(__xludf.DUMMYFUNCTION("""COMPUTED_VALUE"""),"Enrolled")</f>
        <v>Enrolled</v>
      </c>
    </row>
    <row r="4844">
      <c r="A4844" s="6" t="str">
        <f>IFERROR(__xludf.DUMMYFUNCTION("""COMPUTED_VALUE"""),"084-13206")</f>
        <v>084-13206</v>
      </c>
      <c r="B4844" s="6" t="str">
        <f>IFERROR(__xludf.DUMMYFUNCTION("""COMPUTED_VALUE"""),"84")</f>
        <v>84</v>
      </c>
      <c r="C4844" s="6" t="str">
        <f>IFERROR(__xludf.DUMMYFUNCTION("""COMPUTED_VALUE"""),"13206")</f>
        <v>13206</v>
      </c>
      <c r="D4844" s="6" t="str">
        <f>IFERROR(__xludf.DUMMYFUNCTION("""COMPUTED_VALUE"""),"Latarvis")</f>
        <v>Latarvis</v>
      </c>
      <c r="E4844" s="6" t="str">
        <f>IFERROR(__xludf.DUMMYFUNCTION("""COMPUTED_VALUE"""),"")</f>
        <v/>
      </c>
      <c r="F4844" s="6" t="str">
        <f>IFERROR(__xludf.DUMMYFUNCTION("""COMPUTED_VALUE"""),"Williams")</f>
        <v>Williams</v>
      </c>
      <c r="G4844" s="6" t="str">
        <f>IFERROR(__xludf.DUMMYFUNCTION("""COMPUTED_VALUE"""),"11/09/2012")</f>
        <v>11/09/2012</v>
      </c>
      <c r="H4844" s="6" t="str">
        <f>IFERROR(__xludf.DUMMYFUNCTION("""COMPUTED_VALUE"""),"male")</f>
        <v>male</v>
      </c>
      <c r="I4844" s="6" t="str">
        <f>IFERROR(__xludf.DUMMYFUNCTION("""COMPUTED_VALUE"""),"Middle School")</f>
        <v>Middle School</v>
      </c>
      <c r="J4844" s="6" t="str">
        <f>IFERROR(__xludf.DUMMYFUNCTION("""COMPUTED_VALUE"""),"6")</f>
        <v>6</v>
      </c>
      <c r="K4844" s="6" t="str">
        <f>IFERROR(__xludf.DUMMYFUNCTION("""COMPUTED_VALUE"""),"latarvis.williams@2hourlearning.com")</f>
        <v>latarvis.williams@2hourlearning.com</v>
      </c>
      <c r="L4844" s="6" t="str">
        <f>IFERROR(__xludf.DUMMYFUNCTION("""COMPUTED_VALUE"""),"JHMS - Hardeeville Junior Senior High School")</f>
        <v>JHMS - Hardeeville Junior Senior High School</v>
      </c>
      <c r="M4844" s="6" t="str">
        <f>IFERROR(__xludf.DUMMYFUNCTION("""COMPUTED_VALUE"""),"")</f>
        <v/>
      </c>
      <c r="N4844" s="6" t="str">
        <f>IFERROR(__xludf.DUMMYFUNCTION("""COMPUTED_VALUE"""),"")</f>
        <v/>
      </c>
      <c r="O4844" s="87" t="str">
        <f>IFERROR(__xludf.DUMMYFUNCTION("""COMPUTED_VALUE"""),"https://drive.google.com/drive/folders/10T2cTQHqEJZqE-st6uFKPoI?usp=share_link")</f>
        <v>https://drive.google.com/drive/folders/10T2cTQHqEJZqE-st6uFKPoI?usp=share_link</v>
      </c>
      <c r="P4844" s="6" t="str">
        <f>IFERROR(__xludf.DUMMYFUNCTION("""COMPUTED_VALUE"""),"Latarvis Williams")</f>
        <v>Latarvis Williams</v>
      </c>
      <c r="Q4844" s="6" t="str">
        <f>IFERROR(__xludf.DUMMYFUNCTION("""COMPUTED_VALUE"""),"MS")</f>
        <v>MS</v>
      </c>
      <c r="R4844" s="6">
        <f>IFERROR(__xludf.DUMMYFUNCTION("""COMPUTED_VALUE"""),0.0)</f>
        <v>0</v>
      </c>
      <c r="S4844" s="6" t="str">
        <f>IFERROR(__xludf.DUMMYFUNCTION("""COMPUTED_VALUE"""),"Kimberly Ball")</f>
        <v>Kimberly Ball</v>
      </c>
      <c r="T4844" s="6" t="str">
        <f>IFERROR(__xludf.DUMMYFUNCTION("""COMPUTED_VALUE"""),"kimberly.ball@studient.com")</f>
        <v>kimberly.ball@studient.com</v>
      </c>
      <c r="U4844" s="6" t="str">
        <f>IFERROR(__xludf.DUMMYFUNCTION("""COMPUTED_VALUE"""),"6")</f>
        <v>6</v>
      </c>
      <c r="V4844" s="6" t="str">
        <f>IFERROR(__xludf.DUMMYFUNCTION("""COMPUTED_VALUE"""),"")</f>
        <v/>
      </c>
      <c r="W4844" s="6" t="str">
        <f>IFERROR(__xludf.DUMMYFUNCTION("""COMPUTED_VALUE"""),"[]")</f>
        <v>[]</v>
      </c>
      <c r="X4844" s="6" t="str">
        <f>IFERROR(__xludf.DUMMYFUNCTION("""COMPUTED_VALUE"""),"Enrolled")</f>
        <v>Enrolled</v>
      </c>
    </row>
    <row r="4845">
      <c r="A4845" s="6" t="str">
        <f>IFERROR(__xludf.DUMMYFUNCTION("""COMPUTED_VALUE"""),"084-13207")</f>
        <v>084-13207</v>
      </c>
      <c r="B4845" s="6" t="str">
        <f>IFERROR(__xludf.DUMMYFUNCTION("""COMPUTED_VALUE"""),"84")</f>
        <v>84</v>
      </c>
      <c r="C4845" s="6" t="str">
        <f>IFERROR(__xludf.DUMMYFUNCTION("""COMPUTED_VALUE"""),"13207")</f>
        <v>13207</v>
      </c>
      <c r="D4845" s="6" t="str">
        <f>IFERROR(__xludf.DUMMYFUNCTION("""COMPUTED_VALUE"""),"Alicia")</f>
        <v>Alicia</v>
      </c>
      <c r="E4845" s="6" t="str">
        <f>IFERROR(__xludf.DUMMYFUNCTION("""COMPUTED_VALUE"""),"")</f>
        <v/>
      </c>
      <c r="F4845" s="6" t="str">
        <f>IFERROR(__xludf.DUMMYFUNCTION("""COMPUTED_VALUE"""),"Ortiz")</f>
        <v>Ortiz</v>
      </c>
      <c r="G4845" s="6" t="str">
        <f>IFERROR(__xludf.DUMMYFUNCTION("""COMPUTED_VALUE"""),"11/21/2011")</f>
        <v>11/21/2011</v>
      </c>
      <c r="H4845" s="6" t="str">
        <f>IFERROR(__xludf.DUMMYFUNCTION("""COMPUTED_VALUE"""),"male")</f>
        <v>male</v>
      </c>
      <c r="I4845" s="6" t="str">
        <f>IFERROR(__xludf.DUMMYFUNCTION("""COMPUTED_VALUE"""),"Middle School")</f>
        <v>Middle School</v>
      </c>
      <c r="J4845" s="6" t="str">
        <f>IFERROR(__xludf.DUMMYFUNCTION("""COMPUTED_VALUE"""),"8")</f>
        <v>8</v>
      </c>
      <c r="K4845" s="6" t="str">
        <f>IFERROR(__xludf.DUMMYFUNCTION("""COMPUTED_VALUE"""),"alicia.ortiz@2hourlearning.com")</f>
        <v>alicia.ortiz@2hourlearning.com</v>
      </c>
      <c r="L4845" s="6" t="str">
        <f>IFERROR(__xludf.DUMMYFUNCTION("""COMPUTED_VALUE"""),"JHMS - Hardeeville Junior Senior High School")</f>
        <v>JHMS - Hardeeville Junior Senior High School</v>
      </c>
      <c r="M4845" s="6" t="str">
        <f>IFERROR(__xludf.DUMMYFUNCTION("""COMPUTED_VALUE"""),"")</f>
        <v/>
      </c>
      <c r="N4845" s="6" t="str">
        <f>IFERROR(__xludf.DUMMYFUNCTION("""COMPUTED_VALUE"""),"")</f>
        <v/>
      </c>
      <c r="O4845" s="87" t="str">
        <f>IFERROR(__xludf.DUMMYFUNCTION("""COMPUTED_VALUE"""),"https://drive.google.com/drive/folders/10T2cTQHqEJZqE-st6uFKPoI?usp=share_link")</f>
        <v>https://drive.google.com/drive/folders/10T2cTQHqEJZqE-st6uFKPoI?usp=share_link</v>
      </c>
      <c r="P4845" s="6" t="str">
        <f>IFERROR(__xludf.DUMMYFUNCTION("""COMPUTED_VALUE"""),"Alicia Ortiz")</f>
        <v>Alicia Ortiz</v>
      </c>
      <c r="Q4845" s="6" t="str">
        <f>IFERROR(__xludf.DUMMYFUNCTION("""COMPUTED_VALUE"""),"MS")</f>
        <v>MS</v>
      </c>
      <c r="R4845" s="6">
        <f>IFERROR(__xludf.DUMMYFUNCTION("""COMPUTED_VALUE"""),0.0)</f>
        <v>0</v>
      </c>
      <c r="S4845" s="6" t="str">
        <f>IFERROR(__xludf.DUMMYFUNCTION("""COMPUTED_VALUE"""),"Kimberly Ball")</f>
        <v>Kimberly Ball</v>
      </c>
      <c r="T4845" s="6" t="str">
        <f>IFERROR(__xludf.DUMMYFUNCTION("""COMPUTED_VALUE"""),"kimberly.ball@studient.com")</f>
        <v>kimberly.ball@studient.com</v>
      </c>
      <c r="U4845" s="6" t="str">
        <f>IFERROR(__xludf.DUMMYFUNCTION("""COMPUTED_VALUE"""),"8")</f>
        <v>8</v>
      </c>
      <c r="V4845" s="6" t="str">
        <f>IFERROR(__xludf.DUMMYFUNCTION("""COMPUTED_VALUE"""),"")</f>
        <v/>
      </c>
      <c r="W4845" s="6" t="str">
        <f>IFERROR(__xludf.DUMMYFUNCTION("""COMPUTED_VALUE"""),"[]")</f>
        <v>[]</v>
      </c>
      <c r="X4845" s="6" t="str">
        <f>IFERROR(__xludf.DUMMYFUNCTION("""COMPUTED_VALUE"""),"Enrolled")</f>
        <v>Enrolled</v>
      </c>
    </row>
    <row r="4846">
      <c r="A4846" s="6" t="str">
        <f>IFERROR(__xludf.DUMMYFUNCTION("""COMPUTED_VALUE"""),"084-13208")</f>
        <v>084-13208</v>
      </c>
      <c r="B4846" s="6" t="str">
        <f>IFERROR(__xludf.DUMMYFUNCTION("""COMPUTED_VALUE"""),"84")</f>
        <v>84</v>
      </c>
      <c r="C4846" s="6" t="str">
        <f>IFERROR(__xludf.DUMMYFUNCTION("""COMPUTED_VALUE"""),"13208")</f>
        <v>13208</v>
      </c>
      <c r="D4846" s="6" t="str">
        <f>IFERROR(__xludf.DUMMYFUNCTION("""COMPUTED_VALUE"""),"Katerin")</f>
        <v>Katerin</v>
      </c>
      <c r="E4846" s="6" t="str">
        <f>IFERROR(__xludf.DUMMYFUNCTION("""COMPUTED_VALUE"""),"")</f>
        <v/>
      </c>
      <c r="F4846" s="6" t="str">
        <f>IFERROR(__xludf.DUMMYFUNCTION("""COMPUTED_VALUE"""),"Palacios Saravia")</f>
        <v>Palacios Saravia</v>
      </c>
      <c r="G4846" s="6" t="str">
        <f>IFERROR(__xludf.DUMMYFUNCTION("""COMPUTED_VALUE"""),"01/19/2011")</f>
        <v>01/19/2011</v>
      </c>
      <c r="H4846" s="6" t="str">
        <f>IFERROR(__xludf.DUMMYFUNCTION("""COMPUTED_VALUE"""),"male")</f>
        <v>male</v>
      </c>
      <c r="I4846" s="6" t="str">
        <f>IFERROR(__xludf.DUMMYFUNCTION("""COMPUTED_VALUE"""),"Middle School")</f>
        <v>Middle School</v>
      </c>
      <c r="J4846" s="6" t="str">
        <f>IFERROR(__xludf.DUMMYFUNCTION("""COMPUTED_VALUE"""),"8")</f>
        <v>8</v>
      </c>
      <c r="K4846" s="6" t="str">
        <f>IFERROR(__xludf.DUMMYFUNCTION("""COMPUTED_VALUE"""),"katerin.palaciossaravia@2hourlearning.com")</f>
        <v>katerin.palaciossaravia@2hourlearning.com</v>
      </c>
      <c r="L4846" s="6" t="str">
        <f>IFERROR(__xludf.DUMMYFUNCTION("""COMPUTED_VALUE"""),"JHMS - Hardeeville Junior Senior High School")</f>
        <v>JHMS - Hardeeville Junior Senior High School</v>
      </c>
      <c r="M4846" s="6" t="str">
        <f>IFERROR(__xludf.DUMMYFUNCTION("""COMPUTED_VALUE"""),"")</f>
        <v/>
      </c>
      <c r="N4846" s="6" t="str">
        <f>IFERROR(__xludf.DUMMYFUNCTION("""COMPUTED_VALUE"""),"")</f>
        <v/>
      </c>
      <c r="O4846" s="87" t="str">
        <f>IFERROR(__xludf.DUMMYFUNCTION("""COMPUTED_VALUE"""),"https://drive.google.com/drive/folders/10T2cTQHqEJZqE-st6uFKPoI?usp=share_link")</f>
        <v>https://drive.google.com/drive/folders/10T2cTQHqEJZqE-st6uFKPoI?usp=share_link</v>
      </c>
      <c r="P4846" s="6" t="str">
        <f>IFERROR(__xludf.DUMMYFUNCTION("""COMPUTED_VALUE"""),"Katerin Palacios Saravia")</f>
        <v>Katerin Palacios Saravia</v>
      </c>
      <c r="Q4846" s="6" t="str">
        <f>IFERROR(__xludf.DUMMYFUNCTION("""COMPUTED_VALUE"""),"MS")</f>
        <v>MS</v>
      </c>
      <c r="R4846" s="6">
        <f>IFERROR(__xludf.DUMMYFUNCTION("""COMPUTED_VALUE"""),0.0)</f>
        <v>0</v>
      </c>
      <c r="S4846" s="6" t="str">
        <f>IFERROR(__xludf.DUMMYFUNCTION("""COMPUTED_VALUE"""),"Kimberly Ball")</f>
        <v>Kimberly Ball</v>
      </c>
      <c r="T4846" s="6" t="str">
        <f>IFERROR(__xludf.DUMMYFUNCTION("""COMPUTED_VALUE"""),"kimberly.ball@studient.com")</f>
        <v>kimberly.ball@studient.com</v>
      </c>
      <c r="U4846" s="6" t="str">
        <f>IFERROR(__xludf.DUMMYFUNCTION("""COMPUTED_VALUE"""),"8")</f>
        <v>8</v>
      </c>
      <c r="V4846" s="6" t="str">
        <f>IFERROR(__xludf.DUMMYFUNCTION("""COMPUTED_VALUE"""),"")</f>
        <v/>
      </c>
      <c r="W4846" s="6" t="str">
        <f>IFERROR(__xludf.DUMMYFUNCTION("""COMPUTED_VALUE"""),"[]")</f>
        <v>[]</v>
      </c>
      <c r="X4846" s="6" t="str">
        <f>IFERROR(__xludf.DUMMYFUNCTION("""COMPUTED_VALUE"""),"Enrolled")</f>
        <v>Enrolled</v>
      </c>
    </row>
    <row r="4847">
      <c r="A4847" s="6" t="str">
        <f>IFERROR(__xludf.DUMMYFUNCTION("""COMPUTED_VALUE"""),"084-13209")</f>
        <v>084-13209</v>
      </c>
      <c r="B4847" s="6" t="str">
        <f>IFERROR(__xludf.DUMMYFUNCTION("""COMPUTED_VALUE"""),"84")</f>
        <v>84</v>
      </c>
      <c r="C4847" s="6" t="str">
        <f>IFERROR(__xludf.DUMMYFUNCTION("""COMPUTED_VALUE"""),"13209")</f>
        <v>13209</v>
      </c>
      <c r="D4847" s="6" t="str">
        <f>IFERROR(__xludf.DUMMYFUNCTION("""COMPUTED_VALUE"""),"Alexis")</f>
        <v>Alexis</v>
      </c>
      <c r="E4847" s="6" t="str">
        <f>IFERROR(__xludf.DUMMYFUNCTION("""COMPUTED_VALUE"""),"")</f>
        <v/>
      </c>
      <c r="F4847" s="6" t="str">
        <f>IFERROR(__xludf.DUMMYFUNCTION("""COMPUTED_VALUE"""),"Wilson")</f>
        <v>Wilson</v>
      </c>
      <c r="G4847" s="6" t="str">
        <f>IFERROR(__xludf.DUMMYFUNCTION("""COMPUTED_VALUE"""),"01/31/2013")</f>
        <v>01/31/2013</v>
      </c>
      <c r="H4847" s="6" t="str">
        <f>IFERROR(__xludf.DUMMYFUNCTION("""COMPUTED_VALUE"""),"male")</f>
        <v>male</v>
      </c>
      <c r="I4847" s="6" t="str">
        <f>IFERROR(__xludf.DUMMYFUNCTION("""COMPUTED_VALUE"""),"Middle School")</f>
        <v>Middle School</v>
      </c>
      <c r="J4847" s="6" t="str">
        <f>IFERROR(__xludf.DUMMYFUNCTION("""COMPUTED_VALUE"""),"6")</f>
        <v>6</v>
      </c>
      <c r="K4847" s="6" t="str">
        <f>IFERROR(__xludf.DUMMYFUNCTION("""COMPUTED_VALUE"""),"alexis.wilson@2hourlearning.com")</f>
        <v>alexis.wilson@2hourlearning.com</v>
      </c>
      <c r="L4847" s="6" t="str">
        <f>IFERROR(__xludf.DUMMYFUNCTION("""COMPUTED_VALUE"""),"JHMS - Hardeeville Junior Senior High School")</f>
        <v>JHMS - Hardeeville Junior Senior High School</v>
      </c>
      <c r="M4847" s="6" t="str">
        <f>IFERROR(__xludf.DUMMYFUNCTION("""COMPUTED_VALUE"""),"")</f>
        <v/>
      </c>
      <c r="N4847" s="6" t="str">
        <f>IFERROR(__xludf.DUMMYFUNCTION("""COMPUTED_VALUE"""),"")</f>
        <v/>
      </c>
      <c r="O4847" s="87" t="str">
        <f>IFERROR(__xludf.DUMMYFUNCTION("""COMPUTED_VALUE"""),"https://drive.google.com/drive/folders/10T2cTQHqEJZqE-st6uFKPoI?usp=share_link")</f>
        <v>https://drive.google.com/drive/folders/10T2cTQHqEJZqE-st6uFKPoI?usp=share_link</v>
      </c>
      <c r="P4847" s="6" t="str">
        <f>IFERROR(__xludf.DUMMYFUNCTION("""COMPUTED_VALUE"""),"Alexis Wilson")</f>
        <v>Alexis Wilson</v>
      </c>
      <c r="Q4847" s="6" t="str">
        <f>IFERROR(__xludf.DUMMYFUNCTION("""COMPUTED_VALUE"""),"MS")</f>
        <v>MS</v>
      </c>
      <c r="R4847" s="6">
        <f>IFERROR(__xludf.DUMMYFUNCTION("""COMPUTED_VALUE"""),0.0)</f>
        <v>0</v>
      </c>
      <c r="S4847" s="6" t="str">
        <f>IFERROR(__xludf.DUMMYFUNCTION("""COMPUTED_VALUE"""),"Kimberly Ball")</f>
        <v>Kimberly Ball</v>
      </c>
      <c r="T4847" s="6" t="str">
        <f>IFERROR(__xludf.DUMMYFUNCTION("""COMPUTED_VALUE"""),"kimberly.ball@studient.com")</f>
        <v>kimberly.ball@studient.com</v>
      </c>
      <c r="U4847" s="6" t="str">
        <f>IFERROR(__xludf.DUMMYFUNCTION("""COMPUTED_VALUE"""),"6")</f>
        <v>6</v>
      </c>
      <c r="V4847" s="6" t="str">
        <f>IFERROR(__xludf.DUMMYFUNCTION("""COMPUTED_VALUE"""),"")</f>
        <v/>
      </c>
      <c r="W4847" s="6" t="str">
        <f>IFERROR(__xludf.DUMMYFUNCTION("""COMPUTED_VALUE"""),"[]")</f>
        <v>[]</v>
      </c>
      <c r="X4847" s="6" t="str">
        <f>IFERROR(__xludf.DUMMYFUNCTION("""COMPUTED_VALUE"""),"Enrolled")</f>
        <v>Enrolled</v>
      </c>
    </row>
    <row r="4848">
      <c r="A4848" s="6" t="str">
        <f>IFERROR(__xludf.DUMMYFUNCTION("""COMPUTED_VALUE"""),"084-13210")</f>
        <v>084-13210</v>
      </c>
      <c r="B4848" s="6" t="str">
        <f>IFERROR(__xludf.DUMMYFUNCTION("""COMPUTED_VALUE"""),"84")</f>
        <v>84</v>
      </c>
      <c r="C4848" s="6" t="str">
        <f>IFERROR(__xludf.DUMMYFUNCTION("""COMPUTED_VALUE"""),"13210")</f>
        <v>13210</v>
      </c>
      <c r="D4848" s="6" t="str">
        <f>IFERROR(__xludf.DUMMYFUNCTION("""COMPUTED_VALUE"""),"Lenari")</f>
        <v>Lenari</v>
      </c>
      <c r="E4848" s="6" t="str">
        <f>IFERROR(__xludf.DUMMYFUNCTION("""COMPUTED_VALUE"""),"")</f>
        <v/>
      </c>
      <c r="F4848" s="6" t="str">
        <f>IFERROR(__xludf.DUMMYFUNCTION("""COMPUTED_VALUE"""),"Wilson")</f>
        <v>Wilson</v>
      </c>
      <c r="G4848" s="6" t="str">
        <f>IFERROR(__xludf.DUMMYFUNCTION("""COMPUTED_VALUE"""),"09/25/2012")</f>
        <v>09/25/2012</v>
      </c>
      <c r="H4848" s="6" t="str">
        <f>IFERROR(__xludf.DUMMYFUNCTION("""COMPUTED_VALUE"""),"female")</f>
        <v>female</v>
      </c>
      <c r="I4848" s="6" t="str">
        <f>IFERROR(__xludf.DUMMYFUNCTION("""COMPUTED_VALUE"""),"Middle School")</f>
        <v>Middle School</v>
      </c>
      <c r="J4848" s="6" t="str">
        <f>IFERROR(__xludf.DUMMYFUNCTION("""COMPUTED_VALUE"""),"6")</f>
        <v>6</v>
      </c>
      <c r="K4848" s="6" t="str">
        <f>IFERROR(__xludf.DUMMYFUNCTION("""COMPUTED_VALUE"""),"lenari.wilson@2hourlearning.com")</f>
        <v>lenari.wilson@2hourlearning.com</v>
      </c>
      <c r="L4848" s="6" t="str">
        <f>IFERROR(__xludf.DUMMYFUNCTION("""COMPUTED_VALUE"""),"JHMS - Hardeeville Junior Senior High School")</f>
        <v>JHMS - Hardeeville Junior Senior High School</v>
      </c>
      <c r="M4848" s="6" t="str">
        <f>IFERROR(__xludf.DUMMYFUNCTION("""COMPUTED_VALUE"""),"")</f>
        <v/>
      </c>
      <c r="N4848" s="6" t="str">
        <f>IFERROR(__xludf.DUMMYFUNCTION("""COMPUTED_VALUE"""),"")</f>
        <v/>
      </c>
      <c r="O4848" s="87" t="str">
        <f>IFERROR(__xludf.DUMMYFUNCTION("""COMPUTED_VALUE"""),"https://drive.google.com/drive/folders/10T2cTQHqEJZqE-st6uFKPoI?usp=share_link")</f>
        <v>https://drive.google.com/drive/folders/10T2cTQHqEJZqE-st6uFKPoI?usp=share_link</v>
      </c>
      <c r="P4848" s="6" t="str">
        <f>IFERROR(__xludf.DUMMYFUNCTION("""COMPUTED_VALUE"""),"Lenari Wilson")</f>
        <v>Lenari Wilson</v>
      </c>
      <c r="Q4848" s="6" t="str">
        <f>IFERROR(__xludf.DUMMYFUNCTION("""COMPUTED_VALUE"""),"MS")</f>
        <v>MS</v>
      </c>
      <c r="R4848" s="6">
        <f>IFERROR(__xludf.DUMMYFUNCTION("""COMPUTED_VALUE"""),0.0)</f>
        <v>0</v>
      </c>
      <c r="S4848" s="6" t="str">
        <f>IFERROR(__xludf.DUMMYFUNCTION("""COMPUTED_VALUE"""),"Kimberly Ball")</f>
        <v>Kimberly Ball</v>
      </c>
      <c r="T4848" s="6" t="str">
        <f>IFERROR(__xludf.DUMMYFUNCTION("""COMPUTED_VALUE"""),"kimberly.ball@studient.com")</f>
        <v>kimberly.ball@studient.com</v>
      </c>
      <c r="U4848" s="6" t="str">
        <f>IFERROR(__xludf.DUMMYFUNCTION("""COMPUTED_VALUE"""),"6")</f>
        <v>6</v>
      </c>
      <c r="V4848" s="6" t="str">
        <f>IFERROR(__xludf.DUMMYFUNCTION("""COMPUTED_VALUE"""),"")</f>
        <v/>
      </c>
      <c r="W4848" s="6" t="str">
        <f>IFERROR(__xludf.DUMMYFUNCTION("""COMPUTED_VALUE"""),"[]")</f>
        <v>[]</v>
      </c>
      <c r="X4848" s="6" t="str">
        <f>IFERROR(__xludf.DUMMYFUNCTION("""COMPUTED_VALUE"""),"Enrolled")</f>
        <v>Enrolled</v>
      </c>
    </row>
    <row r="4849">
      <c r="A4849" s="6" t="str">
        <f>IFERROR(__xludf.DUMMYFUNCTION("""COMPUTED_VALUE"""),"084-13211")</f>
        <v>084-13211</v>
      </c>
      <c r="B4849" s="6" t="str">
        <f>IFERROR(__xludf.DUMMYFUNCTION("""COMPUTED_VALUE"""),"84")</f>
        <v>84</v>
      </c>
      <c r="C4849" s="6" t="str">
        <f>IFERROR(__xludf.DUMMYFUNCTION("""COMPUTED_VALUE"""),"13211")</f>
        <v>13211</v>
      </c>
      <c r="D4849" s="6" t="str">
        <f>IFERROR(__xludf.DUMMYFUNCTION("""COMPUTED_VALUE"""),"Jaylen")</f>
        <v>Jaylen</v>
      </c>
      <c r="E4849" s="6" t="str">
        <f>IFERROR(__xludf.DUMMYFUNCTION("""COMPUTED_VALUE"""),"")</f>
        <v/>
      </c>
      <c r="F4849" s="6" t="str">
        <f>IFERROR(__xludf.DUMMYFUNCTION("""COMPUTED_VALUE"""),"Young")</f>
        <v>Young</v>
      </c>
      <c r="G4849" s="6" t="str">
        <f>IFERROR(__xludf.DUMMYFUNCTION("""COMPUTED_VALUE"""),"02/12/2014")</f>
        <v>02/12/2014</v>
      </c>
      <c r="H4849" s="6" t="str">
        <f>IFERROR(__xludf.DUMMYFUNCTION("""COMPUTED_VALUE"""),"male")</f>
        <v>male</v>
      </c>
      <c r="I4849" s="6" t="str">
        <f>IFERROR(__xludf.DUMMYFUNCTION("""COMPUTED_VALUE"""),"Middle School")</f>
        <v>Middle School</v>
      </c>
      <c r="J4849" s="6" t="str">
        <f>IFERROR(__xludf.DUMMYFUNCTION("""COMPUTED_VALUE"""),"6")</f>
        <v>6</v>
      </c>
      <c r="K4849" s="6" t="str">
        <f>IFERROR(__xludf.DUMMYFUNCTION("""COMPUTED_VALUE"""),"jaylen.young@2hourlearning.com")</f>
        <v>jaylen.young@2hourlearning.com</v>
      </c>
      <c r="L4849" s="6" t="str">
        <f>IFERROR(__xludf.DUMMYFUNCTION("""COMPUTED_VALUE"""),"JHMS - Hardeeville Junior Senior High School")</f>
        <v>JHMS - Hardeeville Junior Senior High School</v>
      </c>
      <c r="M4849" s="6" t="str">
        <f>IFERROR(__xludf.DUMMYFUNCTION("""COMPUTED_VALUE"""),"")</f>
        <v/>
      </c>
      <c r="N4849" s="6" t="str">
        <f>IFERROR(__xludf.DUMMYFUNCTION("""COMPUTED_VALUE"""),"")</f>
        <v/>
      </c>
      <c r="O4849" s="87" t="str">
        <f>IFERROR(__xludf.DUMMYFUNCTION("""COMPUTED_VALUE"""),"https://drive.google.com/drive/folders/10T2cTQHqEJZqE-st6uFKPoI?usp=share_link")</f>
        <v>https://drive.google.com/drive/folders/10T2cTQHqEJZqE-st6uFKPoI?usp=share_link</v>
      </c>
      <c r="P4849" s="6" t="str">
        <f>IFERROR(__xludf.DUMMYFUNCTION("""COMPUTED_VALUE"""),"Jaylen Young")</f>
        <v>Jaylen Young</v>
      </c>
      <c r="Q4849" s="6" t="str">
        <f>IFERROR(__xludf.DUMMYFUNCTION("""COMPUTED_VALUE"""),"MS")</f>
        <v>MS</v>
      </c>
      <c r="R4849" s="6">
        <f>IFERROR(__xludf.DUMMYFUNCTION("""COMPUTED_VALUE"""),0.0)</f>
        <v>0</v>
      </c>
      <c r="S4849" s="6" t="str">
        <f>IFERROR(__xludf.DUMMYFUNCTION("""COMPUTED_VALUE"""),"Kimberly Ball")</f>
        <v>Kimberly Ball</v>
      </c>
      <c r="T4849" s="6" t="str">
        <f>IFERROR(__xludf.DUMMYFUNCTION("""COMPUTED_VALUE"""),"kimberly.ball@studient.com")</f>
        <v>kimberly.ball@studient.com</v>
      </c>
      <c r="U4849" s="6" t="str">
        <f>IFERROR(__xludf.DUMMYFUNCTION("""COMPUTED_VALUE"""),"6")</f>
        <v>6</v>
      </c>
      <c r="V4849" s="6" t="str">
        <f>IFERROR(__xludf.DUMMYFUNCTION("""COMPUTED_VALUE"""),"")</f>
        <v/>
      </c>
      <c r="W4849" s="6" t="str">
        <f>IFERROR(__xludf.DUMMYFUNCTION("""COMPUTED_VALUE"""),"[]")</f>
        <v>[]</v>
      </c>
      <c r="X4849" s="6" t="str">
        <f>IFERROR(__xludf.DUMMYFUNCTION("""COMPUTED_VALUE"""),"Enrolled")</f>
        <v>Enrolled</v>
      </c>
    </row>
    <row r="4850">
      <c r="A4850" s="6" t="str">
        <f>IFERROR(__xludf.DUMMYFUNCTION("""COMPUTED_VALUE"""),"084-13212")</f>
        <v>084-13212</v>
      </c>
      <c r="B4850" s="6" t="str">
        <f>IFERROR(__xludf.DUMMYFUNCTION("""COMPUTED_VALUE"""),"84")</f>
        <v>84</v>
      </c>
      <c r="C4850" s="6" t="str">
        <f>IFERROR(__xludf.DUMMYFUNCTION("""COMPUTED_VALUE"""),"13212")</f>
        <v>13212</v>
      </c>
      <c r="D4850" s="6" t="str">
        <f>IFERROR(__xludf.DUMMYFUNCTION("""COMPUTED_VALUE"""),"Neal")</f>
        <v>Neal</v>
      </c>
      <c r="E4850" s="6" t="str">
        <f>IFERROR(__xludf.DUMMYFUNCTION("""COMPUTED_VALUE"""),"")</f>
        <v/>
      </c>
      <c r="F4850" s="6" t="str">
        <f>IFERROR(__xludf.DUMMYFUNCTION("""COMPUTED_VALUE"""),"Young")</f>
        <v>Young</v>
      </c>
      <c r="G4850" s="6" t="str">
        <f>IFERROR(__xludf.DUMMYFUNCTION("""COMPUTED_VALUE"""),"11/16/2013")</f>
        <v>11/16/2013</v>
      </c>
      <c r="H4850" s="6" t="str">
        <f>IFERROR(__xludf.DUMMYFUNCTION("""COMPUTED_VALUE"""),"male")</f>
        <v>male</v>
      </c>
      <c r="I4850" s="6" t="str">
        <f>IFERROR(__xludf.DUMMYFUNCTION("""COMPUTED_VALUE"""),"Middle School")</f>
        <v>Middle School</v>
      </c>
      <c r="J4850" s="6" t="str">
        <f>IFERROR(__xludf.DUMMYFUNCTION("""COMPUTED_VALUE"""),"6")</f>
        <v>6</v>
      </c>
      <c r="K4850" s="6" t="str">
        <f>IFERROR(__xludf.DUMMYFUNCTION("""COMPUTED_VALUE"""),"neal.young@2hourlearning.com")</f>
        <v>neal.young@2hourlearning.com</v>
      </c>
      <c r="L4850" s="6" t="str">
        <f>IFERROR(__xludf.DUMMYFUNCTION("""COMPUTED_VALUE"""),"JHMS - Hardeeville Junior Senior High School")</f>
        <v>JHMS - Hardeeville Junior Senior High School</v>
      </c>
      <c r="M4850" s="6" t="str">
        <f>IFERROR(__xludf.DUMMYFUNCTION("""COMPUTED_VALUE"""),"")</f>
        <v/>
      </c>
      <c r="N4850" s="6" t="str">
        <f>IFERROR(__xludf.DUMMYFUNCTION("""COMPUTED_VALUE"""),"")</f>
        <v/>
      </c>
      <c r="O4850" s="87" t="str">
        <f>IFERROR(__xludf.DUMMYFUNCTION("""COMPUTED_VALUE"""),"https://drive.google.com/drive/folders/10T2cTQHqEJZqE-st6uFKPoI?usp=share_link")</f>
        <v>https://drive.google.com/drive/folders/10T2cTQHqEJZqE-st6uFKPoI?usp=share_link</v>
      </c>
      <c r="P4850" s="6" t="str">
        <f>IFERROR(__xludf.DUMMYFUNCTION("""COMPUTED_VALUE"""),"Neal Young")</f>
        <v>Neal Young</v>
      </c>
      <c r="Q4850" s="6" t="str">
        <f>IFERROR(__xludf.DUMMYFUNCTION("""COMPUTED_VALUE"""),"MS")</f>
        <v>MS</v>
      </c>
      <c r="R4850" s="6">
        <f>IFERROR(__xludf.DUMMYFUNCTION("""COMPUTED_VALUE"""),0.0)</f>
        <v>0</v>
      </c>
      <c r="S4850" s="6" t="str">
        <f>IFERROR(__xludf.DUMMYFUNCTION("""COMPUTED_VALUE"""),"Kimberly Ball")</f>
        <v>Kimberly Ball</v>
      </c>
      <c r="T4850" s="6" t="str">
        <f>IFERROR(__xludf.DUMMYFUNCTION("""COMPUTED_VALUE"""),"kimberly.ball@studient.com")</f>
        <v>kimberly.ball@studient.com</v>
      </c>
      <c r="U4850" s="6" t="str">
        <f>IFERROR(__xludf.DUMMYFUNCTION("""COMPUTED_VALUE"""),"6")</f>
        <v>6</v>
      </c>
      <c r="V4850" s="6" t="str">
        <f>IFERROR(__xludf.DUMMYFUNCTION("""COMPUTED_VALUE"""),"")</f>
        <v/>
      </c>
      <c r="W4850" s="6" t="str">
        <f>IFERROR(__xludf.DUMMYFUNCTION("""COMPUTED_VALUE"""),"[]")</f>
        <v>[]</v>
      </c>
      <c r="X4850" s="6" t="str">
        <f>IFERROR(__xludf.DUMMYFUNCTION("""COMPUTED_VALUE"""),"Enrolled")</f>
        <v>Enrolled</v>
      </c>
    </row>
    <row r="4851">
      <c r="A4851" s="6" t="str">
        <f>IFERROR(__xludf.DUMMYFUNCTION("""COMPUTED_VALUE"""),"084-13213")</f>
        <v>084-13213</v>
      </c>
      <c r="B4851" s="6" t="str">
        <f>IFERROR(__xludf.DUMMYFUNCTION("""COMPUTED_VALUE"""),"84")</f>
        <v>84</v>
      </c>
      <c r="C4851" s="6" t="str">
        <f>IFERROR(__xludf.DUMMYFUNCTION("""COMPUTED_VALUE"""),"13213")</f>
        <v>13213</v>
      </c>
      <c r="D4851" s="6" t="str">
        <f>IFERROR(__xludf.DUMMYFUNCTION("""COMPUTED_VALUE"""),"Victor")</f>
        <v>Victor</v>
      </c>
      <c r="E4851" s="6" t="str">
        <f>IFERROR(__xludf.DUMMYFUNCTION("""COMPUTED_VALUE"""),"")</f>
        <v/>
      </c>
      <c r="F4851" s="6" t="str">
        <f>IFERROR(__xludf.DUMMYFUNCTION("""COMPUTED_VALUE"""),"Vieyra Cardenas")</f>
        <v>Vieyra Cardenas</v>
      </c>
      <c r="G4851" s="6" t="str">
        <f>IFERROR(__xludf.DUMMYFUNCTION("""COMPUTED_VALUE"""),"08/19/2012")</f>
        <v>08/19/2012</v>
      </c>
      <c r="H4851" s="6" t="str">
        <f>IFERROR(__xludf.DUMMYFUNCTION("""COMPUTED_VALUE"""),"male")</f>
        <v>male</v>
      </c>
      <c r="I4851" s="6" t="str">
        <f>IFERROR(__xludf.DUMMYFUNCTION("""COMPUTED_VALUE"""),"Middle School")</f>
        <v>Middle School</v>
      </c>
      <c r="J4851" s="6" t="str">
        <f>IFERROR(__xludf.DUMMYFUNCTION("""COMPUTED_VALUE"""),"7")</f>
        <v>7</v>
      </c>
      <c r="K4851" s="6" t="str">
        <f>IFERROR(__xludf.DUMMYFUNCTION("""COMPUTED_VALUE"""),"victor.vieyracardenas@2hourlearning.com")</f>
        <v>victor.vieyracardenas@2hourlearning.com</v>
      </c>
      <c r="L4851" s="6" t="str">
        <f>IFERROR(__xludf.DUMMYFUNCTION("""COMPUTED_VALUE"""),"JHMS - Hardeeville Junior Senior High School")</f>
        <v>JHMS - Hardeeville Junior Senior High School</v>
      </c>
      <c r="M4851" s="6" t="str">
        <f>IFERROR(__xludf.DUMMYFUNCTION("""COMPUTED_VALUE"""),"")</f>
        <v/>
      </c>
      <c r="N4851" s="6" t="str">
        <f>IFERROR(__xludf.DUMMYFUNCTION("""COMPUTED_VALUE"""),"")</f>
        <v/>
      </c>
      <c r="O4851" s="87" t="str">
        <f>IFERROR(__xludf.DUMMYFUNCTION("""COMPUTED_VALUE"""),"https://drive.google.com/drive/folders/10T2cTQHqEJZqE-st6uFKPoI?usp=share_link")</f>
        <v>https://drive.google.com/drive/folders/10T2cTQHqEJZqE-st6uFKPoI?usp=share_link</v>
      </c>
      <c r="P4851" s="6" t="str">
        <f>IFERROR(__xludf.DUMMYFUNCTION("""COMPUTED_VALUE"""),"Victor Vieyra Cardenas")</f>
        <v>Victor Vieyra Cardenas</v>
      </c>
      <c r="Q4851" s="6" t="str">
        <f>IFERROR(__xludf.DUMMYFUNCTION("""COMPUTED_VALUE"""),"MS")</f>
        <v>MS</v>
      </c>
      <c r="R4851" s="6">
        <f>IFERROR(__xludf.DUMMYFUNCTION("""COMPUTED_VALUE"""),0.0)</f>
        <v>0</v>
      </c>
      <c r="S4851" s="6" t="str">
        <f>IFERROR(__xludf.DUMMYFUNCTION("""COMPUTED_VALUE"""),"Kimberly Ball")</f>
        <v>Kimberly Ball</v>
      </c>
      <c r="T4851" s="6" t="str">
        <f>IFERROR(__xludf.DUMMYFUNCTION("""COMPUTED_VALUE"""),"kimberly.ball@studient.com")</f>
        <v>kimberly.ball@studient.com</v>
      </c>
      <c r="U4851" s="6" t="str">
        <f>IFERROR(__xludf.DUMMYFUNCTION("""COMPUTED_VALUE"""),"7")</f>
        <v>7</v>
      </c>
      <c r="V4851" s="6" t="str">
        <f>IFERROR(__xludf.DUMMYFUNCTION("""COMPUTED_VALUE"""),"")</f>
        <v/>
      </c>
      <c r="W4851" s="6" t="str">
        <f>IFERROR(__xludf.DUMMYFUNCTION("""COMPUTED_VALUE"""),"[]")</f>
        <v>[]</v>
      </c>
      <c r="X4851" s="6" t="str">
        <f>IFERROR(__xludf.DUMMYFUNCTION("""COMPUTED_VALUE"""),"Enrolled")</f>
        <v>Enrolled</v>
      </c>
    </row>
    <row r="4852">
      <c r="A4852" s="6" t="str">
        <f>IFERROR(__xludf.DUMMYFUNCTION("""COMPUTED_VALUE"""),"084-13214")</f>
        <v>084-13214</v>
      </c>
      <c r="B4852" s="6" t="str">
        <f>IFERROR(__xludf.DUMMYFUNCTION("""COMPUTED_VALUE"""),"84")</f>
        <v>84</v>
      </c>
      <c r="C4852" s="6" t="str">
        <f>IFERROR(__xludf.DUMMYFUNCTION("""COMPUTED_VALUE"""),"13214")</f>
        <v>13214</v>
      </c>
      <c r="D4852" s="6" t="str">
        <f>IFERROR(__xludf.DUMMYFUNCTION("""COMPUTED_VALUE"""),"Jacaria")</f>
        <v>Jacaria</v>
      </c>
      <c r="E4852" s="6" t="str">
        <f>IFERROR(__xludf.DUMMYFUNCTION("""COMPUTED_VALUE"""),"")</f>
        <v/>
      </c>
      <c r="F4852" s="6" t="str">
        <f>IFERROR(__xludf.DUMMYFUNCTION("""COMPUTED_VALUE"""),"Young")</f>
        <v>Young</v>
      </c>
      <c r="G4852" s="6" t="str">
        <f>IFERROR(__xludf.DUMMYFUNCTION("""COMPUTED_VALUE"""),"04/10/2013")</f>
        <v>04/10/2013</v>
      </c>
      <c r="H4852" s="6" t="str">
        <f>IFERROR(__xludf.DUMMYFUNCTION("""COMPUTED_VALUE"""),"female")</f>
        <v>female</v>
      </c>
      <c r="I4852" s="6" t="str">
        <f>IFERROR(__xludf.DUMMYFUNCTION("""COMPUTED_VALUE"""),"Middle School")</f>
        <v>Middle School</v>
      </c>
      <c r="J4852" s="6" t="str">
        <f>IFERROR(__xludf.DUMMYFUNCTION("""COMPUTED_VALUE"""),"7")</f>
        <v>7</v>
      </c>
      <c r="K4852" s="6" t="str">
        <f>IFERROR(__xludf.DUMMYFUNCTION("""COMPUTED_VALUE"""),"jacaria.young@2hourlearning.com")</f>
        <v>jacaria.young@2hourlearning.com</v>
      </c>
      <c r="L4852" s="6" t="str">
        <f>IFERROR(__xludf.DUMMYFUNCTION("""COMPUTED_VALUE"""),"JHMS - Hardeeville Junior Senior High School")</f>
        <v>JHMS - Hardeeville Junior Senior High School</v>
      </c>
      <c r="M4852" s="6" t="str">
        <f>IFERROR(__xludf.DUMMYFUNCTION("""COMPUTED_VALUE"""),"")</f>
        <v/>
      </c>
      <c r="N4852" s="6" t="str">
        <f>IFERROR(__xludf.DUMMYFUNCTION("""COMPUTED_VALUE"""),"")</f>
        <v/>
      </c>
      <c r="O4852" s="87" t="str">
        <f>IFERROR(__xludf.DUMMYFUNCTION("""COMPUTED_VALUE"""),"https://drive.google.com/drive/folders/10T2cTQHqEJZqE-st6uFKPoI?usp=share_link")</f>
        <v>https://drive.google.com/drive/folders/10T2cTQHqEJZqE-st6uFKPoI?usp=share_link</v>
      </c>
      <c r="P4852" s="6" t="str">
        <f>IFERROR(__xludf.DUMMYFUNCTION("""COMPUTED_VALUE"""),"Jacaria Young")</f>
        <v>Jacaria Young</v>
      </c>
      <c r="Q4852" s="6" t="str">
        <f>IFERROR(__xludf.DUMMYFUNCTION("""COMPUTED_VALUE"""),"MS")</f>
        <v>MS</v>
      </c>
      <c r="R4852" s="6">
        <f>IFERROR(__xludf.DUMMYFUNCTION("""COMPUTED_VALUE"""),0.0)</f>
        <v>0</v>
      </c>
      <c r="S4852" s="6" t="str">
        <f>IFERROR(__xludf.DUMMYFUNCTION("""COMPUTED_VALUE"""),"Kimberly Ball")</f>
        <v>Kimberly Ball</v>
      </c>
      <c r="T4852" s="6" t="str">
        <f>IFERROR(__xludf.DUMMYFUNCTION("""COMPUTED_VALUE"""),"kimberly.ball@studient.com")</f>
        <v>kimberly.ball@studient.com</v>
      </c>
      <c r="U4852" s="6" t="str">
        <f>IFERROR(__xludf.DUMMYFUNCTION("""COMPUTED_VALUE"""),"7")</f>
        <v>7</v>
      </c>
      <c r="V4852" s="6" t="str">
        <f>IFERROR(__xludf.DUMMYFUNCTION("""COMPUTED_VALUE"""),"")</f>
        <v/>
      </c>
      <c r="W4852" s="6" t="str">
        <f>IFERROR(__xludf.DUMMYFUNCTION("""COMPUTED_VALUE"""),"[]")</f>
        <v>[]</v>
      </c>
      <c r="X4852" s="6" t="str">
        <f>IFERROR(__xludf.DUMMYFUNCTION("""COMPUTED_VALUE"""),"Enrolled")</f>
        <v>Enrolled</v>
      </c>
    </row>
    <row r="4853">
      <c r="A4853" s="6" t="str">
        <f>IFERROR(__xludf.DUMMYFUNCTION("""COMPUTED_VALUE"""),"084-13215")</f>
        <v>084-13215</v>
      </c>
      <c r="B4853" s="6" t="str">
        <f>IFERROR(__xludf.DUMMYFUNCTION("""COMPUTED_VALUE"""),"84")</f>
        <v>84</v>
      </c>
      <c r="C4853" s="6" t="str">
        <f>IFERROR(__xludf.DUMMYFUNCTION("""COMPUTED_VALUE"""),"13215")</f>
        <v>13215</v>
      </c>
      <c r="D4853" s="6" t="str">
        <f>IFERROR(__xludf.DUMMYFUNCTION("""COMPUTED_VALUE"""),"Helen")</f>
        <v>Helen</v>
      </c>
      <c r="E4853" s="6" t="str">
        <f>IFERROR(__xludf.DUMMYFUNCTION("""COMPUTED_VALUE"""),"")</f>
        <v/>
      </c>
      <c r="F4853" s="6" t="str">
        <f>IFERROR(__xludf.DUMMYFUNCTION("""COMPUTED_VALUE"""),"Zepeda Choc")</f>
        <v>Zepeda Choc</v>
      </c>
      <c r="G4853" s="6" t="str">
        <f>IFERROR(__xludf.DUMMYFUNCTION("""COMPUTED_VALUE"""),"05/27/2013")</f>
        <v>05/27/2013</v>
      </c>
      <c r="H4853" s="6" t="str">
        <f>IFERROR(__xludf.DUMMYFUNCTION("""COMPUTED_VALUE"""),"male")</f>
        <v>male</v>
      </c>
      <c r="I4853" s="6" t="str">
        <f>IFERROR(__xludf.DUMMYFUNCTION("""COMPUTED_VALUE"""),"Middle School")</f>
        <v>Middle School</v>
      </c>
      <c r="J4853" s="6" t="str">
        <f>IFERROR(__xludf.DUMMYFUNCTION("""COMPUTED_VALUE"""),"7")</f>
        <v>7</v>
      </c>
      <c r="K4853" s="6" t="str">
        <f>IFERROR(__xludf.DUMMYFUNCTION("""COMPUTED_VALUE"""),"helen.zepedachoc@2hourlearning.com")</f>
        <v>helen.zepedachoc@2hourlearning.com</v>
      </c>
      <c r="L4853" s="6" t="str">
        <f>IFERROR(__xludf.DUMMYFUNCTION("""COMPUTED_VALUE"""),"JHMS - Hardeeville Junior Senior High School")</f>
        <v>JHMS - Hardeeville Junior Senior High School</v>
      </c>
      <c r="M4853" s="6" t="str">
        <f>IFERROR(__xludf.DUMMYFUNCTION("""COMPUTED_VALUE"""),"")</f>
        <v/>
      </c>
      <c r="N4853" s="6" t="str">
        <f>IFERROR(__xludf.DUMMYFUNCTION("""COMPUTED_VALUE"""),"")</f>
        <v/>
      </c>
      <c r="O4853" s="87" t="str">
        <f>IFERROR(__xludf.DUMMYFUNCTION("""COMPUTED_VALUE"""),"https://drive.google.com/drive/folders/10T2cTQHqEJZqE-st6uFKPoI?usp=share_link")</f>
        <v>https://drive.google.com/drive/folders/10T2cTQHqEJZqE-st6uFKPoI?usp=share_link</v>
      </c>
      <c r="P4853" s="6" t="str">
        <f>IFERROR(__xludf.DUMMYFUNCTION("""COMPUTED_VALUE"""),"Helen Zepeda Choc")</f>
        <v>Helen Zepeda Choc</v>
      </c>
      <c r="Q4853" s="6" t="str">
        <f>IFERROR(__xludf.DUMMYFUNCTION("""COMPUTED_VALUE"""),"MS")</f>
        <v>MS</v>
      </c>
      <c r="R4853" s="6">
        <f>IFERROR(__xludf.DUMMYFUNCTION("""COMPUTED_VALUE"""),0.0)</f>
        <v>0</v>
      </c>
      <c r="S4853" s="6" t="str">
        <f>IFERROR(__xludf.DUMMYFUNCTION("""COMPUTED_VALUE"""),"Kimberly Ball")</f>
        <v>Kimberly Ball</v>
      </c>
      <c r="T4853" s="6" t="str">
        <f>IFERROR(__xludf.DUMMYFUNCTION("""COMPUTED_VALUE"""),"kimberly.ball@studient.com")</f>
        <v>kimberly.ball@studient.com</v>
      </c>
      <c r="U4853" s="6" t="str">
        <f>IFERROR(__xludf.DUMMYFUNCTION("""COMPUTED_VALUE"""),"7")</f>
        <v>7</v>
      </c>
      <c r="V4853" s="6" t="str">
        <f>IFERROR(__xludf.DUMMYFUNCTION("""COMPUTED_VALUE"""),"")</f>
        <v/>
      </c>
      <c r="W4853" s="6" t="str">
        <f>IFERROR(__xludf.DUMMYFUNCTION("""COMPUTED_VALUE"""),"[]")</f>
        <v>[]</v>
      </c>
      <c r="X4853" s="6" t="str">
        <f>IFERROR(__xludf.DUMMYFUNCTION("""COMPUTED_VALUE"""),"Enrolled")</f>
        <v>Enrolled</v>
      </c>
    </row>
    <row r="4854">
      <c r="A4854" s="6" t="str">
        <f>IFERROR(__xludf.DUMMYFUNCTION("""COMPUTED_VALUE"""),"084-13216")</f>
        <v>084-13216</v>
      </c>
      <c r="B4854" s="6" t="str">
        <f>IFERROR(__xludf.DUMMYFUNCTION("""COMPUTED_VALUE"""),"84")</f>
        <v>84</v>
      </c>
      <c r="C4854" s="6" t="str">
        <f>IFERROR(__xludf.DUMMYFUNCTION("""COMPUTED_VALUE"""),"13216")</f>
        <v>13216</v>
      </c>
      <c r="D4854" s="6" t="str">
        <f>IFERROR(__xludf.DUMMYFUNCTION("""COMPUTED_VALUE"""),"Herbert")</f>
        <v>Herbert</v>
      </c>
      <c r="E4854" s="6" t="str">
        <f>IFERROR(__xludf.DUMMYFUNCTION("""COMPUTED_VALUE"""),"")</f>
        <v/>
      </c>
      <c r="F4854" s="6" t="str">
        <f>IFERROR(__xludf.DUMMYFUNCTION("""COMPUTED_VALUE"""),"Parker")</f>
        <v>Parker</v>
      </c>
      <c r="G4854" s="6" t="str">
        <f>IFERROR(__xludf.DUMMYFUNCTION("""COMPUTED_VALUE"""),"12/01/2011")</f>
        <v>12/01/2011</v>
      </c>
      <c r="H4854" s="6" t="str">
        <f>IFERROR(__xludf.DUMMYFUNCTION("""COMPUTED_VALUE"""),"female")</f>
        <v>female</v>
      </c>
      <c r="I4854" s="6" t="str">
        <f>IFERROR(__xludf.DUMMYFUNCTION("""COMPUTED_VALUE"""),"Middle School")</f>
        <v>Middle School</v>
      </c>
      <c r="J4854" s="6" t="str">
        <f>IFERROR(__xludf.DUMMYFUNCTION("""COMPUTED_VALUE"""),"8")</f>
        <v>8</v>
      </c>
      <c r="K4854" s="6" t="str">
        <f>IFERROR(__xludf.DUMMYFUNCTION("""COMPUTED_VALUE"""),"herbert.parker@2hourlearning.com")</f>
        <v>herbert.parker@2hourlearning.com</v>
      </c>
      <c r="L4854" s="6" t="str">
        <f>IFERROR(__xludf.DUMMYFUNCTION("""COMPUTED_VALUE"""),"JHMS - Hardeeville Junior Senior High School")</f>
        <v>JHMS - Hardeeville Junior Senior High School</v>
      </c>
      <c r="M4854" s="6" t="str">
        <f>IFERROR(__xludf.DUMMYFUNCTION("""COMPUTED_VALUE"""),"")</f>
        <v/>
      </c>
      <c r="N4854" s="6" t="str">
        <f>IFERROR(__xludf.DUMMYFUNCTION("""COMPUTED_VALUE"""),"")</f>
        <v/>
      </c>
      <c r="O4854" s="87" t="str">
        <f>IFERROR(__xludf.DUMMYFUNCTION("""COMPUTED_VALUE"""),"https://drive.google.com/drive/folders/10T2cTQHqEJZqE-st6uFKPoI?usp=share_link")</f>
        <v>https://drive.google.com/drive/folders/10T2cTQHqEJZqE-st6uFKPoI?usp=share_link</v>
      </c>
      <c r="P4854" s="6" t="str">
        <f>IFERROR(__xludf.DUMMYFUNCTION("""COMPUTED_VALUE"""),"Herbert Parker")</f>
        <v>Herbert Parker</v>
      </c>
      <c r="Q4854" s="6" t="str">
        <f>IFERROR(__xludf.DUMMYFUNCTION("""COMPUTED_VALUE"""),"MS")</f>
        <v>MS</v>
      </c>
      <c r="R4854" s="6">
        <f>IFERROR(__xludf.DUMMYFUNCTION("""COMPUTED_VALUE"""),0.0)</f>
        <v>0</v>
      </c>
      <c r="S4854" s="6" t="str">
        <f>IFERROR(__xludf.DUMMYFUNCTION("""COMPUTED_VALUE"""),"Kimberly Ball")</f>
        <v>Kimberly Ball</v>
      </c>
      <c r="T4854" s="6" t="str">
        <f>IFERROR(__xludf.DUMMYFUNCTION("""COMPUTED_VALUE"""),"kimberly.ball@studient.com")</f>
        <v>kimberly.ball@studient.com</v>
      </c>
      <c r="U4854" s="6" t="str">
        <f>IFERROR(__xludf.DUMMYFUNCTION("""COMPUTED_VALUE"""),"8")</f>
        <v>8</v>
      </c>
      <c r="V4854" s="6" t="str">
        <f>IFERROR(__xludf.DUMMYFUNCTION("""COMPUTED_VALUE"""),"")</f>
        <v/>
      </c>
      <c r="W4854" s="6" t="str">
        <f>IFERROR(__xludf.DUMMYFUNCTION("""COMPUTED_VALUE"""),"[]")</f>
        <v>[]</v>
      </c>
      <c r="X4854" s="6" t="str">
        <f>IFERROR(__xludf.DUMMYFUNCTION("""COMPUTED_VALUE"""),"Enrolled")</f>
        <v>Enrolled</v>
      </c>
    </row>
    <row r="4855">
      <c r="A4855" s="6" t="str">
        <f>IFERROR(__xludf.DUMMYFUNCTION("""COMPUTED_VALUE"""),"084-13217")</f>
        <v>084-13217</v>
      </c>
      <c r="B4855" s="6" t="str">
        <f>IFERROR(__xludf.DUMMYFUNCTION("""COMPUTED_VALUE"""),"84")</f>
        <v>84</v>
      </c>
      <c r="C4855" s="6" t="str">
        <f>IFERROR(__xludf.DUMMYFUNCTION("""COMPUTED_VALUE"""),"13217")</f>
        <v>13217</v>
      </c>
      <c r="D4855" s="6" t="str">
        <f>IFERROR(__xludf.DUMMYFUNCTION("""COMPUTED_VALUE"""),"Adali")</f>
        <v>Adali</v>
      </c>
      <c r="E4855" s="6" t="str">
        <f>IFERROR(__xludf.DUMMYFUNCTION("""COMPUTED_VALUE"""),"")</f>
        <v/>
      </c>
      <c r="F4855" s="6" t="str">
        <f>IFERROR(__xludf.DUMMYFUNCTION("""COMPUTED_VALUE"""),"Puentes")</f>
        <v>Puentes</v>
      </c>
      <c r="G4855" s="6" t="str">
        <f>IFERROR(__xludf.DUMMYFUNCTION("""COMPUTED_VALUE"""),"07/03/2012")</f>
        <v>07/03/2012</v>
      </c>
      <c r="H4855" s="6" t="str">
        <f>IFERROR(__xludf.DUMMYFUNCTION("""COMPUTED_VALUE"""),"male")</f>
        <v>male</v>
      </c>
      <c r="I4855" s="6" t="str">
        <f>IFERROR(__xludf.DUMMYFUNCTION("""COMPUTED_VALUE"""),"Middle School")</f>
        <v>Middle School</v>
      </c>
      <c r="J4855" s="6" t="str">
        <f>IFERROR(__xludf.DUMMYFUNCTION("""COMPUTED_VALUE"""),"8")</f>
        <v>8</v>
      </c>
      <c r="K4855" s="6" t="str">
        <f>IFERROR(__xludf.DUMMYFUNCTION("""COMPUTED_VALUE"""),"adali.puentes@2hourlearning.com")</f>
        <v>adali.puentes@2hourlearning.com</v>
      </c>
      <c r="L4855" s="6" t="str">
        <f>IFERROR(__xludf.DUMMYFUNCTION("""COMPUTED_VALUE"""),"JHMS - Hardeeville Junior Senior High School")</f>
        <v>JHMS - Hardeeville Junior Senior High School</v>
      </c>
      <c r="M4855" s="6" t="str">
        <f>IFERROR(__xludf.DUMMYFUNCTION("""COMPUTED_VALUE"""),"")</f>
        <v/>
      </c>
      <c r="N4855" s="6" t="str">
        <f>IFERROR(__xludf.DUMMYFUNCTION("""COMPUTED_VALUE"""),"")</f>
        <v/>
      </c>
      <c r="O4855" s="87" t="str">
        <f>IFERROR(__xludf.DUMMYFUNCTION("""COMPUTED_VALUE"""),"https://drive.google.com/drive/folders/10T2cTQHqEJZqE-st6uFKPoI?usp=share_link")</f>
        <v>https://drive.google.com/drive/folders/10T2cTQHqEJZqE-st6uFKPoI?usp=share_link</v>
      </c>
      <c r="P4855" s="6" t="str">
        <f>IFERROR(__xludf.DUMMYFUNCTION("""COMPUTED_VALUE"""),"Adali Puentes")</f>
        <v>Adali Puentes</v>
      </c>
      <c r="Q4855" s="6" t="str">
        <f>IFERROR(__xludf.DUMMYFUNCTION("""COMPUTED_VALUE"""),"MS")</f>
        <v>MS</v>
      </c>
      <c r="R4855" s="6">
        <f>IFERROR(__xludf.DUMMYFUNCTION("""COMPUTED_VALUE"""),0.0)</f>
        <v>0</v>
      </c>
      <c r="S4855" s="6" t="str">
        <f>IFERROR(__xludf.DUMMYFUNCTION("""COMPUTED_VALUE"""),"Kimberly Ball")</f>
        <v>Kimberly Ball</v>
      </c>
      <c r="T4855" s="6" t="str">
        <f>IFERROR(__xludf.DUMMYFUNCTION("""COMPUTED_VALUE"""),"kimberly.ball@studient.com")</f>
        <v>kimberly.ball@studient.com</v>
      </c>
      <c r="U4855" s="6" t="str">
        <f>IFERROR(__xludf.DUMMYFUNCTION("""COMPUTED_VALUE"""),"8")</f>
        <v>8</v>
      </c>
      <c r="V4855" s="6" t="str">
        <f>IFERROR(__xludf.DUMMYFUNCTION("""COMPUTED_VALUE"""),"")</f>
        <v/>
      </c>
      <c r="W4855" s="6" t="str">
        <f>IFERROR(__xludf.DUMMYFUNCTION("""COMPUTED_VALUE"""),"[]")</f>
        <v>[]</v>
      </c>
      <c r="X4855" s="6" t="str">
        <f>IFERROR(__xludf.DUMMYFUNCTION("""COMPUTED_VALUE"""),"Enrolled")</f>
        <v>Enrolled</v>
      </c>
    </row>
    <row r="4856">
      <c r="A4856" s="6" t="str">
        <f>IFERROR(__xludf.DUMMYFUNCTION("""COMPUTED_VALUE"""),"084-13218")</f>
        <v>084-13218</v>
      </c>
      <c r="B4856" s="6" t="str">
        <f>IFERROR(__xludf.DUMMYFUNCTION("""COMPUTED_VALUE"""),"84")</f>
        <v>84</v>
      </c>
      <c r="C4856" s="6" t="str">
        <f>IFERROR(__xludf.DUMMYFUNCTION("""COMPUTED_VALUE"""),"13218")</f>
        <v>13218</v>
      </c>
      <c r="D4856" s="6" t="str">
        <f>IFERROR(__xludf.DUMMYFUNCTION("""COMPUTED_VALUE"""),"Leandro")</f>
        <v>Leandro</v>
      </c>
      <c r="E4856" s="6" t="str">
        <f>IFERROR(__xludf.DUMMYFUNCTION("""COMPUTED_VALUE"""),"")</f>
        <v/>
      </c>
      <c r="F4856" s="6" t="str">
        <f>IFERROR(__xludf.DUMMYFUNCTION("""COMPUTED_VALUE"""),"Ramirez")</f>
        <v>Ramirez</v>
      </c>
      <c r="G4856" s="6" t="str">
        <f>IFERROR(__xludf.DUMMYFUNCTION("""COMPUTED_VALUE"""),"11/30/2011")</f>
        <v>11/30/2011</v>
      </c>
      <c r="H4856" s="6" t="str">
        <f>IFERROR(__xludf.DUMMYFUNCTION("""COMPUTED_VALUE"""),"male")</f>
        <v>male</v>
      </c>
      <c r="I4856" s="6" t="str">
        <f>IFERROR(__xludf.DUMMYFUNCTION("""COMPUTED_VALUE"""),"Middle School")</f>
        <v>Middle School</v>
      </c>
      <c r="J4856" s="6" t="str">
        <f>IFERROR(__xludf.DUMMYFUNCTION("""COMPUTED_VALUE"""),"8")</f>
        <v>8</v>
      </c>
      <c r="K4856" s="6" t="str">
        <f>IFERROR(__xludf.DUMMYFUNCTION("""COMPUTED_VALUE"""),"leandro.ramirez@2hourlearning.com")</f>
        <v>leandro.ramirez@2hourlearning.com</v>
      </c>
      <c r="L4856" s="6" t="str">
        <f>IFERROR(__xludf.DUMMYFUNCTION("""COMPUTED_VALUE"""),"JHMS - Hardeeville Junior Senior High School")</f>
        <v>JHMS - Hardeeville Junior Senior High School</v>
      </c>
      <c r="M4856" s="6" t="str">
        <f>IFERROR(__xludf.DUMMYFUNCTION("""COMPUTED_VALUE"""),"")</f>
        <v/>
      </c>
      <c r="N4856" s="6" t="str">
        <f>IFERROR(__xludf.DUMMYFUNCTION("""COMPUTED_VALUE"""),"")</f>
        <v/>
      </c>
      <c r="O4856" s="87" t="str">
        <f>IFERROR(__xludf.DUMMYFUNCTION("""COMPUTED_VALUE"""),"https://drive.google.com/drive/folders/10T2cTQHqEJZqE-st6uFKPoI?usp=share_link")</f>
        <v>https://drive.google.com/drive/folders/10T2cTQHqEJZqE-st6uFKPoI?usp=share_link</v>
      </c>
      <c r="P4856" s="6" t="str">
        <f>IFERROR(__xludf.DUMMYFUNCTION("""COMPUTED_VALUE"""),"Leandro Ramirez")</f>
        <v>Leandro Ramirez</v>
      </c>
      <c r="Q4856" s="6" t="str">
        <f>IFERROR(__xludf.DUMMYFUNCTION("""COMPUTED_VALUE"""),"MS")</f>
        <v>MS</v>
      </c>
      <c r="R4856" s="6">
        <f>IFERROR(__xludf.DUMMYFUNCTION("""COMPUTED_VALUE"""),0.0)</f>
        <v>0</v>
      </c>
      <c r="S4856" s="6" t="str">
        <f>IFERROR(__xludf.DUMMYFUNCTION("""COMPUTED_VALUE"""),"Kimberly Ball")</f>
        <v>Kimberly Ball</v>
      </c>
      <c r="T4856" s="6" t="str">
        <f>IFERROR(__xludf.DUMMYFUNCTION("""COMPUTED_VALUE"""),"kimberly.ball@studient.com")</f>
        <v>kimberly.ball@studient.com</v>
      </c>
      <c r="U4856" s="6" t="str">
        <f>IFERROR(__xludf.DUMMYFUNCTION("""COMPUTED_VALUE"""),"8")</f>
        <v>8</v>
      </c>
      <c r="V4856" s="6" t="str">
        <f>IFERROR(__xludf.DUMMYFUNCTION("""COMPUTED_VALUE"""),"")</f>
        <v/>
      </c>
      <c r="W4856" s="6" t="str">
        <f>IFERROR(__xludf.DUMMYFUNCTION("""COMPUTED_VALUE"""),"[]")</f>
        <v>[]</v>
      </c>
      <c r="X4856" s="6" t="str">
        <f>IFERROR(__xludf.DUMMYFUNCTION("""COMPUTED_VALUE"""),"Enrolled")</f>
        <v>Enrolled</v>
      </c>
    </row>
    <row r="4857">
      <c r="A4857" s="6" t="str">
        <f>IFERROR(__xludf.DUMMYFUNCTION("""COMPUTED_VALUE"""),"084-13219")</f>
        <v>084-13219</v>
      </c>
      <c r="B4857" s="6" t="str">
        <f>IFERROR(__xludf.DUMMYFUNCTION("""COMPUTED_VALUE"""),"84")</f>
        <v>84</v>
      </c>
      <c r="C4857" s="6" t="str">
        <f>IFERROR(__xludf.DUMMYFUNCTION("""COMPUTED_VALUE"""),"13219")</f>
        <v>13219</v>
      </c>
      <c r="D4857" s="6" t="str">
        <f>IFERROR(__xludf.DUMMYFUNCTION("""COMPUTED_VALUE"""),"Juan")</f>
        <v>Juan</v>
      </c>
      <c r="E4857" s="6" t="str">
        <f>IFERROR(__xludf.DUMMYFUNCTION("""COMPUTED_VALUE"""),"")</f>
        <v/>
      </c>
      <c r="F4857" s="6" t="str">
        <f>IFERROR(__xludf.DUMMYFUNCTION("""COMPUTED_VALUE"""),"Ramos Candelario")</f>
        <v>Ramos Candelario</v>
      </c>
      <c r="G4857" s="6" t="str">
        <f>IFERROR(__xludf.DUMMYFUNCTION("""COMPUTED_VALUE"""),"12/22/2011")</f>
        <v>12/22/2011</v>
      </c>
      <c r="H4857" s="6" t="str">
        <f>IFERROR(__xludf.DUMMYFUNCTION("""COMPUTED_VALUE"""),"male")</f>
        <v>male</v>
      </c>
      <c r="I4857" s="6" t="str">
        <f>IFERROR(__xludf.DUMMYFUNCTION("""COMPUTED_VALUE"""),"Middle School")</f>
        <v>Middle School</v>
      </c>
      <c r="J4857" s="6" t="str">
        <f>IFERROR(__xludf.DUMMYFUNCTION("""COMPUTED_VALUE"""),"8")</f>
        <v>8</v>
      </c>
      <c r="K4857" s="6" t="str">
        <f>IFERROR(__xludf.DUMMYFUNCTION("""COMPUTED_VALUE"""),"juan.ramoscandelario@2hourlearning.com")</f>
        <v>juan.ramoscandelario@2hourlearning.com</v>
      </c>
      <c r="L4857" s="6" t="str">
        <f>IFERROR(__xludf.DUMMYFUNCTION("""COMPUTED_VALUE"""),"JHMS - Hardeeville Junior Senior High School")</f>
        <v>JHMS - Hardeeville Junior Senior High School</v>
      </c>
      <c r="M4857" s="6" t="str">
        <f>IFERROR(__xludf.DUMMYFUNCTION("""COMPUTED_VALUE"""),"")</f>
        <v/>
      </c>
      <c r="N4857" s="6" t="str">
        <f>IFERROR(__xludf.DUMMYFUNCTION("""COMPUTED_VALUE"""),"")</f>
        <v/>
      </c>
      <c r="O4857" s="87" t="str">
        <f>IFERROR(__xludf.DUMMYFUNCTION("""COMPUTED_VALUE"""),"https://drive.google.com/drive/folders/10T2cTQHqEJZqE-st6uFKPoI?usp=share_link")</f>
        <v>https://drive.google.com/drive/folders/10T2cTQHqEJZqE-st6uFKPoI?usp=share_link</v>
      </c>
      <c r="P4857" s="6" t="str">
        <f>IFERROR(__xludf.DUMMYFUNCTION("""COMPUTED_VALUE"""),"Juan Ramos Candelario")</f>
        <v>Juan Ramos Candelario</v>
      </c>
      <c r="Q4857" s="6" t="str">
        <f>IFERROR(__xludf.DUMMYFUNCTION("""COMPUTED_VALUE"""),"MS")</f>
        <v>MS</v>
      </c>
      <c r="R4857" s="6">
        <f>IFERROR(__xludf.DUMMYFUNCTION("""COMPUTED_VALUE"""),0.0)</f>
        <v>0</v>
      </c>
      <c r="S4857" s="6" t="str">
        <f>IFERROR(__xludf.DUMMYFUNCTION("""COMPUTED_VALUE"""),"Kimberly Ball")</f>
        <v>Kimberly Ball</v>
      </c>
      <c r="T4857" s="6" t="str">
        <f>IFERROR(__xludf.DUMMYFUNCTION("""COMPUTED_VALUE"""),"kimberly.ball@studient.com")</f>
        <v>kimberly.ball@studient.com</v>
      </c>
      <c r="U4857" s="6" t="str">
        <f>IFERROR(__xludf.DUMMYFUNCTION("""COMPUTED_VALUE"""),"8")</f>
        <v>8</v>
      </c>
      <c r="V4857" s="6" t="str">
        <f>IFERROR(__xludf.DUMMYFUNCTION("""COMPUTED_VALUE"""),"")</f>
        <v/>
      </c>
      <c r="W4857" s="6" t="str">
        <f>IFERROR(__xludf.DUMMYFUNCTION("""COMPUTED_VALUE"""),"[]")</f>
        <v>[]</v>
      </c>
      <c r="X4857" s="6" t="str">
        <f>IFERROR(__xludf.DUMMYFUNCTION("""COMPUTED_VALUE"""),"Enrolled")</f>
        <v>Enrolled</v>
      </c>
    </row>
    <row r="4858">
      <c r="A4858" s="6" t="str">
        <f>IFERROR(__xludf.DUMMYFUNCTION("""COMPUTED_VALUE"""),"084-13220")</f>
        <v>084-13220</v>
      </c>
      <c r="B4858" s="6" t="str">
        <f>IFERROR(__xludf.DUMMYFUNCTION("""COMPUTED_VALUE"""),"84")</f>
        <v>84</v>
      </c>
      <c r="C4858" s="6" t="str">
        <f>IFERROR(__xludf.DUMMYFUNCTION("""COMPUTED_VALUE"""),"13220")</f>
        <v>13220</v>
      </c>
      <c r="D4858" s="6" t="str">
        <f>IFERROR(__xludf.DUMMYFUNCTION("""COMPUTED_VALUE"""),"Aaliyah")</f>
        <v>Aaliyah</v>
      </c>
      <c r="E4858" s="6" t="str">
        <f>IFERROR(__xludf.DUMMYFUNCTION("""COMPUTED_VALUE"""),"")</f>
        <v/>
      </c>
      <c r="F4858" s="6" t="str">
        <f>IFERROR(__xludf.DUMMYFUNCTION("""COMPUTED_VALUE"""),"Reese")</f>
        <v>Reese</v>
      </c>
      <c r="G4858" s="6" t="str">
        <f>IFERROR(__xludf.DUMMYFUNCTION("""COMPUTED_VALUE"""),"09/27/2011")</f>
        <v>09/27/2011</v>
      </c>
      <c r="H4858" s="6" t="str">
        <f>IFERROR(__xludf.DUMMYFUNCTION("""COMPUTED_VALUE"""),"male")</f>
        <v>male</v>
      </c>
      <c r="I4858" s="6" t="str">
        <f>IFERROR(__xludf.DUMMYFUNCTION("""COMPUTED_VALUE"""),"Middle School")</f>
        <v>Middle School</v>
      </c>
      <c r="J4858" s="6" t="str">
        <f>IFERROR(__xludf.DUMMYFUNCTION("""COMPUTED_VALUE"""),"8")</f>
        <v>8</v>
      </c>
      <c r="K4858" s="6" t="str">
        <f>IFERROR(__xludf.DUMMYFUNCTION("""COMPUTED_VALUE"""),"aaliyah.reese@2hourlearning.com")</f>
        <v>aaliyah.reese@2hourlearning.com</v>
      </c>
      <c r="L4858" s="6" t="str">
        <f>IFERROR(__xludf.DUMMYFUNCTION("""COMPUTED_VALUE"""),"JHMS - Hardeeville Junior Senior High School")</f>
        <v>JHMS - Hardeeville Junior Senior High School</v>
      </c>
      <c r="M4858" s="6" t="str">
        <f>IFERROR(__xludf.DUMMYFUNCTION("""COMPUTED_VALUE"""),"")</f>
        <v/>
      </c>
      <c r="N4858" s="6" t="str">
        <f>IFERROR(__xludf.DUMMYFUNCTION("""COMPUTED_VALUE"""),"")</f>
        <v/>
      </c>
      <c r="O4858" s="87" t="str">
        <f>IFERROR(__xludf.DUMMYFUNCTION("""COMPUTED_VALUE"""),"https://drive.google.com/drive/folders/10T2cTQHqEJZqE-st6uFKPoI?usp=share_link")</f>
        <v>https://drive.google.com/drive/folders/10T2cTQHqEJZqE-st6uFKPoI?usp=share_link</v>
      </c>
      <c r="P4858" s="6" t="str">
        <f>IFERROR(__xludf.DUMMYFUNCTION("""COMPUTED_VALUE"""),"Aaliyah Reese")</f>
        <v>Aaliyah Reese</v>
      </c>
      <c r="Q4858" s="6" t="str">
        <f>IFERROR(__xludf.DUMMYFUNCTION("""COMPUTED_VALUE"""),"MS")</f>
        <v>MS</v>
      </c>
      <c r="R4858" s="6">
        <f>IFERROR(__xludf.DUMMYFUNCTION("""COMPUTED_VALUE"""),0.0)</f>
        <v>0</v>
      </c>
      <c r="S4858" s="6" t="str">
        <f>IFERROR(__xludf.DUMMYFUNCTION("""COMPUTED_VALUE"""),"Kimberly Ball")</f>
        <v>Kimberly Ball</v>
      </c>
      <c r="T4858" s="6" t="str">
        <f>IFERROR(__xludf.DUMMYFUNCTION("""COMPUTED_VALUE"""),"kimberly.ball@studient.com")</f>
        <v>kimberly.ball@studient.com</v>
      </c>
      <c r="U4858" s="6" t="str">
        <f>IFERROR(__xludf.DUMMYFUNCTION("""COMPUTED_VALUE"""),"8")</f>
        <v>8</v>
      </c>
      <c r="V4858" s="6" t="str">
        <f>IFERROR(__xludf.DUMMYFUNCTION("""COMPUTED_VALUE"""),"")</f>
        <v/>
      </c>
      <c r="W4858" s="6" t="str">
        <f>IFERROR(__xludf.DUMMYFUNCTION("""COMPUTED_VALUE"""),"[]")</f>
        <v>[]</v>
      </c>
      <c r="X4858" s="6" t="str">
        <f>IFERROR(__xludf.DUMMYFUNCTION("""COMPUTED_VALUE"""),"Enrolled")</f>
        <v>Enrolled</v>
      </c>
    </row>
    <row r="4859">
      <c r="A4859" s="6" t="str">
        <f>IFERROR(__xludf.DUMMYFUNCTION("""COMPUTED_VALUE"""),"084-13221")</f>
        <v>084-13221</v>
      </c>
      <c r="B4859" s="6" t="str">
        <f>IFERROR(__xludf.DUMMYFUNCTION("""COMPUTED_VALUE"""),"84")</f>
        <v>84</v>
      </c>
      <c r="C4859" s="6" t="str">
        <f>IFERROR(__xludf.DUMMYFUNCTION("""COMPUTED_VALUE"""),"13221")</f>
        <v>13221</v>
      </c>
      <c r="D4859" s="6" t="str">
        <f>IFERROR(__xludf.DUMMYFUNCTION("""COMPUTED_VALUE"""),"Allison")</f>
        <v>Allison</v>
      </c>
      <c r="E4859" s="6" t="str">
        <f>IFERROR(__xludf.DUMMYFUNCTION("""COMPUTED_VALUE"""),"")</f>
        <v/>
      </c>
      <c r="F4859" s="6" t="str">
        <f>IFERROR(__xludf.DUMMYFUNCTION("""COMPUTED_VALUE"""),"Rivera Diaz")</f>
        <v>Rivera Diaz</v>
      </c>
      <c r="G4859" s="6" t="str">
        <f>IFERROR(__xludf.DUMMYFUNCTION("""COMPUTED_VALUE"""),"12/24/2011")</f>
        <v>12/24/2011</v>
      </c>
      <c r="H4859" s="6" t="str">
        <f>IFERROR(__xludf.DUMMYFUNCTION("""COMPUTED_VALUE"""),"male")</f>
        <v>male</v>
      </c>
      <c r="I4859" s="6" t="str">
        <f>IFERROR(__xludf.DUMMYFUNCTION("""COMPUTED_VALUE"""),"Middle School")</f>
        <v>Middle School</v>
      </c>
      <c r="J4859" s="6" t="str">
        <f>IFERROR(__xludf.DUMMYFUNCTION("""COMPUTED_VALUE"""),"8")</f>
        <v>8</v>
      </c>
      <c r="K4859" s="6" t="str">
        <f>IFERROR(__xludf.DUMMYFUNCTION("""COMPUTED_VALUE"""),"allison.riveradiaz@2hourlearning.com")</f>
        <v>allison.riveradiaz@2hourlearning.com</v>
      </c>
      <c r="L4859" s="6" t="str">
        <f>IFERROR(__xludf.DUMMYFUNCTION("""COMPUTED_VALUE"""),"JHMS - Hardeeville Junior Senior High School")</f>
        <v>JHMS - Hardeeville Junior Senior High School</v>
      </c>
      <c r="M4859" s="6" t="str">
        <f>IFERROR(__xludf.DUMMYFUNCTION("""COMPUTED_VALUE"""),"")</f>
        <v/>
      </c>
      <c r="N4859" s="6" t="str">
        <f>IFERROR(__xludf.DUMMYFUNCTION("""COMPUTED_VALUE"""),"")</f>
        <v/>
      </c>
      <c r="O4859" s="87" t="str">
        <f>IFERROR(__xludf.DUMMYFUNCTION("""COMPUTED_VALUE"""),"https://drive.google.com/drive/folders/10T2cTQHqEJZqE-st6uFKPoI?usp=share_link")</f>
        <v>https://drive.google.com/drive/folders/10T2cTQHqEJZqE-st6uFKPoI?usp=share_link</v>
      </c>
      <c r="P4859" s="6" t="str">
        <f>IFERROR(__xludf.DUMMYFUNCTION("""COMPUTED_VALUE"""),"Allison Rivera Diaz")</f>
        <v>Allison Rivera Diaz</v>
      </c>
      <c r="Q4859" s="6" t="str">
        <f>IFERROR(__xludf.DUMMYFUNCTION("""COMPUTED_VALUE"""),"MS")</f>
        <v>MS</v>
      </c>
      <c r="R4859" s="6">
        <f>IFERROR(__xludf.DUMMYFUNCTION("""COMPUTED_VALUE"""),0.0)</f>
        <v>0</v>
      </c>
      <c r="S4859" s="6" t="str">
        <f>IFERROR(__xludf.DUMMYFUNCTION("""COMPUTED_VALUE"""),"Kimberly Ball")</f>
        <v>Kimberly Ball</v>
      </c>
      <c r="T4859" s="6" t="str">
        <f>IFERROR(__xludf.DUMMYFUNCTION("""COMPUTED_VALUE"""),"kimberly.ball@studient.com")</f>
        <v>kimberly.ball@studient.com</v>
      </c>
      <c r="U4859" s="6" t="str">
        <f>IFERROR(__xludf.DUMMYFUNCTION("""COMPUTED_VALUE"""),"8")</f>
        <v>8</v>
      </c>
      <c r="V4859" s="6" t="str">
        <f>IFERROR(__xludf.DUMMYFUNCTION("""COMPUTED_VALUE"""),"")</f>
        <v/>
      </c>
      <c r="W4859" s="6" t="str">
        <f>IFERROR(__xludf.DUMMYFUNCTION("""COMPUTED_VALUE"""),"[]")</f>
        <v>[]</v>
      </c>
      <c r="X4859" s="6" t="str">
        <f>IFERROR(__xludf.DUMMYFUNCTION("""COMPUTED_VALUE"""),"Enrolled")</f>
        <v>Enrolled</v>
      </c>
    </row>
    <row r="4860">
      <c r="A4860" s="6" t="str">
        <f>IFERROR(__xludf.DUMMYFUNCTION("""COMPUTED_VALUE"""),"084-13222")</f>
        <v>084-13222</v>
      </c>
      <c r="B4860" s="6" t="str">
        <f>IFERROR(__xludf.DUMMYFUNCTION("""COMPUTED_VALUE"""),"84")</f>
        <v>84</v>
      </c>
      <c r="C4860" s="6" t="str">
        <f>IFERROR(__xludf.DUMMYFUNCTION("""COMPUTED_VALUE"""),"13222")</f>
        <v>13222</v>
      </c>
      <c r="D4860" s="6" t="str">
        <f>IFERROR(__xludf.DUMMYFUNCTION("""COMPUTED_VALUE"""),"Liliana")</f>
        <v>Liliana</v>
      </c>
      <c r="E4860" s="6" t="str">
        <f>IFERROR(__xludf.DUMMYFUNCTION("""COMPUTED_VALUE"""),"")</f>
        <v/>
      </c>
      <c r="F4860" s="6" t="str">
        <f>IFERROR(__xludf.DUMMYFUNCTION("""COMPUTED_VALUE"""),"Roblero Morales")</f>
        <v>Roblero Morales</v>
      </c>
      <c r="G4860" s="6" t="str">
        <f>IFERROR(__xludf.DUMMYFUNCTION("""COMPUTED_VALUE"""),"10/26/2011")</f>
        <v>10/26/2011</v>
      </c>
      <c r="H4860" s="6" t="str">
        <f>IFERROR(__xludf.DUMMYFUNCTION("""COMPUTED_VALUE"""),"male")</f>
        <v>male</v>
      </c>
      <c r="I4860" s="6" t="str">
        <f>IFERROR(__xludf.DUMMYFUNCTION("""COMPUTED_VALUE"""),"Middle School")</f>
        <v>Middle School</v>
      </c>
      <c r="J4860" s="6" t="str">
        <f>IFERROR(__xludf.DUMMYFUNCTION("""COMPUTED_VALUE"""),"8")</f>
        <v>8</v>
      </c>
      <c r="K4860" s="6" t="str">
        <f>IFERROR(__xludf.DUMMYFUNCTION("""COMPUTED_VALUE"""),"liliana.robleromorales@2hourlearning.com")</f>
        <v>liliana.robleromorales@2hourlearning.com</v>
      </c>
      <c r="L4860" s="6" t="str">
        <f>IFERROR(__xludf.DUMMYFUNCTION("""COMPUTED_VALUE"""),"JHMS - Hardeeville Junior Senior High School")</f>
        <v>JHMS - Hardeeville Junior Senior High School</v>
      </c>
      <c r="M4860" s="6" t="str">
        <f>IFERROR(__xludf.DUMMYFUNCTION("""COMPUTED_VALUE"""),"")</f>
        <v/>
      </c>
      <c r="N4860" s="6" t="str">
        <f>IFERROR(__xludf.DUMMYFUNCTION("""COMPUTED_VALUE"""),"")</f>
        <v/>
      </c>
      <c r="O4860" s="87" t="str">
        <f>IFERROR(__xludf.DUMMYFUNCTION("""COMPUTED_VALUE"""),"https://drive.google.com/drive/folders/10T2cTQHqEJZqE-st6uFKPoI?usp=share_link")</f>
        <v>https://drive.google.com/drive/folders/10T2cTQHqEJZqE-st6uFKPoI?usp=share_link</v>
      </c>
      <c r="P4860" s="6" t="str">
        <f>IFERROR(__xludf.DUMMYFUNCTION("""COMPUTED_VALUE"""),"Liliana Roblero Morales")</f>
        <v>Liliana Roblero Morales</v>
      </c>
      <c r="Q4860" s="6" t="str">
        <f>IFERROR(__xludf.DUMMYFUNCTION("""COMPUTED_VALUE"""),"MS")</f>
        <v>MS</v>
      </c>
      <c r="R4860" s="6">
        <f>IFERROR(__xludf.DUMMYFUNCTION("""COMPUTED_VALUE"""),0.0)</f>
        <v>0</v>
      </c>
      <c r="S4860" s="6" t="str">
        <f>IFERROR(__xludf.DUMMYFUNCTION("""COMPUTED_VALUE"""),"Kimberly Ball")</f>
        <v>Kimberly Ball</v>
      </c>
      <c r="T4860" s="6" t="str">
        <f>IFERROR(__xludf.DUMMYFUNCTION("""COMPUTED_VALUE"""),"kimberly.ball@studient.com")</f>
        <v>kimberly.ball@studient.com</v>
      </c>
      <c r="U4860" s="6" t="str">
        <f>IFERROR(__xludf.DUMMYFUNCTION("""COMPUTED_VALUE"""),"8")</f>
        <v>8</v>
      </c>
      <c r="V4860" s="6" t="str">
        <f>IFERROR(__xludf.DUMMYFUNCTION("""COMPUTED_VALUE"""),"")</f>
        <v/>
      </c>
      <c r="W4860" s="6" t="str">
        <f>IFERROR(__xludf.DUMMYFUNCTION("""COMPUTED_VALUE"""),"[]")</f>
        <v>[]</v>
      </c>
      <c r="X4860" s="6" t="str">
        <f>IFERROR(__xludf.DUMMYFUNCTION("""COMPUTED_VALUE"""),"Enrolled")</f>
        <v>Enrolled</v>
      </c>
    </row>
    <row r="4861">
      <c r="A4861" s="6" t="str">
        <f>IFERROR(__xludf.DUMMYFUNCTION("""COMPUTED_VALUE"""),"084-13223")</f>
        <v>084-13223</v>
      </c>
      <c r="B4861" s="6" t="str">
        <f>IFERROR(__xludf.DUMMYFUNCTION("""COMPUTED_VALUE"""),"84")</f>
        <v>84</v>
      </c>
      <c r="C4861" s="6" t="str">
        <f>IFERROR(__xludf.DUMMYFUNCTION("""COMPUTED_VALUE"""),"13223")</f>
        <v>13223</v>
      </c>
      <c r="D4861" s="6" t="str">
        <f>IFERROR(__xludf.DUMMYFUNCTION("""COMPUTED_VALUE"""),"Shyanna")</f>
        <v>Shyanna</v>
      </c>
      <c r="E4861" s="6" t="str">
        <f>IFERROR(__xludf.DUMMYFUNCTION("""COMPUTED_VALUE"""),"")</f>
        <v/>
      </c>
      <c r="F4861" s="6" t="str">
        <f>IFERROR(__xludf.DUMMYFUNCTION("""COMPUTED_VALUE"""),"Rouse")</f>
        <v>Rouse</v>
      </c>
      <c r="G4861" s="6" t="str">
        <f>IFERROR(__xludf.DUMMYFUNCTION("""COMPUTED_VALUE"""),"02/01/2012")</f>
        <v>02/01/2012</v>
      </c>
      <c r="H4861" s="6" t="str">
        <f>IFERROR(__xludf.DUMMYFUNCTION("""COMPUTED_VALUE"""),"female")</f>
        <v>female</v>
      </c>
      <c r="I4861" s="6" t="str">
        <f>IFERROR(__xludf.DUMMYFUNCTION("""COMPUTED_VALUE"""),"Middle School")</f>
        <v>Middle School</v>
      </c>
      <c r="J4861" s="6" t="str">
        <f>IFERROR(__xludf.DUMMYFUNCTION("""COMPUTED_VALUE"""),"8")</f>
        <v>8</v>
      </c>
      <c r="K4861" s="6" t="str">
        <f>IFERROR(__xludf.DUMMYFUNCTION("""COMPUTED_VALUE"""),"shyanna.rouse@2hourlearning.com")</f>
        <v>shyanna.rouse@2hourlearning.com</v>
      </c>
      <c r="L4861" s="6" t="str">
        <f>IFERROR(__xludf.DUMMYFUNCTION("""COMPUTED_VALUE"""),"JHMS - Hardeeville Junior Senior High School")</f>
        <v>JHMS - Hardeeville Junior Senior High School</v>
      </c>
      <c r="M4861" s="6" t="str">
        <f>IFERROR(__xludf.DUMMYFUNCTION("""COMPUTED_VALUE"""),"")</f>
        <v/>
      </c>
      <c r="N4861" s="6" t="str">
        <f>IFERROR(__xludf.DUMMYFUNCTION("""COMPUTED_VALUE"""),"")</f>
        <v/>
      </c>
      <c r="O4861" s="87" t="str">
        <f>IFERROR(__xludf.DUMMYFUNCTION("""COMPUTED_VALUE"""),"https://drive.google.com/drive/folders/10T2cTQHqEJZqE-st6uFKPoI?usp=share_link")</f>
        <v>https://drive.google.com/drive/folders/10T2cTQHqEJZqE-st6uFKPoI?usp=share_link</v>
      </c>
      <c r="P4861" s="6" t="str">
        <f>IFERROR(__xludf.DUMMYFUNCTION("""COMPUTED_VALUE"""),"Shyanna Rouse")</f>
        <v>Shyanna Rouse</v>
      </c>
      <c r="Q4861" s="6" t="str">
        <f>IFERROR(__xludf.DUMMYFUNCTION("""COMPUTED_VALUE"""),"MS")</f>
        <v>MS</v>
      </c>
      <c r="R4861" s="6">
        <f>IFERROR(__xludf.DUMMYFUNCTION("""COMPUTED_VALUE"""),0.0)</f>
        <v>0</v>
      </c>
      <c r="S4861" s="6" t="str">
        <f>IFERROR(__xludf.DUMMYFUNCTION("""COMPUTED_VALUE"""),"Kimberly Ball")</f>
        <v>Kimberly Ball</v>
      </c>
      <c r="T4861" s="6" t="str">
        <f>IFERROR(__xludf.DUMMYFUNCTION("""COMPUTED_VALUE"""),"kimberly.ball@studient.com")</f>
        <v>kimberly.ball@studient.com</v>
      </c>
      <c r="U4861" s="6" t="str">
        <f>IFERROR(__xludf.DUMMYFUNCTION("""COMPUTED_VALUE"""),"8")</f>
        <v>8</v>
      </c>
      <c r="V4861" s="6" t="str">
        <f>IFERROR(__xludf.DUMMYFUNCTION("""COMPUTED_VALUE"""),"")</f>
        <v/>
      </c>
      <c r="W4861" s="6" t="str">
        <f>IFERROR(__xludf.DUMMYFUNCTION("""COMPUTED_VALUE"""),"[]")</f>
        <v>[]</v>
      </c>
      <c r="X4861" s="6" t="str">
        <f>IFERROR(__xludf.DUMMYFUNCTION("""COMPUTED_VALUE"""),"Enrolled")</f>
        <v>Enrolled</v>
      </c>
    </row>
    <row r="4862">
      <c r="A4862" s="6" t="str">
        <f>IFERROR(__xludf.DUMMYFUNCTION("""COMPUTED_VALUE"""),"084-13224")</f>
        <v>084-13224</v>
      </c>
      <c r="B4862" s="6" t="str">
        <f>IFERROR(__xludf.DUMMYFUNCTION("""COMPUTED_VALUE"""),"84")</f>
        <v>84</v>
      </c>
      <c r="C4862" s="6" t="str">
        <f>IFERROR(__xludf.DUMMYFUNCTION("""COMPUTED_VALUE"""),"13224")</f>
        <v>13224</v>
      </c>
      <c r="D4862" s="6" t="str">
        <f>IFERROR(__xludf.DUMMYFUNCTION("""COMPUTED_VALUE"""),"Jaime")</f>
        <v>Jaime</v>
      </c>
      <c r="E4862" s="6" t="str">
        <f>IFERROR(__xludf.DUMMYFUNCTION("""COMPUTED_VALUE"""),"")</f>
        <v/>
      </c>
      <c r="F4862" s="6" t="str">
        <f>IFERROR(__xludf.DUMMYFUNCTION("""COMPUTED_VALUE"""),"Ruiz-Aponte")</f>
        <v>Ruiz-Aponte</v>
      </c>
      <c r="G4862" s="6" t="str">
        <f>IFERROR(__xludf.DUMMYFUNCTION("""COMPUTED_VALUE"""),"09/15/2012")</f>
        <v>09/15/2012</v>
      </c>
      <c r="H4862" s="6" t="str">
        <f>IFERROR(__xludf.DUMMYFUNCTION("""COMPUTED_VALUE"""),"male")</f>
        <v>male</v>
      </c>
      <c r="I4862" s="6" t="str">
        <f>IFERROR(__xludf.DUMMYFUNCTION("""COMPUTED_VALUE"""),"Middle School")</f>
        <v>Middle School</v>
      </c>
      <c r="J4862" s="6" t="str">
        <f>IFERROR(__xludf.DUMMYFUNCTION("""COMPUTED_VALUE"""),"8")</f>
        <v>8</v>
      </c>
      <c r="K4862" s="6" t="str">
        <f>IFERROR(__xludf.DUMMYFUNCTION("""COMPUTED_VALUE"""),"jaime.ruiz-aponte@2hourlearning.com")</f>
        <v>jaime.ruiz-aponte@2hourlearning.com</v>
      </c>
      <c r="L4862" s="6" t="str">
        <f>IFERROR(__xludf.DUMMYFUNCTION("""COMPUTED_VALUE"""),"JHMS - Hardeeville Junior Senior High School")</f>
        <v>JHMS - Hardeeville Junior Senior High School</v>
      </c>
      <c r="M4862" s="6" t="str">
        <f>IFERROR(__xludf.DUMMYFUNCTION("""COMPUTED_VALUE"""),"")</f>
        <v/>
      </c>
      <c r="N4862" s="6" t="str">
        <f>IFERROR(__xludf.DUMMYFUNCTION("""COMPUTED_VALUE"""),"")</f>
        <v/>
      </c>
      <c r="O4862" s="87" t="str">
        <f>IFERROR(__xludf.DUMMYFUNCTION("""COMPUTED_VALUE"""),"https://drive.google.com/drive/folders/10T2cTQHqEJZqE-st6uFKPoI?usp=share_link")</f>
        <v>https://drive.google.com/drive/folders/10T2cTQHqEJZqE-st6uFKPoI?usp=share_link</v>
      </c>
      <c r="P4862" s="6" t="str">
        <f>IFERROR(__xludf.DUMMYFUNCTION("""COMPUTED_VALUE"""),"Jaime Ruiz-Aponte")</f>
        <v>Jaime Ruiz-Aponte</v>
      </c>
      <c r="Q4862" s="6" t="str">
        <f>IFERROR(__xludf.DUMMYFUNCTION("""COMPUTED_VALUE"""),"MS")</f>
        <v>MS</v>
      </c>
      <c r="R4862" s="6">
        <f>IFERROR(__xludf.DUMMYFUNCTION("""COMPUTED_VALUE"""),0.0)</f>
        <v>0</v>
      </c>
      <c r="S4862" s="6" t="str">
        <f>IFERROR(__xludf.DUMMYFUNCTION("""COMPUTED_VALUE"""),"Kimberly Ball")</f>
        <v>Kimberly Ball</v>
      </c>
      <c r="T4862" s="6" t="str">
        <f>IFERROR(__xludf.DUMMYFUNCTION("""COMPUTED_VALUE"""),"kimberly.ball@studient.com")</f>
        <v>kimberly.ball@studient.com</v>
      </c>
      <c r="U4862" s="6" t="str">
        <f>IFERROR(__xludf.DUMMYFUNCTION("""COMPUTED_VALUE"""),"8")</f>
        <v>8</v>
      </c>
      <c r="V4862" s="6" t="str">
        <f>IFERROR(__xludf.DUMMYFUNCTION("""COMPUTED_VALUE"""),"")</f>
        <v/>
      </c>
      <c r="W4862" s="6" t="str">
        <f>IFERROR(__xludf.DUMMYFUNCTION("""COMPUTED_VALUE"""),"[]")</f>
        <v>[]</v>
      </c>
      <c r="X4862" s="6" t="str">
        <f>IFERROR(__xludf.DUMMYFUNCTION("""COMPUTED_VALUE"""),"Enrolled")</f>
        <v>Enrolled</v>
      </c>
    </row>
    <row r="4863">
      <c r="A4863" s="6" t="str">
        <f>IFERROR(__xludf.DUMMYFUNCTION("""COMPUTED_VALUE"""),"084-13225")</f>
        <v>084-13225</v>
      </c>
      <c r="B4863" s="6" t="str">
        <f>IFERROR(__xludf.DUMMYFUNCTION("""COMPUTED_VALUE"""),"84")</f>
        <v>84</v>
      </c>
      <c r="C4863" s="6" t="str">
        <f>IFERROR(__xludf.DUMMYFUNCTION("""COMPUTED_VALUE"""),"13225")</f>
        <v>13225</v>
      </c>
      <c r="D4863" s="6" t="str">
        <f>IFERROR(__xludf.DUMMYFUNCTION("""COMPUTED_VALUE"""),"Cristofer")</f>
        <v>Cristofer</v>
      </c>
      <c r="E4863" s="6" t="str">
        <f>IFERROR(__xludf.DUMMYFUNCTION("""COMPUTED_VALUE"""),"")</f>
        <v/>
      </c>
      <c r="F4863" s="6" t="str">
        <f>IFERROR(__xludf.DUMMYFUNCTION("""COMPUTED_VALUE"""),"Sanchez Diaz")</f>
        <v>Sanchez Diaz</v>
      </c>
      <c r="G4863" s="6" t="str">
        <f>IFERROR(__xludf.DUMMYFUNCTION("""COMPUTED_VALUE"""),"11/03/2011")</f>
        <v>11/03/2011</v>
      </c>
      <c r="H4863" s="6" t="str">
        <f>IFERROR(__xludf.DUMMYFUNCTION("""COMPUTED_VALUE"""),"female")</f>
        <v>female</v>
      </c>
      <c r="I4863" s="6" t="str">
        <f>IFERROR(__xludf.DUMMYFUNCTION("""COMPUTED_VALUE"""),"Middle School")</f>
        <v>Middle School</v>
      </c>
      <c r="J4863" s="6" t="str">
        <f>IFERROR(__xludf.DUMMYFUNCTION("""COMPUTED_VALUE"""),"8")</f>
        <v>8</v>
      </c>
      <c r="K4863" s="6" t="str">
        <f>IFERROR(__xludf.DUMMYFUNCTION("""COMPUTED_VALUE"""),"cristofer.sanchezdiaz@2hourlearning.com")</f>
        <v>cristofer.sanchezdiaz@2hourlearning.com</v>
      </c>
      <c r="L4863" s="6" t="str">
        <f>IFERROR(__xludf.DUMMYFUNCTION("""COMPUTED_VALUE"""),"JHMS - Hardeeville Junior Senior High School")</f>
        <v>JHMS - Hardeeville Junior Senior High School</v>
      </c>
      <c r="M4863" s="6" t="str">
        <f>IFERROR(__xludf.DUMMYFUNCTION("""COMPUTED_VALUE"""),"")</f>
        <v/>
      </c>
      <c r="N4863" s="6" t="str">
        <f>IFERROR(__xludf.DUMMYFUNCTION("""COMPUTED_VALUE"""),"")</f>
        <v/>
      </c>
      <c r="O4863" s="87" t="str">
        <f>IFERROR(__xludf.DUMMYFUNCTION("""COMPUTED_VALUE"""),"https://drive.google.com/drive/folders/10T2cTQHqEJZqE-st6uFKPoI?usp=share_link")</f>
        <v>https://drive.google.com/drive/folders/10T2cTQHqEJZqE-st6uFKPoI?usp=share_link</v>
      </c>
      <c r="P4863" s="6" t="str">
        <f>IFERROR(__xludf.DUMMYFUNCTION("""COMPUTED_VALUE"""),"Cristofer Sanchez Diaz")</f>
        <v>Cristofer Sanchez Diaz</v>
      </c>
      <c r="Q4863" s="6" t="str">
        <f>IFERROR(__xludf.DUMMYFUNCTION("""COMPUTED_VALUE"""),"MS")</f>
        <v>MS</v>
      </c>
      <c r="R4863" s="6">
        <f>IFERROR(__xludf.DUMMYFUNCTION("""COMPUTED_VALUE"""),0.0)</f>
        <v>0</v>
      </c>
      <c r="S4863" s="6" t="str">
        <f>IFERROR(__xludf.DUMMYFUNCTION("""COMPUTED_VALUE"""),"Kimberly Ball")</f>
        <v>Kimberly Ball</v>
      </c>
      <c r="T4863" s="6" t="str">
        <f>IFERROR(__xludf.DUMMYFUNCTION("""COMPUTED_VALUE"""),"kimberly.ball@studient.com")</f>
        <v>kimberly.ball@studient.com</v>
      </c>
      <c r="U4863" s="6" t="str">
        <f>IFERROR(__xludf.DUMMYFUNCTION("""COMPUTED_VALUE"""),"8")</f>
        <v>8</v>
      </c>
      <c r="V4863" s="6" t="str">
        <f>IFERROR(__xludf.DUMMYFUNCTION("""COMPUTED_VALUE"""),"")</f>
        <v/>
      </c>
      <c r="W4863" s="6" t="str">
        <f>IFERROR(__xludf.DUMMYFUNCTION("""COMPUTED_VALUE"""),"[]")</f>
        <v>[]</v>
      </c>
      <c r="X4863" s="6" t="str">
        <f>IFERROR(__xludf.DUMMYFUNCTION("""COMPUTED_VALUE"""),"Enrolled")</f>
        <v>Enrolled</v>
      </c>
    </row>
    <row r="4864">
      <c r="A4864" s="6" t="str">
        <f>IFERROR(__xludf.DUMMYFUNCTION("""COMPUTED_VALUE"""),"084-13226")</f>
        <v>084-13226</v>
      </c>
      <c r="B4864" s="6" t="str">
        <f>IFERROR(__xludf.DUMMYFUNCTION("""COMPUTED_VALUE"""),"84")</f>
        <v>84</v>
      </c>
      <c r="C4864" s="6" t="str">
        <f>IFERROR(__xludf.DUMMYFUNCTION("""COMPUTED_VALUE"""),"13226")</f>
        <v>13226</v>
      </c>
      <c r="D4864" s="6" t="str">
        <f>IFERROR(__xludf.DUMMYFUNCTION("""COMPUTED_VALUE"""),"Gizelle")</f>
        <v>Gizelle</v>
      </c>
      <c r="E4864" s="6" t="str">
        <f>IFERROR(__xludf.DUMMYFUNCTION("""COMPUTED_VALUE"""),"")</f>
        <v/>
      </c>
      <c r="F4864" s="6" t="str">
        <f>IFERROR(__xludf.DUMMYFUNCTION("""COMPUTED_VALUE"""),"Service")</f>
        <v>Service</v>
      </c>
      <c r="G4864" s="6" t="str">
        <f>IFERROR(__xludf.DUMMYFUNCTION("""COMPUTED_VALUE"""),"07/16/2012")</f>
        <v>07/16/2012</v>
      </c>
      <c r="H4864" s="6" t="str">
        <f>IFERROR(__xludf.DUMMYFUNCTION("""COMPUTED_VALUE"""),"female")</f>
        <v>female</v>
      </c>
      <c r="I4864" s="6" t="str">
        <f>IFERROR(__xludf.DUMMYFUNCTION("""COMPUTED_VALUE"""),"Middle School")</f>
        <v>Middle School</v>
      </c>
      <c r="J4864" s="6" t="str">
        <f>IFERROR(__xludf.DUMMYFUNCTION("""COMPUTED_VALUE"""),"8")</f>
        <v>8</v>
      </c>
      <c r="K4864" s="6" t="str">
        <f>IFERROR(__xludf.DUMMYFUNCTION("""COMPUTED_VALUE"""),"gizelle.service@2hourlearning.com")</f>
        <v>gizelle.service@2hourlearning.com</v>
      </c>
      <c r="L4864" s="6" t="str">
        <f>IFERROR(__xludf.DUMMYFUNCTION("""COMPUTED_VALUE"""),"JHMS - Hardeeville Junior Senior High School")</f>
        <v>JHMS - Hardeeville Junior Senior High School</v>
      </c>
      <c r="M4864" s="6" t="str">
        <f>IFERROR(__xludf.DUMMYFUNCTION("""COMPUTED_VALUE"""),"")</f>
        <v/>
      </c>
      <c r="N4864" s="6" t="str">
        <f>IFERROR(__xludf.DUMMYFUNCTION("""COMPUTED_VALUE"""),"")</f>
        <v/>
      </c>
      <c r="O4864" s="87" t="str">
        <f>IFERROR(__xludf.DUMMYFUNCTION("""COMPUTED_VALUE"""),"https://drive.google.com/drive/folders/10T2cTQHqEJZqE-st6uFKPoI?usp=share_link")</f>
        <v>https://drive.google.com/drive/folders/10T2cTQHqEJZqE-st6uFKPoI?usp=share_link</v>
      </c>
      <c r="P4864" s="6" t="str">
        <f>IFERROR(__xludf.DUMMYFUNCTION("""COMPUTED_VALUE"""),"Gizelle Service")</f>
        <v>Gizelle Service</v>
      </c>
      <c r="Q4864" s="6" t="str">
        <f>IFERROR(__xludf.DUMMYFUNCTION("""COMPUTED_VALUE"""),"MS")</f>
        <v>MS</v>
      </c>
      <c r="R4864" s="6">
        <f>IFERROR(__xludf.DUMMYFUNCTION("""COMPUTED_VALUE"""),0.0)</f>
        <v>0</v>
      </c>
      <c r="S4864" s="6" t="str">
        <f>IFERROR(__xludf.DUMMYFUNCTION("""COMPUTED_VALUE"""),"Kimberly Ball")</f>
        <v>Kimberly Ball</v>
      </c>
      <c r="T4864" s="6" t="str">
        <f>IFERROR(__xludf.DUMMYFUNCTION("""COMPUTED_VALUE"""),"kimberly.ball@studient.com")</f>
        <v>kimberly.ball@studient.com</v>
      </c>
      <c r="U4864" s="6" t="str">
        <f>IFERROR(__xludf.DUMMYFUNCTION("""COMPUTED_VALUE"""),"8")</f>
        <v>8</v>
      </c>
      <c r="V4864" s="6" t="str">
        <f>IFERROR(__xludf.DUMMYFUNCTION("""COMPUTED_VALUE"""),"")</f>
        <v/>
      </c>
      <c r="W4864" s="6" t="str">
        <f>IFERROR(__xludf.DUMMYFUNCTION("""COMPUTED_VALUE"""),"[]")</f>
        <v>[]</v>
      </c>
      <c r="X4864" s="6" t="str">
        <f>IFERROR(__xludf.DUMMYFUNCTION("""COMPUTED_VALUE"""),"Enrolled")</f>
        <v>Enrolled</v>
      </c>
    </row>
    <row r="4865">
      <c r="A4865" s="6" t="str">
        <f>IFERROR(__xludf.DUMMYFUNCTION("""COMPUTED_VALUE"""),"084-13227")</f>
        <v>084-13227</v>
      </c>
      <c r="B4865" s="6" t="str">
        <f>IFERROR(__xludf.DUMMYFUNCTION("""COMPUTED_VALUE"""),"84")</f>
        <v>84</v>
      </c>
      <c r="C4865" s="6" t="str">
        <f>IFERROR(__xludf.DUMMYFUNCTION("""COMPUTED_VALUE"""),"13227")</f>
        <v>13227</v>
      </c>
      <c r="D4865" s="6" t="str">
        <f>IFERROR(__xludf.DUMMYFUNCTION("""COMPUTED_VALUE"""),"Nathaly")</f>
        <v>Nathaly</v>
      </c>
      <c r="E4865" s="6" t="str">
        <f>IFERROR(__xludf.DUMMYFUNCTION("""COMPUTED_VALUE"""),"")</f>
        <v/>
      </c>
      <c r="F4865" s="6" t="str">
        <f>IFERROR(__xludf.DUMMYFUNCTION("""COMPUTED_VALUE"""),"Sierra Barahona")</f>
        <v>Sierra Barahona</v>
      </c>
      <c r="G4865" s="6" t="str">
        <f>IFERROR(__xludf.DUMMYFUNCTION("""COMPUTED_VALUE"""),"11/28/2011")</f>
        <v>11/28/2011</v>
      </c>
      <c r="H4865" s="6" t="str">
        <f>IFERROR(__xludf.DUMMYFUNCTION("""COMPUTED_VALUE"""),"male")</f>
        <v>male</v>
      </c>
      <c r="I4865" s="6" t="str">
        <f>IFERROR(__xludf.DUMMYFUNCTION("""COMPUTED_VALUE"""),"Middle School")</f>
        <v>Middle School</v>
      </c>
      <c r="J4865" s="6" t="str">
        <f>IFERROR(__xludf.DUMMYFUNCTION("""COMPUTED_VALUE"""),"8")</f>
        <v>8</v>
      </c>
      <c r="K4865" s="6" t="str">
        <f>IFERROR(__xludf.DUMMYFUNCTION("""COMPUTED_VALUE"""),"nathaly.sierrabarahona@2hourlearning.com")</f>
        <v>nathaly.sierrabarahona@2hourlearning.com</v>
      </c>
      <c r="L4865" s="6" t="str">
        <f>IFERROR(__xludf.DUMMYFUNCTION("""COMPUTED_VALUE"""),"JHMS - Hardeeville Junior Senior High School")</f>
        <v>JHMS - Hardeeville Junior Senior High School</v>
      </c>
      <c r="M4865" s="6" t="str">
        <f>IFERROR(__xludf.DUMMYFUNCTION("""COMPUTED_VALUE"""),"")</f>
        <v/>
      </c>
      <c r="N4865" s="6" t="str">
        <f>IFERROR(__xludf.DUMMYFUNCTION("""COMPUTED_VALUE"""),"")</f>
        <v/>
      </c>
      <c r="O4865" s="87" t="str">
        <f>IFERROR(__xludf.DUMMYFUNCTION("""COMPUTED_VALUE"""),"https://drive.google.com/drive/folders/10T2cTQHqEJZqE-st6uFKPoI?usp=share_link")</f>
        <v>https://drive.google.com/drive/folders/10T2cTQHqEJZqE-st6uFKPoI?usp=share_link</v>
      </c>
      <c r="P4865" s="6" t="str">
        <f>IFERROR(__xludf.DUMMYFUNCTION("""COMPUTED_VALUE"""),"Nathaly Sierra Barahona")</f>
        <v>Nathaly Sierra Barahona</v>
      </c>
      <c r="Q4865" s="6" t="str">
        <f>IFERROR(__xludf.DUMMYFUNCTION("""COMPUTED_VALUE"""),"MS")</f>
        <v>MS</v>
      </c>
      <c r="R4865" s="6">
        <f>IFERROR(__xludf.DUMMYFUNCTION("""COMPUTED_VALUE"""),0.0)</f>
        <v>0</v>
      </c>
      <c r="S4865" s="6" t="str">
        <f>IFERROR(__xludf.DUMMYFUNCTION("""COMPUTED_VALUE"""),"Kimberly Ball")</f>
        <v>Kimberly Ball</v>
      </c>
      <c r="T4865" s="6" t="str">
        <f>IFERROR(__xludf.DUMMYFUNCTION("""COMPUTED_VALUE"""),"kimberly.ball@studient.com")</f>
        <v>kimberly.ball@studient.com</v>
      </c>
      <c r="U4865" s="6" t="str">
        <f>IFERROR(__xludf.DUMMYFUNCTION("""COMPUTED_VALUE"""),"8")</f>
        <v>8</v>
      </c>
      <c r="V4865" s="6" t="str">
        <f>IFERROR(__xludf.DUMMYFUNCTION("""COMPUTED_VALUE"""),"")</f>
        <v/>
      </c>
      <c r="W4865" s="6" t="str">
        <f>IFERROR(__xludf.DUMMYFUNCTION("""COMPUTED_VALUE"""),"[]")</f>
        <v>[]</v>
      </c>
      <c r="X4865" s="6" t="str">
        <f>IFERROR(__xludf.DUMMYFUNCTION("""COMPUTED_VALUE"""),"Enrolled")</f>
        <v>Enrolled</v>
      </c>
    </row>
    <row r="4866">
      <c r="A4866" s="6" t="str">
        <f>IFERROR(__xludf.DUMMYFUNCTION("""COMPUTED_VALUE"""),"084-13228")</f>
        <v>084-13228</v>
      </c>
      <c r="B4866" s="6" t="str">
        <f>IFERROR(__xludf.DUMMYFUNCTION("""COMPUTED_VALUE"""),"84")</f>
        <v>84</v>
      </c>
      <c r="C4866" s="6" t="str">
        <f>IFERROR(__xludf.DUMMYFUNCTION("""COMPUTED_VALUE"""),"13228")</f>
        <v>13228</v>
      </c>
      <c r="D4866" s="6" t="str">
        <f>IFERROR(__xludf.DUMMYFUNCTION("""COMPUTED_VALUE"""),"Jalen")</f>
        <v>Jalen</v>
      </c>
      <c r="E4866" s="6" t="str">
        <f>IFERROR(__xludf.DUMMYFUNCTION("""COMPUTED_VALUE"""),"")</f>
        <v/>
      </c>
      <c r="F4866" s="6" t="str">
        <f>IFERROR(__xludf.DUMMYFUNCTION("""COMPUTED_VALUE"""),"Singleton")</f>
        <v>Singleton</v>
      </c>
      <c r="G4866" s="6" t="str">
        <f>IFERROR(__xludf.DUMMYFUNCTION("""COMPUTED_VALUE"""),"02/28/2012")</f>
        <v>02/28/2012</v>
      </c>
      <c r="H4866" s="6" t="str">
        <f>IFERROR(__xludf.DUMMYFUNCTION("""COMPUTED_VALUE"""),"male")</f>
        <v>male</v>
      </c>
      <c r="I4866" s="6" t="str">
        <f>IFERROR(__xludf.DUMMYFUNCTION("""COMPUTED_VALUE"""),"Middle School")</f>
        <v>Middle School</v>
      </c>
      <c r="J4866" s="6" t="str">
        <f>IFERROR(__xludf.DUMMYFUNCTION("""COMPUTED_VALUE"""),"8")</f>
        <v>8</v>
      </c>
      <c r="K4866" s="6" t="str">
        <f>IFERROR(__xludf.DUMMYFUNCTION("""COMPUTED_VALUE"""),"jalen.singleton@2hourlearning.com")</f>
        <v>jalen.singleton@2hourlearning.com</v>
      </c>
      <c r="L4866" s="6" t="str">
        <f>IFERROR(__xludf.DUMMYFUNCTION("""COMPUTED_VALUE"""),"JHMS - Hardeeville Junior Senior High School")</f>
        <v>JHMS - Hardeeville Junior Senior High School</v>
      </c>
      <c r="M4866" s="6" t="str">
        <f>IFERROR(__xludf.DUMMYFUNCTION("""COMPUTED_VALUE"""),"")</f>
        <v/>
      </c>
      <c r="N4866" s="6" t="str">
        <f>IFERROR(__xludf.DUMMYFUNCTION("""COMPUTED_VALUE"""),"")</f>
        <v/>
      </c>
      <c r="O4866" s="87" t="str">
        <f>IFERROR(__xludf.DUMMYFUNCTION("""COMPUTED_VALUE"""),"https://drive.google.com/drive/folders/10T2cTQHqEJZqE-st6uFKPoI?usp=share_link")</f>
        <v>https://drive.google.com/drive/folders/10T2cTQHqEJZqE-st6uFKPoI?usp=share_link</v>
      </c>
      <c r="P4866" s="6" t="str">
        <f>IFERROR(__xludf.DUMMYFUNCTION("""COMPUTED_VALUE"""),"Jalen Singleton")</f>
        <v>Jalen Singleton</v>
      </c>
      <c r="Q4866" s="6" t="str">
        <f>IFERROR(__xludf.DUMMYFUNCTION("""COMPUTED_VALUE"""),"MS")</f>
        <v>MS</v>
      </c>
      <c r="R4866" s="6">
        <f>IFERROR(__xludf.DUMMYFUNCTION("""COMPUTED_VALUE"""),0.0)</f>
        <v>0</v>
      </c>
      <c r="S4866" s="6" t="str">
        <f>IFERROR(__xludf.DUMMYFUNCTION("""COMPUTED_VALUE"""),"Kimberly Ball")</f>
        <v>Kimberly Ball</v>
      </c>
      <c r="T4866" s="6" t="str">
        <f>IFERROR(__xludf.DUMMYFUNCTION("""COMPUTED_VALUE"""),"kimberly.ball@studient.com")</f>
        <v>kimberly.ball@studient.com</v>
      </c>
      <c r="U4866" s="6" t="str">
        <f>IFERROR(__xludf.DUMMYFUNCTION("""COMPUTED_VALUE"""),"8")</f>
        <v>8</v>
      </c>
      <c r="V4866" s="6" t="str">
        <f>IFERROR(__xludf.DUMMYFUNCTION("""COMPUTED_VALUE"""),"")</f>
        <v/>
      </c>
      <c r="W4866" s="6" t="str">
        <f>IFERROR(__xludf.DUMMYFUNCTION("""COMPUTED_VALUE"""),"[]")</f>
        <v>[]</v>
      </c>
      <c r="X4866" s="6" t="str">
        <f>IFERROR(__xludf.DUMMYFUNCTION("""COMPUTED_VALUE"""),"Enrolled")</f>
        <v>Enrolled</v>
      </c>
    </row>
    <row r="4867">
      <c r="A4867" s="6" t="str">
        <f>IFERROR(__xludf.DUMMYFUNCTION("""COMPUTED_VALUE"""),"084-13229")</f>
        <v>084-13229</v>
      </c>
      <c r="B4867" s="6" t="str">
        <f>IFERROR(__xludf.DUMMYFUNCTION("""COMPUTED_VALUE"""),"84")</f>
        <v>84</v>
      </c>
      <c r="C4867" s="6" t="str">
        <f>IFERROR(__xludf.DUMMYFUNCTION("""COMPUTED_VALUE"""),"13229")</f>
        <v>13229</v>
      </c>
      <c r="D4867" s="6" t="str">
        <f>IFERROR(__xludf.DUMMYFUNCTION("""COMPUTED_VALUE"""),"McKenzie")</f>
        <v>McKenzie</v>
      </c>
      <c r="E4867" s="6" t="str">
        <f>IFERROR(__xludf.DUMMYFUNCTION("""COMPUTED_VALUE"""),"")</f>
        <v/>
      </c>
      <c r="F4867" s="6" t="str">
        <f>IFERROR(__xludf.DUMMYFUNCTION("""COMPUTED_VALUE"""),"Singleton")</f>
        <v>Singleton</v>
      </c>
      <c r="G4867" s="6" t="str">
        <f>IFERROR(__xludf.DUMMYFUNCTION("""COMPUTED_VALUE"""),"10/18/2012")</f>
        <v>10/18/2012</v>
      </c>
      <c r="H4867" s="6" t="str">
        <f>IFERROR(__xludf.DUMMYFUNCTION("""COMPUTED_VALUE"""),"female")</f>
        <v>female</v>
      </c>
      <c r="I4867" s="6" t="str">
        <f>IFERROR(__xludf.DUMMYFUNCTION("""COMPUTED_VALUE"""),"Middle School")</f>
        <v>Middle School</v>
      </c>
      <c r="J4867" s="6" t="str">
        <f>IFERROR(__xludf.DUMMYFUNCTION("""COMPUTED_VALUE"""),"8")</f>
        <v>8</v>
      </c>
      <c r="K4867" s="6" t="str">
        <f>IFERROR(__xludf.DUMMYFUNCTION("""COMPUTED_VALUE"""),"mckenzie.singleton@2hourlearning.com")</f>
        <v>mckenzie.singleton@2hourlearning.com</v>
      </c>
      <c r="L4867" s="6" t="str">
        <f>IFERROR(__xludf.DUMMYFUNCTION("""COMPUTED_VALUE"""),"JHMS - Hardeeville Junior Senior High School")</f>
        <v>JHMS - Hardeeville Junior Senior High School</v>
      </c>
      <c r="M4867" s="6" t="str">
        <f>IFERROR(__xludf.DUMMYFUNCTION("""COMPUTED_VALUE"""),"")</f>
        <v/>
      </c>
      <c r="N4867" s="6" t="str">
        <f>IFERROR(__xludf.DUMMYFUNCTION("""COMPUTED_VALUE"""),"")</f>
        <v/>
      </c>
      <c r="O4867" s="87" t="str">
        <f>IFERROR(__xludf.DUMMYFUNCTION("""COMPUTED_VALUE"""),"https://drive.google.com/drive/folders/10T2cTQHqEJZqE-st6uFKPoI?usp=share_link")</f>
        <v>https://drive.google.com/drive/folders/10T2cTQHqEJZqE-st6uFKPoI?usp=share_link</v>
      </c>
      <c r="P4867" s="6" t="str">
        <f>IFERROR(__xludf.DUMMYFUNCTION("""COMPUTED_VALUE"""),"McKenzie Singleton")</f>
        <v>McKenzie Singleton</v>
      </c>
      <c r="Q4867" s="6" t="str">
        <f>IFERROR(__xludf.DUMMYFUNCTION("""COMPUTED_VALUE"""),"MS")</f>
        <v>MS</v>
      </c>
      <c r="R4867" s="6">
        <f>IFERROR(__xludf.DUMMYFUNCTION("""COMPUTED_VALUE"""),0.0)</f>
        <v>0</v>
      </c>
      <c r="S4867" s="6" t="str">
        <f>IFERROR(__xludf.DUMMYFUNCTION("""COMPUTED_VALUE"""),"Kimberly Ball")</f>
        <v>Kimberly Ball</v>
      </c>
      <c r="T4867" s="6" t="str">
        <f>IFERROR(__xludf.DUMMYFUNCTION("""COMPUTED_VALUE"""),"kimberly.ball@studient.com")</f>
        <v>kimberly.ball@studient.com</v>
      </c>
      <c r="U4867" s="6" t="str">
        <f>IFERROR(__xludf.DUMMYFUNCTION("""COMPUTED_VALUE"""),"8")</f>
        <v>8</v>
      </c>
      <c r="V4867" s="6" t="str">
        <f>IFERROR(__xludf.DUMMYFUNCTION("""COMPUTED_VALUE"""),"")</f>
        <v/>
      </c>
      <c r="W4867" s="6" t="str">
        <f>IFERROR(__xludf.DUMMYFUNCTION("""COMPUTED_VALUE"""),"[]")</f>
        <v>[]</v>
      </c>
      <c r="X4867" s="6" t="str">
        <f>IFERROR(__xludf.DUMMYFUNCTION("""COMPUTED_VALUE"""),"Enrolled")</f>
        <v>Enrolled</v>
      </c>
    </row>
    <row r="4868">
      <c r="A4868" s="6" t="str">
        <f>IFERROR(__xludf.DUMMYFUNCTION("""COMPUTED_VALUE"""),"084-13230")</f>
        <v>084-13230</v>
      </c>
      <c r="B4868" s="6" t="str">
        <f>IFERROR(__xludf.DUMMYFUNCTION("""COMPUTED_VALUE"""),"84")</f>
        <v>84</v>
      </c>
      <c r="C4868" s="6" t="str">
        <f>IFERROR(__xludf.DUMMYFUNCTION("""COMPUTED_VALUE"""),"13230")</f>
        <v>13230</v>
      </c>
      <c r="D4868" s="6" t="str">
        <f>IFERROR(__xludf.DUMMYFUNCTION("""COMPUTED_VALUE"""),"Chanell")</f>
        <v>Chanell</v>
      </c>
      <c r="E4868" s="6" t="str">
        <f>IFERROR(__xludf.DUMMYFUNCTION("""COMPUTED_VALUE"""),"")</f>
        <v/>
      </c>
      <c r="F4868" s="6" t="str">
        <f>IFERROR(__xludf.DUMMYFUNCTION("""COMPUTED_VALUE"""),"Smith")</f>
        <v>Smith</v>
      </c>
      <c r="G4868" s="6" t="str">
        <f>IFERROR(__xludf.DUMMYFUNCTION("""COMPUTED_VALUE"""),"06/23/2012")</f>
        <v>06/23/2012</v>
      </c>
      <c r="H4868" s="6" t="str">
        <f>IFERROR(__xludf.DUMMYFUNCTION("""COMPUTED_VALUE"""),"female")</f>
        <v>female</v>
      </c>
      <c r="I4868" s="6" t="str">
        <f>IFERROR(__xludf.DUMMYFUNCTION("""COMPUTED_VALUE"""),"Middle School")</f>
        <v>Middle School</v>
      </c>
      <c r="J4868" s="6" t="str">
        <f>IFERROR(__xludf.DUMMYFUNCTION("""COMPUTED_VALUE"""),"8")</f>
        <v>8</v>
      </c>
      <c r="K4868" s="6" t="str">
        <f>IFERROR(__xludf.DUMMYFUNCTION("""COMPUTED_VALUE"""),"chanell.smith@2hourlearning.com")</f>
        <v>chanell.smith@2hourlearning.com</v>
      </c>
      <c r="L4868" s="6" t="str">
        <f>IFERROR(__xludf.DUMMYFUNCTION("""COMPUTED_VALUE"""),"JHMS - Hardeeville Junior Senior High School")</f>
        <v>JHMS - Hardeeville Junior Senior High School</v>
      </c>
      <c r="M4868" s="6" t="str">
        <f>IFERROR(__xludf.DUMMYFUNCTION("""COMPUTED_VALUE"""),"")</f>
        <v/>
      </c>
      <c r="N4868" s="6" t="str">
        <f>IFERROR(__xludf.DUMMYFUNCTION("""COMPUTED_VALUE"""),"")</f>
        <v/>
      </c>
      <c r="O4868" s="87" t="str">
        <f>IFERROR(__xludf.DUMMYFUNCTION("""COMPUTED_VALUE"""),"https://drive.google.com/drive/folders/10T2cTQHqEJZqE-st6uFKPoI?usp=share_link")</f>
        <v>https://drive.google.com/drive/folders/10T2cTQHqEJZqE-st6uFKPoI?usp=share_link</v>
      </c>
      <c r="P4868" s="6" t="str">
        <f>IFERROR(__xludf.DUMMYFUNCTION("""COMPUTED_VALUE"""),"Chanell Smith")</f>
        <v>Chanell Smith</v>
      </c>
      <c r="Q4868" s="6" t="str">
        <f>IFERROR(__xludf.DUMMYFUNCTION("""COMPUTED_VALUE"""),"MS")</f>
        <v>MS</v>
      </c>
      <c r="R4868" s="6">
        <f>IFERROR(__xludf.DUMMYFUNCTION("""COMPUTED_VALUE"""),0.0)</f>
        <v>0</v>
      </c>
      <c r="S4868" s="6" t="str">
        <f>IFERROR(__xludf.DUMMYFUNCTION("""COMPUTED_VALUE"""),"Kimberly Ball")</f>
        <v>Kimberly Ball</v>
      </c>
      <c r="T4868" s="6" t="str">
        <f>IFERROR(__xludf.DUMMYFUNCTION("""COMPUTED_VALUE"""),"kimberly.ball@studient.com")</f>
        <v>kimberly.ball@studient.com</v>
      </c>
      <c r="U4868" s="6" t="str">
        <f>IFERROR(__xludf.DUMMYFUNCTION("""COMPUTED_VALUE"""),"8")</f>
        <v>8</v>
      </c>
      <c r="V4868" s="6" t="str">
        <f>IFERROR(__xludf.DUMMYFUNCTION("""COMPUTED_VALUE"""),"")</f>
        <v/>
      </c>
      <c r="W4868" s="6" t="str">
        <f>IFERROR(__xludf.DUMMYFUNCTION("""COMPUTED_VALUE"""),"[]")</f>
        <v>[]</v>
      </c>
      <c r="X4868" s="6" t="str">
        <f>IFERROR(__xludf.DUMMYFUNCTION("""COMPUTED_VALUE"""),"Enrolled")</f>
        <v>Enrolled</v>
      </c>
    </row>
    <row r="4869">
      <c r="A4869" s="6" t="str">
        <f>IFERROR(__xludf.DUMMYFUNCTION("""COMPUTED_VALUE"""),"084-13231")</f>
        <v>084-13231</v>
      </c>
      <c r="B4869" s="6" t="str">
        <f>IFERROR(__xludf.DUMMYFUNCTION("""COMPUTED_VALUE"""),"84")</f>
        <v>84</v>
      </c>
      <c r="C4869" s="6" t="str">
        <f>IFERROR(__xludf.DUMMYFUNCTION("""COMPUTED_VALUE"""),"13231")</f>
        <v>13231</v>
      </c>
      <c r="D4869" s="6" t="str">
        <f>IFERROR(__xludf.DUMMYFUNCTION("""COMPUTED_VALUE"""),"Jermaine")</f>
        <v>Jermaine</v>
      </c>
      <c r="E4869" s="6" t="str">
        <f>IFERROR(__xludf.DUMMYFUNCTION("""COMPUTED_VALUE"""),"")</f>
        <v/>
      </c>
      <c r="F4869" s="6" t="str">
        <f>IFERROR(__xludf.DUMMYFUNCTION("""COMPUTED_VALUE"""),"Stevenson")</f>
        <v>Stevenson</v>
      </c>
      <c r="G4869" s="6" t="str">
        <f>IFERROR(__xludf.DUMMYFUNCTION("""COMPUTED_VALUE"""),"02/08/2012")</f>
        <v>02/08/2012</v>
      </c>
      <c r="H4869" s="6" t="str">
        <f>IFERROR(__xludf.DUMMYFUNCTION("""COMPUTED_VALUE"""),"male")</f>
        <v>male</v>
      </c>
      <c r="I4869" s="6" t="str">
        <f>IFERROR(__xludf.DUMMYFUNCTION("""COMPUTED_VALUE"""),"Middle School")</f>
        <v>Middle School</v>
      </c>
      <c r="J4869" s="6" t="str">
        <f>IFERROR(__xludf.DUMMYFUNCTION("""COMPUTED_VALUE"""),"8")</f>
        <v>8</v>
      </c>
      <c r="K4869" s="6" t="str">
        <f>IFERROR(__xludf.DUMMYFUNCTION("""COMPUTED_VALUE"""),"jermaine.stevenson@2hourlearning.com")</f>
        <v>jermaine.stevenson@2hourlearning.com</v>
      </c>
      <c r="L4869" s="6" t="str">
        <f>IFERROR(__xludf.DUMMYFUNCTION("""COMPUTED_VALUE"""),"JHMS - Hardeeville Junior Senior High School")</f>
        <v>JHMS - Hardeeville Junior Senior High School</v>
      </c>
      <c r="M4869" s="6" t="str">
        <f>IFERROR(__xludf.DUMMYFUNCTION("""COMPUTED_VALUE"""),"")</f>
        <v/>
      </c>
      <c r="N4869" s="6" t="str">
        <f>IFERROR(__xludf.DUMMYFUNCTION("""COMPUTED_VALUE"""),"")</f>
        <v/>
      </c>
      <c r="O4869" s="87" t="str">
        <f>IFERROR(__xludf.DUMMYFUNCTION("""COMPUTED_VALUE"""),"https://drive.google.com/drive/folders/10T2cTQHqEJZqE-st6uFKPoI?usp=share_link")</f>
        <v>https://drive.google.com/drive/folders/10T2cTQHqEJZqE-st6uFKPoI?usp=share_link</v>
      </c>
      <c r="P4869" s="6" t="str">
        <f>IFERROR(__xludf.DUMMYFUNCTION("""COMPUTED_VALUE"""),"Jermaine Stevenson")</f>
        <v>Jermaine Stevenson</v>
      </c>
      <c r="Q4869" s="6" t="str">
        <f>IFERROR(__xludf.DUMMYFUNCTION("""COMPUTED_VALUE"""),"MS")</f>
        <v>MS</v>
      </c>
      <c r="R4869" s="6">
        <f>IFERROR(__xludf.DUMMYFUNCTION("""COMPUTED_VALUE"""),0.0)</f>
        <v>0</v>
      </c>
      <c r="S4869" s="6" t="str">
        <f>IFERROR(__xludf.DUMMYFUNCTION("""COMPUTED_VALUE"""),"Kimberly Ball")</f>
        <v>Kimberly Ball</v>
      </c>
      <c r="T4869" s="6" t="str">
        <f>IFERROR(__xludf.DUMMYFUNCTION("""COMPUTED_VALUE"""),"kimberly.ball@studient.com")</f>
        <v>kimberly.ball@studient.com</v>
      </c>
      <c r="U4869" s="6" t="str">
        <f>IFERROR(__xludf.DUMMYFUNCTION("""COMPUTED_VALUE"""),"8")</f>
        <v>8</v>
      </c>
      <c r="V4869" s="6" t="str">
        <f>IFERROR(__xludf.DUMMYFUNCTION("""COMPUTED_VALUE"""),"")</f>
        <v/>
      </c>
      <c r="W4869" s="6" t="str">
        <f>IFERROR(__xludf.DUMMYFUNCTION("""COMPUTED_VALUE"""),"[]")</f>
        <v>[]</v>
      </c>
      <c r="X4869" s="6" t="str">
        <f>IFERROR(__xludf.DUMMYFUNCTION("""COMPUTED_VALUE"""),"Enrolled")</f>
        <v>Enrolled</v>
      </c>
    </row>
    <row r="4870">
      <c r="A4870" s="6" t="str">
        <f>IFERROR(__xludf.DUMMYFUNCTION("""COMPUTED_VALUE"""),"084-13232")</f>
        <v>084-13232</v>
      </c>
      <c r="B4870" s="6" t="str">
        <f>IFERROR(__xludf.DUMMYFUNCTION("""COMPUTED_VALUE"""),"84")</f>
        <v>84</v>
      </c>
      <c r="C4870" s="6" t="str">
        <f>IFERROR(__xludf.DUMMYFUNCTION("""COMPUTED_VALUE"""),"13232")</f>
        <v>13232</v>
      </c>
      <c r="D4870" s="6" t="str">
        <f>IFERROR(__xludf.DUMMYFUNCTION("""COMPUTED_VALUE"""),"Heaven")</f>
        <v>Heaven</v>
      </c>
      <c r="E4870" s="6" t="str">
        <f>IFERROR(__xludf.DUMMYFUNCTION("""COMPUTED_VALUE"""),"")</f>
        <v/>
      </c>
      <c r="F4870" s="6" t="str">
        <f>IFERROR(__xludf.DUMMYFUNCTION("""COMPUTED_VALUE"""),"Taylor")</f>
        <v>Taylor</v>
      </c>
      <c r="G4870" s="6" t="str">
        <f>IFERROR(__xludf.DUMMYFUNCTION("""COMPUTED_VALUE"""),"06/20/2012")</f>
        <v>06/20/2012</v>
      </c>
      <c r="H4870" s="6" t="str">
        <f>IFERROR(__xludf.DUMMYFUNCTION("""COMPUTED_VALUE"""),"male")</f>
        <v>male</v>
      </c>
      <c r="I4870" s="6" t="str">
        <f>IFERROR(__xludf.DUMMYFUNCTION("""COMPUTED_VALUE"""),"Middle School")</f>
        <v>Middle School</v>
      </c>
      <c r="J4870" s="6" t="str">
        <f>IFERROR(__xludf.DUMMYFUNCTION("""COMPUTED_VALUE"""),"8")</f>
        <v>8</v>
      </c>
      <c r="K4870" s="6" t="str">
        <f>IFERROR(__xludf.DUMMYFUNCTION("""COMPUTED_VALUE"""),"heaven.taylor@2hourlearning.com")</f>
        <v>heaven.taylor@2hourlearning.com</v>
      </c>
      <c r="L4870" s="6" t="str">
        <f>IFERROR(__xludf.DUMMYFUNCTION("""COMPUTED_VALUE"""),"JHMS - Hardeeville Junior Senior High School")</f>
        <v>JHMS - Hardeeville Junior Senior High School</v>
      </c>
      <c r="M4870" s="6" t="str">
        <f>IFERROR(__xludf.DUMMYFUNCTION("""COMPUTED_VALUE"""),"")</f>
        <v/>
      </c>
      <c r="N4870" s="6" t="str">
        <f>IFERROR(__xludf.DUMMYFUNCTION("""COMPUTED_VALUE"""),"")</f>
        <v/>
      </c>
      <c r="O4870" s="87" t="str">
        <f>IFERROR(__xludf.DUMMYFUNCTION("""COMPUTED_VALUE"""),"https://drive.google.com/drive/folders/10T2cTQHqEJZqE-st6uFKPoI?usp=share_link")</f>
        <v>https://drive.google.com/drive/folders/10T2cTQHqEJZqE-st6uFKPoI?usp=share_link</v>
      </c>
      <c r="P4870" s="6" t="str">
        <f>IFERROR(__xludf.DUMMYFUNCTION("""COMPUTED_VALUE"""),"Heaven Taylor")</f>
        <v>Heaven Taylor</v>
      </c>
      <c r="Q4870" s="6" t="str">
        <f>IFERROR(__xludf.DUMMYFUNCTION("""COMPUTED_VALUE"""),"MS")</f>
        <v>MS</v>
      </c>
      <c r="R4870" s="6">
        <f>IFERROR(__xludf.DUMMYFUNCTION("""COMPUTED_VALUE"""),0.0)</f>
        <v>0</v>
      </c>
      <c r="S4870" s="6" t="str">
        <f>IFERROR(__xludf.DUMMYFUNCTION("""COMPUTED_VALUE"""),"Kimberly Ball")</f>
        <v>Kimberly Ball</v>
      </c>
      <c r="T4870" s="6" t="str">
        <f>IFERROR(__xludf.DUMMYFUNCTION("""COMPUTED_VALUE"""),"kimberly.ball@studient.com")</f>
        <v>kimberly.ball@studient.com</v>
      </c>
      <c r="U4870" s="6" t="str">
        <f>IFERROR(__xludf.DUMMYFUNCTION("""COMPUTED_VALUE"""),"8")</f>
        <v>8</v>
      </c>
      <c r="V4870" s="6" t="str">
        <f>IFERROR(__xludf.DUMMYFUNCTION("""COMPUTED_VALUE"""),"")</f>
        <v/>
      </c>
      <c r="W4870" s="6" t="str">
        <f>IFERROR(__xludf.DUMMYFUNCTION("""COMPUTED_VALUE"""),"[]")</f>
        <v>[]</v>
      </c>
      <c r="X4870" s="6" t="str">
        <f>IFERROR(__xludf.DUMMYFUNCTION("""COMPUTED_VALUE"""),"Enrolled")</f>
        <v>Enrolled</v>
      </c>
    </row>
    <row r="4871">
      <c r="A4871" s="6" t="str">
        <f>IFERROR(__xludf.DUMMYFUNCTION("""COMPUTED_VALUE"""),"084-13233")</f>
        <v>084-13233</v>
      </c>
      <c r="B4871" s="6" t="str">
        <f>IFERROR(__xludf.DUMMYFUNCTION("""COMPUTED_VALUE"""),"84")</f>
        <v>84</v>
      </c>
      <c r="C4871" s="6" t="str">
        <f>IFERROR(__xludf.DUMMYFUNCTION("""COMPUTED_VALUE"""),"13233")</f>
        <v>13233</v>
      </c>
      <c r="D4871" s="6" t="str">
        <f>IFERROR(__xludf.DUMMYFUNCTION("""COMPUTED_VALUE"""),"Angeles")</f>
        <v>Angeles</v>
      </c>
      <c r="E4871" s="6" t="str">
        <f>IFERROR(__xludf.DUMMYFUNCTION("""COMPUTED_VALUE"""),"")</f>
        <v/>
      </c>
      <c r="F4871" s="6" t="str">
        <f>IFERROR(__xludf.DUMMYFUNCTION("""COMPUTED_VALUE"""),"Tovar Herrera")</f>
        <v>Tovar Herrera</v>
      </c>
      <c r="G4871" s="6" t="str">
        <f>IFERROR(__xludf.DUMMYFUNCTION("""COMPUTED_VALUE"""),"01/26/2012")</f>
        <v>01/26/2012</v>
      </c>
      <c r="H4871" s="6" t="str">
        <f>IFERROR(__xludf.DUMMYFUNCTION("""COMPUTED_VALUE"""),"female")</f>
        <v>female</v>
      </c>
      <c r="I4871" s="6" t="str">
        <f>IFERROR(__xludf.DUMMYFUNCTION("""COMPUTED_VALUE"""),"Middle School")</f>
        <v>Middle School</v>
      </c>
      <c r="J4871" s="6" t="str">
        <f>IFERROR(__xludf.DUMMYFUNCTION("""COMPUTED_VALUE"""),"8")</f>
        <v>8</v>
      </c>
      <c r="K4871" s="6" t="str">
        <f>IFERROR(__xludf.DUMMYFUNCTION("""COMPUTED_VALUE"""),"angeles.tovarherrera@2hourlearning.com")</f>
        <v>angeles.tovarherrera@2hourlearning.com</v>
      </c>
      <c r="L4871" s="6" t="str">
        <f>IFERROR(__xludf.DUMMYFUNCTION("""COMPUTED_VALUE"""),"JHMS - Hardeeville Junior Senior High School")</f>
        <v>JHMS - Hardeeville Junior Senior High School</v>
      </c>
      <c r="M4871" s="6" t="str">
        <f>IFERROR(__xludf.DUMMYFUNCTION("""COMPUTED_VALUE"""),"")</f>
        <v/>
      </c>
      <c r="N4871" s="6" t="str">
        <f>IFERROR(__xludf.DUMMYFUNCTION("""COMPUTED_VALUE"""),"")</f>
        <v/>
      </c>
      <c r="O4871" s="87" t="str">
        <f>IFERROR(__xludf.DUMMYFUNCTION("""COMPUTED_VALUE"""),"https://drive.google.com/drive/folders/10T2cTQHqEJZqE-st6uFKPoI?usp=share_link")</f>
        <v>https://drive.google.com/drive/folders/10T2cTQHqEJZqE-st6uFKPoI?usp=share_link</v>
      </c>
      <c r="P4871" s="6" t="str">
        <f>IFERROR(__xludf.DUMMYFUNCTION("""COMPUTED_VALUE"""),"Angeles Tovar Herrera")</f>
        <v>Angeles Tovar Herrera</v>
      </c>
      <c r="Q4871" s="6" t="str">
        <f>IFERROR(__xludf.DUMMYFUNCTION("""COMPUTED_VALUE"""),"MS")</f>
        <v>MS</v>
      </c>
      <c r="R4871" s="6">
        <f>IFERROR(__xludf.DUMMYFUNCTION("""COMPUTED_VALUE"""),0.0)</f>
        <v>0</v>
      </c>
      <c r="S4871" s="6" t="str">
        <f>IFERROR(__xludf.DUMMYFUNCTION("""COMPUTED_VALUE"""),"Kimberly Ball")</f>
        <v>Kimberly Ball</v>
      </c>
      <c r="T4871" s="6" t="str">
        <f>IFERROR(__xludf.DUMMYFUNCTION("""COMPUTED_VALUE"""),"kimberly.ball@studient.com")</f>
        <v>kimberly.ball@studient.com</v>
      </c>
      <c r="U4871" s="6" t="str">
        <f>IFERROR(__xludf.DUMMYFUNCTION("""COMPUTED_VALUE"""),"8")</f>
        <v>8</v>
      </c>
      <c r="V4871" s="6" t="str">
        <f>IFERROR(__xludf.DUMMYFUNCTION("""COMPUTED_VALUE"""),"")</f>
        <v/>
      </c>
      <c r="W4871" s="6" t="str">
        <f>IFERROR(__xludf.DUMMYFUNCTION("""COMPUTED_VALUE"""),"[]")</f>
        <v>[]</v>
      </c>
      <c r="X4871" s="6" t="str">
        <f>IFERROR(__xludf.DUMMYFUNCTION("""COMPUTED_VALUE"""),"Enrolled")</f>
        <v>Enrolled</v>
      </c>
    </row>
    <row r="4872">
      <c r="A4872" s="6" t="str">
        <f>IFERROR(__xludf.DUMMYFUNCTION("""COMPUTED_VALUE"""),"084-13234")</f>
        <v>084-13234</v>
      </c>
      <c r="B4872" s="6" t="str">
        <f>IFERROR(__xludf.DUMMYFUNCTION("""COMPUTED_VALUE"""),"84")</f>
        <v>84</v>
      </c>
      <c r="C4872" s="6" t="str">
        <f>IFERROR(__xludf.DUMMYFUNCTION("""COMPUTED_VALUE"""),"13234")</f>
        <v>13234</v>
      </c>
      <c r="D4872" s="6" t="str">
        <f>IFERROR(__xludf.DUMMYFUNCTION("""COMPUTED_VALUE"""),"Brianda")</f>
        <v>Brianda</v>
      </c>
      <c r="E4872" s="6" t="str">
        <f>IFERROR(__xludf.DUMMYFUNCTION("""COMPUTED_VALUE"""),"")</f>
        <v/>
      </c>
      <c r="F4872" s="6" t="str">
        <f>IFERROR(__xludf.DUMMYFUNCTION("""COMPUTED_VALUE"""),"Valdez Sanchez")</f>
        <v>Valdez Sanchez</v>
      </c>
      <c r="G4872" s="6" t="str">
        <f>IFERROR(__xludf.DUMMYFUNCTION("""COMPUTED_VALUE"""),"12/21/2011")</f>
        <v>12/21/2011</v>
      </c>
      <c r="H4872" s="6" t="str">
        <f>IFERROR(__xludf.DUMMYFUNCTION("""COMPUTED_VALUE"""),"female")</f>
        <v>female</v>
      </c>
      <c r="I4872" s="6" t="str">
        <f>IFERROR(__xludf.DUMMYFUNCTION("""COMPUTED_VALUE"""),"Middle School")</f>
        <v>Middle School</v>
      </c>
      <c r="J4872" s="6" t="str">
        <f>IFERROR(__xludf.DUMMYFUNCTION("""COMPUTED_VALUE"""),"8")</f>
        <v>8</v>
      </c>
      <c r="K4872" s="6" t="str">
        <f>IFERROR(__xludf.DUMMYFUNCTION("""COMPUTED_VALUE"""),"brianda.valdezsanchez@2hourlearning.com")</f>
        <v>brianda.valdezsanchez@2hourlearning.com</v>
      </c>
      <c r="L4872" s="6" t="str">
        <f>IFERROR(__xludf.DUMMYFUNCTION("""COMPUTED_VALUE"""),"JHMS - Hardeeville Junior Senior High School")</f>
        <v>JHMS - Hardeeville Junior Senior High School</v>
      </c>
      <c r="M4872" s="6" t="str">
        <f>IFERROR(__xludf.DUMMYFUNCTION("""COMPUTED_VALUE"""),"")</f>
        <v/>
      </c>
      <c r="N4872" s="6" t="str">
        <f>IFERROR(__xludf.DUMMYFUNCTION("""COMPUTED_VALUE"""),"")</f>
        <v/>
      </c>
      <c r="O4872" s="87" t="str">
        <f>IFERROR(__xludf.DUMMYFUNCTION("""COMPUTED_VALUE"""),"https://drive.google.com/drive/folders/10T2cTQHqEJZqE-st6uFKPoI?usp=share_link")</f>
        <v>https://drive.google.com/drive/folders/10T2cTQHqEJZqE-st6uFKPoI?usp=share_link</v>
      </c>
      <c r="P4872" s="6" t="str">
        <f>IFERROR(__xludf.DUMMYFUNCTION("""COMPUTED_VALUE"""),"Brianda Valdez Sanchez")</f>
        <v>Brianda Valdez Sanchez</v>
      </c>
      <c r="Q4872" s="6" t="str">
        <f>IFERROR(__xludf.DUMMYFUNCTION("""COMPUTED_VALUE"""),"MS")</f>
        <v>MS</v>
      </c>
      <c r="R4872" s="6">
        <f>IFERROR(__xludf.DUMMYFUNCTION("""COMPUTED_VALUE"""),0.0)</f>
        <v>0</v>
      </c>
      <c r="S4872" s="6" t="str">
        <f>IFERROR(__xludf.DUMMYFUNCTION("""COMPUTED_VALUE"""),"Kimberly Ball")</f>
        <v>Kimberly Ball</v>
      </c>
      <c r="T4872" s="6" t="str">
        <f>IFERROR(__xludf.DUMMYFUNCTION("""COMPUTED_VALUE"""),"kimberly.ball@studient.com")</f>
        <v>kimberly.ball@studient.com</v>
      </c>
      <c r="U4872" s="6" t="str">
        <f>IFERROR(__xludf.DUMMYFUNCTION("""COMPUTED_VALUE"""),"8")</f>
        <v>8</v>
      </c>
      <c r="V4872" s="6" t="str">
        <f>IFERROR(__xludf.DUMMYFUNCTION("""COMPUTED_VALUE"""),"")</f>
        <v/>
      </c>
      <c r="W4872" s="6" t="str">
        <f>IFERROR(__xludf.DUMMYFUNCTION("""COMPUTED_VALUE"""),"[]")</f>
        <v>[]</v>
      </c>
      <c r="X4872" s="6" t="str">
        <f>IFERROR(__xludf.DUMMYFUNCTION("""COMPUTED_VALUE"""),"Enrolled")</f>
        <v>Enrolled</v>
      </c>
    </row>
    <row r="4873">
      <c r="A4873" s="6" t="str">
        <f>IFERROR(__xludf.DUMMYFUNCTION("""COMPUTED_VALUE"""),"084-13235")</f>
        <v>084-13235</v>
      </c>
      <c r="B4873" s="6" t="str">
        <f>IFERROR(__xludf.DUMMYFUNCTION("""COMPUTED_VALUE"""),"84")</f>
        <v>84</v>
      </c>
      <c r="C4873" s="6" t="str">
        <f>IFERROR(__xludf.DUMMYFUNCTION("""COMPUTED_VALUE"""),"13235")</f>
        <v>13235</v>
      </c>
      <c r="D4873" s="6" t="str">
        <f>IFERROR(__xludf.DUMMYFUNCTION("""COMPUTED_VALUE"""),"Sheyla")</f>
        <v>Sheyla</v>
      </c>
      <c r="E4873" s="6" t="str">
        <f>IFERROR(__xludf.DUMMYFUNCTION("""COMPUTED_VALUE"""),"")</f>
        <v/>
      </c>
      <c r="F4873" s="6" t="str">
        <f>IFERROR(__xludf.DUMMYFUNCTION("""COMPUTED_VALUE"""),"Vazquez Hernandez")</f>
        <v>Vazquez Hernandez</v>
      </c>
      <c r="G4873" s="6" t="str">
        <f>IFERROR(__xludf.DUMMYFUNCTION("""COMPUTED_VALUE"""),"10/19/2010")</f>
        <v>10/19/2010</v>
      </c>
      <c r="H4873" s="6" t="str">
        <f>IFERROR(__xludf.DUMMYFUNCTION("""COMPUTED_VALUE"""),"female")</f>
        <v>female</v>
      </c>
      <c r="I4873" s="6" t="str">
        <f>IFERROR(__xludf.DUMMYFUNCTION("""COMPUTED_VALUE"""),"Middle School")</f>
        <v>Middle School</v>
      </c>
      <c r="J4873" s="6" t="str">
        <f>IFERROR(__xludf.DUMMYFUNCTION("""COMPUTED_VALUE"""),"8")</f>
        <v>8</v>
      </c>
      <c r="K4873" s="6" t="str">
        <f>IFERROR(__xludf.DUMMYFUNCTION("""COMPUTED_VALUE"""),"sheyla.vazquezhernandez@2hourlearning.com")</f>
        <v>sheyla.vazquezhernandez@2hourlearning.com</v>
      </c>
      <c r="L4873" s="6" t="str">
        <f>IFERROR(__xludf.DUMMYFUNCTION("""COMPUTED_VALUE"""),"JHMS - Hardeeville Junior Senior High School")</f>
        <v>JHMS - Hardeeville Junior Senior High School</v>
      </c>
      <c r="M4873" s="6" t="str">
        <f>IFERROR(__xludf.DUMMYFUNCTION("""COMPUTED_VALUE"""),"")</f>
        <v/>
      </c>
      <c r="N4873" s="6" t="str">
        <f>IFERROR(__xludf.DUMMYFUNCTION("""COMPUTED_VALUE"""),"")</f>
        <v/>
      </c>
      <c r="O4873" s="87" t="str">
        <f>IFERROR(__xludf.DUMMYFUNCTION("""COMPUTED_VALUE"""),"https://drive.google.com/drive/folders/10T2cTQHqEJZqE-st6uFKPoI?usp=share_link")</f>
        <v>https://drive.google.com/drive/folders/10T2cTQHqEJZqE-st6uFKPoI?usp=share_link</v>
      </c>
      <c r="P4873" s="6" t="str">
        <f>IFERROR(__xludf.DUMMYFUNCTION("""COMPUTED_VALUE"""),"Sheyla Vazquez Hernandez")</f>
        <v>Sheyla Vazquez Hernandez</v>
      </c>
      <c r="Q4873" s="6" t="str">
        <f>IFERROR(__xludf.DUMMYFUNCTION("""COMPUTED_VALUE"""),"MS")</f>
        <v>MS</v>
      </c>
      <c r="R4873" s="6">
        <f>IFERROR(__xludf.DUMMYFUNCTION("""COMPUTED_VALUE"""),0.0)</f>
        <v>0</v>
      </c>
      <c r="S4873" s="6" t="str">
        <f>IFERROR(__xludf.DUMMYFUNCTION("""COMPUTED_VALUE"""),"Kimberly Ball")</f>
        <v>Kimberly Ball</v>
      </c>
      <c r="T4873" s="6" t="str">
        <f>IFERROR(__xludf.DUMMYFUNCTION("""COMPUTED_VALUE"""),"kimberly.ball@studient.com")</f>
        <v>kimberly.ball@studient.com</v>
      </c>
      <c r="U4873" s="6" t="str">
        <f>IFERROR(__xludf.DUMMYFUNCTION("""COMPUTED_VALUE"""),"8")</f>
        <v>8</v>
      </c>
      <c r="V4873" s="6" t="str">
        <f>IFERROR(__xludf.DUMMYFUNCTION("""COMPUTED_VALUE"""),"")</f>
        <v/>
      </c>
      <c r="W4873" s="6" t="str">
        <f>IFERROR(__xludf.DUMMYFUNCTION("""COMPUTED_VALUE"""),"[]")</f>
        <v>[]</v>
      </c>
      <c r="X4873" s="6" t="str">
        <f>IFERROR(__xludf.DUMMYFUNCTION("""COMPUTED_VALUE"""),"Enrolled")</f>
        <v>Enrolled</v>
      </c>
    </row>
    <row r="4874">
      <c r="A4874" s="6" t="str">
        <f>IFERROR(__xludf.DUMMYFUNCTION("""COMPUTED_VALUE"""),"084-13236")</f>
        <v>084-13236</v>
      </c>
      <c r="B4874" s="6" t="str">
        <f>IFERROR(__xludf.DUMMYFUNCTION("""COMPUTED_VALUE"""),"84")</f>
        <v>84</v>
      </c>
      <c r="C4874" s="6" t="str">
        <f>IFERROR(__xludf.DUMMYFUNCTION("""COMPUTED_VALUE"""),"13236")</f>
        <v>13236</v>
      </c>
      <c r="D4874" s="6" t="str">
        <f>IFERROR(__xludf.DUMMYFUNCTION("""COMPUTED_VALUE"""),"Darinel")</f>
        <v>Darinel</v>
      </c>
      <c r="E4874" s="6" t="str">
        <f>IFERROR(__xludf.DUMMYFUNCTION("""COMPUTED_VALUE"""),"")</f>
        <v/>
      </c>
      <c r="F4874" s="6" t="str">
        <f>IFERROR(__xludf.DUMMYFUNCTION("""COMPUTED_VALUE"""),"Velasquez Velasquez")</f>
        <v>Velasquez Velasquez</v>
      </c>
      <c r="G4874" s="6" t="str">
        <f>IFERROR(__xludf.DUMMYFUNCTION("""COMPUTED_VALUE"""),"03/31/2012")</f>
        <v>03/31/2012</v>
      </c>
      <c r="H4874" s="6" t="str">
        <f>IFERROR(__xludf.DUMMYFUNCTION("""COMPUTED_VALUE"""),"female")</f>
        <v>female</v>
      </c>
      <c r="I4874" s="6" t="str">
        <f>IFERROR(__xludf.DUMMYFUNCTION("""COMPUTED_VALUE"""),"Middle School")</f>
        <v>Middle School</v>
      </c>
      <c r="J4874" s="6" t="str">
        <f>IFERROR(__xludf.DUMMYFUNCTION("""COMPUTED_VALUE"""),"8")</f>
        <v>8</v>
      </c>
      <c r="K4874" s="6" t="str">
        <f>IFERROR(__xludf.DUMMYFUNCTION("""COMPUTED_VALUE"""),"darinel.velasquezvelasquez@2hourlearning.com")</f>
        <v>darinel.velasquezvelasquez@2hourlearning.com</v>
      </c>
      <c r="L4874" s="6" t="str">
        <f>IFERROR(__xludf.DUMMYFUNCTION("""COMPUTED_VALUE"""),"JHMS - Hardeeville Junior Senior High School")</f>
        <v>JHMS - Hardeeville Junior Senior High School</v>
      </c>
      <c r="M4874" s="6" t="str">
        <f>IFERROR(__xludf.DUMMYFUNCTION("""COMPUTED_VALUE"""),"")</f>
        <v/>
      </c>
      <c r="N4874" s="6" t="str">
        <f>IFERROR(__xludf.DUMMYFUNCTION("""COMPUTED_VALUE"""),"")</f>
        <v/>
      </c>
      <c r="O4874" s="87" t="str">
        <f>IFERROR(__xludf.DUMMYFUNCTION("""COMPUTED_VALUE"""),"https://drive.google.com/drive/folders/10T2cTQHqEJZqE-st6uFKPoI?usp=share_link")</f>
        <v>https://drive.google.com/drive/folders/10T2cTQHqEJZqE-st6uFKPoI?usp=share_link</v>
      </c>
      <c r="P4874" s="6" t="str">
        <f>IFERROR(__xludf.DUMMYFUNCTION("""COMPUTED_VALUE"""),"Darinel Velasquez Velasquez")</f>
        <v>Darinel Velasquez Velasquez</v>
      </c>
      <c r="Q4874" s="6" t="str">
        <f>IFERROR(__xludf.DUMMYFUNCTION("""COMPUTED_VALUE"""),"MS")</f>
        <v>MS</v>
      </c>
      <c r="R4874" s="6">
        <f>IFERROR(__xludf.DUMMYFUNCTION("""COMPUTED_VALUE"""),0.0)</f>
        <v>0</v>
      </c>
      <c r="S4874" s="6" t="str">
        <f>IFERROR(__xludf.DUMMYFUNCTION("""COMPUTED_VALUE"""),"Kimberly Ball")</f>
        <v>Kimberly Ball</v>
      </c>
      <c r="T4874" s="6" t="str">
        <f>IFERROR(__xludf.DUMMYFUNCTION("""COMPUTED_VALUE"""),"kimberly.ball@studient.com")</f>
        <v>kimberly.ball@studient.com</v>
      </c>
      <c r="U4874" s="6" t="str">
        <f>IFERROR(__xludf.DUMMYFUNCTION("""COMPUTED_VALUE"""),"8")</f>
        <v>8</v>
      </c>
      <c r="V4874" s="6" t="str">
        <f>IFERROR(__xludf.DUMMYFUNCTION("""COMPUTED_VALUE"""),"")</f>
        <v/>
      </c>
      <c r="W4874" s="6" t="str">
        <f>IFERROR(__xludf.DUMMYFUNCTION("""COMPUTED_VALUE"""),"[]")</f>
        <v>[]</v>
      </c>
      <c r="X4874" s="6" t="str">
        <f>IFERROR(__xludf.DUMMYFUNCTION("""COMPUTED_VALUE"""),"Enrolled")</f>
        <v>Enrolled</v>
      </c>
    </row>
    <row r="4875">
      <c r="A4875" s="6" t="str">
        <f>IFERROR(__xludf.DUMMYFUNCTION("""COMPUTED_VALUE"""),"084-13237")</f>
        <v>084-13237</v>
      </c>
      <c r="B4875" s="6" t="str">
        <f>IFERROR(__xludf.DUMMYFUNCTION("""COMPUTED_VALUE"""),"84")</f>
        <v>84</v>
      </c>
      <c r="C4875" s="6" t="str">
        <f>IFERROR(__xludf.DUMMYFUNCTION("""COMPUTED_VALUE"""),"13237")</f>
        <v>13237</v>
      </c>
      <c r="D4875" s="6" t="str">
        <f>IFERROR(__xludf.DUMMYFUNCTION("""COMPUTED_VALUE"""),"Andrea")</f>
        <v>Andrea</v>
      </c>
      <c r="E4875" s="6" t="str">
        <f>IFERROR(__xludf.DUMMYFUNCTION("""COMPUTED_VALUE"""),"")</f>
        <v/>
      </c>
      <c r="F4875" s="6" t="str">
        <f>IFERROR(__xludf.DUMMYFUNCTION("""COMPUTED_VALUE"""),"Villagomez Sierra")</f>
        <v>Villagomez Sierra</v>
      </c>
      <c r="G4875" s="6" t="str">
        <f>IFERROR(__xludf.DUMMYFUNCTION("""COMPUTED_VALUE"""),"03/07/2012")</f>
        <v>03/07/2012</v>
      </c>
      <c r="H4875" s="6" t="str">
        <f>IFERROR(__xludf.DUMMYFUNCTION("""COMPUTED_VALUE"""),"female")</f>
        <v>female</v>
      </c>
      <c r="I4875" s="6" t="str">
        <f>IFERROR(__xludf.DUMMYFUNCTION("""COMPUTED_VALUE"""),"Middle School")</f>
        <v>Middle School</v>
      </c>
      <c r="J4875" s="6" t="str">
        <f>IFERROR(__xludf.DUMMYFUNCTION("""COMPUTED_VALUE"""),"8")</f>
        <v>8</v>
      </c>
      <c r="K4875" s="6" t="str">
        <f>IFERROR(__xludf.DUMMYFUNCTION("""COMPUTED_VALUE"""),"andrea.villagomezsierra@2hourlearning.com")</f>
        <v>andrea.villagomezsierra@2hourlearning.com</v>
      </c>
      <c r="L4875" s="6" t="str">
        <f>IFERROR(__xludf.DUMMYFUNCTION("""COMPUTED_VALUE"""),"JHMS - Hardeeville Junior Senior High School")</f>
        <v>JHMS - Hardeeville Junior Senior High School</v>
      </c>
      <c r="M4875" s="6" t="str">
        <f>IFERROR(__xludf.DUMMYFUNCTION("""COMPUTED_VALUE"""),"")</f>
        <v/>
      </c>
      <c r="N4875" s="6" t="str">
        <f>IFERROR(__xludf.DUMMYFUNCTION("""COMPUTED_VALUE"""),"")</f>
        <v/>
      </c>
      <c r="O4875" s="87" t="str">
        <f>IFERROR(__xludf.DUMMYFUNCTION("""COMPUTED_VALUE"""),"https://drive.google.com/drive/folders/10T2cTQHqEJZqE-st6uFKPoI?usp=share_link")</f>
        <v>https://drive.google.com/drive/folders/10T2cTQHqEJZqE-st6uFKPoI?usp=share_link</v>
      </c>
      <c r="P4875" s="6" t="str">
        <f>IFERROR(__xludf.DUMMYFUNCTION("""COMPUTED_VALUE"""),"Andrea Villagomez Sierra")</f>
        <v>Andrea Villagomez Sierra</v>
      </c>
      <c r="Q4875" s="6" t="str">
        <f>IFERROR(__xludf.DUMMYFUNCTION("""COMPUTED_VALUE"""),"MS")</f>
        <v>MS</v>
      </c>
      <c r="R4875" s="6">
        <f>IFERROR(__xludf.DUMMYFUNCTION("""COMPUTED_VALUE"""),0.0)</f>
        <v>0</v>
      </c>
      <c r="S4875" s="6" t="str">
        <f>IFERROR(__xludf.DUMMYFUNCTION("""COMPUTED_VALUE"""),"Kimberly Ball")</f>
        <v>Kimberly Ball</v>
      </c>
      <c r="T4875" s="6" t="str">
        <f>IFERROR(__xludf.DUMMYFUNCTION("""COMPUTED_VALUE"""),"kimberly.ball@studient.com")</f>
        <v>kimberly.ball@studient.com</v>
      </c>
      <c r="U4875" s="6" t="str">
        <f>IFERROR(__xludf.DUMMYFUNCTION("""COMPUTED_VALUE"""),"8")</f>
        <v>8</v>
      </c>
      <c r="V4875" s="6" t="str">
        <f>IFERROR(__xludf.DUMMYFUNCTION("""COMPUTED_VALUE"""),"")</f>
        <v/>
      </c>
      <c r="W4875" s="6" t="str">
        <f>IFERROR(__xludf.DUMMYFUNCTION("""COMPUTED_VALUE"""),"[]")</f>
        <v>[]</v>
      </c>
      <c r="X4875" s="6" t="str">
        <f>IFERROR(__xludf.DUMMYFUNCTION("""COMPUTED_VALUE"""),"Enrolled")</f>
        <v>Enrolled</v>
      </c>
    </row>
    <row r="4876">
      <c r="A4876" s="6" t="str">
        <f>IFERROR(__xludf.DUMMYFUNCTION("""COMPUTED_VALUE"""),"084-13238")</f>
        <v>084-13238</v>
      </c>
      <c r="B4876" s="6" t="str">
        <f>IFERROR(__xludf.DUMMYFUNCTION("""COMPUTED_VALUE"""),"84")</f>
        <v>84</v>
      </c>
      <c r="C4876" s="6" t="str">
        <f>IFERROR(__xludf.DUMMYFUNCTION("""COMPUTED_VALUE"""),"13238")</f>
        <v>13238</v>
      </c>
      <c r="D4876" s="6" t="str">
        <f>IFERROR(__xludf.DUMMYFUNCTION("""COMPUTED_VALUE"""),"Alison")</f>
        <v>Alison</v>
      </c>
      <c r="E4876" s="6" t="str">
        <f>IFERROR(__xludf.DUMMYFUNCTION("""COMPUTED_VALUE"""),"")</f>
        <v/>
      </c>
      <c r="F4876" s="6" t="str">
        <f>IFERROR(__xludf.DUMMYFUNCTION("""COMPUTED_VALUE"""),"Villatoro")</f>
        <v>Villatoro</v>
      </c>
      <c r="G4876" s="6" t="str">
        <f>IFERROR(__xludf.DUMMYFUNCTION("""COMPUTED_VALUE"""),"07/27/2012")</f>
        <v>07/27/2012</v>
      </c>
      <c r="H4876" s="6" t="str">
        <f>IFERROR(__xludf.DUMMYFUNCTION("""COMPUTED_VALUE"""),"male")</f>
        <v>male</v>
      </c>
      <c r="I4876" s="6" t="str">
        <f>IFERROR(__xludf.DUMMYFUNCTION("""COMPUTED_VALUE"""),"Middle School")</f>
        <v>Middle School</v>
      </c>
      <c r="J4876" s="6" t="str">
        <f>IFERROR(__xludf.DUMMYFUNCTION("""COMPUTED_VALUE"""),"8")</f>
        <v>8</v>
      </c>
      <c r="K4876" s="6" t="str">
        <f>IFERROR(__xludf.DUMMYFUNCTION("""COMPUTED_VALUE"""),"alison.villatoro@2hourlearning.com")</f>
        <v>alison.villatoro@2hourlearning.com</v>
      </c>
      <c r="L4876" s="6" t="str">
        <f>IFERROR(__xludf.DUMMYFUNCTION("""COMPUTED_VALUE"""),"JHMS - Hardeeville Junior Senior High School")</f>
        <v>JHMS - Hardeeville Junior Senior High School</v>
      </c>
      <c r="M4876" s="6" t="str">
        <f>IFERROR(__xludf.DUMMYFUNCTION("""COMPUTED_VALUE"""),"")</f>
        <v/>
      </c>
      <c r="N4876" s="6" t="str">
        <f>IFERROR(__xludf.DUMMYFUNCTION("""COMPUTED_VALUE"""),"")</f>
        <v/>
      </c>
      <c r="O4876" s="87" t="str">
        <f>IFERROR(__xludf.DUMMYFUNCTION("""COMPUTED_VALUE"""),"https://drive.google.com/drive/folders/10T2cTQHqEJZqE-st6uFKPoI?usp=share_link")</f>
        <v>https://drive.google.com/drive/folders/10T2cTQHqEJZqE-st6uFKPoI?usp=share_link</v>
      </c>
      <c r="P4876" s="6" t="str">
        <f>IFERROR(__xludf.DUMMYFUNCTION("""COMPUTED_VALUE"""),"Alison Villatoro")</f>
        <v>Alison Villatoro</v>
      </c>
      <c r="Q4876" s="6" t="str">
        <f>IFERROR(__xludf.DUMMYFUNCTION("""COMPUTED_VALUE"""),"MS")</f>
        <v>MS</v>
      </c>
      <c r="R4876" s="6">
        <f>IFERROR(__xludf.DUMMYFUNCTION("""COMPUTED_VALUE"""),0.0)</f>
        <v>0</v>
      </c>
      <c r="S4876" s="6" t="str">
        <f>IFERROR(__xludf.DUMMYFUNCTION("""COMPUTED_VALUE"""),"Kimberly Ball")</f>
        <v>Kimberly Ball</v>
      </c>
      <c r="T4876" s="6" t="str">
        <f>IFERROR(__xludf.DUMMYFUNCTION("""COMPUTED_VALUE"""),"kimberly.ball@studient.com")</f>
        <v>kimberly.ball@studient.com</v>
      </c>
      <c r="U4876" s="6" t="str">
        <f>IFERROR(__xludf.DUMMYFUNCTION("""COMPUTED_VALUE"""),"8")</f>
        <v>8</v>
      </c>
      <c r="V4876" s="6" t="str">
        <f>IFERROR(__xludf.DUMMYFUNCTION("""COMPUTED_VALUE"""),"")</f>
        <v/>
      </c>
      <c r="W4876" s="6" t="str">
        <f>IFERROR(__xludf.DUMMYFUNCTION("""COMPUTED_VALUE"""),"[]")</f>
        <v>[]</v>
      </c>
      <c r="X4876" s="6" t="str">
        <f>IFERROR(__xludf.DUMMYFUNCTION("""COMPUTED_VALUE"""),"Enrolled")</f>
        <v>Enrolled</v>
      </c>
    </row>
    <row r="4877">
      <c r="A4877" s="6" t="str">
        <f>IFERROR(__xludf.DUMMYFUNCTION("""COMPUTED_VALUE"""),"084-13239")</f>
        <v>084-13239</v>
      </c>
      <c r="B4877" s="6" t="str">
        <f>IFERROR(__xludf.DUMMYFUNCTION("""COMPUTED_VALUE"""),"84")</f>
        <v>84</v>
      </c>
      <c r="C4877" s="6" t="str">
        <f>IFERROR(__xludf.DUMMYFUNCTION("""COMPUTED_VALUE"""),"13239")</f>
        <v>13239</v>
      </c>
      <c r="D4877" s="6" t="str">
        <f>IFERROR(__xludf.DUMMYFUNCTION("""COMPUTED_VALUE"""),"Mateo")</f>
        <v>Mateo</v>
      </c>
      <c r="E4877" s="6" t="str">
        <f>IFERROR(__xludf.DUMMYFUNCTION("""COMPUTED_VALUE"""),"")</f>
        <v/>
      </c>
      <c r="F4877" s="6" t="str">
        <f>IFERROR(__xludf.DUMMYFUNCTION("""COMPUTED_VALUE"""),"Villegas-Puga")</f>
        <v>Villegas-Puga</v>
      </c>
      <c r="G4877" s="6" t="str">
        <f>IFERROR(__xludf.DUMMYFUNCTION("""COMPUTED_VALUE"""),"11/28/2011")</f>
        <v>11/28/2011</v>
      </c>
      <c r="H4877" s="6" t="str">
        <f>IFERROR(__xludf.DUMMYFUNCTION("""COMPUTED_VALUE"""),"female")</f>
        <v>female</v>
      </c>
      <c r="I4877" s="6" t="str">
        <f>IFERROR(__xludf.DUMMYFUNCTION("""COMPUTED_VALUE"""),"Middle School")</f>
        <v>Middle School</v>
      </c>
      <c r="J4877" s="6" t="str">
        <f>IFERROR(__xludf.DUMMYFUNCTION("""COMPUTED_VALUE"""),"8")</f>
        <v>8</v>
      </c>
      <c r="K4877" s="6" t="str">
        <f>IFERROR(__xludf.DUMMYFUNCTION("""COMPUTED_VALUE"""),"mateo.villegas-puga@2hourlearning.com")</f>
        <v>mateo.villegas-puga@2hourlearning.com</v>
      </c>
      <c r="L4877" s="6" t="str">
        <f>IFERROR(__xludf.DUMMYFUNCTION("""COMPUTED_VALUE"""),"JHMS - Hardeeville Junior Senior High School")</f>
        <v>JHMS - Hardeeville Junior Senior High School</v>
      </c>
      <c r="M4877" s="6" t="str">
        <f>IFERROR(__xludf.DUMMYFUNCTION("""COMPUTED_VALUE"""),"")</f>
        <v/>
      </c>
      <c r="N4877" s="6" t="str">
        <f>IFERROR(__xludf.DUMMYFUNCTION("""COMPUTED_VALUE"""),"")</f>
        <v/>
      </c>
      <c r="O4877" s="87" t="str">
        <f>IFERROR(__xludf.DUMMYFUNCTION("""COMPUTED_VALUE"""),"https://drive.google.com/drive/folders/10T2cTQHqEJZqE-st6uFKPoI?usp=share_link")</f>
        <v>https://drive.google.com/drive/folders/10T2cTQHqEJZqE-st6uFKPoI?usp=share_link</v>
      </c>
      <c r="P4877" s="6" t="str">
        <f>IFERROR(__xludf.DUMMYFUNCTION("""COMPUTED_VALUE"""),"Mateo Villegas-Puga")</f>
        <v>Mateo Villegas-Puga</v>
      </c>
      <c r="Q4877" s="6" t="str">
        <f>IFERROR(__xludf.DUMMYFUNCTION("""COMPUTED_VALUE"""),"MS")</f>
        <v>MS</v>
      </c>
      <c r="R4877" s="6">
        <f>IFERROR(__xludf.DUMMYFUNCTION("""COMPUTED_VALUE"""),0.0)</f>
        <v>0</v>
      </c>
      <c r="S4877" s="6" t="str">
        <f>IFERROR(__xludf.DUMMYFUNCTION("""COMPUTED_VALUE"""),"Kimberly Ball")</f>
        <v>Kimberly Ball</v>
      </c>
      <c r="T4877" s="6" t="str">
        <f>IFERROR(__xludf.DUMMYFUNCTION("""COMPUTED_VALUE"""),"kimberly.ball@studient.com")</f>
        <v>kimberly.ball@studient.com</v>
      </c>
      <c r="U4877" s="6" t="str">
        <f>IFERROR(__xludf.DUMMYFUNCTION("""COMPUTED_VALUE"""),"8")</f>
        <v>8</v>
      </c>
      <c r="V4877" s="6" t="str">
        <f>IFERROR(__xludf.DUMMYFUNCTION("""COMPUTED_VALUE"""),"")</f>
        <v/>
      </c>
      <c r="W4877" s="6" t="str">
        <f>IFERROR(__xludf.DUMMYFUNCTION("""COMPUTED_VALUE"""),"[]")</f>
        <v>[]</v>
      </c>
      <c r="X4877" s="6" t="str">
        <f>IFERROR(__xludf.DUMMYFUNCTION("""COMPUTED_VALUE"""),"Enrolled")</f>
        <v>Enrolled</v>
      </c>
    </row>
    <row r="4878">
      <c r="A4878" s="6" t="str">
        <f>IFERROR(__xludf.DUMMYFUNCTION("""COMPUTED_VALUE"""),"084-13240")</f>
        <v>084-13240</v>
      </c>
      <c r="B4878" s="6" t="str">
        <f>IFERROR(__xludf.DUMMYFUNCTION("""COMPUTED_VALUE"""),"84")</f>
        <v>84</v>
      </c>
      <c r="C4878" s="6" t="str">
        <f>IFERROR(__xludf.DUMMYFUNCTION("""COMPUTED_VALUE"""),"13240")</f>
        <v>13240</v>
      </c>
      <c r="D4878" s="6" t="str">
        <f>IFERROR(__xludf.DUMMYFUNCTION("""COMPUTED_VALUE"""),"Jamarie")</f>
        <v>Jamarie</v>
      </c>
      <c r="E4878" s="6" t="str">
        <f>IFERROR(__xludf.DUMMYFUNCTION("""COMPUTED_VALUE"""),"")</f>
        <v/>
      </c>
      <c r="F4878" s="6" t="str">
        <f>IFERROR(__xludf.DUMMYFUNCTION("""COMPUTED_VALUE"""),"Williams")</f>
        <v>Williams</v>
      </c>
      <c r="G4878" s="6" t="str">
        <f>IFERROR(__xludf.DUMMYFUNCTION("""COMPUTED_VALUE"""),"06/24/2011")</f>
        <v>06/24/2011</v>
      </c>
      <c r="H4878" s="6" t="str">
        <f>IFERROR(__xludf.DUMMYFUNCTION("""COMPUTED_VALUE"""),"female")</f>
        <v>female</v>
      </c>
      <c r="I4878" s="6" t="str">
        <f>IFERROR(__xludf.DUMMYFUNCTION("""COMPUTED_VALUE"""),"Middle School")</f>
        <v>Middle School</v>
      </c>
      <c r="J4878" s="6" t="str">
        <f>IFERROR(__xludf.DUMMYFUNCTION("""COMPUTED_VALUE"""),"8")</f>
        <v>8</v>
      </c>
      <c r="K4878" s="6" t="str">
        <f>IFERROR(__xludf.DUMMYFUNCTION("""COMPUTED_VALUE"""),"jamarie.williams@2hourlearning.com")</f>
        <v>jamarie.williams@2hourlearning.com</v>
      </c>
      <c r="L4878" s="6" t="str">
        <f>IFERROR(__xludf.DUMMYFUNCTION("""COMPUTED_VALUE"""),"JHMS - Hardeeville Junior Senior High School")</f>
        <v>JHMS - Hardeeville Junior Senior High School</v>
      </c>
      <c r="M4878" s="6" t="str">
        <f>IFERROR(__xludf.DUMMYFUNCTION("""COMPUTED_VALUE"""),"")</f>
        <v/>
      </c>
      <c r="N4878" s="6" t="str">
        <f>IFERROR(__xludf.DUMMYFUNCTION("""COMPUTED_VALUE"""),"")</f>
        <v/>
      </c>
      <c r="O4878" s="87" t="str">
        <f>IFERROR(__xludf.DUMMYFUNCTION("""COMPUTED_VALUE"""),"https://drive.google.com/drive/folders/10T2cTQHqEJZqE-st6uFKPoI?usp=share_link")</f>
        <v>https://drive.google.com/drive/folders/10T2cTQHqEJZqE-st6uFKPoI?usp=share_link</v>
      </c>
      <c r="P4878" s="6" t="str">
        <f>IFERROR(__xludf.DUMMYFUNCTION("""COMPUTED_VALUE"""),"Jamarie Williams")</f>
        <v>Jamarie Williams</v>
      </c>
      <c r="Q4878" s="6" t="str">
        <f>IFERROR(__xludf.DUMMYFUNCTION("""COMPUTED_VALUE"""),"MS")</f>
        <v>MS</v>
      </c>
      <c r="R4878" s="6">
        <f>IFERROR(__xludf.DUMMYFUNCTION("""COMPUTED_VALUE"""),0.0)</f>
        <v>0</v>
      </c>
      <c r="S4878" s="6" t="str">
        <f>IFERROR(__xludf.DUMMYFUNCTION("""COMPUTED_VALUE"""),"Kimberly Ball")</f>
        <v>Kimberly Ball</v>
      </c>
      <c r="T4878" s="6" t="str">
        <f>IFERROR(__xludf.DUMMYFUNCTION("""COMPUTED_VALUE"""),"kimberly.ball@studient.com")</f>
        <v>kimberly.ball@studient.com</v>
      </c>
      <c r="U4878" s="6" t="str">
        <f>IFERROR(__xludf.DUMMYFUNCTION("""COMPUTED_VALUE"""),"8")</f>
        <v>8</v>
      </c>
      <c r="V4878" s="6" t="str">
        <f>IFERROR(__xludf.DUMMYFUNCTION("""COMPUTED_VALUE"""),"")</f>
        <v/>
      </c>
      <c r="W4878" s="6" t="str">
        <f>IFERROR(__xludf.DUMMYFUNCTION("""COMPUTED_VALUE"""),"[]")</f>
        <v>[]</v>
      </c>
      <c r="X4878" s="6" t="str">
        <f>IFERROR(__xludf.DUMMYFUNCTION("""COMPUTED_VALUE"""),"Enrolled")</f>
        <v>Enrolled</v>
      </c>
    </row>
    <row r="4879">
      <c r="A4879" s="6" t="str">
        <f>IFERROR(__xludf.DUMMYFUNCTION("""COMPUTED_VALUE"""),"084-13241")</f>
        <v>084-13241</v>
      </c>
      <c r="B4879" s="6" t="str">
        <f>IFERROR(__xludf.DUMMYFUNCTION("""COMPUTED_VALUE"""),"84")</f>
        <v>84</v>
      </c>
      <c r="C4879" s="6" t="str">
        <f>IFERROR(__xludf.DUMMYFUNCTION("""COMPUTED_VALUE"""),"13241")</f>
        <v>13241</v>
      </c>
      <c r="D4879" s="6" t="str">
        <f>IFERROR(__xludf.DUMMYFUNCTION("""COMPUTED_VALUE"""),"Nathaniel")</f>
        <v>Nathaniel</v>
      </c>
      <c r="E4879" s="6" t="str">
        <f>IFERROR(__xludf.DUMMYFUNCTION("""COMPUTED_VALUE"""),"")</f>
        <v/>
      </c>
      <c r="F4879" s="6" t="str">
        <f>IFERROR(__xludf.DUMMYFUNCTION("""COMPUTED_VALUE"""),"York")</f>
        <v>York</v>
      </c>
      <c r="G4879" s="6" t="str">
        <f>IFERROR(__xludf.DUMMYFUNCTION("""COMPUTED_VALUE"""),"04/11/2012")</f>
        <v>04/11/2012</v>
      </c>
      <c r="H4879" s="6" t="str">
        <f>IFERROR(__xludf.DUMMYFUNCTION("""COMPUTED_VALUE"""),"female")</f>
        <v>female</v>
      </c>
      <c r="I4879" s="6" t="str">
        <f>IFERROR(__xludf.DUMMYFUNCTION("""COMPUTED_VALUE"""),"Middle School")</f>
        <v>Middle School</v>
      </c>
      <c r="J4879" s="6" t="str">
        <f>IFERROR(__xludf.DUMMYFUNCTION("""COMPUTED_VALUE"""),"8")</f>
        <v>8</v>
      </c>
      <c r="K4879" s="6" t="str">
        <f>IFERROR(__xludf.DUMMYFUNCTION("""COMPUTED_VALUE"""),"nathaniel.york@2hourlearning.com")</f>
        <v>nathaniel.york@2hourlearning.com</v>
      </c>
      <c r="L4879" s="6" t="str">
        <f>IFERROR(__xludf.DUMMYFUNCTION("""COMPUTED_VALUE"""),"JHMS - Hardeeville Junior Senior High School")</f>
        <v>JHMS - Hardeeville Junior Senior High School</v>
      </c>
      <c r="M4879" s="6" t="str">
        <f>IFERROR(__xludf.DUMMYFUNCTION("""COMPUTED_VALUE"""),"")</f>
        <v/>
      </c>
      <c r="N4879" s="6" t="str">
        <f>IFERROR(__xludf.DUMMYFUNCTION("""COMPUTED_VALUE"""),"")</f>
        <v/>
      </c>
      <c r="O4879" s="87" t="str">
        <f>IFERROR(__xludf.DUMMYFUNCTION("""COMPUTED_VALUE"""),"https://drive.google.com/drive/folders/10T2cTQHqEJZqE-st6uFKPoI?usp=share_link")</f>
        <v>https://drive.google.com/drive/folders/10T2cTQHqEJZqE-st6uFKPoI?usp=share_link</v>
      </c>
      <c r="P4879" s="6" t="str">
        <f>IFERROR(__xludf.DUMMYFUNCTION("""COMPUTED_VALUE"""),"Nathaniel York")</f>
        <v>Nathaniel York</v>
      </c>
      <c r="Q4879" s="6" t="str">
        <f>IFERROR(__xludf.DUMMYFUNCTION("""COMPUTED_VALUE"""),"MS")</f>
        <v>MS</v>
      </c>
      <c r="R4879" s="6">
        <f>IFERROR(__xludf.DUMMYFUNCTION("""COMPUTED_VALUE"""),0.0)</f>
        <v>0</v>
      </c>
      <c r="S4879" s="6" t="str">
        <f>IFERROR(__xludf.DUMMYFUNCTION("""COMPUTED_VALUE"""),"Kimberly Ball")</f>
        <v>Kimberly Ball</v>
      </c>
      <c r="T4879" s="6" t="str">
        <f>IFERROR(__xludf.DUMMYFUNCTION("""COMPUTED_VALUE"""),"kimberly.ball@studient.com")</f>
        <v>kimberly.ball@studient.com</v>
      </c>
      <c r="U4879" s="6" t="str">
        <f>IFERROR(__xludf.DUMMYFUNCTION("""COMPUTED_VALUE"""),"8")</f>
        <v>8</v>
      </c>
      <c r="V4879" s="6" t="str">
        <f>IFERROR(__xludf.DUMMYFUNCTION("""COMPUTED_VALUE"""),"")</f>
        <v/>
      </c>
      <c r="W4879" s="6" t="str">
        <f>IFERROR(__xludf.DUMMYFUNCTION("""COMPUTED_VALUE"""),"[]")</f>
        <v>[]</v>
      </c>
      <c r="X4879" s="6" t="str">
        <f>IFERROR(__xludf.DUMMYFUNCTION("""COMPUTED_VALUE"""),"Enrolled")</f>
        <v>Enrolled</v>
      </c>
    </row>
    <row r="4880">
      <c r="A4880" s="6" t="str">
        <f>IFERROR(__xludf.DUMMYFUNCTION("""COMPUTED_VALUE"""),"084-13298")</f>
        <v>084-13298</v>
      </c>
      <c r="B4880" s="6" t="str">
        <f>IFERROR(__xludf.DUMMYFUNCTION("""COMPUTED_VALUE"""),"84")</f>
        <v>84</v>
      </c>
      <c r="C4880" s="6" t="str">
        <f>IFERROR(__xludf.DUMMYFUNCTION("""COMPUTED_VALUE"""),"13298")</f>
        <v>13298</v>
      </c>
      <c r="D4880" s="6" t="str">
        <f>IFERROR(__xludf.DUMMYFUNCTION("""COMPUTED_VALUE"""),"Sharon")</f>
        <v>Sharon</v>
      </c>
      <c r="E4880" s="6" t="str">
        <f>IFERROR(__xludf.DUMMYFUNCTION("""COMPUTED_VALUE"""),"")</f>
        <v/>
      </c>
      <c r="F4880" s="6" t="str">
        <f>IFERROR(__xludf.DUMMYFUNCTION("""COMPUTED_VALUE"""),"Garcia Rodriguez")</f>
        <v>Garcia Rodriguez</v>
      </c>
      <c r="G4880" s="6" t="str">
        <f>IFERROR(__xludf.DUMMYFUNCTION("""COMPUTED_VALUE"""),"12/28/2013")</f>
        <v>12/28/2013</v>
      </c>
      <c r="H4880" s="6" t="str">
        <f>IFERROR(__xludf.DUMMYFUNCTION("""COMPUTED_VALUE"""),"female")</f>
        <v>female</v>
      </c>
      <c r="I4880" s="6" t="str">
        <f>IFERROR(__xludf.DUMMYFUNCTION("""COMPUTED_VALUE"""),"Middle School")</f>
        <v>Middle School</v>
      </c>
      <c r="J4880" s="6" t="str">
        <f>IFERROR(__xludf.DUMMYFUNCTION("""COMPUTED_VALUE"""),"6")</f>
        <v>6</v>
      </c>
      <c r="K4880" s="6" t="str">
        <f>IFERROR(__xludf.DUMMYFUNCTION("""COMPUTED_VALUE"""),"sharon.garciarodriguez2@2hourlearning.com")</f>
        <v>sharon.garciarodriguez2@2hourlearning.com</v>
      </c>
      <c r="L4880" s="6" t="str">
        <f>IFERROR(__xludf.DUMMYFUNCTION("""COMPUTED_VALUE"""),"JHMS - Hardeeville Junior Senior High School")</f>
        <v>JHMS - Hardeeville Junior Senior High School</v>
      </c>
      <c r="M4880" s="6" t="str">
        <f>IFERROR(__xludf.DUMMYFUNCTION("""COMPUTED_VALUE"""),"")</f>
        <v/>
      </c>
      <c r="N4880" s="6" t="str">
        <f>IFERROR(__xludf.DUMMYFUNCTION("""COMPUTED_VALUE"""),"")</f>
        <v/>
      </c>
      <c r="O4880" s="87" t="str">
        <f>IFERROR(__xludf.DUMMYFUNCTION("""COMPUTED_VALUE"""),"https://drive.google.com/drive/folders/10T2cTQHqEJZqE-st6uFKPoI?usp=share_link")</f>
        <v>https://drive.google.com/drive/folders/10T2cTQHqEJZqE-st6uFKPoI?usp=share_link</v>
      </c>
      <c r="P4880" s="6" t="str">
        <f>IFERROR(__xludf.DUMMYFUNCTION("""COMPUTED_VALUE"""),"Sharon Garcia Rodriguez")</f>
        <v>Sharon Garcia Rodriguez</v>
      </c>
      <c r="Q4880" s="6" t="str">
        <f>IFERROR(__xludf.DUMMYFUNCTION("""COMPUTED_VALUE"""),"MS")</f>
        <v>MS</v>
      </c>
      <c r="R4880" s="6">
        <f>IFERROR(__xludf.DUMMYFUNCTION("""COMPUTED_VALUE"""),0.0)</f>
        <v>0</v>
      </c>
      <c r="S4880" s="6" t="str">
        <f>IFERROR(__xludf.DUMMYFUNCTION("""COMPUTED_VALUE"""),"Kimberly Ball")</f>
        <v>Kimberly Ball</v>
      </c>
      <c r="T4880" s="6" t="str">
        <f>IFERROR(__xludf.DUMMYFUNCTION("""COMPUTED_VALUE"""),"kimberly.ball@studient.com")</f>
        <v>kimberly.ball@studient.com</v>
      </c>
      <c r="U4880" s="6" t="str">
        <f>IFERROR(__xludf.DUMMYFUNCTION("""COMPUTED_VALUE"""),"6")</f>
        <v>6</v>
      </c>
      <c r="V4880" s="6" t="str">
        <f>IFERROR(__xludf.DUMMYFUNCTION("""COMPUTED_VALUE"""),"")</f>
        <v/>
      </c>
      <c r="W4880" s="6" t="str">
        <f>IFERROR(__xludf.DUMMYFUNCTION("""COMPUTED_VALUE"""),"[]")</f>
        <v>[]</v>
      </c>
      <c r="X4880" s="6" t="str">
        <f>IFERROR(__xludf.DUMMYFUNCTION("""COMPUTED_VALUE"""),"Enrolled")</f>
        <v>Enrolled</v>
      </c>
    </row>
    <row r="4881">
      <c r="A4881" s="6" t="str">
        <f>IFERROR(__xludf.DUMMYFUNCTION("""COMPUTED_VALUE"""),"085-11920")</f>
        <v>085-11920</v>
      </c>
      <c r="B4881" s="6" t="str">
        <f>IFERROR(__xludf.DUMMYFUNCTION("""COMPUTED_VALUE"""),"85")</f>
        <v>85</v>
      </c>
      <c r="C4881" s="6" t="str">
        <f>IFERROR(__xludf.DUMMYFUNCTION("""COMPUTED_VALUE"""),"11920")</f>
        <v>11920</v>
      </c>
      <c r="D4881" s="6" t="str">
        <f>IFERROR(__xludf.DUMMYFUNCTION("""COMPUTED_VALUE"""),"Sincere")</f>
        <v>Sincere</v>
      </c>
      <c r="E4881" s="6" t="str">
        <f>IFERROR(__xludf.DUMMYFUNCTION("""COMPUTED_VALUE"""),"")</f>
        <v/>
      </c>
      <c r="F4881" s="6" t="str">
        <f>IFERROR(__xludf.DUMMYFUNCTION("""COMPUTED_VALUE"""),"Allen")</f>
        <v>Allen</v>
      </c>
      <c r="G4881" s="6" t="str">
        <f>IFERROR(__xludf.DUMMYFUNCTION("""COMPUTED_VALUE"""),"03/05/2014")</f>
        <v>03/05/2014</v>
      </c>
      <c r="H4881" s="6" t="str">
        <f>IFERROR(__xludf.DUMMYFUNCTION("""COMPUTED_VALUE"""),"male")</f>
        <v>male</v>
      </c>
      <c r="I4881" s="6" t="str">
        <f>IFERROR(__xludf.DUMMYFUNCTION("""COMPUTED_VALUE"""),"Middle School")</f>
        <v>Middle School</v>
      </c>
      <c r="J4881" s="6" t="str">
        <f>IFERROR(__xludf.DUMMYFUNCTION("""COMPUTED_VALUE"""),"6")</f>
        <v>6</v>
      </c>
      <c r="K4881" s="6" t="str">
        <f>IFERROR(__xludf.DUMMYFUNCTION("""COMPUTED_VALUE"""),"sincere.allen@2hourlearning.com")</f>
        <v>sincere.allen@2hourlearning.com</v>
      </c>
      <c r="L4881" s="6" t="str">
        <f>IFERROR(__xludf.DUMMYFUNCTION("""COMPUTED_VALUE"""),"AFMS - Allendale Fairfax Middle School")</f>
        <v>AFMS - Allendale Fairfax Middle School</v>
      </c>
      <c r="M4881" s="6" t="str">
        <f>IFERROR(__xludf.DUMMYFUNCTION("""COMPUTED_VALUE"""),"")</f>
        <v/>
      </c>
      <c r="N4881" s="6" t="str">
        <f>IFERROR(__xludf.DUMMYFUNCTION("""COMPUTED_VALUE"""),"")</f>
        <v/>
      </c>
      <c r="O4881" s="87" t="str">
        <f>IFERROR(__xludf.DUMMYFUNCTION("""COMPUTED_VALUE"""),"https://drive.google.com/drive/folders/10T2cTQHqEJZqE-st6uFKPoI?usp=share_link")</f>
        <v>https://drive.google.com/drive/folders/10T2cTQHqEJZqE-st6uFKPoI?usp=share_link</v>
      </c>
      <c r="P4881" s="6" t="str">
        <f>IFERROR(__xludf.DUMMYFUNCTION("""COMPUTED_VALUE"""),"Sincere Allen")</f>
        <v>Sincere Allen</v>
      </c>
      <c r="Q4881" s="6" t="str">
        <f>IFERROR(__xludf.DUMMYFUNCTION("""COMPUTED_VALUE"""),"MS")</f>
        <v>MS</v>
      </c>
      <c r="R4881" s="6">
        <f>IFERROR(__xludf.DUMMYFUNCTION("""COMPUTED_VALUE"""),0.0)</f>
        <v>0</v>
      </c>
      <c r="S4881" s="6" t="str">
        <f>IFERROR(__xludf.DUMMYFUNCTION("""COMPUTED_VALUE"""),"Kimberly Ball")</f>
        <v>Kimberly Ball</v>
      </c>
      <c r="T4881" s="6" t="str">
        <f>IFERROR(__xludf.DUMMYFUNCTION("""COMPUTED_VALUE"""),"kimberly.ball@studient.com")</f>
        <v>kimberly.ball@studient.com</v>
      </c>
      <c r="U4881" s="6" t="str">
        <f>IFERROR(__xludf.DUMMYFUNCTION("""COMPUTED_VALUE"""),"6")</f>
        <v>6</v>
      </c>
      <c r="V4881" s="6" t="str">
        <f>IFERROR(__xludf.DUMMYFUNCTION("""COMPUTED_VALUE"""),"")</f>
        <v/>
      </c>
      <c r="W4881" s="6" t="str">
        <f>IFERROR(__xludf.DUMMYFUNCTION("""COMPUTED_VALUE"""),"[]")</f>
        <v>[]</v>
      </c>
      <c r="X4881" s="6" t="str">
        <f>IFERROR(__xludf.DUMMYFUNCTION("""COMPUTED_VALUE"""),"Enrolled")</f>
        <v>Enrolled</v>
      </c>
    </row>
    <row r="4882">
      <c r="A4882" s="6" t="str">
        <f>IFERROR(__xludf.DUMMYFUNCTION("""COMPUTED_VALUE"""),"085-11921")</f>
        <v>085-11921</v>
      </c>
      <c r="B4882" s="6" t="str">
        <f>IFERROR(__xludf.DUMMYFUNCTION("""COMPUTED_VALUE"""),"85")</f>
        <v>85</v>
      </c>
      <c r="C4882" s="6" t="str">
        <f>IFERROR(__xludf.DUMMYFUNCTION("""COMPUTED_VALUE"""),"11921")</f>
        <v>11921</v>
      </c>
      <c r="D4882" s="6" t="str">
        <f>IFERROR(__xludf.DUMMYFUNCTION("""COMPUTED_VALUE"""),"Gauge")</f>
        <v>Gauge</v>
      </c>
      <c r="E4882" s="6" t="str">
        <f>IFERROR(__xludf.DUMMYFUNCTION("""COMPUTED_VALUE"""),"")</f>
        <v/>
      </c>
      <c r="F4882" s="6" t="str">
        <f>IFERROR(__xludf.DUMMYFUNCTION("""COMPUTED_VALUE"""),"Ayer")</f>
        <v>Ayer</v>
      </c>
      <c r="G4882" s="6" t="str">
        <f>IFERROR(__xludf.DUMMYFUNCTION("""COMPUTED_VALUE"""),"08/08/2014")</f>
        <v>08/08/2014</v>
      </c>
      <c r="H4882" s="6" t="str">
        <f>IFERROR(__xludf.DUMMYFUNCTION("""COMPUTED_VALUE"""),"male")</f>
        <v>male</v>
      </c>
      <c r="I4882" s="6" t="str">
        <f>IFERROR(__xludf.DUMMYFUNCTION("""COMPUTED_VALUE"""),"Middle School")</f>
        <v>Middle School</v>
      </c>
      <c r="J4882" s="6" t="str">
        <f>IFERROR(__xludf.DUMMYFUNCTION("""COMPUTED_VALUE"""),"6")</f>
        <v>6</v>
      </c>
      <c r="K4882" s="6" t="str">
        <f>IFERROR(__xludf.DUMMYFUNCTION("""COMPUTED_VALUE"""),"gauge.ayer@2hourlearning.com")</f>
        <v>gauge.ayer@2hourlearning.com</v>
      </c>
      <c r="L4882" s="6" t="str">
        <f>IFERROR(__xludf.DUMMYFUNCTION("""COMPUTED_VALUE"""),"AFMS - Allendale Fairfax Middle School")</f>
        <v>AFMS - Allendale Fairfax Middle School</v>
      </c>
      <c r="M4882" s="6" t="str">
        <f>IFERROR(__xludf.DUMMYFUNCTION("""COMPUTED_VALUE"""),"")</f>
        <v/>
      </c>
      <c r="N4882" s="6" t="str">
        <f>IFERROR(__xludf.DUMMYFUNCTION("""COMPUTED_VALUE"""),"")</f>
        <v/>
      </c>
      <c r="O4882" s="87" t="str">
        <f>IFERROR(__xludf.DUMMYFUNCTION("""COMPUTED_VALUE"""),"https://drive.google.com/drive/folders/10T2cTQHqEJZqE-st6uFKPoI?usp=share_link")</f>
        <v>https://drive.google.com/drive/folders/10T2cTQHqEJZqE-st6uFKPoI?usp=share_link</v>
      </c>
      <c r="P4882" s="6" t="str">
        <f>IFERROR(__xludf.DUMMYFUNCTION("""COMPUTED_VALUE"""),"Gauge Ayer")</f>
        <v>Gauge Ayer</v>
      </c>
      <c r="Q4882" s="6" t="str">
        <f>IFERROR(__xludf.DUMMYFUNCTION("""COMPUTED_VALUE"""),"MS")</f>
        <v>MS</v>
      </c>
      <c r="R4882" s="6">
        <f>IFERROR(__xludf.DUMMYFUNCTION("""COMPUTED_VALUE"""),0.0)</f>
        <v>0</v>
      </c>
      <c r="S4882" s="6" t="str">
        <f>IFERROR(__xludf.DUMMYFUNCTION("""COMPUTED_VALUE"""),"Kimberly Ball")</f>
        <v>Kimberly Ball</v>
      </c>
      <c r="T4882" s="6" t="str">
        <f>IFERROR(__xludf.DUMMYFUNCTION("""COMPUTED_VALUE"""),"kimberly.ball@studient.com")</f>
        <v>kimberly.ball@studient.com</v>
      </c>
      <c r="U4882" s="6" t="str">
        <f>IFERROR(__xludf.DUMMYFUNCTION("""COMPUTED_VALUE"""),"6")</f>
        <v>6</v>
      </c>
      <c r="V4882" s="6" t="str">
        <f>IFERROR(__xludf.DUMMYFUNCTION("""COMPUTED_VALUE"""),"")</f>
        <v/>
      </c>
      <c r="W4882" s="6" t="str">
        <f>IFERROR(__xludf.DUMMYFUNCTION("""COMPUTED_VALUE"""),"[]")</f>
        <v>[]</v>
      </c>
      <c r="X4882" s="6" t="str">
        <f>IFERROR(__xludf.DUMMYFUNCTION("""COMPUTED_VALUE"""),"Enrolled")</f>
        <v>Enrolled</v>
      </c>
    </row>
    <row r="4883">
      <c r="A4883" s="6" t="str">
        <f>IFERROR(__xludf.DUMMYFUNCTION("""COMPUTED_VALUE"""),"085-11922")</f>
        <v>085-11922</v>
      </c>
      <c r="B4883" s="6" t="str">
        <f>IFERROR(__xludf.DUMMYFUNCTION("""COMPUTED_VALUE"""),"85")</f>
        <v>85</v>
      </c>
      <c r="C4883" s="6" t="str">
        <f>IFERROR(__xludf.DUMMYFUNCTION("""COMPUTED_VALUE"""),"11922")</f>
        <v>11922</v>
      </c>
      <c r="D4883" s="6" t="str">
        <f>IFERROR(__xludf.DUMMYFUNCTION("""COMPUTED_VALUE"""),"Kasani")</f>
        <v>Kasani</v>
      </c>
      <c r="E4883" s="6" t="str">
        <f>IFERROR(__xludf.DUMMYFUNCTION("""COMPUTED_VALUE"""),"")</f>
        <v/>
      </c>
      <c r="F4883" s="6" t="str">
        <f>IFERROR(__xludf.DUMMYFUNCTION("""COMPUTED_VALUE"""),"Bentley")</f>
        <v>Bentley</v>
      </c>
      <c r="G4883" s="6" t="str">
        <f>IFERROR(__xludf.DUMMYFUNCTION("""COMPUTED_VALUE"""),"12/19/2013")</f>
        <v>12/19/2013</v>
      </c>
      <c r="H4883" s="6" t="str">
        <f>IFERROR(__xludf.DUMMYFUNCTION("""COMPUTED_VALUE"""),"female")</f>
        <v>female</v>
      </c>
      <c r="I4883" s="6" t="str">
        <f>IFERROR(__xludf.DUMMYFUNCTION("""COMPUTED_VALUE"""),"Middle School")</f>
        <v>Middle School</v>
      </c>
      <c r="J4883" s="6" t="str">
        <f>IFERROR(__xludf.DUMMYFUNCTION("""COMPUTED_VALUE"""),"6")</f>
        <v>6</v>
      </c>
      <c r="K4883" s="6" t="str">
        <f>IFERROR(__xludf.DUMMYFUNCTION("""COMPUTED_VALUE"""),"kasani.bentley@2hourlearning.com")</f>
        <v>kasani.bentley@2hourlearning.com</v>
      </c>
      <c r="L4883" s="6" t="str">
        <f>IFERROR(__xludf.DUMMYFUNCTION("""COMPUTED_VALUE"""),"AFMS - Allendale Fairfax Middle School")</f>
        <v>AFMS - Allendale Fairfax Middle School</v>
      </c>
      <c r="M4883" s="6" t="str">
        <f>IFERROR(__xludf.DUMMYFUNCTION("""COMPUTED_VALUE"""),"")</f>
        <v/>
      </c>
      <c r="N4883" s="6" t="str">
        <f>IFERROR(__xludf.DUMMYFUNCTION("""COMPUTED_VALUE"""),"")</f>
        <v/>
      </c>
      <c r="O4883" s="87" t="str">
        <f>IFERROR(__xludf.DUMMYFUNCTION("""COMPUTED_VALUE"""),"https://drive.google.com/drive/folders/10T2cTQHqEJZqE-st6uFKPoI?usp=share_link")</f>
        <v>https://drive.google.com/drive/folders/10T2cTQHqEJZqE-st6uFKPoI?usp=share_link</v>
      </c>
      <c r="P4883" s="6" t="str">
        <f>IFERROR(__xludf.DUMMYFUNCTION("""COMPUTED_VALUE"""),"Kasani Bentley")</f>
        <v>Kasani Bentley</v>
      </c>
      <c r="Q4883" s="6" t="str">
        <f>IFERROR(__xludf.DUMMYFUNCTION("""COMPUTED_VALUE"""),"MS")</f>
        <v>MS</v>
      </c>
      <c r="R4883" s="6">
        <f>IFERROR(__xludf.DUMMYFUNCTION("""COMPUTED_VALUE"""),0.0)</f>
        <v>0</v>
      </c>
      <c r="S4883" s="6" t="str">
        <f>IFERROR(__xludf.DUMMYFUNCTION("""COMPUTED_VALUE"""),"Kimberly Ball")</f>
        <v>Kimberly Ball</v>
      </c>
      <c r="T4883" s="6" t="str">
        <f>IFERROR(__xludf.DUMMYFUNCTION("""COMPUTED_VALUE"""),"kimberly.ball@studient.com")</f>
        <v>kimberly.ball@studient.com</v>
      </c>
      <c r="U4883" s="6" t="str">
        <f>IFERROR(__xludf.DUMMYFUNCTION("""COMPUTED_VALUE"""),"6")</f>
        <v>6</v>
      </c>
      <c r="V4883" s="6" t="str">
        <f>IFERROR(__xludf.DUMMYFUNCTION("""COMPUTED_VALUE"""),"")</f>
        <v/>
      </c>
      <c r="W4883" s="6" t="str">
        <f>IFERROR(__xludf.DUMMYFUNCTION("""COMPUTED_VALUE"""),"[]")</f>
        <v>[]</v>
      </c>
      <c r="X4883" s="6" t="str">
        <f>IFERROR(__xludf.DUMMYFUNCTION("""COMPUTED_VALUE"""),"Enrolled")</f>
        <v>Enrolled</v>
      </c>
    </row>
    <row r="4884">
      <c r="A4884" s="6" t="str">
        <f>IFERROR(__xludf.DUMMYFUNCTION("""COMPUTED_VALUE"""),"085-11923")</f>
        <v>085-11923</v>
      </c>
      <c r="B4884" s="6" t="str">
        <f>IFERROR(__xludf.DUMMYFUNCTION("""COMPUTED_VALUE"""),"85")</f>
        <v>85</v>
      </c>
      <c r="C4884" s="6" t="str">
        <f>IFERROR(__xludf.DUMMYFUNCTION("""COMPUTED_VALUE"""),"11923")</f>
        <v>11923</v>
      </c>
      <c r="D4884" s="6" t="str">
        <f>IFERROR(__xludf.DUMMYFUNCTION("""COMPUTED_VALUE"""),"Jay'Len")</f>
        <v>Jay'Len</v>
      </c>
      <c r="E4884" s="6" t="str">
        <f>IFERROR(__xludf.DUMMYFUNCTION("""COMPUTED_VALUE"""),"")</f>
        <v/>
      </c>
      <c r="F4884" s="6" t="str">
        <f>IFERROR(__xludf.DUMMYFUNCTION("""COMPUTED_VALUE"""),"Bethea")</f>
        <v>Bethea</v>
      </c>
      <c r="G4884" s="6" t="str">
        <f>IFERROR(__xludf.DUMMYFUNCTION("""COMPUTED_VALUE"""),"09/17/2013")</f>
        <v>09/17/2013</v>
      </c>
      <c r="H4884" s="6" t="str">
        <f>IFERROR(__xludf.DUMMYFUNCTION("""COMPUTED_VALUE"""),"male")</f>
        <v>male</v>
      </c>
      <c r="I4884" s="6" t="str">
        <f>IFERROR(__xludf.DUMMYFUNCTION("""COMPUTED_VALUE"""),"Middle School")</f>
        <v>Middle School</v>
      </c>
      <c r="J4884" s="6" t="str">
        <f>IFERROR(__xludf.DUMMYFUNCTION("""COMPUTED_VALUE"""),"6")</f>
        <v>6</v>
      </c>
      <c r="K4884" s="6" t="str">
        <f>IFERROR(__xludf.DUMMYFUNCTION("""COMPUTED_VALUE"""),"jaylen.bethea@2hourlearning.com")</f>
        <v>jaylen.bethea@2hourlearning.com</v>
      </c>
      <c r="L4884" s="6" t="str">
        <f>IFERROR(__xludf.DUMMYFUNCTION("""COMPUTED_VALUE"""),"AFMS - Allendale Fairfax Middle School")</f>
        <v>AFMS - Allendale Fairfax Middle School</v>
      </c>
      <c r="M4884" s="6" t="str">
        <f>IFERROR(__xludf.DUMMYFUNCTION("""COMPUTED_VALUE"""),"")</f>
        <v/>
      </c>
      <c r="N4884" s="6" t="str">
        <f>IFERROR(__xludf.DUMMYFUNCTION("""COMPUTED_VALUE"""),"")</f>
        <v/>
      </c>
      <c r="O4884" s="87" t="str">
        <f>IFERROR(__xludf.DUMMYFUNCTION("""COMPUTED_VALUE"""),"https://drive.google.com/drive/folders/10T2cTQHqEJZqE-st6uFKPoI?usp=share_link")</f>
        <v>https://drive.google.com/drive/folders/10T2cTQHqEJZqE-st6uFKPoI?usp=share_link</v>
      </c>
      <c r="P4884" s="6" t="str">
        <f>IFERROR(__xludf.DUMMYFUNCTION("""COMPUTED_VALUE"""),"Jay'Len Bethea")</f>
        <v>Jay'Len Bethea</v>
      </c>
      <c r="Q4884" s="6" t="str">
        <f>IFERROR(__xludf.DUMMYFUNCTION("""COMPUTED_VALUE"""),"MS")</f>
        <v>MS</v>
      </c>
      <c r="R4884" s="6">
        <f>IFERROR(__xludf.DUMMYFUNCTION("""COMPUTED_VALUE"""),0.0)</f>
        <v>0</v>
      </c>
      <c r="S4884" s="6" t="str">
        <f>IFERROR(__xludf.DUMMYFUNCTION("""COMPUTED_VALUE"""),"Kimberly Ball")</f>
        <v>Kimberly Ball</v>
      </c>
      <c r="T4884" s="6" t="str">
        <f>IFERROR(__xludf.DUMMYFUNCTION("""COMPUTED_VALUE"""),"kimberly.ball@studient.com")</f>
        <v>kimberly.ball@studient.com</v>
      </c>
      <c r="U4884" s="6" t="str">
        <f>IFERROR(__xludf.DUMMYFUNCTION("""COMPUTED_VALUE"""),"6")</f>
        <v>6</v>
      </c>
      <c r="V4884" s="6" t="str">
        <f>IFERROR(__xludf.DUMMYFUNCTION("""COMPUTED_VALUE"""),"")</f>
        <v/>
      </c>
      <c r="W4884" s="6" t="str">
        <f>IFERROR(__xludf.DUMMYFUNCTION("""COMPUTED_VALUE"""),"[]")</f>
        <v>[]</v>
      </c>
      <c r="X4884" s="6" t="str">
        <f>IFERROR(__xludf.DUMMYFUNCTION("""COMPUTED_VALUE"""),"Enrolled")</f>
        <v>Enrolled</v>
      </c>
    </row>
    <row r="4885">
      <c r="A4885" s="6" t="str">
        <f>IFERROR(__xludf.DUMMYFUNCTION("""COMPUTED_VALUE"""),"085-11924")</f>
        <v>085-11924</v>
      </c>
      <c r="B4885" s="6" t="str">
        <f>IFERROR(__xludf.DUMMYFUNCTION("""COMPUTED_VALUE"""),"85")</f>
        <v>85</v>
      </c>
      <c r="C4885" s="6" t="str">
        <f>IFERROR(__xludf.DUMMYFUNCTION("""COMPUTED_VALUE"""),"11924")</f>
        <v>11924</v>
      </c>
      <c r="D4885" s="6" t="str">
        <f>IFERROR(__xludf.DUMMYFUNCTION("""COMPUTED_VALUE"""),"Markell")</f>
        <v>Markell</v>
      </c>
      <c r="E4885" s="6" t="str">
        <f>IFERROR(__xludf.DUMMYFUNCTION("""COMPUTED_VALUE"""),"")</f>
        <v/>
      </c>
      <c r="F4885" s="6" t="str">
        <f>IFERROR(__xludf.DUMMYFUNCTION("""COMPUTED_VALUE"""),"Bostick")</f>
        <v>Bostick</v>
      </c>
      <c r="G4885" s="6" t="str">
        <f>IFERROR(__xludf.DUMMYFUNCTION("""COMPUTED_VALUE"""),"01/24/2014")</f>
        <v>01/24/2014</v>
      </c>
      <c r="H4885" s="6" t="str">
        <f>IFERROR(__xludf.DUMMYFUNCTION("""COMPUTED_VALUE"""),"male")</f>
        <v>male</v>
      </c>
      <c r="I4885" s="6" t="str">
        <f>IFERROR(__xludf.DUMMYFUNCTION("""COMPUTED_VALUE"""),"Middle School")</f>
        <v>Middle School</v>
      </c>
      <c r="J4885" s="6" t="str">
        <f>IFERROR(__xludf.DUMMYFUNCTION("""COMPUTED_VALUE"""),"6")</f>
        <v>6</v>
      </c>
      <c r="K4885" s="6" t="str">
        <f>IFERROR(__xludf.DUMMYFUNCTION("""COMPUTED_VALUE"""),"markell.bostick@2hourlearning.com")</f>
        <v>markell.bostick@2hourlearning.com</v>
      </c>
      <c r="L4885" s="6" t="str">
        <f>IFERROR(__xludf.DUMMYFUNCTION("""COMPUTED_VALUE"""),"AFMS - Allendale Fairfax Middle School")</f>
        <v>AFMS - Allendale Fairfax Middle School</v>
      </c>
      <c r="M4885" s="6" t="str">
        <f>IFERROR(__xludf.DUMMYFUNCTION("""COMPUTED_VALUE"""),"")</f>
        <v/>
      </c>
      <c r="N4885" s="6" t="str">
        <f>IFERROR(__xludf.DUMMYFUNCTION("""COMPUTED_VALUE"""),"")</f>
        <v/>
      </c>
      <c r="O4885" s="87" t="str">
        <f>IFERROR(__xludf.DUMMYFUNCTION("""COMPUTED_VALUE"""),"https://drive.google.com/drive/folders/10T2cTQHqEJZqE-st6uFKPoI?usp=share_link")</f>
        <v>https://drive.google.com/drive/folders/10T2cTQHqEJZqE-st6uFKPoI?usp=share_link</v>
      </c>
      <c r="P4885" s="6" t="str">
        <f>IFERROR(__xludf.DUMMYFUNCTION("""COMPUTED_VALUE"""),"Markell Bostick")</f>
        <v>Markell Bostick</v>
      </c>
      <c r="Q4885" s="6" t="str">
        <f>IFERROR(__xludf.DUMMYFUNCTION("""COMPUTED_VALUE"""),"MS")</f>
        <v>MS</v>
      </c>
      <c r="R4885" s="6">
        <f>IFERROR(__xludf.DUMMYFUNCTION("""COMPUTED_VALUE"""),0.0)</f>
        <v>0</v>
      </c>
      <c r="S4885" s="6" t="str">
        <f>IFERROR(__xludf.DUMMYFUNCTION("""COMPUTED_VALUE"""),"Kimberly Ball")</f>
        <v>Kimberly Ball</v>
      </c>
      <c r="T4885" s="6" t="str">
        <f>IFERROR(__xludf.DUMMYFUNCTION("""COMPUTED_VALUE"""),"kimberly.ball@studient.com")</f>
        <v>kimberly.ball@studient.com</v>
      </c>
      <c r="U4885" s="6" t="str">
        <f>IFERROR(__xludf.DUMMYFUNCTION("""COMPUTED_VALUE"""),"6")</f>
        <v>6</v>
      </c>
      <c r="V4885" s="6" t="str">
        <f>IFERROR(__xludf.DUMMYFUNCTION("""COMPUTED_VALUE"""),"")</f>
        <v/>
      </c>
      <c r="W4885" s="6" t="str">
        <f>IFERROR(__xludf.DUMMYFUNCTION("""COMPUTED_VALUE"""),"[]")</f>
        <v>[]</v>
      </c>
      <c r="X4885" s="6" t="str">
        <f>IFERROR(__xludf.DUMMYFUNCTION("""COMPUTED_VALUE"""),"Enrolled")</f>
        <v>Enrolled</v>
      </c>
    </row>
    <row r="4886">
      <c r="A4886" s="6" t="str">
        <f>IFERROR(__xludf.DUMMYFUNCTION("""COMPUTED_VALUE"""),"085-11925")</f>
        <v>085-11925</v>
      </c>
      <c r="B4886" s="6" t="str">
        <f>IFERROR(__xludf.DUMMYFUNCTION("""COMPUTED_VALUE"""),"85")</f>
        <v>85</v>
      </c>
      <c r="C4886" s="6" t="str">
        <f>IFERROR(__xludf.DUMMYFUNCTION("""COMPUTED_VALUE"""),"11925")</f>
        <v>11925</v>
      </c>
      <c r="D4886" s="6" t="str">
        <f>IFERROR(__xludf.DUMMYFUNCTION("""COMPUTED_VALUE"""),"Phillip")</f>
        <v>Phillip</v>
      </c>
      <c r="E4886" s="6" t="str">
        <f>IFERROR(__xludf.DUMMYFUNCTION("""COMPUTED_VALUE"""),"")</f>
        <v/>
      </c>
      <c r="F4886" s="6" t="str">
        <f>IFERROR(__xludf.DUMMYFUNCTION("""COMPUTED_VALUE"""),"Brisbon")</f>
        <v>Brisbon</v>
      </c>
      <c r="G4886" s="6" t="str">
        <f>IFERROR(__xludf.DUMMYFUNCTION("""COMPUTED_VALUE"""),"05/02/2013")</f>
        <v>05/02/2013</v>
      </c>
      <c r="H4886" s="6" t="str">
        <f>IFERROR(__xludf.DUMMYFUNCTION("""COMPUTED_VALUE"""),"male")</f>
        <v>male</v>
      </c>
      <c r="I4886" s="6" t="str">
        <f>IFERROR(__xludf.DUMMYFUNCTION("""COMPUTED_VALUE"""),"Middle School")</f>
        <v>Middle School</v>
      </c>
      <c r="J4886" s="6" t="str">
        <f>IFERROR(__xludf.DUMMYFUNCTION("""COMPUTED_VALUE"""),"6")</f>
        <v>6</v>
      </c>
      <c r="K4886" s="6" t="str">
        <f>IFERROR(__xludf.DUMMYFUNCTION("""COMPUTED_VALUE"""),"phillip.brisbon@2hourlearning.com")</f>
        <v>phillip.brisbon@2hourlearning.com</v>
      </c>
      <c r="L4886" s="6" t="str">
        <f>IFERROR(__xludf.DUMMYFUNCTION("""COMPUTED_VALUE"""),"AFMS - Allendale Fairfax Middle School")</f>
        <v>AFMS - Allendale Fairfax Middle School</v>
      </c>
      <c r="M4886" s="6" t="str">
        <f>IFERROR(__xludf.DUMMYFUNCTION("""COMPUTED_VALUE"""),"")</f>
        <v/>
      </c>
      <c r="N4886" s="6" t="str">
        <f>IFERROR(__xludf.DUMMYFUNCTION("""COMPUTED_VALUE"""),"")</f>
        <v/>
      </c>
      <c r="O4886" s="87" t="str">
        <f>IFERROR(__xludf.DUMMYFUNCTION("""COMPUTED_VALUE"""),"https://drive.google.com/drive/folders/10T2cTQHqEJZqE-st6uFKPoI?usp=share_link")</f>
        <v>https://drive.google.com/drive/folders/10T2cTQHqEJZqE-st6uFKPoI?usp=share_link</v>
      </c>
      <c r="P4886" s="6" t="str">
        <f>IFERROR(__xludf.DUMMYFUNCTION("""COMPUTED_VALUE"""),"Phillip Brisbon")</f>
        <v>Phillip Brisbon</v>
      </c>
      <c r="Q4886" s="6" t="str">
        <f>IFERROR(__xludf.DUMMYFUNCTION("""COMPUTED_VALUE"""),"MS")</f>
        <v>MS</v>
      </c>
      <c r="R4886" s="6">
        <f>IFERROR(__xludf.DUMMYFUNCTION("""COMPUTED_VALUE"""),0.0)</f>
        <v>0</v>
      </c>
      <c r="S4886" s="6" t="str">
        <f>IFERROR(__xludf.DUMMYFUNCTION("""COMPUTED_VALUE"""),"Kimberly Ball")</f>
        <v>Kimberly Ball</v>
      </c>
      <c r="T4886" s="6" t="str">
        <f>IFERROR(__xludf.DUMMYFUNCTION("""COMPUTED_VALUE"""),"kimberly.ball@studient.com")</f>
        <v>kimberly.ball@studient.com</v>
      </c>
      <c r="U4886" s="6" t="str">
        <f>IFERROR(__xludf.DUMMYFUNCTION("""COMPUTED_VALUE"""),"6")</f>
        <v>6</v>
      </c>
      <c r="V4886" s="6" t="str">
        <f>IFERROR(__xludf.DUMMYFUNCTION("""COMPUTED_VALUE"""),"")</f>
        <v/>
      </c>
      <c r="W4886" s="6" t="str">
        <f>IFERROR(__xludf.DUMMYFUNCTION("""COMPUTED_VALUE"""),"[]")</f>
        <v>[]</v>
      </c>
      <c r="X4886" s="6" t="str">
        <f>IFERROR(__xludf.DUMMYFUNCTION("""COMPUTED_VALUE"""),"Enrolled")</f>
        <v>Enrolled</v>
      </c>
    </row>
    <row r="4887">
      <c r="A4887" s="6" t="str">
        <f>IFERROR(__xludf.DUMMYFUNCTION("""COMPUTED_VALUE"""),"085-11926")</f>
        <v>085-11926</v>
      </c>
      <c r="B4887" s="6" t="str">
        <f>IFERROR(__xludf.DUMMYFUNCTION("""COMPUTED_VALUE"""),"85")</f>
        <v>85</v>
      </c>
      <c r="C4887" s="6" t="str">
        <f>IFERROR(__xludf.DUMMYFUNCTION("""COMPUTED_VALUE"""),"11926")</f>
        <v>11926</v>
      </c>
      <c r="D4887" s="6" t="str">
        <f>IFERROR(__xludf.DUMMYFUNCTION("""COMPUTED_VALUE"""),"Jayceon")</f>
        <v>Jayceon</v>
      </c>
      <c r="E4887" s="6" t="str">
        <f>IFERROR(__xludf.DUMMYFUNCTION("""COMPUTED_VALUE"""),"")</f>
        <v/>
      </c>
      <c r="F4887" s="6" t="str">
        <f>IFERROR(__xludf.DUMMYFUNCTION("""COMPUTED_VALUE"""),"Brown")</f>
        <v>Brown</v>
      </c>
      <c r="G4887" s="6" t="str">
        <f>IFERROR(__xludf.DUMMYFUNCTION("""COMPUTED_VALUE"""),"07/27/2014")</f>
        <v>07/27/2014</v>
      </c>
      <c r="H4887" s="6" t="str">
        <f>IFERROR(__xludf.DUMMYFUNCTION("""COMPUTED_VALUE"""),"male")</f>
        <v>male</v>
      </c>
      <c r="I4887" s="6" t="str">
        <f>IFERROR(__xludf.DUMMYFUNCTION("""COMPUTED_VALUE"""),"Middle School")</f>
        <v>Middle School</v>
      </c>
      <c r="J4887" s="6" t="str">
        <f>IFERROR(__xludf.DUMMYFUNCTION("""COMPUTED_VALUE"""),"6")</f>
        <v>6</v>
      </c>
      <c r="K4887" s="6" t="str">
        <f>IFERROR(__xludf.DUMMYFUNCTION("""COMPUTED_VALUE"""),"jayceon.brown@2hourlearning.com")</f>
        <v>jayceon.brown@2hourlearning.com</v>
      </c>
      <c r="L4887" s="6" t="str">
        <f>IFERROR(__xludf.DUMMYFUNCTION("""COMPUTED_VALUE"""),"AFMS - Allendale Fairfax Middle School")</f>
        <v>AFMS - Allendale Fairfax Middle School</v>
      </c>
      <c r="M4887" s="6" t="str">
        <f>IFERROR(__xludf.DUMMYFUNCTION("""COMPUTED_VALUE"""),"")</f>
        <v/>
      </c>
      <c r="N4887" s="6" t="str">
        <f>IFERROR(__xludf.DUMMYFUNCTION("""COMPUTED_VALUE"""),"")</f>
        <v/>
      </c>
      <c r="O4887" s="87" t="str">
        <f>IFERROR(__xludf.DUMMYFUNCTION("""COMPUTED_VALUE"""),"https://drive.google.com/drive/folders/10T2cTQHqEJZqE-st6uFKPoI?usp=share_link")</f>
        <v>https://drive.google.com/drive/folders/10T2cTQHqEJZqE-st6uFKPoI?usp=share_link</v>
      </c>
      <c r="P4887" s="6" t="str">
        <f>IFERROR(__xludf.DUMMYFUNCTION("""COMPUTED_VALUE"""),"Jayceon Brown")</f>
        <v>Jayceon Brown</v>
      </c>
      <c r="Q4887" s="6" t="str">
        <f>IFERROR(__xludf.DUMMYFUNCTION("""COMPUTED_VALUE"""),"MS")</f>
        <v>MS</v>
      </c>
      <c r="R4887" s="6">
        <f>IFERROR(__xludf.DUMMYFUNCTION("""COMPUTED_VALUE"""),0.0)</f>
        <v>0</v>
      </c>
      <c r="S4887" s="6" t="str">
        <f>IFERROR(__xludf.DUMMYFUNCTION("""COMPUTED_VALUE"""),"Kimberly Ball")</f>
        <v>Kimberly Ball</v>
      </c>
      <c r="T4887" s="6" t="str">
        <f>IFERROR(__xludf.DUMMYFUNCTION("""COMPUTED_VALUE"""),"kimberly.ball@studient.com")</f>
        <v>kimberly.ball@studient.com</v>
      </c>
      <c r="U4887" s="6" t="str">
        <f>IFERROR(__xludf.DUMMYFUNCTION("""COMPUTED_VALUE"""),"6")</f>
        <v>6</v>
      </c>
      <c r="V4887" s="6" t="str">
        <f>IFERROR(__xludf.DUMMYFUNCTION("""COMPUTED_VALUE"""),"")</f>
        <v/>
      </c>
      <c r="W4887" s="6" t="str">
        <f>IFERROR(__xludf.DUMMYFUNCTION("""COMPUTED_VALUE"""),"[]")</f>
        <v>[]</v>
      </c>
      <c r="X4887" s="6" t="str">
        <f>IFERROR(__xludf.DUMMYFUNCTION("""COMPUTED_VALUE"""),"Enrolled")</f>
        <v>Enrolled</v>
      </c>
    </row>
    <row r="4888">
      <c r="A4888" s="6" t="str">
        <f>IFERROR(__xludf.DUMMYFUNCTION("""COMPUTED_VALUE"""),"085-11927")</f>
        <v>085-11927</v>
      </c>
      <c r="B4888" s="6" t="str">
        <f>IFERROR(__xludf.DUMMYFUNCTION("""COMPUTED_VALUE"""),"85")</f>
        <v>85</v>
      </c>
      <c r="C4888" s="6" t="str">
        <f>IFERROR(__xludf.DUMMYFUNCTION("""COMPUTED_VALUE"""),"11927")</f>
        <v>11927</v>
      </c>
      <c r="D4888" s="6" t="str">
        <f>IFERROR(__xludf.DUMMYFUNCTION("""COMPUTED_VALUE"""),"Zoe")</f>
        <v>Zoe</v>
      </c>
      <c r="E4888" s="6" t="str">
        <f>IFERROR(__xludf.DUMMYFUNCTION("""COMPUTED_VALUE"""),"")</f>
        <v/>
      </c>
      <c r="F4888" s="6" t="str">
        <f>IFERROR(__xludf.DUMMYFUNCTION("""COMPUTED_VALUE"""),"Bunch")</f>
        <v>Bunch</v>
      </c>
      <c r="G4888" s="6" t="str">
        <f>IFERROR(__xludf.DUMMYFUNCTION("""COMPUTED_VALUE"""),"12/10/2013")</f>
        <v>12/10/2013</v>
      </c>
      <c r="H4888" s="6" t="str">
        <f>IFERROR(__xludf.DUMMYFUNCTION("""COMPUTED_VALUE"""),"female")</f>
        <v>female</v>
      </c>
      <c r="I4888" s="6" t="str">
        <f>IFERROR(__xludf.DUMMYFUNCTION("""COMPUTED_VALUE"""),"Middle School")</f>
        <v>Middle School</v>
      </c>
      <c r="J4888" s="6" t="str">
        <f>IFERROR(__xludf.DUMMYFUNCTION("""COMPUTED_VALUE"""),"6")</f>
        <v>6</v>
      </c>
      <c r="K4888" s="6" t="str">
        <f>IFERROR(__xludf.DUMMYFUNCTION("""COMPUTED_VALUE"""),"zoe.bunch@2hourlearning.com")</f>
        <v>zoe.bunch@2hourlearning.com</v>
      </c>
      <c r="L4888" s="6" t="str">
        <f>IFERROR(__xludf.DUMMYFUNCTION("""COMPUTED_VALUE"""),"AFMS - Allendale Fairfax Middle School")</f>
        <v>AFMS - Allendale Fairfax Middle School</v>
      </c>
      <c r="M4888" s="6" t="str">
        <f>IFERROR(__xludf.DUMMYFUNCTION("""COMPUTED_VALUE"""),"")</f>
        <v/>
      </c>
      <c r="N4888" s="6" t="str">
        <f>IFERROR(__xludf.DUMMYFUNCTION("""COMPUTED_VALUE"""),"")</f>
        <v/>
      </c>
      <c r="O4888" s="87" t="str">
        <f>IFERROR(__xludf.DUMMYFUNCTION("""COMPUTED_VALUE"""),"https://drive.google.com/drive/folders/10T2cTQHqEJZqE-st6uFKPoI?usp=share_link")</f>
        <v>https://drive.google.com/drive/folders/10T2cTQHqEJZqE-st6uFKPoI?usp=share_link</v>
      </c>
      <c r="P4888" s="6" t="str">
        <f>IFERROR(__xludf.DUMMYFUNCTION("""COMPUTED_VALUE"""),"Zoe Bunch")</f>
        <v>Zoe Bunch</v>
      </c>
      <c r="Q4888" s="6" t="str">
        <f>IFERROR(__xludf.DUMMYFUNCTION("""COMPUTED_VALUE"""),"MS")</f>
        <v>MS</v>
      </c>
      <c r="R4888" s="6">
        <f>IFERROR(__xludf.DUMMYFUNCTION("""COMPUTED_VALUE"""),0.0)</f>
        <v>0</v>
      </c>
      <c r="S4888" s="6" t="str">
        <f>IFERROR(__xludf.DUMMYFUNCTION("""COMPUTED_VALUE"""),"Kimberly Ball")</f>
        <v>Kimberly Ball</v>
      </c>
      <c r="T4888" s="6" t="str">
        <f>IFERROR(__xludf.DUMMYFUNCTION("""COMPUTED_VALUE"""),"kimberly.ball@studient.com")</f>
        <v>kimberly.ball@studient.com</v>
      </c>
      <c r="U4888" s="6" t="str">
        <f>IFERROR(__xludf.DUMMYFUNCTION("""COMPUTED_VALUE"""),"6")</f>
        <v>6</v>
      </c>
      <c r="V4888" s="6" t="str">
        <f>IFERROR(__xludf.DUMMYFUNCTION("""COMPUTED_VALUE"""),"")</f>
        <v/>
      </c>
      <c r="W4888" s="6" t="str">
        <f>IFERROR(__xludf.DUMMYFUNCTION("""COMPUTED_VALUE"""),"[]")</f>
        <v>[]</v>
      </c>
      <c r="X4888" s="6" t="str">
        <f>IFERROR(__xludf.DUMMYFUNCTION("""COMPUTED_VALUE"""),"Enrolled")</f>
        <v>Enrolled</v>
      </c>
    </row>
    <row r="4889">
      <c r="A4889" s="6" t="str">
        <f>IFERROR(__xludf.DUMMYFUNCTION("""COMPUTED_VALUE"""),"085-11928")</f>
        <v>085-11928</v>
      </c>
      <c r="B4889" s="6" t="str">
        <f>IFERROR(__xludf.DUMMYFUNCTION("""COMPUTED_VALUE"""),"85")</f>
        <v>85</v>
      </c>
      <c r="C4889" s="6" t="str">
        <f>IFERROR(__xludf.DUMMYFUNCTION("""COMPUTED_VALUE"""),"11928")</f>
        <v>11928</v>
      </c>
      <c r="D4889" s="6" t="str">
        <f>IFERROR(__xludf.DUMMYFUNCTION("""COMPUTED_VALUE"""),"Reginae")</f>
        <v>Reginae</v>
      </c>
      <c r="E4889" s="6" t="str">
        <f>IFERROR(__xludf.DUMMYFUNCTION("""COMPUTED_VALUE"""),"")</f>
        <v/>
      </c>
      <c r="F4889" s="6" t="str">
        <f>IFERROR(__xludf.DUMMYFUNCTION("""COMPUTED_VALUE"""),"Carlton")</f>
        <v>Carlton</v>
      </c>
      <c r="G4889" s="6" t="str">
        <f>IFERROR(__xludf.DUMMYFUNCTION("""COMPUTED_VALUE"""),"10/07/2013")</f>
        <v>10/07/2013</v>
      </c>
      <c r="H4889" s="6" t="str">
        <f>IFERROR(__xludf.DUMMYFUNCTION("""COMPUTED_VALUE"""),"female")</f>
        <v>female</v>
      </c>
      <c r="I4889" s="6" t="str">
        <f>IFERROR(__xludf.DUMMYFUNCTION("""COMPUTED_VALUE"""),"Middle School")</f>
        <v>Middle School</v>
      </c>
      <c r="J4889" s="6" t="str">
        <f>IFERROR(__xludf.DUMMYFUNCTION("""COMPUTED_VALUE"""),"6")</f>
        <v>6</v>
      </c>
      <c r="K4889" s="6" t="str">
        <f>IFERROR(__xludf.DUMMYFUNCTION("""COMPUTED_VALUE"""),"reginae.carlton@2hourlearning.com")</f>
        <v>reginae.carlton@2hourlearning.com</v>
      </c>
      <c r="L4889" s="6" t="str">
        <f>IFERROR(__xludf.DUMMYFUNCTION("""COMPUTED_VALUE"""),"AFMS - Allendale Fairfax Middle School")</f>
        <v>AFMS - Allendale Fairfax Middle School</v>
      </c>
      <c r="M4889" s="6" t="str">
        <f>IFERROR(__xludf.DUMMYFUNCTION("""COMPUTED_VALUE"""),"")</f>
        <v/>
      </c>
      <c r="N4889" s="6" t="str">
        <f>IFERROR(__xludf.DUMMYFUNCTION("""COMPUTED_VALUE"""),"")</f>
        <v/>
      </c>
      <c r="O4889" s="87" t="str">
        <f>IFERROR(__xludf.DUMMYFUNCTION("""COMPUTED_VALUE"""),"https://drive.google.com/drive/folders/10T2cTQHqEJZqE-st6uFKPoI?usp=share_link")</f>
        <v>https://drive.google.com/drive/folders/10T2cTQHqEJZqE-st6uFKPoI?usp=share_link</v>
      </c>
      <c r="P4889" s="6" t="str">
        <f>IFERROR(__xludf.DUMMYFUNCTION("""COMPUTED_VALUE"""),"Reginae Carlton")</f>
        <v>Reginae Carlton</v>
      </c>
      <c r="Q4889" s="6" t="str">
        <f>IFERROR(__xludf.DUMMYFUNCTION("""COMPUTED_VALUE"""),"MS")</f>
        <v>MS</v>
      </c>
      <c r="R4889" s="6">
        <f>IFERROR(__xludf.DUMMYFUNCTION("""COMPUTED_VALUE"""),0.0)</f>
        <v>0</v>
      </c>
      <c r="S4889" s="6" t="str">
        <f>IFERROR(__xludf.DUMMYFUNCTION("""COMPUTED_VALUE"""),"Kimberly Ball")</f>
        <v>Kimberly Ball</v>
      </c>
      <c r="T4889" s="6" t="str">
        <f>IFERROR(__xludf.DUMMYFUNCTION("""COMPUTED_VALUE"""),"kimberly.ball@studient.com")</f>
        <v>kimberly.ball@studient.com</v>
      </c>
      <c r="U4889" s="6" t="str">
        <f>IFERROR(__xludf.DUMMYFUNCTION("""COMPUTED_VALUE"""),"6")</f>
        <v>6</v>
      </c>
      <c r="V4889" s="6" t="str">
        <f>IFERROR(__xludf.DUMMYFUNCTION("""COMPUTED_VALUE"""),"")</f>
        <v/>
      </c>
      <c r="W4889" s="6" t="str">
        <f>IFERROR(__xludf.DUMMYFUNCTION("""COMPUTED_VALUE"""),"[]")</f>
        <v>[]</v>
      </c>
      <c r="X4889" s="6" t="str">
        <f>IFERROR(__xludf.DUMMYFUNCTION("""COMPUTED_VALUE"""),"Enrolled")</f>
        <v>Enrolled</v>
      </c>
    </row>
    <row r="4890">
      <c r="A4890" s="6" t="str">
        <f>IFERROR(__xludf.DUMMYFUNCTION("""COMPUTED_VALUE"""),"085-11929")</f>
        <v>085-11929</v>
      </c>
      <c r="B4890" s="6" t="str">
        <f>IFERROR(__xludf.DUMMYFUNCTION("""COMPUTED_VALUE"""),"85")</f>
        <v>85</v>
      </c>
      <c r="C4890" s="6" t="str">
        <f>IFERROR(__xludf.DUMMYFUNCTION("""COMPUTED_VALUE"""),"11929")</f>
        <v>11929</v>
      </c>
      <c r="D4890" s="6" t="str">
        <f>IFERROR(__xludf.DUMMYFUNCTION("""COMPUTED_VALUE"""),"Aiden")</f>
        <v>Aiden</v>
      </c>
      <c r="E4890" s="6" t="str">
        <f>IFERROR(__xludf.DUMMYFUNCTION("""COMPUTED_VALUE"""),"")</f>
        <v/>
      </c>
      <c r="F4890" s="6" t="str">
        <f>IFERROR(__xludf.DUMMYFUNCTION("""COMPUTED_VALUE"""),"Chen")</f>
        <v>Chen</v>
      </c>
      <c r="G4890" s="6" t="str">
        <f>IFERROR(__xludf.DUMMYFUNCTION("""COMPUTED_VALUE"""),"11/03/2013")</f>
        <v>11/03/2013</v>
      </c>
      <c r="H4890" s="6" t="str">
        <f>IFERROR(__xludf.DUMMYFUNCTION("""COMPUTED_VALUE"""),"male")</f>
        <v>male</v>
      </c>
      <c r="I4890" s="6" t="str">
        <f>IFERROR(__xludf.DUMMYFUNCTION("""COMPUTED_VALUE"""),"Middle School")</f>
        <v>Middle School</v>
      </c>
      <c r="J4890" s="6" t="str">
        <f>IFERROR(__xludf.DUMMYFUNCTION("""COMPUTED_VALUE"""),"6")</f>
        <v>6</v>
      </c>
      <c r="K4890" s="6" t="str">
        <f>IFERROR(__xludf.DUMMYFUNCTION("""COMPUTED_VALUE"""),"aiden.chen@2hourlearning.com")</f>
        <v>aiden.chen@2hourlearning.com</v>
      </c>
      <c r="L4890" s="6" t="str">
        <f>IFERROR(__xludf.DUMMYFUNCTION("""COMPUTED_VALUE"""),"AFMS - Allendale Fairfax Middle School")</f>
        <v>AFMS - Allendale Fairfax Middle School</v>
      </c>
      <c r="M4890" s="6" t="str">
        <f>IFERROR(__xludf.DUMMYFUNCTION("""COMPUTED_VALUE"""),"")</f>
        <v/>
      </c>
      <c r="N4890" s="6" t="str">
        <f>IFERROR(__xludf.DUMMYFUNCTION("""COMPUTED_VALUE"""),"")</f>
        <v/>
      </c>
      <c r="O4890" s="87" t="str">
        <f>IFERROR(__xludf.DUMMYFUNCTION("""COMPUTED_VALUE"""),"https://drive.google.com/drive/folders/10T2cTQHqEJZqE-st6uFKPoI?usp=share_link")</f>
        <v>https://drive.google.com/drive/folders/10T2cTQHqEJZqE-st6uFKPoI?usp=share_link</v>
      </c>
      <c r="P4890" s="6" t="str">
        <f>IFERROR(__xludf.DUMMYFUNCTION("""COMPUTED_VALUE"""),"Aiden Chen")</f>
        <v>Aiden Chen</v>
      </c>
      <c r="Q4890" s="6" t="str">
        <f>IFERROR(__xludf.DUMMYFUNCTION("""COMPUTED_VALUE"""),"MS")</f>
        <v>MS</v>
      </c>
      <c r="R4890" s="6">
        <f>IFERROR(__xludf.DUMMYFUNCTION("""COMPUTED_VALUE"""),0.0)</f>
        <v>0</v>
      </c>
      <c r="S4890" s="6" t="str">
        <f>IFERROR(__xludf.DUMMYFUNCTION("""COMPUTED_VALUE"""),"Kimberly Ball")</f>
        <v>Kimberly Ball</v>
      </c>
      <c r="T4890" s="6" t="str">
        <f>IFERROR(__xludf.DUMMYFUNCTION("""COMPUTED_VALUE"""),"kimberly.ball@studient.com")</f>
        <v>kimberly.ball@studient.com</v>
      </c>
      <c r="U4890" s="6" t="str">
        <f>IFERROR(__xludf.DUMMYFUNCTION("""COMPUTED_VALUE"""),"6")</f>
        <v>6</v>
      </c>
      <c r="V4890" s="6" t="str">
        <f>IFERROR(__xludf.DUMMYFUNCTION("""COMPUTED_VALUE"""),"")</f>
        <v/>
      </c>
      <c r="W4890" s="6" t="str">
        <f>IFERROR(__xludf.DUMMYFUNCTION("""COMPUTED_VALUE"""),"[]")</f>
        <v>[]</v>
      </c>
      <c r="X4890" s="6" t="str">
        <f>IFERROR(__xludf.DUMMYFUNCTION("""COMPUTED_VALUE"""),"Enrolled")</f>
        <v>Enrolled</v>
      </c>
    </row>
    <row r="4891">
      <c r="A4891" s="6" t="str">
        <f>IFERROR(__xludf.DUMMYFUNCTION("""COMPUTED_VALUE"""),"085-11930")</f>
        <v>085-11930</v>
      </c>
      <c r="B4891" s="6" t="str">
        <f>IFERROR(__xludf.DUMMYFUNCTION("""COMPUTED_VALUE"""),"85")</f>
        <v>85</v>
      </c>
      <c r="C4891" s="6" t="str">
        <f>IFERROR(__xludf.DUMMYFUNCTION("""COMPUTED_VALUE"""),"11930")</f>
        <v>11930</v>
      </c>
      <c r="D4891" s="6" t="str">
        <f>IFERROR(__xludf.DUMMYFUNCTION("""COMPUTED_VALUE"""),"Kyleigh")</f>
        <v>Kyleigh</v>
      </c>
      <c r="E4891" s="6" t="str">
        <f>IFERROR(__xludf.DUMMYFUNCTION("""COMPUTED_VALUE"""),"")</f>
        <v/>
      </c>
      <c r="F4891" s="6" t="str">
        <f>IFERROR(__xludf.DUMMYFUNCTION("""COMPUTED_VALUE"""),"Cohen")</f>
        <v>Cohen</v>
      </c>
      <c r="G4891" s="6" t="str">
        <f>IFERROR(__xludf.DUMMYFUNCTION("""COMPUTED_VALUE"""),"08/02/2014")</f>
        <v>08/02/2014</v>
      </c>
      <c r="H4891" s="6" t="str">
        <f>IFERROR(__xludf.DUMMYFUNCTION("""COMPUTED_VALUE"""),"female")</f>
        <v>female</v>
      </c>
      <c r="I4891" s="6" t="str">
        <f>IFERROR(__xludf.DUMMYFUNCTION("""COMPUTED_VALUE"""),"Middle School")</f>
        <v>Middle School</v>
      </c>
      <c r="J4891" s="6" t="str">
        <f>IFERROR(__xludf.DUMMYFUNCTION("""COMPUTED_VALUE"""),"6")</f>
        <v>6</v>
      </c>
      <c r="K4891" s="6" t="str">
        <f>IFERROR(__xludf.DUMMYFUNCTION("""COMPUTED_VALUE"""),"kyleigh.cohen@2hourlearning.com")</f>
        <v>kyleigh.cohen@2hourlearning.com</v>
      </c>
      <c r="L4891" s="6" t="str">
        <f>IFERROR(__xludf.DUMMYFUNCTION("""COMPUTED_VALUE"""),"AFMS - Allendale Fairfax Middle School")</f>
        <v>AFMS - Allendale Fairfax Middle School</v>
      </c>
      <c r="M4891" s="6" t="str">
        <f>IFERROR(__xludf.DUMMYFUNCTION("""COMPUTED_VALUE"""),"")</f>
        <v/>
      </c>
      <c r="N4891" s="6" t="str">
        <f>IFERROR(__xludf.DUMMYFUNCTION("""COMPUTED_VALUE"""),"")</f>
        <v/>
      </c>
      <c r="O4891" s="87" t="str">
        <f>IFERROR(__xludf.DUMMYFUNCTION("""COMPUTED_VALUE"""),"https://drive.google.com/drive/folders/10T2cTQHqEJZqE-st6uFKPoI?usp=share_link")</f>
        <v>https://drive.google.com/drive/folders/10T2cTQHqEJZqE-st6uFKPoI?usp=share_link</v>
      </c>
      <c r="P4891" s="6" t="str">
        <f>IFERROR(__xludf.DUMMYFUNCTION("""COMPUTED_VALUE"""),"Kyleigh Cohen")</f>
        <v>Kyleigh Cohen</v>
      </c>
      <c r="Q4891" s="6" t="str">
        <f>IFERROR(__xludf.DUMMYFUNCTION("""COMPUTED_VALUE"""),"MS")</f>
        <v>MS</v>
      </c>
      <c r="R4891" s="6">
        <f>IFERROR(__xludf.DUMMYFUNCTION("""COMPUTED_VALUE"""),0.0)</f>
        <v>0</v>
      </c>
      <c r="S4891" s="6" t="str">
        <f>IFERROR(__xludf.DUMMYFUNCTION("""COMPUTED_VALUE"""),"Kimberly Ball")</f>
        <v>Kimberly Ball</v>
      </c>
      <c r="T4891" s="6" t="str">
        <f>IFERROR(__xludf.DUMMYFUNCTION("""COMPUTED_VALUE"""),"kimberly.ball@studient.com")</f>
        <v>kimberly.ball@studient.com</v>
      </c>
      <c r="U4891" s="6" t="str">
        <f>IFERROR(__xludf.DUMMYFUNCTION("""COMPUTED_VALUE"""),"6")</f>
        <v>6</v>
      </c>
      <c r="V4891" s="6" t="str">
        <f>IFERROR(__xludf.DUMMYFUNCTION("""COMPUTED_VALUE"""),"")</f>
        <v/>
      </c>
      <c r="W4891" s="6" t="str">
        <f>IFERROR(__xludf.DUMMYFUNCTION("""COMPUTED_VALUE"""),"[]")</f>
        <v>[]</v>
      </c>
      <c r="X4891" s="6" t="str">
        <f>IFERROR(__xludf.DUMMYFUNCTION("""COMPUTED_VALUE"""),"Enrolled")</f>
        <v>Enrolled</v>
      </c>
    </row>
    <row r="4892">
      <c r="A4892" s="6" t="str">
        <f>IFERROR(__xludf.DUMMYFUNCTION("""COMPUTED_VALUE"""),"085-11931")</f>
        <v>085-11931</v>
      </c>
      <c r="B4892" s="6" t="str">
        <f>IFERROR(__xludf.DUMMYFUNCTION("""COMPUTED_VALUE"""),"85")</f>
        <v>85</v>
      </c>
      <c r="C4892" s="6" t="str">
        <f>IFERROR(__xludf.DUMMYFUNCTION("""COMPUTED_VALUE"""),"11931")</f>
        <v>11931</v>
      </c>
      <c r="D4892" s="6" t="str">
        <f>IFERROR(__xludf.DUMMYFUNCTION("""COMPUTED_VALUE"""),"Messiah")</f>
        <v>Messiah</v>
      </c>
      <c r="E4892" s="6" t="str">
        <f>IFERROR(__xludf.DUMMYFUNCTION("""COMPUTED_VALUE"""),"")</f>
        <v/>
      </c>
      <c r="F4892" s="6" t="str">
        <f>IFERROR(__xludf.DUMMYFUNCTION("""COMPUTED_VALUE"""),"Creech")</f>
        <v>Creech</v>
      </c>
      <c r="G4892" s="6" t="str">
        <f>IFERROR(__xludf.DUMMYFUNCTION("""COMPUTED_VALUE"""),"02/13/2013")</f>
        <v>02/13/2013</v>
      </c>
      <c r="H4892" s="6" t="str">
        <f>IFERROR(__xludf.DUMMYFUNCTION("""COMPUTED_VALUE"""),"male")</f>
        <v>male</v>
      </c>
      <c r="I4892" s="6" t="str">
        <f>IFERROR(__xludf.DUMMYFUNCTION("""COMPUTED_VALUE"""),"Middle School")</f>
        <v>Middle School</v>
      </c>
      <c r="J4892" s="6" t="str">
        <f>IFERROR(__xludf.DUMMYFUNCTION("""COMPUTED_VALUE"""),"6")</f>
        <v>6</v>
      </c>
      <c r="K4892" s="6" t="str">
        <f>IFERROR(__xludf.DUMMYFUNCTION("""COMPUTED_VALUE"""),"messiah.creech@2hourlearning.com")</f>
        <v>messiah.creech@2hourlearning.com</v>
      </c>
      <c r="L4892" s="6" t="str">
        <f>IFERROR(__xludf.DUMMYFUNCTION("""COMPUTED_VALUE"""),"AFMS - Allendale Fairfax Middle School")</f>
        <v>AFMS - Allendale Fairfax Middle School</v>
      </c>
      <c r="M4892" s="6" t="str">
        <f>IFERROR(__xludf.DUMMYFUNCTION("""COMPUTED_VALUE"""),"")</f>
        <v/>
      </c>
      <c r="N4892" s="6" t="str">
        <f>IFERROR(__xludf.DUMMYFUNCTION("""COMPUTED_VALUE"""),"")</f>
        <v/>
      </c>
      <c r="O4892" s="87" t="str">
        <f>IFERROR(__xludf.DUMMYFUNCTION("""COMPUTED_VALUE"""),"https://drive.google.com/drive/folders/10T2cTQHqEJZqE-st6uFKPoI?usp=share_link")</f>
        <v>https://drive.google.com/drive/folders/10T2cTQHqEJZqE-st6uFKPoI?usp=share_link</v>
      </c>
      <c r="P4892" s="6" t="str">
        <f>IFERROR(__xludf.DUMMYFUNCTION("""COMPUTED_VALUE"""),"Messiah Creech")</f>
        <v>Messiah Creech</v>
      </c>
      <c r="Q4892" s="6" t="str">
        <f>IFERROR(__xludf.DUMMYFUNCTION("""COMPUTED_VALUE"""),"MS")</f>
        <v>MS</v>
      </c>
      <c r="R4892" s="6">
        <f>IFERROR(__xludf.DUMMYFUNCTION("""COMPUTED_VALUE"""),0.0)</f>
        <v>0</v>
      </c>
      <c r="S4892" s="6" t="str">
        <f>IFERROR(__xludf.DUMMYFUNCTION("""COMPUTED_VALUE"""),"Kimberly Ball")</f>
        <v>Kimberly Ball</v>
      </c>
      <c r="T4892" s="6" t="str">
        <f>IFERROR(__xludf.DUMMYFUNCTION("""COMPUTED_VALUE"""),"kimberly.ball@studient.com")</f>
        <v>kimberly.ball@studient.com</v>
      </c>
      <c r="U4892" s="6" t="str">
        <f>IFERROR(__xludf.DUMMYFUNCTION("""COMPUTED_VALUE"""),"6")</f>
        <v>6</v>
      </c>
      <c r="V4892" s="6" t="str">
        <f>IFERROR(__xludf.DUMMYFUNCTION("""COMPUTED_VALUE"""),"")</f>
        <v/>
      </c>
      <c r="W4892" s="6" t="str">
        <f>IFERROR(__xludf.DUMMYFUNCTION("""COMPUTED_VALUE"""),"[]")</f>
        <v>[]</v>
      </c>
      <c r="X4892" s="6" t="str">
        <f>IFERROR(__xludf.DUMMYFUNCTION("""COMPUTED_VALUE"""),"Enrolled")</f>
        <v>Enrolled</v>
      </c>
    </row>
    <row r="4893">
      <c r="A4893" s="6" t="str">
        <f>IFERROR(__xludf.DUMMYFUNCTION("""COMPUTED_VALUE"""),"085-11932")</f>
        <v>085-11932</v>
      </c>
      <c r="B4893" s="6" t="str">
        <f>IFERROR(__xludf.DUMMYFUNCTION("""COMPUTED_VALUE"""),"85")</f>
        <v>85</v>
      </c>
      <c r="C4893" s="6" t="str">
        <f>IFERROR(__xludf.DUMMYFUNCTION("""COMPUTED_VALUE"""),"11932")</f>
        <v>11932</v>
      </c>
      <c r="D4893" s="6" t="str">
        <f>IFERROR(__xludf.DUMMYFUNCTION("""COMPUTED_VALUE"""),"De'Hari")</f>
        <v>De'Hari</v>
      </c>
      <c r="E4893" s="6" t="str">
        <f>IFERROR(__xludf.DUMMYFUNCTION("""COMPUTED_VALUE"""),"")</f>
        <v/>
      </c>
      <c r="F4893" s="6" t="str">
        <f>IFERROR(__xludf.DUMMYFUNCTION("""COMPUTED_VALUE"""),"Crumley")</f>
        <v>Crumley</v>
      </c>
      <c r="G4893" s="6" t="str">
        <f>IFERROR(__xludf.DUMMYFUNCTION("""COMPUTED_VALUE"""),"08/25/2013")</f>
        <v>08/25/2013</v>
      </c>
      <c r="H4893" s="6" t="str">
        <f>IFERROR(__xludf.DUMMYFUNCTION("""COMPUTED_VALUE"""),"male")</f>
        <v>male</v>
      </c>
      <c r="I4893" s="6" t="str">
        <f>IFERROR(__xludf.DUMMYFUNCTION("""COMPUTED_VALUE"""),"Middle School")</f>
        <v>Middle School</v>
      </c>
      <c r="J4893" s="6" t="str">
        <f>IFERROR(__xludf.DUMMYFUNCTION("""COMPUTED_VALUE"""),"6")</f>
        <v>6</v>
      </c>
      <c r="K4893" s="6" t="str">
        <f>IFERROR(__xludf.DUMMYFUNCTION("""COMPUTED_VALUE"""),"dehari.crumley@2hourlearning.com")</f>
        <v>dehari.crumley@2hourlearning.com</v>
      </c>
      <c r="L4893" s="6" t="str">
        <f>IFERROR(__xludf.DUMMYFUNCTION("""COMPUTED_VALUE"""),"AFMS - Allendale Fairfax Middle School")</f>
        <v>AFMS - Allendale Fairfax Middle School</v>
      </c>
      <c r="M4893" s="6" t="str">
        <f>IFERROR(__xludf.DUMMYFUNCTION("""COMPUTED_VALUE"""),"")</f>
        <v/>
      </c>
      <c r="N4893" s="6" t="str">
        <f>IFERROR(__xludf.DUMMYFUNCTION("""COMPUTED_VALUE"""),"")</f>
        <v/>
      </c>
      <c r="O4893" s="87" t="str">
        <f>IFERROR(__xludf.DUMMYFUNCTION("""COMPUTED_VALUE"""),"https://drive.google.com/drive/folders/10T2cTQHqEJZqE-st6uFKPoI?usp=share_link")</f>
        <v>https://drive.google.com/drive/folders/10T2cTQHqEJZqE-st6uFKPoI?usp=share_link</v>
      </c>
      <c r="P4893" s="6" t="str">
        <f>IFERROR(__xludf.DUMMYFUNCTION("""COMPUTED_VALUE"""),"De'Hari Crumley")</f>
        <v>De'Hari Crumley</v>
      </c>
      <c r="Q4893" s="6" t="str">
        <f>IFERROR(__xludf.DUMMYFUNCTION("""COMPUTED_VALUE"""),"MS")</f>
        <v>MS</v>
      </c>
      <c r="R4893" s="6">
        <f>IFERROR(__xludf.DUMMYFUNCTION("""COMPUTED_VALUE"""),0.0)</f>
        <v>0</v>
      </c>
      <c r="S4893" s="6" t="str">
        <f>IFERROR(__xludf.DUMMYFUNCTION("""COMPUTED_VALUE"""),"Kimberly Ball")</f>
        <v>Kimberly Ball</v>
      </c>
      <c r="T4893" s="6" t="str">
        <f>IFERROR(__xludf.DUMMYFUNCTION("""COMPUTED_VALUE"""),"kimberly.ball@studient.com")</f>
        <v>kimberly.ball@studient.com</v>
      </c>
      <c r="U4893" s="6" t="str">
        <f>IFERROR(__xludf.DUMMYFUNCTION("""COMPUTED_VALUE"""),"6")</f>
        <v>6</v>
      </c>
      <c r="V4893" s="6" t="str">
        <f>IFERROR(__xludf.DUMMYFUNCTION("""COMPUTED_VALUE"""),"")</f>
        <v/>
      </c>
      <c r="W4893" s="6" t="str">
        <f>IFERROR(__xludf.DUMMYFUNCTION("""COMPUTED_VALUE"""),"[]")</f>
        <v>[]</v>
      </c>
      <c r="X4893" s="6" t="str">
        <f>IFERROR(__xludf.DUMMYFUNCTION("""COMPUTED_VALUE"""),"Enrolled")</f>
        <v>Enrolled</v>
      </c>
    </row>
    <row r="4894">
      <c r="A4894" s="6" t="str">
        <f>IFERROR(__xludf.DUMMYFUNCTION("""COMPUTED_VALUE"""),"085-11933")</f>
        <v>085-11933</v>
      </c>
      <c r="B4894" s="6" t="str">
        <f>IFERROR(__xludf.DUMMYFUNCTION("""COMPUTED_VALUE"""),"85")</f>
        <v>85</v>
      </c>
      <c r="C4894" s="6" t="str">
        <f>IFERROR(__xludf.DUMMYFUNCTION("""COMPUTED_VALUE"""),"11933")</f>
        <v>11933</v>
      </c>
      <c r="D4894" s="6" t="str">
        <f>IFERROR(__xludf.DUMMYFUNCTION("""COMPUTED_VALUE"""),"Greyson")</f>
        <v>Greyson</v>
      </c>
      <c r="E4894" s="6" t="str">
        <f>IFERROR(__xludf.DUMMYFUNCTION("""COMPUTED_VALUE"""),"")</f>
        <v/>
      </c>
      <c r="F4894" s="6" t="str">
        <f>IFERROR(__xludf.DUMMYFUNCTION("""COMPUTED_VALUE"""),"Deloach")</f>
        <v>Deloach</v>
      </c>
      <c r="G4894" s="6" t="str">
        <f>IFERROR(__xludf.DUMMYFUNCTION("""COMPUTED_VALUE"""),"11/07/2013")</f>
        <v>11/07/2013</v>
      </c>
      <c r="H4894" s="6" t="str">
        <f>IFERROR(__xludf.DUMMYFUNCTION("""COMPUTED_VALUE"""),"male")</f>
        <v>male</v>
      </c>
      <c r="I4894" s="6" t="str">
        <f>IFERROR(__xludf.DUMMYFUNCTION("""COMPUTED_VALUE"""),"Middle School")</f>
        <v>Middle School</v>
      </c>
      <c r="J4894" s="6" t="str">
        <f>IFERROR(__xludf.DUMMYFUNCTION("""COMPUTED_VALUE"""),"6")</f>
        <v>6</v>
      </c>
      <c r="K4894" s="6" t="str">
        <f>IFERROR(__xludf.DUMMYFUNCTION("""COMPUTED_VALUE"""),"greyson.deloach@2hourlearning.com")</f>
        <v>greyson.deloach@2hourlearning.com</v>
      </c>
      <c r="L4894" s="6" t="str">
        <f>IFERROR(__xludf.DUMMYFUNCTION("""COMPUTED_VALUE"""),"AFMS - Allendale Fairfax Middle School")</f>
        <v>AFMS - Allendale Fairfax Middle School</v>
      </c>
      <c r="M4894" s="6" t="str">
        <f>IFERROR(__xludf.DUMMYFUNCTION("""COMPUTED_VALUE"""),"")</f>
        <v/>
      </c>
      <c r="N4894" s="6" t="str">
        <f>IFERROR(__xludf.DUMMYFUNCTION("""COMPUTED_VALUE"""),"")</f>
        <v/>
      </c>
      <c r="O4894" s="87" t="str">
        <f>IFERROR(__xludf.DUMMYFUNCTION("""COMPUTED_VALUE"""),"https://drive.google.com/drive/folders/10T2cTQHqEJZqE-st6uFKPoI?usp=share_link")</f>
        <v>https://drive.google.com/drive/folders/10T2cTQHqEJZqE-st6uFKPoI?usp=share_link</v>
      </c>
      <c r="P4894" s="6" t="str">
        <f>IFERROR(__xludf.DUMMYFUNCTION("""COMPUTED_VALUE"""),"Greyson Deloach")</f>
        <v>Greyson Deloach</v>
      </c>
      <c r="Q4894" s="6" t="str">
        <f>IFERROR(__xludf.DUMMYFUNCTION("""COMPUTED_VALUE"""),"MS")</f>
        <v>MS</v>
      </c>
      <c r="R4894" s="6">
        <f>IFERROR(__xludf.DUMMYFUNCTION("""COMPUTED_VALUE"""),0.0)</f>
        <v>0</v>
      </c>
      <c r="S4894" s="6" t="str">
        <f>IFERROR(__xludf.DUMMYFUNCTION("""COMPUTED_VALUE"""),"Kimberly Ball")</f>
        <v>Kimberly Ball</v>
      </c>
      <c r="T4894" s="6" t="str">
        <f>IFERROR(__xludf.DUMMYFUNCTION("""COMPUTED_VALUE"""),"kimberly.ball@studient.com")</f>
        <v>kimberly.ball@studient.com</v>
      </c>
      <c r="U4894" s="6" t="str">
        <f>IFERROR(__xludf.DUMMYFUNCTION("""COMPUTED_VALUE"""),"6")</f>
        <v>6</v>
      </c>
      <c r="V4894" s="6" t="str">
        <f>IFERROR(__xludf.DUMMYFUNCTION("""COMPUTED_VALUE"""),"")</f>
        <v/>
      </c>
      <c r="W4894" s="6" t="str">
        <f>IFERROR(__xludf.DUMMYFUNCTION("""COMPUTED_VALUE"""),"[]")</f>
        <v>[]</v>
      </c>
      <c r="X4894" s="6" t="str">
        <f>IFERROR(__xludf.DUMMYFUNCTION("""COMPUTED_VALUE"""),"Enrolled")</f>
        <v>Enrolled</v>
      </c>
    </row>
    <row r="4895">
      <c r="A4895" s="6" t="str">
        <f>IFERROR(__xludf.DUMMYFUNCTION("""COMPUTED_VALUE"""),"085-11934")</f>
        <v>085-11934</v>
      </c>
      <c r="B4895" s="6" t="str">
        <f>IFERROR(__xludf.DUMMYFUNCTION("""COMPUTED_VALUE"""),"85")</f>
        <v>85</v>
      </c>
      <c r="C4895" s="6" t="str">
        <f>IFERROR(__xludf.DUMMYFUNCTION("""COMPUTED_VALUE"""),"11934")</f>
        <v>11934</v>
      </c>
      <c r="D4895" s="6" t="str">
        <f>IFERROR(__xludf.DUMMYFUNCTION("""COMPUTED_VALUE"""),"Derrick")</f>
        <v>Derrick</v>
      </c>
      <c r="E4895" s="6" t="str">
        <f>IFERROR(__xludf.DUMMYFUNCTION("""COMPUTED_VALUE"""),"")</f>
        <v/>
      </c>
      <c r="F4895" s="6" t="str">
        <f>IFERROR(__xludf.DUMMYFUNCTION("""COMPUTED_VALUE"""),"Dublin")</f>
        <v>Dublin</v>
      </c>
      <c r="G4895" s="6" t="str">
        <f>IFERROR(__xludf.DUMMYFUNCTION("""COMPUTED_VALUE"""),"11/12/2013")</f>
        <v>11/12/2013</v>
      </c>
      <c r="H4895" s="6" t="str">
        <f>IFERROR(__xludf.DUMMYFUNCTION("""COMPUTED_VALUE"""),"male")</f>
        <v>male</v>
      </c>
      <c r="I4895" s="6" t="str">
        <f>IFERROR(__xludf.DUMMYFUNCTION("""COMPUTED_VALUE"""),"Middle School")</f>
        <v>Middle School</v>
      </c>
      <c r="J4895" s="6" t="str">
        <f>IFERROR(__xludf.DUMMYFUNCTION("""COMPUTED_VALUE"""),"6")</f>
        <v>6</v>
      </c>
      <c r="K4895" s="6" t="str">
        <f>IFERROR(__xludf.DUMMYFUNCTION("""COMPUTED_VALUE"""),"derrick.dublin@2hourlearning.com")</f>
        <v>derrick.dublin@2hourlearning.com</v>
      </c>
      <c r="L4895" s="6" t="str">
        <f>IFERROR(__xludf.DUMMYFUNCTION("""COMPUTED_VALUE"""),"AFMS - Allendale Fairfax Middle School")</f>
        <v>AFMS - Allendale Fairfax Middle School</v>
      </c>
      <c r="M4895" s="6" t="str">
        <f>IFERROR(__xludf.DUMMYFUNCTION("""COMPUTED_VALUE"""),"")</f>
        <v/>
      </c>
      <c r="N4895" s="6" t="str">
        <f>IFERROR(__xludf.DUMMYFUNCTION("""COMPUTED_VALUE"""),"")</f>
        <v/>
      </c>
      <c r="O4895" s="87" t="str">
        <f>IFERROR(__xludf.DUMMYFUNCTION("""COMPUTED_VALUE"""),"https://drive.google.com/drive/folders/10T2cTQHqEJZqE-st6uFKPoI?usp=share_link")</f>
        <v>https://drive.google.com/drive/folders/10T2cTQHqEJZqE-st6uFKPoI?usp=share_link</v>
      </c>
      <c r="P4895" s="6" t="str">
        <f>IFERROR(__xludf.DUMMYFUNCTION("""COMPUTED_VALUE"""),"Derrick Dublin")</f>
        <v>Derrick Dublin</v>
      </c>
      <c r="Q4895" s="6" t="str">
        <f>IFERROR(__xludf.DUMMYFUNCTION("""COMPUTED_VALUE"""),"MS")</f>
        <v>MS</v>
      </c>
      <c r="R4895" s="6">
        <f>IFERROR(__xludf.DUMMYFUNCTION("""COMPUTED_VALUE"""),0.0)</f>
        <v>0</v>
      </c>
      <c r="S4895" s="6" t="str">
        <f>IFERROR(__xludf.DUMMYFUNCTION("""COMPUTED_VALUE"""),"Kimberly Ball")</f>
        <v>Kimberly Ball</v>
      </c>
      <c r="T4895" s="6" t="str">
        <f>IFERROR(__xludf.DUMMYFUNCTION("""COMPUTED_VALUE"""),"kimberly.ball@studient.com")</f>
        <v>kimberly.ball@studient.com</v>
      </c>
      <c r="U4895" s="6" t="str">
        <f>IFERROR(__xludf.DUMMYFUNCTION("""COMPUTED_VALUE"""),"6")</f>
        <v>6</v>
      </c>
      <c r="V4895" s="6" t="str">
        <f>IFERROR(__xludf.DUMMYFUNCTION("""COMPUTED_VALUE"""),"")</f>
        <v/>
      </c>
      <c r="W4895" s="6" t="str">
        <f>IFERROR(__xludf.DUMMYFUNCTION("""COMPUTED_VALUE"""),"[]")</f>
        <v>[]</v>
      </c>
      <c r="X4895" s="6" t="str">
        <f>IFERROR(__xludf.DUMMYFUNCTION("""COMPUTED_VALUE"""),"Enrolled")</f>
        <v>Enrolled</v>
      </c>
    </row>
    <row r="4896">
      <c r="A4896" s="6" t="str">
        <f>IFERROR(__xludf.DUMMYFUNCTION("""COMPUTED_VALUE"""),"085-11935")</f>
        <v>085-11935</v>
      </c>
      <c r="B4896" s="6" t="str">
        <f>IFERROR(__xludf.DUMMYFUNCTION("""COMPUTED_VALUE"""),"85")</f>
        <v>85</v>
      </c>
      <c r="C4896" s="6" t="str">
        <f>IFERROR(__xludf.DUMMYFUNCTION("""COMPUTED_VALUE"""),"11935")</f>
        <v>11935</v>
      </c>
      <c r="D4896" s="6" t="str">
        <f>IFERROR(__xludf.DUMMYFUNCTION("""COMPUTED_VALUE"""),"Kameron")</f>
        <v>Kameron</v>
      </c>
      <c r="E4896" s="6" t="str">
        <f>IFERROR(__xludf.DUMMYFUNCTION("""COMPUTED_VALUE"""),"")</f>
        <v/>
      </c>
      <c r="F4896" s="6" t="str">
        <f>IFERROR(__xludf.DUMMYFUNCTION("""COMPUTED_VALUE"""),"Dunbar")</f>
        <v>Dunbar</v>
      </c>
      <c r="G4896" s="6" t="str">
        <f>IFERROR(__xludf.DUMMYFUNCTION("""COMPUTED_VALUE"""),"02/24/2014")</f>
        <v>02/24/2014</v>
      </c>
      <c r="H4896" s="6" t="str">
        <f>IFERROR(__xludf.DUMMYFUNCTION("""COMPUTED_VALUE"""),"male")</f>
        <v>male</v>
      </c>
      <c r="I4896" s="6" t="str">
        <f>IFERROR(__xludf.DUMMYFUNCTION("""COMPUTED_VALUE"""),"Middle School")</f>
        <v>Middle School</v>
      </c>
      <c r="J4896" s="6" t="str">
        <f>IFERROR(__xludf.DUMMYFUNCTION("""COMPUTED_VALUE"""),"6")</f>
        <v>6</v>
      </c>
      <c r="K4896" s="6" t="str">
        <f>IFERROR(__xludf.DUMMYFUNCTION("""COMPUTED_VALUE"""),"kameron.dunbar@2hourlearning.com")</f>
        <v>kameron.dunbar@2hourlearning.com</v>
      </c>
      <c r="L4896" s="6" t="str">
        <f>IFERROR(__xludf.DUMMYFUNCTION("""COMPUTED_VALUE"""),"AFMS - Allendale Fairfax Middle School")</f>
        <v>AFMS - Allendale Fairfax Middle School</v>
      </c>
      <c r="M4896" s="6" t="str">
        <f>IFERROR(__xludf.DUMMYFUNCTION("""COMPUTED_VALUE"""),"")</f>
        <v/>
      </c>
      <c r="N4896" s="6" t="str">
        <f>IFERROR(__xludf.DUMMYFUNCTION("""COMPUTED_VALUE"""),"")</f>
        <v/>
      </c>
      <c r="O4896" s="87" t="str">
        <f>IFERROR(__xludf.DUMMYFUNCTION("""COMPUTED_VALUE"""),"https://drive.google.com/drive/folders/10T2cTQHqEJZqE-st6uFKPoI?usp=share_link")</f>
        <v>https://drive.google.com/drive/folders/10T2cTQHqEJZqE-st6uFKPoI?usp=share_link</v>
      </c>
      <c r="P4896" s="6" t="str">
        <f>IFERROR(__xludf.DUMMYFUNCTION("""COMPUTED_VALUE"""),"Kameron Dunbar")</f>
        <v>Kameron Dunbar</v>
      </c>
      <c r="Q4896" s="6" t="str">
        <f>IFERROR(__xludf.DUMMYFUNCTION("""COMPUTED_VALUE"""),"MS")</f>
        <v>MS</v>
      </c>
      <c r="R4896" s="6">
        <f>IFERROR(__xludf.DUMMYFUNCTION("""COMPUTED_VALUE"""),0.0)</f>
        <v>0</v>
      </c>
      <c r="S4896" s="6" t="str">
        <f>IFERROR(__xludf.DUMMYFUNCTION("""COMPUTED_VALUE"""),"Kimberly Ball")</f>
        <v>Kimberly Ball</v>
      </c>
      <c r="T4896" s="6" t="str">
        <f>IFERROR(__xludf.DUMMYFUNCTION("""COMPUTED_VALUE"""),"kimberly.ball@studient.com")</f>
        <v>kimberly.ball@studient.com</v>
      </c>
      <c r="U4896" s="6" t="str">
        <f>IFERROR(__xludf.DUMMYFUNCTION("""COMPUTED_VALUE"""),"6")</f>
        <v>6</v>
      </c>
      <c r="V4896" s="6" t="str">
        <f>IFERROR(__xludf.DUMMYFUNCTION("""COMPUTED_VALUE"""),"")</f>
        <v/>
      </c>
      <c r="W4896" s="6" t="str">
        <f>IFERROR(__xludf.DUMMYFUNCTION("""COMPUTED_VALUE"""),"[]")</f>
        <v>[]</v>
      </c>
      <c r="X4896" s="6" t="str">
        <f>IFERROR(__xludf.DUMMYFUNCTION("""COMPUTED_VALUE"""),"Enrolled")</f>
        <v>Enrolled</v>
      </c>
    </row>
    <row r="4897">
      <c r="A4897" s="6" t="str">
        <f>IFERROR(__xludf.DUMMYFUNCTION("""COMPUTED_VALUE"""),"085-11936")</f>
        <v>085-11936</v>
      </c>
      <c r="B4897" s="6" t="str">
        <f>IFERROR(__xludf.DUMMYFUNCTION("""COMPUTED_VALUE"""),"85")</f>
        <v>85</v>
      </c>
      <c r="C4897" s="6" t="str">
        <f>IFERROR(__xludf.DUMMYFUNCTION("""COMPUTED_VALUE"""),"11936")</f>
        <v>11936</v>
      </c>
      <c r="D4897" s="6" t="str">
        <f>IFERROR(__xludf.DUMMYFUNCTION("""COMPUTED_VALUE"""),"Kamoni")</f>
        <v>Kamoni</v>
      </c>
      <c r="E4897" s="6" t="str">
        <f>IFERROR(__xludf.DUMMYFUNCTION("""COMPUTED_VALUE"""),"")</f>
        <v/>
      </c>
      <c r="F4897" s="6" t="str">
        <f>IFERROR(__xludf.DUMMYFUNCTION("""COMPUTED_VALUE"""),"Eady")</f>
        <v>Eady</v>
      </c>
      <c r="G4897" s="6" t="str">
        <f>IFERROR(__xludf.DUMMYFUNCTION("""COMPUTED_VALUE"""),"01/09/2014")</f>
        <v>01/09/2014</v>
      </c>
      <c r="H4897" s="6" t="str">
        <f>IFERROR(__xludf.DUMMYFUNCTION("""COMPUTED_VALUE"""),"female")</f>
        <v>female</v>
      </c>
      <c r="I4897" s="6" t="str">
        <f>IFERROR(__xludf.DUMMYFUNCTION("""COMPUTED_VALUE"""),"Middle School")</f>
        <v>Middle School</v>
      </c>
      <c r="J4897" s="6" t="str">
        <f>IFERROR(__xludf.DUMMYFUNCTION("""COMPUTED_VALUE"""),"6")</f>
        <v>6</v>
      </c>
      <c r="K4897" s="6" t="str">
        <f>IFERROR(__xludf.DUMMYFUNCTION("""COMPUTED_VALUE"""),"kamoni.eady@2hourlearning.com")</f>
        <v>kamoni.eady@2hourlearning.com</v>
      </c>
      <c r="L4897" s="6" t="str">
        <f>IFERROR(__xludf.DUMMYFUNCTION("""COMPUTED_VALUE"""),"AFMS - Allendale Fairfax Middle School")</f>
        <v>AFMS - Allendale Fairfax Middle School</v>
      </c>
      <c r="M4897" s="6" t="str">
        <f>IFERROR(__xludf.DUMMYFUNCTION("""COMPUTED_VALUE"""),"")</f>
        <v/>
      </c>
      <c r="N4897" s="6" t="str">
        <f>IFERROR(__xludf.DUMMYFUNCTION("""COMPUTED_VALUE"""),"")</f>
        <v/>
      </c>
      <c r="O4897" s="87" t="str">
        <f>IFERROR(__xludf.DUMMYFUNCTION("""COMPUTED_VALUE"""),"https://drive.google.com/drive/folders/10T2cTQHqEJZqE-st6uFKPoI?usp=share_link")</f>
        <v>https://drive.google.com/drive/folders/10T2cTQHqEJZqE-st6uFKPoI?usp=share_link</v>
      </c>
      <c r="P4897" s="6" t="str">
        <f>IFERROR(__xludf.DUMMYFUNCTION("""COMPUTED_VALUE"""),"Kamoni Eady")</f>
        <v>Kamoni Eady</v>
      </c>
      <c r="Q4897" s="6" t="str">
        <f>IFERROR(__xludf.DUMMYFUNCTION("""COMPUTED_VALUE"""),"MS")</f>
        <v>MS</v>
      </c>
      <c r="R4897" s="6">
        <f>IFERROR(__xludf.DUMMYFUNCTION("""COMPUTED_VALUE"""),0.0)</f>
        <v>0</v>
      </c>
      <c r="S4897" s="6" t="str">
        <f>IFERROR(__xludf.DUMMYFUNCTION("""COMPUTED_VALUE"""),"Kimberly Ball")</f>
        <v>Kimberly Ball</v>
      </c>
      <c r="T4897" s="6" t="str">
        <f>IFERROR(__xludf.DUMMYFUNCTION("""COMPUTED_VALUE"""),"kimberly.ball@studient.com")</f>
        <v>kimberly.ball@studient.com</v>
      </c>
      <c r="U4897" s="6" t="str">
        <f>IFERROR(__xludf.DUMMYFUNCTION("""COMPUTED_VALUE"""),"6")</f>
        <v>6</v>
      </c>
      <c r="V4897" s="6" t="str">
        <f>IFERROR(__xludf.DUMMYFUNCTION("""COMPUTED_VALUE"""),"")</f>
        <v/>
      </c>
      <c r="W4897" s="6" t="str">
        <f>IFERROR(__xludf.DUMMYFUNCTION("""COMPUTED_VALUE"""),"[]")</f>
        <v>[]</v>
      </c>
      <c r="X4897" s="6" t="str">
        <f>IFERROR(__xludf.DUMMYFUNCTION("""COMPUTED_VALUE"""),"Enrolled")</f>
        <v>Enrolled</v>
      </c>
    </row>
    <row r="4898">
      <c r="A4898" s="6" t="str">
        <f>IFERROR(__xludf.DUMMYFUNCTION("""COMPUTED_VALUE"""),"085-11937")</f>
        <v>085-11937</v>
      </c>
      <c r="B4898" s="6" t="str">
        <f>IFERROR(__xludf.DUMMYFUNCTION("""COMPUTED_VALUE"""),"85")</f>
        <v>85</v>
      </c>
      <c r="C4898" s="6" t="str">
        <f>IFERROR(__xludf.DUMMYFUNCTION("""COMPUTED_VALUE"""),"11937")</f>
        <v>11937</v>
      </c>
      <c r="D4898" s="6" t="str">
        <f>IFERROR(__xludf.DUMMYFUNCTION("""COMPUTED_VALUE"""),"Zayla")</f>
        <v>Zayla</v>
      </c>
      <c r="E4898" s="6" t="str">
        <f>IFERROR(__xludf.DUMMYFUNCTION("""COMPUTED_VALUE"""),"")</f>
        <v/>
      </c>
      <c r="F4898" s="6" t="str">
        <f>IFERROR(__xludf.DUMMYFUNCTION("""COMPUTED_VALUE"""),"Ebron")</f>
        <v>Ebron</v>
      </c>
      <c r="G4898" s="6" t="str">
        <f>IFERROR(__xludf.DUMMYFUNCTION("""COMPUTED_VALUE"""),"12/24/2013")</f>
        <v>12/24/2013</v>
      </c>
      <c r="H4898" s="6" t="str">
        <f>IFERROR(__xludf.DUMMYFUNCTION("""COMPUTED_VALUE"""),"female")</f>
        <v>female</v>
      </c>
      <c r="I4898" s="6" t="str">
        <f>IFERROR(__xludf.DUMMYFUNCTION("""COMPUTED_VALUE"""),"Middle School")</f>
        <v>Middle School</v>
      </c>
      <c r="J4898" s="6" t="str">
        <f>IFERROR(__xludf.DUMMYFUNCTION("""COMPUTED_VALUE"""),"6")</f>
        <v>6</v>
      </c>
      <c r="K4898" s="6" t="str">
        <f>IFERROR(__xludf.DUMMYFUNCTION("""COMPUTED_VALUE"""),"zayla.ebron@2hourlearning.com")</f>
        <v>zayla.ebron@2hourlearning.com</v>
      </c>
      <c r="L4898" s="6" t="str">
        <f>IFERROR(__xludf.DUMMYFUNCTION("""COMPUTED_VALUE"""),"AFMS - Allendale Fairfax Middle School")</f>
        <v>AFMS - Allendale Fairfax Middle School</v>
      </c>
      <c r="M4898" s="6" t="str">
        <f>IFERROR(__xludf.DUMMYFUNCTION("""COMPUTED_VALUE"""),"")</f>
        <v/>
      </c>
      <c r="N4898" s="6" t="str">
        <f>IFERROR(__xludf.DUMMYFUNCTION("""COMPUTED_VALUE"""),"")</f>
        <v/>
      </c>
      <c r="O4898" s="87" t="str">
        <f>IFERROR(__xludf.DUMMYFUNCTION("""COMPUTED_VALUE"""),"https://drive.google.com/drive/folders/10T2cTQHqEJZqE-st6uFKPoI?usp=share_link")</f>
        <v>https://drive.google.com/drive/folders/10T2cTQHqEJZqE-st6uFKPoI?usp=share_link</v>
      </c>
      <c r="P4898" s="6" t="str">
        <f>IFERROR(__xludf.DUMMYFUNCTION("""COMPUTED_VALUE"""),"Zayla Ebron")</f>
        <v>Zayla Ebron</v>
      </c>
      <c r="Q4898" s="6" t="str">
        <f>IFERROR(__xludf.DUMMYFUNCTION("""COMPUTED_VALUE"""),"MS")</f>
        <v>MS</v>
      </c>
      <c r="R4898" s="6">
        <f>IFERROR(__xludf.DUMMYFUNCTION("""COMPUTED_VALUE"""),0.0)</f>
        <v>0</v>
      </c>
      <c r="S4898" s="6" t="str">
        <f>IFERROR(__xludf.DUMMYFUNCTION("""COMPUTED_VALUE"""),"Kimberly Ball")</f>
        <v>Kimberly Ball</v>
      </c>
      <c r="T4898" s="6" t="str">
        <f>IFERROR(__xludf.DUMMYFUNCTION("""COMPUTED_VALUE"""),"kimberly.ball@studient.com")</f>
        <v>kimberly.ball@studient.com</v>
      </c>
      <c r="U4898" s="6" t="str">
        <f>IFERROR(__xludf.DUMMYFUNCTION("""COMPUTED_VALUE"""),"6")</f>
        <v>6</v>
      </c>
      <c r="V4898" s="6" t="str">
        <f>IFERROR(__xludf.DUMMYFUNCTION("""COMPUTED_VALUE"""),"")</f>
        <v/>
      </c>
      <c r="W4898" s="6" t="str">
        <f>IFERROR(__xludf.DUMMYFUNCTION("""COMPUTED_VALUE"""),"[]")</f>
        <v>[]</v>
      </c>
      <c r="X4898" s="6" t="str">
        <f>IFERROR(__xludf.DUMMYFUNCTION("""COMPUTED_VALUE"""),"Enrolled")</f>
        <v>Enrolled</v>
      </c>
    </row>
    <row r="4899">
      <c r="A4899" s="6" t="str">
        <f>IFERROR(__xludf.DUMMYFUNCTION("""COMPUTED_VALUE"""),"085-11938")</f>
        <v>085-11938</v>
      </c>
      <c r="B4899" s="6" t="str">
        <f>IFERROR(__xludf.DUMMYFUNCTION("""COMPUTED_VALUE"""),"85")</f>
        <v>85</v>
      </c>
      <c r="C4899" s="6" t="str">
        <f>IFERROR(__xludf.DUMMYFUNCTION("""COMPUTED_VALUE"""),"11938")</f>
        <v>11938</v>
      </c>
      <c r="D4899" s="6" t="str">
        <f>IFERROR(__xludf.DUMMYFUNCTION("""COMPUTED_VALUE"""),"Jayceon")</f>
        <v>Jayceon</v>
      </c>
      <c r="E4899" s="6" t="str">
        <f>IFERROR(__xludf.DUMMYFUNCTION("""COMPUTED_VALUE"""),"")</f>
        <v/>
      </c>
      <c r="F4899" s="6" t="str">
        <f>IFERROR(__xludf.DUMMYFUNCTION("""COMPUTED_VALUE"""),"Fields")</f>
        <v>Fields</v>
      </c>
      <c r="G4899" s="6" t="str">
        <f>IFERROR(__xludf.DUMMYFUNCTION("""COMPUTED_VALUE"""),"11/25/2013")</f>
        <v>11/25/2013</v>
      </c>
      <c r="H4899" s="6" t="str">
        <f>IFERROR(__xludf.DUMMYFUNCTION("""COMPUTED_VALUE"""),"male")</f>
        <v>male</v>
      </c>
      <c r="I4899" s="6" t="str">
        <f>IFERROR(__xludf.DUMMYFUNCTION("""COMPUTED_VALUE"""),"Middle School")</f>
        <v>Middle School</v>
      </c>
      <c r="J4899" s="6" t="str">
        <f>IFERROR(__xludf.DUMMYFUNCTION("""COMPUTED_VALUE"""),"6")</f>
        <v>6</v>
      </c>
      <c r="K4899" s="6" t="str">
        <f>IFERROR(__xludf.DUMMYFUNCTION("""COMPUTED_VALUE"""),"jayceon.fields@2hourlearning.com")</f>
        <v>jayceon.fields@2hourlearning.com</v>
      </c>
      <c r="L4899" s="6" t="str">
        <f>IFERROR(__xludf.DUMMYFUNCTION("""COMPUTED_VALUE"""),"AFMS - Allendale Fairfax Middle School")</f>
        <v>AFMS - Allendale Fairfax Middle School</v>
      </c>
      <c r="M4899" s="6" t="str">
        <f>IFERROR(__xludf.DUMMYFUNCTION("""COMPUTED_VALUE"""),"")</f>
        <v/>
      </c>
      <c r="N4899" s="6" t="str">
        <f>IFERROR(__xludf.DUMMYFUNCTION("""COMPUTED_VALUE"""),"")</f>
        <v/>
      </c>
      <c r="O4899" s="87" t="str">
        <f>IFERROR(__xludf.DUMMYFUNCTION("""COMPUTED_VALUE"""),"https://drive.google.com/drive/folders/10T2cTQHqEJZqE-st6uFKPoI?usp=share_link")</f>
        <v>https://drive.google.com/drive/folders/10T2cTQHqEJZqE-st6uFKPoI?usp=share_link</v>
      </c>
      <c r="P4899" s="6" t="str">
        <f>IFERROR(__xludf.DUMMYFUNCTION("""COMPUTED_VALUE"""),"Jayceon Fields")</f>
        <v>Jayceon Fields</v>
      </c>
      <c r="Q4899" s="6" t="str">
        <f>IFERROR(__xludf.DUMMYFUNCTION("""COMPUTED_VALUE"""),"MS")</f>
        <v>MS</v>
      </c>
      <c r="R4899" s="6">
        <f>IFERROR(__xludf.DUMMYFUNCTION("""COMPUTED_VALUE"""),0.0)</f>
        <v>0</v>
      </c>
      <c r="S4899" s="6" t="str">
        <f>IFERROR(__xludf.DUMMYFUNCTION("""COMPUTED_VALUE"""),"Kimberly Ball")</f>
        <v>Kimberly Ball</v>
      </c>
      <c r="T4899" s="6" t="str">
        <f>IFERROR(__xludf.DUMMYFUNCTION("""COMPUTED_VALUE"""),"kimberly.ball@studient.com")</f>
        <v>kimberly.ball@studient.com</v>
      </c>
      <c r="U4899" s="6" t="str">
        <f>IFERROR(__xludf.DUMMYFUNCTION("""COMPUTED_VALUE"""),"6")</f>
        <v>6</v>
      </c>
      <c r="V4899" s="6" t="str">
        <f>IFERROR(__xludf.DUMMYFUNCTION("""COMPUTED_VALUE"""),"")</f>
        <v/>
      </c>
      <c r="W4899" s="6" t="str">
        <f>IFERROR(__xludf.DUMMYFUNCTION("""COMPUTED_VALUE"""),"[]")</f>
        <v>[]</v>
      </c>
      <c r="X4899" s="6" t="str">
        <f>IFERROR(__xludf.DUMMYFUNCTION("""COMPUTED_VALUE"""),"Enrolled")</f>
        <v>Enrolled</v>
      </c>
    </row>
    <row r="4900">
      <c r="A4900" s="6" t="str">
        <f>IFERROR(__xludf.DUMMYFUNCTION("""COMPUTED_VALUE"""),"085-11939")</f>
        <v>085-11939</v>
      </c>
      <c r="B4900" s="6" t="str">
        <f>IFERROR(__xludf.DUMMYFUNCTION("""COMPUTED_VALUE"""),"85")</f>
        <v>85</v>
      </c>
      <c r="C4900" s="6" t="str">
        <f>IFERROR(__xludf.DUMMYFUNCTION("""COMPUTED_VALUE"""),"11939")</f>
        <v>11939</v>
      </c>
      <c r="D4900" s="6" t="str">
        <f>IFERROR(__xludf.DUMMYFUNCTION("""COMPUTED_VALUE"""),"Jhace")</f>
        <v>Jhace</v>
      </c>
      <c r="E4900" s="6" t="str">
        <f>IFERROR(__xludf.DUMMYFUNCTION("""COMPUTED_VALUE"""),"")</f>
        <v/>
      </c>
      <c r="F4900" s="6" t="str">
        <f>IFERROR(__xludf.DUMMYFUNCTION("""COMPUTED_VALUE"""),"Frazier")</f>
        <v>Frazier</v>
      </c>
      <c r="G4900" s="6" t="str">
        <f>IFERROR(__xludf.DUMMYFUNCTION("""COMPUTED_VALUE"""),"07/23/2014")</f>
        <v>07/23/2014</v>
      </c>
      <c r="H4900" s="6" t="str">
        <f>IFERROR(__xludf.DUMMYFUNCTION("""COMPUTED_VALUE"""),"male")</f>
        <v>male</v>
      </c>
      <c r="I4900" s="6" t="str">
        <f>IFERROR(__xludf.DUMMYFUNCTION("""COMPUTED_VALUE"""),"Middle School")</f>
        <v>Middle School</v>
      </c>
      <c r="J4900" s="6" t="str">
        <f>IFERROR(__xludf.DUMMYFUNCTION("""COMPUTED_VALUE"""),"6")</f>
        <v>6</v>
      </c>
      <c r="K4900" s="6" t="str">
        <f>IFERROR(__xludf.DUMMYFUNCTION("""COMPUTED_VALUE"""),"jhace.frazier@2hourlearning.com")</f>
        <v>jhace.frazier@2hourlearning.com</v>
      </c>
      <c r="L4900" s="6" t="str">
        <f>IFERROR(__xludf.DUMMYFUNCTION("""COMPUTED_VALUE"""),"AFMS - Allendale Fairfax Middle School")</f>
        <v>AFMS - Allendale Fairfax Middle School</v>
      </c>
      <c r="M4900" s="6" t="str">
        <f>IFERROR(__xludf.DUMMYFUNCTION("""COMPUTED_VALUE"""),"")</f>
        <v/>
      </c>
      <c r="N4900" s="6" t="str">
        <f>IFERROR(__xludf.DUMMYFUNCTION("""COMPUTED_VALUE"""),"")</f>
        <v/>
      </c>
      <c r="O4900" s="87" t="str">
        <f>IFERROR(__xludf.DUMMYFUNCTION("""COMPUTED_VALUE"""),"https://drive.google.com/drive/folders/10T2cTQHqEJZqE-st6uFKPoI?usp=share_link")</f>
        <v>https://drive.google.com/drive/folders/10T2cTQHqEJZqE-st6uFKPoI?usp=share_link</v>
      </c>
      <c r="P4900" s="6" t="str">
        <f>IFERROR(__xludf.DUMMYFUNCTION("""COMPUTED_VALUE"""),"Jhace Frazier")</f>
        <v>Jhace Frazier</v>
      </c>
      <c r="Q4900" s="6" t="str">
        <f>IFERROR(__xludf.DUMMYFUNCTION("""COMPUTED_VALUE"""),"MS")</f>
        <v>MS</v>
      </c>
      <c r="R4900" s="6">
        <f>IFERROR(__xludf.DUMMYFUNCTION("""COMPUTED_VALUE"""),0.0)</f>
        <v>0</v>
      </c>
      <c r="S4900" s="6" t="str">
        <f>IFERROR(__xludf.DUMMYFUNCTION("""COMPUTED_VALUE"""),"Kimberly Ball")</f>
        <v>Kimberly Ball</v>
      </c>
      <c r="T4900" s="6" t="str">
        <f>IFERROR(__xludf.DUMMYFUNCTION("""COMPUTED_VALUE"""),"kimberly.ball@studient.com")</f>
        <v>kimberly.ball@studient.com</v>
      </c>
      <c r="U4900" s="6" t="str">
        <f>IFERROR(__xludf.DUMMYFUNCTION("""COMPUTED_VALUE"""),"6")</f>
        <v>6</v>
      </c>
      <c r="V4900" s="6" t="str">
        <f>IFERROR(__xludf.DUMMYFUNCTION("""COMPUTED_VALUE"""),"")</f>
        <v/>
      </c>
      <c r="W4900" s="6" t="str">
        <f>IFERROR(__xludf.DUMMYFUNCTION("""COMPUTED_VALUE"""),"[]")</f>
        <v>[]</v>
      </c>
      <c r="X4900" s="6" t="str">
        <f>IFERROR(__xludf.DUMMYFUNCTION("""COMPUTED_VALUE"""),"Enrolled")</f>
        <v>Enrolled</v>
      </c>
    </row>
    <row r="4901">
      <c r="A4901" s="6" t="str">
        <f>IFERROR(__xludf.DUMMYFUNCTION("""COMPUTED_VALUE"""),"085-11940")</f>
        <v>085-11940</v>
      </c>
      <c r="B4901" s="6" t="str">
        <f>IFERROR(__xludf.DUMMYFUNCTION("""COMPUTED_VALUE"""),"85")</f>
        <v>85</v>
      </c>
      <c r="C4901" s="6" t="str">
        <f>IFERROR(__xludf.DUMMYFUNCTION("""COMPUTED_VALUE"""),"11940")</f>
        <v>11940</v>
      </c>
      <c r="D4901" s="6" t="str">
        <f>IFERROR(__xludf.DUMMYFUNCTION("""COMPUTED_VALUE"""),"Ethan")</f>
        <v>Ethan</v>
      </c>
      <c r="E4901" s="6" t="str">
        <f>IFERROR(__xludf.DUMMYFUNCTION("""COMPUTED_VALUE"""),"")</f>
        <v/>
      </c>
      <c r="F4901" s="6" t="str">
        <f>IFERROR(__xludf.DUMMYFUNCTION("""COMPUTED_VALUE"""),"Gill")</f>
        <v>Gill</v>
      </c>
      <c r="G4901" s="6" t="str">
        <f>IFERROR(__xludf.DUMMYFUNCTION("""COMPUTED_VALUE"""),"08/28/2014")</f>
        <v>08/28/2014</v>
      </c>
      <c r="H4901" s="6" t="str">
        <f>IFERROR(__xludf.DUMMYFUNCTION("""COMPUTED_VALUE"""),"male")</f>
        <v>male</v>
      </c>
      <c r="I4901" s="6" t="str">
        <f>IFERROR(__xludf.DUMMYFUNCTION("""COMPUTED_VALUE"""),"Middle School")</f>
        <v>Middle School</v>
      </c>
      <c r="J4901" s="6" t="str">
        <f>IFERROR(__xludf.DUMMYFUNCTION("""COMPUTED_VALUE"""),"6")</f>
        <v>6</v>
      </c>
      <c r="K4901" s="6" t="str">
        <f>IFERROR(__xludf.DUMMYFUNCTION("""COMPUTED_VALUE"""),"ethan.gill@2hourlearning.com")</f>
        <v>ethan.gill@2hourlearning.com</v>
      </c>
      <c r="L4901" s="6" t="str">
        <f>IFERROR(__xludf.DUMMYFUNCTION("""COMPUTED_VALUE"""),"AFMS - Allendale Fairfax Middle School")</f>
        <v>AFMS - Allendale Fairfax Middle School</v>
      </c>
      <c r="M4901" s="6" t="str">
        <f>IFERROR(__xludf.DUMMYFUNCTION("""COMPUTED_VALUE"""),"")</f>
        <v/>
      </c>
      <c r="N4901" s="6" t="str">
        <f>IFERROR(__xludf.DUMMYFUNCTION("""COMPUTED_VALUE"""),"")</f>
        <v/>
      </c>
      <c r="O4901" s="87" t="str">
        <f>IFERROR(__xludf.DUMMYFUNCTION("""COMPUTED_VALUE"""),"https://drive.google.com/drive/folders/10T2cTQHqEJZqE-st6uFKPoI?usp=share_link")</f>
        <v>https://drive.google.com/drive/folders/10T2cTQHqEJZqE-st6uFKPoI?usp=share_link</v>
      </c>
      <c r="P4901" s="6" t="str">
        <f>IFERROR(__xludf.DUMMYFUNCTION("""COMPUTED_VALUE"""),"Ethan Gill")</f>
        <v>Ethan Gill</v>
      </c>
      <c r="Q4901" s="6" t="str">
        <f>IFERROR(__xludf.DUMMYFUNCTION("""COMPUTED_VALUE"""),"MS")</f>
        <v>MS</v>
      </c>
      <c r="R4901" s="6">
        <f>IFERROR(__xludf.DUMMYFUNCTION("""COMPUTED_VALUE"""),0.0)</f>
        <v>0</v>
      </c>
      <c r="S4901" s="6" t="str">
        <f>IFERROR(__xludf.DUMMYFUNCTION("""COMPUTED_VALUE"""),"Kimberly Ball")</f>
        <v>Kimberly Ball</v>
      </c>
      <c r="T4901" s="6" t="str">
        <f>IFERROR(__xludf.DUMMYFUNCTION("""COMPUTED_VALUE"""),"kimberly.ball@studient.com")</f>
        <v>kimberly.ball@studient.com</v>
      </c>
      <c r="U4901" s="6" t="str">
        <f>IFERROR(__xludf.DUMMYFUNCTION("""COMPUTED_VALUE"""),"6")</f>
        <v>6</v>
      </c>
      <c r="V4901" s="6" t="str">
        <f>IFERROR(__xludf.DUMMYFUNCTION("""COMPUTED_VALUE"""),"")</f>
        <v/>
      </c>
      <c r="W4901" s="6" t="str">
        <f>IFERROR(__xludf.DUMMYFUNCTION("""COMPUTED_VALUE"""),"[]")</f>
        <v>[]</v>
      </c>
      <c r="X4901" s="6" t="str">
        <f>IFERROR(__xludf.DUMMYFUNCTION("""COMPUTED_VALUE"""),"Enrolled")</f>
        <v>Enrolled</v>
      </c>
    </row>
    <row r="4902">
      <c r="A4902" s="6" t="str">
        <f>IFERROR(__xludf.DUMMYFUNCTION("""COMPUTED_VALUE"""),"085-11941")</f>
        <v>085-11941</v>
      </c>
      <c r="B4902" s="6" t="str">
        <f>IFERROR(__xludf.DUMMYFUNCTION("""COMPUTED_VALUE"""),"85")</f>
        <v>85</v>
      </c>
      <c r="C4902" s="6" t="str">
        <f>IFERROR(__xludf.DUMMYFUNCTION("""COMPUTED_VALUE"""),"11941")</f>
        <v>11941</v>
      </c>
      <c r="D4902" s="6" t="str">
        <f>IFERROR(__xludf.DUMMYFUNCTION("""COMPUTED_VALUE"""),"Kaiden")</f>
        <v>Kaiden</v>
      </c>
      <c r="E4902" s="6" t="str">
        <f>IFERROR(__xludf.DUMMYFUNCTION("""COMPUTED_VALUE"""),"")</f>
        <v/>
      </c>
      <c r="F4902" s="6" t="str">
        <f>IFERROR(__xludf.DUMMYFUNCTION("""COMPUTED_VALUE"""),"Gill")</f>
        <v>Gill</v>
      </c>
      <c r="G4902" s="6" t="str">
        <f>IFERROR(__xludf.DUMMYFUNCTION("""COMPUTED_VALUE"""),"02/06/2014")</f>
        <v>02/06/2014</v>
      </c>
      <c r="H4902" s="6" t="str">
        <f>IFERROR(__xludf.DUMMYFUNCTION("""COMPUTED_VALUE"""),"male")</f>
        <v>male</v>
      </c>
      <c r="I4902" s="6" t="str">
        <f>IFERROR(__xludf.DUMMYFUNCTION("""COMPUTED_VALUE"""),"Middle School")</f>
        <v>Middle School</v>
      </c>
      <c r="J4902" s="6" t="str">
        <f>IFERROR(__xludf.DUMMYFUNCTION("""COMPUTED_VALUE"""),"6")</f>
        <v>6</v>
      </c>
      <c r="K4902" s="6" t="str">
        <f>IFERROR(__xludf.DUMMYFUNCTION("""COMPUTED_VALUE"""),"kaiden.gill@2hourlearning.com")</f>
        <v>kaiden.gill@2hourlearning.com</v>
      </c>
      <c r="L4902" s="6" t="str">
        <f>IFERROR(__xludf.DUMMYFUNCTION("""COMPUTED_VALUE"""),"AFMS - Allendale Fairfax Middle School")</f>
        <v>AFMS - Allendale Fairfax Middle School</v>
      </c>
      <c r="M4902" s="6" t="str">
        <f>IFERROR(__xludf.DUMMYFUNCTION("""COMPUTED_VALUE"""),"")</f>
        <v/>
      </c>
      <c r="N4902" s="6" t="str">
        <f>IFERROR(__xludf.DUMMYFUNCTION("""COMPUTED_VALUE"""),"")</f>
        <v/>
      </c>
      <c r="O4902" s="87" t="str">
        <f>IFERROR(__xludf.DUMMYFUNCTION("""COMPUTED_VALUE"""),"https://drive.google.com/drive/folders/10T2cTQHqEJZqE-st6uFKPoI?usp=share_link")</f>
        <v>https://drive.google.com/drive/folders/10T2cTQHqEJZqE-st6uFKPoI?usp=share_link</v>
      </c>
      <c r="P4902" s="6" t="str">
        <f>IFERROR(__xludf.DUMMYFUNCTION("""COMPUTED_VALUE"""),"Kaiden Gill")</f>
        <v>Kaiden Gill</v>
      </c>
      <c r="Q4902" s="6" t="str">
        <f>IFERROR(__xludf.DUMMYFUNCTION("""COMPUTED_VALUE"""),"MS")</f>
        <v>MS</v>
      </c>
      <c r="R4902" s="6">
        <f>IFERROR(__xludf.DUMMYFUNCTION("""COMPUTED_VALUE"""),0.0)</f>
        <v>0</v>
      </c>
      <c r="S4902" s="6" t="str">
        <f>IFERROR(__xludf.DUMMYFUNCTION("""COMPUTED_VALUE"""),"Kimberly Ball")</f>
        <v>Kimberly Ball</v>
      </c>
      <c r="T4902" s="6" t="str">
        <f>IFERROR(__xludf.DUMMYFUNCTION("""COMPUTED_VALUE"""),"kimberly.ball@studient.com")</f>
        <v>kimberly.ball@studient.com</v>
      </c>
      <c r="U4902" s="6" t="str">
        <f>IFERROR(__xludf.DUMMYFUNCTION("""COMPUTED_VALUE"""),"6")</f>
        <v>6</v>
      </c>
      <c r="V4902" s="6" t="str">
        <f>IFERROR(__xludf.DUMMYFUNCTION("""COMPUTED_VALUE"""),"")</f>
        <v/>
      </c>
      <c r="W4902" s="6" t="str">
        <f>IFERROR(__xludf.DUMMYFUNCTION("""COMPUTED_VALUE"""),"[]")</f>
        <v>[]</v>
      </c>
      <c r="X4902" s="6" t="str">
        <f>IFERROR(__xludf.DUMMYFUNCTION("""COMPUTED_VALUE"""),"Enrolled")</f>
        <v>Enrolled</v>
      </c>
    </row>
    <row r="4903">
      <c r="A4903" s="6" t="str">
        <f>IFERROR(__xludf.DUMMYFUNCTION("""COMPUTED_VALUE"""),"085-11942")</f>
        <v>085-11942</v>
      </c>
      <c r="B4903" s="6" t="str">
        <f>IFERROR(__xludf.DUMMYFUNCTION("""COMPUTED_VALUE"""),"85")</f>
        <v>85</v>
      </c>
      <c r="C4903" s="6" t="str">
        <f>IFERROR(__xludf.DUMMYFUNCTION("""COMPUTED_VALUE"""),"11942")</f>
        <v>11942</v>
      </c>
      <c r="D4903" s="6" t="str">
        <f>IFERROR(__xludf.DUMMYFUNCTION("""COMPUTED_VALUE"""),"Serenity")</f>
        <v>Serenity</v>
      </c>
      <c r="E4903" s="6" t="str">
        <f>IFERROR(__xludf.DUMMYFUNCTION("""COMPUTED_VALUE"""),"")</f>
        <v/>
      </c>
      <c r="F4903" s="6" t="str">
        <f>IFERROR(__xludf.DUMMYFUNCTION("""COMPUTED_VALUE"""),"Gill")</f>
        <v>Gill</v>
      </c>
      <c r="G4903" s="6" t="str">
        <f>IFERROR(__xludf.DUMMYFUNCTION("""COMPUTED_VALUE"""),"01/21/2014")</f>
        <v>01/21/2014</v>
      </c>
      <c r="H4903" s="6" t="str">
        <f>IFERROR(__xludf.DUMMYFUNCTION("""COMPUTED_VALUE"""),"female")</f>
        <v>female</v>
      </c>
      <c r="I4903" s="6" t="str">
        <f>IFERROR(__xludf.DUMMYFUNCTION("""COMPUTED_VALUE"""),"Middle School")</f>
        <v>Middle School</v>
      </c>
      <c r="J4903" s="6" t="str">
        <f>IFERROR(__xludf.DUMMYFUNCTION("""COMPUTED_VALUE"""),"6")</f>
        <v>6</v>
      </c>
      <c r="K4903" s="6" t="str">
        <f>IFERROR(__xludf.DUMMYFUNCTION("""COMPUTED_VALUE"""),"serenity.gill@2hourlearning.com")</f>
        <v>serenity.gill@2hourlearning.com</v>
      </c>
      <c r="L4903" s="6" t="str">
        <f>IFERROR(__xludf.DUMMYFUNCTION("""COMPUTED_VALUE"""),"AFMS - Allendale Fairfax Middle School")</f>
        <v>AFMS - Allendale Fairfax Middle School</v>
      </c>
      <c r="M4903" s="6" t="str">
        <f>IFERROR(__xludf.DUMMYFUNCTION("""COMPUTED_VALUE"""),"")</f>
        <v/>
      </c>
      <c r="N4903" s="6" t="str">
        <f>IFERROR(__xludf.DUMMYFUNCTION("""COMPUTED_VALUE"""),"")</f>
        <v/>
      </c>
      <c r="O4903" s="87" t="str">
        <f>IFERROR(__xludf.DUMMYFUNCTION("""COMPUTED_VALUE"""),"https://drive.google.com/drive/folders/10T2cTQHqEJZqE-st6uFKPoI?usp=share_link")</f>
        <v>https://drive.google.com/drive/folders/10T2cTQHqEJZqE-st6uFKPoI?usp=share_link</v>
      </c>
      <c r="P4903" s="6" t="str">
        <f>IFERROR(__xludf.DUMMYFUNCTION("""COMPUTED_VALUE"""),"Serenity Gill")</f>
        <v>Serenity Gill</v>
      </c>
      <c r="Q4903" s="6" t="str">
        <f>IFERROR(__xludf.DUMMYFUNCTION("""COMPUTED_VALUE"""),"MS")</f>
        <v>MS</v>
      </c>
      <c r="R4903" s="6">
        <f>IFERROR(__xludf.DUMMYFUNCTION("""COMPUTED_VALUE"""),0.0)</f>
        <v>0</v>
      </c>
      <c r="S4903" s="6" t="str">
        <f>IFERROR(__xludf.DUMMYFUNCTION("""COMPUTED_VALUE"""),"Kimberly Ball")</f>
        <v>Kimberly Ball</v>
      </c>
      <c r="T4903" s="6" t="str">
        <f>IFERROR(__xludf.DUMMYFUNCTION("""COMPUTED_VALUE"""),"kimberly.ball@studient.com")</f>
        <v>kimberly.ball@studient.com</v>
      </c>
      <c r="U4903" s="6" t="str">
        <f>IFERROR(__xludf.DUMMYFUNCTION("""COMPUTED_VALUE"""),"6")</f>
        <v>6</v>
      </c>
      <c r="V4903" s="6" t="str">
        <f>IFERROR(__xludf.DUMMYFUNCTION("""COMPUTED_VALUE"""),"")</f>
        <v/>
      </c>
      <c r="W4903" s="6" t="str">
        <f>IFERROR(__xludf.DUMMYFUNCTION("""COMPUTED_VALUE"""),"[]")</f>
        <v>[]</v>
      </c>
      <c r="X4903" s="6" t="str">
        <f>IFERROR(__xludf.DUMMYFUNCTION("""COMPUTED_VALUE"""),"Enrolled")</f>
        <v>Enrolled</v>
      </c>
    </row>
    <row r="4904">
      <c r="A4904" s="6" t="str">
        <f>IFERROR(__xludf.DUMMYFUNCTION("""COMPUTED_VALUE"""),"085-11943")</f>
        <v>085-11943</v>
      </c>
      <c r="B4904" s="6" t="str">
        <f>IFERROR(__xludf.DUMMYFUNCTION("""COMPUTED_VALUE"""),"85")</f>
        <v>85</v>
      </c>
      <c r="C4904" s="6" t="str">
        <f>IFERROR(__xludf.DUMMYFUNCTION("""COMPUTED_VALUE"""),"11943")</f>
        <v>11943</v>
      </c>
      <c r="D4904" s="6" t="str">
        <f>IFERROR(__xludf.DUMMYFUNCTION("""COMPUTED_VALUE"""),"Averial")</f>
        <v>Averial</v>
      </c>
      <c r="E4904" s="6" t="str">
        <f>IFERROR(__xludf.DUMMYFUNCTION("""COMPUTED_VALUE"""),"")</f>
        <v/>
      </c>
      <c r="F4904" s="6" t="str">
        <f>IFERROR(__xludf.DUMMYFUNCTION("""COMPUTED_VALUE"""),"Gill-Holmes")</f>
        <v>Gill-Holmes</v>
      </c>
      <c r="G4904" s="6" t="str">
        <f>IFERROR(__xludf.DUMMYFUNCTION("""COMPUTED_VALUE"""),"03/20/2014")</f>
        <v>03/20/2014</v>
      </c>
      <c r="H4904" s="6" t="str">
        <f>IFERROR(__xludf.DUMMYFUNCTION("""COMPUTED_VALUE"""),"female")</f>
        <v>female</v>
      </c>
      <c r="I4904" s="6" t="str">
        <f>IFERROR(__xludf.DUMMYFUNCTION("""COMPUTED_VALUE"""),"Middle School")</f>
        <v>Middle School</v>
      </c>
      <c r="J4904" s="6" t="str">
        <f>IFERROR(__xludf.DUMMYFUNCTION("""COMPUTED_VALUE"""),"6")</f>
        <v>6</v>
      </c>
      <c r="K4904" s="6" t="str">
        <f>IFERROR(__xludf.DUMMYFUNCTION("""COMPUTED_VALUE"""),"averial.gill-holmes@2hourlearning.com")</f>
        <v>averial.gill-holmes@2hourlearning.com</v>
      </c>
      <c r="L4904" s="6" t="str">
        <f>IFERROR(__xludf.DUMMYFUNCTION("""COMPUTED_VALUE"""),"AFMS - Allendale Fairfax Middle School")</f>
        <v>AFMS - Allendale Fairfax Middle School</v>
      </c>
      <c r="M4904" s="6" t="str">
        <f>IFERROR(__xludf.DUMMYFUNCTION("""COMPUTED_VALUE"""),"")</f>
        <v/>
      </c>
      <c r="N4904" s="6" t="str">
        <f>IFERROR(__xludf.DUMMYFUNCTION("""COMPUTED_VALUE"""),"")</f>
        <v/>
      </c>
      <c r="O4904" s="87" t="str">
        <f>IFERROR(__xludf.DUMMYFUNCTION("""COMPUTED_VALUE"""),"https://drive.google.com/drive/folders/10T2cTQHqEJZqE-st6uFKPoI?usp=share_link")</f>
        <v>https://drive.google.com/drive/folders/10T2cTQHqEJZqE-st6uFKPoI?usp=share_link</v>
      </c>
      <c r="P4904" s="6" t="str">
        <f>IFERROR(__xludf.DUMMYFUNCTION("""COMPUTED_VALUE"""),"Averial Gill-Holmes")</f>
        <v>Averial Gill-Holmes</v>
      </c>
      <c r="Q4904" s="6" t="str">
        <f>IFERROR(__xludf.DUMMYFUNCTION("""COMPUTED_VALUE"""),"MS")</f>
        <v>MS</v>
      </c>
      <c r="R4904" s="6">
        <f>IFERROR(__xludf.DUMMYFUNCTION("""COMPUTED_VALUE"""),0.0)</f>
        <v>0</v>
      </c>
      <c r="S4904" s="6" t="str">
        <f>IFERROR(__xludf.DUMMYFUNCTION("""COMPUTED_VALUE"""),"Kimberly Ball")</f>
        <v>Kimberly Ball</v>
      </c>
      <c r="T4904" s="6" t="str">
        <f>IFERROR(__xludf.DUMMYFUNCTION("""COMPUTED_VALUE"""),"kimberly.ball@studient.com")</f>
        <v>kimberly.ball@studient.com</v>
      </c>
      <c r="U4904" s="6" t="str">
        <f>IFERROR(__xludf.DUMMYFUNCTION("""COMPUTED_VALUE"""),"6")</f>
        <v>6</v>
      </c>
      <c r="V4904" s="6" t="str">
        <f>IFERROR(__xludf.DUMMYFUNCTION("""COMPUTED_VALUE"""),"")</f>
        <v/>
      </c>
      <c r="W4904" s="6" t="str">
        <f>IFERROR(__xludf.DUMMYFUNCTION("""COMPUTED_VALUE"""),"[]")</f>
        <v>[]</v>
      </c>
      <c r="X4904" s="6" t="str">
        <f>IFERROR(__xludf.DUMMYFUNCTION("""COMPUTED_VALUE"""),"Enrolled")</f>
        <v>Enrolled</v>
      </c>
    </row>
    <row r="4905">
      <c r="A4905" s="6" t="str">
        <f>IFERROR(__xludf.DUMMYFUNCTION("""COMPUTED_VALUE"""),"085-11944")</f>
        <v>085-11944</v>
      </c>
      <c r="B4905" s="6" t="str">
        <f>IFERROR(__xludf.DUMMYFUNCTION("""COMPUTED_VALUE"""),"85")</f>
        <v>85</v>
      </c>
      <c r="C4905" s="6" t="str">
        <f>IFERROR(__xludf.DUMMYFUNCTION("""COMPUTED_VALUE"""),"11944")</f>
        <v>11944</v>
      </c>
      <c r="D4905" s="6" t="str">
        <f>IFERROR(__xludf.DUMMYFUNCTION("""COMPUTED_VALUE"""),"Alice")</f>
        <v>Alice</v>
      </c>
      <c r="E4905" s="6" t="str">
        <f>IFERROR(__xludf.DUMMYFUNCTION("""COMPUTED_VALUE"""),"")</f>
        <v/>
      </c>
      <c r="F4905" s="6" t="str">
        <f>IFERROR(__xludf.DUMMYFUNCTION("""COMPUTED_VALUE"""),"Gonzalez")</f>
        <v>Gonzalez</v>
      </c>
      <c r="G4905" s="6" t="str">
        <f>IFERROR(__xludf.DUMMYFUNCTION("""COMPUTED_VALUE"""),"02/18/2014")</f>
        <v>02/18/2014</v>
      </c>
      <c r="H4905" s="6" t="str">
        <f>IFERROR(__xludf.DUMMYFUNCTION("""COMPUTED_VALUE"""),"female")</f>
        <v>female</v>
      </c>
      <c r="I4905" s="6" t="str">
        <f>IFERROR(__xludf.DUMMYFUNCTION("""COMPUTED_VALUE"""),"Middle School")</f>
        <v>Middle School</v>
      </c>
      <c r="J4905" s="6" t="str">
        <f>IFERROR(__xludf.DUMMYFUNCTION("""COMPUTED_VALUE"""),"6")</f>
        <v>6</v>
      </c>
      <c r="K4905" s="6" t="str">
        <f>IFERROR(__xludf.DUMMYFUNCTION("""COMPUTED_VALUE"""),"alice.gonzalez@2hourlearning.com")</f>
        <v>alice.gonzalez@2hourlearning.com</v>
      </c>
      <c r="L4905" s="6" t="str">
        <f>IFERROR(__xludf.DUMMYFUNCTION("""COMPUTED_VALUE"""),"AFMS - Allendale Fairfax Middle School")</f>
        <v>AFMS - Allendale Fairfax Middle School</v>
      </c>
      <c r="M4905" s="6" t="str">
        <f>IFERROR(__xludf.DUMMYFUNCTION("""COMPUTED_VALUE"""),"")</f>
        <v/>
      </c>
      <c r="N4905" s="6" t="str">
        <f>IFERROR(__xludf.DUMMYFUNCTION("""COMPUTED_VALUE"""),"")</f>
        <v/>
      </c>
      <c r="O4905" s="87" t="str">
        <f>IFERROR(__xludf.DUMMYFUNCTION("""COMPUTED_VALUE"""),"https://drive.google.com/drive/folders/10T2cTQHqEJZqE-st6uFKPoI?usp=share_link")</f>
        <v>https://drive.google.com/drive/folders/10T2cTQHqEJZqE-st6uFKPoI?usp=share_link</v>
      </c>
      <c r="P4905" s="6" t="str">
        <f>IFERROR(__xludf.DUMMYFUNCTION("""COMPUTED_VALUE"""),"Alice Gonzalez")</f>
        <v>Alice Gonzalez</v>
      </c>
      <c r="Q4905" s="6" t="str">
        <f>IFERROR(__xludf.DUMMYFUNCTION("""COMPUTED_VALUE"""),"MS")</f>
        <v>MS</v>
      </c>
      <c r="R4905" s="6">
        <f>IFERROR(__xludf.DUMMYFUNCTION("""COMPUTED_VALUE"""),0.0)</f>
        <v>0</v>
      </c>
      <c r="S4905" s="6" t="str">
        <f>IFERROR(__xludf.DUMMYFUNCTION("""COMPUTED_VALUE"""),"Kimberly Ball")</f>
        <v>Kimberly Ball</v>
      </c>
      <c r="T4905" s="6" t="str">
        <f>IFERROR(__xludf.DUMMYFUNCTION("""COMPUTED_VALUE"""),"kimberly.ball@studient.com")</f>
        <v>kimberly.ball@studient.com</v>
      </c>
      <c r="U4905" s="6" t="str">
        <f>IFERROR(__xludf.DUMMYFUNCTION("""COMPUTED_VALUE"""),"6")</f>
        <v>6</v>
      </c>
      <c r="V4905" s="6" t="str">
        <f>IFERROR(__xludf.DUMMYFUNCTION("""COMPUTED_VALUE"""),"")</f>
        <v/>
      </c>
      <c r="W4905" s="6" t="str">
        <f>IFERROR(__xludf.DUMMYFUNCTION("""COMPUTED_VALUE"""),"[]")</f>
        <v>[]</v>
      </c>
      <c r="X4905" s="6" t="str">
        <f>IFERROR(__xludf.DUMMYFUNCTION("""COMPUTED_VALUE"""),"Enrolled")</f>
        <v>Enrolled</v>
      </c>
    </row>
    <row r="4906">
      <c r="A4906" s="6" t="str">
        <f>IFERROR(__xludf.DUMMYFUNCTION("""COMPUTED_VALUE"""),"085-11945")</f>
        <v>085-11945</v>
      </c>
      <c r="B4906" s="6" t="str">
        <f>IFERROR(__xludf.DUMMYFUNCTION("""COMPUTED_VALUE"""),"85")</f>
        <v>85</v>
      </c>
      <c r="C4906" s="6" t="str">
        <f>IFERROR(__xludf.DUMMYFUNCTION("""COMPUTED_VALUE"""),"11945")</f>
        <v>11945</v>
      </c>
      <c r="D4906" s="6" t="str">
        <f>IFERROR(__xludf.DUMMYFUNCTION("""COMPUTED_VALUE"""),"Summer")</f>
        <v>Summer</v>
      </c>
      <c r="E4906" s="6" t="str">
        <f>IFERROR(__xludf.DUMMYFUNCTION("""COMPUTED_VALUE"""),"")</f>
        <v/>
      </c>
      <c r="F4906" s="6" t="str">
        <f>IFERROR(__xludf.DUMMYFUNCTION("""COMPUTED_VALUE"""),"Gray")</f>
        <v>Gray</v>
      </c>
      <c r="G4906" s="6" t="str">
        <f>IFERROR(__xludf.DUMMYFUNCTION("""COMPUTED_VALUE"""),"09/06/2013")</f>
        <v>09/06/2013</v>
      </c>
      <c r="H4906" s="6" t="str">
        <f>IFERROR(__xludf.DUMMYFUNCTION("""COMPUTED_VALUE"""),"female")</f>
        <v>female</v>
      </c>
      <c r="I4906" s="6" t="str">
        <f>IFERROR(__xludf.DUMMYFUNCTION("""COMPUTED_VALUE"""),"Middle School")</f>
        <v>Middle School</v>
      </c>
      <c r="J4906" s="6" t="str">
        <f>IFERROR(__xludf.DUMMYFUNCTION("""COMPUTED_VALUE"""),"6")</f>
        <v>6</v>
      </c>
      <c r="K4906" s="6" t="str">
        <f>IFERROR(__xludf.DUMMYFUNCTION("""COMPUTED_VALUE"""),"summer.gray@2hourlearning.com")</f>
        <v>summer.gray@2hourlearning.com</v>
      </c>
      <c r="L4906" s="6" t="str">
        <f>IFERROR(__xludf.DUMMYFUNCTION("""COMPUTED_VALUE"""),"AFMS - Allendale Fairfax Middle School")</f>
        <v>AFMS - Allendale Fairfax Middle School</v>
      </c>
      <c r="M4906" s="6" t="str">
        <f>IFERROR(__xludf.DUMMYFUNCTION("""COMPUTED_VALUE"""),"")</f>
        <v/>
      </c>
      <c r="N4906" s="6" t="str">
        <f>IFERROR(__xludf.DUMMYFUNCTION("""COMPUTED_VALUE"""),"")</f>
        <v/>
      </c>
      <c r="O4906" s="87" t="str">
        <f>IFERROR(__xludf.DUMMYFUNCTION("""COMPUTED_VALUE"""),"https://drive.google.com/drive/folders/10T2cTQHqEJZqE-st6uFKPoI?usp=share_link")</f>
        <v>https://drive.google.com/drive/folders/10T2cTQHqEJZqE-st6uFKPoI?usp=share_link</v>
      </c>
      <c r="P4906" s="6" t="str">
        <f>IFERROR(__xludf.DUMMYFUNCTION("""COMPUTED_VALUE"""),"Summer Gray")</f>
        <v>Summer Gray</v>
      </c>
      <c r="Q4906" s="6" t="str">
        <f>IFERROR(__xludf.DUMMYFUNCTION("""COMPUTED_VALUE"""),"MS")</f>
        <v>MS</v>
      </c>
      <c r="R4906" s="6">
        <f>IFERROR(__xludf.DUMMYFUNCTION("""COMPUTED_VALUE"""),0.0)</f>
        <v>0</v>
      </c>
      <c r="S4906" s="6" t="str">
        <f>IFERROR(__xludf.DUMMYFUNCTION("""COMPUTED_VALUE"""),"Kimberly Ball")</f>
        <v>Kimberly Ball</v>
      </c>
      <c r="T4906" s="6" t="str">
        <f>IFERROR(__xludf.DUMMYFUNCTION("""COMPUTED_VALUE"""),"kimberly.ball@studient.com")</f>
        <v>kimberly.ball@studient.com</v>
      </c>
      <c r="U4906" s="6" t="str">
        <f>IFERROR(__xludf.DUMMYFUNCTION("""COMPUTED_VALUE"""),"6")</f>
        <v>6</v>
      </c>
      <c r="V4906" s="6" t="str">
        <f>IFERROR(__xludf.DUMMYFUNCTION("""COMPUTED_VALUE"""),"")</f>
        <v/>
      </c>
      <c r="W4906" s="6" t="str">
        <f>IFERROR(__xludf.DUMMYFUNCTION("""COMPUTED_VALUE"""),"[]")</f>
        <v>[]</v>
      </c>
      <c r="X4906" s="6" t="str">
        <f>IFERROR(__xludf.DUMMYFUNCTION("""COMPUTED_VALUE"""),"Enrolled")</f>
        <v>Enrolled</v>
      </c>
    </row>
    <row r="4907">
      <c r="A4907" s="6" t="str">
        <f>IFERROR(__xludf.DUMMYFUNCTION("""COMPUTED_VALUE"""),"085-11946")</f>
        <v>085-11946</v>
      </c>
      <c r="B4907" s="6" t="str">
        <f>IFERROR(__xludf.DUMMYFUNCTION("""COMPUTED_VALUE"""),"85")</f>
        <v>85</v>
      </c>
      <c r="C4907" s="6" t="str">
        <f>IFERROR(__xludf.DUMMYFUNCTION("""COMPUTED_VALUE"""),"11946")</f>
        <v>11946</v>
      </c>
      <c r="D4907" s="6" t="str">
        <f>IFERROR(__xludf.DUMMYFUNCTION("""COMPUTED_VALUE"""),"Jerome")</f>
        <v>Jerome</v>
      </c>
      <c r="E4907" s="6" t="str">
        <f>IFERROR(__xludf.DUMMYFUNCTION("""COMPUTED_VALUE"""),"")</f>
        <v/>
      </c>
      <c r="F4907" s="6" t="str">
        <f>IFERROR(__xludf.DUMMYFUNCTION("""COMPUTED_VALUE"""),"Green")</f>
        <v>Green</v>
      </c>
      <c r="G4907" s="6" t="str">
        <f>IFERROR(__xludf.DUMMYFUNCTION("""COMPUTED_VALUE"""),"09/16/2013")</f>
        <v>09/16/2013</v>
      </c>
      <c r="H4907" s="6" t="str">
        <f>IFERROR(__xludf.DUMMYFUNCTION("""COMPUTED_VALUE"""),"male")</f>
        <v>male</v>
      </c>
      <c r="I4907" s="6" t="str">
        <f>IFERROR(__xludf.DUMMYFUNCTION("""COMPUTED_VALUE"""),"Middle School")</f>
        <v>Middle School</v>
      </c>
      <c r="J4907" s="6" t="str">
        <f>IFERROR(__xludf.DUMMYFUNCTION("""COMPUTED_VALUE"""),"6")</f>
        <v>6</v>
      </c>
      <c r="K4907" s="6" t="str">
        <f>IFERROR(__xludf.DUMMYFUNCTION("""COMPUTED_VALUE"""),"jerome.green@2hourlearning.com")</f>
        <v>jerome.green@2hourlearning.com</v>
      </c>
      <c r="L4907" s="6" t="str">
        <f>IFERROR(__xludf.DUMMYFUNCTION("""COMPUTED_VALUE"""),"AFMS - Allendale Fairfax Middle School")</f>
        <v>AFMS - Allendale Fairfax Middle School</v>
      </c>
      <c r="M4907" s="6" t="str">
        <f>IFERROR(__xludf.DUMMYFUNCTION("""COMPUTED_VALUE"""),"")</f>
        <v/>
      </c>
      <c r="N4907" s="6" t="str">
        <f>IFERROR(__xludf.DUMMYFUNCTION("""COMPUTED_VALUE"""),"")</f>
        <v/>
      </c>
      <c r="O4907" s="87" t="str">
        <f>IFERROR(__xludf.DUMMYFUNCTION("""COMPUTED_VALUE"""),"https://drive.google.com/drive/folders/10T2cTQHqEJZqE-st6uFKPoI?usp=share_link")</f>
        <v>https://drive.google.com/drive/folders/10T2cTQHqEJZqE-st6uFKPoI?usp=share_link</v>
      </c>
      <c r="P4907" s="6" t="str">
        <f>IFERROR(__xludf.DUMMYFUNCTION("""COMPUTED_VALUE"""),"Jerome Green")</f>
        <v>Jerome Green</v>
      </c>
      <c r="Q4907" s="6" t="str">
        <f>IFERROR(__xludf.DUMMYFUNCTION("""COMPUTED_VALUE"""),"MS")</f>
        <v>MS</v>
      </c>
      <c r="R4907" s="6">
        <f>IFERROR(__xludf.DUMMYFUNCTION("""COMPUTED_VALUE"""),0.0)</f>
        <v>0</v>
      </c>
      <c r="S4907" s="6" t="str">
        <f>IFERROR(__xludf.DUMMYFUNCTION("""COMPUTED_VALUE"""),"Kimberly Ball")</f>
        <v>Kimberly Ball</v>
      </c>
      <c r="T4907" s="6" t="str">
        <f>IFERROR(__xludf.DUMMYFUNCTION("""COMPUTED_VALUE"""),"kimberly.ball@studient.com")</f>
        <v>kimberly.ball@studient.com</v>
      </c>
      <c r="U4907" s="6" t="str">
        <f>IFERROR(__xludf.DUMMYFUNCTION("""COMPUTED_VALUE"""),"6")</f>
        <v>6</v>
      </c>
      <c r="V4907" s="6" t="str">
        <f>IFERROR(__xludf.DUMMYFUNCTION("""COMPUTED_VALUE"""),"")</f>
        <v/>
      </c>
      <c r="W4907" s="6" t="str">
        <f>IFERROR(__xludf.DUMMYFUNCTION("""COMPUTED_VALUE"""),"[]")</f>
        <v>[]</v>
      </c>
      <c r="X4907" s="6" t="str">
        <f>IFERROR(__xludf.DUMMYFUNCTION("""COMPUTED_VALUE"""),"Enrolled")</f>
        <v>Enrolled</v>
      </c>
    </row>
    <row r="4908">
      <c r="A4908" s="6" t="str">
        <f>IFERROR(__xludf.DUMMYFUNCTION("""COMPUTED_VALUE"""),"085-11947")</f>
        <v>085-11947</v>
      </c>
      <c r="B4908" s="6" t="str">
        <f>IFERROR(__xludf.DUMMYFUNCTION("""COMPUTED_VALUE"""),"85")</f>
        <v>85</v>
      </c>
      <c r="C4908" s="6" t="str">
        <f>IFERROR(__xludf.DUMMYFUNCTION("""COMPUTED_VALUE"""),"11947")</f>
        <v>11947</v>
      </c>
      <c r="D4908" s="6" t="str">
        <f>IFERROR(__xludf.DUMMYFUNCTION("""COMPUTED_VALUE"""),"Khylan")</f>
        <v>Khylan</v>
      </c>
      <c r="E4908" s="6" t="str">
        <f>IFERROR(__xludf.DUMMYFUNCTION("""COMPUTED_VALUE"""),"")</f>
        <v/>
      </c>
      <c r="F4908" s="6" t="str">
        <f>IFERROR(__xludf.DUMMYFUNCTION("""COMPUTED_VALUE"""),"Harley")</f>
        <v>Harley</v>
      </c>
      <c r="G4908" s="6" t="str">
        <f>IFERROR(__xludf.DUMMYFUNCTION("""COMPUTED_VALUE"""),"07/10/2014")</f>
        <v>07/10/2014</v>
      </c>
      <c r="H4908" s="6" t="str">
        <f>IFERROR(__xludf.DUMMYFUNCTION("""COMPUTED_VALUE"""),"male")</f>
        <v>male</v>
      </c>
      <c r="I4908" s="6" t="str">
        <f>IFERROR(__xludf.DUMMYFUNCTION("""COMPUTED_VALUE"""),"Middle School")</f>
        <v>Middle School</v>
      </c>
      <c r="J4908" s="6" t="str">
        <f>IFERROR(__xludf.DUMMYFUNCTION("""COMPUTED_VALUE"""),"6")</f>
        <v>6</v>
      </c>
      <c r="K4908" s="6" t="str">
        <f>IFERROR(__xludf.DUMMYFUNCTION("""COMPUTED_VALUE"""),"khylan.harley@2hourlearning.com")</f>
        <v>khylan.harley@2hourlearning.com</v>
      </c>
      <c r="L4908" s="6" t="str">
        <f>IFERROR(__xludf.DUMMYFUNCTION("""COMPUTED_VALUE"""),"AFMS - Allendale Fairfax Middle School")</f>
        <v>AFMS - Allendale Fairfax Middle School</v>
      </c>
      <c r="M4908" s="6" t="str">
        <f>IFERROR(__xludf.DUMMYFUNCTION("""COMPUTED_VALUE"""),"")</f>
        <v/>
      </c>
      <c r="N4908" s="6" t="str">
        <f>IFERROR(__xludf.DUMMYFUNCTION("""COMPUTED_VALUE"""),"")</f>
        <v/>
      </c>
      <c r="O4908" s="87" t="str">
        <f>IFERROR(__xludf.DUMMYFUNCTION("""COMPUTED_VALUE"""),"https://drive.google.com/drive/folders/10T2cTQHqEJZqE-st6uFKPoI?usp=share_link")</f>
        <v>https://drive.google.com/drive/folders/10T2cTQHqEJZqE-st6uFKPoI?usp=share_link</v>
      </c>
      <c r="P4908" s="6" t="str">
        <f>IFERROR(__xludf.DUMMYFUNCTION("""COMPUTED_VALUE"""),"Khylan Harley")</f>
        <v>Khylan Harley</v>
      </c>
      <c r="Q4908" s="6" t="str">
        <f>IFERROR(__xludf.DUMMYFUNCTION("""COMPUTED_VALUE"""),"MS")</f>
        <v>MS</v>
      </c>
      <c r="R4908" s="6">
        <f>IFERROR(__xludf.DUMMYFUNCTION("""COMPUTED_VALUE"""),0.0)</f>
        <v>0</v>
      </c>
      <c r="S4908" s="6" t="str">
        <f>IFERROR(__xludf.DUMMYFUNCTION("""COMPUTED_VALUE"""),"Kimberly Ball")</f>
        <v>Kimberly Ball</v>
      </c>
      <c r="T4908" s="6" t="str">
        <f>IFERROR(__xludf.DUMMYFUNCTION("""COMPUTED_VALUE"""),"kimberly.ball@studient.com")</f>
        <v>kimberly.ball@studient.com</v>
      </c>
      <c r="U4908" s="6" t="str">
        <f>IFERROR(__xludf.DUMMYFUNCTION("""COMPUTED_VALUE"""),"6")</f>
        <v>6</v>
      </c>
      <c r="V4908" s="6" t="str">
        <f>IFERROR(__xludf.DUMMYFUNCTION("""COMPUTED_VALUE"""),"")</f>
        <v/>
      </c>
      <c r="W4908" s="6" t="str">
        <f>IFERROR(__xludf.DUMMYFUNCTION("""COMPUTED_VALUE"""),"[]")</f>
        <v>[]</v>
      </c>
      <c r="X4908" s="6" t="str">
        <f>IFERROR(__xludf.DUMMYFUNCTION("""COMPUTED_VALUE"""),"Enrolled")</f>
        <v>Enrolled</v>
      </c>
    </row>
    <row r="4909">
      <c r="A4909" s="6" t="str">
        <f>IFERROR(__xludf.DUMMYFUNCTION("""COMPUTED_VALUE"""),"085-11948")</f>
        <v>085-11948</v>
      </c>
      <c r="B4909" s="6" t="str">
        <f>IFERROR(__xludf.DUMMYFUNCTION("""COMPUTED_VALUE"""),"85")</f>
        <v>85</v>
      </c>
      <c r="C4909" s="6" t="str">
        <f>IFERROR(__xludf.DUMMYFUNCTION("""COMPUTED_VALUE"""),"11948")</f>
        <v>11948</v>
      </c>
      <c r="D4909" s="6" t="str">
        <f>IFERROR(__xludf.DUMMYFUNCTION("""COMPUTED_VALUE"""),"Kaison")</f>
        <v>Kaison</v>
      </c>
      <c r="E4909" s="6" t="str">
        <f>IFERROR(__xludf.DUMMYFUNCTION("""COMPUTED_VALUE"""),"")</f>
        <v/>
      </c>
      <c r="F4909" s="6" t="str">
        <f>IFERROR(__xludf.DUMMYFUNCTION("""COMPUTED_VALUE"""),"Hoover")</f>
        <v>Hoover</v>
      </c>
      <c r="G4909" s="6" t="str">
        <f>IFERROR(__xludf.DUMMYFUNCTION("""COMPUTED_VALUE"""),"08/26/2014")</f>
        <v>08/26/2014</v>
      </c>
      <c r="H4909" s="6" t="str">
        <f>IFERROR(__xludf.DUMMYFUNCTION("""COMPUTED_VALUE"""),"male")</f>
        <v>male</v>
      </c>
      <c r="I4909" s="6" t="str">
        <f>IFERROR(__xludf.DUMMYFUNCTION("""COMPUTED_VALUE"""),"Middle School")</f>
        <v>Middle School</v>
      </c>
      <c r="J4909" s="6" t="str">
        <f>IFERROR(__xludf.DUMMYFUNCTION("""COMPUTED_VALUE"""),"6")</f>
        <v>6</v>
      </c>
      <c r="K4909" s="6" t="str">
        <f>IFERROR(__xludf.DUMMYFUNCTION("""COMPUTED_VALUE"""),"kaison.hoover@2hourlearning.com")</f>
        <v>kaison.hoover@2hourlearning.com</v>
      </c>
      <c r="L4909" s="6" t="str">
        <f>IFERROR(__xludf.DUMMYFUNCTION("""COMPUTED_VALUE"""),"AFMS - Allendale Fairfax Middle School")</f>
        <v>AFMS - Allendale Fairfax Middle School</v>
      </c>
      <c r="M4909" s="6" t="str">
        <f>IFERROR(__xludf.DUMMYFUNCTION("""COMPUTED_VALUE"""),"")</f>
        <v/>
      </c>
      <c r="N4909" s="6" t="str">
        <f>IFERROR(__xludf.DUMMYFUNCTION("""COMPUTED_VALUE"""),"")</f>
        <v/>
      </c>
      <c r="O4909" s="87" t="str">
        <f>IFERROR(__xludf.DUMMYFUNCTION("""COMPUTED_VALUE"""),"https://drive.google.com/drive/folders/10T2cTQHqEJZqE-st6uFKPoI?usp=share_link")</f>
        <v>https://drive.google.com/drive/folders/10T2cTQHqEJZqE-st6uFKPoI?usp=share_link</v>
      </c>
      <c r="P4909" s="6" t="str">
        <f>IFERROR(__xludf.DUMMYFUNCTION("""COMPUTED_VALUE"""),"Kaison Hoover")</f>
        <v>Kaison Hoover</v>
      </c>
      <c r="Q4909" s="6" t="str">
        <f>IFERROR(__xludf.DUMMYFUNCTION("""COMPUTED_VALUE"""),"MS")</f>
        <v>MS</v>
      </c>
      <c r="R4909" s="6">
        <f>IFERROR(__xludf.DUMMYFUNCTION("""COMPUTED_VALUE"""),0.0)</f>
        <v>0</v>
      </c>
      <c r="S4909" s="6" t="str">
        <f>IFERROR(__xludf.DUMMYFUNCTION("""COMPUTED_VALUE"""),"Kimberly Ball")</f>
        <v>Kimberly Ball</v>
      </c>
      <c r="T4909" s="6" t="str">
        <f>IFERROR(__xludf.DUMMYFUNCTION("""COMPUTED_VALUE"""),"kimberly.ball@studient.com")</f>
        <v>kimberly.ball@studient.com</v>
      </c>
      <c r="U4909" s="6" t="str">
        <f>IFERROR(__xludf.DUMMYFUNCTION("""COMPUTED_VALUE"""),"6")</f>
        <v>6</v>
      </c>
      <c r="V4909" s="6" t="str">
        <f>IFERROR(__xludf.DUMMYFUNCTION("""COMPUTED_VALUE"""),"")</f>
        <v/>
      </c>
      <c r="W4909" s="6" t="str">
        <f>IFERROR(__xludf.DUMMYFUNCTION("""COMPUTED_VALUE"""),"[]")</f>
        <v>[]</v>
      </c>
      <c r="X4909" s="6" t="str">
        <f>IFERROR(__xludf.DUMMYFUNCTION("""COMPUTED_VALUE"""),"Enrolled")</f>
        <v>Enrolled</v>
      </c>
    </row>
    <row r="4910">
      <c r="A4910" s="6" t="str">
        <f>IFERROR(__xludf.DUMMYFUNCTION("""COMPUTED_VALUE"""),"085-11949")</f>
        <v>085-11949</v>
      </c>
      <c r="B4910" s="6" t="str">
        <f>IFERROR(__xludf.DUMMYFUNCTION("""COMPUTED_VALUE"""),"85")</f>
        <v>85</v>
      </c>
      <c r="C4910" s="6" t="str">
        <f>IFERROR(__xludf.DUMMYFUNCTION("""COMPUTED_VALUE"""),"11949")</f>
        <v>11949</v>
      </c>
      <c r="D4910" s="6" t="str">
        <f>IFERROR(__xludf.DUMMYFUNCTION("""COMPUTED_VALUE"""),"Mariah")</f>
        <v>Mariah</v>
      </c>
      <c r="E4910" s="6" t="str">
        <f>IFERROR(__xludf.DUMMYFUNCTION("""COMPUTED_VALUE"""),"")</f>
        <v/>
      </c>
      <c r="F4910" s="6" t="str">
        <f>IFERROR(__xludf.DUMMYFUNCTION("""COMPUTED_VALUE"""),"Housey")</f>
        <v>Housey</v>
      </c>
      <c r="G4910" s="6" t="str">
        <f>IFERROR(__xludf.DUMMYFUNCTION("""COMPUTED_VALUE"""),"12/08/2013")</f>
        <v>12/08/2013</v>
      </c>
      <c r="H4910" s="6" t="str">
        <f>IFERROR(__xludf.DUMMYFUNCTION("""COMPUTED_VALUE"""),"female")</f>
        <v>female</v>
      </c>
      <c r="I4910" s="6" t="str">
        <f>IFERROR(__xludf.DUMMYFUNCTION("""COMPUTED_VALUE"""),"Middle School")</f>
        <v>Middle School</v>
      </c>
      <c r="J4910" s="6" t="str">
        <f>IFERROR(__xludf.DUMMYFUNCTION("""COMPUTED_VALUE"""),"6")</f>
        <v>6</v>
      </c>
      <c r="K4910" s="6" t="str">
        <f>IFERROR(__xludf.DUMMYFUNCTION("""COMPUTED_VALUE"""),"mariah.housey@2hourlearning.com")</f>
        <v>mariah.housey@2hourlearning.com</v>
      </c>
      <c r="L4910" s="6" t="str">
        <f>IFERROR(__xludf.DUMMYFUNCTION("""COMPUTED_VALUE"""),"AFMS - Allendale Fairfax Middle School")</f>
        <v>AFMS - Allendale Fairfax Middle School</v>
      </c>
      <c r="M4910" s="6" t="str">
        <f>IFERROR(__xludf.DUMMYFUNCTION("""COMPUTED_VALUE"""),"")</f>
        <v/>
      </c>
      <c r="N4910" s="6" t="str">
        <f>IFERROR(__xludf.DUMMYFUNCTION("""COMPUTED_VALUE"""),"")</f>
        <v/>
      </c>
      <c r="O4910" s="87" t="str">
        <f>IFERROR(__xludf.DUMMYFUNCTION("""COMPUTED_VALUE"""),"https://drive.google.com/drive/folders/10T2cTQHqEJZqE-st6uFKPoI?usp=share_link")</f>
        <v>https://drive.google.com/drive/folders/10T2cTQHqEJZqE-st6uFKPoI?usp=share_link</v>
      </c>
      <c r="P4910" s="6" t="str">
        <f>IFERROR(__xludf.DUMMYFUNCTION("""COMPUTED_VALUE"""),"Mariah Housey")</f>
        <v>Mariah Housey</v>
      </c>
      <c r="Q4910" s="6" t="str">
        <f>IFERROR(__xludf.DUMMYFUNCTION("""COMPUTED_VALUE"""),"MS")</f>
        <v>MS</v>
      </c>
      <c r="R4910" s="6">
        <f>IFERROR(__xludf.DUMMYFUNCTION("""COMPUTED_VALUE"""),0.0)</f>
        <v>0</v>
      </c>
      <c r="S4910" s="6" t="str">
        <f>IFERROR(__xludf.DUMMYFUNCTION("""COMPUTED_VALUE"""),"Kimberly Ball")</f>
        <v>Kimberly Ball</v>
      </c>
      <c r="T4910" s="6" t="str">
        <f>IFERROR(__xludf.DUMMYFUNCTION("""COMPUTED_VALUE"""),"kimberly.ball@studient.com")</f>
        <v>kimberly.ball@studient.com</v>
      </c>
      <c r="U4910" s="6" t="str">
        <f>IFERROR(__xludf.DUMMYFUNCTION("""COMPUTED_VALUE"""),"6")</f>
        <v>6</v>
      </c>
      <c r="V4910" s="6" t="str">
        <f>IFERROR(__xludf.DUMMYFUNCTION("""COMPUTED_VALUE"""),"")</f>
        <v/>
      </c>
      <c r="W4910" s="6" t="str">
        <f>IFERROR(__xludf.DUMMYFUNCTION("""COMPUTED_VALUE"""),"[]")</f>
        <v>[]</v>
      </c>
      <c r="X4910" s="6" t="str">
        <f>IFERROR(__xludf.DUMMYFUNCTION("""COMPUTED_VALUE"""),"Enrolled")</f>
        <v>Enrolled</v>
      </c>
    </row>
    <row r="4911">
      <c r="A4911" s="6" t="str">
        <f>IFERROR(__xludf.DUMMYFUNCTION("""COMPUTED_VALUE"""),"085-11950")</f>
        <v>085-11950</v>
      </c>
      <c r="B4911" s="6" t="str">
        <f>IFERROR(__xludf.DUMMYFUNCTION("""COMPUTED_VALUE"""),"85")</f>
        <v>85</v>
      </c>
      <c r="C4911" s="6" t="str">
        <f>IFERROR(__xludf.DUMMYFUNCTION("""COMPUTED_VALUE"""),"11950")</f>
        <v>11950</v>
      </c>
      <c r="D4911" s="6" t="str">
        <f>IFERROR(__xludf.DUMMYFUNCTION("""COMPUTED_VALUE"""),"Arianna")</f>
        <v>Arianna</v>
      </c>
      <c r="E4911" s="6" t="str">
        <f>IFERROR(__xludf.DUMMYFUNCTION("""COMPUTED_VALUE"""),"")</f>
        <v/>
      </c>
      <c r="F4911" s="6" t="str">
        <f>IFERROR(__xludf.DUMMYFUNCTION("""COMPUTED_VALUE"""),"Jordan")</f>
        <v>Jordan</v>
      </c>
      <c r="G4911" s="6" t="str">
        <f>IFERROR(__xludf.DUMMYFUNCTION("""COMPUTED_VALUE"""),"06/17/2014")</f>
        <v>06/17/2014</v>
      </c>
      <c r="H4911" s="6" t="str">
        <f>IFERROR(__xludf.DUMMYFUNCTION("""COMPUTED_VALUE"""),"female")</f>
        <v>female</v>
      </c>
      <c r="I4911" s="6" t="str">
        <f>IFERROR(__xludf.DUMMYFUNCTION("""COMPUTED_VALUE"""),"Middle School")</f>
        <v>Middle School</v>
      </c>
      <c r="J4911" s="6" t="str">
        <f>IFERROR(__xludf.DUMMYFUNCTION("""COMPUTED_VALUE"""),"6")</f>
        <v>6</v>
      </c>
      <c r="K4911" s="6" t="str">
        <f>IFERROR(__xludf.DUMMYFUNCTION("""COMPUTED_VALUE"""),"arianna.jordan@2hourlearning.com")</f>
        <v>arianna.jordan@2hourlearning.com</v>
      </c>
      <c r="L4911" s="6" t="str">
        <f>IFERROR(__xludf.DUMMYFUNCTION("""COMPUTED_VALUE"""),"AFMS - Allendale Fairfax Middle School")</f>
        <v>AFMS - Allendale Fairfax Middle School</v>
      </c>
      <c r="M4911" s="6" t="str">
        <f>IFERROR(__xludf.DUMMYFUNCTION("""COMPUTED_VALUE"""),"")</f>
        <v/>
      </c>
      <c r="N4911" s="6" t="str">
        <f>IFERROR(__xludf.DUMMYFUNCTION("""COMPUTED_VALUE"""),"")</f>
        <v/>
      </c>
      <c r="O4911" s="87" t="str">
        <f>IFERROR(__xludf.DUMMYFUNCTION("""COMPUTED_VALUE"""),"https://drive.google.com/drive/folders/10T2cTQHqEJZqE-st6uFKPoI?usp=share_link")</f>
        <v>https://drive.google.com/drive/folders/10T2cTQHqEJZqE-st6uFKPoI?usp=share_link</v>
      </c>
      <c r="P4911" s="6" t="str">
        <f>IFERROR(__xludf.DUMMYFUNCTION("""COMPUTED_VALUE"""),"Arianna Jordan")</f>
        <v>Arianna Jordan</v>
      </c>
      <c r="Q4911" s="6" t="str">
        <f>IFERROR(__xludf.DUMMYFUNCTION("""COMPUTED_VALUE"""),"MS")</f>
        <v>MS</v>
      </c>
      <c r="R4911" s="6">
        <f>IFERROR(__xludf.DUMMYFUNCTION("""COMPUTED_VALUE"""),0.0)</f>
        <v>0</v>
      </c>
      <c r="S4911" s="6" t="str">
        <f>IFERROR(__xludf.DUMMYFUNCTION("""COMPUTED_VALUE"""),"Kimberly Ball")</f>
        <v>Kimberly Ball</v>
      </c>
      <c r="T4911" s="6" t="str">
        <f>IFERROR(__xludf.DUMMYFUNCTION("""COMPUTED_VALUE"""),"kimberly.ball@studient.com")</f>
        <v>kimberly.ball@studient.com</v>
      </c>
      <c r="U4911" s="6" t="str">
        <f>IFERROR(__xludf.DUMMYFUNCTION("""COMPUTED_VALUE"""),"6")</f>
        <v>6</v>
      </c>
      <c r="V4911" s="6" t="str">
        <f>IFERROR(__xludf.DUMMYFUNCTION("""COMPUTED_VALUE"""),"")</f>
        <v/>
      </c>
      <c r="W4911" s="6" t="str">
        <f>IFERROR(__xludf.DUMMYFUNCTION("""COMPUTED_VALUE"""),"[]")</f>
        <v>[]</v>
      </c>
      <c r="X4911" s="6" t="str">
        <f>IFERROR(__xludf.DUMMYFUNCTION("""COMPUTED_VALUE"""),"Enrolled")</f>
        <v>Enrolled</v>
      </c>
    </row>
    <row r="4912">
      <c r="A4912" s="6" t="str">
        <f>IFERROR(__xludf.DUMMYFUNCTION("""COMPUTED_VALUE"""),"085-11951")</f>
        <v>085-11951</v>
      </c>
      <c r="B4912" s="6" t="str">
        <f>IFERROR(__xludf.DUMMYFUNCTION("""COMPUTED_VALUE"""),"85")</f>
        <v>85</v>
      </c>
      <c r="C4912" s="6" t="str">
        <f>IFERROR(__xludf.DUMMYFUNCTION("""COMPUTED_VALUE"""),"11951")</f>
        <v>11951</v>
      </c>
      <c r="D4912" s="6" t="str">
        <f>IFERROR(__xludf.DUMMYFUNCTION("""COMPUTED_VALUE"""),"Lilly")</f>
        <v>Lilly</v>
      </c>
      <c r="E4912" s="6" t="str">
        <f>IFERROR(__xludf.DUMMYFUNCTION("""COMPUTED_VALUE"""),"")</f>
        <v/>
      </c>
      <c r="F4912" s="6" t="str">
        <f>IFERROR(__xludf.DUMMYFUNCTION("""COMPUTED_VALUE"""),"Kinard")</f>
        <v>Kinard</v>
      </c>
      <c r="G4912" s="6" t="str">
        <f>IFERROR(__xludf.DUMMYFUNCTION("""COMPUTED_VALUE"""),"05/21/2014")</f>
        <v>05/21/2014</v>
      </c>
      <c r="H4912" s="6" t="str">
        <f>IFERROR(__xludf.DUMMYFUNCTION("""COMPUTED_VALUE"""),"female")</f>
        <v>female</v>
      </c>
      <c r="I4912" s="6" t="str">
        <f>IFERROR(__xludf.DUMMYFUNCTION("""COMPUTED_VALUE"""),"Middle School")</f>
        <v>Middle School</v>
      </c>
      <c r="J4912" s="6" t="str">
        <f>IFERROR(__xludf.DUMMYFUNCTION("""COMPUTED_VALUE"""),"6")</f>
        <v>6</v>
      </c>
      <c r="K4912" s="6" t="str">
        <f>IFERROR(__xludf.DUMMYFUNCTION("""COMPUTED_VALUE"""),"lilly.kinard@2hourlearning.com")</f>
        <v>lilly.kinard@2hourlearning.com</v>
      </c>
      <c r="L4912" s="6" t="str">
        <f>IFERROR(__xludf.DUMMYFUNCTION("""COMPUTED_VALUE"""),"AFMS - Allendale Fairfax Middle School")</f>
        <v>AFMS - Allendale Fairfax Middle School</v>
      </c>
      <c r="M4912" s="6" t="str">
        <f>IFERROR(__xludf.DUMMYFUNCTION("""COMPUTED_VALUE"""),"")</f>
        <v/>
      </c>
      <c r="N4912" s="6" t="str">
        <f>IFERROR(__xludf.DUMMYFUNCTION("""COMPUTED_VALUE"""),"")</f>
        <v/>
      </c>
      <c r="O4912" s="87" t="str">
        <f>IFERROR(__xludf.DUMMYFUNCTION("""COMPUTED_VALUE"""),"https://drive.google.com/drive/folders/10T2cTQHqEJZqE-st6uFKPoI?usp=share_link")</f>
        <v>https://drive.google.com/drive/folders/10T2cTQHqEJZqE-st6uFKPoI?usp=share_link</v>
      </c>
      <c r="P4912" s="6" t="str">
        <f>IFERROR(__xludf.DUMMYFUNCTION("""COMPUTED_VALUE"""),"Lilly Kinard")</f>
        <v>Lilly Kinard</v>
      </c>
      <c r="Q4912" s="6" t="str">
        <f>IFERROR(__xludf.DUMMYFUNCTION("""COMPUTED_VALUE"""),"MS")</f>
        <v>MS</v>
      </c>
      <c r="R4912" s="6">
        <f>IFERROR(__xludf.DUMMYFUNCTION("""COMPUTED_VALUE"""),0.0)</f>
        <v>0</v>
      </c>
      <c r="S4912" s="6" t="str">
        <f>IFERROR(__xludf.DUMMYFUNCTION("""COMPUTED_VALUE"""),"Kimberly Ball")</f>
        <v>Kimberly Ball</v>
      </c>
      <c r="T4912" s="6" t="str">
        <f>IFERROR(__xludf.DUMMYFUNCTION("""COMPUTED_VALUE"""),"kimberly.ball@studient.com")</f>
        <v>kimberly.ball@studient.com</v>
      </c>
      <c r="U4912" s="6" t="str">
        <f>IFERROR(__xludf.DUMMYFUNCTION("""COMPUTED_VALUE"""),"6")</f>
        <v>6</v>
      </c>
      <c r="V4912" s="6" t="str">
        <f>IFERROR(__xludf.DUMMYFUNCTION("""COMPUTED_VALUE"""),"")</f>
        <v/>
      </c>
      <c r="W4912" s="6" t="str">
        <f>IFERROR(__xludf.DUMMYFUNCTION("""COMPUTED_VALUE"""),"[]")</f>
        <v>[]</v>
      </c>
      <c r="X4912" s="6" t="str">
        <f>IFERROR(__xludf.DUMMYFUNCTION("""COMPUTED_VALUE"""),"Enrolled")</f>
        <v>Enrolled</v>
      </c>
    </row>
    <row r="4913">
      <c r="A4913" s="6" t="str">
        <f>IFERROR(__xludf.DUMMYFUNCTION("""COMPUTED_VALUE"""),"085-11952")</f>
        <v>085-11952</v>
      </c>
      <c r="B4913" s="6" t="str">
        <f>IFERROR(__xludf.DUMMYFUNCTION("""COMPUTED_VALUE"""),"85")</f>
        <v>85</v>
      </c>
      <c r="C4913" s="6" t="str">
        <f>IFERROR(__xludf.DUMMYFUNCTION("""COMPUTED_VALUE"""),"11952")</f>
        <v>11952</v>
      </c>
      <c r="D4913" s="6" t="str">
        <f>IFERROR(__xludf.DUMMYFUNCTION("""COMPUTED_VALUE"""),"Nyleishah")</f>
        <v>Nyleishah</v>
      </c>
      <c r="E4913" s="6" t="str">
        <f>IFERROR(__xludf.DUMMYFUNCTION("""COMPUTED_VALUE"""),"")</f>
        <v/>
      </c>
      <c r="F4913" s="6" t="str">
        <f>IFERROR(__xludf.DUMMYFUNCTION("""COMPUTED_VALUE"""),"Lee-Brant")</f>
        <v>Lee-Brant</v>
      </c>
      <c r="G4913" s="6" t="str">
        <f>IFERROR(__xludf.DUMMYFUNCTION("""COMPUTED_VALUE"""),"07/14/2014")</f>
        <v>07/14/2014</v>
      </c>
      <c r="H4913" s="6" t="str">
        <f>IFERROR(__xludf.DUMMYFUNCTION("""COMPUTED_VALUE"""),"female")</f>
        <v>female</v>
      </c>
      <c r="I4913" s="6" t="str">
        <f>IFERROR(__xludf.DUMMYFUNCTION("""COMPUTED_VALUE"""),"Middle School")</f>
        <v>Middle School</v>
      </c>
      <c r="J4913" s="6" t="str">
        <f>IFERROR(__xludf.DUMMYFUNCTION("""COMPUTED_VALUE"""),"6")</f>
        <v>6</v>
      </c>
      <c r="K4913" s="6" t="str">
        <f>IFERROR(__xludf.DUMMYFUNCTION("""COMPUTED_VALUE"""),"nyleishah.lee-brant@2hourlearning.com")</f>
        <v>nyleishah.lee-brant@2hourlearning.com</v>
      </c>
      <c r="L4913" s="6" t="str">
        <f>IFERROR(__xludf.DUMMYFUNCTION("""COMPUTED_VALUE"""),"AFMS - Allendale Fairfax Middle School")</f>
        <v>AFMS - Allendale Fairfax Middle School</v>
      </c>
      <c r="M4913" s="6" t="str">
        <f>IFERROR(__xludf.DUMMYFUNCTION("""COMPUTED_VALUE"""),"")</f>
        <v/>
      </c>
      <c r="N4913" s="6" t="str">
        <f>IFERROR(__xludf.DUMMYFUNCTION("""COMPUTED_VALUE"""),"")</f>
        <v/>
      </c>
      <c r="O4913" s="87" t="str">
        <f>IFERROR(__xludf.DUMMYFUNCTION("""COMPUTED_VALUE"""),"https://drive.google.com/drive/folders/10T2cTQHqEJZqE-st6uFKPoI?usp=share_link")</f>
        <v>https://drive.google.com/drive/folders/10T2cTQHqEJZqE-st6uFKPoI?usp=share_link</v>
      </c>
      <c r="P4913" s="6" t="str">
        <f>IFERROR(__xludf.DUMMYFUNCTION("""COMPUTED_VALUE"""),"Nyleishah Lee-Brant")</f>
        <v>Nyleishah Lee-Brant</v>
      </c>
      <c r="Q4913" s="6" t="str">
        <f>IFERROR(__xludf.DUMMYFUNCTION("""COMPUTED_VALUE"""),"MS")</f>
        <v>MS</v>
      </c>
      <c r="R4913" s="6">
        <f>IFERROR(__xludf.DUMMYFUNCTION("""COMPUTED_VALUE"""),0.0)</f>
        <v>0</v>
      </c>
      <c r="S4913" s="6" t="str">
        <f>IFERROR(__xludf.DUMMYFUNCTION("""COMPUTED_VALUE"""),"Kimberly Ball")</f>
        <v>Kimberly Ball</v>
      </c>
      <c r="T4913" s="6" t="str">
        <f>IFERROR(__xludf.DUMMYFUNCTION("""COMPUTED_VALUE"""),"kimberly.ball@studient.com")</f>
        <v>kimberly.ball@studient.com</v>
      </c>
      <c r="U4913" s="6" t="str">
        <f>IFERROR(__xludf.DUMMYFUNCTION("""COMPUTED_VALUE"""),"6")</f>
        <v>6</v>
      </c>
      <c r="V4913" s="6" t="str">
        <f>IFERROR(__xludf.DUMMYFUNCTION("""COMPUTED_VALUE"""),"")</f>
        <v/>
      </c>
      <c r="W4913" s="6" t="str">
        <f>IFERROR(__xludf.DUMMYFUNCTION("""COMPUTED_VALUE"""),"[]")</f>
        <v>[]</v>
      </c>
      <c r="X4913" s="6" t="str">
        <f>IFERROR(__xludf.DUMMYFUNCTION("""COMPUTED_VALUE"""),"Enrolled")</f>
        <v>Enrolled</v>
      </c>
    </row>
    <row r="4914">
      <c r="A4914" s="6" t="str">
        <f>IFERROR(__xludf.DUMMYFUNCTION("""COMPUTED_VALUE"""),"085-11953")</f>
        <v>085-11953</v>
      </c>
      <c r="B4914" s="6" t="str">
        <f>IFERROR(__xludf.DUMMYFUNCTION("""COMPUTED_VALUE"""),"85")</f>
        <v>85</v>
      </c>
      <c r="C4914" s="6" t="str">
        <f>IFERROR(__xludf.DUMMYFUNCTION("""COMPUTED_VALUE"""),"11953")</f>
        <v>11953</v>
      </c>
      <c r="D4914" s="6" t="str">
        <f>IFERROR(__xludf.DUMMYFUNCTION("""COMPUTED_VALUE"""),"Promise")</f>
        <v>Promise</v>
      </c>
      <c r="E4914" s="6" t="str">
        <f>IFERROR(__xludf.DUMMYFUNCTION("""COMPUTED_VALUE"""),"")</f>
        <v/>
      </c>
      <c r="F4914" s="6" t="str">
        <f>IFERROR(__xludf.DUMMYFUNCTION("""COMPUTED_VALUE"""),"Lewis")</f>
        <v>Lewis</v>
      </c>
      <c r="G4914" s="6" t="str">
        <f>IFERROR(__xludf.DUMMYFUNCTION("""COMPUTED_VALUE"""),"10/16/2013")</f>
        <v>10/16/2013</v>
      </c>
      <c r="H4914" s="6" t="str">
        <f>IFERROR(__xludf.DUMMYFUNCTION("""COMPUTED_VALUE"""),"female")</f>
        <v>female</v>
      </c>
      <c r="I4914" s="6" t="str">
        <f>IFERROR(__xludf.DUMMYFUNCTION("""COMPUTED_VALUE"""),"Middle School")</f>
        <v>Middle School</v>
      </c>
      <c r="J4914" s="6" t="str">
        <f>IFERROR(__xludf.DUMMYFUNCTION("""COMPUTED_VALUE"""),"6")</f>
        <v>6</v>
      </c>
      <c r="K4914" s="6" t="str">
        <f>IFERROR(__xludf.DUMMYFUNCTION("""COMPUTED_VALUE"""),"promise.lewis@2hourlearning.com")</f>
        <v>promise.lewis@2hourlearning.com</v>
      </c>
      <c r="L4914" s="6" t="str">
        <f>IFERROR(__xludf.DUMMYFUNCTION("""COMPUTED_VALUE"""),"AFMS - Allendale Fairfax Middle School")</f>
        <v>AFMS - Allendale Fairfax Middle School</v>
      </c>
      <c r="M4914" s="6" t="str">
        <f>IFERROR(__xludf.DUMMYFUNCTION("""COMPUTED_VALUE"""),"")</f>
        <v/>
      </c>
      <c r="N4914" s="6" t="str">
        <f>IFERROR(__xludf.DUMMYFUNCTION("""COMPUTED_VALUE"""),"")</f>
        <v/>
      </c>
      <c r="O4914" s="87" t="str">
        <f>IFERROR(__xludf.DUMMYFUNCTION("""COMPUTED_VALUE"""),"https://drive.google.com/drive/folders/10T2cTQHqEJZqE-st6uFKPoI?usp=share_link")</f>
        <v>https://drive.google.com/drive/folders/10T2cTQHqEJZqE-st6uFKPoI?usp=share_link</v>
      </c>
      <c r="P4914" s="6" t="str">
        <f>IFERROR(__xludf.DUMMYFUNCTION("""COMPUTED_VALUE"""),"Promise Lewis")</f>
        <v>Promise Lewis</v>
      </c>
      <c r="Q4914" s="6" t="str">
        <f>IFERROR(__xludf.DUMMYFUNCTION("""COMPUTED_VALUE"""),"MS")</f>
        <v>MS</v>
      </c>
      <c r="R4914" s="6">
        <f>IFERROR(__xludf.DUMMYFUNCTION("""COMPUTED_VALUE"""),0.0)</f>
        <v>0</v>
      </c>
      <c r="S4914" s="6" t="str">
        <f>IFERROR(__xludf.DUMMYFUNCTION("""COMPUTED_VALUE"""),"Kimberly Ball")</f>
        <v>Kimberly Ball</v>
      </c>
      <c r="T4914" s="6" t="str">
        <f>IFERROR(__xludf.DUMMYFUNCTION("""COMPUTED_VALUE"""),"kimberly.ball@studient.com")</f>
        <v>kimberly.ball@studient.com</v>
      </c>
      <c r="U4914" s="6" t="str">
        <f>IFERROR(__xludf.DUMMYFUNCTION("""COMPUTED_VALUE"""),"6")</f>
        <v>6</v>
      </c>
      <c r="V4914" s="6" t="str">
        <f>IFERROR(__xludf.DUMMYFUNCTION("""COMPUTED_VALUE"""),"")</f>
        <v/>
      </c>
      <c r="W4914" s="6" t="str">
        <f>IFERROR(__xludf.DUMMYFUNCTION("""COMPUTED_VALUE"""),"[]")</f>
        <v>[]</v>
      </c>
      <c r="X4914" s="6" t="str">
        <f>IFERROR(__xludf.DUMMYFUNCTION("""COMPUTED_VALUE"""),"Enrolled")</f>
        <v>Enrolled</v>
      </c>
    </row>
    <row r="4915">
      <c r="A4915" s="6" t="str">
        <f>IFERROR(__xludf.DUMMYFUNCTION("""COMPUTED_VALUE"""),"085-11954")</f>
        <v>085-11954</v>
      </c>
      <c r="B4915" s="6" t="str">
        <f>IFERROR(__xludf.DUMMYFUNCTION("""COMPUTED_VALUE"""),"85")</f>
        <v>85</v>
      </c>
      <c r="C4915" s="6" t="str">
        <f>IFERROR(__xludf.DUMMYFUNCTION("""COMPUTED_VALUE"""),"11954")</f>
        <v>11954</v>
      </c>
      <c r="D4915" s="6" t="str">
        <f>IFERROR(__xludf.DUMMYFUNCTION("""COMPUTED_VALUE"""),"Nikel")</f>
        <v>Nikel</v>
      </c>
      <c r="E4915" s="6" t="str">
        <f>IFERROR(__xludf.DUMMYFUNCTION("""COMPUTED_VALUE"""),"")</f>
        <v/>
      </c>
      <c r="F4915" s="6" t="str">
        <f>IFERROR(__xludf.DUMMYFUNCTION("""COMPUTED_VALUE"""),"Lofton")</f>
        <v>Lofton</v>
      </c>
      <c r="G4915" s="6" t="str">
        <f>IFERROR(__xludf.DUMMYFUNCTION("""COMPUTED_VALUE"""),"06/10/2014")</f>
        <v>06/10/2014</v>
      </c>
      <c r="H4915" s="6" t="str">
        <f>IFERROR(__xludf.DUMMYFUNCTION("""COMPUTED_VALUE"""),"male")</f>
        <v>male</v>
      </c>
      <c r="I4915" s="6" t="str">
        <f>IFERROR(__xludf.DUMMYFUNCTION("""COMPUTED_VALUE"""),"Middle School")</f>
        <v>Middle School</v>
      </c>
      <c r="J4915" s="6" t="str">
        <f>IFERROR(__xludf.DUMMYFUNCTION("""COMPUTED_VALUE"""),"6")</f>
        <v>6</v>
      </c>
      <c r="K4915" s="6" t="str">
        <f>IFERROR(__xludf.DUMMYFUNCTION("""COMPUTED_VALUE"""),"nikel.lofton@2hourlearning.com")</f>
        <v>nikel.lofton@2hourlearning.com</v>
      </c>
      <c r="L4915" s="6" t="str">
        <f>IFERROR(__xludf.DUMMYFUNCTION("""COMPUTED_VALUE"""),"AFMS - Allendale Fairfax Middle School")</f>
        <v>AFMS - Allendale Fairfax Middle School</v>
      </c>
      <c r="M4915" s="6" t="str">
        <f>IFERROR(__xludf.DUMMYFUNCTION("""COMPUTED_VALUE"""),"")</f>
        <v/>
      </c>
      <c r="N4915" s="6" t="str">
        <f>IFERROR(__xludf.DUMMYFUNCTION("""COMPUTED_VALUE"""),"")</f>
        <v/>
      </c>
      <c r="O4915" s="87" t="str">
        <f>IFERROR(__xludf.DUMMYFUNCTION("""COMPUTED_VALUE"""),"https://drive.google.com/drive/folders/10T2cTQHqEJZqE-st6uFKPoI?usp=share_link")</f>
        <v>https://drive.google.com/drive/folders/10T2cTQHqEJZqE-st6uFKPoI?usp=share_link</v>
      </c>
      <c r="P4915" s="6" t="str">
        <f>IFERROR(__xludf.DUMMYFUNCTION("""COMPUTED_VALUE"""),"Nikel Lofton")</f>
        <v>Nikel Lofton</v>
      </c>
      <c r="Q4915" s="6" t="str">
        <f>IFERROR(__xludf.DUMMYFUNCTION("""COMPUTED_VALUE"""),"MS")</f>
        <v>MS</v>
      </c>
      <c r="R4915" s="6">
        <f>IFERROR(__xludf.DUMMYFUNCTION("""COMPUTED_VALUE"""),0.0)</f>
        <v>0</v>
      </c>
      <c r="S4915" s="6" t="str">
        <f>IFERROR(__xludf.DUMMYFUNCTION("""COMPUTED_VALUE"""),"Kimberly Ball")</f>
        <v>Kimberly Ball</v>
      </c>
      <c r="T4915" s="6" t="str">
        <f>IFERROR(__xludf.DUMMYFUNCTION("""COMPUTED_VALUE"""),"kimberly.ball@studient.com")</f>
        <v>kimberly.ball@studient.com</v>
      </c>
      <c r="U4915" s="6" t="str">
        <f>IFERROR(__xludf.DUMMYFUNCTION("""COMPUTED_VALUE"""),"6")</f>
        <v>6</v>
      </c>
      <c r="V4915" s="6" t="str">
        <f>IFERROR(__xludf.DUMMYFUNCTION("""COMPUTED_VALUE"""),"")</f>
        <v/>
      </c>
      <c r="W4915" s="6" t="str">
        <f>IFERROR(__xludf.DUMMYFUNCTION("""COMPUTED_VALUE"""),"[]")</f>
        <v>[]</v>
      </c>
      <c r="X4915" s="6" t="str">
        <f>IFERROR(__xludf.DUMMYFUNCTION("""COMPUTED_VALUE"""),"Enrolled")</f>
        <v>Enrolled</v>
      </c>
    </row>
    <row r="4916">
      <c r="A4916" s="6" t="str">
        <f>IFERROR(__xludf.DUMMYFUNCTION("""COMPUTED_VALUE"""),"085-11955")</f>
        <v>085-11955</v>
      </c>
      <c r="B4916" s="6" t="str">
        <f>IFERROR(__xludf.DUMMYFUNCTION("""COMPUTED_VALUE"""),"85")</f>
        <v>85</v>
      </c>
      <c r="C4916" s="6" t="str">
        <f>IFERROR(__xludf.DUMMYFUNCTION("""COMPUTED_VALUE"""),"11955")</f>
        <v>11955</v>
      </c>
      <c r="D4916" s="6" t="str">
        <f>IFERROR(__xludf.DUMMYFUNCTION("""COMPUTED_VALUE"""),"Kyle")</f>
        <v>Kyle</v>
      </c>
      <c r="E4916" s="6" t="str">
        <f>IFERROR(__xludf.DUMMYFUNCTION("""COMPUTED_VALUE"""),"")</f>
        <v/>
      </c>
      <c r="F4916" s="6" t="str">
        <f>IFERROR(__xludf.DUMMYFUNCTION("""COMPUTED_VALUE"""),"Odom")</f>
        <v>Odom</v>
      </c>
      <c r="G4916" s="6" t="str">
        <f>IFERROR(__xludf.DUMMYFUNCTION("""COMPUTED_VALUE"""),"01/14/2013")</f>
        <v>01/14/2013</v>
      </c>
      <c r="H4916" s="6" t="str">
        <f>IFERROR(__xludf.DUMMYFUNCTION("""COMPUTED_VALUE"""),"male")</f>
        <v>male</v>
      </c>
      <c r="I4916" s="6" t="str">
        <f>IFERROR(__xludf.DUMMYFUNCTION("""COMPUTED_VALUE"""),"Middle School")</f>
        <v>Middle School</v>
      </c>
      <c r="J4916" s="6" t="str">
        <f>IFERROR(__xludf.DUMMYFUNCTION("""COMPUTED_VALUE"""),"6")</f>
        <v>6</v>
      </c>
      <c r="K4916" s="6" t="str">
        <f>IFERROR(__xludf.DUMMYFUNCTION("""COMPUTED_VALUE"""),"kyle.odom@2hourlearning.com")</f>
        <v>kyle.odom@2hourlearning.com</v>
      </c>
      <c r="L4916" s="6" t="str">
        <f>IFERROR(__xludf.DUMMYFUNCTION("""COMPUTED_VALUE"""),"AFMS - Allendale Fairfax Middle School")</f>
        <v>AFMS - Allendale Fairfax Middle School</v>
      </c>
      <c r="M4916" s="6" t="str">
        <f>IFERROR(__xludf.DUMMYFUNCTION("""COMPUTED_VALUE"""),"")</f>
        <v/>
      </c>
      <c r="N4916" s="6" t="str">
        <f>IFERROR(__xludf.DUMMYFUNCTION("""COMPUTED_VALUE"""),"")</f>
        <v/>
      </c>
      <c r="O4916" s="87" t="str">
        <f>IFERROR(__xludf.DUMMYFUNCTION("""COMPUTED_VALUE"""),"https://drive.google.com/drive/folders/10T2cTQHqEJZqE-st6uFKPoI?usp=share_link")</f>
        <v>https://drive.google.com/drive/folders/10T2cTQHqEJZqE-st6uFKPoI?usp=share_link</v>
      </c>
      <c r="P4916" s="6" t="str">
        <f>IFERROR(__xludf.DUMMYFUNCTION("""COMPUTED_VALUE"""),"Kyle Odom")</f>
        <v>Kyle Odom</v>
      </c>
      <c r="Q4916" s="6" t="str">
        <f>IFERROR(__xludf.DUMMYFUNCTION("""COMPUTED_VALUE"""),"MS")</f>
        <v>MS</v>
      </c>
      <c r="R4916" s="6">
        <f>IFERROR(__xludf.DUMMYFUNCTION("""COMPUTED_VALUE"""),0.0)</f>
        <v>0</v>
      </c>
      <c r="S4916" s="6" t="str">
        <f>IFERROR(__xludf.DUMMYFUNCTION("""COMPUTED_VALUE"""),"Kimberly Ball")</f>
        <v>Kimberly Ball</v>
      </c>
      <c r="T4916" s="6" t="str">
        <f>IFERROR(__xludf.DUMMYFUNCTION("""COMPUTED_VALUE"""),"kimberly.ball@studient.com")</f>
        <v>kimberly.ball@studient.com</v>
      </c>
      <c r="U4916" s="6" t="str">
        <f>IFERROR(__xludf.DUMMYFUNCTION("""COMPUTED_VALUE"""),"6")</f>
        <v>6</v>
      </c>
      <c r="V4916" s="6" t="str">
        <f>IFERROR(__xludf.DUMMYFUNCTION("""COMPUTED_VALUE"""),"")</f>
        <v/>
      </c>
      <c r="W4916" s="6" t="str">
        <f>IFERROR(__xludf.DUMMYFUNCTION("""COMPUTED_VALUE"""),"[]")</f>
        <v>[]</v>
      </c>
      <c r="X4916" s="6" t="str">
        <f>IFERROR(__xludf.DUMMYFUNCTION("""COMPUTED_VALUE"""),"Enrolled")</f>
        <v>Enrolled</v>
      </c>
    </row>
    <row r="4917">
      <c r="A4917" s="6" t="str">
        <f>IFERROR(__xludf.DUMMYFUNCTION("""COMPUTED_VALUE"""),"085-11956")</f>
        <v>085-11956</v>
      </c>
      <c r="B4917" s="6" t="str">
        <f>IFERROR(__xludf.DUMMYFUNCTION("""COMPUTED_VALUE"""),"85")</f>
        <v>85</v>
      </c>
      <c r="C4917" s="6" t="str">
        <f>IFERROR(__xludf.DUMMYFUNCTION("""COMPUTED_VALUE"""),"11956")</f>
        <v>11956</v>
      </c>
      <c r="D4917" s="6" t="str">
        <f>IFERROR(__xludf.DUMMYFUNCTION("""COMPUTED_VALUE"""),"Amber")</f>
        <v>Amber</v>
      </c>
      <c r="E4917" s="6" t="str">
        <f>IFERROR(__xludf.DUMMYFUNCTION("""COMPUTED_VALUE"""),"")</f>
        <v/>
      </c>
      <c r="F4917" s="6" t="str">
        <f>IFERROR(__xludf.DUMMYFUNCTION("""COMPUTED_VALUE"""),"Odoms")</f>
        <v>Odoms</v>
      </c>
      <c r="G4917" s="6" t="str">
        <f>IFERROR(__xludf.DUMMYFUNCTION("""COMPUTED_VALUE"""),"09/26/2013")</f>
        <v>09/26/2013</v>
      </c>
      <c r="H4917" s="6" t="str">
        <f>IFERROR(__xludf.DUMMYFUNCTION("""COMPUTED_VALUE"""),"female")</f>
        <v>female</v>
      </c>
      <c r="I4917" s="6" t="str">
        <f>IFERROR(__xludf.DUMMYFUNCTION("""COMPUTED_VALUE"""),"Middle School")</f>
        <v>Middle School</v>
      </c>
      <c r="J4917" s="6" t="str">
        <f>IFERROR(__xludf.DUMMYFUNCTION("""COMPUTED_VALUE"""),"6")</f>
        <v>6</v>
      </c>
      <c r="K4917" s="6" t="str">
        <f>IFERROR(__xludf.DUMMYFUNCTION("""COMPUTED_VALUE"""),"amber.odoms@2hourlearning.com")</f>
        <v>amber.odoms@2hourlearning.com</v>
      </c>
      <c r="L4917" s="6" t="str">
        <f>IFERROR(__xludf.DUMMYFUNCTION("""COMPUTED_VALUE"""),"AFMS - Allendale Fairfax Middle School")</f>
        <v>AFMS - Allendale Fairfax Middle School</v>
      </c>
      <c r="M4917" s="6" t="str">
        <f>IFERROR(__xludf.DUMMYFUNCTION("""COMPUTED_VALUE"""),"")</f>
        <v/>
      </c>
      <c r="N4917" s="6" t="str">
        <f>IFERROR(__xludf.DUMMYFUNCTION("""COMPUTED_VALUE"""),"")</f>
        <v/>
      </c>
      <c r="O4917" s="87" t="str">
        <f>IFERROR(__xludf.DUMMYFUNCTION("""COMPUTED_VALUE"""),"https://drive.google.com/drive/folders/10T2cTQHqEJZqE-st6uFKPoI?usp=share_link")</f>
        <v>https://drive.google.com/drive/folders/10T2cTQHqEJZqE-st6uFKPoI?usp=share_link</v>
      </c>
      <c r="P4917" s="6" t="str">
        <f>IFERROR(__xludf.DUMMYFUNCTION("""COMPUTED_VALUE"""),"Amber Odoms")</f>
        <v>Amber Odoms</v>
      </c>
      <c r="Q4917" s="6" t="str">
        <f>IFERROR(__xludf.DUMMYFUNCTION("""COMPUTED_VALUE"""),"MS")</f>
        <v>MS</v>
      </c>
      <c r="R4917" s="6">
        <f>IFERROR(__xludf.DUMMYFUNCTION("""COMPUTED_VALUE"""),0.0)</f>
        <v>0</v>
      </c>
      <c r="S4917" s="6" t="str">
        <f>IFERROR(__xludf.DUMMYFUNCTION("""COMPUTED_VALUE"""),"Kimberly Ball")</f>
        <v>Kimberly Ball</v>
      </c>
      <c r="T4917" s="6" t="str">
        <f>IFERROR(__xludf.DUMMYFUNCTION("""COMPUTED_VALUE"""),"kimberly.ball@studient.com")</f>
        <v>kimberly.ball@studient.com</v>
      </c>
      <c r="U4917" s="6" t="str">
        <f>IFERROR(__xludf.DUMMYFUNCTION("""COMPUTED_VALUE"""),"6")</f>
        <v>6</v>
      </c>
      <c r="V4917" s="6" t="str">
        <f>IFERROR(__xludf.DUMMYFUNCTION("""COMPUTED_VALUE"""),"")</f>
        <v/>
      </c>
      <c r="W4917" s="6" t="str">
        <f>IFERROR(__xludf.DUMMYFUNCTION("""COMPUTED_VALUE"""),"[]")</f>
        <v>[]</v>
      </c>
      <c r="X4917" s="6" t="str">
        <f>IFERROR(__xludf.DUMMYFUNCTION("""COMPUTED_VALUE"""),"Enrolled")</f>
        <v>Enrolled</v>
      </c>
    </row>
    <row r="4918">
      <c r="A4918" s="6" t="str">
        <f>IFERROR(__xludf.DUMMYFUNCTION("""COMPUTED_VALUE"""),"085-11957")</f>
        <v>085-11957</v>
      </c>
      <c r="B4918" s="6" t="str">
        <f>IFERROR(__xludf.DUMMYFUNCTION("""COMPUTED_VALUE"""),"85")</f>
        <v>85</v>
      </c>
      <c r="C4918" s="6" t="str">
        <f>IFERROR(__xludf.DUMMYFUNCTION("""COMPUTED_VALUE"""),"11957")</f>
        <v>11957</v>
      </c>
      <c r="D4918" s="6" t="str">
        <f>IFERROR(__xludf.DUMMYFUNCTION("""COMPUTED_VALUE"""),"Chayce")</f>
        <v>Chayce</v>
      </c>
      <c r="E4918" s="6" t="str">
        <f>IFERROR(__xludf.DUMMYFUNCTION("""COMPUTED_VALUE"""),"")</f>
        <v/>
      </c>
      <c r="F4918" s="6" t="str">
        <f>IFERROR(__xludf.DUMMYFUNCTION("""COMPUTED_VALUE"""),"Odoms")</f>
        <v>Odoms</v>
      </c>
      <c r="G4918" s="6" t="str">
        <f>IFERROR(__xludf.DUMMYFUNCTION("""COMPUTED_VALUE"""),"07/30/2014")</f>
        <v>07/30/2014</v>
      </c>
      <c r="H4918" s="6" t="str">
        <f>IFERROR(__xludf.DUMMYFUNCTION("""COMPUTED_VALUE"""),"male")</f>
        <v>male</v>
      </c>
      <c r="I4918" s="6" t="str">
        <f>IFERROR(__xludf.DUMMYFUNCTION("""COMPUTED_VALUE"""),"Middle School")</f>
        <v>Middle School</v>
      </c>
      <c r="J4918" s="6" t="str">
        <f>IFERROR(__xludf.DUMMYFUNCTION("""COMPUTED_VALUE"""),"6")</f>
        <v>6</v>
      </c>
      <c r="K4918" s="6" t="str">
        <f>IFERROR(__xludf.DUMMYFUNCTION("""COMPUTED_VALUE"""),"chayce.odoms@2hourlearning.com")</f>
        <v>chayce.odoms@2hourlearning.com</v>
      </c>
      <c r="L4918" s="6" t="str">
        <f>IFERROR(__xludf.DUMMYFUNCTION("""COMPUTED_VALUE"""),"AFMS - Allendale Fairfax Middle School")</f>
        <v>AFMS - Allendale Fairfax Middle School</v>
      </c>
      <c r="M4918" s="6" t="str">
        <f>IFERROR(__xludf.DUMMYFUNCTION("""COMPUTED_VALUE"""),"")</f>
        <v/>
      </c>
      <c r="N4918" s="6" t="str">
        <f>IFERROR(__xludf.DUMMYFUNCTION("""COMPUTED_VALUE"""),"")</f>
        <v/>
      </c>
      <c r="O4918" s="87" t="str">
        <f>IFERROR(__xludf.DUMMYFUNCTION("""COMPUTED_VALUE"""),"https://drive.google.com/drive/folders/10T2cTQHqEJZqE-st6uFKPoI?usp=share_link")</f>
        <v>https://drive.google.com/drive/folders/10T2cTQHqEJZqE-st6uFKPoI?usp=share_link</v>
      </c>
      <c r="P4918" s="6" t="str">
        <f>IFERROR(__xludf.DUMMYFUNCTION("""COMPUTED_VALUE"""),"Chayce Odoms")</f>
        <v>Chayce Odoms</v>
      </c>
      <c r="Q4918" s="6" t="str">
        <f>IFERROR(__xludf.DUMMYFUNCTION("""COMPUTED_VALUE"""),"MS")</f>
        <v>MS</v>
      </c>
      <c r="R4918" s="6">
        <f>IFERROR(__xludf.DUMMYFUNCTION("""COMPUTED_VALUE"""),0.0)</f>
        <v>0</v>
      </c>
      <c r="S4918" s="6" t="str">
        <f>IFERROR(__xludf.DUMMYFUNCTION("""COMPUTED_VALUE"""),"Kimberly Ball")</f>
        <v>Kimberly Ball</v>
      </c>
      <c r="T4918" s="6" t="str">
        <f>IFERROR(__xludf.DUMMYFUNCTION("""COMPUTED_VALUE"""),"kimberly.ball@studient.com")</f>
        <v>kimberly.ball@studient.com</v>
      </c>
      <c r="U4918" s="6" t="str">
        <f>IFERROR(__xludf.DUMMYFUNCTION("""COMPUTED_VALUE"""),"6")</f>
        <v>6</v>
      </c>
      <c r="V4918" s="6" t="str">
        <f>IFERROR(__xludf.DUMMYFUNCTION("""COMPUTED_VALUE"""),"")</f>
        <v/>
      </c>
      <c r="W4918" s="6" t="str">
        <f>IFERROR(__xludf.DUMMYFUNCTION("""COMPUTED_VALUE"""),"[]")</f>
        <v>[]</v>
      </c>
      <c r="X4918" s="6" t="str">
        <f>IFERROR(__xludf.DUMMYFUNCTION("""COMPUTED_VALUE"""),"Enrolled")</f>
        <v>Enrolled</v>
      </c>
    </row>
    <row r="4919">
      <c r="A4919" s="6" t="str">
        <f>IFERROR(__xludf.DUMMYFUNCTION("""COMPUTED_VALUE"""),"085-11958")</f>
        <v>085-11958</v>
      </c>
      <c r="B4919" s="6" t="str">
        <f>IFERROR(__xludf.DUMMYFUNCTION("""COMPUTED_VALUE"""),"85")</f>
        <v>85</v>
      </c>
      <c r="C4919" s="6" t="str">
        <f>IFERROR(__xludf.DUMMYFUNCTION("""COMPUTED_VALUE"""),"11958")</f>
        <v>11958</v>
      </c>
      <c r="D4919" s="6" t="str">
        <f>IFERROR(__xludf.DUMMYFUNCTION("""COMPUTED_VALUE"""),"Jonathan")</f>
        <v>Jonathan</v>
      </c>
      <c r="E4919" s="6" t="str">
        <f>IFERROR(__xludf.DUMMYFUNCTION("""COMPUTED_VALUE"""),"")</f>
        <v/>
      </c>
      <c r="F4919" s="6" t="str">
        <f>IFERROR(__xludf.DUMMYFUNCTION("""COMPUTED_VALUE"""),"Odoms")</f>
        <v>Odoms</v>
      </c>
      <c r="G4919" s="6" t="str">
        <f>IFERROR(__xludf.DUMMYFUNCTION("""COMPUTED_VALUE"""),"06/12/2013")</f>
        <v>06/12/2013</v>
      </c>
      <c r="H4919" s="6" t="str">
        <f>IFERROR(__xludf.DUMMYFUNCTION("""COMPUTED_VALUE"""),"male")</f>
        <v>male</v>
      </c>
      <c r="I4919" s="6" t="str">
        <f>IFERROR(__xludf.DUMMYFUNCTION("""COMPUTED_VALUE"""),"Middle School")</f>
        <v>Middle School</v>
      </c>
      <c r="J4919" s="6" t="str">
        <f>IFERROR(__xludf.DUMMYFUNCTION("""COMPUTED_VALUE"""),"6")</f>
        <v>6</v>
      </c>
      <c r="K4919" s="6" t="str">
        <f>IFERROR(__xludf.DUMMYFUNCTION("""COMPUTED_VALUE"""),"jonathan.odoms@2hourlearning.com")</f>
        <v>jonathan.odoms@2hourlearning.com</v>
      </c>
      <c r="L4919" s="6" t="str">
        <f>IFERROR(__xludf.DUMMYFUNCTION("""COMPUTED_VALUE"""),"AFMS - Allendale Fairfax Middle School")</f>
        <v>AFMS - Allendale Fairfax Middle School</v>
      </c>
      <c r="M4919" s="6" t="str">
        <f>IFERROR(__xludf.DUMMYFUNCTION("""COMPUTED_VALUE"""),"")</f>
        <v/>
      </c>
      <c r="N4919" s="6" t="str">
        <f>IFERROR(__xludf.DUMMYFUNCTION("""COMPUTED_VALUE"""),"")</f>
        <v/>
      </c>
      <c r="O4919" s="87" t="str">
        <f>IFERROR(__xludf.DUMMYFUNCTION("""COMPUTED_VALUE"""),"https://drive.google.com/drive/folders/10T2cTQHqEJZqE-st6uFKPoI?usp=share_link")</f>
        <v>https://drive.google.com/drive/folders/10T2cTQHqEJZqE-st6uFKPoI?usp=share_link</v>
      </c>
      <c r="P4919" s="6" t="str">
        <f>IFERROR(__xludf.DUMMYFUNCTION("""COMPUTED_VALUE"""),"Jonathan Odoms")</f>
        <v>Jonathan Odoms</v>
      </c>
      <c r="Q4919" s="6" t="str">
        <f>IFERROR(__xludf.DUMMYFUNCTION("""COMPUTED_VALUE"""),"MS")</f>
        <v>MS</v>
      </c>
      <c r="R4919" s="6">
        <f>IFERROR(__xludf.DUMMYFUNCTION("""COMPUTED_VALUE"""),0.0)</f>
        <v>0</v>
      </c>
      <c r="S4919" s="6" t="str">
        <f>IFERROR(__xludf.DUMMYFUNCTION("""COMPUTED_VALUE"""),"Kimberly Ball")</f>
        <v>Kimberly Ball</v>
      </c>
      <c r="T4919" s="6" t="str">
        <f>IFERROR(__xludf.DUMMYFUNCTION("""COMPUTED_VALUE"""),"kimberly.ball@studient.com")</f>
        <v>kimberly.ball@studient.com</v>
      </c>
      <c r="U4919" s="6" t="str">
        <f>IFERROR(__xludf.DUMMYFUNCTION("""COMPUTED_VALUE"""),"6")</f>
        <v>6</v>
      </c>
      <c r="V4919" s="6" t="str">
        <f>IFERROR(__xludf.DUMMYFUNCTION("""COMPUTED_VALUE"""),"")</f>
        <v/>
      </c>
      <c r="W4919" s="6" t="str">
        <f>IFERROR(__xludf.DUMMYFUNCTION("""COMPUTED_VALUE"""),"[]")</f>
        <v>[]</v>
      </c>
      <c r="X4919" s="6" t="str">
        <f>IFERROR(__xludf.DUMMYFUNCTION("""COMPUTED_VALUE"""),"Enrolled")</f>
        <v>Enrolled</v>
      </c>
    </row>
    <row r="4920">
      <c r="A4920" s="6" t="str">
        <f>IFERROR(__xludf.DUMMYFUNCTION("""COMPUTED_VALUE"""),"085-11960")</f>
        <v>085-11960</v>
      </c>
      <c r="B4920" s="6" t="str">
        <f>IFERROR(__xludf.DUMMYFUNCTION("""COMPUTED_VALUE"""),"85")</f>
        <v>85</v>
      </c>
      <c r="C4920" s="6" t="str">
        <f>IFERROR(__xludf.DUMMYFUNCTION("""COMPUTED_VALUE"""),"11960")</f>
        <v>11960</v>
      </c>
      <c r="D4920" s="6" t="str">
        <f>IFERROR(__xludf.DUMMYFUNCTION("""COMPUTED_VALUE"""),"Chance")</f>
        <v>Chance</v>
      </c>
      <c r="E4920" s="6" t="str">
        <f>IFERROR(__xludf.DUMMYFUNCTION("""COMPUTED_VALUE"""),"")</f>
        <v/>
      </c>
      <c r="F4920" s="6" t="str">
        <f>IFERROR(__xludf.DUMMYFUNCTION("""COMPUTED_VALUE"""),"Patterson")</f>
        <v>Patterson</v>
      </c>
      <c r="G4920" s="6" t="str">
        <f>IFERROR(__xludf.DUMMYFUNCTION("""COMPUTED_VALUE"""),"08/24/2014")</f>
        <v>08/24/2014</v>
      </c>
      <c r="H4920" s="6" t="str">
        <f>IFERROR(__xludf.DUMMYFUNCTION("""COMPUTED_VALUE"""),"male")</f>
        <v>male</v>
      </c>
      <c r="I4920" s="6" t="str">
        <f>IFERROR(__xludf.DUMMYFUNCTION("""COMPUTED_VALUE"""),"Middle School")</f>
        <v>Middle School</v>
      </c>
      <c r="J4920" s="6" t="str">
        <f>IFERROR(__xludf.DUMMYFUNCTION("""COMPUTED_VALUE"""),"6")</f>
        <v>6</v>
      </c>
      <c r="K4920" s="6" t="str">
        <f>IFERROR(__xludf.DUMMYFUNCTION("""COMPUTED_VALUE"""),"chance.patterson@2hourlearning.com")</f>
        <v>chance.patterson@2hourlearning.com</v>
      </c>
      <c r="L4920" s="6" t="str">
        <f>IFERROR(__xludf.DUMMYFUNCTION("""COMPUTED_VALUE"""),"AFMS - Allendale Fairfax Middle School")</f>
        <v>AFMS - Allendale Fairfax Middle School</v>
      </c>
      <c r="M4920" s="6" t="str">
        <f>IFERROR(__xludf.DUMMYFUNCTION("""COMPUTED_VALUE"""),"")</f>
        <v/>
      </c>
      <c r="N4920" s="6" t="str">
        <f>IFERROR(__xludf.DUMMYFUNCTION("""COMPUTED_VALUE"""),"")</f>
        <v/>
      </c>
      <c r="O4920" s="87" t="str">
        <f>IFERROR(__xludf.DUMMYFUNCTION("""COMPUTED_VALUE"""),"https://drive.google.com/drive/folders/10T2cTQHqEJZqE-st6uFKPoI?usp=share_link")</f>
        <v>https://drive.google.com/drive/folders/10T2cTQHqEJZqE-st6uFKPoI?usp=share_link</v>
      </c>
      <c r="P4920" s="6" t="str">
        <f>IFERROR(__xludf.DUMMYFUNCTION("""COMPUTED_VALUE"""),"Chance Patterson")</f>
        <v>Chance Patterson</v>
      </c>
      <c r="Q4920" s="6" t="str">
        <f>IFERROR(__xludf.DUMMYFUNCTION("""COMPUTED_VALUE"""),"MS")</f>
        <v>MS</v>
      </c>
      <c r="R4920" s="6">
        <f>IFERROR(__xludf.DUMMYFUNCTION("""COMPUTED_VALUE"""),0.0)</f>
        <v>0</v>
      </c>
      <c r="S4920" s="6" t="str">
        <f>IFERROR(__xludf.DUMMYFUNCTION("""COMPUTED_VALUE"""),"Kimberly Ball")</f>
        <v>Kimberly Ball</v>
      </c>
      <c r="T4920" s="6" t="str">
        <f>IFERROR(__xludf.DUMMYFUNCTION("""COMPUTED_VALUE"""),"kimberly.ball@studient.com")</f>
        <v>kimberly.ball@studient.com</v>
      </c>
      <c r="U4920" s="6" t="str">
        <f>IFERROR(__xludf.DUMMYFUNCTION("""COMPUTED_VALUE"""),"6")</f>
        <v>6</v>
      </c>
      <c r="V4920" s="6" t="str">
        <f>IFERROR(__xludf.DUMMYFUNCTION("""COMPUTED_VALUE"""),"")</f>
        <v/>
      </c>
      <c r="W4920" s="6" t="str">
        <f>IFERROR(__xludf.DUMMYFUNCTION("""COMPUTED_VALUE"""),"[]")</f>
        <v>[]</v>
      </c>
      <c r="X4920" s="6" t="str">
        <f>IFERROR(__xludf.DUMMYFUNCTION("""COMPUTED_VALUE"""),"Enrolled")</f>
        <v>Enrolled</v>
      </c>
    </row>
    <row r="4921">
      <c r="A4921" s="6" t="str">
        <f>IFERROR(__xludf.DUMMYFUNCTION("""COMPUTED_VALUE"""),"085-11961")</f>
        <v>085-11961</v>
      </c>
      <c r="B4921" s="6" t="str">
        <f>IFERROR(__xludf.DUMMYFUNCTION("""COMPUTED_VALUE"""),"85")</f>
        <v>85</v>
      </c>
      <c r="C4921" s="6" t="str">
        <f>IFERROR(__xludf.DUMMYFUNCTION("""COMPUTED_VALUE"""),"11961")</f>
        <v>11961</v>
      </c>
      <c r="D4921" s="6" t="str">
        <f>IFERROR(__xludf.DUMMYFUNCTION("""COMPUTED_VALUE"""),"Serenity")</f>
        <v>Serenity</v>
      </c>
      <c r="E4921" s="6" t="str">
        <f>IFERROR(__xludf.DUMMYFUNCTION("""COMPUTED_VALUE"""),"")</f>
        <v/>
      </c>
      <c r="F4921" s="6" t="str">
        <f>IFERROR(__xludf.DUMMYFUNCTION("""COMPUTED_VALUE"""),"Payne")</f>
        <v>Payne</v>
      </c>
      <c r="G4921" s="6" t="str">
        <f>IFERROR(__xludf.DUMMYFUNCTION("""COMPUTED_VALUE"""),"11/14/2013")</f>
        <v>11/14/2013</v>
      </c>
      <c r="H4921" s="6" t="str">
        <f>IFERROR(__xludf.DUMMYFUNCTION("""COMPUTED_VALUE"""),"female")</f>
        <v>female</v>
      </c>
      <c r="I4921" s="6" t="str">
        <f>IFERROR(__xludf.DUMMYFUNCTION("""COMPUTED_VALUE"""),"Middle School")</f>
        <v>Middle School</v>
      </c>
      <c r="J4921" s="6" t="str">
        <f>IFERROR(__xludf.DUMMYFUNCTION("""COMPUTED_VALUE"""),"6")</f>
        <v>6</v>
      </c>
      <c r="K4921" s="6" t="str">
        <f>IFERROR(__xludf.DUMMYFUNCTION("""COMPUTED_VALUE"""),"serenity.payne@2hourlearning.com")</f>
        <v>serenity.payne@2hourlearning.com</v>
      </c>
      <c r="L4921" s="6" t="str">
        <f>IFERROR(__xludf.DUMMYFUNCTION("""COMPUTED_VALUE"""),"AFMS - Allendale Fairfax Middle School")</f>
        <v>AFMS - Allendale Fairfax Middle School</v>
      </c>
      <c r="M4921" s="6" t="str">
        <f>IFERROR(__xludf.DUMMYFUNCTION("""COMPUTED_VALUE"""),"")</f>
        <v/>
      </c>
      <c r="N4921" s="6" t="str">
        <f>IFERROR(__xludf.DUMMYFUNCTION("""COMPUTED_VALUE"""),"")</f>
        <v/>
      </c>
      <c r="O4921" s="87" t="str">
        <f>IFERROR(__xludf.DUMMYFUNCTION("""COMPUTED_VALUE"""),"https://drive.google.com/drive/folders/10T2cTQHqEJZqE-st6uFKPoI?usp=share_link")</f>
        <v>https://drive.google.com/drive/folders/10T2cTQHqEJZqE-st6uFKPoI?usp=share_link</v>
      </c>
      <c r="P4921" s="6" t="str">
        <f>IFERROR(__xludf.DUMMYFUNCTION("""COMPUTED_VALUE"""),"Serenity Payne")</f>
        <v>Serenity Payne</v>
      </c>
      <c r="Q4921" s="6" t="str">
        <f>IFERROR(__xludf.DUMMYFUNCTION("""COMPUTED_VALUE"""),"MS")</f>
        <v>MS</v>
      </c>
      <c r="R4921" s="6">
        <f>IFERROR(__xludf.DUMMYFUNCTION("""COMPUTED_VALUE"""),0.0)</f>
        <v>0</v>
      </c>
      <c r="S4921" s="6" t="str">
        <f>IFERROR(__xludf.DUMMYFUNCTION("""COMPUTED_VALUE"""),"Kimberly Ball")</f>
        <v>Kimberly Ball</v>
      </c>
      <c r="T4921" s="6" t="str">
        <f>IFERROR(__xludf.DUMMYFUNCTION("""COMPUTED_VALUE"""),"kimberly.ball@studient.com")</f>
        <v>kimberly.ball@studient.com</v>
      </c>
      <c r="U4921" s="6" t="str">
        <f>IFERROR(__xludf.DUMMYFUNCTION("""COMPUTED_VALUE"""),"6")</f>
        <v>6</v>
      </c>
      <c r="V4921" s="6" t="str">
        <f>IFERROR(__xludf.DUMMYFUNCTION("""COMPUTED_VALUE"""),"")</f>
        <v/>
      </c>
      <c r="W4921" s="6" t="str">
        <f>IFERROR(__xludf.DUMMYFUNCTION("""COMPUTED_VALUE"""),"[]")</f>
        <v>[]</v>
      </c>
      <c r="X4921" s="6" t="str">
        <f>IFERROR(__xludf.DUMMYFUNCTION("""COMPUTED_VALUE"""),"Enrolled")</f>
        <v>Enrolled</v>
      </c>
    </row>
    <row r="4922">
      <c r="A4922" s="6" t="str">
        <f>IFERROR(__xludf.DUMMYFUNCTION("""COMPUTED_VALUE"""),"085-11962")</f>
        <v>085-11962</v>
      </c>
      <c r="B4922" s="6" t="str">
        <f>IFERROR(__xludf.DUMMYFUNCTION("""COMPUTED_VALUE"""),"85")</f>
        <v>85</v>
      </c>
      <c r="C4922" s="6" t="str">
        <f>IFERROR(__xludf.DUMMYFUNCTION("""COMPUTED_VALUE"""),"11962")</f>
        <v>11962</v>
      </c>
      <c r="D4922" s="6" t="str">
        <f>IFERROR(__xludf.DUMMYFUNCTION("""COMPUTED_VALUE"""),"Jasmyn")</f>
        <v>Jasmyn</v>
      </c>
      <c r="E4922" s="6" t="str">
        <f>IFERROR(__xludf.DUMMYFUNCTION("""COMPUTED_VALUE"""),"")</f>
        <v/>
      </c>
      <c r="F4922" s="6" t="str">
        <f>IFERROR(__xludf.DUMMYFUNCTION("""COMPUTED_VALUE"""),"Penn")</f>
        <v>Penn</v>
      </c>
      <c r="G4922" s="6" t="str">
        <f>IFERROR(__xludf.DUMMYFUNCTION("""COMPUTED_VALUE"""),"03/23/2014")</f>
        <v>03/23/2014</v>
      </c>
      <c r="H4922" s="6" t="str">
        <f>IFERROR(__xludf.DUMMYFUNCTION("""COMPUTED_VALUE"""),"female")</f>
        <v>female</v>
      </c>
      <c r="I4922" s="6" t="str">
        <f>IFERROR(__xludf.DUMMYFUNCTION("""COMPUTED_VALUE"""),"Middle School")</f>
        <v>Middle School</v>
      </c>
      <c r="J4922" s="6" t="str">
        <f>IFERROR(__xludf.DUMMYFUNCTION("""COMPUTED_VALUE"""),"6")</f>
        <v>6</v>
      </c>
      <c r="K4922" s="6" t="str">
        <f>IFERROR(__xludf.DUMMYFUNCTION("""COMPUTED_VALUE"""),"jasmyn.penn@2hourlearning.com")</f>
        <v>jasmyn.penn@2hourlearning.com</v>
      </c>
      <c r="L4922" s="6" t="str">
        <f>IFERROR(__xludf.DUMMYFUNCTION("""COMPUTED_VALUE"""),"AFMS - Allendale Fairfax Middle School")</f>
        <v>AFMS - Allendale Fairfax Middle School</v>
      </c>
      <c r="M4922" s="6" t="str">
        <f>IFERROR(__xludf.DUMMYFUNCTION("""COMPUTED_VALUE"""),"")</f>
        <v/>
      </c>
      <c r="N4922" s="6" t="str">
        <f>IFERROR(__xludf.DUMMYFUNCTION("""COMPUTED_VALUE"""),"")</f>
        <v/>
      </c>
      <c r="O4922" s="87" t="str">
        <f>IFERROR(__xludf.DUMMYFUNCTION("""COMPUTED_VALUE"""),"https://drive.google.com/drive/folders/10T2cTQHqEJZqE-st6uFKPoI?usp=share_link")</f>
        <v>https://drive.google.com/drive/folders/10T2cTQHqEJZqE-st6uFKPoI?usp=share_link</v>
      </c>
      <c r="P4922" s="6" t="str">
        <f>IFERROR(__xludf.DUMMYFUNCTION("""COMPUTED_VALUE"""),"Jasmyn Penn")</f>
        <v>Jasmyn Penn</v>
      </c>
      <c r="Q4922" s="6" t="str">
        <f>IFERROR(__xludf.DUMMYFUNCTION("""COMPUTED_VALUE"""),"MS")</f>
        <v>MS</v>
      </c>
      <c r="R4922" s="6">
        <f>IFERROR(__xludf.DUMMYFUNCTION("""COMPUTED_VALUE"""),0.0)</f>
        <v>0</v>
      </c>
      <c r="S4922" s="6" t="str">
        <f>IFERROR(__xludf.DUMMYFUNCTION("""COMPUTED_VALUE"""),"Kimberly Ball")</f>
        <v>Kimberly Ball</v>
      </c>
      <c r="T4922" s="6" t="str">
        <f>IFERROR(__xludf.DUMMYFUNCTION("""COMPUTED_VALUE"""),"kimberly.ball@studient.com")</f>
        <v>kimberly.ball@studient.com</v>
      </c>
      <c r="U4922" s="6" t="str">
        <f>IFERROR(__xludf.DUMMYFUNCTION("""COMPUTED_VALUE"""),"6")</f>
        <v>6</v>
      </c>
      <c r="V4922" s="6" t="str">
        <f>IFERROR(__xludf.DUMMYFUNCTION("""COMPUTED_VALUE"""),"")</f>
        <v/>
      </c>
      <c r="W4922" s="6" t="str">
        <f>IFERROR(__xludf.DUMMYFUNCTION("""COMPUTED_VALUE"""),"[]")</f>
        <v>[]</v>
      </c>
      <c r="X4922" s="6" t="str">
        <f>IFERROR(__xludf.DUMMYFUNCTION("""COMPUTED_VALUE"""),"Enrolled")</f>
        <v>Enrolled</v>
      </c>
    </row>
    <row r="4923">
      <c r="A4923" s="6" t="str">
        <f>IFERROR(__xludf.DUMMYFUNCTION("""COMPUTED_VALUE"""),"085-11963")</f>
        <v>085-11963</v>
      </c>
      <c r="B4923" s="6" t="str">
        <f>IFERROR(__xludf.DUMMYFUNCTION("""COMPUTED_VALUE"""),"85")</f>
        <v>85</v>
      </c>
      <c r="C4923" s="6" t="str">
        <f>IFERROR(__xludf.DUMMYFUNCTION("""COMPUTED_VALUE"""),"11963")</f>
        <v>11963</v>
      </c>
      <c r="D4923" s="6" t="str">
        <f>IFERROR(__xludf.DUMMYFUNCTION("""COMPUTED_VALUE"""),"Ja'Kayden")</f>
        <v>Ja'Kayden</v>
      </c>
      <c r="E4923" s="6" t="str">
        <f>IFERROR(__xludf.DUMMYFUNCTION("""COMPUTED_VALUE"""),"")</f>
        <v/>
      </c>
      <c r="F4923" s="6" t="str">
        <f>IFERROR(__xludf.DUMMYFUNCTION("""COMPUTED_VALUE"""),"Polite")</f>
        <v>Polite</v>
      </c>
      <c r="G4923" s="6" t="str">
        <f>IFERROR(__xludf.DUMMYFUNCTION("""COMPUTED_VALUE"""),"01/23/2013")</f>
        <v>01/23/2013</v>
      </c>
      <c r="H4923" s="6" t="str">
        <f>IFERROR(__xludf.DUMMYFUNCTION("""COMPUTED_VALUE"""),"female")</f>
        <v>female</v>
      </c>
      <c r="I4923" s="6" t="str">
        <f>IFERROR(__xludf.DUMMYFUNCTION("""COMPUTED_VALUE"""),"Middle School")</f>
        <v>Middle School</v>
      </c>
      <c r="J4923" s="6" t="str">
        <f>IFERROR(__xludf.DUMMYFUNCTION("""COMPUTED_VALUE"""),"6")</f>
        <v>6</v>
      </c>
      <c r="K4923" s="6" t="str">
        <f>IFERROR(__xludf.DUMMYFUNCTION("""COMPUTED_VALUE"""),"jakayden.polite@2hourlearning.com")</f>
        <v>jakayden.polite@2hourlearning.com</v>
      </c>
      <c r="L4923" s="6" t="str">
        <f>IFERROR(__xludf.DUMMYFUNCTION("""COMPUTED_VALUE"""),"AFMS - Allendale Fairfax Middle School")</f>
        <v>AFMS - Allendale Fairfax Middle School</v>
      </c>
      <c r="M4923" s="6" t="str">
        <f>IFERROR(__xludf.DUMMYFUNCTION("""COMPUTED_VALUE"""),"")</f>
        <v/>
      </c>
      <c r="N4923" s="6" t="str">
        <f>IFERROR(__xludf.DUMMYFUNCTION("""COMPUTED_VALUE"""),"")</f>
        <v/>
      </c>
      <c r="O4923" s="87" t="str">
        <f>IFERROR(__xludf.DUMMYFUNCTION("""COMPUTED_VALUE"""),"https://drive.google.com/drive/folders/10T2cTQHqEJZqE-st6uFKPoI?usp=share_link")</f>
        <v>https://drive.google.com/drive/folders/10T2cTQHqEJZqE-st6uFKPoI?usp=share_link</v>
      </c>
      <c r="P4923" s="6" t="str">
        <f>IFERROR(__xludf.DUMMYFUNCTION("""COMPUTED_VALUE"""),"Ja'Kayden Polite")</f>
        <v>Ja'Kayden Polite</v>
      </c>
      <c r="Q4923" s="6" t="str">
        <f>IFERROR(__xludf.DUMMYFUNCTION("""COMPUTED_VALUE"""),"MS")</f>
        <v>MS</v>
      </c>
      <c r="R4923" s="6">
        <f>IFERROR(__xludf.DUMMYFUNCTION("""COMPUTED_VALUE"""),0.0)</f>
        <v>0</v>
      </c>
      <c r="S4923" s="6" t="str">
        <f>IFERROR(__xludf.DUMMYFUNCTION("""COMPUTED_VALUE"""),"Kimberly Ball")</f>
        <v>Kimberly Ball</v>
      </c>
      <c r="T4923" s="6" t="str">
        <f>IFERROR(__xludf.DUMMYFUNCTION("""COMPUTED_VALUE"""),"kimberly.ball@studient.com")</f>
        <v>kimberly.ball@studient.com</v>
      </c>
      <c r="U4923" s="6" t="str">
        <f>IFERROR(__xludf.DUMMYFUNCTION("""COMPUTED_VALUE"""),"6")</f>
        <v>6</v>
      </c>
      <c r="V4923" s="6" t="str">
        <f>IFERROR(__xludf.DUMMYFUNCTION("""COMPUTED_VALUE"""),"")</f>
        <v/>
      </c>
      <c r="W4923" s="6" t="str">
        <f>IFERROR(__xludf.DUMMYFUNCTION("""COMPUTED_VALUE"""),"[]")</f>
        <v>[]</v>
      </c>
      <c r="X4923" s="6" t="str">
        <f>IFERROR(__xludf.DUMMYFUNCTION("""COMPUTED_VALUE"""),"Enrolled")</f>
        <v>Enrolled</v>
      </c>
    </row>
    <row r="4924">
      <c r="A4924" s="6" t="str">
        <f>IFERROR(__xludf.DUMMYFUNCTION("""COMPUTED_VALUE"""),"085-11964")</f>
        <v>085-11964</v>
      </c>
      <c r="B4924" s="6" t="str">
        <f>IFERROR(__xludf.DUMMYFUNCTION("""COMPUTED_VALUE"""),"85")</f>
        <v>85</v>
      </c>
      <c r="C4924" s="6" t="str">
        <f>IFERROR(__xludf.DUMMYFUNCTION("""COMPUTED_VALUE"""),"11964")</f>
        <v>11964</v>
      </c>
      <c r="D4924" s="6" t="str">
        <f>IFERROR(__xludf.DUMMYFUNCTION("""COMPUTED_VALUE"""),"Kaleb")</f>
        <v>Kaleb</v>
      </c>
      <c r="E4924" s="6" t="str">
        <f>IFERROR(__xludf.DUMMYFUNCTION("""COMPUTED_VALUE"""),"")</f>
        <v/>
      </c>
      <c r="F4924" s="6" t="str">
        <f>IFERROR(__xludf.DUMMYFUNCTION("""COMPUTED_VALUE"""),"Rollins")</f>
        <v>Rollins</v>
      </c>
      <c r="G4924" s="6" t="str">
        <f>IFERROR(__xludf.DUMMYFUNCTION("""COMPUTED_VALUE"""),"10/01/2013")</f>
        <v>10/01/2013</v>
      </c>
      <c r="H4924" s="6" t="str">
        <f>IFERROR(__xludf.DUMMYFUNCTION("""COMPUTED_VALUE"""),"male")</f>
        <v>male</v>
      </c>
      <c r="I4924" s="6" t="str">
        <f>IFERROR(__xludf.DUMMYFUNCTION("""COMPUTED_VALUE"""),"Middle School")</f>
        <v>Middle School</v>
      </c>
      <c r="J4924" s="6" t="str">
        <f>IFERROR(__xludf.DUMMYFUNCTION("""COMPUTED_VALUE"""),"6")</f>
        <v>6</v>
      </c>
      <c r="K4924" s="6" t="str">
        <f>IFERROR(__xludf.DUMMYFUNCTION("""COMPUTED_VALUE"""),"kaleb.rollins@2hourlearning.com")</f>
        <v>kaleb.rollins@2hourlearning.com</v>
      </c>
      <c r="L4924" s="6" t="str">
        <f>IFERROR(__xludf.DUMMYFUNCTION("""COMPUTED_VALUE"""),"AFMS - Allendale Fairfax Middle School")</f>
        <v>AFMS - Allendale Fairfax Middle School</v>
      </c>
      <c r="M4924" s="6" t="str">
        <f>IFERROR(__xludf.DUMMYFUNCTION("""COMPUTED_VALUE"""),"")</f>
        <v/>
      </c>
      <c r="N4924" s="6" t="str">
        <f>IFERROR(__xludf.DUMMYFUNCTION("""COMPUTED_VALUE"""),"")</f>
        <v/>
      </c>
      <c r="O4924" s="87" t="str">
        <f>IFERROR(__xludf.DUMMYFUNCTION("""COMPUTED_VALUE"""),"https://drive.google.com/drive/folders/10T2cTQHqEJZqE-st6uFKPoI?usp=share_link")</f>
        <v>https://drive.google.com/drive/folders/10T2cTQHqEJZqE-st6uFKPoI?usp=share_link</v>
      </c>
      <c r="P4924" s="6" t="str">
        <f>IFERROR(__xludf.DUMMYFUNCTION("""COMPUTED_VALUE"""),"Kaleb Rollins")</f>
        <v>Kaleb Rollins</v>
      </c>
      <c r="Q4924" s="6" t="str">
        <f>IFERROR(__xludf.DUMMYFUNCTION("""COMPUTED_VALUE"""),"MS")</f>
        <v>MS</v>
      </c>
      <c r="R4924" s="6">
        <f>IFERROR(__xludf.DUMMYFUNCTION("""COMPUTED_VALUE"""),0.0)</f>
        <v>0</v>
      </c>
      <c r="S4924" s="6" t="str">
        <f>IFERROR(__xludf.DUMMYFUNCTION("""COMPUTED_VALUE"""),"Kimberly Ball")</f>
        <v>Kimberly Ball</v>
      </c>
      <c r="T4924" s="6" t="str">
        <f>IFERROR(__xludf.DUMMYFUNCTION("""COMPUTED_VALUE"""),"kimberly.ball@studient.com")</f>
        <v>kimberly.ball@studient.com</v>
      </c>
      <c r="U4924" s="6" t="str">
        <f>IFERROR(__xludf.DUMMYFUNCTION("""COMPUTED_VALUE"""),"6")</f>
        <v>6</v>
      </c>
      <c r="V4924" s="6" t="str">
        <f>IFERROR(__xludf.DUMMYFUNCTION("""COMPUTED_VALUE"""),"")</f>
        <v/>
      </c>
      <c r="W4924" s="6" t="str">
        <f>IFERROR(__xludf.DUMMYFUNCTION("""COMPUTED_VALUE"""),"[]")</f>
        <v>[]</v>
      </c>
      <c r="X4924" s="6" t="str">
        <f>IFERROR(__xludf.DUMMYFUNCTION("""COMPUTED_VALUE"""),"Enrolled")</f>
        <v>Enrolled</v>
      </c>
    </row>
    <row r="4925">
      <c r="A4925" s="6" t="str">
        <f>IFERROR(__xludf.DUMMYFUNCTION("""COMPUTED_VALUE"""),"085-11965")</f>
        <v>085-11965</v>
      </c>
      <c r="B4925" s="6" t="str">
        <f>IFERROR(__xludf.DUMMYFUNCTION("""COMPUTED_VALUE"""),"85")</f>
        <v>85</v>
      </c>
      <c r="C4925" s="6" t="str">
        <f>IFERROR(__xludf.DUMMYFUNCTION("""COMPUTED_VALUE"""),"11965")</f>
        <v>11965</v>
      </c>
      <c r="D4925" s="6" t="str">
        <f>IFERROR(__xludf.DUMMYFUNCTION("""COMPUTED_VALUE"""),"Kamrhen")</f>
        <v>Kamrhen</v>
      </c>
      <c r="E4925" s="6" t="str">
        <f>IFERROR(__xludf.DUMMYFUNCTION("""COMPUTED_VALUE"""),"")</f>
        <v/>
      </c>
      <c r="F4925" s="6" t="str">
        <f>IFERROR(__xludf.DUMMYFUNCTION("""COMPUTED_VALUE"""),"Sanders")</f>
        <v>Sanders</v>
      </c>
      <c r="G4925" s="6" t="str">
        <f>IFERROR(__xludf.DUMMYFUNCTION("""COMPUTED_VALUE"""),"08/05/2013")</f>
        <v>08/05/2013</v>
      </c>
      <c r="H4925" s="6" t="str">
        <f>IFERROR(__xludf.DUMMYFUNCTION("""COMPUTED_VALUE"""),"male")</f>
        <v>male</v>
      </c>
      <c r="I4925" s="6" t="str">
        <f>IFERROR(__xludf.DUMMYFUNCTION("""COMPUTED_VALUE"""),"Middle School")</f>
        <v>Middle School</v>
      </c>
      <c r="J4925" s="6" t="str">
        <f>IFERROR(__xludf.DUMMYFUNCTION("""COMPUTED_VALUE"""),"6")</f>
        <v>6</v>
      </c>
      <c r="K4925" s="6" t="str">
        <f>IFERROR(__xludf.DUMMYFUNCTION("""COMPUTED_VALUE"""),"kamrhen.sanders@2hourlearning.com")</f>
        <v>kamrhen.sanders@2hourlearning.com</v>
      </c>
      <c r="L4925" s="6" t="str">
        <f>IFERROR(__xludf.DUMMYFUNCTION("""COMPUTED_VALUE"""),"AFMS - Allendale Fairfax Middle School")</f>
        <v>AFMS - Allendale Fairfax Middle School</v>
      </c>
      <c r="M4925" s="6" t="str">
        <f>IFERROR(__xludf.DUMMYFUNCTION("""COMPUTED_VALUE"""),"")</f>
        <v/>
      </c>
      <c r="N4925" s="6" t="str">
        <f>IFERROR(__xludf.DUMMYFUNCTION("""COMPUTED_VALUE"""),"")</f>
        <v/>
      </c>
      <c r="O4925" s="87" t="str">
        <f>IFERROR(__xludf.DUMMYFUNCTION("""COMPUTED_VALUE"""),"https://drive.google.com/drive/folders/10T2cTQHqEJZqE-st6uFKPoI?usp=share_link")</f>
        <v>https://drive.google.com/drive/folders/10T2cTQHqEJZqE-st6uFKPoI?usp=share_link</v>
      </c>
      <c r="P4925" s="6" t="str">
        <f>IFERROR(__xludf.DUMMYFUNCTION("""COMPUTED_VALUE"""),"Kamrhen Sanders")</f>
        <v>Kamrhen Sanders</v>
      </c>
      <c r="Q4925" s="6" t="str">
        <f>IFERROR(__xludf.DUMMYFUNCTION("""COMPUTED_VALUE"""),"MS")</f>
        <v>MS</v>
      </c>
      <c r="R4925" s="6">
        <f>IFERROR(__xludf.DUMMYFUNCTION("""COMPUTED_VALUE"""),0.0)</f>
        <v>0</v>
      </c>
      <c r="S4925" s="6" t="str">
        <f>IFERROR(__xludf.DUMMYFUNCTION("""COMPUTED_VALUE"""),"Kimberly Ball")</f>
        <v>Kimberly Ball</v>
      </c>
      <c r="T4925" s="6" t="str">
        <f>IFERROR(__xludf.DUMMYFUNCTION("""COMPUTED_VALUE"""),"kimberly.ball@studient.com")</f>
        <v>kimberly.ball@studient.com</v>
      </c>
      <c r="U4925" s="6" t="str">
        <f>IFERROR(__xludf.DUMMYFUNCTION("""COMPUTED_VALUE"""),"6")</f>
        <v>6</v>
      </c>
      <c r="V4925" s="6" t="str">
        <f>IFERROR(__xludf.DUMMYFUNCTION("""COMPUTED_VALUE"""),"")</f>
        <v/>
      </c>
      <c r="W4925" s="6" t="str">
        <f>IFERROR(__xludf.DUMMYFUNCTION("""COMPUTED_VALUE"""),"[]")</f>
        <v>[]</v>
      </c>
      <c r="X4925" s="6" t="str">
        <f>IFERROR(__xludf.DUMMYFUNCTION("""COMPUTED_VALUE"""),"Enrolled")</f>
        <v>Enrolled</v>
      </c>
    </row>
    <row r="4926">
      <c r="A4926" s="6" t="str">
        <f>IFERROR(__xludf.DUMMYFUNCTION("""COMPUTED_VALUE"""),"085-11966")</f>
        <v>085-11966</v>
      </c>
      <c r="B4926" s="6" t="str">
        <f>IFERROR(__xludf.DUMMYFUNCTION("""COMPUTED_VALUE"""),"85")</f>
        <v>85</v>
      </c>
      <c r="C4926" s="6" t="str">
        <f>IFERROR(__xludf.DUMMYFUNCTION("""COMPUTED_VALUE"""),"11966")</f>
        <v>11966</v>
      </c>
      <c r="D4926" s="6" t="str">
        <f>IFERROR(__xludf.DUMMYFUNCTION("""COMPUTED_VALUE"""),"Tyrese")</f>
        <v>Tyrese</v>
      </c>
      <c r="E4926" s="6" t="str">
        <f>IFERROR(__xludf.DUMMYFUNCTION("""COMPUTED_VALUE"""),"")</f>
        <v/>
      </c>
      <c r="F4926" s="6" t="str">
        <f>IFERROR(__xludf.DUMMYFUNCTION("""COMPUTED_VALUE"""),"Sanders")</f>
        <v>Sanders</v>
      </c>
      <c r="G4926" s="6" t="str">
        <f>IFERROR(__xludf.DUMMYFUNCTION("""COMPUTED_VALUE"""),"01/27/2012")</f>
        <v>01/27/2012</v>
      </c>
      <c r="H4926" s="6" t="str">
        <f>IFERROR(__xludf.DUMMYFUNCTION("""COMPUTED_VALUE"""),"male")</f>
        <v>male</v>
      </c>
      <c r="I4926" s="6" t="str">
        <f>IFERROR(__xludf.DUMMYFUNCTION("""COMPUTED_VALUE"""),"Middle School")</f>
        <v>Middle School</v>
      </c>
      <c r="J4926" s="6" t="str">
        <f>IFERROR(__xludf.DUMMYFUNCTION("""COMPUTED_VALUE"""),"6")</f>
        <v>6</v>
      </c>
      <c r="K4926" s="6" t="str">
        <f>IFERROR(__xludf.DUMMYFUNCTION("""COMPUTED_VALUE"""),"tyrese.sanders@2hourlearning.com")</f>
        <v>tyrese.sanders@2hourlearning.com</v>
      </c>
      <c r="L4926" s="6" t="str">
        <f>IFERROR(__xludf.DUMMYFUNCTION("""COMPUTED_VALUE"""),"AFMS - Allendale Fairfax Middle School")</f>
        <v>AFMS - Allendale Fairfax Middle School</v>
      </c>
      <c r="M4926" s="6" t="str">
        <f>IFERROR(__xludf.DUMMYFUNCTION("""COMPUTED_VALUE"""),"")</f>
        <v/>
      </c>
      <c r="N4926" s="6" t="str">
        <f>IFERROR(__xludf.DUMMYFUNCTION("""COMPUTED_VALUE"""),"")</f>
        <v/>
      </c>
      <c r="O4926" s="87" t="str">
        <f>IFERROR(__xludf.DUMMYFUNCTION("""COMPUTED_VALUE"""),"https://drive.google.com/drive/folders/10T2cTQHqEJZqE-st6uFKPoI?usp=share_link")</f>
        <v>https://drive.google.com/drive/folders/10T2cTQHqEJZqE-st6uFKPoI?usp=share_link</v>
      </c>
      <c r="P4926" s="6" t="str">
        <f>IFERROR(__xludf.DUMMYFUNCTION("""COMPUTED_VALUE"""),"Tyrese Sanders")</f>
        <v>Tyrese Sanders</v>
      </c>
      <c r="Q4926" s="6" t="str">
        <f>IFERROR(__xludf.DUMMYFUNCTION("""COMPUTED_VALUE"""),"MS")</f>
        <v>MS</v>
      </c>
      <c r="R4926" s="6">
        <f>IFERROR(__xludf.DUMMYFUNCTION("""COMPUTED_VALUE"""),0.0)</f>
        <v>0</v>
      </c>
      <c r="S4926" s="6" t="str">
        <f>IFERROR(__xludf.DUMMYFUNCTION("""COMPUTED_VALUE"""),"Kimberly Ball")</f>
        <v>Kimberly Ball</v>
      </c>
      <c r="T4926" s="6" t="str">
        <f>IFERROR(__xludf.DUMMYFUNCTION("""COMPUTED_VALUE"""),"kimberly.ball@studient.com")</f>
        <v>kimberly.ball@studient.com</v>
      </c>
      <c r="U4926" s="6" t="str">
        <f>IFERROR(__xludf.DUMMYFUNCTION("""COMPUTED_VALUE"""),"6")</f>
        <v>6</v>
      </c>
      <c r="V4926" s="6" t="str">
        <f>IFERROR(__xludf.DUMMYFUNCTION("""COMPUTED_VALUE"""),"")</f>
        <v/>
      </c>
      <c r="W4926" s="6" t="str">
        <f>IFERROR(__xludf.DUMMYFUNCTION("""COMPUTED_VALUE"""),"[]")</f>
        <v>[]</v>
      </c>
      <c r="X4926" s="6" t="str">
        <f>IFERROR(__xludf.DUMMYFUNCTION("""COMPUTED_VALUE"""),"Enrolled")</f>
        <v>Enrolled</v>
      </c>
    </row>
    <row r="4927">
      <c r="A4927" s="6" t="str">
        <f>IFERROR(__xludf.DUMMYFUNCTION("""COMPUTED_VALUE"""),"085-11967")</f>
        <v>085-11967</v>
      </c>
      <c r="B4927" s="6" t="str">
        <f>IFERROR(__xludf.DUMMYFUNCTION("""COMPUTED_VALUE"""),"85")</f>
        <v>85</v>
      </c>
      <c r="C4927" s="6" t="str">
        <f>IFERROR(__xludf.DUMMYFUNCTION("""COMPUTED_VALUE"""),"11967")</f>
        <v>11967</v>
      </c>
      <c r="D4927" s="6" t="str">
        <f>IFERROR(__xludf.DUMMYFUNCTION("""COMPUTED_VALUE"""),"Zayla")</f>
        <v>Zayla</v>
      </c>
      <c r="E4927" s="6" t="str">
        <f>IFERROR(__xludf.DUMMYFUNCTION("""COMPUTED_VALUE"""),"")</f>
        <v/>
      </c>
      <c r="F4927" s="6" t="str">
        <f>IFERROR(__xludf.DUMMYFUNCTION("""COMPUTED_VALUE"""),"Sanders")</f>
        <v>Sanders</v>
      </c>
      <c r="G4927" s="6" t="str">
        <f>IFERROR(__xludf.DUMMYFUNCTION("""COMPUTED_VALUE"""),"03/13/2013")</f>
        <v>03/13/2013</v>
      </c>
      <c r="H4927" s="6" t="str">
        <f>IFERROR(__xludf.DUMMYFUNCTION("""COMPUTED_VALUE"""),"female")</f>
        <v>female</v>
      </c>
      <c r="I4927" s="6" t="str">
        <f>IFERROR(__xludf.DUMMYFUNCTION("""COMPUTED_VALUE"""),"Middle School")</f>
        <v>Middle School</v>
      </c>
      <c r="J4927" s="6" t="str">
        <f>IFERROR(__xludf.DUMMYFUNCTION("""COMPUTED_VALUE"""),"6")</f>
        <v>6</v>
      </c>
      <c r="K4927" s="6" t="str">
        <f>IFERROR(__xludf.DUMMYFUNCTION("""COMPUTED_VALUE"""),"zayla.sanders@2hourlearning.com")</f>
        <v>zayla.sanders@2hourlearning.com</v>
      </c>
      <c r="L4927" s="6" t="str">
        <f>IFERROR(__xludf.DUMMYFUNCTION("""COMPUTED_VALUE"""),"AFMS - Allendale Fairfax Middle School")</f>
        <v>AFMS - Allendale Fairfax Middle School</v>
      </c>
      <c r="M4927" s="6" t="str">
        <f>IFERROR(__xludf.DUMMYFUNCTION("""COMPUTED_VALUE"""),"")</f>
        <v/>
      </c>
      <c r="N4927" s="6" t="str">
        <f>IFERROR(__xludf.DUMMYFUNCTION("""COMPUTED_VALUE"""),"")</f>
        <v/>
      </c>
      <c r="O4927" s="87" t="str">
        <f>IFERROR(__xludf.DUMMYFUNCTION("""COMPUTED_VALUE"""),"https://drive.google.com/drive/folders/10T2cTQHqEJZqE-st6uFKPoI?usp=share_link")</f>
        <v>https://drive.google.com/drive/folders/10T2cTQHqEJZqE-st6uFKPoI?usp=share_link</v>
      </c>
      <c r="P4927" s="6" t="str">
        <f>IFERROR(__xludf.DUMMYFUNCTION("""COMPUTED_VALUE"""),"Zayla Sanders")</f>
        <v>Zayla Sanders</v>
      </c>
      <c r="Q4927" s="6" t="str">
        <f>IFERROR(__xludf.DUMMYFUNCTION("""COMPUTED_VALUE"""),"MS")</f>
        <v>MS</v>
      </c>
      <c r="R4927" s="6">
        <f>IFERROR(__xludf.DUMMYFUNCTION("""COMPUTED_VALUE"""),0.0)</f>
        <v>0</v>
      </c>
      <c r="S4927" s="6" t="str">
        <f>IFERROR(__xludf.DUMMYFUNCTION("""COMPUTED_VALUE"""),"Kimberly Ball")</f>
        <v>Kimberly Ball</v>
      </c>
      <c r="T4927" s="6" t="str">
        <f>IFERROR(__xludf.DUMMYFUNCTION("""COMPUTED_VALUE"""),"kimberly.ball@studient.com")</f>
        <v>kimberly.ball@studient.com</v>
      </c>
      <c r="U4927" s="6" t="str">
        <f>IFERROR(__xludf.DUMMYFUNCTION("""COMPUTED_VALUE"""),"6")</f>
        <v>6</v>
      </c>
      <c r="V4927" s="6" t="str">
        <f>IFERROR(__xludf.DUMMYFUNCTION("""COMPUTED_VALUE"""),"")</f>
        <v/>
      </c>
      <c r="W4927" s="6" t="str">
        <f>IFERROR(__xludf.DUMMYFUNCTION("""COMPUTED_VALUE"""),"[]")</f>
        <v>[]</v>
      </c>
      <c r="X4927" s="6" t="str">
        <f>IFERROR(__xludf.DUMMYFUNCTION("""COMPUTED_VALUE"""),"Enrolled")</f>
        <v>Enrolled</v>
      </c>
    </row>
    <row r="4928">
      <c r="A4928" s="6" t="str">
        <f>IFERROR(__xludf.DUMMYFUNCTION("""COMPUTED_VALUE"""),"085-11969")</f>
        <v>085-11969</v>
      </c>
      <c r="B4928" s="6" t="str">
        <f>IFERROR(__xludf.DUMMYFUNCTION("""COMPUTED_VALUE"""),"85")</f>
        <v>85</v>
      </c>
      <c r="C4928" s="6" t="str">
        <f>IFERROR(__xludf.DUMMYFUNCTION("""COMPUTED_VALUE"""),"11969")</f>
        <v>11969</v>
      </c>
      <c r="D4928" s="6" t="str">
        <f>IFERROR(__xludf.DUMMYFUNCTION("""COMPUTED_VALUE"""),"MaKenzie")</f>
        <v>MaKenzie</v>
      </c>
      <c r="E4928" s="6" t="str">
        <f>IFERROR(__xludf.DUMMYFUNCTION("""COMPUTED_VALUE"""),"")</f>
        <v/>
      </c>
      <c r="F4928" s="6" t="str">
        <f>IFERROR(__xludf.DUMMYFUNCTION("""COMPUTED_VALUE"""),"Smoaks")</f>
        <v>Smoaks</v>
      </c>
      <c r="G4928" s="6" t="str">
        <f>IFERROR(__xludf.DUMMYFUNCTION("""COMPUTED_VALUE"""),"05/15/2014")</f>
        <v>05/15/2014</v>
      </c>
      <c r="H4928" s="6" t="str">
        <f>IFERROR(__xludf.DUMMYFUNCTION("""COMPUTED_VALUE"""),"female")</f>
        <v>female</v>
      </c>
      <c r="I4928" s="6" t="str">
        <f>IFERROR(__xludf.DUMMYFUNCTION("""COMPUTED_VALUE"""),"Middle School")</f>
        <v>Middle School</v>
      </c>
      <c r="J4928" s="6" t="str">
        <f>IFERROR(__xludf.DUMMYFUNCTION("""COMPUTED_VALUE"""),"6")</f>
        <v>6</v>
      </c>
      <c r="K4928" s="6" t="str">
        <f>IFERROR(__xludf.DUMMYFUNCTION("""COMPUTED_VALUE"""),"makenzie.smoaks@2hourlearning.com")</f>
        <v>makenzie.smoaks@2hourlearning.com</v>
      </c>
      <c r="L4928" s="6" t="str">
        <f>IFERROR(__xludf.DUMMYFUNCTION("""COMPUTED_VALUE"""),"AFMS - Allendale Fairfax Middle School")</f>
        <v>AFMS - Allendale Fairfax Middle School</v>
      </c>
      <c r="M4928" s="6" t="str">
        <f>IFERROR(__xludf.DUMMYFUNCTION("""COMPUTED_VALUE"""),"")</f>
        <v/>
      </c>
      <c r="N4928" s="6" t="str">
        <f>IFERROR(__xludf.DUMMYFUNCTION("""COMPUTED_VALUE"""),"")</f>
        <v/>
      </c>
      <c r="O4928" s="87" t="str">
        <f>IFERROR(__xludf.DUMMYFUNCTION("""COMPUTED_VALUE"""),"https://drive.google.com/drive/folders/10T2cTQHqEJZqE-st6uFKPoI?usp=share_link")</f>
        <v>https://drive.google.com/drive/folders/10T2cTQHqEJZqE-st6uFKPoI?usp=share_link</v>
      </c>
      <c r="P4928" s="6" t="str">
        <f>IFERROR(__xludf.DUMMYFUNCTION("""COMPUTED_VALUE"""),"MaKenzie Smoaks")</f>
        <v>MaKenzie Smoaks</v>
      </c>
      <c r="Q4928" s="6" t="str">
        <f>IFERROR(__xludf.DUMMYFUNCTION("""COMPUTED_VALUE"""),"MS")</f>
        <v>MS</v>
      </c>
      <c r="R4928" s="6">
        <f>IFERROR(__xludf.DUMMYFUNCTION("""COMPUTED_VALUE"""),0.0)</f>
        <v>0</v>
      </c>
      <c r="S4928" s="6" t="str">
        <f>IFERROR(__xludf.DUMMYFUNCTION("""COMPUTED_VALUE"""),"Kimberly Ball")</f>
        <v>Kimberly Ball</v>
      </c>
      <c r="T4928" s="6" t="str">
        <f>IFERROR(__xludf.DUMMYFUNCTION("""COMPUTED_VALUE"""),"kimberly.ball@studient.com")</f>
        <v>kimberly.ball@studient.com</v>
      </c>
      <c r="U4928" s="6" t="str">
        <f>IFERROR(__xludf.DUMMYFUNCTION("""COMPUTED_VALUE"""),"6")</f>
        <v>6</v>
      </c>
      <c r="V4928" s="6" t="str">
        <f>IFERROR(__xludf.DUMMYFUNCTION("""COMPUTED_VALUE"""),"")</f>
        <v/>
      </c>
      <c r="W4928" s="6" t="str">
        <f>IFERROR(__xludf.DUMMYFUNCTION("""COMPUTED_VALUE"""),"[]")</f>
        <v>[]</v>
      </c>
      <c r="X4928" s="6" t="str">
        <f>IFERROR(__xludf.DUMMYFUNCTION("""COMPUTED_VALUE"""),"Enrolled")</f>
        <v>Enrolled</v>
      </c>
    </row>
    <row r="4929">
      <c r="A4929" s="6" t="str">
        <f>IFERROR(__xludf.DUMMYFUNCTION("""COMPUTED_VALUE"""),"085-11970")</f>
        <v>085-11970</v>
      </c>
      <c r="B4929" s="6" t="str">
        <f>IFERROR(__xludf.DUMMYFUNCTION("""COMPUTED_VALUE"""),"85")</f>
        <v>85</v>
      </c>
      <c r="C4929" s="6" t="str">
        <f>IFERROR(__xludf.DUMMYFUNCTION("""COMPUTED_VALUE"""),"11970")</f>
        <v>11970</v>
      </c>
      <c r="D4929" s="6" t="str">
        <f>IFERROR(__xludf.DUMMYFUNCTION("""COMPUTED_VALUE"""),"Rajon")</f>
        <v>Rajon</v>
      </c>
      <c r="E4929" s="6" t="str">
        <f>IFERROR(__xludf.DUMMYFUNCTION("""COMPUTED_VALUE"""),"")</f>
        <v/>
      </c>
      <c r="F4929" s="6" t="str">
        <f>IFERROR(__xludf.DUMMYFUNCTION("""COMPUTED_VALUE"""),"Snelling")</f>
        <v>Snelling</v>
      </c>
      <c r="G4929" s="6" t="str">
        <f>IFERROR(__xludf.DUMMYFUNCTION("""COMPUTED_VALUE"""),"06/09/2012")</f>
        <v>06/09/2012</v>
      </c>
      <c r="H4929" s="6" t="str">
        <f>IFERROR(__xludf.DUMMYFUNCTION("""COMPUTED_VALUE"""),"male")</f>
        <v>male</v>
      </c>
      <c r="I4929" s="6" t="str">
        <f>IFERROR(__xludf.DUMMYFUNCTION("""COMPUTED_VALUE"""),"Middle School")</f>
        <v>Middle School</v>
      </c>
      <c r="J4929" s="6" t="str">
        <f>IFERROR(__xludf.DUMMYFUNCTION("""COMPUTED_VALUE"""),"6")</f>
        <v>6</v>
      </c>
      <c r="K4929" s="6" t="str">
        <f>IFERROR(__xludf.DUMMYFUNCTION("""COMPUTED_VALUE"""),"rajon.snelling@2hourlearning.com")</f>
        <v>rajon.snelling@2hourlearning.com</v>
      </c>
      <c r="L4929" s="6" t="str">
        <f>IFERROR(__xludf.DUMMYFUNCTION("""COMPUTED_VALUE"""),"AFMS - Allendale Fairfax Middle School")</f>
        <v>AFMS - Allendale Fairfax Middle School</v>
      </c>
      <c r="M4929" s="6" t="str">
        <f>IFERROR(__xludf.DUMMYFUNCTION("""COMPUTED_VALUE"""),"")</f>
        <v/>
      </c>
      <c r="N4929" s="6" t="str">
        <f>IFERROR(__xludf.DUMMYFUNCTION("""COMPUTED_VALUE"""),"")</f>
        <v/>
      </c>
      <c r="O4929" s="87" t="str">
        <f>IFERROR(__xludf.DUMMYFUNCTION("""COMPUTED_VALUE"""),"https://drive.google.com/drive/folders/10T2cTQHqEJZqE-st6uFKPoI?usp=share_link")</f>
        <v>https://drive.google.com/drive/folders/10T2cTQHqEJZqE-st6uFKPoI?usp=share_link</v>
      </c>
      <c r="P4929" s="6" t="str">
        <f>IFERROR(__xludf.DUMMYFUNCTION("""COMPUTED_VALUE"""),"Rajon Snelling")</f>
        <v>Rajon Snelling</v>
      </c>
      <c r="Q4929" s="6" t="str">
        <f>IFERROR(__xludf.DUMMYFUNCTION("""COMPUTED_VALUE"""),"MS")</f>
        <v>MS</v>
      </c>
      <c r="R4929" s="6">
        <f>IFERROR(__xludf.DUMMYFUNCTION("""COMPUTED_VALUE"""),0.0)</f>
        <v>0</v>
      </c>
      <c r="S4929" s="6" t="str">
        <f>IFERROR(__xludf.DUMMYFUNCTION("""COMPUTED_VALUE"""),"Kimberly Ball")</f>
        <v>Kimberly Ball</v>
      </c>
      <c r="T4929" s="6" t="str">
        <f>IFERROR(__xludf.DUMMYFUNCTION("""COMPUTED_VALUE"""),"kimberly.ball@studient.com")</f>
        <v>kimberly.ball@studient.com</v>
      </c>
      <c r="U4929" s="6" t="str">
        <f>IFERROR(__xludf.DUMMYFUNCTION("""COMPUTED_VALUE"""),"6")</f>
        <v>6</v>
      </c>
      <c r="V4929" s="6" t="str">
        <f>IFERROR(__xludf.DUMMYFUNCTION("""COMPUTED_VALUE"""),"")</f>
        <v/>
      </c>
      <c r="W4929" s="6" t="str">
        <f>IFERROR(__xludf.DUMMYFUNCTION("""COMPUTED_VALUE"""),"[]")</f>
        <v>[]</v>
      </c>
      <c r="X4929" s="6" t="str">
        <f>IFERROR(__xludf.DUMMYFUNCTION("""COMPUTED_VALUE"""),"Enrolled")</f>
        <v>Enrolled</v>
      </c>
    </row>
    <row r="4930">
      <c r="A4930" s="6" t="str">
        <f>IFERROR(__xludf.DUMMYFUNCTION("""COMPUTED_VALUE"""),"085-11971")</f>
        <v>085-11971</v>
      </c>
      <c r="B4930" s="6" t="str">
        <f>IFERROR(__xludf.DUMMYFUNCTION("""COMPUTED_VALUE"""),"85")</f>
        <v>85</v>
      </c>
      <c r="C4930" s="6" t="str">
        <f>IFERROR(__xludf.DUMMYFUNCTION("""COMPUTED_VALUE"""),"11971")</f>
        <v>11971</v>
      </c>
      <c r="D4930" s="6" t="str">
        <f>IFERROR(__xludf.DUMMYFUNCTION("""COMPUTED_VALUE"""),"Za'Karie")</f>
        <v>Za'Karie</v>
      </c>
      <c r="E4930" s="6" t="str">
        <f>IFERROR(__xludf.DUMMYFUNCTION("""COMPUTED_VALUE"""),"")</f>
        <v/>
      </c>
      <c r="F4930" s="6" t="str">
        <f>IFERROR(__xludf.DUMMYFUNCTION("""COMPUTED_VALUE"""),"Thomas")</f>
        <v>Thomas</v>
      </c>
      <c r="G4930" s="6" t="str">
        <f>IFERROR(__xludf.DUMMYFUNCTION("""COMPUTED_VALUE"""),"05/28/2014")</f>
        <v>05/28/2014</v>
      </c>
      <c r="H4930" s="6" t="str">
        <f>IFERROR(__xludf.DUMMYFUNCTION("""COMPUTED_VALUE"""),"female")</f>
        <v>female</v>
      </c>
      <c r="I4930" s="6" t="str">
        <f>IFERROR(__xludf.DUMMYFUNCTION("""COMPUTED_VALUE"""),"Middle School")</f>
        <v>Middle School</v>
      </c>
      <c r="J4930" s="6" t="str">
        <f>IFERROR(__xludf.DUMMYFUNCTION("""COMPUTED_VALUE"""),"6")</f>
        <v>6</v>
      </c>
      <c r="K4930" s="6" t="str">
        <f>IFERROR(__xludf.DUMMYFUNCTION("""COMPUTED_VALUE"""),"zakarie.thomas@2hourlearning.com")</f>
        <v>zakarie.thomas@2hourlearning.com</v>
      </c>
      <c r="L4930" s="6" t="str">
        <f>IFERROR(__xludf.DUMMYFUNCTION("""COMPUTED_VALUE"""),"AFMS - Allendale Fairfax Middle School")</f>
        <v>AFMS - Allendale Fairfax Middle School</v>
      </c>
      <c r="M4930" s="6" t="str">
        <f>IFERROR(__xludf.DUMMYFUNCTION("""COMPUTED_VALUE"""),"")</f>
        <v/>
      </c>
      <c r="N4930" s="6" t="str">
        <f>IFERROR(__xludf.DUMMYFUNCTION("""COMPUTED_VALUE"""),"")</f>
        <v/>
      </c>
      <c r="O4930" s="87" t="str">
        <f>IFERROR(__xludf.DUMMYFUNCTION("""COMPUTED_VALUE"""),"https://drive.google.com/drive/folders/10T2cTQHqEJZqE-st6uFKPoI?usp=share_link")</f>
        <v>https://drive.google.com/drive/folders/10T2cTQHqEJZqE-st6uFKPoI?usp=share_link</v>
      </c>
      <c r="P4930" s="6" t="str">
        <f>IFERROR(__xludf.DUMMYFUNCTION("""COMPUTED_VALUE"""),"Za'Karie Thomas")</f>
        <v>Za'Karie Thomas</v>
      </c>
      <c r="Q4930" s="6" t="str">
        <f>IFERROR(__xludf.DUMMYFUNCTION("""COMPUTED_VALUE"""),"MS")</f>
        <v>MS</v>
      </c>
      <c r="R4930" s="6">
        <f>IFERROR(__xludf.DUMMYFUNCTION("""COMPUTED_VALUE"""),0.0)</f>
        <v>0</v>
      </c>
      <c r="S4930" s="6" t="str">
        <f>IFERROR(__xludf.DUMMYFUNCTION("""COMPUTED_VALUE"""),"Kimberly Ball")</f>
        <v>Kimberly Ball</v>
      </c>
      <c r="T4930" s="6" t="str">
        <f>IFERROR(__xludf.DUMMYFUNCTION("""COMPUTED_VALUE"""),"kimberly.ball@studient.com")</f>
        <v>kimberly.ball@studient.com</v>
      </c>
      <c r="U4930" s="6" t="str">
        <f>IFERROR(__xludf.DUMMYFUNCTION("""COMPUTED_VALUE"""),"6")</f>
        <v>6</v>
      </c>
      <c r="V4930" s="6" t="str">
        <f>IFERROR(__xludf.DUMMYFUNCTION("""COMPUTED_VALUE"""),"")</f>
        <v/>
      </c>
      <c r="W4930" s="6" t="str">
        <f>IFERROR(__xludf.DUMMYFUNCTION("""COMPUTED_VALUE"""),"[]")</f>
        <v>[]</v>
      </c>
      <c r="X4930" s="6" t="str">
        <f>IFERROR(__xludf.DUMMYFUNCTION("""COMPUTED_VALUE"""),"Enrolled")</f>
        <v>Enrolled</v>
      </c>
    </row>
    <row r="4931">
      <c r="A4931" s="6" t="str">
        <f>IFERROR(__xludf.DUMMYFUNCTION("""COMPUTED_VALUE"""),"085-11972")</f>
        <v>085-11972</v>
      </c>
      <c r="B4931" s="6" t="str">
        <f>IFERROR(__xludf.DUMMYFUNCTION("""COMPUTED_VALUE"""),"85")</f>
        <v>85</v>
      </c>
      <c r="C4931" s="6" t="str">
        <f>IFERROR(__xludf.DUMMYFUNCTION("""COMPUTED_VALUE"""),"11972")</f>
        <v>11972</v>
      </c>
      <c r="D4931" s="6" t="str">
        <f>IFERROR(__xludf.DUMMYFUNCTION("""COMPUTED_VALUE"""),"Amari")</f>
        <v>Amari</v>
      </c>
      <c r="E4931" s="6" t="str">
        <f>IFERROR(__xludf.DUMMYFUNCTION("""COMPUTED_VALUE"""),"")</f>
        <v/>
      </c>
      <c r="F4931" s="6" t="str">
        <f>IFERROR(__xludf.DUMMYFUNCTION("""COMPUTED_VALUE"""),"Walker")</f>
        <v>Walker</v>
      </c>
      <c r="G4931" s="6" t="str">
        <f>IFERROR(__xludf.DUMMYFUNCTION("""COMPUTED_VALUE"""),"09/18/2013")</f>
        <v>09/18/2013</v>
      </c>
      <c r="H4931" s="6" t="str">
        <f>IFERROR(__xludf.DUMMYFUNCTION("""COMPUTED_VALUE"""),"male")</f>
        <v>male</v>
      </c>
      <c r="I4931" s="6" t="str">
        <f>IFERROR(__xludf.DUMMYFUNCTION("""COMPUTED_VALUE"""),"Middle School")</f>
        <v>Middle School</v>
      </c>
      <c r="J4931" s="6" t="str">
        <f>IFERROR(__xludf.DUMMYFUNCTION("""COMPUTED_VALUE"""),"6")</f>
        <v>6</v>
      </c>
      <c r="K4931" s="6" t="str">
        <f>IFERROR(__xludf.DUMMYFUNCTION("""COMPUTED_VALUE"""),"amari.walker@2hourlearning.com")</f>
        <v>amari.walker@2hourlearning.com</v>
      </c>
      <c r="L4931" s="6" t="str">
        <f>IFERROR(__xludf.DUMMYFUNCTION("""COMPUTED_VALUE"""),"AFMS - Allendale Fairfax Middle School")</f>
        <v>AFMS - Allendale Fairfax Middle School</v>
      </c>
      <c r="M4931" s="6" t="str">
        <f>IFERROR(__xludf.DUMMYFUNCTION("""COMPUTED_VALUE"""),"")</f>
        <v/>
      </c>
      <c r="N4931" s="6" t="str">
        <f>IFERROR(__xludf.DUMMYFUNCTION("""COMPUTED_VALUE"""),"")</f>
        <v/>
      </c>
      <c r="O4931" s="87" t="str">
        <f>IFERROR(__xludf.DUMMYFUNCTION("""COMPUTED_VALUE"""),"https://drive.google.com/drive/folders/10T2cTQHqEJZqE-st6uFKPoI?usp=share_link")</f>
        <v>https://drive.google.com/drive/folders/10T2cTQHqEJZqE-st6uFKPoI?usp=share_link</v>
      </c>
      <c r="P4931" s="6" t="str">
        <f>IFERROR(__xludf.DUMMYFUNCTION("""COMPUTED_VALUE"""),"Amari Walker")</f>
        <v>Amari Walker</v>
      </c>
      <c r="Q4931" s="6" t="str">
        <f>IFERROR(__xludf.DUMMYFUNCTION("""COMPUTED_VALUE"""),"MS")</f>
        <v>MS</v>
      </c>
      <c r="R4931" s="6">
        <f>IFERROR(__xludf.DUMMYFUNCTION("""COMPUTED_VALUE"""),0.0)</f>
        <v>0</v>
      </c>
      <c r="S4931" s="6" t="str">
        <f>IFERROR(__xludf.DUMMYFUNCTION("""COMPUTED_VALUE"""),"Kimberly Ball")</f>
        <v>Kimberly Ball</v>
      </c>
      <c r="T4931" s="6" t="str">
        <f>IFERROR(__xludf.DUMMYFUNCTION("""COMPUTED_VALUE"""),"kimberly.ball@studient.com")</f>
        <v>kimberly.ball@studient.com</v>
      </c>
      <c r="U4931" s="6" t="str">
        <f>IFERROR(__xludf.DUMMYFUNCTION("""COMPUTED_VALUE"""),"6")</f>
        <v>6</v>
      </c>
      <c r="V4931" s="6" t="str">
        <f>IFERROR(__xludf.DUMMYFUNCTION("""COMPUTED_VALUE"""),"")</f>
        <v/>
      </c>
      <c r="W4931" s="6" t="str">
        <f>IFERROR(__xludf.DUMMYFUNCTION("""COMPUTED_VALUE"""),"[]")</f>
        <v>[]</v>
      </c>
      <c r="X4931" s="6" t="str">
        <f>IFERROR(__xludf.DUMMYFUNCTION("""COMPUTED_VALUE"""),"Enrolled")</f>
        <v>Enrolled</v>
      </c>
    </row>
    <row r="4932">
      <c r="A4932" s="6" t="str">
        <f>IFERROR(__xludf.DUMMYFUNCTION("""COMPUTED_VALUE"""),"085-11973")</f>
        <v>085-11973</v>
      </c>
      <c r="B4932" s="6" t="str">
        <f>IFERROR(__xludf.DUMMYFUNCTION("""COMPUTED_VALUE"""),"85")</f>
        <v>85</v>
      </c>
      <c r="C4932" s="6" t="str">
        <f>IFERROR(__xludf.DUMMYFUNCTION("""COMPUTED_VALUE"""),"11973")</f>
        <v>11973</v>
      </c>
      <c r="D4932" s="6" t="str">
        <f>IFERROR(__xludf.DUMMYFUNCTION("""COMPUTED_VALUE"""),"Madelyn")</f>
        <v>Madelyn</v>
      </c>
      <c r="E4932" s="6" t="str">
        <f>IFERROR(__xludf.DUMMYFUNCTION("""COMPUTED_VALUE"""),"")</f>
        <v/>
      </c>
      <c r="F4932" s="6" t="str">
        <f>IFERROR(__xludf.DUMMYFUNCTION("""COMPUTED_VALUE"""),"White")</f>
        <v>White</v>
      </c>
      <c r="G4932" s="6" t="str">
        <f>IFERROR(__xludf.DUMMYFUNCTION("""COMPUTED_VALUE"""),"02/17/2014")</f>
        <v>02/17/2014</v>
      </c>
      <c r="H4932" s="6" t="str">
        <f>IFERROR(__xludf.DUMMYFUNCTION("""COMPUTED_VALUE"""),"female")</f>
        <v>female</v>
      </c>
      <c r="I4932" s="6" t="str">
        <f>IFERROR(__xludf.DUMMYFUNCTION("""COMPUTED_VALUE"""),"Middle School")</f>
        <v>Middle School</v>
      </c>
      <c r="J4932" s="6" t="str">
        <f>IFERROR(__xludf.DUMMYFUNCTION("""COMPUTED_VALUE"""),"6")</f>
        <v>6</v>
      </c>
      <c r="K4932" s="6" t="str">
        <f>IFERROR(__xludf.DUMMYFUNCTION("""COMPUTED_VALUE"""),"madelyn.white@2hourlearning.com")</f>
        <v>madelyn.white@2hourlearning.com</v>
      </c>
      <c r="L4932" s="6" t="str">
        <f>IFERROR(__xludf.DUMMYFUNCTION("""COMPUTED_VALUE"""),"AFMS - Allendale Fairfax Middle School")</f>
        <v>AFMS - Allendale Fairfax Middle School</v>
      </c>
      <c r="M4932" s="6" t="str">
        <f>IFERROR(__xludf.DUMMYFUNCTION("""COMPUTED_VALUE"""),"")</f>
        <v/>
      </c>
      <c r="N4932" s="6" t="str">
        <f>IFERROR(__xludf.DUMMYFUNCTION("""COMPUTED_VALUE"""),"")</f>
        <v/>
      </c>
      <c r="O4932" s="87" t="str">
        <f>IFERROR(__xludf.DUMMYFUNCTION("""COMPUTED_VALUE"""),"https://drive.google.com/drive/folders/10T2cTQHqEJZqE-st6uFKPoI?usp=share_link")</f>
        <v>https://drive.google.com/drive/folders/10T2cTQHqEJZqE-st6uFKPoI?usp=share_link</v>
      </c>
      <c r="P4932" s="6" t="str">
        <f>IFERROR(__xludf.DUMMYFUNCTION("""COMPUTED_VALUE"""),"Madelyn White")</f>
        <v>Madelyn White</v>
      </c>
      <c r="Q4932" s="6" t="str">
        <f>IFERROR(__xludf.DUMMYFUNCTION("""COMPUTED_VALUE"""),"MS")</f>
        <v>MS</v>
      </c>
      <c r="R4932" s="6">
        <f>IFERROR(__xludf.DUMMYFUNCTION("""COMPUTED_VALUE"""),0.0)</f>
        <v>0</v>
      </c>
      <c r="S4932" s="6" t="str">
        <f>IFERROR(__xludf.DUMMYFUNCTION("""COMPUTED_VALUE"""),"Kimberly Ball")</f>
        <v>Kimberly Ball</v>
      </c>
      <c r="T4932" s="6" t="str">
        <f>IFERROR(__xludf.DUMMYFUNCTION("""COMPUTED_VALUE"""),"kimberly.ball@studient.com")</f>
        <v>kimberly.ball@studient.com</v>
      </c>
      <c r="U4932" s="6" t="str">
        <f>IFERROR(__xludf.DUMMYFUNCTION("""COMPUTED_VALUE"""),"6")</f>
        <v>6</v>
      </c>
      <c r="V4932" s="6" t="str">
        <f>IFERROR(__xludf.DUMMYFUNCTION("""COMPUTED_VALUE"""),"")</f>
        <v/>
      </c>
      <c r="W4932" s="6" t="str">
        <f>IFERROR(__xludf.DUMMYFUNCTION("""COMPUTED_VALUE"""),"[]")</f>
        <v>[]</v>
      </c>
      <c r="X4932" s="6" t="str">
        <f>IFERROR(__xludf.DUMMYFUNCTION("""COMPUTED_VALUE"""),"Enrolled")</f>
        <v>Enrolled</v>
      </c>
    </row>
    <row r="4933">
      <c r="A4933" s="6" t="str">
        <f>IFERROR(__xludf.DUMMYFUNCTION("""COMPUTED_VALUE"""),"085-11974")</f>
        <v>085-11974</v>
      </c>
      <c r="B4933" s="6" t="str">
        <f>IFERROR(__xludf.DUMMYFUNCTION("""COMPUTED_VALUE"""),"85")</f>
        <v>85</v>
      </c>
      <c r="C4933" s="6" t="str">
        <f>IFERROR(__xludf.DUMMYFUNCTION("""COMPUTED_VALUE"""),"11974")</f>
        <v>11974</v>
      </c>
      <c r="D4933" s="6" t="str">
        <f>IFERROR(__xludf.DUMMYFUNCTION("""COMPUTED_VALUE"""),"Mason")</f>
        <v>Mason</v>
      </c>
      <c r="E4933" s="6" t="str">
        <f>IFERROR(__xludf.DUMMYFUNCTION("""COMPUTED_VALUE"""),"")</f>
        <v/>
      </c>
      <c r="F4933" s="6" t="str">
        <f>IFERROR(__xludf.DUMMYFUNCTION("""COMPUTED_VALUE"""),"White")</f>
        <v>White</v>
      </c>
      <c r="G4933" s="6" t="str">
        <f>IFERROR(__xludf.DUMMYFUNCTION("""COMPUTED_VALUE"""),"02/17/2014")</f>
        <v>02/17/2014</v>
      </c>
      <c r="H4933" s="6" t="str">
        <f>IFERROR(__xludf.DUMMYFUNCTION("""COMPUTED_VALUE"""),"male")</f>
        <v>male</v>
      </c>
      <c r="I4933" s="6" t="str">
        <f>IFERROR(__xludf.DUMMYFUNCTION("""COMPUTED_VALUE"""),"Middle School")</f>
        <v>Middle School</v>
      </c>
      <c r="J4933" s="6" t="str">
        <f>IFERROR(__xludf.DUMMYFUNCTION("""COMPUTED_VALUE"""),"6")</f>
        <v>6</v>
      </c>
      <c r="K4933" s="6" t="str">
        <f>IFERROR(__xludf.DUMMYFUNCTION("""COMPUTED_VALUE"""),"mason.white@2hourlearning.com")</f>
        <v>mason.white@2hourlearning.com</v>
      </c>
      <c r="L4933" s="6" t="str">
        <f>IFERROR(__xludf.DUMMYFUNCTION("""COMPUTED_VALUE"""),"AFMS - Allendale Fairfax Middle School")</f>
        <v>AFMS - Allendale Fairfax Middle School</v>
      </c>
      <c r="M4933" s="6" t="str">
        <f>IFERROR(__xludf.DUMMYFUNCTION("""COMPUTED_VALUE"""),"")</f>
        <v/>
      </c>
      <c r="N4933" s="6" t="str">
        <f>IFERROR(__xludf.DUMMYFUNCTION("""COMPUTED_VALUE"""),"")</f>
        <v/>
      </c>
      <c r="O4933" s="87" t="str">
        <f>IFERROR(__xludf.DUMMYFUNCTION("""COMPUTED_VALUE"""),"https://drive.google.com/drive/folders/10T2cTQHqEJZqE-st6uFKPoI?usp=share_link")</f>
        <v>https://drive.google.com/drive/folders/10T2cTQHqEJZqE-st6uFKPoI?usp=share_link</v>
      </c>
      <c r="P4933" s="6" t="str">
        <f>IFERROR(__xludf.DUMMYFUNCTION("""COMPUTED_VALUE"""),"Mason White")</f>
        <v>Mason White</v>
      </c>
      <c r="Q4933" s="6" t="str">
        <f>IFERROR(__xludf.DUMMYFUNCTION("""COMPUTED_VALUE"""),"MS")</f>
        <v>MS</v>
      </c>
      <c r="R4933" s="6">
        <f>IFERROR(__xludf.DUMMYFUNCTION("""COMPUTED_VALUE"""),0.0)</f>
        <v>0</v>
      </c>
      <c r="S4933" s="6" t="str">
        <f>IFERROR(__xludf.DUMMYFUNCTION("""COMPUTED_VALUE"""),"Kimberly Ball")</f>
        <v>Kimberly Ball</v>
      </c>
      <c r="T4933" s="6" t="str">
        <f>IFERROR(__xludf.DUMMYFUNCTION("""COMPUTED_VALUE"""),"kimberly.ball@studient.com")</f>
        <v>kimberly.ball@studient.com</v>
      </c>
      <c r="U4933" s="6" t="str">
        <f>IFERROR(__xludf.DUMMYFUNCTION("""COMPUTED_VALUE"""),"6")</f>
        <v>6</v>
      </c>
      <c r="V4933" s="6" t="str">
        <f>IFERROR(__xludf.DUMMYFUNCTION("""COMPUTED_VALUE"""),"")</f>
        <v/>
      </c>
      <c r="W4933" s="6" t="str">
        <f>IFERROR(__xludf.DUMMYFUNCTION("""COMPUTED_VALUE"""),"[]")</f>
        <v>[]</v>
      </c>
      <c r="X4933" s="6" t="str">
        <f>IFERROR(__xludf.DUMMYFUNCTION("""COMPUTED_VALUE"""),"Enrolled")</f>
        <v>Enrolled</v>
      </c>
    </row>
    <row r="4934">
      <c r="A4934" s="6" t="str">
        <f>IFERROR(__xludf.DUMMYFUNCTION("""COMPUTED_VALUE"""),"085-11975")</f>
        <v>085-11975</v>
      </c>
      <c r="B4934" s="6" t="str">
        <f>IFERROR(__xludf.DUMMYFUNCTION("""COMPUTED_VALUE"""),"85")</f>
        <v>85</v>
      </c>
      <c r="C4934" s="6" t="str">
        <f>IFERROR(__xludf.DUMMYFUNCTION("""COMPUTED_VALUE"""),"11975")</f>
        <v>11975</v>
      </c>
      <c r="D4934" s="6" t="str">
        <f>IFERROR(__xludf.DUMMYFUNCTION("""COMPUTED_VALUE"""),"Malaysia")</f>
        <v>Malaysia</v>
      </c>
      <c r="E4934" s="6" t="str">
        <f>IFERROR(__xludf.DUMMYFUNCTION("""COMPUTED_VALUE"""),"")</f>
        <v/>
      </c>
      <c r="F4934" s="6" t="str">
        <f>IFERROR(__xludf.DUMMYFUNCTION("""COMPUTED_VALUE"""),"Wright")</f>
        <v>Wright</v>
      </c>
      <c r="G4934" s="6" t="str">
        <f>IFERROR(__xludf.DUMMYFUNCTION("""COMPUTED_VALUE"""),"05/02/2014")</f>
        <v>05/02/2014</v>
      </c>
      <c r="H4934" s="6" t="str">
        <f>IFERROR(__xludf.DUMMYFUNCTION("""COMPUTED_VALUE"""),"female")</f>
        <v>female</v>
      </c>
      <c r="I4934" s="6" t="str">
        <f>IFERROR(__xludf.DUMMYFUNCTION("""COMPUTED_VALUE"""),"Middle School")</f>
        <v>Middle School</v>
      </c>
      <c r="J4934" s="6" t="str">
        <f>IFERROR(__xludf.DUMMYFUNCTION("""COMPUTED_VALUE"""),"6")</f>
        <v>6</v>
      </c>
      <c r="K4934" s="6" t="str">
        <f>IFERROR(__xludf.DUMMYFUNCTION("""COMPUTED_VALUE"""),"malaysia.wright@2hourlearning.com")</f>
        <v>malaysia.wright@2hourlearning.com</v>
      </c>
      <c r="L4934" s="6" t="str">
        <f>IFERROR(__xludf.DUMMYFUNCTION("""COMPUTED_VALUE"""),"AFMS - Allendale Fairfax Middle School")</f>
        <v>AFMS - Allendale Fairfax Middle School</v>
      </c>
      <c r="M4934" s="6" t="str">
        <f>IFERROR(__xludf.DUMMYFUNCTION("""COMPUTED_VALUE"""),"")</f>
        <v/>
      </c>
      <c r="N4934" s="6" t="str">
        <f>IFERROR(__xludf.DUMMYFUNCTION("""COMPUTED_VALUE"""),"")</f>
        <v/>
      </c>
      <c r="O4934" s="87" t="str">
        <f>IFERROR(__xludf.DUMMYFUNCTION("""COMPUTED_VALUE"""),"https://drive.google.com/drive/folders/10T2cTQHqEJZqE-st6uFKPoI?usp=share_link")</f>
        <v>https://drive.google.com/drive/folders/10T2cTQHqEJZqE-st6uFKPoI?usp=share_link</v>
      </c>
      <c r="P4934" s="6" t="str">
        <f>IFERROR(__xludf.DUMMYFUNCTION("""COMPUTED_VALUE"""),"Malaysia Wright")</f>
        <v>Malaysia Wright</v>
      </c>
      <c r="Q4934" s="6" t="str">
        <f>IFERROR(__xludf.DUMMYFUNCTION("""COMPUTED_VALUE"""),"MS")</f>
        <v>MS</v>
      </c>
      <c r="R4934" s="6">
        <f>IFERROR(__xludf.DUMMYFUNCTION("""COMPUTED_VALUE"""),0.0)</f>
        <v>0</v>
      </c>
      <c r="S4934" s="6" t="str">
        <f>IFERROR(__xludf.DUMMYFUNCTION("""COMPUTED_VALUE"""),"Kimberly Ball")</f>
        <v>Kimberly Ball</v>
      </c>
      <c r="T4934" s="6" t="str">
        <f>IFERROR(__xludf.DUMMYFUNCTION("""COMPUTED_VALUE"""),"kimberly.ball@studient.com")</f>
        <v>kimberly.ball@studient.com</v>
      </c>
      <c r="U4934" s="6" t="str">
        <f>IFERROR(__xludf.DUMMYFUNCTION("""COMPUTED_VALUE"""),"6")</f>
        <v>6</v>
      </c>
      <c r="V4934" s="6" t="str">
        <f>IFERROR(__xludf.DUMMYFUNCTION("""COMPUTED_VALUE"""),"")</f>
        <v/>
      </c>
      <c r="W4934" s="6" t="str">
        <f>IFERROR(__xludf.DUMMYFUNCTION("""COMPUTED_VALUE"""),"[]")</f>
        <v>[]</v>
      </c>
      <c r="X4934" s="6" t="str">
        <f>IFERROR(__xludf.DUMMYFUNCTION("""COMPUTED_VALUE"""),"Enrolled")</f>
        <v>Enrolled</v>
      </c>
    </row>
    <row r="4935">
      <c r="A4935" s="6" t="str">
        <f>IFERROR(__xludf.DUMMYFUNCTION("""COMPUTED_VALUE"""),"085-11977")</f>
        <v>085-11977</v>
      </c>
      <c r="B4935" s="6" t="str">
        <f>IFERROR(__xludf.DUMMYFUNCTION("""COMPUTED_VALUE"""),"85")</f>
        <v>85</v>
      </c>
      <c r="C4935" s="6" t="str">
        <f>IFERROR(__xludf.DUMMYFUNCTION("""COMPUTED_VALUE"""),"11977")</f>
        <v>11977</v>
      </c>
      <c r="D4935" s="6" t="str">
        <f>IFERROR(__xludf.DUMMYFUNCTION("""COMPUTED_VALUE"""),"Ahnesty")</f>
        <v>Ahnesty</v>
      </c>
      <c r="E4935" s="6" t="str">
        <f>IFERROR(__xludf.DUMMYFUNCTION("""COMPUTED_VALUE"""),"")</f>
        <v/>
      </c>
      <c r="F4935" s="6" t="str">
        <f>IFERROR(__xludf.DUMMYFUNCTION("""COMPUTED_VALUE"""),"Badger")</f>
        <v>Badger</v>
      </c>
      <c r="G4935" s="6" t="str">
        <f>IFERROR(__xludf.DUMMYFUNCTION("""COMPUTED_VALUE"""),"07/15/2013")</f>
        <v>07/15/2013</v>
      </c>
      <c r="H4935" s="6" t="str">
        <f>IFERROR(__xludf.DUMMYFUNCTION("""COMPUTED_VALUE"""),"female")</f>
        <v>female</v>
      </c>
      <c r="I4935" s="6" t="str">
        <f>IFERROR(__xludf.DUMMYFUNCTION("""COMPUTED_VALUE"""),"Middle School")</f>
        <v>Middle School</v>
      </c>
      <c r="J4935" s="6" t="str">
        <f>IFERROR(__xludf.DUMMYFUNCTION("""COMPUTED_VALUE"""),"7")</f>
        <v>7</v>
      </c>
      <c r="K4935" s="6" t="str">
        <f>IFERROR(__xludf.DUMMYFUNCTION("""COMPUTED_VALUE"""),"ahnesty.badger@2hourlearning.com")</f>
        <v>ahnesty.badger@2hourlearning.com</v>
      </c>
      <c r="L4935" s="6" t="str">
        <f>IFERROR(__xludf.DUMMYFUNCTION("""COMPUTED_VALUE"""),"AFMS - Allendale Fairfax Middle School")</f>
        <v>AFMS - Allendale Fairfax Middle School</v>
      </c>
      <c r="M4935" s="6" t="str">
        <f>IFERROR(__xludf.DUMMYFUNCTION("""COMPUTED_VALUE"""),"")</f>
        <v/>
      </c>
      <c r="N4935" s="6" t="str">
        <f>IFERROR(__xludf.DUMMYFUNCTION("""COMPUTED_VALUE"""),"")</f>
        <v/>
      </c>
      <c r="O4935" s="87" t="str">
        <f>IFERROR(__xludf.DUMMYFUNCTION("""COMPUTED_VALUE"""),"https://drive.google.com/drive/folders/10T2cTQHqEJZqE-st6uFKPoI?usp=share_link")</f>
        <v>https://drive.google.com/drive/folders/10T2cTQHqEJZqE-st6uFKPoI?usp=share_link</v>
      </c>
      <c r="P4935" s="6" t="str">
        <f>IFERROR(__xludf.DUMMYFUNCTION("""COMPUTED_VALUE"""),"Ahnesty Badger")</f>
        <v>Ahnesty Badger</v>
      </c>
      <c r="Q4935" s="6" t="str">
        <f>IFERROR(__xludf.DUMMYFUNCTION("""COMPUTED_VALUE"""),"MS")</f>
        <v>MS</v>
      </c>
      <c r="R4935" s="6">
        <f>IFERROR(__xludf.DUMMYFUNCTION("""COMPUTED_VALUE"""),0.0)</f>
        <v>0</v>
      </c>
      <c r="S4935" s="6" t="str">
        <f>IFERROR(__xludf.DUMMYFUNCTION("""COMPUTED_VALUE"""),"Kimberly Ball")</f>
        <v>Kimberly Ball</v>
      </c>
      <c r="T4935" s="6" t="str">
        <f>IFERROR(__xludf.DUMMYFUNCTION("""COMPUTED_VALUE"""),"kimberly.ball@studient.com")</f>
        <v>kimberly.ball@studient.com</v>
      </c>
      <c r="U4935" s="6" t="str">
        <f>IFERROR(__xludf.DUMMYFUNCTION("""COMPUTED_VALUE"""),"7")</f>
        <v>7</v>
      </c>
      <c r="V4935" s="6" t="str">
        <f>IFERROR(__xludf.DUMMYFUNCTION("""COMPUTED_VALUE"""),"")</f>
        <v/>
      </c>
      <c r="W4935" s="6" t="str">
        <f>IFERROR(__xludf.DUMMYFUNCTION("""COMPUTED_VALUE"""),"[]")</f>
        <v>[]</v>
      </c>
      <c r="X4935" s="6" t="str">
        <f>IFERROR(__xludf.DUMMYFUNCTION("""COMPUTED_VALUE"""),"Enrolled")</f>
        <v>Enrolled</v>
      </c>
    </row>
    <row r="4936">
      <c r="A4936" s="6" t="str">
        <f>IFERROR(__xludf.DUMMYFUNCTION("""COMPUTED_VALUE"""),"085-11978")</f>
        <v>085-11978</v>
      </c>
      <c r="B4936" s="6" t="str">
        <f>IFERROR(__xludf.DUMMYFUNCTION("""COMPUTED_VALUE"""),"85")</f>
        <v>85</v>
      </c>
      <c r="C4936" s="6" t="str">
        <f>IFERROR(__xludf.DUMMYFUNCTION("""COMPUTED_VALUE"""),"11978")</f>
        <v>11978</v>
      </c>
      <c r="D4936" s="6" t="str">
        <f>IFERROR(__xludf.DUMMYFUNCTION("""COMPUTED_VALUE"""),"Brooklyn")</f>
        <v>Brooklyn</v>
      </c>
      <c r="E4936" s="6" t="str">
        <f>IFERROR(__xludf.DUMMYFUNCTION("""COMPUTED_VALUE"""),"")</f>
        <v/>
      </c>
      <c r="F4936" s="6" t="str">
        <f>IFERROR(__xludf.DUMMYFUNCTION("""COMPUTED_VALUE"""),"Badger")</f>
        <v>Badger</v>
      </c>
      <c r="G4936" s="6" t="str">
        <f>IFERROR(__xludf.DUMMYFUNCTION("""COMPUTED_VALUE"""),"07/13/2013")</f>
        <v>07/13/2013</v>
      </c>
      <c r="H4936" s="6" t="str">
        <f>IFERROR(__xludf.DUMMYFUNCTION("""COMPUTED_VALUE"""),"female")</f>
        <v>female</v>
      </c>
      <c r="I4936" s="6" t="str">
        <f>IFERROR(__xludf.DUMMYFUNCTION("""COMPUTED_VALUE"""),"Middle School")</f>
        <v>Middle School</v>
      </c>
      <c r="J4936" s="6" t="str">
        <f>IFERROR(__xludf.DUMMYFUNCTION("""COMPUTED_VALUE"""),"7")</f>
        <v>7</v>
      </c>
      <c r="K4936" s="6" t="str">
        <f>IFERROR(__xludf.DUMMYFUNCTION("""COMPUTED_VALUE"""),"brooklyn.badger@2hourlearning.com")</f>
        <v>brooklyn.badger@2hourlearning.com</v>
      </c>
      <c r="L4936" s="6" t="str">
        <f>IFERROR(__xludf.DUMMYFUNCTION("""COMPUTED_VALUE"""),"AFMS - Allendale Fairfax Middle School")</f>
        <v>AFMS - Allendale Fairfax Middle School</v>
      </c>
      <c r="M4936" s="6" t="str">
        <f>IFERROR(__xludf.DUMMYFUNCTION("""COMPUTED_VALUE"""),"")</f>
        <v/>
      </c>
      <c r="N4936" s="6" t="str">
        <f>IFERROR(__xludf.DUMMYFUNCTION("""COMPUTED_VALUE"""),"")</f>
        <v/>
      </c>
      <c r="O4936" s="87" t="str">
        <f>IFERROR(__xludf.DUMMYFUNCTION("""COMPUTED_VALUE"""),"https://drive.google.com/drive/folders/10T2cTQHqEJZqE-st6uFKPoI?usp=share_link")</f>
        <v>https://drive.google.com/drive/folders/10T2cTQHqEJZqE-st6uFKPoI?usp=share_link</v>
      </c>
      <c r="P4936" s="6" t="str">
        <f>IFERROR(__xludf.DUMMYFUNCTION("""COMPUTED_VALUE"""),"Brooklyn Badger")</f>
        <v>Brooklyn Badger</v>
      </c>
      <c r="Q4936" s="6" t="str">
        <f>IFERROR(__xludf.DUMMYFUNCTION("""COMPUTED_VALUE"""),"MS")</f>
        <v>MS</v>
      </c>
      <c r="R4936" s="6">
        <f>IFERROR(__xludf.DUMMYFUNCTION("""COMPUTED_VALUE"""),0.0)</f>
        <v>0</v>
      </c>
      <c r="S4936" s="6" t="str">
        <f>IFERROR(__xludf.DUMMYFUNCTION("""COMPUTED_VALUE"""),"Kimberly Ball")</f>
        <v>Kimberly Ball</v>
      </c>
      <c r="T4936" s="6" t="str">
        <f>IFERROR(__xludf.DUMMYFUNCTION("""COMPUTED_VALUE"""),"kimberly.ball@studient.com")</f>
        <v>kimberly.ball@studient.com</v>
      </c>
      <c r="U4936" s="6" t="str">
        <f>IFERROR(__xludf.DUMMYFUNCTION("""COMPUTED_VALUE"""),"7")</f>
        <v>7</v>
      </c>
      <c r="V4936" s="6" t="str">
        <f>IFERROR(__xludf.DUMMYFUNCTION("""COMPUTED_VALUE"""),"")</f>
        <v/>
      </c>
      <c r="W4936" s="6" t="str">
        <f>IFERROR(__xludf.DUMMYFUNCTION("""COMPUTED_VALUE"""),"[]")</f>
        <v>[]</v>
      </c>
      <c r="X4936" s="6" t="str">
        <f>IFERROR(__xludf.DUMMYFUNCTION("""COMPUTED_VALUE"""),"Enrolled")</f>
        <v>Enrolled</v>
      </c>
    </row>
    <row r="4937">
      <c r="A4937" s="6" t="str">
        <f>IFERROR(__xludf.DUMMYFUNCTION("""COMPUTED_VALUE"""),"085-11979")</f>
        <v>085-11979</v>
      </c>
      <c r="B4937" s="6" t="str">
        <f>IFERROR(__xludf.DUMMYFUNCTION("""COMPUTED_VALUE"""),"85")</f>
        <v>85</v>
      </c>
      <c r="C4937" s="6" t="str">
        <f>IFERROR(__xludf.DUMMYFUNCTION("""COMPUTED_VALUE"""),"11979")</f>
        <v>11979</v>
      </c>
      <c r="D4937" s="6" t="str">
        <f>IFERROR(__xludf.DUMMYFUNCTION("""COMPUTED_VALUE"""),"Rashard")</f>
        <v>Rashard</v>
      </c>
      <c r="E4937" s="6" t="str">
        <f>IFERROR(__xludf.DUMMYFUNCTION("""COMPUTED_VALUE"""),"")</f>
        <v/>
      </c>
      <c r="F4937" s="6" t="str">
        <f>IFERROR(__xludf.DUMMYFUNCTION("""COMPUTED_VALUE"""),"Banks")</f>
        <v>Banks</v>
      </c>
      <c r="G4937" s="6" t="str">
        <f>IFERROR(__xludf.DUMMYFUNCTION("""COMPUTED_VALUE"""),"12/28/2012")</f>
        <v>12/28/2012</v>
      </c>
      <c r="H4937" s="6" t="str">
        <f>IFERROR(__xludf.DUMMYFUNCTION("""COMPUTED_VALUE"""),"male")</f>
        <v>male</v>
      </c>
      <c r="I4937" s="6" t="str">
        <f>IFERROR(__xludf.DUMMYFUNCTION("""COMPUTED_VALUE"""),"Middle School")</f>
        <v>Middle School</v>
      </c>
      <c r="J4937" s="6" t="str">
        <f>IFERROR(__xludf.DUMMYFUNCTION("""COMPUTED_VALUE"""),"7")</f>
        <v>7</v>
      </c>
      <c r="K4937" s="6" t="str">
        <f>IFERROR(__xludf.DUMMYFUNCTION("""COMPUTED_VALUE"""),"rashard.banks@2hourlearning.com")</f>
        <v>rashard.banks@2hourlearning.com</v>
      </c>
      <c r="L4937" s="6" t="str">
        <f>IFERROR(__xludf.DUMMYFUNCTION("""COMPUTED_VALUE"""),"AFMS - Allendale Fairfax Middle School")</f>
        <v>AFMS - Allendale Fairfax Middle School</v>
      </c>
      <c r="M4937" s="6" t="str">
        <f>IFERROR(__xludf.DUMMYFUNCTION("""COMPUTED_VALUE"""),"")</f>
        <v/>
      </c>
      <c r="N4937" s="6" t="str">
        <f>IFERROR(__xludf.DUMMYFUNCTION("""COMPUTED_VALUE"""),"")</f>
        <v/>
      </c>
      <c r="O4937" s="87" t="str">
        <f>IFERROR(__xludf.DUMMYFUNCTION("""COMPUTED_VALUE"""),"https://drive.google.com/drive/folders/10T2cTQHqEJZqE-st6uFKPoI?usp=share_link")</f>
        <v>https://drive.google.com/drive/folders/10T2cTQHqEJZqE-st6uFKPoI?usp=share_link</v>
      </c>
      <c r="P4937" s="6" t="str">
        <f>IFERROR(__xludf.DUMMYFUNCTION("""COMPUTED_VALUE"""),"Rashard Banks")</f>
        <v>Rashard Banks</v>
      </c>
      <c r="Q4937" s="6" t="str">
        <f>IFERROR(__xludf.DUMMYFUNCTION("""COMPUTED_VALUE"""),"MS")</f>
        <v>MS</v>
      </c>
      <c r="R4937" s="6">
        <f>IFERROR(__xludf.DUMMYFUNCTION("""COMPUTED_VALUE"""),0.0)</f>
        <v>0</v>
      </c>
      <c r="S4937" s="6" t="str">
        <f>IFERROR(__xludf.DUMMYFUNCTION("""COMPUTED_VALUE"""),"Kimberly Ball")</f>
        <v>Kimberly Ball</v>
      </c>
      <c r="T4937" s="6" t="str">
        <f>IFERROR(__xludf.DUMMYFUNCTION("""COMPUTED_VALUE"""),"kimberly.ball@studient.com")</f>
        <v>kimberly.ball@studient.com</v>
      </c>
      <c r="U4937" s="6" t="str">
        <f>IFERROR(__xludf.DUMMYFUNCTION("""COMPUTED_VALUE"""),"7")</f>
        <v>7</v>
      </c>
      <c r="V4937" s="6" t="str">
        <f>IFERROR(__xludf.DUMMYFUNCTION("""COMPUTED_VALUE"""),"")</f>
        <v/>
      </c>
      <c r="W4937" s="6" t="str">
        <f>IFERROR(__xludf.DUMMYFUNCTION("""COMPUTED_VALUE"""),"[]")</f>
        <v>[]</v>
      </c>
      <c r="X4937" s="6" t="str">
        <f>IFERROR(__xludf.DUMMYFUNCTION("""COMPUTED_VALUE"""),"Enrolled")</f>
        <v>Enrolled</v>
      </c>
    </row>
    <row r="4938">
      <c r="A4938" s="6" t="str">
        <f>IFERROR(__xludf.DUMMYFUNCTION("""COMPUTED_VALUE"""),"085-11981")</f>
        <v>085-11981</v>
      </c>
      <c r="B4938" s="6" t="str">
        <f>IFERROR(__xludf.DUMMYFUNCTION("""COMPUTED_VALUE"""),"85")</f>
        <v>85</v>
      </c>
      <c r="C4938" s="6" t="str">
        <f>IFERROR(__xludf.DUMMYFUNCTION("""COMPUTED_VALUE"""),"11981")</f>
        <v>11981</v>
      </c>
      <c r="D4938" s="6" t="str">
        <f>IFERROR(__xludf.DUMMYFUNCTION("""COMPUTED_VALUE"""),"Kingston")</f>
        <v>Kingston</v>
      </c>
      <c r="E4938" s="6" t="str">
        <f>IFERROR(__xludf.DUMMYFUNCTION("""COMPUTED_VALUE"""),"")</f>
        <v/>
      </c>
      <c r="F4938" s="6" t="str">
        <f>IFERROR(__xludf.DUMMYFUNCTION("""COMPUTED_VALUE"""),"Bing")</f>
        <v>Bing</v>
      </c>
      <c r="G4938" s="6" t="str">
        <f>IFERROR(__xludf.DUMMYFUNCTION("""COMPUTED_VALUE"""),"02/18/2013")</f>
        <v>02/18/2013</v>
      </c>
      <c r="H4938" s="6" t="str">
        <f>IFERROR(__xludf.DUMMYFUNCTION("""COMPUTED_VALUE"""),"male")</f>
        <v>male</v>
      </c>
      <c r="I4938" s="6" t="str">
        <f>IFERROR(__xludf.DUMMYFUNCTION("""COMPUTED_VALUE"""),"Middle School")</f>
        <v>Middle School</v>
      </c>
      <c r="J4938" s="6" t="str">
        <f>IFERROR(__xludf.DUMMYFUNCTION("""COMPUTED_VALUE"""),"7")</f>
        <v>7</v>
      </c>
      <c r="K4938" s="6" t="str">
        <f>IFERROR(__xludf.DUMMYFUNCTION("""COMPUTED_VALUE"""),"kingston.bing@2hourlearning.com")</f>
        <v>kingston.bing@2hourlearning.com</v>
      </c>
      <c r="L4938" s="6" t="str">
        <f>IFERROR(__xludf.DUMMYFUNCTION("""COMPUTED_VALUE"""),"AFMS - Allendale Fairfax Middle School")</f>
        <v>AFMS - Allendale Fairfax Middle School</v>
      </c>
      <c r="M4938" s="6" t="str">
        <f>IFERROR(__xludf.DUMMYFUNCTION("""COMPUTED_VALUE"""),"")</f>
        <v/>
      </c>
      <c r="N4938" s="6" t="str">
        <f>IFERROR(__xludf.DUMMYFUNCTION("""COMPUTED_VALUE"""),"")</f>
        <v/>
      </c>
      <c r="O4938" s="87" t="str">
        <f>IFERROR(__xludf.DUMMYFUNCTION("""COMPUTED_VALUE"""),"https://drive.google.com/drive/folders/10T2cTQHqEJZqE-st6uFKPoI?usp=share_link")</f>
        <v>https://drive.google.com/drive/folders/10T2cTQHqEJZqE-st6uFKPoI?usp=share_link</v>
      </c>
      <c r="P4938" s="6" t="str">
        <f>IFERROR(__xludf.DUMMYFUNCTION("""COMPUTED_VALUE"""),"Kingston Bing")</f>
        <v>Kingston Bing</v>
      </c>
      <c r="Q4938" s="6" t="str">
        <f>IFERROR(__xludf.DUMMYFUNCTION("""COMPUTED_VALUE"""),"MS")</f>
        <v>MS</v>
      </c>
      <c r="R4938" s="6">
        <f>IFERROR(__xludf.DUMMYFUNCTION("""COMPUTED_VALUE"""),0.0)</f>
        <v>0</v>
      </c>
      <c r="S4938" s="6" t="str">
        <f>IFERROR(__xludf.DUMMYFUNCTION("""COMPUTED_VALUE"""),"Kimberly Ball")</f>
        <v>Kimberly Ball</v>
      </c>
      <c r="T4938" s="6" t="str">
        <f>IFERROR(__xludf.DUMMYFUNCTION("""COMPUTED_VALUE"""),"kimberly.ball@studient.com")</f>
        <v>kimberly.ball@studient.com</v>
      </c>
      <c r="U4938" s="6" t="str">
        <f>IFERROR(__xludf.DUMMYFUNCTION("""COMPUTED_VALUE"""),"7")</f>
        <v>7</v>
      </c>
      <c r="V4938" s="6" t="str">
        <f>IFERROR(__xludf.DUMMYFUNCTION("""COMPUTED_VALUE"""),"")</f>
        <v/>
      </c>
      <c r="W4938" s="6" t="str">
        <f>IFERROR(__xludf.DUMMYFUNCTION("""COMPUTED_VALUE"""),"[]")</f>
        <v>[]</v>
      </c>
      <c r="X4938" s="6" t="str">
        <f>IFERROR(__xludf.DUMMYFUNCTION("""COMPUTED_VALUE"""),"Enrolled")</f>
        <v>Enrolled</v>
      </c>
    </row>
    <row r="4939">
      <c r="A4939" s="6" t="str">
        <f>IFERROR(__xludf.DUMMYFUNCTION("""COMPUTED_VALUE"""),"085-11982")</f>
        <v>085-11982</v>
      </c>
      <c r="B4939" s="6" t="str">
        <f>IFERROR(__xludf.DUMMYFUNCTION("""COMPUTED_VALUE"""),"85")</f>
        <v>85</v>
      </c>
      <c r="C4939" s="6" t="str">
        <f>IFERROR(__xludf.DUMMYFUNCTION("""COMPUTED_VALUE"""),"11982")</f>
        <v>11982</v>
      </c>
      <c r="D4939" s="6" t="str">
        <f>IFERROR(__xludf.DUMMYFUNCTION("""COMPUTED_VALUE"""),"Jasmyn")</f>
        <v>Jasmyn</v>
      </c>
      <c r="E4939" s="6" t="str">
        <f>IFERROR(__xludf.DUMMYFUNCTION("""COMPUTED_VALUE"""),"")</f>
        <v/>
      </c>
      <c r="F4939" s="6" t="str">
        <f>IFERROR(__xludf.DUMMYFUNCTION("""COMPUTED_VALUE"""),"Bostick")</f>
        <v>Bostick</v>
      </c>
      <c r="G4939" s="6" t="str">
        <f>IFERROR(__xludf.DUMMYFUNCTION("""COMPUTED_VALUE"""),"05/30/2013")</f>
        <v>05/30/2013</v>
      </c>
      <c r="H4939" s="6" t="str">
        <f>IFERROR(__xludf.DUMMYFUNCTION("""COMPUTED_VALUE"""),"female")</f>
        <v>female</v>
      </c>
      <c r="I4939" s="6" t="str">
        <f>IFERROR(__xludf.DUMMYFUNCTION("""COMPUTED_VALUE"""),"Middle School")</f>
        <v>Middle School</v>
      </c>
      <c r="J4939" s="6" t="str">
        <f>IFERROR(__xludf.DUMMYFUNCTION("""COMPUTED_VALUE"""),"7")</f>
        <v>7</v>
      </c>
      <c r="K4939" s="6" t="str">
        <f>IFERROR(__xludf.DUMMYFUNCTION("""COMPUTED_VALUE"""),"jasmyn.bostick@2hourlearning.com")</f>
        <v>jasmyn.bostick@2hourlearning.com</v>
      </c>
      <c r="L4939" s="6" t="str">
        <f>IFERROR(__xludf.DUMMYFUNCTION("""COMPUTED_VALUE"""),"AFMS - Allendale Fairfax Middle School")</f>
        <v>AFMS - Allendale Fairfax Middle School</v>
      </c>
      <c r="M4939" s="6" t="str">
        <f>IFERROR(__xludf.DUMMYFUNCTION("""COMPUTED_VALUE"""),"")</f>
        <v/>
      </c>
      <c r="N4939" s="6" t="str">
        <f>IFERROR(__xludf.DUMMYFUNCTION("""COMPUTED_VALUE"""),"")</f>
        <v/>
      </c>
      <c r="O4939" s="87" t="str">
        <f>IFERROR(__xludf.DUMMYFUNCTION("""COMPUTED_VALUE"""),"https://drive.google.com/drive/folders/10T2cTQHqEJZqE-st6uFKPoI?usp=share_link")</f>
        <v>https://drive.google.com/drive/folders/10T2cTQHqEJZqE-st6uFKPoI?usp=share_link</v>
      </c>
      <c r="P4939" s="6" t="str">
        <f>IFERROR(__xludf.DUMMYFUNCTION("""COMPUTED_VALUE"""),"Jasmyn Bostick")</f>
        <v>Jasmyn Bostick</v>
      </c>
      <c r="Q4939" s="6" t="str">
        <f>IFERROR(__xludf.DUMMYFUNCTION("""COMPUTED_VALUE"""),"MS")</f>
        <v>MS</v>
      </c>
      <c r="R4939" s="6">
        <f>IFERROR(__xludf.DUMMYFUNCTION("""COMPUTED_VALUE"""),0.0)</f>
        <v>0</v>
      </c>
      <c r="S4939" s="6" t="str">
        <f>IFERROR(__xludf.DUMMYFUNCTION("""COMPUTED_VALUE"""),"Kimberly Ball")</f>
        <v>Kimberly Ball</v>
      </c>
      <c r="T4939" s="6" t="str">
        <f>IFERROR(__xludf.DUMMYFUNCTION("""COMPUTED_VALUE"""),"kimberly.ball@studient.com")</f>
        <v>kimberly.ball@studient.com</v>
      </c>
      <c r="U4939" s="6" t="str">
        <f>IFERROR(__xludf.DUMMYFUNCTION("""COMPUTED_VALUE"""),"7")</f>
        <v>7</v>
      </c>
      <c r="V4939" s="6" t="str">
        <f>IFERROR(__xludf.DUMMYFUNCTION("""COMPUTED_VALUE"""),"")</f>
        <v/>
      </c>
      <c r="W4939" s="6" t="str">
        <f>IFERROR(__xludf.DUMMYFUNCTION("""COMPUTED_VALUE"""),"[]")</f>
        <v>[]</v>
      </c>
      <c r="X4939" s="6" t="str">
        <f>IFERROR(__xludf.DUMMYFUNCTION("""COMPUTED_VALUE"""),"Enrolled")</f>
        <v>Enrolled</v>
      </c>
    </row>
    <row r="4940">
      <c r="A4940" s="6" t="str">
        <f>IFERROR(__xludf.DUMMYFUNCTION("""COMPUTED_VALUE"""),"085-11983")</f>
        <v>085-11983</v>
      </c>
      <c r="B4940" s="6" t="str">
        <f>IFERROR(__xludf.DUMMYFUNCTION("""COMPUTED_VALUE"""),"85")</f>
        <v>85</v>
      </c>
      <c r="C4940" s="6" t="str">
        <f>IFERROR(__xludf.DUMMYFUNCTION("""COMPUTED_VALUE"""),"11983")</f>
        <v>11983</v>
      </c>
      <c r="D4940" s="6" t="str">
        <f>IFERROR(__xludf.DUMMYFUNCTION("""COMPUTED_VALUE"""),"Ma'Kaylasia")</f>
        <v>Ma'Kaylasia</v>
      </c>
      <c r="E4940" s="6" t="str">
        <f>IFERROR(__xludf.DUMMYFUNCTION("""COMPUTED_VALUE"""),"")</f>
        <v/>
      </c>
      <c r="F4940" s="6" t="str">
        <f>IFERROR(__xludf.DUMMYFUNCTION("""COMPUTED_VALUE"""),"Brant")</f>
        <v>Brant</v>
      </c>
      <c r="G4940" s="6" t="str">
        <f>IFERROR(__xludf.DUMMYFUNCTION("""COMPUTED_VALUE"""),"02/11/2012")</f>
        <v>02/11/2012</v>
      </c>
      <c r="H4940" s="6" t="str">
        <f>IFERROR(__xludf.DUMMYFUNCTION("""COMPUTED_VALUE"""),"female")</f>
        <v>female</v>
      </c>
      <c r="I4940" s="6" t="str">
        <f>IFERROR(__xludf.DUMMYFUNCTION("""COMPUTED_VALUE"""),"Middle School")</f>
        <v>Middle School</v>
      </c>
      <c r="J4940" s="6" t="str">
        <f>IFERROR(__xludf.DUMMYFUNCTION("""COMPUTED_VALUE"""),"7")</f>
        <v>7</v>
      </c>
      <c r="K4940" s="6" t="str">
        <f>IFERROR(__xludf.DUMMYFUNCTION("""COMPUTED_VALUE"""),"makaylasia.brant@2hourlearning.com")</f>
        <v>makaylasia.brant@2hourlearning.com</v>
      </c>
      <c r="L4940" s="6" t="str">
        <f>IFERROR(__xludf.DUMMYFUNCTION("""COMPUTED_VALUE"""),"AFMS - Allendale Fairfax Middle School")</f>
        <v>AFMS - Allendale Fairfax Middle School</v>
      </c>
      <c r="M4940" s="6" t="str">
        <f>IFERROR(__xludf.DUMMYFUNCTION("""COMPUTED_VALUE"""),"")</f>
        <v/>
      </c>
      <c r="N4940" s="6" t="str">
        <f>IFERROR(__xludf.DUMMYFUNCTION("""COMPUTED_VALUE"""),"")</f>
        <v/>
      </c>
      <c r="O4940" s="87" t="str">
        <f>IFERROR(__xludf.DUMMYFUNCTION("""COMPUTED_VALUE"""),"https://drive.google.com/drive/folders/10T2cTQHqEJZqE-st6uFKPoI?usp=share_link")</f>
        <v>https://drive.google.com/drive/folders/10T2cTQHqEJZqE-st6uFKPoI?usp=share_link</v>
      </c>
      <c r="P4940" s="6" t="str">
        <f>IFERROR(__xludf.DUMMYFUNCTION("""COMPUTED_VALUE"""),"Ma'Kaylasia Brant")</f>
        <v>Ma'Kaylasia Brant</v>
      </c>
      <c r="Q4940" s="6" t="str">
        <f>IFERROR(__xludf.DUMMYFUNCTION("""COMPUTED_VALUE"""),"MS")</f>
        <v>MS</v>
      </c>
      <c r="R4940" s="6">
        <f>IFERROR(__xludf.DUMMYFUNCTION("""COMPUTED_VALUE"""),0.0)</f>
        <v>0</v>
      </c>
      <c r="S4940" s="6" t="str">
        <f>IFERROR(__xludf.DUMMYFUNCTION("""COMPUTED_VALUE"""),"Kimberly Ball")</f>
        <v>Kimberly Ball</v>
      </c>
      <c r="T4940" s="6" t="str">
        <f>IFERROR(__xludf.DUMMYFUNCTION("""COMPUTED_VALUE"""),"kimberly.ball@studient.com")</f>
        <v>kimberly.ball@studient.com</v>
      </c>
      <c r="U4940" s="6" t="str">
        <f>IFERROR(__xludf.DUMMYFUNCTION("""COMPUTED_VALUE"""),"7")</f>
        <v>7</v>
      </c>
      <c r="V4940" s="6" t="str">
        <f>IFERROR(__xludf.DUMMYFUNCTION("""COMPUTED_VALUE"""),"")</f>
        <v/>
      </c>
      <c r="W4940" s="6" t="str">
        <f>IFERROR(__xludf.DUMMYFUNCTION("""COMPUTED_VALUE"""),"[]")</f>
        <v>[]</v>
      </c>
      <c r="X4940" s="6" t="str">
        <f>IFERROR(__xludf.DUMMYFUNCTION("""COMPUTED_VALUE"""),"Enrolled")</f>
        <v>Enrolled</v>
      </c>
    </row>
    <row r="4941">
      <c r="A4941" s="6" t="str">
        <f>IFERROR(__xludf.DUMMYFUNCTION("""COMPUTED_VALUE"""),"085-11984")</f>
        <v>085-11984</v>
      </c>
      <c r="B4941" s="6" t="str">
        <f>IFERROR(__xludf.DUMMYFUNCTION("""COMPUTED_VALUE"""),"85")</f>
        <v>85</v>
      </c>
      <c r="C4941" s="6" t="str">
        <f>IFERROR(__xludf.DUMMYFUNCTION("""COMPUTED_VALUE"""),"11984")</f>
        <v>11984</v>
      </c>
      <c r="D4941" s="6" t="str">
        <f>IFERROR(__xludf.DUMMYFUNCTION("""COMPUTED_VALUE"""),"Thomas")</f>
        <v>Thomas</v>
      </c>
      <c r="E4941" s="6" t="str">
        <f>IFERROR(__xludf.DUMMYFUNCTION("""COMPUTED_VALUE"""),"")</f>
        <v/>
      </c>
      <c r="F4941" s="6" t="str">
        <f>IFERROR(__xludf.DUMMYFUNCTION("""COMPUTED_VALUE"""),"Bravo")</f>
        <v>Bravo</v>
      </c>
      <c r="G4941" s="6" t="str">
        <f>IFERROR(__xludf.DUMMYFUNCTION("""COMPUTED_VALUE"""),"04/16/2013")</f>
        <v>04/16/2013</v>
      </c>
      <c r="H4941" s="6" t="str">
        <f>IFERROR(__xludf.DUMMYFUNCTION("""COMPUTED_VALUE"""),"male")</f>
        <v>male</v>
      </c>
      <c r="I4941" s="6" t="str">
        <f>IFERROR(__xludf.DUMMYFUNCTION("""COMPUTED_VALUE"""),"Middle School")</f>
        <v>Middle School</v>
      </c>
      <c r="J4941" s="6" t="str">
        <f>IFERROR(__xludf.DUMMYFUNCTION("""COMPUTED_VALUE"""),"7")</f>
        <v>7</v>
      </c>
      <c r="K4941" s="6" t="str">
        <f>IFERROR(__xludf.DUMMYFUNCTION("""COMPUTED_VALUE"""),"thomas.bravo@2hourlearning.com")</f>
        <v>thomas.bravo@2hourlearning.com</v>
      </c>
      <c r="L4941" s="6" t="str">
        <f>IFERROR(__xludf.DUMMYFUNCTION("""COMPUTED_VALUE"""),"AFMS - Allendale Fairfax Middle School")</f>
        <v>AFMS - Allendale Fairfax Middle School</v>
      </c>
      <c r="M4941" s="6" t="str">
        <f>IFERROR(__xludf.DUMMYFUNCTION("""COMPUTED_VALUE"""),"")</f>
        <v/>
      </c>
      <c r="N4941" s="6" t="str">
        <f>IFERROR(__xludf.DUMMYFUNCTION("""COMPUTED_VALUE"""),"")</f>
        <v/>
      </c>
      <c r="O4941" s="87" t="str">
        <f>IFERROR(__xludf.DUMMYFUNCTION("""COMPUTED_VALUE"""),"https://drive.google.com/drive/folders/10T2cTQHqEJZqE-st6uFKPoI?usp=share_link")</f>
        <v>https://drive.google.com/drive/folders/10T2cTQHqEJZqE-st6uFKPoI?usp=share_link</v>
      </c>
      <c r="P4941" s="6" t="str">
        <f>IFERROR(__xludf.DUMMYFUNCTION("""COMPUTED_VALUE"""),"Thomas Bravo")</f>
        <v>Thomas Bravo</v>
      </c>
      <c r="Q4941" s="6" t="str">
        <f>IFERROR(__xludf.DUMMYFUNCTION("""COMPUTED_VALUE"""),"MS")</f>
        <v>MS</v>
      </c>
      <c r="R4941" s="6">
        <f>IFERROR(__xludf.DUMMYFUNCTION("""COMPUTED_VALUE"""),0.0)</f>
        <v>0</v>
      </c>
      <c r="S4941" s="6" t="str">
        <f>IFERROR(__xludf.DUMMYFUNCTION("""COMPUTED_VALUE"""),"Kimberly Ball")</f>
        <v>Kimberly Ball</v>
      </c>
      <c r="T4941" s="6" t="str">
        <f>IFERROR(__xludf.DUMMYFUNCTION("""COMPUTED_VALUE"""),"kimberly.ball@studient.com")</f>
        <v>kimberly.ball@studient.com</v>
      </c>
      <c r="U4941" s="6" t="str">
        <f>IFERROR(__xludf.DUMMYFUNCTION("""COMPUTED_VALUE"""),"7")</f>
        <v>7</v>
      </c>
      <c r="V4941" s="6" t="str">
        <f>IFERROR(__xludf.DUMMYFUNCTION("""COMPUTED_VALUE"""),"")</f>
        <v/>
      </c>
      <c r="W4941" s="6" t="str">
        <f>IFERROR(__xludf.DUMMYFUNCTION("""COMPUTED_VALUE"""),"[]")</f>
        <v>[]</v>
      </c>
      <c r="X4941" s="6" t="str">
        <f>IFERROR(__xludf.DUMMYFUNCTION("""COMPUTED_VALUE"""),"Enrolled")</f>
        <v>Enrolled</v>
      </c>
    </row>
    <row r="4942">
      <c r="A4942" s="6" t="str">
        <f>IFERROR(__xludf.DUMMYFUNCTION("""COMPUTED_VALUE"""),"085-11985")</f>
        <v>085-11985</v>
      </c>
      <c r="B4942" s="6" t="str">
        <f>IFERROR(__xludf.DUMMYFUNCTION("""COMPUTED_VALUE"""),"85")</f>
        <v>85</v>
      </c>
      <c r="C4942" s="6" t="str">
        <f>IFERROR(__xludf.DUMMYFUNCTION("""COMPUTED_VALUE"""),"11985")</f>
        <v>11985</v>
      </c>
      <c r="D4942" s="6" t="str">
        <f>IFERROR(__xludf.DUMMYFUNCTION("""COMPUTED_VALUE"""),"Armani")</f>
        <v>Armani</v>
      </c>
      <c r="E4942" s="6" t="str">
        <f>IFERROR(__xludf.DUMMYFUNCTION("""COMPUTED_VALUE"""),"")</f>
        <v/>
      </c>
      <c r="F4942" s="6" t="str">
        <f>IFERROR(__xludf.DUMMYFUNCTION("""COMPUTED_VALUE"""),"Brodus")</f>
        <v>Brodus</v>
      </c>
      <c r="G4942" s="6" t="str">
        <f>IFERROR(__xludf.DUMMYFUNCTION("""COMPUTED_VALUE"""),"02/08/2013")</f>
        <v>02/08/2013</v>
      </c>
      <c r="H4942" s="6" t="str">
        <f>IFERROR(__xludf.DUMMYFUNCTION("""COMPUTED_VALUE"""),"female")</f>
        <v>female</v>
      </c>
      <c r="I4942" s="6" t="str">
        <f>IFERROR(__xludf.DUMMYFUNCTION("""COMPUTED_VALUE"""),"Middle School")</f>
        <v>Middle School</v>
      </c>
      <c r="J4942" s="6" t="str">
        <f>IFERROR(__xludf.DUMMYFUNCTION("""COMPUTED_VALUE"""),"7")</f>
        <v>7</v>
      </c>
      <c r="K4942" s="6" t="str">
        <f>IFERROR(__xludf.DUMMYFUNCTION("""COMPUTED_VALUE"""),"armani.brodus@2hourlearning.com")</f>
        <v>armani.brodus@2hourlearning.com</v>
      </c>
      <c r="L4942" s="6" t="str">
        <f>IFERROR(__xludf.DUMMYFUNCTION("""COMPUTED_VALUE"""),"AFMS - Allendale Fairfax Middle School")</f>
        <v>AFMS - Allendale Fairfax Middle School</v>
      </c>
      <c r="M4942" s="6" t="str">
        <f>IFERROR(__xludf.DUMMYFUNCTION("""COMPUTED_VALUE"""),"")</f>
        <v/>
      </c>
      <c r="N4942" s="6" t="str">
        <f>IFERROR(__xludf.DUMMYFUNCTION("""COMPUTED_VALUE"""),"")</f>
        <v/>
      </c>
      <c r="O4942" s="87" t="str">
        <f>IFERROR(__xludf.DUMMYFUNCTION("""COMPUTED_VALUE"""),"https://drive.google.com/drive/folders/10T2cTQHqEJZqE-st6uFKPoI?usp=share_link")</f>
        <v>https://drive.google.com/drive/folders/10T2cTQHqEJZqE-st6uFKPoI?usp=share_link</v>
      </c>
      <c r="P4942" s="6" t="str">
        <f>IFERROR(__xludf.DUMMYFUNCTION("""COMPUTED_VALUE"""),"Armani Brodus")</f>
        <v>Armani Brodus</v>
      </c>
      <c r="Q4942" s="6" t="str">
        <f>IFERROR(__xludf.DUMMYFUNCTION("""COMPUTED_VALUE"""),"MS")</f>
        <v>MS</v>
      </c>
      <c r="R4942" s="6">
        <f>IFERROR(__xludf.DUMMYFUNCTION("""COMPUTED_VALUE"""),0.0)</f>
        <v>0</v>
      </c>
      <c r="S4942" s="6" t="str">
        <f>IFERROR(__xludf.DUMMYFUNCTION("""COMPUTED_VALUE"""),"Kimberly Ball")</f>
        <v>Kimberly Ball</v>
      </c>
      <c r="T4942" s="6" t="str">
        <f>IFERROR(__xludf.DUMMYFUNCTION("""COMPUTED_VALUE"""),"kimberly.ball@studient.com")</f>
        <v>kimberly.ball@studient.com</v>
      </c>
      <c r="U4942" s="6" t="str">
        <f>IFERROR(__xludf.DUMMYFUNCTION("""COMPUTED_VALUE"""),"7")</f>
        <v>7</v>
      </c>
      <c r="V4942" s="6" t="str">
        <f>IFERROR(__xludf.DUMMYFUNCTION("""COMPUTED_VALUE"""),"")</f>
        <v/>
      </c>
      <c r="W4942" s="6" t="str">
        <f>IFERROR(__xludf.DUMMYFUNCTION("""COMPUTED_VALUE"""),"[]")</f>
        <v>[]</v>
      </c>
      <c r="X4942" s="6" t="str">
        <f>IFERROR(__xludf.DUMMYFUNCTION("""COMPUTED_VALUE"""),"Enrolled")</f>
        <v>Enrolled</v>
      </c>
    </row>
    <row r="4943">
      <c r="A4943" s="6" t="str">
        <f>IFERROR(__xludf.DUMMYFUNCTION("""COMPUTED_VALUE"""),"085-11986")</f>
        <v>085-11986</v>
      </c>
      <c r="B4943" s="6" t="str">
        <f>IFERROR(__xludf.DUMMYFUNCTION("""COMPUTED_VALUE"""),"85")</f>
        <v>85</v>
      </c>
      <c r="C4943" s="6" t="str">
        <f>IFERROR(__xludf.DUMMYFUNCTION("""COMPUTED_VALUE"""),"11986")</f>
        <v>11986</v>
      </c>
      <c r="D4943" s="6" t="str">
        <f>IFERROR(__xludf.DUMMYFUNCTION("""COMPUTED_VALUE"""),"Kahryn")</f>
        <v>Kahryn</v>
      </c>
      <c r="E4943" s="6" t="str">
        <f>IFERROR(__xludf.DUMMYFUNCTION("""COMPUTED_VALUE"""),"")</f>
        <v/>
      </c>
      <c r="F4943" s="6" t="str">
        <f>IFERROR(__xludf.DUMMYFUNCTION("""COMPUTED_VALUE"""),"Bryant")</f>
        <v>Bryant</v>
      </c>
      <c r="G4943" s="6" t="str">
        <f>IFERROR(__xludf.DUMMYFUNCTION("""COMPUTED_VALUE"""),"12/13/2012")</f>
        <v>12/13/2012</v>
      </c>
      <c r="H4943" s="6" t="str">
        <f>IFERROR(__xludf.DUMMYFUNCTION("""COMPUTED_VALUE"""),"female")</f>
        <v>female</v>
      </c>
      <c r="I4943" s="6" t="str">
        <f>IFERROR(__xludf.DUMMYFUNCTION("""COMPUTED_VALUE"""),"Middle School")</f>
        <v>Middle School</v>
      </c>
      <c r="J4943" s="6" t="str">
        <f>IFERROR(__xludf.DUMMYFUNCTION("""COMPUTED_VALUE"""),"7")</f>
        <v>7</v>
      </c>
      <c r="K4943" s="6" t="str">
        <f>IFERROR(__xludf.DUMMYFUNCTION("""COMPUTED_VALUE"""),"kahryn.bryant@2hourlearning.com")</f>
        <v>kahryn.bryant@2hourlearning.com</v>
      </c>
      <c r="L4943" s="6" t="str">
        <f>IFERROR(__xludf.DUMMYFUNCTION("""COMPUTED_VALUE"""),"AFMS - Allendale Fairfax Middle School")</f>
        <v>AFMS - Allendale Fairfax Middle School</v>
      </c>
      <c r="M4943" s="6" t="str">
        <f>IFERROR(__xludf.DUMMYFUNCTION("""COMPUTED_VALUE"""),"")</f>
        <v/>
      </c>
      <c r="N4943" s="6" t="str">
        <f>IFERROR(__xludf.DUMMYFUNCTION("""COMPUTED_VALUE"""),"")</f>
        <v/>
      </c>
      <c r="O4943" s="87" t="str">
        <f>IFERROR(__xludf.DUMMYFUNCTION("""COMPUTED_VALUE"""),"https://drive.google.com/drive/folders/10T2cTQHqEJZqE-st6uFKPoI?usp=share_link")</f>
        <v>https://drive.google.com/drive/folders/10T2cTQHqEJZqE-st6uFKPoI?usp=share_link</v>
      </c>
      <c r="P4943" s="6" t="str">
        <f>IFERROR(__xludf.DUMMYFUNCTION("""COMPUTED_VALUE"""),"Kahryn Bryant")</f>
        <v>Kahryn Bryant</v>
      </c>
      <c r="Q4943" s="6" t="str">
        <f>IFERROR(__xludf.DUMMYFUNCTION("""COMPUTED_VALUE"""),"MS")</f>
        <v>MS</v>
      </c>
      <c r="R4943" s="6">
        <f>IFERROR(__xludf.DUMMYFUNCTION("""COMPUTED_VALUE"""),0.0)</f>
        <v>0</v>
      </c>
      <c r="S4943" s="6" t="str">
        <f>IFERROR(__xludf.DUMMYFUNCTION("""COMPUTED_VALUE"""),"Kimberly Ball")</f>
        <v>Kimberly Ball</v>
      </c>
      <c r="T4943" s="6" t="str">
        <f>IFERROR(__xludf.DUMMYFUNCTION("""COMPUTED_VALUE"""),"kimberly.ball@studient.com")</f>
        <v>kimberly.ball@studient.com</v>
      </c>
      <c r="U4943" s="6" t="str">
        <f>IFERROR(__xludf.DUMMYFUNCTION("""COMPUTED_VALUE"""),"7")</f>
        <v>7</v>
      </c>
      <c r="V4943" s="6" t="str">
        <f>IFERROR(__xludf.DUMMYFUNCTION("""COMPUTED_VALUE"""),"")</f>
        <v/>
      </c>
      <c r="W4943" s="6" t="str">
        <f>IFERROR(__xludf.DUMMYFUNCTION("""COMPUTED_VALUE"""),"[]")</f>
        <v>[]</v>
      </c>
      <c r="X4943" s="6" t="str">
        <f>IFERROR(__xludf.DUMMYFUNCTION("""COMPUTED_VALUE"""),"Enrolled")</f>
        <v>Enrolled</v>
      </c>
    </row>
    <row r="4944">
      <c r="A4944" s="6" t="str">
        <f>IFERROR(__xludf.DUMMYFUNCTION("""COMPUTED_VALUE"""),"085-11987")</f>
        <v>085-11987</v>
      </c>
      <c r="B4944" s="6" t="str">
        <f>IFERROR(__xludf.DUMMYFUNCTION("""COMPUTED_VALUE"""),"85")</f>
        <v>85</v>
      </c>
      <c r="C4944" s="6" t="str">
        <f>IFERROR(__xludf.DUMMYFUNCTION("""COMPUTED_VALUE"""),"11987")</f>
        <v>11987</v>
      </c>
      <c r="D4944" s="6" t="str">
        <f>IFERROR(__xludf.DUMMYFUNCTION("""COMPUTED_VALUE"""),"K'Jenae")</f>
        <v>K'Jenae</v>
      </c>
      <c r="E4944" s="6" t="str">
        <f>IFERROR(__xludf.DUMMYFUNCTION("""COMPUTED_VALUE"""),"")</f>
        <v/>
      </c>
      <c r="F4944" s="6" t="str">
        <f>IFERROR(__xludf.DUMMYFUNCTION("""COMPUTED_VALUE"""),"Cunningham")</f>
        <v>Cunningham</v>
      </c>
      <c r="G4944" s="6" t="str">
        <f>IFERROR(__xludf.DUMMYFUNCTION("""COMPUTED_VALUE"""),"08/27/2013")</f>
        <v>08/27/2013</v>
      </c>
      <c r="H4944" s="6" t="str">
        <f>IFERROR(__xludf.DUMMYFUNCTION("""COMPUTED_VALUE"""),"female")</f>
        <v>female</v>
      </c>
      <c r="I4944" s="6" t="str">
        <f>IFERROR(__xludf.DUMMYFUNCTION("""COMPUTED_VALUE"""),"Middle School")</f>
        <v>Middle School</v>
      </c>
      <c r="J4944" s="6" t="str">
        <f>IFERROR(__xludf.DUMMYFUNCTION("""COMPUTED_VALUE"""),"7")</f>
        <v>7</v>
      </c>
      <c r="K4944" s="6" t="str">
        <f>IFERROR(__xludf.DUMMYFUNCTION("""COMPUTED_VALUE"""),"kjenae.cunningham@2hourlearning.com")</f>
        <v>kjenae.cunningham@2hourlearning.com</v>
      </c>
      <c r="L4944" s="6" t="str">
        <f>IFERROR(__xludf.DUMMYFUNCTION("""COMPUTED_VALUE"""),"AFMS - Allendale Fairfax Middle School")</f>
        <v>AFMS - Allendale Fairfax Middle School</v>
      </c>
      <c r="M4944" s="6" t="str">
        <f>IFERROR(__xludf.DUMMYFUNCTION("""COMPUTED_VALUE"""),"")</f>
        <v/>
      </c>
      <c r="N4944" s="6" t="str">
        <f>IFERROR(__xludf.DUMMYFUNCTION("""COMPUTED_VALUE"""),"")</f>
        <v/>
      </c>
      <c r="O4944" s="87" t="str">
        <f>IFERROR(__xludf.DUMMYFUNCTION("""COMPUTED_VALUE"""),"https://drive.google.com/drive/folders/10T2cTQHqEJZqE-st6uFKPoI?usp=share_link")</f>
        <v>https://drive.google.com/drive/folders/10T2cTQHqEJZqE-st6uFKPoI?usp=share_link</v>
      </c>
      <c r="P4944" s="6" t="str">
        <f>IFERROR(__xludf.DUMMYFUNCTION("""COMPUTED_VALUE"""),"K'Jenae Cunningham")</f>
        <v>K'Jenae Cunningham</v>
      </c>
      <c r="Q4944" s="6" t="str">
        <f>IFERROR(__xludf.DUMMYFUNCTION("""COMPUTED_VALUE"""),"MS")</f>
        <v>MS</v>
      </c>
      <c r="R4944" s="6">
        <f>IFERROR(__xludf.DUMMYFUNCTION("""COMPUTED_VALUE"""),0.0)</f>
        <v>0</v>
      </c>
      <c r="S4944" s="6" t="str">
        <f>IFERROR(__xludf.DUMMYFUNCTION("""COMPUTED_VALUE"""),"Kimberly Ball")</f>
        <v>Kimberly Ball</v>
      </c>
      <c r="T4944" s="6" t="str">
        <f>IFERROR(__xludf.DUMMYFUNCTION("""COMPUTED_VALUE"""),"kimberly.ball@studient.com")</f>
        <v>kimberly.ball@studient.com</v>
      </c>
      <c r="U4944" s="6" t="str">
        <f>IFERROR(__xludf.DUMMYFUNCTION("""COMPUTED_VALUE"""),"7")</f>
        <v>7</v>
      </c>
      <c r="V4944" s="6" t="str">
        <f>IFERROR(__xludf.DUMMYFUNCTION("""COMPUTED_VALUE"""),"")</f>
        <v/>
      </c>
      <c r="W4944" s="6" t="str">
        <f>IFERROR(__xludf.DUMMYFUNCTION("""COMPUTED_VALUE"""),"[]")</f>
        <v>[]</v>
      </c>
      <c r="X4944" s="6" t="str">
        <f>IFERROR(__xludf.DUMMYFUNCTION("""COMPUTED_VALUE"""),"Enrolled")</f>
        <v>Enrolled</v>
      </c>
    </row>
    <row r="4945">
      <c r="A4945" s="6" t="str">
        <f>IFERROR(__xludf.DUMMYFUNCTION("""COMPUTED_VALUE"""),"085-11988")</f>
        <v>085-11988</v>
      </c>
      <c r="B4945" s="6" t="str">
        <f>IFERROR(__xludf.DUMMYFUNCTION("""COMPUTED_VALUE"""),"85")</f>
        <v>85</v>
      </c>
      <c r="C4945" s="6" t="str">
        <f>IFERROR(__xludf.DUMMYFUNCTION("""COMPUTED_VALUE"""),"11988")</f>
        <v>11988</v>
      </c>
      <c r="D4945" s="6" t="str">
        <f>IFERROR(__xludf.DUMMYFUNCTION("""COMPUTED_VALUE"""),"Faith")</f>
        <v>Faith</v>
      </c>
      <c r="E4945" s="6" t="str">
        <f>IFERROR(__xludf.DUMMYFUNCTION("""COMPUTED_VALUE"""),"")</f>
        <v/>
      </c>
      <c r="F4945" s="6" t="str">
        <f>IFERROR(__xludf.DUMMYFUNCTION("""COMPUTED_VALUE"""),"Daggett")</f>
        <v>Daggett</v>
      </c>
      <c r="G4945" s="6" t="str">
        <f>IFERROR(__xludf.DUMMYFUNCTION("""COMPUTED_VALUE"""),"10/28/2011")</f>
        <v>10/28/2011</v>
      </c>
      <c r="H4945" s="6" t="str">
        <f>IFERROR(__xludf.DUMMYFUNCTION("""COMPUTED_VALUE"""),"female")</f>
        <v>female</v>
      </c>
      <c r="I4945" s="6" t="str">
        <f>IFERROR(__xludf.DUMMYFUNCTION("""COMPUTED_VALUE"""),"Middle School")</f>
        <v>Middle School</v>
      </c>
      <c r="J4945" s="6" t="str">
        <f>IFERROR(__xludf.DUMMYFUNCTION("""COMPUTED_VALUE"""),"7")</f>
        <v>7</v>
      </c>
      <c r="K4945" s="6" t="str">
        <f>IFERROR(__xludf.DUMMYFUNCTION("""COMPUTED_VALUE"""),"faith.daggett@2hourlearning.com")</f>
        <v>faith.daggett@2hourlearning.com</v>
      </c>
      <c r="L4945" s="6" t="str">
        <f>IFERROR(__xludf.DUMMYFUNCTION("""COMPUTED_VALUE"""),"AFMS - Allendale Fairfax Middle School")</f>
        <v>AFMS - Allendale Fairfax Middle School</v>
      </c>
      <c r="M4945" s="6" t="str">
        <f>IFERROR(__xludf.DUMMYFUNCTION("""COMPUTED_VALUE"""),"")</f>
        <v/>
      </c>
      <c r="N4945" s="6" t="str">
        <f>IFERROR(__xludf.DUMMYFUNCTION("""COMPUTED_VALUE"""),"")</f>
        <v/>
      </c>
      <c r="O4945" s="87" t="str">
        <f>IFERROR(__xludf.DUMMYFUNCTION("""COMPUTED_VALUE"""),"https://drive.google.com/drive/folders/10T2cTQHqEJZqE-st6uFKPoI?usp=share_link")</f>
        <v>https://drive.google.com/drive/folders/10T2cTQHqEJZqE-st6uFKPoI?usp=share_link</v>
      </c>
      <c r="P4945" s="6" t="str">
        <f>IFERROR(__xludf.DUMMYFUNCTION("""COMPUTED_VALUE"""),"Faith Daggett")</f>
        <v>Faith Daggett</v>
      </c>
      <c r="Q4945" s="6" t="str">
        <f>IFERROR(__xludf.DUMMYFUNCTION("""COMPUTED_VALUE"""),"MS")</f>
        <v>MS</v>
      </c>
      <c r="R4945" s="6">
        <f>IFERROR(__xludf.DUMMYFUNCTION("""COMPUTED_VALUE"""),0.0)</f>
        <v>0</v>
      </c>
      <c r="S4945" s="6" t="str">
        <f>IFERROR(__xludf.DUMMYFUNCTION("""COMPUTED_VALUE"""),"Kimberly Ball")</f>
        <v>Kimberly Ball</v>
      </c>
      <c r="T4945" s="6" t="str">
        <f>IFERROR(__xludf.DUMMYFUNCTION("""COMPUTED_VALUE"""),"kimberly.ball@studient.com")</f>
        <v>kimberly.ball@studient.com</v>
      </c>
      <c r="U4945" s="6" t="str">
        <f>IFERROR(__xludf.DUMMYFUNCTION("""COMPUTED_VALUE"""),"7")</f>
        <v>7</v>
      </c>
      <c r="V4945" s="6" t="str">
        <f>IFERROR(__xludf.DUMMYFUNCTION("""COMPUTED_VALUE"""),"")</f>
        <v/>
      </c>
      <c r="W4945" s="6" t="str">
        <f>IFERROR(__xludf.DUMMYFUNCTION("""COMPUTED_VALUE"""),"[]")</f>
        <v>[]</v>
      </c>
      <c r="X4945" s="6" t="str">
        <f>IFERROR(__xludf.DUMMYFUNCTION("""COMPUTED_VALUE"""),"Enrolled")</f>
        <v>Enrolled</v>
      </c>
    </row>
    <row r="4946">
      <c r="A4946" s="6" t="str">
        <f>IFERROR(__xludf.DUMMYFUNCTION("""COMPUTED_VALUE"""),"085-11989")</f>
        <v>085-11989</v>
      </c>
      <c r="B4946" s="6" t="str">
        <f>IFERROR(__xludf.DUMMYFUNCTION("""COMPUTED_VALUE"""),"85")</f>
        <v>85</v>
      </c>
      <c r="C4946" s="6" t="str">
        <f>IFERROR(__xludf.DUMMYFUNCTION("""COMPUTED_VALUE"""),"11989")</f>
        <v>11989</v>
      </c>
      <c r="D4946" s="6" t="str">
        <f>IFERROR(__xludf.DUMMYFUNCTION("""COMPUTED_VALUE"""),"Nevaeh")</f>
        <v>Nevaeh</v>
      </c>
      <c r="E4946" s="6" t="str">
        <f>IFERROR(__xludf.DUMMYFUNCTION("""COMPUTED_VALUE"""),"")</f>
        <v/>
      </c>
      <c r="F4946" s="6" t="str">
        <f>IFERROR(__xludf.DUMMYFUNCTION("""COMPUTED_VALUE"""),"Daggett")</f>
        <v>Daggett</v>
      </c>
      <c r="G4946" s="6" t="str">
        <f>IFERROR(__xludf.DUMMYFUNCTION("""COMPUTED_VALUE"""),"10/12/2012")</f>
        <v>10/12/2012</v>
      </c>
      <c r="H4946" s="6" t="str">
        <f>IFERROR(__xludf.DUMMYFUNCTION("""COMPUTED_VALUE"""),"female")</f>
        <v>female</v>
      </c>
      <c r="I4946" s="6" t="str">
        <f>IFERROR(__xludf.DUMMYFUNCTION("""COMPUTED_VALUE"""),"Middle School")</f>
        <v>Middle School</v>
      </c>
      <c r="J4946" s="6" t="str">
        <f>IFERROR(__xludf.DUMMYFUNCTION("""COMPUTED_VALUE"""),"7")</f>
        <v>7</v>
      </c>
      <c r="K4946" s="6" t="str">
        <f>IFERROR(__xludf.DUMMYFUNCTION("""COMPUTED_VALUE"""),"nevaeh.daggett@2hourlearning.com")</f>
        <v>nevaeh.daggett@2hourlearning.com</v>
      </c>
      <c r="L4946" s="6" t="str">
        <f>IFERROR(__xludf.DUMMYFUNCTION("""COMPUTED_VALUE"""),"AFMS - Allendale Fairfax Middle School")</f>
        <v>AFMS - Allendale Fairfax Middle School</v>
      </c>
      <c r="M4946" s="6" t="str">
        <f>IFERROR(__xludf.DUMMYFUNCTION("""COMPUTED_VALUE"""),"")</f>
        <v/>
      </c>
      <c r="N4946" s="6" t="str">
        <f>IFERROR(__xludf.DUMMYFUNCTION("""COMPUTED_VALUE"""),"")</f>
        <v/>
      </c>
      <c r="O4946" s="87" t="str">
        <f>IFERROR(__xludf.DUMMYFUNCTION("""COMPUTED_VALUE"""),"https://drive.google.com/drive/folders/10T2cTQHqEJZqE-st6uFKPoI?usp=share_link")</f>
        <v>https://drive.google.com/drive/folders/10T2cTQHqEJZqE-st6uFKPoI?usp=share_link</v>
      </c>
      <c r="P4946" s="6" t="str">
        <f>IFERROR(__xludf.DUMMYFUNCTION("""COMPUTED_VALUE"""),"Nevaeh Daggett")</f>
        <v>Nevaeh Daggett</v>
      </c>
      <c r="Q4946" s="6" t="str">
        <f>IFERROR(__xludf.DUMMYFUNCTION("""COMPUTED_VALUE"""),"MS")</f>
        <v>MS</v>
      </c>
      <c r="R4946" s="6">
        <f>IFERROR(__xludf.DUMMYFUNCTION("""COMPUTED_VALUE"""),0.0)</f>
        <v>0</v>
      </c>
      <c r="S4946" s="6" t="str">
        <f>IFERROR(__xludf.DUMMYFUNCTION("""COMPUTED_VALUE"""),"Kimberly Ball")</f>
        <v>Kimberly Ball</v>
      </c>
      <c r="T4946" s="6" t="str">
        <f>IFERROR(__xludf.DUMMYFUNCTION("""COMPUTED_VALUE"""),"kimberly.ball@studient.com")</f>
        <v>kimberly.ball@studient.com</v>
      </c>
      <c r="U4946" s="6" t="str">
        <f>IFERROR(__xludf.DUMMYFUNCTION("""COMPUTED_VALUE"""),"7")</f>
        <v>7</v>
      </c>
      <c r="V4946" s="6" t="str">
        <f>IFERROR(__xludf.DUMMYFUNCTION("""COMPUTED_VALUE"""),"")</f>
        <v/>
      </c>
      <c r="W4946" s="6" t="str">
        <f>IFERROR(__xludf.DUMMYFUNCTION("""COMPUTED_VALUE"""),"[]")</f>
        <v>[]</v>
      </c>
      <c r="X4946" s="6" t="str">
        <f>IFERROR(__xludf.DUMMYFUNCTION("""COMPUTED_VALUE"""),"Enrolled")</f>
        <v>Enrolled</v>
      </c>
    </row>
    <row r="4947">
      <c r="A4947" s="6" t="str">
        <f>IFERROR(__xludf.DUMMYFUNCTION("""COMPUTED_VALUE"""),"085-11990")</f>
        <v>085-11990</v>
      </c>
      <c r="B4947" s="6" t="str">
        <f>IFERROR(__xludf.DUMMYFUNCTION("""COMPUTED_VALUE"""),"85")</f>
        <v>85</v>
      </c>
      <c r="C4947" s="6" t="str">
        <f>IFERROR(__xludf.DUMMYFUNCTION("""COMPUTED_VALUE"""),"11990")</f>
        <v>11990</v>
      </c>
      <c r="D4947" s="6" t="str">
        <f>IFERROR(__xludf.DUMMYFUNCTION("""COMPUTED_VALUE"""),"Jah'Maiyah")</f>
        <v>Jah'Maiyah</v>
      </c>
      <c r="E4947" s="6" t="str">
        <f>IFERROR(__xludf.DUMMYFUNCTION("""COMPUTED_VALUE"""),"")</f>
        <v/>
      </c>
      <c r="F4947" s="6" t="str">
        <f>IFERROR(__xludf.DUMMYFUNCTION("""COMPUTED_VALUE"""),"Dickerson")</f>
        <v>Dickerson</v>
      </c>
      <c r="G4947" s="6" t="str">
        <f>IFERROR(__xludf.DUMMYFUNCTION("""COMPUTED_VALUE"""),"07/31/2012")</f>
        <v>07/31/2012</v>
      </c>
      <c r="H4947" s="6" t="str">
        <f>IFERROR(__xludf.DUMMYFUNCTION("""COMPUTED_VALUE"""),"female")</f>
        <v>female</v>
      </c>
      <c r="I4947" s="6" t="str">
        <f>IFERROR(__xludf.DUMMYFUNCTION("""COMPUTED_VALUE"""),"Middle School")</f>
        <v>Middle School</v>
      </c>
      <c r="J4947" s="6" t="str">
        <f>IFERROR(__xludf.DUMMYFUNCTION("""COMPUTED_VALUE"""),"7")</f>
        <v>7</v>
      </c>
      <c r="K4947" s="6" t="str">
        <f>IFERROR(__xludf.DUMMYFUNCTION("""COMPUTED_VALUE"""),"jahmaiyah.dickerson@2hourlearning.com")</f>
        <v>jahmaiyah.dickerson@2hourlearning.com</v>
      </c>
      <c r="L4947" s="6" t="str">
        <f>IFERROR(__xludf.DUMMYFUNCTION("""COMPUTED_VALUE"""),"AFMS - Allendale Fairfax Middle School")</f>
        <v>AFMS - Allendale Fairfax Middle School</v>
      </c>
      <c r="M4947" s="6" t="str">
        <f>IFERROR(__xludf.DUMMYFUNCTION("""COMPUTED_VALUE"""),"")</f>
        <v/>
      </c>
      <c r="N4947" s="6" t="str">
        <f>IFERROR(__xludf.DUMMYFUNCTION("""COMPUTED_VALUE"""),"")</f>
        <v/>
      </c>
      <c r="O4947" s="87" t="str">
        <f>IFERROR(__xludf.DUMMYFUNCTION("""COMPUTED_VALUE"""),"https://drive.google.com/drive/folders/10T2cTQHqEJZqE-st6uFKPoI?usp=share_link")</f>
        <v>https://drive.google.com/drive/folders/10T2cTQHqEJZqE-st6uFKPoI?usp=share_link</v>
      </c>
      <c r="P4947" s="6" t="str">
        <f>IFERROR(__xludf.DUMMYFUNCTION("""COMPUTED_VALUE"""),"Jah'Maiyah Dickerson")</f>
        <v>Jah'Maiyah Dickerson</v>
      </c>
      <c r="Q4947" s="6" t="str">
        <f>IFERROR(__xludf.DUMMYFUNCTION("""COMPUTED_VALUE"""),"MS")</f>
        <v>MS</v>
      </c>
      <c r="R4947" s="6">
        <f>IFERROR(__xludf.DUMMYFUNCTION("""COMPUTED_VALUE"""),0.0)</f>
        <v>0</v>
      </c>
      <c r="S4947" s="6" t="str">
        <f>IFERROR(__xludf.DUMMYFUNCTION("""COMPUTED_VALUE"""),"Kimberly Ball")</f>
        <v>Kimberly Ball</v>
      </c>
      <c r="T4947" s="6" t="str">
        <f>IFERROR(__xludf.DUMMYFUNCTION("""COMPUTED_VALUE"""),"kimberly.ball@studient.com")</f>
        <v>kimberly.ball@studient.com</v>
      </c>
      <c r="U4947" s="6" t="str">
        <f>IFERROR(__xludf.DUMMYFUNCTION("""COMPUTED_VALUE"""),"7")</f>
        <v>7</v>
      </c>
      <c r="V4947" s="6" t="str">
        <f>IFERROR(__xludf.DUMMYFUNCTION("""COMPUTED_VALUE"""),"")</f>
        <v/>
      </c>
      <c r="W4947" s="6" t="str">
        <f>IFERROR(__xludf.DUMMYFUNCTION("""COMPUTED_VALUE"""),"[]")</f>
        <v>[]</v>
      </c>
      <c r="X4947" s="6" t="str">
        <f>IFERROR(__xludf.DUMMYFUNCTION("""COMPUTED_VALUE"""),"Enrolled")</f>
        <v>Enrolled</v>
      </c>
    </row>
    <row r="4948">
      <c r="A4948" s="6" t="str">
        <f>IFERROR(__xludf.DUMMYFUNCTION("""COMPUTED_VALUE"""),"085-11991")</f>
        <v>085-11991</v>
      </c>
      <c r="B4948" s="6" t="str">
        <f>IFERROR(__xludf.DUMMYFUNCTION("""COMPUTED_VALUE"""),"85")</f>
        <v>85</v>
      </c>
      <c r="C4948" s="6" t="str">
        <f>IFERROR(__xludf.DUMMYFUNCTION("""COMPUTED_VALUE"""),"11991")</f>
        <v>11991</v>
      </c>
      <c r="D4948" s="6" t="str">
        <f>IFERROR(__xludf.DUMMYFUNCTION("""COMPUTED_VALUE"""),"Ka'maree")</f>
        <v>Ka'maree</v>
      </c>
      <c r="E4948" s="6" t="str">
        <f>IFERROR(__xludf.DUMMYFUNCTION("""COMPUTED_VALUE"""),"")</f>
        <v/>
      </c>
      <c r="F4948" s="6" t="str">
        <f>IFERROR(__xludf.DUMMYFUNCTION("""COMPUTED_VALUE"""),"Dobson")</f>
        <v>Dobson</v>
      </c>
      <c r="G4948" s="6" t="str">
        <f>IFERROR(__xludf.DUMMYFUNCTION("""COMPUTED_VALUE"""),"06/13/2013")</f>
        <v>06/13/2013</v>
      </c>
      <c r="H4948" s="6" t="str">
        <f>IFERROR(__xludf.DUMMYFUNCTION("""COMPUTED_VALUE"""),"female")</f>
        <v>female</v>
      </c>
      <c r="I4948" s="6" t="str">
        <f>IFERROR(__xludf.DUMMYFUNCTION("""COMPUTED_VALUE"""),"Middle School")</f>
        <v>Middle School</v>
      </c>
      <c r="J4948" s="6" t="str">
        <f>IFERROR(__xludf.DUMMYFUNCTION("""COMPUTED_VALUE"""),"7")</f>
        <v>7</v>
      </c>
      <c r="K4948" s="6" t="str">
        <f>IFERROR(__xludf.DUMMYFUNCTION("""COMPUTED_VALUE"""),"kamaree.dobson@2hourlearning.com")</f>
        <v>kamaree.dobson@2hourlearning.com</v>
      </c>
      <c r="L4948" s="6" t="str">
        <f>IFERROR(__xludf.DUMMYFUNCTION("""COMPUTED_VALUE"""),"AFMS - Allendale Fairfax Middle School")</f>
        <v>AFMS - Allendale Fairfax Middle School</v>
      </c>
      <c r="M4948" s="6" t="str">
        <f>IFERROR(__xludf.DUMMYFUNCTION("""COMPUTED_VALUE"""),"")</f>
        <v/>
      </c>
      <c r="N4948" s="6" t="str">
        <f>IFERROR(__xludf.DUMMYFUNCTION("""COMPUTED_VALUE"""),"")</f>
        <v/>
      </c>
      <c r="O4948" s="87" t="str">
        <f>IFERROR(__xludf.DUMMYFUNCTION("""COMPUTED_VALUE"""),"https://drive.google.com/drive/folders/10T2cTQHqEJZqE-st6uFKPoI?usp=share_link")</f>
        <v>https://drive.google.com/drive/folders/10T2cTQHqEJZqE-st6uFKPoI?usp=share_link</v>
      </c>
      <c r="P4948" s="6" t="str">
        <f>IFERROR(__xludf.DUMMYFUNCTION("""COMPUTED_VALUE"""),"Ka'maree Dobson")</f>
        <v>Ka'maree Dobson</v>
      </c>
      <c r="Q4948" s="6" t="str">
        <f>IFERROR(__xludf.DUMMYFUNCTION("""COMPUTED_VALUE"""),"MS")</f>
        <v>MS</v>
      </c>
      <c r="R4948" s="6">
        <f>IFERROR(__xludf.DUMMYFUNCTION("""COMPUTED_VALUE"""),0.0)</f>
        <v>0</v>
      </c>
      <c r="S4948" s="6" t="str">
        <f>IFERROR(__xludf.DUMMYFUNCTION("""COMPUTED_VALUE"""),"Kimberly Ball")</f>
        <v>Kimberly Ball</v>
      </c>
      <c r="T4948" s="6" t="str">
        <f>IFERROR(__xludf.DUMMYFUNCTION("""COMPUTED_VALUE"""),"kimberly.ball@studient.com")</f>
        <v>kimberly.ball@studient.com</v>
      </c>
      <c r="U4948" s="6" t="str">
        <f>IFERROR(__xludf.DUMMYFUNCTION("""COMPUTED_VALUE"""),"7")</f>
        <v>7</v>
      </c>
      <c r="V4948" s="6" t="str">
        <f>IFERROR(__xludf.DUMMYFUNCTION("""COMPUTED_VALUE"""),"")</f>
        <v/>
      </c>
      <c r="W4948" s="6" t="str">
        <f>IFERROR(__xludf.DUMMYFUNCTION("""COMPUTED_VALUE"""),"[]")</f>
        <v>[]</v>
      </c>
      <c r="X4948" s="6" t="str">
        <f>IFERROR(__xludf.DUMMYFUNCTION("""COMPUTED_VALUE"""),"Enrolled")</f>
        <v>Enrolled</v>
      </c>
    </row>
    <row r="4949">
      <c r="A4949" s="6" t="str">
        <f>IFERROR(__xludf.DUMMYFUNCTION("""COMPUTED_VALUE"""),"085-11992")</f>
        <v>085-11992</v>
      </c>
      <c r="B4949" s="6" t="str">
        <f>IFERROR(__xludf.DUMMYFUNCTION("""COMPUTED_VALUE"""),"85")</f>
        <v>85</v>
      </c>
      <c r="C4949" s="6" t="str">
        <f>IFERROR(__xludf.DUMMYFUNCTION("""COMPUTED_VALUE"""),"11992")</f>
        <v>11992</v>
      </c>
      <c r="D4949" s="6" t="str">
        <f>IFERROR(__xludf.DUMMYFUNCTION("""COMPUTED_VALUE"""),"Tyrin")</f>
        <v>Tyrin</v>
      </c>
      <c r="E4949" s="6" t="str">
        <f>IFERROR(__xludf.DUMMYFUNCTION("""COMPUTED_VALUE"""),"")</f>
        <v/>
      </c>
      <c r="F4949" s="6" t="str">
        <f>IFERROR(__xludf.DUMMYFUNCTION("""COMPUTED_VALUE"""),"Doe")</f>
        <v>Doe</v>
      </c>
      <c r="G4949" s="6" t="str">
        <f>IFERROR(__xludf.DUMMYFUNCTION("""COMPUTED_VALUE"""),"09/17/2012")</f>
        <v>09/17/2012</v>
      </c>
      <c r="H4949" s="6" t="str">
        <f>IFERROR(__xludf.DUMMYFUNCTION("""COMPUTED_VALUE"""),"male")</f>
        <v>male</v>
      </c>
      <c r="I4949" s="6" t="str">
        <f>IFERROR(__xludf.DUMMYFUNCTION("""COMPUTED_VALUE"""),"Middle School")</f>
        <v>Middle School</v>
      </c>
      <c r="J4949" s="6" t="str">
        <f>IFERROR(__xludf.DUMMYFUNCTION("""COMPUTED_VALUE"""),"7")</f>
        <v>7</v>
      </c>
      <c r="K4949" s="6" t="str">
        <f>IFERROR(__xludf.DUMMYFUNCTION("""COMPUTED_VALUE"""),"tyrin.doe@2hourlearning.com")</f>
        <v>tyrin.doe@2hourlearning.com</v>
      </c>
      <c r="L4949" s="6" t="str">
        <f>IFERROR(__xludf.DUMMYFUNCTION("""COMPUTED_VALUE"""),"AFMS - Allendale Fairfax Middle School")</f>
        <v>AFMS - Allendale Fairfax Middle School</v>
      </c>
      <c r="M4949" s="6" t="str">
        <f>IFERROR(__xludf.DUMMYFUNCTION("""COMPUTED_VALUE"""),"")</f>
        <v/>
      </c>
      <c r="N4949" s="6" t="str">
        <f>IFERROR(__xludf.DUMMYFUNCTION("""COMPUTED_VALUE"""),"")</f>
        <v/>
      </c>
      <c r="O4949" s="87" t="str">
        <f>IFERROR(__xludf.DUMMYFUNCTION("""COMPUTED_VALUE"""),"https://drive.google.com/drive/folders/10T2cTQHqEJZqE-st6uFKPoI?usp=share_link")</f>
        <v>https://drive.google.com/drive/folders/10T2cTQHqEJZqE-st6uFKPoI?usp=share_link</v>
      </c>
      <c r="P4949" s="6" t="str">
        <f>IFERROR(__xludf.DUMMYFUNCTION("""COMPUTED_VALUE"""),"Tyrin Doe")</f>
        <v>Tyrin Doe</v>
      </c>
      <c r="Q4949" s="6" t="str">
        <f>IFERROR(__xludf.DUMMYFUNCTION("""COMPUTED_VALUE"""),"MS")</f>
        <v>MS</v>
      </c>
      <c r="R4949" s="6">
        <f>IFERROR(__xludf.DUMMYFUNCTION("""COMPUTED_VALUE"""),0.0)</f>
        <v>0</v>
      </c>
      <c r="S4949" s="6" t="str">
        <f>IFERROR(__xludf.DUMMYFUNCTION("""COMPUTED_VALUE"""),"Kimberly Ball")</f>
        <v>Kimberly Ball</v>
      </c>
      <c r="T4949" s="6" t="str">
        <f>IFERROR(__xludf.DUMMYFUNCTION("""COMPUTED_VALUE"""),"kimberly.ball@studient.com")</f>
        <v>kimberly.ball@studient.com</v>
      </c>
      <c r="U4949" s="6" t="str">
        <f>IFERROR(__xludf.DUMMYFUNCTION("""COMPUTED_VALUE"""),"7")</f>
        <v>7</v>
      </c>
      <c r="V4949" s="6" t="str">
        <f>IFERROR(__xludf.DUMMYFUNCTION("""COMPUTED_VALUE"""),"")</f>
        <v/>
      </c>
      <c r="W4949" s="6" t="str">
        <f>IFERROR(__xludf.DUMMYFUNCTION("""COMPUTED_VALUE"""),"[]")</f>
        <v>[]</v>
      </c>
      <c r="X4949" s="6" t="str">
        <f>IFERROR(__xludf.DUMMYFUNCTION("""COMPUTED_VALUE"""),"Enrolled")</f>
        <v>Enrolled</v>
      </c>
    </row>
    <row r="4950">
      <c r="A4950" s="6" t="str">
        <f>IFERROR(__xludf.DUMMYFUNCTION("""COMPUTED_VALUE"""),"085-11993")</f>
        <v>085-11993</v>
      </c>
      <c r="B4950" s="6" t="str">
        <f>IFERROR(__xludf.DUMMYFUNCTION("""COMPUTED_VALUE"""),"85")</f>
        <v>85</v>
      </c>
      <c r="C4950" s="6" t="str">
        <f>IFERROR(__xludf.DUMMYFUNCTION("""COMPUTED_VALUE"""),"11993")</f>
        <v>11993</v>
      </c>
      <c r="D4950" s="6" t="str">
        <f>IFERROR(__xludf.DUMMYFUNCTION("""COMPUTED_VALUE"""),"Capridicus")</f>
        <v>Capridicus</v>
      </c>
      <c r="E4950" s="6" t="str">
        <f>IFERROR(__xludf.DUMMYFUNCTION("""COMPUTED_VALUE"""),"")</f>
        <v/>
      </c>
      <c r="F4950" s="6" t="str">
        <f>IFERROR(__xludf.DUMMYFUNCTION("""COMPUTED_VALUE"""),"Dorch")</f>
        <v>Dorch</v>
      </c>
      <c r="G4950" s="6" t="str">
        <f>IFERROR(__xludf.DUMMYFUNCTION("""COMPUTED_VALUE"""),"03/24/2013")</f>
        <v>03/24/2013</v>
      </c>
      <c r="H4950" s="6" t="str">
        <f>IFERROR(__xludf.DUMMYFUNCTION("""COMPUTED_VALUE"""),"male")</f>
        <v>male</v>
      </c>
      <c r="I4950" s="6" t="str">
        <f>IFERROR(__xludf.DUMMYFUNCTION("""COMPUTED_VALUE"""),"Middle School")</f>
        <v>Middle School</v>
      </c>
      <c r="J4950" s="6" t="str">
        <f>IFERROR(__xludf.DUMMYFUNCTION("""COMPUTED_VALUE"""),"7")</f>
        <v>7</v>
      </c>
      <c r="K4950" s="6" t="str">
        <f>IFERROR(__xludf.DUMMYFUNCTION("""COMPUTED_VALUE"""),"capridicus.dorch@2hourlearning.com")</f>
        <v>capridicus.dorch@2hourlearning.com</v>
      </c>
      <c r="L4950" s="6" t="str">
        <f>IFERROR(__xludf.DUMMYFUNCTION("""COMPUTED_VALUE"""),"AFMS - Allendale Fairfax Middle School")</f>
        <v>AFMS - Allendale Fairfax Middle School</v>
      </c>
      <c r="M4950" s="6" t="str">
        <f>IFERROR(__xludf.DUMMYFUNCTION("""COMPUTED_VALUE"""),"")</f>
        <v/>
      </c>
      <c r="N4950" s="6" t="str">
        <f>IFERROR(__xludf.DUMMYFUNCTION("""COMPUTED_VALUE"""),"")</f>
        <v/>
      </c>
      <c r="O4950" s="87" t="str">
        <f>IFERROR(__xludf.DUMMYFUNCTION("""COMPUTED_VALUE"""),"https://drive.google.com/drive/folders/10T2cTQHqEJZqE-st6uFKPoI?usp=share_link")</f>
        <v>https://drive.google.com/drive/folders/10T2cTQHqEJZqE-st6uFKPoI?usp=share_link</v>
      </c>
      <c r="P4950" s="6" t="str">
        <f>IFERROR(__xludf.DUMMYFUNCTION("""COMPUTED_VALUE"""),"Capridicus Dorch")</f>
        <v>Capridicus Dorch</v>
      </c>
      <c r="Q4950" s="6" t="str">
        <f>IFERROR(__xludf.DUMMYFUNCTION("""COMPUTED_VALUE"""),"MS")</f>
        <v>MS</v>
      </c>
      <c r="R4950" s="6">
        <f>IFERROR(__xludf.DUMMYFUNCTION("""COMPUTED_VALUE"""),0.0)</f>
        <v>0</v>
      </c>
      <c r="S4950" s="6" t="str">
        <f>IFERROR(__xludf.DUMMYFUNCTION("""COMPUTED_VALUE"""),"Kimberly Ball")</f>
        <v>Kimberly Ball</v>
      </c>
      <c r="T4950" s="6" t="str">
        <f>IFERROR(__xludf.DUMMYFUNCTION("""COMPUTED_VALUE"""),"kimberly.ball@studient.com")</f>
        <v>kimberly.ball@studient.com</v>
      </c>
      <c r="U4950" s="6" t="str">
        <f>IFERROR(__xludf.DUMMYFUNCTION("""COMPUTED_VALUE"""),"7")</f>
        <v>7</v>
      </c>
      <c r="V4950" s="6" t="str">
        <f>IFERROR(__xludf.DUMMYFUNCTION("""COMPUTED_VALUE"""),"")</f>
        <v/>
      </c>
      <c r="W4950" s="6" t="str">
        <f>IFERROR(__xludf.DUMMYFUNCTION("""COMPUTED_VALUE"""),"[]")</f>
        <v>[]</v>
      </c>
      <c r="X4950" s="6" t="str">
        <f>IFERROR(__xludf.DUMMYFUNCTION("""COMPUTED_VALUE"""),"Enrolled")</f>
        <v>Enrolled</v>
      </c>
    </row>
    <row r="4951">
      <c r="A4951" s="6" t="str">
        <f>IFERROR(__xludf.DUMMYFUNCTION("""COMPUTED_VALUE"""),"085-11994")</f>
        <v>085-11994</v>
      </c>
      <c r="B4951" s="6" t="str">
        <f>IFERROR(__xludf.DUMMYFUNCTION("""COMPUTED_VALUE"""),"85")</f>
        <v>85</v>
      </c>
      <c r="C4951" s="6" t="str">
        <f>IFERROR(__xludf.DUMMYFUNCTION("""COMPUTED_VALUE"""),"11994")</f>
        <v>11994</v>
      </c>
      <c r="D4951" s="6" t="str">
        <f>IFERROR(__xludf.DUMMYFUNCTION("""COMPUTED_VALUE"""),"Valerie")</f>
        <v>Valerie</v>
      </c>
      <c r="E4951" s="6" t="str">
        <f>IFERROR(__xludf.DUMMYFUNCTION("""COMPUTED_VALUE"""),"")</f>
        <v/>
      </c>
      <c r="F4951" s="6" t="str">
        <f>IFERROR(__xludf.DUMMYFUNCTION("""COMPUTED_VALUE"""),"Flores")</f>
        <v>Flores</v>
      </c>
      <c r="G4951" s="6" t="str">
        <f>IFERROR(__xludf.DUMMYFUNCTION("""COMPUTED_VALUE"""),"04/11/2013")</f>
        <v>04/11/2013</v>
      </c>
      <c r="H4951" s="6" t="str">
        <f>IFERROR(__xludf.DUMMYFUNCTION("""COMPUTED_VALUE"""),"female")</f>
        <v>female</v>
      </c>
      <c r="I4951" s="6" t="str">
        <f>IFERROR(__xludf.DUMMYFUNCTION("""COMPUTED_VALUE"""),"Middle School")</f>
        <v>Middle School</v>
      </c>
      <c r="J4951" s="6" t="str">
        <f>IFERROR(__xludf.DUMMYFUNCTION("""COMPUTED_VALUE"""),"7")</f>
        <v>7</v>
      </c>
      <c r="K4951" s="6" t="str">
        <f>IFERROR(__xludf.DUMMYFUNCTION("""COMPUTED_VALUE"""),"valerie.flores@2hourlearning.com")</f>
        <v>valerie.flores@2hourlearning.com</v>
      </c>
      <c r="L4951" s="6" t="str">
        <f>IFERROR(__xludf.DUMMYFUNCTION("""COMPUTED_VALUE"""),"AFMS - Allendale Fairfax Middle School")</f>
        <v>AFMS - Allendale Fairfax Middle School</v>
      </c>
      <c r="M4951" s="6" t="str">
        <f>IFERROR(__xludf.DUMMYFUNCTION("""COMPUTED_VALUE"""),"")</f>
        <v/>
      </c>
      <c r="N4951" s="6" t="str">
        <f>IFERROR(__xludf.DUMMYFUNCTION("""COMPUTED_VALUE"""),"")</f>
        <v/>
      </c>
      <c r="O4951" s="87" t="str">
        <f>IFERROR(__xludf.DUMMYFUNCTION("""COMPUTED_VALUE"""),"https://drive.google.com/drive/folders/10T2cTQHqEJZqE-st6uFKPoI?usp=share_link")</f>
        <v>https://drive.google.com/drive/folders/10T2cTQHqEJZqE-st6uFKPoI?usp=share_link</v>
      </c>
      <c r="P4951" s="6" t="str">
        <f>IFERROR(__xludf.DUMMYFUNCTION("""COMPUTED_VALUE"""),"Valerie Flores")</f>
        <v>Valerie Flores</v>
      </c>
      <c r="Q4951" s="6" t="str">
        <f>IFERROR(__xludf.DUMMYFUNCTION("""COMPUTED_VALUE"""),"MS")</f>
        <v>MS</v>
      </c>
      <c r="R4951" s="6">
        <f>IFERROR(__xludf.DUMMYFUNCTION("""COMPUTED_VALUE"""),0.0)</f>
        <v>0</v>
      </c>
      <c r="S4951" s="6" t="str">
        <f>IFERROR(__xludf.DUMMYFUNCTION("""COMPUTED_VALUE"""),"Kimberly Ball")</f>
        <v>Kimberly Ball</v>
      </c>
      <c r="T4951" s="6" t="str">
        <f>IFERROR(__xludf.DUMMYFUNCTION("""COMPUTED_VALUE"""),"kimberly.ball@studient.com")</f>
        <v>kimberly.ball@studient.com</v>
      </c>
      <c r="U4951" s="6" t="str">
        <f>IFERROR(__xludf.DUMMYFUNCTION("""COMPUTED_VALUE"""),"7")</f>
        <v>7</v>
      </c>
      <c r="V4951" s="6" t="str">
        <f>IFERROR(__xludf.DUMMYFUNCTION("""COMPUTED_VALUE"""),"")</f>
        <v/>
      </c>
      <c r="W4951" s="6" t="str">
        <f>IFERROR(__xludf.DUMMYFUNCTION("""COMPUTED_VALUE"""),"[]")</f>
        <v>[]</v>
      </c>
      <c r="X4951" s="6" t="str">
        <f>IFERROR(__xludf.DUMMYFUNCTION("""COMPUTED_VALUE"""),"Enrolled")</f>
        <v>Enrolled</v>
      </c>
    </row>
    <row r="4952">
      <c r="A4952" s="6" t="str">
        <f>IFERROR(__xludf.DUMMYFUNCTION("""COMPUTED_VALUE"""),"085-11995")</f>
        <v>085-11995</v>
      </c>
      <c r="B4952" s="6" t="str">
        <f>IFERROR(__xludf.DUMMYFUNCTION("""COMPUTED_VALUE"""),"85")</f>
        <v>85</v>
      </c>
      <c r="C4952" s="6" t="str">
        <f>IFERROR(__xludf.DUMMYFUNCTION("""COMPUTED_VALUE"""),"11995")</f>
        <v>11995</v>
      </c>
      <c r="D4952" s="6" t="str">
        <f>IFERROR(__xludf.DUMMYFUNCTION("""COMPUTED_VALUE"""),"Ervin")</f>
        <v>Ervin</v>
      </c>
      <c r="E4952" s="6" t="str">
        <f>IFERROR(__xludf.DUMMYFUNCTION("""COMPUTED_VALUE"""),"")</f>
        <v/>
      </c>
      <c r="F4952" s="6" t="str">
        <f>IFERROR(__xludf.DUMMYFUNCTION("""COMPUTED_VALUE"""),"Ford")</f>
        <v>Ford</v>
      </c>
      <c r="G4952" s="6" t="str">
        <f>IFERROR(__xludf.DUMMYFUNCTION("""COMPUTED_VALUE"""),"09/05/2012")</f>
        <v>09/05/2012</v>
      </c>
      <c r="H4952" s="6" t="str">
        <f>IFERROR(__xludf.DUMMYFUNCTION("""COMPUTED_VALUE"""),"male")</f>
        <v>male</v>
      </c>
      <c r="I4952" s="6" t="str">
        <f>IFERROR(__xludf.DUMMYFUNCTION("""COMPUTED_VALUE"""),"Middle School")</f>
        <v>Middle School</v>
      </c>
      <c r="J4952" s="6" t="str">
        <f>IFERROR(__xludf.DUMMYFUNCTION("""COMPUTED_VALUE"""),"7")</f>
        <v>7</v>
      </c>
      <c r="K4952" s="6" t="str">
        <f>IFERROR(__xludf.DUMMYFUNCTION("""COMPUTED_VALUE"""),"ervin.ford@2hourlearning.com")</f>
        <v>ervin.ford@2hourlearning.com</v>
      </c>
      <c r="L4952" s="6" t="str">
        <f>IFERROR(__xludf.DUMMYFUNCTION("""COMPUTED_VALUE"""),"AFMS - Allendale Fairfax Middle School")</f>
        <v>AFMS - Allendale Fairfax Middle School</v>
      </c>
      <c r="M4952" s="6" t="str">
        <f>IFERROR(__xludf.DUMMYFUNCTION("""COMPUTED_VALUE"""),"")</f>
        <v/>
      </c>
      <c r="N4952" s="6" t="str">
        <f>IFERROR(__xludf.DUMMYFUNCTION("""COMPUTED_VALUE"""),"")</f>
        <v/>
      </c>
      <c r="O4952" s="87" t="str">
        <f>IFERROR(__xludf.DUMMYFUNCTION("""COMPUTED_VALUE"""),"https://drive.google.com/drive/folders/10T2cTQHqEJZqE-st6uFKPoI?usp=share_link")</f>
        <v>https://drive.google.com/drive/folders/10T2cTQHqEJZqE-st6uFKPoI?usp=share_link</v>
      </c>
      <c r="P4952" s="6" t="str">
        <f>IFERROR(__xludf.DUMMYFUNCTION("""COMPUTED_VALUE"""),"Ervin Ford")</f>
        <v>Ervin Ford</v>
      </c>
      <c r="Q4952" s="6" t="str">
        <f>IFERROR(__xludf.DUMMYFUNCTION("""COMPUTED_VALUE"""),"MS")</f>
        <v>MS</v>
      </c>
      <c r="R4952" s="6">
        <f>IFERROR(__xludf.DUMMYFUNCTION("""COMPUTED_VALUE"""),0.0)</f>
        <v>0</v>
      </c>
      <c r="S4952" s="6" t="str">
        <f>IFERROR(__xludf.DUMMYFUNCTION("""COMPUTED_VALUE"""),"Kimberly Ball")</f>
        <v>Kimberly Ball</v>
      </c>
      <c r="T4952" s="6" t="str">
        <f>IFERROR(__xludf.DUMMYFUNCTION("""COMPUTED_VALUE"""),"kimberly.ball@studient.com")</f>
        <v>kimberly.ball@studient.com</v>
      </c>
      <c r="U4952" s="6" t="str">
        <f>IFERROR(__xludf.DUMMYFUNCTION("""COMPUTED_VALUE"""),"7")</f>
        <v>7</v>
      </c>
      <c r="V4952" s="6" t="str">
        <f>IFERROR(__xludf.DUMMYFUNCTION("""COMPUTED_VALUE"""),"")</f>
        <v/>
      </c>
      <c r="W4952" s="6" t="str">
        <f>IFERROR(__xludf.DUMMYFUNCTION("""COMPUTED_VALUE"""),"[]")</f>
        <v>[]</v>
      </c>
      <c r="X4952" s="6" t="str">
        <f>IFERROR(__xludf.DUMMYFUNCTION("""COMPUTED_VALUE"""),"Enrolled")</f>
        <v>Enrolled</v>
      </c>
    </row>
    <row r="4953">
      <c r="A4953" s="6" t="str">
        <f>IFERROR(__xludf.DUMMYFUNCTION("""COMPUTED_VALUE"""),"085-11996")</f>
        <v>085-11996</v>
      </c>
      <c r="B4953" s="6" t="str">
        <f>IFERROR(__xludf.DUMMYFUNCTION("""COMPUTED_VALUE"""),"85")</f>
        <v>85</v>
      </c>
      <c r="C4953" s="6" t="str">
        <f>IFERROR(__xludf.DUMMYFUNCTION("""COMPUTED_VALUE"""),"11996")</f>
        <v>11996</v>
      </c>
      <c r="D4953" s="6" t="str">
        <f>IFERROR(__xludf.DUMMYFUNCTION("""COMPUTED_VALUE"""),"Kinsley")</f>
        <v>Kinsley</v>
      </c>
      <c r="E4953" s="6" t="str">
        <f>IFERROR(__xludf.DUMMYFUNCTION("""COMPUTED_VALUE"""),"")</f>
        <v/>
      </c>
      <c r="F4953" s="6" t="str">
        <f>IFERROR(__xludf.DUMMYFUNCTION("""COMPUTED_VALUE"""),"Frazier")</f>
        <v>Frazier</v>
      </c>
      <c r="G4953" s="6" t="str">
        <f>IFERROR(__xludf.DUMMYFUNCTION("""COMPUTED_VALUE"""),"11/22/2013")</f>
        <v>11/22/2013</v>
      </c>
      <c r="H4953" s="6" t="str">
        <f>IFERROR(__xludf.DUMMYFUNCTION("""COMPUTED_VALUE"""),"female")</f>
        <v>female</v>
      </c>
      <c r="I4953" s="6" t="str">
        <f>IFERROR(__xludf.DUMMYFUNCTION("""COMPUTED_VALUE"""),"Middle School")</f>
        <v>Middle School</v>
      </c>
      <c r="J4953" s="6" t="str">
        <f>IFERROR(__xludf.DUMMYFUNCTION("""COMPUTED_VALUE"""),"7")</f>
        <v>7</v>
      </c>
      <c r="K4953" s="6" t="str">
        <f>IFERROR(__xludf.DUMMYFUNCTION("""COMPUTED_VALUE"""),"kinsley.frazier@2hourlearning.com")</f>
        <v>kinsley.frazier@2hourlearning.com</v>
      </c>
      <c r="L4953" s="6" t="str">
        <f>IFERROR(__xludf.DUMMYFUNCTION("""COMPUTED_VALUE"""),"AFMS - Allendale Fairfax Middle School")</f>
        <v>AFMS - Allendale Fairfax Middle School</v>
      </c>
      <c r="M4953" s="6" t="str">
        <f>IFERROR(__xludf.DUMMYFUNCTION("""COMPUTED_VALUE"""),"")</f>
        <v/>
      </c>
      <c r="N4953" s="6" t="str">
        <f>IFERROR(__xludf.DUMMYFUNCTION("""COMPUTED_VALUE"""),"")</f>
        <v/>
      </c>
      <c r="O4953" s="87" t="str">
        <f>IFERROR(__xludf.DUMMYFUNCTION("""COMPUTED_VALUE"""),"https://drive.google.com/drive/folders/10T2cTQHqEJZqE-st6uFKPoI?usp=share_link")</f>
        <v>https://drive.google.com/drive/folders/10T2cTQHqEJZqE-st6uFKPoI?usp=share_link</v>
      </c>
      <c r="P4953" s="6" t="str">
        <f>IFERROR(__xludf.DUMMYFUNCTION("""COMPUTED_VALUE"""),"Kinsley Frazier")</f>
        <v>Kinsley Frazier</v>
      </c>
      <c r="Q4953" s="6" t="str">
        <f>IFERROR(__xludf.DUMMYFUNCTION("""COMPUTED_VALUE"""),"MS")</f>
        <v>MS</v>
      </c>
      <c r="R4953" s="6">
        <f>IFERROR(__xludf.DUMMYFUNCTION("""COMPUTED_VALUE"""),0.0)</f>
        <v>0</v>
      </c>
      <c r="S4953" s="6" t="str">
        <f>IFERROR(__xludf.DUMMYFUNCTION("""COMPUTED_VALUE"""),"Kimberly Ball")</f>
        <v>Kimberly Ball</v>
      </c>
      <c r="T4953" s="6" t="str">
        <f>IFERROR(__xludf.DUMMYFUNCTION("""COMPUTED_VALUE"""),"kimberly.ball@studient.com")</f>
        <v>kimberly.ball@studient.com</v>
      </c>
      <c r="U4953" s="6" t="str">
        <f>IFERROR(__xludf.DUMMYFUNCTION("""COMPUTED_VALUE"""),"7")</f>
        <v>7</v>
      </c>
      <c r="V4953" s="6" t="str">
        <f>IFERROR(__xludf.DUMMYFUNCTION("""COMPUTED_VALUE"""),"")</f>
        <v/>
      </c>
      <c r="W4953" s="6" t="str">
        <f>IFERROR(__xludf.DUMMYFUNCTION("""COMPUTED_VALUE"""),"[]")</f>
        <v>[]</v>
      </c>
      <c r="X4953" s="6" t="str">
        <f>IFERROR(__xludf.DUMMYFUNCTION("""COMPUTED_VALUE"""),"Enrolled")</f>
        <v>Enrolled</v>
      </c>
    </row>
    <row r="4954">
      <c r="A4954" s="6" t="str">
        <f>IFERROR(__xludf.DUMMYFUNCTION("""COMPUTED_VALUE"""),"085-11997")</f>
        <v>085-11997</v>
      </c>
      <c r="B4954" s="6" t="str">
        <f>IFERROR(__xludf.DUMMYFUNCTION("""COMPUTED_VALUE"""),"85")</f>
        <v>85</v>
      </c>
      <c r="C4954" s="6" t="str">
        <f>IFERROR(__xludf.DUMMYFUNCTION("""COMPUTED_VALUE"""),"11997")</f>
        <v>11997</v>
      </c>
      <c r="D4954" s="6" t="str">
        <f>IFERROR(__xludf.DUMMYFUNCTION("""COMPUTED_VALUE"""),"Logan")</f>
        <v>Logan</v>
      </c>
      <c r="E4954" s="6" t="str">
        <f>IFERROR(__xludf.DUMMYFUNCTION("""COMPUTED_VALUE"""),"")</f>
        <v/>
      </c>
      <c r="F4954" s="6" t="str">
        <f>IFERROR(__xludf.DUMMYFUNCTION("""COMPUTED_VALUE"""),"Frazier")</f>
        <v>Frazier</v>
      </c>
      <c r="G4954" s="6" t="str">
        <f>IFERROR(__xludf.DUMMYFUNCTION("""COMPUTED_VALUE"""),"12/20/2012")</f>
        <v>12/20/2012</v>
      </c>
      <c r="H4954" s="6" t="str">
        <f>IFERROR(__xludf.DUMMYFUNCTION("""COMPUTED_VALUE"""),"female")</f>
        <v>female</v>
      </c>
      <c r="I4954" s="6" t="str">
        <f>IFERROR(__xludf.DUMMYFUNCTION("""COMPUTED_VALUE"""),"Middle School")</f>
        <v>Middle School</v>
      </c>
      <c r="J4954" s="6" t="str">
        <f>IFERROR(__xludf.DUMMYFUNCTION("""COMPUTED_VALUE"""),"7")</f>
        <v>7</v>
      </c>
      <c r="K4954" s="6" t="str">
        <f>IFERROR(__xludf.DUMMYFUNCTION("""COMPUTED_VALUE"""),"logan.frazier@2hourlearning.com")</f>
        <v>logan.frazier@2hourlearning.com</v>
      </c>
      <c r="L4954" s="6" t="str">
        <f>IFERROR(__xludf.DUMMYFUNCTION("""COMPUTED_VALUE"""),"AFMS - Allendale Fairfax Middle School")</f>
        <v>AFMS - Allendale Fairfax Middle School</v>
      </c>
      <c r="M4954" s="6" t="str">
        <f>IFERROR(__xludf.DUMMYFUNCTION("""COMPUTED_VALUE"""),"")</f>
        <v/>
      </c>
      <c r="N4954" s="6" t="str">
        <f>IFERROR(__xludf.DUMMYFUNCTION("""COMPUTED_VALUE"""),"")</f>
        <v/>
      </c>
      <c r="O4954" s="87" t="str">
        <f>IFERROR(__xludf.DUMMYFUNCTION("""COMPUTED_VALUE"""),"https://drive.google.com/drive/folders/10T2cTQHqEJZqE-st6uFKPoI?usp=share_link")</f>
        <v>https://drive.google.com/drive/folders/10T2cTQHqEJZqE-st6uFKPoI?usp=share_link</v>
      </c>
      <c r="P4954" s="6" t="str">
        <f>IFERROR(__xludf.DUMMYFUNCTION("""COMPUTED_VALUE"""),"Logan Frazier")</f>
        <v>Logan Frazier</v>
      </c>
      <c r="Q4954" s="6" t="str">
        <f>IFERROR(__xludf.DUMMYFUNCTION("""COMPUTED_VALUE"""),"MS")</f>
        <v>MS</v>
      </c>
      <c r="R4954" s="6">
        <f>IFERROR(__xludf.DUMMYFUNCTION("""COMPUTED_VALUE"""),0.0)</f>
        <v>0</v>
      </c>
      <c r="S4954" s="6" t="str">
        <f>IFERROR(__xludf.DUMMYFUNCTION("""COMPUTED_VALUE"""),"Kimberly Ball")</f>
        <v>Kimberly Ball</v>
      </c>
      <c r="T4954" s="6" t="str">
        <f>IFERROR(__xludf.DUMMYFUNCTION("""COMPUTED_VALUE"""),"kimberly.ball@studient.com")</f>
        <v>kimberly.ball@studient.com</v>
      </c>
      <c r="U4954" s="6" t="str">
        <f>IFERROR(__xludf.DUMMYFUNCTION("""COMPUTED_VALUE"""),"7")</f>
        <v>7</v>
      </c>
      <c r="V4954" s="6" t="str">
        <f>IFERROR(__xludf.DUMMYFUNCTION("""COMPUTED_VALUE"""),"")</f>
        <v/>
      </c>
      <c r="W4954" s="6" t="str">
        <f>IFERROR(__xludf.DUMMYFUNCTION("""COMPUTED_VALUE"""),"[]")</f>
        <v>[]</v>
      </c>
      <c r="X4954" s="6" t="str">
        <f>IFERROR(__xludf.DUMMYFUNCTION("""COMPUTED_VALUE"""),"Enrolled")</f>
        <v>Enrolled</v>
      </c>
    </row>
    <row r="4955">
      <c r="A4955" s="6" t="str">
        <f>IFERROR(__xludf.DUMMYFUNCTION("""COMPUTED_VALUE"""),"085-11998")</f>
        <v>085-11998</v>
      </c>
      <c r="B4955" s="6" t="str">
        <f>IFERROR(__xludf.DUMMYFUNCTION("""COMPUTED_VALUE"""),"85")</f>
        <v>85</v>
      </c>
      <c r="C4955" s="6" t="str">
        <f>IFERROR(__xludf.DUMMYFUNCTION("""COMPUTED_VALUE"""),"11998")</f>
        <v>11998</v>
      </c>
      <c r="D4955" s="6" t="str">
        <f>IFERROR(__xludf.DUMMYFUNCTION("""COMPUTED_VALUE"""),"Jaida")</f>
        <v>Jaida</v>
      </c>
      <c r="E4955" s="6" t="str">
        <f>IFERROR(__xludf.DUMMYFUNCTION("""COMPUTED_VALUE"""),"")</f>
        <v/>
      </c>
      <c r="F4955" s="6" t="str">
        <f>IFERROR(__xludf.DUMMYFUNCTION("""COMPUTED_VALUE"""),"Gant")</f>
        <v>Gant</v>
      </c>
      <c r="G4955" s="6" t="str">
        <f>IFERROR(__xludf.DUMMYFUNCTION("""COMPUTED_VALUE"""),"08/16/2012")</f>
        <v>08/16/2012</v>
      </c>
      <c r="H4955" s="6" t="str">
        <f>IFERROR(__xludf.DUMMYFUNCTION("""COMPUTED_VALUE"""),"female")</f>
        <v>female</v>
      </c>
      <c r="I4955" s="6" t="str">
        <f>IFERROR(__xludf.DUMMYFUNCTION("""COMPUTED_VALUE"""),"Middle School")</f>
        <v>Middle School</v>
      </c>
      <c r="J4955" s="6" t="str">
        <f>IFERROR(__xludf.DUMMYFUNCTION("""COMPUTED_VALUE"""),"7")</f>
        <v>7</v>
      </c>
      <c r="K4955" s="6" t="str">
        <f>IFERROR(__xludf.DUMMYFUNCTION("""COMPUTED_VALUE"""),"jaida.gant@2hourlearning.com")</f>
        <v>jaida.gant@2hourlearning.com</v>
      </c>
      <c r="L4955" s="6" t="str">
        <f>IFERROR(__xludf.DUMMYFUNCTION("""COMPUTED_VALUE"""),"AFMS - Allendale Fairfax Middle School")</f>
        <v>AFMS - Allendale Fairfax Middle School</v>
      </c>
      <c r="M4955" s="6" t="str">
        <f>IFERROR(__xludf.DUMMYFUNCTION("""COMPUTED_VALUE"""),"")</f>
        <v/>
      </c>
      <c r="N4955" s="6" t="str">
        <f>IFERROR(__xludf.DUMMYFUNCTION("""COMPUTED_VALUE"""),"")</f>
        <v/>
      </c>
      <c r="O4955" s="87" t="str">
        <f>IFERROR(__xludf.DUMMYFUNCTION("""COMPUTED_VALUE"""),"https://drive.google.com/drive/folders/10T2cTQHqEJZqE-st6uFKPoI?usp=share_link")</f>
        <v>https://drive.google.com/drive/folders/10T2cTQHqEJZqE-st6uFKPoI?usp=share_link</v>
      </c>
      <c r="P4955" s="6" t="str">
        <f>IFERROR(__xludf.DUMMYFUNCTION("""COMPUTED_VALUE"""),"Jaida Gant")</f>
        <v>Jaida Gant</v>
      </c>
      <c r="Q4955" s="6" t="str">
        <f>IFERROR(__xludf.DUMMYFUNCTION("""COMPUTED_VALUE"""),"MS")</f>
        <v>MS</v>
      </c>
      <c r="R4955" s="6">
        <f>IFERROR(__xludf.DUMMYFUNCTION("""COMPUTED_VALUE"""),0.0)</f>
        <v>0</v>
      </c>
      <c r="S4955" s="6" t="str">
        <f>IFERROR(__xludf.DUMMYFUNCTION("""COMPUTED_VALUE"""),"Kimberly Ball")</f>
        <v>Kimberly Ball</v>
      </c>
      <c r="T4955" s="6" t="str">
        <f>IFERROR(__xludf.DUMMYFUNCTION("""COMPUTED_VALUE"""),"kimberly.ball@studient.com")</f>
        <v>kimberly.ball@studient.com</v>
      </c>
      <c r="U4955" s="6" t="str">
        <f>IFERROR(__xludf.DUMMYFUNCTION("""COMPUTED_VALUE"""),"7")</f>
        <v>7</v>
      </c>
      <c r="V4955" s="6" t="str">
        <f>IFERROR(__xludf.DUMMYFUNCTION("""COMPUTED_VALUE"""),"")</f>
        <v/>
      </c>
      <c r="W4955" s="6" t="str">
        <f>IFERROR(__xludf.DUMMYFUNCTION("""COMPUTED_VALUE"""),"[]")</f>
        <v>[]</v>
      </c>
      <c r="X4955" s="6" t="str">
        <f>IFERROR(__xludf.DUMMYFUNCTION("""COMPUTED_VALUE"""),"Enrolled")</f>
        <v>Enrolled</v>
      </c>
    </row>
    <row r="4956">
      <c r="A4956" s="6" t="str">
        <f>IFERROR(__xludf.DUMMYFUNCTION("""COMPUTED_VALUE"""),"085-11999")</f>
        <v>085-11999</v>
      </c>
      <c r="B4956" s="6" t="str">
        <f>IFERROR(__xludf.DUMMYFUNCTION("""COMPUTED_VALUE"""),"85")</f>
        <v>85</v>
      </c>
      <c r="C4956" s="6" t="str">
        <f>IFERROR(__xludf.DUMMYFUNCTION("""COMPUTED_VALUE"""),"11999")</f>
        <v>11999</v>
      </c>
      <c r="D4956" s="6" t="str">
        <f>IFERROR(__xludf.DUMMYFUNCTION("""COMPUTED_VALUE"""),"Deontae'")</f>
        <v>Deontae'</v>
      </c>
      <c r="E4956" s="6" t="str">
        <f>IFERROR(__xludf.DUMMYFUNCTION("""COMPUTED_VALUE"""),"")</f>
        <v/>
      </c>
      <c r="F4956" s="6" t="str">
        <f>IFERROR(__xludf.DUMMYFUNCTION("""COMPUTED_VALUE"""),"Gardner")</f>
        <v>Gardner</v>
      </c>
      <c r="G4956" s="6" t="str">
        <f>IFERROR(__xludf.DUMMYFUNCTION("""COMPUTED_VALUE"""),"11/03/2012")</f>
        <v>11/03/2012</v>
      </c>
      <c r="H4956" s="6" t="str">
        <f>IFERROR(__xludf.DUMMYFUNCTION("""COMPUTED_VALUE"""),"male")</f>
        <v>male</v>
      </c>
      <c r="I4956" s="6" t="str">
        <f>IFERROR(__xludf.DUMMYFUNCTION("""COMPUTED_VALUE"""),"Middle School")</f>
        <v>Middle School</v>
      </c>
      <c r="J4956" s="6" t="str">
        <f>IFERROR(__xludf.DUMMYFUNCTION("""COMPUTED_VALUE"""),"7")</f>
        <v>7</v>
      </c>
      <c r="K4956" s="6" t="str">
        <f>IFERROR(__xludf.DUMMYFUNCTION("""COMPUTED_VALUE"""),"deontae.gardner@2hourlearning.com")</f>
        <v>deontae.gardner@2hourlearning.com</v>
      </c>
      <c r="L4956" s="6" t="str">
        <f>IFERROR(__xludf.DUMMYFUNCTION("""COMPUTED_VALUE"""),"AFMS - Allendale Fairfax Middle School")</f>
        <v>AFMS - Allendale Fairfax Middle School</v>
      </c>
      <c r="M4956" s="6" t="str">
        <f>IFERROR(__xludf.DUMMYFUNCTION("""COMPUTED_VALUE"""),"")</f>
        <v/>
      </c>
      <c r="N4956" s="6" t="str">
        <f>IFERROR(__xludf.DUMMYFUNCTION("""COMPUTED_VALUE"""),"")</f>
        <v/>
      </c>
      <c r="O4956" s="87" t="str">
        <f>IFERROR(__xludf.DUMMYFUNCTION("""COMPUTED_VALUE"""),"https://drive.google.com/drive/folders/10T2cTQHqEJZqE-st6uFKPoI?usp=share_link")</f>
        <v>https://drive.google.com/drive/folders/10T2cTQHqEJZqE-st6uFKPoI?usp=share_link</v>
      </c>
      <c r="P4956" s="6" t="str">
        <f>IFERROR(__xludf.DUMMYFUNCTION("""COMPUTED_VALUE"""),"Deontae' Gardner")</f>
        <v>Deontae' Gardner</v>
      </c>
      <c r="Q4956" s="6" t="str">
        <f>IFERROR(__xludf.DUMMYFUNCTION("""COMPUTED_VALUE"""),"MS")</f>
        <v>MS</v>
      </c>
      <c r="R4956" s="6">
        <f>IFERROR(__xludf.DUMMYFUNCTION("""COMPUTED_VALUE"""),0.0)</f>
        <v>0</v>
      </c>
      <c r="S4956" s="6" t="str">
        <f>IFERROR(__xludf.DUMMYFUNCTION("""COMPUTED_VALUE"""),"Kimberly Ball")</f>
        <v>Kimberly Ball</v>
      </c>
      <c r="T4956" s="6" t="str">
        <f>IFERROR(__xludf.DUMMYFUNCTION("""COMPUTED_VALUE"""),"kimberly.ball@studient.com")</f>
        <v>kimberly.ball@studient.com</v>
      </c>
      <c r="U4956" s="6" t="str">
        <f>IFERROR(__xludf.DUMMYFUNCTION("""COMPUTED_VALUE"""),"7")</f>
        <v>7</v>
      </c>
      <c r="V4956" s="6" t="str">
        <f>IFERROR(__xludf.DUMMYFUNCTION("""COMPUTED_VALUE"""),"")</f>
        <v/>
      </c>
      <c r="W4956" s="6" t="str">
        <f>IFERROR(__xludf.DUMMYFUNCTION("""COMPUTED_VALUE"""),"[]")</f>
        <v>[]</v>
      </c>
      <c r="X4956" s="6" t="str">
        <f>IFERROR(__xludf.DUMMYFUNCTION("""COMPUTED_VALUE"""),"Enrolled")</f>
        <v>Enrolled</v>
      </c>
    </row>
    <row r="4957">
      <c r="A4957" s="6" t="str">
        <f>IFERROR(__xludf.DUMMYFUNCTION("""COMPUTED_VALUE"""),"085-12000")</f>
        <v>085-12000</v>
      </c>
      <c r="B4957" s="6" t="str">
        <f>IFERROR(__xludf.DUMMYFUNCTION("""COMPUTED_VALUE"""),"85")</f>
        <v>85</v>
      </c>
      <c r="C4957" s="6" t="str">
        <f>IFERROR(__xludf.DUMMYFUNCTION("""COMPUTED_VALUE"""),"12000")</f>
        <v>12000</v>
      </c>
      <c r="D4957" s="6" t="str">
        <f>IFERROR(__xludf.DUMMYFUNCTION("""COMPUTED_VALUE"""),"Mico")</f>
        <v>Mico</v>
      </c>
      <c r="E4957" s="6" t="str">
        <f>IFERROR(__xludf.DUMMYFUNCTION("""COMPUTED_VALUE"""),"")</f>
        <v/>
      </c>
      <c r="F4957" s="6" t="str">
        <f>IFERROR(__xludf.DUMMYFUNCTION("""COMPUTED_VALUE"""),"Gentle")</f>
        <v>Gentle</v>
      </c>
      <c r="G4957" s="6" t="str">
        <f>IFERROR(__xludf.DUMMYFUNCTION("""COMPUTED_VALUE"""),"12/27/2012")</f>
        <v>12/27/2012</v>
      </c>
      <c r="H4957" s="6" t="str">
        <f>IFERROR(__xludf.DUMMYFUNCTION("""COMPUTED_VALUE"""),"male")</f>
        <v>male</v>
      </c>
      <c r="I4957" s="6" t="str">
        <f>IFERROR(__xludf.DUMMYFUNCTION("""COMPUTED_VALUE"""),"Middle School")</f>
        <v>Middle School</v>
      </c>
      <c r="J4957" s="6" t="str">
        <f>IFERROR(__xludf.DUMMYFUNCTION("""COMPUTED_VALUE"""),"7")</f>
        <v>7</v>
      </c>
      <c r="K4957" s="6" t="str">
        <f>IFERROR(__xludf.DUMMYFUNCTION("""COMPUTED_VALUE"""),"mico.gentle@2hourlearning.com")</f>
        <v>mico.gentle@2hourlearning.com</v>
      </c>
      <c r="L4957" s="6" t="str">
        <f>IFERROR(__xludf.DUMMYFUNCTION("""COMPUTED_VALUE"""),"AFMS - Allendale Fairfax Middle School")</f>
        <v>AFMS - Allendale Fairfax Middle School</v>
      </c>
      <c r="M4957" s="6" t="str">
        <f>IFERROR(__xludf.DUMMYFUNCTION("""COMPUTED_VALUE"""),"")</f>
        <v/>
      </c>
      <c r="N4957" s="6" t="str">
        <f>IFERROR(__xludf.DUMMYFUNCTION("""COMPUTED_VALUE"""),"")</f>
        <v/>
      </c>
      <c r="O4957" s="87" t="str">
        <f>IFERROR(__xludf.DUMMYFUNCTION("""COMPUTED_VALUE"""),"https://drive.google.com/drive/folders/10T2cTQHqEJZqE-st6uFKPoI?usp=share_link")</f>
        <v>https://drive.google.com/drive/folders/10T2cTQHqEJZqE-st6uFKPoI?usp=share_link</v>
      </c>
      <c r="P4957" s="6" t="str">
        <f>IFERROR(__xludf.DUMMYFUNCTION("""COMPUTED_VALUE"""),"Mico Gentle")</f>
        <v>Mico Gentle</v>
      </c>
      <c r="Q4957" s="6" t="str">
        <f>IFERROR(__xludf.DUMMYFUNCTION("""COMPUTED_VALUE"""),"MS")</f>
        <v>MS</v>
      </c>
      <c r="R4957" s="6">
        <f>IFERROR(__xludf.DUMMYFUNCTION("""COMPUTED_VALUE"""),0.0)</f>
        <v>0</v>
      </c>
      <c r="S4957" s="6" t="str">
        <f>IFERROR(__xludf.DUMMYFUNCTION("""COMPUTED_VALUE"""),"Kimberly Ball")</f>
        <v>Kimberly Ball</v>
      </c>
      <c r="T4957" s="6" t="str">
        <f>IFERROR(__xludf.DUMMYFUNCTION("""COMPUTED_VALUE"""),"kimberly.ball@studient.com")</f>
        <v>kimberly.ball@studient.com</v>
      </c>
      <c r="U4957" s="6" t="str">
        <f>IFERROR(__xludf.DUMMYFUNCTION("""COMPUTED_VALUE"""),"7")</f>
        <v>7</v>
      </c>
      <c r="V4957" s="6" t="str">
        <f>IFERROR(__xludf.DUMMYFUNCTION("""COMPUTED_VALUE"""),"")</f>
        <v/>
      </c>
      <c r="W4957" s="6" t="str">
        <f>IFERROR(__xludf.DUMMYFUNCTION("""COMPUTED_VALUE"""),"[]")</f>
        <v>[]</v>
      </c>
      <c r="X4957" s="6" t="str">
        <f>IFERROR(__xludf.DUMMYFUNCTION("""COMPUTED_VALUE"""),"Enrolled")</f>
        <v>Enrolled</v>
      </c>
    </row>
    <row r="4958">
      <c r="A4958" s="6" t="str">
        <f>IFERROR(__xludf.DUMMYFUNCTION("""COMPUTED_VALUE"""),"085-12001")</f>
        <v>085-12001</v>
      </c>
      <c r="B4958" s="6" t="str">
        <f>IFERROR(__xludf.DUMMYFUNCTION("""COMPUTED_VALUE"""),"85")</f>
        <v>85</v>
      </c>
      <c r="C4958" s="6" t="str">
        <f>IFERROR(__xludf.DUMMYFUNCTION("""COMPUTED_VALUE"""),"12001")</f>
        <v>12001</v>
      </c>
      <c r="D4958" s="6" t="str">
        <f>IFERROR(__xludf.DUMMYFUNCTION("""COMPUTED_VALUE"""),"Timothy")</f>
        <v>Timothy</v>
      </c>
      <c r="E4958" s="6" t="str">
        <f>IFERROR(__xludf.DUMMYFUNCTION("""COMPUTED_VALUE"""),"")</f>
        <v/>
      </c>
      <c r="F4958" s="6" t="str">
        <f>IFERROR(__xludf.DUMMYFUNCTION("""COMPUTED_VALUE"""),"Gibbs")</f>
        <v>Gibbs</v>
      </c>
      <c r="G4958" s="6" t="str">
        <f>IFERROR(__xludf.DUMMYFUNCTION("""COMPUTED_VALUE"""),"04/26/2013")</f>
        <v>04/26/2013</v>
      </c>
      <c r="H4958" s="6" t="str">
        <f>IFERROR(__xludf.DUMMYFUNCTION("""COMPUTED_VALUE"""),"male")</f>
        <v>male</v>
      </c>
      <c r="I4958" s="6" t="str">
        <f>IFERROR(__xludf.DUMMYFUNCTION("""COMPUTED_VALUE"""),"Middle School")</f>
        <v>Middle School</v>
      </c>
      <c r="J4958" s="6" t="str">
        <f>IFERROR(__xludf.DUMMYFUNCTION("""COMPUTED_VALUE"""),"7")</f>
        <v>7</v>
      </c>
      <c r="K4958" s="6" t="str">
        <f>IFERROR(__xludf.DUMMYFUNCTION("""COMPUTED_VALUE"""),"timothy.gibbs@2hourlearning.com")</f>
        <v>timothy.gibbs@2hourlearning.com</v>
      </c>
      <c r="L4958" s="6" t="str">
        <f>IFERROR(__xludf.DUMMYFUNCTION("""COMPUTED_VALUE"""),"AFMS - Allendale Fairfax Middle School")</f>
        <v>AFMS - Allendale Fairfax Middle School</v>
      </c>
      <c r="M4958" s="6" t="str">
        <f>IFERROR(__xludf.DUMMYFUNCTION("""COMPUTED_VALUE"""),"")</f>
        <v/>
      </c>
      <c r="N4958" s="6" t="str">
        <f>IFERROR(__xludf.DUMMYFUNCTION("""COMPUTED_VALUE"""),"")</f>
        <v/>
      </c>
      <c r="O4958" s="87" t="str">
        <f>IFERROR(__xludf.DUMMYFUNCTION("""COMPUTED_VALUE"""),"https://drive.google.com/drive/folders/10T2cTQHqEJZqE-st6uFKPoI?usp=share_link")</f>
        <v>https://drive.google.com/drive/folders/10T2cTQHqEJZqE-st6uFKPoI?usp=share_link</v>
      </c>
      <c r="P4958" s="6" t="str">
        <f>IFERROR(__xludf.DUMMYFUNCTION("""COMPUTED_VALUE"""),"Timothy Gibbs")</f>
        <v>Timothy Gibbs</v>
      </c>
      <c r="Q4958" s="6" t="str">
        <f>IFERROR(__xludf.DUMMYFUNCTION("""COMPUTED_VALUE"""),"MS")</f>
        <v>MS</v>
      </c>
      <c r="R4958" s="6">
        <f>IFERROR(__xludf.DUMMYFUNCTION("""COMPUTED_VALUE"""),0.0)</f>
        <v>0</v>
      </c>
      <c r="S4958" s="6" t="str">
        <f>IFERROR(__xludf.DUMMYFUNCTION("""COMPUTED_VALUE"""),"Kimberly Ball")</f>
        <v>Kimberly Ball</v>
      </c>
      <c r="T4958" s="6" t="str">
        <f>IFERROR(__xludf.DUMMYFUNCTION("""COMPUTED_VALUE"""),"kimberly.ball@studient.com")</f>
        <v>kimberly.ball@studient.com</v>
      </c>
      <c r="U4958" s="6" t="str">
        <f>IFERROR(__xludf.DUMMYFUNCTION("""COMPUTED_VALUE"""),"7")</f>
        <v>7</v>
      </c>
      <c r="V4958" s="6" t="str">
        <f>IFERROR(__xludf.DUMMYFUNCTION("""COMPUTED_VALUE"""),"")</f>
        <v/>
      </c>
      <c r="W4958" s="6" t="str">
        <f>IFERROR(__xludf.DUMMYFUNCTION("""COMPUTED_VALUE"""),"[]")</f>
        <v>[]</v>
      </c>
      <c r="X4958" s="6" t="str">
        <f>IFERROR(__xludf.DUMMYFUNCTION("""COMPUTED_VALUE"""),"Enrolled")</f>
        <v>Enrolled</v>
      </c>
    </row>
    <row r="4959">
      <c r="A4959" s="6" t="str">
        <f>IFERROR(__xludf.DUMMYFUNCTION("""COMPUTED_VALUE"""),"085-12002")</f>
        <v>085-12002</v>
      </c>
      <c r="B4959" s="6" t="str">
        <f>IFERROR(__xludf.DUMMYFUNCTION("""COMPUTED_VALUE"""),"85")</f>
        <v>85</v>
      </c>
      <c r="C4959" s="6" t="str">
        <f>IFERROR(__xludf.DUMMYFUNCTION("""COMPUTED_VALUE"""),"12002")</f>
        <v>12002</v>
      </c>
      <c r="D4959" s="6" t="str">
        <f>IFERROR(__xludf.DUMMYFUNCTION("""COMPUTED_VALUE"""),"Brayden")</f>
        <v>Brayden</v>
      </c>
      <c r="E4959" s="6" t="str">
        <f>IFERROR(__xludf.DUMMYFUNCTION("""COMPUTED_VALUE"""),"")</f>
        <v/>
      </c>
      <c r="F4959" s="6" t="str">
        <f>IFERROR(__xludf.DUMMYFUNCTION("""COMPUTED_VALUE"""),"Greaves")</f>
        <v>Greaves</v>
      </c>
      <c r="G4959" s="6" t="str">
        <f>IFERROR(__xludf.DUMMYFUNCTION("""COMPUTED_VALUE"""),"01/23/2013")</f>
        <v>01/23/2013</v>
      </c>
      <c r="H4959" s="6" t="str">
        <f>IFERROR(__xludf.DUMMYFUNCTION("""COMPUTED_VALUE"""),"male")</f>
        <v>male</v>
      </c>
      <c r="I4959" s="6" t="str">
        <f>IFERROR(__xludf.DUMMYFUNCTION("""COMPUTED_VALUE"""),"Middle School")</f>
        <v>Middle School</v>
      </c>
      <c r="J4959" s="6" t="str">
        <f>IFERROR(__xludf.DUMMYFUNCTION("""COMPUTED_VALUE"""),"7")</f>
        <v>7</v>
      </c>
      <c r="K4959" s="6" t="str">
        <f>IFERROR(__xludf.DUMMYFUNCTION("""COMPUTED_VALUE"""),"brayden.greaves@2hourlearning.com")</f>
        <v>brayden.greaves@2hourlearning.com</v>
      </c>
      <c r="L4959" s="6" t="str">
        <f>IFERROR(__xludf.DUMMYFUNCTION("""COMPUTED_VALUE"""),"AFMS - Allendale Fairfax Middle School")</f>
        <v>AFMS - Allendale Fairfax Middle School</v>
      </c>
      <c r="M4959" s="6" t="str">
        <f>IFERROR(__xludf.DUMMYFUNCTION("""COMPUTED_VALUE"""),"")</f>
        <v/>
      </c>
      <c r="N4959" s="6" t="str">
        <f>IFERROR(__xludf.DUMMYFUNCTION("""COMPUTED_VALUE"""),"")</f>
        <v/>
      </c>
      <c r="O4959" s="87" t="str">
        <f>IFERROR(__xludf.DUMMYFUNCTION("""COMPUTED_VALUE"""),"https://drive.google.com/drive/folders/10T2cTQHqEJZqE-st6uFKPoI?usp=share_link")</f>
        <v>https://drive.google.com/drive/folders/10T2cTQHqEJZqE-st6uFKPoI?usp=share_link</v>
      </c>
      <c r="P4959" s="6" t="str">
        <f>IFERROR(__xludf.DUMMYFUNCTION("""COMPUTED_VALUE"""),"Brayden Greaves")</f>
        <v>Brayden Greaves</v>
      </c>
      <c r="Q4959" s="6" t="str">
        <f>IFERROR(__xludf.DUMMYFUNCTION("""COMPUTED_VALUE"""),"MS")</f>
        <v>MS</v>
      </c>
      <c r="R4959" s="6">
        <f>IFERROR(__xludf.DUMMYFUNCTION("""COMPUTED_VALUE"""),0.0)</f>
        <v>0</v>
      </c>
      <c r="S4959" s="6" t="str">
        <f>IFERROR(__xludf.DUMMYFUNCTION("""COMPUTED_VALUE"""),"Kimberly Ball")</f>
        <v>Kimberly Ball</v>
      </c>
      <c r="T4959" s="6" t="str">
        <f>IFERROR(__xludf.DUMMYFUNCTION("""COMPUTED_VALUE"""),"kimberly.ball@studient.com")</f>
        <v>kimberly.ball@studient.com</v>
      </c>
      <c r="U4959" s="6" t="str">
        <f>IFERROR(__xludf.DUMMYFUNCTION("""COMPUTED_VALUE"""),"7")</f>
        <v>7</v>
      </c>
      <c r="V4959" s="6" t="str">
        <f>IFERROR(__xludf.DUMMYFUNCTION("""COMPUTED_VALUE"""),"")</f>
        <v/>
      </c>
      <c r="W4959" s="6" t="str">
        <f>IFERROR(__xludf.DUMMYFUNCTION("""COMPUTED_VALUE"""),"[]")</f>
        <v>[]</v>
      </c>
      <c r="X4959" s="6" t="str">
        <f>IFERROR(__xludf.DUMMYFUNCTION("""COMPUTED_VALUE"""),"Enrolled")</f>
        <v>Enrolled</v>
      </c>
    </row>
    <row r="4960">
      <c r="A4960" s="6" t="str">
        <f>IFERROR(__xludf.DUMMYFUNCTION("""COMPUTED_VALUE"""),"085-12003")</f>
        <v>085-12003</v>
      </c>
      <c r="B4960" s="6" t="str">
        <f>IFERROR(__xludf.DUMMYFUNCTION("""COMPUTED_VALUE"""),"85")</f>
        <v>85</v>
      </c>
      <c r="C4960" s="6" t="str">
        <f>IFERROR(__xludf.DUMMYFUNCTION("""COMPUTED_VALUE"""),"12003")</f>
        <v>12003</v>
      </c>
      <c r="D4960" s="6" t="str">
        <f>IFERROR(__xludf.DUMMYFUNCTION("""COMPUTED_VALUE"""),"Kevohntae")</f>
        <v>Kevohntae</v>
      </c>
      <c r="E4960" s="6" t="str">
        <f>IFERROR(__xludf.DUMMYFUNCTION("""COMPUTED_VALUE"""),"")</f>
        <v/>
      </c>
      <c r="F4960" s="6" t="str">
        <f>IFERROR(__xludf.DUMMYFUNCTION("""COMPUTED_VALUE"""),"Hadley")</f>
        <v>Hadley</v>
      </c>
      <c r="G4960" s="6" t="str">
        <f>IFERROR(__xludf.DUMMYFUNCTION("""COMPUTED_VALUE"""),"09/16/2011")</f>
        <v>09/16/2011</v>
      </c>
      <c r="H4960" s="6" t="str">
        <f>IFERROR(__xludf.DUMMYFUNCTION("""COMPUTED_VALUE"""),"male")</f>
        <v>male</v>
      </c>
      <c r="I4960" s="6" t="str">
        <f>IFERROR(__xludf.DUMMYFUNCTION("""COMPUTED_VALUE"""),"Middle School")</f>
        <v>Middle School</v>
      </c>
      <c r="J4960" s="6" t="str">
        <f>IFERROR(__xludf.DUMMYFUNCTION("""COMPUTED_VALUE"""),"7")</f>
        <v>7</v>
      </c>
      <c r="K4960" s="6" t="str">
        <f>IFERROR(__xludf.DUMMYFUNCTION("""COMPUTED_VALUE"""),"kevohntae.hadley@2hourlearning.com")</f>
        <v>kevohntae.hadley@2hourlearning.com</v>
      </c>
      <c r="L4960" s="6" t="str">
        <f>IFERROR(__xludf.DUMMYFUNCTION("""COMPUTED_VALUE"""),"AFMS - Allendale Fairfax Middle School")</f>
        <v>AFMS - Allendale Fairfax Middle School</v>
      </c>
      <c r="M4960" s="6" t="str">
        <f>IFERROR(__xludf.DUMMYFUNCTION("""COMPUTED_VALUE"""),"")</f>
        <v/>
      </c>
      <c r="N4960" s="6" t="str">
        <f>IFERROR(__xludf.DUMMYFUNCTION("""COMPUTED_VALUE"""),"")</f>
        <v/>
      </c>
      <c r="O4960" s="87" t="str">
        <f>IFERROR(__xludf.DUMMYFUNCTION("""COMPUTED_VALUE"""),"https://drive.google.com/drive/folders/10T2cTQHqEJZqE-st6uFKPoI?usp=share_link")</f>
        <v>https://drive.google.com/drive/folders/10T2cTQHqEJZqE-st6uFKPoI?usp=share_link</v>
      </c>
      <c r="P4960" s="6" t="str">
        <f>IFERROR(__xludf.DUMMYFUNCTION("""COMPUTED_VALUE"""),"Kevohntae Hadley")</f>
        <v>Kevohntae Hadley</v>
      </c>
      <c r="Q4960" s="6" t="str">
        <f>IFERROR(__xludf.DUMMYFUNCTION("""COMPUTED_VALUE"""),"MS")</f>
        <v>MS</v>
      </c>
      <c r="R4960" s="6">
        <f>IFERROR(__xludf.DUMMYFUNCTION("""COMPUTED_VALUE"""),0.0)</f>
        <v>0</v>
      </c>
      <c r="S4960" s="6" t="str">
        <f>IFERROR(__xludf.DUMMYFUNCTION("""COMPUTED_VALUE"""),"Kimberly Ball")</f>
        <v>Kimberly Ball</v>
      </c>
      <c r="T4960" s="6" t="str">
        <f>IFERROR(__xludf.DUMMYFUNCTION("""COMPUTED_VALUE"""),"kimberly.ball@studient.com")</f>
        <v>kimberly.ball@studient.com</v>
      </c>
      <c r="U4960" s="6" t="str">
        <f>IFERROR(__xludf.DUMMYFUNCTION("""COMPUTED_VALUE"""),"7")</f>
        <v>7</v>
      </c>
      <c r="V4960" s="6" t="str">
        <f>IFERROR(__xludf.DUMMYFUNCTION("""COMPUTED_VALUE"""),"")</f>
        <v/>
      </c>
      <c r="W4960" s="6" t="str">
        <f>IFERROR(__xludf.DUMMYFUNCTION("""COMPUTED_VALUE"""),"[]")</f>
        <v>[]</v>
      </c>
      <c r="X4960" s="6" t="str">
        <f>IFERROR(__xludf.DUMMYFUNCTION("""COMPUTED_VALUE"""),"Enrolled")</f>
        <v>Enrolled</v>
      </c>
    </row>
    <row r="4961">
      <c r="A4961" s="6" t="str">
        <f>IFERROR(__xludf.DUMMYFUNCTION("""COMPUTED_VALUE"""),"085-12004")</f>
        <v>085-12004</v>
      </c>
      <c r="B4961" s="6" t="str">
        <f>IFERROR(__xludf.DUMMYFUNCTION("""COMPUTED_VALUE"""),"85")</f>
        <v>85</v>
      </c>
      <c r="C4961" s="6" t="str">
        <f>IFERROR(__xludf.DUMMYFUNCTION("""COMPUTED_VALUE"""),"12004")</f>
        <v>12004</v>
      </c>
      <c r="D4961" s="6" t="str">
        <f>IFERROR(__xludf.DUMMYFUNCTION("""COMPUTED_VALUE"""),"Kristina")</f>
        <v>Kristina</v>
      </c>
      <c r="E4961" s="6" t="str">
        <f>IFERROR(__xludf.DUMMYFUNCTION("""COMPUTED_VALUE"""),"")</f>
        <v/>
      </c>
      <c r="F4961" s="6" t="str">
        <f>IFERROR(__xludf.DUMMYFUNCTION("""COMPUTED_VALUE"""),"Harney")</f>
        <v>Harney</v>
      </c>
      <c r="G4961" s="6" t="str">
        <f>IFERROR(__xludf.DUMMYFUNCTION("""COMPUTED_VALUE"""),"04/19/2013")</f>
        <v>04/19/2013</v>
      </c>
      <c r="H4961" s="6" t="str">
        <f>IFERROR(__xludf.DUMMYFUNCTION("""COMPUTED_VALUE"""),"female")</f>
        <v>female</v>
      </c>
      <c r="I4961" s="6" t="str">
        <f>IFERROR(__xludf.DUMMYFUNCTION("""COMPUTED_VALUE"""),"Middle School")</f>
        <v>Middle School</v>
      </c>
      <c r="J4961" s="6" t="str">
        <f>IFERROR(__xludf.DUMMYFUNCTION("""COMPUTED_VALUE"""),"7")</f>
        <v>7</v>
      </c>
      <c r="K4961" s="6" t="str">
        <f>IFERROR(__xludf.DUMMYFUNCTION("""COMPUTED_VALUE"""),"kristina.harney@2hourlearning.com")</f>
        <v>kristina.harney@2hourlearning.com</v>
      </c>
      <c r="L4961" s="6" t="str">
        <f>IFERROR(__xludf.DUMMYFUNCTION("""COMPUTED_VALUE"""),"AFMS - Allendale Fairfax Middle School")</f>
        <v>AFMS - Allendale Fairfax Middle School</v>
      </c>
      <c r="M4961" s="6" t="str">
        <f>IFERROR(__xludf.DUMMYFUNCTION("""COMPUTED_VALUE"""),"")</f>
        <v/>
      </c>
      <c r="N4961" s="6" t="str">
        <f>IFERROR(__xludf.DUMMYFUNCTION("""COMPUTED_VALUE"""),"")</f>
        <v/>
      </c>
      <c r="O4961" s="87" t="str">
        <f>IFERROR(__xludf.DUMMYFUNCTION("""COMPUTED_VALUE"""),"https://drive.google.com/drive/folders/10T2cTQHqEJZqE-st6uFKPoI?usp=share_link")</f>
        <v>https://drive.google.com/drive/folders/10T2cTQHqEJZqE-st6uFKPoI?usp=share_link</v>
      </c>
      <c r="P4961" s="6" t="str">
        <f>IFERROR(__xludf.DUMMYFUNCTION("""COMPUTED_VALUE"""),"Kristina Harney")</f>
        <v>Kristina Harney</v>
      </c>
      <c r="Q4961" s="6" t="str">
        <f>IFERROR(__xludf.DUMMYFUNCTION("""COMPUTED_VALUE"""),"MS")</f>
        <v>MS</v>
      </c>
      <c r="R4961" s="6">
        <f>IFERROR(__xludf.DUMMYFUNCTION("""COMPUTED_VALUE"""),0.0)</f>
        <v>0</v>
      </c>
      <c r="S4961" s="6" t="str">
        <f>IFERROR(__xludf.DUMMYFUNCTION("""COMPUTED_VALUE"""),"Kimberly Ball")</f>
        <v>Kimberly Ball</v>
      </c>
      <c r="T4961" s="6" t="str">
        <f>IFERROR(__xludf.DUMMYFUNCTION("""COMPUTED_VALUE"""),"kimberly.ball@studient.com")</f>
        <v>kimberly.ball@studient.com</v>
      </c>
      <c r="U4961" s="6" t="str">
        <f>IFERROR(__xludf.DUMMYFUNCTION("""COMPUTED_VALUE"""),"7")</f>
        <v>7</v>
      </c>
      <c r="V4961" s="6" t="str">
        <f>IFERROR(__xludf.DUMMYFUNCTION("""COMPUTED_VALUE"""),"")</f>
        <v/>
      </c>
      <c r="W4961" s="6" t="str">
        <f>IFERROR(__xludf.DUMMYFUNCTION("""COMPUTED_VALUE"""),"[]")</f>
        <v>[]</v>
      </c>
      <c r="X4961" s="6" t="str">
        <f>IFERROR(__xludf.DUMMYFUNCTION("""COMPUTED_VALUE"""),"Enrolled")</f>
        <v>Enrolled</v>
      </c>
    </row>
    <row r="4962">
      <c r="A4962" s="6" t="str">
        <f>IFERROR(__xludf.DUMMYFUNCTION("""COMPUTED_VALUE"""),"085-12005")</f>
        <v>085-12005</v>
      </c>
      <c r="B4962" s="6" t="str">
        <f>IFERROR(__xludf.DUMMYFUNCTION("""COMPUTED_VALUE"""),"85")</f>
        <v>85</v>
      </c>
      <c r="C4962" s="6" t="str">
        <f>IFERROR(__xludf.DUMMYFUNCTION("""COMPUTED_VALUE"""),"12005")</f>
        <v>12005</v>
      </c>
      <c r="D4962" s="6" t="str">
        <f>IFERROR(__xludf.DUMMYFUNCTION("""COMPUTED_VALUE"""),"Avery")</f>
        <v>Avery</v>
      </c>
      <c r="E4962" s="6" t="str">
        <f>IFERROR(__xludf.DUMMYFUNCTION("""COMPUTED_VALUE"""),"")</f>
        <v/>
      </c>
      <c r="F4962" s="6" t="str">
        <f>IFERROR(__xludf.DUMMYFUNCTION("""COMPUTED_VALUE"""),"Holmes")</f>
        <v>Holmes</v>
      </c>
      <c r="G4962" s="6" t="str">
        <f>IFERROR(__xludf.DUMMYFUNCTION("""COMPUTED_VALUE"""),"01/16/2013")</f>
        <v>01/16/2013</v>
      </c>
      <c r="H4962" s="6" t="str">
        <f>IFERROR(__xludf.DUMMYFUNCTION("""COMPUTED_VALUE"""),"male")</f>
        <v>male</v>
      </c>
      <c r="I4962" s="6" t="str">
        <f>IFERROR(__xludf.DUMMYFUNCTION("""COMPUTED_VALUE"""),"Middle School")</f>
        <v>Middle School</v>
      </c>
      <c r="J4962" s="6" t="str">
        <f>IFERROR(__xludf.DUMMYFUNCTION("""COMPUTED_VALUE"""),"7")</f>
        <v>7</v>
      </c>
      <c r="K4962" s="6" t="str">
        <f>IFERROR(__xludf.DUMMYFUNCTION("""COMPUTED_VALUE"""),"avery.holmes@2hourlearning.com")</f>
        <v>avery.holmes@2hourlearning.com</v>
      </c>
      <c r="L4962" s="6" t="str">
        <f>IFERROR(__xludf.DUMMYFUNCTION("""COMPUTED_VALUE"""),"AFMS - Allendale Fairfax Middle School")</f>
        <v>AFMS - Allendale Fairfax Middle School</v>
      </c>
      <c r="M4962" s="6" t="str">
        <f>IFERROR(__xludf.DUMMYFUNCTION("""COMPUTED_VALUE"""),"")</f>
        <v/>
      </c>
      <c r="N4962" s="6" t="str">
        <f>IFERROR(__xludf.DUMMYFUNCTION("""COMPUTED_VALUE"""),"")</f>
        <v/>
      </c>
      <c r="O4962" s="87" t="str">
        <f>IFERROR(__xludf.DUMMYFUNCTION("""COMPUTED_VALUE"""),"https://drive.google.com/drive/folders/10T2cTQHqEJZqE-st6uFKPoI?usp=share_link")</f>
        <v>https://drive.google.com/drive/folders/10T2cTQHqEJZqE-st6uFKPoI?usp=share_link</v>
      </c>
      <c r="P4962" s="6" t="str">
        <f>IFERROR(__xludf.DUMMYFUNCTION("""COMPUTED_VALUE"""),"Avery Holmes")</f>
        <v>Avery Holmes</v>
      </c>
      <c r="Q4962" s="6" t="str">
        <f>IFERROR(__xludf.DUMMYFUNCTION("""COMPUTED_VALUE"""),"MS")</f>
        <v>MS</v>
      </c>
      <c r="R4962" s="6">
        <f>IFERROR(__xludf.DUMMYFUNCTION("""COMPUTED_VALUE"""),0.0)</f>
        <v>0</v>
      </c>
      <c r="S4962" s="6" t="str">
        <f>IFERROR(__xludf.DUMMYFUNCTION("""COMPUTED_VALUE"""),"Kimberly Ball")</f>
        <v>Kimberly Ball</v>
      </c>
      <c r="T4962" s="6" t="str">
        <f>IFERROR(__xludf.DUMMYFUNCTION("""COMPUTED_VALUE"""),"kimberly.ball@studient.com")</f>
        <v>kimberly.ball@studient.com</v>
      </c>
      <c r="U4962" s="6" t="str">
        <f>IFERROR(__xludf.DUMMYFUNCTION("""COMPUTED_VALUE"""),"7")</f>
        <v>7</v>
      </c>
      <c r="V4962" s="6" t="str">
        <f>IFERROR(__xludf.DUMMYFUNCTION("""COMPUTED_VALUE"""),"")</f>
        <v/>
      </c>
      <c r="W4962" s="6" t="str">
        <f>IFERROR(__xludf.DUMMYFUNCTION("""COMPUTED_VALUE"""),"[]")</f>
        <v>[]</v>
      </c>
      <c r="X4962" s="6" t="str">
        <f>IFERROR(__xludf.DUMMYFUNCTION("""COMPUTED_VALUE"""),"Enrolled")</f>
        <v>Enrolled</v>
      </c>
    </row>
    <row r="4963">
      <c r="A4963" s="6" t="str">
        <f>IFERROR(__xludf.DUMMYFUNCTION("""COMPUTED_VALUE"""),"085-12006")</f>
        <v>085-12006</v>
      </c>
      <c r="B4963" s="6" t="str">
        <f>IFERROR(__xludf.DUMMYFUNCTION("""COMPUTED_VALUE"""),"85")</f>
        <v>85</v>
      </c>
      <c r="C4963" s="6" t="str">
        <f>IFERROR(__xludf.DUMMYFUNCTION("""COMPUTED_VALUE"""),"12006")</f>
        <v>12006</v>
      </c>
      <c r="D4963" s="6" t="str">
        <f>IFERROR(__xludf.DUMMYFUNCTION("""COMPUTED_VALUE"""),"Brooklyn")</f>
        <v>Brooklyn</v>
      </c>
      <c r="E4963" s="6" t="str">
        <f>IFERROR(__xludf.DUMMYFUNCTION("""COMPUTED_VALUE"""),"")</f>
        <v/>
      </c>
      <c r="F4963" s="6" t="str">
        <f>IFERROR(__xludf.DUMMYFUNCTION("""COMPUTED_VALUE"""),"Hoover")</f>
        <v>Hoover</v>
      </c>
      <c r="G4963" s="6" t="str">
        <f>IFERROR(__xludf.DUMMYFUNCTION("""COMPUTED_VALUE"""),"01/26/2012")</f>
        <v>01/26/2012</v>
      </c>
      <c r="H4963" s="6" t="str">
        <f>IFERROR(__xludf.DUMMYFUNCTION("""COMPUTED_VALUE"""),"female")</f>
        <v>female</v>
      </c>
      <c r="I4963" s="6" t="str">
        <f>IFERROR(__xludf.DUMMYFUNCTION("""COMPUTED_VALUE"""),"Middle School")</f>
        <v>Middle School</v>
      </c>
      <c r="J4963" s="6" t="str">
        <f>IFERROR(__xludf.DUMMYFUNCTION("""COMPUTED_VALUE"""),"7")</f>
        <v>7</v>
      </c>
      <c r="K4963" s="6" t="str">
        <f>IFERROR(__xludf.DUMMYFUNCTION("""COMPUTED_VALUE"""),"brooklyn.hoover@2hourlearning.com")</f>
        <v>brooklyn.hoover@2hourlearning.com</v>
      </c>
      <c r="L4963" s="6" t="str">
        <f>IFERROR(__xludf.DUMMYFUNCTION("""COMPUTED_VALUE"""),"AFMS - Allendale Fairfax Middle School")</f>
        <v>AFMS - Allendale Fairfax Middle School</v>
      </c>
      <c r="M4963" s="6" t="str">
        <f>IFERROR(__xludf.DUMMYFUNCTION("""COMPUTED_VALUE"""),"")</f>
        <v/>
      </c>
      <c r="N4963" s="6" t="str">
        <f>IFERROR(__xludf.DUMMYFUNCTION("""COMPUTED_VALUE"""),"")</f>
        <v/>
      </c>
      <c r="O4963" s="87" t="str">
        <f>IFERROR(__xludf.DUMMYFUNCTION("""COMPUTED_VALUE"""),"https://drive.google.com/drive/folders/10T2cTQHqEJZqE-st6uFKPoI?usp=share_link")</f>
        <v>https://drive.google.com/drive/folders/10T2cTQHqEJZqE-st6uFKPoI?usp=share_link</v>
      </c>
      <c r="P4963" s="6" t="str">
        <f>IFERROR(__xludf.DUMMYFUNCTION("""COMPUTED_VALUE"""),"Brooklyn Hoover")</f>
        <v>Brooklyn Hoover</v>
      </c>
      <c r="Q4963" s="6" t="str">
        <f>IFERROR(__xludf.DUMMYFUNCTION("""COMPUTED_VALUE"""),"MS")</f>
        <v>MS</v>
      </c>
      <c r="R4963" s="6">
        <f>IFERROR(__xludf.DUMMYFUNCTION("""COMPUTED_VALUE"""),0.0)</f>
        <v>0</v>
      </c>
      <c r="S4963" s="6" t="str">
        <f>IFERROR(__xludf.DUMMYFUNCTION("""COMPUTED_VALUE"""),"Kimberly Ball")</f>
        <v>Kimberly Ball</v>
      </c>
      <c r="T4963" s="6" t="str">
        <f>IFERROR(__xludf.DUMMYFUNCTION("""COMPUTED_VALUE"""),"kimberly.ball@studient.com")</f>
        <v>kimberly.ball@studient.com</v>
      </c>
      <c r="U4963" s="6" t="str">
        <f>IFERROR(__xludf.DUMMYFUNCTION("""COMPUTED_VALUE"""),"7")</f>
        <v>7</v>
      </c>
      <c r="V4963" s="6" t="str">
        <f>IFERROR(__xludf.DUMMYFUNCTION("""COMPUTED_VALUE"""),"")</f>
        <v/>
      </c>
      <c r="W4963" s="6" t="str">
        <f>IFERROR(__xludf.DUMMYFUNCTION("""COMPUTED_VALUE"""),"[]")</f>
        <v>[]</v>
      </c>
      <c r="X4963" s="6" t="str">
        <f>IFERROR(__xludf.DUMMYFUNCTION("""COMPUTED_VALUE"""),"Enrolled")</f>
        <v>Enrolled</v>
      </c>
    </row>
    <row r="4964">
      <c r="A4964" s="6" t="str">
        <f>IFERROR(__xludf.DUMMYFUNCTION("""COMPUTED_VALUE"""),"085-12007")</f>
        <v>085-12007</v>
      </c>
      <c r="B4964" s="6" t="str">
        <f>IFERROR(__xludf.DUMMYFUNCTION("""COMPUTED_VALUE"""),"85")</f>
        <v>85</v>
      </c>
      <c r="C4964" s="6" t="str">
        <f>IFERROR(__xludf.DUMMYFUNCTION("""COMPUTED_VALUE"""),"12007")</f>
        <v>12007</v>
      </c>
      <c r="D4964" s="6" t="str">
        <f>IFERROR(__xludf.DUMMYFUNCTION("""COMPUTED_VALUE"""),"Ivoryanna")</f>
        <v>Ivoryanna</v>
      </c>
      <c r="E4964" s="6" t="str">
        <f>IFERROR(__xludf.DUMMYFUNCTION("""COMPUTED_VALUE"""),"")</f>
        <v/>
      </c>
      <c r="F4964" s="6" t="str">
        <f>IFERROR(__xludf.DUMMYFUNCTION("""COMPUTED_VALUE"""),"Hoover")</f>
        <v>Hoover</v>
      </c>
      <c r="G4964" s="6" t="str">
        <f>IFERROR(__xludf.DUMMYFUNCTION("""COMPUTED_VALUE"""),"04/24/2013")</f>
        <v>04/24/2013</v>
      </c>
      <c r="H4964" s="6" t="str">
        <f>IFERROR(__xludf.DUMMYFUNCTION("""COMPUTED_VALUE"""),"female")</f>
        <v>female</v>
      </c>
      <c r="I4964" s="6" t="str">
        <f>IFERROR(__xludf.DUMMYFUNCTION("""COMPUTED_VALUE"""),"Middle School")</f>
        <v>Middle School</v>
      </c>
      <c r="J4964" s="6" t="str">
        <f>IFERROR(__xludf.DUMMYFUNCTION("""COMPUTED_VALUE"""),"7")</f>
        <v>7</v>
      </c>
      <c r="K4964" s="6" t="str">
        <f>IFERROR(__xludf.DUMMYFUNCTION("""COMPUTED_VALUE"""),"ivoryanna.hoover@2hourlearning.com")</f>
        <v>ivoryanna.hoover@2hourlearning.com</v>
      </c>
      <c r="L4964" s="6" t="str">
        <f>IFERROR(__xludf.DUMMYFUNCTION("""COMPUTED_VALUE"""),"AFMS - Allendale Fairfax Middle School")</f>
        <v>AFMS - Allendale Fairfax Middle School</v>
      </c>
      <c r="M4964" s="6" t="str">
        <f>IFERROR(__xludf.DUMMYFUNCTION("""COMPUTED_VALUE"""),"")</f>
        <v/>
      </c>
      <c r="N4964" s="6" t="str">
        <f>IFERROR(__xludf.DUMMYFUNCTION("""COMPUTED_VALUE"""),"")</f>
        <v/>
      </c>
      <c r="O4964" s="87" t="str">
        <f>IFERROR(__xludf.DUMMYFUNCTION("""COMPUTED_VALUE"""),"https://drive.google.com/drive/folders/10T2cTQHqEJZqE-st6uFKPoI?usp=share_link")</f>
        <v>https://drive.google.com/drive/folders/10T2cTQHqEJZqE-st6uFKPoI?usp=share_link</v>
      </c>
      <c r="P4964" s="6" t="str">
        <f>IFERROR(__xludf.DUMMYFUNCTION("""COMPUTED_VALUE"""),"Ivoryanna Hoover")</f>
        <v>Ivoryanna Hoover</v>
      </c>
      <c r="Q4964" s="6" t="str">
        <f>IFERROR(__xludf.DUMMYFUNCTION("""COMPUTED_VALUE"""),"MS")</f>
        <v>MS</v>
      </c>
      <c r="R4964" s="6">
        <f>IFERROR(__xludf.DUMMYFUNCTION("""COMPUTED_VALUE"""),0.0)</f>
        <v>0</v>
      </c>
      <c r="S4964" s="6" t="str">
        <f>IFERROR(__xludf.DUMMYFUNCTION("""COMPUTED_VALUE"""),"Kimberly Ball")</f>
        <v>Kimberly Ball</v>
      </c>
      <c r="T4964" s="6" t="str">
        <f>IFERROR(__xludf.DUMMYFUNCTION("""COMPUTED_VALUE"""),"kimberly.ball@studient.com")</f>
        <v>kimberly.ball@studient.com</v>
      </c>
      <c r="U4964" s="6" t="str">
        <f>IFERROR(__xludf.DUMMYFUNCTION("""COMPUTED_VALUE"""),"7")</f>
        <v>7</v>
      </c>
      <c r="V4964" s="6" t="str">
        <f>IFERROR(__xludf.DUMMYFUNCTION("""COMPUTED_VALUE"""),"")</f>
        <v/>
      </c>
      <c r="W4964" s="6" t="str">
        <f>IFERROR(__xludf.DUMMYFUNCTION("""COMPUTED_VALUE"""),"[]")</f>
        <v>[]</v>
      </c>
      <c r="X4964" s="6" t="str">
        <f>IFERROR(__xludf.DUMMYFUNCTION("""COMPUTED_VALUE"""),"Enrolled")</f>
        <v>Enrolled</v>
      </c>
    </row>
    <row r="4965">
      <c r="A4965" s="6" t="str">
        <f>IFERROR(__xludf.DUMMYFUNCTION("""COMPUTED_VALUE"""),"085-12008")</f>
        <v>085-12008</v>
      </c>
      <c r="B4965" s="6" t="str">
        <f>IFERROR(__xludf.DUMMYFUNCTION("""COMPUTED_VALUE"""),"85")</f>
        <v>85</v>
      </c>
      <c r="C4965" s="6" t="str">
        <f>IFERROR(__xludf.DUMMYFUNCTION("""COMPUTED_VALUE"""),"12008")</f>
        <v>12008</v>
      </c>
      <c r="D4965" s="6" t="str">
        <f>IFERROR(__xludf.DUMMYFUNCTION("""COMPUTED_VALUE"""),"Dylan")</f>
        <v>Dylan</v>
      </c>
      <c r="E4965" s="6" t="str">
        <f>IFERROR(__xludf.DUMMYFUNCTION("""COMPUTED_VALUE"""),"")</f>
        <v/>
      </c>
      <c r="F4965" s="6" t="str">
        <f>IFERROR(__xludf.DUMMYFUNCTION("""COMPUTED_VALUE"""),"Horton")</f>
        <v>Horton</v>
      </c>
      <c r="G4965" s="6" t="str">
        <f>IFERROR(__xludf.DUMMYFUNCTION("""COMPUTED_VALUE"""),"09/25/2012")</f>
        <v>09/25/2012</v>
      </c>
      <c r="H4965" s="6" t="str">
        <f>IFERROR(__xludf.DUMMYFUNCTION("""COMPUTED_VALUE"""),"male")</f>
        <v>male</v>
      </c>
      <c r="I4965" s="6" t="str">
        <f>IFERROR(__xludf.DUMMYFUNCTION("""COMPUTED_VALUE"""),"Middle School")</f>
        <v>Middle School</v>
      </c>
      <c r="J4965" s="6" t="str">
        <f>IFERROR(__xludf.DUMMYFUNCTION("""COMPUTED_VALUE"""),"7")</f>
        <v>7</v>
      </c>
      <c r="K4965" s="6" t="str">
        <f>IFERROR(__xludf.DUMMYFUNCTION("""COMPUTED_VALUE"""),"dylan.horton@2hourlearning.com")</f>
        <v>dylan.horton@2hourlearning.com</v>
      </c>
      <c r="L4965" s="6" t="str">
        <f>IFERROR(__xludf.DUMMYFUNCTION("""COMPUTED_VALUE"""),"AFMS - Allendale Fairfax Middle School")</f>
        <v>AFMS - Allendale Fairfax Middle School</v>
      </c>
      <c r="M4965" s="6" t="str">
        <f>IFERROR(__xludf.DUMMYFUNCTION("""COMPUTED_VALUE"""),"")</f>
        <v/>
      </c>
      <c r="N4965" s="6" t="str">
        <f>IFERROR(__xludf.DUMMYFUNCTION("""COMPUTED_VALUE"""),"")</f>
        <v/>
      </c>
      <c r="O4965" s="87" t="str">
        <f>IFERROR(__xludf.DUMMYFUNCTION("""COMPUTED_VALUE"""),"https://drive.google.com/drive/folders/10T2cTQHqEJZqE-st6uFKPoI?usp=share_link")</f>
        <v>https://drive.google.com/drive/folders/10T2cTQHqEJZqE-st6uFKPoI?usp=share_link</v>
      </c>
      <c r="P4965" s="6" t="str">
        <f>IFERROR(__xludf.DUMMYFUNCTION("""COMPUTED_VALUE"""),"Dylan Horton")</f>
        <v>Dylan Horton</v>
      </c>
      <c r="Q4965" s="6" t="str">
        <f>IFERROR(__xludf.DUMMYFUNCTION("""COMPUTED_VALUE"""),"MS")</f>
        <v>MS</v>
      </c>
      <c r="R4965" s="6">
        <f>IFERROR(__xludf.DUMMYFUNCTION("""COMPUTED_VALUE"""),0.0)</f>
        <v>0</v>
      </c>
      <c r="S4965" s="6" t="str">
        <f>IFERROR(__xludf.DUMMYFUNCTION("""COMPUTED_VALUE"""),"Kimberly Ball")</f>
        <v>Kimberly Ball</v>
      </c>
      <c r="T4965" s="6" t="str">
        <f>IFERROR(__xludf.DUMMYFUNCTION("""COMPUTED_VALUE"""),"kimberly.ball@studient.com")</f>
        <v>kimberly.ball@studient.com</v>
      </c>
      <c r="U4965" s="6" t="str">
        <f>IFERROR(__xludf.DUMMYFUNCTION("""COMPUTED_VALUE"""),"7")</f>
        <v>7</v>
      </c>
      <c r="V4965" s="6" t="str">
        <f>IFERROR(__xludf.DUMMYFUNCTION("""COMPUTED_VALUE"""),"")</f>
        <v/>
      </c>
      <c r="W4965" s="6" t="str">
        <f>IFERROR(__xludf.DUMMYFUNCTION("""COMPUTED_VALUE"""),"[]")</f>
        <v>[]</v>
      </c>
      <c r="X4965" s="6" t="str">
        <f>IFERROR(__xludf.DUMMYFUNCTION("""COMPUTED_VALUE"""),"Enrolled")</f>
        <v>Enrolled</v>
      </c>
    </row>
    <row r="4966">
      <c r="A4966" s="6" t="str">
        <f>IFERROR(__xludf.DUMMYFUNCTION("""COMPUTED_VALUE"""),"085-12009")</f>
        <v>085-12009</v>
      </c>
      <c r="B4966" s="6" t="str">
        <f>IFERROR(__xludf.DUMMYFUNCTION("""COMPUTED_VALUE"""),"85")</f>
        <v>85</v>
      </c>
      <c r="C4966" s="6" t="str">
        <f>IFERROR(__xludf.DUMMYFUNCTION("""COMPUTED_VALUE"""),"12009")</f>
        <v>12009</v>
      </c>
      <c r="D4966" s="6" t="str">
        <f>IFERROR(__xludf.DUMMYFUNCTION("""COMPUTED_VALUE"""),"Harmonii")</f>
        <v>Harmonii</v>
      </c>
      <c r="E4966" s="6" t="str">
        <f>IFERROR(__xludf.DUMMYFUNCTION("""COMPUTED_VALUE"""),"")</f>
        <v/>
      </c>
      <c r="F4966" s="6" t="str">
        <f>IFERROR(__xludf.DUMMYFUNCTION("""COMPUTED_VALUE"""),"Jackson")</f>
        <v>Jackson</v>
      </c>
      <c r="G4966" s="6" t="str">
        <f>IFERROR(__xludf.DUMMYFUNCTION("""COMPUTED_VALUE"""),"09/03/2012")</f>
        <v>09/03/2012</v>
      </c>
      <c r="H4966" s="6" t="str">
        <f>IFERROR(__xludf.DUMMYFUNCTION("""COMPUTED_VALUE"""),"female")</f>
        <v>female</v>
      </c>
      <c r="I4966" s="6" t="str">
        <f>IFERROR(__xludf.DUMMYFUNCTION("""COMPUTED_VALUE"""),"Middle School")</f>
        <v>Middle School</v>
      </c>
      <c r="J4966" s="6" t="str">
        <f>IFERROR(__xludf.DUMMYFUNCTION("""COMPUTED_VALUE"""),"7")</f>
        <v>7</v>
      </c>
      <c r="K4966" s="6" t="str">
        <f>IFERROR(__xludf.DUMMYFUNCTION("""COMPUTED_VALUE"""),"harmonii.jackson@2hourlearning.com")</f>
        <v>harmonii.jackson@2hourlearning.com</v>
      </c>
      <c r="L4966" s="6" t="str">
        <f>IFERROR(__xludf.DUMMYFUNCTION("""COMPUTED_VALUE"""),"AFMS - Allendale Fairfax Middle School")</f>
        <v>AFMS - Allendale Fairfax Middle School</v>
      </c>
      <c r="M4966" s="6" t="str">
        <f>IFERROR(__xludf.DUMMYFUNCTION("""COMPUTED_VALUE"""),"")</f>
        <v/>
      </c>
      <c r="N4966" s="6" t="str">
        <f>IFERROR(__xludf.DUMMYFUNCTION("""COMPUTED_VALUE"""),"")</f>
        <v/>
      </c>
      <c r="O4966" s="87" t="str">
        <f>IFERROR(__xludf.DUMMYFUNCTION("""COMPUTED_VALUE"""),"https://drive.google.com/drive/folders/10T2cTQHqEJZqE-st6uFKPoI?usp=share_link")</f>
        <v>https://drive.google.com/drive/folders/10T2cTQHqEJZqE-st6uFKPoI?usp=share_link</v>
      </c>
      <c r="P4966" s="6" t="str">
        <f>IFERROR(__xludf.DUMMYFUNCTION("""COMPUTED_VALUE"""),"Harmonii Jackson")</f>
        <v>Harmonii Jackson</v>
      </c>
      <c r="Q4966" s="6" t="str">
        <f>IFERROR(__xludf.DUMMYFUNCTION("""COMPUTED_VALUE"""),"MS")</f>
        <v>MS</v>
      </c>
      <c r="R4966" s="6">
        <f>IFERROR(__xludf.DUMMYFUNCTION("""COMPUTED_VALUE"""),0.0)</f>
        <v>0</v>
      </c>
      <c r="S4966" s="6" t="str">
        <f>IFERROR(__xludf.DUMMYFUNCTION("""COMPUTED_VALUE"""),"Kimberly Ball")</f>
        <v>Kimberly Ball</v>
      </c>
      <c r="T4966" s="6" t="str">
        <f>IFERROR(__xludf.DUMMYFUNCTION("""COMPUTED_VALUE"""),"kimberly.ball@studient.com")</f>
        <v>kimberly.ball@studient.com</v>
      </c>
      <c r="U4966" s="6" t="str">
        <f>IFERROR(__xludf.DUMMYFUNCTION("""COMPUTED_VALUE"""),"7")</f>
        <v>7</v>
      </c>
      <c r="V4966" s="6" t="str">
        <f>IFERROR(__xludf.DUMMYFUNCTION("""COMPUTED_VALUE"""),"")</f>
        <v/>
      </c>
      <c r="W4966" s="6" t="str">
        <f>IFERROR(__xludf.DUMMYFUNCTION("""COMPUTED_VALUE"""),"[]")</f>
        <v>[]</v>
      </c>
      <c r="X4966" s="6" t="str">
        <f>IFERROR(__xludf.DUMMYFUNCTION("""COMPUTED_VALUE"""),"Enrolled")</f>
        <v>Enrolled</v>
      </c>
    </row>
    <row r="4967">
      <c r="A4967" s="6" t="str">
        <f>IFERROR(__xludf.DUMMYFUNCTION("""COMPUTED_VALUE"""),"085-12010")</f>
        <v>085-12010</v>
      </c>
      <c r="B4967" s="6" t="str">
        <f>IFERROR(__xludf.DUMMYFUNCTION("""COMPUTED_VALUE"""),"85")</f>
        <v>85</v>
      </c>
      <c r="C4967" s="6" t="str">
        <f>IFERROR(__xludf.DUMMYFUNCTION("""COMPUTED_VALUE"""),"12010")</f>
        <v>12010</v>
      </c>
      <c r="D4967" s="6" t="str">
        <f>IFERROR(__xludf.DUMMYFUNCTION("""COMPUTED_VALUE"""),"Ka'Miah")</f>
        <v>Ka'Miah</v>
      </c>
      <c r="E4967" s="6" t="str">
        <f>IFERROR(__xludf.DUMMYFUNCTION("""COMPUTED_VALUE"""),"")</f>
        <v/>
      </c>
      <c r="F4967" s="6" t="str">
        <f>IFERROR(__xludf.DUMMYFUNCTION("""COMPUTED_VALUE"""),"Jackson")</f>
        <v>Jackson</v>
      </c>
      <c r="G4967" s="6" t="str">
        <f>IFERROR(__xludf.DUMMYFUNCTION("""COMPUTED_VALUE"""),"09/03/2012")</f>
        <v>09/03/2012</v>
      </c>
      <c r="H4967" s="6" t="str">
        <f>IFERROR(__xludf.DUMMYFUNCTION("""COMPUTED_VALUE"""),"female")</f>
        <v>female</v>
      </c>
      <c r="I4967" s="6" t="str">
        <f>IFERROR(__xludf.DUMMYFUNCTION("""COMPUTED_VALUE"""),"Middle School")</f>
        <v>Middle School</v>
      </c>
      <c r="J4967" s="6" t="str">
        <f>IFERROR(__xludf.DUMMYFUNCTION("""COMPUTED_VALUE"""),"7")</f>
        <v>7</v>
      </c>
      <c r="K4967" s="6" t="str">
        <f>IFERROR(__xludf.DUMMYFUNCTION("""COMPUTED_VALUE"""),"kamiah.jackson@2hourlearning.com")</f>
        <v>kamiah.jackson@2hourlearning.com</v>
      </c>
      <c r="L4967" s="6" t="str">
        <f>IFERROR(__xludf.DUMMYFUNCTION("""COMPUTED_VALUE"""),"AFMS - Allendale Fairfax Middle School")</f>
        <v>AFMS - Allendale Fairfax Middle School</v>
      </c>
      <c r="M4967" s="6" t="str">
        <f>IFERROR(__xludf.DUMMYFUNCTION("""COMPUTED_VALUE"""),"")</f>
        <v/>
      </c>
      <c r="N4967" s="6" t="str">
        <f>IFERROR(__xludf.DUMMYFUNCTION("""COMPUTED_VALUE"""),"")</f>
        <v/>
      </c>
      <c r="O4967" s="87" t="str">
        <f>IFERROR(__xludf.DUMMYFUNCTION("""COMPUTED_VALUE"""),"https://drive.google.com/drive/folders/10T2cTQHqEJZqE-st6uFKPoI?usp=share_link")</f>
        <v>https://drive.google.com/drive/folders/10T2cTQHqEJZqE-st6uFKPoI?usp=share_link</v>
      </c>
      <c r="P4967" s="6" t="str">
        <f>IFERROR(__xludf.DUMMYFUNCTION("""COMPUTED_VALUE"""),"Ka'Miah Jackson")</f>
        <v>Ka'Miah Jackson</v>
      </c>
      <c r="Q4967" s="6" t="str">
        <f>IFERROR(__xludf.DUMMYFUNCTION("""COMPUTED_VALUE"""),"MS")</f>
        <v>MS</v>
      </c>
      <c r="R4967" s="6">
        <f>IFERROR(__xludf.DUMMYFUNCTION("""COMPUTED_VALUE"""),0.0)</f>
        <v>0</v>
      </c>
      <c r="S4967" s="6" t="str">
        <f>IFERROR(__xludf.DUMMYFUNCTION("""COMPUTED_VALUE"""),"Kimberly Ball")</f>
        <v>Kimberly Ball</v>
      </c>
      <c r="T4967" s="6" t="str">
        <f>IFERROR(__xludf.DUMMYFUNCTION("""COMPUTED_VALUE"""),"kimberly.ball@studient.com")</f>
        <v>kimberly.ball@studient.com</v>
      </c>
      <c r="U4967" s="6" t="str">
        <f>IFERROR(__xludf.DUMMYFUNCTION("""COMPUTED_VALUE"""),"7")</f>
        <v>7</v>
      </c>
      <c r="V4967" s="6" t="str">
        <f>IFERROR(__xludf.DUMMYFUNCTION("""COMPUTED_VALUE"""),"")</f>
        <v/>
      </c>
      <c r="W4967" s="6" t="str">
        <f>IFERROR(__xludf.DUMMYFUNCTION("""COMPUTED_VALUE"""),"[]")</f>
        <v>[]</v>
      </c>
      <c r="X4967" s="6" t="str">
        <f>IFERROR(__xludf.DUMMYFUNCTION("""COMPUTED_VALUE"""),"Enrolled")</f>
        <v>Enrolled</v>
      </c>
    </row>
    <row r="4968">
      <c r="A4968" s="6" t="str">
        <f>IFERROR(__xludf.DUMMYFUNCTION("""COMPUTED_VALUE"""),"085-12011")</f>
        <v>085-12011</v>
      </c>
      <c r="B4968" s="6" t="str">
        <f>IFERROR(__xludf.DUMMYFUNCTION("""COMPUTED_VALUE"""),"85")</f>
        <v>85</v>
      </c>
      <c r="C4968" s="6" t="str">
        <f>IFERROR(__xludf.DUMMYFUNCTION("""COMPUTED_VALUE"""),"12011")</f>
        <v>12011</v>
      </c>
      <c r="D4968" s="6" t="str">
        <f>IFERROR(__xludf.DUMMYFUNCTION("""COMPUTED_VALUE"""),"Izaiah")</f>
        <v>Izaiah</v>
      </c>
      <c r="E4968" s="6" t="str">
        <f>IFERROR(__xludf.DUMMYFUNCTION("""COMPUTED_VALUE"""),"")</f>
        <v/>
      </c>
      <c r="F4968" s="6" t="str">
        <f>IFERROR(__xludf.DUMMYFUNCTION("""COMPUTED_VALUE"""),"Johnson")</f>
        <v>Johnson</v>
      </c>
      <c r="G4968" s="6" t="str">
        <f>IFERROR(__xludf.DUMMYFUNCTION("""COMPUTED_VALUE"""),"05/26/2013")</f>
        <v>05/26/2013</v>
      </c>
      <c r="H4968" s="6" t="str">
        <f>IFERROR(__xludf.DUMMYFUNCTION("""COMPUTED_VALUE"""),"male")</f>
        <v>male</v>
      </c>
      <c r="I4968" s="6" t="str">
        <f>IFERROR(__xludf.DUMMYFUNCTION("""COMPUTED_VALUE"""),"Middle School")</f>
        <v>Middle School</v>
      </c>
      <c r="J4968" s="6" t="str">
        <f>IFERROR(__xludf.DUMMYFUNCTION("""COMPUTED_VALUE"""),"7")</f>
        <v>7</v>
      </c>
      <c r="K4968" s="6" t="str">
        <f>IFERROR(__xludf.DUMMYFUNCTION("""COMPUTED_VALUE"""),"izaiah.johnson@2hourlearning.com")</f>
        <v>izaiah.johnson@2hourlearning.com</v>
      </c>
      <c r="L4968" s="6" t="str">
        <f>IFERROR(__xludf.DUMMYFUNCTION("""COMPUTED_VALUE"""),"AFMS - Allendale Fairfax Middle School")</f>
        <v>AFMS - Allendale Fairfax Middle School</v>
      </c>
      <c r="M4968" s="6" t="str">
        <f>IFERROR(__xludf.DUMMYFUNCTION("""COMPUTED_VALUE"""),"")</f>
        <v/>
      </c>
      <c r="N4968" s="6" t="str">
        <f>IFERROR(__xludf.DUMMYFUNCTION("""COMPUTED_VALUE"""),"")</f>
        <v/>
      </c>
      <c r="O4968" s="87" t="str">
        <f>IFERROR(__xludf.DUMMYFUNCTION("""COMPUTED_VALUE"""),"https://drive.google.com/drive/folders/10T2cTQHqEJZqE-st6uFKPoI?usp=share_link")</f>
        <v>https://drive.google.com/drive/folders/10T2cTQHqEJZqE-st6uFKPoI?usp=share_link</v>
      </c>
      <c r="P4968" s="6" t="str">
        <f>IFERROR(__xludf.DUMMYFUNCTION("""COMPUTED_VALUE"""),"Izaiah Johnson")</f>
        <v>Izaiah Johnson</v>
      </c>
      <c r="Q4968" s="6" t="str">
        <f>IFERROR(__xludf.DUMMYFUNCTION("""COMPUTED_VALUE"""),"MS")</f>
        <v>MS</v>
      </c>
      <c r="R4968" s="6">
        <f>IFERROR(__xludf.DUMMYFUNCTION("""COMPUTED_VALUE"""),0.0)</f>
        <v>0</v>
      </c>
      <c r="S4968" s="6" t="str">
        <f>IFERROR(__xludf.DUMMYFUNCTION("""COMPUTED_VALUE"""),"Kimberly Ball")</f>
        <v>Kimberly Ball</v>
      </c>
      <c r="T4968" s="6" t="str">
        <f>IFERROR(__xludf.DUMMYFUNCTION("""COMPUTED_VALUE"""),"kimberly.ball@studient.com")</f>
        <v>kimberly.ball@studient.com</v>
      </c>
      <c r="U4968" s="6" t="str">
        <f>IFERROR(__xludf.DUMMYFUNCTION("""COMPUTED_VALUE"""),"7")</f>
        <v>7</v>
      </c>
      <c r="V4968" s="6" t="str">
        <f>IFERROR(__xludf.DUMMYFUNCTION("""COMPUTED_VALUE"""),"")</f>
        <v/>
      </c>
      <c r="W4968" s="6" t="str">
        <f>IFERROR(__xludf.DUMMYFUNCTION("""COMPUTED_VALUE"""),"[]")</f>
        <v>[]</v>
      </c>
      <c r="X4968" s="6" t="str">
        <f>IFERROR(__xludf.DUMMYFUNCTION("""COMPUTED_VALUE"""),"Enrolled")</f>
        <v>Enrolled</v>
      </c>
    </row>
    <row r="4969">
      <c r="A4969" s="6" t="str">
        <f>IFERROR(__xludf.DUMMYFUNCTION("""COMPUTED_VALUE"""),"085-12012")</f>
        <v>085-12012</v>
      </c>
      <c r="B4969" s="6" t="str">
        <f>IFERROR(__xludf.DUMMYFUNCTION("""COMPUTED_VALUE"""),"85")</f>
        <v>85</v>
      </c>
      <c r="C4969" s="6" t="str">
        <f>IFERROR(__xludf.DUMMYFUNCTION("""COMPUTED_VALUE"""),"12012")</f>
        <v>12012</v>
      </c>
      <c r="D4969" s="6" t="str">
        <f>IFERROR(__xludf.DUMMYFUNCTION("""COMPUTED_VALUE"""),"Jaden")</f>
        <v>Jaden</v>
      </c>
      <c r="E4969" s="6" t="str">
        <f>IFERROR(__xludf.DUMMYFUNCTION("""COMPUTED_VALUE"""),"")</f>
        <v/>
      </c>
      <c r="F4969" s="6" t="str">
        <f>IFERROR(__xludf.DUMMYFUNCTION("""COMPUTED_VALUE"""),"Kirkland")</f>
        <v>Kirkland</v>
      </c>
      <c r="G4969" s="6" t="str">
        <f>IFERROR(__xludf.DUMMYFUNCTION("""COMPUTED_VALUE"""),"03/07/2013")</f>
        <v>03/07/2013</v>
      </c>
      <c r="H4969" s="6" t="str">
        <f>IFERROR(__xludf.DUMMYFUNCTION("""COMPUTED_VALUE"""),"male")</f>
        <v>male</v>
      </c>
      <c r="I4969" s="6" t="str">
        <f>IFERROR(__xludf.DUMMYFUNCTION("""COMPUTED_VALUE"""),"Middle School")</f>
        <v>Middle School</v>
      </c>
      <c r="J4969" s="6" t="str">
        <f>IFERROR(__xludf.DUMMYFUNCTION("""COMPUTED_VALUE"""),"7")</f>
        <v>7</v>
      </c>
      <c r="K4969" s="6" t="str">
        <f>IFERROR(__xludf.DUMMYFUNCTION("""COMPUTED_VALUE"""),"jaden.kirkland@2hourlearning.com")</f>
        <v>jaden.kirkland@2hourlearning.com</v>
      </c>
      <c r="L4969" s="6" t="str">
        <f>IFERROR(__xludf.DUMMYFUNCTION("""COMPUTED_VALUE"""),"AFMS - Allendale Fairfax Middle School")</f>
        <v>AFMS - Allendale Fairfax Middle School</v>
      </c>
      <c r="M4969" s="6" t="str">
        <f>IFERROR(__xludf.DUMMYFUNCTION("""COMPUTED_VALUE"""),"")</f>
        <v/>
      </c>
      <c r="N4969" s="6" t="str">
        <f>IFERROR(__xludf.DUMMYFUNCTION("""COMPUTED_VALUE"""),"")</f>
        <v/>
      </c>
      <c r="O4969" s="87" t="str">
        <f>IFERROR(__xludf.DUMMYFUNCTION("""COMPUTED_VALUE"""),"https://drive.google.com/drive/folders/10T2cTQHqEJZqE-st6uFKPoI?usp=share_link")</f>
        <v>https://drive.google.com/drive/folders/10T2cTQHqEJZqE-st6uFKPoI?usp=share_link</v>
      </c>
      <c r="P4969" s="6" t="str">
        <f>IFERROR(__xludf.DUMMYFUNCTION("""COMPUTED_VALUE"""),"Jaden Kirkland")</f>
        <v>Jaden Kirkland</v>
      </c>
      <c r="Q4969" s="6" t="str">
        <f>IFERROR(__xludf.DUMMYFUNCTION("""COMPUTED_VALUE"""),"MS")</f>
        <v>MS</v>
      </c>
      <c r="R4969" s="6">
        <f>IFERROR(__xludf.DUMMYFUNCTION("""COMPUTED_VALUE"""),0.0)</f>
        <v>0</v>
      </c>
      <c r="S4969" s="6" t="str">
        <f>IFERROR(__xludf.DUMMYFUNCTION("""COMPUTED_VALUE"""),"Kimberly Ball")</f>
        <v>Kimberly Ball</v>
      </c>
      <c r="T4969" s="6" t="str">
        <f>IFERROR(__xludf.DUMMYFUNCTION("""COMPUTED_VALUE"""),"kimberly.ball@studient.com")</f>
        <v>kimberly.ball@studient.com</v>
      </c>
      <c r="U4969" s="6" t="str">
        <f>IFERROR(__xludf.DUMMYFUNCTION("""COMPUTED_VALUE"""),"7")</f>
        <v>7</v>
      </c>
      <c r="V4969" s="6" t="str">
        <f>IFERROR(__xludf.DUMMYFUNCTION("""COMPUTED_VALUE"""),"")</f>
        <v/>
      </c>
      <c r="W4969" s="6" t="str">
        <f>IFERROR(__xludf.DUMMYFUNCTION("""COMPUTED_VALUE"""),"[]")</f>
        <v>[]</v>
      </c>
      <c r="X4969" s="6" t="str">
        <f>IFERROR(__xludf.DUMMYFUNCTION("""COMPUTED_VALUE"""),"Enrolled")</f>
        <v>Enrolled</v>
      </c>
    </row>
    <row r="4970">
      <c r="A4970" s="6" t="str">
        <f>IFERROR(__xludf.DUMMYFUNCTION("""COMPUTED_VALUE"""),"085-12013")</f>
        <v>085-12013</v>
      </c>
      <c r="B4970" s="6" t="str">
        <f>IFERROR(__xludf.DUMMYFUNCTION("""COMPUTED_VALUE"""),"85")</f>
        <v>85</v>
      </c>
      <c r="C4970" s="6" t="str">
        <f>IFERROR(__xludf.DUMMYFUNCTION("""COMPUTED_VALUE"""),"12013")</f>
        <v>12013</v>
      </c>
      <c r="D4970" s="6" t="str">
        <f>IFERROR(__xludf.DUMMYFUNCTION("""COMPUTED_VALUE"""),"Shamera")</f>
        <v>Shamera</v>
      </c>
      <c r="E4970" s="6" t="str">
        <f>IFERROR(__xludf.DUMMYFUNCTION("""COMPUTED_VALUE"""),"")</f>
        <v/>
      </c>
      <c r="F4970" s="6" t="str">
        <f>IFERROR(__xludf.DUMMYFUNCTION("""COMPUTED_VALUE"""),"Loadholt")</f>
        <v>Loadholt</v>
      </c>
      <c r="G4970" s="6" t="str">
        <f>IFERROR(__xludf.DUMMYFUNCTION("""COMPUTED_VALUE"""),"04/07/2013")</f>
        <v>04/07/2013</v>
      </c>
      <c r="H4970" s="6" t="str">
        <f>IFERROR(__xludf.DUMMYFUNCTION("""COMPUTED_VALUE"""),"female")</f>
        <v>female</v>
      </c>
      <c r="I4970" s="6" t="str">
        <f>IFERROR(__xludf.DUMMYFUNCTION("""COMPUTED_VALUE"""),"Middle School")</f>
        <v>Middle School</v>
      </c>
      <c r="J4970" s="6" t="str">
        <f>IFERROR(__xludf.DUMMYFUNCTION("""COMPUTED_VALUE"""),"7")</f>
        <v>7</v>
      </c>
      <c r="K4970" s="6" t="str">
        <f>IFERROR(__xludf.DUMMYFUNCTION("""COMPUTED_VALUE"""),"shamera.loadholt@2hourlearning.com")</f>
        <v>shamera.loadholt@2hourlearning.com</v>
      </c>
      <c r="L4970" s="6" t="str">
        <f>IFERROR(__xludf.DUMMYFUNCTION("""COMPUTED_VALUE"""),"AFMS - Allendale Fairfax Middle School")</f>
        <v>AFMS - Allendale Fairfax Middle School</v>
      </c>
      <c r="M4970" s="6" t="str">
        <f>IFERROR(__xludf.DUMMYFUNCTION("""COMPUTED_VALUE"""),"")</f>
        <v/>
      </c>
      <c r="N4970" s="6" t="str">
        <f>IFERROR(__xludf.DUMMYFUNCTION("""COMPUTED_VALUE"""),"")</f>
        <v/>
      </c>
      <c r="O4970" s="87" t="str">
        <f>IFERROR(__xludf.DUMMYFUNCTION("""COMPUTED_VALUE"""),"https://drive.google.com/drive/folders/10T2cTQHqEJZqE-st6uFKPoI?usp=share_link")</f>
        <v>https://drive.google.com/drive/folders/10T2cTQHqEJZqE-st6uFKPoI?usp=share_link</v>
      </c>
      <c r="P4970" s="6" t="str">
        <f>IFERROR(__xludf.DUMMYFUNCTION("""COMPUTED_VALUE"""),"Shamera Loadholt")</f>
        <v>Shamera Loadholt</v>
      </c>
      <c r="Q4970" s="6" t="str">
        <f>IFERROR(__xludf.DUMMYFUNCTION("""COMPUTED_VALUE"""),"MS")</f>
        <v>MS</v>
      </c>
      <c r="R4970" s="6">
        <f>IFERROR(__xludf.DUMMYFUNCTION("""COMPUTED_VALUE"""),0.0)</f>
        <v>0</v>
      </c>
      <c r="S4970" s="6" t="str">
        <f>IFERROR(__xludf.DUMMYFUNCTION("""COMPUTED_VALUE"""),"Kimberly Ball")</f>
        <v>Kimberly Ball</v>
      </c>
      <c r="T4970" s="6" t="str">
        <f>IFERROR(__xludf.DUMMYFUNCTION("""COMPUTED_VALUE"""),"kimberly.ball@studient.com")</f>
        <v>kimberly.ball@studient.com</v>
      </c>
      <c r="U4970" s="6" t="str">
        <f>IFERROR(__xludf.DUMMYFUNCTION("""COMPUTED_VALUE"""),"7")</f>
        <v>7</v>
      </c>
      <c r="V4970" s="6" t="str">
        <f>IFERROR(__xludf.DUMMYFUNCTION("""COMPUTED_VALUE"""),"")</f>
        <v/>
      </c>
      <c r="W4970" s="6" t="str">
        <f>IFERROR(__xludf.DUMMYFUNCTION("""COMPUTED_VALUE"""),"[]")</f>
        <v>[]</v>
      </c>
      <c r="X4970" s="6" t="str">
        <f>IFERROR(__xludf.DUMMYFUNCTION("""COMPUTED_VALUE"""),"Enrolled")</f>
        <v>Enrolled</v>
      </c>
    </row>
    <row r="4971">
      <c r="A4971" s="6" t="str">
        <f>IFERROR(__xludf.DUMMYFUNCTION("""COMPUTED_VALUE"""),"085-12014")</f>
        <v>085-12014</v>
      </c>
      <c r="B4971" s="6" t="str">
        <f>IFERROR(__xludf.DUMMYFUNCTION("""COMPUTED_VALUE"""),"85")</f>
        <v>85</v>
      </c>
      <c r="C4971" s="6" t="str">
        <f>IFERROR(__xludf.DUMMYFUNCTION("""COMPUTED_VALUE"""),"12014")</f>
        <v>12014</v>
      </c>
      <c r="D4971" s="6" t="str">
        <f>IFERROR(__xludf.DUMMYFUNCTION("""COMPUTED_VALUE"""),"Avion")</f>
        <v>Avion</v>
      </c>
      <c r="E4971" s="6" t="str">
        <f>IFERROR(__xludf.DUMMYFUNCTION("""COMPUTED_VALUE"""),"")</f>
        <v/>
      </c>
      <c r="F4971" s="6" t="str">
        <f>IFERROR(__xludf.DUMMYFUNCTION("""COMPUTED_VALUE"""),"Lofton")</f>
        <v>Lofton</v>
      </c>
      <c r="G4971" s="6" t="str">
        <f>IFERROR(__xludf.DUMMYFUNCTION("""COMPUTED_VALUE"""),"02/12/2013")</f>
        <v>02/12/2013</v>
      </c>
      <c r="H4971" s="6" t="str">
        <f>IFERROR(__xludf.DUMMYFUNCTION("""COMPUTED_VALUE"""),"female")</f>
        <v>female</v>
      </c>
      <c r="I4971" s="6" t="str">
        <f>IFERROR(__xludf.DUMMYFUNCTION("""COMPUTED_VALUE"""),"Middle School")</f>
        <v>Middle School</v>
      </c>
      <c r="J4971" s="6" t="str">
        <f>IFERROR(__xludf.DUMMYFUNCTION("""COMPUTED_VALUE"""),"7")</f>
        <v>7</v>
      </c>
      <c r="K4971" s="6" t="str">
        <f>IFERROR(__xludf.DUMMYFUNCTION("""COMPUTED_VALUE"""),"avion.lofton@2hourlearning.com")</f>
        <v>avion.lofton@2hourlearning.com</v>
      </c>
      <c r="L4971" s="6" t="str">
        <f>IFERROR(__xludf.DUMMYFUNCTION("""COMPUTED_VALUE"""),"AFMS - Allendale Fairfax Middle School")</f>
        <v>AFMS - Allendale Fairfax Middle School</v>
      </c>
      <c r="M4971" s="6" t="str">
        <f>IFERROR(__xludf.DUMMYFUNCTION("""COMPUTED_VALUE"""),"")</f>
        <v/>
      </c>
      <c r="N4971" s="6" t="str">
        <f>IFERROR(__xludf.DUMMYFUNCTION("""COMPUTED_VALUE"""),"")</f>
        <v/>
      </c>
      <c r="O4971" s="87" t="str">
        <f>IFERROR(__xludf.DUMMYFUNCTION("""COMPUTED_VALUE"""),"https://drive.google.com/drive/folders/10T2cTQHqEJZqE-st6uFKPoI?usp=share_link")</f>
        <v>https://drive.google.com/drive/folders/10T2cTQHqEJZqE-st6uFKPoI?usp=share_link</v>
      </c>
      <c r="P4971" s="6" t="str">
        <f>IFERROR(__xludf.DUMMYFUNCTION("""COMPUTED_VALUE"""),"Avion Lofton")</f>
        <v>Avion Lofton</v>
      </c>
      <c r="Q4971" s="6" t="str">
        <f>IFERROR(__xludf.DUMMYFUNCTION("""COMPUTED_VALUE"""),"MS")</f>
        <v>MS</v>
      </c>
      <c r="R4971" s="6">
        <f>IFERROR(__xludf.DUMMYFUNCTION("""COMPUTED_VALUE"""),0.0)</f>
        <v>0</v>
      </c>
      <c r="S4971" s="6" t="str">
        <f>IFERROR(__xludf.DUMMYFUNCTION("""COMPUTED_VALUE"""),"Kimberly Ball")</f>
        <v>Kimberly Ball</v>
      </c>
      <c r="T4971" s="6" t="str">
        <f>IFERROR(__xludf.DUMMYFUNCTION("""COMPUTED_VALUE"""),"kimberly.ball@studient.com")</f>
        <v>kimberly.ball@studient.com</v>
      </c>
      <c r="U4971" s="6" t="str">
        <f>IFERROR(__xludf.DUMMYFUNCTION("""COMPUTED_VALUE"""),"7")</f>
        <v>7</v>
      </c>
      <c r="V4971" s="6" t="str">
        <f>IFERROR(__xludf.DUMMYFUNCTION("""COMPUTED_VALUE"""),"")</f>
        <v/>
      </c>
      <c r="W4971" s="6" t="str">
        <f>IFERROR(__xludf.DUMMYFUNCTION("""COMPUTED_VALUE"""),"[]")</f>
        <v>[]</v>
      </c>
      <c r="X4971" s="6" t="str">
        <f>IFERROR(__xludf.DUMMYFUNCTION("""COMPUTED_VALUE"""),"Enrolled")</f>
        <v>Enrolled</v>
      </c>
    </row>
    <row r="4972">
      <c r="A4972" s="6" t="str">
        <f>IFERROR(__xludf.DUMMYFUNCTION("""COMPUTED_VALUE"""),"085-12015")</f>
        <v>085-12015</v>
      </c>
      <c r="B4972" s="6" t="str">
        <f>IFERROR(__xludf.DUMMYFUNCTION("""COMPUTED_VALUE"""),"85")</f>
        <v>85</v>
      </c>
      <c r="C4972" s="6" t="str">
        <f>IFERROR(__xludf.DUMMYFUNCTION("""COMPUTED_VALUE"""),"12015")</f>
        <v>12015</v>
      </c>
      <c r="D4972" s="6" t="str">
        <f>IFERROR(__xludf.DUMMYFUNCTION("""COMPUTED_VALUE"""),"Kaiden")</f>
        <v>Kaiden</v>
      </c>
      <c r="E4972" s="6" t="str">
        <f>IFERROR(__xludf.DUMMYFUNCTION("""COMPUTED_VALUE"""),"")</f>
        <v/>
      </c>
      <c r="F4972" s="6" t="str">
        <f>IFERROR(__xludf.DUMMYFUNCTION("""COMPUTED_VALUE"""),"Lofton")</f>
        <v>Lofton</v>
      </c>
      <c r="G4972" s="6" t="str">
        <f>IFERROR(__xludf.DUMMYFUNCTION("""COMPUTED_VALUE"""),"04/23/2013")</f>
        <v>04/23/2013</v>
      </c>
      <c r="H4972" s="6" t="str">
        <f>IFERROR(__xludf.DUMMYFUNCTION("""COMPUTED_VALUE"""),"male")</f>
        <v>male</v>
      </c>
      <c r="I4972" s="6" t="str">
        <f>IFERROR(__xludf.DUMMYFUNCTION("""COMPUTED_VALUE"""),"Middle School")</f>
        <v>Middle School</v>
      </c>
      <c r="J4972" s="6" t="str">
        <f>IFERROR(__xludf.DUMMYFUNCTION("""COMPUTED_VALUE"""),"7")</f>
        <v>7</v>
      </c>
      <c r="K4972" s="6" t="str">
        <f>IFERROR(__xludf.DUMMYFUNCTION("""COMPUTED_VALUE"""),"kaiden.lofton@2hourlearning.com")</f>
        <v>kaiden.lofton@2hourlearning.com</v>
      </c>
      <c r="L4972" s="6" t="str">
        <f>IFERROR(__xludf.DUMMYFUNCTION("""COMPUTED_VALUE"""),"AFMS - Allendale Fairfax Middle School")</f>
        <v>AFMS - Allendale Fairfax Middle School</v>
      </c>
      <c r="M4972" s="6" t="str">
        <f>IFERROR(__xludf.DUMMYFUNCTION("""COMPUTED_VALUE"""),"")</f>
        <v/>
      </c>
      <c r="N4972" s="6" t="str">
        <f>IFERROR(__xludf.DUMMYFUNCTION("""COMPUTED_VALUE"""),"")</f>
        <v/>
      </c>
      <c r="O4972" s="87" t="str">
        <f>IFERROR(__xludf.DUMMYFUNCTION("""COMPUTED_VALUE"""),"https://drive.google.com/drive/folders/10T2cTQHqEJZqE-st6uFKPoI?usp=share_link")</f>
        <v>https://drive.google.com/drive/folders/10T2cTQHqEJZqE-st6uFKPoI?usp=share_link</v>
      </c>
      <c r="P4972" s="6" t="str">
        <f>IFERROR(__xludf.DUMMYFUNCTION("""COMPUTED_VALUE"""),"Kaiden Lofton")</f>
        <v>Kaiden Lofton</v>
      </c>
      <c r="Q4972" s="6" t="str">
        <f>IFERROR(__xludf.DUMMYFUNCTION("""COMPUTED_VALUE"""),"MS")</f>
        <v>MS</v>
      </c>
      <c r="R4972" s="6">
        <f>IFERROR(__xludf.DUMMYFUNCTION("""COMPUTED_VALUE"""),0.0)</f>
        <v>0</v>
      </c>
      <c r="S4972" s="6" t="str">
        <f>IFERROR(__xludf.DUMMYFUNCTION("""COMPUTED_VALUE"""),"Kimberly Ball")</f>
        <v>Kimberly Ball</v>
      </c>
      <c r="T4972" s="6" t="str">
        <f>IFERROR(__xludf.DUMMYFUNCTION("""COMPUTED_VALUE"""),"kimberly.ball@studient.com")</f>
        <v>kimberly.ball@studient.com</v>
      </c>
      <c r="U4972" s="6" t="str">
        <f>IFERROR(__xludf.DUMMYFUNCTION("""COMPUTED_VALUE"""),"7")</f>
        <v>7</v>
      </c>
      <c r="V4972" s="6" t="str">
        <f>IFERROR(__xludf.DUMMYFUNCTION("""COMPUTED_VALUE"""),"")</f>
        <v/>
      </c>
      <c r="W4972" s="6" t="str">
        <f>IFERROR(__xludf.DUMMYFUNCTION("""COMPUTED_VALUE"""),"[]")</f>
        <v>[]</v>
      </c>
      <c r="X4972" s="6" t="str">
        <f>IFERROR(__xludf.DUMMYFUNCTION("""COMPUTED_VALUE"""),"Enrolled")</f>
        <v>Enrolled</v>
      </c>
    </row>
    <row r="4973">
      <c r="A4973" s="6" t="str">
        <f>IFERROR(__xludf.DUMMYFUNCTION("""COMPUTED_VALUE"""),"085-12016")</f>
        <v>085-12016</v>
      </c>
      <c r="B4973" s="6" t="str">
        <f>IFERROR(__xludf.DUMMYFUNCTION("""COMPUTED_VALUE"""),"85")</f>
        <v>85</v>
      </c>
      <c r="C4973" s="6" t="str">
        <f>IFERROR(__xludf.DUMMYFUNCTION("""COMPUTED_VALUE"""),"12016")</f>
        <v>12016</v>
      </c>
      <c r="D4973" s="6" t="str">
        <f>IFERROR(__xludf.DUMMYFUNCTION("""COMPUTED_VALUE"""),"Ziquez")</f>
        <v>Ziquez</v>
      </c>
      <c r="E4973" s="6" t="str">
        <f>IFERROR(__xludf.DUMMYFUNCTION("""COMPUTED_VALUE"""),"")</f>
        <v/>
      </c>
      <c r="F4973" s="6" t="str">
        <f>IFERROR(__xludf.DUMMYFUNCTION("""COMPUTED_VALUE"""),"Love")</f>
        <v>Love</v>
      </c>
      <c r="G4973" s="6" t="str">
        <f>IFERROR(__xludf.DUMMYFUNCTION("""COMPUTED_VALUE"""),"03/07/2012")</f>
        <v>03/07/2012</v>
      </c>
      <c r="H4973" s="6" t="str">
        <f>IFERROR(__xludf.DUMMYFUNCTION("""COMPUTED_VALUE"""),"male")</f>
        <v>male</v>
      </c>
      <c r="I4973" s="6" t="str">
        <f>IFERROR(__xludf.DUMMYFUNCTION("""COMPUTED_VALUE"""),"Middle School")</f>
        <v>Middle School</v>
      </c>
      <c r="J4973" s="6" t="str">
        <f>IFERROR(__xludf.DUMMYFUNCTION("""COMPUTED_VALUE"""),"7")</f>
        <v>7</v>
      </c>
      <c r="K4973" s="6" t="str">
        <f>IFERROR(__xludf.DUMMYFUNCTION("""COMPUTED_VALUE"""),"ziquez.love@2hourlearning.com")</f>
        <v>ziquez.love@2hourlearning.com</v>
      </c>
      <c r="L4973" s="6" t="str">
        <f>IFERROR(__xludf.DUMMYFUNCTION("""COMPUTED_VALUE"""),"AFMS - Allendale Fairfax Middle School")</f>
        <v>AFMS - Allendale Fairfax Middle School</v>
      </c>
      <c r="M4973" s="6" t="str">
        <f>IFERROR(__xludf.DUMMYFUNCTION("""COMPUTED_VALUE"""),"")</f>
        <v/>
      </c>
      <c r="N4973" s="6" t="str">
        <f>IFERROR(__xludf.DUMMYFUNCTION("""COMPUTED_VALUE"""),"")</f>
        <v/>
      </c>
      <c r="O4973" s="87" t="str">
        <f>IFERROR(__xludf.DUMMYFUNCTION("""COMPUTED_VALUE"""),"https://drive.google.com/drive/folders/10T2cTQHqEJZqE-st6uFKPoI?usp=share_link")</f>
        <v>https://drive.google.com/drive/folders/10T2cTQHqEJZqE-st6uFKPoI?usp=share_link</v>
      </c>
      <c r="P4973" s="6" t="str">
        <f>IFERROR(__xludf.DUMMYFUNCTION("""COMPUTED_VALUE"""),"Ziquez Love")</f>
        <v>Ziquez Love</v>
      </c>
      <c r="Q4973" s="6" t="str">
        <f>IFERROR(__xludf.DUMMYFUNCTION("""COMPUTED_VALUE"""),"MS")</f>
        <v>MS</v>
      </c>
      <c r="R4973" s="6">
        <f>IFERROR(__xludf.DUMMYFUNCTION("""COMPUTED_VALUE"""),0.0)</f>
        <v>0</v>
      </c>
      <c r="S4973" s="6" t="str">
        <f>IFERROR(__xludf.DUMMYFUNCTION("""COMPUTED_VALUE"""),"Kimberly Ball")</f>
        <v>Kimberly Ball</v>
      </c>
      <c r="T4973" s="6" t="str">
        <f>IFERROR(__xludf.DUMMYFUNCTION("""COMPUTED_VALUE"""),"kimberly.ball@studient.com")</f>
        <v>kimberly.ball@studient.com</v>
      </c>
      <c r="U4973" s="6" t="str">
        <f>IFERROR(__xludf.DUMMYFUNCTION("""COMPUTED_VALUE"""),"7")</f>
        <v>7</v>
      </c>
      <c r="V4973" s="6" t="str">
        <f>IFERROR(__xludf.DUMMYFUNCTION("""COMPUTED_VALUE"""),"")</f>
        <v/>
      </c>
      <c r="W4973" s="6" t="str">
        <f>IFERROR(__xludf.DUMMYFUNCTION("""COMPUTED_VALUE"""),"[]")</f>
        <v>[]</v>
      </c>
      <c r="X4973" s="6" t="str">
        <f>IFERROR(__xludf.DUMMYFUNCTION("""COMPUTED_VALUE"""),"Enrolled")</f>
        <v>Enrolled</v>
      </c>
    </row>
    <row r="4974">
      <c r="A4974" s="6" t="str">
        <f>IFERROR(__xludf.DUMMYFUNCTION("""COMPUTED_VALUE"""),"085-12017")</f>
        <v>085-12017</v>
      </c>
      <c r="B4974" s="6" t="str">
        <f>IFERROR(__xludf.DUMMYFUNCTION("""COMPUTED_VALUE"""),"85")</f>
        <v>85</v>
      </c>
      <c r="C4974" s="6" t="str">
        <f>IFERROR(__xludf.DUMMYFUNCTION("""COMPUTED_VALUE"""),"12017")</f>
        <v>12017</v>
      </c>
      <c r="D4974" s="6" t="str">
        <f>IFERROR(__xludf.DUMMYFUNCTION("""COMPUTED_VALUE"""),"Rebekah")</f>
        <v>Rebekah</v>
      </c>
      <c r="E4974" s="6" t="str">
        <f>IFERROR(__xludf.DUMMYFUNCTION("""COMPUTED_VALUE"""),"")</f>
        <v/>
      </c>
      <c r="F4974" s="6" t="str">
        <f>IFERROR(__xludf.DUMMYFUNCTION("""COMPUTED_VALUE"""),"Minchew")</f>
        <v>Minchew</v>
      </c>
      <c r="G4974" s="6" t="str">
        <f>IFERROR(__xludf.DUMMYFUNCTION("""COMPUTED_VALUE"""),"07/26/2013")</f>
        <v>07/26/2013</v>
      </c>
      <c r="H4974" s="6" t="str">
        <f>IFERROR(__xludf.DUMMYFUNCTION("""COMPUTED_VALUE"""),"female")</f>
        <v>female</v>
      </c>
      <c r="I4974" s="6" t="str">
        <f>IFERROR(__xludf.DUMMYFUNCTION("""COMPUTED_VALUE"""),"Middle School")</f>
        <v>Middle School</v>
      </c>
      <c r="J4974" s="6" t="str">
        <f>IFERROR(__xludf.DUMMYFUNCTION("""COMPUTED_VALUE"""),"7")</f>
        <v>7</v>
      </c>
      <c r="K4974" s="6" t="str">
        <f>IFERROR(__xludf.DUMMYFUNCTION("""COMPUTED_VALUE"""),"rebekah.minchew@2hourlearning.com")</f>
        <v>rebekah.minchew@2hourlearning.com</v>
      </c>
      <c r="L4974" s="6" t="str">
        <f>IFERROR(__xludf.DUMMYFUNCTION("""COMPUTED_VALUE"""),"AFMS - Allendale Fairfax Middle School")</f>
        <v>AFMS - Allendale Fairfax Middle School</v>
      </c>
      <c r="M4974" s="6" t="str">
        <f>IFERROR(__xludf.DUMMYFUNCTION("""COMPUTED_VALUE"""),"")</f>
        <v/>
      </c>
      <c r="N4974" s="6" t="str">
        <f>IFERROR(__xludf.DUMMYFUNCTION("""COMPUTED_VALUE"""),"")</f>
        <v/>
      </c>
      <c r="O4974" s="87" t="str">
        <f>IFERROR(__xludf.DUMMYFUNCTION("""COMPUTED_VALUE"""),"https://drive.google.com/drive/folders/10T2cTQHqEJZqE-st6uFKPoI?usp=share_link")</f>
        <v>https://drive.google.com/drive/folders/10T2cTQHqEJZqE-st6uFKPoI?usp=share_link</v>
      </c>
      <c r="P4974" s="6" t="str">
        <f>IFERROR(__xludf.DUMMYFUNCTION("""COMPUTED_VALUE"""),"Rebekah Minchew")</f>
        <v>Rebekah Minchew</v>
      </c>
      <c r="Q4974" s="6" t="str">
        <f>IFERROR(__xludf.DUMMYFUNCTION("""COMPUTED_VALUE"""),"MS")</f>
        <v>MS</v>
      </c>
      <c r="R4974" s="6">
        <f>IFERROR(__xludf.DUMMYFUNCTION("""COMPUTED_VALUE"""),0.0)</f>
        <v>0</v>
      </c>
      <c r="S4974" s="6" t="str">
        <f>IFERROR(__xludf.DUMMYFUNCTION("""COMPUTED_VALUE"""),"Kimberly Ball")</f>
        <v>Kimberly Ball</v>
      </c>
      <c r="T4974" s="6" t="str">
        <f>IFERROR(__xludf.DUMMYFUNCTION("""COMPUTED_VALUE"""),"kimberly.ball@studient.com")</f>
        <v>kimberly.ball@studient.com</v>
      </c>
      <c r="U4974" s="6" t="str">
        <f>IFERROR(__xludf.DUMMYFUNCTION("""COMPUTED_VALUE"""),"7")</f>
        <v>7</v>
      </c>
      <c r="V4974" s="6" t="str">
        <f>IFERROR(__xludf.DUMMYFUNCTION("""COMPUTED_VALUE"""),"")</f>
        <v/>
      </c>
      <c r="W4974" s="6" t="str">
        <f>IFERROR(__xludf.DUMMYFUNCTION("""COMPUTED_VALUE"""),"[]")</f>
        <v>[]</v>
      </c>
      <c r="X4974" s="6" t="str">
        <f>IFERROR(__xludf.DUMMYFUNCTION("""COMPUTED_VALUE"""),"Enrolled")</f>
        <v>Enrolled</v>
      </c>
    </row>
    <row r="4975">
      <c r="A4975" s="6" t="str">
        <f>IFERROR(__xludf.DUMMYFUNCTION("""COMPUTED_VALUE"""),"085-12018")</f>
        <v>085-12018</v>
      </c>
      <c r="B4975" s="6" t="str">
        <f>IFERROR(__xludf.DUMMYFUNCTION("""COMPUTED_VALUE"""),"85")</f>
        <v>85</v>
      </c>
      <c r="C4975" s="6" t="str">
        <f>IFERROR(__xludf.DUMMYFUNCTION("""COMPUTED_VALUE"""),"12018")</f>
        <v>12018</v>
      </c>
      <c r="D4975" s="6" t="str">
        <f>IFERROR(__xludf.DUMMYFUNCTION("""COMPUTED_VALUE"""),"Landyn")</f>
        <v>Landyn</v>
      </c>
      <c r="E4975" s="6" t="str">
        <f>IFERROR(__xludf.DUMMYFUNCTION("""COMPUTED_VALUE"""),"")</f>
        <v/>
      </c>
      <c r="F4975" s="6" t="str">
        <f>IFERROR(__xludf.DUMMYFUNCTION("""COMPUTED_VALUE"""),"Montgomery")</f>
        <v>Montgomery</v>
      </c>
      <c r="G4975" s="6" t="str">
        <f>IFERROR(__xludf.DUMMYFUNCTION("""COMPUTED_VALUE"""),"12/14/2011")</f>
        <v>12/14/2011</v>
      </c>
      <c r="H4975" s="6" t="str">
        <f>IFERROR(__xludf.DUMMYFUNCTION("""COMPUTED_VALUE"""),"male")</f>
        <v>male</v>
      </c>
      <c r="I4975" s="6" t="str">
        <f>IFERROR(__xludf.DUMMYFUNCTION("""COMPUTED_VALUE"""),"Middle School")</f>
        <v>Middle School</v>
      </c>
      <c r="J4975" s="6" t="str">
        <f>IFERROR(__xludf.DUMMYFUNCTION("""COMPUTED_VALUE"""),"7")</f>
        <v>7</v>
      </c>
      <c r="K4975" s="6" t="str">
        <f>IFERROR(__xludf.DUMMYFUNCTION("""COMPUTED_VALUE"""),"landyn.montgomery@2hourlearning.com")</f>
        <v>landyn.montgomery@2hourlearning.com</v>
      </c>
      <c r="L4975" s="6" t="str">
        <f>IFERROR(__xludf.DUMMYFUNCTION("""COMPUTED_VALUE"""),"AFMS - Allendale Fairfax Middle School")</f>
        <v>AFMS - Allendale Fairfax Middle School</v>
      </c>
      <c r="M4975" s="6" t="str">
        <f>IFERROR(__xludf.DUMMYFUNCTION("""COMPUTED_VALUE"""),"")</f>
        <v/>
      </c>
      <c r="N4975" s="6" t="str">
        <f>IFERROR(__xludf.DUMMYFUNCTION("""COMPUTED_VALUE"""),"")</f>
        <v/>
      </c>
      <c r="O4975" s="87" t="str">
        <f>IFERROR(__xludf.DUMMYFUNCTION("""COMPUTED_VALUE"""),"https://drive.google.com/drive/folders/10T2cTQHqEJZqE-st6uFKPoI?usp=share_link")</f>
        <v>https://drive.google.com/drive/folders/10T2cTQHqEJZqE-st6uFKPoI?usp=share_link</v>
      </c>
      <c r="P4975" s="6" t="str">
        <f>IFERROR(__xludf.DUMMYFUNCTION("""COMPUTED_VALUE"""),"Landyn Montgomery")</f>
        <v>Landyn Montgomery</v>
      </c>
      <c r="Q4975" s="6" t="str">
        <f>IFERROR(__xludf.DUMMYFUNCTION("""COMPUTED_VALUE"""),"MS")</f>
        <v>MS</v>
      </c>
      <c r="R4975" s="6">
        <f>IFERROR(__xludf.DUMMYFUNCTION("""COMPUTED_VALUE"""),0.0)</f>
        <v>0</v>
      </c>
      <c r="S4975" s="6" t="str">
        <f>IFERROR(__xludf.DUMMYFUNCTION("""COMPUTED_VALUE"""),"Kimberly Ball")</f>
        <v>Kimberly Ball</v>
      </c>
      <c r="T4975" s="6" t="str">
        <f>IFERROR(__xludf.DUMMYFUNCTION("""COMPUTED_VALUE"""),"kimberly.ball@studient.com")</f>
        <v>kimberly.ball@studient.com</v>
      </c>
      <c r="U4975" s="6" t="str">
        <f>IFERROR(__xludf.DUMMYFUNCTION("""COMPUTED_VALUE"""),"7")</f>
        <v>7</v>
      </c>
      <c r="V4975" s="6" t="str">
        <f>IFERROR(__xludf.DUMMYFUNCTION("""COMPUTED_VALUE"""),"")</f>
        <v/>
      </c>
      <c r="W4975" s="6" t="str">
        <f>IFERROR(__xludf.DUMMYFUNCTION("""COMPUTED_VALUE"""),"[]")</f>
        <v>[]</v>
      </c>
      <c r="X4975" s="6" t="str">
        <f>IFERROR(__xludf.DUMMYFUNCTION("""COMPUTED_VALUE"""),"Enrolled")</f>
        <v>Enrolled</v>
      </c>
    </row>
    <row r="4976">
      <c r="A4976" s="6" t="str">
        <f>IFERROR(__xludf.DUMMYFUNCTION("""COMPUTED_VALUE"""),"085-12019")</f>
        <v>085-12019</v>
      </c>
      <c r="B4976" s="6" t="str">
        <f>IFERROR(__xludf.DUMMYFUNCTION("""COMPUTED_VALUE"""),"85")</f>
        <v>85</v>
      </c>
      <c r="C4976" s="6" t="str">
        <f>IFERROR(__xludf.DUMMYFUNCTION("""COMPUTED_VALUE"""),"12019")</f>
        <v>12019</v>
      </c>
      <c r="D4976" s="6" t="str">
        <f>IFERROR(__xludf.DUMMYFUNCTION("""COMPUTED_VALUE"""),"Chandler")</f>
        <v>Chandler</v>
      </c>
      <c r="E4976" s="6" t="str">
        <f>IFERROR(__xludf.DUMMYFUNCTION("""COMPUTED_VALUE"""),"")</f>
        <v/>
      </c>
      <c r="F4976" s="6" t="str">
        <f>IFERROR(__xludf.DUMMYFUNCTION("""COMPUTED_VALUE"""),"Morell")</f>
        <v>Morell</v>
      </c>
      <c r="G4976" s="6" t="str">
        <f>IFERROR(__xludf.DUMMYFUNCTION("""COMPUTED_VALUE"""),"06/09/2013")</f>
        <v>06/09/2013</v>
      </c>
      <c r="H4976" s="6" t="str">
        <f>IFERROR(__xludf.DUMMYFUNCTION("""COMPUTED_VALUE"""),"female")</f>
        <v>female</v>
      </c>
      <c r="I4976" s="6" t="str">
        <f>IFERROR(__xludf.DUMMYFUNCTION("""COMPUTED_VALUE"""),"Middle School")</f>
        <v>Middle School</v>
      </c>
      <c r="J4976" s="6" t="str">
        <f>IFERROR(__xludf.DUMMYFUNCTION("""COMPUTED_VALUE"""),"7")</f>
        <v>7</v>
      </c>
      <c r="K4976" s="6" t="str">
        <f>IFERROR(__xludf.DUMMYFUNCTION("""COMPUTED_VALUE"""),"chandler.morell@2hourlearning.com")</f>
        <v>chandler.morell@2hourlearning.com</v>
      </c>
      <c r="L4976" s="6" t="str">
        <f>IFERROR(__xludf.DUMMYFUNCTION("""COMPUTED_VALUE"""),"AFMS - Allendale Fairfax Middle School")</f>
        <v>AFMS - Allendale Fairfax Middle School</v>
      </c>
      <c r="M4976" s="6" t="str">
        <f>IFERROR(__xludf.DUMMYFUNCTION("""COMPUTED_VALUE"""),"")</f>
        <v/>
      </c>
      <c r="N4976" s="6" t="str">
        <f>IFERROR(__xludf.DUMMYFUNCTION("""COMPUTED_VALUE"""),"")</f>
        <v/>
      </c>
      <c r="O4976" s="87" t="str">
        <f>IFERROR(__xludf.DUMMYFUNCTION("""COMPUTED_VALUE"""),"https://drive.google.com/drive/folders/10T2cTQHqEJZqE-st6uFKPoI?usp=share_link")</f>
        <v>https://drive.google.com/drive/folders/10T2cTQHqEJZqE-st6uFKPoI?usp=share_link</v>
      </c>
      <c r="P4976" s="6" t="str">
        <f>IFERROR(__xludf.DUMMYFUNCTION("""COMPUTED_VALUE"""),"Chandler Morell")</f>
        <v>Chandler Morell</v>
      </c>
      <c r="Q4976" s="6" t="str">
        <f>IFERROR(__xludf.DUMMYFUNCTION("""COMPUTED_VALUE"""),"MS")</f>
        <v>MS</v>
      </c>
      <c r="R4976" s="6">
        <f>IFERROR(__xludf.DUMMYFUNCTION("""COMPUTED_VALUE"""),0.0)</f>
        <v>0</v>
      </c>
      <c r="S4976" s="6" t="str">
        <f>IFERROR(__xludf.DUMMYFUNCTION("""COMPUTED_VALUE"""),"Kimberly Ball")</f>
        <v>Kimberly Ball</v>
      </c>
      <c r="T4976" s="6" t="str">
        <f>IFERROR(__xludf.DUMMYFUNCTION("""COMPUTED_VALUE"""),"kimberly.ball@studient.com")</f>
        <v>kimberly.ball@studient.com</v>
      </c>
      <c r="U4976" s="6" t="str">
        <f>IFERROR(__xludf.DUMMYFUNCTION("""COMPUTED_VALUE"""),"7")</f>
        <v>7</v>
      </c>
      <c r="V4976" s="6" t="str">
        <f>IFERROR(__xludf.DUMMYFUNCTION("""COMPUTED_VALUE"""),"")</f>
        <v/>
      </c>
      <c r="W4976" s="6" t="str">
        <f>IFERROR(__xludf.DUMMYFUNCTION("""COMPUTED_VALUE"""),"[]")</f>
        <v>[]</v>
      </c>
      <c r="X4976" s="6" t="str">
        <f>IFERROR(__xludf.DUMMYFUNCTION("""COMPUTED_VALUE"""),"Enrolled")</f>
        <v>Enrolled</v>
      </c>
    </row>
    <row r="4977">
      <c r="A4977" s="6" t="str">
        <f>IFERROR(__xludf.DUMMYFUNCTION("""COMPUTED_VALUE"""),"085-12020")</f>
        <v>085-12020</v>
      </c>
      <c r="B4977" s="6" t="str">
        <f>IFERROR(__xludf.DUMMYFUNCTION("""COMPUTED_VALUE"""),"85")</f>
        <v>85</v>
      </c>
      <c r="C4977" s="6" t="str">
        <f>IFERROR(__xludf.DUMMYFUNCTION("""COMPUTED_VALUE"""),"12020")</f>
        <v>12020</v>
      </c>
      <c r="D4977" s="6" t="str">
        <f>IFERROR(__xludf.DUMMYFUNCTION("""COMPUTED_VALUE"""),"Malachi")</f>
        <v>Malachi</v>
      </c>
      <c r="E4977" s="6" t="str">
        <f>IFERROR(__xludf.DUMMYFUNCTION("""COMPUTED_VALUE"""),"")</f>
        <v/>
      </c>
      <c r="F4977" s="6" t="str">
        <f>IFERROR(__xludf.DUMMYFUNCTION("""COMPUTED_VALUE"""),"Morell")</f>
        <v>Morell</v>
      </c>
      <c r="G4977" s="6" t="str">
        <f>IFERROR(__xludf.DUMMYFUNCTION("""COMPUTED_VALUE"""),"05/14/2013")</f>
        <v>05/14/2013</v>
      </c>
      <c r="H4977" s="6" t="str">
        <f>IFERROR(__xludf.DUMMYFUNCTION("""COMPUTED_VALUE"""),"male")</f>
        <v>male</v>
      </c>
      <c r="I4977" s="6" t="str">
        <f>IFERROR(__xludf.DUMMYFUNCTION("""COMPUTED_VALUE"""),"Middle School")</f>
        <v>Middle School</v>
      </c>
      <c r="J4977" s="6" t="str">
        <f>IFERROR(__xludf.DUMMYFUNCTION("""COMPUTED_VALUE"""),"7")</f>
        <v>7</v>
      </c>
      <c r="K4977" s="6" t="str">
        <f>IFERROR(__xludf.DUMMYFUNCTION("""COMPUTED_VALUE"""),"malachi.morell@2hourlearning.com")</f>
        <v>malachi.morell@2hourlearning.com</v>
      </c>
      <c r="L4977" s="6" t="str">
        <f>IFERROR(__xludf.DUMMYFUNCTION("""COMPUTED_VALUE"""),"AFMS - Allendale Fairfax Middle School")</f>
        <v>AFMS - Allendale Fairfax Middle School</v>
      </c>
      <c r="M4977" s="6" t="str">
        <f>IFERROR(__xludf.DUMMYFUNCTION("""COMPUTED_VALUE"""),"")</f>
        <v/>
      </c>
      <c r="N4977" s="6" t="str">
        <f>IFERROR(__xludf.DUMMYFUNCTION("""COMPUTED_VALUE"""),"")</f>
        <v/>
      </c>
      <c r="O4977" s="87" t="str">
        <f>IFERROR(__xludf.DUMMYFUNCTION("""COMPUTED_VALUE"""),"https://drive.google.com/drive/folders/10T2cTQHqEJZqE-st6uFKPoI?usp=share_link")</f>
        <v>https://drive.google.com/drive/folders/10T2cTQHqEJZqE-st6uFKPoI?usp=share_link</v>
      </c>
      <c r="P4977" s="6" t="str">
        <f>IFERROR(__xludf.DUMMYFUNCTION("""COMPUTED_VALUE"""),"Malachi Morell")</f>
        <v>Malachi Morell</v>
      </c>
      <c r="Q4977" s="6" t="str">
        <f>IFERROR(__xludf.DUMMYFUNCTION("""COMPUTED_VALUE"""),"MS")</f>
        <v>MS</v>
      </c>
      <c r="R4977" s="6">
        <f>IFERROR(__xludf.DUMMYFUNCTION("""COMPUTED_VALUE"""),0.0)</f>
        <v>0</v>
      </c>
      <c r="S4977" s="6" t="str">
        <f>IFERROR(__xludf.DUMMYFUNCTION("""COMPUTED_VALUE"""),"Kimberly Ball")</f>
        <v>Kimberly Ball</v>
      </c>
      <c r="T4977" s="6" t="str">
        <f>IFERROR(__xludf.DUMMYFUNCTION("""COMPUTED_VALUE"""),"kimberly.ball@studient.com")</f>
        <v>kimberly.ball@studient.com</v>
      </c>
      <c r="U4977" s="6" t="str">
        <f>IFERROR(__xludf.DUMMYFUNCTION("""COMPUTED_VALUE"""),"7")</f>
        <v>7</v>
      </c>
      <c r="V4977" s="6" t="str">
        <f>IFERROR(__xludf.DUMMYFUNCTION("""COMPUTED_VALUE"""),"")</f>
        <v/>
      </c>
      <c r="W4977" s="6" t="str">
        <f>IFERROR(__xludf.DUMMYFUNCTION("""COMPUTED_VALUE"""),"[]")</f>
        <v>[]</v>
      </c>
      <c r="X4977" s="6" t="str">
        <f>IFERROR(__xludf.DUMMYFUNCTION("""COMPUTED_VALUE"""),"Enrolled")</f>
        <v>Enrolled</v>
      </c>
    </row>
    <row r="4978">
      <c r="A4978" s="6" t="str">
        <f>IFERROR(__xludf.DUMMYFUNCTION("""COMPUTED_VALUE"""),"085-12021")</f>
        <v>085-12021</v>
      </c>
      <c r="B4978" s="6" t="str">
        <f>IFERROR(__xludf.DUMMYFUNCTION("""COMPUTED_VALUE"""),"85")</f>
        <v>85</v>
      </c>
      <c r="C4978" s="6" t="str">
        <f>IFERROR(__xludf.DUMMYFUNCTION("""COMPUTED_VALUE"""),"12021")</f>
        <v>12021</v>
      </c>
      <c r="D4978" s="6" t="str">
        <f>IFERROR(__xludf.DUMMYFUNCTION("""COMPUTED_VALUE"""),"Matthew")</f>
        <v>Matthew</v>
      </c>
      <c r="E4978" s="6" t="str">
        <f>IFERROR(__xludf.DUMMYFUNCTION("""COMPUTED_VALUE"""),"")</f>
        <v/>
      </c>
      <c r="F4978" s="6" t="str">
        <f>IFERROR(__xludf.DUMMYFUNCTION("""COMPUTED_VALUE"""),"Morell")</f>
        <v>Morell</v>
      </c>
      <c r="G4978" s="6" t="str">
        <f>IFERROR(__xludf.DUMMYFUNCTION("""COMPUTED_VALUE"""),"05/14/2013")</f>
        <v>05/14/2013</v>
      </c>
      <c r="H4978" s="6" t="str">
        <f>IFERROR(__xludf.DUMMYFUNCTION("""COMPUTED_VALUE"""),"male")</f>
        <v>male</v>
      </c>
      <c r="I4978" s="6" t="str">
        <f>IFERROR(__xludf.DUMMYFUNCTION("""COMPUTED_VALUE"""),"Middle School")</f>
        <v>Middle School</v>
      </c>
      <c r="J4978" s="6" t="str">
        <f>IFERROR(__xludf.DUMMYFUNCTION("""COMPUTED_VALUE"""),"7")</f>
        <v>7</v>
      </c>
      <c r="K4978" s="6" t="str">
        <f>IFERROR(__xludf.DUMMYFUNCTION("""COMPUTED_VALUE"""),"matthew.morell@2hourlearning.com")</f>
        <v>matthew.morell@2hourlearning.com</v>
      </c>
      <c r="L4978" s="6" t="str">
        <f>IFERROR(__xludf.DUMMYFUNCTION("""COMPUTED_VALUE"""),"AFMS - Allendale Fairfax Middle School")</f>
        <v>AFMS - Allendale Fairfax Middle School</v>
      </c>
      <c r="M4978" s="6" t="str">
        <f>IFERROR(__xludf.DUMMYFUNCTION("""COMPUTED_VALUE"""),"")</f>
        <v/>
      </c>
      <c r="N4978" s="6" t="str">
        <f>IFERROR(__xludf.DUMMYFUNCTION("""COMPUTED_VALUE"""),"")</f>
        <v/>
      </c>
      <c r="O4978" s="87" t="str">
        <f>IFERROR(__xludf.DUMMYFUNCTION("""COMPUTED_VALUE"""),"https://drive.google.com/drive/folders/10T2cTQHqEJZqE-st6uFKPoI?usp=share_link")</f>
        <v>https://drive.google.com/drive/folders/10T2cTQHqEJZqE-st6uFKPoI?usp=share_link</v>
      </c>
      <c r="P4978" s="6" t="str">
        <f>IFERROR(__xludf.DUMMYFUNCTION("""COMPUTED_VALUE"""),"Matthew Morell")</f>
        <v>Matthew Morell</v>
      </c>
      <c r="Q4978" s="6" t="str">
        <f>IFERROR(__xludf.DUMMYFUNCTION("""COMPUTED_VALUE"""),"MS")</f>
        <v>MS</v>
      </c>
      <c r="R4978" s="6">
        <f>IFERROR(__xludf.DUMMYFUNCTION("""COMPUTED_VALUE"""),0.0)</f>
        <v>0</v>
      </c>
      <c r="S4978" s="6" t="str">
        <f>IFERROR(__xludf.DUMMYFUNCTION("""COMPUTED_VALUE"""),"Kimberly Ball")</f>
        <v>Kimberly Ball</v>
      </c>
      <c r="T4978" s="6" t="str">
        <f>IFERROR(__xludf.DUMMYFUNCTION("""COMPUTED_VALUE"""),"kimberly.ball@studient.com")</f>
        <v>kimberly.ball@studient.com</v>
      </c>
      <c r="U4978" s="6" t="str">
        <f>IFERROR(__xludf.DUMMYFUNCTION("""COMPUTED_VALUE"""),"7")</f>
        <v>7</v>
      </c>
      <c r="V4978" s="6" t="str">
        <f>IFERROR(__xludf.DUMMYFUNCTION("""COMPUTED_VALUE"""),"")</f>
        <v/>
      </c>
      <c r="W4978" s="6" t="str">
        <f>IFERROR(__xludf.DUMMYFUNCTION("""COMPUTED_VALUE"""),"[]")</f>
        <v>[]</v>
      </c>
      <c r="X4978" s="6" t="str">
        <f>IFERROR(__xludf.DUMMYFUNCTION("""COMPUTED_VALUE"""),"Enrolled")</f>
        <v>Enrolled</v>
      </c>
    </row>
    <row r="4979">
      <c r="A4979" s="6" t="str">
        <f>IFERROR(__xludf.DUMMYFUNCTION("""COMPUTED_VALUE"""),"085-12022")</f>
        <v>085-12022</v>
      </c>
      <c r="B4979" s="6" t="str">
        <f>IFERROR(__xludf.DUMMYFUNCTION("""COMPUTED_VALUE"""),"85")</f>
        <v>85</v>
      </c>
      <c r="C4979" s="6" t="str">
        <f>IFERROR(__xludf.DUMMYFUNCTION("""COMPUTED_VALUE"""),"12022")</f>
        <v>12022</v>
      </c>
      <c r="D4979" s="6" t="str">
        <f>IFERROR(__xludf.DUMMYFUNCTION("""COMPUTED_VALUE"""),"Kaleb")</f>
        <v>Kaleb</v>
      </c>
      <c r="E4979" s="6" t="str">
        <f>IFERROR(__xludf.DUMMYFUNCTION("""COMPUTED_VALUE"""),"")</f>
        <v/>
      </c>
      <c r="F4979" s="6" t="str">
        <f>IFERROR(__xludf.DUMMYFUNCTION("""COMPUTED_VALUE"""),"Orizu")</f>
        <v>Orizu</v>
      </c>
      <c r="G4979" s="6" t="str">
        <f>IFERROR(__xludf.DUMMYFUNCTION("""COMPUTED_VALUE"""),"07/05/2012")</f>
        <v>07/05/2012</v>
      </c>
      <c r="H4979" s="6" t="str">
        <f>IFERROR(__xludf.DUMMYFUNCTION("""COMPUTED_VALUE"""),"male")</f>
        <v>male</v>
      </c>
      <c r="I4979" s="6" t="str">
        <f>IFERROR(__xludf.DUMMYFUNCTION("""COMPUTED_VALUE"""),"Middle School")</f>
        <v>Middle School</v>
      </c>
      <c r="J4979" s="6" t="str">
        <f>IFERROR(__xludf.DUMMYFUNCTION("""COMPUTED_VALUE"""),"7")</f>
        <v>7</v>
      </c>
      <c r="K4979" s="6" t="str">
        <f>IFERROR(__xludf.DUMMYFUNCTION("""COMPUTED_VALUE"""),"kaleb.orizu@2hourlearning.com")</f>
        <v>kaleb.orizu@2hourlearning.com</v>
      </c>
      <c r="L4979" s="6" t="str">
        <f>IFERROR(__xludf.DUMMYFUNCTION("""COMPUTED_VALUE"""),"AFMS - Allendale Fairfax Middle School")</f>
        <v>AFMS - Allendale Fairfax Middle School</v>
      </c>
      <c r="M4979" s="6" t="str">
        <f>IFERROR(__xludf.DUMMYFUNCTION("""COMPUTED_VALUE"""),"")</f>
        <v/>
      </c>
      <c r="N4979" s="6" t="str">
        <f>IFERROR(__xludf.DUMMYFUNCTION("""COMPUTED_VALUE"""),"")</f>
        <v/>
      </c>
      <c r="O4979" s="87" t="str">
        <f>IFERROR(__xludf.DUMMYFUNCTION("""COMPUTED_VALUE"""),"https://drive.google.com/drive/folders/10T2cTQHqEJZqE-st6uFKPoI?usp=share_link")</f>
        <v>https://drive.google.com/drive/folders/10T2cTQHqEJZqE-st6uFKPoI?usp=share_link</v>
      </c>
      <c r="P4979" s="6" t="str">
        <f>IFERROR(__xludf.DUMMYFUNCTION("""COMPUTED_VALUE"""),"Kaleb Orizu")</f>
        <v>Kaleb Orizu</v>
      </c>
      <c r="Q4979" s="6" t="str">
        <f>IFERROR(__xludf.DUMMYFUNCTION("""COMPUTED_VALUE"""),"MS")</f>
        <v>MS</v>
      </c>
      <c r="R4979" s="6">
        <f>IFERROR(__xludf.DUMMYFUNCTION("""COMPUTED_VALUE"""),0.0)</f>
        <v>0</v>
      </c>
      <c r="S4979" s="6" t="str">
        <f>IFERROR(__xludf.DUMMYFUNCTION("""COMPUTED_VALUE"""),"Kimberly Ball")</f>
        <v>Kimberly Ball</v>
      </c>
      <c r="T4979" s="6" t="str">
        <f>IFERROR(__xludf.DUMMYFUNCTION("""COMPUTED_VALUE"""),"kimberly.ball@studient.com")</f>
        <v>kimberly.ball@studient.com</v>
      </c>
      <c r="U4979" s="6" t="str">
        <f>IFERROR(__xludf.DUMMYFUNCTION("""COMPUTED_VALUE"""),"7")</f>
        <v>7</v>
      </c>
      <c r="V4979" s="6" t="str">
        <f>IFERROR(__xludf.DUMMYFUNCTION("""COMPUTED_VALUE"""),"")</f>
        <v/>
      </c>
      <c r="W4979" s="6" t="str">
        <f>IFERROR(__xludf.DUMMYFUNCTION("""COMPUTED_VALUE"""),"[]")</f>
        <v>[]</v>
      </c>
      <c r="X4979" s="6" t="str">
        <f>IFERROR(__xludf.DUMMYFUNCTION("""COMPUTED_VALUE"""),"Enrolled")</f>
        <v>Enrolled</v>
      </c>
    </row>
    <row r="4980">
      <c r="A4980" s="6" t="str">
        <f>IFERROR(__xludf.DUMMYFUNCTION("""COMPUTED_VALUE"""),"085-12023")</f>
        <v>085-12023</v>
      </c>
      <c r="B4980" s="6" t="str">
        <f>IFERROR(__xludf.DUMMYFUNCTION("""COMPUTED_VALUE"""),"85")</f>
        <v>85</v>
      </c>
      <c r="C4980" s="6" t="str">
        <f>IFERROR(__xludf.DUMMYFUNCTION("""COMPUTED_VALUE"""),"12023")</f>
        <v>12023</v>
      </c>
      <c r="D4980" s="6" t="str">
        <f>IFERROR(__xludf.DUMMYFUNCTION("""COMPUTED_VALUE"""),"Trinity")</f>
        <v>Trinity</v>
      </c>
      <c r="E4980" s="6" t="str">
        <f>IFERROR(__xludf.DUMMYFUNCTION("""COMPUTED_VALUE"""),"")</f>
        <v/>
      </c>
      <c r="F4980" s="6" t="str">
        <f>IFERROR(__xludf.DUMMYFUNCTION("""COMPUTED_VALUE"""),"Pinckney")</f>
        <v>Pinckney</v>
      </c>
      <c r="G4980" s="6" t="str">
        <f>IFERROR(__xludf.DUMMYFUNCTION("""COMPUTED_VALUE"""),"05/23/2013")</f>
        <v>05/23/2013</v>
      </c>
      <c r="H4980" s="6" t="str">
        <f>IFERROR(__xludf.DUMMYFUNCTION("""COMPUTED_VALUE"""),"female")</f>
        <v>female</v>
      </c>
      <c r="I4980" s="6" t="str">
        <f>IFERROR(__xludf.DUMMYFUNCTION("""COMPUTED_VALUE"""),"Middle School")</f>
        <v>Middle School</v>
      </c>
      <c r="J4980" s="6" t="str">
        <f>IFERROR(__xludf.DUMMYFUNCTION("""COMPUTED_VALUE"""),"7")</f>
        <v>7</v>
      </c>
      <c r="K4980" s="6" t="str">
        <f>IFERROR(__xludf.DUMMYFUNCTION("""COMPUTED_VALUE"""),"trinity.pinckney@2hourlearning.com")</f>
        <v>trinity.pinckney@2hourlearning.com</v>
      </c>
      <c r="L4980" s="6" t="str">
        <f>IFERROR(__xludf.DUMMYFUNCTION("""COMPUTED_VALUE"""),"AFMS - Allendale Fairfax Middle School")</f>
        <v>AFMS - Allendale Fairfax Middle School</v>
      </c>
      <c r="M4980" s="6" t="str">
        <f>IFERROR(__xludf.DUMMYFUNCTION("""COMPUTED_VALUE"""),"")</f>
        <v/>
      </c>
      <c r="N4980" s="6" t="str">
        <f>IFERROR(__xludf.DUMMYFUNCTION("""COMPUTED_VALUE"""),"")</f>
        <v/>
      </c>
      <c r="O4980" s="87" t="str">
        <f>IFERROR(__xludf.DUMMYFUNCTION("""COMPUTED_VALUE"""),"https://drive.google.com/drive/folders/10T2cTQHqEJZqE-st6uFKPoI?usp=share_link")</f>
        <v>https://drive.google.com/drive/folders/10T2cTQHqEJZqE-st6uFKPoI?usp=share_link</v>
      </c>
      <c r="P4980" s="6" t="str">
        <f>IFERROR(__xludf.DUMMYFUNCTION("""COMPUTED_VALUE"""),"Trinity Pinckney")</f>
        <v>Trinity Pinckney</v>
      </c>
      <c r="Q4980" s="6" t="str">
        <f>IFERROR(__xludf.DUMMYFUNCTION("""COMPUTED_VALUE"""),"MS")</f>
        <v>MS</v>
      </c>
      <c r="R4980" s="6">
        <f>IFERROR(__xludf.DUMMYFUNCTION("""COMPUTED_VALUE"""),0.0)</f>
        <v>0</v>
      </c>
      <c r="S4980" s="6" t="str">
        <f>IFERROR(__xludf.DUMMYFUNCTION("""COMPUTED_VALUE"""),"Kimberly Ball")</f>
        <v>Kimberly Ball</v>
      </c>
      <c r="T4980" s="6" t="str">
        <f>IFERROR(__xludf.DUMMYFUNCTION("""COMPUTED_VALUE"""),"kimberly.ball@studient.com")</f>
        <v>kimberly.ball@studient.com</v>
      </c>
      <c r="U4980" s="6" t="str">
        <f>IFERROR(__xludf.DUMMYFUNCTION("""COMPUTED_VALUE"""),"7")</f>
        <v>7</v>
      </c>
      <c r="V4980" s="6" t="str">
        <f>IFERROR(__xludf.DUMMYFUNCTION("""COMPUTED_VALUE"""),"")</f>
        <v/>
      </c>
      <c r="W4980" s="6" t="str">
        <f>IFERROR(__xludf.DUMMYFUNCTION("""COMPUTED_VALUE"""),"[]")</f>
        <v>[]</v>
      </c>
      <c r="X4980" s="6" t="str">
        <f>IFERROR(__xludf.DUMMYFUNCTION("""COMPUTED_VALUE"""),"Enrolled")</f>
        <v>Enrolled</v>
      </c>
    </row>
    <row r="4981">
      <c r="A4981" s="6" t="str">
        <f>IFERROR(__xludf.DUMMYFUNCTION("""COMPUTED_VALUE"""),"085-12024")</f>
        <v>085-12024</v>
      </c>
      <c r="B4981" s="6" t="str">
        <f>IFERROR(__xludf.DUMMYFUNCTION("""COMPUTED_VALUE"""),"85")</f>
        <v>85</v>
      </c>
      <c r="C4981" s="6" t="str">
        <f>IFERROR(__xludf.DUMMYFUNCTION("""COMPUTED_VALUE"""),"12024")</f>
        <v>12024</v>
      </c>
      <c r="D4981" s="6" t="str">
        <f>IFERROR(__xludf.DUMMYFUNCTION("""COMPUTED_VALUE"""),"Zy'Ari")</f>
        <v>Zy'Ari</v>
      </c>
      <c r="E4981" s="6" t="str">
        <f>IFERROR(__xludf.DUMMYFUNCTION("""COMPUTED_VALUE"""),"")</f>
        <v/>
      </c>
      <c r="F4981" s="6" t="str">
        <f>IFERROR(__xludf.DUMMYFUNCTION("""COMPUTED_VALUE"""),"Pryor")</f>
        <v>Pryor</v>
      </c>
      <c r="G4981" s="6" t="str">
        <f>IFERROR(__xludf.DUMMYFUNCTION("""COMPUTED_VALUE"""),"08/13/2012")</f>
        <v>08/13/2012</v>
      </c>
      <c r="H4981" s="6" t="str">
        <f>IFERROR(__xludf.DUMMYFUNCTION("""COMPUTED_VALUE"""),"female")</f>
        <v>female</v>
      </c>
      <c r="I4981" s="6" t="str">
        <f>IFERROR(__xludf.DUMMYFUNCTION("""COMPUTED_VALUE"""),"Middle School")</f>
        <v>Middle School</v>
      </c>
      <c r="J4981" s="6" t="str">
        <f>IFERROR(__xludf.DUMMYFUNCTION("""COMPUTED_VALUE"""),"7")</f>
        <v>7</v>
      </c>
      <c r="K4981" s="6" t="str">
        <f>IFERROR(__xludf.DUMMYFUNCTION("""COMPUTED_VALUE"""),"zyari.pryor@2hourlearning.com")</f>
        <v>zyari.pryor@2hourlearning.com</v>
      </c>
      <c r="L4981" s="6" t="str">
        <f>IFERROR(__xludf.DUMMYFUNCTION("""COMPUTED_VALUE"""),"AFMS - Allendale Fairfax Middle School")</f>
        <v>AFMS - Allendale Fairfax Middle School</v>
      </c>
      <c r="M4981" s="6" t="str">
        <f>IFERROR(__xludf.DUMMYFUNCTION("""COMPUTED_VALUE"""),"")</f>
        <v/>
      </c>
      <c r="N4981" s="6" t="str">
        <f>IFERROR(__xludf.DUMMYFUNCTION("""COMPUTED_VALUE"""),"")</f>
        <v/>
      </c>
      <c r="O4981" s="87" t="str">
        <f>IFERROR(__xludf.DUMMYFUNCTION("""COMPUTED_VALUE"""),"https://drive.google.com/drive/folders/10T2cTQHqEJZqE-st6uFKPoI?usp=share_link")</f>
        <v>https://drive.google.com/drive/folders/10T2cTQHqEJZqE-st6uFKPoI?usp=share_link</v>
      </c>
      <c r="P4981" s="6" t="str">
        <f>IFERROR(__xludf.DUMMYFUNCTION("""COMPUTED_VALUE"""),"Zy'Ari Pryor")</f>
        <v>Zy'Ari Pryor</v>
      </c>
      <c r="Q4981" s="6" t="str">
        <f>IFERROR(__xludf.DUMMYFUNCTION("""COMPUTED_VALUE"""),"MS")</f>
        <v>MS</v>
      </c>
      <c r="R4981" s="6">
        <f>IFERROR(__xludf.DUMMYFUNCTION("""COMPUTED_VALUE"""),0.0)</f>
        <v>0</v>
      </c>
      <c r="S4981" s="6" t="str">
        <f>IFERROR(__xludf.DUMMYFUNCTION("""COMPUTED_VALUE"""),"Kimberly Ball")</f>
        <v>Kimberly Ball</v>
      </c>
      <c r="T4981" s="6" t="str">
        <f>IFERROR(__xludf.DUMMYFUNCTION("""COMPUTED_VALUE"""),"kimberly.ball@studient.com")</f>
        <v>kimberly.ball@studient.com</v>
      </c>
      <c r="U4981" s="6" t="str">
        <f>IFERROR(__xludf.DUMMYFUNCTION("""COMPUTED_VALUE"""),"7")</f>
        <v>7</v>
      </c>
      <c r="V4981" s="6" t="str">
        <f>IFERROR(__xludf.DUMMYFUNCTION("""COMPUTED_VALUE"""),"")</f>
        <v/>
      </c>
      <c r="W4981" s="6" t="str">
        <f>IFERROR(__xludf.DUMMYFUNCTION("""COMPUTED_VALUE"""),"[]")</f>
        <v>[]</v>
      </c>
      <c r="X4981" s="6" t="str">
        <f>IFERROR(__xludf.DUMMYFUNCTION("""COMPUTED_VALUE"""),"Enrolled")</f>
        <v>Enrolled</v>
      </c>
    </row>
    <row r="4982">
      <c r="A4982" s="6" t="str">
        <f>IFERROR(__xludf.DUMMYFUNCTION("""COMPUTED_VALUE"""),"085-12025")</f>
        <v>085-12025</v>
      </c>
      <c r="B4982" s="6" t="str">
        <f>IFERROR(__xludf.DUMMYFUNCTION("""COMPUTED_VALUE"""),"85")</f>
        <v>85</v>
      </c>
      <c r="C4982" s="6" t="str">
        <f>IFERROR(__xludf.DUMMYFUNCTION("""COMPUTED_VALUE"""),"12025")</f>
        <v>12025</v>
      </c>
      <c r="D4982" s="6" t="str">
        <f>IFERROR(__xludf.DUMMYFUNCTION("""COMPUTED_VALUE"""),"Nasir")</f>
        <v>Nasir</v>
      </c>
      <c r="E4982" s="6" t="str">
        <f>IFERROR(__xludf.DUMMYFUNCTION("""COMPUTED_VALUE"""),"")</f>
        <v/>
      </c>
      <c r="F4982" s="6" t="str">
        <f>IFERROR(__xludf.DUMMYFUNCTION("""COMPUTED_VALUE"""),"Ritter")</f>
        <v>Ritter</v>
      </c>
      <c r="G4982" s="6" t="str">
        <f>IFERROR(__xludf.DUMMYFUNCTION("""COMPUTED_VALUE"""),"04/20/2013")</f>
        <v>04/20/2013</v>
      </c>
      <c r="H4982" s="6" t="str">
        <f>IFERROR(__xludf.DUMMYFUNCTION("""COMPUTED_VALUE"""),"male")</f>
        <v>male</v>
      </c>
      <c r="I4982" s="6" t="str">
        <f>IFERROR(__xludf.DUMMYFUNCTION("""COMPUTED_VALUE"""),"Middle School")</f>
        <v>Middle School</v>
      </c>
      <c r="J4982" s="6" t="str">
        <f>IFERROR(__xludf.DUMMYFUNCTION("""COMPUTED_VALUE"""),"7")</f>
        <v>7</v>
      </c>
      <c r="K4982" s="6" t="str">
        <f>IFERROR(__xludf.DUMMYFUNCTION("""COMPUTED_VALUE"""),"nasir.ritter@2hourlearning.com")</f>
        <v>nasir.ritter@2hourlearning.com</v>
      </c>
      <c r="L4982" s="6" t="str">
        <f>IFERROR(__xludf.DUMMYFUNCTION("""COMPUTED_VALUE"""),"AFMS - Allendale Fairfax Middle School")</f>
        <v>AFMS - Allendale Fairfax Middle School</v>
      </c>
      <c r="M4982" s="6" t="str">
        <f>IFERROR(__xludf.DUMMYFUNCTION("""COMPUTED_VALUE"""),"")</f>
        <v/>
      </c>
      <c r="N4982" s="6" t="str">
        <f>IFERROR(__xludf.DUMMYFUNCTION("""COMPUTED_VALUE"""),"")</f>
        <v/>
      </c>
      <c r="O4982" s="87" t="str">
        <f>IFERROR(__xludf.DUMMYFUNCTION("""COMPUTED_VALUE"""),"https://drive.google.com/drive/folders/10T2cTQHqEJZqE-st6uFKPoI?usp=share_link")</f>
        <v>https://drive.google.com/drive/folders/10T2cTQHqEJZqE-st6uFKPoI?usp=share_link</v>
      </c>
      <c r="P4982" s="6" t="str">
        <f>IFERROR(__xludf.DUMMYFUNCTION("""COMPUTED_VALUE"""),"Nasir Ritter")</f>
        <v>Nasir Ritter</v>
      </c>
      <c r="Q4982" s="6" t="str">
        <f>IFERROR(__xludf.DUMMYFUNCTION("""COMPUTED_VALUE"""),"MS")</f>
        <v>MS</v>
      </c>
      <c r="R4982" s="6">
        <f>IFERROR(__xludf.DUMMYFUNCTION("""COMPUTED_VALUE"""),0.0)</f>
        <v>0</v>
      </c>
      <c r="S4982" s="6" t="str">
        <f>IFERROR(__xludf.DUMMYFUNCTION("""COMPUTED_VALUE"""),"Kimberly Ball")</f>
        <v>Kimberly Ball</v>
      </c>
      <c r="T4982" s="6" t="str">
        <f>IFERROR(__xludf.DUMMYFUNCTION("""COMPUTED_VALUE"""),"kimberly.ball@studient.com")</f>
        <v>kimberly.ball@studient.com</v>
      </c>
      <c r="U4982" s="6" t="str">
        <f>IFERROR(__xludf.DUMMYFUNCTION("""COMPUTED_VALUE"""),"7")</f>
        <v>7</v>
      </c>
      <c r="V4982" s="6" t="str">
        <f>IFERROR(__xludf.DUMMYFUNCTION("""COMPUTED_VALUE"""),"")</f>
        <v/>
      </c>
      <c r="W4982" s="6" t="str">
        <f>IFERROR(__xludf.DUMMYFUNCTION("""COMPUTED_VALUE"""),"[]")</f>
        <v>[]</v>
      </c>
      <c r="X4982" s="6" t="str">
        <f>IFERROR(__xludf.DUMMYFUNCTION("""COMPUTED_VALUE"""),"Enrolled")</f>
        <v>Enrolled</v>
      </c>
    </row>
    <row r="4983">
      <c r="A4983" s="6" t="str">
        <f>IFERROR(__xludf.DUMMYFUNCTION("""COMPUTED_VALUE"""),"085-12026")</f>
        <v>085-12026</v>
      </c>
      <c r="B4983" s="6" t="str">
        <f>IFERROR(__xludf.DUMMYFUNCTION("""COMPUTED_VALUE"""),"85")</f>
        <v>85</v>
      </c>
      <c r="C4983" s="6" t="str">
        <f>IFERROR(__xludf.DUMMYFUNCTION("""COMPUTED_VALUE"""),"12026")</f>
        <v>12026</v>
      </c>
      <c r="D4983" s="6" t="str">
        <f>IFERROR(__xludf.DUMMYFUNCTION("""COMPUTED_VALUE"""),"Jowan")</f>
        <v>Jowan</v>
      </c>
      <c r="E4983" s="6" t="str">
        <f>IFERROR(__xludf.DUMMYFUNCTION("""COMPUTED_VALUE"""),"")</f>
        <v/>
      </c>
      <c r="F4983" s="6" t="str">
        <f>IFERROR(__xludf.DUMMYFUNCTION("""COMPUTED_VALUE"""),"Rivers")</f>
        <v>Rivers</v>
      </c>
      <c r="G4983" s="6" t="str">
        <f>IFERROR(__xludf.DUMMYFUNCTION("""COMPUTED_VALUE"""),"08/20/2013")</f>
        <v>08/20/2013</v>
      </c>
      <c r="H4983" s="6" t="str">
        <f>IFERROR(__xludf.DUMMYFUNCTION("""COMPUTED_VALUE"""),"male")</f>
        <v>male</v>
      </c>
      <c r="I4983" s="6" t="str">
        <f>IFERROR(__xludf.DUMMYFUNCTION("""COMPUTED_VALUE"""),"Middle School")</f>
        <v>Middle School</v>
      </c>
      <c r="J4983" s="6" t="str">
        <f>IFERROR(__xludf.DUMMYFUNCTION("""COMPUTED_VALUE"""),"7")</f>
        <v>7</v>
      </c>
      <c r="K4983" s="6" t="str">
        <f>IFERROR(__xludf.DUMMYFUNCTION("""COMPUTED_VALUE"""),"jowan.rivers@2hourlearning.com")</f>
        <v>jowan.rivers@2hourlearning.com</v>
      </c>
      <c r="L4983" s="6" t="str">
        <f>IFERROR(__xludf.DUMMYFUNCTION("""COMPUTED_VALUE"""),"AFMS - Allendale Fairfax Middle School")</f>
        <v>AFMS - Allendale Fairfax Middle School</v>
      </c>
      <c r="M4983" s="6" t="str">
        <f>IFERROR(__xludf.DUMMYFUNCTION("""COMPUTED_VALUE"""),"")</f>
        <v/>
      </c>
      <c r="N4983" s="6" t="str">
        <f>IFERROR(__xludf.DUMMYFUNCTION("""COMPUTED_VALUE"""),"")</f>
        <v/>
      </c>
      <c r="O4983" s="87" t="str">
        <f>IFERROR(__xludf.DUMMYFUNCTION("""COMPUTED_VALUE"""),"https://drive.google.com/drive/folders/10T2cTQHqEJZqE-st6uFKPoI?usp=share_link")</f>
        <v>https://drive.google.com/drive/folders/10T2cTQHqEJZqE-st6uFKPoI?usp=share_link</v>
      </c>
      <c r="P4983" s="6" t="str">
        <f>IFERROR(__xludf.DUMMYFUNCTION("""COMPUTED_VALUE"""),"Jowan Rivers")</f>
        <v>Jowan Rivers</v>
      </c>
      <c r="Q4983" s="6" t="str">
        <f>IFERROR(__xludf.DUMMYFUNCTION("""COMPUTED_VALUE"""),"MS")</f>
        <v>MS</v>
      </c>
      <c r="R4983" s="6">
        <f>IFERROR(__xludf.DUMMYFUNCTION("""COMPUTED_VALUE"""),0.0)</f>
        <v>0</v>
      </c>
      <c r="S4983" s="6" t="str">
        <f>IFERROR(__xludf.DUMMYFUNCTION("""COMPUTED_VALUE"""),"Kimberly Ball")</f>
        <v>Kimberly Ball</v>
      </c>
      <c r="T4983" s="6" t="str">
        <f>IFERROR(__xludf.DUMMYFUNCTION("""COMPUTED_VALUE"""),"kimberly.ball@studient.com")</f>
        <v>kimberly.ball@studient.com</v>
      </c>
      <c r="U4983" s="6" t="str">
        <f>IFERROR(__xludf.DUMMYFUNCTION("""COMPUTED_VALUE"""),"7")</f>
        <v>7</v>
      </c>
      <c r="V4983" s="6" t="str">
        <f>IFERROR(__xludf.DUMMYFUNCTION("""COMPUTED_VALUE"""),"")</f>
        <v/>
      </c>
      <c r="W4983" s="6" t="str">
        <f>IFERROR(__xludf.DUMMYFUNCTION("""COMPUTED_VALUE"""),"[]")</f>
        <v>[]</v>
      </c>
      <c r="X4983" s="6" t="str">
        <f>IFERROR(__xludf.DUMMYFUNCTION("""COMPUTED_VALUE"""),"Enrolled")</f>
        <v>Enrolled</v>
      </c>
    </row>
    <row r="4984">
      <c r="A4984" s="6" t="str">
        <f>IFERROR(__xludf.DUMMYFUNCTION("""COMPUTED_VALUE"""),"085-12027")</f>
        <v>085-12027</v>
      </c>
      <c r="B4984" s="6" t="str">
        <f>IFERROR(__xludf.DUMMYFUNCTION("""COMPUTED_VALUE"""),"85")</f>
        <v>85</v>
      </c>
      <c r="C4984" s="6" t="str">
        <f>IFERROR(__xludf.DUMMYFUNCTION("""COMPUTED_VALUE"""),"12027")</f>
        <v>12027</v>
      </c>
      <c r="D4984" s="6" t="str">
        <f>IFERROR(__xludf.DUMMYFUNCTION("""COMPUTED_VALUE"""),"Edward")</f>
        <v>Edward</v>
      </c>
      <c r="E4984" s="6" t="str">
        <f>IFERROR(__xludf.DUMMYFUNCTION("""COMPUTED_VALUE"""),"")</f>
        <v/>
      </c>
      <c r="F4984" s="6" t="str">
        <f>IFERROR(__xludf.DUMMYFUNCTION("""COMPUTED_VALUE"""),"Robinson")</f>
        <v>Robinson</v>
      </c>
      <c r="G4984" s="6" t="str">
        <f>IFERROR(__xludf.DUMMYFUNCTION("""COMPUTED_VALUE"""),"08/22/2011")</f>
        <v>08/22/2011</v>
      </c>
      <c r="H4984" s="6" t="str">
        <f>IFERROR(__xludf.DUMMYFUNCTION("""COMPUTED_VALUE"""),"male")</f>
        <v>male</v>
      </c>
      <c r="I4984" s="6" t="str">
        <f>IFERROR(__xludf.DUMMYFUNCTION("""COMPUTED_VALUE"""),"Middle School")</f>
        <v>Middle School</v>
      </c>
      <c r="J4984" s="6" t="str">
        <f>IFERROR(__xludf.DUMMYFUNCTION("""COMPUTED_VALUE"""),"7")</f>
        <v>7</v>
      </c>
      <c r="K4984" s="6" t="str">
        <f>IFERROR(__xludf.DUMMYFUNCTION("""COMPUTED_VALUE"""),"edward.robinson@2hourlearning.com")</f>
        <v>edward.robinson@2hourlearning.com</v>
      </c>
      <c r="L4984" s="6" t="str">
        <f>IFERROR(__xludf.DUMMYFUNCTION("""COMPUTED_VALUE"""),"AFMS - Allendale Fairfax Middle School")</f>
        <v>AFMS - Allendale Fairfax Middle School</v>
      </c>
      <c r="M4984" s="6" t="str">
        <f>IFERROR(__xludf.DUMMYFUNCTION("""COMPUTED_VALUE"""),"")</f>
        <v/>
      </c>
      <c r="N4984" s="6" t="str">
        <f>IFERROR(__xludf.DUMMYFUNCTION("""COMPUTED_VALUE"""),"")</f>
        <v/>
      </c>
      <c r="O4984" s="87" t="str">
        <f>IFERROR(__xludf.DUMMYFUNCTION("""COMPUTED_VALUE"""),"https://drive.google.com/drive/folders/10T2cTQHqEJZqE-st6uFKPoI?usp=share_link")</f>
        <v>https://drive.google.com/drive/folders/10T2cTQHqEJZqE-st6uFKPoI?usp=share_link</v>
      </c>
      <c r="P4984" s="6" t="str">
        <f>IFERROR(__xludf.DUMMYFUNCTION("""COMPUTED_VALUE"""),"Edward Robinson")</f>
        <v>Edward Robinson</v>
      </c>
      <c r="Q4984" s="6" t="str">
        <f>IFERROR(__xludf.DUMMYFUNCTION("""COMPUTED_VALUE"""),"MS")</f>
        <v>MS</v>
      </c>
      <c r="R4984" s="6">
        <f>IFERROR(__xludf.DUMMYFUNCTION("""COMPUTED_VALUE"""),0.0)</f>
        <v>0</v>
      </c>
      <c r="S4984" s="6" t="str">
        <f>IFERROR(__xludf.DUMMYFUNCTION("""COMPUTED_VALUE"""),"Kimberly Ball")</f>
        <v>Kimberly Ball</v>
      </c>
      <c r="T4984" s="6" t="str">
        <f>IFERROR(__xludf.DUMMYFUNCTION("""COMPUTED_VALUE"""),"kimberly.ball@studient.com")</f>
        <v>kimberly.ball@studient.com</v>
      </c>
      <c r="U4984" s="6" t="str">
        <f>IFERROR(__xludf.DUMMYFUNCTION("""COMPUTED_VALUE"""),"7")</f>
        <v>7</v>
      </c>
      <c r="V4984" s="6" t="str">
        <f>IFERROR(__xludf.DUMMYFUNCTION("""COMPUTED_VALUE"""),"")</f>
        <v/>
      </c>
      <c r="W4984" s="6" t="str">
        <f>IFERROR(__xludf.DUMMYFUNCTION("""COMPUTED_VALUE"""),"[]")</f>
        <v>[]</v>
      </c>
      <c r="X4984" s="6" t="str">
        <f>IFERROR(__xludf.DUMMYFUNCTION("""COMPUTED_VALUE"""),"Enrolled")</f>
        <v>Enrolled</v>
      </c>
    </row>
    <row r="4985">
      <c r="A4985" s="6" t="str">
        <f>IFERROR(__xludf.DUMMYFUNCTION("""COMPUTED_VALUE"""),"085-12028")</f>
        <v>085-12028</v>
      </c>
      <c r="B4985" s="6" t="str">
        <f>IFERROR(__xludf.DUMMYFUNCTION("""COMPUTED_VALUE"""),"85")</f>
        <v>85</v>
      </c>
      <c r="C4985" s="6" t="str">
        <f>IFERROR(__xludf.DUMMYFUNCTION("""COMPUTED_VALUE"""),"12028")</f>
        <v>12028</v>
      </c>
      <c r="D4985" s="6" t="str">
        <f>IFERROR(__xludf.DUMMYFUNCTION("""COMPUTED_VALUE"""),"Kelvin")</f>
        <v>Kelvin</v>
      </c>
      <c r="E4985" s="6" t="str">
        <f>IFERROR(__xludf.DUMMYFUNCTION("""COMPUTED_VALUE"""),"")</f>
        <v/>
      </c>
      <c r="F4985" s="6" t="str">
        <f>IFERROR(__xludf.DUMMYFUNCTION("""COMPUTED_VALUE"""),"Robinson")</f>
        <v>Robinson</v>
      </c>
      <c r="G4985" s="6" t="str">
        <f>IFERROR(__xludf.DUMMYFUNCTION("""COMPUTED_VALUE"""),"06/11/2012")</f>
        <v>06/11/2012</v>
      </c>
      <c r="H4985" s="6" t="str">
        <f>IFERROR(__xludf.DUMMYFUNCTION("""COMPUTED_VALUE"""),"male")</f>
        <v>male</v>
      </c>
      <c r="I4985" s="6" t="str">
        <f>IFERROR(__xludf.DUMMYFUNCTION("""COMPUTED_VALUE"""),"Middle School")</f>
        <v>Middle School</v>
      </c>
      <c r="J4985" s="6" t="str">
        <f>IFERROR(__xludf.DUMMYFUNCTION("""COMPUTED_VALUE"""),"7")</f>
        <v>7</v>
      </c>
      <c r="K4985" s="6" t="str">
        <f>IFERROR(__xludf.DUMMYFUNCTION("""COMPUTED_VALUE"""),"kelvin.robinson@2hourlearning.com")</f>
        <v>kelvin.robinson@2hourlearning.com</v>
      </c>
      <c r="L4985" s="6" t="str">
        <f>IFERROR(__xludf.DUMMYFUNCTION("""COMPUTED_VALUE"""),"AFMS - Allendale Fairfax Middle School")</f>
        <v>AFMS - Allendale Fairfax Middle School</v>
      </c>
      <c r="M4985" s="6" t="str">
        <f>IFERROR(__xludf.DUMMYFUNCTION("""COMPUTED_VALUE"""),"")</f>
        <v/>
      </c>
      <c r="N4985" s="6" t="str">
        <f>IFERROR(__xludf.DUMMYFUNCTION("""COMPUTED_VALUE"""),"")</f>
        <v/>
      </c>
      <c r="O4985" s="87" t="str">
        <f>IFERROR(__xludf.DUMMYFUNCTION("""COMPUTED_VALUE"""),"https://drive.google.com/drive/folders/10T2cTQHqEJZqE-st6uFKPoI?usp=share_link")</f>
        <v>https://drive.google.com/drive/folders/10T2cTQHqEJZqE-st6uFKPoI?usp=share_link</v>
      </c>
      <c r="P4985" s="6" t="str">
        <f>IFERROR(__xludf.DUMMYFUNCTION("""COMPUTED_VALUE"""),"Kelvin Robinson")</f>
        <v>Kelvin Robinson</v>
      </c>
      <c r="Q4985" s="6" t="str">
        <f>IFERROR(__xludf.DUMMYFUNCTION("""COMPUTED_VALUE"""),"MS")</f>
        <v>MS</v>
      </c>
      <c r="R4985" s="6">
        <f>IFERROR(__xludf.DUMMYFUNCTION("""COMPUTED_VALUE"""),0.0)</f>
        <v>0</v>
      </c>
      <c r="S4985" s="6" t="str">
        <f>IFERROR(__xludf.DUMMYFUNCTION("""COMPUTED_VALUE"""),"Kimberly Ball")</f>
        <v>Kimberly Ball</v>
      </c>
      <c r="T4985" s="6" t="str">
        <f>IFERROR(__xludf.DUMMYFUNCTION("""COMPUTED_VALUE"""),"kimberly.ball@studient.com")</f>
        <v>kimberly.ball@studient.com</v>
      </c>
      <c r="U4985" s="6" t="str">
        <f>IFERROR(__xludf.DUMMYFUNCTION("""COMPUTED_VALUE"""),"7")</f>
        <v>7</v>
      </c>
      <c r="V4985" s="6" t="str">
        <f>IFERROR(__xludf.DUMMYFUNCTION("""COMPUTED_VALUE"""),"")</f>
        <v/>
      </c>
      <c r="W4985" s="6" t="str">
        <f>IFERROR(__xludf.DUMMYFUNCTION("""COMPUTED_VALUE"""),"[]")</f>
        <v>[]</v>
      </c>
      <c r="X4985" s="6" t="str">
        <f>IFERROR(__xludf.DUMMYFUNCTION("""COMPUTED_VALUE"""),"Enrolled")</f>
        <v>Enrolled</v>
      </c>
    </row>
    <row r="4986">
      <c r="A4986" s="6" t="str">
        <f>IFERROR(__xludf.DUMMYFUNCTION("""COMPUTED_VALUE"""),"085-12029")</f>
        <v>085-12029</v>
      </c>
      <c r="B4986" s="6" t="str">
        <f>IFERROR(__xludf.DUMMYFUNCTION("""COMPUTED_VALUE"""),"85")</f>
        <v>85</v>
      </c>
      <c r="C4986" s="6" t="str">
        <f>IFERROR(__xludf.DUMMYFUNCTION("""COMPUTED_VALUE"""),"12029")</f>
        <v>12029</v>
      </c>
      <c r="D4986" s="6" t="str">
        <f>IFERROR(__xludf.DUMMYFUNCTION("""COMPUTED_VALUE"""),"Kenyari")</f>
        <v>Kenyari</v>
      </c>
      <c r="E4986" s="6" t="str">
        <f>IFERROR(__xludf.DUMMYFUNCTION("""COMPUTED_VALUE"""),"")</f>
        <v/>
      </c>
      <c r="F4986" s="6" t="str">
        <f>IFERROR(__xludf.DUMMYFUNCTION("""COMPUTED_VALUE"""),"Robinson")</f>
        <v>Robinson</v>
      </c>
      <c r="G4986" s="6" t="str">
        <f>IFERROR(__xludf.DUMMYFUNCTION("""COMPUTED_VALUE"""),"10/19/2012")</f>
        <v>10/19/2012</v>
      </c>
      <c r="H4986" s="6" t="str">
        <f>IFERROR(__xludf.DUMMYFUNCTION("""COMPUTED_VALUE"""),"female")</f>
        <v>female</v>
      </c>
      <c r="I4986" s="6" t="str">
        <f>IFERROR(__xludf.DUMMYFUNCTION("""COMPUTED_VALUE"""),"Middle School")</f>
        <v>Middle School</v>
      </c>
      <c r="J4986" s="6" t="str">
        <f>IFERROR(__xludf.DUMMYFUNCTION("""COMPUTED_VALUE"""),"7")</f>
        <v>7</v>
      </c>
      <c r="K4986" s="6" t="str">
        <f>IFERROR(__xludf.DUMMYFUNCTION("""COMPUTED_VALUE"""),"kenyari.robinson@2hourlearning.com")</f>
        <v>kenyari.robinson@2hourlearning.com</v>
      </c>
      <c r="L4986" s="6" t="str">
        <f>IFERROR(__xludf.DUMMYFUNCTION("""COMPUTED_VALUE"""),"AFMS - Allendale Fairfax Middle School")</f>
        <v>AFMS - Allendale Fairfax Middle School</v>
      </c>
      <c r="M4986" s="6" t="str">
        <f>IFERROR(__xludf.DUMMYFUNCTION("""COMPUTED_VALUE"""),"")</f>
        <v/>
      </c>
      <c r="N4986" s="6" t="str">
        <f>IFERROR(__xludf.DUMMYFUNCTION("""COMPUTED_VALUE"""),"")</f>
        <v/>
      </c>
      <c r="O4986" s="87" t="str">
        <f>IFERROR(__xludf.DUMMYFUNCTION("""COMPUTED_VALUE"""),"https://drive.google.com/drive/folders/10T2cTQHqEJZqE-st6uFKPoI?usp=share_link")</f>
        <v>https://drive.google.com/drive/folders/10T2cTQHqEJZqE-st6uFKPoI?usp=share_link</v>
      </c>
      <c r="P4986" s="6" t="str">
        <f>IFERROR(__xludf.DUMMYFUNCTION("""COMPUTED_VALUE"""),"Kenyari Robinson")</f>
        <v>Kenyari Robinson</v>
      </c>
      <c r="Q4986" s="6" t="str">
        <f>IFERROR(__xludf.DUMMYFUNCTION("""COMPUTED_VALUE"""),"MS")</f>
        <v>MS</v>
      </c>
      <c r="R4986" s="6">
        <f>IFERROR(__xludf.DUMMYFUNCTION("""COMPUTED_VALUE"""),0.0)</f>
        <v>0</v>
      </c>
      <c r="S4986" s="6" t="str">
        <f>IFERROR(__xludf.DUMMYFUNCTION("""COMPUTED_VALUE"""),"Kimberly Ball")</f>
        <v>Kimberly Ball</v>
      </c>
      <c r="T4986" s="6" t="str">
        <f>IFERROR(__xludf.DUMMYFUNCTION("""COMPUTED_VALUE"""),"kimberly.ball@studient.com")</f>
        <v>kimberly.ball@studient.com</v>
      </c>
      <c r="U4986" s="6" t="str">
        <f>IFERROR(__xludf.DUMMYFUNCTION("""COMPUTED_VALUE"""),"7")</f>
        <v>7</v>
      </c>
      <c r="V4986" s="6" t="str">
        <f>IFERROR(__xludf.DUMMYFUNCTION("""COMPUTED_VALUE"""),"")</f>
        <v/>
      </c>
      <c r="W4986" s="6" t="str">
        <f>IFERROR(__xludf.DUMMYFUNCTION("""COMPUTED_VALUE"""),"[]")</f>
        <v>[]</v>
      </c>
      <c r="X4986" s="6" t="str">
        <f>IFERROR(__xludf.DUMMYFUNCTION("""COMPUTED_VALUE"""),"Enrolled")</f>
        <v>Enrolled</v>
      </c>
    </row>
    <row r="4987">
      <c r="A4987" s="6" t="str">
        <f>IFERROR(__xludf.DUMMYFUNCTION("""COMPUTED_VALUE"""),"085-12030")</f>
        <v>085-12030</v>
      </c>
      <c r="B4987" s="6" t="str">
        <f>IFERROR(__xludf.DUMMYFUNCTION("""COMPUTED_VALUE"""),"85")</f>
        <v>85</v>
      </c>
      <c r="C4987" s="6" t="str">
        <f>IFERROR(__xludf.DUMMYFUNCTION("""COMPUTED_VALUE"""),"12030")</f>
        <v>12030</v>
      </c>
      <c r="D4987" s="6" t="str">
        <f>IFERROR(__xludf.DUMMYFUNCTION("""COMPUTED_VALUE"""),"Kori")</f>
        <v>Kori</v>
      </c>
      <c r="E4987" s="6" t="str">
        <f>IFERROR(__xludf.DUMMYFUNCTION("""COMPUTED_VALUE"""),"")</f>
        <v/>
      </c>
      <c r="F4987" s="6" t="str">
        <f>IFERROR(__xludf.DUMMYFUNCTION("""COMPUTED_VALUE"""),"Robinson")</f>
        <v>Robinson</v>
      </c>
      <c r="G4987" s="6" t="str">
        <f>IFERROR(__xludf.DUMMYFUNCTION("""COMPUTED_VALUE"""),"07/08/2013")</f>
        <v>07/08/2013</v>
      </c>
      <c r="H4987" s="6" t="str">
        <f>IFERROR(__xludf.DUMMYFUNCTION("""COMPUTED_VALUE"""),"female")</f>
        <v>female</v>
      </c>
      <c r="I4987" s="6" t="str">
        <f>IFERROR(__xludf.DUMMYFUNCTION("""COMPUTED_VALUE"""),"Middle School")</f>
        <v>Middle School</v>
      </c>
      <c r="J4987" s="6" t="str">
        <f>IFERROR(__xludf.DUMMYFUNCTION("""COMPUTED_VALUE"""),"7")</f>
        <v>7</v>
      </c>
      <c r="K4987" s="6" t="str">
        <f>IFERROR(__xludf.DUMMYFUNCTION("""COMPUTED_VALUE"""),"kori.robinson@2hourlearning.com")</f>
        <v>kori.robinson@2hourlearning.com</v>
      </c>
      <c r="L4987" s="6" t="str">
        <f>IFERROR(__xludf.DUMMYFUNCTION("""COMPUTED_VALUE"""),"AFMS - Allendale Fairfax Middle School")</f>
        <v>AFMS - Allendale Fairfax Middle School</v>
      </c>
      <c r="M4987" s="6" t="str">
        <f>IFERROR(__xludf.DUMMYFUNCTION("""COMPUTED_VALUE"""),"")</f>
        <v/>
      </c>
      <c r="N4987" s="6" t="str">
        <f>IFERROR(__xludf.DUMMYFUNCTION("""COMPUTED_VALUE"""),"")</f>
        <v/>
      </c>
      <c r="O4987" s="87" t="str">
        <f>IFERROR(__xludf.DUMMYFUNCTION("""COMPUTED_VALUE"""),"https://drive.google.com/drive/folders/10T2cTQHqEJZqE-st6uFKPoI?usp=share_link")</f>
        <v>https://drive.google.com/drive/folders/10T2cTQHqEJZqE-st6uFKPoI?usp=share_link</v>
      </c>
      <c r="P4987" s="6" t="str">
        <f>IFERROR(__xludf.DUMMYFUNCTION("""COMPUTED_VALUE"""),"Kori Robinson")</f>
        <v>Kori Robinson</v>
      </c>
      <c r="Q4987" s="6" t="str">
        <f>IFERROR(__xludf.DUMMYFUNCTION("""COMPUTED_VALUE"""),"MS")</f>
        <v>MS</v>
      </c>
      <c r="R4987" s="6">
        <f>IFERROR(__xludf.DUMMYFUNCTION("""COMPUTED_VALUE"""),0.0)</f>
        <v>0</v>
      </c>
      <c r="S4987" s="6" t="str">
        <f>IFERROR(__xludf.DUMMYFUNCTION("""COMPUTED_VALUE"""),"Kimberly Ball")</f>
        <v>Kimberly Ball</v>
      </c>
      <c r="T4987" s="6" t="str">
        <f>IFERROR(__xludf.DUMMYFUNCTION("""COMPUTED_VALUE"""),"kimberly.ball@studient.com")</f>
        <v>kimberly.ball@studient.com</v>
      </c>
      <c r="U4987" s="6" t="str">
        <f>IFERROR(__xludf.DUMMYFUNCTION("""COMPUTED_VALUE"""),"7")</f>
        <v>7</v>
      </c>
      <c r="V4987" s="6" t="str">
        <f>IFERROR(__xludf.DUMMYFUNCTION("""COMPUTED_VALUE"""),"")</f>
        <v/>
      </c>
      <c r="W4987" s="6" t="str">
        <f>IFERROR(__xludf.DUMMYFUNCTION("""COMPUTED_VALUE"""),"[]")</f>
        <v>[]</v>
      </c>
      <c r="X4987" s="6" t="str">
        <f>IFERROR(__xludf.DUMMYFUNCTION("""COMPUTED_VALUE"""),"Enrolled")</f>
        <v>Enrolled</v>
      </c>
    </row>
    <row r="4988">
      <c r="A4988" s="6" t="str">
        <f>IFERROR(__xludf.DUMMYFUNCTION("""COMPUTED_VALUE"""),"085-12031")</f>
        <v>085-12031</v>
      </c>
      <c r="B4988" s="6" t="str">
        <f>IFERROR(__xludf.DUMMYFUNCTION("""COMPUTED_VALUE"""),"85")</f>
        <v>85</v>
      </c>
      <c r="C4988" s="6" t="str">
        <f>IFERROR(__xludf.DUMMYFUNCTION("""COMPUTED_VALUE"""),"12031")</f>
        <v>12031</v>
      </c>
      <c r="D4988" s="6" t="str">
        <f>IFERROR(__xludf.DUMMYFUNCTION("""COMPUTED_VALUE"""),"Memphis")</f>
        <v>Memphis</v>
      </c>
      <c r="E4988" s="6" t="str">
        <f>IFERROR(__xludf.DUMMYFUNCTION("""COMPUTED_VALUE"""),"")</f>
        <v/>
      </c>
      <c r="F4988" s="6" t="str">
        <f>IFERROR(__xludf.DUMMYFUNCTION("""COMPUTED_VALUE"""),"Robinson")</f>
        <v>Robinson</v>
      </c>
      <c r="G4988" s="6" t="str">
        <f>IFERROR(__xludf.DUMMYFUNCTION("""COMPUTED_VALUE"""),"07/01/2013")</f>
        <v>07/01/2013</v>
      </c>
      <c r="H4988" s="6" t="str">
        <f>IFERROR(__xludf.DUMMYFUNCTION("""COMPUTED_VALUE"""),"male")</f>
        <v>male</v>
      </c>
      <c r="I4988" s="6" t="str">
        <f>IFERROR(__xludf.DUMMYFUNCTION("""COMPUTED_VALUE"""),"Middle School")</f>
        <v>Middle School</v>
      </c>
      <c r="J4988" s="6" t="str">
        <f>IFERROR(__xludf.DUMMYFUNCTION("""COMPUTED_VALUE"""),"7")</f>
        <v>7</v>
      </c>
      <c r="K4988" s="6" t="str">
        <f>IFERROR(__xludf.DUMMYFUNCTION("""COMPUTED_VALUE"""),"memphis.robinson@2hourlearning.com")</f>
        <v>memphis.robinson@2hourlearning.com</v>
      </c>
      <c r="L4988" s="6" t="str">
        <f>IFERROR(__xludf.DUMMYFUNCTION("""COMPUTED_VALUE"""),"AFMS - Allendale Fairfax Middle School")</f>
        <v>AFMS - Allendale Fairfax Middle School</v>
      </c>
      <c r="M4988" s="6" t="str">
        <f>IFERROR(__xludf.DUMMYFUNCTION("""COMPUTED_VALUE"""),"")</f>
        <v/>
      </c>
      <c r="N4988" s="6" t="str">
        <f>IFERROR(__xludf.DUMMYFUNCTION("""COMPUTED_VALUE"""),"")</f>
        <v/>
      </c>
      <c r="O4988" s="87" t="str">
        <f>IFERROR(__xludf.DUMMYFUNCTION("""COMPUTED_VALUE"""),"https://drive.google.com/drive/folders/10T2cTQHqEJZqE-st6uFKPoI?usp=share_link")</f>
        <v>https://drive.google.com/drive/folders/10T2cTQHqEJZqE-st6uFKPoI?usp=share_link</v>
      </c>
      <c r="P4988" s="6" t="str">
        <f>IFERROR(__xludf.DUMMYFUNCTION("""COMPUTED_VALUE"""),"Memphis Robinson")</f>
        <v>Memphis Robinson</v>
      </c>
      <c r="Q4988" s="6" t="str">
        <f>IFERROR(__xludf.DUMMYFUNCTION("""COMPUTED_VALUE"""),"MS")</f>
        <v>MS</v>
      </c>
      <c r="R4988" s="6">
        <f>IFERROR(__xludf.DUMMYFUNCTION("""COMPUTED_VALUE"""),0.0)</f>
        <v>0</v>
      </c>
      <c r="S4988" s="6" t="str">
        <f>IFERROR(__xludf.DUMMYFUNCTION("""COMPUTED_VALUE"""),"Kimberly Ball")</f>
        <v>Kimberly Ball</v>
      </c>
      <c r="T4988" s="6" t="str">
        <f>IFERROR(__xludf.DUMMYFUNCTION("""COMPUTED_VALUE"""),"kimberly.ball@studient.com")</f>
        <v>kimberly.ball@studient.com</v>
      </c>
      <c r="U4988" s="6" t="str">
        <f>IFERROR(__xludf.DUMMYFUNCTION("""COMPUTED_VALUE"""),"7")</f>
        <v>7</v>
      </c>
      <c r="V4988" s="6" t="str">
        <f>IFERROR(__xludf.DUMMYFUNCTION("""COMPUTED_VALUE"""),"")</f>
        <v/>
      </c>
      <c r="W4988" s="6" t="str">
        <f>IFERROR(__xludf.DUMMYFUNCTION("""COMPUTED_VALUE"""),"[]")</f>
        <v>[]</v>
      </c>
      <c r="X4988" s="6" t="str">
        <f>IFERROR(__xludf.DUMMYFUNCTION("""COMPUTED_VALUE"""),"Enrolled")</f>
        <v>Enrolled</v>
      </c>
    </row>
    <row r="4989">
      <c r="A4989" s="6" t="str">
        <f>IFERROR(__xludf.DUMMYFUNCTION("""COMPUTED_VALUE"""),"085-12032")</f>
        <v>085-12032</v>
      </c>
      <c r="B4989" s="6" t="str">
        <f>IFERROR(__xludf.DUMMYFUNCTION("""COMPUTED_VALUE"""),"85")</f>
        <v>85</v>
      </c>
      <c r="C4989" s="6" t="str">
        <f>IFERROR(__xludf.DUMMYFUNCTION("""COMPUTED_VALUE"""),"12032")</f>
        <v>12032</v>
      </c>
      <c r="D4989" s="6" t="str">
        <f>IFERROR(__xludf.DUMMYFUNCTION("""COMPUTED_VALUE"""),"Jahanna")</f>
        <v>Jahanna</v>
      </c>
      <c r="E4989" s="6" t="str">
        <f>IFERROR(__xludf.DUMMYFUNCTION("""COMPUTED_VALUE"""),"")</f>
        <v/>
      </c>
      <c r="F4989" s="6" t="str">
        <f>IFERROR(__xludf.DUMMYFUNCTION("""COMPUTED_VALUE"""),"Sanders")</f>
        <v>Sanders</v>
      </c>
      <c r="G4989" s="6" t="str">
        <f>IFERROR(__xludf.DUMMYFUNCTION("""COMPUTED_VALUE"""),"08/08/2013")</f>
        <v>08/08/2013</v>
      </c>
      <c r="H4989" s="6" t="str">
        <f>IFERROR(__xludf.DUMMYFUNCTION("""COMPUTED_VALUE"""),"female")</f>
        <v>female</v>
      </c>
      <c r="I4989" s="6" t="str">
        <f>IFERROR(__xludf.DUMMYFUNCTION("""COMPUTED_VALUE"""),"Middle School")</f>
        <v>Middle School</v>
      </c>
      <c r="J4989" s="6" t="str">
        <f>IFERROR(__xludf.DUMMYFUNCTION("""COMPUTED_VALUE"""),"7")</f>
        <v>7</v>
      </c>
      <c r="K4989" s="6" t="str">
        <f>IFERROR(__xludf.DUMMYFUNCTION("""COMPUTED_VALUE"""),"jahanna.sanders@2hourlearning.com")</f>
        <v>jahanna.sanders@2hourlearning.com</v>
      </c>
      <c r="L4989" s="6" t="str">
        <f>IFERROR(__xludf.DUMMYFUNCTION("""COMPUTED_VALUE"""),"AFMS - Allendale Fairfax Middle School")</f>
        <v>AFMS - Allendale Fairfax Middle School</v>
      </c>
      <c r="M4989" s="6" t="str">
        <f>IFERROR(__xludf.DUMMYFUNCTION("""COMPUTED_VALUE"""),"")</f>
        <v/>
      </c>
      <c r="N4989" s="6" t="str">
        <f>IFERROR(__xludf.DUMMYFUNCTION("""COMPUTED_VALUE"""),"")</f>
        <v/>
      </c>
      <c r="O4989" s="87" t="str">
        <f>IFERROR(__xludf.DUMMYFUNCTION("""COMPUTED_VALUE"""),"https://drive.google.com/drive/folders/10T2cTQHqEJZqE-st6uFKPoI?usp=share_link")</f>
        <v>https://drive.google.com/drive/folders/10T2cTQHqEJZqE-st6uFKPoI?usp=share_link</v>
      </c>
      <c r="P4989" s="6" t="str">
        <f>IFERROR(__xludf.DUMMYFUNCTION("""COMPUTED_VALUE"""),"Jahanna Sanders")</f>
        <v>Jahanna Sanders</v>
      </c>
      <c r="Q4989" s="6" t="str">
        <f>IFERROR(__xludf.DUMMYFUNCTION("""COMPUTED_VALUE"""),"MS")</f>
        <v>MS</v>
      </c>
      <c r="R4989" s="6">
        <f>IFERROR(__xludf.DUMMYFUNCTION("""COMPUTED_VALUE"""),0.0)</f>
        <v>0</v>
      </c>
      <c r="S4989" s="6" t="str">
        <f>IFERROR(__xludf.DUMMYFUNCTION("""COMPUTED_VALUE"""),"Kimberly Ball")</f>
        <v>Kimberly Ball</v>
      </c>
      <c r="T4989" s="6" t="str">
        <f>IFERROR(__xludf.DUMMYFUNCTION("""COMPUTED_VALUE"""),"kimberly.ball@studient.com")</f>
        <v>kimberly.ball@studient.com</v>
      </c>
      <c r="U4989" s="6" t="str">
        <f>IFERROR(__xludf.DUMMYFUNCTION("""COMPUTED_VALUE"""),"7")</f>
        <v>7</v>
      </c>
      <c r="V4989" s="6" t="str">
        <f>IFERROR(__xludf.DUMMYFUNCTION("""COMPUTED_VALUE"""),"")</f>
        <v/>
      </c>
      <c r="W4989" s="6" t="str">
        <f>IFERROR(__xludf.DUMMYFUNCTION("""COMPUTED_VALUE"""),"[]")</f>
        <v>[]</v>
      </c>
      <c r="X4989" s="6" t="str">
        <f>IFERROR(__xludf.DUMMYFUNCTION("""COMPUTED_VALUE"""),"Enrolled")</f>
        <v>Enrolled</v>
      </c>
    </row>
    <row r="4990">
      <c r="A4990" s="6" t="str">
        <f>IFERROR(__xludf.DUMMYFUNCTION("""COMPUTED_VALUE"""),"085-12033")</f>
        <v>085-12033</v>
      </c>
      <c r="B4990" s="6" t="str">
        <f>IFERROR(__xludf.DUMMYFUNCTION("""COMPUTED_VALUE"""),"85")</f>
        <v>85</v>
      </c>
      <c r="C4990" s="6" t="str">
        <f>IFERROR(__xludf.DUMMYFUNCTION("""COMPUTED_VALUE"""),"12033")</f>
        <v>12033</v>
      </c>
      <c r="D4990" s="6" t="str">
        <f>IFERROR(__xludf.DUMMYFUNCTION("""COMPUTED_VALUE"""),"Jaida")</f>
        <v>Jaida</v>
      </c>
      <c r="E4990" s="6" t="str">
        <f>IFERROR(__xludf.DUMMYFUNCTION("""COMPUTED_VALUE"""),"")</f>
        <v/>
      </c>
      <c r="F4990" s="6" t="str">
        <f>IFERROR(__xludf.DUMMYFUNCTION("""COMPUTED_VALUE"""),"Sanders")</f>
        <v>Sanders</v>
      </c>
      <c r="G4990" s="6" t="str">
        <f>IFERROR(__xludf.DUMMYFUNCTION("""COMPUTED_VALUE"""),"08/08/2013")</f>
        <v>08/08/2013</v>
      </c>
      <c r="H4990" s="6" t="str">
        <f>IFERROR(__xludf.DUMMYFUNCTION("""COMPUTED_VALUE"""),"female")</f>
        <v>female</v>
      </c>
      <c r="I4990" s="6" t="str">
        <f>IFERROR(__xludf.DUMMYFUNCTION("""COMPUTED_VALUE"""),"Middle School")</f>
        <v>Middle School</v>
      </c>
      <c r="J4990" s="6" t="str">
        <f>IFERROR(__xludf.DUMMYFUNCTION("""COMPUTED_VALUE"""),"7")</f>
        <v>7</v>
      </c>
      <c r="K4990" s="6" t="str">
        <f>IFERROR(__xludf.DUMMYFUNCTION("""COMPUTED_VALUE"""),"jaida.sanders@2hourlearning.com")</f>
        <v>jaida.sanders@2hourlearning.com</v>
      </c>
      <c r="L4990" s="6" t="str">
        <f>IFERROR(__xludf.DUMMYFUNCTION("""COMPUTED_VALUE"""),"AFMS - Allendale Fairfax Middle School")</f>
        <v>AFMS - Allendale Fairfax Middle School</v>
      </c>
      <c r="M4990" s="6" t="str">
        <f>IFERROR(__xludf.DUMMYFUNCTION("""COMPUTED_VALUE"""),"")</f>
        <v/>
      </c>
      <c r="N4990" s="6" t="str">
        <f>IFERROR(__xludf.DUMMYFUNCTION("""COMPUTED_VALUE"""),"")</f>
        <v/>
      </c>
      <c r="O4990" s="87" t="str">
        <f>IFERROR(__xludf.DUMMYFUNCTION("""COMPUTED_VALUE"""),"https://drive.google.com/drive/folders/10T2cTQHqEJZqE-st6uFKPoI?usp=share_link")</f>
        <v>https://drive.google.com/drive/folders/10T2cTQHqEJZqE-st6uFKPoI?usp=share_link</v>
      </c>
      <c r="P4990" s="6" t="str">
        <f>IFERROR(__xludf.DUMMYFUNCTION("""COMPUTED_VALUE"""),"Jaida Sanders")</f>
        <v>Jaida Sanders</v>
      </c>
      <c r="Q4990" s="6" t="str">
        <f>IFERROR(__xludf.DUMMYFUNCTION("""COMPUTED_VALUE"""),"MS")</f>
        <v>MS</v>
      </c>
      <c r="R4990" s="6">
        <f>IFERROR(__xludf.DUMMYFUNCTION("""COMPUTED_VALUE"""),0.0)</f>
        <v>0</v>
      </c>
      <c r="S4990" s="6" t="str">
        <f>IFERROR(__xludf.DUMMYFUNCTION("""COMPUTED_VALUE"""),"Kimberly Ball")</f>
        <v>Kimberly Ball</v>
      </c>
      <c r="T4990" s="6" t="str">
        <f>IFERROR(__xludf.DUMMYFUNCTION("""COMPUTED_VALUE"""),"kimberly.ball@studient.com")</f>
        <v>kimberly.ball@studient.com</v>
      </c>
      <c r="U4990" s="6" t="str">
        <f>IFERROR(__xludf.DUMMYFUNCTION("""COMPUTED_VALUE"""),"7")</f>
        <v>7</v>
      </c>
      <c r="V4990" s="6" t="str">
        <f>IFERROR(__xludf.DUMMYFUNCTION("""COMPUTED_VALUE"""),"")</f>
        <v/>
      </c>
      <c r="W4990" s="6" t="str">
        <f>IFERROR(__xludf.DUMMYFUNCTION("""COMPUTED_VALUE"""),"[]")</f>
        <v>[]</v>
      </c>
      <c r="X4990" s="6" t="str">
        <f>IFERROR(__xludf.DUMMYFUNCTION("""COMPUTED_VALUE"""),"Enrolled")</f>
        <v>Enrolled</v>
      </c>
    </row>
    <row r="4991">
      <c r="A4991" s="6" t="str">
        <f>IFERROR(__xludf.DUMMYFUNCTION("""COMPUTED_VALUE"""),"085-12034")</f>
        <v>085-12034</v>
      </c>
      <c r="B4991" s="6" t="str">
        <f>IFERROR(__xludf.DUMMYFUNCTION("""COMPUTED_VALUE"""),"85")</f>
        <v>85</v>
      </c>
      <c r="C4991" s="6" t="str">
        <f>IFERROR(__xludf.DUMMYFUNCTION("""COMPUTED_VALUE"""),"12034")</f>
        <v>12034</v>
      </c>
      <c r="D4991" s="6" t="str">
        <f>IFERROR(__xludf.DUMMYFUNCTION("""COMPUTED_VALUE"""),"Symone")</f>
        <v>Symone</v>
      </c>
      <c r="E4991" s="6" t="str">
        <f>IFERROR(__xludf.DUMMYFUNCTION("""COMPUTED_VALUE"""),"")</f>
        <v/>
      </c>
      <c r="F4991" s="6" t="str">
        <f>IFERROR(__xludf.DUMMYFUNCTION("""COMPUTED_VALUE"""),"Saxon")</f>
        <v>Saxon</v>
      </c>
      <c r="G4991" s="6" t="str">
        <f>IFERROR(__xludf.DUMMYFUNCTION("""COMPUTED_VALUE"""),"05/19/2013")</f>
        <v>05/19/2013</v>
      </c>
      <c r="H4991" s="6" t="str">
        <f>IFERROR(__xludf.DUMMYFUNCTION("""COMPUTED_VALUE"""),"female")</f>
        <v>female</v>
      </c>
      <c r="I4991" s="6" t="str">
        <f>IFERROR(__xludf.DUMMYFUNCTION("""COMPUTED_VALUE"""),"Middle School")</f>
        <v>Middle School</v>
      </c>
      <c r="J4991" s="6" t="str">
        <f>IFERROR(__xludf.DUMMYFUNCTION("""COMPUTED_VALUE"""),"7")</f>
        <v>7</v>
      </c>
      <c r="K4991" s="6" t="str">
        <f>IFERROR(__xludf.DUMMYFUNCTION("""COMPUTED_VALUE"""),"symone.saxon@2hourlearning.com")</f>
        <v>symone.saxon@2hourlearning.com</v>
      </c>
      <c r="L4991" s="6" t="str">
        <f>IFERROR(__xludf.DUMMYFUNCTION("""COMPUTED_VALUE"""),"AFMS - Allendale Fairfax Middle School")</f>
        <v>AFMS - Allendale Fairfax Middle School</v>
      </c>
      <c r="M4991" s="6" t="str">
        <f>IFERROR(__xludf.DUMMYFUNCTION("""COMPUTED_VALUE"""),"")</f>
        <v/>
      </c>
      <c r="N4991" s="6" t="str">
        <f>IFERROR(__xludf.DUMMYFUNCTION("""COMPUTED_VALUE"""),"")</f>
        <v/>
      </c>
      <c r="O4991" s="87" t="str">
        <f>IFERROR(__xludf.DUMMYFUNCTION("""COMPUTED_VALUE"""),"https://drive.google.com/drive/folders/10T2cTQHqEJZqE-st6uFKPoI?usp=share_link")</f>
        <v>https://drive.google.com/drive/folders/10T2cTQHqEJZqE-st6uFKPoI?usp=share_link</v>
      </c>
      <c r="P4991" s="6" t="str">
        <f>IFERROR(__xludf.DUMMYFUNCTION("""COMPUTED_VALUE"""),"Symone Saxon")</f>
        <v>Symone Saxon</v>
      </c>
      <c r="Q4991" s="6" t="str">
        <f>IFERROR(__xludf.DUMMYFUNCTION("""COMPUTED_VALUE"""),"MS")</f>
        <v>MS</v>
      </c>
      <c r="R4991" s="6">
        <f>IFERROR(__xludf.DUMMYFUNCTION("""COMPUTED_VALUE"""),0.0)</f>
        <v>0</v>
      </c>
      <c r="S4991" s="6" t="str">
        <f>IFERROR(__xludf.DUMMYFUNCTION("""COMPUTED_VALUE"""),"Kimberly Ball")</f>
        <v>Kimberly Ball</v>
      </c>
      <c r="T4991" s="6" t="str">
        <f>IFERROR(__xludf.DUMMYFUNCTION("""COMPUTED_VALUE"""),"kimberly.ball@studient.com")</f>
        <v>kimberly.ball@studient.com</v>
      </c>
      <c r="U4991" s="6" t="str">
        <f>IFERROR(__xludf.DUMMYFUNCTION("""COMPUTED_VALUE"""),"7")</f>
        <v>7</v>
      </c>
      <c r="V4991" s="6" t="str">
        <f>IFERROR(__xludf.DUMMYFUNCTION("""COMPUTED_VALUE"""),"")</f>
        <v/>
      </c>
      <c r="W4991" s="6" t="str">
        <f>IFERROR(__xludf.DUMMYFUNCTION("""COMPUTED_VALUE"""),"[]")</f>
        <v>[]</v>
      </c>
      <c r="X4991" s="6" t="str">
        <f>IFERROR(__xludf.DUMMYFUNCTION("""COMPUTED_VALUE"""),"Enrolled")</f>
        <v>Enrolled</v>
      </c>
    </row>
    <row r="4992">
      <c r="A4992" s="6" t="str">
        <f>IFERROR(__xludf.DUMMYFUNCTION("""COMPUTED_VALUE"""),"085-12035")</f>
        <v>085-12035</v>
      </c>
      <c r="B4992" s="6" t="str">
        <f>IFERROR(__xludf.DUMMYFUNCTION("""COMPUTED_VALUE"""),"85")</f>
        <v>85</v>
      </c>
      <c r="C4992" s="6" t="str">
        <f>IFERROR(__xludf.DUMMYFUNCTION("""COMPUTED_VALUE"""),"12035")</f>
        <v>12035</v>
      </c>
      <c r="D4992" s="6" t="str">
        <f>IFERROR(__xludf.DUMMYFUNCTION("""COMPUTED_VALUE"""),"Evan")</f>
        <v>Evan</v>
      </c>
      <c r="E4992" s="6" t="str">
        <f>IFERROR(__xludf.DUMMYFUNCTION("""COMPUTED_VALUE"""),"")</f>
        <v/>
      </c>
      <c r="F4992" s="6" t="str">
        <f>IFERROR(__xludf.DUMMYFUNCTION("""COMPUTED_VALUE"""),"Terry")</f>
        <v>Terry</v>
      </c>
      <c r="G4992" s="6" t="str">
        <f>IFERROR(__xludf.DUMMYFUNCTION("""COMPUTED_VALUE"""),"05/23/2013")</f>
        <v>05/23/2013</v>
      </c>
      <c r="H4992" s="6" t="str">
        <f>IFERROR(__xludf.DUMMYFUNCTION("""COMPUTED_VALUE"""),"female")</f>
        <v>female</v>
      </c>
      <c r="I4992" s="6" t="str">
        <f>IFERROR(__xludf.DUMMYFUNCTION("""COMPUTED_VALUE"""),"Middle School")</f>
        <v>Middle School</v>
      </c>
      <c r="J4992" s="6" t="str">
        <f>IFERROR(__xludf.DUMMYFUNCTION("""COMPUTED_VALUE"""),"7")</f>
        <v>7</v>
      </c>
      <c r="K4992" s="6" t="str">
        <f>IFERROR(__xludf.DUMMYFUNCTION("""COMPUTED_VALUE"""),"evan.terry@2hourlearning.com")</f>
        <v>evan.terry@2hourlearning.com</v>
      </c>
      <c r="L4992" s="6" t="str">
        <f>IFERROR(__xludf.DUMMYFUNCTION("""COMPUTED_VALUE"""),"AFMS - Allendale Fairfax Middle School")</f>
        <v>AFMS - Allendale Fairfax Middle School</v>
      </c>
      <c r="M4992" s="6" t="str">
        <f>IFERROR(__xludf.DUMMYFUNCTION("""COMPUTED_VALUE"""),"")</f>
        <v/>
      </c>
      <c r="N4992" s="6" t="str">
        <f>IFERROR(__xludf.DUMMYFUNCTION("""COMPUTED_VALUE"""),"")</f>
        <v/>
      </c>
      <c r="O4992" s="87" t="str">
        <f>IFERROR(__xludf.DUMMYFUNCTION("""COMPUTED_VALUE"""),"https://drive.google.com/drive/folders/10T2cTQHqEJZqE-st6uFKPoI?usp=share_link")</f>
        <v>https://drive.google.com/drive/folders/10T2cTQHqEJZqE-st6uFKPoI?usp=share_link</v>
      </c>
      <c r="P4992" s="6" t="str">
        <f>IFERROR(__xludf.DUMMYFUNCTION("""COMPUTED_VALUE"""),"Evan Terry")</f>
        <v>Evan Terry</v>
      </c>
      <c r="Q4992" s="6" t="str">
        <f>IFERROR(__xludf.DUMMYFUNCTION("""COMPUTED_VALUE"""),"MS")</f>
        <v>MS</v>
      </c>
      <c r="R4992" s="6">
        <f>IFERROR(__xludf.DUMMYFUNCTION("""COMPUTED_VALUE"""),0.0)</f>
        <v>0</v>
      </c>
      <c r="S4992" s="6" t="str">
        <f>IFERROR(__xludf.DUMMYFUNCTION("""COMPUTED_VALUE"""),"Kimberly Ball")</f>
        <v>Kimberly Ball</v>
      </c>
      <c r="T4992" s="6" t="str">
        <f>IFERROR(__xludf.DUMMYFUNCTION("""COMPUTED_VALUE"""),"kimberly.ball@studient.com")</f>
        <v>kimberly.ball@studient.com</v>
      </c>
      <c r="U4992" s="6" t="str">
        <f>IFERROR(__xludf.DUMMYFUNCTION("""COMPUTED_VALUE"""),"7")</f>
        <v>7</v>
      </c>
      <c r="V4992" s="6" t="str">
        <f>IFERROR(__xludf.DUMMYFUNCTION("""COMPUTED_VALUE"""),"")</f>
        <v/>
      </c>
      <c r="W4992" s="6" t="str">
        <f>IFERROR(__xludf.DUMMYFUNCTION("""COMPUTED_VALUE"""),"[]")</f>
        <v>[]</v>
      </c>
      <c r="X4992" s="6" t="str">
        <f>IFERROR(__xludf.DUMMYFUNCTION("""COMPUTED_VALUE"""),"Enrolled")</f>
        <v>Enrolled</v>
      </c>
    </row>
    <row r="4993">
      <c r="A4993" s="6" t="str">
        <f>IFERROR(__xludf.DUMMYFUNCTION("""COMPUTED_VALUE"""),"085-12036")</f>
        <v>085-12036</v>
      </c>
      <c r="B4993" s="6" t="str">
        <f>IFERROR(__xludf.DUMMYFUNCTION("""COMPUTED_VALUE"""),"85")</f>
        <v>85</v>
      </c>
      <c r="C4993" s="6" t="str">
        <f>IFERROR(__xludf.DUMMYFUNCTION("""COMPUTED_VALUE"""),"12036")</f>
        <v>12036</v>
      </c>
      <c r="D4993" s="6" t="str">
        <f>IFERROR(__xludf.DUMMYFUNCTION("""COMPUTED_VALUE"""),"Heaven")</f>
        <v>Heaven</v>
      </c>
      <c r="E4993" s="6" t="str">
        <f>IFERROR(__xludf.DUMMYFUNCTION("""COMPUTED_VALUE"""),"")</f>
        <v/>
      </c>
      <c r="F4993" s="6" t="str">
        <f>IFERROR(__xludf.DUMMYFUNCTION("""COMPUTED_VALUE"""),"Tinsley-Hay")</f>
        <v>Tinsley-Hay</v>
      </c>
      <c r="G4993" s="6" t="str">
        <f>IFERROR(__xludf.DUMMYFUNCTION("""COMPUTED_VALUE"""),"08/25/2013")</f>
        <v>08/25/2013</v>
      </c>
      <c r="H4993" s="6" t="str">
        <f>IFERROR(__xludf.DUMMYFUNCTION("""COMPUTED_VALUE"""),"female")</f>
        <v>female</v>
      </c>
      <c r="I4993" s="6" t="str">
        <f>IFERROR(__xludf.DUMMYFUNCTION("""COMPUTED_VALUE"""),"Middle School")</f>
        <v>Middle School</v>
      </c>
      <c r="J4993" s="6" t="str">
        <f>IFERROR(__xludf.DUMMYFUNCTION("""COMPUTED_VALUE"""),"7")</f>
        <v>7</v>
      </c>
      <c r="K4993" s="6" t="str">
        <f>IFERROR(__xludf.DUMMYFUNCTION("""COMPUTED_VALUE"""),"heaven.tinsley-hay@2hourlearning.com")</f>
        <v>heaven.tinsley-hay@2hourlearning.com</v>
      </c>
      <c r="L4993" s="6" t="str">
        <f>IFERROR(__xludf.DUMMYFUNCTION("""COMPUTED_VALUE"""),"AFMS - Allendale Fairfax Middle School")</f>
        <v>AFMS - Allendale Fairfax Middle School</v>
      </c>
      <c r="M4993" s="6" t="str">
        <f>IFERROR(__xludf.DUMMYFUNCTION("""COMPUTED_VALUE"""),"")</f>
        <v/>
      </c>
      <c r="N4993" s="6" t="str">
        <f>IFERROR(__xludf.DUMMYFUNCTION("""COMPUTED_VALUE"""),"")</f>
        <v/>
      </c>
      <c r="O4993" s="87" t="str">
        <f>IFERROR(__xludf.DUMMYFUNCTION("""COMPUTED_VALUE"""),"https://drive.google.com/drive/folders/10T2cTQHqEJZqE-st6uFKPoI?usp=share_link")</f>
        <v>https://drive.google.com/drive/folders/10T2cTQHqEJZqE-st6uFKPoI?usp=share_link</v>
      </c>
      <c r="P4993" s="6" t="str">
        <f>IFERROR(__xludf.DUMMYFUNCTION("""COMPUTED_VALUE"""),"Heaven Tinsley-Hay")</f>
        <v>Heaven Tinsley-Hay</v>
      </c>
      <c r="Q4993" s="6" t="str">
        <f>IFERROR(__xludf.DUMMYFUNCTION("""COMPUTED_VALUE"""),"MS")</f>
        <v>MS</v>
      </c>
      <c r="R4993" s="6">
        <f>IFERROR(__xludf.DUMMYFUNCTION("""COMPUTED_VALUE"""),0.0)</f>
        <v>0</v>
      </c>
      <c r="S4993" s="6" t="str">
        <f>IFERROR(__xludf.DUMMYFUNCTION("""COMPUTED_VALUE"""),"Kimberly Ball")</f>
        <v>Kimberly Ball</v>
      </c>
      <c r="T4993" s="6" t="str">
        <f>IFERROR(__xludf.DUMMYFUNCTION("""COMPUTED_VALUE"""),"kimberly.ball@studient.com")</f>
        <v>kimberly.ball@studient.com</v>
      </c>
      <c r="U4993" s="6" t="str">
        <f>IFERROR(__xludf.DUMMYFUNCTION("""COMPUTED_VALUE"""),"7")</f>
        <v>7</v>
      </c>
      <c r="V4993" s="6" t="str">
        <f>IFERROR(__xludf.DUMMYFUNCTION("""COMPUTED_VALUE"""),"")</f>
        <v/>
      </c>
      <c r="W4993" s="6" t="str">
        <f>IFERROR(__xludf.DUMMYFUNCTION("""COMPUTED_VALUE"""),"[]")</f>
        <v>[]</v>
      </c>
      <c r="X4993" s="6" t="str">
        <f>IFERROR(__xludf.DUMMYFUNCTION("""COMPUTED_VALUE"""),"Enrolled")</f>
        <v>Enrolled</v>
      </c>
    </row>
    <row r="4994">
      <c r="A4994" s="6" t="str">
        <f>IFERROR(__xludf.DUMMYFUNCTION("""COMPUTED_VALUE"""),"085-12037")</f>
        <v>085-12037</v>
      </c>
      <c r="B4994" s="6" t="str">
        <f>IFERROR(__xludf.DUMMYFUNCTION("""COMPUTED_VALUE"""),"85")</f>
        <v>85</v>
      </c>
      <c r="C4994" s="6" t="str">
        <f>IFERROR(__xludf.DUMMYFUNCTION("""COMPUTED_VALUE"""),"12037")</f>
        <v>12037</v>
      </c>
      <c r="D4994" s="6" t="str">
        <f>IFERROR(__xludf.DUMMYFUNCTION("""COMPUTED_VALUE"""),"Nevaeh")</f>
        <v>Nevaeh</v>
      </c>
      <c r="E4994" s="6" t="str">
        <f>IFERROR(__xludf.DUMMYFUNCTION("""COMPUTED_VALUE"""),"")</f>
        <v/>
      </c>
      <c r="F4994" s="6" t="str">
        <f>IFERROR(__xludf.DUMMYFUNCTION("""COMPUTED_VALUE"""),"Tinsley-Hay")</f>
        <v>Tinsley-Hay</v>
      </c>
      <c r="G4994" s="6" t="str">
        <f>IFERROR(__xludf.DUMMYFUNCTION("""COMPUTED_VALUE"""),"08/25/2013")</f>
        <v>08/25/2013</v>
      </c>
      <c r="H4994" s="6" t="str">
        <f>IFERROR(__xludf.DUMMYFUNCTION("""COMPUTED_VALUE"""),"female")</f>
        <v>female</v>
      </c>
      <c r="I4994" s="6" t="str">
        <f>IFERROR(__xludf.DUMMYFUNCTION("""COMPUTED_VALUE"""),"Middle School")</f>
        <v>Middle School</v>
      </c>
      <c r="J4994" s="6" t="str">
        <f>IFERROR(__xludf.DUMMYFUNCTION("""COMPUTED_VALUE"""),"7")</f>
        <v>7</v>
      </c>
      <c r="K4994" s="6" t="str">
        <f>IFERROR(__xludf.DUMMYFUNCTION("""COMPUTED_VALUE"""),"nevaeh.tinsley-hay@2hourlearning.com")</f>
        <v>nevaeh.tinsley-hay@2hourlearning.com</v>
      </c>
      <c r="L4994" s="6" t="str">
        <f>IFERROR(__xludf.DUMMYFUNCTION("""COMPUTED_VALUE"""),"AFMS - Allendale Fairfax Middle School")</f>
        <v>AFMS - Allendale Fairfax Middle School</v>
      </c>
      <c r="M4994" s="6" t="str">
        <f>IFERROR(__xludf.DUMMYFUNCTION("""COMPUTED_VALUE"""),"")</f>
        <v/>
      </c>
      <c r="N4994" s="6" t="str">
        <f>IFERROR(__xludf.DUMMYFUNCTION("""COMPUTED_VALUE"""),"")</f>
        <v/>
      </c>
      <c r="O4994" s="87" t="str">
        <f>IFERROR(__xludf.DUMMYFUNCTION("""COMPUTED_VALUE"""),"https://drive.google.com/drive/folders/10T2cTQHqEJZqE-st6uFKPoI?usp=share_link")</f>
        <v>https://drive.google.com/drive/folders/10T2cTQHqEJZqE-st6uFKPoI?usp=share_link</v>
      </c>
      <c r="P4994" s="6" t="str">
        <f>IFERROR(__xludf.DUMMYFUNCTION("""COMPUTED_VALUE"""),"Nevaeh Tinsley-Hay")</f>
        <v>Nevaeh Tinsley-Hay</v>
      </c>
      <c r="Q4994" s="6" t="str">
        <f>IFERROR(__xludf.DUMMYFUNCTION("""COMPUTED_VALUE"""),"MS")</f>
        <v>MS</v>
      </c>
      <c r="R4994" s="6">
        <f>IFERROR(__xludf.DUMMYFUNCTION("""COMPUTED_VALUE"""),0.0)</f>
        <v>0</v>
      </c>
      <c r="S4994" s="6" t="str">
        <f>IFERROR(__xludf.DUMMYFUNCTION("""COMPUTED_VALUE"""),"Kimberly Ball")</f>
        <v>Kimberly Ball</v>
      </c>
      <c r="T4994" s="6" t="str">
        <f>IFERROR(__xludf.DUMMYFUNCTION("""COMPUTED_VALUE"""),"kimberly.ball@studient.com")</f>
        <v>kimberly.ball@studient.com</v>
      </c>
      <c r="U4994" s="6" t="str">
        <f>IFERROR(__xludf.DUMMYFUNCTION("""COMPUTED_VALUE"""),"7")</f>
        <v>7</v>
      </c>
      <c r="V4994" s="6" t="str">
        <f>IFERROR(__xludf.DUMMYFUNCTION("""COMPUTED_VALUE"""),"")</f>
        <v/>
      </c>
      <c r="W4994" s="6" t="str">
        <f>IFERROR(__xludf.DUMMYFUNCTION("""COMPUTED_VALUE"""),"[]")</f>
        <v>[]</v>
      </c>
      <c r="X4994" s="6" t="str">
        <f>IFERROR(__xludf.DUMMYFUNCTION("""COMPUTED_VALUE"""),"Enrolled")</f>
        <v>Enrolled</v>
      </c>
    </row>
    <row r="4995">
      <c r="A4995" s="6" t="str">
        <f>IFERROR(__xludf.DUMMYFUNCTION("""COMPUTED_VALUE"""),"085-12038")</f>
        <v>085-12038</v>
      </c>
      <c r="B4995" s="6" t="str">
        <f>IFERROR(__xludf.DUMMYFUNCTION("""COMPUTED_VALUE"""),"85")</f>
        <v>85</v>
      </c>
      <c r="C4995" s="6" t="str">
        <f>IFERROR(__xludf.DUMMYFUNCTION("""COMPUTED_VALUE"""),"12038")</f>
        <v>12038</v>
      </c>
      <c r="D4995" s="6" t="str">
        <f>IFERROR(__xludf.DUMMYFUNCTION("""COMPUTED_VALUE"""),"Ny'Jeria")</f>
        <v>Ny'Jeria</v>
      </c>
      <c r="E4995" s="6" t="str">
        <f>IFERROR(__xludf.DUMMYFUNCTION("""COMPUTED_VALUE"""),"")</f>
        <v/>
      </c>
      <c r="F4995" s="6" t="str">
        <f>IFERROR(__xludf.DUMMYFUNCTION("""COMPUTED_VALUE"""),"Walker")</f>
        <v>Walker</v>
      </c>
      <c r="G4995" s="6" t="str">
        <f>IFERROR(__xludf.DUMMYFUNCTION("""COMPUTED_VALUE"""),"11/19/2012")</f>
        <v>11/19/2012</v>
      </c>
      <c r="H4995" s="6" t="str">
        <f>IFERROR(__xludf.DUMMYFUNCTION("""COMPUTED_VALUE"""),"female")</f>
        <v>female</v>
      </c>
      <c r="I4995" s="6" t="str">
        <f>IFERROR(__xludf.DUMMYFUNCTION("""COMPUTED_VALUE"""),"Middle School")</f>
        <v>Middle School</v>
      </c>
      <c r="J4995" s="6" t="str">
        <f>IFERROR(__xludf.DUMMYFUNCTION("""COMPUTED_VALUE"""),"7")</f>
        <v>7</v>
      </c>
      <c r="K4995" s="6" t="str">
        <f>IFERROR(__xludf.DUMMYFUNCTION("""COMPUTED_VALUE"""),"nyjeria.walker@2hourlearning.com")</f>
        <v>nyjeria.walker@2hourlearning.com</v>
      </c>
      <c r="L4995" s="6" t="str">
        <f>IFERROR(__xludf.DUMMYFUNCTION("""COMPUTED_VALUE"""),"AFMS - Allendale Fairfax Middle School")</f>
        <v>AFMS - Allendale Fairfax Middle School</v>
      </c>
      <c r="M4995" s="6" t="str">
        <f>IFERROR(__xludf.DUMMYFUNCTION("""COMPUTED_VALUE"""),"")</f>
        <v/>
      </c>
      <c r="N4995" s="6" t="str">
        <f>IFERROR(__xludf.DUMMYFUNCTION("""COMPUTED_VALUE"""),"")</f>
        <v/>
      </c>
      <c r="O4995" s="87" t="str">
        <f>IFERROR(__xludf.DUMMYFUNCTION("""COMPUTED_VALUE"""),"https://drive.google.com/drive/folders/10T2cTQHqEJZqE-st6uFKPoI?usp=share_link")</f>
        <v>https://drive.google.com/drive/folders/10T2cTQHqEJZqE-st6uFKPoI?usp=share_link</v>
      </c>
      <c r="P4995" s="6" t="str">
        <f>IFERROR(__xludf.DUMMYFUNCTION("""COMPUTED_VALUE"""),"Ny'Jeria Walker")</f>
        <v>Ny'Jeria Walker</v>
      </c>
      <c r="Q4995" s="6" t="str">
        <f>IFERROR(__xludf.DUMMYFUNCTION("""COMPUTED_VALUE"""),"MS")</f>
        <v>MS</v>
      </c>
      <c r="R4995" s="6">
        <f>IFERROR(__xludf.DUMMYFUNCTION("""COMPUTED_VALUE"""),0.0)</f>
        <v>0</v>
      </c>
      <c r="S4995" s="6" t="str">
        <f>IFERROR(__xludf.DUMMYFUNCTION("""COMPUTED_VALUE"""),"Kimberly Ball")</f>
        <v>Kimberly Ball</v>
      </c>
      <c r="T4995" s="6" t="str">
        <f>IFERROR(__xludf.DUMMYFUNCTION("""COMPUTED_VALUE"""),"kimberly.ball@studient.com")</f>
        <v>kimberly.ball@studient.com</v>
      </c>
      <c r="U4995" s="6" t="str">
        <f>IFERROR(__xludf.DUMMYFUNCTION("""COMPUTED_VALUE"""),"7")</f>
        <v>7</v>
      </c>
      <c r="V4995" s="6" t="str">
        <f>IFERROR(__xludf.DUMMYFUNCTION("""COMPUTED_VALUE"""),"")</f>
        <v/>
      </c>
      <c r="W4995" s="6" t="str">
        <f>IFERROR(__xludf.DUMMYFUNCTION("""COMPUTED_VALUE"""),"[]")</f>
        <v>[]</v>
      </c>
      <c r="X4995" s="6" t="str">
        <f>IFERROR(__xludf.DUMMYFUNCTION("""COMPUTED_VALUE"""),"Enrolled")</f>
        <v>Enrolled</v>
      </c>
    </row>
    <row r="4996">
      <c r="A4996" s="6" t="str">
        <f>IFERROR(__xludf.DUMMYFUNCTION("""COMPUTED_VALUE"""),"085-12039")</f>
        <v>085-12039</v>
      </c>
      <c r="B4996" s="6" t="str">
        <f>IFERROR(__xludf.DUMMYFUNCTION("""COMPUTED_VALUE"""),"85")</f>
        <v>85</v>
      </c>
      <c r="C4996" s="6" t="str">
        <f>IFERROR(__xludf.DUMMYFUNCTION("""COMPUTED_VALUE"""),"12039")</f>
        <v>12039</v>
      </c>
      <c r="D4996" s="6" t="str">
        <f>IFERROR(__xludf.DUMMYFUNCTION("""COMPUTED_VALUE"""),"Michael")</f>
        <v>Michael</v>
      </c>
      <c r="E4996" s="6" t="str">
        <f>IFERROR(__xludf.DUMMYFUNCTION("""COMPUTED_VALUE"""),"")</f>
        <v/>
      </c>
      <c r="F4996" s="6" t="str">
        <f>IFERROR(__xludf.DUMMYFUNCTION("""COMPUTED_VALUE"""),"West")</f>
        <v>West</v>
      </c>
      <c r="G4996" s="6" t="str">
        <f>IFERROR(__xludf.DUMMYFUNCTION("""COMPUTED_VALUE"""),"10/03/2012")</f>
        <v>10/03/2012</v>
      </c>
      <c r="H4996" s="6" t="str">
        <f>IFERROR(__xludf.DUMMYFUNCTION("""COMPUTED_VALUE"""),"male")</f>
        <v>male</v>
      </c>
      <c r="I4996" s="6" t="str">
        <f>IFERROR(__xludf.DUMMYFUNCTION("""COMPUTED_VALUE"""),"Middle School")</f>
        <v>Middle School</v>
      </c>
      <c r="J4996" s="6" t="str">
        <f>IFERROR(__xludf.DUMMYFUNCTION("""COMPUTED_VALUE"""),"7")</f>
        <v>7</v>
      </c>
      <c r="K4996" s="6" t="str">
        <f>IFERROR(__xludf.DUMMYFUNCTION("""COMPUTED_VALUE"""),"michael.west@2hourlearning.com")</f>
        <v>michael.west@2hourlearning.com</v>
      </c>
      <c r="L4996" s="6" t="str">
        <f>IFERROR(__xludf.DUMMYFUNCTION("""COMPUTED_VALUE"""),"AFMS - Allendale Fairfax Middle School")</f>
        <v>AFMS - Allendale Fairfax Middle School</v>
      </c>
      <c r="M4996" s="6" t="str">
        <f>IFERROR(__xludf.DUMMYFUNCTION("""COMPUTED_VALUE"""),"")</f>
        <v/>
      </c>
      <c r="N4996" s="6" t="str">
        <f>IFERROR(__xludf.DUMMYFUNCTION("""COMPUTED_VALUE"""),"")</f>
        <v/>
      </c>
      <c r="O4996" s="87" t="str">
        <f>IFERROR(__xludf.DUMMYFUNCTION("""COMPUTED_VALUE"""),"https://drive.google.com/drive/folders/10T2cTQHqEJZqE-st6uFKPoI?usp=share_link")</f>
        <v>https://drive.google.com/drive/folders/10T2cTQHqEJZqE-st6uFKPoI?usp=share_link</v>
      </c>
      <c r="P4996" s="6" t="str">
        <f>IFERROR(__xludf.DUMMYFUNCTION("""COMPUTED_VALUE"""),"Michael West")</f>
        <v>Michael West</v>
      </c>
      <c r="Q4996" s="6" t="str">
        <f>IFERROR(__xludf.DUMMYFUNCTION("""COMPUTED_VALUE"""),"MS")</f>
        <v>MS</v>
      </c>
      <c r="R4996" s="6">
        <f>IFERROR(__xludf.DUMMYFUNCTION("""COMPUTED_VALUE"""),0.0)</f>
        <v>0</v>
      </c>
      <c r="S4996" s="6" t="str">
        <f>IFERROR(__xludf.DUMMYFUNCTION("""COMPUTED_VALUE"""),"Kimberly Ball")</f>
        <v>Kimberly Ball</v>
      </c>
      <c r="T4996" s="6" t="str">
        <f>IFERROR(__xludf.DUMMYFUNCTION("""COMPUTED_VALUE"""),"kimberly.ball@studient.com")</f>
        <v>kimberly.ball@studient.com</v>
      </c>
      <c r="U4996" s="6" t="str">
        <f>IFERROR(__xludf.DUMMYFUNCTION("""COMPUTED_VALUE"""),"7")</f>
        <v>7</v>
      </c>
      <c r="V4996" s="6" t="str">
        <f>IFERROR(__xludf.DUMMYFUNCTION("""COMPUTED_VALUE"""),"")</f>
        <v/>
      </c>
      <c r="W4996" s="6" t="str">
        <f>IFERROR(__xludf.DUMMYFUNCTION("""COMPUTED_VALUE"""),"[]")</f>
        <v>[]</v>
      </c>
      <c r="X4996" s="6" t="str">
        <f>IFERROR(__xludf.DUMMYFUNCTION("""COMPUTED_VALUE"""),"Enrolled")</f>
        <v>Enrolled</v>
      </c>
    </row>
    <row r="4997">
      <c r="A4997" s="6" t="str">
        <f>IFERROR(__xludf.DUMMYFUNCTION("""COMPUTED_VALUE"""),"085-12040")</f>
        <v>085-12040</v>
      </c>
      <c r="B4997" s="6" t="str">
        <f>IFERROR(__xludf.DUMMYFUNCTION("""COMPUTED_VALUE"""),"85")</f>
        <v>85</v>
      </c>
      <c r="C4997" s="6" t="str">
        <f>IFERROR(__xludf.DUMMYFUNCTION("""COMPUTED_VALUE"""),"12040")</f>
        <v>12040</v>
      </c>
      <c r="D4997" s="6" t="str">
        <f>IFERROR(__xludf.DUMMYFUNCTION("""COMPUTED_VALUE"""),"Namari")</f>
        <v>Namari</v>
      </c>
      <c r="E4997" s="6" t="str">
        <f>IFERROR(__xludf.DUMMYFUNCTION("""COMPUTED_VALUE"""),"")</f>
        <v/>
      </c>
      <c r="F4997" s="6" t="str">
        <f>IFERROR(__xludf.DUMMYFUNCTION("""COMPUTED_VALUE"""),"Williams")</f>
        <v>Williams</v>
      </c>
      <c r="G4997" s="6" t="str">
        <f>IFERROR(__xludf.DUMMYFUNCTION("""COMPUTED_VALUE"""),"10/30/2012")</f>
        <v>10/30/2012</v>
      </c>
      <c r="H4997" s="6" t="str">
        <f>IFERROR(__xludf.DUMMYFUNCTION("""COMPUTED_VALUE"""),"female")</f>
        <v>female</v>
      </c>
      <c r="I4997" s="6" t="str">
        <f>IFERROR(__xludf.DUMMYFUNCTION("""COMPUTED_VALUE"""),"Middle School")</f>
        <v>Middle School</v>
      </c>
      <c r="J4997" s="6" t="str">
        <f>IFERROR(__xludf.DUMMYFUNCTION("""COMPUTED_VALUE"""),"7")</f>
        <v>7</v>
      </c>
      <c r="K4997" s="6" t="str">
        <f>IFERROR(__xludf.DUMMYFUNCTION("""COMPUTED_VALUE"""),"namari.williams@2hourlearning.com")</f>
        <v>namari.williams@2hourlearning.com</v>
      </c>
      <c r="L4997" s="6" t="str">
        <f>IFERROR(__xludf.DUMMYFUNCTION("""COMPUTED_VALUE"""),"AFMS - Allendale Fairfax Middle School")</f>
        <v>AFMS - Allendale Fairfax Middle School</v>
      </c>
      <c r="M4997" s="6" t="str">
        <f>IFERROR(__xludf.DUMMYFUNCTION("""COMPUTED_VALUE"""),"")</f>
        <v/>
      </c>
      <c r="N4997" s="6" t="str">
        <f>IFERROR(__xludf.DUMMYFUNCTION("""COMPUTED_VALUE"""),"")</f>
        <v/>
      </c>
      <c r="O4997" s="87" t="str">
        <f>IFERROR(__xludf.DUMMYFUNCTION("""COMPUTED_VALUE"""),"https://drive.google.com/drive/folders/10T2cTQHqEJZqE-st6uFKPoI?usp=share_link")</f>
        <v>https://drive.google.com/drive/folders/10T2cTQHqEJZqE-st6uFKPoI?usp=share_link</v>
      </c>
      <c r="P4997" s="6" t="str">
        <f>IFERROR(__xludf.DUMMYFUNCTION("""COMPUTED_VALUE"""),"Namari Williams")</f>
        <v>Namari Williams</v>
      </c>
      <c r="Q4997" s="6" t="str">
        <f>IFERROR(__xludf.DUMMYFUNCTION("""COMPUTED_VALUE"""),"MS")</f>
        <v>MS</v>
      </c>
      <c r="R4997" s="6">
        <f>IFERROR(__xludf.DUMMYFUNCTION("""COMPUTED_VALUE"""),0.0)</f>
        <v>0</v>
      </c>
      <c r="S4997" s="6" t="str">
        <f>IFERROR(__xludf.DUMMYFUNCTION("""COMPUTED_VALUE"""),"Kimberly Ball")</f>
        <v>Kimberly Ball</v>
      </c>
      <c r="T4997" s="6" t="str">
        <f>IFERROR(__xludf.DUMMYFUNCTION("""COMPUTED_VALUE"""),"kimberly.ball@studient.com")</f>
        <v>kimberly.ball@studient.com</v>
      </c>
      <c r="U4997" s="6" t="str">
        <f>IFERROR(__xludf.DUMMYFUNCTION("""COMPUTED_VALUE"""),"7")</f>
        <v>7</v>
      </c>
      <c r="V4997" s="6" t="str">
        <f>IFERROR(__xludf.DUMMYFUNCTION("""COMPUTED_VALUE"""),"")</f>
        <v/>
      </c>
      <c r="W4997" s="6" t="str">
        <f>IFERROR(__xludf.DUMMYFUNCTION("""COMPUTED_VALUE"""),"[]")</f>
        <v>[]</v>
      </c>
      <c r="X4997" s="6" t="str">
        <f>IFERROR(__xludf.DUMMYFUNCTION("""COMPUTED_VALUE"""),"Enrolled")</f>
        <v>Enrolled</v>
      </c>
    </row>
    <row r="4998">
      <c r="A4998" s="6" t="str">
        <f>IFERROR(__xludf.DUMMYFUNCTION("""COMPUTED_VALUE"""),"085-12041")</f>
        <v>085-12041</v>
      </c>
      <c r="B4998" s="6" t="str">
        <f>IFERROR(__xludf.DUMMYFUNCTION("""COMPUTED_VALUE"""),"85")</f>
        <v>85</v>
      </c>
      <c r="C4998" s="6" t="str">
        <f>IFERROR(__xludf.DUMMYFUNCTION("""COMPUTED_VALUE"""),"12041")</f>
        <v>12041</v>
      </c>
      <c r="D4998" s="6" t="str">
        <f>IFERROR(__xludf.DUMMYFUNCTION("""COMPUTED_VALUE"""),"Jonathan")</f>
        <v>Jonathan</v>
      </c>
      <c r="E4998" s="6" t="str">
        <f>IFERROR(__xludf.DUMMYFUNCTION("""COMPUTED_VALUE"""),"")</f>
        <v/>
      </c>
      <c r="F4998" s="6" t="str">
        <f>IFERROR(__xludf.DUMMYFUNCTION("""COMPUTED_VALUE"""),"Wright")</f>
        <v>Wright</v>
      </c>
      <c r="G4998" s="6" t="str">
        <f>IFERROR(__xludf.DUMMYFUNCTION("""COMPUTED_VALUE"""),"02/22/2012")</f>
        <v>02/22/2012</v>
      </c>
      <c r="H4998" s="6" t="str">
        <f>IFERROR(__xludf.DUMMYFUNCTION("""COMPUTED_VALUE"""),"male")</f>
        <v>male</v>
      </c>
      <c r="I4998" s="6" t="str">
        <f>IFERROR(__xludf.DUMMYFUNCTION("""COMPUTED_VALUE"""),"Middle School")</f>
        <v>Middle School</v>
      </c>
      <c r="J4998" s="6" t="str">
        <f>IFERROR(__xludf.DUMMYFUNCTION("""COMPUTED_VALUE"""),"7")</f>
        <v>7</v>
      </c>
      <c r="K4998" s="6" t="str">
        <f>IFERROR(__xludf.DUMMYFUNCTION("""COMPUTED_VALUE"""),"jonathan.wright@2hourlearning.com")</f>
        <v>jonathan.wright@2hourlearning.com</v>
      </c>
      <c r="L4998" s="6" t="str">
        <f>IFERROR(__xludf.DUMMYFUNCTION("""COMPUTED_VALUE"""),"AFMS - Allendale Fairfax Middle School")</f>
        <v>AFMS - Allendale Fairfax Middle School</v>
      </c>
      <c r="M4998" s="6" t="str">
        <f>IFERROR(__xludf.DUMMYFUNCTION("""COMPUTED_VALUE"""),"")</f>
        <v/>
      </c>
      <c r="N4998" s="6" t="str">
        <f>IFERROR(__xludf.DUMMYFUNCTION("""COMPUTED_VALUE"""),"")</f>
        <v/>
      </c>
      <c r="O4998" s="87" t="str">
        <f>IFERROR(__xludf.DUMMYFUNCTION("""COMPUTED_VALUE"""),"https://drive.google.com/drive/folders/10T2cTQHqEJZqE-st6uFKPoI?usp=share_link")</f>
        <v>https://drive.google.com/drive/folders/10T2cTQHqEJZqE-st6uFKPoI?usp=share_link</v>
      </c>
      <c r="P4998" s="6" t="str">
        <f>IFERROR(__xludf.DUMMYFUNCTION("""COMPUTED_VALUE"""),"Jonathan Wright")</f>
        <v>Jonathan Wright</v>
      </c>
      <c r="Q4998" s="6" t="str">
        <f>IFERROR(__xludf.DUMMYFUNCTION("""COMPUTED_VALUE"""),"MS")</f>
        <v>MS</v>
      </c>
      <c r="R4998" s="6">
        <f>IFERROR(__xludf.DUMMYFUNCTION("""COMPUTED_VALUE"""),0.0)</f>
        <v>0</v>
      </c>
      <c r="S4998" s="6" t="str">
        <f>IFERROR(__xludf.DUMMYFUNCTION("""COMPUTED_VALUE"""),"Kimberly Ball")</f>
        <v>Kimberly Ball</v>
      </c>
      <c r="T4998" s="6" t="str">
        <f>IFERROR(__xludf.DUMMYFUNCTION("""COMPUTED_VALUE"""),"kimberly.ball@studient.com")</f>
        <v>kimberly.ball@studient.com</v>
      </c>
      <c r="U4998" s="6" t="str">
        <f>IFERROR(__xludf.DUMMYFUNCTION("""COMPUTED_VALUE"""),"7")</f>
        <v>7</v>
      </c>
      <c r="V4998" s="6" t="str">
        <f>IFERROR(__xludf.DUMMYFUNCTION("""COMPUTED_VALUE"""),"")</f>
        <v/>
      </c>
      <c r="W4998" s="6" t="str">
        <f>IFERROR(__xludf.DUMMYFUNCTION("""COMPUTED_VALUE"""),"[]")</f>
        <v>[]</v>
      </c>
      <c r="X4998" s="6" t="str">
        <f>IFERROR(__xludf.DUMMYFUNCTION("""COMPUTED_VALUE"""),"Enrolled")</f>
        <v>Enrolled</v>
      </c>
    </row>
    <row r="4999">
      <c r="A4999" s="6" t="str">
        <f>IFERROR(__xludf.DUMMYFUNCTION("""COMPUTED_VALUE"""),"085-12042")</f>
        <v>085-12042</v>
      </c>
      <c r="B4999" s="6" t="str">
        <f>IFERROR(__xludf.DUMMYFUNCTION("""COMPUTED_VALUE"""),"85")</f>
        <v>85</v>
      </c>
      <c r="C4999" s="6" t="str">
        <f>IFERROR(__xludf.DUMMYFUNCTION("""COMPUTED_VALUE"""),"12042")</f>
        <v>12042</v>
      </c>
      <c r="D4999" s="6" t="str">
        <f>IFERROR(__xludf.DUMMYFUNCTION("""COMPUTED_VALUE"""),"Nariyah")</f>
        <v>Nariyah</v>
      </c>
      <c r="E4999" s="6" t="str">
        <f>IFERROR(__xludf.DUMMYFUNCTION("""COMPUTED_VALUE"""),"")</f>
        <v/>
      </c>
      <c r="F4999" s="6" t="str">
        <f>IFERROR(__xludf.DUMMYFUNCTION("""COMPUTED_VALUE"""),"Youmans")</f>
        <v>Youmans</v>
      </c>
      <c r="G4999" s="6" t="str">
        <f>IFERROR(__xludf.DUMMYFUNCTION("""COMPUTED_VALUE"""),"11/26/2012")</f>
        <v>11/26/2012</v>
      </c>
      <c r="H4999" s="6" t="str">
        <f>IFERROR(__xludf.DUMMYFUNCTION("""COMPUTED_VALUE"""),"female")</f>
        <v>female</v>
      </c>
      <c r="I4999" s="6" t="str">
        <f>IFERROR(__xludf.DUMMYFUNCTION("""COMPUTED_VALUE"""),"Middle School")</f>
        <v>Middle School</v>
      </c>
      <c r="J4999" s="6" t="str">
        <f>IFERROR(__xludf.DUMMYFUNCTION("""COMPUTED_VALUE"""),"7")</f>
        <v>7</v>
      </c>
      <c r="K4999" s="6" t="str">
        <f>IFERROR(__xludf.DUMMYFUNCTION("""COMPUTED_VALUE"""),"nariyah.youmans@2hourlearning.com")</f>
        <v>nariyah.youmans@2hourlearning.com</v>
      </c>
      <c r="L4999" s="6" t="str">
        <f>IFERROR(__xludf.DUMMYFUNCTION("""COMPUTED_VALUE"""),"AFMS - Allendale Fairfax Middle School")</f>
        <v>AFMS - Allendale Fairfax Middle School</v>
      </c>
      <c r="M4999" s="6" t="str">
        <f>IFERROR(__xludf.DUMMYFUNCTION("""COMPUTED_VALUE"""),"")</f>
        <v/>
      </c>
      <c r="N4999" s="6" t="str">
        <f>IFERROR(__xludf.DUMMYFUNCTION("""COMPUTED_VALUE"""),"")</f>
        <v/>
      </c>
      <c r="O4999" s="87" t="str">
        <f>IFERROR(__xludf.DUMMYFUNCTION("""COMPUTED_VALUE"""),"https://drive.google.com/drive/folders/10T2cTQHqEJZqE-st6uFKPoI?usp=share_link")</f>
        <v>https://drive.google.com/drive/folders/10T2cTQHqEJZqE-st6uFKPoI?usp=share_link</v>
      </c>
      <c r="P4999" s="6" t="str">
        <f>IFERROR(__xludf.DUMMYFUNCTION("""COMPUTED_VALUE"""),"Nariyah Youmans")</f>
        <v>Nariyah Youmans</v>
      </c>
      <c r="Q4999" s="6" t="str">
        <f>IFERROR(__xludf.DUMMYFUNCTION("""COMPUTED_VALUE"""),"MS")</f>
        <v>MS</v>
      </c>
      <c r="R4999" s="6">
        <f>IFERROR(__xludf.DUMMYFUNCTION("""COMPUTED_VALUE"""),0.0)</f>
        <v>0</v>
      </c>
      <c r="S4999" s="6" t="str">
        <f>IFERROR(__xludf.DUMMYFUNCTION("""COMPUTED_VALUE"""),"Kimberly Ball")</f>
        <v>Kimberly Ball</v>
      </c>
      <c r="T4999" s="6" t="str">
        <f>IFERROR(__xludf.DUMMYFUNCTION("""COMPUTED_VALUE"""),"kimberly.ball@studient.com")</f>
        <v>kimberly.ball@studient.com</v>
      </c>
      <c r="U4999" s="6" t="str">
        <f>IFERROR(__xludf.DUMMYFUNCTION("""COMPUTED_VALUE"""),"7")</f>
        <v>7</v>
      </c>
      <c r="V4999" s="6" t="str">
        <f>IFERROR(__xludf.DUMMYFUNCTION("""COMPUTED_VALUE"""),"")</f>
        <v/>
      </c>
      <c r="W4999" s="6" t="str">
        <f>IFERROR(__xludf.DUMMYFUNCTION("""COMPUTED_VALUE"""),"[]")</f>
        <v>[]</v>
      </c>
      <c r="X4999" s="6" t="str">
        <f>IFERROR(__xludf.DUMMYFUNCTION("""COMPUTED_VALUE"""),"Enrolled")</f>
        <v>Enrolled</v>
      </c>
    </row>
    <row r="5000">
      <c r="A5000" s="6" t="str">
        <f>IFERROR(__xludf.DUMMYFUNCTION("""COMPUTED_VALUE"""),"085-12043")</f>
        <v>085-12043</v>
      </c>
      <c r="B5000" s="6" t="str">
        <f>IFERROR(__xludf.DUMMYFUNCTION("""COMPUTED_VALUE"""),"85")</f>
        <v>85</v>
      </c>
      <c r="C5000" s="6" t="str">
        <f>IFERROR(__xludf.DUMMYFUNCTION("""COMPUTED_VALUE"""),"12043")</f>
        <v>12043</v>
      </c>
      <c r="D5000" s="6" t="str">
        <f>IFERROR(__xludf.DUMMYFUNCTION("""COMPUTED_VALUE"""),"Jeremiah")</f>
        <v>Jeremiah</v>
      </c>
      <c r="E5000" s="6" t="str">
        <f>IFERROR(__xludf.DUMMYFUNCTION("""COMPUTED_VALUE"""),"")</f>
        <v/>
      </c>
      <c r="F5000" s="6" t="str">
        <f>IFERROR(__xludf.DUMMYFUNCTION("""COMPUTED_VALUE"""),"Allen")</f>
        <v>Allen</v>
      </c>
      <c r="G5000" s="6" t="str">
        <f>IFERROR(__xludf.DUMMYFUNCTION("""COMPUTED_VALUE"""),"02/21/2011")</f>
        <v>02/21/2011</v>
      </c>
      <c r="H5000" s="6" t="str">
        <f>IFERROR(__xludf.DUMMYFUNCTION("""COMPUTED_VALUE"""),"male")</f>
        <v>male</v>
      </c>
      <c r="I5000" s="6" t="str">
        <f>IFERROR(__xludf.DUMMYFUNCTION("""COMPUTED_VALUE"""),"Middle School")</f>
        <v>Middle School</v>
      </c>
      <c r="J5000" s="6" t="str">
        <f>IFERROR(__xludf.DUMMYFUNCTION("""COMPUTED_VALUE"""),"8")</f>
        <v>8</v>
      </c>
      <c r="K5000" s="6" t="str">
        <f>IFERROR(__xludf.DUMMYFUNCTION("""COMPUTED_VALUE"""),"jeremiah.allen@2hourlearning.com")</f>
        <v>jeremiah.allen@2hourlearning.com</v>
      </c>
      <c r="L5000" s="6" t="str">
        <f>IFERROR(__xludf.DUMMYFUNCTION("""COMPUTED_VALUE"""),"AFMS - Allendale Fairfax Middle School")</f>
        <v>AFMS - Allendale Fairfax Middle School</v>
      </c>
      <c r="M5000" s="6" t="str">
        <f>IFERROR(__xludf.DUMMYFUNCTION("""COMPUTED_VALUE"""),"")</f>
        <v/>
      </c>
      <c r="N5000" s="6" t="str">
        <f>IFERROR(__xludf.DUMMYFUNCTION("""COMPUTED_VALUE"""),"")</f>
        <v/>
      </c>
      <c r="O5000" s="87" t="str">
        <f>IFERROR(__xludf.DUMMYFUNCTION("""COMPUTED_VALUE"""),"https://drive.google.com/drive/folders/10T2cTQHqEJZqE-st6uFKPoI?usp=share_link")</f>
        <v>https://drive.google.com/drive/folders/10T2cTQHqEJZqE-st6uFKPoI?usp=share_link</v>
      </c>
      <c r="P5000" s="6" t="str">
        <f>IFERROR(__xludf.DUMMYFUNCTION("""COMPUTED_VALUE"""),"Jeremiah Allen")</f>
        <v>Jeremiah Allen</v>
      </c>
      <c r="Q5000" s="6" t="str">
        <f>IFERROR(__xludf.DUMMYFUNCTION("""COMPUTED_VALUE"""),"MS")</f>
        <v>MS</v>
      </c>
      <c r="R5000" s="6">
        <f>IFERROR(__xludf.DUMMYFUNCTION("""COMPUTED_VALUE"""),0.0)</f>
        <v>0</v>
      </c>
      <c r="S5000" s="6" t="str">
        <f>IFERROR(__xludf.DUMMYFUNCTION("""COMPUTED_VALUE"""),"Kimberly Ball")</f>
        <v>Kimberly Ball</v>
      </c>
      <c r="T5000" s="6" t="str">
        <f>IFERROR(__xludf.DUMMYFUNCTION("""COMPUTED_VALUE"""),"kimberly.ball@studient.com")</f>
        <v>kimberly.ball@studient.com</v>
      </c>
      <c r="U5000" s="6" t="str">
        <f>IFERROR(__xludf.DUMMYFUNCTION("""COMPUTED_VALUE"""),"8")</f>
        <v>8</v>
      </c>
      <c r="V5000" s="6" t="str">
        <f>IFERROR(__xludf.DUMMYFUNCTION("""COMPUTED_VALUE"""),"")</f>
        <v/>
      </c>
      <c r="W5000" s="6" t="str">
        <f>IFERROR(__xludf.DUMMYFUNCTION("""COMPUTED_VALUE"""),"[]")</f>
        <v>[]</v>
      </c>
      <c r="X5000" s="6" t="str">
        <f>IFERROR(__xludf.DUMMYFUNCTION("""COMPUTED_VALUE"""),"Enrolled")</f>
        <v>Enrolled</v>
      </c>
    </row>
    <row r="5001">
      <c r="A5001" s="6" t="str">
        <f>IFERROR(__xludf.DUMMYFUNCTION("""COMPUTED_VALUE"""),"085-12045")</f>
        <v>085-12045</v>
      </c>
      <c r="B5001" s="6" t="str">
        <f>IFERROR(__xludf.DUMMYFUNCTION("""COMPUTED_VALUE"""),"85")</f>
        <v>85</v>
      </c>
      <c r="C5001" s="6" t="str">
        <f>IFERROR(__xludf.DUMMYFUNCTION("""COMPUTED_VALUE"""),"12045")</f>
        <v>12045</v>
      </c>
      <c r="D5001" s="6" t="str">
        <f>IFERROR(__xludf.DUMMYFUNCTION("""COMPUTED_VALUE"""),"Regan")</f>
        <v>Regan</v>
      </c>
      <c r="E5001" s="6" t="str">
        <f>IFERROR(__xludf.DUMMYFUNCTION("""COMPUTED_VALUE"""),"")</f>
        <v/>
      </c>
      <c r="F5001" s="6" t="str">
        <f>IFERROR(__xludf.DUMMYFUNCTION("""COMPUTED_VALUE"""),"Barnes")</f>
        <v>Barnes</v>
      </c>
      <c r="G5001" s="6" t="str">
        <f>IFERROR(__xludf.DUMMYFUNCTION("""COMPUTED_VALUE"""),"10/21/2011")</f>
        <v>10/21/2011</v>
      </c>
      <c r="H5001" s="6" t="str">
        <f>IFERROR(__xludf.DUMMYFUNCTION("""COMPUTED_VALUE"""),"female")</f>
        <v>female</v>
      </c>
      <c r="I5001" s="6" t="str">
        <f>IFERROR(__xludf.DUMMYFUNCTION("""COMPUTED_VALUE"""),"Middle School")</f>
        <v>Middle School</v>
      </c>
      <c r="J5001" s="6" t="str">
        <f>IFERROR(__xludf.DUMMYFUNCTION("""COMPUTED_VALUE"""),"8")</f>
        <v>8</v>
      </c>
      <c r="K5001" s="6" t="str">
        <f>IFERROR(__xludf.DUMMYFUNCTION("""COMPUTED_VALUE"""),"regan.barnes@2hourlearning.com")</f>
        <v>regan.barnes@2hourlearning.com</v>
      </c>
      <c r="L5001" s="6" t="str">
        <f>IFERROR(__xludf.DUMMYFUNCTION("""COMPUTED_VALUE"""),"AFMS - Allendale Fairfax Middle School")</f>
        <v>AFMS - Allendale Fairfax Middle School</v>
      </c>
      <c r="M5001" s="6" t="str">
        <f>IFERROR(__xludf.DUMMYFUNCTION("""COMPUTED_VALUE"""),"")</f>
        <v/>
      </c>
      <c r="N5001" s="6" t="str">
        <f>IFERROR(__xludf.DUMMYFUNCTION("""COMPUTED_VALUE"""),"")</f>
        <v/>
      </c>
      <c r="O5001" s="87" t="str">
        <f>IFERROR(__xludf.DUMMYFUNCTION("""COMPUTED_VALUE"""),"https://drive.google.com/drive/folders/10T2cTQHqEJZqE-st6uFKPoI?usp=share_link")</f>
        <v>https://drive.google.com/drive/folders/10T2cTQHqEJZqE-st6uFKPoI?usp=share_link</v>
      </c>
      <c r="P5001" s="6" t="str">
        <f>IFERROR(__xludf.DUMMYFUNCTION("""COMPUTED_VALUE"""),"Regan Barnes")</f>
        <v>Regan Barnes</v>
      </c>
      <c r="Q5001" s="6" t="str">
        <f>IFERROR(__xludf.DUMMYFUNCTION("""COMPUTED_VALUE"""),"MS")</f>
        <v>MS</v>
      </c>
      <c r="R5001" s="6">
        <f>IFERROR(__xludf.DUMMYFUNCTION("""COMPUTED_VALUE"""),0.0)</f>
        <v>0</v>
      </c>
      <c r="S5001" s="6" t="str">
        <f>IFERROR(__xludf.DUMMYFUNCTION("""COMPUTED_VALUE"""),"Kimberly Ball")</f>
        <v>Kimberly Ball</v>
      </c>
      <c r="T5001" s="6" t="str">
        <f>IFERROR(__xludf.DUMMYFUNCTION("""COMPUTED_VALUE"""),"kimberly.ball@studient.com")</f>
        <v>kimberly.ball@studient.com</v>
      </c>
      <c r="U5001" s="6" t="str">
        <f>IFERROR(__xludf.DUMMYFUNCTION("""COMPUTED_VALUE"""),"8")</f>
        <v>8</v>
      </c>
      <c r="V5001" s="6" t="str">
        <f>IFERROR(__xludf.DUMMYFUNCTION("""COMPUTED_VALUE"""),"")</f>
        <v/>
      </c>
      <c r="W5001" s="6" t="str">
        <f>IFERROR(__xludf.DUMMYFUNCTION("""COMPUTED_VALUE"""),"[]")</f>
        <v>[]</v>
      </c>
      <c r="X5001" s="6" t="str">
        <f>IFERROR(__xludf.DUMMYFUNCTION("""COMPUTED_VALUE"""),"Enrolled")</f>
        <v>Enrolled</v>
      </c>
    </row>
    <row r="5002">
      <c r="A5002" s="6" t="str">
        <f>IFERROR(__xludf.DUMMYFUNCTION("""COMPUTED_VALUE"""),"085-12046")</f>
        <v>085-12046</v>
      </c>
      <c r="B5002" s="6" t="str">
        <f>IFERROR(__xludf.DUMMYFUNCTION("""COMPUTED_VALUE"""),"85")</f>
        <v>85</v>
      </c>
      <c r="C5002" s="6" t="str">
        <f>IFERROR(__xludf.DUMMYFUNCTION("""COMPUTED_VALUE"""),"12046")</f>
        <v>12046</v>
      </c>
      <c r="D5002" s="6" t="str">
        <f>IFERROR(__xludf.DUMMYFUNCTION("""COMPUTED_VALUE"""),"Melody")</f>
        <v>Melody</v>
      </c>
      <c r="E5002" s="6" t="str">
        <f>IFERROR(__xludf.DUMMYFUNCTION("""COMPUTED_VALUE"""),"")</f>
        <v/>
      </c>
      <c r="F5002" s="6" t="str">
        <f>IFERROR(__xludf.DUMMYFUNCTION("""COMPUTED_VALUE"""),"Bates")</f>
        <v>Bates</v>
      </c>
      <c r="G5002" s="6" t="str">
        <f>IFERROR(__xludf.DUMMYFUNCTION("""COMPUTED_VALUE"""),"01/13/2012")</f>
        <v>01/13/2012</v>
      </c>
      <c r="H5002" s="6" t="str">
        <f>IFERROR(__xludf.DUMMYFUNCTION("""COMPUTED_VALUE"""),"female")</f>
        <v>female</v>
      </c>
      <c r="I5002" s="6" t="str">
        <f>IFERROR(__xludf.DUMMYFUNCTION("""COMPUTED_VALUE"""),"Middle School")</f>
        <v>Middle School</v>
      </c>
      <c r="J5002" s="6" t="str">
        <f>IFERROR(__xludf.DUMMYFUNCTION("""COMPUTED_VALUE"""),"8")</f>
        <v>8</v>
      </c>
      <c r="K5002" s="6" t="str">
        <f>IFERROR(__xludf.DUMMYFUNCTION("""COMPUTED_VALUE"""),"melody.bates@2hourlearning.com")</f>
        <v>melody.bates@2hourlearning.com</v>
      </c>
      <c r="L5002" s="6" t="str">
        <f>IFERROR(__xludf.DUMMYFUNCTION("""COMPUTED_VALUE"""),"AFMS - Allendale Fairfax Middle School")</f>
        <v>AFMS - Allendale Fairfax Middle School</v>
      </c>
      <c r="M5002" s="6" t="str">
        <f>IFERROR(__xludf.DUMMYFUNCTION("""COMPUTED_VALUE"""),"")</f>
        <v/>
      </c>
      <c r="N5002" s="6" t="str">
        <f>IFERROR(__xludf.DUMMYFUNCTION("""COMPUTED_VALUE"""),"")</f>
        <v/>
      </c>
      <c r="O5002" s="87" t="str">
        <f>IFERROR(__xludf.DUMMYFUNCTION("""COMPUTED_VALUE"""),"https://drive.google.com/drive/folders/10T2cTQHqEJZqE-st6uFKPoI?usp=share_link")</f>
        <v>https://drive.google.com/drive/folders/10T2cTQHqEJZqE-st6uFKPoI?usp=share_link</v>
      </c>
      <c r="P5002" s="6" t="str">
        <f>IFERROR(__xludf.DUMMYFUNCTION("""COMPUTED_VALUE"""),"Melody Bates")</f>
        <v>Melody Bates</v>
      </c>
      <c r="Q5002" s="6" t="str">
        <f>IFERROR(__xludf.DUMMYFUNCTION("""COMPUTED_VALUE"""),"MS")</f>
        <v>MS</v>
      </c>
      <c r="R5002" s="6">
        <f>IFERROR(__xludf.DUMMYFUNCTION("""COMPUTED_VALUE"""),0.0)</f>
        <v>0</v>
      </c>
      <c r="S5002" s="6" t="str">
        <f>IFERROR(__xludf.DUMMYFUNCTION("""COMPUTED_VALUE"""),"Kimberly Ball")</f>
        <v>Kimberly Ball</v>
      </c>
      <c r="T5002" s="6" t="str">
        <f>IFERROR(__xludf.DUMMYFUNCTION("""COMPUTED_VALUE"""),"kimberly.ball@studient.com")</f>
        <v>kimberly.ball@studient.com</v>
      </c>
      <c r="U5002" s="6" t="str">
        <f>IFERROR(__xludf.DUMMYFUNCTION("""COMPUTED_VALUE"""),"8")</f>
        <v>8</v>
      </c>
      <c r="V5002" s="6" t="str">
        <f>IFERROR(__xludf.DUMMYFUNCTION("""COMPUTED_VALUE"""),"")</f>
        <v/>
      </c>
      <c r="W5002" s="6" t="str">
        <f>IFERROR(__xludf.DUMMYFUNCTION("""COMPUTED_VALUE"""),"[]")</f>
        <v>[]</v>
      </c>
      <c r="X5002" s="6" t="str">
        <f>IFERROR(__xludf.DUMMYFUNCTION("""COMPUTED_VALUE"""),"Enrolled")</f>
        <v>Enrolled</v>
      </c>
    </row>
    <row r="5003">
      <c r="A5003" s="6" t="str">
        <f>IFERROR(__xludf.DUMMYFUNCTION("""COMPUTED_VALUE"""),"085-12047")</f>
        <v>085-12047</v>
      </c>
      <c r="B5003" s="6" t="str">
        <f>IFERROR(__xludf.DUMMYFUNCTION("""COMPUTED_VALUE"""),"85")</f>
        <v>85</v>
      </c>
      <c r="C5003" s="6" t="str">
        <f>IFERROR(__xludf.DUMMYFUNCTION("""COMPUTED_VALUE"""),"12047")</f>
        <v>12047</v>
      </c>
      <c r="D5003" s="6" t="str">
        <f>IFERROR(__xludf.DUMMYFUNCTION("""COMPUTED_VALUE"""),"Jarren")</f>
        <v>Jarren</v>
      </c>
      <c r="E5003" s="6" t="str">
        <f>IFERROR(__xludf.DUMMYFUNCTION("""COMPUTED_VALUE"""),"")</f>
        <v/>
      </c>
      <c r="F5003" s="6" t="str">
        <f>IFERROR(__xludf.DUMMYFUNCTION("""COMPUTED_VALUE"""),"Bennett")</f>
        <v>Bennett</v>
      </c>
      <c r="G5003" s="6" t="str">
        <f>IFERROR(__xludf.DUMMYFUNCTION("""COMPUTED_VALUE"""),"09/01/2010")</f>
        <v>09/01/2010</v>
      </c>
      <c r="H5003" s="6" t="str">
        <f>IFERROR(__xludf.DUMMYFUNCTION("""COMPUTED_VALUE"""),"female")</f>
        <v>female</v>
      </c>
      <c r="I5003" s="6" t="str">
        <f>IFERROR(__xludf.DUMMYFUNCTION("""COMPUTED_VALUE"""),"Middle School")</f>
        <v>Middle School</v>
      </c>
      <c r="J5003" s="6" t="str">
        <f>IFERROR(__xludf.DUMMYFUNCTION("""COMPUTED_VALUE"""),"8")</f>
        <v>8</v>
      </c>
      <c r="K5003" s="6" t="str">
        <f>IFERROR(__xludf.DUMMYFUNCTION("""COMPUTED_VALUE"""),"jarren.bennett@2hourlearning.com")</f>
        <v>jarren.bennett@2hourlearning.com</v>
      </c>
      <c r="L5003" s="6" t="str">
        <f>IFERROR(__xludf.DUMMYFUNCTION("""COMPUTED_VALUE"""),"AFMS - Allendale Fairfax Middle School")</f>
        <v>AFMS - Allendale Fairfax Middle School</v>
      </c>
      <c r="M5003" s="6" t="str">
        <f>IFERROR(__xludf.DUMMYFUNCTION("""COMPUTED_VALUE"""),"")</f>
        <v/>
      </c>
      <c r="N5003" s="6" t="str">
        <f>IFERROR(__xludf.DUMMYFUNCTION("""COMPUTED_VALUE"""),"")</f>
        <v/>
      </c>
      <c r="O5003" s="87" t="str">
        <f>IFERROR(__xludf.DUMMYFUNCTION("""COMPUTED_VALUE"""),"https://drive.google.com/drive/folders/10T2cTQHqEJZqE-st6uFKPoI?usp=share_link")</f>
        <v>https://drive.google.com/drive/folders/10T2cTQHqEJZqE-st6uFKPoI?usp=share_link</v>
      </c>
      <c r="P5003" s="6" t="str">
        <f>IFERROR(__xludf.DUMMYFUNCTION("""COMPUTED_VALUE"""),"Jarren Bennett")</f>
        <v>Jarren Bennett</v>
      </c>
      <c r="Q5003" s="6" t="str">
        <f>IFERROR(__xludf.DUMMYFUNCTION("""COMPUTED_VALUE"""),"MS")</f>
        <v>MS</v>
      </c>
      <c r="R5003" s="6">
        <f>IFERROR(__xludf.DUMMYFUNCTION("""COMPUTED_VALUE"""),0.0)</f>
        <v>0</v>
      </c>
      <c r="S5003" s="6" t="str">
        <f>IFERROR(__xludf.DUMMYFUNCTION("""COMPUTED_VALUE"""),"Kimberly Ball")</f>
        <v>Kimberly Ball</v>
      </c>
      <c r="T5003" s="6" t="str">
        <f>IFERROR(__xludf.DUMMYFUNCTION("""COMPUTED_VALUE"""),"kimberly.ball@studient.com")</f>
        <v>kimberly.ball@studient.com</v>
      </c>
      <c r="U5003" s="6" t="str">
        <f>IFERROR(__xludf.DUMMYFUNCTION("""COMPUTED_VALUE"""),"8")</f>
        <v>8</v>
      </c>
      <c r="V5003" s="6" t="str">
        <f>IFERROR(__xludf.DUMMYFUNCTION("""COMPUTED_VALUE"""),"")</f>
        <v/>
      </c>
      <c r="W5003" s="6" t="str">
        <f>IFERROR(__xludf.DUMMYFUNCTION("""COMPUTED_VALUE"""),"[]")</f>
        <v>[]</v>
      </c>
      <c r="X5003" s="6" t="str">
        <f>IFERROR(__xludf.DUMMYFUNCTION("""COMPUTED_VALUE"""),"Enrolled")</f>
        <v>Enrolled</v>
      </c>
    </row>
    <row r="5004">
      <c r="A5004" s="6" t="str">
        <f>IFERROR(__xludf.DUMMYFUNCTION("""COMPUTED_VALUE"""),"085-12048")</f>
        <v>085-12048</v>
      </c>
      <c r="B5004" s="6" t="str">
        <f>IFERROR(__xludf.DUMMYFUNCTION("""COMPUTED_VALUE"""),"85")</f>
        <v>85</v>
      </c>
      <c r="C5004" s="6" t="str">
        <f>IFERROR(__xludf.DUMMYFUNCTION("""COMPUTED_VALUE"""),"12048")</f>
        <v>12048</v>
      </c>
      <c r="D5004" s="6" t="str">
        <f>IFERROR(__xludf.DUMMYFUNCTION("""COMPUTED_VALUE"""),"Londyn")</f>
        <v>Londyn</v>
      </c>
      <c r="E5004" s="6" t="str">
        <f>IFERROR(__xludf.DUMMYFUNCTION("""COMPUTED_VALUE"""),"")</f>
        <v/>
      </c>
      <c r="F5004" s="6" t="str">
        <f>IFERROR(__xludf.DUMMYFUNCTION("""COMPUTED_VALUE"""),"Bennett")</f>
        <v>Bennett</v>
      </c>
      <c r="G5004" s="6" t="str">
        <f>IFERROR(__xludf.DUMMYFUNCTION("""COMPUTED_VALUE"""),"07/21/2012")</f>
        <v>07/21/2012</v>
      </c>
      <c r="H5004" s="6" t="str">
        <f>IFERROR(__xludf.DUMMYFUNCTION("""COMPUTED_VALUE"""),"female")</f>
        <v>female</v>
      </c>
      <c r="I5004" s="6" t="str">
        <f>IFERROR(__xludf.DUMMYFUNCTION("""COMPUTED_VALUE"""),"Middle School")</f>
        <v>Middle School</v>
      </c>
      <c r="J5004" s="6" t="str">
        <f>IFERROR(__xludf.DUMMYFUNCTION("""COMPUTED_VALUE"""),"8")</f>
        <v>8</v>
      </c>
      <c r="K5004" s="6" t="str">
        <f>IFERROR(__xludf.DUMMYFUNCTION("""COMPUTED_VALUE"""),"londyn.bennett@2hourlearning.com")</f>
        <v>londyn.bennett@2hourlearning.com</v>
      </c>
      <c r="L5004" s="6" t="str">
        <f>IFERROR(__xludf.DUMMYFUNCTION("""COMPUTED_VALUE"""),"AFMS - Allendale Fairfax Middle School")</f>
        <v>AFMS - Allendale Fairfax Middle School</v>
      </c>
      <c r="M5004" s="6" t="str">
        <f>IFERROR(__xludf.DUMMYFUNCTION("""COMPUTED_VALUE"""),"")</f>
        <v/>
      </c>
      <c r="N5004" s="6" t="str">
        <f>IFERROR(__xludf.DUMMYFUNCTION("""COMPUTED_VALUE"""),"")</f>
        <v/>
      </c>
      <c r="O5004" s="87" t="str">
        <f>IFERROR(__xludf.DUMMYFUNCTION("""COMPUTED_VALUE"""),"https://drive.google.com/drive/folders/10T2cTQHqEJZqE-st6uFKPoI?usp=share_link")</f>
        <v>https://drive.google.com/drive/folders/10T2cTQHqEJZqE-st6uFKPoI?usp=share_link</v>
      </c>
      <c r="P5004" s="6" t="str">
        <f>IFERROR(__xludf.DUMMYFUNCTION("""COMPUTED_VALUE"""),"Londyn Bennett")</f>
        <v>Londyn Bennett</v>
      </c>
      <c r="Q5004" s="6" t="str">
        <f>IFERROR(__xludf.DUMMYFUNCTION("""COMPUTED_VALUE"""),"MS")</f>
        <v>MS</v>
      </c>
      <c r="R5004" s="6">
        <f>IFERROR(__xludf.DUMMYFUNCTION("""COMPUTED_VALUE"""),0.0)</f>
        <v>0</v>
      </c>
      <c r="S5004" s="6" t="str">
        <f>IFERROR(__xludf.DUMMYFUNCTION("""COMPUTED_VALUE"""),"Kimberly Ball")</f>
        <v>Kimberly Ball</v>
      </c>
      <c r="T5004" s="6" t="str">
        <f>IFERROR(__xludf.DUMMYFUNCTION("""COMPUTED_VALUE"""),"kimberly.ball@studient.com")</f>
        <v>kimberly.ball@studient.com</v>
      </c>
      <c r="U5004" s="6" t="str">
        <f>IFERROR(__xludf.DUMMYFUNCTION("""COMPUTED_VALUE"""),"8")</f>
        <v>8</v>
      </c>
      <c r="V5004" s="6" t="str">
        <f>IFERROR(__xludf.DUMMYFUNCTION("""COMPUTED_VALUE"""),"")</f>
        <v/>
      </c>
      <c r="W5004" s="6" t="str">
        <f>IFERROR(__xludf.DUMMYFUNCTION("""COMPUTED_VALUE"""),"[]")</f>
        <v>[]</v>
      </c>
      <c r="X5004" s="6" t="str">
        <f>IFERROR(__xludf.DUMMYFUNCTION("""COMPUTED_VALUE"""),"Enrolled")</f>
        <v>Enrolled</v>
      </c>
    </row>
    <row r="5005">
      <c r="A5005" s="6" t="str">
        <f>IFERROR(__xludf.DUMMYFUNCTION("""COMPUTED_VALUE"""),"085-12049")</f>
        <v>085-12049</v>
      </c>
      <c r="B5005" s="6" t="str">
        <f>IFERROR(__xludf.DUMMYFUNCTION("""COMPUTED_VALUE"""),"85")</f>
        <v>85</v>
      </c>
      <c r="C5005" s="6" t="str">
        <f>IFERROR(__xludf.DUMMYFUNCTION("""COMPUTED_VALUE"""),"12049")</f>
        <v>12049</v>
      </c>
      <c r="D5005" s="6" t="str">
        <f>IFERROR(__xludf.DUMMYFUNCTION("""COMPUTED_VALUE"""),"Nyla")</f>
        <v>Nyla</v>
      </c>
      <c r="E5005" s="6" t="str">
        <f>IFERROR(__xludf.DUMMYFUNCTION("""COMPUTED_VALUE"""),"")</f>
        <v/>
      </c>
      <c r="F5005" s="6" t="str">
        <f>IFERROR(__xludf.DUMMYFUNCTION("""COMPUTED_VALUE"""),"Brooks")</f>
        <v>Brooks</v>
      </c>
      <c r="G5005" s="6" t="str">
        <f>IFERROR(__xludf.DUMMYFUNCTION("""COMPUTED_VALUE"""),"06/07/2011")</f>
        <v>06/07/2011</v>
      </c>
      <c r="H5005" s="6" t="str">
        <f>IFERROR(__xludf.DUMMYFUNCTION("""COMPUTED_VALUE"""),"female")</f>
        <v>female</v>
      </c>
      <c r="I5005" s="6" t="str">
        <f>IFERROR(__xludf.DUMMYFUNCTION("""COMPUTED_VALUE"""),"Middle School")</f>
        <v>Middle School</v>
      </c>
      <c r="J5005" s="6" t="str">
        <f>IFERROR(__xludf.DUMMYFUNCTION("""COMPUTED_VALUE"""),"8")</f>
        <v>8</v>
      </c>
      <c r="K5005" s="6" t="str">
        <f>IFERROR(__xludf.DUMMYFUNCTION("""COMPUTED_VALUE"""),"nyla.brooks@2hourlearning.com")</f>
        <v>nyla.brooks@2hourlearning.com</v>
      </c>
      <c r="L5005" s="6" t="str">
        <f>IFERROR(__xludf.DUMMYFUNCTION("""COMPUTED_VALUE"""),"AFMS - Allendale Fairfax Middle School")</f>
        <v>AFMS - Allendale Fairfax Middle School</v>
      </c>
      <c r="M5005" s="6" t="str">
        <f>IFERROR(__xludf.DUMMYFUNCTION("""COMPUTED_VALUE"""),"")</f>
        <v/>
      </c>
      <c r="N5005" s="6" t="str">
        <f>IFERROR(__xludf.DUMMYFUNCTION("""COMPUTED_VALUE"""),"")</f>
        <v/>
      </c>
      <c r="O5005" s="87" t="str">
        <f>IFERROR(__xludf.DUMMYFUNCTION("""COMPUTED_VALUE"""),"https://drive.google.com/drive/folders/10T2cTQHqEJZqE-st6uFKPoI?usp=share_link")</f>
        <v>https://drive.google.com/drive/folders/10T2cTQHqEJZqE-st6uFKPoI?usp=share_link</v>
      </c>
      <c r="P5005" s="6" t="str">
        <f>IFERROR(__xludf.DUMMYFUNCTION("""COMPUTED_VALUE"""),"Nyla Brooks")</f>
        <v>Nyla Brooks</v>
      </c>
      <c r="Q5005" s="6" t="str">
        <f>IFERROR(__xludf.DUMMYFUNCTION("""COMPUTED_VALUE"""),"MS")</f>
        <v>MS</v>
      </c>
      <c r="R5005" s="6">
        <f>IFERROR(__xludf.DUMMYFUNCTION("""COMPUTED_VALUE"""),0.0)</f>
        <v>0</v>
      </c>
      <c r="S5005" s="6" t="str">
        <f>IFERROR(__xludf.DUMMYFUNCTION("""COMPUTED_VALUE"""),"Kimberly Ball")</f>
        <v>Kimberly Ball</v>
      </c>
      <c r="T5005" s="6" t="str">
        <f>IFERROR(__xludf.DUMMYFUNCTION("""COMPUTED_VALUE"""),"kimberly.ball@studient.com")</f>
        <v>kimberly.ball@studient.com</v>
      </c>
      <c r="U5005" s="6" t="str">
        <f>IFERROR(__xludf.DUMMYFUNCTION("""COMPUTED_VALUE"""),"8")</f>
        <v>8</v>
      </c>
      <c r="V5005" s="6" t="str">
        <f>IFERROR(__xludf.DUMMYFUNCTION("""COMPUTED_VALUE"""),"")</f>
        <v/>
      </c>
      <c r="W5005" s="6" t="str">
        <f>IFERROR(__xludf.DUMMYFUNCTION("""COMPUTED_VALUE"""),"[]")</f>
        <v>[]</v>
      </c>
      <c r="X5005" s="6" t="str">
        <f>IFERROR(__xludf.DUMMYFUNCTION("""COMPUTED_VALUE"""),"Enrolled")</f>
        <v>Enrolled</v>
      </c>
    </row>
    <row r="5006">
      <c r="A5006" s="6" t="str">
        <f>IFERROR(__xludf.DUMMYFUNCTION("""COMPUTED_VALUE"""),"085-12050")</f>
        <v>085-12050</v>
      </c>
      <c r="B5006" s="6" t="str">
        <f>IFERROR(__xludf.DUMMYFUNCTION("""COMPUTED_VALUE"""),"85")</f>
        <v>85</v>
      </c>
      <c r="C5006" s="6" t="str">
        <f>IFERROR(__xludf.DUMMYFUNCTION("""COMPUTED_VALUE"""),"12050")</f>
        <v>12050</v>
      </c>
      <c r="D5006" s="6" t="str">
        <f>IFERROR(__xludf.DUMMYFUNCTION("""COMPUTED_VALUE"""),"Ephesian")</f>
        <v>Ephesian</v>
      </c>
      <c r="E5006" s="6" t="str">
        <f>IFERROR(__xludf.DUMMYFUNCTION("""COMPUTED_VALUE"""),"")</f>
        <v/>
      </c>
      <c r="F5006" s="6" t="str">
        <f>IFERROR(__xludf.DUMMYFUNCTION("""COMPUTED_VALUE"""),"Bunch")</f>
        <v>Bunch</v>
      </c>
      <c r="G5006" s="6" t="str">
        <f>IFERROR(__xludf.DUMMYFUNCTION("""COMPUTED_VALUE"""),"03/27/2011")</f>
        <v>03/27/2011</v>
      </c>
      <c r="H5006" s="6" t="str">
        <f>IFERROR(__xludf.DUMMYFUNCTION("""COMPUTED_VALUE"""),"male")</f>
        <v>male</v>
      </c>
      <c r="I5006" s="6" t="str">
        <f>IFERROR(__xludf.DUMMYFUNCTION("""COMPUTED_VALUE"""),"Middle School")</f>
        <v>Middle School</v>
      </c>
      <c r="J5006" s="6" t="str">
        <f>IFERROR(__xludf.DUMMYFUNCTION("""COMPUTED_VALUE"""),"8")</f>
        <v>8</v>
      </c>
      <c r="K5006" s="6" t="str">
        <f>IFERROR(__xludf.DUMMYFUNCTION("""COMPUTED_VALUE"""),"ephesian.bunch@2hourlearning.com")</f>
        <v>ephesian.bunch@2hourlearning.com</v>
      </c>
      <c r="L5006" s="6" t="str">
        <f>IFERROR(__xludf.DUMMYFUNCTION("""COMPUTED_VALUE"""),"AFMS - Allendale Fairfax Middle School")</f>
        <v>AFMS - Allendale Fairfax Middle School</v>
      </c>
      <c r="M5006" s="6" t="str">
        <f>IFERROR(__xludf.DUMMYFUNCTION("""COMPUTED_VALUE"""),"")</f>
        <v/>
      </c>
      <c r="N5006" s="6" t="str">
        <f>IFERROR(__xludf.DUMMYFUNCTION("""COMPUTED_VALUE"""),"")</f>
        <v/>
      </c>
      <c r="O5006" s="87" t="str">
        <f>IFERROR(__xludf.DUMMYFUNCTION("""COMPUTED_VALUE"""),"https://drive.google.com/drive/folders/10T2cTQHqEJZqE-st6uFKPoI?usp=share_link")</f>
        <v>https://drive.google.com/drive/folders/10T2cTQHqEJZqE-st6uFKPoI?usp=share_link</v>
      </c>
      <c r="P5006" s="6" t="str">
        <f>IFERROR(__xludf.DUMMYFUNCTION("""COMPUTED_VALUE"""),"Ephesian Bunch")</f>
        <v>Ephesian Bunch</v>
      </c>
      <c r="Q5006" s="6" t="str">
        <f>IFERROR(__xludf.DUMMYFUNCTION("""COMPUTED_VALUE"""),"MS")</f>
        <v>MS</v>
      </c>
      <c r="R5006" s="6">
        <f>IFERROR(__xludf.DUMMYFUNCTION("""COMPUTED_VALUE"""),0.0)</f>
        <v>0</v>
      </c>
      <c r="S5006" s="6" t="str">
        <f>IFERROR(__xludf.DUMMYFUNCTION("""COMPUTED_VALUE"""),"Kimberly Ball")</f>
        <v>Kimberly Ball</v>
      </c>
      <c r="T5006" s="6" t="str">
        <f>IFERROR(__xludf.DUMMYFUNCTION("""COMPUTED_VALUE"""),"kimberly.ball@studient.com")</f>
        <v>kimberly.ball@studient.com</v>
      </c>
      <c r="U5006" s="6" t="str">
        <f>IFERROR(__xludf.DUMMYFUNCTION("""COMPUTED_VALUE"""),"8")</f>
        <v>8</v>
      </c>
      <c r="V5006" s="6" t="str">
        <f>IFERROR(__xludf.DUMMYFUNCTION("""COMPUTED_VALUE"""),"")</f>
        <v/>
      </c>
      <c r="W5006" s="6" t="str">
        <f>IFERROR(__xludf.DUMMYFUNCTION("""COMPUTED_VALUE"""),"[]")</f>
        <v>[]</v>
      </c>
      <c r="X5006" s="6" t="str">
        <f>IFERROR(__xludf.DUMMYFUNCTION("""COMPUTED_VALUE"""),"Enrolled")</f>
        <v>Enrolled</v>
      </c>
    </row>
    <row r="5007">
      <c r="A5007" s="6" t="str">
        <f>IFERROR(__xludf.DUMMYFUNCTION("""COMPUTED_VALUE"""),"085-12051")</f>
        <v>085-12051</v>
      </c>
      <c r="B5007" s="6" t="str">
        <f>IFERROR(__xludf.DUMMYFUNCTION("""COMPUTED_VALUE"""),"85")</f>
        <v>85</v>
      </c>
      <c r="C5007" s="6" t="str">
        <f>IFERROR(__xludf.DUMMYFUNCTION("""COMPUTED_VALUE"""),"12051")</f>
        <v>12051</v>
      </c>
      <c r="D5007" s="6" t="str">
        <f>IFERROR(__xludf.DUMMYFUNCTION("""COMPUTED_VALUE"""),"Logan")</f>
        <v>Logan</v>
      </c>
      <c r="E5007" s="6" t="str">
        <f>IFERROR(__xludf.DUMMYFUNCTION("""COMPUTED_VALUE"""),"")</f>
        <v/>
      </c>
      <c r="F5007" s="6" t="str">
        <f>IFERROR(__xludf.DUMMYFUNCTION("""COMPUTED_VALUE"""),"Capers")</f>
        <v>Capers</v>
      </c>
      <c r="G5007" s="6" t="str">
        <f>IFERROR(__xludf.DUMMYFUNCTION("""COMPUTED_VALUE"""),"07/28/2011")</f>
        <v>07/28/2011</v>
      </c>
      <c r="H5007" s="6" t="str">
        <f>IFERROR(__xludf.DUMMYFUNCTION("""COMPUTED_VALUE"""),"female")</f>
        <v>female</v>
      </c>
      <c r="I5007" s="6" t="str">
        <f>IFERROR(__xludf.DUMMYFUNCTION("""COMPUTED_VALUE"""),"Middle School")</f>
        <v>Middle School</v>
      </c>
      <c r="J5007" s="6" t="str">
        <f>IFERROR(__xludf.DUMMYFUNCTION("""COMPUTED_VALUE"""),"8")</f>
        <v>8</v>
      </c>
      <c r="K5007" s="6" t="str">
        <f>IFERROR(__xludf.DUMMYFUNCTION("""COMPUTED_VALUE"""),"logan.capers@2hourlearning.com")</f>
        <v>logan.capers@2hourlearning.com</v>
      </c>
      <c r="L5007" s="6" t="str">
        <f>IFERROR(__xludf.DUMMYFUNCTION("""COMPUTED_VALUE"""),"AFMS - Allendale Fairfax Middle School")</f>
        <v>AFMS - Allendale Fairfax Middle School</v>
      </c>
      <c r="M5007" s="6" t="str">
        <f>IFERROR(__xludf.DUMMYFUNCTION("""COMPUTED_VALUE"""),"")</f>
        <v/>
      </c>
      <c r="N5007" s="6" t="str">
        <f>IFERROR(__xludf.DUMMYFUNCTION("""COMPUTED_VALUE"""),"")</f>
        <v/>
      </c>
      <c r="O5007" s="87" t="str">
        <f>IFERROR(__xludf.DUMMYFUNCTION("""COMPUTED_VALUE"""),"https://drive.google.com/drive/folders/10T2cTQHqEJZqE-st6uFKPoI?usp=share_link")</f>
        <v>https://drive.google.com/drive/folders/10T2cTQHqEJZqE-st6uFKPoI?usp=share_link</v>
      </c>
      <c r="P5007" s="6" t="str">
        <f>IFERROR(__xludf.DUMMYFUNCTION("""COMPUTED_VALUE"""),"Logan Capers")</f>
        <v>Logan Capers</v>
      </c>
      <c r="Q5007" s="6" t="str">
        <f>IFERROR(__xludf.DUMMYFUNCTION("""COMPUTED_VALUE"""),"MS")</f>
        <v>MS</v>
      </c>
      <c r="R5007" s="6">
        <f>IFERROR(__xludf.DUMMYFUNCTION("""COMPUTED_VALUE"""),0.0)</f>
        <v>0</v>
      </c>
      <c r="S5007" s="6" t="str">
        <f>IFERROR(__xludf.DUMMYFUNCTION("""COMPUTED_VALUE"""),"Kimberly Ball")</f>
        <v>Kimberly Ball</v>
      </c>
      <c r="T5007" s="6" t="str">
        <f>IFERROR(__xludf.DUMMYFUNCTION("""COMPUTED_VALUE"""),"kimberly.ball@studient.com")</f>
        <v>kimberly.ball@studient.com</v>
      </c>
      <c r="U5007" s="6" t="str">
        <f>IFERROR(__xludf.DUMMYFUNCTION("""COMPUTED_VALUE"""),"8")</f>
        <v>8</v>
      </c>
      <c r="V5007" s="6" t="str">
        <f>IFERROR(__xludf.DUMMYFUNCTION("""COMPUTED_VALUE"""),"")</f>
        <v/>
      </c>
      <c r="W5007" s="6" t="str">
        <f>IFERROR(__xludf.DUMMYFUNCTION("""COMPUTED_VALUE"""),"[]")</f>
        <v>[]</v>
      </c>
      <c r="X5007" s="6" t="str">
        <f>IFERROR(__xludf.DUMMYFUNCTION("""COMPUTED_VALUE"""),"Enrolled")</f>
        <v>Enrolled</v>
      </c>
    </row>
    <row r="5008">
      <c r="A5008" s="6" t="str">
        <f>IFERROR(__xludf.DUMMYFUNCTION("""COMPUTED_VALUE"""),"085-12053")</f>
        <v>085-12053</v>
      </c>
      <c r="B5008" s="6" t="str">
        <f>IFERROR(__xludf.DUMMYFUNCTION("""COMPUTED_VALUE"""),"85")</f>
        <v>85</v>
      </c>
      <c r="C5008" s="6" t="str">
        <f>IFERROR(__xludf.DUMMYFUNCTION("""COMPUTED_VALUE"""),"12053")</f>
        <v>12053</v>
      </c>
      <c r="D5008" s="6" t="str">
        <f>IFERROR(__xludf.DUMMYFUNCTION("""COMPUTED_VALUE"""),"Quavionna")</f>
        <v>Quavionna</v>
      </c>
      <c r="E5008" s="6" t="str">
        <f>IFERROR(__xludf.DUMMYFUNCTION("""COMPUTED_VALUE"""),"")</f>
        <v/>
      </c>
      <c r="F5008" s="6" t="str">
        <f>IFERROR(__xludf.DUMMYFUNCTION("""COMPUTED_VALUE"""),"Cohen")</f>
        <v>Cohen</v>
      </c>
      <c r="G5008" s="6" t="str">
        <f>IFERROR(__xludf.DUMMYFUNCTION("""COMPUTED_VALUE"""),"07/11/2011")</f>
        <v>07/11/2011</v>
      </c>
      <c r="H5008" s="6" t="str">
        <f>IFERROR(__xludf.DUMMYFUNCTION("""COMPUTED_VALUE"""),"female")</f>
        <v>female</v>
      </c>
      <c r="I5008" s="6" t="str">
        <f>IFERROR(__xludf.DUMMYFUNCTION("""COMPUTED_VALUE"""),"Middle School")</f>
        <v>Middle School</v>
      </c>
      <c r="J5008" s="6" t="str">
        <f>IFERROR(__xludf.DUMMYFUNCTION("""COMPUTED_VALUE"""),"8")</f>
        <v>8</v>
      </c>
      <c r="K5008" s="6" t="str">
        <f>IFERROR(__xludf.DUMMYFUNCTION("""COMPUTED_VALUE"""),"quavionna.cohen@2hourlearning.com")</f>
        <v>quavionna.cohen@2hourlearning.com</v>
      </c>
      <c r="L5008" s="6" t="str">
        <f>IFERROR(__xludf.DUMMYFUNCTION("""COMPUTED_VALUE"""),"AFMS - Allendale Fairfax Middle School")</f>
        <v>AFMS - Allendale Fairfax Middle School</v>
      </c>
      <c r="M5008" s="6" t="str">
        <f>IFERROR(__xludf.DUMMYFUNCTION("""COMPUTED_VALUE"""),"")</f>
        <v/>
      </c>
      <c r="N5008" s="6" t="str">
        <f>IFERROR(__xludf.DUMMYFUNCTION("""COMPUTED_VALUE"""),"")</f>
        <v/>
      </c>
      <c r="O5008" s="87" t="str">
        <f>IFERROR(__xludf.DUMMYFUNCTION("""COMPUTED_VALUE"""),"https://drive.google.com/drive/folders/10T2cTQHqEJZqE-st6uFKPoI?usp=share_link")</f>
        <v>https://drive.google.com/drive/folders/10T2cTQHqEJZqE-st6uFKPoI?usp=share_link</v>
      </c>
      <c r="P5008" s="6" t="str">
        <f>IFERROR(__xludf.DUMMYFUNCTION("""COMPUTED_VALUE"""),"Quavionna Cohen")</f>
        <v>Quavionna Cohen</v>
      </c>
      <c r="Q5008" s="6" t="str">
        <f>IFERROR(__xludf.DUMMYFUNCTION("""COMPUTED_VALUE"""),"MS")</f>
        <v>MS</v>
      </c>
      <c r="R5008" s="6">
        <f>IFERROR(__xludf.DUMMYFUNCTION("""COMPUTED_VALUE"""),0.0)</f>
        <v>0</v>
      </c>
      <c r="S5008" s="6" t="str">
        <f>IFERROR(__xludf.DUMMYFUNCTION("""COMPUTED_VALUE"""),"Kimberly Ball")</f>
        <v>Kimberly Ball</v>
      </c>
      <c r="T5008" s="6" t="str">
        <f>IFERROR(__xludf.DUMMYFUNCTION("""COMPUTED_VALUE"""),"kimberly.ball@studient.com")</f>
        <v>kimberly.ball@studient.com</v>
      </c>
      <c r="U5008" s="6" t="str">
        <f>IFERROR(__xludf.DUMMYFUNCTION("""COMPUTED_VALUE"""),"8")</f>
        <v>8</v>
      </c>
      <c r="V5008" s="6" t="str">
        <f>IFERROR(__xludf.DUMMYFUNCTION("""COMPUTED_VALUE"""),"")</f>
        <v/>
      </c>
      <c r="W5008" s="6" t="str">
        <f>IFERROR(__xludf.DUMMYFUNCTION("""COMPUTED_VALUE"""),"[]")</f>
        <v>[]</v>
      </c>
      <c r="X5008" s="6" t="str">
        <f>IFERROR(__xludf.DUMMYFUNCTION("""COMPUTED_VALUE"""),"Enrolled")</f>
        <v>Enrolled</v>
      </c>
    </row>
    <row r="5009">
      <c r="A5009" s="6" t="str">
        <f>IFERROR(__xludf.DUMMYFUNCTION("""COMPUTED_VALUE"""),"085-12054")</f>
        <v>085-12054</v>
      </c>
      <c r="B5009" s="6" t="str">
        <f>IFERROR(__xludf.DUMMYFUNCTION("""COMPUTED_VALUE"""),"85")</f>
        <v>85</v>
      </c>
      <c r="C5009" s="6" t="str">
        <f>IFERROR(__xludf.DUMMYFUNCTION("""COMPUTED_VALUE"""),"12054")</f>
        <v>12054</v>
      </c>
      <c r="D5009" s="6" t="str">
        <f>IFERROR(__xludf.DUMMYFUNCTION("""COMPUTED_VALUE"""),"Ga'Nearria")</f>
        <v>Ga'Nearria</v>
      </c>
      <c r="E5009" s="6" t="str">
        <f>IFERROR(__xludf.DUMMYFUNCTION("""COMPUTED_VALUE"""),"")</f>
        <v/>
      </c>
      <c r="F5009" s="6" t="str">
        <f>IFERROR(__xludf.DUMMYFUNCTION("""COMPUTED_VALUE"""),"Cohens")</f>
        <v>Cohens</v>
      </c>
      <c r="G5009" s="6" t="str">
        <f>IFERROR(__xludf.DUMMYFUNCTION("""COMPUTED_VALUE"""),"06/03/2012")</f>
        <v>06/03/2012</v>
      </c>
      <c r="H5009" s="6" t="str">
        <f>IFERROR(__xludf.DUMMYFUNCTION("""COMPUTED_VALUE"""),"female")</f>
        <v>female</v>
      </c>
      <c r="I5009" s="6" t="str">
        <f>IFERROR(__xludf.DUMMYFUNCTION("""COMPUTED_VALUE"""),"Middle School")</f>
        <v>Middle School</v>
      </c>
      <c r="J5009" s="6" t="str">
        <f>IFERROR(__xludf.DUMMYFUNCTION("""COMPUTED_VALUE"""),"8")</f>
        <v>8</v>
      </c>
      <c r="K5009" s="6" t="str">
        <f>IFERROR(__xludf.DUMMYFUNCTION("""COMPUTED_VALUE"""),"ganearria.cohens@2hourlearning.com")</f>
        <v>ganearria.cohens@2hourlearning.com</v>
      </c>
      <c r="L5009" s="6" t="str">
        <f>IFERROR(__xludf.DUMMYFUNCTION("""COMPUTED_VALUE"""),"AFMS - Allendale Fairfax Middle School")</f>
        <v>AFMS - Allendale Fairfax Middle School</v>
      </c>
      <c r="M5009" s="6" t="str">
        <f>IFERROR(__xludf.DUMMYFUNCTION("""COMPUTED_VALUE"""),"")</f>
        <v/>
      </c>
      <c r="N5009" s="6" t="str">
        <f>IFERROR(__xludf.DUMMYFUNCTION("""COMPUTED_VALUE"""),"")</f>
        <v/>
      </c>
      <c r="O5009" s="87" t="str">
        <f>IFERROR(__xludf.DUMMYFUNCTION("""COMPUTED_VALUE"""),"https://drive.google.com/drive/folders/10T2cTQHqEJZqE-st6uFKPoI?usp=share_link")</f>
        <v>https://drive.google.com/drive/folders/10T2cTQHqEJZqE-st6uFKPoI?usp=share_link</v>
      </c>
      <c r="P5009" s="6" t="str">
        <f>IFERROR(__xludf.DUMMYFUNCTION("""COMPUTED_VALUE"""),"Ga'Nearria Cohens")</f>
        <v>Ga'Nearria Cohens</v>
      </c>
      <c r="Q5009" s="6" t="str">
        <f>IFERROR(__xludf.DUMMYFUNCTION("""COMPUTED_VALUE"""),"MS")</f>
        <v>MS</v>
      </c>
      <c r="R5009" s="6">
        <f>IFERROR(__xludf.DUMMYFUNCTION("""COMPUTED_VALUE"""),0.0)</f>
        <v>0</v>
      </c>
      <c r="S5009" s="6" t="str">
        <f>IFERROR(__xludf.DUMMYFUNCTION("""COMPUTED_VALUE"""),"Kimberly Ball")</f>
        <v>Kimberly Ball</v>
      </c>
      <c r="T5009" s="6" t="str">
        <f>IFERROR(__xludf.DUMMYFUNCTION("""COMPUTED_VALUE"""),"kimberly.ball@studient.com")</f>
        <v>kimberly.ball@studient.com</v>
      </c>
      <c r="U5009" s="6" t="str">
        <f>IFERROR(__xludf.DUMMYFUNCTION("""COMPUTED_VALUE"""),"8")</f>
        <v>8</v>
      </c>
      <c r="V5009" s="6" t="str">
        <f>IFERROR(__xludf.DUMMYFUNCTION("""COMPUTED_VALUE"""),"")</f>
        <v/>
      </c>
      <c r="W5009" s="6" t="str">
        <f>IFERROR(__xludf.DUMMYFUNCTION("""COMPUTED_VALUE"""),"[]")</f>
        <v>[]</v>
      </c>
      <c r="X5009" s="6" t="str">
        <f>IFERROR(__xludf.DUMMYFUNCTION("""COMPUTED_VALUE"""),"Enrolled")</f>
        <v>Enrolled</v>
      </c>
    </row>
    <row r="5010">
      <c r="A5010" s="6" t="str">
        <f>IFERROR(__xludf.DUMMYFUNCTION("""COMPUTED_VALUE"""),"085-12055")</f>
        <v>085-12055</v>
      </c>
      <c r="B5010" s="6" t="str">
        <f>IFERROR(__xludf.DUMMYFUNCTION("""COMPUTED_VALUE"""),"85")</f>
        <v>85</v>
      </c>
      <c r="C5010" s="6" t="str">
        <f>IFERROR(__xludf.DUMMYFUNCTION("""COMPUTED_VALUE"""),"12055")</f>
        <v>12055</v>
      </c>
      <c r="D5010" s="6" t="str">
        <f>IFERROR(__xludf.DUMMYFUNCTION("""COMPUTED_VALUE"""),"Saniyah")</f>
        <v>Saniyah</v>
      </c>
      <c r="E5010" s="6" t="str">
        <f>IFERROR(__xludf.DUMMYFUNCTION("""COMPUTED_VALUE"""),"")</f>
        <v/>
      </c>
      <c r="F5010" s="6" t="str">
        <f>IFERROR(__xludf.DUMMYFUNCTION("""COMPUTED_VALUE"""),"Custus-Williams")</f>
        <v>Custus-Williams</v>
      </c>
      <c r="G5010" s="6" t="str">
        <f>IFERROR(__xludf.DUMMYFUNCTION("""COMPUTED_VALUE"""),"12/16/2011")</f>
        <v>12/16/2011</v>
      </c>
      <c r="H5010" s="6" t="str">
        <f>IFERROR(__xludf.DUMMYFUNCTION("""COMPUTED_VALUE"""),"female")</f>
        <v>female</v>
      </c>
      <c r="I5010" s="6" t="str">
        <f>IFERROR(__xludf.DUMMYFUNCTION("""COMPUTED_VALUE"""),"Middle School")</f>
        <v>Middle School</v>
      </c>
      <c r="J5010" s="6" t="str">
        <f>IFERROR(__xludf.DUMMYFUNCTION("""COMPUTED_VALUE"""),"8")</f>
        <v>8</v>
      </c>
      <c r="K5010" s="6" t="str">
        <f>IFERROR(__xludf.DUMMYFUNCTION("""COMPUTED_VALUE"""),"saniyah.custus-williams@2hourlearning.com")</f>
        <v>saniyah.custus-williams@2hourlearning.com</v>
      </c>
      <c r="L5010" s="6" t="str">
        <f>IFERROR(__xludf.DUMMYFUNCTION("""COMPUTED_VALUE"""),"AFMS - Allendale Fairfax Middle School")</f>
        <v>AFMS - Allendale Fairfax Middle School</v>
      </c>
      <c r="M5010" s="6" t="str">
        <f>IFERROR(__xludf.DUMMYFUNCTION("""COMPUTED_VALUE"""),"")</f>
        <v/>
      </c>
      <c r="N5010" s="6" t="str">
        <f>IFERROR(__xludf.DUMMYFUNCTION("""COMPUTED_VALUE"""),"")</f>
        <v/>
      </c>
      <c r="O5010" s="87" t="str">
        <f>IFERROR(__xludf.DUMMYFUNCTION("""COMPUTED_VALUE"""),"https://drive.google.com/drive/folders/10T2cTQHqEJZqE-st6uFKPoI?usp=share_link")</f>
        <v>https://drive.google.com/drive/folders/10T2cTQHqEJZqE-st6uFKPoI?usp=share_link</v>
      </c>
      <c r="P5010" s="6" t="str">
        <f>IFERROR(__xludf.DUMMYFUNCTION("""COMPUTED_VALUE"""),"Saniyah Custus-Williams")</f>
        <v>Saniyah Custus-Williams</v>
      </c>
      <c r="Q5010" s="6" t="str">
        <f>IFERROR(__xludf.DUMMYFUNCTION("""COMPUTED_VALUE"""),"MS")</f>
        <v>MS</v>
      </c>
      <c r="R5010" s="6">
        <f>IFERROR(__xludf.DUMMYFUNCTION("""COMPUTED_VALUE"""),0.0)</f>
        <v>0</v>
      </c>
      <c r="S5010" s="6" t="str">
        <f>IFERROR(__xludf.DUMMYFUNCTION("""COMPUTED_VALUE"""),"Kimberly Ball")</f>
        <v>Kimberly Ball</v>
      </c>
      <c r="T5010" s="6" t="str">
        <f>IFERROR(__xludf.DUMMYFUNCTION("""COMPUTED_VALUE"""),"kimberly.ball@studient.com")</f>
        <v>kimberly.ball@studient.com</v>
      </c>
      <c r="U5010" s="6" t="str">
        <f>IFERROR(__xludf.DUMMYFUNCTION("""COMPUTED_VALUE"""),"8")</f>
        <v>8</v>
      </c>
      <c r="V5010" s="6" t="str">
        <f>IFERROR(__xludf.DUMMYFUNCTION("""COMPUTED_VALUE"""),"")</f>
        <v/>
      </c>
      <c r="W5010" s="6" t="str">
        <f>IFERROR(__xludf.DUMMYFUNCTION("""COMPUTED_VALUE"""),"[]")</f>
        <v>[]</v>
      </c>
      <c r="X5010" s="6" t="str">
        <f>IFERROR(__xludf.DUMMYFUNCTION("""COMPUTED_VALUE"""),"Enrolled")</f>
        <v>Enrolled</v>
      </c>
    </row>
    <row r="5011">
      <c r="A5011" s="6" t="str">
        <f>IFERROR(__xludf.DUMMYFUNCTION("""COMPUTED_VALUE"""),"085-12056")</f>
        <v>085-12056</v>
      </c>
      <c r="B5011" s="6" t="str">
        <f>IFERROR(__xludf.DUMMYFUNCTION("""COMPUTED_VALUE"""),"85")</f>
        <v>85</v>
      </c>
      <c r="C5011" s="6" t="str">
        <f>IFERROR(__xludf.DUMMYFUNCTION("""COMPUTED_VALUE"""),"12056")</f>
        <v>12056</v>
      </c>
      <c r="D5011" s="6" t="str">
        <f>IFERROR(__xludf.DUMMYFUNCTION("""COMPUTED_VALUE"""),"Ma'lahn")</f>
        <v>Ma'lahn</v>
      </c>
      <c r="E5011" s="6" t="str">
        <f>IFERROR(__xludf.DUMMYFUNCTION("""COMPUTED_VALUE"""),"")</f>
        <v/>
      </c>
      <c r="F5011" s="6" t="str">
        <f>IFERROR(__xludf.DUMMYFUNCTION("""COMPUTED_VALUE"""),"Daniels")</f>
        <v>Daniels</v>
      </c>
      <c r="G5011" s="6" t="str">
        <f>IFERROR(__xludf.DUMMYFUNCTION("""COMPUTED_VALUE"""),"09/09/2011")</f>
        <v>09/09/2011</v>
      </c>
      <c r="H5011" s="6" t="str">
        <f>IFERROR(__xludf.DUMMYFUNCTION("""COMPUTED_VALUE"""),"female")</f>
        <v>female</v>
      </c>
      <c r="I5011" s="6" t="str">
        <f>IFERROR(__xludf.DUMMYFUNCTION("""COMPUTED_VALUE"""),"Middle School")</f>
        <v>Middle School</v>
      </c>
      <c r="J5011" s="6" t="str">
        <f>IFERROR(__xludf.DUMMYFUNCTION("""COMPUTED_VALUE"""),"8")</f>
        <v>8</v>
      </c>
      <c r="K5011" s="6" t="str">
        <f>IFERROR(__xludf.DUMMYFUNCTION("""COMPUTED_VALUE"""),"malahn.daniels@2hourlearning.com")</f>
        <v>malahn.daniels@2hourlearning.com</v>
      </c>
      <c r="L5011" s="6" t="str">
        <f>IFERROR(__xludf.DUMMYFUNCTION("""COMPUTED_VALUE"""),"AFMS - Allendale Fairfax Middle School")</f>
        <v>AFMS - Allendale Fairfax Middle School</v>
      </c>
      <c r="M5011" s="6" t="str">
        <f>IFERROR(__xludf.DUMMYFUNCTION("""COMPUTED_VALUE"""),"")</f>
        <v/>
      </c>
      <c r="N5011" s="6" t="str">
        <f>IFERROR(__xludf.DUMMYFUNCTION("""COMPUTED_VALUE"""),"")</f>
        <v/>
      </c>
      <c r="O5011" s="87" t="str">
        <f>IFERROR(__xludf.DUMMYFUNCTION("""COMPUTED_VALUE"""),"https://drive.google.com/drive/folders/10T2cTQHqEJZqE-st6uFKPoI?usp=share_link")</f>
        <v>https://drive.google.com/drive/folders/10T2cTQHqEJZqE-st6uFKPoI?usp=share_link</v>
      </c>
      <c r="P5011" s="6" t="str">
        <f>IFERROR(__xludf.DUMMYFUNCTION("""COMPUTED_VALUE"""),"Ma'lahn Daniels")</f>
        <v>Ma'lahn Daniels</v>
      </c>
      <c r="Q5011" s="6" t="str">
        <f>IFERROR(__xludf.DUMMYFUNCTION("""COMPUTED_VALUE"""),"MS")</f>
        <v>MS</v>
      </c>
      <c r="R5011" s="6">
        <f>IFERROR(__xludf.DUMMYFUNCTION("""COMPUTED_VALUE"""),0.0)</f>
        <v>0</v>
      </c>
      <c r="S5011" s="6" t="str">
        <f>IFERROR(__xludf.DUMMYFUNCTION("""COMPUTED_VALUE"""),"Kimberly Ball")</f>
        <v>Kimberly Ball</v>
      </c>
      <c r="T5011" s="6" t="str">
        <f>IFERROR(__xludf.DUMMYFUNCTION("""COMPUTED_VALUE"""),"kimberly.ball@studient.com")</f>
        <v>kimberly.ball@studient.com</v>
      </c>
      <c r="U5011" s="6" t="str">
        <f>IFERROR(__xludf.DUMMYFUNCTION("""COMPUTED_VALUE"""),"8")</f>
        <v>8</v>
      </c>
      <c r="V5011" s="6" t="str">
        <f>IFERROR(__xludf.DUMMYFUNCTION("""COMPUTED_VALUE"""),"")</f>
        <v/>
      </c>
      <c r="W5011" s="6" t="str">
        <f>IFERROR(__xludf.DUMMYFUNCTION("""COMPUTED_VALUE"""),"[]")</f>
        <v>[]</v>
      </c>
      <c r="X5011" s="6" t="str">
        <f>IFERROR(__xludf.DUMMYFUNCTION("""COMPUTED_VALUE"""),"Enrolled")</f>
        <v>Enrolled</v>
      </c>
    </row>
    <row r="5012">
      <c r="A5012" s="6" t="str">
        <f>IFERROR(__xludf.DUMMYFUNCTION("""COMPUTED_VALUE"""),"085-12057")</f>
        <v>085-12057</v>
      </c>
      <c r="B5012" s="6" t="str">
        <f>IFERROR(__xludf.DUMMYFUNCTION("""COMPUTED_VALUE"""),"85")</f>
        <v>85</v>
      </c>
      <c r="C5012" s="6" t="str">
        <f>IFERROR(__xludf.DUMMYFUNCTION("""COMPUTED_VALUE"""),"12057")</f>
        <v>12057</v>
      </c>
      <c r="D5012" s="6" t="str">
        <f>IFERROR(__xludf.DUMMYFUNCTION("""COMPUTED_VALUE"""),"Mckenvie")</f>
        <v>Mckenvie</v>
      </c>
      <c r="E5012" s="6" t="str">
        <f>IFERROR(__xludf.DUMMYFUNCTION("""COMPUTED_VALUE"""),"")</f>
        <v/>
      </c>
      <c r="F5012" s="6" t="str">
        <f>IFERROR(__xludf.DUMMYFUNCTION("""COMPUTED_VALUE"""),"Davis")</f>
        <v>Davis</v>
      </c>
      <c r="G5012" s="6" t="str">
        <f>IFERROR(__xludf.DUMMYFUNCTION("""COMPUTED_VALUE"""),"05/25/2012")</f>
        <v>05/25/2012</v>
      </c>
      <c r="H5012" s="6" t="str">
        <f>IFERROR(__xludf.DUMMYFUNCTION("""COMPUTED_VALUE"""),"female")</f>
        <v>female</v>
      </c>
      <c r="I5012" s="6" t="str">
        <f>IFERROR(__xludf.DUMMYFUNCTION("""COMPUTED_VALUE"""),"Middle School")</f>
        <v>Middle School</v>
      </c>
      <c r="J5012" s="6" t="str">
        <f>IFERROR(__xludf.DUMMYFUNCTION("""COMPUTED_VALUE"""),"8")</f>
        <v>8</v>
      </c>
      <c r="K5012" s="6" t="str">
        <f>IFERROR(__xludf.DUMMYFUNCTION("""COMPUTED_VALUE"""),"mckenvie.davis@2hourlearning.com")</f>
        <v>mckenvie.davis@2hourlearning.com</v>
      </c>
      <c r="L5012" s="6" t="str">
        <f>IFERROR(__xludf.DUMMYFUNCTION("""COMPUTED_VALUE"""),"AFMS - Allendale Fairfax Middle School")</f>
        <v>AFMS - Allendale Fairfax Middle School</v>
      </c>
      <c r="M5012" s="6" t="str">
        <f>IFERROR(__xludf.DUMMYFUNCTION("""COMPUTED_VALUE"""),"")</f>
        <v/>
      </c>
      <c r="N5012" s="6" t="str">
        <f>IFERROR(__xludf.DUMMYFUNCTION("""COMPUTED_VALUE"""),"")</f>
        <v/>
      </c>
      <c r="O5012" s="87" t="str">
        <f>IFERROR(__xludf.DUMMYFUNCTION("""COMPUTED_VALUE"""),"https://drive.google.com/drive/folders/10T2cTQHqEJZqE-st6uFKPoI?usp=share_link")</f>
        <v>https://drive.google.com/drive/folders/10T2cTQHqEJZqE-st6uFKPoI?usp=share_link</v>
      </c>
      <c r="P5012" s="6" t="str">
        <f>IFERROR(__xludf.DUMMYFUNCTION("""COMPUTED_VALUE"""),"Mckenvie Davis")</f>
        <v>Mckenvie Davis</v>
      </c>
      <c r="Q5012" s="6" t="str">
        <f>IFERROR(__xludf.DUMMYFUNCTION("""COMPUTED_VALUE"""),"MS")</f>
        <v>MS</v>
      </c>
      <c r="R5012" s="6">
        <f>IFERROR(__xludf.DUMMYFUNCTION("""COMPUTED_VALUE"""),0.0)</f>
        <v>0</v>
      </c>
      <c r="S5012" s="6" t="str">
        <f>IFERROR(__xludf.DUMMYFUNCTION("""COMPUTED_VALUE"""),"Kimberly Ball")</f>
        <v>Kimberly Ball</v>
      </c>
      <c r="T5012" s="6" t="str">
        <f>IFERROR(__xludf.DUMMYFUNCTION("""COMPUTED_VALUE"""),"kimberly.ball@studient.com")</f>
        <v>kimberly.ball@studient.com</v>
      </c>
      <c r="U5012" s="6" t="str">
        <f>IFERROR(__xludf.DUMMYFUNCTION("""COMPUTED_VALUE"""),"8")</f>
        <v>8</v>
      </c>
      <c r="V5012" s="6" t="str">
        <f>IFERROR(__xludf.DUMMYFUNCTION("""COMPUTED_VALUE"""),"")</f>
        <v/>
      </c>
      <c r="W5012" s="6" t="str">
        <f>IFERROR(__xludf.DUMMYFUNCTION("""COMPUTED_VALUE"""),"[]")</f>
        <v>[]</v>
      </c>
      <c r="X5012" s="6" t="str">
        <f>IFERROR(__xludf.DUMMYFUNCTION("""COMPUTED_VALUE"""),"Enrolled")</f>
        <v>Enrolled</v>
      </c>
    </row>
    <row r="5013">
      <c r="A5013" s="6" t="str">
        <f>IFERROR(__xludf.DUMMYFUNCTION("""COMPUTED_VALUE"""),"085-12058")</f>
        <v>085-12058</v>
      </c>
      <c r="B5013" s="6" t="str">
        <f>IFERROR(__xludf.DUMMYFUNCTION("""COMPUTED_VALUE"""),"85")</f>
        <v>85</v>
      </c>
      <c r="C5013" s="6" t="str">
        <f>IFERROR(__xludf.DUMMYFUNCTION("""COMPUTED_VALUE"""),"12058")</f>
        <v>12058</v>
      </c>
      <c r="D5013" s="6" t="str">
        <f>IFERROR(__xludf.DUMMYFUNCTION("""COMPUTED_VALUE"""),"Zalaya")</f>
        <v>Zalaya</v>
      </c>
      <c r="E5013" s="6" t="str">
        <f>IFERROR(__xludf.DUMMYFUNCTION("""COMPUTED_VALUE"""),"")</f>
        <v/>
      </c>
      <c r="F5013" s="6" t="str">
        <f>IFERROR(__xludf.DUMMYFUNCTION("""COMPUTED_VALUE"""),"Davis")</f>
        <v>Davis</v>
      </c>
      <c r="G5013" s="6" t="str">
        <f>IFERROR(__xludf.DUMMYFUNCTION("""COMPUTED_VALUE"""),"04/24/2012")</f>
        <v>04/24/2012</v>
      </c>
      <c r="H5013" s="6" t="str">
        <f>IFERROR(__xludf.DUMMYFUNCTION("""COMPUTED_VALUE"""),"female")</f>
        <v>female</v>
      </c>
      <c r="I5013" s="6" t="str">
        <f>IFERROR(__xludf.DUMMYFUNCTION("""COMPUTED_VALUE"""),"Middle School")</f>
        <v>Middle School</v>
      </c>
      <c r="J5013" s="6" t="str">
        <f>IFERROR(__xludf.DUMMYFUNCTION("""COMPUTED_VALUE"""),"8")</f>
        <v>8</v>
      </c>
      <c r="K5013" s="6" t="str">
        <f>IFERROR(__xludf.DUMMYFUNCTION("""COMPUTED_VALUE"""),"zalaya.davis@2hourlearning.com")</f>
        <v>zalaya.davis@2hourlearning.com</v>
      </c>
      <c r="L5013" s="6" t="str">
        <f>IFERROR(__xludf.DUMMYFUNCTION("""COMPUTED_VALUE"""),"AFMS - Allendale Fairfax Middle School")</f>
        <v>AFMS - Allendale Fairfax Middle School</v>
      </c>
      <c r="M5013" s="6" t="str">
        <f>IFERROR(__xludf.DUMMYFUNCTION("""COMPUTED_VALUE"""),"")</f>
        <v/>
      </c>
      <c r="N5013" s="6" t="str">
        <f>IFERROR(__xludf.DUMMYFUNCTION("""COMPUTED_VALUE"""),"")</f>
        <v/>
      </c>
      <c r="O5013" s="87" t="str">
        <f>IFERROR(__xludf.DUMMYFUNCTION("""COMPUTED_VALUE"""),"https://drive.google.com/drive/folders/10T2cTQHqEJZqE-st6uFKPoI?usp=share_link")</f>
        <v>https://drive.google.com/drive/folders/10T2cTQHqEJZqE-st6uFKPoI?usp=share_link</v>
      </c>
      <c r="P5013" s="6" t="str">
        <f>IFERROR(__xludf.DUMMYFUNCTION("""COMPUTED_VALUE"""),"Zalaya Davis")</f>
        <v>Zalaya Davis</v>
      </c>
      <c r="Q5013" s="6" t="str">
        <f>IFERROR(__xludf.DUMMYFUNCTION("""COMPUTED_VALUE"""),"MS")</f>
        <v>MS</v>
      </c>
      <c r="R5013" s="6">
        <f>IFERROR(__xludf.DUMMYFUNCTION("""COMPUTED_VALUE"""),0.0)</f>
        <v>0</v>
      </c>
      <c r="S5013" s="6" t="str">
        <f>IFERROR(__xludf.DUMMYFUNCTION("""COMPUTED_VALUE"""),"Kimberly Ball")</f>
        <v>Kimberly Ball</v>
      </c>
      <c r="T5013" s="6" t="str">
        <f>IFERROR(__xludf.DUMMYFUNCTION("""COMPUTED_VALUE"""),"kimberly.ball@studient.com")</f>
        <v>kimberly.ball@studient.com</v>
      </c>
      <c r="U5013" s="6" t="str">
        <f>IFERROR(__xludf.DUMMYFUNCTION("""COMPUTED_VALUE"""),"8")</f>
        <v>8</v>
      </c>
      <c r="V5013" s="6" t="str">
        <f>IFERROR(__xludf.DUMMYFUNCTION("""COMPUTED_VALUE"""),"")</f>
        <v/>
      </c>
      <c r="W5013" s="6" t="str">
        <f>IFERROR(__xludf.DUMMYFUNCTION("""COMPUTED_VALUE"""),"[]")</f>
        <v>[]</v>
      </c>
      <c r="X5013" s="6" t="str">
        <f>IFERROR(__xludf.DUMMYFUNCTION("""COMPUTED_VALUE"""),"Enrolled")</f>
        <v>Enrolled</v>
      </c>
    </row>
    <row r="5014">
      <c r="A5014" s="6" t="str">
        <f>IFERROR(__xludf.DUMMYFUNCTION("""COMPUTED_VALUE"""),"085-12060")</f>
        <v>085-12060</v>
      </c>
      <c r="B5014" s="6" t="str">
        <f>IFERROR(__xludf.DUMMYFUNCTION("""COMPUTED_VALUE"""),"85")</f>
        <v>85</v>
      </c>
      <c r="C5014" s="6" t="str">
        <f>IFERROR(__xludf.DUMMYFUNCTION("""COMPUTED_VALUE"""),"12060")</f>
        <v>12060</v>
      </c>
      <c r="D5014" s="6" t="str">
        <f>IFERROR(__xludf.DUMMYFUNCTION("""COMPUTED_VALUE"""),"Jeremiah")</f>
        <v>Jeremiah</v>
      </c>
      <c r="E5014" s="6" t="str">
        <f>IFERROR(__xludf.DUMMYFUNCTION("""COMPUTED_VALUE"""),"")</f>
        <v/>
      </c>
      <c r="F5014" s="6" t="str">
        <f>IFERROR(__xludf.DUMMYFUNCTION("""COMPUTED_VALUE"""),"Early")</f>
        <v>Early</v>
      </c>
      <c r="G5014" s="6" t="str">
        <f>IFERROR(__xludf.DUMMYFUNCTION("""COMPUTED_VALUE"""),"01/05/2012")</f>
        <v>01/05/2012</v>
      </c>
      <c r="H5014" s="6" t="str">
        <f>IFERROR(__xludf.DUMMYFUNCTION("""COMPUTED_VALUE"""),"male")</f>
        <v>male</v>
      </c>
      <c r="I5014" s="6" t="str">
        <f>IFERROR(__xludf.DUMMYFUNCTION("""COMPUTED_VALUE"""),"Middle School")</f>
        <v>Middle School</v>
      </c>
      <c r="J5014" s="6" t="str">
        <f>IFERROR(__xludf.DUMMYFUNCTION("""COMPUTED_VALUE"""),"8")</f>
        <v>8</v>
      </c>
      <c r="K5014" s="6" t="str">
        <f>IFERROR(__xludf.DUMMYFUNCTION("""COMPUTED_VALUE"""),"jeremiah.early@2hourlearning.com")</f>
        <v>jeremiah.early@2hourlearning.com</v>
      </c>
      <c r="L5014" s="6" t="str">
        <f>IFERROR(__xludf.DUMMYFUNCTION("""COMPUTED_VALUE"""),"AFMS - Allendale Fairfax Middle School")</f>
        <v>AFMS - Allendale Fairfax Middle School</v>
      </c>
      <c r="M5014" s="6" t="str">
        <f>IFERROR(__xludf.DUMMYFUNCTION("""COMPUTED_VALUE"""),"")</f>
        <v/>
      </c>
      <c r="N5014" s="6" t="str">
        <f>IFERROR(__xludf.DUMMYFUNCTION("""COMPUTED_VALUE"""),"")</f>
        <v/>
      </c>
      <c r="O5014" s="87" t="str">
        <f>IFERROR(__xludf.DUMMYFUNCTION("""COMPUTED_VALUE"""),"https://drive.google.com/drive/folders/10T2cTQHqEJZqE-st6uFKPoI?usp=share_link")</f>
        <v>https://drive.google.com/drive/folders/10T2cTQHqEJZqE-st6uFKPoI?usp=share_link</v>
      </c>
      <c r="P5014" s="6" t="str">
        <f>IFERROR(__xludf.DUMMYFUNCTION("""COMPUTED_VALUE"""),"Jeremiah Early")</f>
        <v>Jeremiah Early</v>
      </c>
      <c r="Q5014" s="6" t="str">
        <f>IFERROR(__xludf.DUMMYFUNCTION("""COMPUTED_VALUE"""),"MS")</f>
        <v>MS</v>
      </c>
      <c r="R5014" s="6">
        <f>IFERROR(__xludf.DUMMYFUNCTION("""COMPUTED_VALUE"""),0.0)</f>
        <v>0</v>
      </c>
      <c r="S5014" s="6" t="str">
        <f>IFERROR(__xludf.DUMMYFUNCTION("""COMPUTED_VALUE"""),"Kimberly Ball")</f>
        <v>Kimberly Ball</v>
      </c>
      <c r="T5014" s="6" t="str">
        <f>IFERROR(__xludf.DUMMYFUNCTION("""COMPUTED_VALUE"""),"kimberly.ball@studient.com")</f>
        <v>kimberly.ball@studient.com</v>
      </c>
      <c r="U5014" s="6" t="str">
        <f>IFERROR(__xludf.DUMMYFUNCTION("""COMPUTED_VALUE"""),"8")</f>
        <v>8</v>
      </c>
      <c r="V5014" s="6" t="str">
        <f>IFERROR(__xludf.DUMMYFUNCTION("""COMPUTED_VALUE"""),"")</f>
        <v/>
      </c>
      <c r="W5014" s="6" t="str">
        <f>IFERROR(__xludf.DUMMYFUNCTION("""COMPUTED_VALUE"""),"[]")</f>
        <v>[]</v>
      </c>
      <c r="X5014" s="6" t="str">
        <f>IFERROR(__xludf.DUMMYFUNCTION("""COMPUTED_VALUE"""),"Enrolled")</f>
        <v>Enrolled</v>
      </c>
    </row>
    <row r="5015">
      <c r="A5015" s="6" t="str">
        <f>IFERROR(__xludf.DUMMYFUNCTION("""COMPUTED_VALUE"""),"085-12061")</f>
        <v>085-12061</v>
      </c>
      <c r="B5015" s="6" t="str">
        <f>IFERROR(__xludf.DUMMYFUNCTION("""COMPUTED_VALUE"""),"85")</f>
        <v>85</v>
      </c>
      <c r="C5015" s="6" t="str">
        <f>IFERROR(__xludf.DUMMYFUNCTION("""COMPUTED_VALUE"""),"12061")</f>
        <v>12061</v>
      </c>
      <c r="D5015" s="6" t="str">
        <f>IFERROR(__xludf.DUMMYFUNCTION("""COMPUTED_VALUE"""),"Zana")</f>
        <v>Zana</v>
      </c>
      <c r="E5015" s="6" t="str">
        <f>IFERROR(__xludf.DUMMYFUNCTION("""COMPUTED_VALUE"""),"")</f>
        <v/>
      </c>
      <c r="F5015" s="6" t="str">
        <f>IFERROR(__xludf.DUMMYFUNCTION("""COMPUTED_VALUE"""),"Ebron")</f>
        <v>Ebron</v>
      </c>
      <c r="G5015" s="6" t="str">
        <f>IFERROR(__xludf.DUMMYFUNCTION("""COMPUTED_VALUE"""),"04/12/2012")</f>
        <v>04/12/2012</v>
      </c>
      <c r="H5015" s="6" t="str">
        <f>IFERROR(__xludf.DUMMYFUNCTION("""COMPUTED_VALUE"""),"female")</f>
        <v>female</v>
      </c>
      <c r="I5015" s="6" t="str">
        <f>IFERROR(__xludf.DUMMYFUNCTION("""COMPUTED_VALUE"""),"Middle School")</f>
        <v>Middle School</v>
      </c>
      <c r="J5015" s="6" t="str">
        <f>IFERROR(__xludf.DUMMYFUNCTION("""COMPUTED_VALUE"""),"8")</f>
        <v>8</v>
      </c>
      <c r="K5015" s="6" t="str">
        <f>IFERROR(__xludf.DUMMYFUNCTION("""COMPUTED_VALUE"""),"zana.ebron@2hourlearning.com")</f>
        <v>zana.ebron@2hourlearning.com</v>
      </c>
      <c r="L5015" s="6" t="str">
        <f>IFERROR(__xludf.DUMMYFUNCTION("""COMPUTED_VALUE"""),"AFMS - Allendale Fairfax Middle School")</f>
        <v>AFMS - Allendale Fairfax Middle School</v>
      </c>
      <c r="M5015" s="6" t="str">
        <f>IFERROR(__xludf.DUMMYFUNCTION("""COMPUTED_VALUE"""),"")</f>
        <v/>
      </c>
      <c r="N5015" s="6" t="str">
        <f>IFERROR(__xludf.DUMMYFUNCTION("""COMPUTED_VALUE"""),"")</f>
        <v/>
      </c>
      <c r="O5015" s="87" t="str">
        <f>IFERROR(__xludf.DUMMYFUNCTION("""COMPUTED_VALUE"""),"https://drive.google.com/drive/folders/10T2cTQHqEJZqE-st6uFKPoI?usp=share_link")</f>
        <v>https://drive.google.com/drive/folders/10T2cTQHqEJZqE-st6uFKPoI?usp=share_link</v>
      </c>
      <c r="P5015" s="6" t="str">
        <f>IFERROR(__xludf.DUMMYFUNCTION("""COMPUTED_VALUE"""),"Zana Ebron")</f>
        <v>Zana Ebron</v>
      </c>
      <c r="Q5015" s="6" t="str">
        <f>IFERROR(__xludf.DUMMYFUNCTION("""COMPUTED_VALUE"""),"MS")</f>
        <v>MS</v>
      </c>
      <c r="R5015" s="6">
        <f>IFERROR(__xludf.DUMMYFUNCTION("""COMPUTED_VALUE"""),0.0)</f>
        <v>0</v>
      </c>
      <c r="S5015" s="6" t="str">
        <f>IFERROR(__xludf.DUMMYFUNCTION("""COMPUTED_VALUE"""),"Kimberly Ball")</f>
        <v>Kimberly Ball</v>
      </c>
      <c r="T5015" s="6" t="str">
        <f>IFERROR(__xludf.DUMMYFUNCTION("""COMPUTED_VALUE"""),"kimberly.ball@studient.com")</f>
        <v>kimberly.ball@studient.com</v>
      </c>
      <c r="U5015" s="6" t="str">
        <f>IFERROR(__xludf.DUMMYFUNCTION("""COMPUTED_VALUE"""),"8")</f>
        <v>8</v>
      </c>
      <c r="V5015" s="6" t="str">
        <f>IFERROR(__xludf.DUMMYFUNCTION("""COMPUTED_VALUE"""),"")</f>
        <v/>
      </c>
      <c r="W5015" s="6" t="str">
        <f>IFERROR(__xludf.DUMMYFUNCTION("""COMPUTED_VALUE"""),"[]")</f>
        <v>[]</v>
      </c>
      <c r="X5015" s="6" t="str">
        <f>IFERROR(__xludf.DUMMYFUNCTION("""COMPUTED_VALUE"""),"Enrolled")</f>
        <v>Enrolled</v>
      </c>
    </row>
    <row r="5016">
      <c r="A5016" s="6" t="str">
        <f>IFERROR(__xludf.DUMMYFUNCTION("""COMPUTED_VALUE"""),"085-12062")</f>
        <v>085-12062</v>
      </c>
      <c r="B5016" s="6" t="str">
        <f>IFERROR(__xludf.DUMMYFUNCTION("""COMPUTED_VALUE"""),"85")</f>
        <v>85</v>
      </c>
      <c r="C5016" s="6" t="str">
        <f>IFERROR(__xludf.DUMMYFUNCTION("""COMPUTED_VALUE"""),"12062")</f>
        <v>12062</v>
      </c>
      <c r="D5016" s="6" t="str">
        <f>IFERROR(__xludf.DUMMYFUNCTION("""COMPUTED_VALUE"""),"Cureagan")</f>
        <v>Cureagan</v>
      </c>
      <c r="E5016" s="6" t="str">
        <f>IFERROR(__xludf.DUMMYFUNCTION("""COMPUTED_VALUE"""),"")</f>
        <v/>
      </c>
      <c r="F5016" s="6" t="str">
        <f>IFERROR(__xludf.DUMMYFUNCTION("""COMPUTED_VALUE"""),"Elias")</f>
        <v>Elias</v>
      </c>
      <c r="G5016" s="6" t="str">
        <f>IFERROR(__xludf.DUMMYFUNCTION("""COMPUTED_VALUE"""),"07/30/2010")</f>
        <v>07/30/2010</v>
      </c>
      <c r="H5016" s="6" t="str">
        <f>IFERROR(__xludf.DUMMYFUNCTION("""COMPUTED_VALUE"""),"male")</f>
        <v>male</v>
      </c>
      <c r="I5016" s="6" t="str">
        <f>IFERROR(__xludf.DUMMYFUNCTION("""COMPUTED_VALUE"""),"Middle School")</f>
        <v>Middle School</v>
      </c>
      <c r="J5016" s="6" t="str">
        <f>IFERROR(__xludf.DUMMYFUNCTION("""COMPUTED_VALUE"""),"8")</f>
        <v>8</v>
      </c>
      <c r="K5016" s="6" t="str">
        <f>IFERROR(__xludf.DUMMYFUNCTION("""COMPUTED_VALUE"""),"cureagan.elias@2hourlearning.com")</f>
        <v>cureagan.elias@2hourlearning.com</v>
      </c>
      <c r="L5016" s="6" t="str">
        <f>IFERROR(__xludf.DUMMYFUNCTION("""COMPUTED_VALUE"""),"AFMS - Allendale Fairfax Middle School")</f>
        <v>AFMS - Allendale Fairfax Middle School</v>
      </c>
      <c r="M5016" s="6" t="str">
        <f>IFERROR(__xludf.DUMMYFUNCTION("""COMPUTED_VALUE"""),"")</f>
        <v/>
      </c>
      <c r="N5016" s="6" t="str">
        <f>IFERROR(__xludf.DUMMYFUNCTION("""COMPUTED_VALUE"""),"")</f>
        <v/>
      </c>
      <c r="O5016" s="87" t="str">
        <f>IFERROR(__xludf.DUMMYFUNCTION("""COMPUTED_VALUE"""),"https://drive.google.com/drive/folders/10T2cTQHqEJZqE-st6uFKPoI?usp=share_link")</f>
        <v>https://drive.google.com/drive/folders/10T2cTQHqEJZqE-st6uFKPoI?usp=share_link</v>
      </c>
      <c r="P5016" s="6" t="str">
        <f>IFERROR(__xludf.DUMMYFUNCTION("""COMPUTED_VALUE"""),"Cureagan Elias")</f>
        <v>Cureagan Elias</v>
      </c>
      <c r="Q5016" s="6" t="str">
        <f>IFERROR(__xludf.DUMMYFUNCTION("""COMPUTED_VALUE"""),"MS")</f>
        <v>MS</v>
      </c>
      <c r="R5016" s="6">
        <f>IFERROR(__xludf.DUMMYFUNCTION("""COMPUTED_VALUE"""),0.0)</f>
        <v>0</v>
      </c>
      <c r="S5016" s="6" t="str">
        <f>IFERROR(__xludf.DUMMYFUNCTION("""COMPUTED_VALUE"""),"Kimberly Ball")</f>
        <v>Kimberly Ball</v>
      </c>
      <c r="T5016" s="6" t="str">
        <f>IFERROR(__xludf.DUMMYFUNCTION("""COMPUTED_VALUE"""),"kimberly.ball@studient.com")</f>
        <v>kimberly.ball@studient.com</v>
      </c>
      <c r="U5016" s="6" t="str">
        <f>IFERROR(__xludf.DUMMYFUNCTION("""COMPUTED_VALUE"""),"8")</f>
        <v>8</v>
      </c>
      <c r="V5016" s="6" t="str">
        <f>IFERROR(__xludf.DUMMYFUNCTION("""COMPUTED_VALUE"""),"")</f>
        <v/>
      </c>
      <c r="W5016" s="6" t="str">
        <f>IFERROR(__xludf.DUMMYFUNCTION("""COMPUTED_VALUE"""),"[]")</f>
        <v>[]</v>
      </c>
      <c r="X5016" s="6" t="str">
        <f>IFERROR(__xludf.DUMMYFUNCTION("""COMPUTED_VALUE"""),"Enrolled")</f>
        <v>Enrolled</v>
      </c>
    </row>
    <row r="5017">
      <c r="A5017" s="6" t="str">
        <f>IFERROR(__xludf.DUMMYFUNCTION("""COMPUTED_VALUE"""),"085-12063")</f>
        <v>085-12063</v>
      </c>
      <c r="B5017" s="6" t="str">
        <f>IFERROR(__xludf.DUMMYFUNCTION("""COMPUTED_VALUE"""),"85")</f>
        <v>85</v>
      </c>
      <c r="C5017" s="6" t="str">
        <f>IFERROR(__xludf.DUMMYFUNCTION("""COMPUTED_VALUE"""),"12063")</f>
        <v>12063</v>
      </c>
      <c r="D5017" s="6" t="str">
        <f>IFERROR(__xludf.DUMMYFUNCTION("""COMPUTED_VALUE"""),"Nevaeh")</f>
        <v>Nevaeh</v>
      </c>
      <c r="E5017" s="6" t="str">
        <f>IFERROR(__xludf.DUMMYFUNCTION("""COMPUTED_VALUE"""),"")</f>
        <v/>
      </c>
      <c r="F5017" s="6" t="str">
        <f>IFERROR(__xludf.DUMMYFUNCTION("""COMPUTED_VALUE"""),"Ellis")</f>
        <v>Ellis</v>
      </c>
      <c r="G5017" s="6" t="str">
        <f>IFERROR(__xludf.DUMMYFUNCTION("""COMPUTED_VALUE"""),"05/25/2012")</f>
        <v>05/25/2012</v>
      </c>
      <c r="H5017" s="6" t="str">
        <f>IFERROR(__xludf.DUMMYFUNCTION("""COMPUTED_VALUE"""),"female")</f>
        <v>female</v>
      </c>
      <c r="I5017" s="6" t="str">
        <f>IFERROR(__xludf.DUMMYFUNCTION("""COMPUTED_VALUE"""),"Middle School")</f>
        <v>Middle School</v>
      </c>
      <c r="J5017" s="6" t="str">
        <f>IFERROR(__xludf.DUMMYFUNCTION("""COMPUTED_VALUE"""),"8")</f>
        <v>8</v>
      </c>
      <c r="K5017" s="6" t="str">
        <f>IFERROR(__xludf.DUMMYFUNCTION("""COMPUTED_VALUE"""),"nevaeh.ellis@2hourlearning.com")</f>
        <v>nevaeh.ellis@2hourlearning.com</v>
      </c>
      <c r="L5017" s="6" t="str">
        <f>IFERROR(__xludf.DUMMYFUNCTION("""COMPUTED_VALUE"""),"AFMS - Allendale Fairfax Middle School")</f>
        <v>AFMS - Allendale Fairfax Middle School</v>
      </c>
      <c r="M5017" s="6" t="str">
        <f>IFERROR(__xludf.DUMMYFUNCTION("""COMPUTED_VALUE"""),"")</f>
        <v/>
      </c>
      <c r="N5017" s="6" t="str">
        <f>IFERROR(__xludf.DUMMYFUNCTION("""COMPUTED_VALUE"""),"")</f>
        <v/>
      </c>
      <c r="O5017" s="87" t="str">
        <f>IFERROR(__xludf.DUMMYFUNCTION("""COMPUTED_VALUE"""),"https://drive.google.com/drive/folders/10T2cTQHqEJZqE-st6uFKPoI?usp=share_link")</f>
        <v>https://drive.google.com/drive/folders/10T2cTQHqEJZqE-st6uFKPoI?usp=share_link</v>
      </c>
      <c r="P5017" s="6" t="str">
        <f>IFERROR(__xludf.DUMMYFUNCTION("""COMPUTED_VALUE"""),"Nevaeh Ellis")</f>
        <v>Nevaeh Ellis</v>
      </c>
      <c r="Q5017" s="6" t="str">
        <f>IFERROR(__xludf.DUMMYFUNCTION("""COMPUTED_VALUE"""),"MS")</f>
        <v>MS</v>
      </c>
      <c r="R5017" s="6">
        <f>IFERROR(__xludf.DUMMYFUNCTION("""COMPUTED_VALUE"""),0.0)</f>
        <v>0</v>
      </c>
      <c r="S5017" s="6" t="str">
        <f>IFERROR(__xludf.DUMMYFUNCTION("""COMPUTED_VALUE"""),"Kimberly Ball")</f>
        <v>Kimberly Ball</v>
      </c>
      <c r="T5017" s="6" t="str">
        <f>IFERROR(__xludf.DUMMYFUNCTION("""COMPUTED_VALUE"""),"kimberly.ball@studient.com")</f>
        <v>kimberly.ball@studient.com</v>
      </c>
      <c r="U5017" s="6" t="str">
        <f>IFERROR(__xludf.DUMMYFUNCTION("""COMPUTED_VALUE"""),"8")</f>
        <v>8</v>
      </c>
      <c r="V5017" s="6" t="str">
        <f>IFERROR(__xludf.DUMMYFUNCTION("""COMPUTED_VALUE"""),"")</f>
        <v/>
      </c>
      <c r="W5017" s="6" t="str">
        <f>IFERROR(__xludf.DUMMYFUNCTION("""COMPUTED_VALUE"""),"[]")</f>
        <v>[]</v>
      </c>
      <c r="X5017" s="6" t="str">
        <f>IFERROR(__xludf.DUMMYFUNCTION("""COMPUTED_VALUE"""),"Enrolled")</f>
        <v>Enrolled</v>
      </c>
    </row>
    <row r="5018">
      <c r="A5018" s="6" t="str">
        <f>IFERROR(__xludf.DUMMYFUNCTION("""COMPUTED_VALUE"""),"085-12064")</f>
        <v>085-12064</v>
      </c>
      <c r="B5018" s="6" t="str">
        <f>IFERROR(__xludf.DUMMYFUNCTION("""COMPUTED_VALUE"""),"85")</f>
        <v>85</v>
      </c>
      <c r="C5018" s="6" t="str">
        <f>IFERROR(__xludf.DUMMYFUNCTION("""COMPUTED_VALUE"""),"12064")</f>
        <v>12064</v>
      </c>
      <c r="D5018" s="6" t="str">
        <f>IFERROR(__xludf.DUMMYFUNCTION("""COMPUTED_VALUE"""),"Ayden")</f>
        <v>Ayden</v>
      </c>
      <c r="E5018" s="6" t="str">
        <f>IFERROR(__xludf.DUMMYFUNCTION("""COMPUTED_VALUE"""),"")</f>
        <v/>
      </c>
      <c r="F5018" s="6" t="str">
        <f>IFERROR(__xludf.DUMMYFUNCTION("""COMPUTED_VALUE"""),"Frazier")</f>
        <v>Frazier</v>
      </c>
      <c r="G5018" s="6" t="str">
        <f>IFERROR(__xludf.DUMMYFUNCTION("""COMPUTED_VALUE"""),"11/08/2011")</f>
        <v>11/08/2011</v>
      </c>
      <c r="H5018" s="6" t="str">
        <f>IFERROR(__xludf.DUMMYFUNCTION("""COMPUTED_VALUE"""),"male")</f>
        <v>male</v>
      </c>
      <c r="I5018" s="6" t="str">
        <f>IFERROR(__xludf.DUMMYFUNCTION("""COMPUTED_VALUE"""),"Middle School")</f>
        <v>Middle School</v>
      </c>
      <c r="J5018" s="6" t="str">
        <f>IFERROR(__xludf.DUMMYFUNCTION("""COMPUTED_VALUE"""),"8")</f>
        <v>8</v>
      </c>
      <c r="K5018" s="6" t="str">
        <f>IFERROR(__xludf.DUMMYFUNCTION("""COMPUTED_VALUE"""),"ayden.frazier@2hourlearning.com")</f>
        <v>ayden.frazier@2hourlearning.com</v>
      </c>
      <c r="L5018" s="6" t="str">
        <f>IFERROR(__xludf.DUMMYFUNCTION("""COMPUTED_VALUE"""),"AFMS - Allendale Fairfax Middle School")</f>
        <v>AFMS - Allendale Fairfax Middle School</v>
      </c>
      <c r="M5018" s="6" t="str">
        <f>IFERROR(__xludf.DUMMYFUNCTION("""COMPUTED_VALUE"""),"")</f>
        <v/>
      </c>
      <c r="N5018" s="6" t="str">
        <f>IFERROR(__xludf.DUMMYFUNCTION("""COMPUTED_VALUE"""),"")</f>
        <v/>
      </c>
      <c r="O5018" s="87" t="str">
        <f>IFERROR(__xludf.DUMMYFUNCTION("""COMPUTED_VALUE"""),"https://drive.google.com/drive/folders/10T2cTQHqEJZqE-st6uFKPoI?usp=share_link")</f>
        <v>https://drive.google.com/drive/folders/10T2cTQHqEJZqE-st6uFKPoI?usp=share_link</v>
      </c>
      <c r="P5018" s="6" t="str">
        <f>IFERROR(__xludf.DUMMYFUNCTION("""COMPUTED_VALUE"""),"Ayden Frazier")</f>
        <v>Ayden Frazier</v>
      </c>
      <c r="Q5018" s="6" t="str">
        <f>IFERROR(__xludf.DUMMYFUNCTION("""COMPUTED_VALUE"""),"MS")</f>
        <v>MS</v>
      </c>
      <c r="R5018" s="6">
        <f>IFERROR(__xludf.DUMMYFUNCTION("""COMPUTED_VALUE"""),0.0)</f>
        <v>0</v>
      </c>
      <c r="S5018" s="6" t="str">
        <f>IFERROR(__xludf.DUMMYFUNCTION("""COMPUTED_VALUE"""),"Kimberly Ball")</f>
        <v>Kimberly Ball</v>
      </c>
      <c r="T5018" s="6" t="str">
        <f>IFERROR(__xludf.DUMMYFUNCTION("""COMPUTED_VALUE"""),"kimberly.ball@studient.com")</f>
        <v>kimberly.ball@studient.com</v>
      </c>
      <c r="U5018" s="6" t="str">
        <f>IFERROR(__xludf.DUMMYFUNCTION("""COMPUTED_VALUE"""),"8")</f>
        <v>8</v>
      </c>
      <c r="V5018" s="6" t="str">
        <f>IFERROR(__xludf.DUMMYFUNCTION("""COMPUTED_VALUE"""),"")</f>
        <v/>
      </c>
      <c r="W5018" s="6" t="str">
        <f>IFERROR(__xludf.DUMMYFUNCTION("""COMPUTED_VALUE"""),"[]")</f>
        <v>[]</v>
      </c>
      <c r="X5018" s="6" t="str">
        <f>IFERROR(__xludf.DUMMYFUNCTION("""COMPUTED_VALUE"""),"Enrolled")</f>
        <v>Enrolled</v>
      </c>
    </row>
    <row r="5019">
      <c r="A5019" s="6" t="str">
        <f>IFERROR(__xludf.DUMMYFUNCTION("""COMPUTED_VALUE"""),"085-12065")</f>
        <v>085-12065</v>
      </c>
      <c r="B5019" s="6" t="str">
        <f>IFERROR(__xludf.DUMMYFUNCTION("""COMPUTED_VALUE"""),"85")</f>
        <v>85</v>
      </c>
      <c r="C5019" s="6" t="str">
        <f>IFERROR(__xludf.DUMMYFUNCTION("""COMPUTED_VALUE"""),"12065")</f>
        <v>12065</v>
      </c>
      <c r="D5019" s="6" t="str">
        <f>IFERROR(__xludf.DUMMYFUNCTION("""COMPUTED_VALUE"""),"I'Rhianna")</f>
        <v>I'Rhianna</v>
      </c>
      <c r="E5019" s="6" t="str">
        <f>IFERROR(__xludf.DUMMYFUNCTION("""COMPUTED_VALUE"""),"")</f>
        <v/>
      </c>
      <c r="F5019" s="6" t="str">
        <f>IFERROR(__xludf.DUMMYFUNCTION("""COMPUTED_VALUE"""),"Gill")</f>
        <v>Gill</v>
      </c>
      <c r="G5019" s="6" t="str">
        <f>IFERROR(__xludf.DUMMYFUNCTION("""COMPUTED_VALUE"""),"06/20/2011")</f>
        <v>06/20/2011</v>
      </c>
      <c r="H5019" s="6" t="str">
        <f>IFERROR(__xludf.DUMMYFUNCTION("""COMPUTED_VALUE"""),"female")</f>
        <v>female</v>
      </c>
      <c r="I5019" s="6" t="str">
        <f>IFERROR(__xludf.DUMMYFUNCTION("""COMPUTED_VALUE"""),"Middle School")</f>
        <v>Middle School</v>
      </c>
      <c r="J5019" s="6" t="str">
        <f>IFERROR(__xludf.DUMMYFUNCTION("""COMPUTED_VALUE"""),"8")</f>
        <v>8</v>
      </c>
      <c r="K5019" s="6" t="str">
        <f>IFERROR(__xludf.DUMMYFUNCTION("""COMPUTED_VALUE"""),"irhianna.gill@2hourlearning.com")</f>
        <v>irhianna.gill@2hourlearning.com</v>
      </c>
      <c r="L5019" s="6" t="str">
        <f>IFERROR(__xludf.DUMMYFUNCTION("""COMPUTED_VALUE"""),"AFMS - Allendale Fairfax Middle School")</f>
        <v>AFMS - Allendale Fairfax Middle School</v>
      </c>
      <c r="M5019" s="6" t="str">
        <f>IFERROR(__xludf.DUMMYFUNCTION("""COMPUTED_VALUE"""),"")</f>
        <v/>
      </c>
      <c r="N5019" s="6" t="str">
        <f>IFERROR(__xludf.DUMMYFUNCTION("""COMPUTED_VALUE"""),"")</f>
        <v/>
      </c>
      <c r="O5019" s="87" t="str">
        <f>IFERROR(__xludf.DUMMYFUNCTION("""COMPUTED_VALUE"""),"https://drive.google.com/drive/folders/10T2cTQHqEJZqE-st6uFKPoI?usp=share_link")</f>
        <v>https://drive.google.com/drive/folders/10T2cTQHqEJZqE-st6uFKPoI?usp=share_link</v>
      </c>
      <c r="P5019" s="6" t="str">
        <f>IFERROR(__xludf.DUMMYFUNCTION("""COMPUTED_VALUE"""),"I'Rhianna Gill")</f>
        <v>I'Rhianna Gill</v>
      </c>
      <c r="Q5019" s="6" t="str">
        <f>IFERROR(__xludf.DUMMYFUNCTION("""COMPUTED_VALUE"""),"MS")</f>
        <v>MS</v>
      </c>
      <c r="R5019" s="6">
        <f>IFERROR(__xludf.DUMMYFUNCTION("""COMPUTED_VALUE"""),0.0)</f>
        <v>0</v>
      </c>
      <c r="S5019" s="6" t="str">
        <f>IFERROR(__xludf.DUMMYFUNCTION("""COMPUTED_VALUE"""),"Kimberly Ball")</f>
        <v>Kimberly Ball</v>
      </c>
      <c r="T5019" s="6" t="str">
        <f>IFERROR(__xludf.DUMMYFUNCTION("""COMPUTED_VALUE"""),"kimberly.ball@studient.com")</f>
        <v>kimberly.ball@studient.com</v>
      </c>
      <c r="U5019" s="6" t="str">
        <f>IFERROR(__xludf.DUMMYFUNCTION("""COMPUTED_VALUE"""),"8")</f>
        <v>8</v>
      </c>
      <c r="V5019" s="6" t="str">
        <f>IFERROR(__xludf.DUMMYFUNCTION("""COMPUTED_VALUE"""),"")</f>
        <v/>
      </c>
      <c r="W5019" s="6" t="str">
        <f>IFERROR(__xludf.DUMMYFUNCTION("""COMPUTED_VALUE"""),"[]")</f>
        <v>[]</v>
      </c>
      <c r="X5019" s="6" t="str">
        <f>IFERROR(__xludf.DUMMYFUNCTION("""COMPUTED_VALUE"""),"Enrolled")</f>
        <v>Enrolled</v>
      </c>
    </row>
    <row r="5020">
      <c r="A5020" s="6" t="str">
        <f>IFERROR(__xludf.DUMMYFUNCTION("""COMPUTED_VALUE"""),"085-12066")</f>
        <v>085-12066</v>
      </c>
      <c r="B5020" s="6" t="str">
        <f>IFERROR(__xludf.DUMMYFUNCTION("""COMPUTED_VALUE"""),"85")</f>
        <v>85</v>
      </c>
      <c r="C5020" s="6" t="str">
        <f>IFERROR(__xludf.DUMMYFUNCTION("""COMPUTED_VALUE"""),"12066")</f>
        <v>12066</v>
      </c>
      <c r="D5020" s="6" t="str">
        <f>IFERROR(__xludf.DUMMYFUNCTION("""COMPUTED_VALUE"""),"Pernnel")</f>
        <v>Pernnel</v>
      </c>
      <c r="E5020" s="6" t="str">
        <f>IFERROR(__xludf.DUMMYFUNCTION("""COMPUTED_VALUE"""),"")</f>
        <v/>
      </c>
      <c r="F5020" s="6" t="str">
        <f>IFERROR(__xludf.DUMMYFUNCTION("""COMPUTED_VALUE"""),"Gill")</f>
        <v>Gill</v>
      </c>
      <c r="G5020" s="6" t="str">
        <f>IFERROR(__xludf.DUMMYFUNCTION("""COMPUTED_VALUE"""),"10/10/2011")</f>
        <v>10/10/2011</v>
      </c>
      <c r="H5020" s="6" t="str">
        <f>IFERROR(__xludf.DUMMYFUNCTION("""COMPUTED_VALUE"""),"male")</f>
        <v>male</v>
      </c>
      <c r="I5020" s="6" t="str">
        <f>IFERROR(__xludf.DUMMYFUNCTION("""COMPUTED_VALUE"""),"Middle School")</f>
        <v>Middle School</v>
      </c>
      <c r="J5020" s="6" t="str">
        <f>IFERROR(__xludf.DUMMYFUNCTION("""COMPUTED_VALUE"""),"8")</f>
        <v>8</v>
      </c>
      <c r="K5020" s="6" t="str">
        <f>IFERROR(__xludf.DUMMYFUNCTION("""COMPUTED_VALUE"""),"pernnel.gill@2hourlearning.com")</f>
        <v>pernnel.gill@2hourlearning.com</v>
      </c>
      <c r="L5020" s="6" t="str">
        <f>IFERROR(__xludf.DUMMYFUNCTION("""COMPUTED_VALUE"""),"AFMS - Allendale Fairfax Middle School")</f>
        <v>AFMS - Allendale Fairfax Middle School</v>
      </c>
      <c r="M5020" s="6" t="str">
        <f>IFERROR(__xludf.DUMMYFUNCTION("""COMPUTED_VALUE"""),"")</f>
        <v/>
      </c>
      <c r="N5020" s="6" t="str">
        <f>IFERROR(__xludf.DUMMYFUNCTION("""COMPUTED_VALUE"""),"")</f>
        <v/>
      </c>
      <c r="O5020" s="87" t="str">
        <f>IFERROR(__xludf.DUMMYFUNCTION("""COMPUTED_VALUE"""),"https://drive.google.com/drive/folders/10T2cTQHqEJZqE-st6uFKPoI?usp=share_link")</f>
        <v>https://drive.google.com/drive/folders/10T2cTQHqEJZqE-st6uFKPoI?usp=share_link</v>
      </c>
      <c r="P5020" s="6" t="str">
        <f>IFERROR(__xludf.DUMMYFUNCTION("""COMPUTED_VALUE"""),"Pernnel Gill")</f>
        <v>Pernnel Gill</v>
      </c>
      <c r="Q5020" s="6" t="str">
        <f>IFERROR(__xludf.DUMMYFUNCTION("""COMPUTED_VALUE"""),"MS")</f>
        <v>MS</v>
      </c>
      <c r="R5020" s="6">
        <f>IFERROR(__xludf.DUMMYFUNCTION("""COMPUTED_VALUE"""),0.0)</f>
        <v>0</v>
      </c>
      <c r="S5020" s="6" t="str">
        <f>IFERROR(__xludf.DUMMYFUNCTION("""COMPUTED_VALUE"""),"Kimberly Ball")</f>
        <v>Kimberly Ball</v>
      </c>
      <c r="T5020" s="6" t="str">
        <f>IFERROR(__xludf.DUMMYFUNCTION("""COMPUTED_VALUE"""),"kimberly.ball@studient.com")</f>
        <v>kimberly.ball@studient.com</v>
      </c>
      <c r="U5020" s="6" t="str">
        <f>IFERROR(__xludf.DUMMYFUNCTION("""COMPUTED_VALUE"""),"8")</f>
        <v>8</v>
      </c>
      <c r="V5020" s="6" t="str">
        <f>IFERROR(__xludf.DUMMYFUNCTION("""COMPUTED_VALUE"""),"")</f>
        <v/>
      </c>
      <c r="W5020" s="6" t="str">
        <f>IFERROR(__xludf.DUMMYFUNCTION("""COMPUTED_VALUE"""),"[]")</f>
        <v>[]</v>
      </c>
      <c r="X5020" s="6" t="str">
        <f>IFERROR(__xludf.DUMMYFUNCTION("""COMPUTED_VALUE"""),"Enrolled")</f>
        <v>Enrolled</v>
      </c>
    </row>
    <row r="5021">
      <c r="A5021" s="6" t="str">
        <f>IFERROR(__xludf.DUMMYFUNCTION("""COMPUTED_VALUE"""),"085-12067")</f>
        <v>085-12067</v>
      </c>
      <c r="B5021" s="6" t="str">
        <f>IFERROR(__xludf.DUMMYFUNCTION("""COMPUTED_VALUE"""),"85")</f>
        <v>85</v>
      </c>
      <c r="C5021" s="6" t="str">
        <f>IFERROR(__xludf.DUMMYFUNCTION("""COMPUTED_VALUE"""),"12067")</f>
        <v>12067</v>
      </c>
      <c r="D5021" s="6" t="str">
        <f>IFERROR(__xludf.DUMMYFUNCTION("""COMPUTED_VALUE"""),"Ethan")</f>
        <v>Ethan</v>
      </c>
      <c r="E5021" s="6" t="str">
        <f>IFERROR(__xludf.DUMMYFUNCTION("""COMPUTED_VALUE"""),"")</f>
        <v/>
      </c>
      <c r="F5021" s="6" t="str">
        <f>IFERROR(__xludf.DUMMYFUNCTION("""COMPUTED_VALUE"""),"Grant")</f>
        <v>Grant</v>
      </c>
      <c r="G5021" s="6" t="str">
        <f>IFERROR(__xludf.DUMMYFUNCTION("""COMPUTED_VALUE"""),"09/19/2011")</f>
        <v>09/19/2011</v>
      </c>
      <c r="H5021" s="6" t="str">
        <f>IFERROR(__xludf.DUMMYFUNCTION("""COMPUTED_VALUE"""),"male")</f>
        <v>male</v>
      </c>
      <c r="I5021" s="6" t="str">
        <f>IFERROR(__xludf.DUMMYFUNCTION("""COMPUTED_VALUE"""),"Middle School")</f>
        <v>Middle School</v>
      </c>
      <c r="J5021" s="6" t="str">
        <f>IFERROR(__xludf.DUMMYFUNCTION("""COMPUTED_VALUE"""),"8")</f>
        <v>8</v>
      </c>
      <c r="K5021" s="6" t="str">
        <f>IFERROR(__xludf.DUMMYFUNCTION("""COMPUTED_VALUE"""),"ethan.grant@2hourlearning.com")</f>
        <v>ethan.grant@2hourlearning.com</v>
      </c>
      <c r="L5021" s="6" t="str">
        <f>IFERROR(__xludf.DUMMYFUNCTION("""COMPUTED_VALUE"""),"AFMS - Allendale Fairfax Middle School")</f>
        <v>AFMS - Allendale Fairfax Middle School</v>
      </c>
      <c r="M5021" s="6" t="str">
        <f>IFERROR(__xludf.DUMMYFUNCTION("""COMPUTED_VALUE"""),"")</f>
        <v/>
      </c>
      <c r="N5021" s="6" t="str">
        <f>IFERROR(__xludf.DUMMYFUNCTION("""COMPUTED_VALUE"""),"")</f>
        <v/>
      </c>
      <c r="O5021" s="87" t="str">
        <f>IFERROR(__xludf.DUMMYFUNCTION("""COMPUTED_VALUE"""),"https://drive.google.com/drive/folders/10T2cTQHqEJZqE-st6uFKPoI?usp=share_link")</f>
        <v>https://drive.google.com/drive/folders/10T2cTQHqEJZqE-st6uFKPoI?usp=share_link</v>
      </c>
      <c r="P5021" s="6" t="str">
        <f>IFERROR(__xludf.DUMMYFUNCTION("""COMPUTED_VALUE"""),"Ethan Grant")</f>
        <v>Ethan Grant</v>
      </c>
      <c r="Q5021" s="6" t="str">
        <f>IFERROR(__xludf.DUMMYFUNCTION("""COMPUTED_VALUE"""),"MS")</f>
        <v>MS</v>
      </c>
      <c r="R5021" s="6">
        <f>IFERROR(__xludf.DUMMYFUNCTION("""COMPUTED_VALUE"""),0.0)</f>
        <v>0</v>
      </c>
      <c r="S5021" s="6" t="str">
        <f>IFERROR(__xludf.DUMMYFUNCTION("""COMPUTED_VALUE"""),"Kimberly Ball")</f>
        <v>Kimberly Ball</v>
      </c>
      <c r="T5021" s="6" t="str">
        <f>IFERROR(__xludf.DUMMYFUNCTION("""COMPUTED_VALUE"""),"kimberly.ball@studient.com")</f>
        <v>kimberly.ball@studient.com</v>
      </c>
      <c r="U5021" s="6" t="str">
        <f>IFERROR(__xludf.DUMMYFUNCTION("""COMPUTED_VALUE"""),"8")</f>
        <v>8</v>
      </c>
      <c r="V5021" s="6" t="str">
        <f>IFERROR(__xludf.DUMMYFUNCTION("""COMPUTED_VALUE"""),"")</f>
        <v/>
      </c>
      <c r="W5021" s="6" t="str">
        <f>IFERROR(__xludf.DUMMYFUNCTION("""COMPUTED_VALUE"""),"[]")</f>
        <v>[]</v>
      </c>
      <c r="X5021" s="6" t="str">
        <f>IFERROR(__xludf.DUMMYFUNCTION("""COMPUTED_VALUE"""),"Enrolled")</f>
        <v>Enrolled</v>
      </c>
    </row>
    <row r="5022">
      <c r="A5022" s="6" t="str">
        <f>IFERROR(__xludf.DUMMYFUNCTION("""COMPUTED_VALUE"""),"085-12068")</f>
        <v>085-12068</v>
      </c>
      <c r="B5022" s="6" t="str">
        <f>IFERROR(__xludf.DUMMYFUNCTION("""COMPUTED_VALUE"""),"85")</f>
        <v>85</v>
      </c>
      <c r="C5022" s="6" t="str">
        <f>IFERROR(__xludf.DUMMYFUNCTION("""COMPUTED_VALUE"""),"12068")</f>
        <v>12068</v>
      </c>
      <c r="D5022" s="6" t="str">
        <f>IFERROR(__xludf.DUMMYFUNCTION("""COMPUTED_VALUE"""),"Terrance")</f>
        <v>Terrance</v>
      </c>
      <c r="E5022" s="6" t="str">
        <f>IFERROR(__xludf.DUMMYFUNCTION("""COMPUTED_VALUE"""),"")</f>
        <v/>
      </c>
      <c r="F5022" s="6" t="str">
        <f>IFERROR(__xludf.DUMMYFUNCTION("""COMPUTED_VALUE"""),"Green-Coleman")</f>
        <v>Green-Coleman</v>
      </c>
      <c r="G5022" s="6" t="str">
        <f>IFERROR(__xludf.DUMMYFUNCTION("""COMPUTED_VALUE"""),"04/10/2012")</f>
        <v>04/10/2012</v>
      </c>
      <c r="H5022" s="6" t="str">
        <f>IFERROR(__xludf.DUMMYFUNCTION("""COMPUTED_VALUE"""),"male")</f>
        <v>male</v>
      </c>
      <c r="I5022" s="6" t="str">
        <f>IFERROR(__xludf.DUMMYFUNCTION("""COMPUTED_VALUE"""),"Middle School")</f>
        <v>Middle School</v>
      </c>
      <c r="J5022" s="6" t="str">
        <f>IFERROR(__xludf.DUMMYFUNCTION("""COMPUTED_VALUE"""),"8")</f>
        <v>8</v>
      </c>
      <c r="K5022" s="6" t="str">
        <f>IFERROR(__xludf.DUMMYFUNCTION("""COMPUTED_VALUE"""),"terrance.green-coleman@2hourlearning.com")</f>
        <v>terrance.green-coleman@2hourlearning.com</v>
      </c>
      <c r="L5022" s="6" t="str">
        <f>IFERROR(__xludf.DUMMYFUNCTION("""COMPUTED_VALUE"""),"AFMS - Allendale Fairfax Middle School")</f>
        <v>AFMS - Allendale Fairfax Middle School</v>
      </c>
      <c r="M5022" s="6" t="str">
        <f>IFERROR(__xludf.DUMMYFUNCTION("""COMPUTED_VALUE"""),"")</f>
        <v/>
      </c>
      <c r="N5022" s="6" t="str">
        <f>IFERROR(__xludf.DUMMYFUNCTION("""COMPUTED_VALUE"""),"")</f>
        <v/>
      </c>
      <c r="O5022" s="87" t="str">
        <f>IFERROR(__xludf.DUMMYFUNCTION("""COMPUTED_VALUE"""),"https://drive.google.com/drive/folders/10T2cTQHqEJZqE-st6uFKPoI?usp=share_link")</f>
        <v>https://drive.google.com/drive/folders/10T2cTQHqEJZqE-st6uFKPoI?usp=share_link</v>
      </c>
      <c r="P5022" s="6" t="str">
        <f>IFERROR(__xludf.DUMMYFUNCTION("""COMPUTED_VALUE"""),"Terrance Green-Coleman")</f>
        <v>Terrance Green-Coleman</v>
      </c>
      <c r="Q5022" s="6" t="str">
        <f>IFERROR(__xludf.DUMMYFUNCTION("""COMPUTED_VALUE"""),"MS")</f>
        <v>MS</v>
      </c>
      <c r="R5022" s="6">
        <f>IFERROR(__xludf.DUMMYFUNCTION("""COMPUTED_VALUE"""),0.0)</f>
        <v>0</v>
      </c>
      <c r="S5022" s="6" t="str">
        <f>IFERROR(__xludf.DUMMYFUNCTION("""COMPUTED_VALUE"""),"Kimberly Ball")</f>
        <v>Kimberly Ball</v>
      </c>
      <c r="T5022" s="6" t="str">
        <f>IFERROR(__xludf.DUMMYFUNCTION("""COMPUTED_VALUE"""),"kimberly.ball@studient.com")</f>
        <v>kimberly.ball@studient.com</v>
      </c>
      <c r="U5022" s="6" t="str">
        <f>IFERROR(__xludf.DUMMYFUNCTION("""COMPUTED_VALUE"""),"8")</f>
        <v>8</v>
      </c>
      <c r="V5022" s="6" t="str">
        <f>IFERROR(__xludf.DUMMYFUNCTION("""COMPUTED_VALUE"""),"")</f>
        <v/>
      </c>
      <c r="W5022" s="6" t="str">
        <f>IFERROR(__xludf.DUMMYFUNCTION("""COMPUTED_VALUE"""),"[]")</f>
        <v>[]</v>
      </c>
      <c r="X5022" s="6" t="str">
        <f>IFERROR(__xludf.DUMMYFUNCTION("""COMPUTED_VALUE"""),"Enrolled")</f>
        <v>Enrolled</v>
      </c>
    </row>
    <row r="5023">
      <c r="A5023" s="6" t="str">
        <f>IFERROR(__xludf.DUMMYFUNCTION("""COMPUTED_VALUE"""),"085-12069")</f>
        <v>085-12069</v>
      </c>
      <c r="B5023" s="6" t="str">
        <f>IFERROR(__xludf.DUMMYFUNCTION("""COMPUTED_VALUE"""),"85")</f>
        <v>85</v>
      </c>
      <c r="C5023" s="6" t="str">
        <f>IFERROR(__xludf.DUMMYFUNCTION("""COMPUTED_VALUE"""),"12069")</f>
        <v>12069</v>
      </c>
      <c r="D5023" s="6" t="str">
        <f>IFERROR(__xludf.DUMMYFUNCTION("""COMPUTED_VALUE"""),"Zy'Keim")</f>
        <v>Zy'Keim</v>
      </c>
      <c r="E5023" s="6" t="str">
        <f>IFERROR(__xludf.DUMMYFUNCTION("""COMPUTED_VALUE"""),"")</f>
        <v/>
      </c>
      <c r="F5023" s="6" t="str">
        <f>IFERROR(__xludf.DUMMYFUNCTION("""COMPUTED_VALUE"""),"Harden")</f>
        <v>Harden</v>
      </c>
      <c r="G5023" s="6" t="str">
        <f>IFERROR(__xludf.DUMMYFUNCTION("""COMPUTED_VALUE"""),"12/22/2011")</f>
        <v>12/22/2011</v>
      </c>
      <c r="H5023" s="6" t="str">
        <f>IFERROR(__xludf.DUMMYFUNCTION("""COMPUTED_VALUE"""),"male")</f>
        <v>male</v>
      </c>
      <c r="I5023" s="6" t="str">
        <f>IFERROR(__xludf.DUMMYFUNCTION("""COMPUTED_VALUE"""),"Middle School")</f>
        <v>Middle School</v>
      </c>
      <c r="J5023" s="6" t="str">
        <f>IFERROR(__xludf.DUMMYFUNCTION("""COMPUTED_VALUE"""),"8")</f>
        <v>8</v>
      </c>
      <c r="K5023" s="6" t="str">
        <f>IFERROR(__xludf.DUMMYFUNCTION("""COMPUTED_VALUE"""),"zykeim.harden@2hourlearning.com")</f>
        <v>zykeim.harden@2hourlearning.com</v>
      </c>
      <c r="L5023" s="6" t="str">
        <f>IFERROR(__xludf.DUMMYFUNCTION("""COMPUTED_VALUE"""),"AFMS - Allendale Fairfax Middle School")</f>
        <v>AFMS - Allendale Fairfax Middle School</v>
      </c>
      <c r="M5023" s="6" t="str">
        <f>IFERROR(__xludf.DUMMYFUNCTION("""COMPUTED_VALUE"""),"")</f>
        <v/>
      </c>
      <c r="N5023" s="6" t="str">
        <f>IFERROR(__xludf.DUMMYFUNCTION("""COMPUTED_VALUE"""),"")</f>
        <v/>
      </c>
      <c r="O5023" s="87" t="str">
        <f>IFERROR(__xludf.DUMMYFUNCTION("""COMPUTED_VALUE"""),"https://drive.google.com/drive/folders/10T2cTQHqEJZqE-st6uFKPoI?usp=share_link")</f>
        <v>https://drive.google.com/drive/folders/10T2cTQHqEJZqE-st6uFKPoI?usp=share_link</v>
      </c>
      <c r="P5023" s="6" t="str">
        <f>IFERROR(__xludf.DUMMYFUNCTION("""COMPUTED_VALUE"""),"Zy'Keim Harden")</f>
        <v>Zy'Keim Harden</v>
      </c>
      <c r="Q5023" s="6" t="str">
        <f>IFERROR(__xludf.DUMMYFUNCTION("""COMPUTED_VALUE"""),"MS")</f>
        <v>MS</v>
      </c>
      <c r="R5023" s="6">
        <f>IFERROR(__xludf.DUMMYFUNCTION("""COMPUTED_VALUE"""),0.0)</f>
        <v>0</v>
      </c>
      <c r="S5023" s="6" t="str">
        <f>IFERROR(__xludf.DUMMYFUNCTION("""COMPUTED_VALUE"""),"Kimberly Ball")</f>
        <v>Kimberly Ball</v>
      </c>
      <c r="T5023" s="6" t="str">
        <f>IFERROR(__xludf.DUMMYFUNCTION("""COMPUTED_VALUE"""),"kimberly.ball@studient.com")</f>
        <v>kimberly.ball@studient.com</v>
      </c>
      <c r="U5023" s="6" t="str">
        <f>IFERROR(__xludf.DUMMYFUNCTION("""COMPUTED_VALUE"""),"8")</f>
        <v>8</v>
      </c>
      <c r="V5023" s="6" t="str">
        <f>IFERROR(__xludf.DUMMYFUNCTION("""COMPUTED_VALUE"""),"")</f>
        <v/>
      </c>
      <c r="W5023" s="6" t="str">
        <f>IFERROR(__xludf.DUMMYFUNCTION("""COMPUTED_VALUE"""),"[]")</f>
        <v>[]</v>
      </c>
      <c r="X5023" s="6" t="str">
        <f>IFERROR(__xludf.DUMMYFUNCTION("""COMPUTED_VALUE"""),"Enrolled")</f>
        <v>Enrolled</v>
      </c>
    </row>
    <row r="5024">
      <c r="A5024" s="6" t="str">
        <f>IFERROR(__xludf.DUMMYFUNCTION("""COMPUTED_VALUE"""),"085-12070")</f>
        <v>085-12070</v>
      </c>
      <c r="B5024" s="6" t="str">
        <f>IFERROR(__xludf.DUMMYFUNCTION("""COMPUTED_VALUE"""),"85")</f>
        <v>85</v>
      </c>
      <c r="C5024" s="6" t="str">
        <f>IFERROR(__xludf.DUMMYFUNCTION("""COMPUTED_VALUE"""),"12070")</f>
        <v>12070</v>
      </c>
      <c r="D5024" s="6" t="str">
        <f>IFERROR(__xludf.DUMMYFUNCTION("""COMPUTED_VALUE"""),"Domonic")</f>
        <v>Domonic</v>
      </c>
      <c r="E5024" s="6" t="str">
        <f>IFERROR(__xludf.DUMMYFUNCTION("""COMPUTED_VALUE"""),"")</f>
        <v/>
      </c>
      <c r="F5024" s="6" t="str">
        <f>IFERROR(__xludf.DUMMYFUNCTION("""COMPUTED_VALUE"""),"Harley")</f>
        <v>Harley</v>
      </c>
      <c r="G5024" s="6" t="str">
        <f>IFERROR(__xludf.DUMMYFUNCTION("""COMPUTED_VALUE"""),"09/09/2011")</f>
        <v>09/09/2011</v>
      </c>
      <c r="H5024" s="6" t="str">
        <f>IFERROR(__xludf.DUMMYFUNCTION("""COMPUTED_VALUE"""),"male")</f>
        <v>male</v>
      </c>
      <c r="I5024" s="6" t="str">
        <f>IFERROR(__xludf.DUMMYFUNCTION("""COMPUTED_VALUE"""),"Middle School")</f>
        <v>Middle School</v>
      </c>
      <c r="J5024" s="6" t="str">
        <f>IFERROR(__xludf.DUMMYFUNCTION("""COMPUTED_VALUE"""),"8")</f>
        <v>8</v>
      </c>
      <c r="K5024" s="6" t="str">
        <f>IFERROR(__xludf.DUMMYFUNCTION("""COMPUTED_VALUE"""),"domonic.harley@2hourlearning.com")</f>
        <v>domonic.harley@2hourlearning.com</v>
      </c>
      <c r="L5024" s="6" t="str">
        <f>IFERROR(__xludf.DUMMYFUNCTION("""COMPUTED_VALUE"""),"AFMS - Allendale Fairfax Middle School")</f>
        <v>AFMS - Allendale Fairfax Middle School</v>
      </c>
      <c r="M5024" s="6" t="str">
        <f>IFERROR(__xludf.DUMMYFUNCTION("""COMPUTED_VALUE"""),"")</f>
        <v/>
      </c>
      <c r="N5024" s="6" t="str">
        <f>IFERROR(__xludf.DUMMYFUNCTION("""COMPUTED_VALUE"""),"")</f>
        <v/>
      </c>
      <c r="O5024" s="87" t="str">
        <f>IFERROR(__xludf.DUMMYFUNCTION("""COMPUTED_VALUE"""),"https://drive.google.com/drive/folders/10T2cTQHqEJZqE-st6uFKPoI?usp=share_link")</f>
        <v>https://drive.google.com/drive/folders/10T2cTQHqEJZqE-st6uFKPoI?usp=share_link</v>
      </c>
      <c r="P5024" s="6" t="str">
        <f>IFERROR(__xludf.DUMMYFUNCTION("""COMPUTED_VALUE"""),"Domonic Harley")</f>
        <v>Domonic Harley</v>
      </c>
      <c r="Q5024" s="6" t="str">
        <f>IFERROR(__xludf.DUMMYFUNCTION("""COMPUTED_VALUE"""),"MS")</f>
        <v>MS</v>
      </c>
      <c r="R5024" s="6">
        <f>IFERROR(__xludf.DUMMYFUNCTION("""COMPUTED_VALUE"""),0.0)</f>
        <v>0</v>
      </c>
      <c r="S5024" s="6" t="str">
        <f>IFERROR(__xludf.DUMMYFUNCTION("""COMPUTED_VALUE"""),"Kimberly Ball")</f>
        <v>Kimberly Ball</v>
      </c>
      <c r="T5024" s="6" t="str">
        <f>IFERROR(__xludf.DUMMYFUNCTION("""COMPUTED_VALUE"""),"kimberly.ball@studient.com")</f>
        <v>kimberly.ball@studient.com</v>
      </c>
      <c r="U5024" s="6" t="str">
        <f>IFERROR(__xludf.DUMMYFUNCTION("""COMPUTED_VALUE"""),"8")</f>
        <v>8</v>
      </c>
      <c r="V5024" s="6" t="str">
        <f>IFERROR(__xludf.DUMMYFUNCTION("""COMPUTED_VALUE"""),"")</f>
        <v/>
      </c>
      <c r="W5024" s="6" t="str">
        <f>IFERROR(__xludf.DUMMYFUNCTION("""COMPUTED_VALUE"""),"[]")</f>
        <v>[]</v>
      </c>
      <c r="X5024" s="6" t="str">
        <f>IFERROR(__xludf.DUMMYFUNCTION("""COMPUTED_VALUE"""),"Enrolled")</f>
        <v>Enrolled</v>
      </c>
    </row>
    <row r="5025">
      <c r="A5025" s="6" t="str">
        <f>IFERROR(__xludf.DUMMYFUNCTION("""COMPUTED_VALUE"""),"085-12071")</f>
        <v>085-12071</v>
      </c>
      <c r="B5025" s="6" t="str">
        <f>IFERROR(__xludf.DUMMYFUNCTION("""COMPUTED_VALUE"""),"85")</f>
        <v>85</v>
      </c>
      <c r="C5025" s="6" t="str">
        <f>IFERROR(__xludf.DUMMYFUNCTION("""COMPUTED_VALUE"""),"12071")</f>
        <v>12071</v>
      </c>
      <c r="D5025" s="6" t="str">
        <f>IFERROR(__xludf.DUMMYFUNCTION("""COMPUTED_VALUE"""),"Andrew")</f>
        <v>Andrew</v>
      </c>
      <c r="E5025" s="6" t="str">
        <f>IFERROR(__xludf.DUMMYFUNCTION("""COMPUTED_VALUE"""),"")</f>
        <v/>
      </c>
      <c r="F5025" s="6" t="str">
        <f>IFERROR(__xludf.DUMMYFUNCTION("""COMPUTED_VALUE"""),"Haughton")</f>
        <v>Haughton</v>
      </c>
      <c r="G5025" s="6" t="str">
        <f>IFERROR(__xludf.DUMMYFUNCTION("""COMPUTED_VALUE"""),"11/24/2011")</f>
        <v>11/24/2011</v>
      </c>
      <c r="H5025" s="6" t="str">
        <f>IFERROR(__xludf.DUMMYFUNCTION("""COMPUTED_VALUE"""),"male")</f>
        <v>male</v>
      </c>
      <c r="I5025" s="6" t="str">
        <f>IFERROR(__xludf.DUMMYFUNCTION("""COMPUTED_VALUE"""),"Middle School")</f>
        <v>Middle School</v>
      </c>
      <c r="J5025" s="6" t="str">
        <f>IFERROR(__xludf.DUMMYFUNCTION("""COMPUTED_VALUE"""),"8")</f>
        <v>8</v>
      </c>
      <c r="K5025" s="6" t="str">
        <f>IFERROR(__xludf.DUMMYFUNCTION("""COMPUTED_VALUE"""),"andrew.haughton@2hourlearning.com")</f>
        <v>andrew.haughton@2hourlearning.com</v>
      </c>
      <c r="L5025" s="6" t="str">
        <f>IFERROR(__xludf.DUMMYFUNCTION("""COMPUTED_VALUE"""),"AFMS - Allendale Fairfax Middle School")</f>
        <v>AFMS - Allendale Fairfax Middle School</v>
      </c>
      <c r="M5025" s="6" t="str">
        <f>IFERROR(__xludf.DUMMYFUNCTION("""COMPUTED_VALUE"""),"")</f>
        <v/>
      </c>
      <c r="N5025" s="6" t="str">
        <f>IFERROR(__xludf.DUMMYFUNCTION("""COMPUTED_VALUE"""),"")</f>
        <v/>
      </c>
      <c r="O5025" s="87" t="str">
        <f>IFERROR(__xludf.DUMMYFUNCTION("""COMPUTED_VALUE"""),"https://drive.google.com/drive/folders/10T2cTQHqEJZqE-st6uFKPoI?usp=share_link")</f>
        <v>https://drive.google.com/drive/folders/10T2cTQHqEJZqE-st6uFKPoI?usp=share_link</v>
      </c>
      <c r="P5025" s="6" t="str">
        <f>IFERROR(__xludf.DUMMYFUNCTION("""COMPUTED_VALUE"""),"Andrew Haughton")</f>
        <v>Andrew Haughton</v>
      </c>
      <c r="Q5025" s="6" t="str">
        <f>IFERROR(__xludf.DUMMYFUNCTION("""COMPUTED_VALUE"""),"MS")</f>
        <v>MS</v>
      </c>
      <c r="R5025" s="6">
        <f>IFERROR(__xludf.DUMMYFUNCTION("""COMPUTED_VALUE"""),0.0)</f>
        <v>0</v>
      </c>
      <c r="S5025" s="6" t="str">
        <f>IFERROR(__xludf.DUMMYFUNCTION("""COMPUTED_VALUE"""),"Kimberly Ball")</f>
        <v>Kimberly Ball</v>
      </c>
      <c r="T5025" s="6" t="str">
        <f>IFERROR(__xludf.DUMMYFUNCTION("""COMPUTED_VALUE"""),"kimberly.ball@studient.com")</f>
        <v>kimberly.ball@studient.com</v>
      </c>
      <c r="U5025" s="6" t="str">
        <f>IFERROR(__xludf.DUMMYFUNCTION("""COMPUTED_VALUE"""),"8")</f>
        <v>8</v>
      </c>
      <c r="V5025" s="6" t="str">
        <f>IFERROR(__xludf.DUMMYFUNCTION("""COMPUTED_VALUE"""),"")</f>
        <v/>
      </c>
      <c r="W5025" s="6" t="str">
        <f>IFERROR(__xludf.DUMMYFUNCTION("""COMPUTED_VALUE"""),"[]")</f>
        <v>[]</v>
      </c>
      <c r="X5025" s="6" t="str">
        <f>IFERROR(__xludf.DUMMYFUNCTION("""COMPUTED_VALUE"""),"Enrolled")</f>
        <v>Enrolled</v>
      </c>
    </row>
    <row r="5026">
      <c r="A5026" s="6" t="str">
        <f>IFERROR(__xludf.DUMMYFUNCTION("""COMPUTED_VALUE"""),"085-12072")</f>
        <v>085-12072</v>
      </c>
      <c r="B5026" s="6" t="str">
        <f>IFERROR(__xludf.DUMMYFUNCTION("""COMPUTED_VALUE"""),"85")</f>
        <v>85</v>
      </c>
      <c r="C5026" s="6" t="str">
        <f>IFERROR(__xludf.DUMMYFUNCTION("""COMPUTED_VALUE"""),"12072")</f>
        <v>12072</v>
      </c>
      <c r="D5026" s="6" t="str">
        <f>IFERROR(__xludf.DUMMYFUNCTION("""COMPUTED_VALUE"""),"Logan")</f>
        <v>Logan</v>
      </c>
      <c r="E5026" s="6" t="str">
        <f>IFERROR(__xludf.DUMMYFUNCTION("""COMPUTED_VALUE"""),"")</f>
        <v/>
      </c>
      <c r="F5026" s="6" t="str">
        <f>IFERROR(__xludf.DUMMYFUNCTION("""COMPUTED_VALUE"""),"Holley")</f>
        <v>Holley</v>
      </c>
      <c r="G5026" s="6" t="str">
        <f>IFERROR(__xludf.DUMMYFUNCTION("""COMPUTED_VALUE"""),"05/11/2012")</f>
        <v>05/11/2012</v>
      </c>
      <c r="H5026" s="6" t="str">
        <f>IFERROR(__xludf.DUMMYFUNCTION("""COMPUTED_VALUE"""),"female")</f>
        <v>female</v>
      </c>
      <c r="I5026" s="6" t="str">
        <f>IFERROR(__xludf.DUMMYFUNCTION("""COMPUTED_VALUE"""),"Middle School")</f>
        <v>Middle School</v>
      </c>
      <c r="J5026" s="6" t="str">
        <f>IFERROR(__xludf.DUMMYFUNCTION("""COMPUTED_VALUE"""),"8")</f>
        <v>8</v>
      </c>
      <c r="K5026" s="6" t="str">
        <f>IFERROR(__xludf.DUMMYFUNCTION("""COMPUTED_VALUE"""),"logan.holley@2hourlearning.com")</f>
        <v>logan.holley@2hourlearning.com</v>
      </c>
      <c r="L5026" s="6" t="str">
        <f>IFERROR(__xludf.DUMMYFUNCTION("""COMPUTED_VALUE"""),"AFMS - Allendale Fairfax Middle School")</f>
        <v>AFMS - Allendale Fairfax Middle School</v>
      </c>
      <c r="M5026" s="6" t="str">
        <f>IFERROR(__xludf.DUMMYFUNCTION("""COMPUTED_VALUE"""),"")</f>
        <v/>
      </c>
      <c r="N5026" s="6" t="str">
        <f>IFERROR(__xludf.DUMMYFUNCTION("""COMPUTED_VALUE"""),"")</f>
        <v/>
      </c>
      <c r="O5026" s="87" t="str">
        <f>IFERROR(__xludf.DUMMYFUNCTION("""COMPUTED_VALUE"""),"https://drive.google.com/drive/folders/10T2cTQHqEJZqE-st6uFKPoI?usp=share_link")</f>
        <v>https://drive.google.com/drive/folders/10T2cTQHqEJZqE-st6uFKPoI?usp=share_link</v>
      </c>
      <c r="P5026" s="6" t="str">
        <f>IFERROR(__xludf.DUMMYFUNCTION("""COMPUTED_VALUE"""),"Logan Holley")</f>
        <v>Logan Holley</v>
      </c>
      <c r="Q5026" s="6" t="str">
        <f>IFERROR(__xludf.DUMMYFUNCTION("""COMPUTED_VALUE"""),"MS")</f>
        <v>MS</v>
      </c>
      <c r="R5026" s="6">
        <f>IFERROR(__xludf.DUMMYFUNCTION("""COMPUTED_VALUE"""),0.0)</f>
        <v>0</v>
      </c>
      <c r="S5026" s="6" t="str">
        <f>IFERROR(__xludf.DUMMYFUNCTION("""COMPUTED_VALUE"""),"Kimberly Ball")</f>
        <v>Kimberly Ball</v>
      </c>
      <c r="T5026" s="6" t="str">
        <f>IFERROR(__xludf.DUMMYFUNCTION("""COMPUTED_VALUE"""),"kimberly.ball@studient.com")</f>
        <v>kimberly.ball@studient.com</v>
      </c>
      <c r="U5026" s="6" t="str">
        <f>IFERROR(__xludf.DUMMYFUNCTION("""COMPUTED_VALUE"""),"8")</f>
        <v>8</v>
      </c>
      <c r="V5026" s="6" t="str">
        <f>IFERROR(__xludf.DUMMYFUNCTION("""COMPUTED_VALUE"""),"")</f>
        <v/>
      </c>
      <c r="W5026" s="6" t="str">
        <f>IFERROR(__xludf.DUMMYFUNCTION("""COMPUTED_VALUE"""),"[]")</f>
        <v>[]</v>
      </c>
      <c r="X5026" s="6" t="str">
        <f>IFERROR(__xludf.DUMMYFUNCTION("""COMPUTED_VALUE"""),"Enrolled")</f>
        <v>Enrolled</v>
      </c>
    </row>
    <row r="5027">
      <c r="A5027" s="6" t="str">
        <f>IFERROR(__xludf.DUMMYFUNCTION("""COMPUTED_VALUE"""),"085-12075")</f>
        <v>085-12075</v>
      </c>
      <c r="B5027" s="6" t="str">
        <f>IFERROR(__xludf.DUMMYFUNCTION("""COMPUTED_VALUE"""),"85")</f>
        <v>85</v>
      </c>
      <c r="C5027" s="6" t="str">
        <f>IFERROR(__xludf.DUMMYFUNCTION("""COMPUTED_VALUE"""),"12075")</f>
        <v>12075</v>
      </c>
      <c r="D5027" s="6" t="str">
        <f>IFERROR(__xludf.DUMMYFUNCTION("""COMPUTED_VALUE"""),"Mason")</f>
        <v>Mason</v>
      </c>
      <c r="E5027" s="6" t="str">
        <f>IFERROR(__xludf.DUMMYFUNCTION("""COMPUTED_VALUE"""),"")</f>
        <v/>
      </c>
      <c r="F5027" s="6" t="str">
        <f>IFERROR(__xludf.DUMMYFUNCTION("""COMPUTED_VALUE"""),"Jordan")</f>
        <v>Jordan</v>
      </c>
      <c r="G5027" s="6" t="str">
        <f>IFERROR(__xludf.DUMMYFUNCTION("""COMPUTED_VALUE"""),"08/18/2011")</f>
        <v>08/18/2011</v>
      </c>
      <c r="H5027" s="6" t="str">
        <f>IFERROR(__xludf.DUMMYFUNCTION("""COMPUTED_VALUE"""),"male")</f>
        <v>male</v>
      </c>
      <c r="I5027" s="6" t="str">
        <f>IFERROR(__xludf.DUMMYFUNCTION("""COMPUTED_VALUE"""),"Middle School")</f>
        <v>Middle School</v>
      </c>
      <c r="J5027" s="6" t="str">
        <f>IFERROR(__xludf.DUMMYFUNCTION("""COMPUTED_VALUE"""),"8")</f>
        <v>8</v>
      </c>
      <c r="K5027" s="6" t="str">
        <f>IFERROR(__xludf.DUMMYFUNCTION("""COMPUTED_VALUE"""),"mason.jordan@2hourlearning.com")</f>
        <v>mason.jordan@2hourlearning.com</v>
      </c>
      <c r="L5027" s="6" t="str">
        <f>IFERROR(__xludf.DUMMYFUNCTION("""COMPUTED_VALUE"""),"AFMS - Allendale Fairfax Middle School")</f>
        <v>AFMS - Allendale Fairfax Middle School</v>
      </c>
      <c r="M5027" s="6" t="str">
        <f>IFERROR(__xludf.DUMMYFUNCTION("""COMPUTED_VALUE"""),"")</f>
        <v/>
      </c>
      <c r="N5027" s="6" t="str">
        <f>IFERROR(__xludf.DUMMYFUNCTION("""COMPUTED_VALUE"""),"")</f>
        <v/>
      </c>
      <c r="O5027" s="87" t="str">
        <f>IFERROR(__xludf.DUMMYFUNCTION("""COMPUTED_VALUE"""),"https://drive.google.com/drive/folders/10T2cTQHqEJZqE-st6uFKPoI?usp=share_link")</f>
        <v>https://drive.google.com/drive/folders/10T2cTQHqEJZqE-st6uFKPoI?usp=share_link</v>
      </c>
      <c r="P5027" s="6" t="str">
        <f>IFERROR(__xludf.DUMMYFUNCTION("""COMPUTED_VALUE"""),"Mason Jordan")</f>
        <v>Mason Jordan</v>
      </c>
      <c r="Q5027" s="6" t="str">
        <f>IFERROR(__xludf.DUMMYFUNCTION("""COMPUTED_VALUE"""),"MS")</f>
        <v>MS</v>
      </c>
      <c r="R5027" s="6">
        <f>IFERROR(__xludf.DUMMYFUNCTION("""COMPUTED_VALUE"""),0.0)</f>
        <v>0</v>
      </c>
      <c r="S5027" s="6" t="str">
        <f>IFERROR(__xludf.DUMMYFUNCTION("""COMPUTED_VALUE"""),"Kimberly Ball")</f>
        <v>Kimberly Ball</v>
      </c>
      <c r="T5027" s="6" t="str">
        <f>IFERROR(__xludf.DUMMYFUNCTION("""COMPUTED_VALUE"""),"kimberly.ball@studient.com")</f>
        <v>kimberly.ball@studient.com</v>
      </c>
      <c r="U5027" s="6" t="str">
        <f>IFERROR(__xludf.DUMMYFUNCTION("""COMPUTED_VALUE"""),"8")</f>
        <v>8</v>
      </c>
      <c r="V5027" s="6" t="str">
        <f>IFERROR(__xludf.DUMMYFUNCTION("""COMPUTED_VALUE"""),"")</f>
        <v/>
      </c>
      <c r="W5027" s="6" t="str">
        <f>IFERROR(__xludf.DUMMYFUNCTION("""COMPUTED_VALUE"""),"[]")</f>
        <v>[]</v>
      </c>
      <c r="X5027" s="6" t="str">
        <f>IFERROR(__xludf.DUMMYFUNCTION("""COMPUTED_VALUE"""),"Enrolled")</f>
        <v>Enrolled</v>
      </c>
    </row>
    <row r="5028">
      <c r="A5028" s="6" t="str">
        <f>IFERROR(__xludf.DUMMYFUNCTION("""COMPUTED_VALUE"""),"085-12076")</f>
        <v>085-12076</v>
      </c>
      <c r="B5028" s="6" t="str">
        <f>IFERROR(__xludf.DUMMYFUNCTION("""COMPUTED_VALUE"""),"85")</f>
        <v>85</v>
      </c>
      <c r="C5028" s="6" t="str">
        <f>IFERROR(__xludf.DUMMYFUNCTION("""COMPUTED_VALUE"""),"12076")</f>
        <v>12076</v>
      </c>
      <c r="D5028" s="6" t="str">
        <f>IFERROR(__xludf.DUMMYFUNCTION("""COMPUTED_VALUE"""),"Mariah")</f>
        <v>Mariah</v>
      </c>
      <c r="E5028" s="6" t="str">
        <f>IFERROR(__xludf.DUMMYFUNCTION("""COMPUTED_VALUE"""),"")</f>
        <v/>
      </c>
      <c r="F5028" s="6" t="str">
        <f>IFERROR(__xludf.DUMMYFUNCTION("""COMPUTED_VALUE"""),"Kirkland")</f>
        <v>Kirkland</v>
      </c>
      <c r="G5028" s="6" t="str">
        <f>IFERROR(__xludf.DUMMYFUNCTION("""COMPUTED_VALUE"""),"03/31/2011")</f>
        <v>03/31/2011</v>
      </c>
      <c r="H5028" s="6" t="str">
        <f>IFERROR(__xludf.DUMMYFUNCTION("""COMPUTED_VALUE"""),"female")</f>
        <v>female</v>
      </c>
      <c r="I5028" s="6" t="str">
        <f>IFERROR(__xludf.DUMMYFUNCTION("""COMPUTED_VALUE"""),"Middle School")</f>
        <v>Middle School</v>
      </c>
      <c r="J5028" s="6" t="str">
        <f>IFERROR(__xludf.DUMMYFUNCTION("""COMPUTED_VALUE"""),"8")</f>
        <v>8</v>
      </c>
      <c r="K5028" s="6" t="str">
        <f>IFERROR(__xludf.DUMMYFUNCTION("""COMPUTED_VALUE"""),"mariah.kirkland@2hourlearning.com")</f>
        <v>mariah.kirkland@2hourlearning.com</v>
      </c>
      <c r="L5028" s="6" t="str">
        <f>IFERROR(__xludf.DUMMYFUNCTION("""COMPUTED_VALUE"""),"AFMS - Allendale Fairfax Middle School")</f>
        <v>AFMS - Allendale Fairfax Middle School</v>
      </c>
      <c r="M5028" s="6" t="str">
        <f>IFERROR(__xludf.DUMMYFUNCTION("""COMPUTED_VALUE"""),"")</f>
        <v/>
      </c>
      <c r="N5028" s="6" t="str">
        <f>IFERROR(__xludf.DUMMYFUNCTION("""COMPUTED_VALUE"""),"")</f>
        <v/>
      </c>
      <c r="O5028" s="87" t="str">
        <f>IFERROR(__xludf.DUMMYFUNCTION("""COMPUTED_VALUE"""),"https://drive.google.com/drive/folders/10T2cTQHqEJZqE-st6uFKPoI?usp=share_link")</f>
        <v>https://drive.google.com/drive/folders/10T2cTQHqEJZqE-st6uFKPoI?usp=share_link</v>
      </c>
      <c r="P5028" s="6" t="str">
        <f>IFERROR(__xludf.DUMMYFUNCTION("""COMPUTED_VALUE"""),"Mariah Kirkland")</f>
        <v>Mariah Kirkland</v>
      </c>
      <c r="Q5028" s="6" t="str">
        <f>IFERROR(__xludf.DUMMYFUNCTION("""COMPUTED_VALUE"""),"MS")</f>
        <v>MS</v>
      </c>
      <c r="R5028" s="6">
        <f>IFERROR(__xludf.DUMMYFUNCTION("""COMPUTED_VALUE"""),0.0)</f>
        <v>0</v>
      </c>
      <c r="S5028" s="6" t="str">
        <f>IFERROR(__xludf.DUMMYFUNCTION("""COMPUTED_VALUE"""),"Kimberly Ball")</f>
        <v>Kimberly Ball</v>
      </c>
      <c r="T5028" s="6" t="str">
        <f>IFERROR(__xludf.DUMMYFUNCTION("""COMPUTED_VALUE"""),"kimberly.ball@studient.com")</f>
        <v>kimberly.ball@studient.com</v>
      </c>
      <c r="U5028" s="6" t="str">
        <f>IFERROR(__xludf.DUMMYFUNCTION("""COMPUTED_VALUE"""),"8")</f>
        <v>8</v>
      </c>
      <c r="V5028" s="6" t="str">
        <f>IFERROR(__xludf.DUMMYFUNCTION("""COMPUTED_VALUE"""),"")</f>
        <v/>
      </c>
      <c r="W5028" s="6" t="str">
        <f>IFERROR(__xludf.DUMMYFUNCTION("""COMPUTED_VALUE"""),"[]")</f>
        <v>[]</v>
      </c>
      <c r="X5028" s="6" t="str">
        <f>IFERROR(__xludf.DUMMYFUNCTION("""COMPUTED_VALUE"""),"Enrolled")</f>
        <v>Enrolled</v>
      </c>
    </row>
    <row r="5029">
      <c r="A5029" s="6" t="str">
        <f>IFERROR(__xludf.DUMMYFUNCTION("""COMPUTED_VALUE"""),"085-12077")</f>
        <v>085-12077</v>
      </c>
      <c r="B5029" s="6" t="str">
        <f>IFERROR(__xludf.DUMMYFUNCTION("""COMPUTED_VALUE"""),"85")</f>
        <v>85</v>
      </c>
      <c r="C5029" s="6" t="str">
        <f>IFERROR(__xludf.DUMMYFUNCTION("""COMPUTED_VALUE"""),"12077")</f>
        <v>12077</v>
      </c>
      <c r="D5029" s="6" t="str">
        <f>IFERROR(__xludf.DUMMYFUNCTION("""COMPUTED_VALUE"""),"De'Andre")</f>
        <v>De'Andre</v>
      </c>
      <c r="E5029" s="6" t="str">
        <f>IFERROR(__xludf.DUMMYFUNCTION("""COMPUTED_VALUE"""),"")</f>
        <v/>
      </c>
      <c r="F5029" s="6" t="str">
        <f>IFERROR(__xludf.DUMMYFUNCTION("""COMPUTED_VALUE"""),"Lofton")</f>
        <v>Lofton</v>
      </c>
      <c r="G5029" s="6" t="str">
        <f>IFERROR(__xludf.DUMMYFUNCTION("""COMPUTED_VALUE"""),"04/14/2012")</f>
        <v>04/14/2012</v>
      </c>
      <c r="H5029" s="6" t="str">
        <f>IFERROR(__xludf.DUMMYFUNCTION("""COMPUTED_VALUE"""),"male")</f>
        <v>male</v>
      </c>
      <c r="I5029" s="6" t="str">
        <f>IFERROR(__xludf.DUMMYFUNCTION("""COMPUTED_VALUE"""),"Middle School")</f>
        <v>Middle School</v>
      </c>
      <c r="J5029" s="6" t="str">
        <f>IFERROR(__xludf.DUMMYFUNCTION("""COMPUTED_VALUE"""),"8")</f>
        <v>8</v>
      </c>
      <c r="K5029" s="6" t="str">
        <f>IFERROR(__xludf.DUMMYFUNCTION("""COMPUTED_VALUE"""),"deandre.lofton@2hourlearning.com")</f>
        <v>deandre.lofton@2hourlearning.com</v>
      </c>
      <c r="L5029" s="6" t="str">
        <f>IFERROR(__xludf.DUMMYFUNCTION("""COMPUTED_VALUE"""),"AFMS - Allendale Fairfax Middle School")</f>
        <v>AFMS - Allendale Fairfax Middle School</v>
      </c>
      <c r="M5029" s="6" t="str">
        <f>IFERROR(__xludf.DUMMYFUNCTION("""COMPUTED_VALUE"""),"")</f>
        <v/>
      </c>
      <c r="N5029" s="6" t="str">
        <f>IFERROR(__xludf.DUMMYFUNCTION("""COMPUTED_VALUE"""),"")</f>
        <v/>
      </c>
      <c r="O5029" s="87" t="str">
        <f>IFERROR(__xludf.DUMMYFUNCTION("""COMPUTED_VALUE"""),"https://drive.google.com/drive/folders/10T2cTQHqEJZqE-st6uFKPoI?usp=share_link")</f>
        <v>https://drive.google.com/drive/folders/10T2cTQHqEJZqE-st6uFKPoI?usp=share_link</v>
      </c>
      <c r="P5029" s="6" t="str">
        <f>IFERROR(__xludf.DUMMYFUNCTION("""COMPUTED_VALUE"""),"De'Andre Lofton")</f>
        <v>De'Andre Lofton</v>
      </c>
      <c r="Q5029" s="6" t="str">
        <f>IFERROR(__xludf.DUMMYFUNCTION("""COMPUTED_VALUE"""),"MS")</f>
        <v>MS</v>
      </c>
      <c r="R5029" s="6">
        <f>IFERROR(__xludf.DUMMYFUNCTION("""COMPUTED_VALUE"""),0.0)</f>
        <v>0</v>
      </c>
      <c r="S5029" s="6" t="str">
        <f>IFERROR(__xludf.DUMMYFUNCTION("""COMPUTED_VALUE"""),"Kimberly Ball")</f>
        <v>Kimberly Ball</v>
      </c>
      <c r="T5029" s="6" t="str">
        <f>IFERROR(__xludf.DUMMYFUNCTION("""COMPUTED_VALUE"""),"kimberly.ball@studient.com")</f>
        <v>kimberly.ball@studient.com</v>
      </c>
      <c r="U5029" s="6" t="str">
        <f>IFERROR(__xludf.DUMMYFUNCTION("""COMPUTED_VALUE"""),"8")</f>
        <v>8</v>
      </c>
      <c r="V5029" s="6" t="str">
        <f>IFERROR(__xludf.DUMMYFUNCTION("""COMPUTED_VALUE"""),"")</f>
        <v/>
      </c>
      <c r="W5029" s="6" t="str">
        <f>IFERROR(__xludf.DUMMYFUNCTION("""COMPUTED_VALUE"""),"[]")</f>
        <v>[]</v>
      </c>
      <c r="X5029" s="6" t="str">
        <f>IFERROR(__xludf.DUMMYFUNCTION("""COMPUTED_VALUE"""),"Enrolled")</f>
        <v>Enrolled</v>
      </c>
    </row>
    <row r="5030">
      <c r="A5030" s="6" t="str">
        <f>IFERROR(__xludf.DUMMYFUNCTION("""COMPUTED_VALUE"""),"085-12078")</f>
        <v>085-12078</v>
      </c>
      <c r="B5030" s="6" t="str">
        <f>IFERROR(__xludf.DUMMYFUNCTION("""COMPUTED_VALUE"""),"85")</f>
        <v>85</v>
      </c>
      <c r="C5030" s="6" t="str">
        <f>IFERROR(__xludf.DUMMYFUNCTION("""COMPUTED_VALUE"""),"12078")</f>
        <v>12078</v>
      </c>
      <c r="D5030" s="6" t="str">
        <f>IFERROR(__xludf.DUMMYFUNCTION("""COMPUTED_VALUE"""),"Zauriyon")</f>
        <v>Zauriyon</v>
      </c>
      <c r="E5030" s="6" t="str">
        <f>IFERROR(__xludf.DUMMYFUNCTION("""COMPUTED_VALUE"""),"")</f>
        <v/>
      </c>
      <c r="F5030" s="6" t="str">
        <f>IFERROR(__xludf.DUMMYFUNCTION("""COMPUTED_VALUE"""),"Love")</f>
        <v>Love</v>
      </c>
      <c r="G5030" s="6" t="str">
        <f>IFERROR(__xludf.DUMMYFUNCTION("""COMPUTED_VALUE"""),"05/19/2012")</f>
        <v>05/19/2012</v>
      </c>
      <c r="H5030" s="6" t="str">
        <f>IFERROR(__xludf.DUMMYFUNCTION("""COMPUTED_VALUE"""),"male")</f>
        <v>male</v>
      </c>
      <c r="I5030" s="6" t="str">
        <f>IFERROR(__xludf.DUMMYFUNCTION("""COMPUTED_VALUE"""),"Middle School")</f>
        <v>Middle School</v>
      </c>
      <c r="J5030" s="6" t="str">
        <f>IFERROR(__xludf.DUMMYFUNCTION("""COMPUTED_VALUE"""),"8")</f>
        <v>8</v>
      </c>
      <c r="K5030" s="6" t="str">
        <f>IFERROR(__xludf.DUMMYFUNCTION("""COMPUTED_VALUE"""),"zauriyon.love@2hourlearning.com")</f>
        <v>zauriyon.love@2hourlearning.com</v>
      </c>
      <c r="L5030" s="6" t="str">
        <f>IFERROR(__xludf.DUMMYFUNCTION("""COMPUTED_VALUE"""),"AFMS - Allendale Fairfax Middle School")</f>
        <v>AFMS - Allendale Fairfax Middle School</v>
      </c>
      <c r="M5030" s="6" t="str">
        <f>IFERROR(__xludf.DUMMYFUNCTION("""COMPUTED_VALUE"""),"")</f>
        <v/>
      </c>
      <c r="N5030" s="6" t="str">
        <f>IFERROR(__xludf.DUMMYFUNCTION("""COMPUTED_VALUE"""),"")</f>
        <v/>
      </c>
      <c r="O5030" s="87" t="str">
        <f>IFERROR(__xludf.DUMMYFUNCTION("""COMPUTED_VALUE"""),"https://drive.google.com/drive/folders/10T2cTQHqEJZqE-st6uFKPoI?usp=share_link")</f>
        <v>https://drive.google.com/drive/folders/10T2cTQHqEJZqE-st6uFKPoI?usp=share_link</v>
      </c>
      <c r="P5030" s="6" t="str">
        <f>IFERROR(__xludf.DUMMYFUNCTION("""COMPUTED_VALUE"""),"Zauriyon Love")</f>
        <v>Zauriyon Love</v>
      </c>
      <c r="Q5030" s="6" t="str">
        <f>IFERROR(__xludf.DUMMYFUNCTION("""COMPUTED_VALUE"""),"MS")</f>
        <v>MS</v>
      </c>
      <c r="R5030" s="6">
        <f>IFERROR(__xludf.DUMMYFUNCTION("""COMPUTED_VALUE"""),0.0)</f>
        <v>0</v>
      </c>
      <c r="S5030" s="6" t="str">
        <f>IFERROR(__xludf.DUMMYFUNCTION("""COMPUTED_VALUE"""),"Kimberly Ball")</f>
        <v>Kimberly Ball</v>
      </c>
      <c r="T5030" s="6" t="str">
        <f>IFERROR(__xludf.DUMMYFUNCTION("""COMPUTED_VALUE"""),"kimberly.ball@studient.com")</f>
        <v>kimberly.ball@studient.com</v>
      </c>
      <c r="U5030" s="6" t="str">
        <f>IFERROR(__xludf.DUMMYFUNCTION("""COMPUTED_VALUE"""),"8")</f>
        <v>8</v>
      </c>
      <c r="V5030" s="6" t="str">
        <f>IFERROR(__xludf.DUMMYFUNCTION("""COMPUTED_VALUE"""),"")</f>
        <v/>
      </c>
      <c r="W5030" s="6" t="str">
        <f>IFERROR(__xludf.DUMMYFUNCTION("""COMPUTED_VALUE"""),"[]")</f>
        <v>[]</v>
      </c>
      <c r="X5030" s="6" t="str">
        <f>IFERROR(__xludf.DUMMYFUNCTION("""COMPUTED_VALUE"""),"Enrolled")</f>
        <v>Enrolled</v>
      </c>
    </row>
    <row r="5031">
      <c r="A5031" s="6" t="str">
        <f>IFERROR(__xludf.DUMMYFUNCTION("""COMPUTED_VALUE"""),"085-12079")</f>
        <v>085-12079</v>
      </c>
      <c r="B5031" s="6" t="str">
        <f>IFERROR(__xludf.DUMMYFUNCTION("""COMPUTED_VALUE"""),"85")</f>
        <v>85</v>
      </c>
      <c r="C5031" s="6" t="str">
        <f>IFERROR(__xludf.DUMMYFUNCTION("""COMPUTED_VALUE"""),"12079")</f>
        <v>12079</v>
      </c>
      <c r="D5031" s="6" t="str">
        <f>IFERROR(__xludf.DUMMYFUNCTION("""COMPUTED_VALUE"""),"Chandler")</f>
        <v>Chandler</v>
      </c>
      <c r="E5031" s="6" t="str">
        <f>IFERROR(__xludf.DUMMYFUNCTION("""COMPUTED_VALUE"""),"")</f>
        <v/>
      </c>
      <c r="F5031" s="6" t="str">
        <f>IFERROR(__xludf.DUMMYFUNCTION("""COMPUTED_VALUE"""),"Maner")</f>
        <v>Maner</v>
      </c>
      <c r="G5031" s="6" t="str">
        <f>IFERROR(__xludf.DUMMYFUNCTION("""COMPUTED_VALUE"""),"10/14/2011")</f>
        <v>10/14/2011</v>
      </c>
      <c r="H5031" s="6" t="str">
        <f>IFERROR(__xludf.DUMMYFUNCTION("""COMPUTED_VALUE"""),"female")</f>
        <v>female</v>
      </c>
      <c r="I5031" s="6" t="str">
        <f>IFERROR(__xludf.DUMMYFUNCTION("""COMPUTED_VALUE"""),"Middle School")</f>
        <v>Middle School</v>
      </c>
      <c r="J5031" s="6" t="str">
        <f>IFERROR(__xludf.DUMMYFUNCTION("""COMPUTED_VALUE"""),"8")</f>
        <v>8</v>
      </c>
      <c r="K5031" s="6" t="str">
        <f>IFERROR(__xludf.DUMMYFUNCTION("""COMPUTED_VALUE"""),"chandler.maner@2hourlearning.com")</f>
        <v>chandler.maner@2hourlearning.com</v>
      </c>
      <c r="L5031" s="6" t="str">
        <f>IFERROR(__xludf.DUMMYFUNCTION("""COMPUTED_VALUE"""),"AFMS - Allendale Fairfax Middle School")</f>
        <v>AFMS - Allendale Fairfax Middle School</v>
      </c>
      <c r="M5031" s="6" t="str">
        <f>IFERROR(__xludf.DUMMYFUNCTION("""COMPUTED_VALUE"""),"")</f>
        <v/>
      </c>
      <c r="N5031" s="6" t="str">
        <f>IFERROR(__xludf.DUMMYFUNCTION("""COMPUTED_VALUE"""),"")</f>
        <v/>
      </c>
      <c r="O5031" s="87" t="str">
        <f>IFERROR(__xludf.DUMMYFUNCTION("""COMPUTED_VALUE"""),"https://drive.google.com/drive/folders/10T2cTQHqEJZqE-st6uFKPoI?usp=share_link")</f>
        <v>https://drive.google.com/drive/folders/10T2cTQHqEJZqE-st6uFKPoI?usp=share_link</v>
      </c>
      <c r="P5031" s="6" t="str">
        <f>IFERROR(__xludf.DUMMYFUNCTION("""COMPUTED_VALUE"""),"Chandler Maner")</f>
        <v>Chandler Maner</v>
      </c>
      <c r="Q5031" s="6" t="str">
        <f>IFERROR(__xludf.DUMMYFUNCTION("""COMPUTED_VALUE"""),"MS")</f>
        <v>MS</v>
      </c>
      <c r="R5031" s="6">
        <f>IFERROR(__xludf.DUMMYFUNCTION("""COMPUTED_VALUE"""),0.0)</f>
        <v>0</v>
      </c>
      <c r="S5031" s="6" t="str">
        <f>IFERROR(__xludf.DUMMYFUNCTION("""COMPUTED_VALUE"""),"Kimberly Ball")</f>
        <v>Kimberly Ball</v>
      </c>
      <c r="T5031" s="6" t="str">
        <f>IFERROR(__xludf.DUMMYFUNCTION("""COMPUTED_VALUE"""),"kimberly.ball@studient.com")</f>
        <v>kimberly.ball@studient.com</v>
      </c>
      <c r="U5031" s="6" t="str">
        <f>IFERROR(__xludf.DUMMYFUNCTION("""COMPUTED_VALUE"""),"8")</f>
        <v>8</v>
      </c>
      <c r="V5031" s="6" t="str">
        <f>IFERROR(__xludf.DUMMYFUNCTION("""COMPUTED_VALUE"""),"")</f>
        <v/>
      </c>
      <c r="W5031" s="6" t="str">
        <f>IFERROR(__xludf.DUMMYFUNCTION("""COMPUTED_VALUE"""),"[]")</f>
        <v>[]</v>
      </c>
      <c r="X5031" s="6" t="str">
        <f>IFERROR(__xludf.DUMMYFUNCTION("""COMPUTED_VALUE"""),"Enrolled")</f>
        <v>Enrolled</v>
      </c>
    </row>
    <row r="5032">
      <c r="A5032" s="6" t="str">
        <f>IFERROR(__xludf.DUMMYFUNCTION("""COMPUTED_VALUE"""),"085-12080")</f>
        <v>085-12080</v>
      </c>
      <c r="B5032" s="6" t="str">
        <f>IFERROR(__xludf.DUMMYFUNCTION("""COMPUTED_VALUE"""),"85")</f>
        <v>85</v>
      </c>
      <c r="C5032" s="6" t="str">
        <f>IFERROR(__xludf.DUMMYFUNCTION("""COMPUTED_VALUE"""),"12080")</f>
        <v>12080</v>
      </c>
      <c r="D5032" s="6" t="str">
        <f>IFERROR(__xludf.DUMMYFUNCTION("""COMPUTED_VALUE"""),"Lyric")</f>
        <v>Lyric</v>
      </c>
      <c r="E5032" s="6" t="str">
        <f>IFERROR(__xludf.DUMMYFUNCTION("""COMPUTED_VALUE"""),"")</f>
        <v/>
      </c>
      <c r="F5032" s="6" t="str">
        <f>IFERROR(__xludf.DUMMYFUNCTION("""COMPUTED_VALUE"""),"Manuel")</f>
        <v>Manuel</v>
      </c>
      <c r="G5032" s="6" t="str">
        <f>IFERROR(__xludf.DUMMYFUNCTION("""COMPUTED_VALUE"""),"11/02/2011")</f>
        <v>11/02/2011</v>
      </c>
      <c r="H5032" s="6" t="str">
        <f>IFERROR(__xludf.DUMMYFUNCTION("""COMPUTED_VALUE"""),"female")</f>
        <v>female</v>
      </c>
      <c r="I5032" s="6" t="str">
        <f>IFERROR(__xludf.DUMMYFUNCTION("""COMPUTED_VALUE"""),"Middle School")</f>
        <v>Middle School</v>
      </c>
      <c r="J5032" s="6" t="str">
        <f>IFERROR(__xludf.DUMMYFUNCTION("""COMPUTED_VALUE"""),"8")</f>
        <v>8</v>
      </c>
      <c r="K5032" s="6" t="str">
        <f>IFERROR(__xludf.DUMMYFUNCTION("""COMPUTED_VALUE"""),"lyric.manuel@2hourlearning.com")</f>
        <v>lyric.manuel@2hourlearning.com</v>
      </c>
      <c r="L5032" s="6" t="str">
        <f>IFERROR(__xludf.DUMMYFUNCTION("""COMPUTED_VALUE"""),"AFMS - Allendale Fairfax Middle School")</f>
        <v>AFMS - Allendale Fairfax Middle School</v>
      </c>
      <c r="M5032" s="6" t="str">
        <f>IFERROR(__xludf.DUMMYFUNCTION("""COMPUTED_VALUE"""),"")</f>
        <v/>
      </c>
      <c r="N5032" s="6" t="str">
        <f>IFERROR(__xludf.DUMMYFUNCTION("""COMPUTED_VALUE"""),"")</f>
        <v/>
      </c>
      <c r="O5032" s="87" t="str">
        <f>IFERROR(__xludf.DUMMYFUNCTION("""COMPUTED_VALUE"""),"https://drive.google.com/drive/folders/10T2cTQHqEJZqE-st6uFKPoI?usp=share_link")</f>
        <v>https://drive.google.com/drive/folders/10T2cTQHqEJZqE-st6uFKPoI?usp=share_link</v>
      </c>
      <c r="P5032" s="6" t="str">
        <f>IFERROR(__xludf.DUMMYFUNCTION("""COMPUTED_VALUE"""),"Lyric Manuel")</f>
        <v>Lyric Manuel</v>
      </c>
      <c r="Q5032" s="6" t="str">
        <f>IFERROR(__xludf.DUMMYFUNCTION("""COMPUTED_VALUE"""),"MS")</f>
        <v>MS</v>
      </c>
      <c r="R5032" s="6">
        <f>IFERROR(__xludf.DUMMYFUNCTION("""COMPUTED_VALUE"""),0.0)</f>
        <v>0</v>
      </c>
      <c r="S5032" s="6" t="str">
        <f>IFERROR(__xludf.DUMMYFUNCTION("""COMPUTED_VALUE"""),"Kimberly Ball")</f>
        <v>Kimberly Ball</v>
      </c>
      <c r="T5032" s="6" t="str">
        <f>IFERROR(__xludf.DUMMYFUNCTION("""COMPUTED_VALUE"""),"kimberly.ball@studient.com")</f>
        <v>kimberly.ball@studient.com</v>
      </c>
      <c r="U5032" s="6" t="str">
        <f>IFERROR(__xludf.DUMMYFUNCTION("""COMPUTED_VALUE"""),"8")</f>
        <v>8</v>
      </c>
      <c r="V5032" s="6" t="str">
        <f>IFERROR(__xludf.DUMMYFUNCTION("""COMPUTED_VALUE"""),"")</f>
        <v/>
      </c>
      <c r="W5032" s="6" t="str">
        <f>IFERROR(__xludf.DUMMYFUNCTION("""COMPUTED_VALUE"""),"[]")</f>
        <v>[]</v>
      </c>
      <c r="X5032" s="6" t="str">
        <f>IFERROR(__xludf.DUMMYFUNCTION("""COMPUTED_VALUE"""),"Enrolled")</f>
        <v>Enrolled</v>
      </c>
    </row>
    <row r="5033">
      <c r="A5033" s="6" t="str">
        <f>IFERROR(__xludf.DUMMYFUNCTION("""COMPUTED_VALUE"""),"085-12081")</f>
        <v>085-12081</v>
      </c>
      <c r="B5033" s="6" t="str">
        <f>IFERROR(__xludf.DUMMYFUNCTION("""COMPUTED_VALUE"""),"85")</f>
        <v>85</v>
      </c>
      <c r="C5033" s="6" t="str">
        <f>IFERROR(__xludf.DUMMYFUNCTION("""COMPUTED_VALUE"""),"12081")</f>
        <v>12081</v>
      </c>
      <c r="D5033" s="6" t="str">
        <f>IFERROR(__xludf.DUMMYFUNCTION("""COMPUTED_VALUE"""),"Jordan")</f>
        <v>Jordan</v>
      </c>
      <c r="E5033" s="6" t="str">
        <f>IFERROR(__xludf.DUMMYFUNCTION("""COMPUTED_VALUE"""),"")</f>
        <v/>
      </c>
      <c r="F5033" s="6" t="str">
        <f>IFERROR(__xludf.DUMMYFUNCTION("""COMPUTED_VALUE"""),"McPherson")</f>
        <v>McPherson</v>
      </c>
      <c r="G5033" s="6" t="str">
        <f>IFERROR(__xludf.DUMMYFUNCTION("""COMPUTED_VALUE"""),"05/31/2011")</f>
        <v>05/31/2011</v>
      </c>
      <c r="H5033" s="6" t="str">
        <f>IFERROR(__xludf.DUMMYFUNCTION("""COMPUTED_VALUE"""),"male")</f>
        <v>male</v>
      </c>
      <c r="I5033" s="6" t="str">
        <f>IFERROR(__xludf.DUMMYFUNCTION("""COMPUTED_VALUE"""),"Middle School")</f>
        <v>Middle School</v>
      </c>
      <c r="J5033" s="6" t="str">
        <f>IFERROR(__xludf.DUMMYFUNCTION("""COMPUTED_VALUE"""),"8")</f>
        <v>8</v>
      </c>
      <c r="K5033" s="6" t="str">
        <f>IFERROR(__xludf.DUMMYFUNCTION("""COMPUTED_VALUE"""),"jordan.mcpherson@2hourlearning.com")</f>
        <v>jordan.mcpherson@2hourlearning.com</v>
      </c>
      <c r="L5033" s="6" t="str">
        <f>IFERROR(__xludf.DUMMYFUNCTION("""COMPUTED_VALUE"""),"AFMS - Allendale Fairfax Middle School")</f>
        <v>AFMS - Allendale Fairfax Middle School</v>
      </c>
      <c r="M5033" s="6" t="str">
        <f>IFERROR(__xludf.DUMMYFUNCTION("""COMPUTED_VALUE"""),"")</f>
        <v/>
      </c>
      <c r="N5033" s="6" t="str">
        <f>IFERROR(__xludf.DUMMYFUNCTION("""COMPUTED_VALUE"""),"")</f>
        <v/>
      </c>
      <c r="O5033" s="87" t="str">
        <f>IFERROR(__xludf.DUMMYFUNCTION("""COMPUTED_VALUE"""),"https://drive.google.com/drive/folders/10T2cTQHqEJZqE-st6uFKPoI?usp=share_link")</f>
        <v>https://drive.google.com/drive/folders/10T2cTQHqEJZqE-st6uFKPoI?usp=share_link</v>
      </c>
      <c r="P5033" s="6" t="str">
        <f>IFERROR(__xludf.DUMMYFUNCTION("""COMPUTED_VALUE"""),"Jordan McPherson")</f>
        <v>Jordan McPherson</v>
      </c>
      <c r="Q5033" s="6" t="str">
        <f>IFERROR(__xludf.DUMMYFUNCTION("""COMPUTED_VALUE"""),"MS")</f>
        <v>MS</v>
      </c>
      <c r="R5033" s="6">
        <f>IFERROR(__xludf.DUMMYFUNCTION("""COMPUTED_VALUE"""),0.0)</f>
        <v>0</v>
      </c>
      <c r="S5033" s="6" t="str">
        <f>IFERROR(__xludf.DUMMYFUNCTION("""COMPUTED_VALUE"""),"Kimberly Ball")</f>
        <v>Kimberly Ball</v>
      </c>
      <c r="T5033" s="6" t="str">
        <f>IFERROR(__xludf.DUMMYFUNCTION("""COMPUTED_VALUE"""),"kimberly.ball@studient.com")</f>
        <v>kimberly.ball@studient.com</v>
      </c>
      <c r="U5033" s="6" t="str">
        <f>IFERROR(__xludf.DUMMYFUNCTION("""COMPUTED_VALUE"""),"8")</f>
        <v>8</v>
      </c>
      <c r="V5033" s="6" t="str">
        <f>IFERROR(__xludf.DUMMYFUNCTION("""COMPUTED_VALUE"""),"")</f>
        <v/>
      </c>
      <c r="W5033" s="6" t="str">
        <f>IFERROR(__xludf.DUMMYFUNCTION("""COMPUTED_VALUE"""),"[]")</f>
        <v>[]</v>
      </c>
      <c r="X5033" s="6" t="str">
        <f>IFERROR(__xludf.DUMMYFUNCTION("""COMPUTED_VALUE"""),"Enrolled")</f>
        <v>Enrolled</v>
      </c>
    </row>
    <row r="5034">
      <c r="A5034" s="6" t="str">
        <f>IFERROR(__xludf.DUMMYFUNCTION("""COMPUTED_VALUE"""),"085-12082")</f>
        <v>085-12082</v>
      </c>
      <c r="B5034" s="6" t="str">
        <f>IFERROR(__xludf.DUMMYFUNCTION("""COMPUTED_VALUE"""),"85")</f>
        <v>85</v>
      </c>
      <c r="C5034" s="6" t="str">
        <f>IFERROR(__xludf.DUMMYFUNCTION("""COMPUTED_VALUE"""),"12082")</f>
        <v>12082</v>
      </c>
      <c r="D5034" s="6" t="str">
        <f>IFERROR(__xludf.DUMMYFUNCTION("""COMPUTED_VALUE"""),"Fernanda")</f>
        <v>Fernanda</v>
      </c>
      <c r="E5034" s="6" t="str">
        <f>IFERROR(__xludf.DUMMYFUNCTION("""COMPUTED_VALUE"""),"")</f>
        <v/>
      </c>
      <c r="F5034" s="6" t="str">
        <f>IFERROR(__xludf.DUMMYFUNCTION("""COMPUTED_VALUE"""),"Millan")</f>
        <v>Millan</v>
      </c>
      <c r="G5034" s="6" t="str">
        <f>IFERROR(__xludf.DUMMYFUNCTION("""COMPUTED_VALUE"""),"11/07/2011")</f>
        <v>11/07/2011</v>
      </c>
      <c r="H5034" s="6" t="str">
        <f>IFERROR(__xludf.DUMMYFUNCTION("""COMPUTED_VALUE"""),"female")</f>
        <v>female</v>
      </c>
      <c r="I5034" s="6" t="str">
        <f>IFERROR(__xludf.DUMMYFUNCTION("""COMPUTED_VALUE"""),"Middle School")</f>
        <v>Middle School</v>
      </c>
      <c r="J5034" s="6" t="str">
        <f>IFERROR(__xludf.DUMMYFUNCTION("""COMPUTED_VALUE"""),"8")</f>
        <v>8</v>
      </c>
      <c r="K5034" s="6" t="str">
        <f>IFERROR(__xludf.DUMMYFUNCTION("""COMPUTED_VALUE"""),"fernanda.millan@2hourlearning.com")</f>
        <v>fernanda.millan@2hourlearning.com</v>
      </c>
      <c r="L5034" s="6" t="str">
        <f>IFERROR(__xludf.DUMMYFUNCTION("""COMPUTED_VALUE"""),"AFMS - Allendale Fairfax Middle School")</f>
        <v>AFMS - Allendale Fairfax Middle School</v>
      </c>
      <c r="M5034" s="6" t="str">
        <f>IFERROR(__xludf.DUMMYFUNCTION("""COMPUTED_VALUE"""),"")</f>
        <v/>
      </c>
      <c r="N5034" s="6" t="str">
        <f>IFERROR(__xludf.DUMMYFUNCTION("""COMPUTED_VALUE"""),"")</f>
        <v/>
      </c>
      <c r="O5034" s="87" t="str">
        <f>IFERROR(__xludf.DUMMYFUNCTION("""COMPUTED_VALUE"""),"https://drive.google.com/drive/folders/10T2cTQHqEJZqE-st6uFKPoI?usp=share_link")</f>
        <v>https://drive.google.com/drive/folders/10T2cTQHqEJZqE-st6uFKPoI?usp=share_link</v>
      </c>
      <c r="P5034" s="6" t="str">
        <f>IFERROR(__xludf.DUMMYFUNCTION("""COMPUTED_VALUE"""),"Fernanda Millan")</f>
        <v>Fernanda Millan</v>
      </c>
      <c r="Q5034" s="6" t="str">
        <f>IFERROR(__xludf.DUMMYFUNCTION("""COMPUTED_VALUE"""),"MS")</f>
        <v>MS</v>
      </c>
      <c r="R5034" s="6">
        <f>IFERROR(__xludf.DUMMYFUNCTION("""COMPUTED_VALUE"""),0.0)</f>
        <v>0</v>
      </c>
      <c r="S5034" s="6" t="str">
        <f>IFERROR(__xludf.DUMMYFUNCTION("""COMPUTED_VALUE"""),"Kimberly Ball")</f>
        <v>Kimberly Ball</v>
      </c>
      <c r="T5034" s="6" t="str">
        <f>IFERROR(__xludf.DUMMYFUNCTION("""COMPUTED_VALUE"""),"kimberly.ball@studient.com")</f>
        <v>kimberly.ball@studient.com</v>
      </c>
      <c r="U5034" s="6" t="str">
        <f>IFERROR(__xludf.DUMMYFUNCTION("""COMPUTED_VALUE"""),"8")</f>
        <v>8</v>
      </c>
      <c r="V5034" s="6" t="str">
        <f>IFERROR(__xludf.DUMMYFUNCTION("""COMPUTED_VALUE"""),"")</f>
        <v/>
      </c>
      <c r="W5034" s="6" t="str">
        <f>IFERROR(__xludf.DUMMYFUNCTION("""COMPUTED_VALUE"""),"[]")</f>
        <v>[]</v>
      </c>
      <c r="X5034" s="6" t="str">
        <f>IFERROR(__xludf.DUMMYFUNCTION("""COMPUTED_VALUE"""),"Enrolled")</f>
        <v>Enrolled</v>
      </c>
    </row>
    <row r="5035">
      <c r="A5035" s="6" t="str">
        <f>IFERROR(__xludf.DUMMYFUNCTION("""COMPUTED_VALUE"""),"085-12083")</f>
        <v>085-12083</v>
      </c>
      <c r="B5035" s="6" t="str">
        <f>IFERROR(__xludf.DUMMYFUNCTION("""COMPUTED_VALUE"""),"85")</f>
        <v>85</v>
      </c>
      <c r="C5035" s="6" t="str">
        <f>IFERROR(__xludf.DUMMYFUNCTION("""COMPUTED_VALUE"""),"12083")</f>
        <v>12083</v>
      </c>
      <c r="D5035" s="6" t="str">
        <f>IFERROR(__xludf.DUMMYFUNCTION("""COMPUTED_VALUE"""),"Aubrey")</f>
        <v>Aubrey</v>
      </c>
      <c r="E5035" s="6" t="str">
        <f>IFERROR(__xludf.DUMMYFUNCTION("""COMPUTED_VALUE"""),"")</f>
        <v/>
      </c>
      <c r="F5035" s="6" t="str">
        <f>IFERROR(__xludf.DUMMYFUNCTION("""COMPUTED_VALUE"""),"Milledge")</f>
        <v>Milledge</v>
      </c>
      <c r="G5035" s="6" t="str">
        <f>IFERROR(__xludf.DUMMYFUNCTION("""COMPUTED_VALUE"""),"03/25/2012")</f>
        <v>03/25/2012</v>
      </c>
      <c r="H5035" s="6" t="str">
        <f>IFERROR(__xludf.DUMMYFUNCTION("""COMPUTED_VALUE"""),"female")</f>
        <v>female</v>
      </c>
      <c r="I5035" s="6" t="str">
        <f>IFERROR(__xludf.DUMMYFUNCTION("""COMPUTED_VALUE"""),"Middle School")</f>
        <v>Middle School</v>
      </c>
      <c r="J5035" s="6" t="str">
        <f>IFERROR(__xludf.DUMMYFUNCTION("""COMPUTED_VALUE"""),"8")</f>
        <v>8</v>
      </c>
      <c r="K5035" s="6" t="str">
        <f>IFERROR(__xludf.DUMMYFUNCTION("""COMPUTED_VALUE"""),"aubrey.milledge@2hourlearning.com")</f>
        <v>aubrey.milledge@2hourlearning.com</v>
      </c>
      <c r="L5035" s="6" t="str">
        <f>IFERROR(__xludf.DUMMYFUNCTION("""COMPUTED_VALUE"""),"AFMS - Allendale Fairfax Middle School")</f>
        <v>AFMS - Allendale Fairfax Middle School</v>
      </c>
      <c r="M5035" s="6" t="str">
        <f>IFERROR(__xludf.DUMMYFUNCTION("""COMPUTED_VALUE"""),"")</f>
        <v/>
      </c>
      <c r="N5035" s="6" t="str">
        <f>IFERROR(__xludf.DUMMYFUNCTION("""COMPUTED_VALUE"""),"")</f>
        <v/>
      </c>
      <c r="O5035" s="87" t="str">
        <f>IFERROR(__xludf.DUMMYFUNCTION("""COMPUTED_VALUE"""),"https://drive.google.com/drive/folders/10T2cTQHqEJZqE-st6uFKPoI?usp=share_link")</f>
        <v>https://drive.google.com/drive/folders/10T2cTQHqEJZqE-st6uFKPoI?usp=share_link</v>
      </c>
      <c r="P5035" s="6" t="str">
        <f>IFERROR(__xludf.DUMMYFUNCTION("""COMPUTED_VALUE"""),"Aubrey Milledge")</f>
        <v>Aubrey Milledge</v>
      </c>
      <c r="Q5035" s="6" t="str">
        <f>IFERROR(__xludf.DUMMYFUNCTION("""COMPUTED_VALUE"""),"MS")</f>
        <v>MS</v>
      </c>
      <c r="R5035" s="6">
        <f>IFERROR(__xludf.DUMMYFUNCTION("""COMPUTED_VALUE"""),0.0)</f>
        <v>0</v>
      </c>
      <c r="S5035" s="6" t="str">
        <f>IFERROR(__xludf.DUMMYFUNCTION("""COMPUTED_VALUE"""),"Kimberly Ball")</f>
        <v>Kimberly Ball</v>
      </c>
      <c r="T5035" s="6" t="str">
        <f>IFERROR(__xludf.DUMMYFUNCTION("""COMPUTED_VALUE"""),"kimberly.ball@studient.com")</f>
        <v>kimberly.ball@studient.com</v>
      </c>
      <c r="U5035" s="6" t="str">
        <f>IFERROR(__xludf.DUMMYFUNCTION("""COMPUTED_VALUE"""),"8")</f>
        <v>8</v>
      </c>
      <c r="V5035" s="6" t="str">
        <f>IFERROR(__xludf.DUMMYFUNCTION("""COMPUTED_VALUE"""),"")</f>
        <v/>
      </c>
      <c r="W5035" s="6" t="str">
        <f>IFERROR(__xludf.DUMMYFUNCTION("""COMPUTED_VALUE"""),"[]")</f>
        <v>[]</v>
      </c>
      <c r="X5035" s="6" t="str">
        <f>IFERROR(__xludf.DUMMYFUNCTION("""COMPUTED_VALUE"""),"Enrolled")</f>
        <v>Enrolled</v>
      </c>
    </row>
    <row r="5036">
      <c r="A5036" s="6" t="str">
        <f>IFERROR(__xludf.DUMMYFUNCTION("""COMPUTED_VALUE"""),"085-12084")</f>
        <v>085-12084</v>
      </c>
      <c r="B5036" s="6" t="str">
        <f>IFERROR(__xludf.DUMMYFUNCTION("""COMPUTED_VALUE"""),"85")</f>
        <v>85</v>
      </c>
      <c r="C5036" s="6" t="str">
        <f>IFERROR(__xludf.DUMMYFUNCTION("""COMPUTED_VALUE"""),"12084")</f>
        <v>12084</v>
      </c>
      <c r="D5036" s="6" t="str">
        <f>IFERROR(__xludf.DUMMYFUNCTION("""COMPUTED_VALUE"""),"Braiden")</f>
        <v>Braiden</v>
      </c>
      <c r="E5036" s="6" t="str">
        <f>IFERROR(__xludf.DUMMYFUNCTION("""COMPUTED_VALUE"""),"")</f>
        <v/>
      </c>
      <c r="F5036" s="6" t="str">
        <f>IFERROR(__xludf.DUMMYFUNCTION("""COMPUTED_VALUE"""),"Mitchell")</f>
        <v>Mitchell</v>
      </c>
      <c r="G5036" s="6" t="str">
        <f>IFERROR(__xludf.DUMMYFUNCTION("""COMPUTED_VALUE"""),"02/27/2012")</f>
        <v>02/27/2012</v>
      </c>
      <c r="H5036" s="6" t="str">
        <f>IFERROR(__xludf.DUMMYFUNCTION("""COMPUTED_VALUE"""),"male")</f>
        <v>male</v>
      </c>
      <c r="I5036" s="6" t="str">
        <f>IFERROR(__xludf.DUMMYFUNCTION("""COMPUTED_VALUE"""),"Middle School")</f>
        <v>Middle School</v>
      </c>
      <c r="J5036" s="6" t="str">
        <f>IFERROR(__xludf.DUMMYFUNCTION("""COMPUTED_VALUE"""),"8")</f>
        <v>8</v>
      </c>
      <c r="K5036" s="6" t="str">
        <f>IFERROR(__xludf.DUMMYFUNCTION("""COMPUTED_VALUE"""),"braiden.mitchell@2hourlearning.com")</f>
        <v>braiden.mitchell@2hourlearning.com</v>
      </c>
      <c r="L5036" s="6" t="str">
        <f>IFERROR(__xludf.DUMMYFUNCTION("""COMPUTED_VALUE"""),"AFMS - Allendale Fairfax Middle School")</f>
        <v>AFMS - Allendale Fairfax Middle School</v>
      </c>
      <c r="M5036" s="6" t="str">
        <f>IFERROR(__xludf.DUMMYFUNCTION("""COMPUTED_VALUE"""),"")</f>
        <v/>
      </c>
      <c r="N5036" s="6" t="str">
        <f>IFERROR(__xludf.DUMMYFUNCTION("""COMPUTED_VALUE"""),"")</f>
        <v/>
      </c>
      <c r="O5036" s="87" t="str">
        <f>IFERROR(__xludf.DUMMYFUNCTION("""COMPUTED_VALUE"""),"https://drive.google.com/drive/folders/10T2cTQHqEJZqE-st6uFKPoI?usp=share_link")</f>
        <v>https://drive.google.com/drive/folders/10T2cTQHqEJZqE-st6uFKPoI?usp=share_link</v>
      </c>
      <c r="P5036" s="6" t="str">
        <f>IFERROR(__xludf.DUMMYFUNCTION("""COMPUTED_VALUE"""),"Braiden Mitchell")</f>
        <v>Braiden Mitchell</v>
      </c>
      <c r="Q5036" s="6" t="str">
        <f>IFERROR(__xludf.DUMMYFUNCTION("""COMPUTED_VALUE"""),"MS")</f>
        <v>MS</v>
      </c>
      <c r="R5036" s="6">
        <f>IFERROR(__xludf.DUMMYFUNCTION("""COMPUTED_VALUE"""),0.0)</f>
        <v>0</v>
      </c>
      <c r="S5036" s="6" t="str">
        <f>IFERROR(__xludf.DUMMYFUNCTION("""COMPUTED_VALUE"""),"Kimberly Ball")</f>
        <v>Kimberly Ball</v>
      </c>
      <c r="T5036" s="6" t="str">
        <f>IFERROR(__xludf.DUMMYFUNCTION("""COMPUTED_VALUE"""),"kimberly.ball@studient.com")</f>
        <v>kimberly.ball@studient.com</v>
      </c>
      <c r="U5036" s="6" t="str">
        <f>IFERROR(__xludf.DUMMYFUNCTION("""COMPUTED_VALUE"""),"8")</f>
        <v>8</v>
      </c>
      <c r="V5036" s="6" t="str">
        <f>IFERROR(__xludf.DUMMYFUNCTION("""COMPUTED_VALUE"""),"")</f>
        <v/>
      </c>
      <c r="W5036" s="6" t="str">
        <f>IFERROR(__xludf.DUMMYFUNCTION("""COMPUTED_VALUE"""),"[]")</f>
        <v>[]</v>
      </c>
      <c r="X5036" s="6" t="str">
        <f>IFERROR(__xludf.DUMMYFUNCTION("""COMPUTED_VALUE"""),"Enrolled")</f>
        <v>Enrolled</v>
      </c>
    </row>
    <row r="5037">
      <c r="A5037" s="6" t="str">
        <f>IFERROR(__xludf.DUMMYFUNCTION("""COMPUTED_VALUE"""),"085-12085")</f>
        <v>085-12085</v>
      </c>
      <c r="B5037" s="6" t="str">
        <f>IFERROR(__xludf.DUMMYFUNCTION("""COMPUTED_VALUE"""),"85")</f>
        <v>85</v>
      </c>
      <c r="C5037" s="6" t="str">
        <f>IFERROR(__xludf.DUMMYFUNCTION("""COMPUTED_VALUE"""),"12085")</f>
        <v>12085</v>
      </c>
      <c r="D5037" s="6" t="str">
        <f>IFERROR(__xludf.DUMMYFUNCTION("""COMPUTED_VALUE"""),"Katelyn")</f>
        <v>Katelyn</v>
      </c>
      <c r="E5037" s="6" t="str">
        <f>IFERROR(__xludf.DUMMYFUNCTION("""COMPUTED_VALUE"""),"")</f>
        <v/>
      </c>
      <c r="F5037" s="6" t="str">
        <f>IFERROR(__xludf.DUMMYFUNCTION("""COMPUTED_VALUE"""),"Orizu")</f>
        <v>Orizu</v>
      </c>
      <c r="G5037" s="6" t="str">
        <f>IFERROR(__xludf.DUMMYFUNCTION("""COMPUTED_VALUE"""),"07/05/2012")</f>
        <v>07/05/2012</v>
      </c>
      <c r="H5037" s="6" t="str">
        <f>IFERROR(__xludf.DUMMYFUNCTION("""COMPUTED_VALUE"""),"female")</f>
        <v>female</v>
      </c>
      <c r="I5037" s="6" t="str">
        <f>IFERROR(__xludf.DUMMYFUNCTION("""COMPUTED_VALUE"""),"Middle School")</f>
        <v>Middle School</v>
      </c>
      <c r="J5037" s="6" t="str">
        <f>IFERROR(__xludf.DUMMYFUNCTION("""COMPUTED_VALUE"""),"8")</f>
        <v>8</v>
      </c>
      <c r="K5037" s="6" t="str">
        <f>IFERROR(__xludf.DUMMYFUNCTION("""COMPUTED_VALUE"""),"katelyn.orizu@2hourlearning.com")</f>
        <v>katelyn.orizu@2hourlearning.com</v>
      </c>
      <c r="L5037" s="6" t="str">
        <f>IFERROR(__xludf.DUMMYFUNCTION("""COMPUTED_VALUE"""),"AFMS - Allendale Fairfax Middle School")</f>
        <v>AFMS - Allendale Fairfax Middle School</v>
      </c>
      <c r="M5037" s="6" t="str">
        <f>IFERROR(__xludf.DUMMYFUNCTION("""COMPUTED_VALUE"""),"")</f>
        <v/>
      </c>
      <c r="N5037" s="6" t="str">
        <f>IFERROR(__xludf.DUMMYFUNCTION("""COMPUTED_VALUE"""),"")</f>
        <v/>
      </c>
      <c r="O5037" s="87" t="str">
        <f>IFERROR(__xludf.DUMMYFUNCTION("""COMPUTED_VALUE"""),"https://drive.google.com/drive/folders/10T2cTQHqEJZqE-st6uFKPoI?usp=share_link")</f>
        <v>https://drive.google.com/drive/folders/10T2cTQHqEJZqE-st6uFKPoI?usp=share_link</v>
      </c>
      <c r="P5037" s="6" t="str">
        <f>IFERROR(__xludf.DUMMYFUNCTION("""COMPUTED_VALUE"""),"Katelyn Orizu")</f>
        <v>Katelyn Orizu</v>
      </c>
      <c r="Q5037" s="6" t="str">
        <f>IFERROR(__xludf.DUMMYFUNCTION("""COMPUTED_VALUE"""),"MS")</f>
        <v>MS</v>
      </c>
      <c r="R5037" s="6">
        <f>IFERROR(__xludf.DUMMYFUNCTION("""COMPUTED_VALUE"""),0.0)</f>
        <v>0</v>
      </c>
      <c r="S5037" s="6" t="str">
        <f>IFERROR(__xludf.DUMMYFUNCTION("""COMPUTED_VALUE"""),"Kimberly Ball")</f>
        <v>Kimberly Ball</v>
      </c>
      <c r="T5037" s="6" t="str">
        <f>IFERROR(__xludf.DUMMYFUNCTION("""COMPUTED_VALUE"""),"kimberly.ball@studient.com")</f>
        <v>kimberly.ball@studient.com</v>
      </c>
      <c r="U5037" s="6" t="str">
        <f>IFERROR(__xludf.DUMMYFUNCTION("""COMPUTED_VALUE"""),"8")</f>
        <v>8</v>
      </c>
      <c r="V5037" s="6" t="str">
        <f>IFERROR(__xludf.DUMMYFUNCTION("""COMPUTED_VALUE"""),"")</f>
        <v/>
      </c>
      <c r="W5037" s="6" t="str">
        <f>IFERROR(__xludf.DUMMYFUNCTION("""COMPUTED_VALUE"""),"[]")</f>
        <v>[]</v>
      </c>
      <c r="X5037" s="6" t="str">
        <f>IFERROR(__xludf.DUMMYFUNCTION("""COMPUTED_VALUE"""),"Enrolled")</f>
        <v>Enrolled</v>
      </c>
    </row>
    <row r="5038">
      <c r="A5038" s="6" t="str">
        <f>IFERROR(__xludf.DUMMYFUNCTION("""COMPUTED_VALUE"""),"085-12086")</f>
        <v>085-12086</v>
      </c>
      <c r="B5038" s="6" t="str">
        <f>IFERROR(__xludf.DUMMYFUNCTION("""COMPUTED_VALUE"""),"85")</f>
        <v>85</v>
      </c>
      <c r="C5038" s="6" t="str">
        <f>IFERROR(__xludf.DUMMYFUNCTION("""COMPUTED_VALUE"""),"12086")</f>
        <v>12086</v>
      </c>
      <c r="D5038" s="6" t="str">
        <f>IFERROR(__xludf.DUMMYFUNCTION("""COMPUTED_VALUE"""),"Brandi")</f>
        <v>Brandi</v>
      </c>
      <c r="E5038" s="6" t="str">
        <f>IFERROR(__xludf.DUMMYFUNCTION("""COMPUTED_VALUE"""),"")</f>
        <v/>
      </c>
      <c r="F5038" s="6" t="str">
        <f>IFERROR(__xludf.DUMMYFUNCTION("""COMPUTED_VALUE"""),"Outing")</f>
        <v>Outing</v>
      </c>
      <c r="G5038" s="6" t="str">
        <f>IFERROR(__xludf.DUMMYFUNCTION("""COMPUTED_VALUE"""),"11/08/2011")</f>
        <v>11/08/2011</v>
      </c>
      <c r="H5038" s="6" t="str">
        <f>IFERROR(__xludf.DUMMYFUNCTION("""COMPUTED_VALUE"""),"female")</f>
        <v>female</v>
      </c>
      <c r="I5038" s="6" t="str">
        <f>IFERROR(__xludf.DUMMYFUNCTION("""COMPUTED_VALUE"""),"Middle School")</f>
        <v>Middle School</v>
      </c>
      <c r="J5038" s="6" t="str">
        <f>IFERROR(__xludf.DUMMYFUNCTION("""COMPUTED_VALUE"""),"8")</f>
        <v>8</v>
      </c>
      <c r="K5038" s="6" t="str">
        <f>IFERROR(__xludf.DUMMYFUNCTION("""COMPUTED_VALUE"""),"brandi.outing@2hourlearning.com")</f>
        <v>brandi.outing@2hourlearning.com</v>
      </c>
      <c r="L5038" s="6" t="str">
        <f>IFERROR(__xludf.DUMMYFUNCTION("""COMPUTED_VALUE"""),"AFMS - Allendale Fairfax Middle School")</f>
        <v>AFMS - Allendale Fairfax Middle School</v>
      </c>
      <c r="M5038" s="6" t="str">
        <f>IFERROR(__xludf.DUMMYFUNCTION("""COMPUTED_VALUE"""),"")</f>
        <v/>
      </c>
      <c r="N5038" s="6" t="str">
        <f>IFERROR(__xludf.DUMMYFUNCTION("""COMPUTED_VALUE"""),"")</f>
        <v/>
      </c>
      <c r="O5038" s="87" t="str">
        <f>IFERROR(__xludf.DUMMYFUNCTION("""COMPUTED_VALUE"""),"https://drive.google.com/drive/folders/10T2cTQHqEJZqE-st6uFKPoI?usp=share_link")</f>
        <v>https://drive.google.com/drive/folders/10T2cTQHqEJZqE-st6uFKPoI?usp=share_link</v>
      </c>
      <c r="P5038" s="6" t="str">
        <f>IFERROR(__xludf.DUMMYFUNCTION("""COMPUTED_VALUE"""),"Brandi Outing")</f>
        <v>Brandi Outing</v>
      </c>
      <c r="Q5038" s="6" t="str">
        <f>IFERROR(__xludf.DUMMYFUNCTION("""COMPUTED_VALUE"""),"MS")</f>
        <v>MS</v>
      </c>
      <c r="R5038" s="6">
        <f>IFERROR(__xludf.DUMMYFUNCTION("""COMPUTED_VALUE"""),0.0)</f>
        <v>0</v>
      </c>
      <c r="S5038" s="6" t="str">
        <f>IFERROR(__xludf.DUMMYFUNCTION("""COMPUTED_VALUE"""),"Kimberly Ball")</f>
        <v>Kimberly Ball</v>
      </c>
      <c r="T5038" s="6" t="str">
        <f>IFERROR(__xludf.DUMMYFUNCTION("""COMPUTED_VALUE"""),"kimberly.ball@studient.com")</f>
        <v>kimberly.ball@studient.com</v>
      </c>
      <c r="U5038" s="6" t="str">
        <f>IFERROR(__xludf.DUMMYFUNCTION("""COMPUTED_VALUE"""),"8")</f>
        <v>8</v>
      </c>
      <c r="V5038" s="6" t="str">
        <f>IFERROR(__xludf.DUMMYFUNCTION("""COMPUTED_VALUE"""),"")</f>
        <v/>
      </c>
      <c r="W5038" s="6" t="str">
        <f>IFERROR(__xludf.DUMMYFUNCTION("""COMPUTED_VALUE"""),"[]")</f>
        <v>[]</v>
      </c>
      <c r="X5038" s="6" t="str">
        <f>IFERROR(__xludf.DUMMYFUNCTION("""COMPUTED_VALUE"""),"Enrolled")</f>
        <v>Enrolled</v>
      </c>
    </row>
    <row r="5039">
      <c r="A5039" s="6" t="str">
        <f>IFERROR(__xludf.DUMMYFUNCTION("""COMPUTED_VALUE"""),"085-12087")</f>
        <v>085-12087</v>
      </c>
      <c r="B5039" s="6" t="str">
        <f>IFERROR(__xludf.DUMMYFUNCTION("""COMPUTED_VALUE"""),"85")</f>
        <v>85</v>
      </c>
      <c r="C5039" s="6" t="str">
        <f>IFERROR(__xludf.DUMMYFUNCTION("""COMPUTED_VALUE"""),"12087")</f>
        <v>12087</v>
      </c>
      <c r="D5039" s="6" t="str">
        <f>IFERROR(__xludf.DUMMYFUNCTION("""COMPUTED_VALUE"""),"Savon")</f>
        <v>Savon</v>
      </c>
      <c r="E5039" s="6" t="str">
        <f>IFERROR(__xludf.DUMMYFUNCTION("""COMPUTED_VALUE"""),"")</f>
        <v/>
      </c>
      <c r="F5039" s="6" t="str">
        <f>IFERROR(__xludf.DUMMYFUNCTION("""COMPUTED_VALUE"""),"Payne")</f>
        <v>Payne</v>
      </c>
      <c r="G5039" s="6" t="str">
        <f>IFERROR(__xludf.DUMMYFUNCTION("""COMPUTED_VALUE"""),"10/23/2010")</f>
        <v>10/23/2010</v>
      </c>
      <c r="H5039" s="6" t="str">
        <f>IFERROR(__xludf.DUMMYFUNCTION("""COMPUTED_VALUE"""),"male")</f>
        <v>male</v>
      </c>
      <c r="I5039" s="6" t="str">
        <f>IFERROR(__xludf.DUMMYFUNCTION("""COMPUTED_VALUE"""),"Middle School")</f>
        <v>Middle School</v>
      </c>
      <c r="J5039" s="6" t="str">
        <f>IFERROR(__xludf.DUMMYFUNCTION("""COMPUTED_VALUE"""),"8")</f>
        <v>8</v>
      </c>
      <c r="K5039" s="6" t="str">
        <f>IFERROR(__xludf.DUMMYFUNCTION("""COMPUTED_VALUE"""),"savon.payne@2hourlearning.com")</f>
        <v>savon.payne@2hourlearning.com</v>
      </c>
      <c r="L5039" s="6" t="str">
        <f>IFERROR(__xludf.DUMMYFUNCTION("""COMPUTED_VALUE"""),"AFMS - Allendale Fairfax Middle School")</f>
        <v>AFMS - Allendale Fairfax Middle School</v>
      </c>
      <c r="M5039" s="6" t="str">
        <f>IFERROR(__xludf.DUMMYFUNCTION("""COMPUTED_VALUE"""),"")</f>
        <v/>
      </c>
      <c r="N5039" s="6" t="str">
        <f>IFERROR(__xludf.DUMMYFUNCTION("""COMPUTED_VALUE"""),"")</f>
        <v/>
      </c>
      <c r="O5039" s="87" t="str">
        <f>IFERROR(__xludf.DUMMYFUNCTION("""COMPUTED_VALUE"""),"https://drive.google.com/drive/folders/10T2cTQHqEJZqE-st6uFKPoI?usp=share_link")</f>
        <v>https://drive.google.com/drive/folders/10T2cTQHqEJZqE-st6uFKPoI?usp=share_link</v>
      </c>
      <c r="P5039" s="6" t="str">
        <f>IFERROR(__xludf.DUMMYFUNCTION("""COMPUTED_VALUE"""),"Savon Payne")</f>
        <v>Savon Payne</v>
      </c>
      <c r="Q5039" s="6" t="str">
        <f>IFERROR(__xludf.DUMMYFUNCTION("""COMPUTED_VALUE"""),"MS")</f>
        <v>MS</v>
      </c>
      <c r="R5039" s="6">
        <f>IFERROR(__xludf.DUMMYFUNCTION("""COMPUTED_VALUE"""),0.0)</f>
        <v>0</v>
      </c>
      <c r="S5039" s="6" t="str">
        <f>IFERROR(__xludf.DUMMYFUNCTION("""COMPUTED_VALUE"""),"Kimberly Ball")</f>
        <v>Kimberly Ball</v>
      </c>
      <c r="T5039" s="6" t="str">
        <f>IFERROR(__xludf.DUMMYFUNCTION("""COMPUTED_VALUE"""),"kimberly.ball@studient.com")</f>
        <v>kimberly.ball@studient.com</v>
      </c>
      <c r="U5039" s="6" t="str">
        <f>IFERROR(__xludf.DUMMYFUNCTION("""COMPUTED_VALUE"""),"8")</f>
        <v>8</v>
      </c>
      <c r="V5039" s="6" t="str">
        <f>IFERROR(__xludf.DUMMYFUNCTION("""COMPUTED_VALUE"""),"")</f>
        <v/>
      </c>
      <c r="W5039" s="6" t="str">
        <f>IFERROR(__xludf.DUMMYFUNCTION("""COMPUTED_VALUE"""),"[]")</f>
        <v>[]</v>
      </c>
      <c r="X5039" s="6" t="str">
        <f>IFERROR(__xludf.DUMMYFUNCTION("""COMPUTED_VALUE"""),"Enrolled")</f>
        <v>Enrolled</v>
      </c>
    </row>
    <row r="5040">
      <c r="A5040" s="6" t="str">
        <f>IFERROR(__xludf.DUMMYFUNCTION("""COMPUTED_VALUE"""),"085-12088")</f>
        <v>085-12088</v>
      </c>
      <c r="B5040" s="6" t="str">
        <f>IFERROR(__xludf.DUMMYFUNCTION("""COMPUTED_VALUE"""),"85")</f>
        <v>85</v>
      </c>
      <c r="C5040" s="6" t="str">
        <f>IFERROR(__xludf.DUMMYFUNCTION("""COMPUTED_VALUE"""),"12088")</f>
        <v>12088</v>
      </c>
      <c r="D5040" s="6" t="str">
        <f>IFERROR(__xludf.DUMMYFUNCTION("""COMPUTED_VALUE"""),"Zy'Keria")</f>
        <v>Zy'Keria</v>
      </c>
      <c r="E5040" s="6" t="str">
        <f>IFERROR(__xludf.DUMMYFUNCTION("""COMPUTED_VALUE"""),"")</f>
        <v/>
      </c>
      <c r="F5040" s="6" t="str">
        <f>IFERROR(__xludf.DUMMYFUNCTION("""COMPUTED_VALUE"""),"Payne")</f>
        <v>Payne</v>
      </c>
      <c r="G5040" s="6" t="str">
        <f>IFERROR(__xludf.DUMMYFUNCTION("""COMPUTED_VALUE"""),"03/01/2012")</f>
        <v>03/01/2012</v>
      </c>
      <c r="H5040" s="6" t="str">
        <f>IFERROR(__xludf.DUMMYFUNCTION("""COMPUTED_VALUE"""),"female")</f>
        <v>female</v>
      </c>
      <c r="I5040" s="6" t="str">
        <f>IFERROR(__xludf.DUMMYFUNCTION("""COMPUTED_VALUE"""),"Middle School")</f>
        <v>Middle School</v>
      </c>
      <c r="J5040" s="6" t="str">
        <f>IFERROR(__xludf.DUMMYFUNCTION("""COMPUTED_VALUE"""),"8")</f>
        <v>8</v>
      </c>
      <c r="K5040" s="6" t="str">
        <f>IFERROR(__xludf.DUMMYFUNCTION("""COMPUTED_VALUE"""),"zykeria.payne@2hourlearning.com")</f>
        <v>zykeria.payne@2hourlearning.com</v>
      </c>
      <c r="L5040" s="6" t="str">
        <f>IFERROR(__xludf.DUMMYFUNCTION("""COMPUTED_VALUE"""),"AFMS - Allendale Fairfax Middle School")</f>
        <v>AFMS - Allendale Fairfax Middle School</v>
      </c>
      <c r="M5040" s="6" t="str">
        <f>IFERROR(__xludf.DUMMYFUNCTION("""COMPUTED_VALUE"""),"")</f>
        <v/>
      </c>
      <c r="N5040" s="6" t="str">
        <f>IFERROR(__xludf.DUMMYFUNCTION("""COMPUTED_VALUE"""),"")</f>
        <v/>
      </c>
      <c r="O5040" s="87" t="str">
        <f>IFERROR(__xludf.DUMMYFUNCTION("""COMPUTED_VALUE"""),"https://drive.google.com/drive/folders/10T2cTQHqEJZqE-st6uFKPoI?usp=share_link")</f>
        <v>https://drive.google.com/drive/folders/10T2cTQHqEJZqE-st6uFKPoI?usp=share_link</v>
      </c>
      <c r="P5040" s="6" t="str">
        <f>IFERROR(__xludf.DUMMYFUNCTION("""COMPUTED_VALUE"""),"Zy'Keria Payne")</f>
        <v>Zy'Keria Payne</v>
      </c>
      <c r="Q5040" s="6" t="str">
        <f>IFERROR(__xludf.DUMMYFUNCTION("""COMPUTED_VALUE"""),"MS")</f>
        <v>MS</v>
      </c>
      <c r="R5040" s="6">
        <f>IFERROR(__xludf.DUMMYFUNCTION("""COMPUTED_VALUE"""),0.0)</f>
        <v>0</v>
      </c>
      <c r="S5040" s="6" t="str">
        <f>IFERROR(__xludf.DUMMYFUNCTION("""COMPUTED_VALUE"""),"Kimberly Ball")</f>
        <v>Kimberly Ball</v>
      </c>
      <c r="T5040" s="6" t="str">
        <f>IFERROR(__xludf.DUMMYFUNCTION("""COMPUTED_VALUE"""),"kimberly.ball@studient.com")</f>
        <v>kimberly.ball@studient.com</v>
      </c>
      <c r="U5040" s="6" t="str">
        <f>IFERROR(__xludf.DUMMYFUNCTION("""COMPUTED_VALUE"""),"8")</f>
        <v>8</v>
      </c>
      <c r="V5040" s="6" t="str">
        <f>IFERROR(__xludf.DUMMYFUNCTION("""COMPUTED_VALUE"""),"")</f>
        <v/>
      </c>
      <c r="W5040" s="6" t="str">
        <f>IFERROR(__xludf.DUMMYFUNCTION("""COMPUTED_VALUE"""),"[]")</f>
        <v>[]</v>
      </c>
      <c r="X5040" s="6" t="str">
        <f>IFERROR(__xludf.DUMMYFUNCTION("""COMPUTED_VALUE"""),"Enrolled")</f>
        <v>Enrolled</v>
      </c>
    </row>
    <row r="5041">
      <c r="A5041" s="6" t="str">
        <f>IFERROR(__xludf.DUMMYFUNCTION("""COMPUTED_VALUE"""),"085-12089")</f>
        <v>085-12089</v>
      </c>
      <c r="B5041" s="6" t="str">
        <f>IFERROR(__xludf.DUMMYFUNCTION("""COMPUTED_VALUE"""),"85")</f>
        <v>85</v>
      </c>
      <c r="C5041" s="6" t="str">
        <f>IFERROR(__xludf.DUMMYFUNCTION("""COMPUTED_VALUE"""),"12089")</f>
        <v>12089</v>
      </c>
      <c r="D5041" s="6" t="str">
        <f>IFERROR(__xludf.DUMMYFUNCTION("""COMPUTED_VALUE"""),"Mercedes")</f>
        <v>Mercedes</v>
      </c>
      <c r="E5041" s="6" t="str">
        <f>IFERROR(__xludf.DUMMYFUNCTION("""COMPUTED_VALUE"""),"")</f>
        <v/>
      </c>
      <c r="F5041" s="6" t="str">
        <f>IFERROR(__xludf.DUMMYFUNCTION("""COMPUTED_VALUE"""),"Pinckney")</f>
        <v>Pinckney</v>
      </c>
      <c r="G5041" s="6" t="str">
        <f>IFERROR(__xludf.DUMMYFUNCTION("""COMPUTED_VALUE"""),"11/10/2011")</f>
        <v>11/10/2011</v>
      </c>
      <c r="H5041" s="6" t="str">
        <f>IFERROR(__xludf.DUMMYFUNCTION("""COMPUTED_VALUE"""),"female")</f>
        <v>female</v>
      </c>
      <c r="I5041" s="6" t="str">
        <f>IFERROR(__xludf.DUMMYFUNCTION("""COMPUTED_VALUE"""),"Middle School")</f>
        <v>Middle School</v>
      </c>
      <c r="J5041" s="6" t="str">
        <f>IFERROR(__xludf.DUMMYFUNCTION("""COMPUTED_VALUE"""),"8")</f>
        <v>8</v>
      </c>
      <c r="K5041" s="6" t="str">
        <f>IFERROR(__xludf.DUMMYFUNCTION("""COMPUTED_VALUE"""),"mercedes.pinckney@2hourlearning.com")</f>
        <v>mercedes.pinckney@2hourlearning.com</v>
      </c>
      <c r="L5041" s="6" t="str">
        <f>IFERROR(__xludf.DUMMYFUNCTION("""COMPUTED_VALUE"""),"AFMS - Allendale Fairfax Middle School")</f>
        <v>AFMS - Allendale Fairfax Middle School</v>
      </c>
      <c r="M5041" s="6" t="str">
        <f>IFERROR(__xludf.DUMMYFUNCTION("""COMPUTED_VALUE"""),"")</f>
        <v/>
      </c>
      <c r="N5041" s="6" t="str">
        <f>IFERROR(__xludf.DUMMYFUNCTION("""COMPUTED_VALUE"""),"")</f>
        <v/>
      </c>
      <c r="O5041" s="87" t="str">
        <f>IFERROR(__xludf.DUMMYFUNCTION("""COMPUTED_VALUE"""),"https://drive.google.com/drive/folders/10T2cTQHqEJZqE-st6uFKPoI?usp=share_link")</f>
        <v>https://drive.google.com/drive/folders/10T2cTQHqEJZqE-st6uFKPoI?usp=share_link</v>
      </c>
      <c r="P5041" s="6" t="str">
        <f>IFERROR(__xludf.DUMMYFUNCTION("""COMPUTED_VALUE"""),"Mercedes Pinckney")</f>
        <v>Mercedes Pinckney</v>
      </c>
      <c r="Q5041" s="6" t="str">
        <f>IFERROR(__xludf.DUMMYFUNCTION("""COMPUTED_VALUE"""),"MS")</f>
        <v>MS</v>
      </c>
      <c r="R5041" s="6">
        <f>IFERROR(__xludf.DUMMYFUNCTION("""COMPUTED_VALUE"""),0.0)</f>
        <v>0</v>
      </c>
      <c r="S5041" s="6" t="str">
        <f>IFERROR(__xludf.DUMMYFUNCTION("""COMPUTED_VALUE"""),"Kimberly Ball")</f>
        <v>Kimberly Ball</v>
      </c>
      <c r="T5041" s="6" t="str">
        <f>IFERROR(__xludf.DUMMYFUNCTION("""COMPUTED_VALUE"""),"kimberly.ball@studient.com")</f>
        <v>kimberly.ball@studient.com</v>
      </c>
      <c r="U5041" s="6" t="str">
        <f>IFERROR(__xludf.DUMMYFUNCTION("""COMPUTED_VALUE"""),"8")</f>
        <v>8</v>
      </c>
      <c r="V5041" s="6" t="str">
        <f>IFERROR(__xludf.DUMMYFUNCTION("""COMPUTED_VALUE"""),"")</f>
        <v/>
      </c>
      <c r="W5041" s="6" t="str">
        <f>IFERROR(__xludf.DUMMYFUNCTION("""COMPUTED_VALUE"""),"[]")</f>
        <v>[]</v>
      </c>
      <c r="X5041" s="6" t="str">
        <f>IFERROR(__xludf.DUMMYFUNCTION("""COMPUTED_VALUE"""),"Enrolled")</f>
        <v>Enrolled</v>
      </c>
    </row>
    <row r="5042">
      <c r="A5042" s="6" t="str">
        <f>IFERROR(__xludf.DUMMYFUNCTION("""COMPUTED_VALUE"""),"085-12090")</f>
        <v>085-12090</v>
      </c>
      <c r="B5042" s="6" t="str">
        <f>IFERROR(__xludf.DUMMYFUNCTION("""COMPUTED_VALUE"""),"85")</f>
        <v>85</v>
      </c>
      <c r="C5042" s="6" t="str">
        <f>IFERROR(__xludf.DUMMYFUNCTION("""COMPUTED_VALUE"""),"12090")</f>
        <v>12090</v>
      </c>
      <c r="D5042" s="6" t="str">
        <f>IFERROR(__xludf.DUMMYFUNCTION("""COMPUTED_VALUE"""),"Zariyah")</f>
        <v>Zariyah</v>
      </c>
      <c r="E5042" s="6" t="str">
        <f>IFERROR(__xludf.DUMMYFUNCTION("""COMPUTED_VALUE"""),"")</f>
        <v/>
      </c>
      <c r="F5042" s="6" t="str">
        <f>IFERROR(__xludf.DUMMYFUNCTION("""COMPUTED_VALUE"""),"Priester")</f>
        <v>Priester</v>
      </c>
      <c r="G5042" s="6" t="str">
        <f>IFERROR(__xludf.DUMMYFUNCTION("""COMPUTED_VALUE"""),"02/10/2012")</f>
        <v>02/10/2012</v>
      </c>
      <c r="H5042" s="6" t="str">
        <f>IFERROR(__xludf.DUMMYFUNCTION("""COMPUTED_VALUE"""),"female")</f>
        <v>female</v>
      </c>
      <c r="I5042" s="6" t="str">
        <f>IFERROR(__xludf.DUMMYFUNCTION("""COMPUTED_VALUE"""),"Middle School")</f>
        <v>Middle School</v>
      </c>
      <c r="J5042" s="6" t="str">
        <f>IFERROR(__xludf.DUMMYFUNCTION("""COMPUTED_VALUE"""),"8")</f>
        <v>8</v>
      </c>
      <c r="K5042" s="6" t="str">
        <f>IFERROR(__xludf.DUMMYFUNCTION("""COMPUTED_VALUE"""),"zariyah.priester@2hourlearning.com")</f>
        <v>zariyah.priester@2hourlearning.com</v>
      </c>
      <c r="L5042" s="6" t="str">
        <f>IFERROR(__xludf.DUMMYFUNCTION("""COMPUTED_VALUE"""),"AFMS - Allendale Fairfax Middle School")</f>
        <v>AFMS - Allendale Fairfax Middle School</v>
      </c>
      <c r="M5042" s="6" t="str">
        <f>IFERROR(__xludf.DUMMYFUNCTION("""COMPUTED_VALUE"""),"")</f>
        <v/>
      </c>
      <c r="N5042" s="6" t="str">
        <f>IFERROR(__xludf.DUMMYFUNCTION("""COMPUTED_VALUE"""),"")</f>
        <v/>
      </c>
      <c r="O5042" s="87" t="str">
        <f>IFERROR(__xludf.DUMMYFUNCTION("""COMPUTED_VALUE"""),"https://drive.google.com/drive/folders/10T2cTQHqEJZqE-st6uFKPoI?usp=share_link")</f>
        <v>https://drive.google.com/drive/folders/10T2cTQHqEJZqE-st6uFKPoI?usp=share_link</v>
      </c>
      <c r="P5042" s="6" t="str">
        <f>IFERROR(__xludf.DUMMYFUNCTION("""COMPUTED_VALUE"""),"Zariyah Priester")</f>
        <v>Zariyah Priester</v>
      </c>
      <c r="Q5042" s="6" t="str">
        <f>IFERROR(__xludf.DUMMYFUNCTION("""COMPUTED_VALUE"""),"MS")</f>
        <v>MS</v>
      </c>
      <c r="R5042" s="6">
        <f>IFERROR(__xludf.DUMMYFUNCTION("""COMPUTED_VALUE"""),0.0)</f>
        <v>0</v>
      </c>
      <c r="S5042" s="6" t="str">
        <f>IFERROR(__xludf.DUMMYFUNCTION("""COMPUTED_VALUE"""),"Kimberly Ball")</f>
        <v>Kimberly Ball</v>
      </c>
      <c r="T5042" s="6" t="str">
        <f>IFERROR(__xludf.DUMMYFUNCTION("""COMPUTED_VALUE"""),"kimberly.ball@studient.com")</f>
        <v>kimberly.ball@studient.com</v>
      </c>
      <c r="U5042" s="6" t="str">
        <f>IFERROR(__xludf.DUMMYFUNCTION("""COMPUTED_VALUE"""),"8")</f>
        <v>8</v>
      </c>
      <c r="V5042" s="6" t="str">
        <f>IFERROR(__xludf.DUMMYFUNCTION("""COMPUTED_VALUE"""),"")</f>
        <v/>
      </c>
      <c r="W5042" s="6" t="str">
        <f>IFERROR(__xludf.DUMMYFUNCTION("""COMPUTED_VALUE"""),"[]")</f>
        <v>[]</v>
      </c>
      <c r="X5042" s="6" t="str">
        <f>IFERROR(__xludf.DUMMYFUNCTION("""COMPUTED_VALUE"""),"Enrolled")</f>
        <v>Enrolled</v>
      </c>
    </row>
    <row r="5043">
      <c r="A5043" s="6" t="str">
        <f>IFERROR(__xludf.DUMMYFUNCTION("""COMPUTED_VALUE"""),"085-12091")</f>
        <v>085-12091</v>
      </c>
      <c r="B5043" s="6" t="str">
        <f>IFERROR(__xludf.DUMMYFUNCTION("""COMPUTED_VALUE"""),"85")</f>
        <v>85</v>
      </c>
      <c r="C5043" s="6" t="str">
        <f>IFERROR(__xludf.DUMMYFUNCTION("""COMPUTED_VALUE"""),"12091")</f>
        <v>12091</v>
      </c>
      <c r="D5043" s="6" t="str">
        <f>IFERROR(__xludf.DUMMYFUNCTION("""COMPUTED_VALUE"""),"Carlos")</f>
        <v>Carlos</v>
      </c>
      <c r="E5043" s="6" t="str">
        <f>IFERROR(__xludf.DUMMYFUNCTION("""COMPUTED_VALUE"""),"")</f>
        <v/>
      </c>
      <c r="F5043" s="6" t="str">
        <f>IFERROR(__xludf.DUMMYFUNCTION("""COMPUTED_VALUE"""),"Ramos")</f>
        <v>Ramos</v>
      </c>
      <c r="G5043" s="6" t="str">
        <f>IFERROR(__xludf.DUMMYFUNCTION("""COMPUTED_VALUE"""),"02/15/2012")</f>
        <v>02/15/2012</v>
      </c>
      <c r="H5043" s="6" t="str">
        <f>IFERROR(__xludf.DUMMYFUNCTION("""COMPUTED_VALUE"""),"male")</f>
        <v>male</v>
      </c>
      <c r="I5043" s="6" t="str">
        <f>IFERROR(__xludf.DUMMYFUNCTION("""COMPUTED_VALUE"""),"Middle School")</f>
        <v>Middle School</v>
      </c>
      <c r="J5043" s="6" t="str">
        <f>IFERROR(__xludf.DUMMYFUNCTION("""COMPUTED_VALUE"""),"8")</f>
        <v>8</v>
      </c>
      <c r="K5043" s="6" t="str">
        <f>IFERROR(__xludf.DUMMYFUNCTION("""COMPUTED_VALUE"""),"carlos.ramos@2hourlearning.com")</f>
        <v>carlos.ramos@2hourlearning.com</v>
      </c>
      <c r="L5043" s="6" t="str">
        <f>IFERROR(__xludf.DUMMYFUNCTION("""COMPUTED_VALUE"""),"AFMS - Allendale Fairfax Middle School")</f>
        <v>AFMS - Allendale Fairfax Middle School</v>
      </c>
      <c r="M5043" s="6" t="str">
        <f>IFERROR(__xludf.DUMMYFUNCTION("""COMPUTED_VALUE"""),"")</f>
        <v/>
      </c>
      <c r="N5043" s="6" t="str">
        <f>IFERROR(__xludf.DUMMYFUNCTION("""COMPUTED_VALUE"""),"")</f>
        <v/>
      </c>
      <c r="O5043" s="87" t="str">
        <f>IFERROR(__xludf.DUMMYFUNCTION("""COMPUTED_VALUE"""),"https://drive.google.com/drive/folders/10T2cTQHqEJZqE-st6uFKPoI?usp=share_link")</f>
        <v>https://drive.google.com/drive/folders/10T2cTQHqEJZqE-st6uFKPoI?usp=share_link</v>
      </c>
      <c r="P5043" s="6" t="str">
        <f>IFERROR(__xludf.DUMMYFUNCTION("""COMPUTED_VALUE"""),"Carlos Ramos")</f>
        <v>Carlos Ramos</v>
      </c>
      <c r="Q5043" s="6" t="str">
        <f>IFERROR(__xludf.DUMMYFUNCTION("""COMPUTED_VALUE"""),"MS")</f>
        <v>MS</v>
      </c>
      <c r="R5043" s="6">
        <f>IFERROR(__xludf.DUMMYFUNCTION("""COMPUTED_VALUE"""),0.0)</f>
        <v>0</v>
      </c>
      <c r="S5043" s="6" t="str">
        <f>IFERROR(__xludf.DUMMYFUNCTION("""COMPUTED_VALUE"""),"Kimberly Ball")</f>
        <v>Kimberly Ball</v>
      </c>
      <c r="T5043" s="6" t="str">
        <f>IFERROR(__xludf.DUMMYFUNCTION("""COMPUTED_VALUE"""),"kimberly.ball@studient.com")</f>
        <v>kimberly.ball@studient.com</v>
      </c>
      <c r="U5043" s="6" t="str">
        <f>IFERROR(__xludf.DUMMYFUNCTION("""COMPUTED_VALUE"""),"8")</f>
        <v>8</v>
      </c>
      <c r="V5043" s="6" t="str">
        <f>IFERROR(__xludf.DUMMYFUNCTION("""COMPUTED_VALUE"""),"")</f>
        <v/>
      </c>
      <c r="W5043" s="6" t="str">
        <f>IFERROR(__xludf.DUMMYFUNCTION("""COMPUTED_VALUE"""),"[]")</f>
        <v>[]</v>
      </c>
      <c r="X5043" s="6" t="str">
        <f>IFERROR(__xludf.DUMMYFUNCTION("""COMPUTED_VALUE"""),"Enrolled")</f>
        <v>Enrolled</v>
      </c>
    </row>
    <row r="5044">
      <c r="A5044" s="6" t="str">
        <f>IFERROR(__xludf.DUMMYFUNCTION("""COMPUTED_VALUE"""),"085-12092")</f>
        <v>085-12092</v>
      </c>
      <c r="B5044" s="6" t="str">
        <f>IFERROR(__xludf.DUMMYFUNCTION("""COMPUTED_VALUE"""),"85")</f>
        <v>85</v>
      </c>
      <c r="C5044" s="6" t="str">
        <f>IFERROR(__xludf.DUMMYFUNCTION("""COMPUTED_VALUE"""),"12092")</f>
        <v>12092</v>
      </c>
      <c r="D5044" s="6" t="str">
        <f>IFERROR(__xludf.DUMMYFUNCTION("""COMPUTED_VALUE"""),"Layla")</f>
        <v>Layla</v>
      </c>
      <c r="E5044" s="6" t="str">
        <f>IFERROR(__xludf.DUMMYFUNCTION("""COMPUTED_VALUE"""),"")</f>
        <v/>
      </c>
      <c r="F5044" s="6" t="str">
        <f>IFERROR(__xludf.DUMMYFUNCTION("""COMPUTED_VALUE"""),"Robinson")</f>
        <v>Robinson</v>
      </c>
      <c r="G5044" s="6" t="str">
        <f>IFERROR(__xludf.DUMMYFUNCTION("""COMPUTED_VALUE"""),"05/25/2012")</f>
        <v>05/25/2012</v>
      </c>
      <c r="H5044" s="6" t="str">
        <f>IFERROR(__xludf.DUMMYFUNCTION("""COMPUTED_VALUE"""),"female")</f>
        <v>female</v>
      </c>
      <c r="I5044" s="6" t="str">
        <f>IFERROR(__xludf.DUMMYFUNCTION("""COMPUTED_VALUE"""),"Middle School")</f>
        <v>Middle School</v>
      </c>
      <c r="J5044" s="6" t="str">
        <f>IFERROR(__xludf.DUMMYFUNCTION("""COMPUTED_VALUE"""),"8")</f>
        <v>8</v>
      </c>
      <c r="K5044" s="6" t="str">
        <f>IFERROR(__xludf.DUMMYFUNCTION("""COMPUTED_VALUE"""),"layla.robinson@2hourlearning.com")</f>
        <v>layla.robinson@2hourlearning.com</v>
      </c>
      <c r="L5044" s="6" t="str">
        <f>IFERROR(__xludf.DUMMYFUNCTION("""COMPUTED_VALUE"""),"AFMS - Allendale Fairfax Middle School")</f>
        <v>AFMS - Allendale Fairfax Middle School</v>
      </c>
      <c r="M5044" s="6" t="str">
        <f>IFERROR(__xludf.DUMMYFUNCTION("""COMPUTED_VALUE"""),"")</f>
        <v/>
      </c>
      <c r="N5044" s="6" t="str">
        <f>IFERROR(__xludf.DUMMYFUNCTION("""COMPUTED_VALUE"""),"")</f>
        <v/>
      </c>
      <c r="O5044" s="87" t="str">
        <f>IFERROR(__xludf.DUMMYFUNCTION("""COMPUTED_VALUE"""),"https://drive.google.com/drive/folders/10T2cTQHqEJZqE-st6uFKPoI?usp=share_link")</f>
        <v>https://drive.google.com/drive/folders/10T2cTQHqEJZqE-st6uFKPoI?usp=share_link</v>
      </c>
      <c r="P5044" s="6" t="str">
        <f>IFERROR(__xludf.DUMMYFUNCTION("""COMPUTED_VALUE"""),"Layla Robinson")</f>
        <v>Layla Robinson</v>
      </c>
      <c r="Q5044" s="6" t="str">
        <f>IFERROR(__xludf.DUMMYFUNCTION("""COMPUTED_VALUE"""),"MS")</f>
        <v>MS</v>
      </c>
      <c r="R5044" s="6">
        <f>IFERROR(__xludf.DUMMYFUNCTION("""COMPUTED_VALUE"""),0.0)</f>
        <v>0</v>
      </c>
      <c r="S5044" s="6" t="str">
        <f>IFERROR(__xludf.DUMMYFUNCTION("""COMPUTED_VALUE"""),"Kimberly Ball")</f>
        <v>Kimberly Ball</v>
      </c>
      <c r="T5044" s="6" t="str">
        <f>IFERROR(__xludf.DUMMYFUNCTION("""COMPUTED_VALUE"""),"kimberly.ball@studient.com")</f>
        <v>kimberly.ball@studient.com</v>
      </c>
      <c r="U5044" s="6" t="str">
        <f>IFERROR(__xludf.DUMMYFUNCTION("""COMPUTED_VALUE"""),"8")</f>
        <v>8</v>
      </c>
      <c r="V5044" s="6" t="str">
        <f>IFERROR(__xludf.DUMMYFUNCTION("""COMPUTED_VALUE"""),"")</f>
        <v/>
      </c>
      <c r="W5044" s="6" t="str">
        <f>IFERROR(__xludf.DUMMYFUNCTION("""COMPUTED_VALUE"""),"[]")</f>
        <v>[]</v>
      </c>
      <c r="X5044" s="6" t="str">
        <f>IFERROR(__xludf.DUMMYFUNCTION("""COMPUTED_VALUE"""),"Enrolled")</f>
        <v>Enrolled</v>
      </c>
    </row>
    <row r="5045">
      <c r="A5045" s="6" t="str">
        <f>IFERROR(__xludf.DUMMYFUNCTION("""COMPUTED_VALUE"""),"085-12093")</f>
        <v>085-12093</v>
      </c>
      <c r="B5045" s="6" t="str">
        <f>IFERROR(__xludf.DUMMYFUNCTION("""COMPUTED_VALUE"""),"85")</f>
        <v>85</v>
      </c>
      <c r="C5045" s="6" t="str">
        <f>IFERROR(__xludf.DUMMYFUNCTION("""COMPUTED_VALUE"""),"12093")</f>
        <v>12093</v>
      </c>
      <c r="D5045" s="6" t="str">
        <f>IFERROR(__xludf.DUMMYFUNCTION("""COMPUTED_VALUE"""),"Tristan")</f>
        <v>Tristan</v>
      </c>
      <c r="E5045" s="6" t="str">
        <f>IFERROR(__xludf.DUMMYFUNCTION("""COMPUTED_VALUE"""),"")</f>
        <v/>
      </c>
      <c r="F5045" s="6" t="str">
        <f>IFERROR(__xludf.DUMMYFUNCTION("""COMPUTED_VALUE"""),"Sabb")</f>
        <v>Sabb</v>
      </c>
      <c r="G5045" s="6" t="str">
        <f>IFERROR(__xludf.DUMMYFUNCTION("""COMPUTED_VALUE"""),"11/01/2011")</f>
        <v>11/01/2011</v>
      </c>
      <c r="H5045" s="6" t="str">
        <f>IFERROR(__xludf.DUMMYFUNCTION("""COMPUTED_VALUE"""),"male")</f>
        <v>male</v>
      </c>
      <c r="I5045" s="6" t="str">
        <f>IFERROR(__xludf.DUMMYFUNCTION("""COMPUTED_VALUE"""),"Middle School")</f>
        <v>Middle School</v>
      </c>
      <c r="J5045" s="6" t="str">
        <f>IFERROR(__xludf.DUMMYFUNCTION("""COMPUTED_VALUE"""),"8")</f>
        <v>8</v>
      </c>
      <c r="K5045" s="6" t="str">
        <f>IFERROR(__xludf.DUMMYFUNCTION("""COMPUTED_VALUE"""),"tristan.sabb@2hourlearning.com")</f>
        <v>tristan.sabb@2hourlearning.com</v>
      </c>
      <c r="L5045" s="6" t="str">
        <f>IFERROR(__xludf.DUMMYFUNCTION("""COMPUTED_VALUE"""),"AFMS - Allendale Fairfax Middle School")</f>
        <v>AFMS - Allendale Fairfax Middle School</v>
      </c>
      <c r="M5045" s="6" t="str">
        <f>IFERROR(__xludf.DUMMYFUNCTION("""COMPUTED_VALUE"""),"")</f>
        <v/>
      </c>
      <c r="N5045" s="6" t="str">
        <f>IFERROR(__xludf.DUMMYFUNCTION("""COMPUTED_VALUE"""),"")</f>
        <v/>
      </c>
      <c r="O5045" s="87" t="str">
        <f>IFERROR(__xludf.DUMMYFUNCTION("""COMPUTED_VALUE"""),"https://drive.google.com/drive/folders/10T2cTQHqEJZqE-st6uFKPoI?usp=share_link")</f>
        <v>https://drive.google.com/drive/folders/10T2cTQHqEJZqE-st6uFKPoI?usp=share_link</v>
      </c>
      <c r="P5045" s="6" t="str">
        <f>IFERROR(__xludf.DUMMYFUNCTION("""COMPUTED_VALUE"""),"Tristan Sabb")</f>
        <v>Tristan Sabb</v>
      </c>
      <c r="Q5045" s="6" t="str">
        <f>IFERROR(__xludf.DUMMYFUNCTION("""COMPUTED_VALUE"""),"MS")</f>
        <v>MS</v>
      </c>
      <c r="R5045" s="6">
        <f>IFERROR(__xludf.DUMMYFUNCTION("""COMPUTED_VALUE"""),0.0)</f>
        <v>0</v>
      </c>
      <c r="S5045" s="6" t="str">
        <f>IFERROR(__xludf.DUMMYFUNCTION("""COMPUTED_VALUE"""),"Kimberly Ball")</f>
        <v>Kimberly Ball</v>
      </c>
      <c r="T5045" s="6" t="str">
        <f>IFERROR(__xludf.DUMMYFUNCTION("""COMPUTED_VALUE"""),"kimberly.ball@studient.com")</f>
        <v>kimberly.ball@studient.com</v>
      </c>
      <c r="U5045" s="6" t="str">
        <f>IFERROR(__xludf.DUMMYFUNCTION("""COMPUTED_VALUE"""),"8")</f>
        <v>8</v>
      </c>
      <c r="V5045" s="6" t="str">
        <f>IFERROR(__xludf.DUMMYFUNCTION("""COMPUTED_VALUE"""),"")</f>
        <v/>
      </c>
      <c r="W5045" s="6" t="str">
        <f>IFERROR(__xludf.DUMMYFUNCTION("""COMPUTED_VALUE"""),"[]")</f>
        <v>[]</v>
      </c>
      <c r="X5045" s="6" t="str">
        <f>IFERROR(__xludf.DUMMYFUNCTION("""COMPUTED_VALUE"""),"Enrolled")</f>
        <v>Enrolled</v>
      </c>
    </row>
    <row r="5046">
      <c r="A5046" s="6" t="str">
        <f>IFERROR(__xludf.DUMMYFUNCTION("""COMPUTED_VALUE"""),"085-12094")</f>
        <v>085-12094</v>
      </c>
      <c r="B5046" s="6" t="str">
        <f>IFERROR(__xludf.DUMMYFUNCTION("""COMPUTED_VALUE"""),"85")</f>
        <v>85</v>
      </c>
      <c r="C5046" s="6" t="str">
        <f>IFERROR(__xludf.DUMMYFUNCTION("""COMPUTED_VALUE"""),"12094")</f>
        <v>12094</v>
      </c>
      <c r="D5046" s="6" t="str">
        <f>IFERROR(__xludf.DUMMYFUNCTION("""COMPUTED_VALUE"""),"Braylen")</f>
        <v>Braylen</v>
      </c>
      <c r="E5046" s="6" t="str">
        <f>IFERROR(__xludf.DUMMYFUNCTION("""COMPUTED_VALUE"""),"")</f>
        <v/>
      </c>
      <c r="F5046" s="6" t="str">
        <f>IFERROR(__xludf.DUMMYFUNCTION("""COMPUTED_VALUE"""),"Smoaks")</f>
        <v>Smoaks</v>
      </c>
      <c r="G5046" s="6" t="str">
        <f>IFERROR(__xludf.DUMMYFUNCTION("""COMPUTED_VALUE"""),"08/06/2012")</f>
        <v>08/06/2012</v>
      </c>
      <c r="H5046" s="6" t="str">
        <f>IFERROR(__xludf.DUMMYFUNCTION("""COMPUTED_VALUE"""),"male")</f>
        <v>male</v>
      </c>
      <c r="I5046" s="6" t="str">
        <f>IFERROR(__xludf.DUMMYFUNCTION("""COMPUTED_VALUE"""),"Middle School")</f>
        <v>Middle School</v>
      </c>
      <c r="J5046" s="6" t="str">
        <f>IFERROR(__xludf.DUMMYFUNCTION("""COMPUTED_VALUE"""),"8")</f>
        <v>8</v>
      </c>
      <c r="K5046" s="6" t="str">
        <f>IFERROR(__xludf.DUMMYFUNCTION("""COMPUTED_VALUE"""),"braylen.smoaks@2hourlearning.com")</f>
        <v>braylen.smoaks@2hourlearning.com</v>
      </c>
      <c r="L5046" s="6" t="str">
        <f>IFERROR(__xludf.DUMMYFUNCTION("""COMPUTED_VALUE"""),"AFMS - Allendale Fairfax Middle School")</f>
        <v>AFMS - Allendale Fairfax Middle School</v>
      </c>
      <c r="M5046" s="6" t="str">
        <f>IFERROR(__xludf.DUMMYFUNCTION("""COMPUTED_VALUE"""),"")</f>
        <v/>
      </c>
      <c r="N5046" s="6" t="str">
        <f>IFERROR(__xludf.DUMMYFUNCTION("""COMPUTED_VALUE"""),"")</f>
        <v/>
      </c>
      <c r="O5046" s="87" t="str">
        <f>IFERROR(__xludf.DUMMYFUNCTION("""COMPUTED_VALUE"""),"https://drive.google.com/drive/folders/10T2cTQHqEJZqE-st6uFKPoI?usp=share_link")</f>
        <v>https://drive.google.com/drive/folders/10T2cTQHqEJZqE-st6uFKPoI?usp=share_link</v>
      </c>
      <c r="P5046" s="6" t="str">
        <f>IFERROR(__xludf.DUMMYFUNCTION("""COMPUTED_VALUE"""),"Braylen Smoaks")</f>
        <v>Braylen Smoaks</v>
      </c>
      <c r="Q5046" s="6" t="str">
        <f>IFERROR(__xludf.DUMMYFUNCTION("""COMPUTED_VALUE"""),"MS")</f>
        <v>MS</v>
      </c>
      <c r="R5046" s="6">
        <f>IFERROR(__xludf.DUMMYFUNCTION("""COMPUTED_VALUE"""),0.0)</f>
        <v>0</v>
      </c>
      <c r="S5046" s="6" t="str">
        <f>IFERROR(__xludf.DUMMYFUNCTION("""COMPUTED_VALUE"""),"Kimberly Ball")</f>
        <v>Kimberly Ball</v>
      </c>
      <c r="T5046" s="6" t="str">
        <f>IFERROR(__xludf.DUMMYFUNCTION("""COMPUTED_VALUE"""),"kimberly.ball@studient.com")</f>
        <v>kimberly.ball@studient.com</v>
      </c>
      <c r="U5046" s="6" t="str">
        <f>IFERROR(__xludf.DUMMYFUNCTION("""COMPUTED_VALUE"""),"8")</f>
        <v>8</v>
      </c>
      <c r="V5046" s="6" t="str">
        <f>IFERROR(__xludf.DUMMYFUNCTION("""COMPUTED_VALUE"""),"")</f>
        <v/>
      </c>
      <c r="W5046" s="6" t="str">
        <f>IFERROR(__xludf.DUMMYFUNCTION("""COMPUTED_VALUE"""),"[]")</f>
        <v>[]</v>
      </c>
      <c r="X5046" s="6" t="str">
        <f>IFERROR(__xludf.DUMMYFUNCTION("""COMPUTED_VALUE"""),"Enrolled")</f>
        <v>Enrolled</v>
      </c>
    </row>
    <row r="5047">
      <c r="A5047" s="6" t="str">
        <f>IFERROR(__xludf.DUMMYFUNCTION("""COMPUTED_VALUE"""),"085-12095")</f>
        <v>085-12095</v>
      </c>
      <c r="B5047" s="6" t="str">
        <f>IFERROR(__xludf.DUMMYFUNCTION("""COMPUTED_VALUE"""),"85")</f>
        <v>85</v>
      </c>
      <c r="C5047" s="6" t="str">
        <f>IFERROR(__xludf.DUMMYFUNCTION("""COMPUTED_VALUE"""),"12095")</f>
        <v>12095</v>
      </c>
      <c r="D5047" s="6" t="str">
        <f>IFERROR(__xludf.DUMMYFUNCTION("""COMPUTED_VALUE"""),"Elijah")</f>
        <v>Elijah</v>
      </c>
      <c r="E5047" s="6" t="str">
        <f>IFERROR(__xludf.DUMMYFUNCTION("""COMPUTED_VALUE"""),"")</f>
        <v/>
      </c>
      <c r="F5047" s="6" t="str">
        <f>IFERROR(__xludf.DUMMYFUNCTION("""COMPUTED_VALUE"""),"Thaxton")</f>
        <v>Thaxton</v>
      </c>
      <c r="G5047" s="6" t="str">
        <f>IFERROR(__xludf.DUMMYFUNCTION("""COMPUTED_VALUE"""),"09/12/2011")</f>
        <v>09/12/2011</v>
      </c>
      <c r="H5047" s="6" t="str">
        <f>IFERROR(__xludf.DUMMYFUNCTION("""COMPUTED_VALUE"""),"male")</f>
        <v>male</v>
      </c>
      <c r="I5047" s="6" t="str">
        <f>IFERROR(__xludf.DUMMYFUNCTION("""COMPUTED_VALUE"""),"Middle School")</f>
        <v>Middle School</v>
      </c>
      <c r="J5047" s="6" t="str">
        <f>IFERROR(__xludf.DUMMYFUNCTION("""COMPUTED_VALUE"""),"8")</f>
        <v>8</v>
      </c>
      <c r="K5047" s="6" t="str">
        <f>IFERROR(__xludf.DUMMYFUNCTION("""COMPUTED_VALUE"""),"elijah.thaxton@2hourlearning.com")</f>
        <v>elijah.thaxton@2hourlearning.com</v>
      </c>
      <c r="L5047" s="6" t="str">
        <f>IFERROR(__xludf.DUMMYFUNCTION("""COMPUTED_VALUE"""),"AFMS - Allendale Fairfax Middle School")</f>
        <v>AFMS - Allendale Fairfax Middle School</v>
      </c>
      <c r="M5047" s="6" t="str">
        <f>IFERROR(__xludf.DUMMYFUNCTION("""COMPUTED_VALUE"""),"")</f>
        <v/>
      </c>
      <c r="N5047" s="6" t="str">
        <f>IFERROR(__xludf.DUMMYFUNCTION("""COMPUTED_VALUE"""),"")</f>
        <v/>
      </c>
      <c r="O5047" s="87" t="str">
        <f>IFERROR(__xludf.DUMMYFUNCTION("""COMPUTED_VALUE"""),"https://drive.google.com/drive/folders/10T2cTQHqEJZqE-st6uFKPoI?usp=share_link")</f>
        <v>https://drive.google.com/drive/folders/10T2cTQHqEJZqE-st6uFKPoI?usp=share_link</v>
      </c>
      <c r="P5047" s="6" t="str">
        <f>IFERROR(__xludf.DUMMYFUNCTION("""COMPUTED_VALUE"""),"Elijah Thaxton")</f>
        <v>Elijah Thaxton</v>
      </c>
      <c r="Q5047" s="6" t="str">
        <f>IFERROR(__xludf.DUMMYFUNCTION("""COMPUTED_VALUE"""),"MS")</f>
        <v>MS</v>
      </c>
      <c r="R5047" s="6">
        <f>IFERROR(__xludf.DUMMYFUNCTION("""COMPUTED_VALUE"""),0.0)</f>
        <v>0</v>
      </c>
      <c r="S5047" s="6" t="str">
        <f>IFERROR(__xludf.DUMMYFUNCTION("""COMPUTED_VALUE"""),"Kimberly Ball")</f>
        <v>Kimberly Ball</v>
      </c>
      <c r="T5047" s="6" t="str">
        <f>IFERROR(__xludf.DUMMYFUNCTION("""COMPUTED_VALUE"""),"kimberly.ball@studient.com")</f>
        <v>kimberly.ball@studient.com</v>
      </c>
      <c r="U5047" s="6" t="str">
        <f>IFERROR(__xludf.DUMMYFUNCTION("""COMPUTED_VALUE"""),"8")</f>
        <v>8</v>
      </c>
      <c r="V5047" s="6" t="str">
        <f>IFERROR(__xludf.DUMMYFUNCTION("""COMPUTED_VALUE"""),"")</f>
        <v/>
      </c>
      <c r="W5047" s="6" t="str">
        <f>IFERROR(__xludf.DUMMYFUNCTION("""COMPUTED_VALUE"""),"[]")</f>
        <v>[]</v>
      </c>
      <c r="X5047" s="6" t="str">
        <f>IFERROR(__xludf.DUMMYFUNCTION("""COMPUTED_VALUE"""),"Enrolled")</f>
        <v>Enrolled</v>
      </c>
    </row>
    <row r="5048">
      <c r="A5048" s="6" t="str">
        <f>IFERROR(__xludf.DUMMYFUNCTION("""COMPUTED_VALUE"""),"085-12096")</f>
        <v>085-12096</v>
      </c>
      <c r="B5048" s="6" t="str">
        <f>IFERROR(__xludf.DUMMYFUNCTION("""COMPUTED_VALUE"""),"85")</f>
        <v>85</v>
      </c>
      <c r="C5048" s="6" t="str">
        <f>IFERROR(__xludf.DUMMYFUNCTION("""COMPUTED_VALUE"""),"12096")</f>
        <v>12096</v>
      </c>
      <c r="D5048" s="6" t="str">
        <f>IFERROR(__xludf.DUMMYFUNCTION("""COMPUTED_VALUE"""),"Christopher")</f>
        <v>Christopher</v>
      </c>
      <c r="E5048" s="6" t="str">
        <f>IFERROR(__xludf.DUMMYFUNCTION("""COMPUTED_VALUE"""),"")</f>
        <v/>
      </c>
      <c r="F5048" s="6" t="str">
        <f>IFERROR(__xludf.DUMMYFUNCTION("""COMPUTED_VALUE"""),"Walls")</f>
        <v>Walls</v>
      </c>
      <c r="G5048" s="6" t="str">
        <f>IFERROR(__xludf.DUMMYFUNCTION("""COMPUTED_VALUE"""),"06/18/2012")</f>
        <v>06/18/2012</v>
      </c>
      <c r="H5048" s="6" t="str">
        <f>IFERROR(__xludf.DUMMYFUNCTION("""COMPUTED_VALUE"""),"male")</f>
        <v>male</v>
      </c>
      <c r="I5048" s="6" t="str">
        <f>IFERROR(__xludf.DUMMYFUNCTION("""COMPUTED_VALUE"""),"Middle School")</f>
        <v>Middle School</v>
      </c>
      <c r="J5048" s="6" t="str">
        <f>IFERROR(__xludf.DUMMYFUNCTION("""COMPUTED_VALUE"""),"8")</f>
        <v>8</v>
      </c>
      <c r="K5048" s="6" t="str">
        <f>IFERROR(__xludf.DUMMYFUNCTION("""COMPUTED_VALUE"""),"christopher.walls@2hourlearning.com")</f>
        <v>christopher.walls@2hourlearning.com</v>
      </c>
      <c r="L5048" s="6" t="str">
        <f>IFERROR(__xludf.DUMMYFUNCTION("""COMPUTED_VALUE"""),"AFMS - Allendale Fairfax Middle School")</f>
        <v>AFMS - Allendale Fairfax Middle School</v>
      </c>
      <c r="M5048" s="6" t="str">
        <f>IFERROR(__xludf.DUMMYFUNCTION("""COMPUTED_VALUE"""),"")</f>
        <v/>
      </c>
      <c r="N5048" s="6" t="str">
        <f>IFERROR(__xludf.DUMMYFUNCTION("""COMPUTED_VALUE"""),"")</f>
        <v/>
      </c>
      <c r="O5048" s="87" t="str">
        <f>IFERROR(__xludf.DUMMYFUNCTION("""COMPUTED_VALUE"""),"https://drive.google.com/drive/folders/10T2cTQHqEJZqE-st6uFKPoI?usp=share_link")</f>
        <v>https://drive.google.com/drive/folders/10T2cTQHqEJZqE-st6uFKPoI?usp=share_link</v>
      </c>
      <c r="P5048" s="6" t="str">
        <f>IFERROR(__xludf.DUMMYFUNCTION("""COMPUTED_VALUE"""),"Christopher Walls")</f>
        <v>Christopher Walls</v>
      </c>
      <c r="Q5048" s="6" t="str">
        <f>IFERROR(__xludf.DUMMYFUNCTION("""COMPUTED_VALUE"""),"MS")</f>
        <v>MS</v>
      </c>
      <c r="R5048" s="6">
        <f>IFERROR(__xludf.DUMMYFUNCTION("""COMPUTED_VALUE"""),0.0)</f>
        <v>0</v>
      </c>
      <c r="S5048" s="6" t="str">
        <f>IFERROR(__xludf.DUMMYFUNCTION("""COMPUTED_VALUE"""),"Kimberly Ball")</f>
        <v>Kimberly Ball</v>
      </c>
      <c r="T5048" s="6" t="str">
        <f>IFERROR(__xludf.DUMMYFUNCTION("""COMPUTED_VALUE"""),"kimberly.ball@studient.com")</f>
        <v>kimberly.ball@studient.com</v>
      </c>
      <c r="U5048" s="6" t="str">
        <f>IFERROR(__xludf.DUMMYFUNCTION("""COMPUTED_VALUE"""),"8")</f>
        <v>8</v>
      </c>
      <c r="V5048" s="6" t="str">
        <f>IFERROR(__xludf.DUMMYFUNCTION("""COMPUTED_VALUE"""),"")</f>
        <v/>
      </c>
      <c r="W5048" s="6" t="str">
        <f>IFERROR(__xludf.DUMMYFUNCTION("""COMPUTED_VALUE"""),"[]")</f>
        <v>[]</v>
      </c>
      <c r="X5048" s="6" t="str">
        <f>IFERROR(__xludf.DUMMYFUNCTION("""COMPUTED_VALUE"""),"Enrolled")</f>
        <v>Enrolled</v>
      </c>
    </row>
    <row r="5049">
      <c r="A5049" s="6" t="str">
        <f>IFERROR(__xludf.DUMMYFUNCTION("""COMPUTED_VALUE"""),"085-12097")</f>
        <v>085-12097</v>
      </c>
      <c r="B5049" s="6" t="str">
        <f>IFERROR(__xludf.DUMMYFUNCTION("""COMPUTED_VALUE"""),"85")</f>
        <v>85</v>
      </c>
      <c r="C5049" s="6" t="str">
        <f>IFERROR(__xludf.DUMMYFUNCTION("""COMPUTED_VALUE"""),"12097")</f>
        <v>12097</v>
      </c>
      <c r="D5049" s="6" t="str">
        <f>IFERROR(__xludf.DUMMYFUNCTION("""COMPUTED_VALUE"""),"Ameria")</f>
        <v>Ameria</v>
      </c>
      <c r="E5049" s="6" t="str">
        <f>IFERROR(__xludf.DUMMYFUNCTION("""COMPUTED_VALUE"""),"")</f>
        <v/>
      </c>
      <c r="F5049" s="6" t="str">
        <f>IFERROR(__xludf.DUMMYFUNCTION("""COMPUTED_VALUE"""),"Williams")</f>
        <v>Williams</v>
      </c>
      <c r="G5049" s="6" t="str">
        <f>IFERROR(__xludf.DUMMYFUNCTION("""COMPUTED_VALUE"""),"07/06/2012")</f>
        <v>07/06/2012</v>
      </c>
      <c r="H5049" s="6" t="str">
        <f>IFERROR(__xludf.DUMMYFUNCTION("""COMPUTED_VALUE"""),"female")</f>
        <v>female</v>
      </c>
      <c r="I5049" s="6" t="str">
        <f>IFERROR(__xludf.DUMMYFUNCTION("""COMPUTED_VALUE"""),"Middle School")</f>
        <v>Middle School</v>
      </c>
      <c r="J5049" s="6" t="str">
        <f>IFERROR(__xludf.DUMMYFUNCTION("""COMPUTED_VALUE"""),"8")</f>
        <v>8</v>
      </c>
      <c r="K5049" s="6" t="str">
        <f>IFERROR(__xludf.DUMMYFUNCTION("""COMPUTED_VALUE"""),"ameria.williams@2hourlearning.com")</f>
        <v>ameria.williams@2hourlearning.com</v>
      </c>
      <c r="L5049" s="6" t="str">
        <f>IFERROR(__xludf.DUMMYFUNCTION("""COMPUTED_VALUE"""),"AFMS - Allendale Fairfax Middle School")</f>
        <v>AFMS - Allendale Fairfax Middle School</v>
      </c>
      <c r="M5049" s="6" t="str">
        <f>IFERROR(__xludf.DUMMYFUNCTION("""COMPUTED_VALUE"""),"")</f>
        <v/>
      </c>
      <c r="N5049" s="6" t="str">
        <f>IFERROR(__xludf.DUMMYFUNCTION("""COMPUTED_VALUE"""),"")</f>
        <v/>
      </c>
      <c r="O5049" s="87" t="str">
        <f>IFERROR(__xludf.DUMMYFUNCTION("""COMPUTED_VALUE"""),"https://drive.google.com/drive/folders/10T2cTQHqEJZqE-st6uFKPoI?usp=share_link")</f>
        <v>https://drive.google.com/drive/folders/10T2cTQHqEJZqE-st6uFKPoI?usp=share_link</v>
      </c>
      <c r="P5049" s="6" t="str">
        <f>IFERROR(__xludf.DUMMYFUNCTION("""COMPUTED_VALUE"""),"Ameria Williams")</f>
        <v>Ameria Williams</v>
      </c>
      <c r="Q5049" s="6" t="str">
        <f>IFERROR(__xludf.DUMMYFUNCTION("""COMPUTED_VALUE"""),"MS")</f>
        <v>MS</v>
      </c>
      <c r="R5049" s="6">
        <f>IFERROR(__xludf.DUMMYFUNCTION("""COMPUTED_VALUE"""),0.0)</f>
        <v>0</v>
      </c>
      <c r="S5049" s="6" t="str">
        <f>IFERROR(__xludf.DUMMYFUNCTION("""COMPUTED_VALUE"""),"Kimberly Ball")</f>
        <v>Kimberly Ball</v>
      </c>
      <c r="T5049" s="6" t="str">
        <f>IFERROR(__xludf.DUMMYFUNCTION("""COMPUTED_VALUE"""),"kimberly.ball@studient.com")</f>
        <v>kimberly.ball@studient.com</v>
      </c>
      <c r="U5049" s="6" t="str">
        <f>IFERROR(__xludf.DUMMYFUNCTION("""COMPUTED_VALUE"""),"8")</f>
        <v>8</v>
      </c>
      <c r="V5049" s="6" t="str">
        <f>IFERROR(__xludf.DUMMYFUNCTION("""COMPUTED_VALUE"""),"")</f>
        <v/>
      </c>
      <c r="W5049" s="6" t="str">
        <f>IFERROR(__xludf.DUMMYFUNCTION("""COMPUTED_VALUE"""),"[]")</f>
        <v>[]</v>
      </c>
      <c r="X5049" s="6" t="str">
        <f>IFERROR(__xludf.DUMMYFUNCTION("""COMPUTED_VALUE"""),"Enrolled")</f>
        <v>Enrolled</v>
      </c>
    </row>
    <row r="5050">
      <c r="A5050" s="6" t="str">
        <f>IFERROR(__xludf.DUMMYFUNCTION("""COMPUTED_VALUE"""),"085-12099")</f>
        <v>085-12099</v>
      </c>
      <c r="B5050" s="6" t="str">
        <f>IFERROR(__xludf.DUMMYFUNCTION("""COMPUTED_VALUE"""),"85")</f>
        <v>85</v>
      </c>
      <c r="C5050" s="6" t="str">
        <f>IFERROR(__xludf.DUMMYFUNCTION("""COMPUTED_VALUE"""),"12099")</f>
        <v>12099</v>
      </c>
      <c r="D5050" s="6" t="str">
        <f>IFERROR(__xludf.DUMMYFUNCTION("""COMPUTED_VALUE"""),"Jayda")</f>
        <v>Jayda</v>
      </c>
      <c r="E5050" s="6" t="str">
        <f>IFERROR(__xludf.DUMMYFUNCTION("""COMPUTED_VALUE"""),"")</f>
        <v/>
      </c>
      <c r="F5050" s="6" t="str">
        <f>IFERROR(__xludf.DUMMYFUNCTION("""COMPUTED_VALUE"""),"Wright")</f>
        <v>Wright</v>
      </c>
      <c r="G5050" s="6" t="str">
        <f>IFERROR(__xludf.DUMMYFUNCTION("""COMPUTED_VALUE"""),"11/22/2010")</f>
        <v>11/22/2010</v>
      </c>
      <c r="H5050" s="6" t="str">
        <f>IFERROR(__xludf.DUMMYFUNCTION("""COMPUTED_VALUE"""),"female")</f>
        <v>female</v>
      </c>
      <c r="I5050" s="6" t="str">
        <f>IFERROR(__xludf.DUMMYFUNCTION("""COMPUTED_VALUE"""),"Middle School")</f>
        <v>Middle School</v>
      </c>
      <c r="J5050" s="6" t="str">
        <f>IFERROR(__xludf.DUMMYFUNCTION("""COMPUTED_VALUE"""),"8")</f>
        <v>8</v>
      </c>
      <c r="K5050" s="6" t="str">
        <f>IFERROR(__xludf.DUMMYFUNCTION("""COMPUTED_VALUE"""),"jayda.wright@2hourlearning.com")</f>
        <v>jayda.wright@2hourlearning.com</v>
      </c>
      <c r="L5050" s="6" t="str">
        <f>IFERROR(__xludf.DUMMYFUNCTION("""COMPUTED_VALUE"""),"AFMS - Allendale Fairfax Middle School")</f>
        <v>AFMS - Allendale Fairfax Middle School</v>
      </c>
      <c r="M5050" s="6" t="str">
        <f>IFERROR(__xludf.DUMMYFUNCTION("""COMPUTED_VALUE"""),"")</f>
        <v/>
      </c>
      <c r="N5050" s="6" t="str">
        <f>IFERROR(__xludf.DUMMYFUNCTION("""COMPUTED_VALUE"""),"")</f>
        <v/>
      </c>
      <c r="O5050" s="87" t="str">
        <f>IFERROR(__xludf.DUMMYFUNCTION("""COMPUTED_VALUE"""),"https://drive.google.com/drive/folders/10T2cTQHqEJZqE-st6uFKPoI?usp=share_link")</f>
        <v>https://drive.google.com/drive/folders/10T2cTQHqEJZqE-st6uFKPoI?usp=share_link</v>
      </c>
      <c r="P5050" s="6" t="str">
        <f>IFERROR(__xludf.DUMMYFUNCTION("""COMPUTED_VALUE"""),"Jayda Wright")</f>
        <v>Jayda Wright</v>
      </c>
      <c r="Q5050" s="6" t="str">
        <f>IFERROR(__xludf.DUMMYFUNCTION("""COMPUTED_VALUE"""),"MS")</f>
        <v>MS</v>
      </c>
      <c r="R5050" s="6">
        <f>IFERROR(__xludf.DUMMYFUNCTION("""COMPUTED_VALUE"""),0.0)</f>
        <v>0</v>
      </c>
      <c r="S5050" s="6" t="str">
        <f>IFERROR(__xludf.DUMMYFUNCTION("""COMPUTED_VALUE"""),"Kimberly Ball")</f>
        <v>Kimberly Ball</v>
      </c>
      <c r="T5050" s="6" t="str">
        <f>IFERROR(__xludf.DUMMYFUNCTION("""COMPUTED_VALUE"""),"kimberly.ball@studient.com")</f>
        <v>kimberly.ball@studient.com</v>
      </c>
      <c r="U5050" s="6" t="str">
        <f>IFERROR(__xludf.DUMMYFUNCTION("""COMPUTED_VALUE"""),"8")</f>
        <v>8</v>
      </c>
      <c r="V5050" s="6" t="str">
        <f>IFERROR(__xludf.DUMMYFUNCTION("""COMPUTED_VALUE"""),"")</f>
        <v/>
      </c>
      <c r="W5050" s="6" t="str">
        <f>IFERROR(__xludf.DUMMYFUNCTION("""COMPUTED_VALUE"""),"[]")</f>
        <v>[]</v>
      </c>
      <c r="X5050" s="6" t="str">
        <f>IFERROR(__xludf.DUMMYFUNCTION("""COMPUTED_VALUE"""),"Enrolled")</f>
        <v>Enrolled</v>
      </c>
    </row>
    <row r="5051">
      <c r="A5051" s="6" t="str">
        <f>IFERROR(__xludf.DUMMYFUNCTION("""COMPUTED_VALUE"""),"086-12442")</f>
        <v>086-12442</v>
      </c>
      <c r="B5051" s="6" t="str">
        <f>IFERROR(__xludf.DUMMYFUNCTION("""COMPUTED_VALUE"""),"86")</f>
        <v>86</v>
      </c>
      <c r="C5051" s="6" t="str">
        <f>IFERROR(__xludf.DUMMYFUNCTION("""COMPUTED_VALUE"""),"12442")</f>
        <v>12442</v>
      </c>
      <c r="D5051" s="6" t="str">
        <f>IFERROR(__xludf.DUMMYFUNCTION("""COMPUTED_VALUE"""),"Xavier")</f>
        <v>Xavier</v>
      </c>
      <c r="E5051" s="6" t="str">
        <f>IFERROR(__xludf.DUMMYFUNCTION("""COMPUTED_VALUE"""),"")</f>
        <v/>
      </c>
      <c r="F5051" s="6" t="str">
        <f>IFERROR(__xludf.DUMMYFUNCTION("""COMPUTED_VALUE"""),"Adame-Huerta")</f>
        <v>Adame-Huerta</v>
      </c>
      <c r="G5051" s="6" t="str">
        <f>IFERROR(__xludf.DUMMYFUNCTION("""COMPUTED_VALUE"""),"11/23/2017")</f>
        <v>11/23/2017</v>
      </c>
      <c r="H5051" s="6" t="str">
        <f>IFERROR(__xludf.DUMMYFUNCTION("""COMPUTED_VALUE"""),"female")</f>
        <v>female</v>
      </c>
      <c r="I5051" s="6" t="str">
        <f>IFERROR(__xludf.DUMMYFUNCTION("""COMPUTED_VALUE"""),"Level 1")</f>
        <v>Level 1</v>
      </c>
      <c r="J5051" s="6" t="str">
        <f>IFERROR(__xludf.DUMMYFUNCTION("""COMPUTED_VALUE"""),"2")</f>
        <v>2</v>
      </c>
      <c r="K5051" s="6" t="str">
        <f>IFERROR(__xludf.DUMMYFUNCTION("""COMPUTED_VALUE"""),"xavier.adame-huerta@2hourlearning.com")</f>
        <v>xavier.adame-huerta@2hourlearning.com</v>
      </c>
      <c r="L5051" s="6" t="str">
        <f>IFERROR(__xludf.DUMMYFUNCTION("""COMPUTED_VALUE"""),"JRES - Ridgeland Elementary School")</f>
        <v>JRES - Ridgeland Elementary School</v>
      </c>
      <c r="M5051" s="6" t="str">
        <f>IFERROR(__xludf.DUMMYFUNCTION("""COMPUTED_VALUE"""),"")</f>
        <v/>
      </c>
      <c r="N5051" s="6" t="str">
        <f>IFERROR(__xludf.DUMMYFUNCTION("""COMPUTED_VALUE"""),"")</f>
        <v/>
      </c>
      <c r="O5051" s="87" t="str">
        <f>IFERROR(__xludf.DUMMYFUNCTION("""COMPUTED_VALUE"""),"https://drive.google.com/drive/folders/10T2cTQHqEJZqE-st6uFKPoI?usp=share_link")</f>
        <v>https://drive.google.com/drive/folders/10T2cTQHqEJZqE-st6uFKPoI?usp=share_link</v>
      </c>
      <c r="P5051" s="6" t="str">
        <f>IFERROR(__xludf.DUMMYFUNCTION("""COMPUTED_VALUE"""),"Xavier Adame-Huerta")</f>
        <v>Xavier Adame-Huerta</v>
      </c>
      <c r="Q5051" s="6" t="str">
        <f>IFERROR(__xludf.DUMMYFUNCTION("""COMPUTED_VALUE"""),"L1")</f>
        <v>L1</v>
      </c>
      <c r="R5051" s="6">
        <f>IFERROR(__xludf.DUMMYFUNCTION("""COMPUTED_VALUE"""),1.0)</f>
        <v>1</v>
      </c>
      <c r="S5051" s="6" t="str">
        <f>IFERROR(__xludf.DUMMYFUNCTION("""COMPUTED_VALUE"""),"Kimberly Ball")</f>
        <v>Kimberly Ball</v>
      </c>
      <c r="T5051" s="6" t="str">
        <f>IFERROR(__xludf.DUMMYFUNCTION("""COMPUTED_VALUE"""),"kimberly.ball@studient.com")</f>
        <v>kimberly.ball@studient.com</v>
      </c>
      <c r="U5051" s="6" t="str">
        <f>IFERROR(__xludf.DUMMYFUNCTION("""COMPUTED_VALUE"""),"2")</f>
        <v>2</v>
      </c>
      <c r="V5051" s="6" t="str">
        <f>IFERROR(__xludf.DUMMYFUNCTION("""COMPUTED_VALUE"""),"")</f>
        <v/>
      </c>
      <c r="W5051" s="6" t="str">
        <f>IFERROR(__xludf.DUMMYFUNCTION("""COMPUTED_VALUE"""),"[]")</f>
        <v>[]</v>
      </c>
      <c r="X5051" s="6" t="str">
        <f>IFERROR(__xludf.DUMMYFUNCTION("""COMPUTED_VALUE"""),"Enrolled")</f>
        <v>Enrolled</v>
      </c>
    </row>
    <row r="5052">
      <c r="A5052" s="6" t="str">
        <f>IFERROR(__xludf.DUMMYFUNCTION("""COMPUTED_VALUE"""),"086-12443")</f>
        <v>086-12443</v>
      </c>
      <c r="B5052" s="6" t="str">
        <f>IFERROR(__xludf.DUMMYFUNCTION("""COMPUTED_VALUE"""),"86")</f>
        <v>86</v>
      </c>
      <c r="C5052" s="6" t="str">
        <f>IFERROR(__xludf.DUMMYFUNCTION("""COMPUTED_VALUE"""),"12443")</f>
        <v>12443</v>
      </c>
      <c r="D5052" s="6" t="str">
        <f>IFERROR(__xludf.DUMMYFUNCTION("""COMPUTED_VALUE"""),"D'Marius")</f>
        <v>D'Marius</v>
      </c>
      <c r="E5052" s="6" t="str">
        <f>IFERROR(__xludf.DUMMYFUNCTION("""COMPUTED_VALUE"""),"")</f>
        <v/>
      </c>
      <c r="F5052" s="6" t="str">
        <f>IFERROR(__xludf.DUMMYFUNCTION("""COMPUTED_VALUE"""),"Aiken")</f>
        <v>Aiken</v>
      </c>
      <c r="G5052" s="6" t="str">
        <f>IFERROR(__xludf.DUMMYFUNCTION("""COMPUTED_VALUE"""),"03/26/2017")</f>
        <v>03/26/2017</v>
      </c>
      <c r="H5052" s="6" t="str">
        <f>IFERROR(__xludf.DUMMYFUNCTION("""COMPUTED_VALUE"""),"female")</f>
        <v>female</v>
      </c>
      <c r="I5052" s="6" t="str">
        <f>IFERROR(__xludf.DUMMYFUNCTION("""COMPUTED_VALUE"""),"Level 1")</f>
        <v>Level 1</v>
      </c>
      <c r="J5052" s="6" t="str">
        <f>IFERROR(__xludf.DUMMYFUNCTION("""COMPUTED_VALUE"""),"2")</f>
        <v>2</v>
      </c>
      <c r="K5052" s="6" t="str">
        <f>IFERROR(__xludf.DUMMYFUNCTION("""COMPUTED_VALUE"""),"dmarius.aiken@2hourlearning.com")</f>
        <v>dmarius.aiken@2hourlearning.com</v>
      </c>
      <c r="L5052" s="6" t="str">
        <f>IFERROR(__xludf.DUMMYFUNCTION("""COMPUTED_VALUE"""),"JRES - Ridgeland Elementary School")</f>
        <v>JRES - Ridgeland Elementary School</v>
      </c>
      <c r="M5052" s="6" t="str">
        <f>IFERROR(__xludf.DUMMYFUNCTION("""COMPUTED_VALUE"""),"")</f>
        <v/>
      </c>
      <c r="N5052" s="6" t="str">
        <f>IFERROR(__xludf.DUMMYFUNCTION("""COMPUTED_VALUE"""),"")</f>
        <v/>
      </c>
      <c r="O5052" s="87" t="str">
        <f>IFERROR(__xludf.DUMMYFUNCTION("""COMPUTED_VALUE"""),"https://drive.google.com/drive/folders/10T2cTQHqEJZqE-st6uFKPoI?usp=share_link")</f>
        <v>https://drive.google.com/drive/folders/10T2cTQHqEJZqE-st6uFKPoI?usp=share_link</v>
      </c>
      <c r="P5052" s="6" t="str">
        <f>IFERROR(__xludf.DUMMYFUNCTION("""COMPUTED_VALUE"""),"D'Marius Aiken")</f>
        <v>D'Marius Aiken</v>
      </c>
      <c r="Q5052" s="6" t="str">
        <f>IFERROR(__xludf.DUMMYFUNCTION("""COMPUTED_VALUE"""),"L1")</f>
        <v>L1</v>
      </c>
      <c r="R5052" s="6">
        <f>IFERROR(__xludf.DUMMYFUNCTION("""COMPUTED_VALUE"""),1.0)</f>
        <v>1</v>
      </c>
      <c r="S5052" s="6" t="str">
        <f>IFERROR(__xludf.DUMMYFUNCTION("""COMPUTED_VALUE"""),"Kimberly Ball")</f>
        <v>Kimberly Ball</v>
      </c>
      <c r="T5052" s="6" t="str">
        <f>IFERROR(__xludf.DUMMYFUNCTION("""COMPUTED_VALUE"""),"kimberly.ball@studient.com")</f>
        <v>kimberly.ball@studient.com</v>
      </c>
      <c r="U5052" s="6" t="str">
        <f>IFERROR(__xludf.DUMMYFUNCTION("""COMPUTED_VALUE"""),"2")</f>
        <v>2</v>
      </c>
      <c r="V5052" s="6" t="str">
        <f>IFERROR(__xludf.DUMMYFUNCTION("""COMPUTED_VALUE"""),"")</f>
        <v/>
      </c>
      <c r="W5052" s="6" t="str">
        <f>IFERROR(__xludf.DUMMYFUNCTION("""COMPUTED_VALUE"""),"[]")</f>
        <v>[]</v>
      </c>
      <c r="X5052" s="6" t="str">
        <f>IFERROR(__xludf.DUMMYFUNCTION("""COMPUTED_VALUE"""),"Enrolled")</f>
        <v>Enrolled</v>
      </c>
    </row>
    <row r="5053">
      <c r="A5053" s="6" t="str">
        <f>IFERROR(__xludf.DUMMYFUNCTION("""COMPUTED_VALUE"""),"086-12444")</f>
        <v>086-12444</v>
      </c>
      <c r="B5053" s="6" t="str">
        <f>IFERROR(__xludf.DUMMYFUNCTION("""COMPUTED_VALUE"""),"86")</f>
        <v>86</v>
      </c>
      <c r="C5053" s="6" t="str">
        <f>IFERROR(__xludf.DUMMYFUNCTION("""COMPUTED_VALUE"""),"12444")</f>
        <v>12444</v>
      </c>
      <c r="D5053" s="6" t="str">
        <f>IFERROR(__xludf.DUMMYFUNCTION("""COMPUTED_VALUE"""),"Esteban")</f>
        <v>Esteban</v>
      </c>
      <c r="E5053" s="6" t="str">
        <f>IFERROR(__xludf.DUMMYFUNCTION("""COMPUTED_VALUE"""),"")</f>
        <v/>
      </c>
      <c r="F5053" s="6" t="str">
        <f>IFERROR(__xludf.DUMMYFUNCTION("""COMPUTED_VALUE"""),"Amador Perez")</f>
        <v>Amador Perez</v>
      </c>
      <c r="G5053" s="6" t="str">
        <f>IFERROR(__xludf.DUMMYFUNCTION("""COMPUTED_VALUE"""),"02/28/2014")</f>
        <v>02/28/2014</v>
      </c>
      <c r="H5053" s="6" t="str">
        <f>IFERROR(__xludf.DUMMYFUNCTION("""COMPUTED_VALUE"""),"male")</f>
        <v>male</v>
      </c>
      <c r="I5053" s="6" t="str">
        <f>IFERROR(__xludf.DUMMYFUNCTION("""COMPUTED_VALUE"""),"Level 1")</f>
        <v>Level 1</v>
      </c>
      <c r="J5053" s="6" t="str">
        <f>IFERROR(__xludf.DUMMYFUNCTION("""COMPUTED_VALUE"""),"2")</f>
        <v>2</v>
      </c>
      <c r="K5053" s="6" t="str">
        <f>IFERROR(__xludf.DUMMYFUNCTION("""COMPUTED_VALUE"""),"esteban.amadorperez@2hourlearning.com")</f>
        <v>esteban.amadorperez@2hourlearning.com</v>
      </c>
      <c r="L5053" s="6" t="str">
        <f>IFERROR(__xludf.DUMMYFUNCTION("""COMPUTED_VALUE"""),"JRES - Ridgeland Elementary School")</f>
        <v>JRES - Ridgeland Elementary School</v>
      </c>
      <c r="M5053" s="6" t="str">
        <f>IFERROR(__xludf.DUMMYFUNCTION("""COMPUTED_VALUE"""),"")</f>
        <v/>
      </c>
      <c r="N5053" s="6" t="str">
        <f>IFERROR(__xludf.DUMMYFUNCTION("""COMPUTED_VALUE"""),"")</f>
        <v/>
      </c>
      <c r="O5053" s="87" t="str">
        <f>IFERROR(__xludf.DUMMYFUNCTION("""COMPUTED_VALUE"""),"https://drive.google.com/drive/folders/10T2cTQHqEJZqE-st6uFKPoI?usp=share_link")</f>
        <v>https://drive.google.com/drive/folders/10T2cTQHqEJZqE-st6uFKPoI?usp=share_link</v>
      </c>
      <c r="P5053" s="6" t="str">
        <f>IFERROR(__xludf.DUMMYFUNCTION("""COMPUTED_VALUE"""),"Esteban Amador Perez")</f>
        <v>Esteban Amador Perez</v>
      </c>
      <c r="Q5053" s="6" t="str">
        <f>IFERROR(__xludf.DUMMYFUNCTION("""COMPUTED_VALUE"""),"L1")</f>
        <v>L1</v>
      </c>
      <c r="R5053" s="6">
        <f>IFERROR(__xludf.DUMMYFUNCTION("""COMPUTED_VALUE"""),1.0)</f>
        <v>1</v>
      </c>
      <c r="S5053" s="6" t="str">
        <f>IFERROR(__xludf.DUMMYFUNCTION("""COMPUTED_VALUE"""),"Kimberly Ball")</f>
        <v>Kimberly Ball</v>
      </c>
      <c r="T5053" s="6" t="str">
        <f>IFERROR(__xludf.DUMMYFUNCTION("""COMPUTED_VALUE"""),"kimberly.ball@studient.com")</f>
        <v>kimberly.ball@studient.com</v>
      </c>
      <c r="U5053" s="6" t="str">
        <f>IFERROR(__xludf.DUMMYFUNCTION("""COMPUTED_VALUE"""),"2")</f>
        <v>2</v>
      </c>
      <c r="V5053" s="6" t="str">
        <f>IFERROR(__xludf.DUMMYFUNCTION("""COMPUTED_VALUE"""),"")</f>
        <v/>
      </c>
      <c r="W5053" s="6" t="str">
        <f>IFERROR(__xludf.DUMMYFUNCTION("""COMPUTED_VALUE"""),"[]")</f>
        <v>[]</v>
      </c>
      <c r="X5053" s="6" t="str">
        <f>IFERROR(__xludf.DUMMYFUNCTION("""COMPUTED_VALUE"""),"Enrolled")</f>
        <v>Enrolled</v>
      </c>
    </row>
    <row r="5054">
      <c r="A5054" s="6" t="str">
        <f>IFERROR(__xludf.DUMMYFUNCTION("""COMPUTED_VALUE"""),"086-12445")</f>
        <v>086-12445</v>
      </c>
      <c r="B5054" s="6" t="str">
        <f>IFERROR(__xludf.DUMMYFUNCTION("""COMPUTED_VALUE"""),"86")</f>
        <v>86</v>
      </c>
      <c r="C5054" s="6" t="str">
        <f>IFERROR(__xludf.DUMMYFUNCTION("""COMPUTED_VALUE"""),"12445")</f>
        <v>12445</v>
      </c>
      <c r="D5054" s="6" t="str">
        <f>IFERROR(__xludf.DUMMYFUNCTION("""COMPUTED_VALUE"""),"Malik")</f>
        <v>Malik</v>
      </c>
      <c r="E5054" s="6" t="str">
        <f>IFERROR(__xludf.DUMMYFUNCTION("""COMPUTED_VALUE"""),"")</f>
        <v/>
      </c>
      <c r="F5054" s="6" t="str">
        <f>IFERROR(__xludf.DUMMYFUNCTION("""COMPUTED_VALUE"""),"Anderson")</f>
        <v>Anderson</v>
      </c>
      <c r="G5054" s="6" t="str">
        <f>IFERROR(__xludf.DUMMYFUNCTION("""COMPUTED_VALUE"""),"01/21/2015")</f>
        <v>01/21/2015</v>
      </c>
      <c r="H5054" s="6" t="str">
        <f>IFERROR(__xludf.DUMMYFUNCTION("""COMPUTED_VALUE"""),"female")</f>
        <v>female</v>
      </c>
      <c r="I5054" s="6" t="str">
        <f>IFERROR(__xludf.DUMMYFUNCTION("""COMPUTED_VALUE"""),"Level 1")</f>
        <v>Level 1</v>
      </c>
      <c r="J5054" s="6" t="str">
        <f>IFERROR(__xludf.DUMMYFUNCTION("""COMPUTED_VALUE"""),"2")</f>
        <v>2</v>
      </c>
      <c r="K5054" s="6" t="str">
        <f>IFERROR(__xludf.DUMMYFUNCTION("""COMPUTED_VALUE"""),"malik.anderson@2hourlearning.com")</f>
        <v>malik.anderson@2hourlearning.com</v>
      </c>
      <c r="L5054" s="6" t="str">
        <f>IFERROR(__xludf.DUMMYFUNCTION("""COMPUTED_VALUE"""),"JRES - Ridgeland Elementary School")</f>
        <v>JRES - Ridgeland Elementary School</v>
      </c>
      <c r="M5054" s="6" t="str">
        <f>IFERROR(__xludf.DUMMYFUNCTION("""COMPUTED_VALUE"""),"")</f>
        <v/>
      </c>
      <c r="N5054" s="6" t="str">
        <f>IFERROR(__xludf.DUMMYFUNCTION("""COMPUTED_VALUE"""),"")</f>
        <v/>
      </c>
      <c r="O5054" s="87" t="str">
        <f>IFERROR(__xludf.DUMMYFUNCTION("""COMPUTED_VALUE"""),"https://drive.google.com/drive/folders/10T2cTQHqEJZqE-st6uFKPoI?usp=share_link")</f>
        <v>https://drive.google.com/drive/folders/10T2cTQHqEJZqE-st6uFKPoI?usp=share_link</v>
      </c>
      <c r="P5054" s="6" t="str">
        <f>IFERROR(__xludf.DUMMYFUNCTION("""COMPUTED_VALUE"""),"Malik Anderson")</f>
        <v>Malik Anderson</v>
      </c>
      <c r="Q5054" s="6" t="str">
        <f>IFERROR(__xludf.DUMMYFUNCTION("""COMPUTED_VALUE"""),"L1")</f>
        <v>L1</v>
      </c>
      <c r="R5054" s="6">
        <f>IFERROR(__xludf.DUMMYFUNCTION("""COMPUTED_VALUE"""),1.0)</f>
        <v>1</v>
      </c>
      <c r="S5054" s="6" t="str">
        <f>IFERROR(__xludf.DUMMYFUNCTION("""COMPUTED_VALUE"""),"Kimberly Ball")</f>
        <v>Kimberly Ball</v>
      </c>
      <c r="T5054" s="6" t="str">
        <f>IFERROR(__xludf.DUMMYFUNCTION("""COMPUTED_VALUE"""),"kimberly.ball@studient.com")</f>
        <v>kimberly.ball@studient.com</v>
      </c>
      <c r="U5054" s="6" t="str">
        <f>IFERROR(__xludf.DUMMYFUNCTION("""COMPUTED_VALUE"""),"2")</f>
        <v>2</v>
      </c>
      <c r="V5054" s="6" t="str">
        <f>IFERROR(__xludf.DUMMYFUNCTION("""COMPUTED_VALUE"""),"")</f>
        <v/>
      </c>
      <c r="W5054" s="6" t="str">
        <f>IFERROR(__xludf.DUMMYFUNCTION("""COMPUTED_VALUE"""),"[]")</f>
        <v>[]</v>
      </c>
      <c r="X5054" s="6" t="str">
        <f>IFERROR(__xludf.DUMMYFUNCTION("""COMPUTED_VALUE"""),"Enrolled")</f>
        <v>Enrolled</v>
      </c>
    </row>
    <row r="5055">
      <c r="A5055" s="6" t="str">
        <f>IFERROR(__xludf.DUMMYFUNCTION("""COMPUTED_VALUE"""),"086-12446")</f>
        <v>086-12446</v>
      </c>
      <c r="B5055" s="6" t="str">
        <f>IFERROR(__xludf.DUMMYFUNCTION("""COMPUTED_VALUE"""),"86")</f>
        <v>86</v>
      </c>
      <c r="C5055" s="6" t="str">
        <f>IFERROR(__xludf.DUMMYFUNCTION("""COMPUTED_VALUE"""),"12446")</f>
        <v>12446</v>
      </c>
      <c r="D5055" s="6" t="str">
        <f>IFERROR(__xludf.DUMMYFUNCTION("""COMPUTED_VALUE"""),"Makayla")</f>
        <v>Makayla</v>
      </c>
      <c r="E5055" s="6" t="str">
        <f>IFERROR(__xludf.DUMMYFUNCTION("""COMPUTED_VALUE"""),"")</f>
        <v/>
      </c>
      <c r="F5055" s="6" t="str">
        <f>IFERROR(__xludf.DUMMYFUNCTION("""COMPUTED_VALUE"""),"Badarou")</f>
        <v>Badarou</v>
      </c>
      <c r="G5055" s="6" t="str">
        <f>IFERROR(__xludf.DUMMYFUNCTION("""COMPUTED_VALUE"""),"11/03/2014")</f>
        <v>11/03/2014</v>
      </c>
      <c r="H5055" s="6" t="str">
        <f>IFERROR(__xludf.DUMMYFUNCTION("""COMPUTED_VALUE"""),"female")</f>
        <v>female</v>
      </c>
      <c r="I5055" s="6" t="str">
        <f>IFERROR(__xludf.DUMMYFUNCTION("""COMPUTED_VALUE"""),"Level 1")</f>
        <v>Level 1</v>
      </c>
      <c r="J5055" s="6" t="str">
        <f>IFERROR(__xludf.DUMMYFUNCTION("""COMPUTED_VALUE"""),"2")</f>
        <v>2</v>
      </c>
      <c r="K5055" s="6" t="str">
        <f>IFERROR(__xludf.DUMMYFUNCTION("""COMPUTED_VALUE"""),"makayla.badarou@2hourlearning.com")</f>
        <v>makayla.badarou@2hourlearning.com</v>
      </c>
      <c r="L5055" s="6" t="str">
        <f>IFERROR(__xludf.DUMMYFUNCTION("""COMPUTED_VALUE"""),"JRES - Ridgeland Elementary School")</f>
        <v>JRES - Ridgeland Elementary School</v>
      </c>
      <c r="M5055" s="6" t="str">
        <f>IFERROR(__xludf.DUMMYFUNCTION("""COMPUTED_VALUE"""),"")</f>
        <v/>
      </c>
      <c r="N5055" s="6" t="str">
        <f>IFERROR(__xludf.DUMMYFUNCTION("""COMPUTED_VALUE"""),"")</f>
        <v/>
      </c>
      <c r="O5055" s="87" t="str">
        <f>IFERROR(__xludf.DUMMYFUNCTION("""COMPUTED_VALUE"""),"https://drive.google.com/drive/folders/10T2cTQHqEJZqE-st6uFKPoI?usp=share_link")</f>
        <v>https://drive.google.com/drive/folders/10T2cTQHqEJZqE-st6uFKPoI?usp=share_link</v>
      </c>
      <c r="P5055" s="6" t="str">
        <f>IFERROR(__xludf.DUMMYFUNCTION("""COMPUTED_VALUE"""),"Makayla Badarou")</f>
        <v>Makayla Badarou</v>
      </c>
      <c r="Q5055" s="6" t="str">
        <f>IFERROR(__xludf.DUMMYFUNCTION("""COMPUTED_VALUE"""),"L1")</f>
        <v>L1</v>
      </c>
      <c r="R5055" s="6">
        <f>IFERROR(__xludf.DUMMYFUNCTION("""COMPUTED_VALUE"""),1.0)</f>
        <v>1</v>
      </c>
      <c r="S5055" s="6" t="str">
        <f>IFERROR(__xludf.DUMMYFUNCTION("""COMPUTED_VALUE"""),"Kimberly Ball")</f>
        <v>Kimberly Ball</v>
      </c>
      <c r="T5055" s="6" t="str">
        <f>IFERROR(__xludf.DUMMYFUNCTION("""COMPUTED_VALUE"""),"kimberly.ball@studient.com")</f>
        <v>kimberly.ball@studient.com</v>
      </c>
      <c r="U5055" s="6" t="str">
        <f>IFERROR(__xludf.DUMMYFUNCTION("""COMPUTED_VALUE"""),"2")</f>
        <v>2</v>
      </c>
      <c r="V5055" s="6" t="str">
        <f>IFERROR(__xludf.DUMMYFUNCTION("""COMPUTED_VALUE"""),"")</f>
        <v/>
      </c>
      <c r="W5055" s="6" t="str">
        <f>IFERROR(__xludf.DUMMYFUNCTION("""COMPUTED_VALUE"""),"[]")</f>
        <v>[]</v>
      </c>
      <c r="X5055" s="6" t="str">
        <f>IFERROR(__xludf.DUMMYFUNCTION("""COMPUTED_VALUE"""),"Enrolled")</f>
        <v>Enrolled</v>
      </c>
    </row>
    <row r="5056">
      <c r="A5056" s="6" t="str">
        <f>IFERROR(__xludf.DUMMYFUNCTION("""COMPUTED_VALUE"""),"086-12447")</f>
        <v>086-12447</v>
      </c>
      <c r="B5056" s="6" t="str">
        <f>IFERROR(__xludf.DUMMYFUNCTION("""COMPUTED_VALUE"""),"86")</f>
        <v>86</v>
      </c>
      <c r="C5056" s="6" t="str">
        <f>IFERROR(__xludf.DUMMYFUNCTION("""COMPUTED_VALUE"""),"12447")</f>
        <v>12447</v>
      </c>
      <c r="D5056" s="6" t="str">
        <f>IFERROR(__xludf.DUMMYFUNCTION("""COMPUTED_VALUE"""),"Pey'Ane")</f>
        <v>Pey'Ane</v>
      </c>
      <c r="E5056" s="6" t="str">
        <f>IFERROR(__xludf.DUMMYFUNCTION("""COMPUTED_VALUE"""),"")</f>
        <v/>
      </c>
      <c r="F5056" s="6" t="str">
        <f>IFERROR(__xludf.DUMMYFUNCTION("""COMPUTED_VALUE"""),"Beaton")</f>
        <v>Beaton</v>
      </c>
      <c r="G5056" s="6" t="str">
        <f>IFERROR(__xludf.DUMMYFUNCTION("""COMPUTED_VALUE"""),"02/05/2016")</f>
        <v>02/05/2016</v>
      </c>
      <c r="H5056" s="6" t="str">
        <f>IFERROR(__xludf.DUMMYFUNCTION("""COMPUTED_VALUE"""),"female")</f>
        <v>female</v>
      </c>
      <c r="I5056" s="6" t="str">
        <f>IFERROR(__xludf.DUMMYFUNCTION("""COMPUTED_VALUE"""),"Level 1")</f>
        <v>Level 1</v>
      </c>
      <c r="J5056" s="6" t="str">
        <f>IFERROR(__xludf.DUMMYFUNCTION("""COMPUTED_VALUE"""),"2")</f>
        <v>2</v>
      </c>
      <c r="K5056" s="6" t="str">
        <f>IFERROR(__xludf.DUMMYFUNCTION("""COMPUTED_VALUE"""),"peyane.beaton@2hourlearning.com")</f>
        <v>peyane.beaton@2hourlearning.com</v>
      </c>
      <c r="L5056" s="6" t="str">
        <f>IFERROR(__xludf.DUMMYFUNCTION("""COMPUTED_VALUE"""),"JRES - Ridgeland Elementary School")</f>
        <v>JRES - Ridgeland Elementary School</v>
      </c>
      <c r="M5056" s="6" t="str">
        <f>IFERROR(__xludf.DUMMYFUNCTION("""COMPUTED_VALUE"""),"")</f>
        <v/>
      </c>
      <c r="N5056" s="6" t="str">
        <f>IFERROR(__xludf.DUMMYFUNCTION("""COMPUTED_VALUE"""),"")</f>
        <v/>
      </c>
      <c r="O5056" s="87" t="str">
        <f>IFERROR(__xludf.DUMMYFUNCTION("""COMPUTED_VALUE"""),"https://drive.google.com/drive/folders/10T2cTQHqEJZqE-st6uFKPoI?usp=share_link")</f>
        <v>https://drive.google.com/drive/folders/10T2cTQHqEJZqE-st6uFKPoI?usp=share_link</v>
      </c>
      <c r="P5056" s="6" t="str">
        <f>IFERROR(__xludf.DUMMYFUNCTION("""COMPUTED_VALUE"""),"Pey'Ane Beaton")</f>
        <v>Pey'Ane Beaton</v>
      </c>
      <c r="Q5056" s="6" t="str">
        <f>IFERROR(__xludf.DUMMYFUNCTION("""COMPUTED_VALUE"""),"L1")</f>
        <v>L1</v>
      </c>
      <c r="R5056" s="6">
        <f>IFERROR(__xludf.DUMMYFUNCTION("""COMPUTED_VALUE"""),1.0)</f>
        <v>1</v>
      </c>
      <c r="S5056" s="6" t="str">
        <f>IFERROR(__xludf.DUMMYFUNCTION("""COMPUTED_VALUE"""),"Kimberly Ball")</f>
        <v>Kimberly Ball</v>
      </c>
      <c r="T5056" s="6" t="str">
        <f>IFERROR(__xludf.DUMMYFUNCTION("""COMPUTED_VALUE"""),"kimberly.ball@studient.com")</f>
        <v>kimberly.ball@studient.com</v>
      </c>
      <c r="U5056" s="6" t="str">
        <f>IFERROR(__xludf.DUMMYFUNCTION("""COMPUTED_VALUE"""),"2")</f>
        <v>2</v>
      </c>
      <c r="V5056" s="6" t="str">
        <f>IFERROR(__xludf.DUMMYFUNCTION("""COMPUTED_VALUE"""),"")</f>
        <v/>
      </c>
      <c r="W5056" s="6" t="str">
        <f>IFERROR(__xludf.DUMMYFUNCTION("""COMPUTED_VALUE"""),"[]")</f>
        <v>[]</v>
      </c>
      <c r="X5056" s="6" t="str">
        <f>IFERROR(__xludf.DUMMYFUNCTION("""COMPUTED_VALUE"""),"Enrolled")</f>
        <v>Enrolled</v>
      </c>
    </row>
    <row r="5057">
      <c r="A5057" s="6" t="str">
        <f>IFERROR(__xludf.DUMMYFUNCTION("""COMPUTED_VALUE"""),"086-12448")</f>
        <v>086-12448</v>
      </c>
      <c r="B5057" s="6" t="str">
        <f>IFERROR(__xludf.DUMMYFUNCTION("""COMPUTED_VALUE"""),"86")</f>
        <v>86</v>
      </c>
      <c r="C5057" s="6" t="str">
        <f>IFERROR(__xludf.DUMMYFUNCTION("""COMPUTED_VALUE"""),"12448")</f>
        <v>12448</v>
      </c>
      <c r="D5057" s="6" t="str">
        <f>IFERROR(__xludf.DUMMYFUNCTION("""COMPUTED_VALUE"""),"Juliana")</f>
        <v>Juliana</v>
      </c>
      <c r="E5057" s="6" t="str">
        <f>IFERROR(__xludf.DUMMYFUNCTION("""COMPUTED_VALUE"""),"")</f>
        <v/>
      </c>
      <c r="F5057" s="6" t="str">
        <f>IFERROR(__xludf.DUMMYFUNCTION("""COMPUTED_VALUE"""),"Blanco Zambrano")</f>
        <v>Blanco Zambrano</v>
      </c>
      <c r="G5057" s="6" t="str">
        <f>IFERROR(__xludf.DUMMYFUNCTION("""COMPUTED_VALUE"""),"11/03/2017")</f>
        <v>11/03/2017</v>
      </c>
      <c r="H5057" s="6" t="str">
        <f>IFERROR(__xludf.DUMMYFUNCTION("""COMPUTED_VALUE"""),"male")</f>
        <v>male</v>
      </c>
      <c r="I5057" s="6" t="str">
        <f>IFERROR(__xludf.DUMMYFUNCTION("""COMPUTED_VALUE"""),"Level 1")</f>
        <v>Level 1</v>
      </c>
      <c r="J5057" s="6" t="str">
        <f>IFERROR(__xludf.DUMMYFUNCTION("""COMPUTED_VALUE"""),"2")</f>
        <v>2</v>
      </c>
      <c r="K5057" s="6" t="str">
        <f>IFERROR(__xludf.DUMMYFUNCTION("""COMPUTED_VALUE"""),"juliana.blancozambrano@2hourlearning.com")</f>
        <v>juliana.blancozambrano@2hourlearning.com</v>
      </c>
      <c r="L5057" s="6" t="str">
        <f>IFERROR(__xludf.DUMMYFUNCTION("""COMPUTED_VALUE"""),"JRES - Ridgeland Elementary School")</f>
        <v>JRES - Ridgeland Elementary School</v>
      </c>
      <c r="M5057" s="6" t="str">
        <f>IFERROR(__xludf.DUMMYFUNCTION("""COMPUTED_VALUE"""),"")</f>
        <v/>
      </c>
      <c r="N5057" s="6" t="str">
        <f>IFERROR(__xludf.DUMMYFUNCTION("""COMPUTED_VALUE"""),"")</f>
        <v/>
      </c>
      <c r="O5057" s="87" t="str">
        <f>IFERROR(__xludf.DUMMYFUNCTION("""COMPUTED_VALUE"""),"https://drive.google.com/drive/folders/10T2cTQHqEJZqE-st6uFKPoI?usp=share_link")</f>
        <v>https://drive.google.com/drive/folders/10T2cTQHqEJZqE-st6uFKPoI?usp=share_link</v>
      </c>
      <c r="P5057" s="6" t="str">
        <f>IFERROR(__xludf.DUMMYFUNCTION("""COMPUTED_VALUE"""),"Juliana Blanco Zambrano")</f>
        <v>Juliana Blanco Zambrano</v>
      </c>
      <c r="Q5057" s="6" t="str">
        <f>IFERROR(__xludf.DUMMYFUNCTION("""COMPUTED_VALUE"""),"L1")</f>
        <v>L1</v>
      </c>
      <c r="R5057" s="6">
        <f>IFERROR(__xludf.DUMMYFUNCTION("""COMPUTED_VALUE"""),1.0)</f>
        <v>1</v>
      </c>
      <c r="S5057" s="6" t="str">
        <f>IFERROR(__xludf.DUMMYFUNCTION("""COMPUTED_VALUE"""),"Kimberly Ball")</f>
        <v>Kimberly Ball</v>
      </c>
      <c r="T5057" s="6" t="str">
        <f>IFERROR(__xludf.DUMMYFUNCTION("""COMPUTED_VALUE"""),"kimberly.ball@studient.com")</f>
        <v>kimberly.ball@studient.com</v>
      </c>
      <c r="U5057" s="6" t="str">
        <f>IFERROR(__xludf.DUMMYFUNCTION("""COMPUTED_VALUE"""),"2")</f>
        <v>2</v>
      </c>
      <c r="V5057" s="6" t="str">
        <f>IFERROR(__xludf.DUMMYFUNCTION("""COMPUTED_VALUE"""),"")</f>
        <v/>
      </c>
      <c r="W5057" s="6" t="str">
        <f>IFERROR(__xludf.DUMMYFUNCTION("""COMPUTED_VALUE"""),"[]")</f>
        <v>[]</v>
      </c>
      <c r="X5057" s="6" t="str">
        <f>IFERROR(__xludf.DUMMYFUNCTION("""COMPUTED_VALUE"""),"Enrolled")</f>
        <v>Enrolled</v>
      </c>
    </row>
    <row r="5058">
      <c r="A5058" s="6" t="str">
        <f>IFERROR(__xludf.DUMMYFUNCTION("""COMPUTED_VALUE"""),"086-12449")</f>
        <v>086-12449</v>
      </c>
      <c r="B5058" s="6" t="str">
        <f>IFERROR(__xludf.DUMMYFUNCTION("""COMPUTED_VALUE"""),"86")</f>
        <v>86</v>
      </c>
      <c r="C5058" s="6" t="str">
        <f>IFERROR(__xludf.DUMMYFUNCTION("""COMPUTED_VALUE"""),"12449")</f>
        <v>12449</v>
      </c>
      <c r="D5058" s="6" t="str">
        <f>IFERROR(__xludf.DUMMYFUNCTION("""COMPUTED_VALUE"""),"Klohyie")</f>
        <v>Klohyie</v>
      </c>
      <c r="E5058" s="6" t="str">
        <f>IFERROR(__xludf.DUMMYFUNCTION("""COMPUTED_VALUE"""),"")</f>
        <v/>
      </c>
      <c r="F5058" s="6" t="str">
        <f>IFERROR(__xludf.DUMMYFUNCTION("""COMPUTED_VALUE"""),"Bostick")</f>
        <v>Bostick</v>
      </c>
      <c r="G5058" s="6" t="str">
        <f>IFERROR(__xludf.DUMMYFUNCTION("""COMPUTED_VALUE"""),"12/13/2015")</f>
        <v>12/13/2015</v>
      </c>
      <c r="H5058" s="6" t="str">
        <f>IFERROR(__xludf.DUMMYFUNCTION("""COMPUTED_VALUE"""),"male")</f>
        <v>male</v>
      </c>
      <c r="I5058" s="6" t="str">
        <f>IFERROR(__xludf.DUMMYFUNCTION("""COMPUTED_VALUE"""),"Level 1")</f>
        <v>Level 1</v>
      </c>
      <c r="J5058" s="6" t="str">
        <f>IFERROR(__xludf.DUMMYFUNCTION("""COMPUTED_VALUE"""),"2")</f>
        <v>2</v>
      </c>
      <c r="K5058" s="6" t="str">
        <f>IFERROR(__xludf.DUMMYFUNCTION("""COMPUTED_VALUE"""),"klohyie.bostick@2hourlearning.com")</f>
        <v>klohyie.bostick@2hourlearning.com</v>
      </c>
      <c r="L5058" s="6" t="str">
        <f>IFERROR(__xludf.DUMMYFUNCTION("""COMPUTED_VALUE"""),"JRES - Ridgeland Elementary School")</f>
        <v>JRES - Ridgeland Elementary School</v>
      </c>
      <c r="M5058" s="6" t="str">
        <f>IFERROR(__xludf.DUMMYFUNCTION("""COMPUTED_VALUE"""),"")</f>
        <v/>
      </c>
      <c r="N5058" s="6" t="str">
        <f>IFERROR(__xludf.DUMMYFUNCTION("""COMPUTED_VALUE"""),"")</f>
        <v/>
      </c>
      <c r="O5058" s="87" t="str">
        <f>IFERROR(__xludf.DUMMYFUNCTION("""COMPUTED_VALUE"""),"https://drive.google.com/drive/folders/10T2cTQHqEJZqE-st6uFKPoI?usp=share_link")</f>
        <v>https://drive.google.com/drive/folders/10T2cTQHqEJZqE-st6uFKPoI?usp=share_link</v>
      </c>
      <c r="P5058" s="6" t="str">
        <f>IFERROR(__xludf.DUMMYFUNCTION("""COMPUTED_VALUE"""),"Klohyie Bostick")</f>
        <v>Klohyie Bostick</v>
      </c>
      <c r="Q5058" s="6" t="str">
        <f>IFERROR(__xludf.DUMMYFUNCTION("""COMPUTED_VALUE"""),"L1")</f>
        <v>L1</v>
      </c>
      <c r="R5058" s="6">
        <f>IFERROR(__xludf.DUMMYFUNCTION("""COMPUTED_VALUE"""),1.0)</f>
        <v>1</v>
      </c>
      <c r="S5058" s="6" t="str">
        <f>IFERROR(__xludf.DUMMYFUNCTION("""COMPUTED_VALUE"""),"Kimberly Ball")</f>
        <v>Kimberly Ball</v>
      </c>
      <c r="T5058" s="6" t="str">
        <f>IFERROR(__xludf.DUMMYFUNCTION("""COMPUTED_VALUE"""),"kimberly.ball@studient.com")</f>
        <v>kimberly.ball@studient.com</v>
      </c>
      <c r="U5058" s="6" t="str">
        <f>IFERROR(__xludf.DUMMYFUNCTION("""COMPUTED_VALUE"""),"2")</f>
        <v>2</v>
      </c>
      <c r="V5058" s="6" t="str">
        <f>IFERROR(__xludf.DUMMYFUNCTION("""COMPUTED_VALUE"""),"")</f>
        <v/>
      </c>
      <c r="W5058" s="6" t="str">
        <f>IFERROR(__xludf.DUMMYFUNCTION("""COMPUTED_VALUE"""),"[]")</f>
        <v>[]</v>
      </c>
      <c r="X5058" s="6" t="str">
        <f>IFERROR(__xludf.DUMMYFUNCTION("""COMPUTED_VALUE"""),"Enrolled")</f>
        <v>Enrolled</v>
      </c>
    </row>
    <row r="5059">
      <c r="A5059" s="6" t="str">
        <f>IFERROR(__xludf.DUMMYFUNCTION("""COMPUTED_VALUE"""),"086-12450")</f>
        <v>086-12450</v>
      </c>
      <c r="B5059" s="6" t="str">
        <f>IFERROR(__xludf.DUMMYFUNCTION("""COMPUTED_VALUE"""),"86")</f>
        <v>86</v>
      </c>
      <c r="C5059" s="6" t="str">
        <f>IFERROR(__xludf.DUMMYFUNCTION("""COMPUTED_VALUE"""),"12450")</f>
        <v>12450</v>
      </c>
      <c r="D5059" s="6" t="str">
        <f>IFERROR(__xludf.DUMMYFUNCTION("""COMPUTED_VALUE"""),"Paris")</f>
        <v>Paris</v>
      </c>
      <c r="E5059" s="6" t="str">
        <f>IFERROR(__xludf.DUMMYFUNCTION("""COMPUTED_VALUE"""),"")</f>
        <v/>
      </c>
      <c r="F5059" s="6" t="str">
        <f>IFERROR(__xludf.DUMMYFUNCTION("""COMPUTED_VALUE"""),"Brown")</f>
        <v>Brown</v>
      </c>
      <c r="G5059" s="6" t="str">
        <f>IFERROR(__xludf.DUMMYFUNCTION("""COMPUTED_VALUE"""),"08/12/2015")</f>
        <v>08/12/2015</v>
      </c>
      <c r="H5059" s="6" t="str">
        <f>IFERROR(__xludf.DUMMYFUNCTION("""COMPUTED_VALUE"""),"female")</f>
        <v>female</v>
      </c>
      <c r="I5059" s="6" t="str">
        <f>IFERROR(__xludf.DUMMYFUNCTION("""COMPUTED_VALUE"""),"Level 1")</f>
        <v>Level 1</v>
      </c>
      <c r="J5059" s="6" t="str">
        <f>IFERROR(__xludf.DUMMYFUNCTION("""COMPUTED_VALUE"""),"2")</f>
        <v>2</v>
      </c>
      <c r="K5059" s="6" t="str">
        <f>IFERROR(__xludf.DUMMYFUNCTION("""COMPUTED_VALUE"""),"paris.brown@2hourlearning.com")</f>
        <v>paris.brown@2hourlearning.com</v>
      </c>
      <c r="L5059" s="6" t="str">
        <f>IFERROR(__xludf.DUMMYFUNCTION("""COMPUTED_VALUE"""),"JRES - Ridgeland Elementary School")</f>
        <v>JRES - Ridgeland Elementary School</v>
      </c>
      <c r="M5059" s="6" t="str">
        <f>IFERROR(__xludf.DUMMYFUNCTION("""COMPUTED_VALUE"""),"")</f>
        <v/>
      </c>
      <c r="N5059" s="6" t="str">
        <f>IFERROR(__xludf.DUMMYFUNCTION("""COMPUTED_VALUE"""),"")</f>
        <v/>
      </c>
      <c r="O5059" s="87" t="str">
        <f>IFERROR(__xludf.DUMMYFUNCTION("""COMPUTED_VALUE"""),"https://drive.google.com/drive/folders/10T2cTQHqEJZqE-st6uFKPoI?usp=share_link")</f>
        <v>https://drive.google.com/drive/folders/10T2cTQHqEJZqE-st6uFKPoI?usp=share_link</v>
      </c>
      <c r="P5059" s="6" t="str">
        <f>IFERROR(__xludf.DUMMYFUNCTION("""COMPUTED_VALUE"""),"Paris Brown")</f>
        <v>Paris Brown</v>
      </c>
      <c r="Q5059" s="6" t="str">
        <f>IFERROR(__xludf.DUMMYFUNCTION("""COMPUTED_VALUE"""),"L1")</f>
        <v>L1</v>
      </c>
      <c r="R5059" s="6">
        <f>IFERROR(__xludf.DUMMYFUNCTION("""COMPUTED_VALUE"""),1.0)</f>
        <v>1</v>
      </c>
      <c r="S5059" s="6" t="str">
        <f>IFERROR(__xludf.DUMMYFUNCTION("""COMPUTED_VALUE"""),"Kimberly Ball")</f>
        <v>Kimberly Ball</v>
      </c>
      <c r="T5059" s="6" t="str">
        <f>IFERROR(__xludf.DUMMYFUNCTION("""COMPUTED_VALUE"""),"kimberly.ball@studient.com")</f>
        <v>kimberly.ball@studient.com</v>
      </c>
      <c r="U5059" s="6" t="str">
        <f>IFERROR(__xludf.DUMMYFUNCTION("""COMPUTED_VALUE"""),"2")</f>
        <v>2</v>
      </c>
      <c r="V5059" s="6" t="str">
        <f>IFERROR(__xludf.DUMMYFUNCTION("""COMPUTED_VALUE"""),"")</f>
        <v/>
      </c>
      <c r="W5059" s="6" t="str">
        <f>IFERROR(__xludf.DUMMYFUNCTION("""COMPUTED_VALUE"""),"[]")</f>
        <v>[]</v>
      </c>
      <c r="X5059" s="6" t="str">
        <f>IFERROR(__xludf.DUMMYFUNCTION("""COMPUTED_VALUE"""),"Enrolled")</f>
        <v>Enrolled</v>
      </c>
    </row>
    <row r="5060">
      <c r="A5060" s="6" t="str">
        <f>IFERROR(__xludf.DUMMYFUNCTION("""COMPUTED_VALUE"""),"086-12451")</f>
        <v>086-12451</v>
      </c>
      <c r="B5060" s="6" t="str">
        <f>IFERROR(__xludf.DUMMYFUNCTION("""COMPUTED_VALUE"""),"86")</f>
        <v>86</v>
      </c>
      <c r="C5060" s="6" t="str">
        <f>IFERROR(__xludf.DUMMYFUNCTION("""COMPUTED_VALUE"""),"12451")</f>
        <v>12451</v>
      </c>
      <c r="D5060" s="6" t="str">
        <f>IFERROR(__xludf.DUMMYFUNCTION("""COMPUTED_VALUE"""),"Ishmael")</f>
        <v>Ishmael</v>
      </c>
      <c r="E5060" s="6" t="str">
        <f>IFERROR(__xludf.DUMMYFUNCTION("""COMPUTED_VALUE"""),"")</f>
        <v/>
      </c>
      <c r="F5060" s="6" t="str">
        <f>IFERROR(__xludf.DUMMYFUNCTION("""COMPUTED_VALUE"""),"Bryan")</f>
        <v>Bryan</v>
      </c>
      <c r="G5060" s="6" t="str">
        <f>IFERROR(__xludf.DUMMYFUNCTION("""COMPUTED_VALUE"""),"11/15/2017")</f>
        <v>11/15/2017</v>
      </c>
      <c r="H5060" s="6" t="str">
        <f>IFERROR(__xludf.DUMMYFUNCTION("""COMPUTED_VALUE"""),"male")</f>
        <v>male</v>
      </c>
      <c r="I5060" s="6" t="str">
        <f>IFERROR(__xludf.DUMMYFUNCTION("""COMPUTED_VALUE"""),"Level 1")</f>
        <v>Level 1</v>
      </c>
      <c r="J5060" s="6" t="str">
        <f>IFERROR(__xludf.DUMMYFUNCTION("""COMPUTED_VALUE"""),"2")</f>
        <v>2</v>
      </c>
      <c r="K5060" s="6" t="str">
        <f>IFERROR(__xludf.DUMMYFUNCTION("""COMPUTED_VALUE"""),"ishmael.bryan@2hourlearning.com")</f>
        <v>ishmael.bryan@2hourlearning.com</v>
      </c>
      <c r="L5060" s="6" t="str">
        <f>IFERROR(__xludf.DUMMYFUNCTION("""COMPUTED_VALUE"""),"JRES - Ridgeland Elementary School")</f>
        <v>JRES - Ridgeland Elementary School</v>
      </c>
      <c r="M5060" s="6" t="str">
        <f>IFERROR(__xludf.DUMMYFUNCTION("""COMPUTED_VALUE"""),"")</f>
        <v/>
      </c>
      <c r="N5060" s="6" t="str">
        <f>IFERROR(__xludf.DUMMYFUNCTION("""COMPUTED_VALUE"""),"")</f>
        <v/>
      </c>
      <c r="O5060" s="87" t="str">
        <f>IFERROR(__xludf.DUMMYFUNCTION("""COMPUTED_VALUE"""),"https://drive.google.com/drive/folders/10T2cTQHqEJZqE-st6uFKPoI?usp=share_link")</f>
        <v>https://drive.google.com/drive/folders/10T2cTQHqEJZqE-st6uFKPoI?usp=share_link</v>
      </c>
      <c r="P5060" s="6" t="str">
        <f>IFERROR(__xludf.DUMMYFUNCTION("""COMPUTED_VALUE"""),"Ishmael Bryan")</f>
        <v>Ishmael Bryan</v>
      </c>
      <c r="Q5060" s="6" t="str">
        <f>IFERROR(__xludf.DUMMYFUNCTION("""COMPUTED_VALUE"""),"L1")</f>
        <v>L1</v>
      </c>
      <c r="R5060" s="6">
        <f>IFERROR(__xludf.DUMMYFUNCTION("""COMPUTED_VALUE"""),1.0)</f>
        <v>1</v>
      </c>
      <c r="S5060" s="6" t="str">
        <f>IFERROR(__xludf.DUMMYFUNCTION("""COMPUTED_VALUE"""),"Kimberly Ball")</f>
        <v>Kimberly Ball</v>
      </c>
      <c r="T5060" s="6" t="str">
        <f>IFERROR(__xludf.DUMMYFUNCTION("""COMPUTED_VALUE"""),"kimberly.ball@studient.com")</f>
        <v>kimberly.ball@studient.com</v>
      </c>
      <c r="U5060" s="6" t="str">
        <f>IFERROR(__xludf.DUMMYFUNCTION("""COMPUTED_VALUE"""),"2")</f>
        <v>2</v>
      </c>
      <c r="V5060" s="6" t="str">
        <f>IFERROR(__xludf.DUMMYFUNCTION("""COMPUTED_VALUE"""),"")</f>
        <v/>
      </c>
      <c r="W5060" s="6" t="str">
        <f>IFERROR(__xludf.DUMMYFUNCTION("""COMPUTED_VALUE"""),"[]")</f>
        <v>[]</v>
      </c>
      <c r="X5060" s="6" t="str">
        <f>IFERROR(__xludf.DUMMYFUNCTION("""COMPUTED_VALUE"""),"Enrolled")</f>
        <v>Enrolled</v>
      </c>
    </row>
    <row r="5061">
      <c r="A5061" s="6" t="str">
        <f>IFERROR(__xludf.DUMMYFUNCTION("""COMPUTED_VALUE"""),"086-12452")</f>
        <v>086-12452</v>
      </c>
      <c r="B5061" s="6" t="str">
        <f>IFERROR(__xludf.DUMMYFUNCTION("""COMPUTED_VALUE"""),"86")</f>
        <v>86</v>
      </c>
      <c r="C5061" s="6" t="str">
        <f>IFERROR(__xludf.DUMMYFUNCTION("""COMPUTED_VALUE"""),"12452")</f>
        <v>12452</v>
      </c>
      <c r="D5061" s="6" t="str">
        <f>IFERROR(__xludf.DUMMYFUNCTION("""COMPUTED_VALUE"""),"Ahvianna")</f>
        <v>Ahvianna</v>
      </c>
      <c r="E5061" s="6" t="str">
        <f>IFERROR(__xludf.DUMMYFUNCTION("""COMPUTED_VALUE"""),"")</f>
        <v/>
      </c>
      <c r="F5061" s="6" t="str">
        <f>IFERROR(__xludf.DUMMYFUNCTION("""COMPUTED_VALUE"""),"Burns")</f>
        <v>Burns</v>
      </c>
      <c r="G5061" s="6" t="str">
        <f>IFERROR(__xludf.DUMMYFUNCTION("""COMPUTED_VALUE"""),"09/07/2017")</f>
        <v>09/07/2017</v>
      </c>
      <c r="H5061" s="6" t="str">
        <f>IFERROR(__xludf.DUMMYFUNCTION("""COMPUTED_VALUE"""),"female")</f>
        <v>female</v>
      </c>
      <c r="I5061" s="6" t="str">
        <f>IFERROR(__xludf.DUMMYFUNCTION("""COMPUTED_VALUE"""),"Level 1")</f>
        <v>Level 1</v>
      </c>
      <c r="J5061" s="6" t="str">
        <f>IFERROR(__xludf.DUMMYFUNCTION("""COMPUTED_VALUE"""),"2")</f>
        <v>2</v>
      </c>
      <c r="K5061" s="6" t="str">
        <f>IFERROR(__xludf.DUMMYFUNCTION("""COMPUTED_VALUE"""),"ahvianna.burns@2hourlearning.com")</f>
        <v>ahvianna.burns@2hourlearning.com</v>
      </c>
      <c r="L5061" s="6" t="str">
        <f>IFERROR(__xludf.DUMMYFUNCTION("""COMPUTED_VALUE"""),"JRES - Ridgeland Elementary School")</f>
        <v>JRES - Ridgeland Elementary School</v>
      </c>
      <c r="M5061" s="6" t="str">
        <f>IFERROR(__xludf.DUMMYFUNCTION("""COMPUTED_VALUE"""),"")</f>
        <v/>
      </c>
      <c r="N5061" s="6" t="str">
        <f>IFERROR(__xludf.DUMMYFUNCTION("""COMPUTED_VALUE"""),"")</f>
        <v/>
      </c>
      <c r="O5061" s="87" t="str">
        <f>IFERROR(__xludf.DUMMYFUNCTION("""COMPUTED_VALUE"""),"https://drive.google.com/drive/folders/10T2cTQHqEJZqE-st6uFKPoI?usp=share_link")</f>
        <v>https://drive.google.com/drive/folders/10T2cTQHqEJZqE-st6uFKPoI?usp=share_link</v>
      </c>
      <c r="P5061" s="6" t="str">
        <f>IFERROR(__xludf.DUMMYFUNCTION("""COMPUTED_VALUE"""),"Ahvianna Burns")</f>
        <v>Ahvianna Burns</v>
      </c>
      <c r="Q5061" s="6" t="str">
        <f>IFERROR(__xludf.DUMMYFUNCTION("""COMPUTED_VALUE"""),"L1")</f>
        <v>L1</v>
      </c>
      <c r="R5061" s="6">
        <f>IFERROR(__xludf.DUMMYFUNCTION("""COMPUTED_VALUE"""),1.0)</f>
        <v>1</v>
      </c>
      <c r="S5061" s="6" t="str">
        <f>IFERROR(__xludf.DUMMYFUNCTION("""COMPUTED_VALUE"""),"Kimberly Ball")</f>
        <v>Kimberly Ball</v>
      </c>
      <c r="T5061" s="6" t="str">
        <f>IFERROR(__xludf.DUMMYFUNCTION("""COMPUTED_VALUE"""),"kimberly.ball@studient.com")</f>
        <v>kimberly.ball@studient.com</v>
      </c>
      <c r="U5061" s="6" t="str">
        <f>IFERROR(__xludf.DUMMYFUNCTION("""COMPUTED_VALUE"""),"2")</f>
        <v>2</v>
      </c>
      <c r="V5061" s="6" t="str">
        <f>IFERROR(__xludf.DUMMYFUNCTION("""COMPUTED_VALUE"""),"")</f>
        <v/>
      </c>
      <c r="W5061" s="6" t="str">
        <f>IFERROR(__xludf.DUMMYFUNCTION("""COMPUTED_VALUE"""),"[]")</f>
        <v>[]</v>
      </c>
      <c r="X5061" s="6" t="str">
        <f>IFERROR(__xludf.DUMMYFUNCTION("""COMPUTED_VALUE"""),"Enrolled")</f>
        <v>Enrolled</v>
      </c>
    </row>
    <row r="5062">
      <c r="A5062" s="6" t="str">
        <f>IFERROR(__xludf.DUMMYFUNCTION("""COMPUTED_VALUE"""),"086-12453")</f>
        <v>086-12453</v>
      </c>
      <c r="B5062" s="6" t="str">
        <f>IFERROR(__xludf.DUMMYFUNCTION("""COMPUTED_VALUE"""),"86")</f>
        <v>86</v>
      </c>
      <c r="C5062" s="6" t="str">
        <f>IFERROR(__xludf.DUMMYFUNCTION("""COMPUTED_VALUE"""),"12453")</f>
        <v>12453</v>
      </c>
      <c r="D5062" s="6" t="str">
        <f>IFERROR(__xludf.DUMMYFUNCTION("""COMPUTED_VALUE"""),"Robert")</f>
        <v>Robert</v>
      </c>
      <c r="E5062" s="6" t="str">
        <f>IFERROR(__xludf.DUMMYFUNCTION("""COMPUTED_VALUE"""),"")</f>
        <v/>
      </c>
      <c r="F5062" s="6" t="str">
        <f>IFERROR(__xludf.DUMMYFUNCTION("""COMPUTED_VALUE"""),"Burton")</f>
        <v>Burton</v>
      </c>
      <c r="G5062" s="6" t="str">
        <f>IFERROR(__xludf.DUMMYFUNCTION("""COMPUTED_VALUE"""),"07/24/2018")</f>
        <v>07/24/2018</v>
      </c>
      <c r="H5062" s="6" t="str">
        <f>IFERROR(__xludf.DUMMYFUNCTION("""COMPUTED_VALUE"""),"male")</f>
        <v>male</v>
      </c>
      <c r="I5062" s="6" t="str">
        <f>IFERROR(__xludf.DUMMYFUNCTION("""COMPUTED_VALUE"""),"Level 1")</f>
        <v>Level 1</v>
      </c>
      <c r="J5062" s="6" t="str">
        <f>IFERROR(__xludf.DUMMYFUNCTION("""COMPUTED_VALUE"""),"2")</f>
        <v>2</v>
      </c>
      <c r="K5062" s="6" t="str">
        <f>IFERROR(__xludf.DUMMYFUNCTION("""COMPUTED_VALUE"""),"robert.burton@2hourlearning.com")</f>
        <v>robert.burton@2hourlearning.com</v>
      </c>
      <c r="L5062" s="6" t="str">
        <f>IFERROR(__xludf.DUMMYFUNCTION("""COMPUTED_VALUE"""),"JRES - Ridgeland Elementary School")</f>
        <v>JRES - Ridgeland Elementary School</v>
      </c>
      <c r="M5062" s="6" t="str">
        <f>IFERROR(__xludf.DUMMYFUNCTION("""COMPUTED_VALUE"""),"")</f>
        <v/>
      </c>
      <c r="N5062" s="6" t="str">
        <f>IFERROR(__xludf.DUMMYFUNCTION("""COMPUTED_VALUE"""),"")</f>
        <v/>
      </c>
      <c r="O5062" s="87" t="str">
        <f>IFERROR(__xludf.DUMMYFUNCTION("""COMPUTED_VALUE"""),"https://drive.google.com/drive/folders/10T2cTQHqEJZqE-st6uFKPoI?usp=share_link")</f>
        <v>https://drive.google.com/drive/folders/10T2cTQHqEJZqE-st6uFKPoI?usp=share_link</v>
      </c>
      <c r="P5062" s="6" t="str">
        <f>IFERROR(__xludf.DUMMYFUNCTION("""COMPUTED_VALUE"""),"Robert Burton")</f>
        <v>Robert Burton</v>
      </c>
      <c r="Q5062" s="6" t="str">
        <f>IFERROR(__xludf.DUMMYFUNCTION("""COMPUTED_VALUE"""),"L1")</f>
        <v>L1</v>
      </c>
      <c r="R5062" s="6">
        <f>IFERROR(__xludf.DUMMYFUNCTION("""COMPUTED_VALUE"""),1.0)</f>
        <v>1</v>
      </c>
      <c r="S5062" s="6" t="str">
        <f>IFERROR(__xludf.DUMMYFUNCTION("""COMPUTED_VALUE"""),"Kimberly Ball")</f>
        <v>Kimberly Ball</v>
      </c>
      <c r="T5062" s="6" t="str">
        <f>IFERROR(__xludf.DUMMYFUNCTION("""COMPUTED_VALUE"""),"kimberly.ball@studient.com")</f>
        <v>kimberly.ball@studient.com</v>
      </c>
      <c r="U5062" s="6" t="str">
        <f>IFERROR(__xludf.DUMMYFUNCTION("""COMPUTED_VALUE"""),"2")</f>
        <v>2</v>
      </c>
      <c r="V5062" s="6" t="str">
        <f>IFERROR(__xludf.DUMMYFUNCTION("""COMPUTED_VALUE"""),"")</f>
        <v/>
      </c>
      <c r="W5062" s="6" t="str">
        <f>IFERROR(__xludf.DUMMYFUNCTION("""COMPUTED_VALUE"""),"[]")</f>
        <v>[]</v>
      </c>
      <c r="X5062" s="6" t="str">
        <f>IFERROR(__xludf.DUMMYFUNCTION("""COMPUTED_VALUE"""),"Enrolled")</f>
        <v>Enrolled</v>
      </c>
    </row>
    <row r="5063">
      <c r="A5063" s="6" t="str">
        <f>IFERROR(__xludf.DUMMYFUNCTION("""COMPUTED_VALUE"""),"086-12454")</f>
        <v>086-12454</v>
      </c>
      <c r="B5063" s="6" t="str">
        <f>IFERROR(__xludf.DUMMYFUNCTION("""COMPUTED_VALUE"""),"86")</f>
        <v>86</v>
      </c>
      <c r="C5063" s="6" t="str">
        <f>IFERROR(__xludf.DUMMYFUNCTION("""COMPUTED_VALUE"""),"12454")</f>
        <v>12454</v>
      </c>
      <c r="D5063" s="6" t="str">
        <f>IFERROR(__xludf.DUMMYFUNCTION("""COMPUTED_VALUE"""),"Isaiah")</f>
        <v>Isaiah</v>
      </c>
      <c r="E5063" s="6" t="str">
        <f>IFERROR(__xludf.DUMMYFUNCTION("""COMPUTED_VALUE"""),"")</f>
        <v/>
      </c>
      <c r="F5063" s="6" t="str">
        <f>IFERROR(__xludf.DUMMYFUNCTION("""COMPUTED_VALUE"""),"Busby")</f>
        <v>Busby</v>
      </c>
      <c r="G5063" s="6" t="str">
        <f>IFERROR(__xludf.DUMMYFUNCTION("""COMPUTED_VALUE"""),"10/03/2014")</f>
        <v>10/03/2014</v>
      </c>
      <c r="H5063" s="6" t="str">
        <f>IFERROR(__xludf.DUMMYFUNCTION("""COMPUTED_VALUE"""),"female")</f>
        <v>female</v>
      </c>
      <c r="I5063" s="6" t="str">
        <f>IFERROR(__xludf.DUMMYFUNCTION("""COMPUTED_VALUE"""),"Level 1")</f>
        <v>Level 1</v>
      </c>
      <c r="J5063" s="6" t="str">
        <f>IFERROR(__xludf.DUMMYFUNCTION("""COMPUTED_VALUE"""),"2")</f>
        <v>2</v>
      </c>
      <c r="K5063" s="6" t="str">
        <f>IFERROR(__xludf.DUMMYFUNCTION("""COMPUTED_VALUE"""),"isaiah.busby@2hourlearning.com")</f>
        <v>isaiah.busby@2hourlearning.com</v>
      </c>
      <c r="L5063" s="6" t="str">
        <f>IFERROR(__xludf.DUMMYFUNCTION("""COMPUTED_VALUE"""),"JRES - Ridgeland Elementary School")</f>
        <v>JRES - Ridgeland Elementary School</v>
      </c>
      <c r="M5063" s="6" t="str">
        <f>IFERROR(__xludf.DUMMYFUNCTION("""COMPUTED_VALUE"""),"")</f>
        <v/>
      </c>
      <c r="N5063" s="6" t="str">
        <f>IFERROR(__xludf.DUMMYFUNCTION("""COMPUTED_VALUE"""),"")</f>
        <v/>
      </c>
      <c r="O5063" s="87" t="str">
        <f>IFERROR(__xludf.DUMMYFUNCTION("""COMPUTED_VALUE"""),"https://drive.google.com/drive/folders/10T2cTQHqEJZqE-st6uFKPoI?usp=share_link")</f>
        <v>https://drive.google.com/drive/folders/10T2cTQHqEJZqE-st6uFKPoI?usp=share_link</v>
      </c>
      <c r="P5063" s="6" t="str">
        <f>IFERROR(__xludf.DUMMYFUNCTION("""COMPUTED_VALUE"""),"Isaiah Busby")</f>
        <v>Isaiah Busby</v>
      </c>
      <c r="Q5063" s="6" t="str">
        <f>IFERROR(__xludf.DUMMYFUNCTION("""COMPUTED_VALUE"""),"L1")</f>
        <v>L1</v>
      </c>
      <c r="R5063" s="6">
        <f>IFERROR(__xludf.DUMMYFUNCTION("""COMPUTED_VALUE"""),1.0)</f>
        <v>1</v>
      </c>
      <c r="S5063" s="6" t="str">
        <f>IFERROR(__xludf.DUMMYFUNCTION("""COMPUTED_VALUE"""),"Kimberly Ball")</f>
        <v>Kimberly Ball</v>
      </c>
      <c r="T5063" s="6" t="str">
        <f>IFERROR(__xludf.DUMMYFUNCTION("""COMPUTED_VALUE"""),"kimberly.ball@studient.com")</f>
        <v>kimberly.ball@studient.com</v>
      </c>
      <c r="U5063" s="6" t="str">
        <f>IFERROR(__xludf.DUMMYFUNCTION("""COMPUTED_VALUE"""),"2")</f>
        <v>2</v>
      </c>
      <c r="V5063" s="6" t="str">
        <f>IFERROR(__xludf.DUMMYFUNCTION("""COMPUTED_VALUE"""),"")</f>
        <v/>
      </c>
      <c r="W5063" s="6" t="str">
        <f>IFERROR(__xludf.DUMMYFUNCTION("""COMPUTED_VALUE"""),"[]")</f>
        <v>[]</v>
      </c>
      <c r="X5063" s="6" t="str">
        <f>IFERROR(__xludf.DUMMYFUNCTION("""COMPUTED_VALUE"""),"Enrolled")</f>
        <v>Enrolled</v>
      </c>
    </row>
    <row r="5064">
      <c r="A5064" s="6" t="str">
        <f>IFERROR(__xludf.DUMMYFUNCTION("""COMPUTED_VALUE"""),"086-12455")</f>
        <v>086-12455</v>
      </c>
      <c r="B5064" s="6" t="str">
        <f>IFERROR(__xludf.DUMMYFUNCTION("""COMPUTED_VALUE"""),"86")</f>
        <v>86</v>
      </c>
      <c r="C5064" s="6" t="str">
        <f>IFERROR(__xludf.DUMMYFUNCTION("""COMPUTED_VALUE"""),"12455")</f>
        <v>12455</v>
      </c>
      <c r="D5064" s="6" t="str">
        <f>IFERROR(__xludf.DUMMYFUNCTION("""COMPUTED_VALUE"""),"Theron")</f>
        <v>Theron</v>
      </c>
      <c r="E5064" s="6" t="str">
        <f>IFERROR(__xludf.DUMMYFUNCTION("""COMPUTED_VALUE"""),"")</f>
        <v/>
      </c>
      <c r="F5064" s="6" t="str">
        <f>IFERROR(__xludf.DUMMYFUNCTION("""COMPUTED_VALUE"""),"Bush")</f>
        <v>Bush</v>
      </c>
      <c r="G5064" s="6" t="str">
        <f>IFERROR(__xludf.DUMMYFUNCTION("""COMPUTED_VALUE"""),"12/10/2016")</f>
        <v>12/10/2016</v>
      </c>
      <c r="H5064" s="6" t="str">
        <f>IFERROR(__xludf.DUMMYFUNCTION("""COMPUTED_VALUE"""),"female")</f>
        <v>female</v>
      </c>
      <c r="I5064" s="6" t="str">
        <f>IFERROR(__xludf.DUMMYFUNCTION("""COMPUTED_VALUE"""),"Level 1")</f>
        <v>Level 1</v>
      </c>
      <c r="J5064" s="6" t="str">
        <f>IFERROR(__xludf.DUMMYFUNCTION("""COMPUTED_VALUE"""),"2")</f>
        <v>2</v>
      </c>
      <c r="K5064" s="6" t="str">
        <f>IFERROR(__xludf.DUMMYFUNCTION("""COMPUTED_VALUE"""),"theron.bush@2hourlearning.com")</f>
        <v>theron.bush@2hourlearning.com</v>
      </c>
      <c r="L5064" s="6" t="str">
        <f>IFERROR(__xludf.DUMMYFUNCTION("""COMPUTED_VALUE"""),"JRES - Ridgeland Elementary School")</f>
        <v>JRES - Ridgeland Elementary School</v>
      </c>
      <c r="M5064" s="6" t="str">
        <f>IFERROR(__xludf.DUMMYFUNCTION("""COMPUTED_VALUE"""),"")</f>
        <v/>
      </c>
      <c r="N5064" s="6" t="str">
        <f>IFERROR(__xludf.DUMMYFUNCTION("""COMPUTED_VALUE"""),"")</f>
        <v/>
      </c>
      <c r="O5064" s="87" t="str">
        <f>IFERROR(__xludf.DUMMYFUNCTION("""COMPUTED_VALUE"""),"https://drive.google.com/drive/folders/10T2cTQHqEJZqE-st6uFKPoI?usp=share_link")</f>
        <v>https://drive.google.com/drive/folders/10T2cTQHqEJZqE-st6uFKPoI?usp=share_link</v>
      </c>
      <c r="P5064" s="6" t="str">
        <f>IFERROR(__xludf.DUMMYFUNCTION("""COMPUTED_VALUE"""),"Theron Bush")</f>
        <v>Theron Bush</v>
      </c>
      <c r="Q5064" s="6" t="str">
        <f>IFERROR(__xludf.DUMMYFUNCTION("""COMPUTED_VALUE"""),"L1")</f>
        <v>L1</v>
      </c>
      <c r="R5064" s="6">
        <f>IFERROR(__xludf.DUMMYFUNCTION("""COMPUTED_VALUE"""),1.0)</f>
        <v>1</v>
      </c>
      <c r="S5064" s="6" t="str">
        <f>IFERROR(__xludf.DUMMYFUNCTION("""COMPUTED_VALUE"""),"Kimberly Ball")</f>
        <v>Kimberly Ball</v>
      </c>
      <c r="T5064" s="6" t="str">
        <f>IFERROR(__xludf.DUMMYFUNCTION("""COMPUTED_VALUE"""),"kimberly.ball@studient.com")</f>
        <v>kimberly.ball@studient.com</v>
      </c>
      <c r="U5064" s="6" t="str">
        <f>IFERROR(__xludf.DUMMYFUNCTION("""COMPUTED_VALUE"""),"2")</f>
        <v>2</v>
      </c>
      <c r="V5064" s="6" t="str">
        <f>IFERROR(__xludf.DUMMYFUNCTION("""COMPUTED_VALUE"""),"")</f>
        <v/>
      </c>
      <c r="W5064" s="6" t="str">
        <f>IFERROR(__xludf.DUMMYFUNCTION("""COMPUTED_VALUE"""),"[]")</f>
        <v>[]</v>
      </c>
      <c r="X5064" s="6" t="str">
        <f>IFERROR(__xludf.DUMMYFUNCTION("""COMPUTED_VALUE"""),"Enrolled")</f>
        <v>Enrolled</v>
      </c>
    </row>
    <row r="5065">
      <c r="A5065" s="6" t="str">
        <f>IFERROR(__xludf.DUMMYFUNCTION("""COMPUTED_VALUE"""),"086-12456")</f>
        <v>086-12456</v>
      </c>
      <c r="B5065" s="6" t="str">
        <f>IFERROR(__xludf.DUMMYFUNCTION("""COMPUTED_VALUE"""),"86")</f>
        <v>86</v>
      </c>
      <c r="C5065" s="6" t="str">
        <f>IFERROR(__xludf.DUMMYFUNCTION("""COMPUTED_VALUE"""),"12456")</f>
        <v>12456</v>
      </c>
      <c r="D5065" s="6" t="str">
        <f>IFERROR(__xludf.DUMMYFUNCTION("""COMPUTED_VALUE"""),"America")</f>
        <v>America</v>
      </c>
      <c r="E5065" s="6" t="str">
        <f>IFERROR(__xludf.DUMMYFUNCTION("""COMPUTED_VALUE"""),"")</f>
        <v/>
      </c>
      <c r="F5065" s="6" t="str">
        <f>IFERROR(__xludf.DUMMYFUNCTION("""COMPUTED_VALUE"""),"Cisneros Echeverria")</f>
        <v>Cisneros Echeverria</v>
      </c>
      <c r="G5065" s="6" t="str">
        <f>IFERROR(__xludf.DUMMYFUNCTION("""COMPUTED_VALUE"""),"06/19/2018")</f>
        <v>06/19/2018</v>
      </c>
      <c r="H5065" s="6" t="str">
        <f>IFERROR(__xludf.DUMMYFUNCTION("""COMPUTED_VALUE"""),"female")</f>
        <v>female</v>
      </c>
      <c r="I5065" s="6" t="str">
        <f>IFERROR(__xludf.DUMMYFUNCTION("""COMPUTED_VALUE"""),"Level 1")</f>
        <v>Level 1</v>
      </c>
      <c r="J5065" s="6" t="str">
        <f>IFERROR(__xludf.DUMMYFUNCTION("""COMPUTED_VALUE"""),"2")</f>
        <v>2</v>
      </c>
      <c r="K5065" s="6" t="str">
        <f>IFERROR(__xludf.DUMMYFUNCTION("""COMPUTED_VALUE"""),"america.cisnerosecheverria@2hourlearning.com")</f>
        <v>america.cisnerosecheverria@2hourlearning.com</v>
      </c>
      <c r="L5065" s="6" t="str">
        <f>IFERROR(__xludf.DUMMYFUNCTION("""COMPUTED_VALUE"""),"JRES - Ridgeland Elementary School")</f>
        <v>JRES - Ridgeland Elementary School</v>
      </c>
      <c r="M5065" s="6" t="str">
        <f>IFERROR(__xludf.DUMMYFUNCTION("""COMPUTED_VALUE"""),"")</f>
        <v/>
      </c>
      <c r="N5065" s="6" t="str">
        <f>IFERROR(__xludf.DUMMYFUNCTION("""COMPUTED_VALUE"""),"")</f>
        <v/>
      </c>
      <c r="O5065" s="87" t="str">
        <f>IFERROR(__xludf.DUMMYFUNCTION("""COMPUTED_VALUE"""),"https://drive.google.com/drive/folders/10T2cTQHqEJZqE-st6uFKPoI?usp=share_link")</f>
        <v>https://drive.google.com/drive/folders/10T2cTQHqEJZqE-st6uFKPoI?usp=share_link</v>
      </c>
      <c r="P5065" s="6" t="str">
        <f>IFERROR(__xludf.DUMMYFUNCTION("""COMPUTED_VALUE"""),"America Cisneros Echeverria")</f>
        <v>America Cisneros Echeverria</v>
      </c>
      <c r="Q5065" s="6" t="str">
        <f>IFERROR(__xludf.DUMMYFUNCTION("""COMPUTED_VALUE"""),"L1")</f>
        <v>L1</v>
      </c>
      <c r="R5065" s="6">
        <f>IFERROR(__xludf.DUMMYFUNCTION("""COMPUTED_VALUE"""),1.0)</f>
        <v>1</v>
      </c>
      <c r="S5065" s="6" t="str">
        <f>IFERROR(__xludf.DUMMYFUNCTION("""COMPUTED_VALUE"""),"Kimberly Ball")</f>
        <v>Kimberly Ball</v>
      </c>
      <c r="T5065" s="6" t="str">
        <f>IFERROR(__xludf.DUMMYFUNCTION("""COMPUTED_VALUE"""),"kimberly.ball@studient.com")</f>
        <v>kimberly.ball@studient.com</v>
      </c>
      <c r="U5065" s="6" t="str">
        <f>IFERROR(__xludf.DUMMYFUNCTION("""COMPUTED_VALUE"""),"2")</f>
        <v>2</v>
      </c>
      <c r="V5065" s="6" t="str">
        <f>IFERROR(__xludf.DUMMYFUNCTION("""COMPUTED_VALUE"""),"")</f>
        <v/>
      </c>
      <c r="W5065" s="6" t="str">
        <f>IFERROR(__xludf.DUMMYFUNCTION("""COMPUTED_VALUE"""),"[]")</f>
        <v>[]</v>
      </c>
      <c r="X5065" s="6" t="str">
        <f>IFERROR(__xludf.DUMMYFUNCTION("""COMPUTED_VALUE"""),"Enrolled")</f>
        <v>Enrolled</v>
      </c>
    </row>
    <row r="5066">
      <c r="A5066" s="6" t="str">
        <f>IFERROR(__xludf.DUMMYFUNCTION("""COMPUTED_VALUE"""),"086-12457")</f>
        <v>086-12457</v>
      </c>
      <c r="B5066" s="6" t="str">
        <f>IFERROR(__xludf.DUMMYFUNCTION("""COMPUTED_VALUE"""),"86")</f>
        <v>86</v>
      </c>
      <c r="C5066" s="6" t="str">
        <f>IFERROR(__xludf.DUMMYFUNCTION("""COMPUTED_VALUE"""),"12457")</f>
        <v>12457</v>
      </c>
      <c r="D5066" s="6" t="str">
        <f>IFERROR(__xludf.DUMMYFUNCTION("""COMPUTED_VALUE"""),"Dylan")</f>
        <v>Dylan</v>
      </c>
      <c r="E5066" s="6" t="str">
        <f>IFERROR(__xludf.DUMMYFUNCTION("""COMPUTED_VALUE"""),"")</f>
        <v/>
      </c>
      <c r="F5066" s="6" t="str">
        <f>IFERROR(__xludf.DUMMYFUNCTION("""COMPUTED_VALUE"""),"Colon Salinas")</f>
        <v>Colon Salinas</v>
      </c>
      <c r="G5066" s="6" t="str">
        <f>IFERROR(__xludf.DUMMYFUNCTION("""COMPUTED_VALUE"""),"06/10/2018")</f>
        <v>06/10/2018</v>
      </c>
      <c r="H5066" s="6" t="str">
        <f>IFERROR(__xludf.DUMMYFUNCTION("""COMPUTED_VALUE"""),"male")</f>
        <v>male</v>
      </c>
      <c r="I5066" s="6" t="str">
        <f>IFERROR(__xludf.DUMMYFUNCTION("""COMPUTED_VALUE"""),"Level 1")</f>
        <v>Level 1</v>
      </c>
      <c r="J5066" s="6" t="str">
        <f>IFERROR(__xludf.DUMMYFUNCTION("""COMPUTED_VALUE"""),"2")</f>
        <v>2</v>
      </c>
      <c r="K5066" s="6" t="str">
        <f>IFERROR(__xludf.DUMMYFUNCTION("""COMPUTED_VALUE"""),"dylan.colonsalinas@2hourlearning.com")</f>
        <v>dylan.colonsalinas@2hourlearning.com</v>
      </c>
      <c r="L5066" s="6" t="str">
        <f>IFERROR(__xludf.DUMMYFUNCTION("""COMPUTED_VALUE"""),"JRES - Ridgeland Elementary School")</f>
        <v>JRES - Ridgeland Elementary School</v>
      </c>
      <c r="M5066" s="6" t="str">
        <f>IFERROR(__xludf.DUMMYFUNCTION("""COMPUTED_VALUE"""),"")</f>
        <v/>
      </c>
      <c r="N5066" s="6" t="str">
        <f>IFERROR(__xludf.DUMMYFUNCTION("""COMPUTED_VALUE"""),"")</f>
        <v/>
      </c>
      <c r="O5066" s="87" t="str">
        <f>IFERROR(__xludf.DUMMYFUNCTION("""COMPUTED_VALUE"""),"https://drive.google.com/drive/folders/10T2cTQHqEJZqE-st6uFKPoI?usp=share_link")</f>
        <v>https://drive.google.com/drive/folders/10T2cTQHqEJZqE-st6uFKPoI?usp=share_link</v>
      </c>
      <c r="P5066" s="6" t="str">
        <f>IFERROR(__xludf.DUMMYFUNCTION("""COMPUTED_VALUE"""),"Dylan Colon Salinas")</f>
        <v>Dylan Colon Salinas</v>
      </c>
      <c r="Q5066" s="6" t="str">
        <f>IFERROR(__xludf.DUMMYFUNCTION("""COMPUTED_VALUE"""),"L1")</f>
        <v>L1</v>
      </c>
      <c r="R5066" s="6">
        <f>IFERROR(__xludf.DUMMYFUNCTION("""COMPUTED_VALUE"""),1.0)</f>
        <v>1</v>
      </c>
      <c r="S5066" s="6" t="str">
        <f>IFERROR(__xludf.DUMMYFUNCTION("""COMPUTED_VALUE"""),"Kimberly Ball")</f>
        <v>Kimberly Ball</v>
      </c>
      <c r="T5066" s="6" t="str">
        <f>IFERROR(__xludf.DUMMYFUNCTION("""COMPUTED_VALUE"""),"kimberly.ball@studient.com")</f>
        <v>kimberly.ball@studient.com</v>
      </c>
      <c r="U5066" s="6" t="str">
        <f>IFERROR(__xludf.DUMMYFUNCTION("""COMPUTED_VALUE"""),"2")</f>
        <v>2</v>
      </c>
      <c r="V5066" s="6" t="str">
        <f>IFERROR(__xludf.DUMMYFUNCTION("""COMPUTED_VALUE"""),"")</f>
        <v/>
      </c>
      <c r="W5066" s="6" t="str">
        <f>IFERROR(__xludf.DUMMYFUNCTION("""COMPUTED_VALUE"""),"[]")</f>
        <v>[]</v>
      </c>
      <c r="X5066" s="6" t="str">
        <f>IFERROR(__xludf.DUMMYFUNCTION("""COMPUTED_VALUE"""),"Enrolled")</f>
        <v>Enrolled</v>
      </c>
    </row>
    <row r="5067">
      <c r="A5067" s="6" t="str">
        <f>IFERROR(__xludf.DUMMYFUNCTION("""COMPUTED_VALUE"""),"086-12458")</f>
        <v>086-12458</v>
      </c>
      <c r="B5067" s="6" t="str">
        <f>IFERROR(__xludf.DUMMYFUNCTION("""COMPUTED_VALUE"""),"86")</f>
        <v>86</v>
      </c>
      <c r="C5067" s="6" t="str">
        <f>IFERROR(__xludf.DUMMYFUNCTION("""COMPUTED_VALUE"""),"12458")</f>
        <v>12458</v>
      </c>
      <c r="D5067" s="6" t="str">
        <f>IFERROR(__xludf.DUMMYFUNCTION("""COMPUTED_VALUE"""),"Alex")</f>
        <v>Alex</v>
      </c>
      <c r="E5067" s="6" t="str">
        <f>IFERROR(__xludf.DUMMYFUNCTION("""COMPUTED_VALUE"""),"")</f>
        <v/>
      </c>
      <c r="F5067" s="6" t="str">
        <f>IFERROR(__xludf.DUMMYFUNCTION("""COMPUTED_VALUE"""),"Contreras Cano")</f>
        <v>Contreras Cano</v>
      </c>
      <c r="G5067" s="6" t="str">
        <f>IFERROR(__xludf.DUMMYFUNCTION("""COMPUTED_VALUE"""),"10/18/2015")</f>
        <v>10/18/2015</v>
      </c>
      <c r="H5067" s="6" t="str">
        <f>IFERROR(__xludf.DUMMYFUNCTION("""COMPUTED_VALUE"""),"male")</f>
        <v>male</v>
      </c>
      <c r="I5067" s="6" t="str">
        <f>IFERROR(__xludf.DUMMYFUNCTION("""COMPUTED_VALUE"""),"Level 1")</f>
        <v>Level 1</v>
      </c>
      <c r="J5067" s="6" t="str">
        <f>IFERROR(__xludf.DUMMYFUNCTION("""COMPUTED_VALUE"""),"2")</f>
        <v>2</v>
      </c>
      <c r="K5067" s="6" t="str">
        <f>IFERROR(__xludf.DUMMYFUNCTION("""COMPUTED_VALUE"""),"alex.contrerascano@2hourlearning.com")</f>
        <v>alex.contrerascano@2hourlearning.com</v>
      </c>
      <c r="L5067" s="6" t="str">
        <f>IFERROR(__xludf.DUMMYFUNCTION("""COMPUTED_VALUE"""),"JRES - Ridgeland Elementary School")</f>
        <v>JRES - Ridgeland Elementary School</v>
      </c>
      <c r="M5067" s="6" t="str">
        <f>IFERROR(__xludf.DUMMYFUNCTION("""COMPUTED_VALUE"""),"")</f>
        <v/>
      </c>
      <c r="N5067" s="6" t="str">
        <f>IFERROR(__xludf.DUMMYFUNCTION("""COMPUTED_VALUE"""),"")</f>
        <v/>
      </c>
      <c r="O5067" s="87" t="str">
        <f>IFERROR(__xludf.DUMMYFUNCTION("""COMPUTED_VALUE"""),"https://drive.google.com/drive/folders/10T2cTQHqEJZqE-st6uFKPoI?usp=share_link")</f>
        <v>https://drive.google.com/drive/folders/10T2cTQHqEJZqE-st6uFKPoI?usp=share_link</v>
      </c>
      <c r="P5067" s="6" t="str">
        <f>IFERROR(__xludf.DUMMYFUNCTION("""COMPUTED_VALUE"""),"Alex Contreras Cano")</f>
        <v>Alex Contreras Cano</v>
      </c>
      <c r="Q5067" s="6" t="str">
        <f>IFERROR(__xludf.DUMMYFUNCTION("""COMPUTED_VALUE"""),"L1")</f>
        <v>L1</v>
      </c>
      <c r="R5067" s="6">
        <f>IFERROR(__xludf.DUMMYFUNCTION("""COMPUTED_VALUE"""),1.0)</f>
        <v>1</v>
      </c>
      <c r="S5067" s="6" t="str">
        <f>IFERROR(__xludf.DUMMYFUNCTION("""COMPUTED_VALUE"""),"Kimberly Ball")</f>
        <v>Kimberly Ball</v>
      </c>
      <c r="T5067" s="6" t="str">
        <f>IFERROR(__xludf.DUMMYFUNCTION("""COMPUTED_VALUE"""),"kimberly.ball@studient.com")</f>
        <v>kimberly.ball@studient.com</v>
      </c>
      <c r="U5067" s="6" t="str">
        <f>IFERROR(__xludf.DUMMYFUNCTION("""COMPUTED_VALUE"""),"2")</f>
        <v>2</v>
      </c>
      <c r="V5067" s="6" t="str">
        <f>IFERROR(__xludf.DUMMYFUNCTION("""COMPUTED_VALUE"""),"")</f>
        <v/>
      </c>
      <c r="W5067" s="6" t="str">
        <f>IFERROR(__xludf.DUMMYFUNCTION("""COMPUTED_VALUE"""),"[]")</f>
        <v>[]</v>
      </c>
      <c r="X5067" s="6" t="str">
        <f>IFERROR(__xludf.DUMMYFUNCTION("""COMPUTED_VALUE"""),"Enrolled")</f>
        <v>Enrolled</v>
      </c>
    </row>
    <row r="5068">
      <c r="A5068" s="6" t="str">
        <f>IFERROR(__xludf.DUMMYFUNCTION("""COMPUTED_VALUE"""),"086-12459")</f>
        <v>086-12459</v>
      </c>
      <c r="B5068" s="6" t="str">
        <f>IFERROR(__xludf.DUMMYFUNCTION("""COMPUTED_VALUE"""),"86")</f>
        <v>86</v>
      </c>
      <c r="C5068" s="6" t="str">
        <f>IFERROR(__xludf.DUMMYFUNCTION("""COMPUTED_VALUE"""),"12459")</f>
        <v>12459</v>
      </c>
      <c r="D5068" s="6" t="str">
        <f>IFERROR(__xludf.DUMMYFUNCTION("""COMPUTED_VALUE"""),"Luis")</f>
        <v>Luis</v>
      </c>
      <c r="E5068" s="6" t="str">
        <f>IFERROR(__xludf.DUMMYFUNCTION("""COMPUTED_VALUE"""),"")</f>
        <v/>
      </c>
      <c r="F5068" s="6" t="str">
        <f>IFERROR(__xludf.DUMMYFUNCTION("""COMPUTED_VALUE"""),"Cordova Bautista")</f>
        <v>Cordova Bautista</v>
      </c>
      <c r="G5068" s="6" t="str">
        <f>IFERROR(__xludf.DUMMYFUNCTION("""COMPUTED_VALUE"""),"01/07/2015")</f>
        <v>01/07/2015</v>
      </c>
      <c r="H5068" s="6" t="str">
        <f>IFERROR(__xludf.DUMMYFUNCTION("""COMPUTED_VALUE"""),"male")</f>
        <v>male</v>
      </c>
      <c r="I5068" s="6" t="str">
        <f>IFERROR(__xludf.DUMMYFUNCTION("""COMPUTED_VALUE"""),"Level 1")</f>
        <v>Level 1</v>
      </c>
      <c r="J5068" s="6" t="str">
        <f>IFERROR(__xludf.DUMMYFUNCTION("""COMPUTED_VALUE"""),"2")</f>
        <v>2</v>
      </c>
      <c r="K5068" s="6" t="str">
        <f>IFERROR(__xludf.DUMMYFUNCTION("""COMPUTED_VALUE"""),"luis.cordovabautista@2hourlearning.com")</f>
        <v>luis.cordovabautista@2hourlearning.com</v>
      </c>
      <c r="L5068" s="6" t="str">
        <f>IFERROR(__xludf.DUMMYFUNCTION("""COMPUTED_VALUE"""),"JRES - Ridgeland Elementary School")</f>
        <v>JRES - Ridgeland Elementary School</v>
      </c>
      <c r="M5068" s="6" t="str">
        <f>IFERROR(__xludf.DUMMYFUNCTION("""COMPUTED_VALUE"""),"")</f>
        <v/>
      </c>
      <c r="N5068" s="6" t="str">
        <f>IFERROR(__xludf.DUMMYFUNCTION("""COMPUTED_VALUE"""),"")</f>
        <v/>
      </c>
      <c r="O5068" s="87" t="str">
        <f>IFERROR(__xludf.DUMMYFUNCTION("""COMPUTED_VALUE"""),"https://drive.google.com/drive/folders/10T2cTQHqEJZqE-st6uFKPoI?usp=share_link")</f>
        <v>https://drive.google.com/drive/folders/10T2cTQHqEJZqE-st6uFKPoI?usp=share_link</v>
      </c>
      <c r="P5068" s="6" t="str">
        <f>IFERROR(__xludf.DUMMYFUNCTION("""COMPUTED_VALUE"""),"Luis Cordova Bautista")</f>
        <v>Luis Cordova Bautista</v>
      </c>
      <c r="Q5068" s="6" t="str">
        <f>IFERROR(__xludf.DUMMYFUNCTION("""COMPUTED_VALUE"""),"L1")</f>
        <v>L1</v>
      </c>
      <c r="R5068" s="6">
        <f>IFERROR(__xludf.DUMMYFUNCTION("""COMPUTED_VALUE"""),1.0)</f>
        <v>1</v>
      </c>
      <c r="S5068" s="6" t="str">
        <f>IFERROR(__xludf.DUMMYFUNCTION("""COMPUTED_VALUE"""),"Kimberly Ball")</f>
        <v>Kimberly Ball</v>
      </c>
      <c r="T5068" s="6" t="str">
        <f>IFERROR(__xludf.DUMMYFUNCTION("""COMPUTED_VALUE"""),"kimberly.ball@studient.com")</f>
        <v>kimberly.ball@studient.com</v>
      </c>
      <c r="U5068" s="6" t="str">
        <f>IFERROR(__xludf.DUMMYFUNCTION("""COMPUTED_VALUE"""),"2")</f>
        <v>2</v>
      </c>
      <c r="V5068" s="6" t="str">
        <f>IFERROR(__xludf.DUMMYFUNCTION("""COMPUTED_VALUE"""),"")</f>
        <v/>
      </c>
      <c r="W5068" s="6" t="str">
        <f>IFERROR(__xludf.DUMMYFUNCTION("""COMPUTED_VALUE"""),"[]")</f>
        <v>[]</v>
      </c>
      <c r="X5068" s="6" t="str">
        <f>IFERROR(__xludf.DUMMYFUNCTION("""COMPUTED_VALUE"""),"Enrolled")</f>
        <v>Enrolled</v>
      </c>
    </row>
    <row r="5069">
      <c r="A5069" s="6" t="str">
        <f>IFERROR(__xludf.DUMMYFUNCTION("""COMPUTED_VALUE"""),"086-12460")</f>
        <v>086-12460</v>
      </c>
      <c r="B5069" s="6" t="str">
        <f>IFERROR(__xludf.DUMMYFUNCTION("""COMPUTED_VALUE"""),"86")</f>
        <v>86</v>
      </c>
      <c r="C5069" s="6" t="str">
        <f>IFERROR(__xludf.DUMMYFUNCTION("""COMPUTED_VALUE"""),"12460")</f>
        <v>12460</v>
      </c>
      <c r="D5069" s="6" t="str">
        <f>IFERROR(__xludf.DUMMYFUNCTION("""COMPUTED_VALUE"""),"Liliana")</f>
        <v>Liliana</v>
      </c>
      <c r="E5069" s="6" t="str">
        <f>IFERROR(__xludf.DUMMYFUNCTION("""COMPUTED_VALUE"""),"")</f>
        <v/>
      </c>
      <c r="F5069" s="6" t="str">
        <f>IFERROR(__xludf.DUMMYFUNCTION("""COMPUTED_VALUE"""),"Cordova Molina")</f>
        <v>Cordova Molina</v>
      </c>
      <c r="G5069" s="6" t="str">
        <f>IFERROR(__xludf.DUMMYFUNCTION("""COMPUTED_VALUE"""),"06/16/2017")</f>
        <v>06/16/2017</v>
      </c>
      <c r="H5069" s="6" t="str">
        <f>IFERROR(__xludf.DUMMYFUNCTION("""COMPUTED_VALUE"""),"male")</f>
        <v>male</v>
      </c>
      <c r="I5069" s="6" t="str">
        <f>IFERROR(__xludf.DUMMYFUNCTION("""COMPUTED_VALUE"""),"Level 1")</f>
        <v>Level 1</v>
      </c>
      <c r="J5069" s="6" t="str">
        <f>IFERROR(__xludf.DUMMYFUNCTION("""COMPUTED_VALUE"""),"2")</f>
        <v>2</v>
      </c>
      <c r="K5069" s="6" t="str">
        <f>IFERROR(__xludf.DUMMYFUNCTION("""COMPUTED_VALUE"""),"liliana.cordovamolina@2hourlearning.com")</f>
        <v>liliana.cordovamolina@2hourlearning.com</v>
      </c>
      <c r="L5069" s="6" t="str">
        <f>IFERROR(__xludf.DUMMYFUNCTION("""COMPUTED_VALUE"""),"JRES - Ridgeland Elementary School")</f>
        <v>JRES - Ridgeland Elementary School</v>
      </c>
      <c r="M5069" s="6" t="str">
        <f>IFERROR(__xludf.DUMMYFUNCTION("""COMPUTED_VALUE"""),"")</f>
        <v/>
      </c>
      <c r="N5069" s="6" t="str">
        <f>IFERROR(__xludf.DUMMYFUNCTION("""COMPUTED_VALUE"""),"")</f>
        <v/>
      </c>
      <c r="O5069" s="87" t="str">
        <f>IFERROR(__xludf.DUMMYFUNCTION("""COMPUTED_VALUE"""),"https://drive.google.com/drive/folders/10T2cTQHqEJZqE-st6uFKPoI?usp=share_link")</f>
        <v>https://drive.google.com/drive/folders/10T2cTQHqEJZqE-st6uFKPoI?usp=share_link</v>
      </c>
      <c r="P5069" s="6" t="str">
        <f>IFERROR(__xludf.DUMMYFUNCTION("""COMPUTED_VALUE"""),"Liliana Cordova Molina")</f>
        <v>Liliana Cordova Molina</v>
      </c>
      <c r="Q5069" s="6" t="str">
        <f>IFERROR(__xludf.DUMMYFUNCTION("""COMPUTED_VALUE"""),"L1")</f>
        <v>L1</v>
      </c>
      <c r="R5069" s="6">
        <f>IFERROR(__xludf.DUMMYFUNCTION("""COMPUTED_VALUE"""),1.0)</f>
        <v>1</v>
      </c>
      <c r="S5069" s="6" t="str">
        <f>IFERROR(__xludf.DUMMYFUNCTION("""COMPUTED_VALUE"""),"Kimberly Ball")</f>
        <v>Kimberly Ball</v>
      </c>
      <c r="T5069" s="6" t="str">
        <f>IFERROR(__xludf.DUMMYFUNCTION("""COMPUTED_VALUE"""),"kimberly.ball@studient.com")</f>
        <v>kimberly.ball@studient.com</v>
      </c>
      <c r="U5069" s="6" t="str">
        <f>IFERROR(__xludf.DUMMYFUNCTION("""COMPUTED_VALUE"""),"2")</f>
        <v>2</v>
      </c>
      <c r="V5069" s="6" t="str">
        <f>IFERROR(__xludf.DUMMYFUNCTION("""COMPUTED_VALUE"""),"")</f>
        <v/>
      </c>
      <c r="W5069" s="6" t="str">
        <f>IFERROR(__xludf.DUMMYFUNCTION("""COMPUTED_VALUE"""),"[]")</f>
        <v>[]</v>
      </c>
      <c r="X5069" s="6" t="str">
        <f>IFERROR(__xludf.DUMMYFUNCTION("""COMPUTED_VALUE"""),"Enrolled")</f>
        <v>Enrolled</v>
      </c>
    </row>
    <row r="5070">
      <c r="A5070" s="6" t="str">
        <f>IFERROR(__xludf.DUMMYFUNCTION("""COMPUTED_VALUE"""),"086-12461")</f>
        <v>086-12461</v>
      </c>
      <c r="B5070" s="6" t="str">
        <f>IFERROR(__xludf.DUMMYFUNCTION("""COMPUTED_VALUE"""),"86")</f>
        <v>86</v>
      </c>
      <c r="C5070" s="6" t="str">
        <f>IFERROR(__xludf.DUMMYFUNCTION("""COMPUTED_VALUE"""),"12461")</f>
        <v>12461</v>
      </c>
      <c r="D5070" s="6" t="str">
        <f>IFERROR(__xludf.DUMMYFUNCTION("""COMPUTED_VALUE"""),"Yony")</f>
        <v>Yony</v>
      </c>
      <c r="E5070" s="6" t="str">
        <f>IFERROR(__xludf.DUMMYFUNCTION("""COMPUTED_VALUE"""),"")</f>
        <v/>
      </c>
      <c r="F5070" s="6" t="str">
        <f>IFERROR(__xludf.DUMMYFUNCTION("""COMPUTED_VALUE"""),"DeLaCruz Aguilar")</f>
        <v>DeLaCruz Aguilar</v>
      </c>
      <c r="G5070" s="6" t="str">
        <f>IFERROR(__xludf.DUMMYFUNCTION("""COMPUTED_VALUE"""),"07/28/2016")</f>
        <v>07/28/2016</v>
      </c>
      <c r="H5070" s="6" t="str">
        <f>IFERROR(__xludf.DUMMYFUNCTION("""COMPUTED_VALUE"""),"male")</f>
        <v>male</v>
      </c>
      <c r="I5070" s="6" t="str">
        <f>IFERROR(__xludf.DUMMYFUNCTION("""COMPUTED_VALUE"""),"Level 1")</f>
        <v>Level 1</v>
      </c>
      <c r="J5070" s="6" t="str">
        <f>IFERROR(__xludf.DUMMYFUNCTION("""COMPUTED_VALUE"""),"2")</f>
        <v>2</v>
      </c>
      <c r="K5070" s="6" t="str">
        <f>IFERROR(__xludf.DUMMYFUNCTION("""COMPUTED_VALUE"""),"yony.delacruzaguilar@2hourlearning.com")</f>
        <v>yony.delacruzaguilar@2hourlearning.com</v>
      </c>
      <c r="L5070" s="6" t="str">
        <f>IFERROR(__xludf.DUMMYFUNCTION("""COMPUTED_VALUE"""),"JRES - Ridgeland Elementary School")</f>
        <v>JRES - Ridgeland Elementary School</v>
      </c>
      <c r="M5070" s="6" t="str">
        <f>IFERROR(__xludf.DUMMYFUNCTION("""COMPUTED_VALUE"""),"")</f>
        <v/>
      </c>
      <c r="N5070" s="6" t="str">
        <f>IFERROR(__xludf.DUMMYFUNCTION("""COMPUTED_VALUE"""),"")</f>
        <v/>
      </c>
      <c r="O5070" s="87" t="str">
        <f>IFERROR(__xludf.DUMMYFUNCTION("""COMPUTED_VALUE"""),"https://drive.google.com/drive/folders/10T2cTQHqEJZqE-st6uFKPoI?usp=share_link")</f>
        <v>https://drive.google.com/drive/folders/10T2cTQHqEJZqE-st6uFKPoI?usp=share_link</v>
      </c>
      <c r="P5070" s="6" t="str">
        <f>IFERROR(__xludf.DUMMYFUNCTION("""COMPUTED_VALUE"""),"Yony DeLaCruz Aguilar")</f>
        <v>Yony DeLaCruz Aguilar</v>
      </c>
      <c r="Q5070" s="6" t="str">
        <f>IFERROR(__xludf.DUMMYFUNCTION("""COMPUTED_VALUE"""),"L1")</f>
        <v>L1</v>
      </c>
      <c r="R5070" s="6">
        <f>IFERROR(__xludf.DUMMYFUNCTION("""COMPUTED_VALUE"""),1.0)</f>
        <v>1</v>
      </c>
      <c r="S5070" s="6" t="str">
        <f>IFERROR(__xludf.DUMMYFUNCTION("""COMPUTED_VALUE"""),"Kimberly Ball")</f>
        <v>Kimberly Ball</v>
      </c>
      <c r="T5070" s="6" t="str">
        <f>IFERROR(__xludf.DUMMYFUNCTION("""COMPUTED_VALUE"""),"kimberly.ball@studient.com")</f>
        <v>kimberly.ball@studient.com</v>
      </c>
      <c r="U5070" s="6" t="str">
        <f>IFERROR(__xludf.DUMMYFUNCTION("""COMPUTED_VALUE"""),"2")</f>
        <v>2</v>
      </c>
      <c r="V5070" s="6" t="str">
        <f>IFERROR(__xludf.DUMMYFUNCTION("""COMPUTED_VALUE"""),"")</f>
        <v/>
      </c>
      <c r="W5070" s="6" t="str">
        <f>IFERROR(__xludf.DUMMYFUNCTION("""COMPUTED_VALUE"""),"[]")</f>
        <v>[]</v>
      </c>
      <c r="X5070" s="6" t="str">
        <f>IFERROR(__xludf.DUMMYFUNCTION("""COMPUTED_VALUE"""),"Enrolled")</f>
        <v>Enrolled</v>
      </c>
    </row>
    <row r="5071">
      <c r="A5071" s="6" t="str">
        <f>IFERROR(__xludf.DUMMYFUNCTION("""COMPUTED_VALUE"""),"086-12462")</f>
        <v>086-12462</v>
      </c>
      <c r="B5071" s="6" t="str">
        <f>IFERROR(__xludf.DUMMYFUNCTION("""COMPUTED_VALUE"""),"86")</f>
        <v>86</v>
      </c>
      <c r="C5071" s="6" t="str">
        <f>IFERROR(__xludf.DUMMYFUNCTION("""COMPUTED_VALUE"""),"12462")</f>
        <v>12462</v>
      </c>
      <c r="D5071" s="6" t="str">
        <f>IFERROR(__xludf.DUMMYFUNCTION("""COMPUTED_VALUE"""),"Javier")</f>
        <v>Javier</v>
      </c>
      <c r="E5071" s="6" t="str">
        <f>IFERROR(__xludf.DUMMYFUNCTION("""COMPUTED_VALUE"""),"")</f>
        <v/>
      </c>
      <c r="F5071" s="6" t="str">
        <f>IFERROR(__xludf.DUMMYFUNCTION("""COMPUTED_VALUE"""),"Fernandez Roman")</f>
        <v>Fernandez Roman</v>
      </c>
      <c r="G5071" s="6" t="str">
        <f>IFERROR(__xludf.DUMMYFUNCTION("""COMPUTED_VALUE"""),"07/11/2017")</f>
        <v>07/11/2017</v>
      </c>
      <c r="H5071" s="6" t="str">
        <f>IFERROR(__xludf.DUMMYFUNCTION("""COMPUTED_VALUE"""),"female")</f>
        <v>female</v>
      </c>
      <c r="I5071" s="6" t="str">
        <f>IFERROR(__xludf.DUMMYFUNCTION("""COMPUTED_VALUE"""),"Level 1")</f>
        <v>Level 1</v>
      </c>
      <c r="J5071" s="6" t="str">
        <f>IFERROR(__xludf.DUMMYFUNCTION("""COMPUTED_VALUE"""),"2")</f>
        <v>2</v>
      </c>
      <c r="K5071" s="6" t="str">
        <f>IFERROR(__xludf.DUMMYFUNCTION("""COMPUTED_VALUE"""),"javier.fernandezroman@2hourlearning.com")</f>
        <v>javier.fernandezroman@2hourlearning.com</v>
      </c>
      <c r="L5071" s="6" t="str">
        <f>IFERROR(__xludf.DUMMYFUNCTION("""COMPUTED_VALUE"""),"JRES - Ridgeland Elementary School")</f>
        <v>JRES - Ridgeland Elementary School</v>
      </c>
      <c r="M5071" s="6" t="str">
        <f>IFERROR(__xludf.DUMMYFUNCTION("""COMPUTED_VALUE"""),"")</f>
        <v/>
      </c>
      <c r="N5071" s="6" t="str">
        <f>IFERROR(__xludf.DUMMYFUNCTION("""COMPUTED_VALUE"""),"")</f>
        <v/>
      </c>
      <c r="O5071" s="87" t="str">
        <f>IFERROR(__xludf.DUMMYFUNCTION("""COMPUTED_VALUE"""),"https://drive.google.com/drive/folders/10T2cTQHqEJZqE-st6uFKPoI?usp=share_link")</f>
        <v>https://drive.google.com/drive/folders/10T2cTQHqEJZqE-st6uFKPoI?usp=share_link</v>
      </c>
      <c r="P5071" s="6" t="str">
        <f>IFERROR(__xludf.DUMMYFUNCTION("""COMPUTED_VALUE"""),"Javier Fernandez Roman")</f>
        <v>Javier Fernandez Roman</v>
      </c>
      <c r="Q5071" s="6" t="str">
        <f>IFERROR(__xludf.DUMMYFUNCTION("""COMPUTED_VALUE"""),"L1")</f>
        <v>L1</v>
      </c>
      <c r="R5071" s="6">
        <f>IFERROR(__xludf.DUMMYFUNCTION("""COMPUTED_VALUE"""),1.0)</f>
        <v>1</v>
      </c>
      <c r="S5071" s="6" t="str">
        <f>IFERROR(__xludf.DUMMYFUNCTION("""COMPUTED_VALUE"""),"Kimberly Ball")</f>
        <v>Kimberly Ball</v>
      </c>
      <c r="T5071" s="6" t="str">
        <f>IFERROR(__xludf.DUMMYFUNCTION("""COMPUTED_VALUE"""),"kimberly.ball@studient.com")</f>
        <v>kimberly.ball@studient.com</v>
      </c>
      <c r="U5071" s="6" t="str">
        <f>IFERROR(__xludf.DUMMYFUNCTION("""COMPUTED_VALUE"""),"2")</f>
        <v>2</v>
      </c>
      <c r="V5071" s="6" t="str">
        <f>IFERROR(__xludf.DUMMYFUNCTION("""COMPUTED_VALUE"""),"")</f>
        <v/>
      </c>
      <c r="W5071" s="6" t="str">
        <f>IFERROR(__xludf.DUMMYFUNCTION("""COMPUTED_VALUE"""),"[]")</f>
        <v>[]</v>
      </c>
      <c r="X5071" s="6" t="str">
        <f>IFERROR(__xludf.DUMMYFUNCTION("""COMPUTED_VALUE"""),"Enrolled")</f>
        <v>Enrolled</v>
      </c>
    </row>
    <row r="5072">
      <c r="A5072" s="6" t="str">
        <f>IFERROR(__xludf.DUMMYFUNCTION("""COMPUTED_VALUE"""),"086-12463")</f>
        <v>086-12463</v>
      </c>
      <c r="B5072" s="6" t="str">
        <f>IFERROR(__xludf.DUMMYFUNCTION("""COMPUTED_VALUE"""),"86")</f>
        <v>86</v>
      </c>
      <c r="C5072" s="6" t="str">
        <f>IFERROR(__xludf.DUMMYFUNCTION("""COMPUTED_VALUE"""),"12463")</f>
        <v>12463</v>
      </c>
      <c r="D5072" s="6" t="str">
        <f>IFERROR(__xludf.DUMMYFUNCTION("""COMPUTED_VALUE"""),"Axel")</f>
        <v>Axel</v>
      </c>
      <c r="E5072" s="6" t="str">
        <f>IFERROR(__xludf.DUMMYFUNCTION("""COMPUTED_VALUE"""),"")</f>
        <v/>
      </c>
      <c r="F5072" s="6" t="str">
        <f>IFERROR(__xludf.DUMMYFUNCTION("""COMPUTED_VALUE"""),"Flores Galvan")</f>
        <v>Flores Galvan</v>
      </c>
      <c r="G5072" s="6" t="str">
        <f>IFERROR(__xludf.DUMMYFUNCTION("""COMPUTED_VALUE"""),"07/02/2016")</f>
        <v>07/02/2016</v>
      </c>
      <c r="H5072" s="6" t="str">
        <f>IFERROR(__xludf.DUMMYFUNCTION("""COMPUTED_VALUE"""),"male")</f>
        <v>male</v>
      </c>
      <c r="I5072" s="6" t="str">
        <f>IFERROR(__xludf.DUMMYFUNCTION("""COMPUTED_VALUE"""),"Level 1")</f>
        <v>Level 1</v>
      </c>
      <c r="J5072" s="6" t="str">
        <f>IFERROR(__xludf.DUMMYFUNCTION("""COMPUTED_VALUE"""),"2")</f>
        <v>2</v>
      </c>
      <c r="K5072" s="6" t="str">
        <f>IFERROR(__xludf.DUMMYFUNCTION("""COMPUTED_VALUE"""),"axel.floresgalvan@2hourlearning.com")</f>
        <v>axel.floresgalvan@2hourlearning.com</v>
      </c>
      <c r="L5072" s="6" t="str">
        <f>IFERROR(__xludf.DUMMYFUNCTION("""COMPUTED_VALUE"""),"JRES - Ridgeland Elementary School")</f>
        <v>JRES - Ridgeland Elementary School</v>
      </c>
      <c r="M5072" s="6" t="str">
        <f>IFERROR(__xludf.DUMMYFUNCTION("""COMPUTED_VALUE"""),"")</f>
        <v/>
      </c>
      <c r="N5072" s="6" t="str">
        <f>IFERROR(__xludf.DUMMYFUNCTION("""COMPUTED_VALUE"""),"")</f>
        <v/>
      </c>
      <c r="O5072" s="87" t="str">
        <f>IFERROR(__xludf.DUMMYFUNCTION("""COMPUTED_VALUE"""),"https://drive.google.com/drive/folders/10T2cTQHqEJZqE-st6uFKPoI?usp=share_link")</f>
        <v>https://drive.google.com/drive/folders/10T2cTQHqEJZqE-st6uFKPoI?usp=share_link</v>
      </c>
      <c r="P5072" s="6" t="str">
        <f>IFERROR(__xludf.DUMMYFUNCTION("""COMPUTED_VALUE"""),"Axel Flores Galvan")</f>
        <v>Axel Flores Galvan</v>
      </c>
      <c r="Q5072" s="6" t="str">
        <f>IFERROR(__xludf.DUMMYFUNCTION("""COMPUTED_VALUE"""),"L1")</f>
        <v>L1</v>
      </c>
      <c r="R5072" s="6">
        <f>IFERROR(__xludf.DUMMYFUNCTION("""COMPUTED_VALUE"""),1.0)</f>
        <v>1</v>
      </c>
      <c r="S5072" s="6" t="str">
        <f>IFERROR(__xludf.DUMMYFUNCTION("""COMPUTED_VALUE"""),"Kimberly Ball")</f>
        <v>Kimberly Ball</v>
      </c>
      <c r="T5072" s="6" t="str">
        <f>IFERROR(__xludf.DUMMYFUNCTION("""COMPUTED_VALUE"""),"kimberly.ball@studient.com")</f>
        <v>kimberly.ball@studient.com</v>
      </c>
      <c r="U5072" s="6" t="str">
        <f>IFERROR(__xludf.DUMMYFUNCTION("""COMPUTED_VALUE"""),"2")</f>
        <v>2</v>
      </c>
      <c r="V5072" s="6" t="str">
        <f>IFERROR(__xludf.DUMMYFUNCTION("""COMPUTED_VALUE"""),"")</f>
        <v/>
      </c>
      <c r="W5072" s="6" t="str">
        <f>IFERROR(__xludf.DUMMYFUNCTION("""COMPUTED_VALUE"""),"[]")</f>
        <v>[]</v>
      </c>
      <c r="X5072" s="6" t="str">
        <f>IFERROR(__xludf.DUMMYFUNCTION("""COMPUTED_VALUE"""),"Enrolled")</f>
        <v>Enrolled</v>
      </c>
    </row>
    <row r="5073">
      <c r="A5073" s="6" t="str">
        <f>IFERROR(__xludf.DUMMYFUNCTION("""COMPUTED_VALUE"""),"086-12464")</f>
        <v>086-12464</v>
      </c>
      <c r="B5073" s="6" t="str">
        <f>IFERROR(__xludf.DUMMYFUNCTION("""COMPUTED_VALUE"""),"86")</f>
        <v>86</v>
      </c>
      <c r="C5073" s="6" t="str">
        <f>IFERROR(__xludf.DUMMYFUNCTION("""COMPUTED_VALUE"""),"12464")</f>
        <v>12464</v>
      </c>
      <c r="D5073" s="6" t="str">
        <f>IFERROR(__xludf.DUMMYFUNCTION("""COMPUTED_VALUE"""),"Josiah")</f>
        <v>Josiah</v>
      </c>
      <c r="E5073" s="6" t="str">
        <f>IFERROR(__xludf.DUMMYFUNCTION("""COMPUTED_VALUE"""),"")</f>
        <v/>
      </c>
      <c r="F5073" s="6" t="str">
        <f>IFERROR(__xludf.DUMMYFUNCTION("""COMPUTED_VALUE"""),"Gadson")</f>
        <v>Gadson</v>
      </c>
      <c r="G5073" s="6" t="str">
        <f>IFERROR(__xludf.DUMMYFUNCTION("""COMPUTED_VALUE"""),"11/30/2016")</f>
        <v>11/30/2016</v>
      </c>
      <c r="H5073" s="6" t="str">
        <f>IFERROR(__xludf.DUMMYFUNCTION("""COMPUTED_VALUE"""),"male")</f>
        <v>male</v>
      </c>
      <c r="I5073" s="6" t="str">
        <f>IFERROR(__xludf.DUMMYFUNCTION("""COMPUTED_VALUE"""),"Level 1")</f>
        <v>Level 1</v>
      </c>
      <c r="J5073" s="6" t="str">
        <f>IFERROR(__xludf.DUMMYFUNCTION("""COMPUTED_VALUE"""),"2")</f>
        <v>2</v>
      </c>
      <c r="K5073" s="6" t="str">
        <f>IFERROR(__xludf.DUMMYFUNCTION("""COMPUTED_VALUE"""),"josiah.gadson@2hourlearning.com")</f>
        <v>josiah.gadson@2hourlearning.com</v>
      </c>
      <c r="L5073" s="6" t="str">
        <f>IFERROR(__xludf.DUMMYFUNCTION("""COMPUTED_VALUE"""),"JRES - Ridgeland Elementary School")</f>
        <v>JRES - Ridgeland Elementary School</v>
      </c>
      <c r="M5073" s="6" t="str">
        <f>IFERROR(__xludf.DUMMYFUNCTION("""COMPUTED_VALUE"""),"")</f>
        <v/>
      </c>
      <c r="N5073" s="6" t="str">
        <f>IFERROR(__xludf.DUMMYFUNCTION("""COMPUTED_VALUE"""),"")</f>
        <v/>
      </c>
      <c r="O5073" s="87" t="str">
        <f>IFERROR(__xludf.DUMMYFUNCTION("""COMPUTED_VALUE"""),"https://drive.google.com/drive/folders/10T2cTQHqEJZqE-st6uFKPoI?usp=share_link")</f>
        <v>https://drive.google.com/drive/folders/10T2cTQHqEJZqE-st6uFKPoI?usp=share_link</v>
      </c>
      <c r="P5073" s="6" t="str">
        <f>IFERROR(__xludf.DUMMYFUNCTION("""COMPUTED_VALUE"""),"Josiah Gadson")</f>
        <v>Josiah Gadson</v>
      </c>
      <c r="Q5073" s="6" t="str">
        <f>IFERROR(__xludf.DUMMYFUNCTION("""COMPUTED_VALUE"""),"L1")</f>
        <v>L1</v>
      </c>
      <c r="R5073" s="6">
        <f>IFERROR(__xludf.DUMMYFUNCTION("""COMPUTED_VALUE"""),1.0)</f>
        <v>1</v>
      </c>
      <c r="S5073" s="6" t="str">
        <f>IFERROR(__xludf.DUMMYFUNCTION("""COMPUTED_VALUE"""),"Kimberly Ball")</f>
        <v>Kimberly Ball</v>
      </c>
      <c r="T5073" s="6" t="str">
        <f>IFERROR(__xludf.DUMMYFUNCTION("""COMPUTED_VALUE"""),"kimberly.ball@studient.com")</f>
        <v>kimberly.ball@studient.com</v>
      </c>
      <c r="U5073" s="6" t="str">
        <f>IFERROR(__xludf.DUMMYFUNCTION("""COMPUTED_VALUE"""),"2")</f>
        <v>2</v>
      </c>
      <c r="V5073" s="6" t="str">
        <f>IFERROR(__xludf.DUMMYFUNCTION("""COMPUTED_VALUE"""),"")</f>
        <v/>
      </c>
      <c r="W5073" s="6" t="str">
        <f>IFERROR(__xludf.DUMMYFUNCTION("""COMPUTED_VALUE"""),"[]")</f>
        <v>[]</v>
      </c>
      <c r="X5073" s="6" t="str">
        <f>IFERROR(__xludf.DUMMYFUNCTION("""COMPUTED_VALUE"""),"Enrolled")</f>
        <v>Enrolled</v>
      </c>
    </row>
    <row r="5074">
      <c r="A5074" s="6" t="str">
        <f>IFERROR(__xludf.DUMMYFUNCTION("""COMPUTED_VALUE"""),"086-12465")</f>
        <v>086-12465</v>
      </c>
      <c r="B5074" s="6" t="str">
        <f>IFERROR(__xludf.DUMMYFUNCTION("""COMPUTED_VALUE"""),"86")</f>
        <v>86</v>
      </c>
      <c r="C5074" s="6" t="str">
        <f>IFERROR(__xludf.DUMMYFUNCTION("""COMPUTED_VALUE"""),"12465")</f>
        <v>12465</v>
      </c>
      <c r="D5074" s="6" t="str">
        <f>IFERROR(__xludf.DUMMYFUNCTION("""COMPUTED_VALUE"""),"Dara")</f>
        <v>Dara</v>
      </c>
      <c r="E5074" s="6" t="str">
        <f>IFERROR(__xludf.DUMMYFUNCTION("""COMPUTED_VALUE"""),"")</f>
        <v/>
      </c>
      <c r="F5074" s="6" t="str">
        <f>IFERROR(__xludf.DUMMYFUNCTION("""COMPUTED_VALUE"""),"Garcia Hidalgo")</f>
        <v>Garcia Hidalgo</v>
      </c>
      <c r="G5074" s="6" t="str">
        <f>IFERROR(__xludf.DUMMYFUNCTION("""COMPUTED_VALUE"""),"05/12/2015")</f>
        <v>05/12/2015</v>
      </c>
      <c r="H5074" s="6" t="str">
        <f>IFERROR(__xludf.DUMMYFUNCTION("""COMPUTED_VALUE"""),"female")</f>
        <v>female</v>
      </c>
      <c r="I5074" s="6" t="str">
        <f>IFERROR(__xludf.DUMMYFUNCTION("""COMPUTED_VALUE"""),"Level 1")</f>
        <v>Level 1</v>
      </c>
      <c r="J5074" s="6" t="str">
        <f>IFERROR(__xludf.DUMMYFUNCTION("""COMPUTED_VALUE"""),"2")</f>
        <v>2</v>
      </c>
      <c r="K5074" s="6" t="str">
        <f>IFERROR(__xludf.DUMMYFUNCTION("""COMPUTED_VALUE"""),"dara.garciahidalgo@2hourlearning.com")</f>
        <v>dara.garciahidalgo@2hourlearning.com</v>
      </c>
      <c r="L5074" s="6" t="str">
        <f>IFERROR(__xludf.DUMMYFUNCTION("""COMPUTED_VALUE"""),"JRES - Ridgeland Elementary School")</f>
        <v>JRES - Ridgeland Elementary School</v>
      </c>
      <c r="M5074" s="6" t="str">
        <f>IFERROR(__xludf.DUMMYFUNCTION("""COMPUTED_VALUE"""),"")</f>
        <v/>
      </c>
      <c r="N5074" s="6" t="str">
        <f>IFERROR(__xludf.DUMMYFUNCTION("""COMPUTED_VALUE"""),"")</f>
        <v/>
      </c>
      <c r="O5074" s="87" t="str">
        <f>IFERROR(__xludf.DUMMYFUNCTION("""COMPUTED_VALUE"""),"https://drive.google.com/drive/folders/10T2cTQHqEJZqE-st6uFKPoI?usp=share_link")</f>
        <v>https://drive.google.com/drive/folders/10T2cTQHqEJZqE-st6uFKPoI?usp=share_link</v>
      </c>
      <c r="P5074" s="6" t="str">
        <f>IFERROR(__xludf.DUMMYFUNCTION("""COMPUTED_VALUE"""),"Dara Garcia Hidalgo")</f>
        <v>Dara Garcia Hidalgo</v>
      </c>
      <c r="Q5074" s="6" t="str">
        <f>IFERROR(__xludf.DUMMYFUNCTION("""COMPUTED_VALUE"""),"L1")</f>
        <v>L1</v>
      </c>
      <c r="R5074" s="6">
        <f>IFERROR(__xludf.DUMMYFUNCTION("""COMPUTED_VALUE"""),1.0)</f>
        <v>1</v>
      </c>
      <c r="S5074" s="6" t="str">
        <f>IFERROR(__xludf.DUMMYFUNCTION("""COMPUTED_VALUE"""),"Kimberly Ball")</f>
        <v>Kimberly Ball</v>
      </c>
      <c r="T5074" s="6" t="str">
        <f>IFERROR(__xludf.DUMMYFUNCTION("""COMPUTED_VALUE"""),"kimberly.ball@studient.com")</f>
        <v>kimberly.ball@studient.com</v>
      </c>
      <c r="U5074" s="6" t="str">
        <f>IFERROR(__xludf.DUMMYFUNCTION("""COMPUTED_VALUE"""),"2")</f>
        <v>2</v>
      </c>
      <c r="V5074" s="6" t="str">
        <f>IFERROR(__xludf.DUMMYFUNCTION("""COMPUTED_VALUE"""),"")</f>
        <v/>
      </c>
      <c r="W5074" s="6" t="str">
        <f>IFERROR(__xludf.DUMMYFUNCTION("""COMPUTED_VALUE"""),"[]")</f>
        <v>[]</v>
      </c>
      <c r="X5074" s="6" t="str">
        <f>IFERROR(__xludf.DUMMYFUNCTION("""COMPUTED_VALUE"""),"Enrolled")</f>
        <v>Enrolled</v>
      </c>
    </row>
    <row r="5075">
      <c r="A5075" s="6" t="str">
        <f>IFERROR(__xludf.DUMMYFUNCTION("""COMPUTED_VALUE"""),"086-12466")</f>
        <v>086-12466</v>
      </c>
      <c r="B5075" s="6" t="str">
        <f>IFERROR(__xludf.DUMMYFUNCTION("""COMPUTED_VALUE"""),"86")</f>
        <v>86</v>
      </c>
      <c r="C5075" s="6" t="str">
        <f>IFERROR(__xludf.DUMMYFUNCTION("""COMPUTED_VALUE"""),"12466")</f>
        <v>12466</v>
      </c>
      <c r="D5075" s="6" t="str">
        <f>IFERROR(__xludf.DUMMYFUNCTION("""COMPUTED_VALUE"""),"Sofia")</f>
        <v>Sofia</v>
      </c>
      <c r="E5075" s="6" t="str">
        <f>IFERROR(__xludf.DUMMYFUNCTION("""COMPUTED_VALUE"""),"")</f>
        <v/>
      </c>
      <c r="F5075" s="6" t="str">
        <f>IFERROR(__xludf.DUMMYFUNCTION("""COMPUTED_VALUE"""),"Garcia Hidalgo")</f>
        <v>Garcia Hidalgo</v>
      </c>
      <c r="G5075" s="6" t="str">
        <f>IFERROR(__xludf.DUMMYFUNCTION("""COMPUTED_VALUE"""),"01/13/2015")</f>
        <v>01/13/2015</v>
      </c>
      <c r="H5075" s="6" t="str">
        <f>IFERROR(__xludf.DUMMYFUNCTION("""COMPUTED_VALUE"""),"male")</f>
        <v>male</v>
      </c>
      <c r="I5075" s="6" t="str">
        <f>IFERROR(__xludf.DUMMYFUNCTION("""COMPUTED_VALUE"""),"Level 1")</f>
        <v>Level 1</v>
      </c>
      <c r="J5075" s="6" t="str">
        <f>IFERROR(__xludf.DUMMYFUNCTION("""COMPUTED_VALUE"""),"2")</f>
        <v>2</v>
      </c>
      <c r="K5075" s="6" t="str">
        <f>IFERROR(__xludf.DUMMYFUNCTION("""COMPUTED_VALUE"""),"sofia.garciahidalgo@2hourlearning.com")</f>
        <v>sofia.garciahidalgo@2hourlearning.com</v>
      </c>
      <c r="L5075" s="6" t="str">
        <f>IFERROR(__xludf.DUMMYFUNCTION("""COMPUTED_VALUE"""),"JRES - Ridgeland Elementary School")</f>
        <v>JRES - Ridgeland Elementary School</v>
      </c>
      <c r="M5075" s="6" t="str">
        <f>IFERROR(__xludf.DUMMYFUNCTION("""COMPUTED_VALUE"""),"")</f>
        <v/>
      </c>
      <c r="N5075" s="6" t="str">
        <f>IFERROR(__xludf.DUMMYFUNCTION("""COMPUTED_VALUE"""),"")</f>
        <v/>
      </c>
      <c r="O5075" s="87" t="str">
        <f>IFERROR(__xludf.DUMMYFUNCTION("""COMPUTED_VALUE"""),"https://drive.google.com/drive/folders/10T2cTQHqEJZqE-st6uFKPoI?usp=share_link")</f>
        <v>https://drive.google.com/drive/folders/10T2cTQHqEJZqE-st6uFKPoI?usp=share_link</v>
      </c>
      <c r="P5075" s="6" t="str">
        <f>IFERROR(__xludf.DUMMYFUNCTION("""COMPUTED_VALUE"""),"Sofia Garcia Hidalgo")</f>
        <v>Sofia Garcia Hidalgo</v>
      </c>
      <c r="Q5075" s="6" t="str">
        <f>IFERROR(__xludf.DUMMYFUNCTION("""COMPUTED_VALUE"""),"L1")</f>
        <v>L1</v>
      </c>
      <c r="R5075" s="6">
        <f>IFERROR(__xludf.DUMMYFUNCTION("""COMPUTED_VALUE"""),1.0)</f>
        <v>1</v>
      </c>
      <c r="S5075" s="6" t="str">
        <f>IFERROR(__xludf.DUMMYFUNCTION("""COMPUTED_VALUE"""),"Kimberly Ball")</f>
        <v>Kimberly Ball</v>
      </c>
      <c r="T5075" s="6" t="str">
        <f>IFERROR(__xludf.DUMMYFUNCTION("""COMPUTED_VALUE"""),"kimberly.ball@studient.com")</f>
        <v>kimberly.ball@studient.com</v>
      </c>
      <c r="U5075" s="6" t="str">
        <f>IFERROR(__xludf.DUMMYFUNCTION("""COMPUTED_VALUE"""),"2")</f>
        <v>2</v>
      </c>
      <c r="V5075" s="6" t="str">
        <f>IFERROR(__xludf.DUMMYFUNCTION("""COMPUTED_VALUE"""),"")</f>
        <v/>
      </c>
      <c r="W5075" s="6" t="str">
        <f>IFERROR(__xludf.DUMMYFUNCTION("""COMPUTED_VALUE"""),"[]")</f>
        <v>[]</v>
      </c>
      <c r="X5075" s="6" t="str">
        <f>IFERROR(__xludf.DUMMYFUNCTION("""COMPUTED_VALUE"""),"Enrolled")</f>
        <v>Enrolled</v>
      </c>
    </row>
    <row r="5076">
      <c r="A5076" s="6" t="str">
        <f>IFERROR(__xludf.DUMMYFUNCTION("""COMPUTED_VALUE"""),"086-12467")</f>
        <v>086-12467</v>
      </c>
      <c r="B5076" s="6" t="str">
        <f>IFERROR(__xludf.DUMMYFUNCTION("""COMPUTED_VALUE"""),"86")</f>
        <v>86</v>
      </c>
      <c r="C5076" s="6" t="str">
        <f>IFERROR(__xludf.DUMMYFUNCTION("""COMPUTED_VALUE"""),"12467")</f>
        <v>12467</v>
      </c>
      <c r="D5076" s="6" t="str">
        <f>IFERROR(__xludf.DUMMYFUNCTION("""COMPUTED_VALUE"""),"Zaid")</f>
        <v>Zaid</v>
      </c>
      <c r="E5076" s="6" t="str">
        <f>IFERROR(__xludf.DUMMYFUNCTION("""COMPUTED_VALUE"""),"")</f>
        <v/>
      </c>
      <c r="F5076" s="6" t="str">
        <f>IFERROR(__xludf.DUMMYFUNCTION("""COMPUTED_VALUE"""),"Garcia Morales")</f>
        <v>Garcia Morales</v>
      </c>
      <c r="G5076" s="6" t="str">
        <f>IFERROR(__xludf.DUMMYFUNCTION("""COMPUTED_VALUE"""),"10/26/2015")</f>
        <v>10/26/2015</v>
      </c>
      <c r="H5076" s="6" t="str">
        <f>IFERROR(__xludf.DUMMYFUNCTION("""COMPUTED_VALUE"""),"female")</f>
        <v>female</v>
      </c>
      <c r="I5076" s="6" t="str">
        <f>IFERROR(__xludf.DUMMYFUNCTION("""COMPUTED_VALUE"""),"Level 1")</f>
        <v>Level 1</v>
      </c>
      <c r="J5076" s="6" t="str">
        <f>IFERROR(__xludf.DUMMYFUNCTION("""COMPUTED_VALUE"""),"2")</f>
        <v>2</v>
      </c>
      <c r="K5076" s="6" t="str">
        <f>IFERROR(__xludf.DUMMYFUNCTION("""COMPUTED_VALUE"""),"zaid.garciamorales@2hourlearning.com")</f>
        <v>zaid.garciamorales@2hourlearning.com</v>
      </c>
      <c r="L5076" s="6" t="str">
        <f>IFERROR(__xludf.DUMMYFUNCTION("""COMPUTED_VALUE"""),"JRES - Ridgeland Elementary School")</f>
        <v>JRES - Ridgeland Elementary School</v>
      </c>
      <c r="M5076" s="6" t="str">
        <f>IFERROR(__xludf.DUMMYFUNCTION("""COMPUTED_VALUE"""),"")</f>
        <v/>
      </c>
      <c r="N5076" s="6" t="str">
        <f>IFERROR(__xludf.DUMMYFUNCTION("""COMPUTED_VALUE"""),"")</f>
        <v/>
      </c>
      <c r="O5076" s="87" t="str">
        <f>IFERROR(__xludf.DUMMYFUNCTION("""COMPUTED_VALUE"""),"https://drive.google.com/drive/folders/10T2cTQHqEJZqE-st6uFKPoI?usp=share_link")</f>
        <v>https://drive.google.com/drive/folders/10T2cTQHqEJZqE-st6uFKPoI?usp=share_link</v>
      </c>
      <c r="P5076" s="6" t="str">
        <f>IFERROR(__xludf.DUMMYFUNCTION("""COMPUTED_VALUE"""),"Zaid Garcia Morales")</f>
        <v>Zaid Garcia Morales</v>
      </c>
      <c r="Q5076" s="6" t="str">
        <f>IFERROR(__xludf.DUMMYFUNCTION("""COMPUTED_VALUE"""),"L1")</f>
        <v>L1</v>
      </c>
      <c r="R5076" s="6">
        <f>IFERROR(__xludf.DUMMYFUNCTION("""COMPUTED_VALUE"""),1.0)</f>
        <v>1</v>
      </c>
      <c r="S5076" s="6" t="str">
        <f>IFERROR(__xludf.DUMMYFUNCTION("""COMPUTED_VALUE"""),"Kimberly Ball")</f>
        <v>Kimberly Ball</v>
      </c>
      <c r="T5076" s="6" t="str">
        <f>IFERROR(__xludf.DUMMYFUNCTION("""COMPUTED_VALUE"""),"kimberly.ball@studient.com")</f>
        <v>kimberly.ball@studient.com</v>
      </c>
      <c r="U5076" s="6" t="str">
        <f>IFERROR(__xludf.DUMMYFUNCTION("""COMPUTED_VALUE"""),"2")</f>
        <v>2</v>
      </c>
      <c r="V5076" s="6" t="str">
        <f>IFERROR(__xludf.DUMMYFUNCTION("""COMPUTED_VALUE"""),"")</f>
        <v/>
      </c>
      <c r="W5076" s="6" t="str">
        <f>IFERROR(__xludf.DUMMYFUNCTION("""COMPUTED_VALUE"""),"[]")</f>
        <v>[]</v>
      </c>
      <c r="X5076" s="6" t="str">
        <f>IFERROR(__xludf.DUMMYFUNCTION("""COMPUTED_VALUE"""),"Enrolled")</f>
        <v>Enrolled</v>
      </c>
    </row>
    <row r="5077">
      <c r="A5077" s="6" t="str">
        <f>IFERROR(__xludf.DUMMYFUNCTION("""COMPUTED_VALUE"""),"086-12468")</f>
        <v>086-12468</v>
      </c>
      <c r="B5077" s="6" t="str">
        <f>IFERROR(__xludf.DUMMYFUNCTION("""COMPUTED_VALUE"""),"86")</f>
        <v>86</v>
      </c>
      <c r="C5077" s="6" t="str">
        <f>IFERROR(__xludf.DUMMYFUNCTION("""COMPUTED_VALUE"""),"12468")</f>
        <v>12468</v>
      </c>
      <c r="D5077" s="6" t="str">
        <f>IFERROR(__xludf.DUMMYFUNCTION("""COMPUTED_VALUE"""),"Genesis")</f>
        <v>Genesis</v>
      </c>
      <c r="E5077" s="6" t="str">
        <f>IFERROR(__xludf.DUMMYFUNCTION("""COMPUTED_VALUE"""),"")</f>
        <v/>
      </c>
      <c r="F5077" s="6" t="str">
        <f>IFERROR(__xludf.DUMMYFUNCTION("""COMPUTED_VALUE"""),"Garzon")</f>
        <v>Garzon</v>
      </c>
      <c r="G5077" s="6" t="str">
        <f>IFERROR(__xludf.DUMMYFUNCTION("""COMPUTED_VALUE"""),"02/27/2016")</f>
        <v>02/27/2016</v>
      </c>
      <c r="H5077" s="6" t="str">
        <f>IFERROR(__xludf.DUMMYFUNCTION("""COMPUTED_VALUE"""),"male")</f>
        <v>male</v>
      </c>
      <c r="I5077" s="6" t="str">
        <f>IFERROR(__xludf.DUMMYFUNCTION("""COMPUTED_VALUE"""),"Level 1")</f>
        <v>Level 1</v>
      </c>
      <c r="J5077" s="6" t="str">
        <f>IFERROR(__xludf.DUMMYFUNCTION("""COMPUTED_VALUE"""),"2")</f>
        <v>2</v>
      </c>
      <c r="K5077" s="6" t="str">
        <f>IFERROR(__xludf.DUMMYFUNCTION("""COMPUTED_VALUE"""),"genesis.garzon@2hourlearning.com")</f>
        <v>genesis.garzon@2hourlearning.com</v>
      </c>
      <c r="L5077" s="6" t="str">
        <f>IFERROR(__xludf.DUMMYFUNCTION("""COMPUTED_VALUE"""),"JRES - Ridgeland Elementary School")</f>
        <v>JRES - Ridgeland Elementary School</v>
      </c>
      <c r="M5077" s="6" t="str">
        <f>IFERROR(__xludf.DUMMYFUNCTION("""COMPUTED_VALUE"""),"")</f>
        <v/>
      </c>
      <c r="N5077" s="6" t="str">
        <f>IFERROR(__xludf.DUMMYFUNCTION("""COMPUTED_VALUE"""),"")</f>
        <v/>
      </c>
      <c r="O5077" s="87" t="str">
        <f>IFERROR(__xludf.DUMMYFUNCTION("""COMPUTED_VALUE"""),"https://drive.google.com/drive/folders/10T2cTQHqEJZqE-st6uFKPoI?usp=share_link")</f>
        <v>https://drive.google.com/drive/folders/10T2cTQHqEJZqE-st6uFKPoI?usp=share_link</v>
      </c>
      <c r="P5077" s="6" t="str">
        <f>IFERROR(__xludf.DUMMYFUNCTION("""COMPUTED_VALUE"""),"Genesis Garzon")</f>
        <v>Genesis Garzon</v>
      </c>
      <c r="Q5077" s="6" t="str">
        <f>IFERROR(__xludf.DUMMYFUNCTION("""COMPUTED_VALUE"""),"L1")</f>
        <v>L1</v>
      </c>
      <c r="R5077" s="6">
        <f>IFERROR(__xludf.DUMMYFUNCTION("""COMPUTED_VALUE"""),1.0)</f>
        <v>1</v>
      </c>
      <c r="S5077" s="6" t="str">
        <f>IFERROR(__xludf.DUMMYFUNCTION("""COMPUTED_VALUE"""),"Kimberly Ball")</f>
        <v>Kimberly Ball</v>
      </c>
      <c r="T5077" s="6" t="str">
        <f>IFERROR(__xludf.DUMMYFUNCTION("""COMPUTED_VALUE"""),"kimberly.ball@studient.com")</f>
        <v>kimberly.ball@studient.com</v>
      </c>
      <c r="U5077" s="6" t="str">
        <f>IFERROR(__xludf.DUMMYFUNCTION("""COMPUTED_VALUE"""),"2")</f>
        <v>2</v>
      </c>
      <c r="V5077" s="6" t="str">
        <f>IFERROR(__xludf.DUMMYFUNCTION("""COMPUTED_VALUE"""),"")</f>
        <v/>
      </c>
      <c r="W5077" s="6" t="str">
        <f>IFERROR(__xludf.DUMMYFUNCTION("""COMPUTED_VALUE"""),"[]")</f>
        <v>[]</v>
      </c>
      <c r="X5077" s="6" t="str">
        <f>IFERROR(__xludf.DUMMYFUNCTION("""COMPUTED_VALUE"""),"Enrolled")</f>
        <v>Enrolled</v>
      </c>
    </row>
    <row r="5078">
      <c r="A5078" s="6" t="str">
        <f>IFERROR(__xludf.DUMMYFUNCTION("""COMPUTED_VALUE"""),"086-12469")</f>
        <v>086-12469</v>
      </c>
      <c r="B5078" s="6" t="str">
        <f>IFERROR(__xludf.DUMMYFUNCTION("""COMPUTED_VALUE"""),"86")</f>
        <v>86</v>
      </c>
      <c r="C5078" s="6" t="str">
        <f>IFERROR(__xludf.DUMMYFUNCTION("""COMPUTED_VALUE"""),"12469")</f>
        <v>12469</v>
      </c>
      <c r="D5078" s="6" t="str">
        <f>IFERROR(__xludf.DUMMYFUNCTION("""COMPUTED_VALUE"""),"Kylie")</f>
        <v>Kylie</v>
      </c>
      <c r="E5078" s="6" t="str">
        <f>IFERROR(__xludf.DUMMYFUNCTION("""COMPUTED_VALUE"""),"")</f>
        <v/>
      </c>
      <c r="F5078" s="6" t="str">
        <f>IFERROR(__xludf.DUMMYFUNCTION("""COMPUTED_VALUE"""),"Gomez Cobos")</f>
        <v>Gomez Cobos</v>
      </c>
      <c r="G5078" s="6" t="str">
        <f>IFERROR(__xludf.DUMMYFUNCTION("""COMPUTED_VALUE"""),"05/28/2017")</f>
        <v>05/28/2017</v>
      </c>
      <c r="H5078" s="6" t="str">
        <f>IFERROR(__xludf.DUMMYFUNCTION("""COMPUTED_VALUE"""),"male")</f>
        <v>male</v>
      </c>
      <c r="I5078" s="6" t="str">
        <f>IFERROR(__xludf.DUMMYFUNCTION("""COMPUTED_VALUE"""),"Level 1")</f>
        <v>Level 1</v>
      </c>
      <c r="J5078" s="6" t="str">
        <f>IFERROR(__xludf.DUMMYFUNCTION("""COMPUTED_VALUE"""),"2")</f>
        <v>2</v>
      </c>
      <c r="K5078" s="6" t="str">
        <f>IFERROR(__xludf.DUMMYFUNCTION("""COMPUTED_VALUE"""),"kylie.gomezcobos@2hourlearning.com")</f>
        <v>kylie.gomezcobos@2hourlearning.com</v>
      </c>
      <c r="L5078" s="6" t="str">
        <f>IFERROR(__xludf.DUMMYFUNCTION("""COMPUTED_VALUE"""),"JRES - Ridgeland Elementary School")</f>
        <v>JRES - Ridgeland Elementary School</v>
      </c>
      <c r="M5078" s="6" t="str">
        <f>IFERROR(__xludf.DUMMYFUNCTION("""COMPUTED_VALUE"""),"")</f>
        <v/>
      </c>
      <c r="N5078" s="6" t="str">
        <f>IFERROR(__xludf.DUMMYFUNCTION("""COMPUTED_VALUE"""),"")</f>
        <v/>
      </c>
      <c r="O5078" s="87" t="str">
        <f>IFERROR(__xludf.DUMMYFUNCTION("""COMPUTED_VALUE"""),"https://drive.google.com/drive/folders/10T2cTQHqEJZqE-st6uFKPoI?usp=share_link")</f>
        <v>https://drive.google.com/drive/folders/10T2cTQHqEJZqE-st6uFKPoI?usp=share_link</v>
      </c>
      <c r="P5078" s="6" t="str">
        <f>IFERROR(__xludf.DUMMYFUNCTION("""COMPUTED_VALUE"""),"Kylie Gomez Cobos")</f>
        <v>Kylie Gomez Cobos</v>
      </c>
      <c r="Q5078" s="6" t="str">
        <f>IFERROR(__xludf.DUMMYFUNCTION("""COMPUTED_VALUE"""),"L1")</f>
        <v>L1</v>
      </c>
      <c r="R5078" s="6">
        <f>IFERROR(__xludf.DUMMYFUNCTION("""COMPUTED_VALUE"""),1.0)</f>
        <v>1</v>
      </c>
      <c r="S5078" s="6" t="str">
        <f>IFERROR(__xludf.DUMMYFUNCTION("""COMPUTED_VALUE"""),"Kimberly Ball")</f>
        <v>Kimberly Ball</v>
      </c>
      <c r="T5078" s="6" t="str">
        <f>IFERROR(__xludf.DUMMYFUNCTION("""COMPUTED_VALUE"""),"kimberly.ball@studient.com")</f>
        <v>kimberly.ball@studient.com</v>
      </c>
      <c r="U5078" s="6" t="str">
        <f>IFERROR(__xludf.DUMMYFUNCTION("""COMPUTED_VALUE"""),"2")</f>
        <v>2</v>
      </c>
      <c r="V5078" s="6" t="str">
        <f>IFERROR(__xludf.DUMMYFUNCTION("""COMPUTED_VALUE"""),"")</f>
        <v/>
      </c>
      <c r="W5078" s="6" t="str">
        <f>IFERROR(__xludf.DUMMYFUNCTION("""COMPUTED_VALUE"""),"[]")</f>
        <v>[]</v>
      </c>
      <c r="X5078" s="6" t="str">
        <f>IFERROR(__xludf.DUMMYFUNCTION("""COMPUTED_VALUE"""),"Enrolled")</f>
        <v>Enrolled</v>
      </c>
    </row>
    <row r="5079">
      <c r="A5079" s="6" t="str">
        <f>IFERROR(__xludf.DUMMYFUNCTION("""COMPUTED_VALUE"""),"086-12470")</f>
        <v>086-12470</v>
      </c>
      <c r="B5079" s="6" t="str">
        <f>IFERROR(__xludf.DUMMYFUNCTION("""COMPUTED_VALUE"""),"86")</f>
        <v>86</v>
      </c>
      <c r="C5079" s="6" t="str">
        <f>IFERROR(__xludf.DUMMYFUNCTION("""COMPUTED_VALUE"""),"12470")</f>
        <v>12470</v>
      </c>
      <c r="D5079" s="6" t="str">
        <f>IFERROR(__xludf.DUMMYFUNCTION("""COMPUTED_VALUE"""),"Daira")</f>
        <v>Daira</v>
      </c>
      <c r="E5079" s="6" t="str">
        <f>IFERROR(__xludf.DUMMYFUNCTION("""COMPUTED_VALUE"""),"")</f>
        <v/>
      </c>
      <c r="F5079" s="6" t="str">
        <f>IFERROR(__xludf.DUMMYFUNCTION("""COMPUTED_VALUE"""),"Gomez Gonzalez")</f>
        <v>Gomez Gonzalez</v>
      </c>
      <c r="G5079" s="6" t="str">
        <f>IFERROR(__xludf.DUMMYFUNCTION("""COMPUTED_VALUE"""),"02/08/2015")</f>
        <v>02/08/2015</v>
      </c>
      <c r="H5079" s="6" t="str">
        <f>IFERROR(__xludf.DUMMYFUNCTION("""COMPUTED_VALUE"""),"female")</f>
        <v>female</v>
      </c>
      <c r="I5079" s="6" t="str">
        <f>IFERROR(__xludf.DUMMYFUNCTION("""COMPUTED_VALUE"""),"Level 1")</f>
        <v>Level 1</v>
      </c>
      <c r="J5079" s="6" t="str">
        <f>IFERROR(__xludf.DUMMYFUNCTION("""COMPUTED_VALUE"""),"2")</f>
        <v>2</v>
      </c>
      <c r="K5079" s="6" t="str">
        <f>IFERROR(__xludf.DUMMYFUNCTION("""COMPUTED_VALUE"""),"daira.gomezgonzalez@2hourlearning.com")</f>
        <v>daira.gomezgonzalez@2hourlearning.com</v>
      </c>
      <c r="L5079" s="6" t="str">
        <f>IFERROR(__xludf.DUMMYFUNCTION("""COMPUTED_VALUE"""),"JRES - Ridgeland Elementary School")</f>
        <v>JRES - Ridgeland Elementary School</v>
      </c>
      <c r="M5079" s="6" t="str">
        <f>IFERROR(__xludf.DUMMYFUNCTION("""COMPUTED_VALUE"""),"")</f>
        <v/>
      </c>
      <c r="N5079" s="6" t="str">
        <f>IFERROR(__xludf.DUMMYFUNCTION("""COMPUTED_VALUE"""),"")</f>
        <v/>
      </c>
      <c r="O5079" s="87" t="str">
        <f>IFERROR(__xludf.DUMMYFUNCTION("""COMPUTED_VALUE"""),"https://drive.google.com/drive/folders/10T2cTQHqEJZqE-st6uFKPoI?usp=share_link")</f>
        <v>https://drive.google.com/drive/folders/10T2cTQHqEJZqE-st6uFKPoI?usp=share_link</v>
      </c>
      <c r="P5079" s="6" t="str">
        <f>IFERROR(__xludf.DUMMYFUNCTION("""COMPUTED_VALUE"""),"Daira Gomez Gonzalez")</f>
        <v>Daira Gomez Gonzalez</v>
      </c>
      <c r="Q5079" s="6" t="str">
        <f>IFERROR(__xludf.DUMMYFUNCTION("""COMPUTED_VALUE"""),"L1")</f>
        <v>L1</v>
      </c>
      <c r="R5079" s="6">
        <f>IFERROR(__xludf.DUMMYFUNCTION("""COMPUTED_VALUE"""),1.0)</f>
        <v>1</v>
      </c>
      <c r="S5079" s="6" t="str">
        <f>IFERROR(__xludf.DUMMYFUNCTION("""COMPUTED_VALUE"""),"Kimberly Ball")</f>
        <v>Kimberly Ball</v>
      </c>
      <c r="T5079" s="6" t="str">
        <f>IFERROR(__xludf.DUMMYFUNCTION("""COMPUTED_VALUE"""),"kimberly.ball@studient.com")</f>
        <v>kimberly.ball@studient.com</v>
      </c>
      <c r="U5079" s="6" t="str">
        <f>IFERROR(__xludf.DUMMYFUNCTION("""COMPUTED_VALUE"""),"2")</f>
        <v>2</v>
      </c>
      <c r="V5079" s="6" t="str">
        <f>IFERROR(__xludf.DUMMYFUNCTION("""COMPUTED_VALUE"""),"")</f>
        <v/>
      </c>
      <c r="W5079" s="6" t="str">
        <f>IFERROR(__xludf.DUMMYFUNCTION("""COMPUTED_VALUE"""),"[]")</f>
        <v>[]</v>
      </c>
      <c r="X5079" s="6" t="str">
        <f>IFERROR(__xludf.DUMMYFUNCTION("""COMPUTED_VALUE"""),"Enrolled")</f>
        <v>Enrolled</v>
      </c>
    </row>
    <row r="5080">
      <c r="A5080" s="6" t="str">
        <f>IFERROR(__xludf.DUMMYFUNCTION("""COMPUTED_VALUE"""),"086-12471")</f>
        <v>086-12471</v>
      </c>
      <c r="B5080" s="6" t="str">
        <f>IFERROR(__xludf.DUMMYFUNCTION("""COMPUTED_VALUE"""),"86")</f>
        <v>86</v>
      </c>
      <c r="C5080" s="6" t="str">
        <f>IFERROR(__xludf.DUMMYFUNCTION("""COMPUTED_VALUE"""),"12471")</f>
        <v>12471</v>
      </c>
      <c r="D5080" s="6" t="str">
        <f>IFERROR(__xludf.DUMMYFUNCTION("""COMPUTED_VALUE"""),"Santiago")</f>
        <v>Santiago</v>
      </c>
      <c r="E5080" s="6" t="str">
        <f>IFERROR(__xludf.DUMMYFUNCTION("""COMPUTED_VALUE"""),"")</f>
        <v/>
      </c>
      <c r="F5080" s="6" t="str">
        <f>IFERROR(__xludf.DUMMYFUNCTION("""COMPUTED_VALUE"""),"Gomez Moreno")</f>
        <v>Gomez Moreno</v>
      </c>
      <c r="G5080" s="6" t="str">
        <f>IFERROR(__xludf.DUMMYFUNCTION("""COMPUTED_VALUE"""),"12/18/2016")</f>
        <v>12/18/2016</v>
      </c>
      <c r="H5080" s="6" t="str">
        <f>IFERROR(__xludf.DUMMYFUNCTION("""COMPUTED_VALUE"""),"female")</f>
        <v>female</v>
      </c>
      <c r="I5080" s="6" t="str">
        <f>IFERROR(__xludf.DUMMYFUNCTION("""COMPUTED_VALUE"""),"Level 1")</f>
        <v>Level 1</v>
      </c>
      <c r="J5080" s="6" t="str">
        <f>IFERROR(__xludf.DUMMYFUNCTION("""COMPUTED_VALUE"""),"2")</f>
        <v>2</v>
      </c>
      <c r="K5080" s="6" t="str">
        <f>IFERROR(__xludf.DUMMYFUNCTION("""COMPUTED_VALUE"""),"santiago.gomezmoreno@2hourlearning.com")</f>
        <v>santiago.gomezmoreno@2hourlearning.com</v>
      </c>
      <c r="L5080" s="6" t="str">
        <f>IFERROR(__xludf.DUMMYFUNCTION("""COMPUTED_VALUE"""),"JRES - Ridgeland Elementary School")</f>
        <v>JRES - Ridgeland Elementary School</v>
      </c>
      <c r="M5080" s="6" t="str">
        <f>IFERROR(__xludf.DUMMYFUNCTION("""COMPUTED_VALUE"""),"")</f>
        <v/>
      </c>
      <c r="N5080" s="6" t="str">
        <f>IFERROR(__xludf.DUMMYFUNCTION("""COMPUTED_VALUE"""),"")</f>
        <v/>
      </c>
      <c r="O5080" s="87" t="str">
        <f>IFERROR(__xludf.DUMMYFUNCTION("""COMPUTED_VALUE"""),"https://drive.google.com/drive/folders/10T2cTQHqEJZqE-st6uFKPoI?usp=share_link")</f>
        <v>https://drive.google.com/drive/folders/10T2cTQHqEJZqE-st6uFKPoI?usp=share_link</v>
      </c>
      <c r="P5080" s="6" t="str">
        <f>IFERROR(__xludf.DUMMYFUNCTION("""COMPUTED_VALUE"""),"Santiago Gomez Moreno")</f>
        <v>Santiago Gomez Moreno</v>
      </c>
      <c r="Q5080" s="6" t="str">
        <f>IFERROR(__xludf.DUMMYFUNCTION("""COMPUTED_VALUE"""),"L1")</f>
        <v>L1</v>
      </c>
      <c r="R5080" s="6">
        <f>IFERROR(__xludf.DUMMYFUNCTION("""COMPUTED_VALUE"""),1.0)</f>
        <v>1</v>
      </c>
      <c r="S5080" s="6" t="str">
        <f>IFERROR(__xludf.DUMMYFUNCTION("""COMPUTED_VALUE"""),"Kimberly Ball")</f>
        <v>Kimberly Ball</v>
      </c>
      <c r="T5080" s="6" t="str">
        <f>IFERROR(__xludf.DUMMYFUNCTION("""COMPUTED_VALUE"""),"kimberly.ball@studient.com")</f>
        <v>kimberly.ball@studient.com</v>
      </c>
      <c r="U5080" s="6" t="str">
        <f>IFERROR(__xludf.DUMMYFUNCTION("""COMPUTED_VALUE"""),"2")</f>
        <v>2</v>
      </c>
      <c r="V5080" s="6" t="str">
        <f>IFERROR(__xludf.DUMMYFUNCTION("""COMPUTED_VALUE"""),"")</f>
        <v/>
      </c>
      <c r="W5080" s="6" t="str">
        <f>IFERROR(__xludf.DUMMYFUNCTION("""COMPUTED_VALUE"""),"[]")</f>
        <v>[]</v>
      </c>
      <c r="X5080" s="6" t="str">
        <f>IFERROR(__xludf.DUMMYFUNCTION("""COMPUTED_VALUE"""),"Enrolled")</f>
        <v>Enrolled</v>
      </c>
    </row>
    <row r="5081">
      <c r="A5081" s="6" t="str">
        <f>IFERROR(__xludf.DUMMYFUNCTION("""COMPUTED_VALUE"""),"086-12472")</f>
        <v>086-12472</v>
      </c>
      <c r="B5081" s="6" t="str">
        <f>IFERROR(__xludf.DUMMYFUNCTION("""COMPUTED_VALUE"""),"86")</f>
        <v>86</v>
      </c>
      <c r="C5081" s="6" t="str">
        <f>IFERROR(__xludf.DUMMYFUNCTION("""COMPUTED_VALUE"""),"12472")</f>
        <v>12472</v>
      </c>
      <c r="D5081" s="6" t="str">
        <f>IFERROR(__xludf.DUMMYFUNCTION("""COMPUTED_VALUE"""),"Jesus")</f>
        <v>Jesus</v>
      </c>
      <c r="E5081" s="6" t="str">
        <f>IFERROR(__xludf.DUMMYFUNCTION("""COMPUTED_VALUE"""),"")</f>
        <v/>
      </c>
      <c r="F5081" s="6" t="str">
        <f>IFERROR(__xludf.DUMMYFUNCTION("""COMPUTED_VALUE"""),"Gomez Reyna")</f>
        <v>Gomez Reyna</v>
      </c>
      <c r="G5081" s="6" t="str">
        <f>IFERROR(__xludf.DUMMYFUNCTION("""COMPUTED_VALUE"""),"01/09/2016")</f>
        <v>01/09/2016</v>
      </c>
      <c r="H5081" s="6" t="str">
        <f>IFERROR(__xludf.DUMMYFUNCTION("""COMPUTED_VALUE"""),"male")</f>
        <v>male</v>
      </c>
      <c r="I5081" s="6" t="str">
        <f>IFERROR(__xludf.DUMMYFUNCTION("""COMPUTED_VALUE"""),"Level 1")</f>
        <v>Level 1</v>
      </c>
      <c r="J5081" s="6" t="str">
        <f>IFERROR(__xludf.DUMMYFUNCTION("""COMPUTED_VALUE"""),"2")</f>
        <v>2</v>
      </c>
      <c r="K5081" s="6" t="str">
        <f>IFERROR(__xludf.DUMMYFUNCTION("""COMPUTED_VALUE"""),"jesus.gomezreyna@2hourlearning.com")</f>
        <v>jesus.gomezreyna@2hourlearning.com</v>
      </c>
      <c r="L5081" s="6" t="str">
        <f>IFERROR(__xludf.DUMMYFUNCTION("""COMPUTED_VALUE"""),"JRES - Ridgeland Elementary School")</f>
        <v>JRES - Ridgeland Elementary School</v>
      </c>
      <c r="M5081" s="6" t="str">
        <f>IFERROR(__xludf.DUMMYFUNCTION("""COMPUTED_VALUE"""),"")</f>
        <v/>
      </c>
      <c r="N5081" s="6" t="str">
        <f>IFERROR(__xludf.DUMMYFUNCTION("""COMPUTED_VALUE"""),"")</f>
        <v/>
      </c>
      <c r="O5081" s="87" t="str">
        <f>IFERROR(__xludf.DUMMYFUNCTION("""COMPUTED_VALUE"""),"https://drive.google.com/drive/folders/10T2cTQHqEJZqE-st6uFKPoI?usp=share_link")</f>
        <v>https://drive.google.com/drive/folders/10T2cTQHqEJZqE-st6uFKPoI?usp=share_link</v>
      </c>
      <c r="P5081" s="6" t="str">
        <f>IFERROR(__xludf.DUMMYFUNCTION("""COMPUTED_VALUE"""),"Jesus Gomez Reyna")</f>
        <v>Jesus Gomez Reyna</v>
      </c>
      <c r="Q5081" s="6" t="str">
        <f>IFERROR(__xludf.DUMMYFUNCTION("""COMPUTED_VALUE"""),"L1")</f>
        <v>L1</v>
      </c>
      <c r="R5081" s="6">
        <f>IFERROR(__xludf.DUMMYFUNCTION("""COMPUTED_VALUE"""),1.0)</f>
        <v>1</v>
      </c>
      <c r="S5081" s="6" t="str">
        <f>IFERROR(__xludf.DUMMYFUNCTION("""COMPUTED_VALUE"""),"Kimberly Ball")</f>
        <v>Kimberly Ball</v>
      </c>
      <c r="T5081" s="6" t="str">
        <f>IFERROR(__xludf.DUMMYFUNCTION("""COMPUTED_VALUE"""),"kimberly.ball@studient.com")</f>
        <v>kimberly.ball@studient.com</v>
      </c>
      <c r="U5081" s="6" t="str">
        <f>IFERROR(__xludf.DUMMYFUNCTION("""COMPUTED_VALUE"""),"2")</f>
        <v>2</v>
      </c>
      <c r="V5081" s="6" t="str">
        <f>IFERROR(__xludf.DUMMYFUNCTION("""COMPUTED_VALUE"""),"")</f>
        <v/>
      </c>
      <c r="W5081" s="6" t="str">
        <f>IFERROR(__xludf.DUMMYFUNCTION("""COMPUTED_VALUE"""),"[]")</f>
        <v>[]</v>
      </c>
      <c r="X5081" s="6" t="str">
        <f>IFERROR(__xludf.DUMMYFUNCTION("""COMPUTED_VALUE"""),"Enrolled")</f>
        <v>Enrolled</v>
      </c>
    </row>
    <row r="5082">
      <c r="A5082" s="6" t="str">
        <f>IFERROR(__xludf.DUMMYFUNCTION("""COMPUTED_VALUE"""),"086-12473")</f>
        <v>086-12473</v>
      </c>
      <c r="B5082" s="6" t="str">
        <f>IFERROR(__xludf.DUMMYFUNCTION("""COMPUTED_VALUE"""),"86")</f>
        <v>86</v>
      </c>
      <c r="C5082" s="6" t="str">
        <f>IFERROR(__xludf.DUMMYFUNCTION("""COMPUTED_VALUE"""),"12473")</f>
        <v>12473</v>
      </c>
      <c r="D5082" s="6" t="str">
        <f>IFERROR(__xludf.DUMMYFUNCTION("""COMPUTED_VALUE"""),"Josue")</f>
        <v>Josue</v>
      </c>
      <c r="E5082" s="6" t="str">
        <f>IFERROR(__xludf.DUMMYFUNCTION("""COMPUTED_VALUE"""),"")</f>
        <v/>
      </c>
      <c r="F5082" s="6" t="str">
        <f>IFERROR(__xludf.DUMMYFUNCTION("""COMPUTED_VALUE"""),"Gonzalez")</f>
        <v>Gonzalez</v>
      </c>
      <c r="G5082" s="6" t="str">
        <f>IFERROR(__xludf.DUMMYFUNCTION("""COMPUTED_VALUE"""),"07/02/2015")</f>
        <v>07/02/2015</v>
      </c>
      <c r="H5082" s="6" t="str">
        <f>IFERROR(__xludf.DUMMYFUNCTION("""COMPUTED_VALUE"""),"male")</f>
        <v>male</v>
      </c>
      <c r="I5082" s="6" t="str">
        <f>IFERROR(__xludf.DUMMYFUNCTION("""COMPUTED_VALUE"""),"Level 1")</f>
        <v>Level 1</v>
      </c>
      <c r="J5082" s="6" t="str">
        <f>IFERROR(__xludf.DUMMYFUNCTION("""COMPUTED_VALUE"""),"2")</f>
        <v>2</v>
      </c>
      <c r="K5082" s="6" t="str">
        <f>IFERROR(__xludf.DUMMYFUNCTION("""COMPUTED_VALUE"""),"josue.gonzalez@2hourlearning.com")</f>
        <v>josue.gonzalez@2hourlearning.com</v>
      </c>
      <c r="L5082" s="6" t="str">
        <f>IFERROR(__xludf.DUMMYFUNCTION("""COMPUTED_VALUE"""),"JRES - Ridgeland Elementary School")</f>
        <v>JRES - Ridgeland Elementary School</v>
      </c>
      <c r="M5082" s="6" t="str">
        <f>IFERROR(__xludf.DUMMYFUNCTION("""COMPUTED_VALUE"""),"")</f>
        <v/>
      </c>
      <c r="N5082" s="6" t="str">
        <f>IFERROR(__xludf.DUMMYFUNCTION("""COMPUTED_VALUE"""),"")</f>
        <v/>
      </c>
      <c r="O5082" s="87" t="str">
        <f>IFERROR(__xludf.DUMMYFUNCTION("""COMPUTED_VALUE"""),"https://drive.google.com/drive/folders/10T2cTQHqEJZqE-st6uFKPoI?usp=share_link")</f>
        <v>https://drive.google.com/drive/folders/10T2cTQHqEJZqE-st6uFKPoI?usp=share_link</v>
      </c>
      <c r="P5082" s="6" t="str">
        <f>IFERROR(__xludf.DUMMYFUNCTION("""COMPUTED_VALUE"""),"Josue Gonzalez")</f>
        <v>Josue Gonzalez</v>
      </c>
      <c r="Q5082" s="6" t="str">
        <f>IFERROR(__xludf.DUMMYFUNCTION("""COMPUTED_VALUE"""),"L1")</f>
        <v>L1</v>
      </c>
      <c r="R5082" s="6">
        <f>IFERROR(__xludf.DUMMYFUNCTION("""COMPUTED_VALUE"""),1.0)</f>
        <v>1</v>
      </c>
      <c r="S5082" s="6" t="str">
        <f>IFERROR(__xludf.DUMMYFUNCTION("""COMPUTED_VALUE"""),"Kimberly Ball")</f>
        <v>Kimberly Ball</v>
      </c>
      <c r="T5082" s="6" t="str">
        <f>IFERROR(__xludf.DUMMYFUNCTION("""COMPUTED_VALUE"""),"kimberly.ball@studient.com")</f>
        <v>kimberly.ball@studient.com</v>
      </c>
      <c r="U5082" s="6" t="str">
        <f>IFERROR(__xludf.DUMMYFUNCTION("""COMPUTED_VALUE"""),"2")</f>
        <v>2</v>
      </c>
      <c r="V5082" s="6" t="str">
        <f>IFERROR(__xludf.DUMMYFUNCTION("""COMPUTED_VALUE"""),"")</f>
        <v/>
      </c>
      <c r="W5082" s="6" t="str">
        <f>IFERROR(__xludf.DUMMYFUNCTION("""COMPUTED_VALUE"""),"[]")</f>
        <v>[]</v>
      </c>
      <c r="X5082" s="6" t="str">
        <f>IFERROR(__xludf.DUMMYFUNCTION("""COMPUTED_VALUE"""),"Enrolled")</f>
        <v>Enrolled</v>
      </c>
    </row>
    <row r="5083">
      <c r="A5083" s="6" t="str">
        <f>IFERROR(__xludf.DUMMYFUNCTION("""COMPUTED_VALUE"""),"086-12474")</f>
        <v>086-12474</v>
      </c>
      <c r="B5083" s="6" t="str">
        <f>IFERROR(__xludf.DUMMYFUNCTION("""COMPUTED_VALUE"""),"86")</f>
        <v>86</v>
      </c>
      <c r="C5083" s="6" t="str">
        <f>IFERROR(__xludf.DUMMYFUNCTION("""COMPUTED_VALUE"""),"12474")</f>
        <v>12474</v>
      </c>
      <c r="D5083" s="6" t="str">
        <f>IFERROR(__xludf.DUMMYFUNCTION("""COMPUTED_VALUE"""),"Jenny")</f>
        <v>Jenny</v>
      </c>
      <c r="E5083" s="6" t="str">
        <f>IFERROR(__xludf.DUMMYFUNCTION("""COMPUTED_VALUE"""),"")</f>
        <v/>
      </c>
      <c r="F5083" s="6" t="str">
        <f>IFERROR(__xludf.DUMMYFUNCTION("""COMPUTED_VALUE"""),"Gonzalez Jimenez")</f>
        <v>Gonzalez Jimenez</v>
      </c>
      <c r="G5083" s="6" t="str">
        <f>IFERROR(__xludf.DUMMYFUNCTION("""COMPUTED_VALUE"""),"04/06/2018")</f>
        <v>04/06/2018</v>
      </c>
      <c r="H5083" s="6" t="str">
        <f>IFERROR(__xludf.DUMMYFUNCTION("""COMPUTED_VALUE"""),"male")</f>
        <v>male</v>
      </c>
      <c r="I5083" s="6" t="str">
        <f>IFERROR(__xludf.DUMMYFUNCTION("""COMPUTED_VALUE"""),"Level 1")</f>
        <v>Level 1</v>
      </c>
      <c r="J5083" s="6" t="str">
        <f>IFERROR(__xludf.DUMMYFUNCTION("""COMPUTED_VALUE"""),"2")</f>
        <v>2</v>
      </c>
      <c r="K5083" s="6" t="str">
        <f>IFERROR(__xludf.DUMMYFUNCTION("""COMPUTED_VALUE"""),"jenny.gonzalezjimenez@2hourlearning.com")</f>
        <v>jenny.gonzalezjimenez@2hourlearning.com</v>
      </c>
      <c r="L5083" s="6" t="str">
        <f>IFERROR(__xludf.DUMMYFUNCTION("""COMPUTED_VALUE"""),"JRES - Ridgeland Elementary School")</f>
        <v>JRES - Ridgeland Elementary School</v>
      </c>
      <c r="M5083" s="6" t="str">
        <f>IFERROR(__xludf.DUMMYFUNCTION("""COMPUTED_VALUE"""),"")</f>
        <v/>
      </c>
      <c r="N5083" s="6" t="str">
        <f>IFERROR(__xludf.DUMMYFUNCTION("""COMPUTED_VALUE"""),"")</f>
        <v/>
      </c>
      <c r="O5083" s="87" t="str">
        <f>IFERROR(__xludf.DUMMYFUNCTION("""COMPUTED_VALUE"""),"https://drive.google.com/drive/folders/10T2cTQHqEJZqE-st6uFKPoI?usp=share_link")</f>
        <v>https://drive.google.com/drive/folders/10T2cTQHqEJZqE-st6uFKPoI?usp=share_link</v>
      </c>
      <c r="P5083" s="6" t="str">
        <f>IFERROR(__xludf.DUMMYFUNCTION("""COMPUTED_VALUE"""),"Jenny Gonzalez Jimenez")</f>
        <v>Jenny Gonzalez Jimenez</v>
      </c>
      <c r="Q5083" s="6" t="str">
        <f>IFERROR(__xludf.DUMMYFUNCTION("""COMPUTED_VALUE"""),"L1")</f>
        <v>L1</v>
      </c>
      <c r="R5083" s="6">
        <f>IFERROR(__xludf.DUMMYFUNCTION("""COMPUTED_VALUE"""),1.0)</f>
        <v>1</v>
      </c>
      <c r="S5083" s="6" t="str">
        <f>IFERROR(__xludf.DUMMYFUNCTION("""COMPUTED_VALUE"""),"Kimberly Ball")</f>
        <v>Kimberly Ball</v>
      </c>
      <c r="T5083" s="6" t="str">
        <f>IFERROR(__xludf.DUMMYFUNCTION("""COMPUTED_VALUE"""),"kimberly.ball@studient.com")</f>
        <v>kimberly.ball@studient.com</v>
      </c>
      <c r="U5083" s="6" t="str">
        <f>IFERROR(__xludf.DUMMYFUNCTION("""COMPUTED_VALUE"""),"2")</f>
        <v>2</v>
      </c>
      <c r="V5083" s="6" t="str">
        <f>IFERROR(__xludf.DUMMYFUNCTION("""COMPUTED_VALUE"""),"")</f>
        <v/>
      </c>
      <c r="W5083" s="6" t="str">
        <f>IFERROR(__xludf.DUMMYFUNCTION("""COMPUTED_VALUE"""),"[]")</f>
        <v>[]</v>
      </c>
      <c r="X5083" s="6" t="str">
        <f>IFERROR(__xludf.DUMMYFUNCTION("""COMPUTED_VALUE"""),"Enrolled")</f>
        <v>Enrolled</v>
      </c>
    </row>
    <row r="5084">
      <c r="A5084" s="6" t="str">
        <f>IFERROR(__xludf.DUMMYFUNCTION("""COMPUTED_VALUE"""),"086-12475")</f>
        <v>086-12475</v>
      </c>
      <c r="B5084" s="6" t="str">
        <f>IFERROR(__xludf.DUMMYFUNCTION("""COMPUTED_VALUE"""),"86")</f>
        <v>86</v>
      </c>
      <c r="C5084" s="6" t="str">
        <f>IFERROR(__xludf.DUMMYFUNCTION("""COMPUTED_VALUE"""),"12475")</f>
        <v>12475</v>
      </c>
      <c r="D5084" s="6" t="str">
        <f>IFERROR(__xludf.DUMMYFUNCTION("""COMPUTED_VALUE"""),"Legend Lamar")</f>
        <v>Legend Lamar</v>
      </c>
      <c r="E5084" s="6" t="str">
        <f>IFERROR(__xludf.DUMMYFUNCTION("""COMPUTED_VALUE"""),"")</f>
        <v/>
      </c>
      <c r="F5084" s="6" t="str">
        <f>IFERROR(__xludf.DUMMYFUNCTION("""COMPUTED_VALUE"""),"Graham")</f>
        <v>Graham</v>
      </c>
      <c r="G5084" s="6" t="str">
        <f>IFERROR(__xludf.DUMMYFUNCTION("""COMPUTED_VALUE"""),"07/26/2017")</f>
        <v>07/26/2017</v>
      </c>
      <c r="H5084" s="6" t="str">
        <f>IFERROR(__xludf.DUMMYFUNCTION("""COMPUTED_VALUE"""),"female")</f>
        <v>female</v>
      </c>
      <c r="I5084" s="6" t="str">
        <f>IFERROR(__xludf.DUMMYFUNCTION("""COMPUTED_VALUE"""),"Level 1")</f>
        <v>Level 1</v>
      </c>
      <c r="J5084" s="6" t="str">
        <f>IFERROR(__xludf.DUMMYFUNCTION("""COMPUTED_VALUE"""),"2")</f>
        <v>2</v>
      </c>
      <c r="K5084" s="6" t="str">
        <f>IFERROR(__xludf.DUMMYFUNCTION("""COMPUTED_VALUE"""),"legendlamar.graham@2hourlearning.com")</f>
        <v>legendlamar.graham@2hourlearning.com</v>
      </c>
      <c r="L5084" s="6" t="str">
        <f>IFERROR(__xludf.DUMMYFUNCTION("""COMPUTED_VALUE"""),"JRES - Ridgeland Elementary School")</f>
        <v>JRES - Ridgeland Elementary School</v>
      </c>
      <c r="M5084" s="6" t="str">
        <f>IFERROR(__xludf.DUMMYFUNCTION("""COMPUTED_VALUE"""),"")</f>
        <v/>
      </c>
      <c r="N5084" s="6" t="str">
        <f>IFERROR(__xludf.DUMMYFUNCTION("""COMPUTED_VALUE"""),"")</f>
        <v/>
      </c>
      <c r="O5084" s="87" t="str">
        <f>IFERROR(__xludf.DUMMYFUNCTION("""COMPUTED_VALUE"""),"https://drive.google.com/drive/folders/10T2cTQHqEJZqE-st6uFKPoI?usp=share_link")</f>
        <v>https://drive.google.com/drive/folders/10T2cTQHqEJZqE-st6uFKPoI?usp=share_link</v>
      </c>
      <c r="P5084" s="6" t="str">
        <f>IFERROR(__xludf.DUMMYFUNCTION("""COMPUTED_VALUE"""),"Legend Lamar Graham")</f>
        <v>Legend Lamar Graham</v>
      </c>
      <c r="Q5084" s="6" t="str">
        <f>IFERROR(__xludf.DUMMYFUNCTION("""COMPUTED_VALUE"""),"L1")</f>
        <v>L1</v>
      </c>
      <c r="R5084" s="6">
        <f>IFERROR(__xludf.DUMMYFUNCTION("""COMPUTED_VALUE"""),1.0)</f>
        <v>1</v>
      </c>
      <c r="S5084" s="6" t="str">
        <f>IFERROR(__xludf.DUMMYFUNCTION("""COMPUTED_VALUE"""),"Kimberly Ball")</f>
        <v>Kimberly Ball</v>
      </c>
      <c r="T5084" s="6" t="str">
        <f>IFERROR(__xludf.DUMMYFUNCTION("""COMPUTED_VALUE"""),"kimberly.ball@studient.com")</f>
        <v>kimberly.ball@studient.com</v>
      </c>
      <c r="U5084" s="6" t="str">
        <f>IFERROR(__xludf.DUMMYFUNCTION("""COMPUTED_VALUE"""),"2")</f>
        <v>2</v>
      </c>
      <c r="V5084" s="6" t="str">
        <f>IFERROR(__xludf.DUMMYFUNCTION("""COMPUTED_VALUE"""),"")</f>
        <v/>
      </c>
      <c r="W5084" s="6" t="str">
        <f>IFERROR(__xludf.DUMMYFUNCTION("""COMPUTED_VALUE"""),"[]")</f>
        <v>[]</v>
      </c>
      <c r="X5084" s="6" t="str">
        <f>IFERROR(__xludf.DUMMYFUNCTION("""COMPUTED_VALUE"""),"Enrolled")</f>
        <v>Enrolled</v>
      </c>
    </row>
    <row r="5085">
      <c r="A5085" s="6" t="str">
        <f>IFERROR(__xludf.DUMMYFUNCTION("""COMPUTED_VALUE"""),"086-12476")</f>
        <v>086-12476</v>
      </c>
      <c r="B5085" s="6" t="str">
        <f>IFERROR(__xludf.DUMMYFUNCTION("""COMPUTED_VALUE"""),"86")</f>
        <v>86</v>
      </c>
      <c r="C5085" s="6" t="str">
        <f>IFERROR(__xludf.DUMMYFUNCTION("""COMPUTED_VALUE"""),"12476")</f>
        <v>12476</v>
      </c>
      <c r="D5085" s="6" t="str">
        <f>IFERROR(__xludf.DUMMYFUNCTION("""COMPUTED_VALUE"""),"Kristen")</f>
        <v>Kristen</v>
      </c>
      <c r="E5085" s="6" t="str">
        <f>IFERROR(__xludf.DUMMYFUNCTION("""COMPUTED_VALUE"""),"")</f>
        <v/>
      </c>
      <c r="F5085" s="6" t="str">
        <f>IFERROR(__xludf.DUMMYFUNCTION("""COMPUTED_VALUE"""),"Grant")</f>
        <v>Grant</v>
      </c>
      <c r="G5085" s="6" t="str">
        <f>IFERROR(__xludf.DUMMYFUNCTION("""COMPUTED_VALUE"""),"05/12/2015")</f>
        <v>05/12/2015</v>
      </c>
      <c r="H5085" s="6" t="str">
        <f>IFERROR(__xludf.DUMMYFUNCTION("""COMPUTED_VALUE"""),"female")</f>
        <v>female</v>
      </c>
      <c r="I5085" s="6" t="str">
        <f>IFERROR(__xludf.DUMMYFUNCTION("""COMPUTED_VALUE"""),"Level 1")</f>
        <v>Level 1</v>
      </c>
      <c r="J5085" s="6" t="str">
        <f>IFERROR(__xludf.DUMMYFUNCTION("""COMPUTED_VALUE"""),"2")</f>
        <v>2</v>
      </c>
      <c r="K5085" s="6" t="str">
        <f>IFERROR(__xludf.DUMMYFUNCTION("""COMPUTED_VALUE"""),"kristen.grant@2hourlearning.com")</f>
        <v>kristen.grant@2hourlearning.com</v>
      </c>
      <c r="L5085" s="6" t="str">
        <f>IFERROR(__xludf.DUMMYFUNCTION("""COMPUTED_VALUE"""),"JRES - Ridgeland Elementary School")</f>
        <v>JRES - Ridgeland Elementary School</v>
      </c>
      <c r="M5085" s="6" t="str">
        <f>IFERROR(__xludf.DUMMYFUNCTION("""COMPUTED_VALUE"""),"")</f>
        <v/>
      </c>
      <c r="N5085" s="6" t="str">
        <f>IFERROR(__xludf.DUMMYFUNCTION("""COMPUTED_VALUE"""),"")</f>
        <v/>
      </c>
      <c r="O5085" s="87" t="str">
        <f>IFERROR(__xludf.DUMMYFUNCTION("""COMPUTED_VALUE"""),"https://drive.google.com/drive/folders/10T2cTQHqEJZqE-st6uFKPoI?usp=share_link")</f>
        <v>https://drive.google.com/drive/folders/10T2cTQHqEJZqE-st6uFKPoI?usp=share_link</v>
      </c>
      <c r="P5085" s="6" t="str">
        <f>IFERROR(__xludf.DUMMYFUNCTION("""COMPUTED_VALUE"""),"Kristen Grant")</f>
        <v>Kristen Grant</v>
      </c>
      <c r="Q5085" s="6" t="str">
        <f>IFERROR(__xludf.DUMMYFUNCTION("""COMPUTED_VALUE"""),"L1")</f>
        <v>L1</v>
      </c>
      <c r="R5085" s="6">
        <f>IFERROR(__xludf.DUMMYFUNCTION("""COMPUTED_VALUE"""),1.0)</f>
        <v>1</v>
      </c>
      <c r="S5085" s="6" t="str">
        <f>IFERROR(__xludf.DUMMYFUNCTION("""COMPUTED_VALUE"""),"Kimberly Ball")</f>
        <v>Kimberly Ball</v>
      </c>
      <c r="T5085" s="6" t="str">
        <f>IFERROR(__xludf.DUMMYFUNCTION("""COMPUTED_VALUE"""),"kimberly.ball@studient.com")</f>
        <v>kimberly.ball@studient.com</v>
      </c>
      <c r="U5085" s="6" t="str">
        <f>IFERROR(__xludf.DUMMYFUNCTION("""COMPUTED_VALUE"""),"2")</f>
        <v>2</v>
      </c>
      <c r="V5085" s="6" t="str">
        <f>IFERROR(__xludf.DUMMYFUNCTION("""COMPUTED_VALUE"""),"")</f>
        <v/>
      </c>
      <c r="W5085" s="6" t="str">
        <f>IFERROR(__xludf.DUMMYFUNCTION("""COMPUTED_VALUE"""),"[]")</f>
        <v>[]</v>
      </c>
      <c r="X5085" s="6" t="str">
        <f>IFERROR(__xludf.DUMMYFUNCTION("""COMPUTED_VALUE"""),"Enrolled")</f>
        <v>Enrolled</v>
      </c>
    </row>
    <row r="5086">
      <c r="A5086" s="6" t="str">
        <f>IFERROR(__xludf.DUMMYFUNCTION("""COMPUTED_VALUE"""),"086-12477")</f>
        <v>086-12477</v>
      </c>
      <c r="B5086" s="6" t="str">
        <f>IFERROR(__xludf.DUMMYFUNCTION("""COMPUTED_VALUE"""),"86")</f>
        <v>86</v>
      </c>
      <c r="C5086" s="6" t="str">
        <f>IFERROR(__xludf.DUMMYFUNCTION("""COMPUTED_VALUE"""),"12477")</f>
        <v>12477</v>
      </c>
      <c r="D5086" s="6" t="str">
        <f>IFERROR(__xludf.DUMMYFUNCTION("""COMPUTED_VALUE"""),"Jaiyah")</f>
        <v>Jaiyah</v>
      </c>
      <c r="E5086" s="6" t="str">
        <f>IFERROR(__xludf.DUMMYFUNCTION("""COMPUTED_VALUE"""),"")</f>
        <v/>
      </c>
      <c r="F5086" s="6" t="str">
        <f>IFERROR(__xludf.DUMMYFUNCTION("""COMPUTED_VALUE"""),"Green")</f>
        <v>Green</v>
      </c>
      <c r="G5086" s="6" t="str">
        <f>IFERROR(__xludf.DUMMYFUNCTION("""COMPUTED_VALUE"""),"02/11/2017")</f>
        <v>02/11/2017</v>
      </c>
      <c r="H5086" s="6" t="str">
        <f>IFERROR(__xludf.DUMMYFUNCTION("""COMPUTED_VALUE"""),"male")</f>
        <v>male</v>
      </c>
      <c r="I5086" s="6" t="str">
        <f>IFERROR(__xludf.DUMMYFUNCTION("""COMPUTED_VALUE"""),"Level 1")</f>
        <v>Level 1</v>
      </c>
      <c r="J5086" s="6" t="str">
        <f>IFERROR(__xludf.DUMMYFUNCTION("""COMPUTED_VALUE"""),"2")</f>
        <v>2</v>
      </c>
      <c r="K5086" s="6" t="str">
        <f>IFERROR(__xludf.DUMMYFUNCTION("""COMPUTED_VALUE"""),"jaiyah.green@2hourlearning.com")</f>
        <v>jaiyah.green@2hourlearning.com</v>
      </c>
      <c r="L5086" s="6" t="str">
        <f>IFERROR(__xludf.DUMMYFUNCTION("""COMPUTED_VALUE"""),"JRES - Ridgeland Elementary School")</f>
        <v>JRES - Ridgeland Elementary School</v>
      </c>
      <c r="M5086" s="6" t="str">
        <f>IFERROR(__xludf.DUMMYFUNCTION("""COMPUTED_VALUE"""),"")</f>
        <v/>
      </c>
      <c r="N5086" s="6" t="str">
        <f>IFERROR(__xludf.DUMMYFUNCTION("""COMPUTED_VALUE"""),"")</f>
        <v/>
      </c>
      <c r="O5086" s="87" t="str">
        <f>IFERROR(__xludf.DUMMYFUNCTION("""COMPUTED_VALUE"""),"https://drive.google.com/drive/folders/10T2cTQHqEJZqE-st6uFKPoI?usp=share_link")</f>
        <v>https://drive.google.com/drive/folders/10T2cTQHqEJZqE-st6uFKPoI?usp=share_link</v>
      </c>
      <c r="P5086" s="6" t="str">
        <f>IFERROR(__xludf.DUMMYFUNCTION("""COMPUTED_VALUE"""),"Jaiyah Green")</f>
        <v>Jaiyah Green</v>
      </c>
      <c r="Q5086" s="6" t="str">
        <f>IFERROR(__xludf.DUMMYFUNCTION("""COMPUTED_VALUE"""),"L1")</f>
        <v>L1</v>
      </c>
      <c r="R5086" s="6">
        <f>IFERROR(__xludf.DUMMYFUNCTION("""COMPUTED_VALUE"""),1.0)</f>
        <v>1</v>
      </c>
      <c r="S5086" s="6" t="str">
        <f>IFERROR(__xludf.DUMMYFUNCTION("""COMPUTED_VALUE"""),"Kimberly Ball")</f>
        <v>Kimberly Ball</v>
      </c>
      <c r="T5086" s="6" t="str">
        <f>IFERROR(__xludf.DUMMYFUNCTION("""COMPUTED_VALUE"""),"kimberly.ball@studient.com")</f>
        <v>kimberly.ball@studient.com</v>
      </c>
      <c r="U5086" s="6" t="str">
        <f>IFERROR(__xludf.DUMMYFUNCTION("""COMPUTED_VALUE"""),"2")</f>
        <v>2</v>
      </c>
      <c r="V5086" s="6" t="str">
        <f>IFERROR(__xludf.DUMMYFUNCTION("""COMPUTED_VALUE"""),"")</f>
        <v/>
      </c>
      <c r="W5086" s="6" t="str">
        <f>IFERROR(__xludf.DUMMYFUNCTION("""COMPUTED_VALUE"""),"[]")</f>
        <v>[]</v>
      </c>
      <c r="X5086" s="6" t="str">
        <f>IFERROR(__xludf.DUMMYFUNCTION("""COMPUTED_VALUE"""),"Enrolled")</f>
        <v>Enrolled</v>
      </c>
    </row>
    <row r="5087">
      <c r="A5087" s="6" t="str">
        <f>IFERROR(__xludf.DUMMYFUNCTION("""COMPUTED_VALUE"""),"086-12478")</f>
        <v>086-12478</v>
      </c>
      <c r="B5087" s="6" t="str">
        <f>IFERROR(__xludf.DUMMYFUNCTION("""COMPUTED_VALUE"""),"86")</f>
        <v>86</v>
      </c>
      <c r="C5087" s="6" t="str">
        <f>IFERROR(__xludf.DUMMYFUNCTION("""COMPUTED_VALUE"""),"12478")</f>
        <v>12478</v>
      </c>
      <c r="D5087" s="6" t="str">
        <f>IFERROR(__xludf.DUMMYFUNCTION("""COMPUTED_VALUE"""),"Wyatt")</f>
        <v>Wyatt</v>
      </c>
      <c r="E5087" s="6" t="str">
        <f>IFERROR(__xludf.DUMMYFUNCTION("""COMPUTED_VALUE"""),"")</f>
        <v/>
      </c>
      <c r="F5087" s="6" t="str">
        <f>IFERROR(__xludf.DUMMYFUNCTION("""COMPUTED_VALUE"""),"Hamilton")</f>
        <v>Hamilton</v>
      </c>
      <c r="G5087" s="6" t="str">
        <f>IFERROR(__xludf.DUMMYFUNCTION("""COMPUTED_VALUE"""),"06/05/2017")</f>
        <v>06/05/2017</v>
      </c>
      <c r="H5087" s="6" t="str">
        <f>IFERROR(__xludf.DUMMYFUNCTION("""COMPUTED_VALUE"""),"female")</f>
        <v>female</v>
      </c>
      <c r="I5087" s="6" t="str">
        <f>IFERROR(__xludf.DUMMYFUNCTION("""COMPUTED_VALUE"""),"Level 1")</f>
        <v>Level 1</v>
      </c>
      <c r="J5087" s="6" t="str">
        <f>IFERROR(__xludf.DUMMYFUNCTION("""COMPUTED_VALUE"""),"2")</f>
        <v>2</v>
      </c>
      <c r="K5087" s="6" t="str">
        <f>IFERROR(__xludf.DUMMYFUNCTION("""COMPUTED_VALUE"""),"wyatt.hamilton@2hourlearning.com")</f>
        <v>wyatt.hamilton@2hourlearning.com</v>
      </c>
      <c r="L5087" s="6" t="str">
        <f>IFERROR(__xludf.DUMMYFUNCTION("""COMPUTED_VALUE"""),"JRES - Ridgeland Elementary School")</f>
        <v>JRES - Ridgeland Elementary School</v>
      </c>
      <c r="M5087" s="6" t="str">
        <f>IFERROR(__xludf.DUMMYFUNCTION("""COMPUTED_VALUE"""),"")</f>
        <v/>
      </c>
      <c r="N5087" s="6" t="str">
        <f>IFERROR(__xludf.DUMMYFUNCTION("""COMPUTED_VALUE"""),"")</f>
        <v/>
      </c>
      <c r="O5087" s="87" t="str">
        <f>IFERROR(__xludf.DUMMYFUNCTION("""COMPUTED_VALUE"""),"https://drive.google.com/drive/folders/10T2cTQHqEJZqE-st6uFKPoI?usp=share_link")</f>
        <v>https://drive.google.com/drive/folders/10T2cTQHqEJZqE-st6uFKPoI?usp=share_link</v>
      </c>
      <c r="P5087" s="6" t="str">
        <f>IFERROR(__xludf.DUMMYFUNCTION("""COMPUTED_VALUE"""),"Wyatt Hamilton")</f>
        <v>Wyatt Hamilton</v>
      </c>
      <c r="Q5087" s="6" t="str">
        <f>IFERROR(__xludf.DUMMYFUNCTION("""COMPUTED_VALUE"""),"L1")</f>
        <v>L1</v>
      </c>
      <c r="R5087" s="6">
        <f>IFERROR(__xludf.DUMMYFUNCTION("""COMPUTED_VALUE"""),1.0)</f>
        <v>1</v>
      </c>
      <c r="S5087" s="6" t="str">
        <f>IFERROR(__xludf.DUMMYFUNCTION("""COMPUTED_VALUE"""),"Kimberly Ball")</f>
        <v>Kimberly Ball</v>
      </c>
      <c r="T5087" s="6" t="str">
        <f>IFERROR(__xludf.DUMMYFUNCTION("""COMPUTED_VALUE"""),"kimberly.ball@studient.com")</f>
        <v>kimberly.ball@studient.com</v>
      </c>
      <c r="U5087" s="6" t="str">
        <f>IFERROR(__xludf.DUMMYFUNCTION("""COMPUTED_VALUE"""),"2")</f>
        <v>2</v>
      </c>
      <c r="V5087" s="6" t="str">
        <f>IFERROR(__xludf.DUMMYFUNCTION("""COMPUTED_VALUE"""),"")</f>
        <v/>
      </c>
      <c r="W5087" s="6" t="str">
        <f>IFERROR(__xludf.DUMMYFUNCTION("""COMPUTED_VALUE"""),"[]")</f>
        <v>[]</v>
      </c>
      <c r="X5087" s="6" t="str">
        <f>IFERROR(__xludf.DUMMYFUNCTION("""COMPUTED_VALUE"""),"Enrolled")</f>
        <v>Enrolled</v>
      </c>
    </row>
    <row r="5088">
      <c r="A5088" s="6" t="str">
        <f>IFERROR(__xludf.DUMMYFUNCTION("""COMPUTED_VALUE"""),"086-12479")</f>
        <v>086-12479</v>
      </c>
      <c r="B5088" s="6" t="str">
        <f>IFERROR(__xludf.DUMMYFUNCTION("""COMPUTED_VALUE"""),"86")</f>
        <v>86</v>
      </c>
      <c r="C5088" s="6" t="str">
        <f>IFERROR(__xludf.DUMMYFUNCTION("""COMPUTED_VALUE"""),"12479")</f>
        <v>12479</v>
      </c>
      <c r="D5088" s="6" t="str">
        <f>IFERROR(__xludf.DUMMYFUNCTION("""COMPUTED_VALUE"""),"Elijah")</f>
        <v>Elijah</v>
      </c>
      <c r="E5088" s="6" t="str">
        <f>IFERROR(__xludf.DUMMYFUNCTION("""COMPUTED_VALUE"""),"")</f>
        <v/>
      </c>
      <c r="F5088" s="6" t="str">
        <f>IFERROR(__xludf.DUMMYFUNCTION("""COMPUTED_VALUE"""),"Haynes")</f>
        <v>Haynes</v>
      </c>
      <c r="G5088" s="6" t="str">
        <f>IFERROR(__xludf.DUMMYFUNCTION("""COMPUTED_VALUE"""),"03/22/2017")</f>
        <v>03/22/2017</v>
      </c>
      <c r="H5088" s="6" t="str">
        <f>IFERROR(__xludf.DUMMYFUNCTION("""COMPUTED_VALUE"""),"female")</f>
        <v>female</v>
      </c>
      <c r="I5088" s="6" t="str">
        <f>IFERROR(__xludf.DUMMYFUNCTION("""COMPUTED_VALUE"""),"Level 1")</f>
        <v>Level 1</v>
      </c>
      <c r="J5088" s="6" t="str">
        <f>IFERROR(__xludf.DUMMYFUNCTION("""COMPUTED_VALUE"""),"2")</f>
        <v>2</v>
      </c>
      <c r="K5088" s="6" t="str">
        <f>IFERROR(__xludf.DUMMYFUNCTION("""COMPUTED_VALUE"""),"elijah.haynes@2hourlearning.com")</f>
        <v>elijah.haynes@2hourlearning.com</v>
      </c>
      <c r="L5088" s="6" t="str">
        <f>IFERROR(__xludf.DUMMYFUNCTION("""COMPUTED_VALUE"""),"JRES - Ridgeland Elementary School")</f>
        <v>JRES - Ridgeland Elementary School</v>
      </c>
      <c r="M5088" s="6" t="str">
        <f>IFERROR(__xludf.DUMMYFUNCTION("""COMPUTED_VALUE"""),"")</f>
        <v/>
      </c>
      <c r="N5088" s="6" t="str">
        <f>IFERROR(__xludf.DUMMYFUNCTION("""COMPUTED_VALUE"""),"")</f>
        <v/>
      </c>
      <c r="O5088" s="87" t="str">
        <f>IFERROR(__xludf.DUMMYFUNCTION("""COMPUTED_VALUE"""),"https://drive.google.com/drive/folders/10T2cTQHqEJZqE-st6uFKPoI?usp=share_link")</f>
        <v>https://drive.google.com/drive/folders/10T2cTQHqEJZqE-st6uFKPoI?usp=share_link</v>
      </c>
      <c r="P5088" s="6" t="str">
        <f>IFERROR(__xludf.DUMMYFUNCTION("""COMPUTED_VALUE"""),"Elijah Haynes")</f>
        <v>Elijah Haynes</v>
      </c>
      <c r="Q5088" s="6" t="str">
        <f>IFERROR(__xludf.DUMMYFUNCTION("""COMPUTED_VALUE"""),"L1")</f>
        <v>L1</v>
      </c>
      <c r="R5088" s="6">
        <f>IFERROR(__xludf.DUMMYFUNCTION("""COMPUTED_VALUE"""),1.0)</f>
        <v>1</v>
      </c>
      <c r="S5088" s="6" t="str">
        <f>IFERROR(__xludf.DUMMYFUNCTION("""COMPUTED_VALUE"""),"Kimberly Ball")</f>
        <v>Kimberly Ball</v>
      </c>
      <c r="T5088" s="6" t="str">
        <f>IFERROR(__xludf.DUMMYFUNCTION("""COMPUTED_VALUE"""),"kimberly.ball@studient.com")</f>
        <v>kimberly.ball@studient.com</v>
      </c>
      <c r="U5088" s="6" t="str">
        <f>IFERROR(__xludf.DUMMYFUNCTION("""COMPUTED_VALUE"""),"2")</f>
        <v>2</v>
      </c>
      <c r="V5088" s="6" t="str">
        <f>IFERROR(__xludf.DUMMYFUNCTION("""COMPUTED_VALUE"""),"")</f>
        <v/>
      </c>
      <c r="W5088" s="6" t="str">
        <f>IFERROR(__xludf.DUMMYFUNCTION("""COMPUTED_VALUE"""),"[]")</f>
        <v>[]</v>
      </c>
      <c r="X5088" s="6" t="str">
        <f>IFERROR(__xludf.DUMMYFUNCTION("""COMPUTED_VALUE"""),"Enrolled")</f>
        <v>Enrolled</v>
      </c>
    </row>
    <row r="5089">
      <c r="A5089" s="6" t="str">
        <f>IFERROR(__xludf.DUMMYFUNCTION("""COMPUTED_VALUE"""),"086-12480")</f>
        <v>086-12480</v>
      </c>
      <c r="B5089" s="6" t="str">
        <f>IFERROR(__xludf.DUMMYFUNCTION("""COMPUTED_VALUE"""),"86")</f>
        <v>86</v>
      </c>
      <c r="C5089" s="6" t="str">
        <f>IFERROR(__xludf.DUMMYFUNCTION("""COMPUTED_VALUE"""),"12480")</f>
        <v>12480</v>
      </c>
      <c r="D5089" s="6" t="str">
        <f>IFERROR(__xludf.DUMMYFUNCTION("""COMPUTED_VALUE"""),"Diego")</f>
        <v>Diego</v>
      </c>
      <c r="E5089" s="6" t="str">
        <f>IFERROR(__xludf.DUMMYFUNCTION("""COMPUTED_VALUE"""),"")</f>
        <v/>
      </c>
      <c r="F5089" s="6" t="str">
        <f>IFERROR(__xludf.DUMMYFUNCTION("""COMPUTED_VALUE"""),"Hermosillo Hernandez")</f>
        <v>Hermosillo Hernandez</v>
      </c>
      <c r="G5089" s="6" t="str">
        <f>IFERROR(__xludf.DUMMYFUNCTION("""COMPUTED_VALUE"""),"09/26/2017")</f>
        <v>09/26/2017</v>
      </c>
      <c r="H5089" s="6" t="str">
        <f>IFERROR(__xludf.DUMMYFUNCTION("""COMPUTED_VALUE"""),"female")</f>
        <v>female</v>
      </c>
      <c r="I5089" s="6" t="str">
        <f>IFERROR(__xludf.DUMMYFUNCTION("""COMPUTED_VALUE"""),"Level 1")</f>
        <v>Level 1</v>
      </c>
      <c r="J5089" s="6" t="str">
        <f>IFERROR(__xludf.DUMMYFUNCTION("""COMPUTED_VALUE"""),"2")</f>
        <v>2</v>
      </c>
      <c r="K5089" s="6" t="str">
        <f>IFERROR(__xludf.DUMMYFUNCTION("""COMPUTED_VALUE"""),"diego.hermosillohernandez@2hourlearning.com")</f>
        <v>diego.hermosillohernandez@2hourlearning.com</v>
      </c>
      <c r="L5089" s="6" t="str">
        <f>IFERROR(__xludf.DUMMYFUNCTION("""COMPUTED_VALUE"""),"JRES - Ridgeland Elementary School")</f>
        <v>JRES - Ridgeland Elementary School</v>
      </c>
      <c r="M5089" s="6" t="str">
        <f>IFERROR(__xludf.DUMMYFUNCTION("""COMPUTED_VALUE"""),"")</f>
        <v/>
      </c>
      <c r="N5089" s="6" t="str">
        <f>IFERROR(__xludf.DUMMYFUNCTION("""COMPUTED_VALUE"""),"")</f>
        <v/>
      </c>
      <c r="O5089" s="87" t="str">
        <f>IFERROR(__xludf.DUMMYFUNCTION("""COMPUTED_VALUE"""),"https://drive.google.com/drive/folders/10T2cTQHqEJZqE-st6uFKPoI?usp=share_link")</f>
        <v>https://drive.google.com/drive/folders/10T2cTQHqEJZqE-st6uFKPoI?usp=share_link</v>
      </c>
      <c r="P5089" s="6" t="str">
        <f>IFERROR(__xludf.DUMMYFUNCTION("""COMPUTED_VALUE"""),"Diego Hermosillo Hernandez")</f>
        <v>Diego Hermosillo Hernandez</v>
      </c>
      <c r="Q5089" s="6" t="str">
        <f>IFERROR(__xludf.DUMMYFUNCTION("""COMPUTED_VALUE"""),"L1")</f>
        <v>L1</v>
      </c>
      <c r="R5089" s="6">
        <f>IFERROR(__xludf.DUMMYFUNCTION("""COMPUTED_VALUE"""),1.0)</f>
        <v>1</v>
      </c>
      <c r="S5089" s="6" t="str">
        <f>IFERROR(__xludf.DUMMYFUNCTION("""COMPUTED_VALUE"""),"Kimberly Ball")</f>
        <v>Kimberly Ball</v>
      </c>
      <c r="T5089" s="6" t="str">
        <f>IFERROR(__xludf.DUMMYFUNCTION("""COMPUTED_VALUE"""),"kimberly.ball@studient.com")</f>
        <v>kimberly.ball@studient.com</v>
      </c>
      <c r="U5089" s="6" t="str">
        <f>IFERROR(__xludf.DUMMYFUNCTION("""COMPUTED_VALUE"""),"2")</f>
        <v>2</v>
      </c>
      <c r="V5089" s="6" t="str">
        <f>IFERROR(__xludf.DUMMYFUNCTION("""COMPUTED_VALUE"""),"")</f>
        <v/>
      </c>
      <c r="W5089" s="6" t="str">
        <f>IFERROR(__xludf.DUMMYFUNCTION("""COMPUTED_VALUE"""),"[]")</f>
        <v>[]</v>
      </c>
      <c r="X5089" s="6" t="str">
        <f>IFERROR(__xludf.DUMMYFUNCTION("""COMPUTED_VALUE"""),"Enrolled")</f>
        <v>Enrolled</v>
      </c>
    </row>
    <row r="5090">
      <c r="A5090" s="6" t="str">
        <f>IFERROR(__xludf.DUMMYFUNCTION("""COMPUTED_VALUE"""),"086-12481")</f>
        <v>086-12481</v>
      </c>
      <c r="B5090" s="6" t="str">
        <f>IFERROR(__xludf.DUMMYFUNCTION("""COMPUTED_VALUE"""),"86")</f>
        <v>86</v>
      </c>
      <c r="C5090" s="6" t="str">
        <f>IFERROR(__xludf.DUMMYFUNCTION("""COMPUTED_VALUE"""),"12481")</f>
        <v>12481</v>
      </c>
      <c r="D5090" s="6" t="str">
        <f>IFERROR(__xludf.DUMMYFUNCTION("""COMPUTED_VALUE"""),"Axel J")</f>
        <v>Axel J</v>
      </c>
      <c r="E5090" s="6" t="str">
        <f>IFERROR(__xludf.DUMMYFUNCTION("""COMPUTED_VALUE"""),"")</f>
        <v/>
      </c>
      <c r="F5090" s="6" t="str">
        <f>IFERROR(__xludf.DUMMYFUNCTION("""COMPUTED_VALUE"""),"Hernandez Cano")</f>
        <v>Hernandez Cano</v>
      </c>
      <c r="G5090" s="6" t="str">
        <f>IFERROR(__xludf.DUMMYFUNCTION("""COMPUTED_VALUE"""),"05/03/2016")</f>
        <v>05/03/2016</v>
      </c>
      <c r="H5090" s="6" t="str">
        <f>IFERROR(__xludf.DUMMYFUNCTION("""COMPUTED_VALUE"""),"female")</f>
        <v>female</v>
      </c>
      <c r="I5090" s="6" t="str">
        <f>IFERROR(__xludf.DUMMYFUNCTION("""COMPUTED_VALUE"""),"Level 1")</f>
        <v>Level 1</v>
      </c>
      <c r="J5090" s="6" t="str">
        <f>IFERROR(__xludf.DUMMYFUNCTION("""COMPUTED_VALUE"""),"2")</f>
        <v>2</v>
      </c>
      <c r="K5090" s="6" t="str">
        <f>IFERROR(__xludf.DUMMYFUNCTION("""COMPUTED_VALUE"""),"axelj.hernandezcano@2hourlearning.com")</f>
        <v>axelj.hernandezcano@2hourlearning.com</v>
      </c>
      <c r="L5090" s="6" t="str">
        <f>IFERROR(__xludf.DUMMYFUNCTION("""COMPUTED_VALUE"""),"JRES - Ridgeland Elementary School")</f>
        <v>JRES - Ridgeland Elementary School</v>
      </c>
      <c r="M5090" s="6" t="str">
        <f>IFERROR(__xludf.DUMMYFUNCTION("""COMPUTED_VALUE"""),"")</f>
        <v/>
      </c>
      <c r="N5090" s="6" t="str">
        <f>IFERROR(__xludf.DUMMYFUNCTION("""COMPUTED_VALUE"""),"")</f>
        <v/>
      </c>
      <c r="O5090" s="87" t="str">
        <f>IFERROR(__xludf.DUMMYFUNCTION("""COMPUTED_VALUE"""),"https://drive.google.com/drive/folders/10T2cTQHqEJZqE-st6uFKPoI?usp=share_link")</f>
        <v>https://drive.google.com/drive/folders/10T2cTQHqEJZqE-st6uFKPoI?usp=share_link</v>
      </c>
      <c r="P5090" s="6" t="str">
        <f>IFERROR(__xludf.DUMMYFUNCTION("""COMPUTED_VALUE"""),"Axel J Hernandez Cano")</f>
        <v>Axel J Hernandez Cano</v>
      </c>
      <c r="Q5090" s="6" t="str">
        <f>IFERROR(__xludf.DUMMYFUNCTION("""COMPUTED_VALUE"""),"L1")</f>
        <v>L1</v>
      </c>
      <c r="R5090" s="6">
        <f>IFERROR(__xludf.DUMMYFUNCTION("""COMPUTED_VALUE"""),1.0)</f>
        <v>1</v>
      </c>
      <c r="S5090" s="6" t="str">
        <f>IFERROR(__xludf.DUMMYFUNCTION("""COMPUTED_VALUE"""),"Kimberly Ball")</f>
        <v>Kimberly Ball</v>
      </c>
      <c r="T5090" s="6" t="str">
        <f>IFERROR(__xludf.DUMMYFUNCTION("""COMPUTED_VALUE"""),"kimberly.ball@studient.com")</f>
        <v>kimberly.ball@studient.com</v>
      </c>
      <c r="U5090" s="6" t="str">
        <f>IFERROR(__xludf.DUMMYFUNCTION("""COMPUTED_VALUE"""),"2")</f>
        <v>2</v>
      </c>
      <c r="V5090" s="6" t="str">
        <f>IFERROR(__xludf.DUMMYFUNCTION("""COMPUTED_VALUE"""),"")</f>
        <v/>
      </c>
      <c r="W5090" s="6" t="str">
        <f>IFERROR(__xludf.DUMMYFUNCTION("""COMPUTED_VALUE"""),"[]")</f>
        <v>[]</v>
      </c>
      <c r="X5090" s="6" t="str">
        <f>IFERROR(__xludf.DUMMYFUNCTION("""COMPUTED_VALUE"""),"Enrolled")</f>
        <v>Enrolled</v>
      </c>
    </row>
    <row r="5091">
      <c r="A5091" s="6" t="str">
        <f>IFERROR(__xludf.DUMMYFUNCTION("""COMPUTED_VALUE"""),"086-12482")</f>
        <v>086-12482</v>
      </c>
      <c r="B5091" s="6" t="str">
        <f>IFERROR(__xludf.DUMMYFUNCTION("""COMPUTED_VALUE"""),"86")</f>
        <v>86</v>
      </c>
      <c r="C5091" s="6" t="str">
        <f>IFERROR(__xludf.DUMMYFUNCTION("""COMPUTED_VALUE"""),"12482")</f>
        <v>12482</v>
      </c>
      <c r="D5091" s="6" t="str">
        <f>IFERROR(__xludf.DUMMYFUNCTION("""COMPUTED_VALUE"""),"Isabella")</f>
        <v>Isabella</v>
      </c>
      <c r="E5091" s="6" t="str">
        <f>IFERROR(__xludf.DUMMYFUNCTION("""COMPUTED_VALUE"""),"")</f>
        <v/>
      </c>
      <c r="F5091" s="6" t="str">
        <f>IFERROR(__xludf.DUMMYFUNCTION("""COMPUTED_VALUE"""),"Hernandez-Ortiz")</f>
        <v>Hernandez-Ortiz</v>
      </c>
      <c r="G5091" s="6" t="str">
        <f>IFERROR(__xludf.DUMMYFUNCTION("""COMPUTED_VALUE"""),"06/18/2018")</f>
        <v>06/18/2018</v>
      </c>
      <c r="H5091" s="6" t="str">
        <f>IFERROR(__xludf.DUMMYFUNCTION("""COMPUTED_VALUE"""),"female")</f>
        <v>female</v>
      </c>
      <c r="I5091" s="6" t="str">
        <f>IFERROR(__xludf.DUMMYFUNCTION("""COMPUTED_VALUE"""),"Level 1")</f>
        <v>Level 1</v>
      </c>
      <c r="J5091" s="6" t="str">
        <f>IFERROR(__xludf.DUMMYFUNCTION("""COMPUTED_VALUE"""),"2")</f>
        <v>2</v>
      </c>
      <c r="K5091" s="6" t="str">
        <f>IFERROR(__xludf.DUMMYFUNCTION("""COMPUTED_VALUE"""),"isabella.hernandez-ortiz@2hourlearning.com")</f>
        <v>isabella.hernandez-ortiz@2hourlearning.com</v>
      </c>
      <c r="L5091" s="6" t="str">
        <f>IFERROR(__xludf.DUMMYFUNCTION("""COMPUTED_VALUE"""),"JRES - Ridgeland Elementary School")</f>
        <v>JRES - Ridgeland Elementary School</v>
      </c>
      <c r="M5091" s="6" t="str">
        <f>IFERROR(__xludf.DUMMYFUNCTION("""COMPUTED_VALUE"""),"")</f>
        <v/>
      </c>
      <c r="N5091" s="6" t="str">
        <f>IFERROR(__xludf.DUMMYFUNCTION("""COMPUTED_VALUE"""),"")</f>
        <v/>
      </c>
      <c r="O5091" s="87" t="str">
        <f>IFERROR(__xludf.DUMMYFUNCTION("""COMPUTED_VALUE"""),"https://drive.google.com/drive/folders/10T2cTQHqEJZqE-st6uFKPoI?usp=share_link")</f>
        <v>https://drive.google.com/drive/folders/10T2cTQHqEJZqE-st6uFKPoI?usp=share_link</v>
      </c>
      <c r="P5091" s="6" t="str">
        <f>IFERROR(__xludf.DUMMYFUNCTION("""COMPUTED_VALUE"""),"Isabella Hernandez-Ortiz")</f>
        <v>Isabella Hernandez-Ortiz</v>
      </c>
      <c r="Q5091" s="6" t="str">
        <f>IFERROR(__xludf.DUMMYFUNCTION("""COMPUTED_VALUE"""),"L1")</f>
        <v>L1</v>
      </c>
      <c r="R5091" s="6">
        <f>IFERROR(__xludf.DUMMYFUNCTION("""COMPUTED_VALUE"""),1.0)</f>
        <v>1</v>
      </c>
      <c r="S5091" s="6" t="str">
        <f>IFERROR(__xludf.DUMMYFUNCTION("""COMPUTED_VALUE"""),"Kimberly Ball")</f>
        <v>Kimberly Ball</v>
      </c>
      <c r="T5091" s="6" t="str">
        <f>IFERROR(__xludf.DUMMYFUNCTION("""COMPUTED_VALUE"""),"kimberly.ball@studient.com")</f>
        <v>kimberly.ball@studient.com</v>
      </c>
      <c r="U5091" s="6" t="str">
        <f>IFERROR(__xludf.DUMMYFUNCTION("""COMPUTED_VALUE"""),"2")</f>
        <v>2</v>
      </c>
      <c r="V5091" s="6" t="str">
        <f>IFERROR(__xludf.DUMMYFUNCTION("""COMPUTED_VALUE"""),"")</f>
        <v/>
      </c>
      <c r="W5091" s="6" t="str">
        <f>IFERROR(__xludf.DUMMYFUNCTION("""COMPUTED_VALUE"""),"[]")</f>
        <v>[]</v>
      </c>
      <c r="X5091" s="6" t="str">
        <f>IFERROR(__xludf.DUMMYFUNCTION("""COMPUTED_VALUE"""),"Enrolled")</f>
        <v>Enrolled</v>
      </c>
    </row>
    <row r="5092">
      <c r="A5092" s="6" t="str">
        <f>IFERROR(__xludf.DUMMYFUNCTION("""COMPUTED_VALUE"""),"086-12483")</f>
        <v>086-12483</v>
      </c>
      <c r="B5092" s="6" t="str">
        <f>IFERROR(__xludf.DUMMYFUNCTION("""COMPUTED_VALUE"""),"86")</f>
        <v>86</v>
      </c>
      <c r="C5092" s="6" t="str">
        <f>IFERROR(__xludf.DUMMYFUNCTION("""COMPUTED_VALUE"""),"12483")</f>
        <v>12483</v>
      </c>
      <c r="D5092" s="6" t="str">
        <f>IFERROR(__xludf.DUMMYFUNCTION("""COMPUTED_VALUE"""),"Dayra")</f>
        <v>Dayra</v>
      </c>
      <c r="E5092" s="6" t="str">
        <f>IFERROR(__xludf.DUMMYFUNCTION("""COMPUTED_VALUE"""),"")</f>
        <v/>
      </c>
      <c r="F5092" s="6" t="str">
        <f>IFERROR(__xludf.DUMMYFUNCTION("""COMPUTED_VALUE"""),"Huerta-Espinoza")</f>
        <v>Huerta-Espinoza</v>
      </c>
      <c r="G5092" s="6" t="str">
        <f>IFERROR(__xludf.DUMMYFUNCTION("""COMPUTED_VALUE"""),"06/01/2018")</f>
        <v>06/01/2018</v>
      </c>
      <c r="H5092" s="6" t="str">
        <f>IFERROR(__xludf.DUMMYFUNCTION("""COMPUTED_VALUE"""),"male")</f>
        <v>male</v>
      </c>
      <c r="I5092" s="6" t="str">
        <f>IFERROR(__xludf.DUMMYFUNCTION("""COMPUTED_VALUE"""),"Level 1")</f>
        <v>Level 1</v>
      </c>
      <c r="J5092" s="6" t="str">
        <f>IFERROR(__xludf.DUMMYFUNCTION("""COMPUTED_VALUE"""),"2")</f>
        <v>2</v>
      </c>
      <c r="K5092" s="6" t="str">
        <f>IFERROR(__xludf.DUMMYFUNCTION("""COMPUTED_VALUE"""),"dayra.huerta-espinoza@2hourlearning.com")</f>
        <v>dayra.huerta-espinoza@2hourlearning.com</v>
      </c>
      <c r="L5092" s="6" t="str">
        <f>IFERROR(__xludf.DUMMYFUNCTION("""COMPUTED_VALUE"""),"JRES - Ridgeland Elementary School")</f>
        <v>JRES - Ridgeland Elementary School</v>
      </c>
      <c r="M5092" s="6" t="str">
        <f>IFERROR(__xludf.DUMMYFUNCTION("""COMPUTED_VALUE"""),"")</f>
        <v/>
      </c>
      <c r="N5092" s="6" t="str">
        <f>IFERROR(__xludf.DUMMYFUNCTION("""COMPUTED_VALUE"""),"")</f>
        <v/>
      </c>
      <c r="O5092" s="87" t="str">
        <f>IFERROR(__xludf.DUMMYFUNCTION("""COMPUTED_VALUE"""),"https://drive.google.com/drive/folders/10T2cTQHqEJZqE-st6uFKPoI?usp=share_link")</f>
        <v>https://drive.google.com/drive/folders/10T2cTQHqEJZqE-st6uFKPoI?usp=share_link</v>
      </c>
      <c r="P5092" s="6" t="str">
        <f>IFERROR(__xludf.DUMMYFUNCTION("""COMPUTED_VALUE"""),"Dayra Huerta-Espinoza")</f>
        <v>Dayra Huerta-Espinoza</v>
      </c>
      <c r="Q5092" s="6" t="str">
        <f>IFERROR(__xludf.DUMMYFUNCTION("""COMPUTED_VALUE"""),"L1")</f>
        <v>L1</v>
      </c>
      <c r="R5092" s="6">
        <f>IFERROR(__xludf.DUMMYFUNCTION("""COMPUTED_VALUE"""),1.0)</f>
        <v>1</v>
      </c>
      <c r="S5092" s="6" t="str">
        <f>IFERROR(__xludf.DUMMYFUNCTION("""COMPUTED_VALUE"""),"Kimberly Ball")</f>
        <v>Kimberly Ball</v>
      </c>
      <c r="T5092" s="6" t="str">
        <f>IFERROR(__xludf.DUMMYFUNCTION("""COMPUTED_VALUE"""),"kimberly.ball@studient.com")</f>
        <v>kimberly.ball@studient.com</v>
      </c>
      <c r="U5092" s="6" t="str">
        <f>IFERROR(__xludf.DUMMYFUNCTION("""COMPUTED_VALUE"""),"2")</f>
        <v>2</v>
      </c>
      <c r="V5092" s="6" t="str">
        <f>IFERROR(__xludf.DUMMYFUNCTION("""COMPUTED_VALUE"""),"")</f>
        <v/>
      </c>
      <c r="W5092" s="6" t="str">
        <f>IFERROR(__xludf.DUMMYFUNCTION("""COMPUTED_VALUE"""),"[]")</f>
        <v>[]</v>
      </c>
      <c r="X5092" s="6" t="str">
        <f>IFERROR(__xludf.DUMMYFUNCTION("""COMPUTED_VALUE"""),"Enrolled")</f>
        <v>Enrolled</v>
      </c>
    </row>
    <row r="5093">
      <c r="A5093" s="6" t="str">
        <f>IFERROR(__xludf.DUMMYFUNCTION("""COMPUTED_VALUE"""),"086-12484")</f>
        <v>086-12484</v>
      </c>
      <c r="B5093" s="6" t="str">
        <f>IFERROR(__xludf.DUMMYFUNCTION("""COMPUTED_VALUE"""),"86")</f>
        <v>86</v>
      </c>
      <c r="C5093" s="6" t="str">
        <f>IFERROR(__xludf.DUMMYFUNCTION("""COMPUTED_VALUE"""),"12484")</f>
        <v>12484</v>
      </c>
      <c r="D5093" s="6" t="str">
        <f>IFERROR(__xludf.DUMMYFUNCTION("""COMPUTED_VALUE"""),"Josselin")</f>
        <v>Josselin</v>
      </c>
      <c r="E5093" s="6" t="str">
        <f>IFERROR(__xludf.DUMMYFUNCTION("""COMPUTED_VALUE"""),"")</f>
        <v/>
      </c>
      <c r="F5093" s="6" t="str">
        <f>IFERROR(__xludf.DUMMYFUNCTION("""COMPUTED_VALUE"""),"Izaguirre Medina")</f>
        <v>Izaguirre Medina</v>
      </c>
      <c r="G5093" s="6" t="str">
        <f>IFERROR(__xludf.DUMMYFUNCTION("""COMPUTED_VALUE"""),"06/30/2015")</f>
        <v>06/30/2015</v>
      </c>
      <c r="H5093" s="6" t="str">
        <f>IFERROR(__xludf.DUMMYFUNCTION("""COMPUTED_VALUE"""),"female")</f>
        <v>female</v>
      </c>
      <c r="I5093" s="6" t="str">
        <f>IFERROR(__xludf.DUMMYFUNCTION("""COMPUTED_VALUE"""),"Level 1")</f>
        <v>Level 1</v>
      </c>
      <c r="J5093" s="6" t="str">
        <f>IFERROR(__xludf.DUMMYFUNCTION("""COMPUTED_VALUE"""),"2")</f>
        <v>2</v>
      </c>
      <c r="K5093" s="6" t="str">
        <f>IFERROR(__xludf.DUMMYFUNCTION("""COMPUTED_VALUE"""),"josselin.izaguirremedina@2hourlearning.com")</f>
        <v>josselin.izaguirremedina@2hourlearning.com</v>
      </c>
      <c r="L5093" s="6" t="str">
        <f>IFERROR(__xludf.DUMMYFUNCTION("""COMPUTED_VALUE"""),"JRES - Ridgeland Elementary School")</f>
        <v>JRES - Ridgeland Elementary School</v>
      </c>
      <c r="M5093" s="6" t="str">
        <f>IFERROR(__xludf.DUMMYFUNCTION("""COMPUTED_VALUE"""),"")</f>
        <v/>
      </c>
      <c r="N5093" s="6" t="str">
        <f>IFERROR(__xludf.DUMMYFUNCTION("""COMPUTED_VALUE"""),"")</f>
        <v/>
      </c>
      <c r="O5093" s="87" t="str">
        <f>IFERROR(__xludf.DUMMYFUNCTION("""COMPUTED_VALUE"""),"https://drive.google.com/drive/folders/10T2cTQHqEJZqE-st6uFKPoI?usp=share_link")</f>
        <v>https://drive.google.com/drive/folders/10T2cTQHqEJZqE-st6uFKPoI?usp=share_link</v>
      </c>
      <c r="P5093" s="6" t="str">
        <f>IFERROR(__xludf.DUMMYFUNCTION("""COMPUTED_VALUE"""),"Josselin Izaguirre Medina")</f>
        <v>Josselin Izaguirre Medina</v>
      </c>
      <c r="Q5093" s="6" t="str">
        <f>IFERROR(__xludf.DUMMYFUNCTION("""COMPUTED_VALUE"""),"L1")</f>
        <v>L1</v>
      </c>
      <c r="R5093" s="6">
        <f>IFERROR(__xludf.DUMMYFUNCTION("""COMPUTED_VALUE"""),1.0)</f>
        <v>1</v>
      </c>
      <c r="S5093" s="6" t="str">
        <f>IFERROR(__xludf.DUMMYFUNCTION("""COMPUTED_VALUE"""),"Kimberly Ball")</f>
        <v>Kimberly Ball</v>
      </c>
      <c r="T5093" s="6" t="str">
        <f>IFERROR(__xludf.DUMMYFUNCTION("""COMPUTED_VALUE"""),"kimberly.ball@studient.com")</f>
        <v>kimberly.ball@studient.com</v>
      </c>
      <c r="U5093" s="6" t="str">
        <f>IFERROR(__xludf.DUMMYFUNCTION("""COMPUTED_VALUE"""),"2")</f>
        <v>2</v>
      </c>
      <c r="V5093" s="6" t="str">
        <f>IFERROR(__xludf.DUMMYFUNCTION("""COMPUTED_VALUE"""),"")</f>
        <v/>
      </c>
      <c r="W5093" s="6" t="str">
        <f>IFERROR(__xludf.DUMMYFUNCTION("""COMPUTED_VALUE"""),"[]")</f>
        <v>[]</v>
      </c>
      <c r="X5093" s="6" t="str">
        <f>IFERROR(__xludf.DUMMYFUNCTION("""COMPUTED_VALUE"""),"Enrolled")</f>
        <v>Enrolled</v>
      </c>
    </row>
    <row r="5094">
      <c r="A5094" s="6" t="str">
        <f>IFERROR(__xludf.DUMMYFUNCTION("""COMPUTED_VALUE"""),"086-12485")</f>
        <v>086-12485</v>
      </c>
      <c r="B5094" s="6" t="str">
        <f>IFERROR(__xludf.DUMMYFUNCTION("""COMPUTED_VALUE"""),"86")</f>
        <v>86</v>
      </c>
      <c r="C5094" s="6" t="str">
        <f>IFERROR(__xludf.DUMMYFUNCTION("""COMPUTED_VALUE"""),"12485")</f>
        <v>12485</v>
      </c>
      <c r="D5094" s="6" t="str">
        <f>IFERROR(__xludf.DUMMYFUNCTION("""COMPUTED_VALUE"""),"Devin")</f>
        <v>Devin</v>
      </c>
      <c r="E5094" s="6" t="str">
        <f>IFERROR(__xludf.DUMMYFUNCTION("""COMPUTED_VALUE"""),"")</f>
        <v/>
      </c>
      <c r="F5094" s="6" t="str">
        <f>IFERROR(__xludf.DUMMYFUNCTION("""COMPUTED_VALUE"""),"Johnson-Morgan")</f>
        <v>Johnson-Morgan</v>
      </c>
      <c r="G5094" s="6" t="str">
        <f>IFERROR(__xludf.DUMMYFUNCTION("""COMPUTED_VALUE"""),"08/31/2016")</f>
        <v>08/31/2016</v>
      </c>
      <c r="H5094" s="6" t="str">
        <f>IFERROR(__xludf.DUMMYFUNCTION("""COMPUTED_VALUE"""),"female")</f>
        <v>female</v>
      </c>
      <c r="I5094" s="6" t="str">
        <f>IFERROR(__xludf.DUMMYFUNCTION("""COMPUTED_VALUE"""),"Level 1")</f>
        <v>Level 1</v>
      </c>
      <c r="J5094" s="6" t="str">
        <f>IFERROR(__xludf.DUMMYFUNCTION("""COMPUTED_VALUE"""),"2")</f>
        <v>2</v>
      </c>
      <c r="K5094" s="6" t="str">
        <f>IFERROR(__xludf.DUMMYFUNCTION("""COMPUTED_VALUE"""),"devin.johnson-morgan@2hourlearning.com")</f>
        <v>devin.johnson-morgan@2hourlearning.com</v>
      </c>
      <c r="L5094" s="6" t="str">
        <f>IFERROR(__xludf.DUMMYFUNCTION("""COMPUTED_VALUE"""),"JRES - Ridgeland Elementary School")</f>
        <v>JRES - Ridgeland Elementary School</v>
      </c>
      <c r="M5094" s="6" t="str">
        <f>IFERROR(__xludf.DUMMYFUNCTION("""COMPUTED_VALUE"""),"")</f>
        <v/>
      </c>
      <c r="N5094" s="6" t="str">
        <f>IFERROR(__xludf.DUMMYFUNCTION("""COMPUTED_VALUE"""),"")</f>
        <v/>
      </c>
      <c r="O5094" s="87" t="str">
        <f>IFERROR(__xludf.DUMMYFUNCTION("""COMPUTED_VALUE"""),"https://drive.google.com/drive/folders/10T2cTQHqEJZqE-st6uFKPoI?usp=share_link")</f>
        <v>https://drive.google.com/drive/folders/10T2cTQHqEJZqE-st6uFKPoI?usp=share_link</v>
      </c>
      <c r="P5094" s="6" t="str">
        <f>IFERROR(__xludf.DUMMYFUNCTION("""COMPUTED_VALUE"""),"Devin Johnson-Morgan")</f>
        <v>Devin Johnson-Morgan</v>
      </c>
      <c r="Q5094" s="6" t="str">
        <f>IFERROR(__xludf.DUMMYFUNCTION("""COMPUTED_VALUE"""),"L1")</f>
        <v>L1</v>
      </c>
      <c r="R5094" s="6">
        <f>IFERROR(__xludf.DUMMYFUNCTION("""COMPUTED_VALUE"""),1.0)</f>
        <v>1</v>
      </c>
      <c r="S5094" s="6" t="str">
        <f>IFERROR(__xludf.DUMMYFUNCTION("""COMPUTED_VALUE"""),"Kimberly Ball")</f>
        <v>Kimberly Ball</v>
      </c>
      <c r="T5094" s="6" t="str">
        <f>IFERROR(__xludf.DUMMYFUNCTION("""COMPUTED_VALUE"""),"kimberly.ball@studient.com")</f>
        <v>kimberly.ball@studient.com</v>
      </c>
      <c r="U5094" s="6" t="str">
        <f>IFERROR(__xludf.DUMMYFUNCTION("""COMPUTED_VALUE"""),"2")</f>
        <v>2</v>
      </c>
      <c r="V5094" s="6" t="str">
        <f>IFERROR(__xludf.DUMMYFUNCTION("""COMPUTED_VALUE"""),"")</f>
        <v/>
      </c>
      <c r="W5094" s="6" t="str">
        <f>IFERROR(__xludf.DUMMYFUNCTION("""COMPUTED_VALUE"""),"[]")</f>
        <v>[]</v>
      </c>
      <c r="X5094" s="6" t="str">
        <f>IFERROR(__xludf.DUMMYFUNCTION("""COMPUTED_VALUE"""),"Enrolled")</f>
        <v>Enrolled</v>
      </c>
    </row>
    <row r="5095">
      <c r="A5095" s="6" t="str">
        <f>IFERROR(__xludf.DUMMYFUNCTION("""COMPUTED_VALUE"""),"086-12486")</f>
        <v>086-12486</v>
      </c>
      <c r="B5095" s="6" t="str">
        <f>IFERROR(__xludf.DUMMYFUNCTION("""COMPUTED_VALUE"""),"86")</f>
        <v>86</v>
      </c>
      <c r="C5095" s="6" t="str">
        <f>IFERROR(__xludf.DUMMYFUNCTION("""COMPUTED_VALUE"""),"12486")</f>
        <v>12486</v>
      </c>
      <c r="D5095" s="6" t="str">
        <f>IFERROR(__xludf.DUMMYFUNCTION("""COMPUTED_VALUE"""),"Dahlia")</f>
        <v>Dahlia</v>
      </c>
      <c r="E5095" s="6" t="str">
        <f>IFERROR(__xludf.DUMMYFUNCTION("""COMPUTED_VALUE"""),"")</f>
        <v/>
      </c>
      <c r="F5095" s="6" t="str">
        <f>IFERROR(__xludf.DUMMYFUNCTION("""COMPUTED_VALUE"""),"Laboy")</f>
        <v>Laboy</v>
      </c>
      <c r="G5095" s="6" t="str">
        <f>IFERROR(__xludf.DUMMYFUNCTION("""COMPUTED_VALUE"""),"11/29/2016")</f>
        <v>11/29/2016</v>
      </c>
      <c r="H5095" s="6" t="str">
        <f>IFERROR(__xludf.DUMMYFUNCTION("""COMPUTED_VALUE"""),"female")</f>
        <v>female</v>
      </c>
      <c r="I5095" s="6" t="str">
        <f>IFERROR(__xludf.DUMMYFUNCTION("""COMPUTED_VALUE"""),"Level 1")</f>
        <v>Level 1</v>
      </c>
      <c r="J5095" s="6" t="str">
        <f>IFERROR(__xludf.DUMMYFUNCTION("""COMPUTED_VALUE"""),"2")</f>
        <v>2</v>
      </c>
      <c r="K5095" s="6" t="str">
        <f>IFERROR(__xludf.DUMMYFUNCTION("""COMPUTED_VALUE"""),"dahlia.laboy@2hourlearning.com")</f>
        <v>dahlia.laboy@2hourlearning.com</v>
      </c>
      <c r="L5095" s="6" t="str">
        <f>IFERROR(__xludf.DUMMYFUNCTION("""COMPUTED_VALUE"""),"JRES - Ridgeland Elementary School")</f>
        <v>JRES - Ridgeland Elementary School</v>
      </c>
      <c r="M5095" s="6" t="str">
        <f>IFERROR(__xludf.DUMMYFUNCTION("""COMPUTED_VALUE"""),"")</f>
        <v/>
      </c>
      <c r="N5095" s="6" t="str">
        <f>IFERROR(__xludf.DUMMYFUNCTION("""COMPUTED_VALUE"""),"")</f>
        <v/>
      </c>
      <c r="O5095" s="87" t="str">
        <f>IFERROR(__xludf.DUMMYFUNCTION("""COMPUTED_VALUE"""),"https://drive.google.com/drive/folders/10T2cTQHqEJZqE-st6uFKPoI?usp=share_link")</f>
        <v>https://drive.google.com/drive/folders/10T2cTQHqEJZqE-st6uFKPoI?usp=share_link</v>
      </c>
      <c r="P5095" s="6" t="str">
        <f>IFERROR(__xludf.DUMMYFUNCTION("""COMPUTED_VALUE"""),"Dahlia Laboy")</f>
        <v>Dahlia Laboy</v>
      </c>
      <c r="Q5095" s="6" t="str">
        <f>IFERROR(__xludf.DUMMYFUNCTION("""COMPUTED_VALUE"""),"L1")</f>
        <v>L1</v>
      </c>
      <c r="R5095" s="6">
        <f>IFERROR(__xludf.DUMMYFUNCTION("""COMPUTED_VALUE"""),1.0)</f>
        <v>1</v>
      </c>
      <c r="S5095" s="6" t="str">
        <f>IFERROR(__xludf.DUMMYFUNCTION("""COMPUTED_VALUE"""),"Kimberly Ball")</f>
        <v>Kimberly Ball</v>
      </c>
      <c r="T5095" s="6" t="str">
        <f>IFERROR(__xludf.DUMMYFUNCTION("""COMPUTED_VALUE"""),"kimberly.ball@studient.com")</f>
        <v>kimberly.ball@studient.com</v>
      </c>
      <c r="U5095" s="6" t="str">
        <f>IFERROR(__xludf.DUMMYFUNCTION("""COMPUTED_VALUE"""),"2")</f>
        <v>2</v>
      </c>
      <c r="V5095" s="6" t="str">
        <f>IFERROR(__xludf.DUMMYFUNCTION("""COMPUTED_VALUE"""),"")</f>
        <v/>
      </c>
      <c r="W5095" s="6" t="str">
        <f>IFERROR(__xludf.DUMMYFUNCTION("""COMPUTED_VALUE"""),"[]")</f>
        <v>[]</v>
      </c>
      <c r="X5095" s="6" t="str">
        <f>IFERROR(__xludf.DUMMYFUNCTION("""COMPUTED_VALUE"""),"Enrolled")</f>
        <v>Enrolled</v>
      </c>
    </row>
    <row r="5096">
      <c r="A5096" s="6" t="str">
        <f>IFERROR(__xludf.DUMMYFUNCTION("""COMPUTED_VALUE"""),"086-12487")</f>
        <v>086-12487</v>
      </c>
      <c r="B5096" s="6" t="str">
        <f>IFERROR(__xludf.DUMMYFUNCTION("""COMPUTED_VALUE"""),"86")</f>
        <v>86</v>
      </c>
      <c r="C5096" s="6" t="str">
        <f>IFERROR(__xludf.DUMMYFUNCTION("""COMPUTED_VALUE"""),"12487")</f>
        <v>12487</v>
      </c>
      <c r="D5096" s="6" t="str">
        <f>IFERROR(__xludf.DUMMYFUNCTION("""COMPUTED_VALUE"""),"Zoey")</f>
        <v>Zoey</v>
      </c>
      <c r="E5096" s="6" t="str">
        <f>IFERROR(__xludf.DUMMYFUNCTION("""COMPUTED_VALUE"""),"")</f>
        <v/>
      </c>
      <c r="F5096" s="6" t="str">
        <f>IFERROR(__xludf.DUMMYFUNCTION("""COMPUTED_VALUE"""),"Lawson")</f>
        <v>Lawson</v>
      </c>
      <c r="G5096" s="6" t="str">
        <f>IFERROR(__xludf.DUMMYFUNCTION("""COMPUTED_VALUE"""),"12/28/2015")</f>
        <v>12/28/2015</v>
      </c>
      <c r="H5096" s="6" t="str">
        <f>IFERROR(__xludf.DUMMYFUNCTION("""COMPUTED_VALUE"""),"female")</f>
        <v>female</v>
      </c>
      <c r="I5096" s="6" t="str">
        <f>IFERROR(__xludf.DUMMYFUNCTION("""COMPUTED_VALUE"""),"Level 1")</f>
        <v>Level 1</v>
      </c>
      <c r="J5096" s="6" t="str">
        <f>IFERROR(__xludf.DUMMYFUNCTION("""COMPUTED_VALUE"""),"2")</f>
        <v>2</v>
      </c>
      <c r="K5096" s="6" t="str">
        <f>IFERROR(__xludf.DUMMYFUNCTION("""COMPUTED_VALUE"""),"zoey.lawson@2hourlearning.com")</f>
        <v>zoey.lawson@2hourlearning.com</v>
      </c>
      <c r="L5096" s="6" t="str">
        <f>IFERROR(__xludf.DUMMYFUNCTION("""COMPUTED_VALUE"""),"JRES - Ridgeland Elementary School")</f>
        <v>JRES - Ridgeland Elementary School</v>
      </c>
      <c r="M5096" s="6" t="str">
        <f>IFERROR(__xludf.DUMMYFUNCTION("""COMPUTED_VALUE"""),"")</f>
        <v/>
      </c>
      <c r="N5096" s="6" t="str">
        <f>IFERROR(__xludf.DUMMYFUNCTION("""COMPUTED_VALUE"""),"")</f>
        <v/>
      </c>
      <c r="O5096" s="87" t="str">
        <f>IFERROR(__xludf.DUMMYFUNCTION("""COMPUTED_VALUE"""),"https://drive.google.com/drive/folders/10T2cTQHqEJZqE-st6uFKPoI?usp=share_link")</f>
        <v>https://drive.google.com/drive/folders/10T2cTQHqEJZqE-st6uFKPoI?usp=share_link</v>
      </c>
      <c r="P5096" s="6" t="str">
        <f>IFERROR(__xludf.DUMMYFUNCTION("""COMPUTED_VALUE"""),"Zoey Lawson")</f>
        <v>Zoey Lawson</v>
      </c>
      <c r="Q5096" s="6" t="str">
        <f>IFERROR(__xludf.DUMMYFUNCTION("""COMPUTED_VALUE"""),"L1")</f>
        <v>L1</v>
      </c>
      <c r="R5096" s="6">
        <f>IFERROR(__xludf.DUMMYFUNCTION("""COMPUTED_VALUE"""),1.0)</f>
        <v>1</v>
      </c>
      <c r="S5096" s="6" t="str">
        <f>IFERROR(__xludf.DUMMYFUNCTION("""COMPUTED_VALUE"""),"Kimberly Ball")</f>
        <v>Kimberly Ball</v>
      </c>
      <c r="T5096" s="6" t="str">
        <f>IFERROR(__xludf.DUMMYFUNCTION("""COMPUTED_VALUE"""),"kimberly.ball@studient.com")</f>
        <v>kimberly.ball@studient.com</v>
      </c>
      <c r="U5096" s="6" t="str">
        <f>IFERROR(__xludf.DUMMYFUNCTION("""COMPUTED_VALUE"""),"2")</f>
        <v>2</v>
      </c>
      <c r="V5096" s="6" t="str">
        <f>IFERROR(__xludf.DUMMYFUNCTION("""COMPUTED_VALUE"""),"")</f>
        <v/>
      </c>
      <c r="W5096" s="6" t="str">
        <f>IFERROR(__xludf.DUMMYFUNCTION("""COMPUTED_VALUE"""),"[]")</f>
        <v>[]</v>
      </c>
      <c r="X5096" s="6" t="str">
        <f>IFERROR(__xludf.DUMMYFUNCTION("""COMPUTED_VALUE"""),"Enrolled")</f>
        <v>Enrolled</v>
      </c>
    </row>
    <row r="5097">
      <c r="A5097" s="6" t="str">
        <f>IFERROR(__xludf.DUMMYFUNCTION("""COMPUTED_VALUE"""),"086-12488")</f>
        <v>086-12488</v>
      </c>
      <c r="B5097" s="6" t="str">
        <f>IFERROR(__xludf.DUMMYFUNCTION("""COMPUTED_VALUE"""),"86")</f>
        <v>86</v>
      </c>
      <c r="C5097" s="6" t="str">
        <f>IFERROR(__xludf.DUMMYFUNCTION("""COMPUTED_VALUE"""),"12488")</f>
        <v>12488</v>
      </c>
      <c r="D5097" s="6" t="str">
        <f>IFERROR(__xludf.DUMMYFUNCTION("""COMPUTED_VALUE"""),"A'Vanah")</f>
        <v>A'Vanah</v>
      </c>
      <c r="E5097" s="6" t="str">
        <f>IFERROR(__xludf.DUMMYFUNCTION("""COMPUTED_VALUE"""),"")</f>
        <v/>
      </c>
      <c r="F5097" s="6" t="str">
        <f>IFERROR(__xludf.DUMMYFUNCTION("""COMPUTED_VALUE"""),"Lee")</f>
        <v>Lee</v>
      </c>
      <c r="G5097" s="6" t="str">
        <f>IFERROR(__xludf.DUMMYFUNCTION("""COMPUTED_VALUE"""),"06/19/2015")</f>
        <v>06/19/2015</v>
      </c>
      <c r="H5097" s="6" t="str">
        <f>IFERROR(__xludf.DUMMYFUNCTION("""COMPUTED_VALUE"""),"female")</f>
        <v>female</v>
      </c>
      <c r="I5097" s="6" t="str">
        <f>IFERROR(__xludf.DUMMYFUNCTION("""COMPUTED_VALUE"""),"Level 1")</f>
        <v>Level 1</v>
      </c>
      <c r="J5097" s="6" t="str">
        <f>IFERROR(__xludf.DUMMYFUNCTION("""COMPUTED_VALUE"""),"2")</f>
        <v>2</v>
      </c>
      <c r="K5097" s="6" t="str">
        <f>IFERROR(__xludf.DUMMYFUNCTION("""COMPUTED_VALUE"""),"avanah.lee@2hourlearning.com")</f>
        <v>avanah.lee@2hourlearning.com</v>
      </c>
      <c r="L5097" s="6" t="str">
        <f>IFERROR(__xludf.DUMMYFUNCTION("""COMPUTED_VALUE"""),"JRES - Ridgeland Elementary School")</f>
        <v>JRES - Ridgeland Elementary School</v>
      </c>
      <c r="M5097" s="6" t="str">
        <f>IFERROR(__xludf.DUMMYFUNCTION("""COMPUTED_VALUE"""),"")</f>
        <v/>
      </c>
      <c r="N5097" s="6" t="str">
        <f>IFERROR(__xludf.DUMMYFUNCTION("""COMPUTED_VALUE"""),"")</f>
        <v/>
      </c>
      <c r="O5097" s="87" t="str">
        <f>IFERROR(__xludf.DUMMYFUNCTION("""COMPUTED_VALUE"""),"https://drive.google.com/drive/folders/10T2cTQHqEJZqE-st6uFKPoI?usp=share_link")</f>
        <v>https://drive.google.com/drive/folders/10T2cTQHqEJZqE-st6uFKPoI?usp=share_link</v>
      </c>
      <c r="P5097" s="6" t="str">
        <f>IFERROR(__xludf.DUMMYFUNCTION("""COMPUTED_VALUE"""),"A'Vanah Lee")</f>
        <v>A'Vanah Lee</v>
      </c>
      <c r="Q5097" s="6" t="str">
        <f>IFERROR(__xludf.DUMMYFUNCTION("""COMPUTED_VALUE"""),"L1")</f>
        <v>L1</v>
      </c>
      <c r="R5097" s="6">
        <f>IFERROR(__xludf.DUMMYFUNCTION("""COMPUTED_VALUE"""),1.0)</f>
        <v>1</v>
      </c>
      <c r="S5097" s="6" t="str">
        <f>IFERROR(__xludf.DUMMYFUNCTION("""COMPUTED_VALUE"""),"Kimberly Ball")</f>
        <v>Kimberly Ball</v>
      </c>
      <c r="T5097" s="6" t="str">
        <f>IFERROR(__xludf.DUMMYFUNCTION("""COMPUTED_VALUE"""),"kimberly.ball@studient.com")</f>
        <v>kimberly.ball@studient.com</v>
      </c>
      <c r="U5097" s="6" t="str">
        <f>IFERROR(__xludf.DUMMYFUNCTION("""COMPUTED_VALUE"""),"2")</f>
        <v>2</v>
      </c>
      <c r="V5097" s="6" t="str">
        <f>IFERROR(__xludf.DUMMYFUNCTION("""COMPUTED_VALUE"""),"")</f>
        <v/>
      </c>
      <c r="W5097" s="6" t="str">
        <f>IFERROR(__xludf.DUMMYFUNCTION("""COMPUTED_VALUE"""),"[]")</f>
        <v>[]</v>
      </c>
      <c r="X5097" s="6" t="str">
        <f>IFERROR(__xludf.DUMMYFUNCTION("""COMPUTED_VALUE"""),"Enrolled")</f>
        <v>Enrolled</v>
      </c>
    </row>
    <row r="5098">
      <c r="A5098" s="6" t="str">
        <f>IFERROR(__xludf.DUMMYFUNCTION("""COMPUTED_VALUE"""),"086-12489")</f>
        <v>086-12489</v>
      </c>
      <c r="B5098" s="6" t="str">
        <f>IFERROR(__xludf.DUMMYFUNCTION("""COMPUTED_VALUE"""),"86")</f>
        <v>86</v>
      </c>
      <c r="C5098" s="6" t="str">
        <f>IFERROR(__xludf.DUMMYFUNCTION("""COMPUTED_VALUE"""),"12489")</f>
        <v>12489</v>
      </c>
      <c r="D5098" s="6" t="str">
        <f>IFERROR(__xludf.DUMMYFUNCTION("""COMPUTED_VALUE"""),"Abel")</f>
        <v>Abel</v>
      </c>
      <c r="E5098" s="6" t="str">
        <f>IFERROR(__xludf.DUMMYFUNCTION("""COMPUTED_VALUE"""),"")</f>
        <v/>
      </c>
      <c r="F5098" s="6" t="str">
        <f>IFERROR(__xludf.DUMMYFUNCTION("""COMPUTED_VALUE"""),"Long")</f>
        <v>Long</v>
      </c>
      <c r="G5098" s="6" t="str">
        <f>IFERROR(__xludf.DUMMYFUNCTION("""COMPUTED_VALUE"""),"05/06/2017")</f>
        <v>05/06/2017</v>
      </c>
      <c r="H5098" s="6" t="str">
        <f>IFERROR(__xludf.DUMMYFUNCTION("""COMPUTED_VALUE"""),"male")</f>
        <v>male</v>
      </c>
      <c r="I5098" s="6" t="str">
        <f>IFERROR(__xludf.DUMMYFUNCTION("""COMPUTED_VALUE"""),"Level 1")</f>
        <v>Level 1</v>
      </c>
      <c r="J5098" s="6" t="str">
        <f>IFERROR(__xludf.DUMMYFUNCTION("""COMPUTED_VALUE"""),"2")</f>
        <v>2</v>
      </c>
      <c r="K5098" s="6" t="str">
        <f>IFERROR(__xludf.DUMMYFUNCTION("""COMPUTED_VALUE"""),"abel.long@2hourlearning.com")</f>
        <v>abel.long@2hourlearning.com</v>
      </c>
      <c r="L5098" s="6" t="str">
        <f>IFERROR(__xludf.DUMMYFUNCTION("""COMPUTED_VALUE"""),"JRES - Ridgeland Elementary School")</f>
        <v>JRES - Ridgeland Elementary School</v>
      </c>
      <c r="M5098" s="6" t="str">
        <f>IFERROR(__xludf.DUMMYFUNCTION("""COMPUTED_VALUE"""),"")</f>
        <v/>
      </c>
      <c r="N5098" s="6" t="str">
        <f>IFERROR(__xludf.DUMMYFUNCTION("""COMPUTED_VALUE"""),"")</f>
        <v/>
      </c>
      <c r="O5098" s="87" t="str">
        <f>IFERROR(__xludf.DUMMYFUNCTION("""COMPUTED_VALUE"""),"https://drive.google.com/drive/folders/10T2cTQHqEJZqE-st6uFKPoI?usp=share_link")</f>
        <v>https://drive.google.com/drive/folders/10T2cTQHqEJZqE-st6uFKPoI?usp=share_link</v>
      </c>
      <c r="P5098" s="6" t="str">
        <f>IFERROR(__xludf.DUMMYFUNCTION("""COMPUTED_VALUE"""),"Abel Long")</f>
        <v>Abel Long</v>
      </c>
      <c r="Q5098" s="6" t="str">
        <f>IFERROR(__xludf.DUMMYFUNCTION("""COMPUTED_VALUE"""),"L1")</f>
        <v>L1</v>
      </c>
      <c r="R5098" s="6">
        <f>IFERROR(__xludf.DUMMYFUNCTION("""COMPUTED_VALUE"""),1.0)</f>
        <v>1</v>
      </c>
      <c r="S5098" s="6" t="str">
        <f>IFERROR(__xludf.DUMMYFUNCTION("""COMPUTED_VALUE"""),"Kimberly Ball")</f>
        <v>Kimberly Ball</v>
      </c>
      <c r="T5098" s="6" t="str">
        <f>IFERROR(__xludf.DUMMYFUNCTION("""COMPUTED_VALUE"""),"kimberly.ball@studient.com")</f>
        <v>kimberly.ball@studient.com</v>
      </c>
      <c r="U5098" s="6" t="str">
        <f>IFERROR(__xludf.DUMMYFUNCTION("""COMPUTED_VALUE"""),"2")</f>
        <v>2</v>
      </c>
      <c r="V5098" s="6" t="str">
        <f>IFERROR(__xludf.DUMMYFUNCTION("""COMPUTED_VALUE"""),"")</f>
        <v/>
      </c>
      <c r="W5098" s="6" t="str">
        <f>IFERROR(__xludf.DUMMYFUNCTION("""COMPUTED_VALUE"""),"[]")</f>
        <v>[]</v>
      </c>
      <c r="X5098" s="6" t="str">
        <f>IFERROR(__xludf.DUMMYFUNCTION("""COMPUTED_VALUE"""),"Enrolled")</f>
        <v>Enrolled</v>
      </c>
    </row>
    <row r="5099">
      <c r="A5099" s="6" t="str">
        <f>IFERROR(__xludf.DUMMYFUNCTION("""COMPUTED_VALUE"""),"086-12490")</f>
        <v>086-12490</v>
      </c>
      <c r="B5099" s="6" t="str">
        <f>IFERROR(__xludf.DUMMYFUNCTION("""COMPUTED_VALUE"""),"86")</f>
        <v>86</v>
      </c>
      <c r="C5099" s="6" t="str">
        <f>IFERROR(__xludf.DUMMYFUNCTION("""COMPUTED_VALUE"""),"12490")</f>
        <v>12490</v>
      </c>
      <c r="D5099" s="6" t="str">
        <f>IFERROR(__xludf.DUMMYFUNCTION("""COMPUTED_VALUE"""),"Rodrigo")</f>
        <v>Rodrigo</v>
      </c>
      <c r="E5099" s="6" t="str">
        <f>IFERROR(__xludf.DUMMYFUNCTION("""COMPUTED_VALUE"""),"")</f>
        <v/>
      </c>
      <c r="F5099" s="6" t="str">
        <f>IFERROR(__xludf.DUMMYFUNCTION("""COMPUTED_VALUE"""),"Lopez Lopez")</f>
        <v>Lopez Lopez</v>
      </c>
      <c r="G5099" s="6" t="str">
        <f>IFERROR(__xludf.DUMMYFUNCTION("""COMPUTED_VALUE"""),"11/03/2014")</f>
        <v>11/03/2014</v>
      </c>
      <c r="H5099" s="6" t="str">
        <f>IFERROR(__xludf.DUMMYFUNCTION("""COMPUTED_VALUE"""),"female")</f>
        <v>female</v>
      </c>
      <c r="I5099" s="6" t="str">
        <f>IFERROR(__xludf.DUMMYFUNCTION("""COMPUTED_VALUE"""),"Level 1")</f>
        <v>Level 1</v>
      </c>
      <c r="J5099" s="6" t="str">
        <f>IFERROR(__xludf.DUMMYFUNCTION("""COMPUTED_VALUE"""),"2")</f>
        <v>2</v>
      </c>
      <c r="K5099" s="6" t="str">
        <f>IFERROR(__xludf.DUMMYFUNCTION("""COMPUTED_VALUE"""),"rodrigo.lopezlopez@2hourlearning.com")</f>
        <v>rodrigo.lopezlopez@2hourlearning.com</v>
      </c>
      <c r="L5099" s="6" t="str">
        <f>IFERROR(__xludf.DUMMYFUNCTION("""COMPUTED_VALUE"""),"JRES - Ridgeland Elementary School")</f>
        <v>JRES - Ridgeland Elementary School</v>
      </c>
      <c r="M5099" s="6" t="str">
        <f>IFERROR(__xludf.DUMMYFUNCTION("""COMPUTED_VALUE"""),"")</f>
        <v/>
      </c>
      <c r="N5099" s="6" t="str">
        <f>IFERROR(__xludf.DUMMYFUNCTION("""COMPUTED_VALUE"""),"")</f>
        <v/>
      </c>
      <c r="O5099" s="87" t="str">
        <f>IFERROR(__xludf.DUMMYFUNCTION("""COMPUTED_VALUE"""),"https://drive.google.com/drive/folders/10T2cTQHqEJZqE-st6uFKPoI?usp=share_link")</f>
        <v>https://drive.google.com/drive/folders/10T2cTQHqEJZqE-st6uFKPoI?usp=share_link</v>
      </c>
      <c r="P5099" s="6" t="str">
        <f>IFERROR(__xludf.DUMMYFUNCTION("""COMPUTED_VALUE"""),"Rodrigo Lopez Lopez")</f>
        <v>Rodrigo Lopez Lopez</v>
      </c>
      <c r="Q5099" s="6" t="str">
        <f>IFERROR(__xludf.DUMMYFUNCTION("""COMPUTED_VALUE"""),"L1")</f>
        <v>L1</v>
      </c>
      <c r="R5099" s="6">
        <f>IFERROR(__xludf.DUMMYFUNCTION("""COMPUTED_VALUE"""),1.0)</f>
        <v>1</v>
      </c>
      <c r="S5099" s="6" t="str">
        <f>IFERROR(__xludf.DUMMYFUNCTION("""COMPUTED_VALUE"""),"Kimberly Ball")</f>
        <v>Kimberly Ball</v>
      </c>
      <c r="T5099" s="6" t="str">
        <f>IFERROR(__xludf.DUMMYFUNCTION("""COMPUTED_VALUE"""),"kimberly.ball@studient.com")</f>
        <v>kimberly.ball@studient.com</v>
      </c>
      <c r="U5099" s="6" t="str">
        <f>IFERROR(__xludf.DUMMYFUNCTION("""COMPUTED_VALUE"""),"2")</f>
        <v>2</v>
      </c>
      <c r="V5099" s="6" t="str">
        <f>IFERROR(__xludf.DUMMYFUNCTION("""COMPUTED_VALUE"""),"")</f>
        <v/>
      </c>
      <c r="W5099" s="6" t="str">
        <f>IFERROR(__xludf.DUMMYFUNCTION("""COMPUTED_VALUE"""),"[]")</f>
        <v>[]</v>
      </c>
      <c r="X5099" s="6" t="str">
        <f>IFERROR(__xludf.DUMMYFUNCTION("""COMPUTED_VALUE"""),"Enrolled")</f>
        <v>Enrolled</v>
      </c>
    </row>
    <row r="5100">
      <c r="A5100" s="6" t="str">
        <f>IFERROR(__xludf.DUMMYFUNCTION("""COMPUTED_VALUE"""),"086-12491")</f>
        <v>086-12491</v>
      </c>
      <c r="B5100" s="6" t="str">
        <f>IFERROR(__xludf.DUMMYFUNCTION("""COMPUTED_VALUE"""),"86")</f>
        <v>86</v>
      </c>
      <c r="C5100" s="6" t="str">
        <f>IFERROR(__xludf.DUMMYFUNCTION("""COMPUTED_VALUE"""),"12491")</f>
        <v>12491</v>
      </c>
      <c r="D5100" s="6" t="str">
        <f>IFERROR(__xludf.DUMMYFUNCTION("""COMPUTED_VALUE"""),"Jara")</f>
        <v>Jara</v>
      </c>
      <c r="E5100" s="6" t="str">
        <f>IFERROR(__xludf.DUMMYFUNCTION("""COMPUTED_VALUE"""),"")</f>
        <v/>
      </c>
      <c r="F5100" s="6" t="str">
        <f>IFERROR(__xludf.DUMMYFUNCTION("""COMPUTED_VALUE"""),"Luna Salinas")</f>
        <v>Luna Salinas</v>
      </c>
      <c r="G5100" s="6" t="str">
        <f>IFERROR(__xludf.DUMMYFUNCTION("""COMPUTED_VALUE"""),"09/05/2015")</f>
        <v>09/05/2015</v>
      </c>
      <c r="H5100" s="6" t="str">
        <f>IFERROR(__xludf.DUMMYFUNCTION("""COMPUTED_VALUE"""),"female")</f>
        <v>female</v>
      </c>
      <c r="I5100" s="6" t="str">
        <f>IFERROR(__xludf.DUMMYFUNCTION("""COMPUTED_VALUE"""),"Level 1")</f>
        <v>Level 1</v>
      </c>
      <c r="J5100" s="6" t="str">
        <f>IFERROR(__xludf.DUMMYFUNCTION("""COMPUTED_VALUE"""),"2")</f>
        <v>2</v>
      </c>
      <c r="K5100" s="6" t="str">
        <f>IFERROR(__xludf.DUMMYFUNCTION("""COMPUTED_VALUE"""),"jara.lunasalinas@2hourlearning.com")</f>
        <v>jara.lunasalinas@2hourlearning.com</v>
      </c>
      <c r="L5100" s="6" t="str">
        <f>IFERROR(__xludf.DUMMYFUNCTION("""COMPUTED_VALUE"""),"JRES - Ridgeland Elementary School")</f>
        <v>JRES - Ridgeland Elementary School</v>
      </c>
      <c r="M5100" s="6" t="str">
        <f>IFERROR(__xludf.DUMMYFUNCTION("""COMPUTED_VALUE"""),"")</f>
        <v/>
      </c>
      <c r="N5100" s="6" t="str">
        <f>IFERROR(__xludf.DUMMYFUNCTION("""COMPUTED_VALUE"""),"")</f>
        <v/>
      </c>
      <c r="O5100" s="87" t="str">
        <f>IFERROR(__xludf.DUMMYFUNCTION("""COMPUTED_VALUE"""),"https://drive.google.com/drive/folders/10T2cTQHqEJZqE-st6uFKPoI?usp=share_link")</f>
        <v>https://drive.google.com/drive/folders/10T2cTQHqEJZqE-st6uFKPoI?usp=share_link</v>
      </c>
      <c r="P5100" s="6" t="str">
        <f>IFERROR(__xludf.DUMMYFUNCTION("""COMPUTED_VALUE"""),"Jara Luna Salinas")</f>
        <v>Jara Luna Salinas</v>
      </c>
      <c r="Q5100" s="6" t="str">
        <f>IFERROR(__xludf.DUMMYFUNCTION("""COMPUTED_VALUE"""),"L1")</f>
        <v>L1</v>
      </c>
      <c r="R5100" s="6">
        <f>IFERROR(__xludf.DUMMYFUNCTION("""COMPUTED_VALUE"""),1.0)</f>
        <v>1</v>
      </c>
      <c r="S5100" s="6" t="str">
        <f>IFERROR(__xludf.DUMMYFUNCTION("""COMPUTED_VALUE"""),"Kimberly Ball")</f>
        <v>Kimberly Ball</v>
      </c>
      <c r="T5100" s="6" t="str">
        <f>IFERROR(__xludf.DUMMYFUNCTION("""COMPUTED_VALUE"""),"kimberly.ball@studient.com")</f>
        <v>kimberly.ball@studient.com</v>
      </c>
      <c r="U5100" s="6" t="str">
        <f>IFERROR(__xludf.DUMMYFUNCTION("""COMPUTED_VALUE"""),"2")</f>
        <v>2</v>
      </c>
      <c r="V5100" s="6" t="str">
        <f>IFERROR(__xludf.DUMMYFUNCTION("""COMPUTED_VALUE"""),"")</f>
        <v/>
      </c>
      <c r="W5100" s="6" t="str">
        <f>IFERROR(__xludf.DUMMYFUNCTION("""COMPUTED_VALUE"""),"[]")</f>
        <v>[]</v>
      </c>
      <c r="X5100" s="6" t="str">
        <f>IFERROR(__xludf.DUMMYFUNCTION("""COMPUTED_VALUE"""),"Enrolled")</f>
        <v>Enrolled</v>
      </c>
    </row>
    <row r="5101">
      <c r="A5101" s="6" t="str">
        <f>IFERROR(__xludf.DUMMYFUNCTION("""COMPUTED_VALUE"""),"086-12492")</f>
        <v>086-12492</v>
      </c>
      <c r="B5101" s="6" t="str">
        <f>IFERROR(__xludf.DUMMYFUNCTION("""COMPUTED_VALUE"""),"86")</f>
        <v>86</v>
      </c>
      <c r="C5101" s="6" t="str">
        <f>IFERROR(__xludf.DUMMYFUNCTION("""COMPUTED_VALUE"""),"12492")</f>
        <v>12492</v>
      </c>
      <c r="D5101" s="6" t="str">
        <f>IFERROR(__xludf.DUMMYFUNCTION("""COMPUTED_VALUE"""),"Amina")</f>
        <v>Amina</v>
      </c>
      <c r="E5101" s="6" t="str">
        <f>IFERROR(__xludf.DUMMYFUNCTION("""COMPUTED_VALUE"""),"")</f>
        <v/>
      </c>
      <c r="F5101" s="6" t="str">
        <f>IFERROR(__xludf.DUMMYFUNCTION("""COMPUTED_VALUE"""),"McKinney-Waller")</f>
        <v>McKinney-Waller</v>
      </c>
      <c r="G5101" s="6" t="str">
        <f>IFERROR(__xludf.DUMMYFUNCTION("""COMPUTED_VALUE"""),"04/20/2017")</f>
        <v>04/20/2017</v>
      </c>
      <c r="H5101" s="6" t="str">
        <f>IFERROR(__xludf.DUMMYFUNCTION("""COMPUTED_VALUE"""),"female")</f>
        <v>female</v>
      </c>
      <c r="I5101" s="6" t="str">
        <f>IFERROR(__xludf.DUMMYFUNCTION("""COMPUTED_VALUE"""),"Level 1")</f>
        <v>Level 1</v>
      </c>
      <c r="J5101" s="6" t="str">
        <f>IFERROR(__xludf.DUMMYFUNCTION("""COMPUTED_VALUE"""),"2")</f>
        <v>2</v>
      </c>
      <c r="K5101" s="6" t="str">
        <f>IFERROR(__xludf.DUMMYFUNCTION("""COMPUTED_VALUE"""),"amina.mckinney-waller@2hourlearning.com")</f>
        <v>amina.mckinney-waller@2hourlearning.com</v>
      </c>
      <c r="L5101" s="6" t="str">
        <f>IFERROR(__xludf.DUMMYFUNCTION("""COMPUTED_VALUE"""),"JRES - Ridgeland Elementary School")</f>
        <v>JRES - Ridgeland Elementary School</v>
      </c>
      <c r="M5101" s="6" t="str">
        <f>IFERROR(__xludf.DUMMYFUNCTION("""COMPUTED_VALUE"""),"")</f>
        <v/>
      </c>
      <c r="N5101" s="6" t="str">
        <f>IFERROR(__xludf.DUMMYFUNCTION("""COMPUTED_VALUE"""),"")</f>
        <v/>
      </c>
      <c r="O5101" s="87" t="str">
        <f>IFERROR(__xludf.DUMMYFUNCTION("""COMPUTED_VALUE"""),"https://drive.google.com/drive/folders/10T2cTQHqEJZqE-st6uFKPoI?usp=share_link")</f>
        <v>https://drive.google.com/drive/folders/10T2cTQHqEJZqE-st6uFKPoI?usp=share_link</v>
      </c>
      <c r="P5101" s="6" t="str">
        <f>IFERROR(__xludf.DUMMYFUNCTION("""COMPUTED_VALUE"""),"Amina McKinney-Waller")</f>
        <v>Amina McKinney-Waller</v>
      </c>
      <c r="Q5101" s="6" t="str">
        <f>IFERROR(__xludf.DUMMYFUNCTION("""COMPUTED_VALUE"""),"L1")</f>
        <v>L1</v>
      </c>
      <c r="R5101" s="6">
        <f>IFERROR(__xludf.DUMMYFUNCTION("""COMPUTED_VALUE"""),1.0)</f>
        <v>1</v>
      </c>
      <c r="S5101" s="6" t="str">
        <f>IFERROR(__xludf.DUMMYFUNCTION("""COMPUTED_VALUE"""),"Kimberly Ball")</f>
        <v>Kimberly Ball</v>
      </c>
      <c r="T5101" s="6" t="str">
        <f>IFERROR(__xludf.DUMMYFUNCTION("""COMPUTED_VALUE"""),"kimberly.ball@studient.com")</f>
        <v>kimberly.ball@studient.com</v>
      </c>
      <c r="U5101" s="6" t="str">
        <f>IFERROR(__xludf.DUMMYFUNCTION("""COMPUTED_VALUE"""),"2")</f>
        <v>2</v>
      </c>
      <c r="V5101" s="6" t="str">
        <f>IFERROR(__xludf.DUMMYFUNCTION("""COMPUTED_VALUE"""),"")</f>
        <v/>
      </c>
      <c r="W5101" s="6" t="str">
        <f>IFERROR(__xludf.DUMMYFUNCTION("""COMPUTED_VALUE"""),"[]")</f>
        <v>[]</v>
      </c>
      <c r="X5101" s="6" t="str">
        <f>IFERROR(__xludf.DUMMYFUNCTION("""COMPUTED_VALUE"""),"Enrolled")</f>
        <v>Enrolled</v>
      </c>
    </row>
    <row r="5102">
      <c r="A5102" s="6" t="str">
        <f>IFERROR(__xludf.DUMMYFUNCTION("""COMPUTED_VALUE"""),"086-12493")</f>
        <v>086-12493</v>
      </c>
      <c r="B5102" s="6" t="str">
        <f>IFERROR(__xludf.DUMMYFUNCTION("""COMPUTED_VALUE"""),"86")</f>
        <v>86</v>
      </c>
      <c r="C5102" s="6" t="str">
        <f>IFERROR(__xludf.DUMMYFUNCTION("""COMPUTED_VALUE"""),"12493")</f>
        <v>12493</v>
      </c>
      <c r="D5102" s="6" t="str">
        <f>IFERROR(__xludf.DUMMYFUNCTION("""COMPUTED_VALUE"""),"Oscar")</f>
        <v>Oscar</v>
      </c>
      <c r="E5102" s="6" t="str">
        <f>IFERROR(__xludf.DUMMYFUNCTION("""COMPUTED_VALUE"""),"")</f>
        <v/>
      </c>
      <c r="F5102" s="6" t="str">
        <f>IFERROR(__xludf.DUMMYFUNCTION("""COMPUTED_VALUE"""),"Medina")</f>
        <v>Medina</v>
      </c>
      <c r="G5102" s="6" t="str">
        <f>IFERROR(__xludf.DUMMYFUNCTION("""COMPUTED_VALUE"""),"12/09/2014")</f>
        <v>12/09/2014</v>
      </c>
      <c r="H5102" s="6" t="str">
        <f>IFERROR(__xludf.DUMMYFUNCTION("""COMPUTED_VALUE"""),"female")</f>
        <v>female</v>
      </c>
      <c r="I5102" s="6" t="str">
        <f>IFERROR(__xludf.DUMMYFUNCTION("""COMPUTED_VALUE"""),"Level 1")</f>
        <v>Level 1</v>
      </c>
      <c r="J5102" s="6" t="str">
        <f>IFERROR(__xludf.DUMMYFUNCTION("""COMPUTED_VALUE"""),"2")</f>
        <v>2</v>
      </c>
      <c r="K5102" s="6" t="str">
        <f>IFERROR(__xludf.DUMMYFUNCTION("""COMPUTED_VALUE"""),"oscar.medina@2hourlearning.com")</f>
        <v>oscar.medina@2hourlearning.com</v>
      </c>
      <c r="L5102" s="6" t="str">
        <f>IFERROR(__xludf.DUMMYFUNCTION("""COMPUTED_VALUE"""),"JRES - Ridgeland Elementary School")</f>
        <v>JRES - Ridgeland Elementary School</v>
      </c>
      <c r="M5102" s="6" t="str">
        <f>IFERROR(__xludf.DUMMYFUNCTION("""COMPUTED_VALUE"""),"")</f>
        <v/>
      </c>
      <c r="N5102" s="6" t="str">
        <f>IFERROR(__xludf.DUMMYFUNCTION("""COMPUTED_VALUE"""),"")</f>
        <v/>
      </c>
      <c r="O5102" s="87" t="str">
        <f>IFERROR(__xludf.DUMMYFUNCTION("""COMPUTED_VALUE"""),"https://drive.google.com/drive/folders/10T2cTQHqEJZqE-st6uFKPoI?usp=share_link")</f>
        <v>https://drive.google.com/drive/folders/10T2cTQHqEJZqE-st6uFKPoI?usp=share_link</v>
      </c>
      <c r="P5102" s="6" t="str">
        <f>IFERROR(__xludf.DUMMYFUNCTION("""COMPUTED_VALUE"""),"Oscar Medina")</f>
        <v>Oscar Medina</v>
      </c>
      <c r="Q5102" s="6" t="str">
        <f>IFERROR(__xludf.DUMMYFUNCTION("""COMPUTED_VALUE"""),"L1")</f>
        <v>L1</v>
      </c>
      <c r="R5102" s="6">
        <f>IFERROR(__xludf.DUMMYFUNCTION("""COMPUTED_VALUE"""),1.0)</f>
        <v>1</v>
      </c>
      <c r="S5102" s="6" t="str">
        <f>IFERROR(__xludf.DUMMYFUNCTION("""COMPUTED_VALUE"""),"Kimberly Ball")</f>
        <v>Kimberly Ball</v>
      </c>
      <c r="T5102" s="6" t="str">
        <f>IFERROR(__xludf.DUMMYFUNCTION("""COMPUTED_VALUE"""),"kimberly.ball@studient.com")</f>
        <v>kimberly.ball@studient.com</v>
      </c>
      <c r="U5102" s="6" t="str">
        <f>IFERROR(__xludf.DUMMYFUNCTION("""COMPUTED_VALUE"""),"2")</f>
        <v>2</v>
      </c>
      <c r="V5102" s="6" t="str">
        <f>IFERROR(__xludf.DUMMYFUNCTION("""COMPUTED_VALUE"""),"")</f>
        <v/>
      </c>
      <c r="W5102" s="6" t="str">
        <f>IFERROR(__xludf.DUMMYFUNCTION("""COMPUTED_VALUE"""),"[]")</f>
        <v>[]</v>
      </c>
      <c r="X5102" s="6" t="str">
        <f>IFERROR(__xludf.DUMMYFUNCTION("""COMPUTED_VALUE"""),"Enrolled")</f>
        <v>Enrolled</v>
      </c>
    </row>
    <row r="5103">
      <c r="A5103" s="6" t="str">
        <f>IFERROR(__xludf.DUMMYFUNCTION("""COMPUTED_VALUE"""),"086-12494")</f>
        <v>086-12494</v>
      </c>
      <c r="B5103" s="6" t="str">
        <f>IFERROR(__xludf.DUMMYFUNCTION("""COMPUTED_VALUE"""),"86")</f>
        <v>86</v>
      </c>
      <c r="C5103" s="6" t="str">
        <f>IFERROR(__xludf.DUMMYFUNCTION("""COMPUTED_VALUE"""),"12494")</f>
        <v>12494</v>
      </c>
      <c r="D5103" s="6" t="str">
        <f>IFERROR(__xludf.DUMMYFUNCTION("""COMPUTED_VALUE"""),"Brayan")</f>
        <v>Brayan</v>
      </c>
      <c r="E5103" s="6" t="str">
        <f>IFERROR(__xludf.DUMMYFUNCTION("""COMPUTED_VALUE"""),"")</f>
        <v/>
      </c>
      <c r="F5103" s="6" t="str">
        <f>IFERROR(__xludf.DUMMYFUNCTION("""COMPUTED_VALUE"""),"Mendez-Escareno")</f>
        <v>Mendez-Escareno</v>
      </c>
      <c r="G5103" s="6" t="str">
        <f>IFERROR(__xludf.DUMMYFUNCTION("""COMPUTED_VALUE"""),"12/01/2016")</f>
        <v>12/01/2016</v>
      </c>
      <c r="H5103" s="6" t="str">
        <f>IFERROR(__xludf.DUMMYFUNCTION("""COMPUTED_VALUE"""),"male")</f>
        <v>male</v>
      </c>
      <c r="I5103" s="6" t="str">
        <f>IFERROR(__xludf.DUMMYFUNCTION("""COMPUTED_VALUE"""),"Level 1")</f>
        <v>Level 1</v>
      </c>
      <c r="J5103" s="6" t="str">
        <f>IFERROR(__xludf.DUMMYFUNCTION("""COMPUTED_VALUE"""),"2")</f>
        <v>2</v>
      </c>
      <c r="K5103" s="6" t="str">
        <f>IFERROR(__xludf.DUMMYFUNCTION("""COMPUTED_VALUE"""),"brayan.mendez-escareno@2hourlearning.com")</f>
        <v>brayan.mendez-escareno@2hourlearning.com</v>
      </c>
      <c r="L5103" s="6" t="str">
        <f>IFERROR(__xludf.DUMMYFUNCTION("""COMPUTED_VALUE"""),"JRES - Ridgeland Elementary School")</f>
        <v>JRES - Ridgeland Elementary School</v>
      </c>
      <c r="M5103" s="6" t="str">
        <f>IFERROR(__xludf.DUMMYFUNCTION("""COMPUTED_VALUE"""),"")</f>
        <v/>
      </c>
      <c r="N5103" s="6" t="str">
        <f>IFERROR(__xludf.DUMMYFUNCTION("""COMPUTED_VALUE"""),"")</f>
        <v/>
      </c>
      <c r="O5103" s="87" t="str">
        <f>IFERROR(__xludf.DUMMYFUNCTION("""COMPUTED_VALUE"""),"https://drive.google.com/drive/folders/10T2cTQHqEJZqE-st6uFKPoI?usp=share_link")</f>
        <v>https://drive.google.com/drive/folders/10T2cTQHqEJZqE-st6uFKPoI?usp=share_link</v>
      </c>
      <c r="P5103" s="6" t="str">
        <f>IFERROR(__xludf.DUMMYFUNCTION("""COMPUTED_VALUE"""),"Brayan Mendez-Escareno")</f>
        <v>Brayan Mendez-Escareno</v>
      </c>
      <c r="Q5103" s="6" t="str">
        <f>IFERROR(__xludf.DUMMYFUNCTION("""COMPUTED_VALUE"""),"L1")</f>
        <v>L1</v>
      </c>
      <c r="R5103" s="6">
        <f>IFERROR(__xludf.DUMMYFUNCTION("""COMPUTED_VALUE"""),1.0)</f>
        <v>1</v>
      </c>
      <c r="S5103" s="6" t="str">
        <f>IFERROR(__xludf.DUMMYFUNCTION("""COMPUTED_VALUE"""),"Kimberly Ball")</f>
        <v>Kimberly Ball</v>
      </c>
      <c r="T5103" s="6" t="str">
        <f>IFERROR(__xludf.DUMMYFUNCTION("""COMPUTED_VALUE"""),"kimberly.ball@studient.com")</f>
        <v>kimberly.ball@studient.com</v>
      </c>
      <c r="U5103" s="6" t="str">
        <f>IFERROR(__xludf.DUMMYFUNCTION("""COMPUTED_VALUE"""),"2")</f>
        <v>2</v>
      </c>
      <c r="V5103" s="6" t="str">
        <f>IFERROR(__xludf.DUMMYFUNCTION("""COMPUTED_VALUE"""),"")</f>
        <v/>
      </c>
      <c r="W5103" s="6" t="str">
        <f>IFERROR(__xludf.DUMMYFUNCTION("""COMPUTED_VALUE"""),"[]")</f>
        <v>[]</v>
      </c>
      <c r="X5103" s="6" t="str">
        <f>IFERROR(__xludf.DUMMYFUNCTION("""COMPUTED_VALUE"""),"Enrolled")</f>
        <v>Enrolled</v>
      </c>
    </row>
    <row r="5104">
      <c r="A5104" s="6" t="str">
        <f>IFERROR(__xludf.DUMMYFUNCTION("""COMPUTED_VALUE"""),"086-12495")</f>
        <v>086-12495</v>
      </c>
      <c r="B5104" s="6" t="str">
        <f>IFERROR(__xludf.DUMMYFUNCTION("""COMPUTED_VALUE"""),"86")</f>
        <v>86</v>
      </c>
      <c r="C5104" s="6" t="str">
        <f>IFERROR(__xludf.DUMMYFUNCTION("""COMPUTED_VALUE"""),"12495")</f>
        <v>12495</v>
      </c>
      <c r="D5104" s="6" t="str">
        <f>IFERROR(__xludf.DUMMYFUNCTION("""COMPUTED_VALUE"""),"Elani")</f>
        <v>Elani</v>
      </c>
      <c r="E5104" s="6" t="str">
        <f>IFERROR(__xludf.DUMMYFUNCTION("""COMPUTED_VALUE"""),"")</f>
        <v/>
      </c>
      <c r="F5104" s="6" t="str">
        <f>IFERROR(__xludf.DUMMYFUNCTION("""COMPUTED_VALUE"""),"Menefee")</f>
        <v>Menefee</v>
      </c>
      <c r="G5104" s="6" t="str">
        <f>IFERROR(__xludf.DUMMYFUNCTION("""COMPUTED_VALUE"""),"06/01/2016")</f>
        <v>06/01/2016</v>
      </c>
      <c r="H5104" s="6" t="str">
        <f>IFERROR(__xludf.DUMMYFUNCTION("""COMPUTED_VALUE"""),"female")</f>
        <v>female</v>
      </c>
      <c r="I5104" s="6" t="str">
        <f>IFERROR(__xludf.DUMMYFUNCTION("""COMPUTED_VALUE"""),"Level 1")</f>
        <v>Level 1</v>
      </c>
      <c r="J5104" s="6" t="str">
        <f>IFERROR(__xludf.DUMMYFUNCTION("""COMPUTED_VALUE"""),"2")</f>
        <v>2</v>
      </c>
      <c r="K5104" s="6" t="str">
        <f>IFERROR(__xludf.DUMMYFUNCTION("""COMPUTED_VALUE"""),"elani.menefee@2hourlearning.com")</f>
        <v>elani.menefee@2hourlearning.com</v>
      </c>
      <c r="L5104" s="6" t="str">
        <f>IFERROR(__xludf.DUMMYFUNCTION("""COMPUTED_VALUE"""),"JRES - Ridgeland Elementary School")</f>
        <v>JRES - Ridgeland Elementary School</v>
      </c>
      <c r="M5104" s="6" t="str">
        <f>IFERROR(__xludf.DUMMYFUNCTION("""COMPUTED_VALUE"""),"")</f>
        <v/>
      </c>
      <c r="N5104" s="6" t="str">
        <f>IFERROR(__xludf.DUMMYFUNCTION("""COMPUTED_VALUE"""),"")</f>
        <v/>
      </c>
      <c r="O5104" s="87" t="str">
        <f>IFERROR(__xludf.DUMMYFUNCTION("""COMPUTED_VALUE"""),"https://drive.google.com/drive/folders/10T2cTQHqEJZqE-st6uFKPoI?usp=share_link")</f>
        <v>https://drive.google.com/drive/folders/10T2cTQHqEJZqE-st6uFKPoI?usp=share_link</v>
      </c>
      <c r="P5104" s="6" t="str">
        <f>IFERROR(__xludf.DUMMYFUNCTION("""COMPUTED_VALUE"""),"Elani Menefee")</f>
        <v>Elani Menefee</v>
      </c>
      <c r="Q5104" s="6" t="str">
        <f>IFERROR(__xludf.DUMMYFUNCTION("""COMPUTED_VALUE"""),"L1")</f>
        <v>L1</v>
      </c>
      <c r="R5104" s="6">
        <f>IFERROR(__xludf.DUMMYFUNCTION("""COMPUTED_VALUE"""),1.0)</f>
        <v>1</v>
      </c>
      <c r="S5104" s="6" t="str">
        <f>IFERROR(__xludf.DUMMYFUNCTION("""COMPUTED_VALUE"""),"Kimberly Ball")</f>
        <v>Kimberly Ball</v>
      </c>
      <c r="T5104" s="6" t="str">
        <f>IFERROR(__xludf.DUMMYFUNCTION("""COMPUTED_VALUE"""),"kimberly.ball@studient.com")</f>
        <v>kimberly.ball@studient.com</v>
      </c>
      <c r="U5104" s="6" t="str">
        <f>IFERROR(__xludf.DUMMYFUNCTION("""COMPUTED_VALUE"""),"2")</f>
        <v>2</v>
      </c>
      <c r="V5104" s="6" t="str">
        <f>IFERROR(__xludf.DUMMYFUNCTION("""COMPUTED_VALUE"""),"")</f>
        <v/>
      </c>
      <c r="W5104" s="6" t="str">
        <f>IFERROR(__xludf.DUMMYFUNCTION("""COMPUTED_VALUE"""),"[]")</f>
        <v>[]</v>
      </c>
      <c r="X5104" s="6" t="str">
        <f>IFERROR(__xludf.DUMMYFUNCTION("""COMPUTED_VALUE"""),"Enrolled")</f>
        <v>Enrolled</v>
      </c>
    </row>
    <row r="5105">
      <c r="A5105" s="6" t="str">
        <f>IFERROR(__xludf.DUMMYFUNCTION("""COMPUTED_VALUE"""),"086-12496")</f>
        <v>086-12496</v>
      </c>
      <c r="B5105" s="6" t="str">
        <f>IFERROR(__xludf.DUMMYFUNCTION("""COMPUTED_VALUE"""),"86")</f>
        <v>86</v>
      </c>
      <c r="C5105" s="6" t="str">
        <f>IFERROR(__xludf.DUMMYFUNCTION("""COMPUTED_VALUE"""),"12496")</f>
        <v>12496</v>
      </c>
      <c r="D5105" s="6" t="str">
        <f>IFERROR(__xludf.DUMMYFUNCTION("""COMPUTED_VALUE"""),"Iker")</f>
        <v>Iker</v>
      </c>
      <c r="E5105" s="6" t="str">
        <f>IFERROR(__xludf.DUMMYFUNCTION("""COMPUTED_VALUE"""),"")</f>
        <v/>
      </c>
      <c r="F5105" s="6" t="str">
        <f>IFERROR(__xludf.DUMMYFUNCTION("""COMPUTED_VALUE"""),"Najera Bello")</f>
        <v>Najera Bello</v>
      </c>
      <c r="G5105" s="6" t="str">
        <f>IFERROR(__xludf.DUMMYFUNCTION("""COMPUTED_VALUE"""),"10/19/2015")</f>
        <v>10/19/2015</v>
      </c>
      <c r="H5105" s="6" t="str">
        <f>IFERROR(__xludf.DUMMYFUNCTION("""COMPUTED_VALUE"""),"female")</f>
        <v>female</v>
      </c>
      <c r="I5105" s="6" t="str">
        <f>IFERROR(__xludf.DUMMYFUNCTION("""COMPUTED_VALUE"""),"Level 1")</f>
        <v>Level 1</v>
      </c>
      <c r="J5105" s="6" t="str">
        <f>IFERROR(__xludf.DUMMYFUNCTION("""COMPUTED_VALUE"""),"2")</f>
        <v>2</v>
      </c>
      <c r="K5105" s="6" t="str">
        <f>IFERROR(__xludf.DUMMYFUNCTION("""COMPUTED_VALUE"""),"iker.najerabello@2hourlearning.com")</f>
        <v>iker.najerabello@2hourlearning.com</v>
      </c>
      <c r="L5105" s="6" t="str">
        <f>IFERROR(__xludf.DUMMYFUNCTION("""COMPUTED_VALUE"""),"JRES - Ridgeland Elementary School")</f>
        <v>JRES - Ridgeland Elementary School</v>
      </c>
      <c r="M5105" s="6" t="str">
        <f>IFERROR(__xludf.DUMMYFUNCTION("""COMPUTED_VALUE"""),"")</f>
        <v/>
      </c>
      <c r="N5105" s="6" t="str">
        <f>IFERROR(__xludf.DUMMYFUNCTION("""COMPUTED_VALUE"""),"")</f>
        <v/>
      </c>
      <c r="O5105" s="87" t="str">
        <f>IFERROR(__xludf.DUMMYFUNCTION("""COMPUTED_VALUE"""),"https://drive.google.com/drive/folders/10T2cTQHqEJZqE-st6uFKPoI?usp=share_link")</f>
        <v>https://drive.google.com/drive/folders/10T2cTQHqEJZqE-st6uFKPoI?usp=share_link</v>
      </c>
      <c r="P5105" s="6" t="str">
        <f>IFERROR(__xludf.DUMMYFUNCTION("""COMPUTED_VALUE"""),"Iker Najera Bello")</f>
        <v>Iker Najera Bello</v>
      </c>
      <c r="Q5105" s="6" t="str">
        <f>IFERROR(__xludf.DUMMYFUNCTION("""COMPUTED_VALUE"""),"L1")</f>
        <v>L1</v>
      </c>
      <c r="R5105" s="6">
        <f>IFERROR(__xludf.DUMMYFUNCTION("""COMPUTED_VALUE"""),1.0)</f>
        <v>1</v>
      </c>
      <c r="S5105" s="6" t="str">
        <f>IFERROR(__xludf.DUMMYFUNCTION("""COMPUTED_VALUE"""),"Kimberly Ball")</f>
        <v>Kimberly Ball</v>
      </c>
      <c r="T5105" s="6" t="str">
        <f>IFERROR(__xludf.DUMMYFUNCTION("""COMPUTED_VALUE"""),"kimberly.ball@studient.com")</f>
        <v>kimberly.ball@studient.com</v>
      </c>
      <c r="U5105" s="6" t="str">
        <f>IFERROR(__xludf.DUMMYFUNCTION("""COMPUTED_VALUE"""),"2")</f>
        <v>2</v>
      </c>
      <c r="V5105" s="6" t="str">
        <f>IFERROR(__xludf.DUMMYFUNCTION("""COMPUTED_VALUE"""),"")</f>
        <v/>
      </c>
      <c r="W5105" s="6" t="str">
        <f>IFERROR(__xludf.DUMMYFUNCTION("""COMPUTED_VALUE"""),"[]")</f>
        <v>[]</v>
      </c>
      <c r="X5105" s="6" t="str">
        <f>IFERROR(__xludf.DUMMYFUNCTION("""COMPUTED_VALUE"""),"Enrolled")</f>
        <v>Enrolled</v>
      </c>
    </row>
    <row r="5106">
      <c r="A5106" s="6" t="str">
        <f>IFERROR(__xludf.DUMMYFUNCTION("""COMPUTED_VALUE"""),"086-12497")</f>
        <v>086-12497</v>
      </c>
      <c r="B5106" s="6" t="str">
        <f>IFERROR(__xludf.DUMMYFUNCTION("""COMPUTED_VALUE"""),"86")</f>
        <v>86</v>
      </c>
      <c r="C5106" s="6" t="str">
        <f>IFERROR(__xludf.DUMMYFUNCTION("""COMPUTED_VALUE"""),"12497")</f>
        <v>12497</v>
      </c>
      <c r="D5106" s="6" t="str">
        <f>IFERROR(__xludf.DUMMYFUNCTION("""COMPUTED_VALUE"""),"Yaretzi")</f>
        <v>Yaretzi</v>
      </c>
      <c r="E5106" s="6" t="str">
        <f>IFERROR(__xludf.DUMMYFUNCTION("""COMPUTED_VALUE"""),"")</f>
        <v/>
      </c>
      <c r="F5106" s="6" t="str">
        <f>IFERROR(__xludf.DUMMYFUNCTION("""COMPUTED_VALUE"""),"Nunez")</f>
        <v>Nunez</v>
      </c>
      <c r="G5106" s="6" t="str">
        <f>IFERROR(__xludf.DUMMYFUNCTION("""COMPUTED_VALUE"""),"01/04/2015")</f>
        <v>01/04/2015</v>
      </c>
      <c r="H5106" s="6" t="str">
        <f>IFERROR(__xludf.DUMMYFUNCTION("""COMPUTED_VALUE"""),"female")</f>
        <v>female</v>
      </c>
      <c r="I5106" s="6" t="str">
        <f>IFERROR(__xludf.DUMMYFUNCTION("""COMPUTED_VALUE"""),"Level 1")</f>
        <v>Level 1</v>
      </c>
      <c r="J5106" s="6" t="str">
        <f>IFERROR(__xludf.DUMMYFUNCTION("""COMPUTED_VALUE"""),"2")</f>
        <v>2</v>
      </c>
      <c r="K5106" s="6" t="str">
        <f>IFERROR(__xludf.DUMMYFUNCTION("""COMPUTED_VALUE"""),"yaretzi.nunez@2hourlearning.com")</f>
        <v>yaretzi.nunez@2hourlearning.com</v>
      </c>
      <c r="L5106" s="6" t="str">
        <f>IFERROR(__xludf.DUMMYFUNCTION("""COMPUTED_VALUE"""),"JRES - Ridgeland Elementary School")</f>
        <v>JRES - Ridgeland Elementary School</v>
      </c>
      <c r="M5106" s="6" t="str">
        <f>IFERROR(__xludf.DUMMYFUNCTION("""COMPUTED_VALUE"""),"")</f>
        <v/>
      </c>
      <c r="N5106" s="6" t="str">
        <f>IFERROR(__xludf.DUMMYFUNCTION("""COMPUTED_VALUE"""),"")</f>
        <v/>
      </c>
      <c r="O5106" s="87" t="str">
        <f>IFERROR(__xludf.DUMMYFUNCTION("""COMPUTED_VALUE"""),"https://drive.google.com/drive/folders/10T2cTQHqEJZqE-st6uFKPoI?usp=share_link")</f>
        <v>https://drive.google.com/drive/folders/10T2cTQHqEJZqE-st6uFKPoI?usp=share_link</v>
      </c>
      <c r="P5106" s="6" t="str">
        <f>IFERROR(__xludf.DUMMYFUNCTION("""COMPUTED_VALUE"""),"Yaretzi Nunez")</f>
        <v>Yaretzi Nunez</v>
      </c>
      <c r="Q5106" s="6" t="str">
        <f>IFERROR(__xludf.DUMMYFUNCTION("""COMPUTED_VALUE"""),"L1")</f>
        <v>L1</v>
      </c>
      <c r="R5106" s="6">
        <f>IFERROR(__xludf.DUMMYFUNCTION("""COMPUTED_VALUE"""),1.0)</f>
        <v>1</v>
      </c>
      <c r="S5106" s="6" t="str">
        <f>IFERROR(__xludf.DUMMYFUNCTION("""COMPUTED_VALUE"""),"Kimberly Ball")</f>
        <v>Kimberly Ball</v>
      </c>
      <c r="T5106" s="6" t="str">
        <f>IFERROR(__xludf.DUMMYFUNCTION("""COMPUTED_VALUE"""),"kimberly.ball@studient.com")</f>
        <v>kimberly.ball@studient.com</v>
      </c>
      <c r="U5106" s="6" t="str">
        <f>IFERROR(__xludf.DUMMYFUNCTION("""COMPUTED_VALUE"""),"2")</f>
        <v>2</v>
      </c>
      <c r="V5106" s="6" t="str">
        <f>IFERROR(__xludf.DUMMYFUNCTION("""COMPUTED_VALUE"""),"")</f>
        <v/>
      </c>
      <c r="W5106" s="6" t="str">
        <f>IFERROR(__xludf.DUMMYFUNCTION("""COMPUTED_VALUE"""),"[]")</f>
        <v>[]</v>
      </c>
      <c r="X5106" s="6" t="str">
        <f>IFERROR(__xludf.DUMMYFUNCTION("""COMPUTED_VALUE"""),"Enrolled")</f>
        <v>Enrolled</v>
      </c>
    </row>
    <row r="5107">
      <c r="A5107" s="6" t="str">
        <f>IFERROR(__xludf.DUMMYFUNCTION("""COMPUTED_VALUE"""),"086-12498")</f>
        <v>086-12498</v>
      </c>
      <c r="B5107" s="6" t="str">
        <f>IFERROR(__xludf.DUMMYFUNCTION("""COMPUTED_VALUE"""),"86")</f>
        <v>86</v>
      </c>
      <c r="C5107" s="6" t="str">
        <f>IFERROR(__xludf.DUMMYFUNCTION("""COMPUTED_VALUE"""),"12498")</f>
        <v>12498</v>
      </c>
      <c r="D5107" s="6" t="str">
        <f>IFERROR(__xludf.DUMMYFUNCTION("""COMPUTED_VALUE"""),"Ximena")</f>
        <v>Ximena</v>
      </c>
      <c r="E5107" s="6" t="str">
        <f>IFERROR(__xludf.DUMMYFUNCTION("""COMPUTED_VALUE"""),"")</f>
        <v/>
      </c>
      <c r="F5107" s="6" t="str">
        <f>IFERROR(__xludf.DUMMYFUNCTION("""COMPUTED_VALUE"""),"Nunez Cortez")</f>
        <v>Nunez Cortez</v>
      </c>
      <c r="G5107" s="6" t="str">
        <f>IFERROR(__xludf.DUMMYFUNCTION("""COMPUTED_VALUE"""),"07/24/2016")</f>
        <v>07/24/2016</v>
      </c>
      <c r="H5107" s="6" t="str">
        <f>IFERROR(__xludf.DUMMYFUNCTION("""COMPUTED_VALUE"""),"male")</f>
        <v>male</v>
      </c>
      <c r="I5107" s="6" t="str">
        <f>IFERROR(__xludf.DUMMYFUNCTION("""COMPUTED_VALUE"""),"Level 1")</f>
        <v>Level 1</v>
      </c>
      <c r="J5107" s="6" t="str">
        <f>IFERROR(__xludf.DUMMYFUNCTION("""COMPUTED_VALUE"""),"2")</f>
        <v>2</v>
      </c>
      <c r="K5107" s="6" t="str">
        <f>IFERROR(__xludf.DUMMYFUNCTION("""COMPUTED_VALUE"""),"ximena.nunezcortez@2hourlearning.com")</f>
        <v>ximena.nunezcortez@2hourlearning.com</v>
      </c>
      <c r="L5107" s="6" t="str">
        <f>IFERROR(__xludf.DUMMYFUNCTION("""COMPUTED_VALUE"""),"JRES - Ridgeland Elementary School")</f>
        <v>JRES - Ridgeland Elementary School</v>
      </c>
      <c r="M5107" s="6" t="str">
        <f>IFERROR(__xludf.DUMMYFUNCTION("""COMPUTED_VALUE"""),"")</f>
        <v/>
      </c>
      <c r="N5107" s="6" t="str">
        <f>IFERROR(__xludf.DUMMYFUNCTION("""COMPUTED_VALUE"""),"")</f>
        <v/>
      </c>
      <c r="O5107" s="87" t="str">
        <f>IFERROR(__xludf.DUMMYFUNCTION("""COMPUTED_VALUE"""),"https://drive.google.com/drive/folders/10T2cTQHqEJZqE-st6uFKPoI?usp=share_link")</f>
        <v>https://drive.google.com/drive/folders/10T2cTQHqEJZqE-st6uFKPoI?usp=share_link</v>
      </c>
      <c r="P5107" s="6" t="str">
        <f>IFERROR(__xludf.DUMMYFUNCTION("""COMPUTED_VALUE"""),"Ximena Nunez Cortez")</f>
        <v>Ximena Nunez Cortez</v>
      </c>
      <c r="Q5107" s="6" t="str">
        <f>IFERROR(__xludf.DUMMYFUNCTION("""COMPUTED_VALUE"""),"L1")</f>
        <v>L1</v>
      </c>
      <c r="R5107" s="6">
        <f>IFERROR(__xludf.DUMMYFUNCTION("""COMPUTED_VALUE"""),1.0)</f>
        <v>1</v>
      </c>
      <c r="S5107" s="6" t="str">
        <f>IFERROR(__xludf.DUMMYFUNCTION("""COMPUTED_VALUE"""),"Kimberly Ball")</f>
        <v>Kimberly Ball</v>
      </c>
      <c r="T5107" s="6" t="str">
        <f>IFERROR(__xludf.DUMMYFUNCTION("""COMPUTED_VALUE"""),"kimberly.ball@studient.com")</f>
        <v>kimberly.ball@studient.com</v>
      </c>
      <c r="U5107" s="6" t="str">
        <f>IFERROR(__xludf.DUMMYFUNCTION("""COMPUTED_VALUE"""),"2")</f>
        <v>2</v>
      </c>
      <c r="V5107" s="6" t="str">
        <f>IFERROR(__xludf.DUMMYFUNCTION("""COMPUTED_VALUE"""),"")</f>
        <v/>
      </c>
      <c r="W5107" s="6" t="str">
        <f>IFERROR(__xludf.DUMMYFUNCTION("""COMPUTED_VALUE"""),"[]")</f>
        <v>[]</v>
      </c>
      <c r="X5107" s="6" t="str">
        <f>IFERROR(__xludf.DUMMYFUNCTION("""COMPUTED_VALUE"""),"Enrolled")</f>
        <v>Enrolled</v>
      </c>
    </row>
    <row r="5108">
      <c r="A5108" s="6" t="str">
        <f>IFERROR(__xludf.DUMMYFUNCTION("""COMPUTED_VALUE"""),"086-12499")</f>
        <v>086-12499</v>
      </c>
      <c r="B5108" s="6" t="str">
        <f>IFERROR(__xludf.DUMMYFUNCTION("""COMPUTED_VALUE"""),"86")</f>
        <v>86</v>
      </c>
      <c r="C5108" s="6" t="str">
        <f>IFERROR(__xludf.DUMMYFUNCTION("""COMPUTED_VALUE"""),"12499")</f>
        <v>12499</v>
      </c>
      <c r="D5108" s="6" t="str">
        <f>IFERROR(__xludf.DUMMYFUNCTION("""COMPUTED_VALUE"""),"Melissa")</f>
        <v>Melissa</v>
      </c>
      <c r="E5108" s="6" t="str">
        <f>IFERROR(__xludf.DUMMYFUNCTION("""COMPUTED_VALUE"""),"")</f>
        <v/>
      </c>
      <c r="F5108" s="6" t="str">
        <f>IFERROR(__xludf.DUMMYFUNCTION("""COMPUTED_VALUE"""),"Nunez Lopez")</f>
        <v>Nunez Lopez</v>
      </c>
      <c r="G5108" s="6" t="str">
        <f>IFERROR(__xludf.DUMMYFUNCTION("""COMPUTED_VALUE"""),"06/26/2018")</f>
        <v>06/26/2018</v>
      </c>
      <c r="H5108" s="6" t="str">
        <f>IFERROR(__xludf.DUMMYFUNCTION("""COMPUTED_VALUE"""),"male")</f>
        <v>male</v>
      </c>
      <c r="I5108" s="6" t="str">
        <f>IFERROR(__xludf.DUMMYFUNCTION("""COMPUTED_VALUE"""),"Level 1")</f>
        <v>Level 1</v>
      </c>
      <c r="J5108" s="6" t="str">
        <f>IFERROR(__xludf.DUMMYFUNCTION("""COMPUTED_VALUE"""),"2")</f>
        <v>2</v>
      </c>
      <c r="K5108" s="6" t="str">
        <f>IFERROR(__xludf.DUMMYFUNCTION("""COMPUTED_VALUE"""),"melissa.nunezlopez@2hourlearning.com")</f>
        <v>melissa.nunezlopez@2hourlearning.com</v>
      </c>
      <c r="L5108" s="6" t="str">
        <f>IFERROR(__xludf.DUMMYFUNCTION("""COMPUTED_VALUE"""),"JRES - Ridgeland Elementary School")</f>
        <v>JRES - Ridgeland Elementary School</v>
      </c>
      <c r="M5108" s="6" t="str">
        <f>IFERROR(__xludf.DUMMYFUNCTION("""COMPUTED_VALUE"""),"")</f>
        <v/>
      </c>
      <c r="N5108" s="6" t="str">
        <f>IFERROR(__xludf.DUMMYFUNCTION("""COMPUTED_VALUE"""),"")</f>
        <v/>
      </c>
      <c r="O5108" s="87" t="str">
        <f>IFERROR(__xludf.DUMMYFUNCTION("""COMPUTED_VALUE"""),"https://drive.google.com/drive/folders/10T2cTQHqEJZqE-st6uFKPoI?usp=share_link")</f>
        <v>https://drive.google.com/drive/folders/10T2cTQHqEJZqE-st6uFKPoI?usp=share_link</v>
      </c>
      <c r="P5108" s="6" t="str">
        <f>IFERROR(__xludf.DUMMYFUNCTION("""COMPUTED_VALUE"""),"Melissa Nunez Lopez")</f>
        <v>Melissa Nunez Lopez</v>
      </c>
      <c r="Q5108" s="6" t="str">
        <f>IFERROR(__xludf.DUMMYFUNCTION("""COMPUTED_VALUE"""),"L1")</f>
        <v>L1</v>
      </c>
      <c r="R5108" s="6">
        <f>IFERROR(__xludf.DUMMYFUNCTION("""COMPUTED_VALUE"""),1.0)</f>
        <v>1</v>
      </c>
      <c r="S5108" s="6" t="str">
        <f>IFERROR(__xludf.DUMMYFUNCTION("""COMPUTED_VALUE"""),"Kimberly Ball")</f>
        <v>Kimberly Ball</v>
      </c>
      <c r="T5108" s="6" t="str">
        <f>IFERROR(__xludf.DUMMYFUNCTION("""COMPUTED_VALUE"""),"kimberly.ball@studient.com")</f>
        <v>kimberly.ball@studient.com</v>
      </c>
      <c r="U5108" s="6" t="str">
        <f>IFERROR(__xludf.DUMMYFUNCTION("""COMPUTED_VALUE"""),"2")</f>
        <v>2</v>
      </c>
      <c r="V5108" s="6" t="str">
        <f>IFERROR(__xludf.DUMMYFUNCTION("""COMPUTED_VALUE"""),"")</f>
        <v/>
      </c>
      <c r="W5108" s="6" t="str">
        <f>IFERROR(__xludf.DUMMYFUNCTION("""COMPUTED_VALUE"""),"[]")</f>
        <v>[]</v>
      </c>
      <c r="X5108" s="6" t="str">
        <f>IFERROR(__xludf.DUMMYFUNCTION("""COMPUTED_VALUE"""),"Enrolled")</f>
        <v>Enrolled</v>
      </c>
    </row>
    <row r="5109">
      <c r="A5109" s="6" t="str">
        <f>IFERROR(__xludf.DUMMYFUNCTION("""COMPUTED_VALUE"""),"086-12500")</f>
        <v>086-12500</v>
      </c>
      <c r="B5109" s="6" t="str">
        <f>IFERROR(__xludf.DUMMYFUNCTION("""COMPUTED_VALUE"""),"86")</f>
        <v>86</v>
      </c>
      <c r="C5109" s="6" t="str">
        <f>IFERROR(__xludf.DUMMYFUNCTION("""COMPUTED_VALUE"""),"12500")</f>
        <v>12500</v>
      </c>
      <c r="D5109" s="6" t="str">
        <f>IFERROR(__xludf.DUMMYFUNCTION("""COMPUTED_VALUE"""),"Sophia")</f>
        <v>Sophia</v>
      </c>
      <c r="E5109" s="6" t="str">
        <f>IFERROR(__xludf.DUMMYFUNCTION("""COMPUTED_VALUE"""),"")</f>
        <v/>
      </c>
      <c r="F5109" s="6" t="str">
        <f>IFERROR(__xludf.DUMMYFUNCTION("""COMPUTED_VALUE"""),"Osorio Diaz")</f>
        <v>Osorio Diaz</v>
      </c>
      <c r="G5109" s="6" t="str">
        <f>IFERROR(__xludf.DUMMYFUNCTION("""COMPUTED_VALUE"""),"08/04/2015")</f>
        <v>08/04/2015</v>
      </c>
      <c r="H5109" s="6" t="str">
        <f>IFERROR(__xludf.DUMMYFUNCTION("""COMPUTED_VALUE"""),"female")</f>
        <v>female</v>
      </c>
      <c r="I5109" s="6" t="str">
        <f>IFERROR(__xludf.DUMMYFUNCTION("""COMPUTED_VALUE"""),"Level 1")</f>
        <v>Level 1</v>
      </c>
      <c r="J5109" s="6" t="str">
        <f>IFERROR(__xludf.DUMMYFUNCTION("""COMPUTED_VALUE"""),"2")</f>
        <v>2</v>
      </c>
      <c r="K5109" s="6" t="str">
        <f>IFERROR(__xludf.DUMMYFUNCTION("""COMPUTED_VALUE"""),"sophia.osoriodiaz@2hourlearning.com")</f>
        <v>sophia.osoriodiaz@2hourlearning.com</v>
      </c>
      <c r="L5109" s="6" t="str">
        <f>IFERROR(__xludf.DUMMYFUNCTION("""COMPUTED_VALUE"""),"JRES - Ridgeland Elementary School")</f>
        <v>JRES - Ridgeland Elementary School</v>
      </c>
      <c r="M5109" s="6" t="str">
        <f>IFERROR(__xludf.DUMMYFUNCTION("""COMPUTED_VALUE"""),"")</f>
        <v/>
      </c>
      <c r="N5109" s="6" t="str">
        <f>IFERROR(__xludf.DUMMYFUNCTION("""COMPUTED_VALUE"""),"")</f>
        <v/>
      </c>
      <c r="O5109" s="87" t="str">
        <f>IFERROR(__xludf.DUMMYFUNCTION("""COMPUTED_VALUE"""),"https://drive.google.com/drive/folders/10T2cTQHqEJZqE-st6uFKPoI?usp=share_link")</f>
        <v>https://drive.google.com/drive/folders/10T2cTQHqEJZqE-st6uFKPoI?usp=share_link</v>
      </c>
      <c r="P5109" s="6" t="str">
        <f>IFERROR(__xludf.DUMMYFUNCTION("""COMPUTED_VALUE"""),"Sophia Osorio Diaz")</f>
        <v>Sophia Osorio Diaz</v>
      </c>
      <c r="Q5109" s="6" t="str">
        <f>IFERROR(__xludf.DUMMYFUNCTION("""COMPUTED_VALUE"""),"L1")</f>
        <v>L1</v>
      </c>
      <c r="R5109" s="6">
        <f>IFERROR(__xludf.DUMMYFUNCTION("""COMPUTED_VALUE"""),1.0)</f>
        <v>1</v>
      </c>
      <c r="S5109" s="6" t="str">
        <f>IFERROR(__xludf.DUMMYFUNCTION("""COMPUTED_VALUE"""),"Kimberly Ball")</f>
        <v>Kimberly Ball</v>
      </c>
      <c r="T5109" s="6" t="str">
        <f>IFERROR(__xludf.DUMMYFUNCTION("""COMPUTED_VALUE"""),"kimberly.ball@studient.com")</f>
        <v>kimberly.ball@studient.com</v>
      </c>
      <c r="U5109" s="6" t="str">
        <f>IFERROR(__xludf.DUMMYFUNCTION("""COMPUTED_VALUE"""),"2")</f>
        <v>2</v>
      </c>
      <c r="V5109" s="6" t="str">
        <f>IFERROR(__xludf.DUMMYFUNCTION("""COMPUTED_VALUE"""),"")</f>
        <v/>
      </c>
      <c r="W5109" s="6" t="str">
        <f>IFERROR(__xludf.DUMMYFUNCTION("""COMPUTED_VALUE"""),"[]")</f>
        <v>[]</v>
      </c>
      <c r="X5109" s="6" t="str">
        <f>IFERROR(__xludf.DUMMYFUNCTION("""COMPUTED_VALUE"""),"Enrolled")</f>
        <v>Enrolled</v>
      </c>
    </row>
    <row r="5110">
      <c r="A5110" s="6" t="str">
        <f>IFERROR(__xludf.DUMMYFUNCTION("""COMPUTED_VALUE"""),"086-12501")</f>
        <v>086-12501</v>
      </c>
      <c r="B5110" s="6" t="str">
        <f>IFERROR(__xludf.DUMMYFUNCTION("""COMPUTED_VALUE"""),"86")</f>
        <v>86</v>
      </c>
      <c r="C5110" s="6" t="str">
        <f>IFERROR(__xludf.DUMMYFUNCTION("""COMPUTED_VALUE"""),"12501")</f>
        <v>12501</v>
      </c>
      <c r="D5110" s="6" t="str">
        <f>IFERROR(__xludf.DUMMYFUNCTION("""COMPUTED_VALUE"""),"Cesia")</f>
        <v>Cesia</v>
      </c>
      <c r="E5110" s="6" t="str">
        <f>IFERROR(__xludf.DUMMYFUNCTION("""COMPUTED_VALUE"""),"")</f>
        <v/>
      </c>
      <c r="F5110" s="6" t="str">
        <f>IFERROR(__xludf.DUMMYFUNCTION("""COMPUTED_VALUE"""),"Osorio Lemus")</f>
        <v>Osorio Lemus</v>
      </c>
      <c r="G5110" s="6" t="str">
        <f>IFERROR(__xludf.DUMMYFUNCTION("""COMPUTED_VALUE"""),"06/16/2016")</f>
        <v>06/16/2016</v>
      </c>
      <c r="H5110" s="6" t="str">
        <f>IFERROR(__xludf.DUMMYFUNCTION("""COMPUTED_VALUE"""),"female")</f>
        <v>female</v>
      </c>
      <c r="I5110" s="6" t="str">
        <f>IFERROR(__xludf.DUMMYFUNCTION("""COMPUTED_VALUE"""),"Level 1")</f>
        <v>Level 1</v>
      </c>
      <c r="J5110" s="6" t="str">
        <f>IFERROR(__xludf.DUMMYFUNCTION("""COMPUTED_VALUE"""),"2")</f>
        <v>2</v>
      </c>
      <c r="K5110" s="6" t="str">
        <f>IFERROR(__xludf.DUMMYFUNCTION("""COMPUTED_VALUE"""),"cesia.osoriolemus@2hourlearning.com")</f>
        <v>cesia.osoriolemus@2hourlearning.com</v>
      </c>
      <c r="L5110" s="6" t="str">
        <f>IFERROR(__xludf.DUMMYFUNCTION("""COMPUTED_VALUE"""),"JRES - Ridgeland Elementary School")</f>
        <v>JRES - Ridgeland Elementary School</v>
      </c>
      <c r="M5110" s="6" t="str">
        <f>IFERROR(__xludf.DUMMYFUNCTION("""COMPUTED_VALUE"""),"")</f>
        <v/>
      </c>
      <c r="N5110" s="6" t="str">
        <f>IFERROR(__xludf.DUMMYFUNCTION("""COMPUTED_VALUE"""),"")</f>
        <v/>
      </c>
      <c r="O5110" s="87" t="str">
        <f>IFERROR(__xludf.DUMMYFUNCTION("""COMPUTED_VALUE"""),"https://drive.google.com/drive/folders/10T2cTQHqEJZqE-st6uFKPoI?usp=share_link")</f>
        <v>https://drive.google.com/drive/folders/10T2cTQHqEJZqE-st6uFKPoI?usp=share_link</v>
      </c>
      <c r="P5110" s="6" t="str">
        <f>IFERROR(__xludf.DUMMYFUNCTION("""COMPUTED_VALUE"""),"Cesia Osorio Lemus")</f>
        <v>Cesia Osorio Lemus</v>
      </c>
      <c r="Q5110" s="6" t="str">
        <f>IFERROR(__xludf.DUMMYFUNCTION("""COMPUTED_VALUE"""),"L1")</f>
        <v>L1</v>
      </c>
      <c r="R5110" s="6">
        <f>IFERROR(__xludf.DUMMYFUNCTION("""COMPUTED_VALUE"""),1.0)</f>
        <v>1</v>
      </c>
      <c r="S5110" s="6" t="str">
        <f>IFERROR(__xludf.DUMMYFUNCTION("""COMPUTED_VALUE"""),"Kimberly Ball")</f>
        <v>Kimberly Ball</v>
      </c>
      <c r="T5110" s="6" t="str">
        <f>IFERROR(__xludf.DUMMYFUNCTION("""COMPUTED_VALUE"""),"kimberly.ball@studient.com")</f>
        <v>kimberly.ball@studient.com</v>
      </c>
      <c r="U5110" s="6" t="str">
        <f>IFERROR(__xludf.DUMMYFUNCTION("""COMPUTED_VALUE"""),"2")</f>
        <v>2</v>
      </c>
      <c r="V5110" s="6" t="str">
        <f>IFERROR(__xludf.DUMMYFUNCTION("""COMPUTED_VALUE"""),"")</f>
        <v/>
      </c>
      <c r="W5110" s="6" t="str">
        <f>IFERROR(__xludf.DUMMYFUNCTION("""COMPUTED_VALUE"""),"[]")</f>
        <v>[]</v>
      </c>
      <c r="X5110" s="6" t="str">
        <f>IFERROR(__xludf.DUMMYFUNCTION("""COMPUTED_VALUE"""),"Enrolled")</f>
        <v>Enrolled</v>
      </c>
    </row>
    <row r="5111">
      <c r="A5111" s="6" t="str">
        <f>IFERROR(__xludf.DUMMYFUNCTION("""COMPUTED_VALUE"""),"086-12502")</f>
        <v>086-12502</v>
      </c>
      <c r="B5111" s="6" t="str">
        <f>IFERROR(__xludf.DUMMYFUNCTION("""COMPUTED_VALUE"""),"86")</f>
        <v>86</v>
      </c>
      <c r="C5111" s="6" t="str">
        <f>IFERROR(__xludf.DUMMYFUNCTION("""COMPUTED_VALUE"""),"12502")</f>
        <v>12502</v>
      </c>
      <c r="D5111" s="6" t="str">
        <f>IFERROR(__xludf.DUMMYFUNCTION("""COMPUTED_VALUE"""),"Ever")</f>
        <v>Ever</v>
      </c>
      <c r="E5111" s="6" t="str">
        <f>IFERROR(__xludf.DUMMYFUNCTION("""COMPUTED_VALUE"""),"")</f>
        <v/>
      </c>
      <c r="F5111" s="6" t="str">
        <f>IFERROR(__xludf.DUMMYFUNCTION("""COMPUTED_VALUE"""),"Peraza Rodriguez")</f>
        <v>Peraza Rodriguez</v>
      </c>
      <c r="G5111" s="6" t="str">
        <f>IFERROR(__xludf.DUMMYFUNCTION("""COMPUTED_VALUE"""),"02/16/2015")</f>
        <v>02/16/2015</v>
      </c>
      <c r="H5111" s="6" t="str">
        <f>IFERROR(__xludf.DUMMYFUNCTION("""COMPUTED_VALUE"""),"female")</f>
        <v>female</v>
      </c>
      <c r="I5111" s="6" t="str">
        <f>IFERROR(__xludf.DUMMYFUNCTION("""COMPUTED_VALUE"""),"Level 1")</f>
        <v>Level 1</v>
      </c>
      <c r="J5111" s="6" t="str">
        <f>IFERROR(__xludf.DUMMYFUNCTION("""COMPUTED_VALUE"""),"2")</f>
        <v>2</v>
      </c>
      <c r="K5111" s="6" t="str">
        <f>IFERROR(__xludf.DUMMYFUNCTION("""COMPUTED_VALUE"""),"ever.perazarodriguez@2hourlearning.com")</f>
        <v>ever.perazarodriguez@2hourlearning.com</v>
      </c>
      <c r="L5111" s="6" t="str">
        <f>IFERROR(__xludf.DUMMYFUNCTION("""COMPUTED_VALUE"""),"JRES - Ridgeland Elementary School")</f>
        <v>JRES - Ridgeland Elementary School</v>
      </c>
      <c r="M5111" s="6" t="str">
        <f>IFERROR(__xludf.DUMMYFUNCTION("""COMPUTED_VALUE"""),"")</f>
        <v/>
      </c>
      <c r="N5111" s="6" t="str">
        <f>IFERROR(__xludf.DUMMYFUNCTION("""COMPUTED_VALUE"""),"")</f>
        <v/>
      </c>
      <c r="O5111" s="87" t="str">
        <f>IFERROR(__xludf.DUMMYFUNCTION("""COMPUTED_VALUE"""),"https://drive.google.com/drive/folders/10T2cTQHqEJZqE-st6uFKPoI?usp=share_link")</f>
        <v>https://drive.google.com/drive/folders/10T2cTQHqEJZqE-st6uFKPoI?usp=share_link</v>
      </c>
      <c r="P5111" s="6" t="str">
        <f>IFERROR(__xludf.DUMMYFUNCTION("""COMPUTED_VALUE"""),"Ever Peraza Rodriguez")</f>
        <v>Ever Peraza Rodriguez</v>
      </c>
      <c r="Q5111" s="6" t="str">
        <f>IFERROR(__xludf.DUMMYFUNCTION("""COMPUTED_VALUE"""),"L1")</f>
        <v>L1</v>
      </c>
      <c r="R5111" s="6">
        <f>IFERROR(__xludf.DUMMYFUNCTION("""COMPUTED_VALUE"""),1.0)</f>
        <v>1</v>
      </c>
      <c r="S5111" s="6" t="str">
        <f>IFERROR(__xludf.DUMMYFUNCTION("""COMPUTED_VALUE"""),"Kimberly Ball")</f>
        <v>Kimberly Ball</v>
      </c>
      <c r="T5111" s="6" t="str">
        <f>IFERROR(__xludf.DUMMYFUNCTION("""COMPUTED_VALUE"""),"kimberly.ball@studient.com")</f>
        <v>kimberly.ball@studient.com</v>
      </c>
      <c r="U5111" s="6" t="str">
        <f>IFERROR(__xludf.DUMMYFUNCTION("""COMPUTED_VALUE"""),"2")</f>
        <v>2</v>
      </c>
      <c r="V5111" s="6" t="str">
        <f>IFERROR(__xludf.DUMMYFUNCTION("""COMPUTED_VALUE"""),"")</f>
        <v/>
      </c>
      <c r="W5111" s="6" t="str">
        <f>IFERROR(__xludf.DUMMYFUNCTION("""COMPUTED_VALUE"""),"[]")</f>
        <v>[]</v>
      </c>
      <c r="X5111" s="6" t="str">
        <f>IFERROR(__xludf.DUMMYFUNCTION("""COMPUTED_VALUE"""),"Enrolled")</f>
        <v>Enrolled</v>
      </c>
    </row>
    <row r="5112">
      <c r="A5112" s="6" t="str">
        <f>IFERROR(__xludf.DUMMYFUNCTION("""COMPUTED_VALUE"""),"086-12503")</f>
        <v>086-12503</v>
      </c>
      <c r="B5112" s="6" t="str">
        <f>IFERROR(__xludf.DUMMYFUNCTION("""COMPUTED_VALUE"""),"86")</f>
        <v>86</v>
      </c>
      <c r="C5112" s="6" t="str">
        <f>IFERROR(__xludf.DUMMYFUNCTION("""COMPUTED_VALUE"""),"12503")</f>
        <v>12503</v>
      </c>
      <c r="D5112" s="6" t="str">
        <f>IFERROR(__xludf.DUMMYFUNCTION("""COMPUTED_VALUE"""),"Luz Angelica")</f>
        <v>Luz Angelica</v>
      </c>
      <c r="E5112" s="6" t="str">
        <f>IFERROR(__xludf.DUMMYFUNCTION("""COMPUTED_VALUE"""),"")</f>
        <v/>
      </c>
      <c r="F5112" s="6" t="str">
        <f>IFERROR(__xludf.DUMMYFUNCTION("""COMPUTED_VALUE"""),"Perez Lopez")</f>
        <v>Perez Lopez</v>
      </c>
      <c r="G5112" s="6" t="str">
        <f>IFERROR(__xludf.DUMMYFUNCTION("""COMPUTED_VALUE"""),"10/05/2017")</f>
        <v>10/05/2017</v>
      </c>
      <c r="H5112" s="6" t="str">
        <f>IFERROR(__xludf.DUMMYFUNCTION("""COMPUTED_VALUE"""),"male")</f>
        <v>male</v>
      </c>
      <c r="I5112" s="6" t="str">
        <f>IFERROR(__xludf.DUMMYFUNCTION("""COMPUTED_VALUE"""),"Level 1")</f>
        <v>Level 1</v>
      </c>
      <c r="J5112" s="6" t="str">
        <f>IFERROR(__xludf.DUMMYFUNCTION("""COMPUTED_VALUE"""),"2")</f>
        <v>2</v>
      </c>
      <c r="K5112" s="6" t="str">
        <f>IFERROR(__xludf.DUMMYFUNCTION("""COMPUTED_VALUE"""),"luzangelica.perezlopez@2hourlearning.com")</f>
        <v>luzangelica.perezlopez@2hourlearning.com</v>
      </c>
      <c r="L5112" s="6" t="str">
        <f>IFERROR(__xludf.DUMMYFUNCTION("""COMPUTED_VALUE"""),"JRES - Ridgeland Elementary School")</f>
        <v>JRES - Ridgeland Elementary School</v>
      </c>
      <c r="M5112" s="6" t="str">
        <f>IFERROR(__xludf.DUMMYFUNCTION("""COMPUTED_VALUE"""),"")</f>
        <v/>
      </c>
      <c r="N5112" s="6" t="str">
        <f>IFERROR(__xludf.DUMMYFUNCTION("""COMPUTED_VALUE"""),"")</f>
        <v/>
      </c>
      <c r="O5112" s="87" t="str">
        <f>IFERROR(__xludf.DUMMYFUNCTION("""COMPUTED_VALUE"""),"https://drive.google.com/drive/folders/10T2cTQHqEJZqE-st6uFKPoI?usp=share_link")</f>
        <v>https://drive.google.com/drive/folders/10T2cTQHqEJZqE-st6uFKPoI?usp=share_link</v>
      </c>
      <c r="P5112" s="6" t="str">
        <f>IFERROR(__xludf.DUMMYFUNCTION("""COMPUTED_VALUE"""),"Luz Angelica Perez Lopez")</f>
        <v>Luz Angelica Perez Lopez</v>
      </c>
      <c r="Q5112" s="6" t="str">
        <f>IFERROR(__xludf.DUMMYFUNCTION("""COMPUTED_VALUE"""),"L1")</f>
        <v>L1</v>
      </c>
      <c r="R5112" s="6">
        <f>IFERROR(__xludf.DUMMYFUNCTION("""COMPUTED_VALUE"""),1.0)</f>
        <v>1</v>
      </c>
      <c r="S5112" s="6" t="str">
        <f>IFERROR(__xludf.DUMMYFUNCTION("""COMPUTED_VALUE"""),"Kimberly Ball")</f>
        <v>Kimberly Ball</v>
      </c>
      <c r="T5112" s="6" t="str">
        <f>IFERROR(__xludf.DUMMYFUNCTION("""COMPUTED_VALUE"""),"kimberly.ball@studient.com")</f>
        <v>kimberly.ball@studient.com</v>
      </c>
      <c r="U5112" s="6" t="str">
        <f>IFERROR(__xludf.DUMMYFUNCTION("""COMPUTED_VALUE"""),"2")</f>
        <v>2</v>
      </c>
      <c r="V5112" s="6" t="str">
        <f>IFERROR(__xludf.DUMMYFUNCTION("""COMPUTED_VALUE"""),"")</f>
        <v/>
      </c>
      <c r="W5112" s="6" t="str">
        <f>IFERROR(__xludf.DUMMYFUNCTION("""COMPUTED_VALUE"""),"[]")</f>
        <v>[]</v>
      </c>
      <c r="X5112" s="6" t="str">
        <f>IFERROR(__xludf.DUMMYFUNCTION("""COMPUTED_VALUE"""),"Enrolled")</f>
        <v>Enrolled</v>
      </c>
    </row>
    <row r="5113">
      <c r="A5113" s="6" t="str">
        <f>IFERROR(__xludf.DUMMYFUNCTION("""COMPUTED_VALUE"""),"086-12504")</f>
        <v>086-12504</v>
      </c>
      <c r="B5113" s="6" t="str">
        <f>IFERROR(__xludf.DUMMYFUNCTION("""COMPUTED_VALUE"""),"86")</f>
        <v>86</v>
      </c>
      <c r="C5113" s="6" t="str">
        <f>IFERROR(__xludf.DUMMYFUNCTION("""COMPUTED_VALUE"""),"12504")</f>
        <v>12504</v>
      </c>
      <c r="D5113" s="6" t="str">
        <f>IFERROR(__xludf.DUMMYFUNCTION("""COMPUTED_VALUE"""),"Jordyn")</f>
        <v>Jordyn</v>
      </c>
      <c r="E5113" s="6" t="str">
        <f>IFERROR(__xludf.DUMMYFUNCTION("""COMPUTED_VALUE"""),"")</f>
        <v/>
      </c>
      <c r="F5113" s="6" t="str">
        <f>IFERROR(__xludf.DUMMYFUNCTION("""COMPUTED_VALUE"""),"Phillips")</f>
        <v>Phillips</v>
      </c>
      <c r="G5113" s="6" t="str">
        <f>IFERROR(__xludf.DUMMYFUNCTION("""COMPUTED_VALUE"""),"08/30/2017")</f>
        <v>08/30/2017</v>
      </c>
      <c r="H5113" s="6" t="str">
        <f>IFERROR(__xludf.DUMMYFUNCTION("""COMPUTED_VALUE"""),"male")</f>
        <v>male</v>
      </c>
      <c r="I5113" s="6" t="str">
        <f>IFERROR(__xludf.DUMMYFUNCTION("""COMPUTED_VALUE"""),"Level 1")</f>
        <v>Level 1</v>
      </c>
      <c r="J5113" s="6" t="str">
        <f>IFERROR(__xludf.DUMMYFUNCTION("""COMPUTED_VALUE"""),"2")</f>
        <v>2</v>
      </c>
      <c r="K5113" s="6" t="str">
        <f>IFERROR(__xludf.DUMMYFUNCTION("""COMPUTED_VALUE"""),"jordyn.phillips@2hourlearning.com")</f>
        <v>jordyn.phillips@2hourlearning.com</v>
      </c>
      <c r="L5113" s="6" t="str">
        <f>IFERROR(__xludf.DUMMYFUNCTION("""COMPUTED_VALUE"""),"JRES - Ridgeland Elementary School")</f>
        <v>JRES - Ridgeland Elementary School</v>
      </c>
      <c r="M5113" s="6" t="str">
        <f>IFERROR(__xludf.DUMMYFUNCTION("""COMPUTED_VALUE"""),"")</f>
        <v/>
      </c>
      <c r="N5113" s="6" t="str">
        <f>IFERROR(__xludf.DUMMYFUNCTION("""COMPUTED_VALUE"""),"")</f>
        <v/>
      </c>
      <c r="O5113" s="87" t="str">
        <f>IFERROR(__xludf.DUMMYFUNCTION("""COMPUTED_VALUE"""),"https://drive.google.com/drive/folders/10T2cTQHqEJZqE-st6uFKPoI?usp=share_link")</f>
        <v>https://drive.google.com/drive/folders/10T2cTQHqEJZqE-st6uFKPoI?usp=share_link</v>
      </c>
      <c r="P5113" s="6" t="str">
        <f>IFERROR(__xludf.DUMMYFUNCTION("""COMPUTED_VALUE"""),"Jordyn Phillips")</f>
        <v>Jordyn Phillips</v>
      </c>
      <c r="Q5113" s="6" t="str">
        <f>IFERROR(__xludf.DUMMYFUNCTION("""COMPUTED_VALUE"""),"L1")</f>
        <v>L1</v>
      </c>
      <c r="R5113" s="6">
        <f>IFERROR(__xludf.DUMMYFUNCTION("""COMPUTED_VALUE"""),1.0)</f>
        <v>1</v>
      </c>
      <c r="S5113" s="6" t="str">
        <f>IFERROR(__xludf.DUMMYFUNCTION("""COMPUTED_VALUE"""),"Kimberly Ball")</f>
        <v>Kimberly Ball</v>
      </c>
      <c r="T5113" s="6" t="str">
        <f>IFERROR(__xludf.DUMMYFUNCTION("""COMPUTED_VALUE"""),"kimberly.ball@studient.com")</f>
        <v>kimberly.ball@studient.com</v>
      </c>
      <c r="U5113" s="6" t="str">
        <f>IFERROR(__xludf.DUMMYFUNCTION("""COMPUTED_VALUE"""),"2")</f>
        <v>2</v>
      </c>
      <c r="V5113" s="6" t="str">
        <f>IFERROR(__xludf.DUMMYFUNCTION("""COMPUTED_VALUE"""),"")</f>
        <v/>
      </c>
      <c r="W5113" s="6" t="str">
        <f>IFERROR(__xludf.DUMMYFUNCTION("""COMPUTED_VALUE"""),"[]")</f>
        <v>[]</v>
      </c>
      <c r="X5113" s="6" t="str">
        <f>IFERROR(__xludf.DUMMYFUNCTION("""COMPUTED_VALUE"""),"Enrolled")</f>
        <v>Enrolled</v>
      </c>
    </row>
    <row r="5114">
      <c r="A5114" s="6" t="str">
        <f>IFERROR(__xludf.DUMMYFUNCTION("""COMPUTED_VALUE"""),"086-12505")</f>
        <v>086-12505</v>
      </c>
      <c r="B5114" s="6" t="str">
        <f>IFERROR(__xludf.DUMMYFUNCTION("""COMPUTED_VALUE"""),"86")</f>
        <v>86</v>
      </c>
      <c r="C5114" s="6" t="str">
        <f>IFERROR(__xludf.DUMMYFUNCTION("""COMPUTED_VALUE"""),"12505")</f>
        <v>12505</v>
      </c>
      <c r="D5114" s="6" t="str">
        <f>IFERROR(__xludf.DUMMYFUNCTION("""COMPUTED_VALUE"""),"David")</f>
        <v>David</v>
      </c>
      <c r="E5114" s="6" t="str">
        <f>IFERROR(__xludf.DUMMYFUNCTION("""COMPUTED_VALUE"""),"")</f>
        <v/>
      </c>
      <c r="F5114" s="6" t="str">
        <f>IFERROR(__xludf.DUMMYFUNCTION("""COMPUTED_VALUE"""),"Ponce")</f>
        <v>Ponce</v>
      </c>
      <c r="G5114" s="6" t="str">
        <f>IFERROR(__xludf.DUMMYFUNCTION("""COMPUTED_VALUE"""),"06/22/2015")</f>
        <v>06/22/2015</v>
      </c>
      <c r="H5114" s="6" t="str">
        <f>IFERROR(__xludf.DUMMYFUNCTION("""COMPUTED_VALUE"""),"male")</f>
        <v>male</v>
      </c>
      <c r="I5114" s="6" t="str">
        <f>IFERROR(__xludf.DUMMYFUNCTION("""COMPUTED_VALUE"""),"Level 1")</f>
        <v>Level 1</v>
      </c>
      <c r="J5114" s="6" t="str">
        <f>IFERROR(__xludf.DUMMYFUNCTION("""COMPUTED_VALUE"""),"2")</f>
        <v>2</v>
      </c>
      <c r="K5114" s="6" t="str">
        <f>IFERROR(__xludf.DUMMYFUNCTION("""COMPUTED_VALUE"""),"david.ponce@2hourlearning.com")</f>
        <v>david.ponce@2hourlearning.com</v>
      </c>
      <c r="L5114" s="6" t="str">
        <f>IFERROR(__xludf.DUMMYFUNCTION("""COMPUTED_VALUE"""),"JRES - Ridgeland Elementary School")</f>
        <v>JRES - Ridgeland Elementary School</v>
      </c>
      <c r="M5114" s="6" t="str">
        <f>IFERROR(__xludf.DUMMYFUNCTION("""COMPUTED_VALUE"""),"")</f>
        <v/>
      </c>
      <c r="N5114" s="6" t="str">
        <f>IFERROR(__xludf.DUMMYFUNCTION("""COMPUTED_VALUE"""),"")</f>
        <v/>
      </c>
      <c r="O5114" s="87" t="str">
        <f>IFERROR(__xludf.DUMMYFUNCTION("""COMPUTED_VALUE"""),"https://drive.google.com/drive/folders/10T2cTQHqEJZqE-st6uFKPoI?usp=share_link")</f>
        <v>https://drive.google.com/drive/folders/10T2cTQHqEJZqE-st6uFKPoI?usp=share_link</v>
      </c>
      <c r="P5114" s="6" t="str">
        <f>IFERROR(__xludf.DUMMYFUNCTION("""COMPUTED_VALUE"""),"David Ponce")</f>
        <v>David Ponce</v>
      </c>
      <c r="Q5114" s="6" t="str">
        <f>IFERROR(__xludf.DUMMYFUNCTION("""COMPUTED_VALUE"""),"L1")</f>
        <v>L1</v>
      </c>
      <c r="R5114" s="6">
        <f>IFERROR(__xludf.DUMMYFUNCTION("""COMPUTED_VALUE"""),1.0)</f>
        <v>1</v>
      </c>
      <c r="S5114" s="6" t="str">
        <f>IFERROR(__xludf.DUMMYFUNCTION("""COMPUTED_VALUE"""),"Kimberly Ball")</f>
        <v>Kimberly Ball</v>
      </c>
      <c r="T5114" s="6" t="str">
        <f>IFERROR(__xludf.DUMMYFUNCTION("""COMPUTED_VALUE"""),"kimberly.ball@studient.com")</f>
        <v>kimberly.ball@studient.com</v>
      </c>
      <c r="U5114" s="6" t="str">
        <f>IFERROR(__xludf.DUMMYFUNCTION("""COMPUTED_VALUE"""),"2")</f>
        <v>2</v>
      </c>
      <c r="V5114" s="6" t="str">
        <f>IFERROR(__xludf.DUMMYFUNCTION("""COMPUTED_VALUE"""),"")</f>
        <v/>
      </c>
      <c r="W5114" s="6" t="str">
        <f>IFERROR(__xludf.DUMMYFUNCTION("""COMPUTED_VALUE"""),"[]")</f>
        <v>[]</v>
      </c>
      <c r="X5114" s="6" t="str">
        <f>IFERROR(__xludf.DUMMYFUNCTION("""COMPUTED_VALUE"""),"Enrolled")</f>
        <v>Enrolled</v>
      </c>
    </row>
    <row r="5115">
      <c r="A5115" s="6" t="str">
        <f>IFERROR(__xludf.DUMMYFUNCTION("""COMPUTED_VALUE"""),"086-12506")</f>
        <v>086-12506</v>
      </c>
      <c r="B5115" s="6" t="str">
        <f>IFERROR(__xludf.DUMMYFUNCTION("""COMPUTED_VALUE"""),"86")</f>
        <v>86</v>
      </c>
      <c r="C5115" s="6" t="str">
        <f>IFERROR(__xludf.DUMMYFUNCTION("""COMPUTED_VALUE"""),"12506")</f>
        <v>12506</v>
      </c>
      <c r="D5115" s="6" t="str">
        <f>IFERROR(__xludf.DUMMYFUNCTION("""COMPUTED_VALUE"""),"Kyrie")</f>
        <v>Kyrie</v>
      </c>
      <c r="E5115" s="6" t="str">
        <f>IFERROR(__xludf.DUMMYFUNCTION("""COMPUTED_VALUE"""),"")</f>
        <v/>
      </c>
      <c r="F5115" s="6" t="str">
        <f>IFERROR(__xludf.DUMMYFUNCTION("""COMPUTED_VALUE"""),"Primus")</f>
        <v>Primus</v>
      </c>
      <c r="G5115" s="6" t="str">
        <f>IFERROR(__xludf.DUMMYFUNCTION("""COMPUTED_VALUE"""),"09/25/2017")</f>
        <v>09/25/2017</v>
      </c>
      <c r="H5115" s="6" t="str">
        <f>IFERROR(__xludf.DUMMYFUNCTION("""COMPUTED_VALUE"""),"male")</f>
        <v>male</v>
      </c>
      <c r="I5115" s="6" t="str">
        <f>IFERROR(__xludf.DUMMYFUNCTION("""COMPUTED_VALUE"""),"Level 1")</f>
        <v>Level 1</v>
      </c>
      <c r="J5115" s="6" t="str">
        <f>IFERROR(__xludf.DUMMYFUNCTION("""COMPUTED_VALUE"""),"2")</f>
        <v>2</v>
      </c>
      <c r="K5115" s="6" t="str">
        <f>IFERROR(__xludf.DUMMYFUNCTION("""COMPUTED_VALUE"""),"kyrie.primus@2hourlearning.com")</f>
        <v>kyrie.primus@2hourlearning.com</v>
      </c>
      <c r="L5115" s="6" t="str">
        <f>IFERROR(__xludf.DUMMYFUNCTION("""COMPUTED_VALUE"""),"JRES - Ridgeland Elementary School")</f>
        <v>JRES - Ridgeland Elementary School</v>
      </c>
      <c r="M5115" s="6" t="str">
        <f>IFERROR(__xludf.DUMMYFUNCTION("""COMPUTED_VALUE"""),"")</f>
        <v/>
      </c>
      <c r="N5115" s="6" t="str">
        <f>IFERROR(__xludf.DUMMYFUNCTION("""COMPUTED_VALUE"""),"")</f>
        <v/>
      </c>
      <c r="O5115" s="87" t="str">
        <f>IFERROR(__xludf.DUMMYFUNCTION("""COMPUTED_VALUE"""),"https://drive.google.com/drive/folders/10T2cTQHqEJZqE-st6uFKPoI?usp=share_link")</f>
        <v>https://drive.google.com/drive/folders/10T2cTQHqEJZqE-st6uFKPoI?usp=share_link</v>
      </c>
      <c r="P5115" s="6" t="str">
        <f>IFERROR(__xludf.DUMMYFUNCTION("""COMPUTED_VALUE"""),"Kyrie Primus")</f>
        <v>Kyrie Primus</v>
      </c>
      <c r="Q5115" s="6" t="str">
        <f>IFERROR(__xludf.DUMMYFUNCTION("""COMPUTED_VALUE"""),"L1")</f>
        <v>L1</v>
      </c>
      <c r="R5115" s="6">
        <f>IFERROR(__xludf.DUMMYFUNCTION("""COMPUTED_VALUE"""),1.0)</f>
        <v>1</v>
      </c>
      <c r="S5115" s="6" t="str">
        <f>IFERROR(__xludf.DUMMYFUNCTION("""COMPUTED_VALUE"""),"Kimberly Ball")</f>
        <v>Kimberly Ball</v>
      </c>
      <c r="T5115" s="6" t="str">
        <f>IFERROR(__xludf.DUMMYFUNCTION("""COMPUTED_VALUE"""),"kimberly.ball@studient.com")</f>
        <v>kimberly.ball@studient.com</v>
      </c>
      <c r="U5115" s="6" t="str">
        <f>IFERROR(__xludf.DUMMYFUNCTION("""COMPUTED_VALUE"""),"2")</f>
        <v>2</v>
      </c>
      <c r="V5115" s="6" t="str">
        <f>IFERROR(__xludf.DUMMYFUNCTION("""COMPUTED_VALUE"""),"")</f>
        <v/>
      </c>
      <c r="W5115" s="6" t="str">
        <f>IFERROR(__xludf.DUMMYFUNCTION("""COMPUTED_VALUE"""),"[]")</f>
        <v>[]</v>
      </c>
      <c r="X5115" s="6" t="str">
        <f>IFERROR(__xludf.DUMMYFUNCTION("""COMPUTED_VALUE"""),"Enrolled")</f>
        <v>Enrolled</v>
      </c>
    </row>
    <row r="5116">
      <c r="A5116" s="6" t="str">
        <f>IFERROR(__xludf.DUMMYFUNCTION("""COMPUTED_VALUE"""),"086-12507")</f>
        <v>086-12507</v>
      </c>
      <c r="B5116" s="6" t="str">
        <f>IFERROR(__xludf.DUMMYFUNCTION("""COMPUTED_VALUE"""),"86")</f>
        <v>86</v>
      </c>
      <c r="C5116" s="6" t="str">
        <f>IFERROR(__xludf.DUMMYFUNCTION("""COMPUTED_VALUE"""),"12507")</f>
        <v>12507</v>
      </c>
      <c r="D5116" s="6" t="str">
        <f>IFERROR(__xludf.DUMMYFUNCTION("""COMPUTED_VALUE"""),"Mason")</f>
        <v>Mason</v>
      </c>
      <c r="E5116" s="6" t="str">
        <f>IFERROR(__xludf.DUMMYFUNCTION("""COMPUTED_VALUE"""),"")</f>
        <v/>
      </c>
      <c r="F5116" s="6" t="str">
        <f>IFERROR(__xludf.DUMMYFUNCTION("""COMPUTED_VALUE"""),"Ragin")</f>
        <v>Ragin</v>
      </c>
      <c r="G5116" s="6" t="str">
        <f>IFERROR(__xludf.DUMMYFUNCTION("""COMPUTED_VALUE"""),"10/08/2017")</f>
        <v>10/08/2017</v>
      </c>
      <c r="H5116" s="6" t="str">
        <f>IFERROR(__xludf.DUMMYFUNCTION("""COMPUTED_VALUE"""),"male")</f>
        <v>male</v>
      </c>
      <c r="I5116" s="6" t="str">
        <f>IFERROR(__xludf.DUMMYFUNCTION("""COMPUTED_VALUE"""),"Level 1")</f>
        <v>Level 1</v>
      </c>
      <c r="J5116" s="6" t="str">
        <f>IFERROR(__xludf.DUMMYFUNCTION("""COMPUTED_VALUE"""),"2")</f>
        <v>2</v>
      </c>
      <c r="K5116" s="6" t="str">
        <f>IFERROR(__xludf.DUMMYFUNCTION("""COMPUTED_VALUE"""),"mason.ragin@2hourlearning.com")</f>
        <v>mason.ragin@2hourlearning.com</v>
      </c>
      <c r="L5116" s="6" t="str">
        <f>IFERROR(__xludf.DUMMYFUNCTION("""COMPUTED_VALUE"""),"JRES - Ridgeland Elementary School")</f>
        <v>JRES - Ridgeland Elementary School</v>
      </c>
      <c r="M5116" s="6" t="str">
        <f>IFERROR(__xludf.DUMMYFUNCTION("""COMPUTED_VALUE"""),"")</f>
        <v/>
      </c>
      <c r="N5116" s="6" t="str">
        <f>IFERROR(__xludf.DUMMYFUNCTION("""COMPUTED_VALUE"""),"")</f>
        <v/>
      </c>
      <c r="O5116" s="87" t="str">
        <f>IFERROR(__xludf.DUMMYFUNCTION("""COMPUTED_VALUE"""),"https://drive.google.com/drive/folders/10T2cTQHqEJZqE-st6uFKPoI?usp=share_link")</f>
        <v>https://drive.google.com/drive/folders/10T2cTQHqEJZqE-st6uFKPoI?usp=share_link</v>
      </c>
      <c r="P5116" s="6" t="str">
        <f>IFERROR(__xludf.DUMMYFUNCTION("""COMPUTED_VALUE"""),"Mason Ragin")</f>
        <v>Mason Ragin</v>
      </c>
      <c r="Q5116" s="6" t="str">
        <f>IFERROR(__xludf.DUMMYFUNCTION("""COMPUTED_VALUE"""),"L1")</f>
        <v>L1</v>
      </c>
      <c r="R5116" s="6">
        <f>IFERROR(__xludf.DUMMYFUNCTION("""COMPUTED_VALUE"""),1.0)</f>
        <v>1</v>
      </c>
      <c r="S5116" s="6" t="str">
        <f>IFERROR(__xludf.DUMMYFUNCTION("""COMPUTED_VALUE"""),"Kimberly Ball")</f>
        <v>Kimberly Ball</v>
      </c>
      <c r="T5116" s="6" t="str">
        <f>IFERROR(__xludf.DUMMYFUNCTION("""COMPUTED_VALUE"""),"kimberly.ball@studient.com")</f>
        <v>kimberly.ball@studient.com</v>
      </c>
      <c r="U5116" s="6" t="str">
        <f>IFERROR(__xludf.DUMMYFUNCTION("""COMPUTED_VALUE"""),"2")</f>
        <v>2</v>
      </c>
      <c r="V5116" s="6" t="str">
        <f>IFERROR(__xludf.DUMMYFUNCTION("""COMPUTED_VALUE"""),"")</f>
        <v/>
      </c>
      <c r="W5116" s="6" t="str">
        <f>IFERROR(__xludf.DUMMYFUNCTION("""COMPUTED_VALUE"""),"[]")</f>
        <v>[]</v>
      </c>
      <c r="X5116" s="6" t="str">
        <f>IFERROR(__xludf.DUMMYFUNCTION("""COMPUTED_VALUE"""),"Enrolled")</f>
        <v>Enrolled</v>
      </c>
    </row>
    <row r="5117">
      <c r="A5117" s="6" t="str">
        <f>IFERROR(__xludf.DUMMYFUNCTION("""COMPUTED_VALUE"""),"086-12508")</f>
        <v>086-12508</v>
      </c>
      <c r="B5117" s="6" t="str">
        <f>IFERROR(__xludf.DUMMYFUNCTION("""COMPUTED_VALUE"""),"86")</f>
        <v>86</v>
      </c>
      <c r="C5117" s="6" t="str">
        <f>IFERROR(__xludf.DUMMYFUNCTION("""COMPUTED_VALUE"""),"12508")</f>
        <v>12508</v>
      </c>
      <c r="D5117" s="6" t="str">
        <f>IFERROR(__xludf.DUMMYFUNCTION("""COMPUTED_VALUE"""),"Oliver")</f>
        <v>Oliver</v>
      </c>
      <c r="E5117" s="6" t="str">
        <f>IFERROR(__xludf.DUMMYFUNCTION("""COMPUTED_VALUE"""),"")</f>
        <v/>
      </c>
      <c r="F5117" s="6" t="str">
        <f>IFERROR(__xludf.DUMMYFUNCTION("""COMPUTED_VALUE"""),"Reyes Denova")</f>
        <v>Reyes Denova</v>
      </c>
      <c r="G5117" s="6" t="str">
        <f>IFERROR(__xludf.DUMMYFUNCTION("""COMPUTED_VALUE"""),"02/07/2015")</f>
        <v>02/07/2015</v>
      </c>
      <c r="H5117" s="6" t="str">
        <f>IFERROR(__xludf.DUMMYFUNCTION("""COMPUTED_VALUE"""),"male")</f>
        <v>male</v>
      </c>
      <c r="I5117" s="6" t="str">
        <f>IFERROR(__xludf.DUMMYFUNCTION("""COMPUTED_VALUE"""),"Level 1")</f>
        <v>Level 1</v>
      </c>
      <c r="J5117" s="6" t="str">
        <f>IFERROR(__xludf.DUMMYFUNCTION("""COMPUTED_VALUE"""),"2")</f>
        <v>2</v>
      </c>
      <c r="K5117" s="6" t="str">
        <f>IFERROR(__xludf.DUMMYFUNCTION("""COMPUTED_VALUE"""),"oliver.reyesdenova@2hourlearning.com")</f>
        <v>oliver.reyesdenova@2hourlearning.com</v>
      </c>
      <c r="L5117" s="6" t="str">
        <f>IFERROR(__xludf.DUMMYFUNCTION("""COMPUTED_VALUE"""),"JRES - Ridgeland Elementary School")</f>
        <v>JRES - Ridgeland Elementary School</v>
      </c>
      <c r="M5117" s="6" t="str">
        <f>IFERROR(__xludf.DUMMYFUNCTION("""COMPUTED_VALUE"""),"")</f>
        <v/>
      </c>
      <c r="N5117" s="6" t="str">
        <f>IFERROR(__xludf.DUMMYFUNCTION("""COMPUTED_VALUE"""),"")</f>
        <v/>
      </c>
      <c r="O5117" s="87" t="str">
        <f>IFERROR(__xludf.DUMMYFUNCTION("""COMPUTED_VALUE"""),"https://drive.google.com/drive/folders/10T2cTQHqEJZqE-st6uFKPoI?usp=share_link")</f>
        <v>https://drive.google.com/drive/folders/10T2cTQHqEJZqE-st6uFKPoI?usp=share_link</v>
      </c>
      <c r="P5117" s="6" t="str">
        <f>IFERROR(__xludf.DUMMYFUNCTION("""COMPUTED_VALUE"""),"Oliver Reyes Denova")</f>
        <v>Oliver Reyes Denova</v>
      </c>
      <c r="Q5117" s="6" t="str">
        <f>IFERROR(__xludf.DUMMYFUNCTION("""COMPUTED_VALUE"""),"L1")</f>
        <v>L1</v>
      </c>
      <c r="R5117" s="6">
        <f>IFERROR(__xludf.DUMMYFUNCTION("""COMPUTED_VALUE"""),1.0)</f>
        <v>1</v>
      </c>
      <c r="S5117" s="6" t="str">
        <f>IFERROR(__xludf.DUMMYFUNCTION("""COMPUTED_VALUE"""),"Kimberly Ball")</f>
        <v>Kimberly Ball</v>
      </c>
      <c r="T5117" s="6" t="str">
        <f>IFERROR(__xludf.DUMMYFUNCTION("""COMPUTED_VALUE"""),"kimberly.ball@studient.com")</f>
        <v>kimberly.ball@studient.com</v>
      </c>
      <c r="U5117" s="6" t="str">
        <f>IFERROR(__xludf.DUMMYFUNCTION("""COMPUTED_VALUE"""),"2")</f>
        <v>2</v>
      </c>
      <c r="V5117" s="6" t="str">
        <f>IFERROR(__xludf.DUMMYFUNCTION("""COMPUTED_VALUE"""),"")</f>
        <v/>
      </c>
      <c r="W5117" s="6" t="str">
        <f>IFERROR(__xludf.DUMMYFUNCTION("""COMPUTED_VALUE"""),"[]")</f>
        <v>[]</v>
      </c>
      <c r="X5117" s="6" t="str">
        <f>IFERROR(__xludf.DUMMYFUNCTION("""COMPUTED_VALUE"""),"Enrolled")</f>
        <v>Enrolled</v>
      </c>
    </row>
    <row r="5118">
      <c r="A5118" s="6" t="str">
        <f>IFERROR(__xludf.DUMMYFUNCTION("""COMPUTED_VALUE"""),"086-12509")</f>
        <v>086-12509</v>
      </c>
      <c r="B5118" s="6" t="str">
        <f>IFERROR(__xludf.DUMMYFUNCTION("""COMPUTED_VALUE"""),"86")</f>
        <v>86</v>
      </c>
      <c r="C5118" s="6" t="str">
        <f>IFERROR(__xludf.DUMMYFUNCTION("""COMPUTED_VALUE"""),"12509")</f>
        <v>12509</v>
      </c>
      <c r="D5118" s="6" t="str">
        <f>IFERROR(__xludf.DUMMYFUNCTION("""COMPUTED_VALUE"""),"Luis")</f>
        <v>Luis</v>
      </c>
      <c r="E5118" s="6" t="str">
        <f>IFERROR(__xludf.DUMMYFUNCTION("""COMPUTED_VALUE"""),"")</f>
        <v/>
      </c>
      <c r="F5118" s="6" t="str">
        <f>IFERROR(__xludf.DUMMYFUNCTION("""COMPUTED_VALUE"""),"Reyna Gonzalez")</f>
        <v>Reyna Gonzalez</v>
      </c>
      <c r="G5118" s="6" t="str">
        <f>IFERROR(__xludf.DUMMYFUNCTION("""COMPUTED_VALUE"""),"06/16/2018")</f>
        <v>06/16/2018</v>
      </c>
      <c r="H5118" s="6" t="str">
        <f>IFERROR(__xludf.DUMMYFUNCTION("""COMPUTED_VALUE"""),"female")</f>
        <v>female</v>
      </c>
      <c r="I5118" s="6" t="str">
        <f>IFERROR(__xludf.DUMMYFUNCTION("""COMPUTED_VALUE"""),"Level 1")</f>
        <v>Level 1</v>
      </c>
      <c r="J5118" s="6" t="str">
        <f>IFERROR(__xludf.DUMMYFUNCTION("""COMPUTED_VALUE"""),"2")</f>
        <v>2</v>
      </c>
      <c r="K5118" s="6" t="str">
        <f>IFERROR(__xludf.DUMMYFUNCTION("""COMPUTED_VALUE"""),"luis.reynagonzalez@2hourlearning.com")</f>
        <v>luis.reynagonzalez@2hourlearning.com</v>
      </c>
      <c r="L5118" s="6" t="str">
        <f>IFERROR(__xludf.DUMMYFUNCTION("""COMPUTED_VALUE"""),"JRES - Ridgeland Elementary School")</f>
        <v>JRES - Ridgeland Elementary School</v>
      </c>
      <c r="M5118" s="6" t="str">
        <f>IFERROR(__xludf.DUMMYFUNCTION("""COMPUTED_VALUE"""),"")</f>
        <v/>
      </c>
      <c r="N5118" s="6" t="str">
        <f>IFERROR(__xludf.DUMMYFUNCTION("""COMPUTED_VALUE"""),"")</f>
        <v/>
      </c>
      <c r="O5118" s="87" t="str">
        <f>IFERROR(__xludf.DUMMYFUNCTION("""COMPUTED_VALUE"""),"https://drive.google.com/drive/folders/10T2cTQHqEJZqE-st6uFKPoI?usp=share_link")</f>
        <v>https://drive.google.com/drive/folders/10T2cTQHqEJZqE-st6uFKPoI?usp=share_link</v>
      </c>
      <c r="P5118" s="6" t="str">
        <f>IFERROR(__xludf.DUMMYFUNCTION("""COMPUTED_VALUE"""),"Luis Reyna Gonzalez")</f>
        <v>Luis Reyna Gonzalez</v>
      </c>
      <c r="Q5118" s="6" t="str">
        <f>IFERROR(__xludf.DUMMYFUNCTION("""COMPUTED_VALUE"""),"L1")</f>
        <v>L1</v>
      </c>
      <c r="R5118" s="6">
        <f>IFERROR(__xludf.DUMMYFUNCTION("""COMPUTED_VALUE"""),1.0)</f>
        <v>1</v>
      </c>
      <c r="S5118" s="6" t="str">
        <f>IFERROR(__xludf.DUMMYFUNCTION("""COMPUTED_VALUE"""),"Kimberly Ball")</f>
        <v>Kimberly Ball</v>
      </c>
      <c r="T5118" s="6" t="str">
        <f>IFERROR(__xludf.DUMMYFUNCTION("""COMPUTED_VALUE"""),"kimberly.ball@studient.com")</f>
        <v>kimberly.ball@studient.com</v>
      </c>
      <c r="U5118" s="6" t="str">
        <f>IFERROR(__xludf.DUMMYFUNCTION("""COMPUTED_VALUE"""),"2")</f>
        <v>2</v>
      </c>
      <c r="V5118" s="6" t="str">
        <f>IFERROR(__xludf.DUMMYFUNCTION("""COMPUTED_VALUE"""),"")</f>
        <v/>
      </c>
      <c r="W5118" s="6" t="str">
        <f>IFERROR(__xludf.DUMMYFUNCTION("""COMPUTED_VALUE"""),"[]")</f>
        <v>[]</v>
      </c>
      <c r="X5118" s="6" t="str">
        <f>IFERROR(__xludf.DUMMYFUNCTION("""COMPUTED_VALUE"""),"Enrolled")</f>
        <v>Enrolled</v>
      </c>
    </row>
    <row r="5119">
      <c r="A5119" s="6" t="str">
        <f>IFERROR(__xludf.DUMMYFUNCTION("""COMPUTED_VALUE"""),"086-12510")</f>
        <v>086-12510</v>
      </c>
      <c r="B5119" s="6" t="str">
        <f>IFERROR(__xludf.DUMMYFUNCTION("""COMPUTED_VALUE"""),"86")</f>
        <v>86</v>
      </c>
      <c r="C5119" s="6" t="str">
        <f>IFERROR(__xludf.DUMMYFUNCTION("""COMPUTED_VALUE"""),"12510")</f>
        <v>12510</v>
      </c>
      <c r="D5119" s="6" t="str">
        <f>IFERROR(__xludf.DUMMYFUNCTION("""COMPUTED_VALUE"""),"Christina")</f>
        <v>Christina</v>
      </c>
      <c r="E5119" s="6" t="str">
        <f>IFERROR(__xludf.DUMMYFUNCTION("""COMPUTED_VALUE"""),"")</f>
        <v/>
      </c>
      <c r="F5119" s="6" t="str">
        <f>IFERROR(__xludf.DUMMYFUNCTION("""COMPUTED_VALUE"""),"Rivers")</f>
        <v>Rivers</v>
      </c>
      <c r="G5119" s="6" t="str">
        <f>IFERROR(__xludf.DUMMYFUNCTION("""COMPUTED_VALUE"""),"02/04/2017")</f>
        <v>02/04/2017</v>
      </c>
      <c r="H5119" s="6" t="str">
        <f>IFERROR(__xludf.DUMMYFUNCTION("""COMPUTED_VALUE"""),"male")</f>
        <v>male</v>
      </c>
      <c r="I5119" s="6" t="str">
        <f>IFERROR(__xludf.DUMMYFUNCTION("""COMPUTED_VALUE"""),"Level 1")</f>
        <v>Level 1</v>
      </c>
      <c r="J5119" s="6" t="str">
        <f>IFERROR(__xludf.DUMMYFUNCTION("""COMPUTED_VALUE"""),"2")</f>
        <v>2</v>
      </c>
      <c r="K5119" s="6" t="str">
        <f>IFERROR(__xludf.DUMMYFUNCTION("""COMPUTED_VALUE"""),"christina.rivers@2hourlearning.com")</f>
        <v>christina.rivers@2hourlearning.com</v>
      </c>
      <c r="L5119" s="6" t="str">
        <f>IFERROR(__xludf.DUMMYFUNCTION("""COMPUTED_VALUE"""),"JRES - Ridgeland Elementary School")</f>
        <v>JRES - Ridgeland Elementary School</v>
      </c>
      <c r="M5119" s="6" t="str">
        <f>IFERROR(__xludf.DUMMYFUNCTION("""COMPUTED_VALUE"""),"")</f>
        <v/>
      </c>
      <c r="N5119" s="6" t="str">
        <f>IFERROR(__xludf.DUMMYFUNCTION("""COMPUTED_VALUE"""),"")</f>
        <v/>
      </c>
      <c r="O5119" s="87" t="str">
        <f>IFERROR(__xludf.DUMMYFUNCTION("""COMPUTED_VALUE"""),"https://drive.google.com/drive/folders/10T2cTQHqEJZqE-st6uFKPoI?usp=share_link")</f>
        <v>https://drive.google.com/drive/folders/10T2cTQHqEJZqE-st6uFKPoI?usp=share_link</v>
      </c>
      <c r="P5119" s="6" t="str">
        <f>IFERROR(__xludf.DUMMYFUNCTION("""COMPUTED_VALUE"""),"Christina Rivers")</f>
        <v>Christina Rivers</v>
      </c>
      <c r="Q5119" s="6" t="str">
        <f>IFERROR(__xludf.DUMMYFUNCTION("""COMPUTED_VALUE"""),"L1")</f>
        <v>L1</v>
      </c>
      <c r="R5119" s="6">
        <f>IFERROR(__xludf.DUMMYFUNCTION("""COMPUTED_VALUE"""),1.0)</f>
        <v>1</v>
      </c>
      <c r="S5119" s="6" t="str">
        <f>IFERROR(__xludf.DUMMYFUNCTION("""COMPUTED_VALUE"""),"Kimberly Ball")</f>
        <v>Kimberly Ball</v>
      </c>
      <c r="T5119" s="6" t="str">
        <f>IFERROR(__xludf.DUMMYFUNCTION("""COMPUTED_VALUE"""),"kimberly.ball@studient.com")</f>
        <v>kimberly.ball@studient.com</v>
      </c>
      <c r="U5119" s="6" t="str">
        <f>IFERROR(__xludf.DUMMYFUNCTION("""COMPUTED_VALUE"""),"2")</f>
        <v>2</v>
      </c>
      <c r="V5119" s="6" t="str">
        <f>IFERROR(__xludf.DUMMYFUNCTION("""COMPUTED_VALUE"""),"")</f>
        <v/>
      </c>
      <c r="W5119" s="6" t="str">
        <f>IFERROR(__xludf.DUMMYFUNCTION("""COMPUTED_VALUE"""),"[]")</f>
        <v>[]</v>
      </c>
      <c r="X5119" s="6" t="str">
        <f>IFERROR(__xludf.DUMMYFUNCTION("""COMPUTED_VALUE"""),"Enrolled")</f>
        <v>Enrolled</v>
      </c>
    </row>
    <row r="5120">
      <c r="A5120" s="6" t="str">
        <f>IFERROR(__xludf.DUMMYFUNCTION("""COMPUTED_VALUE"""),"086-12511")</f>
        <v>086-12511</v>
      </c>
      <c r="B5120" s="6" t="str">
        <f>IFERROR(__xludf.DUMMYFUNCTION("""COMPUTED_VALUE"""),"86")</f>
        <v>86</v>
      </c>
      <c r="C5120" s="6" t="str">
        <f>IFERROR(__xludf.DUMMYFUNCTION("""COMPUTED_VALUE"""),"12511")</f>
        <v>12511</v>
      </c>
      <c r="D5120" s="6" t="str">
        <f>IFERROR(__xludf.DUMMYFUNCTION("""COMPUTED_VALUE"""),"Kairo")</f>
        <v>Kairo</v>
      </c>
      <c r="E5120" s="6" t="str">
        <f>IFERROR(__xludf.DUMMYFUNCTION("""COMPUTED_VALUE"""),"")</f>
        <v/>
      </c>
      <c r="F5120" s="6" t="str">
        <f>IFERROR(__xludf.DUMMYFUNCTION("""COMPUTED_VALUE"""),"Rivers")</f>
        <v>Rivers</v>
      </c>
      <c r="G5120" s="6" t="str">
        <f>IFERROR(__xludf.DUMMYFUNCTION("""COMPUTED_VALUE"""),"08/14/2015")</f>
        <v>08/14/2015</v>
      </c>
      <c r="H5120" s="6" t="str">
        <f>IFERROR(__xludf.DUMMYFUNCTION("""COMPUTED_VALUE"""),"female")</f>
        <v>female</v>
      </c>
      <c r="I5120" s="6" t="str">
        <f>IFERROR(__xludf.DUMMYFUNCTION("""COMPUTED_VALUE"""),"Level 1")</f>
        <v>Level 1</v>
      </c>
      <c r="J5120" s="6" t="str">
        <f>IFERROR(__xludf.DUMMYFUNCTION("""COMPUTED_VALUE"""),"2")</f>
        <v>2</v>
      </c>
      <c r="K5120" s="6" t="str">
        <f>IFERROR(__xludf.DUMMYFUNCTION("""COMPUTED_VALUE"""),"kairo.rivers@2hourlearning.com")</f>
        <v>kairo.rivers@2hourlearning.com</v>
      </c>
      <c r="L5120" s="6" t="str">
        <f>IFERROR(__xludf.DUMMYFUNCTION("""COMPUTED_VALUE"""),"JRES - Ridgeland Elementary School")</f>
        <v>JRES - Ridgeland Elementary School</v>
      </c>
      <c r="M5120" s="6" t="str">
        <f>IFERROR(__xludf.DUMMYFUNCTION("""COMPUTED_VALUE"""),"")</f>
        <v/>
      </c>
      <c r="N5120" s="6" t="str">
        <f>IFERROR(__xludf.DUMMYFUNCTION("""COMPUTED_VALUE"""),"")</f>
        <v/>
      </c>
      <c r="O5120" s="87" t="str">
        <f>IFERROR(__xludf.DUMMYFUNCTION("""COMPUTED_VALUE"""),"https://drive.google.com/drive/folders/10T2cTQHqEJZqE-st6uFKPoI?usp=share_link")</f>
        <v>https://drive.google.com/drive/folders/10T2cTQHqEJZqE-st6uFKPoI?usp=share_link</v>
      </c>
      <c r="P5120" s="6" t="str">
        <f>IFERROR(__xludf.DUMMYFUNCTION("""COMPUTED_VALUE"""),"Kairo Rivers")</f>
        <v>Kairo Rivers</v>
      </c>
      <c r="Q5120" s="6" t="str">
        <f>IFERROR(__xludf.DUMMYFUNCTION("""COMPUTED_VALUE"""),"L1")</f>
        <v>L1</v>
      </c>
      <c r="R5120" s="6">
        <f>IFERROR(__xludf.DUMMYFUNCTION("""COMPUTED_VALUE"""),1.0)</f>
        <v>1</v>
      </c>
      <c r="S5120" s="6" t="str">
        <f>IFERROR(__xludf.DUMMYFUNCTION("""COMPUTED_VALUE"""),"Kimberly Ball")</f>
        <v>Kimberly Ball</v>
      </c>
      <c r="T5120" s="6" t="str">
        <f>IFERROR(__xludf.DUMMYFUNCTION("""COMPUTED_VALUE"""),"kimberly.ball@studient.com")</f>
        <v>kimberly.ball@studient.com</v>
      </c>
      <c r="U5120" s="6" t="str">
        <f>IFERROR(__xludf.DUMMYFUNCTION("""COMPUTED_VALUE"""),"2")</f>
        <v>2</v>
      </c>
      <c r="V5120" s="6" t="str">
        <f>IFERROR(__xludf.DUMMYFUNCTION("""COMPUTED_VALUE"""),"")</f>
        <v/>
      </c>
      <c r="W5120" s="6" t="str">
        <f>IFERROR(__xludf.DUMMYFUNCTION("""COMPUTED_VALUE"""),"[]")</f>
        <v>[]</v>
      </c>
      <c r="X5120" s="6" t="str">
        <f>IFERROR(__xludf.DUMMYFUNCTION("""COMPUTED_VALUE"""),"Enrolled")</f>
        <v>Enrolled</v>
      </c>
    </row>
    <row r="5121">
      <c r="A5121" s="6" t="str">
        <f>IFERROR(__xludf.DUMMYFUNCTION("""COMPUTED_VALUE"""),"086-12512")</f>
        <v>086-12512</v>
      </c>
      <c r="B5121" s="6" t="str">
        <f>IFERROR(__xludf.DUMMYFUNCTION("""COMPUTED_VALUE"""),"86")</f>
        <v>86</v>
      </c>
      <c r="C5121" s="6" t="str">
        <f>IFERROR(__xludf.DUMMYFUNCTION("""COMPUTED_VALUE"""),"12512")</f>
        <v>12512</v>
      </c>
      <c r="D5121" s="6" t="str">
        <f>IFERROR(__xludf.DUMMYFUNCTION("""COMPUTED_VALUE"""),"Aaliyah")</f>
        <v>Aaliyah</v>
      </c>
      <c r="E5121" s="6" t="str">
        <f>IFERROR(__xludf.DUMMYFUNCTION("""COMPUTED_VALUE"""),"")</f>
        <v/>
      </c>
      <c r="F5121" s="6" t="str">
        <f>IFERROR(__xludf.DUMMYFUNCTION("""COMPUTED_VALUE"""),"Roberson")</f>
        <v>Roberson</v>
      </c>
      <c r="G5121" s="6" t="str">
        <f>IFERROR(__xludf.DUMMYFUNCTION("""COMPUTED_VALUE"""),"07/15/2015")</f>
        <v>07/15/2015</v>
      </c>
      <c r="H5121" s="6" t="str">
        <f>IFERROR(__xludf.DUMMYFUNCTION("""COMPUTED_VALUE"""),"male")</f>
        <v>male</v>
      </c>
      <c r="I5121" s="6" t="str">
        <f>IFERROR(__xludf.DUMMYFUNCTION("""COMPUTED_VALUE"""),"Level 1")</f>
        <v>Level 1</v>
      </c>
      <c r="J5121" s="6" t="str">
        <f>IFERROR(__xludf.DUMMYFUNCTION("""COMPUTED_VALUE"""),"2")</f>
        <v>2</v>
      </c>
      <c r="K5121" s="6" t="str">
        <f>IFERROR(__xludf.DUMMYFUNCTION("""COMPUTED_VALUE"""),"aaliyah.roberson@2hourlearning.com")</f>
        <v>aaliyah.roberson@2hourlearning.com</v>
      </c>
      <c r="L5121" s="6" t="str">
        <f>IFERROR(__xludf.DUMMYFUNCTION("""COMPUTED_VALUE"""),"JRES - Ridgeland Elementary School")</f>
        <v>JRES - Ridgeland Elementary School</v>
      </c>
      <c r="M5121" s="6" t="str">
        <f>IFERROR(__xludf.DUMMYFUNCTION("""COMPUTED_VALUE"""),"")</f>
        <v/>
      </c>
      <c r="N5121" s="6" t="str">
        <f>IFERROR(__xludf.DUMMYFUNCTION("""COMPUTED_VALUE"""),"")</f>
        <v/>
      </c>
      <c r="O5121" s="87" t="str">
        <f>IFERROR(__xludf.DUMMYFUNCTION("""COMPUTED_VALUE"""),"https://drive.google.com/drive/folders/10T2cTQHqEJZqE-st6uFKPoI?usp=share_link")</f>
        <v>https://drive.google.com/drive/folders/10T2cTQHqEJZqE-st6uFKPoI?usp=share_link</v>
      </c>
      <c r="P5121" s="6" t="str">
        <f>IFERROR(__xludf.DUMMYFUNCTION("""COMPUTED_VALUE"""),"Aaliyah Roberson")</f>
        <v>Aaliyah Roberson</v>
      </c>
      <c r="Q5121" s="6" t="str">
        <f>IFERROR(__xludf.DUMMYFUNCTION("""COMPUTED_VALUE"""),"L1")</f>
        <v>L1</v>
      </c>
      <c r="R5121" s="6">
        <f>IFERROR(__xludf.DUMMYFUNCTION("""COMPUTED_VALUE"""),1.0)</f>
        <v>1</v>
      </c>
      <c r="S5121" s="6" t="str">
        <f>IFERROR(__xludf.DUMMYFUNCTION("""COMPUTED_VALUE"""),"Kimberly Ball")</f>
        <v>Kimberly Ball</v>
      </c>
      <c r="T5121" s="6" t="str">
        <f>IFERROR(__xludf.DUMMYFUNCTION("""COMPUTED_VALUE"""),"kimberly.ball@studient.com")</f>
        <v>kimberly.ball@studient.com</v>
      </c>
      <c r="U5121" s="6" t="str">
        <f>IFERROR(__xludf.DUMMYFUNCTION("""COMPUTED_VALUE"""),"2")</f>
        <v>2</v>
      </c>
      <c r="V5121" s="6" t="str">
        <f>IFERROR(__xludf.DUMMYFUNCTION("""COMPUTED_VALUE"""),"")</f>
        <v/>
      </c>
      <c r="W5121" s="6" t="str">
        <f>IFERROR(__xludf.DUMMYFUNCTION("""COMPUTED_VALUE"""),"[]")</f>
        <v>[]</v>
      </c>
      <c r="X5121" s="6" t="str">
        <f>IFERROR(__xludf.DUMMYFUNCTION("""COMPUTED_VALUE"""),"Enrolled")</f>
        <v>Enrolled</v>
      </c>
    </row>
    <row r="5122">
      <c r="A5122" s="6" t="str">
        <f>IFERROR(__xludf.DUMMYFUNCTION("""COMPUTED_VALUE"""),"086-12513")</f>
        <v>086-12513</v>
      </c>
      <c r="B5122" s="6" t="str">
        <f>IFERROR(__xludf.DUMMYFUNCTION("""COMPUTED_VALUE"""),"86")</f>
        <v>86</v>
      </c>
      <c r="C5122" s="6" t="str">
        <f>IFERROR(__xludf.DUMMYFUNCTION("""COMPUTED_VALUE"""),"12513")</f>
        <v>12513</v>
      </c>
      <c r="D5122" s="6" t="str">
        <f>IFERROR(__xludf.DUMMYFUNCTION("""COMPUTED_VALUE"""),"Karliyah")</f>
        <v>Karliyah</v>
      </c>
      <c r="E5122" s="6" t="str">
        <f>IFERROR(__xludf.DUMMYFUNCTION("""COMPUTED_VALUE"""),"")</f>
        <v/>
      </c>
      <c r="F5122" s="6" t="str">
        <f>IFERROR(__xludf.DUMMYFUNCTION("""COMPUTED_VALUE"""),"Robinson")</f>
        <v>Robinson</v>
      </c>
      <c r="G5122" s="6" t="str">
        <f>IFERROR(__xludf.DUMMYFUNCTION("""COMPUTED_VALUE"""),"09/11/2017")</f>
        <v>09/11/2017</v>
      </c>
      <c r="H5122" s="6" t="str">
        <f>IFERROR(__xludf.DUMMYFUNCTION("""COMPUTED_VALUE"""),"male")</f>
        <v>male</v>
      </c>
      <c r="I5122" s="6" t="str">
        <f>IFERROR(__xludf.DUMMYFUNCTION("""COMPUTED_VALUE"""),"Level 1")</f>
        <v>Level 1</v>
      </c>
      <c r="J5122" s="6" t="str">
        <f>IFERROR(__xludf.DUMMYFUNCTION("""COMPUTED_VALUE"""),"2")</f>
        <v>2</v>
      </c>
      <c r="K5122" s="6" t="str">
        <f>IFERROR(__xludf.DUMMYFUNCTION("""COMPUTED_VALUE"""),"karliyah.robinson@2hourlearning.com")</f>
        <v>karliyah.robinson@2hourlearning.com</v>
      </c>
      <c r="L5122" s="6" t="str">
        <f>IFERROR(__xludf.DUMMYFUNCTION("""COMPUTED_VALUE"""),"JRES - Ridgeland Elementary School")</f>
        <v>JRES - Ridgeland Elementary School</v>
      </c>
      <c r="M5122" s="6" t="str">
        <f>IFERROR(__xludf.DUMMYFUNCTION("""COMPUTED_VALUE"""),"")</f>
        <v/>
      </c>
      <c r="N5122" s="6" t="str">
        <f>IFERROR(__xludf.DUMMYFUNCTION("""COMPUTED_VALUE"""),"")</f>
        <v/>
      </c>
      <c r="O5122" s="87" t="str">
        <f>IFERROR(__xludf.DUMMYFUNCTION("""COMPUTED_VALUE"""),"https://drive.google.com/drive/folders/10T2cTQHqEJZqE-st6uFKPoI?usp=share_link")</f>
        <v>https://drive.google.com/drive/folders/10T2cTQHqEJZqE-st6uFKPoI?usp=share_link</v>
      </c>
      <c r="P5122" s="6" t="str">
        <f>IFERROR(__xludf.DUMMYFUNCTION("""COMPUTED_VALUE"""),"Karliyah Robinson")</f>
        <v>Karliyah Robinson</v>
      </c>
      <c r="Q5122" s="6" t="str">
        <f>IFERROR(__xludf.DUMMYFUNCTION("""COMPUTED_VALUE"""),"L1")</f>
        <v>L1</v>
      </c>
      <c r="R5122" s="6">
        <f>IFERROR(__xludf.DUMMYFUNCTION("""COMPUTED_VALUE"""),1.0)</f>
        <v>1</v>
      </c>
      <c r="S5122" s="6" t="str">
        <f>IFERROR(__xludf.DUMMYFUNCTION("""COMPUTED_VALUE"""),"Kimberly Ball")</f>
        <v>Kimberly Ball</v>
      </c>
      <c r="T5122" s="6" t="str">
        <f>IFERROR(__xludf.DUMMYFUNCTION("""COMPUTED_VALUE"""),"kimberly.ball@studient.com")</f>
        <v>kimberly.ball@studient.com</v>
      </c>
      <c r="U5122" s="6" t="str">
        <f>IFERROR(__xludf.DUMMYFUNCTION("""COMPUTED_VALUE"""),"2")</f>
        <v>2</v>
      </c>
      <c r="V5122" s="6" t="str">
        <f>IFERROR(__xludf.DUMMYFUNCTION("""COMPUTED_VALUE"""),"")</f>
        <v/>
      </c>
      <c r="W5122" s="6" t="str">
        <f>IFERROR(__xludf.DUMMYFUNCTION("""COMPUTED_VALUE"""),"[]")</f>
        <v>[]</v>
      </c>
      <c r="X5122" s="6" t="str">
        <f>IFERROR(__xludf.DUMMYFUNCTION("""COMPUTED_VALUE"""),"Enrolled")</f>
        <v>Enrolled</v>
      </c>
    </row>
    <row r="5123">
      <c r="A5123" s="6" t="str">
        <f>IFERROR(__xludf.DUMMYFUNCTION("""COMPUTED_VALUE"""),"086-12514")</f>
        <v>086-12514</v>
      </c>
      <c r="B5123" s="6" t="str">
        <f>IFERROR(__xludf.DUMMYFUNCTION("""COMPUTED_VALUE"""),"86")</f>
        <v>86</v>
      </c>
      <c r="C5123" s="6" t="str">
        <f>IFERROR(__xludf.DUMMYFUNCTION("""COMPUTED_VALUE"""),"12514")</f>
        <v>12514</v>
      </c>
      <c r="D5123" s="6" t="str">
        <f>IFERROR(__xludf.DUMMYFUNCTION("""COMPUTED_VALUE"""),"Elisandro")</f>
        <v>Elisandro</v>
      </c>
      <c r="E5123" s="6" t="str">
        <f>IFERROR(__xludf.DUMMYFUNCTION("""COMPUTED_VALUE"""),"")</f>
        <v/>
      </c>
      <c r="F5123" s="6" t="str">
        <f>IFERROR(__xludf.DUMMYFUNCTION("""COMPUTED_VALUE"""),"Roblero Verdugo")</f>
        <v>Roblero Verdugo</v>
      </c>
      <c r="G5123" s="6" t="str">
        <f>IFERROR(__xludf.DUMMYFUNCTION("""COMPUTED_VALUE"""),"03/10/2016")</f>
        <v>03/10/2016</v>
      </c>
      <c r="H5123" s="6" t="str">
        <f>IFERROR(__xludf.DUMMYFUNCTION("""COMPUTED_VALUE"""),"male")</f>
        <v>male</v>
      </c>
      <c r="I5123" s="6" t="str">
        <f>IFERROR(__xludf.DUMMYFUNCTION("""COMPUTED_VALUE"""),"Level 1")</f>
        <v>Level 1</v>
      </c>
      <c r="J5123" s="6" t="str">
        <f>IFERROR(__xludf.DUMMYFUNCTION("""COMPUTED_VALUE"""),"2")</f>
        <v>2</v>
      </c>
      <c r="K5123" s="6" t="str">
        <f>IFERROR(__xludf.DUMMYFUNCTION("""COMPUTED_VALUE"""),"elisandro.robleroverdugo@2hourlearning.com")</f>
        <v>elisandro.robleroverdugo@2hourlearning.com</v>
      </c>
      <c r="L5123" s="6" t="str">
        <f>IFERROR(__xludf.DUMMYFUNCTION("""COMPUTED_VALUE"""),"JRES - Ridgeland Elementary School")</f>
        <v>JRES - Ridgeland Elementary School</v>
      </c>
      <c r="M5123" s="6" t="str">
        <f>IFERROR(__xludf.DUMMYFUNCTION("""COMPUTED_VALUE"""),"")</f>
        <v/>
      </c>
      <c r="N5123" s="6" t="str">
        <f>IFERROR(__xludf.DUMMYFUNCTION("""COMPUTED_VALUE"""),"")</f>
        <v/>
      </c>
      <c r="O5123" s="87" t="str">
        <f>IFERROR(__xludf.DUMMYFUNCTION("""COMPUTED_VALUE"""),"https://drive.google.com/drive/folders/10T2cTQHqEJZqE-st6uFKPoI?usp=share_link")</f>
        <v>https://drive.google.com/drive/folders/10T2cTQHqEJZqE-st6uFKPoI?usp=share_link</v>
      </c>
      <c r="P5123" s="6" t="str">
        <f>IFERROR(__xludf.DUMMYFUNCTION("""COMPUTED_VALUE"""),"Elisandro Roblero Verdugo")</f>
        <v>Elisandro Roblero Verdugo</v>
      </c>
      <c r="Q5123" s="6" t="str">
        <f>IFERROR(__xludf.DUMMYFUNCTION("""COMPUTED_VALUE"""),"L1")</f>
        <v>L1</v>
      </c>
      <c r="R5123" s="6">
        <f>IFERROR(__xludf.DUMMYFUNCTION("""COMPUTED_VALUE"""),1.0)</f>
        <v>1</v>
      </c>
      <c r="S5123" s="6" t="str">
        <f>IFERROR(__xludf.DUMMYFUNCTION("""COMPUTED_VALUE"""),"Kimberly Ball")</f>
        <v>Kimberly Ball</v>
      </c>
      <c r="T5123" s="6" t="str">
        <f>IFERROR(__xludf.DUMMYFUNCTION("""COMPUTED_VALUE"""),"kimberly.ball@studient.com")</f>
        <v>kimberly.ball@studient.com</v>
      </c>
      <c r="U5123" s="6" t="str">
        <f>IFERROR(__xludf.DUMMYFUNCTION("""COMPUTED_VALUE"""),"2")</f>
        <v>2</v>
      </c>
      <c r="V5123" s="6" t="str">
        <f>IFERROR(__xludf.DUMMYFUNCTION("""COMPUTED_VALUE"""),"")</f>
        <v/>
      </c>
      <c r="W5123" s="6" t="str">
        <f>IFERROR(__xludf.DUMMYFUNCTION("""COMPUTED_VALUE"""),"[]")</f>
        <v>[]</v>
      </c>
      <c r="X5123" s="6" t="str">
        <f>IFERROR(__xludf.DUMMYFUNCTION("""COMPUTED_VALUE"""),"Enrolled")</f>
        <v>Enrolled</v>
      </c>
    </row>
    <row r="5124">
      <c r="A5124" s="6" t="str">
        <f>IFERROR(__xludf.DUMMYFUNCTION("""COMPUTED_VALUE"""),"086-12515")</f>
        <v>086-12515</v>
      </c>
      <c r="B5124" s="6" t="str">
        <f>IFERROR(__xludf.DUMMYFUNCTION("""COMPUTED_VALUE"""),"86")</f>
        <v>86</v>
      </c>
      <c r="C5124" s="6" t="str">
        <f>IFERROR(__xludf.DUMMYFUNCTION("""COMPUTED_VALUE"""),"12515")</f>
        <v>12515</v>
      </c>
      <c r="D5124" s="6" t="str">
        <f>IFERROR(__xludf.DUMMYFUNCTION("""COMPUTED_VALUE"""),"Alondra")</f>
        <v>Alondra</v>
      </c>
      <c r="E5124" s="6" t="str">
        <f>IFERROR(__xludf.DUMMYFUNCTION("""COMPUTED_VALUE"""),"")</f>
        <v/>
      </c>
      <c r="F5124" s="6" t="str">
        <f>IFERROR(__xludf.DUMMYFUNCTION("""COMPUTED_VALUE"""),"Rodriguez Velez")</f>
        <v>Rodriguez Velez</v>
      </c>
      <c r="G5124" s="6" t="str">
        <f>IFERROR(__xludf.DUMMYFUNCTION("""COMPUTED_VALUE"""),"07/03/2017")</f>
        <v>07/03/2017</v>
      </c>
      <c r="H5124" s="6" t="str">
        <f>IFERROR(__xludf.DUMMYFUNCTION("""COMPUTED_VALUE"""),"male")</f>
        <v>male</v>
      </c>
      <c r="I5124" s="6" t="str">
        <f>IFERROR(__xludf.DUMMYFUNCTION("""COMPUTED_VALUE"""),"Level 1")</f>
        <v>Level 1</v>
      </c>
      <c r="J5124" s="6" t="str">
        <f>IFERROR(__xludf.DUMMYFUNCTION("""COMPUTED_VALUE"""),"2")</f>
        <v>2</v>
      </c>
      <c r="K5124" s="6" t="str">
        <f>IFERROR(__xludf.DUMMYFUNCTION("""COMPUTED_VALUE"""),"alondra.rodriguezvelez@2hourlearning.com")</f>
        <v>alondra.rodriguezvelez@2hourlearning.com</v>
      </c>
      <c r="L5124" s="6" t="str">
        <f>IFERROR(__xludf.DUMMYFUNCTION("""COMPUTED_VALUE"""),"JRES - Ridgeland Elementary School")</f>
        <v>JRES - Ridgeland Elementary School</v>
      </c>
      <c r="M5124" s="6" t="str">
        <f>IFERROR(__xludf.DUMMYFUNCTION("""COMPUTED_VALUE"""),"")</f>
        <v/>
      </c>
      <c r="N5124" s="6" t="str">
        <f>IFERROR(__xludf.DUMMYFUNCTION("""COMPUTED_VALUE"""),"")</f>
        <v/>
      </c>
      <c r="O5124" s="87" t="str">
        <f>IFERROR(__xludf.DUMMYFUNCTION("""COMPUTED_VALUE"""),"https://drive.google.com/drive/folders/10T2cTQHqEJZqE-st6uFKPoI?usp=share_link")</f>
        <v>https://drive.google.com/drive/folders/10T2cTQHqEJZqE-st6uFKPoI?usp=share_link</v>
      </c>
      <c r="P5124" s="6" t="str">
        <f>IFERROR(__xludf.DUMMYFUNCTION("""COMPUTED_VALUE"""),"Alondra Rodriguez Velez")</f>
        <v>Alondra Rodriguez Velez</v>
      </c>
      <c r="Q5124" s="6" t="str">
        <f>IFERROR(__xludf.DUMMYFUNCTION("""COMPUTED_VALUE"""),"L1")</f>
        <v>L1</v>
      </c>
      <c r="R5124" s="6">
        <f>IFERROR(__xludf.DUMMYFUNCTION("""COMPUTED_VALUE"""),1.0)</f>
        <v>1</v>
      </c>
      <c r="S5124" s="6" t="str">
        <f>IFERROR(__xludf.DUMMYFUNCTION("""COMPUTED_VALUE"""),"Kimberly Ball")</f>
        <v>Kimberly Ball</v>
      </c>
      <c r="T5124" s="6" t="str">
        <f>IFERROR(__xludf.DUMMYFUNCTION("""COMPUTED_VALUE"""),"kimberly.ball@studient.com")</f>
        <v>kimberly.ball@studient.com</v>
      </c>
      <c r="U5124" s="6" t="str">
        <f>IFERROR(__xludf.DUMMYFUNCTION("""COMPUTED_VALUE"""),"2")</f>
        <v>2</v>
      </c>
      <c r="V5124" s="6" t="str">
        <f>IFERROR(__xludf.DUMMYFUNCTION("""COMPUTED_VALUE"""),"")</f>
        <v/>
      </c>
      <c r="W5124" s="6" t="str">
        <f>IFERROR(__xludf.DUMMYFUNCTION("""COMPUTED_VALUE"""),"[]")</f>
        <v>[]</v>
      </c>
      <c r="X5124" s="6" t="str">
        <f>IFERROR(__xludf.DUMMYFUNCTION("""COMPUTED_VALUE"""),"Enrolled")</f>
        <v>Enrolled</v>
      </c>
    </row>
    <row r="5125">
      <c r="A5125" s="6" t="str">
        <f>IFERROR(__xludf.DUMMYFUNCTION("""COMPUTED_VALUE"""),"086-12516")</f>
        <v>086-12516</v>
      </c>
      <c r="B5125" s="6" t="str">
        <f>IFERROR(__xludf.DUMMYFUNCTION("""COMPUTED_VALUE"""),"86")</f>
        <v>86</v>
      </c>
      <c r="C5125" s="6" t="str">
        <f>IFERROR(__xludf.DUMMYFUNCTION("""COMPUTED_VALUE"""),"12516")</f>
        <v>12516</v>
      </c>
      <c r="D5125" s="6" t="str">
        <f>IFERROR(__xludf.DUMMYFUNCTION("""COMPUTED_VALUE"""),"Felanthder")</f>
        <v>Felanthder</v>
      </c>
      <c r="E5125" s="6" t="str">
        <f>IFERROR(__xludf.DUMMYFUNCTION("""COMPUTED_VALUE"""),"")</f>
        <v/>
      </c>
      <c r="F5125" s="6" t="str">
        <f>IFERROR(__xludf.DUMMYFUNCTION("""COMPUTED_VALUE"""),"Sanchez Soriano")</f>
        <v>Sanchez Soriano</v>
      </c>
      <c r="G5125" s="6" t="str">
        <f>IFERROR(__xludf.DUMMYFUNCTION("""COMPUTED_VALUE"""),"10/12/2015")</f>
        <v>10/12/2015</v>
      </c>
      <c r="H5125" s="6" t="str">
        <f>IFERROR(__xludf.DUMMYFUNCTION("""COMPUTED_VALUE"""),"male")</f>
        <v>male</v>
      </c>
      <c r="I5125" s="6" t="str">
        <f>IFERROR(__xludf.DUMMYFUNCTION("""COMPUTED_VALUE"""),"Level 1")</f>
        <v>Level 1</v>
      </c>
      <c r="J5125" s="6" t="str">
        <f>IFERROR(__xludf.DUMMYFUNCTION("""COMPUTED_VALUE"""),"2")</f>
        <v>2</v>
      </c>
      <c r="K5125" s="6" t="str">
        <f>IFERROR(__xludf.DUMMYFUNCTION("""COMPUTED_VALUE"""),"felanthder.sanchezsoriano@2hourlearning.com")</f>
        <v>felanthder.sanchezsoriano@2hourlearning.com</v>
      </c>
      <c r="L5125" s="6" t="str">
        <f>IFERROR(__xludf.DUMMYFUNCTION("""COMPUTED_VALUE"""),"JRES - Ridgeland Elementary School")</f>
        <v>JRES - Ridgeland Elementary School</v>
      </c>
      <c r="M5125" s="6" t="str">
        <f>IFERROR(__xludf.DUMMYFUNCTION("""COMPUTED_VALUE"""),"")</f>
        <v/>
      </c>
      <c r="N5125" s="6" t="str">
        <f>IFERROR(__xludf.DUMMYFUNCTION("""COMPUTED_VALUE"""),"")</f>
        <v/>
      </c>
      <c r="O5125" s="87" t="str">
        <f>IFERROR(__xludf.DUMMYFUNCTION("""COMPUTED_VALUE"""),"https://drive.google.com/drive/folders/10T2cTQHqEJZqE-st6uFKPoI?usp=share_link")</f>
        <v>https://drive.google.com/drive/folders/10T2cTQHqEJZqE-st6uFKPoI?usp=share_link</v>
      </c>
      <c r="P5125" s="6" t="str">
        <f>IFERROR(__xludf.DUMMYFUNCTION("""COMPUTED_VALUE"""),"Felanthder Sanchez Soriano")</f>
        <v>Felanthder Sanchez Soriano</v>
      </c>
      <c r="Q5125" s="6" t="str">
        <f>IFERROR(__xludf.DUMMYFUNCTION("""COMPUTED_VALUE"""),"L1")</f>
        <v>L1</v>
      </c>
      <c r="R5125" s="6">
        <f>IFERROR(__xludf.DUMMYFUNCTION("""COMPUTED_VALUE"""),1.0)</f>
        <v>1</v>
      </c>
      <c r="S5125" s="6" t="str">
        <f>IFERROR(__xludf.DUMMYFUNCTION("""COMPUTED_VALUE"""),"Kimberly Ball")</f>
        <v>Kimberly Ball</v>
      </c>
      <c r="T5125" s="6" t="str">
        <f>IFERROR(__xludf.DUMMYFUNCTION("""COMPUTED_VALUE"""),"kimberly.ball@studient.com")</f>
        <v>kimberly.ball@studient.com</v>
      </c>
      <c r="U5125" s="6" t="str">
        <f>IFERROR(__xludf.DUMMYFUNCTION("""COMPUTED_VALUE"""),"2")</f>
        <v>2</v>
      </c>
      <c r="V5125" s="6" t="str">
        <f>IFERROR(__xludf.DUMMYFUNCTION("""COMPUTED_VALUE"""),"")</f>
        <v/>
      </c>
      <c r="W5125" s="6" t="str">
        <f>IFERROR(__xludf.DUMMYFUNCTION("""COMPUTED_VALUE"""),"[]")</f>
        <v>[]</v>
      </c>
      <c r="X5125" s="6" t="str">
        <f>IFERROR(__xludf.DUMMYFUNCTION("""COMPUTED_VALUE"""),"Enrolled")</f>
        <v>Enrolled</v>
      </c>
    </row>
    <row r="5126">
      <c r="A5126" s="6" t="str">
        <f>IFERROR(__xludf.DUMMYFUNCTION("""COMPUTED_VALUE"""),"086-12517")</f>
        <v>086-12517</v>
      </c>
      <c r="B5126" s="6" t="str">
        <f>IFERROR(__xludf.DUMMYFUNCTION("""COMPUTED_VALUE"""),"86")</f>
        <v>86</v>
      </c>
      <c r="C5126" s="6" t="str">
        <f>IFERROR(__xludf.DUMMYFUNCTION("""COMPUTED_VALUE"""),"12517")</f>
        <v>12517</v>
      </c>
      <c r="D5126" s="6" t="str">
        <f>IFERROR(__xludf.DUMMYFUNCTION("""COMPUTED_VALUE"""),"Latoya")</f>
        <v>Latoya</v>
      </c>
      <c r="E5126" s="6" t="str">
        <f>IFERROR(__xludf.DUMMYFUNCTION("""COMPUTED_VALUE"""),"")</f>
        <v/>
      </c>
      <c r="F5126" s="6" t="str">
        <f>IFERROR(__xludf.DUMMYFUNCTION("""COMPUTED_VALUE"""),"Simmons")</f>
        <v>Simmons</v>
      </c>
      <c r="G5126" s="6" t="str">
        <f>IFERROR(__xludf.DUMMYFUNCTION("""COMPUTED_VALUE"""),"05/13/2018")</f>
        <v>05/13/2018</v>
      </c>
      <c r="H5126" s="6" t="str">
        <f>IFERROR(__xludf.DUMMYFUNCTION("""COMPUTED_VALUE"""),"female")</f>
        <v>female</v>
      </c>
      <c r="I5126" s="6" t="str">
        <f>IFERROR(__xludf.DUMMYFUNCTION("""COMPUTED_VALUE"""),"Level 1")</f>
        <v>Level 1</v>
      </c>
      <c r="J5126" s="6" t="str">
        <f>IFERROR(__xludf.DUMMYFUNCTION("""COMPUTED_VALUE"""),"2")</f>
        <v>2</v>
      </c>
      <c r="K5126" s="6" t="str">
        <f>IFERROR(__xludf.DUMMYFUNCTION("""COMPUTED_VALUE"""),"latoya.simmons@2hourlearning.com")</f>
        <v>latoya.simmons@2hourlearning.com</v>
      </c>
      <c r="L5126" s="6" t="str">
        <f>IFERROR(__xludf.DUMMYFUNCTION("""COMPUTED_VALUE"""),"JRES - Ridgeland Elementary School")</f>
        <v>JRES - Ridgeland Elementary School</v>
      </c>
      <c r="M5126" s="6" t="str">
        <f>IFERROR(__xludf.DUMMYFUNCTION("""COMPUTED_VALUE"""),"")</f>
        <v/>
      </c>
      <c r="N5126" s="6" t="str">
        <f>IFERROR(__xludf.DUMMYFUNCTION("""COMPUTED_VALUE"""),"")</f>
        <v/>
      </c>
      <c r="O5126" s="87" t="str">
        <f>IFERROR(__xludf.DUMMYFUNCTION("""COMPUTED_VALUE"""),"https://drive.google.com/drive/folders/10T2cTQHqEJZqE-st6uFKPoI?usp=share_link")</f>
        <v>https://drive.google.com/drive/folders/10T2cTQHqEJZqE-st6uFKPoI?usp=share_link</v>
      </c>
      <c r="P5126" s="6" t="str">
        <f>IFERROR(__xludf.DUMMYFUNCTION("""COMPUTED_VALUE"""),"Latoya Simmons")</f>
        <v>Latoya Simmons</v>
      </c>
      <c r="Q5126" s="6" t="str">
        <f>IFERROR(__xludf.DUMMYFUNCTION("""COMPUTED_VALUE"""),"L1")</f>
        <v>L1</v>
      </c>
      <c r="R5126" s="6">
        <f>IFERROR(__xludf.DUMMYFUNCTION("""COMPUTED_VALUE"""),1.0)</f>
        <v>1</v>
      </c>
      <c r="S5126" s="6" t="str">
        <f>IFERROR(__xludf.DUMMYFUNCTION("""COMPUTED_VALUE"""),"Kimberly Ball")</f>
        <v>Kimberly Ball</v>
      </c>
      <c r="T5126" s="6" t="str">
        <f>IFERROR(__xludf.DUMMYFUNCTION("""COMPUTED_VALUE"""),"kimberly.ball@studient.com")</f>
        <v>kimberly.ball@studient.com</v>
      </c>
      <c r="U5126" s="6" t="str">
        <f>IFERROR(__xludf.DUMMYFUNCTION("""COMPUTED_VALUE"""),"2")</f>
        <v>2</v>
      </c>
      <c r="V5126" s="6" t="str">
        <f>IFERROR(__xludf.DUMMYFUNCTION("""COMPUTED_VALUE"""),"")</f>
        <v/>
      </c>
      <c r="W5126" s="6" t="str">
        <f>IFERROR(__xludf.DUMMYFUNCTION("""COMPUTED_VALUE"""),"[]")</f>
        <v>[]</v>
      </c>
      <c r="X5126" s="6" t="str">
        <f>IFERROR(__xludf.DUMMYFUNCTION("""COMPUTED_VALUE"""),"Enrolled")</f>
        <v>Enrolled</v>
      </c>
    </row>
    <row r="5127">
      <c r="A5127" s="6" t="str">
        <f>IFERROR(__xludf.DUMMYFUNCTION("""COMPUTED_VALUE"""),"086-12518")</f>
        <v>086-12518</v>
      </c>
      <c r="B5127" s="6" t="str">
        <f>IFERROR(__xludf.DUMMYFUNCTION("""COMPUTED_VALUE"""),"86")</f>
        <v>86</v>
      </c>
      <c r="C5127" s="6" t="str">
        <f>IFERROR(__xludf.DUMMYFUNCTION("""COMPUTED_VALUE"""),"12518")</f>
        <v>12518</v>
      </c>
      <c r="D5127" s="6" t="str">
        <f>IFERROR(__xludf.DUMMYFUNCTION("""COMPUTED_VALUE"""),"Landon")</f>
        <v>Landon</v>
      </c>
      <c r="E5127" s="6" t="str">
        <f>IFERROR(__xludf.DUMMYFUNCTION("""COMPUTED_VALUE"""),"")</f>
        <v/>
      </c>
      <c r="F5127" s="6" t="str">
        <f>IFERROR(__xludf.DUMMYFUNCTION("""COMPUTED_VALUE"""),"Singleton")</f>
        <v>Singleton</v>
      </c>
      <c r="G5127" s="6" t="str">
        <f>IFERROR(__xludf.DUMMYFUNCTION("""COMPUTED_VALUE"""),"11/17/2014")</f>
        <v>11/17/2014</v>
      </c>
      <c r="H5127" s="6" t="str">
        <f>IFERROR(__xludf.DUMMYFUNCTION("""COMPUTED_VALUE"""),"female")</f>
        <v>female</v>
      </c>
      <c r="I5127" s="6" t="str">
        <f>IFERROR(__xludf.DUMMYFUNCTION("""COMPUTED_VALUE"""),"Level 1")</f>
        <v>Level 1</v>
      </c>
      <c r="J5127" s="6" t="str">
        <f>IFERROR(__xludf.DUMMYFUNCTION("""COMPUTED_VALUE"""),"2")</f>
        <v>2</v>
      </c>
      <c r="K5127" s="6" t="str">
        <f>IFERROR(__xludf.DUMMYFUNCTION("""COMPUTED_VALUE"""),"landon.singleton@2hourlearning.com")</f>
        <v>landon.singleton@2hourlearning.com</v>
      </c>
      <c r="L5127" s="6" t="str">
        <f>IFERROR(__xludf.DUMMYFUNCTION("""COMPUTED_VALUE"""),"JRES - Ridgeland Elementary School")</f>
        <v>JRES - Ridgeland Elementary School</v>
      </c>
      <c r="M5127" s="6" t="str">
        <f>IFERROR(__xludf.DUMMYFUNCTION("""COMPUTED_VALUE"""),"")</f>
        <v/>
      </c>
      <c r="N5127" s="6" t="str">
        <f>IFERROR(__xludf.DUMMYFUNCTION("""COMPUTED_VALUE"""),"")</f>
        <v/>
      </c>
      <c r="O5127" s="87" t="str">
        <f>IFERROR(__xludf.DUMMYFUNCTION("""COMPUTED_VALUE"""),"https://drive.google.com/drive/folders/10T2cTQHqEJZqE-st6uFKPoI?usp=share_link")</f>
        <v>https://drive.google.com/drive/folders/10T2cTQHqEJZqE-st6uFKPoI?usp=share_link</v>
      </c>
      <c r="P5127" s="6" t="str">
        <f>IFERROR(__xludf.DUMMYFUNCTION("""COMPUTED_VALUE"""),"Landon Singleton")</f>
        <v>Landon Singleton</v>
      </c>
      <c r="Q5127" s="6" t="str">
        <f>IFERROR(__xludf.DUMMYFUNCTION("""COMPUTED_VALUE"""),"L1")</f>
        <v>L1</v>
      </c>
      <c r="R5127" s="6">
        <f>IFERROR(__xludf.DUMMYFUNCTION("""COMPUTED_VALUE"""),1.0)</f>
        <v>1</v>
      </c>
      <c r="S5127" s="6" t="str">
        <f>IFERROR(__xludf.DUMMYFUNCTION("""COMPUTED_VALUE"""),"Kimberly Ball")</f>
        <v>Kimberly Ball</v>
      </c>
      <c r="T5127" s="6" t="str">
        <f>IFERROR(__xludf.DUMMYFUNCTION("""COMPUTED_VALUE"""),"kimberly.ball@studient.com")</f>
        <v>kimberly.ball@studient.com</v>
      </c>
      <c r="U5127" s="6" t="str">
        <f>IFERROR(__xludf.DUMMYFUNCTION("""COMPUTED_VALUE"""),"2")</f>
        <v>2</v>
      </c>
      <c r="V5127" s="6" t="str">
        <f>IFERROR(__xludf.DUMMYFUNCTION("""COMPUTED_VALUE"""),"")</f>
        <v/>
      </c>
      <c r="W5127" s="6" t="str">
        <f>IFERROR(__xludf.DUMMYFUNCTION("""COMPUTED_VALUE"""),"[]")</f>
        <v>[]</v>
      </c>
      <c r="X5127" s="6" t="str">
        <f>IFERROR(__xludf.DUMMYFUNCTION("""COMPUTED_VALUE"""),"Enrolled")</f>
        <v>Enrolled</v>
      </c>
    </row>
    <row r="5128">
      <c r="A5128" s="6" t="str">
        <f>IFERROR(__xludf.DUMMYFUNCTION("""COMPUTED_VALUE"""),"086-12519")</f>
        <v>086-12519</v>
      </c>
      <c r="B5128" s="6" t="str">
        <f>IFERROR(__xludf.DUMMYFUNCTION("""COMPUTED_VALUE"""),"86")</f>
        <v>86</v>
      </c>
      <c r="C5128" s="6" t="str">
        <f>IFERROR(__xludf.DUMMYFUNCTION("""COMPUTED_VALUE"""),"12519")</f>
        <v>12519</v>
      </c>
      <c r="D5128" s="6" t="str">
        <f>IFERROR(__xludf.DUMMYFUNCTION("""COMPUTED_VALUE"""),"Logan")</f>
        <v>Logan</v>
      </c>
      <c r="E5128" s="6" t="str">
        <f>IFERROR(__xludf.DUMMYFUNCTION("""COMPUTED_VALUE"""),"")</f>
        <v/>
      </c>
      <c r="F5128" s="6" t="str">
        <f>IFERROR(__xludf.DUMMYFUNCTION("""COMPUTED_VALUE"""),"Singleton")</f>
        <v>Singleton</v>
      </c>
      <c r="G5128" s="6" t="str">
        <f>IFERROR(__xludf.DUMMYFUNCTION("""COMPUTED_VALUE"""),"06/21/2017")</f>
        <v>06/21/2017</v>
      </c>
      <c r="H5128" s="6" t="str">
        <f>IFERROR(__xludf.DUMMYFUNCTION("""COMPUTED_VALUE"""),"male")</f>
        <v>male</v>
      </c>
      <c r="I5128" s="6" t="str">
        <f>IFERROR(__xludf.DUMMYFUNCTION("""COMPUTED_VALUE"""),"Level 1")</f>
        <v>Level 1</v>
      </c>
      <c r="J5128" s="6" t="str">
        <f>IFERROR(__xludf.DUMMYFUNCTION("""COMPUTED_VALUE"""),"2")</f>
        <v>2</v>
      </c>
      <c r="K5128" s="6" t="str">
        <f>IFERROR(__xludf.DUMMYFUNCTION("""COMPUTED_VALUE"""),"logan.singleton@2hourlearning.com")</f>
        <v>logan.singleton@2hourlearning.com</v>
      </c>
      <c r="L5128" s="6" t="str">
        <f>IFERROR(__xludf.DUMMYFUNCTION("""COMPUTED_VALUE"""),"JRES - Ridgeland Elementary School")</f>
        <v>JRES - Ridgeland Elementary School</v>
      </c>
      <c r="M5128" s="6" t="str">
        <f>IFERROR(__xludf.DUMMYFUNCTION("""COMPUTED_VALUE"""),"")</f>
        <v/>
      </c>
      <c r="N5128" s="6" t="str">
        <f>IFERROR(__xludf.DUMMYFUNCTION("""COMPUTED_VALUE"""),"")</f>
        <v/>
      </c>
      <c r="O5128" s="87" t="str">
        <f>IFERROR(__xludf.DUMMYFUNCTION("""COMPUTED_VALUE"""),"https://drive.google.com/drive/folders/10T2cTQHqEJZqE-st6uFKPoI?usp=share_link")</f>
        <v>https://drive.google.com/drive/folders/10T2cTQHqEJZqE-st6uFKPoI?usp=share_link</v>
      </c>
      <c r="P5128" s="6" t="str">
        <f>IFERROR(__xludf.DUMMYFUNCTION("""COMPUTED_VALUE"""),"Logan Singleton")</f>
        <v>Logan Singleton</v>
      </c>
      <c r="Q5128" s="6" t="str">
        <f>IFERROR(__xludf.DUMMYFUNCTION("""COMPUTED_VALUE"""),"L1")</f>
        <v>L1</v>
      </c>
      <c r="R5128" s="6">
        <f>IFERROR(__xludf.DUMMYFUNCTION("""COMPUTED_VALUE"""),1.0)</f>
        <v>1</v>
      </c>
      <c r="S5128" s="6" t="str">
        <f>IFERROR(__xludf.DUMMYFUNCTION("""COMPUTED_VALUE"""),"Kimberly Ball")</f>
        <v>Kimberly Ball</v>
      </c>
      <c r="T5128" s="6" t="str">
        <f>IFERROR(__xludf.DUMMYFUNCTION("""COMPUTED_VALUE"""),"kimberly.ball@studient.com")</f>
        <v>kimberly.ball@studient.com</v>
      </c>
      <c r="U5128" s="6" t="str">
        <f>IFERROR(__xludf.DUMMYFUNCTION("""COMPUTED_VALUE"""),"2")</f>
        <v>2</v>
      </c>
      <c r="V5128" s="6" t="str">
        <f>IFERROR(__xludf.DUMMYFUNCTION("""COMPUTED_VALUE"""),"")</f>
        <v/>
      </c>
      <c r="W5128" s="6" t="str">
        <f>IFERROR(__xludf.DUMMYFUNCTION("""COMPUTED_VALUE"""),"[]")</f>
        <v>[]</v>
      </c>
      <c r="X5128" s="6" t="str">
        <f>IFERROR(__xludf.DUMMYFUNCTION("""COMPUTED_VALUE"""),"Enrolled")</f>
        <v>Enrolled</v>
      </c>
    </row>
    <row r="5129">
      <c r="A5129" s="6" t="str">
        <f>IFERROR(__xludf.DUMMYFUNCTION("""COMPUTED_VALUE"""),"086-12520")</f>
        <v>086-12520</v>
      </c>
      <c r="B5129" s="6" t="str">
        <f>IFERROR(__xludf.DUMMYFUNCTION("""COMPUTED_VALUE"""),"86")</f>
        <v>86</v>
      </c>
      <c r="C5129" s="6" t="str">
        <f>IFERROR(__xludf.DUMMYFUNCTION("""COMPUTED_VALUE"""),"12520")</f>
        <v>12520</v>
      </c>
      <c r="D5129" s="6" t="str">
        <f>IFERROR(__xludf.DUMMYFUNCTION("""COMPUTED_VALUE"""),"Mariyah")</f>
        <v>Mariyah</v>
      </c>
      <c r="E5129" s="6" t="str">
        <f>IFERROR(__xludf.DUMMYFUNCTION("""COMPUTED_VALUE"""),"")</f>
        <v/>
      </c>
      <c r="F5129" s="6" t="str">
        <f>IFERROR(__xludf.DUMMYFUNCTION("""COMPUTED_VALUE"""),"Smith")</f>
        <v>Smith</v>
      </c>
      <c r="G5129" s="6" t="str">
        <f>IFERROR(__xludf.DUMMYFUNCTION("""COMPUTED_VALUE"""),"02/21/2017")</f>
        <v>02/21/2017</v>
      </c>
      <c r="H5129" s="6" t="str">
        <f>IFERROR(__xludf.DUMMYFUNCTION("""COMPUTED_VALUE"""),"male")</f>
        <v>male</v>
      </c>
      <c r="I5129" s="6" t="str">
        <f>IFERROR(__xludf.DUMMYFUNCTION("""COMPUTED_VALUE"""),"Level 1")</f>
        <v>Level 1</v>
      </c>
      <c r="J5129" s="6" t="str">
        <f>IFERROR(__xludf.DUMMYFUNCTION("""COMPUTED_VALUE"""),"2")</f>
        <v>2</v>
      </c>
      <c r="K5129" s="6" t="str">
        <f>IFERROR(__xludf.DUMMYFUNCTION("""COMPUTED_VALUE"""),"mariyah.smith@2hourlearning.com")</f>
        <v>mariyah.smith@2hourlearning.com</v>
      </c>
      <c r="L5129" s="6" t="str">
        <f>IFERROR(__xludf.DUMMYFUNCTION("""COMPUTED_VALUE"""),"JRES - Ridgeland Elementary School")</f>
        <v>JRES - Ridgeland Elementary School</v>
      </c>
      <c r="M5129" s="6" t="str">
        <f>IFERROR(__xludf.DUMMYFUNCTION("""COMPUTED_VALUE"""),"")</f>
        <v/>
      </c>
      <c r="N5129" s="6" t="str">
        <f>IFERROR(__xludf.DUMMYFUNCTION("""COMPUTED_VALUE"""),"")</f>
        <v/>
      </c>
      <c r="O5129" s="87" t="str">
        <f>IFERROR(__xludf.DUMMYFUNCTION("""COMPUTED_VALUE"""),"https://drive.google.com/drive/folders/10T2cTQHqEJZqE-st6uFKPoI?usp=share_link")</f>
        <v>https://drive.google.com/drive/folders/10T2cTQHqEJZqE-st6uFKPoI?usp=share_link</v>
      </c>
      <c r="P5129" s="6" t="str">
        <f>IFERROR(__xludf.DUMMYFUNCTION("""COMPUTED_VALUE"""),"Mariyah Smith")</f>
        <v>Mariyah Smith</v>
      </c>
      <c r="Q5129" s="6" t="str">
        <f>IFERROR(__xludf.DUMMYFUNCTION("""COMPUTED_VALUE"""),"L1")</f>
        <v>L1</v>
      </c>
      <c r="R5129" s="6">
        <f>IFERROR(__xludf.DUMMYFUNCTION("""COMPUTED_VALUE"""),1.0)</f>
        <v>1</v>
      </c>
      <c r="S5129" s="6" t="str">
        <f>IFERROR(__xludf.DUMMYFUNCTION("""COMPUTED_VALUE"""),"Kimberly Ball")</f>
        <v>Kimberly Ball</v>
      </c>
      <c r="T5129" s="6" t="str">
        <f>IFERROR(__xludf.DUMMYFUNCTION("""COMPUTED_VALUE"""),"kimberly.ball@studient.com")</f>
        <v>kimberly.ball@studient.com</v>
      </c>
      <c r="U5129" s="6" t="str">
        <f>IFERROR(__xludf.DUMMYFUNCTION("""COMPUTED_VALUE"""),"2")</f>
        <v>2</v>
      </c>
      <c r="V5129" s="6" t="str">
        <f>IFERROR(__xludf.DUMMYFUNCTION("""COMPUTED_VALUE"""),"")</f>
        <v/>
      </c>
      <c r="W5129" s="6" t="str">
        <f>IFERROR(__xludf.DUMMYFUNCTION("""COMPUTED_VALUE"""),"[]")</f>
        <v>[]</v>
      </c>
      <c r="X5129" s="6" t="str">
        <f>IFERROR(__xludf.DUMMYFUNCTION("""COMPUTED_VALUE"""),"Enrolled")</f>
        <v>Enrolled</v>
      </c>
    </row>
    <row r="5130">
      <c r="A5130" s="6" t="str">
        <f>IFERROR(__xludf.DUMMYFUNCTION("""COMPUTED_VALUE"""),"086-12521")</f>
        <v>086-12521</v>
      </c>
      <c r="B5130" s="6" t="str">
        <f>IFERROR(__xludf.DUMMYFUNCTION("""COMPUTED_VALUE"""),"86")</f>
        <v>86</v>
      </c>
      <c r="C5130" s="6" t="str">
        <f>IFERROR(__xludf.DUMMYFUNCTION("""COMPUTED_VALUE"""),"12521")</f>
        <v>12521</v>
      </c>
      <c r="D5130" s="6" t="str">
        <f>IFERROR(__xludf.DUMMYFUNCTION("""COMPUTED_VALUE"""),"Cordelia")</f>
        <v>Cordelia</v>
      </c>
      <c r="E5130" s="6" t="str">
        <f>IFERROR(__xludf.DUMMYFUNCTION("""COMPUTED_VALUE"""),"")</f>
        <v/>
      </c>
      <c r="F5130" s="6" t="str">
        <f>IFERROR(__xludf.DUMMYFUNCTION("""COMPUTED_VALUE"""),"Snow")</f>
        <v>Snow</v>
      </c>
      <c r="G5130" s="6" t="str">
        <f>IFERROR(__xludf.DUMMYFUNCTION("""COMPUTED_VALUE"""),"07/16/2018")</f>
        <v>07/16/2018</v>
      </c>
      <c r="H5130" s="6" t="str">
        <f>IFERROR(__xludf.DUMMYFUNCTION("""COMPUTED_VALUE"""),"male")</f>
        <v>male</v>
      </c>
      <c r="I5130" s="6" t="str">
        <f>IFERROR(__xludf.DUMMYFUNCTION("""COMPUTED_VALUE"""),"Level 1")</f>
        <v>Level 1</v>
      </c>
      <c r="J5130" s="6" t="str">
        <f>IFERROR(__xludf.DUMMYFUNCTION("""COMPUTED_VALUE"""),"2")</f>
        <v>2</v>
      </c>
      <c r="K5130" s="6" t="str">
        <f>IFERROR(__xludf.DUMMYFUNCTION("""COMPUTED_VALUE"""),"cordelia.snow@2hourlearning.com")</f>
        <v>cordelia.snow@2hourlearning.com</v>
      </c>
      <c r="L5130" s="6" t="str">
        <f>IFERROR(__xludf.DUMMYFUNCTION("""COMPUTED_VALUE"""),"JRES - Ridgeland Elementary School")</f>
        <v>JRES - Ridgeland Elementary School</v>
      </c>
      <c r="M5130" s="6" t="str">
        <f>IFERROR(__xludf.DUMMYFUNCTION("""COMPUTED_VALUE"""),"")</f>
        <v/>
      </c>
      <c r="N5130" s="6" t="str">
        <f>IFERROR(__xludf.DUMMYFUNCTION("""COMPUTED_VALUE"""),"")</f>
        <v/>
      </c>
      <c r="O5130" s="87" t="str">
        <f>IFERROR(__xludf.DUMMYFUNCTION("""COMPUTED_VALUE"""),"https://drive.google.com/drive/folders/10T2cTQHqEJZqE-st6uFKPoI?usp=share_link")</f>
        <v>https://drive.google.com/drive/folders/10T2cTQHqEJZqE-st6uFKPoI?usp=share_link</v>
      </c>
      <c r="P5130" s="6" t="str">
        <f>IFERROR(__xludf.DUMMYFUNCTION("""COMPUTED_VALUE"""),"Cordelia Snow")</f>
        <v>Cordelia Snow</v>
      </c>
      <c r="Q5130" s="6" t="str">
        <f>IFERROR(__xludf.DUMMYFUNCTION("""COMPUTED_VALUE"""),"L1")</f>
        <v>L1</v>
      </c>
      <c r="R5130" s="6">
        <f>IFERROR(__xludf.DUMMYFUNCTION("""COMPUTED_VALUE"""),1.0)</f>
        <v>1</v>
      </c>
      <c r="S5130" s="6" t="str">
        <f>IFERROR(__xludf.DUMMYFUNCTION("""COMPUTED_VALUE"""),"Kimberly Ball")</f>
        <v>Kimberly Ball</v>
      </c>
      <c r="T5130" s="6" t="str">
        <f>IFERROR(__xludf.DUMMYFUNCTION("""COMPUTED_VALUE"""),"kimberly.ball@studient.com")</f>
        <v>kimberly.ball@studient.com</v>
      </c>
      <c r="U5130" s="6" t="str">
        <f>IFERROR(__xludf.DUMMYFUNCTION("""COMPUTED_VALUE"""),"2")</f>
        <v>2</v>
      </c>
      <c r="V5130" s="6" t="str">
        <f>IFERROR(__xludf.DUMMYFUNCTION("""COMPUTED_VALUE"""),"")</f>
        <v/>
      </c>
      <c r="W5130" s="6" t="str">
        <f>IFERROR(__xludf.DUMMYFUNCTION("""COMPUTED_VALUE"""),"[]")</f>
        <v>[]</v>
      </c>
      <c r="X5130" s="6" t="str">
        <f>IFERROR(__xludf.DUMMYFUNCTION("""COMPUTED_VALUE"""),"Enrolled")</f>
        <v>Enrolled</v>
      </c>
    </row>
    <row r="5131">
      <c r="A5131" s="6" t="str">
        <f>IFERROR(__xludf.DUMMYFUNCTION("""COMPUTED_VALUE"""),"086-12522")</f>
        <v>086-12522</v>
      </c>
      <c r="B5131" s="6" t="str">
        <f>IFERROR(__xludf.DUMMYFUNCTION("""COMPUTED_VALUE"""),"86")</f>
        <v>86</v>
      </c>
      <c r="C5131" s="6" t="str">
        <f>IFERROR(__xludf.DUMMYFUNCTION("""COMPUTED_VALUE"""),"12522")</f>
        <v>12522</v>
      </c>
      <c r="D5131" s="6" t="str">
        <f>IFERROR(__xludf.DUMMYFUNCTION("""COMPUTED_VALUE"""),"Ian")</f>
        <v>Ian</v>
      </c>
      <c r="E5131" s="6" t="str">
        <f>IFERROR(__xludf.DUMMYFUNCTION("""COMPUTED_VALUE"""),"")</f>
        <v/>
      </c>
      <c r="F5131" s="6" t="str">
        <f>IFERROR(__xludf.DUMMYFUNCTION("""COMPUTED_VALUE"""),"Springer Quintero")</f>
        <v>Springer Quintero</v>
      </c>
      <c r="G5131" s="6" t="str">
        <f>IFERROR(__xludf.DUMMYFUNCTION("""COMPUTED_VALUE"""),"11/12/2017")</f>
        <v>11/12/2017</v>
      </c>
      <c r="H5131" s="6" t="str">
        <f>IFERROR(__xludf.DUMMYFUNCTION("""COMPUTED_VALUE"""),"male")</f>
        <v>male</v>
      </c>
      <c r="I5131" s="6" t="str">
        <f>IFERROR(__xludf.DUMMYFUNCTION("""COMPUTED_VALUE"""),"Level 1")</f>
        <v>Level 1</v>
      </c>
      <c r="J5131" s="6" t="str">
        <f>IFERROR(__xludf.DUMMYFUNCTION("""COMPUTED_VALUE"""),"2")</f>
        <v>2</v>
      </c>
      <c r="K5131" s="6" t="str">
        <f>IFERROR(__xludf.DUMMYFUNCTION("""COMPUTED_VALUE"""),"ian.springerquintero@2hourlearning.com")</f>
        <v>ian.springerquintero@2hourlearning.com</v>
      </c>
      <c r="L5131" s="6" t="str">
        <f>IFERROR(__xludf.DUMMYFUNCTION("""COMPUTED_VALUE"""),"JRES - Ridgeland Elementary School")</f>
        <v>JRES - Ridgeland Elementary School</v>
      </c>
      <c r="M5131" s="6" t="str">
        <f>IFERROR(__xludf.DUMMYFUNCTION("""COMPUTED_VALUE"""),"")</f>
        <v/>
      </c>
      <c r="N5131" s="6" t="str">
        <f>IFERROR(__xludf.DUMMYFUNCTION("""COMPUTED_VALUE"""),"")</f>
        <v/>
      </c>
      <c r="O5131" s="87" t="str">
        <f>IFERROR(__xludf.DUMMYFUNCTION("""COMPUTED_VALUE"""),"https://drive.google.com/drive/folders/10T2cTQHqEJZqE-st6uFKPoI?usp=share_link")</f>
        <v>https://drive.google.com/drive/folders/10T2cTQHqEJZqE-st6uFKPoI?usp=share_link</v>
      </c>
      <c r="P5131" s="6" t="str">
        <f>IFERROR(__xludf.DUMMYFUNCTION("""COMPUTED_VALUE"""),"Ian Springer Quintero")</f>
        <v>Ian Springer Quintero</v>
      </c>
      <c r="Q5131" s="6" t="str">
        <f>IFERROR(__xludf.DUMMYFUNCTION("""COMPUTED_VALUE"""),"L1")</f>
        <v>L1</v>
      </c>
      <c r="R5131" s="6">
        <f>IFERROR(__xludf.DUMMYFUNCTION("""COMPUTED_VALUE"""),1.0)</f>
        <v>1</v>
      </c>
      <c r="S5131" s="6" t="str">
        <f>IFERROR(__xludf.DUMMYFUNCTION("""COMPUTED_VALUE"""),"Kimberly Ball")</f>
        <v>Kimberly Ball</v>
      </c>
      <c r="T5131" s="6" t="str">
        <f>IFERROR(__xludf.DUMMYFUNCTION("""COMPUTED_VALUE"""),"kimberly.ball@studient.com")</f>
        <v>kimberly.ball@studient.com</v>
      </c>
      <c r="U5131" s="6" t="str">
        <f>IFERROR(__xludf.DUMMYFUNCTION("""COMPUTED_VALUE"""),"2")</f>
        <v>2</v>
      </c>
      <c r="V5131" s="6" t="str">
        <f>IFERROR(__xludf.DUMMYFUNCTION("""COMPUTED_VALUE"""),"")</f>
        <v/>
      </c>
      <c r="W5131" s="6" t="str">
        <f>IFERROR(__xludf.DUMMYFUNCTION("""COMPUTED_VALUE"""),"[]")</f>
        <v>[]</v>
      </c>
      <c r="X5131" s="6" t="str">
        <f>IFERROR(__xludf.DUMMYFUNCTION("""COMPUTED_VALUE"""),"Enrolled")</f>
        <v>Enrolled</v>
      </c>
    </row>
    <row r="5132">
      <c r="A5132" s="6" t="str">
        <f>IFERROR(__xludf.DUMMYFUNCTION("""COMPUTED_VALUE"""),"086-12523")</f>
        <v>086-12523</v>
      </c>
      <c r="B5132" s="6" t="str">
        <f>IFERROR(__xludf.DUMMYFUNCTION("""COMPUTED_VALUE"""),"86")</f>
        <v>86</v>
      </c>
      <c r="C5132" s="6" t="str">
        <f>IFERROR(__xludf.DUMMYFUNCTION("""COMPUTED_VALUE"""),"12523")</f>
        <v>12523</v>
      </c>
      <c r="D5132" s="6" t="str">
        <f>IFERROR(__xludf.DUMMYFUNCTION("""COMPUTED_VALUE"""),"Chase")</f>
        <v>Chase</v>
      </c>
      <c r="E5132" s="6" t="str">
        <f>IFERROR(__xludf.DUMMYFUNCTION("""COMPUTED_VALUE"""),"")</f>
        <v/>
      </c>
      <c r="F5132" s="6" t="str">
        <f>IFERROR(__xludf.DUMMYFUNCTION("""COMPUTED_VALUE"""),"Stephens")</f>
        <v>Stephens</v>
      </c>
      <c r="G5132" s="6" t="str">
        <f>IFERROR(__xludf.DUMMYFUNCTION("""COMPUTED_VALUE"""),"04/06/2017")</f>
        <v>04/06/2017</v>
      </c>
      <c r="H5132" s="6" t="str">
        <f>IFERROR(__xludf.DUMMYFUNCTION("""COMPUTED_VALUE"""),"male")</f>
        <v>male</v>
      </c>
      <c r="I5132" s="6" t="str">
        <f>IFERROR(__xludf.DUMMYFUNCTION("""COMPUTED_VALUE"""),"Level 1")</f>
        <v>Level 1</v>
      </c>
      <c r="J5132" s="6" t="str">
        <f>IFERROR(__xludf.DUMMYFUNCTION("""COMPUTED_VALUE"""),"2")</f>
        <v>2</v>
      </c>
      <c r="K5132" s="6" t="str">
        <f>IFERROR(__xludf.DUMMYFUNCTION("""COMPUTED_VALUE"""),"chase.stephens@2hourlearning.com")</f>
        <v>chase.stephens@2hourlearning.com</v>
      </c>
      <c r="L5132" s="6" t="str">
        <f>IFERROR(__xludf.DUMMYFUNCTION("""COMPUTED_VALUE"""),"JRES - Ridgeland Elementary School")</f>
        <v>JRES - Ridgeland Elementary School</v>
      </c>
      <c r="M5132" s="6" t="str">
        <f>IFERROR(__xludf.DUMMYFUNCTION("""COMPUTED_VALUE"""),"")</f>
        <v/>
      </c>
      <c r="N5132" s="6" t="str">
        <f>IFERROR(__xludf.DUMMYFUNCTION("""COMPUTED_VALUE"""),"")</f>
        <v/>
      </c>
      <c r="O5132" s="87" t="str">
        <f>IFERROR(__xludf.DUMMYFUNCTION("""COMPUTED_VALUE"""),"https://drive.google.com/drive/folders/10T2cTQHqEJZqE-st6uFKPoI?usp=share_link")</f>
        <v>https://drive.google.com/drive/folders/10T2cTQHqEJZqE-st6uFKPoI?usp=share_link</v>
      </c>
      <c r="P5132" s="6" t="str">
        <f>IFERROR(__xludf.DUMMYFUNCTION("""COMPUTED_VALUE"""),"Chase Stephens")</f>
        <v>Chase Stephens</v>
      </c>
      <c r="Q5132" s="6" t="str">
        <f>IFERROR(__xludf.DUMMYFUNCTION("""COMPUTED_VALUE"""),"L1")</f>
        <v>L1</v>
      </c>
      <c r="R5132" s="6">
        <f>IFERROR(__xludf.DUMMYFUNCTION("""COMPUTED_VALUE"""),1.0)</f>
        <v>1</v>
      </c>
      <c r="S5132" s="6" t="str">
        <f>IFERROR(__xludf.DUMMYFUNCTION("""COMPUTED_VALUE"""),"Kimberly Ball")</f>
        <v>Kimberly Ball</v>
      </c>
      <c r="T5132" s="6" t="str">
        <f>IFERROR(__xludf.DUMMYFUNCTION("""COMPUTED_VALUE"""),"kimberly.ball@studient.com")</f>
        <v>kimberly.ball@studient.com</v>
      </c>
      <c r="U5132" s="6" t="str">
        <f>IFERROR(__xludf.DUMMYFUNCTION("""COMPUTED_VALUE"""),"2")</f>
        <v>2</v>
      </c>
      <c r="V5132" s="6" t="str">
        <f>IFERROR(__xludf.DUMMYFUNCTION("""COMPUTED_VALUE"""),"")</f>
        <v/>
      </c>
      <c r="W5132" s="6" t="str">
        <f>IFERROR(__xludf.DUMMYFUNCTION("""COMPUTED_VALUE"""),"[]")</f>
        <v>[]</v>
      </c>
      <c r="X5132" s="6" t="str">
        <f>IFERROR(__xludf.DUMMYFUNCTION("""COMPUTED_VALUE"""),"Enrolled")</f>
        <v>Enrolled</v>
      </c>
    </row>
    <row r="5133">
      <c r="A5133" s="6" t="str">
        <f>IFERROR(__xludf.DUMMYFUNCTION("""COMPUTED_VALUE"""),"086-12524")</f>
        <v>086-12524</v>
      </c>
      <c r="B5133" s="6" t="str">
        <f>IFERROR(__xludf.DUMMYFUNCTION("""COMPUTED_VALUE"""),"86")</f>
        <v>86</v>
      </c>
      <c r="C5133" s="6" t="str">
        <f>IFERROR(__xludf.DUMMYFUNCTION("""COMPUTED_VALUE"""),"12524")</f>
        <v>12524</v>
      </c>
      <c r="D5133" s="6" t="str">
        <f>IFERROR(__xludf.DUMMYFUNCTION("""COMPUTED_VALUE"""),"Reginae")</f>
        <v>Reginae</v>
      </c>
      <c r="E5133" s="6" t="str">
        <f>IFERROR(__xludf.DUMMYFUNCTION("""COMPUTED_VALUE"""),"")</f>
        <v/>
      </c>
      <c r="F5133" s="6" t="str">
        <f>IFERROR(__xludf.DUMMYFUNCTION("""COMPUTED_VALUE"""),"Strobhart")</f>
        <v>Strobhart</v>
      </c>
      <c r="G5133" s="6" t="str">
        <f>IFERROR(__xludf.DUMMYFUNCTION("""COMPUTED_VALUE"""),"04/12/2017")</f>
        <v>04/12/2017</v>
      </c>
      <c r="H5133" s="6" t="str">
        <f>IFERROR(__xludf.DUMMYFUNCTION("""COMPUTED_VALUE"""),"female")</f>
        <v>female</v>
      </c>
      <c r="I5133" s="6" t="str">
        <f>IFERROR(__xludf.DUMMYFUNCTION("""COMPUTED_VALUE"""),"Level 1")</f>
        <v>Level 1</v>
      </c>
      <c r="J5133" s="6" t="str">
        <f>IFERROR(__xludf.DUMMYFUNCTION("""COMPUTED_VALUE"""),"2")</f>
        <v>2</v>
      </c>
      <c r="K5133" s="6" t="str">
        <f>IFERROR(__xludf.DUMMYFUNCTION("""COMPUTED_VALUE"""),"reginae.strobhart@2hourlearning.com")</f>
        <v>reginae.strobhart@2hourlearning.com</v>
      </c>
      <c r="L5133" s="6" t="str">
        <f>IFERROR(__xludf.DUMMYFUNCTION("""COMPUTED_VALUE"""),"JRES - Ridgeland Elementary School")</f>
        <v>JRES - Ridgeland Elementary School</v>
      </c>
      <c r="M5133" s="6" t="str">
        <f>IFERROR(__xludf.DUMMYFUNCTION("""COMPUTED_VALUE"""),"")</f>
        <v/>
      </c>
      <c r="N5133" s="6" t="str">
        <f>IFERROR(__xludf.DUMMYFUNCTION("""COMPUTED_VALUE"""),"")</f>
        <v/>
      </c>
      <c r="O5133" s="87" t="str">
        <f>IFERROR(__xludf.DUMMYFUNCTION("""COMPUTED_VALUE"""),"https://drive.google.com/drive/folders/10T2cTQHqEJZqE-st6uFKPoI?usp=share_link")</f>
        <v>https://drive.google.com/drive/folders/10T2cTQHqEJZqE-st6uFKPoI?usp=share_link</v>
      </c>
      <c r="P5133" s="6" t="str">
        <f>IFERROR(__xludf.DUMMYFUNCTION("""COMPUTED_VALUE"""),"Reginae Strobhart")</f>
        <v>Reginae Strobhart</v>
      </c>
      <c r="Q5133" s="6" t="str">
        <f>IFERROR(__xludf.DUMMYFUNCTION("""COMPUTED_VALUE"""),"L1")</f>
        <v>L1</v>
      </c>
      <c r="R5133" s="6">
        <f>IFERROR(__xludf.DUMMYFUNCTION("""COMPUTED_VALUE"""),1.0)</f>
        <v>1</v>
      </c>
      <c r="S5133" s="6" t="str">
        <f>IFERROR(__xludf.DUMMYFUNCTION("""COMPUTED_VALUE"""),"Kimberly Ball")</f>
        <v>Kimberly Ball</v>
      </c>
      <c r="T5133" s="6" t="str">
        <f>IFERROR(__xludf.DUMMYFUNCTION("""COMPUTED_VALUE"""),"kimberly.ball@studient.com")</f>
        <v>kimberly.ball@studient.com</v>
      </c>
      <c r="U5133" s="6" t="str">
        <f>IFERROR(__xludf.DUMMYFUNCTION("""COMPUTED_VALUE"""),"2")</f>
        <v>2</v>
      </c>
      <c r="V5133" s="6" t="str">
        <f>IFERROR(__xludf.DUMMYFUNCTION("""COMPUTED_VALUE"""),"")</f>
        <v/>
      </c>
      <c r="W5133" s="6" t="str">
        <f>IFERROR(__xludf.DUMMYFUNCTION("""COMPUTED_VALUE"""),"[]")</f>
        <v>[]</v>
      </c>
      <c r="X5133" s="6" t="str">
        <f>IFERROR(__xludf.DUMMYFUNCTION("""COMPUTED_VALUE"""),"Enrolled")</f>
        <v>Enrolled</v>
      </c>
    </row>
    <row r="5134">
      <c r="A5134" s="6" t="str">
        <f>IFERROR(__xludf.DUMMYFUNCTION("""COMPUTED_VALUE"""),"086-12525")</f>
        <v>086-12525</v>
      </c>
      <c r="B5134" s="6" t="str">
        <f>IFERROR(__xludf.DUMMYFUNCTION("""COMPUTED_VALUE"""),"86")</f>
        <v>86</v>
      </c>
      <c r="C5134" s="6" t="str">
        <f>IFERROR(__xludf.DUMMYFUNCTION("""COMPUTED_VALUE"""),"12525")</f>
        <v>12525</v>
      </c>
      <c r="D5134" s="6" t="str">
        <f>IFERROR(__xludf.DUMMYFUNCTION("""COMPUTED_VALUE"""),"Jarvis")</f>
        <v>Jarvis</v>
      </c>
      <c r="E5134" s="6" t="str">
        <f>IFERROR(__xludf.DUMMYFUNCTION("""COMPUTED_VALUE"""),"")</f>
        <v/>
      </c>
      <c r="F5134" s="6" t="str">
        <f>IFERROR(__xludf.DUMMYFUNCTION("""COMPUTED_VALUE"""),"Sumpter")</f>
        <v>Sumpter</v>
      </c>
      <c r="G5134" s="6" t="str">
        <f>IFERROR(__xludf.DUMMYFUNCTION("""COMPUTED_VALUE"""),"01/16/2016")</f>
        <v>01/16/2016</v>
      </c>
      <c r="H5134" s="6" t="str">
        <f>IFERROR(__xludf.DUMMYFUNCTION("""COMPUTED_VALUE"""),"male")</f>
        <v>male</v>
      </c>
      <c r="I5134" s="6" t="str">
        <f>IFERROR(__xludf.DUMMYFUNCTION("""COMPUTED_VALUE"""),"Level 1")</f>
        <v>Level 1</v>
      </c>
      <c r="J5134" s="6" t="str">
        <f>IFERROR(__xludf.DUMMYFUNCTION("""COMPUTED_VALUE"""),"2")</f>
        <v>2</v>
      </c>
      <c r="K5134" s="6" t="str">
        <f>IFERROR(__xludf.DUMMYFUNCTION("""COMPUTED_VALUE"""),"jarvis.sumpter@2hourlearning.com")</f>
        <v>jarvis.sumpter@2hourlearning.com</v>
      </c>
      <c r="L5134" s="6" t="str">
        <f>IFERROR(__xludf.DUMMYFUNCTION("""COMPUTED_VALUE"""),"JRES - Ridgeland Elementary School")</f>
        <v>JRES - Ridgeland Elementary School</v>
      </c>
      <c r="M5134" s="6" t="str">
        <f>IFERROR(__xludf.DUMMYFUNCTION("""COMPUTED_VALUE"""),"")</f>
        <v/>
      </c>
      <c r="N5134" s="6" t="str">
        <f>IFERROR(__xludf.DUMMYFUNCTION("""COMPUTED_VALUE"""),"")</f>
        <v/>
      </c>
      <c r="O5134" s="87" t="str">
        <f>IFERROR(__xludf.DUMMYFUNCTION("""COMPUTED_VALUE"""),"https://drive.google.com/drive/folders/10T2cTQHqEJZqE-st6uFKPoI?usp=share_link")</f>
        <v>https://drive.google.com/drive/folders/10T2cTQHqEJZqE-st6uFKPoI?usp=share_link</v>
      </c>
      <c r="P5134" s="6" t="str">
        <f>IFERROR(__xludf.DUMMYFUNCTION("""COMPUTED_VALUE"""),"Jarvis Sumpter")</f>
        <v>Jarvis Sumpter</v>
      </c>
      <c r="Q5134" s="6" t="str">
        <f>IFERROR(__xludf.DUMMYFUNCTION("""COMPUTED_VALUE"""),"L1")</f>
        <v>L1</v>
      </c>
      <c r="R5134" s="6">
        <f>IFERROR(__xludf.DUMMYFUNCTION("""COMPUTED_VALUE"""),1.0)</f>
        <v>1</v>
      </c>
      <c r="S5134" s="6" t="str">
        <f>IFERROR(__xludf.DUMMYFUNCTION("""COMPUTED_VALUE"""),"Kimberly Ball")</f>
        <v>Kimberly Ball</v>
      </c>
      <c r="T5134" s="6" t="str">
        <f>IFERROR(__xludf.DUMMYFUNCTION("""COMPUTED_VALUE"""),"kimberly.ball@studient.com")</f>
        <v>kimberly.ball@studient.com</v>
      </c>
      <c r="U5134" s="6" t="str">
        <f>IFERROR(__xludf.DUMMYFUNCTION("""COMPUTED_VALUE"""),"2")</f>
        <v>2</v>
      </c>
      <c r="V5134" s="6" t="str">
        <f>IFERROR(__xludf.DUMMYFUNCTION("""COMPUTED_VALUE"""),"")</f>
        <v/>
      </c>
      <c r="W5134" s="6" t="str">
        <f>IFERROR(__xludf.DUMMYFUNCTION("""COMPUTED_VALUE"""),"[]")</f>
        <v>[]</v>
      </c>
      <c r="X5134" s="6" t="str">
        <f>IFERROR(__xludf.DUMMYFUNCTION("""COMPUTED_VALUE"""),"Enrolled")</f>
        <v>Enrolled</v>
      </c>
    </row>
    <row r="5135">
      <c r="A5135" s="6" t="str">
        <f>IFERROR(__xludf.DUMMYFUNCTION("""COMPUTED_VALUE"""),"086-12526")</f>
        <v>086-12526</v>
      </c>
      <c r="B5135" s="6" t="str">
        <f>IFERROR(__xludf.DUMMYFUNCTION("""COMPUTED_VALUE"""),"86")</f>
        <v>86</v>
      </c>
      <c r="C5135" s="6" t="str">
        <f>IFERROR(__xludf.DUMMYFUNCTION("""COMPUTED_VALUE"""),"12526")</f>
        <v>12526</v>
      </c>
      <c r="D5135" s="6" t="str">
        <f>IFERROR(__xludf.DUMMYFUNCTION("""COMPUTED_VALUE"""),"Leach")</f>
        <v>Leach</v>
      </c>
      <c r="E5135" s="6" t="str">
        <f>IFERROR(__xludf.DUMMYFUNCTION("""COMPUTED_VALUE"""),"")</f>
        <v/>
      </c>
      <c r="F5135" s="6" t="str">
        <f>IFERROR(__xludf.DUMMYFUNCTION("""COMPUTED_VALUE"""),"Toro Bobadilla")</f>
        <v>Toro Bobadilla</v>
      </c>
      <c r="G5135" s="6" t="str">
        <f>IFERROR(__xludf.DUMMYFUNCTION("""COMPUTED_VALUE"""),"04/13/2016")</f>
        <v>04/13/2016</v>
      </c>
      <c r="H5135" s="6" t="str">
        <f>IFERROR(__xludf.DUMMYFUNCTION("""COMPUTED_VALUE"""),"female")</f>
        <v>female</v>
      </c>
      <c r="I5135" s="6" t="str">
        <f>IFERROR(__xludf.DUMMYFUNCTION("""COMPUTED_VALUE"""),"Level 1")</f>
        <v>Level 1</v>
      </c>
      <c r="J5135" s="6" t="str">
        <f>IFERROR(__xludf.DUMMYFUNCTION("""COMPUTED_VALUE"""),"2")</f>
        <v>2</v>
      </c>
      <c r="K5135" s="6" t="str">
        <f>IFERROR(__xludf.DUMMYFUNCTION("""COMPUTED_VALUE"""),"leach.torobobadilla@2hourlearning.com")</f>
        <v>leach.torobobadilla@2hourlearning.com</v>
      </c>
      <c r="L5135" s="6" t="str">
        <f>IFERROR(__xludf.DUMMYFUNCTION("""COMPUTED_VALUE"""),"JRES - Ridgeland Elementary School")</f>
        <v>JRES - Ridgeland Elementary School</v>
      </c>
      <c r="M5135" s="6" t="str">
        <f>IFERROR(__xludf.DUMMYFUNCTION("""COMPUTED_VALUE"""),"")</f>
        <v/>
      </c>
      <c r="N5135" s="6" t="str">
        <f>IFERROR(__xludf.DUMMYFUNCTION("""COMPUTED_VALUE"""),"")</f>
        <v/>
      </c>
      <c r="O5135" s="87" t="str">
        <f>IFERROR(__xludf.DUMMYFUNCTION("""COMPUTED_VALUE"""),"https://drive.google.com/drive/folders/10T2cTQHqEJZqE-st6uFKPoI?usp=share_link")</f>
        <v>https://drive.google.com/drive/folders/10T2cTQHqEJZqE-st6uFKPoI?usp=share_link</v>
      </c>
      <c r="P5135" s="6" t="str">
        <f>IFERROR(__xludf.DUMMYFUNCTION("""COMPUTED_VALUE"""),"Leach Toro Bobadilla")</f>
        <v>Leach Toro Bobadilla</v>
      </c>
      <c r="Q5135" s="6" t="str">
        <f>IFERROR(__xludf.DUMMYFUNCTION("""COMPUTED_VALUE"""),"L1")</f>
        <v>L1</v>
      </c>
      <c r="R5135" s="6">
        <f>IFERROR(__xludf.DUMMYFUNCTION("""COMPUTED_VALUE"""),1.0)</f>
        <v>1</v>
      </c>
      <c r="S5135" s="6" t="str">
        <f>IFERROR(__xludf.DUMMYFUNCTION("""COMPUTED_VALUE"""),"Kimberly Ball")</f>
        <v>Kimberly Ball</v>
      </c>
      <c r="T5135" s="6" t="str">
        <f>IFERROR(__xludf.DUMMYFUNCTION("""COMPUTED_VALUE"""),"kimberly.ball@studient.com")</f>
        <v>kimberly.ball@studient.com</v>
      </c>
      <c r="U5135" s="6" t="str">
        <f>IFERROR(__xludf.DUMMYFUNCTION("""COMPUTED_VALUE"""),"2")</f>
        <v>2</v>
      </c>
      <c r="V5135" s="6" t="str">
        <f>IFERROR(__xludf.DUMMYFUNCTION("""COMPUTED_VALUE"""),"")</f>
        <v/>
      </c>
      <c r="W5135" s="6" t="str">
        <f>IFERROR(__xludf.DUMMYFUNCTION("""COMPUTED_VALUE"""),"[]")</f>
        <v>[]</v>
      </c>
      <c r="X5135" s="6" t="str">
        <f>IFERROR(__xludf.DUMMYFUNCTION("""COMPUTED_VALUE"""),"Enrolled")</f>
        <v>Enrolled</v>
      </c>
    </row>
    <row r="5136">
      <c r="A5136" s="6" t="str">
        <f>IFERROR(__xludf.DUMMYFUNCTION("""COMPUTED_VALUE"""),"086-12527")</f>
        <v>086-12527</v>
      </c>
      <c r="B5136" s="6" t="str">
        <f>IFERROR(__xludf.DUMMYFUNCTION("""COMPUTED_VALUE"""),"86")</f>
        <v>86</v>
      </c>
      <c r="C5136" s="6" t="str">
        <f>IFERROR(__xludf.DUMMYFUNCTION("""COMPUTED_VALUE"""),"12527")</f>
        <v>12527</v>
      </c>
      <c r="D5136" s="6" t="str">
        <f>IFERROR(__xludf.DUMMYFUNCTION("""COMPUTED_VALUE"""),"Jeremy")</f>
        <v>Jeremy</v>
      </c>
      <c r="E5136" s="6" t="str">
        <f>IFERROR(__xludf.DUMMYFUNCTION("""COMPUTED_VALUE"""),"")</f>
        <v/>
      </c>
      <c r="F5136" s="6" t="str">
        <f>IFERROR(__xludf.DUMMYFUNCTION("""COMPUTED_VALUE"""),"Villanueva Munguia")</f>
        <v>Villanueva Munguia</v>
      </c>
      <c r="G5136" s="6" t="str">
        <f>IFERROR(__xludf.DUMMYFUNCTION("""COMPUTED_VALUE"""),"07/19/2017")</f>
        <v>07/19/2017</v>
      </c>
      <c r="H5136" s="6" t="str">
        <f>IFERROR(__xludf.DUMMYFUNCTION("""COMPUTED_VALUE"""),"male")</f>
        <v>male</v>
      </c>
      <c r="I5136" s="6" t="str">
        <f>IFERROR(__xludf.DUMMYFUNCTION("""COMPUTED_VALUE"""),"Level 1")</f>
        <v>Level 1</v>
      </c>
      <c r="J5136" s="6" t="str">
        <f>IFERROR(__xludf.DUMMYFUNCTION("""COMPUTED_VALUE"""),"2")</f>
        <v>2</v>
      </c>
      <c r="K5136" s="6" t="str">
        <f>IFERROR(__xludf.DUMMYFUNCTION("""COMPUTED_VALUE"""),"jeremy.villanuevamunguia@2hourlearning.com")</f>
        <v>jeremy.villanuevamunguia@2hourlearning.com</v>
      </c>
      <c r="L5136" s="6" t="str">
        <f>IFERROR(__xludf.DUMMYFUNCTION("""COMPUTED_VALUE"""),"JRES - Ridgeland Elementary School")</f>
        <v>JRES - Ridgeland Elementary School</v>
      </c>
      <c r="M5136" s="6" t="str">
        <f>IFERROR(__xludf.DUMMYFUNCTION("""COMPUTED_VALUE"""),"")</f>
        <v/>
      </c>
      <c r="N5136" s="6" t="str">
        <f>IFERROR(__xludf.DUMMYFUNCTION("""COMPUTED_VALUE"""),"")</f>
        <v/>
      </c>
      <c r="O5136" s="87" t="str">
        <f>IFERROR(__xludf.DUMMYFUNCTION("""COMPUTED_VALUE"""),"https://drive.google.com/drive/folders/10T2cTQHqEJZqE-st6uFKPoI?usp=share_link")</f>
        <v>https://drive.google.com/drive/folders/10T2cTQHqEJZqE-st6uFKPoI?usp=share_link</v>
      </c>
      <c r="P5136" s="6" t="str">
        <f>IFERROR(__xludf.DUMMYFUNCTION("""COMPUTED_VALUE"""),"Jeremy Villanueva Munguia")</f>
        <v>Jeremy Villanueva Munguia</v>
      </c>
      <c r="Q5136" s="6" t="str">
        <f>IFERROR(__xludf.DUMMYFUNCTION("""COMPUTED_VALUE"""),"L1")</f>
        <v>L1</v>
      </c>
      <c r="R5136" s="6">
        <f>IFERROR(__xludf.DUMMYFUNCTION("""COMPUTED_VALUE"""),1.0)</f>
        <v>1</v>
      </c>
      <c r="S5136" s="6" t="str">
        <f>IFERROR(__xludf.DUMMYFUNCTION("""COMPUTED_VALUE"""),"Kimberly Ball")</f>
        <v>Kimberly Ball</v>
      </c>
      <c r="T5136" s="6" t="str">
        <f>IFERROR(__xludf.DUMMYFUNCTION("""COMPUTED_VALUE"""),"kimberly.ball@studient.com")</f>
        <v>kimberly.ball@studient.com</v>
      </c>
      <c r="U5136" s="6" t="str">
        <f>IFERROR(__xludf.DUMMYFUNCTION("""COMPUTED_VALUE"""),"2")</f>
        <v>2</v>
      </c>
      <c r="V5136" s="6" t="str">
        <f>IFERROR(__xludf.DUMMYFUNCTION("""COMPUTED_VALUE"""),"")</f>
        <v/>
      </c>
      <c r="W5136" s="6" t="str">
        <f>IFERROR(__xludf.DUMMYFUNCTION("""COMPUTED_VALUE"""),"[]")</f>
        <v>[]</v>
      </c>
      <c r="X5136" s="6" t="str">
        <f>IFERROR(__xludf.DUMMYFUNCTION("""COMPUTED_VALUE"""),"Enrolled")</f>
        <v>Enrolled</v>
      </c>
    </row>
    <row r="5137">
      <c r="A5137" s="6" t="str">
        <f>IFERROR(__xludf.DUMMYFUNCTION("""COMPUTED_VALUE"""),"086-12528")</f>
        <v>086-12528</v>
      </c>
      <c r="B5137" s="6" t="str">
        <f>IFERROR(__xludf.DUMMYFUNCTION("""COMPUTED_VALUE"""),"86")</f>
        <v>86</v>
      </c>
      <c r="C5137" s="6" t="str">
        <f>IFERROR(__xludf.DUMMYFUNCTION("""COMPUTED_VALUE"""),"12528")</f>
        <v>12528</v>
      </c>
      <c r="D5137" s="6" t="str">
        <f>IFERROR(__xludf.DUMMYFUNCTION("""COMPUTED_VALUE"""),"Yarel")</f>
        <v>Yarel</v>
      </c>
      <c r="E5137" s="6" t="str">
        <f>IFERROR(__xludf.DUMMYFUNCTION("""COMPUTED_VALUE"""),"")</f>
        <v/>
      </c>
      <c r="F5137" s="6" t="str">
        <f>IFERROR(__xludf.DUMMYFUNCTION("""COMPUTED_VALUE"""),"Villegas Gomez")</f>
        <v>Villegas Gomez</v>
      </c>
      <c r="G5137" s="6" t="str">
        <f>IFERROR(__xludf.DUMMYFUNCTION("""COMPUTED_VALUE"""),"07/29/2016")</f>
        <v>07/29/2016</v>
      </c>
      <c r="H5137" s="6" t="str">
        <f>IFERROR(__xludf.DUMMYFUNCTION("""COMPUTED_VALUE"""),"female")</f>
        <v>female</v>
      </c>
      <c r="I5137" s="6" t="str">
        <f>IFERROR(__xludf.DUMMYFUNCTION("""COMPUTED_VALUE"""),"Level 1")</f>
        <v>Level 1</v>
      </c>
      <c r="J5137" s="6" t="str">
        <f>IFERROR(__xludf.DUMMYFUNCTION("""COMPUTED_VALUE"""),"2")</f>
        <v>2</v>
      </c>
      <c r="K5137" s="6" t="str">
        <f>IFERROR(__xludf.DUMMYFUNCTION("""COMPUTED_VALUE"""),"yarel.villegasgomez@2hourlearning.com")</f>
        <v>yarel.villegasgomez@2hourlearning.com</v>
      </c>
      <c r="L5137" s="6" t="str">
        <f>IFERROR(__xludf.DUMMYFUNCTION("""COMPUTED_VALUE"""),"JRES - Ridgeland Elementary School")</f>
        <v>JRES - Ridgeland Elementary School</v>
      </c>
      <c r="M5137" s="6" t="str">
        <f>IFERROR(__xludf.DUMMYFUNCTION("""COMPUTED_VALUE"""),"")</f>
        <v/>
      </c>
      <c r="N5137" s="6" t="str">
        <f>IFERROR(__xludf.DUMMYFUNCTION("""COMPUTED_VALUE"""),"")</f>
        <v/>
      </c>
      <c r="O5137" s="87" t="str">
        <f>IFERROR(__xludf.DUMMYFUNCTION("""COMPUTED_VALUE"""),"https://drive.google.com/drive/folders/10T2cTQHqEJZqE-st6uFKPoI?usp=share_link")</f>
        <v>https://drive.google.com/drive/folders/10T2cTQHqEJZqE-st6uFKPoI?usp=share_link</v>
      </c>
      <c r="P5137" s="6" t="str">
        <f>IFERROR(__xludf.DUMMYFUNCTION("""COMPUTED_VALUE"""),"Yarel Villegas Gomez")</f>
        <v>Yarel Villegas Gomez</v>
      </c>
      <c r="Q5137" s="6" t="str">
        <f>IFERROR(__xludf.DUMMYFUNCTION("""COMPUTED_VALUE"""),"L1")</f>
        <v>L1</v>
      </c>
      <c r="R5137" s="6">
        <f>IFERROR(__xludf.DUMMYFUNCTION("""COMPUTED_VALUE"""),1.0)</f>
        <v>1</v>
      </c>
      <c r="S5137" s="6" t="str">
        <f>IFERROR(__xludf.DUMMYFUNCTION("""COMPUTED_VALUE"""),"Kimberly Ball")</f>
        <v>Kimberly Ball</v>
      </c>
      <c r="T5137" s="6" t="str">
        <f>IFERROR(__xludf.DUMMYFUNCTION("""COMPUTED_VALUE"""),"kimberly.ball@studient.com")</f>
        <v>kimberly.ball@studient.com</v>
      </c>
      <c r="U5137" s="6" t="str">
        <f>IFERROR(__xludf.DUMMYFUNCTION("""COMPUTED_VALUE"""),"2")</f>
        <v>2</v>
      </c>
      <c r="V5137" s="6" t="str">
        <f>IFERROR(__xludf.DUMMYFUNCTION("""COMPUTED_VALUE"""),"")</f>
        <v/>
      </c>
      <c r="W5137" s="6" t="str">
        <f>IFERROR(__xludf.DUMMYFUNCTION("""COMPUTED_VALUE"""),"[]")</f>
        <v>[]</v>
      </c>
      <c r="X5137" s="6" t="str">
        <f>IFERROR(__xludf.DUMMYFUNCTION("""COMPUTED_VALUE"""),"Enrolled")</f>
        <v>Enrolled</v>
      </c>
    </row>
    <row r="5138">
      <c r="A5138" s="6" t="str">
        <f>IFERROR(__xludf.DUMMYFUNCTION("""COMPUTED_VALUE"""),"086-12529")</f>
        <v>086-12529</v>
      </c>
      <c r="B5138" s="6" t="str">
        <f>IFERROR(__xludf.DUMMYFUNCTION("""COMPUTED_VALUE"""),"86")</f>
        <v>86</v>
      </c>
      <c r="C5138" s="6" t="str">
        <f>IFERROR(__xludf.DUMMYFUNCTION("""COMPUTED_VALUE"""),"12529")</f>
        <v>12529</v>
      </c>
      <c r="D5138" s="6" t="str">
        <f>IFERROR(__xludf.DUMMYFUNCTION("""COMPUTED_VALUE"""),"Romeo")</f>
        <v>Romeo</v>
      </c>
      <c r="E5138" s="6" t="str">
        <f>IFERROR(__xludf.DUMMYFUNCTION("""COMPUTED_VALUE"""),"")</f>
        <v/>
      </c>
      <c r="F5138" s="6" t="str">
        <f>IFERROR(__xludf.DUMMYFUNCTION("""COMPUTED_VALUE"""),"Warren")</f>
        <v>Warren</v>
      </c>
      <c r="G5138" s="6" t="str">
        <f>IFERROR(__xludf.DUMMYFUNCTION("""COMPUTED_VALUE"""),"06/17/2016")</f>
        <v>06/17/2016</v>
      </c>
      <c r="H5138" s="6" t="str">
        <f>IFERROR(__xludf.DUMMYFUNCTION("""COMPUTED_VALUE"""),"female")</f>
        <v>female</v>
      </c>
      <c r="I5138" s="6" t="str">
        <f>IFERROR(__xludf.DUMMYFUNCTION("""COMPUTED_VALUE"""),"Level 1")</f>
        <v>Level 1</v>
      </c>
      <c r="J5138" s="6" t="str">
        <f>IFERROR(__xludf.DUMMYFUNCTION("""COMPUTED_VALUE"""),"2")</f>
        <v>2</v>
      </c>
      <c r="K5138" s="6" t="str">
        <f>IFERROR(__xludf.DUMMYFUNCTION("""COMPUTED_VALUE"""),"romeo.warren@2hourlearning.com")</f>
        <v>romeo.warren@2hourlearning.com</v>
      </c>
      <c r="L5138" s="6" t="str">
        <f>IFERROR(__xludf.DUMMYFUNCTION("""COMPUTED_VALUE"""),"JRES - Ridgeland Elementary School")</f>
        <v>JRES - Ridgeland Elementary School</v>
      </c>
      <c r="M5138" s="6" t="str">
        <f>IFERROR(__xludf.DUMMYFUNCTION("""COMPUTED_VALUE"""),"")</f>
        <v/>
      </c>
      <c r="N5138" s="6" t="str">
        <f>IFERROR(__xludf.DUMMYFUNCTION("""COMPUTED_VALUE"""),"")</f>
        <v/>
      </c>
      <c r="O5138" s="87" t="str">
        <f>IFERROR(__xludf.DUMMYFUNCTION("""COMPUTED_VALUE"""),"https://drive.google.com/drive/folders/10T2cTQHqEJZqE-st6uFKPoI?usp=share_link")</f>
        <v>https://drive.google.com/drive/folders/10T2cTQHqEJZqE-st6uFKPoI?usp=share_link</v>
      </c>
      <c r="P5138" s="6" t="str">
        <f>IFERROR(__xludf.DUMMYFUNCTION("""COMPUTED_VALUE"""),"Romeo Warren")</f>
        <v>Romeo Warren</v>
      </c>
      <c r="Q5138" s="6" t="str">
        <f>IFERROR(__xludf.DUMMYFUNCTION("""COMPUTED_VALUE"""),"L1")</f>
        <v>L1</v>
      </c>
      <c r="R5138" s="6">
        <f>IFERROR(__xludf.DUMMYFUNCTION("""COMPUTED_VALUE"""),1.0)</f>
        <v>1</v>
      </c>
      <c r="S5138" s="6" t="str">
        <f>IFERROR(__xludf.DUMMYFUNCTION("""COMPUTED_VALUE"""),"Kimberly Ball")</f>
        <v>Kimberly Ball</v>
      </c>
      <c r="T5138" s="6" t="str">
        <f>IFERROR(__xludf.DUMMYFUNCTION("""COMPUTED_VALUE"""),"kimberly.ball@studient.com")</f>
        <v>kimberly.ball@studient.com</v>
      </c>
      <c r="U5138" s="6" t="str">
        <f>IFERROR(__xludf.DUMMYFUNCTION("""COMPUTED_VALUE"""),"2")</f>
        <v>2</v>
      </c>
      <c r="V5138" s="6" t="str">
        <f>IFERROR(__xludf.DUMMYFUNCTION("""COMPUTED_VALUE"""),"")</f>
        <v/>
      </c>
      <c r="W5138" s="6" t="str">
        <f>IFERROR(__xludf.DUMMYFUNCTION("""COMPUTED_VALUE"""),"[]")</f>
        <v>[]</v>
      </c>
      <c r="X5138" s="6" t="str">
        <f>IFERROR(__xludf.DUMMYFUNCTION("""COMPUTED_VALUE"""),"Enrolled")</f>
        <v>Enrolled</v>
      </c>
    </row>
    <row r="5139">
      <c r="A5139" s="6" t="str">
        <f>IFERROR(__xludf.DUMMYFUNCTION("""COMPUTED_VALUE"""),"086-12530")</f>
        <v>086-12530</v>
      </c>
      <c r="B5139" s="6" t="str">
        <f>IFERROR(__xludf.DUMMYFUNCTION("""COMPUTED_VALUE"""),"86")</f>
        <v>86</v>
      </c>
      <c r="C5139" s="6" t="str">
        <f>IFERROR(__xludf.DUMMYFUNCTION("""COMPUTED_VALUE"""),"12530")</f>
        <v>12530</v>
      </c>
      <c r="D5139" s="6" t="str">
        <f>IFERROR(__xludf.DUMMYFUNCTION("""COMPUTED_VALUE"""),"Kaleb")</f>
        <v>Kaleb</v>
      </c>
      <c r="E5139" s="6" t="str">
        <f>IFERROR(__xludf.DUMMYFUNCTION("""COMPUTED_VALUE"""),"")</f>
        <v/>
      </c>
      <c r="F5139" s="6" t="str">
        <f>IFERROR(__xludf.DUMMYFUNCTION("""COMPUTED_VALUE"""),"Washington")</f>
        <v>Washington</v>
      </c>
      <c r="G5139" s="6" t="str">
        <f>IFERROR(__xludf.DUMMYFUNCTION("""COMPUTED_VALUE"""),"12/01/2016")</f>
        <v>12/01/2016</v>
      </c>
      <c r="H5139" s="6" t="str">
        <f>IFERROR(__xludf.DUMMYFUNCTION("""COMPUTED_VALUE"""),"female")</f>
        <v>female</v>
      </c>
      <c r="I5139" s="6" t="str">
        <f>IFERROR(__xludf.DUMMYFUNCTION("""COMPUTED_VALUE"""),"Level 1")</f>
        <v>Level 1</v>
      </c>
      <c r="J5139" s="6" t="str">
        <f>IFERROR(__xludf.DUMMYFUNCTION("""COMPUTED_VALUE"""),"2")</f>
        <v>2</v>
      </c>
      <c r="K5139" s="6" t="str">
        <f>IFERROR(__xludf.DUMMYFUNCTION("""COMPUTED_VALUE"""),"kaleb.washington@2hourlearning.com")</f>
        <v>kaleb.washington@2hourlearning.com</v>
      </c>
      <c r="L5139" s="6" t="str">
        <f>IFERROR(__xludf.DUMMYFUNCTION("""COMPUTED_VALUE"""),"JRES - Ridgeland Elementary School")</f>
        <v>JRES - Ridgeland Elementary School</v>
      </c>
      <c r="M5139" s="6" t="str">
        <f>IFERROR(__xludf.DUMMYFUNCTION("""COMPUTED_VALUE"""),"")</f>
        <v/>
      </c>
      <c r="N5139" s="6" t="str">
        <f>IFERROR(__xludf.DUMMYFUNCTION("""COMPUTED_VALUE"""),"")</f>
        <v/>
      </c>
      <c r="O5139" s="87" t="str">
        <f>IFERROR(__xludf.DUMMYFUNCTION("""COMPUTED_VALUE"""),"https://drive.google.com/drive/folders/10T2cTQHqEJZqE-st6uFKPoI?usp=share_link")</f>
        <v>https://drive.google.com/drive/folders/10T2cTQHqEJZqE-st6uFKPoI?usp=share_link</v>
      </c>
      <c r="P5139" s="6" t="str">
        <f>IFERROR(__xludf.DUMMYFUNCTION("""COMPUTED_VALUE"""),"Kaleb Washington")</f>
        <v>Kaleb Washington</v>
      </c>
      <c r="Q5139" s="6" t="str">
        <f>IFERROR(__xludf.DUMMYFUNCTION("""COMPUTED_VALUE"""),"L1")</f>
        <v>L1</v>
      </c>
      <c r="R5139" s="6">
        <f>IFERROR(__xludf.DUMMYFUNCTION("""COMPUTED_VALUE"""),1.0)</f>
        <v>1</v>
      </c>
      <c r="S5139" s="6" t="str">
        <f>IFERROR(__xludf.DUMMYFUNCTION("""COMPUTED_VALUE"""),"Kimberly Ball")</f>
        <v>Kimberly Ball</v>
      </c>
      <c r="T5139" s="6" t="str">
        <f>IFERROR(__xludf.DUMMYFUNCTION("""COMPUTED_VALUE"""),"kimberly.ball@studient.com")</f>
        <v>kimberly.ball@studient.com</v>
      </c>
      <c r="U5139" s="6" t="str">
        <f>IFERROR(__xludf.DUMMYFUNCTION("""COMPUTED_VALUE"""),"2")</f>
        <v>2</v>
      </c>
      <c r="V5139" s="6" t="str">
        <f>IFERROR(__xludf.DUMMYFUNCTION("""COMPUTED_VALUE"""),"")</f>
        <v/>
      </c>
      <c r="W5139" s="6" t="str">
        <f>IFERROR(__xludf.DUMMYFUNCTION("""COMPUTED_VALUE"""),"[]")</f>
        <v>[]</v>
      </c>
      <c r="X5139" s="6" t="str">
        <f>IFERROR(__xludf.DUMMYFUNCTION("""COMPUTED_VALUE"""),"Enrolled")</f>
        <v>Enrolled</v>
      </c>
    </row>
    <row r="5140">
      <c r="A5140" s="6" t="str">
        <f>IFERROR(__xludf.DUMMYFUNCTION("""COMPUTED_VALUE"""),"086-12531")</f>
        <v>086-12531</v>
      </c>
      <c r="B5140" s="6" t="str">
        <f>IFERROR(__xludf.DUMMYFUNCTION("""COMPUTED_VALUE"""),"86")</f>
        <v>86</v>
      </c>
      <c r="C5140" s="6" t="str">
        <f>IFERROR(__xludf.DUMMYFUNCTION("""COMPUTED_VALUE"""),"12531")</f>
        <v>12531</v>
      </c>
      <c r="D5140" s="6" t="str">
        <f>IFERROR(__xludf.DUMMYFUNCTION("""COMPUTED_VALUE"""),"A'Nalah")</f>
        <v>A'Nalah</v>
      </c>
      <c r="E5140" s="6" t="str">
        <f>IFERROR(__xludf.DUMMYFUNCTION("""COMPUTED_VALUE"""),"")</f>
        <v/>
      </c>
      <c r="F5140" s="6" t="str">
        <f>IFERROR(__xludf.DUMMYFUNCTION("""COMPUTED_VALUE"""),"Watson")</f>
        <v>Watson</v>
      </c>
      <c r="G5140" s="6" t="str">
        <f>IFERROR(__xludf.DUMMYFUNCTION("""COMPUTED_VALUE"""),"02/24/2016")</f>
        <v>02/24/2016</v>
      </c>
      <c r="H5140" s="6" t="str">
        <f>IFERROR(__xludf.DUMMYFUNCTION("""COMPUTED_VALUE"""),"female")</f>
        <v>female</v>
      </c>
      <c r="I5140" s="6" t="str">
        <f>IFERROR(__xludf.DUMMYFUNCTION("""COMPUTED_VALUE"""),"Level 1")</f>
        <v>Level 1</v>
      </c>
      <c r="J5140" s="6" t="str">
        <f>IFERROR(__xludf.DUMMYFUNCTION("""COMPUTED_VALUE"""),"2")</f>
        <v>2</v>
      </c>
      <c r="K5140" s="6" t="str">
        <f>IFERROR(__xludf.DUMMYFUNCTION("""COMPUTED_VALUE"""),"analah.watson@2hourlearning.com")</f>
        <v>analah.watson@2hourlearning.com</v>
      </c>
      <c r="L5140" s="6" t="str">
        <f>IFERROR(__xludf.DUMMYFUNCTION("""COMPUTED_VALUE"""),"JRES - Ridgeland Elementary School")</f>
        <v>JRES - Ridgeland Elementary School</v>
      </c>
      <c r="M5140" s="6" t="str">
        <f>IFERROR(__xludf.DUMMYFUNCTION("""COMPUTED_VALUE"""),"")</f>
        <v/>
      </c>
      <c r="N5140" s="6" t="str">
        <f>IFERROR(__xludf.DUMMYFUNCTION("""COMPUTED_VALUE"""),"")</f>
        <v/>
      </c>
      <c r="O5140" s="87" t="str">
        <f>IFERROR(__xludf.DUMMYFUNCTION("""COMPUTED_VALUE"""),"https://drive.google.com/drive/folders/10T2cTQHqEJZqE-st6uFKPoI?usp=share_link")</f>
        <v>https://drive.google.com/drive/folders/10T2cTQHqEJZqE-st6uFKPoI?usp=share_link</v>
      </c>
      <c r="P5140" s="6" t="str">
        <f>IFERROR(__xludf.DUMMYFUNCTION("""COMPUTED_VALUE"""),"A'Nalah Watson")</f>
        <v>A'Nalah Watson</v>
      </c>
      <c r="Q5140" s="6" t="str">
        <f>IFERROR(__xludf.DUMMYFUNCTION("""COMPUTED_VALUE"""),"L1")</f>
        <v>L1</v>
      </c>
      <c r="R5140" s="6">
        <f>IFERROR(__xludf.DUMMYFUNCTION("""COMPUTED_VALUE"""),1.0)</f>
        <v>1</v>
      </c>
      <c r="S5140" s="6" t="str">
        <f>IFERROR(__xludf.DUMMYFUNCTION("""COMPUTED_VALUE"""),"Kimberly Ball")</f>
        <v>Kimberly Ball</v>
      </c>
      <c r="T5140" s="6" t="str">
        <f>IFERROR(__xludf.DUMMYFUNCTION("""COMPUTED_VALUE"""),"kimberly.ball@studient.com")</f>
        <v>kimberly.ball@studient.com</v>
      </c>
      <c r="U5140" s="6" t="str">
        <f>IFERROR(__xludf.DUMMYFUNCTION("""COMPUTED_VALUE"""),"2")</f>
        <v>2</v>
      </c>
      <c r="V5140" s="6" t="str">
        <f>IFERROR(__xludf.DUMMYFUNCTION("""COMPUTED_VALUE"""),"")</f>
        <v/>
      </c>
      <c r="W5140" s="6" t="str">
        <f>IFERROR(__xludf.DUMMYFUNCTION("""COMPUTED_VALUE"""),"[]")</f>
        <v>[]</v>
      </c>
      <c r="X5140" s="6" t="str">
        <f>IFERROR(__xludf.DUMMYFUNCTION("""COMPUTED_VALUE"""),"Enrolled")</f>
        <v>Enrolled</v>
      </c>
    </row>
    <row r="5141">
      <c r="A5141" s="6" t="str">
        <f>IFERROR(__xludf.DUMMYFUNCTION("""COMPUTED_VALUE"""),"086-12532")</f>
        <v>086-12532</v>
      </c>
      <c r="B5141" s="6" t="str">
        <f>IFERROR(__xludf.DUMMYFUNCTION("""COMPUTED_VALUE"""),"86")</f>
        <v>86</v>
      </c>
      <c r="C5141" s="6" t="str">
        <f>IFERROR(__xludf.DUMMYFUNCTION("""COMPUTED_VALUE"""),"12532")</f>
        <v>12532</v>
      </c>
      <c r="D5141" s="6" t="str">
        <f>IFERROR(__xludf.DUMMYFUNCTION("""COMPUTED_VALUE"""),"Miami Shanyiah")</f>
        <v>Miami Shanyiah</v>
      </c>
      <c r="E5141" s="6" t="str">
        <f>IFERROR(__xludf.DUMMYFUNCTION("""COMPUTED_VALUE"""),"")</f>
        <v/>
      </c>
      <c r="F5141" s="6" t="str">
        <f>IFERROR(__xludf.DUMMYFUNCTION("""COMPUTED_VALUE"""),"Watson")</f>
        <v>Watson</v>
      </c>
      <c r="G5141" s="6" t="str">
        <f>IFERROR(__xludf.DUMMYFUNCTION("""COMPUTED_VALUE"""),"02/10/2015")</f>
        <v>02/10/2015</v>
      </c>
      <c r="H5141" s="6" t="str">
        <f>IFERROR(__xludf.DUMMYFUNCTION("""COMPUTED_VALUE"""),"male")</f>
        <v>male</v>
      </c>
      <c r="I5141" s="6" t="str">
        <f>IFERROR(__xludf.DUMMYFUNCTION("""COMPUTED_VALUE"""),"Level 1")</f>
        <v>Level 1</v>
      </c>
      <c r="J5141" s="6" t="str">
        <f>IFERROR(__xludf.DUMMYFUNCTION("""COMPUTED_VALUE"""),"2")</f>
        <v>2</v>
      </c>
      <c r="K5141" s="6" t="str">
        <f>IFERROR(__xludf.DUMMYFUNCTION("""COMPUTED_VALUE"""),"miamishanyiah.watson@2hourlearning.com")</f>
        <v>miamishanyiah.watson@2hourlearning.com</v>
      </c>
      <c r="L5141" s="6" t="str">
        <f>IFERROR(__xludf.DUMMYFUNCTION("""COMPUTED_VALUE"""),"JRES - Ridgeland Elementary School")</f>
        <v>JRES - Ridgeland Elementary School</v>
      </c>
      <c r="M5141" s="6" t="str">
        <f>IFERROR(__xludf.DUMMYFUNCTION("""COMPUTED_VALUE"""),"")</f>
        <v/>
      </c>
      <c r="N5141" s="6" t="str">
        <f>IFERROR(__xludf.DUMMYFUNCTION("""COMPUTED_VALUE"""),"")</f>
        <v/>
      </c>
      <c r="O5141" s="87" t="str">
        <f>IFERROR(__xludf.DUMMYFUNCTION("""COMPUTED_VALUE"""),"https://drive.google.com/drive/folders/10T2cTQHqEJZqE-st6uFKPoI?usp=share_link")</f>
        <v>https://drive.google.com/drive/folders/10T2cTQHqEJZqE-st6uFKPoI?usp=share_link</v>
      </c>
      <c r="P5141" s="6" t="str">
        <f>IFERROR(__xludf.DUMMYFUNCTION("""COMPUTED_VALUE"""),"Miami Shanyiah Watson")</f>
        <v>Miami Shanyiah Watson</v>
      </c>
      <c r="Q5141" s="6" t="str">
        <f>IFERROR(__xludf.DUMMYFUNCTION("""COMPUTED_VALUE"""),"L1")</f>
        <v>L1</v>
      </c>
      <c r="R5141" s="6">
        <f>IFERROR(__xludf.DUMMYFUNCTION("""COMPUTED_VALUE"""),1.0)</f>
        <v>1</v>
      </c>
      <c r="S5141" s="6" t="str">
        <f>IFERROR(__xludf.DUMMYFUNCTION("""COMPUTED_VALUE"""),"Kimberly Ball")</f>
        <v>Kimberly Ball</v>
      </c>
      <c r="T5141" s="6" t="str">
        <f>IFERROR(__xludf.DUMMYFUNCTION("""COMPUTED_VALUE"""),"kimberly.ball@studient.com")</f>
        <v>kimberly.ball@studient.com</v>
      </c>
      <c r="U5141" s="6" t="str">
        <f>IFERROR(__xludf.DUMMYFUNCTION("""COMPUTED_VALUE"""),"2")</f>
        <v>2</v>
      </c>
      <c r="V5141" s="6" t="str">
        <f>IFERROR(__xludf.DUMMYFUNCTION("""COMPUTED_VALUE"""),"")</f>
        <v/>
      </c>
      <c r="W5141" s="6" t="str">
        <f>IFERROR(__xludf.DUMMYFUNCTION("""COMPUTED_VALUE"""),"[]")</f>
        <v>[]</v>
      </c>
      <c r="X5141" s="6" t="str">
        <f>IFERROR(__xludf.DUMMYFUNCTION("""COMPUTED_VALUE"""),"Enrolled")</f>
        <v>Enrolled</v>
      </c>
    </row>
    <row r="5142">
      <c r="A5142" s="6" t="str">
        <f>IFERROR(__xludf.DUMMYFUNCTION("""COMPUTED_VALUE"""),"086-12533")</f>
        <v>086-12533</v>
      </c>
      <c r="B5142" s="6" t="str">
        <f>IFERROR(__xludf.DUMMYFUNCTION("""COMPUTED_VALUE"""),"86")</f>
        <v>86</v>
      </c>
      <c r="C5142" s="6" t="str">
        <f>IFERROR(__xludf.DUMMYFUNCTION("""COMPUTED_VALUE"""),"12533")</f>
        <v>12533</v>
      </c>
      <c r="D5142" s="6" t="str">
        <f>IFERROR(__xludf.DUMMYFUNCTION("""COMPUTED_VALUE"""),"Bryce")</f>
        <v>Bryce</v>
      </c>
      <c r="E5142" s="6" t="str">
        <f>IFERROR(__xludf.DUMMYFUNCTION("""COMPUTED_VALUE"""),"")</f>
        <v/>
      </c>
      <c r="F5142" s="6" t="str">
        <f>IFERROR(__xludf.DUMMYFUNCTION("""COMPUTED_VALUE"""),"Weaver")</f>
        <v>Weaver</v>
      </c>
      <c r="G5142" s="6" t="str">
        <f>IFERROR(__xludf.DUMMYFUNCTION("""COMPUTED_VALUE"""),"04/24/2017")</f>
        <v>04/24/2017</v>
      </c>
      <c r="H5142" s="6" t="str">
        <f>IFERROR(__xludf.DUMMYFUNCTION("""COMPUTED_VALUE"""),"male")</f>
        <v>male</v>
      </c>
      <c r="I5142" s="6" t="str">
        <f>IFERROR(__xludf.DUMMYFUNCTION("""COMPUTED_VALUE"""),"Level 1")</f>
        <v>Level 1</v>
      </c>
      <c r="J5142" s="6" t="str">
        <f>IFERROR(__xludf.DUMMYFUNCTION("""COMPUTED_VALUE"""),"2")</f>
        <v>2</v>
      </c>
      <c r="K5142" s="6" t="str">
        <f>IFERROR(__xludf.DUMMYFUNCTION("""COMPUTED_VALUE"""),"bryce.weaver@2hourlearning.com")</f>
        <v>bryce.weaver@2hourlearning.com</v>
      </c>
      <c r="L5142" s="6" t="str">
        <f>IFERROR(__xludf.DUMMYFUNCTION("""COMPUTED_VALUE"""),"JRES - Ridgeland Elementary School")</f>
        <v>JRES - Ridgeland Elementary School</v>
      </c>
      <c r="M5142" s="6" t="str">
        <f>IFERROR(__xludf.DUMMYFUNCTION("""COMPUTED_VALUE"""),"")</f>
        <v/>
      </c>
      <c r="N5142" s="6" t="str">
        <f>IFERROR(__xludf.DUMMYFUNCTION("""COMPUTED_VALUE"""),"")</f>
        <v/>
      </c>
      <c r="O5142" s="87" t="str">
        <f>IFERROR(__xludf.DUMMYFUNCTION("""COMPUTED_VALUE"""),"https://drive.google.com/drive/folders/10T2cTQHqEJZqE-st6uFKPoI?usp=share_link")</f>
        <v>https://drive.google.com/drive/folders/10T2cTQHqEJZqE-st6uFKPoI?usp=share_link</v>
      </c>
      <c r="P5142" s="6" t="str">
        <f>IFERROR(__xludf.DUMMYFUNCTION("""COMPUTED_VALUE"""),"Bryce Weaver")</f>
        <v>Bryce Weaver</v>
      </c>
      <c r="Q5142" s="6" t="str">
        <f>IFERROR(__xludf.DUMMYFUNCTION("""COMPUTED_VALUE"""),"L1")</f>
        <v>L1</v>
      </c>
      <c r="R5142" s="6">
        <f>IFERROR(__xludf.DUMMYFUNCTION("""COMPUTED_VALUE"""),1.0)</f>
        <v>1</v>
      </c>
      <c r="S5142" s="6" t="str">
        <f>IFERROR(__xludf.DUMMYFUNCTION("""COMPUTED_VALUE"""),"Kimberly Ball")</f>
        <v>Kimberly Ball</v>
      </c>
      <c r="T5142" s="6" t="str">
        <f>IFERROR(__xludf.DUMMYFUNCTION("""COMPUTED_VALUE"""),"kimberly.ball@studient.com")</f>
        <v>kimberly.ball@studient.com</v>
      </c>
      <c r="U5142" s="6" t="str">
        <f>IFERROR(__xludf.DUMMYFUNCTION("""COMPUTED_VALUE"""),"2")</f>
        <v>2</v>
      </c>
      <c r="V5142" s="6" t="str">
        <f>IFERROR(__xludf.DUMMYFUNCTION("""COMPUTED_VALUE"""),"")</f>
        <v/>
      </c>
      <c r="W5142" s="6" t="str">
        <f>IFERROR(__xludf.DUMMYFUNCTION("""COMPUTED_VALUE"""),"[]")</f>
        <v>[]</v>
      </c>
      <c r="X5142" s="6" t="str">
        <f>IFERROR(__xludf.DUMMYFUNCTION("""COMPUTED_VALUE"""),"Enrolled")</f>
        <v>Enrolled</v>
      </c>
    </row>
    <row r="5143">
      <c r="A5143" s="6" t="str">
        <f>IFERROR(__xludf.DUMMYFUNCTION("""COMPUTED_VALUE"""),"086-12534")</f>
        <v>086-12534</v>
      </c>
      <c r="B5143" s="6" t="str">
        <f>IFERROR(__xludf.DUMMYFUNCTION("""COMPUTED_VALUE"""),"86")</f>
        <v>86</v>
      </c>
      <c r="C5143" s="6" t="str">
        <f>IFERROR(__xludf.DUMMYFUNCTION("""COMPUTED_VALUE"""),"12534")</f>
        <v>12534</v>
      </c>
      <c r="D5143" s="6" t="str">
        <f>IFERROR(__xludf.DUMMYFUNCTION("""COMPUTED_VALUE"""),"Skyler")</f>
        <v>Skyler</v>
      </c>
      <c r="E5143" s="6" t="str">
        <f>IFERROR(__xludf.DUMMYFUNCTION("""COMPUTED_VALUE"""),"")</f>
        <v/>
      </c>
      <c r="F5143" s="6" t="str">
        <f>IFERROR(__xludf.DUMMYFUNCTION("""COMPUTED_VALUE"""),"Weaver")</f>
        <v>Weaver</v>
      </c>
      <c r="G5143" s="6" t="str">
        <f>IFERROR(__xludf.DUMMYFUNCTION("""COMPUTED_VALUE"""),"07/03/2013")</f>
        <v>07/03/2013</v>
      </c>
      <c r="H5143" s="6" t="str">
        <f>IFERROR(__xludf.DUMMYFUNCTION("""COMPUTED_VALUE"""),"male")</f>
        <v>male</v>
      </c>
      <c r="I5143" s="6" t="str">
        <f>IFERROR(__xludf.DUMMYFUNCTION("""COMPUTED_VALUE"""),"Level 1")</f>
        <v>Level 1</v>
      </c>
      <c r="J5143" s="6" t="str">
        <f>IFERROR(__xludf.DUMMYFUNCTION("""COMPUTED_VALUE"""),"2")</f>
        <v>2</v>
      </c>
      <c r="K5143" s="6" t="str">
        <f>IFERROR(__xludf.DUMMYFUNCTION("""COMPUTED_VALUE"""),"skyler.weaver@2hourlearning.com")</f>
        <v>skyler.weaver@2hourlearning.com</v>
      </c>
      <c r="L5143" s="6" t="str">
        <f>IFERROR(__xludf.DUMMYFUNCTION("""COMPUTED_VALUE"""),"JRES - Ridgeland Elementary School")</f>
        <v>JRES - Ridgeland Elementary School</v>
      </c>
      <c r="M5143" s="6" t="str">
        <f>IFERROR(__xludf.DUMMYFUNCTION("""COMPUTED_VALUE"""),"")</f>
        <v/>
      </c>
      <c r="N5143" s="6" t="str">
        <f>IFERROR(__xludf.DUMMYFUNCTION("""COMPUTED_VALUE"""),"")</f>
        <v/>
      </c>
      <c r="O5143" s="87" t="str">
        <f>IFERROR(__xludf.DUMMYFUNCTION("""COMPUTED_VALUE"""),"https://drive.google.com/drive/folders/10T2cTQHqEJZqE-st6uFKPoI?usp=share_link")</f>
        <v>https://drive.google.com/drive/folders/10T2cTQHqEJZqE-st6uFKPoI?usp=share_link</v>
      </c>
      <c r="P5143" s="6" t="str">
        <f>IFERROR(__xludf.DUMMYFUNCTION("""COMPUTED_VALUE"""),"Skyler Weaver")</f>
        <v>Skyler Weaver</v>
      </c>
      <c r="Q5143" s="6" t="str">
        <f>IFERROR(__xludf.DUMMYFUNCTION("""COMPUTED_VALUE"""),"L1")</f>
        <v>L1</v>
      </c>
      <c r="R5143" s="6">
        <f>IFERROR(__xludf.DUMMYFUNCTION("""COMPUTED_VALUE"""),1.0)</f>
        <v>1</v>
      </c>
      <c r="S5143" s="6" t="str">
        <f>IFERROR(__xludf.DUMMYFUNCTION("""COMPUTED_VALUE"""),"Kimberly Ball")</f>
        <v>Kimberly Ball</v>
      </c>
      <c r="T5143" s="6" t="str">
        <f>IFERROR(__xludf.DUMMYFUNCTION("""COMPUTED_VALUE"""),"kimberly.ball@studient.com")</f>
        <v>kimberly.ball@studient.com</v>
      </c>
      <c r="U5143" s="6" t="str">
        <f>IFERROR(__xludf.DUMMYFUNCTION("""COMPUTED_VALUE"""),"2")</f>
        <v>2</v>
      </c>
      <c r="V5143" s="6" t="str">
        <f>IFERROR(__xludf.DUMMYFUNCTION("""COMPUTED_VALUE"""),"")</f>
        <v/>
      </c>
      <c r="W5143" s="6" t="str">
        <f>IFERROR(__xludf.DUMMYFUNCTION("""COMPUTED_VALUE"""),"[]")</f>
        <v>[]</v>
      </c>
      <c r="X5143" s="6" t="str">
        <f>IFERROR(__xludf.DUMMYFUNCTION("""COMPUTED_VALUE"""),"Enrolled")</f>
        <v>Enrolled</v>
      </c>
    </row>
    <row r="5144">
      <c r="A5144" s="6" t="str">
        <f>IFERROR(__xludf.DUMMYFUNCTION("""COMPUTED_VALUE"""),"086-12535")</f>
        <v>086-12535</v>
      </c>
      <c r="B5144" s="6" t="str">
        <f>IFERROR(__xludf.DUMMYFUNCTION("""COMPUTED_VALUE"""),"86")</f>
        <v>86</v>
      </c>
      <c r="C5144" s="6" t="str">
        <f>IFERROR(__xludf.DUMMYFUNCTION("""COMPUTED_VALUE"""),"12535")</f>
        <v>12535</v>
      </c>
      <c r="D5144" s="6" t="str">
        <f>IFERROR(__xludf.DUMMYFUNCTION("""COMPUTED_VALUE"""),"Damonte'ay")</f>
        <v>Damonte'ay</v>
      </c>
      <c r="E5144" s="6" t="str">
        <f>IFERROR(__xludf.DUMMYFUNCTION("""COMPUTED_VALUE"""),"")</f>
        <v/>
      </c>
      <c r="F5144" s="6" t="str">
        <f>IFERROR(__xludf.DUMMYFUNCTION("""COMPUTED_VALUE"""),"Williams")</f>
        <v>Williams</v>
      </c>
      <c r="G5144" s="6" t="str">
        <f>IFERROR(__xludf.DUMMYFUNCTION("""COMPUTED_VALUE"""),"03/31/2015")</f>
        <v>03/31/2015</v>
      </c>
      <c r="H5144" s="6" t="str">
        <f>IFERROR(__xludf.DUMMYFUNCTION("""COMPUTED_VALUE"""),"female")</f>
        <v>female</v>
      </c>
      <c r="I5144" s="6" t="str">
        <f>IFERROR(__xludf.DUMMYFUNCTION("""COMPUTED_VALUE"""),"Level 1")</f>
        <v>Level 1</v>
      </c>
      <c r="J5144" s="6" t="str">
        <f>IFERROR(__xludf.DUMMYFUNCTION("""COMPUTED_VALUE"""),"2")</f>
        <v>2</v>
      </c>
      <c r="K5144" s="6" t="str">
        <f>IFERROR(__xludf.DUMMYFUNCTION("""COMPUTED_VALUE"""),"damonteay.williams@2hourlearning.com")</f>
        <v>damonteay.williams@2hourlearning.com</v>
      </c>
      <c r="L5144" s="6" t="str">
        <f>IFERROR(__xludf.DUMMYFUNCTION("""COMPUTED_VALUE"""),"JRES - Ridgeland Elementary School")</f>
        <v>JRES - Ridgeland Elementary School</v>
      </c>
      <c r="M5144" s="6" t="str">
        <f>IFERROR(__xludf.DUMMYFUNCTION("""COMPUTED_VALUE"""),"")</f>
        <v/>
      </c>
      <c r="N5144" s="6" t="str">
        <f>IFERROR(__xludf.DUMMYFUNCTION("""COMPUTED_VALUE"""),"")</f>
        <v/>
      </c>
      <c r="O5144" s="87" t="str">
        <f>IFERROR(__xludf.DUMMYFUNCTION("""COMPUTED_VALUE"""),"https://drive.google.com/drive/folders/10T2cTQHqEJZqE-st6uFKPoI?usp=share_link")</f>
        <v>https://drive.google.com/drive/folders/10T2cTQHqEJZqE-st6uFKPoI?usp=share_link</v>
      </c>
      <c r="P5144" s="6" t="str">
        <f>IFERROR(__xludf.DUMMYFUNCTION("""COMPUTED_VALUE"""),"Damonte'ay Williams")</f>
        <v>Damonte'ay Williams</v>
      </c>
      <c r="Q5144" s="6" t="str">
        <f>IFERROR(__xludf.DUMMYFUNCTION("""COMPUTED_VALUE"""),"L1")</f>
        <v>L1</v>
      </c>
      <c r="R5144" s="6">
        <f>IFERROR(__xludf.DUMMYFUNCTION("""COMPUTED_VALUE"""),1.0)</f>
        <v>1</v>
      </c>
      <c r="S5144" s="6" t="str">
        <f>IFERROR(__xludf.DUMMYFUNCTION("""COMPUTED_VALUE"""),"Kimberly Ball")</f>
        <v>Kimberly Ball</v>
      </c>
      <c r="T5144" s="6" t="str">
        <f>IFERROR(__xludf.DUMMYFUNCTION("""COMPUTED_VALUE"""),"kimberly.ball@studient.com")</f>
        <v>kimberly.ball@studient.com</v>
      </c>
      <c r="U5144" s="6" t="str">
        <f>IFERROR(__xludf.DUMMYFUNCTION("""COMPUTED_VALUE"""),"2")</f>
        <v>2</v>
      </c>
      <c r="V5144" s="6" t="str">
        <f>IFERROR(__xludf.DUMMYFUNCTION("""COMPUTED_VALUE"""),"")</f>
        <v/>
      </c>
      <c r="W5144" s="6" t="str">
        <f>IFERROR(__xludf.DUMMYFUNCTION("""COMPUTED_VALUE"""),"[]")</f>
        <v>[]</v>
      </c>
      <c r="X5144" s="6" t="str">
        <f>IFERROR(__xludf.DUMMYFUNCTION("""COMPUTED_VALUE"""),"Enrolled")</f>
        <v>Enrolled</v>
      </c>
    </row>
    <row r="5145">
      <c r="A5145" s="6" t="str">
        <f>IFERROR(__xludf.DUMMYFUNCTION("""COMPUTED_VALUE"""),"086-12536")</f>
        <v>086-12536</v>
      </c>
      <c r="B5145" s="6" t="str">
        <f>IFERROR(__xludf.DUMMYFUNCTION("""COMPUTED_VALUE"""),"86")</f>
        <v>86</v>
      </c>
      <c r="C5145" s="6" t="str">
        <f>IFERROR(__xludf.DUMMYFUNCTION("""COMPUTED_VALUE"""),"12536")</f>
        <v>12536</v>
      </c>
      <c r="D5145" s="6" t="str">
        <f>IFERROR(__xludf.DUMMYFUNCTION("""COMPUTED_VALUE"""),"Miguel")</f>
        <v>Miguel</v>
      </c>
      <c r="E5145" s="6" t="str">
        <f>IFERROR(__xludf.DUMMYFUNCTION("""COMPUTED_VALUE"""),"")</f>
        <v/>
      </c>
      <c r="F5145" s="6" t="str">
        <f>IFERROR(__xludf.DUMMYFUNCTION("""COMPUTED_VALUE"""),"Williams")</f>
        <v>Williams</v>
      </c>
      <c r="G5145" s="6" t="str">
        <f>IFERROR(__xludf.DUMMYFUNCTION("""COMPUTED_VALUE"""),"06/29/2016")</f>
        <v>06/29/2016</v>
      </c>
      <c r="H5145" s="6" t="str">
        <f>IFERROR(__xludf.DUMMYFUNCTION("""COMPUTED_VALUE"""),"male")</f>
        <v>male</v>
      </c>
      <c r="I5145" s="6" t="str">
        <f>IFERROR(__xludf.DUMMYFUNCTION("""COMPUTED_VALUE"""),"Level 1")</f>
        <v>Level 1</v>
      </c>
      <c r="J5145" s="6" t="str">
        <f>IFERROR(__xludf.DUMMYFUNCTION("""COMPUTED_VALUE"""),"2")</f>
        <v>2</v>
      </c>
      <c r="K5145" s="6" t="str">
        <f>IFERROR(__xludf.DUMMYFUNCTION("""COMPUTED_VALUE"""),"miguel.williams@2hourlearning.com")</f>
        <v>miguel.williams@2hourlearning.com</v>
      </c>
      <c r="L5145" s="6" t="str">
        <f>IFERROR(__xludf.DUMMYFUNCTION("""COMPUTED_VALUE"""),"JRES - Ridgeland Elementary School")</f>
        <v>JRES - Ridgeland Elementary School</v>
      </c>
      <c r="M5145" s="6" t="str">
        <f>IFERROR(__xludf.DUMMYFUNCTION("""COMPUTED_VALUE"""),"")</f>
        <v/>
      </c>
      <c r="N5145" s="6" t="str">
        <f>IFERROR(__xludf.DUMMYFUNCTION("""COMPUTED_VALUE"""),"")</f>
        <v/>
      </c>
      <c r="O5145" s="87" t="str">
        <f>IFERROR(__xludf.DUMMYFUNCTION("""COMPUTED_VALUE"""),"https://drive.google.com/drive/folders/10T2cTQHqEJZqE-st6uFKPoI?usp=share_link")</f>
        <v>https://drive.google.com/drive/folders/10T2cTQHqEJZqE-st6uFKPoI?usp=share_link</v>
      </c>
      <c r="P5145" s="6" t="str">
        <f>IFERROR(__xludf.DUMMYFUNCTION("""COMPUTED_VALUE"""),"Miguel Williams")</f>
        <v>Miguel Williams</v>
      </c>
      <c r="Q5145" s="6" t="str">
        <f>IFERROR(__xludf.DUMMYFUNCTION("""COMPUTED_VALUE"""),"L1")</f>
        <v>L1</v>
      </c>
      <c r="R5145" s="6">
        <f>IFERROR(__xludf.DUMMYFUNCTION("""COMPUTED_VALUE"""),1.0)</f>
        <v>1</v>
      </c>
      <c r="S5145" s="6" t="str">
        <f>IFERROR(__xludf.DUMMYFUNCTION("""COMPUTED_VALUE"""),"Kimberly Ball")</f>
        <v>Kimberly Ball</v>
      </c>
      <c r="T5145" s="6" t="str">
        <f>IFERROR(__xludf.DUMMYFUNCTION("""COMPUTED_VALUE"""),"kimberly.ball@studient.com")</f>
        <v>kimberly.ball@studient.com</v>
      </c>
      <c r="U5145" s="6" t="str">
        <f>IFERROR(__xludf.DUMMYFUNCTION("""COMPUTED_VALUE"""),"2")</f>
        <v>2</v>
      </c>
      <c r="V5145" s="6" t="str">
        <f>IFERROR(__xludf.DUMMYFUNCTION("""COMPUTED_VALUE"""),"")</f>
        <v/>
      </c>
      <c r="W5145" s="6" t="str">
        <f>IFERROR(__xludf.DUMMYFUNCTION("""COMPUTED_VALUE"""),"[]")</f>
        <v>[]</v>
      </c>
      <c r="X5145" s="6" t="str">
        <f>IFERROR(__xludf.DUMMYFUNCTION("""COMPUTED_VALUE"""),"Enrolled")</f>
        <v>Enrolled</v>
      </c>
    </row>
    <row r="5146">
      <c r="A5146" s="6" t="str">
        <f>IFERROR(__xludf.DUMMYFUNCTION("""COMPUTED_VALUE"""),"086-12537")</f>
        <v>086-12537</v>
      </c>
      <c r="B5146" s="6" t="str">
        <f>IFERROR(__xludf.DUMMYFUNCTION("""COMPUTED_VALUE"""),"86")</f>
        <v>86</v>
      </c>
      <c r="C5146" s="6" t="str">
        <f>IFERROR(__xludf.DUMMYFUNCTION("""COMPUTED_VALUE"""),"12537")</f>
        <v>12537</v>
      </c>
      <c r="D5146" s="6" t="str">
        <f>IFERROR(__xludf.DUMMYFUNCTION("""COMPUTED_VALUE"""),"Sophia")</f>
        <v>Sophia</v>
      </c>
      <c r="E5146" s="6" t="str">
        <f>IFERROR(__xludf.DUMMYFUNCTION("""COMPUTED_VALUE"""),"")</f>
        <v/>
      </c>
      <c r="F5146" s="6" t="str">
        <f>IFERROR(__xludf.DUMMYFUNCTION("""COMPUTED_VALUE"""),"Aguilar")</f>
        <v>Aguilar</v>
      </c>
      <c r="G5146" s="6" t="str">
        <f>IFERROR(__xludf.DUMMYFUNCTION("""COMPUTED_VALUE"""),"09/28/2016")</f>
        <v>09/28/2016</v>
      </c>
      <c r="H5146" s="6" t="str">
        <f>IFERROR(__xludf.DUMMYFUNCTION("""COMPUTED_VALUE"""),"female")</f>
        <v>female</v>
      </c>
      <c r="I5146" s="6" t="str">
        <f>IFERROR(__xludf.DUMMYFUNCTION("""COMPUTED_VALUE"""),"Level 1")</f>
        <v>Level 1</v>
      </c>
      <c r="J5146" s="6" t="str">
        <f>IFERROR(__xludf.DUMMYFUNCTION("""COMPUTED_VALUE"""),"3")</f>
        <v>3</v>
      </c>
      <c r="K5146" s="6" t="str">
        <f>IFERROR(__xludf.DUMMYFUNCTION("""COMPUTED_VALUE"""),"sophia.aguilar@2hourlearning.com")</f>
        <v>sophia.aguilar@2hourlearning.com</v>
      </c>
      <c r="L5146" s="6" t="str">
        <f>IFERROR(__xludf.DUMMYFUNCTION("""COMPUTED_VALUE"""),"JRES - Ridgeland Elementary School")</f>
        <v>JRES - Ridgeland Elementary School</v>
      </c>
      <c r="M5146" s="6" t="str">
        <f>IFERROR(__xludf.DUMMYFUNCTION("""COMPUTED_VALUE"""),"")</f>
        <v/>
      </c>
      <c r="N5146" s="6" t="str">
        <f>IFERROR(__xludf.DUMMYFUNCTION("""COMPUTED_VALUE"""),"")</f>
        <v/>
      </c>
      <c r="O5146" s="87" t="str">
        <f>IFERROR(__xludf.DUMMYFUNCTION("""COMPUTED_VALUE"""),"https://drive.google.com/drive/folders/10T2cTQHqEJZqE-st6uFKPoI?usp=share_link")</f>
        <v>https://drive.google.com/drive/folders/10T2cTQHqEJZqE-st6uFKPoI?usp=share_link</v>
      </c>
      <c r="P5146" s="6" t="str">
        <f>IFERROR(__xludf.DUMMYFUNCTION("""COMPUTED_VALUE"""),"Sophia Aguilar")</f>
        <v>Sophia Aguilar</v>
      </c>
      <c r="Q5146" s="6" t="str">
        <f>IFERROR(__xludf.DUMMYFUNCTION("""COMPUTED_VALUE"""),"L1")</f>
        <v>L1</v>
      </c>
      <c r="R5146" s="6">
        <f>IFERROR(__xludf.DUMMYFUNCTION("""COMPUTED_VALUE"""),1.0)</f>
        <v>1</v>
      </c>
      <c r="S5146" s="6" t="str">
        <f>IFERROR(__xludf.DUMMYFUNCTION("""COMPUTED_VALUE"""),"Kimberly Ball")</f>
        <v>Kimberly Ball</v>
      </c>
      <c r="T5146" s="6" t="str">
        <f>IFERROR(__xludf.DUMMYFUNCTION("""COMPUTED_VALUE"""),"kimberly.ball@studient.com")</f>
        <v>kimberly.ball@studient.com</v>
      </c>
      <c r="U5146" s="6" t="str">
        <f>IFERROR(__xludf.DUMMYFUNCTION("""COMPUTED_VALUE"""),"3")</f>
        <v>3</v>
      </c>
      <c r="V5146" s="6" t="str">
        <f>IFERROR(__xludf.DUMMYFUNCTION("""COMPUTED_VALUE"""),"")</f>
        <v/>
      </c>
      <c r="W5146" s="6" t="str">
        <f>IFERROR(__xludf.DUMMYFUNCTION("""COMPUTED_VALUE"""),"[]")</f>
        <v>[]</v>
      </c>
      <c r="X5146" s="6" t="str">
        <f>IFERROR(__xludf.DUMMYFUNCTION("""COMPUTED_VALUE"""),"Enrolled")</f>
        <v>Enrolled</v>
      </c>
    </row>
    <row r="5147">
      <c r="A5147" s="6" t="str">
        <f>IFERROR(__xludf.DUMMYFUNCTION("""COMPUTED_VALUE"""),"086-12538")</f>
        <v>086-12538</v>
      </c>
      <c r="B5147" s="6" t="str">
        <f>IFERROR(__xludf.DUMMYFUNCTION("""COMPUTED_VALUE"""),"86")</f>
        <v>86</v>
      </c>
      <c r="C5147" s="6" t="str">
        <f>IFERROR(__xludf.DUMMYFUNCTION("""COMPUTED_VALUE"""),"12538")</f>
        <v>12538</v>
      </c>
      <c r="D5147" s="6" t="str">
        <f>IFERROR(__xludf.DUMMYFUNCTION("""COMPUTED_VALUE"""),"Kimberly")</f>
        <v>Kimberly</v>
      </c>
      <c r="E5147" s="6" t="str">
        <f>IFERROR(__xludf.DUMMYFUNCTION("""COMPUTED_VALUE"""),"")</f>
        <v/>
      </c>
      <c r="F5147" s="6" t="str">
        <f>IFERROR(__xludf.DUMMYFUNCTION("""COMPUTED_VALUE"""),"Aguilar Villagomez")</f>
        <v>Aguilar Villagomez</v>
      </c>
      <c r="G5147" s="6" t="str">
        <f>IFERROR(__xludf.DUMMYFUNCTION("""COMPUTED_VALUE"""),"01/29/2017")</f>
        <v>01/29/2017</v>
      </c>
      <c r="H5147" s="6" t="str">
        <f>IFERROR(__xludf.DUMMYFUNCTION("""COMPUTED_VALUE"""),"female")</f>
        <v>female</v>
      </c>
      <c r="I5147" s="6" t="str">
        <f>IFERROR(__xludf.DUMMYFUNCTION("""COMPUTED_VALUE"""),"Level 1")</f>
        <v>Level 1</v>
      </c>
      <c r="J5147" s="6" t="str">
        <f>IFERROR(__xludf.DUMMYFUNCTION("""COMPUTED_VALUE"""),"3")</f>
        <v>3</v>
      </c>
      <c r="K5147" s="6" t="str">
        <f>IFERROR(__xludf.DUMMYFUNCTION("""COMPUTED_VALUE"""),"kimberly.aguilarvillagomez@2hourlearning.com")</f>
        <v>kimberly.aguilarvillagomez@2hourlearning.com</v>
      </c>
      <c r="L5147" s="6" t="str">
        <f>IFERROR(__xludf.DUMMYFUNCTION("""COMPUTED_VALUE"""),"JRES - Ridgeland Elementary School")</f>
        <v>JRES - Ridgeland Elementary School</v>
      </c>
      <c r="M5147" s="6" t="str">
        <f>IFERROR(__xludf.DUMMYFUNCTION("""COMPUTED_VALUE"""),"")</f>
        <v/>
      </c>
      <c r="N5147" s="6" t="str">
        <f>IFERROR(__xludf.DUMMYFUNCTION("""COMPUTED_VALUE"""),"")</f>
        <v/>
      </c>
      <c r="O5147" s="87" t="str">
        <f>IFERROR(__xludf.DUMMYFUNCTION("""COMPUTED_VALUE"""),"https://drive.google.com/drive/folders/10T2cTQHqEJZqE-st6uFKPoI?usp=share_link")</f>
        <v>https://drive.google.com/drive/folders/10T2cTQHqEJZqE-st6uFKPoI?usp=share_link</v>
      </c>
      <c r="P5147" s="6" t="str">
        <f>IFERROR(__xludf.DUMMYFUNCTION("""COMPUTED_VALUE"""),"Kimberly Aguilar Villagomez")</f>
        <v>Kimberly Aguilar Villagomez</v>
      </c>
      <c r="Q5147" s="6" t="str">
        <f>IFERROR(__xludf.DUMMYFUNCTION("""COMPUTED_VALUE"""),"L1")</f>
        <v>L1</v>
      </c>
      <c r="R5147" s="6">
        <f>IFERROR(__xludf.DUMMYFUNCTION("""COMPUTED_VALUE"""),1.0)</f>
        <v>1</v>
      </c>
      <c r="S5147" s="6" t="str">
        <f>IFERROR(__xludf.DUMMYFUNCTION("""COMPUTED_VALUE"""),"Kimberly Ball")</f>
        <v>Kimberly Ball</v>
      </c>
      <c r="T5147" s="6" t="str">
        <f>IFERROR(__xludf.DUMMYFUNCTION("""COMPUTED_VALUE"""),"kimberly.ball@studient.com")</f>
        <v>kimberly.ball@studient.com</v>
      </c>
      <c r="U5147" s="6" t="str">
        <f>IFERROR(__xludf.DUMMYFUNCTION("""COMPUTED_VALUE"""),"3")</f>
        <v>3</v>
      </c>
      <c r="V5147" s="6" t="str">
        <f>IFERROR(__xludf.DUMMYFUNCTION("""COMPUTED_VALUE"""),"")</f>
        <v/>
      </c>
      <c r="W5147" s="6" t="str">
        <f>IFERROR(__xludf.DUMMYFUNCTION("""COMPUTED_VALUE"""),"[]")</f>
        <v>[]</v>
      </c>
      <c r="X5147" s="6" t="str">
        <f>IFERROR(__xludf.DUMMYFUNCTION("""COMPUTED_VALUE"""),"Enrolled")</f>
        <v>Enrolled</v>
      </c>
    </row>
    <row r="5148">
      <c r="A5148" s="6" t="str">
        <f>IFERROR(__xludf.DUMMYFUNCTION("""COMPUTED_VALUE"""),"086-12539")</f>
        <v>086-12539</v>
      </c>
      <c r="B5148" s="6" t="str">
        <f>IFERROR(__xludf.DUMMYFUNCTION("""COMPUTED_VALUE"""),"86")</f>
        <v>86</v>
      </c>
      <c r="C5148" s="6" t="str">
        <f>IFERROR(__xludf.DUMMYFUNCTION("""COMPUTED_VALUE"""),"12539")</f>
        <v>12539</v>
      </c>
      <c r="D5148" s="6" t="str">
        <f>IFERROR(__xludf.DUMMYFUNCTION("""COMPUTED_VALUE"""),"Judith")</f>
        <v>Judith</v>
      </c>
      <c r="E5148" s="6" t="str">
        <f>IFERROR(__xludf.DUMMYFUNCTION("""COMPUTED_VALUE"""),"")</f>
        <v/>
      </c>
      <c r="F5148" s="6" t="str">
        <f>IFERROR(__xludf.DUMMYFUNCTION("""COMPUTED_VALUE"""),"Agustin Bravo")</f>
        <v>Agustin Bravo</v>
      </c>
      <c r="G5148" s="6" t="str">
        <f>IFERROR(__xludf.DUMMYFUNCTION("""COMPUTED_VALUE"""),"11/09/2015")</f>
        <v>11/09/2015</v>
      </c>
      <c r="H5148" s="6" t="str">
        <f>IFERROR(__xludf.DUMMYFUNCTION("""COMPUTED_VALUE"""),"female")</f>
        <v>female</v>
      </c>
      <c r="I5148" s="6" t="str">
        <f>IFERROR(__xludf.DUMMYFUNCTION("""COMPUTED_VALUE"""),"Level 1")</f>
        <v>Level 1</v>
      </c>
      <c r="J5148" s="6" t="str">
        <f>IFERROR(__xludf.DUMMYFUNCTION("""COMPUTED_VALUE"""),"3")</f>
        <v>3</v>
      </c>
      <c r="K5148" s="6" t="str">
        <f>IFERROR(__xludf.DUMMYFUNCTION("""COMPUTED_VALUE"""),"judith.agustinbravo@2hourlearning.com")</f>
        <v>judith.agustinbravo@2hourlearning.com</v>
      </c>
      <c r="L5148" s="6" t="str">
        <f>IFERROR(__xludf.DUMMYFUNCTION("""COMPUTED_VALUE"""),"JRES - Ridgeland Elementary School")</f>
        <v>JRES - Ridgeland Elementary School</v>
      </c>
      <c r="M5148" s="6" t="str">
        <f>IFERROR(__xludf.DUMMYFUNCTION("""COMPUTED_VALUE"""),"")</f>
        <v/>
      </c>
      <c r="N5148" s="6" t="str">
        <f>IFERROR(__xludf.DUMMYFUNCTION("""COMPUTED_VALUE"""),"")</f>
        <v/>
      </c>
      <c r="O5148" s="87" t="str">
        <f>IFERROR(__xludf.DUMMYFUNCTION("""COMPUTED_VALUE"""),"https://drive.google.com/drive/folders/10T2cTQHqEJZqE-st6uFKPoI?usp=share_link")</f>
        <v>https://drive.google.com/drive/folders/10T2cTQHqEJZqE-st6uFKPoI?usp=share_link</v>
      </c>
      <c r="P5148" s="6" t="str">
        <f>IFERROR(__xludf.DUMMYFUNCTION("""COMPUTED_VALUE"""),"Judith Agustin Bravo")</f>
        <v>Judith Agustin Bravo</v>
      </c>
      <c r="Q5148" s="6" t="str">
        <f>IFERROR(__xludf.DUMMYFUNCTION("""COMPUTED_VALUE"""),"L1")</f>
        <v>L1</v>
      </c>
      <c r="R5148" s="6">
        <f>IFERROR(__xludf.DUMMYFUNCTION("""COMPUTED_VALUE"""),1.0)</f>
        <v>1</v>
      </c>
      <c r="S5148" s="6" t="str">
        <f>IFERROR(__xludf.DUMMYFUNCTION("""COMPUTED_VALUE"""),"Kimberly Ball")</f>
        <v>Kimberly Ball</v>
      </c>
      <c r="T5148" s="6" t="str">
        <f>IFERROR(__xludf.DUMMYFUNCTION("""COMPUTED_VALUE"""),"kimberly.ball@studient.com")</f>
        <v>kimberly.ball@studient.com</v>
      </c>
      <c r="U5148" s="6" t="str">
        <f>IFERROR(__xludf.DUMMYFUNCTION("""COMPUTED_VALUE"""),"3")</f>
        <v>3</v>
      </c>
      <c r="V5148" s="6" t="str">
        <f>IFERROR(__xludf.DUMMYFUNCTION("""COMPUTED_VALUE"""),"")</f>
        <v/>
      </c>
      <c r="W5148" s="6" t="str">
        <f>IFERROR(__xludf.DUMMYFUNCTION("""COMPUTED_VALUE"""),"[]")</f>
        <v>[]</v>
      </c>
      <c r="X5148" s="6" t="str">
        <f>IFERROR(__xludf.DUMMYFUNCTION("""COMPUTED_VALUE"""),"Enrolled")</f>
        <v>Enrolled</v>
      </c>
    </row>
    <row r="5149">
      <c r="A5149" s="6" t="str">
        <f>IFERROR(__xludf.DUMMYFUNCTION("""COMPUTED_VALUE"""),"086-12540")</f>
        <v>086-12540</v>
      </c>
      <c r="B5149" s="6" t="str">
        <f>IFERROR(__xludf.DUMMYFUNCTION("""COMPUTED_VALUE"""),"86")</f>
        <v>86</v>
      </c>
      <c r="C5149" s="6" t="str">
        <f>IFERROR(__xludf.DUMMYFUNCTION("""COMPUTED_VALUE"""),"12540")</f>
        <v>12540</v>
      </c>
      <c r="D5149" s="6" t="str">
        <f>IFERROR(__xludf.DUMMYFUNCTION("""COMPUTED_VALUE"""),"Saul")</f>
        <v>Saul</v>
      </c>
      <c r="E5149" s="6" t="str">
        <f>IFERROR(__xludf.DUMMYFUNCTION("""COMPUTED_VALUE"""),"")</f>
        <v/>
      </c>
      <c r="F5149" s="6" t="str">
        <f>IFERROR(__xludf.DUMMYFUNCTION("""COMPUTED_VALUE"""),"Amador Perez")</f>
        <v>Amador Perez</v>
      </c>
      <c r="G5149" s="6" t="str">
        <f>IFERROR(__xludf.DUMMYFUNCTION("""COMPUTED_VALUE"""),"07/23/2015")</f>
        <v>07/23/2015</v>
      </c>
      <c r="H5149" s="6" t="str">
        <f>IFERROR(__xludf.DUMMYFUNCTION("""COMPUTED_VALUE"""),"male")</f>
        <v>male</v>
      </c>
      <c r="I5149" s="6" t="str">
        <f>IFERROR(__xludf.DUMMYFUNCTION("""COMPUTED_VALUE"""),"Level 1")</f>
        <v>Level 1</v>
      </c>
      <c r="J5149" s="6" t="str">
        <f>IFERROR(__xludf.DUMMYFUNCTION("""COMPUTED_VALUE"""),"3")</f>
        <v>3</v>
      </c>
      <c r="K5149" s="6" t="str">
        <f>IFERROR(__xludf.DUMMYFUNCTION("""COMPUTED_VALUE"""),"saul.amadorperez@2hourlearning.com")</f>
        <v>saul.amadorperez@2hourlearning.com</v>
      </c>
      <c r="L5149" s="6" t="str">
        <f>IFERROR(__xludf.DUMMYFUNCTION("""COMPUTED_VALUE"""),"JRES - Ridgeland Elementary School")</f>
        <v>JRES - Ridgeland Elementary School</v>
      </c>
      <c r="M5149" s="6" t="str">
        <f>IFERROR(__xludf.DUMMYFUNCTION("""COMPUTED_VALUE"""),"")</f>
        <v/>
      </c>
      <c r="N5149" s="6" t="str">
        <f>IFERROR(__xludf.DUMMYFUNCTION("""COMPUTED_VALUE"""),"")</f>
        <v/>
      </c>
      <c r="O5149" s="87" t="str">
        <f>IFERROR(__xludf.DUMMYFUNCTION("""COMPUTED_VALUE"""),"https://drive.google.com/drive/folders/10T2cTQHqEJZqE-st6uFKPoI?usp=share_link")</f>
        <v>https://drive.google.com/drive/folders/10T2cTQHqEJZqE-st6uFKPoI?usp=share_link</v>
      </c>
      <c r="P5149" s="6" t="str">
        <f>IFERROR(__xludf.DUMMYFUNCTION("""COMPUTED_VALUE"""),"Saul Amador Perez")</f>
        <v>Saul Amador Perez</v>
      </c>
      <c r="Q5149" s="6" t="str">
        <f>IFERROR(__xludf.DUMMYFUNCTION("""COMPUTED_VALUE"""),"L1")</f>
        <v>L1</v>
      </c>
      <c r="R5149" s="6">
        <f>IFERROR(__xludf.DUMMYFUNCTION("""COMPUTED_VALUE"""),1.0)</f>
        <v>1</v>
      </c>
      <c r="S5149" s="6" t="str">
        <f>IFERROR(__xludf.DUMMYFUNCTION("""COMPUTED_VALUE"""),"Kimberly Ball")</f>
        <v>Kimberly Ball</v>
      </c>
      <c r="T5149" s="6" t="str">
        <f>IFERROR(__xludf.DUMMYFUNCTION("""COMPUTED_VALUE"""),"kimberly.ball@studient.com")</f>
        <v>kimberly.ball@studient.com</v>
      </c>
      <c r="U5149" s="6" t="str">
        <f>IFERROR(__xludf.DUMMYFUNCTION("""COMPUTED_VALUE"""),"3")</f>
        <v>3</v>
      </c>
      <c r="V5149" s="6" t="str">
        <f>IFERROR(__xludf.DUMMYFUNCTION("""COMPUTED_VALUE"""),"")</f>
        <v/>
      </c>
      <c r="W5149" s="6" t="str">
        <f>IFERROR(__xludf.DUMMYFUNCTION("""COMPUTED_VALUE"""),"[]")</f>
        <v>[]</v>
      </c>
      <c r="X5149" s="6" t="str">
        <f>IFERROR(__xludf.DUMMYFUNCTION("""COMPUTED_VALUE"""),"Enrolled")</f>
        <v>Enrolled</v>
      </c>
    </row>
    <row r="5150">
      <c r="A5150" s="6" t="str">
        <f>IFERROR(__xludf.DUMMYFUNCTION("""COMPUTED_VALUE"""),"086-12541")</f>
        <v>086-12541</v>
      </c>
      <c r="B5150" s="6" t="str">
        <f>IFERROR(__xludf.DUMMYFUNCTION("""COMPUTED_VALUE"""),"86")</f>
        <v>86</v>
      </c>
      <c r="C5150" s="6" t="str">
        <f>IFERROR(__xludf.DUMMYFUNCTION("""COMPUTED_VALUE"""),"12541")</f>
        <v>12541</v>
      </c>
      <c r="D5150" s="6" t="str">
        <f>IFERROR(__xludf.DUMMYFUNCTION("""COMPUTED_VALUE"""),"Joselyne")</f>
        <v>Joselyne</v>
      </c>
      <c r="E5150" s="6" t="str">
        <f>IFERROR(__xludf.DUMMYFUNCTION("""COMPUTED_VALUE"""),"")</f>
        <v/>
      </c>
      <c r="F5150" s="6" t="str">
        <f>IFERROR(__xludf.DUMMYFUNCTION("""COMPUTED_VALUE"""),"Armas Aquino")</f>
        <v>Armas Aquino</v>
      </c>
      <c r="G5150" s="6" t="str">
        <f>IFERROR(__xludf.DUMMYFUNCTION("""COMPUTED_VALUE"""),"06/17/2015")</f>
        <v>06/17/2015</v>
      </c>
      <c r="H5150" s="6" t="str">
        <f>IFERROR(__xludf.DUMMYFUNCTION("""COMPUTED_VALUE"""),"male")</f>
        <v>male</v>
      </c>
      <c r="I5150" s="6" t="str">
        <f>IFERROR(__xludf.DUMMYFUNCTION("""COMPUTED_VALUE"""),"Level 1")</f>
        <v>Level 1</v>
      </c>
      <c r="J5150" s="6" t="str">
        <f>IFERROR(__xludf.DUMMYFUNCTION("""COMPUTED_VALUE"""),"3")</f>
        <v>3</v>
      </c>
      <c r="K5150" s="6" t="str">
        <f>IFERROR(__xludf.DUMMYFUNCTION("""COMPUTED_VALUE"""),"joselyne.armasaquino@2hourlearning.com")</f>
        <v>joselyne.armasaquino@2hourlearning.com</v>
      </c>
      <c r="L5150" s="6" t="str">
        <f>IFERROR(__xludf.DUMMYFUNCTION("""COMPUTED_VALUE"""),"JRES - Ridgeland Elementary School")</f>
        <v>JRES - Ridgeland Elementary School</v>
      </c>
      <c r="M5150" s="6" t="str">
        <f>IFERROR(__xludf.DUMMYFUNCTION("""COMPUTED_VALUE"""),"")</f>
        <v/>
      </c>
      <c r="N5150" s="6" t="str">
        <f>IFERROR(__xludf.DUMMYFUNCTION("""COMPUTED_VALUE"""),"")</f>
        <v/>
      </c>
      <c r="O5150" s="87" t="str">
        <f>IFERROR(__xludf.DUMMYFUNCTION("""COMPUTED_VALUE"""),"https://drive.google.com/drive/folders/10T2cTQHqEJZqE-st6uFKPoI?usp=share_link")</f>
        <v>https://drive.google.com/drive/folders/10T2cTQHqEJZqE-st6uFKPoI?usp=share_link</v>
      </c>
      <c r="P5150" s="6" t="str">
        <f>IFERROR(__xludf.DUMMYFUNCTION("""COMPUTED_VALUE"""),"Joselyne Armas Aquino")</f>
        <v>Joselyne Armas Aquino</v>
      </c>
      <c r="Q5150" s="6" t="str">
        <f>IFERROR(__xludf.DUMMYFUNCTION("""COMPUTED_VALUE"""),"L1")</f>
        <v>L1</v>
      </c>
      <c r="R5150" s="6">
        <f>IFERROR(__xludf.DUMMYFUNCTION("""COMPUTED_VALUE"""),1.0)</f>
        <v>1</v>
      </c>
      <c r="S5150" s="6" t="str">
        <f>IFERROR(__xludf.DUMMYFUNCTION("""COMPUTED_VALUE"""),"Kimberly Ball")</f>
        <v>Kimberly Ball</v>
      </c>
      <c r="T5150" s="6" t="str">
        <f>IFERROR(__xludf.DUMMYFUNCTION("""COMPUTED_VALUE"""),"kimberly.ball@studient.com")</f>
        <v>kimberly.ball@studient.com</v>
      </c>
      <c r="U5150" s="6" t="str">
        <f>IFERROR(__xludf.DUMMYFUNCTION("""COMPUTED_VALUE"""),"3")</f>
        <v>3</v>
      </c>
      <c r="V5150" s="6" t="str">
        <f>IFERROR(__xludf.DUMMYFUNCTION("""COMPUTED_VALUE"""),"")</f>
        <v/>
      </c>
      <c r="W5150" s="6" t="str">
        <f>IFERROR(__xludf.DUMMYFUNCTION("""COMPUTED_VALUE"""),"[]")</f>
        <v>[]</v>
      </c>
      <c r="X5150" s="6" t="str">
        <f>IFERROR(__xludf.DUMMYFUNCTION("""COMPUTED_VALUE"""),"Enrolled")</f>
        <v>Enrolled</v>
      </c>
    </row>
    <row r="5151">
      <c r="A5151" s="6" t="str">
        <f>IFERROR(__xludf.DUMMYFUNCTION("""COMPUTED_VALUE"""),"086-12542")</f>
        <v>086-12542</v>
      </c>
      <c r="B5151" s="6" t="str">
        <f>IFERROR(__xludf.DUMMYFUNCTION("""COMPUTED_VALUE"""),"86")</f>
        <v>86</v>
      </c>
      <c r="C5151" s="6" t="str">
        <f>IFERROR(__xludf.DUMMYFUNCTION("""COMPUTED_VALUE"""),"12542")</f>
        <v>12542</v>
      </c>
      <c r="D5151" s="6" t="str">
        <f>IFERROR(__xludf.DUMMYFUNCTION("""COMPUTED_VALUE"""),"Brittany")</f>
        <v>Brittany</v>
      </c>
      <c r="E5151" s="6" t="str">
        <f>IFERROR(__xludf.DUMMYFUNCTION("""COMPUTED_VALUE"""),"")</f>
        <v/>
      </c>
      <c r="F5151" s="6" t="str">
        <f>IFERROR(__xludf.DUMMYFUNCTION("""COMPUTED_VALUE"""),"Aveldanez")</f>
        <v>Aveldanez</v>
      </c>
      <c r="G5151" s="6" t="str">
        <f>IFERROR(__xludf.DUMMYFUNCTION("""COMPUTED_VALUE"""),"08/02/2015")</f>
        <v>08/02/2015</v>
      </c>
      <c r="H5151" s="6" t="str">
        <f>IFERROR(__xludf.DUMMYFUNCTION("""COMPUTED_VALUE"""),"female")</f>
        <v>female</v>
      </c>
      <c r="I5151" s="6" t="str">
        <f>IFERROR(__xludf.DUMMYFUNCTION("""COMPUTED_VALUE"""),"Level 1")</f>
        <v>Level 1</v>
      </c>
      <c r="J5151" s="6" t="str">
        <f>IFERROR(__xludf.DUMMYFUNCTION("""COMPUTED_VALUE"""),"3")</f>
        <v>3</v>
      </c>
      <c r="K5151" s="6" t="str">
        <f>IFERROR(__xludf.DUMMYFUNCTION("""COMPUTED_VALUE"""),"brittany.aveldanez@2hourlearning.com")</f>
        <v>brittany.aveldanez@2hourlearning.com</v>
      </c>
      <c r="L5151" s="6" t="str">
        <f>IFERROR(__xludf.DUMMYFUNCTION("""COMPUTED_VALUE"""),"JRES - Ridgeland Elementary School")</f>
        <v>JRES - Ridgeland Elementary School</v>
      </c>
      <c r="M5151" s="6" t="str">
        <f>IFERROR(__xludf.DUMMYFUNCTION("""COMPUTED_VALUE"""),"")</f>
        <v/>
      </c>
      <c r="N5151" s="6" t="str">
        <f>IFERROR(__xludf.DUMMYFUNCTION("""COMPUTED_VALUE"""),"")</f>
        <v/>
      </c>
      <c r="O5151" s="87" t="str">
        <f>IFERROR(__xludf.DUMMYFUNCTION("""COMPUTED_VALUE"""),"https://drive.google.com/drive/folders/10T2cTQHqEJZqE-st6uFKPoI?usp=share_link")</f>
        <v>https://drive.google.com/drive/folders/10T2cTQHqEJZqE-st6uFKPoI?usp=share_link</v>
      </c>
      <c r="P5151" s="6" t="str">
        <f>IFERROR(__xludf.DUMMYFUNCTION("""COMPUTED_VALUE"""),"Brittany Aveldanez")</f>
        <v>Brittany Aveldanez</v>
      </c>
      <c r="Q5151" s="6" t="str">
        <f>IFERROR(__xludf.DUMMYFUNCTION("""COMPUTED_VALUE"""),"L1")</f>
        <v>L1</v>
      </c>
      <c r="R5151" s="6">
        <f>IFERROR(__xludf.DUMMYFUNCTION("""COMPUTED_VALUE"""),1.0)</f>
        <v>1</v>
      </c>
      <c r="S5151" s="6" t="str">
        <f>IFERROR(__xludf.DUMMYFUNCTION("""COMPUTED_VALUE"""),"Kimberly Ball")</f>
        <v>Kimberly Ball</v>
      </c>
      <c r="T5151" s="6" t="str">
        <f>IFERROR(__xludf.DUMMYFUNCTION("""COMPUTED_VALUE"""),"kimberly.ball@studient.com")</f>
        <v>kimberly.ball@studient.com</v>
      </c>
      <c r="U5151" s="6" t="str">
        <f>IFERROR(__xludf.DUMMYFUNCTION("""COMPUTED_VALUE"""),"3")</f>
        <v>3</v>
      </c>
      <c r="V5151" s="6" t="str">
        <f>IFERROR(__xludf.DUMMYFUNCTION("""COMPUTED_VALUE"""),"")</f>
        <v/>
      </c>
      <c r="W5151" s="6" t="str">
        <f>IFERROR(__xludf.DUMMYFUNCTION("""COMPUTED_VALUE"""),"[]")</f>
        <v>[]</v>
      </c>
      <c r="X5151" s="6" t="str">
        <f>IFERROR(__xludf.DUMMYFUNCTION("""COMPUTED_VALUE"""),"Enrolled")</f>
        <v>Enrolled</v>
      </c>
    </row>
    <row r="5152">
      <c r="A5152" s="6" t="str">
        <f>IFERROR(__xludf.DUMMYFUNCTION("""COMPUTED_VALUE"""),"086-12543")</f>
        <v>086-12543</v>
      </c>
      <c r="B5152" s="6" t="str">
        <f>IFERROR(__xludf.DUMMYFUNCTION("""COMPUTED_VALUE"""),"86")</f>
        <v>86</v>
      </c>
      <c r="C5152" s="6" t="str">
        <f>IFERROR(__xludf.DUMMYFUNCTION("""COMPUTED_VALUE"""),"12543")</f>
        <v>12543</v>
      </c>
      <c r="D5152" s="6" t="str">
        <f>IFERROR(__xludf.DUMMYFUNCTION("""COMPUTED_VALUE"""),"Briggitte")</f>
        <v>Briggitte</v>
      </c>
      <c r="E5152" s="6" t="str">
        <f>IFERROR(__xludf.DUMMYFUNCTION("""COMPUTED_VALUE"""),"")</f>
        <v/>
      </c>
      <c r="F5152" s="6" t="str">
        <f>IFERROR(__xludf.DUMMYFUNCTION("""COMPUTED_VALUE"""),"Bardales Portillo")</f>
        <v>Bardales Portillo</v>
      </c>
      <c r="G5152" s="6" t="str">
        <f>IFERROR(__xludf.DUMMYFUNCTION("""COMPUTED_VALUE"""),"10/02/2015")</f>
        <v>10/02/2015</v>
      </c>
      <c r="H5152" s="6" t="str">
        <f>IFERROR(__xludf.DUMMYFUNCTION("""COMPUTED_VALUE"""),"female")</f>
        <v>female</v>
      </c>
      <c r="I5152" s="6" t="str">
        <f>IFERROR(__xludf.DUMMYFUNCTION("""COMPUTED_VALUE"""),"Level 1")</f>
        <v>Level 1</v>
      </c>
      <c r="J5152" s="6" t="str">
        <f>IFERROR(__xludf.DUMMYFUNCTION("""COMPUTED_VALUE"""),"3")</f>
        <v>3</v>
      </c>
      <c r="K5152" s="6" t="str">
        <f>IFERROR(__xludf.DUMMYFUNCTION("""COMPUTED_VALUE"""),"briggitte.bardalesportillo@2hourlearning.com")</f>
        <v>briggitte.bardalesportillo@2hourlearning.com</v>
      </c>
      <c r="L5152" s="6" t="str">
        <f>IFERROR(__xludf.DUMMYFUNCTION("""COMPUTED_VALUE"""),"JRES - Ridgeland Elementary School")</f>
        <v>JRES - Ridgeland Elementary School</v>
      </c>
      <c r="M5152" s="6" t="str">
        <f>IFERROR(__xludf.DUMMYFUNCTION("""COMPUTED_VALUE"""),"")</f>
        <v/>
      </c>
      <c r="N5152" s="6" t="str">
        <f>IFERROR(__xludf.DUMMYFUNCTION("""COMPUTED_VALUE"""),"")</f>
        <v/>
      </c>
      <c r="O5152" s="87" t="str">
        <f>IFERROR(__xludf.DUMMYFUNCTION("""COMPUTED_VALUE"""),"https://drive.google.com/drive/folders/10T2cTQHqEJZqE-st6uFKPoI?usp=share_link")</f>
        <v>https://drive.google.com/drive/folders/10T2cTQHqEJZqE-st6uFKPoI?usp=share_link</v>
      </c>
      <c r="P5152" s="6" t="str">
        <f>IFERROR(__xludf.DUMMYFUNCTION("""COMPUTED_VALUE"""),"Briggitte Bardales Portillo")</f>
        <v>Briggitte Bardales Portillo</v>
      </c>
      <c r="Q5152" s="6" t="str">
        <f>IFERROR(__xludf.DUMMYFUNCTION("""COMPUTED_VALUE"""),"L1")</f>
        <v>L1</v>
      </c>
      <c r="R5152" s="6">
        <f>IFERROR(__xludf.DUMMYFUNCTION("""COMPUTED_VALUE"""),1.0)</f>
        <v>1</v>
      </c>
      <c r="S5152" s="6" t="str">
        <f>IFERROR(__xludf.DUMMYFUNCTION("""COMPUTED_VALUE"""),"Kimberly Ball")</f>
        <v>Kimberly Ball</v>
      </c>
      <c r="T5152" s="6" t="str">
        <f>IFERROR(__xludf.DUMMYFUNCTION("""COMPUTED_VALUE"""),"kimberly.ball@studient.com")</f>
        <v>kimberly.ball@studient.com</v>
      </c>
      <c r="U5152" s="6" t="str">
        <f>IFERROR(__xludf.DUMMYFUNCTION("""COMPUTED_VALUE"""),"3")</f>
        <v>3</v>
      </c>
      <c r="V5152" s="6" t="str">
        <f>IFERROR(__xludf.DUMMYFUNCTION("""COMPUTED_VALUE"""),"")</f>
        <v/>
      </c>
      <c r="W5152" s="6" t="str">
        <f>IFERROR(__xludf.DUMMYFUNCTION("""COMPUTED_VALUE"""),"[]")</f>
        <v>[]</v>
      </c>
      <c r="X5152" s="6" t="str">
        <f>IFERROR(__xludf.DUMMYFUNCTION("""COMPUTED_VALUE"""),"Enrolled")</f>
        <v>Enrolled</v>
      </c>
    </row>
    <row r="5153">
      <c r="A5153" s="6" t="str">
        <f>IFERROR(__xludf.DUMMYFUNCTION("""COMPUTED_VALUE"""),"086-12544")</f>
        <v>086-12544</v>
      </c>
      <c r="B5153" s="6" t="str">
        <f>IFERROR(__xludf.DUMMYFUNCTION("""COMPUTED_VALUE"""),"86")</f>
        <v>86</v>
      </c>
      <c r="C5153" s="6" t="str">
        <f>IFERROR(__xludf.DUMMYFUNCTION("""COMPUTED_VALUE"""),"12544")</f>
        <v>12544</v>
      </c>
      <c r="D5153" s="6" t="str">
        <f>IFERROR(__xludf.DUMMYFUNCTION("""COMPUTED_VALUE"""),"Jyhiid")</f>
        <v>Jyhiid</v>
      </c>
      <c r="E5153" s="6" t="str">
        <f>IFERROR(__xludf.DUMMYFUNCTION("""COMPUTED_VALUE"""),"")</f>
        <v/>
      </c>
      <c r="F5153" s="6" t="str">
        <f>IFERROR(__xludf.DUMMYFUNCTION("""COMPUTED_VALUE"""),"Beaton")</f>
        <v>Beaton</v>
      </c>
      <c r="G5153" s="6" t="str">
        <f>IFERROR(__xludf.DUMMYFUNCTION("""COMPUTED_VALUE"""),"11/29/2016")</f>
        <v>11/29/2016</v>
      </c>
      <c r="H5153" s="6" t="str">
        <f>IFERROR(__xludf.DUMMYFUNCTION("""COMPUTED_VALUE"""),"female")</f>
        <v>female</v>
      </c>
      <c r="I5153" s="6" t="str">
        <f>IFERROR(__xludf.DUMMYFUNCTION("""COMPUTED_VALUE"""),"Level 1")</f>
        <v>Level 1</v>
      </c>
      <c r="J5153" s="6" t="str">
        <f>IFERROR(__xludf.DUMMYFUNCTION("""COMPUTED_VALUE"""),"3")</f>
        <v>3</v>
      </c>
      <c r="K5153" s="6" t="str">
        <f>IFERROR(__xludf.DUMMYFUNCTION("""COMPUTED_VALUE"""),"jyhiid.beaton@2hourlearning.com")</f>
        <v>jyhiid.beaton@2hourlearning.com</v>
      </c>
      <c r="L5153" s="6" t="str">
        <f>IFERROR(__xludf.DUMMYFUNCTION("""COMPUTED_VALUE"""),"JRES - Ridgeland Elementary School")</f>
        <v>JRES - Ridgeland Elementary School</v>
      </c>
      <c r="M5153" s="6" t="str">
        <f>IFERROR(__xludf.DUMMYFUNCTION("""COMPUTED_VALUE"""),"")</f>
        <v/>
      </c>
      <c r="N5153" s="6" t="str">
        <f>IFERROR(__xludf.DUMMYFUNCTION("""COMPUTED_VALUE"""),"")</f>
        <v/>
      </c>
      <c r="O5153" s="87" t="str">
        <f>IFERROR(__xludf.DUMMYFUNCTION("""COMPUTED_VALUE"""),"https://drive.google.com/drive/folders/10T2cTQHqEJZqE-st6uFKPoI?usp=share_link")</f>
        <v>https://drive.google.com/drive/folders/10T2cTQHqEJZqE-st6uFKPoI?usp=share_link</v>
      </c>
      <c r="P5153" s="6" t="str">
        <f>IFERROR(__xludf.DUMMYFUNCTION("""COMPUTED_VALUE"""),"Jyhiid Beaton")</f>
        <v>Jyhiid Beaton</v>
      </c>
      <c r="Q5153" s="6" t="str">
        <f>IFERROR(__xludf.DUMMYFUNCTION("""COMPUTED_VALUE"""),"L1")</f>
        <v>L1</v>
      </c>
      <c r="R5153" s="6">
        <f>IFERROR(__xludf.DUMMYFUNCTION("""COMPUTED_VALUE"""),1.0)</f>
        <v>1</v>
      </c>
      <c r="S5153" s="6" t="str">
        <f>IFERROR(__xludf.DUMMYFUNCTION("""COMPUTED_VALUE"""),"Kimberly Ball")</f>
        <v>Kimberly Ball</v>
      </c>
      <c r="T5153" s="6" t="str">
        <f>IFERROR(__xludf.DUMMYFUNCTION("""COMPUTED_VALUE"""),"kimberly.ball@studient.com")</f>
        <v>kimberly.ball@studient.com</v>
      </c>
      <c r="U5153" s="6" t="str">
        <f>IFERROR(__xludf.DUMMYFUNCTION("""COMPUTED_VALUE"""),"3")</f>
        <v>3</v>
      </c>
      <c r="V5153" s="6" t="str">
        <f>IFERROR(__xludf.DUMMYFUNCTION("""COMPUTED_VALUE"""),"")</f>
        <v/>
      </c>
      <c r="W5153" s="6" t="str">
        <f>IFERROR(__xludf.DUMMYFUNCTION("""COMPUTED_VALUE"""),"[]")</f>
        <v>[]</v>
      </c>
      <c r="X5153" s="6" t="str">
        <f>IFERROR(__xludf.DUMMYFUNCTION("""COMPUTED_VALUE"""),"Enrolled")</f>
        <v>Enrolled</v>
      </c>
    </row>
    <row r="5154">
      <c r="A5154" s="6" t="str">
        <f>IFERROR(__xludf.DUMMYFUNCTION("""COMPUTED_VALUE"""),"086-12545")</f>
        <v>086-12545</v>
      </c>
      <c r="B5154" s="6" t="str">
        <f>IFERROR(__xludf.DUMMYFUNCTION("""COMPUTED_VALUE"""),"86")</f>
        <v>86</v>
      </c>
      <c r="C5154" s="6" t="str">
        <f>IFERROR(__xludf.DUMMYFUNCTION("""COMPUTED_VALUE"""),"12545")</f>
        <v>12545</v>
      </c>
      <c r="D5154" s="6" t="str">
        <f>IFERROR(__xludf.DUMMYFUNCTION("""COMPUTED_VALUE"""),"Victoria")</f>
        <v>Victoria</v>
      </c>
      <c r="E5154" s="6" t="str">
        <f>IFERROR(__xludf.DUMMYFUNCTION("""COMPUTED_VALUE"""),"")</f>
        <v/>
      </c>
      <c r="F5154" s="6" t="str">
        <f>IFERROR(__xludf.DUMMYFUNCTION("""COMPUTED_VALUE"""),"Benavides Meza")</f>
        <v>Benavides Meza</v>
      </c>
      <c r="G5154" s="6" t="str">
        <f>IFERROR(__xludf.DUMMYFUNCTION("""COMPUTED_VALUE"""),"04/08/2015")</f>
        <v>04/08/2015</v>
      </c>
      <c r="H5154" s="6" t="str">
        <f>IFERROR(__xludf.DUMMYFUNCTION("""COMPUTED_VALUE"""),"male")</f>
        <v>male</v>
      </c>
      <c r="I5154" s="6" t="str">
        <f>IFERROR(__xludf.DUMMYFUNCTION("""COMPUTED_VALUE"""),"Level 1")</f>
        <v>Level 1</v>
      </c>
      <c r="J5154" s="6" t="str">
        <f>IFERROR(__xludf.DUMMYFUNCTION("""COMPUTED_VALUE"""),"3")</f>
        <v>3</v>
      </c>
      <c r="K5154" s="6" t="str">
        <f>IFERROR(__xludf.DUMMYFUNCTION("""COMPUTED_VALUE"""),"victoria.benavidesmeza@2hourlearning.com")</f>
        <v>victoria.benavidesmeza@2hourlearning.com</v>
      </c>
      <c r="L5154" s="6" t="str">
        <f>IFERROR(__xludf.DUMMYFUNCTION("""COMPUTED_VALUE"""),"JRES - Ridgeland Elementary School")</f>
        <v>JRES - Ridgeland Elementary School</v>
      </c>
      <c r="M5154" s="6" t="str">
        <f>IFERROR(__xludf.DUMMYFUNCTION("""COMPUTED_VALUE"""),"")</f>
        <v/>
      </c>
      <c r="N5154" s="6" t="str">
        <f>IFERROR(__xludf.DUMMYFUNCTION("""COMPUTED_VALUE"""),"")</f>
        <v/>
      </c>
      <c r="O5154" s="87" t="str">
        <f>IFERROR(__xludf.DUMMYFUNCTION("""COMPUTED_VALUE"""),"https://drive.google.com/drive/folders/10T2cTQHqEJZqE-st6uFKPoI?usp=share_link")</f>
        <v>https://drive.google.com/drive/folders/10T2cTQHqEJZqE-st6uFKPoI?usp=share_link</v>
      </c>
      <c r="P5154" s="6" t="str">
        <f>IFERROR(__xludf.DUMMYFUNCTION("""COMPUTED_VALUE"""),"Victoria Benavides Meza")</f>
        <v>Victoria Benavides Meza</v>
      </c>
      <c r="Q5154" s="6" t="str">
        <f>IFERROR(__xludf.DUMMYFUNCTION("""COMPUTED_VALUE"""),"L1")</f>
        <v>L1</v>
      </c>
      <c r="R5154" s="6">
        <f>IFERROR(__xludf.DUMMYFUNCTION("""COMPUTED_VALUE"""),1.0)</f>
        <v>1</v>
      </c>
      <c r="S5154" s="6" t="str">
        <f>IFERROR(__xludf.DUMMYFUNCTION("""COMPUTED_VALUE"""),"Kimberly Ball")</f>
        <v>Kimberly Ball</v>
      </c>
      <c r="T5154" s="6" t="str">
        <f>IFERROR(__xludf.DUMMYFUNCTION("""COMPUTED_VALUE"""),"kimberly.ball@studient.com")</f>
        <v>kimberly.ball@studient.com</v>
      </c>
      <c r="U5154" s="6" t="str">
        <f>IFERROR(__xludf.DUMMYFUNCTION("""COMPUTED_VALUE"""),"3")</f>
        <v>3</v>
      </c>
      <c r="V5154" s="6" t="str">
        <f>IFERROR(__xludf.DUMMYFUNCTION("""COMPUTED_VALUE"""),"")</f>
        <v/>
      </c>
      <c r="W5154" s="6" t="str">
        <f>IFERROR(__xludf.DUMMYFUNCTION("""COMPUTED_VALUE"""),"[]")</f>
        <v>[]</v>
      </c>
      <c r="X5154" s="6" t="str">
        <f>IFERROR(__xludf.DUMMYFUNCTION("""COMPUTED_VALUE"""),"Enrolled")</f>
        <v>Enrolled</v>
      </c>
    </row>
    <row r="5155">
      <c r="A5155" s="6" t="str">
        <f>IFERROR(__xludf.DUMMYFUNCTION("""COMPUTED_VALUE"""),"086-12546")</f>
        <v>086-12546</v>
      </c>
      <c r="B5155" s="6" t="str">
        <f>IFERROR(__xludf.DUMMYFUNCTION("""COMPUTED_VALUE"""),"86")</f>
        <v>86</v>
      </c>
      <c r="C5155" s="6" t="str">
        <f>IFERROR(__xludf.DUMMYFUNCTION("""COMPUTED_VALUE"""),"12546")</f>
        <v>12546</v>
      </c>
      <c r="D5155" s="6" t="str">
        <f>IFERROR(__xludf.DUMMYFUNCTION("""COMPUTED_VALUE"""),"Athena")</f>
        <v>Athena</v>
      </c>
      <c r="E5155" s="6" t="str">
        <f>IFERROR(__xludf.DUMMYFUNCTION("""COMPUTED_VALUE"""),"")</f>
        <v/>
      </c>
      <c r="F5155" s="6" t="str">
        <f>IFERROR(__xludf.DUMMYFUNCTION("""COMPUTED_VALUE"""),"Bennett")</f>
        <v>Bennett</v>
      </c>
      <c r="G5155" s="6" t="str">
        <f>IFERROR(__xludf.DUMMYFUNCTION("""COMPUTED_VALUE"""),"09/17/2017")</f>
        <v>09/17/2017</v>
      </c>
      <c r="H5155" s="6" t="str">
        <f>IFERROR(__xludf.DUMMYFUNCTION("""COMPUTED_VALUE"""),"male")</f>
        <v>male</v>
      </c>
      <c r="I5155" s="6" t="str">
        <f>IFERROR(__xludf.DUMMYFUNCTION("""COMPUTED_VALUE"""),"Level 1")</f>
        <v>Level 1</v>
      </c>
      <c r="J5155" s="6" t="str">
        <f>IFERROR(__xludf.DUMMYFUNCTION("""COMPUTED_VALUE"""),"3")</f>
        <v>3</v>
      </c>
      <c r="K5155" s="6" t="str">
        <f>IFERROR(__xludf.DUMMYFUNCTION("""COMPUTED_VALUE"""),"athena.bennett@2hourlearning.com")</f>
        <v>athena.bennett@2hourlearning.com</v>
      </c>
      <c r="L5155" s="6" t="str">
        <f>IFERROR(__xludf.DUMMYFUNCTION("""COMPUTED_VALUE"""),"JRES - Ridgeland Elementary School")</f>
        <v>JRES - Ridgeland Elementary School</v>
      </c>
      <c r="M5155" s="6" t="str">
        <f>IFERROR(__xludf.DUMMYFUNCTION("""COMPUTED_VALUE"""),"")</f>
        <v/>
      </c>
      <c r="N5155" s="6" t="str">
        <f>IFERROR(__xludf.DUMMYFUNCTION("""COMPUTED_VALUE"""),"")</f>
        <v/>
      </c>
      <c r="O5155" s="87" t="str">
        <f>IFERROR(__xludf.DUMMYFUNCTION("""COMPUTED_VALUE"""),"https://drive.google.com/drive/folders/10T2cTQHqEJZqE-st6uFKPoI?usp=share_link")</f>
        <v>https://drive.google.com/drive/folders/10T2cTQHqEJZqE-st6uFKPoI?usp=share_link</v>
      </c>
      <c r="P5155" s="6" t="str">
        <f>IFERROR(__xludf.DUMMYFUNCTION("""COMPUTED_VALUE"""),"Athena Bennett")</f>
        <v>Athena Bennett</v>
      </c>
      <c r="Q5155" s="6" t="str">
        <f>IFERROR(__xludf.DUMMYFUNCTION("""COMPUTED_VALUE"""),"L1")</f>
        <v>L1</v>
      </c>
      <c r="R5155" s="6">
        <f>IFERROR(__xludf.DUMMYFUNCTION("""COMPUTED_VALUE"""),1.0)</f>
        <v>1</v>
      </c>
      <c r="S5155" s="6" t="str">
        <f>IFERROR(__xludf.DUMMYFUNCTION("""COMPUTED_VALUE"""),"Kimberly Ball")</f>
        <v>Kimberly Ball</v>
      </c>
      <c r="T5155" s="6" t="str">
        <f>IFERROR(__xludf.DUMMYFUNCTION("""COMPUTED_VALUE"""),"kimberly.ball@studient.com")</f>
        <v>kimberly.ball@studient.com</v>
      </c>
      <c r="U5155" s="6" t="str">
        <f>IFERROR(__xludf.DUMMYFUNCTION("""COMPUTED_VALUE"""),"3")</f>
        <v>3</v>
      </c>
      <c r="V5155" s="6" t="str">
        <f>IFERROR(__xludf.DUMMYFUNCTION("""COMPUTED_VALUE"""),"")</f>
        <v/>
      </c>
      <c r="W5155" s="6" t="str">
        <f>IFERROR(__xludf.DUMMYFUNCTION("""COMPUTED_VALUE"""),"[]")</f>
        <v>[]</v>
      </c>
      <c r="X5155" s="6" t="str">
        <f>IFERROR(__xludf.DUMMYFUNCTION("""COMPUTED_VALUE"""),"Enrolled")</f>
        <v>Enrolled</v>
      </c>
    </row>
    <row r="5156">
      <c r="A5156" s="6" t="str">
        <f>IFERROR(__xludf.DUMMYFUNCTION("""COMPUTED_VALUE"""),"086-12547")</f>
        <v>086-12547</v>
      </c>
      <c r="B5156" s="6" t="str">
        <f>IFERROR(__xludf.DUMMYFUNCTION("""COMPUTED_VALUE"""),"86")</f>
        <v>86</v>
      </c>
      <c r="C5156" s="6" t="str">
        <f>IFERROR(__xludf.DUMMYFUNCTION("""COMPUTED_VALUE"""),"12547")</f>
        <v>12547</v>
      </c>
      <c r="D5156" s="6" t="str">
        <f>IFERROR(__xludf.DUMMYFUNCTION("""COMPUTED_VALUE"""),"Noah")</f>
        <v>Noah</v>
      </c>
      <c r="E5156" s="6" t="str">
        <f>IFERROR(__xludf.DUMMYFUNCTION("""COMPUTED_VALUE"""),"")</f>
        <v/>
      </c>
      <c r="F5156" s="6" t="str">
        <f>IFERROR(__xludf.DUMMYFUNCTION("""COMPUTED_VALUE"""),"Bostick")</f>
        <v>Bostick</v>
      </c>
      <c r="G5156" s="6" t="str">
        <f>IFERROR(__xludf.DUMMYFUNCTION("""COMPUTED_VALUE"""),"02/07/2017")</f>
        <v>02/07/2017</v>
      </c>
      <c r="H5156" s="6" t="str">
        <f>IFERROR(__xludf.DUMMYFUNCTION("""COMPUTED_VALUE"""),"male")</f>
        <v>male</v>
      </c>
      <c r="I5156" s="6" t="str">
        <f>IFERROR(__xludf.DUMMYFUNCTION("""COMPUTED_VALUE"""),"Level 1")</f>
        <v>Level 1</v>
      </c>
      <c r="J5156" s="6" t="str">
        <f>IFERROR(__xludf.DUMMYFUNCTION("""COMPUTED_VALUE"""),"3")</f>
        <v>3</v>
      </c>
      <c r="K5156" s="6" t="str">
        <f>IFERROR(__xludf.DUMMYFUNCTION("""COMPUTED_VALUE"""),"noah.bostick@2hourlearning.com")</f>
        <v>noah.bostick@2hourlearning.com</v>
      </c>
      <c r="L5156" s="6" t="str">
        <f>IFERROR(__xludf.DUMMYFUNCTION("""COMPUTED_VALUE"""),"JRES - Ridgeland Elementary School")</f>
        <v>JRES - Ridgeland Elementary School</v>
      </c>
      <c r="M5156" s="6" t="str">
        <f>IFERROR(__xludf.DUMMYFUNCTION("""COMPUTED_VALUE"""),"")</f>
        <v/>
      </c>
      <c r="N5156" s="6" t="str">
        <f>IFERROR(__xludf.DUMMYFUNCTION("""COMPUTED_VALUE"""),"")</f>
        <v/>
      </c>
      <c r="O5156" s="87" t="str">
        <f>IFERROR(__xludf.DUMMYFUNCTION("""COMPUTED_VALUE"""),"https://drive.google.com/drive/folders/10T2cTQHqEJZqE-st6uFKPoI?usp=share_link")</f>
        <v>https://drive.google.com/drive/folders/10T2cTQHqEJZqE-st6uFKPoI?usp=share_link</v>
      </c>
      <c r="P5156" s="6" t="str">
        <f>IFERROR(__xludf.DUMMYFUNCTION("""COMPUTED_VALUE"""),"Noah Bostick")</f>
        <v>Noah Bostick</v>
      </c>
      <c r="Q5156" s="6" t="str">
        <f>IFERROR(__xludf.DUMMYFUNCTION("""COMPUTED_VALUE"""),"L1")</f>
        <v>L1</v>
      </c>
      <c r="R5156" s="6">
        <f>IFERROR(__xludf.DUMMYFUNCTION("""COMPUTED_VALUE"""),1.0)</f>
        <v>1</v>
      </c>
      <c r="S5156" s="6" t="str">
        <f>IFERROR(__xludf.DUMMYFUNCTION("""COMPUTED_VALUE"""),"Kimberly Ball")</f>
        <v>Kimberly Ball</v>
      </c>
      <c r="T5156" s="6" t="str">
        <f>IFERROR(__xludf.DUMMYFUNCTION("""COMPUTED_VALUE"""),"kimberly.ball@studient.com")</f>
        <v>kimberly.ball@studient.com</v>
      </c>
      <c r="U5156" s="6" t="str">
        <f>IFERROR(__xludf.DUMMYFUNCTION("""COMPUTED_VALUE"""),"3")</f>
        <v>3</v>
      </c>
      <c r="V5156" s="6" t="str">
        <f>IFERROR(__xludf.DUMMYFUNCTION("""COMPUTED_VALUE"""),"")</f>
        <v/>
      </c>
      <c r="W5156" s="6" t="str">
        <f>IFERROR(__xludf.DUMMYFUNCTION("""COMPUTED_VALUE"""),"[]")</f>
        <v>[]</v>
      </c>
      <c r="X5156" s="6" t="str">
        <f>IFERROR(__xludf.DUMMYFUNCTION("""COMPUTED_VALUE"""),"Enrolled")</f>
        <v>Enrolled</v>
      </c>
    </row>
    <row r="5157">
      <c r="A5157" s="6" t="str">
        <f>IFERROR(__xludf.DUMMYFUNCTION("""COMPUTED_VALUE"""),"086-12548")</f>
        <v>086-12548</v>
      </c>
      <c r="B5157" s="6" t="str">
        <f>IFERROR(__xludf.DUMMYFUNCTION("""COMPUTED_VALUE"""),"86")</f>
        <v>86</v>
      </c>
      <c r="C5157" s="6" t="str">
        <f>IFERROR(__xludf.DUMMYFUNCTION("""COMPUTED_VALUE"""),"12548")</f>
        <v>12548</v>
      </c>
      <c r="D5157" s="6" t="str">
        <f>IFERROR(__xludf.DUMMYFUNCTION("""COMPUTED_VALUE"""),"Lai'Lah")</f>
        <v>Lai'Lah</v>
      </c>
      <c r="E5157" s="6" t="str">
        <f>IFERROR(__xludf.DUMMYFUNCTION("""COMPUTED_VALUE"""),"")</f>
        <v/>
      </c>
      <c r="F5157" s="6" t="str">
        <f>IFERROR(__xludf.DUMMYFUNCTION("""COMPUTED_VALUE"""),"Brown")</f>
        <v>Brown</v>
      </c>
      <c r="G5157" s="6" t="str">
        <f>IFERROR(__xludf.DUMMYFUNCTION("""COMPUTED_VALUE"""),"12/30/2017")</f>
        <v>12/30/2017</v>
      </c>
      <c r="H5157" s="6" t="str">
        <f>IFERROR(__xludf.DUMMYFUNCTION("""COMPUTED_VALUE"""),"female")</f>
        <v>female</v>
      </c>
      <c r="I5157" s="6" t="str">
        <f>IFERROR(__xludf.DUMMYFUNCTION("""COMPUTED_VALUE"""),"Level 1")</f>
        <v>Level 1</v>
      </c>
      <c r="J5157" s="6" t="str">
        <f>IFERROR(__xludf.DUMMYFUNCTION("""COMPUTED_VALUE"""),"3")</f>
        <v>3</v>
      </c>
      <c r="K5157" s="6" t="str">
        <f>IFERROR(__xludf.DUMMYFUNCTION("""COMPUTED_VALUE"""),"lailah.brown@2hourlearning.com")</f>
        <v>lailah.brown@2hourlearning.com</v>
      </c>
      <c r="L5157" s="6" t="str">
        <f>IFERROR(__xludf.DUMMYFUNCTION("""COMPUTED_VALUE"""),"JRES - Ridgeland Elementary School")</f>
        <v>JRES - Ridgeland Elementary School</v>
      </c>
      <c r="M5157" s="6" t="str">
        <f>IFERROR(__xludf.DUMMYFUNCTION("""COMPUTED_VALUE"""),"")</f>
        <v/>
      </c>
      <c r="N5157" s="6" t="str">
        <f>IFERROR(__xludf.DUMMYFUNCTION("""COMPUTED_VALUE"""),"")</f>
        <v/>
      </c>
      <c r="O5157" s="87" t="str">
        <f>IFERROR(__xludf.DUMMYFUNCTION("""COMPUTED_VALUE"""),"https://drive.google.com/drive/folders/10T2cTQHqEJZqE-st6uFKPoI?usp=share_link")</f>
        <v>https://drive.google.com/drive/folders/10T2cTQHqEJZqE-st6uFKPoI?usp=share_link</v>
      </c>
      <c r="P5157" s="6" t="str">
        <f>IFERROR(__xludf.DUMMYFUNCTION("""COMPUTED_VALUE"""),"Lai'Lah Brown")</f>
        <v>Lai'Lah Brown</v>
      </c>
      <c r="Q5157" s="6" t="str">
        <f>IFERROR(__xludf.DUMMYFUNCTION("""COMPUTED_VALUE"""),"L1")</f>
        <v>L1</v>
      </c>
      <c r="R5157" s="6">
        <f>IFERROR(__xludf.DUMMYFUNCTION("""COMPUTED_VALUE"""),1.0)</f>
        <v>1</v>
      </c>
      <c r="S5157" s="6" t="str">
        <f>IFERROR(__xludf.DUMMYFUNCTION("""COMPUTED_VALUE"""),"Kimberly Ball")</f>
        <v>Kimberly Ball</v>
      </c>
      <c r="T5157" s="6" t="str">
        <f>IFERROR(__xludf.DUMMYFUNCTION("""COMPUTED_VALUE"""),"kimberly.ball@studient.com")</f>
        <v>kimberly.ball@studient.com</v>
      </c>
      <c r="U5157" s="6" t="str">
        <f>IFERROR(__xludf.DUMMYFUNCTION("""COMPUTED_VALUE"""),"3")</f>
        <v>3</v>
      </c>
      <c r="V5157" s="6" t="str">
        <f>IFERROR(__xludf.DUMMYFUNCTION("""COMPUTED_VALUE"""),"")</f>
        <v/>
      </c>
      <c r="W5157" s="6" t="str">
        <f>IFERROR(__xludf.DUMMYFUNCTION("""COMPUTED_VALUE"""),"[]")</f>
        <v>[]</v>
      </c>
      <c r="X5157" s="6" t="str">
        <f>IFERROR(__xludf.DUMMYFUNCTION("""COMPUTED_VALUE"""),"Enrolled")</f>
        <v>Enrolled</v>
      </c>
    </row>
    <row r="5158">
      <c r="A5158" s="6" t="str">
        <f>IFERROR(__xludf.DUMMYFUNCTION("""COMPUTED_VALUE"""),"086-12549")</f>
        <v>086-12549</v>
      </c>
      <c r="B5158" s="6" t="str">
        <f>IFERROR(__xludf.DUMMYFUNCTION("""COMPUTED_VALUE"""),"86")</f>
        <v>86</v>
      </c>
      <c r="C5158" s="6" t="str">
        <f>IFERROR(__xludf.DUMMYFUNCTION("""COMPUTED_VALUE"""),"12549")</f>
        <v>12549</v>
      </c>
      <c r="D5158" s="6" t="str">
        <f>IFERROR(__xludf.DUMMYFUNCTION("""COMPUTED_VALUE"""),"Stephone")</f>
        <v>Stephone</v>
      </c>
      <c r="E5158" s="6" t="str">
        <f>IFERROR(__xludf.DUMMYFUNCTION("""COMPUTED_VALUE"""),"")</f>
        <v/>
      </c>
      <c r="F5158" s="6" t="str">
        <f>IFERROR(__xludf.DUMMYFUNCTION("""COMPUTED_VALUE"""),"Brown")</f>
        <v>Brown</v>
      </c>
      <c r="G5158" s="6" t="str">
        <f>IFERROR(__xludf.DUMMYFUNCTION("""COMPUTED_VALUE"""),"04/23/2017")</f>
        <v>04/23/2017</v>
      </c>
      <c r="H5158" s="6" t="str">
        <f>IFERROR(__xludf.DUMMYFUNCTION("""COMPUTED_VALUE"""),"female")</f>
        <v>female</v>
      </c>
      <c r="I5158" s="6" t="str">
        <f>IFERROR(__xludf.DUMMYFUNCTION("""COMPUTED_VALUE"""),"Level 1")</f>
        <v>Level 1</v>
      </c>
      <c r="J5158" s="6" t="str">
        <f>IFERROR(__xludf.DUMMYFUNCTION("""COMPUTED_VALUE"""),"3")</f>
        <v>3</v>
      </c>
      <c r="K5158" s="6" t="str">
        <f>IFERROR(__xludf.DUMMYFUNCTION("""COMPUTED_VALUE"""),"stephone.brown@2hourlearning.com")</f>
        <v>stephone.brown@2hourlearning.com</v>
      </c>
      <c r="L5158" s="6" t="str">
        <f>IFERROR(__xludf.DUMMYFUNCTION("""COMPUTED_VALUE"""),"JRES - Ridgeland Elementary School")</f>
        <v>JRES - Ridgeland Elementary School</v>
      </c>
      <c r="M5158" s="6" t="str">
        <f>IFERROR(__xludf.DUMMYFUNCTION("""COMPUTED_VALUE"""),"")</f>
        <v/>
      </c>
      <c r="N5158" s="6" t="str">
        <f>IFERROR(__xludf.DUMMYFUNCTION("""COMPUTED_VALUE"""),"")</f>
        <v/>
      </c>
      <c r="O5158" s="87" t="str">
        <f>IFERROR(__xludf.DUMMYFUNCTION("""COMPUTED_VALUE"""),"https://drive.google.com/drive/folders/10T2cTQHqEJZqE-st6uFKPoI?usp=share_link")</f>
        <v>https://drive.google.com/drive/folders/10T2cTQHqEJZqE-st6uFKPoI?usp=share_link</v>
      </c>
      <c r="P5158" s="6" t="str">
        <f>IFERROR(__xludf.DUMMYFUNCTION("""COMPUTED_VALUE"""),"Stephone Brown")</f>
        <v>Stephone Brown</v>
      </c>
      <c r="Q5158" s="6" t="str">
        <f>IFERROR(__xludf.DUMMYFUNCTION("""COMPUTED_VALUE"""),"L1")</f>
        <v>L1</v>
      </c>
      <c r="R5158" s="6">
        <f>IFERROR(__xludf.DUMMYFUNCTION("""COMPUTED_VALUE"""),1.0)</f>
        <v>1</v>
      </c>
      <c r="S5158" s="6" t="str">
        <f>IFERROR(__xludf.DUMMYFUNCTION("""COMPUTED_VALUE"""),"Kimberly Ball")</f>
        <v>Kimberly Ball</v>
      </c>
      <c r="T5158" s="6" t="str">
        <f>IFERROR(__xludf.DUMMYFUNCTION("""COMPUTED_VALUE"""),"kimberly.ball@studient.com")</f>
        <v>kimberly.ball@studient.com</v>
      </c>
      <c r="U5158" s="6" t="str">
        <f>IFERROR(__xludf.DUMMYFUNCTION("""COMPUTED_VALUE"""),"3")</f>
        <v>3</v>
      </c>
      <c r="V5158" s="6" t="str">
        <f>IFERROR(__xludf.DUMMYFUNCTION("""COMPUTED_VALUE"""),"")</f>
        <v/>
      </c>
      <c r="W5158" s="6" t="str">
        <f>IFERROR(__xludf.DUMMYFUNCTION("""COMPUTED_VALUE"""),"[]")</f>
        <v>[]</v>
      </c>
      <c r="X5158" s="6" t="str">
        <f>IFERROR(__xludf.DUMMYFUNCTION("""COMPUTED_VALUE"""),"Enrolled")</f>
        <v>Enrolled</v>
      </c>
    </row>
    <row r="5159">
      <c r="A5159" s="6" t="str">
        <f>IFERROR(__xludf.DUMMYFUNCTION("""COMPUTED_VALUE"""),"086-12550")</f>
        <v>086-12550</v>
      </c>
      <c r="B5159" s="6" t="str">
        <f>IFERROR(__xludf.DUMMYFUNCTION("""COMPUTED_VALUE"""),"86")</f>
        <v>86</v>
      </c>
      <c r="C5159" s="6" t="str">
        <f>IFERROR(__xludf.DUMMYFUNCTION("""COMPUTED_VALUE"""),"12550")</f>
        <v>12550</v>
      </c>
      <c r="D5159" s="6" t="str">
        <f>IFERROR(__xludf.DUMMYFUNCTION("""COMPUTED_VALUE"""),"Aiden")</f>
        <v>Aiden</v>
      </c>
      <c r="E5159" s="6" t="str">
        <f>IFERROR(__xludf.DUMMYFUNCTION("""COMPUTED_VALUE"""),"")</f>
        <v/>
      </c>
      <c r="F5159" s="6" t="str">
        <f>IFERROR(__xludf.DUMMYFUNCTION("""COMPUTED_VALUE"""),"Burns")</f>
        <v>Burns</v>
      </c>
      <c r="G5159" s="6" t="str">
        <f>IFERROR(__xludf.DUMMYFUNCTION("""COMPUTED_VALUE"""),"09/26/2014")</f>
        <v>09/26/2014</v>
      </c>
      <c r="H5159" s="6" t="str">
        <f>IFERROR(__xludf.DUMMYFUNCTION("""COMPUTED_VALUE"""),"female")</f>
        <v>female</v>
      </c>
      <c r="I5159" s="6" t="str">
        <f>IFERROR(__xludf.DUMMYFUNCTION("""COMPUTED_VALUE"""),"Level 1")</f>
        <v>Level 1</v>
      </c>
      <c r="J5159" s="6" t="str">
        <f>IFERROR(__xludf.DUMMYFUNCTION("""COMPUTED_VALUE"""),"3")</f>
        <v>3</v>
      </c>
      <c r="K5159" s="6" t="str">
        <f>IFERROR(__xludf.DUMMYFUNCTION("""COMPUTED_VALUE"""),"aiden.burns@2hourlearning.com")</f>
        <v>aiden.burns@2hourlearning.com</v>
      </c>
      <c r="L5159" s="6" t="str">
        <f>IFERROR(__xludf.DUMMYFUNCTION("""COMPUTED_VALUE"""),"JRES - Ridgeland Elementary School")</f>
        <v>JRES - Ridgeland Elementary School</v>
      </c>
      <c r="M5159" s="6" t="str">
        <f>IFERROR(__xludf.DUMMYFUNCTION("""COMPUTED_VALUE"""),"")</f>
        <v/>
      </c>
      <c r="N5159" s="6" t="str">
        <f>IFERROR(__xludf.DUMMYFUNCTION("""COMPUTED_VALUE"""),"")</f>
        <v/>
      </c>
      <c r="O5159" s="87" t="str">
        <f>IFERROR(__xludf.DUMMYFUNCTION("""COMPUTED_VALUE"""),"https://drive.google.com/drive/folders/10T2cTQHqEJZqE-st6uFKPoI?usp=share_link")</f>
        <v>https://drive.google.com/drive/folders/10T2cTQHqEJZqE-st6uFKPoI?usp=share_link</v>
      </c>
      <c r="P5159" s="6" t="str">
        <f>IFERROR(__xludf.DUMMYFUNCTION("""COMPUTED_VALUE"""),"Aiden Burns")</f>
        <v>Aiden Burns</v>
      </c>
      <c r="Q5159" s="6" t="str">
        <f>IFERROR(__xludf.DUMMYFUNCTION("""COMPUTED_VALUE"""),"L1")</f>
        <v>L1</v>
      </c>
      <c r="R5159" s="6">
        <f>IFERROR(__xludf.DUMMYFUNCTION("""COMPUTED_VALUE"""),1.0)</f>
        <v>1</v>
      </c>
      <c r="S5159" s="6" t="str">
        <f>IFERROR(__xludf.DUMMYFUNCTION("""COMPUTED_VALUE"""),"Kimberly Ball")</f>
        <v>Kimberly Ball</v>
      </c>
      <c r="T5159" s="6" t="str">
        <f>IFERROR(__xludf.DUMMYFUNCTION("""COMPUTED_VALUE"""),"kimberly.ball@studient.com")</f>
        <v>kimberly.ball@studient.com</v>
      </c>
      <c r="U5159" s="6" t="str">
        <f>IFERROR(__xludf.DUMMYFUNCTION("""COMPUTED_VALUE"""),"3")</f>
        <v>3</v>
      </c>
      <c r="V5159" s="6" t="str">
        <f>IFERROR(__xludf.DUMMYFUNCTION("""COMPUTED_VALUE"""),"")</f>
        <v/>
      </c>
      <c r="W5159" s="6" t="str">
        <f>IFERROR(__xludf.DUMMYFUNCTION("""COMPUTED_VALUE"""),"[]")</f>
        <v>[]</v>
      </c>
      <c r="X5159" s="6" t="str">
        <f>IFERROR(__xludf.DUMMYFUNCTION("""COMPUTED_VALUE"""),"Enrolled")</f>
        <v>Enrolled</v>
      </c>
    </row>
    <row r="5160">
      <c r="A5160" s="6" t="str">
        <f>IFERROR(__xludf.DUMMYFUNCTION("""COMPUTED_VALUE"""),"086-12551")</f>
        <v>086-12551</v>
      </c>
      <c r="B5160" s="6" t="str">
        <f>IFERROR(__xludf.DUMMYFUNCTION("""COMPUTED_VALUE"""),"86")</f>
        <v>86</v>
      </c>
      <c r="C5160" s="6" t="str">
        <f>IFERROR(__xludf.DUMMYFUNCTION("""COMPUTED_VALUE"""),"12551")</f>
        <v>12551</v>
      </c>
      <c r="D5160" s="6" t="str">
        <f>IFERROR(__xludf.DUMMYFUNCTION("""COMPUTED_VALUE"""),"Kareem")</f>
        <v>Kareem</v>
      </c>
      <c r="E5160" s="6" t="str">
        <f>IFERROR(__xludf.DUMMYFUNCTION("""COMPUTED_VALUE"""),"")</f>
        <v/>
      </c>
      <c r="F5160" s="6" t="str">
        <f>IFERROR(__xludf.DUMMYFUNCTION("""COMPUTED_VALUE"""),"Burns")</f>
        <v>Burns</v>
      </c>
      <c r="G5160" s="6" t="str">
        <f>IFERROR(__xludf.DUMMYFUNCTION("""COMPUTED_VALUE"""),"11/14/2014")</f>
        <v>11/14/2014</v>
      </c>
      <c r="H5160" s="6" t="str">
        <f>IFERROR(__xludf.DUMMYFUNCTION("""COMPUTED_VALUE"""),"female")</f>
        <v>female</v>
      </c>
      <c r="I5160" s="6" t="str">
        <f>IFERROR(__xludf.DUMMYFUNCTION("""COMPUTED_VALUE"""),"Level 1")</f>
        <v>Level 1</v>
      </c>
      <c r="J5160" s="6" t="str">
        <f>IFERROR(__xludf.DUMMYFUNCTION("""COMPUTED_VALUE"""),"3")</f>
        <v>3</v>
      </c>
      <c r="K5160" s="6" t="str">
        <f>IFERROR(__xludf.DUMMYFUNCTION("""COMPUTED_VALUE"""),"kareem.burns@2hourlearning.com")</f>
        <v>kareem.burns@2hourlearning.com</v>
      </c>
      <c r="L5160" s="6" t="str">
        <f>IFERROR(__xludf.DUMMYFUNCTION("""COMPUTED_VALUE"""),"JRES - Ridgeland Elementary School")</f>
        <v>JRES - Ridgeland Elementary School</v>
      </c>
      <c r="M5160" s="6" t="str">
        <f>IFERROR(__xludf.DUMMYFUNCTION("""COMPUTED_VALUE"""),"")</f>
        <v/>
      </c>
      <c r="N5160" s="6" t="str">
        <f>IFERROR(__xludf.DUMMYFUNCTION("""COMPUTED_VALUE"""),"")</f>
        <v/>
      </c>
      <c r="O5160" s="87" t="str">
        <f>IFERROR(__xludf.DUMMYFUNCTION("""COMPUTED_VALUE"""),"https://drive.google.com/drive/folders/10T2cTQHqEJZqE-st6uFKPoI?usp=share_link")</f>
        <v>https://drive.google.com/drive/folders/10T2cTQHqEJZqE-st6uFKPoI?usp=share_link</v>
      </c>
      <c r="P5160" s="6" t="str">
        <f>IFERROR(__xludf.DUMMYFUNCTION("""COMPUTED_VALUE"""),"Kareem Burns")</f>
        <v>Kareem Burns</v>
      </c>
      <c r="Q5160" s="6" t="str">
        <f>IFERROR(__xludf.DUMMYFUNCTION("""COMPUTED_VALUE"""),"L1")</f>
        <v>L1</v>
      </c>
      <c r="R5160" s="6">
        <f>IFERROR(__xludf.DUMMYFUNCTION("""COMPUTED_VALUE"""),1.0)</f>
        <v>1</v>
      </c>
      <c r="S5160" s="6" t="str">
        <f>IFERROR(__xludf.DUMMYFUNCTION("""COMPUTED_VALUE"""),"Kimberly Ball")</f>
        <v>Kimberly Ball</v>
      </c>
      <c r="T5160" s="6" t="str">
        <f>IFERROR(__xludf.DUMMYFUNCTION("""COMPUTED_VALUE"""),"kimberly.ball@studient.com")</f>
        <v>kimberly.ball@studient.com</v>
      </c>
      <c r="U5160" s="6" t="str">
        <f>IFERROR(__xludf.DUMMYFUNCTION("""COMPUTED_VALUE"""),"3")</f>
        <v>3</v>
      </c>
      <c r="V5160" s="6" t="str">
        <f>IFERROR(__xludf.DUMMYFUNCTION("""COMPUTED_VALUE"""),"")</f>
        <v/>
      </c>
      <c r="W5160" s="6" t="str">
        <f>IFERROR(__xludf.DUMMYFUNCTION("""COMPUTED_VALUE"""),"[]")</f>
        <v>[]</v>
      </c>
      <c r="X5160" s="6" t="str">
        <f>IFERROR(__xludf.DUMMYFUNCTION("""COMPUTED_VALUE"""),"Enrolled")</f>
        <v>Enrolled</v>
      </c>
    </row>
    <row r="5161">
      <c r="A5161" s="6" t="str">
        <f>IFERROR(__xludf.DUMMYFUNCTION("""COMPUTED_VALUE"""),"086-12552")</f>
        <v>086-12552</v>
      </c>
      <c r="B5161" s="6" t="str">
        <f>IFERROR(__xludf.DUMMYFUNCTION("""COMPUTED_VALUE"""),"86")</f>
        <v>86</v>
      </c>
      <c r="C5161" s="6" t="str">
        <f>IFERROR(__xludf.DUMMYFUNCTION("""COMPUTED_VALUE"""),"12552")</f>
        <v>12552</v>
      </c>
      <c r="D5161" s="6" t="str">
        <f>IFERROR(__xludf.DUMMYFUNCTION("""COMPUTED_VALUE"""),"Brianna")</f>
        <v>Brianna</v>
      </c>
      <c r="E5161" s="6" t="str">
        <f>IFERROR(__xludf.DUMMYFUNCTION("""COMPUTED_VALUE"""),"")</f>
        <v/>
      </c>
      <c r="F5161" s="6" t="str">
        <f>IFERROR(__xludf.DUMMYFUNCTION("""COMPUTED_VALUE"""),"Buruca Gonzalez")</f>
        <v>Buruca Gonzalez</v>
      </c>
      <c r="G5161" s="6" t="str">
        <f>IFERROR(__xludf.DUMMYFUNCTION("""COMPUTED_VALUE"""),"07/08/2016")</f>
        <v>07/08/2016</v>
      </c>
      <c r="H5161" s="6" t="str">
        <f>IFERROR(__xludf.DUMMYFUNCTION("""COMPUTED_VALUE"""),"female")</f>
        <v>female</v>
      </c>
      <c r="I5161" s="6" t="str">
        <f>IFERROR(__xludf.DUMMYFUNCTION("""COMPUTED_VALUE"""),"Level 1")</f>
        <v>Level 1</v>
      </c>
      <c r="J5161" s="6" t="str">
        <f>IFERROR(__xludf.DUMMYFUNCTION("""COMPUTED_VALUE"""),"3")</f>
        <v>3</v>
      </c>
      <c r="K5161" s="6" t="str">
        <f>IFERROR(__xludf.DUMMYFUNCTION("""COMPUTED_VALUE"""),"brianna.burucagonzalez@2hourlearning.com")</f>
        <v>brianna.burucagonzalez@2hourlearning.com</v>
      </c>
      <c r="L5161" s="6" t="str">
        <f>IFERROR(__xludf.DUMMYFUNCTION("""COMPUTED_VALUE"""),"JRES - Ridgeland Elementary School")</f>
        <v>JRES - Ridgeland Elementary School</v>
      </c>
      <c r="M5161" s="6" t="str">
        <f>IFERROR(__xludf.DUMMYFUNCTION("""COMPUTED_VALUE"""),"")</f>
        <v/>
      </c>
      <c r="N5161" s="6" t="str">
        <f>IFERROR(__xludf.DUMMYFUNCTION("""COMPUTED_VALUE"""),"")</f>
        <v/>
      </c>
      <c r="O5161" s="87" t="str">
        <f>IFERROR(__xludf.DUMMYFUNCTION("""COMPUTED_VALUE"""),"https://drive.google.com/drive/folders/10T2cTQHqEJZqE-st6uFKPoI?usp=share_link")</f>
        <v>https://drive.google.com/drive/folders/10T2cTQHqEJZqE-st6uFKPoI?usp=share_link</v>
      </c>
      <c r="P5161" s="6" t="str">
        <f>IFERROR(__xludf.DUMMYFUNCTION("""COMPUTED_VALUE"""),"Brianna Buruca Gonzalez")</f>
        <v>Brianna Buruca Gonzalez</v>
      </c>
      <c r="Q5161" s="6" t="str">
        <f>IFERROR(__xludf.DUMMYFUNCTION("""COMPUTED_VALUE"""),"L1")</f>
        <v>L1</v>
      </c>
      <c r="R5161" s="6">
        <f>IFERROR(__xludf.DUMMYFUNCTION("""COMPUTED_VALUE"""),1.0)</f>
        <v>1</v>
      </c>
      <c r="S5161" s="6" t="str">
        <f>IFERROR(__xludf.DUMMYFUNCTION("""COMPUTED_VALUE"""),"Kimberly Ball")</f>
        <v>Kimberly Ball</v>
      </c>
      <c r="T5161" s="6" t="str">
        <f>IFERROR(__xludf.DUMMYFUNCTION("""COMPUTED_VALUE"""),"kimberly.ball@studient.com")</f>
        <v>kimberly.ball@studient.com</v>
      </c>
      <c r="U5161" s="6" t="str">
        <f>IFERROR(__xludf.DUMMYFUNCTION("""COMPUTED_VALUE"""),"3")</f>
        <v>3</v>
      </c>
      <c r="V5161" s="6" t="str">
        <f>IFERROR(__xludf.DUMMYFUNCTION("""COMPUTED_VALUE"""),"")</f>
        <v/>
      </c>
      <c r="W5161" s="6" t="str">
        <f>IFERROR(__xludf.DUMMYFUNCTION("""COMPUTED_VALUE"""),"[]")</f>
        <v>[]</v>
      </c>
      <c r="X5161" s="6" t="str">
        <f>IFERROR(__xludf.DUMMYFUNCTION("""COMPUTED_VALUE"""),"Enrolled")</f>
        <v>Enrolled</v>
      </c>
    </row>
    <row r="5162">
      <c r="A5162" s="6" t="str">
        <f>IFERROR(__xludf.DUMMYFUNCTION("""COMPUTED_VALUE"""),"086-12553")</f>
        <v>086-12553</v>
      </c>
      <c r="B5162" s="6" t="str">
        <f>IFERROR(__xludf.DUMMYFUNCTION("""COMPUTED_VALUE"""),"86")</f>
        <v>86</v>
      </c>
      <c r="C5162" s="6" t="str">
        <f>IFERROR(__xludf.DUMMYFUNCTION("""COMPUTED_VALUE"""),"12553")</f>
        <v>12553</v>
      </c>
      <c r="D5162" s="6" t="str">
        <f>IFERROR(__xludf.DUMMYFUNCTION("""COMPUTED_VALUE"""),"Alohilani")</f>
        <v>Alohilani</v>
      </c>
      <c r="E5162" s="6" t="str">
        <f>IFERROR(__xludf.DUMMYFUNCTION("""COMPUTED_VALUE"""),"")</f>
        <v/>
      </c>
      <c r="F5162" s="6" t="str">
        <f>IFERROR(__xludf.DUMMYFUNCTION("""COMPUTED_VALUE"""),"Cabang")</f>
        <v>Cabang</v>
      </c>
      <c r="G5162" s="6" t="str">
        <f>IFERROR(__xludf.DUMMYFUNCTION("""COMPUTED_VALUE"""),"11/24/2014")</f>
        <v>11/24/2014</v>
      </c>
      <c r="H5162" s="6" t="str">
        <f>IFERROR(__xludf.DUMMYFUNCTION("""COMPUTED_VALUE"""),"male")</f>
        <v>male</v>
      </c>
      <c r="I5162" s="6" t="str">
        <f>IFERROR(__xludf.DUMMYFUNCTION("""COMPUTED_VALUE"""),"Level 1")</f>
        <v>Level 1</v>
      </c>
      <c r="J5162" s="6" t="str">
        <f>IFERROR(__xludf.DUMMYFUNCTION("""COMPUTED_VALUE"""),"3")</f>
        <v>3</v>
      </c>
      <c r="K5162" s="6" t="str">
        <f>IFERROR(__xludf.DUMMYFUNCTION("""COMPUTED_VALUE"""),"alohilani.cabang@2hourlearning.com")</f>
        <v>alohilani.cabang@2hourlearning.com</v>
      </c>
      <c r="L5162" s="6" t="str">
        <f>IFERROR(__xludf.DUMMYFUNCTION("""COMPUTED_VALUE"""),"JRES - Ridgeland Elementary School")</f>
        <v>JRES - Ridgeland Elementary School</v>
      </c>
      <c r="M5162" s="6" t="str">
        <f>IFERROR(__xludf.DUMMYFUNCTION("""COMPUTED_VALUE"""),"")</f>
        <v/>
      </c>
      <c r="N5162" s="6" t="str">
        <f>IFERROR(__xludf.DUMMYFUNCTION("""COMPUTED_VALUE"""),"")</f>
        <v/>
      </c>
      <c r="O5162" s="87" t="str">
        <f>IFERROR(__xludf.DUMMYFUNCTION("""COMPUTED_VALUE"""),"https://drive.google.com/drive/folders/10T2cTQHqEJZqE-st6uFKPoI?usp=share_link")</f>
        <v>https://drive.google.com/drive/folders/10T2cTQHqEJZqE-st6uFKPoI?usp=share_link</v>
      </c>
      <c r="P5162" s="6" t="str">
        <f>IFERROR(__xludf.DUMMYFUNCTION("""COMPUTED_VALUE"""),"Alohilani Cabang")</f>
        <v>Alohilani Cabang</v>
      </c>
      <c r="Q5162" s="6" t="str">
        <f>IFERROR(__xludf.DUMMYFUNCTION("""COMPUTED_VALUE"""),"L1")</f>
        <v>L1</v>
      </c>
      <c r="R5162" s="6">
        <f>IFERROR(__xludf.DUMMYFUNCTION("""COMPUTED_VALUE"""),1.0)</f>
        <v>1</v>
      </c>
      <c r="S5162" s="6" t="str">
        <f>IFERROR(__xludf.DUMMYFUNCTION("""COMPUTED_VALUE"""),"Kimberly Ball")</f>
        <v>Kimberly Ball</v>
      </c>
      <c r="T5162" s="6" t="str">
        <f>IFERROR(__xludf.DUMMYFUNCTION("""COMPUTED_VALUE"""),"kimberly.ball@studient.com")</f>
        <v>kimberly.ball@studient.com</v>
      </c>
      <c r="U5162" s="6" t="str">
        <f>IFERROR(__xludf.DUMMYFUNCTION("""COMPUTED_VALUE"""),"3")</f>
        <v>3</v>
      </c>
      <c r="V5162" s="6" t="str">
        <f>IFERROR(__xludf.DUMMYFUNCTION("""COMPUTED_VALUE"""),"")</f>
        <v/>
      </c>
      <c r="W5162" s="6" t="str">
        <f>IFERROR(__xludf.DUMMYFUNCTION("""COMPUTED_VALUE"""),"[]")</f>
        <v>[]</v>
      </c>
      <c r="X5162" s="6" t="str">
        <f>IFERROR(__xludf.DUMMYFUNCTION("""COMPUTED_VALUE"""),"Enrolled")</f>
        <v>Enrolled</v>
      </c>
    </row>
    <row r="5163">
      <c r="A5163" s="6" t="str">
        <f>IFERROR(__xludf.DUMMYFUNCTION("""COMPUTED_VALUE"""),"086-12554")</f>
        <v>086-12554</v>
      </c>
      <c r="B5163" s="6" t="str">
        <f>IFERROR(__xludf.DUMMYFUNCTION("""COMPUTED_VALUE"""),"86")</f>
        <v>86</v>
      </c>
      <c r="C5163" s="6" t="str">
        <f>IFERROR(__xludf.DUMMYFUNCTION("""COMPUTED_VALUE"""),"12554")</f>
        <v>12554</v>
      </c>
      <c r="D5163" s="6" t="str">
        <f>IFERROR(__xludf.DUMMYFUNCTION("""COMPUTED_VALUE"""),"Leslie")</f>
        <v>Leslie</v>
      </c>
      <c r="E5163" s="6" t="str">
        <f>IFERROR(__xludf.DUMMYFUNCTION("""COMPUTED_VALUE"""),"")</f>
        <v/>
      </c>
      <c r="F5163" s="6" t="str">
        <f>IFERROR(__xludf.DUMMYFUNCTION("""COMPUTED_VALUE"""),"Candelario Bruno")</f>
        <v>Candelario Bruno</v>
      </c>
      <c r="G5163" s="6" t="str">
        <f>IFERROR(__xludf.DUMMYFUNCTION("""COMPUTED_VALUE"""),"05/26/2018")</f>
        <v>05/26/2018</v>
      </c>
      <c r="H5163" s="6" t="str">
        <f>IFERROR(__xludf.DUMMYFUNCTION("""COMPUTED_VALUE"""),"female")</f>
        <v>female</v>
      </c>
      <c r="I5163" s="6" t="str">
        <f>IFERROR(__xludf.DUMMYFUNCTION("""COMPUTED_VALUE"""),"Level 1")</f>
        <v>Level 1</v>
      </c>
      <c r="J5163" s="6" t="str">
        <f>IFERROR(__xludf.DUMMYFUNCTION("""COMPUTED_VALUE"""),"3")</f>
        <v>3</v>
      </c>
      <c r="K5163" s="6" t="str">
        <f>IFERROR(__xludf.DUMMYFUNCTION("""COMPUTED_VALUE"""),"leslie.candelariobruno@2hourlearning.com")</f>
        <v>leslie.candelariobruno@2hourlearning.com</v>
      </c>
      <c r="L5163" s="6" t="str">
        <f>IFERROR(__xludf.DUMMYFUNCTION("""COMPUTED_VALUE"""),"JRES - Ridgeland Elementary School")</f>
        <v>JRES - Ridgeland Elementary School</v>
      </c>
      <c r="M5163" s="6" t="str">
        <f>IFERROR(__xludf.DUMMYFUNCTION("""COMPUTED_VALUE"""),"")</f>
        <v/>
      </c>
      <c r="N5163" s="6" t="str">
        <f>IFERROR(__xludf.DUMMYFUNCTION("""COMPUTED_VALUE"""),"")</f>
        <v/>
      </c>
      <c r="O5163" s="87" t="str">
        <f>IFERROR(__xludf.DUMMYFUNCTION("""COMPUTED_VALUE"""),"https://drive.google.com/drive/folders/10T2cTQHqEJZqE-st6uFKPoI?usp=share_link")</f>
        <v>https://drive.google.com/drive/folders/10T2cTQHqEJZqE-st6uFKPoI?usp=share_link</v>
      </c>
      <c r="P5163" s="6" t="str">
        <f>IFERROR(__xludf.DUMMYFUNCTION("""COMPUTED_VALUE"""),"Leslie Candelario Bruno")</f>
        <v>Leslie Candelario Bruno</v>
      </c>
      <c r="Q5163" s="6" t="str">
        <f>IFERROR(__xludf.DUMMYFUNCTION("""COMPUTED_VALUE"""),"L1")</f>
        <v>L1</v>
      </c>
      <c r="R5163" s="6">
        <f>IFERROR(__xludf.DUMMYFUNCTION("""COMPUTED_VALUE"""),1.0)</f>
        <v>1</v>
      </c>
      <c r="S5163" s="6" t="str">
        <f>IFERROR(__xludf.DUMMYFUNCTION("""COMPUTED_VALUE"""),"Kimberly Ball")</f>
        <v>Kimberly Ball</v>
      </c>
      <c r="T5163" s="6" t="str">
        <f>IFERROR(__xludf.DUMMYFUNCTION("""COMPUTED_VALUE"""),"kimberly.ball@studient.com")</f>
        <v>kimberly.ball@studient.com</v>
      </c>
      <c r="U5163" s="6" t="str">
        <f>IFERROR(__xludf.DUMMYFUNCTION("""COMPUTED_VALUE"""),"3")</f>
        <v>3</v>
      </c>
      <c r="V5163" s="6" t="str">
        <f>IFERROR(__xludf.DUMMYFUNCTION("""COMPUTED_VALUE"""),"")</f>
        <v/>
      </c>
      <c r="W5163" s="6" t="str">
        <f>IFERROR(__xludf.DUMMYFUNCTION("""COMPUTED_VALUE"""),"[]")</f>
        <v>[]</v>
      </c>
      <c r="X5163" s="6" t="str">
        <f>IFERROR(__xludf.DUMMYFUNCTION("""COMPUTED_VALUE"""),"Enrolled")</f>
        <v>Enrolled</v>
      </c>
    </row>
    <row r="5164">
      <c r="A5164" s="6" t="str">
        <f>IFERROR(__xludf.DUMMYFUNCTION("""COMPUTED_VALUE"""),"086-12555")</f>
        <v>086-12555</v>
      </c>
      <c r="B5164" s="6" t="str">
        <f>IFERROR(__xludf.DUMMYFUNCTION("""COMPUTED_VALUE"""),"86")</f>
        <v>86</v>
      </c>
      <c r="C5164" s="6" t="str">
        <f>IFERROR(__xludf.DUMMYFUNCTION("""COMPUTED_VALUE"""),"12555")</f>
        <v>12555</v>
      </c>
      <c r="D5164" s="6" t="str">
        <f>IFERROR(__xludf.DUMMYFUNCTION("""COMPUTED_VALUE"""),"Mia")</f>
        <v>Mia</v>
      </c>
      <c r="E5164" s="6" t="str">
        <f>IFERROR(__xludf.DUMMYFUNCTION("""COMPUTED_VALUE"""),"")</f>
        <v/>
      </c>
      <c r="F5164" s="6" t="str">
        <f>IFERROR(__xludf.DUMMYFUNCTION("""COMPUTED_VALUE"""),"Candelario-Erazo")</f>
        <v>Candelario-Erazo</v>
      </c>
      <c r="G5164" s="6" t="str">
        <f>IFERROR(__xludf.DUMMYFUNCTION("""COMPUTED_VALUE"""),"07/03/2017")</f>
        <v>07/03/2017</v>
      </c>
      <c r="H5164" s="6" t="str">
        <f>IFERROR(__xludf.DUMMYFUNCTION("""COMPUTED_VALUE"""),"female")</f>
        <v>female</v>
      </c>
      <c r="I5164" s="6" t="str">
        <f>IFERROR(__xludf.DUMMYFUNCTION("""COMPUTED_VALUE"""),"Level 1")</f>
        <v>Level 1</v>
      </c>
      <c r="J5164" s="6" t="str">
        <f>IFERROR(__xludf.DUMMYFUNCTION("""COMPUTED_VALUE"""),"3")</f>
        <v>3</v>
      </c>
      <c r="K5164" s="6" t="str">
        <f>IFERROR(__xludf.DUMMYFUNCTION("""COMPUTED_VALUE"""),"mia.candelario-erazo@2hourlearning.com")</f>
        <v>mia.candelario-erazo@2hourlearning.com</v>
      </c>
      <c r="L5164" s="6" t="str">
        <f>IFERROR(__xludf.DUMMYFUNCTION("""COMPUTED_VALUE"""),"JRES - Ridgeland Elementary School")</f>
        <v>JRES - Ridgeland Elementary School</v>
      </c>
      <c r="M5164" s="6" t="str">
        <f>IFERROR(__xludf.DUMMYFUNCTION("""COMPUTED_VALUE"""),"")</f>
        <v/>
      </c>
      <c r="N5164" s="6" t="str">
        <f>IFERROR(__xludf.DUMMYFUNCTION("""COMPUTED_VALUE"""),"")</f>
        <v/>
      </c>
      <c r="O5164" s="87" t="str">
        <f>IFERROR(__xludf.DUMMYFUNCTION("""COMPUTED_VALUE"""),"https://drive.google.com/drive/folders/10T2cTQHqEJZqE-st6uFKPoI?usp=share_link")</f>
        <v>https://drive.google.com/drive/folders/10T2cTQHqEJZqE-st6uFKPoI?usp=share_link</v>
      </c>
      <c r="P5164" s="6" t="str">
        <f>IFERROR(__xludf.DUMMYFUNCTION("""COMPUTED_VALUE"""),"Mia Candelario-Erazo")</f>
        <v>Mia Candelario-Erazo</v>
      </c>
      <c r="Q5164" s="6" t="str">
        <f>IFERROR(__xludf.DUMMYFUNCTION("""COMPUTED_VALUE"""),"L1")</f>
        <v>L1</v>
      </c>
      <c r="R5164" s="6">
        <f>IFERROR(__xludf.DUMMYFUNCTION("""COMPUTED_VALUE"""),1.0)</f>
        <v>1</v>
      </c>
      <c r="S5164" s="6" t="str">
        <f>IFERROR(__xludf.DUMMYFUNCTION("""COMPUTED_VALUE"""),"Kimberly Ball")</f>
        <v>Kimberly Ball</v>
      </c>
      <c r="T5164" s="6" t="str">
        <f>IFERROR(__xludf.DUMMYFUNCTION("""COMPUTED_VALUE"""),"kimberly.ball@studient.com")</f>
        <v>kimberly.ball@studient.com</v>
      </c>
      <c r="U5164" s="6" t="str">
        <f>IFERROR(__xludf.DUMMYFUNCTION("""COMPUTED_VALUE"""),"3")</f>
        <v>3</v>
      </c>
      <c r="V5164" s="6" t="str">
        <f>IFERROR(__xludf.DUMMYFUNCTION("""COMPUTED_VALUE"""),"")</f>
        <v/>
      </c>
      <c r="W5164" s="6" t="str">
        <f>IFERROR(__xludf.DUMMYFUNCTION("""COMPUTED_VALUE"""),"[]")</f>
        <v>[]</v>
      </c>
      <c r="X5164" s="6" t="str">
        <f>IFERROR(__xludf.DUMMYFUNCTION("""COMPUTED_VALUE"""),"Enrolled")</f>
        <v>Enrolled</v>
      </c>
    </row>
    <row r="5165">
      <c r="A5165" s="6" t="str">
        <f>IFERROR(__xludf.DUMMYFUNCTION("""COMPUTED_VALUE"""),"086-12556")</f>
        <v>086-12556</v>
      </c>
      <c r="B5165" s="6" t="str">
        <f>IFERROR(__xludf.DUMMYFUNCTION("""COMPUTED_VALUE"""),"86")</f>
        <v>86</v>
      </c>
      <c r="C5165" s="6" t="str">
        <f>IFERROR(__xludf.DUMMYFUNCTION("""COMPUTED_VALUE"""),"12556")</f>
        <v>12556</v>
      </c>
      <c r="D5165" s="6" t="str">
        <f>IFERROR(__xludf.DUMMYFUNCTION("""COMPUTED_VALUE"""),"Matias")</f>
        <v>Matias</v>
      </c>
      <c r="E5165" s="6" t="str">
        <f>IFERROR(__xludf.DUMMYFUNCTION("""COMPUTED_VALUE"""),"")</f>
        <v/>
      </c>
      <c r="F5165" s="6" t="str">
        <f>IFERROR(__xludf.DUMMYFUNCTION("""COMPUTED_VALUE"""),"Carvajal Romero")</f>
        <v>Carvajal Romero</v>
      </c>
      <c r="G5165" s="6" t="str">
        <f>IFERROR(__xludf.DUMMYFUNCTION("""COMPUTED_VALUE"""),"10/02/2015")</f>
        <v>10/02/2015</v>
      </c>
      <c r="H5165" s="6" t="str">
        <f>IFERROR(__xludf.DUMMYFUNCTION("""COMPUTED_VALUE"""),"female")</f>
        <v>female</v>
      </c>
      <c r="I5165" s="6" t="str">
        <f>IFERROR(__xludf.DUMMYFUNCTION("""COMPUTED_VALUE"""),"Level 1")</f>
        <v>Level 1</v>
      </c>
      <c r="J5165" s="6" t="str">
        <f>IFERROR(__xludf.DUMMYFUNCTION("""COMPUTED_VALUE"""),"3")</f>
        <v>3</v>
      </c>
      <c r="K5165" s="6" t="str">
        <f>IFERROR(__xludf.DUMMYFUNCTION("""COMPUTED_VALUE"""),"matias.carvajalromero@2hourlearning.com")</f>
        <v>matias.carvajalromero@2hourlearning.com</v>
      </c>
      <c r="L5165" s="6" t="str">
        <f>IFERROR(__xludf.DUMMYFUNCTION("""COMPUTED_VALUE"""),"JRES - Ridgeland Elementary School")</f>
        <v>JRES - Ridgeland Elementary School</v>
      </c>
      <c r="M5165" s="6" t="str">
        <f>IFERROR(__xludf.DUMMYFUNCTION("""COMPUTED_VALUE"""),"")</f>
        <v/>
      </c>
      <c r="N5165" s="6" t="str">
        <f>IFERROR(__xludf.DUMMYFUNCTION("""COMPUTED_VALUE"""),"")</f>
        <v/>
      </c>
      <c r="O5165" s="87" t="str">
        <f>IFERROR(__xludf.DUMMYFUNCTION("""COMPUTED_VALUE"""),"https://drive.google.com/drive/folders/10T2cTQHqEJZqE-st6uFKPoI?usp=share_link")</f>
        <v>https://drive.google.com/drive/folders/10T2cTQHqEJZqE-st6uFKPoI?usp=share_link</v>
      </c>
      <c r="P5165" s="6" t="str">
        <f>IFERROR(__xludf.DUMMYFUNCTION("""COMPUTED_VALUE"""),"Matias Carvajal Romero")</f>
        <v>Matias Carvajal Romero</v>
      </c>
      <c r="Q5165" s="6" t="str">
        <f>IFERROR(__xludf.DUMMYFUNCTION("""COMPUTED_VALUE"""),"L1")</f>
        <v>L1</v>
      </c>
      <c r="R5165" s="6">
        <f>IFERROR(__xludf.DUMMYFUNCTION("""COMPUTED_VALUE"""),1.0)</f>
        <v>1</v>
      </c>
      <c r="S5165" s="6" t="str">
        <f>IFERROR(__xludf.DUMMYFUNCTION("""COMPUTED_VALUE"""),"Kimberly Ball")</f>
        <v>Kimberly Ball</v>
      </c>
      <c r="T5165" s="6" t="str">
        <f>IFERROR(__xludf.DUMMYFUNCTION("""COMPUTED_VALUE"""),"kimberly.ball@studient.com")</f>
        <v>kimberly.ball@studient.com</v>
      </c>
      <c r="U5165" s="6" t="str">
        <f>IFERROR(__xludf.DUMMYFUNCTION("""COMPUTED_VALUE"""),"3")</f>
        <v>3</v>
      </c>
      <c r="V5165" s="6" t="str">
        <f>IFERROR(__xludf.DUMMYFUNCTION("""COMPUTED_VALUE"""),"")</f>
        <v/>
      </c>
      <c r="W5165" s="6" t="str">
        <f>IFERROR(__xludf.DUMMYFUNCTION("""COMPUTED_VALUE"""),"[]")</f>
        <v>[]</v>
      </c>
      <c r="X5165" s="6" t="str">
        <f>IFERROR(__xludf.DUMMYFUNCTION("""COMPUTED_VALUE"""),"Enrolled")</f>
        <v>Enrolled</v>
      </c>
    </row>
    <row r="5166">
      <c r="A5166" s="6" t="str">
        <f>IFERROR(__xludf.DUMMYFUNCTION("""COMPUTED_VALUE"""),"086-12557")</f>
        <v>086-12557</v>
      </c>
      <c r="B5166" s="6" t="str">
        <f>IFERROR(__xludf.DUMMYFUNCTION("""COMPUTED_VALUE"""),"86")</f>
        <v>86</v>
      </c>
      <c r="C5166" s="6" t="str">
        <f>IFERROR(__xludf.DUMMYFUNCTION("""COMPUTED_VALUE"""),"12557")</f>
        <v>12557</v>
      </c>
      <c r="D5166" s="6" t="str">
        <f>IFERROR(__xludf.DUMMYFUNCTION("""COMPUTED_VALUE"""),"Sheyla")</f>
        <v>Sheyla</v>
      </c>
      <c r="E5166" s="6" t="str">
        <f>IFERROR(__xludf.DUMMYFUNCTION("""COMPUTED_VALUE"""),"")</f>
        <v/>
      </c>
      <c r="F5166" s="6" t="str">
        <f>IFERROR(__xludf.DUMMYFUNCTION("""COMPUTED_VALUE"""),"Castillo Rodriguez")</f>
        <v>Castillo Rodriguez</v>
      </c>
      <c r="G5166" s="6" t="str">
        <f>IFERROR(__xludf.DUMMYFUNCTION("""COMPUTED_VALUE"""),"10/26/2016")</f>
        <v>10/26/2016</v>
      </c>
      <c r="H5166" s="6" t="str">
        <f>IFERROR(__xludf.DUMMYFUNCTION("""COMPUTED_VALUE"""),"female")</f>
        <v>female</v>
      </c>
      <c r="I5166" s="6" t="str">
        <f>IFERROR(__xludf.DUMMYFUNCTION("""COMPUTED_VALUE"""),"Level 1")</f>
        <v>Level 1</v>
      </c>
      <c r="J5166" s="6" t="str">
        <f>IFERROR(__xludf.DUMMYFUNCTION("""COMPUTED_VALUE"""),"3")</f>
        <v>3</v>
      </c>
      <c r="K5166" s="6" t="str">
        <f>IFERROR(__xludf.DUMMYFUNCTION("""COMPUTED_VALUE"""),"sheyla.castillorodriguez@2hourlearning.com")</f>
        <v>sheyla.castillorodriguez@2hourlearning.com</v>
      </c>
      <c r="L5166" s="6" t="str">
        <f>IFERROR(__xludf.DUMMYFUNCTION("""COMPUTED_VALUE"""),"JRES - Ridgeland Elementary School")</f>
        <v>JRES - Ridgeland Elementary School</v>
      </c>
      <c r="M5166" s="6" t="str">
        <f>IFERROR(__xludf.DUMMYFUNCTION("""COMPUTED_VALUE"""),"")</f>
        <v/>
      </c>
      <c r="N5166" s="6" t="str">
        <f>IFERROR(__xludf.DUMMYFUNCTION("""COMPUTED_VALUE"""),"")</f>
        <v/>
      </c>
      <c r="O5166" s="87" t="str">
        <f>IFERROR(__xludf.DUMMYFUNCTION("""COMPUTED_VALUE"""),"https://drive.google.com/drive/folders/10T2cTQHqEJZqE-st6uFKPoI?usp=share_link")</f>
        <v>https://drive.google.com/drive/folders/10T2cTQHqEJZqE-st6uFKPoI?usp=share_link</v>
      </c>
      <c r="P5166" s="6" t="str">
        <f>IFERROR(__xludf.DUMMYFUNCTION("""COMPUTED_VALUE"""),"Sheyla Castillo Rodriguez")</f>
        <v>Sheyla Castillo Rodriguez</v>
      </c>
      <c r="Q5166" s="6" t="str">
        <f>IFERROR(__xludf.DUMMYFUNCTION("""COMPUTED_VALUE"""),"L1")</f>
        <v>L1</v>
      </c>
      <c r="R5166" s="6">
        <f>IFERROR(__xludf.DUMMYFUNCTION("""COMPUTED_VALUE"""),1.0)</f>
        <v>1</v>
      </c>
      <c r="S5166" s="6" t="str">
        <f>IFERROR(__xludf.DUMMYFUNCTION("""COMPUTED_VALUE"""),"Kimberly Ball")</f>
        <v>Kimberly Ball</v>
      </c>
      <c r="T5166" s="6" t="str">
        <f>IFERROR(__xludf.DUMMYFUNCTION("""COMPUTED_VALUE"""),"kimberly.ball@studient.com")</f>
        <v>kimberly.ball@studient.com</v>
      </c>
      <c r="U5166" s="6" t="str">
        <f>IFERROR(__xludf.DUMMYFUNCTION("""COMPUTED_VALUE"""),"3")</f>
        <v>3</v>
      </c>
      <c r="V5166" s="6" t="str">
        <f>IFERROR(__xludf.DUMMYFUNCTION("""COMPUTED_VALUE"""),"")</f>
        <v/>
      </c>
      <c r="W5166" s="6" t="str">
        <f>IFERROR(__xludf.DUMMYFUNCTION("""COMPUTED_VALUE"""),"[]")</f>
        <v>[]</v>
      </c>
      <c r="X5166" s="6" t="str">
        <f>IFERROR(__xludf.DUMMYFUNCTION("""COMPUTED_VALUE"""),"Enrolled")</f>
        <v>Enrolled</v>
      </c>
    </row>
    <row r="5167">
      <c r="A5167" s="6" t="str">
        <f>IFERROR(__xludf.DUMMYFUNCTION("""COMPUTED_VALUE"""),"086-12558")</f>
        <v>086-12558</v>
      </c>
      <c r="B5167" s="6" t="str">
        <f>IFERROR(__xludf.DUMMYFUNCTION("""COMPUTED_VALUE"""),"86")</f>
        <v>86</v>
      </c>
      <c r="C5167" s="6" t="str">
        <f>IFERROR(__xludf.DUMMYFUNCTION("""COMPUTED_VALUE"""),"12558")</f>
        <v>12558</v>
      </c>
      <c r="D5167" s="6" t="str">
        <f>IFERROR(__xludf.DUMMYFUNCTION("""COMPUTED_VALUE"""),"Melina")</f>
        <v>Melina</v>
      </c>
      <c r="E5167" s="6" t="str">
        <f>IFERROR(__xludf.DUMMYFUNCTION("""COMPUTED_VALUE"""),"")</f>
        <v/>
      </c>
      <c r="F5167" s="6" t="str">
        <f>IFERROR(__xludf.DUMMYFUNCTION("""COMPUTED_VALUE"""),"Castro")</f>
        <v>Castro</v>
      </c>
      <c r="G5167" s="6" t="str">
        <f>IFERROR(__xludf.DUMMYFUNCTION("""COMPUTED_VALUE"""),"08/21/2015")</f>
        <v>08/21/2015</v>
      </c>
      <c r="H5167" s="6" t="str">
        <f>IFERROR(__xludf.DUMMYFUNCTION("""COMPUTED_VALUE"""),"female")</f>
        <v>female</v>
      </c>
      <c r="I5167" s="6" t="str">
        <f>IFERROR(__xludf.DUMMYFUNCTION("""COMPUTED_VALUE"""),"Level 1")</f>
        <v>Level 1</v>
      </c>
      <c r="J5167" s="6" t="str">
        <f>IFERROR(__xludf.DUMMYFUNCTION("""COMPUTED_VALUE"""),"3")</f>
        <v>3</v>
      </c>
      <c r="K5167" s="6" t="str">
        <f>IFERROR(__xludf.DUMMYFUNCTION("""COMPUTED_VALUE"""),"melina.castro@2hourlearning.com")</f>
        <v>melina.castro@2hourlearning.com</v>
      </c>
      <c r="L5167" s="6" t="str">
        <f>IFERROR(__xludf.DUMMYFUNCTION("""COMPUTED_VALUE"""),"JRES - Ridgeland Elementary School")</f>
        <v>JRES - Ridgeland Elementary School</v>
      </c>
      <c r="M5167" s="6" t="str">
        <f>IFERROR(__xludf.DUMMYFUNCTION("""COMPUTED_VALUE"""),"")</f>
        <v/>
      </c>
      <c r="N5167" s="6" t="str">
        <f>IFERROR(__xludf.DUMMYFUNCTION("""COMPUTED_VALUE"""),"")</f>
        <v/>
      </c>
      <c r="O5167" s="87" t="str">
        <f>IFERROR(__xludf.DUMMYFUNCTION("""COMPUTED_VALUE"""),"https://drive.google.com/drive/folders/10T2cTQHqEJZqE-st6uFKPoI?usp=share_link")</f>
        <v>https://drive.google.com/drive/folders/10T2cTQHqEJZqE-st6uFKPoI?usp=share_link</v>
      </c>
      <c r="P5167" s="6" t="str">
        <f>IFERROR(__xludf.DUMMYFUNCTION("""COMPUTED_VALUE"""),"Melina Castro")</f>
        <v>Melina Castro</v>
      </c>
      <c r="Q5167" s="6" t="str">
        <f>IFERROR(__xludf.DUMMYFUNCTION("""COMPUTED_VALUE"""),"L1")</f>
        <v>L1</v>
      </c>
      <c r="R5167" s="6">
        <f>IFERROR(__xludf.DUMMYFUNCTION("""COMPUTED_VALUE"""),1.0)</f>
        <v>1</v>
      </c>
      <c r="S5167" s="6" t="str">
        <f>IFERROR(__xludf.DUMMYFUNCTION("""COMPUTED_VALUE"""),"Kimberly Ball")</f>
        <v>Kimberly Ball</v>
      </c>
      <c r="T5167" s="6" t="str">
        <f>IFERROR(__xludf.DUMMYFUNCTION("""COMPUTED_VALUE"""),"kimberly.ball@studient.com")</f>
        <v>kimberly.ball@studient.com</v>
      </c>
      <c r="U5167" s="6" t="str">
        <f>IFERROR(__xludf.DUMMYFUNCTION("""COMPUTED_VALUE"""),"3")</f>
        <v>3</v>
      </c>
      <c r="V5167" s="6" t="str">
        <f>IFERROR(__xludf.DUMMYFUNCTION("""COMPUTED_VALUE"""),"")</f>
        <v/>
      </c>
      <c r="W5167" s="6" t="str">
        <f>IFERROR(__xludf.DUMMYFUNCTION("""COMPUTED_VALUE"""),"[]")</f>
        <v>[]</v>
      </c>
      <c r="X5167" s="6" t="str">
        <f>IFERROR(__xludf.DUMMYFUNCTION("""COMPUTED_VALUE"""),"Enrolled")</f>
        <v>Enrolled</v>
      </c>
    </row>
    <row r="5168">
      <c r="A5168" s="6" t="str">
        <f>IFERROR(__xludf.DUMMYFUNCTION("""COMPUTED_VALUE"""),"086-12559")</f>
        <v>086-12559</v>
      </c>
      <c r="B5168" s="6" t="str">
        <f>IFERROR(__xludf.DUMMYFUNCTION("""COMPUTED_VALUE"""),"86")</f>
        <v>86</v>
      </c>
      <c r="C5168" s="6" t="str">
        <f>IFERROR(__xludf.DUMMYFUNCTION("""COMPUTED_VALUE"""),"12559")</f>
        <v>12559</v>
      </c>
      <c r="D5168" s="6" t="str">
        <f>IFERROR(__xludf.DUMMYFUNCTION("""COMPUTED_VALUE"""),"Elliott")</f>
        <v>Elliott</v>
      </c>
      <c r="E5168" s="6" t="str">
        <f>IFERROR(__xludf.DUMMYFUNCTION("""COMPUTED_VALUE"""),"")</f>
        <v/>
      </c>
      <c r="F5168" s="6" t="str">
        <f>IFERROR(__xludf.DUMMYFUNCTION("""COMPUTED_VALUE"""),"Castro Catalan")</f>
        <v>Castro Catalan</v>
      </c>
      <c r="G5168" s="6" t="str">
        <f>IFERROR(__xludf.DUMMYFUNCTION("""COMPUTED_VALUE"""),"03/27/2016")</f>
        <v>03/27/2016</v>
      </c>
      <c r="H5168" s="6" t="str">
        <f>IFERROR(__xludf.DUMMYFUNCTION("""COMPUTED_VALUE"""),"male")</f>
        <v>male</v>
      </c>
      <c r="I5168" s="6" t="str">
        <f>IFERROR(__xludf.DUMMYFUNCTION("""COMPUTED_VALUE"""),"Level 1")</f>
        <v>Level 1</v>
      </c>
      <c r="J5168" s="6" t="str">
        <f>IFERROR(__xludf.DUMMYFUNCTION("""COMPUTED_VALUE"""),"3")</f>
        <v>3</v>
      </c>
      <c r="K5168" s="6" t="str">
        <f>IFERROR(__xludf.DUMMYFUNCTION("""COMPUTED_VALUE"""),"elliott.castrocatalan@2hourlearning.com")</f>
        <v>elliott.castrocatalan@2hourlearning.com</v>
      </c>
      <c r="L5168" s="6" t="str">
        <f>IFERROR(__xludf.DUMMYFUNCTION("""COMPUTED_VALUE"""),"JRES - Ridgeland Elementary School")</f>
        <v>JRES - Ridgeland Elementary School</v>
      </c>
      <c r="M5168" s="6" t="str">
        <f>IFERROR(__xludf.DUMMYFUNCTION("""COMPUTED_VALUE"""),"")</f>
        <v/>
      </c>
      <c r="N5168" s="6" t="str">
        <f>IFERROR(__xludf.DUMMYFUNCTION("""COMPUTED_VALUE"""),"")</f>
        <v/>
      </c>
      <c r="O5168" s="87" t="str">
        <f>IFERROR(__xludf.DUMMYFUNCTION("""COMPUTED_VALUE"""),"https://drive.google.com/drive/folders/10T2cTQHqEJZqE-st6uFKPoI?usp=share_link")</f>
        <v>https://drive.google.com/drive/folders/10T2cTQHqEJZqE-st6uFKPoI?usp=share_link</v>
      </c>
      <c r="P5168" s="6" t="str">
        <f>IFERROR(__xludf.DUMMYFUNCTION("""COMPUTED_VALUE"""),"Elliott Castro Catalan")</f>
        <v>Elliott Castro Catalan</v>
      </c>
      <c r="Q5168" s="6" t="str">
        <f>IFERROR(__xludf.DUMMYFUNCTION("""COMPUTED_VALUE"""),"L1")</f>
        <v>L1</v>
      </c>
      <c r="R5168" s="6">
        <f>IFERROR(__xludf.DUMMYFUNCTION("""COMPUTED_VALUE"""),1.0)</f>
        <v>1</v>
      </c>
      <c r="S5168" s="6" t="str">
        <f>IFERROR(__xludf.DUMMYFUNCTION("""COMPUTED_VALUE"""),"Kimberly Ball")</f>
        <v>Kimberly Ball</v>
      </c>
      <c r="T5168" s="6" t="str">
        <f>IFERROR(__xludf.DUMMYFUNCTION("""COMPUTED_VALUE"""),"kimberly.ball@studient.com")</f>
        <v>kimberly.ball@studient.com</v>
      </c>
      <c r="U5168" s="6" t="str">
        <f>IFERROR(__xludf.DUMMYFUNCTION("""COMPUTED_VALUE"""),"3")</f>
        <v>3</v>
      </c>
      <c r="V5168" s="6" t="str">
        <f>IFERROR(__xludf.DUMMYFUNCTION("""COMPUTED_VALUE"""),"")</f>
        <v/>
      </c>
      <c r="W5168" s="6" t="str">
        <f>IFERROR(__xludf.DUMMYFUNCTION("""COMPUTED_VALUE"""),"[]")</f>
        <v>[]</v>
      </c>
      <c r="X5168" s="6" t="str">
        <f>IFERROR(__xludf.DUMMYFUNCTION("""COMPUTED_VALUE"""),"Enrolled")</f>
        <v>Enrolled</v>
      </c>
    </row>
    <row r="5169">
      <c r="A5169" s="6" t="str">
        <f>IFERROR(__xludf.DUMMYFUNCTION("""COMPUTED_VALUE"""),"086-12560")</f>
        <v>086-12560</v>
      </c>
      <c r="B5169" s="6" t="str">
        <f>IFERROR(__xludf.DUMMYFUNCTION("""COMPUTED_VALUE"""),"86")</f>
        <v>86</v>
      </c>
      <c r="C5169" s="6" t="str">
        <f>IFERROR(__xludf.DUMMYFUNCTION("""COMPUTED_VALUE"""),"12560")</f>
        <v>12560</v>
      </c>
      <c r="D5169" s="6" t="str">
        <f>IFERROR(__xludf.DUMMYFUNCTION("""COMPUTED_VALUE"""),"Axel")</f>
        <v>Axel</v>
      </c>
      <c r="E5169" s="6" t="str">
        <f>IFERROR(__xludf.DUMMYFUNCTION("""COMPUTED_VALUE"""),"")</f>
        <v/>
      </c>
      <c r="F5169" s="6" t="str">
        <f>IFERROR(__xludf.DUMMYFUNCTION("""COMPUTED_VALUE"""),"Castro Godinez")</f>
        <v>Castro Godinez</v>
      </c>
      <c r="G5169" s="6" t="str">
        <f>IFERROR(__xludf.DUMMYFUNCTION("""COMPUTED_VALUE"""),"06/24/2017")</f>
        <v>06/24/2017</v>
      </c>
      <c r="H5169" s="6" t="str">
        <f>IFERROR(__xludf.DUMMYFUNCTION("""COMPUTED_VALUE"""),"male")</f>
        <v>male</v>
      </c>
      <c r="I5169" s="6" t="str">
        <f>IFERROR(__xludf.DUMMYFUNCTION("""COMPUTED_VALUE"""),"Level 1")</f>
        <v>Level 1</v>
      </c>
      <c r="J5169" s="6" t="str">
        <f>IFERROR(__xludf.DUMMYFUNCTION("""COMPUTED_VALUE"""),"3")</f>
        <v>3</v>
      </c>
      <c r="K5169" s="6" t="str">
        <f>IFERROR(__xludf.DUMMYFUNCTION("""COMPUTED_VALUE"""),"axel.castrogodinez@2hourlearning.com")</f>
        <v>axel.castrogodinez@2hourlearning.com</v>
      </c>
      <c r="L5169" s="6" t="str">
        <f>IFERROR(__xludf.DUMMYFUNCTION("""COMPUTED_VALUE"""),"JRES - Ridgeland Elementary School")</f>
        <v>JRES - Ridgeland Elementary School</v>
      </c>
      <c r="M5169" s="6" t="str">
        <f>IFERROR(__xludf.DUMMYFUNCTION("""COMPUTED_VALUE"""),"")</f>
        <v/>
      </c>
      <c r="N5169" s="6" t="str">
        <f>IFERROR(__xludf.DUMMYFUNCTION("""COMPUTED_VALUE"""),"")</f>
        <v/>
      </c>
      <c r="O5169" s="87" t="str">
        <f>IFERROR(__xludf.DUMMYFUNCTION("""COMPUTED_VALUE"""),"https://drive.google.com/drive/folders/10T2cTQHqEJZqE-st6uFKPoI?usp=share_link")</f>
        <v>https://drive.google.com/drive/folders/10T2cTQHqEJZqE-st6uFKPoI?usp=share_link</v>
      </c>
      <c r="P5169" s="6" t="str">
        <f>IFERROR(__xludf.DUMMYFUNCTION("""COMPUTED_VALUE"""),"Axel Castro Godinez")</f>
        <v>Axel Castro Godinez</v>
      </c>
      <c r="Q5169" s="6" t="str">
        <f>IFERROR(__xludf.DUMMYFUNCTION("""COMPUTED_VALUE"""),"L1")</f>
        <v>L1</v>
      </c>
      <c r="R5169" s="6">
        <f>IFERROR(__xludf.DUMMYFUNCTION("""COMPUTED_VALUE"""),1.0)</f>
        <v>1</v>
      </c>
      <c r="S5169" s="6" t="str">
        <f>IFERROR(__xludf.DUMMYFUNCTION("""COMPUTED_VALUE"""),"Kimberly Ball")</f>
        <v>Kimberly Ball</v>
      </c>
      <c r="T5169" s="6" t="str">
        <f>IFERROR(__xludf.DUMMYFUNCTION("""COMPUTED_VALUE"""),"kimberly.ball@studient.com")</f>
        <v>kimberly.ball@studient.com</v>
      </c>
      <c r="U5169" s="6" t="str">
        <f>IFERROR(__xludf.DUMMYFUNCTION("""COMPUTED_VALUE"""),"3")</f>
        <v>3</v>
      </c>
      <c r="V5169" s="6" t="str">
        <f>IFERROR(__xludf.DUMMYFUNCTION("""COMPUTED_VALUE"""),"")</f>
        <v/>
      </c>
      <c r="W5169" s="6" t="str">
        <f>IFERROR(__xludf.DUMMYFUNCTION("""COMPUTED_VALUE"""),"[]")</f>
        <v>[]</v>
      </c>
      <c r="X5169" s="6" t="str">
        <f>IFERROR(__xludf.DUMMYFUNCTION("""COMPUTED_VALUE"""),"Enrolled")</f>
        <v>Enrolled</v>
      </c>
    </row>
    <row r="5170">
      <c r="A5170" s="6" t="str">
        <f>IFERROR(__xludf.DUMMYFUNCTION("""COMPUTED_VALUE"""),"086-12561")</f>
        <v>086-12561</v>
      </c>
      <c r="B5170" s="6" t="str">
        <f>IFERROR(__xludf.DUMMYFUNCTION("""COMPUTED_VALUE"""),"86")</f>
        <v>86</v>
      </c>
      <c r="C5170" s="6" t="str">
        <f>IFERROR(__xludf.DUMMYFUNCTION("""COMPUTED_VALUE"""),"12561")</f>
        <v>12561</v>
      </c>
      <c r="D5170" s="6" t="str">
        <f>IFERROR(__xludf.DUMMYFUNCTION("""COMPUTED_VALUE"""),"Isaiah")</f>
        <v>Isaiah</v>
      </c>
      <c r="E5170" s="6" t="str">
        <f>IFERROR(__xludf.DUMMYFUNCTION("""COMPUTED_VALUE"""),"")</f>
        <v/>
      </c>
      <c r="F5170" s="6" t="str">
        <f>IFERROR(__xludf.DUMMYFUNCTION("""COMPUTED_VALUE"""),"Chaneyfield")</f>
        <v>Chaneyfield</v>
      </c>
      <c r="G5170" s="6" t="str">
        <f>IFERROR(__xludf.DUMMYFUNCTION("""COMPUTED_VALUE"""),"11/28/2014")</f>
        <v>11/28/2014</v>
      </c>
      <c r="H5170" s="6" t="str">
        <f>IFERROR(__xludf.DUMMYFUNCTION("""COMPUTED_VALUE"""),"male")</f>
        <v>male</v>
      </c>
      <c r="I5170" s="6" t="str">
        <f>IFERROR(__xludf.DUMMYFUNCTION("""COMPUTED_VALUE"""),"Level 1")</f>
        <v>Level 1</v>
      </c>
      <c r="J5170" s="6" t="str">
        <f>IFERROR(__xludf.DUMMYFUNCTION("""COMPUTED_VALUE"""),"3")</f>
        <v>3</v>
      </c>
      <c r="K5170" s="6" t="str">
        <f>IFERROR(__xludf.DUMMYFUNCTION("""COMPUTED_VALUE"""),"isaiah.chaneyfield@2hourlearning.com")</f>
        <v>isaiah.chaneyfield@2hourlearning.com</v>
      </c>
      <c r="L5170" s="6" t="str">
        <f>IFERROR(__xludf.DUMMYFUNCTION("""COMPUTED_VALUE"""),"JRES - Ridgeland Elementary School")</f>
        <v>JRES - Ridgeland Elementary School</v>
      </c>
      <c r="M5170" s="6" t="str">
        <f>IFERROR(__xludf.DUMMYFUNCTION("""COMPUTED_VALUE"""),"")</f>
        <v/>
      </c>
      <c r="N5170" s="6" t="str">
        <f>IFERROR(__xludf.DUMMYFUNCTION("""COMPUTED_VALUE"""),"")</f>
        <v/>
      </c>
      <c r="O5170" s="87" t="str">
        <f>IFERROR(__xludf.DUMMYFUNCTION("""COMPUTED_VALUE"""),"https://drive.google.com/drive/folders/10T2cTQHqEJZqE-st6uFKPoI?usp=share_link")</f>
        <v>https://drive.google.com/drive/folders/10T2cTQHqEJZqE-st6uFKPoI?usp=share_link</v>
      </c>
      <c r="P5170" s="6" t="str">
        <f>IFERROR(__xludf.DUMMYFUNCTION("""COMPUTED_VALUE"""),"Isaiah Chaneyfield")</f>
        <v>Isaiah Chaneyfield</v>
      </c>
      <c r="Q5170" s="6" t="str">
        <f>IFERROR(__xludf.DUMMYFUNCTION("""COMPUTED_VALUE"""),"L1")</f>
        <v>L1</v>
      </c>
      <c r="R5170" s="6">
        <f>IFERROR(__xludf.DUMMYFUNCTION("""COMPUTED_VALUE"""),1.0)</f>
        <v>1</v>
      </c>
      <c r="S5170" s="6" t="str">
        <f>IFERROR(__xludf.DUMMYFUNCTION("""COMPUTED_VALUE"""),"Kimberly Ball")</f>
        <v>Kimberly Ball</v>
      </c>
      <c r="T5170" s="6" t="str">
        <f>IFERROR(__xludf.DUMMYFUNCTION("""COMPUTED_VALUE"""),"kimberly.ball@studient.com")</f>
        <v>kimberly.ball@studient.com</v>
      </c>
      <c r="U5170" s="6" t="str">
        <f>IFERROR(__xludf.DUMMYFUNCTION("""COMPUTED_VALUE"""),"3")</f>
        <v>3</v>
      </c>
      <c r="V5170" s="6" t="str">
        <f>IFERROR(__xludf.DUMMYFUNCTION("""COMPUTED_VALUE"""),"")</f>
        <v/>
      </c>
      <c r="W5170" s="6" t="str">
        <f>IFERROR(__xludf.DUMMYFUNCTION("""COMPUTED_VALUE"""),"[]")</f>
        <v>[]</v>
      </c>
      <c r="X5170" s="6" t="str">
        <f>IFERROR(__xludf.DUMMYFUNCTION("""COMPUTED_VALUE"""),"Enrolled")</f>
        <v>Enrolled</v>
      </c>
    </row>
    <row r="5171">
      <c r="A5171" s="6" t="str">
        <f>IFERROR(__xludf.DUMMYFUNCTION("""COMPUTED_VALUE"""),"086-12562")</f>
        <v>086-12562</v>
      </c>
      <c r="B5171" s="6" t="str">
        <f>IFERROR(__xludf.DUMMYFUNCTION("""COMPUTED_VALUE"""),"86")</f>
        <v>86</v>
      </c>
      <c r="C5171" s="6" t="str">
        <f>IFERROR(__xludf.DUMMYFUNCTION("""COMPUTED_VALUE"""),"12562")</f>
        <v>12562</v>
      </c>
      <c r="D5171" s="6" t="str">
        <f>IFERROR(__xludf.DUMMYFUNCTION("""COMPUTED_VALUE"""),"Damian")</f>
        <v>Damian</v>
      </c>
      <c r="E5171" s="6" t="str">
        <f>IFERROR(__xludf.DUMMYFUNCTION("""COMPUTED_VALUE"""),"")</f>
        <v/>
      </c>
      <c r="F5171" s="6" t="str">
        <f>IFERROR(__xludf.DUMMYFUNCTION("""COMPUTED_VALUE"""),"Chavez")</f>
        <v>Chavez</v>
      </c>
      <c r="G5171" s="6" t="str">
        <f>IFERROR(__xludf.DUMMYFUNCTION("""COMPUTED_VALUE"""),"08/27/2016")</f>
        <v>08/27/2016</v>
      </c>
      <c r="H5171" s="6" t="str">
        <f>IFERROR(__xludf.DUMMYFUNCTION("""COMPUTED_VALUE"""),"male")</f>
        <v>male</v>
      </c>
      <c r="I5171" s="6" t="str">
        <f>IFERROR(__xludf.DUMMYFUNCTION("""COMPUTED_VALUE"""),"Level 1")</f>
        <v>Level 1</v>
      </c>
      <c r="J5171" s="6" t="str">
        <f>IFERROR(__xludf.DUMMYFUNCTION("""COMPUTED_VALUE"""),"3")</f>
        <v>3</v>
      </c>
      <c r="K5171" s="6" t="str">
        <f>IFERROR(__xludf.DUMMYFUNCTION("""COMPUTED_VALUE"""),"damian.chavez@2hourlearning.com")</f>
        <v>damian.chavez@2hourlearning.com</v>
      </c>
      <c r="L5171" s="6" t="str">
        <f>IFERROR(__xludf.DUMMYFUNCTION("""COMPUTED_VALUE"""),"JRES - Ridgeland Elementary School")</f>
        <v>JRES - Ridgeland Elementary School</v>
      </c>
      <c r="M5171" s="6" t="str">
        <f>IFERROR(__xludf.DUMMYFUNCTION("""COMPUTED_VALUE"""),"")</f>
        <v/>
      </c>
      <c r="N5171" s="6" t="str">
        <f>IFERROR(__xludf.DUMMYFUNCTION("""COMPUTED_VALUE"""),"")</f>
        <v/>
      </c>
      <c r="O5171" s="87" t="str">
        <f>IFERROR(__xludf.DUMMYFUNCTION("""COMPUTED_VALUE"""),"https://drive.google.com/drive/folders/10T2cTQHqEJZqE-st6uFKPoI?usp=share_link")</f>
        <v>https://drive.google.com/drive/folders/10T2cTQHqEJZqE-st6uFKPoI?usp=share_link</v>
      </c>
      <c r="P5171" s="6" t="str">
        <f>IFERROR(__xludf.DUMMYFUNCTION("""COMPUTED_VALUE"""),"Damian Chavez")</f>
        <v>Damian Chavez</v>
      </c>
      <c r="Q5171" s="6" t="str">
        <f>IFERROR(__xludf.DUMMYFUNCTION("""COMPUTED_VALUE"""),"L1")</f>
        <v>L1</v>
      </c>
      <c r="R5171" s="6">
        <f>IFERROR(__xludf.DUMMYFUNCTION("""COMPUTED_VALUE"""),1.0)</f>
        <v>1</v>
      </c>
      <c r="S5171" s="6" t="str">
        <f>IFERROR(__xludf.DUMMYFUNCTION("""COMPUTED_VALUE"""),"Kimberly Ball")</f>
        <v>Kimberly Ball</v>
      </c>
      <c r="T5171" s="6" t="str">
        <f>IFERROR(__xludf.DUMMYFUNCTION("""COMPUTED_VALUE"""),"kimberly.ball@studient.com")</f>
        <v>kimberly.ball@studient.com</v>
      </c>
      <c r="U5171" s="6" t="str">
        <f>IFERROR(__xludf.DUMMYFUNCTION("""COMPUTED_VALUE"""),"3")</f>
        <v>3</v>
      </c>
      <c r="V5171" s="6" t="str">
        <f>IFERROR(__xludf.DUMMYFUNCTION("""COMPUTED_VALUE"""),"")</f>
        <v/>
      </c>
      <c r="W5171" s="6" t="str">
        <f>IFERROR(__xludf.DUMMYFUNCTION("""COMPUTED_VALUE"""),"[]")</f>
        <v>[]</v>
      </c>
      <c r="X5171" s="6" t="str">
        <f>IFERROR(__xludf.DUMMYFUNCTION("""COMPUTED_VALUE"""),"Enrolled")</f>
        <v>Enrolled</v>
      </c>
    </row>
    <row r="5172">
      <c r="A5172" s="6" t="str">
        <f>IFERROR(__xludf.DUMMYFUNCTION("""COMPUTED_VALUE"""),"086-12563")</f>
        <v>086-12563</v>
      </c>
      <c r="B5172" s="6" t="str">
        <f>IFERROR(__xludf.DUMMYFUNCTION("""COMPUTED_VALUE"""),"86")</f>
        <v>86</v>
      </c>
      <c r="C5172" s="6" t="str">
        <f>IFERROR(__xludf.DUMMYFUNCTION("""COMPUTED_VALUE"""),"12563")</f>
        <v>12563</v>
      </c>
      <c r="D5172" s="6" t="str">
        <f>IFERROR(__xludf.DUMMYFUNCTION("""COMPUTED_VALUE"""),"Aylin")</f>
        <v>Aylin</v>
      </c>
      <c r="E5172" s="6" t="str">
        <f>IFERROR(__xludf.DUMMYFUNCTION("""COMPUTED_VALUE"""),"")</f>
        <v/>
      </c>
      <c r="F5172" s="6" t="str">
        <f>IFERROR(__xludf.DUMMYFUNCTION("""COMPUTED_VALUE"""),"Cisneros")</f>
        <v>Cisneros</v>
      </c>
      <c r="G5172" s="6" t="str">
        <f>IFERROR(__xludf.DUMMYFUNCTION("""COMPUTED_VALUE"""),"06/08/2016")</f>
        <v>06/08/2016</v>
      </c>
      <c r="H5172" s="6" t="str">
        <f>IFERROR(__xludf.DUMMYFUNCTION("""COMPUTED_VALUE"""),"male")</f>
        <v>male</v>
      </c>
      <c r="I5172" s="6" t="str">
        <f>IFERROR(__xludf.DUMMYFUNCTION("""COMPUTED_VALUE"""),"Level 1")</f>
        <v>Level 1</v>
      </c>
      <c r="J5172" s="6" t="str">
        <f>IFERROR(__xludf.DUMMYFUNCTION("""COMPUTED_VALUE"""),"3")</f>
        <v>3</v>
      </c>
      <c r="K5172" s="6" t="str">
        <f>IFERROR(__xludf.DUMMYFUNCTION("""COMPUTED_VALUE"""),"aylin.cisneros@2hourlearning.com")</f>
        <v>aylin.cisneros@2hourlearning.com</v>
      </c>
      <c r="L5172" s="6" t="str">
        <f>IFERROR(__xludf.DUMMYFUNCTION("""COMPUTED_VALUE"""),"JRES - Ridgeland Elementary School")</f>
        <v>JRES - Ridgeland Elementary School</v>
      </c>
      <c r="M5172" s="6" t="str">
        <f>IFERROR(__xludf.DUMMYFUNCTION("""COMPUTED_VALUE"""),"")</f>
        <v/>
      </c>
      <c r="N5172" s="6" t="str">
        <f>IFERROR(__xludf.DUMMYFUNCTION("""COMPUTED_VALUE"""),"")</f>
        <v/>
      </c>
      <c r="O5172" s="87" t="str">
        <f>IFERROR(__xludf.DUMMYFUNCTION("""COMPUTED_VALUE"""),"https://drive.google.com/drive/folders/10T2cTQHqEJZqE-st6uFKPoI?usp=share_link")</f>
        <v>https://drive.google.com/drive/folders/10T2cTQHqEJZqE-st6uFKPoI?usp=share_link</v>
      </c>
      <c r="P5172" s="6" t="str">
        <f>IFERROR(__xludf.DUMMYFUNCTION("""COMPUTED_VALUE"""),"Aylin Cisneros")</f>
        <v>Aylin Cisneros</v>
      </c>
      <c r="Q5172" s="6" t="str">
        <f>IFERROR(__xludf.DUMMYFUNCTION("""COMPUTED_VALUE"""),"L1")</f>
        <v>L1</v>
      </c>
      <c r="R5172" s="6">
        <f>IFERROR(__xludf.DUMMYFUNCTION("""COMPUTED_VALUE"""),1.0)</f>
        <v>1</v>
      </c>
      <c r="S5172" s="6" t="str">
        <f>IFERROR(__xludf.DUMMYFUNCTION("""COMPUTED_VALUE"""),"Kimberly Ball")</f>
        <v>Kimberly Ball</v>
      </c>
      <c r="T5172" s="6" t="str">
        <f>IFERROR(__xludf.DUMMYFUNCTION("""COMPUTED_VALUE"""),"kimberly.ball@studient.com")</f>
        <v>kimberly.ball@studient.com</v>
      </c>
      <c r="U5172" s="6" t="str">
        <f>IFERROR(__xludf.DUMMYFUNCTION("""COMPUTED_VALUE"""),"3")</f>
        <v>3</v>
      </c>
      <c r="V5172" s="6" t="str">
        <f>IFERROR(__xludf.DUMMYFUNCTION("""COMPUTED_VALUE"""),"")</f>
        <v/>
      </c>
      <c r="W5172" s="6" t="str">
        <f>IFERROR(__xludf.DUMMYFUNCTION("""COMPUTED_VALUE"""),"[]")</f>
        <v>[]</v>
      </c>
      <c r="X5172" s="6" t="str">
        <f>IFERROR(__xludf.DUMMYFUNCTION("""COMPUTED_VALUE"""),"Enrolled")</f>
        <v>Enrolled</v>
      </c>
    </row>
    <row r="5173">
      <c r="A5173" s="6" t="str">
        <f>IFERROR(__xludf.DUMMYFUNCTION("""COMPUTED_VALUE"""),"086-12564")</f>
        <v>086-12564</v>
      </c>
      <c r="B5173" s="6" t="str">
        <f>IFERROR(__xludf.DUMMYFUNCTION("""COMPUTED_VALUE"""),"86")</f>
        <v>86</v>
      </c>
      <c r="C5173" s="6" t="str">
        <f>IFERROR(__xludf.DUMMYFUNCTION("""COMPUTED_VALUE"""),"12564")</f>
        <v>12564</v>
      </c>
      <c r="D5173" s="6" t="str">
        <f>IFERROR(__xludf.DUMMYFUNCTION("""COMPUTED_VALUE"""),"Michael")</f>
        <v>Michael</v>
      </c>
      <c r="E5173" s="6" t="str">
        <f>IFERROR(__xludf.DUMMYFUNCTION("""COMPUTED_VALUE"""),"")</f>
        <v/>
      </c>
      <c r="F5173" s="6" t="str">
        <f>IFERROR(__xludf.DUMMYFUNCTION("""COMPUTED_VALUE"""),"Clements")</f>
        <v>Clements</v>
      </c>
      <c r="G5173" s="6" t="str">
        <f>IFERROR(__xludf.DUMMYFUNCTION("""COMPUTED_VALUE"""),"03/12/2015")</f>
        <v>03/12/2015</v>
      </c>
      <c r="H5173" s="6" t="str">
        <f>IFERROR(__xludf.DUMMYFUNCTION("""COMPUTED_VALUE"""),"male")</f>
        <v>male</v>
      </c>
      <c r="I5173" s="6" t="str">
        <f>IFERROR(__xludf.DUMMYFUNCTION("""COMPUTED_VALUE"""),"Level 1")</f>
        <v>Level 1</v>
      </c>
      <c r="J5173" s="6" t="str">
        <f>IFERROR(__xludf.DUMMYFUNCTION("""COMPUTED_VALUE"""),"3")</f>
        <v>3</v>
      </c>
      <c r="K5173" s="6" t="str">
        <f>IFERROR(__xludf.DUMMYFUNCTION("""COMPUTED_VALUE"""),"michael.clements@2hourlearning.com")</f>
        <v>michael.clements@2hourlearning.com</v>
      </c>
      <c r="L5173" s="6" t="str">
        <f>IFERROR(__xludf.DUMMYFUNCTION("""COMPUTED_VALUE"""),"JRES - Ridgeland Elementary School")</f>
        <v>JRES - Ridgeland Elementary School</v>
      </c>
      <c r="M5173" s="6" t="str">
        <f>IFERROR(__xludf.DUMMYFUNCTION("""COMPUTED_VALUE"""),"")</f>
        <v/>
      </c>
      <c r="N5173" s="6" t="str">
        <f>IFERROR(__xludf.DUMMYFUNCTION("""COMPUTED_VALUE"""),"")</f>
        <v/>
      </c>
      <c r="O5173" s="87" t="str">
        <f>IFERROR(__xludf.DUMMYFUNCTION("""COMPUTED_VALUE"""),"https://drive.google.com/drive/folders/10T2cTQHqEJZqE-st6uFKPoI?usp=share_link")</f>
        <v>https://drive.google.com/drive/folders/10T2cTQHqEJZqE-st6uFKPoI?usp=share_link</v>
      </c>
      <c r="P5173" s="6" t="str">
        <f>IFERROR(__xludf.DUMMYFUNCTION("""COMPUTED_VALUE"""),"Michael Clements")</f>
        <v>Michael Clements</v>
      </c>
      <c r="Q5173" s="6" t="str">
        <f>IFERROR(__xludf.DUMMYFUNCTION("""COMPUTED_VALUE"""),"L1")</f>
        <v>L1</v>
      </c>
      <c r="R5173" s="6">
        <f>IFERROR(__xludf.DUMMYFUNCTION("""COMPUTED_VALUE"""),1.0)</f>
        <v>1</v>
      </c>
      <c r="S5173" s="6" t="str">
        <f>IFERROR(__xludf.DUMMYFUNCTION("""COMPUTED_VALUE"""),"Kimberly Ball")</f>
        <v>Kimberly Ball</v>
      </c>
      <c r="T5173" s="6" t="str">
        <f>IFERROR(__xludf.DUMMYFUNCTION("""COMPUTED_VALUE"""),"kimberly.ball@studient.com")</f>
        <v>kimberly.ball@studient.com</v>
      </c>
      <c r="U5173" s="6" t="str">
        <f>IFERROR(__xludf.DUMMYFUNCTION("""COMPUTED_VALUE"""),"3")</f>
        <v>3</v>
      </c>
      <c r="V5173" s="6" t="str">
        <f>IFERROR(__xludf.DUMMYFUNCTION("""COMPUTED_VALUE"""),"")</f>
        <v/>
      </c>
      <c r="W5173" s="6" t="str">
        <f>IFERROR(__xludf.DUMMYFUNCTION("""COMPUTED_VALUE"""),"[]")</f>
        <v>[]</v>
      </c>
      <c r="X5173" s="6" t="str">
        <f>IFERROR(__xludf.DUMMYFUNCTION("""COMPUTED_VALUE"""),"Enrolled")</f>
        <v>Enrolled</v>
      </c>
    </row>
    <row r="5174">
      <c r="A5174" s="6" t="str">
        <f>IFERROR(__xludf.DUMMYFUNCTION("""COMPUTED_VALUE"""),"086-12565")</f>
        <v>086-12565</v>
      </c>
      <c r="B5174" s="6" t="str">
        <f>IFERROR(__xludf.DUMMYFUNCTION("""COMPUTED_VALUE"""),"86")</f>
        <v>86</v>
      </c>
      <c r="C5174" s="6" t="str">
        <f>IFERROR(__xludf.DUMMYFUNCTION("""COMPUTED_VALUE"""),"12565")</f>
        <v>12565</v>
      </c>
      <c r="D5174" s="6" t="str">
        <f>IFERROR(__xludf.DUMMYFUNCTION("""COMPUTED_VALUE"""),"Ja'Kayden")</f>
        <v>Ja'Kayden</v>
      </c>
      <c r="E5174" s="6" t="str">
        <f>IFERROR(__xludf.DUMMYFUNCTION("""COMPUTED_VALUE"""),"")</f>
        <v/>
      </c>
      <c r="F5174" s="6" t="str">
        <f>IFERROR(__xludf.DUMMYFUNCTION("""COMPUTED_VALUE"""),"Cooler")</f>
        <v>Cooler</v>
      </c>
      <c r="G5174" s="6" t="str">
        <f>IFERROR(__xludf.DUMMYFUNCTION("""COMPUTED_VALUE"""),"05/14/2018")</f>
        <v>05/14/2018</v>
      </c>
      <c r="H5174" s="6" t="str">
        <f>IFERROR(__xludf.DUMMYFUNCTION("""COMPUTED_VALUE"""),"male")</f>
        <v>male</v>
      </c>
      <c r="I5174" s="6" t="str">
        <f>IFERROR(__xludf.DUMMYFUNCTION("""COMPUTED_VALUE"""),"Level 1")</f>
        <v>Level 1</v>
      </c>
      <c r="J5174" s="6" t="str">
        <f>IFERROR(__xludf.DUMMYFUNCTION("""COMPUTED_VALUE"""),"3")</f>
        <v>3</v>
      </c>
      <c r="K5174" s="6" t="str">
        <f>IFERROR(__xludf.DUMMYFUNCTION("""COMPUTED_VALUE"""),"jakayden.cooler@2hourlearning.com")</f>
        <v>jakayden.cooler@2hourlearning.com</v>
      </c>
      <c r="L5174" s="6" t="str">
        <f>IFERROR(__xludf.DUMMYFUNCTION("""COMPUTED_VALUE"""),"JRES - Ridgeland Elementary School")</f>
        <v>JRES - Ridgeland Elementary School</v>
      </c>
      <c r="M5174" s="6" t="str">
        <f>IFERROR(__xludf.DUMMYFUNCTION("""COMPUTED_VALUE"""),"")</f>
        <v/>
      </c>
      <c r="N5174" s="6" t="str">
        <f>IFERROR(__xludf.DUMMYFUNCTION("""COMPUTED_VALUE"""),"")</f>
        <v/>
      </c>
      <c r="O5174" s="87" t="str">
        <f>IFERROR(__xludf.DUMMYFUNCTION("""COMPUTED_VALUE"""),"https://drive.google.com/drive/folders/10T2cTQHqEJZqE-st6uFKPoI?usp=share_link")</f>
        <v>https://drive.google.com/drive/folders/10T2cTQHqEJZqE-st6uFKPoI?usp=share_link</v>
      </c>
      <c r="P5174" s="6" t="str">
        <f>IFERROR(__xludf.DUMMYFUNCTION("""COMPUTED_VALUE"""),"Ja'Kayden Cooler")</f>
        <v>Ja'Kayden Cooler</v>
      </c>
      <c r="Q5174" s="6" t="str">
        <f>IFERROR(__xludf.DUMMYFUNCTION("""COMPUTED_VALUE"""),"L1")</f>
        <v>L1</v>
      </c>
      <c r="R5174" s="6">
        <f>IFERROR(__xludf.DUMMYFUNCTION("""COMPUTED_VALUE"""),1.0)</f>
        <v>1</v>
      </c>
      <c r="S5174" s="6" t="str">
        <f>IFERROR(__xludf.DUMMYFUNCTION("""COMPUTED_VALUE"""),"Kimberly Ball")</f>
        <v>Kimberly Ball</v>
      </c>
      <c r="T5174" s="6" t="str">
        <f>IFERROR(__xludf.DUMMYFUNCTION("""COMPUTED_VALUE"""),"kimberly.ball@studient.com")</f>
        <v>kimberly.ball@studient.com</v>
      </c>
      <c r="U5174" s="6" t="str">
        <f>IFERROR(__xludf.DUMMYFUNCTION("""COMPUTED_VALUE"""),"3")</f>
        <v>3</v>
      </c>
      <c r="V5174" s="6" t="str">
        <f>IFERROR(__xludf.DUMMYFUNCTION("""COMPUTED_VALUE"""),"")</f>
        <v/>
      </c>
      <c r="W5174" s="6" t="str">
        <f>IFERROR(__xludf.DUMMYFUNCTION("""COMPUTED_VALUE"""),"[]")</f>
        <v>[]</v>
      </c>
      <c r="X5174" s="6" t="str">
        <f>IFERROR(__xludf.DUMMYFUNCTION("""COMPUTED_VALUE"""),"Enrolled")</f>
        <v>Enrolled</v>
      </c>
    </row>
    <row r="5175">
      <c r="A5175" s="6" t="str">
        <f>IFERROR(__xludf.DUMMYFUNCTION("""COMPUTED_VALUE"""),"086-12566")</f>
        <v>086-12566</v>
      </c>
      <c r="B5175" s="6" t="str">
        <f>IFERROR(__xludf.DUMMYFUNCTION("""COMPUTED_VALUE"""),"86")</f>
        <v>86</v>
      </c>
      <c r="C5175" s="6" t="str">
        <f>IFERROR(__xludf.DUMMYFUNCTION("""COMPUTED_VALUE"""),"12566")</f>
        <v>12566</v>
      </c>
      <c r="D5175" s="6" t="str">
        <f>IFERROR(__xludf.DUMMYFUNCTION("""COMPUTED_VALUE"""),"Jayce")</f>
        <v>Jayce</v>
      </c>
      <c r="E5175" s="6" t="str">
        <f>IFERROR(__xludf.DUMMYFUNCTION("""COMPUTED_VALUE"""),"")</f>
        <v/>
      </c>
      <c r="F5175" s="6" t="str">
        <f>IFERROR(__xludf.DUMMYFUNCTION("""COMPUTED_VALUE"""),"Crosby")</f>
        <v>Crosby</v>
      </c>
      <c r="G5175" s="6" t="str">
        <f>IFERROR(__xludf.DUMMYFUNCTION("""COMPUTED_VALUE"""),"11/03/2014")</f>
        <v>11/03/2014</v>
      </c>
      <c r="H5175" s="6" t="str">
        <f>IFERROR(__xludf.DUMMYFUNCTION("""COMPUTED_VALUE"""),"male")</f>
        <v>male</v>
      </c>
      <c r="I5175" s="6" t="str">
        <f>IFERROR(__xludf.DUMMYFUNCTION("""COMPUTED_VALUE"""),"Level 1")</f>
        <v>Level 1</v>
      </c>
      <c r="J5175" s="6" t="str">
        <f>IFERROR(__xludf.DUMMYFUNCTION("""COMPUTED_VALUE"""),"3")</f>
        <v>3</v>
      </c>
      <c r="K5175" s="6" t="str">
        <f>IFERROR(__xludf.DUMMYFUNCTION("""COMPUTED_VALUE"""),"jayce.crosby@2hourlearning.com")</f>
        <v>jayce.crosby@2hourlearning.com</v>
      </c>
      <c r="L5175" s="6" t="str">
        <f>IFERROR(__xludf.DUMMYFUNCTION("""COMPUTED_VALUE"""),"JRES - Ridgeland Elementary School")</f>
        <v>JRES - Ridgeland Elementary School</v>
      </c>
      <c r="M5175" s="6" t="str">
        <f>IFERROR(__xludf.DUMMYFUNCTION("""COMPUTED_VALUE"""),"")</f>
        <v/>
      </c>
      <c r="N5175" s="6" t="str">
        <f>IFERROR(__xludf.DUMMYFUNCTION("""COMPUTED_VALUE"""),"")</f>
        <v/>
      </c>
      <c r="O5175" s="87" t="str">
        <f>IFERROR(__xludf.DUMMYFUNCTION("""COMPUTED_VALUE"""),"https://drive.google.com/drive/folders/10T2cTQHqEJZqE-st6uFKPoI?usp=share_link")</f>
        <v>https://drive.google.com/drive/folders/10T2cTQHqEJZqE-st6uFKPoI?usp=share_link</v>
      </c>
      <c r="P5175" s="6" t="str">
        <f>IFERROR(__xludf.DUMMYFUNCTION("""COMPUTED_VALUE"""),"Jayce Crosby")</f>
        <v>Jayce Crosby</v>
      </c>
      <c r="Q5175" s="6" t="str">
        <f>IFERROR(__xludf.DUMMYFUNCTION("""COMPUTED_VALUE"""),"L1")</f>
        <v>L1</v>
      </c>
      <c r="R5175" s="6">
        <f>IFERROR(__xludf.DUMMYFUNCTION("""COMPUTED_VALUE"""),1.0)</f>
        <v>1</v>
      </c>
      <c r="S5175" s="6" t="str">
        <f>IFERROR(__xludf.DUMMYFUNCTION("""COMPUTED_VALUE"""),"Kimberly Ball")</f>
        <v>Kimberly Ball</v>
      </c>
      <c r="T5175" s="6" t="str">
        <f>IFERROR(__xludf.DUMMYFUNCTION("""COMPUTED_VALUE"""),"kimberly.ball@studient.com")</f>
        <v>kimberly.ball@studient.com</v>
      </c>
      <c r="U5175" s="6" t="str">
        <f>IFERROR(__xludf.DUMMYFUNCTION("""COMPUTED_VALUE"""),"3")</f>
        <v>3</v>
      </c>
      <c r="V5175" s="6" t="str">
        <f>IFERROR(__xludf.DUMMYFUNCTION("""COMPUTED_VALUE"""),"")</f>
        <v/>
      </c>
      <c r="W5175" s="6" t="str">
        <f>IFERROR(__xludf.DUMMYFUNCTION("""COMPUTED_VALUE"""),"[]")</f>
        <v>[]</v>
      </c>
      <c r="X5175" s="6" t="str">
        <f>IFERROR(__xludf.DUMMYFUNCTION("""COMPUTED_VALUE"""),"Enrolled")</f>
        <v>Enrolled</v>
      </c>
    </row>
    <row r="5176">
      <c r="A5176" s="6" t="str">
        <f>IFERROR(__xludf.DUMMYFUNCTION("""COMPUTED_VALUE"""),"086-12567")</f>
        <v>086-12567</v>
      </c>
      <c r="B5176" s="6" t="str">
        <f>IFERROR(__xludf.DUMMYFUNCTION("""COMPUTED_VALUE"""),"86")</f>
        <v>86</v>
      </c>
      <c r="C5176" s="6" t="str">
        <f>IFERROR(__xludf.DUMMYFUNCTION("""COMPUTED_VALUE"""),"12567")</f>
        <v>12567</v>
      </c>
      <c r="D5176" s="6" t="str">
        <f>IFERROR(__xludf.DUMMYFUNCTION("""COMPUTED_VALUE"""),"Cristina")</f>
        <v>Cristina</v>
      </c>
      <c r="E5176" s="6" t="str">
        <f>IFERROR(__xludf.DUMMYFUNCTION("""COMPUTED_VALUE"""),"")</f>
        <v/>
      </c>
      <c r="F5176" s="6" t="str">
        <f>IFERROR(__xludf.DUMMYFUNCTION("""COMPUTED_VALUE"""),"Cuamacas")</f>
        <v>Cuamacas</v>
      </c>
      <c r="G5176" s="6" t="str">
        <f>IFERROR(__xludf.DUMMYFUNCTION("""COMPUTED_VALUE"""),"07/01/2015")</f>
        <v>07/01/2015</v>
      </c>
      <c r="H5176" s="6" t="str">
        <f>IFERROR(__xludf.DUMMYFUNCTION("""COMPUTED_VALUE"""),"male")</f>
        <v>male</v>
      </c>
      <c r="I5176" s="6" t="str">
        <f>IFERROR(__xludf.DUMMYFUNCTION("""COMPUTED_VALUE"""),"Level 1")</f>
        <v>Level 1</v>
      </c>
      <c r="J5176" s="6" t="str">
        <f>IFERROR(__xludf.DUMMYFUNCTION("""COMPUTED_VALUE"""),"3")</f>
        <v>3</v>
      </c>
      <c r="K5176" s="6" t="str">
        <f>IFERROR(__xludf.DUMMYFUNCTION("""COMPUTED_VALUE"""),"cristina.cuamacas@2hourlearning.com")</f>
        <v>cristina.cuamacas@2hourlearning.com</v>
      </c>
      <c r="L5176" s="6" t="str">
        <f>IFERROR(__xludf.DUMMYFUNCTION("""COMPUTED_VALUE"""),"JRES - Ridgeland Elementary School")</f>
        <v>JRES - Ridgeland Elementary School</v>
      </c>
      <c r="M5176" s="6" t="str">
        <f>IFERROR(__xludf.DUMMYFUNCTION("""COMPUTED_VALUE"""),"")</f>
        <v/>
      </c>
      <c r="N5176" s="6" t="str">
        <f>IFERROR(__xludf.DUMMYFUNCTION("""COMPUTED_VALUE"""),"")</f>
        <v/>
      </c>
      <c r="O5176" s="87" t="str">
        <f>IFERROR(__xludf.DUMMYFUNCTION("""COMPUTED_VALUE"""),"https://drive.google.com/drive/folders/10T2cTQHqEJZqE-st6uFKPoI?usp=share_link")</f>
        <v>https://drive.google.com/drive/folders/10T2cTQHqEJZqE-st6uFKPoI?usp=share_link</v>
      </c>
      <c r="P5176" s="6" t="str">
        <f>IFERROR(__xludf.DUMMYFUNCTION("""COMPUTED_VALUE"""),"Cristina Cuamacas")</f>
        <v>Cristina Cuamacas</v>
      </c>
      <c r="Q5176" s="6" t="str">
        <f>IFERROR(__xludf.DUMMYFUNCTION("""COMPUTED_VALUE"""),"L1")</f>
        <v>L1</v>
      </c>
      <c r="R5176" s="6">
        <f>IFERROR(__xludf.DUMMYFUNCTION("""COMPUTED_VALUE"""),1.0)</f>
        <v>1</v>
      </c>
      <c r="S5176" s="6" t="str">
        <f>IFERROR(__xludf.DUMMYFUNCTION("""COMPUTED_VALUE"""),"Kimberly Ball")</f>
        <v>Kimberly Ball</v>
      </c>
      <c r="T5176" s="6" t="str">
        <f>IFERROR(__xludf.DUMMYFUNCTION("""COMPUTED_VALUE"""),"kimberly.ball@studient.com")</f>
        <v>kimberly.ball@studient.com</v>
      </c>
      <c r="U5176" s="6" t="str">
        <f>IFERROR(__xludf.DUMMYFUNCTION("""COMPUTED_VALUE"""),"3")</f>
        <v>3</v>
      </c>
      <c r="V5176" s="6" t="str">
        <f>IFERROR(__xludf.DUMMYFUNCTION("""COMPUTED_VALUE"""),"")</f>
        <v/>
      </c>
      <c r="W5176" s="6" t="str">
        <f>IFERROR(__xludf.DUMMYFUNCTION("""COMPUTED_VALUE"""),"[]")</f>
        <v>[]</v>
      </c>
      <c r="X5176" s="6" t="str">
        <f>IFERROR(__xludf.DUMMYFUNCTION("""COMPUTED_VALUE"""),"Enrolled")</f>
        <v>Enrolled</v>
      </c>
    </row>
    <row r="5177">
      <c r="A5177" s="6" t="str">
        <f>IFERROR(__xludf.DUMMYFUNCTION("""COMPUTED_VALUE"""),"086-12568")</f>
        <v>086-12568</v>
      </c>
      <c r="B5177" s="6" t="str">
        <f>IFERROR(__xludf.DUMMYFUNCTION("""COMPUTED_VALUE"""),"86")</f>
        <v>86</v>
      </c>
      <c r="C5177" s="6" t="str">
        <f>IFERROR(__xludf.DUMMYFUNCTION("""COMPUTED_VALUE"""),"12568")</f>
        <v>12568</v>
      </c>
      <c r="D5177" s="6" t="str">
        <f>IFERROR(__xludf.DUMMYFUNCTION("""COMPUTED_VALUE"""),"Rafael")</f>
        <v>Rafael</v>
      </c>
      <c r="E5177" s="6" t="str">
        <f>IFERROR(__xludf.DUMMYFUNCTION("""COMPUTED_VALUE"""),"")</f>
        <v/>
      </c>
      <c r="F5177" s="6" t="str">
        <f>IFERROR(__xludf.DUMMYFUNCTION("""COMPUTED_VALUE"""),"DeLaCruz Aguilar")</f>
        <v>DeLaCruz Aguilar</v>
      </c>
      <c r="G5177" s="6" t="str">
        <f>IFERROR(__xludf.DUMMYFUNCTION("""COMPUTED_VALUE"""),"01/14/2016")</f>
        <v>01/14/2016</v>
      </c>
      <c r="H5177" s="6" t="str">
        <f>IFERROR(__xludf.DUMMYFUNCTION("""COMPUTED_VALUE"""),"male")</f>
        <v>male</v>
      </c>
      <c r="I5177" s="6" t="str">
        <f>IFERROR(__xludf.DUMMYFUNCTION("""COMPUTED_VALUE"""),"Level 1")</f>
        <v>Level 1</v>
      </c>
      <c r="J5177" s="6" t="str">
        <f>IFERROR(__xludf.DUMMYFUNCTION("""COMPUTED_VALUE"""),"3")</f>
        <v>3</v>
      </c>
      <c r="K5177" s="6" t="str">
        <f>IFERROR(__xludf.DUMMYFUNCTION("""COMPUTED_VALUE"""),"rafael.delacruzaguilar@2hourlearning.com")</f>
        <v>rafael.delacruzaguilar@2hourlearning.com</v>
      </c>
      <c r="L5177" s="6" t="str">
        <f>IFERROR(__xludf.DUMMYFUNCTION("""COMPUTED_VALUE"""),"JRES - Ridgeland Elementary School")</f>
        <v>JRES - Ridgeland Elementary School</v>
      </c>
      <c r="M5177" s="6" t="str">
        <f>IFERROR(__xludf.DUMMYFUNCTION("""COMPUTED_VALUE"""),"")</f>
        <v/>
      </c>
      <c r="N5177" s="6" t="str">
        <f>IFERROR(__xludf.DUMMYFUNCTION("""COMPUTED_VALUE"""),"")</f>
        <v/>
      </c>
      <c r="O5177" s="87" t="str">
        <f>IFERROR(__xludf.DUMMYFUNCTION("""COMPUTED_VALUE"""),"https://drive.google.com/drive/folders/10T2cTQHqEJZqE-st6uFKPoI?usp=share_link")</f>
        <v>https://drive.google.com/drive/folders/10T2cTQHqEJZqE-st6uFKPoI?usp=share_link</v>
      </c>
      <c r="P5177" s="6" t="str">
        <f>IFERROR(__xludf.DUMMYFUNCTION("""COMPUTED_VALUE"""),"Rafael DeLaCruz Aguilar")</f>
        <v>Rafael DeLaCruz Aguilar</v>
      </c>
      <c r="Q5177" s="6" t="str">
        <f>IFERROR(__xludf.DUMMYFUNCTION("""COMPUTED_VALUE"""),"L1")</f>
        <v>L1</v>
      </c>
      <c r="R5177" s="6">
        <f>IFERROR(__xludf.DUMMYFUNCTION("""COMPUTED_VALUE"""),1.0)</f>
        <v>1</v>
      </c>
      <c r="S5177" s="6" t="str">
        <f>IFERROR(__xludf.DUMMYFUNCTION("""COMPUTED_VALUE"""),"Kimberly Ball")</f>
        <v>Kimberly Ball</v>
      </c>
      <c r="T5177" s="6" t="str">
        <f>IFERROR(__xludf.DUMMYFUNCTION("""COMPUTED_VALUE"""),"kimberly.ball@studient.com")</f>
        <v>kimberly.ball@studient.com</v>
      </c>
      <c r="U5177" s="6" t="str">
        <f>IFERROR(__xludf.DUMMYFUNCTION("""COMPUTED_VALUE"""),"3")</f>
        <v>3</v>
      </c>
      <c r="V5177" s="6" t="str">
        <f>IFERROR(__xludf.DUMMYFUNCTION("""COMPUTED_VALUE"""),"")</f>
        <v/>
      </c>
      <c r="W5177" s="6" t="str">
        <f>IFERROR(__xludf.DUMMYFUNCTION("""COMPUTED_VALUE"""),"[]")</f>
        <v>[]</v>
      </c>
      <c r="X5177" s="6" t="str">
        <f>IFERROR(__xludf.DUMMYFUNCTION("""COMPUTED_VALUE"""),"Enrolled")</f>
        <v>Enrolled</v>
      </c>
    </row>
    <row r="5178">
      <c r="A5178" s="6" t="str">
        <f>IFERROR(__xludf.DUMMYFUNCTION("""COMPUTED_VALUE"""),"086-12569")</f>
        <v>086-12569</v>
      </c>
      <c r="B5178" s="6" t="str">
        <f>IFERROR(__xludf.DUMMYFUNCTION("""COMPUTED_VALUE"""),"86")</f>
        <v>86</v>
      </c>
      <c r="C5178" s="6" t="str">
        <f>IFERROR(__xludf.DUMMYFUNCTION("""COMPUTED_VALUE"""),"12569")</f>
        <v>12569</v>
      </c>
      <c r="D5178" s="6" t="str">
        <f>IFERROR(__xludf.DUMMYFUNCTION("""COMPUTED_VALUE"""),"Nathan")</f>
        <v>Nathan</v>
      </c>
      <c r="E5178" s="6" t="str">
        <f>IFERROR(__xludf.DUMMYFUNCTION("""COMPUTED_VALUE"""),"")</f>
        <v/>
      </c>
      <c r="F5178" s="6" t="str">
        <f>IFERROR(__xludf.DUMMYFUNCTION("""COMPUTED_VALUE"""),"Deleon")</f>
        <v>Deleon</v>
      </c>
      <c r="G5178" s="6" t="str">
        <f>IFERROR(__xludf.DUMMYFUNCTION("""COMPUTED_VALUE"""),"11/30/2015")</f>
        <v>11/30/2015</v>
      </c>
      <c r="H5178" s="6" t="str">
        <f>IFERROR(__xludf.DUMMYFUNCTION("""COMPUTED_VALUE"""),"male")</f>
        <v>male</v>
      </c>
      <c r="I5178" s="6" t="str">
        <f>IFERROR(__xludf.DUMMYFUNCTION("""COMPUTED_VALUE"""),"Level 1")</f>
        <v>Level 1</v>
      </c>
      <c r="J5178" s="6" t="str">
        <f>IFERROR(__xludf.DUMMYFUNCTION("""COMPUTED_VALUE"""),"3")</f>
        <v>3</v>
      </c>
      <c r="K5178" s="6" t="str">
        <f>IFERROR(__xludf.DUMMYFUNCTION("""COMPUTED_VALUE"""),"nathan.deleon@2hourlearning.com")</f>
        <v>nathan.deleon@2hourlearning.com</v>
      </c>
      <c r="L5178" s="6" t="str">
        <f>IFERROR(__xludf.DUMMYFUNCTION("""COMPUTED_VALUE"""),"JRES - Ridgeland Elementary School")</f>
        <v>JRES - Ridgeland Elementary School</v>
      </c>
      <c r="M5178" s="6" t="str">
        <f>IFERROR(__xludf.DUMMYFUNCTION("""COMPUTED_VALUE"""),"")</f>
        <v/>
      </c>
      <c r="N5178" s="6" t="str">
        <f>IFERROR(__xludf.DUMMYFUNCTION("""COMPUTED_VALUE"""),"")</f>
        <v/>
      </c>
      <c r="O5178" s="87" t="str">
        <f>IFERROR(__xludf.DUMMYFUNCTION("""COMPUTED_VALUE"""),"https://drive.google.com/drive/folders/10T2cTQHqEJZqE-st6uFKPoI?usp=share_link")</f>
        <v>https://drive.google.com/drive/folders/10T2cTQHqEJZqE-st6uFKPoI?usp=share_link</v>
      </c>
      <c r="P5178" s="6" t="str">
        <f>IFERROR(__xludf.DUMMYFUNCTION("""COMPUTED_VALUE"""),"Nathan Deleon")</f>
        <v>Nathan Deleon</v>
      </c>
      <c r="Q5178" s="6" t="str">
        <f>IFERROR(__xludf.DUMMYFUNCTION("""COMPUTED_VALUE"""),"L1")</f>
        <v>L1</v>
      </c>
      <c r="R5178" s="6">
        <f>IFERROR(__xludf.DUMMYFUNCTION("""COMPUTED_VALUE"""),1.0)</f>
        <v>1</v>
      </c>
      <c r="S5178" s="6" t="str">
        <f>IFERROR(__xludf.DUMMYFUNCTION("""COMPUTED_VALUE"""),"Kimberly Ball")</f>
        <v>Kimberly Ball</v>
      </c>
      <c r="T5178" s="6" t="str">
        <f>IFERROR(__xludf.DUMMYFUNCTION("""COMPUTED_VALUE"""),"kimberly.ball@studient.com")</f>
        <v>kimberly.ball@studient.com</v>
      </c>
      <c r="U5178" s="6" t="str">
        <f>IFERROR(__xludf.DUMMYFUNCTION("""COMPUTED_VALUE"""),"3")</f>
        <v>3</v>
      </c>
      <c r="V5178" s="6" t="str">
        <f>IFERROR(__xludf.DUMMYFUNCTION("""COMPUTED_VALUE"""),"")</f>
        <v/>
      </c>
      <c r="W5178" s="6" t="str">
        <f>IFERROR(__xludf.DUMMYFUNCTION("""COMPUTED_VALUE"""),"[]")</f>
        <v>[]</v>
      </c>
      <c r="X5178" s="6" t="str">
        <f>IFERROR(__xludf.DUMMYFUNCTION("""COMPUTED_VALUE"""),"Enrolled")</f>
        <v>Enrolled</v>
      </c>
    </row>
    <row r="5179">
      <c r="A5179" s="6" t="str">
        <f>IFERROR(__xludf.DUMMYFUNCTION("""COMPUTED_VALUE"""),"086-12570")</f>
        <v>086-12570</v>
      </c>
      <c r="B5179" s="6" t="str">
        <f>IFERROR(__xludf.DUMMYFUNCTION("""COMPUTED_VALUE"""),"86")</f>
        <v>86</v>
      </c>
      <c r="C5179" s="6" t="str">
        <f>IFERROR(__xludf.DUMMYFUNCTION("""COMPUTED_VALUE"""),"12570")</f>
        <v>12570</v>
      </c>
      <c r="D5179" s="6" t="str">
        <f>IFERROR(__xludf.DUMMYFUNCTION("""COMPUTED_VALUE"""),"Shad Adriel")</f>
        <v>Shad Adriel</v>
      </c>
      <c r="E5179" s="6" t="str">
        <f>IFERROR(__xludf.DUMMYFUNCTION("""COMPUTED_VALUE"""),"")</f>
        <v/>
      </c>
      <c r="F5179" s="6" t="str">
        <f>IFERROR(__xludf.DUMMYFUNCTION("""COMPUTED_VALUE"""),"Deonilla")</f>
        <v>Deonilla</v>
      </c>
      <c r="G5179" s="6" t="str">
        <f>IFERROR(__xludf.DUMMYFUNCTION("""COMPUTED_VALUE"""),"07/21/2016")</f>
        <v>07/21/2016</v>
      </c>
      <c r="H5179" s="6" t="str">
        <f>IFERROR(__xludf.DUMMYFUNCTION("""COMPUTED_VALUE"""),"female")</f>
        <v>female</v>
      </c>
      <c r="I5179" s="6" t="str">
        <f>IFERROR(__xludf.DUMMYFUNCTION("""COMPUTED_VALUE"""),"Level 1")</f>
        <v>Level 1</v>
      </c>
      <c r="J5179" s="6" t="str">
        <f>IFERROR(__xludf.DUMMYFUNCTION("""COMPUTED_VALUE"""),"3")</f>
        <v>3</v>
      </c>
      <c r="K5179" s="6" t="str">
        <f>IFERROR(__xludf.DUMMYFUNCTION("""COMPUTED_VALUE"""),"shadadriel.deonilla@2hourlearning.com")</f>
        <v>shadadriel.deonilla@2hourlearning.com</v>
      </c>
      <c r="L5179" s="6" t="str">
        <f>IFERROR(__xludf.DUMMYFUNCTION("""COMPUTED_VALUE"""),"JRES - Ridgeland Elementary School")</f>
        <v>JRES - Ridgeland Elementary School</v>
      </c>
      <c r="M5179" s="6" t="str">
        <f>IFERROR(__xludf.DUMMYFUNCTION("""COMPUTED_VALUE"""),"")</f>
        <v/>
      </c>
      <c r="N5179" s="6" t="str">
        <f>IFERROR(__xludf.DUMMYFUNCTION("""COMPUTED_VALUE"""),"")</f>
        <v/>
      </c>
      <c r="O5179" s="87" t="str">
        <f>IFERROR(__xludf.DUMMYFUNCTION("""COMPUTED_VALUE"""),"https://drive.google.com/drive/folders/10T2cTQHqEJZqE-st6uFKPoI?usp=share_link")</f>
        <v>https://drive.google.com/drive/folders/10T2cTQHqEJZqE-st6uFKPoI?usp=share_link</v>
      </c>
      <c r="P5179" s="6" t="str">
        <f>IFERROR(__xludf.DUMMYFUNCTION("""COMPUTED_VALUE"""),"Shad Adriel Deonilla")</f>
        <v>Shad Adriel Deonilla</v>
      </c>
      <c r="Q5179" s="6" t="str">
        <f>IFERROR(__xludf.DUMMYFUNCTION("""COMPUTED_VALUE"""),"L1")</f>
        <v>L1</v>
      </c>
      <c r="R5179" s="6">
        <f>IFERROR(__xludf.DUMMYFUNCTION("""COMPUTED_VALUE"""),1.0)</f>
        <v>1</v>
      </c>
      <c r="S5179" s="6" t="str">
        <f>IFERROR(__xludf.DUMMYFUNCTION("""COMPUTED_VALUE"""),"Kimberly Ball")</f>
        <v>Kimberly Ball</v>
      </c>
      <c r="T5179" s="6" t="str">
        <f>IFERROR(__xludf.DUMMYFUNCTION("""COMPUTED_VALUE"""),"kimberly.ball@studient.com")</f>
        <v>kimberly.ball@studient.com</v>
      </c>
      <c r="U5179" s="6" t="str">
        <f>IFERROR(__xludf.DUMMYFUNCTION("""COMPUTED_VALUE"""),"3")</f>
        <v>3</v>
      </c>
      <c r="V5179" s="6" t="str">
        <f>IFERROR(__xludf.DUMMYFUNCTION("""COMPUTED_VALUE"""),"")</f>
        <v/>
      </c>
      <c r="W5179" s="6" t="str">
        <f>IFERROR(__xludf.DUMMYFUNCTION("""COMPUTED_VALUE"""),"[]")</f>
        <v>[]</v>
      </c>
      <c r="X5179" s="6" t="str">
        <f>IFERROR(__xludf.DUMMYFUNCTION("""COMPUTED_VALUE"""),"Enrolled")</f>
        <v>Enrolled</v>
      </c>
    </row>
    <row r="5180">
      <c r="A5180" s="6" t="str">
        <f>IFERROR(__xludf.DUMMYFUNCTION("""COMPUTED_VALUE"""),"086-12571")</f>
        <v>086-12571</v>
      </c>
      <c r="B5180" s="6" t="str">
        <f>IFERROR(__xludf.DUMMYFUNCTION("""COMPUTED_VALUE"""),"86")</f>
        <v>86</v>
      </c>
      <c r="C5180" s="6" t="str">
        <f>IFERROR(__xludf.DUMMYFUNCTION("""COMPUTED_VALUE"""),"12571")</f>
        <v>12571</v>
      </c>
      <c r="D5180" s="6" t="str">
        <f>IFERROR(__xludf.DUMMYFUNCTION("""COMPUTED_VALUE"""),"Zoe")</f>
        <v>Zoe</v>
      </c>
      <c r="E5180" s="6" t="str">
        <f>IFERROR(__xludf.DUMMYFUNCTION("""COMPUTED_VALUE"""),"")</f>
        <v/>
      </c>
      <c r="F5180" s="6" t="str">
        <f>IFERROR(__xludf.DUMMYFUNCTION("""COMPUTED_VALUE"""),"Dina Ramirez")</f>
        <v>Dina Ramirez</v>
      </c>
      <c r="G5180" s="6" t="str">
        <f>IFERROR(__xludf.DUMMYFUNCTION("""COMPUTED_VALUE"""),"03/02/2018")</f>
        <v>03/02/2018</v>
      </c>
      <c r="H5180" s="6" t="str">
        <f>IFERROR(__xludf.DUMMYFUNCTION("""COMPUTED_VALUE"""),"female")</f>
        <v>female</v>
      </c>
      <c r="I5180" s="6" t="str">
        <f>IFERROR(__xludf.DUMMYFUNCTION("""COMPUTED_VALUE"""),"Level 1")</f>
        <v>Level 1</v>
      </c>
      <c r="J5180" s="6" t="str">
        <f>IFERROR(__xludf.DUMMYFUNCTION("""COMPUTED_VALUE"""),"3")</f>
        <v>3</v>
      </c>
      <c r="K5180" s="6" t="str">
        <f>IFERROR(__xludf.DUMMYFUNCTION("""COMPUTED_VALUE"""),"zoe.dinaramirez@2hourlearning.com")</f>
        <v>zoe.dinaramirez@2hourlearning.com</v>
      </c>
      <c r="L5180" s="6" t="str">
        <f>IFERROR(__xludf.DUMMYFUNCTION("""COMPUTED_VALUE"""),"JRES - Ridgeland Elementary School")</f>
        <v>JRES - Ridgeland Elementary School</v>
      </c>
      <c r="M5180" s="6" t="str">
        <f>IFERROR(__xludf.DUMMYFUNCTION("""COMPUTED_VALUE"""),"")</f>
        <v/>
      </c>
      <c r="N5180" s="6" t="str">
        <f>IFERROR(__xludf.DUMMYFUNCTION("""COMPUTED_VALUE"""),"")</f>
        <v/>
      </c>
      <c r="O5180" s="87" t="str">
        <f>IFERROR(__xludf.DUMMYFUNCTION("""COMPUTED_VALUE"""),"https://drive.google.com/drive/folders/10T2cTQHqEJZqE-st6uFKPoI?usp=share_link")</f>
        <v>https://drive.google.com/drive/folders/10T2cTQHqEJZqE-st6uFKPoI?usp=share_link</v>
      </c>
      <c r="P5180" s="6" t="str">
        <f>IFERROR(__xludf.DUMMYFUNCTION("""COMPUTED_VALUE"""),"Zoe Dina Ramirez")</f>
        <v>Zoe Dina Ramirez</v>
      </c>
      <c r="Q5180" s="6" t="str">
        <f>IFERROR(__xludf.DUMMYFUNCTION("""COMPUTED_VALUE"""),"L1")</f>
        <v>L1</v>
      </c>
      <c r="R5180" s="6">
        <f>IFERROR(__xludf.DUMMYFUNCTION("""COMPUTED_VALUE"""),1.0)</f>
        <v>1</v>
      </c>
      <c r="S5180" s="6" t="str">
        <f>IFERROR(__xludf.DUMMYFUNCTION("""COMPUTED_VALUE"""),"Kimberly Ball")</f>
        <v>Kimberly Ball</v>
      </c>
      <c r="T5180" s="6" t="str">
        <f>IFERROR(__xludf.DUMMYFUNCTION("""COMPUTED_VALUE"""),"kimberly.ball@studient.com")</f>
        <v>kimberly.ball@studient.com</v>
      </c>
      <c r="U5180" s="6" t="str">
        <f>IFERROR(__xludf.DUMMYFUNCTION("""COMPUTED_VALUE"""),"3")</f>
        <v>3</v>
      </c>
      <c r="V5180" s="6" t="str">
        <f>IFERROR(__xludf.DUMMYFUNCTION("""COMPUTED_VALUE"""),"")</f>
        <v/>
      </c>
      <c r="W5180" s="6" t="str">
        <f>IFERROR(__xludf.DUMMYFUNCTION("""COMPUTED_VALUE"""),"[]")</f>
        <v>[]</v>
      </c>
      <c r="X5180" s="6" t="str">
        <f>IFERROR(__xludf.DUMMYFUNCTION("""COMPUTED_VALUE"""),"Enrolled")</f>
        <v>Enrolled</v>
      </c>
    </row>
    <row r="5181">
      <c r="A5181" s="6" t="str">
        <f>IFERROR(__xludf.DUMMYFUNCTION("""COMPUTED_VALUE"""),"086-12572")</f>
        <v>086-12572</v>
      </c>
      <c r="B5181" s="6" t="str">
        <f>IFERROR(__xludf.DUMMYFUNCTION("""COMPUTED_VALUE"""),"86")</f>
        <v>86</v>
      </c>
      <c r="C5181" s="6" t="str">
        <f>IFERROR(__xludf.DUMMYFUNCTION("""COMPUTED_VALUE"""),"12572")</f>
        <v>12572</v>
      </c>
      <c r="D5181" s="6" t="str">
        <f>IFERROR(__xludf.DUMMYFUNCTION("""COMPUTED_VALUE"""),"Evelynn")</f>
        <v>Evelynn</v>
      </c>
      <c r="E5181" s="6" t="str">
        <f>IFERROR(__xludf.DUMMYFUNCTION("""COMPUTED_VALUE"""),"")</f>
        <v/>
      </c>
      <c r="F5181" s="6" t="str">
        <f>IFERROR(__xludf.DUMMYFUNCTION("""COMPUTED_VALUE"""),"Dodge")</f>
        <v>Dodge</v>
      </c>
      <c r="G5181" s="6" t="str">
        <f>IFERROR(__xludf.DUMMYFUNCTION("""COMPUTED_VALUE"""),"08/25/2015")</f>
        <v>08/25/2015</v>
      </c>
      <c r="H5181" s="6" t="str">
        <f>IFERROR(__xludf.DUMMYFUNCTION("""COMPUTED_VALUE"""),"female")</f>
        <v>female</v>
      </c>
      <c r="I5181" s="6" t="str">
        <f>IFERROR(__xludf.DUMMYFUNCTION("""COMPUTED_VALUE"""),"Level 1")</f>
        <v>Level 1</v>
      </c>
      <c r="J5181" s="6" t="str">
        <f>IFERROR(__xludf.DUMMYFUNCTION("""COMPUTED_VALUE"""),"3")</f>
        <v>3</v>
      </c>
      <c r="K5181" s="6" t="str">
        <f>IFERROR(__xludf.DUMMYFUNCTION("""COMPUTED_VALUE"""),"evelynn.dodge@2hourlearning.com")</f>
        <v>evelynn.dodge@2hourlearning.com</v>
      </c>
      <c r="L5181" s="6" t="str">
        <f>IFERROR(__xludf.DUMMYFUNCTION("""COMPUTED_VALUE"""),"JRES - Ridgeland Elementary School")</f>
        <v>JRES - Ridgeland Elementary School</v>
      </c>
      <c r="M5181" s="6" t="str">
        <f>IFERROR(__xludf.DUMMYFUNCTION("""COMPUTED_VALUE"""),"")</f>
        <v/>
      </c>
      <c r="N5181" s="6" t="str">
        <f>IFERROR(__xludf.DUMMYFUNCTION("""COMPUTED_VALUE"""),"")</f>
        <v/>
      </c>
      <c r="O5181" s="87" t="str">
        <f>IFERROR(__xludf.DUMMYFUNCTION("""COMPUTED_VALUE"""),"https://drive.google.com/drive/folders/10T2cTQHqEJZqE-st6uFKPoI?usp=share_link")</f>
        <v>https://drive.google.com/drive/folders/10T2cTQHqEJZqE-st6uFKPoI?usp=share_link</v>
      </c>
      <c r="P5181" s="6" t="str">
        <f>IFERROR(__xludf.DUMMYFUNCTION("""COMPUTED_VALUE"""),"Evelynn Dodge")</f>
        <v>Evelynn Dodge</v>
      </c>
      <c r="Q5181" s="6" t="str">
        <f>IFERROR(__xludf.DUMMYFUNCTION("""COMPUTED_VALUE"""),"L1")</f>
        <v>L1</v>
      </c>
      <c r="R5181" s="6">
        <f>IFERROR(__xludf.DUMMYFUNCTION("""COMPUTED_VALUE"""),1.0)</f>
        <v>1</v>
      </c>
      <c r="S5181" s="6" t="str">
        <f>IFERROR(__xludf.DUMMYFUNCTION("""COMPUTED_VALUE"""),"Kimberly Ball")</f>
        <v>Kimberly Ball</v>
      </c>
      <c r="T5181" s="6" t="str">
        <f>IFERROR(__xludf.DUMMYFUNCTION("""COMPUTED_VALUE"""),"kimberly.ball@studient.com")</f>
        <v>kimberly.ball@studient.com</v>
      </c>
      <c r="U5181" s="6" t="str">
        <f>IFERROR(__xludf.DUMMYFUNCTION("""COMPUTED_VALUE"""),"3")</f>
        <v>3</v>
      </c>
      <c r="V5181" s="6" t="str">
        <f>IFERROR(__xludf.DUMMYFUNCTION("""COMPUTED_VALUE"""),"")</f>
        <v/>
      </c>
      <c r="W5181" s="6" t="str">
        <f>IFERROR(__xludf.DUMMYFUNCTION("""COMPUTED_VALUE"""),"[]")</f>
        <v>[]</v>
      </c>
      <c r="X5181" s="6" t="str">
        <f>IFERROR(__xludf.DUMMYFUNCTION("""COMPUTED_VALUE"""),"Enrolled")</f>
        <v>Enrolled</v>
      </c>
    </row>
    <row r="5182">
      <c r="A5182" s="6" t="str">
        <f>IFERROR(__xludf.DUMMYFUNCTION("""COMPUTED_VALUE"""),"086-12573")</f>
        <v>086-12573</v>
      </c>
      <c r="B5182" s="6" t="str">
        <f>IFERROR(__xludf.DUMMYFUNCTION("""COMPUTED_VALUE"""),"86")</f>
        <v>86</v>
      </c>
      <c r="C5182" s="6" t="str">
        <f>IFERROR(__xludf.DUMMYFUNCTION("""COMPUTED_VALUE"""),"12573")</f>
        <v>12573</v>
      </c>
      <c r="D5182" s="6" t="str">
        <f>IFERROR(__xludf.DUMMYFUNCTION("""COMPUTED_VALUE"""),"Kevin")</f>
        <v>Kevin</v>
      </c>
      <c r="E5182" s="6" t="str">
        <f>IFERROR(__xludf.DUMMYFUNCTION("""COMPUTED_VALUE"""),"")</f>
        <v/>
      </c>
      <c r="F5182" s="6" t="str">
        <f>IFERROR(__xludf.DUMMYFUNCTION("""COMPUTED_VALUE"""),"Dominguez Hernandez")</f>
        <v>Dominguez Hernandez</v>
      </c>
      <c r="G5182" s="6" t="str">
        <f>IFERROR(__xludf.DUMMYFUNCTION("""COMPUTED_VALUE"""),"07/07/2018")</f>
        <v>07/07/2018</v>
      </c>
      <c r="H5182" s="6" t="str">
        <f>IFERROR(__xludf.DUMMYFUNCTION("""COMPUTED_VALUE"""),"male")</f>
        <v>male</v>
      </c>
      <c r="I5182" s="6" t="str">
        <f>IFERROR(__xludf.DUMMYFUNCTION("""COMPUTED_VALUE"""),"Level 1")</f>
        <v>Level 1</v>
      </c>
      <c r="J5182" s="6" t="str">
        <f>IFERROR(__xludf.DUMMYFUNCTION("""COMPUTED_VALUE"""),"3")</f>
        <v>3</v>
      </c>
      <c r="K5182" s="6" t="str">
        <f>IFERROR(__xludf.DUMMYFUNCTION("""COMPUTED_VALUE"""),"kevin.dominguezhernandez@2hourlearning.com")</f>
        <v>kevin.dominguezhernandez@2hourlearning.com</v>
      </c>
      <c r="L5182" s="6" t="str">
        <f>IFERROR(__xludf.DUMMYFUNCTION("""COMPUTED_VALUE"""),"JRES - Ridgeland Elementary School")</f>
        <v>JRES - Ridgeland Elementary School</v>
      </c>
      <c r="M5182" s="6" t="str">
        <f>IFERROR(__xludf.DUMMYFUNCTION("""COMPUTED_VALUE"""),"")</f>
        <v/>
      </c>
      <c r="N5182" s="6" t="str">
        <f>IFERROR(__xludf.DUMMYFUNCTION("""COMPUTED_VALUE"""),"")</f>
        <v/>
      </c>
      <c r="O5182" s="87" t="str">
        <f>IFERROR(__xludf.DUMMYFUNCTION("""COMPUTED_VALUE"""),"https://drive.google.com/drive/folders/10T2cTQHqEJZqE-st6uFKPoI?usp=share_link")</f>
        <v>https://drive.google.com/drive/folders/10T2cTQHqEJZqE-st6uFKPoI?usp=share_link</v>
      </c>
      <c r="P5182" s="6" t="str">
        <f>IFERROR(__xludf.DUMMYFUNCTION("""COMPUTED_VALUE"""),"Kevin Dominguez Hernandez")</f>
        <v>Kevin Dominguez Hernandez</v>
      </c>
      <c r="Q5182" s="6" t="str">
        <f>IFERROR(__xludf.DUMMYFUNCTION("""COMPUTED_VALUE"""),"L1")</f>
        <v>L1</v>
      </c>
      <c r="R5182" s="6">
        <f>IFERROR(__xludf.DUMMYFUNCTION("""COMPUTED_VALUE"""),1.0)</f>
        <v>1</v>
      </c>
      <c r="S5182" s="6" t="str">
        <f>IFERROR(__xludf.DUMMYFUNCTION("""COMPUTED_VALUE"""),"Kimberly Ball")</f>
        <v>Kimberly Ball</v>
      </c>
      <c r="T5182" s="6" t="str">
        <f>IFERROR(__xludf.DUMMYFUNCTION("""COMPUTED_VALUE"""),"kimberly.ball@studient.com")</f>
        <v>kimberly.ball@studient.com</v>
      </c>
      <c r="U5182" s="6" t="str">
        <f>IFERROR(__xludf.DUMMYFUNCTION("""COMPUTED_VALUE"""),"3")</f>
        <v>3</v>
      </c>
      <c r="V5182" s="6" t="str">
        <f>IFERROR(__xludf.DUMMYFUNCTION("""COMPUTED_VALUE"""),"")</f>
        <v/>
      </c>
      <c r="W5182" s="6" t="str">
        <f>IFERROR(__xludf.DUMMYFUNCTION("""COMPUTED_VALUE"""),"[]")</f>
        <v>[]</v>
      </c>
      <c r="X5182" s="6" t="str">
        <f>IFERROR(__xludf.DUMMYFUNCTION("""COMPUTED_VALUE"""),"Enrolled")</f>
        <v>Enrolled</v>
      </c>
    </row>
    <row r="5183">
      <c r="A5183" s="6" t="str">
        <f>IFERROR(__xludf.DUMMYFUNCTION("""COMPUTED_VALUE"""),"086-12574")</f>
        <v>086-12574</v>
      </c>
      <c r="B5183" s="6" t="str">
        <f>IFERROR(__xludf.DUMMYFUNCTION("""COMPUTED_VALUE"""),"86")</f>
        <v>86</v>
      </c>
      <c r="C5183" s="6" t="str">
        <f>IFERROR(__xludf.DUMMYFUNCTION("""COMPUTED_VALUE"""),"12574")</f>
        <v>12574</v>
      </c>
      <c r="D5183" s="6" t="str">
        <f>IFERROR(__xludf.DUMMYFUNCTION("""COMPUTED_VALUE"""),"Dallas")</f>
        <v>Dallas</v>
      </c>
      <c r="E5183" s="6" t="str">
        <f>IFERROR(__xludf.DUMMYFUNCTION("""COMPUTED_VALUE"""),"")</f>
        <v/>
      </c>
      <c r="F5183" s="6" t="str">
        <f>IFERROR(__xludf.DUMMYFUNCTION("""COMPUTED_VALUE"""),"Duncan")</f>
        <v>Duncan</v>
      </c>
      <c r="G5183" s="6" t="str">
        <f>IFERROR(__xludf.DUMMYFUNCTION("""COMPUTED_VALUE"""),"01/17/2016")</f>
        <v>01/17/2016</v>
      </c>
      <c r="H5183" s="6" t="str">
        <f>IFERROR(__xludf.DUMMYFUNCTION("""COMPUTED_VALUE"""),"female")</f>
        <v>female</v>
      </c>
      <c r="I5183" s="6" t="str">
        <f>IFERROR(__xludf.DUMMYFUNCTION("""COMPUTED_VALUE"""),"Level 1")</f>
        <v>Level 1</v>
      </c>
      <c r="J5183" s="6" t="str">
        <f>IFERROR(__xludf.DUMMYFUNCTION("""COMPUTED_VALUE"""),"3")</f>
        <v>3</v>
      </c>
      <c r="K5183" s="6" t="str">
        <f>IFERROR(__xludf.DUMMYFUNCTION("""COMPUTED_VALUE"""),"dallas.duncan@2hourlearning.com")</f>
        <v>dallas.duncan@2hourlearning.com</v>
      </c>
      <c r="L5183" s="6" t="str">
        <f>IFERROR(__xludf.DUMMYFUNCTION("""COMPUTED_VALUE"""),"JRES - Ridgeland Elementary School")</f>
        <v>JRES - Ridgeland Elementary School</v>
      </c>
      <c r="M5183" s="6" t="str">
        <f>IFERROR(__xludf.DUMMYFUNCTION("""COMPUTED_VALUE"""),"")</f>
        <v/>
      </c>
      <c r="N5183" s="6" t="str">
        <f>IFERROR(__xludf.DUMMYFUNCTION("""COMPUTED_VALUE"""),"")</f>
        <v/>
      </c>
      <c r="O5183" s="87" t="str">
        <f>IFERROR(__xludf.DUMMYFUNCTION("""COMPUTED_VALUE"""),"https://drive.google.com/drive/folders/10T2cTQHqEJZqE-st6uFKPoI?usp=share_link")</f>
        <v>https://drive.google.com/drive/folders/10T2cTQHqEJZqE-st6uFKPoI?usp=share_link</v>
      </c>
      <c r="P5183" s="6" t="str">
        <f>IFERROR(__xludf.DUMMYFUNCTION("""COMPUTED_VALUE"""),"Dallas Duncan")</f>
        <v>Dallas Duncan</v>
      </c>
      <c r="Q5183" s="6" t="str">
        <f>IFERROR(__xludf.DUMMYFUNCTION("""COMPUTED_VALUE"""),"L1")</f>
        <v>L1</v>
      </c>
      <c r="R5183" s="6">
        <f>IFERROR(__xludf.DUMMYFUNCTION("""COMPUTED_VALUE"""),1.0)</f>
        <v>1</v>
      </c>
      <c r="S5183" s="6" t="str">
        <f>IFERROR(__xludf.DUMMYFUNCTION("""COMPUTED_VALUE"""),"Kimberly Ball")</f>
        <v>Kimberly Ball</v>
      </c>
      <c r="T5183" s="6" t="str">
        <f>IFERROR(__xludf.DUMMYFUNCTION("""COMPUTED_VALUE"""),"kimberly.ball@studient.com")</f>
        <v>kimberly.ball@studient.com</v>
      </c>
      <c r="U5183" s="6" t="str">
        <f>IFERROR(__xludf.DUMMYFUNCTION("""COMPUTED_VALUE"""),"3")</f>
        <v>3</v>
      </c>
      <c r="V5183" s="6" t="str">
        <f>IFERROR(__xludf.DUMMYFUNCTION("""COMPUTED_VALUE"""),"")</f>
        <v/>
      </c>
      <c r="W5183" s="6" t="str">
        <f>IFERROR(__xludf.DUMMYFUNCTION("""COMPUTED_VALUE"""),"[]")</f>
        <v>[]</v>
      </c>
      <c r="X5183" s="6" t="str">
        <f>IFERROR(__xludf.DUMMYFUNCTION("""COMPUTED_VALUE"""),"Enrolled")</f>
        <v>Enrolled</v>
      </c>
    </row>
    <row r="5184">
      <c r="A5184" s="6" t="str">
        <f>IFERROR(__xludf.DUMMYFUNCTION("""COMPUTED_VALUE"""),"086-12575")</f>
        <v>086-12575</v>
      </c>
      <c r="B5184" s="6" t="str">
        <f>IFERROR(__xludf.DUMMYFUNCTION("""COMPUTED_VALUE"""),"86")</f>
        <v>86</v>
      </c>
      <c r="C5184" s="6" t="str">
        <f>IFERROR(__xludf.DUMMYFUNCTION("""COMPUTED_VALUE"""),"12575")</f>
        <v>12575</v>
      </c>
      <c r="D5184" s="6" t="str">
        <f>IFERROR(__xludf.DUMMYFUNCTION("""COMPUTED_VALUE"""),"Arrianna")</f>
        <v>Arrianna</v>
      </c>
      <c r="E5184" s="6" t="str">
        <f>IFERROR(__xludf.DUMMYFUNCTION("""COMPUTED_VALUE"""),"")</f>
        <v/>
      </c>
      <c r="F5184" s="6" t="str">
        <f>IFERROR(__xludf.DUMMYFUNCTION("""COMPUTED_VALUE"""),"Dupont")</f>
        <v>Dupont</v>
      </c>
      <c r="G5184" s="6" t="str">
        <f>IFERROR(__xludf.DUMMYFUNCTION("""COMPUTED_VALUE"""),"02/23/2018")</f>
        <v>02/23/2018</v>
      </c>
      <c r="H5184" s="6" t="str">
        <f>IFERROR(__xludf.DUMMYFUNCTION("""COMPUTED_VALUE"""),"female")</f>
        <v>female</v>
      </c>
      <c r="I5184" s="6" t="str">
        <f>IFERROR(__xludf.DUMMYFUNCTION("""COMPUTED_VALUE"""),"Level 1")</f>
        <v>Level 1</v>
      </c>
      <c r="J5184" s="6" t="str">
        <f>IFERROR(__xludf.DUMMYFUNCTION("""COMPUTED_VALUE"""),"3")</f>
        <v>3</v>
      </c>
      <c r="K5184" s="6" t="str">
        <f>IFERROR(__xludf.DUMMYFUNCTION("""COMPUTED_VALUE"""),"arrianna.dupont@2hourlearning.com")</f>
        <v>arrianna.dupont@2hourlearning.com</v>
      </c>
      <c r="L5184" s="6" t="str">
        <f>IFERROR(__xludf.DUMMYFUNCTION("""COMPUTED_VALUE"""),"JRES - Ridgeland Elementary School")</f>
        <v>JRES - Ridgeland Elementary School</v>
      </c>
      <c r="M5184" s="6" t="str">
        <f>IFERROR(__xludf.DUMMYFUNCTION("""COMPUTED_VALUE"""),"")</f>
        <v/>
      </c>
      <c r="N5184" s="6" t="str">
        <f>IFERROR(__xludf.DUMMYFUNCTION("""COMPUTED_VALUE"""),"")</f>
        <v/>
      </c>
      <c r="O5184" s="87" t="str">
        <f>IFERROR(__xludf.DUMMYFUNCTION("""COMPUTED_VALUE"""),"https://drive.google.com/drive/folders/10T2cTQHqEJZqE-st6uFKPoI?usp=share_link")</f>
        <v>https://drive.google.com/drive/folders/10T2cTQHqEJZqE-st6uFKPoI?usp=share_link</v>
      </c>
      <c r="P5184" s="6" t="str">
        <f>IFERROR(__xludf.DUMMYFUNCTION("""COMPUTED_VALUE"""),"Arrianna Dupont")</f>
        <v>Arrianna Dupont</v>
      </c>
      <c r="Q5184" s="6" t="str">
        <f>IFERROR(__xludf.DUMMYFUNCTION("""COMPUTED_VALUE"""),"L1")</f>
        <v>L1</v>
      </c>
      <c r="R5184" s="6">
        <f>IFERROR(__xludf.DUMMYFUNCTION("""COMPUTED_VALUE"""),1.0)</f>
        <v>1</v>
      </c>
      <c r="S5184" s="6" t="str">
        <f>IFERROR(__xludf.DUMMYFUNCTION("""COMPUTED_VALUE"""),"Kimberly Ball")</f>
        <v>Kimberly Ball</v>
      </c>
      <c r="T5184" s="6" t="str">
        <f>IFERROR(__xludf.DUMMYFUNCTION("""COMPUTED_VALUE"""),"kimberly.ball@studient.com")</f>
        <v>kimberly.ball@studient.com</v>
      </c>
      <c r="U5184" s="6" t="str">
        <f>IFERROR(__xludf.DUMMYFUNCTION("""COMPUTED_VALUE"""),"3")</f>
        <v>3</v>
      </c>
      <c r="V5184" s="6" t="str">
        <f>IFERROR(__xludf.DUMMYFUNCTION("""COMPUTED_VALUE"""),"")</f>
        <v/>
      </c>
      <c r="W5184" s="6" t="str">
        <f>IFERROR(__xludf.DUMMYFUNCTION("""COMPUTED_VALUE"""),"[]")</f>
        <v>[]</v>
      </c>
      <c r="X5184" s="6" t="str">
        <f>IFERROR(__xludf.DUMMYFUNCTION("""COMPUTED_VALUE"""),"Enrolled")</f>
        <v>Enrolled</v>
      </c>
    </row>
    <row r="5185">
      <c r="A5185" s="6" t="str">
        <f>IFERROR(__xludf.DUMMYFUNCTION("""COMPUTED_VALUE"""),"086-12576")</f>
        <v>086-12576</v>
      </c>
      <c r="B5185" s="6" t="str">
        <f>IFERROR(__xludf.DUMMYFUNCTION("""COMPUTED_VALUE"""),"86")</f>
        <v>86</v>
      </c>
      <c r="C5185" s="6" t="str">
        <f>IFERROR(__xludf.DUMMYFUNCTION("""COMPUTED_VALUE"""),"12576")</f>
        <v>12576</v>
      </c>
      <c r="D5185" s="6" t="str">
        <f>IFERROR(__xludf.DUMMYFUNCTION("""COMPUTED_VALUE"""),"Lauren")</f>
        <v>Lauren</v>
      </c>
      <c r="E5185" s="6" t="str">
        <f>IFERROR(__xludf.DUMMYFUNCTION("""COMPUTED_VALUE"""),"")</f>
        <v/>
      </c>
      <c r="F5185" s="6" t="str">
        <f>IFERROR(__xludf.DUMMYFUNCTION("""COMPUTED_VALUE"""),"Dupont")</f>
        <v>Dupont</v>
      </c>
      <c r="G5185" s="6" t="str">
        <f>IFERROR(__xludf.DUMMYFUNCTION("""COMPUTED_VALUE"""),"04/12/2016")</f>
        <v>04/12/2016</v>
      </c>
      <c r="H5185" s="6" t="str">
        <f>IFERROR(__xludf.DUMMYFUNCTION("""COMPUTED_VALUE"""),"male")</f>
        <v>male</v>
      </c>
      <c r="I5185" s="6" t="str">
        <f>IFERROR(__xludf.DUMMYFUNCTION("""COMPUTED_VALUE"""),"Level 1")</f>
        <v>Level 1</v>
      </c>
      <c r="J5185" s="6" t="str">
        <f>IFERROR(__xludf.DUMMYFUNCTION("""COMPUTED_VALUE"""),"3")</f>
        <v>3</v>
      </c>
      <c r="K5185" s="6" t="str">
        <f>IFERROR(__xludf.DUMMYFUNCTION("""COMPUTED_VALUE"""),"lauren.dupont@2hourlearning.com")</f>
        <v>lauren.dupont@2hourlearning.com</v>
      </c>
      <c r="L5185" s="6" t="str">
        <f>IFERROR(__xludf.DUMMYFUNCTION("""COMPUTED_VALUE"""),"JRES - Ridgeland Elementary School")</f>
        <v>JRES - Ridgeland Elementary School</v>
      </c>
      <c r="M5185" s="6" t="str">
        <f>IFERROR(__xludf.DUMMYFUNCTION("""COMPUTED_VALUE"""),"")</f>
        <v/>
      </c>
      <c r="N5185" s="6" t="str">
        <f>IFERROR(__xludf.DUMMYFUNCTION("""COMPUTED_VALUE"""),"")</f>
        <v/>
      </c>
      <c r="O5185" s="87" t="str">
        <f>IFERROR(__xludf.DUMMYFUNCTION("""COMPUTED_VALUE"""),"https://drive.google.com/drive/folders/10T2cTQHqEJZqE-st6uFKPoI?usp=share_link")</f>
        <v>https://drive.google.com/drive/folders/10T2cTQHqEJZqE-st6uFKPoI?usp=share_link</v>
      </c>
      <c r="P5185" s="6" t="str">
        <f>IFERROR(__xludf.DUMMYFUNCTION("""COMPUTED_VALUE"""),"Lauren Dupont")</f>
        <v>Lauren Dupont</v>
      </c>
      <c r="Q5185" s="6" t="str">
        <f>IFERROR(__xludf.DUMMYFUNCTION("""COMPUTED_VALUE"""),"L1")</f>
        <v>L1</v>
      </c>
      <c r="R5185" s="6">
        <f>IFERROR(__xludf.DUMMYFUNCTION("""COMPUTED_VALUE"""),1.0)</f>
        <v>1</v>
      </c>
      <c r="S5185" s="6" t="str">
        <f>IFERROR(__xludf.DUMMYFUNCTION("""COMPUTED_VALUE"""),"Kimberly Ball")</f>
        <v>Kimberly Ball</v>
      </c>
      <c r="T5185" s="6" t="str">
        <f>IFERROR(__xludf.DUMMYFUNCTION("""COMPUTED_VALUE"""),"kimberly.ball@studient.com")</f>
        <v>kimberly.ball@studient.com</v>
      </c>
      <c r="U5185" s="6" t="str">
        <f>IFERROR(__xludf.DUMMYFUNCTION("""COMPUTED_VALUE"""),"3")</f>
        <v>3</v>
      </c>
      <c r="V5185" s="6" t="str">
        <f>IFERROR(__xludf.DUMMYFUNCTION("""COMPUTED_VALUE"""),"")</f>
        <v/>
      </c>
      <c r="W5185" s="6" t="str">
        <f>IFERROR(__xludf.DUMMYFUNCTION("""COMPUTED_VALUE"""),"[]")</f>
        <v>[]</v>
      </c>
      <c r="X5185" s="6" t="str">
        <f>IFERROR(__xludf.DUMMYFUNCTION("""COMPUTED_VALUE"""),"Enrolled")</f>
        <v>Enrolled</v>
      </c>
    </row>
    <row r="5186">
      <c r="A5186" s="6" t="str">
        <f>IFERROR(__xludf.DUMMYFUNCTION("""COMPUTED_VALUE"""),"086-12577")</f>
        <v>086-12577</v>
      </c>
      <c r="B5186" s="6" t="str">
        <f>IFERROR(__xludf.DUMMYFUNCTION("""COMPUTED_VALUE"""),"86")</f>
        <v>86</v>
      </c>
      <c r="C5186" s="6" t="str">
        <f>IFERROR(__xludf.DUMMYFUNCTION("""COMPUTED_VALUE"""),"12577")</f>
        <v>12577</v>
      </c>
      <c r="D5186" s="6" t="str">
        <f>IFERROR(__xludf.DUMMYFUNCTION("""COMPUTED_VALUE"""),"Dylan")</f>
        <v>Dylan</v>
      </c>
      <c r="E5186" s="6" t="str">
        <f>IFERROR(__xludf.DUMMYFUNCTION("""COMPUTED_VALUE"""),"")</f>
        <v/>
      </c>
      <c r="F5186" s="6" t="str">
        <f>IFERROR(__xludf.DUMMYFUNCTION("""COMPUTED_VALUE"""),"Duran Zaragoza")</f>
        <v>Duran Zaragoza</v>
      </c>
      <c r="G5186" s="6" t="str">
        <f>IFERROR(__xludf.DUMMYFUNCTION("""COMPUTED_VALUE"""),"03/17/2015")</f>
        <v>03/17/2015</v>
      </c>
      <c r="H5186" s="6" t="str">
        <f>IFERROR(__xludf.DUMMYFUNCTION("""COMPUTED_VALUE"""),"female")</f>
        <v>female</v>
      </c>
      <c r="I5186" s="6" t="str">
        <f>IFERROR(__xludf.DUMMYFUNCTION("""COMPUTED_VALUE"""),"Level 1")</f>
        <v>Level 1</v>
      </c>
      <c r="J5186" s="6" t="str">
        <f>IFERROR(__xludf.DUMMYFUNCTION("""COMPUTED_VALUE"""),"3")</f>
        <v>3</v>
      </c>
      <c r="K5186" s="6" t="str">
        <f>IFERROR(__xludf.DUMMYFUNCTION("""COMPUTED_VALUE"""),"dylan.duranzaragoza@2hourlearning.com")</f>
        <v>dylan.duranzaragoza@2hourlearning.com</v>
      </c>
      <c r="L5186" s="6" t="str">
        <f>IFERROR(__xludf.DUMMYFUNCTION("""COMPUTED_VALUE"""),"JRES - Ridgeland Elementary School")</f>
        <v>JRES - Ridgeland Elementary School</v>
      </c>
      <c r="M5186" s="6" t="str">
        <f>IFERROR(__xludf.DUMMYFUNCTION("""COMPUTED_VALUE"""),"")</f>
        <v/>
      </c>
      <c r="N5186" s="6" t="str">
        <f>IFERROR(__xludf.DUMMYFUNCTION("""COMPUTED_VALUE"""),"")</f>
        <v/>
      </c>
      <c r="O5186" s="87" t="str">
        <f>IFERROR(__xludf.DUMMYFUNCTION("""COMPUTED_VALUE"""),"https://drive.google.com/drive/folders/10T2cTQHqEJZqE-st6uFKPoI?usp=share_link")</f>
        <v>https://drive.google.com/drive/folders/10T2cTQHqEJZqE-st6uFKPoI?usp=share_link</v>
      </c>
      <c r="P5186" s="6" t="str">
        <f>IFERROR(__xludf.DUMMYFUNCTION("""COMPUTED_VALUE"""),"Dylan Duran Zaragoza")</f>
        <v>Dylan Duran Zaragoza</v>
      </c>
      <c r="Q5186" s="6" t="str">
        <f>IFERROR(__xludf.DUMMYFUNCTION("""COMPUTED_VALUE"""),"L1")</f>
        <v>L1</v>
      </c>
      <c r="R5186" s="6">
        <f>IFERROR(__xludf.DUMMYFUNCTION("""COMPUTED_VALUE"""),1.0)</f>
        <v>1</v>
      </c>
      <c r="S5186" s="6" t="str">
        <f>IFERROR(__xludf.DUMMYFUNCTION("""COMPUTED_VALUE"""),"Kimberly Ball")</f>
        <v>Kimberly Ball</v>
      </c>
      <c r="T5186" s="6" t="str">
        <f>IFERROR(__xludf.DUMMYFUNCTION("""COMPUTED_VALUE"""),"kimberly.ball@studient.com")</f>
        <v>kimberly.ball@studient.com</v>
      </c>
      <c r="U5186" s="6" t="str">
        <f>IFERROR(__xludf.DUMMYFUNCTION("""COMPUTED_VALUE"""),"3")</f>
        <v>3</v>
      </c>
      <c r="V5186" s="6" t="str">
        <f>IFERROR(__xludf.DUMMYFUNCTION("""COMPUTED_VALUE"""),"")</f>
        <v/>
      </c>
      <c r="W5186" s="6" t="str">
        <f>IFERROR(__xludf.DUMMYFUNCTION("""COMPUTED_VALUE"""),"[]")</f>
        <v>[]</v>
      </c>
      <c r="X5186" s="6" t="str">
        <f>IFERROR(__xludf.DUMMYFUNCTION("""COMPUTED_VALUE"""),"Enrolled")</f>
        <v>Enrolled</v>
      </c>
    </row>
    <row r="5187">
      <c r="A5187" s="6" t="str">
        <f>IFERROR(__xludf.DUMMYFUNCTION("""COMPUTED_VALUE"""),"086-12578")</f>
        <v>086-12578</v>
      </c>
      <c r="B5187" s="6" t="str">
        <f>IFERROR(__xludf.DUMMYFUNCTION("""COMPUTED_VALUE"""),"86")</f>
        <v>86</v>
      </c>
      <c r="C5187" s="6" t="str">
        <f>IFERROR(__xludf.DUMMYFUNCTION("""COMPUTED_VALUE"""),"12578")</f>
        <v>12578</v>
      </c>
      <c r="D5187" s="6" t="str">
        <f>IFERROR(__xludf.DUMMYFUNCTION("""COMPUTED_VALUE"""),"Valerie")</f>
        <v>Valerie</v>
      </c>
      <c r="E5187" s="6" t="str">
        <f>IFERROR(__xludf.DUMMYFUNCTION("""COMPUTED_VALUE"""),"")</f>
        <v/>
      </c>
      <c r="F5187" s="6" t="str">
        <f>IFERROR(__xludf.DUMMYFUNCTION("""COMPUTED_VALUE"""),"Fernandez Aguilar")</f>
        <v>Fernandez Aguilar</v>
      </c>
      <c r="G5187" s="6" t="str">
        <f>IFERROR(__xludf.DUMMYFUNCTION("""COMPUTED_VALUE"""),"06/16/2017")</f>
        <v>06/16/2017</v>
      </c>
      <c r="H5187" s="6" t="str">
        <f>IFERROR(__xludf.DUMMYFUNCTION("""COMPUTED_VALUE"""),"female")</f>
        <v>female</v>
      </c>
      <c r="I5187" s="6" t="str">
        <f>IFERROR(__xludf.DUMMYFUNCTION("""COMPUTED_VALUE"""),"Level 1")</f>
        <v>Level 1</v>
      </c>
      <c r="J5187" s="6" t="str">
        <f>IFERROR(__xludf.DUMMYFUNCTION("""COMPUTED_VALUE"""),"3")</f>
        <v>3</v>
      </c>
      <c r="K5187" s="6" t="str">
        <f>IFERROR(__xludf.DUMMYFUNCTION("""COMPUTED_VALUE"""),"valerie.fernandezaguilar@2hourlearning.com")</f>
        <v>valerie.fernandezaguilar@2hourlearning.com</v>
      </c>
      <c r="L5187" s="6" t="str">
        <f>IFERROR(__xludf.DUMMYFUNCTION("""COMPUTED_VALUE"""),"JRES - Ridgeland Elementary School")</f>
        <v>JRES - Ridgeland Elementary School</v>
      </c>
      <c r="M5187" s="6" t="str">
        <f>IFERROR(__xludf.DUMMYFUNCTION("""COMPUTED_VALUE"""),"")</f>
        <v/>
      </c>
      <c r="N5187" s="6" t="str">
        <f>IFERROR(__xludf.DUMMYFUNCTION("""COMPUTED_VALUE"""),"")</f>
        <v/>
      </c>
      <c r="O5187" s="87" t="str">
        <f>IFERROR(__xludf.DUMMYFUNCTION("""COMPUTED_VALUE"""),"https://drive.google.com/drive/folders/10T2cTQHqEJZqE-st6uFKPoI?usp=share_link")</f>
        <v>https://drive.google.com/drive/folders/10T2cTQHqEJZqE-st6uFKPoI?usp=share_link</v>
      </c>
      <c r="P5187" s="6" t="str">
        <f>IFERROR(__xludf.DUMMYFUNCTION("""COMPUTED_VALUE"""),"Valerie Fernandez Aguilar")</f>
        <v>Valerie Fernandez Aguilar</v>
      </c>
      <c r="Q5187" s="6" t="str">
        <f>IFERROR(__xludf.DUMMYFUNCTION("""COMPUTED_VALUE"""),"L1")</f>
        <v>L1</v>
      </c>
      <c r="R5187" s="6">
        <f>IFERROR(__xludf.DUMMYFUNCTION("""COMPUTED_VALUE"""),1.0)</f>
        <v>1</v>
      </c>
      <c r="S5187" s="6" t="str">
        <f>IFERROR(__xludf.DUMMYFUNCTION("""COMPUTED_VALUE"""),"Kimberly Ball")</f>
        <v>Kimberly Ball</v>
      </c>
      <c r="T5187" s="6" t="str">
        <f>IFERROR(__xludf.DUMMYFUNCTION("""COMPUTED_VALUE"""),"kimberly.ball@studient.com")</f>
        <v>kimberly.ball@studient.com</v>
      </c>
      <c r="U5187" s="6" t="str">
        <f>IFERROR(__xludf.DUMMYFUNCTION("""COMPUTED_VALUE"""),"3")</f>
        <v>3</v>
      </c>
      <c r="V5187" s="6" t="str">
        <f>IFERROR(__xludf.DUMMYFUNCTION("""COMPUTED_VALUE"""),"")</f>
        <v/>
      </c>
      <c r="W5187" s="6" t="str">
        <f>IFERROR(__xludf.DUMMYFUNCTION("""COMPUTED_VALUE"""),"[]")</f>
        <v>[]</v>
      </c>
      <c r="X5187" s="6" t="str">
        <f>IFERROR(__xludf.DUMMYFUNCTION("""COMPUTED_VALUE"""),"Enrolled")</f>
        <v>Enrolled</v>
      </c>
    </row>
    <row r="5188">
      <c r="A5188" s="6" t="str">
        <f>IFERROR(__xludf.DUMMYFUNCTION("""COMPUTED_VALUE"""),"086-12579")</f>
        <v>086-12579</v>
      </c>
      <c r="B5188" s="6" t="str">
        <f>IFERROR(__xludf.DUMMYFUNCTION("""COMPUTED_VALUE"""),"86")</f>
        <v>86</v>
      </c>
      <c r="C5188" s="6" t="str">
        <f>IFERROR(__xludf.DUMMYFUNCTION("""COMPUTED_VALUE"""),"12579")</f>
        <v>12579</v>
      </c>
      <c r="D5188" s="6" t="str">
        <f>IFERROR(__xludf.DUMMYFUNCTION("""COMPUTED_VALUE"""),"Kadreona")</f>
        <v>Kadreona</v>
      </c>
      <c r="E5188" s="6" t="str">
        <f>IFERROR(__xludf.DUMMYFUNCTION("""COMPUTED_VALUE"""),"")</f>
        <v/>
      </c>
      <c r="F5188" s="6" t="str">
        <f>IFERROR(__xludf.DUMMYFUNCTION("""COMPUTED_VALUE"""),"Frazier")</f>
        <v>Frazier</v>
      </c>
      <c r="G5188" s="6" t="str">
        <f>IFERROR(__xludf.DUMMYFUNCTION("""COMPUTED_VALUE"""),"02/17/2017")</f>
        <v>02/17/2017</v>
      </c>
      <c r="H5188" s="6" t="str">
        <f>IFERROR(__xludf.DUMMYFUNCTION("""COMPUTED_VALUE"""),"female")</f>
        <v>female</v>
      </c>
      <c r="I5188" s="6" t="str">
        <f>IFERROR(__xludf.DUMMYFUNCTION("""COMPUTED_VALUE"""),"Level 1")</f>
        <v>Level 1</v>
      </c>
      <c r="J5188" s="6" t="str">
        <f>IFERROR(__xludf.DUMMYFUNCTION("""COMPUTED_VALUE"""),"3")</f>
        <v>3</v>
      </c>
      <c r="K5188" s="6" t="str">
        <f>IFERROR(__xludf.DUMMYFUNCTION("""COMPUTED_VALUE"""),"kadreona.frazier@2hourlearning.com")</f>
        <v>kadreona.frazier@2hourlearning.com</v>
      </c>
      <c r="L5188" s="6" t="str">
        <f>IFERROR(__xludf.DUMMYFUNCTION("""COMPUTED_VALUE"""),"JRES - Ridgeland Elementary School")</f>
        <v>JRES - Ridgeland Elementary School</v>
      </c>
      <c r="M5188" s="6" t="str">
        <f>IFERROR(__xludf.DUMMYFUNCTION("""COMPUTED_VALUE"""),"")</f>
        <v/>
      </c>
      <c r="N5188" s="6" t="str">
        <f>IFERROR(__xludf.DUMMYFUNCTION("""COMPUTED_VALUE"""),"")</f>
        <v/>
      </c>
      <c r="O5188" s="87" t="str">
        <f>IFERROR(__xludf.DUMMYFUNCTION("""COMPUTED_VALUE"""),"https://drive.google.com/drive/folders/10T2cTQHqEJZqE-st6uFKPoI?usp=share_link")</f>
        <v>https://drive.google.com/drive/folders/10T2cTQHqEJZqE-st6uFKPoI?usp=share_link</v>
      </c>
      <c r="P5188" s="6" t="str">
        <f>IFERROR(__xludf.DUMMYFUNCTION("""COMPUTED_VALUE"""),"Kadreona Frazier")</f>
        <v>Kadreona Frazier</v>
      </c>
      <c r="Q5188" s="6" t="str">
        <f>IFERROR(__xludf.DUMMYFUNCTION("""COMPUTED_VALUE"""),"L1")</f>
        <v>L1</v>
      </c>
      <c r="R5188" s="6">
        <f>IFERROR(__xludf.DUMMYFUNCTION("""COMPUTED_VALUE"""),1.0)</f>
        <v>1</v>
      </c>
      <c r="S5188" s="6" t="str">
        <f>IFERROR(__xludf.DUMMYFUNCTION("""COMPUTED_VALUE"""),"Kimberly Ball")</f>
        <v>Kimberly Ball</v>
      </c>
      <c r="T5188" s="6" t="str">
        <f>IFERROR(__xludf.DUMMYFUNCTION("""COMPUTED_VALUE"""),"kimberly.ball@studient.com")</f>
        <v>kimberly.ball@studient.com</v>
      </c>
      <c r="U5188" s="6" t="str">
        <f>IFERROR(__xludf.DUMMYFUNCTION("""COMPUTED_VALUE"""),"3")</f>
        <v>3</v>
      </c>
      <c r="V5188" s="6" t="str">
        <f>IFERROR(__xludf.DUMMYFUNCTION("""COMPUTED_VALUE"""),"")</f>
        <v/>
      </c>
      <c r="W5188" s="6" t="str">
        <f>IFERROR(__xludf.DUMMYFUNCTION("""COMPUTED_VALUE"""),"[]")</f>
        <v>[]</v>
      </c>
      <c r="X5188" s="6" t="str">
        <f>IFERROR(__xludf.DUMMYFUNCTION("""COMPUTED_VALUE"""),"Enrolled")</f>
        <v>Enrolled</v>
      </c>
    </row>
    <row r="5189">
      <c r="A5189" s="6" t="str">
        <f>IFERROR(__xludf.DUMMYFUNCTION("""COMPUTED_VALUE"""),"086-12580")</f>
        <v>086-12580</v>
      </c>
      <c r="B5189" s="6" t="str">
        <f>IFERROR(__xludf.DUMMYFUNCTION("""COMPUTED_VALUE"""),"86")</f>
        <v>86</v>
      </c>
      <c r="C5189" s="6" t="str">
        <f>IFERROR(__xludf.DUMMYFUNCTION("""COMPUTED_VALUE"""),"12580")</f>
        <v>12580</v>
      </c>
      <c r="D5189" s="6" t="str">
        <f>IFERROR(__xludf.DUMMYFUNCTION("""COMPUTED_VALUE"""),"Naaila")</f>
        <v>Naaila</v>
      </c>
      <c r="E5189" s="6" t="str">
        <f>IFERROR(__xludf.DUMMYFUNCTION("""COMPUTED_VALUE"""),"")</f>
        <v/>
      </c>
      <c r="F5189" s="6" t="str">
        <f>IFERROR(__xludf.DUMMYFUNCTION("""COMPUTED_VALUE"""),"Frazier")</f>
        <v>Frazier</v>
      </c>
      <c r="G5189" s="6" t="str">
        <f>IFERROR(__xludf.DUMMYFUNCTION("""COMPUTED_VALUE"""),"08/27/2016")</f>
        <v>08/27/2016</v>
      </c>
      <c r="H5189" s="6" t="str">
        <f>IFERROR(__xludf.DUMMYFUNCTION("""COMPUTED_VALUE"""),"female")</f>
        <v>female</v>
      </c>
      <c r="I5189" s="6" t="str">
        <f>IFERROR(__xludf.DUMMYFUNCTION("""COMPUTED_VALUE"""),"Level 1")</f>
        <v>Level 1</v>
      </c>
      <c r="J5189" s="6" t="str">
        <f>IFERROR(__xludf.DUMMYFUNCTION("""COMPUTED_VALUE"""),"3")</f>
        <v>3</v>
      </c>
      <c r="K5189" s="6" t="str">
        <f>IFERROR(__xludf.DUMMYFUNCTION("""COMPUTED_VALUE"""),"naaila.frazier@2hourlearning.com")</f>
        <v>naaila.frazier@2hourlearning.com</v>
      </c>
      <c r="L5189" s="6" t="str">
        <f>IFERROR(__xludf.DUMMYFUNCTION("""COMPUTED_VALUE"""),"JRES - Ridgeland Elementary School")</f>
        <v>JRES - Ridgeland Elementary School</v>
      </c>
      <c r="M5189" s="6" t="str">
        <f>IFERROR(__xludf.DUMMYFUNCTION("""COMPUTED_VALUE"""),"")</f>
        <v/>
      </c>
      <c r="N5189" s="6" t="str">
        <f>IFERROR(__xludf.DUMMYFUNCTION("""COMPUTED_VALUE"""),"")</f>
        <v/>
      </c>
      <c r="O5189" s="87" t="str">
        <f>IFERROR(__xludf.DUMMYFUNCTION("""COMPUTED_VALUE"""),"https://drive.google.com/drive/folders/10T2cTQHqEJZqE-st6uFKPoI?usp=share_link")</f>
        <v>https://drive.google.com/drive/folders/10T2cTQHqEJZqE-st6uFKPoI?usp=share_link</v>
      </c>
      <c r="P5189" s="6" t="str">
        <f>IFERROR(__xludf.DUMMYFUNCTION("""COMPUTED_VALUE"""),"Naaila Frazier")</f>
        <v>Naaila Frazier</v>
      </c>
      <c r="Q5189" s="6" t="str">
        <f>IFERROR(__xludf.DUMMYFUNCTION("""COMPUTED_VALUE"""),"L1")</f>
        <v>L1</v>
      </c>
      <c r="R5189" s="6">
        <f>IFERROR(__xludf.DUMMYFUNCTION("""COMPUTED_VALUE"""),1.0)</f>
        <v>1</v>
      </c>
      <c r="S5189" s="6" t="str">
        <f>IFERROR(__xludf.DUMMYFUNCTION("""COMPUTED_VALUE"""),"Kimberly Ball")</f>
        <v>Kimberly Ball</v>
      </c>
      <c r="T5189" s="6" t="str">
        <f>IFERROR(__xludf.DUMMYFUNCTION("""COMPUTED_VALUE"""),"kimberly.ball@studient.com")</f>
        <v>kimberly.ball@studient.com</v>
      </c>
      <c r="U5189" s="6" t="str">
        <f>IFERROR(__xludf.DUMMYFUNCTION("""COMPUTED_VALUE"""),"3")</f>
        <v>3</v>
      </c>
      <c r="V5189" s="6" t="str">
        <f>IFERROR(__xludf.DUMMYFUNCTION("""COMPUTED_VALUE"""),"")</f>
        <v/>
      </c>
      <c r="W5189" s="6" t="str">
        <f>IFERROR(__xludf.DUMMYFUNCTION("""COMPUTED_VALUE"""),"[]")</f>
        <v>[]</v>
      </c>
      <c r="X5189" s="6" t="str">
        <f>IFERROR(__xludf.DUMMYFUNCTION("""COMPUTED_VALUE"""),"Enrolled")</f>
        <v>Enrolled</v>
      </c>
    </row>
    <row r="5190">
      <c r="A5190" s="6" t="str">
        <f>IFERROR(__xludf.DUMMYFUNCTION("""COMPUTED_VALUE"""),"086-12581")</f>
        <v>086-12581</v>
      </c>
      <c r="B5190" s="6" t="str">
        <f>IFERROR(__xludf.DUMMYFUNCTION("""COMPUTED_VALUE"""),"86")</f>
        <v>86</v>
      </c>
      <c r="C5190" s="6" t="str">
        <f>IFERROR(__xludf.DUMMYFUNCTION("""COMPUTED_VALUE"""),"12581")</f>
        <v>12581</v>
      </c>
      <c r="D5190" s="6" t="str">
        <f>IFERROR(__xludf.DUMMYFUNCTION("""COMPUTED_VALUE"""),"Davonte")</f>
        <v>Davonte</v>
      </c>
      <c r="E5190" s="6" t="str">
        <f>IFERROR(__xludf.DUMMYFUNCTION("""COMPUTED_VALUE"""),"")</f>
        <v/>
      </c>
      <c r="F5190" s="6" t="str">
        <f>IFERROR(__xludf.DUMMYFUNCTION("""COMPUTED_VALUE"""),"Freeman")</f>
        <v>Freeman</v>
      </c>
      <c r="G5190" s="6" t="str">
        <f>IFERROR(__xludf.DUMMYFUNCTION("""COMPUTED_VALUE"""),"07/28/2017")</f>
        <v>07/28/2017</v>
      </c>
      <c r="H5190" s="6" t="str">
        <f>IFERROR(__xludf.DUMMYFUNCTION("""COMPUTED_VALUE"""),"female")</f>
        <v>female</v>
      </c>
      <c r="I5190" s="6" t="str">
        <f>IFERROR(__xludf.DUMMYFUNCTION("""COMPUTED_VALUE"""),"Level 1")</f>
        <v>Level 1</v>
      </c>
      <c r="J5190" s="6" t="str">
        <f>IFERROR(__xludf.DUMMYFUNCTION("""COMPUTED_VALUE"""),"3")</f>
        <v>3</v>
      </c>
      <c r="K5190" s="6" t="str">
        <f>IFERROR(__xludf.DUMMYFUNCTION("""COMPUTED_VALUE"""),"davonte.freeman@2hourlearning.com")</f>
        <v>davonte.freeman@2hourlearning.com</v>
      </c>
      <c r="L5190" s="6" t="str">
        <f>IFERROR(__xludf.DUMMYFUNCTION("""COMPUTED_VALUE"""),"JRES - Ridgeland Elementary School")</f>
        <v>JRES - Ridgeland Elementary School</v>
      </c>
      <c r="M5190" s="6" t="str">
        <f>IFERROR(__xludf.DUMMYFUNCTION("""COMPUTED_VALUE"""),"")</f>
        <v/>
      </c>
      <c r="N5190" s="6" t="str">
        <f>IFERROR(__xludf.DUMMYFUNCTION("""COMPUTED_VALUE"""),"")</f>
        <v/>
      </c>
      <c r="O5190" s="87" t="str">
        <f>IFERROR(__xludf.DUMMYFUNCTION("""COMPUTED_VALUE"""),"https://drive.google.com/drive/folders/10T2cTQHqEJZqE-st6uFKPoI?usp=share_link")</f>
        <v>https://drive.google.com/drive/folders/10T2cTQHqEJZqE-st6uFKPoI?usp=share_link</v>
      </c>
      <c r="P5190" s="6" t="str">
        <f>IFERROR(__xludf.DUMMYFUNCTION("""COMPUTED_VALUE"""),"Davonte Freeman")</f>
        <v>Davonte Freeman</v>
      </c>
      <c r="Q5190" s="6" t="str">
        <f>IFERROR(__xludf.DUMMYFUNCTION("""COMPUTED_VALUE"""),"L1")</f>
        <v>L1</v>
      </c>
      <c r="R5190" s="6">
        <f>IFERROR(__xludf.DUMMYFUNCTION("""COMPUTED_VALUE"""),1.0)</f>
        <v>1</v>
      </c>
      <c r="S5190" s="6" t="str">
        <f>IFERROR(__xludf.DUMMYFUNCTION("""COMPUTED_VALUE"""),"Kimberly Ball")</f>
        <v>Kimberly Ball</v>
      </c>
      <c r="T5190" s="6" t="str">
        <f>IFERROR(__xludf.DUMMYFUNCTION("""COMPUTED_VALUE"""),"kimberly.ball@studient.com")</f>
        <v>kimberly.ball@studient.com</v>
      </c>
      <c r="U5190" s="6" t="str">
        <f>IFERROR(__xludf.DUMMYFUNCTION("""COMPUTED_VALUE"""),"3")</f>
        <v>3</v>
      </c>
      <c r="V5190" s="6" t="str">
        <f>IFERROR(__xludf.DUMMYFUNCTION("""COMPUTED_VALUE"""),"")</f>
        <v/>
      </c>
      <c r="W5190" s="6" t="str">
        <f>IFERROR(__xludf.DUMMYFUNCTION("""COMPUTED_VALUE"""),"[]")</f>
        <v>[]</v>
      </c>
      <c r="X5190" s="6" t="str">
        <f>IFERROR(__xludf.DUMMYFUNCTION("""COMPUTED_VALUE"""),"Enrolled")</f>
        <v>Enrolled</v>
      </c>
    </row>
    <row r="5191">
      <c r="A5191" s="6" t="str">
        <f>IFERROR(__xludf.DUMMYFUNCTION("""COMPUTED_VALUE"""),"086-12582")</f>
        <v>086-12582</v>
      </c>
      <c r="B5191" s="6" t="str">
        <f>IFERROR(__xludf.DUMMYFUNCTION("""COMPUTED_VALUE"""),"86")</f>
        <v>86</v>
      </c>
      <c r="C5191" s="6" t="str">
        <f>IFERROR(__xludf.DUMMYFUNCTION("""COMPUTED_VALUE"""),"12582")</f>
        <v>12582</v>
      </c>
      <c r="D5191" s="6" t="str">
        <f>IFERROR(__xludf.DUMMYFUNCTION("""COMPUTED_VALUE"""),"Milan")</f>
        <v>Milan</v>
      </c>
      <c r="E5191" s="6" t="str">
        <f>IFERROR(__xludf.DUMMYFUNCTION("""COMPUTED_VALUE"""),"")</f>
        <v/>
      </c>
      <c r="F5191" s="6" t="str">
        <f>IFERROR(__xludf.DUMMYFUNCTION("""COMPUTED_VALUE"""),"Fuentes Lopez")</f>
        <v>Fuentes Lopez</v>
      </c>
      <c r="G5191" s="6" t="str">
        <f>IFERROR(__xludf.DUMMYFUNCTION("""COMPUTED_VALUE"""),"10/28/2017")</f>
        <v>10/28/2017</v>
      </c>
      <c r="H5191" s="6" t="str">
        <f>IFERROR(__xludf.DUMMYFUNCTION("""COMPUTED_VALUE"""),"female")</f>
        <v>female</v>
      </c>
      <c r="I5191" s="6" t="str">
        <f>IFERROR(__xludf.DUMMYFUNCTION("""COMPUTED_VALUE"""),"Level 1")</f>
        <v>Level 1</v>
      </c>
      <c r="J5191" s="6" t="str">
        <f>IFERROR(__xludf.DUMMYFUNCTION("""COMPUTED_VALUE"""),"3")</f>
        <v>3</v>
      </c>
      <c r="K5191" s="6" t="str">
        <f>IFERROR(__xludf.DUMMYFUNCTION("""COMPUTED_VALUE"""),"milan.fuenteslopez@2hourlearning.com")</f>
        <v>milan.fuenteslopez@2hourlearning.com</v>
      </c>
      <c r="L5191" s="6" t="str">
        <f>IFERROR(__xludf.DUMMYFUNCTION("""COMPUTED_VALUE"""),"JRES - Ridgeland Elementary School")</f>
        <v>JRES - Ridgeland Elementary School</v>
      </c>
      <c r="M5191" s="6" t="str">
        <f>IFERROR(__xludf.DUMMYFUNCTION("""COMPUTED_VALUE"""),"")</f>
        <v/>
      </c>
      <c r="N5191" s="6" t="str">
        <f>IFERROR(__xludf.DUMMYFUNCTION("""COMPUTED_VALUE"""),"")</f>
        <v/>
      </c>
      <c r="O5191" s="87" t="str">
        <f>IFERROR(__xludf.DUMMYFUNCTION("""COMPUTED_VALUE"""),"https://drive.google.com/drive/folders/10T2cTQHqEJZqE-st6uFKPoI?usp=share_link")</f>
        <v>https://drive.google.com/drive/folders/10T2cTQHqEJZqE-st6uFKPoI?usp=share_link</v>
      </c>
      <c r="P5191" s="6" t="str">
        <f>IFERROR(__xludf.DUMMYFUNCTION("""COMPUTED_VALUE"""),"Milan Fuentes Lopez")</f>
        <v>Milan Fuentes Lopez</v>
      </c>
      <c r="Q5191" s="6" t="str">
        <f>IFERROR(__xludf.DUMMYFUNCTION("""COMPUTED_VALUE"""),"L1")</f>
        <v>L1</v>
      </c>
      <c r="R5191" s="6">
        <f>IFERROR(__xludf.DUMMYFUNCTION("""COMPUTED_VALUE"""),1.0)</f>
        <v>1</v>
      </c>
      <c r="S5191" s="6" t="str">
        <f>IFERROR(__xludf.DUMMYFUNCTION("""COMPUTED_VALUE"""),"Kimberly Ball")</f>
        <v>Kimberly Ball</v>
      </c>
      <c r="T5191" s="6" t="str">
        <f>IFERROR(__xludf.DUMMYFUNCTION("""COMPUTED_VALUE"""),"kimberly.ball@studient.com")</f>
        <v>kimberly.ball@studient.com</v>
      </c>
      <c r="U5191" s="6" t="str">
        <f>IFERROR(__xludf.DUMMYFUNCTION("""COMPUTED_VALUE"""),"3")</f>
        <v>3</v>
      </c>
      <c r="V5191" s="6" t="str">
        <f>IFERROR(__xludf.DUMMYFUNCTION("""COMPUTED_VALUE"""),"")</f>
        <v/>
      </c>
      <c r="W5191" s="6" t="str">
        <f>IFERROR(__xludf.DUMMYFUNCTION("""COMPUTED_VALUE"""),"[]")</f>
        <v>[]</v>
      </c>
      <c r="X5191" s="6" t="str">
        <f>IFERROR(__xludf.DUMMYFUNCTION("""COMPUTED_VALUE"""),"Enrolled")</f>
        <v>Enrolled</v>
      </c>
    </row>
    <row r="5192">
      <c r="A5192" s="6" t="str">
        <f>IFERROR(__xludf.DUMMYFUNCTION("""COMPUTED_VALUE"""),"086-12583")</f>
        <v>086-12583</v>
      </c>
      <c r="B5192" s="6" t="str">
        <f>IFERROR(__xludf.DUMMYFUNCTION("""COMPUTED_VALUE"""),"86")</f>
        <v>86</v>
      </c>
      <c r="C5192" s="6" t="str">
        <f>IFERROR(__xludf.DUMMYFUNCTION("""COMPUTED_VALUE"""),"12583")</f>
        <v>12583</v>
      </c>
      <c r="D5192" s="6" t="str">
        <f>IFERROR(__xludf.DUMMYFUNCTION("""COMPUTED_VALUE"""),"Ayden")</f>
        <v>Ayden</v>
      </c>
      <c r="E5192" s="6" t="str">
        <f>IFERROR(__xludf.DUMMYFUNCTION("""COMPUTED_VALUE"""),"")</f>
        <v/>
      </c>
      <c r="F5192" s="6" t="str">
        <f>IFERROR(__xludf.DUMMYFUNCTION("""COMPUTED_VALUE"""),"Fulmore")</f>
        <v>Fulmore</v>
      </c>
      <c r="G5192" s="6" t="str">
        <f>IFERROR(__xludf.DUMMYFUNCTION("""COMPUTED_VALUE"""),"11/09/2016")</f>
        <v>11/09/2016</v>
      </c>
      <c r="H5192" s="6" t="str">
        <f>IFERROR(__xludf.DUMMYFUNCTION("""COMPUTED_VALUE"""),"male")</f>
        <v>male</v>
      </c>
      <c r="I5192" s="6" t="str">
        <f>IFERROR(__xludf.DUMMYFUNCTION("""COMPUTED_VALUE"""),"Level 1")</f>
        <v>Level 1</v>
      </c>
      <c r="J5192" s="6" t="str">
        <f>IFERROR(__xludf.DUMMYFUNCTION("""COMPUTED_VALUE"""),"3")</f>
        <v>3</v>
      </c>
      <c r="K5192" s="6" t="str">
        <f>IFERROR(__xludf.DUMMYFUNCTION("""COMPUTED_VALUE"""),"ayden.fulmore@2hourlearning.com")</f>
        <v>ayden.fulmore@2hourlearning.com</v>
      </c>
      <c r="L5192" s="6" t="str">
        <f>IFERROR(__xludf.DUMMYFUNCTION("""COMPUTED_VALUE"""),"JRES - Ridgeland Elementary School")</f>
        <v>JRES - Ridgeland Elementary School</v>
      </c>
      <c r="M5192" s="6" t="str">
        <f>IFERROR(__xludf.DUMMYFUNCTION("""COMPUTED_VALUE"""),"")</f>
        <v/>
      </c>
      <c r="N5192" s="6" t="str">
        <f>IFERROR(__xludf.DUMMYFUNCTION("""COMPUTED_VALUE"""),"")</f>
        <v/>
      </c>
      <c r="O5192" s="87" t="str">
        <f>IFERROR(__xludf.DUMMYFUNCTION("""COMPUTED_VALUE"""),"https://drive.google.com/drive/folders/10T2cTQHqEJZqE-st6uFKPoI?usp=share_link")</f>
        <v>https://drive.google.com/drive/folders/10T2cTQHqEJZqE-st6uFKPoI?usp=share_link</v>
      </c>
      <c r="P5192" s="6" t="str">
        <f>IFERROR(__xludf.DUMMYFUNCTION("""COMPUTED_VALUE"""),"Ayden Fulmore")</f>
        <v>Ayden Fulmore</v>
      </c>
      <c r="Q5192" s="6" t="str">
        <f>IFERROR(__xludf.DUMMYFUNCTION("""COMPUTED_VALUE"""),"L1")</f>
        <v>L1</v>
      </c>
      <c r="R5192" s="6">
        <f>IFERROR(__xludf.DUMMYFUNCTION("""COMPUTED_VALUE"""),1.0)</f>
        <v>1</v>
      </c>
      <c r="S5192" s="6" t="str">
        <f>IFERROR(__xludf.DUMMYFUNCTION("""COMPUTED_VALUE"""),"Kimberly Ball")</f>
        <v>Kimberly Ball</v>
      </c>
      <c r="T5192" s="6" t="str">
        <f>IFERROR(__xludf.DUMMYFUNCTION("""COMPUTED_VALUE"""),"kimberly.ball@studient.com")</f>
        <v>kimberly.ball@studient.com</v>
      </c>
      <c r="U5192" s="6" t="str">
        <f>IFERROR(__xludf.DUMMYFUNCTION("""COMPUTED_VALUE"""),"3")</f>
        <v>3</v>
      </c>
      <c r="V5192" s="6" t="str">
        <f>IFERROR(__xludf.DUMMYFUNCTION("""COMPUTED_VALUE"""),"")</f>
        <v/>
      </c>
      <c r="W5192" s="6" t="str">
        <f>IFERROR(__xludf.DUMMYFUNCTION("""COMPUTED_VALUE"""),"[]")</f>
        <v>[]</v>
      </c>
      <c r="X5192" s="6" t="str">
        <f>IFERROR(__xludf.DUMMYFUNCTION("""COMPUTED_VALUE"""),"Enrolled")</f>
        <v>Enrolled</v>
      </c>
    </row>
    <row r="5193">
      <c r="A5193" s="6" t="str">
        <f>IFERROR(__xludf.DUMMYFUNCTION("""COMPUTED_VALUE"""),"086-12584")</f>
        <v>086-12584</v>
      </c>
      <c r="B5193" s="6" t="str">
        <f>IFERROR(__xludf.DUMMYFUNCTION("""COMPUTED_VALUE"""),"86")</f>
        <v>86</v>
      </c>
      <c r="C5193" s="6" t="str">
        <f>IFERROR(__xludf.DUMMYFUNCTION("""COMPUTED_VALUE"""),"12584")</f>
        <v>12584</v>
      </c>
      <c r="D5193" s="6" t="str">
        <f>IFERROR(__xludf.DUMMYFUNCTION("""COMPUTED_VALUE"""),"Jeremione")</f>
        <v>Jeremione</v>
      </c>
      <c r="E5193" s="6" t="str">
        <f>IFERROR(__xludf.DUMMYFUNCTION("""COMPUTED_VALUE"""),"")</f>
        <v/>
      </c>
      <c r="F5193" s="6" t="str">
        <f>IFERROR(__xludf.DUMMYFUNCTION("""COMPUTED_VALUE"""),"Gadson")</f>
        <v>Gadson</v>
      </c>
      <c r="G5193" s="6" t="str">
        <f>IFERROR(__xludf.DUMMYFUNCTION("""COMPUTED_VALUE"""),"03/06/2015")</f>
        <v>03/06/2015</v>
      </c>
      <c r="H5193" s="6" t="str">
        <f>IFERROR(__xludf.DUMMYFUNCTION("""COMPUTED_VALUE"""),"male")</f>
        <v>male</v>
      </c>
      <c r="I5193" s="6" t="str">
        <f>IFERROR(__xludf.DUMMYFUNCTION("""COMPUTED_VALUE"""),"Level 1")</f>
        <v>Level 1</v>
      </c>
      <c r="J5193" s="6" t="str">
        <f>IFERROR(__xludf.DUMMYFUNCTION("""COMPUTED_VALUE"""),"3")</f>
        <v>3</v>
      </c>
      <c r="K5193" s="6" t="str">
        <f>IFERROR(__xludf.DUMMYFUNCTION("""COMPUTED_VALUE"""),"jeremione.gadson@2hourlearning.com")</f>
        <v>jeremione.gadson@2hourlearning.com</v>
      </c>
      <c r="L5193" s="6" t="str">
        <f>IFERROR(__xludf.DUMMYFUNCTION("""COMPUTED_VALUE"""),"JRES - Ridgeland Elementary School")</f>
        <v>JRES - Ridgeland Elementary School</v>
      </c>
      <c r="M5193" s="6" t="str">
        <f>IFERROR(__xludf.DUMMYFUNCTION("""COMPUTED_VALUE"""),"")</f>
        <v/>
      </c>
      <c r="N5193" s="6" t="str">
        <f>IFERROR(__xludf.DUMMYFUNCTION("""COMPUTED_VALUE"""),"")</f>
        <v/>
      </c>
      <c r="O5193" s="87" t="str">
        <f>IFERROR(__xludf.DUMMYFUNCTION("""COMPUTED_VALUE"""),"https://drive.google.com/drive/folders/10T2cTQHqEJZqE-st6uFKPoI?usp=share_link")</f>
        <v>https://drive.google.com/drive/folders/10T2cTQHqEJZqE-st6uFKPoI?usp=share_link</v>
      </c>
      <c r="P5193" s="6" t="str">
        <f>IFERROR(__xludf.DUMMYFUNCTION("""COMPUTED_VALUE"""),"Jeremione Gadson")</f>
        <v>Jeremione Gadson</v>
      </c>
      <c r="Q5193" s="6" t="str">
        <f>IFERROR(__xludf.DUMMYFUNCTION("""COMPUTED_VALUE"""),"L1")</f>
        <v>L1</v>
      </c>
      <c r="R5193" s="6">
        <f>IFERROR(__xludf.DUMMYFUNCTION("""COMPUTED_VALUE"""),1.0)</f>
        <v>1</v>
      </c>
      <c r="S5193" s="6" t="str">
        <f>IFERROR(__xludf.DUMMYFUNCTION("""COMPUTED_VALUE"""),"Kimberly Ball")</f>
        <v>Kimberly Ball</v>
      </c>
      <c r="T5193" s="6" t="str">
        <f>IFERROR(__xludf.DUMMYFUNCTION("""COMPUTED_VALUE"""),"kimberly.ball@studient.com")</f>
        <v>kimberly.ball@studient.com</v>
      </c>
      <c r="U5193" s="6" t="str">
        <f>IFERROR(__xludf.DUMMYFUNCTION("""COMPUTED_VALUE"""),"3")</f>
        <v>3</v>
      </c>
      <c r="V5193" s="6" t="str">
        <f>IFERROR(__xludf.DUMMYFUNCTION("""COMPUTED_VALUE"""),"")</f>
        <v/>
      </c>
      <c r="W5193" s="6" t="str">
        <f>IFERROR(__xludf.DUMMYFUNCTION("""COMPUTED_VALUE"""),"[]")</f>
        <v>[]</v>
      </c>
      <c r="X5193" s="6" t="str">
        <f>IFERROR(__xludf.DUMMYFUNCTION("""COMPUTED_VALUE"""),"Enrolled")</f>
        <v>Enrolled</v>
      </c>
    </row>
    <row r="5194">
      <c r="A5194" s="6" t="str">
        <f>IFERROR(__xludf.DUMMYFUNCTION("""COMPUTED_VALUE"""),"086-12585")</f>
        <v>086-12585</v>
      </c>
      <c r="B5194" s="6" t="str">
        <f>IFERROR(__xludf.DUMMYFUNCTION("""COMPUTED_VALUE"""),"86")</f>
        <v>86</v>
      </c>
      <c r="C5194" s="6" t="str">
        <f>IFERROR(__xludf.DUMMYFUNCTION("""COMPUTED_VALUE"""),"12585")</f>
        <v>12585</v>
      </c>
      <c r="D5194" s="6" t="str">
        <f>IFERROR(__xludf.DUMMYFUNCTION("""COMPUTED_VALUE"""),"Khalil")</f>
        <v>Khalil</v>
      </c>
      <c r="E5194" s="6" t="str">
        <f>IFERROR(__xludf.DUMMYFUNCTION("""COMPUTED_VALUE"""),"")</f>
        <v/>
      </c>
      <c r="F5194" s="6" t="str">
        <f>IFERROR(__xludf.DUMMYFUNCTION("""COMPUTED_VALUE"""),"Gadson-Wilson")</f>
        <v>Gadson-Wilson</v>
      </c>
      <c r="G5194" s="6" t="str">
        <f>IFERROR(__xludf.DUMMYFUNCTION("""COMPUTED_VALUE"""),"11/05/2017")</f>
        <v>11/05/2017</v>
      </c>
      <c r="H5194" s="6" t="str">
        <f>IFERROR(__xludf.DUMMYFUNCTION("""COMPUTED_VALUE"""),"male")</f>
        <v>male</v>
      </c>
      <c r="I5194" s="6" t="str">
        <f>IFERROR(__xludf.DUMMYFUNCTION("""COMPUTED_VALUE"""),"Level 1")</f>
        <v>Level 1</v>
      </c>
      <c r="J5194" s="6" t="str">
        <f>IFERROR(__xludf.DUMMYFUNCTION("""COMPUTED_VALUE"""),"3")</f>
        <v>3</v>
      </c>
      <c r="K5194" s="6" t="str">
        <f>IFERROR(__xludf.DUMMYFUNCTION("""COMPUTED_VALUE"""),"khalil.gadson-wilson@2hourlearning.com")</f>
        <v>khalil.gadson-wilson@2hourlearning.com</v>
      </c>
      <c r="L5194" s="6" t="str">
        <f>IFERROR(__xludf.DUMMYFUNCTION("""COMPUTED_VALUE"""),"JRES - Ridgeland Elementary School")</f>
        <v>JRES - Ridgeland Elementary School</v>
      </c>
      <c r="M5194" s="6" t="str">
        <f>IFERROR(__xludf.DUMMYFUNCTION("""COMPUTED_VALUE"""),"")</f>
        <v/>
      </c>
      <c r="N5194" s="6" t="str">
        <f>IFERROR(__xludf.DUMMYFUNCTION("""COMPUTED_VALUE"""),"")</f>
        <v/>
      </c>
      <c r="O5194" s="87" t="str">
        <f>IFERROR(__xludf.DUMMYFUNCTION("""COMPUTED_VALUE"""),"https://drive.google.com/drive/folders/10T2cTQHqEJZqE-st6uFKPoI?usp=share_link")</f>
        <v>https://drive.google.com/drive/folders/10T2cTQHqEJZqE-st6uFKPoI?usp=share_link</v>
      </c>
      <c r="P5194" s="6" t="str">
        <f>IFERROR(__xludf.DUMMYFUNCTION("""COMPUTED_VALUE"""),"Khalil Gadson-Wilson")</f>
        <v>Khalil Gadson-Wilson</v>
      </c>
      <c r="Q5194" s="6" t="str">
        <f>IFERROR(__xludf.DUMMYFUNCTION("""COMPUTED_VALUE"""),"L1")</f>
        <v>L1</v>
      </c>
      <c r="R5194" s="6">
        <f>IFERROR(__xludf.DUMMYFUNCTION("""COMPUTED_VALUE"""),1.0)</f>
        <v>1</v>
      </c>
      <c r="S5194" s="6" t="str">
        <f>IFERROR(__xludf.DUMMYFUNCTION("""COMPUTED_VALUE"""),"Kimberly Ball")</f>
        <v>Kimberly Ball</v>
      </c>
      <c r="T5194" s="6" t="str">
        <f>IFERROR(__xludf.DUMMYFUNCTION("""COMPUTED_VALUE"""),"kimberly.ball@studient.com")</f>
        <v>kimberly.ball@studient.com</v>
      </c>
      <c r="U5194" s="6" t="str">
        <f>IFERROR(__xludf.DUMMYFUNCTION("""COMPUTED_VALUE"""),"3")</f>
        <v>3</v>
      </c>
      <c r="V5194" s="6" t="str">
        <f>IFERROR(__xludf.DUMMYFUNCTION("""COMPUTED_VALUE"""),"")</f>
        <v/>
      </c>
      <c r="W5194" s="6" t="str">
        <f>IFERROR(__xludf.DUMMYFUNCTION("""COMPUTED_VALUE"""),"[]")</f>
        <v>[]</v>
      </c>
      <c r="X5194" s="6" t="str">
        <f>IFERROR(__xludf.DUMMYFUNCTION("""COMPUTED_VALUE"""),"Enrolled")</f>
        <v>Enrolled</v>
      </c>
    </row>
    <row r="5195">
      <c r="A5195" s="6" t="str">
        <f>IFERROR(__xludf.DUMMYFUNCTION("""COMPUTED_VALUE"""),"086-12586")</f>
        <v>086-12586</v>
      </c>
      <c r="B5195" s="6" t="str">
        <f>IFERROR(__xludf.DUMMYFUNCTION("""COMPUTED_VALUE"""),"86")</f>
        <v>86</v>
      </c>
      <c r="C5195" s="6" t="str">
        <f>IFERROR(__xludf.DUMMYFUNCTION("""COMPUTED_VALUE"""),"12586")</f>
        <v>12586</v>
      </c>
      <c r="D5195" s="6" t="str">
        <f>IFERROR(__xludf.DUMMYFUNCTION("""COMPUTED_VALUE"""),"Ja'Nyia")</f>
        <v>Ja'Nyia</v>
      </c>
      <c r="E5195" s="6" t="str">
        <f>IFERROR(__xludf.DUMMYFUNCTION("""COMPUTED_VALUE"""),"")</f>
        <v/>
      </c>
      <c r="F5195" s="6" t="str">
        <f>IFERROR(__xludf.DUMMYFUNCTION("""COMPUTED_VALUE"""),"Garvin")</f>
        <v>Garvin</v>
      </c>
      <c r="G5195" s="6" t="str">
        <f>IFERROR(__xludf.DUMMYFUNCTION("""COMPUTED_VALUE"""),"02/12/2018")</f>
        <v>02/12/2018</v>
      </c>
      <c r="H5195" s="6" t="str">
        <f>IFERROR(__xludf.DUMMYFUNCTION("""COMPUTED_VALUE"""),"male")</f>
        <v>male</v>
      </c>
      <c r="I5195" s="6" t="str">
        <f>IFERROR(__xludf.DUMMYFUNCTION("""COMPUTED_VALUE"""),"Level 1")</f>
        <v>Level 1</v>
      </c>
      <c r="J5195" s="6" t="str">
        <f>IFERROR(__xludf.DUMMYFUNCTION("""COMPUTED_VALUE"""),"3")</f>
        <v>3</v>
      </c>
      <c r="K5195" s="6" t="str">
        <f>IFERROR(__xludf.DUMMYFUNCTION("""COMPUTED_VALUE"""),"janyia.garvin@2hourlearning.com")</f>
        <v>janyia.garvin@2hourlearning.com</v>
      </c>
      <c r="L5195" s="6" t="str">
        <f>IFERROR(__xludf.DUMMYFUNCTION("""COMPUTED_VALUE"""),"JRES - Ridgeland Elementary School")</f>
        <v>JRES - Ridgeland Elementary School</v>
      </c>
      <c r="M5195" s="6" t="str">
        <f>IFERROR(__xludf.DUMMYFUNCTION("""COMPUTED_VALUE"""),"")</f>
        <v/>
      </c>
      <c r="N5195" s="6" t="str">
        <f>IFERROR(__xludf.DUMMYFUNCTION("""COMPUTED_VALUE"""),"")</f>
        <v/>
      </c>
      <c r="O5195" s="87" t="str">
        <f>IFERROR(__xludf.DUMMYFUNCTION("""COMPUTED_VALUE"""),"https://drive.google.com/drive/folders/10T2cTQHqEJZqE-st6uFKPoI?usp=share_link")</f>
        <v>https://drive.google.com/drive/folders/10T2cTQHqEJZqE-st6uFKPoI?usp=share_link</v>
      </c>
      <c r="P5195" s="6" t="str">
        <f>IFERROR(__xludf.DUMMYFUNCTION("""COMPUTED_VALUE"""),"Ja'Nyia Garvin")</f>
        <v>Ja'Nyia Garvin</v>
      </c>
      <c r="Q5195" s="6" t="str">
        <f>IFERROR(__xludf.DUMMYFUNCTION("""COMPUTED_VALUE"""),"L1")</f>
        <v>L1</v>
      </c>
      <c r="R5195" s="6">
        <f>IFERROR(__xludf.DUMMYFUNCTION("""COMPUTED_VALUE"""),1.0)</f>
        <v>1</v>
      </c>
      <c r="S5195" s="6" t="str">
        <f>IFERROR(__xludf.DUMMYFUNCTION("""COMPUTED_VALUE"""),"Kimberly Ball")</f>
        <v>Kimberly Ball</v>
      </c>
      <c r="T5195" s="6" t="str">
        <f>IFERROR(__xludf.DUMMYFUNCTION("""COMPUTED_VALUE"""),"kimberly.ball@studient.com")</f>
        <v>kimberly.ball@studient.com</v>
      </c>
      <c r="U5195" s="6" t="str">
        <f>IFERROR(__xludf.DUMMYFUNCTION("""COMPUTED_VALUE"""),"3")</f>
        <v>3</v>
      </c>
      <c r="V5195" s="6" t="str">
        <f>IFERROR(__xludf.DUMMYFUNCTION("""COMPUTED_VALUE"""),"")</f>
        <v/>
      </c>
      <c r="W5195" s="6" t="str">
        <f>IFERROR(__xludf.DUMMYFUNCTION("""COMPUTED_VALUE"""),"[]")</f>
        <v>[]</v>
      </c>
      <c r="X5195" s="6" t="str">
        <f>IFERROR(__xludf.DUMMYFUNCTION("""COMPUTED_VALUE"""),"Enrolled")</f>
        <v>Enrolled</v>
      </c>
    </row>
    <row r="5196">
      <c r="A5196" s="6" t="str">
        <f>IFERROR(__xludf.DUMMYFUNCTION("""COMPUTED_VALUE"""),"086-12587")</f>
        <v>086-12587</v>
      </c>
      <c r="B5196" s="6" t="str">
        <f>IFERROR(__xludf.DUMMYFUNCTION("""COMPUTED_VALUE"""),"86")</f>
        <v>86</v>
      </c>
      <c r="C5196" s="6" t="str">
        <f>IFERROR(__xludf.DUMMYFUNCTION("""COMPUTED_VALUE"""),"12587")</f>
        <v>12587</v>
      </c>
      <c r="D5196" s="6" t="str">
        <f>IFERROR(__xludf.DUMMYFUNCTION("""COMPUTED_VALUE"""),"Serenity")</f>
        <v>Serenity</v>
      </c>
      <c r="E5196" s="6" t="str">
        <f>IFERROR(__xludf.DUMMYFUNCTION("""COMPUTED_VALUE"""),"")</f>
        <v/>
      </c>
      <c r="F5196" s="6" t="str">
        <f>IFERROR(__xludf.DUMMYFUNCTION("""COMPUTED_VALUE"""),"Glover")</f>
        <v>Glover</v>
      </c>
      <c r="G5196" s="6" t="str">
        <f>IFERROR(__xludf.DUMMYFUNCTION("""COMPUTED_VALUE"""),"04/12/2017")</f>
        <v>04/12/2017</v>
      </c>
      <c r="H5196" s="6" t="str">
        <f>IFERROR(__xludf.DUMMYFUNCTION("""COMPUTED_VALUE"""),"male")</f>
        <v>male</v>
      </c>
      <c r="I5196" s="6" t="str">
        <f>IFERROR(__xludf.DUMMYFUNCTION("""COMPUTED_VALUE"""),"Level 1")</f>
        <v>Level 1</v>
      </c>
      <c r="J5196" s="6" t="str">
        <f>IFERROR(__xludf.DUMMYFUNCTION("""COMPUTED_VALUE"""),"3")</f>
        <v>3</v>
      </c>
      <c r="K5196" s="6" t="str">
        <f>IFERROR(__xludf.DUMMYFUNCTION("""COMPUTED_VALUE"""),"serenity.glover@2hourlearning.com")</f>
        <v>serenity.glover@2hourlearning.com</v>
      </c>
      <c r="L5196" s="6" t="str">
        <f>IFERROR(__xludf.DUMMYFUNCTION("""COMPUTED_VALUE"""),"JRES - Ridgeland Elementary School")</f>
        <v>JRES - Ridgeland Elementary School</v>
      </c>
      <c r="M5196" s="6" t="str">
        <f>IFERROR(__xludf.DUMMYFUNCTION("""COMPUTED_VALUE"""),"")</f>
        <v/>
      </c>
      <c r="N5196" s="6" t="str">
        <f>IFERROR(__xludf.DUMMYFUNCTION("""COMPUTED_VALUE"""),"")</f>
        <v/>
      </c>
      <c r="O5196" s="87" t="str">
        <f>IFERROR(__xludf.DUMMYFUNCTION("""COMPUTED_VALUE"""),"https://drive.google.com/drive/folders/10T2cTQHqEJZqE-st6uFKPoI?usp=share_link")</f>
        <v>https://drive.google.com/drive/folders/10T2cTQHqEJZqE-st6uFKPoI?usp=share_link</v>
      </c>
      <c r="P5196" s="6" t="str">
        <f>IFERROR(__xludf.DUMMYFUNCTION("""COMPUTED_VALUE"""),"Serenity Glover")</f>
        <v>Serenity Glover</v>
      </c>
      <c r="Q5196" s="6" t="str">
        <f>IFERROR(__xludf.DUMMYFUNCTION("""COMPUTED_VALUE"""),"L1")</f>
        <v>L1</v>
      </c>
      <c r="R5196" s="6">
        <f>IFERROR(__xludf.DUMMYFUNCTION("""COMPUTED_VALUE"""),1.0)</f>
        <v>1</v>
      </c>
      <c r="S5196" s="6" t="str">
        <f>IFERROR(__xludf.DUMMYFUNCTION("""COMPUTED_VALUE"""),"Kimberly Ball")</f>
        <v>Kimberly Ball</v>
      </c>
      <c r="T5196" s="6" t="str">
        <f>IFERROR(__xludf.DUMMYFUNCTION("""COMPUTED_VALUE"""),"kimberly.ball@studient.com")</f>
        <v>kimberly.ball@studient.com</v>
      </c>
      <c r="U5196" s="6" t="str">
        <f>IFERROR(__xludf.DUMMYFUNCTION("""COMPUTED_VALUE"""),"3")</f>
        <v>3</v>
      </c>
      <c r="V5196" s="6" t="str">
        <f>IFERROR(__xludf.DUMMYFUNCTION("""COMPUTED_VALUE"""),"")</f>
        <v/>
      </c>
      <c r="W5196" s="6" t="str">
        <f>IFERROR(__xludf.DUMMYFUNCTION("""COMPUTED_VALUE"""),"[]")</f>
        <v>[]</v>
      </c>
      <c r="X5196" s="6" t="str">
        <f>IFERROR(__xludf.DUMMYFUNCTION("""COMPUTED_VALUE"""),"Enrolled")</f>
        <v>Enrolled</v>
      </c>
    </row>
    <row r="5197">
      <c r="A5197" s="6" t="str">
        <f>IFERROR(__xludf.DUMMYFUNCTION("""COMPUTED_VALUE"""),"086-12588")</f>
        <v>086-12588</v>
      </c>
      <c r="B5197" s="6" t="str">
        <f>IFERROR(__xludf.DUMMYFUNCTION("""COMPUTED_VALUE"""),"86")</f>
        <v>86</v>
      </c>
      <c r="C5197" s="6" t="str">
        <f>IFERROR(__xludf.DUMMYFUNCTION("""COMPUTED_VALUE"""),"12588")</f>
        <v>12588</v>
      </c>
      <c r="D5197" s="6" t="str">
        <f>IFERROR(__xludf.DUMMYFUNCTION("""COMPUTED_VALUE"""),"Angel")</f>
        <v>Angel</v>
      </c>
      <c r="E5197" s="6" t="str">
        <f>IFERROR(__xludf.DUMMYFUNCTION("""COMPUTED_VALUE"""),"")</f>
        <v/>
      </c>
      <c r="F5197" s="6" t="str">
        <f>IFERROR(__xludf.DUMMYFUNCTION("""COMPUTED_VALUE"""),"Gomez Castillo")</f>
        <v>Gomez Castillo</v>
      </c>
      <c r="G5197" s="6" t="str">
        <f>IFERROR(__xludf.DUMMYFUNCTION("""COMPUTED_VALUE"""),"05/17/2017")</f>
        <v>05/17/2017</v>
      </c>
      <c r="H5197" s="6" t="str">
        <f>IFERROR(__xludf.DUMMYFUNCTION("""COMPUTED_VALUE"""),"male")</f>
        <v>male</v>
      </c>
      <c r="I5197" s="6" t="str">
        <f>IFERROR(__xludf.DUMMYFUNCTION("""COMPUTED_VALUE"""),"Level 1")</f>
        <v>Level 1</v>
      </c>
      <c r="J5197" s="6" t="str">
        <f>IFERROR(__xludf.DUMMYFUNCTION("""COMPUTED_VALUE"""),"3")</f>
        <v>3</v>
      </c>
      <c r="K5197" s="6" t="str">
        <f>IFERROR(__xludf.DUMMYFUNCTION("""COMPUTED_VALUE"""),"angel.gomezcastillo@2hourlearning.com")</f>
        <v>angel.gomezcastillo@2hourlearning.com</v>
      </c>
      <c r="L5197" s="6" t="str">
        <f>IFERROR(__xludf.DUMMYFUNCTION("""COMPUTED_VALUE"""),"JRES - Ridgeland Elementary School")</f>
        <v>JRES - Ridgeland Elementary School</v>
      </c>
      <c r="M5197" s="6" t="str">
        <f>IFERROR(__xludf.DUMMYFUNCTION("""COMPUTED_VALUE"""),"")</f>
        <v/>
      </c>
      <c r="N5197" s="6" t="str">
        <f>IFERROR(__xludf.DUMMYFUNCTION("""COMPUTED_VALUE"""),"")</f>
        <v/>
      </c>
      <c r="O5197" s="87" t="str">
        <f>IFERROR(__xludf.DUMMYFUNCTION("""COMPUTED_VALUE"""),"https://drive.google.com/drive/folders/10T2cTQHqEJZqE-st6uFKPoI?usp=share_link")</f>
        <v>https://drive.google.com/drive/folders/10T2cTQHqEJZqE-st6uFKPoI?usp=share_link</v>
      </c>
      <c r="P5197" s="6" t="str">
        <f>IFERROR(__xludf.DUMMYFUNCTION("""COMPUTED_VALUE"""),"Angel Gomez Castillo")</f>
        <v>Angel Gomez Castillo</v>
      </c>
      <c r="Q5197" s="6" t="str">
        <f>IFERROR(__xludf.DUMMYFUNCTION("""COMPUTED_VALUE"""),"L1")</f>
        <v>L1</v>
      </c>
      <c r="R5197" s="6">
        <f>IFERROR(__xludf.DUMMYFUNCTION("""COMPUTED_VALUE"""),1.0)</f>
        <v>1</v>
      </c>
      <c r="S5197" s="6" t="str">
        <f>IFERROR(__xludf.DUMMYFUNCTION("""COMPUTED_VALUE"""),"Kimberly Ball")</f>
        <v>Kimberly Ball</v>
      </c>
      <c r="T5197" s="6" t="str">
        <f>IFERROR(__xludf.DUMMYFUNCTION("""COMPUTED_VALUE"""),"kimberly.ball@studient.com")</f>
        <v>kimberly.ball@studient.com</v>
      </c>
      <c r="U5197" s="6" t="str">
        <f>IFERROR(__xludf.DUMMYFUNCTION("""COMPUTED_VALUE"""),"3")</f>
        <v>3</v>
      </c>
      <c r="V5197" s="6" t="str">
        <f>IFERROR(__xludf.DUMMYFUNCTION("""COMPUTED_VALUE"""),"")</f>
        <v/>
      </c>
      <c r="W5197" s="6" t="str">
        <f>IFERROR(__xludf.DUMMYFUNCTION("""COMPUTED_VALUE"""),"[]")</f>
        <v>[]</v>
      </c>
      <c r="X5197" s="6" t="str">
        <f>IFERROR(__xludf.DUMMYFUNCTION("""COMPUTED_VALUE"""),"Enrolled")</f>
        <v>Enrolled</v>
      </c>
    </row>
    <row r="5198">
      <c r="A5198" s="6" t="str">
        <f>IFERROR(__xludf.DUMMYFUNCTION("""COMPUTED_VALUE"""),"086-12589")</f>
        <v>086-12589</v>
      </c>
      <c r="B5198" s="6" t="str">
        <f>IFERROR(__xludf.DUMMYFUNCTION("""COMPUTED_VALUE"""),"86")</f>
        <v>86</v>
      </c>
      <c r="C5198" s="6" t="str">
        <f>IFERROR(__xludf.DUMMYFUNCTION("""COMPUTED_VALUE"""),"12589")</f>
        <v>12589</v>
      </c>
      <c r="D5198" s="6" t="str">
        <f>IFERROR(__xludf.DUMMYFUNCTION("""COMPUTED_VALUE"""),"Osvaldo")</f>
        <v>Osvaldo</v>
      </c>
      <c r="E5198" s="6" t="str">
        <f>IFERROR(__xludf.DUMMYFUNCTION("""COMPUTED_VALUE"""),"")</f>
        <v/>
      </c>
      <c r="F5198" s="6" t="str">
        <f>IFERROR(__xludf.DUMMYFUNCTION("""COMPUTED_VALUE"""),"Gomez Jimenez")</f>
        <v>Gomez Jimenez</v>
      </c>
      <c r="G5198" s="6" t="str">
        <f>IFERROR(__xludf.DUMMYFUNCTION("""COMPUTED_VALUE"""),"07/08/2017")</f>
        <v>07/08/2017</v>
      </c>
      <c r="H5198" s="6" t="str">
        <f>IFERROR(__xludf.DUMMYFUNCTION("""COMPUTED_VALUE"""),"female")</f>
        <v>female</v>
      </c>
      <c r="I5198" s="6" t="str">
        <f>IFERROR(__xludf.DUMMYFUNCTION("""COMPUTED_VALUE"""),"Level 1")</f>
        <v>Level 1</v>
      </c>
      <c r="J5198" s="6" t="str">
        <f>IFERROR(__xludf.DUMMYFUNCTION("""COMPUTED_VALUE"""),"3")</f>
        <v>3</v>
      </c>
      <c r="K5198" s="6" t="str">
        <f>IFERROR(__xludf.DUMMYFUNCTION("""COMPUTED_VALUE"""),"osvaldo.gomezjimenez@2hourlearning.com")</f>
        <v>osvaldo.gomezjimenez@2hourlearning.com</v>
      </c>
      <c r="L5198" s="6" t="str">
        <f>IFERROR(__xludf.DUMMYFUNCTION("""COMPUTED_VALUE"""),"JRES - Ridgeland Elementary School")</f>
        <v>JRES - Ridgeland Elementary School</v>
      </c>
      <c r="M5198" s="6" t="str">
        <f>IFERROR(__xludf.DUMMYFUNCTION("""COMPUTED_VALUE"""),"")</f>
        <v/>
      </c>
      <c r="N5198" s="6" t="str">
        <f>IFERROR(__xludf.DUMMYFUNCTION("""COMPUTED_VALUE"""),"")</f>
        <v/>
      </c>
      <c r="O5198" s="87" t="str">
        <f>IFERROR(__xludf.DUMMYFUNCTION("""COMPUTED_VALUE"""),"https://drive.google.com/drive/folders/10T2cTQHqEJZqE-st6uFKPoI?usp=share_link")</f>
        <v>https://drive.google.com/drive/folders/10T2cTQHqEJZqE-st6uFKPoI?usp=share_link</v>
      </c>
      <c r="P5198" s="6" t="str">
        <f>IFERROR(__xludf.DUMMYFUNCTION("""COMPUTED_VALUE"""),"Osvaldo Gomez Jimenez")</f>
        <v>Osvaldo Gomez Jimenez</v>
      </c>
      <c r="Q5198" s="6" t="str">
        <f>IFERROR(__xludf.DUMMYFUNCTION("""COMPUTED_VALUE"""),"L1")</f>
        <v>L1</v>
      </c>
      <c r="R5198" s="6">
        <f>IFERROR(__xludf.DUMMYFUNCTION("""COMPUTED_VALUE"""),1.0)</f>
        <v>1</v>
      </c>
      <c r="S5198" s="6" t="str">
        <f>IFERROR(__xludf.DUMMYFUNCTION("""COMPUTED_VALUE"""),"Kimberly Ball")</f>
        <v>Kimberly Ball</v>
      </c>
      <c r="T5198" s="6" t="str">
        <f>IFERROR(__xludf.DUMMYFUNCTION("""COMPUTED_VALUE"""),"kimberly.ball@studient.com")</f>
        <v>kimberly.ball@studient.com</v>
      </c>
      <c r="U5198" s="6" t="str">
        <f>IFERROR(__xludf.DUMMYFUNCTION("""COMPUTED_VALUE"""),"3")</f>
        <v>3</v>
      </c>
      <c r="V5198" s="6" t="str">
        <f>IFERROR(__xludf.DUMMYFUNCTION("""COMPUTED_VALUE"""),"")</f>
        <v/>
      </c>
      <c r="W5198" s="6" t="str">
        <f>IFERROR(__xludf.DUMMYFUNCTION("""COMPUTED_VALUE"""),"[]")</f>
        <v>[]</v>
      </c>
      <c r="X5198" s="6" t="str">
        <f>IFERROR(__xludf.DUMMYFUNCTION("""COMPUTED_VALUE"""),"Enrolled")</f>
        <v>Enrolled</v>
      </c>
    </row>
    <row r="5199">
      <c r="A5199" s="6" t="str">
        <f>IFERROR(__xludf.DUMMYFUNCTION("""COMPUTED_VALUE"""),"086-12590")</f>
        <v>086-12590</v>
      </c>
      <c r="B5199" s="6" t="str">
        <f>IFERROR(__xludf.DUMMYFUNCTION("""COMPUTED_VALUE"""),"86")</f>
        <v>86</v>
      </c>
      <c r="C5199" s="6" t="str">
        <f>IFERROR(__xludf.DUMMYFUNCTION("""COMPUTED_VALUE"""),"12590")</f>
        <v>12590</v>
      </c>
      <c r="D5199" s="6" t="str">
        <f>IFERROR(__xludf.DUMMYFUNCTION("""COMPUTED_VALUE"""),"Danna")</f>
        <v>Danna</v>
      </c>
      <c r="E5199" s="6" t="str">
        <f>IFERROR(__xludf.DUMMYFUNCTION("""COMPUTED_VALUE"""),"")</f>
        <v/>
      </c>
      <c r="F5199" s="6" t="str">
        <f>IFERROR(__xludf.DUMMYFUNCTION("""COMPUTED_VALUE"""),"Gomez Mejia")</f>
        <v>Gomez Mejia</v>
      </c>
      <c r="G5199" s="6" t="str">
        <f>IFERROR(__xludf.DUMMYFUNCTION("""COMPUTED_VALUE"""),"03/03/2014")</f>
        <v>03/03/2014</v>
      </c>
      <c r="H5199" s="6" t="str">
        <f>IFERROR(__xludf.DUMMYFUNCTION("""COMPUTED_VALUE"""),"male")</f>
        <v>male</v>
      </c>
      <c r="I5199" s="6" t="str">
        <f>IFERROR(__xludf.DUMMYFUNCTION("""COMPUTED_VALUE"""),"Level 1")</f>
        <v>Level 1</v>
      </c>
      <c r="J5199" s="6" t="str">
        <f>IFERROR(__xludf.DUMMYFUNCTION("""COMPUTED_VALUE"""),"3")</f>
        <v>3</v>
      </c>
      <c r="K5199" s="6" t="str">
        <f>IFERROR(__xludf.DUMMYFUNCTION("""COMPUTED_VALUE"""),"danna.gomezmejia@2hourlearning.com")</f>
        <v>danna.gomezmejia@2hourlearning.com</v>
      </c>
      <c r="L5199" s="6" t="str">
        <f>IFERROR(__xludf.DUMMYFUNCTION("""COMPUTED_VALUE"""),"JRES - Ridgeland Elementary School")</f>
        <v>JRES - Ridgeland Elementary School</v>
      </c>
      <c r="M5199" s="6" t="str">
        <f>IFERROR(__xludf.DUMMYFUNCTION("""COMPUTED_VALUE"""),"")</f>
        <v/>
      </c>
      <c r="N5199" s="6" t="str">
        <f>IFERROR(__xludf.DUMMYFUNCTION("""COMPUTED_VALUE"""),"")</f>
        <v/>
      </c>
      <c r="O5199" s="87" t="str">
        <f>IFERROR(__xludf.DUMMYFUNCTION("""COMPUTED_VALUE"""),"https://drive.google.com/drive/folders/10T2cTQHqEJZqE-st6uFKPoI?usp=share_link")</f>
        <v>https://drive.google.com/drive/folders/10T2cTQHqEJZqE-st6uFKPoI?usp=share_link</v>
      </c>
      <c r="P5199" s="6" t="str">
        <f>IFERROR(__xludf.DUMMYFUNCTION("""COMPUTED_VALUE"""),"Danna Gomez Mejia")</f>
        <v>Danna Gomez Mejia</v>
      </c>
      <c r="Q5199" s="6" t="str">
        <f>IFERROR(__xludf.DUMMYFUNCTION("""COMPUTED_VALUE"""),"L1")</f>
        <v>L1</v>
      </c>
      <c r="R5199" s="6">
        <f>IFERROR(__xludf.DUMMYFUNCTION("""COMPUTED_VALUE"""),1.0)</f>
        <v>1</v>
      </c>
      <c r="S5199" s="6" t="str">
        <f>IFERROR(__xludf.DUMMYFUNCTION("""COMPUTED_VALUE"""),"Kimberly Ball")</f>
        <v>Kimberly Ball</v>
      </c>
      <c r="T5199" s="6" t="str">
        <f>IFERROR(__xludf.DUMMYFUNCTION("""COMPUTED_VALUE"""),"kimberly.ball@studient.com")</f>
        <v>kimberly.ball@studient.com</v>
      </c>
      <c r="U5199" s="6" t="str">
        <f>IFERROR(__xludf.DUMMYFUNCTION("""COMPUTED_VALUE"""),"3")</f>
        <v>3</v>
      </c>
      <c r="V5199" s="6" t="str">
        <f>IFERROR(__xludf.DUMMYFUNCTION("""COMPUTED_VALUE"""),"")</f>
        <v/>
      </c>
      <c r="W5199" s="6" t="str">
        <f>IFERROR(__xludf.DUMMYFUNCTION("""COMPUTED_VALUE"""),"[]")</f>
        <v>[]</v>
      </c>
      <c r="X5199" s="6" t="str">
        <f>IFERROR(__xludf.DUMMYFUNCTION("""COMPUTED_VALUE"""),"Enrolled")</f>
        <v>Enrolled</v>
      </c>
    </row>
    <row r="5200">
      <c r="A5200" s="6" t="str">
        <f>IFERROR(__xludf.DUMMYFUNCTION("""COMPUTED_VALUE"""),"086-12591")</f>
        <v>086-12591</v>
      </c>
      <c r="B5200" s="6" t="str">
        <f>IFERROR(__xludf.DUMMYFUNCTION("""COMPUTED_VALUE"""),"86")</f>
        <v>86</v>
      </c>
      <c r="C5200" s="6" t="str">
        <f>IFERROR(__xludf.DUMMYFUNCTION("""COMPUTED_VALUE"""),"12591")</f>
        <v>12591</v>
      </c>
      <c r="D5200" s="6" t="str">
        <f>IFERROR(__xludf.DUMMYFUNCTION("""COMPUTED_VALUE"""),"Dafne")</f>
        <v>Dafne</v>
      </c>
      <c r="E5200" s="6" t="str">
        <f>IFERROR(__xludf.DUMMYFUNCTION("""COMPUTED_VALUE"""),"")</f>
        <v/>
      </c>
      <c r="F5200" s="6" t="str">
        <f>IFERROR(__xludf.DUMMYFUNCTION("""COMPUTED_VALUE"""),"Gomez Moreno")</f>
        <v>Gomez Moreno</v>
      </c>
      <c r="G5200" s="6" t="str">
        <f>IFERROR(__xludf.DUMMYFUNCTION("""COMPUTED_VALUE"""),"11/22/2017")</f>
        <v>11/22/2017</v>
      </c>
      <c r="H5200" s="6" t="str">
        <f>IFERROR(__xludf.DUMMYFUNCTION("""COMPUTED_VALUE"""),"male")</f>
        <v>male</v>
      </c>
      <c r="I5200" s="6" t="str">
        <f>IFERROR(__xludf.DUMMYFUNCTION("""COMPUTED_VALUE"""),"Level 1")</f>
        <v>Level 1</v>
      </c>
      <c r="J5200" s="6" t="str">
        <f>IFERROR(__xludf.DUMMYFUNCTION("""COMPUTED_VALUE"""),"3")</f>
        <v>3</v>
      </c>
      <c r="K5200" s="6" t="str">
        <f>IFERROR(__xludf.DUMMYFUNCTION("""COMPUTED_VALUE"""),"dafne.gomezmoreno@2hourlearning.com")</f>
        <v>dafne.gomezmoreno@2hourlearning.com</v>
      </c>
      <c r="L5200" s="6" t="str">
        <f>IFERROR(__xludf.DUMMYFUNCTION("""COMPUTED_VALUE"""),"JRES - Ridgeland Elementary School")</f>
        <v>JRES - Ridgeland Elementary School</v>
      </c>
      <c r="M5200" s="6" t="str">
        <f>IFERROR(__xludf.DUMMYFUNCTION("""COMPUTED_VALUE"""),"")</f>
        <v/>
      </c>
      <c r="N5200" s="6" t="str">
        <f>IFERROR(__xludf.DUMMYFUNCTION("""COMPUTED_VALUE"""),"")</f>
        <v/>
      </c>
      <c r="O5200" s="87" t="str">
        <f>IFERROR(__xludf.DUMMYFUNCTION("""COMPUTED_VALUE"""),"https://drive.google.com/drive/folders/10T2cTQHqEJZqE-st6uFKPoI?usp=share_link")</f>
        <v>https://drive.google.com/drive/folders/10T2cTQHqEJZqE-st6uFKPoI?usp=share_link</v>
      </c>
      <c r="P5200" s="6" t="str">
        <f>IFERROR(__xludf.DUMMYFUNCTION("""COMPUTED_VALUE"""),"Dafne Gomez Moreno")</f>
        <v>Dafne Gomez Moreno</v>
      </c>
      <c r="Q5200" s="6" t="str">
        <f>IFERROR(__xludf.DUMMYFUNCTION("""COMPUTED_VALUE"""),"L1")</f>
        <v>L1</v>
      </c>
      <c r="R5200" s="6">
        <f>IFERROR(__xludf.DUMMYFUNCTION("""COMPUTED_VALUE"""),1.0)</f>
        <v>1</v>
      </c>
      <c r="S5200" s="6" t="str">
        <f>IFERROR(__xludf.DUMMYFUNCTION("""COMPUTED_VALUE"""),"Kimberly Ball")</f>
        <v>Kimberly Ball</v>
      </c>
      <c r="T5200" s="6" t="str">
        <f>IFERROR(__xludf.DUMMYFUNCTION("""COMPUTED_VALUE"""),"kimberly.ball@studient.com")</f>
        <v>kimberly.ball@studient.com</v>
      </c>
      <c r="U5200" s="6" t="str">
        <f>IFERROR(__xludf.DUMMYFUNCTION("""COMPUTED_VALUE"""),"3")</f>
        <v>3</v>
      </c>
      <c r="V5200" s="6" t="str">
        <f>IFERROR(__xludf.DUMMYFUNCTION("""COMPUTED_VALUE"""),"")</f>
        <v/>
      </c>
      <c r="W5200" s="6" t="str">
        <f>IFERROR(__xludf.DUMMYFUNCTION("""COMPUTED_VALUE"""),"[]")</f>
        <v>[]</v>
      </c>
      <c r="X5200" s="6" t="str">
        <f>IFERROR(__xludf.DUMMYFUNCTION("""COMPUTED_VALUE"""),"Enrolled")</f>
        <v>Enrolled</v>
      </c>
    </row>
    <row r="5201">
      <c r="A5201" s="6" t="str">
        <f>IFERROR(__xludf.DUMMYFUNCTION("""COMPUTED_VALUE"""),"086-12592")</f>
        <v>086-12592</v>
      </c>
      <c r="B5201" s="6" t="str">
        <f>IFERROR(__xludf.DUMMYFUNCTION("""COMPUTED_VALUE"""),"86")</f>
        <v>86</v>
      </c>
      <c r="C5201" s="6" t="str">
        <f>IFERROR(__xludf.DUMMYFUNCTION("""COMPUTED_VALUE"""),"12592")</f>
        <v>12592</v>
      </c>
      <c r="D5201" s="6" t="str">
        <f>IFERROR(__xludf.DUMMYFUNCTION("""COMPUTED_VALUE"""),"Christian")</f>
        <v>Christian</v>
      </c>
      <c r="E5201" s="6" t="str">
        <f>IFERROR(__xludf.DUMMYFUNCTION("""COMPUTED_VALUE"""),"")</f>
        <v/>
      </c>
      <c r="F5201" s="6" t="str">
        <f>IFERROR(__xludf.DUMMYFUNCTION("""COMPUTED_VALUE"""),"Gomez Quiceno")</f>
        <v>Gomez Quiceno</v>
      </c>
      <c r="G5201" s="6" t="str">
        <f>IFERROR(__xludf.DUMMYFUNCTION("""COMPUTED_VALUE"""),"12/08/2017")</f>
        <v>12/08/2017</v>
      </c>
      <c r="H5201" s="6" t="str">
        <f>IFERROR(__xludf.DUMMYFUNCTION("""COMPUTED_VALUE"""),"female")</f>
        <v>female</v>
      </c>
      <c r="I5201" s="6" t="str">
        <f>IFERROR(__xludf.DUMMYFUNCTION("""COMPUTED_VALUE"""),"Level 1")</f>
        <v>Level 1</v>
      </c>
      <c r="J5201" s="6" t="str">
        <f>IFERROR(__xludf.DUMMYFUNCTION("""COMPUTED_VALUE"""),"3")</f>
        <v>3</v>
      </c>
      <c r="K5201" s="6" t="str">
        <f>IFERROR(__xludf.DUMMYFUNCTION("""COMPUTED_VALUE"""),"christian.gomezquiceno@2hourlearning.com")</f>
        <v>christian.gomezquiceno@2hourlearning.com</v>
      </c>
      <c r="L5201" s="6" t="str">
        <f>IFERROR(__xludf.DUMMYFUNCTION("""COMPUTED_VALUE"""),"JRES - Ridgeland Elementary School")</f>
        <v>JRES - Ridgeland Elementary School</v>
      </c>
      <c r="M5201" s="6" t="str">
        <f>IFERROR(__xludf.DUMMYFUNCTION("""COMPUTED_VALUE"""),"")</f>
        <v/>
      </c>
      <c r="N5201" s="6" t="str">
        <f>IFERROR(__xludf.DUMMYFUNCTION("""COMPUTED_VALUE"""),"")</f>
        <v/>
      </c>
      <c r="O5201" s="87" t="str">
        <f>IFERROR(__xludf.DUMMYFUNCTION("""COMPUTED_VALUE"""),"https://drive.google.com/drive/folders/10T2cTQHqEJZqE-st6uFKPoI?usp=share_link")</f>
        <v>https://drive.google.com/drive/folders/10T2cTQHqEJZqE-st6uFKPoI?usp=share_link</v>
      </c>
      <c r="P5201" s="6" t="str">
        <f>IFERROR(__xludf.DUMMYFUNCTION("""COMPUTED_VALUE"""),"Christian Gomez Quiceno")</f>
        <v>Christian Gomez Quiceno</v>
      </c>
      <c r="Q5201" s="6" t="str">
        <f>IFERROR(__xludf.DUMMYFUNCTION("""COMPUTED_VALUE"""),"L1")</f>
        <v>L1</v>
      </c>
      <c r="R5201" s="6">
        <f>IFERROR(__xludf.DUMMYFUNCTION("""COMPUTED_VALUE"""),1.0)</f>
        <v>1</v>
      </c>
      <c r="S5201" s="6" t="str">
        <f>IFERROR(__xludf.DUMMYFUNCTION("""COMPUTED_VALUE"""),"Kimberly Ball")</f>
        <v>Kimberly Ball</v>
      </c>
      <c r="T5201" s="6" t="str">
        <f>IFERROR(__xludf.DUMMYFUNCTION("""COMPUTED_VALUE"""),"kimberly.ball@studient.com")</f>
        <v>kimberly.ball@studient.com</v>
      </c>
      <c r="U5201" s="6" t="str">
        <f>IFERROR(__xludf.DUMMYFUNCTION("""COMPUTED_VALUE"""),"3")</f>
        <v>3</v>
      </c>
      <c r="V5201" s="6" t="str">
        <f>IFERROR(__xludf.DUMMYFUNCTION("""COMPUTED_VALUE"""),"")</f>
        <v/>
      </c>
      <c r="W5201" s="6" t="str">
        <f>IFERROR(__xludf.DUMMYFUNCTION("""COMPUTED_VALUE"""),"[]")</f>
        <v>[]</v>
      </c>
      <c r="X5201" s="6" t="str">
        <f>IFERROR(__xludf.DUMMYFUNCTION("""COMPUTED_VALUE"""),"Enrolled")</f>
        <v>Enrolled</v>
      </c>
    </row>
    <row r="5202">
      <c r="A5202" s="6" t="str">
        <f>IFERROR(__xludf.DUMMYFUNCTION("""COMPUTED_VALUE"""),"086-12593")</f>
        <v>086-12593</v>
      </c>
      <c r="B5202" s="6" t="str">
        <f>IFERROR(__xludf.DUMMYFUNCTION("""COMPUTED_VALUE"""),"86")</f>
        <v>86</v>
      </c>
      <c r="C5202" s="6" t="str">
        <f>IFERROR(__xludf.DUMMYFUNCTION("""COMPUTED_VALUE"""),"12593")</f>
        <v>12593</v>
      </c>
      <c r="D5202" s="6" t="str">
        <f>IFERROR(__xludf.DUMMYFUNCTION("""COMPUTED_VALUE"""),"Emanuel")</f>
        <v>Emanuel</v>
      </c>
      <c r="E5202" s="6" t="str">
        <f>IFERROR(__xludf.DUMMYFUNCTION("""COMPUTED_VALUE"""),"")</f>
        <v/>
      </c>
      <c r="F5202" s="6" t="str">
        <f>IFERROR(__xludf.DUMMYFUNCTION("""COMPUTED_VALUE"""),"Gomez Quiceno")</f>
        <v>Gomez Quiceno</v>
      </c>
      <c r="G5202" s="6" t="str">
        <f>IFERROR(__xludf.DUMMYFUNCTION("""COMPUTED_VALUE"""),"03/08/2017")</f>
        <v>03/08/2017</v>
      </c>
      <c r="H5202" s="6" t="str">
        <f>IFERROR(__xludf.DUMMYFUNCTION("""COMPUTED_VALUE"""),"female")</f>
        <v>female</v>
      </c>
      <c r="I5202" s="6" t="str">
        <f>IFERROR(__xludf.DUMMYFUNCTION("""COMPUTED_VALUE"""),"Level 1")</f>
        <v>Level 1</v>
      </c>
      <c r="J5202" s="6" t="str">
        <f>IFERROR(__xludf.DUMMYFUNCTION("""COMPUTED_VALUE"""),"3")</f>
        <v>3</v>
      </c>
      <c r="K5202" s="6" t="str">
        <f>IFERROR(__xludf.DUMMYFUNCTION("""COMPUTED_VALUE"""),"emanuel.gomezquiceno@2hourlearning.com")</f>
        <v>emanuel.gomezquiceno@2hourlearning.com</v>
      </c>
      <c r="L5202" s="6" t="str">
        <f>IFERROR(__xludf.DUMMYFUNCTION("""COMPUTED_VALUE"""),"JRES - Ridgeland Elementary School")</f>
        <v>JRES - Ridgeland Elementary School</v>
      </c>
      <c r="M5202" s="6" t="str">
        <f>IFERROR(__xludf.DUMMYFUNCTION("""COMPUTED_VALUE"""),"")</f>
        <v/>
      </c>
      <c r="N5202" s="6" t="str">
        <f>IFERROR(__xludf.DUMMYFUNCTION("""COMPUTED_VALUE"""),"")</f>
        <v/>
      </c>
      <c r="O5202" s="87" t="str">
        <f>IFERROR(__xludf.DUMMYFUNCTION("""COMPUTED_VALUE"""),"https://drive.google.com/drive/folders/10T2cTQHqEJZqE-st6uFKPoI?usp=share_link")</f>
        <v>https://drive.google.com/drive/folders/10T2cTQHqEJZqE-st6uFKPoI?usp=share_link</v>
      </c>
      <c r="P5202" s="6" t="str">
        <f>IFERROR(__xludf.DUMMYFUNCTION("""COMPUTED_VALUE"""),"Emanuel Gomez Quiceno")</f>
        <v>Emanuel Gomez Quiceno</v>
      </c>
      <c r="Q5202" s="6" t="str">
        <f>IFERROR(__xludf.DUMMYFUNCTION("""COMPUTED_VALUE"""),"L1")</f>
        <v>L1</v>
      </c>
      <c r="R5202" s="6">
        <f>IFERROR(__xludf.DUMMYFUNCTION("""COMPUTED_VALUE"""),1.0)</f>
        <v>1</v>
      </c>
      <c r="S5202" s="6" t="str">
        <f>IFERROR(__xludf.DUMMYFUNCTION("""COMPUTED_VALUE"""),"Kimberly Ball")</f>
        <v>Kimberly Ball</v>
      </c>
      <c r="T5202" s="6" t="str">
        <f>IFERROR(__xludf.DUMMYFUNCTION("""COMPUTED_VALUE"""),"kimberly.ball@studient.com")</f>
        <v>kimberly.ball@studient.com</v>
      </c>
      <c r="U5202" s="6" t="str">
        <f>IFERROR(__xludf.DUMMYFUNCTION("""COMPUTED_VALUE"""),"3")</f>
        <v>3</v>
      </c>
      <c r="V5202" s="6" t="str">
        <f>IFERROR(__xludf.DUMMYFUNCTION("""COMPUTED_VALUE"""),"")</f>
        <v/>
      </c>
      <c r="W5202" s="6" t="str">
        <f>IFERROR(__xludf.DUMMYFUNCTION("""COMPUTED_VALUE"""),"[]")</f>
        <v>[]</v>
      </c>
      <c r="X5202" s="6" t="str">
        <f>IFERROR(__xludf.DUMMYFUNCTION("""COMPUTED_VALUE"""),"Enrolled")</f>
        <v>Enrolled</v>
      </c>
    </row>
    <row r="5203">
      <c r="A5203" s="6" t="str">
        <f>IFERROR(__xludf.DUMMYFUNCTION("""COMPUTED_VALUE"""),"086-12594")</f>
        <v>086-12594</v>
      </c>
      <c r="B5203" s="6" t="str">
        <f>IFERROR(__xludf.DUMMYFUNCTION("""COMPUTED_VALUE"""),"86")</f>
        <v>86</v>
      </c>
      <c r="C5203" s="6" t="str">
        <f>IFERROR(__xludf.DUMMYFUNCTION("""COMPUTED_VALUE"""),"12594")</f>
        <v>12594</v>
      </c>
      <c r="D5203" s="6" t="str">
        <f>IFERROR(__xludf.DUMMYFUNCTION("""COMPUTED_VALUE"""),"Chris")</f>
        <v>Chris</v>
      </c>
      <c r="E5203" s="6" t="str">
        <f>IFERROR(__xludf.DUMMYFUNCTION("""COMPUTED_VALUE"""),"")</f>
        <v/>
      </c>
      <c r="F5203" s="6" t="str">
        <f>IFERROR(__xludf.DUMMYFUNCTION("""COMPUTED_VALUE"""),"Gomez Reyes")</f>
        <v>Gomez Reyes</v>
      </c>
      <c r="G5203" s="6" t="str">
        <f>IFERROR(__xludf.DUMMYFUNCTION("""COMPUTED_VALUE"""),"01/02/2015")</f>
        <v>01/02/2015</v>
      </c>
      <c r="H5203" s="6" t="str">
        <f>IFERROR(__xludf.DUMMYFUNCTION("""COMPUTED_VALUE"""),"male")</f>
        <v>male</v>
      </c>
      <c r="I5203" s="6" t="str">
        <f>IFERROR(__xludf.DUMMYFUNCTION("""COMPUTED_VALUE"""),"Level 1")</f>
        <v>Level 1</v>
      </c>
      <c r="J5203" s="6" t="str">
        <f>IFERROR(__xludf.DUMMYFUNCTION("""COMPUTED_VALUE"""),"3")</f>
        <v>3</v>
      </c>
      <c r="K5203" s="6" t="str">
        <f>IFERROR(__xludf.DUMMYFUNCTION("""COMPUTED_VALUE"""),"chris.gomezreyes@2hourlearning.com")</f>
        <v>chris.gomezreyes@2hourlearning.com</v>
      </c>
      <c r="L5203" s="6" t="str">
        <f>IFERROR(__xludf.DUMMYFUNCTION("""COMPUTED_VALUE"""),"JRES - Ridgeland Elementary School")</f>
        <v>JRES - Ridgeland Elementary School</v>
      </c>
      <c r="M5203" s="6" t="str">
        <f>IFERROR(__xludf.DUMMYFUNCTION("""COMPUTED_VALUE"""),"")</f>
        <v/>
      </c>
      <c r="N5203" s="6" t="str">
        <f>IFERROR(__xludf.DUMMYFUNCTION("""COMPUTED_VALUE"""),"")</f>
        <v/>
      </c>
      <c r="O5203" s="87" t="str">
        <f>IFERROR(__xludf.DUMMYFUNCTION("""COMPUTED_VALUE"""),"https://drive.google.com/drive/folders/10T2cTQHqEJZqE-st6uFKPoI?usp=share_link")</f>
        <v>https://drive.google.com/drive/folders/10T2cTQHqEJZqE-st6uFKPoI?usp=share_link</v>
      </c>
      <c r="P5203" s="6" t="str">
        <f>IFERROR(__xludf.DUMMYFUNCTION("""COMPUTED_VALUE"""),"Chris Gomez Reyes")</f>
        <v>Chris Gomez Reyes</v>
      </c>
      <c r="Q5203" s="6" t="str">
        <f>IFERROR(__xludf.DUMMYFUNCTION("""COMPUTED_VALUE"""),"L1")</f>
        <v>L1</v>
      </c>
      <c r="R5203" s="6">
        <f>IFERROR(__xludf.DUMMYFUNCTION("""COMPUTED_VALUE"""),1.0)</f>
        <v>1</v>
      </c>
      <c r="S5203" s="6" t="str">
        <f>IFERROR(__xludf.DUMMYFUNCTION("""COMPUTED_VALUE"""),"Kimberly Ball")</f>
        <v>Kimberly Ball</v>
      </c>
      <c r="T5203" s="6" t="str">
        <f>IFERROR(__xludf.DUMMYFUNCTION("""COMPUTED_VALUE"""),"kimberly.ball@studient.com")</f>
        <v>kimberly.ball@studient.com</v>
      </c>
      <c r="U5203" s="6" t="str">
        <f>IFERROR(__xludf.DUMMYFUNCTION("""COMPUTED_VALUE"""),"3")</f>
        <v>3</v>
      </c>
      <c r="V5203" s="6" t="str">
        <f>IFERROR(__xludf.DUMMYFUNCTION("""COMPUTED_VALUE"""),"")</f>
        <v/>
      </c>
      <c r="W5203" s="6" t="str">
        <f>IFERROR(__xludf.DUMMYFUNCTION("""COMPUTED_VALUE"""),"[]")</f>
        <v>[]</v>
      </c>
      <c r="X5203" s="6" t="str">
        <f>IFERROR(__xludf.DUMMYFUNCTION("""COMPUTED_VALUE"""),"Enrolled")</f>
        <v>Enrolled</v>
      </c>
    </row>
    <row r="5204">
      <c r="A5204" s="6" t="str">
        <f>IFERROR(__xludf.DUMMYFUNCTION("""COMPUTED_VALUE"""),"086-12595")</f>
        <v>086-12595</v>
      </c>
      <c r="B5204" s="6" t="str">
        <f>IFERROR(__xludf.DUMMYFUNCTION("""COMPUTED_VALUE"""),"86")</f>
        <v>86</v>
      </c>
      <c r="C5204" s="6" t="str">
        <f>IFERROR(__xludf.DUMMYFUNCTION("""COMPUTED_VALUE"""),"12595")</f>
        <v>12595</v>
      </c>
      <c r="D5204" s="6" t="str">
        <f>IFERROR(__xludf.DUMMYFUNCTION("""COMPUTED_VALUE"""),"Fernando")</f>
        <v>Fernando</v>
      </c>
      <c r="E5204" s="6" t="str">
        <f>IFERROR(__xludf.DUMMYFUNCTION("""COMPUTED_VALUE"""),"")</f>
        <v/>
      </c>
      <c r="F5204" s="6" t="str">
        <f>IFERROR(__xludf.DUMMYFUNCTION("""COMPUTED_VALUE"""),"Gomez Reyna")</f>
        <v>Gomez Reyna</v>
      </c>
      <c r="G5204" s="6" t="str">
        <f>IFERROR(__xludf.DUMMYFUNCTION("""COMPUTED_VALUE"""),"03/05/2017")</f>
        <v>03/05/2017</v>
      </c>
      <c r="H5204" s="6" t="str">
        <f>IFERROR(__xludf.DUMMYFUNCTION("""COMPUTED_VALUE"""),"female")</f>
        <v>female</v>
      </c>
      <c r="I5204" s="6" t="str">
        <f>IFERROR(__xludf.DUMMYFUNCTION("""COMPUTED_VALUE"""),"Level 1")</f>
        <v>Level 1</v>
      </c>
      <c r="J5204" s="6" t="str">
        <f>IFERROR(__xludf.DUMMYFUNCTION("""COMPUTED_VALUE"""),"3")</f>
        <v>3</v>
      </c>
      <c r="K5204" s="6" t="str">
        <f>IFERROR(__xludf.DUMMYFUNCTION("""COMPUTED_VALUE"""),"fernando.gomezreyna@2hourlearning.com")</f>
        <v>fernando.gomezreyna@2hourlearning.com</v>
      </c>
      <c r="L5204" s="6" t="str">
        <f>IFERROR(__xludf.DUMMYFUNCTION("""COMPUTED_VALUE"""),"JRES - Ridgeland Elementary School")</f>
        <v>JRES - Ridgeland Elementary School</v>
      </c>
      <c r="M5204" s="6" t="str">
        <f>IFERROR(__xludf.DUMMYFUNCTION("""COMPUTED_VALUE"""),"")</f>
        <v/>
      </c>
      <c r="N5204" s="6" t="str">
        <f>IFERROR(__xludf.DUMMYFUNCTION("""COMPUTED_VALUE"""),"")</f>
        <v/>
      </c>
      <c r="O5204" s="87" t="str">
        <f>IFERROR(__xludf.DUMMYFUNCTION("""COMPUTED_VALUE"""),"https://drive.google.com/drive/folders/10T2cTQHqEJZqE-st6uFKPoI?usp=share_link")</f>
        <v>https://drive.google.com/drive/folders/10T2cTQHqEJZqE-st6uFKPoI?usp=share_link</v>
      </c>
      <c r="P5204" s="6" t="str">
        <f>IFERROR(__xludf.DUMMYFUNCTION("""COMPUTED_VALUE"""),"Fernando Gomez Reyna")</f>
        <v>Fernando Gomez Reyna</v>
      </c>
      <c r="Q5204" s="6" t="str">
        <f>IFERROR(__xludf.DUMMYFUNCTION("""COMPUTED_VALUE"""),"L1")</f>
        <v>L1</v>
      </c>
      <c r="R5204" s="6">
        <f>IFERROR(__xludf.DUMMYFUNCTION("""COMPUTED_VALUE"""),1.0)</f>
        <v>1</v>
      </c>
      <c r="S5204" s="6" t="str">
        <f>IFERROR(__xludf.DUMMYFUNCTION("""COMPUTED_VALUE"""),"Kimberly Ball")</f>
        <v>Kimberly Ball</v>
      </c>
      <c r="T5204" s="6" t="str">
        <f>IFERROR(__xludf.DUMMYFUNCTION("""COMPUTED_VALUE"""),"kimberly.ball@studient.com")</f>
        <v>kimberly.ball@studient.com</v>
      </c>
      <c r="U5204" s="6" t="str">
        <f>IFERROR(__xludf.DUMMYFUNCTION("""COMPUTED_VALUE"""),"3")</f>
        <v>3</v>
      </c>
      <c r="V5204" s="6" t="str">
        <f>IFERROR(__xludf.DUMMYFUNCTION("""COMPUTED_VALUE"""),"")</f>
        <v/>
      </c>
      <c r="W5204" s="6" t="str">
        <f>IFERROR(__xludf.DUMMYFUNCTION("""COMPUTED_VALUE"""),"[]")</f>
        <v>[]</v>
      </c>
      <c r="X5204" s="6" t="str">
        <f>IFERROR(__xludf.DUMMYFUNCTION("""COMPUTED_VALUE"""),"Enrolled")</f>
        <v>Enrolled</v>
      </c>
    </row>
    <row r="5205">
      <c r="A5205" s="6" t="str">
        <f>IFERROR(__xludf.DUMMYFUNCTION("""COMPUTED_VALUE"""),"086-12596")</f>
        <v>086-12596</v>
      </c>
      <c r="B5205" s="6" t="str">
        <f>IFERROR(__xludf.DUMMYFUNCTION("""COMPUTED_VALUE"""),"86")</f>
        <v>86</v>
      </c>
      <c r="C5205" s="6" t="str">
        <f>IFERROR(__xludf.DUMMYFUNCTION("""COMPUTED_VALUE"""),"12596")</f>
        <v>12596</v>
      </c>
      <c r="D5205" s="6" t="str">
        <f>IFERROR(__xludf.DUMMYFUNCTION("""COMPUTED_VALUE"""),"Rolfi")</f>
        <v>Rolfi</v>
      </c>
      <c r="E5205" s="6" t="str">
        <f>IFERROR(__xludf.DUMMYFUNCTION("""COMPUTED_VALUE"""),"")</f>
        <v/>
      </c>
      <c r="F5205" s="6" t="str">
        <f>IFERROR(__xludf.DUMMYFUNCTION("""COMPUTED_VALUE"""),"Gonzalez")</f>
        <v>Gonzalez</v>
      </c>
      <c r="G5205" s="6" t="str">
        <f>IFERROR(__xludf.DUMMYFUNCTION("""COMPUTED_VALUE"""),"06/02/2017")</f>
        <v>06/02/2017</v>
      </c>
      <c r="H5205" s="6" t="str">
        <f>IFERROR(__xludf.DUMMYFUNCTION("""COMPUTED_VALUE"""),"male")</f>
        <v>male</v>
      </c>
      <c r="I5205" s="6" t="str">
        <f>IFERROR(__xludf.DUMMYFUNCTION("""COMPUTED_VALUE"""),"Level 1")</f>
        <v>Level 1</v>
      </c>
      <c r="J5205" s="6" t="str">
        <f>IFERROR(__xludf.DUMMYFUNCTION("""COMPUTED_VALUE"""),"3")</f>
        <v>3</v>
      </c>
      <c r="K5205" s="6" t="str">
        <f>IFERROR(__xludf.DUMMYFUNCTION("""COMPUTED_VALUE"""),"rolfi.gonzalez@2hourlearning.com")</f>
        <v>rolfi.gonzalez@2hourlearning.com</v>
      </c>
      <c r="L5205" s="6" t="str">
        <f>IFERROR(__xludf.DUMMYFUNCTION("""COMPUTED_VALUE"""),"JRES - Ridgeland Elementary School")</f>
        <v>JRES - Ridgeland Elementary School</v>
      </c>
      <c r="M5205" s="6" t="str">
        <f>IFERROR(__xludf.DUMMYFUNCTION("""COMPUTED_VALUE"""),"")</f>
        <v/>
      </c>
      <c r="N5205" s="6" t="str">
        <f>IFERROR(__xludf.DUMMYFUNCTION("""COMPUTED_VALUE"""),"")</f>
        <v/>
      </c>
      <c r="O5205" s="87" t="str">
        <f>IFERROR(__xludf.DUMMYFUNCTION("""COMPUTED_VALUE"""),"https://drive.google.com/drive/folders/10T2cTQHqEJZqE-st6uFKPoI?usp=share_link")</f>
        <v>https://drive.google.com/drive/folders/10T2cTQHqEJZqE-st6uFKPoI?usp=share_link</v>
      </c>
      <c r="P5205" s="6" t="str">
        <f>IFERROR(__xludf.DUMMYFUNCTION("""COMPUTED_VALUE"""),"Rolfi Gonzalez")</f>
        <v>Rolfi Gonzalez</v>
      </c>
      <c r="Q5205" s="6" t="str">
        <f>IFERROR(__xludf.DUMMYFUNCTION("""COMPUTED_VALUE"""),"L1")</f>
        <v>L1</v>
      </c>
      <c r="R5205" s="6">
        <f>IFERROR(__xludf.DUMMYFUNCTION("""COMPUTED_VALUE"""),1.0)</f>
        <v>1</v>
      </c>
      <c r="S5205" s="6" t="str">
        <f>IFERROR(__xludf.DUMMYFUNCTION("""COMPUTED_VALUE"""),"Kimberly Ball")</f>
        <v>Kimberly Ball</v>
      </c>
      <c r="T5205" s="6" t="str">
        <f>IFERROR(__xludf.DUMMYFUNCTION("""COMPUTED_VALUE"""),"kimberly.ball@studient.com")</f>
        <v>kimberly.ball@studient.com</v>
      </c>
      <c r="U5205" s="6" t="str">
        <f>IFERROR(__xludf.DUMMYFUNCTION("""COMPUTED_VALUE"""),"3")</f>
        <v>3</v>
      </c>
      <c r="V5205" s="6" t="str">
        <f>IFERROR(__xludf.DUMMYFUNCTION("""COMPUTED_VALUE"""),"")</f>
        <v/>
      </c>
      <c r="W5205" s="6" t="str">
        <f>IFERROR(__xludf.DUMMYFUNCTION("""COMPUTED_VALUE"""),"[]")</f>
        <v>[]</v>
      </c>
      <c r="X5205" s="6" t="str">
        <f>IFERROR(__xludf.DUMMYFUNCTION("""COMPUTED_VALUE"""),"Enrolled")</f>
        <v>Enrolled</v>
      </c>
    </row>
    <row r="5206">
      <c r="A5206" s="6" t="str">
        <f>IFERROR(__xludf.DUMMYFUNCTION("""COMPUTED_VALUE"""),"086-12597")</f>
        <v>086-12597</v>
      </c>
      <c r="B5206" s="6" t="str">
        <f>IFERROR(__xludf.DUMMYFUNCTION("""COMPUTED_VALUE"""),"86")</f>
        <v>86</v>
      </c>
      <c r="C5206" s="6" t="str">
        <f>IFERROR(__xludf.DUMMYFUNCTION("""COMPUTED_VALUE"""),"12597")</f>
        <v>12597</v>
      </c>
      <c r="D5206" s="6" t="str">
        <f>IFERROR(__xludf.DUMMYFUNCTION("""COMPUTED_VALUE"""),"Mateo")</f>
        <v>Mateo</v>
      </c>
      <c r="E5206" s="6" t="str">
        <f>IFERROR(__xludf.DUMMYFUNCTION("""COMPUTED_VALUE"""),"")</f>
        <v/>
      </c>
      <c r="F5206" s="6" t="str">
        <f>IFERROR(__xludf.DUMMYFUNCTION("""COMPUTED_VALUE"""),"Gonzalez Jimenez")</f>
        <v>Gonzalez Jimenez</v>
      </c>
      <c r="G5206" s="6" t="str">
        <f>IFERROR(__xludf.DUMMYFUNCTION("""COMPUTED_VALUE"""),"08/21/2017")</f>
        <v>08/21/2017</v>
      </c>
      <c r="H5206" s="6" t="str">
        <f>IFERROR(__xludf.DUMMYFUNCTION("""COMPUTED_VALUE"""),"male")</f>
        <v>male</v>
      </c>
      <c r="I5206" s="6" t="str">
        <f>IFERROR(__xludf.DUMMYFUNCTION("""COMPUTED_VALUE"""),"Level 1")</f>
        <v>Level 1</v>
      </c>
      <c r="J5206" s="6" t="str">
        <f>IFERROR(__xludf.DUMMYFUNCTION("""COMPUTED_VALUE"""),"3")</f>
        <v>3</v>
      </c>
      <c r="K5206" s="6" t="str">
        <f>IFERROR(__xludf.DUMMYFUNCTION("""COMPUTED_VALUE"""),"mateo.gonzalezjimenez@2hourlearning.com")</f>
        <v>mateo.gonzalezjimenez@2hourlearning.com</v>
      </c>
      <c r="L5206" s="6" t="str">
        <f>IFERROR(__xludf.DUMMYFUNCTION("""COMPUTED_VALUE"""),"JRES - Ridgeland Elementary School")</f>
        <v>JRES - Ridgeland Elementary School</v>
      </c>
      <c r="M5206" s="6" t="str">
        <f>IFERROR(__xludf.DUMMYFUNCTION("""COMPUTED_VALUE"""),"")</f>
        <v/>
      </c>
      <c r="N5206" s="6" t="str">
        <f>IFERROR(__xludf.DUMMYFUNCTION("""COMPUTED_VALUE"""),"")</f>
        <v/>
      </c>
      <c r="O5206" s="87" t="str">
        <f>IFERROR(__xludf.DUMMYFUNCTION("""COMPUTED_VALUE"""),"https://drive.google.com/drive/folders/10T2cTQHqEJZqE-st6uFKPoI?usp=share_link")</f>
        <v>https://drive.google.com/drive/folders/10T2cTQHqEJZqE-st6uFKPoI?usp=share_link</v>
      </c>
      <c r="P5206" s="6" t="str">
        <f>IFERROR(__xludf.DUMMYFUNCTION("""COMPUTED_VALUE"""),"Mateo Gonzalez Jimenez")</f>
        <v>Mateo Gonzalez Jimenez</v>
      </c>
      <c r="Q5206" s="6" t="str">
        <f>IFERROR(__xludf.DUMMYFUNCTION("""COMPUTED_VALUE"""),"L1")</f>
        <v>L1</v>
      </c>
      <c r="R5206" s="6">
        <f>IFERROR(__xludf.DUMMYFUNCTION("""COMPUTED_VALUE"""),1.0)</f>
        <v>1</v>
      </c>
      <c r="S5206" s="6" t="str">
        <f>IFERROR(__xludf.DUMMYFUNCTION("""COMPUTED_VALUE"""),"Kimberly Ball")</f>
        <v>Kimberly Ball</v>
      </c>
      <c r="T5206" s="6" t="str">
        <f>IFERROR(__xludf.DUMMYFUNCTION("""COMPUTED_VALUE"""),"kimberly.ball@studient.com")</f>
        <v>kimberly.ball@studient.com</v>
      </c>
      <c r="U5206" s="6" t="str">
        <f>IFERROR(__xludf.DUMMYFUNCTION("""COMPUTED_VALUE"""),"3")</f>
        <v>3</v>
      </c>
      <c r="V5206" s="6" t="str">
        <f>IFERROR(__xludf.DUMMYFUNCTION("""COMPUTED_VALUE"""),"")</f>
        <v/>
      </c>
      <c r="W5206" s="6" t="str">
        <f>IFERROR(__xludf.DUMMYFUNCTION("""COMPUTED_VALUE"""),"[]")</f>
        <v>[]</v>
      </c>
      <c r="X5206" s="6" t="str">
        <f>IFERROR(__xludf.DUMMYFUNCTION("""COMPUTED_VALUE"""),"Enrolled")</f>
        <v>Enrolled</v>
      </c>
    </row>
    <row r="5207">
      <c r="A5207" s="6" t="str">
        <f>IFERROR(__xludf.DUMMYFUNCTION("""COMPUTED_VALUE"""),"086-12598")</f>
        <v>086-12598</v>
      </c>
      <c r="B5207" s="6" t="str">
        <f>IFERROR(__xludf.DUMMYFUNCTION("""COMPUTED_VALUE"""),"86")</f>
        <v>86</v>
      </c>
      <c r="C5207" s="6" t="str">
        <f>IFERROR(__xludf.DUMMYFUNCTION("""COMPUTED_VALUE"""),"12598")</f>
        <v>12598</v>
      </c>
      <c r="D5207" s="6" t="str">
        <f>IFERROR(__xludf.DUMMYFUNCTION("""COMPUTED_VALUE"""),"Victor")</f>
        <v>Victor</v>
      </c>
      <c r="E5207" s="6" t="str">
        <f>IFERROR(__xludf.DUMMYFUNCTION("""COMPUTED_VALUE"""),"")</f>
        <v/>
      </c>
      <c r="F5207" s="6" t="str">
        <f>IFERROR(__xludf.DUMMYFUNCTION("""COMPUTED_VALUE"""),"Gonzalez Lopez")</f>
        <v>Gonzalez Lopez</v>
      </c>
      <c r="G5207" s="6" t="str">
        <f>IFERROR(__xludf.DUMMYFUNCTION("""COMPUTED_VALUE"""),"11/30/2016")</f>
        <v>11/30/2016</v>
      </c>
      <c r="H5207" s="6" t="str">
        <f>IFERROR(__xludf.DUMMYFUNCTION("""COMPUTED_VALUE"""),"male")</f>
        <v>male</v>
      </c>
      <c r="I5207" s="6" t="str">
        <f>IFERROR(__xludf.DUMMYFUNCTION("""COMPUTED_VALUE"""),"Level 1")</f>
        <v>Level 1</v>
      </c>
      <c r="J5207" s="6" t="str">
        <f>IFERROR(__xludf.DUMMYFUNCTION("""COMPUTED_VALUE"""),"3")</f>
        <v>3</v>
      </c>
      <c r="K5207" s="6" t="str">
        <f>IFERROR(__xludf.DUMMYFUNCTION("""COMPUTED_VALUE"""),"victor.gonzalezlopez@2hourlearning.com")</f>
        <v>victor.gonzalezlopez@2hourlearning.com</v>
      </c>
      <c r="L5207" s="6" t="str">
        <f>IFERROR(__xludf.DUMMYFUNCTION("""COMPUTED_VALUE"""),"JRES - Ridgeland Elementary School")</f>
        <v>JRES - Ridgeland Elementary School</v>
      </c>
      <c r="M5207" s="6" t="str">
        <f>IFERROR(__xludf.DUMMYFUNCTION("""COMPUTED_VALUE"""),"")</f>
        <v/>
      </c>
      <c r="N5207" s="6" t="str">
        <f>IFERROR(__xludf.DUMMYFUNCTION("""COMPUTED_VALUE"""),"")</f>
        <v/>
      </c>
      <c r="O5207" s="87" t="str">
        <f>IFERROR(__xludf.DUMMYFUNCTION("""COMPUTED_VALUE"""),"https://drive.google.com/drive/folders/10T2cTQHqEJZqE-st6uFKPoI?usp=share_link")</f>
        <v>https://drive.google.com/drive/folders/10T2cTQHqEJZqE-st6uFKPoI?usp=share_link</v>
      </c>
      <c r="P5207" s="6" t="str">
        <f>IFERROR(__xludf.DUMMYFUNCTION("""COMPUTED_VALUE"""),"Victor Gonzalez Lopez")</f>
        <v>Victor Gonzalez Lopez</v>
      </c>
      <c r="Q5207" s="6" t="str">
        <f>IFERROR(__xludf.DUMMYFUNCTION("""COMPUTED_VALUE"""),"L1")</f>
        <v>L1</v>
      </c>
      <c r="R5207" s="6">
        <f>IFERROR(__xludf.DUMMYFUNCTION("""COMPUTED_VALUE"""),1.0)</f>
        <v>1</v>
      </c>
      <c r="S5207" s="6" t="str">
        <f>IFERROR(__xludf.DUMMYFUNCTION("""COMPUTED_VALUE"""),"Kimberly Ball")</f>
        <v>Kimberly Ball</v>
      </c>
      <c r="T5207" s="6" t="str">
        <f>IFERROR(__xludf.DUMMYFUNCTION("""COMPUTED_VALUE"""),"kimberly.ball@studient.com")</f>
        <v>kimberly.ball@studient.com</v>
      </c>
      <c r="U5207" s="6" t="str">
        <f>IFERROR(__xludf.DUMMYFUNCTION("""COMPUTED_VALUE"""),"3")</f>
        <v>3</v>
      </c>
      <c r="V5207" s="6" t="str">
        <f>IFERROR(__xludf.DUMMYFUNCTION("""COMPUTED_VALUE"""),"")</f>
        <v/>
      </c>
      <c r="W5207" s="6" t="str">
        <f>IFERROR(__xludf.DUMMYFUNCTION("""COMPUTED_VALUE"""),"[]")</f>
        <v>[]</v>
      </c>
      <c r="X5207" s="6" t="str">
        <f>IFERROR(__xludf.DUMMYFUNCTION("""COMPUTED_VALUE"""),"Enrolled")</f>
        <v>Enrolled</v>
      </c>
    </row>
    <row r="5208">
      <c r="A5208" s="6" t="str">
        <f>IFERROR(__xludf.DUMMYFUNCTION("""COMPUTED_VALUE"""),"086-12599")</f>
        <v>086-12599</v>
      </c>
      <c r="B5208" s="6" t="str">
        <f>IFERROR(__xludf.DUMMYFUNCTION("""COMPUTED_VALUE"""),"86")</f>
        <v>86</v>
      </c>
      <c r="C5208" s="6" t="str">
        <f>IFERROR(__xludf.DUMMYFUNCTION("""COMPUTED_VALUE"""),"12599")</f>
        <v>12599</v>
      </c>
      <c r="D5208" s="6" t="str">
        <f>IFERROR(__xludf.DUMMYFUNCTION("""COMPUTED_VALUE"""),"Aleona")</f>
        <v>Aleona</v>
      </c>
      <c r="E5208" s="6" t="str">
        <f>IFERROR(__xludf.DUMMYFUNCTION("""COMPUTED_VALUE"""),"")</f>
        <v/>
      </c>
      <c r="F5208" s="6" t="str">
        <f>IFERROR(__xludf.DUMMYFUNCTION("""COMPUTED_VALUE"""),"Greene")</f>
        <v>Greene</v>
      </c>
      <c r="G5208" s="6" t="str">
        <f>IFERROR(__xludf.DUMMYFUNCTION("""COMPUTED_VALUE"""),"07/24/2018")</f>
        <v>07/24/2018</v>
      </c>
      <c r="H5208" s="6" t="str">
        <f>IFERROR(__xludf.DUMMYFUNCTION("""COMPUTED_VALUE"""),"female")</f>
        <v>female</v>
      </c>
      <c r="I5208" s="6" t="str">
        <f>IFERROR(__xludf.DUMMYFUNCTION("""COMPUTED_VALUE"""),"Level 1")</f>
        <v>Level 1</v>
      </c>
      <c r="J5208" s="6" t="str">
        <f>IFERROR(__xludf.DUMMYFUNCTION("""COMPUTED_VALUE"""),"3")</f>
        <v>3</v>
      </c>
      <c r="K5208" s="6" t="str">
        <f>IFERROR(__xludf.DUMMYFUNCTION("""COMPUTED_VALUE"""),"aleona.greene@2hourlearning.com")</f>
        <v>aleona.greene@2hourlearning.com</v>
      </c>
      <c r="L5208" s="6" t="str">
        <f>IFERROR(__xludf.DUMMYFUNCTION("""COMPUTED_VALUE"""),"JRES - Ridgeland Elementary School")</f>
        <v>JRES - Ridgeland Elementary School</v>
      </c>
      <c r="M5208" s="6" t="str">
        <f>IFERROR(__xludf.DUMMYFUNCTION("""COMPUTED_VALUE"""),"")</f>
        <v/>
      </c>
      <c r="N5208" s="6" t="str">
        <f>IFERROR(__xludf.DUMMYFUNCTION("""COMPUTED_VALUE"""),"")</f>
        <v/>
      </c>
      <c r="O5208" s="87" t="str">
        <f>IFERROR(__xludf.DUMMYFUNCTION("""COMPUTED_VALUE"""),"https://drive.google.com/drive/folders/10T2cTQHqEJZqE-st6uFKPoI?usp=share_link")</f>
        <v>https://drive.google.com/drive/folders/10T2cTQHqEJZqE-st6uFKPoI?usp=share_link</v>
      </c>
      <c r="P5208" s="6" t="str">
        <f>IFERROR(__xludf.DUMMYFUNCTION("""COMPUTED_VALUE"""),"Aleona Greene")</f>
        <v>Aleona Greene</v>
      </c>
      <c r="Q5208" s="6" t="str">
        <f>IFERROR(__xludf.DUMMYFUNCTION("""COMPUTED_VALUE"""),"L1")</f>
        <v>L1</v>
      </c>
      <c r="R5208" s="6">
        <f>IFERROR(__xludf.DUMMYFUNCTION("""COMPUTED_VALUE"""),1.0)</f>
        <v>1</v>
      </c>
      <c r="S5208" s="6" t="str">
        <f>IFERROR(__xludf.DUMMYFUNCTION("""COMPUTED_VALUE"""),"Kimberly Ball")</f>
        <v>Kimberly Ball</v>
      </c>
      <c r="T5208" s="6" t="str">
        <f>IFERROR(__xludf.DUMMYFUNCTION("""COMPUTED_VALUE"""),"kimberly.ball@studient.com")</f>
        <v>kimberly.ball@studient.com</v>
      </c>
      <c r="U5208" s="6" t="str">
        <f>IFERROR(__xludf.DUMMYFUNCTION("""COMPUTED_VALUE"""),"3")</f>
        <v>3</v>
      </c>
      <c r="V5208" s="6" t="str">
        <f>IFERROR(__xludf.DUMMYFUNCTION("""COMPUTED_VALUE"""),"")</f>
        <v/>
      </c>
      <c r="W5208" s="6" t="str">
        <f>IFERROR(__xludf.DUMMYFUNCTION("""COMPUTED_VALUE"""),"[]")</f>
        <v>[]</v>
      </c>
      <c r="X5208" s="6" t="str">
        <f>IFERROR(__xludf.DUMMYFUNCTION("""COMPUTED_VALUE"""),"Enrolled")</f>
        <v>Enrolled</v>
      </c>
    </row>
    <row r="5209">
      <c r="A5209" s="6" t="str">
        <f>IFERROR(__xludf.DUMMYFUNCTION("""COMPUTED_VALUE"""),"086-12600")</f>
        <v>086-12600</v>
      </c>
      <c r="B5209" s="6" t="str">
        <f>IFERROR(__xludf.DUMMYFUNCTION("""COMPUTED_VALUE"""),"86")</f>
        <v>86</v>
      </c>
      <c r="C5209" s="6" t="str">
        <f>IFERROR(__xludf.DUMMYFUNCTION("""COMPUTED_VALUE"""),"12600")</f>
        <v>12600</v>
      </c>
      <c r="D5209" s="6" t="str">
        <f>IFERROR(__xludf.DUMMYFUNCTION("""COMPUTED_VALUE"""),"De'Ondre")</f>
        <v>De'Ondre</v>
      </c>
      <c r="E5209" s="6" t="str">
        <f>IFERROR(__xludf.DUMMYFUNCTION("""COMPUTED_VALUE"""),"")</f>
        <v/>
      </c>
      <c r="F5209" s="6" t="str">
        <f>IFERROR(__xludf.DUMMYFUNCTION("""COMPUTED_VALUE"""),"Halsey")</f>
        <v>Halsey</v>
      </c>
      <c r="G5209" s="6" t="str">
        <f>IFERROR(__xludf.DUMMYFUNCTION("""COMPUTED_VALUE"""),"01/11/2016")</f>
        <v>01/11/2016</v>
      </c>
      <c r="H5209" s="6" t="str">
        <f>IFERROR(__xludf.DUMMYFUNCTION("""COMPUTED_VALUE"""),"female")</f>
        <v>female</v>
      </c>
      <c r="I5209" s="6" t="str">
        <f>IFERROR(__xludf.DUMMYFUNCTION("""COMPUTED_VALUE"""),"Level 1")</f>
        <v>Level 1</v>
      </c>
      <c r="J5209" s="6" t="str">
        <f>IFERROR(__xludf.DUMMYFUNCTION("""COMPUTED_VALUE"""),"3")</f>
        <v>3</v>
      </c>
      <c r="K5209" s="6" t="str">
        <f>IFERROR(__xludf.DUMMYFUNCTION("""COMPUTED_VALUE"""),"deondre.halsey@2hourlearning.com")</f>
        <v>deondre.halsey@2hourlearning.com</v>
      </c>
      <c r="L5209" s="6" t="str">
        <f>IFERROR(__xludf.DUMMYFUNCTION("""COMPUTED_VALUE"""),"JRES - Ridgeland Elementary School")</f>
        <v>JRES - Ridgeland Elementary School</v>
      </c>
      <c r="M5209" s="6" t="str">
        <f>IFERROR(__xludf.DUMMYFUNCTION("""COMPUTED_VALUE"""),"")</f>
        <v/>
      </c>
      <c r="N5209" s="6" t="str">
        <f>IFERROR(__xludf.DUMMYFUNCTION("""COMPUTED_VALUE"""),"")</f>
        <v/>
      </c>
      <c r="O5209" s="87" t="str">
        <f>IFERROR(__xludf.DUMMYFUNCTION("""COMPUTED_VALUE"""),"https://drive.google.com/drive/folders/10T2cTQHqEJZqE-st6uFKPoI?usp=share_link")</f>
        <v>https://drive.google.com/drive/folders/10T2cTQHqEJZqE-st6uFKPoI?usp=share_link</v>
      </c>
      <c r="P5209" s="6" t="str">
        <f>IFERROR(__xludf.DUMMYFUNCTION("""COMPUTED_VALUE"""),"De'Ondre Halsey")</f>
        <v>De'Ondre Halsey</v>
      </c>
      <c r="Q5209" s="6" t="str">
        <f>IFERROR(__xludf.DUMMYFUNCTION("""COMPUTED_VALUE"""),"L1")</f>
        <v>L1</v>
      </c>
      <c r="R5209" s="6">
        <f>IFERROR(__xludf.DUMMYFUNCTION("""COMPUTED_VALUE"""),1.0)</f>
        <v>1</v>
      </c>
      <c r="S5209" s="6" t="str">
        <f>IFERROR(__xludf.DUMMYFUNCTION("""COMPUTED_VALUE"""),"Kimberly Ball")</f>
        <v>Kimberly Ball</v>
      </c>
      <c r="T5209" s="6" t="str">
        <f>IFERROR(__xludf.DUMMYFUNCTION("""COMPUTED_VALUE"""),"kimberly.ball@studient.com")</f>
        <v>kimberly.ball@studient.com</v>
      </c>
      <c r="U5209" s="6" t="str">
        <f>IFERROR(__xludf.DUMMYFUNCTION("""COMPUTED_VALUE"""),"3")</f>
        <v>3</v>
      </c>
      <c r="V5209" s="6" t="str">
        <f>IFERROR(__xludf.DUMMYFUNCTION("""COMPUTED_VALUE"""),"")</f>
        <v/>
      </c>
      <c r="W5209" s="6" t="str">
        <f>IFERROR(__xludf.DUMMYFUNCTION("""COMPUTED_VALUE"""),"[]")</f>
        <v>[]</v>
      </c>
      <c r="X5209" s="6" t="str">
        <f>IFERROR(__xludf.DUMMYFUNCTION("""COMPUTED_VALUE"""),"Enrolled")</f>
        <v>Enrolled</v>
      </c>
    </row>
    <row r="5210">
      <c r="A5210" s="6" t="str">
        <f>IFERROR(__xludf.DUMMYFUNCTION("""COMPUTED_VALUE"""),"086-12601")</f>
        <v>086-12601</v>
      </c>
      <c r="B5210" s="6" t="str">
        <f>IFERROR(__xludf.DUMMYFUNCTION("""COMPUTED_VALUE"""),"86")</f>
        <v>86</v>
      </c>
      <c r="C5210" s="6" t="str">
        <f>IFERROR(__xludf.DUMMYFUNCTION("""COMPUTED_VALUE"""),"12601")</f>
        <v>12601</v>
      </c>
      <c r="D5210" s="6" t="str">
        <f>IFERROR(__xludf.DUMMYFUNCTION("""COMPUTED_VALUE"""),"Bryson")</f>
        <v>Bryson</v>
      </c>
      <c r="E5210" s="6" t="str">
        <f>IFERROR(__xludf.DUMMYFUNCTION("""COMPUTED_VALUE"""),"")</f>
        <v/>
      </c>
      <c r="F5210" s="6" t="str">
        <f>IFERROR(__xludf.DUMMYFUNCTION("""COMPUTED_VALUE"""),"Hernandez")</f>
        <v>Hernandez</v>
      </c>
      <c r="G5210" s="6" t="str">
        <f>IFERROR(__xludf.DUMMYFUNCTION("""COMPUTED_VALUE"""),"08/08/2015")</f>
        <v>08/08/2015</v>
      </c>
      <c r="H5210" s="6" t="str">
        <f>IFERROR(__xludf.DUMMYFUNCTION("""COMPUTED_VALUE"""),"female")</f>
        <v>female</v>
      </c>
      <c r="I5210" s="6" t="str">
        <f>IFERROR(__xludf.DUMMYFUNCTION("""COMPUTED_VALUE"""),"Level 1")</f>
        <v>Level 1</v>
      </c>
      <c r="J5210" s="6" t="str">
        <f>IFERROR(__xludf.DUMMYFUNCTION("""COMPUTED_VALUE"""),"3")</f>
        <v>3</v>
      </c>
      <c r="K5210" s="6" t="str">
        <f>IFERROR(__xludf.DUMMYFUNCTION("""COMPUTED_VALUE"""),"bryson.hernandez@2hourlearning.com")</f>
        <v>bryson.hernandez@2hourlearning.com</v>
      </c>
      <c r="L5210" s="6" t="str">
        <f>IFERROR(__xludf.DUMMYFUNCTION("""COMPUTED_VALUE"""),"JRES - Ridgeland Elementary School")</f>
        <v>JRES - Ridgeland Elementary School</v>
      </c>
      <c r="M5210" s="6" t="str">
        <f>IFERROR(__xludf.DUMMYFUNCTION("""COMPUTED_VALUE"""),"")</f>
        <v/>
      </c>
      <c r="N5210" s="6" t="str">
        <f>IFERROR(__xludf.DUMMYFUNCTION("""COMPUTED_VALUE"""),"")</f>
        <v/>
      </c>
      <c r="O5210" s="87" t="str">
        <f>IFERROR(__xludf.DUMMYFUNCTION("""COMPUTED_VALUE"""),"https://drive.google.com/drive/folders/10T2cTQHqEJZqE-st6uFKPoI?usp=share_link")</f>
        <v>https://drive.google.com/drive/folders/10T2cTQHqEJZqE-st6uFKPoI?usp=share_link</v>
      </c>
      <c r="P5210" s="6" t="str">
        <f>IFERROR(__xludf.DUMMYFUNCTION("""COMPUTED_VALUE"""),"Bryson Hernandez")</f>
        <v>Bryson Hernandez</v>
      </c>
      <c r="Q5210" s="6" t="str">
        <f>IFERROR(__xludf.DUMMYFUNCTION("""COMPUTED_VALUE"""),"L1")</f>
        <v>L1</v>
      </c>
      <c r="R5210" s="6">
        <f>IFERROR(__xludf.DUMMYFUNCTION("""COMPUTED_VALUE"""),1.0)</f>
        <v>1</v>
      </c>
      <c r="S5210" s="6" t="str">
        <f>IFERROR(__xludf.DUMMYFUNCTION("""COMPUTED_VALUE"""),"Kimberly Ball")</f>
        <v>Kimberly Ball</v>
      </c>
      <c r="T5210" s="6" t="str">
        <f>IFERROR(__xludf.DUMMYFUNCTION("""COMPUTED_VALUE"""),"kimberly.ball@studient.com")</f>
        <v>kimberly.ball@studient.com</v>
      </c>
      <c r="U5210" s="6" t="str">
        <f>IFERROR(__xludf.DUMMYFUNCTION("""COMPUTED_VALUE"""),"3")</f>
        <v>3</v>
      </c>
      <c r="V5210" s="6" t="str">
        <f>IFERROR(__xludf.DUMMYFUNCTION("""COMPUTED_VALUE"""),"")</f>
        <v/>
      </c>
      <c r="W5210" s="6" t="str">
        <f>IFERROR(__xludf.DUMMYFUNCTION("""COMPUTED_VALUE"""),"[]")</f>
        <v>[]</v>
      </c>
      <c r="X5210" s="6" t="str">
        <f>IFERROR(__xludf.DUMMYFUNCTION("""COMPUTED_VALUE"""),"Enrolled")</f>
        <v>Enrolled</v>
      </c>
    </row>
    <row r="5211">
      <c r="A5211" s="6" t="str">
        <f>IFERROR(__xludf.DUMMYFUNCTION("""COMPUTED_VALUE"""),"086-12602")</f>
        <v>086-12602</v>
      </c>
      <c r="B5211" s="6" t="str">
        <f>IFERROR(__xludf.DUMMYFUNCTION("""COMPUTED_VALUE"""),"86")</f>
        <v>86</v>
      </c>
      <c r="C5211" s="6" t="str">
        <f>IFERROR(__xludf.DUMMYFUNCTION("""COMPUTED_VALUE"""),"12602")</f>
        <v>12602</v>
      </c>
      <c r="D5211" s="6" t="str">
        <f>IFERROR(__xludf.DUMMYFUNCTION("""COMPUTED_VALUE"""),"Nevaeh")</f>
        <v>Nevaeh</v>
      </c>
      <c r="E5211" s="6" t="str">
        <f>IFERROR(__xludf.DUMMYFUNCTION("""COMPUTED_VALUE"""),"")</f>
        <v/>
      </c>
      <c r="F5211" s="6" t="str">
        <f>IFERROR(__xludf.DUMMYFUNCTION("""COMPUTED_VALUE"""),"Hernandez")</f>
        <v>Hernandez</v>
      </c>
      <c r="G5211" s="6" t="str">
        <f>IFERROR(__xludf.DUMMYFUNCTION("""COMPUTED_VALUE"""),"03/03/2018")</f>
        <v>03/03/2018</v>
      </c>
      <c r="H5211" s="6" t="str">
        <f>IFERROR(__xludf.DUMMYFUNCTION("""COMPUTED_VALUE"""),"female")</f>
        <v>female</v>
      </c>
      <c r="I5211" s="6" t="str">
        <f>IFERROR(__xludf.DUMMYFUNCTION("""COMPUTED_VALUE"""),"Level 1")</f>
        <v>Level 1</v>
      </c>
      <c r="J5211" s="6" t="str">
        <f>IFERROR(__xludf.DUMMYFUNCTION("""COMPUTED_VALUE"""),"3")</f>
        <v>3</v>
      </c>
      <c r="K5211" s="6" t="str">
        <f>IFERROR(__xludf.DUMMYFUNCTION("""COMPUTED_VALUE"""),"nevaeh.hernandez@2hourlearning.com")</f>
        <v>nevaeh.hernandez@2hourlearning.com</v>
      </c>
      <c r="L5211" s="6" t="str">
        <f>IFERROR(__xludf.DUMMYFUNCTION("""COMPUTED_VALUE"""),"JRES - Ridgeland Elementary School")</f>
        <v>JRES - Ridgeland Elementary School</v>
      </c>
      <c r="M5211" s="6" t="str">
        <f>IFERROR(__xludf.DUMMYFUNCTION("""COMPUTED_VALUE"""),"")</f>
        <v/>
      </c>
      <c r="N5211" s="6" t="str">
        <f>IFERROR(__xludf.DUMMYFUNCTION("""COMPUTED_VALUE"""),"")</f>
        <v/>
      </c>
      <c r="O5211" s="87" t="str">
        <f>IFERROR(__xludf.DUMMYFUNCTION("""COMPUTED_VALUE"""),"https://drive.google.com/drive/folders/10T2cTQHqEJZqE-st6uFKPoI?usp=share_link")</f>
        <v>https://drive.google.com/drive/folders/10T2cTQHqEJZqE-st6uFKPoI?usp=share_link</v>
      </c>
      <c r="P5211" s="6" t="str">
        <f>IFERROR(__xludf.DUMMYFUNCTION("""COMPUTED_VALUE"""),"Nevaeh Hernandez")</f>
        <v>Nevaeh Hernandez</v>
      </c>
      <c r="Q5211" s="6" t="str">
        <f>IFERROR(__xludf.DUMMYFUNCTION("""COMPUTED_VALUE"""),"L1")</f>
        <v>L1</v>
      </c>
      <c r="R5211" s="6">
        <f>IFERROR(__xludf.DUMMYFUNCTION("""COMPUTED_VALUE"""),1.0)</f>
        <v>1</v>
      </c>
      <c r="S5211" s="6" t="str">
        <f>IFERROR(__xludf.DUMMYFUNCTION("""COMPUTED_VALUE"""),"Kimberly Ball")</f>
        <v>Kimberly Ball</v>
      </c>
      <c r="T5211" s="6" t="str">
        <f>IFERROR(__xludf.DUMMYFUNCTION("""COMPUTED_VALUE"""),"kimberly.ball@studient.com")</f>
        <v>kimberly.ball@studient.com</v>
      </c>
      <c r="U5211" s="6" t="str">
        <f>IFERROR(__xludf.DUMMYFUNCTION("""COMPUTED_VALUE"""),"3")</f>
        <v>3</v>
      </c>
      <c r="V5211" s="6" t="str">
        <f>IFERROR(__xludf.DUMMYFUNCTION("""COMPUTED_VALUE"""),"")</f>
        <v/>
      </c>
      <c r="W5211" s="6" t="str">
        <f>IFERROR(__xludf.DUMMYFUNCTION("""COMPUTED_VALUE"""),"[]")</f>
        <v>[]</v>
      </c>
      <c r="X5211" s="6" t="str">
        <f>IFERROR(__xludf.DUMMYFUNCTION("""COMPUTED_VALUE"""),"Enrolled")</f>
        <v>Enrolled</v>
      </c>
    </row>
    <row r="5212">
      <c r="A5212" s="6" t="str">
        <f>IFERROR(__xludf.DUMMYFUNCTION("""COMPUTED_VALUE"""),"086-12603")</f>
        <v>086-12603</v>
      </c>
      <c r="B5212" s="6" t="str">
        <f>IFERROR(__xludf.DUMMYFUNCTION("""COMPUTED_VALUE"""),"86")</f>
        <v>86</v>
      </c>
      <c r="C5212" s="6" t="str">
        <f>IFERROR(__xludf.DUMMYFUNCTION("""COMPUTED_VALUE"""),"12603")</f>
        <v>12603</v>
      </c>
      <c r="D5212" s="6" t="str">
        <f>IFERROR(__xludf.DUMMYFUNCTION("""COMPUTED_VALUE"""),"Jasmin")</f>
        <v>Jasmin</v>
      </c>
      <c r="E5212" s="6" t="str">
        <f>IFERROR(__xludf.DUMMYFUNCTION("""COMPUTED_VALUE"""),"")</f>
        <v/>
      </c>
      <c r="F5212" s="6" t="str">
        <f>IFERROR(__xludf.DUMMYFUNCTION("""COMPUTED_VALUE"""),"Hernandez Garcia")</f>
        <v>Hernandez Garcia</v>
      </c>
      <c r="G5212" s="6" t="str">
        <f>IFERROR(__xludf.DUMMYFUNCTION("""COMPUTED_VALUE"""),"11/22/2017")</f>
        <v>11/22/2017</v>
      </c>
      <c r="H5212" s="6" t="str">
        <f>IFERROR(__xludf.DUMMYFUNCTION("""COMPUTED_VALUE"""),"male")</f>
        <v>male</v>
      </c>
      <c r="I5212" s="6" t="str">
        <f>IFERROR(__xludf.DUMMYFUNCTION("""COMPUTED_VALUE"""),"Level 1")</f>
        <v>Level 1</v>
      </c>
      <c r="J5212" s="6" t="str">
        <f>IFERROR(__xludf.DUMMYFUNCTION("""COMPUTED_VALUE"""),"3")</f>
        <v>3</v>
      </c>
      <c r="K5212" s="6" t="str">
        <f>IFERROR(__xludf.DUMMYFUNCTION("""COMPUTED_VALUE"""),"jasmin.hernandezgarcia@2hourlearning.com")</f>
        <v>jasmin.hernandezgarcia@2hourlearning.com</v>
      </c>
      <c r="L5212" s="6" t="str">
        <f>IFERROR(__xludf.DUMMYFUNCTION("""COMPUTED_VALUE"""),"JRES - Ridgeland Elementary School")</f>
        <v>JRES - Ridgeland Elementary School</v>
      </c>
      <c r="M5212" s="6" t="str">
        <f>IFERROR(__xludf.DUMMYFUNCTION("""COMPUTED_VALUE"""),"")</f>
        <v/>
      </c>
      <c r="N5212" s="6" t="str">
        <f>IFERROR(__xludf.DUMMYFUNCTION("""COMPUTED_VALUE"""),"")</f>
        <v/>
      </c>
      <c r="O5212" s="87" t="str">
        <f>IFERROR(__xludf.DUMMYFUNCTION("""COMPUTED_VALUE"""),"https://drive.google.com/drive/folders/10T2cTQHqEJZqE-st6uFKPoI?usp=share_link")</f>
        <v>https://drive.google.com/drive/folders/10T2cTQHqEJZqE-st6uFKPoI?usp=share_link</v>
      </c>
      <c r="P5212" s="6" t="str">
        <f>IFERROR(__xludf.DUMMYFUNCTION("""COMPUTED_VALUE"""),"Jasmin Hernandez Garcia")</f>
        <v>Jasmin Hernandez Garcia</v>
      </c>
      <c r="Q5212" s="6" t="str">
        <f>IFERROR(__xludf.DUMMYFUNCTION("""COMPUTED_VALUE"""),"L1")</f>
        <v>L1</v>
      </c>
      <c r="R5212" s="6">
        <f>IFERROR(__xludf.DUMMYFUNCTION("""COMPUTED_VALUE"""),1.0)</f>
        <v>1</v>
      </c>
      <c r="S5212" s="6" t="str">
        <f>IFERROR(__xludf.DUMMYFUNCTION("""COMPUTED_VALUE"""),"Kimberly Ball")</f>
        <v>Kimberly Ball</v>
      </c>
      <c r="T5212" s="6" t="str">
        <f>IFERROR(__xludf.DUMMYFUNCTION("""COMPUTED_VALUE"""),"kimberly.ball@studient.com")</f>
        <v>kimberly.ball@studient.com</v>
      </c>
      <c r="U5212" s="6" t="str">
        <f>IFERROR(__xludf.DUMMYFUNCTION("""COMPUTED_VALUE"""),"3")</f>
        <v>3</v>
      </c>
      <c r="V5212" s="6" t="str">
        <f>IFERROR(__xludf.DUMMYFUNCTION("""COMPUTED_VALUE"""),"")</f>
        <v/>
      </c>
      <c r="W5212" s="6" t="str">
        <f>IFERROR(__xludf.DUMMYFUNCTION("""COMPUTED_VALUE"""),"[]")</f>
        <v>[]</v>
      </c>
      <c r="X5212" s="6" t="str">
        <f>IFERROR(__xludf.DUMMYFUNCTION("""COMPUTED_VALUE"""),"Enrolled")</f>
        <v>Enrolled</v>
      </c>
    </row>
    <row r="5213">
      <c r="A5213" s="6" t="str">
        <f>IFERROR(__xludf.DUMMYFUNCTION("""COMPUTED_VALUE"""),"086-12604")</f>
        <v>086-12604</v>
      </c>
      <c r="B5213" s="6" t="str">
        <f>IFERROR(__xludf.DUMMYFUNCTION("""COMPUTED_VALUE"""),"86")</f>
        <v>86</v>
      </c>
      <c r="C5213" s="6" t="str">
        <f>IFERROR(__xludf.DUMMYFUNCTION("""COMPUTED_VALUE"""),"12604")</f>
        <v>12604</v>
      </c>
      <c r="D5213" s="6" t="str">
        <f>IFERROR(__xludf.DUMMYFUNCTION("""COMPUTED_VALUE"""),"Danna")</f>
        <v>Danna</v>
      </c>
      <c r="E5213" s="6" t="str">
        <f>IFERROR(__xludf.DUMMYFUNCTION("""COMPUTED_VALUE"""),"")</f>
        <v/>
      </c>
      <c r="F5213" s="6" t="str">
        <f>IFERROR(__xludf.DUMMYFUNCTION("""COMPUTED_VALUE"""),"Herrera Sandres")</f>
        <v>Herrera Sandres</v>
      </c>
      <c r="G5213" s="6" t="str">
        <f>IFERROR(__xludf.DUMMYFUNCTION("""COMPUTED_VALUE"""),"10/30/2016")</f>
        <v>10/30/2016</v>
      </c>
      <c r="H5213" s="6" t="str">
        <f>IFERROR(__xludf.DUMMYFUNCTION("""COMPUTED_VALUE"""),"female")</f>
        <v>female</v>
      </c>
      <c r="I5213" s="6" t="str">
        <f>IFERROR(__xludf.DUMMYFUNCTION("""COMPUTED_VALUE"""),"Level 1")</f>
        <v>Level 1</v>
      </c>
      <c r="J5213" s="6" t="str">
        <f>IFERROR(__xludf.DUMMYFUNCTION("""COMPUTED_VALUE"""),"3")</f>
        <v>3</v>
      </c>
      <c r="K5213" s="6" t="str">
        <f>IFERROR(__xludf.DUMMYFUNCTION("""COMPUTED_VALUE"""),"danna.herrerasandres@2hourlearning.com")</f>
        <v>danna.herrerasandres@2hourlearning.com</v>
      </c>
      <c r="L5213" s="6" t="str">
        <f>IFERROR(__xludf.DUMMYFUNCTION("""COMPUTED_VALUE"""),"JRES - Ridgeland Elementary School")</f>
        <v>JRES - Ridgeland Elementary School</v>
      </c>
      <c r="M5213" s="6" t="str">
        <f>IFERROR(__xludf.DUMMYFUNCTION("""COMPUTED_VALUE"""),"")</f>
        <v/>
      </c>
      <c r="N5213" s="6" t="str">
        <f>IFERROR(__xludf.DUMMYFUNCTION("""COMPUTED_VALUE"""),"")</f>
        <v/>
      </c>
      <c r="O5213" s="87" t="str">
        <f>IFERROR(__xludf.DUMMYFUNCTION("""COMPUTED_VALUE"""),"https://drive.google.com/drive/folders/10T2cTQHqEJZqE-st6uFKPoI?usp=share_link")</f>
        <v>https://drive.google.com/drive/folders/10T2cTQHqEJZqE-st6uFKPoI?usp=share_link</v>
      </c>
      <c r="P5213" s="6" t="str">
        <f>IFERROR(__xludf.DUMMYFUNCTION("""COMPUTED_VALUE"""),"Danna Herrera Sandres")</f>
        <v>Danna Herrera Sandres</v>
      </c>
      <c r="Q5213" s="6" t="str">
        <f>IFERROR(__xludf.DUMMYFUNCTION("""COMPUTED_VALUE"""),"L1")</f>
        <v>L1</v>
      </c>
      <c r="R5213" s="6">
        <f>IFERROR(__xludf.DUMMYFUNCTION("""COMPUTED_VALUE"""),1.0)</f>
        <v>1</v>
      </c>
      <c r="S5213" s="6" t="str">
        <f>IFERROR(__xludf.DUMMYFUNCTION("""COMPUTED_VALUE"""),"Kimberly Ball")</f>
        <v>Kimberly Ball</v>
      </c>
      <c r="T5213" s="6" t="str">
        <f>IFERROR(__xludf.DUMMYFUNCTION("""COMPUTED_VALUE"""),"kimberly.ball@studient.com")</f>
        <v>kimberly.ball@studient.com</v>
      </c>
      <c r="U5213" s="6" t="str">
        <f>IFERROR(__xludf.DUMMYFUNCTION("""COMPUTED_VALUE"""),"3")</f>
        <v>3</v>
      </c>
      <c r="V5213" s="6" t="str">
        <f>IFERROR(__xludf.DUMMYFUNCTION("""COMPUTED_VALUE"""),"")</f>
        <v/>
      </c>
      <c r="W5213" s="6" t="str">
        <f>IFERROR(__xludf.DUMMYFUNCTION("""COMPUTED_VALUE"""),"[]")</f>
        <v>[]</v>
      </c>
      <c r="X5213" s="6" t="str">
        <f>IFERROR(__xludf.DUMMYFUNCTION("""COMPUTED_VALUE"""),"Enrolled")</f>
        <v>Enrolled</v>
      </c>
    </row>
    <row r="5214">
      <c r="A5214" s="6" t="str">
        <f>IFERROR(__xludf.DUMMYFUNCTION("""COMPUTED_VALUE"""),"086-12605")</f>
        <v>086-12605</v>
      </c>
      <c r="B5214" s="6" t="str">
        <f>IFERROR(__xludf.DUMMYFUNCTION("""COMPUTED_VALUE"""),"86")</f>
        <v>86</v>
      </c>
      <c r="C5214" s="6" t="str">
        <f>IFERROR(__xludf.DUMMYFUNCTION("""COMPUTED_VALUE"""),"12605")</f>
        <v>12605</v>
      </c>
      <c r="D5214" s="6" t="str">
        <f>IFERROR(__xludf.DUMMYFUNCTION("""COMPUTED_VALUE"""),"Tyler")</f>
        <v>Tyler</v>
      </c>
      <c r="E5214" s="6" t="str">
        <f>IFERROR(__xludf.DUMMYFUNCTION("""COMPUTED_VALUE"""),"")</f>
        <v/>
      </c>
      <c r="F5214" s="6" t="str">
        <f>IFERROR(__xludf.DUMMYFUNCTION("""COMPUTED_VALUE"""),"Hoff")</f>
        <v>Hoff</v>
      </c>
      <c r="G5214" s="6" t="str">
        <f>IFERROR(__xludf.DUMMYFUNCTION("""COMPUTED_VALUE"""),"06/07/2016")</f>
        <v>06/07/2016</v>
      </c>
      <c r="H5214" s="6" t="str">
        <f>IFERROR(__xludf.DUMMYFUNCTION("""COMPUTED_VALUE"""),"female")</f>
        <v>female</v>
      </c>
      <c r="I5214" s="6" t="str">
        <f>IFERROR(__xludf.DUMMYFUNCTION("""COMPUTED_VALUE"""),"Level 1")</f>
        <v>Level 1</v>
      </c>
      <c r="J5214" s="6" t="str">
        <f>IFERROR(__xludf.DUMMYFUNCTION("""COMPUTED_VALUE"""),"3")</f>
        <v>3</v>
      </c>
      <c r="K5214" s="6" t="str">
        <f>IFERROR(__xludf.DUMMYFUNCTION("""COMPUTED_VALUE"""),"tyler.hoff@2hourlearning.com")</f>
        <v>tyler.hoff@2hourlearning.com</v>
      </c>
      <c r="L5214" s="6" t="str">
        <f>IFERROR(__xludf.DUMMYFUNCTION("""COMPUTED_VALUE"""),"JRES - Ridgeland Elementary School")</f>
        <v>JRES - Ridgeland Elementary School</v>
      </c>
      <c r="M5214" s="6" t="str">
        <f>IFERROR(__xludf.DUMMYFUNCTION("""COMPUTED_VALUE"""),"")</f>
        <v/>
      </c>
      <c r="N5214" s="6" t="str">
        <f>IFERROR(__xludf.DUMMYFUNCTION("""COMPUTED_VALUE"""),"")</f>
        <v/>
      </c>
      <c r="O5214" s="87" t="str">
        <f>IFERROR(__xludf.DUMMYFUNCTION("""COMPUTED_VALUE"""),"https://drive.google.com/drive/folders/10T2cTQHqEJZqE-st6uFKPoI?usp=share_link")</f>
        <v>https://drive.google.com/drive/folders/10T2cTQHqEJZqE-st6uFKPoI?usp=share_link</v>
      </c>
      <c r="P5214" s="6" t="str">
        <f>IFERROR(__xludf.DUMMYFUNCTION("""COMPUTED_VALUE"""),"Tyler Hoff")</f>
        <v>Tyler Hoff</v>
      </c>
      <c r="Q5214" s="6" t="str">
        <f>IFERROR(__xludf.DUMMYFUNCTION("""COMPUTED_VALUE"""),"L1")</f>
        <v>L1</v>
      </c>
      <c r="R5214" s="6">
        <f>IFERROR(__xludf.DUMMYFUNCTION("""COMPUTED_VALUE"""),1.0)</f>
        <v>1</v>
      </c>
      <c r="S5214" s="6" t="str">
        <f>IFERROR(__xludf.DUMMYFUNCTION("""COMPUTED_VALUE"""),"Kimberly Ball")</f>
        <v>Kimberly Ball</v>
      </c>
      <c r="T5214" s="6" t="str">
        <f>IFERROR(__xludf.DUMMYFUNCTION("""COMPUTED_VALUE"""),"kimberly.ball@studient.com")</f>
        <v>kimberly.ball@studient.com</v>
      </c>
      <c r="U5214" s="6" t="str">
        <f>IFERROR(__xludf.DUMMYFUNCTION("""COMPUTED_VALUE"""),"3")</f>
        <v>3</v>
      </c>
      <c r="V5214" s="6" t="str">
        <f>IFERROR(__xludf.DUMMYFUNCTION("""COMPUTED_VALUE"""),"")</f>
        <v/>
      </c>
      <c r="W5214" s="6" t="str">
        <f>IFERROR(__xludf.DUMMYFUNCTION("""COMPUTED_VALUE"""),"[]")</f>
        <v>[]</v>
      </c>
      <c r="X5214" s="6" t="str">
        <f>IFERROR(__xludf.DUMMYFUNCTION("""COMPUTED_VALUE"""),"Enrolled")</f>
        <v>Enrolled</v>
      </c>
    </row>
    <row r="5215">
      <c r="A5215" s="6" t="str">
        <f>IFERROR(__xludf.DUMMYFUNCTION("""COMPUTED_VALUE"""),"086-12606")</f>
        <v>086-12606</v>
      </c>
      <c r="B5215" s="6" t="str">
        <f>IFERROR(__xludf.DUMMYFUNCTION("""COMPUTED_VALUE"""),"86")</f>
        <v>86</v>
      </c>
      <c r="C5215" s="6" t="str">
        <f>IFERROR(__xludf.DUMMYFUNCTION("""COMPUTED_VALUE"""),"12606")</f>
        <v>12606</v>
      </c>
      <c r="D5215" s="6" t="str">
        <f>IFERROR(__xludf.DUMMYFUNCTION("""COMPUTED_VALUE"""),"Dre'Yonni")</f>
        <v>Dre'Yonni</v>
      </c>
      <c r="E5215" s="6" t="str">
        <f>IFERROR(__xludf.DUMMYFUNCTION("""COMPUTED_VALUE"""),"")</f>
        <v/>
      </c>
      <c r="F5215" s="6" t="str">
        <f>IFERROR(__xludf.DUMMYFUNCTION("""COMPUTED_VALUE"""),"Holloway")</f>
        <v>Holloway</v>
      </c>
      <c r="G5215" s="6" t="str">
        <f>IFERROR(__xludf.DUMMYFUNCTION("""COMPUTED_VALUE"""),"08/29/2018")</f>
        <v>08/29/2018</v>
      </c>
      <c r="H5215" s="6" t="str">
        <f>IFERROR(__xludf.DUMMYFUNCTION("""COMPUTED_VALUE"""),"male")</f>
        <v>male</v>
      </c>
      <c r="I5215" s="6" t="str">
        <f>IFERROR(__xludf.DUMMYFUNCTION("""COMPUTED_VALUE"""),"Level 1")</f>
        <v>Level 1</v>
      </c>
      <c r="J5215" s="6" t="str">
        <f>IFERROR(__xludf.DUMMYFUNCTION("""COMPUTED_VALUE"""),"3")</f>
        <v>3</v>
      </c>
      <c r="K5215" s="6" t="str">
        <f>IFERROR(__xludf.DUMMYFUNCTION("""COMPUTED_VALUE"""),"dreyonni.holloway@2hourlearning.com")</f>
        <v>dreyonni.holloway@2hourlearning.com</v>
      </c>
      <c r="L5215" s="6" t="str">
        <f>IFERROR(__xludf.DUMMYFUNCTION("""COMPUTED_VALUE"""),"JRES - Ridgeland Elementary School")</f>
        <v>JRES - Ridgeland Elementary School</v>
      </c>
      <c r="M5215" s="6" t="str">
        <f>IFERROR(__xludf.DUMMYFUNCTION("""COMPUTED_VALUE"""),"")</f>
        <v/>
      </c>
      <c r="N5215" s="6" t="str">
        <f>IFERROR(__xludf.DUMMYFUNCTION("""COMPUTED_VALUE"""),"")</f>
        <v/>
      </c>
      <c r="O5215" s="87" t="str">
        <f>IFERROR(__xludf.DUMMYFUNCTION("""COMPUTED_VALUE"""),"https://drive.google.com/drive/folders/10T2cTQHqEJZqE-st6uFKPoI?usp=share_link")</f>
        <v>https://drive.google.com/drive/folders/10T2cTQHqEJZqE-st6uFKPoI?usp=share_link</v>
      </c>
      <c r="P5215" s="6" t="str">
        <f>IFERROR(__xludf.DUMMYFUNCTION("""COMPUTED_VALUE"""),"Dre'Yonni Holloway")</f>
        <v>Dre'Yonni Holloway</v>
      </c>
      <c r="Q5215" s="6" t="str">
        <f>IFERROR(__xludf.DUMMYFUNCTION("""COMPUTED_VALUE"""),"L1")</f>
        <v>L1</v>
      </c>
      <c r="R5215" s="6">
        <f>IFERROR(__xludf.DUMMYFUNCTION("""COMPUTED_VALUE"""),1.0)</f>
        <v>1</v>
      </c>
      <c r="S5215" s="6" t="str">
        <f>IFERROR(__xludf.DUMMYFUNCTION("""COMPUTED_VALUE"""),"Kimberly Ball")</f>
        <v>Kimberly Ball</v>
      </c>
      <c r="T5215" s="6" t="str">
        <f>IFERROR(__xludf.DUMMYFUNCTION("""COMPUTED_VALUE"""),"kimberly.ball@studient.com")</f>
        <v>kimberly.ball@studient.com</v>
      </c>
      <c r="U5215" s="6" t="str">
        <f>IFERROR(__xludf.DUMMYFUNCTION("""COMPUTED_VALUE"""),"3")</f>
        <v>3</v>
      </c>
      <c r="V5215" s="6" t="str">
        <f>IFERROR(__xludf.DUMMYFUNCTION("""COMPUTED_VALUE"""),"")</f>
        <v/>
      </c>
      <c r="W5215" s="6" t="str">
        <f>IFERROR(__xludf.DUMMYFUNCTION("""COMPUTED_VALUE"""),"[]")</f>
        <v>[]</v>
      </c>
      <c r="X5215" s="6" t="str">
        <f>IFERROR(__xludf.DUMMYFUNCTION("""COMPUTED_VALUE"""),"Enrolled")</f>
        <v>Enrolled</v>
      </c>
    </row>
    <row r="5216">
      <c r="A5216" s="6" t="str">
        <f>IFERROR(__xludf.DUMMYFUNCTION("""COMPUTED_VALUE"""),"086-12607")</f>
        <v>086-12607</v>
      </c>
      <c r="B5216" s="6" t="str">
        <f>IFERROR(__xludf.DUMMYFUNCTION("""COMPUTED_VALUE"""),"86")</f>
        <v>86</v>
      </c>
      <c r="C5216" s="6" t="str">
        <f>IFERROR(__xludf.DUMMYFUNCTION("""COMPUTED_VALUE"""),"12607")</f>
        <v>12607</v>
      </c>
      <c r="D5216" s="6" t="str">
        <f>IFERROR(__xludf.DUMMYFUNCTION("""COMPUTED_VALUE"""),"Ashton")</f>
        <v>Ashton</v>
      </c>
      <c r="E5216" s="6" t="str">
        <f>IFERROR(__xludf.DUMMYFUNCTION("""COMPUTED_VALUE"""),"")</f>
        <v/>
      </c>
      <c r="F5216" s="6" t="str">
        <f>IFERROR(__xludf.DUMMYFUNCTION("""COMPUTED_VALUE"""),"Jenkins")</f>
        <v>Jenkins</v>
      </c>
      <c r="G5216" s="6" t="str">
        <f>IFERROR(__xludf.DUMMYFUNCTION("""COMPUTED_VALUE"""),"02/19/2018")</f>
        <v>02/19/2018</v>
      </c>
      <c r="H5216" s="6" t="str">
        <f>IFERROR(__xludf.DUMMYFUNCTION("""COMPUTED_VALUE"""),"female")</f>
        <v>female</v>
      </c>
      <c r="I5216" s="6" t="str">
        <f>IFERROR(__xludf.DUMMYFUNCTION("""COMPUTED_VALUE"""),"Level 1")</f>
        <v>Level 1</v>
      </c>
      <c r="J5216" s="6" t="str">
        <f>IFERROR(__xludf.DUMMYFUNCTION("""COMPUTED_VALUE"""),"3")</f>
        <v>3</v>
      </c>
      <c r="K5216" s="6" t="str">
        <f>IFERROR(__xludf.DUMMYFUNCTION("""COMPUTED_VALUE"""),"ashton.jenkins@2hourlearning.com")</f>
        <v>ashton.jenkins@2hourlearning.com</v>
      </c>
      <c r="L5216" s="6" t="str">
        <f>IFERROR(__xludf.DUMMYFUNCTION("""COMPUTED_VALUE"""),"JRES - Ridgeland Elementary School")</f>
        <v>JRES - Ridgeland Elementary School</v>
      </c>
      <c r="M5216" s="6" t="str">
        <f>IFERROR(__xludf.DUMMYFUNCTION("""COMPUTED_VALUE"""),"")</f>
        <v/>
      </c>
      <c r="N5216" s="6" t="str">
        <f>IFERROR(__xludf.DUMMYFUNCTION("""COMPUTED_VALUE"""),"")</f>
        <v/>
      </c>
      <c r="O5216" s="87" t="str">
        <f>IFERROR(__xludf.DUMMYFUNCTION("""COMPUTED_VALUE"""),"https://drive.google.com/drive/folders/10T2cTQHqEJZqE-st6uFKPoI?usp=share_link")</f>
        <v>https://drive.google.com/drive/folders/10T2cTQHqEJZqE-st6uFKPoI?usp=share_link</v>
      </c>
      <c r="P5216" s="6" t="str">
        <f>IFERROR(__xludf.DUMMYFUNCTION("""COMPUTED_VALUE"""),"Ashton Jenkins")</f>
        <v>Ashton Jenkins</v>
      </c>
      <c r="Q5216" s="6" t="str">
        <f>IFERROR(__xludf.DUMMYFUNCTION("""COMPUTED_VALUE"""),"L1")</f>
        <v>L1</v>
      </c>
      <c r="R5216" s="6">
        <f>IFERROR(__xludf.DUMMYFUNCTION("""COMPUTED_VALUE"""),1.0)</f>
        <v>1</v>
      </c>
      <c r="S5216" s="6" t="str">
        <f>IFERROR(__xludf.DUMMYFUNCTION("""COMPUTED_VALUE"""),"Kimberly Ball")</f>
        <v>Kimberly Ball</v>
      </c>
      <c r="T5216" s="6" t="str">
        <f>IFERROR(__xludf.DUMMYFUNCTION("""COMPUTED_VALUE"""),"kimberly.ball@studient.com")</f>
        <v>kimberly.ball@studient.com</v>
      </c>
      <c r="U5216" s="6" t="str">
        <f>IFERROR(__xludf.DUMMYFUNCTION("""COMPUTED_VALUE"""),"3")</f>
        <v>3</v>
      </c>
      <c r="V5216" s="6" t="str">
        <f>IFERROR(__xludf.DUMMYFUNCTION("""COMPUTED_VALUE"""),"")</f>
        <v/>
      </c>
      <c r="W5216" s="6" t="str">
        <f>IFERROR(__xludf.DUMMYFUNCTION("""COMPUTED_VALUE"""),"[]")</f>
        <v>[]</v>
      </c>
      <c r="X5216" s="6" t="str">
        <f>IFERROR(__xludf.DUMMYFUNCTION("""COMPUTED_VALUE"""),"Enrolled")</f>
        <v>Enrolled</v>
      </c>
    </row>
    <row r="5217">
      <c r="A5217" s="6" t="str">
        <f>IFERROR(__xludf.DUMMYFUNCTION("""COMPUTED_VALUE"""),"086-12608")</f>
        <v>086-12608</v>
      </c>
      <c r="B5217" s="6" t="str">
        <f>IFERROR(__xludf.DUMMYFUNCTION("""COMPUTED_VALUE"""),"86")</f>
        <v>86</v>
      </c>
      <c r="C5217" s="6" t="str">
        <f>IFERROR(__xludf.DUMMYFUNCTION("""COMPUTED_VALUE"""),"12608")</f>
        <v>12608</v>
      </c>
      <c r="D5217" s="6" t="str">
        <f>IFERROR(__xludf.DUMMYFUNCTION("""COMPUTED_VALUE"""),"Harmonie")</f>
        <v>Harmonie</v>
      </c>
      <c r="E5217" s="6" t="str">
        <f>IFERROR(__xludf.DUMMYFUNCTION("""COMPUTED_VALUE"""),"")</f>
        <v/>
      </c>
      <c r="F5217" s="6" t="str">
        <f>IFERROR(__xludf.DUMMYFUNCTION("""COMPUTED_VALUE"""),"Jenkins")</f>
        <v>Jenkins</v>
      </c>
      <c r="G5217" s="6" t="str">
        <f>IFERROR(__xludf.DUMMYFUNCTION("""COMPUTED_VALUE"""),"02/13/2015")</f>
        <v>02/13/2015</v>
      </c>
      <c r="H5217" s="6" t="str">
        <f>IFERROR(__xludf.DUMMYFUNCTION("""COMPUTED_VALUE"""),"male")</f>
        <v>male</v>
      </c>
      <c r="I5217" s="6" t="str">
        <f>IFERROR(__xludf.DUMMYFUNCTION("""COMPUTED_VALUE"""),"Level 1")</f>
        <v>Level 1</v>
      </c>
      <c r="J5217" s="6" t="str">
        <f>IFERROR(__xludf.DUMMYFUNCTION("""COMPUTED_VALUE"""),"3")</f>
        <v>3</v>
      </c>
      <c r="K5217" s="6" t="str">
        <f>IFERROR(__xludf.DUMMYFUNCTION("""COMPUTED_VALUE"""),"harmonie.jenkins@2hourlearning.com")</f>
        <v>harmonie.jenkins@2hourlearning.com</v>
      </c>
      <c r="L5217" s="6" t="str">
        <f>IFERROR(__xludf.DUMMYFUNCTION("""COMPUTED_VALUE"""),"JRES - Ridgeland Elementary School")</f>
        <v>JRES - Ridgeland Elementary School</v>
      </c>
      <c r="M5217" s="6" t="str">
        <f>IFERROR(__xludf.DUMMYFUNCTION("""COMPUTED_VALUE"""),"")</f>
        <v/>
      </c>
      <c r="N5217" s="6" t="str">
        <f>IFERROR(__xludf.DUMMYFUNCTION("""COMPUTED_VALUE"""),"")</f>
        <v/>
      </c>
      <c r="O5217" s="87" t="str">
        <f>IFERROR(__xludf.DUMMYFUNCTION("""COMPUTED_VALUE"""),"https://drive.google.com/drive/folders/10T2cTQHqEJZqE-st6uFKPoI?usp=share_link")</f>
        <v>https://drive.google.com/drive/folders/10T2cTQHqEJZqE-st6uFKPoI?usp=share_link</v>
      </c>
      <c r="P5217" s="6" t="str">
        <f>IFERROR(__xludf.DUMMYFUNCTION("""COMPUTED_VALUE"""),"Harmonie Jenkins")</f>
        <v>Harmonie Jenkins</v>
      </c>
      <c r="Q5217" s="6" t="str">
        <f>IFERROR(__xludf.DUMMYFUNCTION("""COMPUTED_VALUE"""),"L1")</f>
        <v>L1</v>
      </c>
      <c r="R5217" s="6">
        <f>IFERROR(__xludf.DUMMYFUNCTION("""COMPUTED_VALUE"""),1.0)</f>
        <v>1</v>
      </c>
      <c r="S5217" s="6" t="str">
        <f>IFERROR(__xludf.DUMMYFUNCTION("""COMPUTED_VALUE"""),"Kimberly Ball")</f>
        <v>Kimberly Ball</v>
      </c>
      <c r="T5217" s="6" t="str">
        <f>IFERROR(__xludf.DUMMYFUNCTION("""COMPUTED_VALUE"""),"kimberly.ball@studient.com")</f>
        <v>kimberly.ball@studient.com</v>
      </c>
      <c r="U5217" s="6" t="str">
        <f>IFERROR(__xludf.DUMMYFUNCTION("""COMPUTED_VALUE"""),"3")</f>
        <v>3</v>
      </c>
      <c r="V5217" s="6" t="str">
        <f>IFERROR(__xludf.DUMMYFUNCTION("""COMPUTED_VALUE"""),"")</f>
        <v/>
      </c>
      <c r="W5217" s="6" t="str">
        <f>IFERROR(__xludf.DUMMYFUNCTION("""COMPUTED_VALUE"""),"[]")</f>
        <v>[]</v>
      </c>
      <c r="X5217" s="6" t="str">
        <f>IFERROR(__xludf.DUMMYFUNCTION("""COMPUTED_VALUE"""),"Enrolled")</f>
        <v>Enrolled</v>
      </c>
    </row>
    <row r="5218">
      <c r="A5218" s="6" t="str">
        <f>IFERROR(__xludf.DUMMYFUNCTION("""COMPUTED_VALUE"""),"086-12609")</f>
        <v>086-12609</v>
      </c>
      <c r="B5218" s="6" t="str">
        <f>IFERROR(__xludf.DUMMYFUNCTION("""COMPUTED_VALUE"""),"86")</f>
        <v>86</v>
      </c>
      <c r="C5218" s="6" t="str">
        <f>IFERROR(__xludf.DUMMYFUNCTION("""COMPUTED_VALUE"""),"12609")</f>
        <v>12609</v>
      </c>
      <c r="D5218" s="6" t="str">
        <f>IFERROR(__xludf.DUMMYFUNCTION("""COMPUTED_VALUE"""),"Amara")</f>
        <v>Amara</v>
      </c>
      <c r="E5218" s="6" t="str">
        <f>IFERROR(__xludf.DUMMYFUNCTION("""COMPUTED_VALUE"""),"")</f>
        <v/>
      </c>
      <c r="F5218" s="6" t="str">
        <f>IFERROR(__xludf.DUMMYFUNCTION("""COMPUTED_VALUE"""),"Johnson")</f>
        <v>Johnson</v>
      </c>
      <c r="G5218" s="6" t="str">
        <f>IFERROR(__xludf.DUMMYFUNCTION("""COMPUTED_VALUE"""),"06/21/2018")</f>
        <v>06/21/2018</v>
      </c>
      <c r="H5218" s="6" t="str">
        <f>IFERROR(__xludf.DUMMYFUNCTION("""COMPUTED_VALUE"""),"female")</f>
        <v>female</v>
      </c>
      <c r="I5218" s="6" t="str">
        <f>IFERROR(__xludf.DUMMYFUNCTION("""COMPUTED_VALUE"""),"Level 1")</f>
        <v>Level 1</v>
      </c>
      <c r="J5218" s="6" t="str">
        <f>IFERROR(__xludf.DUMMYFUNCTION("""COMPUTED_VALUE"""),"3")</f>
        <v>3</v>
      </c>
      <c r="K5218" s="6" t="str">
        <f>IFERROR(__xludf.DUMMYFUNCTION("""COMPUTED_VALUE"""),"amara.johnson@2hourlearning.com")</f>
        <v>amara.johnson@2hourlearning.com</v>
      </c>
      <c r="L5218" s="6" t="str">
        <f>IFERROR(__xludf.DUMMYFUNCTION("""COMPUTED_VALUE"""),"JRES - Ridgeland Elementary School")</f>
        <v>JRES - Ridgeland Elementary School</v>
      </c>
      <c r="M5218" s="6" t="str">
        <f>IFERROR(__xludf.DUMMYFUNCTION("""COMPUTED_VALUE"""),"")</f>
        <v/>
      </c>
      <c r="N5218" s="6" t="str">
        <f>IFERROR(__xludf.DUMMYFUNCTION("""COMPUTED_VALUE"""),"")</f>
        <v/>
      </c>
      <c r="O5218" s="87" t="str">
        <f>IFERROR(__xludf.DUMMYFUNCTION("""COMPUTED_VALUE"""),"https://drive.google.com/drive/folders/10T2cTQHqEJZqE-st6uFKPoI?usp=share_link")</f>
        <v>https://drive.google.com/drive/folders/10T2cTQHqEJZqE-st6uFKPoI?usp=share_link</v>
      </c>
      <c r="P5218" s="6" t="str">
        <f>IFERROR(__xludf.DUMMYFUNCTION("""COMPUTED_VALUE"""),"Amara Johnson")</f>
        <v>Amara Johnson</v>
      </c>
      <c r="Q5218" s="6" t="str">
        <f>IFERROR(__xludf.DUMMYFUNCTION("""COMPUTED_VALUE"""),"L1")</f>
        <v>L1</v>
      </c>
      <c r="R5218" s="6">
        <f>IFERROR(__xludf.DUMMYFUNCTION("""COMPUTED_VALUE"""),1.0)</f>
        <v>1</v>
      </c>
      <c r="S5218" s="6" t="str">
        <f>IFERROR(__xludf.DUMMYFUNCTION("""COMPUTED_VALUE"""),"Kimberly Ball")</f>
        <v>Kimberly Ball</v>
      </c>
      <c r="T5218" s="6" t="str">
        <f>IFERROR(__xludf.DUMMYFUNCTION("""COMPUTED_VALUE"""),"kimberly.ball@studient.com")</f>
        <v>kimberly.ball@studient.com</v>
      </c>
      <c r="U5218" s="6" t="str">
        <f>IFERROR(__xludf.DUMMYFUNCTION("""COMPUTED_VALUE"""),"3")</f>
        <v>3</v>
      </c>
      <c r="V5218" s="6" t="str">
        <f>IFERROR(__xludf.DUMMYFUNCTION("""COMPUTED_VALUE"""),"")</f>
        <v/>
      </c>
      <c r="W5218" s="6" t="str">
        <f>IFERROR(__xludf.DUMMYFUNCTION("""COMPUTED_VALUE"""),"[]")</f>
        <v>[]</v>
      </c>
      <c r="X5218" s="6" t="str">
        <f>IFERROR(__xludf.DUMMYFUNCTION("""COMPUTED_VALUE"""),"Enrolled")</f>
        <v>Enrolled</v>
      </c>
    </row>
    <row r="5219">
      <c r="A5219" s="6" t="str">
        <f>IFERROR(__xludf.DUMMYFUNCTION("""COMPUTED_VALUE"""),"086-12610")</f>
        <v>086-12610</v>
      </c>
      <c r="B5219" s="6" t="str">
        <f>IFERROR(__xludf.DUMMYFUNCTION("""COMPUTED_VALUE"""),"86")</f>
        <v>86</v>
      </c>
      <c r="C5219" s="6" t="str">
        <f>IFERROR(__xludf.DUMMYFUNCTION("""COMPUTED_VALUE"""),"12610")</f>
        <v>12610</v>
      </c>
      <c r="D5219" s="6" t="str">
        <f>IFERROR(__xludf.DUMMYFUNCTION("""COMPUTED_VALUE"""),"Kaija")</f>
        <v>Kaija</v>
      </c>
      <c r="E5219" s="6" t="str">
        <f>IFERROR(__xludf.DUMMYFUNCTION("""COMPUTED_VALUE"""),"")</f>
        <v/>
      </c>
      <c r="F5219" s="6" t="str">
        <f>IFERROR(__xludf.DUMMYFUNCTION("""COMPUTED_VALUE"""),"Johnson")</f>
        <v>Johnson</v>
      </c>
      <c r="G5219" s="6" t="str">
        <f>IFERROR(__xludf.DUMMYFUNCTION("""COMPUTED_VALUE"""),"03/02/2018")</f>
        <v>03/02/2018</v>
      </c>
      <c r="H5219" s="6" t="str">
        <f>IFERROR(__xludf.DUMMYFUNCTION("""COMPUTED_VALUE"""),"female")</f>
        <v>female</v>
      </c>
      <c r="I5219" s="6" t="str">
        <f>IFERROR(__xludf.DUMMYFUNCTION("""COMPUTED_VALUE"""),"Level 1")</f>
        <v>Level 1</v>
      </c>
      <c r="J5219" s="6" t="str">
        <f>IFERROR(__xludf.DUMMYFUNCTION("""COMPUTED_VALUE"""),"3")</f>
        <v>3</v>
      </c>
      <c r="K5219" s="6" t="str">
        <f>IFERROR(__xludf.DUMMYFUNCTION("""COMPUTED_VALUE"""),"kaija.johnson@2hourlearning.com")</f>
        <v>kaija.johnson@2hourlearning.com</v>
      </c>
      <c r="L5219" s="6" t="str">
        <f>IFERROR(__xludf.DUMMYFUNCTION("""COMPUTED_VALUE"""),"JRES - Ridgeland Elementary School")</f>
        <v>JRES - Ridgeland Elementary School</v>
      </c>
      <c r="M5219" s="6" t="str">
        <f>IFERROR(__xludf.DUMMYFUNCTION("""COMPUTED_VALUE"""),"")</f>
        <v/>
      </c>
      <c r="N5219" s="6" t="str">
        <f>IFERROR(__xludf.DUMMYFUNCTION("""COMPUTED_VALUE"""),"")</f>
        <v/>
      </c>
      <c r="O5219" s="87" t="str">
        <f>IFERROR(__xludf.DUMMYFUNCTION("""COMPUTED_VALUE"""),"https://drive.google.com/drive/folders/10T2cTQHqEJZqE-st6uFKPoI?usp=share_link")</f>
        <v>https://drive.google.com/drive/folders/10T2cTQHqEJZqE-st6uFKPoI?usp=share_link</v>
      </c>
      <c r="P5219" s="6" t="str">
        <f>IFERROR(__xludf.DUMMYFUNCTION("""COMPUTED_VALUE"""),"Kaija Johnson")</f>
        <v>Kaija Johnson</v>
      </c>
      <c r="Q5219" s="6" t="str">
        <f>IFERROR(__xludf.DUMMYFUNCTION("""COMPUTED_VALUE"""),"L1")</f>
        <v>L1</v>
      </c>
      <c r="R5219" s="6">
        <f>IFERROR(__xludf.DUMMYFUNCTION("""COMPUTED_VALUE"""),1.0)</f>
        <v>1</v>
      </c>
      <c r="S5219" s="6" t="str">
        <f>IFERROR(__xludf.DUMMYFUNCTION("""COMPUTED_VALUE"""),"Kimberly Ball")</f>
        <v>Kimberly Ball</v>
      </c>
      <c r="T5219" s="6" t="str">
        <f>IFERROR(__xludf.DUMMYFUNCTION("""COMPUTED_VALUE"""),"kimberly.ball@studient.com")</f>
        <v>kimberly.ball@studient.com</v>
      </c>
      <c r="U5219" s="6" t="str">
        <f>IFERROR(__xludf.DUMMYFUNCTION("""COMPUTED_VALUE"""),"3")</f>
        <v>3</v>
      </c>
      <c r="V5219" s="6" t="str">
        <f>IFERROR(__xludf.DUMMYFUNCTION("""COMPUTED_VALUE"""),"")</f>
        <v/>
      </c>
      <c r="W5219" s="6" t="str">
        <f>IFERROR(__xludf.DUMMYFUNCTION("""COMPUTED_VALUE"""),"[]")</f>
        <v>[]</v>
      </c>
      <c r="X5219" s="6" t="str">
        <f>IFERROR(__xludf.DUMMYFUNCTION("""COMPUTED_VALUE"""),"Enrolled")</f>
        <v>Enrolled</v>
      </c>
    </row>
    <row r="5220">
      <c r="A5220" s="6" t="str">
        <f>IFERROR(__xludf.DUMMYFUNCTION("""COMPUTED_VALUE"""),"086-12611")</f>
        <v>086-12611</v>
      </c>
      <c r="B5220" s="6" t="str">
        <f>IFERROR(__xludf.DUMMYFUNCTION("""COMPUTED_VALUE"""),"86")</f>
        <v>86</v>
      </c>
      <c r="C5220" s="6" t="str">
        <f>IFERROR(__xludf.DUMMYFUNCTION("""COMPUTED_VALUE"""),"12611")</f>
        <v>12611</v>
      </c>
      <c r="D5220" s="6" t="str">
        <f>IFERROR(__xludf.DUMMYFUNCTION("""COMPUTED_VALUE"""),"Loren")</f>
        <v>Loren</v>
      </c>
      <c r="E5220" s="6" t="str">
        <f>IFERROR(__xludf.DUMMYFUNCTION("""COMPUTED_VALUE"""),"")</f>
        <v/>
      </c>
      <c r="F5220" s="6" t="str">
        <f>IFERROR(__xludf.DUMMYFUNCTION("""COMPUTED_VALUE"""),"Jones")</f>
        <v>Jones</v>
      </c>
      <c r="G5220" s="6" t="str">
        <f>IFERROR(__xludf.DUMMYFUNCTION("""COMPUTED_VALUE"""),"12/26/2014")</f>
        <v>12/26/2014</v>
      </c>
      <c r="H5220" s="6" t="str">
        <f>IFERROR(__xludf.DUMMYFUNCTION("""COMPUTED_VALUE"""),"male")</f>
        <v>male</v>
      </c>
      <c r="I5220" s="6" t="str">
        <f>IFERROR(__xludf.DUMMYFUNCTION("""COMPUTED_VALUE"""),"Level 1")</f>
        <v>Level 1</v>
      </c>
      <c r="J5220" s="6" t="str">
        <f>IFERROR(__xludf.DUMMYFUNCTION("""COMPUTED_VALUE"""),"3")</f>
        <v>3</v>
      </c>
      <c r="K5220" s="6" t="str">
        <f>IFERROR(__xludf.DUMMYFUNCTION("""COMPUTED_VALUE"""),"loren.jones@2hourlearning.com")</f>
        <v>loren.jones@2hourlearning.com</v>
      </c>
      <c r="L5220" s="6" t="str">
        <f>IFERROR(__xludf.DUMMYFUNCTION("""COMPUTED_VALUE"""),"JRES - Ridgeland Elementary School")</f>
        <v>JRES - Ridgeland Elementary School</v>
      </c>
      <c r="M5220" s="6" t="str">
        <f>IFERROR(__xludf.DUMMYFUNCTION("""COMPUTED_VALUE"""),"")</f>
        <v/>
      </c>
      <c r="N5220" s="6" t="str">
        <f>IFERROR(__xludf.DUMMYFUNCTION("""COMPUTED_VALUE"""),"")</f>
        <v/>
      </c>
      <c r="O5220" s="87" t="str">
        <f>IFERROR(__xludf.DUMMYFUNCTION("""COMPUTED_VALUE"""),"https://drive.google.com/drive/folders/10T2cTQHqEJZqE-st6uFKPoI?usp=share_link")</f>
        <v>https://drive.google.com/drive/folders/10T2cTQHqEJZqE-st6uFKPoI?usp=share_link</v>
      </c>
      <c r="P5220" s="6" t="str">
        <f>IFERROR(__xludf.DUMMYFUNCTION("""COMPUTED_VALUE"""),"Loren Jones")</f>
        <v>Loren Jones</v>
      </c>
      <c r="Q5220" s="6" t="str">
        <f>IFERROR(__xludf.DUMMYFUNCTION("""COMPUTED_VALUE"""),"L1")</f>
        <v>L1</v>
      </c>
      <c r="R5220" s="6">
        <f>IFERROR(__xludf.DUMMYFUNCTION("""COMPUTED_VALUE"""),1.0)</f>
        <v>1</v>
      </c>
      <c r="S5220" s="6" t="str">
        <f>IFERROR(__xludf.DUMMYFUNCTION("""COMPUTED_VALUE"""),"Kimberly Ball")</f>
        <v>Kimberly Ball</v>
      </c>
      <c r="T5220" s="6" t="str">
        <f>IFERROR(__xludf.DUMMYFUNCTION("""COMPUTED_VALUE"""),"kimberly.ball@studient.com")</f>
        <v>kimberly.ball@studient.com</v>
      </c>
      <c r="U5220" s="6" t="str">
        <f>IFERROR(__xludf.DUMMYFUNCTION("""COMPUTED_VALUE"""),"3")</f>
        <v>3</v>
      </c>
      <c r="V5220" s="6" t="str">
        <f>IFERROR(__xludf.DUMMYFUNCTION("""COMPUTED_VALUE"""),"")</f>
        <v/>
      </c>
      <c r="W5220" s="6" t="str">
        <f>IFERROR(__xludf.DUMMYFUNCTION("""COMPUTED_VALUE"""),"[]")</f>
        <v>[]</v>
      </c>
      <c r="X5220" s="6" t="str">
        <f>IFERROR(__xludf.DUMMYFUNCTION("""COMPUTED_VALUE"""),"Enrolled")</f>
        <v>Enrolled</v>
      </c>
    </row>
    <row r="5221">
      <c r="A5221" s="6" t="str">
        <f>IFERROR(__xludf.DUMMYFUNCTION("""COMPUTED_VALUE"""),"086-12612")</f>
        <v>086-12612</v>
      </c>
      <c r="B5221" s="6" t="str">
        <f>IFERROR(__xludf.DUMMYFUNCTION("""COMPUTED_VALUE"""),"86")</f>
        <v>86</v>
      </c>
      <c r="C5221" s="6" t="str">
        <f>IFERROR(__xludf.DUMMYFUNCTION("""COMPUTED_VALUE"""),"12612")</f>
        <v>12612</v>
      </c>
      <c r="D5221" s="6" t="str">
        <f>IFERROR(__xludf.DUMMYFUNCTION("""COMPUTED_VALUE"""),"Astrid")</f>
        <v>Astrid</v>
      </c>
      <c r="E5221" s="6" t="str">
        <f>IFERROR(__xludf.DUMMYFUNCTION("""COMPUTED_VALUE"""),"")</f>
        <v/>
      </c>
      <c r="F5221" s="6" t="str">
        <f>IFERROR(__xludf.DUMMYFUNCTION("""COMPUTED_VALUE"""),"Juarez-Castellamos")</f>
        <v>Juarez-Castellamos</v>
      </c>
      <c r="G5221" s="6" t="str">
        <f>IFERROR(__xludf.DUMMYFUNCTION("""COMPUTED_VALUE"""),"11/07/2016")</f>
        <v>11/07/2016</v>
      </c>
      <c r="H5221" s="6" t="str">
        <f>IFERROR(__xludf.DUMMYFUNCTION("""COMPUTED_VALUE"""),"female")</f>
        <v>female</v>
      </c>
      <c r="I5221" s="6" t="str">
        <f>IFERROR(__xludf.DUMMYFUNCTION("""COMPUTED_VALUE"""),"Level 1")</f>
        <v>Level 1</v>
      </c>
      <c r="J5221" s="6" t="str">
        <f>IFERROR(__xludf.DUMMYFUNCTION("""COMPUTED_VALUE"""),"3")</f>
        <v>3</v>
      </c>
      <c r="K5221" s="6" t="str">
        <f>IFERROR(__xludf.DUMMYFUNCTION("""COMPUTED_VALUE"""),"astrid.juarez-castellamos@2hourlearning.com")</f>
        <v>astrid.juarez-castellamos@2hourlearning.com</v>
      </c>
      <c r="L5221" s="6" t="str">
        <f>IFERROR(__xludf.DUMMYFUNCTION("""COMPUTED_VALUE"""),"JRES - Ridgeland Elementary School")</f>
        <v>JRES - Ridgeland Elementary School</v>
      </c>
      <c r="M5221" s="6" t="str">
        <f>IFERROR(__xludf.DUMMYFUNCTION("""COMPUTED_VALUE"""),"")</f>
        <v/>
      </c>
      <c r="N5221" s="6" t="str">
        <f>IFERROR(__xludf.DUMMYFUNCTION("""COMPUTED_VALUE"""),"")</f>
        <v/>
      </c>
      <c r="O5221" s="87" t="str">
        <f>IFERROR(__xludf.DUMMYFUNCTION("""COMPUTED_VALUE"""),"https://drive.google.com/drive/folders/10T2cTQHqEJZqE-st6uFKPoI?usp=share_link")</f>
        <v>https://drive.google.com/drive/folders/10T2cTQHqEJZqE-st6uFKPoI?usp=share_link</v>
      </c>
      <c r="P5221" s="6" t="str">
        <f>IFERROR(__xludf.DUMMYFUNCTION("""COMPUTED_VALUE"""),"Astrid Juarez-Castellamos")</f>
        <v>Astrid Juarez-Castellamos</v>
      </c>
      <c r="Q5221" s="6" t="str">
        <f>IFERROR(__xludf.DUMMYFUNCTION("""COMPUTED_VALUE"""),"L1")</f>
        <v>L1</v>
      </c>
      <c r="R5221" s="6">
        <f>IFERROR(__xludf.DUMMYFUNCTION("""COMPUTED_VALUE"""),1.0)</f>
        <v>1</v>
      </c>
      <c r="S5221" s="6" t="str">
        <f>IFERROR(__xludf.DUMMYFUNCTION("""COMPUTED_VALUE"""),"Kimberly Ball")</f>
        <v>Kimberly Ball</v>
      </c>
      <c r="T5221" s="6" t="str">
        <f>IFERROR(__xludf.DUMMYFUNCTION("""COMPUTED_VALUE"""),"kimberly.ball@studient.com")</f>
        <v>kimberly.ball@studient.com</v>
      </c>
      <c r="U5221" s="6" t="str">
        <f>IFERROR(__xludf.DUMMYFUNCTION("""COMPUTED_VALUE"""),"3")</f>
        <v>3</v>
      </c>
      <c r="V5221" s="6" t="str">
        <f>IFERROR(__xludf.DUMMYFUNCTION("""COMPUTED_VALUE"""),"")</f>
        <v/>
      </c>
      <c r="W5221" s="6" t="str">
        <f>IFERROR(__xludf.DUMMYFUNCTION("""COMPUTED_VALUE"""),"[]")</f>
        <v>[]</v>
      </c>
      <c r="X5221" s="6" t="str">
        <f>IFERROR(__xludf.DUMMYFUNCTION("""COMPUTED_VALUE"""),"Enrolled")</f>
        <v>Enrolled</v>
      </c>
    </row>
    <row r="5222">
      <c r="A5222" s="6" t="str">
        <f>IFERROR(__xludf.DUMMYFUNCTION("""COMPUTED_VALUE"""),"086-12613")</f>
        <v>086-12613</v>
      </c>
      <c r="B5222" s="6" t="str">
        <f>IFERROR(__xludf.DUMMYFUNCTION("""COMPUTED_VALUE"""),"86")</f>
        <v>86</v>
      </c>
      <c r="C5222" s="6" t="str">
        <f>IFERROR(__xludf.DUMMYFUNCTION("""COMPUTED_VALUE"""),"12613")</f>
        <v>12613</v>
      </c>
      <c r="D5222" s="6" t="str">
        <f>IFERROR(__xludf.DUMMYFUNCTION("""COMPUTED_VALUE"""),"Tierra")</f>
        <v>Tierra</v>
      </c>
      <c r="E5222" s="6" t="str">
        <f>IFERROR(__xludf.DUMMYFUNCTION("""COMPUTED_VALUE"""),"")</f>
        <v/>
      </c>
      <c r="F5222" s="6" t="str">
        <f>IFERROR(__xludf.DUMMYFUNCTION("""COMPUTED_VALUE"""),"Kennedy")</f>
        <v>Kennedy</v>
      </c>
      <c r="G5222" s="6" t="str">
        <f>IFERROR(__xludf.DUMMYFUNCTION("""COMPUTED_VALUE"""),"01/03/2015")</f>
        <v>01/03/2015</v>
      </c>
      <c r="H5222" s="6" t="str">
        <f>IFERROR(__xludf.DUMMYFUNCTION("""COMPUTED_VALUE"""),"male")</f>
        <v>male</v>
      </c>
      <c r="I5222" s="6" t="str">
        <f>IFERROR(__xludf.DUMMYFUNCTION("""COMPUTED_VALUE"""),"Level 1")</f>
        <v>Level 1</v>
      </c>
      <c r="J5222" s="6" t="str">
        <f>IFERROR(__xludf.DUMMYFUNCTION("""COMPUTED_VALUE"""),"3")</f>
        <v>3</v>
      </c>
      <c r="K5222" s="6" t="str">
        <f>IFERROR(__xludf.DUMMYFUNCTION("""COMPUTED_VALUE"""),"tierra.kennedy@2hourlearning.com")</f>
        <v>tierra.kennedy@2hourlearning.com</v>
      </c>
      <c r="L5222" s="6" t="str">
        <f>IFERROR(__xludf.DUMMYFUNCTION("""COMPUTED_VALUE"""),"JRES - Ridgeland Elementary School")</f>
        <v>JRES - Ridgeland Elementary School</v>
      </c>
      <c r="M5222" s="6" t="str">
        <f>IFERROR(__xludf.DUMMYFUNCTION("""COMPUTED_VALUE"""),"")</f>
        <v/>
      </c>
      <c r="N5222" s="6" t="str">
        <f>IFERROR(__xludf.DUMMYFUNCTION("""COMPUTED_VALUE"""),"")</f>
        <v/>
      </c>
      <c r="O5222" s="87" t="str">
        <f>IFERROR(__xludf.DUMMYFUNCTION("""COMPUTED_VALUE"""),"https://drive.google.com/drive/folders/10T2cTQHqEJZqE-st6uFKPoI?usp=share_link")</f>
        <v>https://drive.google.com/drive/folders/10T2cTQHqEJZqE-st6uFKPoI?usp=share_link</v>
      </c>
      <c r="P5222" s="6" t="str">
        <f>IFERROR(__xludf.DUMMYFUNCTION("""COMPUTED_VALUE"""),"Tierra Kennedy")</f>
        <v>Tierra Kennedy</v>
      </c>
      <c r="Q5222" s="6" t="str">
        <f>IFERROR(__xludf.DUMMYFUNCTION("""COMPUTED_VALUE"""),"L1")</f>
        <v>L1</v>
      </c>
      <c r="R5222" s="6">
        <f>IFERROR(__xludf.DUMMYFUNCTION("""COMPUTED_VALUE"""),1.0)</f>
        <v>1</v>
      </c>
      <c r="S5222" s="6" t="str">
        <f>IFERROR(__xludf.DUMMYFUNCTION("""COMPUTED_VALUE"""),"Kimberly Ball")</f>
        <v>Kimberly Ball</v>
      </c>
      <c r="T5222" s="6" t="str">
        <f>IFERROR(__xludf.DUMMYFUNCTION("""COMPUTED_VALUE"""),"kimberly.ball@studient.com")</f>
        <v>kimberly.ball@studient.com</v>
      </c>
      <c r="U5222" s="6" t="str">
        <f>IFERROR(__xludf.DUMMYFUNCTION("""COMPUTED_VALUE"""),"3")</f>
        <v>3</v>
      </c>
      <c r="V5222" s="6" t="str">
        <f>IFERROR(__xludf.DUMMYFUNCTION("""COMPUTED_VALUE"""),"")</f>
        <v/>
      </c>
      <c r="W5222" s="6" t="str">
        <f>IFERROR(__xludf.DUMMYFUNCTION("""COMPUTED_VALUE"""),"[]")</f>
        <v>[]</v>
      </c>
      <c r="X5222" s="6" t="str">
        <f>IFERROR(__xludf.DUMMYFUNCTION("""COMPUTED_VALUE"""),"Enrolled")</f>
        <v>Enrolled</v>
      </c>
    </row>
    <row r="5223">
      <c r="A5223" s="6" t="str">
        <f>IFERROR(__xludf.DUMMYFUNCTION("""COMPUTED_VALUE"""),"086-12614")</f>
        <v>086-12614</v>
      </c>
      <c r="B5223" s="6" t="str">
        <f>IFERROR(__xludf.DUMMYFUNCTION("""COMPUTED_VALUE"""),"86")</f>
        <v>86</v>
      </c>
      <c r="C5223" s="6" t="str">
        <f>IFERROR(__xludf.DUMMYFUNCTION("""COMPUTED_VALUE"""),"12614")</f>
        <v>12614</v>
      </c>
      <c r="D5223" s="6" t="str">
        <f>IFERROR(__xludf.DUMMYFUNCTION("""COMPUTED_VALUE"""),"Taylor")</f>
        <v>Taylor</v>
      </c>
      <c r="E5223" s="6" t="str">
        <f>IFERROR(__xludf.DUMMYFUNCTION("""COMPUTED_VALUE"""),"")</f>
        <v/>
      </c>
      <c r="F5223" s="6" t="str">
        <f>IFERROR(__xludf.DUMMYFUNCTION("""COMPUTED_VALUE"""),"King")</f>
        <v>King</v>
      </c>
      <c r="G5223" s="6" t="str">
        <f>IFERROR(__xludf.DUMMYFUNCTION("""COMPUTED_VALUE"""),"10/13/2016")</f>
        <v>10/13/2016</v>
      </c>
      <c r="H5223" s="6" t="str">
        <f>IFERROR(__xludf.DUMMYFUNCTION("""COMPUTED_VALUE"""),"female")</f>
        <v>female</v>
      </c>
      <c r="I5223" s="6" t="str">
        <f>IFERROR(__xludf.DUMMYFUNCTION("""COMPUTED_VALUE"""),"Level 1")</f>
        <v>Level 1</v>
      </c>
      <c r="J5223" s="6" t="str">
        <f>IFERROR(__xludf.DUMMYFUNCTION("""COMPUTED_VALUE"""),"3")</f>
        <v>3</v>
      </c>
      <c r="K5223" s="6" t="str">
        <f>IFERROR(__xludf.DUMMYFUNCTION("""COMPUTED_VALUE"""),"taylor.king@2hourlearning.com")</f>
        <v>taylor.king@2hourlearning.com</v>
      </c>
      <c r="L5223" s="6" t="str">
        <f>IFERROR(__xludf.DUMMYFUNCTION("""COMPUTED_VALUE"""),"JRES - Ridgeland Elementary School")</f>
        <v>JRES - Ridgeland Elementary School</v>
      </c>
      <c r="M5223" s="6" t="str">
        <f>IFERROR(__xludf.DUMMYFUNCTION("""COMPUTED_VALUE"""),"")</f>
        <v/>
      </c>
      <c r="N5223" s="6" t="str">
        <f>IFERROR(__xludf.DUMMYFUNCTION("""COMPUTED_VALUE"""),"")</f>
        <v/>
      </c>
      <c r="O5223" s="87" t="str">
        <f>IFERROR(__xludf.DUMMYFUNCTION("""COMPUTED_VALUE"""),"https://drive.google.com/drive/folders/10T2cTQHqEJZqE-st6uFKPoI?usp=share_link")</f>
        <v>https://drive.google.com/drive/folders/10T2cTQHqEJZqE-st6uFKPoI?usp=share_link</v>
      </c>
      <c r="P5223" s="6" t="str">
        <f>IFERROR(__xludf.DUMMYFUNCTION("""COMPUTED_VALUE"""),"Taylor King")</f>
        <v>Taylor King</v>
      </c>
      <c r="Q5223" s="6" t="str">
        <f>IFERROR(__xludf.DUMMYFUNCTION("""COMPUTED_VALUE"""),"L1")</f>
        <v>L1</v>
      </c>
      <c r="R5223" s="6">
        <f>IFERROR(__xludf.DUMMYFUNCTION("""COMPUTED_VALUE"""),1.0)</f>
        <v>1</v>
      </c>
      <c r="S5223" s="6" t="str">
        <f>IFERROR(__xludf.DUMMYFUNCTION("""COMPUTED_VALUE"""),"Kimberly Ball")</f>
        <v>Kimberly Ball</v>
      </c>
      <c r="T5223" s="6" t="str">
        <f>IFERROR(__xludf.DUMMYFUNCTION("""COMPUTED_VALUE"""),"kimberly.ball@studient.com")</f>
        <v>kimberly.ball@studient.com</v>
      </c>
      <c r="U5223" s="6" t="str">
        <f>IFERROR(__xludf.DUMMYFUNCTION("""COMPUTED_VALUE"""),"3")</f>
        <v>3</v>
      </c>
      <c r="V5223" s="6" t="str">
        <f>IFERROR(__xludf.DUMMYFUNCTION("""COMPUTED_VALUE"""),"")</f>
        <v/>
      </c>
      <c r="W5223" s="6" t="str">
        <f>IFERROR(__xludf.DUMMYFUNCTION("""COMPUTED_VALUE"""),"[]")</f>
        <v>[]</v>
      </c>
      <c r="X5223" s="6" t="str">
        <f>IFERROR(__xludf.DUMMYFUNCTION("""COMPUTED_VALUE"""),"Enrolled")</f>
        <v>Enrolled</v>
      </c>
    </row>
    <row r="5224">
      <c r="A5224" s="6" t="str">
        <f>IFERROR(__xludf.DUMMYFUNCTION("""COMPUTED_VALUE"""),"086-12615")</f>
        <v>086-12615</v>
      </c>
      <c r="B5224" s="6" t="str">
        <f>IFERROR(__xludf.DUMMYFUNCTION("""COMPUTED_VALUE"""),"86")</f>
        <v>86</v>
      </c>
      <c r="C5224" s="6" t="str">
        <f>IFERROR(__xludf.DUMMYFUNCTION("""COMPUTED_VALUE"""),"12615")</f>
        <v>12615</v>
      </c>
      <c r="D5224" s="6" t="str">
        <f>IFERROR(__xludf.DUMMYFUNCTION("""COMPUTED_VALUE"""),"Lucas")</f>
        <v>Lucas</v>
      </c>
      <c r="E5224" s="6" t="str">
        <f>IFERROR(__xludf.DUMMYFUNCTION("""COMPUTED_VALUE"""),"")</f>
        <v/>
      </c>
      <c r="F5224" s="6" t="str">
        <f>IFERROR(__xludf.DUMMYFUNCTION("""COMPUTED_VALUE"""),"Knotts")</f>
        <v>Knotts</v>
      </c>
      <c r="G5224" s="6" t="str">
        <f>IFERROR(__xludf.DUMMYFUNCTION("""COMPUTED_VALUE"""),"02/07/2015")</f>
        <v>02/07/2015</v>
      </c>
      <c r="H5224" s="6" t="str">
        <f>IFERROR(__xludf.DUMMYFUNCTION("""COMPUTED_VALUE"""),"female")</f>
        <v>female</v>
      </c>
      <c r="I5224" s="6" t="str">
        <f>IFERROR(__xludf.DUMMYFUNCTION("""COMPUTED_VALUE"""),"Level 1")</f>
        <v>Level 1</v>
      </c>
      <c r="J5224" s="6" t="str">
        <f>IFERROR(__xludf.DUMMYFUNCTION("""COMPUTED_VALUE"""),"3")</f>
        <v>3</v>
      </c>
      <c r="K5224" s="6" t="str">
        <f>IFERROR(__xludf.DUMMYFUNCTION("""COMPUTED_VALUE"""),"lucas.knotts@2hourlearning.com")</f>
        <v>lucas.knotts@2hourlearning.com</v>
      </c>
      <c r="L5224" s="6" t="str">
        <f>IFERROR(__xludf.DUMMYFUNCTION("""COMPUTED_VALUE"""),"JRES - Ridgeland Elementary School")</f>
        <v>JRES - Ridgeland Elementary School</v>
      </c>
      <c r="M5224" s="6" t="str">
        <f>IFERROR(__xludf.DUMMYFUNCTION("""COMPUTED_VALUE"""),"")</f>
        <v/>
      </c>
      <c r="N5224" s="6" t="str">
        <f>IFERROR(__xludf.DUMMYFUNCTION("""COMPUTED_VALUE"""),"")</f>
        <v/>
      </c>
      <c r="O5224" s="87" t="str">
        <f>IFERROR(__xludf.DUMMYFUNCTION("""COMPUTED_VALUE"""),"https://drive.google.com/drive/folders/10T2cTQHqEJZqE-st6uFKPoI?usp=share_link")</f>
        <v>https://drive.google.com/drive/folders/10T2cTQHqEJZqE-st6uFKPoI?usp=share_link</v>
      </c>
      <c r="P5224" s="6" t="str">
        <f>IFERROR(__xludf.DUMMYFUNCTION("""COMPUTED_VALUE"""),"Lucas Knotts")</f>
        <v>Lucas Knotts</v>
      </c>
      <c r="Q5224" s="6" t="str">
        <f>IFERROR(__xludf.DUMMYFUNCTION("""COMPUTED_VALUE"""),"L1")</f>
        <v>L1</v>
      </c>
      <c r="R5224" s="6">
        <f>IFERROR(__xludf.DUMMYFUNCTION("""COMPUTED_VALUE"""),1.0)</f>
        <v>1</v>
      </c>
      <c r="S5224" s="6" t="str">
        <f>IFERROR(__xludf.DUMMYFUNCTION("""COMPUTED_VALUE"""),"Kimberly Ball")</f>
        <v>Kimberly Ball</v>
      </c>
      <c r="T5224" s="6" t="str">
        <f>IFERROR(__xludf.DUMMYFUNCTION("""COMPUTED_VALUE"""),"kimberly.ball@studient.com")</f>
        <v>kimberly.ball@studient.com</v>
      </c>
      <c r="U5224" s="6" t="str">
        <f>IFERROR(__xludf.DUMMYFUNCTION("""COMPUTED_VALUE"""),"3")</f>
        <v>3</v>
      </c>
      <c r="V5224" s="6" t="str">
        <f>IFERROR(__xludf.DUMMYFUNCTION("""COMPUTED_VALUE"""),"")</f>
        <v/>
      </c>
      <c r="W5224" s="6" t="str">
        <f>IFERROR(__xludf.DUMMYFUNCTION("""COMPUTED_VALUE"""),"[]")</f>
        <v>[]</v>
      </c>
      <c r="X5224" s="6" t="str">
        <f>IFERROR(__xludf.DUMMYFUNCTION("""COMPUTED_VALUE"""),"Enrolled")</f>
        <v>Enrolled</v>
      </c>
    </row>
    <row r="5225">
      <c r="A5225" s="6" t="str">
        <f>IFERROR(__xludf.DUMMYFUNCTION("""COMPUTED_VALUE"""),"086-12616")</f>
        <v>086-12616</v>
      </c>
      <c r="B5225" s="6" t="str">
        <f>IFERROR(__xludf.DUMMYFUNCTION("""COMPUTED_VALUE"""),"86")</f>
        <v>86</v>
      </c>
      <c r="C5225" s="6" t="str">
        <f>IFERROR(__xludf.DUMMYFUNCTION("""COMPUTED_VALUE"""),"12616")</f>
        <v>12616</v>
      </c>
      <c r="D5225" s="6" t="str">
        <f>IFERROR(__xludf.DUMMYFUNCTION("""COMPUTED_VALUE"""),"Jose")</f>
        <v>Jose</v>
      </c>
      <c r="E5225" s="6" t="str">
        <f>IFERROR(__xludf.DUMMYFUNCTION("""COMPUTED_VALUE"""),"")</f>
        <v/>
      </c>
      <c r="F5225" s="6" t="str">
        <f>IFERROR(__xludf.DUMMYFUNCTION("""COMPUTED_VALUE"""),"Leon Bello")</f>
        <v>Leon Bello</v>
      </c>
      <c r="G5225" s="6" t="str">
        <f>IFERROR(__xludf.DUMMYFUNCTION("""COMPUTED_VALUE"""),"10/26/2014")</f>
        <v>10/26/2014</v>
      </c>
      <c r="H5225" s="6" t="str">
        <f>IFERROR(__xludf.DUMMYFUNCTION("""COMPUTED_VALUE"""),"female")</f>
        <v>female</v>
      </c>
      <c r="I5225" s="6" t="str">
        <f>IFERROR(__xludf.DUMMYFUNCTION("""COMPUTED_VALUE"""),"Level 1")</f>
        <v>Level 1</v>
      </c>
      <c r="J5225" s="6" t="str">
        <f>IFERROR(__xludf.DUMMYFUNCTION("""COMPUTED_VALUE"""),"3")</f>
        <v>3</v>
      </c>
      <c r="K5225" s="6" t="str">
        <f>IFERROR(__xludf.DUMMYFUNCTION("""COMPUTED_VALUE"""),"jose.leonbello@2hourlearning.com")</f>
        <v>jose.leonbello@2hourlearning.com</v>
      </c>
      <c r="L5225" s="6" t="str">
        <f>IFERROR(__xludf.DUMMYFUNCTION("""COMPUTED_VALUE"""),"JRES - Ridgeland Elementary School")</f>
        <v>JRES - Ridgeland Elementary School</v>
      </c>
      <c r="M5225" s="6" t="str">
        <f>IFERROR(__xludf.DUMMYFUNCTION("""COMPUTED_VALUE"""),"")</f>
        <v/>
      </c>
      <c r="N5225" s="6" t="str">
        <f>IFERROR(__xludf.DUMMYFUNCTION("""COMPUTED_VALUE"""),"")</f>
        <v/>
      </c>
      <c r="O5225" s="87" t="str">
        <f>IFERROR(__xludf.DUMMYFUNCTION("""COMPUTED_VALUE"""),"https://drive.google.com/drive/folders/10T2cTQHqEJZqE-st6uFKPoI?usp=share_link")</f>
        <v>https://drive.google.com/drive/folders/10T2cTQHqEJZqE-st6uFKPoI?usp=share_link</v>
      </c>
      <c r="P5225" s="6" t="str">
        <f>IFERROR(__xludf.DUMMYFUNCTION("""COMPUTED_VALUE"""),"Jose Leon Bello")</f>
        <v>Jose Leon Bello</v>
      </c>
      <c r="Q5225" s="6" t="str">
        <f>IFERROR(__xludf.DUMMYFUNCTION("""COMPUTED_VALUE"""),"L1")</f>
        <v>L1</v>
      </c>
      <c r="R5225" s="6">
        <f>IFERROR(__xludf.DUMMYFUNCTION("""COMPUTED_VALUE"""),1.0)</f>
        <v>1</v>
      </c>
      <c r="S5225" s="6" t="str">
        <f>IFERROR(__xludf.DUMMYFUNCTION("""COMPUTED_VALUE"""),"Kimberly Ball")</f>
        <v>Kimberly Ball</v>
      </c>
      <c r="T5225" s="6" t="str">
        <f>IFERROR(__xludf.DUMMYFUNCTION("""COMPUTED_VALUE"""),"kimberly.ball@studient.com")</f>
        <v>kimberly.ball@studient.com</v>
      </c>
      <c r="U5225" s="6" t="str">
        <f>IFERROR(__xludf.DUMMYFUNCTION("""COMPUTED_VALUE"""),"3")</f>
        <v>3</v>
      </c>
      <c r="V5225" s="6" t="str">
        <f>IFERROR(__xludf.DUMMYFUNCTION("""COMPUTED_VALUE"""),"")</f>
        <v/>
      </c>
      <c r="W5225" s="6" t="str">
        <f>IFERROR(__xludf.DUMMYFUNCTION("""COMPUTED_VALUE"""),"[]")</f>
        <v>[]</v>
      </c>
      <c r="X5225" s="6" t="str">
        <f>IFERROR(__xludf.DUMMYFUNCTION("""COMPUTED_VALUE"""),"Enrolled")</f>
        <v>Enrolled</v>
      </c>
    </row>
    <row r="5226">
      <c r="A5226" s="6" t="str">
        <f>IFERROR(__xludf.DUMMYFUNCTION("""COMPUTED_VALUE"""),"086-12617")</f>
        <v>086-12617</v>
      </c>
      <c r="B5226" s="6" t="str">
        <f>IFERROR(__xludf.DUMMYFUNCTION("""COMPUTED_VALUE"""),"86")</f>
        <v>86</v>
      </c>
      <c r="C5226" s="6" t="str">
        <f>IFERROR(__xludf.DUMMYFUNCTION("""COMPUTED_VALUE"""),"12617")</f>
        <v>12617</v>
      </c>
      <c r="D5226" s="6" t="str">
        <f>IFERROR(__xludf.DUMMYFUNCTION("""COMPUTED_VALUE"""),"Jahany")</f>
        <v>Jahany</v>
      </c>
      <c r="E5226" s="6" t="str">
        <f>IFERROR(__xludf.DUMMYFUNCTION("""COMPUTED_VALUE"""),"")</f>
        <v/>
      </c>
      <c r="F5226" s="6" t="str">
        <f>IFERROR(__xludf.DUMMYFUNCTION("""COMPUTED_VALUE"""),"Lopez Adame")</f>
        <v>Lopez Adame</v>
      </c>
      <c r="G5226" s="6" t="str">
        <f>IFERROR(__xludf.DUMMYFUNCTION("""COMPUTED_VALUE"""),"03/03/2016")</f>
        <v>03/03/2016</v>
      </c>
      <c r="H5226" s="6" t="str">
        <f>IFERROR(__xludf.DUMMYFUNCTION("""COMPUTED_VALUE"""),"female")</f>
        <v>female</v>
      </c>
      <c r="I5226" s="6" t="str">
        <f>IFERROR(__xludf.DUMMYFUNCTION("""COMPUTED_VALUE"""),"Level 1")</f>
        <v>Level 1</v>
      </c>
      <c r="J5226" s="6" t="str">
        <f>IFERROR(__xludf.DUMMYFUNCTION("""COMPUTED_VALUE"""),"3")</f>
        <v>3</v>
      </c>
      <c r="K5226" s="6" t="str">
        <f>IFERROR(__xludf.DUMMYFUNCTION("""COMPUTED_VALUE"""),"jahany.lopezadame@2hourlearning.com")</f>
        <v>jahany.lopezadame@2hourlearning.com</v>
      </c>
      <c r="L5226" s="6" t="str">
        <f>IFERROR(__xludf.DUMMYFUNCTION("""COMPUTED_VALUE"""),"JRES - Ridgeland Elementary School")</f>
        <v>JRES - Ridgeland Elementary School</v>
      </c>
      <c r="M5226" s="6" t="str">
        <f>IFERROR(__xludf.DUMMYFUNCTION("""COMPUTED_VALUE"""),"")</f>
        <v/>
      </c>
      <c r="N5226" s="6" t="str">
        <f>IFERROR(__xludf.DUMMYFUNCTION("""COMPUTED_VALUE"""),"")</f>
        <v/>
      </c>
      <c r="O5226" s="87" t="str">
        <f>IFERROR(__xludf.DUMMYFUNCTION("""COMPUTED_VALUE"""),"https://drive.google.com/drive/folders/10T2cTQHqEJZqE-st6uFKPoI?usp=share_link")</f>
        <v>https://drive.google.com/drive/folders/10T2cTQHqEJZqE-st6uFKPoI?usp=share_link</v>
      </c>
      <c r="P5226" s="6" t="str">
        <f>IFERROR(__xludf.DUMMYFUNCTION("""COMPUTED_VALUE"""),"Jahany Lopez Adame")</f>
        <v>Jahany Lopez Adame</v>
      </c>
      <c r="Q5226" s="6" t="str">
        <f>IFERROR(__xludf.DUMMYFUNCTION("""COMPUTED_VALUE"""),"L1")</f>
        <v>L1</v>
      </c>
      <c r="R5226" s="6">
        <f>IFERROR(__xludf.DUMMYFUNCTION("""COMPUTED_VALUE"""),1.0)</f>
        <v>1</v>
      </c>
      <c r="S5226" s="6" t="str">
        <f>IFERROR(__xludf.DUMMYFUNCTION("""COMPUTED_VALUE"""),"Kimberly Ball")</f>
        <v>Kimberly Ball</v>
      </c>
      <c r="T5226" s="6" t="str">
        <f>IFERROR(__xludf.DUMMYFUNCTION("""COMPUTED_VALUE"""),"kimberly.ball@studient.com")</f>
        <v>kimberly.ball@studient.com</v>
      </c>
      <c r="U5226" s="6" t="str">
        <f>IFERROR(__xludf.DUMMYFUNCTION("""COMPUTED_VALUE"""),"3")</f>
        <v>3</v>
      </c>
      <c r="V5226" s="6" t="str">
        <f>IFERROR(__xludf.DUMMYFUNCTION("""COMPUTED_VALUE"""),"")</f>
        <v/>
      </c>
      <c r="W5226" s="6" t="str">
        <f>IFERROR(__xludf.DUMMYFUNCTION("""COMPUTED_VALUE"""),"[]")</f>
        <v>[]</v>
      </c>
      <c r="X5226" s="6" t="str">
        <f>IFERROR(__xludf.DUMMYFUNCTION("""COMPUTED_VALUE"""),"Enrolled")</f>
        <v>Enrolled</v>
      </c>
    </row>
    <row r="5227">
      <c r="A5227" s="6" t="str">
        <f>IFERROR(__xludf.DUMMYFUNCTION("""COMPUTED_VALUE"""),"086-12618")</f>
        <v>086-12618</v>
      </c>
      <c r="B5227" s="6" t="str">
        <f>IFERROR(__xludf.DUMMYFUNCTION("""COMPUTED_VALUE"""),"86")</f>
        <v>86</v>
      </c>
      <c r="C5227" s="6" t="str">
        <f>IFERROR(__xludf.DUMMYFUNCTION("""COMPUTED_VALUE"""),"12618")</f>
        <v>12618</v>
      </c>
      <c r="D5227" s="6" t="str">
        <f>IFERROR(__xludf.DUMMYFUNCTION("""COMPUTED_VALUE"""),"Gisell")</f>
        <v>Gisell</v>
      </c>
      <c r="E5227" s="6" t="str">
        <f>IFERROR(__xludf.DUMMYFUNCTION("""COMPUTED_VALUE"""),"")</f>
        <v/>
      </c>
      <c r="F5227" s="6" t="str">
        <f>IFERROR(__xludf.DUMMYFUNCTION("""COMPUTED_VALUE"""),"Lorenzo Lopez")</f>
        <v>Lorenzo Lopez</v>
      </c>
      <c r="G5227" s="6" t="str">
        <f>IFERROR(__xludf.DUMMYFUNCTION("""COMPUTED_VALUE"""),"04/19/2016")</f>
        <v>04/19/2016</v>
      </c>
      <c r="H5227" s="6" t="str">
        <f>IFERROR(__xludf.DUMMYFUNCTION("""COMPUTED_VALUE"""),"female")</f>
        <v>female</v>
      </c>
      <c r="I5227" s="6" t="str">
        <f>IFERROR(__xludf.DUMMYFUNCTION("""COMPUTED_VALUE"""),"Level 1")</f>
        <v>Level 1</v>
      </c>
      <c r="J5227" s="6" t="str">
        <f>IFERROR(__xludf.DUMMYFUNCTION("""COMPUTED_VALUE"""),"3")</f>
        <v>3</v>
      </c>
      <c r="K5227" s="6" t="str">
        <f>IFERROR(__xludf.DUMMYFUNCTION("""COMPUTED_VALUE"""),"gisell.lorenzolopez@2hourlearning.com")</f>
        <v>gisell.lorenzolopez@2hourlearning.com</v>
      </c>
      <c r="L5227" s="6" t="str">
        <f>IFERROR(__xludf.DUMMYFUNCTION("""COMPUTED_VALUE"""),"JRES - Ridgeland Elementary School")</f>
        <v>JRES - Ridgeland Elementary School</v>
      </c>
      <c r="M5227" s="6" t="str">
        <f>IFERROR(__xludf.DUMMYFUNCTION("""COMPUTED_VALUE"""),"")</f>
        <v/>
      </c>
      <c r="N5227" s="6" t="str">
        <f>IFERROR(__xludf.DUMMYFUNCTION("""COMPUTED_VALUE"""),"")</f>
        <v/>
      </c>
      <c r="O5227" s="87" t="str">
        <f>IFERROR(__xludf.DUMMYFUNCTION("""COMPUTED_VALUE"""),"https://drive.google.com/drive/folders/10T2cTQHqEJZqE-st6uFKPoI?usp=share_link")</f>
        <v>https://drive.google.com/drive/folders/10T2cTQHqEJZqE-st6uFKPoI?usp=share_link</v>
      </c>
      <c r="P5227" s="6" t="str">
        <f>IFERROR(__xludf.DUMMYFUNCTION("""COMPUTED_VALUE"""),"Gisell Lorenzo Lopez")</f>
        <v>Gisell Lorenzo Lopez</v>
      </c>
      <c r="Q5227" s="6" t="str">
        <f>IFERROR(__xludf.DUMMYFUNCTION("""COMPUTED_VALUE"""),"L1")</f>
        <v>L1</v>
      </c>
      <c r="R5227" s="6">
        <f>IFERROR(__xludf.DUMMYFUNCTION("""COMPUTED_VALUE"""),1.0)</f>
        <v>1</v>
      </c>
      <c r="S5227" s="6" t="str">
        <f>IFERROR(__xludf.DUMMYFUNCTION("""COMPUTED_VALUE"""),"Kimberly Ball")</f>
        <v>Kimberly Ball</v>
      </c>
      <c r="T5227" s="6" t="str">
        <f>IFERROR(__xludf.DUMMYFUNCTION("""COMPUTED_VALUE"""),"kimberly.ball@studient.com")</f>
        <v>kimberly.ball@studient.com</v>
      </c>
      <c r="U5227" s="6" t="str">
        <f>IFERROR(__xludf.DUMMYFUNCTION("""COMPUTED_VALUE"""),"3")</f>
        <v>3</v>
      </c>
      <c r="V5227" s="6" t="str">
        <f>IFERROR(__xludf.DUMMYFUNCTION("""COMPUTED_VALUE"""),"")</f>
        <v/>
      </c>
      <c r="W5227" s="6" t="str">
        <f>IFERROR(__xludf.DUMMYFUNCTION("""COMPUTED_VALUE"""),"[]")</f>
        <v>[]</v>
      </c>
      <c r="X5227" s="6" t="str">
        <f>IFERROR(__xludf.DUMMYFUNCTION("""COMPUTED_VALUE"""),"Enrolled")</f>
        <v>Enrolled</v>
      </c>
    </row>
    <row r="5228">
      <c r="A5228" s="6" t="str">
        <f>IFERROR(__xludf.DUMMYFUNCTION("""COMPUTED_VALUE"""),"086-12619")</f>
        <v>086-12619</v>
      </c>
      <c r="B5228" s="6" t="str">
        <f>IFERROR(__xludf.DUMMYFUNCTION("""COMPUTED_VALUE"""),"86")</f>
        <v>86</v>
      </c>
      <c r="C5228" s="6" t="str">
        <f>IFERROR(__xludf.DUMMYFUNCTION("""COMPUTED_VALUE"""),"12619")</f>
        <v>12619</v>
      </c>
      <c r="D5228" s="6" t="str">
        <f>IFERROR(__xludf.DUMMYFUNCTION("""COMPUTED_VALUE"""),"Kevin")</f>
        <v>Kevin</v>
      </c>
      <c r="E5228" s="6" t="str">
        <f>IFERROR(__xludf.DUMMYFUNCTION("""COMPUTED_VALUE"""),"")</f>
        <v/>
      </c>
      <c r="F5228" s="6" t="str">
        <f>IFERROR(__xludf.DUMMYFUNCTION("""COMPUTED_VALUE"""),"Maldonado Mendoza")</f>
        <v>Maldonado Mendoza</v>
      </c>
      <c r="G5228" s="6" t="str">
        <f>IFERROR(__xludf.DUMMYFUNCTION("""COMPUTED_VALUE"""),"04/20/2015")</f>
        <v>04/20/2015</v>
      </c>
      <c r="H5228" s="6" t="str">
        <f>IFERROR(__xludf.DUMMYFUNCTION("""COMPUTED_VALUE"""),"male")</f>
        <v>male</v>
      </c>
      <c r="I5228" s="6" t="str">
        <f>IFERROR(__xludf.DUMMYFUNCTION("""COMPUTED_VALUE"""),"Level 1")</f>
        <v>Level 1</v>
      </c>
      <c r="J5228" s="6" t="str">
        <f>IFERROR(__xludf.DUMMYFUNCTION("""COMPUTED_VALUE"""),"3")</f>
        <v>3</v>
      </c>
      <c r="K5228" s="6" t="str">
        <f>IFERROR(__xludf.DUMMYFUNCTION("""COMPUTED_VALUE"""),"kevin.maldonadomendoza@2hourlearning.com")</f>
        <v>kevin.maldonadomendoza@2hourlearning.com</v>
      </c>
      <c r="L5228" s="6" t="str">
        <f>IFERROR(__xludf.DUMMYFUNCTION("""COMPUTED_VALUE"""),"JRES - Ridgeland Elementary School")</f>
        <v>JRES - Ridgeland Elementary School</v>
      </c>
      <c r="M5228" s="6" t="str">
        <f>IFERROR(__xludf.DUMMYFUNCTION("""COMPUTED_VALUE"""),"")</f>
        <v/>
      </c>
      <c r="N5228" s="6" t="str">
        <f>IFERROR(__xludf.DUMMYFUNCTION("""COMPUTED_VALUE"""),"")</f>
        <v/>
      </c>
      <c r="O5228" s="87" t="str">
        <f>IFERROR(__xludf.DUMMYFUNCTION("""COMPUTED_VALUE"""),"https://drive.google.com/drive/folders/10T2cTQHqEJZqE-st6uFKPoI?usp=share_link")</f>
        <v>https://drive.google.com/drive/folders/10T2cTQHqEJZqE-st6uFKPoI?usp=share_link</v>
      </c>
      <c r="P5228" s="6" t="str">
        <f>IFERROR(__xludf.DUMMYFUNCTION("""COMPUTED_VALUE"""),"Kevin Maldonado Mendoza")</f>
        <v>Kevin Maldonado Mendoza</v>
      </c>
      <c r="Q5228" s="6" t="str">
        <f>IFERROR(__xludf.DUMMYFUNCTION("""COMPUTED_VALUE"""),"L1")</f>
        <v>L1</v>
      </c>
      <c r="R5228" s="6">
        <f>IFERROR(__xludf.DUMMYFUNCTION("""COMPUTED_VALUE"""),1.0)</f>
        <v>1</v>
      </c>
      <c r="S5228" s="6" t="str">
        <f>IFERROR(__xludf.DUMMYFUNCTION("""COMPUTED_VALUE"""),"Kimberly Ball")</f>
        <v>Kimberly Ball</v>
      </c>
      <c r="T5228" s="6" t="str">
        <f>IFERROR(__xludf.DUMMYFUNCTION("""COMPUTED_VALUE"""),"kimberly.ball@studient.com")</f>
        <v>kimberly.ball@studient.com</v>
      </c>
      <c r="U5228" s="6" t="str">
        <f>IFERROR(__xludf.DUMMYFUNCTION("""COMPUTED_VALUE"""),"3")</f>
        <v>3</v>
      </c>
      <c r="V5228" s="6" t="str">
        <f>IFERROR(__xludf.DUMMYFUNCTION("""COMPUTED_VALUE"""),"")</f>
        <v/>
      </c>
      <c r="W5228" s="6" t="str">
        <f>IFERROR(__xludf.DUMMYFUNCTION("""COMPUTED_VALUE"""),"[]")</f>
        <v>[]</v>
      </c>
      <c r="X5228" s="6" t="str">
        <f>IFERROR(__xludf.DUMMYFUNCTION("""COMPUTED_VALUE"""),"Enrolled")</f>
        <v>Enrolled</v>
      </c>
    </row>
    <row r="5229">
      <c r="A5229" s="6" t="str">
        <f>IFERROR(__xludf.DUMMYFUNCTION("""COMPUTED_VALUE"""),"086-12620")</f>
        <v>086-12620</v>
      </c>
      <c r="B5229" s="6" t="str">
        <f>IFERROR(__xludf.DUMMYFUNCTION("""COMPUTED_VALUE"""),"86")</f>
        <v>86</v>
      </c>
      <c r="C5229" s="6" t="str">
        <f>IFERROR(__xludf.DUMMYFUNCTION("""COMPUTED_VALUE"""),"12620")</f>
        <v>12620</v>
      </c>
      <c r="D5229" s="6" t="str">
        <f>IFERROR(__xludf.DUMMYFUNCTION("""COMPUTED_VALUE"""),"Madison")</f>
        <v>Madison</v>
      </c>
      <c r="E5229" s="6" t="str">
        <f>IFERROR(__xludf.DUMMYFUNCTION("""COMPUTED_VALUE"""),"")</f>
        <v/>
      </c>
      <c r="F5229" s="6" t="str">
        <f>IFERROR(__xludf.DUMMYFUNCTION("""COMPUTED_VALUE"""),"Mallory")</f>
        <v>Mallory</v>
      </c>
      <c r="G5229" s="6" t="str">
        <f>IFERROR(__xludf.DUMMYFUNCTION("""COMPUTED_VALUE"""),"01/02/2017")</f>
        <v>01/02/2017</v>
      </c>
      <c r="H5229" s="6" t="str">
        <f>IFERROR(__xludf.DUMMYFUNCTION("""COMPUTED_VALUE"""),"male")</f>
        <v>male</v>
      </c>
      <c r="I5229" s="6" t="str">
        <f>IFERROR(__xludf.DUMMYFUNCTION("""COMPUTED_VALUE"""),"Level 1")</f>
        <v>Level 1</v>
      </c>
      <c r="J5229" s="6" t="str">
        <f>IFERROR(__xludf.DUMMYFUNCTION("""COMPUTED_VALUE"""),"3")</f>
        <v>3</v>
      </c>
      <c r="K5229" s="6" t="str">
        <f>IFERROR(__xludf.DUMMYFUNCTION("""COMPUTED_VALUE"""),"madison.mallory@2hourlearning.com")</f>
        <v>madison.mallory@2hourlearning.com</v>
      </c>
      <c r="L5229" s="6" t="str">
        <f>IFERROR(__xludf.DUMMYFUNCTION("""COMPUTED_VALUE"""),"JRES - Ridgeland Elementary School")</f>
        <v>JRES - Ridgeland Elementary School</v>
      </c>
      <c r="M5229" s="6" t="str">
        <f>IFERROR(__xludf.DUMMYFUNCTION("""COMPUTED_VALUE"""),"")</f>
        <v/>
      </c>
      <c r="N5229" s="6" t="str">
        <f>IFERROR(__xludf.DUMMYFUNCTION("""COMPUTED_VALUE"""),"")</f>
        <v/>
      </c>
      <c r="O5229" s="87" t="str">
        <f>IFERROR(__xludf.DUMMYFUNCTION("""COMPUTED_VALUE"""),"https://drive.google.com/drive/folders/10T2cTQHqEJZqE-st6uFKPoI?usp=share_link")</f>
        <v>https://drive.google.com/drive/folders/10T2cTQHqEJZqE-st6uFKPoI?usp=share_link</v>
      </c>
      <c r="P5229" s="6" t="str">
        <f>IFERROR(__xludf.DUMMYFUNCTION("""COMPUTED_VALUE"""),"Madison Mallory")</f>
        <v>Madison Mallory</v>
      </c>
      <c r="Q5229" s="6" t="str">
        <f>IFERROR(__xludf.DUMMYFUNCTION("""COMPUTED_VALUE"""),"L1")</f>
        <v>L1</v>
      </c>
      <c r="R5229" s="6">
        <f>IFERROR(__xludf.DUMMYFUNCTION("""COMPUTED_VALUE"""),1.0)</f>
        <v>1</v>
      </c>
      <c r="S5229" s="6" t="str">
        <f>IFERROR(__xludf.DUMMYFUNCTION("""COMPUTED_VALUE"""),"Kimberly Ball")</f>
        <v>Kimberly Ball</v>
      </c>
      <c r="T5229" s="6" t="str">
        <f>IFERROR(__xludf.DUMMYFUNCTION("""COMPUTED_VALUE"""),"kimberly.ball@studient.com")</f>
        <v>kimberly.ball@studient.com</v>
      </c>
      <c r="U5229" s="6" t="str">
        <f>IFERROR(__xludf.DUMMYFUNCTION("""COMPUTED_VALUE"""),"3")</f>
        <v>3</v>
      </c>
      <c r="V5229" s="6" t="str">
        <f>IFERROR(__xludf.DUMMYFUNCTION("""COMPUTED_VALUE"""),"")</f>
        <v/>
      </c>
      <c r="W5229" s="6" t="str">
        <f>IFERROR(__xludf.DUMMYFUNCTION("""COMPUTED_VALUE"""),"[]")</f>
        <v>[]</v>
      </c>
      <c r="X5229" s="6" t="str">
        <f>IFERROR(__xludf.DUMMYFUNCTION("""COMPUTED_VALUE"""),"Enrolled")</f>
        <v>Enrolled</v>
      </c>
    </row>
    <row r="5230">
      <c r="A5230" s="6" t="str">
        <f>IFERROR(__xludf.DUMMYFUNCTION("""COMPUTED_VALUE"""),"086-12621")</f>
        <v>086-12621</v>
      </c>
      <c r="B5230" s="6" t="str">
        <f>IFERROR(__xludf.DUMMYFUNCTION("""COMPUTED_VALUE"""),"86")</f>
        <v>86</v>
      </c>
      <c r="C5230" s="6" t="str">
        <f>IFERROR(__xludf.DUMMYFUNCTION("""COMPUTED_VALUE"""),"12621")</f>
        <v>12621</v>
      </c>
      <c r="D5230" s="6" t="str">
        <f>IFERROR(__xludf.DUMMYFUNCTION("""COMPUTED_VALUE"""),"Genesis")</f>
        <v>Genesis</v>
      </c>
      <c r="E5230" s="6" t="str">
        <f>IFERROR(__xludf.DUMMYFUNCTION("""COMPUTED_VALUE"""),"")</f>
        <v/>
      </c>
      <c r="F5230" s="6" t="str">
        <f>IFERROR(__xludf.DUMMYFUNCTION("""COMPUTED_VALUE"""),"Marin Miranda")</f>
        <v>Marin Miranda</v>
      </c>
      <c r="G5230" s="6" t="str">
        <f>IFERROR(__xludf.DUMMYFUNCTION("""COMPUTED_VALUE"""),"02/21/2017")</f>
        <v>02/21/2017</v>
      </c>
      <c r="H5230" s="6" t="str">
        <f>IFERROR(__xludf.DUMMYFUNCTION("""COMPUTED_VALUE"""),"male")</f>
        <v>male</v>
      </c>
      <c r="I5230" s="6" t="str">
        <f>IFERROR(__xludf.DUMMYFUNCTION("""COMPUTED_VALUE"""),"Level 1")</f>
        <v>Level 1</v>
      </c>
      <c r="J5230" s="6" t="str">
        <f>IFERROR(__xludf.DUMMYFUNCTION("""COMPUTED_VALUE"""),"3")</f>
        <v>3</v>
      </c>
      <c r="K5230" s="6" t="str">
        <f>IFERROR(__xludf.DUMMYFUNCTION("""COMPUTED_VALUE"""),"genesis.marinmiranda@2hourlearning.com")</f>
        <v>genesis.marinmiranda@2hourlearning.com</v>
      </c>
      <c r="L5230" s="6" t="str">
        <f>IFERROR(__xludf.DUMMYFUNCTION("""COMPUTED_VALUE"""),"JRES - Ridgeland Elementary School")</f>
        <v>JRES - Ridgeland Elementary School</v>
      </c>
      <c r="M5230" s="6" t="str">
        <f>IFERROR(__xludf.DUMMYFUNCTION("""COMPUTED_VALUE"""),"")</f>
        <v/>
      </c>
      <c r="N5230" s="6" t="str">
        <f>IFERROR(__xludf.DUMMYFUNCTION("""COMPUTED_VALUE"""),"")</f>
        <v/>
      </c>
      <c r="O5230" s="87" t="str">
        <f>IFERROR(__xludf.DUMMYFUNCTION("""COMPUTED_VALUE"""),"https://drive.google.com/drive/folders/10T2cTQHqEJZqE-st6uFKPoI?usp=share_link")</f>
        <v>https://drive.google.com/drive/folders/10T2cTQHqEJZqE-st6uFKPoI?usp=share_link</v>
      </c>
      <c r="P5230" s="6" t="str">
        <f>IFERROR(__xludf.DUMMYFUNCTION("""COMPUTED_VALUE"""),"Genesis Marin Miranda")</f>
        <v>Genesis Marin Miranda</v>
      </c>
      <c r="Q5230" s="6" t="str">
        <f>IFERROR(__xludf.DUMMYFUNCTION("""COMPUTED_VALUE"""),"L1")</f>
        <v>L1</v>
      </c>
      <c r="R5230" s="6">
        <f>IFERROR(__xludf.DUMMYFUNCTION("""COMPUTED_VALUE"""),1.0)</f>
        <v>1</v>
      </c>
      <c r="S5230" s="6" t="str">
        <f>IFERROR(__xludf.DUMMYFUNCTION("""COMPUTED_VALUE"""),"Kimberly Ball")</f>
        <v>Kimberly Ball</v>
      </c>
      <c r="T5230" s="6" t="str">
        <f>IFERROR(__xludf.DUMMYFUNCTION("""COMPUTED_VALUE"""),"kimberly.ball@studient.com")</f>
        <v>kimberly.ball@studient.com</v>
      </c>
      <c r="U5230" s="6" t="str">
        <f>IFERROR(__xludf.DUMMYFUNCTION("""COMPUTED_VALUE"""),"3")</f>
        <v>3</v>
      </c>
      <c r="V5230" s="6" t="str">
        <f>IFERROR(__xludf.DUMMYFUNCTION("""COMPUTED_VALUE"""),"")</f>
        <v/>
      </c>
      <c r="W5230" s="6" t="str">
        <f>IFERROR(__xludf.DUMMYFUNCTION("""COMPUTED_VALUE"""),"[]")</f>
        <v>[]</v>
      </c>
      <c r="X5230" s="6" t="str">
        <f>IFERROR(__xludf.DUMMYFUNCTION("""COMPUTED_VALUE"""),"Enrolled")</f>
        <v>Enrolled</v>
      </c>
    </row>
    <row r="5231">
      <c r="A5231" s="6" t="str">
        <f>IFERROR(__xludf.DUMMYFUNCTION("""COMPUTED_VALUE"""),"086-12622")</f>
        <v>086-12622</v>
      </c>
      <c r="B5231" s="6" t="str">
        <f>IFERROR(__xludf.DUMMYFUNCTION("""COMPUTED_VALUE"""),"86")</f>
        <v>86</v>
      </c>
      <c r="C5231" s="6" t="str">
        <f>IFERROR(__xludf.DUMMYFUNCTION("""COMPUTED_VALUE"""),"12622")</f>
        <v>12622</v>
      </c>
      <c r="D5231" s="6" t="str">
        <f>IFERROR(__xludf.DUMMYFUNCTION("""COMPUTED_VALUE"""),"Lila")</f>
        <v>Lila</v>
      </c>
      <c r="E5231" s="6" t="str">
        <f>IFERROR(__xludf.DUMMYFUNCTION("""COMPUTED_VALUE"""),"")</f>
        <v/>
      </c>
      <c r="F5231" s="6" t="str">
        <f>IFERROR(__xludf.DUMMYFUNCTION("""COMPUTED_VALUE"""),"Marshall")</f>
        <v>Marshall</v>
      </c>
      <c r="G5231" s="6" t="str">
        <f>IFERROR(__xludf.DUMMYFUNCTION("""COMPUTED_VALUE"""),"01/15/2016")</f>
        <v>01/15/2016</v>
      </c>
      <c r="H5231" s="6" t="str">
        <f>IFERROR(__xludf.DUMMYFUNCTION("""COMPUTED_VALUE"""),"male")</f>
        <v>male</v>
      </c>
      <c r="I5231" s="6" t="str">
        <f>IFERROR(__xludf.DUMMYFUNCTION("""COMPUTED_VALUE"""),"Level 1")</f>
        <v>Level 1</v>
      </c>
      <c r="J5231" s="6" t="str">
        <f>IFERROR(__xludf.DUMMYFUNCTION("""COMPUTED_VALUE"""),"3")</f>
        <v>3</v>
      </c>
      <c r="K5231" s="6" t="str">
        <f>IFERROR(__xludf.DUMMYFUNCTION("""COMPUTED_VALUE"""),"lila.marshall@2hourlearning.com")</f>
        <v>lila.marshall@2hourlearning.com</v>
      </c>
      <c r="L5231" s="6" t="str">
        <f>IFERROR(__xludf.DUMMYFUNCTION("""COMPUTED_VALUE"""),"JRES - Ridgeland Elementary School")</f>
        <v>JRES - Ridgeland Elementary School</v>
      </c>
      <c r="M5231" s="6" t="str">
        <f>IFERROR(__xludf.DUMMYFUNCTION("""COMPUTED_VALUE"""),"")</f>
        <v/>
      </c>
      <c r="N5231" s="6" t="str">
        <f>IFERROR(__xludf.DUMMYFUNCTION("""COMPUTED_VALUE"""),"")</f>
        <v/>
      </c>
      <c r="O5231" s="87" t="str">
        <f>IFERROR(__xludf.DUMMYFUNCTION("""COMPUTED_VALUE"""),"https://drive.google.com/drive/folders/10T2cTQHqEJZqE-st6uFKPoI?usp=share_link")</f>
        <v>https://drive.google.com/drive/folders/10T2cTQHqEJZqE-st6uFKPoI?usp=share_link</v>
      </c>
      <c r="P5231" s="6" t="str">
        <f>IFERROR(__xludf.DUMMYFUNCTION("""COMPUTED_VALUE"""),"Lila Marshall")</f>
        <v>Lila Marshall</v>
      </c>
      <c r="Q5231" s="6" t="str">
        <f>IFERROR(__xludf.DUMMYFUNCTION("""COMPUTED_VALUE"""),"L1")</f>
        <v>L1</v>
      </c>
      <c r="R5231" s="6">
        <f>IFERROR(__xludf.DUMMYFUNCTION("""COMPUTED_VALUE"""),1.0)</f>
        <v>1</v>
      </c>
      <c r="S5231" s="6" t="str">
        <f>IFERROR(__xludf.DUMMYFUNCTION("""COMPUTED_VALUE"""),"Kimberly Ball")</f>
        <v>Kimberly Ball</v>
      </c>
      <c r="T5231" s="6" t="str">
        <f>IFERROR(__xludf.DUMMYFUNCTION("""COMPUTED_VALUE"""),"kimberly.ball@studient.com")</f>
        <v>kimberly.ball@studient.com</v>
      </c>
      <c r="U5231" s="6" t="str">
        <f>IFERROR(__xludf.DUMMYFUNCTION("""COMPUTED_VALUE"""),"3")</f>
        <v>3</v>
      </c>
      <c r="V5231" s="6" t="str">
        <f>IFERROR(__xludf.DUMMYFUNCTION("""COMPUTED_VALUE"""),"")</f>
        <v/>
      </c>
      <c r="W5231" s="6" t="str">
        <f>IFERROR(__xludf.DUMMYFUNCTION("""COMPUTED_VALUE"""),"[]")</f>
        <v>[]</v>
      </c>
      <c r="X5231" s="6" t="str">
        <f>IFERROR(__xludf.DUMMYFUNCTION("""COMPUTED_VALUE"""),"Enrolled")</f>
        <v>Enrolled</v>
      </c>
    </row>
    <row r="5232">
      <c r="A5232" s="6" t="str">
        <f>IFERROR(__xludf.DUMMYFUNCTION("""COMPUTED_VALUE"""),"086-12623")</f>
        <v>086-12623</v>
      </c>
      <c r="B5232" s="6" t="str">
        <f>IFERROR(__xludf.DUMMYFUNCTION("""COMPUTED_VALUE"""),"86")</f>
        <v>86</v>
      </c>
      <c r="C5232" s="6" t="str">
        <f>IFERROR(__xludf.DUMMYFUNCTION("""COMPUTED_VALUE"""),"12623")</f>
        <v>12623</v>
      </c>
      <c r="D5232" s="6" t="str">
        <f>IFERROR(__xludf.DUMMYFUNCTION("""COMPUTED_VALUE"""),"Deivin")</f>
        <v>Deivin</v>
      </c>
      <c r="E5232" s="6" t="str">
        <f>IFERROR(__xludf.DUMMYFUNCTION("""COMPUTED_VALUE"""),"")</f>
        <v/>
      </c>
      <c r="F5232" s="6" t="str">
        <f>IFERROR(__xludf.DUMMYFUNCTION("""COMPUTED_VALUE"""),"Martinez Alvarez")</f>
        <v>Martinez Alvarez</v>
      </c>
      <c r="G5232" s="6" t="str">
        <f>IFERROR(__xludf.DUMMYFUNCTION("""COMPUTED_VALUE"""),"02/17/2017")</f>
        <v>02/17/2017</v>
      </c>
      <c r="H5232" s="6" t="str">
        <f>IFERROR(__xludf.DUMMYFUNCTION("""COMPUTED_VALUE"""),"male")</f>
        <v>male</v>
      </c>
      <c r="I5232" s="6" t="str">
        <f>IFERROR(__xludf.DUMMYFUNCTION("""COMPUTED_VALUE"""),"Level 1")</f>
        <v>Level 1</v>
      </c>
      <c r="J5232" s="6" t="str">
        <f>IFERROR(__xludf.DUMMYFUNCTION("""COMPUTED_VALUE"""),"3")</f>
        <v>3</v>
      </c>
      <c r="K5232" s="6" t="str">
        <f>IFERROR(__xludf.DUMMYFUNCTION("""COMPUTED_VALUE"""),"deivin.martinezalvarez@2hourlearning.com")</f>
        <v>deivin.martinezalvarez@2hourlearning.com</v>
      </c>
      <c r="L5232" s="6" t="str">
        <f>IFERROR(__xludf.DUMMYFUNCTION("""COMPUTED_VALUE"""),"JRES - Ridgeland Elementary School")</f>
        <v>JRES - Ridgeland Elementary School</v>
      </c>
      <c r="M5232" s="6" t="str">
        <f>IFERROR(__xludf.DUMMYFUNCTION("""COMPUTED_VALUE"""),"")</f>
        <v/>
      </c>
      <c r="N5232" s="6" t="str">
        <f>IFERROR(__xludf.DUMMYFUNCTION("""COMPUTED_VALUE"""),"")</f>
        <v/>
      </c>
      <c r="O5232" s="87" t="str">
        <f>IFERROR(__xludf.DUMMYFUNCTION("""COMPUTED_VALUE"""),"https://drive.google.com/drive/folders/10T2cTQHqEJZqE-st6uFKPoI?usp=share_link")</f>
        <v>https://drive.google.com/drive/folders/10T2cTQHqEJZqE-st6uFKPoI?usp=share_link</v>
      </c>
      <c r="P5232" s="6" t="str">
        <f>IFERROR(__xludf.DUMMYFUNCTION("""COMPUTED_VALUE"""),"Deivin Martinez Alvarez")</f>
        <v>Deivin Martinez Alvarez</v>
      </c>
      <c r="Q5232" s="6" t="str">
        <f>IFERROR(__xludf.DUMMYFUNCTION("""COMPUTED_VALUE"""),"L1")</f>
        <v>L1</v>
      </c>
      <c r="R5232" s="6">
        <f>IFERROR(__xludf.DUMMYFUNCTION("""COMPUTED_VALUE"""),1.0)</f>
        <v>1</v>
      </c>
      <c r="S5232" s="6" t="str">
        <f>IFERROR(__xludf.DUMMYFUNCTION("""COMPUTED_VALUE"""),"Kimberly Ball")</f>
        <v>Kimberly Ball</v>
      </c>
      <c r="T5232" s="6" t="str">
        <f>IFERROR(__xludf.DUMMYFUNCTION("""COMPUTED_VALUE"""),"kimberly.ball@studient.com")</f>
        <v>kimberly.ball@studient.com</v>
      </c>
      <c r="U5232" s="6" t="str">
        <f>IFERROR(__xludf.DUMMYFUNCTION("""COMPUTED_VALUE"""),"3")</f>
        <v>3</v>
      </c>
      <c r="V5232" s="6" t="str">
        <f>IFERROR(__xludf.DUMMYFUNCTION("""COMPUTED_VALUE"""),"")</f>
        <v/>
      </c>
      <c r="W5232" s="6" t="str">
        <f>IFERROR(__xludf.DUMMYFUNCTION("""COMPUTED_VALUE"""),"[]")</f>
        <v>[]</v>
      </c>
      <c r="X5232" s="6" t="str">
        <f>IFERROR(__xludf.DUMMYFUNCTION("""COMPUTED_VALUE"""),"Enrolled")</f>
        <v>Enrolled</v>
      </c>
    </row>
    <row r="5233">
      <c r="A5233" s="6" t="str">
        <f>IFERROR(__xludf.DUMMYFUNCTION("""COMPUTED_VALUE"""),"086-12624")</f>
        <v>086-12624</v>
      </c>
      <c r="B5233" s="6" t="str">
        <f>IFERROR(__xludf.DUMMYFUNCTION("""COMPUTED_VALUE"""),"86")</f>
        <v>86</v>
      </c>
      <c r="C5233" s="6" t="str">
        <f>IFERROR(__xludf.DUMMYFUNCTION("""COMPUTED_VALUE"""),"12624")</f>
        <v>12624</v>
      </c>
      <c r="D5233" s="6" t="str">
        <f>IFERROR(__xludf.DUMMYFUNCTION("""COMPUTED_VALUE"""),"Kevin")</f>
        <v>Kevin</v>
      </c>
      <c r="E5233" s="6" t="str">
        <f>IFERROR(__xludf.DUMMYFUNCTION("""COMPUTED_VALUE"""),"")</f>
        <v/>
      </c>
      <c r="F5233" s="6" t="str">
        <f>IFERROR(__xludf.DUMMYFUNCTION("""COMPUTED_VALUE"""),"Martinez Tomas")</f>
        <v>Martinez Tomas</v>
      </c>
      <c r="G5233" s="6" t="str">
        <f>IFERROR(__xludf.DUMMYFUNCTION("""COMPUTED_VALUE"""),"05/05/2017")</f>
        <v>05/05/2017</v>
      </c>
      <c r="H5233" s="6" t="str">
        <f>IFERROR(__xludf.DUMMYFUNCTION("""COMPUTED_VALUE"""),"male")</f>
        <v>male</v>
      </c>
      <c r="I5233" s="6" t="str">
        <f>IFERROR(__xludf.DUMMYFUNCTION("""COMPUTED_VALUE"""),"Level 1")</f>
        <v>Level 1</v>
      </c>
      <c r="J5233" s="6" t="str">
        <f>IFERROR(__xludf.DUMMYFUNCTION("""COMPUTED_VALUE"""),"3")</f>
        <v>3</v>
      </c>
      <c r="K5233" s="6" t="str">
        <f>IFERROR(__xludf.DUMMYFUNCTION("""COMPUTED_VALUE"""),"kevin.martineztomas@2hourlearning.com")</f>
        <v>kevin.martineztomas@2hourlearning.com</v>
      </c>
      <c r="L5233" s="6" t="str">
        <f>IFERROR(__xludf.DUMMYFUNCTION("""COMPUTED_VALUE"""),"JRES - Ridgeland Elementary School")</f>
        <v>JRES - Ridgeland Elementary School</v>
      </c>
      <c r="M5233" s="6" t="str">
        <f>IFERROR(__xludf.DUMMYFUNCTION("""COMPUTED_VALUE"""),"")</f>
        <v/>
      </c>
      <c r="N5233" s="6" t="str">
        <f>IFERROR(__xludf.DUMMYFUNCTION("""COMPUTED_VALUE"""),"")</f>
        <v/>
      </c>
      <c r="O5233" s="87" t="str">
        <f>IFERROR(__xludf.DUMMYFUNCTION("""COMPUTED_VALUE"""),"https://drive.google.com/drive/folders/10T2cTQHqEJZqE-st6uFKPoI?usp=share_link")</f>
        <v>https://drive.google.com/drive/folders/10T2cTQHqEJZqE-st6uFKPoI?usp=share_link</v>
      </c>
      <c r="P5233" s="6" t="str">
        <f>IFERROR(__xludf.DUMMYFUNCTION("""COMPUTED_VALUE"""),"Kevin Martinez Tomas")</f>
        <v>Kevin Martinez Tomas</v>
      </c>
      <c r="Q5233" s="6" t="str">
        <f>IFERROR(__xludf.DUMMYFUNCTION("""COMPUTED_VALUE"""),"L1")</f>
        <v>L1</v>
      </c>
      <c r="R5233" s="6">
        <f>IFERROR(__xludf.DUMMYFUNCTION("""COMPUTED_VALUE"""),1.0)</f>
        <v>1</v>
      </c>
      <c r="S5233" s="6" t="str">
        <f>IFERROR(__xludf.DUMMYFUNCTION("""COMPUTED_VALUE"""),"Kimberly Ball")</f>
        <v>Kimberly Ball</v>
      </c>
      <c r="T5233" s="6" t="str">
        <f>IFERROR(__xludf.DUMMYFUNCTION("""COMPUTED_VALUE"""),"kimberly.ball@studient.com")</f>
        <v>kimberly.ball@studient.com</v>
      </c>
      <c r="U5233" s="6" t="str">
        <f>IFERROR(__xludf.DUMMYFUNCTION("""COMPUTED_VALUE"""),"3")</f>
        <v>3</v>
      </c>
      <c r="V5233" s="6" t="str">
        <f>IFERROR(__xludf.DUMMYFUNCTION("""COMPUTED_VALUE"""),"")</f>
        <v/>
      </c>
      <c r="W5233" s="6" t="str">
        <f>IFERROR(__xludf.DUMMYFUNCTION("""COMPUTED_VALUE"""),"[]")</f>
        <v>[]</v>
      </c>
      <c r="X5233" s="6" t="str">
        <f>IFERROR(__xludf.DUMMYFUNCTION("""COMPUTED_VALUE"""),"Enrolled")</f>
        <v>Enrolled</v>
      </c>
    </row>
    <row r="5234">
      <c r="A5234" s="6" t="str">
        <f>IFERROR(__xludf.DUMMYFUNCTION("""COMPUTED_VALUE"""),"086-12625")</f>
        <v>086-12625</v>
      </c>
      <c r="B5234" s="6" t="str">
        <f>IFERROR(__xludf.DUMMYFUNCTION("""COMPUTED_VALUE"""),"86")</f>
        <v>86</v>
      </c>
      <c r="C5234" s="6" t="str">
        <f>IFERROR(__xludf.DUMMYFUNCTION("""COMPUTED_VALUE"""),"12625")</f>
        <v>12625</v>
      </c>
      <c r="D5234" s="6" t="str">
        <f>IFERROR(__xludf.DUMMYFUNCTION("""COMPUTED_VALUE"""),"Luis")</f>
        <v>Luis</v>
      </c>
      <c r="E5234" s="6" t="str">
        <f>IFERROR(__xludf.DUMMYFUNCTION("""COMPUTED_VALUE"""),"")</f>
        <v/>
      </c>
      <c r="F5234" s="6" t="str">
        <f>IFERROR(__xludf.DUMMYFUNCTION("""COMPUTED_VALUE"""),"Martinez-Parra")</f>
        <v>Martinez-Parra</v>
      </c>
      <c r="G5234" s="6" t="str">
        <f>IFERROR(__xludf.DUMMYFUNCTION("""COMPUTED_VALUE"""),"11/14/2016")</f>
        <v>11/14/2016</v>
      </c>
      <c r="H5234" s="6" t="str">
        <f>IFERROR(__xludf.DUMMYFUNCTION("""COMPUTED_VALUE"""),"male")</f>
        <v>male</v>
      </c>
      <c r="I5234" s="6" t="str">
        <f>IFERROR(__xludf.DUMMYFUNCTION("""COMPUTED_VALUE"""),"Level 1")</f>
        <v>Level 1</v>
      </c>
      <c r="J5234" s="6" t="str">
        <f>IFERROR(__xludf.DUMMYFUNCTION("""COMPUTED_VALUE"""),"3")</f>
        <v>3</v>
      </c>
      <c r="K5234" s="6" t="str">
        <f>IFERROR(__xludf.DUMMYFUNCTION("""COMPUTED_VALUE"""),"luis.martinez-parra@2hourlearning.com")</f>
        <v>luis.martinez-parra@2hourlearning.com</v>
      </c>
      <c r="L5234" s="6" t="str">
        <f>IFERROR(__xludf.DUMMYFUNCTION("""COMPUTED_VALUE"""),"JRES - Ridgeland Elementary School")</f>
        <v>JRES - Ridgeland Elementary School</v>
      </c>
      <c r="M5234" s="6" t="str">
        <f>IFERROR(__xludf.DUMMYFUNCTION("""COMPUTED_VALUE"""),"")</f>
        <v/>
      </c>
      <c r="N5234" s="6" t="str">
        <f>IFERROR(__xludf.DUMMYFUNCTION("""COMPUTED_VALUE"""),"")</f>
        <v/>
      </c>
      <c r="O5234" s="87" t="str">
        <f>IFERROR(__xludf.DUMMYFUNCTION("""COMPUTED_VALUE"""),"https://drive.google.com/drive/folders/10T2cTQHqEJZqE-st6uFKPoI?usp=share_link")</f>
        <v>https://drive.google.com/drive/folders/10T2cTQHqEJZqE-st6uFKPoI?usp=share_link</v>
      </c>
      <c r="P5234" s="6" t="str">
        <f>IFERROR(__xludf.DUMMYFUNCTION("""COMPUTED_VALUE"""),"Luis Martinez-Parra")</f>
        <v>Luis Martinez-Parra</v>
      </c>
      <c r="Q5234" s="6" t="str">
        <f>IFERROR(__xludf.DUMMYFUNCTION("""COMPUTED_VALUE"""),"L1")</f>
        <v>L1</v>
      </c>
      <c r="R5234" s="6">
        <f>IFERROR(__xludf.DUMMYFUNCTION("""COMPUTED_VALUE"""),1.0)</f>
        <v>1</v>
      </c>
      <c r="S5234" s="6" t="str">
        <f>IFERROR(__xludf.DUMMYFUNCTION("""COMPUTED_VALUE"""),"Kimberly Ball")</f>
        <v>Kimberly Ball</v>
      </c>
      <c r="T5234" s="6" t="str">
        <f>IFERROR(__xludf.DUMMYFUNCTION("""COMPUTED_VALUE"""),"kimberly.ball@studient.com")</f>
        <v>kimberly.ball@studient.com</v>
      </c>
      <c r="U5234" s="6" t="str">
        <f>IFERROR(__xludf.DUMMYFUNCTION("""COMPUTED_VALUE"""),"3")</f>
        <v>3</v>
      </c>
      <c r="V5234" s="6" t="str">
        <f>IFERROR(__xludf.DUMMYFUNCTION("""COMPUTED_VALUE"""),"")</f>
        <v/>
      </c>
      <c r="W5234" s="6" t="str">
        <f>IFERROR(__xludf.DUMMYFUNCTION("""COMPUTED_VALUE"""),"[]")</f>
        <v>[]</v>
      </c>
      <c r="X5234" s="6" t="str">
        <f>IFERROR(__xludf.DUMMYFUNCTION("""COMPUTED_VALUE"""),"Enrolled")</f>
        <v>Enrolled</v>
      </c>
    </row>
    <row r="5235">
      <c r="A5235" s="6" t="str">
        <f>IFERROR(__xludf.DUMMYFUNCTION("""COMPUTED_VALUE"""),"086-12626")</f>
        <v>086-12626</v>
      </c>
      <c r="B5235" s="6" t="str">
        <f>IFERROR(__xludf.DUMMYFUNCTION("""COMPUTED_VALUE"""),"86")</f>
        <v>86</v>
      </c>
      <c r="C5235" s="6" t="str">
        <f>IFERROR(__xludf.DUMMYFUNCTION("""COMPUTED_VALUE"""),"12626")</f>
        <v>12626</v>
      </c>
      <c r="D5235" s="6" t="str">
        <f>IFERROR(__xludf.DUMMYFUNCTION("""COMPUTED_VALUE"""),"Kaliq")</f>
        <v>Kaliq</v>
      </c>
      <c r="E5235" s="6" t="str">
        <f>IFERROR(__xludf.DUMMYFUNCTION("""COMPUTED_VALUE"""),"")</f>
        <v/>
      </c>
      <c r="F5235" s="6" t="str">
        <f>IFERROR(__xludf.DUMMYFUNCTION("""COMPUTED_VALUE"""),"Medlock")</f>
        <v>Medlock</v>
      </c>
      <c r="G5235" s="6" t="str">
        <f>IFERROR(__xludf.DUMMYFUNCTION("""COMPUTED_VALUE"""),"12/18/2016")</f>
        <v>12/18/2016</v>
      </c>
      <c r="H5235" s="6" t="str">
        <f>IFERROR(__xludf.DUMMYFUNCTION("""COMPUTED_VALUE"""),"male")</f>
        <v>male</v>
      </c>
      <c r="I5235" s="6" t="str">
        <f>IFERROR(__xludf.DUMMYFUNCTION("""COMPUTED_VALUE"""),"Level 1")</f>
        <v>Level 1</v>
      </c>
      <c r="J5235" s="6" t="str">
        <f>IFERROR(__xludf.DUMMYFUNCTION("""COMPUTED_VALUE"""),"3")</f>
        <v>3</v>
      </c>
      <c r="K5235" s="6" t="str">
        <f>IFERROR(__xludf.DUMMYFUNCTION("""COMPUTED_VALUE"""),"kaliq.medlock@2hourlearning.com")</f>
        <v>kaliq.medlock@2hourlearning.com</v>
      </c>
      <c r="L5235" s="6" t="str">
        <f>IFERROR(__xludf.DUMMYFUNCTION("""COMPUTED_VALUE"""),"JRES - Ridgeland Elementary School")</f>
        <v>JRES - Ridgeland Elementary School</v>
      </c>
      <c r="M5235" s="6" t="str">
        <f>IFERROR(__xludf.DUMMYFUNCTION("""COMPUTED_VALUE"""),"")</f>
        <v/>
      </c>
      <c r="N5235" s="6" t="str">
        <f>IFERROR(__xludf.DUMMYFUNCTION("""COMPUTED_VALUE"""),"")</f>
        <v/>
      </c>
      <c r="O5235" s="87" t="str">
        <f>IFERROR(__xludf.DUMMYFUNCTION("""COMPUTED_VALUE"""),"https://drive.google.com/drive/folders/10T2cTQHqEJZqE-st6uFKPoI?usp=share_link")</f>
        <v>https://drive.google.com/drive/folders/10T2cTQHqEJZqE-st6uFKPoI?usp=share_link</v>
      </c>
      <c r="P5235" s="6" t="str">
        <f>IFERROR(__xludf.DUMMYFUNCTION("""COMPUTED_VALUE"""),"Kaliq Medlock")</f>
        <v>Kaliq Medlock</v>
      </c>
      <c r="Q5235" s="6" t="str">
        <f>IFERROR(__xludf.DUMMYFUNCTION("""COMPUTED_VALUE"""),"L1")</f>
        <v>L1</v>
      </c>
      <c r="R5235" s="6">
        <f>IFERROR(__xludf.DUMMYFUNCTION("""COMPUTED_VALUE"""),1.0)</f>
        <v>1</v>
      </c>
      <c r="S5235" s="6" t="str">
        <f>IFERROR(__xludf.DUMMYFUNCTION("""COMPUTED_VALUE"""),"Kimberly Ball")</f>
        <v>Kimberly Ball</v>
      </c>
      <c r="T5235" s="6" t="str">
        <f>IFERROR(__xludf.DUMMYFUNCTION("""COMPUTED_VALUE"""),"kimberly.ball@studient.com")</f>
        <v>kimberly.ball@studient.com</v>
      </c>
      <c r="U5235" s="6" t="str">
        <f>IFERROR(__xludf.DUMMYFUNCTION("""COMPUTED_VALUE"""),"3")</f>
        <v>3</v>
      </c>
      <c r="V5235" s="6" t="str">
        <f>IFERROR(__xludf.DUMMYFUNCTION("""COMPUTED_VALUE"""),"")</f>
        <v/>
      </c>
      <c r="W5235" s="6" t="str">
        <f>IFERROR(__xludf.DUMMYFUNCTION("""COMPUTED_VALUE"""),"[]")</f>
        <v>[]</v>
      </c>
      <c r="X5235" s="6" t="str">
        <f>IFERROR(__xludf.DUMMYFUNCTION("""COMPUTED_VALUE"""),"Enrolled")</f>
        <v>Enrolled</v>
      </c>
    </row>
    <row r="5236">
      <c r="A5236" s="6" t="str">
        <f>IFERROR(__xludf.DUMMYFUNCTION("""COMPUTED_VALUE"""),"086-12627")</f>
        <v>086-12627</v>
      </c>
      <c r="B5236" s="6" t="str">
        <f>IFERROR(__xludf.DUMMYFUNCTION("""COMPUTED_VALUE"""),"86")</f>
        <v>86</v>
      </c>
      <c r="C5236" s="6" t="str">
        <f>IFERROR(__xludf.DUMMYFUNCTION("""COMPUTED_VALUE"""),"12627")</f>
        <v>12627</v>
      </c>
      <c r="D5236" s="6" t="str">
        <f>IFERROR(__xludf.DUMMYFUNCTION("""COMPUTED_VALUE"""),"Kayleigh")</f>
        <v>Kayleigh</v>
      </c>
      <c r="E5236" s="6" t="str">
        <f>IFERROR(__xludf.DUMMYFUNCTION("""COMPUTED_VALUE"""),"")</f>
        <v/>
      </c>
      <c r="F5236" s="6" t="str">
        <f>IFERROR(__xludf.DUMMYFUNCTION("""COMPUTED_VALUE"""),"Medlock")</f>
        <v>Medlock</v>
      </c>
      <c r="G5236" s="6" t="str">
        <f>IFERROR(__xludf.DUMMYFUNCTION("""COMPUTED_VALUE"""),"09/16/2015")</f>
        <v>09/16/2015</v>
      </c>
      <c r="H5236" s="6" t="str">
        <f>IFERROR(__xludf.DUMMYFUNCTION("""COMPUTED_VALUE"""),"male")</f>
        <v>male</v>
      </c>
      <c r="I5236" s="6" t="str">
        <f>IFERROR(__xludf.DUMMYFUNCTION("""COMPUTED_VALUE"""),"Level 1")</f>
        <v>Level 1</v>
      </c>
      <c r="J5236" s="6" t="str">
        <f>IFERROR(__xludf.DUMMYFUNCTION("""COMPUTED_VALUE"""),"3")</f>
        <v>3</v>
      </c>
      <c r="K5236" s="6" t="str">
        <f>IFERROR(__xludf.DUMMYFUNCTION("""COMPUTED_VALUE"""),"kayleigh.medlock@2hourlearning.com")</f>
        <v>kayleigh.medlock@2hourlearning.com</v>
      </c>
      <c r="L5236" s="6" t="str">
        <f>IFERROR(__xludf.DUMMYFUNCTION("""COMPUTED_VALUE"""),"JRES - Ridgeland Elementary School")</f>
        <v>JRES - Ridgeland Elementary School</v>
      </c>
      <c r="M5236" s="6" t="str">
        <f>IFERROR(__xludf.DUMMYFUNCTION("""COMPUTED_VALUE"""),"")</f>
        <v/>
      </c>
      <c r="N5236" s="6" t="str">
        <f>IFERROR(__xludf.DUMMYFUNCTION("""COMPUTED_VALUE"""),"")</f>
        <v/>
      </c>
      <c r="O5236" s="87" t="str">
        <f>IFERROR(__xludf.DUMMYFUNCTION("""COMPUTED_VALUE"""),"https://drive.google.com/drive/folders/10T2cTQHqEJZqE-st6uFKPoI?usp=share_link")</f>
        <v>https://drive.google.com/drive/folders/10T2cTQHqEJZqE-st6uFKPoI?usp=share_link</v>
      </c>
      <c r="P5236" s="6" t="str">
        <f>IFERROR(__xludf.DUMMYFUNCTION("""COMPUTED_VALUE"""),"Kayleigh Medlock")</f>
        <v>Kayleigh Medlock</v>
      </c>
      <c r="Q5236" s="6" t="str">
        <f>IFERROR(__xludf.DUMMYFUNCTION("""COMPUTED_VALUE"""),"L1")</f>
        <v>L1</v>
      </c>
      <c r="R5236" s="6">
        <f>IFERROR(__xludf.DUMMYFUNCTION("""COMPUTED_VALUE"""),1.0)</f>
        <v>1</v>
      </c>
      <c r="S5236" s="6" t="str">
        <f>IFERROR(__xludf.DUMMYFUNCTION("""COMPUTED_VALUE"""),"Kimberly Ball")</f>
        <v>Kimberly Ball</v>
      </c>
      <c r="T5236" s="6" t="str">
        <f>IFERROR(__xludf.DUMMYFUNCTION("""COMPUTED_VALUE"""),"kimberly.ball@studient.com")</f>
        <v>kimberly.ball@studient.com</v>
      </c>
      <c r="U5236" s="6" t="str">
        <f>IFERROR(__xludf.DUMMYFUNCTION("""COMPUTED_VALUE"""),"3")</f>
        <v>3</v>
      </c>
      <c r="V5236" s="6" t="str">
        <f>IFERROR(__xludf.DUMMYFUNCTION("""COMPUTED_VALUE"""),"")</f>
        <v/>
      </c>
      <c r="W5236" s="6" t="str">
        <f>IFERROR(__xludf.DUMMYFUNCTION("""COMPUTED_VALUE"""),"[]")</f>
        <v>[]</v>
      </c>
      <c r="X5236" s="6" t="str">
        <f>IFERROR(__xludf.DUMMYFUNCTION("""COMPUTED_VALUE"""),"Enrolled")</f>
        <v>Enrolled</v>
      </c>
    </row>
    <row r="5237">
      <c r="A5237" s="6" t="str">
        <f>IFERROR(__xludf.DUMMYFUNCTION("""COMPUTED_VALUE"""),"086-12628")</f>
        <v>086-12628</v>
      </c>
      <c r="B5237" s="6" t="str">
        <f>IFERROR(__xludf.DUMMYFUNCTION("""COMPUTED_VALUE"""),"86")</f>
        <v>86</v>
      </c>
      <c r="C5237" s="6" t="str">
        <f>IFERROR(__xludf.DUMMYFUNCTION("""COMPUTED_VALUE"""),"12628")</f>
        <v>12628</v>
      </c>
      <c r="D5237" s="6" t="str">
        <f>IFERROR(__xludf.DUMMYFUNCTION("""COMPUTED_VALUE"""),"Kinleigh")</f>
        <v>Kinleigh</v>
      </c>
      <c r="E5237" s="6" t="str">
        <f>IFERROR(__xludf.DUMMYFUNCTION("""COMPUTED_VALUE"""),"")</f>
        <v/>
      </c>
      <c r="F5237" s="6" t="str">
        <f>IFERROR(__xludf.DUMMYFUNCTION("""COMPUTED_VALUE"""),"Medlock")</f>
        <v>Medlock</v>
      </c>
      <c r="G5237" s="6" t="str">
        <f>IFERROR(__xludf.DUMMYFUNCTION("""COMPUTED_VALUE"""),"12/03/2015")</f>
        <v>12/03/2015</v>
      </c>
      <c r="H5237" s="6" t="str">
        <f>IFERROR(__xludf.DUMMYFUNCTION("""COMPUTED_VALUE"""),"female")</f>
        <v>female</v>
      </c>
      <c r="I5237" s="6" t="str">
        <f>IFERROR(__xludf.DUMMYFUNCTION("""COMPUTED_VALUE"""),"Level 1")</f>
        <v>Level 1</v>
      </c>
      <c r="J5237" s="6" t="str">
        <f>IFERROR(__xludf.DUMMYFUNCTION("""COMPUTED_VALUE"""),"3")</f>
        <v>3</v>
      </c>
      <c r="K5237" s="6" t="str">
        <f>IFERROR(__xludf.DUMMYFUNCTION("""COMPUTED_VALUE"""),"kinleigh.medlock@2hourlearning.com")</f>
        <v>kinleigh.medlock@2hourlearning.com</v>
      </c>
      <c r="L5237" s="6" t="str">
        <f>IFERROR(__xludf.DUMMYFUNCTION("""COMPUTED_VALUE"""),"JRES - Ridgeland Elementary School")</f>
        <v>JRES - Ridgeland Elementary School</v>
      </c>
      <c r="M5237" s="6" t="str">
        <f>IFERROR(__xludf.DUMMYFUNCTION("""COMPUTED_VALUE"""),"")</f>
        <v/>
      </c>
      <c r="N5237" s="6" t="str">
        <f>IFERROR(__xludf.DUMMYFUNCTION("""COMPUTED_VALUE"""),"")</f>
        <v/>
      </c>
      <c r="O5237" s="87" t="str">
        <f>IFERROR(__xludf.DUMMYFUNCTION("""COMPUTED_VALUE"""),"https://drive.google.com/drive/folders/10T2cTQHqEJZqE-st6uFKPoI?usp=share_link")</f>
        <v>https://drive.google.com/drive/folders/10T2cTQHqEJZqE-st6uFKPoI?usp=share_link</v>
      </c>
      <c r="P5237" s="6" t="str">
        <f>IFERROR(__xludf.DUMMYFUNCTION("""COMPUTED_VALUE"""),"Kinleigh Medlock")</f>
        <v>Kinleigh Medlock</v>
      </c>
      <c r="Q5237" s="6" t="str">
        <f>IFERROR(__xludf.DUMMYFUNCTION("""COMPUTED_VALUE"""),"L1")</f>
        <v>L1</v>
      </c>
      <c r="R5237" s="6">
        <f>IFERROR(__xludf.DUMMYFUNCTION("""COMPUTED_VALUE"""),1.0)</f>
        <v>1</v>
      </c>
      <c r="S5237" s="6" t="str">
        <f>IFERROR(__xludf.DUMMYFUNCTION("""COMPUTED_VALUE"""),"Kimberly Ball")</f>
        <v>Kimberly Ball</v>
      </c>
      <c r="T5237" s="6" t="str">
        <f>IFERROR(__xludf.DUMMYFUNCTION("""COMPUTED_VALUE"""),"kimberly.ball@studient.com")</f>
        <v>kimberly.ball@studient.com</v>
      </c>
      <c r="U5237" s="6" t="str">
        <f>IFERROR(__xludf.DUMMYFUNCTION("""COMPUTED_VALUE"""),"3")</f>
        <v>3</v>
      </c>
      <c r="V5237" s="6" t="str">
        <f>IFERROR(__xludf.DUMMYFUNCTION("""COMPUTED_VALUE"""),"")</f>
        <v/>
      </c>
      <c r="W5237" s="6" t="str">
        <f>IFERROR(__xludf.DUMMYFUNCTION("""COMPUTED_VALUE"""),"[]")</f>
        <v>[]</v>
      </c>
      <c r="X5237" s="6" t="str">
        <f>IFERROR(__xludf.DUMMYFUNCTION("""COMPUTED_VALUE"""),"Enrolled")</f>
        <v>Enrolled</v>
      </c>
    </row>
    <row r="5238">
      <c r="A5238" s="6" t="str">
        <f>IFERROR(__xludf.DUMMYFUNCTION("""COMPUTED_VALUE"""),"086-12629")</f>
        <v>086-12629</v>
      </c>
      <c r="B5238" s="6" t="str">
        <f>IFERROR(__xludf.DUMMYFUNCTION("""COMPUTED_VALUE"""),"86")</f>
        <v>86</v>
      </c>
      <c r="C5238" s="6" t="str">
        <f>IFERROR(__xludf.DUMMYFUNCTION("""COMPUTED_VALUE"""),"12629")</f>
        <v>12629</v>
      </c>
      <c r="D5238" s="6" t="str">
        <f>IFERROR(__xludf.DUMMYFUNCTION("""COMPUTED_VALUE"""),"Alexis")</f>
        <v>Alexis</v>
      </c>
      <c r="E5238" s="6" t="str">
        <f>IFERROR(__xludf.DUMMYFUNCTION("""COMPUTED_VALUE"""),"")</f>
        <v/>
      </c>
      <c r="F5238" s="6" t="str">
        <f>IFERROR(__xludf.DUMMYFUNCTION("""COMPUTED_VALUE"""),"Mendez Hernandez")</f>
        <v>Mendez Hernandez</v>
      </c>
      <c r="G5238" s="6" t="str">
        <f>IFERROR(__xludf.DUMMYFUNCTION("""COMPUTED_VALUE"""),"11/07/2016")</f>
        <v>11/07/2016</v>
      </c>
      <c r="H5238" s="6" t="str">
        <f>IFERROR(__xludf.DUMMYFUNCTION("""COMPUTED_VALUE"""),"female")</f>
        <v>female</v>
      </c>
      <c r="I5238" s="6" t="str">
        <f>IFERROR(__xludf.DUMMYFUNCTION("""COMPUTED_VALUE"""),"Level 1")</f>
        <v>Level 1</v>
      </c>
      <c r="J5238" s="6" t="str">
        <f>IFERROR(__xludf.DUMMYFUNCTION("""COMPUTED_VALUE"""),"3")</f>
        <v>3</v>
      </c>
      <c r="K5238" s="6" t="str">
        <f>IFERROR(__xludf.DUMMYFUNCTION("""COMPUTED_VALUE"""),"alexis.mendezhernandez@2hourlearning.com")</f>
        <v>alexis.mendezhernandez@2hourlearning.com</v>
      </c>
      <c r="L5238" s="6" t="str">
        <f>IFERROR(__xludf.DUMMYFUNCTION("""COMPUTED_VALUE"""),"JRES - Ridgeland Elementary School")</f>
        <v>JRES - Ridgeland Elementary School</v>
      </c>
      <c r="M5238" s="6" t="str">
        <f>IFERROR(__xludf.DUMMYFUNCTION("""COMPUTED_VALUE"""),"")</f>
        <v/>
      </c>
      <c r="N5238" s="6" t="str">
        <f>IFERROR(__xludf.DUMMYFUNCTION("""COMPUTED_VALUE"""),"")</f>
        <v/>
      </c>
      <c r="O5238" s="87" t="str">
        <f>IFERROR(__xludf.DUMMYFUNCTION("""COMPUTED_VALUE"""),"https://drive.google.com/drive/folders/10T2cTQHqEJZqE-st6uFKPoI?usp=share_link")</f>
        <v>https://drive.google.com/drive/folders/10T2cTQHqEJZqE-st6uFKPoI?usp=share_link</v>
      </c>
      <c r="P5238" s="6" t="str">
        <f>IFERROR(__xludf.DUMMYFUNCTION("""COMPUTED_VALUE"""),"Alexis Mendez Hernandez")</f>
        <v>Alexis Mendez Hernandez</v>
      </c>
      <c r="Q5238" s="6" t="str">
        <f>IFERROR(__xludf.DUMMYFUNCTION("""COMPUTED_VALUE"""),"L1")</f>
        <v>L1</v>
      </c>
      <c r="R5238" s="6">
        <f>IFERROR(__xludf.DUMMYFUNCTION("""COMPUTED_VALUE"""),1.0)</f>
        <v>1</v>
      </c>
      <c r="S5238" s="6" t="str">
        <f>IFERROR(__xludf.DUMMYFUNCTION("""COMPUTED_VALUE"""),"Kimberly Ball")</f>
        <v>Kimberly Ball</v>
      </c>
      <c r="T5238" s="6" t="str">
        <f>IFERROR(__xludf.DUMMYFUNCTION("""COMPUTED_VALUE"""),"kimberly.ball@studient.com")</f>
        <v>kimberly.ball@studient.com</v>
      </c>
      <c r="U5238" s="6" t="str">
        <f>IFERROR(__xludf.DUMMYFUNCTION("""COMPUTED_VALUE"""),"3")</f>
        <v>3</v>
      </c>
      <c r="V5238" s="6" t="str">
        <f>IFERROR(__xludf.DUMMYFUNCTION("""COMPUTED_VALUE"""),"")</f>
        <v/>
      </c>
      <c r="W5238" s="6" t="str">
        <f>IFERROR(__xludf.DUMMYFUNCTION("""COMPUTED_VALUE"""),"[]")</f>
        <v>[]</v>
      </c>
      <c r="X5238" s="6" t="str">
        <f>IFERROR(__xludf.DUMMYFUNCTION("""COMPUTED_VALUE"""),"Enrolled")</f>
        <v>Enrolled</v>
      </c>
    </row>
    <row r="5239">
      <c r="A5239" s="6" t="str">
        <f>IFERROR(__xludf.DUMMYFUNCTION("""COMPUTED_VALUE"""),"086-12630")</f>
        <v>086-12630</v>
      </c>
      <c r="B5239" s="6" t="str">
        <f>IFERROR(__xludf.DUMMYFUNCTION("""COMPUTED_VALUE"""),"86")</f>
        <v>86</v>
      </c>
      <c r="C5239" s="6" t="str">
        <f>IFERROR(__xludf.DUMMYFUNCTION("""COMPUTED_VALUE"""),"12630")</f>
        <v>12630</v>
      </c>
      <c r="D5239" s="6" t="str">
        <f>IFERROR(__xludf.DUMMYFUNCTION("""COMPUTED_VALUE"""),"Kevin")</f>
        <v>Kevin</v>
      </c>
      <c r="E5239" s="6" t="str">
        <f>IFERROR(__xludf.DUMMYFUNCTION("""COMPUTED_VALUE"""),"")</f>
        <v/>
      </c>
      <c r="F5239" s="6" t="str">
        <f>IFERROR(__xludf.DUMMYFUNCTION("""COMPUTED_VALUE"""),"Mondragon Valle")</f>
        <v>Mondragon Valle</v>
      </c>
      <c r="G5239" s="6" t="str">
        <f>IFERROR(__xludf.DUMMYFUNCTION("""COMPUTED_VALUE"""),"11/12/2014")</f>
        <v>11/12/2014</v>
      </c>
      <c r="H5239" s="6" t="str">
        <f>IFERROR(__xludf.DUMMYFUNCTION("""COMPUTED_VALUE"""),"male")</f>
        <v>male</v>
      </c>
      <c r="I5239" s="6" t="str">
        <f>IFERROR(__xludf.DUMMYFUNCTION("""COMPUTED_VALUE"""),"Level 1")</f>
        <v>Level 1</v>
      </c>
      <c r="J5239" s="6" t="str">
        <f>IFERROR(__xludf.DUMMYFUNCTION("""COMPUTED_VALUE"""),"3")</f>
        <v>3</v>
      </c>
      <c r="K5239" s="6" t="str">
        <f>IFERROR(__xludf.DUMMYFUNCTION("""COMPUTED_VALUE"""),"kevin.mondragonvalle@2hourlearning.com")</f>
        <v>kevin.mondragonvalle@2hourlearning.com</v>
      </c>
      <c r="L5239" s="6" t="str">
        <f>IFERROR(__xludf.DUMMYFUNCTION("""COMPUTED_VALUE"""),"JRES - Ridgeland Elementary School")</f>
        <v>JRES - Ridgeland Elementary School</v>
      </c>
      <c r="M5239" s="6" t="str">
        <f>IFERROR(__xludf.DUMMYFUNCTION("""COMPUTED_VALUE"""),"")</f>
        <v/>
      </c>
      <c r="N5239" s="6" t="str">
        <f>IFERROR(__xludf.DUMMYFUNCTION("""COMPUTED_VALUE"""),"")</f>
        <v/>
      </c>
      <c r="O5239" s="87" t="str">
        <f>IFERROR(__xludf.DUMMYFUNCTION("""COMPUTED_VALUE"""),"https://drive.google.com/drive/folders/10T2cTQHqEJZqE-st6uFKPoI?usp=share_link")</f>
        <v>https://drive.google.com/drive/folders/10T2cTQHqEJZqE-st6uFKPoI?usp=share_link</v>
      </c>
      <c r="P5239" s="6" t="str">
        <f>IFERROR(__xludf.DUMMYFUNCTION("""COMPUTED_VALUE"""),"Kevin Mondragon Valle")</f>
        <v>Kevin Mondragon Valle</v>
      </c>
      <c r="Q5239" s="6" t="str">
        <f>IFERROR(__xludf.DUMMYFUNCTION("""COMPUTED_VALUE"""),"L1")</f>
        <v>L1</v>
      </c>
      <c r="R5239" s="6">
        <f>IFERROR(__xludf.DUMMYFUNCTION("""COMPUTED_VALUE"""),1.0)</f>
        <v>1</v>
      </c>
      <c r="S5239" s="6" t="str">
        <f>IFERROR(__xludf.DUMMYFUNCTION("""COMPUTED_VALUE"""),"Kimberly Ball")</f>
        <v>Kimberly Ball</v>
      </c>
      <c r="T5239" s="6" t="str">
        <f>IFERROR(__xludf.DUMMYFUNCTION("""COMPUTED_VALUE"""),"kimberly.ball@studient.com")</f>
        <v>kimberly.ball@studient.com</v>
      </c>
      <c r="U5239" s="6" t="str">
        <f>IFERROR(__xludf.DUMMYFUNCTION("""COMPUTED_VALUE"""),"3")</f>
        <v>3</v>
      </c>
      <c r="V5239" s="6" t="str">
        <f>IFERROR(__xludf.DUMMYFUNCTION("""COMPUTED_VALUE"""),"")</f>
        <v/>
      </c>
      <c r="W5239" s="6" t="str">
        <f>IFERROR(__xludf.DUMMYFUNCTION("""COMPUTED_VALUE"""),"[]")</f>
        <v>[]</v>
      </c>
      <c r="X5239" s="6" t="str">
        <f>IFERROR(__xludf.DUMMYFUNCTION("""COMPUTED_VALUE"""),"Enrolled")</f>
        <v>Enrolled</v>
      </c>
    </row>
    <row r="5240">
      <c r="A5240" s="6" t="str">
        <f>IFERROR(__xludf.DUMMYFUNCTION("""COMPUTED_VALUE"""),"086-12631")</f>
        <v>086-12631</v>
      </c>
      <c r="B5240" s="6" t="str">
        <f>IFERROR(__xludf.DUMMYFUNCTION("""COMPUTED_VALUE"""),"86")</f>
        <v>86</v>
      </c>
      <c r="C5240" s="6" t="str">
        <f>IFERROR(__xludf.DUMMYFUNCTION("""COMPUTED_VALUE"""),"12631")</f>
        <v>12631</v>
      </c>
      <c r="D5240" s="6" t="str">
        <f>IFERROR(__xludf.DUMMYFUNCTION("""COMPUTED_VALUE"""),"Emiliano")</f>
        <v>Emiliano</v>
      </c>
      <c r="E5240" s="6" t="str">
        <f>IFERROR(__xludf.DUMMYFUNCTION("""COMPUTED_VALUE"""),"")</f>
        <v/>
      </c>
      <c r="F5240" s="6" t="str">
        <f>IFERROR(__xludf.DUMMYFUNCTION("""COMPUTED_VALUE"""),"Mora Rojas")</f>
        <v>Mora Rojas</v>
      </c>
      <c r="G5240" s="6" t="str">
        <f>IFERROR(__xludf.DUMMYFUNCTION("""COMPUTED_VALUE"""),"08/17/2016")</f>
        <v>08/17/2016</v>
      </c>
      <c r="H5240" s="6" t="str">
        <f>IFERROR(__xludf.DUMMYFUNCTION("""COMPUTED_VALUE"""),"female")</f>
        <v>female</v>
      </c>
      <c r="I5240" s="6" t="str">
        <f>IFERROR(__xludf.DUMMYFUNCTION("""COMPUTED_VALUE"""),"Level 1")</f>
        <v>Level 1</v>
      </c>
      <c r="J5240" s="6" t="str">
        <f>IFERROR(__xludf.DUMMYFUNCTION("""COMPUTED_VALUE"""),"3")</f>
        <v>3</v>
      </c>
      <c r="K5240" s="6" t="str">
        <f>IFERROR(__xludf.DUMMYFUNCTION("""COMPUTED_VALUE"""),"emiliano.morarojas@2hourlearning.com")</f>
        <v>emiliano.morarojas@2hourlearning.com</v>
      </c>
      <c r="L5240" s="6" t="str">
        <f>IFERROR(__xludf.DUMMYFUNCTION("""COMPUTED_VALUE"""),"JRES - Ridgeland Elementary School")</f>
        <v>JRES - Ridgeland Elementary School</v>
      </c>
      <c r="M5240" s="6" t="str">
        <f>IFERROR(__xludf.DUMMYFUNCTION("""COMPUTED_VALUE"""),"")</f>
        <v/>
      </c>
      <c r="N5240" s="6" t="str">
        <f>IFERROR(__xludf.DUMMYFUNCTION("""COMPUTED_VALUE"""),"")</f>
        <v/>
      </c>
      <c r="O5240" s="87" t="str">
        <f>IFERROR(__xludf.DUMMYFUNCTION("""COMPUTED_VALUE"""),"https://drive.google.com/drive/folders/10T2cTQHqEJZqE-st6uFKPoI?usp=share_link")</f>
        <v>https://drive.google.com/drive/folders/10T2cTQHqEJZqE-st6uFKPoI?usp=share_link</v>
      </c>
      <c r="P5240" s="6" t="str">
        <f>IFERROR(__xludf.DUMMYFUNCTION("""COMPUTED_VALUE"""),"Emiliano Mora Rojas")</f>
        <v>Emiliano Mora Rojas</v>
      </c>
      <c r="Q5240" s="6" t="str">
        <f>IFERROR(__xludf.DUMMYFUNCTION("""COMPUTED_VALUE"""),"L1")</f>
        <v>L1</v>
      </c>
      <c r="R5240" s="6">
        <f>IFERROR(__xludf.DUMMYFUNCTION("""COMPUTED_VALUE"""),1.0)</f>
        <v>1</v>
      </c>
      <c r="S5240" s="6" t="str">
        <f>IFERROR(__xludf.DUMMYFUNCTION("""COMPUTED_VALUE"""),"Kimberly Ball")</f>
        <v>Kimberly Ball</v>
      </c>
      <c r="T5240" s="6" t="str">
        <f>IFERROR(__xludf.DUMMYFUNCTION("""COMPUTED_VALUE"""),"kimberly.ball@studient.com")</f>
        <v>kimberly.ball@studient.com</v>
      </c>
      <c r="U5240" s="6" t="str">
        <f>IFERROR(__xludf.DUMMYFUNCTION("""COMPUTED_VALUE"""),"3")</f>
        <v>3</v>
      </c>
      <c r="V5240" s="6" t="str">
        <f>IFERROR(__xludf.DUMMYFUNCTION("""COMPUTED_VALUE"""),"")</f>
        <v/>
      </c>
      <c r="W5240" s="6" t="str">
        <f>IFERROR(__xludf.DUMMYFUNCTION("""COMPUTED_VALUE"""),"[]")</f>
        <v>[]</v>
      </c>
      <c r="X5240" s="6" t="str">
        <f>IFERROR(__xludf.DUMMYFUNCTION("""COMPUTED_VALUE"""),"Enrolled")</f>
        <v>Enrolled</v>
      </c>
    </row>
    <row r="5241">
      <c r="A5241" s="6" t="str">
        <f>IFERROR(__xludf.DUMMYFUNCTION("""COMPUTED_VALUE"""),"086-12632")</f>
        <v>086-12632</v>
      </c>
      <c r="B5241" s="6" t="str">
        <f>IFERROR(__xludf.DUMMYFUNCTION("""COMPUTED_VALUE"""),"86")</f>
        <v>86</v>
      </c>
      <c r="C5241" s="6" t="str">
        <f>IFERROR(__xludf.DUMMYFUNCTION("""COMPUTED_VALUE"""),"12632")</f>
        <v>12632</v>
      </c>
      <c r="D5241" s="6" t="str">
        <f>IFERROR(__xludf.DUMMYFUNCTION("""COMPUTED_VALUE"""),"Miley")</f>
        <v>Miley</v>
      </c>
      <c r="E5241" s="6" t="str">
        <f>IFERROR(__xludf.DUMMYFUNCTION("""COMPUTED_VALUE"""),"")</f>
        <v/>
      </c>
      <c r="F5241" s="6" t="str">
        <f>IFERROR(__xludf.DUMMYFUNCTION("""COMPUTED_VALUE"""),"Moreno Castillo")</f>
        <v>Moreno Castillo</v>
      </c>
      <c r="G5241" s="6" t="str">
        <f>IFERROR(__xludf.DUMMYFUNCTION("""COMPUTED_VALUE"""),"10/15/2015")</f>
        <v>10/15/2015</v>
      </c>
      <c r="H5241" s="6" t="str">
        <f>IFERROR(__xludf.DUMMYFUNCTION("""COMPUTED_VALUE"""),"female")</f>
        <v>female</v>
      </c>
      <c r="I5241" s="6" t="str">
        <f>IFERROR(__xludf.DUMMYFUNCTION("""COMPUTED_VALUE"""),"Level 1")</f>
        <v>Level 1</v>
      </c>
      <c r="J5241" s="6" t="str">
        <f>IFERROR(__xludf.DUMMYFUNCTION("""COMPUTED_VALUE"""),"3")</f>
        <v>3</v>
      </c>
      <c r="K5241" s="6" t="str">
        <f>IFERROR(__xludf.DUMMYFUNCTION("""COMPUTED_VALUE"""),"miley.morenocastillo@2hourlearning.com")</f>
        <v>miley.morenocastillo@2hourlearning.com</v>
      </c>
      <c r="L5241" s="6" t="str">
        <f>IFERROR(__xludf.DUMMYFUNCTION("""COMPUTED_VALUE"""),"JRES - Ridgeland Elementary School")</f>
        <v>JRES - Ridgeland Elementary School</v>
      </c>
      <c r="M5241" s="6" t="str">
        <f>IFERROR(__xludf.DUMMYFUNCTION("""COMPUTED_VALUE"""),"")</f>
        <v/>
      </c>
      <c r="N5241" s="6" t="str">
        <f>IFERROR(__xludf.DUMMYFUNCTION("""COMPUTED_VALUE"""),"")</f>
        <v/>
      </c>
      <c r="O5241" s="87" t="str">
        <f>IFERROR(__xludf.DUMMYFUNCTION("""COMPUTED_VALUE"""),"https://drive.google.com/drive/folders/10T2cTQHqEJZqE-st6uFKPoI?usp=share_link")</f>
        <v>https://drive.google.com/drive/folders/10T2cTQHqEJZqE-st6uFKPoI?usp=share_link</v>
      </c>
      <c r="P5241" s="6" t="str">
        <f>IFERROR(__xludf.DUMMYFUNCTION("""COMPUTED_VALUE"""),"Miley Moreno Castillo")</f>
        <v>Miley Moreno Castillo</v>
      </c>
      <c r="Q5241" s="6" t="str">
        <f>IFERROR(__xludf.DUMMYFUNCTION("""COMPUTED_VALUE"""),"L1")</f>
        <v>L1</v>
      </c>
      <c r="R5241" s="6">
        <f>IFERROR(__xludf.DUMMYFUNCTION("""COMPUTED_VALUE"""),1.0)</f>
        <v>1</v>
      </c>
      <c r="S5241" s="6" t="str">
        <f>IFERROR(__xludf.DUMMYFUNCTION("""COMPUTED_VALUE"""),"Kimberly Ball")</f>
        <v>Kimberly Ball</v>
      </c>
      <c r="T5241" s="6" t="str">
        <f>IFERROR(__xludf.DUMMYFUNCTION("""COMPUTED_VALUE"""),"kimberly.ball@studient.com")</f>
        <v>kimberly.ball@studient.com</v>
      </c>
      <c r="U5241" s="6" t="str">
        <f>IFERROR(__xludf.DUMMYFUNCTION("""COMPUTED_VALUE"""),"3")</f>
        <v>3</v>
      </c>
      <c r="V5241" s="6" t="str">
        <f>IFERROR(__xludf.DUMMYFUNCTION("""COMPUTED_VALUE"""),"")</f>
        <v/>
      </c>
      <c r="W5241" s="6" t="str">
        <f>IFERROR(__xludf.DUMMYFUNCTION("""COMPUTED_VALUE"""),"[]")</f>
        <v>[]</v>
      </c>
      <c r="X5241" s="6" t="str">
        <f>IFERROR(__xludf.DUMMYFUNCTION("""COMPUTED_VALUE"""),"Enrolled")</f>
        <v>Enrolled</v>
      </c>
    </row>
    <row r="5242">
      <c r="A5242" s="6" t="str">
        <f>IFERROR(__xludf.DUMMYFUNCTION("""COMPUTED_VALUE"""),"086-12633")</f>
        <v>086-12633</v>
      </c>
      <c r="B5242" s="6" t="str">
        <f>IFERROR(__xludf.DUMMYFUNCTION("""COMPUTED_VALUE"""),"86")</f>
        <v>86</v>
      </c>
      <c r="C5242" s="6" t="str">
        <f>IFERROR(__xludf.DUMMYFUNCTION("""COMPUTED_VALUE"""),"12633")</f>
        <v>12633</v>
      </c>
      <c r="D5242" s="6" t="str">
        <f>IFERROR(__xludf.DUMMYFUNCTION("""COMPUTED_VALUE"""),"Naijha")</f>
        <v>Naijha</v>
      </c>
      <c r="E5242" s="6" t="str">
        <f>IFERROR(__xludf.DUMMYFUNCTION("""COMPUTED_VALUE"""),"")</f>
        <v/>
      </c>
      <c r="F5242" s="6" t="str">
        <f>IFERROR(__xludf.DUMMYFUNCTION("""COMPUTED_VALUE"""),"Morris")</f>
        <v>Morris</v>
      </c>
      <c r="G5242" s="6" t="str">
        <f>IFERROR(__xludf.DUMMYFUNCTION("""COMPUTED_VALUE"""),"09/30/2014")</f>
        <v>09/30/2014</v>
      </c>
      <c r="H5242" s="6" t="str">
        <f>IFERROR(__xludf.DUMMYFUNCTION("""COMPUTED_VALUE"""),"female")</f>
        <v>female</v>
      </c>
      <c r="I5242" s="6" t="str">
        <f>IFERROR(__xludf.DUMMYFUNCTION("""COMPUTED_VALUE"""),"Level 1")</f>
        <v>Level 1</v>
      </c>
      <c r="J5242" s="6" t="str">
        <f>IFERROR(__xludf.DUMMYFUNCTION("""COMPUTED_VALUE"""),"3")</f>
        <v>3</v>
      </c>
      <c r="K5242" s="6" t="str">
        <f>IFERROR(__xludf.DUMMYFUNCTION("""COMPUTED_VALUE"""),"naijha.morris@2hourlearning.com")</f>
        <v>naijha.morris@2hourlearning.com</v>
      </c>
      <c r="L5242" s="6" t="str">
        <f>IFERROR(__xludf.DUMMYFUNCTION("""COMPUTED_VALUE"""),"JRES - Ridgeland Elementary School")</f>
        <v>JRES - Ridgeland Elementary School</v>
      </c>
      <c r="M5242" s="6" t="str">
        <f>IFERROR(__xludf.DUMMYFUNCTION("""COMPUTED_VALUE"""),"")</f>
        <v/>
      </c>
      <c r="N5242" s="6" t="str">
        <f>IFERROR(__xludf.DUMMYFUNCTION("""COMPUTED_VALUE"""),"")</f>
        <v/>
      </c>
      <c r="O5242" s="87" t="str">
        <f>IFERROR(__xludf.DUMMYFUNCTION("""COMPUTED_VALUE"""),"https://drive.google.com/drive/folders/10T2cTQHqEJZqE-st6uFKPoI?usp=share_link")</f>
        <v>https://drive.google.com/drive/folders/10T2cTQHqEJZqE-st6uFKPoI?usp=share_link</v>
      </c>
      <c r="P5242" s="6" t="str">
        <f>IFERROR(__xludf.DUMMYFUNCTION("""COMPUTED_VALUE"""),"Naijha Morris")</f>
        <v>Naijha Morris</v>
      </c>
      <c r="Q5242" s="6" t="str">
        <f>IFERROR(__xludf.DUMMYFUNCTION("""COMPUTED_VALUE"""),"L1")</f>
        <v>L1</v>
      </c>
      <c r="R5242" s="6">
        <f>IFERROR(__xludf.DUMMYFUNCTION("""COMPUTED_VALUE"""),1.0)</f>
        <v>1</v>
      </c>
      <c r="S5242" s="6" t="str">
        <f>IFERROR(__xludf.DUMMYFUNCTION("""COMPUTED_VALUE"""),"Kimberly Ball")</f>
        <v>Kimberly Ball</v>
      </c>
      <c r="T5242" s="6" t="str">
        <f>IFERROR(__xludf.DUMMYFUNCTION("""COMPUTED_VALUE"""),"kimberly.ball@studient.com")</f>
        <v>kimberly.ball@studient.com</v>
      </c>
      <c r="U5242" s="6" t="str">
        <f>IFERROR(__xludf.DUMMYFUNCTION("""COMPUTED_VALUE"""),"3")</f>
        <v>3</v>
      </c>
      <c r="V5242" s="6" t="str">
        <f>IFERROR(__xludf.DUMMYFUNCTION("""COMPUTED_VALUE"""),"")</f>
        <v/>
      </c>
      <c r="W5242" s="6" t="str">
        <f>IFERROR(__xludf.DUMMYFUNCTION("""COMPUTED_VALUE"""),"[]")</f>
        <v>[]</v>
      </c>
      <c r="X5242" s="6" t="str">
        <f>IFERROR(__xludf.DUMMYFUNCTION("""COMPUTED_VALUE"""),"Enrolled")</f>
        <v>Enrolled</v>
      </c>
    </row>
    <row r="5243">
      <c r="A5243" s="6" t="str">
        <f>IFERROR(__xludf.DUMMYFUNCTION("""COMPUTED_VALUE"""),"086-12634")</f>
        <v>086-12634</v>
      </c>
      <c r="B5243" s="6" t="str">
        <f>IFERROR(__xludf.DUMMYFUNCTION("""COMPUTED_VALUE"""),"86")</f>
        <v>86</v>
      </c>
      <c r="C5243" s="6" t="str">
        <f>IFERROR(__xludf.DUMMYFUNCTION("""COMPUTED_VALUE"""),"12634")</f>
        <v>12634</v>
      </c>
      <c r="D5243" s="6" t="str">
        <f>IFERROR(__xludf.DUMMYFUNCTION("""COMPUTED_VALUE"""),"Humberto")</f>
        <v>Humberto</v>
      </c>
      <c r="E5243" s="6" t="str">
        <f>IFERROR(__xludf.DUMMYFUNCTION("""COMPUTED_VALUE"""),"")</f>
        <v/>
      </c>
      <c r="F5243" s="6" t="str">
        <f>IFERROR(__xludf.DUMMYFUNCTION("""COMPUTED_VALUE"""),"Mota Escobar")</f>
        <v>Mota Escobar</v>
      </c>
      <c r="G5243" s="6" t="str">
        <f>IFERROR(__xludf.DUMMYFUNCTION("""COMPUTED_VALUE"""),"08/21/2013")</f>
        <v>08/21/2013</v>
      </c>
      <c r="H5243" s="6" t="str">
        <f>IFERROR(__xludf.DUMMYFUNCTION("""COMPUTED_VALUE"""),"female")</f>
        <v>female</v>
      </c>
      <c r="I5243" s="6" t="str">
        <f>IFERROR(__xludf.DUMMYFUNCTION("""COMPUTED_VALUE"""),"Level 1")</f>
        <v>Level 1</v>
      </c>
      <c r="J5243" s="6" t="str">
        <f>IFERROR(__xludf.DUMMYFUNCTION("""COMPUTED_VALUE"""),"3")</f>
        <v>3</v>
      </c>
      <c r="K5243" s="6" t="str">
        <f>IFERROR(__xludf.DUMMYFUNCTION("""COMPUTED_VALUE"""),"humberto.motaescobar@2hourlearning.com")</f>
        <v>humberto.motaescobar@2hourlearning.com</v>
      </c>
      <c r="L5243" s="6" t="str">
        <f>IFERROR(__xludf.DUMMYFUNCTION("""COMPUTED_VALUE"""),"JRES - Ridgeland Elementary School")</f>
        <v>JRES - Ridgeland Elementary School</v>
      </c>
      <c r="M5243" s="6" t="str">
        <f>IFERROR(__xludf.DUMMYFUNCTION("""COMPUTED_VALUE"""),"")</f>
        <v/>
      </c>
      <c r="N5243" s="6" t="str">
        <f>IFERROR(__xludf.DUMMYFUNCTION("""COMPUTED_VALUE"""),"")</f>
        <v/>
      </c>
      <c r="O5243" s="87" t="str">
        <f>IFERROR(__xludf.DUMMYFUNCTION("""COMPUTED_VALUE"""),"https://drive.google.com/drive/folders/10T2cTQHqEJZqE-st6uFKPoI?usp=share_link")</f>
        <v>https://drive.google.com/drive/folders/10T2cTQHqEJZqE-st6uFKPoI?usp=share_link</v>
      </c>
      <c r="P5243" s="6" t="str">
        <f>IFERROR(__xludf.DUMMYFUNCTION("""COMPUTED_VALUE"""),"Humberto Mota Escobar")</f>
        <v>Humberto Mota Escobar</v>
      </c>
      <c r="Q5243" s="6" t="str">
        <f>IFERROR(__xludf.DUMMYFUNCTION("""COMPUTED_VALUE"""),"L1")</f>
        <v>L1</v>
      </c>
      <c r="R5243" s="6">
        <f>IFERROR(__xludf.DUMMYFUNCTION("""COMPUTED_VALUE"""),1.0)</f>
        <v>1</v>
      </c>
      <c r="S5243" s="6" t="str">
        <f>IFERROR(__xludf.DUMMYFUNCTION("""COMPUTED_VALUE"""),"Kimberly Ball")</f>
        <v>Kimberly Ball</v>
      </c>
      <c r="T5243" s="6" t="str">
        <f>IFERROR(__xludf.DUMMYFUNCTION("""COMPUTED_VALUE"""),"kimberly.ball@studient.com")</f>
        <v>kimberly.ball@studient.com</v>
      </c>
      <c r="U5243" s="6" t="str">
        <f>IFERROR(__xludf.DUMMYFUNCTION("""COMPUTED_VALUE"""),"3")</f>
        <v>3</v>
      </c>
      <c r="V5243" s="6" t="str">
        <f>IFERROR(__xludf.DUMMYFUNCTION("""COMPUTED_VALUE"""),"")</f>
        <v/>
      </c>
      <c r="W5243" s="6" t="str">
        <f>IFERROR(__xludf.DUMMYFUNCTION("""COMPUTED_VALUE"""),"[]")</f>
        <v>[]</v>
      </c>
      <c r="X5243" s="6" t="str">
        <f>IFERROR(__xludf.DUMMYFUNCTION("""COMPUTED_VALUE"""),"Enrolled")</f>
        <v>Enrolled</v>
      </c>
    </row>
    <row r="5244">
      <c r="A5244" s="6" t="str">
        <f>IFERROR(__xludf.DUMMYFUNCTION("""COMPUTED_VALUE"""),"086-12635")</f>
        <v>086-12635</v>
      </c>
      <c r="B5244" s="6" t="str">
        <f>IFERROR(__xludf.DUMMYFUNCTION("""COMPUTED_VALUE"""),"86")</f>
        <v>86</v>
      </c>
      <c r="C5244" s="6" t="str">
        <f>IFERROR(__xludf.DUMMYFUNCTION("""COMPUTED_VALUE"""),"12635")</f>
        <v>12635</v>
      </c>
      <c r="D5244" s="6" t="str">
        <f>IFERROR(__xludf.DUMMYFUNCTION("""COMPUTED_VALUE"""),"Yahir")</f>
        <v>Yahir</v>
      </c>
      <c r="E5244" s="6" t="str">
        <f>IFERROR(__xludf.DUMMYFUNCTION("""COMPUTED_VALUE"""),"")</f>
        <v/>
      </c>
      <c r="F5244" s="6" t="str">
        <f>IFERROR(__xludf.DUMMYFUNCTION("""COMPUTED_VALUE"""),"Nava Jimenez")</f>
        <v>Nava Jimenez</v>
      </c>
      <c r="G5244" s="6" t="str">
        <f>IFERROR(__xludf.DUMMYFUNCTION("""COMPUTED_VALUE"""),"05/27/2015")</f>
        <v>05/27/2015</v>
      </c>
      <c r="H5244" s="6" t="str">
        <f>IFERROR(__xludf.DUMMYFUNCTION("""COMPUTED_VALUE"""),"male")</f>
        <v>male</v>
      </c>
      <c r="I5244" s="6" t="str">
        <f>IFERROR(__xludf.DUMMYFUNCTION("""COMPUTED_VALUE"""),"Level 1")</f>
        <v>Level 1</v>
      </c>
      <c r="J5244" s="6" t="str">
        <f>IFERROR(__xludf.DUMMYFUNCTION("""COMPUTED_VALUE"""),"3")</f>
        <v>3</v>
      </c>
      <c r="K5244" s="6" t="str">
        <f>IFERROR(__xludf.DUMMYFUNCTION("""COMPUTED_VALUE"""),"yahir.navajimenez@2hourlearning.com")</f>
        <v>yahir.navajimenez@2hourlearning.com</v>
      </c>
      <c r="L5244" s="6" t="str">
        <f>IFERROR(__xludf.DUMMYFUNCTION("""COMPUTED_VALUE"""),"JRES - Ridgeland Elementary School")</f>
        <v>JRES - Ridgeland Elementary School</v>
      </c>
      <c r="M5244" s="6" t="str">
        <f>IFERROR(__xludf.DUMMYFUNCTION("""COMPUTED_VALUE"""),"")</f>
        <v/>
      </c>
      <c r="N5244" s="6" t="str">
        <f>IFERROR(__xludf.DUMMYFUNCTION("""COMPUTED_VALUE"""),"")</f>
        <v/>
      </c>
      <c r="O5244" s="87" t="str">
        <f>IFERROR(__xludf.DUMMYFUNCTION("""COMPUTED_VALUE"""),"https://drive.google.com/drive/folders/10T2cTQHqEJZqE-st6uFKPoI?usp=share_link")</f>
        <v>https://drive.google.com/drive/folders/10T2cTQHqEJZqE-st6uFKPoI?usp=share_link</v>
      </c>
      <c r="P5244" s="6" t="str">
        <f>IFERROR(__xludf.DUMMYFUNCTION("""COMPUTED_VALUE"""),"Yahir Nava Jimenez")</f>
        <v>Yahir Nava Jimenez</v>
      </c>
      <c r="Q5244" s="6" t="str">
        <f>IFERROR(__xludf.DUMMYFUNCTION("""COMPUTED_VALUE"""),"L1")</f>
        <v>L1</v>
      </c>
      <c r="R5244" s="6">
        <f>IFERROR(__xludf.DUMMYFUNCTION("""COMPUTED_VALUE"""),1.0)</f>
        <v>1</v>
      </c>
      <c r="S5244" s="6" t="str">
        <f>IFERROR(__xludf.DUMMYFUNCTION("""COMPUTED_VALUE"""),"Kimberly Ball")</f>
        <v>Kimberly Ball</v>
      </c>
      <c r="T5244" s="6" t="str">
        <f>IFERROR(__xludf.DUMMYFUNCTION("""COMPUTED_VALUE"""),"kimberly.ball@studient.com")</f>
        <v>kimberly.ball@studient.com</v>
      </c>
      <c r="U5244" s="6" t="str">
        <f>IFERROR(__xludf.DUMMYFUNCTION("""COMPUTED_VALUE"""),"3")</f>
        <v>3</v>
      </c>
      <c r="V5244" s="6" t="str">
        <f>IFERROR(__xludf.DUMMYFUNCTION("""COMPUTED_VALUE"""),"")</f>
        <v/>
      </c>
      <c r="W5244" s="6" t="str">
        <f>IFERROR(__xludf.DUMMYFUNCTION("""COMPUTED_VALUE"""),"[]")</f>
        <v>[]</v>
      </c>
      <c r="X5244" s="6" t="str">
        <f>IFERROR(__xludf.DUMMYFUNCTION("""COMPUTED_VALUE"""),"Enrolled")</f>
        <v>Enrolled</v>
      </c>
    </row>
    <row r="5245">
      <c r="A5245" s="6" t="str">
        <f>IFERROR(__xludf.DUMMYFUNCTION("""COMPUTED_VALUE"""),"086-12636")</f>
        <v>086-12636</v>
      </c>
      <c r="B5245" s="6" t="str">
        <f>IFERROR(__xludf.DUMMYFUNCTION("""COMPUTED_VALUE"""),"86")</f>
        <v>86</v>
      </c>
      <c r="C5245" s="6" t="str">
        <f>IFERROR(__xludf.DUMMYFUNCTION("""COMPUTED_VALUE"""),"12636")</f>
        <v>12636</v>
      </c>
      <c r="D5245" s="6" t="str">
        <f>IFERROR(__xludf.DUMMYFUNCTION("""COMPUTED_VALUE"""),"Lucas")</f>
        <v>Lucas</v>
      </c>
      <c r="E5245" s="6" t="str">
        <f>IFERROR(__xludf.DUMMYFUNCTION("""COMPUTED_VALUE"""),"")</f>
        <v/>
      </c>
      <c r="F5245" s="6" t="str">
        <f>IFERROR(__xludf.DUMMYFUNCTION("""COMPUTED_VALUE"""),"Oliva Bardales")</f>
        <v>Oliva Bardales</v>
      </c>
      <c r="G5245" s="6" t="str">
        <f>IFERROR(__xludf.DUMMYFUNCTION("""COMPUTED_VALUE"""),"05/17/2018")</f>
        <v>05/17/2018</v>
      </c>
      <c r="H5245" s="6" t="str">
        <f>IFERROR(__xludf.DUMMYFUNCTION("""COMPUTED_VALUE"""),"female")</f>
        <v>female</v>
      </c>
      <c r="I5245" s="6" t="str">
        <f>IFERROR(__xludf.DUMMYFUNCTION("""COMPUTED_VALUE"""),"Level 1")</f>
        <v>Level 1</v>
      </c>
      <c r="J5245" s="6" t="str">
        <f>IFERROR(__xludf.DUMMYFUNCTION("""COMPUTED_VALUE"""),"3")</f>
        <v>3</v>
      </c>
      <c r="K5245" s="6" t="str">
        <f>IFERROR(__xludf.DUMMYFUNCTION("""COMPUTED_VALUE"""),"lucas.olivabardales@2hourlearning.com")</f>
        <v>lucas.olivabardales@2hourlearning.com</v>
      </c>
      <c r="L5245" s="6" t="str">
        <f>IFERROR(__xludf.DUMMYFUNCTION("""COMPUTED_VALUE"""),"JRES - Ridgeland Elementary School")</f>
        <v>JRES - Ridgeland Elementary School</v>
      </c>
      <c r="M5245" s="6" t="str">
        <f>IFERROR(__xludf.DUMMYFUNCTION("""COMPUTED_VALUE"""),"")</f>
        <v/>
      </c>
      <c r="N5245" s="6" t="str">
        <f>IFERROR(__xludf.DUMMYFUNCTION("""COMPUTED_VALUE"""),"")</f>
        <v/>
      </c>
      <c r="O5245" s="87" t="str">
        <f>IFERROR(__xludf.DUMMYFUNCTION("""COMPUTED_VALUE"""),"https://drive.google.com/drive/folders/10T2cTQHqEJZqE-st6uFKPoI?usp=share_link")</f>
        <v>https://drive.google.com/drive/folders/10T2cTQHqEJZqE-st6uFKPoI?usp=share_link</v>
      </c>
      <c r="P5245" s="6" t="str">
        <f>IFERROR(__xludf.DUMMYFUNCTION("""COMPUTED_VALUE"""),"Lucas Oliva Bardales")</f>
        <v>Lucas Oliva Bardales</v>
      </c>
      <c r="Q5245" s="6" t="str">
        <f>IFERROR(__xludf.DUMMYFUNCTION("""COMPUTED_VALUE"""),"L1")</f>
        <v>L1</v>
      </c>
      <c r="R5245" s="6">
        <f>IFERROR(__xludf.DUMMYFUNCTION("""COMPUTED_VALUE"""),1.0)</f>
        <v>1</v>
      </c>
      <c r="S5245" s="6" t="str">
        <f>IFERROR(__xludf.DUMMYFUNCTION("""COMPUTED_VALUE"""),"Kimberly Ball")</f>
        <v>Kimberly Ball</v>
      </c>
      <c r="T5245" s="6" t="str">
        <f>IFERROR(__xludf.DUMMYFUNCTION("""COMPUTED_VALUE"""),"kimberly.ball@studient.com")</f>
        <v>kimberly.ball@studient.com</v>
      </c>
      <c r="U5245" s="6" t="str">
        <f>IFERROR(__xludf.DUMMYFUNCTION("""COMPUTED_VALUE"""),"3")</f>
        <v>3</v>
      </c>
      <c r="V5245" s="6" t="str">
        <f>IFERROR(__xludf.DUMMYFUNCTION("""COMPUTED_VALUE"""),"")</f>
        <v/>
      </c>
      <c r="W5245" s="6" t="str">
        <f>IFERROR(__xludf.DUMMYFUNCTION("""COMPUTED_VALUE"""),"[]")</f>
        <v>[]</v>
      </c>
      <c r="X5245" s="6" t="str">
        <f>IFERROR(__xludf.DUMMYFUNCTION("""COMPUTED_VALUE"""),"Enrolled")</f>
        <v>Enrolled</v>
      </c>
    </row>
    <row r="5246">
      <c r="A5246" s="6" t="str">
        <f>IFERROR(__xludf.DUMMYFUNCTION("""COMPUTED_VALUE"""),"086-12637")</f>
        <v>086-12637</v>
      </c>
      <c r="B5246" s="6" t="str">
        <f>IFERROR(__xludf.DUMMYFUNCTION("""COMPUTED_VALUE"""),"86")</f>
        <v>86</v>
      </c>
      <c r="C5246" s="6" t="str">
        <f>IFERROR(__xludf.DUMMYFUNCTION("""COMPUTED_VALUE"""),"12637")</f>
        <v>12637</v>
      </c>
      <c r="D5246" s="6" t="str">
        <f>IFERROR(__xludf.DUMMYFUNCTION("""COMPUTED_VALUE"""),"Khenia")</f>
        <v>Khenia</v>
      </c>
      <c r="E5246" s="6" t="str">
        <f>IFERROR(__xludf.DUMMYFUNCTION("""COMPUTED_VALUE"""),"")</f>
        <v/>
      </c>
      <c r="F5246" s="6" t="str">
        <f>IFERROR(__xludf.DUMMYFUNCTION("""COMPUTED_VALUE"""),"Palacios")</f>
        <v>Palacios</v>
      </c>
      <c r="G5246" s="6" t="str">
        <f>IFERROR(__xludf.DUMMYFUNCTION("""COMPUTED_VALUE"""),"07/22/2016")</f>
        <v>07/22/2016</v>
      </c>
      <c r="H5246" s="6" t="str">
        <f>IFERROR(__xludf.DUMMYFUNCTION("""COMPUTED_VALUE"""),"Self Identify")</f>
        <v>Self Identify</v>
      </c>
      <c r="I5246" s="6" t="str">
        <f>IFERROR(__xludf.DUMMYFUNCTION("""COMPUTED_VALUE"""),"Level 1")</f>
        <v>Level 1</v>
      </c>
      <c r="J5246" s="6" t="str">
        <f>IFERROR(__xludf.DUMMYFUNCTION("""COMPUTED_VALUE"""),"3")</f>
        <v>3</v>
      </c>
      <c r="K5246" s="6" t="str">
        <f>IFERROR(__xludf.DUMMYFUNCTION("""COMPUTED_VALUE"""),"khenia.palacios@2hourlearning.com")</f>
        <v>khenia.palacios@2hourlearning.com</v>
      </c>
      <c r="L5246" s="6" t="str">
        <f>IFERROR(__xludf.DUMMYFUNCTION("""COMPUTED_VALUE"""),"JRES - Ridgeland Elementary School")</f>
        <v>JRES - Ridgeland Elementary School</v>
      </c>
      <c r="M5246" s="6" t="str">
        <f>IFERROR(__xludf.DUMMYFUNCTION("""COMPUTED_VALUE"""),"")</f>
        <v/>
      </c>
      <c r="N5246" s="6" t="str">
        <f>IFERROR(__xludf.DUMMYFUNCTION("""COMPUTED_VALUE"""),"")</f>
        <v/>
      </c>
      <c r="O5246" s="87" t="str">
        <f>IFERROR(__xludf.DUMMYFUNCTION("""COMPUTED_VALUE"""),"https://drive.google.com/drive/folders/10T2cTQHqEJZqE-st6uFKPoI?usp=share_link")</f>
        <v>https://drive.google.com/drive/folders/10T2cTQHqEJZqE-st6uFKPoI?usp=share_link</v>
      </c>
      <c r="P5246" s="6" t="str">
        <f>IFERROR(__xludf.DUMMYFUNCTION("""COMPUTED_VALUE"""),"Khenia Palacios")</f>
        <v>Khenia Palacios</v>
      </c>
      <c r="Q5246" s="6" t="str">
        <f>IFERROR(__xludf.DUMMYFUNCTION("""COMPUTED_VALUE"""),"L1")</f>
        <v>L1</v>
      </c>
      <c r="R5246" s="6">
        <f>IFERROR(__xludf.DUMMYFUNCTION("""COMPUTED_VALUE"""),1.0)</f>
        <v>1</v>
      </c>
      <c r="S5246" s="6" t="str">
        <f>IFERROR(__xludf.DUMMYFUNCTION("""COMPUTED_VALUE"""),"Kimberly Ball")</f>
        <v>Kimberly Ball</v>
      </c>
      <c r="T5246" s="6" t="str">
        <f>IFERROR(__xludf.DUMMYFUNCTION("""COMPUTED_VALUE"""),"kimberly.ball@studient.com")</f>
        <v>kimberly.ball@studient.com</v>
      </c>
      <c r="U5246" s="6" t="str">
        <f>IFERROR(__xludf.DUMMYFUNCTION("""COMPUTED_VALUE"""),"3")</f>
        <v>3</v>
      </c>
      <c r="V5246" s="6" t="str">
        <f>IFERROR(__xludf.DUMMYFUNCTION("""COMPUTED_VALUE"""),"")</f>
        <v/>
      </c>
      <c r="W5246" s="6" t="str">
        <f>IFERROR(__xludf.DUMMYFUNCTION("""COMPUTED_VALUE"""),"[]")</f>
        <v>[]</v>
      </c>
      <c r="X5246" s="6" t="str">
        <f>IFERROR(__xludf.DUMMYFUNCTION("""COMPUTED_VALUE"""),"Enrolled")</f>
        <v>Enrolled</v>
      </c>
    </row>
    <row r="5247">
      <c r="A5247" s="6" t="str">
        <f>IFERROR(__xludf.DUMMYFUNCTION("""COMPUTED_VALUE"""),"086-12638")</f>
        <v>086-12638</v>
      </c>
      <c r="B5247" s="6" t="str">
        <f>IFERROR(__xludf.DUMMYFUNCTION("""COMPUTED_VALUE"""),"86")</f>
        <v>86</v>
      </c>
      <c r="C5247" s="6" t="str">
        <f>IFERROR(__xludf.DUMMYFUNCTION("""COMPUTED_VALUE"""),"12638")</f>
        <v>12638</v>
      </c>
      <c r="D5247" s="6" t="str">
        <f>IFERROR(__xludf.DUMMYFUNCTION("""COMPUTED_VALUE"""),"Sarah")</f>
        <v>Sarah</v>
      </c>
      <c r="E5247" s="6" t="str">
        <f>IFERROR(__xludf.DUMMYFUNCTION("""COMPUTED_VALUE"""),"")</f>
        <v/>
      </c>
      <c r="F5247" s="6" t="str">
        <f>IFERROR(__xludf.DUMMYFUNCTION("""COMPUTED_VALUE"""),"Parker")</f>
        <v>Parker</v>
      </c>
      <c r="G5247" s="6" t="str">
        <f>IFERROR(__xludf.DUMMYFUNCTION("""COMPUTED_VALUE"""),"12/04/2015")</f>
        <v>12/04/2015</v>
      </c>
      <c r="H5247" s="6" t="str">
        <f>IFERROR(__xludf.DUMMYFUNCTION("""COMPUTED_VALUE"""),"male")</f>
        <v>male</v>
      </c>
      <c r="I5247" s="6" t="str">
        <f>IFERROR(__xludf.DUMMYFUNCTION("""COMPUTED_VALUE"""),"Level 1")</f>
        <v>Level 1</v>
      </c>
      <c r="J5247" s="6" t="str">
        <f>IFERROR(__xludf.DUMMYFUNCTION("""COMPUTED_VALUE"""),"3")</f>
        <v>3</v>
      </c>
      <c r="K5247" s="6" t="str">
        <f>IFERROR(__xludf.DUMMYFUNCTION("""COMPUTED_VALUE"""),"sarah.parker@2hourlearning.com")</f>
        <v>sarah.parker@2hourlearning.com</v>
      </c>
      <c r="L5247" s="6" t="str">
        <f>IFERROR(__xludf.DUMMYFUNCTION("""COMPUTED_VALUE"""),"JRES - Ridgeland Elementary School")</f>
        <v>JRES - Ridgeland Elementary School</v>
      </c>
      <c r="M5247" s="6" t="str">
        <f>IFERROR(__xludf.DUMMYFUNCTION("""COMPUTED_VALUE"""),"")</f>
        <v/>
      </c>
      <c r="N5247" s="6" t="str">
        <f>IFERROR(__xludf.DUMMYFUNCTION("""COMPUTED_VALUE"""),"")</f>
        <v/>
      </c>
      <c r="O5247" s="87" t="str">
        <f>IFERROR(__xludf.DUMMYFUNCTION("""COMPUTED_VALUE"""),"https://drive.google.com/drive/folders/10T2cTQHqEJZqE-st6uFKPoI?usp=share_link")</f>
        <v>https://drive.google.com/drive/folders/10T2cTQHqEJZqE-st6uFKPoI?usp=share_link</v>
      </c>
      <c r="P5247" s="6" t="str">
        <f>IFERROR(__xludf.DUMMYFUNCTION("""COMPUTED_VALUE"""),"Sarah Parker")</f>
        <v>Sarah Parker</v>
      </c>
      <c r="Q5247" s="6" t="str">
        <f>IFERROR(__xludf.DUMMYFUNCTION("""COMPUTED_VALUE"""),"L1")</f>
        <v>L1</v>
      </c>
      <c r="R5247" s="6">
        <f>IFERROR(__xludf.DUMMYFUNCTION("""COMPUTED_VALUE"""),1.0)</f>
        <v>1</v>
      </c>
      <c r="S5247" s="6" t="str">
        <f>IFERROR(__xludf.DUMMYFUNCTION("""COMPUTED_VALUE"""),"Kimberly Ball")</f>
        <v>Kimberly Ball</v>
      </c>
      <c r="T5247" s="6" t="str">
        <f>IFERROR(__xludf.DUMMYFUNCTION("""COMPUTED_VALUE"""),"kimberly.ball@studient.com")</f>
        <v>kimberly.ball@studient.com</v>
      </c>
      <c r="U5247" s="6" t="str">
        <f>IFERROR(__xludf.DUMMYFUNCTION("""COMPUTED_VALUE"""),"3")</f>
        <v>3</v>
      </c>
      <c r="V5247" s="6" t="str">
        <f>IFERROR(__xludf.DUMMYFUNCTION("""COMPUTED_VALUE"""),"")</f>
        <v/>
      </c>
      <c r="W5247" s="6" t="str">
        <f>IFERROR(__xludf.DUMMYFUNCTION("""COMPUTED_VALUE"""),"[]")</f>
        <v>[]</v>
      </c>
      <c r="X5247" s="6" t="str">
        <f>IFERROR(__xludf.DUMMYFUNCTION("""COMPUTED_VALUE"""),"Enrolled")</f>
        <v>Enrolled</v>
      </c>
    </row>
    <row r="5248">
      <c r="A5248" s="6" t="str">
        <f>IFERROR(__xludf.DUMMYFUNCTION("""COMPUTED_VALUE"""),"086-12639")</f>
        <v>086-12639</v>
      </c>
      <c r="B5248" s="6" t="str">
        <f>IFERROR(__xludf.DUMMYFUNCTION("""COMPUTED_VALUE"""),"86")</f>
        <v>86</v>
      </c>
      <c r="C5248" s="6" t="str">
        <f>IFERROR(__xludf.DUMMYFUNCTION("""COMPUTED_VALUE"""),"12639")</f>
        <v>12639</v>
      </c>
      <c r="D5248" s="6" t="str">
        <f>IFERROR(__xludf.DUMMYFUNCTION("""COMPUTED_VALUE"""),"Legareo")</f>
        <v>Legareo</v>
      </c>
      <c r="E5248" s="6" t="str">
        <f>IFERROR(__xludf.DUMMYFUNCTION("""COMPUTED_VALUE"""),"")</f>
        <v/>
      </c>
      <c r="F5248" s="6" t="str">
        <f>IFERROR(__xludf.DUMMYFUNCTION("""COMPUTED_VALUE"""),"Pearce")</f>
        <v>Pearce</v>
      </c>
      <c r="G5248" s="6" t="str">
        <f>IFERROR(__xludf.DUMMYFUNCTION("""COMPUTED_VALUE"""),"03/14/2015")</f>
        <v>03/14/2015</v>
      </c>
      <c r="H5248" s="6" t="str">
        <f>IFERROR(__xludf.DUMMYFUNCTION("""COMPUTED_VALUE"""),"male")</f>
        <v>male</v>
      </c>
      <c r="I5248" s="6" t="str">
        <f>IFERROR(__xludf.DUMMYFUNCTION("""COMPUTED_VALUE"""),"Level 1")</f>
        <v>Level 1</v>
      </c>
      <c r="J5248" s="6" t="str">
        <f>IFERROR(__xludf.DUMMYFUNCTION("""COMPUTED_VALUE"""),"3")</f>
        <v>3</v>
      </c>
      <c r="K5248" s="6" t="str">
        <f>IFERROR(__xludf.DUMMYFUNCTION("""COMPUTED_VALUE"""),"legareo.pearce@2hourlearning.com")</f>
        <v>legareo.pearce@2hourlearning.com</v>
      </c>
      <c r="L5248" s="6" t="str">
        <f>IFERROR(__xludf.DUMMYFUNCTION("""COMPUTED_VALUE"""),"JRES - Ridgeland Elementary School")</f>
        <v>JRES - Ridgeland Elementary School</v>
      </c>
      <c r="M5248" s="6" t="str">
        <f>IFERROR(__xludf.DUMMYFUNCTION("""COMPUTED_VALUE"""),"")</f>
        <v/>
      </c>
      <c r="N5248" s="6" t="str">
        <f>IFERROR(__xludf.DUMMYFUNCTION("""COMPUTED_VALUE"""),"")</f>
        <v/>
      </c>
      <c r="O5248" s="87" t="str">
        <f>IFERROR(__xludf.DUMMYFUNCTION("""COMPUTED_VALUE"""),"https://drive.google.com/drive/folders/10T2cTQHqEJZqE-st6uFKPoI?usp=share_link")</f>
        <v>https://drive.google.com/drive/folders/10T2cTQHqEJZqE-st6uFKPoI?usp=share_link</v>
      </c>
      <c r="P5248" s="6" t="str">
        <f>IFERROR(__xludf.DUMMYFUNCTION("""COMPUTED_VALUE"""),"Legareo Pearce")</f>
        <v>Legareo Pearce</v>
      </c>
      <c r="Q5248" s="6" t="str">
        <f>IFERROR(__xludf.DUMMYFUNCTION("""COMPUTED_VALUE"""),"L1")</f>
        <v>L1</v>
      </c>
      <c r="R5248" s="6">
        <f>IFERROR(__xludf.DUMMYFUNCTION("""COMPUTED_VALUE"""),1.0)</f>
        <v>1</v>
      </c>
      <c r="S5248" s="6" t="str">
        <f>IFERROR(__xludf.DUMMYFUNCTION("""COMPUTED_VALUE"""),"Kimberly Ball")</f>
        <v>Kimberly Ball</v>
      </c>
      <c r="T5248" s="6" t="str">
        <f>IFERROR(__xludf.DUMMYFUNCTION("""COMPUTED_VALUE"""),"kimberly.ball@studient.com")</f>
        <v>kimberly.ball@studient.com</v>
      </c>
      <c r="U5248" s="6" t="str">
        <f>IFERROR(__xludf.DUMMYFUNCTION("""COMPUTED_VALUE"""),"3")</f>
        <v>3</v>
      </c>
      <c r="V5248" s="6" t="str">
        <f>IFERROR(__xludf.DUMMYFUNCTION("""COMPUTED_VALUE"""),"")</f>
        <v/>
      </c>
      <c r="W5248" s="6" t="str">
        <f>IFERROR(__xludf.DUMMYFUNCTION("""COMPUTED_VALUE"""),"[]")</f>
        <v>[]</v>
      </c>
      <c r="X5248" s="6" t="str">
        <f>IFERROR(__xludf.DUMMYFUNCTION("""COMPUTED_VALUE"""),"Enrolled")</f>
        <v>Enrolled</v>
      </c>
    </row>
    <row r="5249">
      <c r="A5249" s="6" t="str">
        <f>IFERROR(__xludf.DUMMYFUNCTION("""COMPUTED_VALUE"""),"086-12640")</f>
        <v>086-12640</v>
      </c>
      <c r="B5249" s="6" t="str">
        <f>IFERROR(__xludf.DUMMYFUNCTION("""COMPUTED_VALUE"""),"86")</f>
        <v>86</v>
      </c>
      <c r="C5249" s="6" t="str">
        <f>IFERROR(__xludf.DUMMYFUNCTION("""COMPUTED_VALUE"""),"12640")</f>
        <v>12640</v>
      </c>
      <c r="D5249" s="6" t="str">
        <f>IFERROR(__xludf.DUMMYFUNCTION("""COMPUTED_VALUE"""),"Hannah")</f>
        <v>Hannah</v>
      </c>
      <c r="E5249" s="6" t="str">
        <f>IFERROR(__xludf.DUMMYFUNCTION("""COMPUTED_VALUE"""),"")</f>
        <v/>
      </c>
      <c r="F5249" s="6" t="str">
        <f>IFERROR(__xludf.DUMMYFUNCTION("""COMPUTED_VALUE"""),"Perez Rivera")</f>
        <v>Perez Rivera</v>
      </c>
      <c r="G5249" s="6" t="str">
        <f>IFERROR(__xludf.DUMMYFUNCTION("""COMPUTED_VALUE"""),"11/07/2016")</f>
        <v>11/07/2016</v>
      </c>
      <c r="H5249" s="6" t="str">
        <f>IFERROR(__xludf.DUMMYFUNCTION("""COMPUTED_VALUE"""),"male")</f>
        <v>male</v>
      </c>
      <c r="I5249" s="6" t="str">
        <f>IFERROR(__xludf.DUMMYFUNCTION("""COMPUTED_VALUE"""),"Level 1")</f>
        <v>Level 1</v>
      </c>
      <c r="J5249" s="6" t="str">
        <f>IFERROR(__xludf.DUMMYFUNCTION("""COMPUTED_VALUE"""),"3")</f>
        <v>3</v>
      </c>
      <c r="K5249" s="6" t="str">
        <f>IFERROR(__xludf.DUMMYFUNCTION("""COMPUTED_VALUE"""),"hannah.perezrivera@2hourlearning.com")</f>
        <v>hannah.perezrivera@2hourlearning.com</v>
      </c>
      <c r="L5249" s="6" t="str">
        <f>IFERROR(__xludf.DUMMYFUNCTION("""COMPUTED_VALUE"""),"JRES - Ridgeland Elementary School")</f>
        <v>JRES - Ridgeland Elementary School</v>
      </c>
      <c r="M5249" s="6" t="str">
        <f>IFERROR(__xludf.DUMMYFUNCTION("""COMPUTED_VALUE"""),"")</f>
        <v/>
      </c>
      <c r="N5249" s="6" t="str">
        <f>IFERROR(__xludf.DUMMYFUNCTION("""COMPUTED_VALUE"""),"")</f>
        <v/>
      </c>
      <c r="O5249" s="87" t="str">
        <f>IFERROR(__xludf.DUMMYFUNCTION("""COMPUTED_VALUE"""),"https://drive.google.com/drive/folders/10T2cTQHqEJZqE-st6uFKPoI?usp=share_link")</f>
        <v>https://drive.google.com/drive/folders/10T2cTQHqEJZqE-st6uFKPoI?usp=share_link</v>
      </c>
      <c r="P5249" s="6" t="str">
        <f>IFERROR(__xludf.DUMMYFUNCTION("""COMPUTED_VALUE"""),"Hannah Perez Rivera")</f>
        <v>Hannah Perez Rivera</v>
      </c>
      <c r="Q5249" s="6" t="str">
        <f>IFERROR(__xludf.DUMMYFUNCTION("""COMPUTED_VALUE"""),"L1")</f>
        <v>L1</v>
      </c>
      <c r="R5249" s="6">
        <f>IFERROR(__xludf.DUMMYFUNCTION("""COMPUTED_VALUE"""),1.0)</f>
        <v>1</v>
      </c>
      <c r="S5249" s="6" t="str">
        <f>IFERROR(__xludf.DUMMYFUNCTION("""COMPUTED_VALUE"""),"Kimberly Ball")</f>
        <v>Kimberly Ball</v>
      </c>
      <c r="T5249" s="6" t="str">
        <f>IFERROR(__xludf.DUMMYFUNCTION("""COMPUTED_VALUE"""),"kimberly.ball@studient.com")</f>
        <v>kimberly.ball@studient.com</v>
      </c>
      <c r="U5249" s="6" t="str">
        <f>IFERROR(__xludf.DUMMYFUNCTION("""COMPUTED_VALUE"""),"3")</f>
        <v>3</v>
      </c>
      <c r="V5249" s="6" t="str">
        <f>IFERROR(__xludf.DUMMYFUNCTION("""COMPUTED_VALUE"""),"")</f>
        <v/>
      </c>
      <c r="W5249" s="6" t="str">
        <f>IFERROR(__xludf.DUMMYFUNCTION("""COMPUTED_VALUE"""),"[]")</f>
        <v>[]</v>
      </c>
      <c r="X5249" s="6" t="str">
        <f>IFERROR(__xludf.DUMMYFUNCTION("""COMPUTED_VALUE"""),"Enrolled")</f>
        <v>Enrolled</v>
      </c>
    </row>
    <row r="5250">
      <c r="A5250" s="6" t="str">
        <f>IFERROR(__xludf.DUMMYFUNCTION("""COMPUTED_VALUE"""),"086-12641")</f>
        <v>086-12641</v>
      </c>
      <c r="B5250" s="6" t="str">
        <f>IFERROR(__xludf.DUMMYFUNCTION("""COMPUTED_VALUE"""),"86")</f>
        <v>86</v>
      </c>
      <c r="C5250" s="6" t="str">
        <f>IFERROR(__xludf.DUMMYFUNCTION("""COMPUTED_VALUE"""),"12641")</f>
        <v>12641</v>
      </c>
      <c r="D5250" s="6" t="str">
        <f>IFERROR(__xludf.DUMMYFUNCTION("""COMPUTED_VALUE"""),"Alexa")</f>
        <v>Alexa</v>
      </c>
      <c r="E5250" s="6" t="str">
        <f>IFERROR(__xludf.DUMMYFUNCTION("""COMPUTED_VALUE"""),"")</f>
        <v/>
      </c>
      <c r="F5250" s="6" t="str">
        <f>IFERROR(__xludf.DUMMYFUNCTION("""COMPUTED_VALUE"""),"Perez Vazquez")</f>
        <v>Perez Vazquez</v>
      </c>
      <c r="G5250" s="6" t="str">
        <f>IFERROR(__xludf.DUMMYFUNCTION("""COMPUTED_VALUE"""),"08/02/2018")</f>
        <v>08/02/2018</v>
      </c>
      <c r="H5250" s="6" t="str">
        <f>IFERROR(__xludf.DUMMYFUNCTION("""COMPUTED_VALUE"""),"male")</f>
        <v>male</v>
      </c>
      <c r="I5250" s="6" t="str">
        <f>IFERROR(__xludf.DUMMYFUNCTION("""COMPUTED_VALUE"""),"Level 1")</f>
        <v>Level 1</v>
      </c>
      <c r="J5250" s="6" t="str">
        <f>IFERROR(__xludf.DUMMYFUNCTION("""COMPUTED_VALUE"""),"3")</f>
        <v>3</v>
      </c>
      <c r="K5250" s="6" t="str">
        <f>IFERROR(__xludf.DUMMYFUNCTION("""COMPUTED_VALUE"""),"alexa.perezvazquez@2hourlearning.com")</f>
        <v>alexa.perezvazquez@2hourlearning.com</v>
      </c>
      <c r="L5250" s="6" t="str">
        <f>IFERROR(__xludf.DUMMYFUNCTION("""COMPUTED_VALUE"""),"JRES - Ridgeland Elementary School")</f>
        <v>JRES - Ridgeland Elementary School</v>
      </c>
      <c r="M5250" s="6" t="str">
        <f>IFERROR(__xludf.DUMMYFUNCTION("""COMPUTED_VALUE"""),"")</f>
        <v/>
      </c>
      <c r="N5250" s="6" t="str">
        <f>IFERROR(__xludf.DUMMYFUNCTION("""COMPUTED_VALUE"""),"")</f>
        <v/>
      </c>
      <c r="O5250" s="87" t="str">
        <f>IFERROR(__xludf.DUMMYFUNCTION("""COMPUTED_VALUE"""),"https://drive.google.com/drive/folders/10T2cTQHqEJZqE-st6uFKPoI?usp=share_link")</f>
        <v>https://drive.google.com/drive/folders/10T2cTQHqEJZqE-st6uFKPoI?usp=share_link</v>
      </c>
      <c r="P5250" s="6" t="str">
        <f>IFERROR(__xludf.DUMMYFUNCTION("""COMPUTED_VALUE"""),"Alexa Perez Vazquez")</f>
        <v>Alexa Perez Vazquez</v>
      </c>
      <c r="Q5250" s="6" t="str">
        <f>IFERROR(__xludf.DUMMYFUNCTION("""COMPUTED_VALUE"""),"L1")</f>
        <v>L1</v>
      </c>
      <c r="R5250" s="6">
        <f>IFERROR(__xludf.DUMMYFUNCTION("""COMPUTED_VALUE"""),1.0)</f>
        <v>1</v>
      </c>
      <c r="S5250" s="6" t="str">
        <f>IFERROR(__xludf.DUMMYFUNCTION("""COMPUTED_VALUE"""),"Kimberly Ball")</f>
        <v>Kimberly Ball</v>
      </c>
      <c r="T5250" s="6" t="str">
        <f>IFERROR(__xludf.DUMMYFUNCTION("""COMPUTED_VALUE"""),"kimberly.ball@studient.com")</f>
        <v>kimberly.ball@studient.com</v>
      </c>
      <c r="U5250" s="6" t="str">
        <f>IFERROR(__xludf.DUMMYFUNCTION("""COMPUTED_VALUE"""),"3")</f>
        <v>3</v>
      </c>
      <c r="V5250" s="6" t="str">
        <f>IFERROR(__xludf.DUMMYFUNCTION("""COMPUTED_VALUE"""),"")</f>
        <v/>
      </c>
      <c r="W5250" s="6" t="str">
        <f>IFERROR(__xludf.DUMMYFUNCTION("""COMPUTED_VALUE"""),"[]")</f>
        <v>[]</v>
      </c>
      <c r="X5250" s="6" t="str">
        <f>IFERROR(__xludf.DUMMYFUNCTION("""COMPUTED_VALUE"""),"Enrolled")</f>
        <v>Enrolled</v>
      </c>
    </row>
    <row r="5251">
      <c r="A5251" s="6" t="str">
        <f>IFERROR(__xludf.DUMMYFUNCTION("""COMPUTED_VALUE"""),"086-12642")</f>
        <v>086-12642</v>
      </c>
      <c r="B5251" s="6" t="str">
        <f>IFERROR(__xludf.DUMMYFUNCTION("""COMPUTED_VALUE"""),"86")</f>
        <v>86</v>
      </c>
      <c r="C5251" s="6" t="str">
        <f>IFERROR(__xludf.DUMMYFUNCTION("""COMPUTED_VALUE"""),"12642")</f>
        <v>12642</v>
      </c>
      <c r="D5251" s="6" t="str">
        <f>IFERROR(__xludf.DUMMYFUNCTION("""COMPUTED_VALUE"""),"Cathryn")</f>
        <v>Cathryn</v>
      </c>
      <c r="E5251" s="6" t="str">
        <f>IFERROR(__xludf.DUMMYFUNCTION("""COMPUTED_VALUE"""),"")</f>
        <v/>
      </c>
      <c r="F5251" s="6" t="str">
        <f>IFERROR(__xludf.DUMMYFUNCTION("""COMPUTED_VALUE"""),"Perry")</f>
        <v>Perry</v>
      </c>
      <c r="G5251" s="6" t="str">
        <f>IFERROR(__xludf.DUMMYFUNCTION("""COMPUTED_VALUE"""),"01/31/2017")</f>
        <v>01/31/2017</v>
      </c>
      <c r="H5251" s="6" t="str">
        <f>IFERROR(__xludf.DUMMYFUNCTION("""COMPUTED_VALUE"""),"female")</f>
        <v>female</v>
      </c>
      <c r="I5251" s="6" t="str">
        <f>IFERROR(__xludf.DUMMYFUNCTION("""COMPUTED_VALUE"""),"Level 1")</f>
        <v>Level 1</v>
      </c>
      <c r="J5251" s="6" t="str">
        <f>IFERROR(__xludf.DUMMYFUNCTION("""COMPUTED_VALUE"""),"3")</f>
        <v>3</v>
      </c>
      <c r="K5251" s="6" t="str">
        <f>IFERROR(__xludf.DUMMYFUNCTION("""COMPUTED_VALUE"""),"cathryn.perry@2hourlearning.com")</f>
        <v>cathryn.perry@2hourlearning.com</v>
      </c>
      <c r="L5251" s="6" t="str">
        <f>IFERROR(__xludf.DUMMYFUNCTION("""COMPUTED_VALUE"""),"JRES - Ridgeland Elementary School")</f>
        <v>JRES - Ridgeland Elementary School</v>
      </c>
      <c r="M5251" s="6" t="str">
        <f>IFERROR(__xludf.DUMMYFUNCTION("""COMPUTED_VALUE"""),"")</f>
        <v/>
      </c>
      <c r="N5251" s="6" t="str">
        <f>IFERROR(__xludf.DUMMYFUNCTION("""COMPUTED_VALUE"""),"")</f>
        <v/>
      </c>
      <c r="O5251" s="87" t="str">
        <f>IFERROR(__xludf.DUMMYFUNCTION("""COMPUTED_VALUE"""),"https://drive.google.com/drive/folders/10T2cTQHqEJZqE-st6uFKPoI?usp=share_link")</f>
        <v>https://drive.google.com/drive/folders/10T2cTQHqEJZqE-st6uFKPoI?usp=share_link</v>
      </c>
      <c r="P5251" s="6" t="str">
        <f>IFERROR(__xludf.DUMMYFUNCTION("""COMPUTED_VALUE"""),"Cathryn Perry")</f>
        <v>Cathryn Perry</v>
      </c>
      <c r="Q5251" s="6" t="str">
        <f>IFERROR(__xludf.DUMMYFUNCTION("""COMPUTED_VALUE"""),"L1")</f>
        <v>L1</v>
      </c>
      <c r="R5251" s="6">
        <f>IFERROR(__xludf.DUMMYFUNCTION("""COMPUTED_VALUE"""),1.0)</f>
        <v>1</v>
      </c>
      <c r="S5251" s="6" t="str">
        <f>IFERROR(__xludf.DUMMYFUNCTION("""COMPUTED_VALUE"""),"Kimberly Ball")</f>
        <v>Kimberly Ball</v>
      </c>
      <c r="T5251" s="6" t="str">
        <f>IFERROR(__xludf.DUMMYFUNCTION("""COMPUTED_VALUE"""),"kimberly.ball@studient.com")</f>
        <v>kimberly.ball@studient.com</v>
      </c>
      <c r="U5251" s="6" t="str">
        <f>IFERROR(__xludf.DUMMYFUNCTION("""COMPUTED_VALUE"""),"3")</f>
        <v>3</v>
      </c>
      <c r="V5251" s="6" t="str">
        <f>IFERROR(__xludf.DUMMYFUNCTION("""COMPUTED_VALUE"""),"")</f>
        <v/>
      </c>
      <c r="W5251" s="6" t="str">
        <f>IFERROR(__xludf.DUMMYFUNCTION("""COMPUTED_VALUE"""),"[]")</f>
        <v>[]</v>
      </c>
      <c r="X5251" s="6" t="str">
        <f>IFERROR(__xludf.DUMMYFUNCTION("""COMPUTED_VALUE"""),"Enrolled")</f>
        <v>Enrolled</v>
      </c>
    </row>
    <row r="5252">
      <c r="A5252" s="6" t="str">
        <f>IFERROR(__xludf.DUMMYFUNCTION("""COMPUTED_VALUE"""),"086-12643")</f>
        <v>086-12643</v>
      </c>
      <c r="B5252" s="6" t="str">
        <f>IFERROR(__xludf.DUMMYFUNCTION("""COMPUTED_VALUE"""),"86")</f>
        <v>86</v>
      </c>
      <c r="C5252" s="6" t="str">
        <f>IFERROR(__xludf.DUMMYFUNCTION("""COMPUTED_VALUE"""),"12643")</f>
        <v>12643</v>
      </c>
      <c r="D5252" s="6" t="str">
        <f>IFERROR(__xludf.DUMMYFUNCTION("""COMPUTED_VALUE"""),"Pedro")</f>
        <v>Pedro</v>
      </c>
      <c r="E5252" s="6" t="str">
        <f>IFERROR(__xludf.DUMMYFUNCTION("""COMPUTED_VALUE"""),"")</f>
        <v/>
      </c>
      <c r="F5252" s="6" t="str">
        <f>IFERROR(__xludf.DUMMYFUNCTION("""COMPUTED_VALUE"""),"Pomasqui Arce")</f>
        <v>Pomasqui Arce</v>
      </c>
      <c r="G5252" s="6" t="str">
        <f>IFERROR(__xludf.DUMMYFUNCTION("""COMPUTED_VALUE"""),"08/04/2018")</f>
        <v>08/04/2018</v>
      </c>
      <c r="H5252" s="6" t="str">
        <f>IFERROR(__xludf.DUMMYFUNCTION("""COMPUTED_VALUE"""),"male")</f>
        <v>male</v>
      </c>
      <c r="I5252" s="6" t="str">
        <f>IFERROR(__xludf.DUMMYFUNCTION("""COMPUTED_VALUE"""),"Level 1")</f>
        <v>Level 1</v>
      </c>
      <c r="J5252" s="6" t="str">
        <f>IFERROR(__xludf.DUMMYFUNCTION("""COMPUTED_VALUE"""),"3")</f>
        <v>3</v>
      </c>
      <c r="K5252" s="6" t="str">
        <f>IFERROR(__xludf.DUMMYFUNCTION("""COMPUTED_VALUE"""),"pedro.pomasquiarce@2hourlearning.com")</f>
        <v>pedro.pomasquiarce@2hourlearning.com</v>
      </c>
      <c r="L5252" s="6" t="str">
        <f>IFERROR(__xludf.DUMMYFUNCTION("""COMPUTED_VALUE"""),"JRES - Ridgeland Elementary School")</f>
        <v>JRES - Ridgeland Elementary School</v>
      </c>
      <c r="M5252" s="6" t="str">
        <f>IFERROR(__xludf.DUMMYFUNCTION("""COMPUTED_VALUE"""),"")</f>
        <v/>
      </c>
      <c r="N5252" s="6" t="str">
        <f>IFERROR(__xludf.DUMMYFUNCTION("""COMPUTED_VALUE"""),"")</f>
        <v/>
      </c>
      <c r="O5252" s="87" t="str">
        <f>IFERROR(__xludf.DUMMYFUNCTION("""COMPUTED_VALUE"""),"https://drive.google.com/drive/folders/10T2cTQHqEJZqE-st6uFKPoI?usp=share_link")</f>
        <v>https://drive.google.com/drive/folders/10T2cTQHqEJZqE-st6uFKPoI?usp=share_link</v>
      </c>
      <c r="P5252" s="6" t="str">
        <f>IFERROR(__xludf.DUMMYFUNCTION("""COMPUTED_VALUE"""),"Pedro Pomasqui Arce")</f>
        <v>Pedro Pomasqui Arce</v>
      </c>
      <c r="Q5252" s="6" t="str">
        <f>IFERROR(__xludf.DUMMYFUNCTION("""COMPUTED_VALUE"""),"L1")</f>
        <v>L1</v>
      </c>
      <c r="R5252" s="6">
        <f>IFERROR(__xludf.DUMMYFUNCTION("""COMPUTED_VALUE"""),1.0)</f>
        <v>1</v>
      </c>
      <c r="S5252" s="6" t="str">
        <f>IFERROR(__xludf.DUMMYFUNCTION("""COMPUTED_VALUE"""),"Kimberly Ball")</f>
        <v>Kimberly Ball</v>
      </c>
      <c r="T5252" s="6" t="str">
        <f>IFERROR(__xludf.DUMMYFUNCTION("""COMPUTED_VALUE"""),"kimberly.ball@studient.com")</f>
        <v>kimberly.ball@studient.com</v>
      </c>
      <c r="U5252" s="6" t="str">
        <f>IFERROR(__xludf.DUMMYFUNCTION("""COMPUTED_VALUE"""),"3")</f>
        <v>3</v>
      </c>
      <c r="V5252" s="6" t="str">
        <f>IFERROR(__xludf.DUMMYFUNCTION("""COMPUTED_VALUE"""),"")</f>
        <v/>
      </c>
      <c r="W5252" s="6" t="str">
        <f>IFERROR(__xludf.DUMMYFUNCTION("""COMPUTED_VALUE"""),"[]")</f>
        <v>[]</v>
      </c>
      <c r="X5252" s="6" t="str">
        <f>IFERROR(__xludf.DUMMYFUNCTION("""COMPUTED_VALUE"""),"Enrolled")</f>
        <v>Enrolled</v>
      </c>
    </row>
    <row r="5253">
      <c r="A5253" s="6" t="str">
        <f>IFERROR(__xludf.DUMMYFUNCTION("""COMPUTED_VALUE"""),"086-12644")</f>
        <v>086-12644</v>
      </c>
      <c r="B5253" s="6" t="str">
        <f>IFERROR(__xludf.DUMMYFUNCTION("""COMPUTED_VALUE"""),"86")</f>
        <v>86</v>
      </c>
      <c r="C5253" s="6" t="str">
        <f>IFERROR(__xludf.DUMMYFUNCTION("""COMPUTED_VALUE"""),"12644")</f>
        <v>12644</v>
      </c>
      <c r="D5253" s="6" t="str">
        <f>IFERROR(__xludf.DUMMYFUNCTION("""COMPUTED_VALUE"""),"Danna")</f>
        <v>Danna</v>
      </c>
      <c r="E5253" s="6" t="str">
        <f>IFERROR(__xludf.DUMMYFUNCTION("""COMPUTED_VALUE"""),"")</f>
        <v/>
      </c>
      <c r="F5253" s="6" t="str">
        <f>IFERROR(__xludf.DUMMYFUNCTION("""COMPUTED_VALUE"""),"Pomasqui Enriquez")</f>
        <v>Pomasqui Enriquez</v>
      </c>
      <c r="G5253" s="6" t="str">
        <f>IFERROR(__xludf.DUMMYFUNCTION("""COMPUTED_VALUE"""),"10/03/2016")</f>
        <v>10/03/2016</v>
      </c>
      <c r="H5253" s="6" t="str">
        <f>IFERROR(__xludf.DUMMYFUNCTION("""COMPUTED_VALUE"""),"female")</f>
        <v>female</v>
      </c>
      <c r="I5253" s="6" t="str">
        <f>IFERROR(__xludf.DUMMYFUNCTION("""COMPUTED_VALUE"""),"Level 1")</f>
        <v>Level 1</v>
      </c>
      <c r="J5253" s="6" t="str">
        <f>IFERROR(__xludf.DUMMYFUNCTION("""COMPUTED_VALUE"""),"3")</f>
        <v>3</v>
      </c>
      <c r="K5253" s="6" t="str">
        <f>IFERROR(__xludf.DUMMYFUNCTION("""COMPUTED_VALUE"""),"danna.pomasquienriquez@2hourlearning.com")</f>
        <v>danna.pomasquienriquez@2hourlearning.com</v>
      </c>
      <c r="L5253" s="6" t="str">
        <f>IFERROR(__xludf.DUMMYFUNCTION("""COMPUTED_VALUE"""),"JRES - Ridgeland Elementary School")</f>
        <v>JRES - Ridgeland Elementary School</v>
      </c>
      <c r="M5253" s="6" t="str">
        <f>IFERROR(__xludf.DUMMYFUNCTION("""COMPUTED_VALUE"""),"")</f>
        <v/>
      </c>
      <c r="N5253" s="6" t="str">
        <f>IFERROR(__xludf.DUMMYFUNCTION("""COMPUTED_VALUE"""),"")</f>
        <v/>
      </c>
      <c r="O5253" s="87" t="str">
        <f>IFERROR(__xludf.DUMMYFUNCTION("""COMPUTED_VALUE"""),"https://drive.google.com/drive/folders/10T2cTQHqEJZqE-st6uFKPoI?usp=share_link")</f>
        <v>https://drive.google.com/drive/folders/10T2cTQHqEJZqE-st6uFKPoI?usp=share_link</v>
      </c>
      <c r="P5253" s="6" t="str">
        <f>IFERROR(__xludf.DUMMYFUNCTION("""COMPUTED_VALUE"""),"Danna Pomasqui Enriquez")</f>
        <v>Danna Pomasqui Enriquez</v>
      </c>
      <c r="Q5253" s="6" t="str">
        <f>IFERROR(__xludf.DUMMYFUNCTION("""COMPUTED_VALUE"""),"L1")</f>
        <v>L1</v>
      </c>
      <c r="R5253" s="6">
        <f>IFERROR(__xludf.DUMMYFUNCTION("""COMPUTED_VALUE"""),1.0)</f>
        <v>1</v>
      </c>
      <c r="S5253" s="6" t="str">
        <f>IFERROR(__xludf.DUMMYFUNCTION("""COMPUTED_VALUE"""),"Kimberly Ball")</f>
        <v>Kimberly Ball</v>
      </c>
      <c r="T5253" s="6" t="str">
        <f>IFERROR(__xludf.DUMMYFUNCTION("""COMPUTED_VALUE"""),"kimberly.ball@studient.com")</f>
        <v>kimberly.ball@studient.com</v>
      </c>
      <c r="U5253" s="6" t="str">
        <f>IFERROR(__xludf.DUMMYFUNCTION("""COMPUTED_VALUE"""),"3")</f>
        <v>3</v>
      </c>
      <c r="V5253" s="6" t="str">
        <f>IFERROR(__xludf.DUMMYFUNCTION("""COMPUTED_VALUE"""),"")</f>
        <v/>
      </c>
      <c r="W5253" s="6" t="str">
        <f>IFERROR(__xludf.DUMMYFUNCTION("""COMPUTED_VALUE"""),"[]")</f>
        <v>[]</v>
      </c>
      <c r="X5253" s="6" t="str">
        <f>IFERROR(__xludf.DUMMYFUNCTION("""COMPUTED_VALUE"""),"Enrolled")</f>
        <v>Enrolled</v>
      </c>
    </row>
    <row r="5254">
      <c r="A5254" s="6" t="str">
        <f>IFERROR(__xludf.DUMMYFUNCTION("""COMPUTED_VALUE"""),"086-12645")</f>
        <v>086-12645</v>
      </c>
      <c r="B5254" s="6" t="str">
        <f>IFERROR(__xludf.DUMMYFUNCTION("""COMPUTED_VALUE"""),"86")</f>
        <v>86</v>
      </c>
      <c r="C5254" s="6" t="str">
        <f>IFERROR(__xludf.DUMMYFUNCTION("""COMPUTED_VALUE"""),"12645")</f>
        <v>12645</v>
      </c>
      <c r="D5254" s="6" t="str">
        <f>IFERROR(__xludf.DUMMYFUNCTION("""COMPUTED_VALUE"""),"Ian")</f>
        <v>Ian</v>
      </c>
      <c r="E5254" s="6" t="str">
        <f>IFERROR(__xludf.DUMMYFUNCTION("""COMPUTED_VALUE"""),"")</f>
        <v/>
      </c>
      <c r="F5254" s="6" t="str">
        <f>IFERROR(__xludf.DUMMYFUNCTION("""COMPUTED_VALUE"""),"Preciado Mojica")</f>
        <v>Preciado Mojica</v>
      </c>
      <c r="G5254" s="6" t="str">
        <f>IFERROR(__xludf.DUMMYFUNCTION("""COMPUTED_VALUE"""),"08/11/2015")</f>
        <v>08/11/2015</v>
      </c>
      <c r="H5254" s="6" t="str">
        <f>IFERROR(__xludf.DUMMYFUNCTION("""COMPUTED_VALUE"""),"male")</f>
        <v>male</v>
      </c>
      <c r="I5254" s="6" t="str">
        <f>IFERROR(__xludf.DUMMYFUNCTION("""COMPUTED_VALUE"""),"Level 1")</f>
        <v>Level 1</v>
      </c>
      <c r="J5254" s="6" t="str">
        <f>IFERROR(__xludf.DUMMYFUNCTION("""COMPUTED_VALUE"""),"3")</f>
        <v>3</v>
      </c>
      <c r="K5254" s="6" t="str">
        <f>IFERROR(__xludf.DUMMYFUNCTION("""COMPUTED_VALUE"""),"ian.preciadomojica@2hourlearning.com")</f>
        <v>ian.preciadomojica@2hourlearning.com</v>
      </c>
      <c r="L5254" s="6" t="str">
        <f>IFERROR(__xludf.DUMMYFUNCTION("""COMPUTED_VALUE"""),"JRES - Ridgeland Elementary School")</f>
        <v>JRES - Ridgeland Elementary School</v>
      </c>
      <c r="M5254" s="6" t="str">
        <f>IFERROR(__xludf.DUMMYFUNCTION("""COMPUTED_VALUE"""),"")</f>
        <v/>
      </c>
      <c r="N5254" s="6" t="str">
        <f>IFERROR(__xludf.DUMMYFUNCTION("""COMPUTED_VALUE"""),"")</f>
        <v/>
      </c>
      <c r="O5254" s="87" t="str">
        <f>IFERROR(__xludf.DUMMYFUNCTION("""COMPUTED_VALUE"""),"https://drive.google.com/drive/folders/10T2cTQHqEJZqE-st6uFKPoI?usp=share_link")</f>
        <v>https://drive.google.com/drive/folders/10T2cTQHqEJZqE-st6uFKPoI?usp=share_link</v>
      </c>
      <c r="P5254" s="6" t="str">
        <f>IFERROR(__xludf.DUMMYFUNCTION("""COMPUTED_VALUE"""),"Ian Preciado Mojica")</f>
        <v>Ian Preciado Mojica</v>
      </c>
      <c r="Q5254" s="6" t="str">
        <f>IFERROR(__xludf.DUMMYFUNCTION("""COMPUTED_VALUE"""),"L1")</f>
        <v>L1</v>
      </c>
      <c r="R5254" s="6">
        <f>IFERROR(__xludf.DUMMYFUNCTION("""COMPUTED_VALUE"""),1.0)</f>
        <v>1</v>
      </c>
      <c r="S5254" s="6" t="str">
        <f>IFERROR(__xludf.DUMMYFUNCTION("""COMPUTED_VALUE"""),"Kimberly Ball")</f>
        <v>Kimberly Ball</v>
      </c>
      <c r="T5254" s="6" t="str">
        <f>IFERROR(__xludf.DUMMYFUNCTION("""COMPUTED_VALUE"""),"kimberly.ball@studient.com")</f>
        <v>kimberly.ball@studient.com</v>
      </c>
      <c r="U5254" s="6" t="str">
        <f>IFERROR(__xludf.DUMMYFUNCTION("""COMPUTED_VALUE"""),"3")</f>
        <v>3</v>
      </c>
      <c r="V5254" s="6" t="str">
        <f>IFERROR(__xludf.DUMMYFUNCTION("""COMPUTED_VALUE"""),"")</f>
        <v/>
      </c>
      <c r="W5254" s="6" t="str">
        <f>IFERROR(__xludf.DUMMYFUNCTION("""COMPUTED_VALUE"""),"[]")</f>
        <v>[]</v>
      </c>
      <c r="X5254" s="6" t="str">
        <f>IFERROR(__xludf.DUMMYFUNCTION("""COMPUTED_VALUE"""),"Enrolled")</f>
        <v>Enrolled</v>
      </c>
    </row>
    <row r="5255">
      <c r="A5255" s="6" t="str">
        <f>IFERROR(__xludf.DUMMYFUNCTION("""COMPUTED_VALUE"""),"086-12646")</f>
        <v>086-12646</v>
      </c>
      <c r="B5255" s="6" t="str">
        <f>IFERROR(__xludf.DUMMYFUNCTION("""COMPUTED_VALUE"""),"86")</f>
        <v>86</v>
      </c>
      <c r="C5255" s="6" t="str">
        <f>IFERROR(__xludf.DUMMYFUNCTION("""COMPUTED_VALUE"""),"12646")</f>
        <v>12646</v>
      </c>
      <c r="D5255" s="6" t="str">
        <f>IFERROR(__xludf.DUMMYFUNCTION("""COMPUTED_VALUE"""),"Madison")</f>
        <v>Madison</v>
      </c>
      <c r="E5255" s="6" t="str">
        <f>IFERROR(__xludf.DUMMYFUNCTION("""COMPUTED_VALUE"""),"")</f>
        <v/>
      </c>
      <c r="F5255" s="6" t="str">
        <f>IFERROR(__xludf.DUMMYFUNCTION("""COMPUTED_VALUE"""),"Ragin")</f>
        <v>Ragin</v>
      </c>
      <c r="G5255" s="6" t="str">
        <f>IFERROR(__xludf.DUMMYFUNCTION("""COMPUTED_VALUE"""),"04/22/2017")</f>
        <v>04/22/2017</v>
      </c>
      <c r="H5255" s="6" t="str">
        <f>IFERROR(__xludf.DUMMYFUNCTION("""COMPUTED_VALUE"""),"female")</f>
        <v>female</v>
      </c>
      <c r="I5255" s="6" t="str">
        <f>IFERROR(__xludf.DUMMYFUNCTION("""COMPUTED_VALUE"""),"Level 1")</f>
        <v>Level 1</v>
      </c>
      <c r="J5255" s="6" t="str">
        <f>IFERROR(__xludf.DUMMYFUNCTION("""COMPUTED_VALUE"""),"3")</f>
        <v>3</v>
      </c>
      <c r="K5255" s="6" t="str">
        <f>IFERROR(__xludf.DUMMYFUNCTION("""COMPUTED_VALUE"""),"madison.ragin@2hourlearning.com")</f>
        <v>madison.ragin@2hourlearning.com</v>
      </c>
      <c r="L5255" s="6" t="str">
        <f>IFERROR(__xludf.DUMMYFUNCTION("""COMPUTED_VALUE"""),"JRES - Ridgeland Elementary School")</f>
        <v>JRES - Ridgeland Elementary School</v>
      </c>
      <c r="M5255" s="6" t="str">
        <f>IFERROR(__xludf.DUMMYFUNCTION("""COMPUTED_VALUE"""),"")</f>
        <v/>
      </c>
      <c r="N5255" s="6" t="str">
        <f>IFERROR(__xludf.DUMMYFUNCTION("""COMPUTED_VALUE"""),"")</f>
        <v/>
      </c>
      <c r="O5255" s="87" t="str">
        <f>IFERROR(__xludf.DUMMYFUNCTION("""COMPUTED_VALUE"""),"https://drive.google.com/drive/folders/10T2cTQHqEJZqE-st6uFKPoI?usp=share_link")</f>
        <v>https://drive.google.com/drive/folders/10T2cTQHqEJZqE-st6uFKPoI?usp=share_link</v>
      </c>
      <c r="P5255" s="6" t="str">
        <f>IFERROR(__xludf.DUMMYFUNCTION("""COMPUTED_VALUE"""),"Madison Ragin")</f>
        <v>Madison Ragin</v>
      </c>
      <c r="Q5255" s="6" t="str">
        <f>IFERROR(__xludf.DUMMYFUNCTION("""COMPUTED_VALUE"""),"L1")</f>
        <v>L1</v>
      </c>
      <c r="R5255" s="6">
        <f>IFERROR(__xludf.DUMMYFUNCTION("""COMPUTED_VALUE"""),1.0)</f>
        <v>1</v>
      </c>
      <c r="S5255" s="6" t="str">
        <f>IFERROR(__xludf.DUMMYFUNCTION("""COMPUTED_VALUE"""),"Kimberly Ball")</f>
        <v>Kimberly Ball</v>
      </c>
      <c r="T5255" s="6" t="str">
        <f>IFERROR(__xludf.DUMMYFUNCTION("""COMPUTED_VALUE"""),"kimberly.ball@studient.com")</f>
        <v>kimberly.ball@studient.com</v>
      </c>
      <c r="U5255" s="6" t="str">
        <f>IFERROR(__xludf.DUMMYFUNCTION("""COMPUTED_VALUE"""),"3")</f>
        <v>3</v>
      </c>
      <c r="V5255" s="6" t="str">
        <f>IFERROR(__xludf.DUMMYFUNCTION("""COMPUTED_VALUE"""),"")</f>
        <v/>
      </c>
      <c r="W5255" s="6" t="str">
        <f>IFERROR(__xludf.DUMMYFUNCTION("""COMPUTED_VALUE"""),"[]")</f>
        <v>[]</v>
      </c>
      <c r="X5255" s="6" t="str">
        <f>IFERROR(__xludf.DUMMYFUNCTION("""COMPUTED_VALUE"""),"Enrolled")</f>
        <v>Enrolled</v>
      </c>
    </row>
    <row r="5256">
      <c r="A5256" s="6" t="str">
        <f>IFERROR(__xludf.DUMMYFUNCTION("""COMPUTED_VALUE"""),"086-12647")</f>
        <v>086-12647</v>
      </c>
      <c r="B5256" s="6" t="str">
        <f>IFERROR(__xludf.DUMMYFUNCTION("""COMPUTED_VALUE"""),"86")</f>
        <v>86</v>
      </c>
      <c r="C5256" s="6" t="str">
        <f>IFERROR(__xludf.DUMMYFUNCTION("""COMPUTED_VALUE"""),"12647")</f>
        <v>12647</v>
      </c>
      <c r="D5256" s="6" t="str">
        <f>IFERROR(__xludf.DUMMYFUNCTION("""COMPUTED_VALUE"""),"Owen")</f>
        <v>Owen</v>
      </c>
      <c r="E5256" s="6" t="str">
        <f>IFERROR(__xludf.DUMMYFUNCTION("""COMPUTED_VALUE"""),"")</f>
        <v/>
      </c>
      <c r="F5256" s="6" t="str">
        <f>IFERROR(__xludf.DUMMYFUNCTION("""COMPUTED_VALUE"""),"Rivera")</f>
        <v>Rivera</v>
      </c>
      <c r="G5256" s="6" t="str">
        <f>IFERROR(__xludf.DUMMYFUNCTION("""COMPUTED_VALUE"""),"11/23/2014")</f>
        <v>11/23/2014</v>
      </c>
      <c r="H5256" s="6" t="str">
        <f>IFERROR(__xludf.DUMMYFUNCTION("""COMPUTED_VALUE"""),"male")</f>
        <v>male</v>
      </c>
      <c r="I5256" s="6" t="str">
        <f>IFERROR(__xludf.DUMMYFUNCTION("""COMPUTED_VALUE"""),"Level 1")</f>
        <v>Level 1</v>
      </c>
      <c r="J5256" s="6" t="str">
        <f>IFERROR(__xludf.DUMMYFUNCTION("""COMPUTED_VALUE"""),"3")</f>
        <v>3</v>
      </c>
      <c r="K5256" s="6" t="str">
        <f>IFERROR(__xludf.DUMMYFUNCTION("""COMPUTED_VALUE"""),"owen.rivera@2hourlearning.com")</f>
        <v>owen.rivera@2hourlearning.com</v>
      </c>
      <c r="L5256" s="6" t="str">
        <f>IFERROR(__xludf.DUMMYFUNCTION("""COMPUTED_VALUE"""),"JRES - Ridgeland Elementary School")</f>
        <v>JRES - Ridgeland Elementary School</v>
      </c>
      <c r="M5256" s="6" t="str">
        <f>IFERROR(__xludf.DUMMYFUNCTION("""COMPUTED_VALUE"""),"")</f>
        <v/>
      </c>
      <c r="N5256" s="6" t="str">
        <f>IFERROR(__xludf.DUMMYFUNCTION("""COMPUTED_VALUE"""),"")</f>
        <v/>
      </c>
      <c r="O5256" s="87" t="str">
        <f>IFERROR(__xludf.DUMMYFUNCTION("""COMPUTED_VALUE"""),"https://drive.google.com/drive/folders/10T2cTQHqEJZqE-st6uFKPoI?usp=share_link")</f>
        <v>https://drive.google.com/drive/folders/10T2cTQHqEJZqE-st6uFKPoI?usp=share_link</v>
      </c>
      <c r="P5256" s="6" t="str">
        <f>IFERROR(__xludf.DUMMYFUNCTION("""COMPUTED_VALUE"""),"Owen Rivera")</f>
        <v>Owen Rivera</v>
      </c>
      <c r="Q5256" s="6" t="str">
        <f>IFERROR(__xludf.DUMMYFUNCTION("""COMPUTED_VALUE"""),"L1")</f>
        <v>L1</v>
      </c>
      <c r="R5256" s="6">
        <f>IFERROR(__xludf.DUMMYFUNCTION("""COMPUTED_VALUE"""),1.0)</f>
        <v>1</v>
      </c>
      <c r="S5256" s="6" t="str">
        <f>IFERROR(__xludf.DUMMYFUNCTION("""COMPUTED_VALUE"""),"Kimberly Ball")</f>
        <v>Kimberly Ball</v>
      </c>
      <c r="T5256" s="6" t="str">
        <f>IFERROR(__xludf.DUMMYFUNCTION("""COMPUTED_VALUE"""),"kimberly.ball@studient.com")</f>
        <v>kimberly.ball@studient.com</v>
      </c>
      <c r="U5256" s="6" t="str">
        <f>IFERROR(__xludf.DUMMYFUNCTION("""COMPUTED_VALUE"""),"3")</f>
        <v>3</v>
      </c>
      <c r="V5256" s="6" t="str">
        <f>IFERROR(__xludf.DUMMYFUNCTION("""COMPUTED_VALUE"""),"")</f>
        <v/>
      </c>
      <c r="W5256" s="6" t="str">
        <f>IFERROR(__xludf.DUMMYFUNCTION("""COMPUTED_VALUE"""),"[]")</f>
        <v>[]</v>
      </c>
      <c r="X5256" s="6" t="str">
        <f>IFERROR(__xludf.DUMMYFUNCTION("""COMPUTED_VALUE"""),"Enrolled")</f>
        <v>Enrolled</v>
      </c>
    </row>
    <row r="5257">
      <c r="A5257" s="6" t="str">
        <f>IFERROR(__xludf.DUMMYFUNCTION("""COMPUTED_VALUE"""),"086-12648")</f>
        <v>086-12648</v>
      </c>
      <c r="B5257" s="6" t="str">
        <f>IFERROR(__xludf.DUMMYFUNCTION("""COMPUTED_VALUE"""),"86")</f>
        <v>86</v>
      </c>
      <c r="C5257" s="6" t="str">
        <f>IFERROR(__xludf.DUMMYFUNCTION("""COMPUTED_VALUE"""),"12648")</f>
        <v>12648</v>
      </c>
      <c r="D5257" s="6" t="str">
        <f>IFERROR(__xludf.DUMMYFUNCTION("""COMPUTED_VALUE"""),"Jeremy")</f>
        <v>Jeremy</v>
      </c>
      <c r="E5257" s="6" t="str">
        <f>IFERROR(__xludf.DUMMYFUNCTION("""COMPUTED_VALUE"""),"")</f>
        <v/>
      </c>
      <c r="F5257" s="6" t="str">
        <f>IFERROR(__xludf.DUMMYFUNCTION("""COMPUTED_VALUE"""),"Rodriguez Alva")</f>
        <v>Rodriguez Alva</v>
      </c>
      <c r="G5257" s="6" t="str">
        <f>IFERROR(__xludf.DUMMYFUNCTION("""COMPUTED_VALUE"""),"09/01/2016")</f>
        <v>09/01/2016</v>
      </c>
      <c r="H5257" s="6" t="str">
        <f>IFERROR(__xludf.DUMMYFUNCTION("""COMPUTED_VALUE"""),"male")</f>
        <v>male</v>
      </c>
      <c r="I5257" s="6" t="str">
        <f>IFERROR(__xludf.DUMMYFUNCTION("""COMPUTED_VALUE"""),"Level 1")</f>
        <v>Level 1</v>
      </c>
      <c r="J5257" s="6" t="str">
        <f>IFERROR(__xludf.DUMMYFUNCTION("""COMPUTED_VALUE"""),"3")</f>
        <v>3</v>
      </c>
      <c r="K5257" s="6" t="str">
        <f>IFERROR(__xludf.DUMMYFUNCTION("""COMPUTED_VALUE"""),"jeremy.rodriguezalva@2hourlearning.com")</f>
        <v>jeremy.rodriguezalva@2hourlearning.com</v>
      </c>
      <c r="L5257" s="6" t="str">
        <f>IFERROR(__xludf.DUMMYFUNCTION("""COMPUTED_VALUE"""),"JRES - Ridgeland Elementary School")</f>
        <v>JRES - Ridgeland Elementary School</v>
      </c>
      <c r="M5257" s="6" t="str">
        <f>IFERROR(__xludf.DUMMYFUNCTION("""COMPUTED_VALUE"""),"")</f>
        <v/>
      </c>
      <c r="N5257" s="6" t="str">
        <f>IFERROR(__xludf.DUMMYFUNCTION("""COMPUTED_VALUE"""),"")</f>
        <v/>
      </c>
      <c r="O5257" s="87" t="str">
        <f>IFERROR(__xludf.DUMMYFUNCTION("""COMPUTED_VALUE"""),"https://drive.google.com/drive/folders/10T2cTQHqEJZqE-st6uFKPoI?usp=share_link")</f>
        <v>https://drive.google.com/drive/folders/10T2cTQHqEJZqE-st6uFKPoI?usp=share_link</v>
      </c>
      <c r="P5257" s="6" t="str">
        <f>IFERROR(__xludf.DUMMYFUNCTION("""COMPUTED_VALUE"""),"Jeremy Rodriguez Alva")</f>
        <v>Jeremy Rodriguez Alva</v>
      </c>
      <c r="Q5257" s="6" t="str">
        <f>IFERROR(__xludf.DUMMYFUNCTION("""COMPUTED_VALUE"""),"L1")</f>
        <v>L1</v>
      </c>
      <c r="R5257" s="6">
        <f>IFERROR(__xludf.DUMMYFUNCTION("""COMPUTED_VALUE"""),1.0)</f>
        <v>1</v>
      </c>
      <c r="S5257" s="6" t="str">
        <f>IFERROR(__xludf.DUMMYFUNCTION("""COMPUTED_VALUE"""),"Kimberly Ball")</f>
        <v>Kimberly Ball</v>
      </c>
      <c r="T5257" s="6" t="str">
        <f>IFERROR(__xludf.DUMMYFUNCTION("""COMPUTED_VALUE"""),"kimberly.ball@studient.com")</f>
        <v>kimberly.ball@studient.com</v>
      </c>
      <c r="U5257" s="6" t="str">
        <f>IFERROR(__xludf.DUMMYFUNCTION("""COMPUTED_VALUE"""),"3")</f>
        <v>3</v>
      </c>
      <c r="V5257" s="6" t="str">
        <f>IFERROR(__xludf.DUMMYFUNCTION("""COMPUTED_VALUE"""),"")</f>
        <v/>
      </c>
      <c r="W5257" s="6" t="str">
        <f>IFERROR(__xludf.DUMMYFUNCTION("""COMPUTED_VALUE"""),"[]")</f>
        <v>[]</v>
      </c>
      <c r="X5257" s="6" t="str">
        <f>IFERROR(__xludf.DUMMYFUNCTION("""COMPUTED_VALUE"""),"Enrolled")</f>
        <v>Enrolled</v>
      </c>
    </row>
    <row r="5258">
      <c r="A5258" s="6" t="str">
        <f>IFERROR(__xludf.DUMMYFUNCTION("""COMPUTED_VALUE"""),"086-12649")</f>
        <v>086-12649</v>
      </c>
      <c r="B5258" s="6" t="str">
        <f>IFERROR(__xludf.DUMMYFUNCTION("""COMPUTED_VALUE"""),"86")</f>
        <v>86</v>
      </c>
      <c r="C5258" s="6" t="str">
        <f>IFERROR(__xludf.DUMMYFUNCTION("""COMPUTED_VALUE"""),"12649")</f>
        <v>12649</v>
      </c>
      <c r="D5258" s="6" t="str">
        <f>IFERROR(__xludf.DUMMYFUNCTION("""COMPUTED_VALUE"""),"Sophia")</f>
        <v>Sophia</v>
      </c>
      <c r="E5258" s="6" t="str">
        <f>IFERROR(__xludf.DUMMYFUNCTION("""COMPUTED_VALUE"""),"")</f>
        <v/>
      </c>
      <c r="F5258" s="6" t="str">
        <f>IFERROR(__xludf.DUMMYFUNCTION("""COMPUTED_VALUE"""),"Rojas")</f>
        <v>Rojas</v>
      </c>
      <c r="G5258" s="6" t="str">
        <f>IFERROR(__xludf.DUMMYFUNCTION("""COMPUTED_VALUE"""),"05/22/2015")</f>
        <v>05/22/2015</v>
      </c>
      <c r="H5258" s="6" t="str">
        <f>IFERROR(__xludf.DUMMYFUNCTION("""COMPUTED_VALUE"""),"male")</f>
        <v>male</v>
      </c>
      <c r="I5258" s="6" t="str">
        <f>IFERROR(__xludf.DUMMYFUNCTION("""COMPUTED_VALUE"""),"Level 1")</f>
        <v>Level 1</v>
      </c>
      <c r="J5258" s="6" t="str">
        <f>IFERROR(__xludf.DUMMYFUNCTION("""COMPUTED_VALUE"""),"3")</f>
        <v>3</v>
      </c>
      <c r="K5258" s="6" t="str">
        <f>IFERROR(__xludf.DUMMYFUNCTION("""COMPUTED_VALUE"""),"sophia.rojas@2hourlearning.com")</f>
        <v>sophia.rojas@2hourlearning.com</v>
      </c>
      <c r="L5258" s="6" t="str">
        <f>IFERROR(__xludf.DUMMYFUNCTION("""COMPUTED_VALUE"""),"JRES - Ridgeland Elementary School")</f>
        <v>JRES - Ridgeland Elementary School</v>
      </c>
      <c r="M5258" s="6" t="str">
        <f>IFERROR(__xludf.DUMMYFUNCTION("""COMPUTED_VALUE"""),"")</f>
        <v/>
      </c>
      <c r="N5258" s="6" t="str">
        <f>IFERROR(__xludf.DUMMYFUNCTION("""COMPUTED_VALUE"""),"")</f>
        <v/>
      </c>
      <c r="O5258" s="87" t="str">
        <f>IFERROR(__xludf.DUMMYFUNCTION("""COMPUTED_VALUE"""),"https://drive.google.com/drive/folders/10T2cTQHqEJZqE-st6uFKPoI?usp=share_link")</f>
        <v>https://drive.google.com/drive/folders/10T2cTQHqEJZqE-st6uFKPoI?usp=share_link</v>
      </c>
      <c r="P5258" s="6" t="str">
        <f>IFERROR(__xludf.DUMMYFUNCTION("""COMPUTED_VALUE"""),"Sophia Rojas")</f>
        <v>Sophia Rojas</v>
      </c>
      <c r="Q5258" s="6" t="str">
        <f>IFERROR(__xludf.DUMMYFUNCTION("""COMPUTED_VALUE"""),"L1")</f>
        <v>L1</v>
      </c>
      <c r="R5258" s="6">
        <f>IFERROR(__xludf.DUMMYFUNCTION("""COMPUTED_VALUE"""),1.0)</f>
        <v>1</v>
      </c>
      <c r="S5258" s="6" t="str">
        <f>IFERROR(__xludf.DUMMYFUNCTION("""COMPUTED_VALUE"""),"Kimberly Ball")</f>
        <v>Kimberly Ball</v>
      </c>
      <c r="T5258" s="6" t="str">
        <f>IFERROR(__xludf.DUMMYFUNCTION("""COMPUTED_VALUE"""),"kimberly.ball@studient.com")</f>
        <v>kimberly.ball@studient.com</v>
      </c>
      <c r="U5258" s="6" t="str">
        <f>IFERROR(__xludf.DUMMYFUNCTION("""COMPUTED_VALUE"""),"3")</f>
        <v>3</v>
      </c>
      <c r="V5258" s="6" t="str">
        <f>IFERROR(__xludf.DUMMYFUNCTION("""COMPUTED_VALUE"""),"")</f>
        <v/>
      </c>
      <c r="W5258" s="6" t="str">
        <f>IFERROR(__xludf.DUMMYFUNCTION("""COMPUTED_VALUE"""),"[]")</f>
        <v>[]</v>
      </c>
      <c r="X5258" s="6" t="str">
        <f>IFERROR(__xludf.DUMMYFUNCTION("""COMPUTED_VALUE"""),"Enrolled")</f>
        <v>Enrolled</v>
      </c>
    </row>
    <row r="5259">
      <c r="A5259" s="6" t="str">
        <f>IFERROR(__xludf.DUMMYFUNCTION("""COMPUTED_VALUE"""),"086-12650")</f>
        <v>086-12650</v>
      </c>
      <c r="B5259" s="6" t="str">
        <f>IFERROR(__xludf.DUMMYFUNCTION("""COMPUTED_VALUE"""),"86")</f>
        <v>86</v>
      </c>
      <c r="C5259" s="6" t="str">
        <f>IFERROR(__xludf.DUMMYFUNCTION("""COMPUTED_VALUE"""),"12650")</f>
        <v>12650</v>
      </c>
      <c r="D5259" s="6" t="str">
        <f>IFERROR(__xludf.DUMMYFUNCTION("""COMPUTED_VALUE"""),"Angel")</f>
        <v>Angel</v>
      </c>
      <c r="E5259" s="6" t="str">
        <f>IFERROR(__xludf.DUMMYFUNCTION("""COMPUTED_VALUE"""),"")</f>
        <v/>
      </c>
      <c r="F5259" s="6" t="str">
        <f>IFERROR(__xludf.DUMMYFUNCTION("""COMPUTED_VALUE"""),"Romero Guzman")</f>
        <v>Romero Guzman</v>
      </c>
      <c r="G5259" s="6" t="str">
        <f>IFERROR(__xludf.DUMMYFUNCTION("""COMPUTED_VALUE"""),"09/09/2016")</f>
        <v>09/09/2016</v>
      </c>
      <c r="H5259" s="6" t="str">
        <f>IFERROR(__xludf.DUMMYFUNCTION("""COMPUTED_VALUE"""),"male")</f>
        <v>male</v>
      </c>
      <c r="I5259" s="6" t="str">
        <f>IFERROR(__xludf.DUMMYFUNCTION("""COMPUTED_VALUE"""),"Level 1")</f>
        <v>Level 1</v>
      </c>
      <c r="J5259" s="6" t="str">
        <f>IFERROR(__xludf.DUMMYFUNCTION("""COMPUTED_VALUE"""),"3")</f>
        <v>3</v>
      </c>
      <c r="K5259" s="6" t="str">
        <f>IFERROR(__xludf.DUMMYFUNCTION("""COMPUTED_VALUE"""),"angel.romeroguzman@2hourlearning.com")</f>
        <v>angel.romeroguzman@2hourlearning.com</v>
      </c>
      <c r="L5259" s="6" t="str">
        <f>IFERROR(__xludf.DUMMYFUNCTION("""COMPUTED_VALUE"""),"JRES - Ridgeland Elementary School")</f>
        <v>JRES - Ridgeland Elementary School</v>
      </c>
      <c r="M5259" s="6" t="str">
        <f>IFERROR(__xludf.DUMMYFUNCTION("""COMPUTED_VALUE"""),"")</f>
        <v/>
      </c>
      <c r="N5259" s="6" t="str">
        <f>IFERROR(__xludf.DUMMYFUNCTION("""COMPUTED_VALUE"""),"")</f>
        <v/>
      </c>
      <c r="O5259" s="87" t="str">
        <f>IFERROR(__xludf.DUMMYFUNCTION("""COMPUTED_VALUE"""),"https://drive.google.com/drive/folders/10T2cTQHqEJZqE-st6uFKPoI?usp=share_link")</f>
        <v>https://drive.google.com/drive/folders/10T2cTQHqEJZqE-st6uFKPoI?usp=share_link</v>
      </c>
      <c r="P5259" s="6" t="str">
        <f>IFERROR(__xludf.DUMMYFUNCTION("""COMPUTED_VALUE"""),"Angel Romero Guzman")</f>
        <v>Angel Romero Guzman</v>
      </c>
      <c r="Q5259" s="6" t="str">
        <f>IFERROR(__xludf.DUMMYFUNCTION("""COMPUTED_VALUE"""),"L1")</f>
        <v>L1</v>
      </c>
      <c r="R5259" s="6">
        <f>IFERROR(__xludf.DUMMYFUNCTION("""COMPUTED_VALUE"""),1.0)</f>
        <v>1</v>
      </c>
      <c r="S5259" s="6" t="str">
        <f>IFERROR(__xludf.DUMMYFUNCTION("""COMPUTED_VALUE"""),"Kimberly Ball")</f>
        <v>Kimberly Ball</v>
      </c>
      <c r="T5259" s="6" t="str">
        <f>IFERROR(__xludf.DUMMYFUNCTION("""COMPUTED_VALUE"""),"kimberly.ball@studient.com")</f>
        <v>kimberly.ball@studient.com</v>
      </c>
      <c r="U5259" s="6" t="str">
        <f>IFERROR(__xludf.DUMMYFUNCTION("""COMPUTED_VALUE"""),"3")</f>
        <v>3</v>
      </c>
      <c r="V5259" s="6" t="str">
        <f>IFERROR(__xludf.DUMMYFUNCTION("""COMPUTED_VALUE"""),"")</f>
        <v/>
      </c>
      <c r="W5259" s="6" t="str">
        <f>IFERROR(__xludf.DUMMYFUNCTION("""COMPUTED_VALUE"""),"[]")</f>
        <v>[]</v>
      </c>
      <c r="X5259" s="6" t="str">
        <f>IFERROR(__xludf.DUMMYFUNCTION("""COMPUTED_VALUE"""),"Enrolled")</f>
        <v>Enrolled</v>
      </c>
    </row>
    <row r="5260">
      <c r="A5260" s="6" t="str">
        <f>IFERROR(__xludf.DUMMYFUNCTION("""COMPUTED_VALUE"""),"086-12651")</f>
        <v>086-12651</v>
      </c>
      <c r="B5260" s="6" t="str">
        <f>IFERROR(__xludf.DUMMYFUNCTION("""COMPUTED_VALUE"""),"86")</f>
        <v>86</v>
      </c>
      <c r="C5260" s="6" t="str">
        <f>IFERROR(__xludf.DUMMYFUNCTION("""COMPUTED_VALUE"""),"12651")</f>
        <v>12651</v>
      </c>
      <c r="D5260" s="6" t="str">
        <f>IFERROR(__xludf.DUMMYFUNCTION("""COMPUTED_VALUE"""),"Dalany")</f>
        <v>Dalany</v>
      </c>
      <c r="E5260" s="6" t="str">
        <f>IFERROR(__xludf.DUMMYFUNCTION("""COMPUTED_VALUE"""),"")</f>
        <v/>
      </c>
      <c r="F5260" s="6" t="str">
        <f>IFERROR(__xludf.DUMMYFUNCTION("""COMPUTED_VALUE"""),"Romero Romero")</f>
        <v>Romero Romero</v>
      </c>
      <c r="G5260" s="6" t="str">
        <f>IFERROR(__xludf.DUMMYFUNCTION("""COMPUTED_VALUE"""),"05/07/2018")</f>
        <v>05/07/2018</v>
      </c>
      <c r="H5260" s="6" t="str">
        <f>IFERROR(__xludf.DUMMYFUNCTION("""COMPUTED_VALUE"""),"female")</f>
        <v>female</v>
      </c>
      <c r="I5260" s="6" t="str">
        <f>IFERROR(__xludf.DUMMYFUNCTION("""COMPUTED_VALUE"""),"Level 1")</f>
        <v>Level 1</v>
      </c>
      <c r="J5260" s="6" t="str">
        <f>IFERROR(__xludf.DUMMYFUNCTION("""COMPUTED_VALUE"""),"3")</f>
        <v>3</v>
      </c>
      <c r="K5260" s="6" t="str">
        <f>IFERROR(__xludf.DUMMYFUNCTION("""COMPUTED_VALUE"""),"dalany.romeroromero@2hourlearning.com")</f>
        <v>dalany.romeroromero@2hourlearning.com</v>
      </c>
      <c r="L5260" s="6" t="str">
        <f>IFERROR(__xludf.DUMMYFUNCTION("""COMPUTED_VALUE"""),"JRES - Ridgeland Elementary School")</f>
        <v>JRES - Ridgeland Elementary School</v>
      </c>
      <c r="M5260" s="6" t="str">
        <f>IFERROR(__xludf.DUMMYFUNCTION("""COMPUTED_VALUE"""),"")</f>
        <v/>
      </c>
      <c r="N5260" s="6" t="str">
        <f>IFERROR(__xludf.DUMMYFUNCTION("""COMPUTED_VALUE"""),"")</f>
        <v/>
      </c>
      <c r="O5260" s="87" t="str">
        <f>IFERROR(__xludf.DUMMYFUNCTION("""COMPUTED_VALUE"""),"https://drive.google.com/drive/folders/10T2cTQHqEJZqE-st6uFKPoI?usp=share_link")</f>
        <v>https://drive.google.com/drive/folders/10T2cTQHqEJZqE-st6uFKPoI?usp=share_link</v>
      </c>
      <c r="P5260" s="6" t="str">
        <f>IFERROR(__xludf.DUMMYFUNCTION("""COMPUTED_VALUE"""),"Dalany Romero Romero")</f>
        <v>Dalany Romero Romero</v>
      </c>
      <c r="Q5260" s="6" t="str">
        <f>IFERROR(__xludf.DUMMYFUNCTION("""COMPUTED_VALUE"""),"L1")</f>
        <v>L1</v>
      </c>
      <c r="R5260" s="6">
        <f>IFERROR(__xludf.DUMMYFUNCTION("""COMPUTED_VALUE"""),1.0)</f>
        <v>1</v>
      </c>
      <c r="S5260" s="6" t="str">
        <f>IFERROR(__xludf.DUMMYFUNCTION("""COMPUTED_VALUE"""),"Kimberly Ball")</f>
        <v>Kimberly Ball</v>
      </c>
      <c r="T5260" s="6" t="str">
        <f>IFERROR(__xludf.DUMMYFUNCTION("""COMPUTED_VALUE"""),"kimberly.ball@studient.com")</f>
        <v>kimberly.ball@studient.com</v>
      </c>
      <c r="U5260" s="6" t="str">
        <f>IFERROR(__xludf.DUMMYFUNCTION("""COMPUTED_VALUE"""),"3")</f>
        <v>3</v>
      </c>
      <c r="V5260" s="6" t="str">
        <f>IFERROR(__xludf.DUMMYFUNCTION("""COMPUTED_VALUE"""),"")</f>
        <v/>
      </c>
      <c r="W5260" s="6" t="str">
        <f>IFERROR(__xludf.DUMMYFUNCTION("""COMPUTED_VALUE"""),"[]")</f>
        <v>[]</v>
      </c>
      <c r="X5260" s="6" t="str">
        <f>IFERROR(__xludf.DUMMYFUNCTION("""COMPUTED_VALUE"""),"Enrolled")</f>
        <v>Enrolled</v>
      </c>
    </row>
    <row r="5261">
      <c r="A5261" s="6" t="str">
        <f>IFERROR(__xludf.DUMMYFUNCTION("""COMPUTED_VALUE"""),"086-12652")</f>
        <v>086-12652</v>
      </c>
      <c r="B5261" s="6" t="str">
        <f>IFERROR(__xludf.DUMMYFUNCTION("""COMPUTED_VALUE"""),"86")</f>
        <v>86</v>
      </c>
      <c r="C5261" s="6" t="str">
        <f>IFERROR(__xludf.DUMMYFUNCTION("""COMPUTED_VALUE"""),"12652")</f>
        <v>12652</v>
      </c>
      <c r="D5261" s="6" t="str">
        <f>IFERROR(__xludf.DUMMYFUNCTION("""COMPUTED_VALUE"""),"Cody")</f>
        <v>Cody</v>
      </c>
      <c r="E5261" s="6" t="str">
        <f>IFERROR(__xludf.DUMMYFUNCTION("""COMPUTED_VALUE"""),"")</f>
        <v/>
      </c>
      <c r="F5261" s="6" t="str">
        <f>IFERROR(__xludf.DUMMYFUNCTION("""COMPUTED_VALUE"""),"Rooker")</f>
        <v>Rooker</v>
      </c>
      <c r="G5261" s="6" t="str">
        <f>IFERROR(__xludf.DUMMYFUNCTION("""COMPUTED_VALUE"""),"12/04/2014")</f>
        <v>12/04/2014</v>
      </c>
      <c r="H5261" s="6" t="str">
        <f>IFERROR(__xludf.DUMMYFUNCTION("""COMPUTED_VALUE"""),"male")</f>
        <v>male</v>
      </c>
      <c r="I5261" s="6" t="str">
        <f>IFERROR(__xludf.DUMMYFUNCTION("""COMPUTED_VALUE"""),"Level 1")</f>
        <v>Level 1</v>
      </c>
      <c r="J5261" s="6" t="str">
        <f>IFERROR(__xludf.DUMMYFUNCTION("""COMPUTED_VALUE"""),"3")</f>
        <v>3</v>
      </c>
      <c r="K5261" s="6" t="str">
        <f>IFERROR(__xludf.DUMMYFUNCTION("""COMPUTED_VALUE"""),"cody.rooker@2hourlearning.com")</f>
        <v>cody.rooker@2hourlearning.com</v>
      </c>
      <c r="L5261" s="6" t="str">
        <f>IFERROR(__xludf.DUMMYFUNCTION("""COMPUTED_VALUE"""),"JRES - Ridgeland Elementary School")</f>
        <v>JRES - Ridgeland Elementary School</v>
      </c>
      <c r="M5261" s="6" t="str">
        <f>IFERROR(__xludf.DUMMYFUNCTION("""COMPUTED_VALUE"""),"")</f>
        <v/>
      </c>
      <c r="N5261" s="6" t="str">
        <f>IFERROR(__xludf.DUMMYFUNCTION("""COMPUTED_VALUE"""),"")</f>
        <v/>
      </c>
      <c r="O5261" s="87" t="str">
        <f>IFERROR(__xludf.DUMMYFUNCTION("""COMPUTED_VALUE"""),"https://drive.google.com/drive/folders/10T2cTQHqEJZqE-st6uFKPoI?usp=share_link")</f>
        <v>https://drive.google.com/drive/folders/10T2cTQHqEJZqE-st6uFKPoI?usp=share_link</v>
      </c>
      <c r="P5261" s="6" t="str">
        <f>IFERROR(__xludf.DUMMYFUNCTION("""COMPUTED_VALUE"""),"Cody Rooker")</f>
        <v>Cody Rooker</v>
      </c>
      <c r="Q5261" s="6" t="str">
        <f>IFERROR(__xludf.DUMMYFUNCTION("""COMPUTED_VALUE"""),"L1")</f>
        <v>L1</v>
      </c>
      <c r="R5261" s="6">
        <f>IFERROR(__xludf.DUMMYFUNCTION("""COMPUTED_VALUE"""),1.0)</f>
        <v>1</v>
      </c>
      <c r="S5261" s="6" t="str">
        <f>IFERROR(__xludf.DUMMYFUNCTION("""COMPUTED_VALUE"""),"Kimberly Ball")</f>
        <v>Kimberly Ball</v>
      </c>
      <c r="T5261" s="6" t="str">
        <f>IFERROR(__xludf.DUMMYFUNCTION("""COMPUTED_VALUE"""),"kimberly.ball@studient.com")</f>
        <v>kimberly.ball@studient.com</v>
      </c>
      <c r="U5261" s="6" t="str">
        <f>IFERROR(__xludf.DUMMYFUNCTION("""COMPUTED_VALUE"""),"3")</f>
        <v>3</v>
      </c>
      <c r="V5261" s="6" t="str">
        <f>IFERROR(__xludf.DUMMYFUNCTION("""COMPUTED_VALUE"""),"")</f>
        <v/>
      </c>
      <c r="W5261" s="6" t="str">
        <f>IFERROR(__xludf.DUMMYFUNCTION("""COMPUTED_VALUE"""),"[]")</f>
        <v>[]</v>
      </c>
      <c r="X5261" s="6" t="str">
        <f>IFERROR(__xludf.DUMMYFUNCTION("""COMPUTED_VALUE"""),"Enrolled")</f>
        <v>Enrolled</v>
      </c>
    </row>
    <row r="5262">
      <c r="A5262" s="6" t="str">
        <f>IFERROR(__xludf.DUMMYFUNCTION("""COMPUTED_VALUE"""),"086-12653")</f>
        <v>086-12653</v>
      </c>
      <c r="B5262" s="6" t="str">
        <f>IFERROR(__xludf.DUMMYFUNCTION("""COMPUTED_VALUE"""),"86")</f>
        <v>86</v>
      </c>
      <c r="C5262" s="6" t="str">
        <f>IFERROR(__xludf.DUMMYFUNCTION("""COMPUTED_VALUE"""),"12653")</f>
        <v>12653</v>
      </c>
      <c r="D5262" s="6" t="str">
        <f>IFERROR(__xludf.DUMMYFUNCTION("""COMPUTED_VALUE"""),"Joseph")</f>
        <v>Joseph</v>
      </c>
      <c r="E5262" s="6" t="str">
        <f>IFERROR(__xludf.DUMMYFUNCTION("""COMPUTED_VALUE"""),"")</f>
        <v/>
      </c>
      <c r="F5262" s="6" t="str">
        <f>IFERROR(__xludf.DUMMYFUNCTION("""COMPUTED_VALUE"""),"Salas Morales")</f>
        <v>Salas Morales</v>
      </c>
      <c r="G5262" s="6" t="str">
        <f>IFERROR(__xludf.DUMMYFUNCTION("""COMPUTED_VALUE"""),"12/07/2016")</f>
        <v>12/07/2016</v>
      </c>
      <c r="H5262" s="6" t="str">
        <f>IFERROR(__xludf.DUMMYFUNCTION("""COMPUTED_VALUE"""),"female")</f>
        <v>female</v>
      </c>
      <c r="I5262" s="6" t="str">
        <f>IFERROR(__xludf.DUMMYFUNCTION("""COMPUTED_VALUE"""),"Level 1")</f>
        <v>Level 1</v>
      </c>
      <c r="J5262" s="6" t="str">
        <f>IFERROR(__xludf.DUMMYFUNCTION("""COMPUTED_VALUE"""),"3")</f>
        <v>3</v>
      </c>
      <c r="K5262" s="6" t="str">
        <f>IFERROR(__xludf.DUMMYFUNCTION("""COMPUTED_VALUE"""),"joseph.salasmorales@2hourlearning.com")</f>
        <v>joseph.salasmorales@2hourlearning.com</v>
      </c>
      <c r="L5262" s="6" t="str">
        <f>IFERROR(__xludf.DUMMYFUNCTION("""COMPUTED_VALUE"""),"JRES - Ridgeland Elementary School")</f>
        <v>JRES - Ridgeland Elementary School</v>
      </c>
      <c r="M5262" s="6" t="str">
        <f>IFERROR(__xludf.DUMMYFUNCTION("""COMPUTED_VALUE"""),"")</f>
        <v/>
      </c>
      <c r="N5262" s="6" t="str">
        <f>IFERROR(__xludf.DUMMYFUNCTION("""COMPUTED_VALUE"""),"")</f>
        <v/>
      </c>
      <c r="O5262" s="87" t="str">
        <f>IFERROR(__xludf.DUMMYFUNCTION("""COMPUTED_VALUE"""),"https://drive.google.com/drive/folders/10T2cTQHqEJZqE-st6uFKPoI?usp=share_link")</f>
        <v>https://drive.google.com/drive/folders/10T2cTQHqEJZqE-st6uFKPoI?usp=share_link</v>
      </c>
      <c r="P5262" s="6" t="str">
        <f>IFERROR(__xludf.DUMMYFUNCTION("""COMPUTED_VALUE"""),"Joseph Salas Morales")</f>
        <v>Joseph Salas Morales</v>
      </c>
      <c r="Q5262" s="6" t="str">
        <f>IFERROR(__xludf.DUMMYFUNCTION("""COMPUTED_VALUE"""),"L1")</f>
        <v>L1</v>
      </c>
      <c r="R5262" s="6">
        <f>IFERROR(__xludf.DUMMYFUNCTION("""COMPUTED_VALUE"""),1.0)</f>
        <v>1</v>
      </c>
      <c r="S5262" s="6" t="str">
        <f>IFERROR(__xludf.DUMMYFUNCTION("""COMPUTED_VALUE"""),"Kimberly Ball")</f>
        <v>Kimberly Ball</v>
      </c>
      <c r="T5262" s="6" t="str">
        <f>IFERROR(__xludf.DUMMYFUNCTION("""COMPUTED_VALUE"""),"kimberly.ball@studient.com")</f>
        <v>kimberly.ball@studient.com</v>
      </c>
      <c r="U5262" s="6" t="str">
        <f>IFERROR(__xludf.DUMMYFUNCTION("""COMPUTED_VALUE"""),"3")</f>
        <v>3</v>
      </c>
      <c r="V5262" s="6" t="str">
        <f>IFERROR(__xludf.DUMMYFUNCTION("""COMPUTED_VALUE"""),"")</f>
        <v/>
      </c>
      <c r="W5262" s="6" t="str">
        <f>IFERROR(__xludf.DUMMYFUNCTION("""COMPUTED_VALUE"""),"[]")</f>
        <v>[]</v>
      </c>
      <c r="X5262" s="6" t="str">
        <f>IFERROR(__xludf.DUMMYFUNCTION("""COMPUTED_VALUE"""),"Enrolled")</f>
        <v>Enrolled</v>
      </c>
    </row>
    <row r="5263">
      <c r="A5263" s="6" t="str">
        <f>IFERROR(__xludf.DUMMYFUNCTION("""COMPUTED_VALUE"""),"086-12654")</f>
        <v>086-12654</v>
      </c>
      <c r="B5263" s="6" t="str">
        <f>IFERROR(__xludf.DUMMYFUNCTION("""COMPUTED_VALUE"""),"86")</f>
        <v>86</v>
      </c>
      <c r="C5263" s="6" t="str">
        <f>IFERROR(__xludf.DUMMYFUNCTION("""COMPUTED_VALUE"""),"12654")</f>
        <v>12654</v>
      </c>
      <c r="D5263" s="6" t="str">
        <f>IFERROR(__xludf.DUMMYFUNCTION("""COMPUTED_VALUE"""),"Adriel")</f>
        <v>Adriel</v>
      </c>
      <c r="E5263" s="6" t="str">
        <f>IFERROR(__xludf.DUMMYFUNCTION("""COMPUTED_VALUE"""),"")</f>
        <v/>
      </c>
      <c r="F5263" s="6" t="str">
        <f>IFERROR(__xludf.DUMMYFUNCTION("""COMPUTED_VALUE"""),"Salazar Gonzalez")</f>
        <v>Salazar Gonzalez</v>
      </c>
      <c r="G5263" s="6" t="str">
        <f>IFERROR(__xludf.DUMMYFUNCTION("""COMPUTED_VALUE"""),"02/16/2015")</f>
        <v>02/16/2015</v>
      </c>
      <c r="H5263" s="6" t="str">
        <f>IFERROR(__xludf.DUMMYFUNCTION("""COMPUTED_VALUE"""),"male")</f>
        <v>male</v>
      </c>
      <c r="I5263" s="6" t="str">
        <f>IFERROR(__xludf.DUMMYFUNCTION("""COMPUTED_VALUE"""),"Level 1")</f>
        <v>Level 1</v>
      </c>
      <c r="J5263" s="6" t="str">
        <f>IFERROR(__xludf.DUMMYFUNCTION("""COMPUTED_VALUE"""),"3")</f>
        <v>3</v>
      </c>
      <c r="K5263" s="6" t="str">
        <f>IFERROR(__xludf.DUMMYFUNCTION("""COMPUTED_VALUE"""),"adriel.salazargonzalez@2hourlearning.com")</f>
        <v>adriel.salazargonzalez@2hourlearning.com</v>
      </c>
      <c r="L5263" s="6" t="str">
        <f>IFERROR(__xludf.DUMMYFUNCTION("""COMPUTED_VALUE"""),"JRES - Ridgeland Elementary School")</f>
        <v>JRES - Ridgeland Elementary School</v>
      </c>
      <c r="M5263" s="6" t="str">
        <f>IFERROR(__xludf.DUMMYFUNCTION("""COMPUTED_VALUE"""),"")</f>
        <v/>
      </c>
      <c r="N5263" s="6" t="str">
        <f>IFERROR(__xludf.DUMMYFUNCTION("""COMPUTED_VALUE"""),"")</f>
        <v/>
      </c>
      <c r="O5263" s="87" t="str">
        <f>IFERROR(__xludf.DUMMYFUNCTION("""COMPUTED_VALUE"""),"https://drive.google.com/drive/folders/10T2cTQHqEJZqE-st6uFKPoI?usp=share_link")</f>
        <v>https://drive.google.com/drive/folders/10T2cTQHqEJZqE-st6uFKPoI?usp=share_link</v>
      </c>
      <c r="P5263" s="6" t="str">
        <f>IFERROR(__xludf.DUMMYFUNCTION("""COMPUTED_VALUE"""),"Adriel Salazar Gonzalez")</f>
        <v>Adriel Salazar Gonzalez</v>
      </c>
      <c r="Q5263" s="6" t="str">
        <f>IFERROR(__xludf.DUMMYFUNCTION("""COMPUTED_VALUE"""),"L1")</f>
        <v>L1</v>
      </c>
      <c r="R5263" s="6">
        <f>IFERROR(__xludf.DUMMYFUNCTION("""COMPUTED_VALUE"""),1.0)</f>
        <v>1</v>
      </c>
      <c r="S5263" s="6" t="str">
        <f>IFERROR(__xludf.DUMMYFUNCTION("""COMPUTED_VALUE"""),"Kimberly Ball")</f>
        <v>Kimberly Ball</v>
      </c>
      <c r="T5263" s="6" t="str">
        <f>IFERROR(__xludf.DUMMYFUNCTION("""COMPUTED_VALUE"""),"kimberly.ball@studient.com")</f>
        <v>kimberly.ball@studient.com</v>
      </c>
      <c r="U5263" s="6" t="str">
        <f>IFERROR(__xludf.DUMMYFUNCTION("""COMPUTED_VALUE"""),"3")</f>
        <v>3</v>
      </c>
      <c r="V5263" s="6" t="str">
        <f>IFERROR(__xludf.DUMMYFUNCTION("""COMPUTED_VALUE"""),"")</f>
        <v/>
      </c>
      <c r="W5263" s="6" t="str">
        <f>IFERROR(__xludf.DUMMYFUNCTION("""COMPUTED_VALUE"""),"[]")</f>
        <v>[]</v>
      </c>
      <c r="X5263" s="6" t="str">
        <f>IFERROR(__xludf.DUMMYFUNCTION("""COMPUTED_VALUE"""),"Enrolled")</f>
        <v>Enrolled</v>
      </c>
    </row>
    <row r="5264">
      <c r="A5264" s="6" t="str">
        <f>IFERROR(__xludf.DUMMYFUNCTION("""COMPUTED_VALUE"""),"086-12655")</f>
        <v>086-12655</v>
      </c>
      <c r="B5264" s="6" t="str">
        <f>IFERROR(__xludf.DUMMYFUNCTION("""COMPUTED_VALUE"""),"86")</f>
        <v>86</v>
      </c>
      <c r="C5264" s="6" t="str">
        <f>IFERROR(__xludf.DUMMYFUNCTION("""COMPUTED_VALUE"""),"12655")</f>
        <v>12655</v>
      </c>
      <c r="D5264" s="6" t="str">
        <f>IFERROR(__xludf.DUMMYFUNCTION("""COMPUTED_VALUE"""),"Sherlyn")</f>
        <v>Sherlyn</v>
      </c>
      <c r="E5264" s="6" t="str">
        <f>IFERROR(__xludf.DUMMYFUNCTION("""COMPUTED_VALUE"""),"")</f>
        <v/>
      </c>
      <c r="F5264" s="6" t="str">
        <f>IFERROR(__xludf.DUMMYFUNCTION("""COMPUTED_VALUE"""),"San Nicolas-Nunez")</f>
        <v>San Nicolas-Nunez</v>
      </c>
      <c r="G5264" s="6" t="str">
        <f>IFERROR(__xludf.DUMMYFUNCTION("""COMPUTED_VALUE"""),"03/20/2018")</f>
        <v>03/20/2018</v>
      </c>
      <c r="H5264" s="6" t="str">
        <f>IFERROR(__xludf.DUMMYFUNCTION("""COMPUTED_VALUE"""),"male")</f>
        <v>male</v>
      </c>
      <c r="I5264" s="6" t="str">
        <f>IFERROR(__xludf.DUMMYFUNCTION("""COMPUTED_VALUE"""),"Level 1")</f>
        <v>Level 1</v>
      </c>
      <c r="J5264" s="6" t="str">
        <f>IFERROR(__xludf.DUMMYFUNCTION("""COMPUTED_VALUE"""),"3")</f>
        <v>3</v>
      </c>
      <c r="K5264" s="6" t="str">
        <f>IFERROR(__xludf.DUMMYFUNCTION("""COMPUTED_VALUE"""),"sherlyn.sannicolas-nunez@2hourlearning.com")</f>
        <v>sherlyn.sannicolas-nunez@2hourlearning.com</v>
      </c>
      <c r="L5264" s="6" t="str">
        <f>IFERROR(__xludf.DUMMYFUNCTION("""COMPUTED_VALUE"""),"JRES - Ridgeland Elementary School")</f>
        <v>JRES - Ridgeland Elementary School</v>
      </c>
      <c r="M5264" s="6" t="str">
        <f>IFERROR(__xludf.DUMMYFUNCTION("""COMPUTED_VALUE"""),"")</f>
        <v/>
      </c>
      <c r="N5264" s="6" t="str">
        <f>IFERROR(__xludf.DUMMYFUNCTION("""COMPUTED_VALUE"""),"")</f>
        <v/>
      </c>
      <c r="O5264" s="87" t="str">
        <f>IFERROR(__xludf.DUMMYFUNCTION("""COMPUTED_VALUE"""),"https://drive.google.com/drive/folders/10T2cTQHqEJZqE-st6uFKPoI?usp=share_link")</f>
        <v>https://drive.google.com/drive/folders/10T2cTQHqEJZqE-st6uFKPoI?usp=share_link</v>
      </c>
      <c r="P5264" s="6" t="str">
        <f>IFERROR(__xludf.DUMMYFUNCTION("""COMPUTED_VALUE"""),"Sherlyn San Nicolas-Nunez")</f>
        <v>Sherlyn San Nicolas-Nunez</v>
      </c>
      <c r="Q5264" s="6" t="str">
        <f>IFERROR(__xludf.DUMMYFUNCTION("""COMPUTED_VALUE"""),"L1")</f>
        <v>L1</v>
      </c>
      <c r="R5264" s="6">
        <f>IFERROR(__xludf.DUMMYFUNCTION("""COMPUTED_VALUE"""),1.0)</f>
        <v>1</v>
      </c>
      <c r="S5264" s="6" t="str">
        <f>IFERROR(__xludf.DUMMYFUNCTION("""COMPUTED_VALUE"""),"Kimberly Ball")</f>
        <v>Kimberly Ball</v>
      </c>
      <c r="T5264" s="6" t="str">
        <f>IFERROR(__xludf.DUMMYFUNCTION("""COMPUTED_VALUE"""),"kimberly.ball@studient.com")</f>
        <v>kimberly.ball@studient.com</v>
      </c>
      <c r="U5264" s="6" t="str">
        <f>IFERROR(__xludf.DUMMYFUNCTION("""COMPUTED_VALUE"""),"3")</f>
        <v>3</v>
      </c>
      <c r="V5264" s="6" t="str">
        <f>IFERROR(__xludf.DUMMYFUNCTION("""COMPUTED_VALUE"""),"")</f>
        <v/>
      </c>
      <c r="W5264" s="6" t="str">
        <f>IFERROR(__xludf.DUMMYFUNCTION("""COMPUTED_VALUE"""),"[]")</f>
        <v>[]</v>
      </c>
      <c r="X5264" s="6" t="str">
        <f>IFERROR(__xludf.DUMMYFUNCTION("""COMPUTED_VALUE"""),"Enrolled")</f>
        <v>Enrolled</v>
      </c>
    </row>
    <row r="5265">
      <c r="A5265" s="6" t="str">
        <f>IFERROR(__xludf.DUMMYFUNCTION("""COMPUTED_VALUE"""),"086-12656")</f>
        <v>086-12656</v>
      </c>
      <c r="B5265" s="6" t="str">
        <f>IFERROR(__xludf.DUMMYFUNCTION("""COMPUTED_VALUE"""),"86")</f>
        <v>86</v>
      </c>
      <c r="C5265" s="6" t="str">
        <f>IFERROR(__xludf.DUMMYFUNCTION("""COMPUTED_VALUE"""),"12656")</f>
        <v>12656</v>
      </c>
      <c r="D5265" s="6" t="str">
        <f>IFERROR(__xludf.DUMMYFUNCTION("""COMPUTED_VALUE"""),"Amirah")</f>
        <v>Amirah</v>
      </c>
      <c r="E5265" s="6" t="str">
        <f>IFERROR(__xludf.DUMMYFUNCTION("""COMPUTED_VALUE"""),"")</f>
        <v/>
      </c>
      <c r="F5265" s="6" t="str">
        <f>IFERROR(__xludf.DUMMYFUNCTION("""COMPUTED_VALUE"""),"Singleton")</f>
        <v>Singleton</v>
      </c>
      <c r="G5265" s="6" t="str">
        <f>IFERROR(__xludf.DUMMYFUNCTION("""COMPUTED_VALUE"""),"06/01/2018")</f>
        <v>06/01/2018</v>
      </c>
      <c r="H5265" s="6" t="str">
        <f>IFERROR(__xludf.DUMMYFUNCTION("""COMPUTED_VALUE"""),"female")</f>
        <v>female</v>
      </c>
      <c r="I5265" s="6" t="str">
        <f>IFERROR(__xludf.DUMMYFUNCTION("""COMPUTED_VALUE"""),"Level 1")</f>
        <v>Level 1</v>
      </c>
      <c r="J5265" s="6" t="str">
        <f>IFERROR(__xludf.DUMMYFUNCTION("""COMPUTED_VALUE"""),"3")</f>
        <v>3</v>
      </c>
      <c r="K5265" s="6" t="str">
        <f>IFERROR(__xludf.DUMMYFUNCTION("""COMPUTED_VALUE"""),"amirah.singleton@2hourlearning.com")</f>
        <v>amirah.singleton@2hourlearning.com</v>
      </c>
      <c r="L5265" s="6" t="str">
        <f>IFERROR(__xludf.DUMMYFUNCTION("""COMPUTED_VALUE"""),"JRES - Ridgeland Elementary School")</f>
        <v>JRES - Ridgeland Elementary School</v>
      </c>
      <c r="M5265" s="6" t="str">
        <f>IFERROR(__xludf.DUMMYFUNCTION("""COMPUTED_VALUE"""),"")</f>
        <v/>
      </c>
      <c r="N5265" s="6" t="str">
        <f>IFERROR(__xludf.DUMMYFUNCTION("""COMPUTED_VALUE"""),"")</f>
        <v/>
      </c>
      <c r="O5265" s="87" t="str">
        <f>IFERROR(__xludf.DUMMYFUNCTION("""COMPUTED_VALUE"""),"https://drive.google.com/drive/folders/10T2cTQHqEJZqE-st6uFKPoI?usp=share_link")</f>
        <v>https://drive.google.com/drive/folders/10T2cTQHqEJZqE-st6uFKPoI?usp=share_link</v>
      </c>
      <c r="P5265" s="6" t="str">
        <f>IFERROR(__xludf.DUMMYFUNCTION("""COMPUTED_VALUE"""),"Amirah Singleton")</f>
        <v>Amirah Singleton</v>
      </c>
      <c r="Q5265" s="6" t="str">
        <f>IFERROR(__xludf.DUMMYFUNCTION("""COMPUTED_VALUE"""),"L1")</f>
        <v>L1</v>
      </c>
      <c r="R5265" s="6">
        <f>IFERROR(__xludf.DUMMYFUNCTION("""COMPUTED_VALUE"""),1.0)</f>
        <v>1</v>
      </c>
      <c r="S5265" s="6" t="str">
        <f>IFERROR(__xludf.DUMMYFUNCTION("""COMPUTED_VALUE"""),"Kimberly Ball")</f>
        <v>Kimberly Ball</v>
      </c>
      <c r="T5265" s="6" t="str">
        <f>IFERROR(__xludf.DUMMYFUNCTION("""COMPUTED_VALUE"""),"kimberly.ball@studient.com")</f>
        <v>kimberly.ball@studient.com</v>
      </c>
      <c r="U5265" s="6" t="str">
        <f>IFERROR(__xludf.DUMMYFUNCTION("""COMPUTED_VALUE"""),"3")</f>
        <v>3</v>
      </c>
      <c r="V5265" s="6" t="str">
        <f>IFERROR(__xludf.DUMMYFUNCTION("""COMPUTED_VALUE"""),"")</f>
        <v/>
      </c>
      <c r="W5265" s="6" t="str">
        <f>IFERROR(__xludf.DUMMYFUNCTION("""COMPUTED_VALUE"""),"[]")</f>
        <v>[]</v>
      </c>
      <c r="X5265" s="6" t="str">
        <f>IFERROR(__xludf.DUMMYFUNCTION("""COMPUTED_VALUE"""),"Enrolled")</f>
        <v>Enrolled</v>
      </c>
    </row>
    <row r="5266">
      <c r="A5266" s="6" t="str">
        <f>IFERROR(__xludf.DUMMYFUNCTION("""COMPUTED_VALUE"""),"086-12657")</f>
        <v>086-12657</v>
      </c>
      <c r="B5266" s="6" t="str">
        <f>IFERROR(__xludf.DUMMYFUNCTION("""COMPUTED_VALUE"""),"86")</f>
        <v>86</v>
      </c>
      <c r="C5266" s="6" t="str">
        <f>IFERROR(__xludf.DUMMYFUNCTION("""COMPUTED_VALUE"""),"12657")</f>
        <v>12657</v>
      </c>
      <c r="D5266" s="6" t="str">
        <f>IFERROR(__xludf.DUMMYFUNCTION("""COMPUTED_VALUE"""),"Felicity")</f>
        <v>Felicity</v>
      </c>
      <c r="E5266" s="6" t="str">
        <f>IFERROR(__xludf.DUMMYFUNCTION("""COMPUTED_VALUE"""),"")</f>
        <v/>
      </c>
      <c r="F5266" s="6" t="str">
        <f>IFERROR(__xludf.DUMMYFUNCTION("""COMPUTED_VALUE"""),"Snow")</f>
        <v>Snow</v>
      </c>
      <c r="G5266" s="6" t="str">
        <f>IFERROR(__xludf.DUMMYFUNCTION("""COMPUTED_VALUE"""),"10/17/2017")</f>
        <v>10/17/2017</v>
      </c>
      <c r="H5266" s="6" t="str">
        <f>IFERROR(__xludf.DUMMYFUNCTION("""COMPUTED_VALUE"""),"male")</f>
        <v>male</v>
      </c>
      <c r="I5266" s="6" t="str">
        <f>IFERROR(__xludf.DUMMYFUNCTION("""COMPUTED_VALUE"""),"Level 1")</f>
        <v>Level 1</v>
      </c>
      <c r="J5266" s="6" t="str">
        <f>IFERROR(__xludf.DUMMYFUNCTION("""COMPUTED_VALUE"""),"3")</f>
        <v>3</v>
      </c>
      <c r="K5266" s="6" t="str">
        <f>IFERROR(__xludf.DUMMYFUNCTION("""COMPUTED_VALUE"""),"felicity.snow@2hourlearning.com")</f>
        <v>felicity.snow@2hourlearning.com</v>
      </c>
      <c r="L5266" s="6" t="str">
        <f>IFERROR(__xludf.DUMMYFUNCTION("""COMPUTED_VALUE"""),"JRES - Ridgeland Elementary School")</f>
        <v>JRES - Ridgeland Elementary School</v>
      </c>
      <c r="M5266" s="6" t="str">
        <f>IFERROR(__xludf.DUMMYFUNCTION("""COMPUTED_VALUE"""),"")</f>
        <v/>
      </c>
      <c r="N5266" s="6" t="str">
        <f>IFERROR(__xludf.DUMMYFUNCTION("""COMPUTED_VALUE"""),"")</f>
        <v/>
      </c>
      <c r="O5266" s="87" t="str">
        <f>IFERROR(__xludf.DUMMYFUNCTION("""COMPUTED_VALUE"""),"https://drive.google.com/drive/folders/10T2cTQHqEJZqE-st6uFKPoI?usp=share_link")</f>
        <v>https://drive.google.com/drive/folders/10T2cTQHqEJZqE-st6uFKPoI?usp=share_link</v>
      </c>
      <c r="P5266" s="6" t="str">
        <f>IFERROR(__xludf.DUMMYFUNCTION("""COMPUTED_VALUE"""),"Felicity Snow")</f>
        <v>Felicity Snow</v>
      </c>
      <c r="Q5266" s="6" t="str">
        <f>IFERROR(__xludf.DUMMYFUNCTION("""COMPUTED_VALUE"""),"L1")</f>
        <v>L1</v>
      </c>
      <c r="R5266" s="6">
        <f>IFERROR(__xludf.DUMMYFUNCTION("""COMPUTED_VALUE"""),1.0)</f>
        <v>1</v>
      </c>
      <c r="S5266" s="6" t="str">
        <f>IFERROR(__xludf.DUMMYFUNCTION("""COMPUTED_VALUE"""),"Kimberly Ball")</f>
        <v>Kimberly Ball</v>
      </c>
      <c r="T5266" s="6" t="str">
        <f>IFERROR(__xludf.DUMMYFUNCTION("""COMPUTED_VALUE"""),"kimberly.ball@studient.com")</f>
        <v>kimberly.ball@studient.com</v>
      </c>
      <c r="U5266" s="6" t="str">
        <f>IFERROR(__xludf.DUMMYFUNCTION("""COMPUTED_VALUE"""),"3")</f>
        <v>3</v>
      </c>
      <c r="V5266" s="6" t="str">
        <f>IFERROR(__xludf.DUMMYFUNCTION("""COMPUTED_VALUE"""),"")</f>
        <v/>
      </c>
      <c r="W5266" s="6" t="str">
        <f>IFERROR(__xludf.DUMMYFUNCTION("""COMPUTED_VALUE"""),"[]")</f>
        <v>[]</v>
      </c>
      <c r="X5266" s="6" t="str">
        <f>IFERROR(__xludf.DUMMYFUNCTION("""COMPUTED_VALUE"""),"Enrolled")</f>
        <v>Enrolled</v>
      </c>
    </row>
    <row r="5267">
      <c r="A5267" s="6" t="str">
        <f>IFERROR(__xludf.DUMMYFUNCTION("""COMPUTED_VALUE"""),"086-12658")</f>
        <v>086-12658</v>
      </c>
      <c r="B5267" s="6" t="str">
        <f>IFERROR(__xludf.DUMMYFUNCTION("""COMPUTED_VALUE"""),"86")</f>
        <v>86</v>
      </c>
      <c r="C5267" s="6" t="str">
        <f>IFERROR(__xludf.DUMMYFUNCTION("""COMPUTED_VALUE"""),"12658")</f>
        <v>12658</v>
      </c>
      <c r="D5267" s="6" t="str">
        <f>IFERROR(__xludf.DUMMYFUNCTION("""COMPUTED_VALUE"""),"Nyla")</f>
        <v>Nyla</v>
      </c>
      <c r="E5267" s="6" t="str">
        <f>IFERROR(__xludf.DUMMYFUNCTION("""COMPUTED_VALUE"""),"")</f>
        <v/>
      </c>
      <c r="F5267" s="6" t="str">
        <f>IFERROR(__xludf.DUMMYFUNCTION("""COMPUTED_VALUE"""),"Stephens")</f>
        <v>Stephens</v>
      </c>
      <c r="G5267" s="6" t="str">
        <f>IFERROR(__xludf.DUMMYFUNCTION("""COMPUTED_VALUE"""),"07/30/2017")</f>
        <v>07/30/2017</v>
      </c>
      <c r="H5267" s="6" t="str">
        <f>IFERROR(__xludf.DUMMYFUNCTION("""COMPUTED_VALUE"""),"male")</f>
        <v>male</v>
      </c>
      <c r="I5267" s="6" t="str">
        <f>IFERROR(__xludf.DUMMYFUNCTION("""COMPUTED_VALUE"""),"Level 1")</f>
        <v>Level 1</v>
      </c>
      <c r="J5267" s="6" t="str">
        <f>IFERROR(__xludf.DUMMYFUNCTION("""COMPUTED_VALUE"""),"3")</f>
        <v>3</v>
      </c>
      <c r="K5267" s="6" t="str">
        <f>IFERROR(__xludf.DUMMYFUNCTION("""COMPUTED_VALUE"""),"nyla.stephens@2hourlearning.com")</f>
        <v>nyla.stephens@2hourlearning.com</v>
      </c>
      <c r="L5267" s="6" t="str">
        <f>IFERROR(__xludf.DUMMYFUNCTION("""COMPUTED_VALUE"""),"JRES - Ridgeland Elementary School")</f>
        <v>JRES - Ridgeland Elementary School</v>
      </c>
      <c r="M5267" s="6" t="str">
        <f>IFERROR(__xludf.DUMMYFUNCTION("""COMPUTED_VALUE"""),"")</f>
        <v/>
      </c>
      <c r="N5267" s="6" t="str">
        <f>IFERROR(__xludf.DUMMYFUNCTION("""COMPUTED_VALUE"""),"")</f>
        <v/>
      </c>
      <c r="O5267" s="87" t="str">
        <f>IFERROR(__xludf.DUMMYFUNCTION("""COMPUTED_VALUE"""),"https://drive.google.com/drive/folders/10T2cTQHqEJZqE-st6uFKPoI?usp=share_link")</f>
        <v>https://drive.google.com/drive/folders/10T2cTQHqEJZqE-st6uFKPoI?usp=share_link</v>
      </c>
      <c r="P5267" s="6" t="str">
        <f>IFERROR(__xludf.DUMMYFUNCTION("""COMPUTED_VALUE"""),"Nyla Stephens")</f>
        <v>Nyla Stephens</v>
      </c>
      <c r="Q5267" s="6" t="str">
        <f>IFERROR(__xludf.DUMMYFUNCTION("""COMPUTED_VALUE"""),"L1")</f>
        <v>L1</v>
      </c>
      <c r="R5267" s="6">
        <f>IFERROR(__xludf.DUMMYFUNCTION("""COMPUTED_VALUE"""),1.0)</f>
        <v>1</v>
      </c>
      <c r="S5267" s="6" t="str">
        <f>IFERROR(__xludf.DUMMYFUNCTION("""COMPUTED_VALUE"""),"Kimberly Ball")</f>
        <v>Kimberly Ball</v>
      </c>
      <c r="T5267" s="6" t="str">
        <f>IFERROR(__xludf.DUMMYFUNCTION("""COMPUTED_VALUE"""),"kimberly.ball@studient.com")</f>
        <v>kimberly.ball@studient.com</v>
      </c>
      <c r="U5267" s="6" t="str">
        <f>IFERROR(__xludf.DUMMYFUNCTION("""COMPUTED_VALUE"""),"3")</f>
        <v>3</v>
      </c>
      <c r="V5267" s="6" t="str">
        <f>IFERROR(__xludf.DUMMYFUNCTION("""COMPUTED_VALUE"""),"")</f>
        <v/>
      </c>
      <c r="W5267" s="6" t="str">
        <f>IFERROR(__xludf.DUMMYFUNCTION("""COMPUTED_VALUE"""),"[]")</f>
        <v>[]</v>
      </c>
      <c r="X5267" s="6" t="str">
        <f>IFERROR(__xludf.DUMMYFUNCTION("""COMPUTED_VALUE"""),"Enrolled")</f>
        <v>Enrolled</v>
      </c>
    </row>
    <row r="5268">
      <c r="A5268" s="6" t="str">
        <f>IFERROR(__xludf.DUMMYFUNCTION("""COMPUTED_VALUE"""),"086-12659")</f>
        <v>086-12659</v>
      </c>
      <c r="B5268" s="6" t="str">
        <f>IFERROR(__xludf.DUMMYFUNCTION("""COMPUTED_VALUE"""),"86")</f>
        <v>86</v>
      </c>
      <c r="C5268" s="6" t="str">
        <f>IFERROR(__xludf.DUMMYFUNCTION("""COMPUTED_VALUE"""),"12659")</f>
        <v>12659</v>
      </c>
      <c r="D5268" s="6" t="str">
        <f>IFERROR(__xludf.DUMMYFUNCTION("""COMPUTED_VALUE"""),"McKenzie")</f>
        <v>McKenzie</v>
      </c>
      <c r="E5268" s="6" t="str">
        <f>IFERROR(__xludf.DUMMYFUNCTION("""COMPUTED_VALUE"""),"")</f>
        <v/>
      </c>
      <c r="F5268" s="6" t="str">
        <f>IFERROR(__xludf.DUMMYFUNCTION("""COMPUTED_VALUE"""),"Stevenson")</f>
        <v>Stevenson</v>
      </c>
      <c r="G5268" s="6" t="str">
        <f>IFERROR(__xludf.DUMMYFUNCTION("""COMPUTED_VALUE"""),"11/19/2014")</f>
        <v>11/19/2014</v>
      </c>
      <c r="H5268" s="6" t="str">
        <f>IFERROR(__xludf.DUMMYFUNCTION("""COMPUTED_VALUE"""),"male")</f>
        <v>male</v>
      </c>
      <c r="I5268" s="6" t="str">
        <f>IFERROR(__xludf.DUMMYFUNCTION("""COMPUTED_VALUE"""),"Level 1")</f>
        <v>Level 1</v>
      </c>
      <c r="J5268" s="6" t="str">
        <f>IFERROR(__xludf.DUMMYFUNCTION("""COMPUTED_VALUE"""),"3")</f>
        <v>3</v>
      </c>
      <c r="K5268" s="6" t="str">
        <f>IFERROR(__xludf.DUMMYFUNCTION("""COMPUTED_VALUE"""),"mckenzie.stevenson@2hourlearning.com")</f>
        <v>mckenzie.stevenson@2hourlearning.com</v>
      </c>
      <c r="L5268" s="6" t="str">
        <f>IFERROR(__xludf.DUMMYFUNCTION("""COMPUTED_VALUE"""),"JRES - Ridgeland Elementary School")</f>
        <v>JRES - Ridgeland Elementary School</v>
      </c>
      <c r="M5268" s="6" t="str">
        <f>IFERROR(__xludf.DUMMYFUNCTION("""COMPUTED_VALUE"""),"")</f>
        <v/>
      </c>
      <c r="N5268" s="6" t="str">
        <f>IFERROR(__xludf.DUMMYFUNCTION("""COMPUTED_VALUE"""),"")</f>
        <v/>
      </c>
      <c r="O5268" s="87" t="str">
        <f>IFERROR(__xludf.DUMMYFUNCTION("""COMPUTED_VALUE"""),"https://drive.google.com/drive/folders/10T2cTQHqEJZqE-st6uFKPoI?usp=share_link")</f>
        <v>https://drive.google.com/drive/folders/10T2cTQHqEJZqE-st6uFKPoI?usp=share_link</v>
      </c>
      <c r="P5268" s="6" t="str">
        <f>IFERROR(__xludf.DUMMYFUNCTION("""COMPUTED_VALUE"""),"McKenzie Stevenson")</f>
        <v>McKenzie Stevenson</v>
      </c>
      <c r="Q5268" s="6" t="str">
        <f>IFERROR(__xludf.DUMMYFUNCTION("""COMPUTED_VALUE"""),"L1")</f>
        <v>L1</v>
      </c>
      <c r="R5268" s="6">
        <f>IFERROR(__xludf.DUMMYFUNCTION("""COMPUTED_VALUE"""),1.0)</f>
        <v>1</v>
      </c>
      <c r="S5268" s="6" t="str">
        <f>IFERROR(__xludf.DUMMYFUNCTION("""COMPUTED_VALUE"""),"Kimberly Ball")</f>
        <v>Kimberly Ball</v>
      </c>
      <c r="T5268" s="6" t="str">
        <f>IFERROR(__xludf.DUMMYFUNCTION("""COMPUTED_VALUE"""),"kimberly.ball@studient.com")</f>
        <v>kimberly.ball@studient.com</v>
      </c>
      <c r="U5268" s="6" t="str">
        <f>IFERROR(__xludf.DUMMYFUNCTION("""COMPUTED_VALUE"""),"3")</f>
        <v>3</v>
      </c>
      <c r="V5268" s="6" t="str">
        <f>IFERROR(__xludf.DUMMYFUNCTION("""COMPUTED_VALUE"""),"")</f>
        <v/>
      </c>
      <c r="W5268" s="6" t="str">
        <f>IFERROR(__xludf.DUMMYFUNCTION("""COMPUTED_VALUE"""),"[]")</f>
        <v>[]</v>
      </c>
      <c r="X5268" s="6" t="str">
        <f>IFERROR(__xludf.DUMMYFUNCTION("""COMPUTED_VALUE"""),"Enrolled")</f>
        <v>Enrolled</v>
      </c>
    </row>
    <row r="5269">
      <c r="A5269" s="6" t="str">
        <f>IFERROR(__xludf.DUMMYFUNCTION("""COMPUTED_VALUE"""),"086-12660")</f>
        <v>086-12660</v>
      </c>
      <c r="B5269" s="6" t="str">
        <f>IFERROR(__xludf.DUMMYFUNCTION("""COMPUTED_VALUE"""),"86")</f>
        <v>86</v>
      </c>
      <c r="C5269" s="6" t="str">
        <f>IFERROR(__xludf.DUMMYFUNCTION("""COMPUTED_VALUE"""),"12660")</f>
        <v>12660</v>
      </c>
      <c r="D5269" s="6" t="str">
        <f>IFERROR(__xludf.DUMMYFUNCTION("""COMPUTED_VALUE"""),"Lenin")</f>
        <v>Lenin</v>
      </c>
      <c r="E5269" s="6" t="str">
        <f>IFERROR(__xludf.DUMMYFUNCTION("""COMPUTED_VALUE"""),"")</f>
        <v/>
      </c>
      <c r="F5269" s="6" t="str">
        <f>IFERROR(__xludf.DUMMYFUNCTION("""COMPUTED_VALUE"""),"Tavera Hernandez")</f>
        <v>Tavera Hernandez</v>
      </c>
      <c r="G5269" s="6" t="str">
        <f>IFERROR(__xludf.DUMMYFUNCTION("""COMPUTED_VALUE"""),"07/10/2016")</f>
        <v>07/10/2016</v>
      </c>
      <c r="H5269" s="6" t="str">
        <f>IFERROR(__xludf.DUMMYFUNCTION("""COMPUTED_VALUE"""),"male")</f>
        <v>male</v>
      </c>
      <c r="I5269" s="6" t="str">
        <f>IFERROR(__xludf.DUMMYFUNCTION("""COMPUTED_VALUE"""),"Level 1")</f>
        <v>Level 1</v>
      </c>
      <c r="J5269" s="6" t="str">
        <f>IFERROR(__xludf.DUMMYFUNCTION("""COMPUTED_VALUE"""),"3")</f>
        <v>3</v>
      </c>
      <c r="K5269" s="6" t="str">
        <f>IFERROR(__xludf.DUMMYFUNCTION("""COMPUTED_VALUE"""),"lenin.taverahernandez@2hourlearning.com")</f>
        <v>lenin.taverahernandez@2hourlearning.com</v>
      </c>
      <c r="L5269" s="6" t="str">
        <f>IFERROR(__xludf.DUMMYFUNCTION("""COMPUTED_VALUE"""),"JRES - Ridgeland Elementary School")</f>
        <v>JRES - Ridgeland Elementary School</v>
      </c>
      <c r="M5269" s="6" t="str">
        <f>IFERROR(__xludf.DUMMYFUNCTION("""COMPUTED_VALUE"""),"")</f>
        <v/>
      </c>
      <c r="N5269" s="6" t="str">
        <f>IFERROR(__xludf.DUMMYFUNCTION("""COMPUTED_VALUE"""),"")</f>
        <v/>
      </c>
      <c r="O5269" s="87" t="str">
        <f>IFERROR(__xludf.DUMMYFUNCTION("""COMPUTED_VALUE"""),"https://drive.google.com/drive/folders/10T2cTQHqEJZqE-st6uFKPoI?usp=share_link")</f>
        <v>https://drive.google.com/drive/folders/10T2cTQHqEJZqE-st6uFKPoI?usp=share_link</v>
      </c>
      <c r="P5269" s="6" t="str">
        <f>IFERROR(__xludf.DUMMYFUNCTION("""COMPUTED_VALUE"""),"Lenin Tavera Hernandez")</f>
        <v>Lenin Tavera Hernandez</v>
      </c>
      <c r="Q5269" s="6" t="str">
        <f>IFERROR(__xludf.DUMMYFUNCTION("""COMPUTED_VALUE"""),"L1")</f>
        <v>L1</v>
      </c>
      <c r="R5269" s="6">
        <f>IFERROR(__xludf.DUMMYFUNCTION("""COMPUTED_VALUE"""),1.0)</f>
        <v>1</v>
      </c>
      <c r="S5269" s="6" t="str">
        <f>IFERROR(__xludf.DUMMYFUNCTION("""COMPUTED_VALUE"""),"Kimberly Ball")</f>
        <v>Kimberly Ball</v>
      </c>
      <c r="T5269" s="6" t="str">
        <f>IFERROR(__xludf.DUMMYFUNCTION("""COMPUTED_VALUE"""),"kimberly.ball@studient.com")</f>
        <v>kimberly.ball@studient.com</v>
      </c>
      <c r="U5269" s="6" t="str">
        <f>IFERROR(__xludf.DUMMYFUNCTION("""COMPUTED_VALUE"""),"3")</f>
        <v>3</v>
      </c>
      <c r="V5269" s="6" t="str">
        <f>IFERROR(__xludf.DUMMYFUNCTION("""COMPUTED_VALUE"""),"")</f>
        <v/>
      </c>
      <c r="W5269" s="6" t="str">
        <f>IFERROR(__xludf.DUMMYFUNCTION("""COMPUTED_VALUE"""),"[]")</f>
        <v>[]</v>
      </c>
      <c r="X5269" s="6" t="str">
        <f>IFERROR(__xludf.DUMMYFUNCTION("""COMPUTED_VALUE"""),"Enrolled")</f>
        <v>Enrolled</v>
      </c>
    </row>
    <row r="5270">
      <c r="A5270" s="6" t="str">
        <f>IFERROR(__xludf.DUMMYFUNCTION("""COMPUTED_VALUE"""),"086-12661")</f>
        <v>086-12661</v>
      </c>
      <c r="B5270" s="6" t="str">
        <f>IFERROR(__xludf.DUMMYFUNCTION("""COMPUTED_VALUE"""),"86")</f>
        <v>86</v>
      </c>
      <c r="C5270" s="6" t="str">
        <f>IFERROR(__xludf.DUMMYFUNCTION("""COMPUTED_VALUE"""),"12661")</f>
        <v>12661</v>
      </c>
      <c r="D5270" s="6" t="str">
        <f>IFERROR(__xludf.DUMMYFUNCTION("""COMPUTED_VALUE"""),"Tyrese")</f>
        <v>Tyrese</v>
      </c>
      <c r="E5270" s="6" t="str">
        <f>IFERROR(__xludf.DUMMYFUNCTION("""COMPUTED_VALUE"""),"")</f>
        <v/>
      </c>
      <c r="F5270" s="6" t="str">
        <f>IFERROR(__xludf.DUMMYFUNCTION("""COMPUTED_VALUE"""),"Taylor")</f>
        <v>Taylor</v>
      </c>
      <c r="G5270" s="6" t="str">
        <f>IFERROR(__xludf.DUMMYFUNCTION("""COMPUTED_VALUE"""),"04/28/2017")</f>
        <v>04/28/2017</v>
      </c>
      <c r="H5270" s="6" t="str">
        <f>IFERROR(__xludf.DUMMYFUNCTION("""COMPUTED_VALUE"""),"male")</f>
        <v>male</v>
      </c>
      <c r="I5270" s="6" t="str">
        <f>IFERROR(__xludf.DUMMYFUNCTION("""COMPUTED_VALUE"""),"Level 1")</f>
        <v>Level 1</v>
      </c>
      <c r="J5270" s="6" t="str">
        <f>IFERROR(__xludf.DUMMYFUNCTION("""COMPUTED_VALUE"""),"3")</f>
        <v>3</v>
      </c>
      <c r="K5270" s="6" t="str">
        <f>IFERROR(__xludf.DUMMYFUNCTION("""COMPUTED_VALUE"""),"tyrese.taylor@2hourlearning.com")</f>
        <v>tyrese.taylor@2hourlearning.com</v>
      </c>
      <c r="L5270" s="6" t="str">
        <f>IFERROR(__xludf.DUMMYFUNCTION("""COMPUTED_VALUE"""),"JRES - Ridgeland Elementary School")</f>
        <v>JRES - Ridgeland Elementary School</v>
      </c>
      <c r="M5270" s="6" t="str">
        <f>IFERROR(__xludf.DUMMYFUNCTION("""COMPUTED_VALUE"""),"")</f>
        <v/>
      </c>
      <c r="N5270" s="6" t="str">
        <f>IFERROR(__xludf.DUMMYFUNCTION("""COMPUTED_VALUE"""),"")</f>
        <v/>
      </c>
      <c r="O5270" s="87" t="str">
        <f>IFERROR(__xludf.DUMMYFUNCTION("""COMPUTED_VALUE"""),"https://drive.google.com/drive/folders/10T2cTQHqEJZqE-st6uFKPoI?usp=share_link")</f>
        <v>https://drive.google.com/drive/folders/10T2cTQHqEJZqE-st6uFKPoI?usp=share_link</v>
      </c>
      <c r="P5270" s="6" t="str">
        <f>IFERROR(__xludf.DUMMYFUNCTION("""COMPUTED_VALUE"""),"Tyrese Taylor")</f>
        <v>Tyrese Taylor</v>
      </c>
      <c r="Q5270" s="6" t="str">
        <f>IFERROR(__xludf.DUMMYFUNCTION("""COMPUTED_VALUE"""),"L1")</f>
        <v>L1</v>
      </c>
      <c r="R5270" s="6">
        <f>IFERROR(__xludf.DUMMYFUNCTION("""COMPUTED_VALUE"""),1.0)</f>
        <v>1</v>
      </c>
      <c r="S5270" s="6" t="str">
        <f>IFERROR(__xludf.DUMMYFUNCTION("""COMPUTED_VALUE"""),"Kimberly Ball")</f>
        <v>Kimberly Ball</v>
      </c>
      <c r="T5270" s="6" t="str">
        <f>IFERROR(__xludf.DUMMYFUNCTION("""COMPUTED_VALUE"""),"kimberly.ball@studient.com")</f>
        <v>kimberly.ball@studient.com</v>
      </c>
      <c r="U5270" s="6" t="str">
        <f>IFERROR(__xludf.DUMMYFUNCTION("""COMPUTED_VALUE"""),"3")</f>
        <v>3</v>
      </c>
      <c r="V5270" s="6" t="str">
        <f>IFERROR(__xludf.DUMMYFUNCTION("""COMPUTED_VALUE"""),"")</f>
        <v/>
      </c>
      <c r="W5270" s="6" t="str">
        <f>IFERROR(__xludf.DUMMYFUNCTION("""COMPUTED_VALUE"""),"[]")</f>
        <v>[]</v>
      </c>
      <c r="X5270" s="6" t="str">
        <f>IFERROR(__xludf.DUMMYFUNCTION("""COMPUTED_VALUE"""),"Enrolled")</f>
        <v>Enrolled</v>
      </c>
    </row>
    <row r="5271">
      <c r="A5271" s="6" t="str">
        <f>IFERROR(__xludf.DUMMYFUNCTION("""COMPUTED_VALUE"""),"086-12662")</f>
        <v>086-12662</v>
      </c>
      <c r="B5271" s="6" t="str">
        <f>IFERROR(__xludf.DUMMYFUNCTION("""COMPUTED_VALUE"""),"86")</f>
        <v>86</v>
      </c>
      <c r="C5271" s="6" t="str">
        <f>IFERROR(__xludf.DUMMYFUNCTION("""COMPUTED_VALUE"""),"12662")</f>
        <v>12662</v>
      </c>
      <c r="D5271" s="6" t="str">
        <f>IFERROR(__xludf.DUMMYFUNCTION("""COMPUTED_VALUE"""),"Joshuan")</f>
        <v>Joshuan</v>
      </c>
      <c r="E5271" s="6" t="str">
        <f>IFERROR(__xludf.DUMMYFUNCTION("""COMPUTED_VALUE"""),"")</f>
        <v/>
      </c>
      <c r="F5271" s="6" t="str">
        <f>IFERROR(__xludf.DUMMYFUNCTION("""COMPUTED_VALUE"""),"Tolentino Baltazar")</f>
        <v>Tolentino Baltazar</v>
      </c>
      <c r="G5271" s="6" t="str">
        <f>IFERROR(__xludf.DUMMYFUNCTION("""COMPUTED_VALUE"""),"05/19/2017")</f>
        <v>05/19/2017</v>
      </c>
      <c r="H5271" s="6" t="str">
        <f>IFERROR(__xludf.DUMMYFUNCTION("""COMPUTED_VALUE"""),"female")</f>
        <v>female</v>
      </c>
      <c r="I5271" s="6" t="str">
        <f>IFERROR(__xludf.DUMMYFUNCTION("""COMPUTED_VALUE"""),"Level 1")</f>
        <v>Level 1</v>
      </c>
      <c r="J5271" s="6" t="str">
        <f>IFERROR(__xludf.DUMMYFUNCTION("""COMPUTED_VALUE"""),"3")</f>
        <v>3</v>
      </c>
      <c r="K5271" s="6" t="str">
        <f>IFERROR(__xludf.DUMMYFUNCTION("""COMPUTED_VALUE"""),"joshuan.tolentinobaltazar@2hourlearning.com")</f>
        <v>joshuan.tolentinobaltazar@2hourlearning.com</v>
      </c>
      <c r="L5271" s="6" t="str">
        <f>IFERROR(__xludf.DUMMYFUNCTION("""COMPUTED_VALUE"""),"JRES - Ridgeland Elementary School")</f>
        <v>JRES - Ridgeland Elementary School</v>
      </c>
      <c r="M5271" s="6" t="str">
        <f>IFERROR(__xludf.DUMMYFUNCTION("""COMPUTED_VALUE"""),"")</f>
        <v/>
      </c>
      <c r="N5271" s="6" t="str">
        <f>IFERROR(__xludf.DUMMYFUNCTION("""COMPUTED_VALUE"""),"")</f>
        <v/>
      </c>
      <c r="O5271" s="87" t="str">
        <f>IFERROR(__xludf.DUMMYFUNCTION("""COMPUTED_VALUE"""),"https://drive.google.com/drive/folders/10T2cTQHqEJZqE-st6uFKPoI?usp=share_link")</f>
        <v>https://drive.google.com/drive/folders/10T2cTQHqEJZqE-st6uFKPoI?usp=share_link</v>
      </c>
      <c r="P5271" s="6" t="str">
        <f>IFERROR(__xludf.DUMMYFUNCTION("""COMPUTED_VALUE"""),"Joshuan Tolentino Baltazar")</f>
        <v>Joshuan Tolentino Baltazar</v>
      </c>
      <c r="Q5271" s="6" t="str">
        <f>IFERROR(__xludf.DUMMYFUNCTION("""COMPUTED_VALUE"""),"L1")</f>
        <v>L1</v>
      </c>
      <c r="R5271" s="6">
        <f>IFERROR(__xludf.DUMMYFUNCTION("""COMPUTED_VALUE"""),1.0)</f>
        <v>1</v>
      </c>
      <c r="S5271" s="6" t="str">
        <f>IFERROR(__xludf.DUMMYFUNCTION("""COMPUTED_VALUE"""),"Kimberly Ball")</f>
        <v>Kimberly Ball</v>
      </c>
      <c r="T5271" s="6" t="str">
        <f>IFERROR(__xludf.DUMMYFUNCTION("""COMPUTED_VALUE"""),"kimberly.ball@studient.com")</f>
        <v>kimberly.ball@studient.com</v>
      </c>
      <c r="U5271" s="6" t="str">
        <f>IFERROR(__xludf.DUMMYFUNCTION("""COMPUTED_VALUE"""),"3")</f>
        <v>3</v>
      </c>
      <c r="V5271" s="6" t="str">
        <f>IFERROR(__xludf.DUMMYFUNCTION("""COMPUTED_VALUE"""),"")</f>
        <v/>
      </c>
      <c r="W5271" s="6" t="str">
        <f>IFERROR(__xludf.DUMMYFUNCTION("""COMPUTED_VALUE"""),"[]")</f>
        <v>[]</v>
      </c>
      <c r="X5271" s="6" t="str">
        <f>IFERROR(__xludf.DUMMYFUNCTION("""COMPUTED_VALUE"""),"Enrolled")</f>
        <v>Enrolled</v>
      </c>
    </row>
    <row r="5272">
      <c r="A5272" s="6" t="str">
        <f>IFERROR(__xludf.DUMMYFUNCTION("""COMPUTED_VALUE"""),"086-12663")</f>
        <v>086-12663</v>
      </c>
      <c r="B5272" s="6" t="str">
        <f>IFERROR(__xludf.DUMMYFUNCTION("""COMPUTED_VALUE"""),"86")</f>
        <v>86</v>
      </c>
      <c r="C5272" s="6" t="str">
        <f>IFERROR(__xludf.DUMMYFUNCTION("""COMPUTED_VALUE"""),"12663")</f>
        <v>12663</v>
      </c>
      <c r="D5272" s="6" t="str">
        <f>IFERROR(__xludf.DUMMYFUNCTION("""COMPUTED_VALUE"""),"Oliber")</f>
        <v>Oliber</v>
      </c>
      <c r="E5272" s="6" t="str">
        <f>IFERROR(__xludf.DUMMYFUNCTION("""COMPUTED_VALUE"""),"")</f>
        <v/>
      </c>
      <c r="F5272" s="6" t="str">
        <f>IFERROR(__xludf.DUMMYFUNCTION("""COMPUTED_VALUE"""),"Trejo Gonzalez")</f>
        <v>Trejo Gonzalez</v>
      </c>
      <c r="G5272" s="6" t="str">
        <f>IFERROR(__xludf.DUMMYFUNCTION("""COMPUTED_VALUE"""),"12/12/2016")</f>
        <v>12/12/2016</v>
      </c>
      <c r="H5272" s="6" t="str">
        <f>IFERROR(__xludf.DUMMYFUNCTION("""COMPUTED_VALUE"""),"male")</f>
        <v>male</v>
      </c>
      <c r="I5272" s="6" t="str">
        <f>IFERROR(__xludf.DUMMYFUNCTION("""COMPUTED_VALUE"""),"Level 1")</f>
        <v>Level 1</v>
      </c>
      <c r="J5272" s="6" t="str">
        <f>IFERROR(__xludf.DUMMYFUNCTION("""COMPUTED_VALUE"""),"3")</f>
        <v>3</v>
      </c>
      <c r="K5272" s="6" t="str">
        <f>IFERROR(__xludf.DUMMYFUNCTION("""COMPUTED_VALUE"""),"oliber.trejogonzalez@2hourlearning.com")</f>
        <v>oliber.trejogonzalez@2hourlearning.com</v>
      </c>
      <c r="L5272" s="6" t="str">
        <f>IFERROR(__xludf.DUMMYFUNCTION("""COMPUTED_VALUE"""),"JRES - Ridgeland Elementary School")</f>
        <v>JRES - Ridgeland Elementary School</v>
      </c>
      <c r="M5272" s="6" t="str">
        <f>IFERROR(__xludf.DUMMYFUNCTION("""COMPUTED_VALUE"""),"")</f>
        <v/>
      </c>
      <c r="N5272" s="6" t="str">
        <f>IFERROR(__xludf.DUMMYFUNCTION("""COMPUTED_VALUE"""),"")</f>
        <v/>
      </c>
      <c r="O5272" s="87" t="str">
        <f>IFERROR(__xludf.DUMMYFUNCTION("""COMPUTED_VALUE"""),"https://drive.google.com/drive/folders/10T2cTQHqEJZqE-st6uFKPoI?usp=share_link")</f>
        <v>https://drive.google.com/drive/folders/10T2cTQHqEJZqE-st6uFKPoI?usp=share_link</v>
      </c>
      <c r="P5272" s="6" t="str">
        <f>IFERROR(__xludf.DUMMYFUNCTION("""COMPUTED_VALUE"""),"Oliber Trejo Gonzalez")</f>
        <v>Oliber Trejo Gonzalez</v>
      </c>
      <c r="Q5272" s="6" t="str">
        <f>IFERROR(__xludf.DUMMYFUNCTION("""COMPUTED_VALUE"""),"L1")</f>
        <v>L1</v>
      </c>
      <c r="R5272" s="6">
        <f>IFERROR(__xludf.DUMMYFUNCTION("""COMPUTED_VALUE"""),1.0)</f>
        <v>1</v>
      </c>
      <c r="S5272" s="6" t="str">
        <f>IFERROR(__xludf.DUMMYFUNCTION("""COMPUTED_VALUE"""),"Kimberly Ball")</f>
        <v>Kimberly Ball</v>
      </c>
      <c r="T5272" s="6" t="str">
        <f>IFERROR(__xludf.DUMMYFUNCTION("""COMPUTED_VALUE"""),"kimberly.ball@studient.com")</f>
        <v>kimberly.ball@studient.com</v>
      </c>
      <c r="U5272" s="6" t="str">
        <f>IFERROR(__xludf.DUMMYFUNCTION("""COMPUTED_VALUE"""),"3")</f>
        <v>3</v>
      </c>
      <c r="V5272" s="6" t="str">
        <f>IFERROR(__xludf.DUMMYFUNCTION("""COMPUTED_VALUE"""),"")</f>
        <v/>
      </c>
      <c r="W5272" s="6" t="str">
        <f>IFERROR(__xludf.DUMMYFUNCTION("""COMPUTED_VALUE"""),"[]")</f>
        <v>[]</v>
      </c>
      <c r="X5272" s="6" t="str">
        <f>IFERROR(__xludf.DUMMYFUNCTION("""COMPUTED_VALUE"""),"Enrolled")</f>
        <v>Enrolled</v>
      </c>
    </row>
    <row r="5273">
      <c r="A5273" s="6" t="str">
        <f>IFERROR(__xludf.DUMMYFUNCTION("""COMPUTED_VALUE"""),"086-12664")</f>
        <v>086-12664</v>
      </c>
      <c r="B5273" s="6" t="str">
        <f>IFERROR(__xludf.DUMMYFUNCTION("""COMPUTED_VALUE"""),"86")</f>
        <v>86</v>
      </c>
      <c r="C5273" s="6" t="str">
        <f>IFERROR(__xludf.DUMMYFUNCTION("""COMPUTED_VALUE"""),"12664")</f>
        <v>12664</v>
      </c>
      <c r="D5273" s="6" t="str">
        <f>IFERROR(__xludf.DUMMYFUNCTION("""COMPUTED_VALUE"""),"Fernando")</f>
        <v>Fernando</v>
      </c>
      <c r="E5273" s="6" t="str">
        <f>IFERROR(__xludf.DUMMYFUNCTION("""COMPUTED_VALUE"""),"")</f>
        <v/>
      </c>
      <c r="F5273" s="6" t="str">
        <f>IFERROR(__xludf.DUMMYFUNCTION("""COMPUTED_VALUE"""),"Trujillo Perez")</f>
        <v>Trujillo Perez</v>
      </c>
      <c r="G5273" s="6" t="str">
        <f>IFERROR(__xludf.DUMMYFUNCTION("""COMPUTED_VALUE"""),"12/18/2017")</f>
        <v>12/18/2017</v>
      </c>
      <c r="H5273" s="6" t="str">
        <f>IFERROR(__xludf.DUMMYFUNCTION("""COMPUTED_VALUE"""),"female")</f>
        <v>female</v>
      </c>
      <c r="I5273" s="6" t="str">
        <f>IFERROR(__xludf.DUMMYFUNCTION("""COMPUTED_VALUE"""),"Level 1")</f>
        <v>Level 1</v>
      </c>
      <c r="J5273" s="6" t="str">
        <f>IFERROR(__xludf.DUMMYFUNCTION("""COMPUTED_VALUE"""),"3")</f>
        <v>3</v>
      </c>
      <c r="K5273" s="6" t="str">
        <f>IFERROR(__xludf.DUMMYFUNCTION("""COMPUTED_VALUE"""),"fernando.trujilloperez@2hourlearning.com")</f>
        <v>fernando.trujilloperez@2hourlearning.com</v>
      </c>
      <c r="L5273" s="6" t="str">
        <f>IFERROR(__xludf.DUMMYFUNCTION("""COMPUTED_VALUE"""),"JRES - Ridgeland Elementary School")</f>
        <v>JRES - Ridgeland Elementary School</v>
      </c>
      <c r="M5273" s="6" t="str">
        <f>IFERROR(__xludf.DUMMYFUNCTION("""COMPUTED_VALUE"""),"")</f>
        <v/>
      </c>
      <c r="N5273" s="6" t="str">
        <f>IFERROR(__xludf.DUMMYFUNCTION("""COMPUTED_VALUE"""),"")</f>
        <v/>
      </c>
      <c r="O5273" s="87" t="str">
        <f>IFERROR(__xludf.DUMMYFUNCTION("""COMPUTED_VALUE"""),"https://drive.google.com/drive/folders/10T2cTQHqEJZqE-st6uFKPoI?usp=share_link")</f>
        <v>https://drive.google.com/drive/folders/10T2cTQHqEJZqE-st6uFKPoI?usp=share_link</v>
      </c>
      <c r="P5273" s="6" t="str">
        <f>IFERROR(__xludf.DUMMYFUNCTION("""COMPUTED_VALUE"""),"Fernando Trujillo Perez")</f>
        <v>Fernando Trujillo Perez</v>
      </c>
      <c r="Q5273" s="6" t="str">
        <f>IFERROR(__xludf.DUMMYFUNCTION("""COMPUTED_VALUE"""),"L1")</f>
        <v>L1</v>
      </c>
      <c r="R5273" s="6">
        <f>IFERROR(__xludf.DUMMYFUNCTION("""COMPUTED_VALUE"""),1.0)</f>
        <v>1</v>
      </c>
      <c r="S5273" s="6" t="str">
        <f>IFERROR(__xludf.DUMMYFUNCTION("""COMPUTED_VALUE"""),"Kimberly Ball")</f>
        <v>Kimberly Ball</v>
      </c>
      <c r="T5273" s="6" t="str">
        <f>IFERROR(__xludf.DUMMYFUNCTION("""COMPUTED_VALUE"""),"kimberly.ball@studient.com")</f>
        <v>kimberly.ball@studient.com</v>
      </c>
      <c r="U5273" s="6" t="str">
        <f>IFERROR(__xludf.DUMMYFUNCTION("""COMPUTED_VALUE"""),"3")</f>
        <v>3</v>
      </c>
      <c r="V5273" s="6" t="str">
        <f>IFERROR(__xludf.DUMMYFUNCTION("""COMPUTED_VALUE"""),"")</f>
        <v/>
      </c>
      <c r="W5273" s="6" t="str">
        <f>IFERROR(__xludf.DUMMYFUNCTION("""COMPUTED_VALUE"""),"[]")</f>
        <v>[]</v>
      </c>
      <c r="X5273" s="6" t="str">
        <f>IFERROR(__xludf.DUMMYFUNCTION("""COMPUTED_VALUE"""),"Enrolled")</f>
        <v>Enrolled</v>
      </c>
    </row>
    <row r="5274">
      <c r="A5274" s="6" t="str">
        <f>IFERROR(__xludf.DUMMYFUNCTION("""COMPUTED_VALUE"""),"086-12665")</f>
        <v>086-12665</v>
      </c>
      <c r="B5274" s="6" t="str">
        <f>IFERROR(__xludf.DUMMYFUNCTION("""COMPUTED_VALUE"""),"86")</f>
        <v>86</v>
      </c>
      <c r="C5274" s="6" t="str">
        <f>IFERROR(__xludf.DUMMYFUNCTION("""COMPUTED_VALUE"""),"12665")</f>
        <v>12665</v>
      </c>
      <c r="D5274" s="6" t="str">
        <f>IFERROR(__xludf.DUMMYFUNCTION("""COMPUTED_VALUE"""),"Ashly")</f>
        <v>Ashly</v>
      </c>
      <c r="E5274" s="6" t="str">
        <f>IFERROR(__xludf.DUMMYFUNCTION("""COMPUTED_VALUE"""),"")</f>
        <v/>
      </c>
      <c r="F5274" s="6" t="str">
        <f>IFERROR(__xludf.DUMMYFUNCTION("""COMPUTED_VALUE"""),"Vasquez Munguia")</f>
        <v>Vasquez Munguia</v>
      </c>
      <c r="G5274" s="6" t="str">
        <f>IFERROR(__xludf.DUMMYFUNCTION("""COMPUTED_VALUE"""),"01/29/2015")</f>
        <v>01/29/2015</v>
      </c>
      <c r="H5274" s="6" t="str">
        <f>IFERROR(__xludf.DUMMYFUNCTION("""COMPUTED_VALUE"""),"male")</f>
        <v>male</v>
      </c>
      <c r="I5274" s="6" t="str">
        <f>IFERROR(__xludf.DUMMYFUNCTION("""COMPUTED_VALUE"""),"Level 1")</f>
        <v>Level 1</v>
      </c>
      <c r="J5274" s="6" t="str">
        <f>IFERROR(__xludf.DUMMYFUNCTION("""COMPUTED_VALUE"""),"3")</f>
        <v>3</v>
      </c>
      <c r="K5274" s="6" t="str">
        <f>IFERROR(__xludf.DUMMYFUNCTION("""COMPUTED_VALUE"""),"ashly.vasquezmunguia@2hourlearning.com")</f>
        <v>ashly.vasquezmunguia@2hourlearning.com</v>
      </c>
      <c r="L5274" s="6" t="str">
        <f>IFERROR(__xludf.DUMMYFUNCTION("""COMPUTED_VALUE"""),"JRES - Ridgeland Elementary School")</f>
        <v>JRES - Ridgeland Elementary School</v>
      </c>
      <c r="M5274" s="6" t="str">
        <f>IFERROR(__xludf.DUMMYFUNCTION("""COMPUTED_VALUE"""),"")</f>
        <v/>
      </c>
      <c r="N5274" s="6" t="str">
        <f>IFERROR(__xludf.DUMMYFUNCTION("""COMPUTED_VALUE"""),"")</f>
        <v/>
      </c>
      <c r="O5274" s="87" t="str">
        <f>IFERROR(__xludf.DUMMYFUNCTION("""COMPUTED_VALUE"""),"https://drive.google.com/drive/folders/10T2cTQHqEJZqE-st6uFKPoI?usp=share_link")</f>
        <v>https://drive.google.com/drive/folders/10T2cTQHqEJZqE-st6uFKPoI?usp=share_link</v>
      </c>
      <c r="P5274" s="6" t="str">
        <f>IFERROR(__xludf.DUMMYFUNCTION("""COMPUTED_VALUE"""),"Ashly Vasquez Munguia")</f>
        <v>Ashly Vasquez Munguia</v>
      </c>
      <c r="Q5274" s="6" t="str">
        <f>IFERROR(__xludf.DUMMYFUNCTION("""COMPUTED_VALUE"""),"L1")</f>
        <v>L1</v>
      </c>
      <c r="R5274" s="6">
        <f>IFERROR(__xludf.DUMMYFUNCTION("""COMPUTED_VALUE"""),1.0)</f>
        <v>1</v>
      </c>
      <c r="S5274" s="6" t="str">
        <f>IFERROR(__xludf.DUMMYFUNCTION("""COMPUTED_VALUE"""),"Kimberly Ball")</f>
        <v>Kimberly Ball</v>
      </c>
      <c r="T5274" s="6" t="str">
        <f>IFERROR(__xludf.DUMMYFUNCTION("""COMPUTED_VALUE"""),"kimberly.ball@studient.com")</f>
        <v>kimberly.ball@studient.com</v>
      </c>
      <c r="U5274" s="6" t="str">
        <f>IFERROR(__xludf.DUMMYFUNCTION("""COMPUTED_VALUE"""),"3")</f>
        <v>3</v>
      </c>
      <c r="V5274" s="6" t="str">
        <f>IFERROR(__xludf.DUMMYFUNCTION("""COMPUTED_VALUE"""),"")</f>
        <v/>
      </c>
      <c r="W5274" s="6" t="str">
        <f>IFERROR(__xludf.DUMMYFUNCTION("""COMPUTED_VALUE"""),"[]")</f>
        <v>[]</v>
      </c>
      <c r="X5274" s="6" t="str">
        <f>IFERROR(__xludf.DUMMYFUNCTION("""COMPUTED_VALUE"""),"Enrolled")</f>
        <v>Enrolled</v>
      </c>
    </row>
    <row r="5275">
      <c r="A5275" s="6" t="str">
        <f>IFERROR(__xludf.DUMMYFUNCTION("""COMPUTED_VALUE"""),"086-12666")</f>
        <v>086-12666</v>
      </c>
      <c r="B5275" s="6" t="str">
        <f>IFERROR(__xludf.DUMMYFUNCTION("""COMPUTED_VALUE"""),"86")</f>
        <v>86</v>
      </c>
      <c r="C5275" s="6" t="str">
        <f>IFERROR(__xludf.DUMMYFUNCTION("""COMPUTED_VALUE"""),"12666")</f>
        <v>12666</v>
      </c>
      <c r="D5275" s="6" t="str">
        <f>IFERROR(__xludf.DUMMYFUNCTION("""COMPUTED_VALUE"""),"Ashley")</f>
        <v>Ashley</v>
      </c>
      <c r="E5275" s="6" t="str">
        <f>IFERROR(__xludf.DUMMYFUNCTION("""COMPUTED_VALUE"""),"")</f>
        <v/>
      </c>
      <c r="F5275" s="6" t="str">
        <f>IFERROR(__xludf.DUMMYFUNCTION("""COMPUTED_VALUE"""),"Villanueva Perez")</f>
        <v>Villanueva Perez</v>
      </c>
      <c r="G5275" s="6" t="str">
        <f>IFERROR(__xludf.DUMMYFUNCTION("""COMPUTED_VALUE"""),"11/21/2014")</f>
        <v>11/21/2014</v>
      </c>
      <c r="H5275" s="6" t="str">
        <f>IFERROR(__xludf.DUMMYFUNCTION("""COMPUTED_VALUE"""),"male")</f>
        <v>male</v>
      </c>
      <c r="I5275" s="6" t="str">
        <f>IFERROR(__xludf.DUMMYFUNCTION("""COMPUTED_VALUE"""),"Level 1")</f>
        <v>Level 1</v>
      </c>
      <c r="J5275" s="6" t="str">
        <f>IFERROR(__xludf.DUMMYFUNCTION("""COMPUTED_VALUE"""),"3")</f>
        <v>3</v>
      </c>
      <c r="K5275" s="6" t="str">
        <f>IFERROR(__xludf.DUMMYFUNCTION("""COMPUTED_VALUE"""),"ashley.villanuevaperez@2hourlearning.com")</f>
        <v>ashley.villanuevaperez@2hourlearning.com</v>
      </c>
      <c r="L5275" s="6" t="str">
        <f>IFERROR(__xludf.DUMMYFUNCTION("""COMPUTED_VALUE"""),"JRES - Ridgeland Elementary School")</f>
        <v>JRES - Ridgeland Elementary School</v>
      </c>
      <c r="M5275" s="6" t="str">
        <f>IFERROR(__xludf.DUMMYFUNCTION("""COMPUTED_VALUE"""),"")</f>
        <v/>
      </c>
      <c r="N5275" s="6" t="str">
        <f>IFERROR(__xludf.DUMMYFUNCTION("""COMPUTED_VALUE"""),"")</f>
        <v/>
      </c>
      <c r="O5275" s="87" t="str">
        <f>IFERROR(__xludf.DUMMYFUNCTION("""COMPUTED_VALUE"""),"https://drive.google.com/drive/folders/10T2cTQHqEJZqE-st6uFKPoI?usp=share_link")</f>
        <v>https://drive.google.com/drive/folders/10T2cTQHqEJZqE-st6uFKPoI?usp=share_link</v>
      </c>
      <c r="P5275" s="6" t="str">
        <f>IFERROR(__xludf.DUMMYFUNCTION("""COMPUTED_VALUE"""),"Ashley Villanueva Perez")</f>
        <v>Ashley Villanueva Perez</v>
      </c>
      <c r="Q5275" s="6" t="str">
        <f>IFERROR(__xludf.DUMMYFUNCTION("""COMPUTED_VALUE"""),"L1")</f>
        <v>L1</v>
      </c>
      <c r="R5275" s="6">
        <f>IFERROR(__xludf.DUMMYFUNCTION("""COMPUTED_VALUE"""),1.0)</f>
        <v>1</v>
      </c>
      <c r="S5275" s="6" t="str">
        <f>IFERROR(__xludf.DUMMYFUNCTION("""COMPUTED_VALUE"""),"Kimberly Ball")</f>
        <v>Kimberly Ball</v>
      </c>
      <c r="T5275" s="6" t="str">
        <f>IFERROR(__xludf.DUMMYFUNCTION("""COMPUTED_VALUE"""),"kimberly.ball@studient.com")</f>
        <v>kimberly.ball@studient.com</v>
      </c>
      <c r="U5275" s="6" t="str">
        <f>IFERROR(__xludf.DUMMYFUNCTION("""COMPUTED_VALUE"""),"3")</f>
        <v>3</v>
      </c>
      <c r="V5275" s="6" t="str">
        <f>IFERROR(__xludf.DUMMYFUNCTION("""COMPUTED_VALUE"""),"")</f>
        <v/>
      </c>
      <c r="W5275" s="6" t="str">
        <f>IFERROR(__xludf.DUMMYFUNCTION("""COMPUTED_VALUE"""),"[]")</f>
        <v>[]</v>
      </c>
      <c r="X5275" s="6" t="str">
        <f>IFERROR(__xludf.DUMMYFUNCTION("""COMPUTED_VALUE"""),"Enrolled")</f>
        <v>Enrolled</v>
      </c>
    </row>
    <row r="5276">
      <c r="A5276" s="6" t="str">
        <f>IFERROR(__xludf.DUMMYFUNCTION("""COMPUTED_VALUE"""),"086-12667")</f>
        <v>086-12667</v>
      </c>
      <c r="B5276" s="6" t="str">
        <f>IFERROR(__xludf.DUMMYFUNCTION("""COMPUTED_VALUE"""),"86")</f>
        <v>86</v>
      </c>
      <c r="C5276" s="6" t="str">
        <f>IFERROR(__xludf.DUMMYFUNCTION("""COMPUTED_VALUE"""),"12667")</f>
        <v>12667</v>
      </c>
      <c r="D5276" s="6" t="str">
        <f>IFERROR(__xludf.DUMMYFUNCTION("""COMPUTED_VALUE"""),"Christian")</f>
        <v>Christian</v>
      </c>
      <c r="E5276" s="6" t="str">
        <f>IFERROR(__xludf.DUMMYFUNCTION("""COMPUTED_VALUE"""),"")</f>
        <v/>
      </c>
      <c r="F5276" s="6" t="str">
        <f>IFERROR(__xludf.DUMMYFUNCTION("""COMPUTED_VALUE"""),"Villegas Gomez")</f>
        <v>Villegas Gomez</v>
      </c>
      <c r="G5276" s="6" t="str">
        <f>IFERROR(__xludf.DUMMYFUNCTION("""COMPUTED_VALUE"""),"02/06/2015")</f>
        <v>02/06/2015</v>
      </c>
      <c r="H5276" s="6" t="str">
        <f>IFERROR(__xludf.DUMMYFUNCTION("""COMPUTED_VALUE"""),"male")</f>
        <v>male</v>
      </c>
      <c r="I5276" s="6" t="str">
        <f>IFERROR(__xludf.DUMMYFUNCTION("""COMPUTED_VALUE"""),"Level 1")</f>
        <v>Level 1</v>
      </c>
      <c r="J5276" s="6" t="str">
        <f>IFERROR(__xludf.DUMMYFUNCTION("""COMPUTED_VALUE"""),"3")</f>
        <v>3</v>
      </c>
      <c r="K5276" s="6" t="str">
        <f>IFERROR(__xludf.DUMMYFUNCTION("""COMPUTED_VALUE"""),"christian.villegasgomez@2hourlearning.com")</f>
        <v>christian.villegasgomez@2hourlearning.com</v>
      </c>
      <c r="L5276" s="6" t="str">
        <f>IFERROR(__xludf.DUMMYFUNCTION("""COMPUTED_VALUE"""),"JRES - Ridgeland Elementary School")</f>
        <v>JRES - Ridgeland Elementary School</v>
      </c>
      <c r="M5276" s="6" t="str">
        <f>IFERROR(__xludf.DUMMYFUNCTION("""COMPUTED_VALUE"""),"")</f>
        <v/>
      </c>
      <c r="N5276" s="6" t="str">
        <f>IFERROR(__xludf.DUMMYFUNCTION("""COMPUTED_VALUE"""),"")</f>
        <v/>
      </c>
      <c r="O5276" s="87" t="str">
        <f>IFERROR(__xludf.DUMMYFUNCTION("""COMPUTED_VALUE"""),"https://drive.google.com/drive/folders/10T2cTQHqEJZqE-st6uFKPoI?usp=share_link")</f>
        <v>https://drive.google.com/drive/folders/10T2cTQHqEJZqE-st6uFKPoI?usp=share_link</v>
      </c>
      <c r="P5276" s="6" t="str">
        <f>IFERROR(__xludf.DUMMYFUNCTION("""COMPUTED_VALUE"""),"Christian Villegas Gomez")</f>
        <v>Christian Villegas Gomez</v>
      </c>
      <c r="Q5276" s="6" t="str">
        <f>IFERROR(__xludf.DUMMYFUNCTION("""COMPUTED_VALUE"""),"L1")</f>
        <v>L1</v>
      </c>
      <c r="R5276" s="6">
        <f>IFERROR(__xludf.DUMMYFUNCTION("""COMPUTED_VALUE"""),1.0)</f>
        <v>1</v>
      </c>
      <c r="S5276" s="6" t="str">
        <f>IFERROR(__xludf.DUMMYFUNCTION("""COMPUTED_VALUE"""),"Kimberly Ball")</f>
        <v>Kimberly Ball</v>
      </c>
      <c r="T5276" s="6" t="str">
        <f>IFERROR(__xludf.DUMMYFUNCTION("""COMPUTED_VALUE"""),"kimberly.ball@studient.com")</f>
        <v>kimberly.ball@studient.com</v>
      </c>
      <c r="U5276" s="6" t="str">
        <f>IFERROR(__xludf.DUMMYFUNCTION("""COMPUTED_VALUE"""),"3")</f>
        <v>3</v>
      </c>
      <c r="V5276" s="6" t="str">
        <f>IFERROR(__xludf.DUMMYFUNCTION("""COMPUTED_VALUE"""),"")</f>
        <v/>
      </c>
      <c r="W5276" s="6" t="str">
        <f>IFERROR(__xludf.DUMMYFUNCTION("""COMPUTED_VALUE"""),"[]")</f>
        <v>[]</v>
      </c>
      <c r="X5276" s="6" t="str">
        <f>IFERROR(__xludf.DUMMYFUNCTION("""COMPUTED_VALUE"""),"Enrolled")</f>
        <v>Enrolled</v>
      </c>
    </row>
    <row r="5277">
      <c r="A5277" s="6" t="str">
        <f>IFERROR(__xludf.DUMMYFUNCTION("""COMPUTED_VALUE"""),"086-12668")</f>
        <v>086-12668</v>
      </c>
      <c r="B5277" s="6" t="str">
        <f>IFERROR(__xludf.DUMMYFUNCTION("""COMPUTED_VALUE"""),"86")</f>
        <v>86</v>
      </c>
      <c r="C5277" s="6" t="str">
        <f>IFERROR(__xludf.DUMMYFUNCTION("""COMPUTED_VALUE"""),"12668")</f>
        <v>12668</v>
      </c>
      <c r="D5277" s="6" t="str">
        <f>IFERROR(__xludf.DUMMYFUNCTION("""COMPUTED_VALUE"""),"Khalil")</f>
        <v>Khalil</v>
      </c>
      <c r="E5277" s="6" t="str">
        <f>IFERROR(__xludf.DUMMYFUNCTION("""COMPUTED_VALUE"""),"")</f>
        <v/>
      </c>
      <c r="F5277" s="6" t="str">
        <f>IFERROR(__xludf.DUMMYFUNCTION("""COMPUTED_VALUE"""),"Washington")</f>
        <v>Washington</v>
      </c>
      <c r="G5277" s="6" t="str">
        <f>IFERROR(__xludf.DUMMYFUNCTION("""COMPUTED_VALUE"""),"05/17/2015")</f>
        <v>05/17/2015</v>
      </c>
      <c r="H5277" s="6" t="str">
        <f>IFERROR(__xludf.DUMMYFUNCTION("""COMPUTED_VALUE"""),"male")</f>
        <v>male</v>
      </c>
      <c r="I5277" s="6" t="str">
        <f>IFERROR(__xludf.DUMMYFUNCTION("""COMPUTED_VALUE"""),"Level 1")</f>
        <v>Level 1</v>
      </c>
      <c r="J5277" s="6" t="str">
        <f>IFERROR(__xludf.DUMMYFUNCTION("""COMPUTED_VALUE"""),"3")</f>
        <v>3</v>
      </c>
      <c r="K5277" s="6" t="str">
        <f>IFERROR(__xludf.DUMMYFUNCTION("""COMPUTED_VALUE"""),"khalil.washington@2hourlearning.com")</f>
        <v>khalil.washington@2hourlearning.com</v>
      </c>
      <c r="L5277" s="6" t="str">
        <f>IFERROR(__xludf.DUMMYFUNCTION("""COMPUTED_VALUE"""),"JRES - Ridgeland Elementary School")</f>
        <v>JRES - Ridgeland Elementary School</v>
      </c>
      <c r="M5277" s="6" t="str">
        <f>IFERROR(__xludf.DUMMYFUNCTION("""COMPUTED_VALUE"""),"")</f>
        <v/>
      </c>
      <c r="N5277" s="6" t="str">
        <f>IFERROR(__xludf.DUMMYFUNCTION("""COMPUTED_VALUE"""),"")</f>
        <v/>
      </c>
      <c r="O5277" s="87" t="str">
        <f>IFERROR(__xludf.DUMMYFUNCTION("""COMPUTED_VALUE"""),"https://drive.google.com/drive/folders/10T2cTQHqEJZqE-st6uFKPoI?usp=share_link")</f>
        <v>https://drive.google.com/drive/folders/10T2cTQHqEJZqE-st6uFKPoI?usp=share_link</v>
      </c>
      <c r="P5277" s="6" t="str">
        <f>IFERROR(__xludf.DUMMYFUNCTION("""COMPUTED_VALUE"""),"Khalil Washington")</f>
        <v>Khalil Washington</v>
      </c>
      <c r="Q5277" s="6" t="str">
        <f>IFERROR(__xludf.DUMMYFUNCTION("""COMPUTED_VALUE"""),"L1")</f>
        <v>L1</v>
      </c>
      <c r="R5277" s="6">
        <f>IFERROR(__xludf.DUMMYFUNCTION("""COMPUTED_VALUE"""),1.0)</f>
        <v>1</v>
      </c>
      <c r="S5277" s="6" t="str">
        <f>IFERROR(__xludf.DUMMYFUNCTION("""COMPUTED_VALUE"""),"Kimberly Ball")</f>
        <v>Kimberly Ball</v>
      </c>
      <c r="T5277" s="6" t="str">
        <f>IFERROR(__xludf.DUMMYFUNCTION("""COMPUTED_VALUE"""),"kimberly.ball@studient.com")</f>
        <v>kimberly.ball@studient.com</v>
      </c>
      <c r="U5277" s="6" t="str">
        <f>IFERROR(__xludf.DUMMYFUNCTION("""COMPUTED_VALUE"""),"3")</f>
        <v>3</v>
      </c>
      <c r="V5277" s="6" t="str">
        <f>IFERROR(__xludf.DUMMYFUNCTION("""COMPUTED_VALUE"""),"")</f>
        <v/>
      </c>
      <c r="W5277" s="6" t="str">
        <f>IFERROR(__xludf.DUMMYFUNCTION("""COMPUTED_VALUE"""),"[]")</f>
        <v>[]</v>
      </c>
      <c r="X5277" s="6" t="str">
        <f>IFERROR(__xludf.DUMMYFUNCTION("""COMPUTED_VALUE"""),"Enrolled")</f>
        <v>Enrolled</v>
      </c>
    </row>
    <row r="5278">
      <c r="A5278" s="6" t="str">
        <f>IFERROR(__xludf.DUMMYFUNCTION("""COMPUTED_VALUE"""),"086-12669")</f>
        <v>086-12669</v>
      </c>
      <c r="B5278" s="6" t="str">
        <f>IFERROR(__xludf.DUMMYFUNCTION("""COMPUTED_VALUE"""),"86")</f>
        <v>86</v>
      </c>
      <c r="C5278" s="6" t="str">
        <f>IFERROR(__xludf.DUMMYFUNCTION("""COMPUTED_VALUE"""),"12669")</f>
        <v>12669</v>
      </c>
      <c r="D5278" s="6" t="str">
        <f>IFERROR(__xludf.DUMMYFUNCTION("""COMPUTED_VALUE"""),"Antonio")</f>
        <v>Antonio</v>
      </c>
      <c r="E5278" s="6" t="str">
        <f>IFERROR(__xludf.DUMMYFUNCTION("""COMPUTED_VALUE"""),"")</f>
        <v/>
      </c>
      <c r="F5278" s="6" t="str">
        <f>IFERROR(__xludf.DUMMYFUNCTION("""COMPUTED_VALUE"""),"Watson")</f>
        <v>Watson</v>
      </c>
      <c r="G5278" s="6" t="str">
        <f>IFERROR(__xludf.DUMMYFUNCTION("""COMPUTED_VALUE"""),"11/26/2014")</f>
        <v>11/26/2014</v>
      </c>
      <c r="H5278" s="6" t="str">
        <f>IFERROR(__xludf.DUMMYFUNCTION("""COMPUTED_VALUE"""),"male")</f>
        <v>male</v>
      </c>
      <c r="I5278" s="6" t="str">
        <f>IFERROR(__xludf.DUMMYFUNCTION("""COMPUTED_VALUE"""),"Level 1")</f>
        <v>Level 1</v>
      </c>
      <c r="J5278" s="6" t="str">
        <f>IFERROR(__xludf.DUMMYFUNCTION("""COMPUTED_VALUE"""),"3")</f>
        <v>3</v>
      </c>
      <c r="K5278" s="6" t="str">
        <f>IFERROR(__xludf.DUMMYFUNCTION("""COMPUTED_VALUE"""),"antonio.watson@2hourlearning.com")</f>
        <v>antonio.watson@2hourlearning.com</v>
      </c>
      <c r="L5278" s="6" t="str">
        <f>IFERROR(__xludf.DUMMYFUNCTION("""COMPUTED_VALUE"""),"JRES - Ridgeland Elementary School")</f>
        <v>JRES - Ridgeland Elementary School</v>
      </c>
      <c r="M5278" s="6" t="str">
        <f>IFERROR(__xludf.DUMMYFUNCTION("""COMPUTED_VALUE"""),"")</f>
        <v/>
      </c>
      <c r="N5278" s="6" t="str">
        <f>IFERROR(__xludf.DUMMYFUNCTION("""COMPUTED_VALUE"""),"")</f>
        <v/>
      </c>
      <c r="O5278" s="87" t="str">
        <f>IFERROR(__xludf.DUMMYFUNCTION("""COMPUTED_VALUE"""),"https://drive.google.com/drive/folders/10T2cTQHqEJZqE-st6uFKPoI?usp=share_link")</f>
        <v>https://drive.google.com/drive/folders/10T2cTQHqEJZqE-st6uFKPoI?usp=share_link</v>
      </c>
      <c r="P5278" s="6" t="str">
        <f>IFERROR(__xludf.DUMMYFUNCTION("""COMPUTED_VALUE"""),"Antonio Watson")</f>
        <v>Antonio Watson</v>
      </c>
      <c r="Q5278" s="6" t="str">
        <f>IFERROR(__xludf.DUMMYFUNCTION("""COMPUTED_VALUE"""),"L1")</f>
        <v>L1</v>
      </c>
      <c r="R5278" s="6">
        <f>IFERROR(__xludf.DUMMYFUNCTION("""COMPUTED_VALUE"""),1.0)</f>
        <v>1</v>
      </c>
      <c r="S5278" s="6" t="str">
        <f>IFERROR(__xludf.DUMMYFUNCTION("""COMPUTED_VALUE"""),"Kimberly Ball")</f>
        <v>Kimberly Ball</v>
      </c>
      <c r="T5278" s="6" t="str">
        <f>IFERROR(__xludf.DUMMYFUNCTION("""COMPUTED_VALUE"""),"kimberly.ball@studient.com")</f>
        <v>kimberly.ball@studient.com</v>
      </c>
      <c r="U5278" s="6" t="str">
        <f>IFERROR(__xludf.DUMMYFUNCTION("""COMPUTED_VALUE"""),"3")</f>
        <v>3</v>
      </c>
      <c r="V5278" s="6" t="str">
        <f>IFERROR(__xludf.DUMMYFUNCTION("""COMPUTED_VALUE"""),"")</f>
        <v/>
      </c>
      <c r="W5278" s="6" t="str">
        <f>IFERROR(__xludf.DUMMYFUNCTION("""COMPUTED_VALUE"""),"[]")</f>
        <v>[]</v>
      </c>
      <c r="X5278" s="6" t="str">
        <f>IFERROR(__xludf.DUMMYFUNCTION("""COMPUTED_VALUE"""),"Enrolled")</f>
        <v>Enrolled</v>
      </c>
    </row>
    <row r="5279">
      <c r="A5279" s="6" t="str">
        <f>IFERROR(__xludf.DUMMYFUNCTION("""COMPUTED_VALUE"""),"086-12670")</f>
        <v>086-12670</v>
      </c>
      <c r="B5279" s="6" t="str">
        <f>IFERROR(__xludf.DUMMYFUNCTION("""COMPUTED_VALUE"""),"86")</f>
        <v>86</v>
      </c>
      <c r="C5279" s="6" t="str">
        <f>IFERROR(__xludf.DUMMYFUNCTION("""COMPUTED_VALUE"""),"12670")</f>
        <v>12670</v>
      </c>
      <c r="D5279" s="6" t="str">
        <f>IFERROR(__xludf.DUMMYFUNCTION("""COMPUTED_VALUE"""),"Kaleah")</f>
        <v>Kaleah</v>
      </c>
      <c r="E5279" s="6" t="str">
        <f>IFERROR(__xludf.DUMMYFUNCTION("""COMPUTED_VALUE"""),"")</f>
        <v/>
      </c>
      <c r="F5279" s="6" t="str">
        <f>IFERROR(__xludf.DUMMYFUNCTION("""COMPUTED_VALUE"""),"Watson")</f>
        <v>Watson</v>
      </c>
      <c r="G5279" s="6" t="str">
        <f>IFERROR(__xludf.DUMMYFUNCTION("""COMPUTED_VALUE"""),"08/24/2015")</f>
        <v>08/24/2015</v>
      </c>
      <c r="H5279" s="6" t="str">
        <f>IFERROR(__xludf.DUMMYFUNCTION("""COMPUTED_VALUE"""),"male")</f>
        <v>male</v>
      </c>
      <c r="I5279" s="6" t="str">
        <f>IFERROR(__xludf.DUMMYFUNCTION("""COMPUTED_VALUE"""),"Level 1")</f>
        <v>Level 1</v>
      </c>
      <c r="J5279" s="6" t="str">
        <f>IFERROR(__xludf.DUMMYFUNCTION("""COMPUTED_VALUE"""),"3")</f>
        <v>3</v>
      </c>
      <c r="K5279" s="6" t="str">
        <f>IFERROR(__xludf.DUMMYFUNCTION("""COMPUTED_VALUE"""),"kaleah.watson@2hourlearning.com")</f>
        <v>kaleah.watson@2hourlearning.com</v>
      </c>
      <c r="L5279" s="6" t="str">
        <f>IFERROR(__xludf.DUMMYFUNCTION("""COMPUTED_VALUE"""),"JRES - Ridgeland Elementary School")</f>
        <v>JRES - Ridgeland Elementary School</v>
      </c>
      <c r="M5279" s="6" t="str">
        <f>IFERROR(__xludf.DUMMYFUNCTION("""COMPUTED_VALUE"""),"")</f>
        <v/>
      </c>
      <c r="N5279" s="6" t="str">
        <f>IFERROR(__xludf.DUMMYFUNCTION("""COMPUTED_VALUE"""),"")</f>
        <v/>
      </c>
      <c r="O5279" s="87" t="str">
        <f>IFERROR(__xludf.DUMMYFUNCTION("""COMPUTED_VALUE"""),"https://drive.google.com/drive/folders/10T2cTQHqEJZqE-st6uFKPoI?usp=share_link")</f>
        <v>https://drive.google.com/drive/folders/10T2cTQHqEJZqE-st6uFKPoI?usp=share_link</v>
      </c>
      <c r="P5279" s="6" t="str">
        <f>IFERROR(__xludf.DUMMYFUNCTION("""COMPUTED_VALUE"""),"Kaleah Watson")</f>
        <v>Kaleah Watson</v>
      </c>
      <c r="Q5279" s="6" t="str">
        <f>IFERROR(__xludf.DUMMYFUNCTION("""COMPUTED_VALUE"""),"L1")</f>
        <v>L1</v>
      </c>
      <c r="R5279" s="6">
        <f>IFERROR(__xludf.DUMMYFUNCTION("""COMPUTED_VALUE"""),1.0)</f>
        <v>1</v>
      </c>
      <c r="S5279" s="6" t="str">
        <f>IFERROR(__xludf.DUMMYFUNCTION("""COMPUTED_VALUE"""),"Kimberly Ball")</f>
        <v>Kimberly Ball</v>
      </c>
      <c r="T5279" s="6" t="str">
        <f>IFERROR(__xludf.DUMMYFUNCTION("""COMPUTED_VALUE"""),"kimberly.ball@studient.com")</f>
        <v>kimberly.ball@studient.com</v>
      </c>
      <c r="U5279" s="6" t="str">
        <f>IFERROR(__xludf.DUMMYFUNCTION("""COMPUTED_VALUE"""),"3")</f>
        <v>3</v>
      </c>
      <c r="V5279" s="6" t="str">
        <f>IFERROR(__xludf.DUMMYFUNCTION("""COMPUTED_VALUE"""),"")</f>
        <v/>
      </c>
      <c r="W5279" s="6" t="str">
        <f>IFERROR(__xludf.DUMMYFUNCTION("""COMPUTED_VALUE"""),"[]")</f>
        <v>[]</v>
      </c>
      <c r="X5279" s="6" t="str">
        <f>IFERROR(__xludf.DUMMYFUNCTION("""COMPUTED_VALUE"""),"Enrolled")</f>
        <v>Enrolled</v>
      </c>
    </row>
    <row r="5280">
      <c r="A5280" s="6" t="str">
        <f>IFERROR(__xludf.DUMMYFUNCTION("""COMPUTED_VALUE"""),"086-12671")</f>
        <v>086-12671</v>
      </c>
      <c r="B5280" s="6" t="str">
        <f>IFERROR(__xludf.DUMMYFUNCTION("""COMPUTED_VALUE"""),"86")</f>
        <v>86</v>
      </c>
      <c r="C5280" s="6" t="str">
        <f>IFERROR(__xludf.DUMMYFUNCTION("""COMPUTED_VALUE"""),"12671")</f>
        <v>12671</v>
      </c>
      <c r="D5280" s="6" t="str">
        <f>IFERROR(__xludf.DUMMYFUNCTION("""COMPUTED_VALUE"""),"Idien")</f>
        <v>Idien</v>
      </c>
      <c r="E5280" s="6" t="str">
        <f>IFERROR(__xludf.DUMMYFUNCTION("""COMPUTED_VALUE"""),"")</f>
        <v/>
      </c>
      <c r="F5280" s="6" t="str">
        <f>IFERROR(__xludf.DUMMYFUNCTION("""COMPUTED_VALUE"""),"Wheeler")</f>
        <v>Wheeler</v>
      </c>
      <c r="G5280" s="6" t="str">
        <f>IFERROR(__xludf.DUMMYFUNCTION("""COMPUTED_VALUE"""),"01/18/2014")</f>
        <v>01/18/2014</v>
      </c>
      <c r="H5280" s="6" t="str">
        <f>IFERROR(__xludf.DUMMYFUNCTION("""COMPUTED_VALUE"""),"male")</f>
        <v>male</v>
      </c>
      <c r="I5280" s="6" t="str">
        <f>IFERROR(__xludf.DUMMYFUNCTION("""COMPUTED_VALUE"""),"Level 1")</f>
        <v>Level 1</v>
      </c>
      <c r="J5280" s="6" t="str">
        <f>IFERROR(__xludf.DUMMYFUNCTION("""COMPUTED_VALUE"""),"3")</f>
        <v>3</v>
      </c>
      <c r="K5280" s="6" t="str">
        <f>IFERROR(__xludf.DUMMYFUNCTION("""COMPUTED_VALUE"""),"idien.wheeler@2hourlearning.com")</f>
        <v>idien.wheeler@2hourlearning.com</v>
      </c>
      <c r="L5280" s="6" t="str">
        <f>IFERROR(__xludf.DUMMYFUNCTION("""COMPUTED_VALUE"""),"JRES - Ridgeland Elementary School")</f>
        <v>JRES - Ridgeland Elementary School</v>
      </c>
      <c r="M5280" s="6" t="str">
        <f>IFERROR(__xludf.DUMMYFUNCTION("""COMPUTED_VALUE"""),"")</f>
        <v/>
      </c>
      <c r="N5280" s="6" t="str">
        <f>IFERROR(__xludf.DUMMYFUNCTION("""COMPUTED_VALUE"""),"")</f>
        <v/>
      </c>
      <c r="O5280" s="87" t="str">
        <f>IFERROR(__xludf.DUMMYFUNCTION("""COMPUTED_VALUE"""),"https://drive.google.com/drive/folders/10T2cTQHqEJZqE-st6uFKPoI?usp=share_link")</f>
        <v>https://drive.google.com/drive/folders/10T2cTQHqEJZqE-st6uFKPoI?usp=share_link</v>
      </c>
      <c r="P5280" s="6" t="str">
        <f>IFERROR(__xludf.DUMMYFUNCTION("""COMPUTED_VALUE"""),"Idien Wheeler")</f>
        <v>Idien Wheeler</v>
      </c>
      <c r="Q5280" s="6" t="str">
        <f>IFERROR(__xludf.DUMMYFUNCTION("""COMPUTED_VALUE"""),"L1")</f>
        <v>L1</v>
      </c>
      <c r="R5280" s="6">
        <f>IFERROR(__xludf.DUMMYFUNCTION("""COMPUTED_VALUE"""),1.0)</f>
        <v>1</v>
      </c>
      <c r="S5280" s="6" t="str">
        <f>IFERROR(__xludf.DUMMYFUNCTION("""COMPUTED_VALUE"""),"Kimberly Ball")</f>
        <v>Kimberly Ball</v>
      </c>
      <c r="T5280" s="6" t="str">
        <f>IFERROR(__xludf.DUMMYFUNCTION("""COMPUTED_VALUE"""),"kimberly.ball@studient.com")</f>
        <v>kimberly.ball@studient.com</v>
      </c>
      <c r="U5280" s="6" t="str">
        <f>IFERROR(__xludf.DUMMYFUNCTION("""COMPUTED_VALUE"""),"3")</f>
        <v>3</v>
      </c>
      <c r="V5280" s="6" t="str">
        <f>IFERROR(__xludf.DUMMYFUNCTION("""COMPUTED_VALUE"""),"")</f>
        <v/>
      </c>
      <c r="W5280" s="6" t="str">
        <f>IFERROR(__xludf.DUMMYFUNCTION("""COMPUTED_VALUE"""),"[]")</f>
        <v>[]</v>
      </c>
      <c r="X5280" s="6" t="str">
        <f>IFERROR(__xludf.DUMMYFUNCTION("""COMPUTED_VALUE"""),"Enrolled")</f>
        <v>Enrolled</v>
      </c>
    </row>
    <row r="5281">
      <c r="A5281" s="6" t="str">
        <f>IFERROR(__xludf.DUMMYFUNCTION("""COMPUTED_VALUE"""),"086-12672")</f>
        <v>086-12672</v>
      </c>
      <c r="B5281" s="6" t="str">
        <f>IFERROR(__xludf.DUMMYFUNCTION("""COMPUTED_VALUE"""),"86")</f>
        <v>86</v>
      </c>
      <c r="C5281" s="6" t="str">
        <f>IFERROR(__xludf.DUMMYFUNCTION("""COMPUTED_VALUE"""),"12672")</f>
        <v>12672</v>
      </c>
      <c r="D5281" s="6" t="str">
        <f>IFERROR(__xludf.DUMMYFUNCTION("""COMPUTED_VALUE"""),"Abdullah")</f>
        <v>Abdullah</v>
      </c>
      <c r="E5281" s="6" t="str">
        <f>IFERROR(__xludf.DUMMYFUNCTION("""COMPUTED_VALUE"""),"")</f>
        <v/>
      </c>
      <c r="F5281" s="6" t="str">
        <f>IFERROR(__xludf.DUMMYFUNCTION("""COMPUTED_VALUE"""),"Williams")</f>
        <v>Williams</v>
      </c>
      <c r="G5281" s="6" t="str">
        <f>IFERROR(__xludf.DUMMYFUNCTION("""COMPUTED_VALUE"""),"01/29/2016")</f>
        <v>01/29/2016</v>
      </c>
      <c r="H5281" s="6" t="str">
        <f>IFERROR(__xludf.DUMMYFUNCTION("""COMPUTED_VALUE"""),"male")</f>
        <v>male</v>
      </c>
      <c r="I5281" s="6" t="str">
        <f>IFERROR(__xludf.DUMMYFUNCTION("""COMPUTED_VALUE"""),"Level 1")</f>
        <v>Level 1</v>
      </c>
      <c r="J5281" s="6" t="str">
        <f>IFERROR(__xludf.DUMMYFUNCTION("""COMPUTED_VALUE"""),"3")</f>
        <v>3</v>
      </c>
      <c r="K5281" s="6" t="str">
        <f>IFERROR(__xludf.DUMMYFUNCTION("""COMPUTED_VALUE"""),"abdullah.williams@2hourlearning.com")</f>
        <v>abdullah.williams@2hourlearning.com</v>
      </c>
      <c r="L5281" s="6" t="str">
        <f>IFERROR(__xludf.DUMMYFUNCTION("""COMPUTED_VALUE"""),"JRES - Ridgeland Elementary School")</f>
        <v>JRES - Ridgeland Elementary School</v>
      </c>
      <c r="M5281" s="6" t="str">
        <f>IFERROR(__xludf.DUMMYFUNCTION("""COMPUTED_VALUE"""),"")</f>
        <v/>
      </c>
      <c r="N5281" s="6" t="str">
        <f>IFERROR(__xludf.DUMMYFUNCTION("""COMPUTED_VALUE"""),"")</f>
        <v/>
      </c>
      <c r="O5281" s="87" t="str">
        <f>IFERROR(__xludf.DUMMYFUNCTION("""COMPUTED_VALUE"""),"https://drive.google.com/drive/folders/10T2cTQHqEJZqE-st6uFKPoI?usp=share_link")</f>
        <v>https://drive.google.com/drive/folders/10T2cTQHqEJZqE-st6uFKPoI?usp=share_link</v>
      </c>
      <c r="P5281" s="6" t="str">
        <f>IFERROR(__xludf.DUMMYFUNCTION("""COMPUTED_VALUE"""),"Abdullah Williams")</f>
        <v>Abdullah Williams</v>
      </c>
      <c r="Q5281" s="6" t="str">
        <f>IFERROR(__xludf.DUMMYFUNCTION("""COMPUTED_VALUE"""),"L1")</f>
        <v>L1</v>
      </c>
      <c r="R5281" s="6">
        <f>IFERROR(__xludf.DUMMYFUNCTION("""COMPUTED_VALUE"""),1.0)</f>
        <v>1</v>
      </c>
      <c r="S5281" s="6" t="str">
        <f>IFERROR(__xludf.DUMMYFUNCTION("""COMPUTED_VALUE"""),"Kimberly Ball")</f>
        <v>Kimberly Ball</v>
      </c>
      <c r="T5281" s="6" t="str">
        <f>IFERROR(__xludf.DUMMYFUNCTION("""COMPUTED_VALUE"""),"kimberly.ball@studient.com")</f>
        <v>kimberly.ball@studient.com</v>
      </c>
      <c r="U5281" s="6" t="str">
        <f>IFERROR(__xludf.DUMMYFUNCTION("""COMPUTED_VALUE"""),"3")</f>
        <v>3</v>
      </c>
      <c r="V5281" s="6" t="str">
        <f>IFERROR(__xludf.DUMMYFUNCTION("""COMPUTED_VALUE"""),"")</f>
        <v/>
      </c>
      <c r="W5281" s="6" t="str">
        <f>IFERROR(__xludf.DUMMYFUNCTION("""COMPUTED_VALUE"""),"[]")</f>
        <v>[]</v>
      </c>
      <c r="X5281" s="6" t="str">
        <f>IFERROR(__xludf.DUMMYFUNCTION("""COMPUTED_VALUE"""),"Enrolled")</f>
        <v>Enrolled</v>
      </c>
    </row>
    <row r="5282">
      <c r="A5282" s="6" t="str">
        <f>IFERROR(__xludf.DUMMYFUNCTION("""COMPUTED_VALUE"""),"086-12673")</f>
        <v>086-12673</v>
      </c>
      <c r="B5282" s="6" t="str">
        <f>IFERROR(__xludf.DUMMYFUNCTION("""COMPUTED_VALUE"""),"86")</f>
        <v>86</v>
      </c>
      <c r="C5282" s="6" t="str">
        <f>IFERROR(__xludf.DUMMYFUNCTION("""COMPUTED_VALUE"""),"12673")</f>
        <v>12673</v>
      </c>
      <c r="D5282" s="6" t="str">
        <f>IFERROR(__xludf.DUMMYFUNCTION("""COMPUTED_VALUE"""),"Lyrah")</f>
        <v>Lyrah</v>
      </c>
      <c r="E5282" s="6" t="str">
        <f>IFERROR(__xludf.DUMMYFUNCTION("""COMPUTED_VALUE"""),"")</f>
        <v/>
      </c>
      <c r="F5282" s="6" t="str">
        <f>IFERROR(__xludf.DUMMYFUNCTION("""COMPUTED_VALUE"""),"Wilson")</f>
        <v>Wilson</v>
      </c>
      <c r="G5282" s="6" t="str">
        <f>IFERROR(__xludf.DUMMYFUNCTION("""COMPUTED_VALUE"""),"01/09/2015")</f>
        <v>01/09/2015</v>
      </c>
      <c r="H5282" s="6" t="str">
        <f>IFERROR(__xludf.DUMMYFUNCTION("""COMPUTED_VALUE"""),"female")</f>
        <v>female</v>
      </c>
      <c r="I5282" s="6" t="str">
        <f>IFERROR(__xludf.DUMMYFUNCTION("""COMPUTED_VALUE"""),"Level 1")</f>
        <v>Level 1</v>
      </c>
      <c r="J5282" s="6" t="str">
        <f>IFERROR(__xludf.DUMMYFUNCTION("""COMPUTED_VALUE"""),"3")</f>
        <v>3</v>
      </c>
      <c r="K5282" s="6" t="str">
        <f>IFERROR(__xludf.DUMMYFUNCTION("""COMPUTED_VALUE"""),"lyrah.wilson@2hourlearning.com")</f>
        <v>lyrah.wilson@2hourlearning.com</v>
      </c>
      <c r="L5282" s="6" t="str">
        <f>IFERROR(__xludf.DUMMYFUNCTION("""COMPUTED_VALUE"""),"JRES - Ridgeland Elementary School")</f>
        <v>JRES - Ridgeland Elementary School</v>
      </c>
      <c r="M5282" s="6" t="str">
        <f>IFERROR(__xludf.DUMMYFUNCTION("""COMPUTED_VALUE"""),"")</f>
        <v/>
      </c>
      <c r="N5282" s="6" t="str">
        <f>IFERROR(__xludf.DUMMYFUNCTION("""COMPUTED_VALUE"""),"")</f>
        <v/>
      </c>
      <c r="O5282" s="87" t="str">
        <f>IFERROR(__xludf.DUMMYFUNCTION("""COMPUTED_VALUE"""),"https://drive.google.com/drive/folders/10T2cTQHqEJZqE-st6uFKPoI?usp=share_link")</f>
        <v>https://drive.google.com/drive/folders/10T2cTQHqEJZqE-st6uFKPoI?usp=share_link</v>
      </c>
      <c r="P5282" s="6" t="str">
        <f>IFERROR(__xludf.DUMMYFUNCTION("""COMPUTED_VALUE"""),"Lyrah Wilson")</f>
        <v>Lyrah Wilson</v>
      </c>
      <c r="Q5282" s="6" t="str">
        <f>IFERROR(__xludf.DUMMYFUNCTION("""COMPUTED_VALUE"""),"L1")</f>
        <v>L1</v>
      </c>
      <c r="R5282" s="6">
        <f>IFERROR(__xludf.DUMMYFUNCTION("""COMPUTED_VALUE"""),1.0)</f>
        <v>1</v>
      </c>
      <c r="S5282" s="6" t="str">
        <f>IFERROR(__xludf.DUMMYFUNCTION("""COMPUTED_VALUE"""),"Kimberly Ball")</f>
        <v>Kimberly Ball</v>
      </c>
      <c r="T5282" s="6" t="str">
        <f>IFERROR(__xludf.DUMMYFUNCTION("""COMPUTED_VALUE"""),"kimberly.ball@studient.com")</f>
        <v>kimberly.ball@studient.com</v>
      </c>
      <c r="U5282" s="6" t="str">
        <f>IFERROR(__xludf.DUMMYFUNCTION("""COMPUTED_VALUE"""),"3")</f>
        <v>3</v>
      </c>
      <c r="V5282" s="6" t="str">
        <f>IFERROR(__xludf.DUMMYFUNCTION("""COMPUTED_VALUE"""),"")</f>
        <v/>
      </c>
      <c r="W5282" s="6" t="str">
        <f>IFERROR(__xludf.DUMMYFUNCTION("""COMPUTED_VALUE"""),"[]")</f>
        <v>[]</v>
      </c>
      <c r="X5282" s="6" t="str">
        <f>IFERROR(__xludf.DUMMYFUNCTION("""COMPUTED_VALUE"""),"Enrolled")</f>
        <v>Enrolled</v>
      </c>
    </row>
    <row r="5283">
      <c r="A5283" s="6" t="str">
        <f>IFERROR(__xludf.DUMMYFUNCTION("""COMPUTED_VALUE"""),"086-12674")</f>
        <v>086-12674</v>
      </c>
      <c r="B5283" s="6" t="str">
        <f>IFERROR(__xludf.DUMMYFUNCTION("""COMPUTED_VALUE"""),"86")</f>
        <v>86</v>
      </c>
      <c r="C5283" s="6" t="str">
        <f>IFERROR(__xludf.DUMMYFUNCTION("""COMPUTED_VALUE"""),"12674")</f>
        <v>12674</v>
      </c>
      <c r="D5283" s="6" t="str">
        <f>IFERROR(__xludf.DUMMYFUNCTION("""COMPUTED_VALUE"""),"A'nylah")</f>
        <v>A'nylah</v>
      </c>
      <c r="E5283" s="6" t="str">
        <f>IFERROR(__xludf.DUMMYFUNCTION("""COMPUTED_VALUE"""),"")</f>
        <v/>
      </c>
      <c r="F5283" s="6" t="str">
        <f>IFERROR(__xludf.DUMMYFUNCTION("""COMPUTED_VALUE"""),"Wright")</f>
        <v>Wright</v>
      </c>
      <c r="G5283" s="6" t="str">
        <f>IFERROR(__xludf.DUMMYFUNCTION("""COMPUTED_VALUE"""),"01/14/2016")</f>
        <v>01/14/2016</v>
      </c>
      <c r="H5283" s="6" t="str">
        <f>IFERROR(__xludf.DUMMYFUNCTION("""COMPUTED_VALUE"""),"male")</f>
        <v>male</v>
      </c>
      <c r="I5283" s="6" t="str">
        <f>IFERROR(__xludf.DUMMYFUNCTION("""COMPUTED_VALUE"""),"Level 1")</f>
        <v>Level 1</v>
      </c>
      <c r="J5283" s="6" t="str">
        <f>IFERROR(__xludf.DUMMYFUNCTION("""COMPUTED_VALUE"""),"3")</f>
        <v>3</v>
      </c>
      <c r="K5283" s="6" t="str">
        <f>IFERROR(__xludf.DUMMYFUNCTION("""COMPUTED_VALUE"""),"anylah.wright@2hourlearning.com")</f>
        <v>anylah.wright@2hourlearning.com</v>
      </c>
      <c r="L5283" s="6" t="str">
        <f>IFERROR(__xludf.DUMMYFUNCTION("""COMPUTED_VALUE"""),"JRES - Ridgeland Elementary School")</f>
        <v>JRES - Ridgeland Elementary School</v>
      </c>
      <c r="M5283" s="6" t="str">
        <f>IFERROR(__xludf.DUMMYFUNCTION("""COMPUTED_VALUE"""),"")</f>
        <v/>
      </c>
      <c r="N5283" s="6" t="str">
        <f>IFERROR(__xludf.DUMMYFUNCTION("""COMPUTED_VALUE"""),"")</f>
        <v/>
      </c>
      <c r="O5283" s="87" t="str">
        <f>IFERROR(__xludf.DUMMYFUNCTION("""COMPUTED_VALUE"""),"https://drive.google.com/drive/folders/10T2cTQHqEJZqE-st6uFKPoI?usp=share_link")</f>
        <v>https://drive.google.com/drive/folders/10T2cTQHqEJZqE-st6uFKPoI?usp=share_link</v>
      </c>
      <c r="P5283" s="6" t="str">
        <f>IFERROR(__xludf.DUMMYFUNCTION("""COMPUTED_VALUE"""),"A'nylah Wright")</f>
        <v>A'nylah Wright</v>
      </c>
      <c r="Q5283" s="6" t="str">
        <f>IFERROR(__xludf.DUMMYFUNCTION("""COMPUTED_VALUE"""),"L1")</f>
        <v>L1</v>
      </c>
      <c r="R5283" s="6">
        <f>IFERROR(__xludf.DUMMYFUNCTION("""COMPUTED_VALUE"""),1.0)</f>
        <v>1</v>
      </c>
      <c r="S5283" s="6" t="str">
        <f>IFERROR(__xludf.DUMMYFUNCTION("""COMPUTED_VALUE"""),"Kimberly Ball")</f>
        <v>Kimberly Ball</v>
      </c>
      <c r="T5283" s="6" t="str">
        <f>IFERROR(__xludf.DUMMYFUNCTION("""COMPUTED_VALUE"""),"kimberly.ball@studient.com")</f>
        <v>kimberly.ball@studient.com</v>
      </c>
      <c r="U5283" s="6" t="str">
        <f>IFERROR(__xludf.DUMMYFUNCTION("""COMPUTED_VALUE"""),"3")</f>
        <v>3</v>
      </c>
      <c r="V5283" s="6" t="str">
        <f>IFERROR(__xludf.DUMMYFUNCTION("""COMPUTED_VALUE"""),"")</f>
        <v/>
      </c>
      <c r="W5283" s="6" t="str">
        <f>IFERROR(__xludf.DUMMYFUNCTION("""COMPUTED_VALUE"""),"[]")</f>
        <v>[]</v>
      </c>
      <c r="X5283" s="6" t="str">
        <f>IFERROR(__xludf.DUMMYFUNCTION("""COMPUTED_VALUE"""),"Enrolled")</f>
        <v>Enrolled</v>
      </c>
    </row>
    <row r="5284">
      <c r="A5284" s="6" t="str">
        <f>IFERROR(__xludf.DUMMYFUNCTION("""COMPUTED_VALUE"""),"086-12675")</f>
        <v>086-12675</v>
      </c>
      <c r="B5284" s="6" t="str">
        <f>IFERROR(__xludf.DUMMYFUNCTION("""COMPUTED_VALUE"""),"86")</f>
        <v>86</v>
      </c>
      <c r="C5284" s="6" t="str">
        <f>IFERROR(__xludf.DUMMYFUNCTION("""COMPUTED_VALUE"""),"12675")</f>
        <v>12675</v>
      </c>
      <c r="D5284" s="6" t="str">
        <f>IFERROR(__xludf.DUMMYFUNCTION("""COMPUTED_VALUE"""),"Constance")</f>
        <v>Constance</v>
      </c>
      <c r="E5284" s="6" t="str">
        <f>IFERROR(__xludf.DUMMYFUNCTION("""COMPUTED_VALUE"""),"")</f>
        <v/>
      </c>
      <c r="F5284" s="6" t="str">
        <f>IFERROR(__xludf.DUMMYFUNCTION("""COMPUTED_VALUE"""),"Wright")</f>
        <v>Wright</v>
      </c>
      <c r="G5284" s="6" t="str">
        <f>IFERROR(__xludf.DUMMYFUNCTION("""COMPUTED_VALUE"""),"12/25/2017")</f>
        <v>12/25/2017</v>
      </c>
      <c r="H5284" s="6" t="str">
        <f>IFERROR(__xludf.DUMMYFUNCTION("""COMPUTED_VALUE"""),"male")</f>
        <v>male</v>
      </c>
      <c r="I5284" s="6" t="str">
        <f>IFERROR(__xludf.DUMMYFUNCTION("""COMPUTED_VALUE"""),"Level 1")</f>
        <v>Level 1</v>
      </c>
      <c r="J5284" s="6" t="str">
        <f>IFERROR(__xludf.DUMMYFUNCTION("""COMPUTED_VALUE"""),"3")</f>
        <v>3</v>
      </c>
      <c r="K5284" s="6" t="str">
        <f>IFERROR(__xludf.DUMMYFUNCTION("""COMPUTED_VALUE"""),"constance.wright@2hourlearning.com")</f>
        <v>constance.wright@2hourlearning.com</v>
      </c>
      <c r="L5284" s="6" t="str">
        <f>IFERROR(__xludf.DUMMYFUNCTION("""COMPUTED_VALUE"""),"JRES - Ridgeland Elementary School")</f>
        <v>JRES - Ridgeland Elementary School</v>
      </c>
      <c r="M5284" s="6" t="str">
        <f>IFERROR(__xludf.DUMMYFUNCTION("""COMPUTED_VALUE"""),"")</f>
        <v/>
      </c>
      <c r="N5284" s="6" t="str">
        <f>IFERROR(__xludf.DUMMYFUNCTION("""COMPUTED_VALUE"""),"")</f>
        <v/>
      </c>
      <c r="O5284" s="87" t="str">
        <f>IFERROR(__xludf.DUMMYFUNCTION("""COMPUTED_VALUE"""),"https://drive.google.com/drive/folders/10T2cTQHqEJZqE-st6uFKPoI?usp=share_link")</f>
        <v>https://drive.google.com/drive/folders/10T2cTQHqEJZqE-st6uFKPoI?usp=share_link</v>
      </c>
      <c r="P5284" s="6" t="str">
        <f>IFERROR(__xludf.DUMMYFUNCTION("""COMPUTED_VALUE"""),"Constance Wright")</f>
        <v>Constance Wright</v>
      </c>
      <c r="Q5284" s="6" t="str">
        <f>IFERROR(__xludf.DUMMYFUNCTION("""COMPUTED_VALUE"""),"L1")</f>
        <v>L1</v>
      </c>
      <c r="R5284" s="6">
        <f>IFERROR(__xludf.DUMMYFUNCTION("""COMPUTED_VALUE"""),1.0)</f>
        <v>1</v>
      </c>
      <c r="S5284" s="6" t="str">
        <f>IFERROR(__xludf.DUMMYFUNCTION("""COMPUTED_VALUE"""),"Kimberly Ball")</f>
        <v>Kimberly Ball</v>
      </c>
      <c r="T5284" s="6" t="str">
        <f>IFERROR(__xludf.DUMMYFUNCTION("""COMPUTED_VALUE"""),"kimberly.ball@studient.com")</f>
        <v>kimberly.ball@studient.com</v>
      </c>
      <c r="U5284" s="6" t="str">
        <f>IFERROR(__xludf.DUMMYFUNCTION("""COMPUTED_VALUE"""),"3")</f>
        <v>3</v>
      </c>
      <c r="V5284" s="6" t="str">
        <f>IFERROR(__xludf.DUMMYFUNCTION("""COMPUTED_VALUE"""),"")</f>
        <v/>
      </c>
      <c r="W5284" s="6" t="str">
        <f>IFERROR(__xludf.DUMMYFUNCTION("""COMPUTED_VALUE"""),"[]")</f>
        <v>[]</v>
      </c>
      <c r="X5284" s="6" t="str">
        <f>IFERROR(__xludf.DUMMYFUNCTION("""COMPUTED_VALUE"""),"Enrolled")</f>
        <v>Enrolled</v>
      </c>
    </row>
    <row r="5285">
      <c r="A5285" s="6" t="str">
        <f>IFERROR(__xludf.DUMMYFUNCTION("""COMPUTED_VALUE"""),"086-12676")</f>
        <v>086-12676</v>
      </c>
      <c r="B5285" s="6" t="str">
        <f>IFERROR(__xludf.DUMMYFUNCTION("""COMPUTED_VALUE"""),"86")</f>
        <v>86</v>
      </c>
      <c r="C5285" s="6" t="str">
        <f>IFERROR(__xludf.DUMMYFUNCTION("""COMPUTED_VALUE"""),"12676")</f>
        <v>12676</v>
      </c>
      <c r="D5285" s="6" t="str">
        <f>IFERROR(__xludf.DUMMYFUNCTION("""COMPUTED_VALUE"""),"Euri")</f>
        <v>Euri</v>
      </c>
      <c r="E5285" s="6" t="str">
        <f>IFERROR(__xludf.DUMMYFUNCTION("""COMPUTED_VALUE"""),"")</f>
        <v/>
      </c>
      <c r="F5285" s="6" t="str">
        <f>IFERROR(__xludf.DUMMYFUNCTION("""COMPUTED_VALUE"""),"Young")</f>
        <v>Young</v>
      </c>
      <c r="G5285" s="6" t="str">
        <f>IFERROR(__xludf.DUMMYFUNCTION("""COMPUTED_VALUE"""),"10/14/2014")</f>
        <v>10/14/2014</v>
      </c>
      <c r="H5285" s="6" t="str">
        <f>IFERROR(__xludf.DUMMYFUNCTION("""COMPUTED_VALUE"""),"male")</f>
        <v>male</v>
      </c>
      <c r="I5285" s="6" t="str">
        <f>IFERROR(__xludf.DUMMYFUNCTION("""COMPUTED_VALUE"""),"Level 1")</f>
        <v>Level 1</v>
      </c>
      <c r="J5285" s="6" t="str">
        <f>IFERROR(__xludf.DUMMYFUNCTION("""COMPUTED_VALUE"""),"3")</f>
        <v>3</v>
      </c>
      <c r="K5285" s="6" t="str">
        <f>IFERROR(__xludf.DUMMYFUNCTION("""COMPUTED_VALUE"""),"euri.young@2hourlearning.com")</f>
        <v>euri.young@2hourlearning.com</v>
      </c>
      <c r="L5285" s="6" t="str">
        <f>IFERROR(__xludf.DUMMYFUNCTION("""COMPUTED_VALUE"""),"JRES - Ridgeland Elementary School")</f>
        <v>JRES - Ridgeland Elementary School</v>
      </c>
      <c r="M5285" s="6" t="str">
        <f>IFERROR(__xludf.DUMMYFUNCTION("""COMPUTED_VALUE"""),"")</f>
        <v/>
      </c>
      <c r="N5285" s="6" t="str">
        <f>IFERROR(__xludf.DUMMYFUNCTION("""COMPUTED_VALUE"""),"")</f>
        <v/>
      </c>
      <c r="O5285" s="87" t="str">
        <f>IFERROR(__xludf.DUMMYFUNCTION("""COMPUTED_VALUE"""),"https://drive.google.com/drive/folders/10T2cTQHqEJZqE-st6uFKPoI?usp=share_link")</f>
        <v>https://drive.google.com/drive/folders/10T2cTQHqEJZqE-st6uFKPoI?usp=share_link</v>
      </c>
      <c r="P5285" s="6" t="str">
        <f>IFERROR(__xludf.DUMMYFUNCTION("""COMPUTED_VALUE"""),"Euri Young")</f>
        <v>Euri Young</v>
      </c>
      <c r="Q5285" s="6" t="str">
        <f>IFERROR(__xludf.DUMMYFUNCTION("""COMPUTED_VALUE"""),"L1")</f>
        <v>L1</v>
      </c>
      <c r="R5285" s="6">
        <f>IFERROR(__xludf.DUMMYFUNCTION("""COMPUTED_VALUE"""),1.0)</f>
        <v>1</v>
      </c>
      <c r="S5285" s="6" t="str">
        <f>IFERROR(__xludf.DUMMYFUNCTION("""COMPUTED_VALUE"""),"Kimberly Ball")</f>
        <v>Kimberly Ball</v>
      </c>
      <c r="T5285" s="6" t="str">
        <f>IFERROR(__xludf.DUMMYFUNCTION("""COMPUTED_VALUE"""),"kimberly.ball@studient.com")</f>
        <v>kimberly.ball@studient.com</v>
      </c>
      <c r="U5285" s="6" t="str">
        <f>IFERROR(__xludf.DUMMYFUNCTION("""COMPUTED_VALUE"""),"3")</f>
        <v>3</v>
      </c>
      <c r="V5285" s="6" t="str">
        <f>IFERROR(__xludf.DUMMYFUNCTION("""COMPUTED_VALUE"""),"")</f>
        <v/>
      </c>
      <c r="W5285" s="6" t="str">
        <f>IFERROR(__xludf.DUMMYFUNCTION("""COMPUTED_VALUE"""),"[]")</f>
        <v>[]</v>
      </c>
      <c r="X5285" s="6" t="str">
        <f>IFERROR(__xludf.DUMMYFUNCTION("""COMPUTED_VALUE"""),"Enrolled")</f>
        <v>Enrolled</v>
      </c>
    </row>
    <row r="5286">
      <c r="A5286" s="6" t="str">
        <f>IFERROR(__xludf.DUMMYFUNCTION("""COMPUTED_VALUE"""),"086-12677")</f>
        <v>086-12677</v>
      </c>
      <c r="B5286" s="6" t="str">
        <f>IFERROR(__xludf.DUMMYFUNCTION("""COMPUTED_VALUE"""),"86")</f>
        <v>86</v>
      </c>
      <c r="C5286" s="6" t="str">
        <f>IFERROR(__xludf.DUMMYFUNCTION("""COMPUTED_VALUE"""),"12677")</f>
        <v>12677</v>
      </c>
      <c r="D5286" s="6" t="str">
        <f>IFERROR(__xludf.DUMMYFUNCTION("""COMPUTED_VALUE"""),"Matthew")</f>
        <v>Matthew</v>
      </c>
      <c r="E5286" s="6" t="str">
        <f>IFERROR(__xludf.DUMMYFUNCTION("""COMPUTED_VALUE"""),"")</f>
        <v/>
      </c>
      <c r="F5286" s="6" t="str">
        <f>IFERROR(__xludf.DUMMYFUNCTION("""COMPUTED_VALUE"""),"Aguilar Nava")</f>
        <v>Aguilar Nava</v>
      </c>
      <c r="G5286" s="6" t="str">
        <f>IFERROR(__xludf.DUMMYFUNCTION("""COMPUTED_VALUE"""),"01/30/2015")</f>
        <v>01/30/2015</v>
      </c>
      <c r="H5286" s="6" t="str">
        <f>IFERROR(__xludf.DUMMYFUNCTION("""COMPUTED_VALUE"""),"male")</f>
        <v>male</v>
      </c>
      <c r="I5286" s="6" t="str">
        <f>IFERROR(__xludf.DUMMYFUNCTION("""COMPUTED_VALUE"""),"Level 2")</f>
        <v>Level 2</v>
      </c>
      <c r="J5286" s="6" t="str">
        <f>IFERROR(__xludf.DUMMYFUNCTION("""COMPUTED_VALUE"""),"4")</f>
        <v>4</v>
      </c>
      <c r="K5286" s="6" t="str">
        <f>IFERROR(__xludf.DUMMYFUNCTION("""COMPUTED_VALUE"""),"matthew.aguilarnava@2hourlearning.com")</f>
        <v>matthew.aguilarnava@2hourlearning.com</v>
      </c>
      <c r="L5286" s="6" t="str">
        <f>IFERROR(__xludf.DUMMYFUNCTION("""COMPUTED_VALUE"""),"JRES - Ridgeland Elementary School")</f>
        <v>JRES - Ridgeland Elementary School</v>
      </c>
      <c r="M5286" s="6" t="str">
        <f>IFERROR(__xludf.DUMMYFUNCTION("""COMPUTED_VALUE"""),"")</f>
        <v/>
      </c>
      <c r="N5286" s="6" t="str">
        <f>IFERROR(__xludf.DUMMYFUNCTION("""COMPUTED_VALUE"""),"")</f>
        <v/>
      </c>
      <c r="O5286" s="87" t="str">
        <f>IFERROR(__xludf.DUMMYFUNCTION("""COMPUTED_VALUE"""),"https://drive.google.com/drive/folders/10T2cTQHqEJZqE-st6uFKPoI?usp=share_link")</f>
        <v>https://drive.google.com/drive/folders/10T2cTQHqEJZqE-st6uFKPoI?usp=share_link</v>
      </c>
      <c r="P5286" s="6" t="str">
        <f>IFERROR(__xludf.DUMMYFUNCTION("""COMPUTED_VALUE"""),"Matthew Aguilar Nava")</f>
        <v>Matthew Aguilar Nava</v>
      </c>
      <c r="Q5286" s="6" t="str">
        <f>IFERROR(__xludf.DUMMYFUNCTION("""COMPUTED_VALUE"""),"L2")</f>
        <v>L2</v>
      </c>
      <c r="R5286" s="6">
        <f>IFERROR(__xludf.DUMMYFUNCTION("""COMPUTED_VALUE"""),2.0)</f>
        <v>2</v>
      </c>
      <c r="S5286" s="6" t="str">
        <f>IFERROR(__xludf.DUMMYFUNCTION("""COMPUTED_VALUE"""),"Kimberly Ball")</f>
        <v>Kimberly Ball</v>
      </c>
      <c r="T5286" s="6" t="str">
        <f>IFERROR(__xludf.DUMMYFUNCTION("""COMPUTED_VALUE"""),"kimberly.ball@studient.com")</f>
        <v>kimberly.ball@studient.com</v>
      </c>
      <c r="U5286" s="6" t="str">
        <f>IFERROR(__xludf.DUMMYFUNCTION("""COMPUTED_VALUE"""),"4")</f>
        <v>4</v>
      </c>
      <c r="V5286" s="6" t="str">
        <f>IFERROR(__xludf.DUMMYFUNCTION("""COMPUTED_VALUE"""),"")</f>
        <v/>
      </c>
      <c r="W5286" s="6" t="str">
        <f>IFERROR(__xludf.DUMMYFUNCTION("""COMPUTED_VALUE"""),"[]")</f>
        <v>[]</v>
      </c>
      <c r="X5286" s="6" t="str">
        <f>IFERROR(__xludf.DUMMYFUNCTION("""COMPUTED_VALUE"""),"Enrolled")</f>
        <v>Enrolled</v>
      </c>
    </row>
    <row r="5287">
      <c r="A5287" s="6" t="str">
        <f>IFERROR(__xludf.DUMMYFUNCTION("""COMPUTED_VALUE"""),"086-12678")</f>
        <v>086-12678</v>
      </c>
      <c r="B5287" s="6" t="str">
        <f>IFERROR(__xludf.DUMMYFUNCTION("""COMPUTED_VALUE"""),"86")</f>
        <v>86</v>
      </c>
      <c r="C5287" s="6" t="str">
        <f>IFERROR(__xludf.DUMMYFUNCTION("""COMPUTED_VALUE"""),"12678")</f>
        <v>12678</v>
      </c>
      <c r="D5287" s="6" t="str">
        <f>IFERROR(__xludf.DUMMYFUNCTION("""COMPUTED_VALUE"""),"Willie")</f>
        <v>Willie</v>
      </c>
      <c r="E5287" s="6" t="str">
        <f>IFERROR(__xludf.DUMMYFUNCTION("""COMPUTED_VALUE"""),"")</f>
        <v/>
      </c>
      <c r="F5287" s="6" t="str">
        <f>IFERROR(__xludf.DUMMYFUNCTION("""COMPUTED_VALUE"""),"Aklin")</f>
        <v>Aklin</v>
      </c>
      <c r="G5287" s="6" t="str">
        <f>IFERROR(__xludf.DUMMYFUNCTION("""COMPUTED_VALUE"""),"09/16/2014")</f>
        <v>09/16/2014</v>
      </c>
      <c r="H5287" s="6" t="str">
        <f>IFERROR(__xludf.DUMMYFUNCTION("""COMPUTED_VALUE"""),"male")</f>
        <v>male</v>
      </c>
      <c r="I5287" s="6" t="str">
        <f>IFERROR(__xludf.DUMMYFUNCTION("""COMPUTED_VALUE"""),"Level 2")</f>
        <v>Level 2</v>
      </c>
      <c r="J5287" s="6" t="str">
        <f>IFERROR(__xludf.DUMMYFUNCTION("""COMPUTED_VALUE"""),"4")</f>
        <v>4</v>
      </c>
      <c r="K5287" s="6" t="str">
        <f>IFERROR(__xludf.DUMMYFUNCTION("""COMPUTED_VALUE"""),"willie.aklin@2hourlearning.com")</f>
        <v>willie.aklin@2hourlearning.com</v>
      </c>
      <c r="L5287" s="6" t="str">
        <f>IFERROR(__xludf.DUMMYFUNCTION("""COMPUTED_VALUE"""),"JRES - Ridgeland Elementary School")</f>
        <v>JRES - Ridgeland Elementary School</v>
      </c>
      <c r="M5287" s="6" t="str">
        <f>IFERROR(__xludf.DUMMYFUNCTION("""COMPUTED_VALUE"""),"")</f>
        <v/>
      </c>
      <c r="N5287" s="6" t="str">
        <f>IFERROR(__xludf.DUMMYFUNCTION("""COMPUTED_VALUE"""),"")</f>
        <v/>
      </c>
      <c r="O5287" s="87" t="str">
        <f>IFERROR(__xludf.DUMMYFUNCTION("""COMPUTED_VALUE"""),"https://drive.google.com/drive/folders/10T2cTQHqEJZqE-st6uFKPoI?usp=share_link")</f>
        <v>https://drive.google.com/drive/folders/10T2cTQHqEJZqE-st6uFKPoI?usp=share_link</v>
      </c>
      <c r="P5287" s="6" t="str">
        <f>IFERROR(__xludf.DUMMYFUNCTION("""COMPUTED_VALUE"""),"Willie Aklin")</f>
        <v>Willie Aklin</v>
      </c>
      <c r="Q5287" s="6" t="str">
        <f>IFERROR(__xludf.DUMMYFUNCTION("""COMPUTED_VALUE"""),"L2")</f>
        <v>L2</v>
      </c>
      <c r="R5287" s="6">
        <f>IFERROR(__xludf.DUMMYFUNCTION("""COMPUTED_VALUE"""),2.0)</f>
        <v>2</v>
      </c>
      <c r="S5287" s="6" t="str">
        <f>IFERROR(__xludf.DUMMYFUNCTION("""COMPUTED_VALUE"""),"Kimberly Ball")</f>
        <v>Kimberly Ball</v>
      </c>
      <c r="T5287" s="6" t="str">
        <f>IFERROR(__xludf.DUMMYFUNCTION("""COMPUTED_VALUE"""),"kimberly.ball@studient.com")</f>
        <v>kimberly.ball@studient.com</v>
      </c>
      <c r="U5287" s="6" t="str">
        <f>IFERROR(__xludf.DUMMYFUNCTION("""COMPUTED_VALUE"""),"4")</f>
        <v>4</v>
      </c>
      <c r="V5287" s="6" t="str">
        <f>IFERROR(__xludf.DUMMYFUNCTION("""COMPUTED_VALUE"""),"")</f>
        <v/>
      </c>
      <c r="W5287" s="6" t="str">
        <f>IFERROR(__xludf.DUMMYFUNCTION("""COMPUTED_VALUE"""),"[]")</f>
        <v>[]</v>
      </c>
      <c r="X5287" s="6" t="str">
        <f>IFERROR(__xludf.DUMMYFUNCTION("""COMPUTED_VALUE"""),"Enrolled")</f>
        <v>Enrolled</v>
      </c>
    </row>
    <row r="5288">
      <c r="A5288" s="6" t="str">
        <f>IFERROR(__xludf.DUMMYFUNCTION("""COMPUTED_VALUE"""),"086-12679")</f>
        <v>086-12679</v>
      </c>
      <c r="B5288" s="6" t="str">
        <f>IFERROR(__xludf.DUMMYFUNCTION("""COMPUTED_VALUE"""),"86")</f>
        <v>86</v>
      </c>
      <c r="C5288" s="6" t="str">
        <f>IFERROR(__xludf.DUMMYFUNCTION("""COMPUTED_VALUE"""),"12679")</f>
        <v>12679</v>
      </c>
      <c r="D5288" s="6" t="str">
        <f>IFERROR(__xludf.DUMMYFUNCTION("""COMPUTED_VALUE"""),"Marquise")</f>
        <v>Marquise</v>
      </c>
      <c r="E5288" s="6" t="str">
        <f>IFERROR(__xludf.DUMMYFUNCTION("""COMPUTED_VALUE"""),"")</f>
        <v/>
      </c>
      <c r="F5288" s="6" t="str">
        <f>IFERROR(__xludf.DUMMYFUNCTION("""COMPUTED_VALUE"""),"Alexandre")</f>
        <v>Alexandre</v>
      </c>
      <c r="G5288" s="6" t="str">
        <f>IFERROR(__xludf.DUMMYFUNCTION("""COMPUTED_VALUE"""),"11/09/2016")</f>
        <v>11/09/2016</v>
      </c>
      <c r="H5288" s="6" t="str">
        <f>IFERROR(__xludf.DUMMYFUNCTION("""COMPUTED_VALUE"""),"male")</f>
        <v>male</v>
      </c>
      <c r="I5288" s="6" t="str">
        <f>IFERROR(__xludf.DUMMYFUNCTION("""COMPUTED_VALUE"""),"Level 2")</f>
        <v>Level 2</v>
      </c>
      <c r="J5288" s="6" t="str">
        <f>IFERROR(__xludf.DUMMYFUNCTION("""COMPUTED_VALUE"""),"4")</f>
        <v>4</v>
      </c>
      <c r="K5288" s="6" t="str">
        <f>IFERROR(__xludf.DUMMYFUNCTION("""COMPUTED_VALUE"""),"marquise.alexandre@2hourlearning.com")</f>
        <v>marquise.alexandre@2hourlearning.com</v>
      </c>
      <c r="L5288" s="6" t="str">
        <f>IFERROR(__xludf.DUMMYFUNCTION("""COMPUTED_VALUE"""),"JRES - Ridgeland Elementary School")</f>
        <v>JRES - Ridgeland Elementary School</v>
      </c>
      <c r="M5288" s="6" t="str">
        <f>IFERROR(__xludf.DUMMYFUNCTION("""COMPUTED_VALUE"""),"")</f>
        <v/>
      </c>
      <c r="N5288" s="6" t="str">
        <f>IFERROR(__xludf.DUMMYFUNCTION("""COMPUTED_VALUE"""),"")</f>
        <v/>
      </c>
      <c r="O5288" s="87" t="str">
        <f>IFERROR(__xludf.DUMMYFUNCTION("""COMPUTED_VALUE"""),"https://drive.google.com/drive/folders/10T2cTQHqEJZqE-st6uFKPoI?usp=share_link")</f>
        <v>https://drive.google.com/drive/folders/10T2cTQHqEJZqE-st6uFKPoI?usp=share_link</v>
      </c>
      <c r="P5288" s="6" t="str">
        <f>IFERROR(__xludf.DUMMYFUNCTION("""COMPUTED_VALUE"""),"Marquise Alexandre")</f>
        <v>Marquise Alexandre</v>
      </c>
      <c r="Q5288" s="6" t="str">
        <f>IFERROR(__xludf.DUMMYFUNCTION("""COMPUTED_VALUE"""),"L2")</f>
        <v>L2</v>
      </c>
      <c r="R5288" s="6">
        <f>IFERROR(__xludf.DUMMYFUNCTION("""COMPUTED_VALUE"""),2.0)</f>
        <v>2</v>
      </c>
      <c r="S5288" s="6" t="str">
        <f>IFERROR(__xludf.DUMMYFUNCTION("""COMPUTED_VALUE"""),"Kimberly Ball")</f>
        <v>Kimberly Ball</v>
      </c>
      <c r="T5288" s="6" t="str">
        <f>IFERROR(__xludf.DUMMYFUNCTION("""COMPUTED_VALUE"""),"kimberly.ball@studient.com")</f>
        <v>kimberly.ball@studient.com</v>
      </c>
      <c r="U5288" s="6" t="str">
        <f>IFERROR(__xludf.DUMMYFUNCTION("""COMPUTED_VALUE"""),"4")</f>
        <v>4</v>
      </c>
      <c r="V5288" s="6" t="str">
        <f>IFERROR(__xludf.DUMMYFUNCTION("""COMPUTED_VALUE"""),"")</f>
        <v/>
      </c>
      <c r="W5288" s="6" t="str">
        <f>IFERROR(__xludf.DUMMYFUNCTION("""COMPUTED_VALUE"""),"[]")</f>
        <v>[]</v>
      </c>
      <c r="X5288" s="6" t="str">
        <f>IFERROR(__xludf.DUMMYFUNCTION("""COMPUTED_VALUE"""),"Enrolled")</f>
        <v>Enrolled</v>
      </c>
    </row>
    <row r="5289">
      <c r="A5289" s="6" t="str">
        <f>IFERROR(__xludf.DUMMYFUNCTION("""COMPUTED_VALUE"""),"086-12680")</f>
        <v>086-12680</v>
      </c>
      <c r="B5289" s="6" t="str">
        <f>IFERROR(__xludf.DUMMYFUNCTION("""COMPUTED_VALUE"""),"86")</f>
        <v>86</v>
      </c>
      <c r="C5289" s="6" t="str">
        <f>IFERROR(__xludf.DUMMYFUNCTION("""COMPUTED_VALUE"""),"12680")</f>
        <v>12680</v>
      </c>
      <c r="D5289" s="6" t="str">
        <f>IFERROR(__xludf.DUMMYFUNCTION("""COMPUTED_VALUE"""),"Nicole")</f>
        <v>Nicole</v>
      </c>
      <c r="E5289" s="6" t="str">
        <f>IFERROR(__xludf.DUMMYFUNCTION("""COMPUTED_VALUE"""),"")</f>
        <v/>
      </c>
      <c r="F5289" s="6" t="str">
        <f>IFERROR(__xludf.DUMMYFUNCTION("""COMPUTED_VALUE"""),"Alvir Zamora")</f>
        <v>Alvir Zamora</v>
      </c>
      <c r="G5289" s="6" t="str">
        <f>IFERROR(__xludf.DUMMYFUNCTION("""COMPUTED_VALUE"""),"08/08/2018")</f>
        <v>08/08/2018</v>
      </c>
      <c r="H5289" s="6" t="str">
        <f>IFERROR(__xludf.DUMMYFUNCTION("""COMPUTED_VALUE"""),"male")</f>
        <v>male</v>
      </c>
      <c r="I5289" s="6" t="str">
        <f>IFERROR(__xludf.DUMMYFUNCTION("""COMPUTED_VALUE"""),"Level 2")</f>
        <v>Level 2</v>
      </c>
      <c r="J5289" s="6" t="str">
        <f>IFERROR(__xludf.DUMMYFUNCTION("""COMPUTED_VALUE"""),"4")</f>
        <v>4</v>
      </c>
      <c r="K5289" s="6" t="str">
        <f>IFERROR(__xludf.DUMMYFUNCTION("""COMPUTED_VALUE"""),"nicole.alvirzamora@2hourlearning.com")</f>
        <v>nicole.alvirzamora@2hourlearning.com</v>
      </c>
      <c r="L5289" s="6" t="str">
        <f>IFERROR(__xludf.DUMMYFUNCTION("""COMPUTED_VALUE"""),"JRES - Ridgeland Elementary School")</f>
        <v>JRES - Ridgeland Elementary School</v>
      </c>
      <c r="M5289" s="6" t="str">
        <f>IFERROR(__xludf.DUMMYFUNCTION("""COMPUTED_VALUE"""),"")</f>
        <v/>
      </c>
      <c r="N5289" s="6" t="str">
        <f>IFERROR(__xludf.DUMMYFUNCTION("""COMPUTED_VALUE"""),"")</f>
        <v/>
      </c>
      <c r="O5289" s="87" t="str">
        <f>IFERROR(__xludf.DUMMYFUNCTION("""COMPUTED_VALUE"""),"https://drive.google.com/drive/folders/10T2cTQHqEJZqE-st6uFKPoI?usp=share_link")</f>
        <v>https://drive.google.com/drive/folders/10T2cTQHqEJZqE-st6uFKPoI?usp=share_link</v>
      </c>
      <c r="P5289" s="6" t="str">
        <f>IFERROR(__xludf.DUMMYFUNCTION("""COMPUTED_VALUE"""),"Nicole Alvir Zamora")</f>
        <v>Nicole Alvir Zamora</v>
      </c>
      <c r="Q5289" s="6" t="str">
        <f>IFERROR(__xludf.DUMMYFUNCTION("""COMPUTED_VALUE"""),"L2")</f>
        <v>L2</v>
      </c>
      <c r="R5289" s="6">
        <f>IFERROR(__xludf.DUMMYFUNCTION("""COMPUTED_VALUE"""),2.0)</f>
        <v>2</v>
      </c>
      <c r="S5289" s="6" t="str">
        <f>IFERROR(__xludf.DUMMYFUNCTION("""COMPUTED_VALUE"""),"Kimberly Ball")</f>
        <v>Kimberly Ball</v>
      </c>
      <c r="T5289" s="6" t="str">
        <f>IFERROR(__xludf.DUMMYFUNCTION("""COMPUTED_VALUE"""),"kimberly.ball@studient.com")</f>
        <v>kimberly.ball@studient.com</v>
      </c>
      <c r="U5289" s="6" t="str">
        <f>IFERROR(__xludf.DUMMYFUNCTION("""COMPUTED_VALUE"""),"4")</f>
        <v>4</v>
      </c>
      <c r="V5289" s="6" t="str">
        <f>IFERROR(__xludf.DUMMYFUNCTION("""COMPUTED_VALUE"""),"")</f>
        <v/>
      </c>
      <c r="W5289" s="6" t="str">
        <f>IFERROR(__xludf.DUMMYFUNCTION("""COMPUTED_VALUE"""),"[]")</f>
        <v>[]</v>
      </c>
      <c r="X5289" s="6" t="str">
        <f>IFERROR(__xludf.DUMMYFUNCTION("""COMPUTED_VALUE"""),"Enrolled")</f>
        <v>Enrolled</v>
      </c>
    </row>
    <row r="5290">
      <c r="A5290" s="6" t="str">
        <f>IFERROR(__xludf.DUMMYFUNCTION("""COMPUTED_VALUE"""),"086-12681")</f>
        <v>086-12681</v>
      </c>
      <c r="B5290" s="6" t="str">
        <f>IFERROR(__xludf.DUMMYFUNCTION("""COMPUTED_VALUE"""),"86")</f>
        <v>86</v>
      </c>
      <c r="C5290" s="6" t="str">
        <f>IFERROR(__xludf.DUMMYFUNCTION("""COMPUTED_VALUE"""),"12681")</f>
        <v>12681</v>
      </c>
      <c r="D5290" s="6" t="str">
        <f>IFERROR(__xludf.DUMMYFUNCTION("""COMPUTED_VALUE"""),"Pastor")</f>
        <v>Pastor</v>
      </c>
      <c r="E5290" s="6" t="str">
        <f>IFERROR(__xludf.DUMMYFUNCTION("""COMPUTED_VALUE"""),"")</f>
        <v/>
      </c>
      <c r="F5290" s="6" t="str">
        <f>IFERROR(__xludf.DUMMYFUNCTION("""COMPUTED_VALUE"""),"Arizmendi Pedroza")</f>
        <v>Arizmendi Pedroza</v>
      </c>
      <c r="G5290" s="6" t="str">
        <f>IFERROR(__xludf.DUMMYFUNCTION("""COMPUTED_VALUE"""),"08/26/2016")</f>
        <v>08/26/2016</v>
      </c>
      <c r="H5290" s="6" t="str">
        <f>IFERROR(__xludf.DUMMYFUNCTION("""COMPUTED_VALUE"""),"female")</f>
        <v>female</v>
      </c>
      <c r="I5290" s="6" t="str">
        <f>IFERROR(__xludf.DUMMYFUNCTION("""COMPUTED_VALUE"""),"Level 2")</f>
        <v>Level 2</v>
      </c>
      <c r="J5290" s="6" t="str">
        <f>IFERROR(__xludf.DUMMYFUNCTION("""COMPUTED_VALUE"""),"4")</f>
        <v>4</v>
      </c>
      <c r="K5290" s="6" t="str">
        <f>IFERROR(__xludf.DUMMYFUNCTION("""COMPUTED_VALUE"""),"pastor.arizmendipedroza@2hourlearning.com")</f>
        <v>pastor.arizmendipedroza@2hourlearning.com</v>
      </c>
      <c r="L5290" s="6" t="str">
        <f>IFERROR(__xludf.DUMMYFUNCTION("""COMPUTED_VALUE"""),"JRES - Ridgeland Elementary School")</f>
        <v>JRES - Ridgeland Elementary School</v>
      </c>
      <c r="M5290" s="6" t="str">
        <f>IFERROR(__xludf.DUMMYFUNCTION("""COMPUTED_VALUE"""),"")</f>
        <v/>
      </c>
      <c r="N5290" s="6" t="str">
        <f>IFERROR(__xludf.DUMMYFUNCTION("""COMPUTED_VALUE"""),"")</f>
        <v/>
      </c>
      <c r="O5290" s="87" t="str">
        <f>IFERROR(__xludf.DUMMYFUNCTION("""COMPUTED_VALUE"""),"https://drive.google.com/drive/folders/10T2cTQHqEJZqE-st6uFKPoI?usp=share_link")</f>
        <v>https://drive.google.com/drive/folders/10T2cTQHqEJZqE-st6uFKPoI?usp=share_link</v>
      </c>
      <c r="P5290" s="6" t="str">
        <f>IFERROR(__xludf.DUMMYFUNCTION("""COMPUTED_VALUE"""),"Pastor Arizmendi Pedroza")</f>
        <v>Pastor Arizmendi Pedroza</v>
      </c>
      <c r="Q5290" s="6" t="str">
        <f>IFERROR(__xludf.DUMMYFUNCTION("""COMPUTED_VALUE"""),"L2")</f>
        <v>L2</v>
      </c>
      <c r="R5290" s="6">
        <f>IFERROR(__xludf.DUMMYFUNCTION("""COMPUTED_VALUE"""),2.0)</f>
        <v>2</v>
      </c>
      <c r="S5290" s="6" t="str">
        <f>IFERROR(__xludf.DUMMYFUNCTION("""COMPUTED_VALUE"""),"Kimberly Ball")</f>
        <v>Kimberly Ball</v>
      </c>
      <c r="T5290" s="6" t="str">
        <f>IFERROR(__xludf.DUMMYFUNCTION("""COMPUTED_VALUE"""),"kimberly.ball@studient.com")</f>
        <v>kimberly.ball@studient.com</v>
      </c>
      <c r="U5290" s="6" t="str">
        <f>IFERROR(__xludf.DUMMYFUNCTION("""COMPUTED_VALUE"""),"4")</f>
        <v>4</v>
      </c>
      <c r="V5290" s="6" t="str">
        <f>IFERROR(__xludf.DUMMYFUNCTION("""COMPUTED_VALUE"""),"")</f>
        <v/>
      </c>
      <c r="W5290" s="6" t="str">
        <f>IFERROR(__xludf.DUMMYFUNCTION("""COMPUTED_VALUE"""),"[]")</f>
        <v>[]</v>
      </c>
      <c r="X5290" s="6" t="str">
        <f>IFERROR(__xludf.DUMMYFUNCTION("""COMPUTED_VALUE"""),"Enrolled")</f>
        <v>Enrolled</v>
      </c>
    </row>
    <row r="5291">
      <c r="A5291" s="6" t="str">
        <f>IFERROR(__xludf.DUMMYFUNCTION("""COMPUTED_VALUE"""),"086-12682")</f>
        <v>086-12682</v>
      </c>
      <c r="B5291" s="6" t="str">
        <f>IFERROR(__xludf.DUMMYFUNCTION("""COMPUTED_VALUE"""),"86")</f>
        <v>86</v>
      </c>
      <c r="C5291" s="6" t="str">
        <f>IFERROR(__xludf.DUMMYFUNCTION("""COMPUTED_VALUE"""),"12682")</f>
        <v>12682</v>
      </c>
      <c r="D5291" s="6" t="str">
        <f>IFERROR(__xludf.DUMMYFUNCTION("""COMPUTED_VALUE"""),"Zane Marscha")</f>
        <v>Zane Marscha</v>
      </c>
      <c r="E5291" s="6" t="str">
        <f>IFERROR(__xludf.DUMMYFUNCTION("""COMPUTED_VALUE"""),"")</f>
        <v/>
      </c>
      <c r="F5291" s="6" t="str">
        <f>IFERROR(__xludf.DUMMYFUNCTION("""COMPUTED_VALUE"""),"Arriesgado")</f>
        <v>Arriesgado</v>
      </c>
      <c r="G5291" s="6" t="str">
        <f>IFERROR(__xludf.DUMMYFUNCTION("""COMPUTED_VALUE"""),"07/21/2018")</f>
        <v>07/21/2018</v>
      </c>
      <c r="H5291" s="6" t="str">
        <f>IFERROR(__xludf.DUMMYFUNCTION("""COMPUTED_VALUE"""),"female")</f>
        <v>female</v>
      </c>
      <c r="I5291" s="6" t="str">
        <f>IFERROR(__xludf.DUMMYFUNCTION("""COMPUTED_VALUE"""),"Level 2")</f>
        <v>Level 2</v>
      </c>
      <c r="J5291" s="6" t="str">
        <f>IFERROR(__xludf.DUMMYFUNCTION("""COMPUTED_VALUE"""),"4")</f>
        <v>4</v>
      </c>
      <c r="K5291" s="6" t="str">
        <f>IFERROR(__xludf.DUMMYFUNCTION("""COMPUTED_VALUE"""),"zanemarscha.arriesgado@2hourlearning.com")</f>
        <v>zanemarscha.arriesgado@2hourlearning.com</v>
      </c>
      <c r="L5291" s="6" t="str">
        <f>IFERROR(__xludf.DUMMYFUNCTION("""COMPUTED_VALUE"""),"JRES - Ridgeland Elementary School")</f>
        <v>JRES - Ridgeland Elementary School</v>
      </c>
      <c r="M5291" s="6" t="str">
        <f>IFERROR(__xludf.DUMMYFUNCTION("""COMPUTED_VALUE"""),"")</f>
        <v/>
      </c>
      <c r="N5291" s="6" t="str">
        <f>IFERROR(__xludf.DUMMYFUNCTION("""COMPUTED_VALUE"""),"")</f>
        <v/>
      </c>
      <c r="O5291" s="87" t="str">
        <f>IFERROR(__xludf.DUMMYFUNCTION("""COMPUTED_VALUE"""),"https://drive.google.com/drive/folders/10T2cTQHqEJZqE-st6uFKPoI?usp=share_link")</f>
        <v>https://drive.google.com/drive/folders/10T2cTQHqEJZqE-st6uFKPoI?usp=share_link</v>
      </c>
      <c r="P5291" s="6" t="str">
        <f>IFERROR(__xludf.DUMMYFUNCTION("""COMPUTED_VALUE"""),"Zane Marscha Arriesgado")</f>
        <v>Zane Marscha Arriesgado</v>
      </c>
      <c r="Q5291" s="6" t="str">
        <f>IFERROR(__xludf.DUMMYFUNCTION("""COMPUTED_VALUE"""),"L2")</f>
        <v>L2</v>
      </c>
      <c r="R5291" s="6">
        <f>IFERROR(__xludf.DUMMYFUNCTION("""COMPUTED_VALUE"""),2.0)</f>
        <v>2</v>
      </c>
      <c r="S5291" s="6" t="str">
        <f>IFERROR(__xludf.DUMMYFUNCTION("""COMPUTED_VALUE"""),"Kimberly Ball")</f>
        <v>Kimberly Ball</v>
      </c>
      <c r="T5291" s="6" t="str">
        <f>IFERROR(__xludf.DUMMYFUNCTION("""COMPUTED_VALUE"""),"kimberly.ball@studient.com")</f>
        <v>kimberly.ball@studient.com</v>
      </c>
      <c r="U5291" s="6" t="str">
        <f>IFERROR(__xludf.DUMMYFUNCTION("""COMPUTED_VALUE"""),"4")</f>
        <v>4</v>
      </c>
      <c r="V5291" s="6" t="str">
        <f>IFERROR(__xludf.DUMMYFUNCTION("""COMPUTED_VALUE"""),"")</f>
        <v/>
      </c>
      <c r="W5291" s="6" t="str">
        <f>IFERROR(__xludf.DUMMYFUNCTION("""COMPUTED_VALUE"""),"[]")</f>
        <v>[]</v>
      </c>
      <c r="X5291" s="6" t="str">
        <f>IFERROR(__xludf.DUMMYFUNCTION("""COMPUTED_VALUE"""),"Enrolled")</f>
        <v>Enrolled</v>
      </c>
    </row>
    <row r="5292">
      <c r="A5292" s="6" t="str">
        <f>IFERROR(__xludf.DUMMYFUNCTION("""COMPUTED_VALUE"""),"086-12683")</f>
        <v>086-12683</v>
      </c>
      <c r="B5292" s="6" t="str">
        <f>IFERROR(__xludf.DUMMYFUNCTION("""COMPUTED_VALUE"""),"86")</f>
        <v>86</v>
      </c>
      <c r="C5292" s="6" t="str">
        <f>IFERROR(__xludf.DUMMYFUNCTION("""COMPUTED_VALUE"""),"12683")</f>
        <v>12683</v>
      </c>
      <c r="D5292" s="6" t="str">
        <f>IFERROR(__xludf.DUMMYFUNCTION("""COMPUTED_VALUE"""),"Jared")</f>
        <v>Jared</v>
      </c>
      <c r="E5292" s="6" t="str">
        <f>IFERROR(__xludf.DUMMYFUNCTION("""COMPUTED_VALUE"""),"")</f>
        <v/>
      </c>
      <c r="F5292" s="6" t="str">
        <f>IFERROR(__xludf.DUMMYFUNCTION("""COMPUTED_VALUE"""),"Benitez")</f>
        <v>Benitez</v>
      </c>
      <c r="G5292" s="6" t="str">
        <f>IFERROR(__xludf.DUMMYFUNCTION("""COMPUTED_VALUE"""),"12/09/2015")</f>
        <v>12/09/2015</v>
      </c>
      <c r="H5292" s="6" t="str">
        <f>IFERROR(__xludf.DUMMYFUNCTION("""COMPUTED_VALUE"""),"female")</f>
        <v>female</v>
      </c>
      <c r="I5292" s="6" t="str">
        <f>IFERROR(__xludf.DUMMYFUNCTION("""COMPUTED_VALUE"""),"Level 2")</f>
        <v>Level 2</v>
      </c>
      <c r="J5292" s="6" t="str">
        <f>IFERROR(__xludf.DUMMYFUNCTION("""COMPUTED_VALUE"""),"4")</f>
        <v>4</v>
      </c>
      <c r="K5292" s="6" t="str">
        <f>IFERROR(__xludf.DUMMYFUNCTION("""COMPUTED_VALUE"""),"jared.benitez@2hourlearning.com")</f>
        <v>jared.benitez@2hourlearning.com</v>
      </c>
      <c r="L5292" s="6" t="str">
        <f>IFERROR(__xludf.DUMMYFUNCTION("""COMPUTED_VALUE"""),"JRES - Ridgeland Elementary School")</f>
        <v>JRES - Ridgeland Elementary School</v>
      </c>
      <c r="M5292" s="6" t="str">
        <f>IFERROR(__xludf.DUMMYFUNCTION("""COMPUTED_VALUE"""),"")</f>
        <v/>
      </c>
      <c r="N5292" s="6" t="str">
        <f>IFERROR(__xludf.DUMMYFUNCTION("""COMPUTED_VALUE"""),"")</f>
        <v/>
      </c>
      <c r="O5292" s="87" t="str">
        <f>IFERROR(__xludf.DUMMYFUNCTION("""COMPUTED_VALUE"""),"https://drive.google.com/drive/folders/10T2cTQHqEJZqE-st6uFKPoI?usp=share_link")</f>
        <v>https://drive.google.com/drive/folders/10T2cTQHqEJZqE-st6uFKPoI?usp=share_link</v>
      </c>
      <c r="P5292" s="6" t="str">
        <f>IFERROR(__xludf.DUMMYFUNCTION("""COMPUTED_VALUE"""),"Jared Benitez")</f>
        <v>Jared Benitez</v>
      </c>
      <c r="Q5292" s="6" t="str">
        <f>IFERROR(__xludf.DUMMYFUNCTION("""COMPUTED_VALUE"""),"L2")</f>
        <v>L2</v>
      </c>
      <c r="R5292" s="6">
        <f>IFERROR(__xludf.DUMMYFUNCTION("""COMPUTED_VALUE"""),2.0)</f>
        <v>2</v>
      </c>
      <c r="S5292" s="6" t="str">
        <f>IFERROR(__xludf.DUMMYFUNCTION("""COMPUTED_VALUE"""),"Kimberly Ball")</f>
        <v>Kimberly Ball</v>
      </c>
      <c r="T5292" s="6" t="str">
        <f>IFERROR(__xludf.DUMMYFUNCTION("""COMPUTED_VALUE"""),"kimberly.ball@studient.com")</f>
        <v>kimberly.ball@studient.com</v>
      </c>
      <c r="U5292" s="6" t="str">
        <f>IFERROR(__xludf.DUMMYFUNCTION("""COMPUTED_VALUE"""),"4")</f>
        <v>4</v>
      </c>
      <c r="V5292" s="6" t="str">
        <f>IFERROR(__xludf.DUMMYFUNCTION("""COMPUTED_VALUE"""),"")</f>
        <v/>
      </c>
      <c r="W5292" s="6" t="str">
        <f>IFERROR(__xludf.DUMMYFUNCTION("""COMPUTED_VALUE"""),"[]")</f>
        <v>[]</v>
      </c>
      <c r="X5292" s="6" t="str">
        <f>IFERROR(__xludf.DUMMYFUNCTION("""COMPUTED_VALUE"""),"Enrolled")</f>
        <v>Enrolled</v>
      </c>
    </row>
    <row r="5293">
      <c r="A5293" s="6" t="str">
        <f>IFERROR(__xludf.DUMMYFUNCTION("""COMPUTED_VALUE"""),"086-12684")</f>
        <v>086-12684</v>
      </c>
      <c r="B5293" s="6" t="str">
        <f>IFERROR(__xludf.DUMMYFUNCTION("""COMPUTED_VALUE"""),"86")</f>
        <v>86</v>
      </c>
      <c r="C5293" s="6" t="str">
        <f>IFERROR(__xludf.DUMMYFUNCTION("""COMPUTED_VALUE"""),"12684")</f>
        <v>12684</v>
      </c>
      <c r="D5293" s="6" t="str">
        <f>IFERROR(__xludf.DUMMYFUNCTION("""COMPUTED_VALUE"""),"Jaylen")</f>
        <v>Jaylen</v>
      </c>
      <c r="E5293" s="6" t="str">
        <f>IFERROR(__xludf.DUMMYFUNCTION("""COMPUTED_VALUE"""),"")</f>
        <v/>
      </c>
      <c r="F5293" s="6" t="str">
        <f>IFERROR(__xludf.DUMMYFUNCTION("""COMPUTED_VALUE"""),"Billingslea")</f>
        <v>Billingslea</v>
      </c>
      <c r="G5293" s="6" t="str">
        <f>IFERROR(__xludf.DUMMYFUNCTION("""COMPUTED_VALUE"""),"04/20/2016")</f>
        <v>04/20/2016</v>
      </c>
      <c r="H5293" s="6" t="str">
        <f>IFERROR(__xludf.DUMMYFUNCTION("""COMPUTED_VALUE"""),"male")</f>
        <v>male</v>
      </c>
      <c r="I5293" s="6" t="str">
        <f>IFERROR(__xludf.DUMMYFUNCTION("""COMPUTED_VALUE"""),"Level 2")</f>
        <v>Level 2</v>
      </c>
      <c r="J5293" s="6" t="str">
        <f>IFERROR(__xludf.DUMMYFUNCTION("""COMPUTED_VALUE"""),"4")</f>
        <v>4</v>
      </c>
      <c r="K5293" s="6" t="str">
        <f>IFERROR(__xludf.DUMMYFUNCTION("""COMPUTED_VALUE"""),"jaylen.billingslea@2hourlearning.com")</f>
        <v>jaylen.billingslea@2hourlearning.com</v>
      </c>
      <c r="L5293" s="6" t="str">
        <f>IFERROR(__xludf.DUMMYFUNCTION("""COMPUTED_VALUE"""),"JRES - Ridgeland Elementary School")</f>
        <v>JRES - Ridgeland Elementary School</v>
      </c>
      <c r="M5293" s="6" t="str">
        <f>IFERROR(__xludf.DUMMYFUNCTION("""COMPUTED_VALUE"""),"")</f>
        <v/>
      </c>
      <c r="N5293" s="6" t="str">
        <f>IFERROR(__xludf.DUMMYFUNCTION("""COMPUTED_VALUE"""),"")</f>
        <v/>
      </c>
      <c r="O5293" s="87" t="str">
        <f>IFERROR(__xludf.DUMMYFUNCTION("""COMPUTED_VALUE"""),"https://drive.google.com/drive/folders/10T2cTQHqEJZqE-st6uFKPoI?usp=share_link")</f>
        <v>https://drive.google.com/drive/folders/10T2cTQHqEJZqE-st6uFKPoI?usp=share_link</v>
      </c>
      <c r="P5293" s="6" t="str">
        <f>IFERROR(__xludf.DUMMYFUNCTION("""COMPUTED_VALUE"""),"Jaylen Billingslea")</f>
        <v>Jaylen Billingslea</v>
      </c>
      <c r="Q5293" s="6" t="str">
        <f>IFERROR(__xludf.DUMMYFUNCTION("""COMPUTED_VALUE"""),"L2")</f>
        <v>L2</v>
      </c>
      <c r="R5293" s="6">
        <f>IFERROR(__xludf.DUMMYFUNCTION("""COMPUTED_VALUE"""),2.0)</f>
        <v>2</v>
      </c>
      <c r="S5293" s="6" t="str">
        <f>IFERROR(__xludf.DUMMYFUNCTION("""COMPUTED_VALUE"""),"Kimberly Ball")</f>
        <v>Kimberly Ball</v>
      </c>
      <c r="T5293" s="6" t="str">
        <f>IFERROR(__xludf.DUMMYFUNCTION("""COMPUTED_VALUE"""),"kimberly.ball@studient.com")</f>
        <v>kimberly.ball@studient.com</v>
      </c>
      <c r="U5293" s="6" t="str">
        <f>IFERROR(__xludf.DUMMYFUNCTION("""COMPUTED_VALUE"""),"4")</f>
        <v>4</v>
      </c>
      <c r="V5293" s="6" t="str">
        <f>IFERROR(__xludf.DUMMYFUNCTION("""COMPUTED_VALUE"""),"")</f>
        <v/>
      </c>
      <c r="W5293" s="6" t="str">
        <f>IFERROR(__xludf.DUMMYFUNCTION("""COMPUTED_VALUE"""),"[]")</f>
        <v>[]</v>
      </c>
      <c r="X5293" s="6" t="str">
        <f>IFERROR(__xludf.DUMMYFUNCTION("""COMPUTED_VALUE"""),"Enrolled")</f>
        <v>Enrolled</v>
      </c>
    </row>
    <row r="5294">
      <c r="A5294" s="6" t="str">
        <f>IFERROR(__xludf.DUMMYFUNCTION("""COMPUTED_VALUE"""),"086-12685")</f>
        <v>086-12685</v>
      </c>
      <c r="B5294" s="6" t="str">
        <f>IFERROR(__xludf.DUMMYFUNCTION("""COMPUTED_VALUE"""),"86")</f>
        <v>86</v>
      </c>
      <c r="C5294" s="6" t="str">
        <f>IFERROR(__xludf.DUMMYFUNCTION("""COMPUTED_VALUE"""),"12685")</f>
        <v>12685</v>
      </c>
      <c r="D5294" s="6" t="str">
        <f>IFERROR(__xludf.DUMMYFUNCTION("""COMPUTED_VALUE"""),"Alexandria")</f>
        <v>Alexandria</v>
      </c>
      <c r="E5294" s="6" t="str">
        <f>IFERROR(__xludf.DUMMYFUNCTION("""COMPUTED_VALUE"""),"")</f>
        <v/>
      </c>
      <c r="F5294" s="6" t="str">
        <f>IFERROR(__xludf.DUMMYFUNCTION("""COMPUTED_VALUE"""),"Bryant")</f>
        <v>Bryant</v>
      </c>
      <c r="G5294" s="6" t="str">
        <f>IFERROR(__xludf.DUMMYFUNCTION("""COMPUTED_VALUE"""),"01/02/2016")</f>
        <v>01/02/2016</v>
      </c>
      <c r="H5294" s="6" t="str">
        <f>IFERROR(__xludf.DUMMYFUNCTION("""COMPUTED_VALUE"""),"male")</f>
        <v>male</v>
      </c>
      <c r="I5294" s="6" t="str">
        <f>IFERROR(__xludf.DUMMYFUNCTION("""COMPUTED_VALUE"""),"Level 2")</f>
        <v>Level 2</v>
      </c>
      <c r="J5294" s="6" t="str">
        <f>IFERROR(__xludf.DUMMYFUNCTION("""COMPUTED_VALUE"""),"4")</f>
        <v>4</v>
      </c>
      <c r="K5294" s="6" t="str">
        <f>IFERROR(__xludf.DUMMYFUNCTION("""COMPUTED_VALUE"""),"alexandria.bryant@2hourlearning.com")</f>
        <v>alexandria.bryant@2hourlearning.com</v>
      </c>
      <c r="L5294" s="6" t="str">
        <f>IFERROR(__xludf.DUMMYFUNCTION("""COMPUTED_VALUE"""),"JRES - Ridgeland Elementary School")</f>
        <v>JRES - Ridgeland Elementary School</v>
      </c>
      <c r="M5294" s="6" t="str">
        <f>IFERROR(__xludf.DUMMYFUNCTION("""COMPUTED_VALUE"""),"")</f>
        <v/>
      </c>
      <c r="N5294" s="6" t="str">
        <f>IFERROR(__xludf.DUMMYFUNCTION("""COMPUTED_VALUE"""),"")</f>
        <v/>
      </c>
      <c r="O5294" s="87" t="str">
        <f>IFERROR(__xludf.DUMMYFUNCTION("""COMPUTED_VALUE"""),"https://drive.google.com/drive/folders/10T2cTQHqEJZqE-st6uFKPoI?usp=share_link")</f>
        <v>https://drive.google.com/drive/folders/10T2cTQHqEJZqE-st6uFKPoI?usp=share_link</v>
      </c>
      <c r="P5294" s="6" t="str">
        <f>IFERROR(__xludf.DUMMYFUNCTION("""COMPUTED_VALUE"""),"Alexandria Bryant")</f>
        <v>Alexandria Bryant</v>
      </c>
      <c r="Q5294" s="6" t="str">
        <f>IFERROR(__xludf.DUMMYFUNCTION("""COMPUTED_VALUE"""),"L2")</f>
        <v>L2</v>
      </c>
      <c r="R5294" s="6">
        <f>IFERROR(__xludf.DUMMYFUNCTION("""COMPUTED_VALUE"""),2.0)</f>
        <v>2</v>
      </c>
      <c r="S5294" s="6" t="str">
        <f>IFERROR(__xludf.DUMMYFUNCTION("""COMPUTED_VALUE"""),"Kimberly Ball")</f>
        <v>Kimberly Ball</v>
      </c>
      <c r="T5294" s="6" t="str">
        <f>IFERROR(__xludf.DUMMYFUNCTION("""COMPUTED_VALUE"""),"kimberly.ball@studient.com")</f>
        <v>kimberly.ball@studient.com</v>
      </c>
      <c r="U5294" s="6" t="str">
        <f>IFERROR(__xludf.DUMMYFUNCTION("""COMPUTED_VALUE"""),"4")</f>
        <v>4</v>
      </c>
      <c r="V5294" s="6" t="str">
        <f>IFERROR(__xludf.DUMMYFUNCTION("""COMPUTED_VALUE"""),"")</f>
        <v/>
      </c>
      <c r="W5294" s="6" t="str">
        <f>IFERROR(__xludf.DUMMYFUNCTION("""COMPUTED_VALUE"""),"[]")</f>
        <v>[]</v>
      </c>
      <c r="X5294" s="6" t="str">
        <f>IFERROR(__xludf.DUMMYFUNCTION("""COMPUTED_VALUE"""),"Enrolled")</f>
        <v>Enrolled</v>
      </c>
    </row>
    <row r="5295">
      <c r="A5295" s="6" t="str">
        <f>IFERROR(__xludf.DUMMYFUNCTION("""COMPUTED_VALUE"""),"086-12686")</f>
        <v>086-12686</v>
      </c>
      <c r="B5295" s="6" t="str">
        <f>IFERROR(__xludf.DUMMYFUNCTION("""COMPUTED_VALUE"""),"86")</f>
        <v>86</v>
      </c>
      <c r="C5295" s="6" t="str">
        <f>IFERROR(__xludf.DUMMYFUNCTION("""COMPUTED_VALUE"""),"12686")</f>
        <v>12686</v>
      </c>
      <c r="D5295" s="6" t="str">
        <f>IFERROR(__xludf.DUMMYFUNCTION("""COMPUTED_VALUE"""),"Aireus")</f>
        <v>Aireus</v>
      </c>
      <c r="E5295" s="6" t="str">
        <f>IFERROR(__xludf.DUMMYFUNCTION("""COMPUTED_VALUE"""),"")</f>
        <v/>
      </c>
      <c r="F5295" s="6" t="str">
        <f>IFERROR(__xludf.DUMMYFUNCTION("""COMPUTED_VALUE"""),"Burton")</f>
        <v>Burton</v>
      </c>
      <c r="G5295" s="6" t="str">
        <f>IFERROR(__xludf.DUMMYFUNCTION("""COMPUTED_VALUE"""),"11/21/2014")</f>
        <v>11/21/2014</v>
      </c>
      <c r="H5295" s="6" t="str">
        <f>IFERROR(__xludf.DUMMYFUNCTION("""COMPUTED_VALUE"""),"female")</f>
        <v>female</v>
      </c>
      <c r="I5295" s="6" t="str">
        <f>IFERROR(__xludf.DUMMYFUNCTION("""COMPUTED_VALUE"""),"Level 2")</f>
        <v>Level 2</v>
      </c>
      <c r="J5295" s="6" t="str">
        <f>IFERROR(__xludf.DUMMYFUNCTION("""COMPUTED_VALUE"""),"4")</f>
        <v>4</v>
      </c>
      <c r="K5295" s="6" t="str">
        <f>IFERROR(__xludf.DUMMYFUNCTION("""COMPUTED_VALUE"""),"aireus.burton@2hourlearning.com")</f>
        <v>aireus.burton@2hourlearning.com</v>
      </c>
      <c r="L5295" s="6" t="str">
        <f>IFERROR(__xludf.DUMMYFUNCTION("""COMPUTED_VALUE"""),"JRES - Ridgeland Elementary School")</f>
        <v>JRES - Ridgeland Elementary School</v>
      </c>
      <c r="M5295" s="6" t="str">
        <f>IFERROR(__xludf.DUMMYFUNCTION("""COMPUTED_VALUE"""),"")</f>
        <v/>
      </c>
      <c r="N5295" s="6" t="str">
        <f>IFERROR(__xludf.DUMMYFUNCTION("""COMPUTED_VALUE"""),"")</f>
        <v/>
      </c>
      <c r="O5295" s="87" t="str">
        <f>IFERROR(__xludf.DUMMYFUNCTION("""COMPUTED_VALUE"""),"https://drive.google.com/drive/folders/10T2cTQHqEJZqE-st6uFKPoI?usp=share_link")</f>
        <v>https://drive.google.com/drive/folders/10T2cTQHqEJZqE-st6uFKPoI?usp=share_link</v>
      </c>
      <c r="P5295" s="6" t="str">
        <f>IFERROR(__xludf.DUMMYFUNCTION("""COMPUTED_VALUE"""),"Aireus Burton")</f>
        <v>Aireus Burton</v>
      </c>
      <c r="Q5295" s="6" t="str">
        <f>IFERROR(__xludf.DUMMYFUNCTION("""COMPUTED_VALUE"""),"L2")</f>
        <v>L2</v>
      </c>
      <c r="R5295" s="6">
        <f>IFERROR(__xludf.DUMMYFUNCTION("""COMPUTED_VALUE"""),2.0)</f>
        <v>2</v>
      </c>
      <c r="S5295" s="6" t="str">
        <f>IFERROR(__xludf.DUMMYFUNCTION("""COMPUTED_VALUE"""),"Kimberly Ball")</f>
        <v>Kimberly Ball</v>
      </c>
      <c r="T5295" s="6" t="str">
        <f>IFERROR(__xludf.DUMMYFUNCTION("""COMPUTED_VALUE"""),"kimberly.ball@studient.com")</f>
        <v>kimberly.ball@studient.com</v>
      </c>
      <c r="U5295" s="6" t="str">
        <f>IFERROR(__xludf.DUMMYFUNCTION("""COMPUTED_VALUE"""),"4")</f>
        <v>4</v>
      </c>
      <c r="V5295" s="6" t="str">
        <f>IFERROR(__xludf.DUMMYFUNCTION("""COMPUTED_VALUE"""),"")</f>
        <v/>
      </c>
      <c r="W5295" s="6" t="str">
        <f>IFERROR(__xludf.DUMMYFUNCTION("""COMPUTED_VALUE"""),"[]")</f>
        <v>[]</v>
      </c>
      <c r="X5295" s="6" t="str">
        <f>IFERROR(__xludf.DUMMYFUNCTION("""COMPUTED_VALUE"""),"Enrolled")</f>
        <v>Enrolled</v>
      </c>
    </row>
    <row r="5296">
      <c r="A5296" s="6" t="str">
        <f>IFERROR(__xludf.DUMMYFUNCTION("""COMPUTED_VALUE"""),"086-12687")</f>
        <v>086-12687</v>
      </c>
      <c r="B5296" s="6" t="str">
        <f>IFERROR(__xludf.DUMMYFUNCTION("""COMPUTED_VALUE"""),"86")</f>
        <v>86</v>
      </c>
      <c r="C5296" s="6" t="str">
        <f>IFERROR(__xludf.DUMMYFUNCTION("""COMPUTED_VALUE"""),"12687")</f>
        <v>12687</v>
      </c>
      <c r="D5296" s="6" t="str">
        <f>IFERROR(__xludf.DUMMYFUNCTION("""COMPUTED_VALUE"""),"Grettel")</f>
        <v>Grettel</v>
      </c>
      <c r="E5296" s="6" t="str">
        <f>IFERROR(__xludf.DUMMYFUNCTION("""COMPUTED_VALUE"""),"")</f>
        <v/>
      </c>
      <c r="F5296" s="6" t="str">
        <f>IFERROR(__xludf.DUMMYFUNCTION("""COMPUTED_VALUE"""),"Carvajal-Lopez")</f>
        <v>Carvajal-Lopez</v>
      </c>
      <c r="G5296" s="6" t="str">
        <f>IFERROR(__xludf.DUMMYFUNCTION("""COMPUTED_VALUE"""),"06/06/2014")</f>
        <v>06/06/2014</v>
      </c>
      <c r="H5296" s="6" t="str">
        <f>IFERROR(__xludf.DUMMYFUNCTION("""COMPUTED_VALUE"""),"male")</f>
        <v>male</v>
      </c>
      <c r="I5296" s="6" t="str">
        <f>IFERROR(__xludf.DUMMYFUNCTION("""COMPUTED_VALUE"""),"Level 2")</f>
        <v>Level 2</v>
      </c>
      <c r="J5296" s="6" t="str">
        <f>IFERROR(__xludf.DUMMYFUNCTION("""COMPUTED_VALUE"""),"4")</f>
        <v>4</v>
      </c>
      <c r="K5296" s="6" t="str">
        <f>IFERROR(__xludf.DUMMYFUNCTION("""COMPUTED_VALUE"""),"grettel.carvajal-lopez@2hourlearning.com")</f>
        <v>grettel.carvajal-lopez@2hourlearning.com</v>
      </c>
      <c r="L5296" s="6" t="str">
        <f>IFERROR(__xludf.DUMMYFUNCTION("""COMPUTED_VALUE"""),"JRES - Ridgeland Elementary School")</f>
        <v>JRES - Ridgeland Elementary School</v>
      </c>
      <c r="M5296" s="6" t="str">
        <f>IFERROR(__xludf.DUMMYFUNCTION("""COMPUTED_VALUE"""),"")</f>
        <v/>
      </c>
      <c r="N5296" s="6" t="str">
        <f>IFERROR(__xludf.DUMMYFUNCTION("""COMPUTED_VALUE"""),"")</f>
        <v/>
      </c>
      <c r="O5296" s="87" t="str">
        <f>IFERROR(__xludf.DUMMYFUNCTION("""COMPUTED_VALUE"""),"https://drive.google.com/drive/folders/10T2cTQHqEJZqE-st6uFKPoI?usp=share_link")</f>
        <v>https://drive.google.com/drive/folders/10T2cTQHqEJZqE-st6uFKPoI?usp=share_link</v>
      </c>
      <c r="P5296" s="6" t="str">
        <f>IFERROR(__xludf.DUMMYFUNCTION("""COMPUTED_VALUE"""),"Grettel Carvajal-Lopez")</f>
        <v>Grettel Carvajal-Lopez</v>
      </c>
      <c r="Q5296" s="6" t="str">
        <f>IFERROR(__xludf.DUMMYFUNCTION("""COMPUTED_VALUE"""),"L2")</f>
        <v>L2</v>
      </c>
      <c r="R5296" s="6">
        <f>IFERROR(__xludf.DUMMYFUNCTION("""COMPUTED_VALUE"""),2.0)</f>
        <v>2</v>
      </c>
      <c r="S5296" s="6" t="str">
        <f>IFERROR(__xludf.DUMMYFUNCTION("""COMPUTED_VALUE"""),"Kimberly Ball")</f>
        <v>Kimberly Ball</v>
      </c>
      <c r="T5296" s="6" t="str">
        <f>IFERROR(__xludf.DUMMYFUNCTION("""COMPUTED_VALUE"""),"kimberly.ball@studient.com")</f>
        <v>kimberly.ball@studient.com</v>
      </c>
      <c r="U5296" s="6" t="str">
        <f>IFERROR(__xludf.DUMMYFUNCTION("""COMPUTED_VALUE"""),"4")</f>
        <v>4</v>
      </c>
      <c r="V5296" s="6" t="str">
        <f>IFERROR(__xludf.DUMMYFUNCTION("""COMPUTED_VALUE"""),"")</f>
        <v/>
      </c>
      <c r="W5296" s="6" t="str">
        <f>IFERROR(__xludf.DUMMYFUNCTION("""COMPUTED_VALUE"""),"[]")</f>
        <v>[]</v>
      </c>
      <c r="X5296" s="6" t="str">
        <f>IFERROR(__xludf.DUMMYFUNCTION("""COMPUTED_VALUE"""),"Enrolled")</f>
        <v>Enrolled</v>
      </c>
    </row>
    <row r="5297">
      <c r="A5297" s="6" t="str">
        <f>IFERROR(__xludf.DUMMYFUNCTION("""COMPUTED_VALUE"""),"086-12688")</f>
        <v>086-12688</v>
      </c>
      <c r="B5297" s="6" t="str">
        <f>IFERROR(__xludf.DUMMYFUNCTION("""COMPUTED_VALUE"""),"86")</f>
        <v>86</v>
      </c>
      <c r="C5297" s="6" t="str">
        <f>IFERROR(__xludf.DUMMYFUNCTION("""COMPUTED_VALUE"""),"12688")</f>
        <v>12688</v>
      </c>
      <c r="D5297" s="6" t="str">
        <f>IFERROR(__xludf.DUMMYFUNCTION("""COMPUTED_VALUE"""),"Kevin")</f>
        <v>Kevin</v>
      </c>
      <c r="E5297" s="6" t="str">
        <f>IFERROR(__xludf.DUMMYFUNCTION("""COMPUTED_VALUE"""),"")</f>
        <v/>
      </c>
      <c r="F5297" s="6" t="str">
        <f>IFERROR(__xludf.DUMMYFUNCTION("""COMPUTED_VALUE"""),"Carvajal-Lopez")</f>
        <v>Carvajal-Lopez</v>
      </c>
      <c r="G5297" s="6" t="str">
        <f>IFERROR(__xludf.DUMMYFUNCTION("""COMPUTED_VALUE"""),"09/20/2016")</f>
        <v>09/20/2016</v>
      </c>
      <c r="H5297" s="6" t="str">
        <f>IFERROR(__xludf.DUMMYFUNCTION("""COMPUTED_VALUE"""),"male")</f>
        <v>male</v>
      </c>
      <c r="I5297" s="6" t="str">
        <f>IFERROR(__xludf.DUMMYFUNCTION("""COMPUTED_VALUE"""),"Level 2")</f>
        <v>Level 2</v>
      </c>
      <c r="J5297" s="6" t="str">
        <f>IFERROR(__xludf.DUMMYFUNCTION("""COMPUTED_VALUE"""),"4")</f>
        <v>4</v>
      </c>
      <c r="K5297" s="6" t="str">
        <f>IFERROR(__xludf.DUMMYFUNCTION("""COMPUTED_VALUE"""),"kevin.carvajal-lopez@2hourlearning.com")</f>
        <v>kevin.carvajal-lopez@2hourlearning.com</v>
      </c>
      <c r="L5297" s="6" t="str">
        <f>IFERROR(__xludf.DUMMYFUNCTION("""COMPUTED_VALUE"""),"JRES - Ridgeland Elementary School")</f>
        <v>JRES - Ridgeland Elementary School</v>
      </c>
      <c r="M5297" s="6" t="str">
        <f>IFERROR(__xludf.DUMMYFUNCTION("""COMPUTED_VALUE"""),"")</f>
        <v/>
      </c>
      <c r="N5297" s="6" t="str">
        <f>IFERROR(__xludf.DUMMYFUNCTION("""COMPUTED_VALUE"""),"")</f>
        <v/>
      </c>
      <c r="O5297" s="87" t="str">
        <f>IFERROR(__xludf.DUMMYFUNCTION("""COMPUTED_VALUE"""),"https://drive.google.com/drive/folders/10T2cTQHqEJZqE-st6uFKPoI?usp=share_link")</f>
        <v>https://drive.google.com/drive/folders/10T2cTQHqEJZqE-st6uFKPoI?usp=share_link</v>
      </c>
      <c r="P5297" s="6" t="str">
        <f>IFERROR(__xludf.DUMMYFUNCTION("""COMPUTED_VALUE"""),"Kevin Carvajal-Lopez")</f>
        <v>Kevin Carvajal-Lopez</v>
      </c>
      <c r="Q5297" s="6" t="str">
        <f>IFERROR(__xludf.DUMMYFUNCTION("""COMPUTED_VALUE"""),"L2")</f>
        <v>L2</v>
      </c>
      <c r="R5297" s="6">
        <f>IFERROR(__xludf.DUMMYFUNCTION("""COMPUTED_VALUE"""),2.0)</f>
        <v>2</v>
      </c>
      <c r="S5297" s="6" t="str">
        <f>IFERROR(__xludf.DUMMYFUNCTION("""COMPUTED_VALUE"""),"Kimberly Ball")</f>
        <v>Kimberly Ball</v>
      </c>
      <c r="T5297" s="6" t="str">
        <f>IFERROR(__xludf.DUMMYFUNCTION("""COMPUTED_VALUE"""),"kimberly.ball@studient.com")</f>
        <v>kimberly.ball@studient.com</v>
      </c>
      <c r="U5297" s="6" t="str">
        <f>IFERROR(__xludf.DUMMYFUNCTION("""COMPUTED_VALUE"""),"4")</f>
        <v>4</v>
      </c>
      <c r="V5297" s="6" t="str">
        <f>IFERROR(__xludf.DUMMYFUNCTION("""COMPUTED_VALUE"""),"")</f>
        <v/>
      </c>
      <c r="W5297" s="6" t="str">
        <f>IFERROR(__xludf.DUMMYFUNCTION("""COMPUTED_VALUE"""),"[]")</f>
        <v>[]</v>
      </c>
      <c r="X5297" s="6" t="str">
        <f>IFERROR(__xludf.DUMMYFUNCTION("""COMPUTED_VALUE"""),"Enrolled")</f>
        <v>Enrolled</v>
      </c>
    </row>
    <row r="5298">
      <c r="A5298" s="6" t="str">
        <f>IFERROR(__xludf.DUMMYFUNCTION("""COMPUTED_VALUE"""),"086-12689")</f>
        <v>086-12689</v>
      </c>
      <c r="B5298" s="6" t="str">
        <f>IFERROR(__xludf.DUMMYFUNCTION("""COMPUTED_VALUE"""),"86")</f>
        <v>86</v>
      </c>
      <c r="C5298" s="6" t="str">
        <f>IFERROR(__xludf.DUMMYFUNCTION("""COMPUTED_VALUE"""),"12689")</f>
        <v>12689</v>
      </c>
      <c r="D5298" s="6" t="str">
        <f>IFERROR(__xludf.DUMMYFUNCTION("""COMPUTED_VALUE"""),"Iker")</f>
        <v>Iker</v>
      </c>
      <c r="E5298" s="6" t="str">
        <f>IFERROR(__xludf.DUMMYFUNCTION("""COMPUTED_VALUE"""),"")</f>
        <v/>
      </c>
      <c r="F5298" s="6" t="str">
        <f>IFERROR(__xludf.DUMMYFUNCTION("""COMPUTED_VALUE"""),"Castro Ulloa")</f>
        <v>Castro Ulloa</v>
      </c>
      <c r="G5298" s="6" t="str">
        <f>IFERROR(__xludf.DUMMYFUNCTION("""COMPUTED_VALUE"""),"08/22/2015")</f>
        <v>08/22/2015</v>
      </c>
      <c r="H5298" s="6" t="str">
        <f>IFERROR(__xludf.DUMMYFUNCTION("""COMPUTED_VALUE"""),"male")</f>
        <v>male</v>
      </c>
      <c r="I5298" s="6" t="str">
        <f>IFERROR(__xludf.DUMMYFUNCTION("""COMPUTED_VALUE"""),"Level 2")</f>
        <v>Level 2</v>
      </c>
      <c r="J5298" s="6" t="str">
        <f>IFERROR(__xludf.DUMMYFUNCTION("""COMPUTED_VALUE"""),"4")</f>
        <v>4</v>
      </c>
      <c r="K5298" s="6" t="str">
        <f>IFERROR(__xludf.DUMMYFUNCTION("""COMPUTED_VALUE"""),"iker.castroulloa@2hourlearning.com")</f>
        <v>iker.castroulloa@2hourlearning.com</v>
      </c>
      <c r="L5298" s="6" t="str">
        <f>IFERROR(__xludf.DUMMYFUNCTION("""COMPUTED_VALUE"""),"JRES - Ridgeland Elementary School")</f>
        <v>JRES - Ridgeland Elementary School</v>
      </c>
      <c r="M5298" s="6" t="str">
        <f>IFERROR(__xludf.DUMMYFUNCTION("""COMPUTED_VALUE"""),"")</f>
        <v/>
      </c>
      <c r="N5298" s="6" t="str">
        <f>IFERROR(__xludf.DUMMYFUNCTION("""COMPUTED_VALUE"""),"")</f>
        <v/>
      </c>
      <c r="O5298" s="87" t="str">
        <f>IFERROR(__xludf.DUMMYFUNCTION("""COMPUTED_VALUE"""),"https://drive.google.com/drive/folders/10T2cTQHqEJZqE-st6uFKPoI?usp=share_link")</f>
        <v>https://drive.google.com/drive/folders/10T2cTQHqEJZqE-st6uFKPoI?usp=share_link</v>
      </c>
      <c r="P5298" s="6" t="str">
        <f>IFERROR(__xludf.DUMMYFUNCTION("""COMPUTED_VALUE"""),"Iker Castro Ulloa")</f>
        <v>Iker Castro Ulloa</v>
      </c>
      <c r="Q5298" s="6" t="str">
        <f>IFERROR(__xludf.DUMMYFUNCTION("""COMPUTED_VALUE"""),"L2")</f>
        <v>L2</v>
      </c>
      <c r="R5298" s="6">
        <f>IFERROR(__xludf.DUMMYFUNCTION("""COMPUTED_VALUE"""),2.0)</f>
        <v>2</v>
      </c>
      <c r="S5298" s="6" t="str">
        <f>IFERROR(__xludf.DUMMYFUNCTION("""COMPUTED_VALUE"""),"Kimberly Ball")</f>
        <v>Kimberly Ball</v>
      </c>
      <c r="T5298" s="6" t="str">
        <f>IFERROR(__xludf.DUMMYFUNCTION("""COMPUTED_VALUE"""),"kimberly.ball@studient.com")</f>
        <v>kimberly.ball@studient.com</v>
      </c>
      <c r="U5298" s="6" t="str">
        <f>IFERROR(__xludf.DUMMYFUNCTION("""COMPUTED_VALUE"""),"4")</f>
        <v>4</v>
      </c>
      <c r="V5298" s="6" t="str">
        <f>IFERROR(__xludf.DUMMYFUNCTION("""COMPUTED_VALUE"""),"")</f>
        <v/>
      </c>
      <c r="W5298" s="6" t="str">
        <f>IFERROR(__xludf.DUMMYFUNCTION("""COMPUTED_VALUE"""),"[]")</f>
        <v>[]</v>
      </c>
      <c r="X5298" s="6" t="str">
        <f>IFERROR(__xludf.DUMMYFUNCTION("""COMPUTED_VALUE"""),"Enrolled")</f>
        <v>Enrolled</v>
      </c>
    </row>
    <row r="5299">
      <c r="A5299" s="6" t="str">
        <f>IFERROR(__xludf.DUMMYFUNCTION("""COMPUTED_VALUE"""),"086-12690")</f>
        <v>086-12690</v>
      </c>
      <c r="B5299" s="6" t="str">
        <f>IFERROR(__xludf.DUMMYFUNCTION("""COMPUTED_VALUE"""),"86")</f>
        <v>86</v>
      </c>
      <c r="C5299" s="6" t="str">
        <f>IFERROR(__xludf.DUMMYFUNCTION("""COMPUTED_VALUE"""),"12690")</f>
        <v>12690</v>
      </c>
      <c r="D5299" s="6" t="str">
        <f>IFERROR(__xludf.DUMMYFUNCTION("""COMPUTED_VALUE"""),"Brianna")</f>
        <v>Brianna</v>
      </c>
      <c r="E5299" s="6" t="str">
        <f>IFERROR(__xludf.DUMMYFUNCTION("""COMPUTED_VALUE"""),"")</f>
        <v/>
      </c>
      <c r="F5299" s="6" t="str">
        <f>IFERROR(__xludf.DUMMYFUNCTION("""COMPUTED_VALUE"""),"Cisneros")</f>
        <v>Cisneros</v>
      </c>
      <c r="G5299" s="6" t="str">
        <f>IFERROR(__xludf.DUMMYFUNCTION("""COMPUTED_VALUE"""),"10/27/2015")</f>
        <v>10/27/2015</v>
      </c>
      <c r="H5299" s="6" t="str">
        <f>IFERROR(__xludf.DUMMYFUNCTION("""COMPUTED_VALUE"""),"male")</f>
        <v>male</v>
      </c>
      <c r="I5299" s="6" t="str">
        <f>IFERROR(__xludf.DUMMYFUNCTION("""COMPUTED_VALUE"""),"Level 2")</f>
        <v>Level 2</v>
      </c>
      <c r="J5299" s="6" t="str">
        <f>IFERROR(__xludf.DUMMYFUNCTION("""COMPUTED_VALUE"""),"4")</f>
        <v>4</v>
      </c>
      <c r="K5299" s="6" t="str">
        <f>IFERROR(__xludf.DUMMYFUNCTION("""COMPUTED_VALUE"""),"brianna.cisneros@2hourlearning.com")</f>
        <v>brianna.cisneros@2hourlearning.com</v>
      </c>
      <c r="L5299" s="6" t="str">
        <f>IFERROR(__xludf.DUMMYFUNCTION("""COMPUTED_VALUE"""),"JRES - Ridgeland Elementary School")</f>
        <v>JRES - Ridgeland Elementary School</v>
      </c>
      <c r="M5299" s="6" t="str">
        <f>IFERROR(__xludf.DUMMYFUNCTION("""COMPUTED_VALUE"""),"")</f>
        <v/>
      </c>
      <c r="N5299" s="6" t="str">
        <f>IFERROR(__xludf.DUMMYFUNCTION("""COMPUTED_VALUE"""),"")</f>
        <v/>
      </c>
      <c r="O5299" s="87" t="str">
        <f>IFERROR(__xludf.DUMMYFUNCTION("""COMPUTED_VALUE"""),"https://drive.google.com/drive/folders/10T2cTQHqEJZqE-st6uFKPoI?usp=share_link")</f>
        <v>https://drive.google.com/drive/folders/10T2cTQHqEJZqE-st6uFKPoI?usp=share_link</v>
      </c>
      <c r="P5299" s="6" t="str">
        <f>IFERROR(__xludf.DUMMYFUNCTION("""COMPUTED_VALUE"""),"Brianna Cisneros")</f>
        <v>Brianna Cisneros</v>
      </c>
      <c r="Q5299" s="6" t="str">
        <f>IFERROR(__xludf.DUMMYFUNCTION("""COMPUTED_VALUE"""),"L2")</f>
        <v>L2</v>
      </c>
      <c r="R5299" s="6">
        <f>IFERROR(__xludf.DUMMYFUNCTION("""COMPUTED_VALUE"""),2.0)</f>
        <v>2</v>
      </c>
      <c r="S5299" s="6" t="str">
        <f>IFERROR(__xludf.DUMMYFUNCTION("""COMPUTED_VALUE"""),"Kimberly Ball")</f>
        <v>Kimberly Ball</v>
      </c>
      <c r="T5299" s="6" t="str">
        <f>IFERROR(__xludf.DUMMYFUNCTION("""COMPUTED_VALUE"""),"kimberly.ball@studient.com")</f>
        <v>kimberly.ball@studient.com</v>
      </c>
      <c r="U5299" s="6" t="str">
        <f>IFERROR(__xludf.DUMMYFUNCTION("""COMPUTED_VALUE"""),"4")</f>
        <v>4</v>
      </c>
      <c r="V5299" s="6" t="str">
        <f>IFERROR(__xludf.DUMMYFUNCTION("""COMPUTED_VALUE"""),"")</f>
        <v/>
      </c>
      <c r="W5299" s="6" t="str">
        <f>IFERROR(__xludf.DUMMYFUNCTION("""COMPUTED_VALUE"""),"[]")</f>
        <v>[]</v>
      </c>
      <c r="X5299" s="6" t="str">
        <f>IFERROR(__xludf.DUMMYFUNCTION("""COMPUTED_VALUE"""),"Enrolled")</f>
        <v>Enrolled</v>
      </c>
    </row>
    <row r="5300">
      <c r="A5300" s="6" t="str">
        <f>IFERROR(__xludf.DUMMYFUNCTION("""COMPUTED_VALUE"""),"086-12691")</f>
        <v>086-12691</v>
      </c>
      <c r="B5300" s="6" t="str">
        <f>IFERROR(__xludf.DUMMYFUNCTION("""COMPUTED_VALUE"""),"86")</f>
        <v>86</v>
      </c>
      <c r="C5300" s="6" t="str">
        <f>IFERROR(__xludf.DUMMYFUNCTION("""COMPUTED_VALUE"""),"12691")</f>
        <v>12691</v>
      </c>
      <c r="D5300" s="6" t="str">
        <f>IFERROR(__xludf.DUMMYFUNCTION("""COMPUTED_VALUE"""),"Felix")</f>
        <v>Felix</v>
      </c>
      <c r="E5300" s="6" t="str">
        <f>IFERROR(__xludf.DUMMYFUNCTION("""COMPUTED_VALUE"""),"")</f>
        <v/>
      </c>
      <c r="F5300" s="6" t="str">
        <f>IFERROR(__xludf.DUMMYFUNCTION("""COMPUTED_VALUE"""),"Cisneros Ramirez")</f>
        <v>Cisneros Ramirez</v>
      </c>
      <c r="G5300" s="6" t="str">
        <f>IFERROR(__xludf.DUMMYFUNCTION("""COMPUTED_VALUE"""),"10/14/2017")</f>
        <v>10/14/2017</v>
      </c>
      <c r="H5300" s="6" t="str">
        <f>IFERROR(__xludf.DUMMYFUNCTION("""COMPUTED_VALUE"""),"male")</f>
        <v>male</v>
      </c>
      <c r="I5300" s="6" t="str">
        <f>IFERROR(__xludf.DUMMYFUNCTION("""COMPUTED_VALUE"""),"Level 2")</f>
        <v>Level 2</v>
      </c>
      <c r="J5300" s="6" t="str">
        <f>IFERROR(__xludf.DUMMYFUNCTION("""COMPUTED_VALUE"""),"4")</f>
        <v>4</v>
      </c>
      <c r="K5300" s="6" t="str">
        <f>IFERROR(__xludf.DUMMYFUNCTION("""COMPUTED_VALUE"""),"felix.cisnerosramirez@2hourlearning.com")</f>
        <v>felix.cisnerosramirez@2hourlearning.com</v>
      </c>
      <c r="L5300" s="6" t="str">
        <f>IFERROR(__xludf.DUMMYFUNCTION("""COMPUTED_VALUE"""),"JRES - Ridgeland Elementary School")</f>
        <v>JRES - Ridgeland Elementary School</v>
      </c>
      <c r="M5300" s="6" t="str">
        <f>IFERROR(__xludf.DUMMYFUNCTION("""COMPUTED_VALUE"""),"")</f>
        <v/>
      </c>
      <c r="N5300" s="6" t="str">
        <f>IFERROR(__xludf.DUMMYFUNCTION("""COMPUTED_VALUE"""),"")</f>
        <v/>
      </c>
      <c r="O5300" s="87" t="str">
        <f>IFERROR(__xludf.DUMMYFUNCTION("""COMPUTED_VALUE"""),"https://drive.google.com/drive/folders/10T2cTQHqEJZqE-st6uFKPoI?usp=share_link")</f>
        <v>https://drive.google.com/drive/folders/10T2cTQHqEJZqE-st6uFKPoI?usp=share_link</v>
      </c>
      <c r="P5300" s="6" t="str">
        <f>IFERROR(__xludf.DUMMYFUNCTION("""COMPUTED_VALUE"""),"Felix Cisneros Ramirez")</f>
        <v>Felix Cisneros Ramirez</v>
      </c>
      <c r="Q5300" s="6" t="str">
        <f>IFERROR(__xludf.DUMMYFUNCTION("""COMPUTED_VALUE"""),"L2")</f>
        <v>L2</v>
      </c>
      <c r="R5300" s="6">
        <f>IFERROR(__xludf.DUMMYFUNCTION("""COMPUTED_VALUE"""),2.0)</f>
        <v>2</v>
      </c>
      <c r="S5300" s="6" t="str">
        <f>IFERROR(__xludf.DUMMYFUNCTION("""COMPUTED_VALUE"""),"Kimberly Ball")</f>
        <v>Kimberly Ball</v>
      </c>
      <c r="T5300" s="6" t="str">
        <f>IFERROR(__xludf.DUMMYFUNCTION("""COMPUTED_VALUE"""),"kimberly.ball@studient.com")</f>
        <v>kimberly.ball@studient.com</v>
      </c>
      <c r="U5300" s="6" t="str">
        <f>IFERROR(__xludf.DUMMYFUNCTION("""COMPUTED_VALUE"""),"4")</f>
        <v>4</v>
      </c>
      <c r="V5300" s="6" t="str">
        <f>IFERROR(__xludf.DUMMYFUNCTION("""COMPUTED_VALUE"""),"")</f>
        <v/>
      </c>
      <c r="W5300" s="6" t="str">
        <f>IFERROR(__xludf.DUMMYFUNCTION("""COMPUTED_VALUE"""),"[]")</f>
        <v>[]</v>
      </c>
      <c r="X5300" s="6" t="str">
        <f>IFERROR(__xludf.DUMMYFUNCTION("""COMPUTED_VALUE"""),"Enrolled")</f>
        <v>Enrolled</v>
      </c>
    </row>
    <row r="5301">
      <c r="A5301" s="6" t="str">
        <f>IFERROR(__xludf.DUMMYFUNCTION("""COMPUTED_VALUE"""),"086-12692")</f>
        <v>086-12692</v>
      </c>
      <c r="B5301" s="6" t="str">
        <f>IFERROR(__xludf.DUMMYFUNCTION("""COMPUTED_VALUE"""),"86")</f>
        <v>86</v>
      </c>
      <c r="C5301" s="6" t="str">
        <f>IFERROR(__xludf.DUMMYFUNCTION("""COMPUTED_VALUE"""),"12692")</f>
        <v>12692</v>
      </c>
      <c r="D5301" s="6" t="str">
        <f>IFERROR(__xludf.DUMMYFUNCTION("""COMPUTED_VALUE"""),"Jizmar")</f>
        <v>Jizmar</v>
      </c>
      <c r="E5301" s="6" t="str">
        <f>IFERROR(__xludf.DUMMYFUNCTION("""COMPUTED_VALUE"""),"")</f>
        <v/>
      </c>
      <c r="F5301" s="6" t="str">
        <f>IFERROR(__xludf.DUMMYFUNCTION("""COMPUTED_VALUE"""),"Clay-Jones")</f>
        <v>Clay-Jones</v>
      </c>
      <c r="G5301" s="6" t="str">
        <f>IFERROR(__xludf.DUMMYFUNCTION("""COMPUTED_VALUE"""),"05/19/2015")</f>
        <v>05/19/2015</v>
      </c>
      <c r="H5301" s="6" t="str">
        <f>IFERROR(__xludf.DUMMYFUNCTION("""COMPUTED_VALUE"""),"female")</f>
        <v>female</v>
      </c>
      <c r="I5301" s="6" t="str">
        <f>IFERROR(__xludf.DUMMYFUNCTION("""COMPUTED_VALUE"""),"Level 2")</f>
        <v>Level 2</v>
      </c>
      <c r="J5301" s="6" t="str">
        <f>IFERROR(__xludf.DUMMYFUNCTION("""COMPUTED_VALUE"""),"4")</f>
        <v>4</v>
      </c>
      <c r="K5301" s="6" t="str">
        <f>IFERROR(__xludf.DUMMYFUNCTION("""COMPUTED_VALUE"""),"jizmar.clay-jones@2hourlearning.com")</f>
        <v>jizmar.clay-jones@2hourlearning.com</v>
      </c>
      <c r="L5301" s="6" t="str">
        <f>IFERROR(__xludf.DUMMYFUNCTION("""COMPUTED_VALUE"""),"JRES - Ridgeland Elementary School")</f>
        <v>JRES - Ridgeland Elementary School</v>
      </c>
      <c r="M5301" s="6" t="str">
        <f>IFERROR(__xludf.DUMMYFUNCTION("""COMPUTED_VALUE"""),"")</f>
        <v/>
      </c>
      <c r="N5301" s="6" t="str">
        <f>IFERROR(__xludf.DUMMYFUNCTION("""COMPUTED_VALUE"""),"")</f>
        <v/>
      </c>
      <c r="O5301" s="87" t="str">
        <f>IFERROR(__xludf.DUMMYFUNCTION("""COMPUTED_VALUE"""),"https://drive.google.com/drive/folders/10T2cTQHqEJZqE-st6uFKPoI?usp=share_link")</f>
        <v>https://drive.google.com/drive/folders/10T2cTQHqEJZqE-st6uFKPoI?usp=share_link</v>
      </c>
      <c r="P5301" s="6" t="str">
        <f>IFERROR(__xludf.DUMMYFUNCTION("""COMPUTED_VALUE"""),"Jizmar Clay-Jones")</f>
        <v>Jizmar Clay-Jones</v>
      </c>
      <c r="Q5301" s="6" t="str">
        <f>IFERROR(__xludf.DUMMYFUNCTION("""COMPUTED_VALUE"""),"L2")</f>
        <v>L2</v>
      </c>
      <c r="R5301" s="6">
        <f>IFERROR(__xludf.DUMMYFUNCTION("""COMPUTED_VALUE"""),2.0)</f>
        <v>2</v>
      </c>
      <c r="S5301" s="6" t="str">
        <f>IFERROR(__xludf.DUMMYFUNCTION("""COMPUTED_VALUE"""),"Kimberly Ball")</f>
        <v>Kimberly Ball</v>
      </c>
      <c r="T5301" s="6" t="str">
        <f>IFERROR(__xludf.DUMMYFUNCTION("""COMPUTED_VALUE"""),"kimberly.ball@studient.com")</f>
        <v>kimberly.ball@studient.com</v>
      </c>
      <c r="U5301" s="6" t="str">
        <f>IFERROR(__xludf.DUMMYFUNCTION("""COMPUTED_VALUE"""),"4")</f>
        <v>4</v>
      </c>
      <c r="V5301" s="6" t="str">
        <f>IFERROR(__xludf.DUMMYFUNCTION("""COMPUTED_VALUE"""),"")</f>
        <v/>
      </c>
      <c r="W5301" s="6" t="str">
        <f>IFERROR(__xludf.DUMMYFUNCTION("""COMPUTED_VALUE"""),"[]")</f>
        <v>[]</v>
      </c>
      <c r="X5301" s="6" t="str">
        <f>IFERROR(__xludf.DUMMYFUNCTION("""COMPUTED_VALUE"""),"Enrolled")</f>
        <v>Enrolled</v>
      </c>
    </row>
    <row r="5302">
      <c r="A5302" s="6" t="str">
        <f>IFERROR(__xludf.DUMMYFUNCTION("""COMPUTED_VALUE"""),"086-12693")</f>
        <v>086-12693</v>
      </c>
      <c r="B5302" s="6" t="str">
        <f>IFERROR(__xludf.DUMMYFUNCTION("""COMPUTED_VALUE"""),"86")</f>
        <v>86</v>
      </c>
      <c r="C5302" s="6" t="str">
        <f>IFERROR(__xludf.DUMMYFUNCTION("""COMPUTED_VALUE"""),"12693")</f>
        <v>12693</v>
      </c>
      <c r="D5302" s="6" t="str">
        <f>IFERROR(__xludf.DUMMYFUNCTION("""COMPUTED_VALUE"""),"Nevaeh")</f>
        <v>Nevaeh</v>
      </c>
      <c r="E5302" s="6" t="str">
        <f>IFERROR(__xludf.DUMMYFUNCTION("""COMPUTED_VALUE"""),"")</f>
        <v/>
      </c>
      <c r="F5302" s="6" t="str">
        <f>IFERROR(__xludf.DUMMYFUNCTION("""COMPUTED_VALUE"""),"Cooper")</f>
        <v>Cooper</v>
      </c>
      <c r="G5302" s="6" t="str">
        <f>IFERROR(__xludf.DUMMYFUNCTION("""COMPUTED_VALUE"""),"01/10/2015")</f>
        <v>01/10/2015</v>
      </c>
      <c r="H5302" s="6" t="str">
        <f>IFERROR(__xludf.DUMMYFUNCTION("""COMPUTED_VALUE"""),"female")</f>
        <v>female</v>
      </c>
      <c r="I5302" s="6" t="str">
        <f>IFERROR(__xludf.DUMMYFUNCTION("""COMPUTED_VALUE"""),"Level 2")</f>
        <v>Level 2</v>
      </c>
      <c r="J5302" s="6" t="str">
        <f>IFERROR(__xludf.DUMMYFUNCTION("""COMPUTED_VALUE"""),"4")</f>
        <v>4</v>
      </c>
      <c r="K5302" s="6" t="str">
        <f>IFERROR(__xludf.DUMMYFUNCTION("""COMPUTED_VALUE"""),"nevaeh.cooper@2hourlearning.com")</f>
        <v>nevaeh.cooper@2hourlearning.com</v>
      </c>
      <c r="L5302" s="6" t="str">
        <f>IFERROR(__xludf.DUMMYFUNCTION("""COMPUTED_VALUE"""),"JRES - Ridgeland Elementary School")</f>
        <v>JRES - Ridgeland Elementary School</v>
      </c>
      <c r="M5302" s="6" t="str">
        <f>IFERROR(__xludf.DUMMYFUNCTION("""COMPUTED_VALUE"""),"")</f>
        <v/>
      </c>
      <c r="N5302" s="6" t="str">
        <f>IFERROR(__xludf.DUMMYFUNCTION("""COMPUTED_VALUE"""),"")</f>
        <v/>
      </c>
      <c r="O5302" s="87" t="str">
        <f>IFERROR(__xludf.DUMMYFUNCTION("""COMPUTED_VALUE"""),"https://drive.google.com/drive/folders/10T2cTQHqEJZqE-st6uFKPoI?usp=share_link")</f>
        <v>https://drive.google.com/drive/folders/10T2cTQHqEJZqE-st6uFKPoI?usp=share_link</v>
      </c>
      <c r="P5302" s="6" t="str">
        <f>IFERROR(__xludf.DUMMYFUNCTION("""COMPUTED_VALUE"""),"Nevaeh Cooper")</f>
        <v>Nevaeh Cooper</v>
      </c>
      <c r="Q5302" s="6" t="str">
        <f>IFERROR(__xludf.DUMMYFUNCTION("""COMPUTED_VALUE"""),"L2")</f>
        <v>L2</v>
      </c>
      <c r="R5302" s="6">
        <f>IFERROR(__xludf.DUMMYFUNCTION("""COMPUTED_VALUE"""),2.0)</f>
        <v>2</v>
      </c>
      <c r="S5302" s="6" t="str">
        <f>IFERROR(__xludf.DUMMYFUNCTION("""COMPUTED_VALUE"""),"Kimberly Ball")</f>
        <v>Kimberly Ball</v>
      </c>
      <c r="T5302" s="6" t="str">
        <f>IFERROR(__xludf.DUMMYFUNCTION("""COMPUTED_VALUE"""),"kimberly.ball@studient.com")</f>
        <v>kimberly.ball@studient.com</v>
      </c>
      <c r="U5302" s="6" t="str">
        <f>IFERROR(__xludf.DUMMYFUNCTION("""COMPUTED_VALUE"""),"4")</f>
        <v>4</v>
      </c>
      <c r="V5302" s="6" t="str">
        <f>IFERROR(__xludf.DUMMYFUNCTION("""COMPUTED_VALUE"""),"")</f>
        <v/>
      </c>
      <c r="W5302" s="6" t="str">
        <f>IFERROR(__xludf.DUMMYFUNCTION("""COMPUTED_VALUE"""),"[]")</f>
        <v>[]</v>
      </c>
      <c r="X5302" s="6" t="str">
        <f>IFERROR(__xludf.DUMMYFUNCTION("""COMPUTED_VALUE"""),"Enrolled")</f>
        <v>Enrolled</v>
      </c>
    </row>
    <row r="5303">
      <c r="A5303" s="6" t="str">
        <f>IFERROR(__xludf.DUMMYFUNCTION("""COMPUTED_VALUE"""),"086-12694")</f>
        <v>086-12694</v>
      </c>
      <c r="B5303" s="6" t="str">
        <f>IFERROR(__xludf.DUMMYFUNCTION("""COMPUTED_VALUE"""),"86")</f>
        <v>86</v>
      </c>
      <c r="C5303" s="6" t="str">
        <f>IFERROR(__xludf.DUMMYFUNCTION("""COMPUTED_VALUE"""),"12694")</f>
        <v>12694</v>
      </c>
      <c r="D5303" s="6" t="str">
        <f>IFERROR(__xludf.DUMMYFUNCTION("""COMPUTED_VALUE"""),"Dylan")</f>
        <v>Dylan</v>
      </c>
      <c r="E5303" s="6" t="str">
        <f>IFERROR(__xludf.DUMMYFUNCTION("""COMPUTED_VALUE"""),"")</f>
        <v/>
      </c>
      <c r="F5303" s="6" t="str">
        <f>IFERROR(__xludf.DUMMYFUNCTION("""COMPUTED_VALUE"""),"Cordero Cubias")</f>
        <v>Cordero Cubias</v>
      </c>
      <c r="G5303" s="6" t="str">
        <f>IFERROR(__xludf.DUMMYFUNCTION("""COMPUTED_VALUE"""),"07/12/2016")</f>
        <v>07/12/2016</v>
      </c>
      <c r="H5303" s="6" t="str">
        <f>IFERROR(__xludf.DUMMYFUNCTION("""COMPUTED_VALUE"""),"female")</f>
        <v>female</v>
      </c>
      <c r="I5303" s="6" t="str">
        <f>IFERROR(__xludf.DUMMYFUNCTION("""COMPUTED_VALUE"""),"Level 2")</f>
        <v>Level 2</v>
      </c>
      <c r="J5303" s="6" t="str">
        <f>IFERROR(__xludf.DUMMYFUNCTION("""COMPUTED_VALUE"""),"4")</f>
        <v>4</v>
      </c>
      <c r="K5303" s="6" t="str">
        <f>IFERROR(__xludf.DUMMYFUNCTION("""COMPUTED_VALUE"""),"dylan.corderocubias@2hourlearning.com")</f>
        <v>dylan.corderocubias@2hourlearning.com</v>
      </c>
      <c r="L5303" s="6" t="str">
        <f>IFERROR(__xludf.DUMMYFUNCTION("""COMPUTED_VALUE"""),"JRES - Ridgeland Elementary School")</f>
        <v>JRES - Ridgeland Elementary School</v>
      </c>
      <c r="M5303" s="6" t="str">
        <f>IFERROR(__xludf.DUMMYFUNCTION("""COMPUTED_VALUE"""),"")</f>
        <v/>
      </c>
      <c r="N5303" s="6" t="str">
        <f>IFERROR(__xludf.DUMMYFUNCTION("""COMPUTED_VALUE"""),"")</f>
        <v/>
      </c>
      <c r="O5303" s="87" t="str">
        <f>IFERROR(__xludf.DUMMYFUNCTION("""COMPUTED_VALUE"""),"https://drive.google.com/drive/folders/10T2cTQHqEJZqE-st6uFKPoI?usp=share_link")</f>
        <v>https://drive.google.com/drive/folders/10T2cTQHqEJZqE-st6uFKPoI?usp=share_link</v>
      </c>
      <c r="P5303" s="6" t="str">
        <f>IFERROR(__xludf.DUMMYFUNCTION("""COMPUTED_VALUE"""),"Dylan Cordero Cubias")</f>
        <v>Dylan Cordero Cubias</v>
      </c>
      <c r="Q5303" s="6" t="str">
        <f>IFERROR(__xludf.DUMMYFUNCTION("""COMPUTED_VALUE"""),"L2")</f>
        <v>L2</v>
      </c>
      <c r="R5303" s="6">
        <f>IFERROR(__xludf.DUMMYFUNCTION("""COMPUTED_VALUE"""),2.0)</f>
        <v>2</v>
      </c>
      <c r="S5303" s="6" t="str">
        <f>IFERROR(__xludf.DUMMYFUNCTION("""COMPUTED_VALUE"""),"Kimberly Ball")</f>
        <v>Kimberly Ball</v>
      </c>
      <c r="T5303" s="6" t="str">
        <f>IFERROR(__xludf.DUMMYFUNCTION("""COMPUTED_VALUE"""),"kimberly.ball@studient.com")</f>
        <v>kimberly.ball@studient.com</v>
      </c>
      <c r="U5303" s="6" t="str">
        <f>IFERROR(__xludf.DUMMYFUNCTION("""COMPUTED_VALUE"""),"4")</f>
        <v>4</v>
      </c>
      <c r="V5303" s="6" t="str">
        <f>IFERROR(__xludf.DUMMYFUNCTION("""COMPUTED_VALUE"""),"")</f>
        <v/>
      </c>
      <c r="W5303" s="6" t="str">
        <f>IFERROR(__xludf.DUMMYFUNCTION("""COMPUTED_VALUE"""),"[]")</f>
        <v>[]</v>
      </c>
      <c r="X5303" s="6" t="str">
        <f>IFERROR(__xludf.DUMMYFUNCTION("""COMPUTED_VALUE"""),"Enrolled")</f>
        <v>Enrolled</v>
      </c>
    </row>
    <row r="5304">
      <c r="A5304" s="6" t="str">
        <f>IFERROR(__xludf.DUMMYFUNCTION("""COMPUTED_VALUE"""),"086-12695")</f>
        <v>086-12695</v>
      </c>
      <c r="B5304" s="6" t="str">
        <f>IFERROR(__xludf.DUMMYFUNCTION("""COMPUTED_VALUE"""),"86")</f>
        <v>86</v>
      </c>
      <c r="C5304" s="6" t="str">
        <f>IFERROR(__xludf.DUMMYFUNCTION("""COMPUTED_VALUE"""),"12695")</f>
        <v>12695</v>
      </c>
      <c r="D5304" s="6" t="str">
        <f>IFERROR(__xludf.DUMMYFUNCTION("""COMPUTED_VALUE"""),"Kennedy")</f>
        <v>Kennedy</v>
      </c>
      <c r="E5304" s="6" t="str">
        <f>IFERROR(__xludf.DUMMYFUNCTION("""COMPUTED_VALUE"""),"")</f>
        <v/>
      </c>
      <c r="F5304" s="6" t="str">
        <f>IFERROR(__xludf.DUMMYFUNCTION("""COMPUTED_VALUE"""),"Drumwright")</f>
        <v>Drumwright</v>
      </c>
      <c r="G5304" s="6" t="str">
        <f>IFERROR(__xludf.DUMMYFUNCTION("""COMPUTED_VALUE"""),"11/03/2017")</f>
        <v>11/03/2017</v>
      </c>
      <c r="H5304" s="6" t="str">
        <f>IFERROR(__xludf.DUMMYFUNCTION("""COMPUTED_VALUE"""),"male")</f>
        <v>male</v>
      </c>
      <c r="I5304" s="6" t="str">
        <f>IFERROR(__xludf.DUMMYFUNCTION("""COMPUTED_VALUE"""),"Level 2")</f>
        <v>Level 2</v>
      </c>
      <c r="J5304" s="6" t="str">
        <f>IFERROR(__xludf.DUMMYFUNCTION("""COMPUTED_VALUE"""),"4")</f>
        <v>4</v>
      </c>
      <c r="K5304" s="6" t="str">
        <f>IFERROR(__xludf.DUMMYFUNCTION("""COMPUTED_VALUE"""),"kennedy.drumwright@2hourlearning.com")</f>
        <v>kennedy.drumwright@2hourlearning.com</v>
      </c>
      <c r="L5304" s="6" t="str">
        <f>IFERROR(__xludf.DUMMYFUNCTION("""COMPUTED_VALUE"""),"JRES - Ridgeland Elementary School")</f>
        <v>JRES - Ridgeland Elementary School</v>
      </c>
      <c r="M5304" s="6" t="str">
        <f>IFERROR(__xludf.DUMMYFUNCTION("""COMPUTED_VALUE"""),"")</f>
        <v/>
      </c>
      <c r="N5304" s="6" t="str">
        <f>IFERROR(__xludf.DUMMYFUNCTION("""COMPUTED_VALUE"""),"")</f>
        <v/>
      </c>
      <c r="O5304" s="87" t="str">
        <f>IFERROR(__xludf.DUMMYFUNCTION("""COMPUTED_VALUE"""),"https://drive.google.com/drive/folders/10T2cTQHqEJZqE-st6uFKPoI?usp=share_link")</f>
        <v>https://drive.google.com/drive/folders/10T2cTQHqEJZqE-st6uFKPoI?usp=share_link</v>
      </c>
      <c r="P5304" s="6" t="str">
        <f>IFERROR(__xludf.DUMMYFUNCTION("""COMPUTED_VALUE"""),"Kennedy Drumwright")</f>
        <v>Kennedy Drumwright</v>
      </c>
      <c r="Q5304" s="6" t="str">
        <f>IFERROR(__xludf.DUMMYFUNCTION("""COMPUTED_VALUE"""),"L2")</f>
        <v>L2</v>
      </c>
      <c r="R5304" s="6">
        <f>IFERROR(__xludf.DUMMYFUNCTION("""COMPUTED_VALUE"""),2.0)</f>
        <v>2</v>
      </c>
      <c r="S5304" s="6" t="str">
        <f>IFERROR(__xludf.DUMMYFUNCTION("""COMPUTED_VALUE"""),"Kimberly Ball")</f>
        <v>Kimberly Ball</v>
      </c>
      <c r="T5304" s="6" t="str">
        <f>IFERROR(__xludf.DUMMYFUNCTION("""COMPUTED_VALUE"""),"kimberly.ball@studient.com")</f>
        <v>kimberly.ball@studient.com</v>
      </c>
      <c r="U5304" s="6" t="str">
        <f>IFERROR(__xludf.DUMMYFUNCTION("""COMPUTED_VALUE"""),"4")</f>
        <v>4</v>
      </c>
      <c r="V5304" s="6" t="str">
        <f>IFERROR(__xludf.DUMMYFUNCTION("""COMPUTED_VALUE"""),"")</f>
        <v/>
      </c>
      <c r="W5304" s="6" t="str">
        <f>IFERROR(__xludf.DUMMYFUNCTION("""COMPUTED_VALUE"""),"[]")</f>
        <v>[]</v>
      </c>
      <c r="X5304" s="6" t="str">
        <f>IFERROR(__xludf.DUMMYFUNCTION("""COMPUTED_VALUE"""),"Enrolled")</f>
        <v>Enrolled</v>
      </c>
    </row>
    <row r="5305">
      <c r="A5305" s="6" t="str">
        <f>IFERROR(__xludf.DUMMYFUNCTION("""COMPUTED_VALUE"""),"086-12696")</f>
        <v>086-12696</v>
      </c>
      <c r="B5305" s="6" t="str">
        <f>IFERROR(__xludf.DUMMYFUNCTION("""COMPUTED_VALUE"""),"86")</f>
        <v>86</v>
      </c>
      <c r="C5305" s="6" t="str">
        <f>IFERROR(__xludf.DUMMYFUNCTION("""COMPUTED_VALUE"""),"12696")</f>
        <v>12696</v>
      </c>
      <c r="D5305" s="6" t="str">
        <f>IFERROR(__xludf.DUMMYFUNCTION("""COMPUTED_VALUE"""),"David")</f>
        <v>David</v>
      </c>
      <c r="E5305" s="6" t="str">
        <f>IFERROR(__xludf.DUMMYFUNCTION("""COMPUTED_VALUE"""),"")</f>
        <v/>
      </c>
      <c r="F5305" s="6" t="str">
        <f>IFERROR(__xludf.DUMMYFUNCTION("""COMPUTED_VALUE"""),"Duarte Montoya")</f>
        <v>Duarte Montoya</v>
      </c>
      <c r="G5305" s="6" t="str">
        <f>IFERROR(__xludf.DUMMYFUNCTION("""COMPUTED_VALUE"""),"07/19/2016")</f>
        <v>07/19/2016</v>
      </c>
      <c r="H5305" s="6" t="str">
        <f>IFERROR(__xludf.DUMMYFUNCTION("""COMPUTED_VALUE"""),"male")</f>
        <v>male</v>
      </c>
      <c r="I5305" s="6" t="str">
        <f>IFERROR(__xludf.DUMMYFUNCTION("""COMPUTED_VALUE"""),"Level 2")</f>
        <v>Level 2</v>
      </c>
      <c r="J5305" s="6" t="str">
        <f>IFERROR(__xludf.DUMMYFUNCTION("""COMPUTED_VALUE"""),"4")</f>
        <v>4</v>
      </c>
      <c r="K5305" s="6" t="str">
        <f>IFERROR(__xludf.DUMMYFUNCTION("""COMPUTED_VALUE"""),"david.duartemontoya@2hourlearning.com")</f>
        <v>david.duartemontoya@2hourlearning.com</v>
      </c>
      <c r="L5305" s="6" t="str">
        <f>IFERROR(__xludf.DUMMYFUNCTION("""COMPUTED_VALUE"""),"JRES - Ridgeland Elementary School")</f>
        <v>JRES - Ridgeland Elementary School</v>
      </c>
      <c r="M5305" s="6" t="str">
        <f>IFERROR(__xludf.DUMMYFUNCTION("""COMPUTED_VALUE"""),"")</f>
        <v/>
      </c>
      <c r="N5305" s="6" t="str">
        <f>IFERROR(__xludf.DUMMYFUNCTION("""COMPUTED_VALUE"""),"")</f>
        <v/>
      </c>
      <c r="O5305" s="87" t="str">
        <f>IFERROR(__xludf.DUMMYFUNCTION("""COMPUTED_VALUE"""),"https://drive.google.com/drive/folders/10T2cTQHqEJZqE-st6uFKPoI?usp=share_link")</f>
        <v>https://drive.google.com/drive/folders/10T2cTQHqEJZqE-st6uFKPoI?usp=share_link</v>
      </c>
      <c r="P5305" s="6" t="str">
        <f>IFERROR(__xludf.DUMMYFUNCTION("""COMPUTED_VALUE"""),"David Duarte Montoya")</f>
        <v>David Duarte Montoya</v>
      </c>
      <c r="Q5305" s="6" t="str">
        <f>IFERROR(__xludf.DUMMYFUNCTION("""COMPUTED_VALUE"""),"L2")</f>
        <v>L2</v>
      </c>
      <c r="R5305" s="6">
        <f>IFERROR(__xludf.DUMMYFUNCTION("""COMPUTED_VALUE"""),2.0)</f>
        <v>2</v>
      </c>
      <c r="S5305" s="6" t="str">
        <f>IFERROR(__xludf.DUMMYFUNCTION("""COMPUTED_VALUE"""),"Kimberly Ball")</f>
        <v>Kimberly Ball</v>
      </c>
      <c r="T5305" s="6" t="str">
        <f>IFERROR(__xludf.DUMMYFUNCTION("""COMPUTED_VALUE"""),"kimberly.ball@studient.com")</f>
        <v>kimberly.ball@studient.com</v>
      </c>
      <c r="U5305" s="6" t="str">
        <f>IFERROR(__xludf.DUMMYFUNCTION("""COMPUTED_VALUE"""),"4")</f>
        <v>4</v>
      </c>
      <c r="V5305" s="6" t="str">
        <f>IFERROR(__xludf.DUMMYFUNCTION("""COMPUTED_VALUE"""),"")</f>
        <v/>
      </c>
      <c r="W5305" s="6" t="str">
        <f>IFERROR(__xludf.DUMMYFUNCTION("""COMPUTED_VALUE"""),"[]")</f>
        <v>[]</v>
      </c>
      <c r="X5305" s="6" t="str">
        <f>IFERROR(__xludf.DUMMYFUNCTION("""COMPUTED_VALUE"""),"Enrolled")</f>
        <v>Enrolled</v>
      </c>
    </row>
    <row r="5306">
      <c r="A5306" s="6" t="str">
        <f>IFERROR(__xludf.DUMMYFUNCTION("""COMPUTED_VALUE"""),"086-12697")</f>
        <v>086-12697</v>
      </c>
      <c r="B5306" s="6" t="str">
        <f>IFERROR(__xludf.DUMMYFUNCTION("""COMPUTED_VALUE"""),"86")</f>
        <v>86</v>
      </c>
      <c r="C5306" s="6" t="str">
        <f>IFERROR(__xludf.DUMMYFUNCTION("""COMPUTED_VALUE"""),"12697")</f>
        <v>12697</v>
      </c>
      <c r="D5306" s="6" t="str">
        <f>IFERROR(__xludf.DUMMYFUNCTION("""COMPUTED_VALUE"""),"Nolji")</f>
        <v>Nolji</v>
      </c>
      <c r="E5306" s="6" t="str">
        <f>IFERROR(__xludf.DUMMYFUNCTION("""COMPUTED_VALUE"""),"")</f>
        <v/>
      </c>
      <c r="F5306" s="6" t="str">
        <f>IFERROR(__xludf.DUMMYFUNCTION("""COMPUTED_VALUE"""),"Dupont")</f>
        <v>Dupont</v>
      </c>
      <c r="G5306" s="6" t="str">
        <f>IFERROR(__xludf.DUMMYFUNCTION("""COMPUTED_VALUE"""),"07/23/2018")</f>
        <v>07/23/2018</v>
      </c>
      <c r="H5306" s="6" t="str">
        <f>IFERROR(__xludf.DUMMYFUNCTION("""COMPUTED_VALUE"""),"female")</f>
        <v>female</v>
      </c>
      <c r="I5306" s="6" t="str">
        <f>IFERROR(__xludf.DUMMYFUNCTION("""COMPUTED_VALUE"""),"Level 2")</f>
        <v>Level 2</v>
      </c>
      <c r="J5306" s="6" t="str">
        <f>IFERROR(__xludf.DUMMYFUNCTION("""COMPUTED_VALUE"""),"4")</f>
        <v>4</v>
      </c>
      <c r="K5306" s="6" t="str">
        <f>IFERROR(__xludf.DUMMYFUNCTION("""COMPUTED_VALUE"""),"nolji.dupont@2hourlearning.com")</f>
        <v>nolji.dupont@2hourlearning.com</v>
      </c>
      <c r="L5306" s="6" t="str">
        <f>IFERROR(__xludf.DUMMYFUNCTION("""COMPUTED_VALUE"""),"JRES - Ridgeland Elementary School")</f>
        <v>JRES - Ridgeland Elementary School</v>
      </c>
      <c r="M5306" s="6" t="str">
        <f>IFERROR(__xludf.DUMMYFUNCTION("""COMPUTED_VALUE"""),"")</f>
        <v/>
      </c>
      <c r="N5306" s="6" t="str">
        <f>IFERROR(__xludf.DUMMYFUNCTION("""COMPUTED_VALUE"""),"")</f>
        <v/>
      </c>
      <c r="O5306" s="87" t="str">
        <f>IFERROR(__xludf.DUMMYFUNCTION("""COMPUTED_VALUE"""),"https://drive.google.com/drive/folders/10T2cTQHqEJZqE-st6uFKPoI?usp=share_link")</f>
        <v>https://drive.google.com/drive/folders/10T2cTQHqEJZqE-st6uFKPoI?usp=share_link</v>
      </c>
      <c r="P5306" s="6" t="str">
        <f>IFERROR(__xludf.DUMMYFUNCTION("""COMPUTED_VALUE"""),"Nolji Dupont")</f>
        <v>Nolji Dupont</v>
      </c>
      <c r="Q5306" s="6" t="str">
        <f>IFERROR(__xludf.DUMMYFUNCTION("""COMPUTED_VALUE"""),"L2")</f>
        <v>L2</v>
      </c>
      <c r="R5306" s="6">
        <f>IFERROR(__xludf.DUMMYFUNCTION("""COMPUTED_VALUE"""),2.0)</f>
        <v>2</v>
      </c>
      <c r="S5306" s="6" t="str">
        <f>IFERROR(__xludf.DUMMYFUNCTION("""COMPUTED_VALUE"""),"Kimberly Ball")</f>
        <v>Kimberly Ball</v>
      </c>
      <c r="T5306" s="6" t="str">
        <f>IFERROR(__xludf.DUMMYFUNCTION("""COMPUTED_VALUE"""),"kimberly.ball@studient.com")</f>
        <v>kimberly.ball@studient.com</v>
      </c>
      <c r="U5306" s="6" t="str">
        <f>IFERROR(__xludf.DUMMYFUNCTION("""COMPUTED_VALUE"""),"4")</f>
        <v>4</v>
      </c>
      <c r="V5306" s="6" t="str">
        <f>IFERROR(__xludf.DUMMYFUNCTION("""COMPUTED_VALUE"""),"")</f>
        <v/>
      </c>
      <c r="W5306" s="6" t="str">
        <f>IFERROR(__xludf.DUMMYFUNCTION("""COMPUTED_VALUE"""),"[]")</f>
        <v>[]</v>
      </c>
      <c r="X5306" s="6" t="str">
        <f>IFERROR(__xludf.DUMMYFUNCTION("""COMPUTED_VALUE"""),"Enrolled")</f>
        <v>Enrolled</v>
      </c>
    </row>
    <row r="5307">
      <c r="A5307" s="6" t="str">
        <f>IFERROR(__xludf.DUMMYFUNCTION("""COMPUTED_VALUE"""),"086-12698")</f>
        <v>086-12698</v>
      </c>
      <c r="B5307" s="6" t="str">
        <f>IFERROR(__xludf.DUMMYFUNCTION("""COMPUTED_VALUE"""),"86")</f>
        <v>86</v>
      </c>
      <c r="C5307" s="6" t="str">
        <f>IFERROR(__xludf.DUMMYFUNCTION("""COMPUTED_VALUE"""),"12698")</f>
        <v>12698</v>
      </c>
      <c r="D5307" s="6" t="str">
        <f>IFERROR(__xludf.DUMMYFUNCTION("""COMPUTED_VALUE"""),"Mason")</f>
        <v>Mason</v>
      </c>
      <c r="E5307" s="6" t="str">
        <f>IFERROR(__xludf.DUMMYFUNCTION("""COMPUTED_VALUE"""),"")</f>
        <v/>
      </c>
      <c r="F5307" s="6" t="str">
        <f>IFERROR(__xludf.DUMMYFUNCTION("""COMPUTED_VALUE"""),"Enlow")</f>
        <v>Enlow</v>
      </c>
      <c r="G5307" s="6" t="str">
        <f>IFERROR(__xludf.DUMMYFUNCTION("""COMPUTED_VALUE"""),"12/14/2014")</f>
        <v>12/14/2014</v>
      </c>
      <c r="H5307" s="6" t="str">
        <f>IFERROR(__xludf.DUMMYFUNCTION("""COMPUTED_VALUE"""),"male")</f>
        <v>male</v>
      </c>
      <c r="I5307" s="6" t="str">
        <f>IFERROR(__xludf.DUMMYFUNCTION("""COMPUTED_VALUE"""),"Level 2")</f>
        <v>Level 2</v>
      </c>
      <c r="J5307" s="6" t="str">
        <f>IFERROR(__xludf.DUMMYFUNCTION("""COMPUTED_VALUE"""),"4")</f>
        <v>4</v>
      </c>
      <c r="K5307" s="6" t="str">
        <f>IFERROR(__xludf.DUMMYFUNCTION("""COMPUTED_VALUE"""),"mason.enlow@2hourlearning.com")</f>
        <v>mason.enlow@2hourlearning.com</v>
      </c>
      <c r="L5307" s="6" t="str">
        <f>IFERROR(__xludf.DUMMYFUNCTION("""COMPUTED_VALUE"""),"JRES - Ridgeland Elementary School")</f>
        <v>JRES - Ridgeland Elementary School</v>
      </c>
      <c r="M5307" s="6" t="str">
        <f>IFERROR(__xludf.DUMMYFUNCTION("""COMPUTED_VALUE"""),"")</f>
        <v/>
      </c>
      <c r="N5307" s="6" t="str">
        <f>IFERROR(__xludf.DUMMYFUNCTION("""COMPUTED_VALUE"""),"")</f>
        <v/>
      </c>
      <c r="O5307" s="87" t="str">
        <f>IFERROR(__xludf.DUMMYFUNCTION("""COMPUTED_VALUE"""),"https://drive.google.com/drive/folders/10T2cTQHqEJZqE-st6uFKPoI?usp=share_link")</f>
        <v>https://drive.google.com/drive/folders/10T2cTQHqEJZqE-st6uFKPoI?usp=share_link</v>
      </c>
      <c r="P5307" s="6" t="str">
        <f>IFERROR(__xludf.DUMMYFUNCTION("""COMPUTED_VALUE"""),"Mason Enlow")</f>
        <v>Mason Enlow</v>
      </c>
      <c r="Q5307" s="6" t="str">
        <f>IFERROR(__xludf.DUMMYFUNCTION("""COMPUTED_VALUE"""),"L2")</f>
        <v>L2</v>
      </c>
      <c r="R5307" s="6">
        <f>IFERROR(__xludf.DUMMYFUNCTION("""COMPUTED_VALUE"""),2.0)</f>
        <v>2</v>
      </c>
      <c r="S5307" s="6" t="str">
        <f>IFERROR(__xludf.DUMMYFUNCTION("""COMPUTED_VALUE"""),"Kimberly Ball")</f>
        <v>Kimberly Ball</v>
      </c>
      <c r="T5307" s="6" t="str">
        <f>IFERROR(__xludf.DUMMYFUNCTION("""COMPUTED_VALUE"""),"kimberly.ball@studient.com")</f>
        <v>kimberly.ball@studient.com</v>
      </c>
      <c r="U5307" s="6" t="str">
        <f>IFERROR(__xludf.DUMMYFUNCTION("""COMPUTED_VALUE"""),"4")</f>
        <v>4</v>
      </c>
      <c r="V5307" s="6" t="str">
        <f>IFERROR(__xludf.DUMMYFUNCTION("""COMPUTED_VALUE"""),"")</f>
        <v/>
      </c>
      <c r="W5307" s="6" t="str">
        <f>IFERROR(__xludf.DUMMYFUNCTION("""COMPUTED_VALUE"""),"[]")</f>
        <v>[]</v>
      </c>
      <c r="X5307" s="6" t="str">
        <f>IFERROR(__xludf.DUMMYFUNCTION("""COMPUTED_VALUE"""),"Enrolled")</f>
        <v>Enrolled</v>
      </c>
    </row>
    <row r="5308">
      <c r="A5308" s="6" t="str">
        <f>IFERROR(__xludf.DUMMYFUNCTION("""COMPUTED_VALUE"""),"086-12699")</f>
        <v>086-12699</v>
      </c>
      <c r="B5308" s="6" t="str">
        <f>IFERROR(__xludf.DUMMYFUNCTION("""COMPUTED_VALUE"""),"86")</f>
        <v>86</v>
      </c>
      <c r="C5308" s="6" t="str">
        <f>IFERROR(__xludf.DUMMYFUNCTION("""COMPUTED_VALUE"""),"12699")</f>
        <v>12699</v>
      </c>
      <c r="D5308" s="6" t="str">
        <f>IFERROR(__xludf.DUMMYFUNCTION("""COMPUTED_VALUE"""),"Uriel")</f>
        <v>Uriel</v>
      </c>
      <c r="E5308" s="6" t="str">
        <f>IFERROR(__xludf.DUMMYFUNCTION("""COMPUTED_VALUE"""),"")</f>
        <v/>
      </c>
      <c r="F5308" s="6" t="str">
        <f>IFERROR(__xludf.DUMMYFUNCTION("""COMPUTED_VALUE"""),"Flores Hernandez")</f>
        <v>Flores Hernandez</v>
      </c>
      <c r="G5308" s="6" t="str">
        <f>IFERROR(__xludf.DUMMYFUNCTION("""COMPUTED_VALUE"""),"04/09/2015")</f>
        <v>04/09/2015</v>
      </c>
      <c r="H5308" s="6" t="str">
        <f>IFERROR(__xludf.DUMMYFUNCTION("""COMPUTED_VALUE"""),"female")</f>
        <v>female</v>
      </c>
      <c r="I5308" s="6" t="str">
        <f>IFERROR(__xludf.DUMMYFUNCTION("""COMPUTED_VALUE"""),"Level 2")</f>
        <v>Level 2</v>
      </c>
      <c r="J5308" s="6" t="str">
        <f>IFERROR(__xludf.DUMMYFUNCTION("""COMPUTED_VALUE"""),"4")</f>
        <v>4</v>
      </c>
      <c r="K5308" s="6" t="str">
        <f>IFERROR(__xludf.DUMMYFUNCTION("""COMPUTED_VALUE"""),"uriel.floreshernandez@2hourlearning.com")</f>
        <v>uriel.floreshernandez@2hourlearning.com</v>
      </c>
      <c r="L5308" s="6" t="str">
        <f>IFERROR(__xludf.DUMMYFUNCTION("""COMPUTED_VALUE"""),"JRES - Ridgeland Elementary School")</f>
        <v>JRES - Ridgeland Elementary School</v>
      </c>
      <c r="M5308" s="6" t="str">
        <f>IFERROR(__xludf.DUMMYFUNCTION("""COMPUTED_VALUE"""),"")</f>
        <v/>
      </c>
      <c r="N5308" s="6" t="str">
        <f>IFERROR(__xludf.DUMMYFUNCTION("""COMPUTED_VALUE"""),"")</f>
        <v/>
      </c>
      <c r="O5308" s="87" t="str">
        <f>IFERROR(__xludf.DUMMYFUNCTION("""COMPUTED_VALUE"""),"https://drive.google.com/drive/folders/10T2cTQHqEJZqE-st6uFKPoI?usp=share_link")</f>
        <v>https://drive.google.com/drive/folders/10T2cTQHqEJZqE-st6uFKPoI?usp=share_link</v>
      </c>
      <c r="P5308" s="6" t="str">
        <f>IFERROR(__xludf.DUMMYFUNCTION("""COMPUTED_VALUE"""),"Uriel Flores Hernandez")</f>
        <v>Uriel Flores Hernandez</v>
      </c>
      <c r="Q5308" s="6" t="str">
        <f>IFERROR(__xludf.DUMMYFUNCTION("""COMPUTED_VALUE"""),"L2")</f>
        <v>L2</v>
      </c>
      <c r="R5308" s="6">
        <f>IFERROR(__xludf.DUMMYFUNCTION("""COMPUTED_VALUE"""),2.0)</f>
        <v>2</v>
      </c>
      <c r="S5308" s="6" t="str">
        <f>IFERROR(__xludf.DUMMYFUNCTION("""COMPUTED_VALUE"""),"Kimberly Ball")</f>
        <v>Kimberly Ball</v>
      </c>
      <c r="T5308" s="6" t="str">
        <f>IFERROR(__xludf.DUMMYFUNCTION("""COMPUTED_VALUE"""),"kimberly.ball@studient.com")</f>
        <v>kimberly.ball@studient.com</v>
      </c>
      <c r="U5308" s="6" t="str">
        <f>IFERROR(__xludf.DUMMYFUNCTION("""COMPUTED_VALUE"""),"4")</f>
        <v>4</v>
      </c>
      <c r="V5308" s="6" t="str">
        <f>IFERROR(__xludf.DUMMYFUNCTION("""COMPUTED_VALUE"""),"")</f>
        <v/>
      </c>
      <c r="W5308" s="6" t="str">
        <f>IFERROR(__xludf.DUMMYFUNCTION("""COMPUTED_VALUE"""),"[]")</f>
        <v>[]</v>
      </c>
      <c r="X5308" s="6" t="str">
        <f>IFERROR(__xludf.DUMMYFUNCTION("""COMPUTED_VALUE"""),"Enrolled")</f>
        <v>Enrolled</v>
      </c>
    </row>
    <row r="5309">
      <c r="A5309" s="6" t="str">
        <f>IFERROR(__xludf.DUMMYFUNCTION("""COMPUTED_VALUE"""),"086-12700")</f>
        <v>086-12700</v>
      </c>
      <c r="B5309" s="6" t="str">
        <f>IFERROR(__xludf.DUMMYFUNCTION("""COMPUTED_VALUE"""),"86")</f>
        <v>86</v>
      </c>
      <c r="C5309" s="6" t="str">
        <f>IFERROR(__xludf.DUMMYFUNCTION("""COMPUTED_VALUE"""),"12700")</f>
        <v>12700</v>
      </c>
      <c r="D5309" s="6" t="str">
        <f>IFERROR(__xludf.DUMMYFUNCTION("""COMPUTED_VALUE"""),"Luis")</f>
        <v>Luis</v>
      </c>
      <c r="E5309" s="6" t="str">
        <f>IFERROR(__xludf.DUMMYFUNCTION("""COMPUTED_VALUE"""),"")</f>
        <v/>
      </c>
      <c r="F5309" s="6" t="str">
        <f>IFERROR(__xludf.DUMMYFUNCTION("""COMPUTED_VALUE"""),"Flores Mendez")</f>
        <v>Flores Mendez</v>
      </c>
      <c r="G5309" s="6" t="str">
        <f>IFERROR(__xludf.DUMMYFUNCTION("""COMPUTED_VALUE"""),"08/04/2014")</f>
        <v>08/04/2014</v>
      </c>
      <c r="H5309" s="6" t="str">
        <f>IFERROR(__xludf.DUMMYFUNCTION("""COMPUTED_VALUE"""),"male")</f>
        <v>male</v>
      </c>
      <c r="I5309" s="6" t="str">
        <f>IFERROR(__xludf.DUMMYFUNCTION("""COMPUTED_VALUE"""),"Level 2")</f>
        <v>Level 2</v>
      </c>
      <c r="J5309" s="6" t="str">
        <f>IFERROR(__xludf.DUMMYFUNCTION("""COMPUTED_VALUE"""),"4")</f>
        <v>4</v>
      </c>
      <c r="K5309" s="6" t="str">
        <f>IFERROR(__xludf.DUMMYFUNCTION("""COMPUTED_VALUE"""),"luis.floresmendez@2hourlearning.com")</f>
        <v>luis.floresmendez@2hourlearning.com</v>
      </c>
      <c r="L5309" s="6" t="str">
        <f>IFERROR(__xludf.DUMMYFUNCTION("""COMPUTED_VALUE"""),"JRES - Ridgeland Elementary School")</f>
        <v>JRES - Ridgeland Elementary School</v>
      </c>
      <c r="M5309" s="6" t="str">
        <f>IFERROR(__xludf.DUMMYFUNCTION("""COMPUTED_VALUE"""),"")</f>
        <v/>
      </c>
      <c r="N5309" s="6" t="str">
        <f>IFERROR(__xludf.DUMMYFUNCTION("""COMPUTED_VALUE"""),"")</f>
        <v/>
      </c>
      <c r="O5309" s="87" t="str">
        <f>IFERROR(__xludf.DUMMYFUNCTION("""COMPUTED_VALUE"""),"https://drive.google.com/drive/folders/10T2cTQHqEJZqE-st6uFKPoI?usp=share_link")</f>
        <v>https://drive.google.com/drive/folders/10T2cTQHqEJZqE-st6uFKPoI?usp=share_link</v>
      </c>
      <c r="P5309" s="6" t="str">
        <f>IFERROR(__xludf.DUMMYFUNCTION("""COMPUTED_VALUE"""),"Luis Flores Mendez")</f>
        <v>Luis Flores Mendez</v>
      </c>
      <c r="Q5309" s="6" t="str">
        <f>IFERROR(__xludf.DUMMYFUNCTION("""COMPUTED_VALUE"""),"L2")</f>
        <v>L2</v>
      </c>
      <c r="R5309" s="6">
        <f>IFERROR(__xludf.DUMMYFUNCTION("""COMPUTED_VALUE"""),2.0)</f>
        <v>2</v>
      </c>
      <c r="S5309" s="6" t="str">
        <f>IFERROR(__xludf.DUMMYFUNCTION("""COMPUTED_VALUE"""),"Kimberly Ball")</f>
        <v>Kimberly Ball</v>
      </c>
      <c r="T5309" s="6" t="str">
        <f>IFERROR(__xludf.DUMMYFUNCTION("""COMPUTED_VALUE"""),"kimberly.ball@studient.com")</f>
        <v>kimberly.ball@studient.com</v>
      </c>
      <c r="U5309" s="6" t="str">
        <f>IFERROR(__xludf.DUMMYFUNCTION("""COMPUTED_VALUE"""),"4")</f>
        <v>4</v>
      </c>
      <c r="V5309" s="6" t="str">
        <f>IFERROR(__xludf.DUMMYFUNCTION("""COMPUTED_VALUE"""),"")</f>
        <v/>
      </c>
      <c r="W5309" s="6" t="str">
        <f>IFERROR(__xludf.DUMMYFUNCTION("""COMPUTED_VALUE"""),"[]")</f>
        <v>[]</v>
      </c>
      <c r="X5309" s="6" t="str">
        <f>IFERROR(__xludf.DUMMYFUNCTION("""COMPUTED_VALUE"""),"Enrolled")</f>
        <v>Enrolled</v>
      </c>
    </row>
    <row r="5310">
      <c r="A5310" s="6" t="str">
        <f>IFERROR(__xludf.DUMMYFUNCTION("""COMPUTED_VALUE"""),"086-12701")</f>
        <v>086-12701</v>
      </c>
      <c r="B5310" s="6" t="str">
        <f>IFERROR(__xludf.DUMMYFUNCTION("""COMPUTED_VALUE"""),"86")</f>
        <v>86</v>
      </c>
      <c r="C5310" s="6" t="str">
        <f>IFERROR(__xludf.DUMMYFUNCTION("""COMPUTED_VALUE"""),"12701")</f>
        <v>12701</v>
      </c>
      <c r="D5310" s="6" t="str">
        <f>IFERROR(__xludf.DUMMYFUNCTION("""COMPUTED_VALUE"""),"Ava")</f>
        <v>Ava</v>
      </c>
      <c r="E5310" s="6" t="str">
        <f>IFERROR(__xludf.DUMMYFUNCTION("""COMPUTED_VALUE"""),"")</f>
        <v/>
      </c>
      <c r="F5310" s="6" t="str">
        <f>IFERROR(__xludf.DUMMYFUNCTION("""COMPUTED_VALUE"""),"Fulmore")</f>
        <v>Fulmore</v>
      </c>
      <c r="G5310" s="6" t="str">
        <f>IFERROR(__xludf.DUMMYFUNCTION("""COMPUTED_VALUE"""),"05/14/2015")</f>
        <v>05/14/2015</v>
      </c>
      <c r="H5310" s="6" t="str">
        <f>IFERROR(__xludf.DUMMYFUNCTION("""COMPUTED_VALUE"""),"male")</f>
        <v>male</v>
      </c>
      <c r="I5310" s="6" t="str">
        <f>IFERROR(__xludf.DUMMYFUNCTION("""COMPUTED_VALUE"""),"Level 2")</f>
        <v>Level 2</v>
      </c>
      <c r="J5310" s="6" t="str">
        <f>IFERROR(__xludf.DUMMYFUNCTION("""COMPUTED_VALUE"""),"4")</f>
        <v>4</v>
      </c>
      <c r="K5310" s="6" t="str">
        <f>IFERROR(__xludf.DUMMYFUNCTION("""COMPUTED_VALUE"""),"ava.fulmore@2hourlearning.com")</f>
        <v>ava.fulmore@2hourlearning.com</v>
      </c>
      <c r="L5310" s="6" t="str">
        <f>IFERROR(__xludf.DUMMYFUNCTION("""COMPUTED_VALUE"""),"JRES - Ridgeland Elementary School")</f>
        <v>JRES - Ridgeland Elementary School</v>
      </c>
      <c r="M5310" s="6" t="str">
        <f>IFERROR(__xludf.DUMMYFUNCTION("""COMPUTED_VALUE"""),"")</f>
        <v/>
      </c>
      <c r="N5310" s="6" t="str">
        <f>IFERROR(__xludf.DUMMYFUNCTION("""COMPUTED_VALUE"""),"")</f>
        <v/>
      </c>
      <c r="O5310" s="87" t="str">
        <f>IFERROR(__xludf.DUMMYFUNCTION("""COMPUTED_VALUE"""),"https://drive.google.com/drive/folders/10T2cTQHqEJZqE-st6uFKPoI?usp=share_link")</f>
        <v>https://drive.google.com/drive/folders/10T2cTQHqEJZqE-st6uFKPoI?usp=share_link</v>
      </c>
      <c r="P5310" s="6" t="str">
        <f>IFERROR(__xludf.DUMMYFUNCTION("""COMPUTED_VALUE"""),"Ava Fulmore")</f>
        <v>Ava Fulmore</v>
      </c>
      <c r="Q5310" s="6" t="str">
        <f>IFERROR(__xludf.DUMMYFUNCTION("""COMPUTED_VALUE"""),"L2")</f>
        <v>L2</v>
      </c>
      <c r="R5310" s="6">
        <f>IFERROR(__xludf.DUMMYFUNCTION("""COMPUTED_VALUE"""),2.0)</f>
        <v>2</v>
      </c>
      <c r="S5310" s="6" t="str">
        <f>IFERROR(__xludf.DUMMYFUNCTION("""COMPUTED_VALUE"""),"Kimberly Ball")</f>
        <v>Kimberly Ball</v>
      </c>
      <c r="T5310" s="6" t="str">
        <f>IFERROR(__xludf.DUMMYFUNCTION("""COMPUTED_VALUE"""),"kimberly.ball@studient.com")</f>
        <v>kimberly.ball@studient.com</v>
      </c>
      <c r="U5310" s="6" t="str">
        <f>IFERROR(__xludf.DUMMYFUNCTION("""COMPUTED_VALUE"""),"4")</f>
        <v>4</v>
      </c>
      <c r="V5310" s="6" t="str">
        <f>IFERROR(__xludf.DUMMYFUNCTION("""COMPUTED_VALUE"""),"")</f>
        <v/>
      </c>
      <c r="W5310" s="6" t="str">
        <f>IFERROR(__xludf.DUMMYFUNCTION("""COMPUTED_VALUE"""),"[]")</f>
        <v>[]</v>
      </c>
      <c r="X5310" s="6" t="str">
        <f>IFERROR(__xludf.DUMMYFUNCTION("""COMPUTED_VALUE"""),"Enrolled")</f>
        <v>Enrolled</v>
      </c>
    </row>
    <row r="5311">
      <c r="A5311" s="6" t="str">
        <f>IFERROR(__xludf.DUMMYFUNCTION("""COMPUTED_VALUE"""),"086-12702")</f>
        <v>086-12702</v>
      </c>
      <c r="B5311" s="6" t="str">
        <f>IFERROR(__xludf.DUMMYFUNCTION("""COMPUTED_VALUE"""),"86")</f>
        <v>86</v>
      </c>
      <c r="C5311" s="6" t="str">
        <f>IFERROR(__xludf.DUMMYFUNCTION("""COMPUTED_VALUE"""),"12702")</f>
        <v>12702</v>
      </c>
      <c r="D5311" s="6" t="str">
        <f>IFERROR(__xludf.DUMMYFUNCTION("""COMPUTED_VALUE"""),"Evolet")</f>
        <v>Evolet</v>
      </c>
      <c r="E5311" s="6" t="str">
        <f>IFERROR(__xludf.DUMMYFUNCTION("""COMPUTED_VALUE"""),"")</f>
        <v/>
      </c>
      <c r="F5311" s="6" t="str">
        <f>IFERROR(__xludf.DUMMYFUNCTION("""COMPUTED_VALUE"""),"Funez")</f>
        <v>Funez</v>
      </c>
      <c r="G5311" s="6" t="str">
        <f>IFERROR(__xludf.DUMMYFUNCTION("""COMPUTED_VALUE"""),"09/05/2015")</f>
        <v>09/05/2015</v>
      </c>
      <c r="H5311" s="6" t="str">
        <f>IFERROR(__xludf.DUMMYFUNCTION("""COMPUTED_VALUE"""),"female")</f>
        <v>female</v>
      </c>
      <c r="I5311" s="6" t="str">
        <f>IFERROR(__xludf.DUMMYFUNCTION("""COMPUTED_VALUE"""),"Level 2")</f>
        <v>Level 2</v>
      </c>
      <c r="J5311" s="6" t="str">
        <f>IFERROR(__xludf.DUMMYFUNCTION("""COMPUTED_VALUE"""),"4")</f>
        <v>4</v>
      </c>
      <c r="K5311" s="6" t="str">
        <f>IFERROR(__xludf.DUMMYFUNCTION("""COMPUTED_VALUE"""),"evolet.funez@2hourlearning.com")</f>
        <v>evolet.funez@2hourlearning.com</v>
      </c>
      <c r="L5311" s="6" t="str">
        <f>IFERROR(__xludf.DUMMYFUNCTION("""COMPUTED_VALUE"""),"JRES - Ridgeland Elementary School")</f>
        <v>JRES - Ridgeland Elementary School</v>
      </c>
      <c r="M5311" s="6" t="str">
        <f>IFERROR(__xludf.DUMMYFUNCTION("""COMPUTED_VALUE"""),"")</f>
        <v/>
      </c>
      <c r="N5311" s="6" t="str">
        <f>IFERROR(__xludf.DUMMYFUNCTION("""COMPUTED_VALUE"""),"")</f>
        <v/>
      </c>
      <c r="O5311" s="87" t="str">
        <f>IFERROR(__xludf.DUMMYFUNCTION("""COMPUTED_VALUE"""),"https://drive.google.com/drive/folders/10T2cTQHqEJZqE-st6uFKPoI?usp=share_link")</f>
        <v>https://drive.google.com/drive/folders/10T2cTQHqEJZqE-st6uFKPoI?usp=share_link</v>
      </c>
      <c r="P5311" s="6" t="str">
        <f>IFERROR(__xludf.DUMMYFUNCTION("""COMPUTED_VALUE"""),"Evolet Funez")</f>
        <v>Evolet Funez</v>
      </c>
      <c r="Q5311" s="6" t="str">
        <f>IFERROR(__xludf.DUMMYFUNCTION("""COMPUTED_VALUE"""),"L2")</f>
        <v>L2</v>
      </c>
      <c r="R5311" s="6">
        <f>IFERROR(__xludf.DUMMYFUNCTION("""COMPUTED_VALUE"""),2.0)</f>
        <v>2</v>
      </c>
      <c r="S5311" s="6" t="str">
        <f>IFERROR(__xludf.DUMMYFUNCTION("""COMPUTED_VALUE"""),"Kimberly Ball")</f>
        <v>Kimberly Ball</v>
      </c>
      <c r="T5311" s="6" t="str">
        <f>IFERROR(__xludf.DUMMYFUNCTION("""COMPUTED_VALUE"""),"kimberly.ball@studient.com")</f>
        <v>kimberly.ball@studient.com</v>
      </c>
      <c r="U5311" s="6" t="str">
        <f>IFERROR(__xludf.DUMMYFUNCTION("""COMPUTED_VALUE"""),"4")</f>
        <v>4</v>
      </c>
      <c r="V5311" s="6" t="str">
        <f>IFERROR(__xludf.DUMMYFUNCTION("""COMPUTED_VALUE"""),"")</f>
        <v/>
      </c>
      <c r="W5311" s="6" t="str">
        <f>IFERROR(__xludf.DUMMYFUNCTION("""COMPUTED_VALUE"""),"[]")</f>
        <v>[]</v>
      </c>
      <c r="X5311" s="6" t="str">
        <f>IFERROR(__xludf.DUMMYFUNCTION("""COMPUTED_VALUE"""),"Enrolled")</f>
        <v>Enrolled</v>
      </c>
    </row>
    <row r="5312">
      <c r="A5312" s="6" t="str">
        <f>IFERROR(__xludf.DUMMYFUNCTION("""COMPUTED_VALUE"""),"086-12703")</f>
        <v>086-12703</v>
      </c>
      <c r="B5312" s="6" t="str">
        <f>IFERROR(__xludf.DUMMYFUNCTION("""COMPUTED_VALUE"""),"86")</f>
        <v>86</v>
      </c>
      <c r="C5312" s="6" t="str">
        <f>IFERROR(__xludf.DUMMYFUNCTION("""COMPUTED_VALUE"""),"12703")</f>
        <v>12703</v>
      </c>
      <c r="D5312" s="6" t="str">
        <f>IFERROR(__xludf.DUMMYFUNCTION("""COMPUTED_VALUE"""),"Uriel")</f>
        <v>Uriel</v>
      </c>
      <c r="E5312" s="6" t="str">
        <f>IFERROR(__xludf.DUMMYFUNCTION("""COMPUTED_VALUE"""),"")</f>
        <v/>
      </c>
      <c r="F5312" s="6" t="str">
        <f>IFERROR(__xludf.DUMMYFUNCTION("""COMPUTED_VALUE"""),"Gabriel")</f>
        <v>Gabriel</v>
      </c>
      <c r="G5312" s="6" t="str">
        <f>IFERROR(__xludf.DUMMYFUNCTION("""COMPUTED_VALUE"""),"01/14/2018")</f>
        <v>01/14/2018</v>
      </c>
      <c r="H5312" s="6" t="str">
        <f>IFERROR(__xludf.DUMMYFUNCTION("""COMPUTED_VALUE"""),"female")</f>
        <v>female</v>
      </c>
      <c r="I5312" s="6" t="str">
        <f>IFERROR(__xludf.DUMMYFUNCTION("""COMPUTED_VALUE"""),"Level 2")</f>
        <v>Level 2</v>
      </c>
      <c r="J5312" s="6" t="str">
        <f>IFERROR(__xludf.DUMMYFUNCTION("""COMPUTED_VALUE"""),"4")</f>
        <v>4</v>
      </c>
      <c r="K5312" s="6" t="str">
        <f>IFERROR(__xludf.DUMMYFUNCTION("""COMPUTED_VALUE"""),"uriel.gabriel@2hourlearning.com")</f>
        <v>uriel.gabriel@2hourlearning.com</v>
      </c>
      <c r="L5312" s="6" t="str">
        <f>IFERROR(__xludf.DUMMYFUNCTION("""COMPUTED_VALUE"""),"JRES - Ridgeland Elementary School")</f>
        <v>JRES - Ridgeland Elementary School</v>
      </c>
      <c r="M5312" s="6" t="str">
        <f>IFERROR(__xludf.DUMMYFUNCTION("""COMPUTED_VALUE"""),"")</f>
        <v/>
      </c>
      <c r="N5312" s="6" t="str">
        <f>IFERROR(__xludf.DUMMYFUNCTION("""COMPUTED_VALUE"""),"")</f>
        <v/>
      </c>
      <c r="O5312" s="87" t="str">
        <f>IFERROR(__xludf.DUMMYFUNCTION("""COMPUTED_VALUE"""),"https://drive.google.com/drive/folders/10T2cTQHqEJZqE-st6uFKPoI?usp=share_link")</f>
        <v>https://drive.google.com/drive/folders/10T2cTQHqEJZqE-st6uFKPoI?usp=share_link</v>
      </c>
      <c r="P5312" s="6" t="str">
        <f>IFERROR(__xludf.DUMMYFUNCTION("""COMPUTED_VALUE"""),"Uriel Gabriel")</f>
        <v>Uriel Gabriel</v>
      </c>
      <c r="Q5312" s="6" t="str">
        <f>IFERROR(__xludf.DUMMYFUNCTION("""COMPUTED_VALUE"""),"L2")</f>
        <v>L2</v>
      </c>
      <c r="R5312" s="6">
        <f>IFERROR(__xludf.DUMMYFUNCTION("""COMPUTED_VALUE"""),2.0)</f>
        <v>2</v>
      </c>
      <c r="S5312" s="6" t="str">
        <f>IFERROR(__xludf.DUMMYFUNCTION("""COMPUTED_VALUE"""),"Kimberly Ball")</f>
        <v>Kimberly Ball</v>
      </c>
      <c r="T5312" s="6" t="str">
        <f>IFERROR(__xludf.DUMMYFUNCTION("""COMPUTED_VALUE"""),"kimberly.ball@studient.com")</f>
        <v>kimberly.ball@studient.com</v>
      </c>
      <c r="U5312" s="6" t="str">
        <f>IFERROR(__xludf.DUMMYFUNCTION("""COMPUTED_VALUE"""),"4")</f>
        <v>4</v>
      </c>
      <c r="V5312" s="6" t="str">
        <f>IFERROR(__xludf.DUMMYFUNCTION("""COMPUTED_VALUE"""),"")</f>
        <v/>
      </c>
      <c r="W5312" s="6" t="str">
        <f>IFERROR(__xludf.DUMMYFUNCTION("""COMPUTED_VALUE"""),"[]")</f>
        <v>[]</v>
      </c>
      <c r="X5312" s="6" t="str">
        <f>IFERROR(__xludf.DUMMYFUNCTION("""COMPUTED_VALUE"""),"Enrolled")</f>
        <v>Enrolled</v>
      </c>
    </row>
    <row r="5313">
      <c r="A5313" s="6" t="str">
        <f>IFERROR(__xludf.DUMMYFUNCTION("""COMPUTED_VALUE"""),"086-12704")</f>
        <v>086-12704</v>
      </c>
      <c r="B5313" s="6" t="str">
        <f>IFERROR(__xludf.DUMMYFUNCTION("""COMPUTED_VALUE"""),"86")</f>
        <v>86</v>
      </c>
      <c r="C5313" s="6" t="str">
        <f>IFERROR(__xludf.DUMMYFUNCTION("""COMPUTED_VALUE"""),"12704")</f>
        <v>12704</v>
      </c>
      <c r="D5313" s="6" t="str">
        <f>IFERROR(__xludf.DUMMYFUNCTION("""COMPUTED_VALUE"""),"Dannia")</f>
        <v>Dannia</v>
      </c>
      <c r="E5313" s="6" t="str">
        <f>IFERROR(__xludf.DUMMYFUNCTION("""COMPUTED_VALUE"""),"")</f>
        <v/>
      </c>
      <c r="F5313" s="6" t="str">
        <f>IFERROR(__xludf.DUMMYFUNCTION("""COMPUTED_VALUE"""),"Galvan Sauceda")</f>
        <v>Galvan Sauceda</v>
      </c>
      <c r="G5313" s="6" t="str">
        <f>IFERROR(__xludf.DUMMYFUNCTION("""COMPUTED_VALUE"""),"07/01/2015")</f>
        <v>07/01/2015</v>
      </c>
      <c r="H5313" s="6" t="str">
        <f>IFERROR(__xludf.DUMMYFUNCTION("""COMPUTED_VALUE"""),"male")</f>
        <v>male</v>
      </c>
      <c r="I5313" s="6" t="str">
        <f>IFERROR(__xludf.DUMMYFUNCTION("""COMPUTED_VALUE"""),"Level 2")</f>
        <v>Level 2</v>
      </c>
      <c r="J5313" s="6" t="str">
        <f>IFERROR(__xludf.DUMMYFUNCTION("""COMPUTED_VALUE"""),"4")</f>
        <v>4</v>
      </c>
      <c r="K5313" s="6" t="str">
        <f>IFERROR(__xludf.DUMMYFUNCTION("""COMPUTED_VALUE"""),"dannia.galvansauceda@2hourlearning.com")</f>
        <v>dannia.galvansauceda@2hourlearning.com</v>
      </c>
      <c r="L5313" s="6" t="str">
        <f>IFERROR(__xludf.DUMMYFUNCTION("""COMPUTED_VALUE"""),"JRES - Ridgeland Elementary School")</f>
        <v>JRES - Ridgeland Elementary School</v>
      </c>
      <c r="M5313" s="6" t="str">
        <f>IFERROR(__xludf.DUMMYFUNCTION("""COMPUTED_VALUE"""),"")</f>
        <v/>
      </c>
      <c r="N5313" s="6" t="str">
        <f>IFERROR(__xludf.DUMMYFUNCTION("""COMPUTED_VALUE"""),"")</f>
        <v/>
      </c>
      <c r="O5313" s="87" t="str">
        <f>IFERROR(__xludf.DUMMYFUNCTION("""COMPUTED_VALUE"""),"https://drive.google.com/drive/folders/10T2cTQHqEJZqE-st6uFKPoI?usp=share_link")</f>
        <v>https://drive.google.com/drive/folders/10T2cTQHqEJZqE-st6uFKPoI?usp=share_link</v>
      </c>
      <c r="P5313" s="6" t="str">
        <f>IFERROR(__xludf.DUMMYFUNCTION("""COMPUTED_VALUE"""),"Dannia Galvan Sauceda")</f>
        <v>Dannia Galvan Sauceda</v>
      </c>
      <c r="Q5313" s="6" t="str">
        <f>IFERROR(__xludf.DUMMYFUNCTION("""COMPUTED_VALUE"""),"L2")</f>
        <v>L2</v>
      </c>
      <c r="R5313" s="6">
        <f>IFERROR(__xludf.DUMMYFUNCTION("""COMPUTED_VALUE"""),2.0)</f>
        <v>2</v>
      </c>
      <c r="S5313" s="6" t="str">
        <f>IFERROR(__xludf.DUMMYFUNCTION("""COMPUTED_VALUE"""),"Kimberly Ball")</f>
        <v>Kimberly Ball</v>
      </c>
      <c r="T5313" s="6" t="str">
        <f>IFERROR(__xludf.DUMMYFUNCTION("""COMPUTED_VALUE"""),"kimberly.ball@studient.com")</f>
        <v>kimberly.ball@studient.com</v>
      </c>
      <c r="U5313" s="6" t="str">
        <f>IFERROR(__xludf.DUMMYFUNCTION("""COMPUTED_VALUE"""),"4")</f>
        <v>4</v>
      </c>
      <c r="V5313" s="6" t="str">
        <f>IFERROR(__xludf.DUMMYFUNCTION("""COMPUTED_VALUE"""),"")</f>
        <v/>
      </c>
      <c r="W5313" s="6" t="str">
        <f>IFERROR(__xludf.DUMMYFUNCTION("""COMPUTED_VALUE"""),"[]")</f>
        <v>[]</v>
      </c>
      <c r="X5313" s="6" t="str">
        <f>IFERROR(__xludf.DUMMYFUNCTION("""COMPUTED_VALUE"""),"Enrolled")</f>
        <v>Enrolled</v>
      </c>
    </row>
    <row r="5314">
      <c r="A5314" s="6" t="str">
        <f>IFERROR(__xludf.DUMMYFUNCTION("""COMPUTED_VALUE"""),"086-12705")</f>
        <v>086-12705</v>
      </c>
      <c r="B5314" s="6" t="str">
        <f>IFERROR(__xludf.DUMMYFUNCTION("""COMPUTED_VALUE"""),"86")</f>
        <v>86</v>
      </c>
      <c r="C5314" s="6" t="str">
        <f>IFERROR(__xludf.DUMMYFUNCTION("""COMPUTED_VALUE"""),"12705")</f>
        <v>12705</v>
      </c>
      <c r="D5314" s="6" t="str">
        <f>IFERROR(__xludf.DUMMYFUNCTION("""COMPUTED_VALUE"""),"Ivanna")</f>
        <v>Ivanna</v>
      </c>
      <c r="E5314" s="6" t="str">
        <f>IFERROR(__xludf.DUMMYFUNCTION("""COMPUTED_VALUE"""),"")</f>
        <v/>
      </c>
      <c r="F5314" s="6" t="str">
        <f>IFERROR(__xludf.DUMMYFUNCTION("""COMPUTED_VALUE"""),"Garcia-Morales")</f>
        <v>Garcia-Morales</v>
      </c>
      <c r="G5314" s="6" t="str">
        <f>IFERROR(__xludf.DUMMYFUNCTION("""COMPUTED_VALUE"""),"05/30/2015")</f>
        <v>05/30/2015</v>
      </c>
      <c r="H5314" s="6" t="str">
        <f>IFERROR(__xludf.DUMMYFUNCTION("""COMPUTED_VALUE"""),"male")</f>
        <v>male</v>
      </c>
      <c r="I5314" s="6" t="str">
        <f>IFERROR(__xludf.DUMMYFUNCTION("""COMPUTED_VALUE"""),"Level 2")</f>
        <v>Level 2</v>
      </c>
      <c r="J5314" s="6" t="str">
        <f>IFERROR(__xludf.DUMMYFUNCTION("""COMPUTED_VALUE"""),"4")</f>
        <v>4</v>
      </c>
      <c r="K5314" s="6" t="str">
        <f>IFERROR(__xludf.DUMMYFUNCTION("""COMPUTED_VALUE"""),"ivanna.garcia-morales@2hourlearning.com")</f>
        <v>ivanna.garcia-morales@2hourlearning.com</v>
      </c>
      <c r="L5314" s="6" t="str">
        <f>IFERROR(__xludf.DUMMYFUNCTION("""COMPUTED_VALUE"""),"JRES - Ridgeland Elementary School")</f>
        <v>JRES - Ridgeland Elementary School</v>
      </c>
      <c r="M5314" s="6" t="str">
        <f>IFERROR(__xludf.DUMMYFUNCTION("""COMPUTED_VALUE"""),"")</f>
        <v/>
      </c>
      <c r="N5314" s="6" t="str">
        <f>IFERROR(__xludf.DUMMYFUNCTION("""COMPUTED_VALUE"""),"")</f>
        <v/>
      </c>
      <c r="O5314" s="87" t="str">
        <f>IFERROR(__xludf.DUMMYFUNCTION("""COMPUTED_VALUE"""),"https://drive.google.com/drive/folders/10T2cTQHqEJZqE-st6uFKPoI?usp=share_link")</f>
        <v>https://drive.google.com/drive/folders/10T2cTQHqEJZqE-st6uFKPoI?usp=share_link</v>
      </c>
      <c r="P5314" s="6" t="str">
        <f>IFERROR(__xludf.DUMMYFUNCTION("""COMPUTED_VALUE"""),"Ivanna Garcia-Morales")</f>
        <v>Ivanna Garcia-Morales</v>
      </c>
      <c r="Q5314" s="6" t="str">
        <f>IFERROR(__xludf.DUMMYFUNCTION("""COMPUTED_VALUE"""),"L2")</f>
        <v>L2</v>
      </c>
      <c r="R5314" s="6">
        <f>IFERROR(__xludf.DUMMYFUNCTION("""COMPUTED_VALUE"""),2.0)</f>
        <v>2</v>
      </c>
      <c r="S5314" s="6" t="str">
        <f>IFERROR(__xludf.DUMMYFUNCTION("""COMPUTED_VALUE"""),"Kimberly Ball")</f>
        <v>Kimberly Ball</v>
      </c>
      <c r="T5314" s="6" t="str">
        <f>IFERROR(__xludf.DUMMYFUNCTION("""COMPUTED_VALUE"""),"kimberly.ball@studient.com")</f>
        <v>kimberly.ball@studient.com</v>
      </c>
      <c r="U5314" s="6" t="str">
        <f>IFERROR(__xludf.DUMMYFUNCTION("""COMPUTED_VALUE"""),"4")</f>
        <v>4</v>
      </c>
      <c r="V5314" s="6" t="str">
        <f>IFERROR(__xludf.DUMMYFUNCTION("""COMPUTED_VALUE"""),"")</f>
        <v/>
      </c>
      <c r="W5314" s="6" t="str">
        <f>IFERROR(__xludf.DUMMYFUNCTION("""COMPUTED_VALUE"""),"[]")</f>
        <v>[]</v>
      </c>
      <c r="X5314" s="6" t="str">
        <f>IFERROR(__xludf.DUMMYFUNCTION("""COMPUTED_VALUE"""),"Enrolled")</f>
        <v>Enrolled</v>
      </c>
    </row>
    <row r="5315">
      <c r="A5315" s="6" t="str">
        <f>IFERROR(__xludf.DUMMYFUNCTION("""COMPUTED_VALUE"""),"086-12706")</f>
        <v>086-12706</v>
      </c>
      <c r="B5315" s="6" t="str">
        <f>IFERROR(__xludf.DUMMYFUNCTION("""COMPUTED_VALUE"""),"86")</f>
        <v>86</v>
      </c>
      <c r="C5315" s="6" t="str">
        <f>IFERROR(__xludf.DUMMYFUNCTION("""COMPUTED_VALUE"""),"12706")</f>
        <v>12706</v>
      </c>
      <c r="D5315" s="6" t="str">
        <f>IFERROR(__xludf.DUMMYFUNCTION("""COMPUTED_VALUE"""),"Santiago")</f>
        <v>Santiago</v>
      </c>
      <c r="E5315" s="6" t="str">
        <f>IFERROR(__xludf.DUMMYFUNCTION("""COMPUTED_VALUE"""),"")</f>
        <v/>
      </c>
      <c r="F5315" s="6" t="str">
        <f>IFERROR(__xludf.DUMMYFUNCTION("""COMPUTED_VALUE"""),"Garduno Moreno")</f>
        <v>Garduno Moreno</v>
      </c>
      <c r="G5315" s="6" t="str">
        <f>IFERROR(__xludf.DUMMYFUNCTION("""COMPUTED_VALUE"""),"02/12/2015")</f>
        <v>02/12/2015</v>
      </c>
      <c r="H5315" s="6" t="str">
        <f>IFERROR(__xludf.DUMMYFUNCTION("""COMPUTED_VALUE"""),"male")</f>
        <v>male</v>
      </c>
      <c r="I5315" s="6" t="str">
        <f>IFERROR(__xludf.DUMMYFUNCTION("""COMPUTED_VALUE"""),"Level 2")</f>
        <v>Level 2</v>
      </c>
      <c r="J5315" s="6" t="str">
        <f>IFERROR(__xludf.DUMMYFUNCTION("""COMPUTED_VALUE"""),"4")</f>
        <v>4</v>
      </c>
      <c r="K5315" s="6" t="str">
        <f>IFERROR(__xludf.DUMMYFUNCTION("""COMPUTED_VALUE"""),"santiago.gardunomoreno@2hourlearning.com")</f>
        <v>santiago.gardunomoreno@2hourlearning.com</v>
      </c>
      <c r="L5315" s="6" t="str">
        <f>IFERROR(__xludf.DUMMYFUNCTION("""COMPUTED_VALUE"""),"JRES - Ridgeland Elementary School")</f>
        <v>JRES - Ridgeland Elementary School</v>
      </c>
      <c r="M5315" s="6" t="str">
        <f>IFERROR(__xludf.DUMMYFUNCTION("""COMPUTED_VALUE"""),"")</f>
        <v/>
      </c>
      <c r="N5315" s="6" t="str">
        <f>IFERROR(__xludf.DUMMYFUNCTION("""COMPUTED_VALUE"""),"")</f>
        <v/>
      </c>
      <c r="O5315" s="87" t="str">
        <f>IFERROR(__xludf.DUMMYFUNCTION("""COMPUTED_VALUE"""),"https://drive.google.com/drive/folders/10T2cTQHqEJZqE-st6uFKPoI?usp=share_link")</f>
        <v>https://drive.google.com/drive/folders/10T2cTQHqEJZqE-st6uFKPoI?usp=share_link</v>
      </c>
      <c r="P5315" s="6" t="str">
        <f>IFERROR(__xludf.DUMMYFUNCTION("""COMPUTED_VALUE"""),"Santiago Garduno Moreno")</f>
        <v>Santiago Garduno Moreno</v>
      </c>
      <c r="Q5315" s="6" t="str">
        <f>IFERROR(__xludf.DUMMYFUNCTION("""COMPUTED_VALUE"""),"L2")</f>
        <v>L2</v>
      </c>
      <c r="R5315" s="6">
        <f>IFERROR(__xludf.DUMMYFUNCTION("""COMPUTED_VALUE"""),2.0)</f>
        <v>2</v>
      </c>
      <c r="S5315" s="6" t="str">
        <f>IFERROR(__xludf.DUMMYFUNCTION("""COMPUTED_VALUE"""),"Kimberly Ball")</f>
        <v>Kimberly Ball</v>
      </c>
      <c r="T5315" s="6" t="str">
        <f>IFERROR(__xludf.DUMMYFUNCTION("""COMPUTED_VALUE"""),"kimberly.ball@studient.com")</f>
        <v>kimberly.ball@studient.com</v>
      </c>
      <c r="U5315" s="6" t="str">
        <f>IFERROR(__xludf.DUMMYFUNCTION("""COMPUTED_VALUE"""),"4")</f>
        <v>4</v>
      </c>
      <c r="V5315" s="6" t="str">
        <f>IFERROR(__xludf.DUMMYFUNCTION("""COMPUTED_VALUE"""),"")</f>
        <v/>
      </c>
      <c r="W5315" s="6" t="str">
        <f>IFERROR(__xludf.DUMMYFUNCTION("""COMPUTED_VALUE"""),"[]")</f>
        <v>[]</v>
      </c>
      <c r="X5315" s="6" t="str">
        <f>IFERROR(__xludf.DUMMYFUNCTION("""COMPUTED_VALUE"""),"Enrolled")</f>
        <v>Enrolled</v>
      </c>
    </row>
    <row r="5316">
      <c r="A5316" s="6" t="str">
        <f>IFERROR(__xludf.DUMMYFUNCTION("""COMPUTED_VALUE"""),"086-12707")</f>
        <v>086-12707</v>
      </c>
      <c r="B5316" s="6" t="str">
        <f>IFERROR(__xludf.DUMMYFUNCTION("""COMPUTED_VALUE"""),"86")</f>
        <v>86</v>
      </c>
      <c r="C5316" s="6" t="str">
        <f>IFERROR(__xludf.DUMMYFUNCTION("""COMPUTED_VALUE"""),"12707")</f>
        <v>12707</v>
      </c>
      <c r="D5316" s="6" t="str">
        <f>IFERROR(__xludf.DUMMYFUNCTION("""COMPUTED_VALUE"""),"Anderson")</f>
        <v>Anderson</v>
      </c>
      <c r="E5316" s="6" t="str">
        <f>IFERROR(__xludf.DUMMYFUNCTION("""COMPUTED_VALUE"""),"")</f>
        <v/>
      </c>
      <c r="F5316" s="6" t="str">
        <f>IFERROR(__xludf.DUMMYFUNCTION("""COMPUTED_VALUE"""),"Giron Gabriel")</f>
        <v>Giron Gabriel</v>
      </c>
      <c r="G5316" s="6" t="str">
        <f>IFERROR(__xludf.DUMMYFUNCTION("""COMPUTED_VALUE"""),"10/07/2016")</f>
        <v>10/07/2016</v>
      </c>
      <c r="H5316" s="6" t="str">
        <f>IFERROR(__xludf.DUMMYFUNCTION("""COMPUTED_VALUE"""),"female")</f>
        <v>female</v>
      </c>
      <c r="I5316" s="6" t="str">
        <f>IFERROR(__xludf.DUMMYFUNCTION("""COMPUTED_VALUE"""),"Level 2")</f>
        <v>Level 2</v>
      </c>
      <c r="J5316" s="6" t="str">
        <f>IFERROR(__xludf.DUMMYFUNCTION("""COMPUTED_VALUE"""),"4")</f>
        <v>4</v>
      </c>
      <c r="K5316" s="6" t="str">
        <f>IFERROR(__xludf.DUMMYFUNCTION("""COMPUTED_VALUE"""),"anderson.girongabriel@2hourlearning.com")</f>
        <v>anderson.girongabriel@2hourlearning.com</v>
      </c>
      <c r="L5316" s="6" t="str">
        <f>IFERROR(__xludf.DUMMYFUNCTION("""COMPUTED_VALUE"""),"JRES - Ridgeland Elementary School")</f>
        <v>JRES - Ridgeland Elementary School</v>
      </c>
      <c r="M5316" s="6" t="str">
        <f>IFERROR(__xludf.DUMMYFUNCTION("""COMPUTED_VALUE"""),"")</f>
        <v/>
      </c>
      <c r="N5316" s="6" t="str">
        <f>IFERROR(__xludf.DUMMYFUNCTION("""COMPUTED_VALUE"""),"")</f>
        <v/>
      </c>
      <c r="O5316" s="87" t="str">
        <f>IFERROR(__xludf.DUMMYFUNCTION("""COMPUTED_VALUE"""),"https://drive.google.com/drive/folders/10T2cTQHqEJZqE-st6uFKPoI?usp=share_link")</f>
        <v>https://drive.google.com/drive/folders/10T2cTQHqEJZqE-st6uFKPoI?usp=share_link</v>
      </c>
      <c r="P5316" s="6" t="str">
        <f>IFERROR(__xludf.DUMMYFUNCTION("""COMPUTED_VALUE"""),"Anderson Giron Gabriel")</f>
        <v>Anderson Giron Gabriel</v>
      </c>
      <c r="Q5316" s="6" t="str">
        <f>IFERROR(__xludf.DUMMYFUNCTION("""COMPUTED_VALUE"""),"L2")</f>
        <v>L2</v>
      </c>
      <c r="R5316" s="6">
        <f>IFERROR(__xludf.DUMMYFUNCTION("""COMPUTED_VALUE"""),2.0)</f>
        <v>2</v>
      </c>
      <c r="S5316" s="6" t="str">
        <f>IFERROR(__xludf.DUMMYFUNCTION("""COMPUTED_VALUE"""),"Kimberly Ball")</f>
        <v>Kimberly Ball</v>
      </c>
      <c r="T5316" s="6" t="str">
        <f>IFERROR(__xludf.DUMMYFUNCTION("""COMPUTED_VALUE"""),"kimberly.ball@studient.com")</f>
        <v>kimberly.ball@studient.com</v>
      </c>
      <c r="U5316" s="6" t="str">
        <f>IFERROR(__xludf.DUMMYFUNCTION("""COMPUTED_VALUE"""),"4")</f>
        <v>4</v>
      </c>
      <c r="V5316" s="6" t="str">
        <f>IFERROR(__xludf.DUMMYFUNCTION("""COMPUTED_VALUE"""),"")</f>
        <v/>
      </c>
      <c r="W5316" s="6" t="str">
        <f>IFERROR(__xludf.DUMMYFUNCTION("""COMPUTED_VALUE"""),"[]")</f>
        <v>[]</v>
      </c>
      <c r="X5316" s="6" t="str">
        <f>IFERROR(__xludf.DUMMYFUNCTION("""COMPUTED_VALUE"""),"Enrolled")</f>
        <v>Enrolled</v>
      </c>
    </row>
    <row r="5317">
      <c r="A5317" s="6" t="str">
        <f>IFERROR(__xludf.DUMMYFUNCTION("""COMPUTED_VALUE"""),"086-12708")</f>
        <v>086-12708</v>
      </c>
      <c r="B5317" s="6" t="str">
        <f>IFERROR(__xludf.DUMMYFUNCTION("""COMPUTED_VALUE"""),"86")</f>
        <v>86</v>
      </c>
      <c r="C5317" s="6" t="str">
        <f>IFERROR(__xludf.DUMMYFUNCTION("""COMPUTED_VALUE"""),"12708")</f>
        <v>12708</v>
      </c>
      <c r="D5317" s="6" t="str">
        <f>IFERROR(__xludf.DUMMYFUNCTION("""COMPUTED_VALUE"""),"Daniela")</f>
        <v>Daniela</v>
      </c>
      <c r="E5317" s="6" t="str">
        <f>IFERROR(__xludf.DUMMYFUNCTION("""COMPUTED_VALUE"""),"")</f>
        <v/>
      </c>
      <c r="F5317" s="6" t="str">
        <f>IFERROR(__xludf.DUMMYFUNCTION("""COMPUTED_VALUE"""),"Gomez Cobos")</f>
        <v>Gomez Cobos</v>
      </c>
      <c r="G5317" s="6" t="str">
        <f>IFERROR(__xludf.DUMMYFUNCTION("""COMPUTED_VALUE"""),"12/03/2014")</f>
        <v>12/03/2014</v>
      </c>
      <c r="H5317" s="6" t="str">
        <f>IFERROR(__xludf.DUMMYFUNCTION("""COMPUTED_VALUE"""),"male")</f>
        <v>male</v>
      </c>
      <c r="I5317" s="6" t="str">
        <f>IFERROR(__xludf.DUMMYFUNCTION("""COMPUTED_VALUE"""),"Level 2")</f>
        <v>Level 2</v>
      </c>
      <c r="J5317" s="6" t="str">
        <f>IFERROR(__xludf.DUMMYFUNCTION("""COMPUTED_VALUE"""),"4")</f>
        <v>4</v>
      </c>
      <c r="K5317" s="6" t="str">
        <f>IFERROR(__xludf.DUMMYFUNCTION("""COMPUTED_VALUE"""),"daniela.gomezcobos@2hourlearning.com")</f>
        <v>daniela.gomezcobos@2hourlearning.com</v>
      </c>
      <c r="L5317" s="6" t="str">
        <f>IFERROR(__xludf.DUMMYFUNCTION("""COMPUTED_VALUE"""),"JRES - Ridgeland Elementary School")</f>
        <v>JRES - Ridgeland Elementary School</v>
      </c>
      <c r="M5317" s="6" t="str">
        <f>IFERROR(__xludf.DUMMYFUNCTION("""COMPUTED_VALUE"""),"")</f>
        <v/>
      </c>
      <c r="N5317" s="6" t="str">
        <f>IFERROR(__xludf.DUMMYFUNCTION("""COMPUTED_VALUE"""),"")</f>
        <v/>
      </c>
      <c r="O5317" s="87" t="str">
        <f>IFERROR(__xludf.DUMMYFUNCTION("""COMPUTED_VALUE"""),"https://drive.google.com/drive/folders/10T2cTQHqEJZqE-st6uFKPoI?usp=share_link")</f>
        <v>https://drive.google.com/drive/folders/10T2cTQHqEJZqE-st6uFKPoI?usp=share_link</v>
      </c>
      <c r="P5317" s="6" t="str">
        <f>IFERROR(__xludf.DUMMYFUNCTION("""COMPUTED_VALUE"""),"Daniela Gomez Cobos")</f>
        <v>Daniela Gomez Cobos</v>
      </c>
      <c r="Q5317" s="6" t="str">
        <f>IFERROR(__xludf.DUMMYFUNCTION("""COMPUTED_VALUE"""),"L2")</f>
        <v>L2</v>
      </c>
      <c r="R5317" s="6">
        <f>IFERROR(__xludf.DUMMYFUNCTION("""COMPUTED_VALUE"""),2.0)</f>
        <v>2</v>
      </c>
      <c r="S5317" s="6" t="str">
        <f>IFERROR(__xludf.DUMMYFUNCTION("""COMPUTED_VALUE"""),"Kimberly Ball")</f>
        <v>Kimberly Ball</v>
      </c>
      <c r="T5317" s="6" t="str">
        <f>IFERROR(__xludf.DUMMYFUNCTION("""COMPUTED_VALUE"""),"kimberly.ball@studient.com")</f>
        <v>kimberly.ball@studient.com</v>
      </c>
      <c r="U5317" s="6" t="str">
        <f>IFERROR(__xludf.DUMMYFUNCTION("""COMPUTED_VALUE"""),"4")</f>
        <v>4</v>
      </c>
      <c r="V5317" s="6" t="str">
        <f>IFERROR(__xludf.DUMMYFUNCTION("""COMPUTED_VALUE"""),"")</f>
        <v/>
      </c>
      <c r="W5317" s="6" t="str">
        <f>IFERROR(__xludf.DUMMYFUNCTION("""COMPUTED_VALUE"""),"[]")</f>
        <v>[]</v>
      </c>
      <c r="X5317" s="6" t="str">
        <f>IFERROR(__xludf.DUMMYFUNCTION("""COMPUTED_VALUE"""),"Enrolled")</f>
        <v>Enrolled</v>
      </c>
    </row>
    <row r="5318">
      <c r="A5318" s="6" t="str">
        <f>IFERROR(__xludf.DUMMYFUNCTION("""COMPUTED_VALUE"""),"086-12709")</f>
        <v>086-12709</v>
      </c>
      <c r="B5318" s="6" t="str">
        <f>IFERROR(__xludf.DUMMYFUNCTION("""COMPUTED_VALUE"""),"86")</f>
        <v>86</v>
      </c>
      <c r="C5318" s="6" t="str">
        <f>IFERROR(__xludf.DUMMYFUNCTION("""COMPUTED_VALUE"""),"12709")</f>
        <v>12709</v>
      </c>
      <c r="D5318" s="6" t="str">
        <f>IFERROR(__xludf.DUMMYFUNCTION("""COMPUTED_VALUE"""),"Arnol")</f>
        <v>Arnol</v>
      </c>
      <c r="E5318" s="6" t="str">
        <f>IFERROR(__xludf.DUMMYFUNCTION("""COMPUTED_VALUE"""),"")</f>
        <v/>
      </c>
      <c r="F5318" s="6" t="str">
        <f>IFERROR(__xludf.DUMMYFUNCTION("""COMPUTED_VALUE"""),"Gonzalez Cisneros")</f>
        <v>Gonzalez Cisneros</v>
      </c>
      <c r="G5318" s="6" t="str">
        <f>IFERROR(__xludf.DUMMYFUNCTION("""COMPUTED_VALUE"""),"11/11/2014")</f>
        <v>11/11/2014</v>
      </c>
      <c r="H5318" s="6" t="str">
        <f>IFERROR(__xludf.DUMMYFUNCTION("""COMPUTED_VALUE"""),"male")</f>
        <v>male</v>
      </c>
      <c r="I5318" s="6" t="str">
        <f>IFERROR(__xludf.DUMMYFUNCTION("""COMPUTED_VALUE"""),"Level 2")</f>
        <v>Level 2</v>
      </c>
      <c r="J5318" s="6" t="str">
        <f>IFERROR(__xludf.DUMMYFUNCTION("""COMPUTED_VALUE"""),"4")</f>
        <v>4</v>
      </c>
      <c r="K5318" s="6" t="str">
        <f>IFERROR(__xludf.DUMMYFUNCTION("""COMPUTED_VALUE"""),"arnol.gonzalezcisneros@2hourlearning.com")</f>
        <v>arnol.gonzalezcisneros@2hourlearning.com</v>
      </c>
      <c r="L5318" s="6" t="str">
        <f>IFERROR(__xludf.DUMMYFUNCTION("""COMPUTED_VALUE"""),"JRES - Ridgeland Elementary School")</f>
        <v>JRES - Ridgeland Elementary School</v>
      </c>
      <c r="M5318" s="6" t="str">
        <f>IFERROR(__xludf.DUMMYFUNCTION("""COMPUTED_VALUE"""),"")</f>
        <v/>
      </c>
      <c r="N5318" s="6" t="str">
        <f>IFERROR(__xludf.DUMMYFUNCTION("""COMPUTED_VALUE"""),"")</f>
        <v/>
      </c>
      <c r="O5318" s="87" t="str">
        <f>IFERROR(__xludf.DUMMYFUNCTION("""COMPUTED_VALUE"""),"https://drive.google.com/drive/folders/10T2cTQHqEJZqE-st6uFKPoI?usp=share_link")</f>
        <v>https://drive.google.com/drive/folders/10T2cTQHqEJZqE-st6uFKPoI?usp=share_link</v>
      </c>
      <c r="P5318" s="6" t="str">
        <f>IFERROR(__xludf.DUMMYFUNCTION("""COMPUTED_VALUE"""),"Arnol Gonzalez Cisneros")</f>
        <v>Arnol Gonzalez Cisneros</v>
      </c>
      <c r="Q5318" s="6" t="str">
        <f>IFERROR(__xludf.DUMMYFUNCTION("""COMPUTED_VALUE"""),"L2")</f>
        <v>L2</v>
      </c>
      <c r="R5318" s="6">
        <f>IFERROR(__xludf.DUMMYFUNCTION("""COMPUTED_VALUE"""),2.0)</f>
        <v>2</v>
      </c>
      <c r="S5318" s="6" t="str">
        <f>IFERROR(__xludf.DUMMYFUNCTION("""COMPUTED_VALUE"""),"Kimberly Ball")</f>
        <v>Kimberly Ball</v>
      </c>
      <c r="T5318" s="6" t="str">
        <f>IFERROR(__xludf.DUMMYFUNCTION("""COMPUTED_VALUE"""),"kimberly.ball@studient.com")</f>
        <v>kimberly.ball@studient.com</v>
      </c>
      <c r="U5318" s="6" t="str">
        <f>IFERROR(__xludf.DUMMYFUNCTION("""COMPUTED_VALUE"""),"4")</f>
        <v>4</v>
      </c>
      <c r="V5318" s="6" t="str">
        <f>IFERROR(__xludf.DUMMYFUNCTION("""COMPUTED_VALUE"""),"")</f>
        <v/>
      </c>
      <c r="W5318" s="6" t="str">
        <f>IFERROR(__xludf.DUMMYFUNCTION("""COMPUTED_VALUE"""),"[]")</f>
        <v>[]</v>
      </c>
      <c r="X5318" s="6" t="str">
        <f>IFERROR(__xludf.DUMMYFUNCTION("""COMPUTED_VALUE"""),"Enrolled")</f>
        <v>Enrolled</v>
      </c>
    </row>
    <row r="5319">
      <c r="A5319" s="6" t="str">
        <f>IFERROR(__xludf.DUMMYFUNCTION("""COMPUTED_VALUE"""),"086-12710")</f>
        <v>086-12710</v>
      </c>
      <c r="B5319" s="6" t="str">
        <f>IFERROR(__xludf.DUMMYFUNCTION("""COMPUTED_VALUE"""),"86")</f>
        <v>86</v>
      </c>
      <c r="C5319" s="6" t="str">
        <f>IFERROR(__xludf.DUMMYFUNCTION("""COMPUTED_VALUE"""),"12710")</f>
        <v>12710</v>
      </c>
      <c r="D5319" s="6" t="str">
        <f>IFERROR(__xludf.DUMMYFUNCTION("""COMPUTED_VALUE"""),"Axel")</f>
        <v>Axel</v>
      </c>
      <c r="E5319" s="6" t="str">
        <f>IFERROR(__xludf.DUMMYFUNCTION("""COMPUTED_VALUE"""),"")</f>
        <v/>
      </c>
      <c r="F5319" s="6" t="str">
        <f>IFERROR(__xludf.DUMMYFUNCTION("""COMPUTED_VALUE"""),"Gonzalez Ladino")</f>
        <v>Gonzalez Ladino</v>
      </c>
      <c r="G5319" s="6" t="str">
        <f>IFERROR(__xludf.DUMMYFUNCTION("""COMPUTED_VALUE"""),"10/23/2014")</f>
        <v>10/23/2014</v>
      </c>
      <c r="H5319" s="6" t="str">
        <f>IFERROR(__xludf.DUMMYFUNCTION("""COMPUTED_VALUE"""),"male")</f>
        <v>male</v>
      </c>
      <c r="I5319" s="6" t="str">
        <f>IFERROR(__xludf.DUMMYFUNCTION("""COMPUTED_VALUE"""),"Level 2")</f>
        <v>Level 2</v>
      </c>
      <c r="J5319" s="6" t="str">
        <f>IFERROR(__xludf.DUMMYFUNCTION("""COMPUTED_VALUE"""),"4")</f>
        <v>4</v>
      </c>
      <c r="K5319" s="6" t="str">
        <f>IFERROR(__xludf.DUMMYFUNCTION("""COMPUTED_VALUE"""),"axel.gonzalezladino@2hourlearning.com")</f>
        <v>axel.gonzalezladino@2hourlearning.com</v>
      </c>
      <c r="L5319" s="6" t="str">
        <f>IFERROR(__xludf.DUMMYFUNCTION("""COMPUTED_VALUE"""),"JRES - Ridgeland Elementary School")</f>
        <v>JRES - Ridgeland Elementary School</v>
      </c>
      <c r="M5319" s="6" t="str">
        <f>IFERROR(__xludf.DUMMYFUNCTION("""COMPUTED_VALUE"""),"")</f>
        <v/>
      </c>
      <c r="N5319" s="6" t="str">
        <f>IFERROR(__xludf.DUMMYFUNCTION("""COMPUTED_VALUE"""),"")</f>
        <v/>
      </c>
      <c r="O5319" s="87" t="str">
        <f>IFERROR(__xludf.DUMMYFUNCTION("""COMPUTED_VALUE"""),"https://drive.google.com/drive/folders/10T2cTQHqEJZqE-st6uFKPoI?usp=share_link")</f>
        <v>https://drive.google.com/drive/folders/10T2cTQHqEJZqE-st6uFKPoI?usp=share_link</v>
      </c>
      <c r="P5319" s="6" t="str">
        <f>IFERROR(__xludf.DUMMYFUNCTION("""COMPUTED_VALUE"""),"Axel Gonzalez Ladino")</f>
        <v>Axel Gonzalez Ladino</v>
      </c>
      <c r="Q5319" s="6" t="str">
        <f>IFERROR(__xludf.DUMMYFUNCTION("""COMPUTED_VALUE"""),"L2")</f>
        <v>L2</v>
      </c>
      <c r="R5319" s="6">
        <f>IFERROR(__xludf.DUMMYFUNCTION("""COMPUTED_VALUE"""),2.0)</f>
        <v>2</v>
      </c>
      <c r="S5319" s="6" t="str">
        <f>IFERROR(__xludf.DUMMYFUNCTION("""COMPUTED_VALUE"""),"Kimberly Ball")</f>
        <v>Kimberly Ball</v>
      </c>
      <c r="T5319" s="6" t="str">
        <f>IFERROR(__xludf.DUMMYFUNCTION("""COMPUTED_VALUE"""),"kimberly.ball@studient.com")</f>
        <v>kimberly.ball@studient.com</v>
      </c>
      <c r="U5319" s="6" t="str">
        <f>IFERROR(__xludf.DUMMYFUNCTION("""COMPUTED_VALUE"""),"4")</f>
        <v>4</v>
      </c>
      <c r="V5319" s="6" t="str">
        <f>IFERROR(__xludf.DUMMYFUNCTION("""COMPUTED_VALUE"""),"")</f>
        <v/>
      </c>
      <c r="W5319" s="6" t="str">
        <f>IFERROR(__xludf.DUMMYFUNCTION("""COMPUTED_VALUE"""),"[]")</f>
        <v>[]</v>
      </c>
      <c r="X5319" s="6" t="str">
        <f>IFERROR(__xludf.DUMMYFUNCTION("""COMPUTED_VALUE"""),"Enrolled")</f>
        <v>Enrolled</v>
      </c>
    </row>
    <row r="5320">
      <c r="A5320" s="6" t="str">
        <f>IFERROR(__xludf.DUMMYFUNCTION("""COMPUTED_VALUE"""),"086-12711")</f>
        <v>086-12711</v>
      </c>
      <c r="B5320" s="6" t="str">
        <f>IFERROR(__xludf.DUMMYFUNCTION("""COMPUTED_VALUE"""),"86")</f>
        <v>86</v>
      </c>
      <c r="C5320" s="6" t="str">
        <f>IFERROR(__xludf.DUMMYFUNCTION("""COMPUTED_VALUE"""),"12711")</f>
        <v>12711</v>
      </c>
      <c r="D5320" s="6" t="str">
        <f>IFERROR(__xludf.DUMMYFUNCTION("""COMPUTED_VALUE"""),"Domonic")</f>
        <v>Domonic</v>
      </c>
      <c r="E5320" s="6" t="str">
        <f>IFERROR(__xludf.DUMMYFUNCTION("""COMPUTED_VALUE"""),"")</f>
        <v/>
      </c>
      <c r="F5320" s="6" t="str">
        <f>IFERROR(__xludf.DUMMYFUNCTION("""COMPUTED_VALUE"""),"Graham")</f>
        <v>Graham</v>
      </c>
      <c r="G5320" s="6" t="str">
        <f>IFERROR(__xludf.DUMMYFUNCTION("""COMPUTED_VALUE"""),"08/23/2017")</f>
        <v>08/23/2017</v>
      </c>
      <c r="H5320" s="6" t="str">
        <f>IFERROR(__xludf.DUMMYFUNCTION("""COMPUTED_VALUE"""),"female")</f>
        <v>female</v>
      </c>
      <c r="I5320" s="6" t="str">
        <f>IFERROR(__xludf.DUMMYFUNCTION("""COMPUTED_VALUE"""),"Level 2")</f>
        <v>Level 2</v>
      </c>
      <c r="J5320" s="6" t="str">
        <f>IFERROR(__xludf.DUMMYFUNCTION("""COMPUTED_VALUE"""),"4")</f>
        <v>4</v>
      </c>
      <c r="K5320" s="6" t="str">
        <f>IFERROR(__xludf.DUMMYFUNCTION("""COMPUTED_VALUE"""),"domonic.graham@2hourlearning.com")</f>
        <v>domonic.graham@2hourlearning.com</v>
      </c>
      <c r="L5320" s="6" t="str">
        <f>IFERROR(__xludf.DUMMYFUNCTION("""COMPUTED_VALUE"""),"JRES - Ridgeland Elementary School")</f>
        <v>JRES - Ridgeland Elementary School</v>
      </c>
      <c r="M5320" s="6" t="str">
        <f>IFERROR(__xludf.DUMMYFUNCTION("""COMPUTED_VALUE"""),"")</f>
        <v/>
      </c>
      <c r="N5320" s="6" t="str">
        <f>IFERROR(__xludf.DUMMYFUNCTION("""COMPUTED_VALUE"""),"")</f>
        <v/>
      </c>
      <c r="O5320" s="87" t="str">
        <f>IFERROR(__xludf.DUMMYFUNCTION("""COMPUTED_VALUE"""),"https://drive.google.com/drive/folders/10T2cTQHqEJZqE-st6uFKPoI?usp=share_link")</f>
        <v>https://drive.google.com/drive/folders/10T2cTQHqEJZqE-st6uFKPoI?usp=share_link</v>
      </c>
      <c r="P5320" s="6" t="str">
        <f>IFERROR(__xludf.DUMMYFUNCTION("""COMPUTED_VALUE"""),"Domonic Graham")</f>
        <v>Domonic Graham</v>
      </c>
      <c r="Q5320" s="6" t="str">
        <f>IFERROR(__xludf.DUMMYFUNCTION("""COMPUTED_VALUE"""),"L2")</f>
        <v>L2</v>
      </c>
      <c r="R5320" s="6">
        <f>IFERROR(__xludf.DUMMYFUNCTION("""COMPUTED_VALUE"""),2.0)</f>
        <v>2</v>
      </c>
      <c r="S5320" s="6" t="str">
        <f>IFERROR(__xludf.DUMMYFUNCTION("""COMPUTED_VALUE"""),"Kimberly Ball")</f>
        <v>Kimberly Ball</v>
      </c>
      <c r="T5320" s="6" t="str">
        <f>IFERROR(__xludf.DUMMYFUNCTION("""COMPUTED_VALUE"""),"kimberly.ball@studient.com")</f>
        <v>kimberly.ball@studient.com</v>
      </c>
      <c r="U5320" s="6" t="str">
        <f>IFERROR(__xludf.DUMMYFUNCTION("""COMPUTED_VALUE"""),"4")</f>
        <v>4</v>
      </c>
      <c r="V5320" s="6" t="str">
        <f>IFERROR(__xludf.DUMMYFUNCTION("""COMPUTED_VALUE"""),"")</f>
        <v/>
      </c>
      <c r="W5320" s="6" t="str">
        <f>IFERROR(__xludf.DUMMYFUNCTION("""COMPUTED_VALUE"""),"[]")</f>
        <v>[]</v>
      </c>
      <c r="X5320" s="6" t="str">
        <f>IFERROR(__xludf.DUMMYFUNCTION("""COMPUTED_VALUE"""),"Enrolled")</f>
        <v>Enrolled</v>
      </c>
    </row>
    <row r="5321">
      <c r="A5321" s="6" t="str">
        <f>IFERROR(__xludf.DUMMYFUNCTION("""COMPUTED_VALUE"""),"086-12712")</f>
        <v>086-12712</v>
      </c>
      <c r="B5321" s="6" t="str">
        <f>IFERROR(__xludf.DUMMYFUNCTION("""COMPUTED_VALUE"""),"86")</f>
        <v>86</v>
      </c>
      <c r="C5321" s="6" t="str">
        <f>IFERROR(__xludf.DUMMYFUNCTION("""COMPUTED_VALUE"""),"12712")</f>
        <v>12712</v>
      </c>
      <c r="D5321" s="6" t="str">
        <f>IFERROR(__xludf.DUMMYFUNCTION("""COMPUTED_VALUE"""),"Devontae")</f>
        <v>Devontae</v>
      </c>
      <c r="E5321" s="6" t="str">
        <f>IFERROR(__xludf.DUMMYFUNCTION("""COMPUTED_VALUE"""),"")</f>
        <v/>
      </c>
      <c r="F5321" s="6" t="str">
        <f>IFERROR(__xludf.DUMMYFUNCTION("""COMPUTED_VALUE"""),"Grant")</f>
        <v>Grant</v>
      </c>
      <c r="G5321" s="6" t="str">
        <f>IFERROR(__xludf.DUMMYFUNCTION("""COMPUTED_VALUE"""),"11/05/2014")</f>
        <v>11/05/2014</v>
      </c>
      <c r="H5321" s="6" t="str">
        <f>IFERROR(__xludf.DUMMYFUNCTION("""COMPUTED_VALUE"""),"female")</f>
        <v>female</v>
      </c>
      <c r="I5321" s="6" t="str">
        <f>IFERROR(__xludf.DUMMYFUNCTION("""COMPUTED_VALUE"""),"Level 2")</f>
        <v>Level 2</v>
      </c>
      <c r="J5321" s="6" t="str">
        <f>IFERROR(__xludf.DUMMYFUNCTION("""COMPUTED_VALUE"""),"4")</f>
        <v>4</v>
      </c>
      <c r="K5321" s="6" t="str">
        <f>IFERROR(__xludf.DUMMYFUNCTION("""COMPUTED_VALUE"""),"devontae.grant@2hourlearning.com")</f>
        <v>devontae.grant@2hourlearning.com</v>
      </c>
      <c r="L5321" s="6" t="str">
        <f>IFERROR(__xludf.DUMMYFUNCTION("""COMPUTED_VALUE"""),"JRES - Ridgeland Elementary School")</f>
        <v>JRES - Ridgeland Elementary School</v>
      </c>
      <c r="M5321" s="6" t="str">
        <f>IFERROR(__xludf.DUMMYFUNCTION("""COMPUTED_VALUE"""),"")</f>
        <v/>
      </c>
      <c r="N5321" s="6" t="str">
        <f>IFERROR(__xludf.DUMMYFUNCTION("""COMPUTED_VALUE"""),"")</f>
        <v/>
      </c>
      <c r="O5321" s="87" t="str">
        <f>IFERROR(__xludf.DUMMYFUNCTION("""COMPUTED_VALUE"""),"https://drive.google.com/drive/folders/10T2cTQHqEJZqE-st6uFKPoI?usp=share_link")</f>
        <v>https://drive.google.com/drive/folders/10T2cTQHqEJZqE-st6uFKPoI?usp=share_link</v>
      </c>
      <c r="P5321" s="6" t="str">
        <f>IFERROR(__xludf.DUMMYFUNCTION("""COMPUTED_VALUE"""),"Devontae Grant")</f>
        <v>Devontae Grant</v>
      </c>
      <c r="Q5321" s="6" t="str">
        <f>IFERROR(__xludf.DUMMYFUNCTION("""COMPUTED_VALUE"""),"L2")</f>
        <v>L2</v>
      </c>
      <c r="R5321" s="6">
        <f>IFERROR(__xludf.DUMMYFUNCTION("""COMPUTED_VALUE"""),2.0)</f>
        <v>2</v>
      </c>
      <c r="S5321" s="6" t="str">
        <f>IFERROR(__xludf.DUMMYFUNCTION("""COMPUTED_VALUE"""),"Kimberly Ball")</f>
        <v>Kimberly Ball</v>
      </c>
      <c r="T5321" s="6" t="str">
        <f>IFERROR(__xludf.DUMMYFUNCTION("""COMPUTED_VALUE"""),"kimberly.ball@studient.com")</f>
        <v>kimberly.ball@studient.com</v>
      </c>
      <c r="U5321" s="6" t="str">
        <f>IFERROR(__xludf.DUMMYFUNCTION("""COMPUTED_VALUE"""),"4")</f>
        <v>4</v>
      </c>
      <c r="V5321" s="6" t="str">
        <f>IFERROR(__xludf.DUMMYFUNCTION("""COMPUTED_VALUE"""),"")</f>
        <v/>
      </c>
      <c r="W5321" s="6" t="str">
        <f>IFERROR(__xludf.DUMMYFUNCTION("""COMPUTED_VALUE"""),"[]")</f>
        <v>[]</v>
      </c>
      <c r="X5321" s="6" t="str">
        <f>IFERROR(__xludf.DUMMYFUNCTION("""COMPUTED_VALUE"""),"Enrolled")</f>
        <v>Enrolled</v>
      </c>
    </row>
    <row r="5322">
      <c r="A5322" s="6" t="str">
        <f>IFERROR(__xludf.DUMMYFUNCTION("""COMPUTED_VALUE"""),"086-12713")</f>
        <v>086-12713</v>
      </c>
      <c r="B5322" s="6" t="str">
        <f>IFERROR(__xludf.DUMMYFUNCTION("""COMPUTED_VALUE"""),"86")</f>
        <v>86</v>
      </c>
      <c r="C5322" s="6" t="str">
        <f>IFERROR(__xludf.DUMMYFUNCTION("""COMPUTED_VALUE"""),"12713")</f>
        <v>12713</v>
      </c>
      <c r="D5322" s="6" t="str">
        <f>IFERROR(__xludf.DUMMYFUNCTION("""COMPUTED_VALUE"""),"Indigo")</f>
        <v>Indigo</v>
      </c>
      <c r="E5322" s="6" t="str">
        <f>IFERROR(__xludf.DUMMYFUNCTION("""COMPUTED_VALUE"""),"")</f>
        <v/>
      </c>
      <c r="F5322" s="6" t="str">
        <f>IFERROR(__xludf.DUMMYFUNCTION("""COMPUTED_VALUE"""),"Grant")</f>
        <v>Grant</v>
      </c>
      <c r="G5322" s="6" t="str">
        <f>IFERROR(__xludf.DUMMYFUNCTION("""COMPUTED_VALUE"""),"10/11/2015")</f>
        <v>10/11/2015</v>
      </c>
      <c r="H5322" s="6" t="str">
        <f>IFERROR(__xludf.DUMMYFUNCTION("""COMPUTED_VALUE"""),"female")</f>
        <v>female</v>
      </c>
      <c r="I5322" s="6" t="str">
        <f>IFERROR(__xludf.DUMMYFUNCTION("""COMPUTED_VALUE"""),"Level 2")</f>
        <v>Level 2</v>
      </c>
      <c r="J5322" s="6" t="str">
        <f>IFERROR(__xludf.DUMMYFUNCTION("""COMPUTED_VALUE"""),"4")</f>
        <v>4</v>
      </c>
      <c r="K5322" s="6" t="str">
        <f>IFERROR(__xludf.DUMMYFUNCTION("""COMPUTED_VALUE"""),"indigo.grant@2hourlearning.com")</f>
        <v>indigo.grant@2hourlearning.com</v>
      </c>
      <c r="L5322" s="6" t="str">
        <f>IFERROR(__xludf.DUMMYFUNCTION("""COMPUTED_VALUE"""),"JRES - Ridgeland Elementary School")</f>
        <v>JRES - Ridgeland Elementary School</v>
      </c>
      <c r="M5322" s="6" t="str">
        <f>IFERROR(__xludf.DUMMYFUNCTION("""COMPUTED_VALUE"""),"")</f>
        <v/>
      </c>
      <c r="N5322" s="6" t="str">
        <f>IFERROR(__xludf.DUMMYFUNCTION("""COMPUTED_VALUE"""),"")</f>
        <v/>
      </c>
      <c r="O5322" s="87" t="str">
        <f>IFERROR(__xludf.DUMMYFUNCTION("""COMPUTED_VALUE"""),"https://drive.google.com/drive/folders/10T2cTQHqEJZqE-st6uFKPoI?usp=share_link")</f>
        <v>https://drive.google.com/drive/folders/10T2cTQHqEJZqE-st6uFKPoI?usp=share_link</v>
      </c>
      <c r="P5322" s="6" t="str">
        <f>IFERROR(__xludf.DUMMYFUNCTION("""COMPUTED_VALUE"""),"Indigo Grant")</f>
        <v>Indigo Grant</v>
      </c>
      <c r="Q5322" s="6" t="str">
        <f>IFERROR(__xludf.DUMMYFUNCTION("""COMPUTED_VALUE"""),"L2")</f>
        <v>L2</v>
      </c>
      <c r="R5322" s="6">
        <f>IFERROR(__xludf.DUMMYFUNCTION("""COMPUTED_VALUE"""),2.0)</f>
        <v>2</v>
      </c>
      <c r="S5322" s="6" t="str">
        <f>IFERROR(__xludf.DUMMYFUNCTION("""COMPUTED_VALUE"""),"Kimberly Ball")</f>
        <v>Kimberly Ball</v>
      </c>
      <c r="T5322" s="6" t="str">
        <f>IFERROR(__xludf.DUMMYFUNCTION("""COMPUTED_VALUE"""),"kimberly.ball@studient.com")</f>
        <v>kimberly.ball@studient.com</v>
      </c>
      <c r="U5322" s="6" t="str">
        <f>IFERROR(__xludf.DUMMYFUNCTION("""COMPUTED_VALUE"""),"4")</f>
        <v>4</v>
      </c>
      <c r="V5322" s="6" t="str">
        <f>IFERROR(__xludf.DUMMYFUNCTION("""COMPUTED_VALUE"""),"")</f>
        <v/>
      </c>
      <c r="W5322" s="6" t="str">
        <f>IFERROR(__xludf.DUMMYFUNCTION("""COMPUTED_VALUE"""),"[]")</f>
        <v>[]</v>
      </c>
      <c r="X5322" s="6" t="str">
        <f>IFERROR(__xludf.DUMMYFUNCTION("""COMPUTED_VALUE"""),"Enrolled")</f>
        <v>Enrolled</v>
      </c>
    </row>
    <row r="5323">
      <c r="A5323" s="6" t="str">
        <f>IFERROR(__xludf.DUMMYFUNCTION("""COMPUTED_VALUE"""),"086-12714")</f>
        <v>086-12714</v>
      </c>
      <c r="B5323" s="6" t="str">
        <f>IFERROR(__xludf.DUMMYFUNCTION("""COMPUTED_VALUE"""),"86")</f>
        <v>86</v>
      </c>
      <c r="C5323" s="6" t="str">
        <f>IFERROR(__xludf.DUMMYFUNCTION("""COMPUTED_VALUE"""),"12714")</f>
        <v>12714</v>
      </c>
      <c r="D5323" s="6" t="str">
        <f>IFERROR(__xludf.DUMMYFUNCTION("""COMPUTED_VALUE"""),"Isaias")</f>
        <v>Isaias</v>
      </c>
      <c r="E5323" s="6" t="str">
        <f>IFERROR(__xludf.DUMMYFUNCTION("""COMPUTED_VALUE"""),"")</f>
        <v/>
      </c>
      <c r="F5323" s="6" t="str">
        <f>IFERROR(__xludf.DUMMYFUNCTION("""COMPUTED_VALUE"""),"Green")</f>
        <v>Green</v>
      </c>
      <c r="G5323" s="6" t="str">
        <f>IFERROR(__xludf.DUMMYFUNCTION("""COMPUTED_VALUE"""),"07/26/2015")</f>
        <v>07/26/2015</v>
      </c>
      <c r="H5323" s="6" t="str">
        <f>IFERROR(__xludf.DUMMYFUNCTION("""COMPUTED_VALUE"""),"male")</f>
        <v>male</v>
      </c>
      <c r="I5323" s="6" t="str">
        <f>IFERROR(__xludf.DUMMYFUNCTION("""COMPUTED_VALUE"""),"Level 2")</f>
        <v>Level 2</v>
      </c>
      <c r="J5323" s="6" t="str">
        <f>IFERROR(__xludf.DUMMYFUNCTION("""COMPUTED_VALUE"""),"4")</f>
        <v>4</v>
      </c>
      <c r="K5323" s="6" t="str">
        <f>IFERROR(__xludf.DUMMYFUNCTION("""COMPUTED_VALUE"""),"isaias.green@2hourlearning.com")</f>
        <v>isaias.green@2hourlearning.com</v>
      </c>
      <c r="L5323" s="6" t="str">
        <f>IFERROR(__xludf.DUMMYFUNCTION("""COMPUTED_VALUE"""),"JRES - Ridgeland Elementary School")</f>
        <v>JRES - Ridgeland Elementary School</v>
      </c>
      <c r="M5323" s="6" t="str">
        <f>IFERROR(__xludf.DUMMYFUNCTION("""COMPUTED_VALUE"""),"")</f>
        <v/>
      </c>
      <c r="N5323" s="6" t="str">
        <f>IFERROR(__xludf.DUMMYFUNCTION("""COMPUTED_VALUE"""),"")</f>
        <v/>
      </c>
      <c r="O5323" s="87" t="str">
        <f>IFERROR(__xludf.DUMMYFUNCTION("""COMPUTED_VALUE"""),"https://drive.google.com/drive/folders/10T2cTQHqEJZqE-st6uFKPoI?usp=share_link")</f>
        <v>https://drive.google.com/drive/folders/10T2cTQHqEJZqE-st6uFKPoI?usp=share_link</v>
      </c>
      <c r="P5323" s="6" t="str">
        <f>IFERROR(__xludf.DUMMYFUNCTION("""COMPUTED_VALUE"""),"Isaias Green")</f>
        <v>Isaias Green</v>
      </c>
      <c r="Q5323" s="6" t="str">
        <f>IFERROR(__xludf.DUMMYFUNCTION("""COMPUTED_VALUE"""),"L2")</f>
        <v>L2</v>
      </c>
      <c r="R5323" s="6">
        <f>IFERROR(__xludf.DUMMYFUNCTION("""COMPUTED_VALUE"""),2.0)</f>
        <v>2</v>
      </c>
      <c r="S5323" s="6" t="str">
        <f>IFERROR(__xludf.DUMMYFUNCTION("""COMPUTED_VALUE"""),"Kimberly Ball")</f>
        <v>Kimberly Ball</v>
      </c>
      <c r="T5323" s="6" t="str">
        <f>IFERROR(__xludf.DUMMYFUNCTION("""COMPUTED_VALUE"""),"kimberly.ball@studient.com")</f>
        <v>kimberly.ball@studient.com</v>
      </c>
      <c r="U5323" s="6" t="str">
        <f>IFERROR(__xludf.DUMMYFUNCTION("""COMPUTED_VALUE"""),"4")</f>
        <v>4</v>
      </c>
      <c r="V5323" s="6" t="str">
        <f>IFERROR(__xludf.DUMMYFUNCTION("""COMPUTED_VALUE"""),"")</f>
        <v/>
      </c>
      <c r="W5323" s="6" t="str">
        <f>IFERROR(__xludf.DUMMYFUNCTION("""COMPUTED_VALUE"""),"[]")</f>
        <v>[]</v>
      </c>
      <c r="X5323" s="6" t="str">
        <f>IFERROR(__xludf.DUMMYFUNCTION("""COMPUTED_VALUE"""),"Enrolled")</f>
        <v>Enrolled</v>
      </c>
    </row>
    <row r="5324">
      <c r="A5324" s="6" t="str">
        <f>IFERROR(__xludf.DUMMYFUNCTION("""COMPUTED_VALUE"""),"086-12715")</f>
        <v>086-12715</v>
      </c>
      <c r="B5324" s="6" t="str">
        <f>IFERROR(__xludf.DUMMYFUNCTION("""COMPUTED_VALUE"""),"86")</f>
        <v>86</v>
      </c>
      <c r="C5324" s="6" t="str">
        <f>IFERROR(__xludf.DUMMYFUNCTION("""COMPUTED_VALUE"""),"12715")</f>
        <v>12715</v>
      </c>
      <c r="D5324" s="6" t="str">
        <f>IFERROR(__xludf.DUMMYFUNCTION("""COMPUTED_VALUE"""),"Marquis")</f>
        <v>Marquis</v>
      </c>
      <c r="E5324" s="6" t="str">
        <f>IFERROR(__xludf.DUMMYFUNCTION("""COMPUTED_VALUE"""),"")</f>
        <v/>
      </c>
      <c r="F5324" s="6" t="str">
        <f>IFERROR(__xludf.DUMMYFUNCTION("""COMPUTED_VALUE"""),"Griffin")</f>
        <v>Griffin</v>
      </c>
      <c r="G5324" s="6" t="str">
        <f>IFERROR(__xludf.DUMMYFUNCTION("""COMPUTED_VALUE"""),"03/27/2017")</f>
        <v>03/27/2017</v>
      </c>
      <c r="H5324" s="6" t="str">
        <f>IFERROR(__xludf.DUMMYFUNCTION("""COMPUTED_VALUE"""),"male")</f>
        <v>male</v>
      </c>
      <c r="I5324" s="6" t="str">
        <f>IFERROR(__xludf.DUMMYFUNCTION("""COMPUTED_VALUE"""),"Level 2")</f>
        <v>Level 2</v>
      </c>
      <c r="J5324" s="6" t="str">
        <f>IFERROR(__xludf.DUMMYFUNCTION("""COMPUTED_VALUE"""),"4")</f>
        <v>4</v>
      </c>
      <c r="K5324" s="6" t="str">
        <f>IFERROR(__xludf.DUMMYFUNCTION("""COMPUTED_VALUE"""),"marquis.griffin@2hourlearning.com")</f>
        <v>marquis.griffin@2hourlearning.com</v>
      </c>
      <c r="L5324" s="6" t="str">
        <f>IFERROR(__xludf.DUMMYFUNCTION("""COMPUTED_VALUE"""),"JRES - Ridgeland Elementary School")</f>
        <v>JRES - Ridgeland Elementary School</v>
      </c>
      <c r="M5324" s="6" t="str">
        <f>IFERROR(__xludf.DUMMYFUNCTION("""COMPUTED_VALUE"""),"")</f>
        <v/>
      </c>
      <c r="N5324" s="6" t="str">
        <f>IFERROR(__xludf.DUMMYFUNCTION("""COMPUTED_VALUE"""),"")</f>
        <v/>
      </c>
      <c r="O5324" s="87" t="str">
        <f>IFERROR(__xludf.DUMMYFUNCTION("""COMPUTED_VALUE"""),"https://drive.google.com/drive/folders/10T2cTQHqEJZqE-st6uFKPoI?usp=share_link")</f>
        <v>https://drive.google.com/drive/folders/10T2cTQHqEJZqE-st6uFKPoI?usp=share_link</v>
      </c>
      <c r="P5324" s="6" t="str">
        <f>IFERROR(__xludf.DUMMYFUNCTION("""COMPUTED_VALUE"""),"Marquis Griffin")</f>
        <v>Marquis Griffin</v>
      </c>
      <c r="Q5324" s="6" t="str">
        <f>IFERROR(__xludf.DUMMYFUNCTION("""COMPUTED_VALUE"""),"L2")</f>
        <v>L2</v>
      </c>
      <c r="R5324" s="6">
        <f>IFERROR(__xludf.DUMMYFUNCTION("""COMPUTED_VALUE"""),2.0)</f>
        <v>2</v>
      </c>
      <c r="S5324" s="6" t="str">
        <f>IFERROR(__xludf.DUMMYFUNCTION("""COMPUTED_VALUE"""),"Kimberly Ball")</f>
        <v>Kimberly Ball</v>
      </c>
      <c r="T5324" s="6" t="str">
        <f>IFERROR(__xludf.DUMMYFUNCTION("""COMPUTED_VALUE"""),"kimberly.ball@studient.com")</f>
        <v>kimberly.ball@studient.com</v>
      </c>
      <c r="U5324" s="6" t="str">
        <f>IFERROR(__xludf.DUMMYFUNCTION("""COMPUTED_VALUE"""),"4")</f>
        <v>4</v>
      </c>
      <c r="V5324" s="6" t="str">
        <f>IFERROR(__xludf.DUMMYFUNCTION("""COMPUTED_VALUE"""),"")</f>
        <v/>
      </c>
      <c r="W5324" s="6" t="str">
        <f>IFERROR(__xludf.DUMMYFUNCTION("""COMPUTED_VALUE"""),"[]")</f>
        <v>[]</v>
      </c>
      <c r="X5324" s="6" t="str">
        <f>IFERROR(__xludf.DUMMYFUNCTION("""COMPUTED_VALUE"""),"Enrolled")</f>
        <v>Enrolled</v>
      </c>
    </row>
    <row r="5325">
      <c r="A5325" s="6" t="str">
        <f>IFERROR(__xludf.DUMMYFUNCTION("""COMPUTED_VALUE"""),"086-12716")</f>
        <v>086-12716</v>
      </c>
      <c r="B5325" s="6" t="str">
        <f>IFERROR(__xludf.DUMMYFUNCTION("""COMPUTED_VALUE"""),"86")</f>
        <v>86</v>
      </c>
      <c r="C5325" s="6" t="str">
        <f>IFERROR(__xludf.DUMMYFUNCTION("""COMPUTED_VALUE"""),"12716")</f>
        <v>12716</v>
      </c>
      <c r="D5325" s="6" t="str">
        <f>IFERROR(__xludf.DUMMYFUNCTION("""COMPUTED_VALUE"""),"Jaiyana")</f>
        <v>Jaiyana</v>
      </c>
      <c r="E5325" s="6" t="str">
        <f>IFERROR(__xludf.DUMMYFUNCTION("""COMPUTED_VALUE"""),"")</f>
        <v/>
      </c>
      <c r="F5325" s="6" t="str">
        <f>IFERROR(__xludf.DUMMYFUNCTION("""COMPUTED_VALUE"""),"Hayward")</f>
        <v>Hayward</v>
      </c>
      <c r="G5325" s="6" t="str">
        <f>IFERROR(__xludf.DUMMYFUNCTION("""COMPUTED_VALUE"""),"11/30/2015")</f>
        <v>11/30/2015</v>
      </c>
      <c r="H5325" s="6" t="str">
        <f>IFERROR(__xludf.DUMMYFUNCTION("""COMPUTED_VALUE"""),"female")</f>
        <v>female</v>
      </c>
      <c r="I5325" s="6" t="str">
        <f>IFERROR(__xludf.DUMMYFUNCTION("""COMPUTED_VALUE"""),"Level 2")</f>
        <v>Level 2</v>
      </c>
      <c r="J5325" s="6" t="str">
        <f>IFERROR(__xludf.DUMMYFUNCTION("""COMPUTED_VALUE"""),"4")</f>
        <v>4</v>
      </c>
      <c r="K5325" s="6" t="str">
        <f>IFERROR(__xludf.DUMMYFUNCTION("""COMPUTED_VALUE"""),"jaiyana.hayward@2hourlearning.com")</f>
        <v>jaiyana.hayward@2hourlearning.com</v>
      </c>
      <c r="L5325" s="6" t="str">
        <f>IFERROR(__xludf.DUMMYFUNCTION("""COMPUTED_VALUE"""),"JRES - Ridgeland Elementary School")</f>
        <v>JRES - Ridgeland Elementary School</v>
      </c>
      <c r="M5325" s="6" t="str">
        <f>IFERROR(__xludf.DUMMYFUNCTION("""COMPUTED_VALUE"""),"")</f>
        <v/>
      </c>
      <c r="N5325" s="6" t="str">
        <f>IFERROR(__xludf.DUMMYFUNCTION("""COMPUTED_VALUE"""),"")</f>
        <v/>
      </c>
      <c r="O5325" s="87" t="str">
        <f>IFERROR(__xludf.DUMMYFUNCTION("""COMPUTED_VALUE"""),"https://drive.google.com/drive/folders/10T2cTQHqEJZqE-st6uFKPoI?usp=share_link")</f>
        <v>https://drive.google.com/drive/folders/10T2cTQHqEJZqE-st6uFKPoI?usp=share_link</v>
      </c>
      <c r="P5325" s="6" t="str">
        <f>IFERROR(__xludf.DUMMYFUNCTION("""COMPUTED_VALUE"""),"Jaiyana Hayward")</f>
        <v>Jaiyana Hayward</v>
      </c>
      <c r="Q5325" s="6" t="str">
        <f>IFERROR(__xludf.DUMMYFUNCTION("""COMPUTED_VALUE"""),"L2")</f>
        <v>L2</v>
      </c>
      <c r="R5325" s="6">
        <f>IFERROR(__xludf.DUMMYFUNCTION("""COMPUTED_VALUE"""),2.0)</f>
        <v>2</v>
      </c>
      <c r="S5325" s="6" t="str">
        <f>IFERROR(__xludf.DUMMYFUNCTION("""COMPUTED_VALUE"""),"Kimberly Ball")</f>
        <v>Kimberly Ball</v>
      </c>
      <c r="T5325" s="6" t="str">
        <f>IFERROR(__xludf.DUMMYFUNCTION("""COMPUTED_VALUE"""),"kimberly.ball@studient.com")</f>
        <v>kimberly.ball@studient.com</v>
      </c>
      <c r="U5325" s="6" t="str">
        <f>IFERROR(__xludf.DUMMYFUNCTION("""COMPUTED_VALUE"""),"4")</f>
        <v>4</v>
      </c>
      <c r="V5325" s="6" t="str">
        <f>IFERROR(__xludf.DUMMYFUNCTION("""COMPUTED_VALUE"""),"")</f>
        <v/>
      </c>
      <c r="W5325" s="6" t="str">
        <f>IFERROR(__xludf.DUMMYFUNCTION("""COMPUTED_VALUE"""),"[]")</f>
        <v>[]</v>
      </c>
      <c r="X5325" s="6" t="str">
        <f>IFERROR(__xludf.DUMMYFUNCTION("""COMPUTED_VALUE"""),"Enrolled")</f>
        <v>Enrolled</v>
      </c>
    </row>
    <row r="5326">
      <c r="A5326" s="6" t="str">
        <f>IFERROR(__xludf.DUMMYFUNCTION("""COMPUTED_VALUE"""),"086-12717")</f>
        <v>086-12717</v>
      </c>
      <c r="B5326" s="6" t="str">
        <f>IFERROR(__xludf.DUMMYFUNCTION("""COMPUTED_VALUE"""),"86")</f>
        <v>86</v>
      </c>
      <c r="C5326" s="6" t="str">
        <f>IFERROR(__xludf.DUMMYFUNCTION("""COMPUTED_VALUE"""),"12717")</f>
        <v>12717</v>
      </c>
      <c r="D5326" s="6" t="str">
        <f>IFERROR(__xludf.DUMMYFUNCTION("""COMPUTED_VALUE"""),"Markayla")</f>
        <v>Markayla</v>
      </c>
      <c r="E5326" s="6" t="str">
        <f>IFERROR(__xludf.DUMMYFUNCTION("""COMPUTED_VALUE"""),"")</f>
        <v/>
      </c>
      <c r="F5326" s="6" t="str">
        <f>IFERROR(__xludf.DUMMYFUNCTION("""COMPUTED_VALUE"""),"Hendrix")</f>
        <v>Hendrix</v>
      </c>
      <c r="G5326" s="6" t="str">
        <f>IFERROR(__xludf.DUMMYFUNCTION("""COMPUTED_VALUE"""),"10/01/2014")</f>
        <v>10/01/2014</v>
      </c>
      <c r="H5326" s="6" t="str">
        <f>IFERROR(__xludf.DUMMYFUNCTION("""COMPUTED_VALUE"""),"male")</f>
        <v>male</v>
      </c>
      <c r="I5326" s="6" t="str">
        <f>IFERROR(__xludf.DUMMYFUNCTION("""COMPUTED_VALUE"""),"Level 2")</f>
        <v>Level 2</v>
      </c>
      <c r="J5326" s="6" t="str">
        <f>IFERROR(__xludf.DUMMYFUNCTION("""COMPUTED_VALUE"""),"4")</f>
        <v>4</v>
      </c>
      <c r="K5326" s="6" t="str">
        <f>IFERROR(__xludf.DUMMYFUNCTION("""COMPUTED_VALUE"""),"markayla.hendrix@2hourlearning.com")</f>
        <v>markayla.hendrix@2hourlearning.com</v>
      </c>
      <c r="L5326" s="6" t="str">
        <f>IFERROR(__xludf.DUMMYFUNCTION("""COMPUTED_VALUE"""),"JRES - Ridgeland Elementary School")</f>
        <v>JRES - Ridgeland Elementary School</v>
      </c>
      <c r="M5326" s="6" t="str">
        <f>IFERROR(__xludf.DUMMYFUNCTION("""COMPUTED_VALUE"""),"")</f>
        <v/>
      </c>
      <c r="N5326" s="6" t="str">
        <f>IFERROR(__xludf.DUMMYFUNCTION("""COMPUTED_VALUE"""),"")</f>
        <v/>
      </c>
      <c r="O5326" s="87" t="str">
        <f>IFERROR(__xludf.DUMMYFUNCTION("""COMPUTED_VALUE"""),"https://drive.google.com/drive/folders/10T2cTQHqEJZqE-st6uFKPoI?usp=share_link")</f>
        <v>https://drive.google.com/drive/folders/10T2cTQHqEJZqE-st6uFKPoI?usp=share_link</v>
      </c>
      <c r="P5326" s="6" t="str">
        <f>IFERROR(__xludf.DUMMYFUNCTION("""COMPUTED_VALUE"""),"Markayla Hendrix")</f>
        <v>Markayla Hendrix</v>
      </c>
      <c r="Q5326" s="6" t="str">
        <f>IFERROR(__xludf.DUMMYFUNCTION("""COMPUTED_VALUE"""),"L2")</f>
        <v>L2</v>
      </c>
      <c r="R5326" s="6">
        <f>IFERROR(__xludf.DUMMYFUNCTION("""COMPUTED_VALUE"""),2.0)</f>
        <v>2</v>
      </c>
      <c r="S5326" s="6" t="str">
        <f>IFERROR(__xludf.DUMMYFUNCTION("""COMPUTED_VALUE"""),"Kimberly Ball")</f>
        <v>Kimberly Ball</v>
      </c>
      <c r="T5326" s="6" t="str">
        <f>IFERROR(__xludf.DUMMYFUNCTION("""COMPUTED_VALUE"""),"kimberly.ball@studient.com")</f>
        <v>kimberly.ball@studient.com</v>
      </c>
      <c r="U5326" s="6" t="str">
        <f>IFERROR(__xludf.DUMMYFUNCTION("""COMPUTED_VALUE"""),"4")</f>
        <v>4</v>
      </c>
      <c r="V5326" s="6" t="str">
        <f>IFERROR(__xludf.DUMMYFUNCTION("""COMPUTED_VALUE"""),"")</f>
        <v/>
      </c>
      <c r="W5326" s="6" t="str">
        <f>IFERROR(__xludf.DUMMYFUNCTION("""COMPUTED_VALUE"""),"[]")</f>
        <v>[]</v>
      </c>
      <c r="X5326" s="6" t="str">
        <f>IFERROR(__xludf.DUMMYFUNCTION("""COMPUTED_VALUE"""),"Enrolled")</f>
        <v>Enrolled</v>
      </c>
    </row>
    <row r="5327">
      <c r="A5327" s="6" t="str">
        <f>IFERROR(__xludf.DUMMYFUNCTION("""COMPUTED_VALUE"""),"086-12718")</f>
        <v>086-12718</v>
      </c>
      <c r="B5327" s="6" t="str">
        <f>IFERROR(__xludf.DUMMYFUNCTION("""COMPUTED_VALUE"""),"86")</f>
        <v>86</v>
      </c>
      <c r="C5327" s="6" t="str">
        <f>IFERROR(__xludf.DUMMYFUNCTION("""COMPUTED_VALUE"""),"12718")</f>
        <v>12718</v>
      </c>
      <c r="D5327" s="6" t="str">
        <f>IFERROR(__xludf.DUMMYFUNCTION("""COMPUTED_VALUE"""),"Bruno")</f>
        <v>Bruno</v>
      </c>
      <c r="E5327" s="6" t="str">
        <f>IFERROR(__xludf.DUMMYFUNCTION("""COMPUTED_VALUE"""),"")</f>
        <v/>
      </c>
      <c r="F5327" s="6" t="str">
        <f>IFERROR(__xludf.DUMMYFUNCTION("""COMPUTED_VALUE"""),"Hermosillo Hernandez")</f>
        <v>Hermosillo Hernandez</v>
      </c>
      <c r="G5327" s="6" t="str">
        <f>IFERROR(__xludf.DUMMYFUNCTION("""COMPUTED_VALUE"""),"10/14/2015")</f>
        <v>10/14/2015</v>
      </c>
      <c r="H5327" s="6" t="str">
        <f>IFERROR(__xludf.DUMMYFUNCTION("""COMPUTED_VALUE"""),"female")</f>
        <v>female</v>
      </c>
      <c r="I5327" s="6" t="str">
        <f>IFERROR(__xludf.DUMMYFUNCTION("""COMPUTED_VALUE"""),"Level 2")</f>
        <v>Level 2</v>
      </c>
      <c r="J5327" s="6" t="str">
        <f>IFERROR(__xludf.DUMMYFUNCTION("""COMPUTED_VALUE"""),"4")</f>
        <v>4</v>
      </c>
      <c r="K5327" s="6" t="str">
        <f>IFERROR(__xludf.DUMMYFUNCTION("""COMPUTED_VALUE"""),"bruno.hermosillohernandez@2hourlearning.com")</f>
        <v>bruno.hermosillohernandez@2hourlearning.com</v>
      </c>
      <c r="L5327" s="6" t="str">
        <f>IFERROR(__xludf.DUMMYFUNCTION("""COMPUTED_VALUE"""),"JRES - Ridgeland Elementary School")</f>
        <v>JRES - Ridgeland Elementary School</v>
      </c>
      <c r="M5327" s="6" t="str">
        <f>IFERROR(__xludf.DUMMYFUNCTION("""COMPUTED_VALUE"""),"")</f>
        <v/>
      </c>
      <c r="N5327" s="6" t="str">
        <f>IFERROR(__xludf.DUMMYFUNCTION("""COMPUTED_VALUE"""),"")</f>
        <v/>
      </c>
      <c r="O5327" s="87" t="str">
        <f>IFERROR(__xludf.DUMMYFUNCTION("""COMPUTED_VALUE"""),"https://drive.google.com/drive/folders/10T2cTQHqEJZqE-st6uFKPoI?usp=share_link")</f>
        <v>https://drive.google.com/drive/folders/10T2cTQHqEJZqE-st6uFKPoI?usp=share_link</v>
      </c>
      <c r="P5327" s="6" t="str">
        <f>IFERROR(__xludf.DUMMYFUNCTION("""COMPUTED_VALUE"""),"Bruno Hermosillo Hernandez")</f>
        <v>Bruno Hermosillo Hernandez</v>
      </c>
      <c r="Q5327" s="6" t="str">
        <f>IFERROR(__xludf.DUMMYFUNCTION("""COMPUTED_VALUE"""),"L2")</f>
        <v>L2</v>
      </c>
      <c r="R5327" s="6">
        <f>IFERROR(__xludf.DUMMYFUNCTION("""COMPUTED_VALUE"""),2.0)</f>
        <v>2</v>
      </c>
      <c r="S5327" s="6" t="str">
        <f>IFERROR(__xludf.DUMMYFUNCTION("""COMPUTED_VALUE"""),"Kimberly Ball")</f>
        <v>Kimberly Ball</v>
      </c>
      <c r="T5327" s="6" t="str">
        <f>IFERROR(__xludf.DUMMYFUNCTION("""COMPUTED_VALUE"""),"kimberly.ball@studient.com")</f>
        <v>kimberly.ball@studient.com</v>
      </c>
      <c r="U5327" s="6" t="str">
        <f>IFERROR(__xludf.DUMMYFUNCTION("""COMPUTED_VALUE"""),"4")</f>
        <v>4</v>
      </c>
      <c r="V5327" s="6" t="str">
        <f>IFERROR(__xludf.DUMMYFUNCTION("""COMPUTED_VALUE"""),"")</f>
        <v/>
      </c>
      <c r="W5327" s="6" t="str">
        <f>IFERROR(__xludf.DUMMYFUNCTION("""COMPUTED_VALUE"""),"[]")</f>
        <v>[]</v>
      </c>
      <c r="X5327" s="6" t="str">
        <f>IFERROR(__xludf.DUMMYFUNCTION("""COMPUTED_VALUE"""),"Enrolled")</f>
        <v>Enrolled</v>
      </c>
    </row>
    <row r="5328">
      <c r="A5328" s="6" t="str">
        <f>IFERROR(__xludf.DUMMYFUNCTION("""COMPUTED_VALUE"""),"086-12719")</f>
        <v>086-12719</v>
      </c>
      <c r="B5328" s="6" t="str">
        <f>IFERROR(__xludf.DUMMYFUNCTION("""COMPUTED_VALUE"""),"86")</f>
        <v>86</v>
      </c>
      <c r="C5328" s="6" t="str">
        <f>IFERROR(__xludf.DUMMYFUNCTION("""COMPUTED_VALUE"""),"12719")</f>
        <v>12719</v>
      </c>
      <c r="D5328" s="6" t="str">
        <f>IFERROR(__xludf.DUMMYFUNCTION("""COMPUTED_VALUE"""),"Javin")</f>
        <v>Javin</v>
      </c>
      <c r="E5328" s="6" t="str">
        <f>IFERROR(__xludf.DUMMYFUNCTION("""COMPUTED_VALUE"""),"")</f>
        <v/>
      </c>
      <c r="F5328" s="6" t="str">
        <f>IFERROR(__xludf.DUMMYFUNCTION("""COMPUTED_VALUE"""),"Heyward")</f>
        <v>Heyward</v>
      </c>
      <c r="G5328" s="6" t="str">
        <f>IFERROR(__xludf.DUMMYFUNCTION("""COMPUTED_VALUE"""),"03/22/2018")</f>
        <v>03/22/2018</v>
      </c>
      <c r="H5328" s="6" t="str">
        <f>IFERROR(__xludf.DUMMYFUNCTION("""COMPUTED_VALUE"""),"male")</f>
        <v>male</v>
      </c>
      <c r="I5328" s="6" t="str">
        <f>IFERROR(__xludf.DUMMYFUNCTION("""COMPUTED_VALUE"""),"Level 2")</f>
        <v>Level 2</v>
      </c>
      <c r="J5328" s="6" t="str">
        <f>IFERROR(__xludf.DUMMYFUNCTION("""COMPUTED_VALUE"""),"4")</f>
        <v>4</v>
      </c>
      <c r="K5328" s="6" t="str">
        <f>IFERROR(__xludf.DUMMYFUNCTION("""COMPUTED_VALUE"""),"javin.heyward@2hourlearning.com")</f>
        <v>javin.heyward@2hourlearning.com</v>
      </c>
      <c r="L5328" s="6" t="str">
        <f>IFERROR(__xludf.DUMMYFUNCTION("""COMPUTED_VALUE"""),"JRES - Ridgeland Elementary School")</f>
        <v>JRES - Ridgeland Elementary School</v>
      </c>
      <c r="M5328" s="6" t="str">
        <f>IFERROR(__xludf.DUMMYFUNCTION("""COMPUTED_VALUE"""),"")</f>
        <v/>
      </c>
      <c r="N5328" s="6" t="str">
        <f>IFERROR(__xludf.DUMMYFUNCTION("""COMPUTED_VALUE"""),"")</f>
        <v/>
      </c>
      <c r="O5328" s="87" t="str">
        <f>IFERROR(__xludf.DUMMYFUNCTION("""COMPUTED_VALUE"""),"https://drive.google.com/drive/folders/10T2cTQHqEJZqE-st6uFKPoI?usp=share_link")</f>
        <v>https://drive.google.com/drive/folders/10T2cTQHqEJZqE-st6uFKPoI?usp=share_link</v>
      </c>
      <c r="P5328" s="6" t="str">
        <f>IFERROR(__xludf.DUMMYFUNCTION("""COMPUTED_VALUE"""),"Javin Heyward")</f>
        <v>Javin Heyward</v>
      </c>
      <c r="Q5328" s="6" t="str">
        <f>IFERROR(__xludf.DUMMYFUNCTION("""COMPUTED_VALUE"""),"L2")</f>
        <v>L2</v>
      </c>
      <c r="R5328" s="6">
        <f>IFERROR(__xludf.DUMMYFUNCTION("""COMPUTED_VALUE"""),2.0)</f>
        <v>2</v>
      </c>
      <c r="S5328" s="6" t="str">
        <f>IFERROR(__xludf.DUMMYFUNCTION("""COMPUTED_VALUE"""),"Kimberly Ball")</f>
        <v>Kimberly Ball</v>
      </c>
      <c r="T5328" s="6" t="str">
        <f>IFERROR(__xludf.DUMMYFUNCTION("""COMPUTED_VALUE"""),"kimberly.ball@studient.com")</f>
        <v>kimberly.ball@studient.com</v>
      </c>
      <c r="U5328" s="6" t="str">
        <f>IFERROR(__xludf.DUMMYFUNCTION("""COMPUTED_VALUE"""),"4")</f>
        <v>4</v>
      </c>
      <c r="V5328" s="6" t="str">
        <f>IFERROR(__xludf.DUMMYFUNCTION("""COMPUTED_VALUE"""),"")</f>
        <v/>
      </c>
      <c r="W5328" s="6" t="str">
        <f>IFERROR(__xludf.DUMMYFUNCTION("""COMPUTED_VALUE"""),"[]")</f>
        <v>[]</v>
      </c>
      <c r="X5328" s="6" t="str">
        <f>IFERROR(__xludf.DUMMYFUNCTION("""COMPUTED_VALUE"""),"Enrolled")</f>
        <v>Enrolled</v>
      </c>
    </row>
    <row r="5329">
      <c r="A5329" s="6" t="str">
        <f>IFERROR(__xludf.DUMMYFUNCTION("""COMPUTED_VALUE"""),"086-12720")</f>
        <v>086-12720</v>
      </c>
      <c r="B5329" s="6" t="str">
        <f>IFERROR(__xludf.DUMMYFUNCTION("""COMPUTED_VALUE"""),"86")</f>
        <v>86</v>
      </c>
      <c r="C5329" s="6" t="str">
        <f>IFERROR(__xludf.DUMMYFUNCTION("""COMPUTED_VALUE"""),"12720")</f>
        <v>12720</v>
      </c>
      <c r="D5329" s="6" t="str">
        <f>IFERROR(__xludf.DUMMYFUNCTION("""COMPUTED_VALUE"""),"Ja'Kiyah")</f>
        <v>Ja'Kiyah</v>
      </c>
      <c r="E5329" s="6" t="str">
        <f>IFERROR(__xludf.DUMMYFUNCTION("""COMPUTED_VALUE"""),"")</f>
        <v/>
      </c>
      <c r="F5329" s="6" t="str">
        <f>IFERROR(__xludf.DUMMYFUNCTION("""COMPUTED_VALUE"""),"Jackson")</f>
        <v>Jackson</v>
      </c>
      <c r="G5329" s="6" t="str">
        <f>IFERROR(__xludf.DUMMYFUNCTION("""COMPUTED_VALUE"""),"09/04/2015")</f>
        <v>09/04/2015</v>
      </c>
      <c r="H5329" s="6" t="str">
        <f>IFERROR(__xludf.DUMMYFUNCTION("""COMPUTED_VALUE"""),"male")</f>
        <v>male</v>
      </c>
      <c r="I5329" s="6" t="str">
        <f>IFERROR(__xludf.DUMMYFUNCTION("""COMPUTED_VALUE"""),"Level 2")</f>
        <v>Level 2</v>
      </c>
      <c r="J5329" s="6" t="str">
        <f>IFERROR(__xludf.DUMMYFUNCTION("""COMPUTED_VALUE"""),"4")</f>
        <v>4</v>
      </c>
      <c r="K5329" s="6" t="str">
        <f>IFERROR(__xludf.DUMMYFUNCTION("""COMPUTED_VALUE"""),"jakiyah.jackson@2hourlearning.com")</f>
        <v>jakiyah.jackson@2hourlearning.com</v>
      </c>
      <c r="L5329" s="6" t="str">
        <f>IFERROR(__xludf.DUMMYFUNCTION("""COMPUTED_VALUE"""),"JRES - Ridgeland Elementary School")</f>
        <v>JRES - Ridgeland Elementary School</v>
      </c>
      <c r="M5329" s="6" t="str">
        <f>IFERROR(__xludf.DUMMYFUNCTION("""COMPUTED_VALUE"""),"")</f>
        <v/>
      </c>
      <c r="N5329" s="6" t="str">
        <f>IFERROR(__xludf.DUMMYFUNCTION("""COMPUTED_VALUE"""),"")</f>
        <v/>
      </c>
      <c r="O5329" s="87" t="str">
        <f>IFERROR(__xludf.DUMMYFUNCTION("""COMPUTED_VALUE"""),"https://drive.google.com/drive/folders/10T2cTQHqEJZqE-st6uFKPoI?usp=share_link")</f>
        <v>https://drive.google.com/drive/folders/10T2cTQHqEJZqE-st6uFKPoI?usp=share_link</v>
      </c>
      <c r="P5329" s="6" t="str">
        <f>IFERROR(__xludf.DUMMYFUNCTION("""COMPUTED_VALUE"""),"Ja'Kiyah Jackson")</f>
        <v>Ja'Kiyah Jackson</v>
      </c>
      <c r="Q5329" s="6" t="str">
        <f>IFERROR(__xludf.DUMMYFUNCTION("""COMPUTED_VALUE"""),"L2")</f>
        <v>L2</v>
      </c>
      <c r="R5329" s="6">
        <f>IFERROR(__xludf.DUMMYFUNCTION("""COMPUTED_VALUE"""),2.0)</f>
        <v>2</v>
      </c>
      <c r="S5329" s="6" t="str">
        <f>IFERROR(__xludf.DUMMYFUNCTION("""COMPUTED_VALUE"""),"Kimberly Ball")</f>
        <v>Kimberly Ball</v>
      </c>
      <c r="T5329" s="6" t="str">
        <f>IFERROR(__xludf.DUMMYFUNCTION("""COMPUTED_VALUE"""),"kimberly.ball@studient.com")</f>
        <v>kimberly.ball@studient.com</v>
      </c>
      <c r="U5329" s="6" t="str">
        <f>IFERROR(__xludf.DUMMYFUNCTION("""COMPUTED_VALUE"""),"4")</f>
        <v>4</v>
      </c>
      <c r="V5329" s="6" t="str">
        <f>IFERROR(__xludf.DUMMYFUNCTION("""COMPUTED_VALUE"""),"")</f>
        <v/>
      </c>
      <c r="W5329" s="6" t="str">
        <f>IFERROR(__xludf.DUMMYFUNCTION("""COMPUTED_VALUE"""),"[]")</f>
        <v>[]</v>
      </c>
      <c r="X5329" s="6" t="str">
        <f>IFERROR(__xludf.DUMMYFUNCTION("""COMPUTED_VALUE"""),"Enrolled")</f>
        <v>Enrolled</v>
      </c>
    </row>
    <row r="5330">
      <c r="A5330" s="6" t="str">
        <f>IFERROR(__xludf.DUMMYFUNCTION("""COMPUTED_VALUE"""),"086-12721")</f>
        <v>086-12721</v>
      </c>
      <c r="B5330" s="6" t="str">
        <f>IFERROR(__xludf.DUMMYFUNCTION("""COMPUTED_VALUE"""),"86")</f>
        <v>86</v>
      </c>
      <c r="C5330" s="6" t="str">
        <f>IFERROR(__xludf.DUMMYFUNCTION("""COMPUTED_VALUE"""),"12721")</f>
        <v>12721</v>
      </c>
      <c r="D5330" s="6" t="str">
        <f>IFERROR(__xludf.DUMMYFUNCTION("""COMPUTED_VALUE"""),"Dashaun")</f>
        <v>Dashaun</v>
      </c>
      <c r="E5330" s="6" t="str">
        <f>IFERROR(__xludf.DUMMYFUNCTION("""COMPUTED_VALUE"""),"")</f>
        <v/>
      </c>
      <c r="F5330" s="6" t="str">
        <f>IFERROR(__xludf.DUMMYFUNCTION("""COMPUTED_VALUE"""),"Johnson")</f>
        <v>Johnson</v>
      </c>
      <c r="G5330" s="6" t="str">
        <f>IFERROR(__xludf.DUMMYFUNCTION("""COMPUTED_VALUE"""),"06/19/2017")</f>
        <v>06/19/2017</v>
      </c>
      <c r="H5330" s="6" t="str">
        <f>IFERROR(__xludf.DUMMYFUNCTION("""COMPUTED_VALUE"""),"male")</f>
        <v>male</v>
      </c>
      <c r="I5330" s="6" t="str">
        <f>IFERROR(__xludf.DUMMYFUNCTION("""COMPUTED_VALUE"""),"Level 2")</f>
        <v>Level 2</v>
      </c>
      <c r="J5330" s="6" t="str">
        <f>IFERROR(__xludf.DUMMYFUNCTION("""COMPUTED_VALUE"""),"4")</f>
        <v>4</v>
      </c>
      <c r="K5330" s="6" t="str">
        <f>IFERROR(__xludf.DUMMYFUNCTION("""COMPUTED_VALUE"""),"dashaun.johnson@2hourlearning.com")</f>
        <v>dashaun.johnson@2hourlearning.com</v>
      </c>
      <c r="L5330" s="6" t="str">
        <f>IFERROR(__xludf.DUMMYFUNCTION("""COMPUTED_VALUE"""),"JRES - Ridgeland Elementary School")</f>
        <v>JRES - Ridgeland Elementary School</v>
      </c>
      <c r="M5330" s="6" t="str">
        <f>IFERROR(__xludf.DUMMYFUNCTION("""COMPUTED_VALUE"""),"")</f>
        <v/>
      </c>
      <c r="N5330" s="6" t="str">
        <f>IFERROR(__xludf.DUMMYFUNCTION("""COMPUTED_VALUE"""),"")</f>
        <v/>
      </c>
      <c r="O5330" s="87" t="str">
        <f>IFERROR(__xludf.DUMMYFUNCTION("""COMPUTED_VALUE"""),"https://drive.google.com/drive/folders/10T2cTQHqEJZqE-st6uFKPoI?usp=share_link")</f>
        <v>https://drive.google.com/drive/folders/10T2cTQHqEJZqE-st6uFKPoI?usp=share_link</v>
      </c>
      <c r="P5330" s="6" t="str">
        <f>IFERROR(__xludf.DUMMYFUNCTION("""COMPUTED_VALUE"""),"Dashaun Johnson")</f>
        <v>Dashaun Johnson</v>
      </c>
      <c r="Q5330" s="6" t="str">
        <f>IFERROR(__xludf.DUMMYFUNCTION("""COMPUTED_VALUE"""),"L2")</f>
        <v>L2</v>
      </c>
      <c r="R5330" s="6">
        <f>IFERROR(__xludf.DUMMYFUNCTION("""COMPUTED_VALUE"""),2.0)</f>
        <v>2</v>
      </c>
      <c r="S5330" s="6" t="str">
        <f>IFERROR(__xludf.DUMMYFUNCTION("""COMPUTED_VALUE"""),"Kimberly Ball")</f>
        <v>Kimberly Ball</v>
      </c>
      <c r="T5330" s="6" t="str">
        <f>IFERROR(__xludf.DUMMYFUNCTION("""COMPUTED_VALUE"""),"kimberly.ball@studient.com")</f>
        <v>kimberly.ball@studient.com</v>
      </c>
      <c r="U5330" s="6" t="str">
        <f>IFERROR(__xludf.DUMMYFUNCTION("""COMPUTED_VALUE"""),"4")</f>
        <v>4</v>
      </c>
      <c r="V5330" s="6" t="str">
        <f>IFERROR(__xludf.DUMMYFUNCTION("""COMPUTED_VALUE"""),"")</f>
        <v/>
      </c>
      <c r="W5330" s="6" t="str">
        <f>IFERROR(__xludf.DUMMYFUNCTION("""COMPUTED_VALUE"""),"[]")</f>
        <v>[]</v>
      </c>
      <c r="X5330" s="6" t="str">
        <f>IFERROR(__xludf.DUMMYFUNCTION("""COMPUTED_VALUE"""),"Enrolled")</f>
        <v>Enrolled</v>
      </c>
    </row>
    <row r="5331">
      <c r="A5331" s="6" t="str">
        <f>IFERROR(__xludf.DUMMYFUNCTION("""COMPUTED_VALUE"""),"086-12722")</f>
        <v>086-12722</v>
      </c>
      <c r="B5331" s="6" t="str">
        <f>IFERROR(__xludf.DUMMYFUNCTION("""COMPUTED_VALUE"""),"86")</f>
        <v>86</v>
      </c>
      <c r="C5331" s="6" t="str">
        <f>IFERROR(__xludf.DUMMYFUNCTION("""COMPUTED_VALUE"""),"12722")</f>
        <v>12722</v>
      </c>
      <c r="D5331" s="6" t="str">
        <f>IFERROR(__xludf.DUMMYFUNCTION("""COMPUTED_VALUE"""),"Khamilah")</f>
        <v>Khamilah</v>
      </c>
      <c r="E5331" s="6" t="str">
        <f>IFERROR(__xludf.DUMMYFUNCTION("""COMPUTED_VALUE"""),"")</f>
        <v/>
      </c>
      <c r="F5331" s="6" t="str">
        <f>IFERROR(__xludf.DUMMYFUNCTION("""COMPUTED_VALUE"""),"Johnson")</f>
        <v>Johnson</v>
      </c>
      <c r="G5331" s="6" t="str">
        <f>IFERROR(__xludf.DUMMYFUNCTION("""COMPUTED_VALUE"""),"01/13/2015")</f>
        <v>01/13/2015</v>
      </c>
      <c r="H5331" s="6" t="str">
        <f>IFERROR(__xludf.DUMMYFUNCTION("""COMPUTED_VALUE"""),"male")</f>
        <v>male</v>
      </c>
      <c r="I5331" s="6" t="str">
        <f>IFERROR(__xludf.DUMMYFUNCTION("""COMPUTED_VALUE"""),"Level 2")</f>
        <v>Level 2</v>
      </c>
      <c r="J5331" s="6" t="str">
        <f>IFERROR(__xludf.DUMMYFUNCTION("""COMPUTED_VALUE"""),"4")</f>
        <v>4</v>
      </c>
      <c r="K5331" s="6" t="str">
        <f>IFERROR(__xludf.DUMMYFUNCTION("""COMPUTED_VALUE"""),"khamilah.johnson@2hourlearning.com")</f>
        <v>khamilah.johnson@2hourlearning.com</v>
      </c>
      <c r="L5331" s="6" t="str">
        <f>IFERROR(__xludf.DUMMYFUNCTION("""COMPUTED_VALUE"""),"JRES - Ridgeland Elementary School")</f>
        <v>JRES - Ridgeland Elementary School</v>
      </c>
      <c r="M5331" s="6" t="str">
        <f>IFERROR(__xludf.DUMMYFUNCTION("""COMPUTED_VALUE"""),"")</f>
        <v/>
      </c>
      <c r="N5331" s="6" t="str">
        <f>IFERROR(__xludf.DUMMYFUNCTION("""COMPUTED_VALUE"""),"")</f>
        <v/>
      </c>
      <c r="O5331" s="87" t="str">
        <f>IFERROR(__xludf.DUMMYFUNCTION("""COMPUTED_VALUE"""),"https://drive.google.com/drive/folders/10T2cTQHqEJZqE-st6uFKPoI?usp=share_link")</f>
        <v>https://drive.google.com/drive/folders/10T2cTQHqEJZqE-st6uFKPoI?usp=share_link</v>
      </c>
      <c r="P5331" s="6" t="str">
        <f>IFERROR(__xludf.DUMMYFUNCTION("""COMPUTED_VALUE"""),"Khamilah Johnson")</f>
        <v>Khamilah Johnson</v>
      </c>
      <c r="Q5331" s="6" t="str">
        <f>IFERROR(__xludf.DUMMYFUNCTION("""COMPUTED_VALUE"""),"L2")</f>
        <v>L2</v>
      </c>
      <c r="R5331" s="6">
        <f>IFERROR(__xludf.DUMMYFUNCTION("""COMPUTED_VALUE"""),2.0)</f>
        <v>2</v>
      </c>
      <c r="S5331" s="6" t="str">
        <f>IFERROR(__xludf.DUMMYFUNCTION("""COMPUTED_VALUE"""),"Kimberly Ball")</f>
        <v>Kimberly Ball</v>
      </c>
      <c r="T5331" s="6" t="str">
        <f>IFERROR(__xludf.DUMMYFUNCTION("""COMPUTED_VALUE"""),"kimberly.ball@studient.com")</f>
        <v>kimberly.ball@studient.com</v>
      </c>
      <c r="U5331" s="6" t="str">
        <f>IFERROR(__xludf.DUMMYFUNCTION("""COMPUTED_VALUE"""),"4")</f>
        <v>4</v>
      </c>
      <c r="V5331" s="6" t="str">
        <f>IFERROR(__xludf.DUMMYFUNCTION("""COMPUTED_VALUE"""),"")</f>
        <v/>
      </c>
      <c r="W5331" s="6" t="str">
        <f>IFERROR(__xludf.DUMMYFUNCTION("""COMPUTED_VALUE"""),"[]")</f>
        <v>[]</v>
      </c>
      <c r="X5331" s="6" t="str">
        <f>IFERROR(__xludf.DUMMYFUNCTION("""COMPUTED_VALUE"""),"Enrolled")</f>
        <v>Enrolled</v>
      </c>
    </row>
    <row r="5332">
      <c r="A5332" s="6" t="str">
        <f>IFERROR(__xludf.DUMMYFUNCTION("""COMPUTED_VALUE"""),"086-12723")</f>
        <v>086-12723</v>
      </c>
      <c r="B5332" s="6" t="str">
        <f>IFERROR(__xludf.DUMMYFUNCTION("""COMPUTED_VALUE"""),"86")</f>
        <v>86</v>
      </c>
      <c r="C5332" s="6" t="str">
        <f>IFERROR(__xludf.DUMMYFUNCTION("""COMPUTED_VALUE"""),"12723")</f>
        <v>12723</v>
      </c>
      <c r="D5332" s="6" t="str">
        <f>IFERROR(__xludf.DUMMYFUNCTION("""COMPUTED_VALUE"""),"Adrianna")</f>
        <v>Adrianna</v>
      </c>
      <c r="E5332" s="6" t="str">
        <f>IFERROR(__xludf.DUMMYFUNCTION("""COMPUTED_VALUE"""),"")</f>
        <v/>
      </c>
      <c r="F5332" s="6" t="str">
        <f>IFERROR(__xludf.DUMMYFUNCTION("""COMPUTED_VALUE"""),"Jones")</f>
        <v>Jones</v>
      </c>
      <c r="G5332" s="6" t="str">
        <f>IFERROR(__xludf.DUMMYFUNCTION("""COMPUTED_VALUE"""),"03/26/2018")</f>
        <v>03/26/2018</v>
      </c>
      <c r="H5332" s="6" t="str">
        <f>IFERROR(__xludf.DUMMYFUNCTION("""COMPUTED_VALUE"""),"male")</f>
        <v>male</v>
      </c>
      <c r="I5332" s="6" t="str">
        <f>IFERROR(__xludf.DUMMYFUNCTION("""COMPUTED_VALUE"""),"Level 2")</f>
        <v>Level 2</v>
      </c>
      <c r="J5332" s="6" t="str">
        <f>IFERROR(__xludf.DUMMYFUNCTION("""COMPUTED_VALUE"""),"4")</f>
        <v>4</v>
      </c>
      <c r="K5332" s="6" t="str">
        <f>IFERROR(__xludf.DUMMYFUNCTION("""COMPUTED_VALUE"""),"adrianna.jones@2hourlearning.com")</f>
        <v>adrianna.jones@2hourlearning.com</v>
      </c>
      <c r="L5332" s="6" t="str">
        <f>IFERROR(__xludf.DUMMYFUNCTION("""COMPUTED_VALUE"""),"JRES - Ridgeland Elementary School")</f>
        <v>JRES - Ridgeland Elementary School</v>
      </c>
      <c r="M5332" s="6" t="str">
        <f>IFERROR(__xludf.DUMMYFUNCTION("""COMPUTED_VALUE"""),"")</f>
        <v/>
      </c>
      <c r="N5332" s="6" t="str">
        <f>IFERROR(__xludf.DUMMYFUNCTION("""COMPUTED_VALUE"""),"")</f>
        <v/>
      </c>
      <c r="O5332" s="87" t="str">
        <f>IFERROR(__xludf.DUMMYFUNCTION("""COMPUTED_VALUE"""),"https://drive.google.com/drive/folders/10T2cTQHqEJZqE-st6uFKPoI?usp=share_link")</f>
        <v>https://drive.google.com/drive/folders/10T2cTQHqEJZqE-st6uFKPoI?usp=share_link</v>
      </c>
      <c r="P5332" s="6" t="str">
        <f>IFERROR(__xludf.DUMMYFUNCTION("""COMPUTED_VALUE"""),"Adrianna Jones")</f>
        <v>Adrianna Jones</v>
      </c>
      <c r="Q5332" s="6" t="str">
        <f>IFERROR(__xludf.DUMMYFUNCTION("""COMPUTED_VALUE"""),"L2")</f>
        <v>L2</v>
      </c>
      <c r="R5332" s="6">
        <f>IFERROR(__xludf.DUMMYFUNCTION("""COMPUTED_VALUE"""),2.0)</f>
        <v>2</v>
      </c>
      <c r="S5332" s="6" t="str">
        <f>IFERROR(__xludf.DUMMYFUNCTION("""COMPUTED_VALUE"""),"Kimberly Ball")</f>
        <v>Kimberly Ball</v>
      </c>
      <c r="T5332" s="6" t="str">
        <f>IFERROR(__xludf.DUMMYFUNCTION("""COMPUTED_VALUE"""),"kimberly.ball@studient.com")</f>
        <v>kimberly.ball@studient.com</v>
      </c>
      <c r="U5332" s="6" t="str">
        <f>IFERROR(__xludf.DUMMYFUNCTION("""COMPUTED_VALUE"""),"4")</f>
        <v>4</v>
      </c>
      <c r="V5332" s="6" t="str">
        <f>IFERROR(__xludf.DUMMYFUNCTION("""COMPUTED_VALUE"""),"")</f>
        <v/>
      </c>
      <c r="W5332" s="6" t="str">
        <f>IFERROR(__xludf.DUMMYFUNCTION("""COMPUTED_VALUE"""),"[]")</f>
        <v>[]</v>
      </c>
      <c r="X5332" s="6" t="str">
        <f>IFERROR(__xludf.DUMMYFUNCTION("""COMPUTED_VALUE"""),"Enrolled")</f>
        <v>Enrolled</v>
      </c>
    </row>
    <row r="5333">
      <c r="A5333" s="6" t="str">
        <f>IFERROR(__xludf.DUMMYFUNCTION("""COMPUTED_VALUE"""),"086-12724")</f>
        <v>086-12724</v>
      </c>
      <c r="B5333" s="6" t="str">
        <f>IFERROR(__xludf.DUMMYFUNCTION("""COMPUTED_VALUE"""),"86")</f>
        <v>86</v>
      </c>
      <c r="C5333" s="6" t="str">
        <f>IFERROR(__xludf.DUMMYFUNCTION("""COMPUTED_VALUE"""),"12724")</f>
        <v>12724</v>
      </c>
      <c r="D5333" s="6" t="str">
        <f>IFERROR(__xludf.DUMMYFUNCTION("""COMPUTED_VALUE"""),"Ma'Kayla")</f>
        <v>Ma'Kayla</v>
      </c>
      <c r="E5333" s="6" t="str">
        <f>IFERROR(__xludf.DUMMYFUNCTION("""COMPUTED_VALUE"""),"")</f>
        <v/>
      </c>
      <c r="F5333" s="6" t="str">
        <f>IFERROR(__xludf.DUMMYFUNCTION("""COMPUTED_VALUE"""),"Jones")</f>
        <v>Jones</v>
      </c>
      <c r="G5333" s="6" t="str">
        <f>IFERROR(__xludf.DUMMYFUNCTION("""COMPUTED_VALUE"""),"04/14/2016")</f>
        <v>04/14/2016</v>
      </c>
      <c r="H5333" s="6" t="str">
        <f>IFERROR(__xludf.DUMMYFUNCTION("""COMPUTED_VALUE"""),"female")</f>
        <v>female</v>
      </c>
      <c r="I5333" s="6" t="str">
        <f>IFERROR(__xludf.DUMMYFUNCTION("""COMPUTED_VALUE"""),"Level 2")</f>
        <v>Level 2</v>
      </c>
      <c r="J5333" s="6" t="str">
        <f>IFERROR(__xludf.DUMMYFUNCTION("""COMPUTED_VALUE"""),"4")</f>
        <v>4</v>
      </c>
      <c r="K5333" s="6" t="str">
        <f>IFERROR(__xludf.DUMMYFUNCTION("""COMPUTED_VALUE"""),"makayla.jones@2hourlearning.com")</f>
        <v>makayla.jones@2hourlearning.com</v>
      </c>
      <c r="L5333" s="6" t="str">
        <f>IFERROR(__xludf.DUMMYFUNCTION("""COMPUTED_VALUE"""),"JRES - Ridgeland Elementary School")</f>
        <v>JRES - Ridgeland Elementary School</v>
      </c>
      <c r="M5333" s="6" t="str">
        <f>IFERROR(__xludf.DUMMYFUNCTION("""COMPUTED_VALUE"""),"")</f>
        <v/>
      </c>
      <c r="N5333" s="6" t="str">
        <f>IFERROR(__xludf.DUMMYFUNCTION("""COMPUTED_VALUE"""),"")</f>
        <v/>
      </c>
      <c r="O5333" s="87" t="str">
        <f>IFERROR(__xludf.DUMMYFUNCTION("""COMPUTED_VALUE"""),"https://drive.google.com/drive/folders/10T2cTQHqEJZqE-st6uFKPoI?usp=share_link")</f>
        <v>https://drive.google.com/drive/folders/10T2cTQHqEJZqE-st6uFKPoI?usp=share_link</v>
      </c>
      <c r="P5333" s="6" t="str">
        <f>IFERROR(__xludf.DUMMYFUNCTION("""COMPUTED_VALUE"""),"Ma'Kayla Jones")</f>
        <v>Ma'Kayla Jones</v>
      </c>
      <c r="Q5333" s="6" t="str">
        <f>IFERROR(__xludf.DUMMYFUNCTION("""COMPUTED_VALUE"""),"L2")</f>
        <v>L2</v>
      </c>
      <c r="R5333" s="6">
        <f>IFERROR(__xludf.DUMMYFUNCTION("""COMPUTED_VALUE"""),2.0)</f>
        <v>2</v>
      </c>
      <c r="S5333" s="6" t="str">
        <f>IFERROR(__xludf.DUMMYFUNCTION("""COMPUTED_VALUE"""),"Kimberly Ball")</f>
        <v>Kimberly Ball</v>
      </c>
      <c r="T5333" s="6" t="str">
        <f>IFERROR(__xludf.DUMMYFUNCTION("""COMPUTED_VALUE"""),"kimberly.ball@studient.com")</f>
        <v>kimberly.ball@studient.com</v>
      </c>
      <c r="U5333" s="6" t="str">
        <f>IFERROR(__xludf.DUMMYFUNCTION("""COMPUTED_VALUE"""),"4")</f>
        <v>4</v>
      </c>
      <c r="V5333" s="6" t="str">
        <f>IFERROR(__xludf.DUMMYFUNCTION("""COMPUTED_VALUE"""),"")</f>
        <v/>
      </c>
      <c r="W5333" s="6" t="str">
        <f>IFERROR(__xludf.DUMMYFUNCTION("""COMPUTED_VALUE"""),"[]")</f>
        <v>[]</v>
      </c>
      <c r="X5333" s="6" t="str">
        <f>IFERROR(__xludf.DUMMYFUNCTION("""COMPUTED_VALUE"""),"Enrolled")</f>
        <v>Enrolled</v>
      </c>
    </row>
    <row r="5334">
      <c r="A5334" s="6" t="str">
        <f>IFERROR(__xludf.DUMMYFUNCTION("""COMPUTED_VALUE"""),"086-12725")</f>
        <v>086-12725</v>
      </c>
      <c r="B5334" s="6" t="str">
        <f>IFERROR(__xludf.DUMMYFUNCTION("""COMPUTED_VALUE"""),"86")</f>
        <v>86</v>
      </c>
      <c r="C5334" s="6" t="str">
        <f>IFERROR(__xludf.DUMMYFUNCTION("""COMPUTED_VALUE"""),"12725")</f>
        <v>12725</v>
      </c>
      <c r="D5334" s="6" t="str">
        <f>IFERROR(__xludf.DUMMYFUNCTION("""COMPUTED_VALUE"""),"Phoenix")</f>
        <v>Phoenix</v>
      </c>
      <c r="E5334" s="6" t="str">
        <f>IFERROR(__xludf.DUMMYFUNCTION("""COMPUTED_VALUE"""),"")</f>
        <v/>
      </c>
      <c r="F5334" s="6" t="str">
        <f>IFERROR(__xludf.DUMMYFUNCTION("""COMPUTED_VALUE"""),"Klinger")</f>
        <v>Klinger</v>
      </c>
      <c r="G5334" s="6" t="str">
        <f>IFERROR(__xludf.DUMMYFUNCTION("""COMPUTED_VALUE"""),"12/30/2017")</f>
        <v>12/30/2017</v>
      </c>
      <c r="H5334" s="6" t="str">
        <f>IFERROR(__xludf.DUMMYFUNCTION("""COMPUTED_VALUE"""),"female")</f>
        <v>female</v>
      </c>
      <c r="I5334" s="6" t="str">
        <f>IFERROR(__xludf.DUMMYFUNCTION("""COMPUTED_VALUE"""),"Level 2")</f>
        <v>Level 2</v>
      </c>
      <c r="J5334" s="6" t="str">
        <f>IFERROR(__xludf.DUMMYFUNCTION("""COMPUTED_VALUE"""),"4")</f>
        <v>4</v>
      </c>
      <c r="K5334" s="6" t="str">
        <f>IFERROR(__xludf.DUMMYFUNCTION("""COMPUTED_VALUE"""),"phoenix.klinger@2hourlearning.com")</f>
        <v>phoenix.klinger@2hourlearning.com</v>
      </c>
      <c r="L5334" s="6" t="str">
        <f>IFERROR(__xludf.DUMMYFUNCTION("""COMPUTED_VALUE"""),"JRES - Ridgeland Elementary School")</f>
        <v>JRES - Ridgeland Elementary School</v>
      </c>
      <c r="M5334" s="6" t="str">
        <f>IFERROR(__xludf.DUMMYFUNCTION("""COMPUTED_VALUE"""),"")</f>
        <v/>
      </c>
      <c r="N5334" s="6" t="str">
        <f>IFERROR(__xludf.DUMMYFUNCTION("""COMPUTED_VALUE"""),"")</f>
        <v/>
      </c>
      <c r="O5334" s="87" t="str">
        <f>IFERROR(__xludf.DUMMYFUNCTION("""COMPUTED_VALUE"""),"https://drive.google.com/drive/folders/10T2cTQHqEJZqE-st6uFKPoI?usp=share_link")</f>
        <v>https://drive.google.com/drive/folders/10T2cTQHqEJZqE-st6uFKPoI?usp=share_link</v>
      </c>
      <c r="P5334" s="6" t="str">
        <f>IFERROR(__xludf.DUMMYFUNCTION("""COMPUTED_VALUE"""),"Phoenix Klinger")</f>
        <v>Phoenix Klinger</v>
      </c>
      <c r="Q5334" s="6" t="str">
        <f>IFERROR(__xludf.DUMMYFUNCTION("""COMPUTED_VALUE"""),"L2")</f>
        <v>L2</v>
      </c>
      <c r="R5334" s="6">
        <f>IFERROR(__xludf.DUMMYFUNCTION("""COMPUTED_VALUE"""),2.0)</f>
        <v>2</v>
      </c>
      <c r="S5334" s="6" t="str">
        <f>IFERROR(__xludf.DUMMYFUNCTION("""COMPUTED_VALUE"""),"Kimberly Ball")</f>
        <v>Kimberly Ball</v>
      </c>
      <c r="T5334" s="6" t="str">
        <f>IFERROR(__xludf.DUMMYFUNCTION("""COMPUTED_VALUE"""),"kimberly.ball@studient.com")</f>
        <v>kimberly.ball@studient.com</v>
      </c>
      <c r="U5334" s="6" t="str">
        <f>IFERROR(__xludf.DUMMYFUNCTION("""COMPUTED_VALUE"""),"4")</f>
        <v>4</v>
      </c>
      <c r="V5334" s="6" t="str">
        <f>IFERROR(__xludf.DUMMYFUNCTION("""COMPUTED_VALUE"""),"")</f>
        <v/>
      </c>
      <c r="W5334" s="6" t="str">
        <f>IFERROR(__xludf.DUMMYFUNCTION("""COMPUTED_VALUE"""),"[]")</f>
        <v>[]</v>
      </c>
      <c r="X5334" s="6" t="str">
        <f>IFERROR(__xludf.DUMMYFUNCTION("""COMPUTED_VALUE"""),"Enrolled")</f>
        <v>Enrolled</v>
      </c>
    </row>
    <row r="5335">
      <c r="A5335" s="6" t="str">
        <f>IFERROR(__xludf.DUMMYFUNCTION("""COMPUTED_VALUE"""),"086-12726")</f>
        <v>086-12726</v>
      </c>
      <c r="B5335" s="6" t="str">
        <f>IFERROR(__xludf.DUMMYFUNCTION("""COMPUTED_VALUE"""),"86")</f>
        <v>86</v>
      </c>
      <c r="C5335" s="6" t="str">
        <f>IFERROR(__xludf.DUMMYFUNCTION("""COMPUTED_VALUE"""),"12726")</f>
        <v>12726</v>
      </c>
      <c r="D5335" s="6" t="str">
        <f>IFERROR(__xludf.DUMMYFUNCTION("""COMPUTED_VALUE"""),"Axton")</f>
        <v>Axton</v>
      </c>
      <c r="E5335" s="6" t="str">
        <f>IFERROR(__xludf.DUMMYFUNCTION("""COMPUTED_VALUE"""),"")</f>
        <v/>
      </c>
      <c r="F5335" s="6" t="str">
        <f>IFERROR(__xludf.DUMMYFUNCTION("""COMPUTED_VALUE"""),"LaBoy")</f>
        <v>LaBoy</v>
      </c>
      <c r="G5335" s="6" t="str">
        <f>IFERROR(__xludf.DUMMYFUNCTION("""COMPUTED_VALUE"""),"04/28/2015")</f>
        <v>04/28/2015</v>
      </c>
      <c r="H5335" s="6" t="str">
        <f>IFERROR(__xludf.DUMMYFUNCTION("""COMPUTED_VALUE"""),"male")</f>
        <v>male</v>
      </c>
      <c r="I5335" s="6" t="str">
        <f>IFERROR(__xludf.DUMMYFUNCTION("""COMPUTED_VALUE"""),"Level 2")</f>
        <v>Level 2</v>
      </c>
      <c r="J5335" s="6" t="str">
        <f>IFERROR(__xludf.DUMMYFUNCTION("""COMPUTED_VALUE"""),"4")</f>
        <v>4</v>
      </c>
      <c r="K5335" s="6" t="str">
        <f>IFERROR(__xludf.DUMMYFUNCTION("""COMPUTED_VALUE"""),"axton.laboy@2hourlearning.com")</f>
        <v>axton.laboy@2hourlearning.com</v>
      </c>
      <c r="L5335" s="6" t="str">
        <f>IFERROR(__xludf.DUMMYFUNCTION("""COMPUTED_VALUE"""),"JRES - Ridgeland Elementary School")</f>
        <v>JRES - Ridgeland Elementary School</v>
      </c>
      <c r="M5335" s="6" t="str">
        <f>IFERROR(__xludf.DUMMYFUNCTION("""COMPUTED_VALUE"""),"")</f>
        <v/>
      </c>
      <c r="N5335" s="6" t="str">
        <f>IFERROR(__xludf.DUMMYFUNCTION("""COMPUTED_VALUE"""),"")</f>
        <v/>
      </c>
      <c r="O5335" s="87" t="str">
        <f>IFERROR(__xludf.DUMMYFUNCTION("""COMPUTED_VALUE"""),"https://drive.google.com/drive/folders/10T2cTQHqEJZqE-st6uFKPoI?usp=share_link")</f>
        <v>https://drive.google.com/drive/folders/10T2cTQHqEJZqE-st6uFKPoI?usp=share_link</v>
      </c>
      <c r="P5335" s="6" t="str">
        <f>IFERROR(__xludf.DUMMYFUNCTION("""COMPUTED_VALUE"""),"Axton LaBoy")</f>
        <v>Axton LaBoy</v>
      </c>
      <c r="Q5335" s="6" t="str">
        <f>IFERROR(__xludf.DUMMYFUNCTION("""COMPUTED_VALUE"""),"L2")</f>
        <v>L2</v>
      </c>
      <c r="R5335" s="6">
        <f>IFERROR(__xludf.DUMMYFUNCTION("""COMPUTED_VALUE"""),2.0)</f>
        <v>2</v>
      </c>
      <c r="S5335" s="6" t="str">
        <f>IFERROR(__xludf.DUMMYFUNCTION("""COMPUTED_VALUE"""),"Kimberly Ball")</f>
        <v>Kimberly Ball</v>
      </c>
      <c r="T5335" s="6" t="str">
        <f>IFERROR(__xludf.DUMMYFUNCTION("""COMPUTED_VALUE"""),"kimberly.ball@studient.com")</f>
        <v>kimberly.ball@studient.com</v>
      </c>
      <c r="U5335" s="6" t="str">
        <f>IFERROR(__xludf.DUMMYFUNCTION("""COMPUTED_VALUE"""),"4")</f>
        <v>4</v>
      </c>
      <c r="V5335" s="6" t="str">
        <f>IFERROR(__xludf.DUMMYFUNCTION("""COMPUTED_VALUE"""),"")</f>
        <v/>
      </c>
      <c r="W5335" s="6" t="str">
        <f>IFERROR(__xludf.DUMMYFUNCTION("""COMPUTED_VALUE"""),"[]")</f>
        <v>[]</v>
      </c>
      <c r="X5335" s="6" t="str">
        <f>IFERROR(__xludf.DUMMYFUNCTION("""COMPUTED_VALUE"""),"Enrolled")</f>
        <v>Enrolled</v>
      </c>
    </row>
    <row r="5336">
      <c r="A5336" s="6" t="str">
        <f>IFERROR(__xludf.DUMMYFUNCTION("""COMPUTED_VALUE"""),"086-12727")</f>
        <v>086-12727</v>
      </c>
      <c r="B5336" s="6" t="str">
        <f>IFERROR(__xludf.DUMMYFUNCTION("""COMPUTED_VALUE"""),"86")</f>
        <v>86</v>
      </c>
      <c r="C5336" s="6" t="str">
        <f>IFERROR(__xludf.DUMMYFUNCTION("""COMPUTED_VALUE"""),"12727")</f>
        <v>12727</v>
      </c>
      <c r="D5336" s="6" t="str">
        <f>IFERROR(__xludf.DUMMYFUNCTION("""COMPUTED_VALUE"""),"Ivan")</f>
        <v>Ivan</v>
      </c>
      <c r="E5336" s="6" t="str">
        <f>IFERROR(__xludf.DUMMYFUNCTION("""COMPUTED_VALUE"""),"")</f>
        <v/>
      </c>
      <c r="F5336" s="6" t="str">
        <f>IFERROR(__xludf.DUMMYFUNCTION("""COMPUTED_VALUE"""),"Lawyer")</f>
        <v>Lawyer</v>
      </c>
      <c r="G5336" s="6" t="str">
        <f>IFERROR(__xludf.DUMMYFUNCTION("""COMPUTED_VALUE"""),"05/16/2014")</f>
        <v>05/16/2014</v>
      </c>
      <c r="H5336" s="6" t="str">
        <f>IFERROR(__xludf.DUMMYFUNCTION("""COMPUTED_VALUE"""),"female")</f>
        <v>female</v>
      </c>
      <c r="I5336" s="6" t="str">
        <f>IFERROR(__xludf.DUMMYFUNCTION("""COMPUTED_VALUE"""),"Level 2")</f>
        <v>Level 2</v>
      </c>
      <c r="J5336" s="6" t="str">
        <f>IFERROR(__xludf.DUMMYFUNCTION("""COMPUTED_VALUE"""),"4")</f>
        <v>4</v>
      </c>
      <c r="K5336" s="6" t="str">
        <f>IFERROR(__xludf.DUMMYFUNCTION("""COMPUTED_VALUE"""),"ivan.lawyer@2hourlearning.com")</f>
        <v>ivan.lawyer@2hourlearning.com</v>
      </c>
      <c r="L5336" s="6" t="str">
        <f>IFERROR(__xludf.DUMMYFUNCTION("""COMPUTED_VALUE"""),"JRES - Ridgeland Elementary School")</f>
        <v>JRES - Ridgeland Elementary School</v>
      </c>
      <c r="M5336" s="6" t="str">
        <f>IFERROR(__xludf.DUMMYFUNCTION("""COMPUTED_VALUE"""),"")</f>
        <v/>
      </c>
      <c r="N5336" s="6" t="str">
        <f>IFERROR(__xludf.DUMMYFUNCTION("""COMPUTED_VALUE"""),"")</f>
        <v/>
      </c>
      <c r="O5336" s="87" t="str">
        <f>IFERROR(__xludf.DUMMYFUNCTION("""COMPUTED_VALUE"""),"https://drive.google.com/drive/folders/10T2cTQHqEJZqE-st6uFKPoI?usp=share_link")</f>
        <v>https://drive.google.com/drive/folders/10T2cTQHqEJZqE-st6uFKPoI?usp=share_link</v>
      </c>
      <c r="P5336" s="6" t="str">
        <f>IFERROR(__xludf.DUMMYFUNCTION("""COMPUTED_VALUE"""),"Ivan Lawyer")</f>
        <v>Ivan Lawyer</v>
      </c>
      <c r="Q5336" s="6" t="str">
        <f>IFERROR(__xludf.DUMMYFUNCTION("""COMPUTED_VALUE"""),"L2")</f>
        <v>L2</v>
      </c>
      <c r="R5336" s="6">
        <f>IFERROR(__xludf.DUMMYFUNCTION("""COMPUTED_VALUE"""),2.0)</f>
        <v>2</v>
      </c>
      <c r="S5336" s="6" t="str">
        <f>IFERROR(__xludf.DUMMYFUNCTION("""COMPUTED_VALUE"""),"Kimberly Ball")</f>
        <v>Kimberly Ball</v>
      </c>
      <c r="T5336" s="6" t="str">
        <f>IFERROR(__xludf.DUMMYFUNCTION("""COMPUTED_VALUE"""),"kimberly.ball@studient.com")</f>
        <v>kimberly.ball@studient.com</v>
      </c>
      <c r="U5336" s="6" t="str">
        <f>IFERROR(__xludf.DUMMYFUNCTION("""COMPUTED_VALUE"""),"4")</f>
        <v>4</v>
      </c>
      <c r="V5336" s="6" t="str">
        <f>IFERROR(__xludf.DUMMYFUNCTION("""COMPUTED_VALUE"""),"")</f>
        <v/>
      </c>
      <c r="W5336" s="6" t="str">
        <f>IFERROR(__xludf.DUMMYFUNCTION("""COMPUTED_VALUE"""),"[]")</f>
        <v>[]</v>
      </c>
      <c r="X5336" s="6" t="str">
        <f>IFERROR(__xludf.DUMMYFUNCTION("""COMPUTED_VALUE"""),"Enrolled")</f>
        <v>Enrolled</v>
      </c>
    </row>
    <row r="5337">
      <c r="A5337" s="6" t="str">
        <f>IFERROR(__xludf.DUMMYFUNCTION("""COMPUTED_VALUE"""),"086-12728")</f>
        <v>086-12728</v>
      </c>
      <c r="B5337" s="6" t="str">
        <f>IFERROR(__xludf.DUMMYFUNCTION("""COMPUTED_VALUE"""),"86")</f>
        <v>86</v>
      </c>
      <c r="C5337" s="6" t="str">
        <f>IFERROR(__xludf.DUMMYFUNCTION("""COMPUTED_VALUE"""),"12728")</f>
        <v>12728</v>
      </c>
      <c r="D5337" s="6" t="str">
        <f>IFERROR(__xludf.DUMMYFUNCTION("""COMPUTED_VALUE"""),"Katheryne")</f>
        <v>Katheryne</v>
      </c>
      <c r="E5337" s="6" t="str">
        <f>IFERROR(__xludf.DUMMYFUNCTION("""COMPUTED_VALUE"""),"")</f>
        <v/>
      </c>
      <c r="F5337" s="6" t="str">
        <f>IFERROR(__xludf.DUMMYFUNCTION("""COMPUTED_VALUE"""),"Loera Chicas")</f>
        <v>Loera Chicas</v>
      </c>
      <c r="G5337" s="6" t="str">
        <f>IFERROR(__xludf.DUMMYFUNCTION("""COMPUTED_VALUE"""),"05/12/2016")</f>
        <v>05/12/2016</v>
      </c>
      <c r="H5337" s="6" t="str">
        <f>IFERROR(__xludf.DUMMYFUNCTION("""COMPUTED_VALUE"""),"female")</f>
        <v>female</v>
      </c>
      <c r="I5337" s="6" t="str">
        <f>IFERROR(__xludf.DUMMYFUNCTION("""COMPUTED_VALUE"""),"Level 2")</f>
        <v>Level 2</v>
      </c>
      <c r="J5337" s="6" t="str">
        <f>IFERROR(__xludf.DUMMYFUNCTION("""COMPUTED_VALUE"""),"4")</f>
        <v>4</v>
      </c>
      <c r="K5337" s="6" t="str">
        <f>IFERROR(__xludf.DUMMYFUNCTION("""COMPUTED_VALUE"""),"katheryne.loerachicas@2hourlearning.com")</f>
        <v>katheryne.loerachicas@2hourlearning.com</v>
      </c>
      <c r="L5337" s="6" t="str">
        <f>IFERROR(__xludf.DUMMYFUNCTION("""COMPUTED_VALUE"""),"JRES - Ridgeland Elementary School")</f>
        <v>JRES - Ridgeland Elementary School</v>
      </c>
      <c r="M5337" s="6" t="str">
        <f>IFERROR(__xludf.DUMMYFUNCTION("""COMPUTED_VALUE"""),"")</f>
        <v/>
      </c>
      <c r="N5337" s="6" t="str">
        <f>IFERROR(__xludf.DUMMYFUNCTION("""COMPUTED_VALUE"""),"")</f>
        <v/>
      </c>
      <c r="O5337" s="87" t="str">
        <f>IFERROR(__xludf.DUMMYFUNCTION("""COMPUTED_VALUE"""),"https://drive.google.com/drive/folders/10T2cTQHqEJZqE-st6uFKPoI?usp=share_link")</f>
        <v>https://drive.google.com/drive/folders/10T2cTQHqEJZqE-st6uFKPoI?usp=share_link</v>
      </c>
      <c r="P5337" s="6" t="str">
        <f>IFERROR(__xludf.DUMMYFUNCTION("""COMPUTED_VALUE"""),"Katheryne Loera Chicas")</f>
        <v>Katheryne Loera Chicas</v>
      </c>
      <c r="Q5337" s="6" t="str">
        <f>IFERROR(__xludf.DUMMYFUNCTION("""COMPUTED_VALUE"""),"L2")</f>
        <v>L2</v>
      </c>
      <c r="R5337" s="6">
        <f>IFERROR(__xludf.DUMMYFUNCTION("""COMPUTED_VALUE"""),2.0)</f>
        <v>2</v>
      </c>
      <c r="S5337" s="6" t="str">
        <f>IFERROR(__xludf.DUMMYFUNCTION("""COMPUTED_VALUE"""),"Kimberly Ball")</f>
        <v>Kimberly Ball</v>
      </c>
      <c r="T5337" s="6" t="str">
        <f>IFERROR(__xludf.DUMMYFUNCTION("""COMPUTED_VALUE"""),"kimberly.ball@studient.com")</f>
        <v>kimberly.ball@studient.com</v>
      </c>
      <c r="U5337" s="6" t="str">
        <f>IFERROR(__xludf.DUMMYFUNCTION("""COMPUTED_VALUE"""),"4")</f>
        <v>4</v>
      </c>
      <c r="V5337" s="6" t="str">
        <f>IFERROR(__xludf.DUMMYFUNCTION("""COMPUTED_VALUE"""),"")</f>
        <v/>
      </c>
      <c r="W5337" s="6" t="str">
        <f>IFERROR(__xludf.DUMMYFUNCTION("""COMPUTED_VALUE"""),"[]")</f>
        <v>[]</v>
      </c>
      <c r="X5337" s="6" t="str">
        <f>IFERROR(__xludf.DUMMYFUNCTION("""COMPUTED_VALUE"""),"Enrolled")</f>
        <v>Enrolled</v>
      </c>
    </row>
    <row r="5338">
      <c r="A5338" s="6" t="str">
        <f>IFERROR(__xludf.DUMMYFUNCTION("""COMPUTED_VALUE"""),"086-12729")</f>
        <v>086-12729</v>
      </c>
      <c r="B5338" s="6" t="str">
        <f>IFERROR(__xludf.DUMMYFUNCTION("""COMPUTED_VALUE"""),"86")</f>
        <v>86</v>
      </c>
      <c r="C5338" s="6" t="str">
        <f>IFERROR(__xludf.DUMMYFUNCTION("""COMPUTED_VALUE"""),"12729")</f>
        <v>12729</v>
      </c>
      <c r="D5338" s="6" t="str">
        <f>IFERROR(__xludf.DUMMYFUNCTION("""COMPUTED_VALUE"""),"Lacey")</f>
        <v>Lacey</v>
      </c>
      <c r="E5338" s="6" t="str">
        <f>IFERROR(__xludf.DUMMYFUNCTION("""COMPUTED_VALUE"""),"")</f>
        <v/>
      </c>
      <c r="F5338" s="6" t="str">
        <f>IFERROR(__xludf.DUMMYFUNCTION("""COMPUTED_VALUE"""),"Long")</f>
        <v>Long</v>
      </c>
      <c r="G5338" s="6" t="str">
        <f>IFERROR(__xludf.DUMMYFUNCTION("""COMPUTED_VALUE"""),"01/11/2016")</f>
        <v>01/11/2016</v>
      </c>
      <c r="H5338" s="6" t="str">
        <f>IFERROR(__xludf.DUMMYFUNCTION("""COMPUTED_VALUE"""),"male")</f>
        <v>male</v>
      </c>
      <c r="I5338" s="6" t="str">
        <f>IFERROR(__xludf.DUMMYFUNCTION("""COMPUTED_VALUE"""),"Level 2")</f>
        <v>Level 2</v>
      </c>
      <c r="J5338" s="6" t="str">
        <f>IFERROR(__xludf.DUMMYFUNCTION("""COMPUTED_VALUE"""),"4")</f>
        <v>4</v>
      </c>
      <c r="K5338" s="6" t="str">
        <f>IFERROR(__xludf.DUMMYFUNCTION("""COMPUTED_VALUE"""),"lacey.long@2hourlearning.com")</f>
        <v>lacey.long@2hourlearning.com</v>
      </c>
      <c r="L5338" s="6" t="str">
        <f>IFERROR(__xludf.DUMMYFUNCTION("""COMPUTED_VALUE"""),"JRES - Ridgeland Elementary School")</f>
        <v>JRES - Ridgeland Elementary School</v>
      </c>
      <c r="M5338" s="6" t="str">
        <f>IFERROR(__xludf.DUMMYFUNCTION("""COMPUTED_VALUE"""),"")</f>
        <v/>
      </c>
      <c r="N5338" s="6" t="str">
        <f>IFERROR(__xludf.DUMMYFUNCTION("""COMPUTED_VALUE"""),"")</f>
        <v/>
      </c>
      <c r="O5338" s="87" t="str">
        <f>IFERROR(__xludf.DUMMYFUNCTION("""COMPUTED_VALUE"""),"https://drive.google.com/drive/folders/10T2cTQHqEJZqE-st6uFKPoI?usp=share_link")</f>
        <v>https://drive.google.com/drive/folders/10T2cTQHqEJZqE-st6uFKPoI?usp=share_link</v>
      </c>
      <c r="P5338" s="6" t="str">
        <f>IFERROR(__xludf.DUMMYFUNCTION("""COMPUTED_VALUE"""),"Lacey Long")</f>
        <v>Lacey Long</v>
      </c>
      <c r="Q5338" s="6" t="str">
        <f>IFERROR(__xludf.DUMMYFUNCTION("""COMPUTED_VALUE"""),"L2")</f>
        <v>L2</v>
      </c>
      <c r="R5338" s="6">
        <f>IFERROR(__xludf.DUMMYFUNCTION("""COMPUTED_VALUE"""),2.0)</f>
        <v>2</v>
      </c>
      <c r="S5338" s="6" t="str">
        <f>IFERROR(__xludf.DUMMYFUNCTION("""COMPUTED_VALUE"""),"Kimberly Ball")</f>
        <v>Kimberly Ball</v>
      </c>
      <c r="T5338" s="6" t="str">
        <f>IFERROR(__xludf.DUMMYFUNCTION("""COMPUTED_VALUE"""),"kimberly.ball@studient.com")</f>
        <v>kimberly.ball@studient.com</v>
      </c>
      <c r="U5338" s="6" t="str">
        <f>IFERROR(__xludf.DUMMYFUNCTION("""COMPUTED_VALUE"""),"4")</f>
        <v>4</v>
      </c>
      <c r="V5338" s="6" t="str">
        <f>IFERROR(__xludf.DUMMYFUNCTION("""COMPUTED_VALUE"""),"")</f>
        <v/>
      </c>
      <c r="W5338" s="6" t="str">
        <f>IFERROR(__xludf.DUMMYFUNCTION("""COMPUTED_VALUE"""),"[]")</f>
        <v>[]</v>
      </c>
      <c r="X5338" s="6" t="str">
        <f>IFERROR(__xludf.DUMMYFUNCTION("""COMPUTED_VALUE"""),"Enrolled")</f>
        <v>Enrolled</v>
      </c>
    </row>
    <row r="5339">
      <c r="A5339" s="6" t="str">
        <f>IFERROR(__xludf.DUMMYFUNCTION("""COMPUTED_VALUE"""),"086-12730")</f>
        <v>086-12730</v>
      </c>
      <c r="B5339" s="6" t="str">
        <f>IFERROR(__xludf.DUMMYFUNCTION("""COMPUTED_VALUE"""),"86")</f>
        <v>86</v>
      </c>
      <c r="C5339" s="6" t="str">
        <f>IFERROR(__xludf.DUMMYFUNCTION("""COMPUTED_VALUE"""),"12730")</f>
        <v>12730</v>
      </c>
      <c r="D5339" s="6" t="str">
        <f>IFERROR(__xludf.DUMMYFUNCTION("""COMPUTED_VALUE"""),"Dianne")</f>
        <v>Dianne</v>
      </c>
      <c r="E5339" s="6" t="str">
        <f>IFERROR(__xludf.DUMMYFUNCTION("""COMPUTED_VALUE"""),"")</f>
        <v/>
      </c>
      <c r="F5339" s="6" t="str">
        <f>IFERROR(__xludf.DUMMYFUNCTION("""COMPUTED_VALUE"""),"Lovo Sanchez")</f>
        <v>Lovo Sanchez</v>
      </c>
      <c r="G5339" s="6" t="str">
        <f>IFERROR(__xludf.DUMMYFUNCTION("""COMPUTED_VALUE"""),"06/12/2018")</f>
        <v>06/12/2018</v>
      </c>
      <c r="H5339" s="6" t="str">
        <f>IFERROR(__xludf.DUMMYFUNCTION("""COMPUTED_VALUE"""),"male")</f>
        <v>male</v>
      </c>
      <c r="I5339" s="6" t="str">
        <f>IFERROR(__xludf.DUMMYFUNCTION("""COMPUTED_VALUE"""),"Level 2")</f>
        <v>Level 2</v>
      </c>
      <c r="J5339" s="6" t="str">
        <f>IFERROR(__xludf.DUMMYFUNCTION("""COMPUTED_VALUE"""),"4")</f>
        <v>4</v>
      </c>
      <c r="K5339" s="6" t="str">
        <f>IFERROR(__xludf.DUMMYFUNCTION("""COMPUTED_VALUE"""),"dianne.lovosanchez@2hourlearning.com")</f>
        <v>dianne.lovosanchez@2hourlearning.com</v>
      </c>
      <c r="L5339" s="6" t="str">
        <f>IFERROR(__xludf.DUMMYFUNCTION("""COMPUTED_VALUE"""),"JRES - Ridgeland Elementary School")</f>
        <v>JRES - Ridgeland Elementary School</v>
      </c>
      <c r="M5339" s="6" t="str">
        <f>IFERROR(__xludf.DUMMYFUNCTION("""COMPUTED_VALUE"""),"")</f>
        <v/>
      </c>
      <c r="N5339" s="6" t="str">
        <f>IFERROR(__xludf.DUMMYFUNCTION("""COMPUTED_VALUE"""),"")</f>
        <v/>
      </c>
      <c r="O5339" s="87" t="str">
        <f>IFERROR(__xludf.DUMMYFUNCTION("""COMPUTED_VALUE"""),"https://drive.google.com/drive/folders/10T2cTQHqEJZqE-st6uFKPoI?usp=share_link")</f>
        <v>https://drive.google.com/drive/folders/10T2cTQHqEJZqE-st6uFKPoI?usp=share_link</v>
      </c>
      <c r="P5339" s="6" t="str">
        <f>IFERROR(__xludf.DUMMYFUNCTION("""COMPUTED_VALUE"""),"Dianne Lovo Sanchez")</f>
        <v>Dianne Lovo Sanchez</v>
      </c>
      <c r="Q5339" s="6" t="str">
        <f>IFERROR(__xludf.DUMMYFUNCTION("""COMPUTED_VALUE"""),"L2")</f>
        <v>L2</v>
      </c>
      <c r="R5339" s="6">
        <f>IFERROR(__xludf.DUMMYFUNCTION("""COMPUTED_VALUE"""),2.0)</f>
        <v>2</v>
      </c>
      <c r="S5339" s="6" t="str">
        <f>IFERROR(__xludf.DUMMYFUNCTION("""COMPUTED_VALUE"""),"Kimberly Ball")</f>
        <v>Kimberly Ball</v>
      </c>
      <c r="T5339" s="6" t="str">
        <f>IFERROR(__xludf.DUMMYFUNCTION("""COMPUTED_VALUE"""),"kimberly.ball@studient.com")</f>
        <v>kimberly.ball@studient.com</v>
      </c>
      <c r="U5339" s="6" t="str">
        <f>IFERROR(__xludf.DUMMYFUNCTION("""COMPUTED_VALUE"""),"4")</f>
        <v>4</v>
      </c>
      <c r="V5339" s="6" t="str">
        <f>IFERROR(__xludf.DUMMYFUNCTION("""COMPUTED_VALUE"""),"")</f>
        <v/>
      </c>
      <c r="W5339" s="6" t="str">
        <f>IFERROR(__xludf.DUMMYFUNCTION("""COMPUTED_VALUE"""),"[]")</f>
        <v>[]</v>
      </c>
      <c r="X5339" s="6" t="str">
        <f>IFERROR(__xludf.DUMMYFUNCTION("""COMPUTED_VALUE"""),"Enrolled")</f>
        <v>Enrolled</v>
      </c>
    </row>
    <row r="5340">
      <c r="A5340" s="6" t="str">
        <f>IFERROR(__xludf.DUMMYFUNCTION("""COMPUTED_VALUE"""),"086-12731")</f>
        <v>086-12731</v>
      </c>
      <c r="B5340" s="6" t="str">
        <f>IFERROR(__xludf.DUMMYFUNCTION("""COMPUTED_VALUE"""),"86")</f>
        <v>86</v>
      </c>
      <c r="C5340" s="6" t="str">
        <f>IFERROR(__xludf.DUMMYFUNCTION("""COMPUTED_VALUE"""),"12731")</f>
        <v>12731</v>
      </c>
      <c r="D5340" s="6" t="str">
        <f>IFERROR(__xludf.DUMMYFUNCTION("""COMPUTED_VALUE"""),"Mason")</f>
        <v>Mason</v>
      </c>
      <c r="E5340" s="6" t="str">
        <f>IFERROR(__xludf.DUMMYFUNCTION("""COMPUTED_VALUE"""),"")</f>
        <v/>
      </c>
      <c r="F5340" s="6" t="str">
        <f>IFERROR(__xludf.DUMMYFUNCTION("""COMPUTED_VALUE"""),"Malphrus")</f>
        <v>Malphrus</v>
      </c>
      <c r="G5340" s="6" t="str">
        <f>IFERROR(__xludf.DUMMYFUNCTION("""COMPUTED_VALUE"""),"11/18/2015")</f>
        <v>11/18/2015</v>
      </c>
      <c r="H5340" s="6" t="str">
        <f>IFERROR(__xludf.DUMMYFUNCTION("""COMPUTED_VALUE"""),"male")</f>
        <v>male</v>
      </c>
      <c r="I5340" s="6" t="str">
        <f>IFERROR(__xludf.DUMMYFUNCTION("""COMPUTED_VALUE"""),"Level 2")</f>
        <v>Level 2</v>
      </c>
      <c r="J5340" s="6" t="str">
        <f>IFERROR(__xludf.DUMMYFUNCTION("""COMPUTED_VALUE"""),"4")</f>
        <v>4</v>
      </c>
      <c r="K5340" s="6" t="str">
        <f>IFERROR(__xludf.DUMMYFUNCTION("""COMPUTED_VALUE"""),"mason.malphrus@2hourlearning.com")</f>
        <v>mason.malphrus@2hourlearning.com</v>
      </c>
      <c r="L5340" s="6" t="str">
        <f>IFERROR(__xludf.DUMMYFUNCTION("""COMPUTED_VALUE"""),"JRES - Ridgeland Elementary School")</f>
        <v>JRES - Ridgeland Elementary School</v>
      </c>
      <c r="M5340" s="6" t="str">
        <f>IFERROR(__xludf.DUMMYFUNCTION("""COMPUTED_VALUE"""),"")</f>
        <v/>
      </c>
      <c r="N5340" s="6" t="str">
        <f>IFERROR(__xludf.DUMMYFUNCTION("""COMPUTED_VALUE"""),"")</f>
        <v/>
      </c>
      <c r="O5340" s="87" t="str">
        <f>IFERROR(__xludf.DUMMYFUNCTION("""COMPUTED_VALUE"""),"https://drive.google.com/drive/folders/10T2cTQHqEJZqE-st6uFKPoI?usp=share_link")</f>
        <v>https://drive.google.com/drive/folders/10T2cTQHqEJZqE-st6uFKPoI?usp=share_link</v>
      </c>
      <c r="P5340" s="6" t="str">
        <f>IFERROR(__xludf.DUMMYFUNCTION("""COMPUTED_VALUE"""),"Mason Malphrus")</f>
        <v>Mason Malphrus</v>
      </c>
      <c r="Q5340" s="6" t="str">
        <f>IFERROR(__xludf.DUMMYFUNCTION("""COMPUTED_VALUE"""),"L2")</f>
        <v>L2</v>
      </c>
      <c r="R5340" s="6">
        <f>IFERROR(__xludf.DUMMYFUNCTION("""COMPUTED_VALUE"""),2.0)</f>
        <v>2</v>
      </c>
      <c r="S5340" s="6" t="str">
        <f>IFERROR(__xludf.DUMMYFUNCTION("""COMPUTED_VALUE"""),"Kimberly Ball")</f>
        <v>Kimberly Ball</v>
      </c>
      <c r="T5340" s="6" t="str">
        <f>IFERROR(__xludf.DUMMYFUNCTION("""COMPUTED_VALUE"""),"kimberly.ball@studient.com")</f>
        <v>kimberly.ball@studient.com</v>
      </c>
      <c r="U5340" s="6" t="str">
        <f>IFERROR(__xludf.DUMMYFUNCTION("""COMPUTED_VALUE"""),"4")</f>
        <v>4</v>
      </c>
      <c r="V5340" s="6" t="str">
        <f>IFERROR(__xludf.DUMMYFUNCTION("""COMPUTED_VALUE"""),"")</f>
        <v/>
      </c>
      <c r="W5340" s="6" t="str">
        <f>IFERROR(__xludf.DUMMYFUNCTION("""COMPUTED_VALUE"""),"[]")</f>
        <v>[]</v>
      </c>
      <c r="X5340" s="6" t="str">
        <f>IFERROR(__xludf.DUMMYFUNCTION("""COMPUTED_VALUE"""),"Enrolled")</f>
        <v>Enrolled</v>
      </c>
    </row>
    <row r="5341">
      <c r="A5341" s="6" t="str">
        <f>IFERROR(__xludf.DUMMYFUNCTION("""COMPUTED_VALUE"""),"086-12732")</f>
        <v>086-12732</v>
      </c>
      <c r="B5341" s="6" t="str">
        <f>IFERROR(__xludf.DUMMYFUNCTION("""COMPUTED_VALUE"""),"86")</f>
        <v>86</v>
      </c>
      <c r="C5341" s="6" t="str">
        <f>IFERROR(__xludf.DUMMYFUNCTION("""COMPUTED_VALUE"""),"12732")</f>
        <v>12732</v>
      </c>
      <c r="D5341" s="6" t="str">
        <f>IFERROR(__xludf.DUMMYFUNCTION("""COMPUTED_VALUE"""),"Xavier")</f>
        <v>Xavier</v>
      </c>
      <c r="E5341" s="6" t="str">
        <f>IFERROR(__xludf.DUMMYFUNCTION("""COMPUTED_VALUE"""),"")</f>
        <v/>
      </c>
      <c r="F5341" s="6" t="str">
        <f>IFERROR(__xludf.DUMMYFUNCTION("""COMPUTED_VALUE"""),"Marin Cisneros")</f>
        <v>Marin Cisneros</v>
      </c>
      <c r="G5341" s="6" t="str">
        <f>IFERROR(__xludf.DUMMYFUNCTION("""COMPUTED_VALUE"""),"04/27/2015")</f>
        <v>04/27/2015</v>
      </c>
      <c r="H5341" s="6" t="str">
        <f>IFERROR(__xludf.DUMMYFUNCTION("""COMPUTED_VALUE"""),"male")</f>
        <v>male</v>
      </c>
      <c r="I5341" s="6" t="str">
        <f>IFERROR(__xludf.DUMMYFUNCTION("""COMPUTED_VALUE"""),"Level 2")</f>
        <v>Level 2</v>
      </c>
      <c r="J5341" s="6" t="str">
        <f>IFERROR(__xludf.DUMMYFUNCTION("""COMPUTED_VALUE"""),"4")</f>
        <v>4</v>
      </c>
      <c r="K5341" s="6" t="str">
        <f>IFERROR(__xludf.DUMMYFUNCTION("""COMPUTED_VALUE"""),"xavier.marincisneros@2hourlearning.com")</f>
        <v>xavier.marincisneros@2hourlearning.com</v>
      </c>
      <c r="L5341" s="6" t="str">
        <f>IFERROR(__xludf.DUMMYFUNCTION("""COMPUTED_VALUE"""),"JRES - Ridgeland Elementary School")</f>
        <v>JRES - Ridgeland Elementary School</v>
      </c>
      <c r="M5341" s="6" t="str">
        <f>IFERROR(__xludf.DUMMYFUNCTION("""COMPUTED_VALUE"""),"")</f>
        <v/>
      </c>
      <c r="N5341" s="6" t="str">
        <f>IFERROR(__xludf.DUMMYFUNCTION("""COMPUTED_VALUE"""),"")</f>
        <v/>
      </c>
      <c r="O5341" s="87" t="str">
        <f>IFERROR(__xludf.DUMMYFUNCTION("""COMPUTED_VALUE"""),"https://drive.google.com/drive/folders/10T2cTQHqEJZqE-st6uFKPoI?usp=share_link")</f>
        <v>https://drive.google.com/drive/folders/10T2cTQHqEJZqE-st6uFKPoI?usp=share_link</v>
      </c>
      <c r="P5341" s="6" t="str">
        <f>IFERROR(__xludf.DUMMYFUNCTION("""COMPUTED_VALUE"""),"Xavier Marin Cisneros")</f>
        <v>Xavier Marin Cisneros</v>
      </c>
      <c r="Q5341" s="6" t="str">
        <f>IFERROR(__xludf.DUMMYFUNCTION("""COMPUTED_VALUE"""),"L2")</f>
        <v>L2</v>
      </c>
      <c r="R5341" s="6">
        <f>IFERROR(__xludf.DUMMYFUNCTION("""COMPUTED_VALUE"""),2.0)</f>
        <v>2</v>
      </c>
      <c r="S5341" s="6" t="str">
        <f>IFERROR(__xludf.DUMMYFUNCTION("""COMPUTED_VALUE"""),"Kimberly Ball")</f>
        <v>Kimberly Ball</v>
      </c>
      <c r="T5341" s="6" t="str">
        <f>IFERROR(__xludf.DUMMYFUNCTION("""COMPUTED_VALUE"""),"kimberly.ball@studient.com")</f>
        <v>kimberly.ball@studient.com</v>
      </c>
      <c r="U5341" s="6" t="str">
        <f>IFERROR(__xludf.DUMMYFUNCTION("""COMPUTED_VALUE"""),"4")</f>
        <v>4</v>
      </c>
      <c r="V5341" s="6" t="str">
        <f>IFERROR(__xludf.DUMMYFUNCTION("""COMPUTED_VALUE"""),"")</f>
        <v/>
      </c>
      <c r="W5341" s="6" t="str">
        <f>IFERROR(__xludf.DUMMYFUNCTION("""COMPUTED_VALUE"""),"[]")</f>
        <v>[]</v>
      </c>
      <c r="X5341" s="6" t="str">
        <f>IFERROR(__xludf.DUMMYFUNCTION("""COMPUTED_VALUE"""),"Enrolled")</f>
        <v>Enrolled</v>
      </c>
    </row>
    <row r="5342">
      <c r="A5342" s="6" t="str">
        <f>IFERROR(__xludf.DUMMYFUNCTION("""COMPUTED_VALUE"""),"086-12733")</f>
        <v>086-12733</v>
      </c>
      <c r="B5342" s="6" t="str">
        <f>IFERROR(__xludf.DUMMYFUNCTION("""COMPUTED_VALUE"""),"86")</f>
        <v>86</v>
      </c>
      <c r="C5342" s="6" t="str">
        <f>IFERROR(__xludf.DUMMYFUNCTION("""COMPUTED_VALUE"""),"12733")</f>
        <v>12733</v>
      </c>
      <c r="D5342" s="6" t="str">
        <f>IFERROR(__xludf.DUMMYFUNCTION("""COMPUTED_VALUE"""),"Joseph")</f>
        <v>Joseph</v>
      </c>
      <c r="E5342" s="6" t="str">
        <f>IFERROR(__xludf.DUMMYFUNCTION("""COMPUTED_VALUE"""),"")</f>
        <v/>
      </c>
      <c r="F5342" s="6" t="str">
        <f>IFERROR(__xludf.DUMMYFUNCTION("""COMPUTED_VALUE"""),"Mata Apolinar")</f>
        <v>Mata Apolinar</v>
      </c>
      <c r="G5342" s="6" t="str">
        <f>IFERROR(__xludf.DUMMYFUNCTION("""COMPUTED_VALUE"""),"05/05/2017")</f>
        <v>05/05/2017</v>
      </c>
      <c r="H5342" s="6" t="str">
        <f>IFERROR(__xludf.DUMMYFUNCTION("""COMPUTED_VALUE"""),"male")</f>
        <v>male</v>
      </c>
      <c r="I5342" s="6" t="str">
        <f>IFERROR(__xludf.DUMMYFUNCTION("""COMPUTED_VALUE"""),"Level 2")</f>
        <v>Level 2</v>
      </c>
      <c r="J5342" s="6" t="str">
        <f>IFERROR(__xludf.DUMMYFUNCTION("""COMPUTED_VALUE"""),"4")</f>
        <v>4</v>
      </c>
      <c r="K5342" s="6" t="str">
        <f>IFERROR(__xludf.DUMMYFUNCTION("""COMPUTED_VALUE"""),"joseph.mataapolinar@2hourlearning.com")</f>
        <v>joseph.mataapolinar@2hourlearning.com</v>
      </c>
      <c r="L5342" s="6" t="str">
        <f>IFERROR(__xludf.DUMMYFUNCTION("""COMPUTED_VALUE"""),"JRES - Ridgeland Elementary School")</f>
        <v>JRES - Ridgeland Elementary School</v>
      </c>
      <c r="M5342" s="6" t="str">
        <f>IFERROR(__xludf.DUMMYFUNCTION("""COMPUTED_VALUE"""),"")</f>
        <v/>
      </c>
      <c r="N5342" s="6" t="str">
        <f>IFERROR(__xludf.DUMMYFUNCTION("""COMPUTED_VALUE"""),"")</f>
        <v/>
      </c>
      <c r="O5342" s="87" t="str">
        <f>IFERROR(__xludf.DUMMYFUNCTION("""COMPUTED_VALUE"""),"https://drive.google.com/drive/folders/10T2cTQHqEJZqE-st6uFKPoI?usp=share_link")</f>
        <v>https://drive.google.com/drive/folders/10T2cTQHqEJZqE-st6uFKPoI?usp=share_link</v>
      </c>
      <c r="P5342" s="6" t="str">
        <f>IFERROR(__xludf.DUMMYFUNCTION("""COMPUTED_VALUE"""),"Joseph Mata Apolinar")</f>
        <v>Joseph Mata Apolinar</v>
      </c>
      <c r="Q5342" s="6" t="str">
        <f>IFERROR(__xludf.DUMMYFUNCTION("""COMPUTED_VALUE"""),"L2")</f>
        <v>L2</v>
      </c>
      <c r="R5342" s="6">
        <f>IFERROR(__xludf.DUMMYFUNCTION("""COMPUTED_VALUE"""),2.0)</f>
        <v>2</v>
      </c>
      <c r="S5342" s="6" t="str">
        <f>IFERROR(__xludf.DUMMYFUNCTION("""COMPUTED_VALUE"""),"Kimberly Ball")</f>
        <v>Kimberly Ball</v>
      </c>
      <c r="T5342" s="6" t="str">
        <f>IFERROR(__xludf.DUMMYFUNCTION("""COMPUTED_VALUE"""),"kimberly.ball@studient.com")</f>
        <v>kimberly.ball@studient.com</v>
      </c>
      <c r="U5342" s="6" t="str">
        <f>IFERROR(__xludf.DUMMYFUNCTION("""COMPUTED_VALUE"""),"4")</f>
        <v>4</v>
      </c>
      <c r="V5342" s="6" t="str">
        <f>IFERROR(__xludf.DUMMYFUNCTION("""COMPUTED_VALUE"""),"")</f>
        <v/>
      </c>
      <c r="W5342" s="6" t="str">
        <f>IFERROR(__xludf.DUMMYFUNCTION("""COMPUTED_VALUE"""),"[]")</f>
        <v>[]</v>
      </c>
      <c r="X5342" s="6" t="str">
        <f>IFERROR(__xludf.DUMMYFUNCTION("""COMPUTED_VALUE"""),"Enrolled")</f>
        <v>Enrolled</v>
      </c>
    </row>
    <row r="5343">
      <c r="A5343" s="6" t="str">
        <f>IFERROR(__xludf.DUMMYFUNCTION("""COMPUTED_VALUE"""),"086-12734")</f>
        <v>086-12734</v>
      </c>
      <c r="B5343" s="6" t="str">
        <f>IFERROR(__xludf.DUMMYFUNCTION("""COMPUTED_VALUE"""),"86")</f>
        <v>86</v>
      </c>
      <c r="C5343" s="6" t="str">
        <f>IFERROR(__xludf.DUMMYFUNCTION("""COMPUTED_VALUE"""),"12734")</f>
        <v>12734</v>
      </c>
      <c r="D5343" s="6" t="str">
        <f>IFERROR(__xludf.DUMMYFUNCTION("""COMPUTED_VALUE"""),"Malasha")</f>
        <v>Malasha</v>
      </c>
      <c r="E5343" s="6" t="str">
        <f>IFERROR(__xludf.DUMMYFUNCTION("""COMPUTED_VALUE"""),"")</f>
        <v/>
      </c>
      <c r="F5343" s="6" t="str">
        <f>IFERROR(__xludf.DUMMYFUNCTION("""COMPUTED_VALUE"""),"Matthes")</f>
        <v>Matthes</v>
      </c>
      <c r="G5343" s="6" t="str">
        <f>IFERROR(__xludf.DUMMYFUNCTION("""COMPUTED_VALUE"""),"02/01/2018")</f>
        <v>02/01/2018</v>
      </c>
      <c r="H5343" s="6" t="str">
        <f>IFERROR(__xludf.DUMMYFUNCTION("""COMPUTED_VALUE"""),"male")</f>
        <v>male</v>
      </c>
      <c r="I5343" s="6" t="str">
        <f>IFERROR(__xludf.DUMMYFUNCTION("""COMPUTED_VALUE"""),"Level 2")</f>
        <v>Level 2</v>
      </c>
      <c r="J5343" s="6" t="str">
        <f>IFERROR(__xludf.DUMMYFUNCTION("""COMPUTED_VALUE"""),"4")</f>
        <v>4</v>
      </c>
      <c r="K5343" s="6" t="str">
        <f>IFERROR(__xludf.DUMMYFUNCTION("""COMPUTED_VALUE"""),"malasha.matthes@2hourlearning.com")</f>
        <v>malasha.matthes@2hourlearning.com</v>
      </c>
      <c r="L5343" s="6" t="str">
        <f>IFERROR(__xludf.DUMMYFUNCTION("""COMPUTED_VALUE"""),"JRES - Ridgeland Elementary School")</f>
        <v>JRES - Ridgeland Elementary School</v>
      </c>
      <c r="M5343" s="6" t="str">
        <f>IFERROR(__xludf.DUMMYFUNCTION("""COMPUTED_VALUE"""),"")</f>
        <v/>
      </c>
      <c r="N5343" s="6" t="str">
        <f>IFERROR(__xludf.DUMMYFUNCTION("""COMPUTED_VALUE"""),"")</f>
        <v/>
      </c>
      <c r="O5343" s="87" t="str">
        <f>IFERROR(__xludf.DUMMYFUNCTION("""COMPUTED_VALUE"""),"https://drive.google.com/drive/folders/10T2cTQHqEJZqE-st6uFKPoI?usp=share_link")</f>
        <v>https://drive.google.com/drive/folders/10T2cTQHqEJZqE-st6uFKPoI?usp=share_link</v>
      </c>
      <c r="P5343" s="6" t="str">
        <f>IFERROR(__xludf.DUMMYFUNCTION("""COMPUTED_VALUE"""),"Malasha Matthes")</f>
        <v>Malasha Matthes</v>
      </c>
      <c r="Q5343" s="6" t="str">
        <f>IFERROR(__xludf.DUMMYFUNCTION("""COMPUTED_VALUE"""),"L2")</f>
        <v>L2</v>
      </c>
      <c r="R5343" s="6">
        <f>IFERROR(__xludf.DUMMYFUNCTION("""COMPUTED_VALUE"""),2.0)</f>
        <v>2</v>
      </c>
      <c r="S5343" s="6" t="str">
        <f>IFERROR(__xludf.DUMMYFUNCTION("""COMPUTED_VALUE"""),"Kimberly Ball")</f>
        <v>Kimberly Ball</v>
      </c>
      <c r="T5343" s="6" t="str">
        <f>IFERROR(__xludf.DUMMYFUNCTION("""COMPUTED_VALUE"""),"kimberly.ball@studient.com")</f>
        <v>kimberly.ball@studient.com</v>
      </c>
      <c r="U5343" s="6" t="str">
        <f>IFERROR(__xludf.DUMMYFUNCTION("""COMPUTED_VALUE"""),"4")</f>
        <v>4</v>
      </c>
      <c r="V5343" s="6" t="str">
        <f>IFERROR(__xludf.DUMMYFUNCTION("""COMPUTED_VALUE"""),"")</f>
        <v/>
      </c>
      <c r="W5343" s="6" t="str">
        <f>IFERROR(__xludf.DUMMYFUNCTION("""COMPUTED_VALUE"""),"[]")</f>
        <v>[]</v>
      </c>
      <c r="X5343" s="6" t="str">
        <f>IFERROR(__xludf.DUMMYFUNCTION("""COMPUTED_VALUE"""),"Enrolled")</f>
        <v>Enrolled</v>
      </c>
    </row>
    <row r="5344">
      <c r="A5344" s="6" t="str">
        <f>IFERROR(__xludf.DUMMYFUNCTION("""COMPUTED_VALUE"""),"086-12735")</f>
        <v>086-12735</v>
      </c>
      <c r="B5344" s="6" t="str">
        <f>IFERROR(__xludf.DUMMYFUNCTION("""COMPUTED_VALUE"""),"86")</f>
        <v>86</v>
      </c>
      <c r="C5344" s="6" t="str">
        <f>IFERROR(__xludf.DUMMYFUNCTION("""COMPUTED_VALUE"""),"12735")</f>
        <v>12735</v>
      </c>
      <c r="D5344" s="6" t="str">
        <f>IFERROR(__xludf.DUMMYFUNCTION("""COMPUTED_VALUE"""),"Alan")</f>
        <v>Alan</v>
      </c>
      <c r="E5344" s="6" t="str">
        <f>IFERROR(__xludf.DUMMYFUNCTION("""COMPUTED_VALUE"""),"")</f>
        <v/>
      </c>
      <c r="F5344" s="6" t="str">
        <f>IFERROR(__xludf.DUMMYFUNCTION("""COMPUTED_VALUE"""),"Mendez-Escareno")</f>
        <v>Mendez-Escareno</v>
      </c>
      <c r="G5344" s="6" t="str">
        <f>IFERROR(__xludf.DUMMYFUNCTION("""COMPUTED_VALUE"""),"10/08/2014")</f>
        <v>10/08/2014</v>
      </c>
      <c r="H5344" s="6" t="str">
        <f>IFERROR(__xludf.DUMMYFUNCTION("""COMPUTED_VALUE"""),"female")</f>
        <v>female</v>
      </c>
      <c r="I5344" s="6" t="str">
        <f>IFERROR(__xludf.DUMMYFUNCTION("""COMPUTED_VALUE"""),"Level 2")</f>
        <v>Level 2</v>
      </c>
      <c r="J5344" s="6" t="str">
        <f>IFERROR(__xludf.DUMMYFUNCTION("""COMPUTED_VALUE"""),"4")</f>
        <v>4</v>
      </c>
      <c r="K5344" s="6" t="str">
        <f>IFERROR(__xludf.DUMMYFUNCTION("""COMPUTED_VALUE"""),"alan.mendez-escareno@2hourlearning.com")</f>
        <v>alan.mendez-escareno@2hourlearning.com</v>
      </c>
      <c r="L5344" s="6" t="str">
        <f>IFERROR(__xludf.DUMMYFUNCTION("""COMPUTED_VALUE"""),"JRES - Ridgeland Elementary School")</f>
        <v>JRES - Ridgeland Elementary School</v>
      </c>
      <c r="M5344" s="6" t="str">
        <f>IFERROR(__xludf.DUMMYFUNCTION("""COMPUTED_VALUE"""),"")</f>
        <v/>
      </c>
      <c r="N5344" s="6" t="str">
        <f>IFERROR(__xludf.DUMMYFUNCTION("""COMPUTED_VALUE"""),"")</f>
        <v/>
      </c>
      <c r="O5344" s="87" t="str">
        <f>IFERROR(__xludf.DUMMYFUNCTION("""COMPUTED_VALUE"""),"https://drive.google.com/drive/folders/10T2cTQHqEJZqE-st6uFKPoI?usp=share_link")</f>
        <v>https://drive.google.com/drive/folders/10T2cTQHqEJZqE-st6uFKPoI?usp=share_link</v>
      </c>
      <c r="P5344" s="6" t="str">
        <f>IFERROR(__xludf.DUMMYFUNCTION("""COMPUTED_VALUE"""),"Alan Mendez-Escareno")</f>
        <v>Alan Mendez-Escareno</v>
      </c>
      <c r="Q5344" s="6" t="str">
        <f>IFERROR(__xludf.DUMMYFUNCTION("""COMPUTED_VALUE"""),"L2")</f>
        <v>L2</v>
      </c>
      <c r="R5344" s="6">
        <f>IFERROR(__xludf.DUMMYFUNCTION("""COMPUTED_VALUE"""),2.0)</f>
        <v>2</v>
      </c>
      <c r="S5344" s="6" t="str">
        <f>IFERROR(__xludf.DUMMYFUNCTION("""COMPUTED_VALUE"""),"Kimberly Ball")</f>
        <v>Kimberly Ball</v>
      </c>
      <c r="T5344" s="6" t="str">
        <f>IFERROR(__xludf.DUMMYFUNCTION("""COMPUTED_VALUE"""),"kimberly.ball@studient.com")</f>
        <v>kimberly.ball@studient.com</v>
      </c>
      <c r="U5344" s="6" t="str">
        <f>IFERROR(__xludf.DUMMYFUNCTION("""COMPUTED_VALUE"""),"4")</f>
        <v>4</v>
      </c>
      <c r="V5344" s="6" t="str">
        <f>IFERROR(__xludf.DUMMYFUNCTION("""COMPUTED_VALUE"""),"")</f>
        <v/>
      </c>
      <c r="W5344" s="6" t="str">
        <f>IFERROR(__xludf.DUMMYFUNCTION("""COMPUTED_VALUE"""),"[]")</f>
        <v>[]</v>
      </c>
      <c r="X5344" s="6" t="str">
        <f>IFERROR(__xludf.DUMMYFUNCTION("""COMPUTED_VALUE"""),"Enrolled")</f>
        <v>Enrolled</v>
      </c>
    </row>
    <row r="5345">
      <c r="A5345" s="6" t="str">
        <f>IFERROR(__xludf.DUMMYFUNCTION("""COMPUTED_VALUE"""),"086-12736")</f>
        <v>086-12736</v>
      </c>
      <c r="B5345" s="6" t="str">
        <f>IFERROR(__xludf.DUMMYFUNCTION("""COMPUTED_VALUE"""),"86")</f>
        <v>86</v>
      </c>
      <c r="C5345" s="6" t="str">
        <f>IFERROR(__xludf.DUMMYFUNCTION("""COMPUTED_VALUE"""),"12736")</f>
        <v>12736</v>
      </c>
      <c r="D5345" s="6" t="str">
        <f>IFERROR(__xludf.DUMMYFUNCTION("""COMPUTED_VALUE"""),"Pedro")</f>
        <v>Pedro</v>
      </c>
      <c r="E5345" s="6" t="str">
        <f>IFERROR(__xludf.DUMMYFUNCTION("""COMPUTED_VALUE"""),"")</f>
        <v/>
      </c>
      <c r="F5345" s="6" t="str">
        <f>IFERROR(__xludf.DUMMYFUNCTION("""COMPUTED_VALUE"""),"Mendoza Espinales")</f>
        <v>Mendoza Espinales</v>
      </c>
      <c r="G5345" s="6" t="str">
        <f>IFERROR(__xludf.DUMMYFUNCTION("""COMPUTED_VALUE"""),"01/14/2016")</f>
        <v>01/14/2016</v>
      </c>
      <c r="H5345" s="6" t="str">
        <f>IFERROR(__xludf.DUMMYFUNCTION("""COMPUTED_VALUE"""),"male")</f>
        <v>male</v>
      </c>
      <c r="I5345" s="6" t="str">
        <f>IFERROR(__xludf.DUMMYFUNCTION("""COMPUTED_VALUE"""),"Level 2")</f>
        <v>Level 2</v>
      </c>
      <c r="J5345" s="6" t="str">
        <f>IFERROR(__xludf.DUMMYFUNCTION("""COMPUTED_VALUE"""),"4")</f>
        <v>4</v>
      </c>
      <c r="K5345" s="6" t="str">
        <f>IFERROR(__xludf.DUMMYFUNCTION("""COMPUTED_VALUE"""),"pedro.mendozaespinales@2hourlearning.com")</f>
        <v>pedro.mendozaespinales@2hourlearning.com</v>
      </c>
      <c r="L5345" s="6" t="str">
        <f>IFERROR(__xludf.DUMMYFUNCTION("""COMPUTED_VALUE"""),"JRES - Ridgeland Elementary School")</f>
        <v>JRES - Ridgeland Elementary School</v>
      </c>
      <c r="M5345" s="6" t="str">
        <f>IFERROR(__xludf.DUMMYFUNCTION("""COMPUTED_VALUE"""),"")</f>
        <v/>
      </c>
      <c r="N5345" s="6" t="str">
        <f>IFERROR(__xludf.DUMMYFUNCTION("""COMPUTED_VALUE"""),"")</f>
        <v/>
      </c>
      <c r="O5345" s="87" t="str">
        <f>IFERROR(__xludf.DUMMYFUNCTION("""COMPUTED_VALUE"""),"https://drive.google.com/drive/folders/10T2cTQHqEJZqE-st6uFKPoI?usp=share_link")</f>
        <v>https://drive.google.com/drive/folders/10T2cTQHqEJZqE-st6uFKPoI?usp=share_link</v>
      </c>
      <c r="P5345" s="6" t="str">
        <f>IFERROR(__xludf.DUMMYFUNCTION("""COMPUTED_VALUE"""),"Pedro Mendoza Espinales")</f>
        <v>Pedro Mendoza Espinales</v>
      </c>
      <c r="Q5345" s="6" t="str">
        <f>IFERROR(__xludf.DUMMYFUNCTION("""COMPUTED_VALUE"""),"L2")</f>
        <v>L2</v>
      </c>
      <c r="R5345" s="6">
        <f>IFERROR(__xludf.DUMMYFUNCTION("""COMPUTED_VALUE"""),2.0)</f>
        <v>2</v>
      </c>
      <c r="S5345" s="6" t="str">
        <f>IFERROR(__xludf.DUMMYFUNCTION("""COMPUTED_VALUE"""),"Kimberly Ball")</f>
        <v>Kimberly Ball</v>
      </c>
      <c r="T5345" s="6" t="str">
        <f>IFERROR(__xludf.DUMMYFUNCTION("""COMPUTED_VALUE"""),"kimberly.ball@studient.com")</f>
        <v>kimberly.ball@studient.com</v>
      </c>
      <c r="U5345" s="6" t="str">
        <f>IFERROR(__xludf.DUMMYFUNCTION("""COMPUTED_VALUE"""),"4")</f>
        <v>4</v>
      </c>
      <c r="V5345" s="6" t="str">
        <f>IFERROR(__xludf.DUMMYFUNCTION("""COMPUTED_VALUE"""),"")</f>
        <v/>
      </c>
      <c r="W5345" s="6" t="str">
        <f>IFERROR(__xludf.DUMMYFUNCTION("""COMPUTED_VALUE"""),"[]")</f>
        <v>[]</v>
      </c>
      <c r="X5345" s="6" t="str">
        <f>IFERROR(__xludf.DUMMYFUNCTION("""COMPUTED_VALUE"""),"Enrolled")</f>
        <v>Enrolled</v>
      </c>
    </row>
    <row r="5346">
      <c r="A5346" s="6" t="str">
        <f>IFERROR(__xludf.DUMMYFUNCTION("""COMPUTED_VALUE"""),"086-12737")</f>
        <v>086-12737</v>
      </c>
      <c r="B5346" s="6" t="str">
        <f>IFERROR(__xludf.DUMMYFUNCTION("""COMPUTED_VALUE"""),"86")</f>
        <v>86</v>
      </c>
      <c r="C5346" s="6" t="str">
        <f>IFERROR(__xludf.DUMMYFUNCTION("""COMPUTED_VALUE"""),"12737")</f>
        <v>12737</v>
      </c>
      <c r="D5346" s="6" t="str">
        <f>IFERROR(__xludf.DUMMYFUNCTION("""COMPUTED_VALUE"""),"Camron")</f>
        <v>Camron</v>
      </c>
      <c r="E5346" s="6" t="str">
        <f>IFERROR(__xludf.DUMMYFUNCTION("""COMPUTED_VALUE"""),"")</f>
        <v/>
      </c>
      <c r="F5346" s="6" t="str">
        <f>IFERROR(__xludf.DUMMYFUNCTION("""COMPUTED_VALUE"""),"Mikell")</f>
        <v>Mikell</v>
      </c>
      <c r="G5346" s="6" t="str">
        <f>IFERROR(__xludf.DUMMYFUNCTION("""COMPUTED_VALUE"""),"06/02/2016")</f>
        <v>06/02/2016</v>
      </c>
      <c r="H5346" s="6" t="str">
        <f>IFERROR(__xludf.DUMMYFUNCTION("""COMPUTED_VALUE"""),"female")</f>
        <v>female</v>
      </c>
      <c r="I5346" s="6" t="str">
        <f>IFERROR(__xludf.DUMMYFUNCTION("""COMPUTED_VALUE"""),"Level 2")</f>
        <v>Level 2</v>
      </c>
      <c r="J5346" s="6" t="str">
        <f>IFERROR(__xludf.DUMMYFUNCTION("""COMPUTED_VALUE"""),"4")</f>
        <v>4</v>
      </c>
      <c r="K5346" s="6" t="str">
        <f>IFERROR(__xludf.DUMMYFUNCTION("""COMPUTED_VALUE"""),"camron.mikell@2hourlearning.com")</f>
        <v>camron.mikell@2hourlearning.com</v>
      </c>
      <c r="L5346" s="6" t="str">
        <f>IFERROR(__xludf.DUMMYFUNCTION("""COMPUTED_VALUE"""),"JRES - Ridgeland Elementary School")</f>
        <v>JRES - Ridgeland Elementary School</v>
      </c>
      <c r="M5346" s="6" t="str">
        <f>IFERROR(__xludf.DUMMYFUNCTION("""COMPUTED_VALUE"""),"")</f>
        <v/>
      </c>
      <c r="N5346" s="6" t="str">
        <f>IFERROR(__xludf.DUMMYFUNCTION("""COMPUTED_VALUE"""),"")</f>
        <v/>
      </c>
      <c r="O5346" s="87" t="str">
        <f>IFERROR(__xludf.DUMMYFUNCTION("""COMPUTED_VALUE"""),"https://drive.google.com/drive/folders/10T2cTQHqEJZqE-st6uFKPoI?usp=share_link")</f>
        <v>https://drive.google.com/drive/folders/10T2cTQHqEJZqE-st6uFKPoI?usp=share_link</v>
      </c>
      <c r="P5346" s="6" t="str">
        <f>IFERROR(__xludf.DUMMYFUNCTION("""COMPUTED_VALUE"""),"Camron Mikell")</f>
        <v>Camron Mikell</v>
      </c>
      <c r="Q5346" s="6" t="str">
        <f>IFERROR(__xludf.DUMMYFUNCTION("""COMPUTED_VALUE"""),"L2")</f>
        <v>L2</v>
      </c>
      <c r="R5346" s="6">
        <f>IFERROR(__xludf.DUMMYFUNCTION("""COMPUTED_VALUE"""),2.0)</f>
        <v>2</v>
      </c>
      <c r="S5346" s="6" t="str">
        <f>IFERROR(__xludf.DUMMYFUNCTION("""COMPUTED_VALUE"""),"Kimberly Ball")</f>
        <v>Kimberly Ball</v>
      </c>
      <c r="T5346" s="6" t="str">
        <f>IFERROR(__xludf.DUMMYFUNCTION("""COMPUTED_VALUE"""),"kimberly.ball@studient.com")</f>
        <v>kimberly.ball@studient.com</v>
      </c>
      <c r="U5346" s="6" t="str">
        <f>IFERROR(__xludf.DUMMYFUNCTION("""COMPUTED_VALUE"""),"4")</f>
        <v>4</v>
      </c>
      <c r="V5346" s="6" t="str">
        <f>IFERROR(__xludf.DUMMYFUNCTION("""COMPUTED_VALUE"""),"")</f>
        <v/>
      </c>
      <c r="W5346" s="6" t="str">
        <f>IFERROR(__xludf.DUMMYFUNCTION("""COMPUTED_VALUE"""),"[]")</f>
        <v>[]</v>
      </c>
      <c r="X5346" s="6" t="str">
        <f>IFERROR(__xludf.DUMMYFUNCTION("""COMPUTED_VALUE"""),"Enrolled")</f>
        <v>Enrolled</v>
      </c>
    </row>
    <row r="5347">
      <c r="A5347" s="6" t="str">
        <f>IFERROR(__xludf.DUMMYFUNCTION("""COMPUTED_VALUE"""),"086-12738")</f>
        <v>086-12738</v>
      </c>
      <c r="B5347" s="6" t="str">
        <f>IFERROR(__xludf.DUMMYFUNCTION("""COMPUTED_VALUE"""),"86")</f>
        <v>86</v>
      </c>
      <c r="C5347" s="6" t="str">
        <f>IFERROR(__xludf.DUMMYFUNCTION("""COMPUTED_VALUE"""),"12738")</f>
        <v>12738</v>
      </c>
      <c r="D5347" s="6" t="str">
        <f>IFERROR(__xludf.DUMMYFUNCTION("""COMPUTED_VALUE"""),"Ni'Leona")</f>
        <v>Ni'Leona</v>
      </c>
      <c r="E5347" s="6" t="str">
        <f>IFERROR(__xludf.DUMMYFUNCTION("""COMPUTED_VALUE"""),"")</f>
        <v/>
      </c>
      <c r="F5347" s="6" t="str">
        <f>IFERROR(__xludf.DUMMYFUNCTION("""COMPUTED_VALUE"""),"Mitchell")</f>
        <v>Mitchell</v>
      </c>
      <c r="G5347" s="6" t="str">
        <f>IFERROR(__xludf.DUMMYFUNCTION("""COMPUTED_VALUE"""),"12/30/2016")</f>
        <v>12/30/2016</v>
      </c>
      <c r="H5347" s="6" t="str">
        <f>IFERROR(__xludf.DUMMYFUNCTION("""COMPUTED_VALUE"""),"female")</f>
        <v>female</v>
      </c>
      <c r="I5347" s="6" t="str">
        <f>IFERROR(__xludf.DUMMYFUNCTION("""COMPUTED_VALUE"""),"Level 2")</f>
        <v>Level 2</v>
      </c>
      <c r="J5347" s="6" t="str">
        <f>IFERROR(__xludf.DUMMYFUNCTION("""COMPUTED_VALUE"""),"4")</f>
        <v>4</v>
      </c>
      <c r="K5347" s="6" t="str">
        <f>IFERROR(__xludf.DUMMYFUNCTION("""COMPUTED_VALUE"""),"nileona.mitchell@2hourlearning.com")</f>
        <v>nileona.mitchell@2hourlearning.com</v>
      </c>
      <c r="L5347" s="6" t="str">
        <f>IFERROR(__xludf.DUMMYFUNCTION("""COMPUTED_VALUE"""),"JRES - Ridgeland Elementary School")</f>
        <v>JRES - Ridgeland Elementary School</v>
      </c>
      <c r="M5347" s="6" t="str">
        <f>IFERROR(__xludf.DUMMYFUNCTION("""COMPUTED_VALUE"""),"")</f>
        <v/>
      </c>
      <c r="N5347" s="6" t="str">
        <f>IFERROR(__xludf.DUMMYFUNCTION("""COMPUTED_VALUE"""),"")</f>
        <v/>
      </c>
      <c r="O5347" s="87" t="str">
        <f>IFERROR(__xludf.DUMMYFUNCTION("""COMPUTED_VALUE"""),"https://drive.google.com/drive/folders/10T2cTQHqEJZqE-st6uFKPoI?usp=share_link")</f>
        <v>https://drive.google.com/drive/folders/10T2cTQHqEJZqE-st6uFKPoI?usp=share_link</v>
      </c>
      <c r="P5347" s="6" t="str">
        <f>IFERROR(__xludf.DUMMYFUNCTION("""COMPUTED_VALUE"""),"Ni'Leona Mitchell")</f>
        <v>Ni'Leona Mitchell</v>
      </c>
      <c r="Q5347" s="6" t="str">
        <f>IFERROR(__xludf.DUMMYFUNCTION("""COMPUTED_VALUE"""),"L2")</f>
        <v>L2</v>
      </c>
      <c r="R5347" s="6">
        <f>IFERROR(__xludf.DUMMYFUNCTION("""COMPUTED_VALUE"""),2.0)</f>
        <v>2</v>
      </c>
      <c r="S5347" s="6" t="str">
        <f>IFERROR(__xludf.DUMMYFUNCTION("""COMPUTED_VALUE"""),"Kimberly Ball")</f>
        <v>Kimberly Ball</v>
      </c>
      <c r="T5347" s="6" t="str">
        <f>IFERROR(__xludf.DUMMYFUNCTION("""COMPUTED_VALUE"""),"kimberly.ball@studient.com")</f>
        <v>kimberly.ball@studient.com</v>
      </c>
      <c r="U5347" s="6" t="str">
        <f>IFERROR(__xludf.DUMMYFUNCTION("""COMPUTED_VALUE"""),"4")</f>
        <v>4</v>
      </c>
      <c r="V5347" s="6" t="str">
        <f>IFERROR(__xludf.DUMMYFUNCTION("""COMPUTED_VALUE"""),"")</f>
        <v/>
      </c>
      <c r="W5347" s="6" t="str">
        <f>IFERROR(__xludf.DUMMYFUNCTION("""COMPUTED_VALUE"""),"[]")</f>
        <v>[]</v>
      </c>
      <c r="X5347" s="6" t="str">
        <f>IFERROR(__xludf.DUMMYFUNCTION("""COMPUTED_VALUE"""),"Enrolled")</f>
        <v>Enrolled</v>
      </c>
    </row>
    <row r="5348">
      <c r="A5348" s="6" t="str">
        <f>IFERROR(__xludf.DUMMYFUNCTION("""COMPUTED_VALUE"""),"086-12739")</f>
        <v>086-12739</v>
      </c>
      <c r="B5348" s="6" t="str">
        <f>IFERROR(__xludf.DUMMYFUNCTION("""COMPUTED_VALUE"""),"86")</f>
        <v>86</v>
      </c>
      <c r="C5348" s="6" t="str">
        <f>IFERROR(__xludf.DUMMYFUNCTION("""COMPUTED_VALUE"""),"12739")</f>
        <v>12739</v>
      </c>
      <c r="D5348" s="6" t="str">
        <f>IFERROR(__xludf.DUMMYFUNCTION("""COMPUTED_VALUE"""),"James")</f>
        <v>James</v>
      </c>
      <c r="E5348" s="6" t="str">
        <f>IFERROR(__xludf.DUMMYFUNCTION("""COMPUTED_VALUE"""),"")</f>
        <v/>
      </c>
      <c r="F5348" s="6" t="str">
        <f>IFERROR(__xludf.DUMMYFUNCTION("""COMPUTED_VALUE"""),"Monge Zavala")</f>
        <v>Monge Zavala</v>
      </c>
      <c r="G5348" s="6" t="str">
        <f>IFERROR(__xludf.DUMMYFUNCTION("""COMPUTED_VALUE"""),"10/11/2016")</f>
        <v>10/11/2016</v>
      </c>
      <c r="H5348" s="6" t="str">
        <f>IFERROR(__xludf.DUMMYFUNCTION("""COMPUTED_VALUE"""),"female")</f>
        <v>female</v>
      </c>
      <c r="I5348" s="6" t="str">
        <f>IFERROR(__xludf.DUMMYFUNCTION("""COMPUTED_VALUE"""),"Level 2")</f>
        <v>Level 2</v>
      </c>
      <c r="J5348" s="6" t="str">
        <f>IFERROR(__xludf.DUMMYFUNCTION("""COMPUTED_VALUE"""),"4")</f>
        <v>4</v>
      </c>
      <c r="K5348" s="6" t="str">
        <f>IFERROR(__xludf.DUMMYFUNCTION("""COMPUTED_VALUE"""),"james.mongezavala@2hourlearning.com")</f>
        <v>james.mongezavala@2hourlearning.com</v>
      </c>
      <c r="L5348" s="6" t="str">
        <f>IFERROR(__xludf.DUMMYFUNCTION("""COMPUTED_VALUE"""),"JRES - Ridgeland Elementary School")</f>
        <v>JRES - Ridgeland Elementary School</v>
      </c>
      <c r="M5348" s="6" t="str">
        <f>IFERROR(__xludf.DUMMYFUNCTION("""COMPUTED_VALUE"""),"")</f>
        <v/>
      </c>
      <c r="N5348" s="6" t="str">
        <f>IFERROR(__xludf.DUMMYFUNCTION("""COMPUTED_VALUE"""),"")</f>
        <v/>
      </c>
      <c r="O5348" s="87" t="str">
        <f>IFERROR(__xludf.DUMMYFUNCTION("""COMPUTED_VALUE"""),"https://drive.google.com/drive/folders/10T2cTQHqEJZqE-st6uFKPoI?usp=share_link")</f>
        <v>https://drive.google.com/drive/folders/10T2cTQHqEJZqE-st6uFKPoI?usp=share_link</v>
      </c>
      <c r="P5348" s="6" t="str">
        <f>IFERROR(__xludf.DUMMYFUNCTION("""COMPUTED_VALUE"""),"James Monge Zavala")</f>
        <v>James Monge Zavala</v>
      </c>
      <c r="Q5348" s="6" t="str">
        <f>IFERROR(__xludf.DUMMYFUNCTION("""COMPUTED_VALUE"""),"L2")</f>
        <v>L2</v>
      </c>
      <c r="R5348" s="6">
        <f>IFERROR(__xludf.DUMMYFUNCTION("""COMPUTED_VALUE"""),2.0)</f>
        <v>2</v>
      </c>
      <c r="S5348" s="6" t="str">
        <f>IFERROR(__xludf.DUMMYFUNCTION("""COMPUTED_VALUE"""),"Kimberly Ball")</f>
        <v>Kimberly Ball</v>
      </c>
      <c r="T5348" s="6" t="str">
        <f>IFERROR(__xludf.DUMMYFUNCTION("""COMPUTED_VALUE"""),"kimberly.ball@studient.com")</f>
        <v>kimberly.ball@studient.com</v>
      </c>
      <c r="U5348" s="6" t="str">
        <f>IFERROR(__xludf.DUMMYFUNCTION("""COMPUTED_VALUE"""),"4")</f>
        <v>4</v>
      </c>
      <c r="V5348" s="6" t="str">
        <f>IFERROR(__xludf.DUMMYFUNCTION("""COMPUTED_VALUE"""),"")</f>
        <v/>
      </c>
      <c r="W5348" s="6" t="str">
        <f>IFERROR(__xludf.DUMMYFUNCTION("""COMPUTED_VALUE"""),"[]")</f>
        <v>[]</v>
      </c>
      <c r="X5348" s="6" t="str">
        <f>IFERROR(__xludf.DUMMYFUNCTION("""COMPUTED_VALUE"""),"Enrolled")</f>
        <v>Enrolled</v>
      </c>
    </row>
    <row r="5349">
      <c r="A5349" s="6" t="str">
        <f>IFERROR(__xludf.DUMMYFUNCTION("""COMPUTED_VALUE"""),"086-12740")</f>
        <v>086-12740</v>
      </c>
      <c r="B5349" s="6" t="str">
        <f>IFERROR(__xludf.DUMMYFUNCTION("""COMPUTED_VALUE"""),"86")</f>
        <v>86</v>
      </c>
      <c r="C5349" s="6" t="str">
        <f>IFERROR(__xludf.DUMMYFUNCTION("""COMPUTED_VALUE"""),"12740")</f>
        <v>12740</v>
      </c>
      <c r="D5349" s="6" t="str">
        <f>IFERROR(__xludf.DUMMYFUNCTION("""COMPUTED_VALUE"""),"Isabella")</f>
        <v>Isabella</v>
      </c>
      <c r="E5349" s="6" t="str">
        <f>IFERROR(__xludf.DUMMYFUNCTION("""COMPUTED_VALUE"""),"")</f>
        <v/>
      </c>
      <c r="F5349" s="6" t="str">
        <f>IFERROR(__xludf.DUMMYFUNCTION("""COMPUTED_VALUE"""),"Orozco-Moncada")</f>
        <v>Orozco-Moncada</v>
      </c>
      <c r="G5349" s="6" t="str">
        <f>IFERROR(__xludf.DUMMYFUNCTION("""COMPUTED_VALUE"""),"08/16/2016")</f>
        <v>08/16/2016</v>
      </c>
      <c r="H5349" s="6" t="str">
        <f>IFERROR(__xludf.DUMMYFUNCTION("""COMPUTED_VALUE"""),"female")</f>
        <v>female</v>
      </c>
      <c r="I5349" s="6" t="str">
        <f>IFERROR(__xludf.DUMMYFUNCTION("""COMPUTED_VALUE"""),"Level 2")</f>
        <v>Level 2</v>
      </c>
      <c r="J5349" s="6" t="str">
        <f>IFERROR(__xludf.DUMMYFUNCTION("""COMPUTED_VALUE"""),"4")</f>
        <v>4</v>
      </c>
      <c r="K5349" s="6" t="str">
        <f>IFERROR(__xludf.DUMMYFUNCTION("""COMPUTED_VALUE"""),"isabella.orozco-moncada@2hourlearning.com")</f>
        <v>isabella.orozco-moncada@2hourlearning.com</v>
      </c>
      <c r="L5349" s="6" t="str">
        <f>IFERROR(__xludf.DUMMYFUNCTION("""COMPUTED_VALUE"""),"JRES - Ridgeland Elementary School")</f>
        <v>JRES - Ridgeland Elementary School</v>
      </c>
      <c r="M5349" s="6" t="str">
        <f>IFERROR(__xludf.DUMMYFUNCTION("""COMPUTED_VALUE"""),"")</f>
        <v/>
      </c>
      <c r="N5349" s="6" t="str">
        <f>IFERROR(__xludf.DUMMYFUNCTION("""COMPUTED_VALUE"""),"")</f>
        <v/>
      </c>
      <c r="O5349" s="87" t="str">
        <f>IFERROR(__xludf.DUMMYFUNCTION("""COMPUTED_VALUE"""),"https://drive.google.com/drive/folders/10T2cTQHqEJZqE-st6uFKPoI?usp=share_link")</f>
        <v>https://drive.google.com/drive/folders/10T2cTQHqEJZqE-st6uFKPoI?usp=share_link</v>
      </c>
      <c r="P5349" s="6" t="str">
        <f>IFERROR(__xludf.DUMMYFUNCTION("""COMPUTED_VALUE"""),"Isabella Orozco-Moncada")</f>
        <v>Isabella Orozco-Moncada</v>
      </c>
      <c r="Q5349" s="6" t="str">
        <f>IFERROR(__xludf.DUMMYFUNCTION("""COMPUTED_VALUE"""),"L2")</f>
        <v>L2</v>
      </c>
      <c r="R5349" s="6">
        <f>IFERROR(__xludf.DUMMYFUNCTION("""COMPUTED_VALUE"""),2.0)</f>
        <v>2</v>
      </c>
      <c r="S5349" s="6" t="str">
        <f>IFERROR(__xludf.DUMMYFUNCTION("""COMPUTED_VALUE"""),"Kimberly Ball")</f>
        <v>Kimberly Ball</v>
      </c>
      <c r="T5349" s="6" t="str">
        <f>IFERROR(__xludf.DUMMYFUNCTION("""COMPUTED_VALUE"""),"kimberly.ball@studient.com")</f>
        <v>kimberly.ball@studient.com</v>
      </c>
      <c r="U5349" s="6" t="str">
        <f>IFERROR(__xludf.DUMMYFUNCTION("""COMPUTED_VALUE"""),"4")</f>
        <v>4</v>
      </c>
      <c r="V5349" s="6" t="str">
        <f>IFERROR(__xludf.DUMMYFUNCTION("""COMPUTED_VALUE"""),"")</f>
        <v/>
      </c>
      <c r="W5349" s="6" t="str">
        <f>IFERROR(__xludf.DUMMYFUNCTION("""COMPUTED_VALUE"""),"[]")</f>
        <v>[]</v>
      </c>
      <c r="X5349" s="6" t="str">
        <f>IFERROR(__xludf.DUMMYFUNCTION("""COMPUTED_VALUE"""),"Enrolled")</f>
        <v>Enrolled</v>
      </c>
    </row>
    <row r="5350">
      <c r="A5350" s="6" t="str">
        <f>IFERROR(__xludf.DUMMYFUNCTION("""COMPUTED_VALUE"""),"086-12741")</f>
        <v>086-12741</v>
      </c>
      <c r="B5350" s="6" t="str">
        <f>IFERROR(__xludf.DUMMYFUNCTION("""COMPUTED_VALUE"""),"86")</f>
        <v>86</v>
      </c>
      <c r="C5350" s="6" t="str">
        <f>IFERROR(__xludf.DUMMYFUNCTION("""COMPUTED_VALUE"""),"12741")</f>
        <v>12741</v>
      </c>
      <c r="D5350" s="6" t="str">
        <f>IFERROR(__xludf.DUMMYFUNCTION("""COMPUTED_VALUE"""),"Khalik")</f>
        <v>Khalik</v>
      </c>
      <c r="E5350" s="6" t="str">
        <f>IFERROR(__xludf.DUMMYFUNCTION("""COMPUTED_VALUE"""),"")</f>
        <v/>
      </c>
      <c r="F5350" s="6" t="str">
        <f>IFERROR(__xludf.DUMMYFUNCTION("""COMPUTED_VALUE"""),"Orr")</f>
        <v>Orr</v>
      </c>
      <c r="G5350" s="6" t="str">
        <f>IFERROR(__xludf.DUMMYFUNCTION("""COMPUTED_VALUE"""),"08/10/2017")</f>
        <v>08/10/2017</v>
      </c>
      <c r="H5350" s="6" t="str">
        <f>IFERROR(__xludf.DUMMYFUNCTION("""COMPUTED_VALUE"""),"female")</f>
        <v>female</v>
      </c>
      <c r="I5350" s="6" t="str">
        <f>IFERROR(__xludf.DUMMYFUNCTION("""COMPUTED_VALUE"""),"Level 2")</f>
        <v>Level 2</v>
      </c>
      <c r="J5350" s="6" t="str">
        <f>IFERROR(__xludf.DUMMYFUNCTION("""COMPUTED_VALUE"""),"4")</f>
        <v>4</v>
      </c>
      <c r="K5350" s="6" t="str">
        <f>IFERROR(__xludf.DUMMYFUNCTION("""COMPUTED_VALUE"""),"khalik.orr@2hourlearning.com")</f>
        <v>khalik.orr@2hourlearning.com</v>
      </c>
      <c r="L5350" s="6" t="str">
        <f>IFERROR(__xludf.DUMMYFUNCTION("""COMPUTED_VALUE"""),"JRES - Ridgeland Elementary School")</f>
        <v>JRES - Ridgeland Elementary School</v>
      </c>
      <c r="M5350" s="6" t="str">
        <f>IFERROR(__xludf.DUMMYFUNCTION("""COMPUTED_VALUE"""),"")</f>
        <v/>
      </c>
      <c r="N5350" s="6" t="str">
        <f>IFERROR(__xludf.DUMMYFUNCTION("""COMPUTED_VALUE"""),"")</f>
        <v/>
      </c>
      <c r="O5350" s="87" t="str">
        <f>IFERROR(__xludf.DUMMYFUNCTION("""COMPUTED_VALUE"""),"https://drive.google.com/drive/folders/10T2cTQHqEJZqE-st6uFKPoI?usp=share_link")</f>
        <v>https://drive.google.com/drive/folders/10T2cTQHqEJZqE-st6uFKPoI?usp=share_link</v>
      </c>
      <c r="P5350" s="6" t="str">
        <f>IFERROR(__xludf.DUMMYFUNCTION("""COMPUTED_VALUE"""),"Khalik Orr")</f>
        <v>Khalik Orr</v>
      </c>
      <c r="Q5350" s="6" t="str">
        <f>IFERROR(__xludf.DUMMYFUNCTION("""COMPUTED_VALUE"""),"L2")</f>
        <v>L2</v>
      </c>
      <c r="R5350" s="6">
        <f>IFERROR(__xludf.DUMMYFUNCTION("""COMPUTED_VALUE"""),2.0)</f>
        <v>2</v>
      </c>
      <c r="S5350" s="6" t="str">
        <f>IFERROR(__xludf.DUMMYFUNCTION("""COMPUTED_VALUE"""),"Kimberly Ball")</f>
        <v>Kimberly Ball</v>
      </c>
      <c r="T5350" s="6" t="str">
        <f>IFERROR(__xludf.DUMMYFUNCTION("""COMPUTED_VALUE"""),"kimberly.ball@studient.com")</f>
        <v>kimberly.ball@studient.com</v>
      </c>
      <c r="U5350" s="6" t="str">
        <f>IFERROR(__xludf.DUMMYFUNCTION("""COMPUTED_VALUE"""),"4")</f>
        <v>4</v>
      </c>
      <c r="V5350" s="6" t="str">
        <f>IFERROR(__xludf.DUMMYFUNCTION("""COMPUTED_VALUE"""),"")</f>
        <v/>
      </c>
      <c r="W5350" s="6" t="str">
        <f>IFERROR(__xludf.DUMMYFUNCTION("""COMPUTED_VALUE"""),"[]")</f>
        <v>[]</v>
      </c>
      <c r="X5350" s="6" t="str">
        <f>IFERROR(__xludf.DUMMYFUNCTION("""COMPUTED_VALUE"""),"Enrolled")</f>
        <v>Enrolled</v>
      </c>
    </row>
    <row r="5351">
      <c r="A5351" s="6" t="str">
        <f>IFERROR(__xludf.DUMMYFUNCTION("""COMPUTED_VALUE"""),"086-12742")</f>
        <v>086-12742</v>
      </c>
      <c r="B5351" s="6" t="str">
        <f>IFERROR(__xludf.DUMMYFUNCTION("""COMPUTED_VALUE"""),"86")</f>
        <v>86</v>
      </c>
      <c r="C5351" s="6" t="str">
        <f>IFERROR(__xludf.DUMMYFUNCTION("""COMPUTED_VALUE"""),"12742")</f>
        <v>12742</v>
      </c>
      <c r="D5351" s="6" t="str">
        <f>IFERROR(__xludf.DUMMYFUNCTION("""COMPUTED_VALUE"""),"Sa'miyah")</f>
        <v>Sa'miyah</v>
      </c>
      <c r="E5351" s="6" t="str">
        <f>IFERROR(__xludf.DUMMYFUNCTION("""COMPUTED_VALUE"""),"")</f>
        <v/>
      </c>
      <c r="F5351" s="6" t="str">
        <f>IFERROR(__xludf.DUMMYFUNCTION("""COMPUTED_VALUE"""),"Patterson")</f>
        <v>Patterson</v>
      </c>
      <c r="G5351" s="6" t="str">
        <f>IFERROR(__xludf.DUMMYFUNCTION("""COMPUTED_VALUE"""),"05/11/2015")</f>
        <v>05/11/2015</v>
      </c>
      <c r="H5351" s="6" t="str">
        <f>IFERROR(__xludf.DUMMYFUNCTION("""COMPUTED_VALUE"""),"female")</f>
        <v>female</v>
      </c>
      <c r="I5351" s="6" t="str">
        <f>IFERROR(__xludf.DUMMYFUNCTION("""COMPUTED_VALUE"""),"Level 2")</f>
        <v>Level 2</v>
      </c>
      <c r="J5351" s="6" t="str">
        <f>IFERROR(__xludf.DUMMYFUNCTION("""COMPUTED_VALUE"""),"4")</f>
        <v>4</v>
      </c>
      <c r="K5351" s="6" t="str">
        <f>IFERROR(__xludf.DUMMYFUNCTION("""COMPUTED_VALUE"""),"samiyah.patterson@2hourlearning.com")</f>
        <v>samiyah.patterson@2hourlearning.com</v>
      </c>
      <c r="L5351" s="6" t="str">
        <f>IFERROR(__xludf.DUMMYFUNCTION("""COMPUTED_VALUE"""),"JRES - Ridgeland Elementary School")</f>
        <v>JRES - Ridgeland Elementary School</v>
      </c>
      <c r="M5351" s="6" t="str">
        <f>IFERROR(__xludf.DUMMYFUNCTION("""COMPUTED_VALUE"""),"")</f>
        <v/>
      </c>
      <c r="N5351" s="6" t="str">
        <f>IFERROR(__xludf.DUMMYFUNCTION("""COMPUTED_VALUE"""),"")</f>
        <v/>
      </c>
      <c r="O5351" s="87" t="str">
        <f>IFERROR(__xludf.DUMMYFUNCTION("""COMPUTED_VALUE"""),"https://drive.google.com/drive/folders/10T2cTQHqEJZqE-st6uFKPoI?usp=share_link")</f>
        <v>https://drive.google.com/drive/folders/10T2cTQHqEJZqE-st6uFKPoI?usp=share_link</v>
      </c>
      <c r="P5351" s="6" t="str">
        <f>IFERROR(__xludf.DUMMYFUNCTION("""COMPUTED_VALUE"""),"Sa'miyah Patterson")</f>
        <v>Sa'miyah Patterson</v>
      </c>
      <c r="Q5351" s="6" t="str">
        <f>IFERROR(__xludf.DUMMYFUNCTION("""COMPUTED_VALUE"""),"L2")</f>
        <v>L2</v>
      </c>
      <c r="R5351" s="6">
        <f>IFERROR(__xludf.DUMMYFUNCTION("""COMPUTED_VALUE"""),2.0)</f>
        <v>2</v>
      </c>
      <c r="S5351" s="6" t="str">
        <f>IFERROR(__xludf.DUMMYFUNCTION("""COMPUTED_VALUE"""),"Kimberly Ball")</f>
        <v>Kimberly Ball</v>
      </c>
      <c r="T5351" s="6" t="str">
        <f>IFERROR(__xludf.DUMMYFUNCTION("""COMPUTED_VALUE"""),"kimberly.ball@studient.com")</f>
        <v>kimberly.ball@studient.com</v>
      </c>
      <c r="U5351" s="6" t="str">
        <f>IFERROR(__xludf.DUMMYFUNCTION("""COMPUTED_VALUE"""),"4")</f>
        <v>4</v>
      </c>
      <c r="V5351" s="6" t="str">
        <f>IFERROR(__xludf.DUMMYFUNCTION("""COMPUTED_VALUE"""),"")</f>
        <v/>
      </c>
      <c r="W5351" s="6" t="str">
        <f>IFERROR(__xludf.DUMMYFUNCTION("""COMPUTED_VALUE"""),"[]")</f>
        <v>[]</v>
      </c>
      <c r="X5351" s="6" t="str">
        <f>IFERROR(__xludf.DUMMYFUNCTION("""COMPUTED_VALUE"""),"Enrolled")</f>
        <v>Enrolled</v>
      </c>
    </row>
    <row r="5352">
      <c r="A5352" s="6" t="str">
        <f>IFERROR(__xludf.DUMMYFUNCTION("""COMPUTED_VALUE"""),"086-12743")</f>
        <v>086-12743</v>
      </c>
      <c r="B5352" s="6" t="str">
        <f>IFERROR(__xludf.DUMMYFUNCTION("""COMPUTED_VALUE"""),"86")</f>
        <v>86</v>
      </c>
      <c r="C5352" s="6" t="str">
        <f>IFERROR(__xludf.DUMMYFUNCTION("""COMPUTED_VALUE"""),"12743")</f>
        <v>12743</v>
      </c>
      <c r="D5352" s="6" t="str">
        <f>IFERROR(__xludf.DUMMYFUNCTION("""COMPUTED_VALUE"""),"Brielle")</f>
        <v>Brielle</v>
      </c>
      <c r="E5352" s="6" t="str">
        <f>IFERROR(__xludf.DUMMYFUNCTION("""COMPUTED_VALUE"""),"")</f>
        <v/>
      </c>
      <c r="F5352" s="6" t="str">
        <f>IFERROR(__xludf.DUMMYFUNCTION("""COMPUTED_VALUE"""),"Paz")</f>
        <v>Paz</v>
      </c>
      <c r="G5352" s="6" t="str">
        <f>IFERROR(__xludf.DUMMYFUNCTION("""COMPUTED_VALUE"""),"10/05/2014")</f>
        <v>10/05/2014</v>
      </c>
      <c r="H5352" s="6" t="str">
        <f>IFERROR(__xludf.DUMMYFUNCTION("""COMPUTED_VALUE"""),"male")</f>
        <v>male</v>
      </c>
      <c r="I5352" s="6" t="str">
        <f>IFERROR(__xludf.DUMMYFUNCTION("""COMPUTED_VALUE"""),"Level 2")</f>
        <v>Level 2</v>
      </c>
      <c r="J5352" s="6" t="str">
        <f>IFERROR(__xludf.DUMMYFUNCTION("""COMPUTED_VALUE"""),"4")</f>
        <v>4</v>
      </c>
      <c r="K5352" s="6" t="str">
        <f>IFERROR(__xludf.DUMMYFUNCTION("""COMPUTED_VALUE"""),"brielle.paz@2hourlearning.com")</f>
        <v>brielle.paz@2hourlearning.com</v>
      </c>
      <c r="L5352" s="6" t="str">
        <f>IFERROR(__xludf.DUMMYFUNCTION("""COMPUTED_VALUE"""),"JRES - Ridgeland Elementary School")</f>
        <v>JRES - Ridgeland Elementary School</v>
      </c>
      <c r="M5352" s="6" t="str">
        <f>IFERROR(__xludf.DUMMYFUNCTION("""COMPUTED_VALUE"""),"")</f>
        <v/>
      </c>
      <c r="N5352" s="6" t="str">
        <f>IFERROR(__xludf.DUMMYFUNCTION("""COMPUTED_VALUE"""),"")</f>
        <v/>
      </c>
      <c r="O5352" s="87" t="str">
        <f>IFERROR(__xludf.DUMMYFUNCTION("""COMPUTED_VALUE"""),"https://drive.google.com/drive/folders/10T2cTQHqEJZqE-st6uFKPoI?usp=share_link")</f>
        <v>https://drive.google.com/drive/folders/10T2cTQHqEJZqE-st6uFKPoI?usp=share_link</v>
      </c>
      <c r="P5352" s="6" t="str">
        <f>IFERROR(__xludf.DUMMYFUNCTION("""COMPUTED_VALUE"""),"Brielle Paz")</f>
        <v>Brielle Paz</v>
      </c>
      <c r="Q5352" s="6" t="str">
        <f>IFERROR(__xludf.DUMMYFUNCTION("""COMPUTED_VALUE"""),"L2")</f>
        <v>L2</v>
      </c>
      <c r="R5352" s="6">
        <f>IFERROR(__xludf.DUMMYFUNCTION("""COMPUTED_VALUE"""),2.0)</f>
        <v>2</v>
      </c>
      <c r="S5352" s="6" t="str">
        <f>IFERROR(__xludf.DUMMYFUNCTION("""COMPUTED_VALUE"""),"Kimberly Ball")</f>
        <v>Kimberly Ball</v>
      </c>
      <c r="T5352" s="6" t="str">
        <f>IFERROR(__xludf.DUMMYFUNCTION("""COMPUTED_VALUE"""),"kimberly.ball@studient.com")</f>
        <v>kimberly.ball@studient.com</v>
      </c>
      <c r="U5352" s="6" t="str">
        <f>IFERROR(__xludf.DUMMYFUNCTION("""COMPUTED_VALUE"""),"4")</f>
        <v>4</v>
      </c>
      <c r="V5352" s="6" t="str">
        <f>IFERROR(__xludf.DUMMYFUNCTION("""COMPUTED_VALUE"""),"")</f>
        <v/>
      </c>
      <c r="W5352" s="6" t="str">
        <f>IFERROR(__xludf.DUMMYFUNCTION("""COMPUTED_VALUE"""),"[]")</f>
        <v>[]</v>
      </c>
      <c r="X5352" s="6" t="str">
        <f>IFERROR(__xludf.DUMMYFUNCTION("""COMPUTED_VALUE"""),"Enrolled")</f>
        <v>Enrolled</v>
      </c>
    </row>
    <row r="5353">
      <c r="A5353" s="6" t="str">
        <f>IFERROR(__xludf.DUMMYFUNCTION("""COMPUTED_VALUE"""),"086-12744")</f>
        <v>086-12744</v>
      </c>
      <c r="B5353" s="6" t="str">
        <f>IFERROR(__xludf.DUMMYFUNCTION("""COMPUTED_VALUE"""),"86")</f>
        <v>86</v>
      </c>
      <c r="C5353" s="6" t="str">
        <f>IFERROR(__xludf.DUMMYFUNCTION("""COMPUTED_VALUE"""),"12744")</f>
        <v>12744</v>
      </c>
      <c r="D5353" s="6" t="str">
        <f>IFERROR(__xludf.DUMMYFUNCTION("""COMPUTED_VALUE"""),"Helen")</f>
        <v>Helen</v>
      </c>
      <c r="E5353" s="6" t="str">
        <f>IFERROR(__xludf.DUMMYFUNCTION("""COMPUTED_VALUE"""),"")</f>
        <v/>
      </c>
      <c r="F5353" s="6" t="str">
        <f>IFERROR(__xludf.DUMMYFUNCTION("""COMPUTED_VALUE"""),"Paz Rodriguez")</f>
        <v>Paz Rodriguez</v>
      </c>
      <c r="G5353" s="6" t="str">
        <f>IFERROR(__xludf.DUMMYFUNCTION("""COMPUTED_VALUE"""),"04/04/2015")</f>
        <v>04/04/2015</v>
      </c>
      <c r="H5353" s="6" t="str">
        <f>IFERROR(__xludf.DUMMYFUNCTION("""COMPUTED_VALUE"""),"male")</f>
        <v>male</v>
      </c>
      <c r="I5353" s="6" t="str">
        <f>IFERROR(__xludf.DUMMYFUNCTION("""COMPUTED_VALUE"""),"Level 2")</f>
        <v>Level 2</v>
      </c>
      <c r="J5353" s="6" t="str">
        <f>IFERROR(__xludf.DUMMYFUNCTION("""COMPUTED_VALUE"""),"4")</f>
        <v>4</v>
      </c>
      <c r="K5353" s="6" t="str">
        <f>IFERROR(__xludf.DUMMYFUNCTION("""COMPUTED_VALUE"""),"helen.pazrodriguez@2hourlearning.com")</f>
        <v>helen.pazrodriguez@2hourlearning.com</v>
      </c>
      <c r="L5353" s="6" t="str">
        <f>IFERROR(__xludf.DUMMYFUNCTION("""COMPUTED_VALUE"""),"JRES - Ridgeland Elementary School")</f>
        <v>JRES - Ridgeland Elementary School</v>
      </c>
      <c r="M5353" s="6" t="str">
        <f>IFERROR(__xludf.DUMMYFUNCTION("""COMPUTED_VALUE"""),"")</f>
        <v/>
      </c>
      <c r="N5353" s="6" t="str">
        <f>IFERROR(__xludf.DUMMYFUNCTION("""COMPUTED_VALUE"""),"")</f>
        <v/>
      </c>
      <c r="O5353" s="87" t="str">
        <f>IFERROR(__xludf.DUMMYFUNCTION("""COMPUTED_VALUE"""),"https://drive.google.com/drive/folders/10T2cTQHqEJZqE-st6uFKPoI?usp=share_link")</f>
        <v>https://drive.google.com/drive/folders/10T2cTQHqEJZqE-st6uFKPoI?usp=share_link</v>
      </c>
      <c r="P5353" s="6" t="str">
        <f>IFERROR(__xludf.DUMMYFUNCTION("""COMPUTED_VALUE"""),"Helen Paz Rodriguez")</f>
        <v>Helen Paz Rodriguez</v>
      </c>
      <c r="Q5353" s="6" t="str">
        <f>IFERROR(__xludf.DUMMYFUNCTION("""COMPUTED_VALUE"""),"L2")</f>
        <v>L2</v>
      </c>
      <c r="R5353" s="6">
        <f>IFERROR(__xludf.DUMMYFUNCTION("""COMPUTED_VALUE"""),2.0)</f>
        <v>2</v>
      </c>
      <c r="S5353" s="6" t="str">
        <f>IFERROR(__xludf.DUMMYFUNCTION("""COMPUTED_VALUE"""),"Kimberly Ball")</f>
        <v>Kimberly Ball</v>
      </c>
      <c r="T5353" s="6" t="str">
        <f>IFERROR(__xludf.DUMMYFUNCTION("""COMPUTED_VALUE"""),"kimberly.ball@studient.com")</f>
        <v>kimberly.ball@studient.com</v>
      </c>
      <c r="U5353" s="6" t="str">
        <f>IFERROR(__xludf.DUMMYFUNCTION("""COMPUTED_VALUE"""),"4")</f>
        <v>4</v>
      </c>
      <c r="V5353" s="6" t="str">
        <f>IFERROR(__xludf.DUMMYFUNCTION("""COMPUTED_VALUE"""),"")</f>
        <v/>
      </c>
      <c r="W5353" s="6" t="str">
        <f>IFERROR(__xludf.DUMMYFUNCTION("""COMPUTED_VALUE"""),"[]")</f>
        <v>[]</v>
      </c>
      <c r="X5353" s="6" t="str">
        <f>IFERROR(__xludf.DUMMYFUNCTION("""COMPUTED_VALUE"""),"Enrolled")</f>
        <v>Enrolled</v>
      </c>
    </row>
    <row r="5354">
      <c r="A5354" s="6" t="str">
        <f>IFERROR(__xludf.DUMMYFUNCTION("""COMPUTED_VALUE"""),"086-12745")</f>
        <v>086-12745</v>
      </c>
      <c r="B5354" s="6" t="str">
        <f>IFERROR(__xludf.DUMMYFUNCTION("""COMPUTED_VALUE"""),"86")</f>
        <v>86</v>
      </c>
      <c r="C5354" s="6" t="str">
        <f>IFERROR(__xludf.DUMMYFUNCTION("""COMPUTED_VALUE"""),"12745")</f>
        <v>12745</v>
      </c>
      <c r="D5354" s="6" t="str">
        <f>IFERROR(__xludf.DUMMYFUNCTION("""COMPUTED_VALUE"""),"Myla")</f>
        <v>Myla</v>
      </c>
      <c r="E5354" s="6" t="str">
        <f>IFERROR(__xludf.DUMMYFUNCTION("""COMPUTED_VALUE"""),"")</f>
        <v/>
      </c>
      <c r="F5354" s="6" t="str">
        <f>IFERROR(__xludf.DUMMYFUNCTION("""COMPUTED_VALUE"""),"Penwell")</f>
        <v>Penwell</v>
      </c>
      <c r="G5354" s="6" t="str">
        <f>IFERROR(__xludf.DUMMYFUNCTION("""COMPUTED_VALUE"""),"05/25/2017")</f>
        <v>05/25/2017</v>
      </c>
      <c r="H5354" s="6" t="str">
        <f>IFERROR(__xludf.DUMMYFUNCTION("""COMPUTED_VALUE"""),"female")</f>
        <v>female</v>
      </c>
      <c r="I5354" s="6" t="str">
        <f>IFERROR(__xludf.DUMMYFUNCTION("""COMPUTED_VALUE"""),"Level 2")</f>
        <v>Level 2</v>
      </c>
      <c r="J5354" s="6" t="str">
        <f>IFERROR(__xludf.DUMMYFUNCTION("""COMPUTED_VALUE"""),"4")</f>
        <v>4</v>
      </c>
      <c r="K5354" s="6" t="str">
        <f>IFERROR(__xludf.DUMMYFUNCTION("""COMPUTED_VALUE"""),"myla.penwell@2hourlearning.com")</f>
        <v>myla.penwell@2hourlearning.com</v>
      </c>
      <c r="L5354" s="6" t="str">
        <f>IFERROR(__xludf.DUMMYFUNCTION("""COMPUTED_VALUE"""),"JRES - Ridgeland Elementary School")</f>
        <v>JRES - Ridgeland Elementary School</v>
      </c>
      <c r="M5354" s="6" t="str">
        <f>IFERROR(__xludf.DUMMYFUNCTION("""COMPUTED_VALUE"""),"")</f>
        <v/>
      </c>
      <c r="N5354" s="6" t="str">
        <f>IFERROR(__xludf.DUMMYFUNCTION("""COMPUTED_VALUE"""),"")</f>
        <v/>
      </c>
      <c r="O5354" s="87" t="str">
        <f>IFERROR(__xludf.DUMMYFUNCTION("""COMPUTED_VALUE"""),"https://drive.google.com/drive/folders/10T2cTQHqEJZqE-st6uFKPoI?usp=share_link")</f>
        <v>https://drive.google.com/drive/folders/10T2cTQHqEJZqE-st6uFKPoI?usp=share_link</v>
      </c>
      <c r="P5354" s="6" t="str">
        <f>IFERROR(__xludf.DUMMYFUNCTION("""COMPUTED_VALUE"""),"Myla Penwell")</f>
        <v>Myla Penwell</v>
      </c>
      <c r="Q5354" s="6" t="str">
        <f>IFERROR(__xludf.DUMMYFUNCTION("""COMPUTED_VALUE"""),"L2")</f>
        <v>L2</v>
      </c>
      <c r="R5354" s="6">
        <f>IFERROR(__xludf.DUMMYFUNCTION("""COMPUTED_VALUE"""),2.0)</f>
        <v>2</v>
      </c>
      <c r="S5354" s="6" t="str">
        <f>IFERROR(__xludf.DUMMYFUNCTION("""COMPUTED_VALUE"""),"Kimberly Ball")</f>
        <v>Kimberly Ball</v>
      </c>
      <c r="T5354" s="6" t="str">
        <f>IFERROR(__xludf.DUMMYFUNCTION("""COMPUTED_VALUE"""),"kimberly.ball@studient.com")</f>
        <v>kimberly.ball@studient.com</v>
      </c>
      <c r="U5354" s="6" t="str">
        <f>IFERROR(__xludf.DUMMYFUNCTION("""COMPUTED_VALUE"""),"4")</f>
        <v>4</v>
      </c>
      <c r="V5354" s="6" t="str">
        <f>IFERROR(__xludf.DUMMYFUNCTION("""COMPUTED_VALUE"""),"")</f>
        <v/>
      </c>
      <c r="W5354" s="6" t="str">
        <f>IFERROR(__xludf.DUMMYFUNCTION("""COMPUTED_VALUE"""),"[]")</f>
        <v>[]</v>
      </c>
      <c r="X5354" s="6" t="str">
        <f>IFERROR(__xludf.DUMMYFUNCTION("""COMPUTED_VALUE"""),"Enrolled")</f>
        <v>Enrolled</v>
      </c>
    </row>
    <row r="5355">
      <c r="A5355" s="6" t="str">
        <f>IFERROR(__xludf.DUMMYFUNCTION("""COMPUTED_VALUE"""),"086-12746")</f>
        <v>086-12746</v>
      </c>
      <c r="B5355" s="6" t="str">
        <f>IFERROR(__xludf.DUMMYFUNCTION("""COMPUTED_VALUE"""),"86")</f>
        <v>86</v>
      </c>
      <c r="C5355" s="6" t="str">
        <f>IFERROR(__xludf.DUMMYFUNCTION("""COMPUTED_VALUE"""),"12746")</f>
        <v>12746</v>
      </c>
      <c r="D5355" s="6" t="str">
        <f>IFERROR(__xludf.DUMMYFUNCTION("""COMPUTED_VALUE"""),"Peyton")</f>
        <v>Peyton</v>
      </c>
      <c r="E5355" s="6" t="str">
        <f>IFERROR(__xludf.DUMMYFUNCTION("""COMPUTED_VALUE"""),"")</f>
        <v/>
      </c>
      <c r="F5355" s="6" t="str">
        <f>IFERROR(__xludf.DUMMYFUNCTION("""COMPUTED_VALUE"""),"Poacher")</f>
        <v>Poacher</v>
      </c>
      <c r="G5355" s="6" t="str">
        <f>IFERROR(__xludf.DUMMYFUNCTION("""COMPUTED_VALUE"""),"10/22/2017")</f>
        <v>10/22/2017</v>
      </c>
      <c r="H5355" s="6" t="str">
        <f>IFERROR(__xludf.DUMMYFUNCTION("""COMPUTED_VALUE"""),"female")</f>
        <v>female</v>
      </c>
      <c r="I5355" s="6" t="str">
        <f>IFERROR(__xludf.DUMMYFUNCTION("""COMPUTED_VALUE"""),"Level 2")</f>
        <v>Level 2</v>
      </c>
      <c r="J5355" s="6" t="str">
        <f>IFERROR(__xludf.DUMMYFUNCTION("""COMPUTED_VALUE"""),"4")</f>
        <v>4</v>
      </c>
      <c r="K5355" s="6" t="str">
        <f>IFERROR(__xludf.DUMMYFUNCTION("""COMPUTED_VALUE"""),"peyton.poacher@2hourlearning.com")</f>
        <v>peyton.poacher@2hourlearning.com</v>
      </c>
      <c r="L5355" s="6" t="str">
        <f>IFERROR(__xludf.DUMMYFUNCTION("""COMPUTED_VALUE"""),"JRES - Ridgeland Elementary School")</f>
        <v>JRES - Ridgeland Elementary School</v>
      </c>
      <c r="M5355" s="6" t="str">
        <f>IFERROR(__xludf.DUMMYFUNCTION("""COMPUTED_VALUE"""),"")</f>
        <v/>
      </c>
      <c r="N5355" s="6" t="str">
        <f>IFERROR(__xludf.DUMMYFUNCTION("""COMPUTED_VALUE"""),"")</f>
        <v/>
      </c>
      <c r="O5355" s="87" t="str">
        <f>IFERROR(__xludf.DUMMYFUNCTION("""COMPUTED_VALUE"""),"https://drive.google.com/drive/folders/10T2cTQHqEJZqE-st6uFKPoI?usp=share_link")</f>
        <v>https://drive.google.com/drive/folders/10T2cTQHqEJZqE-st6uFKPoI?usp=share_link</v>
      </c>
      <c r="P5355" s="6" t="str">
        <f>IFERROR(__xludf.DUMMYFUNCTION("""COMPUTED_VALUE"""),"Peyton Poacher")</f>
        <v>Peyton Poacher</v>
      </c>
      <c r="Q5355" s="6" t="str">
        <f>IFERROR(__xludf.DUMMYFUNCTION("""COMPUTED_VALUE"""),"L2")</f>
        <v>L2</v>
      </c>
      <c r="R5355" s="6">
        <f>IFERROR(__xludf.DUMMYFUNCTION("""COMPUTED_VALUE"""),2.0)</f>
        <v>2</v>
      </c>
      <c r="S5355" s="6" t="str">
        <f>IFERROR(__xludf.DUMMYFUNCTION("""COMPUTED_VALUE"""),"Kimberly Ball")</f>
        <v>Kimberly Ball</v>
      </c>
      <c r="T5355" s="6" t="str">
        <f>IFERROR(__xludf.DUMMYFUNCTION("""COMPUTED_VALUE"""),"kimberly.ball@studient.com")</f>
        <v>kimberly.ball@studient.com</v>
      </c>
      <c r="U5355" s="6" t="str">
        <f>IFERROR(__xludf.DUMMYFUNCTION("""COMPUTED_VALUE"""),"4")</f>
        <v>4</v>
      </c>
      <c r="V5355" s="6" t="str">
        <f>IFERROR(__xludf.DUMMYFUNCTION("""COMPUTED_VALUE"""),"")</f>
        <v/>
      </c>
      <c r="W5355" s="6" t="str">
        <f>IFERROR(__xludf.DUMMYFUNCTION("""COMPUTED_VALUE"""),"[]")</f>
        <v>[]</v>
      </c>
      <c r="X5355" s="6" t="str">
        <f>IFERROR(__xludf.DUMMYFUNCTION("""COMPUTED_VALUE"""),"Enrolled")</f>
        <v>Enrolled</v>
      </c>
    </row>
    <row r="5356">
      <c r="A5356" s="6" t="str">
        <f>IFERROR(__xludf.DUMMYFUNCTION("""COMPUTED_VALUE"""),"086-12747")</f>
        <v>086-12747</v>
      </c>
      <c r="B5356" s="6" t="str">
        <f>IFERROR(__xludf.DUMMYFUNCTION("""COMPUTED_VALUE"""),"86")</f>
        <v>86</v>
      </c>
      <c r="C5356" s="6" t="str">
        <f>IFERROR(__xludf.DUMMYFUNCTION("""COMPUTED_VALUE"""),"12747")</f>
        <v>12747</v>
      </c>
      <c r="D5356" s="6" t="str">
        <f>IFERROR(__xludf.DUMMYFUNCTION("""COMPUTED_VALUE"""),"Briana")</f>
        <v>Briana</v>
      </c>
      <c r="E5356" s="6" t="str">
        <f>IFERROR(__xludf.DUMMYFUNCTION("""COMPUTED_VALUE"""),"")</f>
        <v/>
      </c>
      <c r="F5356" s="6" t="str">
        <f>IFERROR(__xludf.DUMMYFUNCTION("""COMPUTED_VALUE"""),"Pomasqui Arce")</f>
        <v>Pomasqui Arce</v>
      </c>
      <c r="G5356" s="6" t="str">
        <f>IFERROR(__xludf.DUMMYFUNCTION("""COMPUTED_VALUE"""),"07/22/2016")</f>
        <v>07/22/2016</v>
      </c>
      <c r="H5356" s="6" t="str">
        <f>IFERROR(__xludf.DUMMYFUNCTION("""COMPUTED_VALUE"""),"male")</f>
        <v>male</v>
      </c>
      <c r="I5356" s="6" t="str">
        <f>IFERROR(__xludf.DUMMYFUNCTION("""COMPUTED_VALUE"""),"Level 2")</f>
        <v>Level 2</v>
      </c>
      <c r="J5356" s="6" t="str">
        <f>IFERROR(__xludf.DUMMYFUNCTION("""COMPUTED_VALUE"""),"4")</f>
        <v>4</v>
      </c>
      <c r="K5356" s="6" t="str">
        <f>IFERROR(__xludf.DUMMYFUNCTION("""COMPUTED_VALUE"""),"briana.pomasquiarce@2hourlearning.com")</f>
        <v>briana.pomasquiarce@2hourlearning.com</v>
      </c>
      <c r="L5356" s="6" t="str">
        <f>IFERROR(__xludf.DUMMYFUNCTION("""COMPUTED_VALUE"""),"JRES - Ridgeland Elementary School")</f>
        <v>JRES - Ridgeland Elementary School</v>
      </c>
      <c r="M5356" s="6" t="str">
        <f>IFERROR(__xludf.DUMMYFUNCTION("""COMPUTED_VALUE"""),"")</f>
        <v/>
      </c>
      <c r="N5356" s="6" t="str">
        <f>IFERROR(__xludf.DUMMYFUNCTION("""COMPUTED_VALUE"""),"")</f>
        <v/>
      </c>
      <c r="O5356" s="87" t="str">
        <f>IFERROR(__xludf.DUMMYFUNCTION("""COMPUTED_VALUE"""),"https://drive.google.com/drive/folders/10T2cTQHqEJZqE-st6uFKPoI?usp=share_link")</f>
        <v>https://drive.google.com/drive/folders/10T2cTQHqEJZqE-st6uFKPoI?usp=share_link</v>
      </c>
      <c r="P5356" s="6" t="str">
        <f>IFERROR(__xludf.DUMMYFUNCTION("""COMPUTED_VALUE"""),"Briana Pomasqui Arce")</f>
        <v>Briana Pomasqui Arce</v>
      </c>
      <c r="Q5356" s="6" t="str">
        <f>IFERROR(__xludf.DUMMYFUNCTION("""COMPUTED_VALUE"""),"L2")</f>
        <v>L2</v>
      </c>
      <c r="R5356" s="6">
        <f>IFERROR(__xludf.DUMMYFUNCTION("""COMPUTED_VALUE"""),2.0)</f>
        <v>2</v>
      </c>
      <c r="S5356" s="6" t="str">
        <f>IFERROR(__xludf.DUMMYFUNCTION("""COMPUTED_VALUE"""),"Kimberly Ball")</f>
        <v>Kimberly Ball</v>
      </c>
      <c r="T5356" s="6" t="str">
        <f>IFERROR(__xludf.DUMMYFUNCTION("""COMPUTED_VALUE"""),"kimberly.ball@studient.com")</f>
        <v>kimberly.ball@studient.com</v>
      </c>
      <c r="U5356" s="6" t="str">
        <f>IFERROR(__xludf.DUMMYFUNCTION("""COMPUTED_VALUE"""),"4")</f>
        <v>4</v>
      </c>
      <c r="V5356" s="6" t="str">
        <f>IFERROR(__xludf.DUMMYFUNCTION("""COMPUTED_VALUE"""),"")</f>
        <v/>
      </c>
      <c r="W5356" s="6" t="str">
        <f>IFERROR(__xludf.DUMMYFUNCTION("""COMPUTED_VALUE"""),"[]")</f>
        <v>[]</v>
      </c>
      <c r="X5356" s="6" t="str">
        <f>IFERROR(__xludf.DUMMYFUNCTION("""COMPUTED_VALUE"""),"Enrolled")</f>
        <v>Enrolled</v>
      </c>
    </row>
    <row r="5357">
      <c r="A5357" s="6" t="str">
        <f>IFERROR(__xludf.DUMMYFUNCTION("""COMPUTED_VALUE"""),"086-12748")</f>
        <v>086-12748</v>
      </c>
      <c r="B5357" s="6" t="str">
        <f>IFERROR(__xludf.DUMMYFUNCTION("""COMPUTED_VALUE"""),"86")</f>
        <v>86</v>
      </c>
      <c r="C5357" s="6" t="str">
        <f>IFERROR(__xludf.DUMMYFUNCTION("""COMPUTED_VALUE"""),"12748")</f>
        <v>12748</v>
      </c>
      <c r="D5357" s="6" t="str">
        <f>IFERROR(__xludf.DUMMYFUNCTION("""COMPUTED_VALUE"""),"Victor Alexander")</f>
        <v>Victor Alexander</v>
      </c>
      <c r="E5357" s="6" t="str">
        <f>IFERROR(__xludf.DUMMYFUNCTION("""COMPUTED_VALUE"""),"")</f>
        <v/>
      </c>
      <c r="F5357" s="6" t="str">
        <f>IFERROR(__xludf.DUMMYFUNCTION("""COMPUTED_VALUE"""),"Ramirez Nicolas")</f>
        <v>Ramirez Nicolas</v>
      </c>
      <c r="G5357" s="6" t="str">
        <f>IFERROR(__xludf.DUMMYFUNCTION("""COMPUTED_VALUE"""),"04/10/2016")</f>
        <v>04/10/2016</v>
      </c>
      <c r="H5357" s="6" t="str">
        <f>IFERROR(__xludf.DUMMYFUNCTION("""COMPUTED_VALUE"""),"male")</f>
        <v>male</v>
      </c>
      <c r="I5357" s="6" t="str">
        <f>IFERROR(__xludf.DUMMYFUNCTION("""COMPUTED_VALUE"""),"Level 2")</f>
        <v>Level 2</v>
      </c>
      <c r="J5357" s="6" t="str">
        <f>IFERROR(__xludf.DUMMYFUNCTION("""COMPUTED_VALUE"""),"4")</f>
        <v>4</v>
      </c>
      <c r="K5357" s="6" t="str">
        <f>IFERROR(__xludf.DUMMYFUNCTION("""COMPUTED_VALUE"""),"victoralexander.ramireznicolas@2hourlearning.com")</f>
        <v>victoralexander.ramireznicolas@2hourlearning.com</v>
      </c>
      <c r="L5357" s="6" t="str">
        <f>IFERROR(__xludf.DUMMYFUNCTION("""COMPUTED_VALUE"""),"JRES - Ridgeland Elementary School")</f>
        <v>JRES - Ridgeland Elementary School</v>
      </c>
      <c r="M5357" s="6" t="str">
        <f>IFERROR(__xludf.DUMMYFUNCTION("""COMPUTED_VALUE"""),"")</f>
        <v/>
      </c>
      <c r="N5357" s="6" t="str">
        <f>IFERROR(__xludf.DUMMYFUNCTION("""COMPUTED_VALUE"""),"")</f>
        <v/>
      </c>
      <c r="O5357" s="87" t="str">
        <f>IFERROR(__xludf.DUMMYFUNCTION("""COMPUTED_VALUE"""),"https://drive.google.com/drive/folders/10T2cTQHqEJZqE-st6uFKPoI?usp=share_link")</f>
        <v>https://drive.google.com/drive/folders/10T2cTQHqEJZqE-st6uFKPoI?usp=share_link</v>
      </c>
      <c r="P5357" s="6" t="str">
        <f>IFERROR(__xludf.DUMMYFUNCTION("""COMPUTED_VALUE"""),"Victor Alexander Ramirez Nicolas")</f>
        <v>Victor Alexander Ramirez Nicolas</v>
      </c>
      <c r="Q5357" s="6" t="str">
        <f>IFERROR(__xludf.DUMMYFUNCTION("""COMPUTED_VALUE"""),"L2")</f>
        <v>L2</v>
      </c>
      <c r="R5357" s="6">
        <f>IFERROR(__xludf.DUMMYFUNCTION("""COMPUTED_VALUE"""),2.0)</f>
        <v>2</v>
      </c>
      <c r="S5357" s="6" t="str">
        <f>IFERROR(__xludf.DUMMYFUNCTION("""COMPUTED_VALUE"""),"Kimberly Ball")</f>
        <v>Kimberly Ball</v>
      </c>
      <c r="T5357" s="6" t="str">
        <f>IFERROR(__xludf.DUMMYFUNCTION("""COMPUTED_VALUE"""),"kimberly.ball@studient.com")</f>
        <v>kimberly.ball@studient.com</v>
      </c>
      <c r="U5357" s="6" t="str">
        <f>IFERROR(__xludf.DUMMYFUNCTION("""COMPUTED_VALUE"""),"4")</f>
        <v>4</v>
      </c>
      <c r="V5357" s="6" t="str">
        <f>IFERROR(__xludf.DUMMYFUNCTION("""COMPUTED_VALUE"""),"")</f>
        <v/>
      </c>
      <c r="W5357" s="6" t="str">
        <f>IFERROR(__xludf.DUMMYFUNCTION("""COMPUTED_VALUE"""),"[]")</f>
        <v>[]</v>
      </c>
      <c r="X5357" s="6" t="str">
        <f>IFERROR(__xludf.DUMMYFUNCTION("""COMPUTED_VALUE"""),"Enrolled")</f>
        <v>Enrolled</v>
      </c>
    </row>
    <row r="5358">
      <c r="A5358" s="6" t="str">
        <f>IFERROR(__xludf.DUMMYFUNCTION("""COMPUTED_VALUE"""),"086-12749")</f>
        <v>086-12749</v>
      </c>
      <c r="B5358" s="6" t="str">
        <f>IFERROR(__xludf.DUMMYFUNCTION("""COMPUTED_VALUE"""),"86")</f>
        <v>86</v>
      </c>
      <c r="C5358" s="6" t="str">
        <f>IFERROR(__xludf.DUMMYFUNCTION("""COMPUTED_VALUE"""),"12749")</f>
        <v>12749</v>
      </c>
      <c r="D5358" s="6" t="str">
        <f>IFERROR(__xludf.DUMMYFUNCTION("""COMPUTED_VALUE"""),"Agustin")</f>
        <v>Agustin</v>
      </c>
      <c r="E5358" s="6" t="str">
        <f>IFERROR(__xludf.DUMMYFUNCTION("""COMPUTED_VALUE"""),"")</f>
        <v/>
      </c>
      <c r="F5358" s="6" t="str">
        <f>IFERROR(__xludf.DUMMYFUNCTION("""COMPUTED_VALUE"""),"Rancho Botzoc")</f>
        <v>Rancho Botzoc</v>
      </c>
      <c r="G5358" s="6" t="str">
        <f>IFERROR(__xludf.DUMMYFUNCTION("""COMPUTED_VALUE"""),"05/09/2016")</f>
        <v>05/09/2016</v>
      </c>
      <c r="H5358" s="6" t="str">
        <f>IFERROR(__xludf.DUMMYFUNCTION("""COMPUTED_VALUE"""),"male")</f>
        <v>male</v>
      </c>
      <c r="I5358" s="6" t="str">
        <f>IFERROR(__xludf.DUMMYFUNCTION("""COMPUTED_VALUE"""),"Level 2")</f>
        <v>Level 2</v>
      </c>
      <c r="J5358" s="6" t="str">
        <f>IFERROR(__xludf.DUMMYFUNCTION("""COMPUTED_VALUE"""),"4")</f>
        <v>4</v>
      </c>
      <c r="K5358" s="6" t="str">
        <f>IFERROR(__xludf.DUMMYFUNCTION("""COMPUTED_VALUE"""),"agustin.ranchobotzoc@2hourlearning.com")</f>
        <v>agustin.ranchobotzoc@2hourlearning.com</v>
      </c>
      <c r="L5358" s="6" t="str">
        <f>IFERROR(__xludf.DUMMYFUNCTION("""COMPUTED_VALUE"""),"JRES - Ridgeland Elementary School")</f>
        <v>JRES - Ridgeland Elementary School</v>
      </c>
      <c r="M5358" s="6" t="str">
        <f>IFERROR(__xludf.DUMMYFUNCTION("""COMPUTED_VALUE"""),"")</f>
        <v/>
      </c>
      <c r="N5358" s="6" t="str">
        <f>IFERROR(__xludf.DUMMYFUNCTION("""COMPUTED_VALUE"""),"")</f>
        <v/>
      </c>
      <c r="O5358" s="87" t="str">
        <f>IFERROR(__xludf.DUMMYFUNCTION("""COMPUTED_VALUE"""),"https://drive.google.com/drive/folders/10T2cTQHqEJZqE-st6uFKPoI?usp=share_link")</f>
        <v>https://drive.google.com/drive/folders/10T2cTQHqEJZqE-st6uFKPoI?usp=share_link</v>
      </c>
      <c r="P5358" s="6" t="str">
        <f>IFERROR(__xludf.DUMMYFUNCTION("""COMPUTED_VALUE"""),"Agustin Rancho Botzoc")</f>
        <v>Agustin Rancho Botzoc</v>
      </c>
      <c r="Q5358" s="6" t="str">
        <f>IFERROR(__xludf.DUMMYFUNCTION("""COMPUTED_VALUE"""),"L2")</f>
        <v>L2</v>
      </c>
      <c r="R5358" s="6">
        <f>IFERROR(__xludf.DUMMYFUNCTION("""COMPUTED_VALUE"""),2.0)</f>
        <v>2</v>
      </c>
      <c r="S5358" s="6" t="str">
        <f>IFERROR(__xludf.DUMMYFUNCTION("""COMPUTED_VALUE"""),"Kimberly Ball")</f>
        <v>Kimberly Ball</v>
      </c>
      <c r="T5358" s="6" t="str">
        <f>IFERROR(__xludf.DUMMYFUNCTION("""COMPUTED_VALUE"""),"kimberly.ball@studient.com")</f>
        <v>kimberly.ball@studient.com</v>
      </c>
      <c r="U5358" s="6" t="str">
        <f>IFERROR(__xludf.DUMMYFUNCTION("""COMPUTED_VALUE"""),"4")</f>
        <v>4</v>
      </c>
      <c r="V5358" s="6" t="str">
        <f>IFERROR(__xludf.DUMMYFUNCTION("""COMPUTED_VALUE"""),"")</f>
        <v/>
      </c>
      <c r="W5358" s="6" t="str">
        <f>IFERROR(__xludf.DUMMYFUNCTION("""COMPUTED_VALUE"""),"[]")</f>
        <v>[]</v>
      </c>
      <c r="X5358" s="6" t="str">
        <f>IFERROR(__xludf.DUMMYFUNCTION("""COMPUTED_VALUE"""),"Enrolled")</f>
        <v>Enrolled</v>
      </c>
    </row>
    <row r="5359">
      <c r="A5359" s="6" t="str">
        <f>IFERROR(__xludf.DUMMYFUNCTION("""COMPUTED_VALUE"""),"086-12750")</f>
        <v>086-12750</v>
      </c>
      <c r="B5359" s="6" t="str">
        <f>IFERROR(__xludf.DUMMYFUNCTION("""COMPUTED_VALUE"""),"86")</f>
        <v>86</v>
      </c>
      <c r="C5359" s="6" t="str">
        <f>IFERROR(__xludf.DUMMYFUNCTION("""COMPUTED_VALUE"""),"12750")</f>
        <v>12750</v>
      </c>
      <c r="D5359" s="6" t="str">
        <f>IFERROR(__xludf.DUMMYFUNCTION("""COMPUTED_VALUE"""),"Alexander")</f>
        <v>Alexander</v>
      </c>
      <c r="E5359" s="6" t="str">
        <f>IFERROR(__xludf.DUMMYFUNCTION("""COMPUTED_VALUE"""),"")</f>
        <v/>
      </c>
      <c r="F5359" s="6" t="str">
        <f>IFERROR(__xludf.DUMMYFUNCTION("""COMPUTED_VALUE"""),"Reyes Piedra")</f>
        <v>Reyes Piedra</v>
      </c>
      <c r="G5359" s="6" t="str">
        <f>IFERROR(__xludf.DUMMYFUNCTION("""COMPUTED_VALUE"""),"05/23/2015")</f>
        <v>05/23/2015</v>
      </c>
      <c r="H5359" s="6" t="str">
        <f>IFERROR(__xludf.DUMMYFUNCTION("""COMPUTED_VALUE"""),"male")</f>
        <v>male</v>
      </c>
      <c r="I5359" s="6" t="str">
        <f>IFERROR(__xludf.DUMMYFUNCTION("""COMPUTED_VALUE"""),"Level 2")</f>
        <v>Level 2</v>
      </c>
      <c r="J5359" s="6" t="str">
        <f>IFERROR(__xludf.DUMMYFUNCTION("""COMPUTED_VALUE"""),"4")</f>
        <v>4</v>
      </c>
      <c r="K5359" s="6" t="str">
        <f>IFERROR(__xludf.DUMMYFUNCTION("""COMPUTED_VALUE"""),"alexander.reyespiedra@2hourlearning.com")</f>
        <v>alexander.reyespiedra@2hourlearning.com</v>
      </c>
      <c r="L5359" s="6" t="str">
        <f>IFERROR(__xludf.DUMMYFUNCTION("""COMPUTED_VALUE"""),"JRES - Ridgeland Elementary School")</f>
        <v>JRES - Ridgeland Elementary School</v>
      </c>
      <c r="M5359" s="6" t="str">
        <f>IFERROR(__xludf.DUMMYFUNCTION("""COMPUTED_VALUE"""),"")</f>
        <v/>
      </c>
      <c r="N5359" s="6" t="str">
        <f>IFERROR(__xludf.DUMMYFUNCTION("""COMPUTED_VALUE"""),"")</f>
        <v/>
      </c>
      <c r="O5359" s="87" t="str">
        <f>IFERROR(__xludf.DUMMYFUNCTION("""COMPUTED_VALUE"""),"https://drive.google.com/drive/folders/10T2cTQHqEJZqE-st6uFKPoI?usp=share_link")</f>
        <v>https://drive.google.com/drive/folders/10T2cTQHqEJZqE-st6uFKPoI?usp=share_link</v>
      </c>
      <c r="P5359" s="6" t="str">
        <f>IFERROR(__xludf.DUMMYFUNCTION("""COMPUTED_VALUE"""),"Alexander Reyes Piedra")</f>
        <v>Alexander Reyes Piedra</v>
      </c>
      <c r="Q5359" s="6" t="str">
        <f>IFERROR(__xludf.DUMMYFUNCTION("""COMPUTED_VALUE"""),"L2")</f>
        <v>L2</v>
      </c>
      <c r="R5359" s="6">
        <f>IFERROR(__xludf.DUMMYFUNCTION("""COMPUTED_VALUE"""),2.0)</f>
        <v>2</v>
      </c>
      <c r="S5359" s="6" t="str">
        <f>IFERROR(__xludf.DUMMYFUNCTION("""COMPUTED_VALUE"""),"Kimberly Ball")</f>
        <v>Kimberly Ball</v>
      </c>
      <c r="T5359" s="6" t="str">
        <f>IFERROR(__xludf.DUMMYFUNCTION("""COMPUTED_VALUE"""),"kimberly.ball@studient.com")</f>
        <v>kimberly.ball@studient.com</v>
      </c>
      <c r="U5359" s="6" t="str">
        <f>IFERROR(__xludf.DUMMYFUNCTION("""COMPUTED_VALUE"""),"4")</f>
        <v>4</v>
      </c>
      <c r="V5359" s="6" t="str">
        <f>IFERROR(__xludf.DUMMYFUNCTION("""COMPUTED_VALUE"""),"")</f>
        <v/>
      </c>
      <c r="W5359" s="6" t="str">
        <f>IFERROR(__xludf.DUMMYFUNCTION("""COMPUTED_VALUE"""),"[]")</f>
        <v>[]</v>
      </c>
      <c r="X5359" s="6" t="str">
        <f>IFERROR(__xludf.DUMMYFUNCTION("""COMPUTED_VALUE"""),"Enrolled")</f>
        <v>Enrolled</v>
      </c>
    </row>
    <row r="5360">
      <c r="A5360" s="6" t="str">
        <f>IFERROR(__xludf.DUMMYFUNCTION("""COMPUTED_VALUE"""),"086-12751")</f>
        <v>086-12751</v>
      </c>
      <c r="B5360" s="6" t="str">
        <f>IFERROR(__xludf.DUMMYFUNCTION("""COMPUTED_VALUE"""),"86")</f>
        <v>86</v>
      </c>
      <c r="C5360" s="6" t="str">
        <f>IFERROR(__xludf.DUMMYFUNCTION("""COMPUTED_VALUE"""),"12751")</f>
        <v>12751</v>
      </c>
      <c r="D5360" s="6" t="str">
        <f>IFERROR(__xludf.DUMMYFUNCTION("""COMPUTED_VALUE"""),"Ethan")</f>
        <v>Ethan</v>
      </c>
      <c r="E5360" s="6" t="str">
        <f>IFERROR(__xludf.DUMMYFUNCTION("""COMPUTED_VALUE"""),"")</f>
        <v/>
      </c>
      <c r="F5360" s="6" t="str">
        <f>IFERROR(__xludf.DUMMYFUNCTION("""COMPUTED_VALUE"""),"Rivera")</f>
        <v>Rivera</v>
      </c>
      <c r="G5360" s="6" t="str">
        <f>IFERROR(__xludf.DUMMYFUNCTION("""COMPUTED_VALUE"""),"10/19/2016")</f>
        <v>10/19/2016</v>
      </c>
      <c r="H5360" s="6" t="str">
        <f>IFERROR(__xludf.DUMMYFUNCTION("""COMPUTED_VALUE"""),"female")</f>
        <v>female</v>
      </c>
      <c r="I5360" s="6" t="str">
        <f>IFERROR(__xludf.DUMMYFUNCTION("""COMPUTED_VALUE"""),"Level 2")</f>
        <v>Level 2</v>
      </c>
      <c r="J5360" s="6" t="str">
        <f>IFERROR(__xludf.DUMMYFUNCTION("""COMPUTED_VALUE"""),"4")</f>
        <v>4</v>
      </c>
      <c r="K5360" s="6" t="str">
        <f>IFERROR(__xludf.DUMMYFUNCTION("""COMPUTED_VALUE"""),"ethan.rivera@2hourlearning.com")</f>
        <v>ethan.rivera@2hourlearning.com</v>
      </c>
      <c r="L5360" s="6" t="str">
        <f>IFERROR(__xludf.DUMMYFUNCTION("""COMPUTED_VALUE"""),"JRES - Ridgeland Elementary School")</f>
        <v>JRES - Ridgeland Elementary School</v>
      </c>
      <c r="M5360" s="6" t="str">
        <f>IFERROR(__xludf.DUMMYFUNCTION("""COMPUTED_VALUE"""),"")</f>
        <v/>
      </c>
      <c r="N5360" s="6" t="str">
        <f>IFERROR(__xludf.DUMMYFUNCTION("""COMPUTED_VALUE"""),"")</f>
        <v/>
      </c>
      <c r="O5360" s="87" t="str">
        <f>IFERROR(__xludf.DUMMYFUNCTION("""COMPUTED_VALUE"""),"https://drive.google.com/drive/folders/10T2cTQHqEJZqE-st6uFKPoI?usp=share_link")</f>
        <v>https://drive.google.com/drive/folders/10T2cTQHqEJZqE-st6uFKPoI?usp=share_link</v>
      </c>
      <c r="P5360" s="6" t="str">
        <f>IFERROR(__xludf.DUMMYFUNCTION("""COMPUTED_VALUE"""),"Ethan Rivera")</f>
        <v>Ethan Rivera</v>
      </c>
      <c r="Q5360" s="6" t="str">
        <f>IFERROR(__xludf.DUMMYFUNCTION("""COMPUTED_VALUE"""),"L2")</f>
        <v>L2</v>
      </c>
      <c r="R5360" s="6">
        <f>IFERROR(__xludf.DUMMYFUNCTION("""COMPUTED_VALUE"""),2.0)</f>
        <v>2</v>
      </c>
      <c r="S5360" s="6" t="str">
        <f>IFERROR(__xludf.DUMMYFUNCTION("""COMPUTED_VALUE"""),"Kimberly Ball")</f>
        <v>Kimberly Ball</v>
      </c>
      <c r="T5360" s="6" t="str">
        <f>IFERROR(__xludf.DUMMYFUNCTION("""COMPUTED_VALUE"""),"kimberly.ball@studient.com")</f>
        <v>kimberly.ball@studient.com</v>
      </c>
      <c r="U5360" s="6" t="str">
        <f>IFERROR(__xludf.DUMMYFUNCTION("""COMPUTED_VALUE"""),"4")</f>
        <v>4</v>
      </c>
      <c r="V5360" s="6" t="str">
        <f>IFERROR(__xludf.DUMMYFUNCTION("""COMPUTED_VALUE"""),"")</f>
        <v/>
      </c>
      <c r="W5360" s="6" t="str">
        <f>IFERROR(__xludf.DUMMYFUNCTION("""COMPUTED_VALUE"""),"[]")</f>
        <v>[]</v>
      </c>
      <c r="X5360" s="6" t="str">
        <f>IFERROR(__xludf.DUMMYFUNCTION("""COMPUTED_VALUE"""),"Enrolled")</f>
        <v>Enrolled</v>
      </c>
    </row>
    <row r="5361">
      <c r="A5361" s="6" t="str">
        <f>IFERROR(__xludf.DUMMYFUNCTION("""COMPUTED_VALUE"""),"086-12752")</f>
        <v>086-12752</v>
      </c>
      <c r="B5361" s="6" t="str">
        <f>IFERROR(__xludf.DUMMYFUNCTION("""COMPUTED_VALUE"""),"86")</f>
        <v>86</v>
      </c>
      <c r="C5361" s="6" t="str">
        <f>IFERROR(__xludf.DUMMYFUNCTION("""COMPUTED_VALUE"""),"12752")</f>
        <v>12752</v>
      </c>
      <c r="D5361" s="6" t="str">
        <f>IFERROR(__xludf.DUMMYFUNCTION("""COMPUTED_VALUE"""),"Simone'")</f>
        <v>Simone'</v>
      </c>
      <c r="E5361" s="6" t="str">
        <f>IFERROR(__xludf.DUMMYFUNCTION("""COMPUTED_VALUE"""),"")</f>
        <v/>
      </c>
      <c r="F5361" s="6" t="str">
        <f>IFERROR(__xludf.DUMMYFUNCTION("""COMPUTED_VALUE"""),"Robinson")</f>
        <v>Robinson</v>
      </c>
      <c r="G5361" s="6" t="str">
        <f>IFERROR(__xludf.DUMMYFUNCTION("""COMPUTED_VALUE"""),"12/16/2017")</f>
        <v>12/16/2017</v>
      </c>
      <c r="H5361" s="6" t="str">
        <f>IFERROR(__xludf.DUMMYFUNCTION("""COMPUTED_VALUE"""),"male")</f>
        <v>male</v>
      </c>
      <c r="I5361" s="6" t="str">
        <f>IFERROR(__xludf.DUMMYFUNCTION("""COMPUTED_VALUE"""),"Level 2")</f>
        <v>Level 2</v>
      </c>
      <c r="J5361" s="6" t="str">
        <f>IFERROR(__xludf.DUMMYFUNCTION("""COMPUTED_VALUE"""),"4")</f>
        <v>4</v>
      </c>
      <c r="K5361" s="6" t="str">
        <f>IFERROR(__xludf.DUMMYFUNCTION("""COMPUTED_VALUE"""),"simone.robinson@2hourlearning.com")</f>
        <v>simone.robinson@2hourlearning.com</v>
      </c>
      <c r="L5361" s="6" t="str">
        <f>IFERROR(__xludf.DUMMYFUNCTION("""COMPUTED_VALUE"""),"JRES - Ridgeland Elementary School")</f>
        <v>JRES - Ridgeland Elementary School</v>
      </c>
      <c r="M5361" s="6" t="str">
        <f>IFERROR(__xludf.DUMMYFUNCTION("""COMPUTED_VALUE"""),"")</f>
        <v/>
      </c>
      <c r="N5361" s="6" t="str">
        <f>IFERROR(__xludf.DUMMYFUNCTION("""COMPUTED_VALUE"""),"")</f>
        <v/>
      </c>
      <c r="O5361" s="87" t="str">
        <f>IFERROR(__xludf.DUMMYFUNCTION("""COMPUTED_VALUE"""),"https://drive.google.com/drive/folders/10T2cTQHqEJZqE-st6uFKPoI?usp=share_link")</f>
        <v>https://drive.google.com/drive/folders/10T2cTQHqEJZqE-st6uFKPoI?usp=share_link</v>
      </c>
      <c r="P5361" s="6" t="str">
        <f>IFERROR(__xludf.DUMMYFUNCTION("""COMPUTED_VALUE"""),"Simone' Robinson")</f>
        <v>Simone' Robinson</v>
      </c>
      <c r="Q5361" s="6" t="str">
        <f>IFERROR(__xludf.DUMMYFUNCTION("""COMPUTED_VALUE"""),"L2")</f>
        <v>L2</v>
      </c>
      <c r="R5361" s="6">
        <f>IFERROR(__xludf.DUMMYFUNCTION("""COMPUTED_VALUE"""),2.0)</f>
        <v>2</v>
      </c>
      <c r="S5361" s="6" t="str">
        <f>IFERROR(__xludf.DUMMYFUNCTION("""COMPUTED_VALUE"""),"Kimberly Ball")</f>
        <v>Kimberly Ball</v>
      </c>
      <c r="T5361" s="6" t="str">
        <f>IFERROR(__xludf.DUMMYFUNCTION("""COMPUTED_VALUE"""),"kimberly.ball@studient.com")</f>
        <v>kimberly.ball@studient.com</v>
      </c>
      <c r="U5361" s="6" t="str">
        <f>IFERROR(__xludf.DUMMYFUNCTION("""COMPUTED_VALUE"""),"4")</f>
        <v>4</v>
      </c>
      <c r="V5361" s="6" t="str">
        <f>IFERROR(__xludf.DUMMYFUNCTION("""COMPUTED_VALUE"""),"")</f>
        <v/>
      </c>
      <c r="W5361" s="6" t="str">
        <f>IFERROR(__xludf.DUMMYFUNCTION("""COMPUTED_VALUE"""),"[]")</f>
        <v>[]</v>
      </c>
      <c r="X5361" s="6" t="str">
        <f>IFERROR(__xludf.DUMMYFUNCTION("""COMPUTED_VALUE"""),"Enrolled")</f>
        <v>Enrolled</v>
      </c>
    </row>
    <row r="5362">
      <c r="A5362" s="6" t="str">
        <f>IFERROR(__xludf.DUMMYFUNCTION("""COMPUTED_VALUE"""),"086-12753")</f>
        <v>086-12753</v>
      </c>
      <c r="B5362" s="6" t="str">
        <f>IFERROR(__xludf.DUMMYFUNCTION("""COMPUTED_VALUE"""),"86")</f>
        <v>86</v>
      </c>
      <c r="C5362" s="6" t="str">
        <f>IFERROR(__xludf.DUMMYFUNCTION("""COMPUTED_VALUE"""),"12753")</f>
        <v>12753</v>
      </c>
      <c r="D5362" s="6" t="str">
        <f>IFERROR(__xludf.DUMMYFUNCTION("""COMPUTED_VALUE"""),"Joaquin")</f>
        <v>Joaquin</v>
      </c>
      <c r="E5362" s="6" t="str">
        <f>IFERROR(__xludf.DUMMYFUNCTION("""COMPUTED_VALUE"""),"")</f>
        <v/>
      </c>
      <c r="F5362" s="6" t="str">
        <f>IFERROR(__xludf.DUMMYFUNCTION("""COMPUTED_VALUE"""),"Rodriguez Huerta")</f>
        <v>Rodriguez Huerta</v>
      </c>
      <c r="G5362" s="6" t="str">
        <f>IFERROR(__xludf.DUMMYFUNCTION("""COMPUTED_VALUE"""),"11/27/2014")</f>
        <v>11/27/2014</v>
      </c>
      <c r="H5362" s="6" t="str">
        <f>IFERROR(__xludf.DUMMYFUNCTION("""COMPUTED_VALUE"""),"female")</f>
        <v>female</v>
      </c>
      <c r="I5362" s="6" t="str">
        <f>IFERROR(__xludf.DUMMYFUNCTION("""COMPUTED_VALUE"""),"Level 2")</f>
        <v>Level 2</v>
      </c>
      <c r="J5362" s="6" t="str">
        <f>IFERROR(__xludf.DUMMYFUNCTION("""COMPUTED_VALUE"""),"4")</f>
        <v>4</v>
      </c>
      <c r="K5362" s="6" t="str">
        <f>IFERROR(__xludf.DUMMYFUNCTION("""COMPUTED_VALUE"""),"joaquin.rodriguezhuerta@2hourlearning.com")</f>
        <v>joaquin.rodriguezhuerta@2hourlearning.com</v>
      </c>
      <c r="L5362" s="6" t="str">
        <f>IFERROR(__xludf.DUMMYFUNCTION("""COMPUTED_VALUE"""),"JRES - Ridgeland Elementary School")</f>
        <v>JRES - Ridgeland Elementary School</v>
      </c>
      <c r="M5362" s="6" t="str">
        <f>IFERROR(__xludf.DUMMYFUNCTION("""COMPUTED_VALUE"""),"")</f>
        <v/>
      </c>
      <c r="N5362" s="6" t="str">
        <f>IFERROR(__xludf.DUMMYFUNCTION("""COMPUTED_VALUE"""),"")</f>
        <v/>
      </c>
      <c r="O5362" s="87" t="str">
        <f>IFERROR(__xludf.DUMMYFUNCTION("""COMPUTED_VALUE"""),"https://drive.google.com/drive/folders/10T2cTQHqEJZqE-st6uFKPoI?usp=share_link")</f>
        <v>https://drive.google.com/drive/folders/10T2cTQHqEJZqE-st6uFKPoI?usp=share_link</v>
      </c>
      <c r="P5362" s="6" t="str">
        <f>IFERROR(__xludf.DUMMYFUNCTION("""COMPUTED_VALUE"""),"Joaquin Rodriguez Huerta")</f>
        <v>Joaquin Rodriguez Huerta</v>
      </c>
      <c r="Q5362" s="6" t="str">
        <f>IFERROR(__xludf.DUMMYFUNCTION("""COMPUTED_VALUE"""),"L2")</f>
        <v>L2</v>
      </c>
      <c r="R5362" s="6">
        <f>IFERROR(__xludf.DUMMYFUNCTION("""COMPUTED_VALUE"""),2.0)</f>
        <v>2</v>
      </c>
      <c r="S5362" s="6" t="str">
        <f>IFERROR(__xludf.DUMMYFUNCTION("""COMPUTED_VALUE"""),"Kimberly Ball")</f>
        <v>Kimberly Ball</v>
      </c>
      <c r="T5362" s="6" t="str">
        <f>IFERROR(__xludf.DUMMYFUNCTION("""COMPUTED_VALUE"""),"kimberly.ball@studient.com")</f>
        <v>kimberly.ball@studient.com</v>
      </c>
      <c r="U5362" s="6" t="str">
        <f>IFERROR(__xludf.DUMMYFUNCTION("""COMPUTED_VALUE"""),"4")</f>
        <v>4</v>
      </c>
      <c r="V5362" s="6" t="str">
        <f>IFERROR(__xludf.DUMMYFUNCTION("""COMPUTED_VALUE"""),"")</f>
        <v/>
      </c>
      <c r="W5362" s="6" t="str">
        <f>IFERROR(__xludf.DUMMYFUNCTION("""COMPUTED_VALUE"""),"[]")</f>
        <v>[]</v>
      </c>
      <c r="X5362" s="6" t="str">
        <f>IFERROR(__xludf.DUMMYFUNCTION("""COMPUTED_VALUE"""),"Enrolled")</f>
        <v>Enrolled</v>
      </c>
    </row>
    <row r="5363">
      <c r="A5363" s="6" t="str">
        <f>IFERROR(__xludf.DUMMYFUNCTION("""COMPUTED_VALUE"""),"086-12754")</f>
        <v>086-12754</v>
      </c>
      <c r="B5363" s="6" t="str">
        <f>IFERROR(__xludf.DUMMYFUNCTION("""COMPUTED_VALUE"""),"86")</f>
        <v>86</v>
      </c>
      <c r="C5363" s="6" t="str">
        <f>IFERROR(__xludf.DUMMYFUNCTION("""COMPUTED_VALUE"""),"12754")</f>
        <v>12754</v>
      </c>
      <c r="D5363" s="6" t="str">
        <f>IFERROR(__xludf.DUMMYFUNCTION("""COMPUTED_VALUE"""),"Miracle")</f>
        <v>Miracle</v>
      </c>
      <c r="E5363" s="6" t="str">
        <f>IFERROR(__xludf.DUMMYFUNCTION("""COMPUTED_VALUE"""),"")</f>
        <v/>
      </c>
      <c r="F5363" s="6" t="str">
        <f>IFERROR(__xludf.DUMMYFUNCTION("""COMPUTED_VALUE"""),"Rojas")</f>
        <v>Rojas</v>
      </c>
      <c r="G5363" s="6" t="str">
        <f>IFERROR(__xludf.DUMMYFUNCTION("""COMPUTED_VALUE"""),"06/13/2015")</f>
        <v>06/13/2015</v>
      </c>
      <c r="H5363" s="6" t="str">
        <f>IFERROR(__xludf.DUMMYFUNCTION("""COMPUTED_VALUE"""),"female")</f>
        <v>female</v>
      </c>
      <c r="I5363" s="6" t="str">
        <f>IFERROR(__xludf.DUMMYFUNCTION("""COMPUTED_VALUE"""),"Level 2")</f>
        <v>Level 2</v>
      </c>
      <c r="J5363" s="6" t="str">
        <f>IFERROR(__xludf.DUMMYFUNCTION("""COMPUTED_VALUE"""),"4")</f>
        <v>4</v>
      </c>
      <c r="K5363" s="6" t="str">
        <f>IFERROR(__xludf.DUMMYFUNCTION("""COMPUTED_VALUE"""),"miracle.rojas@2hourlearning.com")</f>
        <v>miracle.rojas@2hourlearning.com</v>
      </c>
      <c r="L5363" s="6" t="str">
        <f>IFERROR(__xludf.DUMMYFUNCTION("""COMPUTED_VALUE"""),"JRES - Ridgeland Elementary School")</f>
        <v>JRES - Ridgeland Elementary School</v>
      </c>
      <c r="M5363" s="6" t="str">
        <f>IFERROR(__xludf.DUMMYFUNCTION("""COMPUTED_VALUE"""),"")</f>
        <v/>
      </c>
      <c r="N5363" s="6" t="str">
        <f>IFERROR(__xludf.DUMMYFUNCTION("""COMPUTED_VALUE"""),"")</f>
        <v/>
      </c>
      <c r="O5363" s="87" t="str">
        <f>IFERROR(__xludf.DUMMYFUNCTION("""COMPUTED_VALUE"""),"https://drive.google.com/drive/folders/10T2cTQHqEJZqE-st6uFKPoI?usp=share_link")</f>
        <v>https://drive.google.com/drive/folders/10T2cTQHqEJZqE-st6uFKPoI?usp=share_link</v>
      </c>
      <c r="P5363" s="6" t="str">
        <f>IFERROR(__xludf.DUMMYFUNCTION("""COMPUTED_VALUE"""),"Miracle Rojas")</f>
        <v>Miracle Rojas</v>
      </c>
      <c r="Q5363" s="6" t="str">
        <f>IFERROR(__xludf.DUMMYFUNCTION("""COMPUTED_VALUE"""),"L2")</f>
        <v>L2</v>
      </c>
      <c r="R5363" s="6">
        <f>IFERROR(__xludf.DUMMYFUNCTION("""COMPUTED_VALUE"""),2.0)</f>
        <v>2</v>
      </c>
      <c r="S5363" s="6" t="str">
        <f>IFERROR(__xludf.DUMMYFUNCTION("""COMPUTED_VALUE"""),"Kimberly Ball")</f>
        <v>Kimberly Ball</v>
      </c>
      <c r="T5363" s="6" t="str">
        <f>IFERROR(__xludf.DUMMYFUNCTION("""COMPUTED_VALUE"""),"kimberly.ball@studient.com")</f>
        <v>kimberly.ball@studient.com</v>
      </c>
      <c r="U5363" s="6" t="str">
        <f>IFERROR(__xludf.DUMMYFUNCTION("""COMPUTED_VALUE"""),"4")</f>
        <v>4</v>
      </c>
      <c r="V5363" s="6" t="str">
        <f>IFERROR(__xludf.DUMMYFUNCTION("""COMPUTED_VALUE"""),"")</f>
        <v/>
      </c>
      <c r="W5363" s="6" t="str">
        <f>IFERROR(__xludf.DUMMYFUNCTION("""COMPUTED_VALUE"""),"[]")</f>
        <v>[]</v>
      </c>
      <c r="X5363" s="6" t="str">
        <f>IFERROR(__xludf.DUMMYFUNCTION("""COMPUTED_VALUE"""),"Enrolled")</f>
        <v>Enrolled</v>
      </c>
    </row>
    <row r="5364">
      <c r="A5364" s="6" t="str">
        <f>IFERROR(__xludf.DUMMYFUNCTION("""COMPUTED_VALUE"""),"086-12755")</f>
        <v>086-12755</v>
      </c>
      <c r="B5364" s="6" t="str">
        <f>IFERROR(__xludf.DUMMYFUNCTION("""COMPUTED_VALUE"""),"86")</f>
        <v>86</v>
      </c>
      <c r="C5364" s="6" t="str">
        <f>IFERROR(__xludf.DUMMYFUNCTION("""COMPUTED_VALUE"""),"12755")</f>
        <v>12755</v>
      </c>
      <c r="D5364" s="6" t="str">
        <f>IFERROR(__xludf.DUMMYFUNCTION("""COMPUTED_VALUE"""),"Dana")</f>
        <v>Dana</v>
      </c>
      <c r="E5364" s="6" t="str">
        <f>IFERROR(__xludf.DUMMYFUNCTION("""COMPUTED_VALUE"""),"")</f>
        <v/>
      </c>
      <c r="F5364" s="6" t="str">
        <f>IFERROR(__xludf.DUMMYFUNCTION("""COMPUTED_VALUE"""),"Rojas Cisneros")</f>
        <v>Rojas Cisneros</v>
      </c>
      <c r="G5364" s="6" t="str">
        <f>IFERROR(__xludf.DUMMYFUNCTION("""COMPUTED_VALUE"""),"01/05/2016")</f>
        <v>01/05/2016</v>
      </c>
      <c r="H5364" s="6" t="str">
        <f>IFERROR(__xludf.DUMMYFUNCTION("""COMPUTED_VALUE"""),"female")</f>
        <v>female</v>
      </c>
      <c r="I5364" s="6" t="str">
        <f>IFERROR(__xludf.DUMMYFUNCTION("""COMPUTED_VALUE"""),"Level 2")</f>
        <v>Level 2</v>
      </c>
      <c r="J5364" s="6" t="str">
        <f>IFERROR(__xludf.DUMMYFUNCTION("""COMPUTED_VALUE"""),"4")</f>
        <v>4</v>
      </c>
      <c r="K5364" s="6" t="str">
        <f>IFERROR(__xludf.DUMMYFUNCTION("""COMPUTED_VALUE"""),"dana.rojascisneros@2hourlearning.com")</f>
        <v>dana.rojascisneros@2hourlearning.com</v>
      </c>
      <c r="L5364" s="6" t="str">
        <f>IFERROR(__xludf.DUMMYFUNCTION("""COMPUTED_VALUE"""),"JRES - Ridgeland Elementary School")</f>
        <v>JRES - Ridgeland Elementary School</v>
      </c>
      <c r="M5364" s="6" t="str">
        <f>IFERROR(__xludf.DUMMYFUNCTION("""COMPUTED_VALUE"""),"")</f>
        <v/>
      </c>
      <c r="N5364" s="6" t="str">
        <f>IFERROR(__xludf.DUMMYFUNCTION("""COMPUTED_VALUE"""),"")</f>
        <v/>
      </c>
      <c r="O5364" s="87" t="str">
        <f>IFERROR(__xludf.DUMMYFUNCTION("""COMPUTED_VALUE"""),"https://drive.google.com/drive/folders/10T2cTQHqEJZqE-st6uFKPoI?usp=share_link")</f>
        <v>https://drive.google.com/drive/folders/10T2cTQHqEJZqE-st6uFKPoI?usp=share_link</v>
      </c>
      <c r="P5364" s="6" t="str">
        <f>IFERROR(__xludf.DUMMYFUNCTION("""COMPUTED_VALUE"""),"Dana Rojas Cisneros")</f>
        <v>Dana Rojas Cisneros</v>
      </c>
      <c r="Q5364" s="6" t="str">
        <f>IFERROR(__xludf.DUMMYFUNCTION("""COMPUTED_VALUE"""),"L2")</f>
        <v>L2</v>
      </c>
      <c r="R5364" s="6">
        <f>IFERROR(__xludf.DUMMYFUNCTION("""COMPUTED_VALUE"""),2.0)</f>
        <v>2</v>
      </c>
      <c r="S5364" s="6" t="str">
        <f>IFERROR(__xludf.DUMMYFUNCTION("""COMPUTED_VALUE"""),"Kimberly Ball")</f>
        <v>Kimberly Ball</v>
      </c>
      <c r="T5364" s="6" t="str">
        <f>IFERROR(__xludf.DUMMYFUNCTION("""COMPUTED_VALUE"""),"kimberly.ball@studient.com")</f>
        <v>kimberly.ball@studient.com</v>
      </c>
      <c r="U5364" s="6" t="str">
        <f>IFERROR(__xludf.DUMMYFUNCTION("""COMPUTED_VALUE"""),"4")</f>
        <v>4</v>
      </c>
      <c r="V5364" s="6" t="str">
        <f>IFERROR(__xludf.DUMMYFUNCTION("""COMPUTED_VALUE"""),"")</f>
        <v/>
      </c>
      <c r="W5364" s="6" t="str">
        <f>IFERROR(__xludf.DUMMYFUNCTION("""COMPUTED_VALUE"""),"[]")</f>
        <v>[]</v>
      </c>
      <c r="X5364" s="6" t="str">
        <f>IFERROR(__xludf.DUMMYFUNCTION("""COMPUTED_VALUE"""),"Enrolled")</f>
        <v>Enrolled</v>
      </c>
    </row>
    <row r="5365">
      <c r="A5365" s="6" t="str">
        <f>IFERROR(__xludf.DUMMYFUNCTION("""COMPUTED_VALUE"""),"086-12756")</f>
        <v>086-12756</v>
      </c>
      <c r="B5365" s="6" t="str">
        <f>IFERROR(__xludf.DUMMYFUNCTION("""COMPUTED_VALUE"""),"86")</f>
        <v>86</v>
      </c>
      <c r="C5365" s="6" t="str">
        <f>IFERROR(__xludf.DUMMYFUNCTION("""COMPUTED_VALUE"""),"12756")</f>
        <v>12756</v>
      </c>
      <c r="D5365" s="6" t="str">
        <f>IFERROR(__xludf.DUMMYFUNCTION("""COMPUTED_VALUE"""),"Jaquinne")</f>
        <v>Jaquinne</v>
      </c>
      <c r="E5365" s="6" t="str">
        <f>IFERROR(__xludf.DUMMYFUNCTION("""COMPUTED_VALUE"""),"")</f>
        <v/>
      </c>
      <c r="F5365" s="6" t="str">
        <f>IFERROR(__xludf.DUMMYFUNCTION("""COMPUTED_VALUE"""),"Ryans")</f>
        <v>Ryans</v>
      </c>
      <c r="G5365" s="6" t="str">
        <f>IFERROR(__xludf.DUMMYFUNCTION("""COMPUTED_VALUE"""),"05/21/2015")</f>
        <v>05/21/2015</v>
      </c>
      <c r="H5365" s="6" t="str">
        <f>IFERROR(__xludf.DUMMYFUNCTION("""COMPUTED_VALUE"""),"male")</f>
        <v>male</v>
      </c>
      <c r="I5365" s="6" t="str">
        <f>IFERROR(__xludf.DUMMYFUNCTION("""COMPUTED_VALUE"""),"Level 2")</f>
        <v>Level 2</v>
      </c>
      <c r="J5365" s="6" t="str">
        <f>IFERROR(__xludf.DUMMYFUNCTION("""COMPUTED_VALUE"""),"4")</f>
        <v>4</v>
      </c>
      <c r="K5365" s="6" t="str">
        <f>IFERROR(__xludf.DUMMYFUNCTION("""COMPUTED_VALUE"""),"jaquinne.ryans@2hourlearning.com")</f>
        <v>jaquinne.ryans@2hourlearning.com</v>
      </c>
      <c r="L5365" s="6" t="str">
        <f>IFERROR(__xludf.DUMMYFUNCTION("""COMPUTED_VALUE"""),"JRES - Ridgeland Elementary School")</f>
        <v>JRES - Ridgeland Elementary School</v>
      </c>
      <c r="M5365" s="6" t="str">
        <f>IFERROR(__xludf.DUMMYFUNCTION("""COMPUTED_VALUE"""),"")</f>
        <v/>
      </c>
      <c r="N5365" s="6" t="str">
        <f>IFERROR(__xludf.DUMMYFUNCTION("""COMPUTED_VALUE"""),"")</f>
        <v/>
      </c>
      <c r="O5365" s="87" t="str">
        <f>IFERROR(__xludf.DUMMYFUNCTION("""COMPUTED_VALUE"""),"https://drive.google.com/drive/folders/10T2cTQHqEJZqE-st6uFKPoI?usp=share_link")</f>
        <v>https://drive.google.com/drive/folders/10T2cTQHqEJZqE-st6uFKPoI?usp=share_link</v>
      </c>
      <c r="P5365" s="6" t="str">
        <f>IFERROR(__xludf.DUMMYFUNCTION("""COMPUTED_VALUE"""),"Jaquinne Ryans")</f>
        <v>Jaquinne Ryans</v>
      </c>
      <c r="Q5365" s="6" t="str">
        <f>IFERROR(__xludf.DUMMYFUNCTION("""COMPUTED_VALUE"""),"L2")</f>
        <v>L2</v>
      </c>
      <c r="R5365" s="6">
        <f>IFERROR(__xludf.DUMMYFUNCTION("""COMPUTED_VALUE"""),2.0)</f>
        <v>2</v>
      </c>
      <c r="S5365" s="6" t="str">
        <f>IFERROR(__xludf.DUMMYFUNCTION("""COMPUTED_VALUE"""),"Kimberly Ball")</f>
        <v>Kimberly Ball</v>
      </c>
      <c r="T5365" s="6" t="str">
        <f>IFERROR(__xludf.DUMMYFUNCTION("""COMPUTED_VALUE"""),"kimberly.ball@studient.com")</f>
        <v>kimberly.ball@studient.com</v>
      </c>
      <c r="U5365" s="6" t="str">
        <f>IFERROR(__xludf.DUMMYFUNCTION("""COMPUTED_VALUE"""),"4")</f>
        <v>4</v>
      </c>
      <c r="V5365" s="6" t="str">
        <f>IFERROR(__xludf.DUMMYFUNCTION("""COMPUTED_VALUE"""),"")</f>
        <v/>
      </c>
      <c r="W5365" s="6" t="str">
        <f>IFERROR(__xludf.DUMMYFUNCTION("""COMPUTED_VALUE"""),"[]")</f>
        <v>[]</v>
      </c>
      <c r="X5365" s="6" t="str">
        <f>IFERROR(__xludf.DUMMYFUNCTION("""COMPUTED_VALUE"""),"Enrolled")</f>
        <v>Enrolled</v>
      </c>
    </row>
    <row r="5366">
      <c r="A5366" s="6" t="str">
        <f>IFERROR(__xludf.DUMMYFUNCTION("""COMPUTED_VALUE"""),"086-12757")</f>
        <v>086-12757</v>
      </c>
      <c r="B5366" s="6" t="str">
        <f>IFERROR(__xludf.DUMMYFUNCTION("""COMPUTED_VALUE"""),"86")</f>
        <v>86</v>
      </c>
      <c r="C5366" s="6" t="str">
        <f>IFERROR(__xludf.DUMMYFUNCTION("""COMPUTED_VALUE"""),"12757")</f>
        <v>12757</v>
      </c>
      <c r="D5366" s="6" t="str">
        <f>IFERROR(__xludf.DUMMYFUNCTION("""COMPUTED_VALUE"""),"Joaquin")</f>
        <v>Joaquin</v>
      </c>
      <c r="E5366" s="6" t="str">
        <f>IFERROR(__xludf.DUMMYFUNCTION("""COMPUTED_VALUE"""),"")</f>
        <v/>
      </c>
      <c r="F5366" s="6" t="str">
        <f>IFERROR(__xludf.DUMMYFUNCTION("""COMPUTED_VALUE"""),"Sanchez Orozco")</f>
        <v>Sanchez Orozco</v>
      </c>
      <c r="G5366" s="6" t="str">
        <f>IFERROR(__xludf.DUMMYFUNCTION("""COMPUTED_VALUE"""),"08/14/2018")</f>
        <v>08/14/2018</v>
      </c>
      <c r="H5366" s="6" t="str">
        <f>IFERROR(__xludf.DUMMYFUNCTION("""COMPUTED_VALUE"""),"Self Identify")</f>
        <v>Self Identify</v>
      </c>
      <c r="I5366" s="6" t="str">
        <f>IFERROR(__xludf.DUMMYFUNCTION("""COMPUTED_VALUE"""),"Level 2")</f>
        <v>Level 2</v>
      </c>
      <c r="J5366" s="6" t="str">
        <f>IFERROR(__xludf.DUMMYFUNCTION("""COMPUTED_VALUE"""),"4")</f>
        <v>4</v>
      </c>
      <c r="K5366" s="6" t="str">
        <f>IFERROR(__xludf.DUMMYFUNCTION("""COMPUTED_VALUE"""),"joaquin.sanchezorozco@2hourlearning.com")</f>
        <v>joaquin.sanchezorozco@2hourlearning.com</v>
      </c>
      <c r="L5366" s="6" t="str">
        <f>IFERROR(__xludf.DUMMYFUNCTION("""COMPUTED_VALUE"""),"JRES - Ridgeland Elementary School")</f>
        <v>JRES - Ridgeland Elementary School</v>
      </c>
      <c r="M5366" s="6" t="str">
        <f>IFERROR(__xludf.DUMMYFUNCTION("""COMPUTED_VALUE"""),"")</f>
        <v/>
      </c>
      <c r="N5366" s="6" t="str">
        <f>IFERROR(__xludf.DUMMYFUNCTION("""COMPUTED_VALUE"""),"")</f>
        <v/>
      </c>
      <c r="O5366" s="87" t="str">
        <f>IFERROR(__xludf.DUMMYFUNCTION("""COMPUTED_VALUE"""),"https://drive.google.com/drive/folders/10T2cTQHqEJZqE-st6uFKPoI?usp=share_link")</f>
        <v>https://drive.google.com/drive/folders/10T2cTQHqEJZqE-st6uFKPoI?usp=share_link</v>
      </c>
      <c r="P5366" s="6" t="str">
        <f>IFERROR(__xludf.DUMMYFUNCTION("""COMPUTED_VALUE"""),"Joaquin Sanchez Orozco")</f>
        <v>Joaquin Sanchez Orozco</v>
      </c>
      <c r="Q5366" s="6" t="str">
        <f>IFERROR(__xludf.DUMMYFUNCTION("""COMPUTED_VALUE"""),"L2")</f>
        <v>L2</v>
      </c>
      <c r="R5366" s="6">
        <f>IFERROR(__xludf.DUMMYFUNCTION("""COMPUTED_VALUE"""),2.0)</f>
        <v>2</v>
      </c>
      <c r="S5366" s="6" t="str">
        <f>IFERROR(__xludf.DUMMYFUNCTION("""COMPUTED_VALUE"""),"Kimberly Ball")</f>
        <v>Kimberly Ball</v>
      </c>
      <c r="T5366" s="6" t="str">
        <f>IFERROR(__xludf.DUMMYFUNCTION("""COMPUTED_VALUE"""),"kimberly.ball@studient.com")</f>
        <v>kimberly.ball@studient.com</v>
      </c>
      <c r="U5366" s="6" t="str">
        <f>IFERROR(__xludf.DUMMYFUNCTION("""COMPUTED_VALUE"""),"4")</f>
        <v>4</v>
      </c>
      <c r="V5366" s="6" t="str">
        <f>IFERROR(__xludf.DUMMYFUNCTION("""COMPUTED_VALUE"""),"")</f>
        <v/>
      </c>
      <c r="W5366" s="6" t="str">
        <f>IFERROR(__xludf.DUMMYFUNCTION("""COMPUTED_VALUE"""),"[]")</f>
        <v>[]</v>
      </c>
      <c r="X5366" s="6" t="str">
        <f>IFERROR(__xludf.DUMMYFUNCTION("""COMPUTED_VALUE"""),"Enrolled")</f>
        <v>Enrolled</v>
      </c>
    </row>
    <row r="5367">
      <c r="A5367" s="6" t="str">
        <f>IFERROR(__xludf.DUMMYFUNCTION("""COMPUTED_VALUE"""),"086-12758")</f>
        <v>086-12758</v>
      </c>
      <c r="B5367" s="6" t="str">
        <f>IFERROR(__xludf.DUMMYFUNCTION("""COMPUTED_VALUE"""),"86")</f>
        <v>86</v>
      </c>
      <c r="C5367" s="6" t="str">
        <f>IFERROR(__xludf.DUMMYFUNCTION("""COMPUTED_VALUE"""),"12758")</f>
        <v>12758</v>
      </c>
      <c r="D5367" s="6" t="str">
        <f>IFERROR(__xludf.DUMMYFUNCTION("""COMPUTED_VALUE"""),"Jayden")</f>
        <v>Jayden</v>
      </c>
      <c r="E5367" s="6" t="str">
        <f>IFERROR(__xludf.DUMMYFUNCTION("""COMPUTED_VALUE"""),"")</f>
        <v/>
      </c>
      <c r="F5367" s="6" t="str">
        <f>IFERROR(__xludf.DUMMYFUNCTION("""COMPUTED_VALUE"""),"Sauls")</f>
        <v>Sauls</v>
      </c>
      <c r="G5367" s="6" t="str">
        <f>IFERROR(__xludf.DUMMYFUNCTION("""COMPUTED_VALUE"""),"04/19/2017")</f>
        <v>04/19/2017</v>
      </c>
      <c r="H5367" s="6" t="str">
        <f>IFERROR(__xludf.DUMMYFUNCTION("""COMPUTED_VALUE"""),"female")</f>
        <v>female</v>
      </c>
      <c r="I5367" s="6" t="str">
        <f>IFERROR(__xludf.DUMMYFUNCTION("""COMPUTED_VALUE"""),"Level 2")</f>
        <v>Level 2</v>
      </c>
      <c r="J5367" s="6" t="str">
        <f>IFERROR(__xludf.DUMMYFUNCTION("""COMPUTED_VALUE"""),"4")</f>
        <v>4</v>
      </c>
      <c r="K5367" s="6" t="str">
        <f>IFERROR(__xludf.DUMMYFUNCTION("""COMPUTED_VALUE"""),"jayden.sauls@2hourlearning.com")</f>
        <v>jayden.sauls@2hourlearning.com</v>
      </c>
      <c r="L5367" s="6" t="str">
        <f>IFERROR(__xludf.DUMMYFUNCTION("""COMPUTED_VALUE"""),"JRES - Ridgeland Elementary School")</f>
        <v>JRES - Ridgeland Elementary School</v>
      </c>
      <c r="M5367" s="6" t="str">
        <f>IFERROR(__xludf.DUMMYFUNCTION("""COMPUTED_VALUE"""),"")</f>
        <v/>
      </c>
      <c r="N5367" s="6" t="str">
        <f>IFERROR(__xludf.DUMMYFUNCTION("""COMPUTED_VALUE"""),"")</f>
        <v/>
      </c>
      <c r="O5367" s="87" t="str">
        <f>IFERROR(__xludf.DUMMYFUNCTION("""COMPUTED_VALUE"""),"https://drive.google.com/drive/folders/10T2cTQHqEJZqE-st6uFKPoI?usp=share_link")</f>
        <v>https://drive.google.com/drive/folders/10T2cTQHqEJZqE-st6uFKPoI?usp=share_link</v>
      </c>
      <c r="P5367" s="6" t="str">
        <f>IFERROR(__xludf.DUMMYFUNCTION("""COMPUTED_VALUE"""),"Jayden Sauls")</f>
        <v>Jayden Sauls</v>
      </c>
      <c r="Q5367" s="6" t="str">
        <f>IFERROR(__xludf.DUMMYFUNCTION("""COMPUTED_VALUE"""),"L2")</f>
        <v>L2</v>
      </c>
      <c r="R5367" s="6">
        <f>IFERROR(__xludf.DUMMYFUNCTION("""COMPUTED_VALUE"""),2.0)</f>
        <v>2</v>
      </c>
      <c r="S5367" s="6" t="str">
        <f>IFERROR(__xludf.DUMMYFUNCTION("""COMPUTED_VALUE"""),"Kimberly Ball")</f>
        <v>Kimberly Ball</v>
      </c>
      <c r="T5367" s="6" t="str">
        <f>IFERROR(__xludf.DUMMYFUNCTION("""COMPUTED_VALUE"""),"kimberly.ball@studient.com")</f>
        <v>kimberly.ball@studient.com</v>
      </c>
      <c r="U5367" s="6" t="str">
        <f>IFERROR(__xludf.DUMMYFUNCTION("""COMPUTED_VALUE"""),"4")</f>
        <v>4</v>
      </c>
      <c r="V5367" s="6" t="str">
        <f>IFERROR(__xludf.DUMMYFUNCTION("""COMPUTED_VALUE"""),"")</f>
        <v/>
      </c>
      <c r="W5367" s="6" t="str">
        <f>IFERROR(__xludf.DUMMYFUNCTION("""COMPUTED_VALUE"""),"[]")</f>
        <v>[]</v>
      </c>
      <c r="X5367" s="6" t="str">
        <f>IFERROR(__xludf.DUMMYFUNCTION("""COMPUTED_VALUE"""),"Enrolled")</f>
        <v>Enrolled</v>
      </c>
    </row>
    <row r="5368">
      <c r="A5368" s="6" t="str">
        <f>IFERROR(__xludf.DUMMYFUNCTION("""COMPUTED_VALUE"""),"086-12759")</f>
        <v>086-12759</v>
      </c>
      <c r="B5368" s="6" t="str">
        <f>IFERROR(__xludf.DUMMYFUNCTION("""COMPUTED_VALUE"""),"86")</f>
        <v>86</v>
      </c>
      <c r="C5368" s="6" t="str">
        <f>IFERROR(__xludf.DUMMYFUNCTION("""COMPUTED_VALUE"""),"12759")</f>
        <v>12759</v>
      </c>
      <c r="D5368" s="6" t="str">
        <f>IFERROR(__xludf.DUMMYFUNCTION("""COMPUTED_VALUE"""),"Tiago")</f>
        <v>Tiago</v>
      </c>
      <c r="E5368" s="6" t="str">
        <f>IFERROR(__xludf.DUMMYFUNCTION("""COMPUTED_VALUE"""),"")</f>
        <v/>
      </c>
      <c r="F5368" s="6" t="str">
        <f>IFERROR(__xludf.DUMMYFUNCTION("""COMPUTED_VALUE"""),"Sencio Alana")</f>
        <v>Sencio Alana</v>
      </c>
      <c r="G5368" s="6" t="str">
        <f>IFERROR(__xludf.DUMMYFUNCTION("""COMPUTED_VALUE"""),"04/10/2017")</f>
        <v>04/10/2017</v>
      </c>
      <c r="H5368" s="6" t="str">
        <f>IFERROR(__xludf.DUMMYFUNCTION("""COMPUTED_VALUE"""),"female")</f>
        <v>female</v>
      </c>
      <c r="I5368" s="6" t="str">
        <f>IFERROR(__xludf.DUMMYFUNCTION("""COMPUTED_VALUE"""),"Level 2")</f>
        <v>Level 2</v>
      </c>
      <c r="J5368" s="6" t="str">
        <f>IFERROR(__xludf.DUMMYFUNCTION("""COMPUTED_VALUE"""),"4")</f>
        <v>4</v>
      </c>
      <c r="K5368" s="6" t="str">
        <f>IFERROR(__xludf.DUMMYFUNCTION("""COMPUTED_VALUE"""),"tiago.sencioalana@2hourlearning.com")</f>
        <v>tiago.sencioalana@2hourlearning.com</v>
      </c>
      <c r="L5368" s="6" t="str">
        <f>IFERROR(__xludf.DUMMYFUNCTION("""COMPUTED_VALUE"""),"JRES - Ridgeland Elementary School")</f>
        <v>JRES - Ridgeland Elementary School</v>
      </c>
      <c r="M5368" s="6" t="str">
        <f>IFERROR(__xludf.DUMMYFUNCTION("""COMPUTED_VALUE"""),"")</f>
        <v/>
      </c>
      <c r="N5368" s="6" t="str">
        <f>IFERROR(__xludf.DUMMYFUNCTION("""COMPUTED_VALUE"""),"")</f>
        <v/>
      </c>
      <c r="O5368" s="87" t="str">
        <f>IFERROR(__xludf.DUMMYFUNCTION("""COMPUTED_VALUE"""),"https://drive.google.com/drive/folders/10T2cTQHqEJZqE-st6uFKPoI?usp=share_link")</f>
        <v>https://drive.google.com/drive/folders/10T2cTQHqEJZqE-st6uFKPoI?usp=share_link</v>
      </c>
      <c r="P5368" s="6" t="str">
        <f>IFERROR(__xludf.DUMMYFUNCTION("""COMPUTED_VALUE"""),"Tiago Sencio Alana")</f>
        <v>Tiago Sencio Alana</v>
      </c>
      <c r="Q5368" s="6" t="str">
        <f>IFERROR(__xludf.DUMMYFUNCTION("""COMPUTED_VALUE"""),"L2")</f>
        <v>L2</v>
      </c>
      <c r="R5368" s="6">
        <f>IFERROR(__xludf.DUMMYFUNCTION("""COMPUTED_VALUE"""),2.0)</f>
        <v>2</v>
      </c>
      <c r="S5368" s="6" t="str">
        <f>IFERROR(__xludf.DUMMYFUNCTION("""COMPUTED_VALUE"""),"Kimberly Ball")</f>
        <v>Kimberly Ball</v>
      </c>
      <c r="T5368" s="6" t="str">
        <f>IFERROR(__xludf.DUMMYFUNCTION("""COMPUTED_VALUE"""),"kimberly.ball@studient.com")</f>
        <v>kimberly.ball@studient.com</v>
      </c>
      <c r="U5368" s="6" t="str">
        <f>IFERROR(__xludf.DUMMYFUNCTION("""COMPUTED_VALUE"""),"4")</f>
        <v>4</v>
      </c>
      <c r="V5368" s="6" t="str">
        <f>IFERROR(__xludf.DUMMYFUNCTION("""COMPUTED_VALUE"""),"")</f>
        <v/>
      </c>
      <c r="W5368" s="6" t="str">
        <f>IFERROR(__xludf.DUMMYFUNCTION("""COMPUTED_VALUE"""),"[]")</f>
        <v>[]</v>
      </c>
      <c r="X5368" s="6" t="str">
        <f>IFERROR(__xludf.DUMMYFUNCTION("""COMPUTED_VALUE"""),"Enrolled")</f>
        <v>Enrolled</v>
      </c>
    </row>
    <row r="5369">
      <c r="A5369" s="6" t="str">
        <f>IFERROR(__xludf.DUMMYFUNCTION("""COMPUTED_VALUE"""),"086-12760")</f>
        <v>086-12760</v>
      </c>
      <c r="B5369" s="6" t="str">
        <f>IFERROR(__xludf.DUMMYFUNCTION("""COMPUTED_VALUE"""),"86")</f>
        <v>86</v>
      </c>
      <c r="C5369" s="6" t="str">
        <f>IFERROR(__xludf.DUMMYFUNCTION("""COMPUTED_VALUE"""),"12760")</f>
        <v>12760</v>
      </c>
      <c r="D5369" s="6" t="str">
        <f>IFERROR(__xludf.DUMMYFUNCTION("""COMPUTED_VALUE"""),"Gabriel")</f>
        <v>Gabriel</v>
      </c>
      <c r="E5369" s="6" t="str">
        <f>IFERROR(__xludf.DUMMYFUNCTION("""COMPUTED_VALUE"""),"")</f>
        <v/>
      </c>
      <c r="F5369" s="6" t="str">
        <f>IFERROR(__xludf.DUMMYFUNCTION("""COMPUTED_VALUE"""),"Silverio-Jimenez")</f>
        <v>Silverio-Jimenez</v>
      </c>
      <c r="G5369" s="6" t="str">
        <f>IFERROR(__xludf.DUMMYFUNCTION("""COMPUTED_VALUE"""),"01/01/2016")</f>
        <v>01/01/2016</v>
      </c>
      <c r="H5369" s="6" t="str">
        <f>IFERROR(__xludf.DUMMYFUNCTION("""COMPUTED_VALUE"""),"male")</f>
        <v>male</v>
      </c>
      <c r="I5369" s="6" t="str">
        <f>IFERROR(__xludf.DUMMYFUNCTION("""COMPUTED_VALUE"""),"Level 2")</f>
        <v>Level 2</v>
      </c>
      <c r="J5369" s="6" t="str">
        <f>IFERROR(__xludf.DUMMYFUNCTION("""COMPUTED_VALUE"""),"4")</f>
        <v>4</v>
      </c>
      <c r="K5369" s="6" t="str">
        <f>IFERROR(__xludf.DUMMYFUNCTION("""COMPUTED_VALUE"""),"gabriel.silverio-jimenez@2hourlearning.com")</f>
        <v>gabriel.silverio-jimenez@2hourlearning.com</v>
      </c>
      <c r="L5369" s="6" t="str">
        <f>IFERROR(__xludf.DUMMYFUNCTION("""COMPUTED_VALUE"""),"JRES - Ridgeland Elementary School")</f>
        <v>JRES - Ridgeland Elementary School</v>
      </c>
      <c r="M5369" s="6" t="str">
        <f>IFERROR(__xludf.DUMMYFUNCTION("""COMPUTED_VALUE"""),"")</f>
        <v/>
      </c>
      <c r="N5369" s="6" t="str">
        <f>IFERROR(__xludf.DUMMYFUNCTION("""COMPUTED_VALUE"""),"")</f>
        <v/>
      </c>
      <c r="O5369" s="87" t="str">
        <f>IFERROR(__xludf.DUMMYFUNCTION("""COMPUTED_VALUE"""),"https://drive.google.com/drive/folders/10T2cTQHqEJZqE-st6uFKPoI?usp=share_link")</f>
        <v>https://drive.google.com/drive/folders/10T2cTQHqEJZqE-st6uFKPoI?usp=share_link</v>
      </c>
      <c r="P5369" s="6" t="str">
        <f>IFERROR(__xludf.DUMMYFUNCTION("""COMPUTED_VALUE"""),"Gabriel Silverio-Jimenez")</f>
        <v>Gabriel Silverio-Jimenez</v>
      </c>
      <c r="Q5369" s="6" t="str">
        <f>IFERROR(__xludf.DUMMYFUNCTION("""COMPUTED_VALUE"""),"L2")</f>
        <v>L2</v>
      </c>
      <c r="R5369" s="6">
        <f>IFERROR(__xludf.DUMMYFUNCTION("""COMPUTED_VALUE"""),2.0)</f>
        <v>2</v>
      </c>
      <c r="S5369" s="6" t="str">
        <f>IFERROR(__xludf.DUMMYFUNCTION("""COMPUTED_VALUE"""),"Kimberly Ball")</f>
        <v>Kimberly Ball</v>
      </c>
      <c r="T5369" s="6" t="str">
        <f>IFERROR(__xludf.DUMMYFUNCTION("""COMPUTED_VALUE"""),"kimberly.ball@studient.com")</f>
        <v>kimberly.ball@studient.com</v>
      </c>
      <c r="U5369" s="6" t="str">
        <f>IFERROR(__xludf.DUMMYFUNCTION("""COMPUTED_VALUE"""),"4")</f>
        <v>4</v>
      </c>
      <c r="V5369" s="6" t="str">
        <f>IFERROR(__xludf.DUMMYFUNCTION("""COMPUTED_VALUE"""),"")</f>
        <v/>
      </c>
      <c r="W5369" s="6" t="str">
        <f>IFERROR(__xludf.DUMMYFUNCTION("""COMPUTED_VALUE"""),"[]")</f>
        <v>[]</v>
      </c>
      <c r="X5369" s="6" t="str">
        <f>IFERROR(__xludf.DUMMYFUNCTION("""COMPUTED_VALUE"""),"Enrolled")</f>
        <v>Enrolled</v>
      </c>
    </row>
    <row r="5370">
      <c r="A5370" s="6" t="str">
        <f>IFERROR(__xludf.DUMMYFUNCTION("""COMPUTED_VALUE"""),"086-12761")</f>
        <v>086-12761</v>
      </c>
      <c r="B5370" s="6" t="str">
        <f>IFERROR(__xludf.DUMMYFUNCTION("""COMPUTED_VALUE"""),"86")</f>
        <v>86</v>
      </c>
      <c r="C5370" s="6" t="str">
        <f>IFERROR(__xludf.DUMMYFUNCTION("""COMPUTED_VALUE"""),"12761")</f>
        <v>12761</v>
      </c>
      <c r="D5370" s="6" t="str">
        <f>IFERROR(__xludf.DUMMYFUNCTION("""COMPUTED_VALUE"""),"Adrianna")</f>
        <v>Adrianna</v>
      </c>
      <c r="E5370" s="6" t="str">
        <f>IFERROR(__xludf.DUMMYFUNCTION("""COMPUTED_VALUE"""),"")</f>
        <v/>
      </c>
      <c r="F5370" s="6" t="str">
        <f>IFERROR(__xludf.DUMMYFUNCTION("""COMPUTED_VALUE"""),"Solorzano Benitez")</f>
        <v>Solorzano Benitez</v>
      </c>
      <c r="G5370" s="6" t="str">
        <f>IFERROR(__xludf.DUMMYFUNCTION("""COMPUTED_VALUE"""),"06/26/2018")</f>
        <v>06/26/2018</v>
      </c>
      <c r="H5370" s="6" t="str">
        <f>IFERROR(__xludf.DUMMYFUNCTION("""COMPUTED_VALUE"""),"male")</f>
        <v>male</v>
      </c>
      <c r="I5370" s="6" t="str">
        <f>IFERROR(__xludf.DUMMYFUNCTION("""COMPUTED_VALUE"""),"Level 2")</f>
        <v>Level 2</v>
      </c>
      <c r="J5370" s="6" t="str">
        <f>IFERROR(__xludf.DUMMYFUNCTION("""COMPUTED_VALUE"""),"4")</f>
        <v>4</v>
      </c>
      <c r="K5370" s="6" t="str">
        <f>IFERROR(__xludf.DUMMYFUNCTION("""COMPUTED_VALUE"""),"adrianna.solorzanobenitez@2hourlearning.com")</f>
        <v>adrianna.solorzanobenitez@2hourlearning.com</v>
      </c>
      <c r="L5370" s="6" t="str">
        <f>IFERROR(__xludf.DUMMYFUNCTION("""COMPUTED_VALUE"""),"JRES - Ridgeland Elementary School")</f>
        <v>JRES - Ridgeland Elementary School</v>
      </c>
      <c r="M5370" s="6" t="str">
        <f>IFERROR(__xludf.DUMMYFUNCTION("""COMPUTED_VALUE"""),"")</f>
        <v/>
      </c>
      <c r="N5370" s="6" t="str">
        <f>IFERROR(__xludf.DUMMYFUNCTION("""COMPUTED_VALUE"""),"")</f>
        <v/>
      </c>
      <c r="O5370" s="87" t="str">
        <f>IFERROR(__xludf.DUMMYFUNCTION("""COMPUTED_VALUE"""),"https://drive.google.com/drive/folders/10T2cTQHqEJZqE-st6uFKPoI?usp=share_link")</f>
        <v>https://drive.google.com/drive/folders/10T2cTQHqEJZqE-st6uFKPoI?usp=share_link</v>
      </c>
      <c r="P5370" s="6" t="str">
        <f>IFERROR(__xludf.DUMMYFUNCTION("""COMPUTED_VALUE"""),"Adrianna Solorzano Benitez")</f>
        <v>Adrianna Solorzano Benitez</v>
      </c>
      <c r="Q5370" s="6" t="str">
        <f>IFERROR(__xludf.DUMMYFUNCTION("""COMPUTED_VALUE"""),"L2")</f>
        <v>L2</v>
      </c>
      <c r="R5370" s="6">
        <f>IFERROR(__xludf.DUMMYFUNCTION("""COMPUTED_VALUE"""),2.0)</f>
        <v>2</v>
      </c>
      <c r="S5370" s="6" t="str">
        <f>IFERROR(__xludf.DUMMYFUNCTION("""COMPUTED_VALUE"""),"Kimberly Ball")</f>
        <v>Kimberly Ball</v>
      </c>
      <c r="T5370" s="6" t="str">
        <f>IFERROR(__xludf.DUMMYFUNCTION("""COMPUTED_VALUE"""),"kimberly.ball@studient.com")</f>
        <v>kimberly.ball@studient.com</v>
      </c>
      <c r="U5370" s="6" t="str">
        <f>IFERROR(__xludf.DUMMYFUNCTION("""COMPUTED_VALUE"""),"4")</f>
        <v>4</v>
      </c>
      <c r="V5370" s="6" t="str">
        <f>IFERROR(__xludf.DUMMYFUNCTION("""COMPUTED_VALUE"""),"")</f>
        <v/>
      </c>
      <c r="W5370" s="6" t="str">
        <f>IFERROR(__xludf.DUMMYFUNCTION("""COMPUTED_VALUE"""),"[]")</f>
        <v>[]</v>
      </c>
      <c r="X5370" s="6" t="str">
        <f>IFERROR(__xludf.DUMMYFUNCTION("""COMPUTED_VALUE"""),"Enrolled")</f>
        <v>Enrolled</v>
      </c>
    </row>
    <row r="5371">
      <c r="A5371" s="6" t="str">
        <f>IFERROR(__xludf.DUMMYFUNCTION("""COMPUTED_VALUE"""),"086-12762")</f>
        <v>086-12762</v>
      </c>
      <c r="B5371" s="6" t="str">
        <f>IFERROR(__xludf.DUMMYFUNCTION("""COMPUTED_VALUE"""),"86")</f>
        <v>86</v>
      </c>
      <c r="C5371" s="6" t="str">
        <f>IFERROR(__xludf.DUMMYFUNCTION("""COMPUTED_VALUE"""),"12762")</f>
        <v>12762</v>
      </c>
      <c r="D5371" s="6" t="str">
        <f>IFERROR(__xludf.DUMMYFUNCTION("""COMPUTED_VALUE"""),"Jaysa")</f>
        <v>Jaysa</v>
      </c>
      <c r="E5371" s="6" t="str">
        <f>IFERROR(__xludf.DUMMYFUNCTION("""COMPUTED_VALUE"""),"")</f>
        <v/>
      </c>
      <c r="F5371" s="6" t="str">
        <f>IFERROR(__xludf.DUMMYFUNCTION("""COMPUTED_VALUE"""),"Sparks")</f>
        <v>Sparks</v>
      </c>
      <c r="G5371" s="6" t="str">
        <f>IFERROR(__xludf.DUMMYFUNCTION("""COMPUTED_VALUE"""),"09/20/2014")</f>
        <v>09/20/2014</v>
      </c>
      <c r="H5371" s="6" t="str">
        <f>IFERROR(__xludf.DUMMYFUNCTION("""COMPUTED_VALUE"""),"female")</f>
        <v>female</v>
      </c>
      <c r="I5371" s="6" t="str">
        <f>IFERROR(__xludf.DUMMYFUNCTION("""COMPUTED_VALUE"""),"Level 2")</f>
        <v>Level 2</v>
      </c>
      <c r="J5371" s="6" t="str">
        <f>IFERROR(__xludf.DUMMYFUNCTION("""COMPUTED_VALUE"""),"4")</f>
        <v>4</v>
      </c>
      <c r="K5371" s="6" t="str">
        <f>IFERROR(__xludf.DUMMYFUNCTION("""COMPUTED_VALUE"""),"jaysa.sparks@2hourlearning.com")</f>
        <v>jaysa.sparks@2hourlearning.com</v>
      </c>
      <c r="L5371" s="6" t="str">
        <f>IFERROR(__xludf.DUMMYFUNCTION("""COMPUTED_VALUE"""),"JRES - Ridgeland Elementary School")</f>
        <v>JRES - Ridgeland Elementary School</v>
      </c>
      <c r="M5371" s="6" t="str">
        <f>IFERROR(__xludf.DUMMYFUNCTION("""COMPUTED_VALUE"""),"")</f>
        <v/>
      </c>
      <c r="N5371" s="6" t="str">
        <f>IFERROR(__xludf.DUMMYFUNCTION("""COMPUTED_VALUE"""),"")</f>
        <v/>
      </c>
      <c r="O5371" s="87" t="str">
        <f>IFERROR(__xludf.DUMMYFUNCTION("""COMPUTED_VALUE"""),"https://drive.google.com/drive/folders/10T2cTQHqEJZqE-st6uFKPoI?usp=share_link")</f>
        <v>https://drive.google.com/drive/folders/10T2cTQHqEJZqE-st6uFKPoI?usp=share_link</v>
      </c>
      <c r="P5371" s="6" t="str">
        <f>IFERROR(__xludf.DUMMYFUNCTION("""COMPUTED_VALUE"""),"Jaysa Sparks")</f>
        <v>Jaysa Sparks</v>
      </c>
      <c r="Q5371" s="6" t="str">
        <f>IFERROR(__xludf.DUMMYFUNCTION("""COMPUTED_VALUE"""),"L2")</f>
        <v>L2</v>
      </c>
      <c r="R5371" s="6">
        <f>IFERROR(__xludf.DUMMYFUNCTION("""COMPUTED_VALUE"""),2.0)</f>
        <v>2</v>
      </c>
      <c r="S5371" s="6" t="str">
        <f>IFERROR(__xludf.DUMMYFUNCTION("""COMPUTED_VALUE"""),"Kimberly Ball")</f>
        <v>Kimberly Ball</v>
      </c>
      <c r="T5371" s="6" t="str">
        <f>IFERROR(__xludf.DUMMYFUNCTION("""COMPUTED_VALUE"""),"kimberly.ball@studient.com")</f>
        <v>kimberly.ball@studient.com</v>
      </c>
      <c r="U5371" s="6" t="str">
        <f>IFERROR(__xludf.DUMMYFUNCTION("""COMPUTED_VALUE"""),"4")</f>
        <v>4</v>
      </c>
      <c r="V5371" s="6" t="str">
        <f>IFERROR(__xludf.DUMMYFUNCTION("""COMPUTED_VALUE"""),"")</f>
        <v/>
      </c>
      <c r="W5371" s="6" t="str">
        <f>IFERROR(__xludf.DUMMYFUNCTION("""COMPUTED_VALUE"""),"[]")</f>
        <v>[]</v>
      </c>
      <c r="X5371" s="6" t="str">
        <f>IFERROR(__xludf.DUMMYFUNCTION("""COMPUTED_VALUE"""),"Enrolled")</f>
        <v>Enrolled</v>
      </c>
    </row>
    <row r="5372">
      <c r="A5372" s="6" t="str">
        <f>IFERROR(__xludf.DUMMYFUNCTION("""COMPUTED_VALUE"""),"086-12763")</f>
        <v>086-12763</v>
      </c>
      <c r="B5372" s="6" t="str">
        <f>IFERROR(__xludf.DUMMYFUNCTION("""COMPUTED_VALUE"""),"86")</f>
        <v>86</v>
      </c>
      <c r="C5372" s="6" t="str">
        <f>IFERROR(__xludf.DUMMYFUNCTION("""COMPUTED_VALUE"""),"12763")</f>
        <v>12763</v>
      </c>
      <c r="D5372" s="6" t="str">
        <f>IFERROR(__xludf.DUMMYFUNCTION("""COMPUTED_VALUE"""),"Abigail")</f>
        <v>Abigail</v>
      </c>
      <c r="E5372" s="6" t="str">
        <f>IFERROR(__xludf.DUMMYFUNCTION("""COMPUTED_VALUE"""),"")</f>
        <v/>
      </c>
      <c r="F5372" s="6" t="str">
        <f>IFERROR(__xludf.DUMMYFUNCTION("""COMPUTED_VALUE"""),"Spencer")</f>
        <v>Spencer</v>
      </c>
      <c r="G5372" s="6" t="str">
        <f>IFERROR(__xludf.DUMMYFUNCTION("""COMPUTED_VALUE"""),"09/05/2016")</f>
        <v>09/05/2016</v>
      </c>
      <c r="H5372" s="6" t="str">
        <f>IFERROR(__xludf.DUMMYFUNCTION("""COMPUTED_VALUE"""),"male")</f>
        <v>male</v>
      </c>
      <c r="I5372" s="6" t="str">
        <f>IFERROR(__xludf.DUMMYFUNCTION("""COMPUTED_VALUE"""),"Level 2")</f>
        <v>Level 2</v>
      </c>
      <c r="J5372" s="6" t="str">
        <f>IFERROR(__xludf.DUMMYFUNCTION("""COMPUTED_VALUE"""),"4")</f>
        <v>4</v>
      </c>
      <c r="K5372" s="6" t="str">
        <f>IFERROR(__xludf.DUMMYFUNCTION("""COMPUTED_VALUE"""),"abigail.spencer@2hourlearning.com")</f>
        <v>abigail.spencer@2hourlearning.com</v>
      </c>
      <c r="L5372" s="6" t="str">
        <f>IFERROR(__xludf.DUMMYFUNCTION("""COMPUTED_VALUE"""),"JRES - Ridgeland Elementary School")</f>
        <v>JRES - Ridgeland Elementary School</v>
      </c>
      <c r="M5372" s="6" t="str">
        <f>IFERROR(__xludf.DUMMYFUNCTION("""COMPUTED_VALUE"""),"")</f>
        <v/>
      </c>
      <c r="N5372" s="6" t="str">
        <f>IFERROR(__xludf.DUMMYFUNCTION("""COMPUTED_VALUE"""),"")</f>
        <v/>
      </c>
      <c r="O5372" s="87" t="str">
        <f>IFERROR(__xludf.DUMMYFUNCTION("""COMPUTED_VALUE"""),"https://drive.google.com/drive/folders/10T2cTQHqEJZqE-st6uFKPoI?usp=share_link")</f>
        <v>https://drive.google.com/drive/folders/10T2cTQHqEJZqE-st6uFKPoI?usp=share_link</v>
      </c>
      <c r="P5372" s="6" t="str">
        <f>IFERROR(__xludf.DUMMYFUNCTION("""COMPUTED_VALUE"""),"Abigail Spencer")</f>
        <v>Abigail Spencer</v>
      </c>
      <c r="Q5372" s="6" t="str">
        <f>IFERROR(__xludf.DUMMYFUNCTION("""COMPUTED_VALUE"""),"L2")</f>
        <v>L2</v>
      </c>
      <c r="R5372" s="6">
        <f>IFERROR(__xludf.DUMMYFUNCTION("""COMPUTED_VALUE"""),2.0)</f>
        <v>2</v>
      </c>
      <c r="S5372" s="6" t="str">
        <f>IFERROR(__xludf.DUMMYFUNCTION("""COMPUTED_VALUE"""),"Kimberly Ball")</f>
        <v>Kimberly Ball</v>
      </c>
      <c r="T5372" s="6" t="str">
        <f>IFERROR(__xludf.DUMMYFUNCTION("""COMPUTED_VALUE"""),"kimberly.ball@studient.com")</f>
        <v>kimberly.ball@studient.com</v>
      </c>
      <c r="U5372" s="6" t="str">
        <f>IFERROR(__xludf.DUMMYFUNCTION("""COMPUTED_VALUE"""),"4")</f>
        <v>4</v>
      </c>
      <c r="V5372" s="6" t="str">
        <f>IFERROR(__xludf.DUMMYFUNCTION("""COMPUTED_VALUE"""),"")</f>
        <v/>
      </c>
      <c r="W5372" s="6" t="str">
        <f>IFERROR(__xludf.DUMMYFUNCTION("""COMPUTED_VALUE"""),"[]")</f>
        <v>[]</v>
      </c>
      <c r="X5372" s="6" t="str">
        <f>IFERROR(__xludf.DUMMYFUNCTION("""COMPUTED_VALUE"""),"Enrolled")</f>
        <v>Enrolled</v>
      </c>
    </row>
    <row r="5373">
      <c r="A5373" s="6" t="str">
        <f>IFERROR(__xludf.DUMMYFUNCTION("""COMPUTED_VALUE"""),"086-12764")</f>
        <v>086-12764</v>
      </c>
      <c r="B5373" s="6" t="str">
        <f>IFERROR(__xludf.DUMMYFUNCTION("""COMPUTED_VALUE"""),"86")</f>
        <v>86</v>
      </c>
      <c r="C5373" s="6" t="str">
        <f>IFERROR(__xludf.DUMMYFUNCTION("""COMPUTED_VALUE"""),"12764")</f>
        <v>12764</v>
      </c>
      <c r="D5373" s="6" t="str">
        <f>IFERROR(__xludf.DUMMYFUNCTION("""COMPUTED_VALUE"""),"Dallis")</f>
        <v>Dallis</v>
      </c>
      <c r="E5373" s="6" t="str">
        <f>IFERROR(__xludf.DUMMYFUNCTION("""COMPUTED_VALUE"""),"")</f>
        <v/>
      </c>
      <c r="F5373" s="6" t="str">
        <f>IFERROR(__xludf.DUMMYFUNCTION("""COMPUTED_VALUE"""),"Spencer")</f>
        <v>Spencer</v>
      </c>
      <c r="G5373" s="6" t="str">
        <f>IFERROR(__xludf.DUMMYFUNCTION("""COMPUTED_VALUE"""),"07/29/2017")</f>
        <v>07/29/2017</v>
      </c>
      <c r="H5373" s="6" t="str">
        <f>IFERROR(__xludf.DUMMYFUNCTION("""COMPUTED_VALUE"""),"male")</f>
        <v>male</v>
      </c>
      <c r="I5373" s="6" t="str">
        <f>IFERROR(__xludf.DUMMYFUNCTION("""COMPUTED_VALUE"""),"Level 2")</f>
        <v>Level 2</v>
      </c>
      <c r="J5373" s="6" t="str">
        <f>IFERROR(__xludf.DUMMYFUNCTION("""COMPUTED_VALUE"""),"4")</f>
        <v>4</v>
      </c>
      <c r="K5373" s="6" t="str">
        <f>IFERROR(__xludf.DUMMYFUNCTION("""COMPUTED_VALUE"""),"dallis.spencer@2hourlearning.com")</f>
        <v>dallis.spencer@2hourlearning.com</v>
      </c>
      <c r="L5373" s="6" t="str">
        <f>IFERROR(__xludf.DUMMYFUNCTION("""COMPUTED_VALUE"""),"JRES - Ridgeland Elementary School")</f>
        <v>JRES - Ridgeland Elementary School</v>
      </c>
      <c r="M5373" s="6" t="str">
        <f>IFERROR(__xludf.DUMMYFUNCTION("""COMPUTED_VALUE"""),"")</f>
        <v/>
      </c>
      <c r="N5373" s="6" t="str">
        <f>IFERROR(__xludf.DUMMYFUNCTION("""COMPUTED_VALUE"""),"")</f>
        <v/>
      </c>
      <c r="O5373" s="87" t="str">
        <f>IFERROR(__xludf.DUMMYFUNCTION("""COMPUTED_VALUE"""),"https://drive.google.com/drive/folders/10T2cTQHqEJZqE-st6uFKPoI?usp=share_link")</f>
        <v>https://drive.google.com/drive/folders/10T2cTQHqEJZqE-st6uFKPoI?usp=share_link</v>
      </c>
      <c r="P5373" s="6" t="str">
        <f>IFERROR(__xludf.DUMMYFUNCTION("""COMPUTED_VALUE"""),"Dallis Spencer")</f>
        <v>Dallis Spencer</v>
      </c>
      <c r="Q5373" s="6" t="str">
        <f>IFERROR(__xludf.DUMMYFUNCTION("""COMPUTED_VALUE"""),"L2")</f>
        <v>L2</v>
      </c>
      <c r="R5373" s="6">
        <f>IFERROR(__xludf.DUMMYFUNCTION("""COMPUTED_VALUE"""),2.0)</f>
        <v>2</v>
      </c>
      <c r="S5373" s="6" t="str">
        <f>IFERROR(__xludf.DUMMYFUNCTION("""COMPUTED_VALUE"""),"Kimberly Ball")</f>
        <v>Kimberly Ball</v>
      </c>
      <c r="T5373" s="6" t="str">
        <f>IFERROR(__xludf.DUMMYFUNCTION("""COMPUTED_VALUE"""),"kimberly.ball@studient.com")</f>
        <v>kimberly.ball@studient.com</v>
      </c>
      <c r="U5373" s="6" t="str">
        <f>IFERROR(__xludf.DUMMYFUNCTION("""COMPUTED_VALUE"""),"4")</f>
        <v>4</v>
      </c>
      <c r="V5373" s="6" t="str">
        <f>IFERROR(__xludf.DUMMYFUNCTION("""COMPUTED_VALUE"""),"")</f>
        <v/>
      </c>
      <c r="W5373" s="6" t="str">
        <f>IFERROR(__xludf.DUMMYFUNCTION("""COMPUTED_VALUE"""),"[]")</f>
        <v>[]</v>
      </c>
      <c r="X5373" s="6" t="str">
        <f>IFERROR(__xludf.DUMMYFUNCTION("""COMPUTED_VALUE"""),"Enrolled")</f>
        <v>Enrolled</v>
      </c>
    </row>
    <row r="5374">
      <c r="A5374" s="6" t="str">
        <f>IFERROR(__xludf.DUMMYFUNCTION("""COMPUTED_VALUE"""),"086-12765")</f>
        <v>086-12765</v>
      </c>
      <c r="B5374" s="6" t="str">
        <f>IFERROR(__xludf.DUMMYFUNCTION("""COMPUTED_VALUE"""),"86")</f>
        <v>86</v>
      </c>
      <c r="C5374" s="6" t="str">
        <f>IFERROR(__xludf.DUMMYFUNCTION("""COMPUTED_VALUE"""),"12765")</f>
        <v>12765</v>
      </c>
      <c r="D5374" s="6" t="str">
        <f>IFERROR(__xludf.DUMMYFUNCTION("""COMPUTED_VALUE"""),"Sophia")</f>
        <v>Sophia</v>
      </c>
      <c r="E5374" s="6" t="str">
        <f>IFERROR(__xludf.DUMMYFUNCTION("""COMPUTED_VALUE"""),"")</f>
        <v/>
      </c>
      <c r="F5374" s="6" t="str">
        <f>IFERROR(__xludf.DUMMYFUNCTION("""COMPUTED_VALUE"""),"Stanley")</f>
        <v>Stanley</v>
      </c>
      <c r="G5374" s="6" t="str">
        <f>IFERROR(__xludf.DUMMYFUNCTION("""COMPUTED_VALUE"""),"11/09/2016")</f>
        <v>11/09/2016</v>
      </c>
      <c r="H5374" s="6" t="str">
        <f>IFERROR(__xludf.DUMMYFUNCTION("""COMPUTED_VALUE"""),"male")</f>
        <v>male</v>
      </c>
      <c r="I5374" s="6" t="str">
        <f>IFERROR(__xludf.DUMMYFUNCTION("""COMPUTED_VALUE"""),"Level 2")</f>
        <v>Level 2</v>
      </c>
      <c r="J5374" s="6" t="str">
        <f>IFERROR(__xludf.DUMMYFUNCTION("""COMPUTED_VALUE"""),"4")</f>
        <v>4</v>
      </c>
      <c r="K5374" s="6" t="str">
        <f>IFERROR(__xludf.DUMMYFUNCTION("""COMPUTED_VALUE"""),"sophia.stanley@2hourlearning.com")</f>
        <v>sophia.stanley@2hourlearning.com</v>
      </c>
      <c r="L5374" s="6" t="str">
        <f>IFERROR(__xludf.DUMMYFUNCTION("""COMPUTED_VALUE"""),"JRES - Ridgeland Elementary School")</f>
        <v>JRES - Ridgeland Elementary School</v>
      </c>
      <c r="M5374" s="6" t="str">
        <f>IFERROR(__xludf.DUMMYFUNCTION("""COMPUTED_VALUE"""),"")</f>
        <v/>
      </c>
      <c r="N5374" s="6" t="str">
        <f>IFERROR(__xludf.DUMMYFUNCTION("""COMPUTED_VALUE"""),"")</f>
        <v/>
      </c>
      <c r="O5374" s="87" t="str">
        <f>IFERROR(__xludf.DUMMYFUNCTION("""COMPUTED_VALUE"""),"https://drive.google.com/drive/folders/10T2cTQHqEJZqE-st6uFKPoI?usp=share_link")</f>
        <v>https://drive.google.com/drive/folders/10T2cTQHqEJZqE-st6uFKPoI?usp=share_link</v>
      </c>
      <c r="P5374" s="6" t="str">
        <f>IFERROR(__xludf.DUMMYFUNCTION("""COMPUTED_VALUE"""),"Sophia Stanley")</f>
        <v>Sophia Stanley</v>
      </c>
      <c r="Q5374" s="6" t="str">
        <f>IFERROR(__xludf.DUMMYFUNCTION("""COMPUTED_VALUE"""),"L2")</f>
        <v>L2</v>
      </c>
      <c r="R5374" s="6">
        <f>IFERROR(__xludf.DUMMYFUNCTION("""COMPUTED_VALUE"""),2.0)</f>
        <v>2</v>
      </c>
      <c r="S5374" s="6" t="str">
        <f>IFERROR(__xludf.DUMMYFUNCTION("""COMPUTED_VALUE"""),"Kimberly Ball")</f>
        <v>Kimberly Ball</v>
      </c>
      <c r="T5374" s="6" t="str">
        <f>IFERROR(__xludf.DUMMYFUNCTION("""COMPUTED_VALUE"""),"kimberly.ball@studient.com")</f>
        <v>kimberly.ball@studient.com</v>
      </c>
      <c r="U5374" s="6" t="str">
        <f>IFERROR(__xludf.DUMMYFUNCTION("""COMPUTED_VALUE"""),"4")</f>
        <v>4</v>
      </c>
      <c r="V5374" s="6" t="str">
        <f>IFERROR(__xludf.DUMMYFUNCTION("""COMPUTED_VALUE"""),"")</f>
        <v/>
      </c>
      <c r="W5374" s="6" t="str">
        <f>IFERROR(__xludf.DUMMYFUNCTION("""COMPUTED_VALUE"""),"[]")</f>
        <v>[]</v>
      </c>
      <c r="X5374" s="6" t="str">
        <f>IFERROR(__xludf.DUMMYFUNCTION("""COMPUTED_VALUE"""),"Enrolled")</f>
        <v>Enrolled</v>
      </c>
    </row>
    <row r="5375">
      <c r="A5375" s="6" t="str">
        <f>IFERROR(__xludf.DUMMYFUNCTION("""COMPUTED_VALUE"""),"086-12766")</f>
        <v>086-12766</v>
      </c>
      <c r="B5375" s="6" t="str">
        <f>IFERROR(__xludf.DUMMYFUNCTION("""COMPUTED_VALUE"""),"86")</f>
        <v>86</v>
      </c>
      <c r="C5375" s="6" t="str">
        <f>IFERROR(__xludf.DUMMYFUNCTION("""COMPUTED_VALUE"""),"12766")</f>
        <v>12766</v>
      </c>
      <c r="D5375" s="6" t="str">
        <f>IFERROR(__xludf.DUMMYFUNCTION("""COMPUTED_VALUE"""),"Dakari")</f>
        <v>Dakari</v>
      </c>
      <c r="E5375" s="6" t="str">
        <f>IFERROR(__xludf.DUMMYFUNCTION("""COMPUTED_VALUE"""),"")</f>
        <v/>
      </c>
      <c r="F5375" s="6" t="str">
        <f>IFERROR(__xludf.DUMMYFUNCTION("""COMPUTED_VALUE"""),"Taylor")</f>
        <v>Taylor</v>
      </c>
      <c r="G5375" s="6" t="str">
        <f>IFERROR(__xludf.DUMMYFUNCTION("""COMPUTED_VALUE"""),"09/28/2017")</f>
        <v>09/28/2017</v>
      </c>
      <c r="H5375" s="6" t="str">
        <f>IFERROR(__xludf.DUMMYFUNCTION("""COMPUTED_VALUE"""),"male")</f>
        <v>male</v>
      </c>
      <c r="I5375" s="6" t="str">
        <f>IFERROR(__xludf.DUMMYFUNCTION("""COMPUTED_VALUE"""),"Level 2")</f>
        <v>Level 2</v>
      </c>
      <c r="J5375" s="6" t="str">
        <f>IFERROR(__xludf.DUMMYFUNCTION("""COMPUTED_VALUE"""),"4")</f>
        <v>4</v>
      </c>
      <c r="K5375" s="6" t="str">
        <f>IFERROR(__xludf.DUMMYFUNCTION("""COMPUTED_VALUE"""),"dakari.taylor@2hourlearning.com")</f>
        <v>dakari.taylor@2hourlearning.com</v>
      </c>
      <c r="L5375" s="6" t="str">
        <f>IFERROR(__xludf.DUMMYFUNCTION("""COMPUTED_VALUE"""),"JRES - Ridgeland Elementary School")</f>
        <v>JRES - Ridgeland Elementary School</v>
      </c>
      <c r="M5375" s="6" t="str">
        <f>IFERROR(__xludf.DUMMYFUNCTION("""COMPUTED_VALUE"""),"")</f>
        <v/>
      </c>
      <c r="N5375" s="6" t="str">
        <f>IFERROR(__xludf.DUMMYFUNCTION("""COMPUTED_VALUE"""),"")</f>
        <v/>
      </c>
      <c r="O5375" s="87" t="str">
        <f>IFERROR(__xludf.DUMMYFUNCTION("""COMPUTED_VALUE"""),"https://drive.google.com/drive/folders/10T2cTQHqEJZqE-st6uFKPoI?usp=share_link")</f>
        <v>https://drive.google.com/drive/folders/10T2cTQHqEJZqE-st6uFKPoI?usp=share_link</v>
      </c>
      <c r="P5375" s="6" t="str">
        <f>IFERROR(__xludf.DUMMYFUNCTION("""COMPUTED_VALUE"""),"Dakari Taylor")</f>
        <v>Dakari Taylor</v>
      </c>
      <c r="Q5375" s="6" t="str">
        <f>IFERROR(__xludf.DUMMYFUNCTION("""COMPUTED_VALUE"""),"L2")</f>
        <v>L2</v>
      </c>
      <c r="R5375" s="6">
        <f>IFERROR(__xludf.DUMMYFUNCTION("""COMPUTED_VALUE"""),2.0)</f>
        <v>2</v>
      </c>
      <c r="S5375" s="6" t="str">
        <f>IFERROR(__xludf.DUMMYFUNCTION("""COMPUTED_VALUE"""),"Kimberly Ball")</f>
        <v>Kimberly Ball</v>
      </c>
      <c r="T5375" s="6" t="str">
        <f>IFERROR(__xludf.DUMMYFUNCTION("""COMPUTED_VALUE"""),"kimberly.ball@studient.com")</f>
        <v>kimberly.ball@studient.com</v>
      </c>
      <c r="U5375" s="6" t="str">
        <f>IFERROR(__xludf.DUMMYFUNCTION("""COMPUTED_VALUE"""),"4")</f>
        <v>4</v>
      </c>
      <c r="V5375" s="6" t="str">
        <f>IFERROR(__xludf.DUMMYFUNCTION("""COMPUTED_VALUE"""),"")</f>
        <v/>
      </c>
      <c r="W5375" s="6" t="str">
        <f>IFERROR(__xludf.DUMMYFUNCTION("""COMPUTED_VALUE"""),"[]")</f>
        <v>[]</v>
      </c>
      <c r="X5375" s="6" t="str">
        <f>IFERROR(__xludf.DUMMYFUNCTION("""COMPUTED_VALUE"""),"Enrolled")</f>
        <v>Enrolled</v>
      </c>
    </row>
    <row r="5376">
      <c r="A5376" s="6" t="str">
        <f>IFERROR(__xludf.DUMMYFUNCTION("""COMPUTED_VALUE"""),"086-12767")</f>
        <v>086-12767</v>
      </c>
      <c r="B5376" s="6" t="str">
        <f>IFERROR(__xludf.DUMMYFUNCTION("""COMPUTED_VALUE"""),"86")</f>
        <v>86</v>
      </c>
      <c r="C5376" s="6" t="str">
        <f>IFERROR(__xludf.DUMMYFUNCTION("""COMPUTED_VALUE"""),"12767")</f>
        <v>12767</v>
      </c>
      <c r="D5376" s="6" t="str">
        <f>IFERROR(__xludf.DUMMYFUNCTION("""COMPUTED_VALUE"""),"Zahir")</f>
        <v>Zahir</v>
      </c>
      <c r="E5376" s="6" t="str">
        <f>IFERROR(__xludf.DUMMYFUNCTION("""COMPUTED_VALUE"""),"")</f>
        <v/>
      </c>
      <c r="F5376" s="6" t="str">
        <f>IFERROR(__xludf.DUMMYFUNCTION("""COMPUTED_VALUE"""),"Thomas")</f>
        <v>Thomas</v>
      </c>
      <c r="G5376" s="6" t="str">
        <f>IFERROR(__xludf.DUMMYFUNCTION("""COMPUTED_VALUE"""),"04/28/2015")</f>
        <v>04/28/2015</v>
      </c>
      <c r="H5376" s="6" t="str">
        <f>IFERROR(__xludf.DUMMYFUNCTION("""COMPUTED_VALUE"""),"male")</f>
        <v>male</v>
      </c>
      <c r="I5376" s="6" t="str">
        <f>IFERROR(__xludf.DUMMYFUNCTION("""COMPUTED_VALUE"""),"Level 2")</f>
        <v>Level 2</v>
      </c>
      <c r="J5376" s="6" t="str">
        <f>IFERROR(__xludf.DUMMYFUNCTION("""COMPUTED_VALUE"""),"4")</f>
        <v>4</v>
      </c>
      <c r="K5376" s="6" t="str">
        <f>IFERROR(__xludf.DUMMYFUNCTION("""COMPUTED_VALUE"""),"zahir.thomas@2hourlearning.com")</f>
        <v>zahir.thomas@2hourlearning.com</v>
      </c>
      <c r="L5376" s="6" t="str">
        <f>IFERROR(__xludf.DUMMYFUNCTION("""COMPUTED_VALUE"""),"JRES - Ridgeland Elementary School")</f>
        <v>JRES - Ridgeland Elementary School</v>
      </c>
      <c r="M5376" s="6" t="str">
        <f>IFERROR(__xludf.DUMMYFUNCTION("""COMPUTED_VALUE"""),"")</f>
        <v/>
      </c>
      <c r="N5376" s="6" t="str">
        <f>IFERROR(__xludf.DUMMYFUNCTION("""COMPUTED_VALUE"""),"")</f>
        <v/>
      </c>
      <c r="O5376" s="87" t="str">
        <f>IFERROR(__xludf.DUMMYFUNCTION("""COMPUTED_VALUE"""),"https://drive.google.com/drive/folders/10T2cTQHqEJZqE-st6uFKPoI?usp=share_link")</f>
        <v>https://drive.google.com/drive/folders/10T2cTQHqEJZqE-st6uFKPoI?usp=share_link</v>
      </c>
      <c r="P5376" s="6" t="str">
        <f>IFERROR(__xludf.DUMMYFUNCTION("""COMPUTED_VALUE"""),"Zahir Thomas")</f>
        <v>Zahir Thomas</v>
      </c>
      <c r="Q5376" s="6" t="str">
        <f>IFERROR(__xludf.DUMMYFUNCTION("""COMPUTED_VALUE"""),"L2")</f>
        <v>L2</v>
      </c>
      <c r="R5376" s="6">
        <f>IFERROR(__xludf.DUMMYFUNCTION("""COMPUTED_VALUE"""),2.0)</f>
        <v>2</v>
      </c>
      <c r="S5376" s="6" t="str">
        <f>IFERROR(__xludf.DUMMYFUNCTION("""COMPUTED_VALUE"""),"Kimberly Ball")</f>
        <v>Kimberly Ball</v>
      </c>
      <c r="T5376" s="6" t="str">
        <f>IFERROR(__xludf.DUMMYFUNCTION("""COMPUTED_VALUE"""),"kimberly.ball@studient.com")</f>
        <v>kimberly.ball@studient.com</v>
      </c>
      <c r="U5376" s="6" t="str">
        <f>IFERROR(__xludf.DUMMYFUNCTION("""COMPUTED_VALUE"""),"4")</f>
        <v>4</v>
      </c>
      <c r="V5376" s="6" t="str">
        <f>IFERROR(__xludf.DUMMYFUNCTION("""COMPUTED_VALUE"""),"")</f>
        <v/>
      </c>
      <c r="W5376" s="6" t="str">
        <f>IFERROR(__xludf.DUMMYFUNCTION("""COMPUTED_VALUE"""),"[]")</f>
        <v>[]</v>
      </c>
      <c r="X5376" s="6" t="str">
        <f>IFERROR(__xludf.DUMMYFUNCTION("""COMPUTED_VALUE"""),"Enrolled")</f>
        <v>Enrolled</v>
      </c>
    </row>
    <row r="5377">
      <c r="A5377" s="6" t="str">
        <f>IFERROR(__xludf.DUMMYFUNCTION("""COMPUTED_VALUE"""),"086-12768")</f>
        <v>086-12768</v>
      </c>
      <c r="B5377" s="6" t="str">
        <f>IFERROR(__xludf.DUMMYFUNCTION("""COMPUTED_VALUE"""),"86")</f>
        <v>86</v>
      </c>
      <c r="C5377" s="6" t="str">
        <f>IFERROR(__xludf.DUMMYFUNCTION("""COMPUTED_VALUE"""),"12768")</f>
        <v>12768</v>
      </c>
      <c r="D5377" s="6" t="str">
        <f>IFERROR(__xludf.DUMMYFUNCTION("""COMPUTED_VALUE"""),"Sarita")</f>
        <v>Sarita</v>
      </c>
      <c r="E5377" s="6" t="str">
        <f>IFERROR(__xludf.DUMMYFUNCTION("""COMPUTED_VALUE"""),"")</f>
        <v/>
      </c>
      <c r="F5377" s="6" t="str">
        <f>IFERROR(__xludf.DUMMYFUNCTION("""COMPUTED_VALUE"""),"Tomas")</f>
        <v>Tomas</v>
      </c>
      <c r="G5377" s="6" t="str">
        <f>IFERROR(__xludf.DUMMYFUNCTION("""COMPUTED_VALUE"""),"02/18/2015")</f>
        <v>02/18/2015</v>
      </c>
      <c r="H5377" s="6" t="str">
        <f>IFERROR(__xludf.DUMMYFUNCTION("""COMPUTED_VALUE"""),"male")</f>
        <v>male</v>
      </c>
      <c r="I5377" s="6" t="str">
        <f>IFERROR(__xludf.DUMMYFUNCTION("""COMPUTED_VALUE"""),"Level 2")</f>
        <v>Level 2</v>
      </c>
      <c r="J5377" s="6" t="str">
        <f>IFERROR(__xludf.DUMMYFUNCTION("""COMPUTED_VALUE"""),"4")</f>
        <v>4</v>
      </c>
      <c r="K5377" s="6" t="str">
        <f>IFERROR(__xludf.DUMMYFUNCTION("""COMPUTED_VALUE"""),"sarita.tomas@2hourlearning.com")</f>
        <v>sarita.tomas@2hourlearning.com</v>
      </c>
      <c r="L5377" s="6" t="str">
        <f>IFERROR(__xludf.DUMMYFUNCTION("""COMPUTED_VALUE"""),"JRES - Ridgeland Elementary School")</f>
        <v>JRES - Ridgeland Elementary School</v>
      </c>
      <c r="M5377" s="6" t="str">
        <f>IFERROR(__xludf.DUMMYFUNCTION("""COMPUTED_VALUE"""),"")</f>
        <v/>
      </c>
      <c r="N5377" s="6" t="str">
        <f>IFERROR(__xludf.DUMMYFUNCTION("""COMPUTED_VALUE"""),"")</f>
        <v/>
      </c>
      <c r="O5377" s="87" t="str">
        <f>IFERROR(__xludf.DUMMYFUNCTION("""COMPUTED_VALUE"""),"https://drive.google.com/drive/folders/10T2cTQHqEJZqE-st6uFKPoI?usp=share_link")</f>
        <v>https://drive.google.com/drive/folders/10T2cTQHqEJZqE-st6uFKPoI?usp=share_link</v>
      </c>
      <c r="P5377" s="6" t="str">
        <f>IFERROR(__xludf.DUMMYFUNCTION("""COMPUTED_VALUE"""),"Sarita Tomas")</f>
        <v>Sarita Tomas</v>
      </c>
      <c r="Q5377" s="6" t="str">
        <f>IFERROR(__xludf.DUMMYFUNCTION("""COMPUTED_VALUE"""),"L2")</f>
        <v>L2</v>
      </c>
      <c r="R5377" s="6">
        <f>IFERROR(__xludf.DUMMYFUNCTION("""COMPUTED_VALUE"""),2.0)</f>
        <v>2</v>
      </c>
      <c r="S5377" s="6" t="str">
        <f>IFERROR(__xludf.DUMMYFUNCTION("""COMPUTED_VALUE"""),"Kimberly Ball")</f>
        <v>Kimberly Ball</v>
      </c>
      <c r="T5377" s="6" t="str">
        <f>IFERROR(__xludf.DUMMYFUNCTION("""COMPUTED_VALUE"""),"kimberly.ball@studient.com")</f>
        <v>kimberly.ball@studient.com</v>
      </c>
      <c r="U5377" s="6" t="str">
        <f>IFERROR(__xludf.DUMMYFUNCTION("""COMPUTED_VALUE"""),"4")</f>
        <v>4</v>
      </c>
      <c r="V5377" s="6" t="str">
        <f>IFERROR(__xludf.DUMMYFUNCTION("""COMPUTED_VALUE"""),"")</f>
        <v/>
      </c>
      <c r="W5377" s="6" t="str">
        <f>IFERROR(__xludf.DUMMYFUNCTION("""COMPUTED_VALUE"""),"[]")</f>
        <v>[]</v>
      </c>
      <c r="X5377" s="6" t="str">
        <f>IFERROR(__xludf.DUMMYFUNCTION("""COMPUTED_VALUE"""),"Enrolled")</f>
        <v>Enrolled</v>
      </c>
    </row>
    <row r="5378">
      <c r="A5378" s="6" t="str">
        <f>IFERROR(__xludf.DUMMYFUNCTION("""COMPUTED_VALUE"""),"086-12769")</f>
        <v>086-12769</v>
      </c>
      <c r="B5378" s="6" t="str">
        <f>IFERROR(__xludf.DUMMYFUNCTION("""COMPUTED_VALUE"""),"86")</f>
        <v>86</v>
      </c>
      <c r="C5378" s="6" t="str">
        <f>IFERROR(__xludf.DUMMYFUNCTION("""COMPUTED_VALUE"""),"12769")</f>
        <v>12769</v>
      </c>
      <c r="D5378" s="6" t="str">
        <f>IFERROR(__xludf.DUMMYFUNCTION("""COMPUTED_VALUE"""),"Damian")</f>
        <v>Damian</v>
      </c>
      <c r="E5378" s="6" t="str">
        <f>IFERROR(__xludf.DUMMYFUNCTION("""COMPUTED_VALUE"""),"")</f>
        <v/>
      </c>
      <c r="F5378" s="6" t="str">
        <f>IFERROR(__xludf.DUMMYFUNCTION("""COMPUTED_VALUE"""),"Torreblanca-Angel")</f>
        <v>Torreblanca-Angel</v>
      </c>
      <c r="G5378" s="6" t="str">
        <f>IFERROR(__xludf.DUMMYFUNCTION("""COMPUTED_VALUE"""),"11/22/2017")</f>
        <v>11/22/2017</v>
      </c>
      <c r="H5378" s="6" t="str">
        <f>IFERROR(__xludf.DUMMYFUNCTION("""COMPUTED_VALUE"""),"male")</f>
        <v>male</v>
      </c>
      <c r="I5378" s="6" t="str">
        <f>IFERROR(__xludf.DUMMYFUNCTION("""COMPUTED_VALUE"""),"Level 2")</f>
        <v>Level 2</v>
      </c>
      <c r="J5378" s="6" t="str">
        <f>IFERROR(__xludf.DUMMYFUNCTION("""COMPUTED_VALUE"""),"4")</f>
        <v>4</v>
      </c>
      <c r="K5378" s="6" t="str">
        <f>IFERROR(__xludf.DUMMYFUNCTION("""COMPUTED_VALUE"""),"damian.torreblanca-angel@2hourlearning.com")</f>
        <v>damian.torreblanca-angel@2hourlearning.com</v>
      </c>
      <c r="L5378" s="6" t="str">
        <f>IFERROR(__xludf.DUMMYFUNCTION("""COMPUTED_VALUE"""),"JRES - Ridgeland Elementary School")</f>
        <v>JRES - Ridgeland Elementary School</v>
      </c>
      <c r="M5378" s="6" t="str">
        <f>IFERROR(__xludf.DUMMYFUNCTION("""COMPUTED_VALUE"""),"")</f>
        <v/>
      </c>
      <c r="N5378" s="6" t="str">
        <f>IFERROR(__xludf.DUMMYFUNCTION("""COMPUTED_VALUE"""),"")</f>
        <v/>
      </c>
      <c r="O5378" s="87" t="str">
        <f>IFERROR(__xludf.DUMMYFUNCTION("""COMPUTED_VALUE"""),"https://drive.google.com/drive/folders/10T2cTQHqEJZqE-st6uFKPoI?usp=share_link")</f>
        <v>https://drive.google.com/drive/folders/10T2cTQHqEJZqE-st6uFKPoI?usp=share_link</v>
      </c>
      <c r="P5378" s="6" t="str">
        <f>IFERROR(__xludf.DUMMYFUNCTION("""COMPUTED_VALUE"""),"Damian Torreblanca-Angel")</f>
        <v>Damian Torreblanca-Angel</v>
      </c>
      <c r="Q5378" s="6" t="str">
        <f>IFERROR(__xludf.DUMMYFUNCTION("""COMPUTED_VALUE"""),"L2")</f>
        <v>L2</v>
      </c>
      <c r="R5378" s="6">
        <f>IFERROR(__xludf.DUMMYFUNCTION("""COMPUTED_VALUE"""),2.0)</f>
        <v>2</v>
      </c>
      <c r="S5378" s="6" t="str">
        <f>IFERROR(__xludf.DUMMYFUNCTION("""COMPUTED_VALUE"""),"Kimberly Ball")</f>
        <v>Kimberly Ball</v>
      </c>
      <c r="T5378" s="6" t="str">
        <f>IFERROR(__xludf.DUMMYFUNCTION("""COMPUTED_VALUE"""),"kimberly.ball@studient.com")</f>
        <v>kimberly.ball@studient.com</v>
      </c>
      <c r="U5378" s="6" t="str">
        <f>IFERROR(__xludf.DUMMYFUNCTION("""COMPUTED_VALUE"""),"4")</f>
        <v>4</v>
      </c>
      <c r="V5378" s="6" t="str">
        <f>IFERROR(__xludf.DUMMYFUNCTION("""COMPUTED_VALUE"""),"")</f>
        <v/>
      </c>
      <c r="W5378" s="6" t="str">
        <f>IFERROR(__xludf.DUMMYFUNCTION("""COMPUTED_VALUE"""),"[]")</f>
        <v>[]</v>
      </c>
      <c r="X5378" s="6" t="str">
        <f>IFERROR(__xludf.DUMMYFUNCTION("""COMPUTED_VALUE"""),"Enrolled")</f>
        <v>Enrolled</v>
      </c>
    </row>
    <row r="5379">
      <c r="A5379" s="6" t="str">
        <f>IFERROR(__xludf.DUMMYFUNCTION("""COMPUTED_VALUE"""),"086-12770")</f>
        <v>086-12770</v>
      </c>
      <c r="B5379" s="6" t="str">
        <f>IFERROR(__xludf.DUMMYFUNCTION("""COMPUTED_VALUE"""),"86")</f>
        <v>86</v>
      </c>
      <c r="C5379" s="6" t="str">
        <f>IFERROR(__xludf.DUMMYFUNCTION("""COMPUTED_VALUE"""),"12770")</f>
        <v>12770</v>
      </c>
      <c r="D5379" s="6" t="str">
        <f>IFERROR(__xludf.DUMMYFUNCTION("""COMPUTED_VALUE"""),"Esperanza")</f>
        <v>Esperanza</v>
      </c>
      <c r="E5379" s="6" t="str">
        <f>IFERROR(__xludf.DUMMYFUNCTION("""COMPUTED_VALUE"""),"")</f>
        <v/>
      </c>
      <c r="F5379" s="6" t="str">
        <f>IFERROR(__xludf.DUMMYFUNCTION("""COMPUTED_VALUE"""),"Torres Cordova")</f>
        <v>Torres Cordova</v>
      </c>
      <c r="G5379" s="6" t="str">
        <f>IFERROR(__xludf.DUMMYFUNCTION("""COMPUTED_VALUE"""),"10/18/2017")</f>
        <v>10/18/2017</v>
      </c>
      <c r="H5379" s="6" t="str">
        <f>IFERROR(__xludf.DUMMYFUNCTION("""COMPUTED_VALUE"""),"female")</f>
        <v>female</v>
      </c>
      <c r="I5379" s="6" t="str">
        <f>IFERROR(__xludf.DUMMYFUNCTION("""COMPUTED_VALUE"""),"Level 2")</f>
        <v>Level 2</v>
      </c>
      <c r="J5379" s="6" t="str">
        <f>IFERROR(__xludf.DUMMYFUNCTION("""COMPUTED_VALUE"""),"4")</f>
        <v>4</v>
      </c>
      <c r="K5379" s="6" t="str">
        <f>IFERROR(__xludf.DUMMYFUNCTION("""COMPUTED_VALUE"""),"esperanza.torrescordova@2hourlearning.com")</f>
        <v>esperanza.torrescordova@2hourlearning.com</v>
      </c>
      <c r="L5379" s="6" t="str">
        <f>IFERROR(__xludf.DUMMYFUNCTION("""COMPUTED_VALUE"""),"JRES - Ridgeland Elementary School")</f>
        <v>JRES - Ridgeland Elementary School</v>
      </c>
      <c r="M5379" s="6" t="str">
        <f>IFERROR(__xludf.DUMMYFUNCTION("""COMPUTED_VALUE"""),"")</f>
        <v/>
      </c>
      <c r="N5379" s="6" t="str">
        <f>IFERROR(__xludf.DUMMYFUNCTION("""COMPUTED_VALUE"""),"")</f>
        <v/>
      </c>
      <c r="O5379" s="87" t="str">
        <f>IFERROR(__xludf.DUMMYFUNCTION("""COMPUTED_VALUE"""),"https://drive.google.com/drive/folders/10T2cTQHqEJZqE-st6uFKPoI?usp=share_link")</f>
        <v>https://drive.google.com/drive/folders/10T2cTQHqEJZqE-st6uFKPoI?usp=share_link</v>
      </c>
      <c r="P5379" s="6" t="str">
        <f>IFERROR(__xludf.DUMMYFUNCTION("""COMPUTED_VALUE"""),"Esperanza Torres Cordova")</f>
        <v>Esperanza Torres Cordova</v>
      </c>
      <c r="Q5379" s="6" t="str">
        <f>IFERROR(__xludf.DUMMYFUNCTION("""COMPUTED_VALUE"""),"L2")</f>
        <v>L2</v>
      </c>
      <c r="R5379" s="6">
        <f>IFERROR(__xludf.DUMMYFUNCTION("""COMPUTED_VALUE"""),2.0)</f>
        <v>2</v>
      </c>
      <c r="S5379" s="6" t="str">
        <f>IFERROR(__xludf.DUMMYFUNCTION("""COMPUTED_VALUE"""),"Kimberly Ball")</f>
        <v>Kimberly Ball</v>
      </c>
      <c r="T5379" s="6" t="str">
        <f>IFERROR(__xludf.DUMMYFUNCTION("""COMPUTED_VALUE"""),"kimberly.ball@studient.com")</f>
        <v>kimberly.ball@studient.com</v>
      </c>
      <c r="U5379" s="6" t="str">
        <f>IFERROR(__xludf.DUMMYFUNCTION("""COMPUTED_VALUE"""),"4")</f>
        <v>4</v>
      </c>
      <c r="V5379" s="6" t="str">
        <f>IFERROR(__xludf.DUMMYFUNCTION("""COMPUTED_VALUE"""),"")</f>
        <v/>
      </c>
      <c r="W5379" s="6" t="str">
        <f>IFERROR(__xludf.DUMMYFUNCTION("""COMPUTED_VALUE"""),"[]")</f>
        <v>[]</v>
      </c>
      <c r="X5379" s="6" t="str">
        <f>IFERROR(__xludf.DUMMYFUNCTION("""COMPUTED_VALUE"""),"Enrolled")</f>
        <v>Enrolled</v>
      </c>
    </row>
    <row r="5380">
      <c r="A5380" s="6" t="str">
        <f>IFERROR(__xludf.DUMMYFUNCTION("""COMPUTED_VALUE"""),"086-12771")</f>
        <v>086-12771</v>
      </c>
      <c r="B5380" s="6" t="str">
        <f>IFERROR(__xludf.DUMMYFUNCTION("""COMPUTED_VALUE"""),"86")</f>
        <v>86</v>
      </c>
      <c r="C5380" s="6" t="str">
        <f>IFERROR(__xludf.DUMMYFUNCTION("""COMPUTED_VALUE"""),"12771")</f>
        <v>12771</v>
      </c>
      <c r="D5380" s="6" t="str">
        <f>IFERROR(__xludf.DUMMYFUNCTION("""COMPUTED_VALUE"""),"Jesus")</f>
        <v>Jesus</v>
      </c>
      <c r="E5380" s="6" t="str">
        <f>IFERROR(__xludf.DUMMYFUNCTION("""COMPUTED_VALUE"""),"")</f>
        <v/>
      </c>
      <c r="F5380" s="6" t="str">
        <f>IFERROR(__xludf.DUMMYFUNCTION("""COMPUTED_VALUE"""),"Trujillo De La Cruz")</f>
        <v>Trujillo De La Cruz</v>
      </c>
      <c r="G5380" s="6" t="str">
        <f>IFERROR(__xludf.DUMMYFUNCTION("""COMPUTED_VALUE"""),"08/16/2015")</f>
        <v>08/16/2015</v>
      </c>
      <c r="H5380" s="6" t="str">
        <f>IFERROR(__xludf.DUMMYFUNCTION("""COMPUTED_VALUE"""),"male")</f>
        <v>male</v>
      </c>
      <c r="I5380" s="6" t="str">
        <f>IFERROR(__xludf.DUMMYFUNCTION("""COMPUTED_VALUE"""),"Level 2")</f>
        <v>Level 2</v>
      </c>
      <c r="J5380" s="6" t="str">
        <f>IFERROR(__xludf.DUMMYFUNCTION("""COMPUTED_VALUE"""),"4")</f>
        <v>4</v>
      </c>
      <c r="K5380" s="6" t="str">
        <f>IFERROR(__xludf.DUMMYFUNCTION("""COMPUTED_VALUE"""),"jesus.trujillodelacruz@2hourlearning.com")</f>
        <v>jesus.trujillodelacruz@2hourlearning.com</v>
      </c>
      <c r="L5380" s="6" t="str">
        <f>IFERROR(__xludf.DUMMYFUNCTION("""COMPUTED_VALUE"""),"JRES - Ridgeland Elementary School")</f>
        <v>JRES - Ridgeland Elementary School</v>
      </c>
      <c r="M5380" s="6" t="str">
        <f>IFERROR(__xludf.DUMMYFUNCTION("""COMPUTED_VALUE"""),"")</f>
        <v/>
      </c>
      <c r="N5380" s="6" t="str">
        <f>IFERROR(__xludf.DUMMYFUNCTION("""COMPUTED_VALUE"""),"")</f>
        <v/>
      </c>
      <c r="O5380" s="87" t="str">
        <f>IFERROR(__xludf.DUMMYFUNCTION("""COMPUTED_VALUE"""),"https://drive.google.com/drive/folders/10T2cTQHqEJZqE-st6uFKPoI?usp=share_link")</f>
        <v>https://drive.google.com/drive/folders/10T2cTQHqEJZqE-st6uFKPoI?usp=share_link</v>
      </c>
      <c r="P5380" s="6" t="str">
        <f>IFERROR(__xludf.DUMMYFUNCTION("""COMPUTED_VALUE"""),"Jesus Trujillo De La Cruz")</f>
        <v>Jesus Trujillo De La Cruz</v>
      </c>
      <c r="Q5380" s="6" t="str">
        <f>IFERROR(__xludf.DUMMYFUNCTION("""COMPUTED_VALUE"""),"L2")</f>
        <v>L2</v>
      </c>
      <c r="R5380" s="6">
        <f>IFERROR(__xludf.DUMMYFUNCTION("""COMPUTED_VALUE"""),2.0)</f>
        <v>2</v>
      </c>
      <c r="S5380" s="6" t="str">
        <f>IFERROR(__xludf.DUMMYFUNCTION("""COMPUTED_VALUE"""),"Kimberly Ball")</f>
        <v>Kimberly Ball</v>
      </c>
      <c r="T5380" s="6" t="str">
        <f>IFERROR(__xludf.DUMMYFUNCTION("""COMPUTED_VALUE"""),"kimberly.ball@studient.com")</f>
        <v>kimberly.ball@studient.com</v>
      </c>
      <c r="U5380" s="6" t="str">
        <f>IFERROR(__xludf.DUMMYFUNCTION("""COMPUTED_VALUE"""),"4")</f>
        <v>4</v>
      </c>
      <c r="V5380" s="6" t="str">
        <f>IFERROR(__xludf.DUMMYFUNCTION("""COMPUTED_VALUE"""),"")</f>
        <v/>
      </c>
      <c r="W5380" s="6" t="str">
        <f>IFERROR(__xludf.DUMMYFUNCTION("""COMPUTED_VALUE"""),"[]")</f>
        <v>[]</v>
      </c>
      <c r="X5380" s="6" t="str">
        <f>IFERROR(__xludf.DUMMYFUNCTION("""COMPUTED_VALUE"""),"Enrolled")</f>
        <v>Enrolled</v>
      </c>
    </row>
    <row r="5381">
      <c r="A5381" s="6" t="str">
        <f>IFERROR(__xludf.DUMMYFUNCTION("""COMPUTED_VALUE"""),"086-12772")</f>
        <v>086-12772</v>
      </c>
      <c r="B5381" s="6" t="str">
        <f>IFERROR(__xludf.DUMMYFUNCTION("""COMPUTED_VALUE"""),"86")</f>
        <v>86</v>
      </c>
      <c r="C5381" s="6" t="str">
        <f>IFERROR(__xludf.DUMMYFUNCTION("""COMPUTED_VALUE"""),"12772")</f>
        <v>12772</v>
      </c>
      <c r="D5381" s="6" t="str">
        <f>IFERROR(__xludf.DUMMYFUNCTION("""COMPUTED_VALUE"""),"Melany")</f>
        <v>Melany</v>
      </c>
      <c r="E5381" s="6" t="str">
        <f>IFERROR(__xludf.DUMMYFUNCTION("""COMPUTED_VALUE"""),"")</f>
        <v/>
      </c>
      <c r="F5381" s="6" t="str">
        <f>IFERROR(__xludf.DUMMYFUNCTION("""COMPUTED_VALUE"""),"Trujillo-Mondragon")</f>
        <v>Trujillo-Mondragon</v>
      </c>
      <c r="G5381" s="6" t="str">
        <f>IFERROR(__xludf.DUMMYFUNCTION("""COMPUTED_VALUE"""),"08/17/2017")</f>
        <v>08/17/2017</v>
      </c>
      <c r="H5381" s="6" t="str">
        <f>IFERROR(__xludf.DUMMYFUNCTION("""COMPUTED_VALUE"""),"male")</f>
        <v>male</v>
      </c>
      <c r="I5381" s="6" t="str">
        <f>IFERROR(__xludf.DUMMYFUNCTION("""COMPUTED_VALUE"""),"Level 2")</f>
        <v>Level 2</v>
      </c>
      <c r="J5381" s="6" t="str">
        <f>IFERROR(__xludf.DUMMYFUNCTION("""COMPUTED_VALUE"""),"4")</f>
        <v>4</v>
      </c>
      <c r="K5381" s="6" t="str">
        <f>IFERROR(__xludf.DUMMYFUNCTION("""COMPUTED_VALUE"""),"melany.trujillo-mondragon@2hourlearning.com")</f>
        <v>melany.trujillo-mondragon@2hourlearning.com</v>
      </c>
      <c r="L5381" s="6" t="str">
        <f>IFERROR(__xludf.DUMMYFUNCTION("""COMPUTED_VALUE"""),"JRES - Ridgeland Elementary School")</f>
        <v>JRES - Ridgeland Elementary School</v>
      </c>
      <c r="M5381" s="6" t="str">
        <f>IFERROR(__xludf.DUMMYFUNCTION("""COMPUTED_VALUE"""),"")</f>
        <v/>
      </c>
      <c r="N5381" s="6" t="str">
        <f>IFERROR(__xludf.DUMMYFUNCTION("""COMPUTED_VALUE"""),"")</f>
        <v/>
      </c>
      <c r="O5381" s="87" t="str">
        <f>IFERROR(__xludf.DUMMYFUNCTION("""COMPUTED_VALUE"""),"https://drive.google.com/drive/folders/10T2cTQHqEJZqE-st6uFKPoI?usp=share_link")</f>
        <v>https://drive.google.com/drive/folders/10T2cTQHqEJZqE-st6uFKPoI?usp=share_link</v>
      </c>
      <c r="P5381" s="6" t="str">
        <f>IFERROR(__xludf.DUMMYFUNCTION("""COMPUTED_VALUE"""),"Melany Trujillo-Mondragon")</f>
        <v>Melany Trujillo-Mondragon</v>
      </c>
      <c r="Q5381" s="6" t="str">
        <f>IFERROR(__xludf.DUMMYFUNCTION("""COMPUTED_VALUE"""),"L2")</f>
        <v>L2</v>
      </c>
      <c r="R5381" s="6">
        <f>IFERROR(__xludf.DUMMYFUNCTION("""COMPUTED_VALUE"""),2.0)</f>
        <v>2</v>
      </c>
      <c r="S5381" s="6" t="str">
        <f>IFERROR(__xludf.DUMMYFUNCTION("""COMPUTED_VALUE"""),"Kimberly Ball")</f>
        <v>Kimberly Ball</v>
      </c>
      <c r="T5381" s="6" t="str">
        <f>IFERROR(__xludf.DUMMYFUNCTION("""COMPUTED_VALUE"""),"kimberly.ball@studient.com")</f>
        <v>kimberly.ball@studient.com</v>
      </c>
      <c r="U5381" s="6" t="str">
        <f>IFERROR(__xludf.DUMMYFUNCTION("""COMPUTED_VALUE"""),"4")</f>
        <v>4</v>
      </c>
      <c r="V5381" s="6" t="str">
        <f>IFERROR(__xludf.DUMMYFUNCTION("""COMPUTED_VALUE"""),"")</f>
        <v/>
      </c>
      <c r="W5381" s="6" t="str">
        <f>IFERROR(__xludf.DUMMYFUNCTION("""COMPUTED_VALUE"""),"[]")</f>
        <v>[]</v>
      </c>
      <c r="X5381" s="6" t="str">
        <f>IFERROR(__xludf.DUMMYFUNCTION("""COMPUTED_VALUE"""),"Enrolled")</f>
        <v>Enrolled</v>
      </c>
    </row>
    <row r="5382">
      <c r="A5382" s="6" t="str">
        <f>IFERROR(__xludf.DUMMYFUNCTION("""COMPUTED_VALUE"""),"086-12773")</f>
        <v>086-12773</v>
      </c>
      <c r="B5382" s="6" t="str">
        <f>IFERROR(__xludf.DUMMYFUNCTION("""COMPUTED_VALUE"""),"86")</f>
        <v>86</v>
      </c>
      <c r="C5382" s="6" t="str">
        <f>IFERROR(__xludf.DUMMYFUNCTION("""COMPUTED_VALUE"""),"12773")</f>
        <v>12773</v>
      </c>
      <c r="D5382" s="6" t="str">
        <f>IFERROR(__xludf.DUMMYFUNCTION("""COMPUTED_VALUE"""),"Naiker")</f>
        <v>Naiker</v>
      </c>
      <c r="E5382" s="6" t="str">
        <f>IFERROR(__xludf.DUMMYFUNCTION("""COMPUTED_VALUE"""),"")</f>
        <v/>
      </c>
      <c r="F5382" s="6" t="str">
        <f>IFERROR(__xludf.DUMMYFUNCTION("""COMPUTED_VALUE"""),"Velasquez Garcia")</f>
        <v>Velasquez Garcia</v>
      </c>
      <c r="G5382" s="6" t="str">
        <f>IFERROR(__xludf.DUMMYFUNCTION("""COMPUTED_VALUE"""),"12/30/2015")</f>
        <v>12/30/2015</v>
      </c>
      <c r="H5382" s="6" t="str">
        <f>IFERROR(__xludf.DUMMYFUNCTION("""COMPUTED_VALUE"""),"male")</f>
        <v>male</v>
      </c>
      <c r="I5382" s="6" t="str">
        <f>IFERROR(__xludf.DUMMYFUNCTION("""COMPUTED_VALUE"""),"Level 2")</f>
        <v>Level 2</v>
      </c>
      <c r="J5382" s="6" t="str">
        <f>IFERROR(__xludf.DUMMYFUNCTION("""COMPUTED_VALUE"""),"4")</f>
        <v>4</v>
      </c>
      <c r="K5382" s="6" t="str">
        <f>IFERROR(__xludf.DUMMYFUNCTION("""COMPUTED_VALUE"""),"naiker.velasquezgarcia@2hourlearning.com")</f>
        <v>naiker.velasquezgarcia@2hourlearning.com</v>
      </c>
      <c r="L5382" s="6" t="str">
        <f>IFERROR(__xludf.DUMMYFUNCTION("""COMPUTED_VALUE"""),"JRES - Ridgeland Elementary School")</f>
        <v>JRES - Ridgeland Elementary School</v>
      </c>
      <c r="M5382" s="6" t="str">
        <f>IFERROR(__xludf.DUMMYFUNCTION("""COMPUTED_VALUE"""),"")</f>
        <v/>
      </c>
      <c r="N5382" s="6" t="str">
        <f>IFERROR(__xludf.DUMMYFUNCTION("""COMPUTED_VALUE"""),"")</f>
        <v/>
      </c>
      <c r="O5382" s="87" t="str">
        <f>IFERROR(__xludf.DUMMYFUNCTION("""COMPUTED_VALUE"""),"https://drive.google.com/drive/folders/10T2cTQHqEJZqE-st6uFKPoI?usp=share_link")</f>
        <v>https://drive.google.com/drive/folders/10T2cTQHqEJZqE-st6uFKPoI?usp=share_link</v>
      </c>
      <c r="P5382" s="6" t="str">
        <f>IFERROR(__xludf.DUMMYFUNCTION("""COMPUTED_VALUE"""),"Naiker Velasquez Garcia")</f>
        <v>Naiker Velasquez Garcia</v>
      </c>
      <c r="Q5382" s="6" t="str">
        <f>IFERROR(__xludf.DUMMYFUNCTION("""COMPUTED_VALUE"""),"L2")</f>
        <v>L2</v>
      </c>
      <c r="R5382" s="6">
        <f>IFERROR(__xludf.DUMMYFUNCTION("""COMPUTED_VALUE"""),2.0)</f>
        <v>2</v>
      </c>
      <c r="S5382" s="6" t="str">
        <f>IFERROR(__xludf.DUMMYFUNCTION("""COMPUTED_VALUE"""),"Kimberly Ball")</f>
        <v>Kimberly Ball</v>
      </c>
      <c r="T5382" s="6" t="str">
        <f>IFERROR(__xludf.DUMMYFUNCTION("""COMPUTED_VALUE"""),"kimberly.ball@studient.com")</f>
        <v>kimberly.ball@studient.com</v>
      </c>
      <c r="U5382" s="6" t="str">
        <f>IFERROR(__xludf.DUMMYFUNCTION("""COMPUTED_VALUE"""),"4")</f>
        <v>4</v>
      </c>
      <c r="V5382" s="6" t="str">
        <f>IFERROR(__xludf.DUMMYFUNCTION("""COMPUTED_VALUE"""),"")</f>
        <v/>
      </c>
      <c r="W5382" s="6" t="str">
        <f>IFERROR(__xludf.DUMMYFUNCTION("""COMPUTED_VALUE"""),"[]")</f>
        <v>[]</v>
      </c>
      <c r="X5382" s="6" t="str">
        <f>IFERROR(__xludf.DUMMYFUNCTION("""COMPUTED_VALUE"""),"Enrolled")</f>
        <v>Enrolled</v>
      </c>
    </row>
    <row r="5383">
      <c r="A5383" s="6" t="str">
        <f>IFERROR(__xludf.DUMMYFUNCTION("""COMPUTED_VALUE"""),"086-12774")</f>
        <v>086-12774</v>
      </c>
      <c r="B5383" s="6" t="str">
        <f>IFERROR(__xludf.DUMMYFUNCTION("""COMPUTED_VALUE"""),"86")</f>
        <v>86</v>
      </c>
      <c r="C5383" s="6" t="str">
        <f>IFERROR(__xludf.DUMMYFUNCTION("""COMPUTED_VALUE"""),"12774")</f>
        <v>12774</v>
      </c>
      <c r="D5383" s="6" t="str">
        <f>IFERROR(__xludf.DUMMYFUNCTION("""COMPUTED_VALUE"""),"Makai")</f>
        <v>Makai</v>
      </c>
      <c r="E5383" s="6" t="str">
        <f>IFERROR(__xludf.DUMMYFUNCTION("""COMPUTED_VALUE"""),"")</f>
        <v/>
      </c>
      <c r="F5383" s="6" t="str">
        <f>IFERROR(__xludf.DUMMYFUNCTION("""COMPUTED_VALUE"""),"Watson")</f>
        <v>Watson</v>
      </c>
      <c r="G5383" s="6" t="str">
        <f>IFERROR(__xludf.DUMMYFUNCTION("""COMPUTED_VALUE"""),"09/30/2017")</f>
        <v>09/30/2017</v>
      </c>
      <c r="H5383" s="6" t="str">
        <f>IFERROR(__xludf.DUMMYFUNCTION("""COMPUTED_VALUE"""),"male")</f>
        <v>male</v>
      </c>
      <c r="I5383" s="6" t="str">
        <f>IFERROR(__xludf.DUMMYFUNCTION("""COMPUTED_VALUE"""),"Level 2")</f>
        <v>Level 2</v>
      </c>
      <c r="J5383" s="6" t="str">
        <f>IFERROR(__xludf.DUMMYFUNCTION("""COMPUTED_VALUE"""),"4")</f>
        <v>4</v>
      </c>
      <c r="K5383" s="6" t="str">
        <f>IFERROR(__xludf.DUMMYFUNCTION("""COMPUTED_VALUE"""),"makai.watson@2hourlearning.com")</f>
        <v>makai.watson@2hourlearning.com</v>
      </c>
      <c r="L5383" s="6" t="str">
        <f>IFERROR(__xludf.DUMMYFUNCTION("""COMPUTED_VALUE"""),"JRES - Ridgeland Elementary School")</f>
        <v>JRES - Ridgeland Elementary School</v>
      </c>
      <c r="M5383" s="6" t="str">
        <f>IFERROR(__xludf.DUMMYFUNCTION("""COMPUTED_VALUE"""),"")</f>
        <v/>
      </c>
      <c r="N5383" s="6" t="str">
        <f>IFERROR(__xludf.DUMMYFUNCTION("""COMPUTED_VALUE"""),"")</f>
        <v/>
      </c>
      <c r="O5383" s="87" t="str">
        <f>IFERROR(__xludf.DUMMYFUNCTION("""COMPUTED_VALUE"""),"https://drive.google.com/drive/folders/10T2cTQHqEJZqE-st6uFKPoI?usp=share_link")</f>
        <v>https://drive.google.com/drive/folders/10T2cTQHqEJZqE-st6uFKPoI?usp=share_link</v>
      </c>
      <c r="P5383" s="6" t="str">
        <f>IFERROR(__xludf.DUMMYFUNCTION("""COMPUTED_VALUE"""),"Makai Watson")</f>
        <v>Makai Watson</v>
      </c>
      <c r="Q5383" s="6" t="str">
        <f>IFERROR(__xludf.DUMMYFUNCTION("""COMPUTED_VALUE"""),"L2")</f>
        <v>L2</v>
      </c>
      <c r="R5383" s="6">
        <f>IFERROR(__xludf.DUMMYFUNCTION("""COMPUTED_VALUE"""),2.0)</f>
        <v>2</v>
      </c>
      <c r="S5383" s="6" t="str">
        <f>IFERROR(__xludf.DUMMYFUNCTION("""COMPUTED_VALUE"""),"Kimberly Ball")</f>
        <v>Kimberly Ball</v>
      </c>
      <c r="T5383" s="6" t="str">
        <f>IFERROR(__xludf.DUMMYFUNCTION("""COMPUTED_VALUE"""),"kimberly.ball@studient.com")</f>
        <v>kimberly.ball@studient.com</v>
      </c>
      <c r="U5383" s="6" t="str">
        <f>IFERROR(__xludf.DUMMYFUNCTION("""COMPUTED_VALUE"""),"4")</f>
        <v>4</v>
      </c>
      <c r="V5383" s="6" t="str">
        <f>IFERROR(__xludf.DUMMYFUNCTION("""COMPUTED_VALUE"""),"")</f>
        <v/>
      </c>
      <c r="W5383" s="6" t="str">
        <f>IFERROR(__xludf.DUMMYFUNCTION("""COMPUTED_VALUE"""),"[]")</f>
        <v>[]</v>
      </c>
      <c r="X5383" s="6" t="str">
        <f>IFERROR(__xludf.DUMMYFUNCTION("""COMPUTED_VALUE"""),"Enrolled")</f>
        <v>Enrolled</v>
      </c>
    </row>
    <row r="5384">
      <c r="A5384" s="6" t="str">
        <f>IFERROR(__xludf.DUMMYFUNCTION("""COMPUTED_VALUE"""),"086-12775")</f>
        <v>086-12775</v>
      </c>
      <c r="B5384" s="6" t="str">
        <f>IFERROR(__xludf.DUMMYFUNCTION("""COMPUTED_VALUE"""),"86")</f>
        <v>86</v>
      </c>
      <c r="C5384" s="6" t="str">
        <f>IFERROR(__xludf.DUMMYFUNCTION("""COMPUTED_VALUE"""),"12775")</f>
        <v>12775</v>
      </c>
      <c r="D5384" s="6" t="str">
        <f>IFERROR(__xludf.DUMMYFUNCTION("""COMPUTED_VALUE"""),"Serinity")</f>
        <v>Serinity</v>
      </c>
      <c r="E5384" s="6" t="str">
        <f>IFERROR(__xludf.DUMMYFUNCTION("""COMPUTED_VALUE"""),"")</f>
        <v/>
      </c>
      <c r="F5384" s="6" t="str">
        <f>IFERROR(__xludf.DUMMYFUNCTION("""COMPUTED_VALUE"""),"Watson")</f>
        <v>Watson</v>
      </c>
      <c r="G5384" s="6" t="str">
        <f>IFERROR(__xludf.DUMMYFUNCTION("""COMPUTED_VALUE"""),"11/02/2013")</f>
        <v>11/02/2013</v>
      </c>
      <c r="H5384" s="6" t="str">
        <f>IFERROR(__xludf.DUMMYFUNCTION("""COMPUTED_VALUE"""),"female")</f>
        <v>female</v>
      </c>
      <c r="I5384" s="6" t="str">
        <f>IFERROR(__xludf.DUMMYFUNCTION("""COMPUTED_VALUE"""),"Level 2")</f>
        <v>Level 2</v>
      </c>
      <c r="J5384" s="6" t="str">
        <f>IFERROR(__xludf.DUMMYFUNCTION("""COMPUTED_VALUE"""),"4")</f>
        <v>4</v>
      </c>
      <c r="K5384" s="6" t="str">
        <f>IFERROR(__xludf.DUMMYFUNCTION("""COMPUTED_VALUE"""),"serinity.watson@2hourlearning.com")</f>
        <v>serinity.watson@2hourlearning.com</v>
      </c>
      <c r="L5384" s="6" t="str">
        <f>IFERROR(__xludf.DUMMYFUNCTION("""COMPUTED_VALUE"""),"JRES - Ridgeland Elementary School")</f>
        <v>JRES - Ridgeland Elementary School</v>
      </c>
      <c r="M5384" s="6" t="str">
        <f>IFERROR(__xludf.DUMMYFUNCTION("""COMPUTED_VALUE"""),"")</f>
        <v/>
      </c>
      <c r="N5384" s="6" t="str">
        <f>IFERROR(__xludf.DUMMYFUNCTION("""COMPUTED_VALUE"""),"")</f>
        <v/>
      </c>
      <c r="O5384" s="87" t="str">
        <f>IFERROR(__xludf.DUMMYFUNCTION("""COMPUTED_VALUE"""),"https://drive.google.com/drive/folders/10T2cTQHqEJZqE-st6uFKPoI?usp=share_link")</f>
        <v>https://drive.google.com/drive/folders/10T2cTQHqEJZqE-st6uFKPoI?usp=share_link</v>
      </c>
      <c r="P5384" s="6" t="str">
        <f>IFERROR(__xludf.DUMMYFUNCTION("""COMPUTED_VALUE"""),"Serinity Watson")</f>
        <v>Serinity Watson</v>
      </c>
      <c r="Q5384" s="6" t="str">
        <f>IFERROR(__xludf.DUMMYFUNCTION("""COMPUTED_VALUE"""),"L2")</f>
        <v>L2</v>
      </c>
      <c r="R5384" s="6">
        <f>IFERROR(__xludf.DUMMYFUNCTION("""COMPUTED_VALUE"""),2.0)</f>
        <v>2</v>
      </c>
      <c r="S5384" s="6" t="str">
        <f>IFERROR(__xludf.DUMMYFUNCTION("""COMPUTED_VALUE"""),"Kimberly Ball")</f>
        <v>Kimberly Ball</v>
      </c>
      <c r="T5384" s="6" t="str">
        <f>IFERROR(__xludf.DUMMYFUNCTION("""COMPUTED_VALUE"""),"kimberly.ball@studient.com")</f>
        <v>kimberly.ball@studient.com</v>
      </c>
      <c r="U5384" s="6" t="str">
        <f>IFERROR(__xludf.DUMMYFUNCTION("""COMPUTED_VALUE"""),"4")</f>
        <v>4</v>
      </c>
      <c r="V5384" s="6" t="str">
        <f>IFERROR(__xludf.DUMMYFUNCTION("""COMPUTED_VALUE"""),"")</f>
        <v/>
      </c>
      <c r="W5384" s="6" t="str">
        <f>IFERROR(__xludf.DUMMYFUNCTION("""COMPUTED_VALUE"""),"[]")</f>
        <v>[]</v>
      </c>
      <c r="X5384" s="6" t="str">
        <f>IFERROR(__xludf.DUMMYFUNCTION("""COMPUTED_VALUE"""),"Enrolled")</f>
        <v>Enrolled</v>
      </c>
    </row>
    <row r="5385">
      <c r="A5385" s="6" t="str">
        <f>IFERROR(__xludf.DUMMYFUNCTION("""COMPUTED_VALUE"""),"086-12776")</f>
        <v>086-12776</v>
      </c>
      <c r="B5385" s="6" t="str">
        <f>IFERROR(__xludf.DUMMYFUNCTION("""COMPUTED_VALUE"""),"86")</f>
        <v>86</v>
      </c>
      <c r="C5385" s="6" t="str">
        <f>IFERROR(__xludf.DUMMYFUNCTION("""COMPUTED_VALUE"""),"12776")</f>
        <v>12776</v>
      </c>
      <c r="D5385" s="6" t="str">
        <f>IFERROR(__xludf.DUMMYFUNCTION("""COMPUTED_VALUE"""),"Kade")</f>
        <v>Kade</v>
      </c>
      <c r="E5385" s="6" t="str">
        <f>IFERROR(__xludf.DUMMYFUNCTION("""COMPUTED_VALUE"""),"")</f>
        <v/>
      </c>
      <c r="F5385" s="6" t="str">
        <f>IFERROR(__xludf.DUMMYFUNCTION("""COMPUTED_VALUE"""),"Williams-Watson")</f>
        <v>Williams-Watson</v>
      </c>
      <c r="G5385" s="6" t="str">
        <f>IFERROR(__xludf.DUMMYFUNCTION("""COMPUTED_VALUE"""),"10/13/2016")</f>
        <v>10/13/2016</v>
      </c>
      <c r="H5385" s="6" t="str">
        <f>IFERROR(__xludf.DUMMYFUNCTION("""COMPUTED_VALUE"""),"female")</f>
        <v>female</v>
      </c>
      <c r="I5385" s="6" t="str">
        <f>IFERROR(__xludf.DUMMYFUNCTION("""COMPUTED_VALUE"""),"Level 2")</f>
        <v>Level 2</v>
      </c>
      <c r="J5385" s="6" t="str">
        <f>IFERROR(__xludf.DUMMYFUNCTION("""COMPUTED_VALUE"""),"4")</f>
        <v>4</v>
      </c>
      <c r="K5385" s="6" t="str">
        <f>IFERROR(__xludf.DUMMYFUNCTION("""COMPUTED_VALUE"""),"kade.williams-watson@2hourlearning.com")</f>
        <v>kade.williams-watson@2hourlearning.com</v>
      </c>
      <c r="L5385" s="6" t="str">
        <f>IFERROR(__xludf.DUMMYFUNCTION("""COMPUTED_VALUE"""),"JRES - Ridgeland Elementary School")</f>
        <v>JRES - Ridgeland Elementary School</v>
      </c>
      <c r="M5385" s="6" t="str">
        <f>IFERROR(__xludf.DUMMYFUNCTION("""COMPUTED_VALUE"""),"")</f>
        <v/>
      </c>
      <c r="N5385" s="6" t="str">
        <f>IFERROR(__xludf.DUMMYFUNCTION("""COMPUTED_VALUE"""),"")</f>
        <v/>
      </c>
      <c r="O5385" s="87" t="str">
        <f>IFERROR(__xludf.DUMMYFUNCTION("""COMPUTED_VALUE"""),"https://drive.google.com/drive/folders/10T2cTQHqEJZqE-st6uFKPoI?usp=share_link")</f>
        <v>https://drive.google.com/drive/folders/10T2cTQHqEJZqE-st6uFKPoI?usp=share_link</v>
      </c>
      <c r="P5385" s="6" t="str">
        <f>IFERROR(__xludf.DUMMYFUNCTION("""COMPUTED_VALUE"""),"Kade Williams-Watson")</f>
        <v>Kade Williams-Watson</v>
      </c>
      <c r="Q5385" s="6" t="str">
        <f>IFERROR(__xludf.DUMMYFUNCTION("""COMPUTED_VALUE"""),"L2")</f>
        <v>L2</v>
      </c>
      <c r="R5385" s="6">
        <f>IFERROR(__xludf.DUMMYFUNCTION("""COMPUTED_VALUE"""),2.0)</f>
        <v>2</v>
      </c>
      <c r="S5385" s="6" t="str">
        <f>IFERROR(__xludf.DUMMYFUNCTION("""COMPUTED_VALUE"""),"Kimberly Ball")</f>
        <v>Kimberly Ball</v>
      </c>
      <c r="T5385" s="6" t="str">
        <f>IFERROR(__xludf.DUMMYFUNCTION("""COMPUTED_VALUE"""),"kimberly.ball@studient.com")</f>
        <v>kimberly.ball@studient.com</v>
      </c>
      <c r="U5385" s="6" t="str">
        <f>IFERROR(__xludf.DUMMYFUNCTION("""COMPUTED_VALUE"""),"4")</f>
        <v>4</v>
      </c>
      <c r="V5385" s="6" t="str">
        <f>IFERROR(__xludf.DUMMYFUNCTION("""COMPUTED_VALUE"""),"")</f>
        <v/>
      </c>
      <c r="W5385" s="6" t="str">
        <f>IFERROR(__xludf.DUMMYFUNCTION("""COMPUTED_VALUE"""),"[]")</f>
        <v>[]</v>
      </c>
      <c r="X5385" s="6" t="str">
        <f>IFERROR(__xludf.DUMMYFUNCTION("""COMPUTED_VALUE"""),"Enrolled")</f>
        <v>Enrolled</v>
      </c>
    </row>
    <row r="5386">
      <c r="A5386" s="6" t="str">
        <f>IFERROR(__xludf.DUMMYFUNCTION("""COMPUTED_VALUE"""),"086-12777")</f>
        <v>086-12777</v>
      </c>
      <c r="B5386" s="6" t="str">
        <f>IFERROR(__xludf.DUMMYFUNCTION("""COMPUTED_VALUE"""),"86")</f>
        <v>86</v>
      </c>
      <c r="C5386" s="6" t="str">
        <f>IFERROR(__xludf.DUMMYFUNCTION("""COMPUTED_VALUE"""),"12777")</f>
        <v>12777</v>
      </c>
      <c r="D5386" s="6" t="str">
        <f>IFERROR(__xludf.DUMMYFUNCTION("""COMPUTED_VALUE"""),"Noelle")</f>
        <v>Noelle</v>
      </c>
      <c r="E5386" s="6" t="str">
        <f>IFERROR(__xludf.DUMMYFUNCTION("""COMPUTED_VALUE"""),"")</f>
        <v/>
      </c>
      <c r="F5386" s="6" t="str">
        <f>IFERROR(__xludf.DUMMYFUNCTION("""COMPUTED_VALUE"""),"Wilson")</f>
        <v>Wilson</v>
      </c>
      <c r="G5386" s="6" t="str">
        <f>IFERROR(__xludf.DUMMYFUNCTION("""COMPUTED_VALUE"""),"08/26/2014")</f>
        <v>08/26/2014</v>
      </c>
      <c r="H5386" s="6" t="str">
        <f>IFERROR(__xludf.DUMMYFUNCTION("""COMPUTED_VALUE"""),"male")</f>
        <v>male</v>
      </c>
      <c r="I5386" s="6" t="str">
        <f>IFERROR(__xludf.DUMMYFUNCTION("""COMPUTED_VALUE"""),"Level 2")</f>
        <v>Level 2</v>
      </c>
      <c r="J5386" s="6" t="str">
        <f>IFERROR(__xludf.DUMMYFUNCTION("""COMPUTED_VALUE"""),"4")</f>
        <v>4</v>
      </c>
      <c r="K5386" s="6" t="str">
        <f>IFERROR(__xludf.DUMMYFUNCTION("""COMPUTED_VALUE"""),"noelle.wilson@2hourlearning.com")</f>
        <v>noelle.wilson@2hourlearning.com</v>
      </c>
      <c r="L5386" s="6" t="str">
        <f>IFERROR(__xludf.DUMMYFUNCTION("""COMPUTED_VALUE"""),"JRES - Ridgeland Elementary School")</f>
        <v>JRES - Ridgeland Elementary School</v>
      </c>
      <c r="M5386" s="6" t="str">
        <f>IFERROR(__xludf.DUMMYFUNCTION("""COMPUTED_VALUE"""),"")</f>
        <v/>
      </c>
      <c r="N5386" s="6" t="str">
        <f>IFERROR(__xludf.DUMMYFUNCTION("""COMPUTED_VALUE"""),"")</f>
        <v/>
      </c>
      <c r="O5386" s="87" t="str">
        <f>IFERROR(__xludf.DUMMYFUNCTION("""COMPUTED_VALUE"""),"https://drive.google.com/drive/folders/10T2cTQHqEJZqE-st6uFKPoI?usp=share_link")</f>
        <v>https://drive.google.com/drive/folders/10T2cTQHqEJZqE-st6uFKPoI?usp=share_link</v>
      </c>
      <c r="P5386" s="6" t="str">
        <f>IFERROR(__xludf.DUMMYFUNCTION("""COMPUTED_VALUE"""),"Noelle Wilson")</f>
        <v>Noelle Wilson</v>
      </c>
      <c r="Q5386" s="6" t="str">
        <f>IFERROR(__xludf.DUMMYFUNCTION("""COMPUTED_VALUE"""),"L2")</f>
        <v>L2</v>
      </c>
      <c r="R5386" s="6">
        <f>IFERROR(__xludf.DUMMYFUNCTION("""COMPUTED_VALUE"""),2.0)</f>
        <v>2</v>
      </c>
      <c r="S5386" s="6" t="str">
        <f>IFERROR(__xludf.DUMMYFUNCTION("""COMPUTED_VALUE"""),"Kimberly Ball")</f>
        <v>Kimberly Ball</v>
      </c>
      <c r="T5386" s="6" t="str">
        <f>IFERROR(__xludf.DUMMYFUNCTION("""COMPUTED_VALUE"""),"kimberly.ball@studient.com")</f>
        <v>kimberly.ball@studient.com</v>
      </c>
      <c r="U5386" s="6" t="str">
        <f>IFERROR(__xludf.DUMMYFUNCTION("""COMPUTED_VALUE"""),"4")</f>
        <v>4</v>
      </c>
      <c r="V5386" s="6" t="str">
        <f>IFERROR(__xludf.DUMMYFUNCTION("""COMPUTED_VALUE"""),"")</f>
        <v/>
      </c>
      <c r="W5386" s="6" t="str">
        <f>IFERROR(__xludf.DUMMYFUNCTION("""COMPUTED_VALUE"""),"[]")</f>
        <v>[]</v>
      </c>
      <c r="X5386" s="6" t="str">
        <f>IFERROR(__xludf.DUMMYFUNCTION("""COMPUTED_VALUE"""),"Enrolled")</f>
        <v>Enrolled</v>
      </c>
    </row>
    <row r="5387">
      <c r="A5387" s="6" t="str">
        <f>IFERROR(__xludf.DUMMYFUNCTION("""COMPUTED_VALUE"""),"086-12778")</f>
        <v>086-12778</v>
      </c>
      <c r="B5387" s="6" t="str">
        <f>IFERROR(__xludf.DUMMYFUNCTION("""COMPUTED_VALUE"""),"86")</f>
        <v>86</v>
      </c>
      <c r="C5387" s="6" t="str">
        <f>IFERROR(__xludf.DUMMYFUNCTION("""COMPUTED_VALUE"""),"12778")</f>
        <v>12778</v>
      </c>
      <c r="D5387" s="6" t="str">
        <f>IFERROR(__xludf.DUMMYFUNCTION("""COMPUTED_VALUE"""),"Skylah")</f>
        <v>Skylah</v>
      </c>
      <c r="E5387" s="6" t="str">
        <f>IFERROR(__xludf.DUMMYFUNCTION("""COMPUTED_VALUE"""),"")</f>
        <v/>
      </c>
      <c r="F5387" s="6" t="str">
        <f>IFERROR(__xludf.DUMMYFUNCTION("""COMPUTED_VALUE"""),"Wright")</f>
        <v>Wright</v>
      </c>
      <c r="G5387" s="6" t="str">
        <f>IFERROR(__xludf.DUMMYFUNCTION("""COMPUTED_VALUE"""),"11/10/2015")</f>
        <v>11/10/2015</v>
      </c>
      <c r="H5387" s="6" t="str">
        <f>IFERROR(__xludf.DUMMYFUNCTION("""COMPUTED_VALUE"""),"male")</f>
        <v>male</v>
      </c>
      <c r="I5387" s="6" t="str">
        <f>IFERROR(__xludf.DUMMYFUNCTION("""COMPUTED_VALUE"""),"Level 2")</f>
        <v>Level 2</v>
      </c>
      <c r="J5387" s="6" t="str">
        <f>IFERROR(__xludf.DUMMYFUNCTION("""COMPUTED_VALUE"""),"4")</f>
        <v>4</v>
      </c>
      <c r="K5387" s="6" t="str">
        <f>IFERROR(__xludf.DUMMYFUNCTION("""COMPUTED_VALUE"""),"skylah.wright@2hourlearning.com")</f>
        <v>skylah.wright@2hourlearning.com</v>
      </c>
      <c r="L5387" s="6" t="str">
        <f>IFERROR(__xludf.DUMMYFUNCTION("""COMPUTED_VALUE"""),"JRES - Ridgeland Elementary School")</f>
        <v>JRES - Ridgeland Elementary School</v>
      </c>
      <c r="M5387" s="6" t="str">
        <f>IFERROR(__xludf.DUMMYFUNCTION("""COMPUTED_VALUE"""),"")</f>
        <v/>
      </c>
      <c r="N5387" s="6" t="str">
        <f>IFERROR(__xludf.DUMMYFUNCTION("""COMPUTED_VALUE"""),"")</f>
        <v/>
      </c>
      <c r="O5387" s="87" t="str">
        <f>IFERROR(__xludf.DUMMYFUNCTION("""COMPUTED_VALUE"""),"https://drive.google.com/drive/folders/10T2cTQHqEJZqE-st6uFKPoI?usp=share_link")</f>
        <v>https://drive.google.com/drive/folders/10T2cTQHqEJZqE-st6uFKPoI?usp=share_link</v>
      </c>
      <c r="P5387" s="6" t="str">
        <f>IFERROR(__xludf.DUMMYFUNCTION("""COMPUTED_VALUE"""),"Skylah Wright")</f>
        <v>Skylah Wright</v>
      </c>
      <c r="Q5387" s="6" t="str">
        <f>IFERROR(__xludf.DUMMYFUNCTION("""COMPUTED_VALUE"""),"L2")</f>
        <v>L2</v>
      </c>
      <c r="R5387" s="6">
        <f>IFERROR(__xludf.DUMMYFUNCTION("""COMPUTED_VALUE"""),2.0)</f>
        <v>2</v>
      </c>
      <c r="S5387" s="6" t="str">
        <f>IFERROR(__xludf.DUMMYFUNCTION("""COMPUTED_VALUE"""),"Kimberly Ball")</f>
        <v>Kimberly Ball</v>
      </c>
      <c r="T5387" s="6" t="str">
        <f>IFERROR(__xludf.DUMMYFUNCTION("""COMPUTED_VALUE"""),"kimberly.ball@studient.com")</f>
        <v>kimberly.ball@studient.com</v>
      </c>
      <c r="U5387" s="6" t="str">
        <f>IFERROR(__xludf.DUMMYFUNCTION("""COMPUTED_VALUE"""),"4")</f>
        <v>4</v>
      </c>
      <c r="V5387" s="6" t="str">
        <f>IFERROR(__xludf.DUMMYFUNCTION("""COMPUTED_VALUE"""),"")</f>
        <v/>
      </c>
      <c r="W5387" s="6" t="str">
        <f>IFERROR(__xludf.DUMMYFUNCTION("""COMPUTED_VALUE"""),"[]")</f>
        <v>[]</v>
      </c>
      <c r="X5387" s="6" t="str">
        <f>IFERROR(__xludf.DUMMYFUNCTION("""COMPUTED_VALUE"""),"Enrolled")</f>
        <v>Enrolled</v>
      </c>
    </row>
    <row r="5388">
      <c r="A5388" s="6" t="str">
        <f>IFERROR(__xludf.DUMMYFUNCTION("""COMPUTED_VALUE"""),"086-12779")</f>
        <v>086-12779</v>
      </c>
      <c r="B5388" s="6" t="str">
        <f>IFERROR(__xludf.DUMMYFUNCTION("""COMPUTED_VALUE"""),"86")</f>
        <v>86</v>
      </c>
      <c r="C5388" s="6" t="str">
        <f>IFERROR(__xludf.DUMMYFUNCTION("""COMPUTED_VALUE"""),"12779")</f>
        <v>12779</v>
      </c>
      <c r="D5388" s="6" t="str">
        <f>IFERROR(__xludf.DUMMYFUNCTION("""COMPUTED_VALUE"""),"Karla")</f>
        <v>Karla</v>
      </c>
      <c r="E5388" s="6" t="str">
        <f>IFERROR(__xludf.DUMMYFUNCTION("""COMPUTED_VALUE"""),"")</f>
        <v/>
      </c>
      <c r="F5388" s="6" t="str">
        <f>IFERROR(__xludf.DUMMYFUNCTION("""COMPUTED_VALUE"""),"Zarate")</f>
        <v>Zarate</v>
      </c>
      <c r="G5388" s="6" t="str">
        <f>IFERROR(__xludf.DUMMYFUNCTION("""COMPUTED_VALUE"""),"11/17/2017")</f>
        <v>11/17/2017</v>
      </c>
      <c r="H5388" s="6" t="str">
        <f>IFERROR(__xludf.DUMMYFUNCTION("""COMPUTED_VALUE"""),"male")</f>
        <v>male</v>
      </c>
      <c r="I5388" s="6" t="str">
        <f>IFERROR(__xludf.DUMMYFUNCTION("""COMPUTED_VALUE"""),"Level 2")</f>
        <v>Level 2</v>
      </c>
      <c r="J5388" s="6" t="str">
        <f>IFERROR(__xludf.DUMMYFUNCTION("""COMPUTED_VALUE"""),"4")</f>
        <v>4</v>
      </c>
      <c r="K5388" s="6" t="str">
        <f>IFERROR(__xludf.DUMMYFUNCTION("""COMPUTED_VALUE"""),"karla.zarate@2hourlearning.com")</f>
        <v>karla.zarate@2hourlearning.com</v>
      </c>
      <c r="L5388" s="6" t="str">
        <f>IFERROR(__xludf.DUMMYFUNCTION("""COMPUTED_VALUE"""),"JRES - Ridgeland Elementary School")</f>
        <v>JRES - Ridgeland Elementary School</v>
      </c>
      <c r="M5388" s="6" t="str">
        <f>IFERROR(__xludf.DUMMYFUNCTION("""COMPUTED_VALUE"""),"")</f>
        <v/>
      </c>
      <c r="N5388" s="6" t="str">
        <f>IFERROR(__xludf.DUMMYFUNCTION("""COMPUTED_VALUE"""),"")</f>
        <v/>
      </c>
      <c r="O5388" s="87" t="str">
        <f>IFERROR(__xludf.DUMMYFUNCTION("""COMPUTED_VALUE"""),"https://drive.google.com/drive/folders/10T2cTQHqEJZqE-st6uFKPoI?usp=share_link")</f>
        <v>https://drive.google.com/drive/folders/10T2cTQHqEJZqE-st6uFKPoI?usp=share_link</v>
      </c>
      <c r="P5388" s="6" t="str">
        <f>IFERROR(__xludf.DUMMYFUNCTION("""COMPUTED_VALUE"""),"Karla Zarate")</f>
        <v>Karla Zarate</v>
      </c>
      <c r="Q5388" s="6" t="str">
        <f>IFERROR(__xludf.DUMMYFUNCTION("""COMPUTED_VALUE"""),"L2")</f>
        <v>L2</v>
      </c>
      <c r="R5388" s="6">
        <f>IFERROR(__xludf.DUMMYFUNCTION("""COMPUTED_VALUE"""),2.0)</f>
        <v>2</v>
      </c>
      <c r="S5388" s="6" t="str">
        <f>IFERROR(__xludf.DUMMYFUNCTION("""COMPUTED_VALUE"""),"Kimberly Ball")</f>
        <v>Kimberly Ball</v>
      </c>
      <c r="T5388" s="6" t="str">
        <f>IFERROR(__xludf.DUMMYFUNCTION("""COMPUTED_VALUE"""),"kimberly.ball@studient.com")</f>
        <v>kimberly.ball@studient.com</v>
      </c>
      <c r="U5388" s="6" t="str">
        <f>IFERROR(__xludf.DUMMYFUNCTION("""COMPUTED_VALUE"""),"4")</f>
        <v>4</v>
      </c>
      <c r="V5388" s="6" t="str">
        <f>IFERROR(__xludf.DUMMYFUNCTION("""COMPUTED_VALUE"""),"")</f>
        <v/>
      </c>
      <c r="W5388" s="6" t="str">
        <f>IFERROR(__xludf.DUMMYFUNCTION("""COMPUTED_VALUE"""),"[]")</f>
        <v>[]</v>
      </c>
      <c r="X5388" s="6" t="str">
        <f>IFERROR(__xludf.DUMMYFUNCTION("""COMPUTED_VALUE"""),"Enrolled")</f>
        <v>Enrolled</v>
      </c>
    </row>
    <row r="5389">
      <c r="A5389" s="6" t="str">
        <f>IFERROR(__xludf.DUMMYFUNCTION("""COMPUTED_VALUE"""),"086-12780")</f>
        <v>086-12780</v>
      </c>
      <c r="B5389" s="6" t="str">
        <f>IFERROR(__xludf.DUMMYFUNCTION("""COMPUTED_VALUE"""),"86")</f>
        <v>86</v>
      </c>
      <c r="C5389" s="6" t="str">
        <f>IFERROR(__xludf.DUMMYFUNCTION("""COMPUTED_VALUE"""),"12780")</f>
        <v>12780</v>
      </c>
      <c r="D5389" s="6" t="str">
        <f>IFERROR(__xludf.DUMMYFUNCTION("""COMPUTED_VALUE"""),"Mia")</f>
        <v>Mia</v>
      </c>
      <c r="E5389" s="6" t="str">
        <f>IFERROR(__xludf.DUMMYFUNCTION("""COMPUTED_VALUE"""),"")</f>
        <v/>
      </c>
      <c r="F5389" s="6" t="str">
        <f>IFERROR(__xludf.DUMMYFUNCTION("""COMPUTED_VALUE"""),"Zavala Pelagio")</f>
        <v>Zavala Pelagio</v>
      </c>
      <c r="G5389" s="6" t="str">
        <f>IFERROR(__xludf.DUMMYFUNCTION("""COMPUTED_VALUE"""),"01/06/2015")</f>
        <v>01/06/2015</v>
      </c>
      <c r="H5389" s="6" t="str">
        <f>IFERROR(__xludf.DUMMYFUNCTION("""COMPUTED_VALUE"""),"Self Identify")</f>
        <v>Self Identify</v>
      </c>
      <c r="I5389" s="6" t="str">
        <f>IFERROR(__xludf.DUMMYFUNCTION("""COMPUTED_VALUE"""),"Level 2")</f>
        <v>Level 2</v>
      </c>
      <c r="J5389" s="6" t="str">
        <f>IFERROR(__xludf.DUMMYFUNCTION("""COMPUTED_VALUE"""),"4")</f>
        <v>4</v>
      </c>
      <c r="K5389" s="6" t="str">
        <f>IFERROR(__xludf.DUMMYFUNCTION("""COMPUTED_VALUE"""),"mia.zavalapelagio@2hourlearning.com")</f>
        <v>mia.zavalapelagio@2hourlearning.com</v>
      </c>
      <c r="L5389" s="6" t="str">
        <f>IFERROR(__xludf.DUMMYFUNCTION("""COMPUTED_VALUE"""),"JRES - Ridgeland Elementary School")</f>
        <v>JRES - Ridgeland Elementary School</v>
      </c>
      <c r="M5389" s="6" t="str">
        <f>IFERROR(__xludf.DUMMYFUNCTION("""COMPUTED_VALUE"""),"")</f>
        <v/>
      </c>
      <c r="N5389" s="6" t="str">
        <f>IFERROR(__xludf.DUMMYFUNCTION("""COMPUTED_VALUE"""),"")</f>
        <v/>
      </c>
      <c r="O5389" s="87" t="str">
        <f>IFERROR(__xludf.DUMMYFUNCTION("""COMPUTED_VALUE"""),"https://drive.google.com/drive/folders/10T2cTQHqEJZqE-st6uFKPoI?usp=share_link")</f>
        <v>https://drive.google.com/drive/folders/10T2cTQHqEJZqE-st6uFKPoI?usp=share_link</v>
      </c>
      <c r="P5389" s="6" t="str">
        <f>IFERROR(__xludf.DUMMYFUNCTION("""COMPUTED_VALUE"""),"Mia Zavala Pelagio")</f>
        <v>Mia Zavala Pelagio</v>
      </c>
      <c r="Q5389" s="6" t="str">
        <f>IFERROR(__xludf.DUMMYFUNCTION("""COMPUTED_VALUE"""),"L2")</f>
        <v>L2</v>
      </c>
      <c r="R5389" s="6">
        <f>IFERROR(__xludf.DUMMYFUNCTION("""COMPUTED_VALUE"""),2.0)</f>
        <v>2</v>
      </c>
      <c r="S5389" s="6" t="str">
        <f>IFERROR(__xludf.DUMMYFUNCTION("""COMPUTED_VALUE"""),"Kimberly Ball")</f>
        <v>Kimberly Ball</v>
      </c>
      <c r="T5389" s="6" t="str">
        <f>IFERROR(__xludf.DUMMYFUNCTION("""COMPUTED_VALUE"""),"kimberly.ball@studient.com")</f>
        <v>kimberly.ball@studient.com</v>
      </c>
      <c r="U5389" s="6" t="str">
        <f>IFERROR(__xludf.DUMMYFUNCTION("""COMPUTED_VALUE"""),"4")</f>
        <v>4</v>
      </c>
      <c r="V5389" s="6" t="str">
        <f>IFERROR(__xludf.DUMMYFUNCTION("""COMPUTED_VALUE"""),"")</f>
        <v/>
      </c>
      <c r="W5389" s="6" t="str">
        <f>IFERROR(__xludf.DUMMYFUNCTION("""COMPUTED_VALUE"""),"[]")</f>
        <v>[]</v>
      </c>
      <c r="X5389" s="6" t="str">
        <f>IFERROR(__xludf.DUMMYFUNCTION("""COMPUTED_VALUE"""),"Enrolled")</f>
        <v>Enrolled</v>
      </c>
    </row>
    <row r="5390">
      <c r="A5390" s="6" t="str">
        <f>IFERROR(__xludf.DUMMYFUNCTION("""COMPUTED_VALUE"""),"086-12781")</f>
        <v>086-12781</v>
      </c>
      <c r="B5390" s="6" t="str">
        <f>IFERROR(__xludf.DUMMYFUNCTION("""COMPUTED_VALUE"""),"86")</f>
        <v>86</v>
      </c>
      <c r="C5390" s="6" t="str">
        <f>IFERROR(__xludf.DUMMYFUNCTION("""COMPUTED_VALUE"""),"12781")</f>
        <v>12781</v>
      </c>
      <c r="D5390" s="6" t="str">
        <f>IFERROR(__xludf.DUMMYFUNCTION("""COMPUTED_VALUE"""),"Aaron")</f>
        <v>Aaron</v>
      </c>
      <c r="E5390" s="6" t="str">
        <f>IFERROR(__xludf.DUMMYFUNCTION("""COMPUTED_VALUE"""),"")</f>
        <v/>
      </c>
      <c r="F5390" s="6" t="str">
        <f>IFERROR(__xludf.DUMMYFUNCTION("""COMPUTED_VALUE"""),"Agustin Bravo")</f>
        <v>Agustin Bravo</v>
      </c>
      <c r="G5390" s="6" t="str">
        <f>IFERROR(__xludf.DUMMYFUNCTION("""COMPUTED_VALUE"""),"07/29/2016")</f>
        <v>07/29/2016</v>
      </c>
      <c r="H5390" s="6" t="str">
        <f>IFERROR(__xludf.DUMMYFUNCTION("""COMPUTED_VALUE"""),"male")</f>
        <v>male</v>
      </c>
      <c r="I5390" s="6" t="str">
        <f>IFERROR(__xludf.DUMMYFUNCTION("""COMPUTED_VALUE"""),"Level 2")</f>
        <v>Level 2</v>
      </c>
      <c r="J5390" s="6" t="str">
        <f>IFERROR(__xludf.DUMMYFUNCTION("""COMPUTED_VALUE"""),"5")</f>
        <v>5</v>
      </c>
      <c r="K5390" s="6" t="str">
        <f>IFERROR(__xludf.DUMMYFUNCTION("""COMPUTED_VALUE"""),"aaron.agustinbravo@2hourlearning.com")</f>
        <v>aaron.agustinbravo@2hourlearning.com</v>
      </c>
      <c r="L5390" s="6" t="str">
        <f>IFERROR(__xludf.DUMMYFUNCTION("""COMPUTED_VALUE"""),"JRES - Ridgeland Elementary School")</f>
        <v>JRES - Ridgeland Elementary School</v>
      </c>
      <c r="M5390" s="6" t="str">
        <f>IFERROR(__xludf.DUMMYFUNCTION("""COMPUTED_VALUE"""),"")</f>
        <v/>
      </c>
      <c r="N5390" s="6" t="str">
        <f>IFERROR(__xludf.DUMMYFUNCTION("""COMPUTED_VALUE"""),"")</f>
        <v/>
      </c>
      <c r="O5390" s="87" t="str">
        <f>IFERROR(__xludf.DUMMYFUNCTION("""COMPUTED_VALUE"""),"https://drive.google.com/drive/folders/10T2cTQHqEJZqE-st6uFKPoI?usp=share_link")</f>
        <v>https://drive.google.com/drive/folders/10T2cTQHqEJZqE-st6uFKPoI?usp=share_link</v>
      </c>
      <c r="P5390" s="6" t="str">
        <f>IFERROR(__xludf.DUMMYFUNCTION("""COMPUTED_VALUE"""),"Aaron Agustin Bravo")</f>
        <v>Aaron Agustin Bravo</v>
      </c>
      <c r="Q5390" s="6" t="str">
        <f>IFERROR(__xludf.DUMMYFUNCTION("""COMPUTED_VALUE"""),"L2")</f>
        <v>L2</v>
      </c>
      <c r="R5390" s="6">
        <f>IFERROR(__xludf.DUMMYFUNCTION("""COMPUTED_VALUE"""),2.0)</f>
        <v>2</v>
      </c>
      <c r="S5390" s="6" t="str">
        <f>IFERROR(__xludf.DUMMYFUNCTION("""COMPUTED_VALUE"""),"Kimberly Ball")</f>
        <v>Kimberly Ball</v>
      </c>
      <c r="T5390" s="6" t="str">
        <f>IFERROR(__xludf.DUMMYFUNCTION("""COMPUTED_VALUE"""),"kimberly.ball@studient.com")</f>
        <v>kimberly.ball@studient.com</v>
      </c>
      <c r="U5390" s="6" t="str">
        <f>IFERROR(__xludf.DUMMYFUNCTION("""COMPUTED_VALUE"""),"5")</f>
        <v>5</v>
      </c>
      <c r="V5390" s="6" t="str">
        <f>IFERROR(__xludf.DUMMYFUNCTION("""COMPUTED_VALUE"""),"")</f>
        <v/>
      </c>
      <c r="W5390" s="6" t="str">
        <f>IFERROR(__xludf.DUMMYFUNCTION("""COMPUTED_VALUE"""),"[]")</f>
        <v>[]</v>
      </c>
      <c r="X5390" s="6" t="str">
        <f>IFERROR(__xludf.DUMMYFUNCTION("""COMPUTED_VALUE"""),"Enrolled")</f>
        <v>Enrolled</v>
      </c>
    </row>
    <row r="5391">
      <c r="A5391" s="6" t="str">
        <f>IFERROR(__xludf.DUMMYFUNCTION("""COMPUTED_VALUE"""),"086-12782")</f>
        <v>086-12782</v>
      </c>
      <c r="B5391" s="6" t="str">
        <f>IFERROR(__xludf.DUMMYFUNCTION("""COMPUTED_VALUE"""),"86")</f>
        <v>86</v>
      </c>
      <c r="C5391" s="6" t="str">
        <f>IFERROR(__xludf.DUMMYFUNCTION("""COMPUTED_VALUE"""),"12782")</f>
        <v>12782</v>
      </c>
      <c r="D5391" s="6" t="str">
        <f>IFERROR(__xludf.DUMMYFUNCTION("""COMPUTED_VALUE"""),"Farrah")</f>
        <v>Farrah</v>
      </c>
      <c r="E5391" s="6" t="str">
        <f>IFERROR(__xludf.DUMMYFUNCTION("""COMPUTED_VALUE"""),"")</f>
        <v/>
      </c>
      <c r="F5391" s="6" t="str">
        <f>IFERROR(__xludf.DUMMYFUNCTION("""COMPUTED_VALUE"""),"Aiken")</f>
        <v>Aiken</v>
      </c>
      <c r="G5391" s="6" t="str">
        <f>IFERROR(__xludf.DUMMYFUNCTION("""COMPUTED_VALUE"""),"09/09/2014")</f>
        <v>09/09/2014</v>
      </c>
      <c r="H5391" s="6" t="str">
        <f>IFERROR(__xludf.DUMMYFUNCTION("""COMPUTED_VALUE"""),"male")</f>
        <v>male</v>
      </c>
      <c r="I5391" s="6" t="str">
        <f>IFERROR(__xludf.DUMMYFUNCTION("""COMPUTED_VALUE"""),"Level 2")</f>
        <v>Level 2</v>
      </c>
      <c r="J5391" s="6" t="str">
        <f>IFERROR(__xludf.DUMMYFUNCTION("""COMPUTED_VALUE"""),"5")</f>
        <v>5</v>
      </c>
      <c r="K5391" s="6" t="str">
        <f>IFERROR(__xludf.DUMMYFUNCTION("""COMPUTED_VALUE"""),"farrah.aiken@2hourlearning.com")</f>
        <v>farrah.aiken@2hourlearning.com</v>
      </c>
      <c r="L5391" s="6" t="str">
        <f>IFERROR(__xludf.DUMMYFUNCTION("""COMPUTED_VALUE"""),"JRES - Ridgeland Elementary School")</f>
        <v>JRES - Ridgeland Elementary School</v>
      </c>
      <c r="M5391" s="6" t="str">
        <f>IFERROR(__xludf.DUMMYFUNCTION("""COMPUTED_VALUE"""),"")</f>
        <v/>
      </c>
      <c r="N5391" s="6" t="str">
        <f>IFERROR(__xludf.DUMMYFUNCTION("""COMPUTED_VALUE"""),"")</f>
        <v/>
      </c>
      <c r="O5391" s="87" t="str">
        <f>IFERROR(__xludf.DUMMYFUNCTION("""COMPUTED_VALUE"""),"https://drive.google.com/drive/folders/10T2cTQHqEJZqE-st6uFKPoI?usp=share_link")</f>
        <v>https://drive.google.com/drive/folders/10T2cTQHqEJZqE-st6uFKPoI?usp=share_link</v>
      </c>
      <c r="P5391" s="6" t="str">
        <f>IFERROR(__xludf.DUMMYFUNCTION("""COMPUTED_VALUE"""),"Farrah Aiken")</f>
        <v>Farrah Aiken</v>
      </c>
      <c r="Q5391" s="6" t="str">
        <f>IFERROR(__xludf.DUMMYFUNCTION("""COMPUTED_VALUE"""),"L2")</f>
        <v>L2</v>
      </c>
      <c r="R5391" s="6">
        <f>IFERROR(__xludf.DUMMYFUNCTION("""COMPUTED_VALUE"""),2.0)</f>
        <v>2</v>
      </c>
      <c r="S5391" s="6" t="str">
        <f>IFERROR(__xludf.DUMMYFUNCTION("""COMPUTED_VALUE"""),"Kimberly Ball")</f>
        <v>Kimberly Ball</v>
      </c>
      <c r="T5391" s="6" t="str">
        <f>IFERROR(__xludf.DUMMYFUNCTION("""COMPUTED_VALUE"""),"kimberly.ball@studient.com")</f>
        <v>kimberly.ball@studient.com</v>
      </c>
      <c r="U5391" s="6" t="str">
        <f>IFERROR(__xludf.DUMMYFUNCTION("""COMPUTED_VALUE"""),"5")</f>
        <v>5</v>
      </c>
      <c r="V5391" s="6" t="str">
        <f>IFERROR(__xludf.DUMMYFUNCTION("""COMPUTED_VALUE"""),"")</f>
        <v/>
      </c>
      <c r="W5391" s="6" t="str">
        <f>IFERROR(__xludf.DUMMYFUNCTION("""COMPUTED_VALUE"""),"[]")</f>
        <v>[]</v>
      </c>
      <c r="X5391" s="6" t="str">
        <f>IFERROR(__xludf.DUMMYFUNCTION("""COMPUTED_VALUE"""),"Enrolled")</f>
        <v>Enrolled</v>
      </c>
    </row>
    <row r="5392">
      <c r="A5392" s="6" t="str">
        <f>IFERROR(__xludf.DUMMYFUNCTION("""COMPUTED_VALUE"""),"086-12783")</f>
        <v>086-12783</v>
      </c>
      <c r="B5392" s="6" t="str">
        <f>IFERROR(__xludf.DUMMYFUNCTION("""COMPUTED_VALUE"""),"86")</f>
        <v>86</v>
      </c>
      <c r="C5392" s="6" t="str">
        <f>IFERROR(__xludf.DUMMYFUNCTION("""COMPUTED_VALUE"""),"12783")</f>
        <v>12783</v>
      </c>
      <c r="D5392" s="6" t="str">
        <f>IFERROR(__xludf.DUMMYFUNCTION("""COMPUTED_VALUE"""),"Jasmyn")</f>
        <v>Jasmyn</v>
      </c>
      <c r="E5392" s="6" t="str">
        <f>IFERROR(__xludf.DUMMYFUNCTION("""COMPUTED_VALUE"""),"")</f>
        <v/>
      </c>
      <c r="F5392" s="6" t="str">
        <f>IFERROR(__xludf.DUMMYFUNCTION("""COMPUTED_VALUE"""),"Aiken")</f>
        <v>Aiken</v>
      </c>
      <c r="G5392" s="6" t="str">
        <f>IFERROR(__xludf.DUMMYFUNCTION("""COMPUTED_VALUE"""),"03/05/2018")</f>
        <v>03/05/2018</v>
      </c>
      <c r="H5392" s="6" t="str">
        <f>IFERROR(__xludf.DUMMYFUNCTION("""COMPUTED_VALUE"""),"male")</f>
        <v>male</v>
      </c>
      <c r="I5392" s="6" t="str">
        <f>IFERROR(__xludf.DUMMYFUNCTION("""COMPUTED_VALUE"""),"Level 2")</f>
        <v>Level 2</v>
      </c>
      <c r="J5392" s="6" t="str">
        <f>IFERROR(__xludf.DUMMYFUNCTION("""COMPUTED_VALUE"""),"5")</f>
        <v>5</v>
      </c>
      <c r="K5392" s="6" t="str">
        <f>IFERROR(__xludf.DUMMYFUNCTION("""COMPUTED_VALUE"""),"jasmyn.aiken@2hourlearning.com")</f>
        <v>jasmyn.aiken@2hourlearning.com</v>
      </c>
      <c r="L5392" s="6" t="str">
        <f>IFERROR(__xludf.DUMMYFUNCTION("""COMPUTED_VALUE"""),"JRES - Ridgeland Elementary School")</f>
        <v>JRES - Ridgeland Elementary School</v>
      </c>
      <c r="M5392" s="6" t="str">
        <f>IFERROR(__xludf.DUMMYFUNCTION("""COMPUTED_VALUE"""),"")</f>
        <v/>
      </c>
      <c r="N5392" s="6" t="str">
        <f>IFERROR(__xludf.DUMMYFUNCTION("""COMPUTED_VALUE"""),"")</f>
        <v/>
      </c>
      <c r="O5392" s="87" t="str">
        <f>IFERROR(__xludf.DUMMYFUNCTION("""COMPUTED_VALUE"""),"https://drive.google.com/drive/folders/10T2cTQHqEJZqE-st6uFKPoI?usp=share_link")</f>
        <v>https://drive.google.com/drive/folders/10T2cTQHqEJZqE-st6uFKPoI?usp=share_link</v>
      </c>
      <c r="P5392" s="6" t="str">
        <f>IFERROR(__xludf.DUMMYFUNCTION("""COMPUTED_VALUE"""),"Jasmyn Aiken")</f>
        <v>Jasmyn Aiken</v>
      </c>
      <c r="Q5392" s="6" t="str">
        <f>IFERROR(__xludf.DUMMYFUNCTION("""COMPUTED_VALUE"""),"L2")</f>
        <v>L2</v>
      </c>
      <c r="R5392" s="6">
        <f>IFERROR(__xludf.DUMMYFUNCTION("""COMPUTED_VALUE"""),2.0)</f>
        <v>2</v>
      </c>
      <c r="S5392" s="6" t="str">
        <f>IFERROR(__xludf.DUMMYFUNCTION("""COMPUTED_VALUE"""),"Kimberly Ball")</f>
        <v>Kimberly Ball</v>
      </c>
      <c r="T5392" s="6" t="str">
        <f>IFERROR(__xludf.DUMMYFUNCTION("""COMPUTED_VALUE"""),"kimberly.ball@studient.com")</f>
        <v>kimberly.ball@studient.com</v>
      </c>
      <c r="U5392" s="6" t="str">
        <f>IFERROR(__xludf.DUMMYFUNCTION("""COMPUTED_VALUE"""),"5")</f>
        <v>5</v>
      </c>
      <c r="V5392" s="6" t="str">
        <f>IFERROR(__xludf.DUMMYFUNCTION("""COMPUTED_VALUE"""),"")</f>
        <v/>
      </c>
      <c r="W5392" s="6" t="str">
        <f>IFERROR(__xludf.DUMMYFUNCTION("""COMPUTED_VALUE"""),"[]")</f>
        <v>[]</v>
      </c>
      <c r="X5392" s="6" t="str">
        <f>IFERROR(__xludf.DUMMYFUNCTION("""COMPUTED_VALUE"""),"Enrolled")</f>
        <v>Enrolled</v>
      </c>
    </row>
    <row r="5393">
      <c r="A5393" s="6" t="str">
        <f>IFERROR(__xludf.DUMMYFUNCTION("""COMPUTED_VALUE"""),"086-12784")</f>
        <v>086-12784</v>
      </c>
      <c r="B5393" s="6" t="str">
        <f>IFERROR(__xludf.DUMMYFUNCTION("""COMPUTED_VALUE"""),"86")</f>
        <v>86</v>
      </c>
      <c r="C5393" s="6" t="str">
        <f>IFERROR(__xludf.DUMMYFUNCTION("""COMPUTED_VALUE"""),"12784")</f>
        <v>12784</v>
      </c>
      <c r="D5393" s="6" t="str">
        <f>IFERROR(__xludf.DUMMYFUNCTION("""COMPUTED_VALUE"""),"Alex")</f>
        <v>Alex</v>
      </c>
      <c r="E5393" s="6" t="str">
        <f>IFERROR(__xludf.DUMMYFUNCTION("""COMPUTED_VALUE"""),"")</f>
        <v/>
      </c>
      <c r="F5393" s="6" t="str">
        <f>IFERROR(__xludf.DUMMYFUNCTION("""COMPUTED_VALUE"""),"Alarcon Carbajal")</f>
        <v>Alarcon Carbajal</v>
      </c>
      <c r="G5393" s="6" t="str">
        <f>IFERROR(__xludf.DUMMYFUNCTION("""COMPUTED_VALUE"""),"09/19/2014")</f>
        <v>09/19/2014</v>
      </c>
      <c r="H5393" s="6" t="str">
        <f>IFERROR(__xludf.DUMMYFUNCTION("""COMPUTED_VALUE"""),"female")</f>
        <v>female</v>
      </c>
      <c r="I5393" s="6" t="str">
        <f>IFERROR(__xludf.DUMMYFUNCTION("""COMPUTED_VALUE"""),"Level 2")</f>
        <v>Level 2</v>
      </c>
      <c r="J5393" s="6" t="str">
        <f>IFERROR(__xludf.DUMMYFUNCTION("""COMPUTED_VALUE"""),"5")</f>
        <v>5</v>
      </c>
      <c r="K5393" s="6" t="str">
        <f>IFERROR(__xludf.DUMMYFUNCTION("""COMPUTED_VALUE"""),"alex.alarconcarbajal@2hourlearning.com")</f>
        <v>alex.alarconcarbajal@2hourlearning.com</v>
      </c>
      <c r="L5393" s="6" t="str">
        <f>IFERROR(__xludf.DUMMYFUNCTION("""COMPUTED_VALUE"""),"JRES - Ridgeland Elementary School")</f>
        <v>JRES - Ridgeland Elementary School</v>
      </c>
      <c r="M5393" s="6" t="str">
        <f>IFERROR(__xludf.DUMMYFUNCTION("""COMPUTED_VALUE"""),"")</f>
        <v/>
      </c>
      <c r="N5393" s="6" t="str">
        <f>IFERROR(__xludf.DUMMYFUNCTION("""COMPUTED_VALUE"""),"")</f>
        <v/>
      </c>
      <c r="O5393" s="87" t="str">
        <f>IFERROR(__xludf.DUMMYFUNCTION("""COMPUTED_VALUE"""),"https://drive.google.com/drive/folders/10T2cTQHqEJZqE-st6uFKPoI?usp=share_link")</f>
        <v>https://drive.google.com/drive/folders/10T2cTQHqEJZqE-st6uFKPoI?usp=share_link</v>
      </c>
      <c r="P5393" s="6" t="str">
        <f>IFERROR(__xludf.DUMMYFUNCTION("""COMPUTED_VALUE"""),"Alex Alarcon Carbajal")</f>
        <v>Alex Alarcon Carbajal</v>
      </c>
      <c r="Q5393" s="6" t="str">
        <f>IFERROR(__xludf.DUMMYFUNCTION("""COMPUTED_VALUE"""),"L2")</f>
        <v>L2</v>
      </c>
      <c r="R5393" s="6">
        <f>IFERROR(__xludf.DUMMYFUNCTION("""COMPUTED_VALUE"""),2.0)</f>
        <v>2</v>
      </c>
      <c r="S5393" s="6" t="str">
        <f>IFERROR(__xludf.DUMMYFUNCTION("""COMPUTED_VALUE"""),"Kimberly Ball")</f>
        <v>Kimberly Ball</v>
      </c>
      <c r="T5393" s="6" t="str">
        <f>IFERROR(__xludf.DUMMYFUNCTION("""COMPUTED_VALUE"""),"kimberly.ball@studient.com")</f>
        <v>kimberly.ball@studient.com</v>
      </c>
      <c r="U5393" s="6" t="str">
        <f>IFERROR(__xludf.DUMMYFUNCTION("""COMPUTED_VALUE"""),"5")</f>
        <v>5</v>
      </c>
      <c r="V5393" s="6" t="str">
        <f>IFERROR(__xludf.DUMMYFUNCTION("""COMPUTED_VALUE"""),"")</f>
        <v/>
      </c>
      <c r="W5393" s="6" t="str">
        <f>IFERROR(__xludf.DUMMYFUNCTION("""COMPUTED_VALUE"""),"[]")</f>
        <v>[]</v>
      </c>
      <c r="X5393" s="6" t="str">
        <f>IFERROR(__xludf.DUMMYFUNCTION("""COMPUTED_VALUE"""),"Enrolled")</f>
        <v>Enrolled</v>
      </c>
    </row>
    <row r="5394">
      <c r="A5394" s="6" t="str">
        <f>IFERROR(__xludf.DUMMYFUNCTION("""COMPUTED_VALUE"""),"086-12785")</f>
        <v>086-12785</v>
      </c>
      <c r="B5394" s="6" t="str">
        <f>IFERROR(__xludf.DUMMYFUNCTION("""COMPUTED_VALUE"""),"86")</f>
        <v>86</v>
      </c>
      <c r="C5394" s="6" t="str">
        <f>IFERROR(__xludf.DUMMYFUNCTION("""COMPUTED_VALUE"""),"12785")</f>
        <v>12785</v>
      </c>
      <c r="D5394" s="6" t="str">
        <f>IFERROR(__xludf.DUMMYFUNCTION("""COMPUTED_VALUE"""),"Itzayana")</f>
        <v>Itzayana</v>
      </c>
      <c r="E5394" s="6" t="str">
        <f>IFERROR(__xludf.DUMMYFUNCTION("""COMPUTED_VALUE"""),"")</f>
        <v/>
      </c>
      <c r="F5394" s="6" t="str">
        <f>IFERROR(__xludf.DUMMYFUNCTION("""COMPUTED_VALUE"""),"Alday-Olivares")</f>
        <v>Alday-Olivares</v>
      </c>
      <c r="G5394" s="6" t="str">
        <f>IFERROR(__xludf.DUMMYFUNCTION("""COMPUTED_VALUE"""),"06/21/2017")</f>
        <v>06/21/2017</v>
      </c>
      <c r="H5394" s="6" t="str">
        <f>IFERROR(__xludf.DUMMYFUNCTION("""COMPUTED_VALUE"""),"female")</f>
        <v>female</v>
      </c>
      <c r="I5394" s="6" t="str">
        <f>IFERROR(__xludf.DUMMYFUNCTION("""COMPUTED_VALUE"""),"Level 2")</f>
        <v>Level 2</v>
      </c>
      <c r="J5394" s="6" t="str">
        <f>IFERROR(__xludf.DUMMYFUNCTION("""COMPUTED_VALUE"""),"5")</f>
        <v>5</v>
      </c>
      <c r="K5394" s="6" t="str">
        <f>IFERROR(__xludf.DUMMYFUNCTION("""COMPUTED_VALUE"""),"itzayana.alday-olivares@2hourlearning.com")</f>
        <v>itzayana.alday-olivares@2hourlearning.com</v>
      </c>
      <c r="L5394" s="6" t="str">
        <f>IFERROR(__xludf.DUMMYFUNCTION("""COMPUTED_VALUE"""),"JRES - Ridgeland Elementary School")</f>
        <v>JRES - Ridgeland Elementary School</v>
      </c>
      <c r="M5394" s="6" t="str">
        <f>IFERROR(__xludf.DUMMYFUNCTION("""COMPUTED_VALUE"""),"")</f>
        <v/>
      </c>
      <c r="N5394" s="6" t="str">
        <f>IFERROR(__xludf.DUMMYFUNCTION("""COMPUTED_VALUE"""),"")</f>
        <v/>
      </c>
      <c r="O5394" s="87" t="str">
        <f>IFERROR(__xludf.DUMMYFUNCTION("""COMPUTED_VALUE"""),"https://drive.google.com/drive/folders/10T2cTQHqEJZqE-st6uFKPoI?usp=share_link")</f>
        <v>https://drive.google.com/drive/folders/10T2cTQHqEJZqE-st6uFKPoI?usp=share_link</v>
      </c>
      <c r="P5394" s="6" t="str">
        <f>IFERROR(__xludf.DUMMYFUNCTION("""COMPUTED_VALUE"""),"Itzayana Alday-Olivares")</f>
        <v>Itzayana Alday-Olivares</v>
      </c>
      <c r="Q5394" s="6" t="str">
        <f>IFERROR(__xludf.DUMMYFUNCTION("""COMPUTED_VALUE"""),"L2")</f>
        <v>L2</v>
      </c>
      <c r="R5394" s="6">
        <f>IFERROR(__xludf.DUMMYFUNCTION("""COMPUTED_VALUE"""),2.0)</f>
        <v>2</v>
      </c>
      <c r="S5394" s="6" t="str">
        <f>IFERROR(__xludf.DUMMYFUNCTION("""COMPUTED_VALUE"""),"Kimberly Ball")</f>
        <v>Kimberly Ball</v>
      </c>
      <c r="T5394" s="6" t="str">
        <f>IFERROR(__xludf.DUMMYFUNCTION("""COMPUTED_VALUE"""),"kimberly.ball@studient.com")</f>
        <v>kimberly.ball@studient.com</v>
      </c>
      <c r="U5394" s="6" t="str">
        <f>IFERROR(__xludf.DUMMYFUNCTION("""COMPUTED_VALUE"""),"5")</f>
        <v>5</v>
      </c>
      <c r="V5394" s="6" t="str">
        <f>IFERROR(__xludf.DUMMYFUNCTION("""COMPUTED_VALUE"""),"")</f>
        <v/>
      </c>
      <c r="W5394" s="6" t="str">
        <f>IFERROR(__xludf.DUMMYFUNCTION("""COMPUTED_VALUE"""),"[]")</f>
        <v>[]</v>
      </c>
      <c r="X5394" s="6" t="str">
        <f>IFERROR(__xludf.DUMMYFUNCTION("""COMPUTED_VALUE"""),"Enrolled")</f>
        <v>Enrolled</v>
      </c>
    </row>
    <row r="5395">
      <c r="A5395" s="6" t="str">
        <f>IFERROR(__xludf.DUMMYFUNCTION("""COMPUTED_VALUE"""),"086-12786")</f>
        <v>086-12786</v>
      </c>
      <c r="B5395" s="6" t="str">
        <f>IFERROR(__xludf.DUMMYFUNCTION("""COMPUTED_VALUE"""),"86")</f>
        <v>86</v>
      </c>
      <c r="C5395" s="6" t="str">
        <f>IFERROR(__xludf.DUMMYFUNCTION("""COMPUTED_VALUE"""),"12786")</f>
        <v>12786</v>
      </c>
      <c r="D5395" s="6" t="str">
        <f>IFERROR(__xludf.DUMMYFUNCTION("""COMPUTED_VALUE"""),"Andres")</f>
        <v>Andres</v>
      </c>
      <c r="E5395" s="6" t="str">
        <f>IFERROR(__xludf.DUMMYFUNCTION("""COMPUTED_VALUE"""),"")</f>
        <v/>
      </c>
      <c r="F5395" s="6" t="str">
        <f>IFERROR(__xludf.DUMMYFUNCTION("""COMPUTED_VALUE"""),"Alferez Mejia")</f>
        <v>Alferez Mejia</v>
      </c>
      <c r="G5395" s="6" t="str">
        <f>IFERROR(__xludf.DUMMYFUNCTION("""COMPUTED_VALUE"""),"06/02/2017")</f>
        <v>06/02/2017</v>
      </c>
      <c r="H5395" s="6" t="str">
        <f>IFERROR(__xludf.DUMMYFUNCTION("""COMPUTED_VALUE"""),"male")</f>
        <v>male</v>
      </c>
      <c r="I5395" s="6" t="str">
        <f>IFERROR(__xludf.DUMMYFUNCTION("""COMPUTED_VALUE"""),"Level 2")</f>
        <v>Level 2</v>
      </c>
      <c r="J5395" s="6" t="str">
        <f>IFERROR(__xludf.DUMMYFUNCTION("""COMPUTED_VALUE"""),"5")</f>
        <v>5</v>
      </c>
      <c r="K5395" s="6" t="str">
        <f>IFERROR(__xludf.DUMMYFUNCTION("""COMPUTED_VALUE"""),"andres.alferezmejia@2hourlearning.com")</f>
        <v>andres.alferezmejia@2hourlearning.com</v>
      </c>
      <c r="L5395" s="6" t="str">
        <f>IFERROR(__xludf.DUMMYFUNCTION("""COMPUTED_VALUE"""),"JRES - Ridgeland Elementary School")</f>
        <v>JRES - Ridgeland Elementary School</v>
      </c>
      <c r="M5395" s="6" t="str">
        <f>IFERROR(__xludf.DUMMYFUNCTION("""COMPUTED_VALUE"""),"")</f>
        <v/>
      </c>
      <c r="N5395" s="6" t="str">
        <f>IFERROR(__xludf.DUMMYFUNCTION("""COMPUTED_VALUE"""),"")</f>
        <v/>
      </c>
      <c r="O5395" s="87" t="str">
        <f>IFERROR(__xludf.DUMMYFUNCTION("""COMPUTED_VALUE"""),"https://drive.google.com/drive/folders/10T2cTQHqEJZqE-st6uFKPoI?usp=share_link")</f>
        <v>https://drive.google.com/drive/folders/10T2cTQHqEJZqE-st6uFKPoI?usp=share_link</v>
      </c>
      <c r="P5395" s="6" t="str">
        <f>IFERROR(__xludf.DUMMYFUNCTION("""COMPUTED_VALUE"""),"Andres Alferez Mejia")</f>
        <v>Andres Alferez Mejia</v>
      </c>
      <c r="Q5395" s="6" t="str">
        <f>IFERROR(__xludf.DUMMYFUNCTION("""COMPUTED_VALUE"""),"L2")</f>
        <v>L2</v>
      </c>
      <c r="R5395" s="6">
        <f>IFERROR(__xludf.DUMMYFUNCTION("""COMPUTED_VALUE"""),2.0)</f>
        <v>2</v>
      </c>
      <c r="S5395" s="6" t="str">
        <f>IFERROR(__xludf.DUMMYFUNCTION("""COMPUTED_VALUE"""),"Kimberly Ball")</f>
        <v>Kimberly Ball</v>
      </c>
      <c r="T5395" s="6" t="str">
        <f>IFERROR(__xludf.DUMMYFUNCTION("""COMPUTED_VALUE"""),"kimberly.ball@studient.com")</f>
        <v>kimberly.ball@studient.com</v>
      </c>
      <c r="U5395" s="6" t="str">
        <f>IFERROR(__xludf.DUMMYFUNCTION("""COMPUTED_VALUE"""),"5")</f>
        <v>5</v>
      </c>
      <c r="V5395" s="6" t="str">
        <f>IFERROR(__xludf.DUMMYFUNCTION("""COMPUTED_VALUE"""),"")</f>
        <v/>
      </c>
      <c r="W5395" s="6" t="str">
        <f>IFERROR(__xludf.DUMMYFUNCTION("""COMPUTED_VALUE"""),"[]")</f>
        <v>[]</v>
      </c>
      <c r="X5395" s="6" t="str">
        <f>IFERROR(__xludf.DUMMYFUNCTION("""COMPUTED_VALUE"""),"Enrolled")</f>
        <v>Enrolled</v>
      </c>
    </row>
    <row r="5396">
      <c r="A5396" s="6" t="str">
        <f>IFERROR(__xludf.DUMMYFUNCTION("""COMPUTED_VALUE"""),"086-12787")</f>
        <v>086-12787</v>
      </c>
      <c r="B5396" s="6" t="str">
        <f>IFERROR(__xludf.DUMMYFUNCTION("""COMPUTED_VALUE"""),"86")</f>
        <v>86</v>
      </c>
      <c r="C5396" s="6" t="str">
        <f>IFERROR(__xludf.DUMMYFUNCTION("""COMPUTED_VALUE"""),"12787")</f>
        <v>12787</v>
      </c>
      <c r="D5396" s="6" t="str">
        <f>IFERROR(__xludf.DUMMYFUNCTION("""COMPUTED_VALUE"""),"Cristian")</f>
        <v>Cristian</v>
      </c>
      <c r="E5396" s="6" t="str">
        <f>IFERROR(__xludf.DUMMYFUNCTION("""COMPUTED_VALUE"""),"")</f>
        <v/>
      </c>
      <c r="F5396" s="6" t="str">
        <f>IFERROR(__xludf.DUMMYFUNCTION("""COMPUTED_VALUE"""),"Anica Garcia")</f>
        <v>Anica Garcia</v>
      </c>
      <c r="G5396" s="6" t="str">
        <f>IFERROR(__xludf.DUMMYFUNCTION("""COMPUTED_VALUE"""),"10/30/2017")</f>
        <v>10/30/2017</v>
      </c>
      <c r="H5396" s="6" t="str">
        <f>IFERROR(__xludf.DUMMYFUNCTION("""COMPUTED_VALUE"""),"female")</f>
        <v>female</v>
      </c>
      <c r="I5396" s="6" t="str">
        <f>IFERROR(__xludf.DUMMYFUNCTION("""COMPUTED_VALUE"""),"Level 2")</f>
        <v>Level 2</v>
      </c>
      <c r="J5396" s="6" t="str">
        <f>IFERROR(__xludf.DUMMYFUNCTION("""COMPUTED_VALUE"""),"5")</f>
        <v>5</v>
      </c>
      <c r="K5396" s="6" t="str">
        <f>IFERROR(__xludf.DUMMYFUNCTION("""COMPUTED_VALUE"""),"cristian.anicagarcia@2hourlearning.com")</f>
        <v>cristian.anicagarcia@2hourlearning.com</v>
      </c>
      <c r="L5396" s="6" t="str">
        <f>IFERROR(__xludf.DUMMYFUNCTION("""COMPUTED_VALUE"""),"JRES - Ridgeland Elementary School")</f>
        <v>JRES - Ridgeland Elementary School</v>
      </c>
      <c r="M5396" s="6" t="str">
        <f>IFERROR(__xludf.DUMMYFUNCTION("""COMPUTED_VALUE"""),"")</f>
        <v/>
      </c>
      <c r="N5396" s="6" t="str">
        <f>IFERROR(__xludf.DUMMYFUNCTION("""COMPUTED_VALUE"""),"")</f>
        <v/>
      </c>
      <c r="O5396" s="87" t="str">
        <f>IFERROR(__xludf.DUMMYFUNCTION("""COMPUTED_VALUE"""),"https://drive.google.com/drive/folders/10T2cTQHqEJZqE-st6uFKPoI?usp=share_link")</f>
        <v>https://drive.google.com/drive/folders/10T2cTQHqEJZqE-st6uFKPoI?usp=share_link</v>
      </c>
      <c r="P5396" s="6" t="str">
        <f>IFERROR(__xludf.DUMMYFUNCTION("""COMPUTED_VALUE"""),"Cristian Anica Garcia")</f>
        <v>Cristian Anica Garcia</v>
      </c>
      <c r="Q5396" s="6" t="str">
        <f>IFERROR(__xludf.DUMMYFUNCTION("""COMPUTED_VALUE"""),"L2")</f>
        <v>L2</v>
      </c>
      <c r="R5396" s="6">
        <f>IFERROR(__xludf.DUMMYFUNCTION("""COMPUTED_VALUE"""),2.0)</f>
        <v>2</v>
      </c>
      <c r="S5396" s="6" t="str">
        <f>IFERROR(__xludf.DUMMYFUNCTION("""COMPUTED_VALUE"""),"Kimberly Ball")</f>
        <v>Kimberly Ball</v>
      </c>
      <c r="T5396" s="6" t="str">
        <f>IFERROR(__xludf.DUMMYFUNCTION("""COMPUTED_VALUE"""),"kimberly.ball@studient.com")</f>
        <v>kimberly.ball@studient.com</v>
      </c>
      <c r="U5396" s="6" t="str">
        <f>IFERROR(__xludf.DUMMYFUNCTION("""COMPUTED_VALUE"""),"5")</f>
        <v>5</v>
      </c>
      <c r="V5396" s="6" t="str">
        <f>IFERROR(__xludf.DUMMYFUNCTION("""COMPUTED_VALUE"""),"")</f>
        <v/>
      </c>
      <c r="W5396" s="6" t="str">
        <f>IFERROR(__xludf.DUMMYFUNCTION("""COMPUTED_VALUE"""),"[]")</f>
        <v>[]</v>
      </c>
      <c r="X5396" s="6" t="str">
        <f>IFERROR(__xludf.DUMMYFUNCTION("""COMPUTED_VALUE"""),"Enrolled")</f>
        <v>Enrolled</v>
      </c>
    </row>
    <row r="5397">
      <c r="A5397" s="6" t="str">
        <f>IFERROR(__xludf.DUMMYFUNCTION("""COMPUTED_VALUE"""),"086-12788")</f>
        <v>086-12788</v>
      </c>
      <c r="B5397" s="6" t="str">
        <f>IFERROR(__xludf.DUMMYFUNCTION("""COMPUTED_VALUE"""),"86")</f>
        <v>86</v>
      </c>
      <c r="C5397" s="6" t="str">
        <f>IFERROR(__xludf.DUMMYFUNCTION("""COMPUTED_VALUE"""),"12788")</f>
        <v>12788</v>
      </c>
      <c r="D5397" s="6" t="str">
        <f>IFERROR(__xludf.DUMMYFUNCTION("""COMPUTED_VALUE"""),"Daisy")</f>
        <v>Daisy</v>
      </c>
      <c r="E5397" s="6" t="str">
        <f>IFERROR(__xludf.DUMMYFUNCTION("""COMPUTED_VALUE"""),"")</f>
        <v/>
      </c>
      <c r="F5397" s="6" t="str">
        <f>IFERROR(__xludf.DUMMYFUNCTION("""COMPUTED_VALUE"""),"Araujo")</f>
        <v>Araujo</v>
      </c>
      <c r="G5397" s="6" t="str">
        <f>IFERROR(__xludf.DUMMYFUNCTION("""COMPUTED_VALUE"""),"10/23/2016")</f>
        <v>10/23/2016</v>
      </c>
      <c r="H5397" s="6" t="str">
        <f>IFERROR(__xludf.DUMMYFUNCTION("""COMPUTED_VALUE"""),"male")</f>
        <v>male</v>
      </c>
      <c r="I5397" s="6" t="str">
        <f>IFERROR(__xludf.DUMMYFUNCTION("""COMPUTED_VALUE"""),"Level 2")</f>
        <v>Level 2</v>
      </c>
      <c r="J5397" s="6" t="str">
        <f>IFERROR(__xludf.DUMMYFUNCTION("""COMPUTED_VALUE"""),"5")</f>
        <v>5</v>
      </c>
      <c r="K5397" s="6" t="str">
        <f>IFERROR(__xludf.DUMMYFUNCTION("""COMPUTED_VALUE"""),"daisy.araujo@2hourlearning.com")</f>
        <v>daisy.araujo@2hourlearning.com</v>
      </c>
      <c r="L5397" s="6" t="str">
        <f>IFERROR(__xludf.DUMMYFUNCTION("""COMPUTED_VALUE"""),"JRES - Ridgeland Elementary School")</f>
        <v>JRES - Ridgeland Elementary School</v>
      </c>
      <c r="M5397" s="6" t="str">
        <f>IFERROR(__xludf.DUMMYFUNCTION("""COMPUTED_VALUE"""),"")</f>
        <v/>
      </c>
      <c r="N5397" s="6" t="str">
        <f>IFERROR(__xludf.DUMMYFUNCTION("""COMPUTED_VALUE"""),"")</f>
        <v/>
      </c>
      <c r="O5397" s="87" t="str">
        <f>IFERROR(__xludf.DUMMYFUNCTION("""COMPUTED_VALUE"""),"https://drive.google.com/drive/folders/10T2cTQHqEJZqE-st6uFKPoI?usp=share_link")</f>
        <v>https://drive.google.com/drive/folders/10T2cTQHqEJZqE-st6uFKPoI?usp=share_link</v>
      </c>
      <c r="P5397" s="6" t="str">
        <f>IFERROR(__xludf.DUMMYFUNCTION("""COMPUTED_VALUE"""),"Daisy Araujo")</f>
        <v>Daisy Araujo</v>
      </c>
      <c r="Q5397" s="6" t="str">
        <f>IFERROR(__xludf.DUMMYFUNCTION("""COMPUTED_VALUE"""),"L2")</f>
        <v>L2</v>
      </c>
      <c r="R5397" s="6">
        <f>IFERROR(__xludf.DUMMYFUNCTION("""COMPUTED_VALUE"""),2.0)</f>
        <v>2</v>
      </c>
      <c r="S5397" s="6" t="str">
        <f>IFERROR(__xludf.DUMMYFUNCTION("""COMPUTED_VALUE"""),"Kimberly Ball")</f>
        <v>Kimberly Ball</v>
      </c>
      <c r="T5397" s="6" t="str">
        <f>IFERROR(__xludf.DUMMYFUNCTION("""COMPUTED_VALUE"""),"kimberly.ball@studient.com")</f>
        <v>kimberly.ball@studient.com</v>
      </c>
      <c r="U5397" s="6" t="str">
        <f>IFERROR(__xludf.DUMMYFUNCTION("""COMPUTED_VALUE"""),"5")</f>
        <v>5</v>
      </c>
      <c r="V5397" s="6" t="str">
        <f>IFERROR(__xludf.DUMMYFUNCTION("""COMPUTED_VALUE"""),"")</f>
        <v/>
      </c>
      <c r="W5397" s="6" t="str">
        <f>IFERROR(__xludf.DUMMYFUNCTION("""COMPUTED_VALUE"""),"[]")</f>
        <v>[]</v>
      </c>
      <c r="X5397" s="6" t="str">
        <f>IFERROR(__xludf.DUMMYFUNCTION("""COMPUTED_VALUE"""),"Enrolled")</f>
        <v>Enrolled</v>
      </c>
    </row>
    <row r="5398">
      <c r="A5398" s="6" t="str">
        <f>IFERROR(__xludf.DUMMYFUNCTION("""COMPUTED_VALUE"""),"086-12789")</f>
        <v>086-12789</v>
      </c>
      <c r="B5398" s="6" t="str">
        <f>IFERROR(__xludf.DUMMYFUNCTION("""COMPUTED_VALUE"""),"86")</f>
        <v>86</v>
      </c>
      <c r="C5398" s="6" t="str">
        <f>IFERROR(__xludf.DUMMYFUNCTION("""COMPUTED_VALUE"""),"12789")</f>
        <v>12789</v>
      </c>
      <c r="D5398" s="6" t="str">
        <f>IFERROR(__xludf.DUMMYFUNCTION("""COMPUTED_VALUE"""),"Ian")</f>
        <v>Ian</v>
      </c>
      <c r="E5398" s="6" t="str">
        <f>IFERROR(__xludf.DUMMYFUNCTION("""COMPUTED_VALUE"""),"")</f>
        <v/>
      </c>
      <c r="F5398" s="6" t="str">
        <f>IFERROR(__xludf.DUMMYFUNCTION("""COMPUTED_VALUE"""),"Avila Adame")</f>
        <v>Avila Adame</v>
      </c>
      <c r="G5398" s="6" t="str">
        <f>IFERROR(__xludf.DUMMYFUNCTION("""COMPUTED_VALUE"""),"09/27/2013")</f>
        <v>09/27/2013</v>
      </c>
      <c r="H5398" s="6" t="str">
        <f>IFERROR(__xludf.DUMMYFUNCTION("""COMPUTED_VALUE"""),"male")</f>
        <v>male</v>
      </c>
      <c r="I5398" s="6" t="str">
        <f>IFERROR(__xludf.DUMMYFUNCTION("""COMPUTED_VALUE"""),"Level 2")</f>
        <v>Level 2</v>
      </c>
      <c r="J5398" s="6" t="str">
        <f>IFERROR(__xludf.DUMMYFUNCTION("""COMPUTED_VALUE"""),"5")</f>
        <v>5</v>
      </c>
      <c r="K5398" s="6" t="str">
        <f>IFERROR(__xludf.DUMMYFUNCTION("""COMPUTED_VALUE"""),"ian.avilaadame@2hourlearning.com")</f>
        <v>ian.avilaadame@2hourlearning.com</v>
      </c>
      <c r="L5398" s="6" t="str">
        <f>IFERROR(__xludf.DUMMYFUNCTION("""COMPUTED_VALUE"""),"JRES - Ridgeland Elementary School")</f>
        <v>JRES - Ridgeland Elementary School</v>
      </c>
      <c r="M5398" s="6" t="str">
        <f>IFERROR(__xludf.DUMMYFUNCTION("""COMPUTED_VALUE"""),"")</f>
        <v/>
      </c>
      <c r="N5398" s="6" t="str">
        <f>IFERROR(__xludf.DUMMYFUNCTION("""COMPUTED_VALUE"""),"")</f>
        <v/>
      </c>
      <c r="O5398" s="87" t="str">
        <f>IFERROR(__xludf.DUMMYFUNCTION("""COMPUTED_VALUE"""),"https://drive.google.com/drive/folders/10T2cTQHqEJZqE-st6uFKPoI?usp=share_link")</f>
        <v>https://drive.google.com/drive/folders/10T2cTQHqEJZqE-st6uFKPoI?usp=share_link</v>
      </c>
      <c r="P5398" s="6" t="str">
        <f>IFERROR(__xludf.DUMMYFUNCTION("""COMPUTED_VALUE"""),"Ian Avila Adame")</f>
        <v>Ian Avila Adame</v>
      </c>
      <c r="Q5398" s="6" t="str">
        <f>IFERROR(__xludf.DUMMYFUNCTION("""COMPUTED_VALUE"""),"L2")</f>
        <v>L2</v>
      </c>
      <c r="R5398" s="6">
        <f>IFERROR(__xludf.DUMMYFUNCTION("""COMPUTED_VALUE"""),2.0)</f>
        <v>2</v>
      </c>
      <c r="S5398" s="6" t="str">
        <f>IFERROR(__xludf.DUMMYFUNCTION("""COMPUTED_VALUE"""),"Kimberly Ball")</f>
        <v>Kimberly Ball</v>
      </c>
      <c r="T5398" s="6" t="str">
        <f>IFERROR(__xludf.DUMMYFUNCTION("""COMPUTED_VALUE"""),"kimberly.ball@studient.com")</f>
        <v>kimberly.ball@studient.com</v>
      </c>
      <c r="U5398" s="6" t="str">
        <f>IFERROR(__xludf.DUMMYFUNCTION("""COMPUTED_VALUE"""),"5")</f>
        <v>5</v>
      </c>
      <c r="V5398" s="6" t="str">
        <f>IFERROR(__xludf.DUMMYFUNCTION("""COMPUTED_VALUE"""),"")</f>
        <v/>
      </c>
      <c r="W5398" s="6" t="str">
        <f>IFERROR(__xludf.DUMMYFUNCTION("""COMPUTED_VALUE"""),"[]")</f>
        <v>[]</v>
      </c>
      <c r="X5398" s="6" t="str">
        <f>IFERROR(__xludf.DUMMYFUNCTION("""COMPUTED_VALUE"""),"Enrolled")</f>
        <v>Enrolled</v>
      </c>
    </row>
    <row r="5399">
      <c r="A5399" s="6" t="str">
        <f>IFERROR(__xludf.DUMMYFUNCTION("""COMPUTED_VALUE"""),"086-12790")</f>
        <v>086-12790</v>
      </c>
      <c r="B5399" s="6" t="str">
        <f>IFERROR(__xludf.DUMMYFUNCTION("""COMPUTED_VALUE"""),"86")</f>
        <v>86</v>
      </c>
      <c r="C5399" s="6" t="str">
        <f>IFERROR(__xludf.DUMMYFUNCTION("""COMPUTED_VALUE"""),"12790")</f>
        <v>12790</v>
      </c>
      <c r="D5399" s="6" t="str">
        <f>IFERROR(__xludf.DUMMYFUNCTION("""COMPUTED_VALUE"""),"Devin")</f>
        <v>Devin</v>
      </c>
      <c r="E5399" s="6" t="str">
        <f>IFERROR(__xludf.DUMMYFUNCTION("""COMPUTED_VALUE"""),"")</f>
        <v/>
      </c>
      <c r="F5399" s="6" t="str">
        <f>IFERROR(__xludf.DUMMYFUNCTION("""COMPUTED_VALUE"""),"Barker")</f>
        <v>Barker</v>
      </c>
      <c r="G5399" s="6" t="str">
        <f>IFERROR(__xludf.DUMMYFUNCTION("""COMPUTED_VALUE"""),"11/15/2015")</f>
        <v>11/15/2015</v>
      </c>
      <c r="H5399" s="6" t="str">
        <f>IFERROR(__xludf.DUMMYFUNCTION("""COMPUTED_VALUE"""),"male")</f>
        <v>male</v>
      </c>
      <c r="I5399" s="6" t="str">
        <f>IFERROR(__xludf.DUMMYFUNCTION("""COMPUTED_VALUE"""),"Level 2")</f>
        <v>Level 2</v>
      </c>
      <c r="J5399" s="6" t="str">
        <f>IFERROR(__xludf.DUMMYFUNCTION("""COMPUTED_VALUE"""),"5")</f>
        <v>5</v>
      </c>
      <c r="K5399" s="6" t="str">
        <f>IFERROR(__xludf.DUMMYFUNCTION("""COMPUTED_VALUE"""),"devin.barker@2hourlearning.com")</f>
        <v>devin.barker@2hourlearning.com</v>
      </c>
      <c r="L5399" s="6" t="str">
        <f>IFERROR(__xludf.DUMMYFUNCTION("""COMPUTED_VALUE"""),"JRES - Ridgeland Elementary School")</f>
        <v>JRES - Ridgeland Elementary School</v>
      </c>
      <c r="M5399" s="6" t="str">
        <f>IFERROR(__xludf.DUMMYFUNCTION("""COMPUTED_VALUE"""),"")</f>
        <v/>
      </c>
      <c r="N5399" s="6" t="str">
        <f>IFERROR(__xludf.DUMMYFUNCTION("""COMPUTED_VALUE"""),"")</f>
        <v/>
      </c>
      <c r="O5399" s="87" t="str">
        <f>IFERROR(__xludf.DUMMYFUNCTION("""COMPUTED_VALUE"""),"https://drive.google.com/drive/folders/10T2cTQHqEJZqE-st6uFKPoI?usp=share_link")</f>
        <v>https://drive.google.com/drive/folders/10T2cTQHqEJZqE-st6uFKPoI?usp=share_link</v>
      </c>
      <c r="P5399" s="6" t="str">
        <f>IFERROR(__xludf.DUMMYFUNCTION("""COMPUTED_VALUE"""),"Devin Barker")</f>
        <v>Devin Barker</v>
      </c>
      <c r="Q5399" s="6" t="str">
        <f>IFERROR(__xludf.DUMMYFUNCTION("""COMPUTED_VALUE"""),"L2")</f>
        <v>L2</v>
      </c>
      <c r="R5399" s="6">
        <f>IFERROR(__xludf.DUMMYFUNCTION("""COMPUTED_VALUE"""),2.0)</f>
        <v>2</v>
      </c>
      <c r="S5399" s="6" t="str">
        <f>IFERROR(__xludf.DUMMYFUNCTION("""COMPUTED_VALUE"""),"Kimberly Ball")</f>
        <v>Kimberly Ball</v>
      </c>
      <c r="T5399" s="6" t="str">
        <f>IFERROR(__xludf.DUMMYFUNCTION("""COMPUTED_VALUE"""),"kimberly.ball@studient.com")</f>
        <v>kimberly.ball@studient.com</v>
      </c>
      <c r="U5399" s="6" t="str">
        <f>IFERROR(__xludf.DUMMYFUNCTION("""COMPUTED_VALUE"""),"5")</f>
        <v>5</v>
      </c>
      <c r="V5399" s="6" t="str">
        <f>IFERROR(__xludf.DUMMYFUNCTION("""COMPUTED_VALUE"""),"")</f>
        <v/>
      </c>
      <c r="W5399" s="6" t="str">
        <f>IFERROR(__xludf.DUMMYFUNCTION("""COMPUTED_VALUE"""),"[]")</f>
        <v>[]</v>
      </c>
      <c r="X5399" s="6" t="str">
        <f>IFERROR(__xludf.DUMMYFUNCTION("""COMPUTED_VALUE"""),"Enrolled")</f>
        <v>Enrolled</v>
      </c>
    </row>
    <row r="5400">
      <c r="A5400" s="6" t="str">
        <f>IFERROR(__xludf.DUMMYFUNCTION("""COMPUTED_VALUE"""),"086-12791")</f>
        <v>086-12791</v>
      </c>
      <c r="B5400" s="6" t="str">
        <f>IFERROR(__xludf.DUMMYFUNCTION("""COMPUTED_VALUE"""),"86")</f>
        <v>86</v>
      </c>
      <c r="C5400" s="6" t="str">
        <f>IFERROR(__xludf.DUMMYFUNCTION("""COMPUTED_VALUE"""),"12791")</f>
        <v>12791</v>
      </c>
      <c r="D5400" s="6" t="str">
        <f>IFERROR(__xludf.DUMMYFUNCTION("""COMPUTED_VALUE"""),"Katelin")</f>
        <v>Katelin</v>
      </c>
      <c r="E5400" s="6" t="str">
        <f>IFERROR(__xludf.DUMMYFUNCTION("""COMPUTED_VALUE"""),"")</f>
        <v/>
      </c>
      <c r="F5400" s="6" t="str">
        <f>IFERROR(__xludf.DUMMYFUNCTION("""COMPUTED_VALUE"""),"Bartolon Garcia")</f>
        <v>Bartolon Garcia</v>
      </c>
      <c r="G5400" s="6" t="str">
        <f>IFERROR(__xludf.DUMMYFUNCTION("""COMPUTED_VALUE"""),"08/22/2018")</f>
        <v>08/22/2018</v>
      </c>
      <c r="H5400" s="6" t="str">
        <f>IFERROR(__xludf.DUMMYFUNCTION("""COMPUTED_VALUE"""),"male")</f>
        <v>male</v>
      </c>
      <c r="I5400" s="6" t="str">
        <f>IFERROR(__xludf.DUMMYFUNCTION("""COMPUTED_VALUE"""),"Level 2")</f>
        <v>Level 2</v>
      </c>
      <c r="J5400" s="6" t="str">
        <f>IFERROR(__xludf.DUMMYFUNCTION("""COMPUTED_VALUE"""),"5")</f>
        <v>5</v>
      </c>
      <c r="K5400" s="6" t="str">
        <f>IFERROR(__xludf.DUMMYFUNCTION("""COMPUTED_VALUE"""),"katelin.bartolongarcia@2hourlearning.com")</f>
        <v>katelin.bartolongarcia@2hourlearning.com</v>
      </c>
      <c r="L5400" s="6" t="str">
        <f>IFERROR(__xludf.DUMMYFUNCTION("""COMPUTED_VALUE"""),"JRES - Ridgeland Elementary School")</f>
        <v>JRES - Ridgeland Elementary School</v>
      </c>
      <c r="M5400" s="6" t="str">
        <f>IFERROR(__xludf.DUMMYFUNCTION("""COMPUTED_VALUE"""),"")</f>
        <v/>
      </c>
      <c r="N5400" s="6" t="str">
        <f>IFERROR(__xludf.DUMMYFUNCTION("""COMPUTED_VALUE"""),"")</f>
        <v/>
      </c>
      <c r="O5400" s="87" t="str">
        <f>IFERROR(__xludf.DUMMYFUNCTION("""COMPUTED_VALUE"""),"https://drive.google.com/drive/folders/10T2cTQHqEJZqE-st6uFKPoI?usp=share_link")</f>
        <v>https://drive.google.com/drive/folders/10T2cTQHqEJZqE-st6uFKPoI?usp=share_link</v>
      </c>
      <c r="P5400" s="6" t="str">
        <f>IFERROR(__xludf.DUMMYFUNCTION("""COMPUTED_VALUE"""),"Katelin Bartolon Garcia")</f>
        <v>Katelin Bartolon Garcia</v>
      </c>
      <c r="Q5400" s="6" t="str">
        <f>IFERROR(__xludf.DUMMYFUNCTION("""COMPUTED_VALUE"""),"L2")</f>
        <v>L2</v>
      </c>
      <c r="R5400" s="6">
        <f>IFERROR(__xludf.DUMMYFUNCTION("""COMPUTED_VALUE"""),2.0)</f>
        <v>2</v>
      </c>
      <c r="S5400" s="6" t="str">
        <f>IFERROR(__xludf.DUMMYFUNCTION("""COMPUTED_VALUE"""),"Kimberly Ball")</f>
        <v>Kimberly Ball</v>
      </c>
      <c r="T5400" s="6" t="str">
        <f>IFERROR(__xludf.DUMMYFUNCTION("""COMPUTED_VALUE"""),"kimberly.ball@studient.com")</f>
        <v>kimberly.ball@studient.com</v>
      </c>
      <c r="U5400" s="6" t="str">
        <f>IFERROR(__xludf.DUMMYFUNCTION("""COMPUTED_VALUE"""),"5")</f>
        <v>5</v>
      </c>
      <c r="V5400" s="6" t="str">
        <f>IFERROR(__xludf.DUMMYFUNCTION("""COMPUTED_VALUE"""),"")</f>
        <v/>
      </c>
      <c r="W5400" s="6" t="str">
        <f>IFERROR(__xludf.DUMMYFUNCTION("""COMPUTED_VALUE"""),"[]")</f>
        <v>[]</v>
      </c>
      <c r="X5400" s="6" t="str">
        <f>IFERROR(__xludf.DUMMYFUNCTION("""COMPUTED_VALUE"""),"Enrolled")</f>
        <v>Enrolled</v>
      </c>
    </row>
    <row r="5401">
      <c r="A5401" s="6" t="str">
        <f>IFERROR(__xludf.DUMMYFUNCTION("""COMPUTED_VALUE"""),"086-12792")</f>
        <v>086-12792</v>
      </c>
      <c r="B5401" s="6" t="str">
        <f>IFERROR(__xludf.DUMMYFUNCTION("""COMPUTED_VALUE"""),"86")</f>
        <v>86</v>
      </c>
      <c r="C5401" s="6" t="str">
        <f>IFERROR(__xludf.DUMMYFUNCTION("""COMPUTED_VALUE"""),"12792")</f>
        <v>12792</v>
      </c>
      <c r="D5401" s="6" t="str">
        <f>IFERROR(__xludf.DUMMYFUNCTION("""COMPUTED_VALUE"""),"Jermaine")</f>
        <v>Jermaine</v>
      </c>
      <c r="E5401" s="6" t="str">
        <f>IFERROR(__xludf.DUMMYFUNCTION("""COMPUTED_VALUE"""),"")</f>
        <v/>
      </c>
      <c r="F5401" s="6" t="str">
        <f>IFERROR(__xludf.DUMMYFUNCTION("""COMPUTED_VALUE"""),"Bellamy")</f>
        <v>Bellamy</v>
      </c>
      <c r="G5401" s="6" t="str">
        <f>IFERROR(__xludf.DUMMYFUNCTION("""COMPUTED_VALUE"""),"05/05/2016")</f>
        <v>05/05/2016</v>
      </c>
      <c r="H5401" s="6" t="str">
        <f>IFERROR(__xludf.DUMMYFUNCTION("""COMPUTED_VALUE"""),"male")</f>
        <v>male</v>
      </c>
      <c r="I5401" s="6" t="str">
        <f>IFERROR(__xludf.DUMMYFUNCTION("""COMPUTED_VALUE"""),"Level 2")</f>
        <v>Level 2</v>
      </c>
      <c r="J5401" s="6" t="str">
        <f>IFERROR(__xludf.DUMMYFUNCTION("""COMPUTED_VALUE"""),"5")</f>
        <v>5</v>
      </c>
      <c r="K5401" s="6" t="str">
        <f>IFERROR(__xludf.DUMMYFUNCTION("""COMPUTED_VALUE"""),"jermaine.bellamy@2hourlearning.com")</f>
        <v>jermaine.bellamy@2hourlearning.com</v>
      </c>
      <c r="L5401" s="6" t="str">
        <f>IFERROR(__xludf.DUMMYFUNCTION("""COMPUTED_VALUE"""),"JRES - Ridgeland Elementary School")</f>
        <v>JRES - Ridgeland Elementary School</v>
      </c>
      <c r="M5401" s="6" t="str">
        <f>IFERROR(__xludf.DUMMYFUNCTION("""COMPUTED_VALUE"""),"")</f>
        <v/>
      </c>
      <c r="N5401" s="6" t="str">
        <f>IFERROR(__xludf.DUMMYFUNCTION("""COMPUTED_VALUE"""),"")</f>
        <v/>
      </c>
      <c r="O5401" s="87" t="str">
        <f>IFERROR(__xludf.DUMMYFUNCTION("""COMPUTED_VALUE"""),"https://drive.google.com/drive/folders/10T2cTQHqEJZqE-st6uFKPoI?usp=share_link")</f>
        <v>https://drive.google.com/drive/folders/10T2cTQHqEJZqE-st6uFKPoI?usp=share_link</v>
      </c>
      <c r="P5401" s="6" t="str">
        <f>IFERROR(__xludf.DUMMYFUNCTION("""COMPUTED_VALUE"""),"Jermaine Bellamy")</f>
        <v>Jermaine Bellamy</v>
      </c>
      <c r="Q5401" s="6" t="str">
        <f>IFERROR(__xludf.DUMMYFUNCTION("""COMPUTED_VALUE"""),"L2")</f>
        <v>L2</v>
      </c>
      <c r="R5401" s="6">
        <f>IFERROR(__xludf.DUMMYFUNCTION("""COMPUTED_VALUE"""),2.0)</f>
        <v>2</v>
      </c>
      <c r="S5401" s="6" t="str">
        <f>IFERROR(__xludf.DUMMYFUNCTION("""COMPUTED_VALUE"""),"Kimberly Ball")</f>
        <v>Kimberly Ball</v>
      </c>
      <c r="T5401" s="6" t="str">
        <f>IFERROR(__xludf.DUMMYFUNCTION("""COMPUTED_VALUE"""),"kimberly.ball@studient.com")</f>
        <v>kimberly.ball@studient.com</v>
      </c>
      <c r="U5401" s="6" t="str">
        <f>IFERROR(__xludf.DUMMYFUNCTION("""COMPUTED_VALUE"""),"5")</f>
        <v>5</v>
      </c>
      <c r="V5401" s="6" t="str">
        <f>IFERROR(__xludf.DUMMYFUNCTION("""COMPUTED_VALUE"""),"")</f>
        <v/>
      </c>
      <c r="W5401" s="6" t="str">
        <f>IFERROR(__xludf.DUMMYFUNCTION("""COMPUTED_VALUE"""),"[]")</f>
        <v>[]</v>
      </c>
      <c r="X5401" s="6" t="str">
        <f>IFERROR(__xludf.DUMMYFUNCTION("""COMPUTED_VALUE"""),"Enrolled")</f>
        <v>Enrolled</v>
      </c>
    </row>
    <row r="5402">
      <c r="A5402" s="6" t="str">
        <f>IFERROR(__xludf.DUMMYFUNCTION("""COMPUTED_VALUE"""),"086-12793")</f>
        <v>086-12793</v>
      </c>
      <c r="B5402" s="6" t="str">
        <f>IFERROR(__xludf.DUMMYFUNCTION("""COMPUTED_VALUE"""),"86")</f>
        <v>86</v>
      </c>
      <c r="C5402" s="6" t="str">
        <f>IFERROR(__xludf.DUMMYFUNCTION("""COMPUTED_VALUE"""),"12793")</f>
        <v>12793</v>
      </c>
      <c r="D5402" s="6" t="str">
        <f>IFERROR(__xludf.DUMMYFUNCTION("""COMPUTED_VALUE"""),"Mairani")</f>
        <v>Mairani</v>
      </c>
      <c r="E5402" s="6" t="str">
        <f>IFERROR(__xludf.DUMMYFUNCTION("""COMPUTED_VALUE"""),"")</f>
        <v/>
      </c>
      <c r="F5402" s="6" t="str">
        <f>IFERROR(__xludf.DUMMYFUNCTION("""COMPUTED_VALUE"""),"Benitez Gomez")</f>
        <v>Benitez Gomez</v>
      </c>
      <c r="G5402" s="6" t="str">
        <f>IFERROR(__xludf.DUMMYFUNCTION("""COMPUTED_VALUE"""),"05/22/2015")</f>
        <v>05/22/2015</v>
      </c>
      <c r="H5402" s="6" t="str">
        <f>IFERROR(__xludf.DUMMYFUNCTION("""COMPUTED_VALUE"""),"male")</f>
        <v>male</v>
      </c>
      <c r="I5402" s="6" t="str">
        <f>IFERROR(__xludf.DUMMYFUNCTION("""COMPUTED_VALUE"""),"Level 2")</f>
        <v>Level 2</v>
      </c>
      <c r="J5402" s="6" t="str">
        <f>IFERROR(__xludf.DUMMYFUNCTION("""COMPUTED_VALUE"""),"5")</f>
        <v>5</v>
      </c>
      <c r="K5402" s="6" t="str">
        <f>IFERROR(__xludf.DUMMYFUNCTION("""COMPUTED_VALUE"""),"mairani.benitezgomez@2hourlearning.com")</f>
        <v>mairani.benitezgomez@2hourlearning.com</v>
      </c>
      <c r="L5402" s="6" t="str">
        <f>IFERROR(__xludf.DUMMYFUNCTION("""COMPUTED_VALUE"""),"JRES - Ridgeland Elementary School")</f>
        <v>JRES - Ridgeland Elementary School</v>
      </c>
      <c r="M5402" s="6" t="str">
        <f>IFERROR(__xludf.DUMMYFUNCTION("""COMPUTED_VALUE"""),"")</f>
        <v/>
      </c>
      <c r="N5402" s="6" t="str">
        <f>IFERROR(__xludf.DUMMYFUNCTION("""COMPUTED_VALUE"""),"")</f>
        <v/>
      </c>
      <c r="O5402" s="87" t="str">
        <f>IFERROR(__xludf.DUMMYFUNCTION("""COMPUTED_VALUE"""),"https://drive.google.com/drive/folders/10T2cTQHqEJZqE-st6uFKPoI?usp=share_link")</f>
        <v>https://drive.google.com/drive/folders/10T2cTQHqEJZqE-st6uFKPoI?usp=share_link</v>
      </c>
      <c r="P5402" s="6" t="str">
        <f>IFERROR(__xludf.DUMMYFUNCTION("""COMPUTED_VALUE"""),"Mairani Benitez Gomez")</f>
        <v>Mairani Benitez Gomez</v>
      </c>
      <c r="Q5402" s="6" t="str">
        <f>IFERROR(__xludf.DUMMYFUNCTION("""COMPUTED_VALUE"""),"L2")</f>
        <v>L2</v>
      </c>
      <c r="R5402" s="6">
        <f>IFERROR(__xludf.DUMMYFUNCTION("""COMPUTED_VALUE"""),2.0)</f>
        <v>2</v>
      </c>
      <c r="S5402" s="6" t="str">
        <f>IFERROR(__xludf.DUMMYFUNCTION("""COMPUTED_VALUE"""),"Kimberly Ball")</f>
        <v>Kimberly Ball</v>
      </c>
      <c r="T5402" s="6" t="str">
        <f>IFERROR(__xludf.DUMMYFUNCTION("""COMPUTED_VALUE"""),"kimberly.ball@studient.com")</f>
        <v>kimberly.ball@studient.com</v>
      </c>
      <c r="U5402" s="6" t="str">
        <f>IFERROR(__xludf.DUMMYFUNCTION("""COMPUTED_VALUE"""),"5")</f>
        <v>5</v>
      </c>
      <c r="V5402" s="6" t="str">
        <f>IFERROR(__xludf.DUMMYFUNCTION("""COMPUTED_VALUE"""),"")</f>
        <v/>
      </c>
      <c r="W5402" s="6" t="str">
        <f>IFERROR(__xludf.DUMMYFUNCTION("""COMPUTED_VALUE"""),"[]")</f>
        <v>[]</v>
      </c>
      <c r="X5402" s="6" t="str">
        <f>IFERROR(__xludf.DUMMYFUNCTION("""COMPUTED_VALUE"""),"Enrolled")</f>
        <v>Enrolled</v>
      </c>
    </row>
    <row r="5403">
      <c r="A5403" s="6" t="str">
        <f>IFERROR(__xludf.DUMMYFUNCTION("""COMPUTED_VALUE"""),"086-12794")</f>
        <v>086-12794</v>
      </c>
      <c r="B5403" s="6" t="str">
        <f>IFERROR(__xludf.DUMMYFUNCTION("""COMPUTED_VALUE"""),"86")</f>
        <v>86</v>
      </c>
      <c r="C5403" s="6" t="str">
        <f>IFERROR(__xludf.DUMMYFUNCTION("""COMPUTED_VALUE"""),"12794")</f>
        <v>12794</v>
      </c>
      <c r="D5403" s="6" t="str">
        <f>IFERROR(__xludf.DUMMYFUNCTION("""COMPUTED_VALUE"""),"Der'Rhiana")</f>
        <v>Der'Rhiana</v>
      </c>
      <c r="E5403" s="6" t="str">
        <f>IFERROR(__xludf.DUMMYFUNCTION("""COMPUTED_VALUE"""),"")</f>
        <v/>
      </c>
      <c r="F5403" s="6" t="str">
        <f>IFERROR(__xludf.DUMMYFUNCTION("""COMPUTED_VALUE"""),"Bostick")</f>
        <v>Bostick</v>
      </c>
      <c r="G5403" s="6" t="str">
        <f>IFERROR(__xludf.DUMMYFUNCTION("""COMPUTED_VALUE"""),"03/18/2014")</f>
        <v>03/18/2014</v>
      </c>
      <c r="H5403" s="6" t="str">
        <f>IFERROR(__xludf.DUMMYFUNCTION("""COMPUTED_VALUE"""),"female")</f>
        <v>female</v>
      </c>
      <c r="I5403" s="6" t="str">
        <f>IFERROR(__xludf.DUMMYFUNCTION("""COMPUTED_VALUE"""),"Level 2")</f>
        <v>Level 2</v>
      </c>
      <c r="J5403" s="6" t="str">
        <f>IFERROR(__xludf.DUMMYFUNCTION("""COMPUTED_VALUE"""),"5")</f>
        <v>5</v>
      </c>
      <c r="K5403" s="6" t="str">
        <f>IFERROR(__xludf.DUMMYFUNCTION("""COMPUTED_VALUE"""),"derrhiana.bostick@2hourlearning.com")</f>
        <v>derrhiana.bostick@2hourlearning.com</v>
      </c>
      <c r="L5403" s="6" t="str">
        <f>IFERROR(__xludf.DUMMYFUNCTION("""COMPUTED_VALUE"""),"JRES - Ridgeland Elementary School")</f>
        <v>JRES - Ridgeland Elementary School</v>
      </c>
      <c r="M5403" s="6" t="str">
        <f>IFERROR(__xludf.DUMMYFUNCTION("""COMPUTED_VALUE"""),"")</f>
        <v/>
      </c>
      <c r="N5403" s="6" t="str">
        <f>IFERROR(__xludf.DUMMYFUNCTION("""COMPUTED_VALUE"""),"")</f>
        <v/>
      </c>
      <c r="O5403" s="87" t="str">
        <f>IFERROR(__xludf.DUMMYFUNCTION("""COMPUTED_VALUE"""),"https://drive.google.com/drive/folders/10T2cTQHqEJZqE-st6uFKPoI?usp=share_link")</f>
        <v>https://drive.google.com/drive/folders/10T2cTQHqEJZqE-st6uFKPoI?usp=share_link</v>
      </c>
      <c r="P5403" s="6" t="str">
        <f>IFERROR(__xludf.DUMMYFUNCTION("""COMPUTED_VALUE"""),"Der'Rhiana Bostick")</f>
        <v>Der'Rhiana Bostick</v>
      </c>
      <c r="Q5403" s="6" t="str">
        <f>IFERROR(__xludf.DUMMYFUNCTION("""COMPUTED_VALUE"""),"L2")</f>
        <v>L2</v>
      </c>
      <c r="R5403" s="6">
        <f>IFERROR(__xludf.DUMMYFUNCTION("""COMPUTED_VALUE"""),2.0)</f>
        <v>2</v>
      </c>
      <c r="S5403" s="6" t="str">
        <f>IFERROR(__xludf.DUMMYFUNCTION("""COMPUTED_VALUE"""),"Kimberly Ball")</f>
        <v>Kimberly Ball</v>
      </c>
      <c r="T5403" s="6" t="str">
        <f>IFERROR(__xludf.DUMMYFUNCTION("""COMPUTED_VALUE"""),"kimberly.ball@studient.com")</f>
        <v>kimberly.ball@studient.com</v>
      </c>
      <c r="U5403" s="6" t="str">
        <f>IFERROR(__xludf.DUMMYFUNCTION("""COMPUTED_VALUE"""),"5")</f>
        <v>5</v>
      </c>
      <c r="V5403" s="6" t="str">
        <f>IFERROR(__xludf.DUMMYFUNCTION("""COMPUTED_VALUE"""),"")</f>
        <v/>
      </c>
      <c r="W5403" s="6" t="str">
        <f>IFERROR(__xludf.DUMMYFUNCTION("""COMPUTED_VALUE"""),"[]")</f>
        <v>[]</v>
      </c>
      <c r="X5403" s="6" t="str">
        <f>IFERROR(__xludf.DUMMYFUNCTION("""COMPUTED_VALUE"""),"Enrolled")</f>
        <v>Enrolled</v>
      </c>
    </row>
    <row r="5404">
      <c r="A5404" s="6" t="str">
        <f>IFERROR(__xludf.DUMMYFUNCTION("""COMPUTED_VALUE"""),"086-12795")</f>
        <v>086-12795</v>
      </c>
      <c r="B5404" s="6" t="str">
        <f>IFERROR(__xludf.DUMMYFUNCTION("""COMPUTED_VALUE"""),"86")</f>
        <v>86</v>
      </c>
      <c r="C5404" s="6" t="str">
        <f>IFERROR(__xludf.DUMMYFUNCTION("""COMPUTED_VALUE"""),"12795")</f>
        <v>12795</v>
      </c>
      <c r="D5404" s="6" t="str">
        <f>IFERROR(__xludf.DUMMYFUNCTION("""COMPUTED_VALUE"""),"David")</f>
        <v>David</v>
      </c>
      <c r="E5404" s="6" t="str">
        <f>IFERROR(__xludf.DUMMYFUNCTION("""COMPUTED_VALUE"""),"")</f>
        <v/>
      </c>
      <c r="F5404" s="6" t="str">
        <f>IFERROR(__xludf.DUMMYFUNCTION("""COMPUTED_VALUE"""),"Catalan Bouzan")</f>
        <v>Catalan Bouzan</v>
      </c>
      <c r="G5404" s="6" t="str">
        <f>IFERROR(__xludf.DUMMYFUNCTION("""COMPUTED_VALUE"""),"06/18/2018")</f>
        <v>06/18/2018</v>
      </c>
      <c r="H5404" s="6" t="str">
        <f>IFERROR(__xludf.DUMMYFUNCTION("""COMPUTED_VALUE"""),"female")</f>
        <v>female</v>
      </c>
      <c r="I5404" s="6" t="str">
        <f>IFERROR(__xludf.DUMMYFUNCTION("""COMPUTED_VALUE"""),"Level 2")</f>
        <v>Level 2</v>
      </c>
      <c r="J5404" s="6" t="str">
        <f>IFERROR(__xludf.DUMMYFUNCTION("""COMPUTED_VALUE"""),"5")</f>
        <v>5</v>
      </c>
      <c r="K5404" s="6" t="str">
        <f>IFERROR(__xludf.DUMMYFUNCTION("""COMPUTED_VALUE"""),"david.catalanbouzan@2hourlearning.com")</f>
        <v>david.catalanbouzan@2hourlearning.com</v>
      </c>
      <c r="L5404" s="6" t="str">
        <f>IFERROR(__xludf.DUMMYFUNCTION("""COMPUTED_VALUE"""),"JRES - Ridgeland Elementary School")</f>
        <v>JRES - Ridgeland Elementary School</v>
      </c>
      <c r="M5404" s="6" t="str">
        <f>IFERROR(__xludf.DUMMYFUNCTION("""COMPUTED_VALUE"""),"")</f>
        <v/>
      </c>
      <c r="N5404" s="6" t="str">
        <f>IFERROR(__xludf.DUMMYFUNCTION("""COMPUTED_VALUE"""),"")</f>
        <v/>
      </c>
      <c r="O5404" s="87" t="str">
        <f>IFERROR(__xludf.DUMMYFUNCTION("""COMPUTED_VALUE"""),"https://drive.google.com/drive/folders/10T2cTQHqEJZqE-st6uFKPoI?usp=share_link")</f>
        <v>https://drive.google.com/drive/folders/10T2cTQHqEJZqE-st6uFKPoI?usp=share_link</v>
      </c>
      <c r="P5404" s="6" t="str">
        <f>IFERROR(__xludf.DUMMYFUNCTION("""COMPUTED_VALUE"""),"David Catalan Bouzan")</f>
        <v>David Catalan Bouzan</v>
      </c>
      <c r="Q5404" s="6" t="str">
        <f>IFERROR(__xludf.DUMMYFUNCTION("""COMPUTED_VALUE"""),"L2")</f>
        <v>L2</v>
      </c>
      <c r="R5404" s="6">
        <f>IFERROR(__xludf.DUMMYFUNCTION("""COMPUTED_VALUE"""),2.0)</f>
        <v>2</v>
      </c>
      <c r="S5404" s="6" t="str">
        <f>IFERROR(__xludf.DUMMYFUNCTION("""COMPUTED_VALUE"""),"Kimberly Ball")</f>
        <v>Kimberly Ball</v>
      </c>
      <c r="T5404" s="6" t="str">
        <f>IFERROR(__xludf.DUMMYFUNCTION("""COMPUTED_VALUE"""),"kimberly.ball@studient.com")</f>
        <v>kimberly.ball@studient.com</v>
      </c>
      <c r="U5404" s="6" t="str">
        <f>IFERROR(__xludf.DUMMYFUNCTION("""COMPUTED_VALUE"""),"5")</f>
        <v>5</v>
      </c>
      <c r="V5404" s="6" t="str">
        <f>IFERROR(__xludf.DUMMYFUNCTION("""COMPUTED_VALUE"""),"")</f>
        <v/>
      </c>
      <c r="W5404" s="6" t="str">
        <f>IFERROR(__xludf.DUMMYFUNCTION("""COMPUTED_VALUE"""),"[]")</f>
        <v>[]</v>
      </c>
      <c r="X5404" s="6" t="str">
        <f>IFERROR(__xludf.DUMMYFUNCTION("""COMPUTED_VALUE"""),"Enrolled")</f>
        <v>Enrolled</v>
      </c>
    </row>
    <row r="5405">
      <c r="A5405" s="6" t="str">
        <f>IFERROR(__xludf.DUMMYFUNCTION("""COMPUTED_VALUE"""),"086-12796")</f>
        <v>086-12796</v>
      </c>
      <c r="B5405" s="6" t="str">
        <f>IFERROR(__xludf.DUMMYFUNCTION("""COMPUTED_VALUE"""),"86")</f>
        <v>86</v>
      </c>
      <c r="C5405" s="6" t="str">
        <f>IFERROR(__xludf.DUMMYFUNCTION("""COMPUTED_VALUE"""),"12796")</f>
        <v>12796</v>
      </c>
      <c r="D5405" s="6" t="str">
        <f>IFERROR(__xludf.DUMMYFUNCTION("""COMPUTED_VALUE"""),"Jamarion")</f>
        <v>Jamarion</v>
      </c>
      <c r="E5405" s="6" t="str">
        <f>IFERROR(__xludf.DUMMYFUNCTION("""COMPUTED_VALUE"""),"")</f>
        <v/>
      </c>
      <c r="F5405" s="6" t="str">
        <f>IFERROR(__xludf.DUMMYFUNCTION("""COMPUTED_VALUE"""),"Chalmers")</f>
        <v>Chalmers</v>
      </c>
      <c r="G5405" s="6" t="str">
        <f>IFERROR(__xludf.DUMMYFUNCTION("""COMPUTED_VALUE"""),"06/28/2016")</f>
        <v>06/28/2016</v>
      </c>
      <c r="H5405" s="6" t="str">
        <f>IFERROR(__xludf.DUMMYFUNCTION("""COMPUTED_VALUE"""),"female")</f>
        <v>female</v>
      </c>
      <c r="I5405" s="6" t="str">
        <f>IFERROR(__xludf.DUMMYFUNCTION("""COMPUTED_VALUE"""),"Level 2")</f>
        <v>Level 2</v>
      </c>
      <c r="J5405" s="6" t="str">
        <f>IFERROR(__xludf.DUMMYFUNCTION("""COMPUTED_VALUE"""),"5")</f>
        <v>5</v>
      </c>
      <c r="K5405" s="6" t="str">
        <f>IFERROR(__xludf.DUMMYFUNCTION("""COMPUTED_VALUE"""),"jamarion.chalmers@2hourlearning.com")</f>
        <v>jamarion.chalmers@2hourlearning.com</v>
      </c>
      <c r="L5405" s="6" t="str">
        <f>IFERROR(__xludf.DUMMYFUNCTION("""COMPUTED_VALUE"""),"JRES - Ridgeland Elementary School")</f>
        <v>JRES - Ridgeland Elementary School</v>
      </c>
      <c r="M5405" s="6" t="str">
        <f>IFERROR(__xludf.DUMMYFUNCTION("""COMPUTED_VALUE"""),"")</f>
        <v/>
      </c>
      <c r="N5405" s="6" t="str">
        <f>IFERROR(__xludf.DUMMYFUNCTION("""COMPUTED_VALUE"""),"")</f>
        <v/>
      </c>
      <c r="O5405" s="87" t="str">
        <f>IFERROR(__xludf.DUMMYFUNCTION("""COMPUTED_VALUE"""),"https://drive.google.com/drive/folders/10T2cTQHqEJZqE-st6uFKPoI?usp=share_link")</f>
        <v>https://drive.google.com/drive/folders/10T2cTQHqEJZqE-st6uFKPoI?usp=share_link</v>
      </c>
      <c r="P5405" s="6" t="str">
        <f>IFERROR(__xludf.DUMMYFUNCTION("""COMPUTED_VALUE"""),"Jamarion Chalmers")</f>
        <v>Jamarion Chalmers</v>
      </c>
      <c r="Q5405" s="6" t="str">
        <f>IFERROR(__xludf.DUMMYFUNCTION("""COMPUTED_VALUE"""),"L2")</f>
        <v>L2</v>
      </c>
      <c r="R5405" s="6">
        <f>IFERROR(__xludf.DUMMYFUNCTION("""COMPUTED_VALUE"""),2.0)</f>
        <v>2</v>
      </c>
      <c r="S5405" s="6" t="str">
        <f>IFERROR(__xludf.DUMMYFUNCTION("""COMPUTED_VALUE"""),"Kimberly Ball")</f>
        <v>Kimberly Ball</v>
      </c>
      <c r="T5405" s="6" t="str">
        <f>IFERROR(__xludf.DUMMYFUNCTION("""COMPUTED_VALUE"""),"kimberly.ball@studient.com")</f>
        <v>kimberly.ball@studient.com</v>
      </c>
      <c r="U5405" s="6" t="str">
        <f>IFERROR(__xludf.DUMMYFUNCTION("""COMPUTED_VALUE"""),"5")</f>
        <v>5</v>
      </c>
      <c r="V5405" s="6" t="str">
        <f>IFERROR(__xludf.DUMMYFUNCTION("""COMPUTED_VALUE"""),"")</f>
        <v/>
      </c>
      <c r="W5405" s="6" t="str">
        <f>IFERROR(__xludf.DUMMYFUNCTION("""COMPUTED_VALUE"""),"[]")</f>
        <v>[]</v>
      </c>
      <c r="X5405" s="6" t="str">
        <f>IFERROR(__xludf.DUMMYFUNCTION("""COMPUTED_VALUE"""),"Enrolled")</f>
        <v>Enrolled</v>
      </c>
    </row>
    <row r="5406">
      <c r="A5406" s="6" t="str">
        <f>IFERROR(__xludf.DUMMYFUNCTION("""COMPUTED_VALUE"""),"086-12797")</f>
        <v>086-12797</v>
      </c>
      <c r="B5406" s="6" t="str">
        <f>IFERROR(__xludf.DUMMYFUNCTION("""COMPUTED_VALUE"""),"86")</f>
        <v>86</v>
      </c>
      <c r="C5406" s="6" t="str">
        <f>IFERROR(__xludf.DUMMYFUNCTION("""COMPUTED_VALUE"""),"12797")</f>
        <v>12797</v>
      </c>
      <c r="D5406" s="6" t="str">
        <f>IFERROR(__xludf.DUMMYFUNCTION("""COMPUTED_VALUE"""),"Cyntel")</f>
        <v>Cyntel</v>
      </c>
      <c r="E5406" s="6" t="str">
        <f>IFERROR(__xludf.DUMMYFUNCTION("""COMPUTED_VALUE"""),"")</f>
        <v/>
      </c>
      <c r="F5406" s="6" t="str">
        <f>IFERROR(__xludf.DUMMYFUNCTION("""COMPUTED_VALUE"""),"Chin")</f>
        <v>Chin</v>
      </c>
      <c r="G5406" s="6" t="str">
        <f>IFERROR(__xludf.DUMMYFUNCTION("""COMPUTED_VALUE"""),"07/20/2017")</f>
        <v>07/20/2017</v>
      </c>
      <c r="H5406" s="6" t="str">
        <f>IFERROR(__xludf.DUMMYFUNCTION("""COMPUTED_VALUE"""),"female")</f>
        <v>female</v>
      </c>
      <c r="I5406" s="6" t="str">
        <f>IFERROR(__xludf.DUMMYFUNCTION("""COMPUTED_VALUE"""),"Level 2")</f>
        <v>Level 2</v>
      </c>
      <c r="J5406" s="6" t="str">
        <f>IFERROR(__xludf.DUMMYFUNCTION("""COMPUTED_VALUE"""),"5")</f>
        <v>5</v>
      </c>
      <c r="K5406" s="6" t="str">
        <f>IFERROR(__xludf.DUMMYFUNCTION("""COMPUTED_VALUE"""),"cyntel.chin@2hourlearning.com")</f>
        <v>cyntel.chin@2hourlearning.com</v>
      </c>
      <c r="L5406" s="6" t="str">
        <f>IFERROR(__xludf.DUMMYFUNCTION("""COMPUTED_VALUE"""),"JRES - Ridgeland Elementary School")</f>
        <v>JRES - Ridgeland Elementary School</v>
      </c>
      <c r="M5406" s="6" t="str">
        <f>IFERROR(__xludf.DUMMYFUNCTION("""COMPUTED_VALUE"""),"")</f>
        <v/>
      </c>
      <c r="N5406" s="6" t="str">
        <f>IFERROR(__xludf.DUMMYFUNCTION("""COMPUTED_VALUE"""),"")</f>
        <v/>
      </c>
      <c r="O5406" s="87" t="str">
        <f>IFERROR(__xludf.DUMMYFUNCTION("""COMPUTED_VALUE"""),"https://drive.google.com/drive/folders/10T2cTQHqEJZqE-st6uFKPoI?usp=share_link")</f>
        <v>https://drive.google.com/drive/folders/10T2cTQHqEJZqE-st6uFKPoI?usp=share_link</v>
      </c>
      <c r="P5406" s="6" t="str">
        <f>IFERROR(__xludf.DUMMYFUNCTION("""COMPUTED_VALUE"""),"Cyntel Chin")</f>
        <v>Cyntel Chin</v>
      </c>
      <c r="Q5406" s="6" t="str">
        <f>IFERROR(__xludf.DUMMYFUNCTION("""COMPUTED_VALUE"""),"L2")</f>
        <v>L2</v>
      </c>
      <c r="R5406" s="6">
        <f>IFERROR(__xludf.DUMMYFUNCTION("""COMPUTED_VALUE"""),2.0)</f>
        <v>2</v>
      </c>
      <c r="S5406" s="6" t="str">
        <f>IFERROR(__xludf.DUMMYFUNCTION("""COMPUTED_VALUE"""),"Kimberly Ball")</f>
        <v>Kimberly Ball</v>
      </c>
      <c r="T5406" s="6" t="str">
        <f>IFERROR(__xludf.DUMMYFUNCTION("""COMPUTED_VALUE"""),"kimberly.ball@studient.com")</f>
        <v>kimberly.ball@studient.com</v>
      </c>
      <c r="U5406" s="6" t="str">
        <f>IFERROR(__xludf.DUMMYFUNCTION("""COMPUTED_VALUE"""),"5")</f>
        <v>5</v>
      </c>
      <c r="V5406" s="6" t="str">
        <f>IFERROR(__xludf.DUMMYFUNCTION("""COMPUTED_VALUE"""),"")</f>
        <v/>
      </c>
      <c r="W5406" s="6" t="str">
        <f>IFERROR(__xludf.DUMMYFUNCTION("""COMPUTED_VALUE"""),"[]")</f>
        <v>[]</v>
      </c>
      <c r="X5406" s="6" t="str">
        <f>IFERROR(__xludf.DUMMYFUNCTION("""COMPUTED_VALUE"""),"Enrolled")</f>
        <v>Enrolled</v>
      </c>
    </row>
    <row r="5407">
      <c r="A5407" s="6" t="str">
        <f>IFERROR(__xludf.DUMMYFUNCTION("""COMPUTED_VALUE"""),"086-12798")</f>
        <v>086-12798</v>
      </c>
      <c r="B5407" s="6" t="str">
        <f>IFERROR(__xludf.DUMMYFUNCTION("""COMPUTED_VALUE"""),"86")</f>
        <v>86</v>
      </c>
      <c r="C5407" s="6" t="str">
        <f>IFERROR(__xludf.DUMMYFUNCTION("""COMPUTED_VALUE"""),"12798")</f>
        <v>12798</v>
      </c>
      <c r="D5407" s="6" t="str">
        <f>IFERROR(__xludf.DUMMYFUNCTION("""COMPUTED_VALUE"""),"Alexis")</f>
        <v>Alexis</v>
      </c>
      <c r="E5407" s="6" t="str">
        <f>IFERROR(__xludf.DUMMYFUNCTION("""COMPUTED_VALUE"""),"")</f>
        <v/>
      </c>
      <c r="F5407" s="6" t="str">
        <f>IFERROR(__xludf.DUMMYFUNCTION("""COMPUTED_VALUE"""),"Cordova Molina")</f>
        <v>Cordova Molina</v>
      </c>
      <c r="G5407" s="6" t="str">
        <f>IFERROR(__xludf.DUMMYFUNCTION("""COMPUTED_VALUE"""),"12/20/2016")</f>
        <v>12/20/2016</v>
      </c>
      <c r="H5407" s="6" t="str">
        <f>IFERROR(__xludf.DUMMYFUNCTION("""COMPUTED_VALUE"""),"female")</f>
        <v>female</v>
      </c>
      <c r="I5407" s="6" t="str">
        <f>IFERROR(__xludf.DUMMYFUNCTION("""COMPUTED_VALUE"""),"Level 2")</f>
        <v>Level 2</v>
      </c>
      <c r="J5407" s="6" t="str">
        <f>IFERROR(__xludf.DUMMYFUNCTION("""COMPUTED_VALUE"""),"5")</f>
        <v>5</v>
      </c>
      <c r="K5407" s="6" t="str">
        <f>IFERROR(__xludf.DUMMYFUNCTION("""COMPUTED_VALUE"""),"alexis.cordovamolina@2hourlearning.com")</f>
        <v>alexis.cordovamolina@2hourlearning.com</v>
      </c>
      <c r="L5407" s="6" t="str">
        <f>IFERROR(__xludf.DUMMYFUNCTION("""COMPUTED_VALUE"""),"JRES - Ridgeland Elementary School")</f>
        <v>JRES - Ridgeland Elementary School</v>
      </c>
      <c r="M5407" s="6" t="str">
        <f>IFERROR(__xludf.DUMMYFUNCTION("""COMPUTED_VALUE"""),"")</f>
        <v/>
      </c>
      <c r="N5407" s="6" t="str">
        <f>IFERROR(__xludf.DUMMYFUNCTION("""COMPUTED_VALUE"""),"")</f>
        <v/>
      </c>
      <c r="O5407" s="87" t="str">
        <f>IFERROR(__xludf.DUMMYFUNCTION("""COMPUTED_VALUE"""),"https://drive.google.com/drive/folders/10T2cTQHqEJZqE-st6uFKPoI?usp=share_link")</f>
        <v>https://drive.google.com/drive/folders/10T2cTQHqEJZqE-st6uFKPoI?usp=share_link</v>
      </c>
      <c r="P5407" s="6" t="str">
        <f>IFERROR(__xludf.DUMMYFUNCTION("""COMPUTED_VALUE"""),"Alexis Cordova Molina")</f>
        <v>Alexis Cordova Molina</v>
      </c>
      <c r="Q5407" s="6" t="str">
        <f>IFERROR(__xludf.DUMMYFUNCTION("""COMPUTED_VALUE"""),"L2")</f>
        <v>L2</v>
      </c>
      <c r="R5407" s="6">
        <f>IFERROR(__xludf.DUMMYFUNCTION("""COMPUTED_VALUE"""),2.0)</f>
        <v>2</v>
      </c>
      <c r="S5407" s="6" t="str">
        <f>IFERROR(__xludf.DUMMYFUNCTION("""COMPUTED_VALUE"""),"Kimberly Ball")</f>
        <v>Kimberly Ball</v>
      </c>
      <c r="T5407" s="6" t="str">
        <f>IFERROR(__xludf.DUMMYFUNCTION("""COMPUTED_VALUE"""),"kimberly.ball@studient.com")</f>
        <v>kimberly.ball@studient.com</v>
      </c>
      <c r="U5407" s="6" t="str">
        <f>IFERROR(__xludf.DUMMYFUNCTION("""COMPUTED_VALUE"""),"5")</f>
        <v>5</v>
      </c>
      <c r="V5407" s="6" t="str">
        <f>IFERROR(__xludf.DUMMYFUNCTION("""COMPUTED_VALUE"""),"")</f>
        <v/>
      </c>
      <c r="W5407" s="6" t="str">
        <f>IFERROR(__xludf.DUMMYFUNCTION("""COMPUTED_VALUE"""),"[]")</f>
        <v>[]</v>
      </c>
      <c r="X5407" s="6" t="str">
        <f>IFERROR(__xludf.DUMMYFUNCTION("""COMPUTED_VALUE"""),"Enrolled")</f>
        <v>Enrolled</v>
      </c>
    </row>
    <row r="5408">
      <c r="A5408" s="6" t="str">
        <f>IFERROR(__xludf.DUMMYFUNCTION("""COMPUTED_VALUE"""),"086-12799")</f>
        <v>086-12799</v>
      </c>
      <c r="B5408" s="6" t="str">
        <f>IFERROR(__xludf.DUMMYFUNCTION("""COMPUTED_VALUE"""),"86")</f>
        <v>86</v>
      </c>
      <c r="C5408" s="6" t="str">
        <f>IFERROR(__xludf.DUMMYFUNCTION("""COMPUTED_VALUE"""),"12799")</f>
        <v>12799</v>
      </c>
      <c r="D5408" s="6" t="str">
        <f>IFERROR(__xludf.DUMMYFUNCTION("""COMPUTED_VALUE"""),"Ahmari")</f>
        <v>Ahmari</v>
      </c>
      <c r="E5408" s="6" t="str">
        <f>IFERROR(__xludf.DUMMYFUNCTION("""COMPUTED_VALUE"""),"")</f>
        <v/>
      </c>
      <c r="F5408" s="6" t="str">
        <f>IFERROR(__xludf.DUMMYFUNCTION("""COMPUTED_VALUE"""),"Cunningham")</f>
        <v>Cunningham</v>
      </c>
      <c r="G5408" s="6" t="str">
        <f>IFERROR(__xludf.DUMMYFUNCTION("""COMPUTED_VALUE"""),"03/19/2017")</f>
        <v>03/19/2017</v>
      </c>
      <c r="H5408" s="6" t="str">
        <f>IFERROR(__xludf.DUMMYFUNCTION("""COMPUTED_VALUE"""),"female")</f>
        <v>female</v>
      </c>
      <c r="I5408" s="6" t="str">
        <f>IFERROR(__xludf.DUMMYFUNCTION("""COMPUTED_VALUE"""),"Level 2")</f>
        <v>Level 2</v>
      </c>
      <c r="J5408" s="6" t="str">
        <f>IFERROR(__xludf.DUMMYFUNCTION("""COMPUTED_VALUE"""),"5")</f>
        <v>5</v>
      </c>
      <c r="K5408" s="6" t="str">
        <f>IFERROR(__xludf.DUMMYFUNCTION("""COMPUTED_VALUE"""),"ahmari.cunningham@2hourlearning.com")</f>
        <v>ahmari.cunningham@2hourlearning.com</v>
      </c>
      <c r="L5408" s="6" t="str">
        <f>IFERROR(__xludf.DUMMYFUNCTION("""COMPUTED_VALUE"""),"JRES - Ridgeland Elementary School")</f>
        <v>JRES - Ridgeland Elementary School</v>
      </c>
      <c r="M5408" s="6" t="str">
        <f>IFERROR(__xludf.DUMMYFUNCTION("""COMPUTED_VALUE"""),"")</f>
        <v/>
      </c>
      <c r="N5408" s="6" t="str">
        <f>IFERROR(__xludf.DUMMYFUNCTION("""COMPUTED_VALUE"""),"")</f>
        <v/>
      </c>
      <c r="O5408" s="87" t="str">
        <f>IFERROR(__xludf.DUMMYFUNCTION("""COMPUTED_VALUE"""),"https://drive.google.com/drive/folders/10T2cTQHqEJZqE-st6uFKPoI?usp=share_link")</f>
        <v>https://drive.google.com/drive/folders/10T2cTQHqEJZqE-st6uFKPoI?usp=share_link</v>
      </c>
      <c r="P5408" s="6" t="str">
        <f>IFERROR(__xludf.DUMMYFUNCTION("""COMPUTED_VALUE"""),"Ahmari Cunningham")</f>
        <v>Ahmari Cunningham</v>
      </c>
      <c r="Q5408" s="6" t="str">
        <f>IFERROR(__xludf.DUMMYFUNCTION("""COMPUTED_VALUE"""),"L2")</f>
        <v>L2</v>
      </c>
      <c r="R5408" s="6">
        <f>IFERROR(__xludf.DUMMYFUNCTION("""COMPUTED_VALUE"""),2.0)</f>
        <v>2</v>
      </c>
      <c r="S5408" s="6" t="str">
        <f>IFERROR(__xludf.DUMMYFUNCTION("""COMPUTED_VALUE"""),"Kimberly Ball")</f>
        <v>Kimberly Ball</v>
      </c>
      <c r="T5408" s="6" t="str">
        <f>IFERROR(__xludf.DUMMYFUNCTION("""COMPUTED_VALUE"""),"kimberly.ball@studient.com")</f>
        <v>kimberly.ball@studient.com</v>
      </c>
      <c r="U5408" s="6" t="str">
        <f>IFERROR(__xludf.DUMMYFUNCTION("""COMPUTED_VALUE"""),"5")</f>
        <v>5</v>
      </c>
      <c r="V5408" s="6" t="str">
        <f>IFERROR(__xludf.DUMMYFUNCTION("""COMPUTED_VALUE"""),"")</f>
        <v/>
      </c>
      <c r="W5408" s="6" t="str">
        <f>IFERROR(__xludf.DUMMYFUNCTION("""COMPUTED_VALUE"""),"[]")</f>
        <v>[]</v>
      </c>
      <c r="X5408" s="6" t="str">
        <f>IFERROR(__xludf.DUMMYFUNCTION("""COMPUTED_VALUE"""),"Enrolled")</f>
        <v>Enrolled</v>
      </c>
    </row>
    <row r="5409">
      <c r="A5409" s="6" t="str">
        <f>IFERROR(__xludf.DUMMYFUNCTION("""COMPUTED_VALUE"""),"086-12800")</f>
        <v>086-12800</v>
      </c>
      <c r="B5409" s="6" t="str">
        <f>IFERROR(__xludf.DUMMYFUNCTION("""COMPUTED_VALUE"""),"86")</f>
        <v>86</v>
      </c>
      <c r="C5409" s="6" t="str">
        <f>IFERROR(__xludf.DUMMYFUNCTION("""COMPUTED_VALUE"""),"12800")</f>
        <v>12800</v>
      </c>
      <c r="D5409" s="6" t="str">
        <f>IFERROR(__xludf.DUMMYFUNCTION("""COMPUTED_VALUE"""),"Brice")</f>
        <v>Brice</v>
      </c>
      <c r="E5409" s="6" t="str">
        <f>IFERROR(__xludf.DUMMYFUNCTION("""COMPUTED_VALUE"""),"")</f>
        <v/>
      </c>
      <c r="F5409" s="6" t="str">
        <f>IFERROR(__xludf.DUMMYFUNCTION("""COMPUTED_VALUE"""),"Daley")</f>
        <v>Daley</v>
      </c>
      <c r="G5409" s="6" t="str">
        <f>IFERROR(__xludf.DUMMYFUNCTION("""COMPUTED_VALUE"""),"08/16/2016")</f>
        <v>08/16/2016</v>
      </c>
      <c r="H5409" s="6" t="str">
        <f>IFERROR(__xludf.DUMMYFUNCTION("""COMPUTED_VALUE"""),"female")</f>
        <v>female</v>
      </c>
      <c r="I5409" s="6" t="str">
        <f>IFERROR(__xludf.DUMMYFUNCTION("""COMPUTED_VALUE"""),"Level 2")</f>
        <v>Level 2</v>
      </c>
      <c r="J5409" s="6" t="str">
        <f>IFERROR(__xludf.DUMMYFUNCTION("""COMPUTED_VALUE"""),"5")</f>
        <v>5</v>
      </c>
      <c r="K5409" s="6" t="str">
        <f>IFERROR(__xludf.DUMMYFUNCTION("""COMPUTED_VALUE"""),"brice.daley@2hourlearning.com")</f>
        <v>brice.daley@2hourlearning.com</v>
      </c>
      <c r="L5409" s="6" t="str">
        <f>IFERROR(__xludf.DUMMYFUNCTION("""COMPUTED_VALUE"""),"JRES - Ridgeland Elementary School")</f>
        <v>JRES - Ridgeland Elementary School</v>
      </c>
      <c r="M5409" s="6" t="str">
        <f>IFERROR(__xludf.DUMMYFUNCTION("""COMPUTED_VALUE"""),"")</f>
        <v/>
      </c>
      <c r="N5409" s="6" t="str">
        <f>IFERROR(__xludf.DUMMYFUNCTION("""COMPUTED_VALUE"""),"")</f>
        <v/>
      </c>
      <c r="O5409" s="87" t="str">
        <f>IFERROR(__xludf.DUMMYFUNCTION("""COMPUTED_VALUE"""),"https://drive.google.com/drive/folders/10T2cTQHqEJZqE-st6uFKPoI?usp=share_link")</f>
        <v>https://drive.google.com/drive/folders/10T2cTQHqEJZqE-st6uFKPoI?usp=share_link</v>
      </c>
      <c r="P5409" s="6" t="str">
        <f>IFERROR(__xludf.DUMMYFUNCTION("""COMPUTED_VALUE"""),"Brice Daley")</f>
        <v>Brice Daley</v>
      </c>
      <c r="Q5409" s="6" t="str">
        <f>IFERROR(__xludf.DUMMYFUNCTION("""COMPUTED_VALUE"""),"L2")</f>
        <v>L2</v>
      </c>
      <c r="R5409" s="6">
        <f>IFERROR(__xludf.DUMMYFUNCTION("""COMPUTED_VALUE"""),2.0)</f>
        <v>2</v>
      </c>
      <c r="S5409" s="6" t="str">
        <f>IFERROR(__xludf.DUMMYFUNCTION("""COMPUTED_VALUE"""),"Kimberly Ball")</f>
        <v>Kimberly Ball</v>
      </c>
      <c r="T5409" s="6" t="str">
        <f>IFERROR(__xludf.DUMMYFUNCTION("""COMPUTED_VALUE"""),"kimberly.ball@studient.com")</f>
        <v>kimberly.ball@studient.com</v>
      </c>
      <c r="U5409" s="6" t="str">
        <f>IFERROR(__xludf.DUMMYFUNCTION("""COMPUTED_VALUE"""),"5")</f>
        <v>5</v>
      </c>
      <c r="V5409" s="6" t="str">
        <f>IFERROR(__xludf.DUMMYFUNCTION("""COMPUTED_VALUE"""),"")</f>
        <v/>
      </c>
      <c r="W5409" s="6" t="str">
        <f>IFERROR(__xludf.DUMMYFUNCTION("""COMPUTED_VALUE"""),"[]")</f>
        <v>[]</v>
      </c>
      <c r="X5409" s="6" t="str">
        <f>IFERROR(__xludf.DUMMYFUNCTION("""COMPUTED_VALUE"""),"Enrolled")</f>
        <v>Enrolled</v>
      </c>
    </row>
    <row r="5410">
      <c r="A5410" s="6" t="str">
        <f>IFERROR(__xludf.DUMMYFUNCTION("""COMPUTED_VALUE"""),"086-12801")</f>
        <v>086-12801</v>
      </c>
      <c r="B5410" s="6" t="str">
        <f>IFERROR(__xludf.DUMMYFUNCTION("""COMPUTED_VALUE"""),"86")</f>
        <v>86</v>
      </c>
      <c r="C5410" s="6" t="str">
        <f>IFERROR(__xludf.DUMMYFUNCTION("""COMPUTED_VALUE"""),"12801")</f>
        <v>12801</v>
      </c>
      <c r="D5410" s="6" t="str">
        <f>IFERROR(__xludf.DUMMYFUNCTION("""COMPUTED_VALUE"""),"Paloma")</f>
        <v>Paloma</v>
      </c>
      <c r="E5410" s="6" t="str">
        <f>IFERROR(__xludf.DUMMYFUNCTION("""COMPUTED_VALUE"""),"")</f>
        <v/>
      </c>
      <c r="F5410" s="6" t="str">
        <f>IFERROR(__xludf.DUMMYFUNCTION("""COMPUTED_VALUE"""),"De La Cruz Gonzalez")</f>
        <v>De La Cruz Gonzalez</v>
      </c>
      <c r="G5410" s="6" t="str">
        <f>IFERROR(__xludf.DUMMYFUNCTION("""COMPUTED_VALUE"""),"02/13/2015")</f>
        <v>02/13/2015</v>
      </c>
      <c r="H5410" s="6" t="str">
        <f>IFERROR(__xludf.DUMMYFUNCTION("""COMPUTED_VALUE"""),"male")</f>
        <v>male</v>
      </c>
      <c r="I5410" s="6" t="str">
        <f>IFERROR(__xludf.DUMMYFUNCTION("""COMPUTED_VALUE"""),"Level 2")</f>
        <v>Level 2</v>
      </c>
      <c r="J5410" s="6" t="str">
        <f>IFERROR(__xludf.DUMMYFUNCTION("""COMPUTED_VALUE"""),"5")</f>
        <v>5</v>
      </c>
      <c r="K5410" s="6" t="str">
        <f>IFERROR(__xludf.DUMMYFUNCTION("""COMPUTED_VALUE"""),"paloma.delacruzgonzalez@2hourlearning.com")</f>
        <v>paloma.delacruzgonzalez@2hourlearning.com</v>
      </c>
      <c r="L5410" s="6" t="str">
        <f>IFERROR(__xludf.DUMMYFUNCTION("""COMPUTED_VALUE"""),"JRES - Ridgeland Elementary School")</f>
        <v>JRES - Ridgeland Elementary School</v>
      </c>
      <c r="M5410" s="6" t="str">
        <f>IFERROR(__xludf.DUMMYFUNCTION("""COMPUTED_VALUE"""),"")</f>
        <v/>
      </c>
      <c r="N5410" s="6" t="str">
        <f>IFERROR(__xludf.DUMMYFUNCTION("""COMPUTED_VALUE"""),"")</f>
        <v/>
      </c>
      <c r="O5410" s="87" t="str">
        <f>IFERROR(__xludf.DUMMYFUNCTION("""COMPUTED_VALUE"""),"https://drive.google.com/drive/folders/10T2cTQHqEJZqE-st6uFKPoI?usp=share_link")</f>
        <v>https://drive.google.com/drive/folders/10T2cTQHqEJZqE-st6uFKPoI?usp=share_link</v>
      </c>
      <c r="P5410" s="6" t="str">
        <f>IFERROR(__xludf.DUMMYFUNCTION("""COMPUTED_VALUE"""),"Paloma De La Cruz Gonzalez")</f>
        <v>Paloma De La Cruz Gonzalez</v>
      </c>
      <c r="Q5410" s="6" t="str">
        <f>IFERROR(__xludf.DUMMYFUNCTION("""COMPUTED_VALUE"""),"L2")</f>
        <v>L2</v>
      </c>
      <c r="R5410" s="6">
        <f>IFERROR(__xludf.DUMMYFUNCTION("""COMPUTED_VALUE"""),2.0)</f>
        <v>2</v>
      </c>
      <c r="S5410" s="6" t="str">
        <f>IFERROR(__xludf.DUMMYFUNCTION("""COMPUTED_VALUE"""),"Kimberly Ball")</f>
        <v>Kimberly Ball</v>
      </c>
      <c r="T5410" s="6" t="str">
        <f>IFERROR(__xludf.DUMMYFUNCTION("""COMPUTED_VALUE"""),"kimberly.ball@studient.com")</f>
        <v>kimberly.ball@studient.com</v>
      </c>
      <c r="U5410" s="6" t="str">
        <f>IFERROR(__xludf.DUMMYFUNCTION("""COMPUTED_VALUE"""),"5")</f>
        <v>5</v>
      </c>
      <c r="V5410" s="6" t="str">
        <f>IFERROR(__xludf.DUMMYFUNCTION("""COMPUTED_VALUE"""),"")</f>
        <v/>
      </c>
      <c r="W5410" s="6" t="str">
        <f>IFERROR(__xludf.DUMMYFUNCTION("""COMPUTED_VALUE"""),"[]")</f>
        <v>[]</v>
      </c>
      <c r="X5410" s="6" t="str">
        <f>IFERROR(__xludf.DUMMYFUNCTION("""COMPUTED_VALUE"""),"Enrolled")</f>
        <v>Enrolled</v>
      </c>
    </row>
    <row r="5411">
      <c r="A5411" s="6" t="str">
        <f>IFERROR(__xludf.DUMMYFUNCTION("""COMPUTED_VALUE"""),"086-12802")</f>
        <v>086-12802</v>
      </c>
      <c r="B5411" s="6" t="str">
        <f>IFERROR(__xludf.DUMMYFUNCTION("""COMPUTED_VALUE"""),"86")</f>
        <v>86</v>
      </c>
      <c r="C5411" s="6" t="str">
        <f>IFERROR(__xludf.DUMMYFUNCTION("""COMPUTED_VALUE"""),"12802")</f>
        <v>12802</v>
      </c>
      <c r="D5411" s="6" t="str">
        <f>IFERROR(__xludf.DUMMYFUNCTION("""COMPUTED_VALUE"""),"Jatziry")</f>
        <v>Jatziry</v>
      </c>
      <c r="E5411" s="6" t="str">
        <f>IFERROR(__xludf.DUMMYFUNCTION("""COMPUTED_VALUE"""),"")</f>
        <v/>
      </c>
      <c r="F5411" s="6" t="str">
        <f>IFERROR(__xludf.DUMMYFUNCTION("""COMPUTED_VALUE"""),"De La Rosa")</f>
        <v>De La Rosa</v>
      </c>
      <c r="G5411" s="6" t="str">
        <f>IFERROR(__xludf.DUMMYFUNCTION("""COMPUTED_VALUE"""),"10/06/2015")</f>
        <v>10/06/2015</v>
      </c>
      <c r="H5411" s="6" t="str">
        <f>IFERROR(__xludf.DUMMYFUNCTION("""COMPUTED_VALUE"""),"female")</f>
        <v>female</v>
      </c>
      <c r="I5411" s="6" t="str">
        <f>IFERROR(__xludf.DUMMYFUNCTION("""COMPUTED_VALUE"""),"Level 2")</f>
        <v>Level 2</v>
      </c>
      <c r="J5411" s="6" t="str">
        <f>IFERROR(__xludf.DUMMYFUNCTION("""COMPUTED_VALUE"""),"5")</f>
        <v>5</v>
      </c>
      <c r="K5411" s="6" t="str">
        <f>IFERROR(__xludf.DUMMYFUNCTION("""COMPUTED_VALUE"""),"jatziry.delarosa@2hourlearning.com")</f>
        <v>jatziry.delarosa@2hourlearning.com</v>
      </c>
      <c r="L5411" s="6" t="str">
        <f>IFERROR(__xludf.DUMMYFUNCTION("""COMPUTED_VALUE"""),"JRES - Ridgeland Elementary School")</f>
        <v>JRES - Ridgeland Elementary School</v>
      </c>
      <c r="M5411" s="6" t="str">
        <f>IFERROR(__xludf.DUMMYFUNCTION("""COMPUTED_VALUE"""),"")</f>
        <v/>
      </c>
      <c r="N5411" s="6" t="str">
        <f>IFERROR(__xludf.DUMMYFUNCTION("""COMPUTED_VALUE"""),"")</f>
        <v/>
      </c>
      <c r="O5411" s="87" t="str">
        <f>IFERROR(__xludf.DUMMYFUNCTION("""COMPUTED_VALUE"""),"https://drive.google.com/drive/folders/10T2cTQHqEJZqE-st6uFKPoI?usp=share_link")</f>
        <v>https://drive.google.com/drive/folders/10T2cTQHqEJZqE-st6uFKPoI?usp=share_link</v>
      </c>
      <c r="P5411" s="6" t="str">
        <f>IFERROR(__xludf.DUMMYFUNCTION("""COMPUTED_VALUE"""),"Jatziry De La Rosa")</f>
        <v>Jatziry De La Rosa</v>
      </c>
      <c r="Q5411" s="6" t="str">
        <f>IFERROR(__xludf.DUMMYFUNCTION("""COMPUTED_VALUE"""),"L2")</f>
        <v>L2</v>
      </c>
      <c r="R5411" s="6">
        <f>IFERROR(__xludf.DUMMYFUNCTION("""COMPUTED_VALUE"""),2.0)</f>
        <v>2</v>
      </c>
      <c r="S5411" s="6" t="str">
        <f>IFERROR(__xludf.DUMMYFUNCTION("""COMPUTED_VALUE"""),"Kimberly Ball")</f>
        <v>Kimberly Ball</v>
      </c>
      <c r="T5411" s="6" t="str">
        <f>IFERROR(__xludf.DUMMYFUNCTION("""COMPUTED_VALUE"""),"kimberly.ball@studient.com")</f>
        <v>kimberly.ball@studient.com</v>
      </c>
      <c r="U5411" s="6" t="str">
        <f>IFERROR(__xludf.DUMMYFUNCTION("""COMPUTED_VALUE"""),"5")</f>
        <v>5</v>
      </c>
      <c r="V5411" s="6" t="str">
        <f>IFERROR(__xludf.DUMMYFUNCTION("""COMPUTED_VALUE"""),"")</f>
        <v/>
      </c>
      <c r="W5411" s="6" t="str">
        <f>IFERROR(__xludf.DUMMYFUNCTION("""COMPUTED_VALUE"""),"[]")</f>
        <v>[]</v>
      </c>
      <c r="X5411" s="6" t="str">
        <f>IFERROR(__xludf.DUMMYFUNCTION("""COMPUTED_VALUE"""),"Enrolled")</f>
        <v>Enrolled</v>
      </c>
    </row>
    <row r="5412">
      <c r="A5412" s="6" t="str">
        <f>IFERROR(__xludf.DUMMYFUNCTION("""COMPUTED_VALUE"""),"086-12803")</f>
        <v>086-12803</v>
      </c>
      <c r="B5412" s="6" t="str">
        <f>IFERROR(__xludf.DUMMYFUNCTION("""COMPUTED_VALUE"""),"86")</f>
        <v>86</v>
      </c>
      <c r="C5412" s="6" t="str">
        <f>IFERROR(__xludf.DUMMYFUNCTION("""COMPUTED_VALUE"""),"12803")</f>
        <v>12803</v>
      </c>
      <c r="D5412" s="6" t="str">
        <f>IFERROR(__xludf.DUMMYFUNCTION("""COMPUTED_VALUE"""),"Cristian")</f>
        <v>Cristian</v>
      </c>
      <c r="E5412" s="6" t="str">
        <f>IFERROR(__xludf.DUMMYFUNCTION("""COMPUTED_VALUE"""),"")</f>
        <v/>
      </c>
      <c r="F5412" s="6" t="str">
        <f>IFERROR(__xludf.DUMMYFUNCTION("""COMPUTED_VALUE"""),"De Los Santos Ibarra")</f>
        <v>De Los Santos Ibarra</v>
      </c>
      <c r="G5412" s="6" t="str">
        <f>IFERROR(__xludf.DUMMYFUNCTION("""COMPUTED_VALUE"""),"01/09/2018")</f>
        <v>01/09/2018</v>
      </c>
      <c r="H5412" s="6" t="str">
        <f>IFERROR(__xludf.DUMMYFUNCTION("""COMPUTED_VALUE"""),"male")</f>
        <v>male</v>
      </c>
      <c r="I5412" s="6" t="str">
        <f>IFERROR(__xludf.DUMMYFUNCTION("""COMPUTED_VALUE"""),"Level 2")</f>
        <v>Level 2</v>
      </c>
      <c r="J5412" s="6" t="str">
        <f>IFERROR(__xludf.DUMMYFUNCTION("""COMPUTED_VALUE"""),"5")</f>
        <v>5</v>
      </c>
      <c r="K5412" s="6" t="str">
        <f>IFERROR(__xludf.DUMMYFUNCTION("""COMPUTED_VALUE"""),"cristian.delossantosibarra@2hourlearning.com")</f>
        <v>cristian.delossantosibarra@2hourlearning.com</v>
      </c>
      <c r="L5412" s="6" t="str">
        <f>IFERROR(__xludf.DUMMYFUNCTION("""COMPUTED_VALUE"""),"JRES - Ridgeland Elementary School")</f>
        <v>JRES - Ridgeland Elementary School</v>
      </c>
      <c r="M5412" s="6" t="str">
        <f>IFERROR(__xludf.DUMMYFUNCTION("""COMPUTED_VALUE"""),"")</f>
        <v/>
      </c>
      <c r="N5412" s="6" t="str">
        <f>IFERROR(__xludf.DUMMYFUNCTION("""COMPUTED_VALUE"""),"")</f>
        <v/>
      </c>
      <c r="O5412" s="87" t="str">
        <f>IFERROR(__xludf.DUMMYFUNCTION("""COMPUTED_VALUE"""),"https://drive.google.com/drive/folders/10T2cTQHqEJZqE-st6uFKPoI?usp=share_link")</f>
        <v>https://drive.google.com/drive/folders/10T2cTQHqEJZqE-st6uFKPoI?usp=share_link</v>
      </c>
      <c r="P5412" s="6" t="str">
        <f>IFERROR(__xludf.DUMMYFUNCTION("""COMPUTED_VALUE"""),"Cristian De Los Santos Ibarra")</f>
        <v>Cristian De Los Santos Ibarra</v>
      </c>
      <c r="Q5412" s="6" t="str">
        <f>IFERROR(__xludf.DUMMYFUNCTION("""COMPUTED_VALUE"""),"L2")</f>
        <v>L2</v>
      </c>
      <c r="R5412" s="6">
        <f>IFERROR(__xludf.DUMMYFUNCTION("""COMPUTED_VALUE"""),2.0)</f>
        <v>2</v>
      </c>
      <c r="S5412" s="6" t="str">
        <f>IFERROR(__xludf.DUMMYFUNCTION("""COMPUTED_VALUE"""),"Kimberly Ball")</f>
        <v>Kimberly Ball</v>
      </c>
      <c r="T5412" s="6" t="str">
        <f>IFERROR(__xludf.DUMMYFUNCTION("""COMPUTED_VALUE"""),"kimberly.ball@studient.com")</f>
        <v>kimberly.ball@studient.com</v>
      </c>
      <c r="U5412" s="6" t="str">
        <f>IFERROR(__xludf.DUMMYFUNCTION("""COMPUTED_VALUE"""),"5")</f>
        <v>5</v>
      </c>
      <c r="V5412" s="6" t="str">
        <f>IFERROR(__xludf.DUMMYFUNCTION("""COMPUTED_VALUE"""),"")</f>
        <v/>
      </c>
      <c r="W5412" s="6" t="str">
        <f>IFERROR(__xludf.DUMMYFUNCTION("""COMPUTED_VALUE"""),"[]")</f>
        <v>[]</v>
      </c>
      <c r="X5412" s="6" t="str">
        <f>IFERROR(__xludf.DUMMYFUNCTION("""COMPUTED_VALUE"""),"Enrolled")</f>
        <v>Enrolled</v>
      </c>
    </row>
    <row r="5413">
      <c r="A5413" s="6" t="str">
        <f>IFERROR(__xludf.DUMMYFUNCTION("""COMPUTED_VALUE"""),"086-12804")</f>
        <v>086-12804</v>
      </c>
      <c r="B5413" s="6" t="str">
        <f>IFERROR(__xludf.DUMMYFUNCTION("""COMPUTED_VALUE"""),"86")</f>
        <v>86</v>
      </c>
      <c r="C5413" s="6" t="str">
        <f>IFERROR(__xludf.DUMMYFUNCTION("""COMPUTED_VALUE"""),"12804")</f>
        <v>12804</v>
      </c>
      <c r="D5413" s="6" t="str">
        <f>IFERROR(__xludf.DUMMYFUNCTION("""COMPUTED_VALUE"""),"Avah")</f>
        <v>Avah</v>
      </c>
      <c r="E5413" s="6" t="str">
        <f>IFERROR(__xludf.DUMMYFUNCTION("""COMPUTED_VALUE"""),"")</f>
        <v/>
      </c>
      <c r="F5413" s="6" t="str">
        <f>IFERROR(__xludf.DUMMYFUNCTION("""COMPUTED_VALUE"""),"Deloach")</f>
        <v>Deloach</v>
      </c>
      <c r="G5413" s="6" t="str">
        <f>IFERROR(__xludf.DUMMYFUNCTION("""COMPUTED_VALUE"""),"05/18/2016")</f>
        <v>05/18/2016</v>
      </c>
      <c r="H5413" s="6" t="str">
        <f>IFERROR(__xludf.DUMMYFUNCTION("""COMPUTED_VALUE"""),"male")</f>
        <v>male</v>
      </c>
      <c r="I5413" s="6" t="str">
        <f>IFERROR(__xludf.DUMMYFUNCTION("""COMPUTED_VALUE"""),"Level 2")</f>
        <v>Level 2</v>
      </c>
      <c r="J5413" s="6" t="str">
        <f>IFERROR(__xludf.DUMMYFUNCTION("""COMPUTED_VALUE"""),"5")</f>
        <v>5</v>
      </c>
      <c r="K5413" s="6" t="str">
        <f>IFERROR(__xludf.DUMMYFUNCTION("""COMPUTED_VALUE"""),"avah.deloach@2hourlearning.com")</f>
        <v>avah.deloach@2hourlearning.com</v>
      </c>
      <c r="L5413" s="6" t="str">
        <f>IFERROR(__xludf.DUMMYFUNCTION("""COMPUTED_VALUE"""),"JRES - Ridgeland Elementary School")</f>
        <v>JRES - Ridgeland Elementary School</v>
      </c>
      <c r="M5413" s="6" t="str">
        <f>IFERROR(__xludf.DUMMYFUNCTION("""COMPUTED_VALUE"""),"")</f>
        <v/>
      </c>
      <c r="N5413" s="6" t="str">
        <f>IFERROR(__xludf.DUMMYFUNCTION("""COMPUTED_VALUE"""),"")</f>
        <v/>
      </c>
      <c r="O5413" s="87" t="str">
        <f>IFERROR(__xludf.DUMMYFUNCTION("""COMPUTED_VALUE"""),"https://drive.google.com/drive/folders/10T2cTQHqEJZqE-st6uFKPoI?usp=share_link")</f>
        <v>https://drive.google.com/drive/folders/10T2cTQHqEJZqE-st6uFKPoI?usp=share_link</v>
      </c>
      <c r="P5413" s="6" t="str">
        <f>IFERROR(__xludf.DUMMYFUNCTION("""COMPUTED_VALUE"""),"Avah Deloach")</f>
        <v>Avah Deloach</v>
      </c>
      <c r="Q5413" s="6" t="str">
        <f>IFERROR(__xludf.DUMMYFUNCTION("""COMPUTED_VALUE"""),"L2")</f>
        <v>L2</v>
      </c>
      <c r="R5413" s="6">
        <f>IFERROR(__xludf.DUMMYFUNCTION("""COMPUTED_VALUE"""),2.0)</f>
        <v>2</v>
      </c>
      <c r="S5413" s="6" t="str">
        <f>IFERROR(__xludf.DUMMYFUNCTION("""COMPUTED_VALUE"""),"Kimberly Ball")</f>
        <v>Kimberly Ball</v>
      </c>
      <c r="T5413" s="6" t="str">
        <f>IFERROR(__xludf.DUMMYFUNCTION("""COMPUTED_VALUE"""),"kimberly.ball@studient.com")</f>
        <v>kimberly.ball@studient.com</v>
      </c>
      <c r="U5413" s="6" t="str">
        <f>IFERROR(__xludf.DUMMYFUNCTION("""COMPUTED_VALUE"""),"5")</f>
        <v>5</v>
      </c>
      <c r="V5413" s="6" t="str">
        <f>IFERROR(__xludf.DUMMYFUNCTION("""COMPUTED_VALUE"""),"")</f>
        <v/>
      </c>
      <c r="W5413" s="6" t="str">
        <f>IFERROR(__xludf.DUMMYFUNCTION("""COMPUTED_VALUE"""),"[]")</f>
        <v>[]</v>
      </c>
      <c r="X5413" s="6" t="str">
        <f>IFERROR(__xludf.DUMMYFUNCTION("""COMPUTED_VALUE"""),"Enrolled")</f>
        <v>Enrolled</v>
      </c>
    </row>
    <row r="5414">
      <c r="A5414" s="6" t="str">
        <f>IFERROR(__xludf.DUMMYFUNCTION("""COMPUTED_VALUE"""),"086-12805")</f>
        <v>086-12805</v>
      </c>
      <c r="B5414" s="6" t="str">
        <f>IFERROR(__xludf.DUMMYFUNCTION("""COMPUTED_VALUE"""),"86")</f>
        <v>86</v>
      </c>
      <c r="C5414" s="6" t="str">
        <f>IFERROR(__xludf.DUMMYFUNCTION("""COMPUTED_VALUE"""),"12805")</f>
        <v>12805</v>
      </c>
      <c r="D5414" s="6" t="str">
        <f>IFERROR(__xludf.DUMMYFUNCTION("""COMPUTED_VALUE"""),"Shania")</f>
        <v>Shania</v>
      </c>
      <c r="E5414" s="6" t="str">
        <f>IFERROR(__xludf.DUMMYFUNCTION("""COMPUTED_VALUE"""),"")</f>
        <v/>
      </c>
      <c r="F5414" s="6" t="str">
        <f>IFERROR(__xludf.DUMMYFUNCTION("""COMPUTED_VALUE"""),"Deonilla")</f>
        <v>Deonilla</v>
      </c>
      <c r="G5414" s="6" t="str">
        <f>IFERROR(__xludf.DUMMYFUNCTION("""COMPUTED_VALUE"""),"03/21/2017")</f>
        <v>03/21/2017</v>
      </c>
      <c r="H5414" s="6" t="str">
        <f>IFERROR(__xludf.DUMMYFUNCTION("""COMPUTED_VALUE"""),"male")</f>
        <v>male</v>
      </c>
      <c r="I5414" s="6" t="str">
        <f>IFERROR(__xludf.DUMMYFUNCTION("""COMPUTED_VALUE"""),"Level 2")</f>
        <v>Level 2</v>
      </c>
      <c r="J5414" s="6" t="str">
        <f>IFERROR(__xludf.DUMMYFUNCTION("""COMPUTED_VALUE"""),"5")</f>
        <v>5</v>
      </c>
      <c r="K5414" s="6" t="str">
        <f>IFERROR(__xludf.DUMMYFUNCTION("""COMPUTED_VALUE"""),"shania.deonilla@2hourlearning.com")</f>
        <v>shania.deonilla@2hourlearning.com</v>
      </c>
      <c r="L5414" s="6" t="str">
        <f>IFERROR(__xludf.DUMMYFUNCTION("""COMPUTED_VALUE"""),"JRES - Ridgeland Elementary School")</f>
        <v>JRES - Ridgeland Elementary School</v>
      </c>
      <c r="M5414" s="6" t="str">
        <f>IFERROR(__xludf.DUMMYFUNCTION("""COMPUTED_VALUE"""),"")</f>
        <v/>
      </c>
      <c r="N5414" s="6" t="str">
        <f>IFERROR(__xludf.DUMMYFUNCTION("""COMPUTED_VALUE"""),"")</f>
        <v/>
      </c>
      <c r="O5414" s="87" t="str">
        <f>IFERROR(__xludf.DUMMYFUNCTION("""COMPUTED_VALUE"""),"https://drive.google.com/drive/folders/10T2cTQHqEJZqE-st6uFKPoI?usp=share_link")</f>
        <v>https://drive.google.com/drive/folders/10T2cTQHqEJZqE-st6uFKPoI?usp=share_link</v>
      </c>
      <c r="P5414" s="6" t="str">
        <f>IFERROR(__xludf.DUMMYFUNCTION("""COMPUTED_VALUE"""),"Shania Deonilla")</f>
        <v>Shania Deonilla</v>
      </c>
      <c r="Q5414" s="6" t="str">
        <f>IFERROR(__xludf.DUMMYFUNCTION("""COMPUTED_VALUE"""),"L2")</f>
        <v>L2</v>
      </c>
      <c r="R5414" s="6">
        <f>IFERROR(__xludf.DUMMYFUNCTION("""COMPUTED_VALUE"""),2.0)</f>
        <v>2</v>
      </c>
      <c r="S5414" s="6" t="str">
        <f>IFERROR(__xludf.DUMMYFUNCTION("""COMPUTED_VALUE"""),"Kimberly Ball")</f>
        <v>Kimberly Ball</v>
      </c>
      <c r="T5414" s="6" t="str">
        <f>IFERROR(__xludf.DUMMYFUNCTION("""COMPUTED_VALUE"""),"kimberly.ball@studient.com")</f>
        <v>kimberly.ball@studient.com</v>
      </c>
      <c r="U5414" s="6" t="str">
        <f>IFERROR(__xludf.DUMMYFUNCTION("""COMPUTED_VALUE"""),"5")</f>
        <v>5</v>
      </c>
      <c r="V5414" s="6" t="str">
        <f>IFERROR(__xludf.DUMMYFUNCTION("""COMPUTED_VALUE"""),"")</f>
        <v/>
      </c>
      <c r="W5414" s="6" t="str">
        <f>IFERROR(__xludf.DUMMYFUNCTION("""COMPUTED_VALUE"""),"[]")</f>
        <v>[]</v>
      </c>
      <c r="X5414" s="6" t="str">
        <f>IFERROR(__xludf.DUMMYFUNCTION("""COMPUTED_VALUE"""),"Enrolled")</f>
        <v>Enrolled</v>
      </c>
    </row>
    <row r="5415">
      <c r="A5415" s="6" t="str">
        <f>IFERROR(__xludf.DUMMYFUNCTION("""COMPUTED_VALUE"""),"086-12806")</f>
        <v>086-12806</v>
      </c>
      <c r="B5415" s="6" t="str">
        <f>IFERROR(__xludf.DUMMYFUNCTION("""COMPUTED_VALUE"""),"86")</f>
        <v>86</v>
      </c>
      <c r="C5415" s="6" t="str">
        <f>IFERROR(__xludf.DUMMYFUNCTION("""COMPUTED_VALUE"""),"12806")</f>
        <v>12806</v>
      </c>
      <c r="D5415" s="6" t="str">
        <f>IFERROR(__xludf.DUMMYFUNCTION("""COMPUTED_VALUE"""),"Mirian")</f>
        <v>Mirian</v>
      </c>
      <c r="E5415" s="6" t="str">
        <f>IFERROR(__xludf.DUMMYFUNCTION("""COMPUTED_VALUE"""),"")</f>
        <v/>
      </c>
      <c r="F5415" s="6" t="str">
        <f>IFERROR(__xludf.DUMMYFUNCTION("""COMPUTED_VALUE"""),"Diaz Pinto")</f>
        <v>Diaz Pinto</v>
      </c>
      <c r="G5415" s="6" t="str">
        <f>IFERROR(__xludf.DUMMYFUNCTION("""COMPUTED_VALUE"""),"08/19/2016")</f>
        <v>08/19/2016</v>
      </c>
      <c r="H5415" s="6" t="str">
        <f>IFERROR(__xludf.DUMMYFUNCTION("""COMPUTED_VALUE"""),"female")</f>
        <v>female</v>
      </c>
      <c r="I5415" s="6" t="str">
        <f>IFERROR(__xludf.DUMMYFUNCTION("""COMPUTED_VALUE"""),"Level 2")</f>
        <v>Level 2</v>
      </c>
      <c r="J5415" s="6" t="str">
        <f>IFERROR(__xludf.DUMMYFUNCTION("""COMPUTED_VALUE"""),"5")</f>
        <v>5</v>
      </c>
      <c r="K5415" s="6" t="str">
        <f>IFERROR(__xludf.DUMMYFUNCTION("""COMPUTED_VALUE"""),"mirian.diazpinto@2hourlearning.com")</f>
        <v>mirian.diazpinto@2hourlearning.com</v>
      </c>
      <c r="L5415" s="6" t="str">
        <f>IFERROR(__xludf.DUMMYFUNCTION("""COMPUTED_VALUE"""),"JRES - Ridgeland Elementary School")</f>
        <v>JRES - Ridgeland Elementary School</v>
      </c>
      <c r="M5415" s="6" t="str">
        <f>IFERROR(__xludf.DUMMYFUNCTION("""COMPUTED_VALUE"""),"")</f>
        <v/>
      </c>
      <c r="N5415" s="6" t="str">
        <f>IFERROR(__xludf.DUMMYFUNCTION("""COMPUTED_VALUE"""),"")</f>
        <v/>
      </c>
      <c r="O5415" s="87" t="str">
        <f>IFERROR(__xludf.DUMMYFUNCTION("""COMPUTED_VALUE"""),"https://drive.google.com/drive/folders/10T2cTQHqEJZqE-st6uFKPoI?usp=share_link")</f>
        <v>https://drive.google.com/drive/folders/10T2cTQHqEJZqE-st6uFKPoI?usp=share_link</v>
      </c>
      <c r="P5415" s="6" t="str">
        <f>IFERROR(__xludf.DUMMYFUNCTION("""COMPUTED_VALUE"""),"Mirian Diaz Pinto")</f>
        <v>Mirian Diaz Pinto</v>
      </c>
      <c r="Q5415" s="6" t="str">
        <f>IFERROR(__xludf.DUMMYFUNCTION("""COMPUTED_VALUE"""),"L2")</f>
        <v>L2</v>
      </c>
      <c r="R5415" s="6">
        <f>IFERROR(__xludf.DUMMYFUNCTION("""COMPUTED_VALUE"""),2.0)</f>
        <v>2</v>
      </c>
      <c r="S5415" s="6" t="str">
        <f>IFERROR(__xludf.DUMMYFUNCTION("""COMPUTED_VALUE"""),"Kimberly Ball")</f>
        <v>Kimberly Ball</v>
      </c>
      <c r="T5415" s="6" t="str">
        <f>IFERROR(__xludf.DUMMYFUNCTION("""COMPUTED_VALUE"""),"kimberly.ball@studient.com")</f>
        <v>kimberly.ball@studient.com</v>
      </c>
      <c r="U5415" s="6" t="str">
        <f>IFERROR(__xludf.DUMMYFUNCTION("""COMPUTED_VALUE"""),"5")</f>
        <v>5</v>
      </c>
      <c r="V5415" s="6" t="str">
        <f>IFERROR(__xludf.DUMMYFUNCTION("""COMPUTED_VALUE"""),"")</f>
        <v/>
      </c>
      <c r="W5415" s="6" t="str">
        <f>IFERROR(__xludf.DUMMYFUNCTION("""COMPUTED_VALUE"""),"[]")</f>
        <v>[]</v>
      </c>
      <c r="X5415" s="6" t="str">
        <f>IFERROR(__xludf.DUMMYFUNCTION("""COMPUTED_VALUE"""),"Enrolled")</f>
        <v>Enrolled</v>
      </c>
    </row>
    <row r="5416">
      <c r="A5416" s="6" t="str">
        <f>IFERROR(__xludf.DUMMYFUNCTION("""COMPUTED_VALUE"""),"086-12807")</f>
        <v>086-12807</v>
      </c>
      <c r="B5416" s="6" t="str">
        <f>IFERROR(__xludf.DUMMYFUNCTION("""COMPUTED_VALUE"""),"86")</f>
        <v>86</v>
      </c>
      <c r="C5416" s="6" t="str">
        <f>IFERROR(__xludf.DUMMYFUNCTION("""COMPUTED_VALUE"""),"12807")</f>
        <v>12807</v>
      </c>
      <c r="D5416" s="6" t="str">
        <f>IFERROR(__xludf.DUMMYFUNCTION("""COMPUTED_VALUE"""),"Jairo")</f>
        <v>Jairo</v>
      </c>
      <c r="E5416" s="6" t="str">
        <f>IFERROR(__xludf.DUMMYFUNCTION("""COMPUTED_VALUE"""),"")</f>
        <v/>
      </c>
      <c r="F5416" s="6" t="str">
        <f>IFERROR(__xludf.DUMMYFUNCTION("""COMPUTED_VALUE"""),"Diego-Cortes")</f>
        <v>Diego-Cortes</v>
      </c>
      <c r="G5416" s="6" t="str">
        <f>IFERROR(__xludf.DUMMYFUNCTION("""COMPUTED_VALUE"""),"01/01/2017")</f>
        <v>01/01/2017</v>
      </c>
      <c r="H5416" s="6" t="str">
        <f>IFERROR(__xludf.DUMMYFUNCTION("""COMPUTED_VALUE"""),"male")</f>
        <v>male</v>
      </c>
      <c r="I5416" s="6" t="str">
        <f>IFERROR(__xludf.DUMMYFUNCTION("""COMPUTED_VALUE"""),"Level 2")</f>
        <v>Level 2</v>
      </c>
      <c r="J5416" s="6" t="str">
        <f>IFERROR(__xludf.DUMMYFUNCTION("""COMPUTED_VALUE"""),"5")</f>
        <v>5</v>
      </c>
      <c r="K5416" s="6" t="str">
        <f>IFERROR(__xludf.DUMMYFUNCTION("""COMPUTED_VALUE"""),"jairo.diego-cortes@2hourlearning.com")</f>
        <v>jairo.diego-cortes@2hourlearning.com</v>
      </c>
      <c r="L5416" s="6" t="str">
        <f>IFERROR(__xludf.DUMMYFUNCTION("""COMPUTED_VALUE"""),"JRES - Ridgeland Elementary School")</f>
        <v>JRES - Ridgeland Elementary School</v>
      </c>
      <c r="M5416" s="6" t="str">
        <f>IFERROR(__xludf.DUMMYFUNCTION("""COMPUTED_VALUE"""),"")</f>
        <v/>
      </c>
      <c r="N5416" s="6" t="str">
        <f>IFERROR(__xludf.DUMMYFUNCTION("""COMPUTED_VALUE"""),"")</f>
        <v/>
      </c>
      <c r="O5416" s="87" t="str">
        <f>IFERROR(__xludf.DUMMYFUNCTION("""COMPUTED_VALUE"""),"https://drive.google.com/drive/folders/10T2cTQHqEJZqE-st6uFKPoI?usp=share_link")</f>
        <v>https://drive.google.com/drive/folders/10T2cTQHqEJZqE-st6uFKPoI?usp=share_link</v>
      </c>
      <c r="P5416" s="6" t="str">
        <f>IFERROR(__xludf.DUMMYFUNCTION("""COMPUTED_VALUE"""),"Jairo Diego-Cortes")</f>
        <v>Jairo Diego-Cortes</v>
      </c>
      <c r="Q5416" s="6" t="str">
        <f>IFERROR(__xludf.DUMMYFUNCTION("""COMPUTED_VALUE"""),"L2")</f>
        <v>L2</v>
      </c>
      <c r="R5416" s="6">
        <f>IFERROR(__xludf.DUMMYFUNCTION("""COMPUTED_VALUE"""),2.0)</f>
        <v>2</v>
      </c>
      <c r="S5416" s="6" t="str">
        <f>IFERROR(__xludf.DUMMYFUNCTION("""COMPUTED_VALUE"""),"Kimberly Ball")</f>
        <v>Kimberly Ball</v>
      </c>
      <c r="T5416" s="6" t="str">
        <f>IFERROR(__xludf.DUMMYFUNCTION("""COMPUTED_VALUE"""),"kimberly.ball@studient.com")</f>
        <v>kimberly.ball@studient.com</v>
      </c>
      <c r="U5416" s="6" t="str">
        <f>IFERROR(__xludf.DUMMYFUNCTION("""COMPUTED_VALUE"""),"5")</f>
        <v>5</v>
      </c>
      <c r="V5416" s="6" t="str">
        <f>IFERROR(__xludf.DUMMYFUNCTION("""COMPUTED_VALUE"""),"")</f>
        <v/>
      </c>
      <c r="W5416" s="6" t="str">
        <f>IFERROR(__xludf.DUMMYFUNCTION("""COMPUTED_VALUE"""),"[]")</f>
        <v>[]</v>
      </c>
      <c r="X5416" s="6" t="str">
        <f>IFERROR(__xludf.DUMMYFUNCTION("""COMPUTED_VALUE"""),"Enrolled")</f>
        <v>Enrolled</v>
      </c>
    </row>
    <row r="5417">
      <c r="A5417" s="6" t="str">
        <f>IFERROR(__xludf.DUMMYFUNCTION("""COMPUTED_VALUE"""),"086-12808")</f>
        <v>086-12808</v>
      </c>
      <c r="B5417" s="6" t="str">
        <f>IFERROR(__xludf.DUMMYFUNCTION("""COMPUTED_VALUE"""),"86")</f>
        <v>86</v>
      </c>
      <c r="C5417" s="6" t="str">
        <f>IFERROR(__xludf.DUMMYFUNCTION("""COMPUTED_VALUE"""),"12808")</f>
        <v>12808</v>
      </c>
      <c r="D5417" s="6" t="str">
        <f>IFERROR(__xludf.DUMMYFUNCTION("""COMPUTED_VALUE"""),"Donavon")</f>
        <v>Donavon</v>
      </c>
      <c r="E5417" s="6" t="str">
        <f>IFERROR(__xludf.DUMMYFUNCTION("""COMPUTED_VALUE"""),"")</f>
        <v/>
      </c>
      <c r="F5417" s="6" t="str">
        <f>IFERROR(__xludf.DUMMYFUNCTION("""COMPUTED_VALUE"""),"Dixon")</f>
        <v>Dixon</v>
      </c>
      <c r="G5417" s="6" t="str">
        <f>IFERROR(__xludf.DUMMYFUNCTION("""COMPUTED_VALUE"""),"09/07/2015")</f>
        <v>09/07/2015</v>
      </c>
      <c r="H5417" s="6" t="str">
        <f>IFERROR(__xludf.DUMMYFUNCTION("""COMPUTED_VALUE"""),"female")</f>
        <v>female</v>
      </c>
      <c r="I5417" s="6" t="str">
        <f>IFERROR(__xludf.DUMMYFUNCTION("""COMPUTED_VALUE"""),"Level 2")</f>
        <v>Level 2</v>
      </c>
      <c r="J5417" s="6" t="str">
        <f>IFERROR(__xludf.DUMMYFUNCTION("""COMPUTED_VALUE"""),"5")</f>
        <v>5</v>
      </c>
      <c r="K5417" s="6" t="str">
        <f>IFERROR(__xludf.DUMMYFUNCTION("""COMPUTED_VALUE"""),"donavon.dixon@2hourlearning.com")</f>
        <v>donavon.dixon@2hourlearning.com</v>
      </c>
      <c r="L5417" s="6" t="str">
        <f>IFERROR(__xludf.DUMMYFUNCTION("""COMPUTED_VALUE"""),"JRES - Ridgeland Elementary School")</f>
        <v>JRES - Ridgeland Elementary School</v>
      </c>
      <c r="M5417" s="6" t="str">
        <f>IFERROR(__xludf.DUMMYFUNCTION("""COMPUTED_VALUE"""),"")</f>
        <v/>
      </c>
      <c r="N5417" s="6" t="str">
        <f>IFERROR(__xludf.DUMMYFUNCTION("""COMPUTED_VALUE"""),"")</f>
        <v/>
      </c>
      <c r="O5417" s="87" t="str">
        <f>IFERROR(__xludf.DUMMYFUNCTION("""COMPUTED_VALUE"""),"https://drive.google.com/drive/folders/10T2cTQHqEJZqE-st6uFKPoI?usp=share_link")</f>
        <v>https://drive.google.com/drive/folders/10T2cTQHqEJZqE-st6uFKPoI?usp=share_link</v>
      </c>
      <c r="P5417" s="6" t="str">
        <f>IFERROR(__xludf.DUMMYFUNCTION("""COMPUTED_VALUE"""),"Donavon Dixon")</f>
        <v>Donavon Dixon</v>
      </c>
      <c r="Q5417" s="6" t="str">
        <f>IFERROR(__xludf.DUMMYFUNCTION("""COMPUTED_VALUE"""),"L2")</f>
        <v>L2</v>
      </c>
      <c r="R5417" s="6">
        <f>IFERROR(__xludf.DUMMYFUNCTION("""COMPUTED_VALUE"""),2.0)</f>
        <v>2</v>
      </c>
      <c r="S5417" s="6" t="str">
        <f>IFERROR(__xludf.DUMMYFUNCTION("""COMPUTED_VALUE"""),"Kimberly Ball")</f>
        <v>Kimberly Ball</v>
      </c>
      <c r="T5417" s="6" t="str">
        <f>IFERROR(__xludf.DUMMYFUNCTION("""COMPUTED_VALUE"""),"kimberly.ball@studient.com")</f>
        <v>kimberly.ball@studient.com</v>
      </c>
      <c r="U5417" s="6" t="str">
        <f>IFERROR(__xludf.DUMMYFUNCTION("""COMPUTED_VALUE"""),"5")</f>
        <v>5</v>
      </c>
      <c r="V5417" s="6" t="str">
        <f>IFERROR(__xludf.DUMMYFUNCTION("""COMPUTED_VALUE"""),"")</f>
        <v/>
      </c>
      <c r="W5417" s="6" t="str">
        <f>IFERROR(__xludf.DUMMYFUNCTION("""COMPUTED_VALUE"""),"[]")</f>
        <v>[]</v>
      </c>
      <c r="X5417" s="6" t="str">
        <f>IFERROR(__xludf.DUMMYFUNCTION("""COMPUTED_VALUE"""),"Enrolled")</f>
        <v>Enrolled</v>
      </c>
    </row>
    <row r="5418">
      <c r="A5418" s="6" t="str">
        <f>IFERROR(__xludf.DUMMYFUNCTION("""COMPUTED_VALUE"""),"086-12809")</f>
        <v>086-12809</v>
      </c>
      <c r="B5418" s="6" t="str">
        <f>IFERROR(__xludf.DUMMYFUNCTION("""COMPUTED_VALUE"""),"86")</f>
        <v>86</v>
      </c>
      <c r="C5418" s="6" t="str">
        <f>IFERROR(__xludf.DUMMYFUNCTION("""COMPUTED_VALUE"""),"12809")</f>
        <v>12809</v>
      </c>
      <c r="D5418" s="6" t="str">
        <f>IFERROR(__xludf.DUMMYFUNCTION("""COMPUTED_VALUE"""),"Mia")</f>
        <v>Mia</v>
      </c>
      <c r="E5418" s="6" t="str">
        <f>IFERROR(__xludf.DUMMYFUNCTION("""COMPUTED_VALUE"""),"")</f>
        <v/>
      </c>
      <c r="F5418" s="6" t="str">
        <f>IFERROR(__xludf.DUMMYFUNCTION("""COMPUTED_VALUE"""),"Dubon Rivera")</f>
        <v>Dubon Rivera</v>
      </c>
      <c r="G5418" s="6" t="str">
        <f>IFERROR(__xludf.DUMMYFUNCTION("""COMPUTED_VALUE"""),"01/30/2016")</f>
        <v>01/30/2016</v>
      </c>
      <c r="H5418" s="6" t="str">
        <f>IFERROR(__xludf.DUMMYFUNCTION("""COMPUTED_VALUE"""),"male")</f>
        <v>male</v>
      </c>
      <c r="I5418" s="6" t="str">
        <f>IFERROR(__xludf.DUMMYFUNCTION("""COMPUTED_VALUE"""),"Level 2")</f>
        <v>Level 2</v>
      </c>
      <c r="J5418" s="6" t="str">
        <f>IFERROR(__xludf.DUMMYFUNCTION("""COMPUTED_VALUE"""),"5")</f>
        <v>5</v>
      </c>
      <c r="K5418" s="6" t="str">
        <f>IFERROR(__xludf.DUMMYFUNCTION("""COMPUTED_VALUE"""),"mia.dubonrivera@2hourlearning.com")</f>
        <v>mia.dubonrivera@2hourlearning.com</v>
      </c>
      <c r="L5418" s="6" t="str">
        <f>IFERROR(__xludf.DUMMYFUNCTION("""COMPUTED_VALUE"""),"JRES - Ridgeland Elementary School")</f>
        <v>JRES - Ridgeland Elementary School</v>
      </c>
      <c r="M5418" s="6" t="str">
        <f>IFERROR(__xludf.DUMMYFUNCTION("""COMPUTED_VALUE"""),"")</f>
        <v/>
      </c>
      <c r="N5418" s="6" t="str">
        <f>IFERROR(__xludf.DUMMYFUNCTION("""COMPUTED_VALUE"""),"")</f>
        <v/>
      </c>
      <c r="O5418" s="87" t="str">
        <f>IFERROR(__xludf.DUMMYFUNCTION("""COMPUTED_VALUE"""),"https://drive.google.com/drive/folders/10T2cTQHqEJZqE-st6uFKPoI?usp=share_link")</f>
        <v>https://drive.google.com/drive/folders/10T2cTQHqEJZqE-st6uFKPoI?usp=share_link</v>
      </c>
      <c r="P5418" s="6" t="str">
        <f>IFERROR(__xludf.DUMMYFUNCTION("""COMPUTED_VALUE"""),"Mia Dubon Rivera")</f>
        <v>Mia Dubon Rivera</v>
      </c>
      <c r="Q5418" s="6" t="str">
        <f>IFERROR(__xludf.DUMMYFUNCTION("""COMPUTED_VALUE"""),"L2")</f>
        <v>L2</v>
      </c>
      <c r="R5418" s="6">
        <f>IFERROR(__xludf.DUMMYFUNCTION("""COMPUTED_VALUE"""),2.0)</f>
        <v>2</v>
      </c>
      <c r="S5418" s="6" t="str">
        <f>IFERROR(__xludf.DUMMYFUNCTION("""COMPUTED_VALUE"""),"Kimberly Ball")</f>
        <v>Kimberly Ball</v>
      </c>
      <c r="T5418" s="6" t="str">
        <f>IFERROR(__xludf.DUMMYFUNCTION("""COMPUTED_VALUE"""),"kimberly.ball@studient.com")</f>
        <v>kimberly.ball@studient.com</v>
      </c>
      <c r="U5418" s="6" t="str">
        <f>IFERROR(__xludf.DUMMYFUNCTION("""COMPUTED_VALUE"""),"5")</f>
        <v>5</v>
      </c>
      <c r="V5418" s="6" t="str">
        <f>IFERROR(__xludf.DUMMYFUNCTION("""COMPUTED_VALUE"""),"")</f>
        <v/>
      </c>
      <c r="W5418" s="6" t="str">
        <f>IFERROR(__xludf.DUMMYFUNCTION("""COMPUTED_VALUE"""),"[]")</f>
        <v>[]</v>
      </c>
      <c r="X5418" s="6" t="str">
        <f>IFERROR(__xludf.DUMMYFUNCTION("""COMPUTED_VALUE"""),"Enrolled")</f>
        <v>Enrolled</v>
      </c>
    </row>
    <row r="5419">
      <c r="A5419" s="6" t="str">
        <f>IFERROR(__xludf.DUMMYFUNCTION("""COMPUTED_VALUE"""),"086-12810")</f>
        <v>086-12810</v>
      </c>
      <c r="B5419" s="6" t="str">
        <f>IFERROR(__xludf.DUMMYFUNCTION("""COMPUTED_VALUE"""),"86")</f>
        <v>86</v>
      </c>
      <c r="C5419" s="6" t="str">
        <f>IFERROR(__xludf.DUMMYFUNCTION("""COMPUTED_VALUE"""),"12810")</f>
        <v>12810</v>
      </c>
      <c r="D5419" s="6" t="str">
        <f>IFERROR(__xludf.DUMMYFUNCTION("""COMPUTED_VALUE"""),"Jadavion")</f>
        <v>Jadavion</v>
      </c>
      <c r="E5419" s="6" t="str">
        <f>IFERROR(__xludf.DUMMYFUNCTION("""COMPUTED_VALUE"""),"")</f>
        <v/>
      </c>
      <c r="F5419" s="6" t="str">
        <f>IFERROR(__xludf.DUMMYFUNCTION("""COMPUTED_VALUE"""),"Dupont")</f>
        <v>Dupont</v>
      </c>
      <c r="G5419" s="6" t="str">
        <f>IFERROR(__xludf.DUMMYFUNCTION("""COMPUTED_VALUE"""),"02/03/2015")</f>
        <v>02/03/2015</v>
      </c>
      <c r="H5419" s="6" t="str">
        <f>IFERROR(__xludf.DUMMYFUNCTION("""COMPUTED_VALUE"""),"male")</f>
        <v>male</v>
      </c>
      <c r="I5419" s="6" t="str">
        <f>IFERROR(__xludf.DUMMYFUNCTION("""COMPUTED_VALUE"""),"Level 2")</f>
        <v>Level 2</v>
      </c>
      <c r="J5419" s="6" t="str">
        <f>IFERROR(__xludf.DUMMYFUNCTION("""COMPUTED_VALUE"""),"5")</f>
        <v>5</v>
      </c>
      <c r="K5419" s="6" t="str">
        <f>IFERROR(__xludf.DUMMYFUNCTION("""COMPUTED_VALUE"""),"jadavion.dupont@2hourlearning.com")</f>
        <v>jadavion.dupont@2hourlearning.com</v>
      </c>
      <c r="L5419" s="6" t="str">
        <f>IFERROR(__xludf.DUMMYFUNCTION("""COMPUTED_VALUE"""),"JRES - Ridgeland Elementary School")</f>
        <v>JRES - Ridgeland Elementary School</v>
      </c>
      <c r="M5419" s="6" t="str">
        <f>IFERROR(__xludf.DUMMYFUNCTION("""COMPUTED_VALUE"""),"")</f>
        <v/>
      </c>
      <c r="N5419" s="6" t="str">
        <f>IFERROR(__xludf.DUMMYFUNCTION("""COMPUTED_VALUE"""),"")</f>
        <v/>
      </c>
      <c r="O5419" s="87" t="str">
        <f>IFERROR(__xludf.DUMMYFUNCTION("""COMPUTED_VALUE"""),"https://drive.google.com/drive/folders/10T2cTQHqEJZqE-st6uFKPoI?usp=share_link")</f>
        <v>https://drive.google.com/drive/folders/10T2cTQHqEJZqE-st6uFKPoI?usp=share_link</v>
      </c>
      <c r="P5419" s="6" t="str">
        <f>IFERROR(__xludf.DUMMYFUNCTION("""COMPUTED_VALUE"""),"Jadavion Dupont")</f>
        <v>Jadavion Dupont</v>
      </c>
      <c r="Q5419" s="6" t="str">
        <f>IFERROR(__xludf.DUMMYFUNCTION("""COMPUTED_VALUE"""),"L2")</f>
        <v>L2</v>
      </c>
      <c r="R5419" s="6">
        <f>IFERROR(__xludf.DUMMYFUNCTION("""COMPUTED_VALUE"""),2.0)</f>
        <v>2</v>
      </c>
      <c r="S5419" s="6" t="str">
        <f>IFERROR(__xludf.DUMMYFUNCTION("""COMPUTED_VALUE"""),"Kimberly Ball")</f>
        <v>Kimberly Ball</v>
      </c>
      <c r="T5419" s="6" t="str">
        <f>IFERROR(__xludf.DUMMYFUNCTION("""COMPUTED_VALUE"""),"kimberly.ball@studient.com")</f>
        <v>kimberly.ball@studient.com</v>
      </c>
      <c r="U5419" s="6" t="str">
        <f>IFERROR(__xludf.DUMMYFUNCTION("""COMPUTED_VALUE"""),"5")</f>
        <v>5</v>
      </c>
      <c r="V5419" s="6" t="str">
        <f>IFERROR(__xludf.DUMMYFUNCTION("""COMPUTED_VALUE"""),"")</f>
        <v/>
      </c>
      <c r="W5419" s="6" t="str">
        <f>IFERROR(__xludf.DUMMYFUNCTION("""COMPUTED_VALUE"""),"[]")</f>
        <v>[]</v>
      </c>
      <c r="X5419" s="6" t="str">
        <f>IFERROR(__xludf.DUMMYFUNCTION("""COMPUTED_VALUE"""),"Enrolled")</f>
        <v>Enrolled</v>
      </c>
    </row>
    <row r="5420">
      <c r="A5420" s="6" t="str">
        <f>IFERROR(__xludf.DUMMYFUNCTION("""COMPUTED_VALUE"""),"086-12811")</f>
        <v>086-12811</v>
      </c>
      <c r="B5420" s="6" t="str">
        <f>IFERROR(__xludf.DUMMYFUNCTION("""COMPUTED_VALUE"""),"86")</f>
        <v>86</v>
      </c>
      <c r="C5420" s="6" t="str">
        <f>IFERROR(__xludf.DUMMYFUNCTION("""COMPUTED_VALUE"""),"12811")</f>
        <v>12811</v>
      </c>
      <c r="D5420" s="6" t="str">
        <f>IFERROR(__xludf.DUMMYFUNCTION("""COMPUTED_VALUE"""),"Jayden")</f>
        <v>Jayden</v>
      </c>
      <c r="E5420" s="6" t="str">
        <f>IFERROR(__xludf.DUMMYFUNCTION("""COMPUTED_VALUE"""),"")</f>
        <v/>
      </c>
      <c r="F5420" s="6" t="str">
        <f>IFERROR(__xludf.DUMMYFUNCTION("""COMPUTED_VALUE"""),"Dupont")</f>
        <v>Dupont</v>
      </c>
      <c r="G5420" s="6" t="str">
        <f>IFERROR(__xludf.DUMMYFUNCTION("""COMPUTED_VALUE"""),"03/19/2015")</f>
        <v>03/19/2015</v>
      </c>
      <c r="H5420" s="6" t="str">
        <f>IFERROR(__xludf.DUMMYFUNCTION("""COMPUTED_VALUE"""),"female")</f>
        <v>female</v>
      </c>
      <c r="I5420" s="6" t="str">
        <f>IFERROR(__xludf.DUMMYFUNCTION("""COMPUTED_VALUE"""),"Level 2")</f>
        <v>Level 2</v>
      </c>
      <c r="J5420" s="6" t="str">
        <f>IFERROR(__xludf.DUMMYFUNCTION("""COMPUTED_VALUE"""),"5")</f>
        <v>5</v>
      </c>
      <c r="K5420" s="6" t="str">
        <f>IFERROR(__xludf.DUMMYFUNCTION("""COMPUTED_VALUE"""),"jayden.dupont@2hourlearning.com")</f>
        <v>jayden.dupont@2hourlearning.com</v>
      </c>
      <c r="L5420" s="6" t="str">
        <f>IFERROR(__xludf.DUMMYFUNCTION("""COMPUTED_VALUE"""),"JRES - Ridgeland Elementary School")</f>
        <v>JRES - Ridgeland Elementary School</v>
      </c>
      <c r="M5420" s="6" t="str">
        <f>IFERROR(__xludf.DUMMYFUNCTION("""COMPUTED_VALUE"""),"")</f>
        <v/>
      </c>
      <c r="N5420" s="6" t="str">
        <f>IFERROR(__xludf.DUMMYFUNCTION("""COMPUTED_VALUE"""),"")</f>
        <v/>
      </c>
      <c r="O5420" s="87" t="str">
        <f>IFERROR(__xludf.DUMMYFUNCTION("""COMPUTED_VALUE"""),"https://drive.google.com/drive/folders/10T2cTQHqEJZqE-st6uFKPoI?usp=share_link")</f>
        <v>https://drive.google.com/drive/folders/10T2cTQHqEJZqE-st6uFKPoI?usp=share_link</v>
      </c>
      <c r="P5420" s="6" t="str">
        <f>IFERROR(__xludf.DUMMYFUNCTION("""COMPUTED_VALUE"""),"Jayden Dupont")</f>
        <v>Jayden Dupont</v>
      </c>
      <c r="Q5420" s="6" t="str">
        <f>IFERROR(__xludf.DUMMYFUNCTION("""COMPUTED_VALUE"""),"L2")</f>
        <v>L2</v>
      </c>
      <c r="R5420" s="6">
        <f>IFERROR(__xludf.DUMMYFUNCTION("""COMPUTED_VALUE"""),2.0)</f>
        <v>2</v>
      </c>
      <c r="S5420" s="6" t="str">
        <f>IFERROR(__xludf.DUMMYFUNCTION("""COMPUTED_VALUE"""),"Kimberly Ball")</f>
        <v>Kimberly Ball</v>
      </c>
      <c r="T5420" s="6" t="str">
        <f>IFERROR(__xludf.DUMMYFUNCTION("""COMPUTED_VALUE"""),"kimberly.ball@studient.com")</f>
        <v>kimberly.ball@studient.com</v>
      </c>
      <c r="U5420" s="6" t="str">
        <f>IFERROR(__xludf.DUMMYFUNCTION("""COMPUTED_VALUE"""),"5")</f>
        <v>5</v>
      </c>
      <c r="V5420" s="6" t="str">
        <f>IFERROR(__xludf.DUMMYFUNCTION("""COMPUTED_VALUE"""),"")</f>
        <v/>
      </c>
      <c r="W5420" s="6" t="str">
        <f>IFERROR(__xludf.DUMMYFUNCTION("""COMPUTED_VALUE"""),"[]")</f>
        <v>[]</v>
      </c>
      <c r="X5420" s="6" t="str">
        <f>IFERROR(__xludf.DUMMYFUNCTION("""COMPUTED_VALUE"""),"Enrolled")</f>
        <v>Enrolled</v>
      </c>
    </row>
    <row r="5421">
      <c r="A5421" s="6" t="str">
        <f>IFERROR(__xludf.DUMMYFUNCTION("""COMPUTED_VALUE"""),"086-12812")</f>
        <v>086-12812</v>
      </c>
      <c r="B5421" s="6" t="str">
        <f>IFERROR(__xludf.DUMMYFUNCTION("""COMPUTED_VALUE"""),"86")</f>
        <v>86</v>
      </c>
      <c r="C5421" s="6" t="str">
        <f>IFERROR(__xludf.DUMMYFUNCTION("""COMPUTED_VALUE"""),"12812")</f>
        <v>12812</v>
      </c>
      <c r="D5421" s="6" t="str">
        <f>IFERROR(__xludf.DUMMYFUNCTION("""COMPUTED_VALUE"""),"Jordan")</f>
        <v>Jordan</v>
      </c>
      <c r="E5421" s="6" t="str">
        <f>IFERROR(__xludf.DUMMYFUNCTION("""COMPUTED_VALUE"""),"")</f>
        <v/>
      </c>
      <c r="F5421" s="6" t="str">
        <f>IFERROR(__xludf.DUMMYFUNCTION("""COMPUTED_VALUE"""),"Dupont")</f>
        <v>Dupont</v>
      </c>
      <c r="G5421" s="6" t="str">
        <f>IFERROR(__xludf.DUMMYFUNCTION("""COMPUTED_VALUE"""),"07/16/2015")</f>
        <v>07/16/2015</v>
      </c>
      <c r="H5421" s="6" t="str">
        <f>IFERROR(__xludf.DUMMYFUNCTION("""COMPUTED_VALUE"""),"female")</f>
        <v>female</v>
      </c>
      <c r="I5421" s="6" t="str">
        <f>IFERROR(__xludf.DUMMYFUNCTION("""COMPUTED_VALUE"""),"Level 2")</f>
        <v>Level 2</v>
      </c>
      <c r="J5421" s="6" t="str">
        <f>IFERROR(__xludf.DUMMYFUNCTION("""COMPUTED_VALUE"""),"5")</f>
        <v>5</v>
      </c>
      <c r="K5421" s="6" t="str">
        <f>IFERROR(__xludf.DUMMYFUNCTION("""COMPUTED_VALUE"""),"jordan.dupont@2hourlearning.com")</f>
        <v>jordan.dupont@2hourlearning.com</v>
      </c>
      <c r="L5421" s="6" t="str">
        <f>IFERROR(__xludf.DUMMYFUNCTION("""COMPUTED_VALUE"""),"JRES - Ridgeland Elementary School")</f>
        <v>JRES - Ridgeland Elementary School</v>
      </c>
      <c r="M5421" s="6" t="str">
        <f>IFERROR(__xludf.DUMMYFUNCTION("""COMPUTED_VALUE"""),"")</f>
        <v/>
      </c>
      <c r="N5421" s="6" t="str">
        <f>IFERROR(__xludf.DUMMYFUNCTION("""COMPUTED_VALUE"""),"")</f>
        <v/>
      </c>
      <c r="O5421" s="87" t="str">
        <f>IFERROR(__xludf.DUMMYFUNCTION("""COMPUTED_VALUE"""),"https://drive.google.com/drive/folders/10T2cTQHqEJZqE-st6uFKPoI?usp=share_link")</f>
        <v>https://drive.google.com/drive/folders/10T2cTQHqEJZqE-st6uFKPoI?usp=share_link</v>
      </c>
      <c r="P5421" s="6" t="str">
        <f>IFERROR(__xludf.DUMMYFUNCTION("""COMPUTED_VALUE"""),"Jordan Dupont")</f>
        <v>Jordan Dupont</v>
      </c>
      <c r="Q5421" s="6" t="str">
        <f>IFERROR(__xludf.DUMMYFUNCTION("""COMPUTED_VALUE"""),"L2")</f>
        <v>L2</v>
      </c>
      <c r="R5421" s="6">
        <f>IFERROR(__xludf.DUMMYFUNCTION("""COMPUTED_VALUE"""),2.0)</f>
        <v>2</v>
      </c>
      <c r="S5421" s="6" t="str">
        <f>IFERROR(__xludf.DUMMYFUNCTION("""COMPUTED_VALUE"""),"Kimberly Ball")</f>
        <v>Kimberly Ball</v>
      </c>
      <c r="T5421" s="6" t="str">
        <f>IFERROR(__xludf.DUMMYFUNCTION("""COMPUTED_VALUE"""),"kimberly.ball@studient.com")</f>
        <v>kimberly.ball@studient.com</v>
      </c>
      <c r="U5421" s="6" t="str">
        <f>IFERROR(__xludf.DUMMYFUNCTION("""COMPUTED_VALUE"""),"5")</f>
        <v>5</v>
      </c>
      <c r="V5421" s="6" t="str">
        <f>IFERROR(__xludf.DUMMYFUNCTION("""COMPUTED_VALUE"""),"")</f>
        <v/>
      </c>
      <c r="W5421" s="6" t="str">
        <f>IFERROR(__xludf.DUMMYFUNCTION("""COMPUTED_VALUE"""),"[]")</f>
        <v>[]</v>
      </c>
      <c r="X5421" s="6" t="str">
        <f>IFERROR(__xludf.DUMMYFUNCTION("""COMPUTED_VALUE"""),"Enrolled")</f>
        <v>Enrolled</v>
      </c>
    </row>
    <row r="5422">
      <c r="A5422" s="6" t="str">
        <f>IFERROR(__xludf.DUMMYFUNCTION("""COMPUTED_VALUE"""),"086-12813")</f>
        <v>086-12813</v>
      </c>
      <c r="B5422" s="6" t="str">
        <f>IFERROR(__xludf.DUMMYFUNCTION("""COMPUTED_VALUE"""),"86")</f>
        <v>86</v>
      </c>
      <c r="C5422" s="6" t="str">
        <f>IFERROR(__xludf.DUMMYFUNCTION("""COMPUTED_VALUE"""),"12813")</f>
        <v>12813</v>
      </c>
      <c r="D5422" s="6" t="str">
        <f>IFERROR(__xludf.DUMMYFUNCTION("""COMPUTED_VALUE"""),"Kimberly")</f>
        <v>Kimberly</v>
      </c>
      <c r="E5422" s="6" t="str">
        <f>IFERROR(__xludf.DUMMYFUNCTION("""COMPUTED_VALUE"""),"")</f>
        <v/>
      </c>
      <c r="F5422" s="6" t="str">
        <f>IFERROR(__xludf.DUMMYFUNCTION("""COMPUTED_VALUE"""),"Duran-Zaragoza")</f>
        <v>Duran-Zaragoza</v>
      </c>
      <c r="G5422" s="6" t="str">
        <f>IFERROR(__xludf.DUMMYFUNCTION("""COMPUTED_VALUE"""),"02/17/2018")</f>
        <v>02/17/2018</v>
      </c>
      <c r="H5422" s="6" t="str">
        <f>IFERROR(__xludf.DUMMYFUNCTION("""COMPUTED_VALUE"""),"female")</f>
        <v>female</v>
      </c>
      <c r="I5422" s="6" t="str">
        <f>IFERROR(__xludf.DUMMYFUNCTION("""COMPUTED_VALUE"""),"Level 2")</f>
        <v>Level 2</v>
      </c>
      <c r="J5422" s="6" t="str">
        <f>IFERROR(__xludf.DUMMYFUNCTION("""COMPUTED_VALUE"""),"5")</f>
        <v>5</v>
      </c>
      <c r="K5422" s="6" t="str">
        <f>IFERROR(__xludf.DUMMYFUNCTION("""COMPUTED_VALUE"""),"kimberly.duran-zaragoza@2hourlearning.com")</f>
        <v>kimberly.duran-zaragoza@2hourlearning.com</v>
      </c>
      <c r="L5422" s="6" t="str">
        <f>IFERROR(__xludf.DUMMYFUNCTION("""COMPUTED_VALUE"""),"JRES - Ridgeland Elementary School")</f>
        <v>JRES - Ridgeland Elementary School</v>
      </c>
      <c r="M5422" s="6" t="str">
        <f>IFERROR(__xludf.DUMMYFUNCTION("""COMPUTED_VALUE"""),"")</f>
        <v/>
      </c>
      <c r="N5422" s="6" t="str">
        <f>IFERROR(__xludf.DUMMYFUNCTION("""COMPUTED_VALUE"""),"")</f>
        <v/>
      </c>
      <c r="O5422" s="87" t="str">
        <f>IFERROR(__xludf.DUMMYFUNCTION("""COMPUTED_VALUE"""),"https://drive.google.com/drive/folders/10T2cTQHqEJZqE-st6uFKPoI?usp=share_link")</f>
        <v>https://drive.google.com/drive/folders/10T2cTQHqEJZqE-st6uFKPoI?usp=share_link</v>
      </c>
      <c r="P5422" s="6" t="str">
        <f>IFERROR(__xludf.DUMMYFUNCTION("""COMPUTED_VALUE"""),"Kimberly Duran-Zaragoza")</f>
        <v>Kimberly Duran-Zaragoza</v>
      </c>
      <c r="Q5422" s="6" t="str">
        <f>IFERROR(__xludf.DUMMYFUNCTION("""COMPUTED_VALUE"""),"L2")</f>
        <v>L2</v>
      </c>
      <c r="R5422" s="6">
        <f>IFERROR(__xludf.DUMMYFUNCTION("""COMPUTED_VALUE"""),2.0)</f>
        <v>2</v>
      </c>
      <c r="S5422" s="6" t="str">
        <f>IFERROR(__xludf.DUMMYFUNCTION("""COMPUTED_VALUE"""),"Kimberly Ball")</f>
        <v>Kimberly Ball</v>
      </c>
      <c r="T5422" s="6" t="str">
        <f>IFERROR(__xludf.DUMMYFUNCTION("""COMPUTED_VALUE"""),"kimberly.ball@studient.com")</f>
        <v>kimberly.ball@studient.com</v>
      </c>
      <c r="U5422" s="6" t="str">
        <f>IFERROR(__xludf.DUMMYFUNCTION("""COMPUTED_VALUE"""),"5")</f>
        <v>5</v>
      </c>
      <c r="V5422" s="6" t="str">
        <f>IFERROR(__xludf.DUMMYFUNCTION("""COMPUTED_VALUE"""),"")</f>
        <v/>
      </c>
      <c r="W5422" s="6" t="str">
        <f>IFERROR(__xludf.DUMMYFUNCTION("""COMPUTED_VALUE"""),"[]")</f>
        <v>[]</v>
      </c>
      <c r="X5422" s="6" t="str">
        <f>IFERROR(__xludf.DUMMYFUNCTION("""COMPUTED_VALUE"""),"Enrolled")</f>
        <v>Enrolled</v>
      </c>
    </row>
    <row r="5423">
      <c r="A5423" s="6" t="str">
        <f>IFERROR(__xludf.DUMMYFUNCTION("""COMPUTED_VALUE"""),"086-12814")</f>
        <v>086-12814</v>
      </c>
      <c r="B5423" s="6" t="str">
        <f>IFERROR(__xludf.DUMMYFUNCTION("""COMPUTED_VALUE"""),"86")</f>
        <v>86</v>
      </c>
      <c r="C5423" s="6" t="str">
        <f>IFERROR(__xludf.DUMMYFUNCTION("""COMPUTED_VALUE"""),"12814")</f>
        <v>12814</v>
      </c>
      <c r="D5423" s="6" t="str">
        <f>IFERROR(__xludf.DUMMYFUNCTION("""COMPUTED_VALUE"""),"Jermarion")</f>
        <v>Jermarion</v>
      </c>
      <c r="E5423" s="6" t="str">
        <f>IFERROR(__xludf.DUMMYFUNCTION("""COMPUTED_VALUE"""),"")</f>
        <v/>
      </c>
      <c r="F5423" s="6" t="str">
        <f>IFERROR(__xludf.DUMMYFUNCTION("""COMPUTED_VALUE"""),"Englum")</f>
        <v>Englum</v>
      </c>
      <c r="G5423" s="6" t="str">
        <f>IFERROR(__xludf.DUMMYFUNCTION("""COMPUTED_VALUE"""),"07/02/2018")</f>
        <v>07/02/2018</v>
      </c>
      <c r="H5423" s="6" t="str">
        <f>IFERROR(__xludf.DUMMYFUNCTION("""COMPUTED_VALUE"""),"female")</f>
        <v>female</v>
      </c>
      <c r="I5423" s="6" t="str">
        <f>IFERROR(__xludf.DUMMYFUNCTION("""COMPUTED_VALUE"""),"Level 2")</f>
        <v>Level 2</v>
      </c>
      <c r="J5423" s="6" t="str">
        <f>IFERROR(__xludf.DUMMYFUNCTION("""COMPUTED_VALUE"""),"5")</f>
        <v>5</v>
      </c>
      <c r="K5423" s="6" t="str">
        <f>IFERROR(__xludf.DUMMYFUNCTION("""COMPUTED_VALUE"""),"jermarion.englum@2hourlearning.com")</f>
        <v>jermarion.englum@2hourlearning.com</v>
      </c>
      <c r="L5423" s="6" t="str">
        <f>IFERROR(__xludf.DUMMYFUNCTION("""COMPUTED_VALUE"""),"JRES - Ridgeland Elementary School")</f>
        <v>JRES - Ridgeland Elementary School</v>
      </c>
      <c r="M5423" s="6" t="str">
        <f>IFERROR(__xludf.DUMMYFUNCTION("""COMPUTED_VALUE"""),"")</f>
        <v/>
      </c>
      <c r="N5423" s="6" t="str">
        <f>IFERROR(__xludf.DUMMYFUNCTION("""COMPUTED_VALUE"""),"")</f>
        <v/>
      </c>
      <c r="O5423" s="87" t="str">
        <f>IFERROR(__xludf.DUMMYFUNCTION("""COMPUTED_VALUE"""),"https://drive.google.com/drive/folders/10T2cTQHqEJZqE-st6uFKPoI?usp=share_link")</f>
        <v>https://drive.google.com/drive/folders/10T2cTQHqEJZqE-st6uFKPoI?usp=share_link</v>
      </c>
      <c r="P5423" s="6" t="str">
        <f>IFERROR(__xludf.DUMMYFUNCTION("""COMPUTED_VALUE"""),"Jermarion Englum")</f>
        <v>Jermarion Englum</v>
      </c>
      <c r="Q5423" s="6" t="str">
        <f>IFERROR(__xludf.DUMMYFUNCTION("""COMPUTED_VALUE"""),"L2")</f>
        <v>L2</v>
      </c>
      <c r="R5423" s="6">
        <f>IFERROR(__xludf.DUMMYFUNCTION("""COMPUTED_VALUE"""),2.0)</f>
        <v>2</v>
      </c>
      <c r="S5423" s="6" t="str">
        <f>IFERROR(__xludf.DUMMYFUNCTION("""COMPUTED_VALUE"""),"Kimberly Ball")</f>
        <v>Kimberly Ball</v>
      </c>
      <c r="T5423" s="6" t="str">
        <f>IFERROR(__xludf.DUMMYFUNCTION("""COMPUTED_VALUE"""),"kimberly.ball@studient.com")</f>
        <v>kimberly.ball@studient.com</v>
      </c>
      <c r="U5423" s="6" t="str">
        <f>IFERROR(__xludf.DUMMYFUNCTION("""COMPUTED_VALUE"""),"5")</f>
        <v>5</v>
      </c>
      <c r="V5423" s="6" t="str">
        <f>IFERROR(__xludf.DUMMYFUNCTION("""COMPUTED_VALUE"""),"")</f>
        <v/>
      </c>
      <c r="W5423" s="6" t="str">
        <f>IFERROR(__xludf.DUMMYFUNCTION("""COMPUTED_VALUE"""),"[]")</f>
        <v>[]</v>
      </c>
      <c r="X5423" s="6" t="str">
        <f>IFERROR(__xludf.DUMMYFUNCTION("""COMPUTED_VALUE"""),"Enrolled")</f>
        <v>Enrolled</v>
      </c>
    </row>
    <row r="5424">
      <c r="A5424" s="6" t="str">
        <f>IFERROR(__xludf.DUMMYFUNCTION("""COMPUTED_VALUE"""),"086-12815")</f>
        <v>086-12815</v>
      </c>
      <c r="B5424" s="6" t="str">
        <f>IFERROR(__xludf.DUMMYFUNCTION("""COMPUTED_VALUE"""),"86")</f>
        <v>86</v>
      </c>
      <c r="C5424" s="6" t="str">
        <f>IFERROR(__xludf.DUMMYFUNCTION("""COMPUTED_VALUE"""),"12815")</f>
        <v>12815</v>
      </c>
      <c r="D5424" s="6" t="str">
        <f>IFERROR(__xludf.DUMMYFUNCTION("""COMPUTED_VALUE"""),"Jairo")</f>
        <v>Jairo</v>
      </c>
      <c r="E5424" s="6" t="str">
        <f>IFERROR(__xludf.DUMMYFUNCTION("""COMPUTED_VALUE"""),"")</f>
        <v/>
      </c>
      <c r="F5424" s="6" t="str">
        <f>IFERROR(__xludf.DUMMYFUNCTION("""COMPUTED_VALUE"""),"Escalante")</f>
        <v>Escalante</v>
      </c>
      <c r="G5424" s="6" t="str">
        <f>IFERROR(__xludf.DUMMYFUNCTION("""COMPUTED_VALUE"""),"08/10/2016")</f>
        <v>08/10/2016</v>
      </c>
      <c r="H5424" s="6" t="str">
        <f>IFERROR(__xludf.DUMMYFUNCTION("""COMPUTED_VALUE"""),"female")</f>
        <v>female</v>
      </c>
      <c r="I5424" s="6" t="str">
        <f>IFERROR(__xludf.DUMMYFUNCTION("""COMPUTED_VALUE"""),"Level 2")</f>
        <v>Level 2</v>
      </c>
      <c r="J5424" s="6" t="str">
        <f>IFERROR(__xludf.DUMMYFUNCTION("""COMPUTED_VALUE"""),"5")</f>
        <v>5</v>
      </c>
      <c r="K5424" s="6" t="str">
        <f>IFERROR(__xludf.DUMMYFUNCTION("""COMPUTED_VALUE"""),"jairo.escalante@2hourlearning.com")</f>
        <v>jairo.escalante@2hourlearning.com</v>
      </c>
      <c r="L5424" s="6" t="str">
        <f>IFERROR(__xludf.DUMMYFUNCTION("""COMPUTED_VALUE"""),"JRES - Ridgeland Elementary School")</f>
        <v>JRES - Ridgeland Elementary School</v>
      </c>
      <c r="M5424" s="6" t="str">
        <f>IFERROR(__xludf.DUMMYFUNCTION("""COMPUTED_VALUE"""),"")</f>
        <v/>
      </c>
      <c r="N5424" s="6" t="str">
        <f>IFERROR(__xludf.DUMMYFUNCTION("""COMPUTED_VALUE"""),"")</f>
        <v/>
      </c>
      <c r="O5424" s="87" t="str">
        <f>IFERROR(__xludf.DUMMYFUNCTION("""COMPUTED_VALUE"""),"https://drive.google.com/drive/folders/10T2cTQHqEJZqE-st6uFKPoI?usp=share_link")</f>
        <v>https://drive.google.com/drive/folders/10T2cTQHqEJZqE-st6uFKPoI?usp=share_link</v>
      </c>
      <c r="P5424" s="6" t="str">
        <f>IFERROR(__xludf.DUMMYFUNCTION("""COMPUTED_VALUE"""),"Jairo Escalante")</f>
        <v>Jairo Escalante</v>
      </c>
      <c r="Q5424" s="6" t="str">
        <f>IFERROR(__xludf.DUMMYFUNCTION("""COMPUTED_VALUE"""),"L2")</f>
        <v>L2</v>
      </c>
      <c r="R5424" s="6">
        <f>IFERROR(__xludf.DUMMYFUNCTION("""COMPUTED_VALUE"""),2.0)</f>
        <v>2</v>
      </c>
      <c r="S5424" s="6" t="str">
        <f>IFERROR(__xludf.DUMMYFUNCTION("""COMPUTED_VALUE"""),"Kimberly Ball")</f>
        <v>Kimberly Ball</v>
      </c>
      <c r="T5424" s="6" t="str">
        <f>IFERROR(__xludf.DUMMYFUNCTION("""COMPUTED_VALUE"""),"kimberly.ball@studient.com")</f>
        <v>kimberly.ball@studient.com</v>
      </c>
      <c r="U5424" s="6" t="str">
        <f>IFERROR(__xludf.DUMMYFUNCTION("""COMPUTED_VALUE"""),"5")</f>
        <v>5</v>
      </c>
      <c r="V5424" s="6" t="str">
        <f>IFERROR(__xludf.DUMMYFUNCTION("""COMPUTED_VALUE"""),"")</f>
        <v/>
      </c>
      <c r="W5424" s="6" t="str">
        <f>IFERROR(__xludf.DUMMYFUNCTION("""COMPUTED_VALUE"""),"[]")</f>
        <v>[]</v>
      </c>
      <c r="X5424" s="6" t="str">
        <f>IFERROR(__xludf.DUMMYFUNCTION("""COMPUTED_VALUE"""),"Enrolled")</f>
        <v>Enrolled</v>
      </c>
    </row>
    <row r="5425">
      <c r="A5425" s="6" t="str">
        <f>IFERROR(__xludf.DUMMYFUNCTION("""COMPUTED_VALUE"""),"086-12816")</f>
        <v>086-12816</v>
      </c>
      <c r="B5425" s="6" t="str">
        <f>IFERROR(__xludf.DUMMYFUNCTION("""COMPUTED_VALUE"""),"86")</f>
        <v>86</v>
      </c>
      <c r="C5425" s="6" t="str">
        <f>IFERROR(__xludf.DUMMYFUNCTION("""COMPUTED_VALUE"""),"12816")</f>
        <v>12816</v>
      </c>
      <c r="D5425" s="6" t="str">
        <f>IFERROR(__xludf.DUMMYFUNCTION("""COMPUTED_VALUE"""),"Gerardo")</f>
        <v>Gerardo</v>
      </c>
      <c r="E5425" s="6" t="str">
        <f>IFERROR(__xludf.DUMMYFUNCTION("""COMPUTED_VALUE"""),"")</f>
        <v/>
      </c>
      <c r="F5425" s="6" t="str">
        <f>IFERROR(__xludf.DUMMYFUNCTION("""COMPUTED_VALUE"""),"Estrada")</f>
        <v>Estrada</v>
      </c>
      <c r="G5425" s="6" t="str">
        <f>IFERROR(__xludf.DUMMYFUNCTION("""COMPUTED_VALUE"""),"09/02/2017")</f>
        <v>09/02/2017</v>
      </c>
      <c r="H5425" s="6" t="str">
        <f>IFERROR(__xludf.DUMMYFUNCTION("""COMPUTED_VALUE"""),"male")</f>
        <v>male</v>
      </c>
      <c r="I5425" s="6" t="str">
        <f>IFERROR(__xludf.DUMMYFUNCTION("""COMPUTED_VALUE"""),"Level 2")</f>
        <v>Level 2</v>
      </c>
      <c r="J5425" s="6" t="str">
        <f>IFERROR(__xludf.DUMMYFUNCTION("""COMPUTED_VALUE"""),"5")</f>
        <v>5</v>
      </c>
      <c r="K5425" s="6" t="str">
        <f>IFERROR(__xludf.DUMMYFUNCTION("""COMPUTED_VALUE"""),"gerardo.estrada@2hourlearning.com")</f>
        <v>gerardo.estrada@2hourlearning.com</v>
      </c>
      <c r="L5425" s="6" t="str">
        <f>IFERROR(__xludf.DUMMYFUNCTION("""COMPUTED_VALUE"""),"JRES - Ridgeland Elementary School")</f>
        <v>JRES - Ridgeland Elementary School</v>
      </c>
      <c r="M5425" s="6" t="str">
        <f>IFERROR(__xludf.DUMMYFUNCTION("""COMPUTED_VALUE"""),"")</f>
        <v/>
      </c>
      <c r="N5425" s="6" t="str">
        <f>IFERROR(__xludf.DUMMYFUNCTION("""COMPUTED_VALUE"""),"")</f>
        <v/>
      </c>
      <c r="O5425" s="87" t="str">
        <f>IFERROR(__xludf.DUMMYFUNCTION("""COMPUTED_VALUE"""),"https://drive.google.com/drive/folders/10T2cTQHqEJZqE-st6uFKPoI?usp=share_link")</f>
        <v>https://drive.google.com/drive/folders/10T2cTQHqEJZqE-st6uFKPoI?usp=share_link</v>
      </c>
      <c r="P5425" s="6" t="str">
        <f>IFERROR(__xludf.DUMMYFUNCTION("""COMPUTED_VALUE"""),"Gerardo Estrada")</f>
        <v>Gerardo Estrada</v>
      </c>
      <c r="Q5425" s="6" t="str">
        <f>IFERROR(__xludf.DUMMYFUNCTION("""COMPUTED_VALUE"""),"L2")</f>
        <v>L2</v>
      </c>
      <c r="R5425" s="6">
        <f>IFERROR(__xludf.DUMMYFUNCTION("""COMPUTED_VALUE"""),2.0)</f>
        <v>2</v>
      </c>
      <c r="S5425" s="6" t="str">
        <f>IFERROR(__xludf.DUMMYFUNCTION("""COMPUTED_VALUE"""),"Kimberly Ball")</f>
        <v>Kimberly Ball</v>
      </c>
      <c r="T5425" s="6" t="str">
        <f>IFERROR(__xludf.DUMMYFUNCTION("""COMPUTED_VALUE"""),"kimberly.ball@studient.com")</f>
        <v>kimberly.ball@studient.com</v>
      </c>
      <c r="U5425" s="6" t="str">
        <f>IFERROR(__xludf.DUMMYFUNCTION("""COMPUTED_VALUE"""),"5")</f>
        <v>5</v>
      </c>
      <c r="V5425" s="6" t="str">
        <f>IFERROR(__xludf.DUMMYFUNCTION("""COMPUTED_VALUE"""),"")</f>
        <v/>
      </c>
      <c r="W5425" s="6" t="str">
        <f>IFERROR(__xludf.DUMMYFUNCTION("""COMPUTED_VALUE"""),"[]")</f>
        <v>[]</v>
      </c>
      <c r="X5425" s="6" t="str">
        <f>IFERROR(__xludf.DUMMYFUNCTION("""COMPUTED_VALUE"""),"Enrolled")</f>
        <v>Enrolled</v>
      </c>
    </row>
    <row r="5426">
      <c r="A5426" s="6" t="str">
        <f>IFERROR(__xludf.DUMMYFUNCTION("""COMPUTED_VALUE"""),"086-12817")</f>
        <v>086-12817</v>
      </c>
      <c r="B5426" s="6" t="str">
        <f>IFERROR(__xludf.DUMMYFUNCTION("""COMPUTED_VALUE"""),"86")</f>
        <v>86</v>
      </c>
      <c r="C5426" s="6" t="str">
        <f>IFERROR(__xludf.DUMMYFUNCTION("""COMPUTED_VALUE"""),"12817")</f>
        <v>12817</v>
      </c>
      <c r="D5426" s="6" t="str">
        <f>IFERROR(__xludf.DUMMYFUNCTION("""COMPUTED_VALUE"""),"John")</f>
        <v>John</v>
      </c>
      <c r="E5426" s="6" t="str">
        <f>IFERROR(__xludf.DUMMYFUNCTION("""COMPUTED_VALUE"""),"")</f>
        <v/>
      </c>
      <c r="F5426" s="6" t="str">
        <f>IFERROR(__xludf.DUMMYFUNCTION("""COMPUTED_VALUE"""),"Fair")</f>
        <v>Fair</v>
      </c>
      <c r="G5426" s="6" t="str">
        <f>IFERROR(__xludf.DUMMYFUNCTION("""COMPUTED_VALUE"""),"12/08/2014")</f>
        <v>12/08/2014</v>
      </c>
      <c r="H5426" s="6" t="str">
        <f>IFERROR(__xludf.DUMMYFUNCTION("""COMPUTED_VALUE"""),"male")</f>
        <v>male</v>
      </c>
      <c r="I5426" s="6" t="str">
        <f>IFERROR(__xludf.DUMMYFUNCTION("""COMPUTED_VALUE"""),"Level 2")</f>
        <v>Level 2</v>
      </c>
      <c r="J5426" s="6" t="str">
        <f>IFERROR(__xludf.DUMMYFUNCTION("""COMPUTED_VALUE"""),"5")</f>
        <v>5</v>
      </c>
      <c r="K5426" s="6" t="str">
        <f>IFERROR(__xludf.DUMMYFUNCTION("""COMPUTED_VALUE"""),"john.fair@2hourlearning.com")</f>
        <v>john.fair@2hourlearning.com</v>
      </c>
      <c r="L5426" s="6" t="str">
        <f>IFERROR(__xludf.DUMMYFUNCTION("""COMPUTED_VALUE"""),"JRES - Ridgeland Elementary School")</f>
        <v>JRES - Ridgeland Elementary School</v>
      </c>
      <c r="M5426" s="6" t="str">
        <f>IFERROR(__xludf.DUMMYFUNCTION("""COMPUTED_VALUE"""),"")</f>
        <v/>
      </c>
      <c r="N5426" s="6" t="str">
        <f>IFERROR(__xludf.DUMMYFUNCTION("""COMPUTED_VALUE"""),"")</f>
        <v/>
      </c>
      <c r="O5426" s="87" t="str">
        <f>IFERROR(__xludf.DUMMYFUNCTION("""COMPUTED_VALUE"""),"https://drive.google.com/drive/folders/10T2cTQHqEJZqE-st6uFKPoI?usp=share_link")</f>
        <v>https://drive.google.com/drive/folders/10T2cTQHqEJZqE-st6uFKPoI?usp=share_link</v>
      </c>
      <c r="P5426" s="6" t="str">
        <f>IFERROR(__xludf.DUMMYFUNCTION("""COMPUTED_VALUE"""),"John Fair")</f>
        <v>John Fair</v>
      </c>
      <c r="Q5426" s="6" t="str">
        <f>IFERROR(__xludf.DUMMYFUNCTION("""COMPUTED_VALUE"""),"L2")</f>
        <v>L2</v>
      </c>
      <c r="R5426" s="6">
        <f>IFERROR(__xludf.DUMMYFUNCTION("""COMPUTED_VALUE"""),2.0)</f>
        <v>2</v>
      </c>
      <c r="S5426" s="6" t="str">
        <f>IFERROR(__xludf.DUMMYFUNCTION("""COMPUTED_VALUE"""),"Kimberly Ball")</f>
        <v>Kimberly Ball</v>
      </c>
      <c r="T5426" s="6" t="str">
        <f>IFERROR(__xludf.DUMMYFUNCTION("""COMPUTED_VALUE"""),"kimberly.ball@studient.com")</f>
        <v>kimberly.ball@studient.com</v>
      </c>
      <c r="U5426" s="6" t="str">
        <f>IFERROR(__xludf.DUMMYFUNCTION("""COMPUTED_VALUE"""),"5")</f>
        <v>5</v>
      </c>
      <c r="V5426" s="6" t="str">
        <f>IFERROR(__xludf.DUMMYFUNCTION("""COMPUTED_VALUE"""),"")</f>
        <v/>
      </c>
      <c r="W5426" s="6" t="str">
        <f>IFERROR(__xludf.DUMMYFUNCTION("""COMPUTED_VALUE"""),"[]")</f>
        <v>[]</v>
      </c>
      <c r="X5426" s="6" t="str">
        <f>IFERROR(__xludf.DUMMYFUNCTION("""COMPUTED_VALUE"""),"Enrolled")</f>
        <v>Enrolled</v>
      </c>
    </row>
    <row r="5427">
      <c r="A5427" s="6" t="str">
        <f>IFERROR(__xludf.DUMMYFUNCTION("""COMPUTED_VALUE"""),"086-12818")</f>
        <v>086-12818</v>
      </c>
      <c r="B5427" s="6" t="str">
        <f>IFERROR(__xludf.DUMMYFUNCTION("""COMPUTED_VALUE"""),"86")</f>
        <v>86</v>
      </c>
      <c r="C5427" s="6" t="str">
        <f>IFERROR(__xludf.DUMMYFUNCTION("""COMPUTED_VALUE"""),"12818")</f>
        <v>12818</v>
      </c>
      <c r="D5427" s="6" t="str">
        <f>IFERROR(__xludf.DUMMYFUNCTION("""COMPUTED_VALUE"""),"Ja'Layah")</f>
        <v>Ja'Layah</v>
      </c>
      <c r="E5427" s="6" t="str">
        <f>IFERROR(__xludf.DUMMYFUNCTION("""COMPUTED_VALUE"""),"")</f>
        <v/>
      </c>
      <c r="F5427" s="6" t="str">
        <f>IFERROR(__xludf.DUMMYFUNCTION("""COMPUTED_VALUE"""),"Ferguson")</f>
        <v>Ferguson</v>
      </c>
      <c r="G5427" s="6" t="str">
        <f>IFERROR(__xludf.DUMMYFUNCTION("""COMPUTED_VALUE"""),"02/24/2015")</f>
        <v>02/24/2015</v>
      </c>
      <c r="H5427" s="6" t="str">
        <f>IFERROR(__xludf.DUMMYFUNCTION("""COMPUTED_VALUE"""),"male")</f>
        <v>male</v>
      </c>
      <c r="I5427" s="6" t="str">
        <f>IFERROR(__xludf.DUMMYFUNCTION("""COMPUTED_VALUE"""),"Level 2")</f>
        <v>Level 2</v>
      </c>
      <c r="J5427" s="6" t="str">
        <f>IFERROR(__xludf.DUMMYFUNCTION("""COMPUTED_VALUE"""),"5")</f>
        <v>5</v>
      </c>
      <c r="K5427" s="6" t="str">
        <f>IFERROR(__xludf.DUMMYFUNCTION("""COMPUTED_VALUE"""),"jalayah.ferguson@2hourlearning.com")</f>
        <v>jalayah.ferguson@2hourlearning.com</v>
      </c>
      <c r="L5427" s="6" t="str">
        <f>IFERROR(__xludf.DUMMYFUNCTION("""COMPUTED_VALUE"""),"JRES - Ridgeland Elementary School")</f>
        <v>JRES - Ridgeland Elementary School</v>
      </c>
      <c r="M5427" s="6" t="str">
        <f>IFERROR(__xludf.DUMMYFUNCTION("""COMPUTED_VALUE"""),"")</f>
        <v/>
      </c>
      <c r="N5427" s="6" t="str">
        <f>IFERROR(__xludf.DUMMYFUNCTION("""COMPUTED_VALUE"""),"")</f>
        <v/>
      </c>
      <c r="O5427" s="87" t="str">
        <f>IFERROR(__xludf.DUMMYFUNCTION("""COMPUTED_VALUE"""),"https://drive.google.com/drive/folders/10T2cTQHqEJZqE-st6uFKPoI?usp=share_link")</f>
        <v>https://drive.google.com/drive/folders/10T2cTQHqEJZqE-st6uFKPoI?usp=share_link</v>
      </c>
      <c r="P5427" s="6" t="str">
        <f>IFERROR(__xludf.DUMMYFUNCTION("""COMPUTED_VALUE"""),"Ja'Layah Ferguson")</f>
        <v>Ja'Layah Ferguson</v>
      </c>
      <c r="Q5427" s="6" t="str">
        <f>IFERROR(__xludf.DUMMYFUNCTION("""COMPUTED_VALUE"""),"L2")</f>
        <v>L2</v>
      </c>
      <c r="R5427" s="6">
        <f>IFERROR(__xludf.DUMMYFUNCTION("""COMPUTED_VALUE"""),2.0)</f>
        <v>2</v>
      </c>
      <c r="S5427" s="6" t="str">
        <f>IFERROR(__xludf.DUMMYFUNCTION("""COMPUTED_VALUE"""),"Kimberly Ball")</f>
        <v>Kimberly Ball</v>
      </c>
      <c r="T5427" s="6" t="str">
        <f>IFERROR(__xludf.DUMMYFUNCTION("""COMPUTED_VALUE"""),"kimberly.ball@studient.com")</f>
        <v>kimberly.ball@studient.com</v>
      </c>
      <c r="U5427" s="6" t="str">
        <f>IFERROR(__xludf.DUMMYFUNCTION("""COMPUTED_VALUE"""),"5")</f>
        <v>5</v>
      </c>
      <c r="V5427" s="6" t="str">
        <f>IFERROR(__xludf.DUMMYFUNCTION("""COMPUTED_VALUE"""),"")</f>
        <v/>
      </c>
      <c r="W5427" s="6" t="str">
        <f>IFERROR(__xludf.DUMMYFUNCTION("""COMPUTED_VALUE"""),"[]")</f>
        <v>[]</v>
      </c>
      <c r="X5427" s="6" t="str">
        <f>IFERROR(__xludf.DUMMYFUNCTION("""COMPUTED_VALUE"""),"Enrolled")</f>
        <v>Enrolled</v>
      </c>
    </row>
    <row r="5428">
      <c r="A5428" s="6" t="str">
        <f>IFERROR(__xludf.DUMMYFUNCTION("""COMPUTED_VALUE"""),"086-12819")</f>
        <v>086-12819</v>
      </c>
      <c r="B5428" s="6" t="str">
        <f>IFERROR(__xludf.DUMMYFUNCTION("""COMPUTED_VALUE"""),"86")</f>
        <v>86</v>
      </c>
      <c r="C5428" s="6" t="str">
        <f>IFERROR(__xludf.DUMMYFUNCTION("""COMPUTED_VALUE"""),"12819")</f>
        <v>12819</v>
      </c>
      <c r="D5428" s="6" t="str">
        <f>IFERROR(__xludf.DUMMYFUNCTION("""COMPUTED_VALUE"""),"Daisy")</f>
        <v>Daisy</v>
      </c>
      <c r="E5428" s="6" t="str">
        <f>IFERROR(__xludf.DUMMYFUNCTION("""COMPUTED_VALUE"""),"")</f>
        <v/>
      </c>
      <c r="F5428" s="6" t="str">
        <f>IFERROR(__xludf.DUMMYFUNCTION("""COMPUTED_VALUE"""),"Flowers")</f>
        <v>Flowers</v>
      </c>
      <c r="G5428" s="6" t="str">
        <f>IFERROR(__xludf.DUMMYFUNCTION("""COMPUTED_VALUE"""),"12/28/2016")</f>
        <v>12/28/2016</v>
      </c>
      <c r="H5428" s="6" t="str">
        <f>IFERROR(__xludf.DUMMYFUNCTION("""COMPUTED_VALUE"""),"female")</f>
        <v>female</v>
      </c>
      <c r="I5428" s="6" t="str">
        <f>IFERROR(__xludf.DUMMYFUNCTION("""COMPUTED_VALUE"""),"Level 2")</f>
        <v>Level 2</v>
      </c>
      <c r="J5428" s="6" t="str">
        <f>IFERROR(__xludf.DUMMYFUNCTION("""COMPUTED_VALUE"""),"5")</f>
        <v>5</v>
      </c>
      <c r="K5428" s="6" t="str">
        <f>IFERROR(__xludf.DUMMYFUNCTION("""COMPUTED_VALUE"""),"daisy.flowers@2hourlearning.com")</f>
        <v>daisy.flowers@2hourlearning.com</v>
      </c>
      <c r="L5428" s="6" t="str">
        <f>IFERROR(__xludf.DUMMYFUNCTION("""COMPUTED_VALUE"""),"JRES - Ridgeland Elementary School")</f>
        <v>JRES - Ridgeland Elementary School</v>
      </c>
      <c r="M5428" s="6" t="str">
        <f>IFERROR(__xludf.DUMMYFUNCTION("""COMPUTED_VALUE"""),"")</f>
        <v/>
      </c>
      <c r="N5428" s="6" t="str">
        <f>IFERROR(__xludf.DUMMYFUNCTION("""COMPUTED_VALUE"""),"")</f>
        <v/>
      </c>
      <c r="O5428" s="87" t="str">
        <f>IFERROR(__xludf.DUMMYFUNCTION("""COMPUTED_VALUE"""),"https://drive.google.com/drive/folders/10T2cTQHqEJZqE-st6uFKPoI?usp=share_link")</f>
        <v>https://drive.google.com/drive/folders/10T2cTQHqEJZqE-st6uFKPoI?usp=share_link</v>
      </c>
      <c r="P5428" s="6" t="str">
        <f>IFERROR(__xludf.DUMMYFUNCTION("""COMPUTED_VALUE"""),"Daisy Flowers")</f>
        <v>Daisy Flowers</v>
      </c>
      <c r="Q5428" s="6" t="str">
        <f>IFERROR(__xludf.DUMMYFUNCTION("""COMPUTED_VALUE"""),"L2")</f>
        <v>L2</v>
      </c>
      <c r="R5428" s="6">
        <f>IFERROR(__xludf.DUMMYFUNCTION("""COMPUTED_VALUE"""),2.0)</f>
        <v>2</v>
      </c>
      <c r="S5428" s="6" t="str">
        <f>IFERROR(__xludf.DUMMYFUNCTION("""COMPUTED_VALUE"""),"Kimberly Ball")</f>
        <v>Kimberly Ball</v>
      </c>
      <c r="T5428" s="6" t="str">
        <f>IFERROR(__xludf.DUMMYFUNCTION("""COMPUTED_VALUE"""),"kimberly.ball@studient.com")</f>
        <v>kimberly.ball@studient.com</v>
      </c>
      <c r="U5428" s="6" t="str">
        <f>IFERROR(__xludf.DUMMYFUNCTION("""COMPUTED_VALUE"""),"5")</f>
        <v>5</v>
      </c>
      <c r="V5428" s="6" t="str">
        <f>IFERROR(__xludf.DUMMYFUNCTION("""COMPUTED_VALUE"""),"")</f>
        <v/>
      </c>
      <c r="W5428" s="6" t="str">
        <f>IFERROR(__xludf.DUMMYFUNCTION("""COMPUTED_VALUE"""),"[]")</f>
        <v>[]</v>
      </c>
      <c r="X5428" s="6" t="str">
        <f>IFERROR(__xludf.DUMMYFUNCTION("""COMPUTED_VALUE"""),"Enrolled")</f>
        <v>Enrolled</v>
      </c>
    </row>
    <row r="5429">
      <c r="A5429" s="6" t="str">
        <f>IFERROR(__xludf.DUMMYFUNCTION("""COMPUTED_VALUE"""),"086-12820")</f>
        <v>086-12820</v>
      </c>
      <c r="B5429" s="6" t="str">
        <f>IFERROR(__xludf.DUMMYFUNCTION("""COMPUTED_VALUE"""),"86")</f>
        <v>86</v>
      </c>
      <c r="C5429" s="6" t="str">
        <f>IFERROR(__xludf.DUMMYFUNCTION("""COMPUTED_VALUE"""),"12820")</f>
        <v>12820</v>
      </c>
      <c r="D5429" s="6" t="str">
        <f>IFERROR(__xludf.DUMMYFUNCTION("""COMPUTED_VALUE"""),"Jharianny")</f>
        <v>Jharianny</v>
      </c>
      <c r="E5429" s="6" t="str">
        <f>IFERROR(__xludf.DUMMYFUNCTION("""COMPUTED_VALUE"""),"")</f>
        <v/>
      </c>
      <c r="F5429" s="6" t="str">
        <f>IFERROR(__xludf.DUMMYFUNCTION("""COMPUTED_VALUE"""),"Fox Quintero")</f>
        <v>Fox Quintero</v>
      </c>
      <c r="G5429" s="6" t="str">
        <f>IFERROR(__xludf.DUMMYFUNCTION("""COMPUTED_VALUE"""),"10/22/2014")</f>
        <v>10/22/2014</v>
      </c>
      <c r="H5429" s="6" t="str">
        <f>IFERROR(__xludf.DUMMYFUNCTION("""COMPUTED_VALUE"""),"male")</f>
        <v>male</v>
      </c>
      <c r="I5429" s="6" t="str">
        <f>IFERROR(__xludf.DUMMYFUNCTION("""COMPUTED_VALUE"""),"Level 2")</f>
        <v>Level 2</v>
      </c>
      <c r="J5429" s="6" t="str">
        <f>IFERROR(__xludf.DUMMYFUNCTION("""COMPUTED_VALUE"""),"5")</f>
        <v>5</v>
      </c>
      <c r="K5429" s="6" t="str">
        <f>IFERROR(__xludf.DUMMYFUNCTION("""COMPUTED_VALUE"""),"jharianny.foxquintero@2hourlearning.com")</f>
        <v>jharianny.foxquintero@2hourlearning.com</v>
      </c>
      <c r="L5429" s="6" t="str">
        <f>IFERROR(__xludf.DUMMYFUNCTION("""COMPUTED_VALUE"""),"JRES - Ridgeland Elementary School")</f>
        <v>JRES - Ridgeland Elementary School</v>
      </c>
      <c r="M5429" s="6" t="str">
        <f>IFERROR(__xludf.DUMMYFUNCTION("""COMPUTED_VALUE"""),"")</f>
        <v/>
      </c>
      <c r="N5429" s="6" t="str">
        <f>IFERROR(__xludf.DUMMYFUNCTION("""COMPUTED_VALUE"""),"")</f>
        <v/>
      </c>
      <c r="O5429" s="87" t="str">
        <f>IFERROR(__xludf.DUMMYFUNCTION("""COMPUTED_VALUE"""),"https://drive.google.com/drive/folders/10T2cTQHqEJZqE-st6uFKPoI?usp=share_link")</f>
        <v>https://drive.google.com/drive/folders/10T2cTQHqEJZqE-st6uFKPoI?usp=share_link</v>
      </c>
      <c r="P5429" s="6" t="str">
        <f>IFERROR(__xludf.DUMMYFUNCTION("""COMPUTED_VALUE"""),"Jharianny Fox Quintero")</f>
        <v>Jharianny Fox Quintero</v>
      </c>
      <c r="Q5429" s="6" t="str">
        <f>IFERROR(__xludf.DUMMYFUNCTION("""COMPUTED_VALUE"""),"L2")</f>
        <v>L2</v>
      </c>
      <c r="R5429" s="6">
        <f>IFERROR(__xludf.DUMMYFUNCTION("""COMPUTED_VALUE"""),2.0)</f>
        <v>2</v>
      </c>
      <c r="S5429" s="6" t="str">
        <f>IFERROR(__xludf.DUMMYFUNCTION("""COMPUTED_VALUE"""),"Kimberly Ball")</f>
        <v>Kimberly Ball</v>
      </c>
      <c r="T5429" s="6" t="str">
        <f>IFERROR(__xludf.DUMMYFUNCTION("""COMPUTED_VALUE"""),"kimberly.ball@studient.com")</f>
        <v>kimberly.ball@studient.com</v>
      </c>
      <c r="U5429" s="6" t="str">
        <f>IFERROR(__xludf.DUMMYFUNCTION("""COMPUTED_VALUE"""),"5")</f>
        <v>5</v>
      </c>
      <c r="V5429" s="6" t="str">
        <f>IFERROR(__xludf.DUMMYFUNCTION("""COMPUTED_VALUE"""),"")</f>
        <v/>
      </c>
      <c r="W5429" s="6" t="str">
        <f>IFERROR(__xludf.DUMMYFUNCTION("""COMPUTED_VALUE"""),"[]")</f>
        <v>[]</v>
      </c>
      <c r="X5429" s="6" t="str">
        <f>IFERROR(__xludf.DUMMYFUNCTION("""COMPUTED_VALUE"""),"Enrolled")</f>
        <v>Enrolled</v>
      </c>
    </row>
    <row r="5430">
      <c r="A5430" s="6" t="str">
        <f>IFERROR(__xludf.DUMMYFUNCTION("""COMPUTED_VALUE"""),"086-12821")</f>
        <v>086-12821</v>
      </c>
      <c r="B5430" s="6" t="str">
        <f>IFERROR(__xludf.DUMMYFUNCTION("""COMPUTED_VALUE"""),"86")</f>
        <v>86</v>
      </c>
      <c r="C5430" s="6" t="str">
        <f>IFERROR(__xludf.DUMMYFUNCTION("""COMPUTED_VALUE"""),"12821")</f>
        <v>12821</v>
      </c>
      <c r="D5430" s="6" t="str">
        <f>IFERROR(__xludf.DUMMYFUNCTION("""COMPUTED_VALUE"""),"Chance")</f>
        <v>Chance</v>
      </c>
      <c r="E5430" s="6" t="str">
        <f>IFERROR(__xludf.DUMMYFUNCTION("""COMPUTED_VALUE"""),"")</f>
        <v/>
      </c>
      <c r="F5430" s="6" t="str">
        <f>IFERROR(__xludf.DUMMYFUNCTION("""COMPUTED_VALUE"""),"Frazier")</f>
        <v>Frazier</v>
      </c>
      <c r="G5430" s="6" t="str">
        <f>IFERROR(__xludf.DUMMYFUNCTION("""COMPUTED_VALUE"""),"06/10/2014")</f>
        <v>06/10/2014</v>
      </c>
      <c r="H5430" s="6" t="str">
        <f>IFERROR(__xludf.DUMMYFUNCTION("""COMPUTED_VALUE"""),"male")</f>
        <v>male</v>
      </c>
      <c r="I5430" s="6" t="str">
        <f>IFERROR(__xludf.DUMMYFUNCTION("""COMPUTED_VALUE"""),"Level 2")</f>
        <v>Level 2</v>
      </c>
      <c r="J5430" s="6" t="str">
        <f>IFERROR(__xludf.DUMMYFUNCTION("""COMPUTED_VALUE"""),"5")</f>
        <v>5</v>
      </c>
      <c r="K5430" s="6" t="str">
        <f>IFERROR(__xludf.DUMMYFUNCTION("""COMPUTED_VALUE"""),"chance.frazier@2hourlearning.com")</f>
        <v>chance.frazier@2hourlearning.com</v>
      </c>
      <c r="L5430" s="6" t="str">
        <f>IFERROR(__xludf.DUMMYFUNCTION("""COMPUTED_VALUE"""),"JRES - Ridgeland Elementary School")</f>
        <v>JRES - Ridgeland Elementary School</v>
      </c>
      <c r="M5430" s="6" t="str">
        <f>IFERROR(__xludf.DUMMYFUNCTION("""COMPUTED_VALUE"""),"")</f>
        <v/>
      </c>
      <c r="N5430" s="6" t="str">
        <f>IFERROR(__xludf.DUMMYFUNCTION("""COMPUTED_VALUE"""),"")</f>
        <v/>
      </c>
      <c r="O5430" s="87" t="str">
        <f>IFERROR(__xludf.DUMMYFUNCTION("""COMPUTED_VALUE"""),"https://drive.google.com/drive/folders/10T2cTQHqEJZqE-st6uFKPoI?usp=share_link")</f>
        <v>https://drive.google.com/drive/folders/10T2cTQHqEJZqE-st6uFKPoI?usp=share_link</v>
      </c>
      <c r="P5430" s="6" t="str">
        <f>IFERROR(__xludf.DUMMYFUNCTION("""COMPUTED_VALUE"""),"Chance Frazier")</f>
        <v>Chance Frazier</v>
      </c>
      <c r="Q5430" s="6" t="str">
        <f>IFERROR(__xludf.DUMMYFUNCTION("""COMPUTED_VALUE"""),"L2")</f>
        <v>L2</v>
      </c>
      <c r="R5430" s="6">
        <f>IFERROR(__xludf.DUMMYFUNCTION("""COMPUTED_VALUE"""),2.0)</f>
        <v>2</v>
      </c>
      <c r="S5430" s="6" t="str">
        <f>IFERROR(__xludf.DUMMYFUNCTION("""COMPUTED_VALUE"""),"Kimberly Ball")</f>
        <v>Kimberly Ball</v>
      </c>
      <c r="T5430" s="6" t="str">
        <f>IFERROR(__xludf.DUMMYFUNCTION("""COMPUTED_VALUE"""),"kimberly.ball@studient.com")</f>
        <v>kimberly.ball@studient.com</v>
      </c>
      <c r="U5430" s="6" t="str">
        <f>IFERROR(__xludf.DUMMYFUNCTION("""COMPUTED_VALUE"""),"5")</f>
        <v>5</v>
      </c>
      <c r="V5430" s="6" t="str">
        <f>IFERROR(__xludf.DUMMYFUNCTION("""COMPUTED_VALUE"""),"")</f>
        <v/>
      </c>
      <c r="W5430" s="6" t="str">
        <f>IFERROR(__xludf.DUMMYFUNCTION("""COMPUTED_VALUE"""),"[]")</f>
        <v>[]</v>
      </c>
      <c r="X5430" s="6" t="str">
        <f>IFERROR(__xludf.DUMMYFUNCTION("""COMPUTED_VALUE"""),"Enrolled")</f>
        <v>Enrolled</v>
      </c>
    </row>
    <row r="5431">
      <c r="A5431" s="6" t="str">
        <f>IFERROR(__xludf.DUMMYFUNCTION("""COMPUTED_VALUE"""),"086-12822")</f>
        <v>086-12822</v>
      </c>
      <c r="B5431" s="6" t="str">
        <f>IFERROR(__xludf.DUMMYFUNCTION("""COMPUTED_VALUE"""),"86")</f>
        <v>86</v>
      </c>
      <c r="C5431" s="6" t="str">
        <f>IFERROR(__xludf.DUMMYFUNCTION("""COMPUTED_VALUE"""),"12822")</f>
        <v>12822</v>
      </c>
      <c r="D5431" s="6" t="str">
        <f>IFERROR(__xludf.DUMMYFUNCTION("""COMPUTED_VALUE"""),"Laure'l")</f>
        <v>Laure'l</v>
      </c>
      <c r="E5431" s="6" t="str">
        <f>IFERROR(__xludf.DUMMYFUNCTION("""COMPUTED_VALUE"""),"")</f>
        <v/>
      </c>
      <c r="F5431" s="6" t="str">
        <f>IFERROR(__xludf.DUMMYFUNCTION("""COMPUTED_VALUE"""),"Frost")</f>
        <v>Frost</v>
      </c>
      <c r="G5431" s="6" t="str">
        <f>IFERROR(__xludf.DUMMYFUNCTION("""COMPUTED_VALUE"""),"04/11/2018")</f>
        <v>04/11/2018</v>
      </c>
      <c r="H5431" s="6" t="str">
        <f>IFERROR(__xludf.DUMMYFUNCTION("""COMPUTED_VALUE"""),"female")</f>
        <v>female</v>
      </c>
      <c r="I5431" s="6" t="str">
        <f>IFERROR(__xludf.DUMMYFUNCTION("""COMPUTED_VALUE"""),"Level 2")</f>
        <v>Level 2</v>
      </c>
      <c r="J5431" s="6" t="str">
        <f>IFERROR(__xludf.DUMMYFUNCTION("""COMPUTED_VALUE"""),"5")</f>
        <v>5</v>
      </c>
      <c r="K5431" s="6" t="str">
        <f>IFERROR(__xludf.DUMMYFUNCTION("""COMPUTED_VALUE"""),"laurel.frost@2hourlearning.com")</f>
        <v>laurel.frost@2hourlearning.com</v>
      </c>
      <c r="L5431" s="6" t="str">
        <f>IFERROR(__xludf.DUMMYFUNCTION("""COMPUTED_VALUE"""),"JRES - Ridgeland Elementary School")</f>
        <v>JRES - Ridgeland Elementary School</v>
      </c>
      <c r="M5431" s="6" t="str">
        <f>IFERROR(__xludf.DUMMYFUNCTION("""COMPUTED_VALUE"""),"")</f>
        <v/>
      </c>
      <c r="N5431" s="6" t="str">
        <f>IFERROR(__xludf.DUMMYFUNCTION("""COMPUTED_VALUE"""),"")</f>
        <v/>
      </c>
      <c r="O5431" s="87" t="str">
        <f>IFERROR(__xludf.DUMMYFUNCTION("""COMPUTED_VALUE"""),"https://drive.google.com/drive/folders/10T2cTQHqEJZqE-st6uFKPoI?usp=share_link")</f>
        <v>https://drive.google.com/drive/folders/10T2cTQHqEJZqE-st6uFKPoI?usp=share_link</v>
      </c>
      <c r="P5431" s="6" t="str">
        <f>IFERROR(__xludf.DUMMYFUNCTION("""COMPUTED_VALUE"""),"Laure'l Frost")</f>
        <v>Laure'l Frost</v>
      </c>
      <c r="Q5431" s="6" t="str">
        <f>IFERROR(__xludf.DUMMYFUNCTION("""COMPUTED_VALUE"""),"L2")</f>
        <v>L2</v>
      </c>
      <c r="R5431" s="6">
        <f>IFERROR(__xludf.DUMMYFUNCTION("""COMPUTED_VALUE"""),2.0)</f>
        <v>2</v>
      </c>
      <c r="S5431" s="6" t="str">
        <f>IFERROR(__xludf.DUMMYFUNCTION("""COMPUTED_VALUE"""),"Kimberly Ball")</f>
        <v>Kimberly Ball</v>
      </c>
      <c r="T5431" s="6" t="str">
        <f>IFERROR(__xludf.DUMMYFUNCTION("""COMPUTED_VALUE"""),"kimberly.ball@studient.com")</f>
        <v>kimberly.ball@studient.com</v>
      </c>
      <c r="U5431" s="6" t="str">
        <f>IFERROR(__xludf.DUMMYFUNCTION("""COMPUTED_VALUE"""),"5")</f>
        <v>5</v>
      </c>
      <c r="V5431" s="6" t="str">
        <f>IFERROR(__xludf.DUMMYFUNCTION("""COMPUTED_VALUE"""),"")</f>
        <v/>
      </c>
      <c r="W5431" s="6" t="str">
        <f>IFERROR(__xludf.DUMMYFUNCTION("""COMPUTED_VALUE"""),"[]")</f>
        <v>[]</v>
      </c>
      <c r="X5431" s="6" t="str">
        <f>IFERROR(__xludf.DUMMYFUNCTION("""COMPUTED_VALUE"""),"Enrolled")</f>
        <v>Enrolled</v>
      </c>
    </row>
    <row r="5432">
      <c r="A5432" s="6" t="str">
        <f>IFERROR(__xludf.DUMMYFUNCTION("""COMPUTED_VALUE"""),"086-12823")</f>
        <v>086-12823</v>
      </c>
      <c r="B5432" s="6" t="str">
        <f>IFERROR(__xludf.DUMMYFUNCTION("""COMPUTED_VALUE"""),"86")</f>
        <v>86</v>
      </c>
      <c r="C5432" s="6" t="str">
        <f>IFERROR(__xludf.DUMMYFUNCTION("""COMPUTED_VALUE"""),"12823")</f>
        <v>12823</v>
      </c>
      <c r="D5432" s="6" t="str">
        <f>IFERROR(__xludf.DUMMYFUNCTION("""COMPUTED_VALUE"""),"Rody")</f>
        <v>Rody</v>
      </c>
      <c r="E5432" s="6" t="str">
        <f>IFERROR(__xludf.DUMMYFUNCTION("""COMPUTED_VALUE"""),"")</f>
        <v/>
      </c>
      <c r="F5432" s="6" t="str">
        <f>IFERROR(__xludf.DUMMYFUNCTION("""COMPUTED_VALUE"""),"Galvez-Diaz")</f>
        <v>Galvez-Diaz</v>
      </c>
      <c r="G5432" s="6" t="str">
        <f>IFERROR(__xludf.DUMMYFUNCTION("""COMPUTED_VALUE"""),"04/07/2017")</f>
        <v>04/07/2017</v>
      </c>
      <c r="H5432" s="6" t="str">
        <f>IFERROR(__xludf.DUMMYFUNCTION("""COMPUTED_VALUE"""),"female")</f>
        <v>female</v>
      </c>
      <c r="I5432" s="6" t="str">
        <f>IFERROR(__xludf.DUMMYFUNCTION("""COMPUTED_VALUE"""),"Level 2")</f>
        <v>Level 2</v>
      </c>
      <c r="J5432" s="6" t="str">
        <f>IFERROR(__xludf.DUMMYFUNCTION("""COMPUTED_VALUE"""),"5")</f>
        <v>5</v>
      </c>
      <c r="K5432" s="6" t="str">
        <f>IFERROR(__xludf.DUMMYFUNCTION("""COMPUTED_VALUE"""),"rody.galvez-diaz@2hourlearning.com")</f>
        <v>rody.galvez-diaz@2hourlearning.com</v>
      </c>
      <c r="L5432" s="6" t="str">
        <f>IFERROR(__xludf.DUMMYFUNCTION("""COMPUTED_VALUE"""),"JRES - Ridgeland Elementary School")</f>
        <v>JRES - Ridgeland Elementary School</v>
      </c>
      <c r="M5432" s="6" t="str">
        <f>IFERROR(__xludf.DUMMYFUNCTION("""COMPUTED_VALUE"""),"")</f>
        <v/>
      </c>
      <c r="N5432" s="6" t="str">
        <f>IFERROR(__xludf.DUMMYFUNCTION("""COMPUTED_VALUE"""),"")</f>
        <v/>
      </c>
      <c r="O5432" s="87" t="str">
        <f>IFERROR(__xludf.DUMMYFUNCTION("""COMPUTED_VALUE"""),"https://drive.google.com/drive/folders/10T2cTQHqEJZqE-st6uFKPoI?usp=share_link")</f>
        <v>https://drive.google.com/drive/folders/10T2cTQHqEJZqE-st6uFKPoI?usp=share_link</v>
      </c>
      <c r="P5432" s="6" t="str">
        <f>IFERROR(__xludf.DUMMYFUNCTION("""COMPUTED_VALUE"""),"Rody Galvez-Diaz")</f>
        <v>Rody Galvez-Diaz</v>
      </c>
      <c r="Q5432" s="6" t="str">
        <f>IFERROR(__xludf.DUMMYFUNCTION("""COMPUTED_VALUE"""),"L2")</f>
        <v>L2</v>
      </c>
      <c r="R5432" s="6">
        <f>IFERROR(__xludf.DUMMYFUNCTION("""COMPUTED_VALUE"""),2.0)</f>
        <v>2</v>
      </c>
      <c r="S5432" s="6" t="str">
        <f>IFERROR(__xludf.DUMMYFUNCTION("""COMPUTED_VALUE"""),"Kimberly Ball")</f>
        <v>Kimberly Ball</v>
      </c>
      <c r="T5432" s="6" t="str">
        <f>IFERROR(__xludf.DUMMYFUNCTION("""COMPUTED_VALUE"""),"kimberly.ball@studient.com")</f>
        <v>kimberly.ball@studient.com</v>
      </c>
      <c r="U5432" s="6" t="str">
        <f>IFERROR(__xludf.DUMMYFUNCTION("""COMPUTED_VALUE"""),"5")</f>
        <v>5</v>
      </c>
      <c r="V5432" s="6" t="str">
        <f>IFERROR(__xludf.DUMMYFUNCTION("""COMPUTED_VALUE"""),"")</f>
        <v/>
      </c>
      <c r="W5432" s="6" t="str">
        <f>IFERROR(__xludf.DUMMYFUNCTION("""COMPUTED_VALUE"""),"[]")</f>
        <v>[]</v>
      </c>
      <c r="X5432" s="6" t="str">
        <f>IFERROR(__xludf.DUMMYFUNCTION("""COMPUTED_VALUE"""),"Enrolled")</f>
        <v>Enrolled</v>
      </c>
    </row>
    <row r="5433">
      <c r="A5433" s="6" t="str">
        <f>IFERROR(__xludf.DUMMYFUNCTION("""COMPUTED_VALUE"""),"086-12824")</f>
        <v>086-12824</v>
      </c>
      <c r="B5433" s="6" t="str">
        <f>IFERROR(__xludf.DUMMYFUNCTION("""COMPUTED_VALUE"""),"86")</f>
        <v>86</v>
      </c>
      <c r="C5433" s="6" t="str">
        <f>IFERROR(__xludf.DUMMYFUNCTION("""COMPUTED_VALUE"""),"12824")</f>
        <v>12824</v>
      </c>
      <c r="D5433" s="6" t="str">
        <f>IFERROR(__xludf.DUMMYFUNCTION("""COMPUTED_VALUE"""),"Jesus")</f>
        <v>Jesus</v>
      </c>
      <c r="E5433" s="6" t="str">
        <f>IFERROR(__xludf.DUMMYFUNCTION("""COMPUTED_VALUE"""),"")</f>
        <v/>
      </c>
      <c r="F5433" s="6" t="str">
        <f>IFERROR(__xludf.DUMMYFUNCTION("""COMPUTED_VALUE"""),"Garduno Moreno")</f>
        <v>Garduno Moreno</v>
      </c>
      <c r="G5433" s="6" t="str">
        <f>IFERROR(__xludf.DUMMYFUNCTION("""COMPUTED_VALUE"""),"07/27/2017")</f>
        <v>07/27/2017</v>
      </c>
      <c r="H5433" s="6" t="str">
        <f>IFERROR(__xludf.DUMMYFUNCTION("""COMPUTED_VALUE"""),"male")</f>
        <v>male</v>
      </c>
      <c r="I5433" s="6" t="str">
        <f>IFERROR(__xludf.DUMMYFUNCTION("""COMPUTED_VALUE"""),"Level 2")</f>
        <v>Level 2</v>
      </c>
      <c r="J5433" s="6" t="str">
        <f>IFERROR(__xludf.DUMMYFUNCTION("""COMPUTED_VALUE"""),"5")</f>
        <v>5</v>
      </c>
      <c r="K5433" s="6" t="str">
        <f>IFERROR(__xludf.DUMMYFUNCTION("""COMPUTED_VALUE"""),"jesus.gardunomoreno@2hourlearning.com")</f>
        <v>jesus.gardunomoreno@2hourlearning.com</v>
      </c>
      <c r="L5433" s="6" t="str">
        <f>IFERROR(__xludf.DUMMYFUNCTION("""COMPUTED_VALUE"""),"JRES - Ridgeland Elementary School")</f>
        <v>JRES - Ridgeland Elementary School</v>
      </c>
      <c r="M5433" s="6" t="str">
        <f>IFERROR(__xludf.DUMMYFUNCTION("""COMPUTED_VALUE"""),"")</f>
        <v/>
      </c>
      <c r="N5433" s="6" t="str">
        <f>IFERROR(__xludf.DUMMYFUNCTION("""COMPUTED_VALUE"""),"")</f>
        <v/>
      </c>
      <c r="O5433" s="87" t="str">
        <f>IFERROR(__xludf.DUMMYFUNCTION("""COMPUTED_VALUE"""),"https://drive.google.com/drive/folders/10T2cTQHqEJZqE-st6uFKPoI?usp=share_link")</f>
        <v>https://drive.google.com/drive/folders/10T2cTQHqEJZqE-st6uFKPoI?usp=share_link</v>
      </c>
      <c r="P5433" s="6" t="str">
        <f>IFERROR(__xludf.DUMMYFUNCTION("""COMPUTED_VALUE"""),"Jesus Garduno Moreno")</f>
        <v>Jesus Garduno Moreno</v>
      </c>
      <c r="Q5433" s="6" t="str">
        <f>IFERROR(__xludf.DUMMYFUNCTION("""COMPUTED_VALUE"""),"L2")</f>
        <v>L2</v>
      </c>
      <c r="R5433" s="6">
        <f>IFERROR(__xludf.DUMMYFUNCTION("""COMPUTED_VALUE"""),2.0)</f>
        <v>2</v>
      </c>
      <c r="S5433" s="6" t="str">
        <f>IFERROR(__xludf.DUMMYFUNCTION("""COMPUTED_VALUE"""),"Kimberly Ball")</f>
        <v>Kimberly Ball</v>
      </c>
      <c r="T5433" s="6" t="str">
        <f>IFERROR(__xludf.DUMMYFUNCTION("""COMPUTED_VALUE"""),"kimberly.ball@studient.com")</f>
        <v>kimberly.ball@studient.com</v>
      </c>
      <c r="U5433" s="6" t="str">
        <f>IFERROR(__xludf.DUMMYFUNCTION("""COMPUTED_VALUE"""),"5")</f>
        <v>5</v>
      </c>
      <c r="V5433" s="6" t="str">
        <f>IFERROR(__xludf.DUMMYFUNCTION("""COMPUTED_VALUE"""),"")</f>
        <v/>
      </c>
      <c r="W5433" s="6" t="str">
        <f>IFERROR(__xludf.DUMMYFUNCTION("""COMPUTED_VALUE"""),"[]")</f>
        <v>[]</v>
      </c>
      <c r="X5433" s="6" t="str">
        <f>IFERROR(__xludf.DUMMYFUNCTION("""COMPUTED_VALUE"""),"Enrolled")</f>
        <v>Enrolled</v>
      </c>
    </row>
    <row r="5434">
      <c r="A5434" s="6" t="str">
        <f>IFERROR(__xludf.DUMMYFUNCTION("""COMPUTED_VALUE"""),"086-12825")</f>
        <v>086-12825</v>
      </c>
      <c r="B5434" s="6" t="str">
        <f>IFERROR(__xludf.DUMMYFUNCTION("""COMPUTED_VALUE"""),"86")</f>
        <v>86</v>
      </c>
      <c r="C5434" s="6" t="str">
        <f>IFERROR(__xludf.DUMMYFUNCTION("""COMPUTED_VALUE"""),"12825")</f>
        <v>12825</v>
      </c>
      <c r="D5434" s="6" t="str">
        <f>IFERROR(__xludf.DUMMYFUNCTION("""COMPUTED_VALUE"""),"Isaiah")</f>
        <v>Isaiah</v>
      </c>
      <c r="E5434" s="6" t="str">
        <f>IFERROR(__xludf.DUMMYFUNCTION("""COMPUTED_VALUE"""),"")</f>
        <v/>
      </c>
      <c r="F5434" s="6" t="str">
        <f>IFERROR(__xludf.DUMMYFUNCTION("""COMPUTED_VALUE"""),"Green")</f>
        <v>Green</v>
      </c>
      <c r="G5434" s="6" t="str">
        <f>IFERROR(__xludf.DUMMYFUNCTION("""COMPUTED_VALUE"""),"04/27/2018")</f>
        <v>04/27/2018</v>
      </c>
      <c r="H5434" s="6" t="str">
        <f>IFERROR(__xludf.DUMMYFUNCTION("""COMPUTED_VALUE"""),"female")</f>
        <v>female</v>
      </c>
      <c r="I5434" s="6" t="str">
        <f>IFERROR(__xludf.DUMMYFUNCTION("""COMPUTED_VALUE"""),"Level 2")</f>
        <v>Level 2</v>
      </c>
      <c r="J5434" s="6" t="str">
        <f>IFERROR(__xludf.DUMMYFUNCTION("""COMPUTED_VALUE"""),"5")</f>
        <v>5</v>
      </c>
      <c r="K5434" s="6" t="str">
        <f>IFERROR(__xludf.DUMMYFUNCTION("""COMPUTED_VALUE"""),"isaiah.green@2hourlearning.com")</f>
        <v>isaiah.green@2hourlearning.com</v>
      </c>
      <c r="L5434" s="6" t="str">
        <f>IFERROR(__xludf.DUMMYFUNCTION("""COMPUTED_VALUE"""),"JRES - Ridgeland Elementary School")</f>
        <v>JRES - Ridgeland Elementary School</v>
      </c>
      <c r="M5434" s="6" t="str">
        <f>IFERROR(__xludf.DUMMYFUNCTION("""COMPUTED_VALUE"""),"")</f>
        <v/>
      </c>
      <c r="N5434" s="6" t="str">
        <f>IFERROR(__xludf.DUMMYFUNCTION("""COMPUTED_VALUE"""),"")</f>
        <v/>
      </c>
      <c r="O5434" s="87" t="str">
        <f>IFERROR(__xludf.DUMMYFUNCTION("""COMPUTED_VALUE"""),"https://drive.google.com/drive/folders/10T2cTQHqEJZqE-st6uFKPoI?usp=share_link")</f>
        <v>https://drive.google.com/drive/folders/10T2cTQHqEJZqE-st6uFKPoI?usp=share_link</v>
      </c>
      <c r="P5434" s="6" t="str">
        <f>IFERROR(__xludf.DUMMYFUNCTION("""COMPUTED_VALUE"""),"Isaiah Green")</f>
        <v>Isaiah Green</v>
      </c>
      <c r="Q5434" s="6" t="str">
        <f>IFERROR(__xludf.DUMMYFUNCTION("""COMPUTED_VALUE"""),"L2")</f>
        <v>L2</v>
      </c>
      <c r="R5434" s="6">
        <f>IFERROR(__xludf.DUMMYFUNCTION("""COMPUTED_VALUE"""),2.0)</f>
        <v>2</v>
      </c>
      <c r="S5434" s="6" t="str">
        <f>IFERROR(__xludf.DUMMYFUNCTION("""COMPUTED_VALUE"""),"Kimberly Ball")</f>
        <v>Kimberly Ball</v>
      </c>
      <c r="T5434" s="6" t="str">
        <f>IFERROR(__xludf.DUMMYFUNCTION("""COMPUTED_VALUE"""),"kimberly.ball@studient.com")</f>
        <v>kimberly.ball@studient.com</v>
      </c>
      <c r="U5434" s="6" t="str">
        <f>IFERROR(__xludf.DUMMYFUNCTION("""COMPUTED_VALUE"""),"5")</f>
        <v>5</v>
      </c>
      <c r="V5434" s="6" t="str">
        <f>IFERROR(__xludf.DUMMYFUNCTION("""COMPUTED_VALUE"""),"")</f>
        <v/>
      </c>
      <c r="W5434" s="6" t="str">
        <f>IFERROR(__xludf.DUMMYFUNCTION("""COMPUTED_VALUE"""),"[]")</f>
        <v>[]</v>
      </c>
      <c r="X5434" s="6" t="str">
        <f>IFERROR(__xludf.DUMMYFUNCTION("""COMPUTED_VALUE"""),"Enrolled")</f>
        <v>Enrolled</v>
      </c>
    </row>
    <row r="5435">
      <c r="A5435" s="6" t="str">
        <f>IFERROR(__xludf.DUMMYFUNCTION("""COMPUTED_VALUE"""),"086-12826")</f>
        <v>086-12826</v>
      </c>
      <c r="B5435" s="6" t="str">
        <f>IFERROR(__xludf.DUMMYFUNCTION("""COMPUTED_VALUE"""),"86")</f>
        <v>86</v>
      </c>
      <c r="C5435" s="6" t="str">
        <f>IFERROR(__xludf.DUMMYFUNCTION("""COMPUTED_VALUE"""),"12826")</f>
        <v>12826</v>
      </c>
      <c r="D5435" s="6" t="str">
        <f>IFERROR(__xludf.DUMMYFUNCTION("""COMPUTED_VALUE"""),"Javon")</f>
        <v>Javon</v>
      </c>
      <c r="E5435" s="6" t="str">
        <f>IFERROR(__xludf.DUMMYFUNCTION("""COMPUTED_VALUE"""),"")</f>
        <v/>
      </c>
      <c r="F5435" s="6" t="str">
        <f>IFERROR(__xludf.DUMMYFUNCTION("""COMPUTED_VALUE"""),"Habersham")</f>
        <v>Habersham</v>
      </c>
      <c r="G5435" s="6" t="str">
        <f>IFERROR(__xludf.DUMMYFUNCTION("""COMPUTED_VALUE"""),"07/03/2016")</f>
        <v>07/03/2016</v>
      </c>
      <c r="H5435" s="6" t="str">
        <f>IFERROR(__xludf.DUMMYFUNCTION("""COMPUTED_VALUE"""),"male")</f>
        <v>male</v>
      </c>
      <c r="I5435" s="6" t="str">
        <f>IFERROR(__xludf.DUMMYFUNCTION("""COMPUTED_VALUE"""),"Level 2")</f>
        <v>Level 2</v>
      </c>
      <c r="J5435" s="6" t="str">
        <f>IFERROR(__xludf.DUMMYFUNCTION("""COMPUTED_VALUE"""),"5")</f>
        <v>5</v>
      </c>
      <c r="K5435" s="6" t="str">
        <f>IFERROR(__xludf.DUMMYFUNCTION("""COMPUTED_VALUE"""),"javon.habersham@2hourlearning.com")</f>
        <v>javon.habersham@2hourlearning.com</v>
      </c>
      <c r="L5435" s="6" t="str">
        <f>IFERROR(__xludf.DUMMYFUNCTION("""COMPUTED_VALUE"""),"JRES - Ridgeland Elementary School")</f>
        <v>JRES - Ridgeland Elementary School</v>
      </c>
      <c r="M5435" s="6" t="str">
        <f>IFERROR(__xludf.DUMMYFUNCTION("""COMPUTED_VALUE"""),"")</f>
        <v/>
      </c>
      <c r="N5435" s="6" t="str">
        <f>IFERROR(__xludf.DUMMYFUNCTION("""COMPUTED_VALUE"""),"")</f>
        <v/>
      </c>
      <c r="O5435" s="87" t="str">
        <f>IFERROR(__xludf.DUMMYFUNCTION("""COMPUTED_VALUE"""),"https://drive.google.com/drive/folders/10T2cTQHqEJZqE-st6uFKPoI?usp=share_link")</f>
        <v>https://drive.google.com/drive/folders/10T2cTQHqEJZqE-st6uFKPoI?usp=share_link</v>
      </c>
      <c r="P5435" s="6" t="str">
        <f>IFERROR(__xludf.DUMMYFUNCTION("""COMPUTED_VALUE"""),"Javon Habersham")</f>
        <v>Javon Habersham</v>
      </c>
      <c r="Q5435" s="6" t="str">
        <f>IFERROR(__xludf.DUMMYFUNCTION("""COMPUTED_VALUE"""),"L2")</f>
        <v>L2</v>
      </c>
      <c r="R5435" s="6">
        <f>IFERROR(__xludf.DUMMYFUNCTION("""COMPUTED_VALUE"""),2.0)</f>
        <v>2</v>
      </c>
      <c r="S5435" s="6" t="str">
        <f>IFERROR(__xludf.DUMMYFUNCTION("""COMPUTED_VALUE"""),"Kimberly Ball")</f>
        <v>Kimberly Ball</v>
      </c>
      <c r="T5435" s="6" t="str">
        <f>IFERROR(__xludf.DUMMYFUNCTION("""COMPUTED_VALUE"""),"kimberly.ball@studient.com")</f>
        <v>kimberly.ball@studient.com</v>
      </c>
      <c r="U5435" s="6" t="str">
        <f>IFERROR(__xludf.DUMMYFUNCTION("""COMPUTED_VALUE"""),"5")</f>
        <v>5</v>
      </c>
      <c r="V5435" s="6" t="str">
        <f>IFERROR(__xludf.DUMMYFUNCTION("""COMPUTED_VALUE"""),"")</f>
        <v/>
      </c>
      <c r="W5435" s="6" t="str">
        <f>IFERROR(__xludf.DUMMYFUNCTION("""COMPUTED_VALUE"""),"[]")</f>
        <v>[]</v>
      </c>
      <c r="X5435" s="6" t="str">
        <f>IFERROR(__xludf.DUMMYFUNCTION("""COMPUTED_VALUE"""),"Enrolled")</f>
        <v>Enrolled</v>
      </c>
    </row>
    <row r="5436">
      <c r="A5436" s="6" t="str">
        <f>IFERROR(__xludf.DUMMYFUNCTION("""COMPUTED_VALUE"""),"086-12827")</f>
        <v>086-12827</v>
      </c>
      <c r="B5436" s="6" t="str">
        <f>IFERROR(__xludf.DUMMYFUNCTION("""COMPUTED_VALUE"""),"86")</f>
        <v>86</v>
      </c>
      <c r="C5436" s="6" t="str">
        <f>IFERROR(__xludf.DUMMYFUNCTION("""COMPUTED_VALUE"""),"12827")</f>
        <v>12827</v>
      </c>
      <c r="D5436" s="6" t="str">
        <f>IFERROR(__xludf.DUMMYFUNCTION("""COMPUTED_VALUE"""),"Samiyah")</f>
        <v>Samiyah</v>
      </c>
      <c r="E5436" s="6" t="str">
        <f>IFERROR(__xludf.DUMMYFUNCTION("""COMPUTED_VALUE"""),"")</f>
        <v/>
      </c>
      <c r="F5436" s="6" t="str">
        <f>IFERROR(__xludf.DUMMYFUNCTION("""COMPUTED_VALUE"""),"Hamilton")</f>
        <v>Hamilton</v>
      </c>
      <c r="G5436" s="6" t="str">
        <f>IFERROR(__xludf.DUMMYFUNCTION("""COMPUTED_VALUE"""),"04/04/2015")</f>
        <v>04/04/2015</v>
      </c>
      <c r="H5436" s="6" t="str">
        <f>IFERROR(__xludf.DUMMYFUNCTION("""COMPUTED_VALUE"""),"male")</f>
        <v>male</v>
      </c>
      <c r="I5436" s="6" t="str">
        <f>IFERROR(__xludf.DUMMYFUNCTION("""COMPUTED_VALUE"""),"Level 2")</f>
        <v>Level 2</v>
      </c>
      <c r="J5436" s="6" t="str">
        <f>IFERROR(__xludf.DUMMYFUNCTION("""COMPUTED_VALUE"""),"5")</f>
        <v>5</v>
      </c>
      <c r="K5436" s="6" t="str">
        <f>IFERROR(__xludf.DUMMYFUNCTION("""COMPUTED_VALUE"""),"samiyah.hamilton@2hourlearning.com")</f>
        <v>samiyah.hamilton@2hourlearning.com</v>
      </c>
      <c r="L5436" s="6" t="str">
        <f>IFERROR(__xludf.DUMMYFUNCTION("""COMPUTED_VALUE"""),"JRES - Ridgeland Elementary School")</f>
        <v>JRES - Ridgeland Elementary School</v>
      </c>
      <c r="M5436" s="6" t="str">
        <f>IFERROR(__xludf.DUMMYFUNCTION("""COMPUTED_VALUE"""),"")</f>
        <v/>
      </c>
      <c r="N5436" s="6" t="str">
        <f>IFERROR(__xludf.DUMMYFUNCTION("""COMPUTED_VALUE"""),"")</f>
        <v/>
      </c>
      <c r="O5436" s="87" t="str">
        <f>IFERROR(__xludf.DUMMYFUNCTION("""COMPUTED_VALUE"""),"https://drive.google.com/drive/folders/10T2cTQHqEJZqE-st6uFKPoI?usp=share_link")</f>
        <v>https://drive.google.com/drive/folders/10T2cTQHqEJZqE-st6uFKPoI?usp=share_link</v>
      </c>
      <c r="P5436" s="6" t="str">
        <f>IFERROR(__xludf.DUMMYFUNCTION("""COMPUTED_VALUE"""),"Samiyah Hamilton")</f>
        <v>Samiyah Hamilton</v>
      </c>
      <c r="Q5436" s="6" t="str">
        <f>IFERROR(__xludf.DUMMYFUNCTION("""COMPUTED_VALUE"""),"L2")</f>
        <v>L2</v>
      </c>
      <c r="R5436" s="6">
        <f>IFERROR(__xludf.DUMMYFUNCTION("""COMPUTED_VALUE"""),2.0)</f>
        <v>2</v>
      </c>
      <c r="S5436" s="6" t="str">
        <f>IFERROR(__xludf.DUMMYFUNCTION("""COMPUTED_VALUE"""),"Kimberly Ball")</f>
        <v>Kimberly Ball</v>
      </c>
      <c r="T5436" s="6" t="str">
        <f>IFERROR(__xludf.DUMMYFUNCTION("""COMPUTED_VALUE"""),"kimberly.ball@studient.com")</f>
        <v>kimberly.ball@studient.com</v>
      </c>
      <c r="U5436" s="6" t="str">
        <f>IFERROR(__xludf.DUMMYFUNCTION("""COMPUTED_VALUE"""),"5")</f>
        <v>5</v>
      </c>
      <c r="V5436" s="6" t="str">
        <f>IFERROR(__xludf.DUMMYFUNCTION("""COMPUTED_VALUE"""),"")</f>
        <v/>
      </c>
      <c r="W5436" s="6" t="str">
        <f>IFERROR(__xludf.DUMMYFUNCTION("""COMPUTED_VALUE"""),"[]")</f>
        <v>[]</v>
      </c>
      <c r="X5436" s="6" t="str">
        <f>IFERROR(__xludf.DUMMYFUNCTION("""COMPUTED_VALUE"""),"Enrolled")</f>
        <v>Enrolled</v>
      </c>
    </row>
    <row r="5437">
      <c r="A5437" s="6" t="str">
        <f>IFERROR(__xludf.DUMMYFUNCTION("""COMPUTED_VALUE"""),"086-12828")</f>
        <v>086-12828</v>
      </c>
      <c r="B5437" s="6" t="str">
        <f>IFERROR(__xludf.DUMMYFUNCTION("""COMPUTED_VALUE"""),"86")</f>
        <v>86</v>
      </c>
      <c r="C5437" s="6" t="str">
        <f>IFERROR(__xludf.DUMMYFUNCTION("""COMPUTED_VALUE"""),"12828")</f>
        <v>12828</v>
      </c>
      <c r="D5437" s="6" t="str">
        <f>IFERROR(__xludf.DUMMYFUNCTION("""COMPUTED_VALUE"""),"Kamryn")</f>
        <v>Kamryn</v>
      </c>
      <c r="E5437" s="6" t="str">
        <f>IFERROR(__xludf.DUMMYFUNCTION("""COMPUTED_VALUE"""),"")</f>
        <v/>
      </c>
      <c r="F5437" s="6" t="str">
        <f>IFERROR(__xludf.DUMMYFUNCTION("""COMPUTED_VALUE"""),"Hargrove")</f>
        <v>Hargrove</v>
      </c>
      <c r="G5437" s="6" t="str">
        <f>IFERROR(__xludf.DUMMYFUNCTION("""COMPUTED_VALUE"""),"04/20/2017")</f>
        <v>04/20/2017</v>
      </c>
      <c r="H5437" s="6" t="str">
        <f>IFERROR(__xludf.DUMMYFUNCTION("""COMPUTED_VALUE"""),"male")</f>
        <v>male</v>
      </c>
      <c r="I5437" s="6" t="str">
        <f>IFERROR(__xludf.DUMMYFUNCTION("""COMPUTED_VALUE"""),"Level 2")</f>
        <v>Level 2</v>
      </c>
      <c r="J5437" s="6" t="str">
        <f>IFERROR(__xludf.DUMMYFUNCTION("""COMPUTED_VALUE"""),"5")</f>
        <v>5</v>
      </c>
      <c r="K5437" s="6" t="str">
        <f>IFERROR(__xludf.DUMMYFUNCTION("""COMPUTED_VALUE"""),"kamryn.hargrove@2hourlearning.com")</f>
        <v>kamryn.hargrove@2hourlearning.com</v>
      </c>
      <c r="L5437" s="6" t="str">
        <f>IFERROR(__xludf.DUMMYFUNCTION("""COMPUTED_VALUE"""),"JRES - Ridgeland Elementary School")</f>
        <v>JRES - Ridgeland Elementary School</v>
      </c>
      <c r="M5437" s="6" t="str">
        <f>IFERROR(__xludf.DUMMYFUNCTION("""COMPUTED_VALUE"""),"")</f>
        <v/>
      </c>
      <c r="N5437" s="6" t="str">
        <f>IFERROR(__xludf.DUMMYFUNCTION("""COMPUTED_VALUE"""),"")</f>
        <v/>
      </c>
      <c r="O5437" s="87" t="str">
        <f>IFERROR(__xludf.DUMMYFUNCTION("""COMPUTED_VALUE"""),"https://drive.google.com/drive/folders/10T2cTQHqEJZqE-st6uFKPoI?usp=share_link")</f>
        <v>https://drive.google.com/drive/folders/10T2cTQHqEJZqE-st6uFKPoI?usp=share_link</v>
      </c>
      <c r="P5437" s="6" t="str">
        <f>IFERROR(__xludf.DUMMYFUNCTION("""COMPUTED_VALUE"""),"Kamryn Hargrove")</f>
        <v>Kamryn Hargrove</v>
      </c>
      <c r="Q5437" s="6" t="str">
        <f>IFERROR(__xludf.DUMMYFUNCTION("""COMPUTED_VALUE"""),"L2")</f>
        <v>L2</v>
      </c>
      <c r="R5437" s="6">
        <f>IFERROR(__xludf.DUMMYFUNCTION("""COMPUTED_VALUE"""),2.0)</f>
        <v>2</v>
      </c>
      <c r="S5437" s="6" t="str">
        <f>IFERROR(__xludf.DUMMYFUNCTION("""COMPUTED_VALUE"""),"Kimberly Ball")</f>
        <v>Kimberly Ball</v>
      </c>
      <c r="T5437" s="6" t="str">
        <f>IFERROR(__xludf.DUMMYFUNCTION("""COMPUTED_VALUE"""),"kimberly.ball@studient.com")</f>
        <v>kimberly.ball@studient.com</v>
      </c>
      <c r="U5437" s="6" t="str">
        <f>IFERROR(__xludf.DUMMYFUNCTION("""COMPUTED_VALUE"""),"5")</f>
        <v>5</v>
      </c>
      <c r="V5437" s="6" t="str">
        <f>IFERROR(__xludf.DUMMYFUNCTION("""COMPUTED_VALUE"""),"")</f>
        <v/>
      </c>
      <c r="W5437" s="6" t="str">
        <f>IFERROR(__xludf.DUMMYFUNCTION("""COMPUTED_VALUE"""),"[]")</f>
        <v>[]</v>
      </c>
      <c r="X5437" s="6" t="str">
        <f>IFERROR(__xludf.DUMMYFUNCTION("""COMPUTED_VALUE"""),"Enrolled")</f>
        <v>Enrolled</v>
      </c>
    </row>
    <row r="5438">
      <c r="A5438" s="6" t="str">
        <f>IFERROR(__xludf.DUMMYFUNCTION("""COMPUTED_VALUE"""),"086-12829")</f>
        <v>086-12829</v>
      </c>
      <c r="B5438" s="6" t="str">
        <f>IFERROR(__xludf.DUMMYFUNCTION("""COMPUTED_VALUE"""),"86")</f>
        <v>86</v>
      </c>
      <c r="C5438" s="6" t="str">
        <f>IFERROR(__xludf.DUMMYFUNCTION("""COMPUTED_VALUE"""),"12829")</f>
        <v>12829</v>
      </c>
      <c r="D5438" s="6" t="str">
        <f>IFERROR(__xludf.DUMMYFUNCTION("""COMPUTED_VALUE"""),"Adrian")</f>
        <v>Adrian</v>
      </c>
      <c r="E5438" s="6" t="str">
        <f>IFERROR(__xludf.DUMMYFUNCTION("""COMPUTED_VALUE"""),"")</f>
        <v/>
      </c>
      <c r="F5438" s="6" t="str">
        <f>IFERROR(__xludf.DUMMYFUNCTION("""COMPUTED_VALUE"""),"Hendrix")</f>
        <v>Hendrix</v>
      </c>
      <c r="G5438" s="6" t="str">
        <f>IFERROR(__xludf.DUMMYFUNCTION("""COMPUTED_VALUE"""),"01/23/2017")</f>
        <v>01/23/2017</v>
      </c>
      <c r="H5438" s="6" t="str">
        <f>IFERROR(__xludf.DUMMYFUNCTION("""COMPUTED_VALUE"""),"male")</f>
        <v>male</v>
      </c>
      <c r="I5438" s="6" t="str">
        <f>IFERROR(__xludf.DUMMYFUNCTION("""COMPUTED_VALUE"""),"Level 2")</f>
        <v>Level 2</v>
      </c>
      <c r="J5438" s="6" t="str">
        <f>IFERROR(__xludf.DUMMYFUNCTION("""COMPUTED_VALUE"""),"5")</f>
        <v>5</v>
      </c>
      <c r="K5438" s="6" t="str">
        <f>IFERROR(__xludf.DUMMYFUNCTION("""COMPUTED_VALUE"""),"adrian.hendrix@2hourlearning.com")</f>
        <v>adrian.hendrix@2hourlearning.com</v>
      </c>
      <c r="L5438" s="6" t="str">
        <f>IFERROR(__xludf.DUMMYFUNCTION("""COMPUTED_VALUE"""),"JRES - Ridgeland Elementary School")</f>
        <v>JRES - Ridgeland Elementary School</v>
      </c>
      <c r="M5438" s="6" t="str">
        <f>IFERROR(__xludf.DUMMYFUNCTION("""COMPUTED_VALUE"""),"")</f>
        <v/>
      </c>
      <c r="N5438" s="6" t="str">
        <f>IFERROR(__xludf.DUMMYFUNCTION("""COMPUTED_VALUE"""),"")</f>
        <v/>
      </c>
      <c r="O5438" s="87" t="str">
        <f>IFERROR(__xludf.DUMMYFUNCTION("""COMPUTED_VALUE"""),"https://drive.google.com/drive/folders/10T2cTQHqEJZqE-st6uFKPoI?usp=share_link")</f>
        <v>https://drive.google.com/drive/folders/10T2cTQHqEJZqE-st6uFKPoI?usp=share_link</v>
      </c>
      <c r="P5438" s="6" t="str">
        <f>IFERROR(__xludf.DUMMYFUNCTION("""COMPUTED_VALUE"""),"Adrian Hendrix")</f>
        <v>Adrian Hendrix</v>
      </c>
      <c r="Q5438" s="6" t="str">
        <f>IFERROR(__xludf.DUMMYFUNCTION("""COMPUTED_VALUE"""),"L2")</f>
        <v>L2</v>
      </c>
      <c r="R5438" s="6">
        <f>IFERROR(__xludf.DUMMYFUNCTION("""COMPUTED_VALUE"""),2.0)</f>
        <v>2</v>
      </c>
      <c r="S5438" s="6" t="str">
        <f>IFERROR(__xludf.DUMMYFUNCTION("""COMPUTED_VALUE"""),"Kimberly Ball")</f>
        <v>Kimberly Ball</v>
      </c>
      <c r="T5438" s="6" t="str">
        <f>IFERROR(__xludf.DUMMYFUNCTION("""COMPUTED_VALUE"""),"kimberly.ball@studient.com")</f>
        <v>kimberly.ball@studient.com</v>
      </c>
      <c r="U5438" s="6" t="str">
        <f>IFERROR(__xludf.DUMMYFUNCTION("""COMPUTED_VALUE"""),"5")</f>
        <v>5</v>
      </c>
      <c r="V5438" s="6" t="str">
        <f>IFERROR(__xludf.DUMMYFUNCTION("""COMPUTED_VALUE"""),"")</f>
        <v/>
      </c>
      <c r="W5438" s="6" t="str">
        <f>IFERROR(__xludf.DUMMYFUNCTION("""COMPUTED_VALUE"""),"[]")</f>
        <v>[]</v>
      </c>
      <c r="X5438" s="6" t="str">
        <f>IFERROR(__xludf.DUMMYFUNCTION("""COMPUTED_VALUE"""),"Enrolled")</f>
        <v>Enrolled</v>
      </c>
    </row>
    <row r="5439">
      <c r="A5439" s="6" t="str">
        <f>IFERROR(__xludf.DUMMYFUNCTION("""COMPUTED_VALUE"""),"086-12830")</f>
        <v>086-12830</v>
      </c>
      <c r="B5439" s="6" t="str">
        <f>IFERROR(__xludf.DUMMYFUNCTION("""COMPUTED_VALUE"""),"86")</f>
        <v>86</v>
      </c>
      <c r="C5439" s="6" t="str">
        <f>IFERROR(__xludf.DUMMYFUNCTION("""COMPUTED_VALUE"""),"12830")</f>
        <v>12830</v>
      </c>
      <c r="D5439" s="6" t="str">
        <f>IFERROR(__xludf.DUMMYFUNCTION("""COMPUTED_VALUE"""),"Kimberly")</f>
        <v>Kimberly</v>
      </c>
      <c r="E5439" s="6" t="str">
        <f>IFERROR(__xludf.DUMMYFUNCTION("""COMPUTED_VALUE"""),"")</f>
        <v/>
      </c>
      <c r="F5439" s="6" t="str">
        <f>IFERROR(__xludf.DUMMYFUNCTION("""COMPUTED_VALUE"""),"Hermosillo Hernandez")</f>
        <v>Hermosillo Hernandez</v>
      </c>
      <c r="G5439" s="6" t="str">
        <f>IFERROR(__xludf.DUMMYFUNCTION("""COMPUTED_VALUE"""),"01/09/2018")</f>
        <v>01/09/2018</v>
      </c>
      <c r="H5439" s="6" t="str">
        <f>IFERROR(__xludf.DUMMYFUNCTION("""COMPUTED_VALUE"""),"male")</f>
        <v>male</v>
      </c>
      <c r="I5439" s="6" t="str">
        <f>IFERROR(__xludf.DUMMYFUNCTION("""COMPUTED_VALUE"""),"Level 2")</f>
        <v>Level 2</v>
      </c>
      <c r="J5439" s="6" t="str">
        <f>IFERROR(__xludf.DUMMYFUNCTION("""COMPUTED_VALUE"""),"5")</f>
        <v>5</v>
      </c>
      <c r="K5439" s="6" t="str">
        <f>IFERROR(__xludf.DUMMYFUNCTION("""COMPUTED_VALUE"""),"kimberly.hermosillohernandez@2hourlearning.com")</f>
        <v>kimberly.hermosillohernandez@2hourlearning.com</v>
      </c>
      <c r="L5439" s="6" t="str">
        <f>IFERROR(__xludf.DUMMYFUNCTION("""COMPUTED_VALUE"""),"JRES - Ridgeland Elementary School")</f>
        <v>JRES - Ridgeland Elementary School</v>
      </c>
      <c r="M5439" s="6" t="str">
        <f>IFERROR(__xludf.DUMMYFUNCTION("""COMPUTED_VALUE"""),"")</f>
        <v/>
      </c>
      <c r="N5439" s="6" t="str">
        <f>IFERROR(__xludf.DUMMYFUNCTION("""COMPUTED_VALUE"""),"")</f>
        <v/>
      </c>
      <c r="O5439" s="87" t="str">
        <f>IFERROR(__xludf.DUMMYFUNCTION("""COMPUTED_VALUE"""),"https://drive.google.com/drive/folders/10T2cTQHqEJZqE-st6uFKPoI?usp=share_link")</f>
        <v>https://drive.google.com/drive/folders/10T2cTQHqEJZqE-st6uFKPoI?usp=share_link</v>
      </c>
      <c r="P5439" s="6" t="str">
        <f>IFERROR(__xludf.DUMMYFUNCTION("""COMPUTED_VALUE"""),"Kimberly Hermosillo Hernandez")</f>
        <v>Kimberly Hermosillo Hernandez</v>
      </c>
      <c r="Q5439" s="6" t="str">
        <f>IFERROR(__xludf.DUMMYFUNCTION("""COMPUTED_VALUE"""),"L2")</f>
        <v>L2</v>
      </c>
      <c r="R5439" s="6">
        <f>IFERROR(__xludf.DUMMYFUNCTION("""COMPUTED_VALUE"""),2.0)</f>
        <v>2</v>
      </c>
      <c r="S5439" s="6" t="str">
        <f>IFERROR(__xludf.DUMMYFUNCTION("""COMPUTED_VALUE"""),"Kimberly Ball")</f>
        <v>Kimberly Ball</v>
      </c>
      <c r="T5439" s="6" t="str">
        <f>IFERROR(__xludf.DUMMYFUNCTION("""COMPUTED_VALUE"""),"kimberly.ball@studient.com")</f>
        <v>kimberly.ball@studient.com</v>
      </c>
      <c r="U5439" s="6" t="str">
        <f>IFERROR(__xludf.DUMMYFUNCTION("""COMPUTED_VALUE"""),"5")</f>
        <v>5</v>
      </c>
      <c r="V5439" s="6" t="str">
        <f>IFERROR(__xludf.DUMMYFUNCTION("""COMPUTED_VALUE"""),"")</f>
        <v/>
      </c>
      <c r="W5439" s="6" t="str">
        <f>IFERROR(__xludf.DUMMYFUNCTION("""COMPUTED_VALUE"""),"[]")</f>
        <v>[]</v>
      </c>
      <c r="X5439" s="6" t="str">
        <f>IFERROR(__xludf.DUMMYFUNCTION("""COMPUTED_VALUE"""),"Enrolled")</f>
        <v>Enrolled</v>
      </c>
    </row>
    <row r="5440">
      <c r="A5440" s="6" t="str">
        <f>IFERROR(__xludf.DUMMYFUNCTION("""COMPUTED_VALUE"""),"086-12831")</f>
        <v>086-12831</v>
      </c>
      <c r="B5440" s="6" t="str">
        <f>IFERROR(__xludf.DUMMYFUNCTION("""COMPUTED_VALUE"""),"86")</f>
        <v>86</v>
      </c>
      <c r="C5440" s="6" t="str">
        <f>IFERROR(__xludf.DUMMYFUNCTION("""COMPUTED_VALUE"""),"12831")</f>
        <v>12831</v>
      </c>
      <c r="D5440" s="6" t="str">
        <f>IFERROR(__xludf.DUMMYFUNCTION("""COMPUTED_VALUE"""),"Gerson")</f>
        <v>Gerson</v>
      </c>
      <c r="E5440" s="6" t="str">
        <f>IFERROR(__xludf.DUMMYFUNCTION("""COMPUTED_VALUE"""),"")</f>
        <v/>
      </c>
      <c r="F5440" s="6" t="str">
        <f>IFERROR(__xludf.DUMMYFUNCTION("""COMPUTED_VALUE"""),"Hernandez Diaz")</f>
        <v>Hernandez Diaz</v>
      </c>
      <c r="G5440" s="6" t="str">
        <f>IFERROR(__xludf.DUMMYFUNCTION("""COMPUTED_VALUE"""),"01/23/2015")</f>
        <v>01/23/2015</v>
      </c>
      <c r="H5440" s="6" t="str">
        <f>IFERROR(__xludf.DUMMYFUNCTION("""COMPUTED_VALUE"""),"male")</f>
        <v>male</v>
      </c>
      <c r="I5440" s="6" t="str">
        <f>IFERROR(__xludf.DUMMYFUNCTION("""COMPUTED_VALUE"""),"Level 2")</f>
        <v>Level 2</v>
      </c>
      <c r="J5440" s="6" t="str">
        <f>IFERROR(__xludf.DUMMYFUNCTION("""COMPUTED_VALUE"""),"5")</f>
        <v>5</v>
      </c>
      <c r="K5440" s="6" t="str">
        <f>IFERROR(__xludf.DUMMYFUNCTION("""COMPUTED_VALUE"""),"gerson.hernandezdiaz@2hourlearning.com")</f>
        <v>gerson.hernandezdiaz@2hourlearning.com</v>
      </c>
      <c r="L5440" s="6" t="str">
        <f>IFERROR(__xludf.DUMMYFUNCTION("""COMPUTED_VALUE"""),"JRES - Ridgeland Elementary School")</f>
        <v>JRES - Ridgeland Elementary School</v>
      </c>
      <c r="M5440" s="6" t="str">
        <f>IFERROR(__xludf.DUMMYFUNCTION("""COMPUTED_VALUE"""),"")</f>
        <v/>
      </c>
      <c r="N5440" s="6" t="str">
        <f>IFERROR(__xludf.DUMMYFUNCTION("""COMPUTED_VALUE"""),"")</f>
        <v/>
      </c>
      <c r="O5440" s="87" t="str">
        <f>IFERROR(__xludf.DUMMYFUNCTION("""COMPUTED_VALUE"""),"https://drive.google.com/drive/folders/10T2cTQHqEJZqE-st6uFKPoI?usp=share_link")</f>
        <v>https://drive.google.com/drive/folders/10T2cTQHqEJZqE-st6uFKPoI?usp=share_link</v>
      </c>
      <c r="P5440" s="6" t="str">
        <f>IFERROR(__xludf.DUMMYFUNCTION("""COMPUTED_VALUE"""),"Gerson Hernandez Diaz")</f>
        <v>Gerson Hernandez Diaz</v>
      </c>
      <c r="Q5440" s="6" t="str">
        <f>IFERROR(__xludf.DUMMYFUNCTION("""COMPUTED_VALUE"""),"L2")</f>
        <v>L2</v>
      </c>
      <c r="R5440" s="6">
        <f>IFERROR(__xludf.DUMMYFUNCTION("""COMPUTED_VALUE"""),2.0)</f>
        <v>2</v>
      </c>
      <c r="S5440" s="6" t="str">
        <f>IFERROR(__xludf.DUMMYFUNCTION("""COMPUTED_VALUE"""),"Kimberly Ball")</f>
        <v>Kimberly Ball</v>
      </c>
      <c r="T5440" s="6" t="str">
        <f>IFERROR(__xludf.DUMMYFUNCTION("""COMPUTED_VALUE"""),"kimberly.ball@studient.com")</f>
        <v>kimberly.ball@studient.com</v>
      </c>
      <c r="U5440" s="6" t="str">
        <f>IFERROR(__xludf.DUMMYFUNCTION("""COMPUTED_VALUE"""),"5")</f>
        <v>5</v>
      </c>
      <c r="V5440" s="6" t="str">
        <f>IFERROR(__xludf.DUMMYFUNCTION("""COMPUTED_VALUE"""),"")</f>
        <v/>
      </c>
      <c r="W5440" s="6" t="str">
        <f>IFERROR(__xludf.DUMMYFUNCTION("""COMPUTED_VALUE"""),"[]")</f>
        <v>[]</v>
      </c>
      <c r="X5440" s="6" t="str">
        <f>IFERROR(__xludf.DUMMYFUNCTION("""COMPUTED_VALUE"""),"Enrolled")</f>
        <v>Enrolled</v>
      </c>
    </row>
    <row r="5441">
      <c r="A5441" s="6" t="str">
        <f>IFERROR(__xludf.DUMMYFUNCTION("""COMPUTED_VALUE"""),"086-12832")</f>
        <v>086-12832</v>
      </c>
      <c r="B5441" s="6" t="str">
        <f>IFERROR(__xludf.DUMMYFUNCTION("""COMPUTED_VALUE"""),"86")</f>
        <v>86</v>
      </c>
      <c r="C5441" s="6" t="str">
        <f>IFERROR(__xludf.DUMMYFUNCTION("""COMPUTED_VALUE"""),"12832")</f>
        <v>12832</v>
      </c>
      <c r="D5441" s="6" t="str">
        <f>IFERROR(__xludf.DUMMYFUNCTION("""COMPUTED_VALUE"""),"Mayte")</f>
        <v>Mayte</v>
      </c>
      <c r="E5441" s="6" t="str">
        <f>IFERROR(__xludf.DUMMYFUNCTION("""COMPUTED_VALUE"""),"")</f>
        <v/>
      </c>
      <c r="F5441" s="6" t="str">
        <f>IFERROR(__xludf.DUMMYFUNCTION("""COMPUTED_VALUE"""),"Hernandez Hernandez")</f>
        <v>Hernandez Hernandez</v>
      </c>
      <c r="G5441" s="6" t="str">
        <f>IFERROR(__xludf.DUMMYFUNCTION("""COMPUTED_VALUE"""),"10/09/2017")</f>
        <v>10/09/2017</v>
      </c>
      <c r="H5441" s="6" t="str">
        <f>IFERROR(__xludf.DUMMYFUNCTION("""COMPUTED_VALUE"""),"female")</f>
        <v>female</v>
      </c>
      <c r="I5441" s="6" t="str">
        <f>IFERROR(__xludf.DUMMYFUNCTION("""COMPUTED_VALUE"""),"Level 2")</f>
        <v>Level 2</v>
      </c>
      <c r="J5441" s="6" t="str">
        <f>IFERROR(__xludf.DUMMYFUNCTION("""COMPUTED_VALUE"""),"5")</f>
        <v>5</v>
      </c>
      <c r="K5441" s="6" t="str">
        <f>IFERROR(__xludf.DUMMYFUNCTION("""COMPUTED_VALUE"""),"mayte.hernandezhernandez@2hourlearning.com")</f>
        <v>mayte.hernandezhernandez@2hourlearning.com</v>
      </c>
      <c r="L5441" s="6" t="str">
        <f>IFERROR(__xludf.DUMMYFUNCTION("""COMPUTED_VALUE"""),"JRES - Ridgeland Elementary School")</f>
        <v>JRES - Ridgeland Elementary School</v>
      </c>
      <c r="M5441" s="6" t="str">
        <f>IFERROR(__xludf.DUMMYFUNCTION("""COMPUTED_VALUE"""),"")</f>
        <v/>
      </c>
      <c r="N5441" s="6" t="str">
        <f>IFERROR(__xludf.DUMMYFUNCTION("""COMPUTED_VALUE"""),"")</f>
        <v/>
      </c>
      <c r="O5441" s="87" t="str">
        <f>IFERROR(__xludf.DUMMYFUNCTION("""COMPUTED_VALUE"""),"https://drive.google.com/drive/folders/10T2cTQHqEJZqE-st6uFKPoI?usp=share_link")</f>
        <v>https://drive.google.com/drive/folders/10T2cTQHqEJZqE-st6uFKPoI?usp=share_link</v>
      </c>
      <c r="P5441" s="6" t="str">
        <f>IFERROR(__xludf.DUMMYFUNCTION("""COMPUTED_VALUE"""),"Mayte Hernandez Hernandez")</f>
        <v>Mayte Hernandez Hernandez</v>
      </c>
      <c r="Q5441" s="6" t="str">
        <f>IFERROR(__xludf.DUMMYFUNCTION("""COMPUTED_VALUE"""),"L2")</f>
        <v>L2</v>
      </c>
      <c r="R5441" s="6">
        <f>IFERROR(__xludf.DUMMYFUNCTION("""COMPUTED_VALUE"""),2.0)</f>
        <v>2</v>
      </c>
      <c r="S5441" s="6" t="str">
        <f>IFERROR(__xludf.DUMMYFUNCTION("""COMPUTED_VALUE"""),"Kimberly Ball")</f>
        <v>Kimberly Ball</v>
      </c>
      <c r="T5441" s="6" t="str">
        <f>IFERROR(__xludf.DUMMYFUNCTION("""COMPUTED_VALUE"""),"kimberly.ball@studient.com")</f>
        <v>kimberly.ball@studient.com</v>
      </c>
      <c r="U5441" s="6" t="str">
        <f>IFERROR(__xludf.DUMMYFUNCTION("""COMPUTED_VALUE"""),"5")</f>
        <v>5</v>
      </c>
      <c r="V5441" s="6" t="str">
        <f>IFERROR(__xludf.DUMMYFUNCTION("""COMPUTED_VALUE"""),"")</f>
        <v/>
      </c>
      <c r="W5441" s="6" t="str">
        <f>IFERROR(__xludf.DUMMYFUNCTION("""COMPUTED_VALUE"""),"[]")</f>
        <v>[]</v>
      </c>
      <c r="X5441" s="6" t="str">
        <f>IFERROR(__xludf.DUMMYFUNCTION("""COMPUTED_VALUE"""),"Enrolled")</f>
        <v>Enrolled</v>
      </c>
    </row>
    <row r="5442">
      <c r="A5442" s="6" t="str">
        <f>IFERROR(__xludf.DUMMYFUNCTION("""COMPUTED_VALUE"""),"086-12833")</f>
        <v>086-12833</v>
      </c>
      <c r="B5442" s="6" t="str">
        <f>IFERROR(__xludf.DUMMYFUNCTION("""COMPUTED_VALUE"""),"86")</f>
        <v>86</v>
      </c>
      <c r="C5442" s="6" t="str">
        <f>IFERROR(__xludf.DUMMYFUNCTION("""COMPUTED_VALUE"""),"12833")</f>
        <v>12833</v>
      </c>
      <c r="D5442" s="6" t="str">
        <f>IFERROR(__xludf.DUMMYFUNCTION("""COMPUTED_VALUE"""),"Daniel")</f>
        <v>Daniel</v>
      </c>
      <c r="E5442" s="6" t="str">
        <f>IFERROR(__xludf.DUMMYFUNCTION("""COMPUTED_VALUE"""),"")</f>
        <v/>
      </c>
      <c r="F5442" s="6" t="str">
        <f>IFERROR(__xludf.DUMMYFUNCTION("""COMPUTED_VALUE"""),"Higuera Gutierrez")</f>
        <v>Higuera Gutierrez</v>
      </c>
      <c r="G5442" s="6" t="str">
        <f>IFERROR(__xludf.DUMMYFUNCTION("""COMPUTED_VALUE"""),"01/17/2017")</f>
        <v>01/17/2017</v>
      </c>
      <c r="H5442" s="6" t="str">
        <f>IFERROR(__xludf.DUMMYFUNCTION("""COMPUTED_VALUE"""),"female")</f>
        <v>female</v>
      </c>
      <c r="I5442" s="6" t="str">
        <f>IFERROR(__xludf.DUMMYFUNCTION("""COMPUTED_VALUE"""),"Level 2")</f>
        <v>Level 2</v>
      </c>
      <c r="J5442" s="6" t="str">
        <f>IFERROR(__xludf.DUMMYFUNCTION("""COMPUTED_VALUE"""),"5")</f>
        <v>5</v>
      </c>
      <c r="K5442" s="6" t="str">
        <f>IFERROR(__xludf.DUMMYFUNCTION("""COMPUTED_VALUE"""),"daniel.higueragutierrez@2hourlearning.com")</f>
        <v>daniel.higueragutierrez@2hourlearning.com</v>
      </c>
      <c r="L5442" s="6" t="str">
        <f>IFERROR(__xludf.DUMMYFUNCTION("""COMPUTED_VALUE"""),"JRES - Ridgeland Elementary School")</f>
        <v>JRES - Ridgeland Elementary School</v>
      </c>
      <c r="M5442" s="6" t="str">
        <f>IFERROR(__xludf.DUMMYFUNCTION("""COMPUTED_VALUE"""),"")</f>
        <v/>
      </c>
      <c r="N5442" s="6" t="str">
        <f>IFERROR(__xludf.DUMMYFUNCTION("""COMPUTED_VALUE"""),"")</f>
        <v/>
      </c>
      <c r="O5442" s="87" t="str">
        <f>IFERROR(__xludf.DUMMYFUNCTION("""COMPUTED_VALUE"""),"https://drive.google.com/drive/folders/10T2cTQHqEJZqE-st6uFKPoI?usp=share_link")</f>
        <v>https://drive.google.com/drive/folders/10T2cTQHqEJZqE-st6uFKPoI?usp=share_link</v>
      </c>
      <c r="P5442" s="6" t="str">
        <f>IFERROR(__xludf.DUMMYFUNCTION("""COMPUTED_VALUE"""),"Daniel Higuera Gutierrez")</f>
        <v>Daniel Higuera Gutierrez</v>
      </c>
      <c r="Q5442" s="6" t="str">
        <f>IFERROR(__xludf.DUMMYFUNCTION("""COMPUTED_VALUE"""),"L2")</f>
        <v>L2</v>
      </c>
      <c r="R5442" s="6">
        <f>IFERROR(__xludf.DUMMYFUNCTION("""COMPUTED_VALUE"""),2.0)</f>
        <v>2</v>
      </c>
      <c r="S5442" s="6" t="str">
        <f>IFERROR(__xludf.DUMMYFUNCTION("""COMPUTED_VALUE"""),"Kimberly Ball")</f>
        <v>Kimberly Ball</v>
      </c>
      <c r="T5442" s="6" t="str">
        <f>IFERROR(__xludf.DUMMYFUNCTION("""COMPUTED_VALUE"""),"kimberly.ball@studient.com")</f>
        <v>kimberly.ball@studient.com</v>
      </c>
      <c r="U5442" s="6" t="str">
        <f>IFERROR(__xludf.DUMMYFUNCTION("""COMPUTED_VALUE"""),"5")</f>
        <v>5</v>
      </c>
      <c r="V5442" s="6" t="str">
        <f>IFERROR(__xludf.DUMMYFUNCTION("""COMPUTED_VALUE"""),"")</f>
        <v/>
      </c>
      <c r="W5442" s="6" t="str">
        <f>IFERROR(__xludf.DUMMYFUNCTION("""COMPUTED_VALUE"""),"[]")</f>
        <v>[]</v>
      </c>
      <c r="X5442" s="6" t="str">
        <f>IFERROR(__xludf.DUMMYFUNCTION("""COMPUTED_VALUE"""),"Enrolled")</f>
        <v>Enrolled</v>
      </c>
    </row>
    <row r="5443">
      <c r="A5443" s="6" t="str">
        <f>IFERROR(__xludf.DUMMYFUNCTION("""COMPUTED_VALUE"""),"086-12834")</f>
        <v>086-12834</v>
      </c>
      <c r="B5443" s="6" t="str">
        <f>IFERROR(__xludf.DUMMYFUNCTION("""COMPUTED_VALUE"""),"86")</f>
        <v>86</v>
      </c>
      <c r="C5443" s="6" t="str">
        <f>IFERROR(__xludf.DUMMYFUNCTION("""COMPUTED_VALUE"""),"12834")</f>
        <v>12834</v>
      </c>
      <c r="D5443" s="6" t="str">
        <f>IFERROR(__xludf.DUMMYFUNCTION("""COMPUTED_VALUE"""),"Messiah")</f>
        <v>Messiah</v>
      </c>
      <c r="E5443" s="6" t="str">
        <f>IFERROR(__xludf.DUMMYFUNCTION("""COMPUTED_VALUE"""),"")</f>
        <v/>
      </c>
      <c r="F5443" s="6" t="str">
        <f>IFERROR(__xludf.DUMMYFUNCTION("""COMPUTED_VALUE"""),"Holmes")</f>
        <v>Holmes</v>
      </c>
      <c r="G5443" s="6" t="str">
        <f>IFERROR(__xludf.DUMMYFUNCTION("""COMPUTED_VALUE"""),"06/05/2015")</f>
        <v>06/05/2015</v>
      </c>
      <c r="H5443" s="6" t="str">
        <f>IFERROR(__xludf.DUMMYFUNCTION("""COMPUTED_VALUE"""),"male")</f>
        <v>male</v>
      </c>
      <c r="I5443" s="6" t="str">
        <f>IFERROR(__xludf.DUMMYFUNCTION("""COMPUTED_VALUE"""),"Level 2")</f>
        <v>Level 2</v>
      </c>
      <c r="J5443" s="6" t="str">
        <f>IFERROR(__xludf.DUMMYFUNCTION("""COMPUTED_VALUE"""),"5")</f>
        <v>5</v>
      </c>
      <c r="K5443" s="6" t="str">
        <f>IFERROR(__xludf.DUMMYFUNCTION("""COMPUTED_VALUE"""),"messiah.holmes@2hourlearning.com")</f>
        <v>messiah.holmes@2hourlearning.com</v>
      </c>
      <c r="L5443" s="6" t="str">
        <f>IFERROR(__xludf.DUMMYFUNCTION("""COMPUTED_VALUE"""),"JRES - Ridgeland Elementary School")</f>
        <v>JRES - Ridgeland Elementary School</v>
      </c>
      <c r="M5443" s="6" t="str">
        <f>IFERROR(__xludf.DUMMYFUNCTION("""COMPUTED_VALUE"""),"")</f>
        <v/>
      </c>
      <c r="N5443" s="6" t="str">
        <f>IFERROR(__xludf.DUMMYFUNCTION("""COMPUTED_VALUE"""),"")</f>
        <v/>
      </c>
      <c r="O5443" s="87" t="str">
        <f>IFERROR(__xludf.DUMMYFUNCTION("""COMPUTED_VALUE"""),"https://drive.google.com/drive/folders/10T2cTQHqEJZqE-st6uFKPoI?usp=share_link")</f>
        <v>https://drive.google.com/drive/folders/10T2cTQHqEJZqE-st6uFKPoI?usp=share_link</v>
      </c>
      <c r="P5443" s="6" t="str">
        <f>IFERROR(__xludf.DUMMYFUNCTION("""COMPUTED_VALUE"""),"Messiah Holmes")</f>
        <v>Messiah Holmes</v>
      </c>
      <c r="Q5443" s="6" t="str">
        <f>IFERROR(__xludf.DUMMYFUNCTION("""COMPUTED_VALUE"""),"L2")</f>
        <v>L2</v>
      </c>
      <c r="R5443" s="6">
        <f>IFERROR(__xludf.DUMMYFUNCTION("""COMPUTED_VALUE"""),2.0)</f>
        <v>2</v>
      </c>
      <c r="S5443" s="6" t="str">
        <f>IFERROR(__xludf.DUMMYFUNCTION("""COMPUTED_VALUE"""),"Kimberly Ball")</f>
        <v>Kimberly Ball</v>
      </c>
      <c r="T5443" s="6" t="str">
        <f>IFERROR(__xludf.DUMMYFUNCTION("""COMPUTED_VALUE"""),"kimberly.ball@studient.com")</f>
        <v>kimberly.ball@studient.com</v>
      </c>
      <c r="U5443" s="6" t="str">
        <f>IFERROR(__xludf.DUMMYFUNCTION("""COMPUTED_VALUE"""),"5")</f>
        <v>5</v>
      </c>
      <c r="V5443" s="6" t="str">
        <f>IFERROR(__xludf.DUMMYFUNCTION("""COMPUTED_VALUE"""),"")</f>
        <v/>
      </c>
      <c r="W5443" s="6" t="str">
        <f>IFERROR(__xludf.DUMMYFUNCTION("""COMPUTED_VALUE"""),"[]")</f>
        <v>[]</v>
      </c>
      <c r="X5443" s="6" t="str">
        <f>IFERROR(__xludf.DUMMYFUNCTION("""COMPUTED_VALUE"""),"Enrolled")</f>
        <v>Enrolled</v>
      </c>
    </row>
    <row r="5444">
      <c r="A5444" s="6" t="str">
        <f>IFERROR(__xludf.DUMMYFUNCTION("""COMPUTED_VALUE"""),"086-12835")</f>
        <v>086-12835</v>
      </c>
      <c r="B5444" s="6" t="str">
        <f>IFERROR(__xludf.DUMMYFUNCTION("""COMPUTED_VALUE"""),"86")</f>
        <v>86</v>
      </c>
      <c r="C5444" s="6" t="str">
        <f>IFERROR(__xludf.DUMMYFUNCTION("""COMPUTED_VALUE"""),"12835")</f>
        <v>12835</v>
      </c>
      <c r="D5444" s="6" t="str">
        <f>IFERROR(__xludf.DUMMYFUNCTION("""COMPUTED_VALUE"""),"Jayden")</f>
        <v>Jayden</v>
      </c>
      <c r="E5444" s="6" t="str">
        <f>IFERROR(__xludf.DUMMYFUNCTION("""COMPUTED_VALUE"""),"")</f>
        <v/>
      </c>
      <c r="F5444" s="6" t="str">
        <f>IFERROR(__xludf.DUMMYFUNCTION("""COMPUTED_VALUE"""),"Hortelano Garcia")</f>
        <v>Hortelano Garcia</v>
      </c>
      <c r="G5444" s="6" t="str">
        <f>IFERROR(__xludf.DUMMYFUNCTION("""COMPUTED_VALUE"""),"02/28/2015")</f>
        <v>02/28/2015</v>
      </c>
      <c r="H5444" s="6" t="str">
        <f>IFERROR(__xludf.DUMMYFUNCTION("""COMPUTED_VALUE"""),"male")</f>
        <v>male</v>
      </c>
      <c r="I5444" s="6" t="str">
        <f>IFERROR(__xludf.DUMMYFUNCTION("""COMPUTED_VALUE"""),"Level 2")</f>
        <v>Level 2</v>
      </c>
      <c r="J5444" s="6" t="str">
        <f>IFERROR(__xludf.DUMMYFUNCTION("""COMPUTED_VALUE"""),"5")</f>
        <v>5</v>
      </c>
      <c r="K5444" s="6" t="str">
        <f>IFERROR(__xludf.DUMMYFUNCTION("""COMPUTED_VALUE"""),"jayden.hortelanogarcia@2hourlearning.com")</f>
        <v>jayden.hortelanogarcia@2hourlearning.com</v>
      </c>
      <c r="L5444" s="6" t="str">
        <f>IFERROR(__xludf.DUMMYFUNCTION("""COMPUTED_VALUE"""),"JRES - Ridgeland Elementary School")</f>
        <v>JRES - Ridgeland Elementary School</v>
      </c>
      <c r="M5444" s="6" t="str">
        <f>IFERROR(__xludf.DUMMYFUNCTION("""COMPUTED_VALUE"""),"")</f>
        <v/>
      </c>
      <c r="N5444" s="6" t="str">
        <f>IFERROR(__xludf.DUMMYFUNCTION("""COMPUTED_VALUE"""),"")</f>
        <v/>
      </c>
      <c r="O5444" s="87" t="str">
        <f>IFERROR(__xludf.DUMMYFUNCTION("""COMPUTED_VALUE"""),"https://drive.google.com/drive/folders/10T2cTQHqEJZqE-st6uFKPoI?usp=share_link")</f>
        <v>https://drive.google.com/drive/folders/10T2cTQHqEJZqE-st6uFKPoI?usp=share_link</v>
      </c>
      <c r="P5444" s="6" t="str">
        <f>IFERROR(__xludf.DUMMYFUNCTION("""COMPUTED_VALUE"""),"Jayden Hortelano Garcia")</f>
        <v>Jayden Hortelano Garcia</v>
      </c>
      <c r="Q5444" s="6" t="str">
        <f>IFERROR(__xludf.DUMMYFUNCTION("""COMPUTED_VALUE"""),"L2")</f>
        <v>L2</v>
      </c>
      <c r="R5444" s="6">
        <f>IFERROR(__xludf.DUMMYFUNCTION("""COMPUTED_VALUE"""),2.0)</f>
        <v>2</v>
      </c>
      <c r="S5444" s="6" t="str">
        <f>IFERROR(__xludf.DUMMYFUNCTION("""COMPUTED_VALUE"""),"Kimberly Ball")</f>
        <v>Kimberly Ball</v>
      </c>
      <c r="T5444" s="6" t="str">
        <f>IFERROR(__xludf.DUMMYFUNCTION("""COMPUTED_VALUE"""),"kimberly.ball@studient.com")</f>
        <v>kimberly.ball@studient.com</v>
      </c>
      <c r="U5444" s="6" t="str">
        <f>IFERROR(__xludf.DUMMYFUNCTION("""COMPUTED_VALUE"""),"5")</f>
        <v>5</v>
      </c>
      <c r="V5444" s="6" t="str">
        <f>IFERROR(__xludf.DUMMYFUNCTION("""COMPUTED_VALUE"""),"")</f>
        <v/>
      </c>
      <c r="W5444" s="6" t="str">
        <f>IFERROR(__xludf.DUMMYFUNCTION("""COMPUTED_VALUE"""),"[]")</f>
        <v>[]</v>
      </c>
      <c r="X5444" s="6" t="str">
        <f>IFERROR(__xludf.DUMMYFUNCTION("""COMPUTED_VALUE"""),"Enrolled")</f>
        <v>Enrolled</v>
      </c>
    </row>
    <row r="5445">
      <c r="A5445" s="6" t="str">
        <f>IFERROR(__xludf.DUMMYFUNCTION("""COMPUTED_VALUE"""),"086-12836")</f>
        <v>086-12836</v>
      </c>
      <c r="B5445" s="6" t="str">
        <f>IFERROR(__xludf.DUMMYFUNCTION("""COMPUTED_VALUE"""),"86")</f>
        <v>86</v>
      </c>
      <c r="C5445" s="6" t="str">
        <f>IFERROR(__xludf.DUMMYFUNCTION("""COMPUTED_VALUE"""),"12836")</f>
        <v>12836</v>
      </c>
      <c r="D5445" s="6" t="str">
        <f>IFERROR(__xludf.DUMMYFUNCTION("""COMPUTED_VALUE"""),"Seven")</f>
        <v>Seven</v>
      </c>
      <c r="E5445" s="6" t="str">
        <f>IFERROR(__xludf.DUMMYFUNCTION("""COMPUTED_VALUE"""),"")</f>
        <v/>
      </c>
      <c r="F5445" s="6" t="str">
        <f>IFERROR(__xludf.DUMMYFUNCTION("""COMPUTED_VALUE"""),"Howard")</f>
        <v>Howard</v>
      </c>
      <c r="G5445" s="6" t="str">
        <f>IFERROR(__xludf.DUMMYFUNCTION("""COMPUTED_VALUE"""),"04/24/2016")</f>
        <v>04/24/2016</v>
      </c>
      <c r="H5445" s="6" t="str">
        <f>IFERROR(__xludf.DUMMYFUNCTION("""COMPUTED_VALUE"""),"male")</f>
        <v>male</v>
      </c>
      <c r="I5445" s="6" t="str">
        <f>IFERROR(__xludf.DUMMYFUNCTION("""COMPUTED_VALUE"""),"Level 2")</f>
        <v>Level 2</v>
      </c>
      <c r="J5445" s="6" t="str">
        <f>IFERROR(__xludf.DUMMYFUNCTION("""COMPUTED_VALUE"""),"5")</f>
        <v>5</v>
      </c>
      <c r="K5445" s="6" t="str">
        <f>IFERROR(__xludf.DUMMYFUNCTION("""COMPUTED_VALUE"""),"seven.howard@2hourlearning.com")</f>
        <v>seven.howard@2hourlearning.com</v>
      </c>
      <c r="L5445" s="6" t="str">
        <f>IFERROR(__xludf.DUMMYFUNCTION("""COMPUTED_VALUE"""),"JRES - Ridgeland Elementary School")</f>
        <v>JRES - Ridgeland Elementary School</v>
      </c>
      <c r="M5445" s="6" t="str">
        <f>IFERROR(__xludf.DUMMYFUNCTION("""COMPUTED_VALUE"""),"")</f>
        <v/>
      </c>
      <c r="N5445" s="6" t="str">
        <f>IFERROR(__xludf.DUMMYFUNCTION("""COMPUTED_VALUE"""),"")</f>
        <v/>
      </c>
      <c r="O5445" s="87" t="str">
        <f>IFERROR(__xludf.DUMMYFUNCTION("""COMPUTED_VALUE"""),"https://drive.google.com/drive/folders/10T2cTQHqEJZqE-st6uFKPoI?usp=share_link")</f>
        <v>https://drive.google.com/drive/folders/10T2cTQHqEJZqE-st6uFKPoI?usp=share_link</v>
      </c>
      <c r="P5445" s="6" t="str">
        <f>IFERROR(__xludf.DUMMYFUNCTION("""COMPUTED_VALUE"""),"Seven Howard")</f>
        <v>Seven Howard</v>
      </c>
      <c r="Q5445" s="6" t="str">
        <f>IFERROR(__xludf.DUMMYFUNCTION("""COMPUTED_VALUE"""),"L2")</f>
        <v>L2</v>
      </c>
      <c r="R5445" s="6">
        <f>IFERROR(__xludf.DUMMYFUNCTION("""COMPUTED_VALUE"""),2.0)</f>
        <v>2</v>
      </c>
      <c r="S5445" s="6" t="str">
        <f>IFERROR(__xludf.DUMMYFUNCTION("""COMPUTED_VALUE"""),"Kimberly Ball")</f>
        <v>Kimberly Ball</v>
      </c>
      <c r="T5445" s="6" t="str">
        <f>IFERROR(__xludf.DUMMYFUNCTION("""COMPUTED_VALUE"""),"kimberly.ball@studient.com")</f>
        <v>kimberly.ball@studient.com</v>
      </c>
      <c r="U5445" s="6" t="str">
        <f>IFERROR(__xludf.DUMMYFUNCTION("""COMPUTED_VALUE"""),"5")</f>
        <v>5</v>
      </c>
      <c r="V5445" s="6" t="str">
        <f>IFERROR(__xludf.DUMMYFUNCTION("""COMPUTED_VALUE"""),"")</f>
        <v/>
      </c>
      <c r="W5445" s="6" t="str">
        <f>IFERROR(__xludf.DUMMYFUNCTION("""COMPUTED_VALUE"""),"[]")</f>
        <v>[]</v>
      </c>
      <c r="X5445" s="6" t="str">
        <f>IFERROR(__xludf.DUMMYFUNCTION("""COMPUTED_VALUE"""),"Enrolled")</f>
        <v>Enrolled</v>
      </c>
    </row>
    <row r="5446">
      <c r="A5446" s="6" t="str">
        <f>IFERROR(__xludf.DUMMYFUNCTION("""COMPUTED_VALUE"""),"086-12837")</f>
        <v>086-12837</v>
      </c>
      <c r="B5446" s="6" t="str">
        <f>IFERROR(__xludf.DUMMYFUNCTION("""COMPUTED_VALUE"""),"86")</f>
        <v>86</v>
      </c>
      <c r="C5446" s="6" t="str">
        <f>IFERROR(__xludf.DUMMYFUNCTION("""COMPUTED_VALUE"""),"12837")</f>
        <v>12837</v>
      </c>
      <c r="D5446" s="6" t="str">
        <f>IFERROR(__xludf.DUMMYFUNCTION("""COMPUTED_VALUE"""),"Karter")</f>
        <v>Karter</v>
      </c>
      <c r="E5446" s="6" t="str">
        <f>IFERROR(__xludf.DUMMYFUNCTION("""COMPUTED_VALUE"""),"")</f>
        <v/>
      </c>
      <c r="F5446" s="6" t="str">
        <f>IFERROR(__xludf.DUMMYFUNCTION("""COMPUTED_VALUE"""),"Hugue")</f>
        <v>Hugue</v>
      </c>
      <c r="G5446" s="6" t="str">
        <f>IFERROR(__xludf.DUMMYFUNCTION("""COMPUTED_VALUE"""),"05/13/2017")</f>
        <v>05/13/2017</v>
      </c>
      <c r="H5446" s="6" t="str">
        <f>IFERROR(__xludf.DUMMYFUNCTION("""COMPUTED_VALUE"""),"male")</f>
        <v>male</v>
      </c>
      <c r="I5446" s="6" t="str">
        <f>IFERROR(__xludf.DUMMYFUNCTION("""COMPUTED_VALUE"""),"Level 2")</f>
        <v>Level 2</v>
      </c>
      <c r="J5446" s="6" t="str">
        <f>IFERROR(__xludf.DUMMYFUNCTION("""COMPUTED_VALUE"""),"5")</f>
        <v>5</v>
      </c>
      <c r="K5446" s="6" t="str">
        <f>IFERROR(__xludf.DUMMYFUNCTION("""COMPUTED_VALUE"""),"karter.hugue@2hourlearning.com")</f>
        <v>karter.hugue@2hourlearning.com</v>
      </c>
      <c r="L5446" s="6" t="str">
        <f>IFERROR(__xludf.DUMMYFUNCTION("""COMPUTED_VALUE"""),"JRES - Ridgeland Elementary School")</f>
        <v>JRES - Ridgeland Elementary School</v>
      </c>
      <c r="M5446" s="6" t="str">
        <f>IFERROR(__xludf.DUMMYFUNCTION("""COMPUTED_VALUE"""),"")</f>
        <v/>
      </c>
      <c r="N5446" s="6" t="str">
        <f>IFERROR(__xludf.DUMMYFUNCTION("""COMPUTED_VALUE"""),"")</f>
        <v/>
      </c>
      <c r="O5446" s="87" t="str">
        <f>IFERROR(__xludf.DUMMYFUNCTION("""COMPUTED_VALUE"""),"https://drive.google.com/drive/folders/10T2cTQHqEJZqE-st6uFKPoI?usp=share_link")</f>
        <v>https://drive.google.com/drive/folders/10T2cTQHqEJZqE-st6uFKPoI?usp=share_link</v>
      </c>
      <c r="P5446" s="6" t="str">
        <f>IFERROR(__xludf.DUMMYFUNCTION("""COMPUTED_VALUE"""),"Karter Hugue")</f>
        <v>Karter Hugue</v>
      </c>
      <c r="Q5446" s="6" t="str">
        <f>IFERROR(__xludf.DUMMYFUNCTION("""COMPUTED_VALUE"""),"L2")</f>
        <v>L2</v>
      </c>
      <c r="R5446" s="6">
        <f>IFERROR(__xludf.DUMMYFUNCTION("""COMPUTED_VALUE"""),2.0)</f>
        <v>2</v>
      </c>
      <c r="S5446" s="6" t="str">
        <f>IFERROR(__xludf.DUMMYFUNCTION("""COMPUTED_VALUE"""),"Kimberly Ball")</f>
        <v>Kimberly Ball</v>
      </c>
      <c r="T5446" s="6" t="str">
        <f>IFERROR(__xludf.DUMMYFUNCTION("""COMPUTED_VALUE"""),"kimberly.ball@studient.com")</f>
        <v>kimberly.ball@studient.com</v>
      </c>
      <c r="U5446" s="6" t="str">
        <f>IFERROR(__xludf.DUMMYFUNCTION("""COMPUTED_VALUE"""),"5")</f>
        <v>5</v>
      </c>
      <c r="V5446" s="6" t="str">
        <f>IFERROR(__xludf.DUMMYFUNCTION("""COMPUTED_VALUE"""),"")</f>
        <v/>
      </c>
      <c r="W5446" s="6" t="str">
        <f>IFERROR(__xludf.DUMMYFUNCTION("""COMPUTED_VALUE"""),"[]")</f>
        <v>[]</v>
      </c>
      <c r="X5446" s="6" t="str">
        <f>IFERROR(__xludf.DUMMYFUNCTION("""COMPUTED_VALUE"""),"Enrolled")</f>
        <v>Enrolled</v>
      </c>
    </row>
    <row r="5447">
      <c r="A5447" s="6" t="str">
        <f>IFERROR(__xludf.DUMMYFUNCTION("""COMPUTED_VALUE"""),"086-12838")</f>
        <v>086-12838</v>
      </c>
      <c r="B5447" s="6" t="str">
        <f>IFERROR(__xludf.DUMMYFUNCTION("""COMPUTED_VALUE"""),"86")</f>
        <v>86</v>
      </c>
      <c r="C5447" s="6" t="str">
        <f>IFERROR(__xludf.DUMMYFUNCTION("""COMPUTED_VALUE"""),"12838")</f>
        <v>12838</v>
      </c>
      <c r="D5447" s="6" t="str">
        <f>IFERROR(__xludf.DUMMYFUNCTION("""COMPUTED_VALUE"""),"Elijah")</f>
        <v>Elijah</v>
      </c>
      <c r="E5447" s="6" t="str">
        <f>IFERROR(__xludf.DUMMYFUNCTION("""COMPUTED_VALUE"""),"")</f>
        <v/>
      </c>
      <c r="F5447" s="6" t="str">
        <f>IFERROR(__xludf.DUMMYFUNCTION("""COMPUTED_VALUE"""),"Johnson")</f>
        <v>Johnson</v>
      </c>
      <c r="G5447" s="6" t="str">
        <f>IFERROR(__xludf.DUMMYFUNCTION("""COMPUTED_VALUE"""),"06/01/2018")</f>
        <v>06/01/2018</v>
      </c>
      <c r="H5447" s="6" t="str">
        <f>IFERROR(__xludf.DUMMYFUNCTION("""COMPUTED_VALUE"""),"male")</f>
        <v>male</v>
      </c>
      <c r="I5447" s="6" t="str">
        <f>IFERROR(__xludf.DUMMYFUNCTION("""COMPUTED_VALUE"""),"Level 2")</f>
        <v>Level 2</v>
      </c>
      <c r="J5447" s="6" t="str">
        <f>IFERROR(__xludf.DUMMYFUNCTION("""COMPUTED_VALUE"""),"5")</f>
        <v>5</v>
      </c>
      <c r="K5447" s="6" t="str">
        <f>IFERROR(__xludf.DUMMYFUNCTION("""COMPUTED_VALUE"""),"elijah.johnson@2hourlearning.com")</f>
        <v>elijah.johnson@2hourlearning.com</v>
      </c>
      <c r="L5447" s="6" t="str">
        <f>IFERROR(__xludf.DUMMYFUNCTION("""COMPUTED_VALUE"""),"JRES - Ridgeland Elementary School")</f>
        <v>JRES - Ridgeland Elementary School</v>
      </c>
      <c r="M5447" s="6" t="str">
        <f>IFERROR(__xludf.DUMMYFUNCTION("""COMPUTED_VALUE"""),"")</f>
        <v/>
      </c>
      <c r="N5447" s="6" t="str">
        <f>IFERROR(__xludf.DUMMYFUNCTION("""COMPUTED_VALUE"""),"")</f>
        <v/>
      </c>
      <c r="O5447" s="87" t="str">
        <f>IFERROR(__xludf.DUMMYFUNCTION("""COMPUTED_VALUE"""),"https://drive.google.com/drive/folders/10T2cTQHqEJZqE-st6uFKPoI?usp=share_link")</f>
        <v>https://drive.google.com/drive/folders/10T2cTQHqEJZqE-st6uFKPoI?usp=share_link</v>
      </c>
      <c r="P5447" s="6" t="str">
        <f>IFERROR(__xludf.DUMMYFUNCTION("""COMPUTED_VALUE"""),"Elijah Johnson")</f>
        <v>Elijah Johnson</v>
      </c>
      <c r="Q5447" s="6" t="str">
        <f>IFERROR(__xludf.DUMMYFUNCTION("""COMPUTED_VALUE"""),"L2")</f>
        <v>L2</v>
      </c>
      <c r="R5447" s="6">
        <f>IFERROR(__xludf.DUMMYFUNCTION("""COMPUTED_VALUE"""),2.0)</f>
        <v>2</v>
      </c>
      <c r="S5447" s="6" t="str">
        <f>IFERROR(__xludf.DUMMYFUNCTION("""COMPUTED_VALUE"""),"Kimberly Ball")</f>
        <v>Kimberly Ball</v>
      </c>
      <c r="T5447" s="6" t="str">
        <f>IFERROR(__xludf.DUMMYFUNCTION("""COMPUTED_VALUE"""),"kimberly.ball@studient.com")</f>
        <v>kimberly.ball@studient.com</v>
      </c>
      <c r="U5447" s="6" t="str">
        <f>IFERROR(__xludf.DUMMYFUNCTION("""COMPUTED_VALUE"""),"5")</f>
        <v>5</v>
      </c>
      <c r="V5447" s="6" t="str">
        <f>IFERROR(__xludf.DUMMYFUNCTION("""COMPUTED_VALUE"""),"")</f>
        <v/>
      </c>
      <c r="W5447" s="6" t="str">
        <f>IFERROR(__xludf.DUMMYFUNCTION("""COMPUTED_VALUE"""),"[]")</f>
        <v>[]</v>
      </c>
      <c r="X5447" s="6" t="str">
        <f>IFERROR(__xludf.DUMMYFUNCTION("""COMPUTED_VALUE"""),"Enrolled")</f>
        <v>Enrolled</v>
      </c>
    </row>
    <row r="5448">
      <c r="A5448" s="6" t="str">
        <f>IFERROR(__xludf.DUMMYFUNCTION("""COMPUTED_VALUE"""),"086-12839")</f>
        <v>086-12839</v>
      </c>
      <c r="B5448" s="6" t="str">
        <f>IFERROR(__xludf.DUMMYFUNCTION("""COMPUTED_VALUE"""),"86")</f>
        <v>86</v>
      </c>
      <c r="C5448" s="6" t="str">
        <f>IFERROR(__xludf.DUMMYFUNCTION("""COMPUTED_VALUE"""),"12839")</f>
        <v>12839</v>
      </c>
      <c r="D5448" s="6" t="str">
        <f>IFERROR(__xludf.DUMMYFUNCTION("""COMPUTED_VALUE"""),"Everton")</f>
        <v>Everton</v>
      </c>
      <c r="E5448" s="6" t="str">
        <f>IFERROR(__xludf.DUMMYFUNCTION("""COMPUTED_VALUE"""),"")</f>
        <v/>
      </c>
      <c r="F5448" s="6" t="str">
        <f>IFERROR(__xludf.DUMMYFUNCTION("""COMPUTED_VALUE"""),"Johnson")</f>
        <v>Johnson</v>
      </c>
      <c r="G5448" s="6" t="str">
        <f>IFERROR(__xludf.DUMMYFUNCTION("""COMPUTED_VALUE"""),"12/17/2013")</f>
        <v>12/17/2013</v>
      </c>
      <c r="H5448" s="6" t="str">
        <f>IFERROR(__xludf.DUMMYFUNCTION("""COMPUTED_VALUE"""),"female")</f>
        <v>female</v>
      </c>
      <c r="I5448" s="6" t="str">
        <f>IFERROR(__xludf.DUMMYFUNCTION("""COMPUTED_VALUE"""),"Level 2")</f>
        <v>Level 2</v>
      </c>
      <c r="J5448" s="6" t="str">
        <f>IFERROR(__xludf.DUMMYFUNCTION("""COMPUTED_VALUE"""),"5")</f>
        <v>5</v>
      </c>
      <c r="K5448" s="6" t="str">
        <f>IFERROR(__xludf.DUMMYFUNCTION("""COMPUTED_VALUE"""),"everton.johnson@2hourlearning.com")</f>
        <v>everton.johnson@2hourlearning.com</v>
      </c>
      <c r="L5448" s="6" t="str">
        <f>IFERROR(__xludf.DUMMYFUNCTION("""COMPUTED_VALUE"""),"JRES - Ridgeland Elementary School")</f>
        <v>JRES - Ridgeland Elementary School</v>
      </c>
      <c r="M5448" s="6" t="str">
        <f>IFERROR(__xludf.DUMMYFUNCTION("""COMPUTED_VALUE"""),"")</f>
        <v/>
      </c>
      <c r="N5448" s="6" t="str">
        <f>IFERROR(__xludf.DUMMYFUNCTION("""COMPUTED_VALUE"""),"")</f>
        <v/>
      </c>
      <c r="O5448" s="87" t="str">
        <f>IFERROR(__xludf.DUMMYFUNCTION("""COMPUTED_VALUE"""),"https://drive.google.com/drive/folders/10T2cTQHqEJZqE-st6uFKPoI?usp=share_link")</f>
        <v>https://drive.google.com/drive/folders/10T2cTQHqEJZqE-st6uFKPoI?usp=share_link</v>
      </c>
      <c r="P5448" s="6" t="str">
        <f>IFERROR(__xludf.DUMMYFUNCTION("""COMPUTED_VALUE"""),"Everton Johnson")</f>
        <v>Everton Johnson</v>
      </c>
      <c r="Q5448" s="6" t="str">
        <f>IFERROR(__xludf.DUMMYFUNCTION("""COMPUTED_VALUE"""),"L2")</f>
        <v>L2</v>
      </c>
      <c r="R5448" s="6">
        <f>IFERROR(__xludf.DUMMYFUNCTION("""COMPUTED_VALUE"""),2.0)</f>
        <v>2</v>
      </c>
      <c r="S5448" s="6" t="str">
        <f>IFERROR(__xludf.DUMMYFUNCTION("""COMPUTED_VALUE"""),"Kimberly Ball")</f>
        <v>Kimberly Ball</v>
      </c>
      <c r="T5448" s="6" t="str">
        <f>IFERROR(__xludf.DUMMYFUNCTION("""COMPUTED_VALUE"""),"kimberly.ball@studient.com")</f>
        <v>kimberly.ball@studient.com</v>
      </c>
      <c r="U5448" s="6" t="str">
        <f>IFERROR(__xludf.DUMMYFUNCTION("""COMPUTED_VALUE"""),"5")</f>
        <v>5</v>
      </c>
      <c r="V5448" s="6" t="str">
        <f>IFERROR(__xludf.DUMMYFUNCTION("""COMPUTED_VALUE"""),"")</f>
        <v/>
      </c>
      <c r="W5448" s="6" t="str">
        <f>IFERROR(__xludf.DUMMYFUNCTION("""COMPUTED_VALUE"""),"[]")</f>
        <v>[]</v>
      </c>
      <c r="X5448" s="6" t="str">
        <f>IFERROR(__xludf.DUMMYFUNCTION("""COMPUTED_VALUE"""),"Enrolled")</f>
        <v>Enrolled</v>
      </c>
    </row>
    <row r="5449">
      <c r="A5449" s="6" t="str">
        <f>IFERROR(__xludf.DUMMYFUNCTION("""COMPUTED_VALUE"""),"086-12840")</f>
        <v>086-12840</v>
      </c>
      <c r="B5449" s="6" t="str">
        <f>IFERROR(__xludf.DUMMYFUNCTION("""COMPUTED_VALUE"""),"86")</f>
        <v>86</v>
      </c>
      <c r="C5449" s="6" t="str">
        <f>IFERROR(__xludf.DUMMYFUNCTION("""COMPUTED_VALUE"""),"12840")</f>
        <v>12840</v>
      </c>
      <c r="D5449" s="6" t="str">
        <f>IFERROR(__xludf.DUMMYFUNCTION("""COMPUTED_VALUE"""),"Kiyan")</f>
        <v>Kiyan</v>
      </c>
      <c r="E5449" s="6" t="str">
        <f>IFERROR(__xludf.DUMMYFUNCTION("""COMPUTED_VALUE"""),"")</f>
        <v/>
      </c>
      <c r="F5449" s="6" t="str">
        <f>IFERROR(__xludf.DUMMYFUNCTION("""COMPUTED_VALUE"""),"Johnson")</f>
        <v>Johnson</v>
      </c>
      <c r="G5449" s="6" t="str">
        <f>IFERROR(__xludf.DUMMYFUNCTION("""COMPUTED_VALUE"""),"01/30/2015")</f>
        <v>01/30/2015</v>
      </c>
      <c r="H5449" s="6" t="str">
        <f>IFERROR(__xludf.DUMMYFUNCTION("""COMPUTED_VALUE"""),"male")</f>
        <v>male</v>
      </c>
      <c r="I5449" s="6" t="str">
        <f>IFERROR(__xludf.DUMMYFUNCTION("""COMPUTED_VALUE"""),"Level 2")</f>
        <v>Level 2</v>
      </c>
      <c r="J5449" s="6" t="str">
        <f>IFERROR(__xludf.DUMMYFUNCTION("""COMPUTED_VALUE"""),"5")</f>
        <v>5</v>
      </c>
      <c r="K5449" s="6" t="str">
        <f>IFERROR(__xludf.DUMMYFUNCTION("""COMPUTED_VALUE"""),"kiyan.johnson@2hourlearning.com")</f>
        <v>kiyan.johnson@2hourlearning.com</v>
      </c>
      <c r="L5449" s="6" t="str">
        <f>IFERROR(__xludf.DUMMYFUNCTION("""COMPUTED_VALUE"""),"JRES - Ridgeland Elementary School")</f>
        <v>JRES - Ridgeland Elementary School</v>
      </c>
      <c r="M5449" s="6" t="str">
        <f>IFERROR(__xludf.DUMMYFUNCTION("""COMPUTED_VALUE"""),"")</f>
        <v/>
      </c>
      <c r="N5449" s="6" t="str">
        <f>IFERROR(__xludf.DUMMYFUNCTION("""COMPUTED_VALUE"""),"")</f>
        <v/>
      </c>
      <c r="O5449" s="87" t="str">
        <f>IFERROR(__xludf.DUMMYFUNCTION("""COMPUTED_VALUE"""),"https://drive.google.com/drive/folders/10T2cTQHqEJZqE-st6uFKPoI?usp=share_link")</f>
        <v>https://drive.google.com/drive/folders/10T2cTQHqEJZqE-st6uFKPoI?usp=share_link</v>
      </c>
      <c r="P5449" s="6" t="str">
        <f>IFERROR(__xludf.DUMMYFUNCTION("""COMPUTED_VALUE"""),"Kiyan Johnson")</f>
        <v>Kiyan Johnson</v>
      </c>
      <c r="Q5449" s="6" t="str">
        <f>IFERROR(__xludf.DUMMYFUNCTION("""COMPUTED_VALUE"""),"L2")</f>
        <v>L2</v>
      </c>
      <c r="R5449" s="6">
        <f>IFERROR(__xludf.DUMMYFUNCTION("""COMPUTED_VALUE"""),2.0)</f>
        <v>2</v>
      </c>
      <c r="S5449" s="6" t="str">
        <f>IFERROR(__xludf.DUMMYFUNCTION("""COMPUTED_VALUE"""),"Kimberly Ball")</f>
        <v>Kimberly Ball</v>
      </c>
      <c r="T5449" s="6" t="str">
        <f>IFERROR(__xludf.DUMMYFUNCTION("""COMPUTED_VALUE"""),"kimberly.ball@studient.com")</f>
        <v>kimberly.ball@studient.com</v>
      </c>
      <c r="U5449" s="6" t="str">
        <f>IFERROR(__xludf.DUMMYFUNCTION("""COMPUTED_VALUE"""),"5")</f>
        <v>5</v>
      </c>
      <c r="V5449" s="6" t="str">
        <f>IFERROR(__xludf.DUMMYFUNCTION("""COMPUTED_VALUE"""),"")</f>
        <v/>
      </c>
      <c r="W5449" s="6" t="str">
        <f>IFERROR(__xludf.DUMMYFUNCTION("""COMPUTED_VALUE"""),"[]")</f>
        <v>[]</v>
      </c>
      <c r="X5449" s="6" t="str">
        <f>IFERROR(__xludf.DUMMYFUNCTION("""COMPUTED_VALUE"""),"Enrolled")</f>
        <v>Enrolled</v>
      </c>
    </row>
    <row r="5450">
      <c r="A5450" s="6" t="str">
        <f>IFERROR(__xludf.DUMMYFUNCTION("""COMPUTED_VALUE"""),"086-12841")</f>
        <v>086-12841</v>
      </c>
      <c r="B5450" s="6" t="str">
        <f>IFERROR(__xludf.DUMMYFUNCTION("""COMPUTED_VALUE"""),"86")</f>
        <v>86</v>
      </c>
      <c r="C5450" s="6" t="str">
        <f>IFERROR(__xludf.DUMMYFUNCTION("""COMPUTED_VALUE"""),"12841")</f>
        <v>12841</v>
      </c>
      <c r="D5450" s="6" t="str">
        <f>IFERROR(__xludf.DUMMYFUNCTION("""COMPUTED_VALUE"""),"Ayden")</f>
        <v>Ayden</v>
      </c>
      <c r="E5450" s="6" t="str">
        <f>IFERROR(__xludf.DUMMYFUNCTION("""COMPUTED_VALUE"""),"")</f>
        <v/>
      </c>
      <c r="F5450" s="6" t="str">
        <f>IFERROR(__xludf.DUMMYFUNCTION("""COMPUTED_VALUE"""),"Jones")</f>
        <v>Jones</v>
      </c>
      <c r="G5450" s="6" t="str">
        <f>IFERROR(__xludf.DUMMYFUNCTION("""COMPUTED_VALUE"""),"07/16/2016")</f>
        <v>07/16/2016</v>
      </c>
      <c r="H5450" s="6" t="str">
        <f>IFERROR(__xludf.DUMMYFUNCTION("""COMPUTED_VALUE"""),"male")</f>
        <v>male</v>
      </c>
      <c r="I5450" s="6" t="str">
        <f>IFERROR(__xludf.DUMMYFUNCTION("""COMPUTED_VALUE"""),"Level 2")</f>
        <v>Level 2</v>
      </c>
      <c r="J5450" s="6" t="str">
        <f>IFERROR(__xludf.DUMMYFUNCTION("""COMPUTED_VALUE"""),"5")</f>
        <v>5</v>
      </c>
      <c r="K5450" s="6" t="str">
        <f>IFERROR(__xludf.DUMMYFUNCTION("""COMPUTED_VALUE"""),"ayden.jones2@2hourlearning.com")</f>
        <v>ayden.jones2@2hourlearning.com</v>
      </c>
      <c r="L5450" s="6" t="str">
        <f>IFERROR(__xludf.DUMMYFUNCTION("""COMPUTED_VALUE"""),"JRES - Ridgeland Elementary School")</f>
        <v>JRES - Ridgeland Elementary School</v>
      </c>
      <c r="M5450" s="6" t="str">
        <f>IFERROR(__xludf.DUMMYFUNCTION("""COMPUTED_VALUE"""),"")</f>
        <v/>
      </c>
      <c r="N5450" s="6" t="str">
        <f>IFERROR(__xludf.DUMMYFUNCTION("""COMPUTED_VALUE"""),"")</f>
        <v/>
      </c>
      <c r="O5450" s="87" t="str">
        <f>IFERROR(__xludf.DUMMYFUNCTION("""COMPUTED_VALUE"""),"https://drive.google.com/drive/folders/10T2cTQHqEJZqE-st6uFKPoI?usp=share_link")</f>
        <v>https://drive.google.com/drive/folders/10T2cTQHqEJZqE-st6uFKPoI?usp=share_link</v>
      </c>
      <c r="P5450" s="6" t="str">
        <f>IFERROR(__xludf.DUMMYFUNCTION("""COMPUTED_VALUE"""),"Ayden Jones")</f>
        <v>Ayden Jones</v>
      </c>
      <c r="Q5450" s="6" t="str">
        <f>IFERROR(__xludf.DUMMYFUNCTION("""COMPUTED_VALUE"""),"L2")</f>
        <v>L2</v>
      </c>
      <c r="R5450" s="6">
        <f>IFERROR(__xludf.DUMMYFUNCTION("""COMPUTED_VALUE"""),2.0)</f>
        <v>2</v>
      </c>
      <c r="S5450" s="6" t="str">
        <f>IFERROR(__xludf.DUMMYFUNCTION("""COMPUTED_VALUE"""),"Kimberly Ball")</f>
        <v>Kimberly Ball</v>
      </c>
      <c r="T5450" s="6" t="str">
        <f>IFERROR(__xludf.DUMMYFUNCTION("""COMPUTED_VALUE"""),"kimberly.ball@studient.com")</f>
        <v>kimberly.ball@studient.com</v>
      </c>
      <c r="U5450" s="6" t="str">
        <f>IFERROR(__xludf.DUMMYFUNCTION("""COMPUTED_VALUE"""),"5")</f>
        <v>5</v>
      </c>
      <c r="V5450" s="6" t="str">
        <f>IFERROR(__xludf.DUMMYFUNCTION("""COMPUTED_VALUE"""),"")</f>
        <v/>
      </c>
      <c r="W5450" s="6" t="str">
        <f>IFERROR(__xludf.DUMMYFUNCTION("""COMPUTED_VALUE"""),"[]")</f>
        <v>[]</v>
      </c>
      <c r="X5450" s="6" t="str">
        <f>IFERROR(__xludf.DUMMYFUNCTION("""COMPUTED_VALUE"""),"Enrolled")</f>
        <v>Enrolled</v>
      </c>
    </row>
    <row r="5451">
      <c r="A5451" s="6" t="str">
        <f>IFERROR(__xludf.DUMMYFUNCTION("""COMPUTED_VALUE"""),"086-12842")</f>
        <v>086-12842</v>
      </c>
      <c r="B5451" s="6" t="str">
        <f>IFERROR(__xludf.DUMMYFUNCTION("""COMPUTED_VALUE"""),"86")</f>
        <v>86</v>
      </c>
      <c r="C5451" s="6" t="str">
        <f>IFERROR(__xludf.DUMMYFUNCTION("""COMPUTED_VALUE"""),"12842")</f>
        <v>12842</v>
      </c>
      <c r="D5451" s="6" t="str">
        <f>IFERROR(__xludf.DUMMYFUNCTION("""COMPUTED_VALUE"""),"Muhammad")</f>
        <v>Muhammad</v>
      </c>
      <c r="E5451" s="6" t="str">
        <f>IFERROR(__xludf.DUMMYFUNCTION("""COMPUTED_VALUE"""),"")</f>
        <v/>
      </c>
      <c r="F5451" s="6" t="str">
        <f>IFERROR(__xludf.DUMMYFUNCTION("""COMPUTED_VALUE"""),"Khan")</f>
        <v>Khan</v>
      </c>
      <c r="G5451" s="6" t="str">
        <f>IFERROR(__xludf.DUMMYFUNCTION("""COMPUTED_VALUE"""),"08/29/2016")</f>
        <v>08/29/2016</v>
      </c>
      <c r="H5451" s="6" t="str">
        <f>IFERROR(__xludf.DUMMYFUNCTION("""COMPUTED_VALUE"""),"female")</f>
        <v>female</v>
      </c>
      <c r="I5451" s="6" t="str">
        <f>IFERROR(__xludf.DUMMYFUNCTION("""COMPUTED_VALUE"""),"Level 2")</f>
        <v>Level 2</v>
      </c>
      <c r="J5451" s="6" t="str">
        <f>IFERROR(__xludf.DUMMYFUNCTION("""COMPUTED_VALUE"""),"5")</f>
        <v>5</v>
      </c>
      <c r="K5451" s="6" t="str">
        <f>IFERROR(__xludf.DUMMYFUNCTION("""COMPUTED_VALUE"""),"muhammad.khan@2hourlearning.com")</f>
        <v>muhammad.khan@2hourlearning.com</v>
      </c>
      <c r="L5451" s="6" t="str">
        <f>IFERROR(__xludf.DUMMYFUNCTION("""COMPUTED_VALUE"""),"JRES - Ridgeland Elementary School")</f>
        <v>JRES - Ridgeland Elementary School</v>
      </c>
      <c r="M5451" s="6" t="str">
        <f>IFERROR(__xludf.DUMMYFUNCTION("""COMPUTED_VALUE"""),"")</f>
        <v/>
      </c>
      <c r="N5451" s="6" t="str">
        <f>IFERROR(__xludf.DUMMYFUNCTION("""COMPUTED_VALUE"""),"")</f>
        <v/>
      </c>
      <c r="O5451" s="87" t="str">
        <f>IFERROR(__xludf.DUMMYFUNCTION("""COMPUTED_VALUE"""),"https://drive.google.com/drive/folders/10T2cTQHqEJZqE-st6uFKPoI?usp=share_link")</f>
        <v>https://drive.google.com/drive/folders/10T2cTQHqEJZqE-st6uFKPoI?usp=share_link</v>
      </c>
      <c r="P5451" s="6" t="str">
        <f>IFERROR(__xludf.DUMMYFUNCTION("""COMPUTED_VALUE"""),"Muhammad Khan")</f>
        <v>Muhammad Khan</v>
      </c>
      <c r="Q5451" s="6" t="str">
        <f>IFERROR(__xludf.DUMMYFUNCTION("""COMPUTED_VALUE"""),"L2")</f>
        <v>L2</v>
      </c>
      <c r="R5451" s="6">
        <f>IFERROR(__xludf.DUMMYFUNCTION("""COMPUTED_VALUE"""),2.0)</f>
        <v>2</v>
      </c>
      <c r="S5451" s="6" t="str">
        <f>IFERROR(__xludf.DUMMYFUNCTION("""COMPUTED_VALUE"""),"Kimberly Ball")</f>
        <v>Kimberly Ball</v>
      </c>
      <c r="T5451" s="6" t="str">
        <f>IFERROR(__xludf.DUMMYFUNCTION("""COMPUTED_VALUE"""),"kimberly.ball@studient.com")</f>
        <v>kimberly.ball@studient.com</v>
      </c>
      <c r="U5451" s="6" t="str">
        <f>IFERROR(__xludf.DUMMYFUNCTION("""COMPUTED_VALUE"""),"5")</f>
        <v>5</v>
      </c>
      <c r="V5451" s="6" t="str">
        <f>IFERROR(__xludf.DUMMYFUNCTION("""COMPUTED_VALUE"""),"")</f>
        <v/>
      </c>
      <c r="W5451" s="6" t="str">
        <f>IFERROR(__xludf.DUMMYFUNCTION("""COMPUTED_VALUE"""),"[]")</f>
        <v>[]</v>
      </c>
      <c r="X5451" s="6" t="str">
        <f>IFERROR(__xludf.DUMMYFUNCTION("""COMPUTED_VALUE"""),"Enrolled")</f>
        <v>Enrolled</v>
      </c>
    </row>
    <row r="5452">
      <c r="A5452" s="6" t="str">
        <f>IFERROR(__xludf.DUMMYFUNCTION("""COMPUTED_VALUE"""),"086-12843")</f>
        <v>086-12843</v>
      </c>
      <c r="B5452" s="6" t="str">
        <f>IFERROR(__xludf.DUMMYFUNCTION("""COMPUTED_VALUE"""),"86")</f>
        <v>86</v>
      </c>
      <c r="C5452" s="6" t="str">
        <f>IFERROR(__xludf.DUMMYFUNCTION("""COMPUTED_VALUE"""),"12843")</f>
        <v>12843</v>
      </c>
      <c r="D5452" s="6" t="str">
        <f>IFERROR(__xludf.DUMMYFUNCTION("""COMPUTED_VALUE"""),"Joshaua")</f>
        <v>Joshaua</v>
      </c>
      <c r="E5452" s="6" t="str">
        <f>IFERROR(__xludf.DUMMYFUNCTION("""COMPUTED_VALUE"""),"")</f>
        <v/>
      </c>
      <c r="F5452" s="6" t="str">
        <f>IFERROR(__xludf.DUMMYFUNCTION("""COMPUTED_VALUE"""),"Kuder")</f>
        <v>Kuder</v>
      </c>
      <c r="G5452" s="6" t="str">
        <f>IFERROR(__xludf.DUMMYFUNCTION("""COMPUTED_VALUE"""),"02/26/2015")</f>
        <v>02/26/2015</v>
      </c>
      <c r="H5452" s="6" t="str">
        <f>IFERROR(__xludf.DUMMYFUNCTION("""COMPUTED_VALUE"""),"female")</f>
        <v>female</v>
      </c>
      <c r="I5452" s="6" t="str">
        <f>IFERROR(__xludf.DUMMYFUNCTION("""COMPUTED_VALUE"""),"Level 2")</f>
        <v>Level 2</v>
      </c>
      <c r="J5452" s="6" t="str">
        <f>IFERROR(__xludf.DUMMYFUNCTION("""COMPUTED_VALUE"""),"5")</f>
        <v>5</v>
      </c>
      <c r="K5452" s="6" t="str">
        <f>IFERROR(__xludf.DUMMYFUNCTION("""COMPUTED_VALUE"""),"joshaua.kuder@2hourlearning.com")</f>
        <v>joshaua.kuder@2hourlearning.com</v>
      </c>
      <c r="L5452" s="6" t="str">
        <f>IFERROR(__xludf.DUMMYFUNCTION("""COMPUTED_VALUE"""),"JRES - Ridgeland Elementary School")</f>
        <v>JRES - Ridgeland Elementary School</v>
      </c>
      <c r="M5452" s="6" t="str">
        <f>IFERROR(__xludf.DUMMYFUNCTION("""COMPUTED_VALUE"""),"")</f>
        <v/>
      </c>
      <c r="N5452" s="6" t="str">
        <f>IFERROR(__xludf.DUMMYFUNCTION("""COMPUTED_VALUE"""),"")</f>
        <v/>
      </c>
      <c r="O5452" s="87" t="str">
        <f>IFERROR(__xludf.DUMMYFUNCTION("""COMPUTED_VALUE"""),"https://drive.google.com/drive/folders/10T2cTQHqEJZqE-st6uFKPoI?usp=share_link")</f>
        <v>https://drive.google.com/drive/folders/10T2cTQHqEJZqE-st6uFKPoI?usp=share_link</v>
      </c>
      <c r="P5452" s="6" t="str">
        <f>IFERROR(__xludf.DUMMYFUNCTION("""COMPUTED_VALUE"""),"Joshaua Kuder")</f>
        <v>Joshaua Kuder</v>
      </c>
      <c r="Q5452" s="6" t="str">
        <f>IFERROR(__xludf.DUMMYFUNCTION("""COMPUTED_VALUE"""),"L2")</f>
        <v>L2</v>
      </c>
      <c r="R5452" s="6">
        <f>IFERROR(__xludf.DUMMYFUNCTION("""COMPUTED_VALUE"""),2.0)</f>
        <v>2</v>
      </c>
      <c r="S5452" s="6" t="str">
        <f>IFERROR(__xludf.DUMMYFUNCTION("""COMPUTED_VALUE"""),"Kimberly Ball")</f>
        <v>Kimberly Ball</v>
      </c>
      <c r="T5452" s="6" t="str">
        <f>IFERROR(__xludf.DUMMYFUNCTION("""COMPUTED_VALUE"""),"kimberly.ball@studient.com")</f>
        <v>kimberly.ball@studient.com</v>
      </c>
      <c r="U5452" s="6" t="str">
        <f>IFERROR(__xludf.DUMMYFUNCTION("""COMPUTED_VALUE"""),"5")</f>
        <v>5</v>
      </c>
      <c r="V5452" s="6" t="str">
        <f>IFERROR(__xludf.DUMMYFUNCTION("""COMPUTED_VALUE"""),"")</f>
        <v/>
      </c>
      <c r="W5452" s="6" t="str">
        <f>IFERROR(__xludf.DUMMYFUNCTION("""COMPUTED_VALUE"""),"[]")</f>
        <v>[]</v>
      </c>
      <c r="X5452" s="6" t="str">
        <f>IFERROR(__xludf.DUMMYFUNCTION("""COMPUTED_VALUE"""),"Enrolled")</f>
        <v>Enrolled</v>
      </c>
    </row>
    <row r="5453">
      <c r="A5453" s="6" t="str">
        <f>IFERROR(__xludf.DUMMYFUNCTION("""COMPUTED_VALUE"""),"086-12844")</f>
        <v>086-12844</v>
      </c>
      <c r="B5453" s="6" t="str">
        <f>IFERROR(__xludf.DUMMYFUNCTION("""COMPUTED_VALUE"""),"86")</f>
        <v>86</v>
      </c>
      <c r="C5453" s="6" t="str">
        <f>IFERROR(__xludf.DUMMYFUNCTION("""COMPUTED_VALUE"""),"12844")</f>
        <v>12844</v>
      </c>
      <c r="D5453" s="6" t="str">
        <f>IFERROR(__xludf.DUMMYFUNCTION("""COMPUTED_VALUE"""),"Kayden")</f>
        <v>Kayden</v>
      </c>
      <c r="E5453" s="6" t="str">
        <f>IFERROR(__xludf.DUMMYFUNCTION("""COMPUTED_VALUE"""),"")</f>
        <v/>
      </c>
      <c r="F5453" s="6" t="str">
        <f>IFERROR(__xludf.DUMMYFUNCTION("""COMPUTED_VALUE"""),"Langston")</f>
        <v>Langston</v>
      </c>
      <c r="G5453" s="6" t="str">
        <f>IFERROR(__xludf.DUMMYFUNCTION("""COMPUTED_VALUE"""),"02/22/2017")</f>
        <v>02/22/2017</v>
      </c>
      <c r="H5453" s="6" t="str">
        <f>IFERROR(__xludf.DUMMYFUNCTION("""COMPUTED_VALUE"""),"female")</f>
        <v>female</v>
      </c>
      <c r="I5453" s="6" t="str">
        <f>IFERROR(__xludf.DUMMYFUNCTION("""COMPUTED_VALUE"""),"Level 2")</f>
        <v>Level 2</v>
      </c>
      <c r="J5453" s="6" t="str">
        <f>IFERROR(__xludf.DUMMYFUNCTION("""COMPUTED_VALUE"""),"5")</f>
        <v>5</v>
      </c>
      <c r="K5453" s="6" t="str">
        <f>IFERROR(__xludf.DUMMYFUNCTION("""COMPUTED_VALUE"""),"kayden.langston@2hourlearning.com")</f>
        <v>kayden.langston@2hourlearning.com</v>
      </c>
      <c r="L5453" s="6" t="str">
        <f>IFERROR(__xludf.DUMMYFUNCTION("""COMPUTED_VALUE"""),"JRES - Ridgeland Elementary School")</f>
        <v>JRES - Ridgeland Elementary School</v>
      </c>
      <c r="M5453" s="6" t="str">
        <f>IFERROR(__xludf.DUMMYFUNCTION("""COMPUTED_VALUE"""),"")</f>
        <v/>
      </c>
      <c r="N5453" s="6" t="str">
        <f>IFERROR(__xludf.DUMMYFUNCTION("""COMPUTED_VALUE"""),"")</f>
        <v/>
      </c>
      <c r="O5453" s="87" t="str">
        <f>IFERROR(__xludf.DUMMYFUNCTION("""COMPUTED_VALUE"""),"https://drive.google.com/drive/folders/10T2cTQHqEJZqE-st6uFKPoI?usp=share_link")</f>
        <v>https://drive.google.com/drive/folders/10T2cTQHqEJZqE-st6uFKPoI?usp=share_link</v>
      </c>
      <c r="P5453" s="6" t="str">
        <f>IFERROR(__xludf.DUMMYFUNCTION("""COMPUTED_VALUE"""),"Kayden Langston")</f>
        <v>Kayden Langston</v>
      </c>
      <c r="Q5453" s="6" t="str">
        <f>IFERROR(__xludf.DUMMYFUNCTION("""COMPUTED_VALUE"""),"L2")</f>
        <v>L2</v>
      </c>
      <c r="R5453" s="6">
        <f>IFERROR(__xludf.DUMMYFUNCTION("""COMPUTED_VALUE"""),2.0)</f>
        <v>2</v>
      </c>
      <c r="S5453" s="6" t="str">
        <f>IFERROR(__xludf.DUMMYFUNCTION("""COMPUTED_VALUE"""),"Kimberly Ball")</f>
        <v>Kimberly Ball</v>
      </c>
      <c r="T5453" s="6" t="str">
        <f>IFERROR(__xludf.DUMMYFUNCTION("""COMPUTED_VALUE"""),"kimberly.ball@studient.com")</f>
        <v>kimberly.ball@studient.com</v>
      </c>
      <c r="U5453" s="6" t="str">
        <f>IFERROR(__xludf.DUMMYFUNCTION("""COMPUTED_VALUE"""),"5")</f>
        <v>5</v>
      </c>
      <c r="V5453" s="6" t="str">
        <f>IFERROR(__xludf.DUMMYFUNCTION("""COMPUTED_VALUE"""),"")</f>
        <v/>
      </c>
      <c r="W5453" s="6" t="str">
        <f>IFERROR(__xludf.DUMMYFUNCTION("""COMPUTED_VALUE"""),"[]")</f>
        <v>[]</v>
      </c>
      <c r="X5453" s="6" t="str">
        <f>IFERROR(__xludf.DUMMYFUNCTION("""COMPUTED_VALUE"""),"Enrolled")</f>
        <v>Enrolled</v>
      </c>
    </row>
    <row r="5454">
      <c r="A5454" s="6" t="str">
        <f>IFERROR(__xludf.DUMMYFUNCTION("""COMPUTED_VALUE"""),"086-12845")</f>
        <v>086-12845</v>
      </c>
      <c r="B5454" s="6" t="str">
        <f>IFERROR(__xludf.DUMMYFUNCTION("""COMPUTED_VALUE"""),"86")</f>
        <v>86</v>
      </c>
      <c r="C5454" s="6" t="str">
        <f>IFERROR(__xludf.DUMMYFUNCTION("""COMPUTED_VALUE"""),"12845")</f>
        <v>12845</v>
      </c>
      <c r="D5454" s="6" t="str">
        <f>IFERROR(__xludf.DUMMYFUNCTION("""COMPUTED_VALUE"""),"Logan")</f>
        <v>Logan</v>
      </c>
      <c r="E5454" s="6" t="str">
        <f>IFERROR(__xludf.DUMMYFUNCTION("""COMPUTED_VALUE"""),"")</f>
        <v/>
      </c>
      <c r="F5454" s="6" t="str">
        <f>IFERROR(__xludf.DUMMYFUNCTION("""COMPUTED_VALUE"""),"Lietz")</f>
        <v>Lietz</v>
      </c>
      <c r="G5454" s="6" t="str">
        <f>IFERROR(__xludf.DUMMYFUNCTION("""COMPUTED_VALUE"""),"12/21/2015")</f>
        <v>12/21/2015</v>
      </c>
      <c r="H5454" s="6" t="str">
        <f>IFERROR(__xludf.DUMMYFUNCTION("""COMPUTED_VALUE"""),"female")</f>
        <v>female</v>
      </c>
      <c r="I5454" s="6" t="str">
        <f>IFERROR(__xludf.DUMMYFUNCTION("""COMPUTED_VALUE"""),"Level 2")</f>
        <v>Level 2</v>
      </c>
      <c r="J5454" s="6" t="str">
        <f>IFERROR(__xludf.DUMMYFUNCTION("""COMPUTED_VALUE"""),"5")</f>
        <v>5</v>
      </c>
      <c r="K5454" s="6" t="str">
        <f>IFERROR(__xludf.DUMMYFUNCTION("""COMPUTED_VALUE"""),"logan.lietz@2hourlearning.com")</f>
        <v>logan.lietz@2hourlearning.com</v>
      </c>
      <c r="L5454" s="6" t="str">
        <f>IFERROR(__xludf.DUMMYFUNCTION("""COMPUTED_VALUE"""),"JRES - Ridgeland Elementary School")</f>
        <v>JRES - Ridgeland Elementary School</v>
      </c>
      <c r="M5454" s="6" t="str">
        <f>IFERROR(__xludf.DUMMYFUNCTION("""COMPUTED_VALUE"""),"")</f>
        <v/>
      </c>
      <c r="N5454" s="6" t="str">
        <f>IFERROR(__xludf.DUMMYFUNCTION("""COMPUTED_VALUE"""),"")</f>
        <v/>
      </c>
      <c r="O5454" s="87" t="str">
        <f>IFERROR(__xludf.DUMMYFUNCTION("""COMPUTED_VALUE"""),"https://drive.google.com/drive/folders/10T2cTQHqEJZqE-st6uFKPoI?usp=share_link")</f>
        <v>https://drive.google.com/drive/folders/10T2cTQHqEJZqE-st6uFKPoI?usp=share_link</v>
      </c>
      <c r="P5454" s="6" t="str">
        <f>IFERROR(__xludf.DUMMYFUNCTION("""COMPUTED_VALUE"""),"Logan Lietz")</f>
        <v>Logan Lietz</v>
      </c>
      <c r="Q5454" s="6" t="str">
        <f>IFERROR(__xludf.DUMMYFUNCTION("""COMPUTED_VALUE"""),"L2")</f>
        <v>L2</v>
      </c>
      <c r="R5454" s="6">
        <f>IFERROR(__xludf.DUMMYFUNCTION("""COMPUTED_VALUE"""),2.0)</f>
        <v>2</v>
      </c>
      <c r="S5454" s="6" t="str">
        <f>IFERROR(__xludf.DUMMYFUNCTION("""COMPUTED_VALUE"""),"Kimberly Ball")</f>
        <v>Kimberly Ball</v>
      </c>
      <c r="T5454" s="6" t="str">
        <f>IFERROR(__xludf.DUMMYFUNCTION("""COMPUTED_VALUE"""),"kimberly.ball@studient.com")</f>
        <v>kimberly.ball@studient.com</v>
      </c>
      <c r="U5454" s="6" t="str">
        <f>IFERROR(__xludf.DUMMYFUNCTION("""COMPUTED_VALUE"""),"5")</f>
        <v>5</v>
      </c>
      <c r="V5454" s="6" t="str">
        <f>IFERROR(__xludf.DUMMYFUNCTION("""COMPUTED_VALUE"""),"")</f>
        <v/>
      </c>
      <c r="W5454" s="6" t="str">
        <f>IFERROR(__xludf.DUMMYFUNCTION("""COMPUTED_VALUE"""),"[]")</f>
        <v>[]</v>
      </c>
      <c r="X5454" s="6" t="str">
        <f>IFERROR(__xludf.DUMMYFUNCTION("""COMPUTED_VALUE"""),"Enrolled")</f>
        <v>Enrolled</v>
      </c>
    </row>
    <row r="5455">
      <c r="A5455" s="6" t="str">
        <f>IFERROR(__xludf.DUMMYFUNCTION("""COMPUTED_VALUE"""),"086-12846")</f>
        <v>086-12846</v>
      </c>
      <c r="B5455" s="6" t="str">
        <f>IFERROR(__xludf.DUMMYFUNCTION("""COMPUTED_VALUE"""),"86")</f>
        <v>86</v>
      </c>
      <c r="C5455" s="6" t="str">
        <f>IFERROR(__xludf.DUMMYFUNCTION("""COMPUTED_VALUE"""),"12846")</f>
        <v>12846</v>
      </c>
      <c r="D5455" s="6" t="str">
        <f>IFERROR(__xludf.DUMMYFUNCTION("""COMPUTED_VALUE"""),"A'Nya")</f>
        <v>A'Nya</v>
      </c>
      <c r="E5455" s="6" t="str">
        <f>IFERROR(__xludf.DUMMYFUNCTION("""COMPUTED_VALUE"""),"")</f>
        <v/>
      </c>
      <c r="F5455" s="6" t="str">
        <f>IFERROR(__xludf.DUMMYFUNCTION("""COMPUTED_VALUE"""),"Lockett")</f>
        <v>Lockett</v>
      </c>
      <c r="G5455" s="6" t="str">
        <f>IFERROR(__xludf.DUMMYFUNCTION("""COMPUTED_VALUE"""),"09/02/2014")</f>
        <v>09/02/2014</v>
      </c>
      <c r="H5455" s="6" t="str">
        <f>IFERROR(__xludf.DUMMYFUNCTION("""COMPUTED_VALUE"""),"male")</f>
        <v>male</v>
      </c>
      <c r="I5455" s="6" t="str">
        <f>IFERROR(__xludf.DUMMYFUNCTION("""COMPUTED_VALUE"""),"Level 2")</f>
        <v>Level 2</v>
      </c>
      <c r="J5455" s="6" t="str">
        <f>IFERROR(__xludf.DUMMYFUNCTION("""COMPUTED_VALUE"""),"5")</f>
        <v>5</v>
      </c>
      <c r="K5455" s="6" t="str">
        <f>IFERROR(__xludf.DUMMYFUNCTION("""COMPUTED_VALUE"""),"anya.lockett@2hourlearning.com")</f>
        <v>anya.lockett@2hourlearning.com</v>
      </c>
      <c r="L5455" s="6" t="str">
        <f>IFERROR(__xludf.DUMMYFUNCTION("""COMPUTED_VALUE"""),"JRES - Ridgeland Elementary School")</f>
        <v>JRES - Ridgeland Elementary School</v>
      </c>
      <c r="M5455" s="6" t="str">
        <f>IFERROR(__xludf.DUMMYFUNCTION("""COMPUTED_VALUE"""),"")</f>
        <v/>
      </c>
      <c r="N5455" s="6" t="str">
        <f>IFERROR(__xludf.DUMMYFUNCTION("""COMPUTED_VALUE"""),"")</f>
        <v/>
      </c>
      <c r="O5455" s="87" t="str">
        <f>IFERROR(__xludf.DUMMYFUNCTION("""COMPUTED_VALUE"""),"https://drive.google.com/drive/folders/10T2cTQHqEJZqE-st6uFKPoI?usp=share_link")</f>
        <v>https://drive.google.com/drive/folders/10T2cTQHqEJZqE-st6uFKPoI?usp=share_link</v>
      </c>
      <c r="P5455" s="6" t="str">
        <f>IFERROR(__xludf.DUMMYFUNCTION("""COMPUTED_VALUE"""),"A'Nya Lockett")</f>
        <v>A'Nya Lockett</v>
      </c>
      <c r="Q5455" s="6" t="str">
        <f>IFERROR(__xludf.DUMMYFUNCTION("""COMPUTED_VALUE"""),"L2")</f>
        <v>L2</v>
      </c>
      <c r="R5455" s="6">
        <f>IFERROR(__xludf.DUMMYFUNCTION("""COMPUTED_VALUE"""),2.0)</f>
        <v>2</v>
      </c>
      <c r="S5455" s="6" t="str">
        <f>IFERROR(__xludf.DUMMYFUNCTION("""COMPUTED_VALUE"""),"Kimberly Ball")</f>
        <v>Kimberly Ball</v>
      </c>
      <c r="T5455" s="6" t="str">
        <f>IFERROR(__xludf.DUMMYFUNCTION("""COMPUTED_VALUE"""),"kimberly.ball@studient.com")</f>
        <v>kimberly.ball@studient.com</v>
      </c>
      <c r="U5455" s="6" t="str">
        <f>IFERROR(__xludf.DUMMYFUNCTION("""COMPUTED_VALUE"""),"5")</f>
        <v>5</v>
      </c>
      <c r="V5455" s="6" t="str">
        <f>IFERROR(__xludf.DUMMYFUNCTION("""COMPUTED_VALUE"""),"")</f>
        <v/>
      </c>
      <c r="W5455" s="6" t="str">
        <f>IFERROR(__xludf.DUMMYFUNCTION("""COMPUTED_VALUE"""),"[]")</f>
        <v>[]</v>
      </c>
      <c r="X5455" s="6" t="str">
        <f>IFERROR(__xludf.DUMMYFUNCTION("""COMPUTED_VALUE"""),"Enrolled")</f>
        <v>Enrolled</v>
      </c>
    </row>
    <row r="5456">
      <c r="A5456" s="6" t="str">
        <f>IFERROR(__xludf.DUMMYFUNCTION("""COMPUTED_VALUE"""),"086-12847")</f>
        <v>086-12847</v>
      </c>
      <c r="B5456" s="6" t="str">
        <f>IFERROR(__xludf.DUMMYFUNCTION("""COMPUTED_VALUE"""),"86")</f>
        <v>86</v>
      </c>
      <c r="C5456" s="6" t="str">
        <f>IFERROR(__xludf.DUMMYFUNCTION("""COMPUTED_VALUE"""),"12847")</f>
        <v>12847</v>
      </c>
      <c r="D5456" s="6" t="str">
        <f>IFERROR(__xludf.DUMMYFUNCTION("""COMPUTED_VALUE"""),"Austin")</f>
        <v>Austin</v>
      </c>
      <c r="E5456" s="6" t="str">
        <f>IFERROR(__xludf.DUMMYFUNCTION("""COMPUTED_VALUE"""),"")</f>
        <v/>
      </c>
      <c r="F5456" s="6" t="str">
        <f>IFERROR(__xludf.DUMMYFUNCTION("""COMPUTED_VALUE"""),"Lopez Navarro")</f>
        <v>Lopez Navarro</v>
      </c>
      <c r="G5456" s="6" t="str">
        <f>IFERROR(__xludf.DUMMYFUNCTION("""COMPUTED_VALUE"""),"03/09/2016")</f>
        <v>03/09/2016</v>
      </c>
      <c r="H5456" s="6" t="str">
        <f>IFERROR(__xludf.DUMMYFUNCTION("""COMPUTED_VALUE"""),"female")</f>
        <v>female</v>
      </c>
      <c r="I5456" s="6" t="str">
        <f>IFERROR(__xludf.DUMMYFUNCTION("""COMPUTED_VALUE"""),"Level 2")</f>
        <v>Level 2</v>
      </c>
      <c r="J5456" s="6" t="str">
        <f>IFERROR(__xludf.DUMMYFUNCTION("""COMPUTED_VALUE"""),"5")</f>
        <v>5</v>
      </c>
      <c r="K5456" s="6" t="str">
        <f>IFERROR(__xludf.DUMMYFUNCTION("""COMPUTED_VALUE"""),"austin.lopeznavarro@2hourlearning.com")</f>
        <v>austin.lopeznavarro@2hourlearning.com</v>
      </c>
      <c r="L5456" s="6" t="str">
        <f>IFERROR(__xludf.DUMMYFUNCTION("""COMPUTED_VALUE"""),"JRES - Ridgeland Elementary School")</f>
        <v>JRES - Ridgeland Elementary School</v>
      </c>
      <c r="M5456" s="6" t="str">
        <f>IFERROR(__xludf.DUMMYFUNCTION("""COMPUTED_VALUE"""),"")</f>
        <v/>
      </c>
      <c r="N5456" s="6" t="str">
        <f>IFERROR(__xludf.DUMMYFUNCTION("""COMPUTED_VALUE"""),"")</f>
        <v/>
      </c>
      <c r="O5456" s="87" t="str">
        <f>IFERROR(__xludf.DUMMYFUNCTION("""COMPUTED_VALUE"""),"https://drive.google.com/drive/folders/10T2cTQHqEJZqE-st6uFKPoI?usp=share_link")</f>
        <v>https://drive.google.com/drive/folders/10T2cTQHqEJZqE-st6uFKPoI?usp=share_link</v>
      </c>
      <c r="P5456" s="6" t="str">
        <f>IFERROR(__xludf.DUMMYFUNCTION("""COMPUTED_VALUE"""),"Austin Lopez Navarro")</f>
        <v>Austin Lopez Navarro</v>
      </c>
      <c r="Q5456" s="6" t="str">
        <f>IFERROR(__xludf.DUMMYFUNCTION("""COMPUTED_VALUE"""),"L2")</f>
        <v>L2</v>
      </c>
      <c r="R5456" s="6">
        <f>IFERROR(__xludf.DUMMYFUNCTION("""COMPUTED_VALUE"""),2.0)</f>
        <v>2</v>
      </c>
      <c r="S5456" s="6" t="str">
        <f>IFERROR(__xludf.DUMMYFUNCTION("""COMPUTED_VALUE"""),"Kimberly Ball")</f>
        <v>Kimberly Ball</v>
      </c>
      <c r="T5456" s="6" t="str">
        <f>IFERROR(__xludf.DUMMYFUNCTION("""COMPUTED_VALUE"""),"kimberly.ball@studient.com")</f>
        <v>kimberly.ball@studient.com</v>
      </c>
      <c r="U5456" s="6" t="str">
        <f>IFERROR(__xludf.DUMMYFUNCTION("""COMPUTED_VALUE"""),"5")</f>
        <v>5</v>
      </c>
      <c r="V5456" s="6" t="str">
        <f>IFERROR(__xludf.DUMMYFUNCTION("""COMPUTED_VALUE"""),"")</f>
        <v/>
      </c>
      <c r="W5456" s="6" t="str">
        <f>IFERROR(__xludf.DUMMYFUNCTION("""COMPUTED_VALUE"""),"[]")</f>
        <v>[]</v>
      </c>
      <c r="X5456" s="6" t="str">
        <f>IFERROR(__xludf.DUMMYFUNCTION("""COMPUTED_VALUE"""),"Enrolled")</f>
        <v>Enrolled</v>
      </c>
    </row>
    <row r="5457">
      <c r="A5457" s="6" t="str">
        <f>IFERROR(__xludf.DUMMYFUNCTION("""COMPUTED_VALUE"""),"086-12848")</f>
        <v>086-12848</v>
      </c>
      <c r="B5457" s="6" t="str">
        <f>IFERROR(__xludf.DUMMYFUNCTION("""COMPUTED_VALUE"""),"86")</f>
        <v>86</v>
      </c>
      <c r="C5457" s="6" t="str">
        <f>IFERROR(__xludf.DUMMYFUNCTION("""COMPUTED_VALUE"""),"12848")</f>
        <v>12848</v>
      </c>
      <c r="D5457" s="6" t="str">
        <f>IFERROR(__xludf.DUMMYFUNCTION("""COMPUTED_VALUE"""),"Naomi")</f>
        <v>Naomi</v>
      </c>
      <c r="E5457" s="6" t="str">
        <f>IFERROR(__xludf.DUMMYFUNCTION("""COMPUTED_VALUE"""),"")</f>
        <v/>
      </c>
      <c r="F5457" s="6" t="str">
        <f>IFERROR(__xludf.DUMMYFUNCTION("""COMPUTED_VALUE"""),"Lopez Romero")</f>
        <v>Lopez Romero</v>
      </c>
      <c r="G5457" s="6" t="str">
        <f>IFERROR(__xludf.DUMMYFUNCTION("""COMPUTED_VALUE"""),"09/13/2015")</f>
        <v>09/13/2015</v>
      </c>
      <c r="H5457" s="6" t="str">
        <f>IFERROR(__xludf.DUMMYFUNCTION("""COMPUTED_VALUE"""),"female")</f>
        <v>female</v>
      </c>
      <c r="I5457" s="6" t="str">
        <f>IFERROR(__xludf.DUMMYFUNCTION("""COMPUTED_VALUE"""),"Level 2")</f>
        <v>Level 2</v>
      </c>
      <c r="J5457" s="6" t="str">
        <f>IFERROR(__xludf.DUMMYFUNCTION("""COMPUTED_VALUE"""),"5")</f>
        <v>5</v>
      </c>
      <c r="K5457" s="6" t="str">
        <f>IFERROR(__xludf.DUMMYFUNCTION("""COMPUTED_VALUE"""),"naomi.lopezromero@2hourlearning.com")</f>
        <v>naomi.lopezromero@2hourlearning.com</v>
      </c>
      <c r="L5457" s="6" t="str">
        <f>IFERROR(__xludf.DUMMYFUNCTION("""COMPUTED_VALUE"""),"JRES - Ridgeland Elementary School")</f>
        <v>JRES - Ridgeland Elementary School</v>
      </c>
      <c r="M5457" s="6" t="str">
        <f>IFERROR(__xludf.DUMMYFUNCTION("""COMPUTED_VALUE"""),"")</f>
        <v/>
      </c>
      <c r="N5457" s="6" t="str">
        <f>IFERROR(__xludf.DUMMYFUNCTION("""COMPUTED_VALUE"""),"")</f>
        <v/>
      </c>
      <c r="O5457" s="87" t="str">
        <f>IFERROR(__xludf.DUMMYFUNCTION("""COMPUTED_VALUE"""),"https://drive.google.com/drive/folders/10T2cTQHqEJZqE-st6uFKPoI?usp=share_link")</f>
        <v>https://drive.google.com/drive/folders/10T2cTQHqEJZqE-st6uFKPoI?usp=share_link</v>
      </c>
      <c r="P5457" s="6" t="str">
        <f>IFERROR(__xludf.DUMMYFUNCTION("""COMPUTED_VALUE"""),"Naomi Lopez Romero")</f>
        <v>Naomi Lopez Romero</v>
      </c>
      <c r="Q5457" s="6" t="str">
        <f>IFERROR(__xludf.DUMMYFUNCTION("""COMPUTED_VALUE"""),"L2")</f>
        <v>L2</v>
      </c>
      <c r="R5457" s="6">
        <f>IFERROR(__xludf.DUMMYFUNCTION("""COMPUTED_VALUE"""),2.0)</f>
        <v>2</v>
      </c>
      <c r="S5457" s="6" t="str">
        <f>IFERROR(__xludf.DUMMYFUNCTION("""COMPUTED_VALUE"""),"Kimberly Ball")</f>
        <v>Kimberly Ball</v>
      </c>
      <c r="T5457" s="6" t="str">
        <f>IFERROR(__xludf.DUMMYFUNCTION("""COMPUTED_VALUE"""),"kimberly.ball@studient.com")</f>
        <v>kimberly.ball@studient.com</v>
      </c>
      <c r="U5457" s="6" t="str">
        <f>IFERROR(__xludf.DUMMYFUNCTION("""COMPUTED_VALUE"""),"5")</f>
        <v>5</v>
      </c>
      <c r="V5457" s="6" t="str">
        <f>IFERROR(__xludf.DUMMYFUNCTION("""COMPUTED_VALUE"""),"")</f>
        <v/>
      </c>
      <c r="W5457" s="6" t="str">
        <f>IFERROR(__xludf.DUMMYFUNCTION("""COMPUTED_VALUE"""),"[]")</f>
        <v>[]</v>
      </c>
      <c r="X5457" s="6" t="str">
        <f>IFERROR(__xludf.DUMMYFUNCTION("""COMPUTED_VALUE"""),"Enrolled")</f>
        <v>Enrolled</v>
      </c>
    </row>
    <row r="5458">
      <c r="A5458" s="6" t="str">
        <f>IFERROR(__xludf.DUMMYFUNCTION("""COMPUTED_VALUE"""),"086-12849")</f>
        <v>086-12849</v>
      </c>
      <c r="B5458" s="6" t="str">
        <f>IFERROR(__xludf.DUMMYFUNCTION("""COMPUTED_VALUE"""),"86")</f>
        <v>86</v>
      </c>
      <c r="C5458" s="6" t="str">
        <f>IFERROR(__xludf.DUMMYFUNCTION("""COMPUTED_VALUE"""),"12849")</f>
        <v>12849</v>
      </c>
      <c r="D5458" s="6" t="str">
        <f>IFERROR(__xludf.DUMMYFUNCTION("""COMPUTED_VALUE"""),"Axel")</f>
        <v>Axel</v>
      </c>
      <c r="E5458" s="6" t="str">
        <f>IFERROR(__xludf.DUMMYFUNCTION("""COMPUTED_VALUE"""),"")</f>
        <v/>
      </c>
      <c r="F5458" s="6" t="str">
        <f>IFERROR(__xludf.DUMMYFUNCTION("""COMPUTED_VALUE"""),"Lopez Santos")</f>
        <v>Lopez Santos</v>
      </c>
      <c r="G5458" s="6" t="str">
        <f>IFERROR(__xludf.DUMMYFUNCTION("""COMPUTED_VALUE"""),"02/03/2016")</f>
        <v>02/03/2016</v>
      </c>
      <c r="H5458" s="6" t="str">
        <f>IFERROR(__xludf.DUMMYFUNCTION("""COMPUTED_VALUE"""),"female")</f>
        <v>female</v>
      </c>
      <c r="I5458" s="6" t="str">
        <f>IFERROR(__xludf.DUMMYFUNCTION("""COMPUTED_VALUE"""),"Level 2")</f>
        <v>Level 2</v>
      </c>
      <c r="J5458" s="6" t="str">
        <f>IFERROR(__xludf.DUMMYFUNCTION("""COMPUTED_VALUE"""),"5")</f>
        <v>5</v>
      </c>
      <c r="K5458" s="6" t="str">
        <f>IFERROR(__xludf.DUMMYFUNCTION("""COMPUTED_VALUE"""),"axel.lopezsantos@2hourlearning.com")</f>
        <v>axel.lopezsantos@2hourlearning.com</v>
      </c>
      <c r="L5458" s="6" t="str">
        <f>IFERROR(__xludf.DUMMYFUNCTION("""COMPUTED_VALUE"""),"JRES - Ridgeland Elementary School")</f>
        <v>JRES - Ridgeland Elementary School</v>
      </c>
      <c r="M5458" s="6" t="str">
        <f>IFERROR(__xludf.DUMMYFUNCTION("""COMPUTED_VALUE"""),"")</f>
        <v/>
      </c>
      <c r="N5458" s="6" t="str">
        <f>IFERROR(__xludf.DUMMYFUNCTION("""COMPUTED_VALUE"""),"")</f>
        <v/>
      </c>
      <c r="O5458" s="87" t="str">
        <f>IFERROR(__xludf.DUMMYFUNCTION("""COMPUTED_VALUE"""),"https://drive.google.com/drive/folders/10T2cTQHqEJZqE-st6uFKPoI?usp=share_link")</f>
        <v>https://drive.google.com/drive/folders/10T2cTQHqEJZqE-st6uFKPoI?usp=share_link</v>
      </c>
      <c r="P5458" s="6" t="str">
        <f>IFERROR(__xludf.DUMMYFUNCTION("""COMPUTED_VALUE"""),"Axel Lopez Santos")</f>
        <v>Axel Lopez Santos</v>
      </c>
      <c r="Q5458" s="6" t="str">
        <f>IFERROR(__xludf.DUMMYFUNCTION("""COMPUTED_VALUE"""),"L2")</f>
        <v>L2</v>
      </c>
      <c r="R5458" s="6">
        <f>IFERROR(__xludf.DUMMYFUNCTION("""COMPUTED_VALUE"""),2.0)</f>
        <v>2</v>
      </c>
      <c r="S5458" s="6" t="str">
        <f>IFERROR(__xludf.DUMMYFUNCTION("""COMPUTED_VALUE"""),"Kimberly Ball")</f>
        <v>Kimberly Ball</v>
      </c>
      <c r="T5458" s="6" t="str">
        <f>IFERROR(__xludf.DUMMYFUNCTION("""COMPUTED_VALUE"""),"kimberly.ball@studient.com")</f>
        <v>kimberly.ball@studient.com</v>
      </c>
      <c r="U5458" s="6" t="str">
        <f>IFERROR(__xludf.DUMMYFUNCTION("""COMPUTED_VALUE"""),"5")</f>
        <v>5</v>
      </c>
      <c r="V5458" s="6" t="str">
        <f>IFERROR(__xludf.DUMMYFUNCTION("""COMPUTED_VALUE"""),"")</f>
        <v/>
      </c>
      <c r="W5458" s="6" t="str">
        <f>IFERROR(__xludf.DUMMYFUNCTION("""COMPUTED_VALUE"""),"[]")</f>
        <v>[]</v>
      </c>
      <c r="X5458" s="6" t="str">
        <f>IFERROR(__xludf.DUMMYFUNCTION("""COMPUTED_VALUE"""),"Enrolled")</f>
        <v>Enrolled</v>
      </c>
    </row>
    <row r="5459">
      <c r="A5459" s="6" t="str">
        <f>IFERROR(__xludf.DUMMYFUNCTION("""COMPUTED_VALUE"""),"086-12850")</f>
        <v>086-12850</v>
      </c>
      <c r="B5459" s="6" t="str">
        <f>IFERROR(__xludf.DUMMYFUNCTION("""COMPUTED_VALUE"""),"86")</f>
        <v>86</v>
      </c>
      <c r="C5459" s="6" t="str">
        <f>IFERROR(__xludf.DUMMYFUNCTION("""COMPUTED_VALUE"""),"12850")</f>
        <v>12850</v>
      </c>
      <c r="D5459" s="6" t="str">
        <f>IFERROR(__xludf.DUMMYFUNCTION("""COMPUTED_VALUE"""),"Xavier")</f>
        <v>Xavier</v>
      </c>
      <c r="E5459" s="6" t="str">
        <f>IFERROR(__xludf.DUMMYFUNCTION("""COMPUTED_VALUE"""),"")</f>
        <v/>
      </c>
      <c r="F5459" s="6" t="str">
        <f>IFERROR(__xludf.DUMMYFUNCTION("""COMPUTED_VALUE"""),"Lorenzo")</f>
        <v>Lorenzo</v>
      </c>
      <c r="G5459" s="6" t="str">
        <f>IFERROR(__xludf.DUMMYFUNCTION("""COMPUTED_VALUE"""),"04/29/2018")</f>
        <v>04/29/2018</v>
      </c>
      <c r="H5459" s="6" t="str">
        <f>IFERROR(__xludf.DUMMYFUNCTION("""COMPUTED_VALUE"""),"male")</f>
        <v>male</v>
      </c>
      <c r="I5459" s="6" t="str">
        <f>IFERROR(__xludf.DUMMYFUNCTION("""COMPUTED_VALUE"""),"Level 2")</f>
        <v>Level 2</v>
      </c>
      <c r="J5459" s="6" t="str">
        <f>IFERROR(__xludf.DUMMYFUNCTION("""COMPUTED_VALUE"""),"5")</f>
        <v>5</v>
      </c>
      <c r="K5459" s="6" t="str">
        <f>IFERROR(__xludf.DUMMYFUNCTION("""COMPUTED_VALUE"""),"xavier.lorenzo@2hourlearning.com")</f>
        <v>xavier.lorenzo@2hourlearning.com</v>
      </c>
      <c r="L5459" s="6" t="str">
        <f>IFERROR(__xludf.DUMMYFUNCTION("""COMPUTED_VALUE"""),"JRES - Ridgeland Elementary School")</f>
        <v>JRES - Ridgeland Elementary School</v>
      </c>
      <c r="M5459" s="6" t="str">
        <f>IFERROR(__xludf.DUMMYFUNCTION("""COMPUTED_VALUE"""),"")</f>
        <v/>
      </c>
      <c r="N5459" s="6" t="str">
        <f>IFERROR(__xludf.DUMMYFUNCTION("""COMPUTED_VALUE"""),"")</f>
        <v/>
      </c>
      <c r="O5459" s="87" t="str">
        <f>IFERROR(__xludf.DUMMYFUNCTION("""COMPUTED_VALUE"""),"https://drive.google.com/drive/folders/10T2cTQHqEJZqE-st6uFKPoI?usp=share_link")</f>
        <v>https://drive.google.com/drive/folders/10T2cTQHqEJZqE-st6uFKPoI?usp=share_link</v>
      </c>
      <c r="P5459" s="6" t="str">
        <f>IFERROR(__xludf.DUMMYFUNCTION("""COMPUTED_VALUE"""),"Xavier Lorenzo")</f>
        <v>Xavier Lorenzo</v>
      </c>
      <c r="Q5459" s="6" t="str">
        <f>IFERROR(__xludf.DUMMYFUNCTION("""COMPUTED_VALUE"""),"L2")</f>
        <v>L2</v>
      </c>
      <c r="R5459" s="6">
        <f>IFERROR(__xludf.DUMMYFUNCTION("""COMPUTED_VALUE"""),2.0)</f>
        <v>2</v>
      </c>
      <c r="S5459" s="6" t="str">
        <f>IFERROR(__xludf.DUMMYFUNCTION("""COMPUTED_VALUE"""),"Kimberly Ball")</f>
        <v>Kimberly Ball</v>
      </c>
      <c r="T5459" s="6" t="str">
        <f>IFERROR(__xludf.DUMMYFUNCTION("""COMPUTED_VALUE"""),"kimberly.ball@studient.com")</f>
        <v>kimberly.ball@studient.com</v>
      </c>
      <c r="U5459" s="6" t="str">
        <f>IFERROR(__xludf.DUMMYFUNCTION("""COMPUTED_VALUE"""),"5")</f>
        <v>5</v>
      </c>
      <c r="V5459" s="6" t="str">
        <f>IFERROR(__xludf.DUMMYFUNCTION("""COMPUTED_VALUE"""),"")</f>
        <v/>
      </c>
      <c r="W5459" s="6" t="str">
        <f>IFERROR(__xludf.DUMMYFUNCTION("""COMPUTED_VALUE"""),"[]")</f>
        <v>[]</v>
      </c>
      <c r="X5459" s="6" t="str">
        <f>IFERROR(__xludf.DUMMYFUNCTION("""COMPUTED_VALUE"""),"Enrolled")</f>
        <v>Enrolled</v>
      </c>
    </row>
    <row r="5460">
      <c r="A5460" s="6" t="str">
        <f>IFERROR(__xludf.DUMMYFUNCTION("""COMPUTED_VALUE"""),"086-12851")</f>
        <v>086-12851</v>
      </c>
      <c r="B5460" s="6" t="str">
        <f>IFERROR(__xludf.DUMMYFUNCTION("""COMPUTED_VALUE"""),"86")</f>
        <v>86</v>
      </c>
      <c r="C5460" s="6" t="str">
        <f>IFERROR(__xludf.DUMMYFUNCTION("""COMPUTED_VALUE"""),"12851")</f>
        <v>12851</v>
      </c>
      <c r="D5460" s="6" t="str">
        <f>IFERROR(__xludf.DUMMYFUNCTION("""COMPUTED_VALUE"""),"Edward")</f>
        <v>Edward</v>
      </c>
      <c r="E5460" s="6" t="str">
        <f>IFERROR(__xludf.DUMMYFUNCTION("""COMPUTED_VALUE"""),"")</f>
        <v/>
      </c>
      <c r="F5460" s="6" t="str">
        <f>IFERROR(__xludf.DUMMYFUNCTION("""COMPUTED_VALUE"""),"Lozano")</f>
        <v>Lozano</v>
      </c>
      <c r="G5460" s="6" t="str">
        <f>IFERROR(__xludf.DUMMYFUNCTION("""COMPUTED_VALUE"""),"12/17/2016")</f>
        <v>12/17/2016</v>
      </c>
      <c r="H5460" s="6" t="str">
        <f>IFERROR(__xludf.DUMMYFUNCTION("""COMPUTED_VALUE"""),"female")</f>
        <v>female</v>
      </c>
      <c r="I5460" s="6" t="str">
        <f>IFERROR(__xludf.DUMMYFUNCTION("""COMPUTED_VALUE"""),"Level 2")</f>
        <v>Level 2</v>
      </c>
      <c r="J5460" s="6" t="str">
        <f>IFERROR(__xludf.DUMMYFUNCTION("""COMPUTED_VALUE"""),"5")</f>
        <v>5</v>
      </c>
      <c r="K5460" s="6" t="str">
        <f>IFERROR(__xludf.DUMMYFUNCTION("""COMPUTED_VALUE"""),"edward.lozano@2hourlearning.com")</f>
        <v>edward.lozano@2hourlearning.com</v>
      </c>
      <c r="L5460" s="6" t="str">
        <f>IFERROR(__xludf.DUMMYFUNCTION("""COMPUTED_VALUE"""),"JRES - Ridgeland Elementary School")</f>
        <v>JRES - Ridgeland Elementary School</v>
      </c>
      <c r="M5460" s="6" t="str">
        <f>IFERROR(__xludf.DUMMYFUNCTION("""COMPUTED_VALUE"""),"")</f>
        <v/>
      </c>
      <c r="N5460" s="6" t="str">
        <f>IFERROR(__xludf.DUMMYFUNCTION("""COMPUTED_VALUE"""),"")</f>
        <v/>
      </c>
      <c r="O5460" s="87" t="str">
        <f>IFERROR(__xludf.DUMMYFUNCTION("""COMPUTED_VALUE"""),"https://drive.google.com/drive/folders/10T2cTQHqEJZqE-st6uFKPoI?usp=share_link")</f>
        <v>https://drive.google.com/drive/folders/10T2cTQHqEJZqE-st6uFKPoI?usp=share_link</v>
      </c>
      <c r="P5460" s="6" t="str">
        <f>IFERROR(__xludf.DUMMYFUNCTION("""COMPUTED_VALUE"""),"Edward Lozano")</f>
        <v>Edward Lozano</v>
      </c>
      <c r="Q5460" s="6" t="str">
        <f>IFERROR(__xludf.DUMMYFUNCTION("""COMPUTED_VALUE"""),"L2")</f>
        <v>L2</v>
      </c>
      <c r="R5460" s="6">
        <f>IFERROR(__xludf.DUMMYFUNCTION("""COMPUTED_VALUE"""),2.0)</f>
        <v>2</v>
      </c>
      <c r="S5460" s="6" t="str">
        <f>IFERROR(__xludf.DUMMYFUNCTION("""COMPUTED_VALUE"""),"Kimberly Ball")</f>
        <v>Kimberly Ball</v>
      </c>
      <c r="T5460" s="6" t="str">
        <f>IFERROR(__xludf.DUMMYFUNCTION("""COMPUTED_VALUE"""),"kimberly.ball@studient.com")</f>
        <v>kimberly.ball@studient.com</v>
      </c>
      <c r="U5460" s="6" t="str">
        <f>IFERROR(__xludf.DUMMYFUNCTION("""COMPUTED_VALUE"""),"5")</f>
        <v>5</v>
      </c>
      <c r="V5460" s="6" t="str">
        <f>IFERROR(__xludf.DUMMYFUNCTION("""COMPUTED_VALUE"""),"")</f>
        <v/>
      </c>
      <c r="W5460" s="6" t="str">
        <f>IFERROR(__xludf.DUMMYFUNCTION("""COMPUTED_VALUE"""),"[]")</f>
        <v>[]</v>
      </c>
      <c r="X5460" s="6" t="str">
        <f>IFERROR(__xludf.DUMMYFUNCTION("""COMPUTED_VALUE"""),"Enrolled")</f>
        <v>Enrolled</v>
      </c>
    </row>
    <row r="5461">
      <c r="A5461" s="6" t="str">
        <f>IFERROR(__xludf.DUMMYFUNCTION("""COMPUTED_VALUE"""),"086-12852")</f>
        <v>086-12852</v>
      </c>
      <c r="B5461" s="6" t="str">
        <f>IFERROR(__xludf.DUMMYFUNCTION("""COMPUTED_VALUE"""),"86")</f>
        <v>86</v>
      </c>
      <c r="C5461" s="6" t="str">
        <f>IFERROR(__xludf.DUMMYFUNCTION("""COMPUTED_VALUE"""),"12852")</f>
        <v>12852</v>
      </c>
      <c r="D5461" s="6" t="str">
        <f>IFERROR(__xludf.DUMMYFUNCTION("""COMPUTED_VALUE"""),"Bryan")</f>
        <v>Bryan</v>
      </c>
      <c r="E5461" s="6" t="str">
        <f>IFERROR(__xludf.DUMMYFUNCTION("""COMPUTED_VALUE"""),"")</f>
        <v/>
      </c>
      <c r="F5461" s="6" t="str">
        <f>IFERROR(__xludf.DUMMYFUNCTION("""COMPUTED_VALUE"""),"Lozano Reyna")</f>
        <v>Lozano Reyna</v>
      </c>
      <c r="G5461" s="6" t="str">
        <f>IFERROR(__xludf.DUMMYFUNCTION("""COMPUTED_VALUE"""),"06/08/2017")</f>
        <v>06/08/2017</v>
      </c>
      <c r="H5461" s="6" t="str">
        <f>IFERROR(__xludf.DUMMYFUNCTION("""COMPUTED_VALUE"""),"male")</f>
        <v>male</v>
      </c>
      <c r="I5461" s="6" t="str">
        <f>IFERROR(__xludf.DUMMYFUNCTION("""COMPUTED_VALUE"""),"Level 2")</f>
        <v>Level 2</v>
      </c>
      <c r="J5461" s="6" t="str">
        <f>IFERROR(__xludf.DUMMYFUNCTION("""COMPUTED_VALUE"""),"5")</f>
        <v>5</v>
      </c>
      <c r="K5461" s="6" t="str">
        <f>IFERROR(__xludf.DUMMYFUNCTION("""COMPUTED_VALUE"""),"bryan.lozanoreyna@2hourlearning.com")</f>
        <v>bryan.lozanoreyna@2hourlearning.com</v>
      </c>
      <c r="L5461" s="6" t="str">
        <f>IFERROR(__xludf.DUMMYFUNCTION("""COMPUTED_VALUE"""),"JRES - Ridgeland Elementary School")</f>
        <v>JRES - Ridgeland Elementary School</v>
      </c>
      <c r="M5461" s="6" t="str">
        <f>IFERROR(__xludf.DUMMYFUNCTION("""COMPUTED_VALUE"""),"")</f>
        <v/>
      </c>
      <c r="N5461" s="6" t="str">
        <f>IFERROR(__xludf.DUMMYFUNCTION("""COMPUTED_VALUE"""),"")</f>
        <v/>
      </c>
      <c r="O5461" s="87" t="str">
        <f>IFERROR(__xludf.DUMMYFUNCTION("""COMPUTED_VALUE"""),"https://drive.google.com/drive/folders/10T2cTQHqEJZqE-st6uFKPoI?usp=share_link")</f>
        <v>https://drive.google.com/drive/folders/10T2cTQHqEJZqE-st6uFKPoI?usp=share_link</v>
      </c>
      <c r="P5461" s="6" t="str">
        <f>IFERROR(__xludf.DUMMYFUNCTION("""COMPUTED_VALUE"""),"Bryan Lozano Reyna")</f>
        <v>Bryan Lozano Reyna</v>
      </c>
      <c r="Q5461" s="6" t="str">
        <f>IFERROR(__xludf.DUMMYFUNCTION("""COMPUTED_VALUE"""),"L2")</f>
        <v>L2</v>
      </c>
      <c r="R5461" s="6">
        <f>IFERROR(__xludf.DUMMYFUNCTION("""COMPUTED_VALUE"""),2.0)</f>
        <v>2</v>
      </c>
      <c r="S5461" s="6" t="str">
        <f>IFERROR(__xludf.DUMMYFUNCTION("""COMPUTED_VALUE"""),"Kimberly Ball")</f>
        <v>Kimberly Ball</v>
      </c>
      <c r="T5461" s="6" t="str">
        <f>IFERROR(__xludf.DUMMYFUNCTION("""COMPUTED_VALUE"""),"kimberly.ball@studient.com")</f>
        <v>kimberly.ball@studient.com</v>
      </c>
      <c r="U5461" s="6" t="str">
        <f>IFERROR(__xludf.DUMMYFUNCTION("""COMPUTED_VALUE"""),"5")</f>
        <v>5</v>
      </c>
      <c r="V5461" s="6" t="str">
        <f>IFERROR(__xludf.DUMMYFUNCTION("""COMPUTED_VALUE"""),"")</f>
        <v/>
      </c>
      <c r="W5461" s="6" t="str">
        <f>IFERROR(__xludf.DUMMYFUNCTION("""COMPUTED_VALUE"""),"[]")</f>
        <v>[]</v>
      </c>
      <c r="X5461" s="6" t="str">
        <f>IFERROR(__xludf.DUMMYFUNCTION("""COMPUTED_VALUE"""),"Enrolled")</f>
        <v>Enrolled</v>
      </c>
    </row>
    <row r="5462">
      <c r="A5462" s="6" t="str">
        <f>IFERROR(__xludf.DUMMYFUNCTION("""COMPUTED_VALUE"""),"086-12853")</f>
        <v>086-12853</v>
      </c>
      <c r="B5462" s="6" t="str">
        <f>IFERROR(__xludf.DUMMYFUNCTION("""COMPUTED_VALUE"""),"86")</f>
        <v>86</v>
      </c>
      <c r="C5462" s="6" t="str">
        <f>IFERROR(__xludf.DUMMYFUNCTION("""COMPUTED_VALUE"""),"12853")</f>
        <v>12853</v>
      </c>
      <c r="D5462" s="6" t="str">
        <f>IFERROR(__xludf.DUMMYFUNCTION("""COMPUTED_VALUE"""),"Bryanna")</f>
        <v>Bryanna</v>
      </c>
      <c r="E5462" s="6" t="str">
        <f>IFERROR(__xludf.DUMMYFUNCTION("""COMPUTED_VALUE"""),"")</f>
        <v/>
      </c>
      <c r="F5462" s="6" t="str">
        <f>IFERROR(__xludf.DUMMYFUNCTION("""COMPUTED_VALUE"""),"Madrid-Garcia")</f>
        <v>Madrid-Garcia</v>
      </c>
      <c r="G5462" s="6" t="str">
        <f>IFERROR(__xludf.DUMMYFUNCTION("""COMPUTED_VALUE"""),"12/12/2014")</f>
        <v>12/12/2014</v>
      </c>
      <c r="H5462" s="6" t="str">
        <f>IFERROR(__xludf.DUMMYFUNCTION("""COMPUTED_VALUE"""),"male")</f>
        <v>male</v>
      </c>
      <c r="I5462" s="6" t="str">
        <f>IFERROR(__xludf.DUMMYFUNCTION("""COMPUTED_VALUE"""),"Level 2")</f>
        <v>Level 2</v>
      </c>
      <c r="J5462" s="6" t="str">
        <f>IFERROR(__xludf.DUMMYFUNCTION("""COMPUTED_VALUE"""),"5")</f>
        <v>5</v>
      </c>
      <c r="K5462" s="6" t="str">
        <f>IFERROR(__xludf.DUMMYFUNCTION("""COMPUTED_VALUE"""),"bryanna.madrid-garcia@2hourlearning.com")</f>
        <v>bryanna.madrid-garcia@2hourlearning.com</v>
      </c>
      <c r="L5462" s="6" t="str">
        <f>IFERROR(__xludf.DUMMYFUNCTION("""COMPUTED_VALUE"""),"JRES - Ridgeland Elementary School")</f>
        <v>JRES - Ridgeland Elementary School</v>
      </c>
      <c r="M5462" s="6" t="str">
        <f>IFERROR(__xludf.DUMMYFUNCTION("""COMPUTED_VALUE"""),"")</f>
        <v/>
      </c>
      <c r="N5462" s="6" t="str">
        <f>IFERROR(__xludf.DUMMYFUNCTION("""COMPUTED_VALUE"""),"")</f>
        <v/>
      </c>
      <c r="O5462" s="87" t="str">
        <f>IFERROR(__xludf.DUMMYFUNCTION("""COMPUTED_VALUE"""),"https://drive.google.com/drive/folders/10T2cTQHqEJZqE-st6uFKPoI?usp=share_link")</f>
        <v>https://drive.google.com/drive/folders/10T2cTQHqEJZqE-st6uFKPoI?usp=share_link</v>
      </c>
      <c r="P5462" s="6" t="str">
        <f>IFERROR(__xludf.DUMMYFUNCTION("""COMPUTED_VALUE"""),"Bryanna Madrid-Garcia")</f>
        <v>Bryanna Madrid-Garcia</v>
      </c>
      <c r="Q5462" s="6" t="str">
        <f>IFERROR(__xludf.DUMMYFUNCTION("""COMPUTED_VALUE"""),"L2")</f>
        <v>L2</v>
      </c>
      <c r="R5462" s="6">
        <f>IFERROR(__xludf.DUMMYFUNCTION("""COMPUTED_VALUE"""),2.0)</f>
        <v>2</v>
      </c>
      <c r="S5462" s="6" t="str">
        <f>IFERROR(__xludf.DUMMYFUNCTION("""COMPUTED_VALUE"""),"Kimberly Ball")</f>
        <v>Kimberly Ball</v>
      </c>
      <c r="T5462" s="6" t="str">
        <f>IFERROR(__xludf.DUMMYFUNCTION("""COMPUTED_VALUE"""),"kimberly.ball@studient.com")</f>
        <v>kimberly.ball@studient.com</v>
      </c>
      <c r="U5462" s="6" t="str">
        <f>IFERROR(__xludf.DUMMYFUNCTION("""COMPUTED_VALUE"""),"5")</f>
        <v>5</v>
      </c>
      <c r="V5462" s="6" t="str">
        <f>IFERROR(__xludf.DUMMYFUNCTION("""COMPUTED_VALUE"""),"")</f>
        <v/>
      </c>
      <c r="W5462" s="6" t="str">
        <f>IFERROR(__xludf.DUMMYFUNCTION("""COMPUTED_VALUE"""),"[]")</f>
        <v>[]</v>
      </c>
      <c r="X5462" s="6" t="str">
        <f>IFERROR(__xludf.DUMMYFUNCTION("""COMPUTED_VALUE"""),"Enrolled")</f>
        <v>Enrolled</v>
      </c>
    </row>
    <row r="5463">
      <c r="A5463" s="6" t="str">
        <f>IFERROR(__xludf.DUMMYFUNCTION("""COMPUTED_VALUE"""),"086-12854")</f>
        <v>086-12854</v>
      </c>
      <c r="B5463" s="6" t="str">
        <f>IFERROR(__xludf.DUMMYFUNCTION("""COMPUTED_VALUE"""),"86")</f>
        <v>86</v>
      </c>
      <c r="C5463" s="6" t="str">
        <f>IFERROR(__xludf.DUMMYFUNCTION("""COMPUTED_VALUE"""),"12854")</f>
        <v>12854</v>
      </c>
      <c r="D5463" s="6" t="str">
        <f>IFERROR(__xludf.DUMMYFUNCTION("""COMPUTED_VALUE"""),"Kaden")</f>
        <v>Kaden</v>
      </c>
      <c r="E5463" s="6" t="str">
        <f>IFERROR(__xludf.DUMMYFUNCTION("""COMPUTED_VALUE"""),"")</f>
        <v/>
      </c>
      <c r="F5463" s="6" t="str">
        <f>IFERROR(__xludf.DUMMYFUNCTION("""COMPUTED_VALUE"""),"Major")</f>
        <v>Major</v>
      </c>
      <c r="G5463" s="6" t="str">
        <f>IFERROR(__xludf.DUMMYFUNCTION("""COMPUTED_VALUE"""),"05/17/2016")</f>
        <v>05/17/2016</v>
      </c>
      <c r="H5463" s="6" t="str">
        <f>IFERROR(__xludf.DUMMYFUNCTION("""COMPUTED_VALUE"""),"male")</f>
        <v>male</v>
      </c>
      <c r="I5463" s="6" t="str">
        <f>IFERROR(__xludf.DUMMYFUNCTION("""COMPUTED_VALUE"""),"Level 2")</f>
        <v>Level 2</v>
      </c>
      <c r="J5463" s="6" t="str">
        <f>IFERROR(__xludf.DUMMYFUNCTION("""COMPUTED_VALUE"""),"5")</f>
        <v>5</v>
      </c>
      <c r="K5463" s="6" t="str">
        <f>IFERROR(__xludf.DUMMYFUNCTION("""COMPUTED_VALUE"""),"kaden.major@2hourlearning.com")</f>
        <v>kaden.major@2hourlearning.com</v>
      </c>
      <c r="L5463" s="6" t="str">
        <f>IFERROR(__xludf.DUMMYFUNCTION("""COMPUTED_VALUE"""),"JRES - Ridgeland Elementary School")</f>
        <v>JRES - Ridgeland Elementary School</v>
      </c>
      <c r="M5463" s="6" t="str">
        <f>IFERROR(__xludf.DUMMYFUNCTION("""COMPUTED_VALUE"""),"")</f>
        <v/>
      </c>
      <c r="N5463" s="6" t="str">
        <f>IFERROR(__xludf.DUMMYFUNCTION("""COMPUTED_VALUE"""),"")</f>
        <v/>
      </c>
      <c r="O5463" s="87" t="str">
        <f>IFERROR(__xludf.DUMMYFUNCTION("""COMPUTED_VALUE"""),"https://drive.google.com/drive/folders/10T2cTQHqEJZqE-st6uFKPoI?usp=share_link")</f>
        <v>https://drive.google.com/drive/folders/10T2cTQHqEJZqE-st6uFKPoI?usp=share_link</v>
      </c>
      <c r="P5463" s="6" t="str">
        <f>IFERROR(__xludf.DUMMYFUNCTION("""COMPUTED_VALUE"""),"Kaden Major")</f>
        <v>Kaden Major</v>
      </c>
      <c r="Q5463" s="6" t="str">
        <f>IFERROR(__xludf.DUMMYFUNCTION("""COMPUTED_VALUE"""),"L2")</f>
        <v>L2</v>
      </c>
      <c r="R5463" s="6">
        <f>IFERROR(__xludf.DUMMYFUNCTION("""COMPUTED_VALUE"""),2.0)</f>
        <v>2</v>
      </c>
      <c r="S5463" s="6" t="str">
        <f>IFERROR(__xludf.DUMMYFUNCTION("""COMPUTED_VALUE"""),"Kimberly Ball")</f>
        <v>Kimberly Ball</v>
      </c>
      <c r="T5463" s="6" t="str">
        <f>IFERROR(__xludf.DUMMYFUNCTION("""COMPUTED_VALUE"""),"kimberly.ball@studient.com")</f>
        <v>kimberly.ball@studient.com</v>
      </c>
      <c r="U5463" s="6" t="str">
        <f>IFERROR(__xludf.DUMMYFUNCTION("""COMPUTED_VALUE"""),"5")</f>
        <v>5</v>
      </c>
      <c r="V5463" s="6" t="str">
        <f>IFERROR(__xludf.DUMMYFUNCTION("""COMPUTED_VALUE"""),"")</f>
        <v/>
      </c>
      <c r="W5463" s="6" t="str">
        <f>IFERROR(__xludf.DUMMYFUNCTION("""COMPUTED_VALUE"""),"[]")</f>
        <v>[]</v>
      </c>
      <c r="X5463" s="6" t="str">
        <f>IFERROR(__xludf.DUMMYFUNCTION("""COMPUTED_VALUE"""),"Enrolled")</f>
        <v>Enrolled</v>
      </c>
    </row>
    <row r="5464">
      <c r="A5464" s="6" t="str">
        <f>IFERROR(__xludf.DUMMYFUNCTION("""COMPUTED_VALUE"""),"086-12855")</f>
        <v>086-12855</v>
      </c>
      <c r="B5464" s="6" t="str">
        <f>IFERROR(__xludf.DUMMYFUNCTION("""COMPUTED_VALUE"""),"86")</f>
        <v>86</v>
      </c>
      <c r="C5464" s="6" t="str">
        <f>IFERROR(__xludf.DUMMYFUNCTION("""COMPUTED_VALUE"""),"12855")</f>
        <v>12855</v>
      </c>
      <c r="D5464" s="6" t="str">
        <f>IFERROR(__xludf.DUMMYFUNCTION("""COMPUTED_VALUE"""),"Moises")</f>
        <v>Moises</v>
      </c>
      <c r="E5464" s="6" t="str">
        <f>IFERROR(__xludf.DUMMYFUNCTION("""COMPUTED_VALUE"""),"")</f>
        <v/>
      </c>
      <c r="F5464" s="6" t="str">
        <f>IFERROR(__xludf.DUMMYFUNCTION("""COMPUTED_VALUE"""),"Manzanarez Camargo")</f>
        <v>Manzanarez Camargo</v>
      </c>
      <c r="G5464" s="6" t="str">
        <f>IFERROR(__xludf.DUMMYFUNCTION("""COMPUTED_VALUE"""),"08/19/2018")</f>
        <v>08/19/2018</v>
      </c>
      <c r="H5464" s="6" t="str">
        <f>IFERROR(__xludf.DUMMYFUNCTION("""COMPUTED_VALUE"""),"male")</f>
        <v>male</v>
      </c>
      <c r="I5464" s="6" t="str">
        <f>IFERROR(__xludf.DUMMYFUNCTION("""COMPUTED_VALUE"""),"Level 2")</f>
        <v>Level 2</v>
      </c>
      <c r="J5464" s="6" t="str">
        <f>IFERROR(__xludf.DUMMYFUNCTION("""COMPUTED_VALUE"""),"5")</f>
        <v>5</v>
      </c>
      <c r="K5464" s="6" t="str">
        <f>IFERROR(__xludf.DUMMYFUNCTION("""COMPUTED_VALUE"""),"moises.manzanarezcamargo@2hourlearning.com")</f>
        <v>moises.manzanarezcamargo@2hourlearning.com</v>
      </c>
      <c r="L5464" s="6" t="str">
        <f>IFERROR(__xludf.DUMMYFUNCTION("""COMPUTED_VALUE"""),"JRES - Ridgeland Elementary School")</f>
        <v>JRES - Ridgeland Elementary School</v>
      </c>
      <c r="M5464" s="6" t="str">
        <f>IFERROR(__xludf.DUMMYFUNCTION("""COMPUTED_VALUE"""),"")</f>
        <v/>
      </c>
      <c r="N5464" s="6" t="str">
        <f>IFERROR(__xludf.DUMMYFUNCTION("""COMPUTED_VALUE"""),"")</f>
        <v/>
      </c>
      <c r="O5464" s="87" t="str">
        <f>IFERROR(__xludf.DUMMYFUNCTION("""COMPUTED_VALUE"""),"https://drive.google.com/drive/folders/10T2cTQHqEJZqE-st6uFKPoI?usp=share_link")</f>
        <v>https://drive.google.com/drive/folders/10T2cTQHqEJZqE-st6uFKPoI?usp=share_link</v>
      </c>
      <c r="P5464" s="6" t="str">
        <f>IFERROR(__xludf.DUMMYFUNCTION("""COMPUTED_VALUE"""),"Moises Manzanarez Camargo")</f>
        <v>Moises Manzanarez Camargo</v>
      </c>
      <c r="Q5464" s="6" t="str">
        <f>IFERROR(__xludf.DUMMYFUNCTION("""COMPUTED_VALUE"""),"L2")</f>
        <v>L2</v>
      </c>
      <c r="R5464" s="6">
        <f>IFERROR(__xludf.DUMMYFUNCTION("""COMPUTED_VALUE"""),2.0)</f>
        <v>2</v>
      </c>
      <c r="S5464" s="6" t="str">
        <f>IFERROR(__xludf.DUMMYFUNCTION("""COMPUTED_VALUE"""),"Kimberly Ball")</f>
        <v>Kimberly Ball</v>
      </c>
      <c r="T5464" s="6" t="str">
        <f>IFERROR(__xludf.DUMMYFUNCTION("""COMPUTED_VALUE"""),"kimberly.ball@studient.com")</f>
        <v>kimberly.ball@studient.com</v>
      </c>
      <c r="U5464" s="6" t="str">
        <f>IFERROR(__xludf.DUMMYFUNCTION("""COMPUTED_VALUE"""),"5")</f>
        <v>5</v>
      </c>
      <c r="V5464" s="6" t="str">
        <f>IFERROR(__xludf.DUMMYFUNCTION("""COMPUTED_VALUE"""),"")</f>
        <v/>
      </c>
      <c r="W5464" s="6" t="str">
        <f>IFERROR(__xludf.DUMMYFUNCTION("""COMPUTED_VALUE"""),"[]")</f>
        <v>[]</v>
      </c>
      <c r="X5464" s="6" t="str">
        <f>IFERROR(__xludf.DUMMYFUNCTION("""COMPUTED_VALUE"""),"Enrolled")</f>
        <v>Enrolled</v>
      </c>
    </row>
    <row r="5465">
      <c r="A5465" s="6" t="str">
        <f>IFERROR(__xludf.DUMMYFUNCTION("""COMPUTED_VALUE"""),"086-12856")</f>
        <v>086-12856</v>
      </c>
      <c r="B5465" s="6" t="str">
        <f>IFERROR(__xludf.DUMMYFUNCTION("""COMPUTED_VALUE"""),"86")</f>
        <v>86</v>
      </c>
      <c r="C5465" s="6" t="str">
        <f>IFERROR(__xludf.DUMMYFUNCTION("""COMPUTED_VALUE"""),"12856")</f>
        <v>12856</v>
      </c>
      <c r="D5465" s="6" t="str">
        <f>IFERROR(__xludf.DUMMYFUNCTION("""COMPUTED_VALUE"""),"Dajarvis")</f>
        <v>Dajarvis</v>
      </c>
      <c r="E5465" s="6" t="str">
        <f>IFERROR(__xludf.DUMMYFUNCTION("""COMPUTED_VALUE"""),"")</f>
        <v/>
      </c>
      <c r="F5465" s="6" t="str">
        <f>IFERROR(__xludf.DUMMYFUNCTION("""COMPUTED_VALUE"""),"Mervin")</f>
        <v>Mervin</v>
      </c>
      <c r="G5465" s="6" t="str">
        <f>IFERROR(__xludf.DUMMYFUNCTION("""COMPUTED_VALUE"""),"12/22/2016")</f>
        <v>12/22/2016</v>
      </c>
      <c r="H5465" s="6" t="str">
        <f>IFERROR(__xludf.DUMMYFUNCTION("""COMPUTED_VALUE"""),"male")</f>
        <v>male</v>
      </c>
      <c r="I5465" s="6" t="str">
        <f>IFERROR(__xludf.DUMMYFUNCTION("""COMPUTED_VALUE"""),"Level 2")</f>
        <v>Level 2</v>
      </c>
      <c r="J5465" s="6" t="str">
        <f>IFERROR(__xludf.DUMMYFUNCTION("""COMPUTED_VALUE"""),"5")</f>
        <v>5</v>
      </c>
      <c r="K5465" s="6" t="str">
        <f>IFERROR(__xludf.DUMMYFUNCTION("""COMPUTED_VALUE"""),"dajarvis.mervin@2hourlearning.com")</f>
        <v>dajarvis.mervin@2hourlearning.com</v>
      </c>
      <c r="L5465" s="6" t="str">
        <f>IFERROR(__xludf.DUMMYFUNCTION("""COMPUTED_VALUE"""),"JRES - Ridgeland Elementary School")</f>
        <v>JRES - Ridgeland Elementary School</v>
      </c>
      <c r="M5465" s="6" t="str">
        <f>IFERROR(__xludf.DUMMYFUNCTION("""COMPUTED_VALUE"""),"")</f>
        <v/>
      </c>
      <c r="N5465" s="6" t="str">
        <f>IFERROR(__xludf.DUMMYFUNCTION("""COMPUTED_VALUE"""),"")</f>
        <v/>
      </c>
      <c r="O5465" s="87" t="str">
        <f>IFERROR(__xludf.DUMMYFUNCTION("""COMPUTED_VALUE"""),"https://drive.google.com/drive/folders/10T2cTQHqEJZqE-st6uFKPoI?usp=share_link")</f>
        <v>https://drive.google.com/drive/folders/10T2cTQHqEJZqE-st6uFKPoI?usp=share_link</v>
      </c>
      <c r="P5465" s="6" t="str">
        <f>IFERROR(__xludf.DUMMYFUNCTION("""COMPUTED_VALUE"""),"Dajarvis Mervin")</f>
        <v>Dajarvis Mervin</v>
      </c>
      <c r="Q5465" s="6" t="str">
        <f>IFERROR(__xludf.DUMMYFUNCTION("""COMPUTED_VALUE"""),"L2")</f>
        <v>L2</v>
      </c>
      <c r="R5465" s="6">
        <f>IFERROR(__xludf.DUMMYFUNCTION("""COMPUTED_VALUE"""),2.0)</f>
        <v>2</v>
      </c>
      <c r="S5465" s="6" t="str">
        <f>IFERROR(__xludf.DUMMYFUNCTION("""COMPUTED_VALUE"""),"Kimberly Ball")</f>
        <v>Kimberly Ball</v>
      </c>
      <c r="T5465" s="6" t="str">
        <f>IFERROR(__xludf.DUMMYFUNCTION("""COMPUTED_VALUE"""),"kimberly.ball@studient.com")</f>
        <v>kimberly.ball@studient.com</v>
      </c>
      <c r="U5465" s="6" t="str">
        <f>IFERROR(__xludf.DUMMYFUNCTION("""COMPUTED_VALUE"""),"5")</f>
        <v>5</v>
      </c>
      <c r="V5465" s="6" t="str">
        <f>IFERROR(__xludf.DUMMYFUNCTION("""COMPUTED_VALUE"""),"")</f>
        <v/>
      </c>
      <c r="W5465" s="6" t="str">
        <f>IFERROR(__xludf.DUMMYFUNCTION("""COMPUTED_VALUE"""),"[]")</f>
        <v>[]</v>
      </c>
      <c r="X5465" s="6" t="str">
        <f>IFERROR(__xludf.DUMMYFUNCTION("""COMPUTED_VALUE"""),"Enrolled")</f>
        <v>Enrolled</v>
      </c>
    </row>
    <row r="5466">
      <c r="A5466" s="6" t="str">
        <f>IFERROR(__xludf.DUMMYFUNCTION("""COMPUTED_VALUE"""),"086-12857")</f>
        <v>086-12857</v>
      </c>
      <c r="B5466" s="6" t="str">
        <f>IFERROR(__xludf.DUMMYFUNCTION("""COMPUTED_VALUE"""),"86")</f>
        <v>86</v>
      </c>
      <c r="C5466" s="6" t="str">
        <f>IFERROR(__xludf.DUMMYFUNCTION("""COMPUTED_VALUE"""),"12857")</f>
        <v>12857</v>
      </c>
      <c r="D5466" s="6" t="str">
        <f>IFERROR(__xludf.DUMMYFUNCTION("""COMPUTED_VALUE"""),"Ja'khi")</f>
        <v>Ja'khi</v>
      </c>
      <c r="E5466" s="6" t="str">
        <f>IFERROR(__xludf.DUMMYFUNCTION("""COMPUTED_VALUE"""),"")</f>
        <v/>
      </c>
      <c r="F5466" s="6" t="str">
        <f>IFERROR(__xludf.DUMMYFUNCTION("""COMPUTED_VALUE"""),"Mervin")</f>
        <v>Mervin</v>
      </c>
      <c r="G5466" s="6" t="str">
        <f>IFERROR(__xludf.DUMMYFUNCTION("""COMPUTED_VALUE"""),"10/21/2014")</f>
        <v>10/21/2014</v>
      </c>
      <c r="H5466" s="6" t="str">
        <f>IFERROR(__xludf.DUMMYFUNCTION("""COMPUTED_VALUE"""),"male")</f>
        <v>male</v>
      </c>
      <c r="I5466" s="6" t="str">
        <f>IFERROR(__xludf.DUMMYFUNCTION("""COMPUTED_VALUE"""),"Level 2")</f>
        <v>Level 2</v>
      </c>
      <c r="J5466" s="6" t="str">
        <f>IFERROR(__xludf.DUMMYFUNCTION("""COMPUTED_VALUE"""),"5")</f>
        <v>5</v>
      </c>
      <c r="K5466" s="6" t="str">
        <f>IFERROR(__xludf.DUMMYFUNCTION("""COMPUTED_VALUE"""),"jakhi.mervin@2hourlearning.com")</f>
        <v>jakhi.mervin@2hourlearning.com</v>
      </c>
      <c r="L5466" s="6" t="str">
        <f>IFERROR(__xludf.DUMMYFUNCTION("""COMPUTED_VALUE"""),"JRES - Ridgeland Elementary School")</f>
        <v>JRES - Ridgeland Elementary School</v>
      </c>
      <c r="M5466" s="6" t="str">
        <f>IFERROR(__xludf.DUMMYFUNCTION("""COMPUTED_VALUE"""),"")</f>
        <v/>
      </c>
      <c r="N5466" s="6" t="str">
        <f>IFERROR(__xludf.DUMMYFUNCTION("""COMPUTED_VALUE"""),"")</f>
        <v/>
      </c>
      <c r="O5466" s="87" t="str">
        <f>IFERROR(__xludf.DUMMYFUNCTION("""COMPUTED_VALUE"""),"https://drive.google.com/drive/folders/10T2cTQHqEJZqE-st6uFKPoI?usp=share_link")</f>
        <v>https://drive.google.com/drive/folders/10T2cTQHqEJZqE-st6uFKPoI?usp=share_link</v>
      </c>
      <c r="P5466" s="6" t="str">
        <f>IFERROR(__xludf.DUMMYFUNCTION("""COMPUTED_VALUE"""),"Ja'khi Mervin")</f>
        <v>Ja'khi Mervin</v>
      </c>
      <c r="Q5466" s="6" t="str">
        <f>IFERROR(__xludf.DUMMYFUNCTION("""COMPUTED_VALUE"""),"L2")</f>
        <v>L2</v>
      </c>
      <c r="R5466" s="6">
        <f>IFERROR(__xludf.DUMMYFUNCTION("""COMPUTED_VALUE"""),2.0)</f>
        <v>2</v>
      </c>
      <c r="S5466" s="6" t="str">
        <f>IFERROR(__xludf.DUMMYFUNCTION("""COMPUTED_VALUE"""),"Kimberly Ball")</f>
        <v>Kimberly Ball</v>
      </c>
      <c r="T5466" s="6" t="str">
        <f>IFERROR(__xludf.DUMMYFUNCTION("""COMPUTED_VALUE"""),"kimberly.ball@studient.com")</f>
        <v>kimberly.ball@studient.com</v>
      </c>
      <c r="U5466" s="6" t="str">
        <f>IFERROR(__xludf.DUMMYFUNCTION("""COMPUTED_VALUE"""),"5")</f>
        <v>5</v>
      </c>
      <c r="V5466" s="6" t="str">
        <f>IFERROR(__xludf.DUMMYFUNCTION("""COMPUTED_VALUE"""),"")</f>
        <v/>
      </c>
      <c r="W5466" s="6" t="str">
        <f>IFERROR(__xludf.DUMMYFUNCTION("""COMPUTED_VALUE"""),"[]")</f>
        <v>[]</v>
      </c>
      <c r="X5466" s="6" t="str">
        <f>IFERROR(__xludf.DUMMYFUNCTION("""COMPUTED_VALUE"""),"Enrolled")</f>
        <v>Enrolled</v>
      </c>
    </row>
    <row r="5467">
      <c r="A5467" s="6" t="str">
        <f>IFERROR(__xludf.DUMMYFUNCTION("""COMPUTED_VALUE"""),"086-12858")</f>
        <v>086-12858</v>
      </c>
      <c r="B5467" s="6" t="str">
        <f>IFERROR(__xludf.DUMMYFUNCTION("""COMPUTED_VALUE"""),"86")</f>
        <v>86</v>
      </c>
      <c r="C5467" s="6" t="str">
        <f>IFERROR(__xludf.DUMMYFUNCTION("""COMPUTED_VALUE"""),"12858")</f>
        <v>12858</v>
      </c>
      <c r="D5467" s="6" t="str">
        <f>IFERROR(__xludf.DUMMYFUNCTION("""COMPUTED_VALUE"""),"K'Von")</f>
        <v>K'Von</v>
      </c>
      <c r="E5467" s="6" t="str">
        <f>IFERROR(__xludf.DUMMYFUNCTION("""COMPUTED_VALUE"""),"")</f>
        <v/>
      </c>
      <c r="F5467" s="6" t="str">
        <f>IFERROR(__xludf.DUMMYFUNCTION("""COMPUTED_VALUE"""),"Mikell")</f>
        <v>Mikell</v>
      </c>
      <c r="G5467" s="6" t="str">
        <f>IFERROR(__xludf.DUMMYFUNCTION("""COMPUTED_VALUE"""),"05/05/2016")</f>
        <v>05/05/2016</v>
      </c>
      <c r="H5467" s="6" t="str">
        <f>IFERROR(__xludf.DUMMYFUNCTION("""COMPUTED_VALUE"""),"male")</f>
        <v>male</v>
      </c>
      <c r="I5467" s="6" t="str">
        <f>IFERROR(__xludf.DUMMYFUNCTION("""COMPUTED_VALUE"""),"Level 2")</f>
        <v>Level 2</v>
      </c>
      <c r="J5467" s="6" t="str">
        <f>IFERROR(__xludf.DUMMYFUNCTION("""COMPUTED_VALUE"""),"5")</f>
        <v>5</v>
      </c>
      <c r="K5467" s="6" t="str">
        <f>IFERROR(__xludf.DUMMYFUNCTION("""COMPUTED_VALUE"""),"kvon.mikell@2hourlearning.com")</f>
        <v>kvon.mikell@2hourlearning.com</v>
      </c>
      <c r="L5467" s="6" t="str">
        <f>IFERROR(__xludf.DUMMYFUNCTION("""COMPUTED_VALUE"""),"JRES - Ridgeland Elementary School")</f>
        <v>JRES - Ridgeland Elementary School</v>
      </c>
      <c r="M5467" s="6" t="str">
        <f>IFERROR(__xludf.DUMMYFUNCTION("""COMPUTED_VALUE"""),"")</f>
        <v/>
      </c>
      <c r="N5467" s="6" t="str">
        <f>IFERROR(__xludf.DUMMYFUNCTION("""COMPUTED_VALUE"""),"")</f>
        <v/>
      </c>
      <c r="O5467" s="87" t="str">
        <f>IFERROR(__xludf.DUMMYFUNCTION("""COMPUTED_VALUE"""),"https://drive.google.com/drive/folders/10T2cTQHqEJZqE-st6uFKPoI?usp=share_link")</f>
        <v>https://drive.google.com/drive/folders/10T2cTQHqEJZqE-st6uFKPoI?usp=share_link</v>
      </c>
      <c r="P5467" s="6" t="str">
        <f>IFERROR(__xludf.DUMMYFUNCTION("""COMPUTED_VALUE"""),"K'Von Mikell")</f>
        <v>K'Von Mikell</v>
      </c>
      <c r="Q5467" s="6" t="str">
        <f>IFERROR(__xludf.DUMMYFUNCTION("""COMPUTED_VALUE"""),"L2")</f>
        <v>L2</v>
      </c>
      <c r="R5467" s="6">
        <f>IFERROR(__xludf.DUMMYFUNCTION("""COMPUTED_VALUE"""),2.0)</f>
        <v>2</v>
      </c>
      <c r="S5467" s="6" t="str">
        <f>IFERROR(__xludf.DUMMYFUNCTION("""COMPUTED_VALUE"""),"Kimberly Ball")</f>
        <v>Kimberly Ball</v>
      </c>
      <c r="T5467" s="6" t="str">
        <f>IFERROR(__xludf.DUMMYFUNCTION("""COMPUTED_VALUE"""),"kimberly.ball@studient.com")</f>
        <v>kimberly.ball@studient.com</v>
      </c>
      <c r="U5467" s="6" t="str">
        <f>IFERROR(__xludf.DUMMYFUNCTION("""COMPUTED_VALUE"""),"5")</f>
        <v>5</v>
      </c>
      <c r="V5467" s="6" t="str">
        <f>IFERROR(__xludf.DUMMYFUNCTION("""COMPUTED_VALUE"""),"")</f>
        <v/>
      </c>
      <c r="W5467" s="6" t="str">
        <f>IFERROR(__xludf.DUMMYFUNCTION("""COMPUTED_VALUE"""),"[]")</f>
        <v>[]</v>
      </c>
      <c r="X5467" s="6" t="str">
        <f>IFERROR(__xludf.DUMMYFUNCTION("""COMPUTED_VALUE"""),"Enrolled")</f>
        <v>Enrolled</v>
      </c>
    </row>
    <row r="5468">
      <c r="A5468" s="6" t="str">
        <f>IFERROR(__xludf.DUMMYFUNCTION("""COMPUTED_VALUE"""),"086-12859")</f>
        <v>086-12859</v>
      </c>
      <c r="B5468" s="6" t="str">
        <f>IFERROR(__xludf.DUMMYFUNCTION("""COMPUTED_VALUE"""),"86")</f>
        <v>86</v>
      </c>
      <c r="C5468" s="6" t="str">
        <f>IFERROR(__xludf.DUMMYFUNCTION("""COMPUTED_VALUE"""),"12859")</f>
        <v>12859</v>
      </c>
      <c r="D5468" s="6" t="str">
        <f>IFERROR(__xludf.DUMMYFUNCTION("""COMPUTED_VALUE"""),"Mason")</f>
        <v>Mason</v>
      </c>
      <c r="E5468" s="6" t="str">
        <f>IFERROR(__xludf.DUMMYFUNCTION("""COMPUTED_VALUE"""),"")</f>
        <v/>
      </c>
      <c r="F5468" s="6" t="str">
        <f>IFERROR(__xludf.DUMMYFUNCTION("""COMPUTED_VALUE"""),"Monge Figueroa")</f>
        <v>Monge Figueroa</v>
      </c>
      <c r="G5468" s="6" t="str">
        <f>IFERROR(__xludf.DUMMYFUNCTION("""COMPUTED_VALUE"""),"08/13/2018")</f>
        <v>08/13/2018</v>
      </c>
      <c r="H5468" s="6" t="str">
        <f>IFERROR(__xludf.DUMMYFUNCTION("""COMPUTED_VALUE"""),"male")</f>
        <v>male</v>
      </c>
      <c r="I5468" s="6" t="str">
        <f>IFERROR(__xludf.DUMMYFUNCTION("""COMPUTED_VALUE"""),"Level 2")</f>
        <v>Level 2</v>
      </c>
      <c r="J5468" s="6" t="str">
        <f>IFERROR(__xludf.DUMMYFUNCTION("""COMPUTED_VALUE"""),"5")</f>
        <v>5</v>
      </c>
      <c r="K5468" s="6" t="str">
        <f>IFERROR(__xludf.DUMMYFUNCTION("""COMPUTED_VALUE"""),"mason.mongefigueroa@2hourlearning.com")</f>
        <v>mason.mongefigueroa@2hourlearning.com</v>
      </c>
      <c r="L5468" s="6" t="str">
        <f>IFERROR(__xludf.DUMMYFUNCTION("""COMPUTED_VALUE"""),"JRES - Ridgeland Elementary School")</f>
        <v>JRES - Ridgeland Elementary School</v>
      </c>
      <c r="M5468" s="6" t="str">
        <f>IFERROR(__xludf.DUMMYFUNCTION("""COMPUTED_VALUE"""),"")</f>
        <v/>
      </c>
      <c r="N5468" s="6" t="str">
        <f>IFERROR(__xludf.DUMMYFUNCTION("""COMPUTED_VALUE"""),"")</f>
        <v/>
      </c>
      <c r="O5468" s="87" t="str">
        <f>IFERROR(__xludf.DUMMYFUNCTION("""COMPUTED_VALUE"""),"https://drive.google.com/drive/folders/10T2cTQHqEJZqE-st6uFKPoI?usp=share_link")</f>
        <v>https://drive.google.com/drive/folders/10T2cTQHqEJZqE-st6uFKPoI?usp=share_link</v>
      </c>
      <c r="P5468" s="6" t="str">
        <f>IFERROR(__xludf.DUMMYFUNCTION("""COMPUTED_VALUE"""),"Mason Monge Figueroa")</f>
        <v>Mason Monge Figueroa</v>
      </c>
      <c r="Q5468" s="6" t="str">
        <f>IFERROR(__xludf.DUMMYFUNCTION("""COMPUTED_VALUE"""),"L2")</f>
        <v>L2</v>
      </c>
      <c r="R5468" s="6">
        <f>IFERROR(__xludf.DUMMYFUNCTION("""COMPUTED_VALUE"""),2.0)</f>
        <v>2</v>
      </c>
      <c r="S5468" s="6" t="str">
        <f>IFERROR(__xludf.DUMMYFUNCTION("""COMPUTED_VALUE"""),"Kimberly Ball")</f>
        <v>Kimberly Ball</v>
      </c>
      <c r="T5468" s="6" t="str">
        <f>IFERROR(__xludf.DUMMYFUNCTION("""COMPUTED_VALUE"""),"kimberly.ball@studient.com")</f>
        <v>kimberly.ball@studient.com</v>
      </c>
      <c r="U5468" s="6" t="str">
        <f>IFERROR(__xludf.DUMMYFUNCTION("""COMPUTED_VALUE"""),"5")</f>
        <v>5</v>
      </c>
      <c r="V5468" s="6" t="str">
        <f>IFERROR(__xludf.DUMMYFUNCTION("""COMPUTED_VALUE"""),"")</f>
        <v/>
      </c>
      <c r="W5468" s="6" t="str">
        <f>IFERROR(__xludf.DUMMYFUNCTION("""COMPUTED_VALUE"""),"[]")</f>
        <v>[]</v>
      </c>
      <c r="X5468" s="6" t="str">
        <f>IFERROR(__xludf.DUMMYFUNCTION("""COMPUTED_VALUE"""),"Enrolled")</f>
        <v>Enrolled</v>
      </c>
    </row>
    <row r="5469">
      <c r="A5469" s="6" t="str">
        <f>IFERROR(__xludf.DUMMYFUNCTION("""COMPUTED_VALUE"""),"086-12860")</f>
        <v>086-12860</v>
      </c>
      <c r="B5469" s="6" t="str">
        <f>IFERROR(__xludf.DUMMYFUNCTION("""COMPUTED_VALUE"""),"86")</f>
        <v>86</v>
      </c>
      <c r="C5469" s="6" t="str">
        <f>IFERROR(__xludf.DUMMYFUNCTION("""COMPUTED_VALUE"""),"12860")</f>
        <v>12860</v>
      </c>
      <c r="D5469" s="6" t="str">
        <f>IFERROR(__xludf.DUMMYFUNCTION("""COMPUTED_VALUE"""),"Rosemary")</f>
        <v>Rosemary</v>
      </c>
      <c r="E5469" s="6" t="str">
        <f>IFERROR(__xludf.DUMMYFUNCTION("""COMPUTED_VALUE"""),"")</f>
        <v/>
      </c>
      <c r="F5469" s="6" t="str">
        <f>IFERROR(__xludf.DUMMYFUNCTION("""COMPUTED_VALUE"""),"Morales Verdugo")</f>
        <v>Morales Verdugo</v>
      </c>
      <c r="G5469" s="6" t="str">
        <f>IFERROR(__xludf.DUMMYFUNCTION("""COMPUTED_VALUE"""),"02/24/2015")</f>
        <v>02/24/2015</v>
      </c>
      <c r="H5469" s="6" t="str">
        <f>IFERROR(__xludf.DUMMYFUNCTION("""COMPUTED_VALUE"""),"female")</f>
        <v>female</v>
      </c>
      <c r="I5469" s="6" t="str">
        <f>IFERROR(__xludf.DUMMYFUNCTION("""COMPUTED_VALUE"""),"Level 2")</f>
        <v>Level 2</v>
      </c>
      <c r="J5469" s="6" t="str">
        <f>IFERROR(__xludf.DUMMYFUNCTION("""COMPUTED_VALUE"""),"5")</f>
        <v>5</v>
      </c>
      <c r="K5469" s="6" t="str">
        <f>IFERROR(__xludf.DUMMYFUNCTION("""COMPUTED_VALUE"""),"rosemary.moralesverdugo@2hourlearning.com")</f>
        <v>rosemary.moralesverdugo@2hourlearning.com</v>
      </c>
      <c r="L5469" s="6" t="str">
        <f>IFERROR(__xludf.DUMMYFUNCTION("""COMPUTED_VALUE"""),"JRES - Ridgeland Elementary School")</f>
        <v>JRES - Ridgeland Elementary School</v>
      </c>
      <c r="M5469" s="6" t="str">
        <f>IFERROR(__xludf.DUMMYFUNCTION("""COMPUTED_VALUE"""),"")</f>
        <v/>
      </c>
      <c r="N5469" s="6" t="str">
        <f>IFERROR(__xludf.DUMMYFUNCTION("""COMPUTED_VALUE"""),"")</f>
        <v/>
      </c>
      <c r="O5469" s="87" t="str">
        <f>IFERROR(__xludf.DUMMYFUNCTION("""COMPUTED_VALUE"""),"https://drive.google.com/drive/folders/10T2cTQHqEJZqE-st6uFKPoI?usp=share_link")</f>
        <v>https://drive.google.com/drive/folders/10T2cTQHqEJZqE-st6uFKPoI?usp=share_link</v>
      </c>
      <c r="P5469" s="6" t="str">
        <f>IFERROR(__xludf.DUMMYFUNCTION("""COMPUTED_VALUE"""),"Rosemary Morales Verdugo")</f>
        <v>Rosemary Morales Verdugo</v>
      </c>
      <c r="Q5469" s="6" t="str">
        <f>IFERROR(__xludf.DUMMYFUNCTION("""COMPUTED_VALUE"""),"L2")</f>
        <v>L2</v>
      </c>
      <c r="R5469" s="6">
        <f>IFERROR(__xludf.DUMMYFUNCTION("""COMPUTED_VALUE"""),2.0)</f>
        <v>2</v>
      </c>
      <c r="S5469" s="6" t="str">
        <f>IFERROR(__xludf.DUMMYFUNCTION("""COMPUTED_VALUE"""),"Kimberly Ball")</f>
        <v>Kimberly Ball</v>
      </c>
      <c r="T5469" s="6" t="str">
        <f>IFERROR(__xludf.DUMMYFUNCTION("""COMPUTED_VALUE"""),"kimberly.ball@studient.com")</f>
        <v>kimberly.ball@studient.com</v>
      </c>
      <c r="U5469" s="6" t="str">
        <f>IFERROR(__xludf.DUMMYFUNCTION("""COMPUTED_VALUE"""),"5")</f>
        <v>5</v>
      </c>
      <c r="V5469" s="6" t="str">
        <f>IFERROR(__xludf.DUMMYFUNCTION("""COMPUTED_VALUE"""),"")</f>
        <v/>
      </c>
      <c r="W5469" s="6" t="str">
        <f>IFERROR(__xludf.DUMMYFUNCTION("""COMPUTED_VALUE"""),"[]")</f>
        <v>[]</v>
      </c>
      <c r="X5469" s="6" t="str">
        <f>IFERROR(__xludf.DUMMYFUNCTION("""COMPUTED_VALUE"""),"Enrolled")</f>
        <v>Enrolled</v>
      </c>
    </row>
    <row r="5470">
      <c r="A5470" s="6" t="str">
        <f>IFERROR(__xludf.DUMMYFUNCTION("""COMPUTED_VALUE"""),"086-12861")</f>
        <v>086-12861</v>
      </c>
      <c r="B5470" s="6" t="str">
        <f>IFERROR(__xludf.DUMMYFUNCTION("""COMPUTED_VALUE"""),"86")</f>
        <v>86</v>
      </c>
      <c r="C5470" s="6" t="str">
        <f>IFERROR(__xludf.DUMMYFUNCTION("""COMPUTED_VALUE"""),"12861")</f>
        <v>12861</v>
      </c>
      <c r="D5470" s="6" t="str">
        <f>IFERROR(__xludf.DUMMYFUNCTION("""COMPUTED_VALUE"""),"Yorleni")</f>
        <v>Yorleni</v>
      </c>
      <c r="E5470" s="6" t="str">
        <f>IFERROR(__xludf.DUMMYFUNCTION("""COMPUTED_VALUE"""),"")</f>
        <v/>
      </c>
      <c r="F5470" s="6" t="str">
        <f>IFERROR(__xludf.DUMMYFUNCTION("""COMPUTED_VALUE"""),"Moreno Gomez")</f>
        <v>Moreno Gomez</v>
      </c>
      <c r="G5470" s="6" t="str">
        <f>IFERROR(__xludf.DUMMYFUNCTION("""COMPUTED_VALUE"""),"05/22/2016")</f>
        <v>05/22/2016</v>
      </c>
      <c r="H5470" s="6" t="str">
        <f>IFERROR(__xludf.DUMMYFUNCTION("""COMPUTED_VALUE"""),"female")</f>
        <v>female</v>
      </c>
      <c r="I5470" s="6" t="str">
        <f>IFERROR(__xludf.DUMMYFUNCTION("""COMPUTED_VALUE"""),"Level 2")</f>
        <v>Level 2</v>
      </c>
      <c r="J5470" s="6" t="str">
        <f>IFERROR(__xludf.DUMMYFUNCTION("""COMPUTED_VALUE"""),"5")</f>
        <v>5</v>
      </c>
      <c r="K5470" s="6" t="str">
        <f>IFERROR(__xludf.DUMMYFUNCTION("""COMPUTED_VALUE"""),"yorleni.morenogomez@2hourlearning.com")</f>
        <v>yorleni.morenogomez@2hourlearning.com</v>
      </c>
      <c r="L5470" s="6" t="str">
        <f>IFERROR(__xludf.DUMMYFUNCTION("""COMPUTED_VALUE"""),"JRES - Ridgeland Elementary School")</f>
        <v>JRES - Ridgeland Elementary School</v>
      </c>
      <c r="M5470" s="6" t="str">
        <f>IFERROR(__xludf.DUMMYFUNCTION("""COMPUTED_VALUE"""),"")</f>
        <v/>
      </c>
      <c r="N5470" s="6" t="str">
        <f>IFERROR(__xludf.DUMMYFUNCTION("""COMPUTED_VALUE"""),"")</f>
        <v/>
      </c>
      <c r="O5470" s="87" t="str">
        <f>IFERROR(__xludf.DUMMYFUNCTION("""COMPUTED_VALUE"""),"https://drive.google.com/drive/folders/10T2cTQHqEJZqE-st6uFKPoI?usp=share_link")</f>
        <v>https://drive.google.com/drive/folders/10T2cTQHqEJZqE-st6uFKPoI?usp=share_link</v>
      </c>
      <c r="P5470" s="6" t="str">
        <f>IFERROR(__xludf.DUMMYFUNCTION("""COMPUTED_VALUE"""),"Yorleni Moreno Gomez")</f>
        <v>Yorleni Moreno Gomez</v>
      </c>
      <c r="Q5470" s="6" t="str">
        <f>IFERROR(__xludf.DUMMYFUNCTION("""COMPUTED_VALUE"""),"L2")</f>
        <v>L2</v>
      </c>
      <c r="R5470" s="6">
        <f>IFERROR(__xludf.DUMMYFUNCTION("""COMPUTED_VALUE"""),2.0)</f>
        <v>2</v>
      </c>
      <c r="S5470" s="6" t="str">
        <f>IFERROR(__xludf.DUMMYFUNCTION("""COMPUTED_VALUE"""),"Kimberly Ball")</f>
        <v>Kimberly Ball</v>
      </c>
      <c r="T5470" s="6" t="str">
        <f>IFERROR(__xludf.DUMMYFUNCTION("""COMPUTED_VALUE"""),"kimberly.ball@studient.com")</f>
        <v>kimberly.ball@studient.com</v>
      </c>
      <c r="U5470" s="6" t="str">
        <f>IFERROR(__xludf.DUMMYFUNCTION("""COMPUTED_VALUE"""),"5")</f>
        <v>5</v>
      </c>
      <c r="V5470" s="6" t="str">
        <f>IFERROR(__xludf.DUMMYFUNCTION("""COMPUTED_VALUE"""),"")</f>
        <v/>
      </c>
      <c r="W5470" s="6" t="str">
        <f>IFERROR(__xludf.DUMMYFUNCTION("""COMPUTED_VALUE"""),"[]")</f>
        <v>[]</v>
      </c>
      <c r="X5470" s="6" t="str">
        <f>IFERROR(__xludf.DUMMYFUNCTION("""COMPUTED_VALUE"""),"Enrolled")</f>
        <v>Enrolled</v>
      </c>
    </row>
    <row r="5471">
      <c r="A5471" s="6" t="str">
        <f>IFERROR(__xludf.DUMMYFUNCTION("""COMPUTED_VALUE"""),"086-12862")</f>
        <v>086-12862</v>
      </c>
      <c r="B5471" s="6" t="str">
        <f>IFERROR(__xludf.DUMMYFUNCTION("""COMPUTED_VALUE"""),"86")</f>
        <v>86</v>
      </c>
      <c r="C5471" s="6" t="str">
        <f>IFERROR(__xludf.DUMMYFUNCTION("""COMPUTED_VALUE"""),"12862")</f>
        <v>12862</v>
      </c>
      <c r="D5471" s="6" t="str">
        <f>IFERROR(__xludf.DUMMYFUNCTION("""COMPUTED_VALUE"""),"Johan")</f>
        <v>Johan</v>
      </c>
      <c r="E5471" s="6" t="str">
        <f>IFERROR(__xludf.DUMMYFUNCTION("""COMPUTED_VALUE"""),"")</f>
        <v/>
      </c>
      <c r="F5471" s="6" t="str">
        <f>IFERROR(__xludf.DUMMYFUNCTION("""COMPUTED_VALUE"""),"Moreno Romero")</f>
        <v>Moreno Romero</v>
      </c>
      <c r="G5471" s="6" t="str">
        <f>IFERROR(__xludf.DUMMYFUNCTION("""COMPUTED_VALUE"""),"03/13/2015")</f>
        <v>03/13/2015</v>
      </c>
      <c r="H5471" s="6" t="str">
        <f>IFERROR(__xludf.DUMMYFUNCTION("""COMPUTED_VALUE"""),"male")</f>
        <v>male</v>
      </c>
      <c r="I5471" s="6" t="str">
        <f>IFERROR(__xludf.DUMMYFUNCTION("""COMPUTED_VALUE"""),"Level 2")</f>
        <v>Level 2</v>
      </c>
      <c r="J5471" s="6" t="str">
        <f>IFERROR(__xludf.DUMMYFUNCTION("""COMPUTED_VALUE"""),"5")</f>
        <v>5</v>
      </c>
      <c r="K5471" s="6" t="str">
        <f>IFERROR(__xludf.DUMMYFUNCTION("""COMPUTED_VALUE"""),"johan.morenoromero@2hourlearning.com")</f>
        <v>johan.morenoromero@2hourlearning.com</v>
      </c>
      <c r="L5471" s="6" t="str">
        <f>IFERROR(__xludf.DUMMYFUNCTION("""COMPUTED_VALUE"""),"JRES - Ridgeland Elementary School")</f>
        <v>JRES - Ridgeland Elementary School</v>
      </c>
      <c r="M5471" s="6" t="str">
        <f>IFERROR(__xludf.DUMMYFUNCTION("""COMPUTED_VALUE"""),"")</f>
        <v/>
      </c>
      <c r="N5471" s="6" t="str">
        <f>IFERROR(__xludf.DUMMYFUNCTION("""COMPUTED_VALUE"""),"")</f>
        <v/>
      </c>
      <c r="O5471" s="87" t="str">
        <f>IFERROR(__xludf.DUMMYFUNCTION("""COMPUTED_VALUE"""),"https://drive.google.com/drive/folders/10T2cTQHqEJZqE-st6uFKPoI?usp=share_link")</f>
        <v>https://drive.google.com/drive/folders/10T2cTQHqEJZqE-st6uFKPoI?usp=share_link</v>
      </c>
      <c r="P5471" s="6" t="str">
        <f>IFERROR(__xludf.DUMMYFUNCTION("""COMPUTED_VALUE"""),"Johan Moreno Romero")</f>
        <v>Johan Moreno Romero</v>
      </c>
      <c r="Q5471" s="6" t="str">
        <f>IFERROR(__xludf.DUMMYFUNCTION("""COMPUTED_VALUE"""),"L2")</f>
        <v>L2</v>
      </c>
      <c r="R5471" s="6">
        <f>IFERROR(__xludf.DUMMYFUNCTION("""COMPUTED_VALUE"""),2.0)</f>
        <v>2</v>
      </c>
      <c r="S5471" s="6" t="str">
        <f>IFERROR(__xludf.DUMMYFUNCTION("""COMPUTED_VALUE"""),"Kimberly Ball")</f>
        <v>Kimberly Ball</v>
      </c>
      <c r="T5471" s="6" t="str">
        <f>IFERROR(__xludf.DUMMYFUNCTION("""COMPUTED_VALUE"""),"kimberly.ball@studient.com")</f>
        <v>kimberly.ball@studient.com</v>
      </c>
      <c r="U5471" s="6" t="str">
        <f>IFERROR(__xludf.DUMMYFUNCTION("""COMPUTED_VALUE"""),"5")</f>
        <v>5</v>
      </c>
      <c r="V5471" s="6" t="str">
        <f>IFERROR(__xludf.DUMMYFUNCTION("""COMPUTED_VALUE"""),"")</f>
        <v/>
      </c>
      <c r="W5471" s="6" t="str">
        <f>IFERROR(__xludf.DUMMYFUNCTION("""COMPUTED_VALUE"""),"[]")</f>
        <v>[]</v>
      </c>
      <c r="X5471" s="6" t="str">
        <f>IFERROR(__xludf.DUMMYFUNCTION("""COMPUTED_VALUE"""),"Enrolled")</f>
        <v>Enrolled</v>
      </c>
    </row>
    <row r="5472">
      <c r="A5472" s="6" t="str">
        <f>IFERROR(__xludf.DUMMYFUNCTION("""COMPUTED_VALUE"""),"086-12863")</f>
        <v>086-12863</v>
      </c>
      <c r="B5472" s="6" t="str">
        <f>IFERROR(__xludf.DUMMYFUNCTION("""COMPUTED_VALUE"""),"86")</f>
        <v>86</v>
      </c>
      <c r="C5472" s="6" t="str">
        <f>IFERROR(__xludf.DUMMYFUNCTION("""COMPUTED_VALUE"""),"12863")</f>
        <v>12863</v>
      </c>
      <c r="D5472" s="6" t="str">
        <f>IFERROR(__xludf.DUMMYFUNCTION("""COMPUTED_VALUE"""),"Liam")</f>
        <v>Liam</v>
      </c>
      <c r="E5472" s="6" t="str">
        <f>IFERROR(__xludf.DUMMYFUNCTION("""COMPUTED_VALUE"""),"")</f>
        <v/>
      </c>
      <c r="F5472" s="6" t="str">
        <f>IFERROR(__xludf.DUMMYFUNCTION("""COMPUTED_VALUE"""),"Munguia Hernandez")</f>
        <v>Munguia Hernandez</v>
      </c>
      <c r="G5472" s="6" t="str">
        <f>IFERROR(__xludf.DUMMYFUNCTION("""COMPUTED_VALUE"""),"08/17/2015")</f>
        <v>08/17/2015</v>
      </c>
      <c r="H5472" s="6" t="str">
        <f>IFERROR(__xludf.DUMMYFUNCTION("""COMPUTED_VALUE"""),"female")</f>
        <v>female</v>
      </c>
      <c r="I5472" s="6" t="str">
        <f>IFERROR(__xludf.DUMMYFUNCTION("""COMPUTED_VALUE"""),"Level 2")</f>
        <v>Level 2</v>
      </c>
      <c r="J5472" s="6" t="str">
        <f>IFERROR(__xludf.DUMMYFUNCTION("""COMPUTED_VALUE"""),"5")</f>
        <v>5</v>
      </c>
      <c r="K5472" s="6" t="str">
        <f>IFERROR(__xludf.DUMMYFUNCTION("""COMPUTED_VALUE"""),"liam.munguiahernandez@2hourlearning.com")</f>
        <v>liam.munguiahernandez@2hourlearning.com</v>
      </c>
      <c r="L5472" s="6" t="str">
        <f>IFERROR(__xludf.DUMMYFUNCTION("""COMPUTED_VALUE"""),"JRES - Ridgeland Elementary School")</f>
        <v>JRES - Ridgeland Elementary School</v>
      </c>
      <c r="M5472" s="6" t="str">
        <f>IFERROR(__xludf.DUMMYFUNCTION("""COMPUTED_VALUE"""),"")</f>
        <v/>
      </c>
      <c r="N5472" s="6" t="str">
        <f>IFERROR(__xludf.DUMMYFUNCTION("""COMPUTED_VALUE"""),"")</f>
        <v/>
      </c>
      <c r="O5472" s="87" t="str">
        <f>IFERROR(__xludf.DUMMYFUNCTION("""COMPUTED_VALUE"""),"https://drive.google.com/drive/folders/10T2cTQHqEJZqE-st6uFKPoI?usp=share_link")</f>
        <v>https://drive.google.com/drive/folders/10T2cTQHqEJZqE-st6uFKPoI?usp=share_link</v>
      </c>
      <c r="P5472" s="6" t="str">
        <f>IFERROR(__xludf.DUMMYFUNCTION("""COMPUTED_VALUE"""),"Liam Munguia Hernandez")</f>
        <v>Liam Munguia Hernandez</v>
      </c>
      <c r="Q5472" s="6" t="str">
        <f>IFERROR(__xludf.DUMMYFUNCTION("""COMPUTED_VALUE"""),"L2")</f>
        <v>L2</v>
      </c>
      <c r="R5472" s="6">
        <f>IFERROR(__xludf.DUMMYFUNCTION("""COMPUTED_VALUE"""),2.0)</f>
        <v>2</v>
      </c>
      <c r="S5472" s="6" t="str">
        <f>IFERROR(__xludf.DUMMYFUNCTION("""COMPUTED_VALUE"""),"Kimberly Ball")</f>
        <v>Kimberly Ball</v>
      </c>
      <c r="T5472" s="6" t="str">
        <f>IFERROR(__xludf.DUMMYFUNCTION("""COMPUTED_VALUE"""),"kimberly.ball@studient.com")</f>
        <v>kimberly.ball@studient.com</v>
      </c>
      <c r="U5472" s="6" t="str">
        <f>IFERROR(__xludf.DUMMYFUNCTION("""COMPUTED_VALUE"""),"5")</f>
        <v>5</v>
      </c>
      <c r="V5472" s="6" t="str">
        <f>IFERROR(__xludf.DUMMYFUNCTION("""COMPUTED_VALUE"""),"")</f>
        <v/>
      </c>
      <c r="W5472" s="6" t="str">
        <f>IFERROR(__xludf.DUMMYFUNCTION("""COMPUTED_VALUE"""),"[]")</f>
        <v>[]</v>
      </c>
      <c r="X5472" s="6" t="str">
        <f>IFERROR(__xludf.DUMMYFUNCTION("""COMPUTED_VALUE"""),"Enrolled")</f>
        <v>Enrolled</v>
      </c>
    </row>
    <row r="5473">
      <c r="A5473" s="6" t="str">
        <f>IFERROR(__xludf.DUMMYFUNCTION("""COMPUTED_VALUE"""),"086-12864")</f>
        <v>086-12864</v>
      </c>
      <c r="B5473" s="6" t="str">
        <f>IFERROR(__xludf.DUMMYFUNCTION("""COMPUTED_VALUE"""),"86")</f>
        <v>86</v>
      </c>
      <c r="C5473" s="6" t="str">
        <f>IFERROR(__xludf.DUMMYFUNCTION("""COMPUTED_VALUE"""),"12864")</f>
        <v>12864</v>
      </c>
      <c r="D5473" s="6" t="str">
        <f>IFERROR(__xludf.DUMMYFUNCTION("""COMPUTED_VALUE"""),"Cristopher")</f>
        <v>Cristopher</v>
      </c>
      <c r="E5473" s="6" t="str">
        <f>IFERROR(__xludf.DUMMYFUNCTION("""COMPUTED_VALUE"""),"")</f>
        <v/>
      </c>
      <c r="F5473" s="6" t="str">
        <f>IFERROR(__xludf.DUMMYFUNCTION("""COMPUTED_VALUE"""),"Nunez Gonzalez")</f>
        <v>Nunez Gonzalez</v>
      </c>
      <c r="G5473" s="6" t="str">
        <f>IFERROR(__xludf.DUMMYFUNCTION("""COMPUTED_VALUE"""),"05/30/2017")</f>
        <v>05/30/2017</v>
      </c>
      <c r="H5473" s="6" t="str">
        <f>IFERROR(__xludf.DUMMYFUNCTION("""COMPUTED_VALUE"""),"female")</f>
        <v>female</v>
      </c>
      <c r="I5473" s="6" t="str">
        <f>IFERROR(__xludf.DUMMYFUNCTION("""COMPUTED_VALUE"""),"Level 2")</f>
        <v>Level 2</v>
      </c>
      <c r="J5473" s="6" t="str">
        <f>IFERROR(__xludf.DUMMYFUNCTION("""COMPUTED_VALUE"""),"5")</f>
        <v>5</v>
      </c>
      <c r="K5473" s="6" t="str">
        <f>IFERROR(__xludf.DUMMYFUNCTION("""COMPUTED_VALUE"""),"cristopher.nunezgonzalez@2hourlearning.com")</f>
        <v>cristopher.nunezgonzalez@2hourlearning.com</v>
      </c>
      <c r="L5473" s="6" t="str">
        <f>IFERROR(__xludf.DUMMYFUNCTION("""COMPUTED_VALUE"""),"JRES - Ridgeland Elementary School")</f>
        <v>JRES - Ridgeland Elementary School</v>
      </c>
      <c r="M5473" s="6" t="str">
        <f>IFERROR(__xludf.DUMMYFUNCTION("""COMPUTED_VALUE"""),"")</f>
        <v/>
      </c>
      <c r="N5473" s="6" t="str">
        <f>IFERROR(__xludf.DUMMYFUNCTION("""COMPUTED_VALUE"""),"")</f>
        <v/>
      </c>
      <c r="O5473" s="87" t="str">
        <f>IFERROR(__xludf.DUMMYFUNCTION("""COMPUTED_VALUE"""),"https://drive.google.com/drive/folders/10T2cTQHqEJZqE-st6uFKPoI?usp=share_link")</f>
        <v>https://drive.google.com/drive/folders/10T2cTQHqEJZqE-st6uFKPoI?usp=share_link</v>
      </c>
      <c r="P5473" s="6" t="str">
        <f>IFERROR(__xludf.DUMMYFUNCTION("""COMPUTED_VALUE"""),"Cristopher Nunez Gonzalez")</f>
        <v>Cristopher Nunez Gonzalez</v>
      </c>
      <c r="Q5473" s="6" t="str">
        <f>IFERROR(__xludf.DUMMYFUNCTION("""COMPUTED_VALUE"""),"L2")</f>
        <v>L2</v>
      </c>
      <c r="R5473" s="6">
        <f>IFERROR(__xludf.DUMMYFUNCTION("""COMPUTED_VALUE"""),2.0)</f>
        <v>2</v>
      </c>
      <c r="S5473" s="6" t="str">
        <f>IFERROR(__xludf.DUMMYFUNCTION("""COMPUTED_VALUE"""),"Kimberly Ball")</f>
        <v>Kimberly Ball</v>
      </c>
      <c r="T5473" s="6" t="str">
        <f>IFERROR(__xludf.DUMMYFUNCTION("""COMPUTED_VALUE"""),"kimberly.ball@studient.com")</f>
        <v>kimberly.ball@studient.com</v>
      </c>
      <c r="U5473" s="6" t="str">
        <f>IFERROR(__xludf.DUMMYFUNCTION("""COMPUTED_VALUE"""),"5")</f>
        <v>5</v>
      </c>
      <c r="V5473" s="6" t="str">
        <f>IFERROR(__xludf.DUMMYFUNCTION("""COMPUTED_VALUE"""),"")</f>
        <v/>
      </c>
      <c r="W5473" s="6" t="str">
        <f>IFERROR(__xludf.DUMMYFUNCTION("""COMPUTED_VALUE"""),"[]")</f>
        <v>[]</v>
      </c>
      <c r="X5473" s="6" t="str">
        <f>IFERROR(__xludf.DUMMYFUNCTION("""COMPUTED_VALUE"""),"Enrolled")</f>
        <v>Enrolled</v>
      </c>
    </row>
    <row r="5474">
      <c r="A5474" s="6" t="str">
        <f>IFERROR(__xludf.DUMMYFUNCTION("""COMPUTED_VALUE"""),"086-12865")</f>
        <v>086-12865</v>
      </c>
      <c r="B5474" s="6" t="str">
        <f>IFERROR(__xludf.DUMMYFUNCTION("""COMPUTED_VALUE"""),"86")</f>
        <v>86</v>
      </c>
      <c r="C5474" s="6" t="str">
        <f>IFERROR(__xludf.DUMMYFUNCTION("""COMPUTED_VALUE"""),"12865")</f>
        <v>12865</v>
      </c>
      <c r="D5474" s="6" t="str">
        <f>IFERROR(__xludf.DUMMYFUNCTION("""COMPUTED_VALUE"""),"Zariyah")</f>
        <v>Zariyah</v>
      </c>
      <c r="E5474" s="6" t="str">
        <f>IFERROR(__xludf.DUMMYFUNCTION("""COMPUTED_VALUE"""),"")</f>
        <v/>
      </c>
      <c r="F5474" s="6" t="str">
        <f>IFERROR(__xludf.DUMMYFUNCTION("""COMPUTED_VALUE"""),"Osgood")</f>
        <v>Osgood</v>
      </c>
      <c r="G5474" s="6" t="str">
        <f>IFERROR(__xludf.DUMMYFUNCTION("""COMPUTED_VALUE"""),"08/05/2016")</f>
        <v>08/05/2016</v>
      </c>
      <c r="H5474" s="6" t="str">
        <f>IFERROR(__xludf.DUMMYFUNCTION("""COMPUTED_VALUE"""),"female")</f>
        <v>female</v>
      </c>
      <c r="I5474" s="6" t="str">
        <f>IFERROR(__xludf.DUMMYFUNCTION("""COMPUTED_VALUE"""),"Level 2")</f>
        <v>Level 2</v>
      </c>
      <c r="J5474" s="6" t="str">
        <f>IFERROR(__xludf.DUMMYFUNCTION("""COMPUTED_VALUE"""),"5")</f>
        <v>5</v>
      </c>
      <c r="K5474" s="6" t="str">
        <f>IFERROR(__xludf.DUMMYFUNCTION("""COMPUTED_VALUE"""),"zariyah.osgood@2hourlearning.com")</f>
        <v>zariyah.osgood@2hourlearning.com</v>
      </c>
      <c r="L5474" s="6" t="str">
        <f>IFERROR(__xludf.DUMMYFUNCTION("""COMPUTED_VALUE"""),"JRES - Ridgeland Elementary School")</f>
        <v>JRES - Ridgeland Elementary School</v>
      </c>
      <c r="M5474" s="6" t="str">
        <f>IFERROR(__xludf.DUMMYFUNCTION("""COMPUTED_VALUE"""),"")</f>
        <v/>
      </c>
      <c r="N5474" s="6" t="str">
        <f>IFERROR(__xludf.DUMMYFUNCTION("""COMPUTED_VALUE"""),"")</f>
        <v/>
      </c>
      <c r="O5474" s="87" t="str">
        <f>IFERROR(__xludf.DUMMYFUNCTION("""COMPUTED_VALUE"""),"https://drive.google.com/drive/folders/10T2cTQHqEJZqE-st6uFKPoI?usp=share_link")</f>
        <v>https://drive.google.com/drive/folders/10T2cTQHqEJZqE-st6uFKPoI?usp=share_link</v>
      </c>
      <c r="P5474" s="6" t="str">
        <f>IFERROR(__xludf.DUMMYFUNCTION("""COMPUTED_VALUE"""),"Zariyah Osgood")</f>
        <v>Zariyah Osgood</v>
      </c>
      <c r="Q5474" s="6" t="str">
        <f>IFERROR(__xludf.DUMMYFUNCTION("""COMPUTED_VALUE"""),"L2")</f>
        <v>L2</v>
      </c>
      <c r="R5474" s="6">
        <f>IFERROR(__xludf.DUMMYFUNCTION("""COMPUTED_VALUE"""),2.0)</f>
        <v>2</v>
      </c>
      <c r="S5474" s="6" t="str">
        <f>IFERROR(__xludf.DUMMYFUNCTION("""COMPUTED_VALUE"""),"Kimberly Ball")</f>
        <v>Kimberly Ball</v>
      </c>
      <c r="T5474" s="6" t="str">
        <f>IFERROR(__xludf.DUMMYFUNCTION("""COMPUTED_VALUE"""),"kimberly.ball@studient.com")</f>
        <v>kimberly.ball@studient.com</v>
      </c>
      <c r="U5474" s="6" t="str">
        <f>IFERROR(__xludf.DUMMYFUNCTION("""COMPUTED_VALUE"""),"5")</f>
        <v>5</v>
      </c>
      <c r="V5474" s="6" t="str">
        <f>IFERROR(__xludf.DUMMYFUNCTION("""COMPUTED_VALUE"""),"")</f>
        <v/>
      </c>
      <c r="W5474" s="6" t="str">
        <f>IFERROR(__xludf.DUMMYFUNCTION("""COMPUTED_VALUE"""),"[]")</f>
        <v>[]</v>
      </c>
      <c r="X5474" s="6" t="str">
        <f>IFERROR(__xludf.DUMMYFUNCTION("""COMPUTED_VALUE"""),"Enrolled")</f>
        <v>Enrolled</v>
      </c>
    </row>
    <row r="5475">
      <c r="A5475" s="6" t="str">
        <f>IFERROR(__xludf.DUMMYFUNCTION("""COMPUTED_VALUE"""),"086-12866")</f>
        <v>086-12866</v>
      </c>
      <c r="B5475" s="6" t="str">
        <f>IFERROR(__xludf.DUMMYFUNCTION("""COMPUTED_VALUE"""),"86")</f>
        <v>86</v>
      </c>
      <c r="C5475" s="6" t="str">
        <f>IFERROR(__xludf.DUMMYFUNCTION("""COMPUTED_VALUE"""),"12866")</f>
        <v>12866</v>
      </c>
      <c r="D5475" s="6" t="str">
        <f>IFERROR(__xludf.DUMMYFUNCTION("""COMPUTED_VALUE"""),"Aurora")</f>
        <v>Aurora</v>
      </c>
      <c r="E5475" s="6" t="str">
        <f>IFERROR(__xludf.DUMMYFUNCTION("""COMPUTED_VALUE"""),"")</f>
        <v/>
      </c>
      <c r="F5475" s="6" t="str">
        <f>IFERROR(__xludf.DUMMYFUNCTION("""COMPUTED_VALUE"""),"Osorio Diaz")</f>
        <v>Osorio Diaz</v>
      </c>
      <c r="G5475" s="6" t="str">
        <f>IFERROR(__xludf.DUMMYFUNCTION("""COMPUTED_VALUE"""),"06/20/2015")</f>
        <v>06/20/2015</v>
      </c>
      <c r="H5475" s="6" t="str">
        <f>IFERROR(__xludf.DUMMYFUNCTION("""COMPUTED_VALUE"""),"female")</f>
        <v>female</v>
      </c>
      <c r="I5475" s="6" t="str">
        <f>IFERROR(__xludf.DUMMYFUNCTION("""COMPUTED_VALUE"""),"Level 2")</f>
        <v>Level 2</v>
      </c>
      <c r="J5475" s="6" t="str">
        <f>IFERROR(__xludf.DUMMYFUNCTION("""COMPUTED_VALUE"""),"5")</f>
        <v>5</v>
      </c>
      <c r="K5475" s="6" t="str">
        <f>IFERROR(__xludf.DUMMYFUNCTION("""COMPUTED_VALUE"""),"aurora.osoriodiaz@2hourlearning.com")</f>
        <v>aurora.osoriodiaz@2hourlearning.com</v>
      </c>
      <c r="L5475" s="6" t="str">
        <f>IFERROR(__xludf.DUMMYFUNCTION("""COMPUTED_VALUE"""),"JRES - Ridgeland Elementary School")</f>
        <v>JRES - Ridgeland Elementary School</v>
      </c>
      <c r="M5475" s="6" t="str">
        <f>IFERROR(__xludf.DUMMYFUNCTION("""COMPUTED_VALUE"""),"")</f>
        <v/>
      </c>
      <c r="N5475" s="6" t="str">
        <f>IFERROR(__xludf.DUMMYFUNCTION("""COMPUTED_VALUE"""),"")</f>
        <v/>
      </c>
      <c r="O5475" s="87" t="str">
        <f>IFERROR(__xludf.DUMMYFUNCTION("""COMPUTED_VALUE"""),"https://drive.google.com/drive/folders/10T2cTQHqEJZqE-st6uFKPoI?usp=share_link")</f>
        <v>https://drive.google.com/drive/folders/10T2cTQHqEJZqE-st6uFKPoI?usp=share_link</v>
      </c>
      <c r="P5475" s="6" t="str">
        <f>IFERROR(__xludf.DUMMYFUNCTION("""COMPUTED_VALUE"""),"Aurora Osorio Diaz")</f>
        <v>Aurora Osorio Diaz</v>
      </c>
      <c r="Q5475" s="6" t="str">
        <f>IFERROR(__xludf.DUMMYFUNCTION("""COMPUTED_VALUE"""),"L2")</f>
        <v>L2</v>
      </c>
      <c r="R5475" s="6">
        <f>IFERROR(__xludf.DUMMYFUNCTION("""COMPUTED_VALUE"""),2.0)</f>
        <v>2</v>
      </c>
      <c r="S5475" s="6" t="str">
        <f>IFERROR(__xludf.DUMMYFUNCTION("""COMPUTED_VALUE"""),"Kimberly Ball")</f>
        <v>Kimberly Ball</v>
      </c>
      <c r="T5475" s="6" t="str">
        <f>IFERROR(__xludf.DUMMYFUNCTION("""COMPUTED_VALUE"""),"kimberly.ball@studient.com")</f>
        <v>kimberly.ball@studient.com</v>
      </c>
      <c r="U5475" s="6" t="str">
        <f>IFERROR(__xludf.DUMMYFUNCTION("""COMPUTED_VALUE"""),"5")</f>
        <v>5</v>
      </c>
      <c r="V5475" s="6" t="str">
        <f>IFERROR(__xludf.DUMMYFUNCTION("""COMPUTED_VALUE"""),"")</f>
        <v/>
      </c>
      <c r="W5475" s="6" t="str">
        <f>IFERROR(__xludf.DUMMYFUNCTION("""COMPUTED_VALUE"""),"[]")</f>
        <v>[]</v>
      </c>
      <c r="X5475" s="6" t="str">
        <f>IFERROR(__xludf.DUMMYFUNCTION("""COMPUTED_VALUE"""),"Enrolled")</f>
        <v>Enrolled</v>
      </c>
    </row>
    <row r="5476">
      <c r="A5476" s="6" t="str">
        <f>IFERROR(__xludf.DUMMYFUNCTION("""COMPUTED_VALUE"""),"086-12867")</f>
        <v>086-12867</v>
      </c>
      <c r="B5476" s="6" t="str">
        <f>IFERROR(__xludf.DUMMYFUNCTION("""COMPUTED_VALUE"""),"86")</f>
        <v>86</v>
      </c>
      <c r="C5476" s="6" t="str">
        <f>IFERROR(__xludf.DUMMYFUNCTION("""COMPUTED_VALUE"""),"12867")</f>
        <v>12867</v>
      </c>
      <c r="D5476" s="6" t="str">
        <f>IFERROR(__xludf.DUMMYFUNCTION("""COMPUTED_VALUE"""),"Jacob")</f>
        <v>Jacob</v>
      </c>
      <c r="E5476" s="6" t="str">
        <f>IFERROR(__xludf.DUMMYFUNCTION("""COMPUTED_VALUE"""),"")</f>
        <v/>
      </c>
      <c r="F5476" s="6" t="str">
        <f>IFERROR(__xludf.DUMMYFUNCTION("""COMPUTED_VALUE"""),"Patterson")</f>
        <v>Patterson</v>
      </c>
      <c r="G5476" s="6" t="str">
        <f>IFERROR(__xludf.DUMMYFUNCTION("""COMPUTED_VALUE"""),"01/03/2017")</f>
        <v>01/03/2017</v>
      </c>
      <c r="H5476" s="6" t="str">
        <f>IFERROR(__xludf.DUMMYFUNCTION("""COMPUTED_VALUE"""),"male")</f>
        <v>male</v>
      </c>
      <c r="I5476" s="6" t="str">
        <f>IFERROR(__xludf.DUMMYFUNCTION("""COMPUTED_VALUE"""),"Level 2")</f>
        <v>Level 2</v>
      </c>
      <c r="J5476" s="6" t="str">
        <f>IFERROR(__xludf.DUMMYFUNCTION("""COMPUTED_VALUE"""),"5")</f>
        <v>5</v>
      </c>
      <c r="K5476" s="6" t="str">
        <f>IFERROR(__xludf.DUMMYFUNCTION("""COMPUTED_VALUE"""),"jacob.patterson@2hourlearning.com")</f>
        <v>jacob.patterson@2hourlearning.com</v>
      </c>
      <c r="L5476" s="6" t="str">
        <f>IFERROR(__xludf.DUMMYFUNCTION("""COMPUTED_VALUE"""),"JRES - Ridgeland Elementary School")</f>
        <v>JRES - Ridgeland Elementary School</v>
      </c>
      <c r="M5476" s="6" t="str">
        <f>IFERROR(__xludf.DUMMYFUNCTION("""COMPUTED_VALUE"""),"")</f>
        <v/>
      </c>
      <c r="N5476" s="6" t="str">
        <f>IFERROR(__xludf.DUMMYFUNCTION("""COMPUTED_VALUE"""),"")</f>
        <v/>
      </c>
      <c r="O5476" s="87" t="str">
        <f>IFERROR(__xludf.DUMMYFUNCTION("""COMPUTED_VALUE"""),"https://drive.google.com/drive/folders/10T2cTQHqEJZqE-st6uFKPoI?usp=share_link")</f>
        <v>https://drive.google.com/drive/folders/10T2cTQHqEJZqE-st6uFKPoI?usp=share_link</v>
      </c>
      <c r="P5476" s="6" t="str">
        <f>IFERROR(__xludf.DUMMYFUNCTION("""COMPUTED_VALUE"""),"Jacob Patterson")</f>
        <v>Jacob Patterson</v>
      </c>
      <c r="Q5476" s="6" t="str">
        <f>IFERROR(__xludf.DUMMYFUNCTION("""COMPUTED_VALUE"""),"L2")</f>
        <v>L2</v>
      </c>
      <c r="R5476" s="6">
        <f>IFERROR(__xludf.DUMMYFUNCTION("""COMPUTED_VALUE"""),2.0)</f>
        <v>2</v>
      </c>
      <c r="S5476" s="6" t="str">
        <f>IFERROR(__xludf.DUMMYFUNCTION("""COMPUTED_VALUE"""),"Kimberly Ball")</f>
        <v>Kimberly Ball</v>
      </c>
      <c r="T5476" s="6" t="str">
        <f>IFERROR(__xludf.DUMMYFUNCTION("""COMPUTED_VALUE"""),"kimberly.ball@studient.com")</f>
        <v>kimberly.ball@studient.com</v>
      </c>
      <c r="U5476" s="6" t="str">
        <f>IFERROR(__xludf.DUMMYFUNCTION("""COMPUTED_VALUE"""),"5")</f>
        <v>5</v>
      </c>
      <c r="V5476" s="6" t="str">
        <f>IFERROR(__xludf.DUMMYFUNCTION("""COMPUTED_VALUE"""),"")</f>
        <v/>
      </c>
      <c r="W5476" s="6" t="str">
        <f>IFERROR(__xludf.DUMMYFUNCTION("""COMPUTED_VALUE"""),"[]")</f>
        <v>[]</v>
      </c>
      <c r="X5476" s="6" t="str">
        <f>IFERROR(__xludf.DUMMYFUNCTION("""COMPUTED_VALUE"""),"Enrolled")</f>
        <v>Enrolled</v>
      </c>
    </row>
    <row r="5477">
      <c r="A5477" s="6" t="str">
        <f>IFERROR(__xludf.DUMMYFUNCTION("""COMPUTED_VALUE"""),"086-12868")</f>
        <v>086-12868</v>
      </c>
      <c r="B5477" s="6" t="str">
        <f>IFERROR(__xludf.DUMMYFUNCTION("""COMPUTED_VALUE"""),"86")</f>
        <v>86</v>
      </c>
      <c r="C5477" s="6" t="str">
        <f>IFERROR(__xludf.DUMMYFUNCTION("""COMPUTED_VALUE"""),"12868")</f>
        <v>12868</v>
      </c>
      <c r="D5477" s="6" t="str">
        <f>IFERROR(__xludf.DUMMYFUNCTION("""COMPUTED_VALUE"""),"Katherin")</f>
        <v>Katherin</v>
      </c>
      <c r="E5477" s="6" t="str">
        <f>IFERROR(__xludf.DUMMYFUNCTION("""COMPUTED_VALUE"""),"")</f>
        <v/>
      </c>
      <c r="F5477" s="6" t="str">
        <f>IFERROR(__xludf.DUMMYFUNCTION("""COMPUTED_VALUE"""),"Peraza Rodriguez")</f>
        <v>Peraza Rodriguez</v>
      </c>
      <c r="G5477" s="6" t="str">
        <f>IFERROR(__xludf.DUMMYFUNCTION("""COMPUTED_VALUE"""),"07/02/2015")</f>
        <v>07/02/2015</v>
      </c>
      <c r="H5477" s="6" t="str">
        <f>IFERROR(__xludf.DUMMYFUNCTION("""COMPUTED_VALUE"""),"male")</f>
        <v>male</v>
      </c>
      <c r="I5477" s="6" t="str">
        <f>IFERROR(__xludf.DUMMYFUNCTION("""COMPUTED_VALUE"""),"Level 2")</f>
        <v>Level 2</v>
      </c>
      <c r="J5477" s="6" t="str">
        <f>IFERROR(__xludf.DUMMYFUNCTION("""COMPUTED_VALUE"""),"5")</f>
        <v>5</v>
      </c>
      <c r="K5477" s="6" t="str">
        <f>IFERROR(__xludf.DUMMYFUNCTION("""COMPUTED_VALUE"""),"katherin.perazarodriguez@2hourlearning.com")</f>
        <v>katherin.perazarodriguez@2hourlearning.com</v>
      </c>
      <c r="L5477" s="6" t="str">
        <f>IFERROR(__xludf.DUMMYFUNCTION("""COMPUTED_VALUE"""),"JRES - Ridgeland Elementary School")</f>
        <v>JRES - Ridgeland Elementary School</v>
      </c>
      <c r="M5477" s="6" t="str">
        <f>IFERROR(__xludf.DUMMYFUNCTION("""COMPUTED_VALUE"""),"")</f>
        <v/>
      </c>
      <c r="N5477" s="6" t="str">
        <f>IFERROR(__xludf.DUMMYFUNCTION("""COMPUTED_VALUE"""),"")</f>
        <v/>
      </c>
      <c r="O5477" s="87" t="str">
        <f>IFERROR(__xludf.DUMMYFUNCTION("""COMPUTED_VALUE"""),"https://drive.google.com/drive/folders/10T2cTQHqEJZqE-st6uFKPoI?usp=share_link")</f>
        <v>https://drive.google.com/drive/folders/10T2cTQHqEJZqE-st6uFKPoI?usp=share_link</v>
      </c>
      <c r="P5477" s="6" t="str">
        <f>IFERROR(__xludf.DUMMYFUNCTION("""COMPUTED_VALUE"""),"Katherin Peraza Rodriguez")</f>
        <v>Katherin Peraza Rodriguez</v>
      </c>
      <c r="Q5477" s="6" t="str">
        <f>IFERROR(__xludf.DUMMYFUNCTION("""COMPUTED_VALUE"""),"L2")</f>
        <v>L2</v>
      </c>
      <c r="R5477" s="6">
        <f>IFERROR(__xludf.DUMMYFUNCTION("""COMPUTED_VALUE"""),2.0)</f>
        <v>2</v>
      </c>
      <c r="S5477" s="6" t="str">
        <f>IFERROR(__xludf.DUMMYFUNCTION("""COMPUTED_VALUE"""),"Kimberly Ball")</f>
        <v>Kimberly Ball</v>
      </c>
      <c r="T5477" s="6" t="str">
        <f>IFERROR(__xludf.DUMMYFUNCTION("""COMPUTED_VALUE"""),"kimberly.ball@studient.com")</f>
        <v>kimberly.ball@studient.com</v>
      </c>
      <c r="U5477" s="6" t="str">
        <f>IFERROR(__xludf.DUMMYFUNCTION("""COMPUTED_VALUE"""),"5")</f>
        <v>5</v>
      </c>
      <c r="V5477" s="6" t="str">
        <f>IFERROR(__xludf.DUMMYFUNCTION("""COMPUTED_VALUE"""),"")</f>
        <v/>
      </c>
      <c r="W5477" s="6" t="str">
        <f>IFERROR(__xludf.DUMMYFUNCTION("""COMPUTED_VALUE"""),"[]")</f>
        <v>[]</v>
      </c>
      <c r="X5477" s="6" t="str">
        <f>IFERROR(__xludf.DUMMYFUNCTION("""COMPUTED_VALUE"""),"Enrolled")</f>
        <v>Enrolled</v>
      </c>
    </row>
    <row r="5478">
      <c r="A5478" s="6" t="str">
        <f>IFERROR(__xludf.DUMMYFUNCTION("""COMPUTED_VALUE"""),"086-12869")</f>
        <v>086-12869</v>
      </c>
      <c r="B5478" s="6" t="str">
        <f>IFERROR(__xludf.DUMMYFUNCTION("""COMPUTED_VALUE"""),"86")</f>
        <v>86</v>
      </c>
      <c r="C5478" s="6" t="str">
        <f>IFERROR(__xludf.DUMMYFUNCTION("""COMPUTED_VALUE"""),"12869")</f>
        <v>12869</v>
      </c>
      <c r="D5478" s="6" t="str">
        <f>IFERROR(__xludf.DUMMYFUNCTION("""COMPUTED_VALUE"""),"Duaslyn")</f>
        <v>Duaslyn</v>
      </c>
      <c r="E5478" s="6" t="str">
        <f>IFERROR(__xludf.DUMMYFUNCTION("""COMPUTED_VALUE"""),"")</f>
        <v/>
      </c>
      <c r="F5478" s="6" t="str">
        <f>IFERROR(__xludf.DUMMYFUNCTION("""COMPUTED_VALUE"""),"Perez Murillo")</f>
        <v>Perez Murillo</v>
      </c>
      <c r="G5478" s="6" t="str">
        <f>IFERROR(__xludf.DUMMYFUNCTION("""COMPUTED_VALUE"""),"02/21/2017")</f>
        <v>02/21/2017</v>
      </c>
      <c r="H5478" s="6" t="str">
        <f>IFERROR(__xludf.DUMMYFUNCTION("""COMPUTED_VALUE"""),"female")</f>
        <v>female</v>
      </c>
      <c r="I5478" s="6" t="str">
        <f>IFERROR(__xludf.DUMMYFUNCTION("""COMPUTED_VALUE"""),"Level 2")</f>
        <v>Level 2</v>
      </c>
      <c r="J5478" s="6" t="str">
        <f>IFERROR(__xludf.DUMMYFUNCTION("""COMPUTED_VALUE"""),"5")</f>
        <v>5</v>
      </c>
      <c r="K5478" s="6" t="str">
        <f>IFERROR(__xludf.DUMMYFUNCTION("""COMPUTED_VALUE"""),"duaslyn.perezmurillo@2hourlearning.com")</f>
        <v>duaslyn.perezmurillo@2hourlearning.com</v>
      </c>
      <c r="L5478" s="6" t="str">
        <f>IFERROR(__xludf.DUMMYFUNCTION("""COMPUTED_VALUE"""),"JRES - Ridgeland Elementary School")</f>
        <v>JRES - Ridgeland Elementary School</v>
      </c>
      <c r="M5478" s="6" t="str">
        <f>IFERROR(__xludf.DUMMYFUNCTION("""COMPUTED_VALUE"""),"")</f>
        <v/>
      </c>
      <c r="N5478" s="6" t="str">
        <f>IFERROR(__xludf.DUMMYFUNCTION("""COMPUTED_VALUE"""),"")</f>
        <v/>
      </c>
      <c r="O5478" s="87" t="str">
        <f>IFERROR(__xludf.DUMMYFUNCTION("""COMPUTED_VALUE"""),"https://drive.google.com/drive/folders/10T2cTQHqEJZqE-st6uFKPoI?usp=share_link")</f>
        <v>https://drive.google.com/drive/folders/10T2cTQHqEJZqE-st6uFKPoI?usp=share_link</v>
      </c>
      <c r="P5478" s="6" t="str">
        <f>IFERROR(__xludf.DUMMYFUNCTION("""COMPUTED_VALUE"""),"Duaslyn Perez Murillo")</f>
        <v>Duaslyn Perez Murillo</v>
      </c>
      <c r="Q5478" s="6" t="str">
        <f>IFERROR(__xludf.DUMMYFUNCTION("""COMPUTED_VALUE"""),"L2")</f>
        <v>L2</v>
      </c>
      <c r="R5478" s="6">
        <f>IFERROR(__xludf.DUMMYFUNCTION("""COMPUTED_VALUE"""),2.0)</f>
        <v>2</v>
      </c>
      <c r="S5478" s="6" t="str">
        <f>IFERROR(__xludf.DUMMYFUNCTION("""COMPUTED_VALUE"""),"Kimberly Ball")</f>
        <v>Kimberly Ball</v>
      </c>
      <c r="T5478" s="6" t="str">
        <f>IFERROR(__xludf.DUMMYFUNCTION("""COMPUTED_VALUE"""),"kimberly.ball@studient.com")</f>
        <v>kimberly.ball@studient.com</v>
      </c>
      <c r="U5478" s="6" t="str">
        <f>IFERROR(__xludf.DUMMYFUNCTION("""COMPUTED_VALUE"""),"5")</f>
        <v>5</v>
      </c>
      <c r="V5478" s="6" t="str">
        <f>IFERROR(__xludf.DUMMYFUNCTION("""COMPUTED_VALUE"""),"")</f>
        <v/>
      </c>
      <c r="W5478" s="6" t="str">
        <f>IFERROR(__xludf.DUMMYFUNCTION("""COMPUTED_VALUE"""),"[]")</f>
        <v>[]</v>
      </c>
      <c r="X5478" s="6" t="str">
        <f>IFERROR(__xludf.DUMMYFUNCTION("""COMPUTED_VALUE"""),"Enrolled")</f>
        <v>Enrolled</v>
      </c>
    </row>
    <row r="5479">
      <c r="A5479" s="6" t="str">
        <f>IFERROR(__xludf.DUMMYFUNCTION("""COMPUTED_VALUE"""),"086-12870")</f>
        <v>086-12870</v>
      </c>
      <c r="B5479" s="6" t="str">
        <f>IFERROR(__xludf.DUMMYFUNCTION("""COMPUTED_VALUE"""),"86")</f>
        <v>86</v>
      </c>
      <c r="C5479" s="6" t="str">
        <f>IFERROR(__xludf.DUMMYFUNCTION("""COMPUTED_VALUE"""),"12870")</f>
        <v>12870</v>
      </c>
      <c r="D5479" s="6" t="str">
        <f>IFERROR(__xludf.DUMMYFUNCTION("""COMPUTED_VALUE"""),"Jordan")</f>
        <v>Jordan</v>
      </c>
      <c r="E5479" s="6" t="str">
        <f>IFERROR(__xludf.DUMMYFUNCTION("""COMPUTED_VALUE"""),"")</f>
        <v/>
      </c>
      <c r="F5479" s="6" t="str">
        <f>IFERROR(__xludf.DUMMYFUNCTION("""COMPUTED_VALUE"""),"Peters")</f>
        <v>Peters</v>
      </c>
      <c r="G5479" s="6" t="str">
        <f>IFERROR(__xludf.DUMMYFUNCTION("""COMPUTED_VALUE"""),"06/10/2016")</f>
        <v>06/10/2016</v>
      </c>
      <c r="H5479" s="6" t="str">
        <f>IFERROR(__xludf.DUMMYFUNCTION("""COMPUTED_VALUE"""),"female")</f>
        <v>female</v>
      </c>
      <c r="I5479" s="6" t="str">
        <f>IFERROR(__xludf.DUMMYFUNCTION("""COMPUTED_VALUE"""),"Level 2")</f>
        <v>Level 2</v>
      </c>
      <c r="J5479" s="6" t="str">
        <f>IFERROR(__xludf.DUMMYFUNCTION("""COMPUTED_VALUE"""),"5")</f>
        <v>5</v>
      </c>
      <c r="K5479" s="6" t="str">
        <f>IFERROR(__xludf.DUMMYFUNCTION("""COMPUTED_VALUE"""),"jordan.peters@2hourlearning.com")</f>
        <v>jordan.peters@2hourlearning.com</v>
      </c>
      <c r="L5479" s="6" t="str">
        <f>IFERROR(__xludf.DUMMYFUNCTION("""COMPUTED_VALUE"""),"JRES - Ridgeland Elementary School")</f>
        <v>JRES - Ridgeland Elementary School</v>
      </c>
      <c r="M5479" s="6" t="str">
        <f>IFERROR(__xludf.DUMMYFUNCTION("""COMPUTED_VALUE"""),"")</f>
        <v/>
      </c>
      <c r="N5479" s="6" t="str">
        <f>IFERROR(__xludf.DUMMYFUNCTION("""COMPUTED_VALUE"""),"")</f>
        <v/>
      </c>
      <c r="O5479" s="87" t="str">
        <f>IFERROR(__xludf.DUMMYFUNCTION("""COMPUTED_VALUE"""),"https://drive.google.com/drive/folders/10T2cTQHqEJZqE-st6uFKPoI?usp=share_link")</f>
        <v>https://drive.google.com/drive/folders/10T2cTQHqEJZqE-st6uFKPoI?usp=share_link</v>
      </c>
      <c r="P5479" s="6" t="str">
        <f>IFERROR(__xludf.DUMMYFUNCTION("""COMPUTED_VALUE"""),"Jordan Peters")</f>
        <v>Jordan Peters</v>
      </c>
      <c r="Q5479" s="6" t="str">
        <f>IFERROR(__xludf.DUMMYFUNCTION("""COMPUTED_VALUE"""),"L2")</f>
        <v>L2</v>
      </c>
      <c r="R5479" s="6">
        <f>IFERROR(__xludf.DUMMYFUNCTION("""COMPUTED_VALUE"""),2.0)</f>
        <v>2</v>
      </c>
      <c r="S5479" s="6" t="str">
        <f>IFERROR(__xludf.DUMMYFUNCTION("""COMPUTED_VALUE"""),"Kimberly Ball")</f>
        <v>Kimberly Ball</v>
      </c>
      <c r="T5479" s="6" t="str">
        <f>IFERROR(__xludf.DUMMYFUNCTION("""COMPUTED_VALUE"""),"kimberly.ball@studient.com")</f>
        <v>kimberly.ball@studient.com</v>
      </c>
      <c r="U5479" s="6" t="str">
        <f>IFERROR(__xludf.DUMMYFUNCTION("""COMPUTED_VALUE"""),"5")</f>
        <v>5</v>
      </c>
      <c r="V5479" s="6" t="str">
        <f>IFERROR(__xludf.DUMMYFUNCTION("""COMPUTED_VALUE"""),"")</f>
        <v/>
      </c>
      <c r="W5479" s="6" t="str">
        <f>IFERROR(__xludf.DUMMYFUNCTION("""COMPUTED_VALUE"""),"[]")</f>
        <v>[]</v>
      </c>
      <c r="X5479" s="6" t="str">
        <f>IFERROR(__xludf.DUMMYFUNCTION("""COMPUTED_VALUE"""),"Enrolled")</f>
        <v>Enrolled</v>
      </c>
    </row>
    <row r="5480">
      <c r="A5480" s="6" t="str">
        <f>IFERROR(__xludf.DUMMYFUNCTION("""COMPUTED_VALUE"""),"086-12871")</f>
        <v>086-12871</v>
      </c>
      <c r="B5480" s="6" t="str">
        <f>IFERROR(__xludf.DUMMYFUNCTION("""COMPUTED_VALUE"""),"86")</f>
        <v>86</v>
      </c>
      <c r="C5480" s="6" t="str">
        <f>IFERROR(__xludf.DUMMYFUNCTION("""COMPUTED_VALUE"""),"12871")</f>
        <v>12871</v>
      </c>
      <c r="D5480" s="6" t="str">
        <f>IFERROR(__xludf.DUMMYFUNCTION("""COMPUTED_VALUE"""),"Carter")</f>
        <v>Carter</v>
      </c>
      <c r="E5480" s="6" t="str">
        <f>IFERROR(__xludf.DUMMYFUNCTION("""COMPUTED_VALUE"""),"")</f>
        <v/>
      </c>
      <c r="F5480" s="6" t="str">
        <f>IFERROR(__xludf.DUMMYFUNCTION("""COMPUTED_VALUE"""),"Pinckney")</f>
        <v>Pinckney</v>
      </c>
      <c r="G5480" s="6" t="str">
        <f>IFERROR(__xludf.DUMMYFUNCTION("""COMPUTED_VALUE"""),"02/11/2016")</f>
        <v>02/11/2016</v>
      </c>
      <c r="H5480" s="6" t="str">
        <f>IFERROR(__xludf.DUMMYFUNCTION("""COMPUTED_VALUE"""),"female")</f>
        <v>female</v>
      </c>
      <c r="I5480" s="6" t="str">
        <f>IFERROR(__xludf.DUMMYFUNCTION("""COMPUTED_VALUE"""),"Level 2")</f>
        <v>Level 2</v>
      </c>
      <c r="J5480" s="6" t="str">
        <f>IFERROR(__xludf.DUMMYFUNCTION("""COMPUTED_VALUE"""),"5")</f>
        <v>5</v>
      </c>
      <c r="K5480" s="6" t="str">
        <f>IFERROR(__xludf.DUMMYFUNCTION("""COMPUTED_VALUE"""),"carter.pinckney@2hourlearning.com")</f>
        <v>carter.pinckney@2hourlearning.com</v>
      </c>
      <c r="L5480" s="6" t="str">
        <f>IFERROR(__xludf.DUMMYFUNCTION("""COMPUTED_VALUE"""),"JRES - Ridgeland Elementary School")</f>
        <v>JRES - Ridgeland Elementary School</v>
      </c>
      <c r="M5480" s="6" t="str">
        <f>IFERROR(__xludf.DUMMYFUNCTION("""COMPUTED_VALUE"""),"")</f>
        <v/>
      </c>
      <c r="N5480" s="6" t="str">
        <f>IFERROR(__xludf.DUMMYFUNCTION("""COMPUTED_VALUE"""),"")</f>
        <v/>
      </c>
      <c r="O5480" s="87" t="str">
        <f>IFERROR(__xludf.DUMMYFUNCTION("""COMPUTED_VALUE"""),"https://drive.google.com/drive/folders/10T2cTQHqEJZqE-st6uFKPoI?usp=share_link")</f>
        <v>https://drive.google.com/drive/folders/10T2cTQHqEJZqE-st6uFKPoI?usp=share_link</v>
      </c>
      <c r="P5480" s="6" t="str">
        <f>IFERROR(__xludf.DUMMYFUNCTION("""COMPUTED_VALUE"""),"Carter Pinckney")</f>
        <v>Carter Pinckney</v>
      </c>
      <c r="Q5480" s="6" t="str">
        <f>IFERROR(__xludf.DUMMYFUNCTION("""COMPUTED_VALUE"""),"L2")</f>
        <v>L2</v>
      </c>
      <c r="R5480" s="6">
        <f>IFERROR(__xludf.DUMMYFUNCTION("""COMPUTED_VALUE"""),2.0)</f>
        <v>2</v>
      </c>
      <c r="S5480" s="6" t="str">
        <f>IFERROR(__xludf.DUMMYFUNCTION("""COMPUTED_VALUE"""),"Kimberly Ball")</f>
        <v>Kimberly Ball</v>
      </c>
      <c r="T5480" s="6" t="str">
        <f>IFERROR(__xludf.DUMMYFUNCTION("""COMPUTED_VALUE"""),"kimberly.ball@studient.com")</f>
        <v>kimberly.ball@studient.com</v>
      </c>
      <c r="U5480" s="6" t="str">
        <f>IFERROR(__xludf.DUMMYFUNCTION("""COMPUTED_VALUE"""),"5")</f>
        <v>5</v>
      </c>
      <c r="V5480" s="6" t="str">
        <f>IFERROR(__xludf.DUMMYFUNCTION("""COMPUTED_VALUE"""),"")</f>
        <v/>
      </c>
      <c r="W5480" s="6" t="str">
        <f>IFERROR(__xludf.DUMMYFUNCTION("""COMPUTED_VALUE"""),"[]")</f>
        <v>[]</v>
      </c>
      <c r="X5480" s="6" t="str">
        <f>IFERROR(__xludf.DUMMYFUNCTION("""COMPUTED_VALUE"""),"Enrolled")</f>
        <v>Enrolled</v>
      </c>
    </row>
    <row r="5481">
      <c r="A5481" s="6" t="str">
        <f>IFERROR(__xludf.DUMMYFUNCTION("""COMPUTED_VALUE"""),"086-12872")</f>
        <v>086-12872</v>
      </c>
      <c r="B5481" s="6" t="str">
        <f>IFERROR(__xludf.DUMMYFUNCTION("""COMPUTED_VALUE"""),"86")</f>
        <v>86</v>
      </c>
      <c r="C5481" s="6" t="str">
        <f>IFERROR(__xludf.DUMMYFUNCTION("""COMPUTED_VALUE"""),"12872")</f>
        <v>12872</v>
      </c>
      <c r="D5481" s="6" t="str">
        <f>IFERROR(__xludf.DUMMYFUNCTION("""COMPUTED_VALUE"""),"Amarea")</f>
        <v>Amarea</v>
      </c>
      <c r="E5481" s="6" t="str">
        <f>IFERROR(__xludf.DUMMYFUNCTION("""COMPUTED_VALUE"""),"")</f>
        <v/>
      </c>
      <c r="F5481" s="6" t="str">
        <f>IFERROR(__xludf.DUMMYFUNCTION("""COMPUTED_VALUE"""),"Poindexter")</f>
        <v>Poindexter</v>
      </c>
      <c r="G5481" s="6" t="str">
        <f>IFERROR(__xludf.DUMMYFUNCTION("""COMPUTED_VALUE"""),"07/12/2016")</f>
        <v>07/12/2016</v>
      </c>
      <c r="H5481" s="6" t="str">
        <f>IFERROR(__xludf.DUMMYFUNCTION("""COMPUTED_VALUE"""),"male")</f>
        <v>male</v>
      </c>
      <c r="I5481" s="6" t="str">
        <f>IFERROR(__xludf.DUMMYFUNCTION("""COMPUTED_VALUE"""),"Level 2")</f>
        <v>Level 2</v>
      </c>
      <c r="J5481" s="6" t="str">
        <f>IFERROR(__xludf.DUMMYFUNCTION("""COMPUTED_VALUE"""),"5")</f>
        <v>5</v>
      </c>
      <c r="K5481" s="6" t="str">
        <f>IFERROR(__xludf.DUMMYFUNCTION("""COMPUTED_VALUE"""),"amarea.poindexter@2hourlearning.com")</f>
        <v>amarea.poindexter@2hourlearning.com</v>
      </c>
      <c r="L5481" s="6" t="str">
        <f>IFERROR(__xludf.DUMMYFUNCTION("""COMPUTED_VALUE"""),"JRES - Ridgeland Elementary School")</f>
        <v>JRES - Ridgeland Elementary School</v>
      </c>
      <c r="M5481" s="6" t="str">
        <f>IFERROR(__xludf.DUMMYFUNCTION("""COMPUTED_VALUE"""),"")</f>
        <v/>
      </c>
      <c r="N5481" s="6" t="str">
        <f>IFERROR(__xludf.DUMMYFUNCTION("""COMPUTED_VALUE"""),"")</f>
        <v/>
      </c>
      <c r="O5481" s="87" t="str">
        <f>IFERROR(__xludf.DUMMYFUNCTION("""COMPUTED_VALUE"""),"https://drive.google.com/drive/folders/10T2cTQHqEJZqE-st6uFKPoI?usp=share_link")</f>
        <v>https://drive.google.com/drive/folders/10T2cTQHqEJZqE-st6uFKPoI?usp=share_link</v>
      </c>
      <c r="P5481" s="6" t="str">
        <f>IFERROR(__xludf.DUMMYFUNCTION("""COMPUTED_VALUE"""),"Amarea Poindexter")</f>
        <v>Amarea Poindexter</v>
      </c>
      <c r="Q5481" s="6" t="str">
        <f>IFERROR(__xludf.DUMMYFUNCTION("""COMPUTED_VALUE"""),"L2")</f>
        <v>L2</v>
      </c>
      <c r="R5481" s="6">
        <f>IFERROR(__xludf.DUMMYFUNCTION("""COMPUTED_VALUE"""),2.0)</f>
        <v>2</v>
      </c>
      <c r="S5481" s="6" t="str">
        <f>IFERROR(__xludf.DUMMYFUNCTION("""COMPUTED_VALUE"""),"Kimberly Ball")</f>
        <v>Kimberly Ball</v>
      </c>
      <c r="T5481" s="6" t="str">
        <f>IFERROR(__xludf.DUMMYFUNCTION("""COMPUTED_VALUE"""),"kimberly.ball@studient.com")</f>
        <v>kimberly.ball@studient.com</v>
      </c>
      <c r="U5481" s="6" t="str">
        <f>IFERROR(__xludf.DUMMYFUNCTION("""COMPUTED_VALUE"""),"5")</f>
        <v>5</v>
      </c>
      <c r="V5481" s="6" t="str">
        <f>IFERROR(__xludf.DUMMYFUNCTION("""COMPUTED_VALUE"""),"")</f>
        <v/>
      </c>
      <c r="W5481" s="6" t="str">
        <f>IFERROR(__xludf.DUMMYFUNCTION("""COMPUTED_VALUE"""),"[]")</f>
        <v>[]</v>
      </c>
      <c r="X5481" s="6" t="str">
        <f>IFERROR(__xludf.DUMMYFUNCTION("""COMPUTED_VALUE"""),"Enrolled")</f>
        <v>Enrolled</v>
      </c>
    </row>
    <row r="5482">
      <c r="A5482" s="6" t="str">
        <f>IFERROR(__xludf.DUMMYFUNCTION("""COMPUTED_VALUE"""),"086-12873")</f>
        <v>086-12873</v>
      </c>
      <c r="B5482" s="6" t="str">
        <f>IFERROR(__xludf.DUMMYFUNCTION("""COMPUTED_VALUE"""),"86")</f>
        <v>86</v>
      </c>
      <c r="C5482" s="6" t="str">
        <f>IFERROR(__xludf.DUMMYFUNCTION("""COMPUTED_VALUE"""),"12873")</f>
        <v>12873</v>
      </c>
      <c r="D5482" s="6" t="str">
        <f>IFERROR(__xludf.DUMMYFUNCTION("""COMPUTED_VALUE"""),"Darla")</f>
        <v>Darla</v>
      </c>
      <c r="E5482" s="6" t="str">
        <f>IFERROR(__xludf.DUMMYFUNCTION("""COMPUTED_VALUE"""),"")</f>
        <v/>
      </c>
      <c r="F5482" s="6" t="str">
        <f>IFERROR(__xludf.DUMMYFUNCTION("""COMPUTED_VALUE"""),"Pomasqui Reina")</f>
        <v>Pomasqui Reina</v>
      </c>
      <c r="G5482" s="6" t="str">
        <f>IFERROR(__xludf.DUMMYFUNCTION("""COMPUTED_VALUE"""),"10/08/2014")</f>
        <v>10/08/2014</v>
      </c>
      <c r="H5482" s="6" t="str">
        <f>IFERROR(__xludf.DUMMYFUNCTION("""COMPUTED_VALUE"""),"female")</f>
        <v>female</v>
      </c>
      <c r="I5482" s="6" t="str">
        <f>IFERROR(__xludf.DUMMYFUNCTION("""COMPUTED_VALUE"""),"Level 2")</f>
        <v>Level 2</v>
      </c>
      <c r="J5482" s="6" t="str">
        <f>IFERROR(__xludf.DUMMYFUNCTION("""COMPUTED_VALUE"""),"5")</f>
        <v>5</v>
      </c>
      <c r="K5482" s="6" t="str">
        <f>IFERROR(__xludf.DUMMYFUNCTION("""COMPUTED_VALUE"""),"darla.pomasquireina@2hourlearning.com")</f>
        <v>darla.pomasquireina@2hourlearning.com</v>
      </c>
      <c r="L5482" s="6" t="str">
        <f>IFERROR(__xludf.DUMMYFUNCTION("""COMPUTED_VALUE"""),"JRES - Ridgeland Elementary School")</f>
        <v>JRES - Ridgeland Elementary School</v>
      </c>
      <c r="M5482" s="6" t="str">
        <f>IFERROR(__xludf.DUMMYFUNCTION("""COMPUTED_VALUE"""),"")</f>
        <v/>
      </c>
      <c r="N5482" s="6" t="str">
        <f>IFERROR(__xludf.DUMMYFUNCTION("""COMPUTED_VALUE"""),"")</f>
        <v/>
      </c>
      <c r="O5482" s="87" t="str">
        <f>IFERROR(__xludf.DUMMYFUNCTION("""COMPUTED_VALUE"""),"https://drive.google.com/drive/folders/10T2cTQHqEJZqE-st6uFKPoI?usp=share_link")</f>
        <v>https://drive.google.com/drive/folders/10T2cTQHqEJZqE-st6uFKPoI?usp=share_link</v>
      </c>
      <c r="P5482" s="6" t="str">
        <f>IFERROR(__xludf.DUMMYFUNCTION("""COMPUTED_VALUE"""),"Darla Pomasqui Reina")</f>
        <v>Darla Pomasqui Reina</v>
      </c>
      <c r="Q5482" s="6" t="str">
        <f>IFERROR(__xludf.DUMMYFUNCTION("""COMPUTED_VALUE"""),"L2")</f>
        <v>L2</v>
      </c>
      <c r="R5482" s="6">
        <f>IFERROR(__xludf.DUMMYFUNCTION("""COMPUTED_VALUE"""),2.0)</f>
        <v>2</v>
      </c>
      <c r="S5482" s="6" t="str">
        <f>IFERROR(__xludf.DUMMYFUNCTION("""COMPUTED_VALUE"""),"Kimberly Ball")</f>
        <v>Kimberly Ball</v>
      </c>
      <c r="T5482" s="6" t="str">
        <f>IFERROR(__xludf.DUMMYFUNCTION("""COMPUTED_VALUE"""),"kimberly.ball@studient.com")</f>
        <v>kimberly.ball@studient.com</v>
      </c>
      <c r="U5482" s="6" t="str">
        <f>IFERROR(__xludf.DUMMYFUNCTION("""COMPUTED_VALUE"""),"5")</f>
        <v>5</v>
      </c>
      <c r="V5482" s="6" t="str">
        <f>IFERROR(__xludf.DUMMYFUNCTION("""COMPUTED_VALUE"""),"")</f>
        <v/>
      </c>
      <c r="W5482" s="6" t="str">
        <f>IFERROR(__xludf.DUMMYFUNCTION("""COMPUTED_VALUE"""),"[]")</f>
        <v>[]</v>
      </c>
      <c r="X5482" s="6" t="str">
        <f>IFERROR(__xludf.DUMMYFUNCTION("""COMPUTED_VALUE"""),"Enrolled")</f>
        <v>Enrolled</v>
      </c>
    </row>
    <row r="5483">
      <c r="A5483" s="6" t="str">
        <f>IFERROR(__xludf.DUMMYFUNCTION("""COMPUTED_VALUE"""),"086-12874")</f>
        <v>086-12874</v>
      </c>
      <c r="B5483" s="6" t="str">
        <f>IFERROR(__xludf.DUMMYFUNCTION("""COMPUTED_VALUE"""),"86")</f>
        <v>86</v>
      </c>
      <c r="C5483" s="6" t="str">
        <f>IFERROR(__xludf.DUMMYFUNCTION("""COMPUTED_VALUE"""),"12874")</f>
        <v>12874</v>
      </c>
      <c r="D5483" s="6" t="str">
        <f>IFERROR(__xludf.DUMMYFUNCTION("""COMPUTED_VALUE"""),"Thiago")</f>
        <v>Thiago</v>
      </c>
      <c r="E5483" s="6" t="str">
        <f>IFERROR(__xludf.DUMMYFUNCTION("""COMPUTED_VALUE"""),"")</f>
        <v/>
      </c>
      <c r="F5483" s="6" t="str">
        <f>IFERROR(__xludf.DUMMYFUNCTION("""COMPUTED_VALUE"""),"Quinteros")</f>
        <v>Quinteros</v>
      </c>
      <c r="G5483" s="6" t="str">
        <f>IFERROR(__xludf.DUMMYFUNCTION("""COMPUTED_VALUE"""),"12/18/2016")</f>
        <v>12/18/2016</v>
      </c>
      <c r="H5483" s="6" t="str">
        <f>IFERROR(__xludf.DUMMYFUNCTION("""COMPUTED_VALUE"""),"male")</f>
        <v>male</v>
      </c>
      <c r="I5483" s="6" t="str">
        <f>IFERROR(__xludf.DUMMYFUNCTION("""COMPUTED_VALUE"""),"Level 2")</f>
        <v>Level 2</v>
      </c>
      <c r="J5483" s="6" t="str">
        <f>IFERROR(__xludf.DUMMYFUNCTION("""COMPUTED_VALUE"""),"5")</f>
        <v>5</v>
      </c>
      <c r="K5483" s="6" t="str">
        <f>IFERROR(__xludf.DUMMYFUNCTION("""COMPUTED_VALUE"""),"thiago.quinteros@2hourlearning.com")</f>
        <v>thiago.quinteros@2hourlearning.com</v>
      </c>
      <c r="L5483" s="6" t="str">
        <f>IFERROR(__xludf.DUMMYFUNCTION("""COMPUTED_VALUE"""),"JRES - Ridgeland Elementary School")</f>
        <v>JRES - Ridgeland Elementary School</v>
      </c>
      <c r="M5483" s="6" t="str">
        <f>IFERROR(__xludf.DUMMYFUNCTION("""COMPUTED_VALUE"""),"")</f>
        <v/>
      </c>
      <c r="N5483" s="6" t="str">
        <f>IFERROR(__xludf.DUMMYFUNCTION("""COMPUTED_VALUE"""),"")</f>
        <v/>
      </c>
      <c r="O5483" s="87" t="str">
        <f>IFERROR(__xludf.DUMMYFUNCTION("""COMPUTED_VALUE"""),"https://drive.google.com/drive/folders/10T2cTQHqEJZqE-st6uFKPoI?usp=share_link")</f>
        <v>https://drive.google.com/drive/folders/10T2cTQHqEJZqE-st6uFKPoI?usp=share_link</v>
      </c>
      <c r="P5483" s="6" t="str">
        <f>IFERROR(__xludf.DUMMYFUNCTION("""COMPUTED_VALUE"""),"Thiago Quinteros")</f>
        <v>Thiago Quinteros</v>
      </c>
      <c r="Q5483" s="6" t="str">
        <f>IFERROR(__xludf.DUMMYFUNCTION("""COMPUTED_VALUE"""),"L2")</f>
        <v>L2</v>
      </c>
      <c r="R5483" s="6">
        <f>IFERROR(__xludf.DUMMYFUNCTION("""COMPUTED_VALUE"""),2.0)</f>
        <v>2</v>
      </c>
      <c r="S5483" s="6" t="str">
        <f>IFERROR(__xludf.DUMMYFUNCTION("""COMPUTED_VALUE"""),"Kimberly Ball")</f>
        <v>Kimberly Ball</v>
      </c>
      <c r="T5483" s="6" t="str">
        <f>IFERROR(__xludf.DUMMYFUNCTION("""COMPUTED_VALUE"""),"kimberly.ball@studient.com")</f>
        <v>kimberly.ball@studient.com</v>
      </c>
      <c r="U5483" s="6" t="str">
        <f>IFERROR(__xludf.DUMMYFUNCTION("""COMPUTED_VALUE"""),"5")</f>
        <v>5</v>
      </c>
      <c r="V5483" s="6" t="str">
        <f>IFERROR(__xludf.DUMMYFUNCTION("""COMPUTED_VALUE"""),"")</f>
        <v/>
      </c>
      <c r="W5483" s="6" t="str">
        <f>IFERROR(__xludf.DUMMYFUNCTION("""COMPUTED_VALUE"""),"[]")</f>
        <v>[]</v>
      </c>
      <c r="X5483" s="6" t="str">
        <f>IFERROR(__xludf.DUMMYFUNCTION("""COMPUTED_VALUE"""),"Enrolled")</f>
        <v>Enrolled</v>
      </c>
    </row>
    <row r="5484">
      <c r="A5484" s="6" t="str">
        <f>IFERROR(__xludf.DUMMYFUNCTION("""COMPUTED_VALUE"""),"086-12875")</f>
        <v>086-12875</v>
      </c>
      <c r="B5484" s="6" t="str">
        <f>IFERROR(__xludf.DUMMYFUNCTION("""COMPUTED_VALUE"""),"86")</f>
        <v>86</v>
      </c>
      <c r="C5484" s="6" t="str">
        <f>IFERROR(__xludf.DUMMYFUNCTION("""COMPUTED_VALUE"""),"12875")</f>
        <v>12875</v>
      </c>
      <c r="D5484" s="6" t="str">
        <f>IFERROR(__xludf.DUMMYFUNCTION("""COMPUTED_VALUE"""),"Jacob")</f>
        <v>Jacob</v>
      </c>
      <c r="E5484" s="6" t="str">
        <f>IFERROR(__xludf.DUMMYFUNCTION("""COMPUTED_VALUE"""),"")</f>
        <v/>
      </c>
      <c r="F5484" s="6" t="str">
        <f>IFERROR(__xludf.DUMMYFUNCTION("""COMPUTED_VALUE"""),"Ramos Martinez")</f>
        <v>Ramos Martinez</v>
      </c>
      <c r="G5484" s="6" t="str">
        <f>IFERROR(__xludf.DUMMYFUNCTION("""COMPUTED_VALUE"""),"12/22/2014")</f>
        <v>12/22/2014</v>
      </c>
      <c r="H5484" s="6" t="str">
        <f>IFERROR(__xludf.DUMMYFUNCTION("""COMPUTED_VALUE"""),"female")</f>
        <v>female</v>
      </c>
      <c r="I5484" s="6" t="str">
        <f>IFERROR(__xludf.DUMMYFUNCTION("""COMPUTED_VALUE"""),"Level 2")</f>
        <v>Level 2</v>
      </c>
      <c r="J5484" s="6" t="str">
        <f>IFERROR(__xludf.DUMMYFUNCTION("""COMPUTED_VALUE"""),"5")</f>
        <v>5</v>
      </c>
      <c r="K5484" s="6" t="str">
        <f>IFERROR(__xludf.DUMMYFUNCTION("""COMPUTED_VALUE"""),"jacob.ramosmartinez@2hourlearning.com")</f>
        <v>jacob.ramosmartinez@2hourlearning.com</v>
      </c>
      <c r="L5484" s="6" t="str">
        <f>IFERROR(__xludf.DUMMYFUNCTION("""COMPUTED_VALUE"""),"JRES - Ridgeland Elementary School")</f>
        <v>JRES - Ridgeland Elementary School</v>
      </c>
      <c r="M5484" s="6" t="str">
        <f>IFERROR(__xludf.DUMMYFUNCTION("""COMPUTED_VALUE"""),"")</f>
        <v/>
      </c>
      <c r="N5484" s="6" t="str">
        <f>IFERROR(__xludf.DUMMYFUNCTION("""COMPUTED_VALUE"""),"")</f>
        <v/>
      </c>
      <c r="O5484" s="87" t="str">
        <f>IFERROR(__xludf.DUMMYFUNCTION("""COMPUTED_VALUE"""),"https://drive.google.com/drive/folders/10T2cTQHqEJZqE-st6uFKPoI?usp=share_link")</f>
        <v>https://drive.google.com/drive/folders/10T2cTQHqEJZqE-st6uFKPoI?usp=share_link</v>
      </c>
      <c r="P5484" s="6" t="str">
        <f>IFERROR(__xludf.DUMMYFUNCTION("""COMPUTED_VALUE"""),"Jacob Ramos Martinez")</f>
        <v>Jacob Ramos Martinez</v>
      </c>
      <c r="Q5484" s="6" t="str">
        <f>IFERROR(__xludf.DUMMYFUNCTION("""COMPUTED_VALUE"""),"L2")</f>
        <v>L2</v>
      </c>
      <c r="R5484" s="6">
        <f>IFERROR(__xludf.DUMMYFUNCTION("""COMPUTED_VALUE"""),2.0)</f>
        <v>2</v>
      </c>
      <c r="S5484" s="6" t="str">
        <f>IFERROR(__xludf.DUMMYFUNCTION("""COMPUTED_VALUE"""),"Kimberly Ball")</f>
        <v>Kimberly Ball</v>
      </c>
      <c r="T5484" s="6" t="str">
        <f>IFERROR(__xludf.DUMMYFUNCTION("""COMPUTED_VALUE"""),"kimberly.ball@studient.com")</f>
        <v>kimberly.ball@studient.com</v>
      </c>
      <c r="U5484" s="6" t="str">
        <f>IFERROR(__xludf.DUMMYFUNCTION("""COMPUTED_VALUE"""),"5")</f>
        <v>5</v>
      </c>
      <c r="V5484" s="6" t="str">
        <f>IFERROR(__xludf.DUMMYFUNCTION("""COMPUTED_VALUE"""),"")</f>
        <v/>
      </c>
      <c r="W5484" s="6" t="str">
        <f>IFERROR(__xludf.DUMMYFUNCTION("""COMPUTED_VALUE"""),"[]")</f>
        <v>[]</v>
      </c>
      <c r="X5484" s="6" t="str">
        <f>IFERROR(__xludf.DUMMYFUNCTION("""COMPUTED_VALUE"""),"Enrolled")</f>
        <v>Enrolled</v>
      </c>
    </row>
    <row r="5485">
      <c r="A5485" s="6" t="str">
        <f>IFERROR(__xludf.DUMMYFUNCTION("""COMPUTED_VALUE"""),"086-12876")</f>
        <v>086-12876</v>
      </c>
      <c r="B5485" s="6" t="str">
        <f>IFERROR(__xludf.DUMMYFUNCTION("""COMPUTED_VALUE"""),"86")</f>
        <v>86</v>
      </c>
      <c r="C5485" s="6" t="str">
        <f>IFERROR(__xludf.DUMMYFUNCTION("""COMPUTED_VALUE"""),"12876")</f>
        <v>12876</v>
      </c>
      <c r="D5485" s="6" t="str">
        <f>IFERROR(__xludf.DUMMYFUNCTION("""COMPUTED_VALUE"""),"Zechariah")</f>
        <v>Zechariah</v>
      </c>
      <c r="E5485" s="6" t="str">
        <f>IFERROR(__xludf.DUMMYFUNCTION("""COMPUTED_VALUE"""),"")</f>
        <v/>
      </c>
      <c r="F5485" s="6" t="str">
        <f>IFERROR(__xludf.DUMMYFUNCTION("""COMPUTED_VALUE"""),"Reddick")</f>
        <v>Reddick</v>
      </c>
      <c r="G5485" s="6" t="str">
        <f>IFERROR(__xludf.DUMMYFUNCTION("""COMPUTED_VALUE"""),"12/01/2015")</f>
        <v>12/01/2015</v>
      </c>
      <c r="H5485" s="6" t="str">
        <f>IFERROR(__xludf.DUMMYFUNCTION("""COMPUTED_VALUE"""),"male")</f>
        <v>male</v>
      </c>
      <c r="I5485" s="6" t="str">
        <f>IFERROR(__xludf.DUMMYFUNCTION("""COMPUTED_VALUE"""),"Level 2")</f>
        <v>Level 2</v>
      </c>
      <c r="J5485" s="6" t="str">
        <f>IFERROR(__xludf.DUMMYFUNCTION("""COMPUTED_VALUE"""),"5")</f>
        <v>5</v>
      </c>
      <c r="K5485" s="6" t="str">
        <f>IFERROR(__xludf.DUMMYFUNCTION("""COMPUTED_VALUE"""),"zechariah.reddick@2hourlearning.com")</f>
        <v>zechariah.reddick@2hourlearning.com</v>
      </c>
      <c r="L5485" s="6" t="str">
        <f>IFERROR(__xludf.DUMMYFUNCTION("""COMPUTED_VALUE"""),"JRES - Ridgeland Elementary School")</f>
        <v>JRES - Ridgeland Elementary School</v>
      </c>
      <c r="M5485" s="6" t="str">
        <f>IFERROR(__xludf.DUMMYFUNCTION("""COMPUTED_VALUE"""),"")</f>
        <v/>
      </c>
      <c r="N5485" s="6" t="str">
        <f>IFERROR(__xludf.DUMMYFUNCTION("""COMPUTED_VALUE"""),"")</f>
        <v/>
      </c>
      <c r="O5485" s="87" t="str">
        <f>IFERROR(__xludf.DUMMYFUNCTION("""COMPUTED_VALUE"""),"https://drive.google.com/drive/folders/10T2cTQHqEJZqE-st6uFKPoI?usp=share_link")</f>
        <v>https://drive.google.com/drive/folders/10T2cTQHqEJZqE-st6uFKPoI?usp=share_link</v>
      </c>
      <c r="P5485" s="6" t="str">
        <f>IFERROR(__xludf.DUMMYFUNCTION("""COMPUTED_VALUE"""),"Zechariah Reddick")</f>
        <v>Zechariah Reddick</v>
      </c>
      <c r="Q5485" s="6" t="str">
        <f>IFERROR(__xludf.DUMMYFUNCTION("""COMPUTED_VALUE"""),"L2")</f>
        <v>L2</v>
      </c>
      <c r="R5485" s="6">
        <f>IFERROR(__xludf.DUMMYFUNCTION("""COMPUTED_VALUE"""),2.0)</f>
        <v>2</v>
      </c>
      <c r="S5485" s="6" t="str">
        <f>IFERROR(__xludf.DUMMYFUNCTION("""COMPUTED_VALUE"""),"Kimberly Ball")</f>
        <v>Kimberly Ball</v>
      </c>
      <c r="T5485" s="6" t="str">
        <f>IFERROR(__xludf.DUMMYFUNCTION("""COMPUTED_VALUE"""),"kimberly.ball@studient.com")</f>
        <v>kimberly.ball@studient.com</v>
      </c>
      <c r="U5485" s="6" t="str">
        <f>IFERROR(__xludf.DUMMYFUNCTION("""COMPUTED_VALUE"""),"5")</f>
        <v>5</v>
      </c>
      <c r="V5485" s="6" t="str">
        <f>IFERROR(__xludf.DUMMYFUNCTION("""COMPUTED_VALUE"""),"")</f>
        <v/>
      </c>
      <c r="W5485" s="6" t="str">
        <f>IFERROR(__xludf.DUMMYFUNCTION("""COMPUTED_VALUE"""),"[]")</f>
        <v>[]</v>
      </c>
      <c r="X5485" s="6" t="str">
        <f>IFERROR(__xludf.DUMMYFUNCTION("""COMPUTED_VALUE"""),"Enrolled")</f>
        <v>Enrolled</v>
      </c>
    </row>
    <row r="5486">
      <c r="A5486" s="6" t="str">
        <f>IFERROR(__xludf.DUMMYFUNCTION("""COMPUTED_VALUE"""),"086-12877")</f>
        <v>086-12877</v>
      </c>
      <c r="B5486" s="6" t="str">
        <f>IFERROR(__xludf.DUMMYFUNCTION("""COMPUTED_VALUE"""),"86")</f>
        <v>86</v>
      </c>
      <c r="C5486" s="6" t="str">
        <f>IFERROR(__xludf.DUMMYFUNCTION("""COMPUTED_VALUE"""),"12877")</f>
        <v>12877</v>
      </c>
      <c r="D5486" s="6" t="str">
        <f>IFERROR(__xludf.DUMMYFUNCTION("""COMPUTED_VALUE"""),"I'Vay")</f>
        <v>I'Vay</v>
      </c>
      <c r="E5486" s="6" t="str">
        <f>IFERROR(__xludf.DUMMYFUNCTION("""COMPUTED_VALUE"""),"")</f>
        <v/>
      </c>
      <c r="F5486" s="6" t="str">
        <f>IFERROR(__xludf.DUMMYFUNCTION("""COMPUTED_VALUE"""),"Revis")</f>
        <v>Revis</v>
      </c>
      <c r="G5486" s="6" t="str">
        <f>IFERROR(__xludf.DUMMYFUNCTION("""COMPUTED_VALUE"""),"12/01/2016")</f>
        <v>12/01/2016</v>
      </c>
      <c r="H5486" s="6" t="str">
        <f>IFERROR(__xludf.DUMMYFUNCTION("""COMPUTED_VALUE"""),"male")</f>
        <v>male</v>
      </c>
      <c r="I5486" s="6" t="str">
        <f>IFERROR(__xludf.DUMMYFUNCTION("""COMPUTED_VALUE"""),"Level 2")</f>
        <v>Level 2</v>
      </c>
      <c r="J5486" s="6" t="str">
        <f>IFERROR(__xludf.DUMMYFUNCTION("""COMPUTED_VALUE"""),"5")</f>
        <v>5</v>
      </c>
      <c r="K5486" s="6" t="str">
        <f>IFERROR(__xludf.DUMMYFUNCTION("""COMPUTED_VALUE"""),"ivay.revis@2hourlearning.com")</f>
        <v>ivay.revis@2hourlearning.com</v>
      </c>
      <c r="L5486" s="6" t="str">
        <f>IFERROR(__xludf.DUMMYFUNCTION("""COMPUTED_VALUE"""),"JRES - Ridgeland Elementary School")</f>
        <v>JRES - Ridgeland Elementary School</v>
      </c>
      <c r="M5486" s="6" t="str">
        <f>IFERROR(__xludf.DUMMYFUNCTION("""COMPUTED_VALUE"""),"")</f>
        <v/>
      </c>
      <c r="N5486" s="6" t="str">
        <f>IFERROR(__xludf.DUMMYFUNCTION("""COMPUTED_VALUE"""),"")</f>
        <v/>
      </c>
      <c r="O5486" s="87" t="str">
        <f>IFERROR(__xludf.DUMMYFUNCTION("""COMPUTED_VALUE"""),"https://drive.google.com/drive/folders/10T2cTQHqEJZqE-st6uFKPoI?usp=share_link")</f>
        <v>https://drive.google.com/drive/folders/10T2cTQHqEJZqE-st6uFKPoI?usp=share_link</v>
      </c>
      <c r="P5486" s="6" t="str">
        <f>IFERROR(__xludf.DUMMYFUNCTION("""COMPUTED_VALUE"""),"I'Vay Revis")</f>
        <v>I'Vay Revis</v>
      </c>
      <c r="Q5486" s="6" t="str">
        <f>IFERROR(__xludf.DUMMYFUNCTION("""COMPUTED_VALUE"""),"L2")</f>
        <v>L2</v>
      </c>
      <c r="R5486" s="6">
        <f>IFERROR(__xludf.DUMMYFUNCTION("""COMPUTED_VALUE"""),2.0)</f>
        <v>2</v>
      </c>
      <c r="S5486" s="6" t="str">
        <f>IFERROR(__xludf.DUMMYFUNCTION("""COMPUTED_VALUE"""),"Kimberly Ball")</f>
        <v>Kimberly Ball</v>
      </c>
      <c r="T5486" s="6" t="str">
        <f>IFERROR(__xludf.DUMMYFUNCTION("""COMPUTED_VALUE"""),"kimberly.ball@studient.com")</f>
        <v>kimberly.ball@studient.com</v>
      </c>
      <c r="U5486" s="6" t="str">
        <f>IFERROR(__xludf.DUMMYFUNCTION("""COMPUTED_VALUE"""),"5")</f>
        <v>5</v>
      </c>
      <c r="V5486" s="6" t="str">
        <f>IFERROR(__xludf.DUMMYFUNCTION("""COMPUTED_VALUE"""),"")</f>
        <v/>
      </c>
      <c r="W5486" s="6" t="str">
        <f>IFERROR(__xludf.DUMMYFUNCTION("""COMPUTED_VALUE"""),"[]")</f>
        <v>[]</v>
      </c>
      <c r="X5486" s="6" t="str">
        <f>IFERROR(__xludf.DUMMYFUNCTION("""COMPUTED_VALUE"""),"Enrolled")</f>
        <v>Enrolled</v>
      </c>
    </row>
    <row r="5487">
      <c r="A5487" s="6" t="str">
        <f>IFERROR(__xludf.DUMMYFUNCTION("""COMPUTED_VALUE"""),"086-12878")</f>
        <v>086-12878</v>
      </c>
      <c r="B5487" s="6" t="str">
        <f>IFERROR(__xludf.DUMMYFUNCTION("""COMPUTED_VALUE"""),"86")</f>
        <v>86</v>
      </c>
      <c r="C5487" s="6" t="str">
        <f>IFERROR(__xludf.DUMMYFUNCTION("""COMPUTED_VALUE"""),"12878")</f>
        <v>12878</v>
      </c>
      <c r="D5487" s="6" t="str">
        <f>IFERROR(__xludf.DUMMYFUNCTION("""COMPUTED_VALUE"""),"Darwin")</f>
        <v>Darwin</v>
      </c>
      <c r="E5487" s="6" t="str">
        <f>IFERROR(__xludf.DUMMYFUNCTION("""COMPUTED_VALUE"""),"")</f>
        <v/>
      </c>
      <c r="F5487" s="6" t="str">
        <f>IFERROR(__xludf.DUMMYFUNCTION("""COMPUTED_VALUE"""),"Reyes-Cruz")</f>
        <v>Reyes-Cruz</v>
      </c>
      <c r="G5487" s="6" t="str">
        <f>IFERROR(__xludf.DUMMYFUNCTION("""COMPUTED_VALUE"""),"05/08/2015")</f>
        <v>05/08/2015</v>
      </c>
      <c r="H5487" s="6" t="str">
        <f>IFERROR(__xludf.DUMMYFUNCTION("""COMPUTED_VALUE"""),"male")</f>
        <v>male</v>
      </c>
      <c r="I5487" s="6" t="str">
        <f>IFERROR(__xludf.DUMMYFUNCTION("""COMPUTED_VALUE"""),"Level 2")</f>
        <v>Level 2</v>
      </c>
      <c r="J5487" s="6" t="str">
        <f>IFERROR(__xludf.DUMMYFUNCTION("""COMPUTED_VALUE"""),"5")</f>
        <v>5</v>
      </c>
      <c r="K5487" s="6" t="str">
        <f>IFERROR(__xludf.DUMMYFUNCTION("""COMPUTED_VALUE"""),"darwin.reyes-cruz@2hourlearning.com")</f>
        <v>darwin.reyes-cruz@2hourlearning.com</v>
      </c>
      <c r="L5487" s="6" t="str">
        <f>IFERROR(__xludf.DUMMYFUNCTION("""COMPUTED_VALUE"""),"JRES - Ridgeland Elementary School")</f>
        <v>JRES - Ridgeland Elementary School</v>
      </c>
      <c r="M5487" s="6" t="str">
        <f>IFERROR(__xludf.DUMMYFUNCTION("""COMPUTED_VALUE"""),"")</f>
        <v/>
      </c>
      <c r="N5487" s="6" t="str">
        <f>IFERROR(__xludf.DUMMYFUNCTION("""COMPUTED_VALUE"""),"")</f>
        <v/>
      </c>
      <c r="O5487" s="87" t="str">
        <f>IFERROR(__xludf.DUMMYFUNCTION("""COMPUTED_VALUE"""),"https://drive.google.com/drive/folders/10T2cTQHqEJZqE-st6uFKPoI?usp=share_link")</f>
        <v>https://drive.google.com/drive/folders/10T2cTQHqEJZqE-st6uFKPoI?usp=share_link</v>
      </c>
      <c r="P5487" s="6" t="str">
        <f>IFERROR(__xludf.DUMMYFUNCTION("""COMPUTED_VALUE"""),"Darwin Reyes-Cruz")</f>
        <v>Darwin Reyes-Cruz</v>
      </c>
      <c r="Q5487" s="6" t="str">
        <f>IFERROR(__xludf.DUMMYFUNCTION("""COMPUTED_VALUE"""),"L2")</f>
        <v>L2</v>
      </c>
      <c r="R5487" s="6">
        <f>IFERROR(__xludf.DUMMYFUNCTION("""COMPUTED_VALUE"""),2.0)</f>
        <v>2</v>
      </c>
      <c r="S5487" s="6" t="str">
        <f>IFERROR(__xludf.DUMMYFUNCTION("""COMPUTED_VALUE"""),"Kimberly Ball")</f>
        <v>Kimberly Ball</v>
      </c>
      <c r="T5487" s="6" t="str">
        <f>IFERROR(__xludf.DUMMYFUNCTION("""COMPUTED_VALUE"""),"kimberly.ball@studient.com")</f>
        <v>kimberly.ball@studient.com</v>
      </c>
      <c r="U5487" s="6" t="str">
        <f>IFERROR(__xludf.DUMMYFUNCTION("""COMPUTED_VALUE"""),"5")</f>
        <v>5</v>
      </c>
      <c r="V5487" s="6" t="str">
        <f>IFERROR(__xludf.DUMMYFUNCTION("""COMPUTED_VALUE"""),"")</f>
        <v/>
      </c>
      <c r="W5487" s="6" t="str">
        <f>IFERROR(__xludf.DUMMYFUNCTION("""COMPUTED_VALUE"""),"[]")</f>
        <v>[]</v>
      </c>
      <c r="X5487" s="6" t="str">
        <f>IFERROR(__xludf.DUMMYFUNCTION("""COMPUTED_VALUE"""),"Enrolled")</f>
        <v>Enrolled</v>
      </c>
    </row>
    <row r="5488">
      <c r="A5488" s="6" t="str">
        <f>IFERROR(__xludf.DUMMYFUNCTION("""COMPUTED_VALUE"""),"086-12879")</f>
        <v>086-12879</v>
      </c>
      <c r="B5488" s="6" t="str">
        <f>IFERROR(__xludf.DUMMYFUNCTION("""COMPUTED_VALUE"""),"86")</f>
        <v>86</v>
      </c>
      <c r="C5488" s="6" t="str">
        <f>IFERROR(__xludf.DUMMYFUNCTION("""COMPUTED_VALUE"""),"12879")</f>
        <v>12879</v>
      </c>
      <c r="D5488" s="6" t="str">
        <f>IFERROR(__xludf.DUMMYFUNCTION("""COMPUTED_VALUE"""),"Alexa")</f>
        <v>Alexa</v>
      </c>
      <c r="E5488" s="6" t="str">
        <f>IFERROR(__xludf.DUMMYFUNCTION("""COMPUTED_VALUE"""),"")</f>
        <v/>
      </c>
      <c r="F5488" s="6" t="str">
        <f>IFERROR(__xludf.DUMMYFUNCTION("""COMPUTED_VALUE"""),"Reyna Gonzalez")</f>
        <v>Reyna Gonzalez</v>
      </c>
      <c r="G5488" s="6" t="str">
        <f>IFERROR(__xludf.DUMMYFUNCTION("""COMPUTED_VALUE"""),"04/19/2016")</f>
        <v>04/19/2016</v>
      </c>
      <c r="H5488" s="6" t="str">
        <f>IFERROR(__xludf.DUMMYFUNCTION("""COMPUTED_VALUE"""),"male")</f>
        <v>male</v>
      </c>
      <c r="I5488" s="6" t="str">
        <f>IFERROR(__xludf.DUMMYFUNCTION("""COMPUTED_VALUE"""),"Level 2")</f>
        <v>Level 2</v>
      </c>
      <c r="J5488" s="6" t="str">
        <f>IFERROR(__xludf.DUMMYFUNCTION("""COMPUTED_VALUE"""),"5")</f>
        <v>5</v>
      </c>
      <c r="K5488" s="6" t="str">
        <f>IFERROR(__xludf.DUMMYFUNCTION("""COMPUTED_VALUE"""),"alexa.reynagonzalez@2hourlearning.com")</f>
        <v>alexa.reynagonzalez@2hourlearning.com</v>
      </c>
      <c r="L5488" s="6" t="str">
        <f>IFERROR(__xludf.DUMMYFUNCTION("""COMPUTED_VALUE"""),"JRES - Ridgeland Elementary School")</f>
        <v>JRES - Ridgeland Elementary School</v>
      </c>
      <c r="M5488" s="6" t="str">
        <f>IFERROR(__xludf.DUMMYFUNCTION("""COMPUTED_VALUE"""),"")</f>
        <v/>
      </c>
      <c r="N5488" s="6" t="str">
        <f>IFERROR(__xludf.DUMMYFUNCTION("""COMPUTED_VALUE"""),"")</f>
        <v/>
      </c>
      <c r="O5488" s="87" t="str">
        <f>IFERROR(__xludf.DUMMYFUNCTION("""COMPUTED_VALUE"""),"https://drive.google.com/drive/folders/10T2cTQHqEJZqE-st6uFKPoI?usp=share_link")</f>
        <v>https://drive.google.com/drive/folders/10T2cTQHqEJZqE-st6uFKPoI?usp=share_link</v>
      </c>
      <c r="P5488" s="6" t="str">
        <f>IFERROR(__xludf.DUMMYFUNCTION("""COMPUTED_VALUE"""),"Alexa Reyna Gonzalez")</f>
        <v>Alexa Reyna Gonzalez</v>
      </c>
      <c r="Q5488" s="6" t="str">
        <f>IFERROR(__xludf.DUMMYFUNCTION("""COMPUTED_VALUE"""),"L2")</f>
        <v>L2</v>
      </c>
      <c r="R5488" s="6">
        <f>IFERROR(__xludf.DUMMYFUNCTION("""COMPUTED_VALUE"""),2.0)</f>
        <v>2</v>
      </c>
      <c r="S5488" s="6" t="str">
        <f>IFERROR(__xludf.DUMMYFUNCTION("""COMPUTED_VALUE"""),"Kimberly Ball")</f>
        <v>Kimberly Ball</v>
      </c>
      <c r="T5488" s="6" t="str">
        <f>IFERROR(__xludf.DUMMYFUNCTION("""COMPUTED_VALUE"""),"kimberly.ball@studient.com")</f>
        <v>kimberly.ball@studient.com</v>
      </c>
      <c r="U5488" s="6" t="str">
        <f>IFERROR(__xludf.DUMMYFUNCTION("""COMPUTED_VALUE"""),"5")</f>
        <v>5</v>
      </c>
      <c r="V5488" s="6" t="str">
        <f>IFERROR(__xludf.DUMMYFUNCTION("""COMPUTED_VALUE"""),"")</f>
        <v/>
      </c>
      <c r="W5488" s="6" t="str">
        <f>IFERROR(__xludf.DUMMYFUNCTION("""COMPUTED_VALUE"""),"[]")</f>
        <v>[]</v>
      </c>
      <c r="X5488" s="6" t="str">
        <f>IFERROR(__xludf.DUMMYFUNCTION("""COMPUTED_VALUE"""),"Enrolled")</f>
        <v>Enrolled</v>
      </c>
    </row>
    <row r="5489">
      <c r="A5489" s="6" t="str">
        <f>IFERROR(__xludf.DUMMYFUNCTION("""COMPUTED_VALUE"""),"086-12880")</f>
        <v>086-12880</v>
      </c>
      <c r="B5489" s="6" t="str">
        <f>IFERROR(__xludf.DUMMYFUNCTION("""COMPUTED_VALUE"""),"86")</f>
        <v>86</v>
      </c>
      <c r="C5489" s="6" t="str">
        <f>IFERROR(__xludf.DUMMYFUNCTION("""COMPUTED_VALUE"""),"12880")</f>
        <v>12880</v>
      </c>
      <c r="D5489" s="6" t="str">
        <f>IFERROR(__xludf.DUMMYFUNCTION("""COMPUTED_VALUE"""),"Asia")</f>
        <v>Asia</v>
      </c>
      <c r="E5489" s="6" t="str">
        <f>IFERROR(__xludf.DUMMYFUNCTION("""COMPUTED_VALUE"""),"")</f>
        <v/>
      </c>
      <c r="F5489" s="6" t="str">
        <f>IFERROR(__xludf.DUMMYFUNCTION("""COMPUTED_VALUE"""),"Riley")</f>
        <v>Riley</v>
      </c>
      <c r="G5489" s="6" t="str">
        <f>IFERROR(__xludf.DUMMYFUNCTION("""COMPUTED_VALUE"""),"06/03/2017")</f>
        <v>06/03/2017</v>
      </c>
      <c r="H5489" s="6" t="str">
        <f>IFERROR(__xludf.DUMMYFUNCTION("""COMPUTED_VALUE"""),"female")</f>
        <v>female</v>
      </c>
      <c r="I5489" s="6" t="str">
        <f>IFERROR(__xludf.DUMMYFUNCTION("""COMPUTED_VALUE"""),"Level 2")</f>
        <v>Level 2</v>
      </c>
      <c r="J5489" s="6" t="str">
        <f>IFERROR(__xludf.DUMMYFUNCTION("""COMPUTED_VALUE"""),"5")</f>
        <v>5</v>
      </c>
      <c r="K5489" s="6" t="str">
        <f>IFERROR(__xludf.DUMMYFUNCTION("""COMPUTED_VALUE"""),"asia.riley@2hourlearning.com")</f>
        <v>asia.riley@2hourlearning.com</v>
      </c>
      <c r="L5489" s="6" t="str">
        <f>IFERROR(__xludf.DUMMYFUNCTION("""COMPUTED_VALUE"""),"JRES - Ridgeland Elementary School")</f>
        <v>JRES - Ridgeland Elementary School</v>
      </c>
      <c r="M5489" s="6" t="str">
        <f>IFERROR(__xludf.DUMMYFUNCTION("""COMPUTED_VALUE"""),"")</f>
        <v/>
      </c>
      <c r="N5489" s="6" t="str">
        <f>IFERROR(__xludf.DUMMYFUNCTION("""COMPUTED_VALUE"""),"")</f>
        <v/>
      </c>
      <c r="O5489" s="87" t="str">
        <f>IFERROR(__xludf.DUMMYFUNCTION("""COMPUTED_VALUE"""),"https://drive.google.com/drive/folders/10T2cTQHqEJZqE-st6uFKPoI?usp=share_link")</f>
        <v>https://drive.google.com/drive/folders/10T2cTQHqEJZqE-st6uFKPoI?usp=share_link</v>
      </c>
      <c r="P5489" s="6" t="str">
        <f>IFERROR(__xludf.DUMMYFUNCTION("""COMPUTED_VALUE"""),"Asia Riley")</f>
        <v>Asia Riley</v>
      </c>
      <c r="Q5489" s="6" t="str">
        <f>IFERROR(__xludf.DUMMYFUNCTION("""COMPUTED_VALUE"""),"L2")</f>
        <v>L2</v>
      </c>
      <c r="R5489" s="6">
        <f>IFERROR(__xludf.DUMMYFUNCTION("""COMPUTED_VALUE"""),2.0)</f>
        <v>2</v>
      </c>
      <c r="S5489" s="6" t="str">
        <f>IFERROR(__xludf.DUMMYFUNCTION("""COMPUTED_VALUE"""),"Kimberly Ball")</f>
        <v>Kimberly Ball</v>
      </c>
      <c r="T5489" s="6" t="str">
        <f>IFERROR(__xludf.DUMMYFUNCTION("""COMPUTED_VALUE"""),"kimberly.ball@studient.com")</f>
        <v>kimberly.ball@studient.com</v>
      </c>
      <c r="U5489" s="6" t="str">
        <f>IFERROR(__xludf.DUMMYFUNCTION("""COMPUTED_VALUE"""),"5")</f>
        <v>5</v>
      </c>
      <c r="V5489" s="6" t="str">
        <f>IFERROR(__xludf.DUMMYFUNCTION("""COMPUTED_VALUE"""),"")</f>
        <v/>
      </c>
      <c r="W5489" s="6" t="str">
        <f>IFERROR(__xludf.DUMMYFUNCTION("""COMPUTED_VALUE"""),"[]")</f>
        <v>[]</v>
      </c>
      <c r="X5489" s="6" t="str">
        <f>IFERROR(__xludf.DUMMYFUNCTION("""COMPUTED_VALUE"""),"Enrolled")</f>
        <v>Enrolled</v>
      </c>
    </row>
    <row r="5490">
      <c r="A5490" s="6" t="str">
        <f>IFERROR(__xludf.DUMMYFUNCTION("""COMPUTED_VALUE"""),"086-12881")</f>
        <v>086-12881</v>
      </c>
      <c r="B5490" s="6" t="str">
        <f>IFERROR(__xludf.DUMMYFUNCTION("""COMPUTED_VALUE"""),"86")</f>
        <v>86</v>
      </c>
      <c r="C5490" s="6" t="str">
        <f>IFERROR(__xludf.DUMMYFUNCTION("""COMPUTED_VALUE"""),"12881")</f>
        <v>12881</v>
      </c>
      <c r="D5490" s="6" t="str">
        <f>IFERROR(__xludf.DUMMYFUNCTION("""COMPUTED_VALUE"""),"Janiyah")</f>
        <v>Janiyah</v>
      </c>
      <c r="E5490" s="6" t="str">
        <f>IFERROR(__xludf.DUMMYFUNCTION("""COMPUTED_VALUE"""),"")</f>
        <v/>
      </c>
      <c r="F5490" s="6" t="str">
        <f>IFERROR(__xludf.DUMMYFUNCTION("""COMPUTED_VALUE"""),"Rivers")</f>
        <v>Rivers</v>
      </c>
      <c r="G5490" s="6" t="str">
        <f>IFERROR(__xludf.DUMMYFUNCTION("""COMPUTED_VALUE"""),"11/24/2017")</f>
        <v>11/24/2017</v>
      </c>
      <c r="H5490" s="6" t="str">
        <f>IFERROR(__xludf.DUMMYFUNCTION("""COMPUTED_VALUE"""),"female")</f>
        <v>female</v>
      </c>
      <c r="I5490" s="6" t="str">
        <f>IFERROR(__xludf.DUMMYFUNCTION("""COMPUTED_VALUE"""),"Level 2")</f>
        <v>Level 2</v>
      </c>
      <c r="J5490" s="6" t="str">
        <f>IFERROR(__xludf.DUMMYFUNCTION("""COMPUTED_VALUE"""),"5")</f>
        <v>5</v>
      </c>
      <c r="K5490" s="6" t="str">
        <f>IFERROR(__xludf.DUMMYFUNCTION("""COMPUTED_VALUE"""),"janiyah.rivers@2hourlearning.com")</f>
        <v>janiyah.rivers@2hourlearning.com</v>
      </c>
      <c r="L5490" s="6" t="str">
        <f>IFERROR(__xludf.DUMMYFUNCTION("""COMPUTED_VALUE"""),"JRES - Ridgeland Elementary School")</f>
        <v>JRES - Ridgeland Elementary School</v>
      </c>
      <c r="M5490" s="6" t="str">
        <f>IFERROR(__xludf.DUMMYFUNCTION("""COMPUTED_VALUE"""),"")</f>
        <v/>
      </c>
      <c r="N5490" s="6" t="str">
        <f>IFERROR(__xludf.DUMMYFUNCTION("""COMPUTED_VALUE"""),"")</f>
        <v/>
      </c>
      <c r="O5490" s="87" t="str">
        <f>IFERROR(__xludf.DUMMYFUNCTION("""COMPUTED_VALUE"""),"https://drive.google.com/drive/folders/10T2cTQHqEJZqE-st6uFKPoI?usp=share_link")</f>
        <v>https://drive.google.com/drive/folders/10T2cTQHqEJZqE-st6uFKPoI?usp=share_link</v>
      </c>
      <c r="P5490" s="6" t="str">
        <f>IFERROR(__xludf.DUMMYFUNCTION("""COMPUTED_VALUE"""),"Janiyah Rivers")</f>
        <v>Janiyah Rivers</v>
      </c>
      <c r="Q5490" s="6" t="str">
        <f>IFERROR(__xludf.DUMMYFUNCTION("""COMPUTED_VALUE"""),"L2")</f>
        <v>L2</v>
      </c>
      <c r="R5490" s="6">
        <f>IFERROR(__xludf.DUMMYFUNCTION("""COMPUTED_VALUE"""),2.0)</f>
        <v>2</v>
      </c>
      <c r="S5490" s="6" t="str">
        <f>IFERROR(__xludf.DUMMYFUNCTION("""COMPUTED_VALUE"""),"Kimberly Ball")</f>
        <v>Kimberly Ball</v>
      </c>
      <c r="T5490" s="6" t="str">
        <f>IFERROR(__xludf.DUMMYFUNCTION("""COMPUTED_VALUE"""),"kimberly.ball@studient.com")</f>
        <v>kimberly.ball@studient.com</v>
      </c>
      <c r="U5490" s="6" t="str">
        <f>IFERROR(__xludf.DUMMYFUNCTION("""COMPUTED_VALUE"""),"5")</f>
        <v>5</v>
      </c>
      <c r="V5490" s="6" t="str">
        <f>IFERROR(__xludf.DUMMYFUNCTION("""COMPUTED_VALUE"""),"")</f>
        <v/>
      </c>
      <c r="W5490" s="6" t="str">
        <f>IFERROR(__xludf.DUMMYFUNCTION("""COMPUTED_VALUE"""),"[]")</f>
        <v>[]</v>
      </c>
      <c r="X5490" s="6" t="str">
        <f>IFERROR(__xludf.DUMMYFUNCTION("""COMPUTED_VALUE"""),"Enrolled")</f>
        <v>Enrolled</v>
      </c>
    </row>
    <row r="5491">
      <c r="A5491" s="6" t="str">
        <f>IFERROR(__xludf.DUMMYFUNCTION("""COMPUTED_VALUE"""),"086-12882")</f>
        <v>086-12882</v>
      </c>
      <c r="B5491" s="6" t="str">
        <f>IFERROR(__xludf.DUMMYFUNCTION("""COMPUTED_VALUE"""),"86")</f>
        <v>86</v>
      </c>
      <c r="C5491" s="6" t="str">
        <f>IFERROR(__xludf.DUMMYFUNCTION("""COMPUTED_VALUE"""),"12882")</f>
        <v>12882</v>
      </c>
      <c r="D5491" s="6" t="str">
        <f>IFERROR(__xludf.DUMMYFUNCTION("""COMPUTED_VALUE"""),"Ton'Asia")</f>
        <v>Ton'Asia</v>
      </c>
      <c r="E5491" s="6" t="str">
        <f>IFERROR(__xludf.DUMMYFUNCTION("""COMPUTED_VALUE"""),"")</f>
        <v/>
      </c>
      <c r="F5491" s="6" t="str">
        <f>IFERROR(__xludf.DUMMYFUNCTION("""COMPUTED_VALUE"""),"Robinson")</f>
        <v>Robinson</v>
      </c>
      <c r="G5491" s="6" t="str">
        <f>IFERROR(__xludf.DUMMYFUNCTION("""COMPUTED_VALUE"""),"07/09/2018")</f>
        <v>07/09/2018</v>
      </c>
      <c r="H5491" s="6" t="str">
        <f>IFERROR(__xludf.DUMMYFUNCTION("""COMPUTED_VALUE"""),"female")</f>
        <v>female</v>
      </c>
      <c r="I5491" s="6" t="str">
        <f>IFERROR(__xludf.DUMMYFUNCTION("""COMPUTED_VALUE"""),"Level 2")</f>
        <v>Level 2</v>
      </c>
      <c r="J5491" s="6" t="str">
        <f>IFERROR(__xludf.DUMMYFUNCTION("""COMPUTED_VALUE"""),"5")</f>
        <v>5</v>
      </c>
      <c r="K5491" s="6" t="str">
        <f>IFERROR(__xludf.DUMMYFUNCTION("""COMPUTED_VALUE"""),"tonasia.robinson@2hourlearning.com")</f>
        <v>tonasia.robinson@2hourlearning.com</v>
      </c>
      <c r="L5491" s="6" t="str">
        <f>IFERROR(__xludf.DUMMYFUNCTION("""COMPUTED_VALUE"""),"JRES - Ridgeland Elementary School")</f>
        <v>JRES - Ridgeland Elementary School</v>
      </c>
      <c r="M5491" s="6" t="str">
        <f>IFERROR(__xludf.DUMMYFUNCTION("""COMPUTED_VALUE"""),"")</f>
        <v/>
      </c>
      <c r="N5491" s="6" t="str">
        <f>IFERROR(__xludf.DUMMYFUNCTION("""COMPUTED_VALUE"""),"")</f>
        <v/>
      </c>
      <c r="O5491" s="87" t="str">
        <f>IFERROR(__xludf.DUMMYFUNCTION("""COMPUTED_VALUE"""),"https://drive.google.com/drive/folders/10T2cTQHqEJZqE-st6uFKPoI?usp=share_link")</f>
        <v>https://drive.google.com/drive/folders/10T2cTQHqEJZqE-st6uFKPoI?usp=share_link</v>
      </c>
      <c r="P5491" s="6" t="str">
        <f>IFERROR(__xludf.DUMMYFUNCTION("""COMPUTED_VALUE"""),"Ton'Asia Robinson")</f>
        <v>Ton'Asia Robinson</v>
      </c>
      <c r="Q5491" s="6" t="str">
        <f>IFERROR(__xludf.DUMMYFUNCTION("""COMPUTED_VALUE"""),"L2")</f>
        <v>L2</v>
      </c>
      <c r="R5491" s="6">
        <f>IFERROR(__xludf.DUMMYFUNCTION("""COMPUTED_VALUE"""),2.0)</f>
        <v>2</v>
      </c>
      <c r="S5491" s="6" t="str">
        <f>IFERROR(__xludf.DUMMYFUNCTION("""COMPUTED_VALUE"""),"Kimberly Ball")</f>
        <v>Kimberly Ball</v>
      </c>
      <c r="T5491" s="6" t="str">
        <f>IFERROR(__xludf.DUMMYFUNCTION("""COMPUTED_VALUE"""),"kimberly.ball@studient.com")</f>
        <v>kimberly.ball@studient.com</v>
      </c>
      <c r="U5491" s="6" t="str">
        <f>IFERROR(__xludf.DUMMYFUNCTION("""COMPUTED_VALUE"""),"5")</f>
        <v>5</v>
      </c>
      <c r="V5491" s="6" t="str">
        <f>IFERROR(__xludf.DUMMYFUNCTION("""COMPUTED_VALUE"""),"")</f>
        <v/>
      </c>
      <c r="W5491" s="6" t="str">
        <f>IFERROR(__xludf.DUMMYFUNCTION("""COMPUTED_VALUE"""),"[]")</f>
        <v>[]</v>
      </c>
      <c r="X5491" s="6" t="str">
        <f>IFERROR(__xludf.DUMMYFUNCTION("""COMPUTED_VALUE"""),"Enrolled")</f>
        <v>Enrolled</v>
      </c>
    </row>
    <row r="5492">
      <c r="A5492" s="6" t="str">
        <f>IFERROR(__xludf.DUMMYFUNCTION("""COMPUTED_VALUE"""),"086-12883")</f>
        <v>086-12883</v>
      </c>
      <c r="B5492" s="6" t="str">
        <f>IFERROR(__xludf.DUMMYFUNCTION("""COMPUTED_VALUE"""),"86")</f>
        <v>86</v>
      </c>
      <c r="C5492" s="6" t="str">
        <f>IFERROR(__xludf.DUMMYFUNCTION("""COMPUTED_VALUE"""),"12883")</f>
        <v>12883</v>
      </c>
      <c r="D5492" s="6" t="str">
        <f>IFERROR(__xludf.DUMMYFUNCTION("""COMPUTED_VALUE"""),"Irving")</f>
        <v>Irving</v>
      </c>
      <c r="E5492" s="6" t="str">
        <f>IFERROR(__xludf.DUMMYFUNCTION("""COMPUTED_VALUE"""),"")</f>
        <v/>
      </c>
      <c r="F5492" s="6" t="str">
        <f>IFERROR(__xludf.DUMMYFUNCTION("""COMPUTED_VALUE"""),"Romero Gabriel")</f>
        <v>Romero Gabriel</v>
      </c>
      <c r="G5492" s="6" t="str">
        <f>IFERROR(__xludf.DUMMYFUNCTION("""COMPUTED_VALUE"""),"02/01/2015")</f>
        <v>02/01/2015</v>
      </c>
      <c r="H5492" s="6" t="str">
        <f>IFERROR(__xludf.DUMMYFUNCTION("""COMPUTED_VALUE"""),"male")</f>
        <v>male</v>
      </c>
      <c r="I5492" s="6" t="str">
        <f>IFERROR(__xludf.DUMMYFUNCTION("""COMPUTED_VALUE"""),"Level 2")</f>
        <v>Level 2</v>
      </c>
      <c r="J5492" s="6" t="str">
        <f>IFERROR(__xludf.DUMMYFUNCTION("""COMPUTED_VALUE"""),"5")</f>
        <v>5</v>
      </c>
      <c r="K5492" s="6" t="str">
        <f>IFERROR(__xludf.DUMMYFUNCTION("""COMPUTED_VALUE"""),"irving.romerogabriel@2hourlearning.com")</f>
        <v>irving.romerogabriel@2hourlearning.com</v>
      </c>
      <c r="L5492" s="6" t="str">
        <f>IFERROR(__xludf.DUMMYFUNCTION("""COMPUTED_VALUE"""),"JRES - Ridgeland Elementary School")</f>
        <v>JRES - Ridgeland Elementary School</v>
      </c>
      <c r="M5492" s="6" t="str">
        <f>IFERROR(__xludf.DUMMYFUNCTION("""COMPUTED_VALUE"""),"")</f>
        <v/>
      </c>
      <c r="N5492" s="6" t="str">
        <f>IFERROR(__xludf.DUMMYFUNCTION("""COMPUTED_VALUE"""),"")</f>
        <v/>
      </c>
      <c r="O5492" s="87" t="str">
        <f>IFERROR(__xludf.DUMMYFUNCTION("""COMPUTED_VALUE"""),"https://drive.google.com/drive/folders/10T2cTQHqEJZqE-st6uFKPoI?usp=share_link")</f>
        <v>https://drive.google.com/drive/folders/10T2cTQHqEJZqE-st6uFKPoI?usp=share_link</v>
      </c>
      <c r="P5492" s="6" t="str">
        <f>IFERROR(__xludf.DUMMYFUNCTION("""COMPUTED_VALUE"""),"Irving Romero Gabriel")</f>
        <v>Irving Romero Gabriel</v>
      </c>
      <c r="Q5492" s="6" t="str">
        <f>IFERROR(__xludf.DUMMYFUNCTION("""COMPUTED_VALUE"""),"L2")</f>
        <v>L2</v>
      </c>
      <c r="R5492" s="6">
        <f>IFERROR(__xludf.DUMMYFUNCTION("""COMPUTED_VALUE"""),2.0)</f>
        <v>2</v>
      </c>
      <c r="S5492" s="6" t="str">
        <f>IFERROR(__xludf.DUMMYFUNCTION("""COMPUTED_VALUE"""),"Kimberly Ball")</f>
        <v>Kimberly Ball</v>
      </c>
      <c r="T5492" s="6" t="str">
        <f>IFERROR(__xludf.DUMMYFUNCTION("""COMPUTED_VALUE"""),"kimberly.ball@studient.com")</f>
        <v>kimberly.ball@studient.com</v>
      </c>
      <c r="U5492" s="6" t="str">
        <f>IFERROR(__xludf.DUMMYFUNCTION("""COMPUTED_VALUE"""),"5")</f>
        <v>5</v>
      </c>
      <c r="V5492" s="6" t="str">
        <f>IFERROR(__xludf.DUMMYFUNCTION("""COMPUTED_VALUE"""),"")</f>
        <v/>
      </c>
      <c r="W5492" s="6" t="str">
        <f>IFERROR(__xludf.DUMMYFUNCTION("""COMPUTED_VALUE"""),"[]")</f>
        <v>[]</v>
      </c>
      <c r="X5492" s="6" t="str">
        <f>IFERROR(__xludf.DUMMYFUNCTION("""COMPUTED_VALUE"""),"Enrolled")</f>
        <v>Enrolled</v>
      </c>
    </row>
    <row r="5493">
      <c r="A5493" s="6" t="str">
        <f>IFERROR(__xludf.DUMMYFUNCTION("""COMPUTED_VALUE"""),"086-12884")</f>
        <v>086-12884</v>
      </c>
      <c r="B5493" s="6" t="str">
        <f>IFERROR(__xludf.DUMMYFUNCTION("""COMPUTED_VALUE"""),"86")</f>
        <v>86</v>
      </c>
      <c r="C5493" s="6" t="str">
        <f>IFERROR(__xludf.DUMMYFUNCTION("""COMPUTED_VALUE"""),"12884")</f>
        <v>12884</v>
      </c>
      <c r="D5493" s="6" t="str">
        <f>IFERROR(__xludf.DUMMYFUNCTION("""COMPUTED_VALUE"""),"Zayah")</f>
        <v>Zayah</v>
      </c>
      <c r="E5493" s="6" t="str">
        <f>IFERROR(__xludf.DUMMYFUNCTION("""COMPUTED_VALUE"""),"")</f>
        <v/>
      </c>
      <c r="F5493" s="6" t="str">
        <f>IFERROR(__xludf.DUMMYFUNCTION("""COMPUTED_VALUE"""),"Salters")</f>
        <v>Salters</v>
      </c>
      <c r="G5493" s="6" t="str">
        <f>IFERROR(__xludf.DUMMYFUNCTION("""COMPUTED_VALUE"""),"01/13/2015")</f>
        <v>01/13/2015</v>
      </c>
      <c r="H5493" s="6" t="str">
        <f>IFERROR(__xludf.DUMMYFUNCTION("""COMPUTED_VALUE"""),"female")</f>
        <v>female</v>
      </c>
      <c r="I5493" s="6" t="str">
        <f>IFERROR(__xludf.DUMMYFUNCTION("""COMPUTED_VALUE"""),"Level 2")</f>
        <v>Level 2</v>
      </c>
      <c r="J5493" s="6" t="str">
        <f>IFERROR(__xludf.DUMMYFUNCTION("""COMPUTED_VALUE"""),"5")</f>
        <v>5</v>
      </c>
      <c r="K5493" s="6" t="str">
        <f>IFERROR(__xludf.DUMMYFUNCTION("""COMPUTED_VALUE"""),"zayah.salters@2hourlearning.com")</f>
        <v>zayah.salters@2hourlearning.com</v>
      </c>
      <c r="L5493" s="6" t="str">
        <f>IFERROR(__xludf.DUMMYFUNCTION("""COMPUTED_VALUE"""),"JRES - Ridgeland Elementary School")</f>
        <v>JRES - Ridgeland Elementary School</v>
      </c>
      <c r="M5493" s="6" t="str">
        <f>IFERROR(__xludf.DUMMYFUNCTION("""COMPUTED_VALUE"""),"")</f>
        <v/>
      </c>
      <c r="N5493" s="6" t="str">
        <f>IFERROR(__xludf.DUMMYFUNCTION("""COMPUTED_VALUE"""),"")</f>
        <v/>
      </c>
      <c r="O5493" s="87" t="str">
        <f>IFERROR(__xludf.DUMMYFUNCTION("""COMPUTED_VALUE"""),"https://drive.google.com/drive/folders/10T2cTQHqEJZqE-st6uFKPoI?usp=share_link")</f>
        <v>https://drive.google.com/drive/folders/10T2cTQHqEJZqE-st6uFKPoI?usp=share_link</v>
      </c>
      <c r="P5493" s="6" t="str">
        <f>IFERROR(__xludf.DUMMYFUNCTION("""COMPUTED_VALUE"""),"Zayah Salters")</f>
        <v>Zayah Salters</v>
      </c>
      <c r="Q5493" s="6" t="str">
        <f>IFERROR(__xludf.DUMMYFUNCTION("""COMPUTED_VALUE"""),"L2")</f>
        <v>L2</v>
      </c>
      <c r="R5493" s="6">
        <f>IFERROR(__xludf.DUMMYFUNCTION("""COMPUTED_VALUE"""),2.0)</f>
        <v>2</v>
      </c>
      <c r="S5493" s="6" t="str">
        <f>IFERROR(__xludf.DUMMYFUNCTION("""COMPUTED_VALUE"""),"Kimberly Ball")</f>
        <v>Kimberly Ball</v>
      </c>
      <c r="T5493" s="6" t="str">
        <f>IFERROR(__xludf.DUMMYFUNCTION("""COMPUTED_VALUE"""),"kimberly.ball@studient.com")</f>
        <v>kimberly.ball@studient.com</v>
      </c>
      <c r="U5493" s="6" t="str">
        <f>IFERROR(__xludf.DUMMYFUNCTION("""COMPUTED_VALUE"""),"5")</f>
        <v>5</v>
      </c>
      <c r="V5493" s="6" t="str">
        <f>IFERROR(__xludf.DUMMYFUNCTION("""COMPUTED_VALUE"""),"")</f>
        <v/>
      </c>
      <c r="W5493" s="6" t="str">
        <f>IFERROR(__xludf.DUMMYFUNCTION("""COMPUTED_VALUE"""),"[]")</f>
        <v>[]</v>
      </c>
      <c r="X5493" s="6" t="str">
        <f>IFERROR(__xludf.DUMMYFUNCTION("""COMPUTED_VALUE"""),"Enrolled")</f>
        <v>Enrolled</v>
      </c>
    </row>
    <row r="5494">
      <c r="A5494" s="6" t="str">
        <f>IFERROR(__xludf.DUMMYFUNCTION("""COMPUTED_VALUE"""),"086-12885")</f>
        <v>086-12885</v>
      </c>
      <c r="B5494" s="6" t="str">
        <f>IFERROR(__xludf.DUMMYFUNCTION("""COMPUTED_VALUE"""),"86")</f>
        <v>86</v>
      </c>
      <c r="C5494" s="6" t="str">
        <f>IFERROR(__xludf.DUMMYFUNCTION("""COMPUTED_VALUE"""),"12885")</f>
        <v>12885</v>
      </c>
      <c r="D5494" s="6" t="str">
        <f>IFERROR(__xludf.DUMMYFUNCTION("""COMPUTED_VALUE"""),"Kingston")</f>
        <v>Kingston</v>
      </c>
      <c r="E5494" s="6" t="str">
        <f>IFERROR(__xludf.DUMMYFUNCTION("""COMPUTED_VALUE"""),"")</f>
        <v/>
      </c>
      <c r="F5494" s="6" t="str">
        <f>IFERROR(__xludf.DUMMYFUNCTION("""COMPUTED_VALUE"""),"Sanders")</f>
        <v>Sanders</v>
      </c>
      <c r="G5494" s="6" t="str">
        <f>IFERROR(__xludf.DUMMYFUNCTION("""COMPUTED_VALUE"""),"05/05/2017")</f>
        <v>05/05/2017</v>
      </c>
      <c r="H5494" s="6" t="str">
        <f>IFERROR(__xludf.DUMMYFUNCTION("""COMPUTED_VALUE"""),"female")</f>
        <v>female</v>
      </c>
      <c r="I5494" s="6" t="str">
        <f>IFERROR(__xludf.DUMMYFUNCTION("""COMPUTED_VALUE"""),"Level 2")</f>
        <v>Level 2</v>
      </c>
      <c r="J5494" s="6" t="str">
        <f>IFERROR(__xludf.DUMMYFUNCTION("""COMPUTED_VALUE"""),"5")</f>
        <v>5</v>
      </c>
      <c r="K5494" s="6" t="str">
        <f>IFERROR(__xludf.DUMMYFUNCTION("""COMPUTED_VALUE"""),"kingston.sanders@2hourlearning.com")</f>
        <v>kingston.sanders@2hourlearning.com</v>
      </c>
      <c r="L5494" s="6" t="str">
        <f>IFERROR(__xludf.DUMMYFUNCTION("""COMPUTED_VALUE"""),"JRES - Ridgeland Elementary School")</f>
        <v>JRES - Ridgeland Elementary School</v>
      </c>
      <c r="M5494" s="6" t="str">
        <f>IFERROR(__xludf.DUMMYFUNCTION("""COMPUTED_VALUE"""),"")</f>
        <v/>
      </c>
      <c r="N5494" s="6" t="str">
        <f>IFERROR(__xludf.DUMMYFUNCTION("""COMPUTED_VALUE"""),"")</f>
        <v/>
      </c>
      <c r="O5494" s="87" t="str">
        <f>IFERROR(__xludf.DUMMYFUNCTION("""COMPUTED_VALUE"""),"https://drive.google.com/drive/folders/10T2cTQHqEJZqE-st6uFKPoI?usp=share_link")</f>
        <v>https://drive.google.com/drive/folders/10T2cTQHqEJZqE-st6uFKPoI?usp=share_link</v>
      </c>
      <c r="P5494" s="6" t="str">
        <f>IFERROR(__xludf.DUMMYFUNCTION("""COMPUTED_VALUE"""),"Kingston Sanders")</f>
        <v>Kingston Sanders</v>
      </c>
      <c r="Q5494" s="6" t="str">
        <f>IFERROR(__xludf.DUMMYFUNCTION("""COMPUTED_VALUE"""),"L2")</f>
        <v>L2</v>
      </c>
      <c r="R5494" s="6">
        <f>IFERROR(__xludf.DUMMYFUNCTION("""COMPUTED_VALUE"""),2.0)</f>
        <v>2</v>
      </c>
      <c r="S5494" s="6" t="str">
        <f>IFERROR(__xludf.DUMMYFUNCTION("""COMPUTED_VALUE"""),"Kimberly Ball")</f>
        <v>Kimberly Ball</v>
      </c>
      <c r="T5494" s="6" t="str">
        <f>IFERROR(__xludf.DUMMYFUNCTION("""COMPUTED_VALUE"""),"kimberly.ball@studient.com")</f>
        <v>kimberly.ball@studient.com</v>
      </c>
      <c r="U5494" s="6" t="str">
        <f>IFERROR(__xludf.DUMMYFUNCTION("""COMPUTED_VALUE"""),"5")</f>
        <v>5</v>
      </c>
      <c r="V5494" s="6" t="str">
        <f>IFERROR(__xludf.DUMMYFUNCTION("""COMPUTED_VALUE"""),"")</f>
        <v/>
      </c>
      <c r="W5494" s="6" t="str">
        <f>IFERROR(__xludf.DUMMYFUNCTION("""COMPUTED_VALUE"""),"[]")</f>
        <v>[]</v>
      </c>
      <c r="X5494" s="6" t="str">
        <f>IFERROR(__xludf.DUMMYFUNCTION("""COMPUTED_VALUE"""),"Enrolled")</f>
        <v>Enrolled</v>
      </c>
    </row>
    <row r="5495">
      <c r="A5495" s="6" t="str">
        <f>IFERROR(__xludf.DUMMYFUNCTION("""COMPUTED_VALUE"""),"086-12886")</f>
        <v>086-12886</v>
      </c>
      <c r="B5495" s="6" t="str">
        <f>IFERROR(__xludf.DUMMYFUNCTION("""COMPUTED_VALUE"""),"86")</f>
        <v>86</v>
      </c>
      <c r="C5495" s="6" t="str">
        <f>IFERROR(__xludf.DUMMYFUNCTION("""COMPUTED_VALUE"""),"12886")</f>
        <v>12886</v>
      </c>
      <c r="D5495" s="6" t="str">
        <f>IFERROR(__xludf.DUMMYFUNCTION("""COMPUTED_VALUE"""),"Mia")</f>
        <v>Mia</v>
      </c>
      <c r="E5495" s="6" t="str">
        <f>IFERROR(__xludf.DUMMYFUNCTION("""COMPUTED_VALUE"""),"")</f>
        <v/>
      </c>
      <c r="F5495" s="6" t="str">
        <f>IFERROR(__xludf.DUMMYFUNCTION("""COMPUTED_VALUE"""),"Sandoval Pano")</f>
        <v>Sandoval Pano</v>
      </c>
      <c r="G5495" s="6" t="str">
        <f>IFERROR(__xludf.DUMMYFUNCTION("""COMPUTED_VALUE"""),"11/19/2017")</f>
        <v>11/19/2017</v>
      </c>
      <c r="H5495" s="6" t="str">
        <f>IFERROR(__xludf.DUMMYFUNCTION("""COMPUTED_VALUE"""),"female")</f>
        <v>female</v>
      </c>
      <c r="I5495" s="6" t="str">
        <f>IFERROR(__xludf.DUMMYFUNCTION("""COMPUTED_VALUE"""),"Level 2")</f>
        <v>Level 2</v>
      </c>
      <c r="J5495" s="6" t="str">
        <f>IFERROR(__xludf.DUMMYFUNCTION("""COMPUTED_VALUE"""),"5")</f>
        <v>5</v>
      </c>
      <c r="K5495" s="6" t="str">
        <f>IFERROR(__xludf.DUMMYFUNCTION("""COMPUTED_VALUE"""),"mia.sandovalpano@2hourlearning.com")</f>
        <v>mia.sandovalpano@2hourlearning.com</v>
      </c>
      <c r="L5495" s="6" t="str">
        <f>IFERROR(__xludf.DUMMYFUNCTION("""COMPUTED_VALUE"""),"JRES - Ridgeland Elementary School")</f>
        <v>JRES - Ridgeland Elementary School</v>
      </c>
      <c r="M5495" s="6" t="str">
        <f>IFERROR(__xludf.DUMMYFUNCTION("""COMPUTED_VALUE"""),"")</f>
        <v/>
      </c>
      <c r="N5495" s="6" t="str">
        <f>IFERROR(__xludf.DUMMYFUNCTION("""COMPUTED_VALUE"""),"")</f>
        <v/>
      </c>
      <c r="O5495" s="87" t="str">
        <f>IFERROR(__xludf.DUMMYFUNCTION("""COMPUTED_VALUE"""),"https://drive.google.com/drive/folders/10T2cTQHqEJZqE-st6uFKPoI?usp=share_link")</f>
        <v>https://drive.google.com/drive/folders/10T2cTQHqEJZqE-st6uFKPoI?usp=share_link</v>
      </c>
      <c r="P5495" s="6" t="str">
        <f>IFERROR(__xludf.DUMMYFUNCTION("""COMPUTED_VALUE"""),"Mia Sandoval Pano")</f>
        <v>Mia Sandoval Pano</v>
      </c>
      <c r="Q5495" s="6" t="str">
        <f>IFERROR(__xludf.DUMMYFUNCTION("""COMPUTED_VALUE"""),"L2")</f>
        <v>L2</v>
      </c>
      <c r="R5495" s="6">
        <f>IFERROR(__xludf.DUMMYFUNCTION("""COMPUTED_VALUE"""),2.0)</f>
        <v>2</v>
      </c>
      <c r="S5495" s="6" t="str">
        <f>IFERROR(__xludf.DUMMYFUNCTION("""COMPUTED_VALUE"""),"Kimberly Ball")</f>
        <v>Kimberly Ball</v>
      </c>
      <c r="T5495" s="6" t="str">
        <f>IFERROR(__xludf.DUMMYFUNCTION("""COMPUTED_VALUE"""),"kimberly.ball@studient.com")</f>
        <v>kimberly.ball@studient.com</v>
      </c>
      <c r="U5495" s="6" t="str">
        <f>IFERROR(__xludf.DUMMYFUNCTION("""COMPUTED_VALUE"""),"5")</f>
        <v>5</v>
      </c>
      <c r="V5495" s="6" t="str">
        <f>IFERROR(__xludf.DUMMYFUNCTION("""COMPUTED_VALUE"""),"")</f>
        <v/>
      </c>
      <c r="W5495" s="6" t="str">
        <f>IFERROR(__xludf.DUMMYFUNCTION("""COMPUTED_VALUE"""),"[]")</f>
        <v>[]</v>
      </c>
      <c r="X5495" s="6" t="str">
        <f>IFERROR(__xludf.DUMMYFUNCTION("""COMPUTED_VALUE"""),"Enrolled")</f>
        <v>Enrolled</v>
      </c>
    </row>
    <row r="5496">
      <c r="A5496" s="6" t="str">
        <f>IFERROR(__xludf.DUMMYFUNCTION("""COMPUTED_VALUE"""),"086-12887")</f>
        <v>086-12887</v>
      </c>
      <c r="B5496" s="6" t="str">
        <f>IFERROR(__xludf.DUMMYFUNCTION("""COMPUTED_VALUE"""),"86")</f>
        <v>86</v>
      </c>
      <c r="C5496" s="6" t="str">
        <f>IFERROR(__xludf.DUMMYFUNCTION("""COMPUTED_VALUE"""),"12887")</f>
        <v>12887</v>
      </c>
      <c r="D5496" s="6" t="str">
        <f>IFERROR(__xludf.DUMMYFUNCTION("""COMPUTED_VALUE"""),"Brittany")</f>
        <v>Brittany</v>
      </c>
      <c r="E5496" s="6" t="str">
        <f>IFERROR(__xludf.DUMMYFUNCTION("""COMPUTED_VALUE"""),"")</f>
        <v/>
      </c>
      <c r="F5496" s="6" t="str">
        <f>IFERROR(__xludf.DUMMYFUNCTION("""COMPUTED_VALUE"""),"Santos Perdomo")</f>
        <v>Santos Perdomo</v>
      </c>
      <c r="G5496" s="6" t="str">
        <f>IFERROR(__xludf.DUMMYFUNCTION("""COMPUTED_VALUE"""),"07/01/2017")</f>
        <v>07/01/2017</v>
      </c>
      <c r="H5496" s="6" t="str">
        <f>IFERROR(__xludf.DUMMYFUNCTION("""COMPUTED_VALUE"""),"female")</f>
        <v>female</v>
      </c>
      <c r="I5496" s="6" t="str">
        <f>IFERROR(__xludf.DUMMYFUNCTION("""COMPUTED_VALUE"""),"Level 2")</f>
        <v>Level 2</v>
      </c>
      <c r="J5496" s="6" t="str">
        <f>IFERROR(__xludf.DUMMYFUNCTION("""COMPUTED_VALUE"""),"5")</f>
        <v>5</v>
      </c>
      <c r="K5496" s="6" t="str">
        <f>IFERROR(__xludf.DUMMYFUNCTION("""COMPUTED_VALUE"""),"brittany.santosperdomo@2hourlearning.com")</f>
        <v>brittany.santosperdomo@2hourlearning.com</v>
      </c>
      <c r="L5496" s="6" t="str">
        <f>IFERROR(__xludf.DUMMYFUNCTION("""COMPUTED_VALUE"""),"JRES - Ridgeland Elementary School")</f>
        <v>JRES - Ridgeland Elementary School</v>
      </c>
      <c r="M5496" s="6" t="str">
        <f>IFERROR(__xludf.DUMMYFUNCTION("""COMPUTED_VALUE"""),"")</f>
        <v/>
      </c>
      <c r="N5496" s="6" t="str">
        <f>IFERROR(__xludf.DUMMYFUNCTION("""COMPUTED_VALUE"""),"")</f>
        <v/>
      </c>
      <c r="O5496" s="87" t="str">
        <f>IFERROR(__xludf.DUMMYFUNCTION("""COMPUTED_VALUE"""),"https://drive.google.com/drive/folders/10T2cTQHqEJZqE-st6uFKPoI?usp=share_link")</f>
        <v>https://drive.google.com/drive/folders/10T2cTQHqEJZqE-st6uFKPoI?usp=share_link</v>
      </c>
      <c r="P5496" s="6" t="str">
        <f>IFERROR(__xludf.DUMMYFUNCTION("""COMPUTED_VALUE"""),"Brittany Santos Perdomo")</f>
        <v>Brittany Santos Perdomo</v>
      </c>
      <c r="Q5496" s="6" t="str">
        <f>IFERROR(__xludf.DUMMYFUNCTION("""COMPUTED_VALUE"""),"L2")</f>
        <v>L2</v>
      </c>
      <c r="R5496" s="6">
        <f>IFERROR(__xludf.DUMMYFUNCTION("""COMPUTED_VALUE"""),2.0)</f>
        <v>2</v>
      </c>
      <c r="S5496" s="6" t="str">
        <f>IFERROR(__xludf.DUMMYFUNCTION("""COMPUTED_VALUE"""),"Kimberly Ball")</f>
        <v>Kimberly Ball</v>
      </c>
      <c r="T5496" s="6" t="str">
        <f>IFERROR(__xludf.DUMMYFUNCTION("""COMPUTED_VALUE"""),"kimberly.ball@studient.com")</f>
        <v>kimberly.ball@studient.com</v>
      </c>
      <c r="U5496" s="6" t="str">
        <f>IFERROR(__xludf.DUMMYFUNCTION("""COMPUTED_VALUE"""),"5")</f>
        <v>5</v>
      </c>
      <c r="V5496" s="6" t="str">
        <f>IFERROR(__xludf.DUMMYFUNCTION("""COMPUTED_VALUE"""),"")</f>
        <v/>
      </c>
      <c r="W5496" s="6" t="str">
        <f>IFERROR(__xludf.DUMMYFUNCTION("""COMPUTED_VALUE"""),"[]")</f>
        <v>[]</v>
      </c>
      <c r="X5496" s="6" t="str">
        <f>IFERROR(__xludf.DUMMYFUNCTION("""COMPUTED_VALUE"""),"Enrolled")</f>
        <v>Enrolled</v>
      </c>
    </row>
    <row r="5497">
      <c r="A5497" s="6" t="str">
        <f>IFERROR(__xludf.DUMMYFUNCTION("""COMPUTED_VALUE"""),"086-12888")</f>
        <v>086-12888</v>
      </c>
      <c r="B5497" s="6" t="str">
        <f>IFERROR(__xludf.DUMMYFUNCTION("""COMPUTED_VALUE"""),"86")</f>
        <v>86</v>
      </c>
      <c r="C5497" s="6" t="str">
        <f>IFERROR(__xludf.DUMMYFUNCTION("""COMPUTED_VALUE"""),"12888")</f>
        <v>12888</v>
      </c>
      <c r="D5497" s="6" t="str">
        <f>IFERROR(__xludf.DUMMYFUNCTION("""COMPUTED_VALUE"""),"Suyieny")</f>
        <v>Suyieny</v>
      </c>
      <c r="E5497" s="6" t="str">
        <f>IFERROR(__xludf.DUMMYFUNCTION("""COMPUTED_VALUE"""),"")</f>
        <v/>
      </c>
      <c r="F5497" s="6" t="str">
        <f>IFERROR(__xludf.DUMMYFUNCTION("""COMPUTED_VALUE"""),"Santos Rosario")</f>
        <v>Santos Rosario</v>
      </c>
      <c r="G5497" s="6" t="str">
        <f>IFERROR(__xludf.DUMMYFUNCTION("""COMPUTED_VALUE"""),"09/15/2014")</f>
        <v>09/15/2014</v>
      </c>
      <c r="H5497" s="6" t="str">
        <f>IFERROR(__xludf.DUMMYFUNCTION("""COMPUTED_VALUE"""),"male")</f>
        <v>male</v>
      </c>
      <c r="I5497" s="6" t="str">
        <f>IFERROR(__xludf.DUMMYFUNCTION("""COMPUTED_VALUE"""),"Level 2")</f>
        <v>Level 2</v>
      </c>
      <c r="J5497" s="6" t="str">
        <f>IFERROR(__xludf.DUMMYFUNCTION("""COMPUTED_VALUE"""),"5")</f>
        <v>5</v>
      </c>
      <c r="K5497" s="6" t="str">
        <f>IFERROR(__xludf.DUMMYFUNCTION("""COMPUTED_VALUE"""),"suyieny.santosrosario@2hourlearning.com")</f>
        <v>suyieny.santosrosario@2hourlearning.com</v>
      </c>
      <c r="L5497" s="6" t="str">
        <f>IFERROR(__xludf.DUMMYFUNCTION("""COMPUTED_VALUE"""),"JRES - Ridgeland Elementary School")</f>
        <v>JRES - Ridgeland Elementary School</v>
      </c>
      <c r="M5497" s="6" t="str">
        <f>IFERROR(__xludf.DUMMYFUNCTION("""COMPUTED_VALUE"""),"")</f>
        <v/>
      </c>
      <c r="N5497" s="6" t="str">
        <f>IFERROR(__xludf.DUMMYFUNCTION("""COMPUTED_VALUE"""),"")</f>
        <v/>
      </c>
      <c r="O5497" s="87" t="str">
        <f>IFERROR(__xludf.DUMMYFUNCTION("""COMPUTED_VALUE"""),"https://drive.google.com/drive/folders/10T2cTQHqEJZqE-st6uFKPoI?usp=share_link")</f>
        <v>https://drive.google.com/drive/folders/10T2cTQHqEJZqE-st6uFKPoI?usp=share_link</v>
      </c>
      <c r="P5497" s="6" t="str">
        <f>IFERROR(__xludf.DUMMYFUNCTION("""COMPUTED_VALUE"""),"Suyieny Santos Rosario")</f>
        <v>Suyieny Santos Rosario</v>
      </c>
      <c r="Q5497" s="6" t="str">
        <f>IFERROR(__xludf.DUMMYFUNCTION("""COMPUTED_VALUE"""),"L2")</f>
        <v>L2</v>
      </c>
      <c r="R5497" s="6">
        <f>IFERROR(__xludf.DUMMYFUNCTION("""COMPUTED_VALUE"""),2.0)</f>
        <v>2</v>
      </c>
      <c r="S5497" s="6" t="str">
        <f>IFERROR(__xludf.DUMMYFUNCTION("""COMPUTED_VALUE"""),"Kimberly Ball")</f>
        <v>Kimberly Ball</v>
      </c>
      <c r="T5497" s="6" t="str">
        <f>IFERROR(__xludf.DUMMYFUNCTION("""COMPUTED_VALUE"""),"kimberly.ball@studient.com")</f>
        <v>kimberly.ball@studient.com</v>
      </c>
      <c r="U5497" s="6" t="str">
        <f>IFERROR(__xludf.DUMMYFUNCTION("""COMPUTED_VALUE"""),"5")</f>
        <v>5</v>
      </c>
      <c r="V5497" s="6" t="str">
        <f>IFERROR(__xludf.DUMMYFUNCTION("""COMPUTED_VALUE"""),"")</f>
        <v/>
      </c>
      <c r="W5497" s="6" t="str">
        <f>IFERROR(__xludf.DUMMYFUNCTION("""COMPUTED_VALUE"""),"[]")</f>
        <v>[]</v>
      </c>
      <c r="X5497" s="6" t="str">
        <f>IFERROR(__xludf.DUMMYFUNCTION("""COMPUTED_VALUE"""),"Enrolled")</f>
        <v>Enrolled</v>
      </c>
    </row>
    <row r="5498">
      <c r="A5498" s="6" t="str">
        <f>IFERROR(__xludf.DUMMYFUNCTION("""COMPUTED_VALUE"""),"086-12889")</f>
        <v>086-12889</v>
      </c>
      <c r="B5498" s="6" t="str">
        <f>IFERROR(__xludf.DUMMYFUNCTION("""COMPUTED_VALUE"""),"86")</f>
        <v>86</v>
      </c>
      <c r="C5498" s="6" t="str">
        <f>IFERROR(__xludf.DUMMYFUNCTION("""COMPUTED_VALUE"""),"12889")</f>
        <v>12889</v>
      </c>
      <c r="D5498" s="6" t="str">
        <f>IFERROR(__xludf.DUMMYFUNCTION("""COMPUTED_VALUE"""),"Angelica")</f>
        <v>Angelica</v>
      </c>
      <c r="E5498" s="6" t="str">
        <f>IFERROR(__xludf.DUMMYFUNCTION("""COMPUTED_VALUE"""),"")</f>
        <v/>
      </c>
      <c r="F5498" s="6" t="str">
        <f>IFERROR(__xludf.DUMMYFUNCTION("""COMPUTED_VALUE"""),"Santos-Castro")</f>
        <v>Santos-Castro</v>
      </c>
      <c r="G5498" s="6" t="str">
        <f>IFERROR(__xludf.DUMMYFUNCTION("""COMPUTED_VALUE"""),"11/26/2016")</f>
        <v>11/26/2016</v>
      </c>
      <c r="H5498" s="6" t="str">
        <f>IFERROR(__xludf.DUMMYFUNCTION("""COMPUTED_VALUE"""),"male")</f>
        <v>male</v>
      </c>
      <c r="I5498" s="6" t="str">
        <f>IFERROR(__xludf.DUMMYFUNCTION("""COMPUTED_VALUE"""),"Level 2")</f>
        <v>Level 2</v>
      </c>
      <c r="J5498" s="6" t="str">
        <f>IFERROR(__xludf.DUMMYFUNCTION("""COMPUTED_VALUE"""),"5")</f>
        <v>5</v>
      </c>
      <c r="K5498" s="6" t="str">
        <f>IFERROR(__xludf.DUMMYFUNCTION("""COMPUTED_VALUE"""),"angelica.santos-castro@2hourlearning.com")</f>
        <v>angelica.santos-castro@2hourlearning.com</v>
      </c>
      <c r="L5498" s="6" t="str">
        <f>IFERROR(__xludf.DUMMYFUNCTION("""COMPUTED_VALUE"""),"JRES - Ridgeland Elementary School")</f>
        <v>JRES - Ridgeland Elementary School</v>
      </c>
      <c r="M5498" s="6" t="str">
        <f>IFERROR(__xludf.DUMMYFUNCTION("""COMPUTED_VALUE"""),"")</f>
        <v/>
      </c>
      <c r="N5498" s="6" t="str">
        <f>IFERROR(__xludf.DUMMYFUNCTION("""COMPUTED_VALUE"""),"")</f>
        <v/>
      </c>
      <c r="O5498" s="87" t="str">
        <f>IFERROR(__xludf.DUMMYFUNCTION("""COMPUTED_VALUE"""),"https://drive.google.com/drive/folders/10T2cTQHqEJZqE-st6uFKPoI?usp=share_link")</f>
        <v>https://drive.google.com/drive/folders/10T2cTQHqEJZqE-st6uFKPoI?usp=share_link</v>
      </c>
      <c r="P5498" s="6" t="str">
        <f>IFERROR(__xludf.DUMMYFUNCTION("""COMPUTED_VALUE"""),"Angelica Santos-Castro")</f>
        <v>Angelica Santos-Castro</v>
      </c>
      <c r="Q5498" s="6" t="str">
        <f>IFERROR(__xludf.DUMMYFUNCTION("""COMPUTED_VALUE"""),"L2")</f>
        <v>L2</v>
      </c>
      <c r="R5498" s="6">
        <f>IFERROR(__xludf.DUMMYFUNCTION("""COMPUTED_VALUE"""),2.0)</f>
        <v>2</v>
      </c>
      <c r="S5498" s="6" t="str">
        <f>IFERROR(__xludf.DUMMYFUNCTION("""COMPUTED_VALUE"""),"Kimberly Ball")</f>
        <v>Kimberly Ball</v>
      </c>
      <c r="T5498" s="6" t="str">
        <f>IFERROR(__xludf.DUMMYFUNCTION("""COMPUTED_VALUE"""),"kimberly.ball@studient.com")</f>
        <v>kimberly.ball@studient.com</v>
      </c>
      <c r="U5498" s="6" t="str">
        <f>IFERROR(__xludf.DUMMYFUNCTION("""COMPUTED_VALUE"""),"5")</f>
        <v>5</v>
      </c>
      <c r="V5498" s="6" t="str">
        <f>IFERROR(__xludf.DUMMYFUNCTION("""COMPUTED_VALUE"""),"")</f>
        <v/>
      </c>
      <c r="W5498" s="6" t="str">
        <f>IFERROR(__xludf.DUMMYFUNCTION("""COMPUTED_VALUE"""),"[]")</f>
        <v>[]</v>
      </c>
      <c r="X5498" s="6" t="str">
        <f>IFERROR(__xludf.DUMMYFUNCTION("""COMPUTED_VALUE"""),"Enrolled")</f>
        <v>Enrolled</v>
      </c>
    </row>
    <row r="5499">
      <c r="A5499" s="6" t="str">
        <f>IFERROR(__xludf.DUMMYFUNCTION("""COMPUTED_VALUE"""),"086-12890")</f>
        <v>086-12890</v>
      </c>
      <c r="B5499" s="6" t="str">
        <f>IFERROR(__xludf.DUMMYFUNCTION("""COMPUTED_VALUE"""),"86")</f>
        <v>86</v>
      </c>
      <c r="C5499" s="6" t="str">
        <f>IFERROR(__xludf.DUMMYFUNCTION("""COMPUTED_VALUE"""),"12890")</f>
        <v>12890</v>
      </c>
      <c r="D5499" s="6" t="str">
        <f>IFERROR(__xludf.DUMMYFUNCTION("""COMPUTED_VALUE"""),"Faith")</f>
        <v>Faith</v>
      </c>
      <c r="E5499" s="6" t="str">
        <f>IFERROR(__xludf.DUMMYFUNCTION("""COMPUTED_VALUE"""),"")</f>
        <v/>
      </c>
      <c r="F5499" s="6" t="str">
        <f>IFERROR(__xludf.DUMMYFUNCTION("""COMPUTED_VALUE"""),"Serrano")</f>
        <v>Serrano</v>
      </c>
      <c r="G5499" s="6" t="str">
        <f>IFERROR(__xludf.DUMMYFUNCTION("""COMPUTED_VALUE"""),"10/24/2015")</f>
        <v>10/24/2015</v>
      </c>
      <c r="H5499" s="6" t="str">
        <f>IFERROR(__xludf.DUMMYFUNCTION("""COMPUTED_VALUE"""),"female")</f>
        <v>female</v>
      </c>
      <c r="I5499" s="6" t="str">
        <f>IFERROR(__xludf.DUMMYFUNCTION("""COMPUTED_VALUE"""),"Level 2")</f>
        <v>Level 2</v>
      </c>
      <c r="J5499" s="6" t="str">
        <f>IFERROR(__xludf.DUMMYFUNCTION("""COMPUTED_VALUE"""),"5")</f>
        <v>5</v>
      </c>
      <c r="K5499" s="6" t="str">
        <f>IFERROR(__xludf.DUMMYFUNCTION("""COMPUTED_VALUE"""),"faith.serrano@2hourlearning.com")</f>
        <v>faith.serrano@2hourlearning.com</v>
      </c>
      <c r="L5499" s="6" t="str">
        <f>IFERROR(__xludf.DUMMYFUNCTION("""COMPUTED_VALUE"""),"JRES - Ridgeland Elementary School")</f>
        <v>JRES - Ridgeland Elementary School</v>
      </c>
      <c r="M5499" s="6" t="str">
        <f>IFERROR(__xludf.DUMMYFUNCTION("""COMPUTED_VALUE"""),"")</f>
        <v/>
      </c>
      <c r="N5499" s="6" t="str">
        <f>IFERROR(__xludf.DUMMYFUNCTION("""COMPUTED_VALUE"""),"")</f>
        <v/>
      </c>
      <c r="O5499" s="87" t="str">
        <f>IFERROR(__xludf.DUMMYFUNCTION("""COMPUTED_VALUE"""),"https://drive.google.com/drive/folders/10T2cTQHqEJZqE-st6uFKPoI?usp=share_link")</f>
        <v>https://drive.google.com/drive/folders/10T2cTQHqEJZqE-st6uFKPoI?usp=share_link</v>
      </c>
      <c r="P5499" s="6" t="str">
        <f>IFERROR(__xludf.DUMMYFUNCTION("""COMPUTED_VALUE"""),"Faith Serrano")</f>
        <v>Faith Serrano</v>
      </c>
      <c r="Q5499" s="6" t="str">
        <f>IFERROR(__xludf.DUMMYFUNCTION("""COMPUTED_VALUE"""),"L2")</f>
        <v>L2</v>
      </c>
      <c r="R5499" s="6">
        <f>IFERROR(__xludf.DUMMYFUNCTION("""COMPUTED_VALUE"""),2.0)</f>
        <v>2</v>
      </c>
      <c r="S5499" s="6" t="str">
        <f>IFERROR(__xludf.DUMMYFUNCTION("""COMPUTED_VALUE"""),"Kimberly Ball")</f>
        <v>Kimberly Ball</v>
      </c>
      <c r="T5499" s="6" t="str">
        <f>IFERROR(__xludf.DUMMYFUNCTION("""COMPUTED_VALUE"""),"kimberly.ball@studient.com")</f>
        <v>kimberly.ball@studient.com</v>
      </c>
      <c r="U5499" s="6" t="str">
        <f>IFERROR(__xludf.DUMMYFUNCTION("""COMPUTED_VALUE"""),"5")</f>
        <v>5</v>
      </c>
      <c r="V5499" s="6" t="str">
        <f>IFERROR(__xludf.DUMMYFUNCTION("""COMPUTED_VALUE"""),"")</f>
        <v/>
      </c>
      <c r="W5499" s="6" t="str">
        <f>IFERROR(__xludf.DUMMYFUNCTION("""COMPUTED_VALUE"""),"[]")</f>
        <v>[]</v>
      </c>
      <c r="X5499" s="6" t="str">
        <f>IFERROR(__xludf.DUMMYFUNCTION("""COMPUTED_VALUE"""),"Enrolled")</f>
        <v>Enrolled</v>
      </c>
    </row>
    <row r="5500">
      <c r="A5500" s="6" t="str">
        <f>IFERROR(__xludf.DUMMYFUNCTION("""COMPUTED_VALUE"""),"086-12891")</f>
        <v>086-12891</v>
      </c>
      <c r="B5500" s="6" t="str">
        <f>IFERROR(__xludf.DUMMYFUNCTION("""COMPUTED_VALUE"""),"86")</f>
        <v>86</v>
      </c>
      <c r="C5500" s="6" t="str">
        <f>IFERROR(__xludf.DUMMYFUNCTION("""COMPUTED_VALUE"""),"12891")</f>
        <v>12891</v>
      </c>
      <c r="D5500" s="6" t="str">
        <f>IFERROR(__xludf.DUMMYFUNCTION("""COMPUTED_VALUE"""),"Yaneri")</f>
        <v>Yaneri</v>
      </c>
      <c r="E5500" s="6" t="str">
        <f>IFERROR(__xludf.DUMMYFUNCTION("""COMPUTED_VALUE"""),"")</f>
        <v/>
      </c>
      <c r="F5500" s="6" t="str">
        <f>IFERROR(__xludf.DUMMYFUNCTION("""COMPUTED_VALUE"""),"Serrano Gutierrez")</f>
        <v>Serrano Gutierrez</v>
      </c>
      <c r="G5500" s="6" t="str">
        <f>IFERROR(__xludf.DUMMYFUNCTION("""COMPUTED_VALUE"""),"12/22/2015")</f>
        <v>12/22/2015</v>
      </c>
      <c r="H5500" s="6" t="str">
        <f>IFERROR(__xludf.DUMMYFUNCTION("""COMPUTED_VALUE"""),"male")</f>
        <v>male</v>
      </c>
      <c r="I5500" s="6" t="str">
        <f>IFERROR(__xludf.DUMMYFUNCTION("""COMPUTED_VALUE"""),"Level 2")</f>
        <v>Level 2</v>
      </c>
      <c r="J5500" s="6" t="str">
        <f>IFERROR(__xludf.DUMMYFUNCTION("""COMPUTED_VALUE"""),"5")</f>
        <v>5</v>
      </c>
      <c r="K5500" s="6" t="str">
        <f>IFERROR(__xludf.DUMMYFUNCTION("""COMPUTED_VALUE"""),"yaneri.serranogutierrez@2hourlearning.com")</f>
        <v>yaneri.serranogutierrez@2hourlearning.com</v>
      </c>
      <c r="L5500" s="6" t="str">
        <f>IFERROR(__xludf.DUMMYFUNCTION("""COMPUTED_VALUE"""),"JRES - Ridgeland Elementary School")</f>
        <v>JRES - Ridgeland Elementary School</v>
      </c>
      <c r="M5500" s="6" t="str">
        <f>IFERROR(__xludf.DUMMYFUNCTION("""COMPUTED_VALUE"""),"")</f>
        <v/>
      </c>
      <c r="N5500" s="6" t="str">
        <f>IFERROR(__xludf.DUMMYFUNCTION("""COMPUTED_VALUE"""),"")</f>
        <v/>
      </c>
      <c r="O5500" s="87" t="str">
        <f>IFERROR(__xludf.DUMMYFUNCTION("""COMPUTED_VALUE"""),"https://drive.google.com/drive/folders/10T2cTQHqEJZqE-st6uFKPoI?usp=share_link")</f>
        <v>https://drive.google.com/drive/folders/10T2cTQHqEJZqE-st6uFKPoI?usp=share_link</v>
      </c>
      <c r="P5500" s="6" t="str">
        <f>IFERROR(__xludf.DUMMYFUNCTION("""COMPUTED_VALUE"""),"Yaneri Serrano Gutierrez")</f>
        <v>Yaneri Serrano Gutierrez</v>
      </c>
      <c r="Q5500" s="6" t="str">
        <f>IFERROR(__xludf.DUMMYFUNCTION("""COMPUTED_VALUE"""),"L2")</f>
        <v>L2</v>
      </c>
      <c r="R5500" s="6">
        <f>IFERROR(__xludf.DUMMYFUNCTION("""COMPUTED_VALUE"""),2.0)</f>
        <v>2</v>
      </c>
      <c r="S5500" s="6" t="str">
        <f>IFERROR(__xludf.DUMMYFUNCTION("""COMPUTED_VALUE"""),"Kimberly Ball")</f>
        <v>Kimberly Ball</v>
      </c>
      <c r="T5500" s="6" t="str">
        <f>IFERROR(__xludf.DUMMYFUNCTION("""COMPUTED_VALUE"""),"kimberly.ball@studient.com")</f>
        <v>kimberly.ball@studient.com</v>
      </c>
      <c r="U5500" s="6" t="str">
        <f>IFERROR(__xludf.DUMMYFUNCTION("""COMPUTED_VALUE"""),"5")</f>
        <v>5</v>
      </c>
      <c r="V5500" s="6" t="str">
        <f>IFERROR(__xludf.DUMMYFUNCTION("""COMPUTED_VALUE"""),"")</f>
        <v/>
      </c>
      <c r="W5500" s="6" t="str">
        <f>IFERROR(__xludf.DUMMYFUNCTION("""COMPUTED_VALUE"""),"[]")</f>
        <v>[]</v>
      </c>
      <c r="X5500" s="6" t="str">
        <f>IFERROR(__xludf.DUMMYFUNCTION("""COMPUTED_VALUE"""),"Enrolled")</f>
        <v>Enrolled</v>
      </c>
    </row>
    <row r="5501">
      <c r="A5501" s="6" t="str">
        <f>IFERROR(__xludf.DUMMYFUNCTION("""COMPUTED_VALUE"""),"086-12892")</f>
        <v>086-12892</v>
      </c>
      <c r="B5501" s="6" t="str">
        <f>IFERROR(__xludf.DUMMYFUNCTION("""COMPUTED_VALUE"""),"86")</f>
        <v>86</v>
      </c>
      <c r="C5501" s="6" t="str">
        <f>IFERROR(__xludf.DUMMYFUNCTION("""COMPUTED_VALUE"""),"12892")</f>
        <v>12892</v>
      </c>
      <c r="D5501" s="6" t="str">
        <f>IFERROR(__xludf.DUMMYFUNCTION("""COMPUTED_VALUE"""),"Kaiden")</f>
        <v>Kaiden</v>
      </c>
      <c r="E5501" s="6" t="str">
        <f>IFERROR(__xludf.DUMMYFUNCTION("""COMPUTED_VALUE"""),"")</f>
        <v/>
      </c>
      <c r="F5501" s="6" t="str">
        <f>IFERROR(__xludf.DUMMYFUNCTION("""COMPUTED_VALUE"""),"Simmons")</f>
        <v>Simmons</v>
      </c>
      <c r="G5501" s="6" t="str">
        <f>IFERROR(__xludf.DUMMYFUNCTION("""COMPUTED_VALUE"""),"10/05/2016")</f>
        <v>10/05/2016</v>
      </c>
      <c r="H5501" s="6" t="str">
        <f>IFERROR(__xludf.DUMMYFUNCTION("""COMPUTED_VALUE"""),"male")</f>
        <v>male</v>
      </c>
      <c r="I5501" s="6" t="str">
        <f>IFERROR(__xludf.DUMMYFUNCTION("""COMPUTED_VALUE"""),"Level 2")</f>
        <v>Level 2</v>
      </c>
      <c r="J5501" s="6" t="str">
        <f>IFERROR(__xludf.DUMMYFUNCTION("""COMPUTED_VALUE"""),"5")</f>
        <v>5</v>
      </c>
      <c r="K5501" s="6" t="str">
        <f>IFERROR(__xludf.DUMMYFUNCTION("""COMPUTED_VALUE"""),"kaiden.simmons@2hourlearning.com")</f>
        <v>kaiden.simmons@2hourlearning.com</v>
      </c>
      <c r="L5501" s="6" t="str">
        <f>IFERROR(__xludf.DUMMYFUNCTION("""COMPUTED_VALUE"""),"JRES - Ridgeland Elementary School")</f>
        <v>JRES - Ridgeland Elementary School</v>
      </c>
      <c r="M5501" s="6" t="str">
        <f>IFERROR(__xludf.DUMMYFUNCTION("""COMPUTED_VALUE"""),"")</f>
        <v/>
      </c>
      <c r="N5501" s="6" t="str">
        <f>IFERROR(__xludf.DUMMYFUNCTION("""COMPUTED_VALUE"""),"")</f>
        <v/>
      </c>
      <c r="O5501" s="87" t="str">
        <f>IFERROR(__xludf.DUMMYFUNCTION("""COMPUTED_VALUE"""),"https://drive.google.com/drive/folders/10T2cTQHqEJZqE-st6uFKPoI?usp=share_link")</f>
        <v>https://drive.google.com/drive/folders/10T2cTQHqEJZqE-st6uFKPoI?usp=share_link</v>
      </c>
      <c r="P5501" s="6" t="str">
        <f>IFERROR(__xludf.DUMMYFUNCTION("""COMPUTED_VALUE"""),"Kaiden Simmons")</f>
        <v>Kaiden Simmons</v>
      </c>
      <c r="Q5501" s="6" t="str">
        <f>IFERROR(__xludf.DUMMYFUNCTION("""COMPUTED_VALUE"""),"L2")</f>
        <v>L2</v>
      </c>
      <c r="R5501" s="6">
        <f>IFERROR(__xludf.DUMMYFUNCTION("""COMPUTED_VALUE"""),2.0)</f>
        <v>2</v>
      </c>
      <c r="S5501" s="6" t="str">
        <f>IFERROR(__xludf.DUMMYFUNCTION("""COMPUTED_VALUE"""),"Kimberly Ball")</f>
        <v>Kimberly Ball</v>
      </c>
      <c r="T5501" s="6" t="str">
        <f>IFERROR(__xludf.DUMMYFUNCTION("""COMPUTED_VALUE"""),"kimberly.ball@studient.com")</f>
        <v>kimberly.ball@studient.com</v>
      </c>
      <c r="U5501" s="6" t="str">
        <f>IFERROR(__xludf.DUMMYFUNCTION("""COMPUTED_VALUE"""),"5")</f>
        <v>5</v>
      </c>
      <c r="V5501" s="6" t="str">
        <f>IFERROR(__xludf.DUMMYFUNCTION("""COMPUTED_VALUE"""),"")</f>
        <v/>
      </c>
      <c r="W5501" s="6" t="str">
        <f>IFERROR(__xludf.DUMMYFUNCTION("""COMPUTED_VALUE"""),"[]")</f>
        <v>[]</v>
      </c>
      <c r="X5501" s="6" t="str">
        <f>IFERROR(__xludf.DUMMYFUNCTION("""COMPUTED_VALUE"""),"Enrolled")</f>
        <v>Enrolled</v>
      </c>
    </row>
    <row r="5502">
      <c r="A5502" s="6" t="str">
        <f>IFERROR(__xludf.DUMMYFUNCTION("""COMPUTED_VALUE"""),"086-12893")</f>
        <v>086-12893</v>
      </c>
      <c r="B5502" s="6" t="str">
        <f>IFERROR(__xludf.DUMMYFUNCTION("""COMPUTED_VALUE"""),"86")</f>
        <v>86</v>
      </c>
      <c r="C5502" s="6" t="str">
        <f>IFERROR(__xludf.DUMMYFUNCTION("""COMPUTED_VALUE"""),"12893")</f>
        <v>12893</v>
      </c>
      <c r="D5502" s="6" t="str">
        <f>IFERROR(__xludf.DUMMYFUNCTION("""COMPUTED_VALUE"""),"Khalil")</f>
        <v>Khalil</v>
      </c>
      <c r="E5502" s="6" t="str">
        <f>IFERROR(__xludf.DUMMYFUNCTION("""COMPUTED_VALUE"""),"")</f>
        <v/>
      </c>
      <c r="F5502" s="6" t="str">
        <f>IFERROR(__xludf.DUMMYFUNCTION("""COMPUTED_VALUE"""),"Singleton")</f>
        <v>Singleton</v>
      </c>
      <c r="G5502" s="6" t="str">
        <f>IFERROR(__xludf.DUMMYFUNCTION("""COMPUTED_VALUE"""),"10/24/2014")</f>
        <v>10/24/2014</v>
      </c>
      <c r="H5502" s="6" t="str">
        <f>IFERROR(__xludf.DUMMYFUNCTION("""COMPUTED_VALUE"""),"female")</f>
        <v>female</v>
      </c>
      <c r="I5502" s="6" t="str">
        <f>IFERROR(__xludf.DUMMYFUNCTION("""COMPUTED_VALUE"""),"Level 2")</f>
        <v>Level 2</v>
      </c>
      <c r="J5502" s="6" t="str">
        <f>IFERROR(__xludf.DUMMYFUNCTION("""COMPUTED_VALUE"""),"5")</f>
        <v>5</v>
      </c>
      <c r="K5502" s="6" t="str">
        <f>IFERROR(__xludf.DUMMYFUNCTION("""COMPUTED_VALUE"""),"khalil.singleton@2hourlearning.com")</f>
        <v>khalil.singleton@2hourlearning.com</v>
      </c>
      <c r="L5502" s="6" t="str">
        <f>IFERROR(__xludf.DUMMYFUNCTION("""COMPUTED_VALUE"""),"JRES - Ridgeland Elementary School")</f>
        <v>JRES - Ridgeland Elementary School</v>
      </c>
      <c r="M5502" s="6" t="str">
        <f>IFERROR(__xludf.DUMMYFUNCTION("""COMPUTED_VALUE"""),"")</f>
        <v/>
      </c>
      <c r="N5502" s="6" t="str">
        <f>IFERROR(__xludf.DUMMYFUNCTION("""COMPUTED_VALUE"""),"")</f>
        <v/>
      </c>
      <c r="O5502" s="87" t="str">
        <f>IFERROR(__xludf.DUMMYFUNCTION("""COMPUTED_VALUE"""),"https://drive.google.com/drive/folders/10T2cTQHqEJZqE-st6uFKPoI?usp=share_link")</f>
        <v>https://drive.google.com/drive/folders/10T2cTQHqEJZqE-st6uFKPoI?usp=share_link</v>
      </c>
      <c r="P5502" s="6" t="str">
        <f>IFERROR(__xludf.DUMMYFUNCTION("""COMPUTED_VALUE"""),"Khalil Singleton")</f>
        <v>Khalil Singleton</v>
      </c>
      <c r="Q5502" s="6" t="str">
        <f>IFERROR(__xludf.DUMMYFUNCTION("""COMPUTED_VALUE"""),"L2")</f>
        <v>L2</v>
      </c>
      <c r="R5502" s="6">
        <f>IFERROR(__xludf.DUMMYFUNCTION("""COMPUTED_VALUE"""),2.0)</f>
        <v>2</v>
      </c>
      <c r="S5502" s="6" t="str">
        <f>IFERROR(__xludf.DUMMYFUNCTION("""COMPUTED_VALUE"""),"Kimberly Ball")</f>
        <v>Kimberly Ball</v>
      </c>
      <c r="T5502" s="6" t="str">
        <f>IFERROR(__xludf.DUMMYFUNCTION("""COMPUTED_VALUE"""),"kimberly.ball@studient.com")</f>
        <v>kimberly.ball@studient.com</v>
      </c>
      <c r="U5502" s="6" t="str">
        <f>IFERROR(__xludf.DUMMYFUNCTION("""COMPUTED_VALUE"""),"5")</f>
        <v>5</v>
      </c>
      <c r="V5502" s="6" t="str">
        <f>IFERROR(__xludf.DUMMYFUNCTION("""COMPUTED_VALUE"""),"")</f>
        <v/>
      </c>
      <c r="W5502" s="6" t="str">
        <f>IFERROR(__xludf.DUMMYFUNCTION("""COMPUTED_VALUE"""),"[]")</f>
        <v>[]</v>
      </c>
      <c r="X5502" s="6" t="str">
        <f>IFERROR(__xludf.DUMMYFUNCTION("""COMPUTED_VALUE"""),"Enrolled")</f>
        <v>Enrolled</v>
      </c>
    </row>
    <row r="5503">
      <c r="A5503" s="6" t="str">
        <f>IFERROR(__xludf.DUMMYFUNCTION("""COMPUTED_VALUE"""),"086-12894")</f>
        <v>086-12894</v>
      </c>
      <c r="B5503" s="6" t="str">
        <f>IFERROR(__xludf.DUMMYFUNCTION("""COMPUTED_VALUE"""),"86")</f>
        <v>86</v>
      </c>
      <c r="C5503" s="6" t="str">
        <f>IFERROR(__xludf.DUMMYFUNCTION("""COMPUTED_VALUE"""),"12894")</f>
        <v>12894</v>
      </c>
      <c r="D5503" s="6" t="str">
        <f>IFERROR(__xludf.DUMMYFUNCTION("""COMPUTED_VALUE"""),"Martin")</f>
        <v>Martin</v>
      </c>
      <c r="E5503" s="6" t="str">
        <f>IFERROR(__xludf.DUMMYFUNCTION("""COMPUTED_VALUE"""),"")</f>
        <v/>
      </c>
      <c r="F5503" s="6" t="str">
        <f>IFERROR(__xludf.DUMMYFUNCTION("""COMPUTED_VALUE"""),"Singleton")</f>
        <v>Singleton</v>
      </c>
      <c r="G5503" s="6" t="str">
        <f>IFERROR(__xludf.DUMMYFUNCTION("""COMPUTED_VALUE"""),"11/27/2014")</f>
        <v>11/27/2014</v>
      </c>
      <c r="H5503" s="6" t="str">
        <f>IFERROR(__xludf.DUMMYFUNCTION("""COMPUTED_VALUE"""),"male")</f>
        <v>male</v>
      </c>
      <c r="I5503" s="6" t="str">
        <f>IFERROR(__xludf.DUMMYFUNCTION("""COMPUTED_VALUE"""),"Level 2")</f>
        <v>Level 2</v>
      </c>
      <c r="J5503" s="6" t="str">
        <f>IFERROR(__xludf.DUMMYFUNCTION("""COMPUTED_VALUE"""),"5")</f>
        <v>5</v>
      </c>
      <c r="K5503" s="6" t="str">
        <f>IFERROR(__xludf.DUMMYFUNCTION("""COMPUTED_VALUE"""),"martin.singleton@2hourlearning.com")</f>
        <v>martin.singleton@2hourlearning.com</v>
      </c>
      <c r="L5503" s="6" t="str">
        <f>IFERROR(__xludf.DUMMYFUNCTION("""COMPUTED_VALUE"""),"JRES - Ridgeland Elementary School")</f>
        <v>JRES - Ridgeland Elementary School</v>
      </c>
      <c r="M5503" s="6" t="str">
        <f>IFERROR(__xludf.DUMMYFUNCTION("""COMPUTED_VALUE"""),"")</f>
        <v/>
      </c>
      <c r="N5503" s="6" t="str">
        <f>IFERROR(__xludf.DUMMYFUNCTION("""COMPUTED_VALUE"""),"")</f>
        <v/>
      </c>
      <c r="O5503" s="87" t="str">
        <f>IFERROR(__xludf.DUMMYFUNCTION("""COMPUTED_VALUE"""),"https://drive.google.com/drive/folders/10T2cTQHqEJZqE-st6uFKPoI?usp=share_link")</f>
        <v>https://drive.google.com/drive/folders/10T2cTQHqEJZqE-st6uFKPoI?usp=share_link</v>
      </c>
      <c r="P5503" s="6" t="str">
        <f>IFERROR(__xludf.DUMMYFUNCTION("""COMPUTED_VALUE"""),"Martin Singleton")</f>
        <v>Martin Singleton</v>
      </c>
      <c r="Q5503" s="6" t="str">
        <f>IFERROR(__xludf.DUMMYFUNCTION("""COMPUTED_VALUE"""),"L2")</f>
        <v>L2</v>
      </c>
      <c r="R5503" s="6">
        <f>IFERROR(__xludf.DUMMYFUNCTION("""COMPUTED_VALUE"""),2.0)</f>
        <v>2</v>
      </c>
      <c r="S5503" s="6" t="str">
        <f>IFERROR(__xludf.DUMMYFUNCTION("""COMPUTED_VALUE"""),"Kimberly Ball")</f>
        <v>Kimberly Ball</v>
      </c>
      <c r="T5503" s="6" t="str">
        <f>IFERROR(__xludf.DUMMYFUNCTION("""COMPUTED_VALUE"""),"kimberly.ball@studient.com")</f>
        <v>kimberly.ball@studient.com</v>
      </c>
      <c r="U5503" s="6" t="str">
        <f>IFERROR(__xludf.DUMMYFUNCTION("""COMPUTED_VALUE"""),"5")</f>
        <v>5</v>
      </c>
      <c r="V5503" s="6" t="str">
        <f>IFERROR(__xludf.DUMMYFUNCTION("""COMPUTED_VALUE"""),"")</f>
        <v/>
      </c>
      <c r="W5503" s="6" t="str">
        <f>IFERROR(__xludf.DUMMYFUNCTION("""COMPUTED_VALUE"""),"[]")</f>
        <v>[]</v>
      </c>
      <c r="X5503" s="6" t="str">
        <f>IFERROR(__xludf.DUMMYFUNCTION("""COMPUTED_VALUE"""),"Enrolled")</f>
        <v>Enrolled</v>
      </c>
    </row>
    <row r="5504">
      <c r="A5504" s="6" t="str">
        <f>IFERROR(__xludf.DUMMYFUNCTION("""COMPUTED_VALUE"""),"086-12895")</f>
        <v>086-12895</v>
      </c>
      <c r="B5504" s="6" t="str">
        <f>IFERROR(__xludf.DUMMYFUNCTION("""COMPUTED_VALUE"""),"86")</f>
        <v>86</v>
      </c>
      <c r="C5504" s="6" t="str">
        <f>IFERROR(__xludf.DUMMYFUNCTION("""COMPUTED_VALUE"""),"12895")</f>
        <v>12895</v>
      </c>
      <c r="D5504" s="6" t="str">
        <f>IFERROR(__xludf.DUMMYFUNCTION("""COMPUTED_VALUE"""),"Scarlett")</f>
        <v>Scarlett</v>
      </c>
      <c r="E5504" s="6" t="str">
        <f>IFERROR(__xludf.DUMMYFUNCTION("""COMPUTED_VALUE"""),"")</f>
        <v/>
      </c>
      <c r="F5504" s="6" t="str">
        <f>IFERROR(__xludf.DUMMYFUNCTION("""COMPUTED_VALUE"""),"Smith")</f>
        <v>Smith</v>
      </c>
      <c r="G5504" s="6" t="str">
        <f>IFERROR(__xludf.DUMMYFUNCTION("""COMPUTED_VALUE"""),"09/22/2017")</f>
        <v>09/22/2017</v>
      </c>
      <c r="H5504" s="6" t="str">
        <f>IFERROR(__xludf.DUMMYFUNCTION("""COMPUTED_VALUE"""),"male")</f>
        <v>male</v>
      </c>
      <c r="I5504" s="6" t="str">
        <f>IFERROR(__xludf.DUMMYFUNCTION("""COMPUTED_VALUE"""),"Level 2")</f>
        <v>Level 2</v>
      </c>
      <c r="J5504" s="6" t="str">
        <f>IFERROR(__xludf.DUMMYFUNCTION("""COMPUTED_VALUE"""),"5")</f>
        <v>5</v>
      </c>
      <c r="K5504" s="6" t="str">
        <f>IFERROR(__xludf.DUMMYFUNCTION("""COMPUTED_VALUE"""),"scarlett.smith@2hourlearning.com")</f>
        <v>scarlett.smith@2hourlearning.com</v>
      </c>
      <c r="L5504" s="6" t="str">
        <f>IFERROR(__xludf.DUMMYFUNCTION("""COMPUTED_VALUE"""),"JRES - Ridgeland Elementary School")</f>
        <v>JRES - Ridgeland Elementary School</v>
      </c>
      <c r="M5504" s="6" t="str">
        <f>IFERROR(__xludf.DUMMYFUNCTION("""COMPUTED_VALUE"""),"")</f>
        <v/>
      </c>
      <c r="N5504" s="6" t="str">
        <f>IFERROR(__xludf.DUMMYFUNCTION("""COMPUTED_VALUE"""),"")</f>
        <v/>
      </c>
      <c r="O5504" s="87" t="str">
        <f>IFERROR(__xludf.DUMMYFUNCTION("""COMPUTED_VALUE"""),"https://drive.google.com/drive/folders/10T2cTQHqEJZqE-st6uFKPoI?usp=share_link")</f>
        <v>https://drive.google.com/drive/folders/10T2cTQHqEJZqE-st6uFKPoI?usp=share_link</v>
      </c>
      <c r="P5504" s="6" t="str">
        <f>IFERROR(__xludf.DUMMYFUNCTION("""COMPUTED_VALUE"""),"Scarlett Smith")</f>
        <v>Scarlett Smith</v>
      </c>
      <c r="Q5504" s="6" t="str">
        <f>IFERROR(__xludf.DUMMYFUNCTION("""COMPUTED_VALUE"""),"L2")</f>
        <v>L2</v>
      </c>
      <c r="R5504" s="6">
        <f>IFERROR(__xludf.DUMMYFUNCTION("""COMPUTED_VALUE"""),2.0)</f>
        <v>2</v>
      </c>
      <c r="S5504" s="6" t="str">
        <f>IFERROR(__xludf.DUMMYFUNCTION("""COMPUTED_VALUE"""),"Kimberly Ball")</f>
        <v>Kimberly Ball</v>
      </c>
      <c r="T5504" s="6" t="str">
        <f>IFERROR(__xludf.DUMMYFUNCTION("""COMPUTED_VALUE"""),"kimberly.ball@studient.com")</f>
        <v>kimberly.ball@studient.com</v>
      </c>
      <c r="U5504" s="6" t="str">
        <f>IFERROR(__xludf.DUMMYFUNCTION("""COMPUTED_VALUE"""),"5")</f>
        <v>5</v>
      </c>
      <c r="V5504" s="6" t="str">
        <f>IFERROR(__xludf.DUMMYFUNCTION("""COMPUTED_VALUE"""),"")</f>
        <v/>
      </c>
      <c r="W5504" s="6" t="str">
        <f>IFERROR(__xludf.DUMMYFUNCTION("""COMPUTED_VALUE"""),"[]")</f>
        <v>[]</v>
      </c>
      <c r="X5504" s="6" t="str">
        <f>IFERROR(__xludf.DUMMYFUNCTION("""COMPUTED_VALUE"""),"Enrolled")</f>
        <v>Enrolled</v>
      </c>
    </row>
    <row r="5505">
      <c r="A5505" s="6" t="str">
        <f>IFERROR(__xludf.DUMMYFUNCTION("""COMPUTED_VALUE"""),"086-12896")</f>
        <v>086-12896</v>
      </c>
      <c r="B5505" s="6" t="str">
        <f>IFERROR(__xludf.DUMMYFUNCTION("""COMPUTED_VALUE"""),"86")</f>
        <v>86</v>
      </c>
      <c r="C5505" s="6" t="str">
        <f>IFERROR(__xludf.DUMMYFUNCTION("""COMPUTED_VALUE"""),"12896")</f>
        <v>12896</v>
      </c>
      <c r="D5505" s="6" t="str">
        <f>IFERROR(__xludf.DUMMYFUNCTION("""COMPUTED_VALUE"""),"Gia")</f>
        <v>Gia</v>
      </c>
      <c r="E5505" s="6" t="str">
        <f>IFERROR(__xludf.DUMMYFUNCTION("""COMPUTED_VALUE"""),"")</f>
        <v/>
      </c>
      <c r="F5505" s="6" t="str">
        <f>IFERROR(__xludf.DUMMYFUNCTION("""COMPUTED_VALUE"""),"Solomon")</f>
        <v>Solomon</v>
      </c>
      <c r="G5505" s="6" t="str">
        <f>IFERROR(__xludf.DUMMYFUNCTION("""COMPUTED_VALUE"""),"07/22/2016")</f>
        <v>07/22/2016</v>
      </c>
      <c r="H5505" s="6" t="str">
        <f>IFERROR(__xludf.DUMMYFUNCTION("""COMPUTED_VALUE"""),"female")</f>
        <v>female</v>
      </c>
      <c r="I5505" s="6" t="str">
        <f>IFERROR(__xludf.DUMMYFUNCTION("""COMPUTED_VALUE"""),"Level 2")</f>
        <v>Level 2</v>
      </c>
      <c r="J5505" s="6" t="str">
        <f>IFERROR(__xludf.DUMMYFUNCTION("""COMPUTED_VALUE"""),"5")</f>
        <v>5</v>
      </c>
      <c r="K5505" s="6" t="str">
        <f>IFERROR(__xludf.DUMMYFUNCTION("""COMPUTED_VALUE"""),"gia.solomon@2hourlearning.com")</f>
        <v>gia.solomon@2hourlearning.com</v>
      </c>
      <c r="L5505" s="6" t="str">
        <f>IFERROR(__xludf.DUMMYFUNCTION("""COMPUTED_VALUE"""),"JRES - Ridgeland Elementary School")</f>
        <v>JRES - Ridgeland Elementary School</v>
      </c>
      <c r="M5505" s="6" t="str">
        <f>IFERROR(__xludf.DUMMYFUNCTION("""COMPUTED_VALUE"""),"")</f>
        <v/>
      </c>
      <c r="N5505" s="6" t="str">
        <f>IFERROR(__xludf.DUMMYFUNCTION("""COMPUTED_VALUE"""),"")</f>
        <v/>
      </c>
      <c r="O5505" s="87" t="str">
        <f>IFERROR(__xludf.DUMMYFUNCTION("""COMPUTED_VALUE"""),"https://drive.google.com/drive/folders/10T2cTQHqEJZqE-st6uFKPoI?usp=share_link")</f>
        <v>https://drive.google.com/drive/folders/10T2cTQHqEJZqE-st6uFKPoI?usp=share_link</v>
      </c>
      <c r="P5505" s="6" t="str">
        <f>IFERROR(__xludf.DUMMYFUNCTION("""COMPUTED_VALUE"""),"Gia Solomon")</f>
        <v>Gia Solomon</v>
      </c>
      <c r="Q5505" s="6" t="str">
        <f>IFERROR(__xludf.DUMMYFUNCTION("""COMPUTED_VALUE"""),"L2")</f>
        <v>L2</v>
      </c>
      <c r="R5505" s="6">
        <f>IFERROR(__xludf.DUMMYFUNCTION("""COMPUTED_VALUE"""),2.0)</f>
        <v>2</v>
      </c>
      <c r="S5505" s="6" t="str">
        <f>IFERROR(__xludf.DUMMYFUNCTION("""COMPUTED_VALUE"""),"Kimberly Ball")</f>
        <v>Kimberly Ball</v>
      </c>
      <c r="T5505" s="6" t="str">
        <f>IFERROR(__xludf.DUMMYFUNCTION("""COMPUTED_VALUE"""),"kimberly.ball@studient.com")</f>
        <v>kimberly.ball@studient.com</v>
      </c>
      <c r="U5505" s="6" t="str">
        <f>IFERROR(__xludf.DUMMYFUNCTION("""COMPUTED_VALUE"""),"5")</f>
        <v>5</v>
      </c>
      <c r="V5505" s="6" t="str">
        <f>IFERROR(__xludf.DUMMYFUNCTION("""COMPUTED_VALUE"""),"")</f>
        <v/>
      </c>
      <c r="W5505" s="6" t="str">
        <f>IFERROR(__xludf.DUMMYFUNCTION("""COMPUTED_VALUE"""),"[]")</f>
        <v>[]</v>
      </c>
      <c r="X5505" s="6" t="str">
        <f>IFERROR(__xludf.DUMMYFUNCTION("""COMPUTED_VALUE"""),"Enrolled")</f>
        <v>Enrolled</v>
      </c>
    </row>
    <row r="5506">
      <c r="A5506" s="6" t="str">
        <f>IFERROR(__xludf.DUMMYFUNCTION("""COMPUTED_VALUE"""),"086-12897")</f>
        <v>086-12897</v>
      </c>
      <c r="B5506" s="6" t="str">
        <f>IFERROR(__xludf.DUMMYFUNCTION("""COMPUTED_VALUE"""),"86")</f>
        <v>86</v>
      </c>
      <c r="C5506" s="6" t="str">
        <f>IFERROR(__xludf.DUMMYFUNCTION("""COMPUTED_VALUE"""),"12897")</f>
        <v>12897</v>
      </c>
      <c r="D5506" s="6" t="str">
        <f>IFERROR(__xludf.DUMMYFUNCTION("""COMPUTED_VALUE"""),"Iris")</f>
        <v>Iris</v>
      </c>
      <c r="E5506" s="6" t="str">
        <f>IFERROR(__xludf.DUMMYFUNCTION("""COMPUTED_VALUE"""),"")</f>
        <v/>
      </c>
      <c r="F5506" s="6" t="str">
        <f>IFERROR(__xludf.DUMMYFUNCTION("""COMPUTED_VALUE"""),"Tomas Perez")</f>
        <v>Tomas Perez</v>
      </c>
      <c r="G5506" s="6" t="str">
        <f>IFERROR(__xludf.DUMMYFUNCTION("""COMPUTED_VALUE"""),"08/19/2016")</f>
        <v>08/19/2016</v>
      </c>
      <c r="H5506" s="6" t="str">
        <f>IFERROR(__xludf.DUMMYFUNCTION("""COMPUTED_VALUE"""),"male")</f>
        <v>male</v>
      </c>
      <c r="I5506" s="6" t="str">
        <f>IFERROR(__xludf.DUMMYFUNCTION("""COMPUTED_VALUE"""),"Level 2")</f>
        <v>Level 2</v>
      </c>
      <c r="J5506" s="6" t="str">
        <f>IFERROR(__xludf.DUMMYFUNCTION("""COMPUTED_VALUE"""),"5")</f>
        <v>5</v>
      </c>
      <c r="K5506" s="6" t="str">
        <f>IFERROR(__xludf.DUMMYFUNCTION("""COMPUTED_VALUE"""),"iris.tomasperez@2hourlearning.com")</f>
        <v>iris.tomasperez@2hourlearning.com</v>
      </c>
      <c r="L5506" s="6" t="str">
        <f>IFERROR(__xludf.DUMMYFUNCTION("""COMPUTED_VALUE"""),"JRES - Ridgeland Elementary School")</f>
        <v>JRES - Ridgeland Elementary School</v>
      </c>
      <c r="M5506" s="6" t="str">
        <f>IFERROR(__xludf.DUMMYFUNCTION("""COMPUTED_VALUE"""),"")</f>
        <v/>
      </c>
      <c r="N5506" s="6" t="str">
        <f>IFERROR(__xludf.DUMMYFUNCTION("""COMPUTED_VALUE"""),"")</f>
        <v/>
      </c>
      <c r="O5506" s="87" t="str">
        <f>IFERROR(__xludf.DUMMYFUNCTION("""COMPUTED_VALUE"""),"https://drive.google.com/drive/folders/10T2cTQHqEJZqE-st6uFKPoI?usp=share_link")</f>
        <v>https://drive.google.com/drive/folders/10T2cTQHqEJZqE-st6uFKPoI?usp=share_link</v>
      </c>
      <c r="P5506" s="6" t="str">
        <f>IFERROR(__xludf.DUMMYFUNCTION("""COMPUTED_VALUE"""),"Iris Tomas Perez")</f>
        <v>Iris Tomas Perez</v>
      </c>
      <c r="Q5506" s="6" t="str">
        <f>IFERROR(__xludf.DUMMYFUNCTION("""COMPUTED_VALUE"""),"L2")</f>
        <v>L2</v>
      </c>
      <c r="R5506" s="6">
        <f>IFERROR(__xludf.DUMMYFUNCTION("""COMPUTED_VALUE"""),2.0)</f>
        <v>2</v>
      </c>
      <c r="S5506" s="6" t="str">
        <f>IFERROR(__xludf.DUMMYFUNCTION("""COMPUTED_VALUE"""),"Kimberly Ball")</f>
        <v>Kimberly Ball</v>
      </c>
      <c r="T5506" s="6" t="str">
        <f>IFERROR(__xludf.DUMMYFUNCTION("""COMPUTED_VALUE"""),"kimberly.ball@studient.com")</f>
        <v>kimberly.ball@studient.com</v>
      </c>
      <c r="U5506" s="6" t="str">
        <f>IFERROR(__xludf.DUMMYFUNCTION("""COMPUTED_VALUE"""),"5")</f>
        <v>5</v>
      </c>
      <c r="V5506" s="6" t="str">
        <f>IFERROR(__xludf.DUMMYFUNCTION("""COMPUTED_VALUE"""),"")</f>
        <v/>
      </c>
      <c r="W5506" s="6" t="str">
        <f>IFERROR(__xludf.DUMMYFUNCTION("""COMPUTED_VALUE"""),"[]")</f>
        <v>[]</v>
      </c>
      <c r="X5506" s="6" t="str">
        <f>IFERROR(__xludf.DUMMYFUNCTION("""COMPUTED_VALUE"""),"Enrolled")</f>
        <v>Enrolled</v>
      </c>
    </row>
    <row r="5507">
      <c r="A5507" s="6" t="str">
        <f>IFERROR(__xludf.DUMMYFUNCTION("""COMPUTED_VALUE"""),"086-12898")</f>
        <v>086-12898</v>
      </c>
      <c r="B5507" s="6" t="str">
        <f>IFERROR(__xludf.DUMMYFUNCTION("""COMPUTED_VALUE"""),"86")</f>
        <v>86</v>
      </c>
      <c r="C5507" s="6" t="str">
        <f>IFERROR(__xludf.DUMMYFUNCTION("""COMPUTED_VALUE"""),"12898")</f>
        <v>12898</v>
      </c>
      <c r="D5507" s="6" t="str">
        <f>IFERROR(__xludf.DUMMYFUNCTION("""COMPUTED_VALUE"""),"Matias")</f>
        <v>Matias</v>
      </c>
      <c r="E5507" s="6" t="str">
        <f>IFERROR(__xludf.DUMMYFUNCTION("""COMPUTED_VALUE"""),"")</f>
        <v/>
      </c>
      <c r="F5507" s="6" t="str">
        <f>IFERROR(__xludf.DUMMYFUNCTION("""COMPUTED_VALUE"""),"Torreblanca-Angel")</f>
        <v>Torreblanca-Angel</v>
      </c>
      <c r="G5507" s="6" t="str">
        <f>IFERROR(__xludf.DUMMYFUNCTION("""COMPUTED_VALUE"""),"08/20/2016")</f>
        <v>08/20/2016</v>
      </c>
      <c r="H5507" s="6" t="str">
        <f>IFERROR(__xludf.DUMMYFUNCTION("""COMPUTED_VALUE"""),"male")</f>
        <v>male</v>
      </c>
      <c r="I5507" s="6" t="str">
        <f>IFERROR(__xludf.DUMMYFUNCTION("""COMPUTED_VALUE"""),"Level 2")</f>
        <v>Level 2</v>
      </c>
      <c r="J5507" s="6" t="str">
        <f>IFERROR(__xludf.DUMMYFUNCTION("""COMPUTED_VALUE"""),"5")</f>
        <v>5</v>
      </c>
      <c r="K5507" s="6" t="str">
        <f>IFERROR(__xludf.DUMMYFUNCTION("""COMPUTED_VALUE"""),"matias.torreblanca-angel@2hourlearning.com")</f>
        <v>matias.torreblanca-angel@2hourlearning.com</v>
      </c>
      <c r="L5507" s="6" t="str">
        <f>IFERROR(__xludf.DUMMYFUNCTION("""COMPUTED_VALUE"""),"JRES - Ridgeland Elementary School")</f>
        <v>JRES - Ridgeland Elementary School</v>
      </c>
      <c r="M5507" s="6" t="str">
        <f>IFERROR(__xludf.DUMMYFUNCTION("""COMPUTED_VALUE"""),"")</f>
        <v/>
      </c>
      <c r="N5507" s="6" t="str">
        <f>IFERROR(__xludf.DUMMYFUNCTION("""COMPUTED_VALUE"""),"")</f>
        <v/>
      </c>
      <c r="O5507" s="87" t="str">
        <f>IFERROR(__xludf.DUMMYFUNCTION("""COMPUTED_VALUE"""),"https://drive.google.com/drive/folders/10T2cTQHqEJZqE-st6uFKPoI?usp=share_link")</f>
        <v>https://drive.google.com/drive/folders/10T2cTQHqEJZqE-st6uFKPoI?usp=share_link</v>
      </c>
      <c r="P5507" s="6" t="str">
        <f>IFERROR(__xludf.DUMMYFUNCTION("""COMPUTED_VALUE"""),"Matias Torreblanca-Angel")</f>
        <v>Matias Torreblanca-Angel</v>
      </c>
      <c r="Q5507" s="6" t="str">
        <f>IFERROR(__xludf.DUMMYFUNCTION("""COMPUTED_VALUE"""),"L2")</f>
        <v>L2</v>
      </c>
      <c r="R5507" s="6">
        <f>IFERROR(__xludf.DUMMYFUNCTION("""COMPUTED_VALUE"""),2.0)</f>
        <v>2</v>
      </c>
      <c r="S5507" s="6" t="str">
        <f>IFERROR(__xludf.DUMMYFUNCTION("""COMPUTED_VALUE"""),"Kimberly Ball")</f>
        <v>Kimberly Ball</v>
      </c>
      <c r="T5507" s="6" t="str">
        <f>IFERROR(__xludf.DUMMYFUNCTION("""COMPUTED_VALUE"""),"kimberly.ball@studient.com")</f>
        <v>kimberly.ball@studient.com</v>
      </c>
      <c r="U5507" s="6" t="str">
        <f>IFERROR(__xludf.DUMMYFUNCTION("""COMPUTED_VALUE"""),"5")</f>
        <v>5</v>
      </c>
      <c r="V5507" s="6" t="str">
        <f>IFERROR(__xludf.DUMMYFUNCTION("""COMPUTED_VALUE"""),"")</f>
        <v/>
      </c>
      <c r="W5507" s="6" t="str">
        <f>IFERROR(__xludf.DUMMYFUNCTION("""COMPUTED_VALUE"""),"[]")</f>
        <v>[]</v>
      </c>
      <c r="X5507" s="6" t="str">
        <f>IFERROR(__xludf.DUMMYFUNCTION("""COMPUTED_VALUE"""),"Enrolled")</f>
        <v>Enrolled</v>
      </c>
    </row>
    <row r="5508">
      <c r="A5508" s="6" t="str">
        <f>IFERROR(__xludf.DUMMYFUNCTION("""COMPUTED_VALUE"""),"086-12899")</f>
        <v>086-12899</v>
      </c>
      <c r="B5508" s="6" t="str">
        <f>IFERROR(__xludf.DUMMYFUNCTION("""COMPUTED_VALUE"""),"86")</f>
        <v>86</v>
      </c>
      <c r="C5508" s="6" t="str">
        <f>IFERROR(__xludf.DUMMYFUNCTION("""COMPUTED_VALUE"""),"12899")</f>
        <v>12899</v>
      </c>
      <c r="D5508" s="6" t="str">
        <f>IFERROR(__xludf.DUMMYFUNCTION("""COMPUTED_VALUE"""),"Nathan")</f>
        <v>Nathan</v>
      </c>
      <c r="E5508" s="6" t="str">
        <f>IFERROR(__xludf.DUMMYFUNCTION("""COMPUTED_VALUE"""),"")</f>
        <v/>
      </c>
      <c r="F5508" s="6" t="str">
        <f>IFERROR(__xludf.DUMMYFUNCTION("""COMPUTED_VALUE"""),"Torres-Cordova")</f>
        <v>Torres-Cordova</v>
      </c>
      <c r="G5508" s="6" t="str">
        <f>IFERROR(__xludf.DUMMYFUNCTION("""COMPUTED_VALUE"""),"12/08/2016")</f>
        <v>12/08/2016</v>
      </c>
      <c r="H5508" s="6" t="str">
        <f>IFERROR(__xludf.DUMMYFUNCTION("""COMPUTED_VALUE"""),"male")</f>
        <v>male</v>
      </c>
      <c r="I5508" s="6" t="str">
        <f>IFERROR(__xludf.DUMMYFUNCTION("""COMPUTED_VALUE"""),"Level 2")</f>
        <v>Level 2</v>
      </c>
      <c r="J5508" s="6" t="str">
        <f>IFERROR(__xludf.DUMMYFUNCTION("""COMPUTED_VALUE"""),"5")</f>
        <v>5</v>
      </c>
      <c r="K5508" s="6" t="str">
        <f>IFERROR(__xludf.DUMMYFUNCTION("""COMPUTED_VALUE"""),"nathan.torres-cordova@2hourlearning.com")</f>
        <v>nathan.torres-cordova@2hourlearning.com</v>
      </c>
      <c r="L5508" s="6" t="str">
        <f>IFERROR(__xludf.DUMMYFUNCTION("""COMPUTED_VALUE"""),"JRES - Ridgeland Elementary School")</f>
        <v>JRES - Ridgeland Elementary School</v>
      </c>
      <c r="M5508" s="6" t="str">
        <f>IFERROR(__xludf.DUMMYFUNCTION("""COMPUTED_VALUE"""),"")</f>
        <v/>
      </c>
      <c r="N5508" s="6" t="str">
        <f>IFERROR(__xludf.DUMMYFUNCTION("""COMPUTED_VALUE"""),"")</f>
        <v/>
      </c>
      <c r="O5508" s="87" t="str">
        <f>IFERROR(__xludf.DUMMYFUNCTION("""COMPUTED_VALUE"""),"https://drive.google.com/drive/folders/10T2cTQHqEJZqE-st6uFKPoI?usp=share_link")</f>
        <v>https://drive.google.com/drive/folders/10T2cTQHqEJZqE-st6uFKPoI?usp=share_link</v>
      </c>
      <c r="P5508" s="6" t="str">
        <f>IFERROR(__xludf.DUMMYFUNCTION("""COMPUTED_VALUE"""),"Nathan Torres-Cordova")</f>
        <v>Nathan Torres-Cordova</v>
      </c>
      <c r="Q5508" s="6" t="str">
        <f>IFERROR(__xludf.DUMMYFUNCTION("""COMPUTED_VALUE"""),"L2")</f>
        <v>L2</v>
      </c>
      <c r="R5508" s="6">
        <f>IFERROR(__xludf.DUMMYFUNCTION("""COMPUTED_VALUE"""),2.0)</f>
        <v>2</v>
      </c>
      <c r="S5508" s="6" t="str">
        <f>IFERROR(__xludf.DUMMYFUNCTION("""COMPUTED_VALUE"""),"Kimberly Ball")</f>
        <v>Kimberly Ball</v>
      </c>
      <c r="T5508" s="6" t="str">
        <f>IFERROR(__xludf.DUMMYFUNCTION("""COMPUTED_VALUE"""),"kimberly.ball@studient.com")</f>
        <v>kimberly.ball@studient.com</v>
      </c>
      <c r="U5508" s="6" t="str">
        <f>IFERROR(__xludf.DUMMYFUNCTION("""COMPUTED_VALUE"""),"5")</f>
        <v>5</v>
      </c>
      <c r="V5508" s="6" t="str">
        <f>IFERROR(__xludf.DUMMYFUNCTION("""COMPUTED_VALUE"""),"")</f>
        <v/>
      </c>
      <c r="W5508" s="6" t="str">
        <f>IFERROR(__xludf.DUMMYFUNCTION("""COMPUTED_VALUE"""),"[]")</f>
        <v>[]</v>
      </c>
      <c r="X5508" s="6" t="str">
        <f>IFERROR(__xludf.DUMMYFUNCTION("""COMPUTED_VALUE"""),"Enrolled")</f>
        <v>Enrolled</v>
      </c>
    </row>
    <row r="5509">
      <c r="A5509" s="6" t="str">
        <f>IFERROR(__xludf.DUMMYFUNCTION("""COMPUTED_VALUE"""),"086-12900")</f>
        <v>086-12900</v>
      </c>
      <c r="B5509" s="6" t="str">
        <f>IFERROR(__xludf.DUMMYFUNCTION("""COMPUTED_VALUE"""),"86")</f>
        <v>86</v>
      </c>
      <c r="C5509" s="6" t="str">
        <f>IFERROR(__xludf.DUMMYFUNCTION("""COMPUTED_VALUE"""),"12900")</f>
        <v>12900</v>
      </c>
      <c r="D5509" s="6" t="str">
        <f>IFERROR(__xludf.DUMMYFUNCTION("""COMPUTED_VALUE"""),"Jovvani")</f>
        <v>Jovvani</v>
      </c>
      <c r="E5509" s="6" t="str">
        <f>IFERROR(__xludf.DUMMYFUNCTION("""COMPUTED_VALUE"""),"")</f>
        <v/>
      </c>
      <c r="F5509" s="6" t="str">
        <f>IFERROR(__xludf.DUMMYFUNCTION("""COMPUTED_VALUE"""),"Trujillo")</f>
        <v>Trujillo</v>
      </c>
      <c r="G5509" s="6" t="str">
        <f>IFERROR(__xludf.DUMMYFUNCTION("""COMPUTED_VALUE"""),"08/29/2018")</f>
        <v>08/29/2018</v>
      </c>
      <c r="H5509" s="6" t="str">
        <f>IFERROR(__xludf.DUMMYFUNCTION("""COMPUTED_VALUE"""),"female")</f>
        <v>female</v>
      </c>
      <c r="I5509" s="6" t="str">
        <f>IFERROR(__xludf.DUMMYFUNCTION("""COMPUTED_VALUE"""),"Level 2")</f>
        <v>Level 2</v>
      </c>
      <c r="J5509" s="6" t="str">
        <f>IFERROR(__xludf.DUMMYFUNCTION("""COMPUTED_VALUE"""),"5")</f>
        <v>5</v>
      </c>
      <c r="K5509" s="6" t="str">
        <f>IFERROR(__xludf.DUMMYFUNCTION("""COMPUTED_VALUE"""),"jovvani.trujillo@2hourlearning.com")</f>
        <v>jovvani.trujillo@2hourlearning.com</v>
      </c>
      <c r="L5509" s="6" t="str">
        <f>IFERROR(__xludf.DUMMYFUNCTION("""COMPUTED_VALUE"""),"JRES - Ridgeland Elementary School")</f>
        <v>JRES - Ridgeland Elementary School</v>
      </c>
      <c r="M5509" s="6" t="str">
        <f>IFERROR(__xludf.DUMMYFUNCTION("""COMPUTED_VALUE"""),"")</f>
        <v/>
      </c>
      <c r="N5509" s="6" t="str">
        <f>IFERROR(__xludf.DUMMYFUNCTION("""COMPUTED_VALUE"""),"")</f>
        <v/>
      </c>
      <c r="O5509" s="87" t="str">
        <f>IFERROR(__xludf.DUMMYFUNCTION("""COMPUTED_VALUE"""),"https://drive.google.com/drive/folders/10T2cTQHqEJZqE-st6uFKPoI?usp=share_link")</f>
        <v>https://drive.google.com/drive/folders/10T2cTQHqEJZqE-st6uFKPoI?usp=share_link</v>
      </c>
      <c r="P5509" s="6" t="str">
        <f>IFERROR(__xludf.DUMMYFUNCTION("""COMPUTED_VALUE"""),"Jovvani Trujillo")</f>
        <v>Jovvani Trujillo</v>
      </c>
      <c r="Q5509" s="6" t="str">
        <f>IFERROR(__xludf.DUMMYFUNCTION("""COMPUTED_VALUE"""),"L2")</f>
        <v>L2</v>
      </c>
      <c r="R5509" s="6">
        <f>IFERROR(__xludf.DUMMYFUNCTION("""COMPUTED_VALUE"""),2.0)</f>
        <v>2</v>
      </c>
      <c r="S5509" s="6" t="str">
        <f>IFERROR(__xludf.DUMMYFUNCTION("""COMPUTED_VALUE"""),"Kimberly Ball")</f>
        <v>Kimberly Ball</v>
      </c>
      <c r="T5509" s="6" t="str">
        <f>IFERROR(__xludf.DUMMYFUNCTION("""COMPUTED_VALUE"""),"kimberly.ball@studient.com")</f>
        <v>kimberly.ball@studient.com</v>
      </c>
      <c r="U5509" s="6" t="str">
        <f>IFERROR(__xludf.DUMMYFUNCTION("""COMPUTED_VALUE"""),"5")</f>
        <v>5</v>
      </c>
      <c r="V5509" s="6" t="str">
        <f>IFERROR(__xludf.DUMMYFUNCTION("""COMPUTED_VALUE"""),"")</f>
        <v/>
      </c>
      <c r="W5509" s="6" t="str">
        <f>IFERROR(__xludf.DUMMYFUNCTION("""COMPUTED_VALUE"""),"[]")</f>
        <v>[]</v>
      </c>
      <c r="X5509" s="6" t="str">
        <f>IFERROR(__xludf.DUMMYFUNCTION("""COMPUTED_VALUE"""),"Enrolled")</f>
        <v>Enrolled</v>
      </c>
    </row>
    <row r="5510">
      <c r="A5510" s="6" t="str">
        <f>IFERROR(__xludf.DUMMYFUNCTION("""COMPUTED_VALUE"""),"086-12901")</f>
        <v>086-12901</v>
      </c>
      <c r="B5510" s="6" t="str">
        <f>IFERROR(__xludf.DUMMYFUNCTION("""COMPUTED_VALUE"""),"86")</f>
        <v>86</v>
      </c>
      <c r="C5510" s="6" t="str">
        <f>IFERROR(__xludf.DUMMYFUNCTION("""COMPUTED_VALUE"""),"12901")</f>
        <v>12901</v>
      </c>
      <c r="D5510" s="6" t="str">
        <f>IFERROR(__xludf.DUMMYFUNCTION("""COMPUTED_VALUE"""),"Ricardo")</f>
        <v>Ricardo</v>
      </c>
      <c r="E5510" s="6" t="str">
        <f>IFERROR(__xludf.DUMMYFUNCTION("""COMPUTED_VALUE"""),"")</f>
        <v/>
      </c>
      <c r="F5510" s="6" t="str">
        <f>IFERROR(__xludf.DUMMYFUNCTION("""COMPUTED_VALUE"""),"Trujillo")</f>
        <v>Trujillo</v>
      </c>
      <c r="G5510" s="6" t="str">
        <f>IFERROR(__xludf.DUMMYFUNCTION("""COMPUTED_VALUE"""),"10/10/2014")</f>
        <v>10/10/2014</v>
      </c>
      <c r="H5510" s="6" t="str">
        <f>IFERROR(__xludf.DUMMYFUNCTION("""COMPUTED_VALUE"""),"female")</f>
        <v>female</v>
      </c>
      <c r="I5510" s="6" t="str">
        <f>IFERROR(__xludf.DUMMYFUNCTION("""COMPUTED_VALUE"""),"Level 2")</f>
        <v>Level 2</v>
      </c>
      <c r="J5510" s="6" t="str">
        <f>IFERROR(__xludf.DUMMYFUNCTION("""COMPUTED_VALUE"""),"5")</f>
        <v>5</v>
      </c>
      <c r="K5510" s="6" t="str">
        <f>IFERROR(__xludf.DUMMYFUNCTION("""COMPUTED_VALUE"""),"ricardo.trujillo@2hourlearning.com")</f>
        <v>ricardo.trujillo@2hourlearning.com</v>
      </c>
      <c r="L5510" s="6" t="str">
        <f>IFERROR(__xludf.DUMMYFUNCTION("""COMPUTED_VALUE"""),"JRES - Ridgeland Elementary School")</f>
        <v>JRES - Ridgeland Elementary School</v>
      </c>
      <c r="M5510" s="6" t="str">
        <f>IFERROR(__xludf.DUMMYFUNCTION("""COMPUTED_VALUE"""),"")</f>
        <v/>
      </c>
      <c r="N5510" s="6" t="str">
        <f>IFERROR(__xludf.DUMMYFUNCTION("""COMPUTED_VALUE"""),"")</f>
        <v/>
      </c>
      <c r="O5510" s="87" t="str">
        <f>IFERROR(__xludf.DUMMYFUNCTION("""COMPUTED_VALUE"""),"https://drive.google.com/drive/folders/10T2cTQHqEJZqE-st6uFKPoI?usp=share_link")</f>
        <v>https://drive.google.com/drive/folders/10T2cTQHqEJZqE-st6uFKPoI?usp=share_link</v>
      </c>
      <c r="P5510" s="6" t="str">
        <f>IFERROR(__xludf.DUMMYFUNCTION("""COMPUTED_VALUE"""),"Ricardo Trujillo")</f>
        <v>Ricardo Trujillo</v>
      </c>
      <c r="Q5510" s="6" t="str">
        <f>IFERROR(__xludf.DUMMYFUNCTION("""COMPUTED_VALUE"""),"L2")</f>
        <v>L2</v>
      </c>
      <c r="R5510" s="6">
        <f>IFERROR(__xludf.DUMMYFUNCTION("""COMPUTED_VALUE"""),2.0)</f>
        <v>2</v>
      </c>
      <c r="S5510" s="6" t="str">
        <f>IFERROR(__xludf.DUMMYFUNCTION("""COMPUTED_VALUE"""),"Kimberly Ball")</f>
        <v>Kimberly Ball</v>
      </c>
      <c r="T5510" s="6" t="str">
        <f>IFERROR(__xludf.DUMMYFUNCTION("""COMPUTED_VALUE"""),"kimberly.ball@studient.com")</f>
        <v>kimberly.ball@studient.com</v>
      </c>
      <c r="U5510" s="6" t="str">
        <f>IFERROR(__xludf.DUMMYFUNCTION("""COMPUTED_VALUE"""),"5")</f>
        <v>5</v>
      </c>
      <c r="V5510" s="6" t="str">
        <f>IFERROR(__xludf.DUMMYFUNCTION("""COMPUTED_VALUE"""),"")</f>
        <v/>
      </c>
      <c r="W5510" s="6" t="str">
        <f>IFERROR(__xludf.DUMMYFUNCTION("""COMPUTED_VALUE"""),"[]")</f>
        <v>[]</v>
      </c>
      <c r="X5510" s="6" t="str">
        <f>IFERROR(__xludf.DUMMYFUNCTION("""COMPUTED_VALUE"""),"Enrolled")</f>
        <v>Enrolled</v>
      </c>
    </row>
    <row r="5511">
      <c r="A5511" s="6" t="str">
        <f>IFERROR(__xludf.DUMMYFUNCTION("""COMPUTED_VALUE"""),"086-12902")</f>
        <v>086-12902</v>
      </c>
      <c r="B5511" s="6" t="str">
        <f>IFERROR(__xludf.DUMMYFUNCTION("""COMPUTED_VALUE"""),"86")</f>
        <v>86</v>
      </c>
      <c r="C5511" s="6" t="str">
        <f>IFERROR(__xludf.DUMMYFUNCTION("""COMPUTED_VALUE"""),"12902")</f>
        <v>12902</v>
      </c>
      <c r="D5511" s="6" t="str">
        <f>IFERROR(__xludf.DUMMYFUNCTION("""COMPUTED_VALUE"""),"Katherine")</f>
        <v>Katherine</v>
      </c>
      <c r="E5511" s="6" t="str">
        <f>IFERROR(__xludf.DUMMYFUNCTION("""COMPUTED_VALUE"""),"")</f>
        <v/>
      </c>
      <c r="F5511" s="6" t="str">
        <f>IFERROR(__xludf.DUMMYFUNCTION("""COMPUTED_VALUE"""),"Vazquez Lira")</f>
        <v>Vazquez Lira</v>
      </c>
      <c r="G5511" s="6" t="str">
        <f>IFERROR(__xludf.DUMMYFUNCTION("""COMPUTED_VALUE"""),"02/24/2015")</f>
        <v>02/24/2015</v>
      </c>
      <c r="H5511" s="6" t="str">
        <f>IFERROR(__xludf.DUMMYFUNCTION("""COMPUTED_VALUE"""),"male")</f>
        <v>male</v>
      </c>
      <c r="I5511" s="6" t="str">
        <f>IFERROR(__xludf.DUMMYFUNCTION("""COMPUTED_VALUE"""),"Level 2")</f>
        <v>Level 2</v>
      </c>
      <c r="J5511" s="6" t="str">
        <f>IFERROR(__xludf.DUMMYFUNCTION("""COMPUTED_VALUE"""),"5")</f>
        <v>5</v>
      </c>
      <c r="K5511" s="6" t="str">
        <f>IFERROR(__xludf.DUMMYFUNCTION("""COMPUTED_VALUE"""),"katherine.vazquezlira@2hourlearning.com")</f>
        <v>katherine.vazquezlira@2hourlearning.com</v>
      </c>
      <c r="L5511" s="6" t="str">
        <f>IFERROR(__xludf.DUMMYFUNCTION("""COMPUTED_VALUE"""),"JRES - Ridgeland Elementary School")</f>
        <v>JRES - Ridgeland Elementary School</v>
      </c>
      <c r="M5511" s="6" t="str">
        <f>IFERROR(__xludf.DUMMYFUNCTION("""COMPUTED_VALUE"""),"")</f>
        <v/>
      </c>
      <c r="N5511" s="6" t="str">
        <f>IFERROR(__xludf.DUMMYFUNCTION("""COMPUTED_VALUE"""),"")</f>
        <v/>
      </c>
      <c r="O5511" s="87" t="str">
        <f>IFERROR(__xludf.DUMMYFUNCTION("""COMPUTED_VALUE"""),"https://drive.google.com/drive/folders/10T2cTQHqEJZqE-st6uFKPoI?usp=share_link")</f>
        <v>https://drive.google.com/drive/folders/10T2cTQHqEJZqE-st6uFKPoI?usp=share_link</v>
      </c>
      <c r="P5511" s="6" t="str">
        <f>IFERROR(__xludf.DUMMYFUNCTION("""COMPUTED_VALUE"""),"Katherine Vazquez Lira")</f>
        <v>Katherine Vazquez Lira</v>
      </c>
      <c r="Q5511" s="6" t="str">
        <f>IFERROR(__xludf.DUMMYFUNCTION("""COMPUTED_VALUE"""),"L2")</f>
        <v>L2</v>
      </c>
      <c r="R5511" s="6">
        <f>IFERROR(__xludf.DUMMYFUNCTION("""COMPUTED_VALUE"""),2.0)</f>
        <v>2</v>
      </c>
      <c r="S5511" s="6" t="str">
        <f>IFERROR(__xludf.DUMMYFUNCTION("""COMPUTED_VALUE"""),"Kimberly Ball")</f>
        <v>Kimberly Ball</v>
      </c>
      <c r="T5511" s="6" t="str">
        <f>IFERROR(__xludf.DUMMYFUNCTION("""COMPUTED_VALUE"""),"kimberly.ball@studient.com")</f>
        <v>kimberly.ball@studient.com</v>
      </c>
      <c r="U5511" s="6" t="str">
        <f>IFERROR(__xludf.DUMMYFUNCTION("""COMPUTED_VALUE"""),"5")</f>
        <v>5</v>
      </c>
      <c r="V5511" s="6" t="str">
        <f>IFERROR(__xludf.DUMMYFUNCTION("""COMPUTED_VALUE"""),"")</f>
        <v/>
      </c>
      <c r="W5511" s="6" t="str">
        <f>IFERROR(__xludf.DUMMYFUNCTION("""COMPUTED_VALUE"""),"[]")</f>
        <v>[]</v>
      </c>
      <c r="X5511" s="6" t="str">
        <f>IFERROR(__xludf.DUMMYFUNCTION("""COMPUTED_VALUE"""),"Enrolled")</f>
        <v>Enrolled</v>
      </c>
    </row>
    <row r="5512">
      <c r="A5512" s="6" t="str">
        <f>IFERROR(__xludf.DUMMYFUNCTION("""COMPUTED_VALUE"""),"086-12903")</f>
        <v>086-12903</v>
      </c>
      <c r="B5512" s="6" t="str">
        <f>IFERROR(__xludf.DUMMYFUNCTION("""COMPUTED_VALUE"""),"86")</f>
        <v>86</v>
      </c>
      <c r="C5512" s="6" t="str">
        <f>IFERROR(__xludf.DUMMYFUNCTION("""COMPUTED_VALUE"""),"12903")</f>
        <v>12903</v>
      </c>
      <c r="D5512" s="6" t="str">
        <f>IFERROR(__xludf.DUMMYFUNCTION("""COMPUTED_VALUE"""),"Sara")</f>
        <v>Sara</v>
      </c>
      <c r="E5512" s="6" t="str">
        <f>IFERROR(__xludf.DUMMYFUNCTION("""COMPUTED_VALUE"""),"")</f>
        <v/>
      </c>
      <c r="F5512" s="6" t="str">
        <f>IFERROR(__xludf.DUMMYFUNCTION("""COMPUTED_VALUE"""),"Velasquez Alvarado")</f>
        <v>Velasquez Alvarado</v>
      </c>
      <c r="G5512" s="6" t="str">
        <f>IFERROR(__xludf.DUMMYFUNCTION("""COMPUTED_VALUE"""),"12/31/2016")</f>
        <v>12/31/2016</v>
      </c>
      <c r="H5512" s="6" t="str">
        <f>IFERROR(__xludf.DUMMYFUNCTION("""COMPUTED_VALUE"""),"male")</f>
        <v>male</v>
      </c>
      <c r="I5512" s="6" t="str">
        <f>IFERROR(__xludf.DUMMYFUNCTION("""COMPUTED_VALUE"""),"Level 2")</f>
        <v>Level 2</v>
      </c>
      <c r="J5512" s="6" t="str">
        <f>IFERROR(__xludf.DUMMYFUNCTION("""COMPUTED_VALUE"""),"5")</f>
        <v>5</v>
      </c>
      <c r="K5512" s="6" t="str">
        <f>IFERROR(__xludf.DUMMYFUNCTION("""COMPUTED_VALUE"""),"sara.velasquezalvarado@2hourlearning.com")</f>
        <v>sara.velasquezalvarado@2hourlearning.com</v>
      </c>
      <c r="L5512" s="6" t="str">
        <f>IFERROR(__xludf.DUMMYFUNCTION("""COMPUTED_VALUE"""),"JRES - Ridgeland Elementary School")</f>
        <v>JRES - Ridgeland Elementary School</v>
      </c>
      <c r="M5512" s="6" t="str">
        <f>IFERROR(__xludf.DUMMYFUNCTION("""COMPUTED_VALUE"""),"")</f>
        <v/>
      </c>
      <c r="N5512" s="6" t="str">
        <f>IFERROR(__xludf.DUMMYFUNCTION("""COMPUTED_VALUE"""),"")</f>
        <v/>
      </c>
      <c r="O5512" s="87" t="str">
        <f>IFERROR(__xludf.DUMMYFUNCTION("""COMPUTED_VALUE"""),"https://drive.google.com/drive/folders/10T2cTQHqEJZqE-st6uFKPoI?usp=share_link")</f>
        <v>https://drive.google.com/drive/folders/10T2cTQHqEJZqE-st6uFKPoI?usp=share_link</v>
      </c>
      <c r="P5512" s="6" t="str">
        <f>IFERROR(__xludf.DUMMYFUNCTION("""COMPUTED_VALUE"""),"Sara Velasquez Alvarado")</f>
        <v>Sara Velasquez Alvarado</v>
      </c>
      <c r="Q5512" s="6" t="str">
        <f>IFERROR(__xludf.DUMMYFUNCTION("""COMPUTED_VALUE"""),"L2")</f>
        <v>L2</v>
      </c>
      <c r="R5512" s="6">
        <f>IFERROR(__xludf.DUMMYFUNCTION("""COMPUTED_VALUE"""),2.0)</f>
        <v>2</v>
      </c>
      <c r="S5512" s="6" t="str">
        <f>IFERROR(__xludf.DUMMYFUNCTION("""COMPUTED_VALUE"""),"Kimberly Ball")</f>
        <v>Kimberly Ball</v>
      </c>
      <c r="T5512" s="6" t="str">
        <f>IFERROR(__xludf.DUMMYFUNCTION("""COMPUTED_VALUE"""),"kimberly.ball@studient.com")</f>
        <v>kimberly.ball@studient.com</v>
      </c>
      <c r="U5512" s="6" t="str">
        <f>IFERROR(__xludf.DUMMYFUNCTION("""COMPUTED_VALUE"""),"5")</f>
        <v>5</v>
      </c>
      <c r="V5512" s="6" t="str">
        <f>IFERROR(__xludf.DUMMYFUNCTION("""COMPUTED_VALUE"""),"")</f>
        <v/>
      </c>
      <c r="W5512" s="6" t="str">
        <f>IFERROR(__xludf.DUMMYFUNCTION("""COMPUTED_VALUE"""),"[]")</f>
        <v>[]</v>
      </c>
      <c r="X5512" s="6" t="str">
        <f>IFERROR(__xludf.DUMMYFUNCTION("""COMPUTED_VALUE"""),"Enrolled")</f>
        <v>Enrolled</v>
      </c>
    </row>
    <row r="5513">
      <c r="A5513" s="6" t="str">
        <f>IFERROR(__xludf.DUMMYFUNCTION("""COMPUTED_VALUE"""),"086-12904")</f>
        <v>086-12904</v>
      </c>
      <c r="B5513" s="6" t="str">
        <f>IFERROR(__xludf.DUMMYFUNCTION("""COMPUTED_VALUE"""),"86")</f>
        <v>86</v>
      </c>
      <c r="C5513" s="6" t="str">
        <f>IFERROR(__xludf.DUMMYFUNCTION("""COMPUTED_VALUE"""),"12904")</f>
        <v>12904</v>
      </c>
      <c r="D5513" s="6" t="str">
        <f>IFERROR(__xludf.DUMMYFUNCTION("""COMPUTED_VALUE"""),"Arantza")</f>
        <v>Arantza</v>
      </c>
      <c r="E5513" s="6" t="str">
        <f>IFERROR(__xludf.DUMMYFUNCTION("""COMPUTED_VALUE"""),"")</f>
        <v/>
      </c>
      <c r="F5513" s="6" t="str">
        <f>IFERROR(__xludf.DUMMYFUNCTION("""COMPUTED_VALUE"""),"Villagomez Luquin")</f>
        <v>Villagomez Luquin</v>
      </c>
      <c r="G5513" s="6" t="str">
        <f>IFERROR(__xludf.DUMMYFUNCTION("""COMPUTED_VALUE"""),"10/30/2015")</f>
        <v>10/30/2015</v>
      </c>
      <c r="H5513" s="6" t="str">
        <f>IFERROR(__xludf.DUMMYFUNCTION("""COMPUTED_VALUE"""),"female")</f>
        <v>female</v>
      </c>
      <c r="I5513" s="6" t="str">
        <f>IFERROR(__xludf.DUMMYFUNCTION("""COMPUTED_VALUE"""),"Level 2")</f>
        <v>Level 2</v>
      </c>
      <c r="J5513" s="6" t="str">
        <f>IFERROR(__xludf.DUMMYFUNCTION("""COMPUTED_VALUE"""),"5")</f>
        <v>5</v>
      </c>
      <c r="K5513" s="6" t="str">
        <f>IFERROR(__xludf.DUMMYFUNCTION("""COMPUTED_VALUE"""),"arantza.villagomezluquin@2hourlearning.com")</f>
        <v>arantza.villagomezluquin@2hourlearning.com</v>
      </c>
      <c r="L5513" s="6" t="str">
        <f>IFERROR(__xludf.DUMMYFUNCTION("""COMPUTED_VALUE"""),"JRES - Ridgeland Elementary School")</f>
        <v>JRES - Ridgeland Elementary School</v>
      </c>
      <c r="M5513" s="6" t="str">
        <f>IFERROR(__xludf.DUMMYFUNCTION("""COMPUTED_VALUE"""),"")</f>
        <v/>
      </c>
      <c r="N5513" s="6" t="str">
        <f>IFERROR(__xludf.DUMMYFUNCTION("""COMPUTED_VALUE"""),"")</f>
        <v/>
      </c>
      <c r="O5513" s="87" t="str">
        <f>IFERROR(__xludf.DUMMYFUNCTION("""COMPUTED_VALUE"""),"https://drive.google.com/drive/folders/10T2cTQHqEJZqE-st6uFKPoI?usp=share_link")</f>
        <v>https://drive.google.com/drive/folders/10T2cTQHqEJZqE-st6uFKPoI?usp=share_link</v>
      </c>
      <c r="P5513" s="6" t="str">
        <f>IFERROR(__xludf.DUMMYFUNCTION("""COMPUTED_VALUE"""),"Arantza Villagomez Luquin")</f>
        <v>Arantza Villagomez Luquin</v>
      </c>
      <c r="Q5513" s="6" t="str">
        <f>IFERROR(__xludf.DUMMYFUNCTION("""COMPUTED_VALUE"""),"L2")</f>
        <v>L2</v>
      </c>
      <c r="R5513" s="6">
        <f>IFERROR(__xludf.DUMMYFUNCTION("""COMPUTED_VALUE"""),2.0)</f>
        <v>2</v>
      </c>
      <c r="S5513" s="6" t="str">
        <f>IFERROR(__xludf.DUMMYFUNCTION("""COMPUTED_VALUE"""),"Kimberly Ball")</f>
        <v>Kimberly Ball</v>
      </c>
      <c r="T5513" s="6" t="str">
        <f>IFERROR(__xludf.DUMMYFUNCTION("""COMPUTED_VALUE"""),"kimberly.ball@studient.com")</f>
        <v>kimberly.ball@studient.com</v>
      </c>
      <c r="U5513" s="6" t="str">
        <f>IFERROR(__xludf.DUMMYFUNCTION("""COMPUTED_VALUE"""),"5")</f>
        <v>5</v>
      </c>
      <c r="V5513" s="6" t="str">
        <f>IFERROR(__xludf.DUMMYFUNCTION("""COMPUTED_VALUE"""),"")</f>
        <v/>
      </c>
      <c r="W5513" s="6" t="str">
        <f>IFERROR(__xludf.DUMMYFUNCTION("""COMPUTED_VALUE"""),"[]")</f>
        <v>[]</v>
      </c>
      <c r="X5513" s="6" t="str">
        <f>IFERROR(__xludf.DUMMYFUNCTION("""COMPUTED_VALUE"""),"Enrolled")</f>
        <v>Enrolled</v>
      </c>
    </row>
    <row r="5514">
      <c r="A5514" s="6" t="str">
        <f>IFERROR(__xludf.DUMMYFUNCTION("""COMPUTED_VALUE"""),"086-12905")</f>
        <v>086-12905</v>
      </c>
      <c r="B5514" s="6" t="str">
        <f>IFERROR(__xludf.DUMMYFUNCTION("""COMPUTED_VALUE"""),"86")</f>
        <v>86</v>
      </c>
      <c r="C5514" s="6" t="str">
        <f>IFERROR(__xludf.DUMMYFUNCTION("""COMPUTED_VALUE"""),"12905")</f>
        <v>12905</v>
      </c>
      <c r="D5514" s="6" t="str">
        <f>IFERROR(__xludf.DUMMYFUNCTION("""COMPUTED_VALUE"""),"Jairmiah")</f>
        <v>Jairmiah</v>
      </c>
      <c r="E5514" s="6" t="str">
        <f>IFERROR(__xludf.DUMMYFUNCTION("""COMPUTED_VALUE"""),"")</f>
        <v/>
      </c>
      <c r="F5514" s="6" t="str">
        <f>IFERROR(__xludf.DUMMYFUNCTION("""COMPUTED_VALUE"""),"Walker")</f>
        <v>Walker</v>
      </c>
      <c r="G5514" s="6" t="str">
        <f>IFERROR(__xludf.DUMMYFUNCTION("""COMPUTED_VALUE"""),"06/21/2016")</f>
        <v>06/21/2016</v>
      </c>
      <c r="H5514" s="6" t="str">
        <f>IFERROR(__xludf.DUMMYFUNCTION("""COMPUTED_VALUE"""),"female")</f>
        <v>female</v>
      </c>
      <c r="I5514" s="6" t="str">
        <f>IFERROR(__xludf.DUMMYFUNCTION("""COMPUTED_VALUE"""),"Level 2")</f>
        <v>Level 2</v>
      </c>
      <c r="J5514" s="6" t="str">
        <f>IFERROR(__xludf.DUMMYFUNCTION("""COMPUTED_VALUE"""),"5")</f>
        <v>5</v>
      </c>
      <c r="K5514" s="6" t="str">
        <f>IFERROR(__xludf.DUMMYFUNCTION("""COMPUTED_VALUE"""),"jairmiah.walker@2hourlearning.com")</f>
        <v>jairmiah.walker@2hourlearning.com</v>
      </c>
      <c r="L5514" s="6" t="str">
        <f>IFERROR(__xludf.DUMMYFUNCTION("""COMPUTED_VALUE"""),"JRES - Ridgeland Elementary School")</f>
        <v>JRES - Ridgeland Elementary School</v>
      </c>
      <c r="M5514" s="6" t="str">
        <f>IFERROR(__xludf.DUMMYFUNCTION("""COMPUTED_VALUE"""),"")</f>
        <v/>
      </c>
      <c r="N5514" s="6" t="str">
        <f>IFERROR(__xludf.DUMMYFUNCTION("""COMPUTED_VALUE"""),"")</f>
        <v/>
      </c>
      <c r="O5514" s="87" t="str">
        <f>IFERROR(__xludf.DUMMYFUNCTION("""COMPUTED_VALUE"""),"https://drive.google.com/drive/folders/10T2cTQHqEJZqE-st6uFKPoI?usp=share_link")</f>
        <v>https://drive.google.com/drive/folders/10T2cTQHqEJZqE-st6uFKPoI?usp=share_link</v>
      </c>
      <c r="P5514" s="6" t="str">
        <f>IFERROR(__xludf.DUMMYFUNCTION("""COMPUTED_VALUE"""),"Jairmiah Walker")</f>
        <v>Jairmiah Walker</v>
      </c>
      <c r="Q5514" s="6" t="str">
        <f>IFERROR(__xludf.DUMMYFUNCTION("""COMPUTED_VALUE"""),"L2")</f>
        <v>L2</v>
      </c>
      <c r="R5514" s="6">
        <f>IFERROR(__xludf.DUMMYFUNCTION("""COMPUTED_VALUE"""),2.0)</f>
        <v>2</v>
      </c>
      <c r="S5514" s="6" t="str">
        <f>IFERROR(__xludf.DUMMYFUNCTION("""COMPUTED_VALUE"""),"Kimberly Ball")</f>
        <v>Kimberly Ball</v>
      </c>
      <c r="T5514" s="6" t="str">
        <f>IFERROR(__xludf.DUMMYFUNCTION("""COMPUTED_VALUE"""),"kimberly.ball@studient.com")</f>
        <v>kimberly.ball@studient.com</v>
      </c>
      <c r="U5514" s="6" t="str">
        <f>IFERROR(__xludf.DUMMYFUNCTION("""COMPUTED_VALUE"""),"5")</f>
        <v>5</v>
      </c>
      <c r="V5514" s="6" t="str">
        <f>IFERROR(__xludf.DUMMYFUNCTION("""COMPUTED_VALUE"""),"")</f>
        <v/>
      </c>
      <c r="W5514" s="6" t="str">
        <f>IFERROR(__xludf.DUMMYFUNCTION("""COMPUTED_VALUE"""),"[]")</f>
        <v>[]</v>
      </c>
      <c r="X5514" s="6" t="str">
        <f>IFERROR(__xludf.DUMMYFUNCTION("""COMPUTED_VALUE"""),"Enrolled")</f>
        <v>Enrolled</v>
      </c>
    </row>
    <row r="5515">
      <c r="A5515" s="6" t="str">
        <f>IFERROR(__xludf.DUMMYFUNCTION("""COMPUTED_VALUE"""),"086-12906")</f>
        <v>086-12906</v>
      </c>
      <c r="B5515" s="6" t="str">
        <f>IFERROR(__xludf.DUMMYFUNCTION("""COMPUTED_VALUE"""),"86")</f>
        <v>86</v>
      </c>
      <c r="C5515" s="6" t="str">
        <f>IFERROR(__xludf.DUMMYFUNCTION("""COMPUTED_VALUE"""),"12906")</f>
        <v>12906</v>
      </c>
      <c r="D5515" s="6" t="str">
        <f>IFERROR(__xludf.DUMMYFUNCTION("""COMPUTED_VALUE"""),"Elijah")</f>
        <v>Elijah</v>
      </c>
      <c r="E5515" s="6" t="str">
        <f>IFERROR(__xludf.DUMMYFUNCTION("""COMPUTED_VALUE"""),"")</f>
        <v/>
      </c>
      <c r="F5515" s="6" t="str">
        <f>IFERROR(__xludf.DUMMYFUNCTION("""COMPUTED_VALUE"""),"Waller")</f>
        <v>Waller</v>
      </c>
      <c r="G5515" s="6" t="str">
        <f>IFERROR(__xludf.DUMMYFUNCTION("""COMPUTED_VALUE"""),"05/01/2014")</f>
        <v>05/01/2014</v>
      </c>
      <c r="H5515" s="6" t="str">
        <f>IFERROR(__xludf.DUMMYFUNCTION("""COMPUTED_VALUE"""),"male")</f>
        <v>male</v>
      </c>
      <c r="I5515" s="6" t="str">
        <f>IFERROR(__xludf.DUMMYFUNCTION("""COMPUTED_VALUE"""),"Level 2")</f>
        <v>Level 2</v>
      </c>
      <c r="J5515" s="6" t="str">
        <f>IFERROR(__xludf.DUMMYFUNCTION("""COMPUTED_VALUE"""),"5")</f>
        <v>5</v>
      </c>
      <c r="K5515" s="6" t="str">
        <f>IFERROR(__xludf.DUMMYFUNCTION("""COMPUTED_VALUE"""),"elijah.waller@2hourlearning.com")</f>
        <v>elijah.waller@2hourlearning.com</v>
      </c>
      <c r="L5515" s="6" t="str">
        <f>IFERROR(__xludf.DUMMYFUNCTION("""COMPUTED_VALUE"""),"JRES - Ridgeland Elementary School")</f>
        <v>JRES - Ridgeland Elementary School</v>
      </c>
      <c r="M5515" s="6" t="str">
        <f>IFERROR(__xludf.DUMMYFUNCTION("""COMPUTED_VALUE"""),"")</f>
        <v/>
      </c>
      <c r="N5515" s="6" t="str">
        <f>IFERROR(__xludf.DUMMYFUNCTION("""COMPUTED_VALUE"""),"")</f>
        <v/>
      </c>
      <c r="O5515" s="87" t="str">
        <f>IFERROR(__xludf.DUMMYFUNCTION("""COMPUTED_VALUE"""),"https://drive.google.com/drive/folders/10T2cTQHqEJZqE-st6uFKPoI?usp=share_link")</f>
        <v>https://drive.google.com/drive/folders/10T2cTQHqEJZqE-st6uFKPoI?usp=share_link</v>
      </c>
      <c r="P5515" s="6" t="str">
        <f>IFERROR(__xludf.DUMMYFUNCTION("""COMPUTED_VALUE"""),"Elijah Waller")</f>
        <v>Elijah Waller</v>
      </c>
      <c r="Q5515" s="6" t="str">
        <f>IFERROR(__xludf.DUMMYFUNCTION("""COMPUTED_VALUE"""),"L2")</f>
        <v>L2</v>
      </c>
      <c r="R5515" s="6">
        <f>IFERROR(__xludf.DUMMYFUNCTION("""COMPUTED_VALUE"""),2.0)</f>
        <v>2</v>
      </c>
      <c r="S5515" s="6" t="str">
        <f>IFERROR(__xludf.DUMMYFUNCTION("""COMPUTED_VALUE"""),"Kimberly Ball")</f>
        <v>Kimberly Ball</v>
      </c>
      <c r="T5515" s="6" t="str">
        <f>IFERROR(__xludf.DUMMYFUNCTION("""COMPUTED_VALUE"""),"kimberly.ball@studient.com")</f>
        <v>kimberly.ball@studient.com</v>
      </c>
      <c r="U5515" s="6" t="str">
        <f>IFERROR(__xludf.DUMMYFUNCTION("""COMPUTED_VALUE"""),"5")</f>
        <v>5</v>
      </c>
      <c r="V5515" s="6" t="str">
        <f>IFERROR(__xludf.DUMMYFUNCTION("""COMPUTED_VALUE"""),"")</f>
        <v/>
      </c>
      <c r="W5515" s="6" t="str">
        <f>IFERROR(__xludf.DUMMYFUNCTION("""COMPUTED_VALUE"""),"[]")</f>
        <v>[]</v>
      </c>
      <c r="X5515" s="6" t="str">
        <f>IFERROR(__xludf.DUMMYFUNCTION("""COMPUTED_VALUE"""),"Enrolled")</f>
        <v>Enrolled</v>
      </c>
    </row>
    <row r="5516">
      <c r="A5516" s="6" t="str">
        <f>IFERROR(__xludf.DUMMYFUNCTION("""COMPUTED_VALUE"""),"086-12907")</f>
        <v>086-12907</v>
      </c>
      <c r="B5516" s="6" t="str">
        <f>IFERROR(__xludf.DUMMYFUNCTION("""COMPUTED_VALUE"""),"86")</f>
        <v>86</v>
      </c>
      <c r="C5516" s="6" t="str">
        <f>IFERROR(__xludf.DUMMYFUNCTION("""COMPUTED_VALUE"""),"12907")</f>
        <v>12907</v>
      </c>
      <c r="D5516" s="6" t="str">
        <f>IFERROR(__xludf.DUMMYFUNCTION("""COMPUTED_VALUE"""),"Ashton")</f>
        <v>Ashton</v>
      </c>
      <c r="E5516" s="6" t="str">
        <f>IFERROR(__xludf.DUMMYFUNCTION("""COMPUTED_VALUE"""),"")</f>
        <v/>
      </c>
      <c r="F5516" s="6" t="str">
        <f>IFERROR(__xludf.DUMMYFUNCTION("""COMPUTED_VALUE"""),"Washington")</f>
        <v>Washington</v>
      </c>
      <c r="G5516" s="6" t="str">
        <f>IFERROR(__xludf.DUMMYFUNCTION("""COMPUTED_VALUE"""),"01/18/2016")</f>
        <v>01/18/2016</v>
      </c>
      <c r="H5516" s="6" t="str">
        <f>IFERROR(__xludf.DUMMYFUNCTION("""COMPUTED_VALUE"""),"female")</f>
        <v>female</v>
      </c>
      <c r="I5516" s="6" t="str">
        <f>IFERROR(__xludf.DUMMYFUNCTION("""COMPUTED_VALUE"""),"Level 2")</f>
        <v>Level 2</v>
      </c>
      <c r="J5516" s="6" t="str">
        <f>IFERROR(__xludf.DUMMYFUNCTION("""COMPUTED_VALUE"""),"5")</f>
        <v>5</v>
      </c>
      <c r="K5516" s="6" t="str">
        <f>IFERROR(__xludf.DUMMYFUNCTION("""COMPUTED_VALUE"""),"ashton.washington@2hourlearning.com")</f>
        <v>ashton.washington@2hourlearning.com</v>
      </c>
      <c r="L5516" s="6" t="str">
        <f>IFERROR(__xludf.DUMMYFUNCTION("""COMPUTED_VALUE"""),"JRES - Ridgeland Elementary School")</f>
        <v>JRES - Ridgeland Elementary School</v>
      </c>
      <c r="M5516" s="6" t="str">
        <f>IFERROR(__xludf.DUMMYFUNCTION("""COMPUTED_VALUE"""),"")</f>
        <v/>
      </c>
      <c r="N5516" s="6" t="str">
        <f>IFERROR(__xludf.DUMMYFUNCTION("""COMPUTED_VALUE"""),"")</f>
        <v/>
      </c>
      <c r="O5516" s="87" t="str">
        <f>IFERROR(__xludf.DUMMYFUNCTION("""COMPUTED_VALUE"""),"https://drive.google.com/drive/folders/10T2cTQHqEJZqE-st6uFKPoI?usp=share_link")</f>
        <v>https://drive.google.com/drive/folders/10T2cTQHqEJZqE-st6uFKPoI?usp=share_link</v>
      </c>
      <c r="P5516" s="6" t="str">
        <f>IFERROR(__xludf.DUMMYFUNCTION("""COMPUTED_VALUE"""),"Ashton Washington")</f>
        <v>Ashton Washington</v>
      </c>
      <c r="Q5516" s="6" t="str">
        <f>IFERROR(__xludf.DUMMYFUNCTION("""COMPUTED_VALUE"""),"L2")</f>
        <v>L2</v>
      </c>
      <c r="R5516" s="6">
        <f>IFERROR(__xludf.DUMMYFUNCTION("""COMPUTED_VALUE"""),2.0)</f>
        <v>2</v>
      </c>
      <c r="S5516" s="6" t="str">
        <f>IFERROR(__xludf.DUMMYFUNCTION("""COMPUTED_VALUE"""),"Kimberly Ball")</f>
        <v>Kimberly Ball</v>
      </c>
      <c r="T5516" s="6" t="str">
        <f>IFERROR(__xludf.DUMMYFUNCTION("""COMPUTED_VALUE"""),"kimberly.ball@studient.com")</f>
        <v>kimberly.ball@studient.com</v>
      </c>
      <c r="U5516" s="6" t="str">
        <f>IFERROR(__xludf.DUMMYFUNCTION("""COMPUTED_VALUE"""),"5")</f>
        <v>5</v>
      </c>
      <c r="V5516" s="6" t="str">
        <f>IFERROR(__xludf.DUMMYFUNCTION("""COMPUTED_VALUE"""),"")</f>
        <v/>
      </c>
      <c r="W5516" s="6" t="str">
        <f>IFERROR(__xludf.DUMMYFUNCTION("""COMPUTED_VALUE"""),"[]")</f>
        <v>[]</v>
      </c>
      <c r="X5516" s="6" t="str">
        <f>IFERROR(__xludf.DUMMYFUNCTION("""COMPUTED_VALUE"""),"Enrolled")</f>
        <v>Enrolled</v>
      </c>
    </row>
    <row r="5517">
      <c r="A5517" s="6" t="str">
        <f>IFERROR(__xludf.DUMMYFUNCTION("""COMPUTED_VALUE"""),"086-12908")</f>
        <v>086-12908</v>
      </c>
      <c r="B5517" s="6" t="str">
        <f>IFERROR(__xludf.DUMMYFUNCTION("""COMPUTED_VALUE"""),"86")</f>
        <v>86</v>
      </c>
      <c r="C5517" s="6" t="str">
        <f>IFERROR(__xludf.DUMMYFUNCTION("""COMPUTED_VALUE"""),"12908")</f>
        <v>12908</v>
      </c>
      <c r="D5517" s="6" t="str">
        <f>IFERROR(__xludf.DUMMYFUNCTION("""COMPUTED_VALUE"""),"Camron")</f>
        <v>Camron</v>
      </c>
      <c r="E5517" s="6" t="str">
        <f>IFERROR(__xludf.DUMMYFUNCTION("""COMPUTED_VALUE"""),"")</f>
        <v/>
      </c>
      <c r="F5517" s="6" t="str">
        <f>IFERROR(__xludf.DUMMYFUNCTION("""COMPUTED_VALUE"""),"Weaver")</f>
        <v>Weaver</v>
      </c>
      <c r="G5517" s="6" t="str">
        <f>IFERROR(__xludf.DUMMYFUNCTION("""COMPUTED_VALUE"""),"01/15/2018")</f>
        <v>01/15/2018</v>
      </c>
      <c r="H5517" s="6" t="str">
        <f>IFERROR(__xludf.DUMMYFUNCTION("""COMPUTED_VALUE"""),"male")</f>
        <v>male</v>
      </c>
      <c r="I5517" s="6" t="str">
        <f>IFERROR(__xludf.DUMMYFUNCTION("""COMPUTED_VALUE"""),"Level 2")</f>
        <v>Level 2</v>
      </c>
      <c r="J5517" s="6" t="str">
        <f>IFERROR(__xludf.DUMMYFUNCTION("""COMPUTED_VALUE"""),"5")</f>
        <v>5</v>
      </c>
      <c r="K5517" s="6" t="str">
        <f>IFERROR(__xludf.DUMMYFUNCTION("""COMPUTED_VALUE"""),"camron.weaver@2hourlearning.com")</f>
        <v>camron.weaver@2hourlearning.com</v>
      </c>
      <c r="L5517" s="6" t="str">
        <f>IFERROR(__xludf.DUMMYFUNCTION("""COMPUTED_VALUE"""),"JRES - Ridgeland Elementary School")</f>
        <v>JRES - Ridgeland Elementary School</v>
      </c>
      <c r="M5517" s="6" t="str">
        <f>IFERROR(__xludf.DUMMYFUNCTION("""COMPUTED_VALUE"""),"")</f>
        <v/>
      </c>
      <c r="N5517" s="6" t="str">
        <f>IFERROR(__xludf.DUMMYFUNCTION("""COMPUTED_VALUE"""),"")</f>
        <v/>
      </c>
      <c r="O5517" s="87" t="str">
        <f>IFERROR(__xludf.DUMMYFUNCTION("""COMPUTED_VALUE"""),"https://drive.google.com/drive/folders/10T2cTQHqEJZqE-st6uFKPoI?usp=share_link")</f>
        <v>https://drive.google.com/drive/folders/10T2cTQHqEJZqE-st6uFKPoI?usp=share_link</v>
      </c>
      <c r="P5517" s="6" t="str">
        <f>IFERROR(__xludf.DUMMYFUNCTION("""COMPUTED_VALUE"""),"Camron Weaver")</f>
        <v>Camron Weaver</v>
      </c>
      <c r="Q5517" s="6" t="str">
        <f>IFERROR(__xludf.DUMMYFUNCTION("""COMPUTED_VALUE"""),"L2")</f>
        <v>L2</v>
      </c>
      <c r="R5517" s="6">
        <f>IFERROR(__xludf.DUMMYFUNCTION("""COMPUTED_VALUE"""),2.0)</f>
        <v>2</v>
      </c>
      <c r="S5517" s="6" t="str">
        <f>IFERROR(__xludf.DUMMYFUNCTION("""COMPUTED_VALUE"""),"Kimberly Ball")</f>
        <v>Kimberly Ball</v>
      </c>
      <c r="T5517" s="6" t="str">
        <f>IFERROR(__xludf.DUMMYFUNCTION("""COMPUTED_VALUE"""),"kimberly.ball@studient.com")</f>
        <v>kimberly.ball@studient.com</v>
      </c>
      <c r="U5517" s="6" t="str">
        <f>IFERROR(__xludf.DUMMYFUNCTION("""COMPUTED_VALUE"""),"5")</f>
        <v>5</v>
      </c>
      <c r="V5517" s="6" t="str">
        <f>IFERROR(__xludf.DUMMYFUNCTION("""COMPUTED_VALUE"""),"")</f>
        <v/>
      </c>
      <c r="W5517" s="6" t="str">
        <f>IFERROR(__xludf.DUMMYFUNCTION("""COMPUTED_VALUE"""),"[]")</f>
        <v>[]</v>
      </c>
      <c r="X5517" s="6" t="str">
        <f>IFERROR(__xludf.DUMMYFUNCTION("""COMPUTED_VALUE"""),"Enrolled")</f>
        <v>Enrolled</v>
      </c>
    </row>
    <row r="5518">
      <c r="A5518" s="6" t="str">
        <f>IFERROR(__xludf.DUMMYFUNCTION("""COMPUTED_VALUE"""),"086-12909")</f>
        <v>086-12909</v>
      </c>
      <c r="B5518" s="6" t="str">
        <f>IFERROR(__xludf.DUMMYFUNCTION("""COMPUTED_VALUE"""),"86")</f>
        <v>86</v>
      </c>
      <c r="C5518" s="6" t="str">
        <f>IFERROR(__xludf.DUMMYFUNCTION("""COMPUTED_VALUE"""),"12909")</f>
        <v>12909</v>
      </c>
      <c r="D5518" s="6" t="str">
        <f>IFERROR(__xludf.DUMMYFUNCTION("""COMPUTED_VALUE"""),"Kyler")</f>
        <v>Kyler</v>
      </c>
      <c r="E5518" s="6" t="str">
        <f>IFERROR(__xludf.DUMMYFUNCTION("""COMPUTED_VALUE"""),"")</f>
        <v/>
      </c>
      <c r="F5518" s="6" t="str">
        <f>IFERROR(__xludf.DUMMYFUNCTION("""COMPUTED_VALUE"""),"Whitlatch")</f>
        <v>Whitlatch</v>
      </c>
      <c r="G5518" s="6" t="str">
        <f>IFERROR(__xludf.DUMMYFUNCTION("""COMPUTED_VALUE"""),"06/28/2017")</f>
        <v>06/28/2017</v>
      </c>
      <c r="H5518" s="6" t="str">
        <f>IFERROR(__xludf.DUMMYFUNCTION("""COMPUTED_VALUE"""),"male")</f>
        <v>male</v>
      </c>
      <c r="I5518" s="6" t="str">
        <f>IFERROR(__xludf.DUMMYFUNCTION("""COMPUTED_VALUE"""),"Level 2")</f>
        <v>Level 2</v>
      </c>
      <c r="J5518" s="6" t="str">
        <f>IFERROR(__xludf.DUMMYFUNCTION("""COMPUTED_VALUE"""),"5")</f>
        <v>5</v>
      </c>
      <c r="K5518" s="6" t="str">
        <f>IFERROR(__xludf.DUMMYFUNCTION("""COMPUTED_VALUE"""),"kyler.whitlatch@2hourlearning.com")</f>
        <v>kyler.whitlatch@2hourlearning.com</v>
      </c>
      <c r="L5518" s="6" t="str">
        <f>IFERROR(__xludf.DUMMYFUNCTION("""COMPUTED_VALUE"""),"JRES - Ridgeland Elementary School")</f>
        <v>JRES - Ridgeland Elementary School</v>
      </c>
      <c r="M5518" s="6" t="str">
        <f>IFERROR(__xludf.DUMMYFUNCTION("""COMPUTED_VALUE"""),"")</f>
        <v/>
      </c>
      <c r="N5518" s="6" t="str">
        <f>IFERROR(__xludf.DUMMYFUNCTION("""COMPUTED_VALUE"""),"")</f>
        <v/>
      </c>
      <c r="O5518" s="87" t="str">
        <f>IFERROR(__xludf.DUMMYFUNCTION("""COMPUTED_VALUE"""),"https://drive.google.com/drive/folders/10T2cTQHqEJZqE-st6uFKPoI?usp=share_link")</f>
        <v>https://drive.google.com/drive/folders/10T2cTQHqEJZqE-st6uFKPoI?usp=share_link</v>
      </c>
      <c r="P5518" s="6" t="str">
        <f>IFERROR(__xludf.DUMMYFUNCTION("""COMPUTED_VALUE"""),"Kyler Whitlatch")</f>
        <v>Kyler Whitlatch</v>
      </c>
      <c r="Q5518" s="6" t="str">
        <f>IFERROR(__xludf.DUMMYFUNCTION("""COMPUTED_VALUE"""),"L2")</f>
        <v>L2</v>
      </c>
      <c r="R5518" s="6">
        <f>IFERROR(__xludf.DUMMYFUNCTION("""COMPUTED_VALUE"""),2.0)</f>
        <v>2</v>
      </c>
      <c r="S5518" s="6" t="str">
        <f>IFERROR(__xludf.DUMMYFUNCTION("""COMPUTED_VALUE"""),"Kimberly Ball")</f>
        <v>Kimberly Ball</v>
      </c>
      <c r="T5518" s="6" t="str">
        <f>IFERROR(__xludf.DUMMYFUNCTION("""COMPUTED_VALUE"""),"kimberly.ball@studient.com")</f>
        <v>kimberly.ball@studient.com</v>
      </c>
      <c r="U5518" s="6" t="str">
        <f>IFERROR(__xludf.DUMMYFUNCTION("""COMPUTED_VALUE"""),"5")</f>
        <v>5</v>
      </c>
      <c r="V5518" s="6" t="str">
        <f>IFERROR(__xludf.DUMMYFUNCTION("""COMPUTED_VALUE"""),"")</f>
        <v/>
      </c>
      <c r="W5518" s="6" t="str">
        <f>IFERROR(__xludf.DUMMYFUNCTION("""COMPUTED_VALUE"""),"[]")</f>
        <v>[]</v>
      </c>
      <c r="X5518" s="6" t="str">
        <f>IFERROR(__xludf.DUMMYFUNCTION("""COMPUTED_VALUE"""),"Enrolled")</f>
        <v>Enrolled</v>
      </c>
    </row>
    <row r="5519">
      <c r="A5519" s="6" t="str">
        <f>IFERROR(__xludf.DUMMYFUNCTION("""COMPUTED_VALUE"""),"086-12910")</f>
        <v>086-12910</v>
      </c>
      <c r="B5519" s="6" t="str">
        <f>IFERROR(__xludf.DUMMYFUNCTION("""COMPUTED_VALUE"""),"86")</f>
        <v>86</v>
      </c>
      <c r="C5519" s="6" t="str">
        <f>IFERROR(__xludf.DUMMYFUNCTION("""COMPUTED_VALUE"""),"12910")</f>
        <v>12910</v>
      </c>
      <c r="D5519" s="6" t="str">
        <f>IFERROR(__xludf.DUMMYFUNCTION("""COMPUTED_VALUE"""),"Christian")</f>
        <v>Christian</v>
      </c>
      <c r="E5519" s="6" t="str">
        <f>IFERROR(__xludf.DUMMYFUNCTION("""COMPUTED_VALUE"""),"")</f>
        <v/>
      </c>
      <c r="F5519" s="6" t="str">
        <f>IFERROR(__xludf.DUMMYFUNCTION("""COMPUTED_VALUE"""),"Williams")</f>
        <v>Williams</v>
      </c>
      <c r="G5519" s="6" t="str">
        <f>IFERROR(__xludf.DUMMYFUNCTION("""COMPUTED_VALUE"""),"02/17/2015")</f>
        <v>02/17/2015</v>
      </c>
      <c r="H5519" s="6" t="str">
        <f>IFERROR(__xludf.DUMMYFUNCTION("""COMPUTED_VALUE"""),"male")</f>
        <v>male</v>
      </c>
      <c r="I5519" s="6" t="str">
        <f>IFERROR(__xludf.DUMMYFUNCTION("""COMPUTED_VALUE"""),"Level 2")</f>
        <v>Level 2</v>
      </c>
      <c r="J5519" s="6" t="str">
        <f>IFERROR(__xludf.DUMMYFUNCTION("""COMPUTED_VALUE"""),"5")</f>
        <v>5</v>
      </c>
      <c r="K5519" s="6" t="str">
        <f>IFERROR(__xludf.DUMMYFUNCTION("""COMPUTED_VALUE"""),"christian.williams@2hourlearning.com")</f>
        <v>christian.williams@2hourlearning.com</v>
      </c>
      <c r="L5519" s="6" t="str">
        <f>IFERROR(__xludf.DUMMYFUNCTION("""COMPUTED_VALUE"""),"JRES - Ridgeland Elementary School")</f>
        <v>JRES - Ridgeland Elementary School</v>
      </c>
      <c r="M5519" s="6" t="str">
        <f>IFERROR(__xludf.DUMMYFUNCTION("""COMPUTED_VALUE"""),"")</f>
        <v/>
      </c>
      <c r="N5519" s="6" t="str">
        <f>IFERROR(__xludf.DUMMYFUNCTION("""COMPUTED_VALUE"""),"")</f>
        <v/>
      </c>
      <c r="O5519" s="87" t="str">
        <f>IFERROR(__xludf.DUMMYFUNCTION("""COMPUTED_VALUE"""),"https://drive.google.com/drive/folders/10T2cTQHqEJZqE-st6uFKPoI?usp=share_link")</f>
        <v>https://drive.google.com/drive/folders/10T2cTQHqEJZqE-st6uFKPoI?usp=share_link</v>
      </c>
      <c r="P5519" s="6" t="str">
        <f>IFERROR(__xludf.DUMMYFUNCTION("""COMPUTED_VALUE"""),"Christian Williams")</f>
        <v>Christian Williams</v>
      </c>
      <c r="Q5519" s="6" t="str">
        <f>IFERROR(__xludf.DUMMYFUNCTION("""COMPUTED_VALUE"""),"L2")</f>
        <v>L2</v>
      </c>
      <c r="R5519" s="6">
        <f>IFERROR(__xludf.DUMMYFUNCTION("""COMPUTED_VALUE"""),2.0)</f>
        <v>2</v>
      </c>
      <c r="S5519" s="6" t="str">
        <f>IFERROR(__xludf.DUMMYFUNCTION("""COMPUTED_VALUE"""),"Kimberly Ball")</f>
        <v>Kimberly Ball</v>
      </c>
      <c r="T5519" s="6" t="str">
        <f>IFERROR(__xludf.DUMMYFUNCTION("""COMPUTED_VALUE"""),"kimberly.ball@studient.com")</f>
        <v>kimberly.ball@studient.com</v>
      </c>
      <c r="U5519" s="6" t="str">
        <f>IFERROR(__xludf.DUMMYFUNCTION("""COMPUTED_VALUE"""),"5")</f>
        <v>5</v>
      </c>
      <c r="V5519" s="6" t="str">
        <f>IFERROR(__xludf.DUMMYFUNCTION("""COMPUTED_VALUE"""),"")</f>
        <v/>
      </c>
      <c r="W5519" s="6" t="str">
        <f>IFERROR(__xludf.DUMMYFUNCTION("""COMPUTED_VALUE"""),"[]")</f>
        <v>[]</v>
      </c>
      <c r="X5519" s="6" t="str">
        <f>IFERROR(__xludf.DUMMYFUNCTION("""COMPUTED_VALUE"""),"Enrolled")</f>
        <v>Enrolled</v>
      </c>
    </row>
    <row r="5520">
      <c r="A5520" s="6" t="str">
        <f>IFERROR(__xludf.DUMMYFUNCTION("""COMPUTED_VALUE"""),"086-12911")</f>
        <v>086-12911</v>
      </c>
      <c r="B5520" s="6" t="str">
        <f>IFERROR(__xludf.DUMMYFUNCTION("""COMPUTED_VALUE"""),"86")</f>
        <v>86</v>
      </c>
      <c r="C5520" s="6" t="str">
        <f>IFERROR(__xludf.DUMMYFUNCTION("""COMPUTED_VALUE"""),"12911")</f>
        <v>12911</v>
      </c>
      <c r="D5520" s="6" t="str">
        <f>IFERROR(__xludf.DUMMYFUNCTION("""COMPUTED_VALUE"""),"Joquan")</f>
        <v>Joquan</v>
      </c>
      <c r="E5520" s="6" t="str">
        <f>IFERROR(__xludf.DUMMYFUNCTION("""COMPUTED_VALUE"""),"")</f>
        <v/>
      </c>
      <c r="F5520" s="6" t="str">
        <f>IFERROR(__xludf.DUMMYFUNCTION("""COMPUTED_VALUE"""),"Williams")</f>
        <v>Williams</v>
      </c>
      <c r="G5520" s="6" t="str">
        <f>IFERROR(__xludf.DUMMYFUNCTION("""COMPUTED_VALUE"""),"04/21/2018")</f>
        <v>04/21/2018</v>
      </c>
      <c r="H5520" s="6" t="str">
        <f>IFERROR(__xludf.DUMMYFUNCTION("""COMPUTED_VALUE"""),"female")</f>
        <v>female</v>
      </c>
      <c r="I5520" s="6" t="str">
        <f>IFERROR(__xludf.DUMMYFUNCTION("""COMPUTED_VALUE"""),"Level 2")</f>
        <v>Level 2</v>
      </c>
      <c r="J5520" s="6" t="str">
        <f>IFERROR(__xludf.DUMMYFUNCTION("""COMPUTED_VALUE"""),"5")</f>
        <v>5</v>
      </c>
      <c r="K5520" s="6" t="str">
        <f>IFERROR(__xludf.DUMMYFUNCTION("""COMPUTED_VALUE"""),"joquan.williams@2hourlearning.com")</f>
        <v>joquan.williams@2hourlearning.com</v>
      </c>
      <c r="L5520" s="6" t="str">
        <f>IFERROR(__xludf.DUMMYFUNCTION("""COMPUTED_VALUE"""),"JRES - Ridgeland Elementary School")</f>
        <v>JRES - Ridgeland Elementary School</v>
      </c>
      <c r="M5520" s="6" t="str">
        <f>IFERROR(__xludf.DUMMYFUNCTION("""COMPUTED_VALUE"""),"")</f>
        <v/>
      </c>
      <c r="N5520" s="6" t="str">
        <f>IFERROR(__xludf.DUMMYFUNCTION("""COMPUTED_VALUE"""),"")</f>
        <v/>
      </c>
      <c r="O5520" s="87" t="str">
        <f>IFERROR(__xludf.DUMMYFUNCTION("""COMPUTED_VALUE"""),"https://drive.google.com/drive/folders/10T2cTQHqEJZqE-st6uFKPoI?usp=share_link")</f>
        <v>https://drive.google.com/drive/folders/10T2cTQHqEJZqE-st6uFKPoI?usp=share_link</v>
      </c>
      <c r="P5520" s="6" t="str">
        <f>IFERROR(__xludf.DUMMYFUNCTION("""COMPUTED_VALUE"""),"Joquan Williams")</f>
        <v>Joquan Williams</v>
      </c>
      <c r="Q5520" s="6" t="str">
        <f>IFERROR(__xludf.DUMMYFUNCTION("""COMPUTED_VALUE"""),"L2")</f>
        <v>L2</v>
      </c>
      <c r="R5520" s="6">
        <f>IFERROR(__xludf.DUMMYFUNCTION("""COMPUTED_VALUE"""),2.0)</f>
        <v>2</v>
      </c>
      <c r="S5520" s="6" t="str">
        <f>IFERROR(__xludf.DUMMYFUNCTION("""COMPUTED_VALUE"""),"Kimberly Ball")</f>
        <v>Kimberly Ball</v>
      </c>
      <c r="T5520" s="6" t="str">
        <f>IFERROR(__xludf.DUMMYFUNCTION("""COMPUTED_VALUE"""),"kimberly.ball@studient.com")</f>
        <v>kimberly.ball@studient.com</v>
      </c>
      <c r="U5520" s="6" t="str">
        <f>IFERROR(__xludf.DUMMYFUNCTION("""COMPUTED_VALUE"""),"5")</f>
        <v>5</v>
      </c>
      <c r="V5520" s="6" t="str">
        <f>IFERROR(__xludf.DUMMYFUNCTION("""COMPUTED_VALUE"""),"")</f>
        <v/>
      </c>
      <c r="W5520" s="6" t="str">
        <f>IFERROR(__xludf.DUMMYFUNCTION("""COMPUTED_VALUE"""),"[]")</f>
        <v>[]</v>
      </c>
      <c r="X5520" s="6" t="str">
        <f>IFERROR(__xludf.DUMMYFUNCTION("""COMPUTED_VALUE"""),"Enrolled")</f>
        <v>Enrolled</v>
      </c>
    </row>
    <row r="5521">
      <c r="A5521" s="6" t="str">
        <f>IFERROR(__xludf.DUMMYFUNCTION("""COMPUTED_VALUE"""),"086-12912")</f>
        <v>086-12912</v>
      </c>
      <c r="B5521" s="6" t="str">
        <f>IFERROR(__xludf.DUMMYFUNCTION("""COMPUTED_VALUE"""),"86")</f>
        <v>86</v>
      </c>
      <c r="C5521" s="6" t="str">
        <f>IFERROR(__xludf.DUMMYFUNCTION("""COMPUTED_VALUE"""),"12912")</f>
        <v>12912</v>
      </c>
      <c r="D5521" s="6" t="str">
        <f>IFERROR(__xludf.DUMMYFUNCTION("""COMPUTED_VALUE"""),"Mariah")</f>
        <v>Mariah</v>
      </c>
      <c r="E5521" s="6" t="str">
        <f>IFERROR(__xludf.DUMMYFUNCTION("""COMPUTED_VALUE"""),"")</f>
        <v/>
      </c>
      <c r="F5521" s="6" t="str">
        <f>IFERROR(__xludf.DUMMYFUNCTION("""COMPUTED_VALUE"""),"Wilson-Wright")</f>
        <v>Wilson-Wright</v>
      </c>
      <c r="G5521" s="6" t="str">
        <f>IFERROR(__xludf.DUMMYFUNCTION("""COMPUTED_VALUE"""),"03/11/2018")</f>
        <v>03/11/2018</v>
      </c>
      <c r="H5521" s="6" t="str">
        <f>IFERROR(__xludf.DUMMYFUNCTION("""COMPUTED_VALUE"""),"female")</f>
        <v>female</v>
      </c>
      <c r="I5521" s="6" t="str">
        <f>IFERROR(__xludf.DUMMYFUNCTION("""COMPUTED_VALUE"""),"Level 2")</f>
        <v>Level 2</v>
      </c>
      <c r="J5521" s="6" t="str">
        <f>IFERROR(__xludf.DUMMYFUNCTION("""COMPUTED_VALUE"""),"5")</f>
        <v>5</v>
      </c>
      <c r="K5521" s="6" t="str">
        <f>IFERROR(__xludf.DUMMYFUNCTION("""COMPUTED_VALUE"""),"mariah.wilson-wright@2hourlearning.com")</f>
        <v>mariah.wilson-wright@2hourlearning.com</v>
      </c>
      <c r="L5521" s="6" t="str">
        <f>IFERROR(__xludf.DUMMYFUNCTION("""COMPUTED_VALUE"""),"JRES - Ridgeland Elementary School")</f>
        <v>JRES - Ridgeland Elementary School</v>
      </c>
      <c r="M5521" s="6" t="str">
        <f>IFERROR(__xludf.DUMMYFUNCTION("""COMPUTED_VALUE"""),"")</f>
        <v/>
      </c>
      <c r="N5521" s="6" t="str">
        <f>IFERROR(__xludf.DUMMYFUNCTION("""COMPUTED_VALUE"""),"")</f>
        <v/>
      </c>
      <c r="O5521" s="87" t="str">
        <f>IFERROR(__xludf.DUMMYFUNCTION("""COMPUTED_VALUE"""),"https://drive.google.com/drive/folders/10T2cTQHqEJZqE-st6uFKPoI?usp=share_link")</f>
        <v>https://drive.google.com/drive/folders/10T2cTQHqEJZqE-st6uFKPoI?usp=share_link</v>
      </c>
      <c r="P5521" s="6" t="str">
        <f>IFERROR(__xludf.DUMMYFUNCTION("""COMPUTED_VALUE"""),"Mariah Wilson-Wright")</f>
        <v>Mariah Wilson-Wright</v>
      </c>
      <c r="Q5521" s="6" t="str">
        <f>IFERROR(__xludf.DUMMYFUNCTION("""COMPUTED_VALUE"""),"L2")</f>
        <v>L2</v>
      </c>
      <c r="R5521" s="6">
        <f>IFERROR(__xludf.DUMMYFUNCTION("""COMPUTED_VALUE"""),2.0)</f>
        <v>2</v>
      </c>
      <c r="S5521" s="6" t="str">
        <f>IFERROR(__xludf.DUMMYFUNCTION("""COMPUTED_VALUE"""),"Kimberly Ball")</f>
        <v>Kimberly Ball</v>
      </c>
      <c r="T5521" s="6" t="str">
        <f>IFERROR(__xludf.DUMMYFUNCTION("""COMPUTED_VALUE"""),"kimberly.ball@studient.com")</f>
        <v>kimberly.ball@studient.com</v>
      </c>
      <c r="U5521" s="6" t="str">
        <f>IFERROR(__xludf.DUMMYFUNCTION("""COMPUTED_VALUE"""),"5")</f>
        <v>5</v>
      </c>
      <c r="V5521" s="6" t="str">
        <f>IFERROR(__xludf.DUMMYFUNCTION("""COMPUTED_VALUE"""),"")</f>
        <v/>
      </c>
      <c r="W5521" s="6" t="str">
        <f>IFERROR(__xludf.DUMMYFUNCTION("""COMPUTED_VALUE"""),"[]")</f>
        <v>[]</v>
      </c>
      <c r="X5521" s="6" t="str">
        <f>IFERROR(__xludf.DUMMYFUNCTION("""COMPUTED_VALUE"""),"Enrolled")</f>
        <v>Enrolled</v>
      </c>
    </row>
    <row r="5522">
      <c r="A5522" s="6" t="str">
        <f>IFERROR(__xludf.DUMMYFUNCTION("""COMPUTED_VALUE"""),"086-12913")</f>
        <v>086-12913</v>
      </c>
      <c r="B5522" s="6" t="str">
        <f>IFERROR(__xludf.DUMMYFUNCTION("""COMPUTED_VALUE"""),"86")</f>
        <v>86</v>
      </c>
      <c r="C5522" s="6" t="str">
        <f>IFERROR(__xludf.DUMMYFUNCTION("""COMPUTED_VALUE"""),"12913")</f>
        <v>12913</v>
      </c>
      <c r="D5522" s="6" t="str">
        <f>IFERROR(__xludf.DUMMYFUNCTION("""COMPUTED_VALUE"""),"Amari")</f>
        <v>Amari</v>
      </c>
      <c r="E5522" s="6" t="str">
        <f>IFERROR(__xludf.DUMMYFUNCTION("""COMPUTED_VALUE"""),"")</f>
        <v/>
      </c>
      <c r="F5522" s="6" t="str">
        <f>IFERROR(__xludf.DUMMYFUNCTION("""COMPUTED_VALUE"""),"Wright")</f>
        <v>Wright</v>
      </c>
      <c r="G5522" s="6" t="str">
        <f>IFERROR(__xludf.DUMMYFUNCTION("""COMPUTED_VALUE"""),"02/17/2017")</f>
        <v>02/17/2017</v>
      </c>
      <c r="H5522" s="6" t="str">
        <f>IFERROR(__xludf.DUMMYFUNCTION("""COMPUTED_VALUE"""),"female")</f>
        <v>female</v>
      </c>
      <c r="I5522" s="6" t="str">
        <f>IFERROR(__xludf.DUMMYFUNCTION("""COMPUTED_VALUE"""),"Level 2")</f>
        <v>Level 2</v>
      </c>
      <c r="J5522" s="6" t="str">
        <f>IFERROR(__xludf.DUMMYFUNCTION("""COMPUTED_VALUE"""),"5")</f>
        <v>5</v>
      </c>
      <c r="K5522" s="6" t="str">
        <f>IFERROR(__xludf.DUMMYFUNCTION("""COMPUTED_VALUE"""),"amari.wright@2hourlearning.com")</f>
        <v>amari.wright@2hourlearning.com</v>
      </c>
      <c r="L5522" s="6" t="str">
        <f>IFERROR(__xludf.DUMMYFUNCTION("""COMPUTED_VALUE"""),"JRES - Ridgeland Elementary School")</f>
        <v>JRES - Ridgeland Elementary School</v>
      </c>
      <c r="M5522" s="6" t="str">
        <f>IFERROR(__xludf.DUMMYFUNCTION("""COMPUTED_VALUE"""),"")</f>
        <v/>
      </c>
      <c r="N5522" s="6" t="str">
        <f>IFERROR(__xludf.DUMMYFUNCTION("""COMPUTED_VALUE"""),"")</f>
        <v/>
      </c>
      <c r="O5522" s="87" t="str">
        <f>IFERROR(__xludf.DUMMYFUNCTION("""COMPUTED_VALUE"""),"https://drive.google.com/drive/folders/10T2cTQHqEJZqE-st6uFKPoI?usp=share_link")</f>
        <v>https://drive.google.com/drive/folders/10T2cTQHqEJZqE-st6uFKPoI?usp=share_link</v>
      </c>
      <c r="P5522" s="6" t="str">
        <f>IFERROR(__xludf.DUMMYFUNCTION("""COMPUTED_VALUE"""),"Amari Wright")</f>
        <v>Amari Wright</v>
      </c>
      <c r="Q5522" s="6" t="str">
        <f>IFERROR(__xludf.DUMMYFUNCTION("""COMPUTED_VALUE"""),"L2")</f>
        <v>L2</v>
      </c>
      <c r="R5522" s="6">
        <f>IFERROR(__xludf.DUMMYFUNCTION("""COMPUTED_VALUE"""),2.0)</f>
        <v>2</v>
      </c>
      <c r="S5522" s="6" t="str">
        <f>IFERROR(__xludf.DUMMYFUNCTION("""COMPUTED_VALUE"""),"Kimberly Ball")</f>
        <v>Kimberly Ball</v>
      </c>
      <c r="T5522" s="6" t="str">
        <f>IFERROR(__xludf.DUMMYFUNCTION("""COMPUTED_VALUE"""),"kimberly.ball@studient.com")</f>
        <v>kimberly.ball@studient.com</v>
      </c>
      <c r="U5522" s="6" t="str">
        <f>IFERROR(__xludf.DUMMYFUNCTION("""COMPUTED_VALUE"""),"5")</f>
        <v>5</v>
      </c>
      <c r="V5522" s="6" t="str">
        <f>IFERROR(__xludf.DUMMYFUNCTION("""COMPUTED_VALUE"""),"")</f>
        <v/>
      </c>
      <c r="W5522" s="6" t="str">
        <f>IFERROR(__xludf.DUMMYFUNCTION("""COMPUTED_VALUE"""),"[]")</f>
        <v>[]</v>
      </c>
      <c r="X5522" s="6" t="str">
        <f>IFERROR(__xludf.DUMMYFUNCTION("""COMPUTED_VALUE"""),"Enrolled")</f>
        <v>Enrolled</v>
      </c>
    </row>
    <row r="5523">
      <c r="A5523" s="6" t="str">
        <f>IFERROR(__xludf.DUMMYFUNCTION("""COMPUTED_VALUE"""),"086-12914")</f>
        <v>086-12914</v>
      </c>
      <c r="B5523" s="6" t="str">
        <f>IFERROR(__xludf.DUMMYFUNCTION("""COMPUTED_VALUE"""),"86")</f>
        <v>86</v>
      </c>
      <c r="C5523" s="6" t="str">
        <f>IFERROR(__xludf.DUMMYFUNCTION("""COMPUTED_VALUE"""),"12914")</f>
        <v>12914</v>
      </c>
      <c r="D5523" s="6" t="str">
        <f>IFERROR(__xludf.DUMMYFUNCTION("""COMPUTED_VALUE"""),"Nehemiah")</f>
        <v>Nehemiah</v>
      </c>
      <c r="E5523" s="6" t="str">
        <f>IFERROR(__xludf.DUMMYFUNCTION("""COMPUTED_VALUE"""),"")</f>
        <v/>
      </c>
      <c r="F5523" s="6" t="str">
        <f>IFERROR(__xludf.DUMMYFUNCTION("""COMPUTED_VALUE"""),"Wright")</f>
        <v>Wright</v>
      </c>
      <c r="G5523" s="6" t="str">
        <f>IFERROR(__xludf.DUMMYFUNCTION("""COMPUTED_VALUE"""),"08/01/2015")</f>
        <v>08/01/2015</v>
      </c>
      <c r="H5523" s="6" t="str">
        <f>IFERROR(__xludf.DUMMYFUNCTION("""COMPUTED_VALUE"""),"female")</f>
        <v>female</v>
      </c>
      <c r="I5523" s="6" t="str">
        <f>IFERROR(__xludf.DUMMYFUNCTION("""COMPUTED_VALUE"""),"Level 2")</f>
        <v>Level 2</v>
      </c>
      <c r="J5523" s="6" t="str">
        <f>IFERROR(__xludf.DUMMYFUNCTION("""COMPUTED_VALUE"""),"5")</f>
        <v>5</v>
      </c>
      <c r="K5523" s="6" t="str">
        <f>IFERROR(__xludf.DUMMYFUNCTION("""COMPUTED_VALUE"""),"nehemiah.wright@2hourlearning.com")</f>
        <v>nehemiah.wright@2hourlearning.com</v>
      </c>
      <c r="L5523" s="6" t="str">
        <f>IFERROR(__xludf.DUMMYFUNCTION("""COMPUTED_VALUE"""),"JRES - Ridgeland Elementary School")</f>
        <v>JRES - Ridgeland Elementary School</v>
      </c>
      <c r="M5523" s="6" t="str">
        <f>IFERROR(__xludf.DUMMYFUNCTION("""COMPUTED_VALUE"""),"")</f>
        <v/>
      </c>
      <c r="N5523" s="6" t="str">
        <f>IFERROR(__xludf.DUMMYFUNCTION("""COMPUTED_VALUE"""),"")</f>
        <v/>
      </c>
      <c r="O5523" s="87" t="str">
        <f>IFERROR(__xludf.DUMMYFUNCTION("""COMPUTED_VALUE"""),"https://drive.google.com/drive/folders/10T2cTQHqEJZqE-st6uFKPoI?usp=share_link")</f>
        <v>https://drive.google.com/drive/folders/10T2cTQHqEJZqE-st6uFKPoI?usp=share_link</v>
      </c>
      <c r="P5523" s="6" t="str">
        <f>IFERROR(__xludf.DUMMYFUNCTION("""COMPUTED_VALUE"""),"Nehemiah Wright")</f>
        <v>Nehemiah Wright</v>
      </c>
      <c r="Q5523" s="6" t="str">
        <f>IFERROR(__xludf.DUMMYFUNCTION("""COMPUTED_VALUE"""),"L2")</f>
        <v>L2</v>
      </c>
      <c r="R5523" s="6">
        <f>IFERROR(__xludf.DUMMYFUNCTION("""COMPUTED_VALUE"""),2.0)</f>
        <v>2</v>
      </c>
      <c r="S5523" s="6" t="str">
        <f>IFERROR(__xludf.DUMMYFUNCTION("""COMPUTED_VALUE"""),"Kimberly Ball")</f>
        <v>Kimberly Ball</v>
      </c>
      <c r="T5523" s="6" t="str">
        <f>IFERROR(__xludf.DUMMYFUNCTION("""COMPUTED_VALUE"""),"kimberly.ball@studient.com")</f>
        <v>kimberly.ball@studient.com</v>
      </c>
      <c r="U5523" s="6" t="str">
        <f>IFERROR(__xludf.DUMMYFUNCTION("""COMPUTED_VALUE"""),"5")</f>
        <v>5</v>
      </c>
      <c r="V5523" s="6" t="str">
        <f>IFERROR(__xludf.DUMMYFUNCTION("""COMPUTED_VALUE"""),"")</f>
        <v/>
      </c>
      <c r="W5523" s="6" t="str">
        <f>IFERROR(__xludf.DUMMYFUNCTION("""COMPUTED_VALUE"""),"[]")</f>
        <v>[]</v>
      </c>
      <c r="X5523" s="6" t="str">
        <f>IFERROR(__xludf.DUMMYFUNCTION("""COMPUTED_VALUE"""),"Enrolled")</f>
        <v>Enrolled</v>
      </c>
    </row>
    <row r="5524">
      <c r="A5524" s="6" t="str">
        <f>IFERROR(__xludf.DUMMYFUNCTION("""COMPUTED_VALUE"""),"086-12915")</f>
        <v>086-12915</v>
      </c>
      <c r="B5524" s="6" t="str">
        <f>IFERROR(__xludf.DUMMYFUNCTION("""COMPUTED_VALUE"""),"86")</f>
        <v>86</v>
      </c>
      <c r="C5524" s="6" t="str">
        <f>IFERROR(__xludf.DUMMYFUNCTION("""COMPUTED_VALUE"""),"12915")</f>
        <v>12915</v>
      </c>
      <c r="D5524" s="6" t="str">
        <f>IFERROR(__xludf.DUMMYFUNCTION("""COMPUTED_VALUE"""),"Julian")</f>
        <v>Julian</v>
      </c>
      <c r="E5524" s="6" t="str">
        <f>IFERROR(__xludf.DUMMYFUNCTION("""COMPUTED_VALUE"""),"")</f>
        <v/>
      </c>
      <c r="F5524" s="6" t="str">
        <f>IFERROR(__xludf.DUMMYFUNCTION("""COMPUTED_VALUE"""),"Zaragoza Andrade")</f>
        <v>Zaragoza Andrade</v>
      </c>
      <c r="G5524" s="6" t="str">
        <f>IFERROR(__xludf.DUMMYFUNCTION("""COMPUTED_VALUE"""),"10/25/2017")</f>
        <v>10/25/2017</v>
      </c>
      <c r="H5524" s="6" t="str">
        <f>IFERROR(__xludf.DUMMYFUNCTION("""COMPUTED_VALUE"""),"female")</f>
        <v>female</v>
      </c>
      <c r="I5524" s="6" t="str">
        <f>IFERROR(__xludf.DUMMYFUNCTION("""COMPUTED_VALUE"""),"Level 2")</f>
        <v>Level 2</v>
      </c>
      <c r="J5524" s="6" t="str">
        <f>IFERROR(__xludf.DUMMYFUNCTION("""COMPUTED_VALUE"""),"5")</f>
        <v>5</v>
      </c>
      <c r="K5524" s="6" t="str">
        <f>IFERROR(__xludf.DUMMYFUNCTION("""COMPUTED_VALUE"""),"julian.zaragozaandrade@2hourlearning.com")</f>
        <v>julian.zaragozaandrade@2hourlearning.com</v>
      </c>
      <c r="L5524" s="6" t="str">
        <f>IFERROR(__xludf.DUMMYFUNCTION("""COMPUTED_VALUE"""),"JRES - Ridgeland Elementary School")</f>
        <v>JRES - Ridgeland Elementary School</v>
      </c>
      <c r="M5524" s="6" t="str">
        <f>IFERROR(__xludf.DUMMYFUNCTION("""COMPUTED_VALUE"""),"")</f>
        <v/>
      </c>
      <c r="N5524" s="6" t="str">
        <f>IFERROR(__xludf.DUMMYFUNCTION("""COMPUTED_VALUE"""),"")</f>
        <v/>
      </c>
      <c r="O5524" s="87" t="str">
        <f>IFERROR(__xludf.DUMMYFUNCTION("""COMPUTED_VALUE"""),"https://drive.google.com/drive/folders/10T2cTQHqEJZqE-st6uFKPoI?usp=share_link")</f>
        <v>https://drive.google.com/drive/folders/10T2cTQHqEJZqE-st6uFKPoI?usp=share_link</v>
      </c>
      <c r="P5524" s="6" t="str">
        <f>IFERROR(__xludf.DUMMYFUNCTION("""COMPUTED_VALUE"""),"Julian Zaragoza Andrade")</f>
        <v>Julian Zaragoza Andrade</v>
      </c>
      <c r="Q5524" s="6" t="str">
        <f>IFERROR(__xludf.DUMMYFUNCTION("""COMPUTED_VALUE"""),"L2")</f>
        <v>L2</v>
      </c>
      <c r="R5524" s="6">
        <f>IFERROR(__xludf.DUMMYFUNCTION("""COMPUTED_VALUE"""),2.0)</f>
        <v>2</v>
      </c>
      <c r="S5524" s="6" t="str">
        <f>IFERROR(__xludf.DUMMYFUNCTION("""COMPUTED_VALUE"""),"Kimberly Ball")</f>
        <v>Kimberly Ball</v>
      </c>
      <c r="T5524" s="6" t="str">
        <f>IFERROR(__xludf.DUMMYFUNCTION("""COMPUTED_VALUE"""),"kimberly.ball@studient.com")</f>
        <v>kimberly.ball@studient.com</v>
      </c>
      <c r="U5524" s="6" t="str">
        <f>IFERROR(__xludf.DUMMYFUNCTION("""COMPUTED_VALUE"""),"5")</f>
        <v>5</v>
      </c>
      <c r="V5524" s="6" t="str">
        <f>IFERROR(__xludf.DUMMYFUNCTION("""COMPUTED_VALUE"""),"")</f>
        <v/>
      </c>
      <c r="W5524" s="6" t="str">
        <f>IFERROR(__xludf.DUMMYFUNCTION("""COMPUTED_VALUE"""),"[]")</f>
        <v>[]</v>
      </c>
      <c r="X5524" s="6" t="str">
        <f>IFERROR(__xludf.DUMMYFUNCTION("""COMPUTED_VALUE"""),"Enrolled")</f>
        <v>Enrolled</v>
      </c>
    </row>
    <row r="5525">
      <c r="A5525" s="6" t="str">
        <f>IFERROR(__xludf.DUMMYFUNCTION("""COMPUTED_VALUE"""),"087-12122")</f>
        <v>087-12122</v>
      </c>
      <c r="B5525" s="6" t="str">
        <f>IFERROR(__xludf.DUMMYFUNCTION("""COMPUTED_VALUE"""),"87")</f>
        <v>87</v>
      </c>
      <c r="C5525" s="6" t="str">
        <f>IFERROR(__xludf.DUMMYFUNCTION("""COMPUTED_VALUE"""),"12122")</f>
        <v>12122</v>
      </c>
      <c r="D5525" s="6" t="str">
        <f>IFERROR(__xludf.DUMMYFUNCTION("""COMPUTED_VALUE"""),"Daniel")</f>
        <v>Daniel</v>
      </c>
      <c r="E5525" s="6" t="str">
        <f>IFERROR(__xludf.DUMMYFUNCTION("""COMPUTED_VALUE"""),"")</f>
        <v/>
      </c>
      <c r="F5525" s="6" t="str">
        <f>IFERROR(__xludf.DUMMYFUNCTION("""COMPUTED_VALUE"""),"Abarca")</f>
        <v>Abarca</v>
      </c>
      <c r="G5525" s="6" t="str">
        <f>IFERROR(__xludf.DUMMYFUNCTION("""COMPUTED_VALUE"""),"08/31/2014")</f>
        <v>08/31/2014</v>
      </c>
      <c r="H5525" s="6" t="str">
        <f>IFERROR(__xludf.DUMMYFUNCTION("""COMPUTED_VALUE"""),"male")</f>
        <v>male</v>
      </c>
      <c r="I5525" s="6" t="str">
        <f>IFERROR(__xludf.DUMMYFUNCTION("""COMPUTED_VALUE"""),"Middle School")</f>
        <v>Middle School</v>
      </c>
      <c r="J5525" s="6" t="str">
        <f>IFERROR(__xludf.DUMMYFUNCTION("""COMPUTED_VALUE"""),"6")</f>
        <v>6</v>
      </c>
      <c r="K5525" s="6" t="str">
        <f>IFERROR(__xludf.DUMMYFUNCTION("""COMPUTED_VALUE"""),"daniel.abarca@2hourlearning.com")</f>
        <v>daniel.abarca@2hourlearning.com</v>
      </c>
      <c r="L5525" s="6" t="str">
        <f>IFERROR(__xludf.DUMMYFUNCTION("""COMPUTED_VALUE"""),"JRHS - Ridgeland Secondary Academy of Excellence")</f>
        <v>JRHS - Ridgeland Secondary Academy of Excellence</v>
      </c>
      <c r="M5525" s="6" t="str">
        <f>IFERROR(__xludf.DUMMYFUNCTION("""COMPUTED_VALUE"""),"")</f>
        <v/>
      </c>
      <c r="N5525" s="6" t="str">
        <f>IFERROR(__xludf.DUMMYFUNCTION("""COMPUTED_VALUE"""),"")</f>
        <v/>
      </c>
      <c r="O5525" s="87" t="str">
        <f>IFERROR(__xludf.DUMMYFUNCTION("""COMPUTED_VALUE"""),"https://drive.google.com/drive/folders/10T2cTQHqEJZqE-st6uFKPoI?usp=share_link")</f>
        <v>https://drive.google.com/drive/folders/10T2cTQHqEJZqE-st6uFKPoI?usp=share_link</v>
      </c>
      <c r="P5525" s="6" t="str">
        <f>IFERROR(__xludf.DUMMYFUNCTION("""COMPUTED_VALUE"""),"Daniel Abarca")</f>
        <v>Daniel Abarca</v>
      </c>
      <c r="Q5525" s="6" t="str">
        <f>IFERROR(__xludf.DUMMYFUNCTION("""COMPUTED_VALUE"""),"MS")</f>
        <v>MS</v>
      </c>
      <c r="R5525" s="6">
        <f>IFERROR(__xludf.DUMMYFUNCTION("""COMPUTED_VALUE"""),0.0)</f>
        <v>0</v>
      </c>
      <c r="S5525" s="6" t="str">
        <f>IFERROR(__xludf.DUMMYFUNCTION("""COMPUTED_VALUE"""),"Kimberly Ball")</f>
        <v>Kimberly Ball</v>
      </c>
      <c r="T5525" s="6" t="str">
        <f>IFERROR(__xludf.DUMMYFUNCTION("""COMPUTED_VALUE"""),"kimberly.ball@studient.com")</f>
        <v>kimberly.ball@studient.com</v>
      </c>
      <c r="U5525" s="6" t="str">
        <f>IFERROR(__xludf.DUMMYFUNCTION("""COMPUTED_VALUE"""),"6")</f>
        <v>6</v>
      </c>
      <c r="V5525" s="6" t="str">
        <f>IFERROR(__xludf.DUMMYFUNCTION("""COMPUTED_VALUE"""),"")</f>
        <v/>
      </c>
      <c r="W5525" s="6" t="str">
        <f>IFERROR(__xludf.DUMMYFUNCTION("""COMPUTED_VALUE"""),"[]")</f>
        <v>[]</v>
      </c>
      <c r="X5525" s="6" t="str">
        <f>IFERROR(__xludf.DUMMYFUNCTION("""COMPUTED_VALUE"""),"Enrolled")</f>
        <v>Enrolled</v>
      </c>
    </row>
    <row r="5526">
      <c r="A5526" s="6" t="str">
        <f>IFERROR(__xludf.DUMMYFUNCTION("""COMPUTED_VALUE"""),"087-12123")</f>
        <v>087-12123</v>
      </c>
      <c r="B5526" s="6" t="str">
        <f>IFERROR(__xludf.DUMMYFUNCTION("""COMPUTED_VALUE"""),"87")</f>
        <v>87</v>
      </c>
      <c r="C5526" s="6" t="str">
        <f>IFERROR(__xludf.DUMMYFUNCTION("""COMPUTED_VALUE"""),"12123")</f>
        <v>12123</v>
      </c>
      <c r="D5526" s="6" t="str">
        <f>IFERROR(__xludf.DUMMYFUNCTION("""COMPUTED_VALUE"""),"Seleny")</f>
        <v>Seleny</v>
      </c>
      <c r="E5526" s="6" t="str">
        <f>IFERROR(__xludf.DUMMYFUNCTION("""COMPUTED_VALUE"""),"")</f>
        <v/>
      </c>
      <c r="F5526" s="6" t="str">
        <f>IFERROR(__xludf.DUMMYFUNCTION("""COMPUTED_VALUE"""),"Acosta Gonzalez")</f>
        <v>Acosta Gonzalez</v>
      </c>
      <c r="G5526" s="6" t="str">
        <f>IFERROR(__xludf.DUMMYFUNCTION("""COMPUTED_VALUE"""),"04/10/2012")</f>
        <v>04/10/2012</v>
      </c>
      <c r="H5526" s="6" t="str">
        <f>IFERROR(__xludf.DUMMYFUNCTION("""COMPUTED_VALUE"""),"female")</f>
        <v>female</v>
      </c>
      <c r="I5526" s="6" t="str">
        <f>IFERROR(__xludf.DUMMYFUNCTION("""COMPUTED_VALUE"""),"Middle School")</f>
        <v>Middle School</v>
      </c>
      <c r="J5526" s="6" t="str">
        <f>IFERROR(__xludf.DUMMYFUNCTION("""COMPUTED_VALUE"""),"8")</f>
        <v>8</v>
      </c>
      <c r="K5526" s="6" t="str">
        <f>IFERROR(__xludf.DUMMYFUNCTION("""COMPUTED_VALUE"""),"seleny.acostagonzalez@2hourlearning.com")</f>
        <v>seleny.acostagonzalez@2hourlearning.com</v>
      </c>
      <c r="L5526" s="6" t="str">
        <f>IFERROR(__xludf.DUMMYFUNCTION("""COMPUTED_VALUE"""),"JRHS - Ridgeland Secondary Academy of Excellence")</f>
        <v>JRHS - Ridgeland Secondary Academy of Excellence</v>
      </c>
      <c r="M5526" s="6" t="str">
        <f>IFERROR(__xludf.DUMMYFUNCTION("""COMPUTED_VALUE"""),"")</f>
        <v/>
      </c>
      <c r="N5526" s="6" t="str">
        <f>IFERROR(__xludf.DUMMYFUNCTION("""COMPUTED_VALUE"""),"")</f>
        <v/>
      </c>
      <c r="O5526" s="87" t="str">
        <f>IFERROR(__xludf.DUMMYFUNCTION("""COMPUTED_VALUE"""),"https://drive.google.com/drive/folders/10T2cTQHqEJZqE-st6uFKPoI?usp=share_link")</f>
        <v>https://drive.google.com/drive/folders/10T2cTQHqEJZqE-st6uFKPoI?usp=share_link</v>
      </c>
      <c r="P5526" s="6" t="str">
        <f>IFERROR(__xludf.DUMMYFUNCTION("""COMPUTED_VALUE"""),"Seleny Acosta Gonzalez")</f>
        <v>Seleny Acosta Gonzalez</v>
      </c>
      <c r="Q5526" s="6" t="str">
        <f>IFERROR(__xludf.DUMMYFUNCTION("""COMPUTED_VALUE"""),"MS")</f>
        <v>MS</v>
      </c>
      <c r="R5526" s="6">
        <f>IFERROR(__xludf.DUMMYFUNCTION("""COMPUTED_VALUE"""),0.0)</f>
        <v>0</v>
      </c>
      <c r="S5526" s="6" t="str">
        <f>IFERROR(__xludf.DUMMYFUNCTION("""COMPUTED_VALUE"""),"Kimberly Ball")</f>
        <v>Kimberly Ball</v>
      </c>
      <c r="T5526" s="6" t="str">
        <f>IFERROR(__xludf.DUMMYFUNCTION("""COMPUTED_VALUE"""),"kimberly.ball@studient.com")</f>
        <v>kimberly.ball@studient.com</v>
      </c>
      <c r="U5526" s="6" t="str">
        <f>IFERROR(__xludf.DUMMYFUNCTION("""COMPUTED_VALUE"""),"8")</f>
        <v>8</v>
      </c>
      <c r="V5526" s="6" t="str">
        <f>IFERROR(__xludf.DUMMYFUNCTION("""COMPUTED_VALUE"""),"")</f>
        <v/>
      </c>
      <c r="W5526" s="6" t="str">
        <f>IFERROR(__xludf.DUMMYFUNCTION("""COMPUTED_VALUE"""),"[]")</f>
        <v>[]</v>
      </c>
      <c r="X5526" s="6" t="str">
        <f>IFERROR(__xludf.DUMMYFUNCTION("""COMPUTED_VALUE"""),"Enrolled")</f>
        <v>Enrolled</v>
      </c>
    </row>
    <row r="5527">
      <c r="A5527" s="6" t="str">
        <f>IFERROR(__xludf.DUMMYFUNCTION("""COMPUTED_VALUE"""),"087-12124")</f>
        <v>087-12124</v>
      </c>
      <c r="B5527" s="6" t="str">
        <f>IFERROR(__xludf.DUMMYFUNCTION("""COMPUTED_VALUE"""),"87")</f>
        <v>87</v>
      </c>
      <c r="C5527" s="6" t="str">
        <f>IFERROR(__xludf.DUMMYFUNCTION("""COMPUTED_VALUE"""),"12124")</f>
        <v>12124</v>
      </c>
      <c r="D5527" s="6" t="str">
        <f>IFERROR(__xludf.DUMMYFUNCTION("""COMPUTED_VALUE"""),"Angelli")</f>
        <v>Angelli</v>
      </c>
      <c r="E5527" s="6" t="str">
        <f>IFERROR(__xludf.DUMMYFUNCTION("""COMPUTED_VALUE"""),"")</f>
        <v/>
      </c>
      <c r="F5527" s="6" t="str">
        <f>IFERROR(__xludf.DUMMYFUNCTION("""COMPUTED_VALUE"""),"Adame Adame")</f>
        <v>Adame Adame</v>
      </c>
      <c r="G5527" s="6" t="str">
        <f>IFERROR(__xludf.DUMMYFUNCTION("""COMPUTED_VALUE"""),"03/16/2014")</f>
        <v>03/16/2014</v>
      </c>
      <c r="H5527" s="6" t="str">
        <f>IFERROR(__xludf.DUMMYFUNCTION("""COMPUTED_VALUE"""),"female")</f>
        <v>female</v>
      </c>
      <c r="I5527" s="6" t="str">
        <f>IFERROR(__xludf.DUMMYFUNCTION("""COMPUTED_VALUE"""),"Middle School")</f>
        <v>Middle School</v>
      </c>
      <c r="J5527" s="6" t="str">
        <f>IFERROR(__xludf.DUMMYFUNCTION("""COMPUTED_VALUE"""),"6")</f>
        <v>6</v>
      </c>
      <c r="K5527" s="6" t="str">
        <f>IFERROR(__xludf.DUMMYFUNCTION("""COMPUTED_VALUE"""),"angelli.adameadame@2hourlearning.com")</f>
        <v>angelli.adameadame@2hourlearning.com</v>
      </c>
      <c r="L5527" s="6" t="str">
        <f>IFERROR(__xludf.DUMMYFUNCTION("""COMPUTED_VALUE"""),"JRHS - Ridgeland Secondary Academy of Excellence")</f>
        <v>JRHS - Ridgeland Secondary Academy of Excellence</v>
      </c>
      <c r="M5527" s="6" t="str">
        <f>IFERROR(__xludf.DUMMYFUNCTION("""COMPUTED_VALUE"""),"")</f>
        <v/>
      </c>
      <c r="N5527" s="6" t="str">
        <f>IFERROR(__xludf.DUMMYFUNCTION("""COMPUTED_VALUE"""),"")</f>
        <v/>
      </c>
      <c r="O5527" s="87" t="str">
        <f>IFERROR(__xludf.DUMMYFUNCTION("""COMPUTED_VALUE"""),"https://drive.google.com/drive/folders/10T2cTQHqEJZqE-st6uFKPoI?usp=share_link")</f>
        <v>https://drive.google.com/drive/folders/10T2cTQHqEJZqE-st6uFKPoI?usp=share_link</v>
      </c>
      <c r="P5527" s="6" t="str">
        <f>IFERROR(__xludf.DUMMYFUNCTION("""COMPUTED_VALUE"""),"Angelli Adame Adame")</f>
        <v>Angelli Adame Adame</v>
      </c>
      <c r="Q5527" s="6" t="str">
        <f>IFERROR(__xludf.DUMMYFUNCTION("""COMPUTED_VALUE"""),"MS")</f>
        <v>MS</v>
      </c>
      <c r="R5527" s="6">
        <f>IFERROR(__xludf.DUMMYFUNCTION("""COMPUTED_VALUE"""),0.0)</f>
        <v>0</v>
      </c>
      <c r="S5527" s="6" t="str">
        <f>IFERROR(__xludf.DUMMYFUNCTION("""COMPUTED_VALUE"""),"Kimberly Ball")</f>
        <v>Kimberly Ball</v>
      </c>
      <c r="T5527" s="6" t="str">
        <f>IFERROR(__xludf.DUMMYFUNCTION("""COMPUTED_VALUE"""),"kimberly.ball@studient.com")</f>
        <v>kimberly.ball@studient.com</v>
      </c>
      <c r="U5527" s="6" t="str">
        <f>IFERROR(__xludf.DUMMYFUNCTION("""COMPUTED_VALUE"""),"6")</f>
        <v>6</v>
      </c>
      <c r="V5527" s="6" t="str">
        <f>IFERROR(__xludf.DUMMYFUNCTION("""COMPUTED_VALUE"""),"")</f>
        <v/>
      </c>
      <c r="W5527" s="6" t="str">
        <f>IFERROR(__xludf.DUMMYFUNCTION("""COMPUTED_VALUE"""),"[]")</f>
        <v>[]</v>
      </c>
      <c r="X5527" s="6" t="str">
        <f>IFERROR(__xludf.DUMMYFUNCTION("""COMPUTED_VALUE"""),"Enrolled")</f>
        <v>Enrolled</v>
      </c>
    </row>
    <row r="5528">
      <c r="A5528" s="6" t="str">
        <f>IFERROR(__xludf.DUMMYFUNCTION("""COMPUTED_VALUE"""),"087-12125")</f>
        <v>087-12125</v>
      </c>
      <c r="B5528" s="6" t="str">
        <f>IFERROR(__xludf.DUMMYFUNCTION("""COMPUTED_VALUE"""),"87")</f>
        <v>87</v>
      </c>
      <c r="C5528" s="6" t="str">
        <f>IFERROR(__xludf.DUMMYFUNCTION("""COMPUTED_VALUE"""),"12125")</f>
        <v>12125</v>
      </c>
      <c r="D5528" s="6" t="str">
        <f>IFERROR(__xludf.DUMMYFUNCTION("""COMPUTED_VALUE"""),"Isla")</f>
        <v>Isla</v>
      </c>
      <c r="E5528" s="6" t="str">
        <f>IFERROR(__xludf.DUMMYFUNCTION("""COMPUTED_VALUE"""),"")</f>
        <v/>
      </c>
      <c r="F5528" s="6" t="str">
        <f>IFERROR(__xludf.DUMMYFUNCTION("""COMPUTED_VALUE"""),"Adame Reyna")</f>
        <v>Adame Reyna</v>
      </c>
      <c r="G5528" s="6" t="str">
        <f>IFERROR(__xludf.DUMMYFUNCTION("""COMPUTED_VALUE"""),"08/14/2013")</f>
        <v>08/14/2013</v>
      </c>
      <c r="H5528" s="6" t="str">
        <f>IFERROR(__xludf.DUMMYFUNCTION("""COMPUTED_VALUE"""),"female")</f>
        <v>female</v>
      </c>
      <c r="I5528" s="6" t="str">
        <f>IFERROR(__xludf.DUMMYFUNCTION("""COMPUTED_VALUE"""),"Middle School")</f>
        <v>Middle School</v>
      </c>
      <c r="J5528" s="6" t="str">
        <f>IFERROR(__xludf.DUMMYFUNCTION("""COMPUTED_VALUE"""),"6")</f>
        <v>6</v>
      </c>
      <c r="K5528" s="6" t="str">
        <f>IFERROR(__xludf.DUMMYFUNCTION("""COMPUTED_VALUE"""),"isla.adamereyna@2hourlearning.com")</f>
        <v>isla.adamereyna@2hourlearning.com</v>
      </c>
      <c r="L5528" s="6" t="str">
        <f>IFERROR(__xludf.DUMMYFUNCTION("""COMPUTED_VALUE"""),"JRHS - Ridgeland Secondary Academy of Excellence")</f>
        <v>JRHS - Ridgeland Secondary Academy of Excellence</v>
      </c>
      <c r="M5528" s="6" t="str">
        <f>IFERROR(__xludf.DUMMYFUNCTION("""COMPUTED_VALUE"""),"")</f>
        <v/>
      </c>
      <c r="N5528" s="6" t="str">
        <f>IFERROR(__xludf.DUMMYFUNCTION("""COMPUTED_VALUE"""),"")</f>
        <v/>
      </c>
      <c r="O5528" s="87" t="str">
        <f>IFERROR(__xludf.DUMMYFUNCTION("""COMPUTED_VALUE"""),"https://drive.google.com/drive/folders/10T2cTQHqEJZqE-st6uFKPoI?usp=share_link")</f>
        <v>https://drive.google.com/drive/folders/10T2cTQHqEJZqE-st6uFKPoI?usp=share_link</v>
      </c>
      <c r="P5528" s="6" t="str">
        <f>IFERROR(__xludf.DUMMYFUNCTION("""COMPUTED_VALUE"""),"Isla Adame Reyna")</f>
        <v>Isla Adame Reyna</v>
      </c>
      <c r="Q5528" s="6" t="str">
        <f>IFERROR(__xludf.DUMMYFUNCTION("""COMPUTED_VALUE"""),"MS")</f>
        <v>MS</v>
      </c>
      <c r="R5528" s="6">
        <f>IFERROR(__xludf.DUMMYFUNCTION("""COMPUTED_VALUE"""),0.0)</f>
        <v>0</v>
      </c>
      <c r="S5528" s="6" t="str">
        <f>IFERROR(__xludf.DUMMYFUNCTION("""COMPUTED_VALUE"""),"Kimberly Ball")</f>
        <v>Kimberly Ball</v>
      </c>
      <c r="T5528" s="6" t="str">
        <f>IFERROR(__xludf.DUMMYFUNCTION("""COMPUTED_VALUE"""),"kimberly.ball@studient.com")</f>
        <v>kimberly.ball@studient.com</v>
      </c>
      <c r="U5528" s="6" t="str">
        <f>IFERROR(__xludf.DUMMYFUNCTION("""COMPUTED_VALUE"""),"6")</f>
        <v>6</v>
      </c>
      <c r="V5528" s="6" t="str">
        <f>IFERROR(__xludf.DUMMYFUNCTION("""COMPUTED_VALUE"""),"")</f>
        <v/>
      </c>
      <c r="W5528" s="6" t="str">
        <f>IFERROR(__xludf.DUMMYFUNCTION("""COMPUTED_VALUE"""),"[]")</f>
        <v>[]</v>
      </c>
      <c r="X5528" s="6" t="str">
        <f>IFERROR(__xludf.DUMMYFUNCTION("""COMPUTED_VALUE"""),"Enrolled")</f>
        <v>Enrolled</v>
      </c>
    </row>
    <row r="5529">
      <c r="A5529" s="6" t="str">
        <f>IFERROR(__xludf.DUMMYFUNCTION("""COMPUTED_VALUE"""),"087-12126")</f>
        <v>087-12126</v>
      </c>
      <c r="B5529" s="6" t="str">
        <f>IFERROR(__xludf.DUMMYFUNCTION("""COMPUTED_VALUE"""),"87")</f>
        <v>87</v>
      </c>
      <c r="C5529" s="6" t="str">
        <f>IFERROR(__xludf.DUMMYFUNCTION("""COMPUTED_VALUE"""),"12126")</f>
        <v>12126</v>
      </c>
      <c r="D5529" s="6" t="str">
        <f>IFERROR(__xludf.DUMMYFUNCTION("""COMPUTED_VALUE"""),"Yair")</f>
        <v>Yair</v>
      </c>
      <c r="E5529" s="6" t="str">
        <f>IFERROR(__xludf.DUMMYFUNCTION("""COMPUTED_VALUE"""),"")</f>
        <v/>
      </c>
      <c r="F5529" s="6" t="str">
        <f>IFERROR(__xludf.DUMMYFUNCTION("""COMPUTED_VALUE"""),"Aguilar Catalan")</f>
        <v>Aguilar Catalan</v>
      </c>
      <c r="G5529" s="6" t="str">
        <f>IFERROR(__xludf.DUMMYFUNCTION("""COMPUTED_VALUE"""),"03/23/2012")</f>
        <v>03/23/2012</v>
      </c>
      <c r="H5529" s="6" t="str">
        <f>IFERROR(__xludf.DUMMYFUNCTION("""COMPUTED_VALUE"""),"male")</f>
        <v>male</v>
      </c>
      <c r="I5529" s="6" t="str">
        <f>IFERROR(__xludf.DUMMYFUNCTION("""COMPUTED_VALUE"""),"Middle School")</f>
        <v>Middle School</v>
      </c>
      <c r="J5529" s="6" t="str">
        <f>IFERROR(__xludf.DUMMYFUNCTION("""COMPUTED_VALUE"""),"8")</f>
        <v>8</v>
      </c>
      <c r="K5529" s="6" t="str">
        <f>IFERROR(__xludf.DUMMYFUNCTION("""COMPUTED_VALUE"""),"yair.aguilarcatalan@2hourlearning.com")</f>
        <v>yair.aguilarcatalan@2hourlearning.com</v>
      </c>
      <c r="L5529" s="6" t="str">
        <f>IFERROR(__xludf.DUMMYFUNCTION("""COMPUTED_VALUE"""),"JRHS - Ridgeland Secondary Academy of Excellence")</f>
        <v>JRHS - Ridgeland Secondary Academy of Excellence</v>
      </c>
      <c r="M5529" s="6" t="str">
        <f>IFERROR(__xludf.DUMMYFUNCTION("""COMPUTED_VALUE"""),"")</f>
        <v/>
      </c>
      <c r="N5529" s="6" t="str">
        <f>IFERROR(__xludf.DUMMYFUNCTION("""COMPUTED_VALUE"""),"")</f>
        <v/>
      </c>
      <c r="O5529" s="87" t="str">
        <f>IFERROR(__xludf.DUMMYFUNCTION("""COMPUTED_VALUE"""),"https://drive.google.com/drive/folders/10T2cTQHqEJZqE-st6uFKPoI?usp=share_link")</f>
        <v>https://drive.google.com/drive/folders/10T2cTQHqEJZqE-st6uFKPoI?usp=share_link</v>
      </c>
      <c r="P5529" s="6" t="str">
        <f>IFERROR(__xludf.DUMMYFUNCTION("""COMPUTED_VALUE"""),"Yair Aguilar Catalan")</f>
        <v>Yair Aguilar Catalan</v>
      </c>
      <c r="Q5529" s="6" t="str">
        <f>IFERROR(__xludf.DUMMYFUNCTION("""COMPUTED_VALUE"""),"MS")</f>
        <v>MS</v>
      </c>
      <c r="R5529" s="6">
        <f>IFERROR(__xludf.DUMMYFUNCTION("""COMPUTED_VALUE"""),0.0)</f>
        <v>0</v>
      </c>
      <c r="S5529" s="6" t="str">
        <f>IFERROR(__xludf.DUMMYFUNCTION("""COMPUTED_VALUE"""),"Kimberly Ball")</f>
        <v>Kimberly Ball</v>
      </c>
      <c r="T5529" s="6" t="str">
        <f>IFERROR(__xludf.DUMMYFUNCTION("""COMPUTED_VALUE"""),"kimberly.ball@studient.com")</f>
        <v>kimberly.ball@studient.com</v>
      </c>
      <c r="U5529" s="6" t="str">
        <f>IFERROR(__xludf.DUMMYFUNCTION("""COMPUTED_VALUE"""),"8")</f>
        <v>8</v>
      </c>
      <c r="V5529" s="6" t="str">
        <f>IFERROR(__xludf.DUMMYFUNCTION("""COMPUTED_VALUE"""),"")</f>
        <v/>
      </c>
      <c r="W5529" s="6" t="str">
        <f>IFERROR(__xludf.DUMMYFUNCTION("""COMPUTED_VALUE"""),"[]")</f>
        <v>[]</v>
      </c>
      <c r="X5529" s="6" t="str">
        <f>IFERROR(__xludf.DUMMYFUNCTION("""COMPUTED_VALUE"""),"Enrolled")</f>
        <v>Enrolled</v>
      </c>
    </row>
    <row r="5530">
      <c r="A5530" s="6" t="str">
        <f>IFERROR(__xludf.DUMMYFUNCTION("""COMPUTED_VALUE"""),"087-12127")</f>
        <v>087-12127</v>
      </c>
      <c r="B5530" s="6" t="str">
        <f>IFERROR(__xludf.DUMMYFUNCTION("""COMPUTED_VALUE"""),"87")</f>
        <v>87</v>
      </c>
      <c r="C5530" s="6" t="str">
        <f>IFERROR(__xludf.DUMMYFUNCTION("""COMPUTED_VALUE"""),"12127")</f>
        <v>12127</v>
      </c>
      <c r="D5530" s="6" t="str">
        <f>IFERROR(__xludf.DUMMYFUNCTION("""COMPUTED_VALUE"""),"Keiomion")</f>
        <v>Keiomion</v>
      </c>
      <c r="E5530" s="6" t="str">
        <f>IFERROR(__xludf.DUMMYFUNCTION("""COMPUTED_VALUE"""),"")</f>
        <v/>
      </c>
      <c r="F5530" s="6" t="str">
        <f>IFERROR(__xludf.DUMMYFUNCTION("""COMPUTED_VALUE"""),"Aiken")</f>
        <v>Aiken</v>
      </c>
      <c r="G5530" s="6" t="str">
        <f>IFERROR(__xludf.DUMMYFUNCTION("""COMPUTED_VALUE"""),"12/21/2013")</f>
        <v>12/21/2013</v>
      </c>
      <c r="H5530" s="6" t="str">
        <f>IFERROR(__xludf.DUMMYFUNCTION("""COMPUTED_VALUE"""),"female")</f>
        <v>female</v>
      </c>
      <c r="I5530" s="6" t="str">
        <f>IFERROR(__xludf.DUMMYFUNCTION("""COMPUTED_VALUE"""),"Middle School")</f>
        <v>Middle School</v>
      </c>
      <c r="J5530" s="6" t="str">
        <f>IFERROR(__xludf.DUMMYFUNCTION("""COMPUTED_VALUE"""),"6")</f>
        <v>6</v>
      </c>
      <c r="K5530" s="6" t="str">
        <f>IFERROR(__xludf.DUMMYFUNCTION("""COMPUTED_VALUE"""),"keiomion.aiken@2hourlearning.com")</f>
        <v>keiomion.aiken@2hourlearning.com</v>
      </c>
      <c r="L5530" s="6" t="str">
        <f>IFERROR(__xludf.DUMMYFUNCTION("""COMPUTED_VALUE"""),"JRHS - Ridgeland Secondary Academy of Excellence")</f>
        <v>JRHS - Ridgeland Secondary Academy of Excellence</v>
      </c>
      <c r="M5530" s="6" t="str">
        <f>IFERROR(__xludf.DUMMYFUNCTION("""COMPUTED_VALUE"""),"")</f>
        <v/>
      </c>
      <c r="N5530" s="6" t="str">
        <f>IFERROR(__xludf.DUMMYFUNCTION("""COMPUTED_VALUE"""),"")</f>
        <v/>
      </c>
      <c r="O5530" s="87" t="str">
        <f>IFERROR(__xludf.DUMMYFUNCTION("""COMPUTED_VALUE"""),"https://drive.google.com/drive/folders/10T2cTQHqEJZqE-st6uFKPoI?usp=share_link")</f>
        <v>https://drive.google.com/drive/folders/10T2cTQHqEJZqE-st6uFKPoI?usp=share_link</v>
      </c>
      <c r="P5530" s="6" t="str">
        <f>IFERROR(__xludf.DUMMYFUNCTION("""COMPUTED_VALUE"""),"Keiomion Aiken")</f>
        <v>Keiomion Aiken</v>
      </c>
      <c r="Q5530" s="6" t="str">
        <f>IFERROR(__xludf.DUMMYFUNCTION("""COMPUTED_VALUE"""),"MS")</f>
        <v>MS</v>
      </c>
      <c r="R5530" s="6">
        <f>IFERROR(__xludf.DUMMYFUNCTION("""COMPUTED_VALUE"""),0.0)</f>
        <v>0</v>
      </c>
      <c r="S5530" s="6" t="str">
        <f>IFERROR(__xludf.DUMMYFUNCTION("""COMPUTED_VALUE"""),"Kimberly Ball")</f>
        <v>Kimberly Ball</v>
      </c>
      <c r="T5530" s="6" t="str">
        <f>IFERROR(__xludf.DUMMYFUNCTION("""COMPUTED_VALUE"""),"kimberly.ball@studient.com")</f>
        <v>kimberly.ball@studient.com</v>
      </c>
      <c r="U5530" s="6" t="str">
        <f>IFERROR(__xludf.DUMMYFUNCTION("""COMPUTED_VALUE"""),"6")</f>
        <v>6</v>
      </c>
      <c r="V5530" s="6" t="str">
        <f>IFERROR(__xludf.DUMMYFUNCTION("""COMPUTED_VALUE"""),"")</f>
        <v/>
      </c>
      <c r="W5530" s="6" t="str">
        <f>IFERROR(__xludf.DUMMYFUNCTION("""COMPUTED_VALUE"""),"[]")</f>
        <v>[]</v>
      </c>
      <c r="X5530" s="6" t="str">
        <f>IFERROR(__xludf.DUMMYFUNCTION("""COMPUTED_VALUE"""),"Enrolled")</f>
        <v>Enrolled</v>
      </c>
    </row>
    <row r="5531">
      <c r="A5531" s="6" t="str">
        <f>IFERROR(__xludf.DUMMYFUNCTION("""COMPUTED_VALUE"""),"087-12128")</f>
        <v>087-12128</v>
      </c>
      <c r="B5531" s="6" t="str">
        <f>IFERROR(__xludf.DUMMYFUNCTION("""COMPUTED_VALUE"""),"87")</f>
        <v>87</v>
      </c>
      <c r="C5531" s="6" t="str">
        <f>IFERROR(__xludf.DUMMYFUNCTION("""COMPUTED_VALUE"""),"12128")</f>
        <v>12128</v>
      </c>
      <c r="D5531" s="6" t="str">
        <f>IFERROR(__xludf.DUMMYFUNCTION("""COMPUTED_VALUE"""),"Zuriel")</f>
        <v>Zuriel</v>
      </c>
      <c r="E5531" s="6" t="str">
        <f>IFERROR(__xludf.DUMMYFUNCTION("""COMPUTED_VALUE"""),"")</f>
        <v/>
      </c>
      <c r="F5531" s="6" t="str">
        <f>IFERROR(__xludf.DUMMYFUNCTION("""COMPUTED_VALUE"""),"Alarcon Salgado")</f>
        <v>Alarcon Salgado</v>
      </c>
      <c r="G5531" s="6" t="str">
        <f>IFERROR(__xludf.DUMMYFUNCTION("""COMPUTED_VALUE"""),"07/13/2011")</f>
        <v>07/13/2011</v>
      </c>
      <c r="H5531" s="6" t="str">
        <f>IFERROR(__xludf.DUMMYFUNCTION("""COMPUTED_VALUE"""),"female")</f>
        <v>female</v>
      </c>
      <c r="I5531" s="6" t="str">
        <f>IFERROR(__xludf.DUMMYFUNCTION("""COMPUTED_VALUE"""),"Middle School")</f>
        <v>Middle School</v>
      </c>
      <c r="J5531" s="6" t="str">
        <f>IFERROR(__xludf.DUMMYFUNCTION("""COMPUTED_VALUE"""),"7")</f>
        <v>7</v>
      </c>
      <c r="K5531" s="6" t="str">
        <f>IFERROR(__xludf.DUMMYFUNCTION("""COMPUTED_VALUE"""),"zuriel.alarconsalgado@2hourlearning.com")</f>
        <v>zuriel.alarconsalgado@2hourlearning.com</v>
      </c>
      <c r="L5531" s="6" t="str">
        <f>IFERROR(__xludf.DUMMYFUNCTION("""COMPUTED_VALUE"""),"JRHS - Ridgeland Secondary Academy of Excellence")</f>
        <v>JRHS - Ridgeland Secondary Academy of Excellence</v>
      </c>
      <c r="M5531" s="6" t="str">
        <f>IFERROR(__xludf.DUMMYFUNCTION("""COMPUTED_VALUE"""),"")</f>
        <v/>
      </c>
      <c r="N5531" s="6" t="str">
        <f>IFERROR(__xludf.DUMMYFUNCTION("""COMPUTED_VALUE"""),"")</f>
        <v/>
      </c>
      <c r="O5531" s="87" t="str">
        <f>IFERROR(__xludf.DUMMYFUNCTION("""COMPUTED_VALUE"""),"https://drive.google.com/drive/folders/10T2cTQHqEJZqE-st6uFKPoI?usp=share_link")</f>
        <v>https://drive.google.com/drive/folders/10T2cTQHqEJZqE-st6uFKPoI?usp=share_link</v>
      </c>
      <c r="P5531" s="6" t="str">
        <f>IFERROR(__xludf.DUMMYFUNCTION("""COMPUTED_VALUE"""),"Zuriel Alarcon Salgado")</f>
        <v>Zuriel Alarcon Salgado</v>
      </c>
      <c r="Q5531" s="6" t="str">
        <f>IFERROR(__xludf.DUMMYFUNCTION("""COMPUTED_VALUE"""),"MS")</f>
        <v>MS</v>
      </c>
      <c r="R5531" s="6">
        <f>IFERROR(__xludf.DUMMYFUNCTION("""COMPUTED_VALUE"""),0.0)</f>
        <v>0</v>
      </c>
      <c r="S5531" s="6" t="str">
        <f>IFERROR(__xludf.DUMMYFUNCTION("""COMPUTED_VALUE"""),"Kimberly Ball")</f>
        <v>Kimberly Ball</v>
      </c>
      <c r="T5531" s="6" t="str">
        <f>IFERROR(__xludf.DUMMYFUNCTION("""COMPUTED_VALUE"""),"kimberly.ball@studient.com")</f>
        <v>kimberly.ball@studient.com</v>
      </c>
      <c r="U5531" s="6" t="str">
        <f>IFERROR(__xludf.DUMMYFUNCTION("""COMPUTED_VALUE"""),"7")</f>
        <v>7</v>
      </c>
      <c r="V5531" s="6" t="str">
        <f>IFERROR(__xludf.DUMMYFUNCTION("""COMPUTED_VALUE"""),"")</f>
        <v/>
      </c>
      <c r="W5531" s="6" t="str">
        <f>IFERROR(__xludf.DUMMYFUNCTION("""COMPUTED_VALUE"""),"[]")</f>
        <v>[]</v>
      </c>
      <c r="X5531" s="6" t="str">
        <f>IFERROR(__xludf.DUMMYFUNCTION("""COMPUTED_VALUE"""),"Enrolled")</f>
        <v>Enrolled</v>
      </c>
    </row>
    <row r="5532">
      <c r="A5532" s="6" t="str">
        <f>IFERROR(__xludf.DUMMYFUNCTION("""COMPUTED_VALUE"""),"087-12129")</f>
        <v>087-12129</v>
      </c>
      <c r="B5532" s="6" t="str">
        <f>IFERROR(__xludf.DUMMYFUNCTION("""COMPUTED_VALUE"""),"87")</f>
        <v>87</v>
      </c>
      <c r="C5532" s="6" t="str">
        <f>IFERROR(__xludf.DUMMYFUNCTION("""COMPUTED_VALUE"""),"12129")</f>
        <v>12129</v>
      </c>
      <c r="D5532" s="6" t="str">
        <f>IFERROR(__xludf.DUMMYFUNCTION("""COMPUTED_VALUE"""),"Vyman")</f>
        <v>Vyman</v>
      </c>
      <c r="E5532" s="6" t="str">
        <f>IFERROR(__xludf.DUMMYFUNCTION("""COMPUTED_VALUE"""),"")</f>
        <v/>
      </c>
      <c r="F5532" s="6" t="str">
        <f>IFERROR(__xludf.DUMMYFUNCTION("""COMPUTED_VALUE"""),"Alva Ramos")</f>
        <v>Alva Ramos</v>
      </c>
      <c r="G5532" s="6" t="str">
        <f>IFERROR(__xludf.DUMMYFUNCTION("""COMPUTED_VALUE"""),"09/18/2011")</f>
        <v>09/18/2011</v>
      </c>
      <c r="H5532" s="6" t="str">
        <f>IFERROR(__xludf.DUMMYFUNCTION("""COMPUTED_VALUE"""),"male")</f>
        <v>male</v>
      </c>
      <c r="I5532" s="6" t="str">
        <f>IFERROR(__xludf.DUMMYFUNCTION("""COMPUTED_VALUE"""),"Middle School")</f>
        <v>Middle School</v>
      </c>
      <c r="J5532" s="6" t="str">
        <f>IFERROR(__xludf.DUMMYFUNCTION("""COMPUTED_VALUE"""),"8")</f>
        <v>8</v>
      </c>
      <c r="K5532" s="6" t="str">
        <f>IFERROR(__xludf.DUMMYFUNCTION("""COMPUTED_VALUE"""),"vyman.alvaramos@2hourlearning.com")</f>
        <v>vyman.alvaramos@2hourlearning.com</v>
      </c>
      <c r="L5532" s="6" t="str">
        <f>IFERROR(__xludf.DUMMYFUNCTION("""COMPUTED_VALUE"""),"JRHS - Ridgeland Secondary Academy of Excellence")</f>
        <v>JRHS - Ridgeland Secondary Academy of Excellence</v>
      </c>
      <c r="M5532" s="6" t="str">
        <f>IFERROR(__xludf.DUMMYFUNCTION("""COMPUTED_VALUE"""),"")</f>
        <v/>
      </c>
      <c r="N5532" s="6" t="str">
        <f>IFERROR(__xludf.DUMMYFUNCTION("""COMPUTED_VALUE"""),"")</f>
        <v/>
      </c>
      <c r="O5532" s="87" t="str">
        <f>IFERROR(__xludf.DUMMYFUNCTION("""COMPUTED_VALUE"""),"https://drive.google.com/drive/folders/10T2cTQHqEJZqE-st6uFKPoI?usp=share_link")</f>
        <v>https://drive.google.com/drive/folders/10T2cTQHqEJZqE-st6uFKPoI?usp=share_link</v>
      </c>
      <c r="P5532" s="6" t="str">
        <f>IFERROR(__xludf.DUMMYFUNCTION("""COMPUTED_VALUE"""),"Vyman Alva Ramos")</f>
        <v>Vyman Alva Ramos</v>
      </c>
      <c r="Q5532" s="6" t="str">
        <f>IFERROR(__xludf.DUMMYFUNCTION("""COMPUTED_VALUE"""),"MS")</f>
        <v>MS</v>
      </c>
      <c r="R5532" s="6">
        <f>IFERROR(__xludf.DUMMYFUNCTION("""COMPUTED_VALUE"""),0.0)</f>
        <v>0</v>
      </c>
      <c r="S5532" s="6" t="str">
        <f>IFERROR(__xludf.DUMMYFUNCTION("""COMPUTED_VALUE"""),"Kimberly Ball")</f>
        <v>Kimberly Ball</v>
      </c>
      <c r="T5532" s="6" t="str">
        <f>IFERROR(__xludf.DUMMYFUNCTION("""COMPUTED_VALUE"""),"kimberly.ball@studient.com")</f>
        <v>kimberly.ball@studient.com</v>
      </c>
      <c r="U5532" s="6" t="str">
        <f>IFERROR(__xludf.DUMMYFUNCTION("""COMPUTED_VALUE"""),"8")</f>
        <v>8</v>
      </c>
      <c r="V5532" s="6" t="str">
        <f>IFERROR(__xludf.DUMMYFUNCTION("""COMPUTED_VALUE"""),"")</f>
        <v/>
      </c>
      <c r="W5532" s="6" t="str">
        <f>IFERROR(__xludf.DUMMYFUNCTION("""COMPUTED_VALUE"""),"[]")</f>
        <v>[]</v>
      </c>
      <c r="X5532" s="6" t="str">
        <f>IFERROR(__xludf.DUMMYFUNCTION("""COMPUTED_VALUE"""),"Enrolled")</f>
        <v>Enrolled</v>
      </c>
    </row>
    <row r="5533">
      <c r="A5533" s="6" t="str">
        <f>IFERROR(__xludf.DUMMYFUNCTION("""COMPUTED_VALUE"""),"087-12130")</f>
        <v>087-12130</v>
      </c>
      <c r="B5533" s="6" t="str">
        <f>IFERROR(__xludf.DUMMYFUNCTION("""COMPUTED_VALUE"""),"87")</f>
        <v>87</v>
      </c>
      <c r="C5533" s="6" t="str">
        <f>IFERROR(__xludf.DUMMYFUNCTION("""COMPUTED_VALUE"""),"12130")</f>
        <v>12130</v>
      </c>
      <c r="D5533" s="6" t="str">
        <f>IFERROR(__xludf.DUMMYFUNCTION("""COMPUTED_VALUE"""),"Christian")</f>
        <v>Christian</v>
      </c>
      <c r="E5533" s="6" t="str">
        <f>IFERROR(__xludf.DUMMYFUNCTION("""COMPUTED_VALUE"""),"")</f>
        <v/>
      </c>
      <c r="F5533" s="6" t="str">
        <f>IFERROR(__xludf.DUMMYFUNCTION("""COMPUTED_VALUE"""),"Anderson")</f>
        <v>Anderson</v>
      </c>
      <c r="G5533" s="6" t="str">
        <f>IFERROR(__xludf.DUMMYFUNCTION("""COMPUTED_VALUE"""),"06/19/2013")</f>
        <v>06/19/2013</v>
      </c>
      <c r="H5533" s="6" t="str">
        <f>IFERROR(__xludf.DUMMYFUNCTION("""COMPUTED_VALUE"""),"male")</f>
        <v>male</v>
      </c>
      <c r="I5533" s="6" t="str">
        <f>IFERROR(__xludf.DUMMYFUNCTION("""COMPUTED_VALUE"""),"Middle School")</f>
        <v>Middle School</v>
      </c>
      <c r="J5533" s="6" t="str">
        <f>IFERROR(__xludf.DUMMYFUNCTION("""COMPUTED_VALUE"""),"7")</f>
        <v>7</v>
      </c>
      <c r="K5533" s="6" t="str">
        <f>IFERROR(__xludf.DUMMYFUNCTION("""COMPUTED_VALUE"""),"christian.anderson2@2hourlearning.com")</f>
        <v>christian.anderson2@2hourlearning.com</v>
      </c>
      <c r="L5533" s="6" t="str">
        <f>IFERROR(__xludf.DUMMYFUNCTION("""COMPUTED_VALUE"""),"JRHS - Ridgeland Secondary Academy of Excellence")</f>
        <v>JRHS - Ridgeland Secondary Academy of Excellence</v>
      </c>
      <c r="M5533" s="6" t="str">
        <f>IFERROR(__xludf.DUMMYFUNCTION("""COMPUTED_VALUE"""),"")</f>
        <v/>
      </c>
      <c r="N5533" s="6" t="str">
        <f>IFERROR(__xludf.DUMMYFUNCTION("""COMPUTED_VALUE"""),"")</f>
        <v/>
      </c>
      <c r="O5533" s="87" t="str">
        <f>IFERROR(__xludf.DUMMYFUNCTION("""COMPUTED_VALUE"""),"https://drive.google.com/drive/folders/10T2cTQHqEJZqE-st6uFKPoI?usp=share_link")</f>
        <v>https://drive.google.com/drive/folders/10T2cTQHqEJZqE-st6uFKPoI?usp=share_link</v>
      </c>
      <c r="P5533" s="6" t="str">
        <f>IFERROR(__xludf.DUMMYFUNCTION("""COMPUTED_VALUE"""),"Christian Anderson")</f>
        <v>Christian Anderson</v>
      </c>
      <c r="Q5533" s="6" t="str">
        <f>IFERROR(__xludf.DUMMYFUNCTION("""COMPUTED_VALUE"""),"MS")</f>
        <v>MS</v>
      </c>
      <c r="R5533" s="6">
        <f>IFERROR(__xludf.DUMMYFUNCTION("""COMPUTED_VALUE"""),0.0)</f>
        <v>0</v>
      </c>
      <c r="S5533" s="6" t="str">
        <f>IFERROR(__xludf.DUMMYFUNCTION("""COMPUTED_VALUE"""),"Kimberly Ball")</f>
        <v>Kimberly Ball</v>
      </c>
      <c r="T5533" s="6" t="str">
        <f>IFERROR(__xludf.DUMMYFUNCTION("""COMPUTED_VALUE"""),"kimberly.ball@studient.com")</f>
        <v>kimberly.ball@studient.com</v>
      </c>
      <c r="U5533" s="6" t="str">
        <f>IFERROR(__xludf.DUMMYFUNCTION("""COMPUTED_VALUE"""),"7")</f>
        <v>7</v>
      </c>
      <c r="V5533" s="6" t="str">
        <f>IFERROR(__xludf.DUMMYFUNCTION("""COMPUTED_VALUE"""),"")</f>
        <v/>
      </c>
      <c r="W5533" s="6" t="str">
        <f>IFERROR(__xludf.DUMMYFUNCTION("""COMPUTED_VALUE"""),"[]")</f>
        <v>[]</v>
      </c>
      <c r="X5533" s="6" t="str">
        <f>IFERROR(__xludf.DUMMYFUNCTION("""COMPUTED_VALUE"""),"Enrolled")</f>
        <v>Enrolled</v>
      </c>
    </row>
    <row r="5534">
      <c r="A5534" s="6" t="str">
        <f>IFERROR(__xludf.DUMMYFUNCTION("""COMPUTED_VALUE"""),"087-12131")</f>
        <v>087-12131</v>
      </c>
      <c r="B5534" s="6" t="str">
        <f>IFERROR(__xludf.DUMMYFUNCTION("""COMPUTED_VALUE"""),"87")</f>
        <v>87</v>
      </c>
      <c r="C5534" s="6" t="str">
        <f>IFERROR(__xludf.DUMMYFUNCTION("""COMPUTED_VALUE"""),"12131")</f>
        <v>12131</v>
      </c>
      <c r="D5534" s="6" t="str">
        <f>IFERROR(__xludf.DUMMYFUNCTION("""COMPUTED_VALUE"""),"Cordell")</f>
        <v>Cordell</v>
      </c>
      <c r="E5534" s="6" t="str">
        <f>IFERROR(__xludf.DUMMYFUNCTION("""COMPUTED_VALUE"""),"")</f>
        <v/>
      </c>
      <c r="F5534" s="6" t="str">
        <f>IFERROR(__xludf.DUMMYFUNCTION("""COMPUTED_VALUE"""),"Anderson")</f>
        <v>Anderson</v>
      </c>
      <c r="G5534" s="6" t="str">
        <f>IFERROR(__xludf.DUMMYFUNCTION("""COMPUTED_VALUE"""),"10/15/2013")</f>
        <v>10/15/2013</v>
      </c>
      <c r="H5534" s="6" t="str">
        <f>IFERROR(__xludf.DUMMYFUNCTION("""COMPUTED_VALUE"""),"male")</f>
        <v>male</v>
      </c>
      <c r="I5534" s="6" t="str">
        <f>IFERROR(__xludf.DUMMYFUNCTION("""COMPUTED_VALUE"""),"Middle School")</f>
        <v>Middle School</v>
      </c>
      <c r="J5534" s="6" t="str">
        <f>IFERROR(__xludf.DUMMYFUNCTION("""COMPUTED_VALUE"""),"6")</f>
        <v>6</v>
      </c>
      <c r="K5534" s="6" t="str">
        <f>IFERROR(__xludf.DUMMYFUNCTION("""COMPUTED_VALUE"""),"cordell.anderson@2hourlearning.com")</f>
        <v>cordell.anderson@2hourlearning.com</v>
      </c>
      <c r="L5534" s="6" t="str">
        <f>IFERROR(__xludf.DUMMYFUNCTION("""COMPUTED_VALUE"""),"JRHS - Ridgeland Secondary Academy of Excellence")</f>
        <v>JRHS - Ridgeland Secondary Academy of Excellence</v>
      </c>
      <c r="M5534" s="6" t="str">
        <f>IFERROR(__xludf.DUMMYFUNCTION("""COMPUTED_VALUE"""),"")</f>
        <v/>
      </c>
      <c r="N5534" s="6" t="str">
        <f>IFERROR(__xludf.DUMMYFUNCTION("""COMPUTED_VALUE"""),"")</f>
        <v/>
      </c>
      <c r="O5534" s="87" t="str">
        <f>IFERROR(__xludf.DUMMYFUNCTION("""COMPUTED_VALUE"""),"https://drive.google.com/drive/folders/10T2cTQHqEJZqE-st6uFKPoI?usp=share_link")</f>
        <v>https://drive.google.com/drive/folders/10T2cTQHqEJZqE-st6uFKPoI?usp=share_link</v>
      </c>
      <c r="P5534" s="6" t="str">
        <f>IFERROR(__xludf.DUMMYFUNCTION("""COMPUTED_VALUE"""),"Cordell Anderson")</f>
        <v>Cordell Anderson</v>
      </c>
      <c r="Q5534" s="6" t="str">
        <f>IFERROR(__xludf.DUMMYFUNCTION("""COMPUTED_VALUE"""),"MS")</f>
        <v>MS</v>
      </c>
      <c r="R5534" s="6">
        <f>IFERROR(__xludf.DUMMYFUNCTION("""COMPUTED_VALUE"""),0.0)</f>
        <v>0</v>
      </c>
      <c r="S5534" s="6" t="str">
        <f>IFERROR(__xludf.DUMMYFUNCTION("""COMPUTED_VALUE"""),"Kimberly Ball")</f>
        <v>Kimberly Ball</v>
      </c>
      <c r="T5534" s="6" t="str">
        <f>IFERROR(__xludf.DUMMYFUNCTION("""COMPUTED_VALUE"""),"kimberly.ball@studient.com")</f>
        <v>kimberly.ball@studient.com</v>
      </c>
      <c r="U5534" s="6" t="str">
        <f>IFERROR(__xludf.DUMMYFUNCTION("""COMPUTED_VALUE"""),"6")</f>
        <v>6</v>
      </c>
      <c r="V5534" s="6" t="str">
        <f>IFERROR(__xludf.DUMMYFUNCTION("""COMPUTED_VALUE"""),"")</f>
        <v/>
      </c>
      <c r="W5534" s="6" t="str">
        <f>IFERROR(__xludf.DUMMYFUNCTION("""COMPUTED_VALUE"""),"[]")</f>
        <v>[]</v>
      </c>
      <c r="X5534" s="6" t="str">
        <f>IFERROR(__xludf.DUMMYFUNCTION("""COMPUTED_VALUE"""),"Enrolled")</f>
        <v>Enrolled</v>
      </c>
    </row>
    <row r="5535">
      <c r="A5535" s="6" t="str">
        <f>IFERROR(__xludf.DUMMYFUNCTION("""COMPUTED_VALUE"""),"087-12132")</f>
        <v>087-12132</v>
      </c>
      <c r="B5535" s="6" t="str">
        <f>IFERROR(__xludf.DUMMYFUNCTION("""COMPUTED_VALUE"""),"87")</f>
        <v>87</v>
      </c>
      <c r="C5535" s="6" t="str">
        <f>IFERROR(__xludf.DUMMYFUNCTION("""COMPUTED_VALUE"""),"12132")</f>
        <v>12132</v>
      </c>
      <c r="D5535" s="6" t="str">
        <f>IFERROR(__xludf.DUMMYFUNCTION("""COMPUTED_VALUE"""),"Jaylen")</f>
        <v>Jaylen</v>
      </c>
      <c r="E5535" s="6" t="str">
        <f>IFERROR(__xludf.DUMMYFUNCTION("""COMPUTED_VALUE"""),"")</f>
        <v/>
      </c>
      <c r="F5535" s="6" t="str">
        <f>IFERROR(__xludf.DUMMYFUNCTION("""COMPUTED_VALUE"""),"Anderson")</f>
        <v>Anderson</v>
      </c>
      <c r="G5535" s="6" t="str">
        <f>IFERROR(__xludf.DUMMYFUNCTION("""COMPUTED_VALUE"""),"06/05/2011")</f>
        <v>06/05/2011</v>
      </c>
      <c r="H5535" s="6" t="str">
        <f>IFERROR(__xludf.DUMMYFUNCTION("""COMPUTED_VALUE"""),"male")</f>
        <v>male</v>
      </c>
      <c r="I5535" s="6" t="str">
        <f>IFERROR(__xludf.DUMMYFUNCTION("""COMPUTED_VALUE"""),"Middle School")</f>
        <v>Middle School</v>
      </c>
      <c r="J5535" s="6" t="str">
        <f>IFERROR(__xludf.DUMMYFUNCTION("""COMPUTED_VALUE"""),"8")</f>
        <v>8</v>
      </c>
      <c r="K5535" s="6" t="str">
        <f>IFERROR(__xludf.DUMMYFUNCTION("""COMPUTED_VALUE"""),"jaylen.anderson@2hourlearning.com")</f>
        <v>jaylen.anderson@2hourlearning.com</v>
      </c>
      <c r="L5535" s="6" t="str">
        <f>IFERROR(__xludf.DUMMYFUNCTION("""COMPUTED_VALUE"""),"JRHS - Ridgeland Secondary Academy of Excellence")</f>
        <v>JRHS - Ridgeland Secondary Academy of Excellence</v>
      </c>
      <c r="M5535" s="6" t="str">
        <f>IFERROR(__xludf.DUMMYFUNCTION("""COMPUTED_VALUE"""),"")</f>
        <v/>
      </c>
      <c r="N5535" s="6" t="str">
        <f>IFERROR(__xludf.DUMMYFUNCTION("""COMPUTED_VALUE"""),"")</f>
        <v/>
      </c>
      <c r="O5535" s="87" t="str">
        <f>IFERROR(__xludf.DUMMYFUNCTION("""COMPUTED_VALUE"""),"https://drive.google.com/drive/folders/10T2cTQHqEJZqE-st6uFKPoI?usp=share_link")</f>
        <v>https://drive.google.com/drive/folders/10T2cTQHqEJZqE-st6uFKPoI?usp=share_link</v>
      </c>
      <c r="P5535" s="6" t="str">
        <f>IFERROR(__xludf.DUMMYFUNCTION("""COMPUTED_VALUE"""),"Jaylen Anderson")</f>
        <v>Jaylen Anderson</v>
      </c>
      <c r="Q5535" s="6" t="str">
        <f>IFERROR(__xludf.DUMMYFUNCTION("""COMPUTED_VALUE"""),"MS")</f>
        <v>MS</v>
      </c>
      <c r="R5535" s="6">
        <f>IFERROR(__xludf.DUMMYFUNCTION("""COMPUTED_VALUE"""),0.0)</f>
        <v>0</v>
      </c>
      <c r="S5535" s="6" t="str">
        <f>IFERROR(__xludf.DUMMYFUNCTION("""COMPUTED_VALUE"""),"Kimberly Ball")</f>
        <v>Kimberly Ball</v>
      </c>
      <c r="T5535" s="6" t="str">
        <f>IFERROR(__xludf.DUMMYFUNCTION("""COMPUTED_VALUE"""),"kimberly.ball@studient.com")</f>
        <v>kimberly.ball@studient.com</v>
      </c>
      <c r="U5535" s="6" t="str">
        <f>IFERROR(__xludf.DUMMYFUNCTION("""COMPUTED_VALUE"""),"8")</f>
        <v>8</v>
      </c>
      <c r="V5535" s="6" t="str">
        <f>IFERROR(__xludf.DUMMYFUNCTION("""COMPUTED_VALUE"""),"")</f>
        <v/>
      </c>
      <c r="W5535" s="6" t="str">
        <f>IFERROR(__xludf.DUMMYFUNCTION("""COMPUTED_VALUE"""),"[]")</f>
        <v>[]</v>
      </c>
      <c r="X5535" s="6" t="str">
        <f>IFERROR(__xludf.DUMMYFUNCTION("""COMPUTED_VALUE"""),"Enrolled")</f>
        <v>Enrolled</v>
      </c>
    </row>
    <row r="5536">
      <c r="A5536" s="6" t="str">
        <f>IFERROR(__xludf.DUMMYFUNCTION("""COMPUTED_VALUE"""),"087-12133")</f>
        <v>087-12133</v>
      </c>
      <c r="B5536" s="6" t="str">
        <f>IFERROR(__xludf.DUMMYFUNCTION("""COMPUTED_VALUE"""),"87")</f>
        <v>87</v>
      </c>
      <c r="C5536" s="6" t="str">
        <f>IFERROR(__xludf.DUMMYFUNCTION("""COMPUTED_VALUE"""),"12133")</f>
        <v>12133</v>
      </c>
      <c r="D5536" s="6" t="str">
        <f>IFERROR(__xludf.DUMMYFUNCTION("""COMPUTED_VALUE"""),"Vincent")</f>
        <v>Vincent</v>
      </c>
      <c r="E5536" s="6" t="str">
        <f>IFERROR(__xludf.DUMMYFUNCTION("""COMPUTED_VALUE"""),"")</f>
        <v/>
      </c>
      <c r="F5536" s="6" t="str">
        <f>IFERROR(__xludf.DUMMYFUNCTION("""COMPUTED_VALUE"""),"Anderson")</f>
        <v>Anderson</v>
      </c>
      <c r="G5536" s="6" t="str">
        <f>IFERROR(__xludf.DUMMYFUNCTION("""COMPUTED_VALUE"""),"09/05/2011")</f>
        <v>09/05/2011</v>
      </c>
      <c r="H5536" s="6" t="str">
        <f>IFERROR(__xludf.DUMMYFUNCTION("""COMPUTED_VALUE"""),"male")</f>
        <v>male</v>
      </c>
      <c r="I5536" s="6" t="str">
        <f>IFERROR(__xludf.DUMMYFUNCTION("""COMPUTED_VALUE"""),"Middle School")</f>
        <v>Middle School</v>
      </c>
      <c r="J5536" s="6" t="str">
        <f>IFERROR(__xludf.DUMMYFUNCTION("""COMPUTED_VALUE"""),"8")</f>
        <v>8</v>
      </c>
      <c r="K5536" s="6" t="str">
        <f>IFERROR(__xludf.DUMMYFUNCTION("""COMPUTED_VALUE"""),"vincent.anderson@2hourlearning.com")</f>
        <v>vincent.anderson@2hourlearning.com</v>
      </c>
      <c r="L5536" s="6" t="str">
        <f>IFERROR(__xludf.DUMMYFUNCTION("""COMPUTED_VALUE"""),"JRHS - Ridgeland Secondary Academy of Excellence")</f>
        <v>JRHS - Ridgeland Secondary Academy of Excellence</v>
      </c>
      <c r="M5536" s="6" t="str">
        <f>IFERROR(__xludf.DUMMYFUNCTION("""COMPUTED_VALUE"""),"")</f>
        <v/>
      </c>
      <c r="N5536" s="6" t="str">
        <f>IFERROR(__xludf.DUMMYFUNCTION("""COMPUTED_VALUE"""),"")</f>
        <v/>
      </c>
      <c r="O5536" s="87" t="str">
        <f>IFERROR(__xludf.DUMMYFUNCTION("""COMPUTED_VALUE"""),"https://drive.google.com/drive/folders/10T2cTQHqEJZqE-st6uFKPoI?usp=share_link")</f>
        <v>https://drive.google.com/drive/folders/10T2cTQHqEJZqE-st6uFKPoI?usp=share_link</v>
      </c>
      <c r="P5536" s="6" t="str">
        <f>IFERROR(__xludf.DUMMYFUNCTION("""COMPUTED_VALUE"""),"Vincent Anderson")</f>
        <v>Vincent Anderson</v>
      </c>
      <c r="Q5536" s="6" t="str">
        <f>IFERROR(__xludf.DUMMYFUNCTION("""COMPUTED_VALUE"""),"MS")</f>
        <v>MS</v>
      </c>
      <c r="R5536" s="6">
        <f>IFERROR(__xludf.DUMMYFUNCTION("""COMPUTED_VALUE"""),0.0)</f>
        <v>0</v>
      </c>
      <c r="S5536" s="6" t="str">
        <f>IFERROR(__xludf.DUMMYFUNCTION("""COMPUTED_VALUE"""),"Kimberly Ball")</f>
        <v>Kimberly Ball</v>
      </c>
      <c r="T5536" s="6" t="str">
        <f>IFERROR(__xludf.DUMMYFUNCTION("""COMPUTED_VALUE"""),"kimberly.ball@studient.com")</f>
        <v>kimberly.ball@studient.com</v>
      </c>
      <c r="U5536" s="6" t="str">
        <f>IFERROR(__xludf.DUMMYFUNCTION("""COMPUTED_VALUE"""),"8")</f>
        <v>8</v>
      </c>
      <c r="V5536" s="6" t="str">
        <f>IFERROR(__xludf.DUMMYFUNCTION("""COMPUTED_VALUE"""),"")</f>
        <v/>
      </c>
      <c r="W5536" s="6" t="str">
        <f>IFERROR(__xludf.DUMMYFUNCTION("""COMPUTED_VALUE"""),"[]")</f>
        <v>[]</v>
      </c>
      <c r="X5536" s="6" t="str">
        <f>IFERROR(__xludf.DUMMYFUNCTION("""COMPUTED_VALUE"""),"Enrolled")</f>
        <v>Enrolled</v>
      </c>
    </row>
    <row r="5537">
      <c r="A5537" s="6" t="str">
        <f>IFERROR(__xludf.DUMMYFUNCTION("""COMPUTED_VALUE"""),"087-12134")</f>
        <v>087-12134</v>
      </c>
      <c r="B5537" s="6" t="str">
        <f>IFERROR(__xludf.DUMMYFUNCTION("""COMPUTED_VALUE"""),"87")</f>
        <v>87</v>
      </c>
      <c r="C5537" s="6" t="str">
        <f>IFERROR(__xludf.DUMMYFUNCTION("""COMPUTED_VALUE"""),"12134")</f>
        <v>12134</v>
      </c>
      <c r="D5537" s="6" t="str">
        <f>IFERROR(__xludf.DUMMYFUNCTION("""COMPUTED_VALUE"""),"Gavin")</f>
        <v>Gavin</v>
      </c>
      <c r="E5537" s="6" t="str">
        <f>IFERROR(__xludf.DUMMYFUNCTION("""COMPUTED_VALUE"""),"")</f>
        <v/>
      </c>
      <c r="F5537" s="6" t="str">
        <f>IFERROR(__xludf.DUMMYFUNCTION("""COMPUTED_VALUE"""),"Anderson-Fripp")</f>
        <v>Anderson-Fripp</v>
      </c>
      <c r="G5537" s="6" t="str">
        <f>IFERROR(__xludf.DUMMYFUNCTION("""COMPUTED_VALUE"""),"10/15/2013")</f>
        <v>10/15/2013</v>
      </c>
      <c r="H5537" s="6" t="str">
        <f>IFERROR(__xludf.DUMMYFUNCTION("""COMPUTED_VALUE"""),"male")</f>
        <v>male</v>
      </c>
      <c r="I5537" s="6" t="str">
        <f>IFERROR(__xludf.DUMMYFUNCTION("""COMPUTED_VALUE"""),"Middle School")</f>
        <v>Middle School</v>
      </c>
      <c r="J5537" s="6" t="str">
        <f>IFERROR(__xludf.DUMMYFUNCTION("""COMPUTED_VALUE"""),"6")</f>
        <v>6</v>
      </c>
      <c r="K5537" s="6" t="str">
        <f>IFERROR(__xludf.DUMMYFUNCTION("""COMPUTED_VALUE"""),"gavin.anderson-fripp@2hourlearning.com")</f>
        <v>gavin.anderson-fripp@2hourlearning.com</v>
      </c>
      <c r="L5537" s="6" t="str">
        <f>IFERROR(__xludf.DUMMYFUNCTION("""COMPUTED_VALUE"""),"JRHS - Ridgeland Secondary Academy of Excellence")</f>
        <v>JRHS - Ridgeland Secondary Academy of Excellence</v>
      </c>
      <c r="M5537" s="6" t="str">
        <f>IFERROR(__xludf.DUMMYFUNCTION("""COMPUTED_VALUE"""),"")</f>
        <v/>
      </c>
      <c r="N5537" s="6" t="str">
        <f>IFERROR(__xludf.DUMMYFUNCTION("""COMPUTED_VALUE"""),"")</f>
        <v/>
      </c>
      <c r="O5537" s="87" t="str">
        <f>IFERROR(__xludf.DUMMYFUNCTION("""COMPUTED_VALUE"""),"https://drive.google.com/drive/folders/10T2cTQHqEJZqE-st6uFKPoI?usp=share_link")</f>
        <v>https://drive.google.com/drive/folders/10T2cTQHqEJZqE-st6uFKPoI?usp=share_link</v>
      </c>
      <c r="P5537" s="6" t="str">
        <f>IFERROR(__xludf.DUMMYFUNCTION("""COMPUTED_VALUE"""),"Gavin Anderson-Fripp")</f>
        <v>Gavin Anderson-Fripp</v>
      </c>
      <c r="Q5537" s="6" t="str">
        <f>IFERROR(__xludf.DUMMYFUNCTION("""COMPUTED_VALUE"""),"MS")</f>
        <v>MS</v>
      </c>
      <c r="R5537" s="6">
        <f>IFERROR(__xludf.DUMMYFUNCTION("""COMPUTED_VALUE"""),0.0)</f>
        <v>0</v>
      </c>
      <c r="S5537" s="6" t="str">
        <f>IFERROR(__xludf.DUMMYFUNCTION("""COMPUTED_VALUE"""),"Kimberly Ball")</f>
        <v>Kimberly Ball</v>
      </c>
      <c r="T5537" s="6" t="str">
        <f>IFERROR(__xludf.DUMMYFUNCTION("""COMPUTED_VALUE"""),"kimberly.ball@studient.com")</f>
        <v>kimberly.ball@studient.com</v>
      </c>
      <c r="U5537" s="6" t="str">
        <f>IFERROR(__xludf.DUMMYFUNCTION("""COMPUTED_VALUE"""),"6")</f>
        <v>6</v>
      </c>
      <c r="V5537" s="6" t="str">
        <f>IFERROR(__xludf.DUMMYFUNCTION("""COMPUTED_VALUE"""),"")</f>
        <v/>
      </c>
      <c r="W5537" s="6" t="str">
        <f>IFERROR(__xludf.DUMMYFUNCTION("""COMPUTED_VALUE"""),"[]")</f>
        <v>[]</v>
      </c>
      <c r="X5537" s="6" t="str">
        <f>IFERROR(__xludf.DUMMYFUNCTION("""COMPUTED_VALUE"""),"Enrolled")</f>
        <v>Enrolled</v>
      </c>
    </row>
    <row r="5538">
      <c r="A5538" s="6" t="str">
        <f>IFERROR(__xludf.DUMMYFUNCTION("""COMPUTED_VALUE"""),"087-12135")</f>
        <v>087-12135</v>
      </c>
      <c r="B5538" s="6" t="str">
        <f>IFERROR(__xludf.DUMMYFUNCTION("""COMPUTED_VALUE"""),"87")</f>
        <v>87</v>
      </c>
      <c r="C5538" s="6" t="str">
        <f>IFERROR(__xludf.DUMMYFUNCTION("""COMPUTED_VALUE"""),"12135")</f>
        <v>12135</v>
      </c>
      <c r="D5538" s="6" t="str">
        <f>IFERROR(__xludf.DUMMYFUNCTION("""COMPUTED_VALUE"""),"Elli")</f>
        <v>Elli</v>
      </c>
      <c r="E5538" s="6" t="str">
        <f>IFERROR(__xludf.DUMMYFUNCTION("""COMPUTED_VALUE"""),"")</f>
        <v/>
      </c>
      <c r="F5538" s="6" t="str">
        <f>IFERROR(__xludf.DUMMYFUNCTION("""COMPUTED_VALUE"""),"Araujo")</f>
        <v>Araujo</v>
      </c>
      <c r="G5538" s="6" t="str">
        <f>IFERROR(__xludf.DUMMYFUNCTION("""COMPUTED_VALUE"""),"10/21/2011")</f>
        <v>10/21/2011</v>
      </c>
      <c r="H5538" s="6" t="str">
        <f>IFERROR(__xludf.DUMMYFUNCTION("""COMPUTED_VALUE"""),"female")</f>
        <v>female</v>
      </c>
      <c r="I5538" s="6" t="str">
        <f>IFERROR(__xludf.DUMMYFUNCTION("""COMPUTED_VALUE"""),"Middle School")</f>
        <v>Middle School</v>
      </c>
      <c r="J5538" s="6" t="str">
        <f>IFERROR(__xludf.DUMMYFUNCTION("""COMPUTED_VALUE"""),"8")</f>
        <v>8</v>
      </c>
      <c r="K5538" s="6" t="str">
        <f>IFERROR(__xludf.DUMMYFUNCTION("""COMPUTED_VALUE"""),"elli.araujo@2hourlearning.com")</f>
        <v>elli.araujo@2hourlearning.com</v>
      </c>
      <c r="L5538" s="6" t="str">
        <f>IFERROR(__xludf.DUMMYFUNCTION("""COMPUTED_VALUE"""),"JRHS - Ridgeland Secondary Academy of Excellence")</f>
        <v>JRHS - Ridgeland Secondary Academy of Excellence</v>
      </c>
      <c r="M5538" s="6" t="str">
        <f>IFERROR(__xludf.DUMMYFUNCTION("""COMPUTED_VALUE"""),"")</f>
        <v/>
      </c>
      <c r="N5538" s="6" t="str">
        <f>IFERROR(__xludf.DUMMYFUNCTION("""COMPUTED_VALUE"""),"")</f>
        <v/>
      </c>
      <c r="O5538" s="87" t="str">
        <f>IFERROR(__xludf.DUMMYFUNCTION("""COMPUTED_VALUE"""),"https://drive.google.com/drive/folders/10T2cTQHqEJZqE-st6uFKPoI?usp=share_link")</f>
        <v>https://drive.google.com/drive/folders/10T2cTQHqEJZqE-st6uFKPoI?usp=share_link</v>
      </c>
      <c r="P5538" s="6" t="str">
        <f>IFERROR(__xludf.DUMMYFUNCTION("""COMPUTED_VALUE"""),"Elli Araujo")</f>
        <v>Elli Araujo</v>
      </c>
      <c r="Q5538" s="6" t="str">
        <f>IFERROR(__xludf.DUMMYFUNCTION("""COMPUTED_VALUE"""),"MS")</f>
        <v>MS</v>
      </c>
      <c r="R5538" s="6">
        <f>IFERROR(__xludf.DUMMYFUNCTION("""COMPUTED_VALUE"""),0.0)</f>
        <v>0</v>
      </c>
      <c r="S5538" s="6" t="str">
        <f>IFERROR(__xludf.DUMMYFUNCTION("""COMPUTED_VALUE"""),"Kimberly Ball")</f>
        <v>Kimberly Ball</v>
      </c>
      <c r="T5538" s="6" t="str">
        <f>IFERROR(__xludf.DUMMYFUNCTION("""COMPUTED_VALUE"""),"kimberly.ball@studient.com")</f>
        <v>kimberly.ball@studient.com</v>
      </c>
      <c r="U5538" s="6" t="str">
        <f>IFERROR(__xludf.DUMMYFUNCTION("""COMPUTED_VALUE"""),"8")</f>
        <v>8</v>
      </c>
      <c r="V5538" s="6" t="str">
        <f>IFERROR(__xludf.DUMMYFUNCTION("""COMPUTED_VALUE"""),"")</f>
        <v/>
      </c>
      <c r="W5538" s="6" t="str">
        <f>IFERROR(__xludf.DUMMYFUNCTION("""COMPUTED_VALUE"""),"[]")</f>
        <v>[]</v>
      </c>
      <c r="X5538" s="6" t="str">
        <f>IFERROR(__xludf.DUMMYFUNCTION("""COMPUTED_VALUE"""),"Enrolled")</f>
        <v>Enrolled</v>
      </c>
    </row>
    <row r="5539">
      <c r="A5539" s="6" t="str">
        <f>IFERROR(__xludf.DUMMYFUNCTION("""COMPUTED_VALUE"""),"087-12136")</f>
        <v>087-12136</v>
      </c>
      <c r="B5539" s="6" t="str">
        <f>IFERROR(__xludf.DUMMYFUNCTION("""COMPUTED_VALUE"""),"87")</f>
        <v>87</v>
      </c>
      <c r="C5539" s="6" t="str">
        <f>IFERROR(__xludf.DUMMYFUNCTION("""COMPUTED_VALUE"""),"12136")</f>
        <v>12136</v>
      </c>
      <c r="D5539" s="6" t="str">
        <f>IFERROR(__xludf.DUMMYFUNCTION("""COMPUTED_VALUE"""),"Cenia")</f>
        <v>Cenia</v>
      </c>
      <c r="E5539" s="6" t="str">
        <f>IFERROR(__xludf.DUMMYFUNCTION("""COMPUTED_VALUE"""),"")</f>
        <v/>
      </c>
      <c r="F5539" s="6" t="str">
        <f>IFERROR(__xludf.DUMMYFUNCTION("""COMPUTED_VALUE"""),"Arguello Perez")</f>
        <v>Arguello Perez</v>
      </c>
      <c r="G5539" s="6" t="str">
        <f>IFERROR(__xludf.DUMMYFUNCTION("""COMPUTED_VALUE"""),"06/12/2014")</f>
        <v>06/12/2014</v>
      </c>
      <c r="H5539" s="6" t="str">
        <f>IFERROR(__xludf.DUMMYFUNCTION("""COMPUTED_VALUE"""),"female")</f>
        <v>female</v>
      </c>
      <c r="I5539" s="6" t="str">
        <f>IFERROR(__xludf.DUMMYFUNCTION("""COMPUTED_VALUE"""),"Middle School")</f>
        <v>Middle School</v>
      </c>
      <c r="J5539" s="6" t="str">
        <f>IFERROR(__xludf.DUMMYFUNCTION("""COMPUTED_VALUE"""),"6")</f>
        <v>6</v>
      </c>
      <c r="K5539" s="6" t="str">
        <f>IFERROR(__xludf.DUMMYFUNCTION("""COMPUTED_VALUE"""),"cenia.arguelloperez@2hourlearning.com")</f>
        <v>cenia.arguelloperez@2hourlearning.com</v>
      </c>
      <c r="L5539" s="6" t="str">
        <f>IFERROR(__xludf.DUMMYFUNCTION("""COMPUTED_VALUE"""),"JRHS - Ridgeland Secondary Academy of Excellence")</f>
        <v>JRHS - Ridgeland Secondary Academy of Excellence</v>
      </c>
      <c r="M5539" s="6" t="str">
        <f>IFERROR(__xludf.DUMMYFUNCTION("""COMPUTED_VALUE"""),"")</f>
        <v/>
      </c>
      <c r="N5539" s="6" t="str">
        <f>IFERROR(__xludf.DUMMYFUNCTION("""COMPUTED_VALUE"""),"")</f>
        <v/>
      </c>
      <c r="O5539" s="87" t="str">
        <f>IFERROR(__xludf.DUMMYFUNCTION("""COMPUTED_VALUE"""),"https://drive.google.com/drive/folders/10T2cTQHqEJZqE-st6uFKPoI?usp=share_link")</f>
        <v>https://drive.google.com/drive/folders/10T2cTQHqEJZqE-st6uFKPoI?usp=share_link</v>
      </c>
      <c r="P5539" s="6" t="str">
        <f>IFERROR(__xludf.DUMMYFUNCTION("""COMPUTED_VALUE"""),"Cenia Arguello Perez")</f>
        <v>Cenia Arguello Perez</v>
      </c>
      <c r="Q5539" s="6" t="str">
        <f>IFERROR(__xludf.DUMMYFUNCTION("""COMPUTED_VALUE"""),"MS")</f>
        <v>MS</v>
      </c>
      <c r="R5539" s="6">
        <f>IFERROR(__xludf.DUMMYFUNCTION("""COMPUTED_VALUE"""),0.0)</f>
        <v>0</v>
      </c>
      <c r="S5539" s="6" t="str">
        <f>IFERROR(__xludf.DUMMYFUNCTION("""COMPUTED_VALUE"""),"Kimberly Ball")</f>
        <v>Kimberly Ball</v>
      </c>
      <c r="T5539" s="6" t="str">
        <f>IFERROR(__xludf.DUMMYFUNCTION("""COMPUTED_VALUE"""),"kimberly.ball@studient.com")</f>
        <v>kimberly.ball@studient.com</v>
      </c>
      <c r="U5539" s="6" t="str">
        <f>IFERROR(__xludf.DUMMYFUNCTION("""COMPUTED_VALUE"""),"6")</f>
        <v>6</v>
      </c>
      <c r="V5539" s="6" t="str">
        <f>IFERROR(__xludf.DUMMYFUNCTION("""COMPUTED_VALUE"""),"")</f>
        <v/>
      </c>
      <c r="W5539" s="6" t="str">
        <f>IFERROR(__xludf.DUMMYFUNCTION("""COMPUTED_VALUE"""),"[]")</f>
        <v>[]</v>
      </c>
      <c r="X5539" s="6" t="str">
        <f>IFERROR(__xludf.DUMMYFUNCTION("""COMPUTED_VALUE"""),"Enrolled")</f>
        <v>Enrolled</v>
      </c>
    </row>
    <row r="5540">
      <c r="A5540" s="6" t="str">
        <f>IFERROR(__xludf.DUMMYFUNCTION("""COMPUTED_VALUE"""),"087-12137")</f>
        <v>087-12137</v>
      </c>
      <c r="B5540" s="6" t="str">
        <f>IFERROR(__xludf.DUMMYFUNCTION("""COMPUTED_VALUE"""),"87")</f>
        <v>87</v>
      </c>
      <c r="C5540" s="6" t="str">
        <f>IFERROR(__xludf.DUMMYFUNCTION("""COMPUTED_VALUE"""),"12137")</f>
        <v>12137</v>
      </c>
      <c r="D5540" s="6" t="str">
        <f>IFERROR(__xludf.DUMMYFUNCTION("""COMPUTED_VALUE"""),"Sinai")</f>
        <v>Sinai</v>
      </c>
      <c r="E5540" s="6" t="str">
        <f>IFERROR(__xludf.DUMMYFUNCTION("""COMPUTED_VALUE"""),"")</f>
        <v/>
      </c>
      <c r="F5540" s="6" t="str">
        <f>IFERROR(__xludf.DUMMYFUNCTION("""COMPUTED_VALUE"""),"Arizmendi Pedroza")</f>
        <v>Arizmendi Pedroza</v>
      </c>
      <c r="G5540" s="6" t="str">
        <f>IFERROR(__xludf.DUMMYFUNCTION("""COMPUTED_VALUE"""),"03/03/2012")</f>
        <v>03/03/2012</v>
      </c>
      <c r="H5540" s="6" t="str">
        <f>IFERROR(__xludf.DUMMYFUNCTION("""COMPUTED_VALUE"""),"female")</f>
        <v>female</v>
      </c>
      <c r="I5540" s="6" t="str">
        <f>IFERROR(__xludf.DUMMYFUNCTION("""COMPUTED_VALUE"""),"Middle School")</f>
        <v>Middle School</v>
      </c>
      <c r="J5540" s="6" t="str">
        <f>IFERROR(__xludf.DUMMYFUNCTION("""COMPUTED_VALUE"""),"8")</f>
        <v>8</v>
      </c>
      <c r="K5540" s="6" t="str">
        <f>IFERROR(__xludf.DUMMYFUNCTION("""COMPUTED_VALUE"""),"sinai.arizmendipedroza@2hourlearning.com")</f>
        <v>sinai.arizmendipedroza@2hourlearning.com</v>
      </c>
      <c r="L5540" s="6" t="str">
        <f>IFERROR(__xludf.DUMMYFUNCTION("""COMPUTED_VALUE"""),"JRHS - Ridgeland Secondary Academy of Excellence")</f>
        <v>JRHS - Ridgeland Secondary Academy of Excellence</v>
      </c>
      <c r="M5540" s="6" t="str">
        <f>IFERROR(__xludf.DUMMYFUNCTION("""COMPUTED_VALUE"""),"")</f>
        <v/>
      </c>
      <c r="N5540" s="6" t="str">
        <f>IFERROR(__xludf.DUMMYFUNCTION("""COMPUTED_VALUE"""),"")</f>
        <v/>
      </c>
      <c r="O5540" s="87" t="str">
        <f>IFERROR(__xludf.DUMMYFUNCTION("""COMPUTED_VALUE"""),"https://drive.google.com/drive/folders/10T2cTQHqEJZqE-st6uFKPoI?usp=share_link")</f>
        <v>https://drive.google.com/drive/folders/10T2cTQHqEJZqE-st6uFKPoI?usp=share_link</v>
      </c>
      <c r="P5540" s="6" t="str">
        <f>IFERROR(__xludf.DUMMYFUNCTION("""COMPUTED_VALUE"""),"Sinai Arizmendi Pedroza")</f>
        <v>Sinai Arizmendi Pedroza</v>
      </c>
      <c r="Q5540" s="6" t="str">
        <f>IFERROR(__xludf.DUMMYFUNCTION("""COMPUTED_VALUE"""),"MS")</f>
        <v>MS</v>
      </c>
      <c r="R5540" s="6">
        <f>IFERROR(__xludf.DUMMYFUNCTION("""COMPUTED_VALUE"""),0.0)</f>
        <v>0</v>
      </c>
      <c r="S5540" s="6" t="str">
        <f>IFERROR(__xludf.DUMMYFUNCTION("""COMPUTED_VALUE"""),"Kimberly Ball")</f>
        <v>Kimberly Ball</v>
      </c>
      <c r="T5540" s="6" t="str">
        <f>IFERROR(__xludf.DUMMYFUNCTION("""COMPUTED_VALUE"""),"kimberly.ball@studient.com")</f>
        <v>kimberly.ball@studient.com</v>
      </c>
      <c r="U5540" s="6" t="str">
        <f>IFERROR(__xludf.DUMMYFUNCTION("""COMPUTED_VALUE"""),"8")</f>
        <v>8</v>
      </c>
      <c r="V5540" s="6" t="str">
        <f>IFERROR(__xludf.DUMMYFUNCTION("""COMPUTED_VALUE"""),"")</f>
        <v/>
      </c>
      <c r="W5540" s="6" t="str">
        <f>IFERROR(__xludf.DUMMYFUNCTION("""COMPUTED_VALUE"""),"[]")</f>
        <v>[]</v>
      </c>
      <c r="X5540" s="6" t="str">
        <f>IFERROR(__xludf.DUMMYFUNCTION("""COMPUTED_VALUE"""),"Enrolled")</f>
        <v>Enrolled</v>
      </c>
    </row>
    <row r="5541">
      <c r="A5541" s="6" t="str">
        <f>IFERROR(__xludf.DUMMYFUNCTION("""COMPUTED_VALUE"""),"087-12138")</f>
        <v>087-12138</v>
      </c>
      <c r="B5541" s="6" t="str">
        <f>IFERROR(__xludf.DUMMYFUNCTION("""COMPUTED_VALUE"""),"87")</f>
        <v>87</v>
      </c>
      <c r="C5541" s="6" t="str">
        <f>IFERROR(__xludf.DUMMYFUNCTION("""COMPUTED_VALUE"""),"12138")</f>
        <v>12138</v>
      </c>
      <c r="D5541" s="6" t="str">
        <f>IFERROR(__xludf.DUMMYFUNCTION("""COMPUTED_VALUE"""),"Fredrick")</f>
        <v>Fredrick</v>
      </c>
      <c r="E5541" s="6" t="str">
        <f>IFERROR(__xludf.DUMMYFUNCTION("""COMPUTED_VALUE"""),"")</f>
        <v/>
      </c>
      <c r="F5541" s="6" t="str">
        <f>IFERROR(__xludf.DUMMYFUNCTION("""COMPUTED_VALUE"""),"Armstead")</f>
        <v>Armstead</v>
      </c>
      <c r="G5541" s="6" t="str">
        <f>IFERROR(__xludf.DUMMYFUNCTION("""COMPUTED_VALUE"""),"09/07/2011")</f>
        <v>09/07/2011</v>
      </c>
      <c r="H5541" s="6" t="str">
        <f>IFERROR(__xludf.DUMMYFUNCTION("""COMPUTED_VALUE"""),"male")</f>
        <v>male</v>
      </c>
      <c r="I5541" s="6" t="str">
        <f>IFERROR(__xludf.DUMMYFUNCTION("""COMPUTED_VALUE"""),"Middle School")</f>
        <v>Middle School</v>
      </c>
      <c r="J5541" s="6" t="str">
        <f>IFERROR(__xludf.DUMMYFUNCTION("""COMPUTED_VALUE"""),"8")</f>
        <v>8</v>
      </c>
      <c r="K5541" s="6" t="str">
        <f>IFERROR(__xludf.DUMMYFUNCTION("""COMPUTED_VALUE"""),"fredrick.armstead@2hourlearning.com")</f>
        <v>fredrick.armstead@2hourlearning.com</v>
      </c>
      <c r="L5541" s="6" t="str">
        <f>IFERROR(__xludf.DUMMYFUNCTION("""COMPUTED_VALUE"""),"JRHS - Ridgeland Secondary Academy of Excellence")</f>
        <v>JRHS - Ridgeland Secondary Academy of Excellence</v>
      </c>
      <c r="M5541" s="6" t="str">
        <f>IFERROR(__xludf.DUMMYFUNCTION("""COMPUTED_VALUE"""),"")</f>
        <v/>
      </c>
      <c r="N5541" s="6" t="str">
        <f>IFERROR(__xludf.DUMMYFUNCTION("""COMPUTED_VALUE"""),"")</f>
        <v/>
      </c>
      <c r="O5541" s="87" t="str">
        <f>IFERROR(__xludf.DUMMYFUNCTION("""COMPUTED_VALUE"""),"https://drive.google.com/drive/folders/10T2cTQHqEJZqE-st6uFKPoI?usp=share_link")</f>
        <v>https://drive.google.com/drive/folders/10T2cTQHqEJZqE-st6uFKPoI?usp=share_link</v>
      </c>
      <c r="P5541" s="6" t="str">
        <f>IFERROR(__xludf.DUMMYFUNCTION("""COMPUTED_VALUE"""),"Fredrick Armstead")</f>
        <v>Fredrick Armstead</v>
      </c>
      <c r="Q5541" s="6" t="str">
        <f>IFERROR(__xludf.DUMMYFUNCTION("""COMPUTED_VALUE"""),"MS")</f>
        <v>MS</v>
      </c>
      <c r="R5541" s="6">
        <f>IFERROR(__xludf.DUMMYFUNCTION("""COMPUTED_VALUE"""),0.0)</f>
        <v>0</v>
      </c>
      <c r="S5541" s="6" t="str">
        <f>IFERROR(__xludf.DUMMYFUNCTION("""COMPUTED_VALUE"""),"Kimberly Ball")</f>
        <v>Kimberly Ball</v>
      </c>
      <c r="T5541" s="6" t="str">
        <f>IFERROR(__xludf.DUMMYFUNCTION("""COMPUTED_VALUE"""),"kimberly.ball@studient.com")</f>
        <v>kimberly.ball@studient.com</v>
      </c>
      <c r="U5541" s="6" t="str">
        <f>IFERROR(__xludf.DUMMYFUNCTION("""COMPUTED_VALUE"""),"8")</f>
        <v>8</v>
      </c>
      <c r="V5541" s="6" t="str">
        <f>IFERROR(__xludf.DUMMYFUNCTION("""COMPUTED_VALUE"""),"")</f>
        <v/>
      </c>
      <c r="W5541" s="6" t="str">
        <f>IFERROR(__xludf.DUMMYFUNCTION("""COMPUTED_VALUE"""),"[]")</f>
        <v>[]</v>
      </c>
      <c r="X5541" s="6" t="str">
        <f>IFERROR(__xludf.DUMMYFUNCTION("""COMPUTED_VALUE"""),"Enrolled")</f>
        <v>Enrolled</v>
      </c>
    </row>
    <row r="5542">
      <c r="A5542" s="6" t="str">
        <f>IFERROR(__xludf.DUMMYFUNCTION("""COMPUTED_VALUE"""),"087-12139")</f>
        <v>087-12139</v>
      </c>
      <c r="B5542" s="6" t="str">
        <f>IFERROR(__xludf.DUMMYFUNCTION("""COMPUTED_VALUE"""),"87")</f>
        <v>87</v>
      </c>
      <c r="C5542" s="6" t="str">
        <f>IFERROR(__xludf.DUMMYFUNCTION("""COMPUTED_VALUE"""),"12139")</f>
        <v>12139</v>
      </c>
      <c r="D5542" s="6" t="str">
        <f>IFERROR(__xludf.DUMMYFUNCTION("""COMPUTED_VALUE"""),"Raymond")</f>
        <v>Raymond</v>
      </c>
      <c r="E5542" s="6" t="str">
        <f>IFERROR(__xludf.DUMMYFUNCTION("""COMPUTED_VALUE"""),"")</f>
        <v/>
      </c>
      <c r="F5542" s="6" t="str">
        <f>IFERROR(__xludf.DUMMYFUNCTION("""COMPUTED_VALUE"""),"Babka Jr")</f>
        <v>Babka Jr</v>
      </c>
      <c r="G5542" s="6" t="str">
        <f>IFERROR(__xludf.DUMMYFUNCTION("""COMPUTED_VALUE"""),"07/08/2013")</f>
        <v>07/08/2013</v>
      </c>
      <c r="H5542" s="6" t="str">
        <f>IFERROR(__xludf.DUMMYFUNCTION("""COMPUTED_VALUE"""),"male")</f>
        <v>male</v>
      </c>
      <c r="I5542" s="6" t="str">
        <f>IFERROR(__xludf.DUMMYFUNCTION("""COMPUTED_VALUE"""),"Middle School")</f>
        <v>Middle School</v>
      </c>
      <c r="J5542" s="6" t="str">
        <f>IFERROR(__xludf.DUMMYFUNCTION("""COMPUTED_VALUE"""),"7")</f>
        <v>7</v>
      </c>
      <c r="K5542" s="6" t="str">
        <f>IFERROR(__xludf.DUMMYFUNCTION("""COMPUTED_VALUE"""),"raymond.babkajr@2hourlearning.com")</f>
        <v>raymond.babkajr@2hourlearning.com</v>
      </c>
      <c r="L5542" s="6" t="str">
        <f>IFERROR(__xludf.DUMMYFUNCTION("""COMPUTED_VALUE"""),"JRHS - Ridgeland Secondary Academy of Excellence")</f>
        <v>JRHS - Ridgeland Secondary Academy of Excellence</v>
      </c>
      <c r="M5542" s="6" t="str">
        <f>IFERROR(__xludf.DUMMYFUNCTION("""COMPUTED_VALUE"""),"")</f>
        <v/>
      </c>
      <c r="N5542" s="6" t="str">
        <f>IFERROR(__xludf.DUMMYFUNCTION("""COMPUTED_VALUE"""),"")</f>
        <v/>
      </c>
      <c r="O5542" s="87" t="str">
        <f>IFERROR(__xludf.DUMMYFUNCTION("""COMPUTED_VALUE"""),"https://drive.google.com/drive/folders/10T2cTQHqEJZqE-st6uFKPoI?usp=share_link")</f>
        <v>https://drive.google.com/drive/folders/10T2cTQHqEJZqE-st6uFKPoI?usp=share_link</v>
      </c>
      <c r="P5542" s="6" t="str">
        <f>IFERROR(__xludf.DUMMYFUNCTION("""COMPUTED_VALUE"""),"Raymond Babka Jr")</f>
        <v>Raymond Babka Jr</v>
      </c>
      <c r="Q5542" s="6" t="str">
        <f>IFERROR(__xludf.DUMMYFUNCTION("""COMPUTED_VALUE"""),"MS")</f>
        <v>MS</v>
      </c>
      <c r="R5542" s="6">
        <f>IFERROR(__xludf.DUMMYFUNCTION("""COMPUTED_VALUE"""),0.0)</f>
        <v>0</v>
      </c>
      <c r="S5542" s="6" t="str">
        <f>IFERROR(__xludf.DUMMYFUNCTION("""COMPUTED_VALUE"""),"Kimberly Ball")</f>
        <v>Kimberly Ball</v>
      </c>
      <c r="T5542" s="6" t="str">
        <f>IFERROR(__xludf.DUMMYFUNCTION("""COMPUTED_VALUE"""),"kimberly.ball@studient.com")</f>
        <v>kimberly.ball@studient.com</v>
      </c>
      <c r="U5542" s="6" t="str">
        <f>IFERROR(__xludf.DUMMYFUNCTION("""COMPUTED_VALUE"""),"7")</f>
        <v>7</v>
      </c>
      <c r="V5542" s="6" t="str">
        <f>IFERROR(__xludf.DUMMYFUNCTION("""COMPUTED_VALUE"""),"")</f>
        <v/>
      </c>
      <c r="W5542" s="6" t="str">
        <f>IFERROR(__xludf.DUMMYFUNCTION("""COMPUTED_VALUE"""),"[]")</f>
        <v>[]</v>
      </c>
      <c r="X5542" s="6" t="str">
        <f>IFERROR(__xludf.DUMMYFUNCTION("""COMPUTED_VALUE"""),"Enrolled")</f>
        <v>Enrolled</v>
      </c>
    </row>
    <row r="5543">
      <c r="A5543" s="6" t="str">
        <f>IFERROR(__xludf.DUMMYFUNCTION("""COMPUTED_VALUE"""),"087-12140")</f>
        <v>087-12140</v>
      </c>
      <c r="B5543" s="6" t="str">
        <f>IFERROR(__xludf.DUMMYFUNCTION("""COMPUTED_VALUE"""),"87")</f>
        <v>87</v>
      </c>
      <c r="C5543" s="6" t="str">
        <f>IFERROR(__xludf.DUMMYFUNCTION("""COMPUTED_VALUE"""),"12140")</f>
        <v>12140</v>
      </c>
      <c r="D5543" s="6" t="str">
        <f>IFERROR(__xludf.DUMMYFUNCTION("""COMPUTED_VALUE"""),"Anderson")</f>
        <v>Anderson</v>
      </c>
      <c r="E5543" s="6" t="str">
        <f>IFERROR(__xludf.DUMMYFUNCTION("""COMPUTED_VALUE"""),"")</f>
        <v/>
      </c>
      <c r="F5543" s="6" t="str">
        <f>IFERROR(__xludf.DUMMYFUNCTION("""COMPUTED_VALUE"""),"Baca Gonzalez")</f>
        <v>Baca Gonzalez</v>
      </c>
      <c r="G5543" s="6" t="str">
        <f>IFERROR(__xludf.DUMMYFUNCTION("""COMPUTED_VALUE"""),"01/12/2013")</f>
        <v>01/12/2013</v>
      </c>
      <c r="H5543" s="6" t="str">
        <f>IFERROR(__xludf.DUMMYFUNCTION("""COMPUTED_VALUE"""),"male")</f>
        <v>male</v>
      </c>
      <c r="I5543" s="6" t="str">
        <f>IFERROR(__xludf.DUMMYFUNCTION("""COMPUTED_VALUE"""),"Middle School")</f>
        <v>Middle School</v>
      </c>
      <c r="J5543" s="6" t="str">
        <f>IFERROR(__xludf.DUMMYFUNCTION("""COMPUTED_VALUE"""),"7")</f>
        <v>7</v>
      </c>
      <c r="K5543" s="6" t="str">
        <f>IFERROR(__xludf.DUMMYFUNCTION("""COMPUTED_VALUE"""),"anderson.bacagonzalez@2hourlearning.com")</f>
        <v>anderson.bacagonzalez@2hourlearning.com</v>
      </c>
      <c r="L5543" s="6" t="str">
        <f>IFERROR(__xludf.DUMMYFUNCTION("""COMPUTED_VALUE"""),"JRHS - Ridgeland Secondary Academy of Excellence")</f>
        <v>JRHS - Ridgeland Secondary Academy of Excellence</v>
      </c>
      <c r="M5543" s="6" t="str">
        <f>IFERROR(__xludf.DUMMYFUNCTION("""COMPUTED_VALUE"""),"")</f>
        <v/>
      </c>
      <c r="N5543" s="6" t="str">
        <f>IFERROR(__xludf.DUMMYFUNCTION("""COMPUTED_VALUE"""),"")</f>
        <v/>
      </c>
      <c r="O5543" s="87" t="str">
        <f>IFERROR(__xludf.DUMMYFUNCTION("""COMPUTED_VALUE"""),"https://drive.google.com/drive/folders/10T2cTQHqEJZqE-st6uFKPoI?usp=share_link")</f>
        <v>https://drive.google.com/drive/folders/10T2cTQHqEJZqE-st6uFKPoI?usp=share_link</v>
      </c>
      <c r="P5543" s="6" t="str">
        <f>IFERROR(__xludf.DUMMYFUNCTION("""COMPUTED_VALUE"""),"Anderson Baca Gonzalez")</f>
        <v>Anderson Baca Gonzalez</v>
      </c>
      <c r="Q5543" s="6" t="str">
        <f>IFERROR(__xludf.DUMMYFUNCTION("""COMPUTED_VALUE"""),"MS")</f>
        <v>MS</v>
      </c>
      <c r="R5543" s="6">
        <f>IFERROR(__xludf.DUMMYFUNCTION("""COMPUTED_VALUE"""),0.0)</f>
        <v>0</v>
      </c>
      <c r="S5543" s="6" t="str">
        <f>IFERROR(__xludf.DUMMYFUNCTION("""COMPUTED_VALUE"""),"Kimberly Ball")</f>
        <v>Kimberly Ball</v>
      </c>
      <c r="T5543" s="6" t="str">
        <f>IFERROR(__xludf.DUMMYFUNCTION("""COMPUTED_VALUE"""),"kimberly.ball@studient.com")</f>
        <v>kimberly.ball@studient.com</v>
      </c>
      <c r="U5543" s="6" t="str">
        <f>IFERROR(__xludf.DUMMYFUNCTION("""COMPUTED_VALUE"""),"7")</f>
        <v>7</v>
      </c>
      <c r="V5543" s="6" t="str">
        <f>IFERROR(__xludf.DUMMYFUNCTION("""COMPUTED_VALUE"""),"")</f>
        <v/>
      </c>
      <c r="W5543" s="6" t="str">
        <f>IFERROR(__xludf.DUMMYFUNCTION("""COMPUTED_VALUE"""),"[]")</f>
        <v>[]</v>
      </c>
      <c r="X5543" s="6" t="str">
        <f>IFERROR(__xludf.DUMMYFUNCTION("""COMPUTED_VALUE"""),"Enrolled")</f>
        <v>Enrolled</v>
      </c>
    </row>
    <row r="5544">
      <c r="A5544" s="6" t="str">
        <f>IFERROR(__xludf.DUMMYFUNCTION("""COMPUTED_VALUE"""),"087-12141")</f>
        <v>087-12141</v>
      </c>
      <c r="B5544" s="6" t="str">
        <f>IFERROR(__xludf.DUMMYFUNCTION("""COMPUTED_VALUE"""),"87")</f>
        <v>87</v>
      </c>
      <c r="C5544" s="6" t="str">
        <f>IFERROR(__xludf.DUMMYFUNCTION("""COMPUTED_VALUE"""),"12141")</f>
        <v>12141</v>
      </c>
      <c r="D5544" s="6" t="str">
        <f>IFERROR(__xludf.DUMMYFUNCTION("""COMPUTED_VALUE"""),"Camaya")</f>
        <v>Camaya</v>
      </c>
      <c r="E5544" s="6" t="str">
        <f>IFERROR(__xludf.DUMMYFUNCTION("""COMPUTED_VALUE"""),"")</f>
        <v/>
      </c>
      <c r="F5544" s="6" t="str">
        <f>IFERROR(__xludf.DUMMYFUNCTION("""COMPUTED_VALUE"""),"Baniel")</f>
        <v>Baniel</v>
      </c>
      <c r="G5544" s="6" t="str">
        <f>IFERROR(__xludf.DUMMYFUNCTION("""COMPUTED_VALUE"""),"01/22/2013")</f>
        <v>01/22/2013</v>
      </c>
      <c r="H5544" s="6" t="str">
        <f>IFERROR(__xludf.DUMMYFUNCTION("""COMPUTED_VALUE"""),"female")</f>
        <v>female</v>
      </c>
      <c r="I5544" s="6" t="str">
        <f>IFERROR(__xludf.DUMMYFUNCTION("""COMPUTED_VALUE"""),"Middle School")</f>
        <v>Middle School</v>
      </c>
      <c r="J5544" s="6" t="str">
        <f>IFERROR(__xludf.DUMMYFUNCTION("""COMPUTED_VALUE"""),"7")</f>
        <v>7</v>
      </c>
      <c r="K5544" s="6" t="str">
        <f>IFERROR(__xludf.DUMMYFUNCTION("""COMPUTED_VALUE"""),"camaya.baniel@2hourlearning.com")</f>
        <v>camaya.baniel@2hourlearning.com</v>
      </c>
      <c r="L5544" s="6" t="str">
        <f>IFERROR(__xludf.DUMMYFUNCTION("""COMPUTED_VALUE"""),"JRHS - Ridgeland Secondary Academy of Excellence")</f>
        <v>JRHS - Ridgeland Secondary Academy of Excellence</v>
      </c>
      <c r="M5544" s="6" t="str">
        <f>IFERROR(__xludf.DUMMYFUNCTION("""COMPUTED_VALUE"""),"")</f>
        <v/>
      </c>
      <c r="N5544" s="6" t="str">
        <f>IFERROR(__xludf.DUMMYFUNCTION("""COMPUTED_VALUE"""),"")</f>
        <v/>
      </c>
      <c r="O5544" s="87" t="str">
        <f>IFERROR(__xludf.DUMMYFUNCTION("""COMPUTED_VALUE"""),"https://drive.google.com/drive/folders/10T2cTQHqEJZqE-st6uFKPoI?usp=share_link")</f>
        <v>https://drive.google.com/drive/folders/10T2cTQHqEJZqE-st6uFKPoI?usp=share_link</v>
      </c>
      <c r="P5544" s="6" t="str">
        <f>IFERROR(__xludf.DUMMYFUNCTION("""COMPUTED_VALUE"""),"Camaya Baniel")</f>
        <v>Camaya Baniel</v>
      </c>
      <c r="Q5544" s="6" t="str">
        <f>IFERROR(__xludf.DUMMYFUNCTION("""COMPUTED_VALUE"""),"MS")</f>
        <v>MS</v>
      </c>
      <c r="R5544" s="6">
        <f>IFERROR(__xludf.DUMMYFUNCTION("""COMPUTED_VALUE"""),0.0)</f>
        <v>0</v>
      </c>
      <c r="S5544" s="6" t="str">
        <f>IFERROR(__xludf.DUMMYFUNCTION("""COMPUTED_VALUE"""),"Kimberly Ball")</f>
        <v>Kimberly Ball</v>
      </c>
      <c r="T5544" s="6" t="str">
        <f>IFERROR(__xludf.DUMMYFUNCTION("""COMPUTED_VALUE"""),"kimberly.ball@studient.com")</f>
        <v>kimberly.ball@studient.com</v>
      </c>
      <c r="U5544" s="6" t="str">
        <f>IFERROR(__xludf.DUMMYFUNCTION("""COMPUTED_VALUE"""),"7")</f>
        <v>7</v>
      </c>
      <c r="V5544" s="6" t="str">
        <f>IFERROR(__xludf.DUMMYFUNCTION("""COMPUTED_VALUE"""),"")</f>
        <v/>
      </c>
      <c r="W5544" s="6" t="str">
        <f>IFERROR(__xludf.DUMMYFUNCTION("""COMPUTED_VALUE"""),"[]")</f>
        <v>[]</v>
      </c>
      <c r="X5544" s="6" t="str">
        <f>IFERROR(__xludf.DUMMYFUNCTION("""COMPUTED_VALUE"""),"Enrolled")</f>
        <v>Enrolled</v>
      </c>
    </row>
    <row r="5545">
      <c r="A5545" s="6" t="str">
        <f>IFERROR(__xludf.DUMMYFUNCTION("""COMPUTED_VALUE"""),"087-12142")</f>
        <v>087-12142</v>
      </c>
      <c r="B5545" s="6" t="str">
        <f>IFERROR(__xludf.DUMMYFUNCTION("""COMPUTED_VALUE"""),"87")</f>
        <v>87</v>
      </c>
      <c r="C5545" s="6" t="str">
        <f>IFERROR(__xludf.DUMMYFUNCTION("""COMPUTED_VALUE"""),"12142")</f>
        <v>12142</v>
      </c>
      <c r="D5545" s="6" t="str">
        <f>IFERROR(__xludf.DUMMYFUNCTION("""COMPUTED_VALUE"""),"Pedro")</f>
        <v>Pedro</v>
      </c>
      <c r="E5545" s="6" t="str">
        <f>IFERROR(__xludf.DUMMYFUNCTION("""COMPUTED_VALUE"""),"")</f>
        <v/>
      </c>
      <c r="F5545" s="6" t="str">
        <f>IFERROR(__xludf.DUMMYFUNCTION("""COMPUTED_VALUE"""),"Barahona Hernandez")</f>
        <v>Barahona Hernandez</v>
      </c>
      <c r="G5545" s="6" t="str">
        <f>IFERROR(__xludf.DUMMYFUNCTION("""COMPUTED_VALUE"""),"02/21/2014")</f>
        <v>02/21/2014</v>
      </c>
      <c r="H5545" s="6" t="str">
        <f>IFERROR(__xludf.DUMMYFUNCTION("""COMPUTED_VALUE"""),"male")</f>
        <v>male</v>
      </c>
      <c r="I5545" s="6" t="str">
        <f>IFERROR(__xludf.DUMMYFUNCTION("""COMPUTED_VALUE"""),"Middle School")</f>
        <v>Middle School</v>
      </c>
      <c r="J5545" s="6" t="str">
        <f>IFERROR(__xludf.DUMMYFUNCTION("""COMPUTED_VALUE"""),"6")</f>
        <v>6</v>
      </c>
      <c r="K5545" s="6" t="str">
        <f>IFERROR(__xludf.DUMMYFUNCTION("""COMPUTED_VALUE"""),"pedro.barahonahernandez@2hourlearning.com")</f>
        <v>pedro.barahonahernandez@2hourlearning.com</v>
      </c>
      <c r="L5545" s="6" t="str">
        <f>IFERROR(__xludf.DUMMYFUNCTION("""COMPUTED_VALUE"""),"JRHS - Ridgeland Secondary Academy of Excellence")</f>
        <v>JRHS - Ridgeland Secondary Academy of Excellence</v>
      </c>
      <c r="M5545" s="6" t="str">
        <f>IFERROR(__xludf.DUMMYFUNCTION("""COMPUTED_VALUE"""),"")</f>
        <v/>
      </c>
      <c r="N5545" s="6" t="str">
        <f>IFERROR(__xludf.DUMMYFUNCTION("""COMPUTED_VALUE"""),"")</f>
        <v/>
      </c>
      <c r="O5545" s="87" t="str">
        <f>IFERROR(__xludf.DUMMYFUNCTION("""COMPUTED_VALUE"""),"https://drive.google.com/drive/folders/10T2cTQHqEJZqE-st6uFKPoI?usp=share_link")</f>
        <v>https://drive.google.com/drive/folders/10T2cTQHqEJZqE-st6uFKPoI?usp=share_link</v>
      </c>
      <c r="P5545" s="6" t="str">
        <f>IFERROR(__xludf.DUMMYFUNCTION("""COMPUTED_VALUE"""),"Pedro Barahona Hernandez")</f>
        <v>Pedro Barahona Hernandez</v>
      </c>
      <c r="Q5545" s="6" t="str">
        <f>IFERROR(__xludf.DUMMYFUNCTION("""COMPUTED_VALUE"""),"MS")</f>
        <v>MS</v>
      </c>
      <c r="R5545" s="6">
        <f>IFERROR(__xludf.DUMMYFUNCTION("""COMPUTED_VALUE"""),0.0)</f>
        <v>0</v>
      </c>
      <c r="S5545" s="6" t="str">
        <f>IFERROR(__xludf.DUMMYFUNCTION("""COMPUTED_VALUE"""),"Kimberly Ball")</f>
        <v>Kimberly Ball</v>
      </c>
      <c r="T5545" s="6" t="str">
        <f>IFERROR(__xludf.DUMMYFUNCTION("""COMPUTED_VALUE"""),"kimberly.ball@studient.com")</f>
        <v>kimberly.ball@studient.com</v>
      </c>
      <c r="U5545" s="6" t="str">
        <f>IFERROR(__xludf.DUMMYFUNCTION("""COMPUTED_VALUE"""),"6")</f>
        <v>6</v>
      </c>
      <c r="V5545" s="6" t="str">
        <f>IFERROR(__xludf.DUMMYFUNCTION("""COMPUTED_VALUE"""),"")</f>
        <v/>
      </c>
      <c r="W5545" s="6" t="str">
        <f>IFERROR(__xludf.DUMMYFUNCTION("""COMPUTED_VALUE"""),"[]")</f>
        <v>[]</v>
      </c>
      <c r="X5545" s="6" t="str">
        <f>IFERROR(__xludf.DUMMYFUNCTION("""COMPUTED_VALUE"""),"Enrolled")</f>
        <v>Enrolled</v>
      </c>
    </row>
    <row r="5546">
      <c r="A5546" s="6" t="str">
        <f>IFERROR(__xludf.DUMMYFUNCTION("""COMPUTED_VALUE"""),"087-12143")</f>
        <v>087-12143</v>
      </c>
      <c r="B5546" s="6" t="str">
        <f>IFERROR(__xludf.DUMMYFUNCTION("""COMPUTED_VALUE"""),"87")</f>
        <v>87</v>
      </c>
      <c r="C5546" s="6" t="str">
        <f>IFERROR(__xludf.DUMMYFUNCTION("""COMPUTED_VALUE"""),"12143")</f>
        <v>12143</v>
      </c>
      <c r="D5546" s="6" t="str">
        <f>IFERROR(__xludf.DUMMYFUNCTION("""COMPUTED_VALUE"""),"Jer'Lerah")</f>
        <v>Jer'Lerah</v>
      </c>
      <c r="E5546" s="6" t="str">
        <f>IFERROR(__xludf.DUMMYFUNCTION("""COMPUTED_VALUE"""),"")</f>
        <v/>
      </c>
      <c r="F5546" s="6" t="str">
        <f>IFERROR(__xludf.DUMMYFUNCTION("""COMPUTED_VALUE"""),"Barnes")</f>
        <v>Barnes</v>
      </c>
      <c r="G5546" s="6" t="str">
        <f>IFERROR(__xludf.DUMMYFUNCTION("""COMPUTED_VALUE"""),"07/08/2013")</f>
        <v>07/08/2013</v>
      </c>
      <c r="H5546" s="6" t="str">
        <f>IFERROR(__xludf.DUMMYFUNCTION("""COMPUTED_VALUE"""),"female")</f>
        <v>female</v>
      </c>
      <c r="I5546" s="6" t="str">
        <f>IFERROR(__xludf.DUMMYFUNCTION("""COMPUTED_VALUE"""),"Middle School")</f>
        <v>Middle School</v>
      </c>
      <c r="J5546" s="6" t="str">
        <f>IFERROR(__xludf.DUMMYFUNCTION("""COMPUTED_VALUE"""),"7")</f>
        <v>7</v>
      </c>
      <c r="K5546" s="6" t="str">
        <f>IFERROR(__xludf.DUMMYFUNCTION("""COMPUTED_VALUE"""),"jerlerah.barnes@2hourlearning.com")</f>
        <v>jerlerah.barnes@2hourlearning.com</v>
      </c>
      <c r="L5546" s="6" t="str">
        <f>IFERROR(__xludf.DUMMYFUNCTION("""COMPUTED_VALUE"""),"JRHS - Ridgeland Secondary Academy of Excellence")</f>
        <v>JRHS - Ridgeland Secondary Academy of Excellence</v>
      </c>
      <c r="M5546" s="6" t="str">
        <f>IFERROR(__xludf.DUMMYFUNCTION("""COMPUTED_VALUE"""),"")</f>
        <v/>
      </c>
      <c r="N5546" s="6" t="str">
        <f>IFERROR(__xludf.DUMMYFUNCTION("""COMPUTED_VALUE"""),"")</f>
        <v/>
      </c>
      <c r="O5546" s="87" t="str">
        <f>IFERROR(__xludf.DUMMYFUNCTION("""COMPUTED_VALUE"""),"https://drive.google.com/drive/folders/10T2cTQHqEJZqE-st6uFKPoI?usp=share_link")</f>
        <v>https://drive.google.com/drive/folders/10T2cTQHqEJZqE-st6uFKPoI?usp=share_link</v>
      </c>
      <c r="P5546" s="6" t="str">
        <f>IFERROR(__xludf.DUMMYFUNCTION("""COMPUTED_VALUE"""),"Jer'Lerah Barnes")</f>
        <v>Jer'Lerah Barnes</v>
      </c>
      <c r="Q5546" s="6" t="str">
        <f>IFERROR(__xludf.DUMMYFUNCTION("""COMPUTED_VALUE"""),"MS")</f>
        <v>MS</v>
      </c>
      <c r="R5546" s="6">
        <f>IFERROR(__xludf.DUMMYFUNCTION("""COMPUTED_VALUE"""),0.0)</f>
        <v>0</v>
      </c>
      <c r="S5546" s="6" t="str">
        <f>IFERROR(__xludf.DUMMYFUNCTION("""COMPUTED_VALUE"""),"Kimberly Ball")</f>
        <v>Kimberly Ball</v>
      </c>
      <c r="T5546" s="6" t="str">
        <f>IFERROR(__xludf.DUMMYFUNCTION("""COMPUTED_VALUE"""),"kimberly.ball@studient.com")</f>
        <v>kimberly.ball@studient.com</v>
      </c>
      <c r="U5546" s="6" t="str">
        <f>IFERROR(__xludf.DUMMYFUNCTION("""COMPUTED_VALUE"""),"7")</f>
        <v>7</v>
      </c>
      <c r="V5546" s="6" t="str">
        <f>IFERROR(__xludf.DUMMYFUNCTION("""COMPUTED_VALUE"""),"")</f>
        <v/>
      </c>
      <c r="W5546" s="6" t="str">
        <f>IFERROR(__xludf.DUMMYFUNCTION("""COMPUTED_VALUE"""),"[]")</f>
        <v>[]</v>
      </c>
      <c r="X5546" s="6" t="str">
        <f>IFERROR(__xludf.DUMMYFUNCTION("""COMPUTED_VALUE"""),"Enrolled")</f>
        <v>Enrolled</v>
      </c>
    </row>
    <row r="5547">
      <c r="A5547" s="6" t="str">
        <f>IFERROR(__xludf.DUMMYFUNCTION("""COMPUTED_VALUE"""),"087-12144")</f>
        <v>087-12144</v>
      </c>
      <c r="B5547" s="6" t="str">
        <f>IFERROR(__xludf.DUMMYFUNCTION("""COMPUTED_VALUE"""),"87")</f>
        <v>87</v>
      </c>
      <c r="C5547" s="6" t="str">
        <f>IFERROR(__xludf.DUMMYFUNCTION("""COMPUTED_VALUE"""),"12144")</f>
        <v>12144</v>
      </c>
      <c r="D5547" s="6" t="str">
        <f>IFERROR(__xludf.DUMMYFUNCTION("""COMPUTED_VALUE"""),"Evangelin")</f>
        <v>Evangelin</v>
      </c>
      <c r="E5547" s="6" t="str">
        <f>IFERROR(__xludf.DUMMYFUNCTION("""COMPUTED_VALUE"""),"")</f>
        <v/>
      </c>
      <c r="F5547" s="6" t="str">
        <f>IFERROR(__xludf.DUMMYFUNCTION("""COMPUTED_VALUE"""),"Barrientos Guadarrama")</f>
        <v>Barrientos Guadarrama</v>
      </c>
      <c r="G5547" s="6" t="str">
        <f>IFERROR(__xludf.DUMMYFUNCTION("""COMPUTED_VALUE"""),"03/15/2012")</f>
        <v>03/15/2012</v>
      </c>
      <c r="H5547" s="6" t="str">
        <f>IFERROR(__xludf.DUMMYFUNCTION("""COMPUTED_VALUE"""),"female")</f>
        <v>female</v>
      </c>
      <c r="I5547" s="6" t="str">
        <f>IFERROR(__xludf.DUMMYFUNCTION("""COMPUTED_VALUE"""),"Middle School")</f>
        <v>Middle School</v>
      </c>
      <c r="J5547" s="6" t="str">
        <f>IFERROR(__xludf.DUMMYFUNCTION("""COMPUTED_VALUE"""),"8")</f>
        <v>8</v>
      </c>
      <c r="K5547" s="6" t="str">
        <f>IFERROR(__xludf.DUMMYFUNCTION("""COMPUTED_VALUE"""),"evangelin.barrientosguadarrama@2hourlearning.com")</f>
        <v>evangelin.barrientosguadarrama@2hourlearning.com</v>
      </c>
      <c r="L5547" s="6" t="str">
        <f>IFERROR(__xludf.DUMMYFUNCTION("""COMPUTED_VALUE"""),"JRHS - Ridgeland Secondary Academy of Excellence")</f>
        <v>JRHS - Ridgeland Secondary Academy of Excellence</v>
      </c>
      <c r="M5547" s="6" t="str">
        <f>IFERROR(__xludf.DUMMYFUNCTION("""COMPUTED_VALUE"""),"")</f>
        <v/>
      </c>
      <c r="N5547" s="6" t="str">
        <f>IFERROR(__xludf.DUMMYFUNCTION("""COMPUTED_VALUE"""),"")</f>
        <v/>
      </c>
      <c r="O5547" s="87" t="str">
        <f>IFERROR(__xludf.DUMMYFUNCTION("""COMPUTED_VALUE"""),"https://drive.google.com/drive/folders/10T2cTQHqEJZqE-st6uFKPoI?usp=share_link")</f>
        <v>https://drive.google.com/drive/folders/10T2cTQHqEJZqE-st6uFKPoI?usp=share_link</v>
      </c>
      <c r="P5547" s="6" t="str">
        <f>IFERROR(__xludf.DUMMYFUNCTION("""COMPUTED_VALUE"""),"Evangelin Barrientos Guadarrama")</f>
        <v>Evangelin Barrientos Guadarrama</v>
      </c>
      <c r="Q5547" s="6" t="str">
        <f>IFERROR(__xludf.DUMMYFUNCTION("""COMPUTED_VALUE"""),"MS")</f>
        <v>MS</v>
      </c>
      <c r="R5547" s="6">
        <f>IFERROR(__xludf.DUMMYFUNCTION("""COMPUTED_VALUE"""),0.0)</f>
        <v>0</v>
      </c>
      <c r="S5547" s="6" t="str">
        <f>IFERROR(__xludf.DUMMYFUNCTION("""COMPUTED_VALUE"""),"Kimberly Ball")</f>
        <v>Kimberly Ball</v>
      </c>
      <c r="T5547" s="6" t="str">
        <f>IFERROR(__xludf.DUMMYFUNCTION("""COMPUTED_VALUE"""),"kimberly.ball@studient.com")</f>
        <v>kimberly.ball@studient.com</v>
      </c>
      <c r="U5547" s="6" t="str">
        <f>IFERROR(__xludf.DUMMYFUNCTION("""COMPUTED_VALUE"""),"8")</f>
        <v>8</v>
      </c>
      <c r="V5547" s="6" t="str">
        <f>IFERROR(__xludf.DUMMYFUNCTION("""COMPUTED_VALUE"""),"")</f>
        <v/>
      </c>
      <c r="W5547" s="6" t="str">
        <f>IFERROR(__xludf.DUMMYFUNCTION("""COMPUTED_VALUE"""),"[]")</f>
        <v>[]</v>
      </c>
      <c r="X5547" s="6" t="str">
        <f>IFERROR(__xludf.DUMMYFUNCTION("""COMPUTED_VALUE"""),"Enrolled")</f>
        <v>Enrolled</v>
      </c>
    </row>
    <row r="5548">
      <c r="A5548" s="6" t="str">
        <f>IFERROR(__xludf.DUMMYFUNCTION("""COMPUTED_VALUE"""),"087-12145")</f>
        <v>087-12145</v>
      </c>
      <c r="B5548" s="6" t="str">
        <f>IFERROR(__xludf.DUMMYFUNCTION("""COMPUTED_VALUE"""),"87")</f>
        <v>87</v>
      </c>
      <c r="C5548" s="6" t="str">
        <f>IFERROR(__xludf.DUMMYFUNCTION("""COMPUTED_VALUE"""),"12145")</f>
        <v>12145</v>
      </c>
      <c r="D5548" s="6" t="str">
        <f>IFERROR(__xludf.DUMMYFUNCTION("""COMPUTED_VALUE"""),"Dulce")</f>
        <v>Dulce</v>
      </c>
      <c r="E5548" s="6" t="str">
        <f>IFERROR(__xludf.DUMMYFUNCTION("""COMPUTED_VALUE"""),"")</f>
        <v/>
      </c>
      <c r="F5548" s="6" t="str">
        <f>IFERROR(__xludf.DUMMYFUNCTION("""COMPUTED_VALUE"""),"Barrientos Salinas")</f>
        <v>Barrientos Salinas</v>
      </c>
      <c r="G5548" s="6" t="str">
        <f>IFERROR(__xludf.DUMMYFUNCTION("""COMPUTED_VALUE"""),"03/03/2013")</f>
        <v>03/03/2013</v>
      </c>
      <c r="H5548" s="6" t="str">
        <f>IFERROR(__xludf.DUMMYFUNCTION("""COMPUTED_VALUE"""),"female")</f>
        <v>female</v>
      </c>
      <c r="I5548" s="6" t="str">
        <f>IFERROR(__xludf.DUMMYFUNCTION("""COMPUTED_VALUE"""),"Middle School")</f>
        <v>Middle School</v>
      </c>
      <c r="J5548" s="6" t="str">
        <f>IFERROR(__xludf.DUMMYFUNCTION("""COMPUTED_VALUE"""),"7")</f>
        <v>7</v>
      </c>
      <c r="K5548" s="6" t="str">
        <f>IFERROR(__xludf.DUMMYFUNCTION("""COMPUTED_VALUE"""),"dulce.barrientossalinas@2hourlearning.com")</f>
        <v>dulce.barrientossalinas@2hourlearning.com</v>
      </c>
      <c r="L5548" s="6" t="str">
        <f>IFERROR(__xludf.DUMMYFUNCTION("""COMPUTED_VALUE"""),"JRHS - Ridgeland Secondary Academy of Excellence")</f>
        <v>JRHS - Ridgeland Secondary Academy of Excellence</v>
      </c>
      <c r="M5548" s="6" t="str">
        <f>IFERROR(__xludf.DUMMYFUNCTION("""COMPUTED_VALUE"""),"")</f>
        <v/>
      </c>
      <c r="N5548" s="6" t="str">
        <f>IFERROR(__xludf.DUMMYFUNCTION("""COMPUTED_VALUE"""),"")</f>
        <v/>
      </c>
      <c r="O5548" s="87" t="str">
        <f>IFERROR(__xludf.DUMMYFUNCTION("""COMPUTED_VALUE"""),"https://drive.google.com/drive/folders/10T2cTQHqEJZqE-st6uFKPoI?usp=share_link")</f>
        <v>https://drive.google.com/drive/folders/10T2cTQHqEJZqE-st6uFKPoI?usp=share_link</v>
      </c>
      <c r="P5548" s="6" t="str">
        <f>IFERROR(__xludf.DUMMYFUNCTION("""COMPUTED_VALUE"""),"Dulce Barrientos Salinas")</f>
        <v>Dulce Barrientos Salinas</v>
      </c>
      <c r="Q5548" s="6" t="str">
        <f>IFERROR(__xludf.DUMMYFUNCTION("""COMPUTED_VALUE"""),"MS")</f>
        <v>MS</v>
      </c>
      <c r="R5548" s="6">
        <f>IFERROR(__xludf.DUMMYFUNCTION("""COMPUTED_VALUE"""),0.0)</f>
        <v>0</v>
      </c>
      <c r="S5548" s="6" t="str">
        <f>IFERROR(__xludf.DUMMYFUNCTION("""COMPUTED_VALUE"""),"Kimberly Ball")</f>
        <v>Kimberly Ball</v>
      </c>
      <c r="T5548" s="6" t="str">
        <f>IFERROR(__xludf.DUMMYFUNCTION("""COMPUTED_VALUE"""),"kimberly.ball@studient.com")</f>
        <v>kimberly.ball@studient.com</v>
      </c>
      <c r="U5548" s="6" t="str">
        <f>IFERROR(__xludf.DUMMYFUNCTION("""COMPUTED_VALUE"""),"7")</f>
        <v>7</v>
      </c>
      <c r="V5548" s="6" t="str">
        <f>IFERROR(__xludf.DUMMYFUNCTION("""COMPUTED_VALUE"""),"")</f>
        <v/>
      </c>
      <c r="W5548" s="6" t="str">
        <f>IFERROR(__xludf.DUMMYFUNCTION("""COMPUTED_VALUE"""),"[]")</f>
        <v>[]</v>
      </c>
      <c r="X5548" s="6" t="str">
        <f>IFERROR(__xludf.DUMMYFUNCTION("""COMPUTED_VALUE"""),"Enrolled")</f>
        <v>Enrolled</v>
      </c>
    </row>
    <row r="5549">
      <c r="A5549" s="6" t="str">
        <f>IFERROR(__xludf.DUMMYFUNCTION("""COMPUTED_VALUE"""),"087-12146")</f>
        <v>087-12146</v>
      </c>
      <c r="B5549" s="6" t="str">
        <f>IFERROR(__xludf.DUMMYFUNCTION("""COMPUTED_VALUE"""),"87")</f>
        <v>87</v>
      </c>
      <c r="C5549" s="6" t="str">
        <f>IFERROR(__xludf.DUMMYFUNCTION("""COMPUTED_VALUE"""),"12146")</f>
        <v>12146</v>
      </c>
      <c r="D5549" s="6" t="str">
        <f>IFERROR(__xludf.DUMMYFUNCTION("""COMPUTED_VALUE"""),"Kenya")</f>
        <v>Kenya</v>
      </c>
      <c r="E5549" s="6" t="str">
        <f>IFERROR(__xludf.DUMMYFUNCTION("""COMPUTED_VALUE"""),"")</f>
        <v/>
      </c>
      <c r="F5549" s="6" t="str">
        <f>IFERROR(__xludf.DUMMYFUNCTION("""COMPUTED_VALUE"""),"Batiste")</f>
        <v>Batiste</v>
      </c>
      <c r="G5549" s="6" t="str">
        <f>IFERROR(__xludf.DUMMYFUNCTION("""COMPUTED_VALUE"""),"07/12/2013")</f>
        <v>07/12/2013</v>
      </c>
      <c r="H5549" s="6" t="str">
        <f>IFERROR(__xludf.DUMMYFUNCTION("""COMPUTED_VALUE"""),"male")</f>
        <v>male</v>
      </c>
      <c r="I5549" s="6" t="str">
        <f>IFERROR(__xludf.DUMMYFUNCTION("""COMPUTED_VALUE"""),"Middle School")</f>
        <v>Middle School</v>
      </c>
      <c r="J5549" s="6" t="str">
        <f>IFERROR(__xludf.DUMMYFUNCTION("""COMPUTED_VALUE"""),"7")</f>
        <v>7</v>
      </c>
      <c r="K5549" s="6" t="str">
        <f>IFERROR(__xludf.DUMMYFUNCTION("""COMPUTED_VALUE"""),"kenya.batiste@2hourlearning.com")</f>
        <v>kenya.batiste@2hourlearning.com</v>
      </c>
      <c r="L5549" s="6" t="str">
        <f>IFERROR(__xludf.DUMMYFUNCTION("""COMPUTED_VALUE"""),"JRHS - Ridgeland Secondary Academy of Excellence")</f>
        <v>JRHS - Ridgeland Secondary Academy of Excellence</v>
      </c>
      <c r="M5549" s="6" t="str">
        <f>IFERROR(__xludf.DUMMYFUNCTION("""COMPUTED_VALUE"""),"")</f>
        <v/>
      </c>
      <c r="N5549" s="6" t="str">
        <f>IFERROR(__xludf.DUMMYFUNCTION("""COMPUTED_VALUE"""),"")</f>
        <v/>
      </c>
      <c r="O5549" s="87" t="str">
        <f>IFERROR(__xludf.DUMMYFUNCTION("""COMPUTED_VALUE"""),"https://drive.google.com/drive/folders/10T2cTQHqEJZqE-st6uFKPoI?usp=share_link")</f>
        <v>https://drive.google.com/drive/folders/10T2cTQHqEJZqE-st6uFKPoI?usp=share_link</v>
      </c>
      <c r="P5549" s="6" t="str">
        <f>IFERROR(__xludf.DUMMYFUNCTION("""COMPUTED_VALUE"""),"Kenya Batiste")</f>
        <v>Kenya Batiste</v>
      </c>
      <c r="Q5549" s="6" t="str">
        <f>IFERROR(__xludf.DUMMYFUNCTION("""COMPUTED_VALUE"""),"MS")</f>
        <v>MS</v>
      </c>
      <c r="R5549" s="6">
        <f>IFERROR(__xludf.DUMMYFUNCTION("""COMPUTED_VALUE"""),0.0)</f>
        <v>0</v>
      </c>
      <c r="S5549" s="6" t="str">
        <f>IFERROR(__xludf.DUMMYFUNCTION("""COMPUTED_VALUE"""),"Kimberly Ball")</f>
        <v>Kimberly Ball</v>
      </c>
      <c r="T5549" s="6" t="str">
        <f>IFERROR(__xludf.DUMMYFUNCTION("""COMPUTED_VALUE"""),"kimberly.ball@studient.com")</f>
        <v>kimberly.ball@studient.com</v>
      </c>
      <c r="U5549" s="6" t="str">
        <f>IFERROR(__xludf.DUMMYFUNCTION("""COMPUTED_VALUE"""),"7")</f>
        <v>7</v>
      </c>
      <c r="V5549" s="6" t="str">
        <f>IFERROR(__xludf.DUMMYFUNCTION("""COMPUTED_VALUE"""),"")</f>
        <v/>
      </c>
      <c r="W5549" s="6" t="str">
        <f>IFERROR(__xludf.DUMMYFUNCTION("""COMPUTED_VALUE"""),"[]")</f>
        <v>[]</v>
      </c>
      <c r="X5549" s="6" t="str">
        <f>IFERROR(__xludf.DUMMYFUNCTION("""COMPUTED_VALUE"""),"Enrolled")</f>
        <v>Enrolled</v>
      </c>
    </row>
    <row r="5550">
      <c r="A5550" s="6" t="str">
        <f>IFERROR(__xludf.DUMMYFUNCTION("""COMPUTED_VALUE"""),"087-12147")</f>
        <v>087-12147</v>
      </c>
      <c r="B5550" s="6" t="str">
        <f>IFERROR(__xludf.DUMMYFUNCTION("""COMPUTED_VALUE"""),"87")</f>
        <v>87</v>
      </c>
      <c r="C5550" s="6" t="str">
        <f>IFERROR(__xludf.DUMMYFUNCTION("""COMPUTED_VALUE"""),"12147")</f>
        <v>12147</v>
      </c>
      <c r="D5550" s="6" t="str">
        <f>IFERROR(__xludf.DUMMYFUNCTION("""COMPUTED_VALUE"""),"Zayvion")</f>
        <v>Zayvion</v>
      </c>
      <c r="E5550" s="6" t="str">
        <f>IFERROR(__xludf.DUMMYFUNCTION("""COMPUTED_VALUE"""),"")</f>
        <v/>
      </c>
      <c r="F5550" s="6" t="str">
        <f>IFERROR(__xludf.DUMMYFUNCTION("""COMPUTED_VALUE"""),"Battiste")</f>
        <v>Battiste</v>
      </c>
      <c r="G5550" s="6" t="str">
        <f>IFERROR(__xludf.DUMMYFUNCTION("""COMPUTED_VALUE"""),"05/30/2014")</f>
        <v>05/30/2014</v>
      </c>
      <c r="H5550" s="6" t="str">
        <f>IFERROR(__xludf.DUMMYFUNCTION("""COMPUTED_VALUE"""),"male")</f>
        <v>male</v>
      </c>
      <c r="I5550" s="6" t="str">
        <f>IFERROR(__xludf.DUMMYFUNCTION("""COMPUTED_VALUE"""),"Middle School")</f>
        <v>Middle School</v>
      </c>
      <c r="J5550" s="6" t="str">
        <f>IFERROR(__xludf.DUMMYFUNCTION("""COMPUTED_VALUE"""),"6")</f>
        <v>6</v>
      </c>
      <c r="K5550" s="6" t="str">
        <f>IFERROR(__xludf.DUMMYFUNCTION("""COMPUTED_VALUE"""),"zayvion.battiste@2hourlearning.com")</f>
        <v>zayvion.battiste@2hourlearning.com</v>
      </c>
      <c r="L5550" s="6" t="str">
        <f>IFERROR(__xludf.DUMMYFUNCTION("""COMPUTED_VALUE"""),"JRHS - Ridgeland Secondary Academy of Excellence")</f>
        <v>JRHS - Ridgeland Secondary Academy of Excellence</v>
      </c>
      <c r="M5550" s="6" t="str">
        <f>IFERROR(__xludf.DUMMYFUNCTION("""COMPUTED_VALUE"""),"")</f>
        <v/>
      </c>
      <c r="N5550" s="6" t="str">
        <f>IFERROR(__xludf.DUMMYFUNCTION("""COMPUTED_VALUE"""),"")</f>
        <v/>
      </c>
      <c r="O5550" s="87" t="str">
        <f>IFERROR(__xludf.DUMMYFUNCTION("""COMPUTED_VALUE"""),"https://drive.google.com/drive/folders/10T2cTQHqEJZqE-st6uFKPoI?usp=share_link")</f>
        <v>https://drive.google.com/drive/folders/10T2cTQHqEJZqE-st6uFKPoI?usp=share_link</v>
      </c>
      <c r="P5550" s="6" t="str">
        <f>IFERROR(__xludf.DUMMYFUNCTION("""COMPUTED_VALUE"""),"Zayvion Battiste")</f>
        <v>Zayvion Battiste</v>
      </c>
      <c r="Q5550" s="6" t="str">
        <f>IFERROR(__xludf.DUMMYFUNCTION("""COMPUTED_VALUE"""),"MS")</f>
        <v>MS</v>
      </c>
      <c r="R5550" s="6">
        <f>IFERROR(__xludf.DUMMYFUNCTION("""COMPUTED_VALUE"""),0.0)</f>
        <v>0</v>
      </c>
      <c r="S5550" s="6" t="str">
        <f>IFERROR(__xludf.DUMMYFUNCTION("""COMPUTED_VALUE"""),"Kimberly Ball")</f>
        <v>Kimberly Ball</v>
      </c>
      <c r="T5550" s="6" t="str">
        <f>IFERROR(__xludf.DUMMYFUNCTION("""COMPUTED_VALUE"""),"kimberly.ball@studient.com")</f>
        <v>kimberly.ball@studient.com</v>
      </c>
      <c r="U5550" s="6" t="str">
        <f>IFERROR(__xludf.DUMMYFUNCTION("""COMPUTED_VALUE"""),"6")</f>
        <v>6</v>
      </c>
      <c r="V5550" s="6" t="str">
        <f>IFERROR(__xludf.DUMMYFUNCTION("""COMPUTED_VALUE"""),"")</f>
        <v/>
      </c>
      <c r="W5550" s="6" t="str">
        <f>IFERROR(__xludf.DUMMYFUNCTION("""COMPUTED_VALUE"""),"[]")</f>
        <v>[]</v>
      </c>
      <c r="X5550" s="6" t="str">
        <f>IFERROR(__xludf.DUMMYFUNCTION("""COMPUTED_VALUE"""),"Enrolled")</f>
        <v>Enrolled</v>
      </c>
    </row>
    <row r="5551">
      <c r="A5551" s="6" t="str">
        <f>IFERROR(__xludf.DUMMYFUNCTION("""COMPUTED_VALUE"""),"087-12148")</f>
        <v>087-12148</v>
      </c>
      <c r="B5551" s="6" t="str">
        <f>IFERROR(__xludf.DUMMYFUNCTION("""COMPUTED_VALUE"""),"87")</f>
        <v>87</v>
      </c>
      <c r="C5551" s="6" t="str">
        <f>IFERROR(__xludf.DUMMYFUNCTION("""COMPUTED_VALUE"""),"12148")</f>
        <v>12148</v>
      </c>
      <c r="D5551" s="6" t="str">
        <f>IFERROR(__xludf.DUMMYFUNCTION("""COMPUTED_VALUE"""),"Zy'Aire")</f>
        <v>Zy'Aire</v>
      </c>
      <c r="E5551" s="6" t="str">
        <f>IFERROR(__xludf.DUMMYFUNCTION("""COMPUTED_VALUE"""),"")</f>
        <v/>
      </c>
      <c r="F5551" s="6" t="str">
        <f>IFERROR(__xludf.DUMMYFUNCTION("""COMPUTED_VALUE"""),"Battiste")</f>
        <v>Battiste</v>
      </c>
      <c r="G5551" s="6" t="str">
        <f>IFERROR(__xludf.DUMMYFUNCTION("""COMPUTED_VALUE"""),"05/10/2012")</f>
        <v>05/10/2012</v>
      </c>
      <c r="H5551" s="6" t="str">
        <f>IFERROR(__xludf.DUMMYFUNCTION("""COMPUTED_VALUE"""),"male")</f>
        <v>male</v>
      </c>
      <c r="I5551" s="6" t="str">
        <f>IFERROR(__xludf.DUMMYFUNCTION("""COMPUTED_VALUE"""),"Middle School")</f>
        <v>Middle School</v>
      </c>
      <c r="J5551" s="6" t="str">
        <f>IFERROR(__xludf.DUMMYFUNCTION("""COMPUTED_VALUE"""),"8")</f>
        <v>8</v>
      </c>
      <c r="K5551" s="6" t="str">
        <f>IFERROR(__xludf.DUMMYFUNCTION("""COMPUTED_VALUE"""),"zyaire.battiste@2hourlearning.com")</f>
        <v>zyaire.battiste@2hourlearning.com</v>
      </c>
      <c r="L5551" s="6" t="str">
        <f>IFERROR(__xludf.DUMMYFUNCTION("""COMPUTED_VALUE"""),"JRHS - Ridgeland Secondary Academy of Excellence")</f>
        <v>JRHS - Ridgeland Secondary Academy of Excellence</v>
      </c>
      <c r="M5551" s="6" t="str">
        <f>IFERROR(__xludf.DUMMYFUNCTION("""COMPUTED_VALUE"""),"")</f>
        <v/>
      </c>
      <c r="N5551" s="6" t="str">
        <f>IFERROR(__xludf.DUMMYFUNCTION("""COMPUTED_VALUE"""),"")</f>
        <v/>
      </c>
      <c r="O5551" s="87" t="str">
        <f>IFERROR(__xludf.DUMMYFUNCTION("""COMPUTED_VALUE"""),"https://drive.google.com/drive/folders/10T2cTQHqEJZqE-st6uFKPoI?usp=share_link")</f>
        <v>https://drive.google.com/drive/folders/10T2cTQHqEJZqE-st6uFKPoI?usp=share_link</v>
      </c>
      <c r="P5551" s="6" t="str">
        <f>IFERROR(__xludf.DUMMYFUNCTION("""COMPUTED_VALUE"""),"Zy'Aire Battiste")</f>
        <v>Zy'Aire Battiste</v>
      </c>
      <c r="Q5551" s="6" t="str">
        <f>IFERROR(__xludf.DUMMYFUNCTION("""COMPUTED_VALUE"""),"MS")</f>
        <v>MS</v>
      </c>
      <c r="R5551" s="6">
        <f>IFERROR(__xludf.DUMMYFUNCTION("""COMPUTED_VALUE"""),0.0)</f>
        <v>0</v>
      </c>
      <c r="S5551" s="6" t="str">
        <f>IFERROR(__xludf.DUMMYFUNCTION("""COMPUTED_VALUE"""),"Kimberly Ball")</f>
        <v>Kimberly Ball</v>
      </c>
      <c r="T5551" s="6" t="str">
        <f>IFERROR(__xludf.DUMMYFUNCTION("""COMPUTED_VALUE"""),"kimberly.ball@studient.com")</f>
        <v>kimberly.ball@studient.com</v>
      </c>
      <c r="U5551" s="6" t="str">
        <f>IFERROR(__xludf.DUMMYFUNCTION("""COMPUTED_VALUE"""),"8")</f>
        <v>8</v>
      </c>
      <c r="V5551" s="6" t="str">
        <f>IFERROR(__xludf.DUMMYFUNCTION("""COMPUTED_VALUE"""),"")</f>
        <v/>
      </c>
      <c r="W5551" s="6" t="str">
        <f>IFERROR(__xludf.DUMMYFUNCTION("""COMPUTED_VALUE"""),"[]")</f>
        <v>[]</v>
      </c>
      <c r="X5551" s="6" t="str">
        <f>IFERROR(__xludf.DUMMYFUNCTION("""COMPUTED_VALUE"""),"Enrolled")</f>
        <v>Enrolled</v>
      </c>
    </row>
    <row r="5552">
      <c r="A5552" s="6" t="str">
        <f>IFERROR(__xludf.DUMMYFUNCTION("""COMPUTED_VALUE"""),"087-12149")</f>
        <v>087-12149</v>
      </c>
      <c r="B5552" s="6" t="str">
        <f>IFERROR(__xludf.DUMMYFUNCTION("""COMPUTED_VALUE"""),"87")</f>
        <v>87</v>
      </c>
      <c r="C5552" s="6" t="str">
        <f>IFERROR(__xludf.DUMMYFUNCTION("""COMPUTED_VALUE"""),"12149")</f>
        <v>12149</v>
      </c>
      <c r="D5552" s="6" t="str">
        <f>IFERROR(__xludf.DUMMYFUNCTION("""COMPUTED_VALUE"""),"Wendi")</f>
        <v>Wendi</v>
      </c>
      <c r="E5552" s="6" t="str">
        <f>IFERROR(__xludf.DUMMYFUNCTION("""COMPUTED_VALUE"""),"")</f>
        <v/>
      </c>
      <c r="F5552" s="6" t="str">
        <f>IFERROR(__xludf.DUMMYFUNCTION("""COMPUTED_VALUE"""),"Bautista Gabriel")</f>
        <v>Bautista Gabriel</v>
      </c>
      <c r="G5552" s="6" t="str">
        <f>IFERROR(__xludf.DUMMYFUNCTION("""COMPUTED_VALUE"""),"05/11/2013")</f>
        <v>05/11/2013</v>
      </c>
      <c r="H5552" s="6" t="str">
        <f>IFERROR(__xludf.DUMMYFUNCTION("""COMPUTED_VALUE"""),"female")</f>
        <v>female</v>
      </c>
      <c r="I5552" s="6" t="str">
        <f>IFERROR(__xludf.DUMMYFUNCTION("""COMPUTED_VALUE"""),"Middle School")</f>
        <v>Middle School</v>
      </c>
      <c r="J5552" s="6" t="str">
        <f>IFERROR(__xludf.DUMMYFUNCTION("""COMPUTED_VALUE"""),"7")</f>
        <v>7</v>
      </c>
      <c r="K5552" s="6" t="str">
        <f>IFERROR(__xludf.DUMMYFUNCTION("""COMPUTED_VALUE"""),"wendi.bautistagabriel@2hourlearning.com")</f>
        <v>wendi.bautistagabriel@2hourlearning.com</v>
      </c>
      <c r="L5552" s="6" t="str">
        <f>IFERROR(__xludf.DUMMYFUNCTION("""COMPUTED_VALUE"""),"JRHS - Ridgeland Secondary Academy of Excellence")</f>
        <v>JRHS - Ridgeland Secondary Academy of Excellence</v>
      </c>
      <c r="M5552" s="6" t="str">
        <f>IFERROR(__xludf.DUMMYFUNCTION("""COMPUTED_VALUE"""),"")</f>
        <v/>
      </c>
      <c r="N5552" s="6" t="str">
        <f>IFERROR(__xludf.DUMMYFUNCTION("""COMPUTED_VALUE"""),"")</f>
        <v/>
      </c>
      <c r="O5552" s="87" t="str">
        <f>IFERROR(__xludf.DUMMYFUNCTION("""COMPUTED_VALUE"""),"https://drive.google.com/drive/folders/10T2cTQHqEJZqE-st6uFKPoI?usp=share_link")</f>
        <v>https://drive.google.com/drive/folders/10T2cTQHqEJZqE-st6uFKPoI?usp=share_link</v>
      </c>
      <c r="P5552" s="6" t="str">
        <f>IFERROR(__xludf.DUMMYFUNCTION("""COMPUTED_VALUE"""),"Wendi Bautista Gabriel")</f>
        <v>Wendi Bautista Gabriel</v>
      </c>
      <c r="Q5552" s="6" t="str">
        <f>IFERROR(__xludf.DUMMYFUNCTION("""COMPUTED_VALUE"""),"MS")</f>
        <v>MS</v>
      </c>
      <c r="R5552" s="6">
        <f>IFERROR(__xludf.DUMMYFUNCTION("""COMPUTED_VALUE"""),0.0)</f>
        <v>0</v>
      </c>
      <c r="S5552" s="6" t="str">
        <f>IFERROR(__xludf.DUMMYFUNCTION("""COMPUTED_VALUE"""),"Kimberly Ball")</f>
        <v>Kimberly Ball</v>
      </c>
      <c r="T5552" s="6" t="str">
        <f>IFERROR(__xludf.DUMMYFUNCTION("""COMPUTED_VALUE"""),"kimberly.ball@studient.com")</f>
        <v>kimberly.ball@studient.com</v>
      </c>
      <c r="U5552" s="6" t="str">
        <f>IFERROR(__xludf.DUMMYFUNCTION("""COMPUTED_VALUE"""),"7")</f>
        <v>7</v>
      </c>
      <c r="V5552" s="6" t="str">
        <f>IFERROR(__xludf.DUMMYFUNCTION("""COMPUTED_VALUE"""),"")</f>
        <v/>
      </c>
      <c r="W5552" s="6" t="str">
        <f>IFERROR(__xludf.DUMMYFUNCTION("""COMPUTED_VALUE"""),"[]")</f>
        <v>[]</v>
      </c>
      <c r="X5552" s="6" t="str">
        <f>IFERROR(__xludf.DUMMYFUNCTION("""COMPUTED_VALUE"""),"Enrolled")</f>
        <v>Enrolled</v>
      </c>
    </row>
    <row r="5553">
      <c r="A5553" s="6" t="str">
        <f>IFERROR(__xludf.DUMMYFUNCTION("""COMPUTED_VALUE"""),"087-12150")</f>
        <v>087-12150</v>
      </c>
      <c r="B5553" s="6" t="str">
        <f>IFERROR(__xludf.DUMMYFUNCTION("""COMPUTED_VALUE"""),"87")</f>
        <v>87</v>
      </c>
      <c r="C5553" s="6" t="str">
        <f>IFERROR(__xludf.DUMMYFUNCTION("""COMPUTED_VALUE"""),"12150")</f>
        <v>12150</v>
      </c>
      <c r="D5553" s="6" t="str">
        <f>IFERROR(__xludf.DUMMYFUNCTION("""COMPUTED_VALUE"""),"Ameira")</f>
        <v>Ameira</v>
      </c>
      <c r="E5553" s="6" t="str">
        <f>IFERROR(__xludf.DUMMYFUNCTION("""COMPUTED_VALUE"""),"")</f>
        <v/>
      </c>
      <c r="F5553" s="6" t="str">
        <f>IFERROR(__xludf.DUMMYFUNCTION("""COMPUTED_VALUE"""),"Beaton")</f>
        <v>Beaton</v>
      </c>
      <c r="G5553" s="6" t="str">
        <f>IFERROR(__xludf.DUMMYFUNCTION("""COMPUTED_VALUE"""),"09/25/2011")</f>
        <v>09/25/2011</v>
      </c>
      <c r="H5553" s="6" t="str">
        <f>IFERROR(__xludf.DUMMYFUNCTION("""COMPUTED_VALUE"""),"female")</f>
        <v>female</v>
      </c>
      <c r="I5553" s="6" t="str">
        <f>IFERROR(__xludf.DUMMYFUNCTION("""COMPUTED_VALUE"""),"Middle School")</f>
        <v>Middle School</v>
      </c>
      <c r="J5553" s="6" t="str">
        <f>IFERROR(__xludf.DUMMYFUNCTION("""COMPUTED_VALUE"""),"8")</f>
        <v>8</v>
      </c>
      <c r="K5553" s="6" t="str">
        <f>IFERROR(__xludf.DUMMYFUNCTION("""COMPUTED_VALUE"""),"ameira.beaton@2hourlearning.com")</f>
        <v>ameira.beaton@2hourlearning.com</v>
      </c>
      <c r="L5553" s="6" t="str">
        <f>IFERROR(__xludf.DUMMYFUNCTION("""COMPUTED_VALUE"""),"JRHS - Ridgeland Secondary Academy of Excellence")</f>
        <v>JRHS - Ridgeland Secondary Academy of Excellence</v>
      </c>
      <c r="M5553" s="6" t="str">
        <f>IFERROR(__xludf.DUMMYFUNCTION("""COMPUTED_VALUE"""),"")</f>
        <v/>
      </c>
      <c r="N5553" s="6" t="str">
        <f>IFERROR(__xludf.DUMMYFUNCTION("""COMPUTED_VALUE"""),"")</f>
        <v/>
      </c>
      <c r="O5553" s="87" t="str">
        <f>IFERROR(__xludf.DUMMYFUNCTION("""COMPUTED_VALUE"""),"https://drive.google.com/drive/folders/10T2cTQHqEJZqE-st6uFKPoI?usp=share_link")</f>
        <v>https://drive.google.com/drive/folders/10T2cTQHqEJZqE-st6uFKPoI?usp=share_link</v>
      </c>
      <c r="P5553" s="6" t="str">
        <f>IFERROR(__xludf.DUMMYFUNCTION("""COMPUTED_VALUE"""),"Ameira Beaton")</f>
        <v>Ameira Beaton</v>
      </c>
      <c r="Q5553" s="6" t="str">
        <f>IFERROR(__xludf.DUMMYFUNCTION("""COMPUTED_VALUE"""),"MS")</f>
        <v>MS</v>
      </c>
      <c r="R5553" s="6">
        <f>IFERROR(__xludf.DUMMYFUNCTION("""COMPUTED_VALUE"""),0.0)</f>
        <v>0</v>
      </c>
      <c r="S5553" s="6" t="str">
        <f>IFERROR(__xludf.DUMMYFUNCTION("""COMPUTED_VALUE"""),"Kimberly Ball")</f>
        <v>Kimberly Ball</v>
      </c>
      <c r="T5553" s="6" t="str">
        <f>IFERROR(__xludf.DUMMYFUNCTION("""COMPUTED_VALUE"""),"kimberly.ball@studient.com")</f>
        <v>kimberly.ball@studient.com</v>
      </c>
      <c r="U5553" s="6" t="str">
        <f>IFERROR(__xludf.DUMMYFUNCTION("""COMPUTED_VALUE"""),"8")</f>
        <v>8</v>
      </c>
      <c r="V5553" s="6" t="str">
        <f>IFERROR(__xludf.DUMMYFUNCTION("""COMPUTED_VALUE"""),"")</f>
        <v/>
      </c>
      <c r="W5553" s="6" t="str">
        <f>IFERROR(__xludf.DUMMYFUNCTION("""COMPUTED_VALUE"""),"[]")</f>
        <v>[]</v>
      </c>
      <c r="X5553" s="6" t="str">
        <f>IFERROR(__xludf.DUMMYFUNCTION("""COMPUTED_VALUE"""),"Enrolled")</f>
        <v>Enrolled</v>
      </c>
    </row>
    <row r="5554">
      <c r="A5554" s="6" t="str">
        <f>IFERROR(__xludf.DUMMYFUNCTION("""COMPUTED_VALUE"""),"087-12151")</f>
        <v>087-12151</v>
      </c>
      <c r="B5554" s="6" t="str">
        <f>IFERROR(__xludf.DUMMYFUNCTION("""COMPUTED_VALUE"""),"87")</f>
        <v>87</v>
      </c>
      <c r="C5554" s="6" t="str">
        <f>IFERROR(__xludf.DUMMYFUNCTION("""COMPUTED_VALUE"""),"12151")</f>
        <v>12151</v>
      </c>
      <c r="D5554" s="6" t="str">
        <f>IFERROR(__xludf.DUMMYFUNCTION("""COMPUTED_VALUE"""),"Caiden")</f>
        <v>Caiden</v>
      </c>
      <c r="E5554" s="6" t="str">
        <f>IFERROR(__xludf.DUMMYFUNCTION("""COMPUTED_VALUE"""),"")</f>
        <v/>
      </c>
      <c r="F5554" s="6" t="str">
        <f>IFERROR(__xludf.DUMMYFUNCTION("""COMPUTED_VALUE"""),"Bell")</f>
        <v>Bell</v>
      </c>
      <c r="G5554" s="6" t="str">
        <f>IFERROR(__xludf.DUMMYFUNCTION("""COMPUTED_VALUE"""),"01/17/2012")</f>
        <v>01/17/2012</v>
      </c>
      <c r="H5554" s="6" t="str">
        <f>IFERROR(__xludf.DUMMYFUNCTION("""COMPUTED_VALUE"""),"male")</f>
        <v>male</v>
      </c>
      <c r="I5554" s="6" t="str">
        <f>IFERROR(__xludf.DUMMYFUNCTION("""COMPUTED_VALUE"""),"Middle School")</f>
        <v>Middle School</v>
      </c>
      <c r="J5554" s="6" t="str">
        <f>IFERROR(__xludf.DUMMYFUNCTION("""COMPUTED_VALUE"""),"7")</f>
        <v>7</v>
      </c>
      <c r="K5554" s="6" t="str">
        <f>IFERROR(__xludf.DUMMYFUNCTION("""COMPUTED_VALUE"""),"caiden.bell@2hourlearning.com")</f>
        <v>caiden.bell@2hourlearning.com</v>
      </c>
      <c r="L5554" s="6" t="str">
        <f>IFERROR(__xludf.DUMMYFUNCTION("""COMPUTED_VALUE"""),"JRHS - Ridgeland Secondary Academy of Excellence")</f>
        <v>JRHS - Ridgeland Secondary Academy of Excellence</v>
      </c>
      <c r="M5554" s="6" t="str">
        <f>IFERROR(__xludf.DUMMYFUNCTION("""COMPUTED_VALUE"""),"")</f>
        <v/>
      </c>
      <c r="N5554" s="6" t="str">
        <f>IFERROR(__xludf.DUMMYFUNCTION("""COMPUTED_VALUE"""),"")</f>
        <v/>
      </c>
      <c r="O5554" s="87" t="str">
        <f>IFERROR(__xludf.DUMMYFUNCTION("""COMPUTED_VALUE"""),"https://drive.google.com/drive/folders/10T2cTQHqEJZqE-st6uFKPoI?usp=share_link")</f>
        <v>https://drive.google.com/drive/folders/10T2cTQHqEJZqE-st6uFKPoI?usp=share_link</v>
      </c>
      <c r="P5554" s="6" t="str">
        <f>IFERROR(__xludf.DUMMYFUNCTION("""COMPUTED_VALUE"""),"Caiden Bell")</f>
        <v>Caiden Bell</v>
      </c>
      <c r="Q5554" s="6" t="str">
        <f>IFERROR(__xludf.DUMMYFUNCTION("""COMPUTED_VALUE"""),"MS")</f>
        <v>MS</v>
      </c>
      <c r="R5554" s="6">
        <f>IFERROR(__xludf.DUMMYFUNCTION("""COMPUTED_VALUE"""),0.0)</f>
        <v>0</v>
      </c>
      <c r="S5554" s="6" t="str">
        <f>IFERROR(__xludf.DUMMYFUNCTION("""COMPUTED_VALUE"""),"Kimberly Ball")</f>
        <v>Kimberly Ball</v>
      </c>
      <c r="T5554" s="6" t="str">
        <f>IFERROR(__xludf.DUMMYFUNCTION("""COMPUTED_VALUE"""),"kimberly.ball@studient.com")</f>
        <v>kimberly.ball@studient.com</v>
      </c>
      <c r="U5554" s="6" t="str">
        <f>IFERROR(__xludf.DUMMYFUNCTION("""COMPUTED_VALUE"""),"7")</f>
        <v>7</v>
      </c>
      <c r="V5554" s="6" t="str">
        <f>IFERROR(__xludf.DUMMYFUNCTION("""COMPUTED_VALUE"""),"")</f>
        <v/>
      </c>
      <c r="W5554" s="6" t="str">
        <f>IFERROR(__xludf.DUMMYFUNCTION("""COMPUTED_VALUE"""),"[]")</f>
        <v>[]</v>
      </c>
      <c r="X5554" s="6" t="str">
        <f>IFERROR(__xludf.DUMMYFUNCTION("""COMPUTED_VALUE"""),"Enrolled")</f>
        <v>Enrolled</v>
      </c>
    </row>
    <row r="5555">
      <c r="A5555" s="6" t="str">
        <f>IFERROR(__xludf.DUMMYFUNCTION("""COMPUTED_VALUE"""),"087-12152")</f>
        <v>087-12152</v>
      </c>
      <c r="B5555" s="6" t="str">
        <f>IFERROR(__xludf.DUMMYFUNCTION("""COMPUTED_VALUE"""),"87")</f>
        <v>87</v>
      </c>
      <c r="C5555" s="6" t="str">
        <f>IFERROR(__xludf.DUMMYFUNCTION("""COMPUTED_VALUE"""),"12152")</f>
        <v>12152</v>
      </c>
      <c r="D5555" s="6" t="str">
        <f>IFERROR(__xludf.DUMMYFUNCTION("""COMPUTED_VALUE"""),"David")</f>
        <v>David</v>
      </c>
      <c r="E5555" s="6" t="str">
        <f>IFERROR(__xludf.DUMMYFUNCTION("""COMPUTED_VALUE"""),"")</f>
        <v/>
      </c>
      <c r="F5555" s="6" t="str">
        <f>IFERROR(__xludf.DUMMYFUNCTION("""COMPUTED_VALUE"""),"Benitez Gomez")</f>
        <v>Benitez Gomez</v>
      </c>
      <c r="G5555" s="6" t="str">
        <f>IFERROR(__xludf.DUMMYFUNCTION("""COMPUTED_VALUE"""),"06/08/2012")</f>
        <v>06/08/2012</v>
      </c>
      <c r="H5555" s="6" t="str">
        <f>IFERROR(__xludf.DUMMYFUNCTION("""COMPUTED_VALUE"""),"Self Identify")</f>
        <v>Self Identify</v>
      </c>
      <c r="I5555" s="6" t="str">
        <f>IFERROR(__xludf.DUMMYFUNCTION("""COMPUTED_VALUE"""),"Middle School")</f>
        <v>Middle School</v>
      </c>
      <c r="J5555" s="6" t="str">
        <f>IFERROR(__xludf.DUMMYFUNCTION("""COMPUTED_VALUE"""),"8")</f>
        <v>8</v>
      </c>
      <c r="K5555" s="6" t="str">
        <f>IFERROR(__xludf.DUMMYFUNCTION("""COMPUTED_VALUE"""),"david.benitezgomez@2hourlearning.com")</f>
        <v>david.benitezgomez@2hourlearning.com</v>
      </c>
      <c r="L5555" s="6" t="str">
        <f>IFERROR(__xludf.DUMMYFUNCTION("""COMPUTED_VALUE"""),"JRHS - Ridgeland Secondary Academy of Excellence")</f>
        <v>JRHS - Ridgeland Secondary Academy of Excellence</v>
      </c>
      <c r="M5555" s="6" t="str">
        <f>IFERROR(__xludf.DUMMYFUNCTION("""COMPUTED_VALUE"""),"")</f>
        <v/>
      </c>
      <c r="N5555" s="6" t="str">
        <f>IFERROR(__xludf.DUMMYFUNCTION("""COMPUTED_VALUE"""),"")</f>
        <v/>
      </c>
      <c r="O5555" s="87" t="str">
        <f>IFERROR(__xludf.DUMMYFUNCTION("""COMPUTED_VALUE"""),"https://drive.google.com/drive/folders/10T2cTQHqEJZqE-st6uFKPoI?usp=share_link")</f>
        <v>https://drive.google.com/drive/folders/10T2cTQHqEJZqE-st6uFKPoI?usp=share_link</v>
      </c>
      <c r="P5555" s="6" t="str">
        <f>IFERROR(__xludf.DUMMYFUNCTION("""COMPUTED_VALUE"""),"David Benitez Gomez")</f>
        <v>David Benitez Gomez</v>
      </c>
      <c r="Q5555" s="6" t="str">
        <f>IFERROR(__xludf.DUMMYFUNCTION("""COMPUTED_VALUE"""),"MS")</f>
        <v>MS</v>
      </c>
      <c r="R5555" s="6">
        <f>IFERROR(__xludf.DUMMYFUNCTION("""COMPUTED_VALUE"""),0.0)</f>
        <v>0</v>
      </c>
      <c r="S5555" s="6" t="str">
        <f>IFERROR(__xludf.DUMMYFUNCTION("""COMPUTED_VALUE"""),"Kimberly Ball")</f>
        <v>Kimberly Ball</v>
      </c>
      <c r="T5555" s="6" t="str">
        <f>IFERROR(__xludf.DUMMYFUNCTION("""COMPUTED_VALUE"""),"kimberly.ball@studient.com")</f>
        <v>kimberly.ball@studient.com</v>
      </c>
      <c r="U5555" s="6" t="str">
        <f>IFERROR(__xludf.DUMMYFUNCTION("""COMPUTED_VALUE"""),"8")</f>
        <v>8</v>
      </c>
      <c r="V5555" s="6" t="str">
        <f>IFERROR(__xludf.DUMMYFUNCTION("""COMPUTED_VALUE"""),"")</f>
        <v/>
      </c>
      <c r="W5555" s="6" t="str">
        <f>IFERROR(__xludf.DUMMYFUNCTION("""COMPUTED_VALUE"""),"[]")</f>
        <v>[]</v>
      </c>
      <c r="X5555" s="6" t="str">
        <f>IFERROR(__xludf.DUMMYFUNCTION("""COMPUTED_VALUE"""),"Enrolled")</f>
        <v>Enrolled</v>
      </c>
    </row>
    <row r="5556">
      <c r="A5556" s="6" t="str">
        <f>IFERROR(__xludf.DUMMYFUNCTION("""COMPUTED_VALUE"""),"087-12153")</f>
        <v>087-12153</v>
      </c>
      <c r="B5556" s="6" t="str">
        <f>IFERROR(__xludf.DUMMYFUNCTION("""COMPUTED_VALUE"""),"87")</f>
        <v>87</v>
      </c>
      <c r="C5556" s="6" t="str">
        <f>IFERROR(__xludf.DUMMYFUNCTION("""COMPUTED_VALUE"""),"12153")</f>
        <v>12153</v>
      </c>
      <c r="D5556" s="6" t="str">
        <f>IFERROR(__xludf.DUMMYFUNCTION("""COMPUTED_VALUE"""),"Kyle")</f>
        <v>Kyle</v>
      </c>
      <c r="E5556" s="6" t="str">
        <f>IFERROR(__xludf.DUMMYFUNCTION("""COMPUTED_VALUE"""),"")</f>
        <v/>
      </c>
      <c r="F5556" s="6" t="str">
        <f>IFERROR(__xludf.DUMMYFUNCTION("""COMPUTED_VALUE"""),"Bennett")</f>
        <v>Bennett</v>
      </c>
      <c r="G5556" s="6" t="str">
        <f>IFERROR(__xludf.DUMMYFUNCTION("""COMPUTED_VALUE"""),"02/27/2012")</f>
        <v>02/27/2012</v>
      </c>
      <c r="H5556" s="6" t="str">
        <f>IFERROR(__xludf.DUMMYFUNCTION("""COMPUTED_VALUE"""),"male")</f>
        <v>male</v>
      </c>
      <c r="I5556" s="6" t="str">
        <f>IFERROR(__xludf.DUMMYFUNCTION("""COMPUTED_VALUE"""),"Middle School")</f>
        <v>Middle School</v>
      </c>
      <c r="J5556" s="6" t="str">
        <f>IFERROR(__xludf.DUMMYFUNCTION("""COMPUTED_VALUE"""),"8")</f>
        <v>8</v>
      </c>
      <c r="K5556" s="6" t="str">
        <f>IFERROR(__xludf.DUMMYFUNCTION("""COMPUTED_VALUE"""),"kyle.bennett@2hourlearning.com")</f>
        <v>kyle.bennett@2hourlearning.com</v>
      </c>
      <c r="L5556" s="6" t="str">
        <f>IFERROR(__xludf.DUMMYFUNCTION("""COMPUTED_VALUE"""),"JRHS - Ridgeland Secondary Academy of Excellence")</f>
        <v>JRHS - Ridgeland Secondary Academy of Excellence</v>
      </c>
      <c r="M5556" s="6" t="str">
        <f>IFERROR(__xludf.DUMMYFUNCTION("""COMPUTED_VALUE"""),"")</f>
        <v/>
      </c>
      <c r="N5556" s="6" t="str">
        <f>IFERROR(__xludf.DUMMYFUNCTION("""COMPUTED_VALUE"""),"")</f>
        <v/>
      </c>
      <c r="O5556" s="87" t="str">
        <f>IFERROR(__xludf.DUMMYFUNCTION("""COMPUTED_VALUE"""),"https://drive.google.com/drive/folders/10T2cTQHqEJZqE-st6uFKPoI?usp=share_link")</f>
        <v>https://drive.google.com/drive/folders/10T2cTQHqEJZqE-st6uFKPoI?usp=share_link</v>
      </c>
      <c r="P5556" s="6" t="str">
        <f>IFERROR(__xludf.DUMMYFUNCTION("""COMPUTED_VALUE"""),"Kyle Bennett")</f>
        <v>Kyle Bennett</v>
      </c>
      <c r="Q5556" s="6" t="str">
        <f>IFERROR(__xludf.DUMMYFUNCTION("""COMPUTED_VALUE"""),"MS")</f>
        <v>MS</v>
      </c>
      <c r="R5556" s="6">
        <f>IFERROR(__xludf.DUMMYFUNCTION("""COMPUTED_VALUE"""),0.0)</f>
        <v>0</v>
      </c>
      <c r="S5556" s="6" t="str">
        <f>IFERROR(__xludf.DUMMYFUNCTION("""COMPUTED_VALUE"""),"Kimberly Ball")</f>
        <v>Kimberly Ball</v>
      </c>
      <c r="T5556" s="6" t="str">
        <f>IFERROR(__xludf.DUMMYFUNCTION("""COMPUTED_VALUE"""),"kimberly.ball@studient.com")</f>
        <v>kimberly.ball@studient.com</v>
      </c>
      <c r="U5556" s="6" t="str">
        <f>IFERROR(__xludf.DUMMYFUNCTION("""COMPUTED_VALUE"""),"8")</f>
        <v>8</v>
      </c>
      <c r="V5556" s="6" t="str">
        <f>IFERROR(__xludf.DUMMYFUNCTION("""COMPUTED_VALUE"""),"")</f>
        <v/>
      </c>
      <c r="W5556" s="6" t="str">
        <f>IFERROR(__xludf.DUMMYFUNCTION("""COMPUTED_VALUE"""),"[]")</f>
        <v>[]</v>
      </c>
      <c r="X5556" s="6" t="str">
        <f>IFERROR(__xludf.DUMMYFUNCTION("""COMPUTED_VALUE"""),"Enrolled")</f>
        <v>Enrolled</v>
      </c>
    </row>
    <row r="5557">
      <c r="A5557" s="6" t="str">
        <f>IFERROR(__xludf.DUMMYFUNCTION("""COMPUTED_VALUE"""),"087-12154")</f>
        <v>087-12154</v>
      </c>
      <c r="B5557" s="6" t="str">
        <f>IFERROR(__xludf.DUMMYFUNCTION("""COMPUTED_VALUE"""),"87")</f>
        <v>87</v>
      </c>
      <c r="C5557" s="6" t="str">
        <f>IFERROR(__xludf.DUMMYFUNCTION("""COMPUTED_VALUE"""),"12154")</f>
        <v>12154</v>
      </c>
      <c r="D5557" s="6" t="str">
        <f>IFERROR(__xludf.DUMMYFUNCTION("""COMPUTED_VALUE"""),"Joseph")</f>
        <v>Joseph</v>
      </c>
      <c r="E5557" s="6" t="str">
        <f>IFERROR(__xludf.DUMMYFUNCTION("""COMPUTED_VALUE"""),"")</f>
        <v/>
      </c>
      <c r="F5557" s="6" t="str">
        <f>IFERROR(__xludf.DUMMYFUNCTION("""COMPUTED_VALUE"""),"Best")</f>
        <v>Best</v>
      </c>
      <c r="G5557" s="6" t="str">
        <f>IFERROR(__xludf.DUMMYFUNCTION("""COMPUTED_VALUE"""),"11/17/2012")</f>
        <v>11/17/2012</v>
      </c>
      <c r="H5557" s="6" t="str">
        <f>IFERROR(__xludf.DUMMYFUNCTION("""COMPUTED_VALUE"""),"male")</f>
        <v>male</v>
      </c>
      <c r="I5557" s="6" t="str">
        <f>IFERROR(__xludf.DUMMYFUNCTION("""COMPUTED_VALUE"""),"Middle School")</f>
        <v>Middle School</v>
      </c>
      <c r="J5557" s="6" t="str">
        <f>IFERROR(__xludf.DUMMYFUNCTION("""COMPUTED_VALUE"""),"7")</f>
        <v>7</v>
      </c>
      <c r="K5557" s="6" t="str">
        <f>IFERROR(__xludf.DUMMYFUNCTION("""COMPUTED_VALUE"""),"joseph.best@2hourlearning.com")</f>
        <v>joseph.best@2hourlearning.com</v>
      </c>
      <c r="L5557" s="6" t="str">
        <f>IFERROR(__xludf.DUMMYFUNCTION("""COMPUTED_VALUE"""),"JRHS - Ridgeland Secondary Academy of Excellence")</f>
        <v>JRHS - Ridgeland Secondary Academy of Excellence</v>
      </c>
      <c r="M5557" s="6" t="str">
        <f>IFERROR(__xludf.DUMMYFUNCTION("""COMPUTED_VALUE"""),"")</f>
        <v/>
      </c>
      <c r="N5557" s="6" t="str">
        <f>IFERROR(__xludf.DUMMYFUNCTION("""COMPUTED_VALUE"""),"")</f>
        <v/>
      </c>
      <c r="O5557" s="87" t="str">
        <f>IFERROR(__xludf.DUMMYFUNCTION("""COMPUTED_VALUE"""),"https://drive.google.com/drive/folders/10T2cTQHqEJZqE-st6uFKPoI?usp=share_link")</f>
        <v>https://drive.google.com/drive/folders/10T2cTQHqEJZqE-st6uFKPoI?usp=share_link</v>
      </c>
      <c r="P5557" s="6" t="str">
        <f>IFERROR(__xludf.DUMMYFUNCTION("""COMPUTED_VALUE"""),"Joseph Best")</f>
        <v>Joseph Best</v>
      </c>
      <c r="Q5557" s="6" t="str">
        <f>IFERROR(__xludf.DUMMYFUNCTION("""COMPUTED_VALUE"""),"MS")</f>
        <v>MS</v>
      </c>
      <c r="R5557" s="6">
        <f>IFERROR(__xludf.DUMMYFUNCTION("""COMPUTED_VALUE"""),0.0)</f>
        <v>0</v>
      </c>
      <c r="S5557" s="6" t="str">
        <f>IFERROR(__xludf.DUMMYFUNCTION("""COMPUTED_VALUE"""),"Kimberly Ball")</f>
        <v>Kimberly Ball</v>
      </c>
      <c r="T5557" s="6" t="str">
        <f>IFERROR(__xludf.DUMMYFUNCTION("""COMPUTED_VALUE"""),"kimberly.ball@studient.com")</f>
        <v>kimberly.ball@studient.com</v>
      </c>
      <c r="U5557" s="6" t="str">
        <f>IFERROR(__xludf.DUMMYFUNCTION("""COMPUTED_VALUE"""),"7")</f>
        <v>7</v>
      </c>
      <c r="V5557" s="6" t="str">
        <f>IFERROR(__xludf.DUMMYFUNCTION("""COMPUTED_VALUE"""),"")</f>
        <v/>
      </c>
      <c r="W5557" s="6" t="str">
        <f>IFERROR(__xludf.DUMMYFUNCTION("""COMPUTED_VALUE"""),"[]")</f>
        <v>[]</v>
      </c>
      <c r="X5557" s="6" t="str">
        <f>IFERROR(__xludf.DUMMYFUNCTION("""COMPUTED_VALUE"""),"Enrolled")</f>
        <v>Enrolled</v>
      </c>
    </row>
    <row r="5558">
      <c r="A5558" s="6" t="str">
        <f>IFERROR(__xludf.DUMMYFUNCTION("""COMPUTED_VALUE"""),"087-12155")</f>
        <v>087-12155</v>
      </c>
      <c r="B5558" s="6" t="str">
        <f>IFERROR(__xludf.DUMMYFUNCTION("""COMPUTED_VALUE"""),"87")</f>
        <v>87</v>
      </c>
      <c r="C5558" s="6" t="str">
        <f>IFERROR(__xludf.DUMMYFUNCTION("""COMPUTED_VALUE"""),"12155")</f>
        <v>12155</v>
      </c>
      <c r="D5558" s="6" t="str">
        <f>IFERROR(__xludf.DUMMYFUNCTION("""COMPUTED_VALUE"""),"Kayden")</f>
        <v>Kayden</v>
      </c>
      <c r="E5558" s="6" t="str">
        <f>IFERROR(__xludf.DUMMYFUNCTION("""COMPUTED_VALUE"""),"")</f>
        <v/>
      </c>
      <c r="F5558" s="6" t="str">
        <f>IFERROR(__xludf.DUMMYFUNCTION("""COMPUTED_VALUE"""),"Billingslea")</f>
        <v>Billingslea</v>
      </c>
      <c r="G5558" s="6" t="str">
        <f>IFERROR(__xludf.DUMMYFUNCTION("""COMPUTED_VALUE"""),"08/31/2014")</f>
        <v>08/31/2014</v>
      </c>
      <c r="H5558" s="6" t="str">
        <f>IFERROR(__xludf.DUMMYFUNCTION("""COMPUTED_VALUE"""),"male")</f>
        <v>male</v>
      </c>
      <c r="I5558" s="6" t="str">
        <f>IFERROR(__xludf.DUMMYFUNCTION("""COMPUTED_VALUE"""),"Middle School")</f>
        <v>Middle School</v>
      </c>
      <c r="J5558" s="6" t="str">
        <f>IFERROR(__xludf.DUMMYFUNCTION("""COMPUTED_VALUE"""),"6")</f>
        <v>6</v>
      </c>
      <c r="K5558" s="6" t="str">
        <f>IFERROR(__xludf.DUMMYFUNCTION("""COMPUTED_VALUE"""),"kayden.billingslea@2hourlearning.com")</f>
        <v>kayden.billingslea@2hourlearning.com</v>
      </c>
      <c r="L5558" s="6" t="str">
        <f>IFERROR(__xludf.DUMMYFUNCTION("""COMPUTED_VALUE"""),"JRHS - Ridgeland Secondary Academy of Excellence")</f>
        <v>JRHS - Ridgeland Secondary Academy of Excellence</v>
      </c>
      <c r="M5558" s="6" t="str">
        <f>IFERROR(__xludf.DUMMYFUNCTION("""COMPUTED_VALUE"""),"")</f>
        <v/>
      </c>
      <c r="N5558" s="6" t="str">
        <f>IFERROR(__xludf.DUMMYFUNCTION("""COMPUTED_VALUE"""),"")</f>
        <v/>
      </c>
      <c r="O5558" s="87" t="str">
        <f>IFERROR(__xludf.DUMMYFUNCTION("""COMPUTED_VALUE"""),"https://drive.google.com/drive/folders/10T2cTQHqEJZqE-st6uFKPoI?usp=share_link")</f>
        <v>https://drive.google.com/drive/folders/10T2cTQHqEJZqE-st6uFKPoI?usp=share_link</v>
      </c>
      <c r="P5558" s="6" t="str">
        <f>IFERROR(__xludf.DUMMYFUNCTION("""COMPUTED_VALUE"""),"Kayden Billingslea")</f>
        <v>Kayden Billingslea</v>
      </c>
      <c r="Q5558" s="6" t="str">
        <f>IFERROR(__xludf.DUMMYFUNCTION("""COMPUTED_VALUE"""),"MS")</f>
        <v>MS</v>
      </c>
      <c r="R5558" s="6">
        <f>IFERROR(__xludf.DUMMYFUNCTION("""COMPUTED_VALUE"""),0.0)</f>
        <v>0</v>
      </c>
      <c r="S5558" s="6" t="str">
        <f>IFERROR(__xludf.DUMMYFUNCTION("""COMPUTED_VALUE"""),"Kimberly Ball")</f>
        <v>Kimberly Ball</v>
      </c>
      <c r="T5558" s="6" t="str">
        <f>IFERROR(__xludf.DUMMYFUNCTION("""COMPUTED_VALUE"""),"kimberly.ball@studient.com")</f>
        <v>kimberly.ball@studient.com</v>
      </c>
      <c r="U5558" s="6" t="str">
        <f>IFERROR(__xludf.DUMMYFUNCTION("""COMPUTED_VALUE"""),"6")</f>
        <v>6</v>
      </c>
      <c r="V5558" s="6" t="str">
        <f>IFERROR(__xludf.DUMMYFUNCTION("""COMPUTED_VALUE"""),"")</f>
        <v/>
      </c>
      <c r="W5558" s="6" t="str">
        <f>IFERROR(__xludf.DUMMYFUNCTION("""COMPUTED_VALUE"""),"[]")</f>
        <v>[]</v>
      </c>
      <c r="X5558" s="6" t="str">
        <f>IFERROR(__xludf.DUMMYFUNCTION("""COMPUTED_VALUE"""),"Enrolled")</f>
        <v>Enrolled</v>
      </c>
    </row>
    <row r="5559">
      <c r="A5559" s="6" t="str">
        <f>IFERROR(__xludf.DUMMYFUNCTION("""COMPUTED_VALUE"""),"087-12156")</f>
        <v>087-12156</v>
      </c>
      <c r="B5559" s="6" t="str">
        <f>IFERROR(__xludf.DUMMYFUNCTION("""COMPUTED_VALUE"""),"87")</f>
        <v>87</v>
      </c>
      <c r="C5559" s="6" t="str">
        <f>IFERROR(__xludf.DUMMYFUNCTION("""COMPUTED_VALUE"""),"12156")</f>
        <v>12156</v>
      </c>
      <c r="D5559" s="6" t="str">
        <f>IFERROR(__xludf.DUMMYFUNCTION("""COMPUTED_VALUE"""),"Jailah")</f>
        <v>Jailah</v>
      </c>
      <c r="E5559" s="6" t="str">
        <f>IFERROR(__xludf.DUMMYFUNCTION("""COMPUTED_VALUE"""),"")</f>
        <v/>
      </c>
      <c r="F5559" s="6" t="str">
        <f>IFERROR(__xludf.DUMMYFUNCTION("""COMPUTED_VALUE"""),"Bostick")</f>
        <v>Bostick</v>
      </c>
      <c r="G5559" s="6" t="str">
        <f>IFERROR(__xludf.DUMMYFUNCTION("""COMPUTED_VALUE"""),"05/27/2014")</f>
        <v>05/27/2014</v>
      </c>
      <c r="H5559" s="6" t="str">
        <f>IFERROR(__xludf.DUMMYFUNCTION("""COMPUTED_VALUE"""),"female")</f>
        <v>female</v>
      </c>
      <c r="I5559" s="6" t="str">
        <f>IFERROR(__xludf.DUMMYFUNCTION("""COMPUTED_VALUE"""),"Middle School")</f>
        <v>Middle School</v>
      </c>
      <c r="J5559" s="6" t="str">
        <f>IFERROR(__xludf.DUMMYFUNCTION("""COMPUTED_VALUE"""),"6")</f>
        <v>6</v>
      </c>
      <c r="K5559" s="6" t="str">
        <f>IFERROR(__xludf.DUMMYFUNCTION("""COMPUTED_VALUE"""),"jailah.bostick@2hourlearning.com")</f>
        <v>jailah.bostick@2hourlearning.com</v>
      </c>
      <c r="L5559" s="6" t="str">
        <f>IFERROR(__xludf.DUMMYFUNCTION("""COMPUTED_VALUE"""),"JRHS - Ridgeland Secondary Academy of Excellence")</f>
        <v>JRHS - Ridgeland Secondary Academy of Excellence</v>
      </c>
      <c r="M5559" s="6" t="str">
        <f>IFERROR(__xludf.DUMMYFUNCTION("""COMPUTED_VALUE"""),"")</f>
        <v/>
      </c>
      <c r="N5559" s="6" t="str">
        <f>IFERROR(__xludf.DUMMYFUNCTION("""COMPUTED_VALUE"""),"")</f>
        <v/>
      </c>
      <c r="O5559" s="87" t="str">
        <f>IFERROR(__xludf.DUMMYFUNCTION("""COMPUTED_VALUE"""),"https://drive.google.com/drive/folders/10T2cTQHqEJZqE-st6uFKPoI?usp=share_link")</f>
        <v>https://drive.google.com/drive/folders/10T2cTQHqEJZqE-st6uFKPoI?usp=share_link</v>
      </c>
      <c r="P5559" s="6" t="str">
        <f>IFERROR(__xludf.DUMMYFUNCTION("""COMPUTED_VALUE"""),"Jailah Bostick")</f>
        <v>Jailah Bostick</v>
      </c>
      <c r="Q5559" s="6" t="str">
        <f>IFERROR(__xludf.DUMMYFUNCTION("""COMPUTED_VALUE"""),"MS")</f>
        <v>MS</v>
      </c>
      <c r="R5559" s="6">
        <f>IFERROR(__xludf.DUMMYFUNCTION("""COMPUTED_VALUE"""),0.0)</f>
        <v>0</v>
      </c>
      <c r="S5559" s="6" t="str">
        <f>IFERROR(__xludf.DUMMYFUNCTION("""COMPUTED_VALUE"""),"Kimberly Ball")</f>
        <v>Kimberly Ball</v>
      </c>
      <c r="T5559" s="6" t="str">
        <f>IFERROR(__xludf.DUMMYFUNCTION("""COMPUTED_VALUE"""),"kimberly.ball@studient.com")</f>
        <v>kimberly.ball@studient.com</v>
      </c>
      <c r="U5559" s="6" t="str">
        <f>IFERROR(__xludf.DUMMYFUNCTION("""COMPUTED_VALUE"""),"6")</f>
        <v>6</v>
      </c>
      <c r="V5559" s="6" t="str">
        <f>IFERROR(__xludf.DUMMYFUNCTION("""COMPUTED_VALUE"""),"")</f>
        <v/>
      </c>
      <c r="W5559" s="6" t="str">
        <f>IFERROR(__xludf.DUMMYFUNCTION("""COMPUTED_VALUE"""),"[]")</f>
        <v>[]</v>
      </c>
      <c r="X5559" s="6" t="str">
        <f>IFERROR(__xludf.DUMMYFUNCTION("""COMPUTED_VALUE"""),"Enrolled")</f>
        <v>Enrolled</v>
      </c>
    </row>
    <row r="5560">
      <c r="A5560" s="6" t="str">
        <f>IFERROR(__xludf.DUMMYFUNCTION("""COMPUTED_VALUE"""),"087-12157")</f>
        <v>087-12157</v>
      </c>
      <c r="B5560" s="6" t="str">
        <f>IFERROR(__xludf.DUMMYFUNCTION("""COMPUTED_VALUE"""),"87")</f>
        <v>87</v>
      </c>
      <c r="C5560" s="6" t="str">
        <f>IFERROR(__xludf.DUMMYFUNCTION("""COMPUTED_VALUE"""),"12157")</f>
        <v>12157</v>
      </c>
      <c r="D5560" s="6" t="str">
        <f>IFERROR(__xludf.DUMMYFUNCTION("""COMPUTED_VALUE"""),"Ny'Jalon")</f>
        <v>Ny'Jalon</v>
      </c>
      <c r="E5560" s="6" t="str">
        <f>IFERROR(__xludf.DUMMYFUNCTION("""COMPUTED_VALUE"""),"")</f>
        <v/>
      </c>
      <c r="F5560" s="6" t="str">
        <f>IFERROR(__xludf.DUMMYFUNCTION("""COMPUTED_VALUE"""),"Boyles")</f>
        <v>Boyles</v>
      </c>
      <c r="G5560" s="6" t="str">
        <f>IFERROR(__xludf.DUMMYFUNCTION("""COMPUTED_VALUE"""),"09/09/2011")</f>
        <v>09/09/2011</v>
      </c>
      <c r="H5560" s="6" t="str">
        <f>IFERROR(__xludf.DUMMYFUNCTION("""COMPUTED_VALUE"""),"male")</f>
        <v>male</v>
      </c>
      <c r="I5560" s="6" t="str">
        <f>IFERROR(__xludf.DUMMYFUNCTION("""COMPUTED_VALUE"""),"Middle School")</f>
        <v>Middle School</v>
      </c>
      <c r="J5560" s="6" t="str">
        <f>IFERROR(__xludf.DUMMYFUNCTION("""COMPUTED_VALUE"""),"7")</f>
        <v>7</v>
      </c>
      <c r="K5560" s="6" t="str">
        <f>IFERROR(__xludf.DUMMYFUNCTION("""COMPUTED_VALUE"""),"nyjalon.boyles@2hourlearning.com")</f>
        <v>nyjalon.boyles@2hourlearning.com</v>
      </c>
      <c r="L5560" s="6" t="str">
        <f>IFERROR(__xludf.DUMMYFUNCTION("""COMPUTED_VALUE"""),"JRHS - Ridgeland Secondary Academy of Excellence")</f>
        <v>JRHS - Ridgeland Secondary Academy of Excellence</v>
      </c>
      <c r="M5560" s="6" t="str">
        <f>IFERROR(__xludf.DUMMYFUNCTION("""COMPUTED_VALUE"""),"")</f>
        <v/>
      </c>
      <c r="N5560" s="6" t="str">
        <f>IFERROR(__xludf.DUMMYFUNCTION("""COMPUTED_VALUE"""),"")</f>
        <v/>
      </c>
      <c r="O5560" s="87" t="str">
        <f>IFERROR(__xludf.DUMMYFUNCTION("""COMPUTED_VALUE"""),"https://drive.google.com/drive/folders/10T2cTQHqEJZqE-st6uFKPoI?usp=share_link")</f>
        <v>https://drive.google.com/drive/folders/10T2cTQHqEJZqE-st6uFKPoI?usp=share_link</v>
      </c>
      <c r="P5560" s="6" t="str">
        <f>IFERROR(__xludf.DUMMYFUNCTION("""COMPUTED_VALUE"""),"Ny'Jalon Boyles")</f>
        <v>Ny'Jalon Boyles</v>
      </c>
      <c r="Q5560" s="6" t="str">
        <f>IFERROR(__xludf.DUMMYFUNCTION("""COMPUTED_VALUE"""),"MS")</f>
        <v>MS</v>
      </c>
      <c r="R5560" s="6">
        <f>IFERROR(__xludf.DUMMYFUNCTION("""COMPUTED_VALUE"""),0.0)</f>
        <v>0</v>
      </c>
      <c r="S5560" s="6" t="str">
        <f>IFERROR(__xludf.DUMMYFUNCTION("""COMPUTED_VALUE"""),"Kimberly Ball")</f>
        <v>Kimberly Ball</v>
      </c>
      <c r="T5560" s="6" t="str">
        <f>IFERROR(__xludf.DUMMYFUNCTION("""COMPUTED_VALUE"""),"kimberly.ball@studient.com")</f>
        <v>kimberly.ball@studient.com</v>
      </c>
      <c r="U5560" s="6" t="str">
        <f>IFERROR(__xludf.DUMMYFUNCTION("""COMPUTED_VALUE"""),"7")</f>
        <v>7</v>
      </c>
      <c r="V5560" s="6" t="str">
        <f>IFERROR(__xludf.DUMMYFUNCTION("""COMPUTED_VALUE"""),"")</f>
        <v/>
      </c>
      <c r="W5560" s="6" t="str">
        <f>IFERROR(__xludf.DUMMYFUNCTION("""COMPUTED_VALUE"""),"[]")</f>
        <v>[]</v>
      </c>
      <c r="X5560" s="6" t="str">
        <f>IFERROR(__xludf.DUMMYFUNCTION("""COMPUTED_VALUE"""),"Enrolled")</f>
        <v>Enrolled</v>
      </c>
    </row>
    <row r="5561">
      <c r="A5561" s="6" t="str">
        <f>IFERROR(__xludf.DUMMYFUNCTION("""COMPUTED_VALUE"""),"087-12158")</f>
        <v>087-12158</v>
      </c>
      <c r="B5561" s="6" t="str">
        <f>IFERROR(__xludf.DUMMYFUNCTION("""COMPUTED_VALUE"""),"87")</f>
        <v>87</v>
      </c>
      <c r="C5561" s="6" t="str">
        <f>IFERROR(__xludf.DUMMYFUNCTION("""COMPUTED_VALUE"""),"12158")</f>
        <v>12158</v>
      </c>
      <c r="D5561" s="6" t="str">
        <f>IFERROR(__xludf.DUMMYFUNCTION("""COMPUTED_VALUE"""),"Massen")</f>
        <v>Massen</v>
      </c>
      <c r="E5561" s="6" t="str">
        <f>IFERROR(__xludf.DUMMYFUNCTION("""COMPUTED_VALUE"""),"")</f>
        <v/>
      </c>
      <c r="F5561" s="6" t="str">
        <f>IFERROR(__xludf.DUMMYFUNCTION("""COMPUTED_VALUE"""),"Bozier")</f>
        <v>Bozier</v>
      </c>
      <c r="G5561" s="6" t="str">
        <f>IFERROR(__xludf.DUMMYFUNCTION("""COMPUTED_VALUE"""),"10/04/2012")</f>
        <v>10/04/2012</v>
      </c>
      <c r="H5561" s="6" t="str">
        <f>IFERROR(__xludf.DUMMYFUNCTION("""COMPUTED_VALUE"""),"male")</f>
        <v>male</v>
      </c>
      <c r="I5561" s="6" t="str">
        <f>IFERROR(__xludf.DUMMYFUNCTION("""COMPUTED_VALUE"""),"Middle School")</f>
        <v>Middle School</v>
      </c>
      <c r="J5561" s="6" t="str">
        <f>IFERROR(__xludf.DUMMYFUNCTION("""COMPUTED_VALUE"""),"7")</f>
        <v>7</v>
      </c>
      <c r="K5561" s="6" t="str">
        <f>IFERROR(__xludf.DUMMYFUNCTION("""COMPUTED_VALUE"""),"massen.bozier@2hourlearning.com")</f>
        <v>massen.bozier@2hourlearning.com</v>
      </c>
      <c r="L5561" s="6" t="str">
        <f>IFERROR(__xludf.DUMMYFUNCTION("""COMPUTED_VALUE"""),"JRHS - Ridgeland Secondary Academy of Excellence")</f>
        <v>JRHS - Ridgeland Secondary Academy of Excellence</v>
      </c>
      <c r="M5561" s="6" t="str">
        <f>IFERROR(__xludf.DUMMYFUNCTION("""COMPUTED_VALUE"""),"")</f>
        <v/>
      </c>
      <c r="N5561" s="6" t="str">
        <f>IFERROR(__xludf.DUMMYFUNCTION("""COMPUTED_VALUE"""),"")</f>
        <v/>
      </c>
      <c r="O5561" s="87" t="str">
        <f>IFERROR(__xludf.DUMMYFUNCTION("""COMPUTED_VALUE"""),"https://drive.google.com/drive/folders/10T2cTQHqEJZqE-st6uFKPoI?usp=share_link")</f>
        <v>https://drive.google.com/drive/folders/10T2cTQHqEJZqE-st6uFKPoI?usp=share_link</v>
      </c>
      <c r="P5561" s="6" t="str">
        <f>IFERROR(__xludf.DUMMYFUNCTION("""COMPUTED_VALUE"""),"Massen Bozier")</f>
        <v>Massen Bozier</v>
      </c>
      <c r="Q5561" s="6" t="str">
        <f>IFERROR(__xludf.DUMMYFUNCTION("""COMPUTED_VALUE"""),"MS")</f>
        <v>MS</v>
      </c>
      <c r="R5561" s="6">
        <f>IFERROR(__xludf.DUMMYFUNCTION("""COMPUTED_VALUE"""),0.0)</f>
        <v>0</v>
      </c>
      <c r="S5561" s="6" t="str">
        <f>IFERROR(__xludf.DUMMYFUNCTION("""COMPUTED_VALUE"""),"Kimberly Ball")</f>
        <v>Kimberly Ball</v>
      </c>
      <c r="T5561" s="6" t="str">
        <f>IFERROR(__xludf.DUMMYFUNCTION("""COMPUTED_VALUE"""),"kimberly.ball@studient.com")</f>
        <v>kimberly.ball@studient.com</v>
      </c>
      <c r="U5561" s="6" t="str">
        <f>IFERROR(__xludf.DUMMYFUNCTION("""COMPUTED_VALUE"""),"7")</f>
        <v>7</v>
      </c>
      <c r="V5561" s="6" t="str">
        <f>IFERROR(__xludf.DUMMYFUNCTION("""COMPUTED_VALUE"""),"")</f>
        <v/>
      </c>
      <c r="W5561" s="6" t="str">
        <f>IFERROR(__xludf.DUMMYFUNCTION("""COMPUTED_VALUE"""),"[]")</f>
        <v>[]</v>
      </c>
      <c r="X5561" s="6" t="str">
        <f>IFERROR(__xludf.DUMMYFUNCTION("""COMPUTED_VALUE"""),"Enrolled")</f>
        <v>Enrolled</v>
      </c>
    </row>
    <row r="5562">
      <c r="A5562" s="6" t="str">
        <f>IFERROR(__xludf.DUMMYFUNCTION("""COMPUTED_VALUE"""),"087-12159")</f>
        <v>087-12159</v>
      </c>
      <c r="B5562" s="6" t="str">
        <f>IFERROR(__xludf.DUMMYFUNCTION("""COMPUTED_VALUE"""),"87")</f>
        <v>87</v>
      </c>
      <c r="C5562" s="6" t="str">
        <f>IFERROR(__xludf.DUMMYFUNCTION("""COMPUTED_VALUE"""),"12159")</f>
        <v>12159</v>
      </c>
      <c r="D5562" s="6" t="str">
        <f>IFERROR(__xludf.DUMMYFUNCTION("""COMPUTED_VALUE"""),"Jaquez")</f>
        <v>Jaquez</v>
      </c>
      <c r="E5562" s="6" t="str">
        <f>IFERROR(__xludf.DUMMYFUNCTION("""COMPUTED_VALUE"""),"")</f>
        <v/>
      </c>
      <c r="F5562" s="6" t="str">
        <f>IFERROR(__xludf.DUMMYFUNCTION("""COMPUTED_VALUE"""),"Brayboy")</f>
        <v>Brayboy</v>
      </c>
      <c r="G5562" s="6" t="str">
        <f>IFERROR(__xludf.DUMMYFUNCTION("""COMPUTED_VALUE"""),"07/13/2013")</f>
        <v>07/13/2013</v>
      </c>
      <c r="H5562" s="6" t="str">
        <f>IFERROR(__xludf.DUMMYFUNCTION("""COMPUTED_VALUE"""),"male")</f>
        <v>male</v>
      </c>
      <c r="I5562" s="6" t="str">
        <f>IFERROR(__xludf.DUMMYFUNCTION("""COMPUTED_VALUE"""),"Middle School")</f>
        <v>Middle School</v>
      </c>
      <c r="J5562" s="6" t="str">
        <f>IFERROR(__xludf.DUMMYFUNCTION("""COMPUTED_VALUE"""),"7")</f>
        <v>7</v>
      </c>
      <c r="K5562" s="6" t="str">
        <f>IFERROR(__xludf.DUMMYFUNCTION("""COMPUTED_VALUE"""),"jaquez.brayboy@2hourlearning.com")</f>
        <v>jaquez.brayboy@2hourlearning.com</v>
      </c>
      <c r="L5562" s="6" t="str">
        <f>IFERROR(__xludf.DUMMYFUNCTION("""COMPUTED_VALUE"""),"JRHS - Ridgeland Secondary Academy of Excellence")</f>
        <v>JRHS - Ridgeland Secondary Academy of Excellence</v>
      </c>
      <c r="M5562" s="6" t="str">
        <f>IFERROR(__xludf.DUMMYFUNCTION("""COMPUTED_VALUE"""),"")</f>
        <v/>
      </c>
      <c r="N5562" s="6" t="str">
        <f>IFERROR(__xludf.DUMMYFUNCTION("""COMPUTED_VALUE"""),"")</f>
        <v/>
      </c>
      <c r="O5562" s="87" t="str">
        <f>IFERROR(__xludf.DUMMYFUNCTION("""COMPUTED_VALUE"""),"https://drive.google.com/drive/folders/10T2cTQHqEJZqE-st6uFKPoI?usp=share_link")</f>
        <v>https://drive.google.com/drive/folders/10T2cTQHqEJZqE-st6uFKPoI?usp=share_link</v>
      </c>
      <c r="P5562" s="6" t="str">
        <f>IFERROR(__xludf.DUMMYFUNCTION("""COMPUTED_VALUE"""),"Jaquez Brayboy")</f>
        <v>Jaquez Brayboy</v>
      </c>
      <c r="Q5562" s="6" t="str">
        <f>IFERROR(__xludf.DUMMYFUNCTION("""COMPUTED_VALUE"""),"MS")</f>
        <v>MS</v>
      </c>
      <c r="R5562" s="6">
        <f>IFERROR(__xludf.DUMMYFUNCTION("""COMPUTED_VALUE"""),0.0)</f>
        <v>0</v>
      </c>
      <c r="S5562" s="6" t="str">
        <f>IFERROR(__xludf.DUMMYFUNCTION("""COMPUTED_VALUE"""),"Kimberly Ball")</f>
        <v>Kimberly Ball</v>
      </c>
      <c r="T5562" s="6" t="str">
        <f>IFERROR(__xludf.DUMMYFUNCTION("""COMPUTED_VALUE"""),"kimberly.ball@studient.com")</f>
        <v>kimberly.ball@studient.com</v>
      </c>
      <c r="U5562" s="6" t="str">
        <f>IFERROR(__xludf.DUMMYFUNCTION("""COMPUTED_VALUE"""),"7")</f>
        <v>7</v>
      </c>
      <c r="V5562" s="6" t="str">
        <f>IFERROR(__xludf.DUMMYFUNCTION("""COMPUTED_VALUE"""),"")</f>
        <v/>
      </c>
      <c r="W5562" s="6" t="str">
        <f>IFERROR(__xludf.DUMMYFUNCTION("""COMPUTED_VALUE"""),"[]")</f>
        <v>[]</v>
      </c>
      <c r="X5562" s="6" t="str">
        <f>IFERROR(__xludf.DUMMYFUNCTION("""COMPUTED_VALUE"""),"Enrolled")</f>
        <v>Enrolled</v>
      </c>
    </row>
    <row r="5563">
      <c r="A5563" s="6" t="str">
        <f>IFERROR(__xludf.DUMMYFUNCTION("""COMPUTED_VALUE"""),"087-12160")</f>
        <v>087-12160</v>
      </c>
      <c r="B5563" s="6" t="str">
        <f>IFERROR(__xludf.DUMMYFUNCTION("""COMPUTED_VALUE"""),"87")</f>
        <v>87</v>
      </c>
      <c r="C5563" s="6" t="str">
        <f>IFERROR(__xludf.DUMMYFUNCTION("""COMPUTED_VALUE"""),"12160")</f>
        <v>12160</v>
      </c>
      <c r="D5563" s="6" t="str">
        <f>IFERROR(__xludf.DUMMYFUNCTION("""COMPUTED_VALUE"""),"Malaya")</f>
        <v>Malaya</v>
      </c>
      <c r="E5563" s="6" t="str">
        <f>IFERROR(__xludf.DUMMYFUNCTION("""COMPUTED_VALUE"""),"")</f>
        <v/>
      </c>
      <c r="F5563" s="6" t="str">
        <f>IFERROR(__xludf.DUMMYFUNCTION("""COMPUTED_VALUE"""),"Brayboy")</f>
        <v>Brayboy</v>
      </c>
      <c r="G5563" s="6" t="str">
        <f>IFERROR(__xludf.DUMMYFUNCTION("""COMPUTED_VALUE"""),"08/27/2012")</f>
        <v>08/27/2012</v>
      </c>
      <c r="H5563" s="6" t="str">
        <f>IFERROR(__xludf.DUMMYFUNCTION("""COMPUTED_VALUE"""),"female")</f>
        <v>female</v>
      </c>
      <c r="I5563" s="6" t="str">
        <f>IFERROR(__xludf.DUMMYFUNCTION("""COMPUTED_VALUE"""),"Middle School")</f>
        <v>Middle School</v>
      </c>
      <c r="J5563" s="6" t="str">
        <f>IFERROR(__xludf.DUMMYFUNCTION("""COMPUTED_VALUE"""),"8")</f>
        <v>8</v>
      </c>
      <c r="K5563" s="6" t="str">
        <f>IFERROR(__xludf.DUMMYFUNCTION("""COMPUTED_VALUE"""),"malaya.brayboy@2hourlearning.com")</f>
        <v>malaya.brayboy@2hourlearning.com</v>
      </c>
      <c r="L5563" s="6" t="str">
        <f>IFERROR(__xludf.DUMMYFUNCTION("""COMPUTED_VALUE"""),"JRHS - Ridgeland Secondary Academy of Excellence")</f>
        <v>JRHS - Ridgeland Secondary Academy of Excellence</v>
      </c>
      <c r="M5563" s="6" t="str">
        <f>IFERROR(__xludf.DUMMYFUNCTION("""COMPUTED_VALUE"""),"")</f>
        <v/>
      </c>
      <c r="N5563" s="6" t="str">
        <f>IFERROR(__xludf.DUMMYFUNCTION("""COMPUTED_VALUE"""),"")</f>
        <v/>
      </c>
      <c r="O5563" s="87" t="str">
        <f>IFERROR(__xludf.DUMMYFUNCTION("""COMPUTED_VALUE"""),"https://drive.google.com/drive/folders/10T2cTQHqEJZqE-st6uFKPoI?usp=share_link")</f>
        <v>https://drive.google.com/drive/folders/10T2cTQHqEJZqE-st6uFKPoI?usp=share_link</v>
      </c>
      <c r="P5563" s="6" t="str">
        <f>IFERROR(__xludf.DUMMYFUNCTION("""COMPUTED_VALUE"""),"Malaya Brayboy")</f>
        <v>Malaya Brayboy</v>
      </c>
      <c r="Q5563" s="6" t="str">
        <f>IFERROR(__xludf.DUMMYFUNCTION("""COMPUTED_VALUE"""),"MS")</f>
        <v>MS</v>
      </c>
      <c r="R5563" s="6">
        <f>IFERROR(__xludf.DUMMYFUNCTION("""COMPUTED_VALUE"""),0.0)</f>
        <v>0</v>
      </c>
      <c r="S5563" s="6" t="str">
        <f>IFERROR(__xludf.DUMMYFUNCTION("""COMPUTED_VALUE"""),"Kimberly Ball")</f>
        <v>Kimberly Ball</v>
      </c>
      <c r="T5563" s="6" t="str">
        <f>IFERROR(__xludf.DUMMYFUNCTION("""COMPUTED_VALUE"""),"kimberly.ball@studient.com")</f>
        <v>kimberly.ball@studient.com</v>
      </c>
      <c r="U5563" s="6" t="str">
        <f>IFERROR(__xludf.DUMMYFUNCTION("""COMPUTED_VALUE"""),"8")</f>
        <v>8</v>
      </c>
      <c r="V5563" s="6" t="str">
        <f>IFERROR(__xludf.DUMMYFUNCTION("""COMPUTED_VALUE"""),"")</f>
        <v/>
      </c>
      <c r="W5563" s="6" t="str">
        <f>IFERROR(__xludf.DUMMYFUNCTION("""COMPUTED_VALUE"""),"[]")</f>
        <v>[]</v>
      </c>
      <c r="X5563" s="6" t="str">
        <f>IFERROR(__xludf.DUMMYFUNCTION("""COMPUTED_VALUE"""),"Enrolled")</f>
        <v>Enrolled</v>
      </c>
    </row>
    <row r="5564">
      <c r="A5564" s="6" t="str">
        <f>IFERROR(__xludf.DUMMYFUNCTION("""COMPUTED_VALUE"""),"087-12161")</f>
        <v>087-12161</v>
      </c>
      <c r="B5564" s="6" t="str">
        <f>IFERROR(__xludf.DUMMYFUNCTION("""COMPUTED_VALUE"""),"87")</f>
        <v>87</v>
      </c>
      <c r="C5564" s="6" t="str">
        <f>IFERROR(__xludf.DUMMYFUNCTION("""COMPUTED_VALUE"""),"12161")</f>
        <v>12161</v>
      </c>
      <c r="D5564" s="6" t="str">
        <f>IFERROR(__xludf.DUMMYFUNCTION("""COMPUTED_VALUE"""),"Adrianna")</f>
        <v>Adrianna</v>
      </c>
      <c r="E5564" s="6" t="str">
        <f>IFERROR(__xludf.DUMMYFUNCTION("""COMPUTED_VALUE"""),"")</f>
        <v/>
      </c>
      <c r="F5564" s="6" t="str">
        <f>IFERROR(__xludf.DUMMYFUNCTION("""COMPUTED_VALUE"""),"Brown")</f>
        <v>Brown</v>
      </c>
      <c r="G5564" s="6" t="str">
        <f>IFERROR(__xludf.DUMMYFUNCTION("""COMPUTED_VALUE"""),"08/29/2012")</f>
        <v>08/29/2012</v>
      </c>
      <c r="H5564" s="6" t="str">
        <f>IFERROR(__xludf.DUMMYFUNCTION("""COMPUTED_VALUE"""),"female")</f>
        <v>female</v>
      </c>
      <c r="I5564" s="6" t="str">
        <f>IFERROR(__xludf.DUMMYFUNCTION("""COMPUTED_VALUE"""),"Middle School")</f>
        <v>Middle School</v>
      </c>
      <c r="J5564" s="6" t="str">
        <f>IFERROR(__xludf.DUMMYFUNCTION("""COMPUTED_VALUE"""),"8")</f>
        <v>8</v>
      </c>
      <c r="K5564" s="6" t="str">
        <f>IFERROR(__xludf.DUMMYFUNCTION("""COMPUTED_VALUE"""),"adrianna.brown@2hourlearning.com")</f>
        <v>adrianna.brown@2hourlearning.com</v>
      </c>
      <c r="L5564" s="6" t="str">
        <f>IFERROR(__xludf.DUMMYFUNCTION("""COMPUTED_VALUE"""),"JRHS - Ridgeland Secondary Academy of Excellence")</f>
        <v>JRHS - Ridgeland Secondary Academy of Excellence</v>
      </c>
      <c r="M5564" s="6" t="str">
        <f>IFERROR(__xludf.DUMMYFUNCTION("""COMPUTED_VALUE"""),"")</f>
        <v/>
      </c>
      <c r="N5564" s="6" t="str">
        <f>IFERROR(__xludf.DUMMYFUNCTION("""COMPUTED_VALUE"""),"")</f>
        <v/>
      </c>
      <c r="O5564" s="87" t="str">
        <f>IFERROR(__xludf.DUMMYFUNCTION("""COMPUTED_VALUE"""),"https://drive.google.com/drive/folders/10T2cTQHqEJZqE-st6uFKPoI?usp=share_link")</f>
        <v>https://drive.google.com/drive/folders/10T2cTQHqEJZqE-st6uFKPoI?usp=share_link</v>
      </c>
      <c r="P5564" s="6" t="str">
        <f>IFERROR(__xludf.DUMMYFUNCTION("""COMPUTED_VALUE"""),"Adrianna Brown")</f>
        <v>Adrianna Brown</v>
      </c>
      <c r="Q5564" s="6" t="str">
        <f>IFERROR(__xludf.DUMMYFUNCTION("""COMPUTED_VALUE"""),"MS")</f>
        <v>MS</v>
      </c>
      <c r="R5564" s="6">
        <f>IFERROR(__xludf.DUMMYFUNCTION("""COMPUTED_VALUE"""),0.0)</f>
        <v>0</v>
      </c>
      <c r="S5564" s="6" t="str">
        <f>IFERROR(__xludf.DUMMYFUNCTION("""COMPUTED_VALUE"""),"Kimberly Ball")</f>
        <v>Kimberly Ball</v>
      </c>
      <c r="T5564" s="6" t="str">
        <f>IFERROR(__xludf.DUMMYFUNCTION("""COMPUTED_VALUE"""),"kimberly.ball@studient.com")</f>
        <v>kimberly.ball@studient.com</v>
      </c>
      <c r="U5564" s="6" t="str">
        <f>IFERROR(__xludf.DUMMYFUNCTION("""COMPUTED_VALUE"""),"8")</f>
        <v>8</v>
      </c>
      <c r="V5564" s="6" t="str">
        <f>IFERROR(__xludf.DUMMYFUNCTION("""COMPUTED_VALUE"""),"")</f>
        <v/>
      </c>
      <c r="W5564" s="6" t="str">
        <f>IFERROR(__xludf.DUMMYFUNCTION("""COMPUTED_VALUE"""),"[]")</f>
        <v>[]</v>
      </c>
      <c r="X5564" s="6" t="str">
        <f>IFERROR(__xludf.DUMMYFUNCTION("""COMPUTED_VALUE"""),"Enrolled")</f>
        <v>Enrolled</v>
      </c>
    </row>
    <row r="5565">
      <c r="A5565" s="6" t="str">
        <f>IFERROR(__xludf.DUMMYFUNCTION("""COMPUTED_VALUE"""),"087-12162")</f>
        <v>087-12162</v>
      </c>
      <c r="B5565" s="6" t="str">
        <f>IFERROR(__xludf.DUMMYFUNCTION("""COMPUTED_VALUE"""),"87")</f>
        <v>87</v>
      </c>
      <c r="C5565" s="6" t="str">
        <f>IFERROR(__xludf.DUMMYFUNCTION("""COMPUTED_VALUE"""),"12162")</f>
        <v>12162</v>
      </c>
      <c r="D5565" s="6" t="str">
        <f>IFERROR(__xludf.DUMMYFUNCTION("""COMPUTED_VALUE"""),"Austin")</f>
        <v>Austin</v>
      </c>
      <c r="E5565" s="6" t="str">
        <f>IFERROR(__xludf.DUMMYFUNCTION("""COMPUTED_VALUE"""),"")</f>
        <v/>
      </c>
      <c r="F5565" s="6" t="str">
        <f>IFERROR(__xludf.DUMMYFUNCTION("""COMPUTED_VALUE"""),"Brown")</f>
        <v>Brown</v>
      </c>
      <c r="G5565" s="6" t="str">
        <f>IFERROR(__xludf.DUMMYFUNCTION("""COMPUTED_VALUE"""),"07/25/2013")</f>
        <v>07/25/2013</v>
      </c>
      <c r="H5565" s="6" t="str">
        <f>IFERROR(__xludf.DUMMYFUNCTION("""COMPUTED_VALUE"""),"male")</f>
        <v>male</v>
      </c>
      <c r="I5565" s="6" t="str">
        <f>IFERROR(__xludf.DUMMYFUNCTION("""COMPUTED_VALUE"""),"Middle School")</f>
        <v>Middle School</v>
      </c>
      <c r="J5565" s="6" t="str">
        <f>IFERROR(__xludf.DUMMYFUNCTION("""COMPUTED_VALUE"""),"7")</f>
        <v>7</v>
      </c>
      <c r="K5565" s="6" t="str">
        <f>IFERROR(__xludf.DUMMYFUNCTION("""COMPUTED_VALUE"""),"austin.brown@2hourlearning.com")</f>
        <v>austin.brown@2hourlearning.com</v>
      </c>
      <c r="L5565" s="6" t="str">
        <f>IFERROR(__xludf.DUMMYFUNCTION("""COMPUTED_VALUE"""),"JRHS - Ridgeland Secondary Academy of Excellence")</f>
        <v>JRHS - Ridgeland Secondary Academy of Excellence</v>
      </c>
      <c r="M5565" s="6" t="str">
        <f>IFERROR(__xludf.DUMMYFUNCTION("""COMPUTED_VALUE"""),"")</f>
        <v/>
      </c>
      <c r="N5565" s="6" t="str">
        <f>IFERROR(__xludf.DUMMYFUNCTION("""COMPUTED_VALUE"""),"")</f>
        <v/>
      </c>
      <c r="O5565" s="87" t="str">
        <f>IFERROR(__xludf.DUMMYFUNCTION("""COMPUTED_VALUE"""),"https://drive.google.com/drive/folders/10T2cTQHqEJZqE-st6uFKPoI?usp=share_link")</f>
        <v>https://drive.google.com/drive/folders/10T2cTQHqEJZqE-st6uFKPoI?usp=share_link</v>
      </c>
      <c r="P5565" s="6" t="str">
        <f>IFERROR(__xludf.DUMMYFUNCTION("""COMPUTED_VALUE"""),"Austin Brown")</f>
        <v>Austin Brown</v>
      </c>
      <c r="Q5565" s="6" t="str">
        <f>IFERROR(__xludf.DUMMYFUNCTION("""COMPUTED_VALUE"""),"MS")</f>
        <v>MS</v>
      </c>
      <c r="R5565" s="6">
        <f>IFERROR(__xludf.DUMMYFUNCTION("""COMPUTED_VALUE"""),0.0)</f>
        <v>0</v>
      </c>
      <c r="S5565" s="6" t="str">
        <f>IFERROR(__xludf.DUMMYFUNCTION("""COMPUTED_VALUE"""),"Kimberly Ball")</f>
        <v>Kimberly Ball</v>
      </c>
      <c r="T5565" s="6" t="str">
        <f>IFERROR(__xludf.DUMMYFUNCTION("""COMPUTED_VALUE"""),"kimberly.ball@studient.com")</f>
        <v>kimberly.ball@studient.com</v>
      </c>
      <c r="U5565" s="6" t="str">
        <f>IFERROR(__xludf.DUMMYFUNCTION("""COMPUTED_VALUE"""),"7")</f>
        <v>7</v>
      </c>
      <c r="V5565" s="6" t="str">
        <f>IFERROR(__xludf.DUMMYFUNCTION("""COMPUTED_VALUE"""),"")</f>
        <v/>
      </c>
      <c r="W5565" s="6" t="str">
        <f>IFERROR(__xludf.DUMMYFUNCTION("""COMPUTED_VALUE"""),"[]")</f>
        <v>[]</v>
      </c>
      <c r="X5565" s="6" t="str">
        <f>IFERROR(__xludf.DUMMYFUNCTION("""COMPUTED_VALUE"""),"Enrolled")</f>
        <v>Enrolled</v>
      </c>
    </row>
    <row r="5566">
      <c r="A5566" s="6" t="str">
        <f>IFERROR(__xludf.DUMMYFUNCTION("""COMPUTED_VALUE"""),"087-12163")</f>
        <v>087-12163</v>
      </c>
      <c r="B5566" s="6" t="str">
        <f>IFERROR(__xludf.DUMMYFUNCTION("""COMPUTED_VALUE"""),"87")</f>
        <v>87</v>
      </c>
      <c r="C5566" s="6" t="str">
        <f>IFERROR(__xludf.DUMMYFUNCTION("""COMPUTED_VALUE"""),"12163")</f>
        <v>12163</v>
      </c>
      <c r="D5566" s="6" t="str">
        <f>IFERROR(__xludf.DUMMYFUNCTION("""COMPUTED_VALUE"""),"Kaneisha")</f>
        <v>Kaneisha</v>
      </c>
      <c r="E5566" s="6" t="str">
        <f>IFERROR(__xludf.DUMMYFUNCTION("""COMPUTED_VALUE"""),"")</f>
        <v/>
      </c>
      <c r="F5566" s="6" t="str">
        <f>IFERROR(__xludf.DUMMYFUNCTION("""COMPUTED_VALUE"""),"Brown")</f>
        <v>Brown</v>
      </c>
      <c r="G5566" s="6" t="str">
        <f>IFERROR(__xludf.DUMMYFUNCTION("""COMPUTED_VALUE"""),"05/04/2013")</f>
        <v>05/04/2013</v>
      </c>
      <c r="H5566" s="6" t="str">
        <f>IFERROR(__xludf.DUMMYFUNCTION("""COMPUTED_VALUE"""),"female")</f>
        <v>female</v>
      </c>
      <c r="I5566" s="6" t="str">
        <f>IFERROR(__xludf.DUMMYFUNCTION("""COMPUTED_VALUE"""),"Middle School")</f>
        <v>Middle School</v>
      </c>
      <c r="J5566" s="6" t="str">
        <f>IFERROR(__xludf.DUMMYFUNCTION("""COMPUTED_VALUE"""),"7")</f>
        <v>7</v>
      </c>
      <c r="K5566" s="6" t="str">
        <f>IFERROR(__xludf.DUMMYFUNCTION("""COMPUTED_VALUE"""),"kaneisha.brown@2hourlearning.com")</f>
        <v>kaneisha.brown@2hourlearning.com</v>
      </c>
      <c r="L5566" s="6" t="str">
        <f>IFERROR(__xludf.DUMMYFUNCTION("""COMPUTED_VALUE"""),"JRHS - Ridgeland Secondary Academy of Excellence")</f>
        <v>JRHS - Ridgeland Secondary Academy of Excellence</v>
      </c>
      <c r="M5566" s="6" t="str">
        <f>IFERROR(__xludf.DUMMYFUNCTION("""COMPUTED_VALUE"""),"")</f>
        <v/>
      </c>
      <c r="N5566" s="6" t="str">
        <f>IFERROR(__xludf.DUMMYFUNCTION("""COMPUTED_VALUE"""),"")</f>
        <v/>
      </c>
      <c r="O5566" s="87" t="str">
        <f>IFERROR(__xludf.DUMMYFUNCTION("""COMPUTED_VALUE"""),"https://drive.google.com/drive/folders/10T2cTQHqEJZqE-st6uFKPoI?usp=share_link")</f>
        <v>https://drive.google.com/drive/folders/10T2cTQHqEJZqE-st6uFKPoI?usp=share_link</v>
      </c>
      <c r="P5566" s="6" t="str">
        <f>IFERROR(__xludf.DUMMYFUNCTION("""COMPUTED_VALUE"""),"Kaneisha Brown")</f>
        <v>Kaneisha Brown</v>
      </c>
      <c r="Q5566" s="6" t="str">
        <f>IFERROR(__xludf.DUMMYFUNCTION("""COMPUTED_VALUE"""),"MS")</f>
        <v>MS</v>
      </c>
      <c r="R5566" s="6">
        <f>IFERROR(__xludf.DUMMYFUNCTION("""COMPUTED_VALUE"""),0.0)</f>
        <v>0</v>
      </c>
      <c r="S5566" s="6" t="str">
        <f>IFERROR(__xludf.DUMMYFUNCTION("""COMPUTED_VALUE"""),"Kimberly Ball")</f>
        <v>Kimberly Ball</v>
      </c>
      <c r="T5566" s="6" t="str">
        <f>IFERROR(__xludf.DUMMYFUNCTION("""COMPUTED_VALUE"""),"kimberly.ball@studient.com")</f>
        <v>kimberly.ball@studient.com</v>
      </c>
      <c r="U5566" s="6" t="str">
        <f>IFERROR(__xludf.DUMMYFUNCTION("""COMPUTED_VALUE"""),"7")</f>
        <v>7</v>
      </c>
      <c r="V5566" s="6" t="str">
        <f>IFERROR(__xludf.DUMMYFUNCTION("""COMPUTED_VALUE"""),"")</f>
        <v/>
      </c>
      <c r="W5566" s="6" t="str">
        <f>IFERROR(__xludf.DUMMYFUNCTION("""COMPUTED_VALUE"""),"[]")</f>
        <v>[]</v>
      </c>
      <c r="X5566" s="6" t="str">
        <f>IFERROR(__xludf.DUMMYFUNCTION("""COMPUTED_VALUE"""),"Enrolled")</f>
        <v>Enrolled</v>
      </c>
    </row>
    <row r="5567">
      <c r="A5567" s="6" t="str">
        <f>IFERROR(__xludf.DUMMYFUNCTION("""COMPUTED_VALUE"""),"087-12164")</f>
        <v>087-12164</v>
      </c>
      <c r="B5567" s="6" t="str">
        <f>IFERROR(__xludf.DUMMYFUNCTION("""COMPUTED_VALUE"""),"87")</f>
        <v>87</v>
      </c>
      <c r="C5567" s="6" t="str">
        <f>IFERROR(__xludf.DUMMYFUNCTION("""COMPUTED_VALUE"""),"12164")</f>
        <v>12164</v>
      </c>
      <c r="D5567" s="6" t="str">
        <f>IFERROR(__xludf.DUMMYFUNCTION("""COMPUTED_VALUE"""),"Raquel")</f>
        <v>Raquel</v>
      </c>
      <c r="E5567" s="6" t="str">
        <f>IFERROR(__xludf.DUMMYFUNCTION("""COMPUTED_VALUE"""),"")</f>
        <v/>
      </c>
      <c r="F5567" s="6" t="str">
        <f>IFERROR(__xludf.DUMMYFUNCTION("""COMPUTED_VALUE"""),"Brown")</f>
        <v>Brown</v>
      </c>
      <c r="G5567" s="6" t="str">
        <f>IFERROR(__xludf.DUMMYFUNCTION("""COMPUTED_VALUE"""),"10/17/2012")</f>
        <v>10/17/2012</v>
      </c>
      <c r="H5567" s="6" t="str">
        <f>IFERROR(__xludf.DUMMYFUNCTION("""COMPUTED_VALUE"""),"female")</f>
        <v>female</v>
      </c>
      <c r="I5567" s="6" t="str">
        <f>IFERROR(__xludf.DUMMYFUNCTION("""COMPUTED_VALUE"""),"Middle School")</f>
        <v>Middle School</v>
      </c>
      <c r="J5567" s="6" t="str">
        <f>IFERROR(__xludf.DUMMYFUNCTION("""COMPUTED_VALUE"""),"7")</f>
        <v>7</v>
      </c>
      <c r="K5567" s="6" t="str">
        <f>IFERROR(__xludf.DUMMYFUNCTION("""COMPUTED_VALUE"""),"raquel.brown@2hourlearning.com")</f>
        <v>raquel.brown@2hourlearning.com</v>
      </c>
      <c r="L5567" s="6" t="str">
        <f>IFERROR(__xludf.DUMMYFUNCTION("""COMPUTED_VALUE"""),"JRHS - Ridgeland Secondary Academy of Excellence")</f>
        <v>JRHS - Ridgeland Secondary Academy of Excellence</v>
      </c>
      <c r="M5567" s="6" t="str">
        <f>IFERROR(__xludf.DUMMYFUNCTION("""COMPUTED_VALUE"""),"")</f>
        <v/>
      </c>
      <c r="N5567" s="6" t="str">
        <f>IFERROR(__xludf.DUMMYFUNCTION("""COMPUTED_VALUE"""),"")</f>
        <v/>
      </c>
      <c r="O5567" s="87" t="str">
        <f>IFERROR(__xludf.DUMMYFUNCTION("""COMPUTED_VALUE"""),"https://drive.google.com/drive/folders/10T2cTQHqEJZqE-st6uFKPoI?usp=share_link")</f>
        <v>https://drive.google.com/drive/folders/10T2cTQHqEJZqE-st6uFKPoI?usp=share_link</v>
      </c>
      <c r="P5567" s="6" t="str">
        <f>IFERROR(__xludf.DUMMYFUNCTION("""COMPUTED_VALUE"""),"Raquel Brown")</f>
        <v>Raquel Brown</v>
      </c>
      <c r="Q5567" s="6" t="str">
        <f>IFERROR(__xludf.DUMMYFUNCTION("""COMPUTED_VALUE"""),"MS")</f>
        <v>MS</v>
      </c>
      <c r="R5567" s="6">
        <f>IFERROR(__xludf.DUMMYFUNCTION("""COMPUTED_VALUE"""),0.0)</f>
        <v>0</v>
      </c>
      <c r="S5567" s="6" t="str">
        <f>IFERROR(__xludf.DUMMYFUNCTION("""COMPUTED_VALUE"""),"Kimberly Ball")</f>
        <v>Kimberly Ball</v>
      </c>
      <c r="T5567" s="6" t="str">
        <f>IFERROR(__xludf.DUMMYFUNCTION("""COMPUTED_VALUE"""),"kimberly.ball@studient.com")</f>
        <v>kimberly.ball@studient.com</v>
      </c>
      <c r="U5567" s="6" t="str">
        <f>IFERROR(__xludf.DUMMYFUNCTION("""COMPUTED_VALUE"""),"7")</f>
        <v>7</v>
      </c>
      <c r="V5567" s="6" t="str">
        <f>IFERROR(__xludf.DUMMYFUNCTION("""COMPUTED_VALUE"""),"")</f>
        <v/>
      </c>
      <c r="W5567" s="6" t="str">
        <f>IFERROR(__xludf.DUMMYFUNCTION("""COMPUTED_VALUE"""),"[]")</f>
        <v>[]</v>
      </c>
      <c r="X5567" s="6" t="str">
        <f>IFERROR(__xludf.DUMMYFUNCTION("""COMPUTED_VALUE"""),"Enrolled")</f>
        <v>Enrolled</v>
      </c>
    </row>
    <row r="5568">
      <c r="A5568" s="6" t="str">
        <f>IFERROR(__xludf.DUMMYFUNCTION("""COMPUTED_VALUE"""),"087-12165")</f>
        <v>087-12165</v>
      </c>
      <c r="B5568" s="6" t="str">
        <f>IFERROR(__xludf.DUMMYFUNCTION("""COMPUTED_VALUE"""),"87")</f>
        <v>87</v>
      </c>
      <c r="C5568" s="6" t="str">
        <f>IFERROR(__xludf.DUMMYFUNCTION("""COMPUTED_VALUE"""),"12165")</f>
        <v>12165</v>
      </c>
      <c r="D5568" s="6" t="str">
        <f>IFERROR(__xludf.DUMMYFUNCTION("""COMPUTED_VALUE"""),"Treyvonne")</f>
        <v>Treyvonne</v>
      </c>
      <c r="E5568" s="6" t="str">
        <f>IFERROR(__xludf.DUMMYFUNCTION("""COMPUTED_VALUE"""),"")</f>
        <v/>
      </c>
      <c r="F5568" s="6" t="str">
        <f>IFERROR(__xludf.DUMMYFUNCTION("""COMPUTED_VALUE"""),"Brown")</f>
        <v>Brown</v>
      </c>
      <c r="G5568" s="6" t="str">
        <f>IFERROR(__xludf.DUMMYFUNCTION("""COMPUTED_VALUE"""),"09/01/2012")</f>
        <v>09/01/2012</v>
      </c>
      <c r="H5568" s="6" t="str">
        <f>IFERROR(__xludf.DUMMYFUNCTION("""COMPUTED_VALUE"""),"male")</f>
        <v>male</v>
      </c>
      <c r="I5568" s="6" t="str">
        <f>IFERROR(__xludf.DUMMYFUNCTION("""COMPUTED_VALUE"""),"Middle School")</f>
        <v>Middle School</v>
      </c>
      <c r="J5568" s="6" t="str">
        <f>IFERROR(__xludf.DUMMYFUNCTION("""COMPUTED_VALUE"""),"8")</f>
        <v>8</v>
      </c>
      <c r="K5568" s="6" t="str">
        <f>IFERROR(__xludf.DUMMYFUNCTION("""COMPUTED_VALUE"""),"treyvonne.brown@2hourlearning.com")</f>
        <v>treyvonne.brown@2hourlearning.com</v>
      </c>
      <c r="L5568" s="6" t="str">
        <f>IFERROR(__xludf.DUMMYFUNCTION("""COMPUTED_VALUE"""),"JRHS - Ridgeland Secondary Academy of Excellence")</f>
        <v>JRHS - Ridgeland Secondary Academy of Excellence</v>
      </c>
      <c r="M5568" s="6" t="str">
        <f>IFERROR(__xludf.DUMMYFUNCTION("""COMPUTED_VALUE"""),"")</f>
        <v/>
      </c>
      <c r="N5568" s="6" t="str">
        <f>IFERROR(__xludf.DUMMYFUNCTION("""COMPUTED_VALUE"""),"")</f>
        <v/>
      </c>
      <c r="O5568" s="87" t="str">
        <f>IFERROR(__xludf.DUMMYFUNCTION("""COMPUTED_VALUE"""),"https://drive.google.com/drive/folders/10T2cTQHqEJZqE-st6uFKPoI?usp=share_link")</f>
        <v>https://drive.google.com/drive/folders/10T2cTQHqEJZqE-st6uFKPoI?usp=share_link</v>
      </c>
      <c r="P5568" s="6" t="str">
        <f>IFERROR(__xludf.DUMMYFUNCTION("""COMPUTED_VALUE"""),"Treyvonne Brown")</f>
        <v>Treyvonne Brown</v>
      </c>
      <c r="Q5568" s="6" t="str">
        <f>IFERROR(__xludf.DUMMYFUNCTION("""COMPUTED_VALUE"""),"MS")</f>
        <v>MS</v>
      </c>
      <c r="R5568" s="6">
        <f>IFERROR(__xludf.DUMMYFUNCTION("""COMPUTED_VALUE"""),0.0)</f>
        <v>0</v>
      </c>
      <c r="S5568" s="6" t="str">
        <f>IFERROR(__xludf.DUMMYFUNCTION("""COMPUTED_VALUE"""),"Kimberly Ball")</f>
        <v>Kimberly Ball</v>
      </c>
      <c r="T5568" s="6" t="str">
        <f>IFERROR(__xludf.DUMMYFUNCTION("""COMPUTED_VALUE"""),"kimberly.ball@studient.com")</f>
        <v>kimberly.ball@studient.com</v>
      </c>
      <c r="U5568" s="6" t="str">
        <f>IFERROR(__xludf.DUMMYFUNCTION("""COMPUTED_VALUE"""),"8")</f>
        <v>8</v>
      </c>
      <c r="V5568" s="6" t="str">
        <f>IFERROR(__xludf.DUMMYFUNCTION("""COMPUTED_VALUE"""),"")</f>
        <v/>
      </c>
      <c r="W5568" s="6" t="str">
        <f>IFERROR(__xludf.DUMMYFUNCTION("""COMPUTED_VALUE"""),"[]")</f>
        <v>[]</v>
      </c>
      <c r="X5568" s="6" t="str">
        <f>IFERROR(__xludf.DUMMYFUNCTION("""COMPUTED_VALUE"""),"Enrolled")</f>
        <v>Enrolled</v>
      </c>
    </row>
    <row r="5569">
      <c r="A5569" s="6" t="str">
        <f>IFERROR(__xludf.DUMMYFUNCTION("""COMPUTED_VALUE"""),"087-12166")</f>
        <v>087-12166</v>
      </c>
      <c r="B5569" s="6" t="str">
        <f>IFERROR(__xludf.DUMMYFUNCTION("""COMPUTED_VALUE"""),"87")</f>
        <v>87</v>
      </c>
      <c r="C5569" s="6" t="str">
        <f>IFERROR(__xludf.DUMMYFUNCTION("""COMPUTED_VALUE"""),"12166")</f>
        <v>12166</v>
      </c>
      <c r="D5569" s="6" t="str">
        <f>IFERROR(__xludf.DUMMYFUNCTION("""COMPUTED_VALUE"""),"Charles")</f>
        <v>Charles</v>
      </c>
      <c r="E5569" s="6" t="str">
        <f>IFERROR(__xludf.DUMMYFUNCTION("""COMPUTED_VALUE"""),"")</f>
        <v/>
      </c>
      <c r="F5569" s="6" t="str">
        <f>IFERROR(__xludf.DUMMYFUNCTION("""COMPUTED_VALUE"""),"Broxton")</f>
        <v>Broxton</v>
      </c>
      <c r="G5569" s="6" t="str">
        <f>IFERROR(__xludf.DUMMYFUNCTION("""COMPUTED_VALUE"""),"09/03/2012")</f>
        <v>09/03/2012</v>
      </c>
      <c r="H5569" s="6" t="str">
        <f>IFERROR(__xludf.DUMMYFUNCTION("""COMPUTED_VALUE"""),"male")</f>
        <v>male</v>
      </c>
      <c r="I5569" s="6" t="str">
        <f>IFERROR(__xludf.DUMMYFUNCTION("""COMPUTED_VALUE"""),"Middle School")</f>
        <v>Middle School</v>
      </c>
      <c r="J5569" s="6" t="str">
        <f>IFERROR(__xludf.DUMMYFUNCTION("""COMPUTED_VALUE"""),"7")</f>
        <v>7</v>
      </c>
      <c r="K5569" s="6" t="str">
        <f>IFERROR(__xludf.DUMMYFUNCTION("""COMPUTED_VALUE"""),"charles.broxton@2hourlearning.com")</f>
        <v>charles.broxton@2hourlearning.com</v>
      </c>
      <c r="L5569" s="6" t="str">
        <f>IFERROR(__xludf.DUMMYFUNCTION("""COMPUTED_VALUE"""),"JRHS - Ridgeland Secondary Academy of Excellence")</f>
        <v>JRHS - Ridgeland Secondary Academy of Excellence</v>
      </c>
      <c r="M5569" s="6" t="str">
        <f>IFERROR(__xludf.DUMMYFUNCTION("""COMPUTED_VALUE"""),"")</f>
        <v/>
      </c>
      <c r="N5569" s="6" t="str">
        <f>IFERROR(__xludf.DUMMYFUNCTION("""COMPUTED_VALUE"""),"")</f>
        <v/>
      </c>
      <c r="O5569" s="87" t="str">
        <f>IFERROR(__xludf.DUMMYFUNCTION("""COMPUTED_VALUE"""),"https://drive.google.com/drive/folders/10T2cTQHqEJZqE-st6uFKPoI?usp=share_link")</f>
        <v>https://drive.google.com/drive/folders/10T2cTQHqEJZqE-st6uFKPoI?usp=share_link</v>
      </c>
      <c r="P5569" s="6" t="str">
        <f>IFERROR(__xludf.DUMMYFUNCTION("""COMPUTED_VALUE"""),"Charles Broxton")</f>
        <v>Charles Broxton</v>
      </c>
      <c r="Q5569" s="6" t="str">
        <f>IFERROR(__xludf.DUMMYFUNCTION("""COMPUTED_VALUE"""),"MS")</f>
        <v>MS</v>
      </c>
      <c r="R5569" s="6">
        <f>IFERROR(__xludf.DUMMYFUNCTION("""COMPUTED_VALUE"""),0.0)</f>
        <v>0</v>
      </c>
      <c r="S5569" s="6" t="str">
        <f>IFERROR(__xludf.DUMMYFUNCTION("""COMPUTED_VALUE"""),"Kimberly Ball")</f>
        <v>Kimberly Ball</v>
      </c>
      <c r="T5569" s="6" t="str">
        <f>IFERROR(__xludf.DUMMYFUNCTION("""COMPUTED_VALUE"""),"kimberly.ball@studient.com")</f>
        <v>kimberly.ball@studient.com</v>
      </c>
      <c r="U5569" s="6" t="str">
        <f>IFERROR(__xludf.DUMMYFUNCTION("""COMPUTED_VALUE"""),"7")</f>
        <v>7</v>
      </c>
      <c r="V5569" s="6" t="str">
        <f>IFERROR(__xludf.DUMMYFUNCTION("""COMPUTED_VALUE"""),"")</f>
        <v/>
      </c>
      <c r="W5569" s="6" t="str">
        <f>IFERROR(__xludf.DUMMYFUNCTION("""COMPUTED_VALUE"""),"[]")</f>
        <v>[]</v>
      </c>
      <c r="X5569" s="6" t="str">
        <f>IFERROR(__xludf.DUMMYFUNCTION("""COMPUTED_VALUE"""),"Enrolled")</f>
        <v>Enrolled</v>
      </c>
    </row>
    <row r="5570">
      <c r="A5570" s="6" t="str">
        <f>IFERROR(__xludf.DUMMYFUNCTION("""COMPUTED_VALUE"""),"087-12167")</f>
        <v>087-12167</v>
      </c>
      <c r="B5570" s="6" t="str">
        <f>IFERROR(__xludf.DUMMYFUNCTION("""COMPUTED_VALUE"""),"87")</f>
        <v>87</v>
      </c>
      <c r="C5570" s="6" t="str">
        <f>IFERROR(__xludf.DUMMYFUNCTION("""COMPUTED_VALUE"""),"12167")</f>
        <v>12167</v>
      </c>
      <c r="D5570" s="6" t="str">
        <f>IFERROR(__xludf.DUMMYFUNCTION("""COMPUTED_VALUE"""),"Savion")</f>
        <v>Savion</v>
      </c>
      <c r="E5570" s="6" t="str">
        <f>IFERROR(__xludf.DUMMYFUNCTION("""COMPUTED_VALUE"""),"")</f>
        <v/>
      </c>
      <c r="F5570" s="6" t="str">
        <f>IFERROR(__xludf.DUMMYFUNCTION("""COMPUTED_VALUE"""),"Bryant")</f>
        <v>Bryant</v>
      </c>
      <c r="G5570" s="6" t="str">
        <f>IFERROR(__xludf.DUMMYFUNCTION("""COMPUTED_VALUE"""),"09/03/2012")</f>
        <v>09/03/2012</v>
      </c>
      <c r="H5570" s="6" t="str">
        <f>IFERROR(__xludf.DUMMYFUNCTION("""COMPUTED_VALUE"""),"male")</f>
        <v>male</v>
      </c>
      <c r="I5570" s="6" t="str">
        <f>IFERROR(__xludf.DUMMYFUNCTION("""COMPUTED_VALUE"""),"Middle School")</f>
        <v>Middle School</v>
      </c>
      <c r="J5570" s="6" t="str">
        <f>IFERROR(__xludf.DUMMYFUNCTION("""COMPUTED_VALUE"""),"6")</f>
        <v>6</v>
      </c>
      <c r="K5570" s="6" t="str">
        <f>IFERROR(__xludf.DUMMYFUNCTION("""COMPUTED_VALUE"""),"savion.bryant@2hourlearning.com")</f>
        <v>savion.bryant@2hourlearning.com</v>
      </c>
      <c r="L5570" s="6" t="str">
        <f>IFERROR(__xludf.DUMMYFUNCTION("""COMPUTED_VALUE"""),"JRHS - Ridgeland Secondary Academy of Excellence")</f>
        <v>JRHS - Ridgeland Secondary Academy of Excellence</v>
      </c>
      <c r="M5570" s="6" t="str">
        <f>IFERROR(__xludf.DUMMYFUNCTION("""COMPUTED_VALUE"""),"")</f>
        <v/>
      </c>
      <c r="N5570" s="6" t="str">
        <f>IFERROR(__xludf.DUMMYFUNCTION("""COMPUTED_VALUE"""),"")</f>
        <v/>
      </c>
      <c r="O5570" s="87" t="str">
        <f>IFERROR(__xludf.DUMMYFUNCTION("""COMPUTED_VALUE"""),"https://drive.google.com/drive/folders/10T2cTQHqEJZqE-st6uFKPoI?usp=share_link")</f>
        <v>https://drive.google.com/drive/folders/10T2cTQHqEJZqE-st6uFKPoI?usp=share_link</v>
      </c>
      <c r="P5570" s="6" t="str">
        <f>IFERROR(__xludf.DUMMYFUNCTION("""COMPUTED_VALUE"""),"Savion Bryant")</f>
        <v>Savion Bryant</v>
      </c>
      <c r="Q5570" s="6" t="str">
        <f>IFERROR(__xludf.DUMMYFUNCTION("""COMPUTED_VALUE"""),"MS")</f>
        <v>MS</v>
      </c>
      <c r="R5570" s="6">
        <f>IFERROR(__xludf.DUMMYFUNCTION("""COMPUTED_VALUE"""),0.0)</f>
        <v>0</v>
      </c>
      <c r="S5570" s="6" t="str">
        <f>IFERROR(__xludf.DUMMYFUNCTION("""COMPUTED_VALUE"""),"Kimberly Ball")</f>
        <v>Kimberly Ball</v>
      </c>
      <c r="T5570" s="6" t="str">
        <f>IFERROR(__xludf.DUMMYFUNCTION("""COMPUTED_VALUE"""),"kimberly.ball@studient.com")</f>
        <v>kimberly.ball@studient.com</v>
      </c>
      <c r="U5570" s="6" t="str">
        <f>IFERROR(__xludf.DUMMYFUNCTION("""COMPUTED_VALUE"""),"6")</f>
        <v>6</v>
      </c>
      <c r="V5570" s="6" t="str">
        <f>IFERROR(__xludf.DUMMYFUNCTION("""COMPUTED_VALUE"""),"")</f>
        <v/>
      </c>
      <c r="W5570" s="6" t="str">
        <f>IFERROR(__xludf.DUMMYFUNCTION("""COMPUTED_VALUE"""),"[]")</f>
        <v>[]</v>
      </c>
      <c r="X5570" s="6" t="str">
        <f>IFERROR(__xludf.DUMMYFUNCTION("""COMPUTED_VALUE"""),"Enrolled")</f>
        <v>Enrolled</v>
      </c>
    </row>
    <row r="5571">
      <c r="A5571" s="6" t="str">
        <f>IFERROR(__xludf.DUMMYFUNCTION("""COMPUTED_VALUE"""),"087-12168")</f>
        <v>087-12168</v>
      </c>
      <c r="B5571" s="6" t="str">
        <f>IFERROR(__xludf.DUMMYFUNCTION("""COMPUTED_VALUE"""),"87")</f>
        <v>87</v>
      </c>
      <c r="C5571" s="6" t="str">
        <f>IFERROR(__xludf.DUMMYFUNCTION("""COMPUTED_VALUE"""),"12168")</f>
        <v>12168</v>
      </c>
      <c r="D5571" s="6" t="str">
        <f>IFERROR(__xludf.DUMMYFUNCTION("""COMPUTED_VALUE"""),"Darrell")</f>
        <v>Darrell</v>
      </c>
      <c r="E5571" s="6" t="str">
        <f>IFERROR(__xludf.DUMMYFUNCTION("""COMPUTED_VALUE"""),"")</f>
        <v/>
      </c>
      <c r="F5571" s="6" t="str">
        <f>IFERROR(__xludf.DUMMYFUNCTION("""COMPUTED_VALUE"""),"Bush")</f>
        <v>Bush</v>
      </c>
      <c r="G5571" s="6" t="str">
        <f>IFERROR(__xludf.DUMMYFUNCTION("""COMPUTED_VALUE"""),"12/27/2012")</f>
        <v>12/27/2012</v>
      </c>
      <c r="H5571" s="6" t="str">
        <f>IFERROR(__xludf.DUMMYFUNCTION("""COMPUTED_VALUE"""),"male")</f>
        <v>male</v>
      </c>
      <c r="I5571" s="6" t="str">
        <f>IFERROR(__xludf.DUMMYFUNCTION("""COMPUTED_VALUE"""),"Middle School")</f>
        <v>Middle School</v>
      </c>
      <c r="J5571" s="6" t="str">
        <f>IFERROR(__xludf.DUMMYFUNCTION("""COMPUTED_VALUE"""),"7")</f>
        <v>7</v>
      </c>
      <c r="K5571" s="6" t="str">
        <f>IFERROR(__xludf.DUMMYFUNCTION("""COMPUTED_VALUE"""),"darrell.bush@2hourlearning.com")</f>
        <v>darrell.bush@2hourlearning.com</v>
      </c>
      <c r="L5571" s="6" t="str">
        <f>IFERROR(__xludf.DUMMYFUNCTION("""COMPUTED_VALUE"""),"JRHS - Ridgeland Secondary Academy of Excellence")</f>
        <v>JRHS - Ridgeland Secondary Academy of Excellence</v>
      </c>
      <c r="M5571" s="6" t="str">
        <f>IFERROR(__xludf.DUMMYFUNCTION("""COMPUTED_VALUE"""),"")</f>
        <v/>
      </c>
      <c r="N5571" s="6" t="str">
        <f>IFERROR(__xludf.DUMMYFUNCTION("""COMPUTED_VALUE"""),"")</f>
        <v/>
      </c>
      <c r="O5571" s="87" t="str">
        <f>IFERROR(__xludf.DUMMYFUNCTION("""COMPUTED_VALUE"""),"https://drive.google.com/drive/folders/10T2cTQHqEJZqE-st6uFKPoI?usp=share_link")</f>
        <v>https://drive.google.com/drive/folders/10T2cTQHqEJZqE-st6uFKPoI?usp=share_link</v>
      </c>
      <c r="P5571" s="6" t="str">
        <f>IFERROR(__xludf.DUMMYFUNCTION("""COMPUTED_VALUE"""),"Darrell Bush")</f>
        <v>Darrell Bush</v>
      </c>
      <c r="Q5571" s="6" t="str">
        <f>IFERROR(__xludf.DUMMYFUNCTION("""COMPUTED_VALUE"""),"MS")</f>
        <v>MS</v>
      </c>
      <c r="R5571" s="6">
        <f>IFERROR(__xludf.DUMMYFUNCTION("""COMPUTED_VALUE"""),0.0)</f>
        <v>0</v>
      </c>
      <c r="S5571" s="6" t="str">
        <f>IFERROR(__xludf.DUMMYFUNCTION("""COMPUTED_VALUE"""),"Kimberly Ball")</f>
        <v>Kimberly Ball</v>
      </c>
      <c r="T5571" s="6" t="str">
        <f>IFERROR(__xludf.DUMMYFUNCTION("""COMPUTED_VALUE"""),"kimberly.ball@studient.com")</f>
        <v>kimberly.ball@studient.com</v>
      </c>
      <c r="U5571" s="6" t="str">
        <f>IFERROR(__xludf.DUMMYFUNCTION("""COMPUTED_VALUE"""),"7")</f>
        <v>7</v>
      </c>
      <c r="V5571" s="6" t="str">
        <f>IFERROR(__xludf.DUMMYFUNCTION("""COMPUTED_VALUE"""),"")</f>
        <v/>
      </c>
      <c r="W5571" s="6" t="str">
        <f>IFERROR(__xludf.DUMMYFUNCTION("""COMPUTED_VALUE"""),"[]")</f>
        <v>[]</v>
      </c>
      <c r="X5571" s="6" t="str">
        <f>IFERROR(__xludf.DUMMYFUNCTION("""COMPUTED_VALUE"""),"Enrolled")</f>
        <v>Enrolled</v>
      </c>
    </row>
    <row r="5572">
      <c r="A5572" s="6" t="str">
        <f>IFERROR(__xludf.DUMMYFUNCTION("""COMPUTED_VALUE"""),"087-12169")</f>
        <v>087-12169</v>
      </c>
      <c r="B5572" s="6" t="str">
        <f>IFERROR(__xludf.DUMMYFUNCTION("""COMPUTED_VALUE"""),"87")</f>
        <v>87</v>
      </c>
      <c r="C5572" s="6" t="str">
        <f>IFERROR(__xludf.DUMMYFUNCTION("""COMPUTED_VALUE"""),"12169")</f>
        <v>12169</v>
      </c>
      <c r="D5572" s="6" t="str">
        <f>IFERROR(__xludf.DUMMYFUNCTION("""COMPUTED_VALUE"""),"Axel")</f>
        <v>Axel</v>
      </c>
      <c r="E5572" s="6" t="str">
        <f>IFERROR(__xludf.DUMMYFUNCTION("""COMPUTED_VALUE"""),"")</f>
        <v/>
      </c>
      <c r="F5572" s="6" t="str">
        <f>IFERROR(__xludf.DUMMYFUNCTION("""COMPUTED_VALUE"""),"Calderon Bartolon")</f>
        <v>Calderon Bartolon</v>
      </c>
      <c r="G5572" s="6" t="str">
        <f>IFERROR(__xludf.DUMMYFUNCTION("""COMPUTED_VALUE"""),"03/18/2012")</f>
        <v>03/18/2012</v>
      </c>
      <c r="H5572" s="6" t="str">
        <f>IFERROR(__xludf.DUMMYFUNCTION("""COMPUTED_VALUE"""),"male")</f>
        <v>male</v>
      </c>
      <c r="I5572" s="6" t="str">
        <f>IFERROR(__xludf.DUMMYFUNCTION("""COMPUTED_VALUE"""),"Middle School")</f>
        <v>Middle School</v>
      </c>
      <c r="J5572" s="6" t="str">
        <f>IFERROR(__xludf.DUMMYFUNCTION("""COMPUTED_VALUE"""),"8")</f>
        <v>8</v>
      </c>
      <c r="K5572" s="6" t="str">
        <f>IFERROR(__xludf.DUMMYFUNCTION("""COMPUTED_VALUE"""),"axel.calderonbartolon@2hourlearning.com")</f>
        <v>axel.calderonbartolon@2hourlearning.com</v>
      </c>
      <c r="L5572" s="6" t="str">
        <f>IFERROR(__xludf.DUMMYFUNCTION("""COMPUTED_VALUE"""),"JRHS - Ridgeland Secondary Academy of Excellence")</f>
        <v>JRHS - Ridgeland Secondary Academy of Excellence</v>
      </c>
      <c r="M5572" s="6" t="str">
        <f>IFERROR(__xludf.DUMMYFUNCTION("""COMPUTED_VALUE"""),"")</f>
        <v/>
      </c>
      <c r="N5572" s="6" t="str">
        <f>IFERROR(__xludf.DUMMYFUNCTION("""COMPUTED_VALUE"""),"")</f>
        <v/>
      </c>
      <c r="O5572" s="87" t="str">
        <f>IFERROR(__xludf.DUMMYFUNCTION("""COMPUTED_VALUE"""),"https://drive.google.com/drive/folders/10T2cTQHqEJZqE-st6uFKPoI?usp=share_link")</f>
        <v>https://drive.google.com/drive/folders/10T2cTQHqEJZqE-st6uFKPoI?usp=share_link</v>
      </c>
      <c r="P5572" s="6" t="str">
        <f>IFERROR(__xludf.DUMMYFUNCTION("""COMPUTED_VALUE"""),"Axel Calderon Bartolon")</f>
        <v>Axel Calderon Bartolon</v>
      </c>
      <c r="Q5572" s="6" t="str">
        <f>IFERROR(__xludf.DUMMYFUNCTION("""COMPUTED_VALUE"""),"MS")</f>
        <v>MS</v>
      </c>
      <c r="R5572" s="6">
        <f>IFERROR(__xludf.DUMMYFUNCTION("""COMPUTED_VALUE"""),0.0)</f>
        <v>0</v>
      </c>
      <c r="S5572" s="6" t="str">
        <f>IFERROR(__xludf.DUMMYFUNCTION("""COMPUTED_VALUE"""),"Kimberly Ball")</f>
        <v>Kimberly Ball</v>
      </c>
      <c r="T5572" s="6" t="str">
        <f>IFERROR(__xludf.DUMMYFUNCTION("""COMPUTED_VALUE"""),"kimberly.ball@studient.com")</f>
        <v>kimberly.ball@studient.com</v>
      </c>
      <c r="U5572" s="6" t="str">
        <f>IFERROR(__xludf.DUMMYFUNCTION("""COMPUTED_VALUE"""),"8")</f>
        <v>8</v>
      </c>
      <c r="V5572" s="6" t="str">
        <f>IFERROR(__xludf.DUMMYFUNCTION("""COMPUTED_VALUE"""),"")</f>
        <v/>
      </c>
      <c r="W5572" s="6" t="str">
        <f>IFERROR(__xludf.DUMMYFUNCTION("""COMPUTED_VALUE"""),"[]")</f>
        <v>[]</v>
      </c>
      <c r="X5572" s="6" t="str">
        <f>IFERROR(__xludf.DUMMYFUNCTION("""COMPUTED_VALUE"""),"Enrolled")</f>
        <v>Enrolled</v>
      </c>
    </row>
    <row r="5573">
      <c r="A5573" s="6" t="str">
        <f>IFERROR(__xludf.DUMMYFUNCTION("""COMPUTED_VALUE"""),"087-12170")</f>
        <v>087-12170</v>
      </c>
      <c r="B5573" s="6" t="str">
        <f>IFERROR(__xludf.DUMMYFUNCTION("""COMPUTED_VALUE"""),"87")</f>
        <v>87</v>
      </c>
      <c r="C5573" s="6" t="str">
        <f>IFERROR(__xludf.DUMMYFUNCTION("""COMPUTED_VALUE"""),"12170")</f>
        <v>12170</v>
      </c>
      <c r="D5573" s="6" t="str">
        <f>IFERROR(__xludf.DUMMYFUNCTION("""COMPUTED_VALUE"""),"Iker")</f>
        <v>Iker</v>
      </c>
      <c r="E5573" s="6" t="str">
        <f>IFERROR(__xludf.DUMMYFUNCTION("""COMPUTED_VALUE"""),"")</f>
        <v/>
      </c>
      <c r="F5573" s="6" t="str">
        <f>IFERROR(__xludf.DUMMYFUNCTION("""COMPUTED_VALUE"""),"Calderon Bartolon")</f>
        <v>Calderon Bartolon</v>
      </c>
      <c r="G5573" s="6" t="str">
        <f>IFERROR(__xludf.DUMMYFUNCTION("""COMPUTED_VALUE"""),"11/15/2013")</f>
        <v>11/15/2013</v>
      </c>
      <c r="H5573" s="6" t="str">
        <f>IFERROR(__xludf.DUMMYFUNCTION("""COMPUTED_VALUE"""),"male")</f>
        <v>male</v>
      </c>
      <c r="I5573" s="6" t="str">
        <f>IFERROR(__xludf.DUMMYFUNCTION("""COMPUTED_VALUE"""),"Middle School")</f>
        <v>Middle School</v>
      </c>
      <c r="J5573" s="6" t="str">
        <f>IFERROR(__xludf.DUMMYFUNCTION("""COMPUTED_VALUE"""),"6")</f>
        <v>6</v>
      </c>
      <c r="K5573" s="6" t="str">
        <f>IFERROR(__xludf.DUMMYFUNCTION("""COMPUTED_VALUE"""),"iker.calderonbartolon@2hourlearning.com")</f>
        <v>iker.calderonbartolon@2hourlearning.com</v>
      </c>
      <c r="L5573" s="6" t="str">
        <f>IFERROR(__xludf.DUMMYFUNCTION("""COMPUTED_VALUE"""),"JRHS - Ridgeland Secondary Academy of Excellence")</f>
        <v>JRHS - Ridgeland Secondary Academy of Excellence</v>
      </c>
      <c r="M5573" s="6" t="str">
        <f>IFERROR(__xludf.DUMMYFUNCTION("""COMPUTED_VALUE"""),"")</f>
        <v/>
      </c>
      <c r="N5573" s="6" t="str">
        <f>IFERROR(__xludf.DUMMYFUNCTION("""COMPUTED_VALUE"""),"")</f>
        <v/>
      </c>
      <c r="O5573" s="87" t="str">
        <f>IFERROR(__xludf.DUMMYFUNCTION("""COMPUTED_VALUE"""),"https://drive.google.com/drive/folders/10T2cTQHqEJZqE-st6uFKPoI?usp=share_link")</f>
        <v>https://drive.google.com/drive/folders/10T2cTQHqEJZqE-st6uFKPoI?usp=share_link</v>
      </c>
      <c r="P5573" s="6" t="str">
        <f>IFERROR(__xludf.DUMMYFUNCTION("""COMPUTED_VALUE"""),"Iker Calderon Bartolon")</f>
        <v>Iker Calderon Bartolon</v>
      </c>
      <c r="Q5573" s="6" t="str">
        <f>IFERROR(__xludf.DUMMYFUNCTION("""COMPUTED_VALUE"""),"MS")</f>
        <v>MS</v>
      </c>
      <c r="R5573" s="6">
        <f>IFERROR(__xludf.DUMMYFUNCTION("""COMPUTED_VALUE"""),0.0)</f>
        <v>0</v>
      </c>
      <c r="S5573" s="6" t="str">
        <f>IFERROR(__xludf.DUMMYFUNCTION("""COMPUTED_VALUE"""),"Kimberly Ball")</f>
        <v>Kimberly Ball</v>
      </c>
      <c r="T5573" s="6" t="str">
        <f>IFERROR(__xludf.DUMMYFUNCTION("""COMPUTED_VALUE"""),"kimberly.ball@studient.com")</f>
        <v>kimberly.ball@studient.com</v>
      </c>
      <c r="U5573" s="6" t="str">
        <f>IFERROR(__xludf.DUMMYFUNCTION("""COMPUTED_VALUE"""),"6")</f>
        <v>6</v>
      </c>
      <c r="V5573" s="6" t="str">
        <f>IFERROR(__xludf.DUMMYFUNCTION("""COMPUTED_VALUE"""),"")</f>
        <v/>
      </c>
      <c r="W5573" s="6" t="str">
        <f>IFERROR(__xludf.DUMMYFUNCTION("""COMPUTED_VALUE"""),"[]")</f>
        <v>[]</v>
      </c>
      <c r="X5573" s="6" t="str">
        <f>IFERROR(__xludf.DUMMYFUNCTION("""COMPUTED_VALUE"""),"Enrolled")</f>
        <v>Enrolled</v>
      </c>
    </row>
    <row r="5574">
      <c r="A5574" s="6" t="str">
        <f>IFERROR(__xludf.DUMMYFUNCTION("""COMPUTED_VALUE"""),"087-12171")</f>
        <v>087-12171</v>
      </c>
      <c r="B5574" s="6" t="str">
        <f>IFERROR(__xludf.DUMMYFUNCTION("""COMPUTED_VALUE"""),"87")</f>
        <v>87</v>
      </c>
      <c r="C5574" s="6" t="str">
        <f>IFERROR(__xludf.DUMMYFUNCTION("""COMPUTED_VALUE"""),"12171")</f>
        <v>12171</v>
      </c>
      <c r="D5574" s="6" t="str">
        <f>IFERROR(__xludf.DUMMYFUNCTION("""COMPUTED_VALUE"""),"Emily")</f>
        <v>Emily</v>
      </c>
      <c r="E5574" s="6" t="str">
        <f>IFERROR(__xludf.DUMMYFUNCTION("""COMPUTED_VALUE"""),"")</f>
        <v/>
      </c>
      <c r="F5574" s="6" t="str">
        <f>IFERROR(__xludf.DUMMYFUNCTION("""COMPUTED_VALUE"""),"Campos Mejia")</f>
        <v>Campos Mejia</v>
      </c>
      <c r="G5574" s="6" t="str">
        <f>IFERROR(__xludf.DUMMYFUNCTION("""COMPUTED_VALUE"""),"05/15/2013")</f>
        <v>05/15/2013</v>
      </c>
      <c r="H5574" s="6" t="str">
        <f>IFERROR(__xludf.DUMMYFUNCTION("""COMPUTED_VALUE"""),"female")</f>
        <v>female</v>
      </c>
      <c r="I5574" s="6" t="str">
        <f>IFERROR(__xludf.DUMMYFUNCTION("""COMPUTED_VALUE"""),"Middle School")</f>
        <v>Middle School</v>
      </c>
      <c r="J5574" s="6" t="str">
        <f>IFERROR(__xludf.DUMMYFUNCTION("""COMPUTED_VALUE"""),"7")</f>
        <v>7</v>
      </c>
      <c r="K5574" s="6" t="str">
        <f>IFERROR(__xludf.DUMMYFUNCTION("""COMPUTED_VALUE"""),"emily.camposmejia@2hourlearning.com")</f>
        <v>emily.camposmejia@2hourlearning.com</v>
      </c>
      <c r="L5574" s="6" t="str">
        <f>IFERROR(__xludf.DUMMYFUNCTION("""COMPUTED_VALUE"""),"JRHS - Ridgeland Secondary Academy of Excellence")</f>
        <v>JRHS - Ridgeland Secondary Academy of Excellence</v>
      </c>
      <c r="M5574" s="6" t="str">
        <f>IFERROR(__xludf.DUMMYFUNCTION("""COMPUTED_VALUE"""),"")</f>
        <v/>
      </c>
      <c r="N5574" s="6" t="str">
        <f>IFERROR(__xludf.DUMMYFUNCTION("""COMPUTED_VALUE"""),"")</f>
        <v/>
      </c>
      <c r="O5574" s="87" t="str">
        <f>IFERROR(__xludf.DUMMYFUNCTION("""COMPUTED_VALUE"""),"https://drive.google.com/drive/folders/10T2cTQHqEJZqE-st6uFKPoI?usp=share_link")</f>
        <v>https://drive.google.com/drive/folders/10T2cTQHqEJZqE-st6uFKPoI?usp=share_link</v>
      </c>
      <c r="P5574" s="6" t="str">
        <f>IFERROR(__xludf.DUMMYFUNCTION("""COMPUTED_VALUE"""),"Emily Campos Mejia")</f>
        <v>Emily Campos Mejia</v>
      </c>
      <c r="Q5574" s="6" t="str">
        <f>IFERROR(__xludf.DUMMYFUNCTION("""COMPUTED_VALUE"""),"MS")</f>
        <v>MS</v>
      </c>
      <c r="R5574" s="6">
        <f>IFERROR(__xludf.DUMMYFUNCTION("""COMPUTED_VALUE"""),0.0)</f>
        <v>0</v>
      </c>
      <c r="S5574" s="6" t="str">
        <f>IFERROR(__xludf.DUMMYFUNCTION("""COMPUTED_VALUE"""),"Kimberly Ball")</f>
        <v>Kimberly Ball</v>
      </c>
      <c r="T5574" s="6" t="str">
        <f>IFERROR(__xludf.DUMMYFUNCTION("""COMPUTED_VALUE"""),"kimberly.ball@studient.com")</f>
        <v>kimberly.ball@studient.com</v>
      </c>
      <c r="U5574" s="6" t="str">
        <f>IFERROR(__xludf.DUMMYFUNCTION("""COMPUTED_VALUE"""),"7")</f>
        <v>7</v>
      </c>
      <c r="V5574" s="6" t="str">
        <f>IFERROR(__xludf.DUMMYFUNCTION("""COMPUTED_VALUE"""),"")</f>
        <v/>
      </c>
      <c r="W5574" s="6" t="str">
        <f>IFERROR(__xludf.DUMMYFUNCTION("""COMPUTED_VALUE"""),"[]")</f>
        <v>[]</v>
      </c>
      <c r="X5574" s="6" t="str">
        <f>IFERROR(__xludf.DUMMYFUNCTION("""COMPUTED_VALUE"""),"Enrolled")</f>
        <v>Enrolled</v>
      </c>
    </row>
    <row r="5575">
      <c r="A5575" s="6" t="str">
        <f>IFERROR(__xludf.DUMMYFUNCTION("""COMPUTED_VALUE"""),"087-12172")</f>
        <v>087-12172</v>
      </c>
      <c r="B5575" s="6" t="str">
        <f>IFERROR(__xludf.DUMMYFUNCTION("""COMPUTED_VALUE"""),"87")</f>
        <v>87</v>
      </c>
      <c r="C5575" s="6" t="str">
        <f>IFERROR(__xludf.DUMMYFUNCTION("""COMPUTED_VALUE"""),"12172")</f>
        <v>12172</v>
      </c>
      <c r="D5575" s="6" t="str">
        <f>IFERROR(__xludf.DUMMYFUNCTION("""COMPUTED_VALUE"""),"Sinthia")</f>
        <v>Sinthia</v>
      </c>
      <c r="E5575" s="6" t="str">
        <f>IFERROR(__xludf.DUMMYFUNCTION("""COMPUTED_VALUE"""),"")</f>
        <v/>
      </c>
      <c r="F5575" s="6" t="str">
        <f>IFERROR(__xludf.DUMMYFUNCTION("""COMPUTED_VALUE"""),"Candelario Bruno")</f>
        <v>Candelario Bruno</v>
      </c>
      <c r="G5575" s="6" t="str">
        <f>IFERROR(__xludf.DUMMYFUNCTION("""COMPUTED_VALUE"""),"07/10/2012")</f>
        <v>07/10/2012</v>
      </c>
      <c r="H5575" s="6" t="str">
        <f>IFERROR(__xludf.DUMMYFUNCTION("""COMPUTED_VALUE"""),"female")</f>
        <v>female</v>
      </c>
      <c r="I5575" s="6" t="str">
        <f>IFERROR(__xludf.DUMMYFUNCTION("""COMPUTED_VALUE"""),"Middle School")</f>
        <v>Middle School</v>
      </c>
      <c r="J5575" s="6" t="str">
        <f>IFERROR(__xludf.DUMMYFUNCTION("""COMPUTED_VALUE"""),"8")</f>
        <v>8</v>
      </c>
      <c r="K5575" s="6" t="str">
        <f>IFERROR(__xludf.DUMMYFUNCTION("""COMPUTED_VALUE"""),"sinthia.candelariobruno@2hourlearning.com")</f>
        <v>sinthia.candelariobruno@2hourlearning.com</v>
      </c>
      <c r="L5575" s="6" t="str">
        <f>IFERROR(__xludf.DUMMYFUNCTION("""COMPUTED_VALUE"""),"JRHS - Ridgeland Secondary Academy of Excellence")</f>
        <v>JRHS - Ridgeland Secondary Academy of Excellence</v>
      </c>
      <c r="M5575" s="6" t="str">
        <f>IFERROR(__xludf.DUMMYFUNCTION("""COMPUTED_VALUE"""),"")</f>
        <v/>
      </c>
      <c r="N5575" s="6" t="str">
        <f>IFERROR(__xludf.DUMMYFUNCTION("""COMPUTED_VALUE"""),"")</f>
        <v/>
      </c>
      <c r="O5575" s="87" t="str">
        <f>IFERROR(__xludf.DUMMYFUNCTION("""COMPUTED_VALUE"""),"https://drive.google.com/drive/folders/10T2cTQHqEJZqE-st6uFKPoI?usp=share_link")</f>
        <v>https://drive.google.com/drive/folders/10T2cTQHqEJZqE-st6uFKPoI?usp=share_link</v>
      </c>
      <c r="P5575" s="6" t="str">
        <f>IFERROR(__xludf.DUMMYFUNCTION("""COMPUTED_VALUE"""),"Sinthia Candelario Bruno")</f>
        <v>Sinthia Candelario Bruno</v>
      </c>
      <c r="Q5575" s="6" t="str">
        <f>IFERROR(__xludf.DUMMYFUNCTION("""COMPUTED_VALUE"""),"MS")</f>
        <v>MS</v>
      </c>
      <c r="R5575" s="6">
        <f>IFERROR(__xludf.DUMMYFUNCTION("""COMPUTED_VALUE"""),0.0)</f>
        <v>0</v>
      </c>
      <c r="S5575" s="6" t="str">
        <f>IFERROR(__xludf.DUMMYFUNCTION("""COMPUTED_VALUE"""),"Kimberly Ball")</f>
        <v>Kimberly Ball</v>
      </c>
      <c r="T5575" s="6" t="str">
        <f>IFERROR(__xludf.DUMMYFUNCTION("""COMPUTED_VALUE"""),"kimberly.ball@studient.com")</f>
        <v>kimberly.ball@studient.com</v>
      </c>
      <c r="U5575" s="6" t="str">
        <f>IFERROR(__xludf.DUMMYFUNCTION("""COMPUTED_VALUE"""),"8")</f>
        <v>8</v>
      </c>
      <c r="V5575" s="6" t="str">
        <f>IFERROR(__xludf.DUMMYFUNCTION("""COMPUTED_VALUE"""),"")</f>
        <v/>
      </c>
      <c r="W5575" s="6" t="str">
        <f>IFERROR(__xludf.DUMMYFUNCTION("""COMPUTED_VALUE"""),"[]")</f>
        <v>[]</v>
      </c>
      <c r="X5575" s="6" t="str">
        <f>IFERROR(__xludf.DUMMYFUNCTION("""COMPUTED_VALUE"""),"Enrolled")</f>
        <v>Enrolled</v>
      </c>
    </row>
    <row r="5576">
      <c r="A5576" s="6" t="str">
        <f>IFERROR(__xludf.DUMMYFUNCTION("""COMPUTED_VALUE"""),"087-12173")</f>
        <v>087-12173</v>
      </c>
      <c r="B5576" s="6" t="str">
        <f>IFERROR(__xludf.DUMMYFUNCTION("""COMPUTED_VALUE"""),"87")</f>
        <v>87</v>
      </c>
      <c r="C5576" s="6" t="str">
        <f>IFERROR(__xludf.DUMMYFUNCTION("""COMPUTED_VALUE"""),"12173")</f>
        <v>12173</v>
      </c>
      <c r="D5576" s="6" t="str">
        <f>IFERROR(__xludf.DUMMYFUNCTION("""COMPUTED_VALUE"""),"Roberto")</f>
        <v>Roberto</v>
      </c>
      <c r="E5576" s="6" t="str">
        <f>IFERROR(__xludf.DUMMYFUNCTION("""COMPUTED_VALUE"""),"")</f>
        <v/>
      </c>
      <c r="F5576" s="6" t="str">
        <f>IFERROR(__xludf.DUMMYFUNCTION("""COMPUTED_VALUE"""),"Carbajal Gonzalez")</f>
        <v>Carbajal Gonzalez</v>
      </c>
      <c r="G5576" s="6" t="str">
        <f>IFERROR(__xludf.DUMMYFUNCTION("""COMPUTED_VALUE"""),"06/25/2013")</f>
        <v>06/25/2013</v>
      </c>
      <c r="H5576" s="6" t="str">
        <f>IFERROR(__xludf.DUMMYFUNCTION("""COMPUTED_VALUE"""),"male")</f>
        <v>male</v>
      </c>
      <c r="I5576" s="6" t="str">
        <f>IFERROR(__xludf.DUMMYFUNCTION("""COMPUTED_VALUE"""),"Middle School")</f>
        <v>Middle School</v>
      </c>
      <c r="J5576" s="6" t="str">
        <f>IFERROR(__xludf.DUMMYFUNCTION("""COMPUTED_VALUE"""),"7")</f>
        <v>7</v>
      </c>
      <c r="K5576" s="6" t="str">
        <f>IFERROR(__xludf.DUMMYFUNCTION("""COMPUTED_VALUE"""),"roberto.carbajalgonzalez@2hourlearning.com")</f>
        <v>roberto.carbajalgonzalez@2hourlearning.com</v>
      </c>
      <c r="L5576" s="6" t="str">
        <f>IFERROR(__xludf.DUMMYFUNCTION("""COMPUTED_VALUE"""),"JRHS - Ridgeland Secondary Academy of Excellence")</f>
        <v>JRHS - Ridgeland Secondary Academy of Excellence</v>
      </c>
      <c r="M5576" s="6" t="str">
        <f>IFERROR(__xludf.DUMMYFUNCTION("""COMPUTED_VALUE"""),"")</f>
        <v/>
      </c>
      <c r="N5576" s="6" t="str">
        <f>IFERROR(__xludf.DUMMYFUNCTION("""COMPUTED_VALUE"""),"")</f>
        <v/>
      </c>
      <c r="O5576" s="87" t="str">
        <f>IFERROR(__xludf.DUMMYFUNCTION("""COMPUTED_VALUE"""),"https://drive.google.com/drive/folders/10T2cTQHqEJZqE-st6uFKPoI?usp=share_link")</f>
        <v>https://drive.google.com/drive/folders/10T2cTQHqEJZqE-st6uFKPoI?usp=share_link</v>
      </c>
      <c r="P5576" s="6" t="str">
        <f>IFERROR(__xludf.DUMMYFUNCTION("""COMPUTED_VALUE"""),"Roberto Carbajal Gonzalez")</f>
        <v>Roberto Carbajal Gonzalez</v>
      </c>
      <c r="Q5576" s="6" t="str">
        <f>IFERROR(__xludf.DUMMYFUNCTION("""COMPUTED_VALUE"""),"MS")</f>
        <v>MS</v>
      </c>
      <c r="R5576" s="6">
        <f>IFERROR(__xludf.DUMMYFUNCTION("""COMPUTED_VALUE"""),0.0)</f>
        <v>0</v>
      </c>
      <c r="S5576" s="6" t="str">
        <f>IFERROR(__xludf.DUMMYFUNCTION("""COMPUTED_VALUE"""),"Kimberly Ball")</f>
        <v>Kimberly Ball</v>
      </c>
      <c r="T5576" s="6" t="str">
        <f>IFERROR(__xludf.DUMMYFUNCTION("""COMPUTED_VALUE"""),"kimberly.ball@studient.com")</f>
        <v>kimberly.ball@studient.com</v>
      </c>
      <c r="U5576" s="6" t="str">
        <f>IFERROR(__xludf.DUMMYFUNCTION("""COMPUTED_VALUE"""),"7")</f>
        <v>7</v>
      </c>
      <c r="V5576" s="6" t="str">
        <f>IFERROR(__xludf.DUMMYFUNCTION("""COMPUTED_VALUE"""),"")</f>
        <v/>
      </c>
      <c r="W5576" s="6" t="str">
        <f>IFERROR(__xludf.DUMMYFUNCTION("""COMPUTED_VALUE"""),"[]")</f>
        <v>[]</v>
      </c>
      <c r="X5576" s="6" t="str">
        <f>IFERROR(__xludf.DUMMYFUNCTION("""COMPUTED_VALUE"""),"Enrolled")</f>
        <v>Enrolled</v>
      </c>
    </row>
    <row r="5577">
      <c r="A5577" s="6" t="str">
        <f>IFERROR(__xludf.DUMMYFUNCTION("""COMPUTED_VALUE"""),"087-12174")</f>
        <v>087-12174</v>
      </c>
      <c r="B5577" s="6" t="str">
        <f>IFERROR(__xludf.DUMMYFUNCTION("""COMPUTED_VALUE"""),"87")</f>
        <v>87</v>
      </c>
      <c r="C5577" s="6" t="str">
        <f>IFERROR(__xludf.DUMMYFUNCTION("""COMPUTED_VALUE"""),"12174")</f>
        <v>12174</v>
      </c>
      <c r="D5577" s="6" t="str">
        <f>IFERROR(__xludf.DUMMYFUNCTION("""COMPUTED_VALUE"""),"Irvin")</f>
        <v>Irvin</v>
      </c>
      <c r="E5577" s="6" t="str">
        <f>IFERROR(__xludf.DUMMYFUNCTION("""COMPUTED_VALUE"""),"")</f>
        <v/>
      </c>
      <c r="F5577" s="6" t="str">
        <f>IFERROR(__xludf.DUMMYFUNCTION("""COMPUTED_VALUE"""),"Carbajal Nunez")</f>
        <v>Carbajal Nunez</v>
      </c>
      <c r="G5577" s="6" t="str">
        <f>IFERROR(__xludf.DUMMYFUNCTION("""COMPUTED_VALUE"""),"06/27/2014")</f>
        <v>06/27/2014</v>
      </c>
      <c r="H5577" s="6" t="str">
        <f>IFERROR(__xludf.DUMMYFUNCTION("""COMPUTED_VALUE"""),"male")</f>
        <v>male</v>
      </c>
      <c r="I5577" s="6" t="str">
        <f>IFERROR(__xludf.DUMMYFUNCTION("""COMPUTED_VALUE"""),"Middle School")</f>
        <v>Middle School</v>
      </c>
      <c r="J5577" s="6" t="str">
        <f>IFERROR(__xludf.DUMMYFUNCTION("""COMPUTED_VALUE"""),"6")</f>
        <v>6</v>
      </c>
      <c r="K5577" s="6" t="str">
        <f>IFERROR(__xludf.DUMMYFUNCTION("""COMPUTED_VALUE"""),"irvin.carbajalnunez@2hourlearning.com")</f>
        <v>irvin.carbajalnunez@2hourlearning.com</v>
      </c>
      <c r="L5577" s="6" t="str">
        <f>IFERROR(__xludf.DUMMYFUNCTION("""COMPUTED_VALUE"""),"JRHS - Ridgeland Secondary Academy of Excellence")</f>
        <v>JRHS - Ridgeland Secondary Academy of Excellence</v>
      </c>
      <c r="M5577" s="6" t="str">
        <f>IFERROR(__xludf.DUMMYFUNCTION("""COMPUTED_VALUE"""),"")</f>
        <v/>
      </c>
      <c r="N5577" s="6" t="str">
        <f>IFERROR(__xludf.DUMMYFUNCTION("""COMPUTED_VALUE"""),"")</f>
        <v/>
      </c>
      <c r="O5577" s="87" t="str">
        <f>IFERROR(__xludf.DUMMYFUNCTION("""COMPUTED_VALUE"""),"https://drive.google.com/drive/folders/10T2cTQHqEJZqE-st6uFKPoI?usp=share_link")</f>
        <v>https://drive.google.com/drive/folders/10T2cTQHqEJZqE-st6uFKPoI?usp=share_link</v>
      </c>
      <c r="P5577" s="6" t="str">
        <f>IFERROR(__xludf.DUMMYFUNCTION("""COMPUTED_VALUE"""),"Irvin Carbajal Nunez")</f>
        <v>Irvin Carbajal Nunez</v>
      </c>
      <c r="Q5577" s="6" t="str">
        <f>IFERROR(__xludf.DUMMYFUNCTION("""COMPUTED_VALUE"""),"MS")</f>
        <v>MS</v>
      </c>
      <c r="R5577" s="6">
        <f>IFERROR(__xludf.DUMMYFUNCTION("""COMPUTED_VALUE"""),0.0)</f>
        <v>0</v>
      </c>
      <c r="S5577" s="6" t="str">
        <f>IFERROR(__xludf.DUMMYFUNCTION("""COMPUTED_VALUE"""),"Kimberly Ball")</f>
        <v>Kimberly Ball</v>
      </c>
      <c r="T5577" s="6" t="str">
        <f>IFERROR(__xludf.DUMMYFUNCTION("""COMPUTED_VALUE"""),"kimberly.ball@studient.com")</f>
        <v>kimberly.ball@studient.com</v>
      </c>
      <c r="U5577" s="6" t="str">
        <f>IFERROR(__xludf.DUMMYFUNCTION("""COMPUTED_VALUE"""),"6")</f>
        <v>6</v>
      </c>
      <c r="V5577" s="6" t="str">
        <f>IFERROR(__xludf.DUMMYFUNCTION("""COMPUTED_VALUE"""),"")</f>
        <v/>
      </c>
      <c r="W5577" s="6" t="str">
        <f>IFERROR(__xludf.DUMMYFUNCTION("""COMPUTED_VALUE"""),"[]")</f>
        <v>[]</v>
      </c>
      <c r="X5577" s="6" t="str">
        <f>IFERROR(__xludf.DUMMYFUNCTION("""COMPUTED_VALUE"""),"Enrolled")</f>
        <v>Enrolled</v>
      </c>
    </row>
    <row r="5578">
      <c r="A5578" s="6" t="str">
        <f>IFERROR(__xludf.DUMMYFUNCTION("""COMPUTED_VALUE"""),"087-12175")</f>
        <v>087-12175</v>
      </c>
      <c r="B5578" s="6" t="str">
        <f>IFERROR(__xludf.DUMMYFUNCTION("""COMPUTED_VALUE"""),"87")</f>
        <v>87</v>
      </c>
      <c r="C5578" s="6" t="str">
        <f>IFERROR(__xludf.DUMMYFUNCTION("""COMPUTED_VALUE"""),"12175")</f>
        <v>12175</v>
      </c>
      <c r="D5578" s="6" t="str">
        <f>IFERROR(__xludf.DUMMYFUNCTION("""COMPUTED_VALUE"""),"Sandra")</f>
        <v>Sandra</v>
      </c>
      <c r="E5578" s="6" t="str">
        <f>IFERROR(__xludf.DUMMYFUNCTION("""COMPUTED_VALUE"""),"")</f>
        <v/>
      </c>
      <c r="F5578" s="6" t="str">
        <f>IFERROR(__xludf.DUMMYFUNCTION("""COMPUTED_VALUE"""),"Carvajal Romero")</f>
        <v>Carvajal Romero</v>
      </c>
      <c r="G5578" s="6" t="str">
        <f>IFERROR(__xludf.DUMMYFUNCTION("""COMPUTED_VALUE"""),"06/28/2012")</f>
        <v>06/28/2012</v>
      </c>
      <c r="H5578" s="6" t="str">
        <f>IFERROR(__xludf.DUMMYFUNCTION("""COMPUTED_VALUE"""),"female")</f>
        <v>female</v>
      </c>
      <c r="I5578" s="6" t="str">
        <f>IFERROR(__xludf.DUMMYFUNCTION("""COMPUTED_VALUE"""),"Middle School")</f>
        <v>Middle School</v>
      </c>
      <c r="J5578" s="6" t="str">
        <f>IFERROR(__xludf.DUMMYFUNCTION("""COMPUTED_VALUE"""),"8")</f>
        <v>8</v>
      </c>
      <c r="K5578" s="6" t="str">
        <f>IFERROR(__xludf.DUMMYFUNCTION("""COMPUTED_VALUE"""),"sandra.carvajalromero@2hourlearning.com")</f>
        <v>sandra.carvajalromero@2hourlearning.com</v>
      </c>
      <c r="L5578" s="6" t="str">
        <f>IFERROR(__xludf.DUMMYFUNCTION("""COMPUTED_VALUE"""),"JRHS - Ridgeland Secondary Academy of Excellence")</f>
        <v>JRHS - Ridgeland Secondary Academy of Excellence</v>
      </c>
      <c r="M5578" s="6" t="str">
        <f>IFERROR(__xludf.DUMMYFUNCTION("""COMPUTED_VALUE"""),"")</f>
        <v/>
      </c>
      <c r="N5578" s="6" t="str">
        <f>IFERROR(__xludf.DUMMYFUNCTION("""COMPUTED_VALUE"""),"")</f>
        <v/>
      </c>
      <c r="O5578" s="87" t="str">
        <f>IFERROR(__xludf.DUMMYFUNCTION("""COMPUTED_VALUE"""),"https://drive.google.com/drive/folders/10T2cTQHqEJZqE-st6uFKPoI?usp=share_link")</f>
        <v>https://drive.google.com/drive/folders/10T2cTQHqEJZqE-st6uFKPoI?usp=share_link</v>
      </c>
      <c r="P5578" s="6" t="str">
        <f>IFERROR(__xludf.DUMMYFUNCTION("""COMPUTED_VALUE"""),"Sandra Carvajal Romero")</f>
        <v>Sandra Carvajal Romero</v>
      </c>
      <c r="Q5578" s="6" t="str">
        <f>IFERROR(__xludf.DUMMYFUNCTION("""COMPUTED_VALUE"""),"MS")</f>
        <v>MS</v>
      </c>
      <c r="R5578" s="6">
        <f>IFERROR(__xludf.DUMMYFUNCTION("""COMPUTED_VALUE"""),0.0)</f>
        <v>0</v>
      </c>
      <c r="S5578" s="6" t="str">
        <f>IFERROR(__xludf.DUMMYFUNCTION("""COMPUTED_VALUE"""),"Kimberly Ball")</f>
        <v>Kimberly Ball</v>
      </c>
      <c r="T5578" s="6" t="str">
        <f>IFERROR(__xludf.DUMMYFUNCTION("""COMPUTED_VALUE"""),"kimberly.ball@studient.com")</f>
        <v>kimberly.ball@studient.com</v>
      </c>
      <c r="U5578" s="6" t="str">
        <f>IFERROR(__xludf.DUMMYFUNCTION("""COMPUTED_VALUE"""),"8")</f>
        <v>8</v>
      </c>
      <c r="V5578" s="6" t="str">
        <f>IFERROR(__xludf.DUMMYFUNCTION("""COMPUTED_VALUE"""),"")</f>
        <v/>
      </c>
      <c r="W5578" s="6" t="str">
        <f>IFERROR(__xludf.DUMMYFUNCTION("""COMPUTED_VALUE"""),"[]")</f>
        <v>[]</v>
      </c>
      <c r="X5578" s="6" t="str">
        <f>IFERROR(__xludf.DUMMYFUNCTION("""COMPUTED_VALUE"""),"Enrolled")</f>
        <v>Enrolled</v>
      </c>
    </row>
    <row r="5579">
      <c r="A5579" s="6" t="str">
        <f>IFERROR(__xludf.DUMMYFUNCTION("""COMPUTED_VALUE"""),"087-12176")</f>
        <v>087-12176</v>
      </c>
      <c r="B5579" s="6" t="str">
        <f>IFERROR(__xludf.DUMMYFUNCTION("""COMPUTED_VALUE"""),"87")</f>
        <v>87</v>
      </c>
      <c r="C5579" s="6" t="str">
        <f>IFERROR(__xludf.DUMMYFUNCTION("""COMPUTED_VALUE"""),"12176")</f>
        <v>12176</v>
      </c>
      <c r="D5579" s="6" t="str">
        <f>IFERROR(__xludf.DUMMYFUNCTION("""COMPUTED_VALUE"""),"Axel")</f>
        <v>Axel</v>
      </c>
      <c r="E5579" s="6" t="str">
        <f>IFERROR(__xludf.DUMMYFUNCTION("""COMPUTED_VALUE"""),"")</f>
        <v/>
      </c>
      <c r="F5579" s="6" t="str">
        <f>IFERROR(__xludf.DUMMYFUNCTION("""COMPUTED_VALUE"""),"Catalan Moreno")</f>
        <v>Catalan Moreno</v>
      </c>
      <c r="G5579" s="6" t="str">
        <f>IFERROR(__xludf.DUMMYFUNCTION("""COMPUTED_VALUE"""),"03/25/2014")</f>
        <v>03/25/2014</v>
      </c>
      <c r="H5579" s="6" t="str">
        <f>IFERROR(__xludf.DUMMYFUNCTION("""COMPUTED_VALUE"""),"male")</f>
        <v>male</v>
      </c>
      <c r="I5579" s="6" t="str">
        <f>IFERROR(__xludf.DUMMYFUNCTION("""COMPUTED_VALUE"""),"Middle School")</f>
        <v>Middle School</v>
      </c>
      <c r="J5579" s="6" t="str">
        <f>IFERROR(__xludf.DUMMYFUNCTION("""COMPUTED_VALUE"""),"6")</f>
        <v>6</v>
      </c>
      <c r="K5579" s="6" t="str">
        <f>IFERROR(__xludf.DUMMYFUNCTION("""COMPUTED_VALUE"""),"axel.catalanmoreno@2hourlearning.com")</f>
        <v>axel.catalanmoreno@2hourlearning.com</v>
      </c>
      <c r="L5579" s="6" t="str">
        <f>IFERROR(__xludf.DUMMYFUNCTION("""COMPUTED_VALUE"""),"JRHS - Ridgeland Secondary Academy of Excellence")</f>
        <v>JRHS - Ridgeland Secondary Academy of Excellence</v>
      </c>
      <c r="M5579" s="6" t="str">
        <f>IFERROR(__xludf.DUMMYFUNCTION("""COMPUTED_VALUE"""),"")</f>
        <v/>
      </c>
      <c r="N5579" s="6" t="str">
        <f>IFERROR(__xludf.DUMMYFUNCTION("""COMPUTED_VALUE"""),"")</f>
        <v/>
      </c>
      <c r="O5579" s="87" t="str">
        <f>IFERROR(__xludf.DUMMYFUNCTION("""COMPUTED_VALUE"""),"https://drive.google.com/drive/folders/10T2cTQHqEJZqE-st6uFKPoI?usp=share_link")</f>
        <v>https://drive.google.com/drive/folders/10T2cTQHqEJZqE-st6uFKPoI?usp=share_link</v>
      </c>
      <c r="P5579" s="6" t="str">
        <f>IFERROR(__xludf.DUMMYFUNCTION("""COMPUTED_VALUE"""),"Axel Catalan Moreno")</f>
        <v>Axel Catalan Moreno</v>
      </c>
      <c r="Q5579" s="6" t="str">
        <f>IFERROR(__xludf.DUMMYFUNCTION("""COMPUTED_VALUE"""),"MS")</f>
        <v>MS</v>
      </c>
      <c r="R5579" s="6">
        <f>IFERROR(__xludf.DUMMYFUNCTION("""COMPUTED_VALUE"""),0.0)</f>
        <v>0</v>
      </c>
      <c r="S5579" s="6" t="str">
        <f>IFERROR(__xludf.DUMMYFUNCTION("""COMPUTED_VALUE"""),"Kimberly Ball")</f>
        <v>Kimberly Ball</v>
      </c>
      <c r="T5579" s="6" t="str">
        <f>IFERROR(__xludf.DUMMYFUNCTION("""COMPUTED_VALUE"""),"kimberly.ball@studient.com")</f>
        <v>kimberly.ball@studient.com</v>
      </c>
      <c r="U5579" s="6" t="str">
        <f>IFERROR(__xludf.DUMMYFUNCTION("""COMPUTED_VALUE"""),"6")</f>
        <v>6</v>
      </c>
      <c r="V5579" s="6" t="str">
        <f>IFERROR(__xludf.DUMMYFUNCTION("""COMPUTED_VALUE"""),"")</f>
        <v/>
      </c>
      <c r="W5579" s="6" t="str">
        <f>IFERROR(__xludf.DUMMYFUNCTION("""COMPUTED_VALUE"""),"[]")</f>
        <v>[]</v>
      </c>
      <c r="X5579" s="6" t="str">
        <f>IFERROR(__xludf.DUMMYFUNCTION("""COMPUTED_VALUE"""),"Enrolled")</f>
        <v>Enrolled</v>
      </c>
    </row>
    <row r="5580">
      <c r="A5580" s="6" t="str">
        <f>IFERROR(__xludf.DUMMYFUNCTION("""COMPUTED_VALUE"""),"087-12177")</f>
        <v>087-12177</v>
      </c>
      <c r="B5580" s="6" t="str">
        <f>IFERROR(__xludf.DUMMYFUNCTION("""COMPUTED_VALUE"""),"87")</f>
        <v>87</v>
      </c>
      <c r="C5580" s="6" t="str">
        <f>IFERROR(__xludf.DUMMYFUNCTION("""COMPUTED_VALUE"""),"12177")</f>
        <v>12177</v>
      </c>
      <c r="D5580" s="6" t="str">
        <f>IFERROR(__xludf.DUMMYFUNCTION("""COMPUTED_VALUE"""),"Lailah")</f>
        <v>Lailah</v>
      </c>
      <c r="E5580" s="6" t="str">
        <f>IFERROR(__xludf.DUMMYFUNCTION("""COMPUTED_VALUE"""),"")</f>
        <v/>
      </c>
      <c r="F5580" s="6" t="str">
        <f>IFERROR(__xludf.DUMMYFUNCTION("""COMPUTED_VALUE"""),"Chaneyfield")</f>
        <v>Chaneyfield</v>
      </c>
      <c r="G5580" s="6" t="str">
        <f>IFERROR(__xludf.DUMMYFUNCTION("""COMPUTED_VALUE"""),"10/15/2013")</f>
        <v>10/15/2013</v>
      </c>
      <c r="H5580" s="6" t="str">
        <f>IFERROR(__xludf.DUMMYFUNCTION("""COMPUTED_VALUE"""),"female")</f>
        <v>female</v>
      </c>
      <c r="I5580" s="6" t="str">
        <f>IFERROR(__xludf.DUMMYFUNCTION("""COMPUTED_VALUE"""),"Middle School")</f>
        <v>Middle School</v>
      </c>
      <c r="J5580" s="6" t="str">
        <f>IFERROR(__xludf.DUMMYFUNCTION("""COMPUTED_VALUE"""),"6")</f>
        <v>6</v>
      </c>
      <c r="K5580" s="6" t="str">
        <f>IFERROR(__xludf.DUMMYFUNCTION("""COMPUTED_VALUE"""),"lailah.chaneyfield@2hourlearning.com")</f>
        <v>lailah.chaneyfield@2hourlearning.com</v>
      </c>
      <c r="L5580" s="6" t="str">
        <f>IFERROR(__xludf.DUMMYFUNCTION("""COMPUTED_VALUE"""),"JRHS - Ridgeland Secondary Academy of Excellence")</f>
        <v>JRHS - Ridgeland Secondary Academy of Excellence</v>
      </c>
      <c r="M5580" s="6" t="str">
        <f>IFERROR(__xludf.DUMMYFUNCTION("""COMPUTED_VALUE"""),"")</f>
        <v/>
      </c>
      <c r="N5580" s="6" t="str">
        <f>IFERROR(__xludf.DUMMYFUNCTION("""COMPUTED_VALUE"""),"")</f>
        <v/>
      </c>
      <c r="O5580" s="87" t="str">
        <f>IFERROR(__xludf.DUMMYFUNCTION("""COMPUTED_VALUE"""),"https://drive.google.com/drive/folders/10T2cTQHqEJZqE-st6uFKPoI?usp=share_link")</f>
        <v>https://drive.google.com/drive/folders/10T2cTQHqEJZqE-st6uFKPoI?usp=share_link</v>
      </c>
      <c r="P5580" s="6" t="str">
        <f>IFERROR(__xludf.DUMMYFUNCTION("""COMPUTED_VALUE"""),"Lailah Chaneyfield")</f>
        <v>Lailah Chaneyfield</v>
      </c>
      <c r="Q5580" s="6" t="str">
        <f>IFERROR(__xludf.DUMMYFUNCTION("""COMPUTED_VALUE"""),"MS")</f>
        <v>MS</v>
      </c>
      <c r="R5580" s="6">
        <f>IFERROR(__xludf.DUMMYFUNCTION("""COMPUTED_VALUE"""),0.0)</f>
        <v>0</v>
      </c>
      <c r="S5580" s="6" t="str">
        <f>IFERROR(__xludf.DUMMYFUNCTION("""COMPUTED_VALUE"""),"Kimberly Ball")</f>
        <v>Kimberly Ball</v>
      </c>
      <c r="T5580" s="6" t="str">
        <f>IFERROR(__xludf.DUMMYFUNCTION("""COMPUTED_VALUE"""),"kimberly.ball@studient.com")</f>
        <v>kimberly.ball@studient.com</v>
      </c>
      <c r="U5580" s="6" t="str">
        <f>IFERROR(__xludf.DUMMYFUNCTION("""COMPUTED_VALUE"""),"6")</f>
        <v>6</v>
      </c>
      <c r="V5580" s="6" t="str">
        <f>IFERROR(__xludf.DUMMYFUNCTION("""COMPUTED_VALUE"""),"")</f>
        <v/>
      </c>
      <c r="W5580" s="6" t="str">
        <f>IFERROR(__xludf.DUMMYFUNCTION("""COMPUTED_VALUE"""),"[]")</f>
        <v>[]</v>
      </c>
      <c r="X5580" s="6" t="str">
        <f>IFERROR(__xludf.DUMMYFUNCTION("""COMPUTED_VALUE"""),"Enrolled")</f>
        <v>Enrolled</v>
      </c>
    </row>
    <row r="5581">
      <c r="A5581" s="6" t="str">
        <f>IFERROR(__xludf.DUMMYFUNCTION("""COMPUTED_VALUE"""),"087-12178")</f>
        <v>087-12178</v>
      </c>
      <c r="B5581" s="6" t="str">
        <f>IFERROR(__xludf.DUMMYFUNCTION("""COMPUTED_VALUE"""),"87")</f>
        <v>87</v>
      </c>
      <c r="C5581" s="6" t="str">
        <f>IFERROR(__xludf.DUMMYFUNCTION("""COMPUTED_VALUE"""),"12178")</f>
        <v>12178</v>
      </c>
      <c r="D5581" s="6" t="str">
        <f>IFERROR(__xludf.DUMMYFUNCTION("""COMPUTED_VALUE"""),"Jesus")</f>
        <v>Jesus</v>
      </c>
      <c r="E5581" s="6" t="str">
        <f>IFERROR(__xludf.DUMMYFUNCTION("""COMPUTED_VALUE"""),"")</f>
        <v/>
      </c>
      <c r="F5581" s="6" t="str">
        <f>IFERROR(__xludf.DUMMYFUNCTION("""COMPUTED_VALUE"""),"Chavez Flores")</f>
        <v>Chavez Flores</v>
      </c>
      <c r="G5581" s="6" t="str">
        <f>IFERROR(__xludf.DUMMYFUNCTION("""COMPUTED_VALUE"""),"12/09/2013")</f>
        <v>12/09/2013</v>
      </c>
      <c r="H5581" s="6" t="str">
        <f>IFERROR(__xludf.DUMMYFUNCTION("""COMPUTED_VALUE"""),"male")</f>
        <v>male</v>
      </c>
      <c r="I5581" s="6" t="str">
        <f>IFERROR(__xludf.DUMMYFUNCTION("""COMPUTED_VALUE"""),"Middle School")</f>
        <v>Middle School</v>
      </c>
      <c r="J5581" s="6" t="str">
        <f>IFERROR(__xludf.DUMMYFUNCTION("""COMPUTED_VALUE"""),"6")</f>
        <v>6</v>
      </c>
      <c r="K5581" s="6" t="str">
        <f>IFERROR(__xludf.DUMMYFUNCTION("""COMPUTED_VALUE"""),"jesus.chavezflores@2hourlearning.com")</f>
        <v>jesus.chavezflores@2hourlearning.com</v>
      </c>
      <c r="L5581" s="6" t="str">
        <f>IFERROR(__xludf.DUMMYFUNCTION("""COMPUTED_VALUE"""),"JRHS - Ridgeland Secondary Academy of Excellence")</f>
        <v>JRHS - Ridgeland Secondary Academy of Excellence</v>
      </c>
      <c r="M5581" s="6" t="str">
        <f>IFERROR(__xludf.DUMMYFUNCTION("""COMPUTED_VALUE"""),"")</f>
        <v/>
      </c>
      <c r="N5581" s="6" t="str">
        <f>IFERROR(__xludf.DUMMYFUNCTION("""COMPUTED_VALUE"""),"")</f>
        <v/>
      </c>
      <c r="O5581" s="87" t="str">
        <f>IFERROR(__xludf.DUMMYFUNCTION("""COMPUTED_VALUE"""),"https://drive.google.com/drive/folders/10T2cTQHqEJZqE-st6uFKPoI?usp=share_link")</f>
        <v>https://drive.google.com/drive/folders/10T2cTQHqEJZqE-st6uFKPoI?usp=share_link</v>
      </c>
      <c r="P5581" s="6" t="str">
        <f>IFERROR(__xludf.DUMMYFUNCTION("""COMPUTED_VALUE"""),"Jesus Chavez Flores")</f>
        <v>Jesus Chavez Flores</v>
      </c>
      <c r="Q5581" s="6" t="str">
        <f>IFERROR(__xludf.DUMMYFUNCTION("""COMPUTED_VALUE"""),"MS")</f>
        <v>MS</v>
      </c>
      <c r="R5581" s="6">
        <f>IFERROR(__xludf.DUMMYFUNCTION("""COMPUTED_VALUE"""),0.0)</f>
        <v>0</v>
      </c>
      <c r="S5581" s="6" t="str">
        <f>IFERROR(__xludf.DUMMYFUNCTION("""COMPUTED_VALUE"""),"Kimberly Ball")</f>
        <v>Kimberly Ball</v>
      </c>
      <c r="T5581" s="6" t="str">
        <f>IFERROR(__xludf.DUMMYFUNCTION("""COMPUTED_VALUE"""),"kimberly.ball@studient.com")</f>
        <v>kimberly.ball@studient.com</v>
      </c>
      <c r="U5581" s="6" t="str">
        <f>IFERROR(__xludf.DUMMYFUNCTION("""COMPUTED_VALUE"""),"6")</f>
        <v>6</v>
      </c>
      <c r="V5581" s="6" t="str">
        <f>IFERROR(__xludf.DUMMYFUNCTION("""COMPUTED_VALUE"""),"")</f>
        <v/>
      </c>
      <c r="W5581" s="6" t="str">
        <f>IFERROR(__xludf.DUMMYFUNCTION("""COMPUTED_VALUE"""),"[]")</f>
        <v>[]</v>
      </c>
      <c r="X5581" s="6" t="str">
        <f>IFERROR(__xludf.DUMMYFUNCTION("""COMPUTED_VALUE"""),"Enrolled")</f>
        <v>Enrolled</v>
      </c>
    </row>
    <row r="5582">
      <c r="A5582" s="6" t="str">
        <f>IFERROR(__xludf.DUMMYFUNCTION("""COMPUTED_VALUE"""),"087-12179")</f>
        <v>087-12179</v>
      </c>
      <c r="B5582" s="6" t="str">
        <f>IFERROR(__xludf.DUMMYFUNCTION("""COMPUTED_VALUE"""),"87")</f>
        <v>87</v>
      </c>
      <c r="C5582" s="6" t="str">
        <f>IFERROR(__xludf.DUMMYFUNCTION("""COMPUTED_VALUE"""),"12179")</f>
        <v>12179</v>
      </c>
      <c r="D5582" s="6" t="str">
        <f>IFERROR(__xludf.DUMMYFUNCTION("""COMPUTED_VALUE"""),"Ximena")</f>
        <v>Ximena</v>
      </c>
      <c r="E5582" s="6" t="str">
        <f>IFERROR(__xludf.DUMMYFUNCTION("""COMPUTED_VALUE"""),"")</f>
        <v/>
      </c>
      <c r="F5582" s="6" t="str">
        <f>IFERROR(__xludf.DUMMYFUNCTION("""COMPUTED_VALUE"""),"Cobos Dominguez")</f>
        <v>Cobos Dominguez</v>
      </c>
      <c r="G5582" s="6" t="str">
        <f>IFERROR(__xludf.DUMMYFUNCTION("""COMPUTED_VALUE"""),"08/25/2013")</f>
        <v>08/25/2013</v>
      </c>
      <c r="H5582" s="6" t="str">
        <f>IFERROR(__xludf.DUMMYFUNCTION("""COMPUTED_VALUE"""),"female")</f>
        <v>female</v>
      </c>
      <c r="I5582" s="6" t="str">
        <f>IFERROR(__xludf.DUMMYFUNCTION("""COMPUTED_VALUE"""),"Middle School")</f>
        <v>Middle School</v>
      </c>
      <c r="J5582" s="6" t="str">
        <f>IFERROR(__xludf.DUMMYFUNCTION("""COMPUTED_VALUE"""),"7")</f>
        <v>7</v>
      </c>
      <c r="K5582" s="6" t="str">
        <f>IFERROR(__xludf.DUMMYFUNCTION("""COMPUTED_VALUE"""),"ximena.cobosdominguez@2hourlearning.com")</f>
        <v>ximena.cobosdominguez@2hourlearning.com</v>
      </c>
      <c r="L5582" s="6" t="str">
        <f>IFERROR(__xludf.DUMMYFUNCTION("""COMPUTED_VALUE"""),"JRHS - Ridgeland Secondary Academy of Excellence")</f>
        <v>JRHS - Ridgeland Secondary Academy of Excellence</v>
      </c>
      <c r="M5582" s="6" t="str">
        <f>IFERROR(__xludf.DUMMYFUNCTION("""COMPUTED_VALUE"""),"")</f>
        <v/>
      </c>
      <c r="N5582" s="6" t="str">
        <f>IFERROR(__xludf.DUMMYFUNCTION("""COMPUTED_VALUE"""),"")</f>
        <v/>
      </c>
      <c r="O5582" s="87" t="str">
        <f>IFERROR(__xludf.DUMMYFUNCTION("""COMPUTED_VALUE"""),"https://drive.google.com/drive/folders/10T2cTQHqEJZqE-st6uFKPoI?usp=share_link")</f>
        <v>https://drive.google.com/drive/folders/10T2cTQHqEJZqE-st6uFKPoI?usp=share_link</v>
      </c>
      <c r="P5582" s="6" t="str">
        <f>IFERROR(__xludf.DUMMYFUNCTION("""COMPUTED_VALUE"""),"Ximena Cobos Dominguez")</f>
        <v>Ximena Cobos Dominguez</v>
      </c>
      <c r="Q5582" s="6" t="str">
        <f>IFERROR(__xludf.DUMMYFUNCTION("""COMPUTED_VALUE"""),"MS")</f>
        <v>MS</v>
      </c>
      <c r="R5582" s="6">
        <f>IFERROR(__xludf.DUMMYFUNCTION("""COMPUTED_VALUE"""),0.0)</f>
        <v>0</v>
      </c>
      <c r="S5582" s="6" t="str">
        <f>IFERROR(__xludf.DUMMYFUNCTION("""COMPUTED_VALUE"""),"Kimberly Ball")</f>
        <v>Kimberly Ball</v>
      </c>
      <c r="T5582" s="6" t="str">
        <f>IFERROR(__xludf.DUMMYFUNCTION("""COMPUTED_VALUE"""),"kimberly.ball@studient.com")</f>
        <v>kimberly.ball@studient.com</v>
      </c>
      <c r="U5582" s="6" t="str">
        <f>IFERROR(__xludf.DUMMYFUNCTION("""COMPUTED_VALUE"""),"7")</f>
        <v>7</v>
      </c>
      <c r="V5582" s="6" t="str">
        <f>IFERROR(__xludf.DUMMYFUNCTION("""COMPUTED_VALUE"""),"")</f>
        <v/>
      </c>
      <c r="W5582" s="6" t="str">
        <f>IFERROR(__xludf.DUMMYFUNCTION("""COMPUTED_VALUE"""),"[]")</f>
        <v>[]</v>
      </c>
      <c r="X5582" s="6" t="str">
        <f>IFERROR(__xludf.DUMMYFUNCTION("""COMPUTED_VALUE"""),"Enrolled")</f>
        <v>Enrolled</v>
      </c>
    </row>
    <row r="5583">
      <c r="A5583" s="6" t="str">
        <f>IFERROR(__xludf.DUMMYFUNCTION("""COMPUTED_VALUE"""),"087-12180")</f>
        <v>087-12180</v>
      </c>
      <c r="B5583" s="6" t="str">
        <f>IFERROR(__xludf.DUMMYFUNCTION("""COMPUTED_VALUE"""),"87")</f>
        <v>87</v>
      </c>
      <c r="C5583" s="6" t="str">
        <f>IFERROR(__xludf.DUMMYFUNCTION("""COMPUTED_VALUE"""),"12180")</f>
        <v>12180</v>
      </c>
      <c r="D5583" s="6" t="str">
        <f>IFERROR(__xludf.DUMMYFUNCTION("""COMPUTED_VALUE"""),"Rashida")</f>
        <v>Rashida</v>
      </c>
      <c r="E5583" s="6" t="str">
        <f>IFERROR(__xludf.DUMMYFUNCTION("""COMPUTED_VALUE"""),"")</f>
        <v/>
      </c>
      <c r="F5583" s="6" t="str">
        <f>IFERROR(__xludf.DUMMYFUNCTION("""COMPUTED_VALUE"""),"Coleman")</f>
        <v>Coleman</v>
      </c>
      <c r="G5583" s="6" t="str">
        <f>IFERROR(__xludf.DUMMYFUNCTION("""COMPUTED_VALUE"""),"08/04/2013")</f>
        <v>08/04/2013</v>
      </c>
      <c r="H5583" s="6" t="str">
        <f>IFERROR(__xludf.DUMMYFUNCTION("""COMPUTED_VALUE"""),"female")</f>
        <v>female</v>
      </c>
      <c r="I5583" s="6" t="str">
        <f>IFERROR(__xludf.DUMMYFUNCTION("""COMPUTED_VALUE"""),"Middle School")</f>
        <v>Middle School</v>
      </c>
      <c r="J5583" s="6" t="str">
        <f>IFERROR(__xludf.DUMMYFUNCTION("""COMPUTED_VALUE"""),"7")</f>
        <v>7</v>
      </c>
      <c r="K5583" s="6" t="str">
        <f>IFERROR(__xludf.DUMMYFUNCTION("""COMPUTED_VALUE"""),"rashida.coleman@2hourlearning.com")</f>
        <v>rashida.coleman@2hourlearning.com</v>
      </c>
      <c r="L5583" s="6" t="str">
        <f>IFERROR(__xludf.DUMMYFUNCTION("""COMPUTED_VALUE"""),"JRHS - Ridgeland Secondary Academy of Excellence")</f>
        <v>JRHS - Ridgeland Secondary Academy of Excellence</v>
      </c>
      <c r="M5583" s="6" t="str">
        <f>IFERROR(__xludf.DUMMYFUNCTION("""COMPUTED_VALUE"""),"")</f>
        <v/>
      </c>
      <c r="N5583" s="6" t="str">
        <f>IFERROR(__xludf.DUMMYFUNCTION("""COMPUTED_VALUE"""),"")</f>
        <v/>
      </c>
      <c r="O5583" s="87" t="str">
        <f>IFERROR(__xludf.DUMMYFUNCTION("""COMPUTED_VALUE"""),"https://drive.google.com/drive/folders/10T2cTQHqEJZqE-st6uFKPoI?usp=share_link")</f>
        <v>https://drive.google.com/drive/folders/10T2cTQHqEJZqE-st6uFKPoI?usp=share_link</v>
      </c>
      <c r="P5583" s="6" t="str">
        <f>IFERROR(__xludf.DUMMYFUNCTION("""COMPUTED_VALUE"""),"Rashida Coleman")</f>
        <v>Rashida Coleman</v>
      </c>
      <c r="Q5583" s="6" t="str">
        <f>IFERROR(__xludf.DUMMYFUNCTION("""COMPUTED_VALUE"""),"MS")</f>
        <v>MS</v>
      </c>
      <c r="R5583" s="6">
        <f>IFERROR(__xludf.DUMMYFUNCTION("""COMPUTED_VALUE"""),0.0)</f>
        <v>0</v>
      </c>
      <c r="S5583" s="6" t="str">
        <f>IFERROR(__xludf.DUMMYFUNCTION("""COMPUTED_VALUE"""),"Kimberly Ball")</f>
        <v>Kimberly Ball</v>
      </c>
      <c r="T5583" s="6" t="str">
        <f>IFERROR(__xludf.DUMMYFUNCTION("""COMPUTED_VALUE"""),"kimberly.ball@studient.com")</f>
        <v>kimberly.ball@studient.com</v>
      </c>
      <c r="U5583" s="6" t="str">
        <f>IFERROR(__xludf.DUMMYFUNCTION("""COMPUTED_VALUE"""),"7")</f>
        <v>7</v>
      </c>
      <c r="V5583" s="6" t="str">
        <f>IFERROR(__xludf.DUMMYFUNCTION("""COMPUTED_VALUE"""),"")</f>
        <v/>
      </c>
      <c r="W5583" s="6" t="str">
        <f>IFERROR(__xludf.DUMMYFUNCTION("""COMPUTED_VALUE"""),"[]")</f>
        <v>[]</v>
      </c>
      <c r="X5583" s="6" t="str">
        <f>IFERROR(__xludf.DUMMYFUNCTION("""COMPUTED_VALUE"""),"Enrolled")</f>
        <v>Enrolled</v>
      </c>
    </row>
    <row r="5584">
      <c r="A5584" s="6" t="str">
        <f>IFERROR(__xludf.DUMMYFUNCTION("""COMPUTED_VALUE"""),"087-12181")</f>
        <v>087-12181</v>
      </c>
      <c r="B5584" s="6" t="str">
        <f>IFERROR(__xludf.DUMMYFUNCTION("""COMPUTED_VALUE"""),"87")</f>
        <v>87</v>
      </c>
      <c r="C5584" s="6" t="str">
        <f>IFERROR(__xludf.DUMMYFUNCTION("""COMPUTED_VALUE"""),"12181")</f>
        <v>12181</v>
      </c>
      <c r="D5584" s="6" t="str">
        <f>IFERROR(__xludf.DUMMYFUNCTION("""COMPUTED_VALUE"""),"Arismari")</f>
        <v>Arismari</v>
      </c>
      <c r="E5584" s="6" t="str">
        <f>IFERROR(__xludf.DUMMYFUNCTION("""COMPUTED_VALUE"""),"")</f>
        <v/>
      </c>
      <c r="F5584" s="6" t="str">
        <f>IFERROR(__xludf.DUMMYFUNCTION("""COMPUTED_VALUE"""),"Cordova")</f>
        <v>Cordova</v>
      </c>
      <c r="G5584" s="6" t="str">
        <f>IFERROR(__xludf.DUMMYFUNCTION("""COMPUTED_VALUE"""),"04/14/2012")</f>
        <v>04/14/2012</v>
      </c>
      <c r="H5584" s="6" t="str">
        <f>IFERROR(__xludf.DUMMYFUNCTION("""COMPUTED_VALUE"""),"female")</f>
        <v>female</v>
      </c>
      <c r="I5584" s="6" t="str">
        <f>IFERROR(__xludf.DUMMYFUNCTION("""COMPUTED_VALUE"""),"Middle School")</f>
        <v>Middle School</v>
      </c>
      <c r="J5584" s="6" t="str">
        <f>IFERROR(__xludf.DUMMYFUNCTION("""COMPUTED_VALUE"""),"8")</f>
        <v>8</v>
      </c>
      <c r="K5584" s="6" t="str">
        <f>IFERROR(__xludf.DUMMYFUNCTION("""COMPUTED_VALUE"""),"arismari.cordova@2hourlearning.com")</f>
        <v>arismari.cordova@2hourlearning.com</v>
      </c>
      <c r="L5584" s="6" t="str">
        <f>IFERROR(__xludf.DUMMYFUNCTION("""COMPUTED_VALUE"""),"JRHS - Ridgeland Secondary Academy of Excellence")</f>
        <v>JRHS - Ridgeland Secondary Academy of Excellence</v>
      </c>
      <c r="M5584" s="6" t="str">
        <f>IFERROR(__xludf.DUMMYFUNCTION("""COMPUTED_VALUE"""),"")</f>
        <v/>
      </c>
      <c r="N5584" s="6" t="str">
        <f>IFERROR(__xludf.DUMMYFUNCTION("""COMPUTED_VALUE"""),"")</f>
        <v/>
      </c>
      <c r="O5584" s="87" t="str">
        <f>IFERROR(__xludf.DUMMYFUNCTION("""COMPUTED_VALUE"""),"https://drive.google.com/drive/folders/10T2cTQHqEJZqE-st6uFKPoI?usp=share_link")</f>
        <v>https://drive.google.com/drive/folders/10T2cTQHqEJZqE-st6uFKPoI?usp=share_link</v>
      </c>
      <c r="P5584" s="6" t="str">
        <f>IFERROR(__xludf.DUMMYFUNCTION("""COMPUTED_VALUE"""),"Arismari Cordova")</f>
        <v>Arismari Cordova</v>
      </c>
      <c r="Q5584" s="6" t="str">
        <f>IFERROR(__xludf.DUMMYFUNCTION("""COMPUTED_VALUE"""),"MS")</f>
        <v>MS</v>
      </c>
      <c r="R5584" s="6">
        <f>IFERROR(__xludf.DUMMYFUNCTION("""COMPUTED_VALUE"""),0.0)</f>
        <v>0</v>
      </c>
      <c r="S5584" s="6" t="str">
        <f>IFERROR(__xludf.DUMMYFUNCTION("""COMPUTED_VALUE"""),"Kimberly Ball")</f>
        <v>Kimberly Ball</v>
      </c>
      <c r="T5584" s="6" t="str">
        <f>IFERROR(__xludf.DUMMYFUNCTION("""COMPUTED_VALUE"""),"kimberly.ball@studient.com")</f>
        <v>kimberly.ball@studient.com</v>
      </c>
      <c r="U5584" s="6" t="str">
        <f>IFERROR(__xludf.DUMMYFUNCTION("""COMPUTED_VALUE"""),"8")</f>
        <v>8</v>
      </c>
      <c r="V5584" s="6" t="str">
        <f>IFERROR(__xludf.DUMMYFUNCTION("""COMPUTED_VALUE"""),"")</f>
        <v/>
      </c>
      <c r="W5584" s="6" t="str">
        <f>IFERROR(__xludf.DUMMYFUNCTION("""COMPUTED_VALUE"""),"[]")</f>
        <v>[]</v>
      </c>
      <c r="X5584" s="6" t="str">
        <f>IFERROR(__xludf.DUMMYFUNCTION("""COMPUTED_VALUE"""),"Enrolled")</f>
        <v>Enrolled</v>
      </c>
    </row>
    <row r="5585">
      <c r="A5585" s="6" t="str">
        <f>IFERROR(__xludf.DUMMYFUNCTION("""COMPUTED_VALUE"""),"087-12182")</f>
        <v>087-12182</v>
      </c>
      <c r="B5585" s="6" t="str">
        <f>IFERROR(__xludf.DUMMYFUNCTION("""COMPUTED_VALUE"""),"87")</f>
        <v>87</v>
      </c>
      <c r="C5585" s="6" t="str">
        <f>IFERROR(__xludf.DUMMYFUNCTION("""COMPUTED_VALUE"""),"12182")</f>
        <v>12182</v>
      </c>
      <c r="D5585" s="6" t="str">
        <f>IFERROR(__xludf.DUMMYFUNCTION("""COMPUTED_VALUE"""),"Everardo")</f>
        <v>Everardo</v>
      </c>
      <c r="E5585" s="6" t="str">
        <f>IFERROR(__xludf.DUMMYFUNCTION("""COMPUTED_VALUE"""),"")</f>
        <v/>
      </c>
      <c r="F5585" s="6" t="str">
        <f>IFERROR(__xludf.DUMMYFUNCTION("""COMPUTED_VALUE"""),"Cordova")</f>
        <v>Cordova</v>
      </c>
      <c r="G5585" s="6" t="str">
        <f>IFERROR(__xludf.DUMMYFUNCTION("""COMPUTED_VALUE"""),"06/26/2014")</f>
        <v>06/26/2014</v>
      </c>
      <c r="H5585" s="6" t="str">
        <f>IFERROR(__xludf.DUMMYFUNCTION("""COMPUTED_VALUE"""),"male")</f>
        <v>male</v>
      </c>
      <c r="I5585" s="6" t="str">
        <f>IFERROR(__xludf.DUMMYFUNCTION("""COMPUTED_VALUE"""),"Middle School")</f>
        <v>Middle School</v>
      </c>
      <c r="J5585" s="6" t="str">
        <f>IFERROR(__xludf.DUMMYFUNCTION("""COMPUTED_VALUE"""),"6")</f>
        <v>6</v>
      </c>
      <c r="K5585" s="6" t="str">
        <f>IFERROR(__xludf.DUMMYFUNCTION("""COMPUTED_VALUE"""),"everardo.cordova@2hourlearning.com")</f>
        <v>everardo.cordova@2hourlearning.com</v>
      </c>
      <c r="L5585" s="6" t="str">
        <f>IFERROR(__xludf.DUMMYFUNCTION("""COMPUTED_VALUE"""),"JRHS - Ridgeland Secondary Academy of Excellence")</f>
        <v>JRHS - Ridgeland Secondary Academy of Excellence</v>
      </c>
      <c r="M5585" s="6" t="str">
        <f>IFERROR(__xludf.DUMMYFUNCTION("""COMPUTED_VALUE"""),"")</f>
        <v/>
      </c>
      <c r="N5585" s="6" t="str">
        <f>IFERROR(__xludf.DUMMYFUNCTION("""COMPUTED_VALUE"""),"")</f>
        <v/>
      </c>
      <c r="O5585" s="87" t="str">
        <f>IFERROR(__xludf.DUMMYFUNCTION("""COMPUTED_VALUE"""),"https://drive.google.com/drive/folders/10T2cTQHqEJZqE-st6uFKPoI?usp=share_link")</f>
        <v>https://drive.google.com/drive/folders/10T2cTQHqEJZqE-st6uFKPoI?usp=share_link</v>
      </c>
      <c r="P5585" s="6" t="str">
        <f>IFERROR(__xludf.DUMMYFUNCTION("""COMPUTED_VALUE"""),"Everardo Cordova")</f>
        <v>Everardo Cordova</v>
      </c>
      <c r="Q5585" s="6" t="str">
        <f>IFERROR(__xludf.DUMMYFUNCTION("""COMPUTED_VALUE"""),"MS")</f>
        <v>MS</v>
      </c>
      <c r="R5585" s="6">
        <f>IFERROR(__xludf.DUMMYFUNCTION("""COMPUTED_VALUE"""),0.0)</f>
        <v>0</v>
      </c>
      <c r="S5585" s="6" t="str">
        <f>IFERROR(__xludf.DUMMYFUNCTION("""COMPUTED_VALUE"""),"Kimberly Ball")</f>
        <v>Kimberly Ball</v>
      </c>
      <c r="T5585" s="6" t="str">
        <f>IFERROR(__xludf.DUMMYFUNCTION("""COMPUTED_VALUE"""),"kimberly.ball@studient.com")</f>
        <v>kimberly.ball@studient.com</v>
      </c>
      <c r="U5585" s="6" t="str">
        <f>IFERROR(__xludf.DUMMYFUNCTION("""COMPUTED_VALUE"""),"6")</f>
        <v>6</v>
      </c>
      <c r="V5585" s="6" t="str">
        <f>IFERROR(__xludf.DUMMYFUNCTION("""COMPUTED_VALUE"""),"")</f>
        <v/>
      </c>
      <c r="W5585" s="6" t="str">
        <f>IFERROR(__xludf.DUMMYFUNCTION("""COMPUTED_VALUE"""),"[]")</f>
        <v>[]</v>
      </c>
      <c r="X5585" s="6" t="str">
        <f>IFERROR(__xludf.DUMMYFUNCTION("""COMPUTED_VALUE"""),"Enrolled")</f>
        <v>Enrolled</v>
      </c>
    </row>
    <row r="5586">
      <c r="A5586" s="6" t="str">
        <f>IFERROR(__xludf.DUMMYFUNCTION("""COMPUTED_VALUE"""),"087-12183")</f>
        <v>087-12183</v>
      </c>
      <c r="B5586" s="6" t="str">
        <f>IFERROR(__xludf.DUMMYFUNCTION("""COMPUTED_VALUE"""),"87")</f>
        <v>87</v>
      </c>
      <c r="C5586" s="6" t="str">
        <f>IFERROR(__xludf.DUMMYFUNCTION("""COMPUTED_VALUE"""),"12183")</f>
        <v>12183</v>
      </c>
      <c r="D5586" s="6" t="str">
        <f>IFERROR(__xludf.DUMMYFUNCTION("""COMPUTED_VALUE"""),"Javier")</f>
        <v>Javier</v>
      </c>
      <c r="E5586" s="6" t="str">
        <f>IFERROR(__xludf.DUMMYFUNCTION("""COMPUTED_VALUE"""),"")</f>
        <v/>
      </c>
      <c r="F5586" s="6" t="str">
        <f>IFERROR(__xludf.DUMMYFUNCTION("""COMPUTED_VALUE"""),"Cordova DeLaCruz")</f>
        <v>Cordova DeLaCruz</v>
      </c>
      <c r="G5586" s="6" t="str">
        <f>IFERROR(__xludf.DUMMYFUNCTION("""COMPUTED_VALUE"""),"07/28/2013")</f>
        <v>07/28/2013</v>
      </c>
      <c r="H5586" s="6" t="str">
        <f>IFERROR(__xludf.DUMMYFUNCTION("""COMPUTED_VALUE"""),"male")</f>
        <v>male</v>
      </c>
      <c r="I5586" s="6" t="str">
        <f>IFERROR(__xludf.DUMMYFUNCTION("""COMPUTED_VALUE"""),"Middle School")</f>
        <v>Middle School</v>
      </c>
      <c r="J5586" s="6" t="str">
        <f>IFERROR(__xludf.DUMMYFUNCTION("""COMPUTED_VALUE"""),"7")</f>
        <v>7</v>
      </c>
      <c r="K5586" s="6" t="str">
        <f>IFERROR(__xludf.DUMMYFUNCTION("""COMPUTED_VALUE"""),"javier.cordovadelacruz@2hourlearning.com")</f>
        <v>javier.cordovadelacruz@2hourlearning.com</v>
      </c>
      <c r="L5586" s="6" t="str">
        <f>IFERROR(__xludf.DUMMYFUNCTION("""COMPUTED_VALUE"""),"JRHS - Ridgeland Secondary Academy of Excellence")</f>
        <v>JRHS - Ridgeland Secondary Academy of Excellence</v>
      </c>
      <c r="M5586" s="6" t="str">
        <f>IFERROR(__xludf.DUMMYFUNCTION("""COMPUTED_VALUE"""),"")</f>
        <v/>
      </c>
      <c r="N5586" s="6" t="str">
        <f>IFERROR(__xludf.DUMMYFUNCTION("""COMPUTED_VALUE"""),"")</f>
        <v/>
      </c>
      <c r="O5586" s="87" t="str">
        <f>IFERROR(__xludf.DUMMYFUNCTION("""COMPUTED_VALUE"""),"https://drive.google.com/drive/folders/10T2cTQHqEJZqE-st6uFKPoI?usp=share_link")</f>
        <v>https://drive.google.com/drive/folders/10T2cTQHqEJZqE-st6uFKPoI?usp=share_link</v>
      </c>
      <c r="P5586" s="6" t="str">
        <f>IFERROR(__xludf.DUMMYFUNCTION("""COMPUTED_VALUE"""),"Javier Cordova DeLaCruz")</f>
        <v>Javier Cordova DeLaCruz</v>
      </c>
      <c r="Q5586" s="6" t="str">
        <f>IFERROR(__xludf.DUMMYFUNCTION("""COMPUTED_VALUE"""),"MS")</f>
        <v>MS</v>
      </c>
      <c r="R5586" s="6">
        <f>IFERROR(__xludf.DUMMYFUNCTION("""COMPUTED_VALUE"""),0.0)</f>
        <v>0</v>
      </c>
      <c r="S5586" s="6" t="str">
        <f>IFERROR(__xludf.DUMMYFUNCTION("""COMPUTED_VALUE"""),"Kimberly Ball")</f>
        <v>Kimberly Ball</v>
      </c>
      <c r="T5586" s="6" t="str">
        <f>IFERROR(__xludf.DUMMYFUNCTION("""COMPUTED_VALUE"""),"kimberly.ball@studient.com")</f>
        <v>kimberly.ball@studient.com</v>
      </c>
      <c r="U5586" s="6" t="str">
        <f>IFERROR(__xludf.DUMMYFUNCTION("""COMPUTED_VALUE"""),"7")</f>
        <v>7</v>
      </c>
      <c r="V5586" s="6" t="str">
        <f>IFERROR(__xludf.DUMMYFUNCTION("""COMPUTED_VALUE"""),"")</f>
        <v/>
      </c>
      <c r="W5586" s="6" t="str">
        <f>IFERROR(__xludf.DUMMYFUNCTION("""COMPUTED_VALUE"""),"[]")</f>
        <v>[]</v>
      </c>
      <c r="X5586" s="6" t="str">
        <f>IFERROR(__xludf.DUMMYFUNCTION("""COMPUTED_VALUE"""),"Enrolled")</f>
        <v>Enrolled</v>
      </c>
    </row>
    <row r="5587">
      <c r="A5587" s="6" t="str">
        <f>IFERROR(__xludf.DUMMYFUNCTION("""COMPUTED_VALUE"""),"087-12184")</f>
        <v>087-12184</v>
      </c>
      <c r="B5587" s="6" t="str">
        <f>IFERROR(__xludf.DUMMYFUNCTION("""COMPUTED_VALUE"""),"87")</f>
        <v>87</v>
      </c>
      <c r="C5587" s="6" t="str">
        <f>IFERROR(__xludf.DUMMYFUNCTION("""COMPUTED_VALUE"""),"12184")</f>
        <v>12184</v>
      </c>
      <c r="D5587" s="6" t="str">
        <f>IFERROR(__xludf.DUMMYFUNCTION("""COMPUTED_VALUE"""),"Geovan")</f>
        <v>Geovan</v>
      </c>
      <c r="E5587" s="6" t="str">
        <f>IFERROR(__xludf.DUMMYFUNCTION("""COMPUTED_VALUE"""),"")</f>
        <v/>
      </c>
      <c r="F5587" s="6" t="str">
        <f>IFERROR(__xludf.DUMMYFUNCTION("""COMPUTED_VALUE"""),"Cruz")</f>
        <v>Cruz</v>
      </c>
      <c r="G5587" s="6" t="str">
        <f>IFERROR(__xludf.DUMMYFUNCTION("""COMPUTED_VALUE"""),"12/05/2013")</f>
        <v>12/05/2013</v>
      </c>
      <c r="H5587" s="6" t="str">
        <f>IFERROR(__xludf.DUMMYFUNCTION("""COMPUTED_VALUE"""),"male")</f>
        <v>male</v>
      </c>
      <c r="I5587" s="6" t="str">
        <f>IFERROR(__xludf.DUMMYFUNCTION("""COMPUTED_VALUE"""),"Middle School")</f>
        <v>Middle School</v>
      </c>
      <c r="J5587" s="6" t="str">
        <f>IFERROR(__xludf.DUMMYFUNCTION("""COMPUTED_VALUE"""),"6")</f>
        <v>6</v>
      </c>
      <c r="K5587" s="6" t="str">
        <f>IFERROR(__xludf.DUMMYFUNCTION("""COMPUTED_VALUE"""),"geovan.cruz@2hourlearning.com")</f>
        <v>geovan.cruz@2hourlearning.com</v>
      </c>
      <c r="L5587" s="6" t="str">
        <f>IFERROR(__xludf.DUMMYFUNCTION("""COMPUTED_VALUE"""),"JRHS - Ridgeland Secondary Academy of Excellence")</f>
        <v>JRHS - Ridgeland Secondary Academy of Excellence</v>
      </c>
      <c r="M5587" s="6" t="str">
        <f>IFERROR(__xludf.DUMMYFUNCTION("""COMPUTED_VALUE"""),"")</f>
        <v/>
      </c>
      <c r="N5587" s="6" t="str">
        <f>IFERROR(__xludf.DUMMYFUNCTION("""COMPUTED_VALUE"""),"")</f>
        <v/>
      </c>
      <c r="O5587" s="87" t="str">
        <f>IFERROR(__xludf.DUMMYFUNCTION("""COMPUTED_VALUE"""),"https://drive.google.com/drive/folders/10T2cTQHqEJZqE-st6uFKPoI?usp=share_link")</f>
        <v>https://drive.google.com/drive/folders/10T2cTQHqEJZqE-st6uFKPoI?usp=share_link</v>
      </c>
      <c r="P5587" s="6" t="str">
        <f>IFERROR(__xludf.DUMMYFUNCTION("""COMPUTED_VALUE"""),"Geovan Cruz")</f>
        <v>Geovan Cruz</v>
      </c>
      <c r="Q5587" s="6" t="str">
        <f>IFERROR(__xludf.DUMMYFUNCTION("""COMPUTED_VALUE"""),"MS")</f>
        <v>MS</v>
      </c>
      <c r="R5587" s="6">
        <f>IFERROR(__xludf.DUMMYFUNCTION("""COMPUTED_VALUE"""),0.0)</f>
        <v>0</v>
      </c>
      <c r="S5587" s="6" t="str">
        <f>IFERROR(__xludf.DUMMYFUNCTION("""COMPUTED_VALUE"""),"Kimberly Ball")</f>
        <v>Kimberly Ball</v>
      </c>
      <c r="T5587" s="6" t="str">
        <f>IFERROR(__xludf.DUMMYFUNCTION("""COMPUTED_VALUE"""),"kimberly.ball@studient.com")</f>
        <v>kimberly.ball@studient.com</v>
      </c>
      <c r="U5587" s="6" t="str">
        <f>IFERROR(__xludf.DUMMYFUNCTION("""COMPUTED_VALUE"""),"6")</f>
        <v>6</v>
      </c>
      <c r="V5587" s="6" t="str">
        <f>IFERROR(__xludf.DUMMYFUNCTION("""COMPUTED_VALUE"""),"")</f>
        <v/>
      </c>
      <c r="W5587" s="6" t="str">
        <f>IFERROR(__xludf.DUMMYFUNCTION("""COMPUTED_VALUE"""),"[]")</f>
        <v>[]</v>
      </c>
      <c r="X5587" s="6" t="str">
        <f>IFERROR(__xludf.DUMMYFUNCTION("""COMPUTED_VALUE"""),"Enrolled")</f>
        <v>Enrolled</v>
      </c>
    </row>
    <row r="5588">
      <c r="A5588" s="6" t="str">
        <f>IFERROR(__xludf.DUMMYFUNCTION("""COMPUTED_VALUE"""),"087-12185")</f>
        <v>087-12185</v>
      </c>
      <c r="B5588" s="6" t="str">
        <f>IFERROR(__xludf.DUMMYFUNCTION("""COMPUTED_VALUE"""),"87")</f>
        <v>87</v>
      </c>
      <c r="C5588" s="6" t="str">
        <f>IFERROR(__xludf.DUMMYFUNCTION("""COMPUTED_VALUE"""),"12185")</f>
        <v>12185</v>
      </c>
      <c r="D5588" s="6" t="str">
        <f>IFERROR(__xludf.DUMMYFUNCTION("""COMPUTED_VALUE"""),"Fernanda")</f>
        <v>Fernanda</v>
      </c>
      <c r="E5588" s="6" t="str">
        <f>IFERROR(__xludf.DUMMYFUNCTION("""COMPUTED_VALUE"""),"")</f>
        <v/>
      </c>
      <c r="F5588" s="6" t="str">
        <f>IFERROR(__xludf.DUMMYFUNCTION("""COMPUTED_VALUE"""),"Cuamacas Moreno")</f>
        <v>Cuamacas Moreno</v>
      </c>
      <c r="G5588" s="6" t="str">
        <f>IFERROR(__xludf.DUMMYFUNCTION("""COMPUTED_VALUE"""),"09/14/2013")</f>
        <v>09/14/2013</v>
      </c>
      <c r="H5588" s="6" t="str">
        <f>IFERROR(__xludf.DUMMYFUNCTION("""COMPUTED_VALUE"""),"female")</f>
        <v>female</v>
      </c>
      <c r="I5588" s="6" t="str">
        <f>IFERROR(__xludf.DUMMYFUNCTION("""COMPUTED_VALUE"""),"Middle School")</f>
        <v>Middle School</v>
      </c>
      <c r="J5588" s="6" t="str">
        <f>IFERROR(__xludf.DUMMYFUNCTION("""COMPUTED_VALUE"""),"7")</f>
        <v>7</v>
      </c>
      <c r="K5588" s="6" t="str">
        <f>IFERROR(__xludf.DUMMYFUNCTION("""COMPUTED_VALUE"""),"fernanda.cuamacasmoreno@2hourlearning.com")</f>
        <v>fernanda.cuamacasmoreno@2hourlearning.com</v>
      </c>
      <c r="L5588" s="6" t="str">
        <f>IFERROR(__xludf.DUMMYFUNCTION("""COMPUTED_VALUE"""),"JRHS - Ridgeland Secondary Academy of Excellence")</f>
        <v>JRHS - Ridgeland Secondary Academy of Excellence</v>
      </c>
      <c r="M5588" s="6" t="str">
        <f>IFERROR(__xludf.DUMMYFUNCTION("""COMPUTED_VALUE"""),"")</f>
        <v/>
      </c>
      <c r="N5588" s="6" t="str">
        <f>IFERROR(__xludf.DUMMYFUNCTION("""COMPUTED_VALUE"""),"")</f>
        <v/>
      </c>
      <c r="O5588" s="87" t="str">
        <f>IFERROR(__xludf.DUMMYFUNCTION("""COMPUTED_VALUE"""),"https://drive.google.com/drive/folders/10T2cTQHqEJZqE-st6uFKPoI?usp=share_link")</f>
        <v>https://drive.google.com/drive/folders/10T2cTQHqEJZqE-st6uFKPoI?usp=share_link</v>
      </c>
      <c r="P5588" s="6" t="str">
        <f>IFERROR(__xludf.DUMMYFUNCTION("""COMPUTED_VALUE"""),"Fernanda Cuamacas Moreno")</f>
        <v>Fernanda Cuamacas Moreno</v>
      </c>
      <c r="Q5588" s="6" t="str">
        <f>IFERROR(__xludf.DUMMYFUNCTION("""COMPUTED_VALUE"""),"MS")</f>
        <v>MS</v>
      </c>
      <c r="R5588" s="6">
        <f>IFERROR(__xludf.DUMMYFUNCTION("""COMPUTED_VALUE"""),0.0)</f>
        <v>0</v>
      </c>
      <c r="S5588" s="6" t="str">
        <f>IFERROR(__xludf.DUMMYFUNCTION("""COMPUTED_VALUE"""),"Kimberly Ball")</f>
        <v>Kimberly Ball</v>
      </c>
      <c r="T5588" s="6" t="str">
        <f>IFERROR(__xludf.DUMMYFUNCTION("""COMPUTED_VALUE"""),"kimberly.ball@studient.com")</f>
        <v>kimberly.ball@studient.com</v>
      </c>
      <c r="U5588" s="6" t="str">
        <f>IFERROR(__xludf.DUMMYFUNCTION("""COMPUTED_VALUE"""),"7")</f>
        <v>7</v>
      </c>
      <c r="V5588" s="6" t="str">
        <f>IFERROR(__xludf.DUMMYFUNCTION("""COMPUTED_VALUE"""),"")</f>
        <v/>
      </c>
      <c r="W5588" s="6" t="str">
        <f>IFERROR(__xludf.DUMMYFUNCTION("""COMPUTED_VALUE"""),"[]")</f>
        <v>[]</v>
      </c>
      <c r="X5588" s="6" t="str">
        <f>IFERROR(__xludf.DUMMYFUNCTION("""COMPUTED_VALUE"""),"Enrolled")</f>
        <v>Enrolled</v>
      </c>
    </row>
    <row r="5589">
      <c r="A5589" s="6" t="str">
        <f>IFERROR(__xludf.DUMMYFUNCTION("""COMPUTED_VALUE"""),"087-12186")</f>
        <v>087-12186</v>
      </c>
      <c r="B5589" s="6" t="str">
        <f>IFERROR(__xludf.DUMMYFUNCTION("""COMPUTED_VALUE"""),"87")</f>
        <v>87</v>
      </c>
      <c r="C5589" s="6" t="str">
        <f>IFERROR(__xludf.DUMMYFUNCTION("""COMPUTED_VALUE"""),"12186")</f>
        <v>12186</v>
      </c>
      <c r="D5589" s="6" t="str">
        <f>IFERROR(__xludf.DUMMYFUNCTION("""COMPUTED_VALUE"""),"Kaden")</f>
        <v>Kaden</v>
      </c>
      <c r="E5589" s="6" t="str">
        <f>IFERROR(__xludf.DUMMYFUNCTION("""COMPUTED_VALUE"""),"")</f>
        <v/>
      </c>
      <c r="F5589" s="6" t="str">
        <f>IFERROR(__xludf.DUMMYFUNCTION("""COMPUTED_VALUE"""),"Davis")</f>
        <v>Davis</v>
      </c>
      <c r="G5589" s="6" t="str">
        <f>IFERROR(__xludf.DUMMYFUNCTION("""COMPUTED_VALUE"""),"02/08/2012")</f>
        <v>02/08/2012</v>
      </c>
      <c r="H5589" s="6" t="str">
        <f>IFERROR(__xludf.DUMMYFUNCTION("""COMPUTED_VALUE"""),"male")</f>
        <v>male</v>
      </c>
      <c r="I5589" s="6" t="str">
        <f>IFERROR(__xludf.DUMMYFUNCTION("""COMPUTED_VALUE"""),"Middle School")</f>
        <v>Middle School</v>
      </c>
      <c r="J5589" s="6" t="str">
        <f>IFERROR(__xludf.DUMMYFUNCTION("""COMPUTED_VALUE"""),"8")</f>
        <v>8</v>
      </c>
      <c r="K5589" s="6" t="str">
        <f>IFERROR(__xludf.DUMMYFUNCTION("""COMPUTED_VALUE"""),"kaden.davis@2hourlearning.com")</f>
        <v>kaden.davis@2hourlearning.com</v>
      </c>
      <c r="L5589" s="6" t="str">
        <f>IFERROR(__xludf.DUMMYFUNCTION("""COMPUTED_VALUE"""),"JRHS - Ridgeland Secondary Academy of Excellence")</f>
        <v>JRHS - Ridgeland Secondary Academy of Excellence</v>
      </c>
      <c r="M5589" s="6" t="str">
        <f>IFERROR(__xludf.DUMMYFUNCTION("""COMPUTED_VALUE"""),"")</f>
        <v/>
      </c>
      <c r="N5589" s="6" t="str">
        <f>IFERROR(__xludf.DUMMYFUNCTION("""COMPUTED_VALUE"""),"")</f>
        <v/>
      </c>
      <c r="O5589" s="87" t="str">
        <f>IFERROR(__xludf.DUMMYFUNCTION("""COMPUTED_VALUE"""),"https://drive.google.com/drive/folders/10T2cTQHqEJZqE-st6uFKPoI?usp=share_link")</f>
        <v>https://drive.google.com/drive/folders/10T2cTQHqEJZqE-st6uFKPoI?usp=share_link</v>
      </c>
      <c r="P5589" s="6" t="str">
        <f>IFERROR(__xludf.DUMMYFUNCTION("""COMPUTED_VALUE"""),"Kaden Davis")</f>
        <v>Kaden Davis</v>
      </c>
      <c r="Q5589" s="6" t="str">
        <f>IFERROR(__xludf.DUMMYFUNCTION("""COMPUTED_VALUE"""),"MS")</f>
        <v>MS</v>
      </c>
      <c r="R5589" s="6">
        <f>IFERROR(__xludf.DUMMYFUNCTION("""COMPUTED_VALUE"""),0.0)</f>
        <v>0</v>
      </c>
      <c r="S5589" s="6" t="str">
        <f>IFERROR(__xludf.DUMMYFUNCTION("""COMPUTED_VALUE"""),"Kimberly Ball")</f>
        <v>Kimberly Ball</v>
      </c>
      <c r="T5589" s="6" t="str">
        <f>IFERROR(__xludf.DUMMYFUNCTION("""COMPUTED_VALUE"""),"kimberly.ball@studient.com")</f>
        <v>kimberly.ball@studient.com</v>
      </c>
      <c r="U5589" s="6" t="str">
        <f>IFERROR(__xludf.DUMMYFUNCTION("""COMPUTED_VALUE"""),"8")</f>
        <v>8</v>
      </c>
      <c r="V5589" s="6" t="str">
        <f>IFERROR(__xludf.DUMMYFUNCTION("""COMPUTED_VALUE"""),"")</f>
        <v/>
      </c>
      <c r="W5589" s="6" t="str">
        <f>IFERROR(__xludf.DUMMYFUNCTION("""COMPUTED_VALUE"""),"[]")</f>
        <v>[]</v>
      </c>
      <c r="X5589" s="6" t="str">
        <f>IFERROR(__xludf.DUMMYFUNCTION("""COMPUTED_VALUE"""),"Enrolled")</f>
        <v>Enrolled</v>
      </c>
    </row>
    <row r="5590">
      <c r="A5590" s="6" t="str">
        <f>IFERROR(__xludf.DUMMYFUNCTION("""COMPUTED_VALUE"""),"087-12187")</f>
        <v>087-12187</v>
      </c>
      <c r="B5590" s="6" t="str">
        <f>IFERROR(__xludf.DUMMYFUNCTION("""COMPUTED_VALUE"""),"87")</f>
        <v>87</v>
      </c>
      <c r="C5590" s="6" t="str">
        <f>IFERROR(__xludf.DUMMYFUNCTION("""COMPUTED_VALUE"""),"12187")</f>
        <v>12187</v>
      </c>
      <c r="D5590" s="6" t="str">
        <f>IFERROR(__xludf.DUMMYFUNCTION("""COMPUTED_VALUE"""),"Kameren")</f>
        <v>Kameren</v>
      </c>
      <c r="E5590" s="6" t="str">
        <f>IFERROR(__xludf.DUMMYFUNCTION("""COMPUTED_VALUE"""),"")</f>
        <v/>
      </c>
      <c r="F5590" s="6" t="str">
        <f>IFERROR(__xludf.DUMMYFUNCTION("""COMPUTED_VALUE"""),"Davis")</f>
        <v>Davis</v>
      </c>
      <c r="G5590" s="6" t="str">
        <f>IFERROR(__xludf.DUMMYFUNCTION("""COMPUTED_VALUE"""),"04/21/2013")</f>
        <v>04/21/2013</v>
      </c>
      <c r="H5590" s="6" t="str">
        <f>IFERROR(__xludf.DUMMYFUNCTION("""COMPUTED_VALUE"""),"male")</f>
        <v>male</v>
      </c>
      <c r="I5590" s="6" t="str">
        <f>IFERROR(__xludf.DUMMYFUNCTION("""COMPUTED_VALUE"""),"Middle School")</f>
        <v>Middle School</v>
      </c>
      <c r="J5590" s="6" t="str">
        <f>IFERROR(__xludf.DUMMYFUNCTION("""COMPUTED_VALUE"""),"7")</f>
        <v>7</v>
      </c>
      <c r="K5590" s="6" t="str">
        <f>IFERROR(__xludf.DUMMYFUNCTION("""COMPUTED_VALUE"""),"kameren.davis@2hourlearning.com")</f>
        <v>kameren.davis@2hourlearning.com</v>
      </c>
      <c r="L5590" s="6" t="str">
        <f>IFERROR(__xludf.DUMMYFUNCTION("""COMPUTED_VALUE"""),"JRHS - Ridgeland Secondary Academy of Excellence")</f>
        <v>JRHS - Ridgeland Secondary Academy of Excellence</v>
      </c>
      <c r="M5590" s="6" t="str">
        <f>IFERROR(__xludf.DUMMYFUNCTION("""COMPUTED_VALUE"""),"")</f>
        <v/>
      </c>
      <c r="N5590" s="6" t="str">
        <f>IFERROR(__xludf.DUMMYFUNCTION("""COMPUTED_VALUE"""),"")</f>
        <v/>
      </c>
      <c r="O5590" s="87" t="str">
        <f>IFERROR(__xludf.DUMMYFUNCTION("""COMPUTED_VALUE"""),"https://drive.google.com/drive/folders/10T2cTQHqEJZqE-st6uFKPoI?usp=share_link")</f>
        <v>https://drive.google.com/drive/folders/10T2cTQHqEJZqE-st6uFKPoI?usp=share_link</v>
      </c>
      <c r="P5590" s="6" t="str">
        <f>IFERROR(__xludf.DUMMYFUNCTION("""COMPUTED_VALUE"""),"Kameren Davis")</f>
        <v>Kameren Davis</v>
      </c>
      <c r="Q5590" s="6" t="str">
        <f>IFERROR(__xludf.DUMMYFUNCTION("""COMPUTED_VALUE"""),"MS")</f>
        <v>MS</v>
      </c>
      <c r="R5590" s="6">
        <f>IFERROR(__xludf.DUMMYFUNCTION("""COMPUTED_VALUE"""),0.0)</f>
        <v>0</v>
      </c>
      <c r="S5590" s="6" t="str">
        <f>IFERROR(__xludf.DUMMYFUNCTION("""COMPUTED_VALUE"""),"Kimberly Ball")</f>
        <v>Kimberly Ball</v>
      </c>
      <c r="T5590" s="6" t="str">
        <f>IFERROR(__xludf.DUMMYFUNCTION("""COMPUTED_VALUE"""),"kimberly.ball@studient.com")</f>
        <v>kimberly.ball@studient.com</v>
      </c>
      <c r="U5590" s="6" t="str">
        <f>IFERROR(__xludf.DUMMYFUNCTION("""COMPUTED_VALUE"""),"7")</f>
        <v>7</v>
      </c>
      <c r="V5590" s="6" t="str">
        <f>IFERROR(__xludf.DUMMYFUNCTION("""COMPUTED_VALUE"""),"")</f>
        <v/>
      </c>
      <c r="W5590" s="6" t="str">
        <f>IFERROR(__xludf.DUMMYFUNCTION("""COMPUTED_VALUE"""),"[]")</f>
        <v>[]</v>
      </c>
      <c r="X5590" s="6" t="str">
        <f>IFERROR(__xludf.DUMMYFUNCTION("""COMPUTED_VALUE"""),"Enrolled")</f>
        <v>Enrolled</v>
      </c>
    </row>
    <row r="5591">
      <c r="A5591" s="6" t="str">
        <f>IFERROR(__xludf.DUMMYFUNCTION("""COMPUTED_VALUE"""),"087-12188")</f>
        <v>087-12188</v>
      </c>
      <c r="B5591" s="6" t="str">
        <f>IFERROR(__xludf.DUMMYFUNCTION("""COMPUTED_VALUE"""),"87")</f>
        <v>87</v>
      </c>
      <c r="C5591" s="6" t="str">
        <f>IFERROR(__xludf.DUMMYFUNCTION("""COMPUTED_VALUE"""),"12188")</f>
        <v>12188</v>
      </c>
      <c r="D5591" s="6" t="str">
        <f>IFERROR(__xludf.DUMMYFUNCTION("""COMPUTED_VALUE"""),"Cruz")</f>
        <v>Cruz</v>
      </c>
      <c r="E5591" s="6" t="str">
        <f>IFERROR(__xludf.DUMMYFUNCTION("""COMPUTED_VALUE"""),"")</f>
        <v/>
      </c>
      <c r="F5591" s="6" t="str">
        <f>IFERROR(__xludf.DUMMYFUNCTION("""COMPUTED_VALUE"""),"De la Cruz Gonzalez")</f>
        <v>De la Cruz Gonzalez</v>
      </c>
      <c r="G5591" s="6" t="str">
        <f>IFERROR(__xludf.DUMMYFUNCTION("""COMPUTED_VALUE"""),"04/16/2013")</f>
        <v>04/16/2013</v>
      </c>
      <c r="H5591" s="6" t="str">
        <f>IFERROR(__xludf.DUMMYFUNCTION("""COMPUTED_VALUE"""),"male")</f>
        <v>male</v>
      </c>
      <c r="I5591" s="6" t="str">
        <f>IFERROR(__xludf.DUMMYFUNCTION("""COMPUTED_VALUE"""),"Middle School")</f>
        <v>Middle School</v>
      </c>
      <c r="J5591" s="6" t="str">
        <f>IFERROR(__xludf.DUMMYFUNCTION("""COMPUTED_VALUE"""),"7")</f>
        <v>7</v>
      </c>
      <c r="K5591" s="6" t="str">
        <f>IFERROR(__xludf.DUMMYFUNCTION("""COMPUTED_VALUE"""),"cruz.delacruzgonzalez@2hourlearning.com")</f>
        <v>cruz.delacruzgonzalez@2hourlearning.com</v>
      </c>
      <c r="L5591" s="6" t="str">
        <f>IFERROR(__xludf.DUMMYFUNCTION("""COMPUTED_VALUE"""),"JRHS - Ridgeland Secondary Academy of Excellence")</f>
        <v>JRHS - Ridgeland Secondary Academy of Excellence</v>
      </c>
      <c r="M5591" s="6" t="str">
        <f>IFERROR(__xludf.DUMMYFUNCTION("""COMPUTED_VALUE"""),"")</f>
        <v/>
      </c>
      <c r="N5591" s="6" t="str">
        <f>IFERROR(__xludf.DUMMYFUNCTION("""COMPUTED_VALUE"""),"")</f>
        <v/>
      </c>
      <c r="O5591" s="87" t="str">
        <f>IFERROR(__xludf.DUMMYFUNCTION("""COMPUTED_VALUE"""),"https://drive.google.com/drive/folders/10T2cTQHqEJZqE-st6uFKPoI?usp=share_link")</f>
        <v>https://drive.google.com/drive/folders/10T2cTQHqEJZqE-st6uFKPoI?usp=share_link</v>
      </c>
      <c r="P5591" s="6" t="str">
        <f>IFERROR(__xludf.DUMMYFUNCTION("""COMPUTED_VALUE"""),"Cruz De la Cruz Gonzalez")</f>
        <v>Cruz De la Cruz Gonzalez</v>
      </c>
      <c r="Q5591" s="6" t="str">
        <f>IFERROR(__xludf.DUMMYFUNCTION("""COMPUTED_VALUE"""),"MS")</f>
        <v>MS</v>
      </c>
      <c r="R5591" s="6">
        <f>IFERROR(__xludf.DUMMYFUNCTION("""COMPUTED_VALUE"""),0.0)</f>
        <v>0</v>
      </c>
      <c r="S5591" s="6" t="str">
        <f>IFERROR(__xludf.DUMMYFUNCTION("""COMPUTED_VALUE"""),"Kimberly Ball")</f>
        <v>Kimberly Ball</v>
      </c>
      <c r="T5591" s="6" t="str">
        <f>IFERROR(__xludf.DUMMYFUNCTION("""COMPUTED_VALUE"""),"kimberly.ball@studient.com")</f>
        <v>kimberly.ball@studient.com</v>
      </c>
      <c r="U5591" s="6" t="str">
        <f>IFERROR(__xludf.DUMMYFUNCTION("""COMPUTED_VALUE"""),"7")</f>
        <v>7</v>
      </c>
      <c r="V5591" s="6" t="str">
        <f>IFERROR(__xludf.DUMMYFUNCTION("""COMPUTED_VALUE"""),"")</f>
        <v/>
      </c>
      <c r="W5591" s="6" t="str">
        <f>IFERROR(__xludf.DUMMYFUNCTION("""COMPUTED_VALUE"""),"[]")</f>
        <v>[]</v>
      </c>
      <c r="X5591" s="6" t="str">
        <f>IFERROR(__xludf.DUMMYFUNCTION("""COMPUTED_VALUE"""),"Enrolled")</f>
        <v>Enrolled</v>
      </c>
    </row>
    <row r="5592">
      <c r="A5592" s="6" t="str">
        <f>IFERROR(__xludf.DUMMYFUNCTION("""COMPUTED_VALUE"""),"087-12189")</f>
        <v>087-12189</v>
      </c>
      <c r="B5592" s="6" t="str">
        <f>IFERROR(__xludf.DUMMYFUNCTION("""COMPUTED_VALUE"""),"87")</f>
        <v>87</v>
      </c>
      <c r="C5592" s="6" t="str">
        <f>IFERROR(__xludf.DUMMYFUNCTION("""COMPUTED_VALUE"""),"12189")</f>
        <v>12189</v>
      </c>
      <c r="D5592" s="6" t="str">
        <f>IFERROR(__xludf.DUMMYFUNCTION("""COMPUTED_VALUE"""),"Bertin")</f>
        <v>Bertin</v>
      </c>
      <c r="E5592" s="6" t="str">
        <f>IFERROR(__xludf.DUMMYFUNCTION("""COMPUTED_VALUE"""),"")</f>
        <v/>
      </c>
      <c r="F5592" s="6" t="str">
        <f>IFERROR(__xludf.DUMMYFUNCTION("""COMPUTED_VALUE"""),"De La Cruz Romero")</f>
        <v>De La Cruz Romero</v>
      </c>
      <c r="G5592" s="6" t="str">
        <f>IFERROR(__xludf.DUMMYFUNCTION("""COMPUTED_VALUE"""),"02/03/2014")</f>
        <v>02/03/2014</v>
      </c>
      <c r="H5592" s="6" t="str">
        <f>IFERROR(__xludf.DUMMYFUNCTION("""COMPUTED_VALUE"""),"male")</f>
        <v>male</v>
      </c>
      <c r="I5592" s="6" t="str">
        <f>IFERROR(__xludf.DUMMYFUNCTION("""COMPUTED_VALUE"""),"Middle School")</f>
        <v>Middle School</v>
      </c>
      <c r="J5592" s="6" t="str">
        <f>IFERROR(__xludf.DUMMYFUNCTION("""COMPUTED_VALUE"""),"6")</f>
        <v>6</v>
      </c>
      <c r="K5592" s="6" t="str">
        <f>IFERROR(__xludf.DUMMYFUNCTION("""COMPUTED_VALUE"""),"bertin.delacruzromero@2hourlearning.com")</f>
        <v>bertin.delacruzromero@2hourlearning.com</v>
      </c>
      <c r="L5592" s="6" t="str">
        <f>IFERROR(__xludf.DUMMYFUNCTION("""COMPUTED_VALUE"""),"JRHS - Ridgeland Secondary Academy of Excellence")</f>
        <v>JRHS - Ridgeland Secondary Academy of Excellence</v>
      </c>
      <c r="M5592" s="6" t="str">
        <f>IFERROR(__xludf.DUMMYFUNCTION("""COMPUTED_VALUE"""),"")</f>
        <v/>
      </c>
      <c r="N5592" s="6" t="str">
        <f>IFERROR(__xludf.DUMMYFUNCTION("""COMPUTED_VALUE"""),"")</f>
        <v/>
      </c>
      <c r="O5592" s="87" t="str">
        <f>IFERROR(__xludf.DUMMYFUNCTION("""COMPUTED_VALUE"""),"https://drive.google.com/drive/folders/10T2cTQHqEJZqE-st6uFKPoI?usp=share_link")</f>
        <v>https://drive.google.com/drive/folders/10T2cTQHqEJZqE-st6uFKPoI?usp=share_link</v>
      </c>
      <c r="P5592" s="6" t="str">
        <f>IFERROR(__xludf.DUMMYFUNCTION("""COMPUTED_VALUE"""),"Bertin De La Cruz Romero")</f>
        <v>Bertin De La Cruz Romero</v>
      </c>
      <c r="Q5592" s="6" t="str">
        <f>IFERROR(__xludf.DUMMYFUNCTION("""COMPUTED_VALUE"""),"MS")</f>
        <v>MS</v>
      </c>
      <c r="R5592" s="6">
        <f>IFERROR(__xludf.DUMMYFUNCTION("""COMPUTED_VALUE"""),0.0)</f>
        <v>0</v>
      </c>
      <c r="S5592" s="6" t="str">
        <f>IFERROR(__xludf.DUMMYFUNCTION("""COMPUTED_VALUE"""),"Kimberly Ball")</f>
        <v>Kimberly Ball</v>
      </c>
      <c r="T5592" s="6" t="str">
        <f>IFERROR(__xludf.DUMMYFUNCTION("""COMPUTED_VALUE"""),"kimberly.ball@studient.com")</f>
        <v>kimberly.ball@studient.com</v>
      </c>
      <c r="U5592" s="6" t="str">
        <f>IFERROR(__xludf.DUMMYFUNCTION("""COMPUTED_VALUE"""),"6")</f>
        <v>6</v>
      </c>
      <c r="V5592" s="6" t="str">
        <f>IFERROR(__xludf.DUMMYFUNCTION("""COMPUTED_VALUE"""),"")</f>
        <v/>
      </c>
      <c r="W5592" s="6" t="str">
        <f>IFERROR(__xludf.DUMMYFUNCTION("""COMPUTED_VALUE"""),"[]")</f>
        <v>[]</v>
      </c>
      <c r="X5592" s="6" t="str">
        <f>IFERROR(__xludf.DUMMYFUNCTION("""COMPUTED_VALUE"""),"Enrolled")</f>
        <v>Enrolled</v>
      </c>
    </row>
    <row r="5593">
      <c r="A5593" s="6" t="str">
        <f>IFERROR(__xludf.DUMMYFUNCTION("""COMPUTED_VALUE"""),"087-12190")</f>
        <v>087-12190</v>
      </c>
      <c r="B5593" s="6" t="str">
        <f>IFERROR(__xludf.DUMMYFUNCTION("""COMPUTED_VALUE"""),"87")</f>
        <v>87</v>
      </c>
      <c r="C5593" s="6" t="str">
        <f>IFERROR(__xludf.DUMMYFUNCTION("""COMPUTED_VALUE"""),"12190")</f>
        <v>12190</v>
      </c>
      <c r="D5593" s="6" t="str">
        <f>IFERROR(__xludf.DUMMYFUNCTION("""COMPUTED_VALUE"""),"Allison")</f>
        <v>Allison</v>
      </c>
      <c r="E5593" s="6" t="str">
        <f>IFERROR(__xludf.DUMMYFUNCTION("""COMPUTED_VALUE"""),"")</f>
        <v/>
      </c>
      <c r="F5593" s="6" t="str">
        <f>IFERROR(__xludf.DUMMYFUNCTION("""COMPUTED_VALUE"""),"Dearcia-Matamoros")</f>
        <v>Dearcia-Matamoros</v>
      </c>
      <c r="G5593" s="6" t="str">
        <f>IFERROR(__xludf.DUMMYFUNCTION("""COMPUTED_VALUE"""),"12/29/2012")</f>
        <v>12/29/2012</v>
      </c>
      <c r="H5593" s="6" t="str">
        <f>IFERROR(__xludf.DUMMYFUNCTION("""COMPUTED_VALUE"""),"female")</f>
        <v>female</v>
      </c>
      <c r="I5593" s="6" t="str">
        <f>IFERROR(__xludf.DUMMYFUNCTION("""COMPUTED_VALUE"""),"Middle School")</f>
        <v>Middle School</v>
      </c>
      <c r="J5593" s="6" t="str">
        <f>IFERROR(__xludf.DUMMYFUNCTION("""COMPUTED_VALUE"""),"7")</f>
        <v>7</v>
      </c>
      <c r="K5593" s="6" t="str">
        <f>IFERROR(__xludf.DUMMYFUNCTION("""COMPUTED_VALUE"""),"allison.dearcia-matamoros@2hourlearning.com")</f>
        <v>allison.dearcia-matamoros@2hourlearning.com</v>
      </c>
      <c r="L5593" s="6" t="str">
        <f>IFERROR(__xludf.DUMMYFUNCTION("""COMPUTED_VALUE"""),"JRHS - Ridgeland Secondary Academy of Excellence")</f>
        <v>JRHS - Ridgeland Secondary Academy of Excellence</v>
      </c>
      <c r="M5593" s="6" t="str">
        <f>IFERROR(__xludf.DUMMYFUNCTION("""COMPUTED_VALUE"""),"")</f>
        <v/>
      </c>
      <c r="N5593" s="6" t="str">
        <f>IFERROR(__xludf.DUMMYFUNCTION("""COMPUTED_VALUE"""),"")</f>
        <v/>
      </c>
      <c r="O5593" s="87" t="str">
        <f>IFERROR(__xludf.DUMMYFUNCTION("""COMPUTED_VALUE"""),"https://drive.google.com/drive/folders/10T2cTQHqEJZqE-st6uFKPoI?usp=share_link")</f>
        <v>https://drive.google.com/drive/folders/10T2cTQHqEJZqE-st6uFKPoI?usp=share_link</v>
      </c>
      <c r="P5593" s="6" t="str">
        <f>IFERROR(__xludf.DUMMYFUNCTION("""COMPUTED_VALUE"""),"Allison Dearcia-Matamoros")</f>
        <v>Allison Dearcia-Matamoros</v>
      </c>
      <c r="Q5593" s="6" t="str">
        <f>IFERROR(__xludf.DUMMYFUNCTION("""COMPUTED_VALUE"""),"MS")</f>
        <v>MS</v>
      </c>
      <c r="R5593" s="6">
        <f>IFERROR(__xludf.DUMMYFUNCTION("""COMPUTED_VALUE"""),0.0)</f>
        <v>0</v>
      </c>
      <c r="S5593" s="6" t="str">
        <f>IFERROR(__xludf.DUMMYFUNCTION("""COMPUTED_VALUE"""),"Kimberly Ball")</f>
        <v>Kimberly Ball</v>
      </c>
      <c r="T5593" s="6" t="str">
        <f>IFERROR(__xludf.DUMMYFUNCTION("""COMPUTED_VALUE"""),"kimberly.ball@studient.com")</f>
        <v>kimberly.ball@studient.com</v>
      </c>
      <c r="U5593" s="6" t="str">
        <f>IFERROR(__xludf.DUMMYFUNCTION("""COMPUTED_VALUE"""),"7")</f>
        <v>7</v>
      </c>
      <c r="V5593" s="6" t="str">
        <f>IFERROR(__xludf.DUMMYFUNCTION("""COMPUTED_VALUE"""),"")</f>
        <v/>
      </c>
      <c r="W5593" s="6" t="str">
        <f>IFERROR(__xludf.DUMMYFUNCTION("""COMPUTED_VALUE"""),"[]")</f>
        <v>[]</v>
      </c>
      <c r="X5593" s="6" t="str">
        <f>IFERROR(__xludf.DUMMYFUNCTION("""COMPUTED_VALUE"""),"Enrolled")</f>
        <v>Enrolled</v>
      </c>
    </row>
    <row r="5594">
      <c r="A5594" s="6" t="str">
        <f>IFERROR(__xludf.DUMMYFUNCTION("""COMPUTED_VALUE"""),"087-12191")</f>
        <v>087-12191</v>
      </c>
      <c r="B5594" s="6" t="str">
        <f>IFERROR(__xludf.DUMMYFUNCTION("""COMPUTED_VALUE"""),"87")</f>
        <v>87</v>
      </c>
      <c r="C5594" s="6" t="str">
        <f>IFERROR(__xludf.DUMMYFUNCTION("""COMPUTED_VALUE"""),"12191")</f>
        <v>12191</v>
      </c>
      <c r="D5594" s="6" t="str">
        <f>IFERROR(__xludf.DUMMYFUNCTION("""COMPUTED_VALUE"""),"Nasha'")</f>
        <v>Nasha'</v>
      </c>
      <c r="E5594" s="6" t="str">
        <f>IFERROR(__xludf.DUMMYFUNCTION("""COMPUTED_VALUE"""),"")</f>
        <v/>
      </c>
      <c r="F5594" s="6" t="str">
        <f>IFERROR(__xludf.DUMMYFUNCTION("""COMPUTED_VALUE"""),"Dessasure")</f>
        <v>Dessasure</v>
      </c>
      <c r="G5594" s="6" t="str">
        <f>IFERROR(__xludf.DUMMYFUNCTION("""COMPUTED_VALUE"""),"09/16/2012")</f>
        <v>09/16/2012</v>
      </c>
      <c r="H5594" s="6" t="str">
        <f>IFERROR(__xludf.DUMMYFUNCTION("""COMPUTED_VALUE"""),"female")</f>
        <v>female</v>
      </c>
      <c r="I5594" s="6" t="str">
        <f>IFERROR(__xludf.DUMMYFUNCTION("""COMPUTED_VALUE"""),"Middle School")</f>
        <v>Middle School</v>
      </c>
      <c r="J5594" s="6" t="str">
        <f>IFERROR(__xludf.DUMMYFUNCTION("""COMPUTED_VALUE"""),"7")</f>
        <v>7</v>
      </c>
      <c r="K5594" s="6" t="str">
        <f>IFERROR(__xludf.DUMMYFUNCTION("""COMPUTED_VALUE"""),"nasha.dessasure@2hourlearning.com")</f>
        <v>nasha.dessasure@2hourlearning.com</v>
      </c>
      <c r="L5594" s="6" t="str">
        <f>IFERROR(__xludf.DUMMYFUNCTION("""COMPUTED_VALUE"""),"JRHS - Ridgeland Secondary Academy of Excellence")</f>
        <v>JRHS - Ridgeland Secondary Academy of Excellence</v>
      </c>
      <c r="M5594" s="6" t="str">
        <f>IFERROR(__xludf.DUMMYFUNCTION("""COMPUTED_VALUE"""),"")</f>
        <v/>
      </c>
      <c r="N5594" s="6" t="str">
        <f>IFERROR(__xludf.DUMMYFUNCTION("""COMPUTED_VALUE"""),"")</f>
        <v/>
      </c>
      <c r="O5594" s="87" t="str">
        <f>IFERROR(__xludf.DUMMYFUNCTION("""COMPUTED_VALUE"""),"https://drive.google.com/drive/folders/10T2cTQHqEJZqE-st6uFKPoI?usp=share_link")</f>
        <v>https://drive.google.com/drive/folders/10T2cTQHqEJZqE-st6uFKPoI?usp=share_link</v>
      </c>
      <c r="P5594" s="6" t="str">
        <f>IFERROR(__xludf.DUMMYFUNCTION("""COMPUTED_VALUE"""),"Nasha' Dessasure")</f>
        <v>Nasha' Dessasure</v>
      </c>
      <c r="Q5594" s="6" t="str">
        <f>IFERROR(__xludf.DUMMYFUNCTION("""COMPUTED_VALUE"""),"MS")</f>
        <v>MS</v>
      </c>
      <c r="R5594" s="6">
        <f>IFERROR(__xludf.DUMMYFUNCTION("""COMPUTED_VALUE"""),0.0)</f>
        <v>0</v>
      </c>
      <c r="S5594" s="6" t="str">
        <f>IFERROR(__xludf.DUMMYFUNCTION("""COMPUTED_VALUE"""),"Kimberly Ball")</f>
        <v>Kimberly Ball</v>
      </c>
      <c r="T5594" s="6" t="str">
        <f>IFERROR(__xludf.DUMMYFUNCTION("""COMPUTED_VALUE"""),"kimberly.ball@studient.com")</f>
        <v>kimberly.ball@studient.com</v>
      </c>
      <c r="U5594" s="6" t="str">
        <f>IFERROR(__xludf.DUMMYFUNCTION("""COMPUTED_VALUE"""),"7")</f>
        <v>7</v>
      </c>
      <c r="V5594" s="6" t="str">
        <f>IFERROR(__xludf.DUMMYFUNCTION("""COMPUTED_VALUE"""),"")</f>
        <v/>
      </c>
      <c r="W5594" s="6" t="str">
        <f>IFERROR(__xludf.DUMMYFUNCTION("""COMPUTED_VALUE"""),"[]")</f>
        <v>[]</v>
      </c>
      <c r="X5594" s="6" t="str">
        <f>IFERROR(__xludf.DUMMYFUNCTION("""COMPUTED_VALUE"""),"Enrolled")</f>
        <v>Enrolled</v>
      </c>
    </row>
    <row r="5595">
      <c r="A5595" s="6" t="str">
        <f>IFERROR(__xludf.DUMMYFUNCTION("""COMPUTED_VALUE"""),"087-12192")</f>
        <v>087-12192</v>
      </c>
      <c r="B5595" s="6" t="str">
        <f>IFERROR(__xludf.DUMMYFUNCTION("""COMPUTED_VALUE"""),"87")</f>
        <v>87</v>
      </c>
      <c r="C5595" s="6" t="str">
        <f>IFERROR(__xludf.DUMMYFUNCTION("""COMPUTED_VALUE"""),"12192")</f>
        <v>12192</v>
      </c>
      <c r="D5595" s="6" t="str">
        <f>IFERROR(__xludf.DUMMYFUNCTION("""COMPUTED_VALUE"""),"Nevaeh")</f>
        <v>Nevaeh</v>
      </c>
      <c r="E5595" s="6" t="str">
        <f>IFERROR(__xludf.DUMMYFUNCTION("""COMPUTED_VALUE"""),"")</f>
        <v/>
      </c>
      <c r="F5595" s="6" t="str">
        <f>IFERROR(__xludf.DUMMYFUNCTION("""COMPUTED_VALUE"""),"Dessasure")</f>
        <v>Dessasure</v>
      </c>
      <c r="G5595" s="6" t="str">
        <f>IFERROR(__xludf.DUMMYFUNCTION("""COMPUTED_VALUE"""),"10/29/2011")</f>
        <v>10/29/2011</v>
      </c>
      <c r="H5595" s="6" t="str">
        <f>IFERROR(__xludf.DUMMYFUNCTION("""COMPUTED_VALUE"""),"female")</f>
        <v>female</v>
      </c>
      <c r="I5595" s="6" t="str">
        <f>IFERROR(__xludf.DUMMYFUNCTION("""COMPUTED_VALUE"""),"Middle School")</f>
        <v>Middle School</v>
      </c>
      <c r="J5595" s="6" t="str">
        <f>IFERROR(__xludf.DUMMYFUNCTION("""COMPUTED_VALUE"""),"8")</f>
        <v>8</v>
      </c>
      <c r="K5595" s="6" t="str">
        <f>IFERROR(__xludf.DUMMYFUNCTION("""COMPUTED_VALUE"""),"nevaeh.dessasure@2hourlearning.com")</f>
        <v>nevaeh.dessasure@2hourlearning.com</v>
      </c>
      <c r="L5595" s="6" t="str">
        <f>IFERROR(__xludf.DUMMYFUNCTION("""COMPUTED_VALUE"""),"JRHS - Ridgeland Secondary Academy of Excellence")</f>
        <v>JRHS - Ridgeland Secondary Academy of Excellence</v>
      </c>
      <c r="M5595" s="6" t="str">
        <f>IFERROR(__xludf.DUMMYFUNCTION("""COMPUTED_VALUE"""),"")</f>
        <v/>
      </c>
      <c r="N5595" s="6" t="str">
        <f>IFERROR(__xludf.DUMMYFUNCTION("""COMPUTED_VALUE"""),"")</f>
        <v/>
      </c>
      <c r="O5595" s="87" t="str">
        <f>IFERROR(__xludf.DUMMYFUNCTION("""COMPUTED_VALUE"""),"https://drive.google.com/drive/folders/10T2cTQHqEJZqE-st6uFKPoI?usp=share_link")</f>
        <v>https://drive.google.com/drive/folders/10T2cTQHqEJZqE-st6uFKPoI?usp=share_link</v>
      </c>
      <c r="P5595" s="6" t="str">
        <f>IFERROR(__xludf.DUMMYFUNCTION("""COMPUTED_VALUE"""),"Nevaeh Dessasure")</f>
        <v>Nevaeh Dessasure</v>
      </c>
      <c r="Q5595" s="6" t="str">
        <f>IFERROR(__xludf.DUMMYFUNCTION("""COMPUTED_VALUE"""),"MS")</f>
        <v>MS</v>
      </c>
      <c r="R5595" s="6">
        <f>IFERROR(__xludf.DUMMYFUNCTION("""COMPUTED_VALUE"""),0.0)</f>
        <v>0</v>
      </c>
      <c r="S5595" s="6" t="str">
        <f>IFERROR(__xludf.DUMMYFUNCTION("""COMPUTED_VALUE"""),"Kimberly Ball")</f>
        <v>Kimberly Ball</v>
      </c>
      <c r="T5595" s="6" t="str">
        <f>IFERROR(__xludf.DUMMYFUNCTION("""COMPUTED_VALUE"""),"kimberly.ball@studient.com")</f>
        <v>kimberly.ball@studient.com</v>
      </c>
      <c r="U5595" s="6" t="str">
        <f>IFERROR(__xludf.DUMMYFUNCTION("""COMPUTED_VALUE"""),"8")</f>
        <v>8</v>
      </c>
      <c r="V5595" s="6" t="str">
        <f>IFERROR(__xludf.DUMMYFUNCTION("""COMPUTED_VALUE"""),"")</f>
        <v/>
      </c>
      <c r="W5595" s="6" t="str">
        <f>IFERROR(__xludf.DUMMYFUNCTION("""COMPUTED_VALUE"""),"[]")</f>
        <v>[]</v>
      </c>
      <c r="X5595" s="6" t="str">
        <f>IFERROR(__xludf.DUMMYFUNCTION("""COMPUTED_VALUE"""),"Enrolled")</f>
        <v>Enrolled</v>
      </c>
    </row>
    <row r="5596">
      <c r="A5596" s="6" t="str">
        <f>IFERROR(__xludf.DUMMYFUNCTION("""COMPUTED_VALUE"""),"087-12193")</f>
        <v>087-12193</v>
      </c>
      <c r="B5596" s="6" t="str">
        <f>IFERROR(__xludf.DUMMYFUNCTION("""COMPUTED_VALUE"""),"87")</f>
        <v>87</v>
      </c>
      <c r="C5596" s="6" t="str">
        <f>IFERROR(__xludf.DUMMYFUNCTION("""COMPUTED_VALUE"""),"12193")</f>
        <v>12193</v>
      </c>
      <c r="D5596" s="6" t="str">
        <f>IFERROR(__xludf.DUMMYFUNCTION("""COMPUTED_VALUE"""),"Jakobe")</f>
        <v>Jakobe</v>
      </c>
      <c r="E5596" s="6" t="str">
        <f>IFERROR(__xludf.DUMMYFUNCTION("""COMPUTED_VALUE"""),"")</f>
        <v/>
      </c>
      <c r="F5596" s="6" t="str">
        <f>IFERROR(__xludf.DUMMYFUNCTION("""COMPUTED_VALUE"""),"Devore")</f>
        <v>Devore</v>
      </c>
      <c r="G5596" s="6" t="str">
        <f>IFERROR(__xludf.DUMMYFUNCTION("""COMPUTED_VALUE"""),"02/16/2014")</f>
        <v>02/16/2014</v>
      </c>
      <c r="H5596" s="6" t="str">
        <f>IFERROR(__xludf.DUMMYFUNCTION("""COMPUTED_VALUE"""),"male")</f>
        <v>male</v>
      </c>
      <c r="I5596" s="6" t="str">
        <f>IFERROR(__xludf.DUMMYFUNCTION("""COMPUTED_VALUE"""),"Middle School")</f>
        <v>Middle School</v>
      </c>
      <c r="J5596" s="6" t="str">
        <f>IFERROR(__xludf.DUMMYFUNCTION("""COMPUTED_VALUE"""),"6")</f>
        <v>6</v>
      </c>
      <c r="K5596" s="6" t="str">
        <f>IFERROR(__xludf.DUMMYFUNCTION("""COMPUTED_VALUE"""),"jakobe.devore@2hourlearning.com")</f>
        <v>jakobe.devore@2hourlearning.com</v>
      </c>
      <c r="L5596" s="6" t="str">
        <f>IFERROR(__xludf.DUMMYFUNCTION("""COMPUTED_VALUE"""),"JRHS - Ridgeland Secondary Academy of Excellence")</f>
        <v>JRHS - Ridgeland Secondary Academy of Excellence</v>
      </c>
      <c r="M5596" s="6" t="str">
        <f>IFERROR(__xludf.DUMMYFUNCTION("""COMPUTED_VALUE"""),"")</f>
        <v/>
      </c>
      <c r="N5596" s="6" t="str">
        <f>IFERROR(__xludf.DUMMYFUNCTION("""COMPUTED_VALUE"""),"")</f>
        <v/>
      </c>
      <c r="O5596" s="87" t="str">
        <f>IFERROR(__xludf.DUMMYFUNCTION("""COMPUTED_VALUE"""),"https://drive.google.com/drive/folders/10T2cTQHqEJZqE-st6uFKPoI?usp=share_link")</f>
        <v>https://drive.google.com/drive/folders/10T2cTQHqEJZqE-st6uFKPoI?usp=share_link</v>
      </c>
      <c r="P5596" s="6" t="str">
        <f>IFERROR(__xludf.DUMMYFUNCTION("""COMPUTED_VALUE"""),"Jakobe Devore")</f>
        <v>Jakobe Devore</v>
      </c>
      <c r="Q5596" s="6" t="str">
        <f>IFERROR(__xludf.DUMMYFUNCTION("""COMPUTED_VALUE"""),"MS")</f>
        <v>MS</v>
      </c>
      <c r="R5596" s="6">
        <f>IFERROR(__xludf.DUMMYFUNCTION("""COMPUTED_VALUE"""),0.0)</f>
        <v>0</v>
      </c>
      <c r="S5596" s="6" t="str">
        <f>IFERROR(__xludf.DUMMYFUNCTION("""COMPUTED_VALUE"""),"Kimberly Ball")</f>
        <v>Kimberly Ball</v>
      </c>
      <c r="T5596" s="6" t="str">
        <f>IFERROR(__xludf.DUMMYFUNCTION("""COMPUTED_VALUE"""),"kimberly.ball@studient.com")</f>
        <v>kimberly.ball@studient.com</v>
      </c>
      <c r="U5596" s="6" t="str">
        <f>IFERROR(__xludf.DUMMYFUNCTION("""COMPUTED_VALUE"""),"6")</f>
        <v>6</v>
      </c>
      <c r="V5596" s="6" t="str">
        <f>IFERROR(__xludf.DUMMYFUNCTION("""COMPUTED_VALUE"""),"")</f>
        <v/>
      </c>
      <c r="W5596" s="6" t="str">
        <f>IFERROR(__xludf.DUMMYFUNCTION("""COMPUTED_VALUE"""),"[]")</f>
        <v>[]</v>
      </c>
      <c r="X5596" s="6" t="str">
        <f>IFERROR(__xludf.DUMMYFUNCTION("""COMPUTED_VALUE"""),"Enrolled")</f>
        <v>Enrolled</v>
      </c>
    </row>
    <row r="5597">
      <c r="A5597" s="6" t="str">
        <f>IFERROR(__xludf.DUMMYFUNCTION("""COMPUTED_VALUE"""),"087-12194")</f>
        <v>087-12194</v>
      </c>
      <c r="B5597" s="6" t="str">
        <f>IFERROR(__xludf.DUMMYFUNCTION("""COMPUTED_VALUE"""),"87")</f>
        <v>87</v>
      </c>
      <c r="C5597" s="6" t="str">
        <f>IFERROR(__xludf.DUMMYFUNCTION("""COMPUTED_VALUE"""),"12194")</f>
        <v>12194</v>
      </c>
      <c r="D5597" s="6" t="str">
        <f>IFERROR(__xludf.DUMMYFUNCTION("""COMPUTED_VALUE"""),"Dante")</f>
        <v>Dante</v>
      </c>
      <c r="E5597" s="6" t="str">
        <f>IFERROR(__xludf.DUMMYFUNCTION("""COMPUTED_VALUE"""),"")</f>
        <v/>
      </c>
      <c r="F5597" s="6" t="str">
        <f>IFERROR(__xludf.DUMMYFUNCTION("""COMPUTED_VALUE"""),"Diaz")</f>
        <v>Diaz</v>
      </c>
      <c r="G5597" s="6" t="str">
        <f>IFERROR(__xludf.DUMMYFUNCTION("""COMPUTED_VALUE"""),"03/15/2013")</f>
        <v>03/15/2013</v>
      </c>
      <c r="H5597" s="6" t="str">
        <f>IFERROR(__xludf.DUMMYFUNCTION("""COMPUTED_VALUE"""),"male")</f>
        <v>male</v>
      </c>
      <c r="I5597" s="6" t="str">
        <f>IFERROR(__xludf.DUMMYFUNCTION("""COMPUTED_VALUE"""),"Middle School")</f>
        <v>Middle School</v>
      </c>
      <c r="J5597" s="6" t="str">
        <f>IFERROR(__xludf.DUMMYFUNCTION("""COMPUTED_VALUE"""),"7")</f>
        <v>7</v>
      </c>
      <c r="K5597" s="6" t="str">
        <f>IFERROR(__xludf.DUMMYFUNCTION("""COMPUTED_VALUE"""),"dante.diaz@2hourlearning.com")</f>
        <v>dante.diaz@2hourlearning.com</v>
      </c>
      <c r="L5597" s="6" t="str">
        <f>IFERROR(__xludf.DUMMYFUNCTION("""COMPUTED_VALUE"""),"JRHS - Ridgeland Secondary Academy of Excellence")</f>
        <v>JRHS - Ridgeland Secondary Academy of Excellence</v>
      </c>
      <c r="M5597" s="6" t="str">
        <f>IFERROR(__xludf.DUMMYFUNCTION("""COMPUTED_VALUE"""),"")</f>
        <v/>
      </c>
      <c r="N5597" s="6" t="str">
        <f>IFERROR(__xludf.DUMMYFUNCTION("""COMPUTED_VALUE"""),"")</f>
        <v/>
      </c>
      <c r="O5597" s="87" t="str">
        <f>IFERROR(__xludf.DUMMYFUNCTION("""COMPUTED_VALUE"""),"https://drive.google.com/drive/folders/10T2cTQHqEJZqE-st6uFKPoI?usp=share_link")</f>
        <v>https://drive.google.com/drive/folders/10T2cTQHqEJZqE-st6uFKPoI?usp=share_link</v>
      </c>
      <c r="P5597" s="6" t="str">
        <f>IFERROR(__xludf.DUMMYFUNCTION("""COMPUTED_VALUE"""),"Dante Diaz")</f>
        <v>Dante Diaz</v>
      </c>
      <c r="Q5597" s="6" t="str">
        <f>IFERROR(__xludf.DUMMYFUNCTION("""COMPUTED_VALUE"""),"MS")</f>
        <v>MS</v>
      </c>
      <c r="R5597" s="6">
        <f>IFERROR(__xludf.DUMMYFUNCTION("""COMPUTED_VALUE"""),0.0)</f>
        <v>0</v>
      </c>
      <c r="S5597" s="6" t="str">
        <f>IFERROR(__xludf.DUMMYFUNCTION("""COMPUTED_VALUE"""),"Kimberly Ball")</f>
        <v>Kimberly Ball</v>
      </c>
      <c r="T5597" s="6" t="str">
        <f>IFERROR(__xludf.DUMMYFUNCTION("""COMPUTED_VALUE"""),"kimberly.ball@studient.com")</f>
        <v>kimberly.ball@studient.com</v>
      </c>
      <c r="U5597" s="6" t="str">
        <f>IFERROR(__xludf.DUMMYFUNCTION("""COMPUTED_VALUE"""),"7")</f>
        <v>7</v>
      </c>
      <c r="V5597" s="6" t="str">
        <f>IFERROR(__xludf.DUMMYFUNCTION("""COMPUTED_VALUE"""),"")</f>
        <v/>
      </c>
      <c r="W5597" s="6" t="str">
        <f>IFERROR(__xludf.DUMMYFUNCTION("""COMPUTED_VALUE"""),"[]")</f>
        <v>[]</v>
      </c>
      <c r="X5597" s="6" t="str">
        <f>IFERROR(__xludf.DUMMYFUNCTION("""COMPUTED_VALUE"""),"Enrolled")</f>
        <v>Enrolled</v>
      </c>
    </row>
    <row r="5598">
      <c r="A5598" s="6" t="str">
        <f>IFERROR(__xludf.DUMMYFUNCTION("""COMPUTED_VALUE"""),"087-12195")</f>
        <v>087-12195</v>
      </c>
      <c r="B5598" s="6" t="str">
        <f>IFERROR(__xludf.DUMMYFUNCTION("""COMPUTED_VALUE"""),"87")</f>
        <v>87</v>
      </c>
      <c r="C5598" s="6" t="str">
        <f>IFERROR(__xludf.DUMMYFUNCTION("""COMPUTED_VALUE"""),"12195")</f>
        <v>12195</v>
      </c>
      <c r="D5598" s="6" t="str">
        <f>IFERROR(__xludf.DUMMYFUNCTION("""COMPUTED_VALUE"""),"James")</f>
        <v>James</v>
      </c>
      <c r="E5598" s="6" t="str">
        <f>IFERROR(__xludf.DUMMYFUNCTION("""COMPUTED_VALUE"""),"")</f>
        <v/>
      </c>
      <c r="F5598" s="6" t="str">
        <f>IFERROR(__xludf.DUMMYFUNCTION("""COMPUTED_VALUE"""),"Diaz")</f>
        <v>Diaz</v>
      </c>
      <c r="G5598" s="6" t="str">
        <f>IFERROR(__xludf.DUMMYFUNCTION("""COMPUTED_VALUE"""),"09/01/2014")</f>
        <v>09/01/2014</v>
      </c>
      <c r="H5598" s="6" t="str">
        <f>IFERROR(__xludf.DUMMYFUNCTION("""COMPUTED_VALUE"""),"male")</f>
        <v>male</v>
      </c>
      <c r="I5598" s="6" t="str">
        <f>IFERROR(__xludf.DUMMYFUNCTION("""COMPUTED_VALUE"""),"Middle School")</f>
        <v>Middle School</v>
      </c>
      <c r="J5598" s="6" t="str">
        <f>IFERROR(__xludf.DUMMYFUNCTION("""COMPUTED_VALUE"""),"6")</f>
        <v>6</v>
      </c>
      <c r="K5598" s="6" t="str">
        <f>IFERROR(__xludf.DUMMYFUNCTION("""COMPUTED_VALUE"""),"james.diaz@2hourlearning.com")</f>
        <v>james.diaz@2hourlearning.com</v>
      </c>
      <c r="L5598" s="6" t="str">
        <f>IFERROR(__xludf.DUMMYFUNCTION("""COMPUTED_VALUE"""),"JRHS - Ridgeland Secondary Academy of Excellence")</f>
        <v>JRHS - Ridgeland Secondary Academy of Excellence</v>
      </c>
      <c r="M5598" s="6" t="str">
        <f>IFERROR(__xludf.DUMMYFUNCTION("""COMPUTED_VALUE"""),"")</f>
        <v/>
      </c>
      <c r="N5598" s="6" t="str">
        <f>IFERROR(__xludf.DUMMYFUNCTION("""COMPUTED_VALUE"""),"")</f>
        <v/>
      </c>
      <c r="O5598" s="87" t="str">
        <f>IFERROR(__xludf.DUMMYFUNCTION("""COMPUTED_VALUE"""),"https://drive.google.com/drive/folders/10T2cTQHqEJZqE-st6uFKPoI?usp=share_link")</f>
        <v>https://drive.google.com/drive/folders/10T2cTQHqEJZqE-st6uFKPoI?usp=share_link</v>
      </c>
      <c r="P5598" s="6" t="str">
        <f>IFERROR(__xludf.DUMMYFUNCTION("""COMPUTED_VALUE"""),"James Diaz")</f>
        <v>James Diaz</v>
      </c>
      <c r="Q5598" s="6" t="str">
        <f>IFERROR(__xludf.DUMMYFUNCTION("""COMPUTED_VALUE"""),"MS")</f>
        <v>MS</v>
      </c>
      <c r="R5598" s="6">
        <f>IFERROR(__xludf.DUMMYFUNCTION("""COMPUTED_VALUE"""),0.0)</f>
        <v>0</v>
      </c>
      <c r="S5598" s="6" t="str">
        <f>IFERROR(__xludf.DUMMYFUNCTION("""COMPUTED_VALUE"""),"Kimberly Ball")</f>
        <v>Kimberly Ball</v>
      </c>
      <c r="T5598" s="6" t="str">
        <f>IFERROR(__xludf.DUMMYFUNCTION("""COMPUTED_VALUE"""),"kimberly.ball@studient.com")</f>
        <v>kimberly.ball@studient.com</v>
      </c>
      <c r="U5598" s="6" t="str">
        <f>IFERROR(__xludf.DUMMYFUNCTION("""COMPUTED_VALUE"""),"6")</f>
        <v>6</v>
      </c>
      <c r="V5598" s="6" t="str">
        <f>IFERROR(__xludf.DUMMYFUNCTION("""COMPUTED_VALUE"""),"")</f>
        <v/>
      </c>
      <c r="W5598" s="6" t="str">
        <f>IFERROR(__xludf.DUMMYFUNCTION("""COMPUTED_VALUE"""),"[]")</f>
        <v>[]</v>
      </c>
      <c r="X5598" s="6" t="str">
        <f>IFERROR(__xludf.DUMMYFUNCTION("""COMPUTED_VALUE"""),"Enrolled")</f>
        <v>Enrolled</v>
      </c>
    </row>
    <row r="5599">
      <c r="A5599" s="6" t="str">
        <f>IFERROR(__xludf.DUMMYFUNCTION("""COMPUTED_VALUE"""),"087-12196")</f>
        <v>087-12196</v>
      </c>
      <c r="B5599" s="6" t="str">
        <f>IFERROR(__xludf.DUMMYFUNCTION("""COMPUTED_VALUE"""),"87")</f>
        <v>87</v>
      </c>
      <c r="C5599" s="6" t="str">
        <f>IFERROR(__xludf.DUMMYFUNCTION("""COMPUTED_VALUE"""),"12196")</f>
        <v>12196</v>
      </c>
      <c r="D5599" s="6" t="str">
        <f>IFERROR(__xludf.DUMMYFUNCTION("""COMPUTED_VALUE"""),"Alba Esther")</f>
        <v>Alba Esther</v>
      </c>
      <c r="E5599" s="6" t="str">
        <f>IFERROR(__xludf.DUMMYFUNCTION("""COMPUTED_VALUE"""),"")</f>
        <v/>
      </c>
      <c r="F5599" s="6" t="str">
        <f>IFERROR(__xludf.DUMMYFUNCTION("""COMPUTED_VALUE"""),"Diaz Pinto")</f>
        <v>Diaz Pinto</v>
      </c>
      <c r="G5599" s="6" t="str">
        <f>IFERROR(__xludf.DUMMYFUNCTION("""COMPUTED_VALUE"""),"03/24/2014")</f>
        <v>03/24/2014</v>
      </c>
      <c r="H5599" s="6" t="str">
        <f>IFERROR(__xludf.DUMMYFUNCTION("""COMPUTED_VALUE"""),"female")</f>
        <v>female</v>
      </c>
      <c r="I5599" s="6" t="str">
        <f>IFERROR(__xludf.DUMMYFUNCTION("""COMPUTED_VALUE"""),"Middle School")</f>
        <v>Middle School</v>
      </c>
      <c r="J5599" s="6" t="str">
        <f>IFERROR(__xludf.DUMMYFUNCTION("""COMPUTED_VALUE"""),"6")</f>
        <v>6</v>
      </c>
      <c r="K5599" s="6" t="str">
        <f>IFERROR(__xludf.DUMMYFUNCTION("""COMPUTED_VALUE"""),"albaesther.diazpinto@2hourlearning.com")</f>
        <v>albaesther.diazpinto@2hourlearning.com</v>
      </c>
      <c r="L5599" s="6" t="str">
        <f>IFERROR(__xludf.DUMMYFUNCTION("""COMPUTED_VALUE"""),"JRHS - Ridgeland Secondary Academy of Excellence")</f>
        <v>JRHS - Ridgeland Secondary Academy of Excellence</v>
      </c>
      <c r="M5599" s="6" t="str">
        <f>IFERROR(__xludf.DUMMYFUNCTION("""COMPUTED_VALUE"""),"")</f>
        <v/>
      </c>
      <c r="N5599" s="6" t="str">
        <f>IFERROR(__xludf.DUMMYFUNCTION("""COMPUTED_VALUE"""),"")</f>
        <v/>
      </c>
      <c r="O5599" s="87" t="str">
        <f>IFERROR(__xludf.DUMMYFUNCTION("""COMPUTED_VALUE"""),"https://drive.google.com/drive/folders/10T2cTQHqEJZqE-st6uFKPoI?usp=share_link")</f>
        <v>https://drive.google.com/drive/folders/10T2cTQHqEJZqE-st6uFKPoI?usp=share_link</v>
      </c>
      <c r="P5599" s="6" t="str">
        <f>IFERROR(__xludf.DUMMYFUNCTION("""COMPUTED_VALUE"""),"Alba Esther Diaz Pinto")</f>
        <v>Alba Esther Diaz Pinto</v>
      </c>
      <c r="Q5599" s="6" t="str">
        <f>IFERROR(__xludf.DUMMYFUNCTION("""COMPUTED_VALUE"""),"MS")</f>
        <v>MS</v>
      </c>
      <c r="R5599" s="6">
        <f>IFERROR(__xludf.DUMMYFUNCTION("""COMPUTED_VALUE"""),0.0)</f>
        <v>0</v>
      </c>
      <c r="S5599" s="6" t="str">
        <f>IFERROR(__xludf.DUMMYFUNCTION("""COMPUTED_VALUE"""),"Kimberly Ball")</f>
        <v>Kimberly Ball</v>
      </c>
      <c r="T5599" s="6" t="str">
        <f>IFERROR(__xludf.DUMMYFUNCTION("""COMPUTED_VALUE"""),"kimberly.ball@studient.com")</f>
        <v>kimberly.ball@studient.com</v>
      </c>
      <c r="U5599" s="6" t="str">
        <f>IFERROR(__xludf.DUMMYFUNCTION("""COMPUTED_VALUE"""),"6")</f>
        <v>6</v>
      </c>
      <c r="V5599" s="6" t="str">
        <f>IFERROR(__xludf.DUMMYFUNCTION("""COMPUTED_VALUE"""),"")</f>
        <v/>
      </c>
      <c r="W5599" s="6" t="str">
        <f>IFERROR(__xludf.DUMMYFUNCTION("""COMPUTED_VALUE"""),"[]")</f>
        <v>[]</v>
      </c>
      <c r="X5599" s="6" t="str">
        <f>IFERROR(__xludf.DUMMYFUNCTION("""COMPUTED_VALUE"""),"Enrolled")</f>
        <v>Enrolled</v>
      </c>
    </row>
    <row r="5600">
      <c r="A5600" s="6" t="str">
        <f>IFERROR(__xludf.DUMMYFUNCTION("""COMPUTED_VALUE"""),"087-12197")</f>
        <v>087-12197</v>
      </c>
      <c r="B5600" s="6" t="str">
        <f>IFERROR(__xludf.DUMMYFUNCTION("""COMPUTED_VALUE"""),"87")</f>
        <v>87</v>
      </c>
      <c r="C5600" s="6" t="str">
        <f>IFERROR(__xludf.DUMMYFUNCTION("""COMPUTED_VALUE"""),"12197")</f>
        <v>12197</v>
      </c>
      <c r="D5600" s="6" t="str">
        <f>IFERROR(__xludf.DUMMYFUNCTION("""COMPUTED_VALUE"""),"Joshua")</f>
        <v>Joshua</v>
      </c>
      <c r="E5600" s="6" t="str">
        <f>IFERROR(__xludf.DUMMYFUNCTION("""COMPUTED_VALUE"""),"")</f>
        <v/>
      </c>
      <c r="F5600" s="6" t="str">
        <f>IFERROR(__xludf.DUMMYFUNCTION("""COMPUTED_VALUE"""),"Diego Cortes")</f>
        <v>Diego Cortes</v>
      </c>
      <c r="G5600" s="6" t="str">
        <f>IFERROR(__xludf.DUMMYFUNCTION("""COMPUTED_VALUE"""),"01/21/2013")</f>
        <v>01/21/2013</v>
      </c>
      <c r="H5600" s="6" t="str">
        <f>IFERROR(__xludf.DUMMYFUNCTION("""COMPUTED_VALUE"""),"male")</f>
        <v>male</v>
      </c>
      <c r="I5600" s="6" t="str">
        <f>IFERROR(__xludf.DUMMYFUNCTION("""COMPUTED_VALUE"""),"Middle School")</f>
        <v>Middle School</v>
      </c>
      <c r="J5600" s="6" t="str">
        <f>IFERROR(__xludf.DUMMYFUNCTION("""COMPUTED_VALUE"""),"7")</f>
        <v>7</v>
      </c>
      <c r="K5600" s="6" t="str">
        <f>IFERROR(__xludf.DUMMYFUNCTION("""COMPUTED_VALUE"""),"joshua.diegocortes@2hourlearning.com")</f>
        <v>joshua.diegocortes@2hourlearning.com</v>
      </c>
      <c r="L5600" s="6" t="str">
        <f>IFERROR(__xludf.DUMMYFUNCTION("""COMPUTED_VALUE"""),"JRHS - Ridgeland Secondary Academy of Excellence")</f>
        <v>JRHS - Ridgeland Secondary Academy of Excellence</v>
      </c>
      <c r="M5600" s="6" t="str">
        <f>IFERROR(__xludf.DUMMYFUNCTION("""COMPUTED_VALUE"""),"")</f>
        <v/>
      </c>
      <c r="N5600" s="6" t="str">
        <f>IFERROR(__xludf.DUMMYFUNCTION("""COMPUTED_VALUE"""),"")</f>
        <v/>
      </c>
      <c r="O5600" s="87" t="str">
        <f>IFERROR(__xludf.DUMMYFUNCTION("""COMPUTED_VALUE"""),"https://drive.google.com/drive/folders/10T2cTQHqEJZqE-st6uFKPoI?usp=share_link")</f>
        <v>https://drive.google.com/drive/folders/10T2cTQHqEJZqE-st6uFKPoI?usp=share_link</v>
      </c>
      <c r="P5600" s="6" t="str">
        <f>IFERROR(__xludf.DUMMYFUNCTION("""COMPUTED_VALUE"""),"Joshua Diego Cortes")</f>
        <v>Joshua Diego Cortes</v>
      </c>
      <c r="Q5600" s="6" t="str">
        <f>IFERROR(__xludf.DUMMYFUNCTION("""COMPUTED_VALUE"""),"MS")</f>
        <v>MS</v>
      </c>
      <c r="R5600" s="6">
        <f>IFERROR(__xludf.DUMMYFUNCTION("""COMPUTED_VALUE"""),0.0)</f>
        <v>0</v>
      </c>
      <c r="S5600" s="6" t="str">
        <f>IFERROR(__xludf.DUMMYFUNCTION("""COMPUTED_VALUE"""),"Kimberly Ball")</f>
        <v>Kimberly Ball</v>
      </c>
      <c r="T5600" s="6" t="str">
        <f>IFERROR(__xludf.DUMMYFUNCTION("""COMPUTED_VALUE"""),"kimberly.ball@studient.com")</f>
        <v>kimberly.ball@studient.com</v>
      </c>
      <c r="U5600" s="6" t="str">
        <f>IFERROR(__xludf.DUMMYFUNCTION("""COMPUTED_VALUE"""),"7")</f>
        <v>7</v>
      </c>
      <c r="V5600" s="6" t="str">
        <f>IFERROR(__xludf.DUMMYFUNCTION("""COMPUTED_VALUE"""),"")</f>
        <v/>
      </c>
      <c r="W5600" s="6" t="str">
        <f>IFERROR(__xludf.DUMMYFUNCTION("""COMPUTED_VALUE"""),"[]")</f>
        <v>[]</v>
      </c>
      <c r="X5600" s="6" t="str">
        <f>IFERROR(__xludf.DUMMYFUNCTION("""COMPUTED_VALUE"""),"Enrolled")</f>
        <v>Enrolled</v>
      </c>
    </row>
    <row r="5601">
      <c r="A5601" s="6" t="str">
        <f>IFERROR(__xludf.DUMMYFUNCTION("""COMPUTED_VALUE"""),"087-12198")</f>
        <v>087-12198</v>
      </c>
      <c r="B5601" s="6" t="str">
        <f>IFERROR(__xludf.DUMMYFUNCTION("""COMPUTED_VALUE"""),"87")</f>
        <v>87</v>
      </c>
      <c r="C5601" s="6" t="str">
        <f>IFERROR(__xludf.DUMMYFUNCTION("""COMPUTED_VALUE"""),"12198")</f>
        <v>12198</v>
      </c>
      <c r="D5601" s="6" t="str">
        <f>IFERROR(__xludf.DUMMYFUNCTION("""COMPUTED_VALUE"""),"Zamir")</f>
        <v>Zamir</v>
      </c>
      <c r="E5601" s="6" t="str">
        <f>IFERROR(__xludf.DUMMYFUNCTION("""COMPUTED_VALUE"""),"")</f>
        <v/>
      </c>
      <c r="F5601" s="6" t="str">
        <f>IFERROR(__xludf.DUMMYFUNCTION("""COMPUTED_VALUE"""),"Dixon")</f>
        <v>Dixon</v>
      </c>
      <c r="G5601" s="6" t="str">
        <f>IFERROR(__xludf.DUMMYFUNCTION("""COMPUTED_VALUE"""),"08/15/2013")</f>
        <v>08/15/2013</v>
      </c>
      <c r="H5601" s="6" t="str">
        <f>IFERROR(__xludf.DUMMYFUNCTION("""COMPUTED_VALUE"""),"male")</f>
        <v>male</v>
      </c>
      <c r="I5601" s="6" t="str">
        <f>IFERROR(__xludf.DUMMYFUNCTION("""COMPUTED_VALUE"""),"Middle School")</f>
        <v>Middle School</v>
      </c>
      <c r="J5601" s="6" t="str">
        <f>IFERROR(__xludf.DUMMYFUNCTION("""COMPUTED_VALUE"""),"7")</f>
        <v>7</v>
      </c>
      <c r="K5601" s="6" t="str">
        <f>IFERROR(__xludf.DUMMYFUNCTION("""COMPUTED_VALUE"""),"zamir.dixon@2hourlearning.com")</f>
        <v>zamir.dixon@2hourlearning.com</v>
      </c>
      <c r="L5601" s="6" t="str">
        <f>IFERROR(__xludf.DUMMYFUNCTION("""COMPUTED_VALUE"""),"JRHS - Ridgeland Secondary Academy of Excellence")</f>
        <v>JRHS - Ridgeland Secondary Academy of Excellence</v>
      </c>
      <c r="M5601" s="6" t="str">
        <f>IFERROR(__xludf.DUMMYFUNCTION("""COMPUTED_VALUE"""),"")</f>
        <v/>
      </c>
      <c r="N5601" s="6" t="str">
        <f>IFERROR(__xludf.DUMMYFUNCTION("""COMPUTED_VALUE"""),"")</f>
        <v/>
      </c>
      <c r="O5601" s="87" t="str">
        <f>IFERROR(__xludf.DUMMYFUNCTION("""COMPUTED_VALUE"""),"https://drive.google.com/drive/folders/10T2cTQHqEJZqE-st6uFKPoI?usp=share_link")</f>
        <v>https://drive.google.com/drive/folders/10T2cTQHqEJZqE-st6uFKPoI?usp=share_link</v>
      </c>
      <c r="P5601" s="6" t="str">
        <f>IFERROR(__xludf.DUMMYFUNCTION("""COMPUTED_VALUE"""),"Zamir Dixon")</f>
        <v>Zamir Dixon</v>
      </c>
      <c r="Q5601" s="6" t="str">
        <f>IFERROR(__xludf.DUMMYFUNCTION("""COMPUTED_VALUE"""),"MS")</f>
        <v>MS</v>
      </c>
      <c r="R5601" s="6">
        <f>IFERROR(__xludf.DUMMYFUNCTION("""COMPUTED_VALUE"""),0.0)</f>
        <v>0</v>
      </c>
      <c r="S5601" s="6" t="str">
        <f>IFERROR(__xludf.DUMMYFUNCTION("""COMPUTED_VALUE"""),"Kimberly Ball")</f>
        <v>Kimberly Ball</v>
      </c>
      <c r="T5601" s="6" t="str">
        <f>IFERROR(__xludf.DUMMYFUNCTION("""COMPUTED_VALUE"""),"kimberly.ball@studient.com")</f>
        <v>kimberly.ball@studient.com</v>
      </c>
      <c r="U5601" s="6" t="str">
        <f>IFERROR(__xludf.DUMMYFUNCTION("""COMPUTED_VALUE"""),"7")</f>
        <v>7</v>
      </c>
      <c r="V5601" s="6" t="str">
        <f>IFERROR(__xludf.DUMMYFUNCTION("""COMPUTED_VALUE"""),"")</f>
        <v/>
      </c>
      <c r="W5601" s="6" t="str">
        <f>IFERROR(__xludf.DUMMYFUNCTION("""COMPUTED_VALUE"""),"[]")</f>
        <v>[]</v>
      </c>
      <c r="X5601" s="6" t="str">
        <f>IFERROR(__xludf.DUMMYFUNCTION("""COMPUTED_VALUE"""),"Enrolled")</f>
        <v>Enrolled</v>
      </c>
    </row>
    <row r="5602">
      <c r="A5602" s="6" t="str">
        <f>IFERROR(__xludf.DUMMYFUNCTION("""COMPUTED_VALUE"""),"087-12199")</f>
        <v>087-12199</v>
      </c>
      <c r="B5602" s="6" t="str">
        <f>IFERROR(__xludf.DUMMYFUNCTION("""COMPUTED_VALUE"""),"87")</f>
        <v>87</v>
      </c>
      <c r="C5602" s="6" t="str">
        <f>IFERROR(__xludf.DUMMYFUNCTION("""COMPUTED_VALUE"""),"12199")</f>
        <v>12199</v>
      </c>
      <c r="D5602" s="6" t="str">
        <f>IFERROR(__xludf.DUMMYFUNCTION("""COMPUTED_VALUE"""),"Nia")</f>
        <v>Nia</v>
      </c>
      <c r="E5602" s="6" t="str">
        <f>IFERROR(__xludf.DUMMYFUNCTION("""COMPUTED_VALUE"""),"")</f>
        <v/>
      </c>
      <c r="F5602" s="6" t="str">
        <f>IFERROR(__xludf.DUMMYFUNCTION("""COMPUTED_VALUE"""),"Dukes-Perry")</f>
        <v>Dukes-Perry</v>
      </c>
      <c r="G5602" s="6" t="str">
        <f>IFERROR(__xludf.DUMMYFUNCTION("""COMPUTED_VALUE"""),"04/29/2014")</f>
        <v>04/29/2014</v>
      </c>
      <c r="H5602" s="6" t="str">
        <f>IFERROR(__xludf.DUMMYFUNCTION("""COMPUTED_VALUE"""),"female")</f>
        <v>female</v>
      </c>
      <c r="I5602" s="6" t="str">
        <f>IFERROR(__xludf.DUMMYFUNCTION("""COMPUTED_VALUE"""),"Middle School")</f>
        <v>Middle School</v>
      </c>
      <c r="J5602" s="6" t="str">
        <f>IFERROR(__xludf.DUMMYFUNCTION("""COMPUTED_VALUE"""),"6")</f>
        <v>6</v>
      </c>
      <c r="K5602" s="6" t="str">
        <f>IFERROR(__xludf.DUMMYFUNCTION("""COMPUTED_VALUE"""),"nia.dukes-perry@2hourlearning.com")</f>
        <v>nia.dukes-perry@2hourlearning.com</v>
      </c>
      <c r="L5602" s="6" t="str">
        <f>IFERROR(__xludf.DUMMYFUNCTION("""COMPUTED_VALUE"""),"JRHS - Ridgeland Secondary Academy of Excellence")</f>
        <v>JRHS - Ridgeland Secondary Academy of Excellence</v>
      </c>
      <c r="M5602" s="6" t="str">
        <f>IFERROR(__xludf.DUMMYFUNCTION("""COMPUTED_VALUE"""),"")</f>
        <v/>
      </c>
      <c r="N5602" s="6" t="str">
        <f>IFERROR(__xludf.DUMMYFUNCTION("""COMPUTED_VALUE"""),"")</f>
        <v/>
      </c>
      <c r="O5602" s="87" t="str">
        <f>IFERROR(__xludf.DUMMYFUNCTION("""COMPUTED_VALUE"""),"https://drive.google.com/drive/folders/10T2cTQHqEJZqE-st6uFKPoI?usp=share_link")</f>
        <v>https://drive.google.com/drive/folders/10T2cTQHqEJZqE-st6uFKPoI?usp=share_link</v>
      </c>
      <c r="P5602" s="6" t="str">
        <f>IFERROR(__xludf.DUMMYFUNCTION("""COMPUTED_VALUE"""),"Nia Dukes-Perry")</f>
        <v>Nia Dukes-Perry</v>
      </c>
      <c r="Q5602" s="6" t="str">
        <f>IFERROR(__xludf.DUMMYFUNCTION("""COMPUTED_VALUE"""),"MS")</f>
        <v>MS</v>
      </c>
      <c r="R5602" s="6">
        <f>IFERROR(__xludf.DUMMYFUNCTION("""COMPUTED_VALUE"""),0.0)</f>
        <v>0</v>
      </c>
      <c r="S5602" s="6" t="str">
        <f>IFERROR(__xludf.DUMMYFUNCTION("""COMPUTED_VALUE"""),"Kimberly Ball")</f>
        <v>Kimberly Ball</v>
      </c>
      <c r="T5602" s="6" t="str">
        <f>IFERROR(__xludf.DUMMYFUNCTION("""COMPUTED_VALUE"""),"kimberly.ball@studient.com")</f>
        <v>kimberly.ball@studient.com</v>
      </c>
      <c r="U5602" s="6" t="str">
        <f>IFERROR(__xludf.DUMMYFUNCTION("""COMPUTED_VALUE"""),"6")</f>
        <v>6</v>
      </c>
      <c r="V5602" s="6" t="str">
        <f>IFERROR(__xludf.DUMMYFUNCTION("""COMPUTED_VALUE"""),"")</f>
        <v/>
      </c>
      <c r="W5602" s="6" t="str">
        <f>IFERROR(__xludf.DUMMYFUNCTION("""COMPUTED_VALUE"""),"[]")</f>
        <v>[]</v>
      </c>
      <c r="X5602" s="6" t="str">
        <f>IFERROR(__xludf.DUMMYFUNCTION("""COMPUTED_VALUE"""),"Enrolled")</f>
        <v>Enrolled</v>
      </c>
    </row>
    <row r="5603">
      <c r="A5603" s="6" t="str">
        <f>IFERROR(__xludf.DUMMYFUNCTION("""COMPUTED_VALUE"""),"087-12200")</f>
        <v>087-12200</v>
      </c>
      <c r="B5603" s="6" t="str">
        <f>IFERROR(__xludf.DUMMYFUNCTION("""COMPUTED_VALUE"""),"87")</f>
        <v>87</v>
      </c>
      <c r="C5603" s="6" t="str">
        <f>IFERROR(__xludf.DUMMYFUNCTION("""COMPUTED_VALUE"""),"12200")</f>
        <v>12200</v>
      </c>
      <c r="D5603" s="6" t="str">
        <f>IFERROR(__xludf.DUMMYFUNCTION("""COMPUTED_VALUE"""),"Jeremiah")</f>
        <v>Jeremiah</v>
      </c>
      <c r="E5603" s="6" t="str">
        <f>IFERROR(__xludf.DUMMYFUNCTION("""COMPUTED_VALUE"""),"")</f>
        <v/>
      </c>
      <c r="F5603" s="6" t="str">
        <f>IFERROR(__xludf.DUMMYFUNCTION("""COMPUTED_VALUE"""),"Duncan")</f>
        <v>Duncan</v>
      </c>
      <c r="G5603" s="6" t="str">
        <f>IFERROR(__xludf.DUMMYFUNCTION("""COMPUTED_VALUE"""),"02/25/2011")</f>
        <v>02/25/2011</v>
      </c>
      <c r="H5603" s="6" t="str">
        <f>IFERROR(__xludf.DUMMYFUNCTION("""COMPUTED_VALUE"""),"male")</f>
        <v>male</v>
      </c>
      <c r="I5603" s="6" t="str">
        <f>IFERROR(__xludf.DUMMYFUNCTION("""COMPUTED_VALUE"""),"Middle School")</f>
        <v>Middle School</v>
      </c>
      <c r="J5603" s="6" t="str">
        <f>IFERROR(__xludf.DUMMYFUNCTION("""COMPUTED_VALUE"""),"8")</f>
        <v>8</v>
      </c>
      <c r="K5603" s="6" t="str">
        <f>IFERROR(__xludf.DUMMYFUNCTION("""COMPUTED_VALUE"""),"jeremiah.duncan@2hourlearning.com")</f>
        <v>jeremiah.duncan@2hourlearning.com</v>
      </c>
      <c r="L5603" s="6" t="str">
        <f>IFERROR(__xludf.DUMMYFUNCTION("""COMPUTED_VALUE"""),"JRHS - Ridgeland Secondary Academy of Excellence")</f>
        <v>JRHS - Ridgeland Secondary Academy of Excellence</v>
      </c>
      <c r="M5603" s="6" t="str">
        <f>IFERROR(__xludf.DUMMYFUNCTION("""COMPUTED_VALUE"""),"")</f>
        <v/>
      </c>
      <c r="N5603" s="6" t="str">
        <f>IFERROR(__xludf.DUMMYFUNCTION("""COMPUTED_VALUE"""),"")</f>
        <v/>
      </c>
      <c r="O5603" s="87" t="str">
        <f>IFERROR(__xludf.DUMMYFUNCTION("""COMPUTED_VALUE"""),"https://drive.google.com/drive/folders/10T2cTQHqEJZqE-st6uFKPoI?usp=share_link")</f>
        <v>https://drive.google.com/drive/folders/10T2cTQHqEJZqE-st6uFKPoI?usp=share_link</v>
      </c>
      <c r="P5603" s="6" t="str">
        <f>IFERROR(__xludf.DUMMYFUNCTION("""COMPUTED_VALUE"""),"Jeremiah Duncan")</f>
        <v>Jeremiah Duncan</v>
      </c>
      <c r="Q5603" s="6" t="str">
        <f>IFERROR(__xludf.DUMMYFUNCTION("""COMPUTED_VALUE"""),"MS")</f>
        <v>MS</v>
      </c>
      <c r="R5603" s="6">
        <f>IFERROR(__xludf.DUMMYFUNCTION("""COMPUTED_VALUE"""),0.0)</f>
        <v>0</v>
      </c>
      <c r="S5603" s="6" t="str">
        <f>IFERROR(__xludf.DUMMYFUNCTION("""COMPUTED_VALUE"""),"Kimberly Ball")</f>
        <v>Kimberly Ball</v>
      </c>
      <c r="T5603" s="6" t="str">
        <f>IFERROR(__xludf.DUMMYFUNCTION("""COMPUTED_VALUE"""),"kimberly.ball@studient.com")</f>
        <v>kimberly.ball@studient.com</v>
      </c>
      <c r="U5603" s="6" t="str">
        <f>IFERROR(__xludf.DUMMYFUNCTION("""COMPUTED_VALUE"""),"8")</f>
        <v>8</v>
      </c>
      <c r="V5603" s="6" t="str">
        <f>IFERROR(__xludf.DUMMYFUNCTION("""COMPUTED_VALUE"""),"")</f>
        <v/>
      </c>
      <c r="W5603" s="6" t="str">
        <f>IFERROR(__xludf.DUMMYFUNCTION("""COMPUTED_VALUE"""),"[]")</f>
        <v>[]</v>
      </c>
      <c r="X5603" s="6" t="str">
        <f>IFERROR(__xludf.DUMMYFUNCTION("""COMPUTED_VALUE"""),"Enrolled")</f>
        <v>Enrolled</v>
      </c>
    </row>
    <row r="5604">
      <c r="A5604" s="6" t="str">
        <f>IFERROR(__xludf.DUMMYFUNCTION("""COMPUTED_VALUE"""),"087-12201")</f>
        <v>087-12201</v>
      </c>
      <c r="B5604" s="6" t="str">
        <f>IFERROR(__xludf.DUMMYFUNCTION("""COMPUTED_VALUE"""),"87")</f>
        <v>87</v>
      </c>
      <c r="C5604" s="6" t="str">
        <f>IFERROR(__xludf.DUMMYFUNCTION("""COMPUTED_VALUE"""),"12201")</f>
        <v>12201</v>
      </c>
      <c r="D5604" s="6" t="str">
        <f>IFERROR(__xludf.DUMMYFUNCTION("""COMPUTED_VALUE"""),"Ja'darion")</f>
        <v>Ja'darion</v>
      </c>
      <c r="E5604" s="6" t="str">
        <f>IFERROR(__xludf.DUMMYFUNCTION("""COMPUTED_VALUE"""),"")</f>
        <v/>
      </c>
      <c r="F5604" s="6" t="str">
        <f>IFERROR(__xludf.DUMMYFUNCTION("""COMPUTED_VALUE"""),"Dupont")</f>
        <v>Dupont</v>
      </c>
      <c r="G5604" s="6" t="str">
        <f>IFERROR(__xludf.DUMMYFUNCTION("""COMPUTED_VALUE"""),"01/29/2013")</f>
        <v>01/29/2013</v>
      </c>
      <c r="H5604" s="6" t="str">
        <f>IFERROR(__xludf.DUMMYFUNCTION("""COMPUTED_VALUE"""),"male")</f>
        <v>male</v>
      </c>
      <c r="I5604" s="6" t="str">
        <f>IFERROR(__xludf.DUMMYFUNCTION("""COMPUTED_VALUE"""),"Middle School")</f>
        <v>Middle School</v>
      </c>
      <c r="J5604" s="6" t="str">
        <f>IFERROR(__xludf.DUMMYFUNCTION("""COMPUTED_VALUE"""),"7")</f>
        <v>7</v>
      </c>
      <c r="K5604" s="6" t="str">
        <f>IFERROR(__xludf.DUMMYFUNCTION("""COMPUTED_VALUE"""),"jadarion.dupont@2hourlearning.com")</f>
        <v>jadarion.dupont@2hourlearning.com</v>
      </c>
      <c r="L5604" s="6" t="str">
        <f>IFERROR(__xludf.DUMMYFUNCTION("""COMPUTED_VALUE"""),"JRHS - Ridgeland Secondary Academy of Excellence")</f>
        <v>JRHS - Ridgeland Secondary Academy of Excellence</v>
      </c>
      <c r="M5604" s="6" t="str">
        <f>IFERROR(__xludf.DUMMYFUNCTION("""COMPUTED_VALUE"""),"")</f>
        <v/>
      </c>
      <c r="N5604" s="6" t="str">
        <f>IFERROR(__xludf.DUMMYFUNCTION("""COMPUTED_VALUE"""),"")</f>
        <v/>
      </c>
      <c r="O5604" s="87" t="str">
        <f>IFERROR(__xludf.DUMMYFUNCTION("""COMPUTED_VALUE"""),"https://drive.google.com/drive/folders/10T2cTQHqEJZqE-st6uFKPoI?usp=share_link")</f>
        <v>https://drive.google.com/drive/folders/10T2cTQHqEJZqE-st6uFKPoI?usp=share_link</v>
      </c>
      <c r="P5604" s="6" t="str">
        <f>IFERROR(__xludf.DUMMYFUNCTION("""COMPUTED_VALUE"""),"Ja'darion Dupont")</f>
        <v>Ja'darion Dupont</v>
      </c>
      <c r="Q5604" s="6" t="str">
        <f>IFERROR(__xludf.DUMMYFUNCTION("""COMPUTED_VALUE"""),"MS")</f>
        <v>MS</v>
      </c>
      <c r="R5604" s="6">
        <f>IFERROR(__xludf.DUMMYFUNCTION("""COMPUTED_VALUE"""),0.0)</f>
        <v>0</v>
      </c>
      <c r="S5604" s="6" t="str">
        <f>IFERROR(__xludf.DUMMYFUNCTION("""COMPUTED_VALUE"""),"Kimberly Ball")</f>
        <v>Kimberly Ball</v>
      </c>
      <c r="T5604" s="6" t="str">
        <f>IFERROR(__xludf.DUMMYFUNCTION("""COMPUTED_VALUE"""),"kimberly.ball@studient.com")</f>
        <v>kimberly.ball@studient.com</v>
      </c>
      <c r="U5604" s="6" t="str">
        <f>IFERROR(__xludf.DUMMYFUNCTION("""COMPUTED_VALUE"""),"7")</f>
        <v>7</v>
      </c>
      <c r="V5604" s="6" t="str">
        <f>IFERROR(__xludf.DUMMYFUNCTION("""COMPUTED_VALUE"""),"")</f>
        <v/>
      </c>
      <c r="W5604" s="6" t="str">
        <f>IFERROR(__xludf.DUMMYFUNCTION("""COMPUTED_VALUE"""),"[]")</f>
        <v>[]</v>
      </c>
      <c r="X5604" s="6" t="str">
        <f>IFERROR(__xludf.DUMMYFUNCTION("""COMPUTED_VALUE"""),"Enrolled")</f>
        <v>Enrolled</v>
      </c>
    </row>
    <row r="5605">
      <c r="A5605" s="6" t="str">
        <f>IFERROR(__xludf.DUMMYFUNCTION("""COMPUTED_VALUE"""),"087-12202")</f>
        <v>087-12202</v>
      </c>
      <c r="B5605" s="6" t="str">
        <f>IFERROR(__xludf.DUMMYFUNCTION("""COMPUTED_VALUE"""),"87")</f>
        <v>87</v>
      </c>
      <c r="C5605" s="6" t="str">
        <f>IFERROR(__xludf.DUMMYFUNCTION("""COMPUTED_VALUE"""),"12202")</f>
        <v>12202</v>
      </c>
      <c r="D5605" s="6" t="str">
        <f>IFERROR(__xludf.DUMMYFUNCTION("""COMPUTED_VALUE"""),"London")</f>
        <v>London</v>
      </c>
      <c r="E5605" s="6" t="str">
        <f>IFERROR(__xludf.DUMMYFUNCTION("""COMPUTED_VALUE"""),"")</f>
        <v/>
      </c>
      <c r="F5605" s="6" t="str">
        <f>IFERROR(__xludf.DUMMYFUNCTION("""COMPUTED_VALUE"""),"Dupont")</f>
        <v>Dupont</v>
      </c>
      <c r="G5605" s="6" t="str">
        <f>IFERROR(__xludf.DUMMYFUNCTION("""COMPUTED_VALUE"""),"02/05/2013")</f>
        <v>02/05/2013</v>
      </c>
      <c r="H5605" s="6" t="str">
        <f>IFERROR(__xludf.DUMMYFUNCTION("""COMPUTED_VALUE"""),"female")</f>
        <v>female</v>
      </c>
      <c r="I5605" s="6" t="str">
        <f>IFERROR(__xludf.DUMMYFUNCTION("""COMPUTED_VALUE"""),"Middle School")</f>
        <v>Middle School</v>
      </c>
      <c r="J5605" s="6" t="str">
        <f>IFERROR(__xludf.DUMMYFUNCTION("""COMPUTED_VALUE"""),"7")</f>
        <v>7</v>
      </c>
      <c r="K5605" s="6" t="str">
        <f>IFERROR(__xludf.DUMMYFUNCTION("""COMPUTED_VALUE"""),"london.dupont@2hourlearning.com")</f>
        <v>london.dupont@2hourlearning.com</v>
      </c>
      <c r="L5605" s="6" t="str">
        <f>IFERROR(__xludf.DUMMYFUNCTION("""COMPUTED_VALUE"""),"JRHS - Ridgeland Secondary Academy of Excellence")</f>
        <v>JRHS - Ridgeland Secondary Academy of Excellence</v>
      </c>
      <c r="M5605" s="6" t="str">
        <f>IFERROR(__xludf.DUMMYFUNCTION("""COMPUTED_VALUE"""),"")</f>
        <v/>
      </c>
      <c r="N5605" s="6" t="str">
        <f>IFERROR(__xludf.DUMMYFUNCTION("""COMPUTED_VALUE"""),"")</f>
        <v/>
      </c>
      <c r="O5605" s="87" t="str">
        <f>IFERROR(__xludf.DUMMYFUNCTION("""COMPUTED_VALUE"""),"https://drive.google.com/drive/folders/10T2cTQHqEJZqE-st6uFKPoI?usp=share_link")</f>
        <v>https://drive.google.com/drive/folders/10T2cTQHqEJZqE-st6uFKPoI?usp=share_link</v>
      </c>
      <c r="P5605" s="6" t="str">
        <f>IFERROR(__xludf.DUMMYFUNCTION("""COMPUTED_VALUE"""),"London Dupont")</f>
        <v>London Dupont</v>
      </c>
      <c r="Q5605" s="6" t="str">
        <f>IFERROR(__xludf.DUMMYFUNCTION("""COMPUTED_VALUE"""),"MS")</f>
        <v>MS</v>
      </c>
      <c r="R5605" s="6">
        <f>IFERROR(__xludf.DUMMYFUNCTION("""COMPUTED_VALUE"""),0.0)</f>
        <v>0</v>
      </c>
      <c r="S5605" s="6" t="str">
        <f>IFERROR(__xludf.DUMMYFUNCTION("""COMPUTED_VALUE"""),"Kimberly Ball")</f>
        <v>Kimberly Ball</v>
      </c>
      <c r="T5605" s="6" t="str">
        <f>IFERROR(__xludf.DUMMYFUNCTION("""COMPUTED_VALUE"""),"kimberly.ball@studient.com")</f>
        <v>kimberly.ball@studient.com</v>
      </c>
      <c r="U5605" s="6" t="str">
        <f>IFERROR(__xludf.DUMMYFUNCTION("""COMPUTED_VALUE"""),"7")</f>
        <v>7</v>
      </c>
      <c r="V5605" s="6" t="str">
        <f>IFERROR(__xludf.DUMMYFUNCTION("""COMPUTED_VALUE"""),"")</f>
        <v/>
      </c>
      <c r="W5605" s="6" t="str">
        <f>IFERROR(__xludf.DUMMYFUNCTION("""COMPUTED_VALUE"""),"[]")</f>
        <v>[]</v>
      </c>
      <c r="X5605" s="6" t="str">
        <f>IFERROR(__xludf.DUMMYFUNCTION("""COMPUTED_VALUE"""),"Enrolled")</f>
        <v>Enrolled</v>
      </c>
    </row>
    <row r="5606">
      <c r="A5606" s="6" t="str">
        <f>IFERROR(__xludf.DUMMYFUNCTION("""COMPUTED_VALUE"""),"087-12203")</f>
        <v>087-12203</v>
      </c>
      <c r="B5606" s="6" t="str">
        <f>IFERROR(__xludf.DUMMYFUNCTION("""COMPUTED_VALUE"""),"87")</f>
        <v>87</v>
      </c>
      <c r="C5606" s="6" t="str">
        <f>IFERROR(__xludf.DUMMYFUNCTION("""COMPUTED_VALUE"""),"12203")</f>
        <v>12203</v>
      </c>
      <c r="D5606" s="6" t="str">
        <f>IFERROR(__xludf.DUMMYFUNCTION("""COMPUTED_VALUE"""),"Paige")</f>
        <v>Paige</v>
      </c>
      <c r="E5606" s="6" t="str">
        <f>IFERROR(__xludf.DUMMYFUNCTION("""COMPUTED_VALUE"""),"")</f>
        <v/>
      </c>
      <c r="F5606" s="6" t="str">
        <f>IFERROR(__xludf.DUMMYFUNCTION("""COMPUTED_VALUE"""),"Dupont")</f>
        <v>Dupont</v>
      </c>
      <c r="G5606" s="6" t="str">
        <f>IFERROR(__xludf.DUMMYFUNCTION("""COMPUTED_VALUE"""),"06/20/2014")</f>
        <v>06/20/2014</v>
      </c>
      <c r="H5606" s="6" t="str">
        <f>IFERROR(__xludf.DUMMYFUNCTION("""COMPUTED_VALUE"""),"female")</f>
        <v>female</v>
      </c>
      <c r="I5606" s="6" t="str">
        <f>IFERROR(__xludf.DUMMYFUNCTION("""COMPUTED_VALUE"""),"Middle School")</f>
        <v>Middle School</v>
      </c>
      <c r="J5606" s="6" t="str">
        <f>IFERROR(__xludf.DUMMYFUNCTION("""COMPUTED_VALUE"""),"6")</f>
        <v>6</v>
      </c>
      <c r="K5606" s="6" t="str">
        <f>IFERROR(__xludf.DUMMYFUNCTION("""COMPUTED_VALUE"""),"paige.dupont@2hourlearning.com")</f>
        <v>paige.dupont@2hourlearning.com</v>
      </c>
      <c r="L5606" s="6" t="str">
        <f>IFERROR(__xludf.DUMMYFUNCTION("""COMPUTED_VALUE"""),"JRHS - Ridgeland Secondary Academy of Excellence")</f>
        <v>JRHS - Ridgeland Secondary Academy of Excellence</v>
      </c>
      <c r="M5606" s="6" t="str">
        <f>IFERROR(__xludf.DUMMYFUNCTION("""COMPUTED_VALUE"""),"")</f>
        <v/>
      </c>
      <c r="N5606" s="6" t="str">
        <f>IFERROR(__xludf.DUMMYFUNCTION("""COMPUTED_VALUE"""),"")</f>
        <v/>
      </c>
      <c r="O5606" s="87" t="str">
        <f>IFERROR(__xludf.DUMMYFUNCTION("""COMPUTED_VALUE"""),"https://drive.google.com/drive/folders/10T2cTQHqEJZqE-st6uFKPoI?usp=share_link")</f>
        <v>https://drive.google.com/drive/folders/10T2cTQHqEJZqE-st6uFKPoI?usp=share_link</v>
      </c>
      <c r="P5606" s="6" t="str">
        <f>IFERROR(__xludf.DUMMYFUNCTION("""COMPUTED_VALUE"""),"Paige Dupont")</f>
        <v>Paige Dupont</v>
      </c>
      <c r="Q5606" s="6" t="str">
        <f>IFERROR(__xludf.DUMMYFUNCTION("""COMPUTED_VALUE"""),"MS")</f>
        <v>MS</v>
      </c>
      <c r="R5606" s="6">
        <f>IFERROR(__xludf.DUMMYFUNCTION("""COMPUTED_VALUE"""),0.0)</f>
        <v>0</v>
      </c>
      <c r="S5606" s="6" t="str">
        <f>IFERROR(__xludf.DUMMYFUNCTION("""COMPUTED_VALUE"""),"Kimberly Ball")</f>
        <v>Kimberly Ball</v>
      </c>
      <c r="T5606" s="6" t="str">
        <f>IFERROR(__xludf.DUMMYFUNCTION("""COMPUTED_VALUE"""),"kimberly.ball@studient.com")</f>
        <v>kimberly.ball@studient.com</v>
      </c>
      <c r="U5606" s="6" t="str">
        <f>IFERROR(__xludf.DUMMYFUNCTION("""COMPUTED_VALUE"""),"6")</f>
        <v>6</v>
      </c>
      <c r="V5606" s="6" t="str">
        <f>IFERROR(__xludf.DUMMYFUNCTION("""COMPUTED_VALUE"""),"")</f>
        <v/>
      </c>
      <c r="W5606" s="6" t="str">
        <f>IFERROR(__xludf.DUMMYFUNCTION("""COMPUTED_VALUE"""),"[]")</f>
        <v>[]</v>
      </c>
      <c r="X5606" s="6" t="str">
        <f>IFERROR(__xludf.DUMMYFUNCTION("""COMPUTED_VALUE"""),"Enrolled")</f>
        <v>Enrolled</v>
      </c>
    </row>
    <row r="5607">
      <c r="A5607" s="6" t="str">
        <f>IFERROR(__xludf.DUMMYFUNCTION("""COMPUTED_VALUE"""),"087-12204")</f>
        <v>087-12204</v>
      </c>
      <c r="B5607" s="6" t="str">
        <f>IFERROR(__xludf.DUMMYFUNCTION("""COMPUTED_VALUE"""),"87")</f>
        <v>87</v>
      </c>
      <c r="C5607" s="6" t="str">
        <f>IFERROR(__xludf.DUMMYFUNCTION("""COMPUTED_VALUE"""),"12204")</f>
        <v>12204</v>
      </c>
      <c r="D5607" s="6" t="str">
        <f>IFERROR(__xludf.DUMMYFUNCTION("""COMPUTED_VALUE"""),"Allisa")</f>
        <v>Allisa</v>
      </c>
      <c r="E5607" s="6" t="str">
        <f>IFERROR(__xludf.DUMMYFUNCTION("""COMPUTED_VALUE"""),"")</f>
        <v/>
      </c>
      <c r="F5607" s="6" t="str">
        <f>IFERROR(__xludf.DUMMYFUNCTION("""COMPUTED_VALUE"""),"Dybowski")</f>
        <v>Dybowski</v>
      </c>
      <c r="G5607" s="6" t="str">
        <f>IFERROR(__xludf.DUMMYFUNCTION("""COMPUTED_VALUE"""),"12/11/2013")</f>
        <v>12/11/2013</v>
      </c>
      <c r="H5607" s="6" t="str">
        <f>IFERROR(__xludf.DUMMYFUNCTION("""COMPUTED_VALUE"""),"female")</f>
        <v>female</v>
      </c>
      <c r="I5607" s="6" t="str">
        <f>IFERROR(__xludf.DUMMYFUNCTION("""COMPUTED_VALUE"""),"Middle School")</f>
        <v>Middle School</v>
      </c>
      <c r="J5607" s="6" t="str">
        <f>IFERROR(__xludf.DUMMYFUNCTION("""COMPUTED_VALUE"""),"6")</f>
        <v>6</v>
      </c>
      <c r="K5607" s="6" t="str">
        <f>IFERROR(__xludf.DUMMYFUNCTION("""COMPUTED_VALUE"""),"allisa.dybowski@2hourlearning.com")</f>
        <v>allisa.dybowski@2hourlearning.com</v>
      </c>
      <c r="L5607" s="6" t="str">
        <f>IFERROR(__xludf.DUMMYFUNCTION("""COMPUTED_VALUE"""),"JRHS - Ridgeland Secondary Academy of Excellence")</f>
        <v>JRHS - Ridgeland Secondary Academy of Excellence</v>
      </c>
      <c r="M5607" s="6" t="str">
        <f>IFERROR(__xludf.DUMMYFUNCTION("""COMPUTED_VALUE"""),"")</f>
        <v/>
      </c>
      <c r="N5607" s="6" t="str">
        <f>IFERROR(__xludf.DUMMYFUNCTION("""COMPUTED_VALUE"""),"")</f>
        <v/>
      </c>
      <c r="O5607" s="87" t="str">
        <f>IFERROR(__xludf.DUMMYFUNCTION("""COMPUTED_VALUE"""),"https://drive.google.com/drive/folders/10T2cTQHqEJZqE-st6uFKPoI?usp=share_link")</f>
        <v>https://drive.google.com/drive/folders/10T2cTQHqEJZqE-st6uFKPoI?usp=share_link</v>
      </c>
      <c r="P5607" s="6" t="str">
        <f>IFERROR(__xludf.DUMMYFUNCTION("""COMPUTED_VALUE"""),"Allisa Dybowski")</f>
        <v>Allisa Dybowski</v>
      </c>
      <c r="Q5607" s="6" t="str">
        <f>IFERROR(__xludf.DUMMYFUNCTION("""COMPUTED_VALUE"""),"MS")</f>
        <v>MS</v>
      </c>
      <c r="R5607" s="6">
        <f>IFERROR(__xludf.DUMMYFUNCTION("""COMPUTED_VALUE"""),0.0)</f>
        <v>0</v>
      </c>
      <c r="S5607" s="6" t="str">
        <f>IFERROR(__xludf.DUMMYFUNCTION("""COMPUTED_VALUE"""),"Kimberly Ball")</f>
        <v>Kimberly Ball</v>
      </c>
      <c r="T5607" s="6" t="str">
        <f>IFERROR(__xludf.DUMMYFUNCTION("""COMPUTED_VALUE"""),"kimberly.ball@studient.com")</f>
        <v>kimberly.ball@studient.com</v>
      </c>
      <c r="U5607" s="6" t="str">
        <f>IFERROR(__xludf.DUMMYFUNCTION("""COMPUTED_VALUE"""),"6")</f>
        <v>6</v>
      </c>
      <c r="V5607" s="6" t="str">
        <f>IFERROR(__xludf.DUMMYFUNCTION("""COMPUTED_VALUE"""),"")</f>
        <v/>
      </c>
      <c r="W5607" s="6" t="str">
        <f>IFERROR(__xludf.DUMMYFUNCTION("""COMPUTED_VALUE"""),"[]")</f>
        <v>[]</v>
      </c>
      <c r="X5607" s="6" t="str">
        <f>IFERROR(__xludf.DUMMYFUNCTION("""COMPUTED_VALUE"""),"Enrolled")</f>
        <v>Enrolled</v>
      </c>
    </row>
    <row r="5608">
      <c r="A5608" s="6" t="str">
        <f>IFERROR(__xludf.DUMMYFUNCTION("""COMPUTED_VALUE"""),"087-12205")</f>
        <v>087-12205</v>
      </c>
      <c r="B5608" s="6" t="str">
        <f>IFERROR(__xludf.DUMMYFUNCTION("""COMPUTED_VALUE"""),"87")</f>
        <v>87</v>
      </c>
      <c r="C5608" s="6" t="str">
        <f>IFERROR(__xludf.DUMMYFUNCTION("""COMPUTED_VALUE"""),"12205")</f>
        <v>12205</v>
      </c>
      <c r="D5608" s="6" t="str">
        <f>IFERROR(__xludf.DUMMYFUNCTION("""COMPUTED_VALUE"""),"Jermain")</f>
        <v>Jermain</v>
      </c>
      <c r="E5608" s="6" t="str">
        <f>IFERROR(__xludf.DUMMYFUNCTION("""COMPUTED_VALUE"""),"")</f>
        <v/>
      </c>
      <c r="F5608" s="6" t="str">
        <f>IFERROR(__xludf.DUMMYFUNCTION("""COMPUTED_VALUE"""),"Eady")</f>
        <v>Eady</v>
      </c>
      <c r="G5608" s="6" t="str">
        <f>IFERROR(__xludf.DUMMYFUNCTION("""COMPUTED_VALUE"""),"11/30/2011")</f>
        <v>11/30/2011</v>
      </c>
      <c r="H5608" s="6" t="str">
        <f>IFERROR(__xludf.DUMMYFUNCTION("""COMPUTED_VALUE"""),"male")</f>
        <v>male</v>
      </c>
      <c r="I5608" s="6" t="str">
        <f>IFERROR(__xludf.DUMMYFUNCTION("""COMPUTED_VALUE"""),"Middle School")</f>
        <v>Middle School</v>
      </c>
      <c r="J5608" s="6" t="str">
        <f>IFERROR(__xludf.DUMMYFUNCTION("""COMPUTED_VALUE"""),"8")</f>
        <v>8</v>
      </c>
      <c r="K5608" s="6" t="str">
        <f>IFERROR(__xludf.DUMMYFUNCTION("""COMPUTED_VALUE"""),"jermain.eady@2hourlearning.com")</f>
        <v>jermain.eady@2hourlearning.com</v>
      </c>
      <c r="L5608" s="6" t="str">
        <f>IFERROR(__xludf.DUMMYFUNCTION("""COMPUTED_VALUE"""),"JRHS - Ridgeland Secondary Academy of Excellence")</f>
        <v>JRHS - Ridgeland Secondary Academy of Excellence</v>
      </c>
      <c r="M5608" s="6" t="str">
        <f>IFERROR(__xludf.DUMMYFUNCTION("""COMPUTED_VALUE"""),"")</f>
        <v/>
      </c>
      <c r="N5608" s="6" t="str">
        <f>IFERROR(__xludf.DUMMYFUNCTION("""COMPUTED_VALUE"""),"")</f>
        <v/>
      </c>
      <c r="O5608" s="87" t="str">
        <f>IFERROR(__xludf.DUMMYFUNCTION("""COMPUTED_VALUE"""),"https://drive.google.com/drive/folders/10T2cTQHqEJZqE-st6uFKPoI?usp=share_link")</f>
        <v>https://drive.google.com/drive/folders/10T2cTQHqEJZqE-st6uFKPoI?usp=share_link</v>
      </c>
      <c r="P5608" s="6" t="str">
        <f>IFERROR(__xludf.DUMMYFUNCTION("""COMPUTED_VALUE"""),"Jermain Eady")</f>
        <v>Jermain Eady</v>
      </c>
      <c r="Q5608" s="6" t="str">
        <f>IFERROR(__xludf.DUMMYFUNCTION("""COMPUTED_VALUE"""),"MS")</f>
        <v>MS</v>
      </c>
      <c r="R5608" s="6">
        <f>IFERROR(__xludf.DUMMYFUNCTION("""COMPUTED_VALUE"""),0.0)</f>
        <v>0</v>
      </c>
      <c r="S5608" s="6" t="str">
        <f>IFERROR(__xludf.DUMMYFUNCTION("""COMPUTED_VALUE"""),"Kimberly Ball")</f>
        <v>Kimberly Ball</v>
      </c>
      <c r="T5608" s="6" t="str">
        <f>IFERROR(__xludf.DUMMYFUNCTION("""COMPUTED_VALUE"""),"kimberly.ball@studient.com")</f>
        <v>kimberly.ball@studient.com</v>
      </c>
      <c r="U5608" s="6" t="str">
        <f>IFERROR(__xludf.DUMMYFUNCTION("""COMPUTED_VALUE"""),"8")</f>
        <v>8</v>
      </c>
      <c r="V5608" s="6" t="str">
        <f>IFERROR(__xludf.DUMMYFUNCTION("""COMPUTED_VALUE"""),"")</f>
        <v/>
      </c>
      <c r="W5608" s="6" t="str">
        <f>IFERROR(__xludf.DUMMYFUNCTION("""COMPUTED_VALUE"""),"[]")</f>
        <v>[]</v>
      </c>
      <c r="X5608" s="6" t="str">
        <f>IFERROR(__xludf.DUMMYFUNCTION("""COMPUTED_VALUE"""),"Enrolled")</f>
        <v>Enrolled</v>
      </c>
    </row>
    <row r="5609">
      <c r="A5609" s="6" t="str">
        <f>IFERROR(__xludf.DUMMYFUNCTION("""COMPUTED_VALUE"""),"087-12206")</f>
        <v>087-12206</v>
      </c>
      <c r="B5609" s="6" t="str">
        <f>IFERROR(__xludf.DUMMYFUNCTION("""COMPUTED_VALUE"""),"87")</f>
        <v>87</v>
      </c>
      <c r="C5609" s="6" t="str">
        <f>IFERROR(__xludf.DUMMYFUNCTION("""COMPUTED_VALUE"""),"12206")</f>
        <v>12206</v>
      </c>
      <c r="D5609" s="6" t="str">
        <f>IFERROR(__xludf.DUMMYFUNCTION("""COMPUTED_VALUE"""),"Jeremiah")</f>
        <v>Jeremiah</v>
      </c>
      <c r="E5609" s="6" t="str">
        <f>IFERROR(__xludf.DUMMYFUNCTION("""COMPUTED_VALUE"""),"")</f>
        <v/>
      </c>
      <c r="F5609" s="6" t="str">
        <f>IFERROR(__xludf.DUMMYFUNCTION("""COMPUTED_VALUE"""),"Edwards")</f>
        <v>Edwards</v>
      </c>
      <c r="G5609" s="6" t="str">
        <f>IFERROR(__xludf.DUMMYFUNCTION("""COMPUTED_VALUE"""),"07/23/2012")</f>
        <v>07/23/2012</v>
      </c>
      <c r="H5609" s="6" t="str">
        <f>IFERROR(__xludf.DUMMYFUNCTION("""COMPUTED_VALUE"""),"male")</f>
        <v>male</v>
      </c>
      <c r="I5609" s="6" t="str">
        <f>IFERROR(__xludf.DUMMYFUNCTION("""COMPUTED_VALUE"""),"Middle School")</f>
        <v>Middle School</v>
      </c>
      <c r="J5609" s="6" t="str">
        <f>IFERROR(__xludf.DUMMYFUNCTION("""COMPUTED_VALUE"""),"8")</f>
        <v>8</v>
      </c>
      <c r="K5609" s="6" t="str">
        <f>IFERROR(__xludf.DUMMYFUNCTION("""COMPUTED_VALUE"""),"jeremiah.edwards@2hourlearning.com")</f>
        <v>jeremiah.edwards@2hourlearning.com</v>
      </c>
      <c r="L5609" s="6" t="str">
        <f>IFERROR(__xludf.DUMMYFUNCTION("""COMPUTED_VALUE"""),"JRHS - Ridgeland Secondary Academy of Excellence")</f>
        <v>JRHS - Ridgeland Secondary Academy of Excellence</v>
      </c>
      <c r="M5609" s="6" t="str">
        <f>IFERROR(__xludf.DUMMYFUNCTION("""COMPUTED_VALUE"""),"")</f>
        <v/>
      </c>
      <c r="N5609" s="6" t="str">
        <f>IFERROR(__xludf.DUMMYFUNCTION("""COMPUTED_VALUE"""),"")</f>
        <v/>
      </c>
      <c r="O5609" s="87" t="str">
        <f>IFERROR(__xludf.DUMMYFUNCTION("""COMPUTED_VALUE"""),"https://drive.google.com/drive/folders/10T2cTQHqEJZqE-st6uFKPoI?usp=share_link")</f>
        <v>https://drive.google.com/drive/folders/10T2cTQHqEJZqE-st6uFKPoI?usp=share_link</v>
      </c>
      <c r="P5609" s="6" t="str">
        <f>IFERROR(__xludf.DUMMYFUNCTION("""COMPUTED_VALUE"""),"Jeremiah Edwards")</f>
        <v>Jeremiah Edwards</v>
      </c>
      <c r="Q5609" s="6" t="str">
        <f>IFERROR(__xludf.DUMMYFUNCTION("""COMPUTED_VALUE"""),"MS")</f>
        <v>MS</v>
      </c>
      <c r="R5609" s="6">
        <f>IFERROR(__xludf.DUMMYFUNCTION("""COMPUTED_VALUE"""),0.0)</f>
        <v>0</v>
      </c>
      <c r="S5609" s="6" t="str">
        <f>IFERROR(__xludf.DUMMYFUNCTION("""COMPUTED_VALUE"""),"Kimberly Ball")</f>
        <v>Kimberly Ball</v>
      </c>
      <c r="T5609" s="6" t="str">
        <f>IFERROR(__xludf.DUMMYFUNCTION("""COMPUTED_VALUE"""),"kimberly.ball@studient.com")</f>
        <v>kimberly.ball@studient.com</v>
      </c>
      <c r="U5609" s="6" t="str">
        <f>IFERROR(__xludf.DUMMYFUNCTION("""COMPUTED_VALUE"""),"8")</f>
        <v>8</v>
      </c>
      <c r="V5609" s="6" t="str">
        <f>IFERROR(__xludf.DUMMYFUNCTION("""COMPUTED_VALUE"""),"")</f>
        <v/>
      </c>
      <c r="W5609" s="6" t="str">
        <f>IFERROR(__xludf.DUMMYFUNCTION("""COMPUTED_VALUE"""),"[]")</f>
        <v>[]</v>
      </c>
      <c r="X5609" s="6" t="str">
        <f>IFERROR(__xludf.DUMMYFUNCTION("""COMPUTED_VALUE"""),"Enrolled")</f>
        <v>Enrolled</v>
      </c>
    </row>
    <row r="5610">
      <c r="A5610" s="6" t="str">
        <f>IFERROR(__xludf.DUMMYFUNCTION("""COMPUTED_VALUE"""),"087-12207")</f>
        <v>087-12207</v>
      </c>
      <c r="B5610" s="6" t="str">
        <f>IFERROR(__xludf.DUMMYFUNCTION("""COMPUTED_VALUE"""),"87")</f>
        <v>87</v>
      </c>
      <c r="C5610" s="6" t="str">
        <f>IFERROR(__xludf.DUMMYFUNCTION("""COMPUTED_VALUE"""),"12207")</f>
        <v>12207</v>
      </c>
      <c r="D5610" s="6" t="str">
        <f>IFERROR(__xludf.DUMMYFUNCTION("""COMPUTED_VALUE"""),"Brandon")</f>
        <v>Brandon</v>
      </c>
      <c r="E5610" s="6" t="str">
        <f>IFERROR(__xludf.DUMMYFUNCTION("""COMPUTED_VALUE"""),"")</f>
        <v/>
      </c>
      <c r="F5610" s="6" t="str">
        <f>IFERROR(__xludf.DUMMYFUNCTION("""COMPUTED_VALUE"""),"Enlow")</f>
        <v>Enlow</v>
      </c>
      <c r="G5610" s="6" t="str">
        <f>IFERROR(__xludf.DUMMYFUNCTION("""COMPUTED_VALUE"""),"07/31/2013")</f>
        <v>07/31/2013</v>
      </c>
      <c r="H5610" s="6" t="str">
        <f>IFERROR(__xludf.DUMMYFUNCTION("""COMPUTED_VALUE"""),"male")</f>
        <v>male</v>
      </c>
      <c r="I5610" s="6" t="str">
        <f>IFERROR(__xludf.DUMMYFUNCTION("""COMPUTED_VALUE"""),"Middle School")</f>
        <v>Middle School</v>
      </c>
      <c r="J5610" s="6" t="str">
        <f>IFERROR(__xludf.DUMMYFUNCTION("""COMPUTED_VALUE"""),"6")</f>
        <v>6</v>
      </c>
      <c r="K5610" s="6" t="str">
        <f>IFERROR(__xludf.DUMMYFUNCTION("""COMPUTED_VALUE"""),"brandon.enlow@2hourlearning.com")</f>
        <v>brandon.enlow@2hourlearning.com</v>
      </c>
      <c r="L5610" s="6" t="str">
        <f>IFERROR(__xludf.DUMMYFUNCTION("""COMPUTED_VALUE"""),"JRHS - Ridgeland Secondary Academy of Excellence")</f>
        <v>JRHS - Ridgeland Secondary Academy of Excellence</v>
      </c>
      <c r="M5610" s="6" t="str">
        <f>IFERROR(__xludf.DUMMYFUNCTION("""COMPUTED_VALUE"""),"")</f>
        <v/>
      </c>
      <c r="N5610" s="6" t="str">
        <f>IFERROR(__xludf.DUMMYFUNCTION("""COMPUTED_VALUE"""),"")</f>
        <v/>
      </c>
      <c r="O5610" s="87" t="str">
        <f>IFERROR(__xludf.DUMMYFUNCTION("""COMPUTED_VALUE"""),"https://drive.google.com/drive/folders/10T2cTQHqEJZqE-st6uFKPoI?usp=share_link")</f>
        <v>https://drive.google.com/drive/folders/10T2cTQHqEJZqE-st6uFKPoI?usp=share_link</v>
      </c>
      <c r="P5610" s="6" t="str">
        <f>IFERROR(__xludf.DUMMYFUNCTION("""COMPUTED_VALUE"""),"Brandon Enlow")</f>
        <v>Brandon Enlow</v>
      </c>
      <c r="Q5610" s="6" t="str">
        <f>IFERROR(__xludf.DUMMYFUNCTION("""COMPUTED_VALUE"""),"MS")</f>
        <v>MS</v>
      </c>
      <c r="R5610" s="6">
        <f>IFERROR(__xludf.DUMMYFUNCTION("""COMPUTED_VALUE"""),0.0)</f>
        <v>0</v>
      </c>
      <c r="S5610" s="6" t="str">
        <f>IFERROR(__xludf.DUMMYFUNCTION("""COMPUTED_VALUE"""),"Kimberly Ball")</f>
        <v>Kimberly Ball</v>
      </c>
      <c r="T5610" s="6" t="str">
        <f>IFERROR(__xludf.DUMMYFUNCTION("""COMPUTED_VALUE"""),"kimberly.ball@studient.com")</f>
        <v>kimberly.ball@studient.com</v>
      </c>
      <c r="U5610" s="6" t="str">
        <f>IFERROR(__xludf.DUMMYFUNCTION("""COMPUTED_VALUE"""),"6")</f>
        <v>6</v>
      </c>
      <c r="V5610" s="6" t="str">
        <f>IFERROR(__xludf.DUMMYFUNCTION("""COMPUTED_VALUE"""),"")</f>
        <v/>
      </c>
      <c r="W5610" s="6" t="str">
        <f>IFERROR(__xludf.DUMMYFUNCTION("""COMPUTED_VALUE"""),"[]")</f>
        <v>[]</v>
      </c>
      <c r="X5610" s="6" t="str">
        <f>IFERROR(__xludf.DUMMYFUNCTION("""COMPUTED_VALUE"""),"Enrolled")</f>
        <v>Enrolled</v>
      </c>
    </row>
    <row r="5611">
      <c r="A5611" s="6" t="str">
        <f>IFERROR(__xludf.DUMMYFUNCTION("""COMPUTED_VALUE"""),"087-12208")</f>
        <v>087-12208</v>
      </c>
      <c r="B5611" s="6" t="str">
        <f>IFERROR(__xludf.DUMMYFUNCTION("""COMPUTED_VALUE"""),"87")</f>
        <v>87</v>
      </c>
      <c r="C5611" s="6" t="str">
        <f>IFERROR(__xludf.DUMMYFUNCTION("""COMPUTED_VALUE"""),"12208")</f>
        <v>12208</v>
      </c>
      <c r="D5611" s="6" t="str">
        <f>IFERROR(__xludf.DUMMYFUNCTION("""COMPUTED_VALUE"""),"Jaime")</f>
        <v>Jaime</v>
      </c>
      <c r="E5611" s="6" t="str">
        <f>IFERROR(__xludf.DUMMYFUNCTION("""COMPUTED_VALUE"""),"")</f>
        <v/>
      </c>
      <c r="F5611" s="6" t="str">
        <f>IFERROR(__xludf.DUMMYFUNCTION("""COMPUTED_VALUE"""),"Escalante-Mendez")</f>
        <v>Escalante-Mendez</v>
      </c>
      <c r="G5611" s="6" t="str">
        <f>IFERROR(__xludf.DUMMYFUNCTION("""COMPUTED_VALUE"""),"10/02/2013")</f>
        <v>10/02/2013</v>
      </c>
      <c r="H5611" s="6" t="str">
        <f>IFERROR(__xludf.DUMMYFUNCTION("""COMPUTED_VALUE"""),"male")</f>
        <v>male</v>
      </c>
      <c r="I5611" s="6" t="str">
        <f>IFERROR(__xludf.DUMMYFUNCTION("""COMPUTED_VALUE"""),"Middle School")</f>
        <v>Middle School</v>
      </c>
      <c r="J5611" s="6" t="str">
        <f>IFERROR(__xludf.DUMMYFUNCTION("""COMPUTED_VALUE"""),"6")</f>
        <v>6</v>
      </c>
      <c r="K5611" s="6" t="str">
        <f>IFERROR(__xludf.DUMMYFUNCTION("""COMPUTED_VALUE"""),"jaime.escalante-mendez@2hourlearning.com")</f>
        <v>jaime.escalante-mendez@2hourlearning.com</v>
      </c>
      <c r="L5611" s="6" t="str">
        <f>IFERROR(__xludf.DUMMYFUNCTION("""COMPUTED_VALUE"""),"JRHS - Ridgeland Secondary Academy of Excellence")</f>
        <v>JRHS - Ridgeland Secondary Academy of Excellence</v>
      </c>
      <c r="M5611" s="6" t="str">
        <f>IFERROR(__xludf.DUMMYFUNCTION("""COMPUTED_VALUE"""),"")</f>
        <v/>
      </c>
      <c r="N5611" s="6" t="str">
        <f>IFERROR(__xludf.DUMMYFUNCTION("""COMPUTED_VALUE"""),"")</f>
        <v/>
      </c>
      <c r="O5611" s="87" t="str">
        <f>IFERROR(__xludf.DUMMYFUNCTION("""COMPUTED_VALUE"""),"https://drive.google.com/drive/folders/10T2cTQHqEJZqE-st6uFKPoI?usp=share_link")</f>
        <v>https://drive.google.com/drive/folders/10T2cTQHqEJZqE-st6uFKPoI?usp=share_link</v>
      </c>
      <c r="P5611" s="6" t="str">
        <f>IFERROR(__xludf.DUMMYFUNCTION("""COMPUTED_VALUE"""),"Jaime Escalante-Mendez")</f>
        <v>Jaime Escalante-Mendez</v>
      </c>
      <c r="Q5611" s="6" t="str">
        <f>IFERROR(__xludf.DUMMYFUNCTION("""COMPUTED_VALUE"""),"MS")</f>
        <v>MS</v>
      </c>
      <c r="R5611" s="6">
        <f>IFERROR(__xludf.DUMMYFUNCTION("""COMPUTED_VALUE"""),0.0)</f>
        <v>0</v>
      </c>
      <c r="S5611" s="6" t="str">
        <f>IFERROR(__xludf.DUMMYFUNCTION("""COMPUTED_VALUE"""),"Kimberly Ball")</f>
        <v>Kimberly Ball</v>
      </c>
      <c r="T5611" s="6" t="str">
        <f>IFERROR(__xludf.DUMMYFUNCTION("""COMPUTED_VALUE"""),"kimberly.ball@studient.com")</f>
        <v>kimberly.ball@studient.com</v>
      </c>
      <c r="U5611" s="6" t="str">
        <f>IFERROR(__xludf.DUMMYFUNCTION("""COMPUTED_VALUE"""),"6")</f>
        <v>6</v>
      </c>
      <c r="V5611" s="6" t="str">
        <f>IFERROR(__xludf.DUMMYFUNCTION("""COMPUTED_VALUE"""),"")</f>
        <v/>
      </c>
      <c r="W5611" s="6" t="str">
        <f>IFERROR(__xludf.DUMMYFUNCTION("""COMPUTED_VALUE"""),"[]")</f>
        <v>[]</v>
      </c>
      <c r="X5611" s="6" t="str">
        <f>IFERROR(__xludf.DUMMYFUNCTION("""COMPUTED_VALUE"""),"Enrolled")</f>
        <v>Enrolled</v>
      </c>
    </row>
    <row r="5612">
      <c r="A5612" s="6" t="str">
        <f>IFERROR(__xludf.DUMMYFUNCTION("""COMPUTED_VALUE"""),"087-12209")</f>
        <v>087-12209</v>
      </c>
      <c r="B5612" s="6" t="str">
        <f>IFERROR(__xludf.DUMMYFUNCTION("""COMPUTED_VALUE"""),"87")</f>
        <v>87</v>
      </c>
      <c r="C5612" s="6" t="str">
        <f>IFERROR(__xludf.DUMMYFUNCTION("""COMPUTED_VALUE"""),"12209")</f>
        <v>12209</v>
      </c>
      <c r="D5612" s="6" t="str">
        <f>IFERROR(__xludf.DUMMYFUNCTION("""COMPUTED_VALUE"""),"Xavier")</f>
        <v>Xavier</v>
      </c>
      <c r="E5612" s="6" t="str">
        <f>IFERROR(__xludf.DUMMYFUNCTION("""COMPUTED_VALUE"""),"")</f>
        <v/>
      </c>
      <c r="F5612" s="6" t="str">
        <f>IFERROR(__xludf.DUMMYFUNCTION("""COMPUTED_VALUE"""),"Estrada")</f>
        <v>Estrada</v>
      </c>
      <c r="G5612" s="6" t="str">
        <f>IFERROR(__xludf.DUMMYFUNCTION("""COMPUTED_VALUE"""),"05/24/2012")</f>
        <v>05/24/2012</v>
      </c>
      <c r="H5612" s="6" t="str">
        <f>IFERROR(__xludf.DUMMYFUNCTION("""COMPUTED_VALUE"""),"male")</f>
        <v>male</v>
      </c>
      <c r="I5612" s="6" t="str">
        <f>IFERROR(__xludf.DUMMYFUNCTION("""COMPUTED_VALUE"""),"Middle School")</f>
        <v>Middle School</v>
      </c>
      <c r="J5612" s="6" t="str">
        <f>IFERROR(__xludf.DUMMYFUNCTION("""COMPUTED_VALUE"""),"8")</f>
        <v>8</v>
      </c>
      <c r="K5612" s="6" t="str">
        <f>IFERROR(__xludf.DUMMYFUNCTION("""COMPUTED_VALUE"""),"xavier.estrada@2hourlearning.com")</f>
        <v>xavier.estrada@2hourlearning.com</v>
      </c>
      <c r="L5612" s="6" t="str">
        <f>IFERROR(__xludf.DUMMYFUNCTION("""COMPUTED_VALUE"""),"JRHS - Ridgeland Secondary Academy of Excellence")</f>
        <v>JRHS - Ridgeland Secondary Academy of Excellence</v>
      </c>
      <c r="M5612" s="6" t="str">
        <f>IFERROR(__xludf.DUMMYFUNCTION("""COMPUTED_VALUE"""),"")</f>
        <v/>
      </c>
      <c r="N5612" s="6" t="str">
        <f>IFERROR(__xludf.DUMMYFUNCTION("""COMPUTED_VALUE"""),"")</f>
        <v/>
      </c>
      <c r="O5612" s="87" t="str">
        <f>IFERROR(__xludf.DUMMYFUNCTION("""COMPUTED_VALUE"""),"https://drive.google.com/drive/folders/10T2cTQHqEJZqE-st6uFKPoI?usp=share_link")</f>
        <v>https://drive.google.com/drive/folders/10T2cTQHqEJZqE-st6uFKPoI?usp=share_link</v>
      </c>
      <c r="P5612" s="6" t="str">
        <f>IFERROR(__xludf.DUMMYFUNCTION("""COMPUTED_VALUE"""),"Xavier Estrada")</f>
        <v>Xavier Estrada</v>
      </c>
      <c r="Q5612" s="6" t="str">
        <f>IFERROR(__xludf.DUMMYFUNCTION("""COMPUTED_VALUE"""),"MS")</f>
        <v>MS</v>
      </c>
      <c r="R5612" s="6">
        <f>IFERROR(__xludf.DUMMYFUNCTION("""COMPUTED_VALUE"""),0.0)</f>
        <v>0</v>
      </c>
      <c r="S5612" s="6" t="str">
        <f>IFERROR(__xludf.DUMMYFUNCTION("""COMPUTED_VALUE"""),"Kimberly Ball")</f>
        <v>Kimberly Ball</v>
      </c>
      <c r="T5612" s="6" t="str">
        <f>IFERROR(__xludf.DUMMYFUNCTION("""COMPUTED_VALUE"""),"kimberly.ball@studient.com")</f>
        <v>kimberly.ball@studient.com</v>
      </c>
      <c r="U5612" s="6" t="str">
        <f>IFERROR(__xludf.DUMMYFUNCTION("""COMPUTED_VALUE"""),"8")</f>
        <v>8</v>
      </c>
      <c r="V5612" s="6" t="str">
        <f>IFERROR(__xludf.DUMMYFUNCTION("""COMPUTED_VALUE"""),"")</f>
        <v/>
      </c>
      <c r="W5612" s="6" t="str">
        <f>IFERROR(__xludf.DUMMYFUNCTION("""COMPUTED_VALUE"""),"[]")</f>
        <v>[]</v>
      </c>
      <c r="X5612" s="6" t="str">
        <f>IFERROR(__xludf.DUMMYFUNCTION("""COMPUTED_VALUE"""),"Enrolled")</f>
        <v>Enrolled</v>
      </c>
    </row>
    <row r="5613">
      <c r="A5613" s="6" t="str">
        <f>IFERROR(__xludf.DUMMYFUNCTION("""COMPUTED_VALUE"""),"087-12210")</f>
        <v>087-12210</v>
      </c>
      <c r="B5613" s="6" t="str">
        <f>IFERROR(__xludf.DUMMYFUNCTION("""COMPUTED_VALUE"""),"87")</f>
        <v>87</v>
      </c>
      <c r="C5613" s="6" t="str">
        <f>IFERROR(__xludf.DUMMYFUNCTION("""COMPUTED_VALUE"""),"12210")</f>
        <v>12210</v>
      </c>
      <c r="D5613" s="6" t="str">
        <f>IFERROR(__xludf.DUMMYFUNCTION("""COMPUTED_VALUE"""),"Radric")</f>
        <v>Radric</v>
      </c>
      <c r="E5613" s="6" t="str">
        <f>IFERROR(__xludf.DUMMYFUNCTION("""COMPUTED_VALUE"""),"")</f>
        <v/>
      </c>
      <c r="F5613" s="6" t="str">
        <f>IFERROR(__xludf.DUMMYFUNCTION("""COMPUTED_VALUE"""),"Fair")</f>
        <v>Fair</v>
      </c>
      <c r="G5613" s="6" t="str">
        <f>IFERROR(__xludf.DUMMYFUNCTION("""COMPUTED_VALUE"""),"03/20/2014")</f>
        <v>03/20/2014</v>
      </c>
      <c r="H5613" s="6" t="str">
        <f>IFERROR(__xludf.DUMMYFUNCTION("""COMPUTED_VALUE"""),"male")</f>
        <v>male</v>
      </c>
      <c r="I5613" s="6" t="str">
        <f>IFERROR(__xludf.DUMMYFUNCTION("""COMPUTED_VALUE"""),"Middle School")</f>
        <v>Middle School</v>
      </c>
      <c r="J5613" s="6" t="str">
        <f>IFERROR(__xludf.DUMMYFUNCTION("""COMPUTED_VALUE"""),"6")</f>
        <v>6</v>
      </c>
      <c r="K5613" s="6" t="str">
        <f>IFERROR(__xludf.DUMMYFUNCTION("""COMPUTED_VALUE"""),"radric.fair@2hourlearning.com")</f>
        <v>radric.fair@2hourlearning.com</v>
      </c>
      <c r="L5613" s="6" t="str">
        <f>IFERROR(__xludf.DUMMYFUNCTION("""COMPUTED_VALUE"""),"JRHS - Ridgeland Secondary Academy of Excellence")</f>
        <v>JRHS - Ridgeland Secondary Academy of Excellence</v>
      </c>
      <c r="M5613" s="6" t="str">
        <f>IFERROR(__xludf.DUMMYFUNCTION("""COMPUTED_VALUE"""),"")</f>
        <v/>
      </c>
      <c r="N5613" s="6" t="str">
        <f>IFERROR(__xludf.DUMMYFUNCTION("""COMPUTED_VALUE"""),"")</f>
        <v/>
      </c>
      <c r="O5613" s="87" t="str">
        <f>IFERROR(__xludf.DUMMYFUNCTION("""COMPUTED_VALUE"""),"https://drive.google.com/drive/folders/10T2cTQHqEJZqE-st6uFKPoI?usp=share_link")</f>
        <v>https://drive.google.com/drive/folders/10T2cTQHqEJZqE-st6uFKPoI?usp=share_link</v>
      </c>
      <c r="P5613" s="6" t="str">
        <f>IFERROR(__xludf.DUMMYFUNCTION("""COMPUTED_VALUE"""),"Radric Fair")</f>
        <v>Radric Fair</v>
      </c>
      <c r="Q5613" s="6" t="str">
        <f>IFERROR(__xludf.DUMMYFUNCTION("""COMPUTED_VALUE"""),"MS")</f>
        <v>MS</v>
      </c>
      <c r="R5613" s="6">
        <f>IFERROR(__xludf.DUMMYFUNCTION("""COMPUTED_VALUE"""),0.0)</f>
        <v>0</v>
      </c>
      <c r="S5613" s="6" t="str">
        <f>IFERROR(__xludf.DUMMYFUNCTION("""COMPUTED_VALUE"""),"Kimberly Ball")</f>
        <v>Kimberly Ball</v>
      </c>
      <c r="T5613" s="6" t="str">
        <f>IFERROR(__xludf.DUMMYFUNCTION("""COMPUTED_VALUE"""),"kimberly.ball@studient.com")</f>
        <v>kimberly.ball@studient.com</v>
      </c>
      <c r="U5613" s="6" t="str">
        <f>IFERROR(__xludf.DUMMYFUNCTION("""COMPUTED_VALUE"""),"6")</f>
        <v>6</v>
      </c>
      <c r="V5613" s="6" t="str">
        <f>IFERROR(__xludf.DUMMYFUNCTION("""COMPUTED_VALUE"""),"")</f>
        <v/>
      </c>
      <c r="W5613" s="6" t="str">
        <f>IFERROR(__xludf.DUMMYFUNCTION("""COMPUTED_VALUE"""),"[]")</f>
        <v>[]</v>
      </c>
      <c r="X5613" s="6" t="str">
        <f>IFERROR(__xludf.DUMMYFUNCTION("""COMPUTED_VALUE"""),"Enrolled")</f>
        <v>Enrolled</v>
      </c>
    </row>
    <row r="5614">
      <c r="A5614" s="6" t="str">
        <f>IFERROR(__xludf.DUMMYFUNCTION("""COMPUTED_VALUE"""),"087-12211")</f>
        <v>087-12211</v>
      </c>
      <c r="B5614" s="6" t="str">
        <f>IFERROR(__xludf.DUMMYFUNCTION("""COMPUTED_VALUE"""),"87")</f>
        <v>87</v>
      </c>
      <c r="C5614" s="6" t="str">
        <f>IFERROR(__xludf.DUMMYFUNCTION("""COMPUTED_VALUE"""),"12211")</f>
        <v>12211</v>
      </c>
      <c r="D5614" s="6" t="str">
        <f>IFERROR(__xludf.DUMMYFUNCTION("""COMPUTED_VALUE"""),"Abimael")</f>
        <v>Abimael</v>
      </c>
      <c r="E5614" s="6" t="str">
        <f>IFERROR(__xludf.DUMMYFUNCTION("""COMPUTED_VALUE"""),"")</f>
        <v/>
      </c>
      <c r="F5614" s="6" t="str">
        <f>IFERROR(__xludf.DUMMYFUNCTION("""COMPUTED_VALUE"""),"Fernandez Catalan")</f>
        <v>Fernandez Catalan</v>
      </c>
      <c r="G5614" s="6" t="str">
        <f>IFERROR(__xludf.DUMMYFUNCTION("""COMPUTED_VALUE"""),"08/21/2011")</f>
        <v>08/21/2011</v>
      </c>
      <c r="H5614" s="6" t="str">
        <f>IFERROR(__xludf.DUMMYFUNCTION("""COMPUTED_VALUE"""),"male")</f>
        <v>male</v>
      </c>
      <c r="I5614" s="6" t="str">
        <f>IFERROR(__xludf.DUMMYFUNCTION("""COMPUTED_VALUE"""),"Middle School")</f>
        <v>Middle School</v>
      </c>
      <c r="J5614" s="6" t="str">
        <f>IFERROR(__xludf.DUMMYFUNCTION("""COMPUTED_VALUE"""),"8")</f>
        <v>8</v>
      </c>
      <c r="K5614" s="6" t="str">
        <f>IFERROR(__xludf.DUMMYFUNCTION("""COMPUTED_VALUE"""),"abimael.fernandezcatalan@2hourlearning.com")</f>
        <v>abimael.fernandezcatalan@2hourlearning.com</v>
      </c>
      <c r="L5614" s="6" t="str">
        <f>IFERROR(__xludf.DUMMYFUNCTION("""COMPUTED_VALUE"""),"JRHS - Ridgeland Secondary Academy of Excellence")</f>
        <v>JRHS - Ridgeland Secondary Academy of Excellence</v>
      </c>
      <c r="M5614" s="6" t="str">
        <f>IFERROR(__xludf.DUMMYFUNCTION("""COMPUTED_VALUE"""),"")</f>
        <v/>
      </c>
      <c r="N5614" s="6" t="str">
        <f>IFERROR(__xludf.DUMMYFUNCTION("""COMPUTED_VALUE"""),"")</f>
        <v/>
      </c>
      <c r="O5614" s="87" t="str">
        <f>IFERROR(__xludf.DUMMYFUNCTION("""COMPUTED_VALUE"""),"https://drive.google.com/drive/folders/10T2cTQHqEJZqE-st6uFKPoI?usp=share_link")</f>
        <v>https://drive.google.com/drive/folders/10T2cTQHqEJZqE-st6uFKPoI?usp=share_link</v>
      </c>
      <c r="P5614" s="6" t="str">
        <f>IFERROR(__xludf.DUMMYFUNCTION("""COMPUTED_VALUE"""),"Abimael Fernandez Catalan")</f>
        <v>Abimael Fernandez Catalan</v>
      </c>
      <c r="Q5614" s="6" t="str">
        <f>IFERROR(__xludf.DUMMYFUNCTION("""COMPUTED_VALUE"""),"MS")</f>
        <v>MS</v>
      </c>
      <c r="R5614" s="6">
        <f>IFERROR(__xludf.DUMMYFUNCTION("""COMPUTED_VALUE"""),0.0)</f>
        <v>0</v>
      </c>
      <c r="S5614" s="6" t="str">
        <f>IFERROR(__xludf.DUMMYFUNCTION("""COMPUTED_VALUE"""),"Kimberly Ball")</f>
        <v>Kimberly Ball</v>
      </c>
      <c r="T5614" s="6" t="str">
        <f>IFERROR(__xludf.DUMMYFUNCTION("""COMPUTED_VALUE"""),"kimberly.ball@studient.com")</f>
        <v>kimberly.ball@studient.com</v>
      </c>
      <c r="U5614" s="6" t="str">
        <f>IFERROR(__xludf.DUMMYFUNCTION("""COMPUTED_VALUE"""),"8")</f>
        <v>8</v>
      </c>
      <c r="V5614" s="6" t="str">
        <f>IFERROR(__xludf.DUMMYFUNCTION("""COMPUTED_VALUE"""),"")</f>
        <v/>
      </c>
      <c r="W5614" s="6" t="str">
        <f>IFERROR(__xludf.DUMMYFUNCTION("""COMPUTED_VALUE"""),"[]")</f>
        <v>[]</v>
      </c>
      <c r="X5614" s="6" t="str">
        <f>IFERROR(__xludf.DUMMYFUNCTION("""COMPUTED_VALUE"""),"Enrolled")</f>
        <v>Enrolled</v>
      </c>
    </row>
    <row r="5615">
      <c r="A5615" s="6" t="str">
        <f>IFERROR(__xludf.DUMMYFUNCTION("""COMPUTED_VALUE"""),"087-12212")</f>
        <v>087-12212</v>
      </c>
      <c r="B5615" s="6" t="str">
        <f>IFERROR(__xludf.DUMMYFUNCTION("""COMPUTED_VALUE"""),"87")</f>
        <v>87</v>
      </c>
      <c r="C5615" s="6" t="str">
        <f>IFERROR(__xludf.DUMMYFUNCTION("""COMPUTED_VALUE"""),"12212")</f>
        <v>12212</v>
      </c>
      <c r="D5615" s="6" t="str">
        <f>IFERROR(__xludf.DUMMYFUNCTION("""COMPUTED_VALUE"""),"Jo'Marjay")</f>
        <v>Jo'Marjay</v>
      </c>
      <c r="E5615" s="6" t="str">
        <f>IFERROR(__xludf.DUMMYFUNCTION("""COMPUTED_VALUE"""),"")</f>
        <v/>
      </c>
      <c r="F5615" s="6" t="str">
        <f>IFERROR(__xludf.DUMMYFUNCTION("""COMPUTED_VALUE"""),"Fields")</f>
        <v>Fields</v>
      </c>
      <c r="G5615" s="6" t="str">
        <f>IFERROR(__xludf.DUMMYFUNCTION("""COMPUTED_VALUE"""),"12/03/2012")</f>
        <v>12/03/2012</v>
      </c>
      <c r="H5615" s="6" t="str">
        <f>IFERROR(__xludf.DUMMYFUNCTION("""COMPUTED_VALUE"""),"male")</f>
        <v>male</v>
      </c>
      <c r="I5615" s="6" t="str">
        <f>IFERROR(__xludf.DUMMYFUNCTION("""COMPUTED_VALUE"""),"Middle School")</f>
        <v>Middle School</v>
      </c>
      <c r="J5615" s="6" t="str">
        <f>IFERROR(__xludf.DUMMYFUNCTION("""COMPUTED_VALUE"""),"7")</f>
        <v>7</v>
      </c>
      <c r="K5615" s="6" t="str">
        <f>IFERROR(__xludf.DUMMYFUNCTION("""COMPUTED_VALUE"""),"jomarjay.fields@2hourlearning.com")</f>
        <v>jomarjay.fields@2hourlearning.com</v>
      </c>
      <c r="L5615" s="6" t="str">
        <f>IFERROR(__xludf.DUMMYFUNCTION("""COMPUTED_VALUE"""),"JRHS - Ridgeland Secondary Academy of Excellence")</f>
        <v>JRHS - Ridgeland Secondary Academy of Excellence</v>
      </c>
      <c r="M5615" s="6" t="str">
        <f>IFERROR(__xludf.DUMMYFUNCTION("""COMPUTED_VALUE"""),"")</f>
        <v/>
      </c>
      <c r="N5615" s="6" t="str">
        <f>IFERROR(__xludf.DUMMYFUNCTION("""COMPUTED_VALUE"""),"")</f>
        <v/>
      </c>
      <c r="O5615" s="87" t="str">
        <f>IFERROR(__xludf.DUMMYFUNCTION("""COMPUTED_VALUE"""),"https://drive.google.com/drive/folders/10T2cTQHqEJZqE-st6uFKPoI?usp=share_link")</f>
        <v>https://drive.google.com/drive/folders/10T2cTQHqEJZqE-st6uFKPoI?usp=share_link</v>
      </c>
      <c r="P5615" s="6" t="str">
        <f>IFERROR(__xludf.DUMMYFUNCTION("""COMPUTED_VALUE"""),"Jo'Marjay Fields")</f>
        <v>Jo'Marjay Fields</v>
      </c>
      <c r="Q5615" s="6" t="str">
        <f>IFERROR(__xludf.DUMMYFUNCTION("""COMPUTED_VALUE"""),"MS")</f>
        <v>MS</v>
      </c>
      <c r="R5615" s="6">
        <f>IFERROR(__xludf.DUMMYFUNCTION("""COMPUTED_VALUE"""),0.0)</f>
        <v>0</v>
      </c>
      <c r="S5615" s="6" t="str">
        <f>IFERROR(__xludf.DUMMYFUNCTION("""COMPUTED_VALUE"""),"Kimberly Ball")</f>
        <v>Kimberly Ball</v>
      </c>
      <c r="T5615" s="6" t="str">
        <f>IFERROR(__xludf.DUMMYFUNCTION("""COMPUTED_VALUE"""),"kimberly.ball@studient.com")</f>
        <v>kimberly.ball@studient.com</v>
      </c>
      <c r="U5615" s="6" t="str">
        <f>IFERROR(__xludf.DUMMYFUNCTION("""COMPUTED_VALUE"""),"7")</f>
        <v>7</v>
      </c>
      <c r="V5615" s="6" t="str">
        <f>IFERROR(__xludf.DUMMYFUNCTION("""COMPUTED_VALUE"""),"")</f>
        <v/>
      </c>
      <c r="W5615" s="6" t="str">
        <f>IFERROR(__xludf.DUMMYFUNCTION("""COMPUTED_VALUE"""),"[]")</f>
        <v>[]</v>
      </c>
      <c r="X5615" s="6" t="str">
        <f>IFERROR(__xludf.DUMMYFUNCTION("""COMPUTED_VALUE"""),"Enrolled")</f>
        <v>Enrolled</v>
      </c>
    </row>
    <row r="5616">
      <c r="A5616" s="6" t="str">
        <f>IFERROR(__xludf.DUMMYFUNCTION("""COMPUTED_VALUE"""),"087-12213")</f>
        <v>087-12213</v>
      </c>
      <c r="B5616" s="6" t="str">
        <f>IFERROR(__xludf.DUMMYFUNCTION("""COMPUTED_VALUE"""),"87")</f>
        <v>87</v>
      </c>
      <c r="C5616" s="6" t="str">
        <f>IFERROR(__xludf.DUMMYFUNCTION("""COMPUTED_VALUE"""),"12213")</f>
        <v>12213</v>
      </c>
      <c r="D5616" s="6" t="str">
        <f>IFERROR(__xludf.DUMMYFUNCTION("""COMPUTED_VALUE"""),"Noah")</f>
        <v>Noah</v>
      </c>
      <c r="E5616" s="6" t="str">
        <f>IFERROR(__xludf.DUMMYFUNCTION("""COMPUTED_VALUE"""),"")</f>
        <v/>
      </c>
      <c r="F5616" s="6" t="str">
        <f>IFERROR(__xludf.DUMMYFUNCTION("""COMPUTED_VALUE"""),"Fields")</f>
        <v>Fields</v>
      </c>
      <c r="G5616" s="6" t="str">
        <f>IFERROR(__xludf.DUMMYFUNCTION("""COMPUTED_VALUE"""),"11/28/2013")</f>
        <v>11/28/2013</v>
      </c>
      <c r="H5616" s="6" t="str">
        <f>IFERROR(__xludf.DUMMYFUNCTION("""COMPUTED_VALUE"""),"male")</f>
        <v>male</v>
      </c>
      <c r="I5616" s="6" t="str">
        <f>IFERROR(__xludf.DUMMYFUNCTION("""COMPUTED_VALUE"""),"Middle School")</f>
        <v>Middle School</v>
      </c>
      <c r="J5616" s="6" t="str">
        <f>IFERROR(__xludf.DUMMYFUNCTION("""COMPUTED_VALUE"""),"6")</f>
        <v>6</v>
      </c>
      <c r="K5616" s="6" t="str">
        <f>IFERROR(__xludf.DUMMYFUNCTION("""COMPUTED_VALUE"""),"noah.fields@2hourlearning.com")</f>
        <v>noah.fields@2hourlearning.com</v>
      </c>
      <c r="L5616" s="6" t="str">
        <f>IFERROR(__xludf.DUMMYFUNCTION("""COMPUTED_VALUE"""),"JRHS - Ridgeland Secondary Academy of Excellence")</f>
        <v>JRHS - Ridgeland Secondary Academy of Excellence</v>
      </c>
      <c r="M5616" s="6" t="str">
        <f>IFERROR(__xludf.DUMMYFUNCTION("""COMPUTED_VALUE"""),"")</f>
        <v/>
      </c>
      <c r="N5616" s="6" t="str">
        <f>IFERROR(__xludf.DUMMYFUNCTION("""COMPUTED_VALUE"""),"")</f>
        <v/>
      </c>
      <c r="O5616" s="87" t="str">
        <f>IFERROR(__xludf.DUMMYFUNCTION("""COMPUTED_VALUE"""),"https://drive.google.com/drive/folders/10T2cTQHqEJZqE-st6uFKPoI?usp=share_link")</f>
        <v>https://drive.google.com/drive/folders/10T2cTQHqEJZqE-st6uFKPoI?usp=share_link</v>
      </c>
      <c r="P5616" s="6" t="str">
        <f>IFERROR(__xludf.DUMMYFUNCTION("""COMPUTED_VALUE"""),"Noah Fields")</f>
        <v>Noah Fields</v>
      </c>
      <c r="Q5616" s="6" t="str">
        <f>IFERROR(__xludf.DUMMYFUNCTION("""COMPUTED_VALUE"""),"MS")</f>
        <v>MS</v>
      </c>
      <c r="R5616" s="6">
        <f>IFERROR(__xludf.DUMMYFUNCTION("""COMPUTED_VALUE"""),0.0)</f>
        <v>0</v>
      </c>
      <c r="S5616" s="6" t="str">
        <f>IFERROR(__xludf.DUMMYFUNCTION("""COMPUTED_VALUE"""),"Kimberly Ball")</f>
        <v>Kimberly Ball</v>
      </c>
      <c r="T5616" s="6" t="str">
        <f>IFERROR(__xludf.DUMMYFUNCTION("""COMPUTED_VALUE"""),"kimberly.ball@studient.com")</f>
        <v>kimberly.ball@studient.com</v>
      </c>
      <c r="U5616" s="6" t="str">
        <f>IFERROR(__xludf.DUMMYFUNCTION("""COMPUTED_VALUE"""),"6")</f>
        <v>6</v>
      </c>
      <c r="V5616" s="6" t="str">
        <f>IFERROR(__xludf.DUMMYFUNCTION("""COMPUTED_VALUE"""),"")</f>
        <v/>
      </c>
      <c r="W5616" s="6" t="str">
        <f>IFERROR(__xludf.DUMMYFUNCTION("""COMPUTED_VALUE"""),"[]")</f>
        <v>[]</v>
      </c>
      <c r="X5616" s="6" t="str">
        <f>IFERROR(__xludf.DUMMYFUNCTION("""COMPUTED_VALUE"""),"Enrolled")</f>
        <v>Enrolled</v>
      </c>
    </row>
    <row r="5617">
      <c r="A5617" s="6" t="str">
        <f>IFERROR(__xludf.DUMMYFUNCTION("""COMPUTED_VALUE"""),"087-12214")</f>
        <v>087-12214</v>
      </c>
      <c r="B5617" s="6" t="str">
        <f>IFERROR(__xludf.DUMMYFUNCTION("""COMPUTED_VALUE"""),"87")</f>
        <v>87</v>
      </c>
      <c r="C5617" s="6" t="str">
        <f>IFERROR(__xludf.DUMMYFUNCTION("""COMPUTED_VALUE"""),"12214")</f>
        <v>12214</v>
      </c>
      <c r="D5617" s="6" t="str">
        <f>IFERROR(__xludf.DUMMYFUNCTION("""COMPUTED_VALUE"""),"Jonathan")</f>
        <v>Jonathan</v>
      </c>
      <c r="E5617" s="6" t="str">
        <f>IFERROR(__xludf.DUMMYFUNCTION("""COMPUTED_VALUE"""),"")</f>
        <v/>
      </c>
      <c r="F5617" s="6" t="str">
        <f>IFERROR(__xludf.DUMMYFUNCTION("""COMPUTED_VALUE"""),"Flores")</f>
        <v>Flores</v>
      </c>
      <c r="G5617" s="6" t="str">
        <f>IFERROR(__xludf.DUMMYFUNCTION("""COMPUTED_VALUE"""),"04/13/2012")</f>
        <v>04/13/2012</v>
      </c>
      <c r="H5617" s="6" t="str">
        <f>IFERROR(__xludf.DUMMYFUNCTION("""COMPUTED_VALUE"""),"male")</f>
        <v>male</v>
      </c>
      <c r="I5617" s="6" t="str">
        <f>IFERROR(__xludf.DUMMYFUNCTION("""COMPUTED_VALUE"""),"Middle School")</f>
        <v>Middle School</v>
      </c>
      <c r="J5617" s="6" t="str">
        <f>IFERROR(__xludf.DUMMYFUNCTION("""COMPUTED_VALUE"""),"8")</f>
        <v>8</v>
      </c>
      <c r="K5617" s="6" t="str">
        <f>IFERROR(__xludf.DUMMYFUNCTION("""COMPUTED_VALUE"""),"jonathan.flores@2hourlearning.com")</f>
        <v>jonathan.flores@2hourlearning.com</v>
      </c>
      <c r="L5617" s="6" t="str">
        <f>IFERROR(__xludf.DUMMYFUNCTION("""COMPUTED_VALUE"""),"JRHS - Ridgeland Secondary Academy of Excellence")</f>
        <v>JRHS - Ridgeland Secondary Academy of Excellence</v>
      </c>
      <c r="M5617" s="6" t="str">
        <f>IFERROR(__xludf.DUMMYFUNCTION("""COMPUTED_VALUE"""),"")</f>
        <v/>
      </c>
      <c r="N5617" s="6" t="str">
        <f>IFERROR(__xludf.DUMMYFUNCTION("""COMPUTED_VALUE"""),"")</f>
        <v/>
      </c>
      <c r="O5617" s="87" t="str">
        <f>IFERROR(__xludf.DUMMYFUNCTION("""COMPUTED_VALUE"""),"https://drive.google.com/drive/folders/10T2cTQHqEJZqE-st6uFKPoI?usp=share_link")</f>
        <v>https://drive.google.com/drive/folders/10T2cTQHqEJZqE-st6uFKPoI?usp=share_link</v>
      </c>
      <c r="P5617" s="6" t="str">
        <f>IFERROR(__xludf.DUMMYFUNCTION("""COMPUTED_VALUE"""),"Jonathan Flores")</f>
        <v>Jonathan Flores</v>
      </c>
      <c r="Q5617" s="6" t="str">
        <f>IFERROR(__xludf.DUMMYFUNCTION("""COMPUTED_VALUE"""),"MS")</f>
        <v>MS</v>
      </c>
      <c r="R5617" s="6">
        <f>IFERROR(__xludf.DUMMYFUNCTION("""COMPUTED_VALUE"""),0.0)</f>
        <v>0</v>
      </c>
      <c r="S5617" s="6" t="str">
        <f>IFERROR(__xludf.DUMMYFUNCTION("""COMPUTED_VALUE"""),"Kimberly Ball")</f>
        <v>Kimberly Ball</v>
      </c>
      <c r="T5617" s="6" t="str">
        <f>IFERROR(__xludf.DUMMYFUNCTION("""COMPUTED_VALUE"""),"kimberly.ball@studient.com")</f>
        <v>kimberly.ball@studient.com</v>
      </c>
      <c r="U5617" s="6" t="str">
        <f>IFERROR(__xludf.DUMMYFUNCTION("""COMPUTED_VALUE"""),"8")</f>
        <v>8</v>
      </c>
      <c r="V5617" s="6" t="str">
        <f>IFERROR(__xludf.DUMMYFUNCTION("""COMPUTED_VALUE"""),"")</f>
        <v/>
      </c>
      <c r="W5617" s="6" t="str">
        <f>IFERROR(__xludf.DUMMYFUNCTION("""COMPUTED_VALUE"""),"[]")</f>
        <v>[]</v>
      </c>
      <c r="X5617" s="6" t="str">
        <f>IFERROR(__xludf.DUMMYFUNCTION("""COMPUTED_VALUE"""),"Enrolled")</f>
        <v>Enrolled</v>
      </c>
    </row>
    <row r="5618">
      <c r="A5618" s="6" t="str">
        <f>IFERROR(__xludf.DUMMYFUNCTION("""COMPUTED_VALUE"""),"087-12215")</f>
        <v>087-12215</v>
      </c>
      <c r="B5618" s="6" t="str">
        <f>IFERROR(__xludf.DUMMYFUNCTION("""COMPUTED_VALUE"""),"87")</f>
        <v>87</v>
      </c>
      <c r="C5618" s="6" t="str">
        <f>IFERROR(__xludf.DUMMYFUNCTION("""COMPUTED_VALUE"""),"12215")</f>
        <v>12215</v>
      </c>
      <c r="D5618" s="6" t="str">
        <f>IFERROR(__xludf.DUMMYFUNCTION("""COMPUTED_VALUE"""),"J'Kylah")</f>
        <v>J'Kylah</v>
      </c>
      <c r="E5618" s="6" t="str">
        <f>IFERROR(__xludf.DUMMYFUNCTION("""COMPUTED_VALUE"""),"")</f>
        <v/>
      </c>
      <c r="F5618" s="6" t="str">
        <f>IFERROR(__xludf.DUMMYFUNCTION("""COMPUTED_VALUE"""),"Flowers")</f>
        <v>Flowers</v>
      </c>
      <c r="G5618" s="6" t="str">
        <f>IFERROR(__xludf.DUMMYFUNCTION("""COMPUTED_VALUE"""),"03/04/2014")</f>
        <v>03/04/2014</v>
      </c>
      <c r="H5618" s="6" t="str">
        <f>IFERROR(__xludf.DUMMYFUNCTION("""COMPUTED_VALUE"""),"female")</f>
        <v>female</v>
      </c>
      <c r="I5618" s="6" t="str">
        <f>IFERROR(__xludf.DUMMYFUNCTION("""COMPUTED_VALUE"""),"Middle School")</f>
        <v>Middle School</v>
      </c>
      <c r="J5618" s="6" t="str">
        <f>IFERROR(__xludf.DUMMYFUNCTION("""COMPUTED_VALUE"""),"6")</f>
        <v>6</v>
      </c>
      <c r="K5618" s="6" t="str">
        <f>IFERROR(__xludf.DUMMYFUNCTION("""COMPUTED_VALUE"""),"jkylah.flowers@2hourlearning.com")</f>
        <v>jkylah.flowers@2hourlearning.com</v>
      </c>
      <c r="L5618" s="6" t="str">
        <f>IFERROR(__xludf.DUMMYFUNCTION("""COMPUTED_VALUE"""),"JRHS - Ridgeland Secondary Academy of Excellence")</f>
        <v>JRHS - Ridgeland Secondary Academy of Excellence</v>
      </c>
      <c r="M5618" s="6" t="str">
        <f>IFERROR(__xludf.DUMMYFUNCTION("""COMPUTED_VALUE"""),"")</f>
        <v/>
      </c>
      <c r="N5618" s="6" t="str">
        <f>IFERROR(__xludf.DUMMYFUNCTION("""COMPUTED_VALUE"""),"")</f>
        <v/>
      </c>
      <c r="O5618" s="87" t="str">
        <f>IFERROR(__xludf.DUMMYFUNCTION("""COMPUTED_VALUE"""),"https://drive.google.com/drive/folders/10T2cTQHqEJZqE-st6uFKPoI?usp=share_link")</f>
        <v>https://drive.google.com/drive/folders/10T2cTQHqEJZqE-st6uFKPoI?usp=share_link</v>
      </c>
      <c r="P5618" s="6" t="str">
        <f>IFERROR(__xludf.DUMMYFUNCTION("""COMPUTED_VALUE"""),"J'Kylah Flowers")</f>
        <v>J'Kylah Flowers</v>
      </c>
      <c r="Q5618" s="6" t="str">
        <f>IFERROR(__xludf.DUMMYFUNCTION("""COMPUTED_VALUE"""),"MS")</f>
        <v>MS</v>
      </c>
      <c r="R5618" s="6">
        <f>IFERROR(__xludf.DUMMYFUNCTION("""COMPUTED_VALUE"""),0.0)</f>
        <v>0</v>
      </c>
      <c r="S5618" s="6" t="str">
        <f>IFERROR(__xludf.DUMMYFUNCTION("""COMPUTED_VALUE"""),"Kimberly Ball")</f>
        <v>Kimberly Ball</v>
      </c>
      <c r="T5618" s="6" t="str">
        <f>IFERROR(__xludf.DUMMYFUNCTION("""COMPUTED_VALUE"""),"kimberly.ball@studient.com")</f>
        <v>kimberly.ball@studient.com</v>
      </c>
      <c r="U5618" s="6" t="str">
        <f>IFERROR(__xludf.DUMMYFUNCTION("""COMPUTED_VALUE"""),"6")</f>
        <v>6</v>
      </c>
      <c r="V5618" s="6" t="str">
        <f>IFERROR(__xludf.DUMMYFUNCTION("""COMPUTED_VALUE"""),"")</f>
        <v/>
      </c>
      <c r="W5618" s="6" t="str">
        <f>IFERROR(__xludf.DUMMYFUNCTION("""COMPUTED_VALUE"""),"[]")</f>
        <v>[]</v>
      </c>
      <c r="X5618" s="6" t="str">
        <f>IFERROR(__xludf.DUMMYFUNCTION("""COMPUTED_VALUE"""),"Enrolled")</f>
        <v>Enrolled</v>
      </c>
    </row>
    <row r="5619">
      <c r="A5619" s="6" t="str">
        <f>IFERROR(__xludf.DUMMYFUNCTION("""COMPUTED_VALUE"""),"087-12216")</f>
        <v>087-12216</v>
      </c>
      <c r="B5619" s="6" t="str">
        <f>IFERROR(__xludf.DUMMYFUNCTION("""COMPUTED_VALUE"""),"87")</f>
        <v>87</v>
      </c>
      <c r="C5619" s="6" t="str">
        <f>IFERROR(__xludf.DUMMYFUNCTION("""COMPUTED_VALUE"""),"12216")</f>
        <v>12216</v>
      </c>
      <c r="D5619" s="6" t="str">
        <f>IFERROR(__xludf.DUMMYFUNCTION("""COMPUTED_VALUE"""),"Aiden")</f>
        <v>Aiden</v>
      </c>
      <c r="E5619" s="6" t="str">
        <f>IFERROR(__xludf.DUMMYFUNCTION("""COMPUTED_VALUE"""),"")</f>
        <v/>
      </c>
      <c r="F5619" s="6" t="str">
        <f>IFERROR(__xludf.DUMMYFUNCTION("""COMPUTED_VALUE"""),"Ford")</f>
        <v>Ford</v>
      </c>
      <c r="G5619" s="6" t="str">
        <f>IFERROR(__xludf.DUMMYFUNCTION("""COMPUTED_VALUE"""),"11/23/2013")</f>
        <v>11/23/2013</v>
      </c>
      <c r="H5619" s="6" t="str">
        <f>IFERROR(__xludf.DUMMYFUNCTION("""COMPUTED_VALUE"""),"male")</f>
        <v>male</v>
      </c>
      <c r="I5619" s="6" t="str">
        <f>IFERROR(__xludf.DUMMYFUNCTION("""COMPUTED_VALUE"""),"Middle School")</f>
        <v>Middle School</v>
      </c>
      <c r="J5619" s="6" t="str">
        <f>IFERROR(__xludf.DUMMYFUNCTION("""COMPUTED_VALUE"""),"6")</f>
        <v>6</v>
      </c>
      <c r="K5619" s="6" t="str">
        <f>IFERROR(__xludf.DUMMYFUNCTION("""COMPUTED_VALUE"""),"aiden.ford@2hourlearning.com")</f>
        <v>aiden.ford@2hourlearning.com</v>
      </c>
      <c r="L5619" s="6" t="str">
        <f>IFERROR(__xludf.DUMMYFUNCTION("""COMPUTED_VALUE"""),"JRHS - Ridgeland Secondary Academy of Excellence")</f>
        <v>JRHS - Ridgeland Secondary Academy of Excellence</v>
      </c>
      <c r="M5619" s="6" t="str">
        <f>IFERROR(__xludf.DUMMYFUNCTION("""COMPUTED_VALUE"""),"")</f>
        <v/>
      </c>
      <c r="N5619" s="6" t="str">
        <f>IFERROR(__xludf.DUMMYFUNCTION("""COMPUTED_VALUE"""),"")</f>
        <v/>
      </c>
      <c r="O5619" s="87" t="str">
        <f>IFERROR(__xludf.DUMMYFUNCTION("""COMPUTED_VALUE"""),"https://drive.google.com/drive/folders/10T2cTQHqEJZqE-st6uFKPoI?usp=share_link")</f>
        <v>https://drive.google.com/drive/folders/10T2cTQHqEJZqE-st6uFKPoI?usp=share_link</v>
      </c>
      <c r="P5619" s="6" t="str">
        <f>IFERROR(__xludf.DUMMYFUNCTION("""COMPUTED_VALUE"""),"Aiden Ford")</f>
        <v>Aiden Ford</v>
      </c>
      <c r="Q5619" s="6" t="str">
        <f>IFERROR(__xludf.DUMMYFUNCTION("""COMPUTED_VALUE"""),"MS")</f>
        <v>MS</v>
      </c>
      <c r="R5619" s="6">
        <f>IFERROR(__xludf.DUMMYFUNCTION("""COMPUTED_VALUE"""),0.0)</f>
        <v>0</v>
      </c>
      <c r="S5619" s="6" t="str">
        <f>IFERROR(__xludf.DUMMYFUNCTION("""COMPUTED_VALUE"""),"Kimberly Ball")</f>
        <v>Kimberly Ball</v>
      </c>
      <c r="T5619" s="6" t="str">
        <f>IFERROR(__xludf.DUMMYFUNCTION("""COMPUTED_VALUE"""),"kimberly.ball@studient.com")</f>
        <v>kimberly.ball@studient.com</v>
      </c>
      <c r="U5619" s="6" t="str">
        <f>IFERROR(__xludf.DUMMYFUNCTION("""COMPUTED_VALUE"""),"6")</f>
        <v>6</v>
      </c>
      <c r="V5619" s="6" t="str">
        <f>IFERROR(__xludf.DUMMYFUNCTION("""COMPUTED_VALUE"""),"")</f>
        <v/>
      </c>
      <c r="W5619" s="6" t="str">
        <f>IFERROR(__xludf.DUMMYFUNCTION("""COMPUTED_VALUE"""),"[]")</f>
        <v>[]</v>
      </c>
      <c r="X5619" s="6" t="str">
        <f>IFERROR(__xludf.DUMMYFUNCTION("""COMPUTED_VALUE"""),"Enrolled")</f>
        <v>Enrolled</v>
      </c>
    </row>
    <row r="5620">
      <c r="A5620" s="6" t="str">
        <f>IFERROR(__xludf.DUMMYFUNCTION("""COMPUTED_VALUE"""),"087-12217")</f>
        <v>087-12217</v>
      </c>
      <c r="B5620" s="6" t="str">
        <f>IFERROR(__xludf.DUMMYFUNCTION("""COMPUTED_VALUE"""),"87")</f>
        <v>87</v>
      </c>
      <c r="C5620" s="6" t="str">
        <f>IFERROR(__xludf.DUMMYFUNCTION("""COMPUTED_VALUE"""),"12217")</f>
        <v>12217</v>
      </c>
      <c r="D5620" s="6" t="str">
        <f>IFERROR(__xludf.DUMMYFUNCTION("""COMPUTED_VALUE"""),"Anthony")</f>
        <v>Anthony</v>
      </c>
      <c r="E5620" s="6" t="str">
        <f>IFERROR(__xludf.DUMMYFUNCTION("""COMPUTED_VALUE"""),"")</f>
        <v/>
      </c>
      <c r="F5620" s="6" t="str">
        <f>IFERROR(__xludf.DUMMYFUNCTION("""COMPUTED_VALUE"""),"Francisco Najera")</f>
        <v>Francisco Najera</v>
      </c>
      <c r="G5620" s="6" t="str">
        <f>IFERROR(__xludf.DUMMYFUNCTION("""COMPUTED_VALUE"""),"07/16/2014")</f>
        <v>07/16/2014</v>
      </c>
      <c r="H5620" s="6" t="str">
        <f>IFERROR(__xludf.DUMMYFUNCTION("""COMPUTED_VALUE"""),"male")</f>
        <v>male</v>
      </c>
      <c r="I5620" s="6" t="str">
        <f>IFERROR(__xludf.DUMMYFUNCTION("""COMPUTED_VALUE"""),"Middle School")</f>
        <v>Middle School</v>
      </c>
      <c r="J5620" s="6" t="str">
        <f>IFERROR(__xludf.DUMMYFUNCTION("""COMPUTED_VALUE"""),"6")</f>
        <v>6</v>
      </c>
      <c r="K5620" s="6" t="str">
        <f>IFERROR(__xludf.DUMMYFUNCTION("""COMPUTED_VALUE"""),"anthony.francisconajera@2hourlearning.com")</f>
        <v>anthony.francisconajera@2hourlearning.com</v>
      </c>
      <c r="L5620" s="6" t="str">
        <f>IFERROR(__xludf.DUMMYFUNCTION("""COMPUTED_VALUE"""),"JRHS - Ridgeland Secondary Academy of Excellence")</f>
        <v>JRHS - Ridgeland Secondary Academy of Excellence</v>
      </c>
      <c r="M5620" s="6" t="str">
        <f>IFERROR(__xludf.DUMMYFUNCTION("""COMPUTED_VALUE"""),"")</f>
        <v/>
      </c>
      <c r="N5620" s="6" t="str">
        <f>IFERROR(__xludf.DUMMYFUNCTION("""COMPUTED_VALUE"""),"")</f>
        <v/>
      </c>
      <c r="O5620" s="87" t="str">
        <f>IFERROR(__xludf.DUMMYFUNCTION("""COMPUTED_VALUE"""),"https://drive.google.com/drive/folders/10T2cTQHqEJZqE-st6uFKPoI?usp=share_link")</f>
        <v>https://drive.google.com/drive/folders/10T2cTQHqEJZqE-st6uFKPoI?usp=share_link</v>
      </c>
      <c r="P5620" s="6" t="str">
        <f>IFERROR(__xludf.DUMMYFUNCTION("""COMPUTED_VALUE"""),"Anthony Francisco Najera")</f>
        <v>Anthony Francisco Najera</v>
      </c>
      <c r="Q5620" s="6" t="str">
        <f>IFERROR(__xludf.DUMMYFUNCTION("""COMPUTED_VALUE"""),"MS")</f>
        <v>MS</v>
      </c>
      <c r="R5620" s="6">
        <f>IFERROR(__xludf.DUMMYFUNCTION("""COMPUTED_VALUE"""),0.0)</f>
        <v>0</v>
      </c>
      <c r="S5620" s="6" t="str">
        <f>IFERROR(__xludf.DUMMYFUNCTION("""COMPUTED_VALUE"""),"Kimberly Ball")</f>
        <v>Kimberly Ball</v>
      </c>
      <c r="T5620" s="6" t="str">
        <f>IFERROR(__xludf.DUMMYFUNCTION("""COMPUTED_VALUE"""),"kimberly.ball@studient.com")</f>
        <v>kimberly.ball@studient.com</v>
      </c>
      <c r="U5620" s="6" t="str">
        <f>IFERROR(__xludf.DUMMYFUNCTION("""COMPUTED_VALUE"""),"6")</f>
        <v>6</v>
      </c>
      <c r="V5620" s="6" t="str">
        <f>IFERROR(__xludf.DUMMYFUNCTION("""COMPUTED_VALUE"""),"")</f>
        <v/>
      </c>
      <c r="W5620" s="6" t="str">
        <f>IFERROR(__xludf.DUMMYFUNCTION("""COMPUTED_VALUE"""),"[]")</f>
        <v>[]</v>
      </c>
      <c r="X5620" s="6" t="str">
        <f>IFERROR(__xludf.DUMMYFUNCTION("""COMPUTED_VALUE"""),"Enrolled")</f>
        <v>Enrolled</v>
      </c>
    </row>
    <row r="5621">
      <c r="A5621" s="6" t="str">
        <f>IFERROR(__xludf.DUMMYFUNCTION("""COMPUTED_VALUE"""),"087-12218")</f>
        <v>087-12218</v>
      </c>
      <c r="B5621" s="6" t="str">
        <f>IFERROR(__xludf.DUMMYFUNCTION("""COMPUTED_VALUE"""),"87")</f>
        <v>87</v>
      </c>
      <c r="C5621" s="6" t="str">
        <f>IFERROR(__xludf.DUMMYFUNCTION("""COMPUTED_VALUE"""),"12218")</f>
        <v>12218</v>
      </c>
      <c r="D5621" s="6" t="str">
        <f>IFERROR(__xludf.DUMMYFUNCTION("""COMPUTED_VALUE"""),"Ivyona")</f>
        <v>Ivyona</v>
      </c>
      <c r="E5621" s="6" t="str">
        <f>IFERROR(__xludf.DUMMYFUNCTION("""COMPUTED_VALUE"""),"")</f>
        <v/>
      </c>
      <c r="F5621" s="6" t="str">
        <f>IFERROR(__xludf.DUMMYFUNCTION("""COMPUTED_VALUE"""),"Frasier")</f>
        <v>Frasier</v>
      </c>
      <c r="G5621" s="6" t="str">
        <f>IFERROR(__xludf.DUMMYFUNCTION("""COMPUTED_VALUE"""),"11/21/2012")</f>
        <v>11/21/2012</v>
      </c>
      <c r="H5621" s="6" t="str">
        <f>IFERROR(__xludf.DUMMYFUNCTION("""COMPUTED_VALUE"""),"female")</f>
        <v>female</v>
      </c>
      <c r="I5621" s="6" t="str">
        <f>IFERROR(__xludf.DUMMYFUNCTION("""COMPUTED_VALUE"""),"Middle School")</f>
        <v>Middle School</v>
      </c>
      <c r="J5621" s="6" t="str">
        <f>IFERROR(__xludf.DUMMYFUNCTION("""COMPUTED_VALUE"""),"7")</f>
        <v>7</v>
      </c>
      <c r="K5621" s="6" t="str">
        <f>IFERROR(__xludf.DUMMYFUNCTION("""COMPUTED_VALUE"""),"ivyona.frasier@2hourlearning.com")</f>
        <v>ivyona.frasier@2hourlearning.com</v>
      </c>
      <c r="L5621" s="6" t="str">
        <f>IFERROR(__xludf.DUMMYFUNCTION("""COMPUTED_VALUE"""),"JRHS - Ridgeland Secondary Academy of Excellence")</f>
        <v>JRHS - Ridgeland Secondary Academy of Excellence</v>
      </c>
      <c r="M5621" s="6" t="str">
        <f>IFERROR(__xludf.DUMMYFUNCTION("""COMPUTED_VALUE"""),"")</f>
        <v/>
      </c>
      <c r="N5621" s="6" t="str">
        <f>IFERROR(__xludf.DUMMYFUNCTION("""COMPUTED_VALUE"""),"")</f>
        <v/>
      </c>
      <c r="O5621" s="87" t="str">
        <f>IFERROR(__xludf.DUMMYFUNCTION("""COMPUTED_VALUE"""),"https://drive.google.com/drive/folders/10T2cTQHqEJZqE-st6uFKPoI?usp=share_link")</f>
        <v>https://drive.google.com/drive/folders/10T2cTQHqEJZqE-st6uFKPoI?usp=share_link</v>
      </c>
      <c r="P5621" s="6" t="str">
        <f>IFERROR(__xludf.DUMMYFUNCTION("""COMPUTED_VALUE"""),"Ivyona Frasier")</f>
        <v>Ivyona Frasier</v>
      </c>
      <c r="Q5621" s="6" t="str">
        <f>IFERROR(__xludf.DUMMYFUNCTION("""COMPUTED_VALUE"""),"MS")</f>
        <v>MS</v>
      </c>
      <c r="R5621" s="6">
        <f>IFERROR(__xludf.DUMMYFUNCTION("""COMPUTED_VALUE"""),0.0)</f>
        <v>0</v>
      </c>
      <c r="S5621" s="6" t="str">
        <f>IFERROR(__xludf.DUMMYFUNCTION("""COMPUTED_VALUE"""),"Kimberly Ball")</f>
        <v>Kimberly Ball</v>
      </c>
      <c r="T5621" s="6" t="str">
        <f>IFERROR(__xludf.DUMMYFUNCTION("""COMPUTED_VALUE"""),"kimberly.ball@studient.com")</f>
        <v>kimberly.ball@studient.com</v>
      </c>
      <c r="U5621" s="6" t="str">
        <f>IFERROR(__xludf.DUMMYFUNCTION("""COMPUTED_VALUE"""),"7")</f>
        <v>7</v>
      </c>
      <c r="V5621" s="6" t="str">
        <f>IFERROR(__xludf.DUMMYFUNCTION("""COMPUTED_VALUE"""),"")</f>
        <v/>
      </c>
      <c r="W5621" s="6" t="str">
        <f>IFERROR(__xludf.DUMMYFUNCTION("""COMPUTED_VALUE"""),"[]")</f>
        <v>[]</v>
      </c>
      <c r="X5621" s="6" t="str">
        <f>IFERROR(__xludf.DUMMYFUNCTION("""COMPUTED_VALUE"""),"Enrolled")</f>
        <v>Enrolled</v>
      </c>
    </row>
    <row r="5622">
      <c r="A5622" s="6" t="str">
        <f>IFERROR(__xludf.DUMMYFUNCTION("""COMPUTED_VALUE"""),"087-12219")</f>
        <v>087-12219</v>
      </c>
      <c r="B5622" s="6" t="str">
        <f>IFERROR(__xludf.DUMMYFUNCTION("""COMPUTED_VALUE"""),"87")</f>
        <v>87</v>
      </c>
      <c r="C5622" s="6" t="str">
        <f>IFERROR(__xludf.DUMMYFUNCTION("""COMPUTED_VALUE"""),"12219")</f>
        <v>12219</v>
      </c>
      <c r="D5622" s="6" t="str">
        <f>IFERROR(__xludf.DUMMYFUNCTION("""COMPUTED_VALUE"""),"Aaron")</f>
        <v>Aaron</v>
      </c>
      <c r="E5622" s="6" t="str">
        <f>IFERROR(__xludf.DUMMYFUNCTION("""COMPUTED_VALUE"""),"")</f>
        <v/>
      </c>
      <c r="F5622" s="6" t="str">
        <f>IFERROR(__xludf.DUMMYFUNCTION("""COMPUTED_VALUE"""),"Funes")</f>
        <v>Funes</v>
      </c>
      <c r="G5622" s="6" t="str">
        <f>IFERROR(__xludf.DUMMYFUNCTION("""COMPUTED_VALUE"""),"08/04/2012")</f>
        <v>08/04/2012</v>
      </c>
      <c r="H5622" s="6" t="str">
        <f>IFERROR(__xludf.DUMMYFUNCTION("""COMPUTED_VALUE"""),"male")</f>
        <v>male</v>
      </c>
      <c r="I5622" s="6" t="str">
        <f>IFERROR(__xludf.DUMMYFUNCTION("""COMPUTED_VALUE"""),"Middle School")</f>
        <v>Middle School</v>
      </c>
      <c r="J5622" s="6" t="str">
        <f>IFERROR(__xludf.DUMMYFUNCTION("""COMPUTED_VALUE"""),"8")</f>
        <v>8</v>
      </c>
      <c r="K5622" s="6" t="str">
        <f>IFERROR(__xludf.DUMMYFUNCTION("""COMPUTED_VALUE"""),"aaron.funes@2hourlearning.com")</f>
        <v>aaron.funes@2hourlearning.com</v>
      </c>
      <c r="L5622" s="6" t="str">
        <f>IFERROR(__xludf.DUMMYFUNCTION("""COMPUTED_VALUE"""),"JRHS - Ridgeland Secondary Academy of Excellence")</f>
        <v>JRHS - Ridgeland Secondary Academy of Excellence</v>
      </c>
      <c r="M5622" s="6" t="str">
        <f>IFERROR(__xludf.DUMMYFUNCTION("""COMPUTED_VALUE"""),"")</f>
        <v/>
      </c>
      <c r="N5622" s="6" t="str">
        <f>IFERROR(__xludf.DUMMYFUNCTION("""COMPUTED_VALUE"""),"")</f>
        <v/>
      </c>
      <c r="O5622" s="87" t="str">
        <f>IFERROR(__xludf.DUMMYFUNCTION("""COMPUTED_VALUE"""),"https://drive.google.com/drive/folders/10T2cTQHqEJZqE-st6uFKPoI?usp=share_link")</f>
        <v>https://drive.google.com/drive/folders/10T2cTQHqEJZqE-st6uFKPoI?usp=share_link</v>
      </c>
      <c r="P5622" s="6" t="str">
        <f>IFERROR(__xludf.DUMMYFUNCTION("""COMPUTED_VALUE"""),"Aaron Funes")</f>
        <v>Aaron Funes</v>
      </c>
      <c r="Q5622" s="6" t="str">
        <f>IFERROR(__xludf.DUMMYFUNCTION("""COMPUTED_VALUE"""),"MS")</f>
        <v>MS</v>
      </c>
      <c r="R5622" s="6">
        <f>IFERROR(__xludf.DUMMYFUNCTION("""COMPUTED_VALUE"""),0.0)</f>
        <v>0</v>
      </c>
      <c r="S5622" s="6" t="str">
        <f>IFERROR(__xludf.DUMMYFUNCTION("""COMPUTED_VALUE"""),"Kimberly Ball")</f>
        <v>Kimberly Ball</v>
      </c>
      <c r="T5622" s="6" t="str">
        <f>IFERROR(__xludf.DUMMYFUNCTION("""COMPUTED_VALUE"""),"kimberly.ball@studient.com")</f>
        <v>kimberly.ball@studient.com</v>
      </c>
      <c r="U5622" s="6" t="str">
        <f>IFERROR(__xludf.DUMMYFUNCTION("""COMPUTED_VALUE"""),"8")</f>
        <v>8</v>
      </c>
      <c r="V5622" s="6" t="str">
        <f>IFERROR(__xludf.DUMMYFUNCTION("""COMPUTED_VALUE"""),"")</f>
        <v/>
      </c>
      <c r="W5622" s="6" t="str">
        <f>IFERROR(__xludf.DUMMYFUNCTION("""COMPUTED_VALUE"""),"[]")</f>
        <v>[]</v>
      </c>
      <c r="X5622" s="6" t="str">
        <f>IFERROR(__xludf.DUMMYFUNCTION("""COMPUTED_VALUE"""),"Enrolled")</f>
        <v>Enrolled</v>
      </c>
    </row>
    <row r="5623">
      <c r="A5623" s="6" t="str">
        <f>IFERROR(__xludf.DUMMYFUNCTION("""COMPUTED_VALUE"""),"087-12220")</f>
        <v>087-12220</v>
      </c>
      <c r="B5623" s="6" t="str">
        <f>IFERROR(__xludf.DUMMYFUNCTION("""COMPUTED_VALUE"""),"87")</f>
        <v>87</v>
      </c>
      <c r="C5623" s="6" t="str">
        <f>IFERROR(__xludf.DUMMYFUNCTION("""COMPUTED_VALUE"""),"12220")</f>
        <v>12220</v>
      </c>
      <c r="D5623" s="6" t="str">
        <f>IFERROR(__xludf.DUMMYFUNCTION("""COMPUTED_VALUE"""),"Jahcenda")</f>
        <v>Jahcenda</v>
      </c>
      <c r="E5623" s="6" t="str">
        <f>IFERROR(__xludf.DUMMYFUNCTION("""COMPUTED_VALUE"""),"")</f>
        <v/>
      </c>
      <c r="F5623" s="6" t="str">
        <f>IFERROR(__xludf.DUMMYFUNCTION("""COMPUTED_VALUE"""),"Fyffe")</f>
        <v>Fyffe</v>
      </c>
      <c r="G5623" s="6" t="str">
        <f>IFERROR(__xludf.DUMMYFUNCTION("""COMPUTED_VALUE"""),"03/19/2013")</f>
        <v>03/19/2013</v>
      </c>
      <c r="H5623" s="6" t="str">
        <f>IFERROR(__xludf.DUMMYFUNCTION("""COMPUTED_VALUE"""),"female")</f>
        <v>female</v>
      </c>
      <c r="I5623" s="6" t="str">
        <f>IFERROR(__xludf.DUMMYFUNCTION("""COMPUTED_VALUE"""),"Middle School")</f>
        <v>Middle School</v>
      </c>
      <c r="J5623" s="6" t="str">
        <f>IFERROR(__xludf.DUMMYFUNCTION("""COMPUTED_VALUE"""),"7")</f>
        <v>7</v>
      </c>
      <c r="K5623" s="6" t="str">
        <f>IFERROR(__xludf.DUMMYFUNCTION("""COMPUTED_VALUE"""),"jahcenda.fyffe@2hourlearning.com")</f>
        <v>jahcenda.fyffe@2hourlearning.com</v>
      </c>
      <c r="L5623" s="6" t="str">
        <f>IFERROR(__xludf.DUMMYFUNCTION("""COMPUTED_VALUE"""),"JRHS - Ridgeland Secondary Academy of Excellence")</f>
        <v>JRHS - Ridgeland Secondary Academy of Excellence</v>
      </c>
      <c r="M5623" s="6" t="str">
        <f>IFERROR(__xludf.DUMMYFUNCTION("""COMPUTED_VALUE"""),"")</f>
        <v/>
      </c>
      <c r="N5623" s="6" t="str">
        <f>IFERROR(__xludf.DUMMYFUNCTION("""COMPUTED_VALUE"""),"")</f>
        <v/>
      </c>
      <c r="O5623" s="87" t="str">
        <f>IFERROR(__xludf.DUMMYFUNCTION("""COMPUTED_VALUE"""),"https://drive.google.com/drive/folders/10T2cTQHqEJZqE-st6uFKPoI?usp=share_link")</f>
        <v>https://drive.google.com/drive/folders/10T2cTQHqEJZqE-st6uFKPoI?usp=share_link</v>
      </c>
      <c r="P5623" s="6" t="str">
        <f>IFERROR(__xludf.DUMMYFUNCTION("""COMPUTED_VALUE"""),"Jahcenda Fyffe")</f>
        <v>Jahcenda Fyffe</v>
      </c>
      <c r="Q5623" s="6" t="str">
        <f>IFERROR(__xludf.DUMMYFUNCTION("""COMPUTED_VALUE"""),"MS")</f>
        <v>MS</v>
      </c>
      <c r="R5623" s="6">
        <f>IFERROR(__xludf.DUMMYFUNCTION("""COMPUTED_VALUE"""),0.0)</f>
        <v>0</v>
      </c>
      <c r="S5623" s="6" t="str">
        <f>IFERROR(__xludf.DUMMYFUNCTION("""COMPUTED_VALUE"""),"Kimberly Ball")</f>
        <v>Kimberly Ball</v>
      </c>
      <c r="T5623" s="6" t="str">
        <f>IFERROR(__xludf.DUMMYFUNCTION("""COMPUTED_VALUE"""),"kimberly.ball@studient.com")</f>
        <v>kimberly.ball@studient.com</v>
      </c>
      <c r="U5623" s="6" t="str">
        <f>IFERROR(__xludf.DUMMYFUNCTION("""COMPUTED_VALUE"""),"7")</f>
        <v>7</v>
      </c>
      <c r="V5623" s="6" t="str">
        <f>IFERROR(__xludf.DUMMYFUNCTION("""COMPUTED_VALUE"""),"")</f>
        <v/>
      </c>
      <c r="W5623" s="6" t="str">
        <f>IFERROR(__xludf.DUMMYFUNCTION("""COMPUTED_VALUE"""),"[]")</f>
        <v>[]</v>
      </c>
      <c r="X5623" s="6" t="str">
        <f>IFERROR(__xludf.DUMMYFUNCTION("""COMPUTED_VALUE"""),"Enrolled")</f>
        <v>Enrolled</v>
      </c>
    </row>
    <row r="5624">
      <c r="A5624" s="6" t="str">
        <f>IFERROR(__xludf.DUMMYFUNCTION("""COMPUTED_VALUE"""),"087-12221")</f>
        <v>087-12221</v>
      </c>
      <c r="B5624" s="6" t="str">
        <f>IFERROR(__xludf.DUMMYFUNCTION("""COMPUTED_VALUE"""),"87")</f>
        <v>87</v>
      </c>
      <c r="C5624" s="6" t="str">
        <f>IFERROR(__xludf.DUMMYFUNCTION("""COMPUTED_VALUE"""),"12221")</f>
        <v>12221</v>
      </c>
      <c r="D5624" s="6" t="str">
        <f>IFERROR(__xludf.DUMMYFUNCTION("""COMPUTED_VALUE"""),"Aldo")</f>
        <v>Aldo</v>
      </c>
      <c r="E5624" s="6" t="str">
        <f>IFERROR(__xludf.DUMMYFUNCTION("""COMPUTED_VALUE"""),"")</f>
        <v/>
      </c>
      <c r="F5624" s="6" t="str">
        <f>IFERROR(__xludf.DUMMYFUNCTION("""COMPUTED_VALUE"""),"Gabriel Miranda")</f>
        <v>Gabriel Miranda</v>
      </c>
      <c r="G5624" s="6" t="str">
        <f>IFERROR(__xludf.DUMMYFUNCTION("""COMPUTED_VALUE"""),"08/08/2013")</f>
        <v>08/08/2013</v>
      </c>
      <c r="H5624" s="6" t="str">
        <f>IFERROR(__xludf.DUMMYFUNCTION("""COMPUTED_VALUE"""),"male")</f>
        <v>male</v>
      </c>
      <c r="I5624" s="6" t="str">
        <f>IFERROR(__xludf.DUMMYFUNCTION("""COMPUTED_VALUE"""),"Middle School")</f>
        <v>Middle School</v>
      </c>
      <c r="J5624" s="6" t="str">
        <f>IFERROR(__xludf.DUMMYFUNCTION("""COMPUTED_VALUE"""),"7")</f>
        <v>7</v>
      </c>
      <c r="K5624" s="6" t="str">
        <f>IFERROR(__xludf.DUMMYFUNCTION("""COMPUTED_VALUE"""),"aldo.gabrielmiranda@2hourlearning.com")</f>
        <v>aldo.gabrielmiranda@2hourlearning.com</v>
      </c>
      <c r="L5624" s="6" t="str">
        <f>IFERROR(__xludf.DUMMYFUNCTION("""COMPUTED_VALUE"""),"JRHS - Ridgeland Secondary Academy of Excellence")</f>
        <v>JRHS - Ridgeland Secondary Academy of Excellence</v>
      </c>
      <c r="M5624" s="6" t="str">
        <f>IFERROR(__xludf.DUMMYFUNCTION("""COMPUTED_VALUE"""),"")</f>
        <v/>
      </c>
      <c r="N5624" s="6" t="str">
        <f>IFERROR(__xludf.DUMMYFUNCTION("""COMPUTED_VALUE"""),"")</f>
        <v/>
      </c>
      <c r="O5624" s="87" t="str">
        <f>IFERROR(__xludf.DUMMYFUNCTION("""COMPUTED_VALUE"""),"https://drive.google.com/drive/folders/10T2cTQHqEJZqE-st6uFKPoI?usp=share_link")</f>
        <v>https://drive.google.com/drive/folders/10T2cTQHqEJZqE-st6uFKPoI?usp=share_link</v>
      </c>
      <c r="P5624" s="6" t="str">
        <f>IFERROR(__xludf.DUMMYFUNCTION("""COMPUTED_VALUE"""),"Aldo Gabriel Miranda")</f>
        <v>Aldo Gabriel Miranda</v>
      </c>
      <c r="Q5624" s="6" t="str">
        <f>IFERROR(__xludf.DUMMYFUNCTION("""COMPUTED_VALUE"""),"MS")</f>
        <v>MS</v>
      </c>
      <c r="R5624" s="6">
        <f>IFERROR(__xludf.DUMMYFUNCTION("""COMPUTED_VALUE"""),0.0)</f>
        <v>0</v>
      </c>
      <c r="S5624" s="6" t="str">
        <f>IFERROR(__xludf.DUMMYFUNCTION("""COMPUTED_VALUE"""),"Kimberly Ball")</f>
        <v>Kimberly Ball</v>
      </c>
      <c r="T5624" s="6" t="str">
        <f>IFERROR(__xludf.DUMMYFUNCTION("""COMPUTED_VALUE"""),"kimberly.ball@studient.com")</f>
        <v>kimberly.ball@studient.com</v>
      </c>
      <c r="U5624" s="6" t="str">
        <f>IFERROR(__xludf.DUMMYFUNCTION("""COMPUTED_VALUE"""),"7")</f>
        <v>7</v>
      </c>
      <c r="V5624" s="6" t="str">
        <f>IFERROR(__xludf.DUMMYFUNCTION("""COMPUTED_VALUE"""),"")</f>
        <v/>
      </c>
      <c r="W5624" s="6" t="str">
        <f>IFERROR(__xludf.DUMMYFUNCTION("""COMPUTED_VALUE"""),"[]")</f>
        <v>[]</v>
      </c>
      <c r="X5624" s="6" t="str">
        <f>IFERROR(__xludf.DUMMYFUNCTION("""COMPUTED_VALUE"""),"Enrolled")</f>
        <v>Enrolled</v>
      </c>
    </row>
    <row r="5625">
      <c r="A5625" s="6" t="str">
        <f>IFERROR(__xludf.DUMMYFUNCTION("""COMPUTED_VALUE"""),"087-12222")</f>
        <v>087-12222</v>
      </c>
      <c r="B5625" s="6" t="str">
        <f>IFERROR(__xludf.DUMMYFUNCTION("""COMPUTED_VALUE"""),"87")</f>
        <v>87</v>
      </c>
      <c r="C5625" s="6" t="str">
        <f>IFERROR(__xludf.DUMMYFUNCTION("""COMPUTED_VALUE"""),"12222")</f>
        <v>12222</v>
      </c>
      <c r="D5625" s="6" t="str">
        <f>IFERROR(__xludf.DUMMYFUNCTION("""COMPUTED_VALUE"""),"Jesler")</f>
        <v>Jesler</v>
      </c>
      <c r="E5625" s="6" t="str">
        <f>IFERROR(__xludf.DUMMYFUNCTION("""COMPUTED_VALUE"""),"")</f>
        <v/>
      </c>
      <c r="F5625" s="6" t="str">
        <f>IFERROR(__xludf.DUMMYFUNCTION("""COMPUTED_VALUE"""),"Garcia Alva")</f>
        <v>Garcia Alva</v>
      </c>
      <c r="G5625" s="6" t="str">
        <f>IFERROR(__xludf.DUMMYFUNCTION("""COMPUTED_VALUE"""),"09/14/2012")</f>
        <v>09/14/2012</v>
      </c>
      <c r="H5625" s="6" t="str">
        <f>IFERROR(__xludf.DUMMYFUNCTION("""COMPUTED_VALUE"""),"male")</f>
        <v>male</v>
      </c>
      <c r="I5625" s="6" t="str">
        <f>IFERROR(__xludf.DUMMYFUNCTION("""COMPUTED_VALUE"""),"Middle School")</f>
        <v>Middle School</v>
      </c>
      <c r="J5625" s="6" t="str">
        <f>IFERROR(__xludf.DUMMYFUNCTION("""COMPUTED_VALUE"""),"7")</f>
        <v>7</v>
      </c>
      <c r="K5625" s="6" t="str">
        <f>IFERROR(__xludf.DUMMYFUNCTION("""COMPUTED_VALUE"""),"jesler.garciaalva@2hourlearning.com")</f>
        <v>jesler.garciaalva@2hourlearning.com</v>
      </c>
      <c r="L5625" s="6" t="str">
        <f>IFERROR(__xludf.DUMMYFUNCTION("""COMPUTED_VALUE"""),"JRHS - Ridgeland Secondary Academy of Excellence")</f>
        <v>JRHS - Ridgeland Secondary Academy of Excellence</v>
      </c>
      <c r="M5625" s="6" t="str">
        <f>IFERROR(__xludf.DUMMYFUNCTION("""COMPUTED_VALUE"""),"")</f>
        <v/>
      </c>
      <c r="N5625" s="6" t="str">
        <f>IFERROR(__xludf.DUMMYFUNCTION("""COMPUTED_VALUE"""),"")</f>
        <v/>
      </c>
      <c r="O5625" s="87" t="str">
        <f>IFERROR(__xludf.DUMMYFUNCTION("""COMPUTED_VALUE"""),"https://drive.google.com/drive/folders/10T2cTQHqEJZqE-st6uFKPoI?usp=share_link")</f>
        <v>https://drive.google.com/drive/folders/10T2cTQHqEJZqE-st6uFKPoI?usp=share_link</v>
      </c>
      <c r="P5625" s="6" t="str">
        <f>IFERROR(__xludf.DUMMYFUNCTION("""COMPUTED_VALUE"""),"Jesler Garcia Alva")</f>
        <v>Jesler Garcia Alva</v>
      </c>
      <c r="Q5625" s="6" t="str">
        <f>IFERROR(__xludf.DUMMYFUNCTION("""COMPUTED_VALUE"""),"MS")</f>
        <v>MS</v>
      </c>
      <c r="R5625" s="6">
        <f>IFERROR(__xludf.DUMMYFUNCTION("""COMPUTED_VALUE"""),0.0)</f>
        <v>0</v>
      </c>
      <c r="S5625" s="6" t="str">
        <f>IFERROR(__xludf.DUMMYFUNCTION("""COMPUTED_VALUE"""),"Kimberly Ball")</f>
        <v>Kimberly Ball</v>
      </c>
      <c r="T5625" s="6" t="str">
        <f>IFERROR(__xludf.DUMMYFUNCTION("""COMPUTED_VALUE"""),"kimberly.ball@studient.com")</f>
        <v>kimberly.ball@studient.com</v>
      </c>
      <c r="U5625" s="6" t="str">
        <f>IFERROR(__xludf.DUMMYFUNCTION("""COMPUTED_VALUE"""),"7")</f>
        <v>7</v>
      </c>
      <c r="V5625" s="6" t="str">
        <f>IFERROR(__xludf.DUMMYFUNCTION("""COMPUTED_VALUE"""),"")</f>
        <v/>
      </c>
      <c r="W5625" s="6" t="str">
        <f>IFERROR(__xludf.DUMMYFUNCTION("""COMPUTED_VALUE"""),"[]")</f>
        <v>[]</v>
      </c>
      <c r="X5625" s="6" t="str">
        <f>IFERROR(__xludf.DUMMYFUNCTION("""COMPUTED_VALUE"""),"Enrolled")</f>
        <v>Enrolled</v>
      </c>
    </row>
    <row r="5626">
      <c r="A5626" s="6" t="str">
        <f>IFERROR(__xludf.DUMMYFUNCTION("""COMPUTED_VALUE"""),"087-12223")</f>
        <v>087-12223</v>
      </c>
      <c r="B5626" s="6" t="str">
        <f>IFERROR(__xludf.DUMMYFUNCTION("""COMPUTED_VALUE"""),"87")</f>
        <v>87</v>
      </c>
      <c r="C5626" s="6" t="str">
        <f>IFERROR(__xludf.DUMMYFUNCTION("""COMPUTED_VALUE"""),"12223")</f>
        <v>12223</v>
      </c>
      <c r="D5626" s="6" t="str">
        <f>IFERROR(__xludf.DUMMYFUNCTION("""COMPUTED_VALUE"""),"Kenia")</f>
        <v>Kenia</v>
      </c>
      <c r="E5626" s="6" t="str">
        <f>IFERROR(__xludf.DUMMYFUNCTION("""COMPUTED_VALUE"""),"")</f>
        <v/>
      </c>
      <c r="F5626" s="6" t="str">
        <f>IFERROR(__xludf.DUMMYFUNCTION("""COMPUTED_VALUE"""),"Garcia De la Cruz")</f>
        <v>Garcia De la Cruz</v>
      </c>
      <c r="G5626" s="6" t="str">
        <f>IFERROR(__xludf.DUMMYFUNCTION("""COMPUTED_VALUE"""),"01/29/2014")</f>
        <v>01/29/2014</v>
      </c>
      <c r="H5626" s="6" t="str">
        <f>IFERROR(__xludf.DUMMYFUNCTION("""COMPUTED_VALUE"""),"female")</f>
        <v>female</v>
      </c>
      <c r="I5626" s="6" t="str">
        <f>IFERROR(__xludf.DUMMYFUNCTION("""COMPUTED_VALUE"""),"Middle School")</f>
        <v>Middle School</v>
      </c>
      <c r="J5626" s="6" t="str">
        <f>IFERROR(__xludf.DUMMYFUNCTION("""COMPUTED_VALUE"""),"6")</f>
        <v>6</v>
      </c>
      <c r="K5626" s="6" t="str">
        <f>IFERROR(__xludf.DUMMYFUNCTION("""COMPUTED_VALUE"""),"kenia.garciadelacruz@2hourlearning.com")</f>
        <v>kenia.garciadelacruz@2hourlearning.com</v>
      </c>
      <c r="L5626" s="6" t="str">
        <f>IFERROR(__xludf.DUMMYFUNCTION("""COMPUTED_VALUE"""),"JRHS - Ridgeland Secondary Academy of Excellence")</f>
        <v>JRHS - Ridgeland Secondary Academy of Excellence</v>
      </c>
      <c r="M5626" s="6" t="str">
        <f>IFERROR(__xludf.DUMMYFUNCTION("""COMPUTED_VALUE"""),"")</f>
        <v/>
      </c>
      <c r="N5626" s="6" t="str">
        <f>IFERROR(__xludf.DUMMYFUNCTION("""COMPUTED_VALUE"""),"")</f>
        <v/>
      </c>
      <c r="O5626" s="87" t="str">
        <f>IFERROR(__xludf.DUMMYFUNCTION("""COMPUTED_VALUE"""),"https://drive.google.com/drive/folders/10T2cTQHqEJZqE-st6uFKPoI?usp=share_link")</f>
        <v>https://drive.google.com/drive/folders/10T2cTQHqEJZqE-st6uFKPoI?usp=share_link</v>
      </c>
      <c r="P5626" s="6" t="str">
        <f>IFERROR(__xludf.DUMMYFUNCTION("""COMPUTED_VALUE"""),"Kenia Garcia De la Cruz")</f>
        <v>Kenia Garcia De la Cruz</v>
      </c>
      <c r="Q5626" s="6" t="str">
        <f>IFERROR(__xludf.DUMMYFUNCTION("""COMPUTED_VALUE"""),"MS")</f>
        <v>MS</v>
      </c>
      <c r="R5626" s="6">
        <f>IFERROR(__xludf.DUMMYFUNCTION("""COMPUTED_VALUE"""),0.0)</f>
        <v>0</v>
      </c>
      <c r="S5626" s="6" t="str">
        <f>IFERROR(__xludf.DUMMYFUNCTION("""COMPUTED_VALUE"""),"Kimberly Ball")</f>
        <v>Kimberly Ball</v>
      </c>
      <c r="T5626" s="6" t="str">
        <f>IFERROR(__xludf.DUMMYFUNCTION("""COMPUTED_VALUE"""),"kimberly.ball@studient.com")</f>
        <v>kimberly.ball@studient.com</v>
      </c>
      <c r="U5626" s="6" t="str">
        <f>IFERROR(__xludf.DUMMYFUNCTION("""COMPUTED_VALUE"""),"6")</f>
        <v>6</v>
      </c>
      <c r="V5626" s="6" t="str">
        <f>IFERROR(__xludf.DUMMYFUNCTION("""COMPUTED_VALUE"""),"")</f>
        <v/>
      </c>
      <c r="W5626" s="6" t="str">
        <f>IFERROR(__xludf.DUMMYFUNCTION("""COMPUTED_VALUE"""),"[]")</f>
        <v>[]</v>
      </c>
      <c r="X5626" s="6" t="str">
        <f>IFERROR(__xludf.DUMMYFUNCTION("""COMPUTED_VALUE"""),"Enrolled")</f>
        <v>Enrolled</v>
      </c>
    </row>
    <row r="5627">
      <c r="A5627" s="6" t="str">
        <f>IFERROR(__xludf.DUMMYFUNCTION("""COMPUTED_VALUE"""),"087-12224")</f>
        <v>087-12224</v>
      </c>
      <c r="B5627" s="6" t="str">
        <f>IFERROR(__xludf.DUMMYFUNCTION("""COMPUTED_VALUE"""),"87")</f>
        <v>87</v>
      </c>
      <c r="C5627" s="6" t="str">
        <f>IFERROR(__xludf.DUMMYFUNCTION("""COMPUTED_VALUE"""),"12224")</f>
        <v>12224</v>
      </c>
      <c r="D5627" s="6" t="str">
        <f>IFERROR(__xludf.DUMMYFUNCTION("""COMPUTED_VALUE"""),"Emely")</f>
        <v>Emely</v>
      </c>
      <c r="E5627" s="6" t="str">
        <f>IFERROR(__xludf.DUMMYFUNCTION("""COMPUTED_VALUE"""),"")</f>
        <v/>
      </c>
      <c r="F5627" s="6" t="str">
        <f>IFERROR(__xludf.DUMMYFUNCTION("""COMPUTED_VALUE"""),"Garcia Hernandez")</f>
        <v>Garcia Hernandez</v>
      </c>
      <c r="G5627" s="6" t="str">
        <f>IFERROR(__xludf.DUMMYFUNCTION("""COMPUTED_VALUE"""),"10/13/2011")</f>
        <v>10/13/2011</v>
      </c>
      <c r="H5627" s="6" t="str">
        <f>IFERROR(__xludf.DUMMYFUNCTION("""COMPUTED_VALUE"""),"female")</f>
        <v>female</v>
      </c>
      <c r="I5627" s="6" t="str">
        <f>IFERROR(__xludf.DUMMYFUNCTION("""COMPUTED_VALUE"""),"Middle School")</f>
        <v>Middle School</v>
      </c>
      <c r="J5627" s="6" t="str">
        <f>IFERROR(__xludf.DUMMYFUNCTION("""COMPUTED_VALUE"""),"8")</f>
        <v>8</v>
      </c>
      <c r="K5627" s="6" t="str">
        <f>IFERROR(__xludf.DUMMYFUNCTION("""COMPUTED_VALUE"""),"emely.garciahernandez@2hourlearning.com")</f>
        <v>emely.garciahernandez@2hourlearning.com</v>
      </c>
      <c r="L5627" s="6" t="str">
        <f>IFERROR(__xludf.DUMMYFUNCTION("""COMPUTED_VALUE"""),"JRHS - Ridgeland Secondary Academy of Excellence")</f>
        <v>JRHS - Ridgeland Secondary Academy of Excellence</v>
      </c>
      <c r="M5627" s="6" t="str">
        <f>IFERROR(__xludf.DUMMYFUNCTION("""COMPUTED_VALUE"""),"")</f>
        <v/>
      </c>
      <c r="N5627" s="6" t="str">
        <f>IFERROR(__xludf.DUMMYFUNCTION("""COMPUTED_VALUE"""),"")</f>
        <v/>
      </c>
      <c r="O5627" s="87" t="str">
        <f>IFERROR(__xludf.DUMMYFUNCTION("""COMPUTED_VALUE"""),"https://drive.google.com/drive/folders/10T2cTQHqEJZqE-st6uFKPoI?usp=share_link")</f>
        <v>https://drive.google.com/drive/folders/10T2cTQHqEJZqE-st6uFKPoI?usp=share_link</v>
      </c>
      <c r="P5627" s="6" t="str">
        <f>IFERROR(__xludf.DUMMYFUNCTION("""COMPUTED_VALUE"""),"Emely Garcia Hernandez")</f>
        <v>Emely Garcia Hernandez</v>
      </c>
      <c r="Q5627" s="6" t="str">
        <f>IFERROR(__xludf.DUMMYFUNCTION("""COMPUTED_VALUE"""),"MS")</f>
        <v>MS</v>
      </c>
      <c r="R5627" s="6">
        <f>IFERROR(__xludf.DUMMYFUNCTION("""COMPUTED_VALUE"""),0.0)</f>
        <v>0</v>
      </c>
      <c r="S5627" s="6" t="str">
        <f>IFERROR(__xludf.DUMMYFUNCTION("""COMPUTED_VALUE"""),"Kimberly Ball")</f>
        <v>Kimberly Ball</v>
      </c>
      <c r="T5627" s="6" t="str">
        <f>IFERROR(__xludf.DUMMYFUNCTION("""COMPUTED_VALUE"""),"kimberly.ball@studient.com")</f>
        <v>kimberly.ball@studient.com</v>
      </c>
      <c r="U5627" s="6" t="str">
        <f>IFERROR(__xludf.DUMMYFUNCTION("""COMPUTED_VALUE"""),"8")</f>
        <v>8</v>
      </c>
      <c r="V5627" s="6" t="str">
        <f>IFERROR(__xludf.DUMMYFUNCTION("""COMPUTED_VALUE"""),"")</f>
        <v/>
      </c>
      <c r="W5627" s="6" t="str">
        <f>IFERROR(__xludf.DUMMYFUNCTION("""COMPUTED_VALUE"""),"[]")</f>
        <v>[]</v>
      </c>
      <c r="X5627" s="6" t="str">
        <f>IFERROR(__xludf.DUMMYFUNCTION("""COMPUTED_VALUE"""),"Enrolled")</f>
        <v>Enrolled</v>
      </c>
    </row>
    <row r="5628">
      <c r="A5628" s="6" t="str">
        <f>IFERROR(__xludf.DUMMYFUNCTION("""COMPUTED_VALUE"""),"087-12225")</f>
        <v>087-12225</v>
      </c>
      <c r="B5628" s="6" t="str">
        <f>IFERROR(__xludf.DUMMYFUNCTION("""COMPUTED_VALUE"""),"87")</f>
        <v>87</v>
      </c>
      <c r="C5628" s="6" t="str">
        <f>IFERROR(__xludf.DUMMYFUNCTION("""COMPUTED_VALUE"""),"12225")</f>
        <v>12225</v>
      </c>
      <c r="D5628" s="6" t="str">
        <f>IFERROR(__xludf.DUMMYFUNCTION("""COMPUTED_VALUE"""),"Iker")</f>
        <v>Iker</v>
      </c>
      <c r="E5628" s="6" t="str">
        <f>IFERROR(__xludf.DUMMYFUNCTION("""COMPUTED_VALUE"""),"")</f>
        <v/>
      </c>
      <c r="F5628" s="6" t="str">
        <f>IFERROR(__xludf.DUMMYFUNCTION("""COMPUTED_VALUE"""),"Garcia Hernandez")</f>
        <v>Garcia Hernandez</v>
      </c>
      <c r="G5628" s="6" t="str">
        <f>IFERROR(__xludf.DUMMYFUNCTION("""COMPUTED_VALUE"""),"08/09/2013")</f>
        <v>08/09/2013</v>
      </c>
      <c r="H5628" s="6" t="str">
        <f>IFERROR(__xludf.DUMMYFUNCTION("""COMPUTED_VALUE"""),"male")</f>
        <v>male</v>
      </c>
      <c r="I5628" s="6" t="str">
        <f>IFERROR(__xludf.DUMMYFUNCTION("""COMPUTED_VALUE"""),"Middle School")</f>
        <v>Middle School</v>
      </c>
      <c r="J5628" s="6" t="str">
        <f>IFERROR(__xludf.DUMMYFUNCTION("""COMPUTED_VALUE"""),"7")</f>
        <v>7</v>
      </c>
      <c r="K5628" s="6" t="str">
        <f>IFERROR(__xludf.DUMMYFUNCTION("""COMPUTED_VALUE"""),"iker.garciahernandez@2hourlearning.com")</f>
        <v>iker.garciahernandez@2hourlearning.com</v>
      </c>
      <c r="L5628" s="6" t="str">
        <f>IFERROR(__xludf.DUMMYFUNCTION("""COMPUTED_VALUE"""),"JRHS - Ridgeland Secondary Academy of Excellence")</f>
        <v>JRHS - Ridgeland Secondary Academy of Excellence</v>
      </c>
      <c r="M5628" s="6" t="str">
        <f>IFERROR(__xludf.DUMMYFUNCTION("""COMPUTED_VALUE"""),"")</f>
        <v/>
      </c>
      <c r="N5628" s="6" t="str">
        <f>IFERROR(__xludf.DUMMYFUNCTION("""COMPUTED_VALUE"""),"")</f>
        <v/>
      </c>
      <c r="O5628" s="87" t="str">
        <f>IFERROR(__xludf.DUMMYFUNCTION("""COMPUTED_VALUE"""),"https://drive.google.com/drive/folders/10T2cTQHqEJZqE-st6uFKPoI?usp=share_link")</f>
        <v>https://drive.google.com/drive/folders/10T2cTQHqEJZqE-st6uFKPoI?usp=share_link</v>
      </c>
      <c r="P5628" s="6" t="str">
        <f>IFERROR(__xludf.DUMMYFUNCTION("""COMPUTED_VALUE"""),"Iker Garcia Hernandez")</f>
        <v>Iker Garcia Hernandez</v>
      </c>
      <c r="Q5628" s="6" t="str">
        <f>IFERROR(__xludf.DUMMYFUNCTION("""COMPUTED_VALUE"""),"MS")</f>
        <v>MS</v>
      </c>
      <c r="R5628" s="6">
        <f>IFERROR(__xludf.DUMMYFUNCTION("""COMPUTED_VALUE"""),0.0)</f>
        <v>0</v>
      </c>
      <c r="S5628" s="6" t="str">
        <f>IFERROR(__xludf.DUMMYFUNCTION("""COMPUTED_VALUE"""),"Kimberly Ball")</f>
        <v>Kimberly Ball</v>
      </c>
      <c r="T5628" s="6" t="str">
        <f>IFERROR(__xludf.DUMMYFUNCTION("""COMPUTED_VALUE"""),"kimberly.ball@studient.com")</f>
        <v>kimberly.ball@studient.com</v>
      </c>
      <c r="U5628" s="6" t="str">
        <f>IFERROR(__xludf.DUMMYFUNCTION("""COMPUTED_VALUE"""),"7")</f>
        <v>7</v>
      </c>
      <c r="V5628" s="6" t="str">
        <f>IFERROR(__xludf.DUMMYFUNCTION("""COMPUTED_VALUE"""),"")</f>
        <v/>
      </c>
      <c r="W5628" s="6" t="str">
        <f>IFERROR(__xludf.DUMMYFUNCTION("""COMPUTED_VALUE"""),"[]")</f>
        <v>[]</v>
      </c>
      <c r="X5628" s="6" t="str">
        <f>IFERROR(__xludf.DUMMYFUNCTION("""COMPUTED_VALUE"""),"Enrolled")</f>
        <v>Enrolled</v>
      </c>
    </row>
    <row r="5629">
      <c r="A5629" s="6" t="str">
        <f>IFERROR(__xludf.DUMMYFUNCTION("""COMPUTED_VALUE"""),"087-12226")</f>
        <v>087-12226</v>
      </c>
      <c r="B5629" s="6" t="str">
        <f>IFERROR(__xludf.DUMMYFUNCTION("""COMPUTED_VALUE"""),"87")</f>
        <v>87</v>
      </c>
      <c r="C5629" s="6" t="str">
        <f>IFERROR(__xludf.DUMMYFUNCTION("""COMPUTED_VALUE"""),"12226")</f>
        <v>12226</v>
      </c>
      <c r="D5629" s="6" t="str">
        <f>IFERROR(__xludf.DUMMYFUNCTION("""COMPUTED_VALUE"""),"Danny")</f>
        <v>Danny</v>
      </c>
      <c r="E5629" s="6" t="str">
        <f>IFERROR(__xludf.DUMMYFUNCTION("""COMPUTED_VALUE"""),"")</f>
        <v/>
      </c>
      <c r="F5629" s="6" t="str">
        <f>IFERROR(__xludf.DUMMYFUNCTION("""COMPUTED_VALUE"""),"Garcia Hidalgo")</f>
        <v>Garcia Hidalgo</v>
      </c>
      <c r="G5629" s="6" t="str">
        <f>IFERROR(__xludf.DUMMYFUNCTION("""COMPUTED_VALUE"""),"10/08/2011")</f>
        <v>10/08/2011</v>
      </c>
      <c r="H5629" s="6" t="str">
        <f>IFERROR(__xludf.DUMMYFUNCTION("""COMPUTED_VALUE"""),"male")</f>
        <v>male</v>
      </c>
      <c r="I5629" s="6" t="str">
        <f>IFERROR(__xludf.DUMMYFUNCTION("""COMPUTED_VALUE"""),"Middle School")</f>
        <v>Middle School</v>
      </c>
      <c r="J5629" s="6" t="str">
        <f>IFERROR(__xludf.DUMMYFUNCTION("""COMPUTED_VALUE"""),"8")</f>
        <v>8</v>
      </c>
      <c r="K5629" s="6" t="str">
        <f>IFERROR(__xludf.DUMMYFUNCTION("""COMPUTED_VALUE"""),"danny.garciahidalgo@2hourlearning.com")</f>
        <v>danny.garciahidalgo@2hourlearning.com</v>
      </c>
      <c r="L5629" s="6" t="str">
        <f>IFERROR(__xludf.DUMMYFUNCTION("""COMPUTED_VALUE"""),"JRHS - Ridgeland Secondary Academy of Excellence")</f>
        <v>JRHS - Ridgeland Secondary Academy of Excellence</v>
      </c>
      <c r="M5629" s="6" t="str">
        <f>IFERROR(__xludf.DUMMYFUNCTION("""COMPUTED_VALUE"""),"")</f>
        <v/>
      </c>
      <c r="N5629" s="6" t="str">
        <f>IFERROR(__xludf.DUMMYFUNCTION("""COMPUTED_VALUE"""),"")</f>
        <v/>
      </c>
      <c r="O5629" s="87" t="str">
        <f>IFERROR(__xludf.DUMMYFUNCTION("""COMPUTED_VALUE"""),"https://drive.google.com/drive/folders/10T2cTQHqEJZqE-st6uFKPoI?usp=share_link")</f>
        <v>https://drive.google.com/drive/folders/10T2cTQHqEJZqE-st6uFKPoI?usp=share_link</v>
      </c>
      <c r="P5629" s="6" t="str">
        <f>IFERROR(__xludf.DUMMYFUNCTION("""COMPUTED_VALUE"""),"Danny Garcia Hidalgo")</f>
        <v>Danny Garcia Hidalgo</v>
      </c>
      <c r="Q5629" s="6" t="str">
        <f>IFERROR(__xludf.DUMMYFUNCTION("""COMPUTED_VALUE"""),"MS")</f>
        <v>MS</v>
      </c>
      <c r="R5629" s="6">
        <f>IFERROR(__xludf.DUMMYFUNCTION("""COMPUTED_VALUE"""),0.0)</f>
        <v>0</v>
      </c>
      <c r="S5629" s="6" t="str">
        <f>IFERROR(__xludf.DUMMYFUNCTION("""COMPUTED_VALUE"""),"Kimberly Ball")</f>
        <v>Kimberly Ball</v>
      </c>
      <c r="T5629" s="6" t="str">
        <f>IFERROR(__xludf.DUMMYFUNCTION("""COMPUTED_VALUE"""),"kimberly.ball@studient.com")</f>
        <v>kimberly.ball@studient.com</v>
      </c>
      <c r="U5629" s="6" t="str">
        <f>IFERROR(__xludf.DUMMYFUNCTION("""COMPUTED_VALUE"""),"8")</f>
        <v>8</v>
      </c>
      <c r="V5629" s="6" t="str">
        <f>IFERROR(__xludf.DUMMYFUNCTION("""COMPUTED_VALUE"""),"")</f>
        <v/>
      </c>
      <c r="W5629" s="6" t="str">
        <f>IFERROR(__xludf.DUMMYFUNCTION("""COMPUTED_VALUE"""),"[]")</f>
        <v>[]</v>
      </c>
      <c r="X5629" s="6" t="str">
        <f>IFERROR(__xludf.DUMMYFUNCTION("""COMPUTED_VALUE"""),"Enrolled")</f>
        <v>Enrolled</v>
      </c>
    </row>
    <row r="5630">
      <c r="A5630" s="6" t="str">
        <f>IFERROR(__xludf.DUMMYFUNCTION("""COMPUTED_VALUE"""),"087-12227")</f>
        <v>087-12227</v>
      </c>
      <c r="B5630" s="6" t="str">
        <f>IFERROR(__xludf.DUMMYFUNCTION("""COMPUTED_VALUE"""),"87")</f>
        <v>87</v>
      </c>
      <c r="C5630" s="6" t="str">
        <f>IFERROR(__xludf.DUMMYFUNCTION("""COMPUTED_VALUE"""),"12227")</f>
        <v>12227</v>
      </c>
      <c r="D5630" s="6" t="str">
        <f>IFERROR(__xludf.DUMMYFUNCTION("""COMPUTED_VALUE"""),"Miia")</f>
        <v>Miia</v>
      </c>
      <c r="E5630" s="6" t="str">
        <f>IFERROR(__xludf.DUMMYFUNCTION("""COMPUTED_VALUE"""),"")</f>
        <v/>
      </c>
      <c r="F5630" s="6" t="str">
        <f>IFERROR(__xludf.DUMMYFUNCTION("""COMPUTED_VALUE"""),"Geronimo")</f>
        <v>Geronimo</v>
      </c>
      <c r="G5630" s="6" t="str">
        <f>IFERROR(__xludf.DUMMYFUNCTION("""COMPUTED_VALUE"""),"02/25/2014")</f>
        <v>02/25/2014</v>
      </c>
      <c r="H5630" s="6" t="str">
        <f>IFERROR(__xludf.DUMMYFUNCTION("""COMPUTED_VALUE"""),"female")</f>
        <v>female</v>
      </c>
      <c r="I5630" s="6" t="str">
        <f>IFERROR(__xludf.DUMMYFUNCTION("""COMPUTED_VALUE"""),"Middle School")</f>
        <v>Middle School</v>
      </c>
      <c r="J5630" s="6" t="str">
        <f>IFERROR(__xludf.DUMMYFUNCTION("""COMPUTED_VALUE"""),"6")</f>
        <v>6</v>
      </c>
      <c r="K5630" s="6" t="str">
        <f>IFERROR(__xludf.DUMMYFUNCTION("""COMPUTED_VALUE"""),"miia.geronimo@2hourlearning.com")</f>
        <v>miia.geronimo@2hourlearning.com</v>
      </c>
      <c r="L5630" s="6" t="str">
        <f>IFERROR(__xludf.DUMMYFUNCTION("""COMPUTED_VALUE"""),"JRHS - Ridgeland Secondary Academy of Excellence")</f>
        <v>JRHS - Ridgeland Secondary Academy of Excellence</v>
      </c>
      <c r="M5630" s="6" t="str">
        <f>IFERROR(__xludf.DUMMYFUNCTION("""COMPUTED_VALUE"""),"")</f>
        <v/>
      </c>
      <c r="N5630" s="6" t="str">
        <f>IFERROR(__xludf.DUMMYFUNCTION("""COMPUTED_VALUE"""),"")</f>
        <v/>
      </c>
      <c r="O5630" s="87" t="str">
        <f>IFERROR(__xludf.DUMMYFUNCTION("""COMPUTED_VALUE"""),"https://drive.google.com/drive/folders/10T2cTQHqEJZqE-st6uFKPoI?usp=share_link")</f>
        <v>https://drive.google.com/drive/folders/10T2cTQHqEJZqE-st6uFKPoI?usp=share_link</v>
      </c>
      <c r="P5630" s="6" t="str">
        <f>IFERROR(__xludf.DUMMYFUNCTION("""COMPUTED_VALUE"""),"Miia Geronimo")</f>
        <v>Miia Geronimo</v>
      </c>
      <c r="Q5630" s="6" t="str">
        <f>IFERROR(__xludf.DUMMYFUNCTION("""COMPUTED_VALUE"""),"MS")</f>
        <v>MS</v>
      </c>
      <c r="R5630" s="6">
        <f>IFERROR(__xludf.DUMMYFUNCTION("""COMPUTED_VALUE"""),0.0)</f>
        <v>0</v>
      </c>
      <c r="S5630" s="6" t="str">
        <f>IFERROR(__xludf.DUMMYFUNCTION("""COMPUTED_VALUE"""),"Kimberly Ball")</f>
        <v>Kimberly Ball</v>
      </c>
      <c r="T5630" s="6" t="str">
        <f>IFERROR(__xludf.DUMMYFUNCTION("""COMPUTED_VALUE"""),"kimberly.ball@studient.com")</f>
        <v>kimberly.ball@studient.com</v>
      </c>
      <c r="U5630" s="6" t="str">
        <f>IFERROR(__xludf.DUMMYFUNCTION("""COMPUTED_VALUE"""),"6")</f>
        <v>6</v>
      </c>
      <c r="V5630" s="6" t="str">
        <f>IFERROR(__xludf.DUMMYFUNCTION("""COMPUTED_VALUE"""),"")</f>
        <v/>
      </c>
      <c r="W5630" s="6" t="str">
        <f>IFERROR(__xludf.DUMMYFUNCTION("""COMPUTED_VALUE"""),"[]")</f>
        <v>[]</v>
      </c>
      <c r="X5630" s="6" t="str">
        <f>IFERROR(__xludf.DUMMYFUNCTION("""COMPUTED_VALUE"""),"Enrolled")</f>
        <v>Enrolled</v>
      </c>
    </row>
    <row r="5631">
      <c r="A5631" s="6" t="str">
        <f>IFERROR(__xludf.DUMMYFUNCTION("""COMPUTED_VALUE"""),"087-12228")</f>
        <v>087-12228</v>
      </c>
      <c r="B5631" s="6" t="str">
        <f>IFERROR(__xludf.DUMMYFUNCTION("""COMPUTED_VALUE"""),"87")</f>
        <v>87</v>
      </c>
      <c r="C5631" s="6" t="str">
        <f>IFERROR(__xludf.DUMMYFUNCTION("""COMPUTED_VALUE"""),"12228")</f>
        <v>12228</v>
      </c>
      <c r="D5631" s="6" t="str">
        <f>IFERROR(__xludf.DUMMYFUNCTION("""COMPUTED_VALUE"""),"Destiney")</f>
        <v>Destiney</v>
      </c>
      <c r="E5631" s="6" t="str">
        <f>IFERROR(__xludf.DUMMYFUNCTION("""COMPUTED_VALUE"""),"")</f>
        <v/>
      </c>
      <c r="F5631" s="6" t="str">
        <f>IFERROR(__xludf.DUMMYFUNCTION("""COMPUTED_VALUE"""),"Glover")</f>
        <v>Glover</v>
      </c>
      <c r="G5631" s="6" t="str">
        <f>IFERROR(__xludf.DUMMYFUNCTION("""COMPUTED_VALUE"""),"09/15/2011")</f>
        <v>09/15/2011</v>
      </c>
      <c r="H5631" s="6" t="str">
        <f>IFERROR(__xludf.DUMMYFUNCTION("""COMPUTED_VALUE"""),"female")</f>
        <v>female</v>
      </c>
      <c r="I5631" s="6" t="str">
        <f>IFERROR(__xludf.DUMMYFUNCTION("""COMPUTED_VALUE"""),"Middle School")</f>
        <v>Middle School</v>
      </c>
      <c r="J5631" s="6" t="str">
        <f>IFERROR(__xludf.DUMMYFUNCTION("""COMPUTED_VALUE"""),"8")</f>
        <v>8</v>
      </c>
      <c r="K5631" s="6" t="str">
        <f>IFERROR(__xludf.DUMMYFUNCTION("""COMPUTED_VALUE"""),"destiney.glover@2hourlearning.com")</f>
        <v>destiney.glover@2hourlearning.com</v>
      </c>
      <c r="L5631" s="6" t="str">
        <f>IFERROR(__xludf.DUMMYFUNCTION("""COMPUTED_VALUE"""),"JRHS - Ridgeland Secondary Academy of Excellence")</f>
        <v>JRHS - Ridgeland Secondary Academy of Excellence</v>
      </c>
      <c r="M5631" s="6" t="str">
        <f>IFERROR(__xludf.DUMMYFUNCTION("""COMPUTED_VALUE"""),"")</f>
        <v/>
      </c>
      <c r="N5631" s="6" t="str">
        <f>IFERROR(__xludf.DUMMYFUNCTION("""COMPUTED_VALUE"""),"")</f>
        <v/>
      </c>
      <c r="O5631" s="87" t="str">
        <f>IFERROR(__xludf.DUMMYFUNCTION("""COMPUTED_VALUE"""),"https://drive.google.com/drive/folders/10T2cTQHqEJZqE-st6uFKPoI?usp=share_link")</f>
        <v>https://drive.google.com/drive/folders/10T2cTQHqEJZqE-st6uFKPoI?usp=share_link</v>
      </c>
      <c r="P5631" s="6" t="str">
        <f>IFERROR(__xludf.DUMMYFUNCTION("""COMPUTED_VALUE"""),"Destiney Glover")</f>
        <v>Destiney Glover</v>
      </c>
      <c r="Q5631" s="6" t="str">
        <f>IFERROR(__xludf.DUMMYFUNCTION("""COMPUTED_VALUE"""),"MS")</f>
        <v>MS</v>
      </c>
      <c r="R5631" s="6">
        <f>IFERROR(__xludf.DUMMYFUNCTION("""COMPUTED_VALUE"""),0.0)</f>
        <v>0</v>
      </c>
      <c r="S5631" s="6" t="str">
        <f>IFERROR(__xludf.DUMMYFUNCTION("""COMPUTED_VALUE"""),"Kimberly Ball")</f>
        <v>Kimberly Ball</v>
      </c>
      <c r="T5631" s="6" t="str">
        <f>IFERROR(__xludf.DUMMYFUNCTION("""COMPUTED_VALUE"""),"kimberly.ball@studient.com")</f>
        <v>kimberly.ball@studient.com</v>
      </c>
      <c r="U5631" s="6" t="str">
        <f>IFERROR(__xludf.DUMMYFUNCTION("""COMPUTED_VALUE"""),"8")</f>
        <v>8</v>
      </c>
      <c r="V5631" s="6" t="str">
        <f>IFERROR(__xludf.DUMMYFUNCTION("""COMPUTED_VALUE"""),"")</f>
        <v/>
      </c>
      <c r="W5631" s="6" t="str">
        <f>IFERROR(__xludf.DUMMYFUNCTION("""COMPUTED_VALUE"""),"[]")</f>
        <v>[]</v>
      </c>
      <c r="X5631" s="6" t="str">
        <f>IFERROR(__xludf.DUMMYFUNCTION("""COMPUTED_VALUE"""),"Enrolled")</f>
        <v>Enrolled</v>
      </c>
    </row>
    <row r="5632">
      <c r="A5632" s="6" t="str">
        <f>IFERROR(__xludf.DUMMYFUNCTION("""COMPUTED_VALUE"""),"087-12229")</f>
        <v>087-12229</v>
      </c>
      <c r="B5632" s="6" t="str">
        <f>IFERROR(__xludf.DUMMYFUNCTION("""COMPUTED_VALUE"""),"87")</f>
        <v>87</v>
      </c>
      <c r="C5632" s="6" t="str">
        <f>IFERROR(__xludf.DUMMYFUNCTION("""COMPUTED_VALUE"""),"12229")</f>
        <v>12229</v>
      </c>
      <c r="D5632" s="6" t="str">
        <f>IFERROR(__xludf.DUMMYFUNCTION("""COMPUTED_VALUE"""),"Trinity")</f>
        <v>Trinity</v>
      </c>
      <c r="E5632" s="6" t="str">
        <f>IFERROR(__xludf.DUMMYFUNCTION("""COMPUTED_VALUE"""),"")</f>
        <v/>
      </c>
      <c r="F5632" s="6" t="str">
        <f>IFERROR(__xludf.DUMMYFUNCTION("""COMPUTED_VALUE"""),"Glover")</f>
        <v>Glover</v>
      </c>
      <c r="G5632" s="6" t="str">
        <f>IFERROR(__xludf.DUMMYFUNCTION("""COMPUTED_VALUE"""),"09/15/2011")</f>
        <v>09/15/2011</v>
      </c>
      <c r="H5632" s="6" t="str">
        <f>IFERROR(__xludf.DUMMYFUNCTION("""COMPUTED_VALUE"""),"female")</f>
        <v>female</v>
      </c>
      <c r="I5632" s="6" t="str">
        <f>IFERROR(__xludf.DUMMYFUNCTION("""COMPUTED_VALUE"""),"Middle School")</f>
        <v>Middle School</v>
      </c>
      <c r="J5632" s="6" t="str">
        <f>IFERROR(__xludf.DUMMYFUNCTION("""COMPUTED_VALUE"""),"8")</f>
        <v>8</v>
      </c>
      <c r="K5632" s="6" t="str">
        <f>IFERROR(__xludf.DUMMYFUNCTION("""COMPUTED_VALUE"""),"trinity.glover@2hourlearning.com")</f>
        <v>trinity.glover@2hourlearning.com</v>
      </c>
      <c r="L5632" s="6" t="str">
        <f>IFERROR(__xludf.DUMMYFUNCTION("""COMPUTED_VALUE"""),"JRHS - Ridgeland Secondary Academy of Excellence")</f>
        <v>JRHS - Ridgeland Secondary Academy of Excellence</v>
      </c>
      <c r="M5632" s="6" t="str">
        <f>IFERROR(__xludf.DUMMYFUNCTION("""COMPUTED_VALUE"""),"")</f>
        <v/>
      </c>
      <c r="N5632" s="6" t="str">
        <f>IFERROR(__xludf.DUMMYFUNCTION("""COMPUTED_VALUE"""),"")</f>
        <v/>
      </c>
      <c r="O5632" s="87" t="str">
        <f>IFERROR(__xludf.DUMMYFUNCTION("""COMPUTED_VALUE"""),"https://drive.google.com/drive/folders/10T2cTQHqEJZqE-st6uFKPoI?usp=share_link")</f>
        <v>https://drive.google.com/drive/folders/10T2cTQHqEJZqE-st6uFKPoI?usp=share_link</v>
      </c>
      <c r="P5632" s="6" t="str">
        <f>IFERROR(__xludf.DUMMYFUNCTION("""COMPUTED_VALUE"""),"Trinity Glover")</f>
        <v>Trinity Glover</v>
      </c>
      <c r="Q5632" s="6" t="str">
        <f>IFERROR(__xludf.DUMMYFUNCTION("""COMPUTED_VALUE"""),"MS")</f>
        <v>MS</v>
      </c>
      <c r="R5632" s="6">
        <f>IFERROR(__xludf.DUMMYFUNCTION("""COMPUTED_VALUE"""),0.0)</f>
        <v>0</v>
      </c>
      <c r="S5632" s="6" t="str">
        <f>IFERROR(__xludf.DUMMYFUNCTION("""COMPUTED_VALUE"""),"Kimberly Ball")</f>
        <v>Kimberly Ball</v>
      </c>
      <c r="T5632" s="6" t="str">
        <f>IFERROR(__xludf.DUMMYFUNCTION("""COMPUTED_VALUE"""),"kimberly.ball@studient.com")</f>
        <v>kimberly.ball@studient.com</v>
      </c>
      <c r="U5632" s="6" t="str">
        <f>IFERROR(__xludf.DUMMYFUNCTION("""COMPUTED_VALUE"""),"8")</f>
        <v>8</v>
      </c>
      <c r="V5632" s="6" t="str">
        <f>IFERROR(__xludf.DUMMYFUNCTION("""COMPUTED_VALUE"""),"")</f>
        <v/>
      </c>
      <c r="W5632" s="6" t="str">
        <f>IFERROR(__xludf.DUMMYFUNCTION("""COMPUTED_VALUE"""),"[]")</f>
        <v>[]</v>
      </c>
      <c r="X5632" s="6" t="str">
        <f>IFERROR(__xludf.DUMMYFUNCTION("""COMPUTED_VALUE"""),"Enrolled")</f>
        <v>Enrolled</v>
      </c>
    </row>
    <row r="5633">
      <c r="A5633" s="6" t="str">
        <f>IFERROR(__xludf.DUMMYFUNCTION("""COMPUTED_VALUE"""),"087-12230")</f>
        <v>087-12230</v>
      </c>
      <c r="B5633" s="6" t="str">
        <f>IFERROR(__xludf.DUMMYFUNCTION("""COMPUTED_VALUE"""),"87")</f>
        <v>87</v>
      </c>
      <c r="C5633" s="6" t="str">
        <f>IFERROR(__xludf.DUMMYFUNCTION("""COMPUTED_VALUE"""),"12230")</f>
        <v>12230</v>
      </c>
      <c r="D5633" s="6" t="str">
        <f>IFERROR(__xludf.DUMMYFUNCTION("""COMPUTED_VALUE"""),"Victor")</f>
        <v>Victor</v>
      </c>
      <c r="E5633" s="6" t="str">
        <f>IFERROR(__xludf.DUMMYFUNCTION("""COMPUTED_VALUE"""),"")</f>
        <v/>
      </c>
      <c r="F5633" s="6" t="str">
        <f>IFERROR(__xludf.DUMMYFUNCTION("""COMPUTED_VALUE"""),"Gomez Garcia")</f>
        <v>Gomez Garcia</v>
      </c>
      <c r="G5633" s="6" t="str">
        <f>IFERROR(__xludf.DUMMYFUNCTION("""COMPUTED_VALUE"""),"10/25/2013")</f>
        <v>10/25/2013</v>
      </c>
      <c r="H5633" s="6" t="str">
        <f>IFERROR(__xludf.DUMMYFUNCTION("""COMPUTED_VALUE"""),"male")</f>
        <v>male</v>
      </c>
      <c r="I5633" s="6" t="str">
        <f>IFERROR(__xludf.DUMMYFUNCTION("""COMPUTED_VALUE"""),"Middle School")</f>
        <v>Middle School</v>
      </c>
      <c r="J5633" s="6" t="str">
        <f>IFERROR(__xludf.DUMMYFUNCTION("""COMPUTED_VALUE"""),"6")</f>
        <v>6</v>
      </c>
      <c r="K5633" s="6" t="str">
        <f>IFERROR(__xludf.DUMMYFUNCTION("""COMPUTED_VALUE"""),"victor.gomezgarcia@2hourlearning.com")</f>
        <v>victor.gomezgarcia@2hourlearning.com</v>
      </c>
      <c r="L5633" s="6" t="str">
        <f>IFERROR(__xludf.DUMMYFUNCTION("""COMPUTED_VALUE"""),"JRHS - Ridgeland Secondary Academy of Excellence")</f>
        <v>JRHS - Ridgeland Secondary Academy of Excellence</v>
      </c>
      <c r="M5633" s="6" t="str">
        <f>IFERROR(__xludf.DUMMYFUNCTION("""COMPUTED_VALUE"""),"")</f>
        <v/>
      </c>
      <c r="N5633" s="6" t="str">
        <f>IFERROR(__xludf.DUMMYFUNCTION("""COMPUTED_VALUE"""),"")</f>
        <v/>
      </c>
      <c r="O5633" s="87" t="str">
        <f>IFERROR(__xludf.DUMMYFUNCTION("""COMPUTED_VALUE"""),"https://drive.google.com/drive/folders/10T2cTQHqEJZqE-st6uFKPoI?usp=share_link")</f>
        <v>https://drive.google.com/drive/folders/10T2cTQHqEJZqE-st6uFKPoI?usp=share_link</v>
      </c>
      <c r="P5633" s="6" t="str">
        <f>IFERROR(__xludf.DUMMYFUNCTION("""COMPUTED_VALUE"""),"Victor Gomez Garcia")</f>
        <v>Victor Gomez Garcia</v>
      </c>
      <c r="Q5633" s="6" t="str">
        <f>IFERROR(__xludf.DUMMYFUNCTION("""COMPUTED_VALUE"""),"MS")</f>
        <v>MS</v>
      </c>
      <c r="R5633" s="6">
        <f>IFERROR(__xludf.DUMMYFUNCTION("""COMPUTED_VALUE"""),0.0)</f>
        <v>0</v>
      </c>
      <c r="S5633" s="6" t="str">
        <f>IFERROR(__xludf.DUMMYFUNCTION("""COMPUTED_VALUE"""),"Kimberly Ball")</f>
        <v>Kimberly Ball</v>
      </c>
      <c r="T5633" s="6" t="str">
        <f>IFERROR(__xludf.DUMMYFUNCTION("""COMPUTED_VALUE"""),"kimberly.ball@studient.com")</f>
        <v>kimberly.ball@studient.com</v>
      </c>
      <c r="U5633" s="6" t="str">
        <f>IFERROR(__xludf.DUMMYFUNCTION("""COMPUTED_VALUE"""),"6")</f>
        <v>6</v>
      </c>
      <c r="V5633" s="6" t="str">
        <f>IFERROR(__xludf.DUMMYFUNCTION("""COMPUTED_VALUE"""),"")</f>
        <v/>
      </c>
      <c r="W5633" s="6" t="str">
        <f>IFERROR(__xludf.DUMMYFUNCTION("""COMPUTED_VALUE"""),"[]")</f>
        <v>[]</v>
      </c>
      <c r="X5633" s="6" t="str">
        <f>IFERROR(__xludf.DUMMYFUNCTION("""COMPUTED_VALUE"""),"Enrolled")</f>
        <v>Enrolled</v>
      </c>
    </row>
    <row r="5634">
      <c r="A5634" s="6" t="str">
        <f>IFERROR(__xludf.DUMMYFUNCTION("""COMPUTED_VALUE"""),"087-12231")</f>
        <v>087-12231</v>
      </c>
      <c r="B5634" s="6" t="str">
        <f>IFERROR(__xludf.DUMMYFUNCTION("""COMPUTED_VALUE"""),"87")</f>
        <v>87</v>
      </c>
      <c r="C5634" s="6" t="str">
        <f>IFERROR(__xludf.DUMMYFUNCTION("""COMPUTED_VALUE"""),"12231")</f>
        <v>12231</v>
      </c>
      <c r="D5634" s="6" t="str">
        <f>IFERROR(__xludf.DUMMYFUNCTION("""COMPUTED_VALUE"""),"Perfect")</f>
        <v>Perfect</v>
      </c>
      <c r="E5634" s="6" t="str">
        <f>IFERROR(__xludf.DUMMYFUNCTION("""COMPUTED_VALUE"""),"")</f>
        <v/>
      </c>
      <c r="F5634" s="6" t="str">
        <f>IFERROR(__xludf.DUMMYFUNCTION("""COMPUTED_VALUE"""),"Gomez Lopez")</f>
        <v>Gomez Lopez</v>
      </c>
      <c r="G5634" s="6" t="str">
        <f>IFERROR(__xludf.DUMMYFUNCTION("""COMPUTED_VALUE"""),"05/08/2013")</f>
        <v>05/08/2013</v>
      </c>
      <c r="H5634" s="6" t="str">
        <f>IFERROR(__xludf.DUMMYFUNCTION("""COMPUTED_VALUE"""),"male")</f>
        <v>male</v>
      </c>
      <c r="I5634" s="6" t="str">
        <f>IFERROR(__xludf.DUMMYFUNCTION("""COMPUTED_VALUE"""),"Middle School")</f>
        <v>Middle School</v>
      </c>
      <c r="J5634" s="6" t="str">
        <f>IFERROR(__xludf.DUMMYFUNCTION("""COMPUTED_VALUE"""),"7")</f>
        <v>7</v>
      </c>
      <c r="K5634" s="6" t="str">
        <f>IFERROR(__xludf.DUMMYFUNCTION("""COMPUTED_VALUE"""),"perfect.gomezlopez@2hourlearning.com")</f>
        <v>perfect.gomezlopez@2hourlearning.com</v>
      </c>
      <c r="L5634" s="6" t="str">
        <f>IFERROR(__xludf.DUMMYFUNCTION("""COMPUTED_VALUE"""),"JRHS - Ridgeland Secondary Academy of Excellence")</f>
        <v>JRHS - Ridgeland Secondary Academy of Excellence</v>
      </c>
      <c r="M5634" s="6" t="str">
        <f>IFERROR(__xludf.DUMMYFUNCTION("""COMPUTED_VALUE"""),"")</f>
        <v/>
      </c>
      <c r="N5634" s="6" t="str">
        <f>IFERROR(__xludf.DUMMYFUNCTION("""COMPUTED_VALUE"""),"")</f>
        <v/>
      </c>
      <c r="O5634" s="87" t="str">
        <f>IFERROR(__xludf.DUMMYFUNCTION("""COMPUTED_VALUE"""),"https://drive.google.com/drive/folders/10T2cTQHqEJZqE-st6uFKPoI?usp=share_link")</f>
        <v>https://drive.google.com/drive/folders/10T2cTQHqEJZqE-st6uFKPoI?usp=share_link</v>
      </c>
      <c r="P5634" s="6" t="str">
        <f>IFERROR(__xludf.DUMMYFUNCTION("""COMPUTED_VALUE"""),"Perfect Gomez Lopez")</f>
        <v>Perfect Gomez Lopez</v>
      </c>
      <c r="Q5634" s="6" t="str">
        <f>IFERROR(__xludf.DUMMYFUNCTION("""COMPUTED_VALUE"""),"MS")</f>
        <v>MS</v>
      </c>
      <c r="R5634" s="6">
        <f>IFERROR(__xludf.DUMMYFUNCTION("""COMPUTED_VALUE"""),0.0)</f>
        <v>0</v>
      </c>
      <c r="S5634" s="6" t="str">
        <f>IFERROR(__xludf.DUMMYFUNCTION("""COMPUTED_VALUE"""),"Kimberly Ball")</f>
        <v>Kimberly Ball</v>
      </c>
      <c r="T5634" s="6" t="str">
        <f>IFERROR(__xludf.DUMMYFUNCTION("""COMPUTED_VALUE"""),"kimberly.ball@studient.com")</f>
        <v>kimberly.ball@studient.com</v>
      </c>
      <c r="U5634" s="6" t="str">
        <f>IFERROR(__xludf.DUMMYFUNCTION("""COMPUTED_VALUE"""),"7")</f>
        <v>7</v>
      </c>
      <c r="V5634" s="6" t="str">
        <f>IFERROR(__xludf.DUMMYFUNCTION("""COMPUTED_VALUE"""),"")</f>
        <v/>
      </c>
      <c r="W5634" s="6" t="str">
        <f>IFERROR(__xludf.DUMMYFUNCTION("""COMPUTED_VALUE"""),"[]")</f>
        <v>[]</v>
      </c>
      <c r="X5634" s="6" t="str">
        <f>IFERROR(__xludf.DUMMYFUNCTION("""COMPUTED_VALUE"""),"Enrolled")</f>
        <v>Enrolled</v>
      </c>
    </row>
    <row r="5635">
      <c r="A5635" s="6" t="str">
        <f>IFERROR(__xludf.DUMMYFUNCTION("""COMPUTED_VALUE"""),"087-12232")</f>
        <v>087-12232</v>
      </c>
      <c r="B5635" s="6" t="str">
        <f>IFERROR(__xludf.DUMMYFUNCTION("""COMPUTED_VALUE"""),"87")</f>
        <v>87</v>
      </c>
      <c r="C5635" s="6" t="str">
        <f>IFERROR(__xludf.DUMMYFUNCTION("""COMPUTED_VALUE"""),"12232")</f>
        <v>12232</v>
      </c>
      <c r="D5635" s="6" t="str">
        <f>IFERROR(__xludf.DUMMYFUNCTION("""COMPUTED_VALUE"""),"Edgar")</f>
        <v>Edgar</v>
      </c>
      <c r="E5635" s="6" t="str">
        <f>IFERROR(__xludf.DUMMYFUNCTION("""COMPUTED_VALUE"""),"")</f>
        <v/>
      </c>
      <c r="F5635" s="6" t="str">
        <f>IFERROR(__xludf.DUMMYFUNCTION("""COMPUTED_VALUE"""),"Gomez Ortega")</f>
        <v>Gomez Ortega</v>
      </c>
      <c r="G5635" s="6" t="str">
        <f>IFERROR(__xludf.DUMMYFUNCTION("""COMPUTED_VALUE"""),"09/12/2012")</f>
        <v>09/12/2012</v>
      </c>
      <c r="H5635" s="6" t="str">
        <f>IFERROR(__xludf.DUMMYFUNCTION("""COMPUTED_VALUE"""),"female")</f>
        <v>female</v>
      </c>
      <c r="I5635" s="6" t="str">
        <f>IFERROR(__xludf.DUMMYFUNCTION("""COMPUTED_VALUE"""),"Middle School")</f>
        <v>Middle School</v>
      </c>
      <c r="J5635" s="6" t="str">
        <f>IFERROR(__xludf.DUMMYFUNCTION("""COMPUTED_VALUE"""),"7")</f>
        <v>7</v>
      </c>
      <c r="K5635" s="6" t="str">
        <f>IFERROR(__xludf.DUMMYFUNCTION("""COMPUTED_VALUE"""),"edgar.gomezortega@2hourlearning.com")</f>
        <v>edgar.gomezortega@2hourlearning.com</v>
      </c>
      <c r="L5635" s="6" t="str">
        <f>IFERROR(__xludf.DUMMYFUNCTION("""COMPUTED_VALUE"""),"JRHS - Ridgeland Secondary Academy of Excellence")</f>
        <v>JRHS - Ridgeland Secondary Academy of Excellence</v>
      </c>
      <c r="M5635" s="6" t="str">
        <f>IFERROR(__xludf.DUMMYFUNCTION("""COMPUTED_VALUE"""),"")</f>
        <v/>
      </c>
      <c r="N5635" s="6" t="str">
        <f>IFERROR(__xludf.DUMMYFUNCTION("""COMPUTED_VALUE"""),"")</f>
        <v/>
      </c>
      <c r="O5635" s="87" t="str">
        <f>IFERROR(__xludf.DUMMYFUNCTION("""COMPUTED_VALUE"""),"https://drive.google.com/drive/folders/10T2cTQHqEJZqE-st6uFKPoI?usp=share_link")</f>
        <v>https://drive.google.com/drive/folders/10T2cTQHqEJZqE-st6uFKPoI?usp=share_link</v>
      </c>
      <c r="P5635" s="6" t="str">
        <f>IFERROR(__xludf.DUMMYFUNCTION("""COMPUTED_VALUE"""),"Edgar Gomez Ortega")</f>
        <v>Edgar Gomez Ortega</v>
      </c>
      <c r="Q5635" s="6" t="str">
        <f>IFERROR(__xludf.DUMMYFUNCTION("""COMPUTED_VALUE"""),"MS")</f>
        <v>MS</v>
      </c>
      <c r="R5635" s="6">
        <f>IFERROR(__xludf.DUMMYFUNCTION("""COMPUTED_VALUE"""),0.0)</f>
        <v>0</v>
      </c>
      <c r="S5635" s="6" t="str">
        <f>IFERROR(__xludf.DUMMYFUNCTION("""COMPUTED_VALUE"""),"Kimberly Ball")</f>
        <v>Kimberly Ball</v>
      </c>
      <c r="T5635" s="6" t="str">
        <f>IFERROR(__xludf.DUMMYFUNCTION("""COMPUTED_VALUE"""),"kimberly.ball@studient.com")</f>
        <v>kimberly.ball@studient.com</v>
      </c>
      <c r="U5635" s="6" t="str">
        <f>IFERROR(__xludf.DUMMYFUNCTION("""COMPUTED_VALUE"""),"7")</f>
        <v>7</v>
      </c>
      <c r="V5635" s="6" t="str">
        <f>IFERROR(__xludf.DUMMYFUNCTION("""COMPUTED_VALUE"""),"")</f>
        <v/>
      </c>
      <c r="W5635" s="6" t="str">
        <f>IFERROR(__xludf.DUMMYFUNCTION("""COMPUTED_VALUE"""),"[]")</f>
        <v>[]</v>
      </c>
      <c r="X5635" s="6" t="str">
        <f>IFERROR(__xludf.DUMMYFUNCTION("""COMPUTED_VALUE"""),"Enrolled")</f>
        <v>Enrolled</v>
      </c>
    </row>
    <row r="5636">
      <c r="A5636" s="6" t="str">
        <f>IFERROR(__xludf.DUMMYFUNCTION("""COMPUTED_VALUE"""),"087-12233")</f>
        <v>087-12233</v>
      </c>
      <c r="B5636" s="6" t="str">
        <f>IFERROR(__xludf.DUMMYFUNCTION("""COMPUTED_VALUE"""),"87")</f>
        <v>87</v>
      </c>
      <c r="C5636" s="6" t="str">
        <f>IFERROR(__xludf.DUMMYFUNCTION("""COMPUTED_VALUE"""),"12233")</f>
        <v>12233</v>
      </c>
      <c r="D5636" s="6" t="str">
        <f>IFERROR(__xludf.DUMMYFUNCTION("""COMPUTED_VALUE"""),"Ivan")</f>
        <v>Ivan</v>
      </c>
      <c r="E5636" s="6" t="str">
        <f>IFERROR(__xludf.DUMMYFUNCTION("""COMPUTED_VALUE"""),"")</f>
        <v/>
      </c>
      <c r="F5636" s="6" t="str">
        <f>IFERROR(__xludf.DUMMYFUNCTION("""COMPUTED_VALUE"""),"Gomez Reyna")</f>
        <v>Gomez Reyna</v>
      </c>
      <c r="G5636" s="6" t="str">
        <f>IFERROR(__xludf.DUMMYFUNCTION("""COMPUTED_VALUE"""),"06/29/2012")</f>
        <v>06/29/2012</v>
      </c>
      <c r="H5636" s="6" t="str">
        <f>IFERROR(__xludf.DUMMYFUNCTION("""COMPUTED_VALUE"""),"male")</f>
        <v>male</v>
      </c>
      <c r="I5636" s="6" t="str">
        <f>IFERROR(__xludf.DUMMYFUNCTION("""COMPUTED_VALUE"""),"Middle School")</f>
        <v>Middle School</v>
      </c>
      <c r="J5636" s="6" t="str">
        <f>IFERROR(__xludf.DUMMYFUNCTION("""COMPUTED_VALUE"""),"7")</f>
        <v>7</v>
      </c>
      <c r="K5636" s="6" t="str">
        <f>IFERROR(__xludf.DUMMYFUNCTION("""COMPUTED_VALUE"""),"ivan.gomezreyna@2hourlearning.com")</f>
        <v>ivan.gomezreyna@2hourlearning.com</v>
      </c>
      <c r="L5636" s="6" t="str">
        <f>IFERROR(__xludf.DUMMYFUNCTION("""COMPUTED_VALUE"""),"JRHS - Ridgeland Secondary Academy of Excellence")</f>
        <v>JRHS - Ridgeland Secondary Academy of Excellence</v>
      </c>
      <c r="M5636" s="6" t="str">
        <f>IFERROR(__xludf.DUMMYFUNCTION("""COMPUTED_VALUE"""),"")</f>
        <v/>
      </c>
      <c r="N5636" s="6" t="str">
        <f>IFERROR(__xludf.DUMMYFUNCTION("""COMPUTED_VALUE"""),"")</f>
        <v/>
      </c>
      <c r="O5636" s="87" t="str">
        <f>IFERROR(__xludf.DUMMYFUNCTION("""COMPUTED_VALUE"""),"https://drive.google.com/drive/folders/10T2cTQHqEJZqE-st6uFKPoI?usp=share_link")</f>
        <v>https://drive.google.com/drive/folders/10T2cTQHqEJZqE-st6uFKPoI?usp=share_link</v>
      </c>
      <c r="P5636" s="6" t="str">
        <f>IFERROR(__xludf.DUMMYFUNCTION("""COMPUTED_VALUE"""),"Ivan Gomez Reyna")</f>
        <v>Ivan Gomez Reyna</v>
      </c>
      <c r="Q5636" s="6" t="str">
        <f>IFERROR(__xludf.DUMMYFUNCTION("""COMPUTED_VALUE"""),"MS")</f>
        <v>MS</v>
      </c>
      <c r="R5636" s="6">
        <f>IFERROR(__xludf.DUMMYFUNCTION("""COMPUTED_VALUE"""),0.0)</f>
        <v>0</v>
      </c>
      <c r="S5636" s="6" t="str">
        <f>IFERROR(__xludf.DUMMYFUNCTION("""COMPUTED_VALUE"""),"Kimberly Ball")</f>
        <v>Kimberly Ball</v>
      </c>
      <c r="T5636" s="6" t="str">
        <f>IFERROR(__xludf.DUMMYFUNCTION("""COMPUTED_VALUE"""),"kimberly.ball@studient.com")</f>
        <v>kimberly.ball@studient.com</v>
      </c>
      <c r="U5636" s="6" t="str">
        <f>IFERROR(__xludf.DUMMYFUNCTION("""COMPUTED_VALUE"""),"7")</f>
        <v>7</v>
      </c>
      <c r="V5636" s="6" t="str">
        <f>IFERROR(__xludf.DUMMYFUNCTION("""COMPUTED_VALUE"""),"")</f>
        <v/>
      </c>
      <c r="W5636" s="6" t="str">
        <f>IFERROR(__xludf.DUMMYFUNCTION("""COMPUTED_VALUE"""),"[]")</f>
        <v>[]</v>
      </c>
      <c r="X5636" s="6" t="str">
        <f>IFERROR(__xludf.DUMMYFUNCTION("""COMPUTED_VALUE"""),"Enrolled")</f>
        <v>Enrolled</v>
      </c>
    </row>
    <row r="5637">
      <c r="A5637" s="6" t="str">
        <f>IFERROR(__xludf.DUMMYFUNCTION("""COMPUTED_VALUE"""),"087-12234")</f>
        <v>087-12234</v>
      </c>
      <c r="B5637" s="6" t="str">
        <f>IFERROR(__xludf.DUMMYFUNCTION("""COMPUTED_VALUE"""),"87")</f>
        <v>87</v>
      </c>
      <c r="C5637" s="6" t="str">
        <f>IFERROR(__xludf.DUMMYFUNCTION("""COMPUTED_VALUE"""),"12234")</f>
        <v>12234</v>
      </c>
      <c r="D5637" s="6" t="str">
        <f>IFERROR(__xludf.DUMMYFUNCTION("""COMPUTED_VALUE"""),"Gerardo")</f>
        <v>Gerardo</v>
      </c>
      <c r="E5637" s="6" t="str">
        <f>IFERROR(__xludf.DUMMYFUNCTION("""COMPUTED_VALUE"""),"")</f>
        <v/>
      </c>
      <c r="F5637" s="6" t="str">
        <f>IFERROR(__xludf.DUMMYFUNCTION("""COMPUTED_VALUE"""),"Gonzalez Lopez")</f>
        <v>Gonzalez Lopez</v>
      </c>
      <c r="G5637" s="6" t="str">
        <f>IFERROR(__xludf.DUMMYFUNCTION("""COMPUTED_VALUE"""),"10/03/2012")</f>
        <v>10/03/2012</v>
      </c>
      <c r="H5637" s="6" t="str">
        <f>IFERROR(__xludf.DUMMYFUNCTION("""COMPUTED_VALUE"""),"male")</f>
        <v>male</v>
      </c>
      <c r="I5637" s="6" t="str">
        <f>IFERROR(__xludf.DUMMYFUNCTION("""COMPUTED_VALUE"""),"Middle School")</f>
        <v>Middle School</v>
      </c>
      <c r="J5637" s="6" t="str">
        <f>IFERROR(__xludf.DUMMYFUNCTION("""COMPUTED_VALUE"""),"8")</f>
        <v>8</v>
      </c>
      <c r="K5637" s="6" t="str">
        <f>IFERROR(__xludf.DUMMYFUNCTION("""COMPUTED_VALUE"""),"gerardo.gonzalezlopez@2hourlearning.com")</f>
        <v>gerardo.gonzalezlopez@2hourlearning.com</v>
      </c>
      <c r="L5637" s="6" t="str">
        <f>IFERROR(__xludf.DUMMYFUNCTION("""COMPUTED_VALUE"""),"JRHS - Ridgeland Secondary Academy of Excellence")</f>
        <v>JRHS - Ridgeland Secondary Academy of Excellence</v>
      </c>
      <c r="M5637" s="6" t="str">
        <f>IFERROR(__xludf.DUMMYFUNCTION("""COMPUTED_VALUE"""),"")</f>
        <v/>
      </c>
      <c r="N5637" s="6" t="str">
        <f>IFERROR(__xludf.DUMMYFUNCTION("""COMPUTED_VALUE"""),"")</f>
        <v/>
      </c>
      <c r="O5637" s="87" t="str">
        <f>IFERROR(__xludf.DUMMYFUNCTION("""COMPUTED_VALUE"""),"https://drive.google.com/drive/folders/10T2cTQHqEJZqE-st6uFKPoI?usp=share_link")</f>
        <v>https://drive.google.com/drive/folders/10T2cTQHqEJZqE-st6uFKPoI?usp=share_link</v>
      </c>
      <c r="P5637" s="6" t="str">
        <f>IFERROR(__xludf.DUMMYFUNCTION("""COMPUTED_VALUE"""),"Gerardo Gonzalez Lopez")</f>
        <v>Gerardo Gonzalez Lopez</v>
      </c>
      <c r="Q5637" s="6" t="str">
        <f>IFERROR(__xludf.DUMMYFUNCTION("""COMPUTED_VALUE"""),"MS")</f>
        <v>MS</v>
      </c>
      <c r="R5637" s="6">
        <f>IFERROR(__xludf.DUMMYFUNCTION("""COMPUTED_VALUE"""),0.0)</f>
        <v>0</v>
      </c>
      <c r="S5637" s="6" t="str">
        <f>IFERROR(__xludf.DUMMYFUNCTION("""COMPUTED_VALUE"""),"Kimberly Ball")</f>
        <v>Kimberly Ball</v>
      </c>
      <c r="T5637" s="6" t="str">
        <f>IFERROR(__xludf.DUMMYFUNCTION("""COMPUTED_VALUE"""),"kimberly.ball@studient.com")</f>
        <v>kimberly.ball@studient.com</v>
      </c>
      <c r="U5637" s="6" t="str">
        <f>IFERROR(__xludf.DUMMYFUNCTION("""COMPUTED_VALUE"""),"8")</f>
        <v>8</v>
      </c>
      <c r="V5637" s="6" t="str">
        <f>IFERROR(__xludf.DUMMYFUNCTION("""COMPUTED_VALUE"""),"")</f>
        <v/>
      </c>
      <c r="W5637" s="6" t="str">
        <f>IFERROR(__xludf.DUMMYFUNCTION("""COMPUTED_VALUE"""),"[]")</f>
        <v>[]</v>
      </c>
      <c r="X5637" s="6" t="str">
        <f>IFERROR(__xludf.DUMMYFUNCTION("""COMPUTED_VALUE"""),"Enrolled")</f>
        <v>Enrolled</v>
      </c>
    </row>
    <row r="5638">
      <c r="A5638" s="6" t="str">
        <f>IFERROR(__xludf.DUMMYFUNCTION("""COMPUTED_VALUE"""),"087-12235")</f>
        <v>087-12235</v>
      </c>
      <c r="B5638" s="6" t="str">
        <f>IFERROR(__xludf.DUMMYFUNCTION("""COMPUTED_VALUE"""),"87")</f>
        <v>87</v>
      </c>
      <c r="C5638" s="6" t="str">
        <f>IFERROR(__xludf.DUMMYFUNCTION("""COMPUTED_VALUE"""),"12235")</f>
        <v>12235</v>
      </c>
      <c r="D5638" s="6" t="str">
        <f>IFERROR(__xludf.DUMMYFUNCTION("""COMPUTED_VALUE"""),"Jonathan")</f>
        <v>Jonathan</v>
      </c>
      <c r="E5638" s="6" t="str">
        <f>IFERROR(__xludf.DUMMYFUNCTION("""COMPUTED_VALUE"""),"")</f>
        <v/>
      </c>
      <c r="F5638" s="6" t="str">
        <f>IFERROR(__xludf.DUMMYFUNCTION("""COMPUTED_VALUE"""),"Gonzalez Velazquez")</f>
        <v>Gonzalez Velazquez</v>
      </c>
      <c r="G5638" s="6" t="str">
        <f>IFERROR(__xludf.DUMMYFUNCTION("""COMPUTED_VALUE"""),"02/22/2012")</f>
        <v>02/22/2012</v>
      </c>
      <c r="H5638" s="6" t="str">
        <f>IFERROR(__xludf.DUMMYFUNCTION("""COMPUTED_VALUE"""),"male")</f>
        <v>male</v>
      </c>
      <c r="I5638" s="6" t="str">
        <f>IFERROR(__xludf.DUMMYFUNCTION("""COMPUTED_VALUE"""),"Middle School")</f>
        <v>Middle School</v>
      </c>
      <c r="J5638" s="6" t="str">
        <f>IFERROR(__xludf.DUMMYFUNCTION("""COMPUTED_VALUE"""),"8")</f>
        <v>8</v>
      </c>
      <c r="K5638" s="6" t="str">
        <f>IFERROR(__xludf.DUMMYFUNCTION("""COMPUTED_VALUE"""),"jonathan.gonzalezvelazquez@2hourlearning.com")</f>
        <v>jonathan.gonzalezvelazquez@2hourlearning.com</v>
      </c>
      <c r="L5638" s="6" t="str">
        <f>IFERROR(__xludf.DUMMYFUNCTION("""COMPUTED_VALUE"""),"JRHS - Ridgeland Secondary Academy of Excellence")</f>
        <v>JRHS - Ridgeland Secondary Academy of Excellence</v>
      </c>
      <c r="M5638" s="6" t="str">
        <f>IFERROR(__xludf.DUMMYFUNCTION("""COMPUTED_VALUE"""),"")</f>
        <v/>
      </c>
      <c r="N5638" s="6" t="str">
        <f>IFERROR(__xludf.DUMMYFUNCTION("""COMPUTED_VALUE"""),"")</f>
        <v/>
      </c>
      <c r="O5638" s="87" t="str">
        <f>IFERROR(__xludf.DUMMYFUNCTION("""COMPUTED_VALUE"""),"https://drive.google.com/drive/folders/10T2cTQHqEJZqE-st6uFKPoI?usp=share_link")</f>
        <v>https://drive.google.com/drive/folders/10T2cTQHqEJZqE-st6uFKPoI?usp=share_link</v>
      </c>
      <c r="P5638" s="6" t="str">
        <f>IFERROR(__xludf.DUMMYFUNCTION("""COMPUTED_VALUE"""),"Jonathan Gonzalez Velazquez")</f>
        <v>Jonathan Gonzalez Velazquez</v>
      </c>
      <c r="Q5638" s="6" t="str">
        <f>IFERROR(__xludf.DUMMYFUNCTION("""COMPUTED_VALUE"""),"MS")</f>
        <v>MS</v>
      </c>
      <c r="R5638" s="6">
        <f>IFERROR(__xludf.DUMMYFUNCTION("""COMPUTED_VALUE"""),0.0)</f>
        <v>0</v>
      </c>
      <c r="S5638" s="6" t="str">
        <f>IFERROR(__xludf.DUMMYFUNCTION("""COMPUTED_VALUE"""),"Kimberly Ball")</f>
        <v>Kimberly Ball</v>
      </c>
      <c r="T5638" s="6" t="str">
        <f>IFERROR(__xludf.DUMMYFUNCTION("""COMPUTED_VALUE"""),"kimberly.ball@studient.com")</f>
        <v>kimberly.ball@studient.com</v>
      </c>
      <c r="U5638" s="6" t="str">
        <f>IFERROR(__xludf.DUMMYFUNCTION("""COMPUTED_VALUE"""),"8")</f>
        <v>8</v>
      </c>
      <c r="V5638" s="6" t="str">
        <f>IFERROR(__xludf.DUMMYFUNCTION("""COMPUTED_VALUE"""),"")</f>
        <v/>
      </c>
      <c r="W5638" s="6" t="str">
        <f>IFERROR(__xludf.DUMMYFUNCTION("""COMPUTED_VALUE"""),"[]")</f>
        <v>[]</v>
      </c>
      <c r="X5638" s="6" t="str">
        <f>IFERROR(__xludf.DUMMYFUNCTION("""COMPUTED_VALUE"""),"Enrolled")</f>
        <v>Enrolled</v>
      </c>
    </row>
    <row r="5639">
      <c r="A5639" s="6" t="str">
        <f>IFERROR(__xludf.DUMMYFUNCTION("""COMPUTED_VALUE"""),"087-12236")</f>
        <v>087-12236</v>
      </c>
      <c r="B5639" s="6" t="str">
        <f>IFERROR(__xludf.DUMMYFUNCTION("""COMPUTED_VALUE"""),"87")</f>
        <v>87</v>
      </c>
      <c r="C5639" s="6" t="str">
        <f>IFERROR(__xludf.DUMMYFUNCTION("""COMPUTED_VALUE"""),"12236")</f>
        <v>12236</v>
      </c>
      <c r="D5639" s="6" t="str">
        <f>IFERROR(__xludf.DUMMYFUNCTION("""COMPUTED_VALUE"""),"Elisa")</f>
        <v>Elisa</v>
      </c>
      <c r="E5639" s="6" t="str">
        <f>IFERROR(__xludf.DUMMYFUNCTION("""COMPUTED_VALUE"""),"")</f>
        <v/>
      </c>
      <c r="F5639" s="6" t="str">
        <f>IFERROR(__xludf.DUMMYFUNCTION("""COMPUTED_VALUE"""),"Gonzalez-Fernandez")</f>
        <v>Gonzalez-Fernandez</v>
      </c>
      <c r="G5639" s="6" t="str">
        <f>IFERROR(__xludf.DUMMYFUNCTION("""COMPUTED_VALUE"""),"06/07/2013")</f>
        <v>06/07/2013</v>
      </c>
      <c r="H5639" s="6" t="str">
        <f>IFERROR(__xludf.DUMMYFUNCTION("""COMPUTED_VALUE"""),"female")</f>
        <v>female</v>
      </c>
      <c r="I5639" s="6" t="str">
        <f>IFERROR(__xludf.DUMMYFUNCTION("""COMPUTED_VALUE"""),"Middle School")</f>
        <v>Middle School</v>
      </c>
      <c r="J5639" s="6" t="str">
        <f>IFERROR(__xludf.DUMMYFUNCTION("""COMPUTED_VALUE"""),"7")</f>
        <v>7</v>
      </c>
      <c r="K5639" s="6" t="str">
        <f>IFERROR(__xludf.DUMMYFUNCTION("""COMPUTED_VALUE"""),"elisa.gonzalez-fernandez@2hourlearning.com")</f>
        <v>elisa.gonzalez-fernandez@2hourlearning.com</v>
      </c>
      <c r="L5639" s="6" t="str">
        <f>IFERROR(__xludf.DUMMYFUNCTION("""COMPUTED_VALUE"""),"JRHS - Ridgeland Secondary Academy of Excellence")</f>
        <v>JRHS - Ridgeland Secondary Academy of Excellence</v>
      </c>
      <c r="M5639" s="6" t="str">
        <f>IFERROR(__xludf.DUMMYFUNCTION("""COMPUTED_VALUE"""),"")</f>
        <v/>
      </c>
      <c r="N5639" s="6" t="str">
        <f>IFERROR(__xludf.DUMMYFUNCTION("""COMPUTED_VALUE"""),"")</f>
        <v/>
      </c>
      <c r="O5639" s="87" t="str">
        <f>IFERROR(__xludf.DUMMYFUNCTION("""COMPUTED_VALUE"""),"https://drive.google.com/drive/folders/10T2cTQHqEJZqE-st6uFKPoI?usp=share_link")</f>
        <v>https://drive.google.com/drive/folders/10T2cTQHqEJZqE-st6uFKPoI?usp=share_link</v>
      </c>
      <c r="P5639" s="6" t="str">
        <f>IFERROR(__xludf.DUMMYFUNCTION("""COMPUTED_VALUE"""),"Elisa Gonzalez-Fernandez")</f>
        <v>Elisa Gonzalez-Fernandez</v>
      </c>
      <c r="Q5639" s="6" t="str">
        <f>IFERROR(__xludf.DUMMYFUNCTION("""COMPUTED_VALUE"""),"MS")</f>
        <v>MS</v>
      </c>
      <c r="R5639" s="6">
        <f>IFERROR(__xludf.DUMMYFUNCTION("""COMPUTED_VALUE"""),0.0)</f>
        <v>0</v>
      </c>
      <c r="S5639" s="6" t="str">
        <f>IFERROR(__xludf.DUMMYFUNCTION("""COMPUTED_VALUE"""),"Kimberly Ball")</f>
        <v>Kimberly Ball</v>
      </c>
      <c r="T5639" s="6" t="str">
        <f>IFERROR(__xludf.DUMMYFUNCTION("""COMPUTED_VALUE"""),"kimberly.ball@studient.com")</f>
        <v>kimberly.ball@studient.com</v>
      </c>
      <c r="U5639" s="6" t="str">
        <f>IFERROR(__xludf.DUMMYFUNCTION("""COMPUTED_VALUE"""),"7")</f>
        <v>7</v>
      </c>
      <c r="V5639" s="6" t="str">
        <f>IFERROR(__xludf.DUMMYFUNCTION("""COMPUTED_VALUE"""),"")</f>
        <v/>
      </c>
      <c r="W5639" s="6" t="str">
        <f>IFERROR(__xludf.DUMMYFUNCTION("""COMPUTED_VALUE"""),"[]")</f>
        <v>[]</v>
      </c>
      <c r="X5639" s="6" t="str">
        <f>IFERROR(__xludf.DUMMYFUNCTION("""COMPUTED_VALUE"""),"Enrolled")</f>
        <v>Enrolled</v>
      </c>
    </row>
    <row r="5640">
      <c r="A5640" s="6" t="str">
        <f>IFERROR(__xludf.DUMMYFUNCTION("""COMPUTED_VALUE"""),"087-12237")</f>
        <v>087-12237</v>
      </c>
      <c r="B5640" s="6" t="str">
        <f>IFERROR(__xludf.DUMMYFUNCTION("""COMPUTED_VALUE"""),"87")</f>
        <v>87</v>
      </c>
      <c r="C5640" s="6" t="str">
        <f>IFERROR(__xludf.DUMMYFUNCTION("""COMPUTED_VALUE"""),"12237")</f>
        <v>12237</v>
      </c>
      <c r="D5640" s="6" t="str">
        <f>IFERROR(__xludf.DUMMYFUNCTION("""COMPUTED_VALUE"""),"Mario")</f>
        <v>Mario</v>
      </c>
      <c r="E5640" s="6" t="str">
        <f>IFERROR(__xludf.DUMMYFUNCTION("""COMPUTED_VALUE"""),"")</f>
        <v/>
      </c>
      <c r="F5640" s="6" t="str">
        <f>IFERROR(__xludf.DUMMYFUNCTION("""COMPUTED_VALUE"""),"Graham")</f>
        <v>Graham</v>
      </c>
      <c r="G5640" s="6" t="str">
        <f>IFERROR(__xludf.DUMMYFUNCTION("""COMPUTED_VALUE"""),"05/01/2012")</f>
        <v>05/01/2012</v>
      </c>
      <c r="H5640" s="6" t="str">
        <f>IFERROR(__xludf.DUMMYFUNCTION("""COMPUTED_VALUE"""),"male")</f>
        <v>male</v>
      </c>
      <c r="I5640" s="6" t="str">
        <f>IFERROR(__xludf.DUMMYFUNCTION("""COMPUTED_VALUE"""),"Middle School")</f>
        <v>Middle School</v>
      </c>
      <c r="J5640" s="6" t="str">
        <f>IFERROR(__xludf.DUMMYFUNCTION("""COMPUTED_VALUE"""),"8")</f>
        <v>8</v>
      </c>
      <c r="K5640" s="6" t="str">
        <f>IFERROR(__xludf.DUMMYFUNCTION("""COMPUTED_VALUE"""),"mario.graham@2hourlearning.com")</f>
        <v>mario.graham@2hourlearning.com</v>
      </c>
      <c r="L5640" s="6" t="str">
        <f>IFERROR(__xludf.DUMMYFUNCTION("""COMPUTED_VALUE"""),"JRHS - Ridgeland Secondary Academy of Excellence")</f>
        <v>JRHS - Ridgeland Secondary Academy of Excellence</v>
      </c>
      <c r="M5640" s="6" t="str">
        <f>IFERROR(__xludf.DUMMYFUNCTION("""COMPUTED_VALUE"""),"")</f>
        <v/>
      </c>
      <c r="N5640" s="6" t="str">
        <f>IFERROR(__xludf.DUMMYFUNCTION("""COMPUTED_VALUE"""),"")</f>
        <v/>
      </c>
      <c r="O5640" s="87" t="str">
        <f>IFERROR(__xludf.DUMMYFUNCTION("""COMPUTED_VALUE"""),"https://drive.google.com/drive/folders/10T2cTQHqEJZqE-st6uFKPoI?usp=share_link")</f>
        <v>https://drive.google.com/drive/folders/10T2cTQHqEJZqE-st6uFKPoI?usp=share_link</v>
      </c>
      <c r="P5640" s="6" t="str">
        <f>IFERROR(__xludf.DUMMYFUNCTION("""COMPUTED_VALUE"""),"Mario Graham")</f>
        <v>Mario Graham</v>
      </c>
      <c r="Q5640" s="6" t="str">
        <f>IFERROR(__xludf.DUMMYFUNCTION("""COMPUTED_VALUE"""),"MS")</f>
        <v>MS</v>
      </c>
      <c r="R5640" s="6">
        <f>IFERROR(__xludf.DUMMYFUNCTION("""COMPUTED_VALUE"""),0.0)</f>
        <v>0</v>
      </c>
      <c r="S5640" s="6" t="str">
        <f>IFERROR(__xludf.DUMMYFUNCTION("""COMPUTED_VALUE"""),"Kimberly Ball")</f>
        <v>Kimberly Ball</v>
      </c>
      <c r="T5640" s="6" t="str">
        <f>IFERROR(__xludf.DUMMYFUNCTION("""COMPUTED_VALUE"""),"kimberly.ball@studient.com")</f>
        <v>kimberly.ball@studient.com</v>
      </c>
      <c r="U5640" s="6" t="str">
        <f>IFERROR(__xludf.DUMMYFUNCTION("""COMPUTED_VALUE"""),"8")</f>
        <v>8</v>
      </c>
      <c r="V5640" s="6" t="str">
        <f>IFERROR(__xludf.DUMMYFUNCTION("""COMPUTED_VALUE"""),"")</f>
        <v/>
      </c>
      <c r="W5640" s="6" t="str">
        <f>IFERROR(__xludf.DUMMYFUNCTION("""COMPUTED_VALUE"""),"[]")</f>
        <v>[]</v>
      </c>
      <c r="X5640" s="6" t="str">
        <f>IFERROR(__xludf.DUMMYFUNCTION("""COMPUTED_VALUE"""),"Enrolled")</f>
        <v>Enrolled</v>
      </c>
    </row>
    <row r="5641">
      <c r="A5641" s="6" t="str">
        <f>IFERROR(__xludf.DUMMYFUNCTION("""COMPUTED_VALUE"""),"087-12238")</f>
        <v>087-12238</v>
      </c>
      <c r="B5641" s="6" t="str">
        <f>IFERROR(__xludf.DUMMYFUNCTION("""COMPUTED_VALUE"""),"87")</f>
        <v>87</v>
      </c>
      <c r="C5641" s="6" t="str">
        <f>IFERROR(__xludf.DUMMYFUNCTION("""COMPUTED_VALUE"""),"12238")</f>
        <v>12238</v>
      </c>
      <c r="D5641" s="6" t="str">
        <f>IFERROR(__xludf.DUMMYFUNCTION("""COMPUTED_VALUE"""),"Christopher")</f>
        <v>Christopher</v>
      </c>
      <c r="E5641" s="6" t="str">
        <f>IFERROR(__xludf.DUMMYFUNCTION("""COMPUTED_VALUE"""),"")</f>
        <v/>
      </c>
      <c r="F5641" s="6" t="str">
        <f>IFERROR(__xludf.DUMMYFUNCTION("""COMPUTED_VALUE"""),"Graves")</f>
        <v>Graves</v>
      </c>
      <c r="G5641" s="6" t="str">
        <f>IFERROR(__xludf.DUMMYFUNCTION("""COMPUTED_VALUE"""),"09/12/2011")</f>
        <v>09/12/2011</v>
      </c>
      <c r="H5641" s="6" t="str">
        <f>IFERROR(__xludf.DUMMYFUNCTION("""COMPUTED_VALUE"""),"male")</f>
        <v>male</v>
      </c>
      <c r="I5641" s="6" t="str">
        <f>IFERROR(__xludf.DUMMYFUNCTION("""COMPUTED_VALUE"""),"Middle School")</f>
        <v>Middle School</v>
      </c>
      <c r="J5641" s="6" t="str">
        <f>IFERROR(__xludf.DUMMYFUNCTION("""COMPUTED_VALUE"""),"8")</f>
        <v>8</v>
      </c>
      <c r="K5641" s="6" t="str">
        <f>IFERROR(__xludf.DUMMYFUNCTION("""COMPUTED_VALUE"""),"christopher.graves@2hourlearning.com")</f>
        <v>christopher.graves@2hourlearning.com</v>
      </c>
      <c r="L5641" s="6" t="str">
        <f>IFERROR(__xludf.DUMMYFUNCTION("""COMPUTED_VALUE"""),"JRHS - Ridgeland Secondary Academy of Excellence")</f>
        <v>JRHS - Ridgeland Secondary Academy of Excellence</v>
      </c>
      <c r="M5641" s="6" t="str">
        <f>IFERROR(__xludf.DUMMYFUNCTION("""COMPUTED_VALUE"""),"")</f>
        <v/>
      </c>
      <c r="N5641" s="6" t="str">
        <f>IFERROR(__xludf.DUMMYFUNCTION("""COMPUTED_VALUE"""),"")</f>
        <v/>
      </c>
      <c r="O5641" s="87" t="str">
        <f>IFERROR(__xludf.DUMMYFUNCTION("""COMPUTED_VALUE"""),"https://drive.google.com/drive/folders/10T2cTQHqEJZqE-st6uFKPoI?usp=share_link")</f>
        <v>https://drive.google.com/drive/folders/10T2cTQHqEJZqE-st6uFKPoI?usp=share_link</v>
      </c>
      <c r="P5641" s="6" t="str">
        <f>IFERROR(__xludf.DUMMYFUNCTION("""COMPUTED_VALUE"""),"Christopher Graves")</f>
        <v>Christopher Graves</v>
      </c>
      <c r="Q5641" s="6" t="str">
        <f>IFERROR(__xludf.DUMMYFUNCTION("""COMPUTED_VALUE"""),"MS")</f>
        <v>MS</v>
      </c>
      <c r="R5641" s="6">
        <f>IFERROR(__xludf.DUMMYFUNCTION("""COMPUTED_VALUE"""),0.0)</f>
        <v>0</v>
      </c>
      <c r="S5641" s="6" t="str">
        <f>IFERROR(__xludf.DUMMYFUNCTION("""COMPUTED_VALUE"""),"Kimberly Ball")</f>
        <v>Kimberly Ball</v>
      </c>
      <c r="T5641" s="6" t="str">
        <f>IFERROR(__xludf.DUMMYFUNCTION("""COMPUTED_VALUE"""),"kimberly.ball@studient.com")</f>
        <v>kimberly.ball@studient.com</v>
      </c>
      <c r="U5641" s="6" t="str">
        <f>IFERROR(__xludf.DUMMYFUNCTION("""COMPUTED_VALUE"""),"8")</f>
        <v>8</v>
      </c>
      <c r="V5641" s="6" t="str">
        <f>IFERROR(__xludf.DUMMYFUNCTION("""COMPUTED_VALUE"""),"")</f>
        <v/>
      </c>
      <c r="W5641" s="6" t="str">
        <f>IFERROR(__xludf.DUMMYFUNCTION("""COMPUTED_VALUE"""),"[]")</f>
        <v>[]</v>
      </c>
      <c r="X5641" s="6" t="str">
        <f>IFERROR(__xludf.DUMMYFUNCTION("""COMPUTED_VALUE"""),"Enrolled")</f>
        <v>Enrolled</v>
      </c>
    </row>
    <row r="5642">
      <c r="A5642" s="6" t="str">
        <f>IFERROR(__xludf.DUMMYFUNCTION("""COMPUTED_VALUE"""),"087-12239")</f>
        <v>087-12239</v>
      </c>
      <c r="B5642" s="6" t="str">
        <f>IFERROR(__xludf.DUMMYFUNCTION("""COMPUTED_VALUE"""),"87")</f>
        <v>87</v>
      </c>
      <c r="C5642" s="6" t="str">
        <f>IFERROR(__xludf.DUMMYFUNCTION("""COMPUTED_VALUE"""),"12239")</f>
        <v>12239</v>
      </c>
      <c r="D5642" s="6" t="str">
        <f>IFERROR(__xludf.DUMMYFUNCTION("""COMPUTED_VALUE"""),"Donivin")</f>
        <v>Donivin</v>
      </c>
      <c r="E5642" s="6" t="str">
        <f>IFERROR(__xludf.DUMMYFUNCTION("""COMPUTED_VALUE"""),"")</f>
        <v/>
      </c>
      <c r="F5642" s="6" t="str">
        <f>IFERROR(__xludf.DUMMYFUNCTION("""COMPUTED_VALUE"""),"Green")</f>
        <v>Green</v>
      </c>
      <c r="G5642" s="6" t="str">
        <f>IFERROR(__xludf.DUMMYFUNCTION("""COMPUTED_VALUE"""),"03/01/2012")</f>
        <v>03/01/2012</v>
      </c>
      <c r="H5642" s="6" t="str">
        <f>IFERROR(__xludf.DUMMYFUNCTION("""COMPUTED_VALUE"""),"male")</f>
        <v>male</v>
      </c>
      <c r="I5642" s="6" t="str">
        <f>IFERROR(__xludf.DUMMYFUNCTION("""COMPUTED_VALUE"""),"Middle School")</f>
        <v>Middle School</v>
      </c>
      <c r="J5642" s="6" t="str">
        <f>IFERROR(__xludf.DUMMYFUNCTION("""COMPUTED_VALUE"""),"7")</f>
        <v>7</v>
      </c>
      <c r="K5642" s="6" t="str">
        <f>IFERROR(__xludf.DUMMYFUNCTION("""COMPUTED_VALUE"""),"donivin.green@2hourlearning.com")</f>
        <v>donivin.green@2hourlearning.com</v>
      </c>
      <c r="L5642" s="6" t="str">
        <f>IFERROR(__xludf.DUMMYFUNCTION("""COMPUTED_VALUE"""),"JRHS - Ridgeland Secondary Academy of Excellence")</f>
        <v>JRHS - Ridgeland Secondary Academy of Excellence</v>
      </c>
      <c r="M5642" s="6" t="str">
        <f>IFERROR(__xludf.DUMMYFUNCTION("""COMPUTED_VALUE"""),"")</f>
        <v/>
      </c>
      <c r="N5642" s="6" t="str">
        <f>IFERROR(__xludf.DUMMYFUNCTION("""COMPUTED_VALUE"""),"")</f>
        <v/>
      </c>
      <c r="O5642" s="87" t="str">
        <f>IFERROR(__xludf.DUMMYFUNCTION("""COMPUTED_VALUE"""),"https://drive.google.com/drive/folders/10T2cTQHqEJZqE-st6uFKPoI?usp=share_link")</f>
        <v>https://drive.google.com/drive/folders/10T2cTQHqEJZqE-st6uFKPoI?usp=share_link</v>
      </c>
      <c r="P5642" s="6" t="str">
        <f>IFERROR(__xludf.DUMMYFUNCTION("""COMPUTED_VALUE"""),"Donivin Green")</f>
        <v>Donivin Green</v>
      </c>
      <c r="Q5642" s="6" t="str">
        <f>IFERROR(__xludf.DUMMYFUNCTION("""COMPUTED_VALUE"""),"MS")</f>
        <v>MS</v>
      </c>
      <c r="R5642" s="6">
        <f>IFERROR(__xludf.DUMMYFUNCTION("""COMPUTED_VALUE"""),0.0)</f>
        <v>0</v>
      </c>
      <c r="S5642" s="6" t="str">
        <f>IFERROR(__xludf.DUMMYFUNCTION("""COMPUTED_VALUE"""),"Kimberly Ball")</f>
        <v>Kimberly Ball</v>
      </c>
      <c r="T5642" s="6" t="str">
        <f>IFERROR(__xludf.DUMMYFUNCTION("""COMPUTED_VALUE"""),"kimberly.ball@studient.com")</f>
        <v>kimberly.ball@studient.com</v>
      </c>
      <c r="U5642" s="6" t="str">
        <f>IFERROR(__xludf.DUMMYFUNCTION("""COMPUTED_VALUE"""),"7")</f>
        <v>7</v>
      </c>
      <c r="V5642" s="6" t="str">
        <f>IFERROR(__xludf.DUMMYFUNCTION("""COMPUTED_VALUE"""),"")</f>
        <v/>
      </c>
      <c r="W5642" s="6" t="str">
        <f>IFERROR(__xludf.DUMMYFUNCTION("""COMPUTED_VALUE"""),"[]")</f>
        <v>[]</v>
      </c>
      <c r="X5642" s="6" t="str">
        <f>IFERROR(__xludf.DUMMYFUNCTION("""COMPUTED_VALUE"""),"Enrolled")</f>
        <v>Enrolled</v>
      </c>
    </row>
    <row r="5643">
      <c r="A5643" s="6" t="str">
        <f>IFERROR(__xludf.DUMMYFUNCTION("""COMPUTED_VALUE"""),"087-12240")</f>
        <v>087-12240</v>
      </c>
      <c r="B5643" s="6" t="str">
        <f>IFERROR(__xludf.DUMMYFUNCTION("""COMPUTED_VALUE"""),"87")</f>
        <v>87</v>
      </c>
      <c r="C5643" s="6" t="str">
        <f>IFERROR(__xludf.DUMMYFUNCTION("""COMPUTED_VALUE"""),"12240")</f>
        <v>12240</v>
      </c>
      <c r="D5643" s="6" t="str">
        <f>IFERROR(__xludf.DUMMYFUNCTION("""COMPUTED_VALUE"""),"Jazlyn")</f>
        <v>Jazlyn</v>
      </c>
      <c r="E5643" s="6" t="str">
        <f>IFERROR(__xludf.DUMMYFUNCTION("""COMPUTED_VALUE"""),"")</f>
        <v/>
      </c>
      <c r="F5643" s="6" t="str">
        <f>IFERROR(__xludf.DUMMYFUNCTION("""COMPUTED_VALUE"""),"Greene")</f>
        <v>Greene</v>
      </c>
      <c r="G5643" s="6" t="str">
        <f>IFERROR(__xludf.DUMMYFUNCTION("""COMPUTED_VALUE"""),"10/10/2012")</f>
        <v>10/10/2012</v>
      </c>
      <c r="H5643" s="6" t="str">
        <f>IFERROR(__xludf.DUMMYFUNCTION("""COMPUTED_VALUE"""),"female")</f>
        <v>female</v>
      </c>
      <c r="I5643" s="6" t="str">
        <f>IFERROR(__xludf.DUMMYFUNCTION("""COMPUTED_VALUE"""),"Middle School")</f>
        <v>Middle School</v>
      </c>
      <c r="J5643" s="6" t="str">
        <f>IFERROR(__xludf.DUMMYFUNCTION("""COMPUTED_VALUE"""),"7")</f>
        <v>7</v>
      </c>
      <c r="K5643" s="6" t="str">
        <f>IFERROR(__xludf.DUMMYFUNCTION("""COMPUTED_VALUE"""),"jazlyn.greene@2hourlearning.com")</f>
        <v>jazlyn.greene@2hourlearning.com</v>
      </c>
      <c r="L5643" s="6" t="str">
        <f>IFERROR(__xludf.DUMMYFUNCTION("""COMPUTED_VALUE"""),"JRHS - Ridgeland Secondary Academy of Excellence")</f>
        <v>JRHS - Ridgeland Secondary Academy of Excellence</v>
      </c>
      <c r="M5643" s="6" t="str">
        <f>IFERROR(__xludf.DUMMYFUNCTION("""COMPUTED_VALUE"""),"")</f>
        <v/>
      </c>
      <c r="N5643" s="6" t="str">
        <f>IFERROR(__xludf.DUMMYFUNCTION("""COMPUTED_VALUE"""),"")</f>
        <v/>
      </c>
      <c r="O5643" s="87" t="str">
        <f>IFERROR(__xludf.DUMMYFUNCTION("""COMPUTED_VALUE"""),"https://drive.google.com/drive/folders/10T2cTQHqEJZqE-st6uFKPoI?usp=share_link")</f>
        <v>https://drive.google.com/drive/folders/10T2cTQHqEJZqE-st6uFKPoI?usp=share_link</v>
      </c>
      <c r="P5643" s="6" t="str">
        <f>IFERROR(__xludf.DUMMYFUNCTION("""COMPUTED_VALUE"""),"Jazlyn Greene")</f>
        <v>Jazlyn Greene</v>
      </c>
      <c r="Q5643" s="6" t="str">
        <f>IFERROR(__xludf.DUMMYFUNCTION("""COMPUTED_VALUE"""),"MS")</f>
        <v>MS</v>
      </c>
      <c r="R5643" s="6">
        <f>IFERROR(__xludf.DUMMYFUNCTION("""COMPUTED_VALUE"""),0.0)</f>
        <v>0</v>
      </c>
      <c r="S5643" s="6" t="str">
        <f>IFERROR(__xludf.DUMMYFUNCTION("""COMPUTED_VALUE"""),"Kimberly Ball")</f>
        <v>Kimberly Ball</v>
      </c>
      <c r="T5643" s="6" t="str">
        <f>IFERROR(__xludf.DUMMYFUNCTION("""COMPUTED_VALUE"""),"kimberly.ball@studient.com")</f>
        <v>kimberly.ball@studient.com</v>
      </c>
      <c r="U5643" s="6" t="str">
        <f>IFERROR(__xludf.DUMMYFUNCTION("""COMPUTED_VALUE"""),"7")</f>
        <v>7</v>
      </c>
      <c r="V5643" s="6" t="str">
        <f>IFERROR(__xludf.DUMMYFUNCTION("""COMPUTED_VALUE"""),"")</f>
        <v/>
      </c>
      <c r="W5643" s="6" t="str">
        <f>IFERROR(__xludf.DUMMYFUNCTION("""COMPUTED_VALUE"""),"[]")</f>
        <v>[]</v>
      </c>
      <c r="X5643" s="6" t="str">
        <f>IFERROR(__xludf.DUMMYFUNCTION("""COMPUTED_VALUE"""),"Enrolled")</f>
        <v>Enrolled</v>
      </c>
    </row>
    <row r="5644">
      <c r="A5644" s="6" t="str">
        <f>IFERROR(__xludf.DUMMYFUNCTION("""COMPUTED_VALUE"""),"087-12241")</f>
        <v>087-12241</v>
      </c>
      <c r="B5644" s="6" t="str">
        <f>IFERROR(__xludf.DUMMYFUNCTION("""COMPUTED_VALUE"""),"87")</f>
        <v>87</v>
      </c>
      <c r="C5644" s="6" t="str">
        <f>IFERROR(__xludf.DUMMYFUNCTION("""COMPUTED_VALUE"""),"12241")</f>
        <v>12241</v>
      </c>
      <c r="D5644" s="6" t="str">
        <f>IFERROR(__xludf.DUMMYFUNCTION("""COMPUTED_VALUE"""),"Audrey")</f>
        <v>Audrey</v>
      </c>
      <c r="E5644" s="6" t="str">
        <f>IFERROR(__xludf.DUMMYFUNCTION("""COMPUTED_VALUE"""),"")</f>
        <v/>
      </c>
      <c r="F5644" s="6" t="str">
        <f>IFERROR(__xludf.DUMMYFUNCTION("""COMPUTED_VALUE"""),"Guevara")</f>
        <v>Guevara</v>
      </c>
      <c r="G5644" s="6" t="str">
        <f>IFERROR(__xludf.DUMMYFUNCTION("""COMPUTED_VALUE"""),"11/30/2012")</f>
        <v>11/30/2012</v>
      </c>
      <c r="H5644" s="6" t="str">
        <f>IFERROR(__xludf.DUMMYFUNCTION("""COMPUTED_VALUE"""),"female")</f>
        <v>female</v>
      </c>
      <c r="I5644" s="6" t="str">
        <f>IFERROR(__xludf.DUMMYFUNCTION("""COMPUTED_VALUE"""),"Middle School")</f>
        <v>Middle School</v>
      </c>
      <c r="J5644" s="6" t="str">
        <f>IFERROR(__xludf.DUMMYFUNCTION("""COMPUTED_VALUE"""),"7")</f>
        <v>7</v>
      </c>
      <c r="K5644" s="6" t="str">
        <f>IFERROR(__xludf.DUMMYFUNCTION("""COMPUTED_VALUE"""),"audrey.guevara@2hourlearning.com")</f>
        <v>audrey.guevara@2hourlearning.com</v>
      </c>
      <c r="L5644" s="6" t="str">
        <f>IFERROR(__xludf.DUMMYFUNCTION("""COMPUTED_VALUE"""),"JRHS - Ridgeland Secondary Academy of Excellence")</f>
        <v>JRHS - Ridgeland Secondary Academy of Excellence</v>
      </c>
      <c r="M5644" s="6" t="str">
        <f>IFERROR(__xludf.DUMMYFUNCTION("""COMPUTED_VALUE"""),"")</f>
        <v/>
      </c>
      <c r="N5644" s="6" t="str">
        <f>IFERROR(__xludf.DUMMYFUNCTION("""COMPUTED_VALUE"""),"")</f>
        <v/>
      </c>
      <c r="O5644" s="87" t="str">
        <f>IFERROR(__xludf.DUMMYFUNCTION("""COMPUTED_VALUE"""),"https://drive.google.com/drive/folders/10T2cTQHqEJZqE-st6uFKPoI?usp=share_link")</f>
        <v>https://drive.google.com/drive/folders/10T2cTQHqEJZqE-st6uFKPoI?usp=share_link</v>
      </c>
      <c r="P5644" s="6" t="str">
        <f>IFERROR(__xludf.DUMMYFUNCTION("""COMPUTED_VALUE"""),"Audrey Guevara")</f>
        <v>Audrey Guevara</v>
      </c>
      <c r="Q5644" s="6" t="str">
        <f>IFERROR(__xludf.DUMMYFUNCTION("""COMPUTED_VALUE"""),"MS")</f>
        <v>MS</v>
      </c>
      <c r="R5644" s="6">
        <f>IFERROR(__xludf.DUMMYFUNCTION("""COMPUTED_VALUE"""),0.0)</f>
        <v>0</v>
      </c>
      <c r="S5644" s="6" t="str">
        <f>IFERROR(__xludf.DUMMYFUNCTION("""COMPUTED_VALUE"""),"Kimberly Ball")</f>
        <v>Kimberly Ball</v>
      </c>
      <c r="T5644" s="6" t="str">
        <f>IFERROR(__xludf.DUMMYFUNCTION("""COMPUTED_VALUE"""),"kimberly.ball@studient.com")</f>
        <v>kimberly.ball@studient.com</v>
      </c>
      <c r="U5644" s="6" t="str">
        <f>IFERROR(__xludf.DUMMYFUNCTION("""COMPUTED_VALUE"""),"7")</f>
        <v>7</v>
      </c>
      <c r="V5644" s="6" t="str">
        <f>IFERROR(__xludf.DUMMYFUNCTION("""COMPUTED_VALUE"""),"")</f>
        <v/>
      </c>
      <c r="W5644" s="6" t="str">
        <f>IFERROR(__xludf.DUMMYFUNCTION("""COMPUTED_VALUE"""),"[]")</f>
        <v>[]</v>
      </c>
      <c r="X5644" s="6" t="str">
        <f>IFERROR(__xludf.DUMMYFUNCTION("""COMPUTED_VALUE"""),"Enrolled")</f>
        <v>Enrolled</v>
      </c>
    </row>
    <row r="5645">
      <c r="A5645" s="6" t="str">
        <f>IFERROR(__xludf.DUMMYFUNCTION("""COMPUTED_VALUE"""),"087-12242")</f>
        <v>087-12242</v>
      </c>
      <c r="B5645" s="6" t="str">
        <f>IFERROR(__xludf.DUMMYFUNCTION("""COMPUTED_VALUE"""),"87")</f>
        <v>87</v>
      </c>
      <c r="C5645" s="6" t="str">
        <f>IFERROR(__xludf.DUMMYFUNCTION("""COMPUTED_VALUE"""),"12242")</f>
        <v>12242</v>
      </c>
      <c r="D5645" s="6" t="str">
        <f>IFERROR(__xludf.DUMMYFUNCTION("""COMPUTED_VALUE"""),"Ulises")</f>
        <v>Ulises</v>
      </c>
      <c r="E5645" s="6" t="str">
        <f>IFERROR(__xludf.DUMMYFUNCTION("""COMPUTED_VALUE"""),"")</f>
        <v/>
      </c>
      <c r="F5645" s="6" t="str">
        <f>IFERROR(__xludf.DUMMYFUNCTION("""COMPUTED_VALUE"""),"Guevara Garcia")</f>
        <v>Guevara Garcia</v>
      </c>
      <c r="G5645" s="6" t="str">
        <f>IFERROR(__xludf.DUMMYFUNCTION("""COMPUTED_VALUE"""),"03/04/2014")</f>
        <v>03/04/2014</v>
      </c>
      <c r="H5645" s="6" t="str">
        <f>IFERROR(__xludf.DUMMYFUNCTION("""COMPUTED_VALUE"""),"male")</f>
        <v>male</v>
      </c>
      <c r="I5645" s="6" t="str">
        <f>IFERROR(__xludf.DUMMYFUNCTION("""COMPUTED_VALUE"""),"Middle School")</f>
        <v>Middle School</v>
      </c>
      <c r="J5645" s="6" t="str">
        <f>IFERROR(__xludf.DUMMYFUNCTION("""COMPUTED_VALUE"""),"6")</f>
        <v>6</v>
      </c>
      <c r="K5645" s="6" t="str">
        <f>IFERROR(__xludf.DUMMYFUNCTION("""COMPUTED_VALUE"""),"ulises.guevaragarcia@2hourlearning.com")</f>
        <v>ulises.guevaragarcia@2hourlearning.com</v>
      </c>
      <c r="L5645" s="6" t="str">
        <f>IFERROR(__xludf.DUMMYFUNCTION("""COMPUTED_VALUE"""),"JRHS - Ridgeland Secondary Academy of Excellence")</f>
        <v>JRHS - Ridgeland Secondary Academy of Excellence</v>
      </c>
      <c r="M5645" s="6" t="str">
        <f>IFERROR(__xludf.DUMMYFUNCTION("""COMPUTED_VALUE"""),"")</f>
        <v/>
      </c>
      <c r="N5645" s="6" t="str">
        <f>IFERROR(__xludf.DUMMYFUNCTION("""COMPUTED_VALUE"""),"")</f>
        <v/>
      </c>
      <c r="O5645" s="87" t="str">
        <f>IFERROR(__xludf.DUMMYFUNCTION("""COMPUTED_VALUE"""),"https://drive.google.com/drive/folders/10T2cTQHqEJZqE-st6uFKPoI?usp=share_link")</f>
        <v>https://drive.google.com/drive/folders/10T2cTQHqEJZqE-st6uFKPoI?usp=share_link</v>
      </c>
      <c r="P5645" s="6" t="str">
        <f>IFERROR(__xludf.DUMMYFUNCTION("""COMPUTED_VALUE"""),"Ulises Guevara Garcia")</f>
        <v>Ulises Guevara Garcia</v>
      </c>
      <c r="Q5645" s="6" t="str">
        <f>IFERROR(__xludf.DUMMYFUNCTION("""COMPUTED_VALUE"""),"MS")</f>
        <v>MS</v>
      </c>
      <c r="R5645" s="6">
        <f>IFERROR(__xludf.DUMMYFUNCTION("""COMPUTED_VALUE"""),0.0)</f>
        <v>0</v>
      </c>
      <c r="S5645" s="6" t="str">
        <f>IFERROR(__xludf.DUMMYFUNCTION("""COMPUTED_VALUE"""),"Kimberly Ball")</f>
        <v>Kimberly Ball</v>
      </c>
      <c r="T5645" s="6" t="str">
        <f>IFERROR(__xludf.DUMMYFUNCTION("""COMPUTED_VALUE"""),"kimberly.ball@studient.com")</f>
        <v>kimberly.ball@studient.com</v>
      </c>
      <c r="U5645" s="6" t="str">
        <f>IFERROR(__xludf.DUMMYFUNCTION("""COMPUTED_VALUE"""),"6")</f>
        <v>6</v>
      </c>
      <c r="V5645" s="6" t="str">
        <f>IFERROR(__xludf.DUMMYFUNCTION("""COMPUTED_VALUE"""),"")</f>
        <v/>
      </c>
      <c r="W5645" s="6" t="str">
        <f>IFERROR(__xludf.DUMMYFUNCTION("""COMPUTED_VALUE"""),"[]")</f>
        <v>[]</v>
      </c>
      <c r="X5645" s="6" t="str">
        <f>IFERROR(__xludf.DUMMYFUNCTION("""COMPUTED_VALUE"""),"Enrolled")</f>
        <v>Enrolled</v>
      </c>
    </row>
    <row r="5646">
      <c r="A5646" s="6" t="str">
        <f>IFERROR(__xludf.DUMMYFUNCTION("""COMPUTED_VALUE"""),"087-12243")</f>
        <v>087-12243</v>
      </c>
      <c r="B5646" s="6" t="str">
        <f>IFERROR(__xludf.DUMMYFUNCTION("""COMPUTED_VALUE"""),"87")</f>
        <v>87</v>
      </c>
      <c r="C5646" s="6" t="str">
        <f>IFERROR(__xludf.DUMMYFUNCTION("""COMPUTED_VALUE"""),"12243")</f>
        <v>12243</v>
      </c>
      <c r="D5646" s="6" t="str">
        <f>IFERROR(__xludf.DUMMYFUNCTION("""COMPUTED_VALUE"""),"Viviana")</f>
        <v>Viviana</v>
      </c>
      <c r="E5646" s="6" t="str">
        <f>IFERROR(__xludf.DUMMYFUNCTION("""COMPUTED_VALUE"""),"")</f>
        <v/>
      </c>
      <c r="F5646" s="6" t="str">
        <f>IFERROR(__xludf.DUMMYFUNCTION("""COMPUTED_VALUE"""),"Gutierrez")</f>
        <v>Gutierrez</v>
      </c>
      <c r="G5646" s="6" t="str">
        <f>IFERROR(__xludf.DUMMYFUNCTION("""COMPUTED_VALUE"""),"02/21/2013")</f>
        <v>02/21/2013</v>
      </c>
      <c r="H5646" s="6" t="str">
        <f>IFERROR(__xludf.DUMMYFUNCTION("""COMPUTED_VALUE"""),"female")</f>
        <v>female</v>
      </c>
      <c r="I5646" s="6" t="str">
        <f>IFERROR(__xludf.DUMMYFUNCTION("""COMPUTED_VALUE"""),"Middle School")</f>
        <v>Middle School</v>
      </c>
      <c r="J5646" s="6" t="str">
        <f>IFERROR(__xludf.DUMMYFUNCTION("""COMPUTED_VALUE"""),"7")</f>
        <v>7</v>
      </c>
      <c r="K5646" s="6" t="str">
        <f>IFERROR(__xludf.DUMMYFUNCTION("""COMPUTED_VALUE"""),"viviana.gutierrez@2hourlearning.com")</f>
        <v>viviana.gutierrez@2hourlearning.com</v>
      </c>
      <c r="L5646" s="6" t="str">
        <f>IFERROR(__xludf.DUMMYFUNCTION("""COMPUTED_VALUE"""),"JRHS - Ridgeland Secondary Academy of Excellence")</f>
        <v>JRHS - Ridgeland Secondary Academy of Excellence</v>
      </c>
      <c r="M5646" s="6" t="str">
        <f>IFERROR(__xludf.DUMMYFUNCTION("""COMPUTED_VALUE"""),"")</f>
        <v/>
      </c>
      <c r="N5646" s="6" t="str">
        <f>IFERROR(__xludf.DUMMYFUNCTION("""COMPUTED_VALUE"""),"")</f>
        <v/>
      </c>
      <c r="O5646" s="87" t="str">
        <f>IFERROR(__xludf.DUMMYFUNCTION("""COMPUTED_VALUE"""),"https://drive.google.com/drive/folders/10T2cTQHqEJZqE-st6uFKPoI?usp=share_link")</f>
        <v>https://drive.google.com/drive/folders/10T2cTQHqEJZqE-st6uFKPoI?usp=share_link</v>
      </c>
      <c r="P5646" s="6" t="str">
        <f>IFERROR(__xludf.DUMMYFUNCTION("""COMPUTED_VALUE"""),"Viviana Gutierrez")</f>
        <v>Viviana Gutierrez</v>
      </c>
      <c r="Q5646" s="6" t="str">
        <f>IFERROR(__xludf.DUMMYFUNCTION("""COMPUTED_VALUE"""),"MS")</f>
        <v>MS</v>
      </c>
      <c r="R5646" s="6">
        <f>IFERROR(__xludf.DUMMYFUNCTION("""COMPUTED_VALUE"""),0.0)</f>
        <v>0</v>
      </c>
      <c r="S5646" s="6" t="str">
        <f>IFERROR(__xludf.DUMMYFUNCTION("""COMPUTED_VALUE"""),"Kimberly Ball")</f>
        <v>Kimberly Ball</v>
      </c>
      <c r="T5646" s="6" t="str">
        <f>IFERROR(__xludf.DUMMYFUNCTION("""COMPUTED_VALUE"""),"kimberly.ball@studient.com")</f>
        <v>kimberly.ball@studient.com</v>
      </c>
      <c r="U5646" s="6" t="str">
        <f>IFERROR(__xludf.DUMMYFUNCTION("""COMPUTED_VALUE"""),"7")</f>
        <v>7</v>
      </c>
      <c r="V5646" s="6" t="str">
        <f>IFERROR(__xludf.DUMMYFUNCTION("""COMPUTED_VALUE"""),"")</f>
        <v/>
      </c>
      <c r="W5646" s="6" t="str">
        <f>IFERROR(__xludf.DUMMYFUNCTION("""COMPUTED_VALUE"""),"[]")</f>
        <v>[]</v>
      </c>
      <c r="X5646" s="6" t="str">
        <f>IFERROR(__xludf.DUMMYFUNCTION("""COMPUTED_VALUE"""),"Enrolled")</f>
        <v>Enrolled</v>
      </c>
    </row>
    <row r="5647">
      <c r="A5647" s="6" t="str">
        <f>IFERROR(__xludf.DUMMYFUNCTION("""COMPUTED_VALUE"""),"087-12244")</f>
        <v>087-12244</v>
      </c>
      <c r="B5647" s="6" t="str">
        <f>IFERROR(__xludf.DUMMYFUNCTION("""COMPUTED_VALUE"""),"87")</f>
        <v>87</v>
      </c>
      <c r="C5647" s="6" t="str">
        <f>IFERROR(__xludf.DUMMYFUNCTION("""COMPUTED_VALUE"""),"12244")</f>
        <v>12244</v>
      </c>
      <c r="D5647" s="6" t="str">
        <f>IFERROR(__xludf.DUMMYFUNCTION("""COMPUTED_VALUE"""),"Tania")</f>
        <v>Tania</v>
      </c>
      <c r="E5647" s="6" t="str">
        <f>IFERROR(__xludf.DUMMYFUNCTION("""COMPUTED_VALUE"""),"")</f>
        <v/>
      </c>
      <c r="F5647" s="6" t="str">
        <f>IFERROR(__xludf.DUMMYFUNCTION("""COMPUTED_VALUE"""),"Gutierrez Perez")</f>
        <v>Gutierrez Perez</v>
      </c>
      <c r="G5647" s="6" t="str">
        <f>IFERROR(__xludf.DUMMYFUNCTION("""COMPUTED_VALUE"""),"08/23/2014")</f>
        <v>08/23/2014</v>
      </c>
      <c r="H5647" s="6" t="str">
        <f>IFERROR(__xludf.DUMMYFUNCTION("""COMPUTED_VALUE"""),"female")</f>
        <v>female</v>
      </c>
      <c r="I5647" s="6" t="str">
        <f>IFERROR(__xludf.DUMMYFUNCTION("""COMPUTED_VALUE"""),"Middle School")</f>
        <v>Middle School</v>
      </c>
      <c r="J5647" s="6" t="str">
        <f>IFERROR(__xludf.DUMMYFUNCTION("""COMPUTED_VALUE"""),"6")</f>
        <v>6</v>
      </c>
      <c r="K5647" s="6" t="str">
        <f>IFERROR(__xludf.DUMMYFUNCTION("""COMPUTED_VALUE"""),"tania.gutierrezperez@2hourlearning.com")</f>
        <v>tania.gutierrezperez@2hourlearning.com</v>
      </c>
      <c r="L5647" s="6" t="str">
        <f>IFERROR(__xludf.DUMMYFUNCTION("""COMPUTED_VALUE"""),"JRHS - Ridgeland Secondary Academy of Excellence")</f>
        <v>JRHS - Ridgeland Secondary Academy of Excellence</v>
      </c>
      <c r="M5647" s="6" t="str">
        <f>IFERROR(__xludf.DUMMYFUNCTION("""COMPUTED_VALUE"""),"")</f>
        <v/>
      </c>
      <c r="N5647" s="6" t="str">
        <f>IFERROR(__xludf.DUMMYFUNCTION("""COMPUTED_VALUE"""),"")</f>
        <v/>
      </c>
      <c r="O5647" s="87" t="str">
        <f>IFERROR(__xludf.DUMMYFUNCTION("""COMPUTED_VALUE"""),"https://drive.google.com/drive/folders/10T2cTQHqEJZqE-st6uFKPoI?usp=share_link")</f>
        <v>https://drive.google.com/drive/folders/10T2cTQHqEJZqE-st6uFKPoI?usp=share_link</v>
      </c>
      <c r="P5647" s="6" t="str">
        <f>IFERROR(__xludf.DUMMYFUNCTION("""COMPUTED_VALUE"""),"Tania Gutierrez Perez")</f>
        <v>Tania Gutierrez Perez</v>
      </c>
      <c r="Q5647" s="6" t="str">
        <f>IFERROR(__xludf.DUMMYFUNCTION("""COMPUTED_VALUE"""),"MS")</f>
        <v>MS</v>
      </c>
      <c r="R5647" s="6">
        <f>IFERROR(__xludf.DUMMYFUNCTION("""COMPUTED_VALUE"""),0.0)</f>
        <v>0</v>
      </c>
      <c r="S5647" s="6" t="str">
        <f>IFERROR(__xludf.DUMMYFUNCTION("""COMPUTED_VALUE"""),"Kimberly Ball")</f>
        <v>Kimberly Ball</v>
      </c>
      <c r="T5647" s="6" t="str">
        <f>IFERROR(__xludf.DUMMYFUNCTION("""COMPUTED_VALUE"""),"kimberly.ball@studient.com")</f>
        <v>kimberly.ball@studient.com</v>
      </c>
      <c r="U5647" s="6" t="str">
        <f>IFERROR(__xludf.DUMMYFUNCTION("""COMPUTED_VALUE"""),"6")</f>
        <v>6</v>
      </c>
      <c r="V5647" s="6" t="str">
        <f>IFERROR(__xludf.DUMMYFUNCTION("""COMPUTED_VALUE"""),"")</f>
        <v/>
      </c>
      <c r="W5647" s="6" t="str">
        <f>IFERROR(__xludf.DUMMYFUNCTION("""COMPUTED_VALUE"""),"[]")</f>
        <v>[]</v>
      </c>
      <c r="X5647" s="6" t="str">
        <f>IFERROR(__xludf.DUMMYFUNCTION("""COMPUTED_VALUE"""),"Enrolled")</f>
        <v>Enrolled</v>
      </c>
    </row>
    <row r="5648">
      <c r="A5648" s="6" t="str">
        <f>IFERROR(__xludf.DUMMYFUNCTION("""COMPUTED_VALUE"""),"087-12245")</f>
        <v>087-12245</v>
      </c>
      <c r="B5648" s="6" t="str">
        <f>IFERROR(__xludf.DUMMYFUNCTION("""COMPUTED_VALUE"""),"87")</f>
        <v>87</v>
      </c>
      <c r="C5648" s="6" t="str">
        <f>IFERROR(__xludf.DUMMYFUNCTION("""COMPUTED_VALUE"""),"12245")</f>
        <v>12245</v>
      </c>
      <c r="D5648" s="6" t="str">
        <f>IFERROR(__xludf.DUMMYFUNCTION("""COMPUTED_VALUE"""),"Aubreona")</f>
        <v>Aubreona</v>
      </c>
      <c r="E5648" s="6" t="str">
        <f>IFERROR(__xludf.DUMMYFUNCTION("""COMPUTED_VALUE"""),"")</f>
        <v/>
      </c>
      <c r="F5648" s="6" t="str">
        <f>IFERROR(__xludf.DUMMYFUNCTION("""COMPUTED_VALUE"""),"Hamilton")</f>
        <v>Hamilton</v>
      </c>
      <c r="G5648" s="6" t="str">
        <f>IFERROR(__xludf.DUMMYFUNCTION("""COMPUTED_VALUE"""),"10/27/2013")</f>
        <v>10/27/2013</v>
      </c>
      <c r="H5648" s="6" t="str">
        <f>IFERROR(__xludf.DUMMYFUNCTION("""COMPUTED_VALUE"""),"female")</f>
        <v>female</v>
      </c>
      <c r="I5648" s="6" t="str">
        <f>IFERROR(__xludf.DUMMYFUNCTION("""COMPUTED_VALUE"""),"Middle School")</f>
        <v>Middle School</v>
      </c>
      <c r="J5648" s="6" t="str">
        <f>IFERROR(__xludf.DUMMYFUNCTION("""COMPUTED_VALUE"""),"6")</f>
        <v>6</v>
      </c>
      <c r="K5648" s="6" t="str">
        <f>IFERROR(__xludf.DUMMYFUNCTION("""COMPUTED_VALUE"""),"aubreona.hamilton@2hourlearning.com")</f>
        <v>aubreona.hamilton@2hourlearning.com</v>
      </c>
      <c r="L5648" s="6" t="str">
        <f>IFERROR(__xludf.DUMMYFUNCTION("""COMPUTED_VALUE"""),"JRHS - Ridgeland Secondary Academy of Excellence")</f>
        <v>JRHS - Ridgeland Secondary Academy of Excellence</v>
      </c>
      <c r="M5648" s="6" t="str">
        <f>IFERROR(__xludf.DUMMYFUNCTION("""COMPUTED_VALUE"""),"")</f>
        <v/>
      </c>
      <c r="N5648" s="6" t="str">
        <f>IFERROR(__xludf.DUMMYFUNCTION("""COMPUTED_VALUE"""),"")</f>
        <v/>
      </c>
      <c r="O5648" s="87" t="str">
        <f>IFERROR(__xludf.DUMMYFUNCTION("""COMPUTED_VALUE"""),"https://drive.google.com/drive/folders/10T2cTQHqEJZqE-st6uFKPoI?usp=share_link")</f>
        <v>https://drive.google.com/drive/folders/10T2cTQHqEJZqE-st6uFKPoI?usp=share_link</v>
      </c>
      <c r="P5648" s="6" t="str">
        <f>IFERROR(__xludf.DUMMYFUNCTION("""COMPUTED_VALUE"""),"Aubreona Hamilton")</f>
        <v>Aubreona Hamilton</v>
      </c>
      <c r="Q5648" s="6" t="str">
        <f>IFERROR(__xludf.DUMMYFUNCTION("""COMPUTED_VALUE"""),"MS")</f>
        <v>MS</v>
      </c>
      <c r="R5648" s="6">
        <f>IFERROR(__xludf.DUMMYFUNCTION("""COMPUTED_VALUE"""),0.0)</f>
        <v>0</v>
      </c>
      <c r="S5648" s="6" t="str">
        <f>IFERROR(__xludf.DUMMYFUNCTION("""COMPUTED_VALUE"""),"Kimberly Ball")</f>
        <v>Kimberly Ball</v>
      </c>
      <c r="T5648" s="6" t="str">
        <f>IFERROR(__xludf.DUMMYFUNCTION("""COMPUTED_VALUE"""),"kimberly.ball@studient.com")</f>
        <v>kimberly.ball@studient.com</v>
      </c>
      <c r="U5648" s="6" t="str">
        <f>IFERROR(__xludf.DUMMYFUNCTION("""COMPUTED_VALUE"""),"6")</f>
        <v>6</v>
      </c>
      <c r="V5648" s="6" t="str">
        <f>IFERROR(__xludf.DUMMYFUNCTION("""COMPUTED_VALUE"""),"")</f>
        <v/>
      </c>
      <c r="W5648" s="6" t="str">
        <f>IFERROR(__xludf.DUMMYFUNCTION("""COMPUTED_VALUE"""),"[]")</f>
        <v>[]</v>
      </c>
      <c r="X5648" s="6" t="str">
        <f>IFERROR(__xludf.DUMMYFUNCTION("""COMPUTED_VALUE"""),"Enrolled")</f>
        <v>Enrolled</v>
      </c>
    </row>
    <row r="5649">
      <c r="A5649" s="6" t="str">
        <f>IFERROR(__xludf.DUMMYFUNCTION("""COMPUTED_VALUE"""),"087-12246")</f>
        <v>087-12246</v>
      </c>
      <c r="B5649" s="6" t="str">
        <f>IFERROR(__xludf.DUMMYFUNCTION("""COMPUTED_VALUE"""),"87")</f>
        <v>87</v>
      </c>
      <c r="C5649" s="6" t="str">
        <f>IFERROR(__xludf.DUMMYFUNCTION("""COMPUTED_VALUE"""),"12246")</f>
        <v>12246</v>
      </c>
      <c r="D5649" s="6" t="str">
        <f>IFERROR(__xludf.DUMMYFUNCTION("""COMPUTED_VALUE"""),"Dustin")</f>
        <v>Dustin</v>
      </c>
      <c r="E5649" s="6" t="str">
        <f>IFERROR(__xludf.DUMMYFUNCTION("""COMPUTED_VALUE"""),"")</f>
        <v/>
      </c>
      <c r="F5649" s="6" t="str">
        <f>IFERROR(__xludf.DUMMYFUNCTION("""COMPUTED_VALUE"""),"Hamilton")</f>
        <v>Hamilton</v>
      </c>
      <c r="G5649" s="6" t="str">
        <f>IFERROR(__xludf.DUMMYFUNCTION("""COMPUTED_VALUE"""),"08/20/2012")</f>
        <v>08/20/2012</v>
      </c>
      <c r="H5649" s="6" t="str">
        <f>IFERROR(__xludf.DUMMYFUNCTION("""COMPUTED_VALUE"""),"male")</f>
        <v>male</v>
      </c>
      <c r="I5649" s="6" t="str">
        <f>IFERROR(__xludf.DUMMYFUNCTION("""COMPUTED_VALUE"""),"Middle School")</f>
        <v>Middle School</v>
      </c>
      <c r="J5649" s="6" t="str">
        <f>IFERROR(__xludf.DUMMYFUNCTION("""COMPUTED_VALUE"""),"8")</f>
        <v>8</v>
      </c>
      <c r="K5649" s="6" t="str">
        <f>IFERROR(__xludf.DUMMYFUNCTION("""COMPUTED_VALUE"""),"dustin.hamilton@2hourlearning.com")</f>
        <v>dustin.hamilton@2hourlearning.com</v>
      </c>
      <c r="L5649" s="6" t="str">
        <f>IFERROR(__xludf.DUMMYFUNCTION("""COMPUTED_VALUE"""),"JRHS - Ridgeland Secondary Academy of Excellence")</f>
        <v>JRHS - Ridgeland Secondary Academy of Excellence</v>
      </c>
      <c r="M5649" s="6" t="str">
        <f>IFERROR(__xludf.DUMMYFUNCTION("""COMPUTED_VALUE"""),"")</f>
        <v/>
      </c>
      <c r="N5649" s="6" t="str">
        <f>IFERROR(__xludf.DUMMYFUNCTION("""COMPUTED_VALUE"""),"")</f>
        <v/>
      </c>
      <c r="O5649" s="87" t="str">
        <f>IFERROR(__xludf.DUMMYFUNCTION("""COMPUTED_VALUE"""),"https://drive.google.com/drive/folders/10T2cTQHqEJZqE-st6uFKPoI?usp=share_link")</f>
        <v>https://drive.google.com/drive/folders/10T2cTQHqEJZqE-st6uFKPoI?usp=share_link</v>
      </c>
      <c r="P5649" s="6" t="str">
        <f>IFERROR(__xludf.DUMMYFUNCTION("""COMPUTED_VALUE"""),"Dustin Hamilton")</f>
        <v>Dustin Hamilton</v>
      </c>
      <c r="Q5649" s="6" t="str">
        <f>IFERROR(__xludf.DUMMYFUNCTION("""COMPUTED_VALUE"""),"MS")</f>
        <v>MS</v>
      </c>
      <c r="R5649" s="6">
        <f>IFERROR(__xludf.DUMMYFUNCTION("""COMPUTED_VALUE"""),0.0)</f>
        <v>0</v>
      </c>
      <c r="S5649" s="6" t="str">
        <f>IFERROR(__xludf.DUMMYFUNCTION("""COMPUTED_VALUE"""),"Kimberly Ball")</f>
        <v>Kimberly Ball</v>
      </c>
      <c r="T5649" s="6" t="str">
        <f>IFERROR(__xludf.DUMMYFUNCTION("""COMPUTED_VALUE"""),"kimberly.ball@studient.com")</f>
        <v>kimberly.ball@studient.com</v>
      </c>
      <c r="U5649" s="6" t="str">
        <f>IFERROR(__xludf.DUMMYFUNCTION("""COMPUTED_VALUE"""),"8")</f>
        <v>8</v>
      </c>
      <c r="V5649" s="6" t="str">
        <f>IFERROR(__xludf.DUMMYFUNCTION("""COMPUTED_VALUE"""),"")</f>
        <v/>
      </c>
      <c r="W5649" s="6" t="str">
        <f>IFERROR(__xludf.DUMMYFUNCTION("""COMPUTED_VALUE"""),"[]")</f>
        <v>[]</v>
      </c>
      <c r="X5649" s="6" t="str">
        <f>IFERROR(__xludf.DUMMYFUNCTION("""COMPUTED_VALUE"""),"Enrolled")</f>
        <v>Enrolled</v>
      </c>
    </row>
    <row r="5650">
      <c r="A5650" s="6" t="str">
        <f>IFERROR(__xludf.DUMMYFUNCTION("""COMPUTED_VALUE"""),"087-12247")</f>
        <v>087-12247</v>
      </c>
      <c r="B5650" s="6" t="str">
        <f>IFERROR(__xludf.DUMMYFUNCTION("""COMPUTED_VALUE"""),"87")</f>
        <v>87</v>
      </c>
      <c r="C5650" s="6" t="str">
        <f>IFERROR(__xludf.DUMMYFUNCTION("""COMPUTED_VALUE"""),"12247")</f>
        <v>12247</v>
      </c>
      <c r="D5650" s="6" t="str">
        <f>IFERROR(__xludf.DUMMYFUNCTION("""COMPUTED_VALUE"""),"Ebony")</f>
        <v>Ebony</v>
      </c>
      <c r="E5650" s="6" t="str">
        <f>IFERROR(__xludf.DUMMYFUNCTION("""COMPUTED_VALUE"""),"")</f>
        <v/>
      </c>
      <c r="F5650" s="6" t="str">
        <f>IFERROR(__xludf.DUMMYFUNCTION("""COMPUTED_VALUE"""),"Hamilton")</f>
        <v>Hamilton</v>
      </c>
      <c r="G5650" s="6" t="str">
        <f>IFERROR(__xludf.DUMMYFUNCTION("""COMPUTED_VALUE"""),"10/30/2012")</f>
        <v>10/30/2012</v>
      </c>
      <c r="H5650" s="6" t="str">
        <f>IFERROR(__xludf.DUMMYFUNCTION("""COMPUTED_VALUE"""),"female")</f>
        <v>female</v>
      </c>
      <c r="I5650" s="6" t="str">
        <f>IFERROR(__xludf.DUMMYFUNCTION("""COMPUTED_VALUE"""),"Middle School")</f>
        <v>Middle School</v>
      </c>
      <c r="J5650" s="6" t="str">
        <f>IFERROR(__xludf.DUMMYFUNCTION("""COMPUTED_VALUE"""),"6")</f>
        <v>6</v>
      </c>
      <c r="K5650" s="6" t="str">
        <f>IFERROR(__xludf.DUMMYFUNCTION("""COMPUTED_VALUE"""),"ebony.hamilton@2hourlearning.com")</f>
        <v>ebony.hamilton@2hourlearning.com</v>
      </c>
      <c r="L5650" s="6" t="str">
        <f>IFERROR(__xludf.DUMMYFUNCTION("""COMPUTED_VALUE"""),"JRHS - Ridgeland Secondary Academy of Excellence")</f>
        <v>JRHS - Ridgeland Secondary Academy of Excellence</v>
      </c>
      <c r="M5650" s="6" t="str">
        <f>IFERROR(__xludf.DUMMYFUNCTION("""COMPUTED_VALUE"""),"")</f>
        <v/>
      </c>
      <c r="N5650" s="6" t="str">
        <f>IFERROR(__xludf.DUMMYFUNCTION("""COMPUTED_VALUE"""),"")</f>
        <v/>
      </c>
      <c r="O5650" s="87" t="str">
        <f>IFERROR(__xludf.DUMMYFUNCTION("""COMPUTED_VALUE"""),"https://drive.google.com/drive/folders/10T2cTQHqEJZqE-st6uFKPoI?usp=share_link")</f>
        <v>https://drive.google.com/drive/folders/10T2cTQHqEJZqE-st6uFKPoI?usp=share_link</v>
      </c>
      <c r="P5650" s="6" t="str">
        <f>IFERROR(__xludf.DUMMYFUNCTION("""COMPUTED_VALUE"""),"Ebony Hamilton")</f>
        <v>Ebony Hamilton</v>
      </c>
      <c r="Q5650" s="6" t="str">
        <f>IFERROR(__xludf.DUMMYFUNCTION("""COMPUTED_VALUE"""),"MS")</f>
        <v>MS</v>
      </c>
      <c r="R5650" s="6">
        <f>IFERROR(__xludf.DUMMYFUNCTION("""COMPUTED_VALUE"""),0.0)</f>
        <v>0</v>
      </c>
      <c r="S5650" s="6" t="str">
        <f>IFERROR(__xludf.DUMMYFUNCTION("""COMPUTED_VALUE"""),"Kimberly Ball")</f>
        <v>Kimberly Ball</v>
      </c>
      <c r="T5650" s="6" t="str">
        <f>IFERROR(__xludf.DUMMYFUNCTION("""COMPUTED_VALUE"""),"kimberly.ball@studient.com")</f>
        <v>kimberly.ball@studient.com</v>
      </c>
      <c r="U5650" s="6" t="str">
        <f>IFERROR(__xludf.DUMMYFUNCTION("""COMPUTED_VALUE"""),"6")</f>
        <v>6</v>
      </c>
      <c r="V5650" s="6" t="str">
        <f>IFERROR(__xludf.DUMMYFUNCTION("""COMPUTED_VALUE"""),"")</f>
        <v/>
      </c>
      <c r="W5650" s="6" t="str">
        <f>IFERROR(__xludf.DUMMYFUNCTION("""COMPUTED_VALUE"""),"[]")</f>
        <v>[]</v>
      </c>
      <c r="X5650" s="6" t="str">
        <f>IFERROR(__xludf.DUMMYFUNCTION("""COMPUTED_VALUE"""),"Enrolled")</f>
        <v>Enrolled</v>
      </c>
    </row>
    <row r="5651">
      <c r="A5651" s="6" t="str">
        <f>IFERROR(__xludf.DUMMYFUNCTION("""COMPUTED_VALUE"""),"087-12248")</f>
        <v>087-12248</v>
      </c>
      <c r="B5651" s="6" t="str">
        <f>IFERROR(__xludf.DUMMYFUNCTION("""COMPUTED_VALUE"""),"87")</f>
        <v>87</v>
      </c>
      <c r="C5651" s="6" t="str">
        <f>IFERROR(__xludf.DUMMYFUNCTION("""COMPUTED_VALUE"""),"12248")</f>
        <v>12248</v>
      </c>
      <c r="D5651" s="6" t="str">
        <f>IFERROR(__xludf.DUMMYFUNCTION("""COMPUTED_VALUE"""),"Malachi")</f>
        <v>Malachi</v>
      </c>
      <c r="E5651" s="6" t="str">
        <f>IFERROR(__xludf.DUMMYFUNCTION("""COMPUTED_VALUE"""),"")</f>
        <v/>
      </c>
      <c r="F5651" s="6" t="str">
        <f>IFERROR(__xludf.DUMMYFUNCTION("""COMPUTED_VALUE"""),"Hamilton")</f>
        <v>Hamilton</v>
      </c>
      <c r="G5651" s="6" t="str">
        <f>IFERROR(__xludf.DUMMYFUNCTION("""COMPUTED_VALUE"""),"11/07/2011")</f>
        <v>11/07/2011</v>
      </c>
      <c r="H5651" s="6" t="str">
        <f>IFERROR(__xludf.DUMMYFUNCTION("""COMPUTED_VALUE"""),"male")</f>
        <v>male</v>
      </c>
      <c r="I5651" s="6" t="str">
        <f>IFERROR(__xludf.DUMMYFUNCTION("""COMPUTED_VALUE"""),"Middle School")</f>
        <v>Middle School</v>
      </c>
      <c r="J5651" s="6" t="str">
        <f>IFERROR(__xludf.DUMMYFUNCTION("""COMPUTED_VALUE"""),"7")</f>
        <v>7</v>
      </c>
      <c r="K5651" s="6" t="str">
        <f>IFERROR(__xludf.DUMMYFUNCTION("""COMPUTED_VALUE"""),"malachi.hamilton@2hourlearning.com")</f>
        <v>malachi.hamilton@2hourlearning.com</v>
      </c>
      <c r="L5651" s="6" t="str">
        <f>IFERROR(__xludf.DUMMYFUNCTION("""COMPUTED_VALUE"""),"JRHS - Ridgeland Secondary Academy of Excellence")</f>
        <v>JRHS - Ridgeland Secondary Academy of Excellence</v>
      </c>
      <c r="M5651" s="6" t="str">
        <f>IFERROR(__xludf.DUMMYFUNCTION("""COMPUTED_VALUE"""),"")</f>
        <v/>
      </c>
      <c r="N5651" s="6" t="str">
        <f>IFERROR(__xludf.DUMMYFUNCTION("""COMPUTED_VALUE"""),"")</f>
        <v/>
      </c>
      <c r="O5651" s="87" t="str">
        <f>IFERROR(__xludf.DUMMYFUNCTION("""COMPUTED_VALUE"""),"https://drive.google.com/drive/folders/10T2cTQHqEJZqE-st6uFKPoI?usp=share_link")</f>
        <v>https://drive.google.com/drive/folders/10T2cTQHqEJZqE-st6uFKPoI?usp=share_link</v>
      </c>
      <c r="P5651" s="6" t="str">
        <f>IFERROR(__xludf.DUMMYFUNCTION("""COMPUTED_VALUE"""),"Malachi Hamilton")</f>
        <v>Malachi Hamilton</v>
      </c>
      <c r="Q5651" s="6" t="str">
        <f>IFERROR(__xludf.DUMMYFUNCTION("""COMPUTED_VALUE"""),"MS")</f>
        <v>MS</v>
      </c>
      <c r="R5651" s="6">
        <f>IFERROR(__xludf.DUMMYFUNCTION("""COMPUTED_VALUE"""),0.0)</f>
        <v>0</v>
      </c>
      <c r="S5651" s="6" t="str">
        <f>IFERROR(__xludf.DUMMYFUNCTION("""COMPUTED_VALUE"""),"Kimberly Ball")</f>
        <v>Kimberly Ball</v>
      </c>
      <c r="T5651" s="6" t="str">
        <f>IFERROR(__xludf.DUMMYFUNCTION("""COMPUTED_VALUE"""),"kimberly.ball@studient.com")</f>
        <v>kimberly.ball@studient.com</v>
      </c>
      <c r="U5651" s="6" t="str">
        <f>IFERROR(__xludf.DUMMYFUNCTION("""COMPUTED_VALUE"""),"7")</f>
        <v>7</v>
      </c>
      <c r="V5651" s="6" t="str">
        <f>IFERROR(__xludf.DUMMYFUNCTION("""COMPUTED_VALUE"""),"")</f>
        <v/>
      </c>
      <c r="W5651" s="6" t="str">
        <f>IFERROR(__xludf.DUMMYFUNCTION("""COMPUTED_VALUE"""),"[]")</f>
        <v>[]</v>
      </c>
      <c r="X5651" s="6" t="str">
        <f>IFERROR(__xludf.DUMMYFUNCTION("""COMPUTED_VALUE"""),"Enrolled")</f>
        <v>Enrolled</v>
      </c>
    </row>
    <row r="5652">
      <c r="A5652" s="6" t="str">
        <f>IFERROR(__xludf.DUMMYFUNCTION("""COMPUTED_VALUE"""),"087-12249")</f>
        <v>087-12249</v>
      </c>
      <c r="B5652" s="6" t="str">
        <f>IFERROR(__xludf.DUMMYFUNCTION("""COMPUTED_VALUE"""),"87")</f>
        <v>87</v>
      </c>
      <c r="C5652" s="6" t="str">
        <f>IFERROR(__xludf.DUMMYFUNCTION("""COMPUTED_VALUE"""),"12249")</f>
        <v>12249</v>
      </c>
      <c r="D5652" s="6" t="str">
        <f>IFERROR(__xludf.DUMMYFUNCTION("""COMPUTED_VALUE"""),"Da'Shawn")</f>
        <v>Da'Shawn</v>
      </c>
      <c r="E5652" s="6" t="str">
        <f>IFERROR(__xludf.DUMMYFUNCTION("""COMPUTED_VALUE"""),"")</f>
        <v/>
      </c>
      <c r="F5652" s="6" t="str">
        <f>IFERROR(__xludf.DUMMYFUNCTION("""COMPUTED_VALUE"""),"Hargrove")</f>
        <v>Hargrove</v>
      </c>
      <c r="G5652" s="6" t="str">
        <f>IFERROR(__xludf.DUMMYFUNCTION("""COMPUTED_VALUE"""),"06/08/2012")</f>
        <v>06/08/2012</v>
      </c>
      <c r="H5652" s="6" t="str">
        <f>IFERROR(__xludf.DUMMYFUNCTION("""COMPUTED_VALUE"""),"male")</f>
        <v>male</v>
      </c>
      <c r="I5652" s="6" t="str">
        <f>IFERROR(__xludf.DUMMYFUNCTION("""COMPUTED_VALUE"""),"Middle School")</f>
        <v>Middle School</v>
      </c>
      <c r="J5652" s="6" t="str">
        <f>IFERROR(__xludf.DUMMYFUNCTION("""COMPUTED_VALUE"""),"8")</f>
        <v>8</v>
      </c>
      <c r="K5652" s="6" t="str">
        <f>IFERROR(__xludf.DUMMYFUNCTION("""COMPUTED_VALUE"""),"dashawn.hargrove@2hourlearning.com")</f>
        <v>dashawn.hargrove@2hourlearning.com</v>
      </c>
      <c r="L5652" s="6" t="str">
        <f>IFERROR(__xludf.DUMMYFUNCTION("""COMPUTED_VALUE"""),"JRHS - Ridgeland Secondary Academy of Excellence")</f>
        <v>JRHS - Ridgeland Secondary Academy of Excellence</v>
      </c>
      <c r="M5652" s="6" t="str">
        <f>IFERROR(__xludf.DUMMYFUNCTION("""COMPUTED_VALUE"""),"")</f>
        <v/>
      </c>
      <c r="N5652" s="6" t="str">
        <f>IFERROR(__xludf.DUMMYFUNCTION("""COMPUTED_VALUE"""),"")</f>
        <v/>
      </c>
      <c r="O5652" s="87" t="str">
        <f>IFERROR(__xludf.DUMMYFUNCTION("""COMPUTED_VALUE"""),"https://drive.google.com/drive/folders/10T2cTQHqEJZqE-st6uFKPoI?usp=share_link")</f>
        <v>https://drive.google.com/drive/folders/10T2cTQHqEJZqE-st6uFKPoI?usp=share_link</v>
      </c>
      <c r="P5652" s="6" t="str">
        <f>IFERROR(__xludf.DUMMYFUNCTION("""COMPUTED_VALUE"""),"Da'Shawn Hargrove")</f>
        <v>Da'Shawn Hargrove</v>
      </c>
      <c r="Q5652" s="6" t="str">
        <f>IFERROR(__xludf.DUMMYFUNCTION("""COMPUTED_VALUE"""),"MS")</f>
        <v>MS</v>
      </c>
      <c r="R5652" s="6">
        <f>IFERROR(__xludf.DUMMYFUNCTION("""COMPUTED_VALUE"""),0.0)</f>
        <v>0</v>
      </c>
      <c r="S5652" s="6" t="str">
        <f>IFERROR(__xludf.DUMMYFUNCTION("""COMPUTED_VALUE"""),"Kimberly Ball")</f>
        <v>Kimberly Ball</v>
      </c>
      <c r="T5652" s="6" t="str">
        <f>IFERROR(__xludf.DUMMYFUNCTION("""COMPUTED_VALUE"""),"kimberly.ball@studient.com")</f>
        <v>kimberly.ball@studient.com</v>
      </c>
      <c r="U5652" s="6" t="str">
        <f>IFERROR(__xludf.DUMMYFUNCTION("""COMPUTED_VALUE"""),"8")</f>
        <v>8</v>
      </c>
      <c r="V5652" s="6" t="str">
        <f>IFERROR(__xludf.DUMMYFUNCTION("""COMPUTED_VALUE"""),"")</f>
        <v/>
      </c>
      <c r="W5652" s="6" t="str">
        <f>IFERROR(__xludf.DUMMYFUNCTION("""COMPUTED_VALUE"""),"[]")</f>
        <v>[]</v>
      </c>
      <c r="X5652" s="6" t="str">
        <f>IFERROR(__xludf.DUMMYFUNCTION("""COMPUTED_VALUE"""),"Enrolled")</f>
        <v>Enrolled</v>
      </c>
    </row>
    <row r="5653">
      <c r="A5653" s="6" t="str">
        <f>IFERROR(__xludf.DUMMYFUNCTION("""COMPUTED_VALUE"""),"087-12250")</f>
        <v>087-12250</v>
      </c>
      <c r="B5653" s="6" t="str">
        <f>IFERROR(__xludf.DUMMYFUNCTION("""COMPUTED_VALUE"""),"87")</f>
        <v>87</v>
      </c>
      <c r="C5653" s="6" t="str">
        <f>IFERROR(__xludf.DUMMYFUNCTION("""COMPUTED_VALUE"""),"12250")</f>
        <v>12250</v>
      </c>
      <c r="D5653" s="6" t="str">
        <f>IFERROR(__xludf.DUMMYFUNCTION("""COMPUTED_VALUE"""),"Bre'ale")</f>
        <v>Bre'ale</v>
      </c>
      <c r="E5653" s="6" t="str">
        <f>IFERROR(__xludf.DUMMYFUNCTION("""COMPUTED_VALUE"""),"")</f>
        <v/>
      </c>
      <c r="F5653" s="6" t="str">
        <f>IFERROR(__xludf.DUMMYFUNCTION("""COMPUTED_VALUE"""),"Harry")</f>
        <v>Harry</v>
      </c>
      <c r="G5653" s="6" t="str">
        <f>IFERROR(__xludf.DUMMYFUNCTION("""COMPUTED_VALUE"""),"04/20/2014")</f>
        <v>04/20/2014</v>
      </c>
      <c r="H5653" s="6" t="str">
        <f>IFERROR(__xludf.DUMMYFUNCTION("""COMPUTED_VALUE"""),"female")</f>
        <v>female</v>
      </c>
      <c r="I5653" s="6" t="str">
        <f>IFERROR(__xludf.DUMMYFUNCTION("""COMPUTED_VALUE"""),"Middle School")</f>
        <v>Middle School</v>
      </c>
      <c r="J5653" s="6" t="str">
        <f>IFERROR(__xludf.DUMMYFUNCTION("""COMPUTED_VALUE"""),"6")</f>
        <v>6</v>
      </c>
      <c r="K5653" s="6" t="str">
        <f>IFERROR(__xludf.DUMMYFUNCTION("""COMPUTED_VALUE"""),"breale.harry@2hourlearning.com")</f>
        <v>breale.harry@2hourlearning.com</v>
      </c>
      <c r="L5653" s="6" t="str">
        <f>IFERROR(__xludf.DUMMYFUNCTION("""COMPUTED_VALUE"""),"JRHS - Ridgeland Secondary Academy of Excellence")</f>
        <v>JRHS - Ridgeland Secondary Academy of Excellence</v>
      </c>
      <c r="M5653" s="6" t="str">
        <f>IFERROR(__xludf.DUMMYFUNCTION("""COMPUTED_VALUE"""),"")</f>
        <v/>
      </c>
      <c r="N5653" s="6" t="str">
        <f>IFERROR(__xludf.DUMMYFUNCTION("""COMPUTED_VALUE"""),"")</f>
        <v/>
      </c>
      <c r="O5653" s="87" t="str">
        <f>IFERROR(__xludf.DUMMYFUNCTION("""COMPUTED_VALUE"""),"https://drive.google.com/drive/folders/10T2cTQHqEJZqE-st6uFKPoI?usp=share_link")</f>
        <v>https://drive.google.com/drive/folders/10T2cTQHqEJZqE-st6uFKPoI?usp=share_link</v>
      </c>
      <c r="P5653" s="6" t="str">
        <f>IFERROR(__xludf.DUMMYFUNCTION("""COMPUTED_VALUE"""),"Bre'ale Harry")</f>
        <v>Bre'ale Harry</v>
      </c>
      <c r="Q5653" s="6" t="str">
        <f>IFERROR(__xludf.DUMMYFUNCTION("""COMPUTED_VALUE"""),"MS")</f>
        <v>MS</v>
      </c>
      <c r="R5653" s="6">
        <f>IFERROR(__xludf.DUMMYFUNCTION("""COMPUTED_VALUE"""),0.0)</f>
        <v>0</v>
      </c>
      <c r="S5653" s="6" t="str">
        <f>IFERROR(__xludf.DUMMYFUNCTION("""COMPUTED_VALUE"""),"Kimberly Ball")</f>
        <v>Kimberly Ball</v>
      </c>
      <c r="T5653" s="6" t="str">
        <f>IFERROR(__xludf.DUMMYFUNCTION("""COMPUTED_VALUE"""),"kimberly.ball@studient.com")</f>
        <v>kimberly.ball@studient.com</v>
      </c>
      <c r="U5653" s="6" t="str">
        <f>IFERROR(__xludf.DUMMYFUNCTION("""COMPUTED_VALUE"""),"6")</f>
        <v>6</v>
      </c>
      <c r="V5653" s="6" t="str">
        <f>IFERROR(__xludf.DUMMYFUNCTION("""COMPUTED_VALUE"""),"")</f>
        <v/>
      </c>
      <c r="W5653" s="6" t="str">
        <f>IFERROR(__xludf.DUMMYFUNCTION("""COMPUTED_VALUE"""),"[]")</f>
        <v>[]</v>
      </c>
      <c r="X5653" s="6" t="str">
        <f>IFERROR(__xludf.DUMMYFUNCTION("""COMPUTED_VALUE"""),"Enrolled")</f>
        <v>Enrolled</v>
      </c>
    </row>
    <row r="5654">
      <c r="A5654" s="6" t="str">
        <f>IFERROR(__xludf.DUMMYFUNCTION("""COMPUTED_VALUE"""),"087-12251")</f>
        <v>087-12251</v>
      </c>
      <c r="B5654" s="6" t="str">
        <f>IFERROR(__xludf.DUMMYFUNCTION("""COMPUTED_VALUE"""),"87")</f>
        <v>87</v>
      </c>
      <c r="C5654" s="6" t="str">
        <f>IFERROR(__xludf.DUMMYFUNCTION("""COMPUTED_VALUE"""),"12251")</f>
        <v>12251</v>
      </c>
      <c r="D5654" s="6" t="str">
        <f>IFERROR(__xludf.DUMMYFUNCTION("""COMPUTED_VALUE"""),"Malik")</f>
        <v>Malik</v>
      </c>
      <c r="E5654" s="6" t="str">
        <f>IFERROR(__xludf.DUMMYFUNCTION("""COMPUTED_VALUE"""),"")</f>
        <v/>
      </c>
      <c r="F5654" s="6" t="str">
        <f>IFERROR(__xludf.DUMMYFUNCTION("""COMPUTED_VALUE"""),"Hayward")</f>
        <v>Hayward</v>
      </c>
      <c r="G5654" s="6" t="str">
        <f>IFERROR(__xludf.DUMMYFUNCTION("""COMPUTED_VALUE"""),"10/07/2011")</f>
        <v>10/07/2011</v>
      </c>
      <c r="H5654" s="6" t="str">
        <f>IFERROR(__xludf.DUMMYFUNCTION("""COMPUTED_VALUE"""),"male")</f>
        <v>male</v>
      </c>
      <c r="I5654" s="6" t="str">
        <f>IFERROR(__xludf.DUMMYFUNCTION("""COMPUTED_VALUE"""),"Middle School")</f>
        <v>Middle School</v>
      </c>
      <c r="J5654" s="6" t="str">
        <f>IFERROR(__xludf.DUMMYFUNCTION("""COMPUTED_VALUE"""),"7")</f>
        <v>7</v>
      </c>
      <c r="K5654" s="6" t="str">
        <f>IFERROR(__xludf.DUMMYFUNCTION("""COMPUTED_VALUE"""),"malik.hayward@2hourlearning.com")</f>
        <v>malik.hayward@2hourlearning.com</v>
      </c>
      <c r="L5654" s="6" t="str">
        <f>IFERROR(__xludf.DUMMYFUNCTION("""COMPUTED_VALUE"""),"JRHS - Ridgeland Secondary Academy of Excellence")</f>
        <v>JRHS - Ridgeland Secondary Academy of Excellence</v>
      </c>
      <c r="M5654" s="6" t="str">
        <f>IFERROR(__xludf.DUMMYFUNCTION("""COMPUTED_VALUE"""),"")</f>
        <v/>
      </c>
      <c r="N5654" s="6" t="str">
        <f>IFERROR(__xludf.DUMMYFUNCTION("""COMPUTED_VALUE"""),"")</f>
        <v/>
      </c>
      <c r="O5654" s="87" t="str">
        <f>IFERROR(__xludf.DUMMYFUNCTION("""COMPUTED_VALUE"""),"https://drive.google.com/drive/folders/10T2cTQHqEJZqE-st6uFKPoI?usp=share_link")</f>
        <v>https://drive.google.com/drive/folders/10T2cTQHqEJZqE-st6uFKPoI?usp=share_link</v>
      </c>
      <c r="P5654" s="6" t="str">
        <f>IFERROR(__xludf.DUMMYFUNCTION("""COMPUTED_VALUE"""),"Malik Hayward")</f>
        <v>Malik Hayward</v>
      </c>
      <c r="Q5654" s="6" t="str">
        <f>IFERROR(__xludf.DUMMYFUNCTION("""COMPUTED_VALUE"""),"MS")</f>
        <v>MS</v>
      </c>
      <c r="R5654" s="6">
        <f>IFERROR(__xludf.DUMMYFUNCTION("""COMPUTED_VALUE"""),0.0)</f>
        <v>0</v>
      </c>
      <c r="S5654" s="6" t="str">
        <f>IFERROR(__xludf.DUMMYFUNCTION("""COMPUTED_VALUE"""),"Kimberly Ball")</f>
        <v>Kimberly Ball</v>
      </c>
      <c r="T5654" s="6" t="str">
        <f>IFERROR(__xludf.DUMMYFUNCTION("""COMPUTED_VALUE"""),"kimberly.ball@studient.com")</f>
        <v>kimberly.ball@studient.com</v>
      </c>
      <c r="U5654" s="6" t="str">
        <f>IFERROR(__xludf.DUMMYFUNCTION("""COMPUTED_VALUE"""),"7")</f>
        <v>7</v>
      </c>
      <c r="V5654" s="6" t="str">
        <f>IFERROR(__xludf.DUMMYFUNCTION("""COMPUTED_VALUE"""),"")</f>
        <v/>
      </c>
      <c r="W5654" s="6" t="str">
        <f>IFERROR(__xludf.DUMMYFUNCTION("""COMPUTED_VALUE"""),"[]")</f>
        <v>[]</v>
      </c>
      <c r="X5654" s="6" t="str">
        <f>IFERROR(__xludf.DUMMYFUNCTION("""COMPUTED_VALUE"""),"Enrolled")</f>
        <v>Enrolled</v>
      </c>
    </row>
    <row r="5655">
      <c r="A5655" s="6" t="str">
        <f>IFERROR(__xludf.DUMMYFUNCTION("""COMPUTED_VALUE"""),"087-12252")</f>
        <v>087-12252</v>
      </c>
      <c r="B5655" s="6" t="str">
        <f>IFERROR(__xludf.DUMMYFUNCTION("""COMPUTED_VALUE"""),"87")</f>
        <v>87</v>
      </c>
      <c r="C5655" s="6" t="str">
        <f>IFERROR(__xludf.DUMMYFUNCTION("""COMPUTED_VALUE"""),"12252")</f>
        <v>12252</v>
      </c>
      <c r="D5655" s="6" t="str">
        <f>IFERROR(__xludf.DUMMYFUNCTION("""COMPUTED_VALUE"""),"Iker")</f>
        <v>Iker</v>
      </c>
      <c r="E5655" s="6" t="str">
        <f>IFERROR(__xludf.DUMMYFUNCTION("""COMPUTED_VALUE"""),"")</f>
        <v/>
      </c>
      <c r="F5655" s="6" t="str">
        <f>IFERROR(__xludf.DUMMYFUNCTION("""COMPUTED_VALUE"""),"Hermosillo Hernandez")</f>
        <v>Hermosillo Hernandez</v>
      </c>
      <c r="G5655" s="6" t="str">
        <f>IFERROR(__xludf.DUMMYFUNCTION("""COMPUTED_VALUE"""),"01/25/2013")</f>
        <v>01/25/2013</v>
      </c>
      <c r="H5655" s="6" t="str">
        <f>IFERROR(__xludf.DUMMYFUNCTION("""COMPUTED_VALUE"""),"male")</f>
        <v>male</v>
      </c>
      <c r="I5655" s="6" t="str">
        <f>IFERROR(__xludf.DUMMYFUNCTION("""COMPUTED_VALUE"""),"Middle School")</f>
        <v>Middle School</v>
      </c>
      <c r="J5655" s="6" t="str">
        <f>IFERROR(__xludf.DUMMYFUNCTION("""COMPUTED_VALUE"""),"7")</f>
        <v>7</v>
      </c>
      <c r="K5655" s="6" t="str">
        <f>IFERROR(__xludf.DUMMYFUNCTION("""COMPUTED_VALUE"""),"iker.hermosillohernandez@2hourlearning.com")</f>
        <v>iker.hermosillohernandez@2hourlearning.com</v>
      </c>
      <c r="L5655" s="6" t="str">
        <f>IFERROR(__xludf.DUMMYFUNCTION("""COMPUTED_VALUE"""),"JRHS - Ridgeland Secondary Academy of Excellence")</f>
        <v>JRHS - Ridgeland Secondary Academy of Excellence</v>
      </c>
      <c r="M5655" s="6" t="str">
        <f>IFERROR(__xludf.DUMMYFUNCTION("""COMPUTED_VALUE"""),"")</f>
        <v/>
      </c>
      <c r="N5655" s="6" t="str">
        <f>IFERROR(__xludf.DUMMYFUNCTION("""COMPUTED_VALUE"""),"")</f>
        <v/>
      </c>
      <c r="O5655" s="87" t="str">
        <f>IFERROR(__xludf.DUMMYFUNCTION("""COMPUTED_VALUE"""),"https://drive.google.com/drive/folders/10T2cTQHqEJZqE-st6uFKPoI?usp=share_link")</f>
        <v>https://drive.google.com/drive/folders/10T2cTQHqEJZqE-st6uFKPoI?usp=share_link</v>
      </c>
      <c r="P5655" s="6" t="str">
        <f>IFERROR(__xludf.DUMMYFUNCTION("""COMPUTED_VALUE"""),"Iker Hermosillo Hernandez")</f>
        <v>Iker Hermosillo Hernandez</v>
      </c>
      <c r="Q5655" s="6" t="str">
        <f>IFERROR(__xludf.DUMMYFUNCTION("""COMPUTED_VALUE"""),"MS")</f>
        <v>MS</v>
      </c>
      <c r="R5655" s="6">
        <f>IFERROR(__xludf.DUMMYFUNCTION("""COMPUTED_VALUE"""),0.0)</f>
        <v>0</v>
      </c>
      <c r="S5655" s="6" t="str">
        <f>IFERROR(__xludf.DUMMYFUNCTION("""COMPUTED_VALUE"""),"Kimberly Ball")</f>
        <v>Kimberly Ball</v>
      </c>
      <c r="T5655" s="6" t="str">
        <f>IFERROR(__xludf.DUMMYFUNCTION("""COMPUTED_VALUE"""),"kimberly.ball@studient.com")</f>
        <v>kimberly.ball@studient.com</v>
      </c>
      <c r="U5655" s="6" t="str">
        <f>IFERROR(__xludf.DUMMYFUNCTION("""COMPUTED_VALUE"""),"7")</f>
        <v>7</v>
      </c>
      <c r="V5655" s="6" t="str">
        <f>IFERROR(__xludf.DUMMYFUNCTION("""COMPUTED_VALUE"""),"")</f>
        <v/>
      </c>
      <c r="W5655" s="6" t="str">
        <f>IFERROR(__xludf.DUMMYFUNCTION("""COMPUTED_VALUE"""),"[]")</f>
        <v>[]</v>
      </c>
      <c r="X5655" s="6" t="str">
        <f>IFERROR(__xludf.DUMMYFUNCTION("""COMPUTED_VALUE"""),"Enrolled")</f>
        <v>Enrolled</v>
      </c>
    </row>
    <row r="5656">
      <c r="A5656" s="6" t="str">
        <f>IFERROR(__xludf.DUMMYFUNCTION("""COMPUTED_VALUE"""),"087-12253")</f>
        <v>087-12253</v>
      </c>
      <c r="B5656" s="6" t="str">
        <f>IFERROR(__xludf.DUMMYFUNCTION("""COMPUTED_VALUE"""),"87")</f>
        <v>87</v>
      </c>
      <c r="C5656" s="6" t="str">
        <f>IFERROR(__xludf.DUMMYFUNCTION("""COMPUTED_VALUE"""),"12253")</f>
        <v>12253</v>
      </c>
      <c r="D5656" s="6" t="str">
        <f>IFERROR(__xludf.DUMMYFUNCTION("""COMPUTED_VALUE"""),"Jennifer")</f>
        <v>Jennifer</v>
      </c>
      <c r="E5656" s="6" t="str">
        <f>IFERROR(__xludf.DUMMYFUNCTION("""COMPUTED_VALUE"""),"")</f>
        <v/>
      </c>
      <c r="F5656" s="6" t="str">
        <f>IFERROR(__xludf.DUMMYFUNCTION("""COMPUTED_VALUE"""),"Hernandez")</f>
        <v>Hernandez</v>
      </c>
      <c r="G5656" s="6" t="str">
        <f>IFERROR(__xludf.DUMMYFUNCTION("""COMPUTED_VALUE"""),"01/18/2013")</f>
        <v>01/18/2013</v>
      </c>
      <c r="H5656" s="6" t="str">
        <f>IFERROR(__xludf.DUMMYFUNCTION("""COMPUTED_VALUE"""),"female")</f>
        <v>female</v>
      </c>
      <c r="I5656" s="6" t="str">
        <f>IFERROR(__xludf.DUMMYFUNCTION("""COMPUTED_VALUE"""),"Middle School")</f>
        <v>Middle School</v>
      </c>
      <c r="J5656" s="6" t="str">
        <f>IFERROR(__xludf.DUMMYFUNCTION("""COMPUTED_VALUE"""),"7")</f>
        <v>7</v>
      </c>
      <c r="K5656" s="6" t="str">
        <f>IFERROR(__xludf.DUMMYFUNCTION("""COMPUTED_VALUE"""),"jennifer.hernandez@2hourlearning.com")</f>
        <v>jennifer.hernandez@2hourlearning.com</v>
      </c>
      <c r="L5656" s="6" t="str">
        <f>IFERROR(__xludf.DUMMYFUNCTION("""COMPUTED_VALUE"""),"JRHS - Ridgeland Secondary Academy of Excellence")</f>
        <v>JRHS - Ridgeland Secondary Academy of Excellence</v>
      </c>
      <c r="M5656" s="6" t="str">
        <f>IFERROR(__xludf.DUMMYFUNCTION("""COMPUTED_VALUE"""),"")</f>
        <v/>
      </c>
      <c r="N5656" s="6" t="str">
        <f>IFERROR(__xludf.DUMMYFUNCTION("""COMPUTED_VALUE"""),"")</f>
        <v/>
      </c>
      <c r="O5656" s="87" t="str">
        <f>IFERROR(__xludf.DUMMYFUNCTION("""COMPUTED_VALUE"""),"https://drive.google.com/drive/folders/10T2cTQHqEJZqE-st6uFKPoI?usp=share_link")</f>
        <v>https://drive.google.com/drive/folders/10T2cTQHqEJZqE-st6uFKPoI?usp=share_link</v>
      </c>
      <c r="P5656" s="6" t="str">
        <f>IFERROR(__xludf.DUMMYFUNCTION("""COMPUTED_VALUE"""),"Jennifer Hernandez")</f>
        <v>Jennifer Hernandez</v>
      </c>
      <c r="Q5656" s="6" t="str">
        <f>IFERROR(__xludf.DUMMYFUNCTION("""COMPUTED_VALUE"""),"MS")</f>
        <v>MS</v>
      </c>
      <c r="R5656" s="6">
        <f>IFERROR(__xludf.DUMMYFUNCTION("""COMPUTED_VALUE"""),0.0)</f>
        <v>0</v>
      </c>
      <c r="S5656" s="6" t="str">
        <f>IFERROR(__xludf.DUMMYFUNCTION("""COMPUTED_VALUE"""),"Kimberly Ball")</f>
        <v>Kimberly Ball</v>
      </c>
      <c r="T5656" s="6" t="str">
        <f>IFERROR(__xludf.DUMMYFUNCTION("""COMPUTED_VALUE"""),"kimberly.ball@studient.com")</f>
        <v>kimberly.ball@studient.com</v>
      </c>
      <c r="U5656" s="6" t="str">
        <f>IFERROR(__xludf.DUMMYFUNCTION("""COMPUTED_VALUE"""),"7")</f>
        <v>7</v>
      </c>
      <c r="V5656" s="6" t="str">
        <f>IFERROR(__xludf.DUMMYFUNCTION("""COMPUTED_VALUE"""),"")</f>
        <v/>
      </c>
      <c r="W5656" s="6" t="str">
        <f>IFERROR(__xludf.DUMMYFUNCTION("""COMPUTED_VALUE"""),"[]")</f>
        <v>[]</v>
      </c>
      <c r="X5656" s="6" t="str">
        <f>IFERROR(__xludf.DUMMYFUNCTION("""COMPUTED_VALUE"""),"Enrolled")</f>
        <v>Enrolled</v>
      </c>
    </row>
    <row r="5657">
      <c r="A5657" s="6" t="str">
        <f>IFERROR(__xludf.DUMMYFUNCTION("""COMPUTED_VALUE"""),"087-12254")</f>
        <v>087-12254</v>
      </c>
      <c r="B5657" s="6" t="str">
        <f>IFERROR(__xludf.DUMMYFUNCTION("""COMPUTED_VALUE"""),"87")</f>
        <v>87</v>
      </c>
      <c r="C5657" s="6" t="str">
        <f>IFERROR(__xludf.DUMMYFUNCTION("""COMPUTED_VALUE"""),"12254")</f>
        <v>12254</v>
      </c>
      <c r="D5657" s="6" t="str">
        <f>IFERROR(__xludf.DUMMYFUNCTION("""COMPUTED_VALUE"""),"Kimberly")</f>
        <v>Kimberly</v>
      </c>
      <c r="E5657" s="6" t="str">
        <f>IFERROR(__xludf.DUMMYFUNCTION("""COMPUTED_VALUE"""),"")</f>
        <v/>
      </c>
      <c r="F5657" s="6" t="str">
        <f>IFERROR(__xludf.DUMMYFUNCTION("""COMPUTED_VALUE"""),"Hernandez Diaz")</f>
        <v>Hernandez Diaz</v>
      </c>
      <c r="G5657" s="6" t="str">
        <f>IFERROR(__xludf.DUMMYFUNCTION("""COMPUTED_VALUE"""),"09/19/2011")</f>
        <v>09/19/2011</v>
      </c>
      <c r="H5657" s="6" t="str">
        <f>IFERROR(__xludf.DUMMYFUNCTION("""COMPUTED_VALUE"""),"female")</f>
        <v>female</v>
      </c>
      <c r="I5657" s="6" t="str">
        <f>IFERROR(__xludf.DUMMYFUNCTION("""COMPUTED_VALUE"""),"Middle School")</f>
        <v>Middle School</v>
      </c>
      <c r="J5657" s="6" t="str">
        <f>IFERROR(__xludf.DUMMYFUNCTION("""COMPUTED_VALUE"""),"8")</f>
        <v>8</v>
      </c>
      <c r="K5657" s="6" t="str">
        <f>IFERROR(__xludf.DUMMYFUNCTION("""COMPUTED_VALUE"""),"kimberly.hernandezdiaz@2hourlearning.com")</f>
        <v>kimberly.hernandezdiaz@2hourlearning.com</v>
      </c>
      <c r="L5657" s="6" t="str">
        <f>IFERROR(__xludf.DUMMYFUNCTION("""COMPUTED_VALUE"""),"JRHS - Ridgeland Secondary Academy of Excellence")</f>
        <v>JRHS - Ridgeland Secondary Academy of Excellence</v>
      </c>
      <c r="M5657" s="6" t="str">
        <f>IFERROR(__xludf.DUMMYFUNCTION("""COMPUTED_VALUE"""),"")</f>
        <v/>
      </c>
      <c r="N5657" s="6" t="str">
        <f>IFERROR(__xludf.DUMMYFUNCTION("""COMPUTED_VALUE"""),"")</f>
        <v/>
      </c>
      <c r="O5657" s="87" t="str">
        <f>IFERROR(__xludf.DUMMYFUNCTION("""COMPUTED_VALUE"""),"https://drive.google.com/drive/folders/10T2cTQHqEJZqE-st6uFKPoI?usp=share_link")</f>
        <v>https://drive.google.com/drive/folders/10T2cTQHqEJZqE-st6uFKPoI?usp=share_link</v>
      </c>
      <c r="P5657" s="6" t="str">
        <f>IFERROR(__xludf.DUMMYFUNCTION("""COMPUTED_VALUE"""),"Kimberly Hernandez Diaz")</f>
        <v>Kimberly Hernandez Diaz</v>
      </c>
      <c r="Q5657" s="6" t="str">
        <f>IFERROR(__xludf.DUMMYFUNCTION("""COMPUTED_VALUE"""),"MS")</f>
        <v>MS</v>
      </c>
      <c r="R5657" s="6">
        <f>IFERROR(__xludf.DUMMYFUNCTION("""COMPUTED_VALUE"""),0.0)</f>
        <v>0</v>
      </c>
      <c r="S5657" s="6" t="str">
        <f>IFERROR(__xludf.DUMMYFUNCTION("""COMPUTED_VALUE"""),"Kimberly Ball")</f>
        <v>Kimberly Ball</v>
      </c>
      <c r="T5657" s="6" t="str">
        <f>IFERROR(__xludf.DUMMYFUNCTION("""COMPUTED_VALUE"""),"kimberly.ball@studient.com")</f>
        <v>kimberly.ball@studient.com</v>
      </c>
      <c r="U5657" s="6" t="str">
        <f>IFERROR(__xludf.DUMMYFUNCTION("""COMPUTED_VALUE"""),"8")</f>
        <v>8</v>
      </c>
      <c r="V5657" s="6" t="str">
        <f>IFERROR(__xludf.DUMMYFUNCTION("""COMPUTED_VALUE"""),"")</f>
        <v/>
      </c>
      <c r="W5657" s="6" t="str">
        <f>IFERROR(__xludf.DUMMYFUNCTION("""COMPUTED_VALUE"""),"[]")</f>
        <v>[]</v>
      </c>
      <c r="X5657" s="6" t="str">
        <f>IFERROR(__xludf.DUMMYFUNCTION("""COMPUTED_VALUE"""),"Enrolled")</f>
        <v>Enrolled</v>
      </c>
    </row>
    <row r="5658">
      <c r="A5658" s="6" t="str">
        <f>IFERROR(__xludf.DUMMYFUNCTION("""COMPUTED_VALUE"""),"087-12255")</f>
        <v>087-12255</v>
      </c>
      <c r="B5658" s="6" t="str">
        <f>IFERROR(__xludf.DUMMYFUNCTION("""COMPUTED_VALUE"""),"87")</f>
        <v>87</v>
      </c>
      <c r="C5658" s="6" t="str">
        <f>IFERROR(__xludf.DUMMYFUNCTION("""COMPUTED_VALUE"""),"12255")</f>
        <v>12255</v>
      </c>
      <c r="D5658" s="6" t="str">
        <f>IFERROR(__xludf.DUMMYFUNCTION("""COMPUTED_VALUE"""),"Areli")</f>
        <v>Areli</v>
      </c>
      <c r="E5658" s="6" t="str">
        <f>IFERROR(__xludf.DUMMYFUNCTION("""COMPUTED_VALUE"""),"")</f>
        <v/>
      </c>
      <c r="F5658" s="6" t="str">
        <f>IFERROR(__xludf.DUMMYFUNCTION("""COMPUTED_VALUE"""),"Hernandez Guzman")</f>
        <v>Hernandez Guzman</v>
      </c>
      <c r="G5658" s="6" t="str">
        <f>IFERROR(__xludf.DUMMYFUNCTION("""COMPUTED_VALUE"""),"03/09/2012")</f>
        <v>03/09/2012</v>
      </c>
      <c r="H5658" s="6" t="str">
        <f>IFERROR(__xludf.DUMMYFUNCTION("""COMPUTED_VALUE"""),"female")</f>
        <v>female</v>
      </c>
      <c r="I5658" s="6" t="str">
        <f>IFERROR(__xludf.DUMMYFUNCTION("""COMPUTED_VALUE"""),"Middle School")</f>
        <v>Middle School</v>
      </c>
      <c r="J5658" s="6" t="str">
        <f>IFERROR(__xludf.DUMMYFUNCTION("""COMPUTED_VALUE"""),"8")</f>
        <v>8</v>
      </c>
      <c r="K5658" s="6" t="str">
        <f>IFERROR(__xludf.DUMMYFUNCTION("""COMPUTED_VALUE"""),"areli.hernandezguzman@2hourlearning.com")</f>
        <v>areli.hernandezguzman@2hourlearning.com</v>
      </c>
      <c r="L5658" s="6" t="str">
        <f>IFERROR(__xludf.DUMMYFUNCTION("""COMPUTED_VALUE"""),"JRHS - Ridgeland Secondary Academy of Excellence")</f>
        <v>JRHS - Ridgeland Secondary Academy of Excellence</v>
      </c>
      <c r="M5658" s="6" t="str">
        <f>IFERROR(__xludf.DUMMYFUNCTION("""COMPUTED_VALUE"""),"")</f>
        <v/>
      </c>
      <c r="N5658" s="6" t="str">
        <f>IFERROR(__xludf.DUMMYFUNCTION("""COMPUTED_VALUE"""),"")</f>
        <v/>
      </c>
      <c r="O5658" s="87" t="str">
        <f>IFERROR(__xludf.DUMMYFUNCTION("""COMPUTED_VALUE"""),"https://drive.google.com/drive/folders/10T2cTQHqEJZqE-st6uFKPoI?usp=share_link")</f>
        <v>https://drive.google.com/drive/folders/10T2cTQHqEJZqE-st6uFKPoI?usp=share_link</v>
      </c>
      <c r="P5658" s="6" t="str">
        <f>IFERROR(__xludf.DUMMYFUNCTION("""COMPUTED_VALUE"""),"Areli Hernandez Guzman")</f>
        <v>Areli Hernandez Guzman</v>
      </c>
      <c r="Q5658" s="6" t="str">
        <f>IFERROR(__xludf.DUMMYFUNCTION("""COMPUTED_VALUE"""),"MS")</f>
        <v>MS</v>
      </c>
      <c r="R5658" s="6">
        <f>IFERROR(__xludf.DUMMYFUNCTION("""COMPUTED_VALUE"""),0.0)</f>
        <v>0</v>
      </c>
      <c r="S5658" s="6" t="str">
        <f>IFERROR(__xludf.DUMMYFUNCTION("""COMPUTED_VALUE"""),"Kimberly Ball")</f>
        <v>Kimberly Ball</v>
      </c>
      <c r="T5658" s="6" t="str">
        <f>IFERROR(__xludf.DUMMYFUNCTION("""COMPUTED_VALUE"""),"kimberly.ball@studient.com")</f>
        <v>kimberly.ball@studient.com</v>
      </c>
      <c r="U5658" s="6" t="str">
        <f>IFERROR(__xludf.DUMMYFUNCTION("""COMPUTED_VALUE"""),"8")</f>
        <v>8</v>
      </c>
      <c r="V5658" s="6" t="str">
        <f>IFERROR(__xludf.DUMMYFUNCTION("""COMPUTED_VALUE"""),"")</f>
        <v/>
      </c>
      <c r="W5658" s="6" t="str">
        <f>IFERROR(__xludf.DUMMYFUNCTION("""COMPUTED_VALUE"""),"[]")</f>
        <v>[]</v>
      </c>
      <c r="X5658" s="6" t="str">
        <f>IFERROR(__xludf.DUMMYFUNCTION("""COMPUTED_VALUE"""),"Enrolled")</f>
        <v>Enrolled</v>
      </c>
    </row>
    <row r="5659">
      <c r="A5659" s="6" t="str">
        <f>IFERROR(__xludf.DUMMYFUNCTION("""COMPUTED_VALUE"""),"087-12256")</f>
        <v>087-12256</v>
      </c>
      <c r="B5659" s="6" t="str">
        <f>IFERROR(__xludf.DUMMYFUNCTION("""COMPUTED_VALUE"""),"87")</f>
        <v>87</v>
      </c>
      <c r="C5659" s="6" t="str">
        <f>IFERROR(__xludf.DUMMYFUNCTION("""COMPUTED_VALUE"""),"12256")</f>
        <v>12256</v>
      </c>
      <c r="D5659" s="6" t="str">
        <f>IFERROR(__xludf.DUMMYFUNCTION("""COMPUTED_VALUE"""),"Nayla")</f>
        <v>Nayla</v>
      </c>
      <c r="E5659" s="6" t="str">
        <f>IFERROR(__xludf.DUMMYFUNCTION("""COMPUTED_VALUE"""),"")</f>
        <v/>
      </c>
      <c r="F5659" s="6" t="str">
        <f>IFERROR(__xludf.DUMMYFUNCTION("""COMPUTED_VALUE"""),"Hernandez Lopes")</f>
        <v>Hernandez Lopes</v>
      </c>
      <c r="G5659" s="6" t="str">
        <f>IFERROR(__xludf.DUMMYFUNCTION("""COMPUTED_VALUE"""),"10/03/2012")</f>
        <v>10/03/2012</v>
      </c>
      <c r="H5659" s="6" t="str">
        <f>IFERROR(__xludf.DUMMYFUNCTION("""COMPUTED_VALUE"""),"female")</f>
        <v>female</v>
      </c>
      <c r="I5659" s="6" t="str">
        <f>IFERROR(__xludf.DUMMYFUNCTION("""COMPUTED_VALUE"""),"Middle School")</f>
        <v>Middle School</v>
      </c>
      <c r="J5659" s="6" t="str">
        <f>IFERROR(__xludf.DUMMYFUNCTION("""COMPUTED_VALUE"""),"7")</f>
        <v>7</v>
      </c>
      <c r="K5659" s="6" t="str">
        <f>IFERROR(__xludf.DUMMYFUNCTION("""COMPUTED_VALUE"""),"nayla.hernandezlopes@2hourlearning.com")</f>
        <v>nayla.hernandezlopes@2hourlearning.com</v>
      </c>
      <c r="L5659" s="6" t="str">
        <f>IFERROR(__xludf.DUMMYFUNCTION("""COMPUTED_VALUE"""),"JRHS - Ridgeland Secondary Academy of Excellence")</f>
        <v>JRHS - Ridgeland Secondary Academy of Excellence</v>
      </c>
      <c r="M5659" s="6" t="str">
        <f>IFERROR(__xludf.DUMMYFUNCTION("""COMPUTED_VALUE"""),"")</f>
        <v/>
      </c>
      <c r="N5659" s="6" t="str">
        <f>IFERROR(__xludf.DUMMYFUNCTION("""COMPUTED_VALUE"""),"")</f>
        <v/>
      </c>
      <c r="O5659" s="87" t="str">
        <f>IFERROR(__xludf.DUMMYFUNCTION("""COMPUTED_VALUE"""),"https://drive.google.com/drive/folders/10T2cTQHqEJZqE-st6uFKPoI?usp=share_link")</f>
        <v>https://drive.google.com/drive/folders/10T2cTQHqEJZqE-st6uFKPoI?usp=share_link</v>
      </c>
      <c r="P5659" s="6" t="str">
        <f>IFERROR(__xludf.DUMMYFUNCTION("""COMPUTED_VALUE"""),"Nayla Hernandez Lopes")</f>
        <v>Nayla Hernandez Lopes</v>
      </c>
      <c r="Q5659" s="6" t="str">
        <f>IFERROR(__xludf.DUMMYFUNCTION("""COMPUTED_VALUE"""),"MS")</f>
        <v>MS</v>
      </c>
      <c r="R5659" s="6">
        <f>IFERROR(__xludf.DUMMYFUNCTION("""COMPUTED_VALUE"""),0.0)</f>
        <v>0</v>
      </c>
      <c r="S5659" s="6" t="str">
        <f>IFERROR(__xludf.DUMMYFUNCTION("""COMPUTED_VALUE"""),"Kimberly Ball")</f>
        <v>Kimberly Ball</v>
      </c>
      <c r="T5659" s="6" t="str">
        <f>IFERROR(__xludf.DUMMYFUNCTION("""COMPUTED_VALUE"""),"kimberly.ball@studient.com")</f>
        <v>kimberly.ball@studient.com</v>
      </c>
      <c r="U5659" s="6" t="str">
        <f>IFERROR(__xludf.DUMMYFUNCTION("""COMPUTED_VALUE"""),"7")</f>
        <v>7</v>
      </c>
      <c r="V5659" s="6" t="str">
        <f>IFERROR(__xludf.DUMMYFUNCTION("""COMPUTED_VALUE"""),"")</f>
        <v/>
      </c>
      <c r="W5659" s="6" t="str">
        <f>IFERROR(__xludf.DUMMYFUNCTION("""COMPUTED_VALUE"""),"[]")</f>
        <v>[]</v>
      </c>
      <c r="X5659" s="6" t="str">
        <f>IFERROR(__xludf.DUMMYFUNCTION("""COMPUTED_VALUE"""),"Enrolled")</f>
        <v>Enrolled</v>
      </c>
    </row>
    <row r="5660">
      <c r="A5660" s="6" t="str">
        <f>IFERROR(__xludf.DUMMYFUNCTION("""COMPUTED_VALUE"""),"087-12257")</f>
        <v>087-12257</v>
      </c>
      <c r="B5660" s="6" t="str">
        <f>IFERROR(__xludf.DUMMYFUNCTION("""COMPUTED_VALUE"""),"87")</f>
        <v>87</v>
      </c>
      <c r="C5660" s="6" t="str">
        <f>IFERROR(__xludf.DUMMYFUNCTION("""COMPUTED_VALUE"""),"12257")</f>
        <v>12257</v>
      </c>
      <c r="D5660" s="6" t="str">
        <f>IFERROR(__xludf.DUMMYFUNCTION("""COMPUTED_VALUE"""),"Devin")</f>
        <v>Devin</v>
      </c>
      <c r="E5660" s="6" t="str">
        <f>IFERROR(__xludf.DUMMYFUNCTION("""COMPUTED_VALUE"""),"")</f>
        <v/>
      </c>
      <c r="F5660" s="6" t="str">
        <f>IFERROR(__xludf.DUMMYFUNCTION("""COMPUTED_VALUE"""),"Hernandez Martinez")</f>
        <v>Hernandez Martinez</v>
      </c>
      <c r="G5660" s="6" t="str">
        <f>IFERROR(__xludf.DUMMYFUNCTION("""COMPUTED_VALUE"""),"11/26/2011")</f>
        <v>11/26/2011</v>
      </c>
      <c r="H5660" s="6" t="str">
        <f>IFERROR(__xludf.DUMMYFUNCTION("""COMPUTED_VALUE"""),"male")</f>
        <v>male</v>
      </c>
      <c r="I5660" s="6" t="str">
        <f>IFERROR(__xludf.DUMMYFUNCTION("""COMPUTED_VALUE"""),"Middle School")</f>
        <v>Middle School</v>
      </c>
      <c r="J5660" s="6" t="str">
        <f>IFERROR(__xludf.DUMMYFUNCTION("""COMPUTED_VALUE"""),"8")</f>
        <v>8</v>
      </c>
      <c r="K5660" s="6" t="str">
        <f>IFERROR(__xludf.DUMMYFUNCTION("""COMPUTED_VALUE"""),"devin.hernandezmartinez@2hourlearning.com")</f>
        <v>devin.hernandezmartinez@2hourlearning.com</v>
      </c>
      <c r="L5660" s="6" t="str">
        <f>IFERROR(__xludf.DUMMYFUNCTION("""COMPUTED_VALUE"""),"JRHS - Ridgeland Secondary Academy of Excellence")</f>
        <v>JRHS - Ridgeland Secondary Academy of Excellence</v>
      </c>
      <c r="M5660" s="6" t="str">
        <f>IFERROR(__xludf.DUMMYFUNCTION("""COMPUTED_VALUE"""),"")</f>
        <v/>
      </c>
      <c r="N5660" s="6" t="str">
        <f>IFERROR(__xludf.DUMMYFUNCTION("""COMPUTED_VALUE"""),"")</f>
        <v/>
      </c>
      <c r="O5660" s="87" t="str">
        <f>IFERROR(__xludf.DUMMYFUNCTION("""COMPUTED_VALUE"""),"https://drive.google.com/drive/folders/10T2cTQHqEJZqE-st6uFKPoI?usp=share_link")</f>
        <v>https://drive.google.com/drive/folders/10T2cTQHqEJZqE-st6uFKPoI?usp=share_link</v>
      </c>
      <c r="P5660" s="6" t="str">
        <f>IFERROR(__xludf.DUMMYFUNCTION("""COMPUTED_VALUE"""),"Devin Hernandez Martinez")</f>
        <v>Devin Hernandez Martinez</v>
      </c>
      <c r="Q5660" s="6" t="str">
        <f>IFERROR(__xludf.DUMMYFUNCTION("""COMPUTED_VALUE"""),"MS")</f>
        <v>MS</v>
      </c>
      <c r="R5660" s="6">
        <f>IFERROR(__xludf.DUMMYFUNCTION("""COMPUTED_VALUE"""),0.0)</f>
        <v>0</v>
      </c>
      <c r="S5660" s="6" t="str">
        <f>IFERROR(__xludf.DUMMYFUNCTION("""COMPUTED_VALUE"""),"Kimberly Ball")</f>
        <v>Kimberly Ball</v>
      </c>
      <c r="T5660" s="6" t="str">
        <f>IFERROR(__xludf.DUMMYFUNCTION("""COMPUTED_VALUE"""),"kimberly.ball@studient.com")</f>
        <v>kimberly.ball@studient.com</v>
      </c>
      <c r="U5660" s="6" t="str">
        <f>IFERROR(__xludf.DUMMYFUNCTION("""COMPUTED_VALUE"""),"8")</f>
        <v>8</v>
      </c>
      <c r="V5660" s="6" t="str">
        <f>IFERROR(__xludf.DUMMYFUNCTION("""COMPUTED_VALUE"""),"")</f>
        <v/>
      </c>
      <c r="W5660" s="6" t="str">
        <f>IFERROR(__xludf.DUMMYFUNCTION("""COMPUTED_VALUE"""),"[]")</f>
        <v>[]</v>
      </c>
      <c r="X5660" s="6" t="str">
        <f>IFERROR(__xludf.DUMMYFUNCTION("""COMPUTED_VALUE"""),"Enrolled")</f>
        <v>Enrolled</v>
      </c>
    </row>
    <row r="5661">
      <c r="A5661" s="6" t="str">
        <f>IFERROR(__xludf.DUMMYFUNCTION("""COMPUTED_VALUE"""),"087-12258")</f>
        <v>087-12258</v>
      </c>
      <c r="B5661" s="6" t="str">
        <f>IFERROR(__xludf.DUMMYFUNCTION("""COMPUTED_VALUE"""),"87")</f>
        <v>87</v>
      </c>
      <c r="C5661" s="6" t="str">
        <f>IFERROR(__xludf.DUMMYFUNCTION("""COMPUTED_VALUE"""),"12258")</f>
        <v>12258</v>
      </c>
      <c r="D5661" s="6" t="str">
        <f>IFERROR(__xludf.DUMMYFUNCTION("""COMPUTED_VALUE"""),"Kevin")</f>
        <v>Kevin</v>
      </c>
      <c r="E5661" s="6" t="str">
        <f>IFERROR(__xludf.DUMMYFUNCTION("""COMPUTED_VALUE"""),"")</f>
        <v/>
      </c>
      <c r="F5661" s="6" t="str">
        <f>IFERROR(__xludf.DUMMYFUNCTION("""COMPUTED_VALUE"""),"Hernandez Martinez")</f>
        <v>Hernandez Martinez</v>
      </c>
      <c r="G5661" s="6" t="str">
        <f>IFERROR(__xludf.DUMMYFUNCTION("""COMPUTED_VALUE"""),"11/25/2013")</f>
        <v>11/25/2013</v>
      </c>
      <c r="H5661" s="6" t="str">
        <f>IFERROR(__xludf.DUMMYFUNCTION("""COMPUTED_VALUE"""),"male")</f>
        <v>male</v>
      </c>
      <c r="I5661" s="6" t="str">
        <f>IFERROR(__xludf.DUMMYFUNCTION("""COMPUTED_VALUE"""),"Middle School")</f>
        <v>Middle School</v>
      </c>
      <c r="J5661" s="6" t="str">
        <f>IFERROR(__xludf.DUMMYFUNCTION("""COMPUTED_VALUE"""),"6")</f>
        <v>6</v>
      </c>
      <c r="K5661" s="6" t="str">
        <f>IFERROR(__xludf.DUMMYFUNCTION("""COMPUTED_VALUE"""),"kevin.hernandezmartinez@2hourlearning.com")</f>
        <v>kevin.hernandezmartinez@2hourlearning.com</v>
      </c>
      <c r="L5661" s="6" t="str">
        <f>IFERROR(__xludf.DUMMYFUNCTION("""COMPUTED_VALUE"""),"JRHS - Ridgeland Secondary Academy of Excellence")</f>
        <v>JRHS - Ridgeland Secondary Academy of Excellence</v>
      </c>
      <c r="M5661" s="6" t="str">
        <f>IFERROR(__xludf.DUMMYFUNCTION("""COMPUTED_VALUE"""),"")</f>
        <v/>
      </c>
      <c r="N5661" s="6" t="str">
        <f>IFERROR(__xludf.DUMMYFUNCTION("""COMPUTED_VALUE"""),"")</f>
        <v/>
      </c>
      <c r="O5661" s="87" t="str">
        <f>IFERROR(__xludf.DUMMYFUNCTION("""COMPUTED_VALUE"""),"https://drive.google.com/drive/folders/10T2cTQHqEJZqE-st6uFKPoI?usp=share_link")</f>
        <v>https://drive.google.com/drive/folders/10T2cTQHqEJZqE-st6uFKPoI?usp=share_link</v>
      </c>
      <c r="P5661" s="6" t="str">
        <f>IFERROR(__xludf.DUMMYFUNCTION("""COMPUTED_VALUE"""),"Kevin Hernandez Martinez")</f>
        <v>Kevin Hernandez Martinez</v>
      </c>
      <c r="Q5661" s="6" t="str">
        <f>IFERROR(__xludf.DUMMYFUNCTION("""COMPUTED_VALUE"""),"MS")</f>
        <v>MS</v>
      </c>
      <c r="R5661" s="6">
        <f>IFERROR(__xludf.DUMMYFUNCTION("""COMPUTED_VALUE"""),0.0)</f>
        <v>0</v>
      </c>
      <c r="S5661" s="6" t="str">
        <f>IFERROR(__xludf.DUMMYFUNCTION("""COMPUTED_VALUE"""),"Kimberly Ball")</f>
        <v>Kimberly Ball</v>
      </c>
      <c r="T5661" s="6" t="str">
        <f>IFERROR(__xludf.DUMMYFUNCTION("""COMPUTED_VALUE"""),"kimberly.ball@studient.com")</f>
        <v>kimberly.ball@studient.com</v>
      </c>
      <c r="U5661" s="6" t="str">
        <f>IFERROR(__xludf.DUMMYFUNCTION("""COMPUTED_VALUE"""),"6")</f>
        <v>6</v>
      </c>
      <c r="V5661" s="6" t="str">
        <f>IFERROR(__xludf.DUMMYFUNCTION("""COMPUTED_VALUE"""),"")</f>
        <v/>
      </c>
      <c r="W5661" s="6" t="str">
        <f>IFERROR(__xludf.DUMMYFUNCTION("""COMPUTED_VALUE"""),"[]")</f>
        <v>[]</v>
      </c>
      <c r="X5661" s="6" t="str">
        <f>IFERROR(__xludf.DUMMYFUNCTION("""COMPUTED_VALUE"""),"Enrolled")</f>
        <v>Enrolled</v>
      </c>
    </row>
    <row r="5662">
      <c r="A5662" s="6" t="str">
        <f>IFERROR(__xludf.DUMMYFUNCTION("""COMPUTED_VALUE"""),"087-12259")</f>
        <v>087-12259</v>
      </c>
      <c r="B5662" s="6" t="str">
        <f>IFERROR(__xludf.DUMMYFUNCTION("""COMPUTED_VALUE"""),"87")</f>
        <v>87</v>
      </c>
      <c r="C5662" s="6" t="str">
        <f>IFERROR(__xludf.DUMMYFUNCTION("""COMPUTED_VALUE"""),"12259")</f>
        <v>12259</v>
      </c>
      <c r="D5662" s="6" t="str">
        <f>IFERROR(__xludf.DUMMYFUNCTION("""COMPUTED_VALUE"""),"Luis")</f>
        <v>Luis</v>
      </c>
      <c r="E5662" s="6" t="str">
        <f>IFERROR(__xludf.DUMMYFUNCTION("""COMPUTED_VALUE"""),"")</f>
        <v/>
      </c>
      <c r="F5662" s="6" t="str">
        <f>IFERROR(__xludf.DUMMYFUNCTION("""COMPUTED_VALUE"""),"Hernandez-Palacios")</f>
        <v>Hernandez-Palacios</v>
      </c>
      <c r="G5662" s="6" t="str">
        <f>IFERROR(__xludf.DUMMYFUNCTION("""COMPUTED_VALUE"""),"04/07/2012")</f>
        <v>04/07/2012</v>
      </c>
      <c r="H5662" s="6" t="str">
        <f>IFERROR(__xludf.DUMMYFUNCTION("""COMPUTED_VALUE"""),"male")</f>
        <v>male</v>
      </c>
      <c r="I5662" s="6" t="str">
        <f>IFERROR(__xludf.DUMMYFUNCTION("""COMPUTED_VALUE"""),"Middle School")</f>
        <v>Middle School</v>
      </c>
      <c r="J5662" s="6" t="str">
        <f>IFERROR(__xludf.DUMMYFUNCTION("""COMPUTED_VALUE"""),"8")</f>
        <v>8</v>
      </c>
      <c r="K5662" s="6" t="str">
        <f>IFERROR(__xludf.DUMMYFUNCTION("""COMPUTED_VALUE"""),"luis.hernandez-palacios@2hourlearning.com")</f>
        <v>luis.hernandez-palacios@2hourlearning.com</v>
      </c>
      <c r="L5662" s="6" t="str">
        <f>IFERROR(__xludf.DUMMYFUNCTION("""COMPUTED_VALUE"""),"JRHS - Ridgeland Secondary Academy of Excellence")</f>
        <v>JRHS - Ridgeland Secondary Academy of Excellence</v>
      </c>
      <c r="M5662" s="6" t="str">
        <f>IFERROR(__xludf.DUMMYFUNCTION("""COMPUTED_VALUE"""),"")</f>
        <v/>
      </c>
      <c r="N5662" s="6" t="str">
        <f>IFERROR(__xludf.DUMMYFUNCTION("""COMPUTED_VALUE"""),"")</f>
        <v/>
      </c>
      <c r="O5662" s="87" t="str">
        <f>IFERROR(__xludf.DUMMYFUNCTION("""COMPUTED_VALUE"""),"https://drive.google.com/drive/folders/10T2cTQHqEJZqE-st6uFKPoI?usp=share_link")</f>
        <v>https://drive.google.com/drive/folders/10T2cTQHqEJZqE-st6uFKPoI?usp=share_link</v>
      </c>
      <c r="P5662" s="6" t="str">
        <f>IFERROR(__xludf.DUMMYFUNCTION("""COMPUTED_VALUE"""),"Luis Hernandez-Palacios")</f>
        <v>Luis Hernandez-Palacios</v>
      </c>
      <c r="Q5662" s="6" t="str">
        <f>IFERROR(__xludf.DUMMYFUNCTION("""COMPUTED_VALUE"""),"MS")</f>
        <v>MS</v>
      </c>
      <c r="R5662" s="6">
        <f>IFERROR(__xludf.DUMMYFUNCTION("""COMPUTED_VALUE"""),0.0)</f>
        <v>0</v>
      </c>
      <c r="S5662" s="6" t="str">
        <f>IFERROR(__xludf.DUMMYFUNCTION("""COMPUTED_VALUE"""),"Kimberly Ball")</f>
        <v>Kimberly Ball</v>
      </c>
      <c r="T5662" s="6" t="str">
        <f>IFERROR(__xludf.DUMMYFUNCTION("""COMPUTED_VALUE"""),"kimberly.ball@studient.com")</f>
        <v>kimberly.ball@studient.com</v>
      </c>
      <c r="U5662" s="6" t="str">
        <f>IFERROR(__xludf.DUMMYFUNCTION("""COMPUTED_VALUE"""),"8")</f>
        <v>8</v>
      </c>
      <c r="V5662" s="6" t="str">
        <f>IFERROR(__xludf.DUMMYFUNCTION("""COMPUTED_VALUE"""),"")</f>
        <v/>
      </c>
      <c r="W5662" s="6" t="str">
        <f>IFERROR(__xludf.DUMMYFUNCTION("""COMPUTED_VALUE"""),"[]")</f>
        <v>[]</v>
      </c>
      <c r="X5662" s="6" t="str">
        <f>IFERROR(__xludf.DUMMYFUNCTION("""COMPUTED_VALUE"""),"Enrolled")</f>
        <v>Enrolled</v>
      </c>
    </row>
    <row r="5663">
      <c r="A5663" s="6" t="str">
        <f>IFERROR(__xludf.DUMMYFUNCTION("""COMPUTED_VALUE"""),"087-12260")</f>
        <v>087-12260</v>
      </c>
      <c r="B5663" s="6" t="str">
        <f>IFERROR(__xludf.DUMMYFUNCTION("""COMPUTED_VALUE"""),"87")</f>
        <v>87</v>
      </c>
      <c r="C5663" s="6" t="str">
        <f>IFERROR(__xludf.DUMMYFUNCTION("""COMPUTED_VALUE"""),"12260")</f>
        <v>12260</v>
      </c>
      <c r="D5663" s="6" t="str">
        <f>IFERROR(__xludf.DUMMYFUNCTION("""COMPUTED_VALUE"""),"David")</f>
        <v>David</v>
      </c>
      <c r="E5663" s="6" t="str">
        <f>IFERROR(__xludf.DUMMYFUNCTION("""COMPUTED_VALUE"""),"")</f>
        <v/>
      </c>
      <c r="F5663" s="6" t="str">
        <f>IFERROR(__xludf.DUMMYFUNCTION("""COMPUTED_VALUE"""),"Herreman")</f>
        <v>Herreman</v>
      </c>
      <c r="G5663" s="6" t="str">
        <f>IFERROR(__xludf.DUMMYFUNCTION("""COMPUTED_VALUE"""),"05/15/2012")</f>
        <v>05/15/2012</v>
      </c>
      <c r="H5663" s="6" t="str">
        <f>IFERROR(__xludf.DUMMYFUNCTION("""COMPUTED_VALUE"""),"male")</f>
        <v>male</v>
      </c>
      <c r="I5663" s="6" t="str">
        <f>IFERROR(__xludf.DUMMYFUNCTION("""COMPUTED_VALUE"""),"Middle School")</f>
        <v>Middle School</v>
      </c>
      <c r="J5663" s="6" t="str">
        <f>IFERROR(__xludf.DUMMYFUNCTION("""COMPUTED_VALUE"""),"8")</f>
        <v>8</v>
      </c>
      <c r="K5663" s="6" t="str">
        <f>IFERROR(__xludf.DUMMYFUNCTION("""COMPUTED_VALUE"""),"david.herreman@2hourlearning.com")</f>
        <v>david.herreman@2hourlearning.com</v>
      </c>
      <c r="L5663" s="6" t="str">
        <f>IFERROR(__xludf.DUMMYFUNCTION("""COMPUTED_VALUE"""),"JRHS - Ridgeland Secondary Academy of Excellence")</f>
        <v>JRHS - Ridgeland Secondary Academy of Excellence</v>
      </c>
      <c r="M5663" s="6" t="str">
        <f>IFERROR(__xludf.DUMMYFUNCTION("""COMPUTED_VALUE"""),"")</f>
        <v/>
      </c>
      <c r="N5663" s="6" t="str">
        <f>IFERROR(__xludf.DUMMYFUNCTION("""COMPUTED_VALUE"""),"")</f>
        <v/>
      </c>
      <c r="O5663" s="87" t="str">
        <f>IFERROR(__xludf.DUMMYFUNCTION("""COMPUTED_VALUE"""),"https://drive.google.com/drive/folders/10T2cTQHqEJZqE-st6uFKPoI?usp=share_link")</f>
        <v>https://drive.google.com/drive/folders/10T2cTQHqEJZqE-st6uFKPoI?usp=share_link</v>
      </c>
      <c r="P5663" s="6" t="str">
        <f>IFERROR(__xludf.DUMMYFUNCTION("""COMPUTED_VALUE"""),"David Herreman")</f>
        <v>David Herreman</v>
      </c>
      <c r="Q5663" s="6" t="str">
        <f>IFERROR(__xludf.DUMMYFUNCTION("""COMPUTED_VALUE"""),"MS")</f>
        <v>MS</v>
      </c>
      <c r="R5663" s="6">
        <f>IFERROR(__xludf.DUMMYFUNCTION("""COMPUTED_VALUE"""),0.0)</f>
        <v>0</v>
      </c>
      <c r="S5663" s="6" t="str">
        <f>IFERROR(__xludf.DUMMYFUNCTION("""COMPUTED_VALUE"""),"Kimberly Ball")</f>
        <v>Kimberly Ball</v>
      </c>
      <c r="T5663" s="6" t="str">
        <f>IFERROR(__xludf.DUMMYFUNCTION("""COMPUTED_VALUE"""),"kimberly.ball@studient.com")</f>
        <v>kimberly.ball@studient.com</v>
      </c>
      <c r="U5663" s="6" t="str">
        <f>IFERROR(__xludf.DUMMYFUNCTION("""COMPUTED_VALUE"""),"8")</f>
        <v>8</v>
      </c>
      <c r="V5663" s="6" t="str">
        <f>IFERROR(__xludf.DUMMYFUNCTION("""COMPUTED_VALUE"""),"")</f>
        <v/>
      </c>
      <c r="W5663" s="6" t="str">
        <f>IFERROR(__xludf.DUMMYFUNCTION("""COMPUTED_VALUE"""),"[]")</f>
        <v>[]</v>
      </c>
      <c r="X5663" s="6" t="str">
        <f>IFERROR(__xludf.DUMMYFUNCTION("""COMPUTED_VALUE"""),"Enrolled")</f>
        <v>Enrolled</v>
      </c>
    </row>
    <row r="5664">
      <c r="A5664" s="6" t="str">
        <f>IFERROR(__xludf.DUMMYFUNCTION("""COMPUTED_VALUE"""),"087-12261")</f>
        <v>087-12261</v>
      </c>
      <c r="B5664" s="6" t="str">
        <f>IFERROR(__xludf.DUMMYFUNCTION("""COMPUTED_VALUE"""),"87")</f>
        <v>87</v>
      </c>
      <c r="C5664" s="6" t="str">
        <f>IFERROR(__xludf.DUMMYFUNCTION("""COMPUTED_VALUE"""),"12261")</f>
        <v>12261</v>
      </c>
      <c r="D5664" s="6" t="str">
        <f>IFERROR(__xludf.DUMMYFUNCTION("""COMPUTED_VALUE"""),"Jakeim")</f>
        <v>Jakeim</v>
      </c>
      <c r="E5664" s="6" t="str">
        <f>IFERROR(__xludf.DUMMYFUNCTION("""COMPUTED_VALUE"""),"")</f>
        <v/>
      </c>
      <c r="F5664" s="6" t="str">
        <f>IFERROR(__xludf.DUMMYFUNCTION("""COMPUTED_VALUE"""),"Heyward")</f>
        <v>Heyward</v>
      </c>
      <c r="G5664" s="6" t="str">
        <f>IFERROR(__xludf.DUMMYFUNCTION("""COMPUTED_VALUE"""),"11/01/2012")</f>
        <v>11/01/2012</v>
      </c>
      <c r="H5664" s="6" t="str">
        <f>IFERROR(__xludf.DUMMYFUNCTION("""COMPUTED_VALUE"""),"male")</f>
        <v>male</v>
      </c>
      <c r="I5664" s="6" t="str">
        <f>IFERROR(__xludf.DUMMYFUNCTION("""COMPUTED_VALUE"""),"Middle School")</f>
        <v>Middle School</v>
      </c>
      <c r="J5664" s="6" t="str">
        <f>IFERROR(__xludf.DUMMYFUNCTION("""COMPUTED_VALUE"""),"7")</f>
        <v>7</v>
      </c>
      <c r="K5664" s="6" t="str">
        <f>IFERROR(__xludf.DUMMYFUNCTION("""COMPUTED_VALUE"""),"jakeim.heyward@2hourlearning.com")</f>
        <v>jakeim.heyward@2hourlearning.com</v>
      </c>
      <c r="L5664" s="6" t="str">
        <f>IFERROR(__xludf.DUMMYFUNCTION("""COMPUTED_VALUE"""),"JRHS - Ridgeland Secondary Academy of Excellence")</f>
        <v>JRHS - Ridgeland Secondary Academy of Excellence</v>
      </c>
      <c r="M5664" s="6" t="str">
        <f>IFERROR(__xludf.DUMMYFUNCTION("""COMPUTED_VALUE"""),"")</f>
        <v/>
      </c>
      <c r="N5664" s="6" t="str">
        <f>IFERROR(__xludf.DUMMYFUNCTION("""COMPUTED_VALUE"""),"")</f>
        <v/>
      </c>
      <c r="O5664" s="87" t="str">
        <f>IFERROR(__xludf.DUMMYFUNCTION("""COMPUTED_VALUE"""),"https://drive.google.com/drive/folders/10T2cTQHqEJZqE-st6uFKPoI?usp=share_link")</f>
        <v>https://drive.google.com/drive/folders/10T2cTQHqEJZqE-st6uFKPoI?usp=share_link</v>
      </c>
      <c r="P5664" s="6" t="str">
        <f>IFERROR(__xludf.DUMMYFUNCTION("""COMPUTED_VALUE"""),"Jakeim Heyward")</f>
        <v>Jakeim Heyward</v>
      </c>
      <c r="Q5664" s="6" t="str">
        <f>IFERROR(__xludf.DUMMYFUNCTION("""COMPUTED_VALUE"""),"MS")</f>
        <v>MS</v>
      </c>
      <c r="R5664" s="6">
        <f>IFERROR(__xludf.DUMMYFUNCTION("""COMPUTED_VALUE"""),0.0)</f>
        <v>0</v>
      </c>
      <c r="S5664" s="6" t="str">
        <f>IFERROR(__xludf.DUMMYFUNCTION("""COMPUTED_VALUE"""),"Kimberly Ball")</f>
        <v>Kimberly Ball</v>
      </c>
      <c r="T5664" s="6" t="str">
        <f>IFERROR(__xludf.DUMMYFUNCTION("""COMPUTED_VALUE"""),"kimberly.ball@studient.com")</f>
        <v>kimberly.ball@studient.com</v>
      </c>
      <c r="U5664" s="6" t="str">
        <f>IFERROR(__xludf.DUMMYFUNCTION("""COMPUTED_VALUE"""),"7")</f>
        <v>7</v>
      </c>
      <c r="V5664" s="6" t="str">
        <f>IFERROR(__xludf.DUMMYFUNCTION("""COMPUTED_VALUE"""),"")</f>
        <v/>
      </c>
      <c r="W5664" s="6" t="str">
        <f>IFERROR(__xludf.DUMMYFUNCTION("""COMPUTED_VALUE"""),"[]")</f>
        <v>[]</v>
      </c>
      <c r="X5664" s="6" t="str">
        <f>IFERROR(__xludf.DUMMYFUNCTION("""COMPUTED_VALUE"""),"Enrolled")</f>
        <v>Enrolled</v>
      </c>
    </row>
    <row r="5665">
      <c r="A5665" s="6" t="str">
        <f>IFERROR(__xludf.DUMMYFUNCTION("""COMPUTED_VALUE"""),"087-12262")</f>
        <v>087-12262</v>
      </c>
      <c r="B5665" s="6" t="str">
        <f>IFERROR(__xludf.DUMMYFUNCTION("""COMPUTED_VALUE"""),"87")</f>
        <v>87</v>
      </c>
      <c r="C5665" s="6" t="str">
        <f>IFERROR(__xludf.DUMMYFUNCTION("""COMPUTED_VALUE"""),"12262")</f>
        <v>12262</v>
      </c>
      <c r="D5665" s="6" t="str">
        <f>IFERROR(__xludf.DUMMYFUNCTION("""COMPUTED_VALUE"""),"Ariyanna")</f>
        <v>Ariyanna</v>
      </c>
      <c r="E5665" s="6" t="str">
        <f>IFERROR(__xludf.DUMMYFUNCTION("""COMPUTED_VALUE"""),"")</f>
        <v/>
      </c>
      <c r="F5665" s="6" t="str">
        <f>IFERROR(__xludf.DUMMYFUNCTION("""COMPUTED_VALUE"""),"Hicks")</f>
        <v>Hicks</v>
      </c>
      <c r="G5665" s="6" t="str">
        <f>IFERROR(__xludf.DUMMYFUNCTION("""COMPUTED_VALUE"""),"09/19/2012")</f>
        <v>09/19/2012</v>
      </c>
      <c r="H5665" s="6" t="str">
        <f>IFERROR(__xludf.DUMMYFUNCTION("""COMPUTED_VALUE"""),"female")</f>
        <v>female</v>
      </c>
      <c r="I5665" s="6" t="str">
        <f>IFERROR(__xludf.DUMMYFUNCTION("""COMPUTED_VALUE"""),"Middle School")</f>
        <v>Middle School</v>
      </c>
      <c r="J5665" s="6" t="str">
        <f>IFERROR(__xludf.DUMMYFUNCTION("""COMPUTED_VALUE"""),"7")</f>
        <v>7</v>
      </c>
      <c r="K5665" s="6" t="str">
        <f>IFERROR(__xludf.DUMMYFUNCTION("""COMPUTED_VALUE"""),"ariyanna.hicks@2hourlearning.com")</f>
        <v>ariyanna.hicks@2hourlearning.com</v>
      </c>
      <c r="L5665" s="6" t="str">
        <f>IFERROR(__xludf.DUMMYFUNCTION("""COMPUTED_VALUE"""),"JRHS - Ridgeland Secondary Academy of Excellence")</f>
        <v>JRHS - Ridgeland Secondary Academy of Excellence</v>
      </c>
      <c r="M5665" s="6" t="str">
        <f>IFERROR(__xludf.DUMMYFUNCTION("""COMPUTED_VALUE"""),"")</f>
        <v/>
      </c>
      <c r="N5665" s="6" t="str">
        <f>IFERROR(__xludf.DUMMYFUNCTION("""COMPUTED_VALUE"""),"")</f>
        <v/>
      </c>
      <c r="O5665" s="87" t="str">
        <f>IFERROR(__xludf.DUMMYFUNCTION("""COMPUTED_VALUE"""),"https://drive.google.com/drive/folders/10T2cTQHqEJZqE-st6uFKPoI?usp=share_link")</f>
        <v>https://drive.google.com/drive/folders/10T2cTQHqEJZqE-st6uFKPoI?usp=share_link</v>
      </c>
      <c r="P5665" s="6" t="str">
        <f>IFERROR(__xludf.DUMMYFUNCTION("""COMPUTED_VALUE"""),"Ariyanna Hicks")</f>
        <v>Ariyanna Hicks</v>
      </c>
      <c r="Q5665" s="6" t="str">
        <f>IFERROR(__xludf.DUMMYFUNCTION("""COMPUTED_VALUE"""),"MS")</f>
        <v>MS</v>
      </c>
      <c r="R5665" s="6">
        <f>IFERROR(__xludf.DUMMYFUNCTION("""COMPUTED_VALUE"""),0.0)</f>
        <v>0</v>
      </c>
      <c r="S5665" s="6" t="str">
        <f>IFERROR(__xludf.DUMMYFUNCTION("""COMPUTED_VALUE"""),"Kimberly Ball")</f>
        <v>Kimberly Ball</v>
      </c>
      <c r="T5665" s="6" t="str">
        <f>IFERROR(__xludf.DUMMYFUNCTION("""COMPUTED_VALUE"""),"kimberly.ball@studient.com")</f>
        <v>kimberly.ball@studient.com</v>
      </c>
      <c r="U5665" s="6" t="str">
        <f>IFERROR(__xludf.DUMMYFUNCTION("""COMPUTED_VALUE"""),"7")</f>
        <v>7</v>
      </c>
      <c r="V5665" s="6" t="str">
        <f>IFERROR(__xludf.DUMMYFUNCTION("""COMPUTED_VALUE"""),"")</f>
        <v/>
      </c>
      <c r="W5665" s="6" t="str">
        <f>IFERROR(__xludf.DUMMYFUNCTION("""COMPUTED_VALUE"""),"[]")</f>
        <v>[]</v>
      </c>
      <c r="X5665" s="6" t="str">
        <f>IFERROR(__xludf.DUMMYFUNCTION("""COMPUTED_VALUE"""),"Enrolled")</f>
        <v>Enrolled</v>
      </c>
    </row>
    <row r="5666">
      <c r="A5666" s="6" t="str">
        <f>IFERROR(__xludf.DUMMYFUNCTION("""COMPUTED_VALUE"""),"087-12263")</f>
        <v>087-12263</v>
      </c>
      <c r="B5666" s="6" t="str">
        <f>IFERROR(__xludf.DUMMYFUNCTION("""COMPUTED_VALUE"""),"87")</f>
        <v>87</v>
      </c>
      <c r="C5666" s="6" t="str">
        <f>IFERROR(__xludf.DUMMYFUNCTION("""COMPUTED_VALUE"""),"12263")</f>
        <v>12263</v>
      </c>
      <c r="D5666" s="6" t="str">
        <f>IFERROR(__xludf.DUMMYFUNCTION("""COMPUTED_VALUE"""),"Emily")</f>
        <v>Emily</v>
      </c>
      <c r="E5666" s="6" t="str">
        <f>IFERROR(__xludf.DUMMYFUNCTION("""COMPUTED_VALUE"""),"")</f>
        <v/>
      </c>
      <c r="F5666" s="6" t="str">
        <f>IFERROR(__xludf.DUMMYFUNCTION("""COMPUTED_VALUE"""),"Hoff")</f>
        <v>Hoff</v>
      </c>
      <c r="G5666" s="6" t="str">
        <f>IFERROR(__xludf.DUMMYFUNCTION("""COMPUTED_VALUE"""),"01/24/2014")</f>
        <v>01/24/2014</v>
      </c>
      <c r="H5666" s="6" t="str">
        <f>IFERROR(__xludf.DUMMYFUNCTION("""COMPUTED_VALUE"""),"female")</f>
        <v>female</v>
      </c>
      <c r="I5666" s="6" t="str">
        <f>IFERROR(__xludf.DUMMYFUNCTION("""COMPUTED_VALUE"""),"Middle School")</f>
        <v>Middle School</v>
      </c>
      <c r="J5666" s="6" t="str">
        <f>IFERROR(__xludf.DUMMYFUNCTION("""COMPUTED_VALUE"""),"6")</f>
        <v>6</v>
      </c>
      <c r="K5666" s="6" t="str">
        <f>IFERROR(__xludf.DUMMYFUNCTION("""COMPUTED_VALUE"""),"emily.hoff@2hourlearning.com")</f>
        <v>emily.hoff@2hourlearning.com</v>
      </c>
      <c r="L5666" s="6" t="str">
        <f>IFERROR(__xludf.DUMMYFUNCTION("""COMPUTED_VALUE"""),"JRHS - Ridgeland Secondary Academy of Excellence")</f>
        <v>JRHS - Ridgeland Secondary Academy of Excellence</v>
      </c>
      <c r="M5666" s="6" t="str">
        <f>IFERROR(__xludf.DUMMYFUNCTION("""COMPUTED_VALUE"""),"")</f>
        <v/>
      </c>
      <c r="N5666" s="6" t="str">
        <f>IFERROR(__xludf.DUMMYFUNCTION("""COMPUTED_VALUE"""),"")</f>
        <v/>
      </c>
      <c r="O5666" s="87" t="str">
        <f>IFERROR(__xludf.DUMMYFUNCTION("""COMPUTED_VALUE"""),"https://drive.google.com/drive/folders/10T2cTQHqEJZqE-st6uFKPoI?usp=share_link")</f>
        <v>https://drive.google.com/drive/folders/10T2cTQHqEJZqE-st6uFKPoI?usp=share_link</v>
      </c>
      <c r="P5666" s="6" t="str">
        <f>IFERROR(__xludf.DUMMYFUNCTION("""COMPUTED_VALUE"""),"Emily Hoff")</f>
        <v>Emily Hoff</v>
      </c>
      <c r="Q5666" s="6" t="str">
        <f>IFERROR(__xludf.DUMMYFUNCTION("""COMPUTED_VALUE"""),"MS")</f>
        <v>MS</v>
      </c>
      <c r="R5666" s="6">
        <f>IFERROR(__xludf.DUMMYFUNCTION("""COMPUTED_VALUE"""),0.0)</f>
        <v>0</v>
      </c>
      <c r="S5666" s="6" t="str">
        <f>IFERROR(__xludf.DUMMYFUNCTION("""COMPUTED_VALUE"""),"Kimberly Ball")</f>
        <v>Kimberly Ball</v>
      </c>
      <c r="T5666" s="6" t="str">
        <f>IFERROR(__xludf.DUMMYFUNCTION("""COMPUTED_VALUE"""),"kimberly.ball@studient.com")</f>
        <v>kimberly.ball@studient.com</v>
      </c>
      <c r="U5666" s="6" t="str">
        <f>IFERROR(__xludf.DUMMYFUNCTION("""COMPUTED_VALUE"""),"6")</f>
        <v>6</v>
      </c>
      <c r="V5666" s="6" t="str">
        <f>IFERROR(__xludf.DUMMYFUNCTION("""COMPUTED_VALUE"""),"")</f>
        <v/>
      </c>
      <c r="W5666" s="6" t="str">
        <f>IFERROR(__xludf.DUMMYFUNCTION("""COMPUTED_VALUE"""),"[]")</f>
        <v>[]</v>
      </c>
      <c r="X5666" s="6" t="str">
        <f>IFERROR(__xludf.DUMMYFUNCTION("""COMPUTED_VALUE"""),"Enrolled")</f>
        <v>Enrolled</v>
      </c>
    </row>
    <row r="5667">
      <c r="A5667" s="6" t="str">
        <f>IFERROR(__xludf.DUMMYFUNCTION("""COMPUTED_VALUE"""),"087-12264")</f>
        <v>087-12264</v>
      </c>
      <c r="B5667" s="6" t="str">
        <f>IFERROR(__xludf.DUMMYFUNCTION("""COMPUTED_VALUE"""),"87")</f>
        <v>87</v>
      </c>
      <c r="C5667" s="6" t="str">
        <f>IFERROR(__xludf.DUMMYFUNCTION("""COMPUTED_VALUE"""),"12264")</f>
        <v>12264</v>
      </c>
      <c r="D5667" s="6" t="str">
        <f>IFERROR(__xludf.DUMMYFUNCTION("""COMPUTED_VALUE"""),"Dreniyah")</f>
        <v>Dreniyah</v>
      </c>
      <c r="E5667" s="6" t="str">
        <f>IFERROR(__xludf.DUMMYFUNCTION("""COMPUTED_VALUE"""),"")</f>
        <v/>
      </c>
      <c r="F5667" s="6" t="str">
        <f>IFERROR(__xludf.DUMMYFUNCTION("""COMPUTED_VALUE"""),"Holloway")</f>
        <v>Holloway</v>
      </c>
      <c r="G5667" s="6" t="str">
        <f>IFERROR(__xludf.DUMMYFUNCTION("""COMPUTED_VALUE"""),"10/02/2011")</f>
        <v>10/02/2011</v>
      </c>
      <c r="H5667" s="6" t="str">
        <f>IFERROR(__xludf.DUMMYFUNCTION("""COMPUTED_VALUE"""),"female")</f>
        <v>female</v>
      </c>
      <c r="I5667" s="6" t="str">
        <f>IFERROR(__xludf.DUMMYFUNCTION("""COMPUTED_VALUE"""),"Middle School")</f>
        <v>Middle School</v>
      </c>
      <c r="J5667" s="6" t="str">
        <f>IFERROR(__xludf.DUMMYFUNCTION("""COMPUTED_VALUE"""),"8")</f>
        <v>8</v>
      </c>
      <c r="K5667" s="6" t="str">
        <f>IFERROR(__xludf.DUMMYFUNCTION("""COMPUTED_VALUE"""),"dreniyah.holloway@2hourlearning.com")</f>
        <v>dreniyah.holloway@2hourlearning.com</v>
      </c>
      <c r="L5667" s="6" t="str">
        <f>IFERROR(__xludf.DUMMYFUNCTION("""COMPUTED_VALUE"""),"JRHS - Ridgeland Secondary Academy of Excellence")</f>
        <v>JRHS - Ridgeland Secondary Academy of Excellence</v>
      </c>
      <c r="M5667" s="6" t="str">
        <f>IFERROR(__xludf.DUMMYFUNCTION("""COMPUTED_VALUE"""),"")</f>
        <v/>
      </c>
      <c r="N5667" s="6" t="str">
        <f>IFERROR(__xludf.DUMMYFUNCTION("""COMPUTED_VALUE"""),"")</f>
        <v/>
      </c>
      <c r="O5667" s="87" t="str">
        <f>IFERROR(__xludf.DUMMYFUNCTION("""COMPUTED_VALUE"""),"https://drive.google.com/drive/folders/10T2cTQHqEJZqE-st6uFKPoI?usp=share_link")</f>
        <v>https://drive.google.com/drive/folders/10T2cTQHqEJZqE-st6uFKPoI?usp=share_link</v>
      </c>
      <c r="P5667" s="6" t="str">
        <f>IFERROR(__xludf.DUMMYFUNCTION("""COMPUTED_VALUE"""),"Dreniyah Holloway")</f>
        <v>Dreniyah Holloway</v>
      </c>
      <c r="Q5667" s="6" t="str">
        <f>IFERROR(__xludf.DUMMYFUNCTION("""COMPUTED_VALUE"""),"MS")</f>
        <v>MS</v>
      </c>
      <c r="R5667" s="6">
        <f>IFERROR(__xludf.DUMMYFUNCTION("""COMPUTED_VALUE"""),0.0)</f>
        <v>0</v>
      </c>
      <c r="S5667" s="6" t="str">
        <f>IFERROR(__xludf.DUMMYFUNCTION("""COMPUTED_VALUE"""),"Kimberly Ball")</f>
        <v>Kimberly Ball</v>
      </c>
      <c r="T5667" s="6" t="str">
        <f>IFERROR(__xludf.DUMMYFUNCTION("""COMPUTED_VALUE"""),"kimberly.ball@studient.com")</f>
        <v>kimberly.ball@studient.com</v>
      </c>
      <c r="U5667" s="6" t="str">
        <f>IFERROR(__xludf.DUMMYFUNCTION("""COMPUTED_VALUE"""),"8")</f>
        <v>8</v>
      </c>
      <c r="V5667" s="6" t="str">
        <f>IFERROR(__xludf.DUMMYFUNCTION("""COMPUTED_VALUE"""),"")</f>
        <v/>
      </c>
      <c r="W5667" s="6" t="str">
        <f>IFERROR(__xludf.DUMMYFUNCTION("""COMPUTED_VALUE"""),"[]")</f>
        <v>[]</v>
      </c>
      <c r="X5667" s="6" t="str">
        <f>IFERROR(__xludf.DUMMYFUNCTION("""COMPUTED_VALUE"""),"Enrolled")</f>
        <v>Enrolled</v>
      </c>
    </row>
    <row r="5668">
      <c r="A5668" s="6" t="str">
        <f>IFERROR(__xludf.DUMMYFUNCTION("""COMPUTED_VALUE"""),"087-12265")</f>
        <v>087-12265</v>
      </c>
      <c r="B5668" s="6" t="str">
        <f>IFERROR(__xludf.DUMMYFUNCTION("""COMPUTED_VALUE"""),"87")</f>
        <v>87</v>
      </c>
      <c r="C5668" s="6" t="str">
        <f>IFERROR(__xludf.DUMMYFUNCTION("""COMPUTED_VALUE"""),"12265")</f>
        <v>12265</v>
      </c>
      <c r="D5668" s="6" t="str">
        <f>IFERROR(__xludf.DUMMYFUNCTION("""COMPUTED_VALUE"""),"Miguel")</f>
        <v>Miguel</v>
      </c>
      <c r="E5668" s="6" t="str">
        <f>IFERROR(__xludf.DUMMYFUNCTION("""COMPUTED_VALUE"""),"")</f>
        <v/>
      </c>
      <c r="F5668" s="6" t="str">
        <f>IFERROR(__xludf.DUMMYFUNCTION("""COMPUTED_VALUE"""),"Huerta Luna")</f>
        <v>Huerta Luna</v>
      </c>
      <c r="G5668" s="6" t="str">
        <f>IFERROR(__xludf.DUMMYFUNCTION("""COMPUTED_VALUE"""),"09/21/2013")</f>
        <v>09/21/2013</v>
      </c>
      <c r="H5668" s="6" t="str">
        <f>IFERROR(__xludf.DUMMYFUNCTION("""COMPUTED_VALUE"""),"male")</f>
        <v>male</v>
      </c>
      <c r="I5668" s="6" t="str">
        <f>IFERROR(__xludf.DUMMYFUNCTION("""COMPUTED_VALUE"""),"Middle School")</f>
        <v>Middle School</v>
      </c>
      <c r="J5668" s="6" t="str">
        <f>IFERROR(__xludf.DUMMYFUNCTION("""COMPUTED_VALUE"""),"6")</f>
        <v>6</v>
      </c>
      <c r="K5668" s="6" t="str">
        <f>IFERROR(__xludf.DUMMYFUNCTION("""COMPUTED_VALUE"""),"miguel.huertaluna@2hourlearning.com")</f>
        <v>miguel.huertaluna@2hourlearning.com</v>
      </c>
      <c r="L5668" s="6" t="str">
        <f>IFERROR(__xludf.DUMMYFUNCTION("""COMPUTED_VALUE"""),"JRHS - Ridgeland Secondary Academy of Excellence")</f>
        <v>JRHS - Ridgeland Secondary Academy of Excellence</v>
      </c>
      <c r="M5668" s="6" t="str">
        <f>IFERROR(__xludf.DUMMYFUNCTION("""COMPUTED_VALUE"""),"")</f>
        <v/>
      </c>
      <c r="N5668" s="6" t="str">
        <f>IFERROR(__xludf.DUMMYFUNCTION("""COMPUTED_VALUE"""),"")</f>
        <v/>
      </c>
      <c r="O5668" s="87" t="str">
        <f>IFERROR(__xludf.DUMMYFUNCTION("""COMPUTED_VALUE"""),"https://drive.google.com/drive/folders/10T2cTQHqEJZqE-st6uFKPoI?usp=share_link")</f>
        <v>https://drive.google.com/drive/folders/10T2cTQHqEJZqE-st6uFKPoI?usp=share_link</v>
      </c>
      <c r="P5668" s="6" t="str">
        <f>IFERROR(__xludf.DUMMYFUNCTION("""COMPUTED_VALUE"""),"Miguel Huerta Luna")</f>
        <v>Miguel Huerta Luna</v>
      </c>
      <c r="Q5668" s="6" t="str">
        <f>IFERROR(__xludf.DUMMYFUNCTION("""COMPUTED_VALUE"""),"MS")</f>
        <v>MS</v>
      </c>
      <c r="R5668" s="6">
        <f>IFERROR(__xludf.DUMMYFUNCTION("""COMPUTED_VALUE"""),0.0)</f>
        <v>0</v>
      </c>
      <c r="S5668" s="6" t="str">
        <f>IFERROR(__xludf.DUMMYFUNCTION("""COMPUTED_VALUE"""),"Kimberly Ball")</f>
        <v>Kimberly Ball</v>
      </c>
      <c r="T5668" s="6" t="str">
        <f>IFERROR(__xludf.DUMMYFUNCTION("""COMPUTED_VALUE"""),"kimberly.ball@studient.com")</f>
        <v>kimberly.ball@studient.com</v>
      </c>
      <c r="U5668" s="6" t="str">
        <f>IFERROR(__xludf.DUMMYFUNCTION("""COMPUTED_VALUE"""),"6")</f>
        <v>6</v>
      </c>
      <c r="V5668" s="6" t="str">
        <f>IFERROR(__xludf.DUMMYFUNCTION("""COMPUTED_VALUE"""),"")</f>
        <v/>
      </c>
      <c r="W5668" s="6" t="str">
        <f>IFERROR(__xludf.DUMMYFUNCTION("""COMPUTED_VALUE"""),"[]")</f>
        <v>[]</v>
      </c>
      <c r="X5668" s="6" t="str">
        <f>IFERROR(__xludf.DUMMYFUNCTION("""COMPUTED_VALUE"""),"Enrolled")</f>
        <v>Enrolled</v>
      </c>
    </row>
    <row r="5669">
      <c r="A5669" s="6" t="str">
        <f>IFERROR(__xludf.DUMMYFUNCTION("""COMPUTED_VALUE"""),"087-12266")</f>
        <v>087-12266</v>
      </c>
      <c r="B5669" s="6" t="str">
        <f>IFERROR(__xludf.DUMMYFUNCTION("""COMPUTED_VALUE"""),"87")</f>
        <v>87</v>
      </c>
      <c r="C5669" s="6" t="str">
        <f>IFERROR(__xludf.DUMMYFUNCTION("""COMPUTED_VALUE"""),"12266")</f>
        <v>12266</v>
      </c>
      <c r="D5669" s="6" t="str">
        <f>IFERROR(__xludf.DUMMYFUNCTION("""COMPUTED_VALUE"""),"Yaretzy")</f>
        <v>Yaretzy</v>
      </c>
      <c r="E5669" s="6" t="str">
        <f>IFERROR(__xludf.DUMMYFUNCTION("""COMPUTED_VALUE"""),"")</f>
        <v/>
      </c>
      <c r="F5669" s="6" t="str">
        <f>IFERROR(__xludf.DUMMYFUNCTION("""COMPUTED_VALUE"""),"Ibarra Hernandez")</f>
        <v>Ibarra Hernandez</v>
      </c>
      <c r="G5669" s="6" t="str">
        <f>IFERROR(__xludf.DUMMYFUNCTION("""COMPUTED_VALUE"""),"02/24/2012")</f>
        <v>02/24/2012</v>
      </c>
      <c r="H5669" s="6" t="str">
        <f>IFERROR(__xludf.DUMMYFUNCTION("""COMPUTED_VALUE"""),"female")</f>
        <v>female</v>
      </c>
      <c r="I5669" s="6" t="str">
        <f>IFERROR(__xludf.DUMMYFUNCTION("""COMPUTED_VALUE"""),"Middle School")</f>
        <v>Middle School</v>
      </c>
      <c r="J5669" s="6" t="str">
        <f>IFERROR(__xludf.DUMMYFUNCTION("""COMPUTED_VALUE"""),"7")</f>
        <v>7</v>
      </c>
      <c r="K5669" s="6" t="str">
        <f>IFERROR(__xludf.DUMMYFUNCTION("""COMPUTED_VALUE"""),"yaretzy.ibarrahernandez@2hourlearning.com")</f>
        <v>yaretzy.ibarrahernandez@2hourlearning.com</v>
      </c>
      <c r="L5669" s="6" t="str">
        <f>IFERROR(__xludf.DUMMYFUNCTION("""COMPUTED_VALUE"""),"JRHS - Ridgeland Secondary Academy of Excellence")</f>
        <v>JRHS - Ridgeland Secondary Academy of Excellence</v>
      </c>
      <c r="M5669" s="6" t="str">
        <f>IFERROR(__xludf.DUMMYFUNCTION("""COMPUTED_VALUE"""),"")</f>
        <v/>
      </c>
      <c r="N5669" s="6" t="str">
        <f>IFERROR(__xludf.DUMMYFUNCTION("""COMPUTED_VALUE"""),"")</f>
        <v/>
      </c>
      <c r="O5669" s="87" t="str">
        <f>IFERROR(__xludf.DUMMYFUNCTION("""COMPUTED_VALUE"""),"https://drive.google.com/drive/folders/10T2cTQHqEJZqE-st6uFKPoI?usp=share_link")</f>
        <v>https://drive.google.com/drive/folders/10T2cTQHqEJZqE-st6uFKPoI?usp=share_link</v>
      </c>
      <c r="P5669" s="6" t="str">
        <f>IFERROR(__xludf.DUMMYFUNCTION("""COMPUTED_VALUE"""),"Yaretzy Ibarra Hernandez")</f>
        <v>Yaretzy Ibarra Hernandez</v>
      </c>
      <c r="Q5669" s="6" t="str">
        <f>IFERROR(__xludf.DUMMYFUNCTION("""COMPUTED_VALUE"""),"MS")</f>
        <v>MS</v>
      </c>
      <c r="R5669" s="6">
        <f>IFERROR(__xludf.DUMMYFUNCTION("""COMPUTED_VALUE"""),0.0)</f>
        <v>0</v>
      </c>
      <c r="S5669" s="6" t="str">
        <f>IFERROR(__xludf.DUMMYFUNCTION("""COMPUTED_VALUE"""),"Kimberly Ball")</f>
        <v>Kimberly Ball</v>
      </c>
      <c r="T5669" s="6" t="str">
        <f>IFERROR(__xludf.DUMMYFUNCTION("""COMPUTED_VALUE"""),"kimberly.ball@studient.com")</f>
        <v>kimberly.ball@studient.com</v>
      </c>
      <c r="U5669" s="6" t="str">
        <f>IFERROR(__xludf.DUMMYFUNCTION("""COMPUTED_VALUE"""),"7")</f>
        <v>7</v>
      </c>
      <c r="V5669" s="6" t="str">
        <f>IFERROR(__xludf.DUMMYFUNCTION("""COMPUTED_VALUE"""),"")</f>
        <v/>
      </c>
      <c r="W5669" s="6" t="str">
        <f>IFERROR(__xludf.DUMMYFUNCTION("""COMPUTED_VALUE"""),"[]")</f>
        <v>[]</v>
      </c>
      <c r="X5669" s="6" t="str">
        <f>IFERROR(__xludf.DUMMYFUNCTION("""COMPUTED_VALUE"""),"Enrolled")</f>
        <v>Enrolled</v>
      </c>
    </row>
    <row r="5670">
      <c r="A5670" s="6" t="str">
        <f>IFERROR(__xludf.DUMMYFUNCTION("""COMPUTED_VALUE"""),"087-12267")</f>
        <v>087-12267</v>
      </c>
      <c r="B5670" s="6" t="str">
        <f>IFERROR(__xludf.DUMMYFUNCTION("""COMPUTED_VALUE"""),"87")</f>
        <v>87</v>
      </c>
      <c r="C5670" s="6" t="str">
        <f>IFERROR(__xludf.DUMMYFUNCTION("""COMPUTED_VALUE"""),"12267")</f>
        <v>12267</v>
      </c>
      <c r="D5670" s="6" t="str">
        <f>IFERROR(__xludf.DUMMYFUNCTION("""COMPUTED_VALUE"""),"Ashyelin")</f>
        <v>Ashyelin</v>
      </c>
      <c r="E5670" s="6" t="str">
        <f>IFERROR(__xludf.DUMMYFUNCTION("""COMPUTED_VALUE"""),"")</f>
        <v/>
      </c>
      <c r="F5670" s="6" t="str">
        <f>IFERROR(__xludf.DUMMYFUNCTION("""COMPUTED_VALUE"""),"Ibarra Penaloza")</f>
        <v>Ibarra Penaloza</v>
      </c>
      <c r="G5670" s="6" t="str">
        <f>IFERROR(__xludf.DUMMYFUNCTION("""COMPUTED_VALUE"""),"06/16/2014")</f>
        <v>06/16/2014</v>
      </c>
      <c r="H5670" s="6" t="str">
        <f>IFERROR(__xludf.DUMMYFUNCTION("""COMPUTED_VALUE"""),"male")</f>
        <v>male</v>
      </c>
      <c r="I5670" s="6" t="str">
        <f>IFERROR(__xludf.DUMMYFUNCTION("""COMPUTED_VALUE"""),"Middle School")</f>
        <v>Middle School</v>
      </c>
      <c r="J5670" s="6" t="str">
        <f>IFERROR(__xludf.DUMMYFUNCTION("""COMPUTED_VALUE"""),"6")</f>
        <v>6</v>
      </c>
      <c r="K5670" s="6" t="str">
        <f>IFERROR(__xludf.DUMMYFUNCTION("""COMPUTED_VALUE"""),"ashyelin.ibarrapenaloza@2hourlearning.com")</f>
        <v>ashyelin.ibarrapenaloza@2hourlearning.com</v>
      </c>
      <c r="L5670" s="6" t="str">
        <f>IFERROR(__xludf.DUMMYFUNCTION("""COMPUTED_VALUE"""),"JRHS - Ridgeland Secondary Academy of Excellence")</f>
        <v>JRHS - Ridgeland Secondary Academy of Excellence</v>
      </c>
      <c r="M5670" s="6" t="str">
        <f>IFERROR(__xludf.DUMMYFUNCTION("""COMPUTED_VALUE"""),"")</f>
        <v/>
      </c>
      <c r="N5670" s="6" t="str">
        <f>IFERROR(__xludf.DUMMYFUNCTION("""COMPUTED_VALUE"""),"")</f>
        <v/>
      </c>
      <c r="O5670" s="87" t="str">
        <f>IFERROR(__xludf.DUMMYFUNCTION("""COMPUTED_VALUE"""),"https://drive.google.com/drive/folders/10T2cTQHqEJZqE-st6uFKPoI?usp=share_link")</f>
        <v>https://drive.google.com/drive/folders/10T2cTQHqEJZqE-st6uFKPoI?usp=share_link</v>
      </c>
      <c r="P5670" s="6" t="str">
        <f>IFERROR(__xludf.DUMMYFUNCTION("""COMPUTED_VALUE"""),"Ashyelin Ibarra Penaloza")</f>
        <v>Ashyelin Ibarra Penaloza</v>
      </c>
      <c r="Q5670" s="6" t="str">
        <f>IFERROR(__xludf.DUMMYFUNCTION("""COMPUTED_VALUE"""),"MS")</f>
        <v>MS</v>
      </c>
      <c r="R5670" s="6">
        <f>IFERROR(__xludf.DUMMYFUNCTION("""COMPUTED_VALUE"""),0.0)</f>
        <v>0</v>
      </c>
      <c r="S5670" s="6" t="str">
        <f>IFERROR(__xludf.DUMMYFUNCTION("""COMPUTED_VALUE"""),"Kimberly Ball")</f>
        <v>Kimberly Ball</v>
      </c>
      <c r="T5670" s="6" t="str">
        <f>IFERROR(__xludf.DUMMYFUNCTION("""COMPUTED_VALUE"""),"kimberly.ball@studient.com")</f>
        <v>kimberly.ball@studient.com</v>
      </c>
      <c r="U5670" s="6" t="str">
        <f>IFERROR(__xludf.DUMMYFUNCTION("""COMPUTED_VALUE"""),"6")</f>
        <v>6</v>
      </c>
      <c r="V5670" s="6" t="str">
        <f>IFERROR(__xludf.DUMMYFUNCTION("""COMPUTED_VALUE"""),"")</f>
        <v/>
      </c>
      <c r="W5670" s="6" t="str">
        <f>IFERROR(__xludf.DUMMYFUNCTION("""COMPUTED_VALUE"""),"[]")</f>
        <v>[]</v>
      </c>
      <c r="X5670" s="6" t="str">
        <f>IFERROR(__xludf.DUMMYFUNCTION("""COMPUTED_VALUE"""),"Enrolled")</f>
        <v>Enrolled</v>
      </c>
    </row>
    <row r="5671">
      <c r="A5671" s="6" t="str">
        <f>IFERROR(__xludf.DUMMYFUNCTION("""COMPUTED_VALUE"""),"087-12268")</f>
        <v>087-12268</v>
      </c>
      <c r="B5671" s="6" t="str">
        <f>IFERROR(__xludf.DUMMYFUNCTION("""COMPUTED_VALUE"""),"87")</f>
        <v>87</v>
      </c>
      <c r="C5671" s="6" t="str">
        <f>IFERROR(__xludf.DUMMYFUNCTION("""COMPUTED_VALUE"""),"12268")</f>
        <v>12268</v>
      </c>
      <c r="D5671" s="6" t="str">
        <f>IFERROR(__xludf.DUMMYFUNCTION("""COMPUTED_VALUE"""),"Jostin")</f>
        <v>Jostin</v>
      </c>
      <c r="E5671" s="6" t="str">
        <f>IFERROR(__xludf.DUMMYFUNCTION("""COMPUTED_VALUE"""),"")</f>
        <v/>
      </c>
      <c r="F5671" s="6" t="str">
        <f>IFERROR(__xludf.DUMMYFUNCTION("""COMPUTED_VALUE"""),"Izaguirre Medina")</f>
        <v>Izaguirre Medina</v>
      </c>
      <c r="G5671" s="6" t="str">
        <f>IFERROR(__xludf.DUMMYFUNCTION("""COMPUTED_VALUE"""),"10/24/2011")</f>
        <v>10/24/2011</v>
      </c>
      <c r="H5671" s="6" t="str">
        <f>IFERROR(__xludf.DUMMYFUNCTION("""COMPUTED_VALUE"""),"male")</f>
        <v>male</v>
      </c>
      <c r="I5671" s="6" t="str">
        <f>IFERROR(__xludf.DUMMYFUNCTION("""COMPUTED_VALUE"""),"Middle School")</f>
        <v>Middle School</v>
      </c>
      <c r="J5671" s="6" t="str">
        <f>IFERROR(__xludf.DUMMYFUNCTION("""COMPUTED_VALUE"""),"8")</f>
        <v>8</v>
      </c>
      <c r="K5671" s="6" t="str">
        <f>IFERROR(__xludf.DUMMYFUNCTION("""COMPUTED_VALUE"""),"jostin.izaguirremedina@2hourlearning.com")</f>
        <v>jostin.izaguirremedina@2hourlearning.com</v>
      </c>
      <c r="L5671" s="6" t="str">
        <f>IFERROR(__xludf.DUMMYFUNCTION("""COMPUTED_VALUE"""),"JRHS - Ridgeland Secondary Academy of Excellence")</f>
        <v>JRHS - Ridgeland Secondary Academy of Excellence</v>
      </c>
      <c r="M5671" s="6" t="str">
        <f>IFERROR(__xludf.DUMMYFUNCTION("""COMPUTED_VALUE"""),"")</f>
        <v/>
      </c>
      <c r="N5671" s="6" t="str">
        <f>IFERROR(__xludf.DUMMYFUNCTION("""COMPUTED_VALUE"""),"")</f>
        <v/>
      </c>
      <c r="O5671" s="87" t="str">
        <f>IFERROR(__xludf.DUMMYFUNCTION("""COMPUTED_VALUE"""),"https://drive.google.com/drive/folders/10T2cTQHqEJZqE-st6uFKPoI?usp=share_link")</f>
        <v>https://drive.google.com/drive/folders/10T2cTQHqEJZqE-st6uFKPoI?usp=share_link</v>
      </c>
      <c r="P5671" s="6" t="str">
        <f>IFERROR(__xludf.DUMMYFUNCTION("""COMPUTED_VALUE"""),"Jostin Izaguirre Medina")</f>
        <v>Jostin Izaguirre Medina</v>
      </c>
      <c r="Q5671" s="6" t="str">
        <f>IFERROR(__xludf.DUMMYFUNCTION("""COMPUTED_VALUE"""),"MS")</f>
        <v>MS</v>
      </c>
      <c r="R5671" s="6">
        <f>IFERROR(__xludf.DUMMYFUNCTION("""COMPUTED_VALUE"""),0.0)</f>
        <v>0</v>
      </c>
      <c r="S5671" s="6" t="str">
        <f>IFERROR(__xludf.DUMMYFUNCTION("""COMPUTED_VALUE"""),"Kimberly Ball")</f>
        <v>Kimberly Ball</v>
      </c>
      <c r="T5671" s="6" t="str">
        <f>IFERROR(__xludf.DUMMYFUNCTION("""COMPUTED_VALUE"""),"kimberly.ball@studient.com")</f>
        <v>kimberly.ball@studient.com</v>
      </c>
      <c r="U5671" s="6" t="str">
        <f>IFERROR(__xludf.DUMMYFUNCTION("""COMPUTED_VALUE"""),"8")</f>
        <v>8</v>
      </c>
      <c r="V5671" s="6" t="str">
        <f>IFERROR(__xludf.DUMMYFUNCTION("""COMPUTED_VALUE"""),"")</f>
        <v/>
      </c>
      <c r="W5671" s="6" t="str">
        <f>IFERROR(__xludf.DUMMYFUNCTION("""COMPUTED_VALUE"""),"[]")</f>
        <v>[]</v>
      </c>
      <c r="X5671" s="6" t="str">
        <f>IFERROR(__xludf.DUMMYFUNCTION("""COMPUTED_VALUE"""),"Enrolled")</f>
        <v>Enrolled</v>
      </c>
    </row>
    <row r="5672">
      <c r="A5672" s="6" t="str">
        <f>IFERROR(__xludf.DUMMYFUNCTION("""COMPUTED_VALUE"""),"087-12269")</f>
        <v>087-12269</v>
      </c>
      <c r="B5672" s="6" t="str">
        <f>IFERROR(__xludf.DUMMYFUNCTION("""COMPUTED_VALUE"""),"87")</f>
        <v>87</v>
      </c>
      <c r="C5672" s="6" t="str">
        <f>IFERROR(__xludf.DUMMYFUNCTION("""COMPUTED_VALUE"""),"12269")</f>
        <v>12269</v>
      </c>
      <c r="D5672" s="6" t="str">
        <f>IFERROR(__xludf.DUMMYFUNCTION("""COMPUTED_VALUE"""),"Justin")</f>
        <v>Justin</v>
      </c>
      <c r="E5672" s="6" t="str">
        <f>IFERROR(__xludf.DUMMYFUNCTION("""COMPUTED_VALUE"""),"")</f>
        <v/>
      </c>
      <c r="F5672" s="6" t="str">
        <f>IFERROR(__xludf.DUMMYFUNCTION("""COMPUTED_VALUE"""),"Jenkins")</f>
        <v>Jenkins</v>
      </c>
      <c r="G5672" s="6" t="str">
        <f>IFERROR(__xludf.DUMMYFUNCTION("""COMPUTED_VALUE"""),"07/31/2012")</f>
        <v>07/31/2012</v>
      </c>
      <c r="H5672" s="6" t="str">
        <f>IFERROR(__xludf.DUMMYFUNCTION("""COMPUTED_VALUE"""),"male")</f>
        <v>male</v>
      </c>
      <c r="I5672" s="6" t="str">
        <f>IFERROR(__xludf.DUMMYFUNCTION("""COMPUTED_VALUE"""),"Middle School")</f>
        <v>Middle School</v>
      </c>
      <c r="J5672" s="6" t="str">
        <f>IFERROR(__xludf.DUMMYFUNCTION("""COMPUTED_VALUE"""),"8")</f>
        <v>8</v>
      </c>
      <c r="K5672" s="6" t="str">
        <f>IFERROR(__xludf.DUMMYFUNCTION("""COMPUTED_VALUE"""),"justin.jenkins@2hourlearning.com")</f>
        <v>justin.jenkins@2hourlearning.com</v>
      </c>
      <c r="L5672" s="6" t="str">
        <f>IFERROR(__xludf.DUMMYFUNCTION("""COMPUTED_VALUE"""),"JRHS - Ridgeland Secondary Academy of Excellence")</f>
        <v>JRHS - Ridgeland Secondary Academy of Excellence</v>
      </c>
      <c r="M5672" s="6" t="str">
        <f>IFERROR(__xludf.DUMMYFUNCTION("""COMPUTED_VALUE"""),"")</f>
        <v/>
      </c>
      <c r="N5672" s="6" t="str">
        <f>IFERROR(__xludf.DUMMYFUNCTION("""COMPUTED_VALUE"""),"")</f>
        <v/>
      </c>
      <c r="O5672" s="87" t="str">
        <f>IFERROR(__xludf.DUMMYFUNCTION("""COMPUTED_VALUE"""),"https://drive.google.com/drive/folders/10T2cTQHqEJZqE-st6uFKPoI?usp=share_link")</f>
        <v>https://drive.google.com/drive/folders/10T2cTQHqEJZqE-st6uFKPoI?usp=share_link</v>
      </c>
      <c r="P5672" s="6" t="str">
        <f>IFERROR(__xludf.DUMMYFUNCTION("""COMPUTED_VALUE"""),"Justin Jenkins")</f>
        <v>Justin Jenkins</v>
      </c>
      <c r="Q5672" s="6" t="str">
        <f>IFERROR(__xludf.DUMMYFUNCTION("""COMPUTED_VALUE"""),"MS")</f>
        <v>MS</v>
      </c>
      <c r="R5672" s="6">
        <f>IFERROR(__xludf.DUMMYFUNCTION("""COMPUTED_VALUE"""),0.0)</f>
        <v>0</v>
      </c>
      <c r="S5672" s="6" t="str">
        <f>IFERROR(__xludf.DUMMYFUNCTION("""COMPUTED_VALUE"""),"Kimberly Ball")</f>
        <v>Kimberly Ball</v>
      </c>
      <c r="T5672" s="6" t="str">
        <f>IFERROR(__xludf.DUMMYFUNCTION("""COMPUTED_VALUE"""),"kimberly.ball@studient.com")</f>
        <v>kimberly.ball@studient.com</v>
      </c>
      <c r="U5672" s="6" t="str">
        <f>IFERROR(__xludf.DUMMYFUNCTION("""COMPUTED_VALUE"""),"8")</f>
        <v>8</v>
      </c>
      <c r="V5672" s="6" t="str">
        <f>IFERROR(__xludf.DUMMYFUNCTION("""COMPUTED_VALUE"""),"")</f>
        <v/>
      </c>
      <c r="W5672" s="6" t="str">
        <f>IFERROR(__xludf.DUMMYFUNCTION("""COMPUTED_VALUE"""),"[]")</f>
        <v>[]</v>
      </c>
      <c r="X5672" s="6" t="str">
        <f>IFERROR(__xludf.DUMMYFUNCTION("""COMPUTED_VALUE"""),"Enrolled")</f>
        <v>Enrolled</v>
      </c>
    </row>
    <row r="5673">
      <c r="A5673" s="6" t="str">
        <f>IFERROR(__xludf.DUMMYFUNCTION("""COMPUTED_VALUE"""),"087-12270")</f>
        <v>087-12270</v>
      </c>
      <c r="B5673" s="6" t="str">
        <f>IFERROR(__xludf.DUMMYFUNCTION("""COMPUTED_VALUE"""),"87")</f>
        <v>87</v>
      </c>
      <c r="C5673" s="6" t="str">
        <f>IFERROR(__xludf.DUMMYFUNCTION("""COMPUTED_VALUE"""),"12270")</f>
        <v>12270</v>
      </c>
      <c r="D5673" s="6" t="str">
        <f>IFERROR(__xludf.DUMMYFUNCTION("""COMPUTED_VALUE"""),"Kimahn")</f>
        <v>Kimahn</v>
      </c>
      <c r="E5673" s="6" t="str">
        <f>IFERROR(__xludf.DUMMYFUNCTION("""COMPUTED_VALUE"""),"")</f>
        <v/>
      </c>
      <c r="F5673" s="6" t="str">
        <f>IFERROR(__xludf.DUMMYFUNCTION("""COMPUTED_VALUE"""),"Jenkins")</f>
        <v>Jenkins</v>
      </c>
      <c r="G5673" s="6" t="str">
        <f>IFERROR(__xludf.DUMMYFUNCTION("""COMPUTED_VALUE"""),"10/10/2011")</f>
        <v>10/10/2011</v>
      </c>
      <c r="H5673" s="6" t="str">
        <f>IFERROR(__xludf.DUMMYFUNCTION("""COMPUTED_VALUE"""),"male")</f>
        <v>male</v>
      </c>
      <c r="I5673" s="6" t="str">
        <f>IFERROR(__xludf.DUMMYFUNCTION("""COMPUTED_VALUE"""),"Middle School")</f>
        <v>Middle School</v>
      </c>
      <c r="J5673" s="6" t="str">
        <f>IFERROR(__xludf.DUMMYFUNCTION("""COMPUTED_VALUE"""),"8")</f>
        <v>8</v>
      </c>
      <c r="K5673" s="6" t="str">
        <f>IFERROR(__xludf.DUMMYFUNCTION("""COMPUTED_VALUE"""),"kimahn.jenkins@2hourlearning.com")</f>
        <v>kimahn.jenkins@2hourlearning.com</v>
      </c>
      <c r="L5673" s="6" t="str">
        <f>IFERROR(__xludf.DUMMYFUNCTION("""COMPUTED_VALUE"""),"JRHS - Ridgeland Secondary Academy of Excellence")</f>
        <v>JRHS - Ridgeland Secondary Academy of Excellence</v>
      </c>
      <c r="M5673" s="6" t="str">
        <f>IFERROR(__xludf.DUMMYFUNCTION("""COMPUTED_VALUE"""),"")</f>
        <v/>
      </c>
      <c r="N5673" s="6" t="str">
        <f>IFERROR(__xludf.DUMMYFUNCTION("""COMPUTED_VALUE"""),"")</f>
        <v/>
      </c>
      <c r="O5673" s="87" t="str">
        <f>IFERROR(__xludf.DUMMYFUNCTION("""COMPUTED_VALUE"""),"https://drive.google.com/drive/folders/10T2cTQHqEJZqE-st6uFKPoI?usp=share_link")</f>
        <v>https://drive.google.com/drive/folders/10T2cTQHqEJZqE-st6uFKPoI?usp=share_link</v>
      </c>
      <c r="P5673" s="6" t="str">
        <f>IFERROR(__xludf.DUMMYFUNCTION("""COMPUTED_VALUE"""),"Kimahn Jenkins")</f>
        <v>Kimahn Jenkins</v>
      </c>
      <c r="Q5673" s="6" t="str">
        <f>IFERROR(__xludf.DUMMYFUNCTION("""COMPUTED_VALUE"""),"MS")</f>
        <v>MS</v>
      </c>
      <c r="R5673" s="6">
        <f>IFERROR(__xludf.DUMMYFUNCTION("""COMPUTED_VALUE"""),0.0)</f>
        <v>0</v>
      </c>
      <c r="S5673" s="6" t="str">
        <f>IFERROR(__xludf.DUMMYFUNCTION("""COMPUTED_VALUE"""),"Kimberly Ball")</f>
        <v>Kimberly Ball</v>
      </c>
      <c r="T5673" s="6" t="str">
        <f>IFERROR(__xludf.DUMMYFUNCTION("""COMPUTED_VALUE"""),"kimberly.ball@studient.com")</f>
        <v>kimberly.ball@studient.com</v>
      </c>
      <c r="U5673" s="6" t="str">
        <f>IFERROR(__xludf.DUMMYFUNCTION("""COMPUTED_VALUE"""),"8")</f>
        <v>8</v>
      </c>
      <c r="V5673" s="6" t="str">
        <f>IFERROR(__xludf.DUMMYFUNCTION("""COMPUTED_VALUE"""),"")</f>
        <v/>
      </c>
      <c r="W5673" s="6" t="str">
        <f>IFERROR(__xludf.DUMMYFUNCTION("""COMPUTED_VALUE"""),"[]")</f>
        <v>[]</v>
      </c>
      <c r="X5673" s="6" t="str">
        <f>IFERROR(__xludf.DUMMYFUNCTION("""COMPUTED_VALUE"""),"Enrolled")</f>
        <v>Enrolled</v>
      </c>
    </row>
    <row r="5674">
      <c r="A5674" s="6" t="str">
        <f>IFERROR(__xludf.DUMMYFUNCTION("""COMPUTED_VALUE"""),"087-12271")</f>
        <v>087-12271</v>
      </c>
      <c r="B5674" s="6" t="str">
        <f>IFERROR(__xludf.DUMMYFUNCTION("""COMPUTED_VALUE"""),"87")</f>
        <v>87</v>
      </c>
      <c r="C5674" s="6" t="str">
        <f>IFERROR(__xludf.DUMMYFUNCTION("""COMPUTED_VALUE"""),"12271")</f>
        <v>12271</v>
      </c>
      <c r="D5674" s="6" t="str">
        <f>IFERROR(__xludf.DUMMYFUNCTION("""COMPUTED_VALUE"""),"Lyric")</f>
        <v>Lyric</v>
      </c>
      <c r="E5674" s="6" t="str">
        <f>IFERROR(__xludf.DUMMYFUNCTION("""COMPUTED_VALUE"""),"")</f>
        <v/>
      </c>
      <c r="F5674" s="6" t="str">
        <f>IFERROR(__xludf.DUMMYFUNCTION("""COMPUTED_VALUE"""),"Jenkins")</f>
        <v>Jenkins</v>
      </c>
      <c r="G5674" s="6" t="str">
        <f>IFERROR(__xludf.DUMMYFUNCTION("""COMPUTED_VALUE"""),"03/28/2013")</f>
        <v>03/28/2013</v>
      </c>
      <c r="H5674" s="6" t="str">
        <f>IFERROR(__xludf.DUMMYFUNCTION("""COMPUTED_VALUE"""),"female")</f>
        <v>female</v>
      </c>
      <c r="I5674" s="6" t="str">
        <f>IFERROR(__xludf.DUMMYFUNCTION("""COMPUTED_VALUE"""),"Middle School")</f>
        <v>Middle School</v>
      </c>
      <c r="J5674" s="6" t="str">
        <f>IFERROR(__xludf.DUMMYFUNCTION("""COMPUTED_VALUE"""),"7")</f>
        <v>7</v>
      </c>
      <c r="K5674" s="6" t="str">
        <f>IFERROR(__xludf.DUMMYFUNCTION("""COMPUTED_VALUE"""),"lyric.jenkins@2hourlearning.com")</f>
        <v>lyric.jenkins@2hourlearning.com</v>
      </c>
      <c r="L5674" s="6" t="str">
        <f>IFERROR(__xludf.DUMMYFUNCTION("""COMPUTED_VALUE"""),"JRHS - Ridgeland Secondary Academy of Excellence")</f>
        <v>JRHS - Ridgeland Secondary Academy of Excellence</v>
      </c>
      <c r="M5674" s="6" t="str">
        <f>IFERROR(__xludf.DUMMYFUNCTION("""COMPUTED_VALUE"""),"")</f>
        <v/>
      </c>
      <c r="N5674" s="6" t="str">
        <f>IFERROR(__xludf.DUMMYFUNCTION("""COMPUTED_VALUE"""),"")</f>
        <v/>
      </c>
      <c r="O5674" s="87" t="str">
        <f>IFERROR(__xludf.DUMMYFUNCTION("""COMPUTED_VALUE"""),"https://drive.google.com/drive/folders/10T2cTQHqEJZqE-st6uFKPoI?usp=share_link")</f>
        <v>https://drive.google.com/drive/folders/10T2cTQHqEJZqE-st6uFKPoI?usp=share_link</v>
      </c>
      <c r="P5674" s="6" t="str">
        <f>IFERROR(__xludf.DUMMYFUNCTION("""COMPUTED_VALUE"""),"Lyric Jenkins")</f>
        <v>Lyric Jenkins</v>
      </c>
      <c r="Q5674" s="6" t="str">
        <f>IFERROR(__xludf.DUMMYFUNCTION("""COMPUTED_VALUE"""),"MS")</f>
        <v>MS</v>
      </c>
      <c r="R5674" s="6">
        <f>IFERROR(__xludf.DUMMYFUNCTION("""COMPUTED_VALUE"""),0.0)</f>
        <v>0</v>
      </c>
      <c r="S5674" s="6" t="str">
        <f>IFERROR(__xludf.DUMMYFUNCTION("""COMPUTED_VALUE"""),"Kimberly Ball")</f>
        <v>Kimberly Ball</v>
      </c>
      <c r="T5674" s="6" t="str">
        <f>IFERROR(__xludf.DUMMYFUNCTION("""COMPUTED_VALUE"""),"kimberly.ball@studient.com")</f>
        <v>kimberly.ball@studient.com</v>
      </c>
      <c r="U5674" s="6" t="str">
        <f>IFERROR(__xludf.DUMMYFUNCTION("""COMPUTED_VALUE"""),"7")</f>
        <v>7</v>
      </c>
      <c r="V5674" s="6" t="str">
        <f>IFERROR(__xludf.DUMMYFUNCTION("""COMPUTED_VALUE"""),"")</f>
        <v/>
      </c>
      <c r="W5674" s="6" t="str">
        <f>IFERROR(__xludf.DUMMYFUNCTION("""COMPUTED_VALUE"""),"[]")</f>
        <v>[]</v>
      </c>
      <c r="X5674" s="6" t="str">
        <f>IFERROR(__xludf.DUMMYFUNCTION("""COMPUTED_VALUE"""),"Enrolled")</f>
        <v>Enrolled</v>
      </c>
    </row>
    <row r="5675">
      <c r="A5675" s="6" t="str">
        <f>IFERROR(__xludf.DUMMYFUNCTION("""COMPUTED_VALUE"""),"087-12272")</f>
        <v>087-12272</v>
      </c>
      <c r="B5675" s="6" t="str">
        <f>IFERROR(__xludf.DUMMYFUNCTION("""COMPUTED_VALUE"""),"87")</f>
        <v>87</v>
      </c>
      <c r="C5675" s="6" t="str">
        <f>IFERROR(__xludf.DUMMYFUNCTION("""COMPUTED_VALUE"""),"12272")</f>
        <v>12272</v>
      </c>
      <c r="D5675" s="6" t="str">
        <f>IFERROR(__xludf.DUMMYFUNCTION("""COMPUTED_VALUE"""),"Nevaeh")</f>
        <v>Nevaeh</v>
      </c>
      <c r="E5675" s="6" t="str">
        <f>IFERROR(__xludf.DUMMYFUNCTION("""COMPUTED_VALUE"""),"")</f>
        <v/>
      </c>
      <c r="F5675" s="6" t="str">
        <f>IFERROR(__xludf.DUMMYFUNCTION("""COMPUTED_VALUE"""),"Jenkins")</f>
        <v>Jenkins</v>
      </c>
      <c r="G5675" s="6" t="str">
        <f>IFERROR(__xludf.DUMMYFUNCTION("""COMPUTED_VALUE"""),"09/09/2012")</f>
        <v>09/09/2012</v>
      </c>
      <c r="H5675" s="6" t="str">
        <f>IFERROR(__xludf.DUMMYFUNCTION("""COMPUTED_VALUE"""),"female")</f>
        <v>female</v>
      </c>
      <c r="I5675" s="6" t="str">
        <f>IFERROR(__xludf.DUMMYFUNCTION("""COMPUTED_VALUE"""),"Middle School")</f>
        <v>Middle School</v>
      </c>
      <c r="J5675" s="6" t="str">
        <f>IFERROR(__xludf.DUMMYFUNCTION("""COMPUTED_VALUE"""),"7")</f>
        <v>7</v>
      </c>
      <c r="K5675" s="6" t="str">
        <f>IFERROR(__xludf.DUMMYFUNCTION("""COMPUTED_VALUE"""),"nevaeh.jenkins@2hourlearning.com")</f>
        <v>nevaeh.jenkins@2hourlearning.com</v>
      </c>
      <c r="L5675" s="6" t="str">
        <f>IFERROR(__xludf.DUMMYFUNCTION("""COMPUTED_VALUE"""),"JRHS - Ridgeland Secondary Academy of Excellence")</f>
        <v>JRHS - Ridgeland Secondary Academy of Excellence</v>
      </c>
      <c r="M5675" s="6" t="str">
        <f>IFERROR(__xludf.DUMMYFUNCTION("""COMPUTED_VALUE"""),"")</f>
        <v/>
      </c>
      <c r="N5675" s="6" t="str">
        <f>IFERROR(__xludf.DUMMYFUNCTION("""COMPUTED_VALUE"""),"")</f>
        <v/>
      </c>
      <c r="O5675" s="87" t="str">
        <f>IFERROR(__xludf.DUMMYFUNCTION("""COMPUTED_VALUE"""),"https://drive.google.com/drive/folders/10T2cTQHqEJZqE-st6uFKPoI?usp=share_link")</f>
        <v>https://drive.google.com/drive/folders/10T2cTQHqEJZqE-st6uFKPoI?usp=share_link</v>
      </c>
      <c r="P5675" s="6" t="str">
        <f>IFERROR(__xludf.DUMMYFUNCTION("""COMPUTED_VALUE"""),"Nevaeh Jenkins")</f>
        <v>Nevaeh Jenkins</v>
      </c>
      <c r="Q5675" s="6" t="str">
        <f>IFERROR(__xludf.DUMMYFUNCTION("""COMPUTED_VALUE"""),"MS")</f>
        <v>MS</v>
      </c>
      <c r="R5675" s="6">
        <f>IFERROR(__xludf.DUMMYFUNCTION("""COMPUTED_VALUE"""),0.0)</f>
        <v>0</v>
      </c>
      <c r="S5675" s="6" t="str">
        <f>IFERROR(__xludf.DUMMYFUNCTION("""COMPUTED_VALUE"""),"Kimberly Ball")</f>
        <v>Kimberly Ball</v>
      </c>
      <c r="T5675" s="6" t="str">
        <f>IFERROR(__xludf.DUMMYFUNCTION("""COMPUTED_VALUE"""),"kimberly.ball@studient.com")</f>
        <v>kimberly.ball@studient.com</v>
      </c>
      <c r="U5675" s="6" t="str">
        <f>IFERROR(__xludf.DUMMYFUNCTION("""COMPUTED_VALUE"""),"7")</f>
        <v>7</v>
      </c>
      <c r="V5675" s="6" t="str">
        <f>IFERROR(__xludf.DUMMYFUNCTION("""COMPUTED_VALUE"""),"")</f>
        <v/>
      </c>
      <c r="W5675" s="6" t="str">
        <f>IFERROR(__xludf.DUMMYFUNCTION("""COMPUTED_VALUE"""),"[]")</f>
        <v>[]</v>
      </c>
      <c r="X5675" s="6" t="str">
        <f>IFERROR(__xludf.DUMMYFUNCTION("""COMPUTED_VALUE"""),"Enrolled")</f>
        <v>Enrolled</v>
      </c>
    </row>
    <row r="5676">
      <c r="A5676" s="6" t="str">
        <f>IFERROR(__xludf.DUMMYFUNCTION("""COMPUTED_VALUE"""),"087-12273")</f>
        <v>087-12273</v>
      </c>
      <c r="B5676" s="6" t="str">
        <f>IFERROR(__xludf.DUMMYFUNCTION("""COMPUTED_VALUE"""),"87")</f>
        <v>87</v>
      </c>
      <c r="C5676" s="6" t="str">
        <f>IFERROR(__xludf.DUMMYFUNCTION("""COMPUTED_VALUE"""),"12273")</f>
        <v>12273</v>
      </c>
      <c r="D5676" s="6" t="str">
        <f>IFERROR(__xludf.DUMMYFUNCTION("""COMPUTED_VALUE"""),"Ty'Rihanna")</f>
        <v>Ty'Rihanna</v>
      </c>
      <c r="E5676" s="6" t="str">
        <f>IFERROR(__xludf.DUMMYFUNCTION("""COMPUTED_VALUE"""),"")</f>
        <v/>
      </c>
      <c r="F5676" s="6" t="str">
        <f>IFERROR(__xludf.DUMMYFUNCTION("""COMPUTED_VALUE"""),"Jenkins")</f>
        <v>Jenkins</v>
      </c>
      <c r="G5676" s="6" t="str">
        <f>IFERROR(__xludf.DUMMYFUNCTION("""COMPUTED_VALUE"""),"03/02/2014")</f>
        <v>03/02/2014</v>
      </c>
      <c r="H5676" s="6" t="str">
        <f>IFERROR(__xludf.DUMMYFUNCTION("""COMPUTED_VALUE"""),"female")</f>
        <v>female</v>
      </c>
      <c r="I5676" s="6" t="str">
        <f>IFERROR(__xludf.DUMMYFUNCTION("""COMPUTED_VALUE"""),"Middle School")</f>
        <v>Middle School</v>
      </c>
      <c r="J5676" s="6" t="str">
        <f>IFERROR(__xludf.DUMMYFUNCTION("""COMPUTED_VALUE"""),"6")</f>
        <v>6</v>
      </c>
      <c r="K5676" s="6" t="str">
        <f>IFERROR(__xludf.DUMMYFUNCTION("""COMPUTED_VALUE"""),"tyrihanna.jenkins@2hourlearning.com")</f>
        <v>tyrihanna.jenkins@2hourlearning.com</v>
      </c>
      <c r="L5676" s="6" t="str">
        <f>IFERROR(__xludf.DUMMYFUNCTION("""COMPUTED_VALUE"""),"JRHS - Ridgeland Secondary Academy of Excellence")</f>
        <v>JRHS - Ridgeland Secondary Academy of Excellence</v>
      </c>
      <c r="M5676" s="6" t="str">
        <f>IFERROR(__xludf.DUMMYFUNCTION("""COMPUTED_VALUE"""),"")</f>
        <v/>
      </c>
      <c r="N5676" s="6" t="str">
        <f>IFERROR(__xludf.DUMMYFUNCTION("""COMPUTED_VALUE"""),"")</f>
        <v/>
      </c>
      <c r="O5676" s="87" t="str">
        <f>IFERROR(__xludf.DUMMYFUNCTION("""COMPUTED_VALUE"""),"https://drive.google.com/drive/folders/10T2cTQHqEJZqE-st6uFKPoI?usp=share_link")</f>
        <v>https://drive.google.com/drive/folders/10T2cTQHqEJZqE-st6uFKPoI?usp=share_link</v>
      </c>
      <c r="P5676" s="6" t="str">
        <f>IFERROR(__xludf.DUMMYFUNCTION("""COMPUTED_VALUE"""),"Ty'Rihanna Jenkins")</f>
        <v>Ty'Rihanna Jenkins</v>
      </c>
      <c r="Q5676" s="6" t="str">
        <f>IFERROR(__xludf.DUMMYFUNCTION("""COMPUTED_VALUE"""),"MS")</f>
        <v>MS</v>
      </c>
      <c r="R5676" s="6">
        <f>IFERROR(__xludf.DUMMYFUNCTION("""COMPUTED_VALUE"""),0.0)</f>
        <v>0</v>
      </c>
      <c r="S5676" s="6" t="str">
        <f>IFERROR(__xludf.DUMMYFUNCTION("""COMPUTED_VALUE"""),"Kimberly Ball")</f>
        <v>Kimberly Ball</v>
      </c>
      <c r="T5676" s="6" t="str">
        <f>IFERROR(__xludf.DUMMYFUNCTION("""COMPUTED_VALUE"""),"kimberly.ball@studient.com")</f>
        <v>kimberly.ball@studient.com</v>
      </c>
      <c r="U5676" s="6" t="str">
        <f>IFERROR(__xludf.DUMMYFUNCTION("""COMPUTED_VALUE"""),"6")</f>
        <v>6</v>
      </c>
      <c r="V5676" s="6" t="str">
        <f>IFERROR(__xludf.DUMMYFUNCTION("""COMPUTED_VALUE"""),"")</f>
        <v/>
      </c>
      <c r="W5676" s="6" t="str">
        <f>IFERROR(__xludf.DUMMYFUNCTION("""COMPUTED_VALUE"""),"[]")</f>
        <v>[]</v>
      </c>
      <c r="X5676" s="6" t="str">
        <f>IFERROR(__xludf.DUMMYFUNCTION("""COMPUTED_VALUE"""),"Enrolled")</f>
        <v>Enrolled</v>
      </c>
    </row>
    <row r="5677">
      <c r="A5677" s="6" t="str">
        <f>IFERROR(__xludf.DUMMYFUNCTION("""COMPUTED_VALUE"""),"087-12274")</f>
        <v>087-12274</v>
      </c>
      <c r="B5677" s="6" t="str">
        <f>IFERROR(__xludf.DUMMYFUNCTION("""COMPUTED_VALUE"""),"87")</f>
        <v>87</v>
      </c>
      <c r="C5677" s="6" t="str">
        <f>IFERROR(__xludf.DUMMYFUNCTION("""COMPUTED_VALUE"""),"12274")</f>
        <v>12274</v>
      </c>
      <c r="D5677" s="6" t="str">
        <f>IFERROR(__xludf.DUMMYFUNCTION("""COMPUTED_VALUE"""),"Ruben")</f>
        <v>Ruben</v>
      </c>
      <c r="E5677" s="6" t="str">
        <f>IFERROR(__xludf.DUMMYFUNCTION("""COMPUTED_VALUE"""),"")</f>
        <v/>
      </c>
      <c r="F5677" s="6" t="str">
        <f>IFERROR(__xludf.DUMMYFUNCTION("""COMPUTED_VALUE"""),"Jimenez")</f>
        <v>Jimenez</v>
      </c>
      <c r="G5677" s="6" t="str">
        <f>IFERROR(__xludf.DUMMYFUNCTION("""COMPUTED_VALUE"""),"04/15/2014")</f>
        <v>04/15/2014</v>
      </c>
      <c r="H5677" s="6" t="str">
        <f>IFERROR(__xludf.DUMMYFUNCTION("""COMPUTED_VALUE"""),"male")</f>
        <v>male</v>
      </c>
      <c r="I5677" s="6" t="str">
        <f>IFERROR(__xludf.DUMMYFUNCTION("""COMPUTED_VALUE"""),"Middle School")</f>
        <v>Middle School</v>
      </c>
      <c r="J5677" s="6" t="str">
        <f>IFERROR(__xludf.DUMMYFUNCTION("""COMPUTED_VALUE"""),"6")</f>
        <v>6</v>
      </c>
      <c r="K5677" s="6" t="str">
        <f>IFERROR(__xludf.DUMMYFUNCTION("""COMPUTED_VALUE"""),"ruben.jimenez@2hourlearning.com")</f>
        <v>ruben.jimenez@2hourlearning.com</v>
      </c>
      <c r="L5677" s="6" t="str">
        <f>IFERROR(__xludf.DUMMYFUNCTION("""COMPUTED_VALUE"""),"JRHS - Ridgeland Secondary Academy of Excellence")</f>
        <v>JRHS - Ridgeland Secondary Academy of Excellence</v>
      </c>
      <c r="M5677" s="6" t="str">
        <f>IFERROR(__xludf.DUMMYFUNCTION("""COMPUTED_VALUE"""),"")</f>
        <v/>
      </c>
      <c r="N5677" s="6" t="str">
        <f>IFERROR(__xludf.DUMMYFUNCTION("""COMPUTED_VALUE"""),"")</f>
        <v/>
      </c>
      <c r="O5677" s="87" t="str">
        <f>IFERROR(__xludf.DUMMYFUNCTION("""COMPUTED_VALUE"""),"https://drive.google.com/drive/folders/10T2cTQHqEJZqE-st6uFKPoI?usp=share_link")</f>
        <v>https://drive.google.com/drive/folders/10T2cTQHqEJZqE-st6uFKPoI?usp=share_link</v>
      </c>
      <c r="P5677" s="6" t="str">
        <f>IFERROR(__xludf.DUMMYFUNCTION("""COMPUTED_VALUE"""),"Ruben Jimenez")</f>
        <v>Ruben Jimenez</v>
      </c>
      <c r="Q5677" s="6" t="str">
        <f>IFERROR(__xludf.DUMMYFUNCTION("""COMPUTED_VALUE"""),"MS")</f>
        <v>MS</v>
      </c>
      <c r="R5677" s="6">
        <f>IFERROR(__xludf.DUMMYFUNCTION("""COMPUTED_VALUE"""),0.0)</f>
        <v>0</v>
      </c>
      <c r="S5677" s="6" t="str">
        <f>IFERROR(__xludf.DUMMYFUNCTION("""COMPUTED_VALUE"""),"Kimberly Ball")</f>
        <v>Kimberly Ball</v>
      </c>
      <c r="T5677" s="6" t="str">
        <f>IFERROR(__xludf.DUMMYFUNCTION("""COMPUTED_VALUE"""),"kimberly.ball@studient.com")</f>
        <v>kimberly.ball@studient.com</v>
      </c>
      <c r="U5677" s="6" t="str">
        <f>IFERROR(__xludf.DUMMYFUNCTION("""COMPUTED_VALUE"""),"6")</f>
        <v>6</v>
      </c>
      <c r="V5677" s="6" t="str">
        <f>IFERROR(__xludf.DUMMYFUNCTION("""COMPUTED_VALUE"""),"")</f>
        <v/>
      </c>
      <c r="W5677" s="6" t="str">
        <f>IFERROR(__xludf.DUMMYFUNCTION("""COMPUTED_VALUE"""),"[]")</f>
        <v>[]</v>
      </c>
      <c r="X5677" s="6" t="str">
        <f>IFERROR(__xludf.DUMMYFUNCTION("""COMPUTED_VALUE"""),"Enrolled")</f>
        <v>Enrolled</v>
      </c>
    </row>
    <row r="5678">
      <c r="A5678" s="6" t="str">
        <f>IFERROR(__xludf.DUMMYFUNCTION("""COMPUTED_VALUE"""),"087-12275")</f>
        <v>087-12275</v>
      </c>
      <c r="B5678" s="6" t="str">
        <f>IFERROR(__xludf.DUMMYFUNCTION("""COMPUTED_VALUE"""),"87")</f>
        <v>87</v>
      </c>
      <c r="C5678" s="6" t="str">
        <f>IFERROR(__xludf.DUMMYFUNCTION("""COMPUTED_VALUE"""),"12275")</f>
        <v>12275</v>
      </c>
      <c r="D5678" s="6" t="str">
        <f>IFERROR(__xludf.DUMMYFUNCTION("""COMPUTED_VALUE"""),"Alannah")</f>
        <v>Alannah</v>
      </c>
      <c r="E5678" s="6" t="str">
        <f>IFERROR(__xludf.DUMMYFUNCTION("""COMPUTED_VALUE"""),"")</f>
        <v/>
      </c>
      <c r="F5678" s="6" t="str">
        <f>IFERROR(__xludf.DUMMYFUNCTION("""COMPUTED_VALUE"""),"Johnson")</f>
        <v>Johnson</v>
      </c>
      <c r="G5678" s="6" t="str">
        <f>IFERROR(__xludf.DUMMYFUNCTION("""COMPUTED_VALUE"""),"04/19/2011")</f>
        <v>04/19/2011</v>
      </c>
      <c r="H5678" s="6" t="str">
        <f>IFERROR(__xludf.DUMMYFUNCTION("""COMPUTED_VALUE"""),"female")</f>
        <v>female</v>
      </c>
      <c r="I5678" s="6" t="str">
        <f>IFERROR(__xludf.DUMMYFUNCTION("""COMPUTED_VALUE"""),"Middle School")</f>
        <v>Middle School</v>
      </c>
      <c r="J5678" s="6" t="str">
        <f>IFERROR(__xludf.DUMMYFUNCTION("""COMPUTED_VALUE"""),"8")</f>
        <v>8</v>
      </c>
      <c r="K5678" s="6" t="str">
        <f>IFERROR(__xludf.DUMMYFUNCTION("""COMPUTED_VALUE"""),"alannah.johnson@2hourlearning.com")</f>
        <v>alannah.johnson@2hourlearning.com</v>
      </c>
      <c r="L5678" s="6" t="str">
        <f>IFERROR(__xludf.DUMMYFUNCTION("""COMPUTED_VALUE"""),"JRHS - Ridgeland Secondary Academy of Excellence")</f>
        <v>JRHS - Ridgeland Secondary Academy of Excellence</v>
      </c>
      <c r="M5678" s="6" t="str">
        <f>IFERROR(__xludf.DUMMYFUNCTION("""COMPUTED_VALUE"""),"")</f>
        <v/>
      </c>
      <c r="N5678" s="6" t="str">
        <f>IFERROR(__xludf.DUMMYFUNCTION("""COMPUTED_VALUE"""),"")</f>
        <v/>
      </c>
      <c r="O5678" s="87" t="str">
        <f>IFERROR(__xludf.DUMMYFUNCTION("""COMPUTED_VALUE"""),"https://drive.google.com/drive/folders/10T2cTQHqEJZqE-st6uFKPoI?usp=share_link")</f>
        <v>https://drive.google.com/drive/folders/10T2cTQHqEJZqE-st6uFKPoI?usp=share_link</v>
      </c>
      <c r="P5678" s="6" t="str">
        <f>IFERROR(__xludf.DUMMYFUNCTION("""COMPUTED_VALUE"""),"Alannah Johnson")</f>
        <v>Alannah Johnson</v>
      </c>
      <c r="Q5678" s="6" t="str">
        <f>IFERROR(__xludf.DUMMYFUNCTION("""COMPUTED_VALUE"""),"MS")</f>
        <v>MS</v>
      </c>
      <c r="R5678" s="6">
        <f>IFERROR(__xludf.DUMMYFUNCTION("""COMPUTED_VALUE"""),0.0)</f>
        <v>0</v>
      </c>
      <c r="S5678" s="6" t="str">
        <f>IFERROR(__xludf.DUMMYFUNCTION("""COMPUTED_VALUE"""),"Kimberly Ball")</f>
        <v>Kimberly Ball</v>
      </c>
      <c r="T5678" s="6" t="str">
        <f>IFERROR(__xludf.DUMMYFUNCTION("""COMPUTED_VALUE"""),"kimberly.ball@studient.com")</f>
        <v>kimberly.ball@studient.com</v>
      </c>
      <c r="U5678" s="6" t="str">
        <f>IFERROR(__xludf.DUMMYFUNCTION("""COMPUTED_VALUE"""),"8")</f>
        <v>8</v>
      </c>
      <c r="V5678" s="6" t="str">
        <f>IFERROR(__xludf.DUMMYFUNCTION("""COMPUTED_VALUE"""),"")</f>
        <v/>
      </c>
      <c r="W5678" s="6" t="str">
        <f>IFERROR(__xludf.DUMMYFUNCTION("""COMPUTED_VALUE"""),"[]")</f>
        <v>[]</v>
      </c>
      <c r="X5678" s="6" t="str">
        <f>IFERROR(__xludf.DUMMYFUNCTION("""COMPUTED_VALUE"""),"Enrolled")</f>
        <v>Enrolled</v>
      </c>
    </row>
    <row r="5679">
      <c r="A5679" s="6" t="str">
        <f>IFERROR(__xludf.DUMMYFUNCTION("""COMPUTED_VALUE"""),"087-12276")</f>
        <v>087-12276</v>
      </c>
      <c r="B5679" s="6" t="str">
        <f>IFERROR(__xludf.DUMMYFUNCTION("""COMPUTED_VALUE"""),"87")</f>
        <v>87</v>
      </c>
      <c r="C5679" s="6" t="str">
        <f>IFERROR(__xludf.DUMMYFUNCTION("""COMPUTED_VALUE"""),"12276")</f>
        <v>12276</v>
      </c>
      <c r="D5679" s="6" t="str">
        <f>IFERROR(__xludf.DUMMYFUNCTION("""COMPUTED_VALUE"""),"Cameron")</f>
        <v>Cameron</v>
      </c>
      <c r="E5679" s="6" t="str">
        <f>IFERROR(__xludf.DUMMYFUNCTION("""COMPUTED_VALUE"""),"")</f>
        <v/>
      </c>
      <c r="F5679" s="6" t="str">
        <f>IFERROR(__xludf.DUMMYFUNCTION("""COMPUTED_VALUE"""),"Johnson")</f>
        <v>Johnson</v>
      </c>
      <c r="G5679" s="6" t="str">
        <f>IFERROR(__xludf.DUMMYFUNCTION("""COMPUTED_VALUE"""),"12/02/2012")</f>
        <v>12/02/2012</v>
      </c>
      <c r="H5679" s="6" t="str">
        <f>IFERROR(__xludf.DUMMYFUNCTION("""COMPUTED_VALUE"""),"male")</f>
        <v>male</v>
      </c>
      <c r="I5679" s="6" t="str">
        <f>IFERROR(__xludf.DUMMYFUNCTION("""COMPUTED_VALUE"""),"Middle School")</f>
        <v>Middle School</v>
      </c>
      <c r="J5679" s="6" t="str">
        <f>IFERROR(__xludf.DUMMYFUNCTION("""COMPUTED_VALUE"""),"7")</f>
        <v>7</v>
      </c>
      <c r="K5679" s="6" t="str">
        <f>IFERROR(__xludf.DUMMYFUNCTION("""COMPUTED_VALUE"""),"cameron.johnson@2hourlearning.com")</f>
        <v>cameron.johnson@2hourlearning.com</v>
      </c>
      <c r="L5679" s="6" t="str">
        <f>IFERROR(__xludf.DUMMYFUNCTION("""COMPUTED_VALUE"""),"JRHS - Ridgeland Secondary Academy of Excellence")</f>
        <v>JRHS - Ridgeland Secondary Academy of Excellence</v>
      </c>
      <c r="M5679" s="6" t="str">
        <f>IFERROR(__xludf.DUMMYFUNCTION("""COMPUTED_VALUE"""),"")</f>
        <v/>
      </c>
      <c r="N5679" s="6" t="str">
        <f>IFERROR(__xludf.DUMMYFUNCTION("""COMPUTED_VALUE"""),"")</f>
        <v/>
      </c>
      <c r="O5679" s="87" t="str">
        <f>IFERROR(__xludf.DUMMYFUNCTION("""COMPUTED_VALUE"""),"https://drive.google.com/drive/folders/10T2cTQHqEJZqE-st6uFKPoI?usp=share_link")</f>
        <v>https://drive.google.com/drive/folders/10T2cTQHqEJZqE-st6uFKPoI?usp=share_link</v>
      </c>
      <c r="P5679" s="6" t="str">
        <f>IFERROR(__xludf.DUMMYFUNCTION("""COMPUTED_VALUE"""),"Cameron Johnson")</f>
        <v>Cameron Johnson</v>
      </c>
      <c r="Q5679" s="6" t="str">
        <f>IFERROR(__xludf.DUMMYFUNCTION("""COMPUTED_VALUE"""),"MS")</f>
        <v>MS</v>
      </c>
      <c r="R5679" s="6">
        <f>IFERROR(__xludf.DUMMYFUNCTION("""COMPUTED_VALUE"""),0.0)</f>
        <v>0</v>
      </c>
      <c r="S5679" s="6" t="str">
        <f>IFERROR(__xludf.DUMMYFUNCTION("""COMPUTED_VALUE"""),"Kimberly Ball")</f>
        <v>Kimberly Ball</v>
      </c>
      <c r="T5679" s="6" t="str">
        <f>IFERROR(__xludf.DUMMYFUNCTION("""COMPUTED_VALUE"""),"kimberly.ball@studient.com")</f>
        <v>kimberly.ball@studient.com</v>
      </c>
      <c r="U5679" s="6" t="str">
        <f>IFERROR(__xludf.DUMMYFUNCTION("""COMPUTED_VALUE"""),"7")</f>
        <v>7</v>
      </c>
      <c r="V5679" s="6" t="str">
        <f>IFERROR(__xludf.DUMMYFUNCTION("""COMPUTED_VALUE"""),"")</f>
        <v/>
      </c>
      <c r="W5679" s="6" t="str">
        <f>IFERROR(__xludf.DUMMYFUNCTION("""COMPUTED_VALUE"""),"[]")</f>
        <v>[]</v>
      </c>
      <c r="X5679" s="6" t="str">
        <f>IFERROR(__xludf.DUMMYFUNCTION("""COMPUTED_VALUE"""),"Enrolled")</f>
        <v>Enrolled</v>
      </c>
    </row>
    <row r="5680">
      <c r="A5680" s="6" t="str">
        <f>IFERROR(__xludf.DUMMYFUNCTION("""COMPUTED_VALUE"""),"087-12277")</f>
        <v>087-12277</v>
      </c>
      <c r="B5680" s="6" t="str">
        <f>IFERROR(__xludf.DUMMYFUNCTION("""COMPUTED_VALUE"""),"87")</f>
        <v>87</v>
      </c>
      <c r="C5680" s="6" t="str">
        <f>IFERROR(__xludf.DUMMYFUNCTION("""COMPUTED_VALUE"""),"12277")</f>
        <v>12277</v>
      </c>
      <c r="D5680" s="6" t="str">
        <f>IFERROR(__xludf.DUMMYFUNCTION("""COMPUTED_VALUE"""),"Khalyllah")</f>
        <v>Khalyllah</v>
      </c>
      <c r="E5680" s="6" t="str">
        <f>IFERROR(__xludf.DUMMYFUNCTION("""COMPUTED_VALUE"""),"")</f>
        <v/>
      </c>
      <c r="F5680" s="6" t="str">
        <f>IFERROR(__xludf.DUMMYFUNCTION("""COMPUTED_VALUE"""),"Johnson")</f>
        <v>Johnson</v>
      </c>
      <c r="G5680" s="6" t="str">
        <f>IFERROR(__xludf.DUMMYFUNCTION("""COMPUTED_VALUE"""),"08/27/2013")</f>
        <v>08/27/2013</v>
      </c>
      <c r="H5680" s="6" t="str">
        <f>IFERROR(__xludf.DUMMYFUNCTION("""COMPUTED_VALUE"""),"female")</f>
        <v>female</v>
      </c>
      <c r="I5680" s="6" t="str">
        <f>IFERROR(__xludf.DUMMYFUNCTION("""COMPUTED_VALUE"""),"Middle School")</f>
        <v>Middle School</v>
      </c>
      <c r="J5680" s="6" t="str">
        <f>IFERROR(__xludf.DUMMYFUNCTION("""COMPUTED_VALUE"""),"7")</f>
        <v>7</v>
      </c>
      <c r="K5680" s="6" t="str">
        <f>IFERROR(__xludf.DUMMYFUNCTION("""COMPUTED_VALUE"""),"khalyllah.johnson@2hourlearning.com")</f>
        <v>khalyllah.johnson@2hourlearning.com</v>
      </c>
      <c r="L5680" s="6" t="str">
        <f>IFERROR(__xludf.DUMMYFUNCTION("""COMPUTED_VALUE"""),"JRHS - Ridgeland Secondary Academy of Excellence")</f>
        <v>JRHS - Ridgeland Secondary Academy of Excellence</v>
      </c>
      <c r="M5680" s="6" t="str">
        <f>IFERROR(__xludf.DUMMYFUNCTION("""COMPUTED_VALUE"""),"")</f>
        <v/>
      </c>
      <c r="N5680" s="6" t="str">
        <f>IFERROR(__xludf.DUMMYFUNCTION("""COMPUTED_VALUE"""),"")</f>
        <v/>
      </c>
      <c r="O5680" s="87" t="str">
        <f>IFERROR(__xludf.DUMMYFUNCTION("""COMPUTED_VALUE"""),"https://drive.google.com/drive/folders/10T2cTQHqEJZqE-st6uFKPoI?usp=share_link")</f>
        <v>https://drive.google.com/drive/folders/10T2cTQHqEJZqE-st6uFKPoI?usp=share_link</v>
      </c>
      <c r="P5680" s="6" t="str">
        <f>IFERROR(__xludf.DUMMYFUNCTION("""COMPUTED_VALUE"""),"Khalyllah Johnson")</f>
        <v>Khalyllah Johnson</v>
      </c>
      <c r="Q5680" s="6" t="str">
        <f>IFERROR(__xludf.DUMMYFUNCTION("""COMPUTED_VALUE"""),"MS")</f>
        <v>MS</v>
      </c>
      <c r="R5680" s="6">
        <f>IFERROR(__xludf.DUMMYFUNCTION("""COMPUTED_VALUE"""),0.0)</f>
        <v>0</v>
      </c>
      <c r="S5680" s="6" t="str">
        <f>IFERROR(__xludf.DUMMYFUNCTION("""COMPUTED_VALUE"""),"Kimberly Ball")</f>
        <v>Kimberly Ball</v>
      </c>
      <c r="T5680" s="6" t="str">
        <f>IFERROR(__xludf.DUMMYFUNCTION("""COMPUTED_VALUE"""),"kimberly.ball@studient.com")</f>
        <v>kimberly.ball@studient.com</v>
      </c>
      <c r="U5680" s="6" t="str">
        <f>IFERROR(__xludf.DUMMYFUNCTION("""COMPUTED_VALUE"""),"7")</f>
        <v>7</v>
      </c>
      <c r="V5680" s="6" t="str">
        <f>IFERROR(__xludf.DUMMYFUNCTION("""COMPUTED_VALUE"""),"")</f>
        <v/>
      </c>
      <c r="W5680" s="6" t="str">
        <f>IFERROR(__xludf.DUMMYFUNCTION("""COMPUTED_VALUE"""),"[]")</f>
        <v>[]</v>
      </c>
      <c r="X5680" s="6" t="str">
        <f>IFERROR(__xludf.DUMMYFUNCTION("""COMPUTED_VALUE"""),"Enrolled")</f>
        <v>Enrolled</v>
      </c>
    </row>
    <row r="5681">
      <c r="A5681" s="6" t="str">
        <f>IFERROR(__xludf.DUMMYFUNCTION("""COMPUTED_VALUE"""),"087-12278")</f>
        <v>087-12278</v>
      </c>
      <c r="B5681" s="6" t="str">
        <f>IFERROR(__xludf.DUMMYFUNCTION("""COMPUTED_VALUE"""),"87")</f>
        <v>87</v>
      </c>
      <c r="C5681" s="6" t="str">
        <f>IFERROR(__xludf.DUMMYFUNCTION("""COMPUTED_VALUE"""),"12278")</f>
        <v>12278</v>
      </c>
      <c r="D5681" s="6" t="str">
        <f>IFERROR(__xludf.DUMMYFUNCTION("""COMPUTED_VALUE"""),"Nahj'Leigha")</f>
        <v>Nahj'Leigha</v>
      </c>
      <c r="E5681" s="6" t="str">
        <f>IFERROR(__xludf.DUMMYFUNCTION("""COMPUTED_VALUE"""),"")</f>
        <v/>
      </c>
      <c r="F5681" s="6" t="str">
        <f>IFERROR(__xludf.DUMMYFUNCTION("""COMPUTED_VALUE"""),"Johnson")</f>
        <v>Johnson</v>
      </c>
      <c r="G5681" s="6" t="str">
        <f>IFERROR(__xludf.DUMMYFUNCTION("""COMPUTED_VALUE"""),"05/13/2014")</f>
        <v>05/13/2014</v>
      </c>
      <c r="H5681" s="6" t="str">
        <f>IFERROR(__xludf.DUMMYFUNCTION("""COMPUTED_VALUE"""),"female")</f>
        <v>female</v>
      </c>
      <c r="I5681" s="6" t="str">
        <f>IFERROR(__xludf.DUMMYFUNCTION("""COMPUTED_VALUE"""),"Middle School")</f>
        <v>Middle School</v>
      </c>
      <c r="J5681" s="6" t="str">
        <f>IFERROR(__xludf.DUMMYFUNCTION("""COMPUTED_VALUE"""),"6")</f>
        <v>6</v>
      </c>
      <c r="K5681" s="6" t="str">
        <f>IFERROR(__xludf.DUMMYFUNCTION("""COMPUTED_VALUE"""),"nahjleigha.johnson@2hourlearning.com")</f>
        <v>nahjleigha.johnson@2hourlearning.com</v>
      </c>
      <c r="L5681" s="6" t="str">
        <f>IFERROR(__xludf.DUMMYFUNCTION("""COMPUTED_VALUE"""),"JRHS - Ridgeland Secondary Academy of Excellence")</f>
        <v>JRHS - Ridgeland Secondary Academy of Excellence</v>
      </c>
      <c r="M5681" s="6" t="str">
        <f>IFERROR(__xludf.DUMMYFUNCTION("""COMPUTED_VALUE"""),"")</f>
        <v/>
      </c>
      <c r="N5681" s="6" t="str">
        <f>IFERROR(__xludf.DUMMYFUNCTION("""COMPUTED_VALUE"""),"")</f>
        <v/>
      </c>
      <c r="O5681" s="87" t="str">
        <f>IFERROR(__xludf.DUMMYFUNCTION("""COMPUTED_VALUE"""),"https://drive.google.com/drive/folders/10T2cTQHqEJZqE-st6uFKPoI?usp=share_link")</f>
        <v>https://drive.google.com/drive/folders/10T2cTQHqEJZqE-st6uFKPoI?usp=share_link</v>
      </c>
      <c r="P5681" s="6" t="str">
        <f>IFERROR(__xludf.DUMMYFUNCTION("""COMPUTED_VALUE"""),"Nahj'Leigha Johnson")</f>
        <v>Nahj'Leigha Johnson</v>
      </c>
      <c r="Q5681" s="6" t="str">
        <f>IFERROR(__xludf.DUMMYFUNCTION("""COMPUTED_VALUE"""),"MS")</f>
        <v>MS</v>
      </c>
      <c r="R5681" s="6">
        <f>IFERROR(__xludf.DUMMYFUNCTION("""COMPUTED_VALUE"""),0.0)</f>
        <v>0</v>
      </c>
      <c r="S5681" s="6" t="str">
        <f>IFERROR(__xludf.DUMMYFUNCTION("""COMPUTED_VALUE"""),"Kimberly Ball")</f>
        <v>Kimberly Ball</v>
      </c>
      <c r="T5681" s="6" t="str">
        <f>IFERROR(__xludf.DUMMYFUNCTION("""COMPUTED_VALUE"""),"kimberly.ball@studient.com")</f>
        <v>kimberly.ball@studient.com</v>
      </c>
      <c r="U5681" s="6" t="str">
        <f>IFERROR(__xludf.DUMMYFUNCTION("""COMPUTED_VALUE"""),"6")</f>
        <v>6</v>
      </c>
      <c r="V5681" s="6" t="str">
        <f>IFERROR(__xludf.DUMMYFUNCTION("""COMPUTED_VALUE"""),"")</f>
        <v/>
      </c>
      <c r="W5681" s="6" t="str">
        <f>IFERROR(__xludf.DUMMYFUNCTION("""COMPUTED_VALUE"""),"[]")</f>
        <v>[]</v>
      </c>
      <c r="X5681" s="6" t="str">
        <f>IFERROR(__xludf.DUMMYFUNCTION("""COMPUTED_VALUE"""),"Enrolled")</f>
        <v>Enrolled</v>
      </c>
    </row>
    <row r="5682">
      <c r="A5682" s="6" t="str">
        <f>IFERROR(__xludf.DUMMYFUNCTION("""COMPUTED_VALUE"""),"087-12279")</f>
        <v>087-12279</v>
      </c>
      <c r="B5682" s="6" t="str">
        <f>IFERROR(__xludf.DUMMYFUNCTION("""COMPUTED_VALUE"""),"87")</f>
        <v>87</v>
      </c>
      <c r="C5682" s="6" t="str">
        <f>IFERROR(__xludf.DUMMYFUNCTION("""COMPUTED_VALUE"""),"12279")</f>
        <v>12279</v>
      </c>
      <c r="D5682" s="6" t="str">
        <f>IFERROR(__xludf.DUMMYFUNCTION("""COMPUTED_VALUE"""),"Trinity")</f>
        <v>Trinity</v>
      </c>
      <c r="E5682" s="6" t="str">
        <f>IFERROR(__xludf.DUMMYFUNCTION("""COMPUTED_VALUE"""),"")</f>
        <v/>
      </c>
      <c r="F5682" s="6" t="str">
        <f>IFERROR(__xludf.DUMMYFUNCTION("""COMPUTED_VALUE"""),"Johnson")</f>
        <v>Johnson</v>
      </c>
      <c r="G5682" s="6" t="str">
        <f>IFERROR(__xludf.DUMMYFUNCTION("""COMPUTED_VALUE"""),"09/04/2012")</f>
        <v>09/04/2012</v>
      </c>
      <c r="H5682" s="6" t="str">
        <f>IFERROR(__xludf.DUMMYFUNCTION("""COMPUTED_VALUE"""),"female")</f>
        <v>female</v>
      </c>
      <c r="I5682" s="6" t="str">
        <f>IFERROR(__xludf.DUMMYFUNCTION("""COMPUTED_VALUE"""),"Middle School")</f>
        <v>Middle School</v>
      </c>
      <c r="J5682" s="6" t="str">
        <f>IFERROR(__xludf.DUMMYFUNCTION("""COMPUTED_VALUE"""),"7")</f>
        <v>7</v>
      </c>
      <c r="K5682" s="6" t="str">
        <f>IFERROR(__xludf.DUMMYFUNCTION("""COMPUTED_VALUE"""),"trinity.johnson@2hourlearning.com")</f>
        <v>trinity.johnson@2hourlearning.com</v>
      </c>
      <c r="L5682" s="6" t="str">
        <f>IFERROR(__xludf.DUMMYFUNCTION("""COMPUTED_VALUE"""),"JRHS - Ridgeland Secondary Academy of Excellence")</f>
        <v>JRHS - Ridgeland Secondary Academy of Excellence</v>
      </c>
      <c r="M5682" s="6" t="str">
        <f>IFERROR(__xludf.DUMMYFUNCTION("""COMPUTED_VALUE"""),"")</f>
        <v/>
      </c>
      <c r="N5682" s="6" t="str">
        <f>IFERROR(__xludf.DUMMYFUNCTION("""COMPUTED_VALUE"""),"")</f>
        <v/>
      </c>
      <c r="O5682" s="87" t="str">
        <f>IFERROR(__xludf.DUMMYFUNCTION("""COMPUTED_VALUE"""),"https://drive.google.com/drive/folders/10T2cTQHqEJZqE-st6uFKPoI?usp=share_link")</f>
        <v>https://drive.google.com/drive/folders/10T2cTQHqEJZqE-st6uFKPoI?usp=share_link</v>
      </c>
      <c r="P5682" s="6" t="str">
        <f>IFERROR(__xludf.DUMMYFUNCTION("""COMPUTED_VALUE"""),"Trinity Johnson")</f>
        <v>Trinity Johnson</v>
      </c>
      <c r="Q5682" s="6" t="str">
        <f>IFERROR(__xludf.DUMMYFUNCTION("""COMPUTED_VALUE"""),"MS")</f>
        <v>MS</v>
      </c>
      <c r="R5682" s="6">
        <f>IFERROR(__xludf.DUMMYFUNCTION("""COMPUTED_VALUE"""),0.0)</f>
        <v>0</v>
      </c>
      <c r="S5682" s="6" t="str">
        <f>IFERROR(__xludf.DUMMYFUNCTION("""COMPUTED_VALUE"""),"Kimberly Ball")</f>
        <v>Kimberly Ball</v>
      </c>
      <c r="T5682" s="6" t="str">
        <f>IFERROR(__xludf.DUMMYFUNCTION("""COMPUTED_VALUE"""),"kimberly.ball@studient.com")</f>
        <v>kimberly.ball@studient.com</v>
      </c>
      <c r="U5682" s="6" t="str">
        <f>IFERROR(__xludf.DUMMYFUNCTION("""COMPUTED_VALUE"""),"7")</f>
        <v>7</v>
      </c>
      <c r="V5682" s="6" t="str">
        <f>IFERROR(__xludf.DUMMYFUNCTION("""COMPUTED_VALUE"""),"")</f>
        <v/>
      </c>
      <c r="W5682" s="6" t="str">
        <f>IFERROR(__xludf.DUMMYFUNCTION("""COMPUTED_VALUE"""),"[]")</f>
        <v>[]</v>
      </c>
      <c r="X5682" s="6" t="str">
        <f>IFERROR(__xludf.DUMMYFUNCTION("""COMPUTED_VALUE"""),"Enrolled")</f>
        <v>Enrolled</v>
      </c>
    </row>
    <row r="5683">
      <c r="A5683" s="6" t="str">
        <f>IFERROR(__xludf.DUMMYFUNCTION("""COMPUTED_VALUE"""),"087-12280")</f>
        <v>087-12280</v>
      </c>
      <c r="B5683" s="6" t="str">
        <f>IFERROR(__xludf.DUMMYFUNCTION("""COMPUTED_VALUE"""),"87")</f>
        <v>87</v>
      </c>
      <c r="C5683" s="6" t="str">
        <f>IFERROR(__xludf.DUMMYFUNCTION("""COMPUTED_VALUE"""),"12280")</f>
        <v>12280</v>
      </c>
      <c r="D5683" s="6" t="str">
        <f>IFERROR(__xludf.DUMMYFUNCTION("""COMPUTED_VALUE"""),"Kameron")</f>
        <v>Kameron</v>
      </c>
      <c r="E5683" s="6" t="str">
        <f>IFERROR(__xludf.DUMMYFUNCTION("""COMPUTED_VALUE"""),"")</f>
        <v/>
      </c>
      <c r="F5683" s="6" t="str">
        <f>IFERROR(__xludf.DUMMYFUNCTION("""COMPUTED_VALUE"""),"Jones")</f>
        <v>Jones</v>
      </c>
      <c r="G5683" s="6" t="str">
        <f>IFERROR(__xludf.DUMMYFUNCTION("""COMPUTED_VALUE"""),"12/14/2012")</f>
        <v>12/14/2012</v>
      </c>
      <c r="H5683" s="6" t="str">
        <f>IFERROR(__xludf.DUMMYFUNCTION("""COMPUTED_VALUE"""),"male")</f>
        <v>male</v>
      </c>
      <c r="I5683" s="6" t="str">
        <f>IFERROR(__xludf.DUMMYFUNCTION("""COMPUTED_VALUE"""),"Middle School")</f>
        <v>Middle School</v>
      </c>
      <c r="J5683" s="6" t="str">
        <f>IFERROR(__xludf.DUMMYFUNCTION("""COMPUTED_VALUE"""),"7")</f>
        <v>7</v>
      </c>
      <c r="K5683" s="6" t="str">
        <f>IFERROR(__xludf.DUMMYFUNCTION("""COMPUTED_VALUE"""),"kameron.jones@2hourlearning.com")</f>
        <v>kameron.jones@2hourlearning.com</v>
      </c>
      <c r="L5683" s="6" t="str">
        <f>IFERROR(__xludf.DUMMYFUNCTION("""COMPUTED_VALUE"""),"JRHS - Ridgeland Secondary Academy of Excellence")</f>
        <v>JRHS - Ridgeland Secondary Academy of Excellence</v>
      </c>
      <c r="M5683" s="6" t="str">
        <f>IFERROR(__xludf.DUMMYFUNCTION("""COMPUTED_VALUE"""),"")</f>
        <v/>
      </c>
      <c r="N5683" s="6" t="str">
        <f>IFERROR(__xludf.DUMMYFUNCTION("""COMPUTED_VALUE"""),"")</f>
        <v/>
      </c>
      <c r="O5683" s="87" t="str">
        <f>IFERROR(__xludf.DUMMYFUNCTION("""COMPUTED_VALUE"""),"https://drive.google.com/drive/folders/10T2cTQHqEJZqE-st6uFKPoI?usp=share_link")</f>
        <v>https://drive.google.com/drive/folders/10T2cTQHqEJZqE-st6uFKPoI?usp=share_link</v>
      </c>
      <c r="P5683" s="6" t="str">
        <f>IFERROR(__xludf.DUMMYFUNCTION("""COMPUTED_VALUE"""),"Kameron Jones")</f>
        <v>Kameron Jones</v>
      </c>
      <c r="Q5683" s="6" t="str">
        <f>IFERROR(__xludf.DUMMYFUNCTION("""COMPUTED_VALUE"""),"MS")</f>
        <v>MS</v>
      </c>
      <c r="R5683" s="6">
        <f>IFERROR(__xludf.DUMMYFUNCTION("""COMPUTED_VALUE"""),0.0)</f>
        <v>0</v>
      </c>
      <c r="S5683" s="6" t="str">
        <f>IFERROR(__xludf.DUMMYFUNCTION("""COMPUTED_VALUE"""),"Kimberly Ball")</f>
        <v>Kimberly Ball</v>
      </c>
      <c r="T5683" s="6" t="str">
        <f>IFERROR(__xludf.DUMMYFUNCTION("""COMPUTED_VALUE"""),"kimberly.ball@studient.com")</f>
        <v>kimberly.ball@studient.com</v>
      </c>
      <c r="U5683" s="6" t="str">
        <f>IFERROR(__xludf.DUMMYFUNCTION("""COMPUTED_VALUE"""),"7")</f>
        <v>7</v>
      </c>
      <c r="V5683" s="6" t="str">
        <f>IFERROR(__xludf.DUMMYFUNCTION("""COMPUTED_VALUE"""),"")</f>
        <v/>
      </c>
      <c r="W5683" s="6" t="str">
        <f>IFERROR(__xludf.DUMMYFUNCTION("""COMPUTED_VALUE"""),"[]")</f>
        <v>[]</v>
      </c>
      <c r="X5683" s="6" t="str">
        <f>IFERROR(__xludf.DUMMYFUNCTION("""COMPUTED_VALUE"""),"Enrolled")</f>
        <v>Enrolled</v>
      </c>
    </row>
    <row r="5684">
      <c r="A5684" s="6" t="str">
        <f>IFERROR(__xludf.DUMMYFUNCTION("""COMPUTED_VALUE"""),"087-12281")</f>
        <v>087-12281</v>
      </c>
      <c r="B5684" s="6" t="str">
        <f>IFERROR(__xludf.DUMMYFUNCTION("""COMPUTED_VALUE"""),"87")</f>
        <v>87</v>
      </c>
      <c r="C5684" s="6" t="str">
        <f>IFERROR(__xludf.DUMMYFUNCTION("""COMPUTED_VALUE"""),"12281")</f>
        <v>12281</v>
      </c>
      <c r="D5684" s="6" t="str">
        <f>IFERROR(__xludf.DUMMYFUNCTION("""COMPUTED_VALUE"""),"Jesus")</f>
        <v>Jesus</v>
      </c>
      <c r="E5684" s="6" t="str">
        <f>IFERROR(__xludf.DUMMYFUNCTION("""COMPUTED_VALUE"""),"")</f>
        <v/>
      </c>
      <c r="F5684" s="6" t="str">
        <f>IFERROR(__xludf.DUMMYFUNCTION("""COMPUTED_VALUE"""),"Juarez Alonso")</f>
        <v>Juarez Alonso</v>
      </c>
      <c r="G5684" s="6" t="str">
        <f>IFERROR(__xludf.DUMMYFUNCTION("""COMPUTED_VALUE"""),"02/18/2014")</f>
        <v>02/18/2014</v>
      </c>
      <c r="H5684" s="6" t="str">
        <f>IFERROR(__xludf.DUMMYFUNCTION("""COMPUTED_VALUE"""),"male")</f>
        <v>male</v>
      </c>
      <c r="I5684" s="6" t="str">
        <f>IFERROR(__xludf.DUMMYFUNCTION("""COMPUTED_VALUE"""),"Middle School")</f>
        <v>Middle School</v>
      </c>
      <c r="J5684" s="6" t="str">
        <f>IFERROR(__xludf.DUMMYFUNCTION("""COMPUTED_VALUE"""),"6")</f>
        <v>6</v>
      </c>
      <c r="K5684" s="6" t="str">
        <f>IFERROR(__xludf.DUMMYFUNCTION("""COMPUTED_VALUE"""),"jesus.juarezalonso@2hourlearning.com")</f>
        <v>jesus.juarezalonso@2hourlearning.com</v>
      </c>
      <c r="L5684" s="6" t="str">
        <f>IFERROR(__xludf.DUMMYFUNCTION("""COMPUTED_VALUE"""),"JRHS - Ridgeland Secondary Academy of Excellence")</f>
        <v>JRHS - Ridgeland Secondary Academy of Excellence</v>
      </c>
      <c r="M5684" s="6" t="str">
        <f>IFERROR(__xludf.DUMMYFUNCTION("""COMPUTED_VALUE"""),"")</f>
        <v/>
      </c>
      <c r="N5684" s="6" t="str">
        <f>IFERROR(__xludf.DUMMYFUNCTION("""COMPUTED_VALUE"""),"")</f>
        <v/>
      </c>
      <c r="O5684" s="87" t="str">
        <f>IFERROR(__xludf.DUMMYFUNCTION("""COMPUTED_VALUE"""),"https://drive.google.com/drive/folders/10T2cTQHqEJZqE-st6uFKPoI?usp=share_link")</f>
        <v>https://drive.google.com/drive/folders/10T2cTQHqEJZqE-st6uFKPoI?usp=share_link</v>
      </c>
      <c r="P5684" s="6" t="str">
        <f>IFERROR(__xludf.DUMMYFUNCTION("""COMPUTED_VALUE"""),"Jesus Juarez Alonso")</f>
        <v>Jesus Juarez Alonso</v>
      </c>
      <c r="Q5684" s="6" t="str">
        <f>IFERROR(__xludf.DUMMYFUNCTION("""COMPUTED_VALUE"""),"MS")</f>
        <v>MS</v>
      </c>
      <c r="R5684" s="6">
        <f>IFERROR(__xludf.DUMMYFUNCTION("""COMPUTED_VALUE"""),0.0)</f>
        <v>0</v>
      </c>
      <c r="S5684" s="6" t="str">
        <f>IFERROR(__xludf.DUMMYFUNCTION("""COMPUTED_VALUE"""),"Kimberly Ball")</f>
        <v>Kimberly Ball</v>
      </c>
      <c r="T5684" s="6" t="str">
        <f>IFERROR(__xludf.DUMMYFUNCTION("""COMPUTED_VALUE"""),"kimberly.ball@studient.com")</f>
        <v>kimberly.ball@studient.com</v>
      </c>
      <c r="U5684" s="6" t="str">
        <f>IFERROR(__xludf.DUMMYFUNCTION("""COMPUTED_VALUE"""),"6")</f>
        <v>6</v>
      </c>
      <c r="V5684" s="6" t="str">
        <f>IFERROR(__xludf.DUMMYFUNCTION("""COMPUTED_VALUE"""),"")</f>
        <v/>
      </c>
      <c r="W5684" s="6" t="str">
        <f>IFERROR(__xludf.DUMMYFUNCTION("""COMPUTED_VALUE"""),"[]")</f>
        <v>[]</v>
      </c>
      <c r="X5684" s="6" t="str">
        <f>IFERROR(__xludf.DUMMYFUNCTION("""COMPUTED_VALUE"""),"Enrolled")</f>
        <v>Enrolled</v>
      </c>
    </row>
    <row r="5685">
      <c r="A5685" s="6" t="str">
        <f>IFERROR(__xludf.DUMMYFUNCTION("""COMPUTED_VALUE"""),"087-12282")</f>
        <v>087-12282</v>
      </c>
      <c r="B5685" s="6" t="str">
        <f>IFERROR(__xludf.DUMMYFUNCTION("""COMPUTED_VALUE"""),"87")</f>
        <v>87</v>
      </c>
      <c r="C5685" s="6" t="str">
        <f>IFERROR(__xludf.DUMMYFUNCTION("""COMPUTED_VALUE"""),"12282")</f>
        <v>12282</v>
      </c>
      <c r="D5685" s="6" t="str">
        <f>IFERROR(__xludf.DUMMYFUNCTION("""COMPUTED_VALUE"""),"Jhonatan")</f>
        <v>Jhonatan</v>
      </c>
      <c r="E5685" s="6" t="str">
        <f>IFERROR(__xludf.DUMMYFUNCTION("""COMPUTED_VALUE"""),"")</f>
        <v/>
      </c>
      <c r="F5685" s="6" t="str">
        <f>IFERROR(__xludf.DUMMYFUNCTION("""COMPUTED_VALUE"""),"Juarez Gonzalez")</f>
        <v>Juarez Gonzalez</v>
      </c>
      <c r="G5685" s="6" t="str">
        <f>IFERROR(__xludf.DUMMYFUNCTION("""COMPUTED_VALUE"""),"09/27/2012")</f>
        <v>09/27/2012</v>
      </c>
      <c r="H5685" s="6" t="str">
        <f>IFERROR(__xludf.DUMMYFUNCTION("""COMPUTED_VALUE"""),"male")</f>
        <v>male</v>
      </c>
      <c r="I5685" s="6" t="str">
        <f>IFERROR(__xludf.DUMMYFUNCTION("""COMPUTED_VALUE"""),"Middle School")</f>
        <v>Middle School</v>
      </c>
      <c r="J5685" s="6" t="str">
        <f>IFERROR(__xludf.DUMMYFUNCTION("""COMPUTED_VALUE"""),"7")</f>
        <v>7</v>
      </c>
      <c r="K5685" s="6" t="str">
        <f>IFERROR(__xludf.DUMMYFUNCTION("""COMPUTED_VALUE"""),"jhonatan.juarezgonzalez@2hourlearning.com")</f>
        <v>jhonatan.juarezgonzalez@2hourlearning.com</v>
      </c>
      <c r="L5685" s="6" t="str">
        <f>IFERROR(__xludf.DUMMYFUNCTION("""COMPUTED_VALUE"""),"JRHS - Ridgeland Secondary Academy of Excellence")</f>
        <v>JRHS - Ridgeland Secondary Academy of Excellence</v>
      </c>
      <c r="M5685" s="6" t="str">
        <f>IFERROR(__xludf.DUMMYFUNCTION("""COMPUTED_VALUE"""),"")</f>
        <v/>
      </c>
      <c r="N5685" s="6" t="str">
        <f>IFERROR(__xludf.DUMMYFUNCTION("""COMPUTED_VALUE"""),"")</f>
        <v/>
      </c>
      <c r="O5685" s="87" t="str">
        <f>IFERROR(__xludf.DUMMYFUNCTION("""COMPUTED_VALUE"""),"https://drive.google.com/drive/folders/10T2cTQHqEJZqE-st6uFKPoI?usp=share_link")</f>
        <v>https://drive.google.com/drive/folders/10T2cTQHqEJZqE-st6uFKPoI?usp=share_link</v>
      </c>
      <c r="P5685" s="6" t="str">
        <f>IFERROR(__xludf.DUMMYFUNCTION("""COMPUTED_VALUE"""),"Jhonatan Juarez Gonzalez")</f>
        <v>Jhonatan Juarez Gonzalez</v>
      </c>
      <c r="Q5685" s="6" t="str">
        <f>IFERROR(__xludf.DUMMYFUNCTION("""COMPUTED_VALUE"""),"MS")</f>
        <v>MS</v>
      </c>
      <c r="R5685" s="6">
        <f>IFERROR(__xludf.DUMMYFUNCTION("""COMPUTED_VALUE"""),0.0)</f>
        <v>0</v>
      </c>
      <c r="S5685" s="6" t="str">
        <f>IFERROR(__xludf.DUMMYFUNCTION("""COMPUTED_VALUE"""),"Kimberly Ball")</f>
        <v>Kimberly Ball</v>
      </c>
      <c r="T5685" s="6" t="str">
        <f>IFERROR(__xludf.DUMMYFUNCTION("""COMPUTED_VALUE"""),"kimberly.ball@studient.com")</f>
        <v>kimberly.ball@studient.com</v>
      </c>
      <c r="U5685" s="6" t="str">
        <f>IFERROR(__xludf.DUMMYFUNCTION("""COMPUTED_VALUE"""),"7")</f>
        <v>7</v>
      </c>
      <c r="V5685" s="6" t="str">
        <f>IFERROR(__xludf.DUMMYFUNCTION("""COMPUTED_VALUE"""),"")</f>
        <v/>
      </c>
      <c r="W5685" s="6" t="str">
        <f>IFERROR(__xludf.DUMMYFUNCTION("""COMPUTED_VALUE"""),"[]")</f>
        <v>[]</v>
      </c>
      <c r="X5685" s="6" t="str">
        <f>IFERROR(__xludf.DUMMYFUNCTION("""COMPUTED_VALUE"""),"Enrolled")</f>
        <v>Enrolled</v>
      </c>
    </row>
    <row r="5686">
      <c r="A5686" s="6" t="str">
        <f>IFERROR(__xludf.DUMMYFUNCTION("""COMPUTED_VALUE"""),"087-12283")</f>
        <v>087-12283</v>
      </c>
      <c r="B5686" s="6" t="str">
        <f>IFERROR(__xludf.DUMMYFUNCTION("""COMPUTED_VALUE"""),"87")</f>
        <v>87</v>
      </c>
      <c r="C5686" s="6" t="str">
        <f>IFERROR(__xludf.DUMMYFUNCTION("""COMPUTED_VALUE"""),"12283")</f>
        <v>12283</v>
      </c>
      <c r="D5686" s="6" t="str">
        <f>IFERROR(__xludf.DUMMYFUNCTION("""COMPUTED_VALUE"""),"Zymera")</f>
        <v>Zymera</v>
      </c>
      <c r="E5686" s="6" t="str">
        <f>IFERROR(__xludf.DUMMYFUNCTION("""COMPUTED_VALUE"""),"")</f>
        <v/>
      </c>
      <c r="F5686" s="6" t="str">
        <f>IFERROR(__xludf.DUMMYFUNCTION("""COMPUTED_VALUE"""),"Kemp")</f>
        <v>Kemp</v>
      </c>
      <c r="G5686" s="6" t="str">
        <f>IFERROR(__xludf.DUMMYFUNCTION("""COMPUTED_VALUE"""),"12/05/2012")</f>
        <v>12/05/2012</v>
      </c>
      <c r="H5686" s="6" t="str">
        <f>IFERROR(__xludf.DUMMYFUNCTION("""COMPUTED_VALUE"""),"female")</f>
        <v>female</v>
      </c>
      <c r="I5686" s="6" t="str">
        <f>IFERROR(__xludf.DUMMYFUNCTION("""COMPUTED_VALUE"""),"Middle School")</f>
        <v>Middle School</v>
      </c>
      <c r="J5686" s="6" t="str">
        <f>IFERROR(__xludf.DUMMYFUNCTION("""COMPUTED_VALUE"""),"7")</f>
        <v>7</v>
      </c>
      <c r="K5686" s="6" t="str">
        <f>IFERROR(__xludf.DUMMYFUNCTION("""COMPUTED_VALUE"""),"zymera.kemp@2hourlearning.com")</f>
        <v>zymera.kemp@2hourlearning.com</v>
      </c>
      <c r="L5686" s="6" t="str">
        <f>IFERROR(__xludf.DUMMYFUNCTION("""COMPUTED_VALUE"""),"JRHS - Ridgeland Secondary Academy of Excellence")</f>
        <v>JRHS - Ridgeland Secondary Academy of Excellence</v>
      </c>
      <c r="M5686" s="6" t="str">
        <f>IFERROR(__xludf.DUMMYFUNCTION("""COMPUTED_VALUE"""),"")</f>
        <v/>
      </c>
      <c r="N5686" s="6" t="str">
        <f>IFERROR(__xludf.DUMMYFUNCTION("""COMPUTED_VALUE"""),"")</f>
        <v/>
      </c>
      <c r="O5686" s="87" t="str">
        <f>IFERROR(__xludf.DUMMYFUNCTION("""COMPUTED_VALUE"""),"https://drive.google.com/drive/folders/10T2cTQHqEJZqE-st6uFKPoI?usp=share_link")</f>
        <v>https://drive.google.com/drive/folders/10T2cTQHqEJZqE-st6uFKPoI?usp=share_link</v>
      </c>
      <c r="P5686" s="6" t="str">
        <f>IFERROR(__xludf.DUMMYFUNCTION("""COMPUTED_VALUE"""),"Zymera Kemp")</f>
        <v>Zymera Kemp</v>
      </c>
      <c r="Q5686" s="6" t="str">
        <f>IFERROR(__xludf.DUMMYFUNCTION("""COMPUTED_VALUE"""),"MS")</f>
        <v>MS</v>
      </c>
      <c r="R5686" s="6">
        <f>IFERROR(__xludf.DUMMYFUNCTION("""COMPUTED_VALUE"""),0.0)</f>
        <v>0</v>
      </c>
      <c r="S5686" s="6" t="str">
        <f>IFERROR(__xludf.DUMMYFUNCTION("""COMPUTED_VALUE"""),"Kimberly Ball")</f>
        <v>Kimberly Ball</v>
      </c>
      <c r="T5686" s="6" t="str">
        <f>IFERROR(__xludf.DUMMYFUNCTION("""COMPUTED_VALUE"""),"kimberly.ball@studient.com")</f>
        <v>kimberly.ball@studient.com</v>
      </c>
      <c r="U5686" s="6" t="str">
        <f>IFERROR(__xludf.DUMMYFUNCTION("""COMPUTED_VALUE"""),"7")</f>
        <v>7</v>
      </c>
      <c r="V5686" s="6" t="str">
        <f>IFERROR(__xludf.DUMMYFUNCTION("""COMPUTED_VALUE"""),"")</f>
        <v/>
      </c>
      <c r="W5686" s="6" t="str">
        <f>IFERROR(__xludf.DUMMYFUNCTION("""COMPUTED_VALUE"""),"[]")</f>
        <v>[]</v>
      </c>
      <c r="X5686" s="6" t="str">
        <f>IFERROR(__xludf.DUMMYFUNCTION("""COMPUTED_VALUE"""),"Enrolled")</f>
        <v>Enrolled</v>
      </c>
    </row>
    <row r="5687">
      <c r="A5687" s="6" t="str">
        <f>IFERROR(__xludf.DUMMYFUNCTION("""COMPUTED_VALUE"""),"087-12284")</f>
        <v>087-12284</v>
      </c>
      <c r="B5687" s="6" t="str">
        <f>IFERROR(__xludf.DUMMYFUNCTION("""COMPUTED_VALUE"""),"87")</f>
        <v>87</v>
      </c>
      <c r="C5687" s="6" t="str">
        <f>IFERROR(__xludf.DUMMYFUNCTION("""COMPUTED_VALUE"""),"12284")</f>
        <v>12284</v>
      </c>
      <c r="D5687" s="6" t="str">
        <f>IFERROR(__xludf.DUMMYFUNCTION("""COMPUTED_VALUE"""),"Naomi")</f>
        <v>Naomi</v>
      </c>
      <c r="E5687" s="6" t="str">
        <f>IFERROR(__xludf.DUMMYFUNCTION("""COMPUTED_VALUE"""),"")</f>
        <v/>
      </c>
      <c r="F5687" s="6" t="str">
        <f>IFERROR(__xludf.DUMMYFUNCTION("""COMPUTED_VALUE"""),"Kennedy")</f>
        <v>Kennedy</v>
      </c>
      <c r="G5687" s="6" t="str">
        <f>IFERROR(__xludf.DUMMYFUNCTION("""COMPUTED_VALUE"""),"02/17/2014")</f>
        <v>02/17/2014</v>
      </c>
      <c r="H5687" s="6" t="str">
        <f>IFERROR(__xludf.DUMMYFUNCTION("""COMPUTED_VALUE"""),"female")</f>
        <v>female</v>
      </c>
      <c r="I5687" s="6" t="str">
        <f>IFERROR(__xludf.DUMMYFUNCTION("""COMPUTED_VALUE"""),"Middle School")</f>
        <v>Middle School</v>
      </c>
      <c r="J5687" s="6" t="str">
        <f>IFERROR(__xludf.DUMMYFUNCTION("""COMPUTED_VALUE"""),"6")</f>
        <v>6</v>
      </c>
      <c r="K5687" s="6" t="str">
        <f>IFERROR(__xludf.DUMMYFUNCTION("""COMPUTED_VALUE"""),"naomi.kennedy@2hourlearning.com")</f>
        <v>naomi.kennedy@2hourlearning.com</v>
      </c>
      <c r="L5687" s="6" t="str">
        <f>IFERROR(__xludf.DUMMYFUNCTION("""COMPUTED_VALUE"""),"JRHS - Ridgeland Secondary Academy of Excellence")</f>
        <v>JRHS - Ridgeland Secondary Academy of Excellence</v>
      </c>
      <c r="M5687" s="6" t="str">
        <f>IFERROR(__xludf.DUMMYFUNCTION("""COMPUTED_VALUE"""),"")</f>
        <v/>
      </c>
      <c r="N5687" s="6" t="str">
        <f>IFERROR(__xludf.DUMMYFUNCTION("""COMPUTED_VALUE"""),"")</f>
        <v/>
      </c>
      <c r="O5687" s="87" t="str">
        <f>IFERROR(__xludf.DUMMYFUNCTION("""COMPUTED_VALUE"""),"https://drive.google.com/drive/folders/10T2cTQHqEJZqE-st6uFKPoI?usp=share_link")</f>
        <v>https://drive.google.com/drive/folders/10T2cTQHqEJZqE-st6uFKPoI?usp=share_link</v>
      </c>
      <c r="P5687" s="6" t="str">
        <f>IFERROR(__xludf.DUMMYFUNCTION("""COMPUTED_VALUE"""),"Naomi Kennedy")</f>
        <v>Naomi Kennedy</v>
      </c>
      <c r="Q5687" s="6" t="str">
        <f>IFERROR(__xludf.DUMMYFUNCTION("""COMPUTED_VALUE"""),"MS")</f>
        <v>MS</v>
      </c>
      <c r="R5687" s="6">
        <f>IFERROR(__xludf.DUMMYFUNCTION("""COMPUTED_VALUE"""),0.0)</f>
        <v>0</v>
      </c>
      <c r="S5687" s="6" t="str">
        <f>IFERROR(__xludf.DUMMYFUNCTION("""COMPUTED_VALUE"""),"Kimberly Ball")</f>
        <v>Kimberly Ball</v>
      </c>
      <c r="T5687" s="6" t="str">
        <f>IFERROR(__xludf.DUMMYFUNCTION("""COMPUTED_VALUE"""),"kimberly.ball@studient.com")</f>
        <v>kimberly.ball@studient.com</v>
      </c>
      <c r="U5687" s="6" t="str">
        <f>IFERROR(__xludf.DUMMYFUNCTION("""COMPUTED_VALUE"""),"6")</f>
        <v>6</v>
      </c>
      <c r="V5687" s="6" t="str">
        <f>IFERROR(__xludf.DUMMYFUNCTION("""COMPUTED_VALUE"""),"")</f>
        <v/>
      </c>
      <c r="W5687" s="6" t="str">
        <f>IFERROR(__xludf.DUMMYFUNCTION("""COMPUTED_VALUE"""),"[]")</f>
        <v>[]</v>
      </c>
      <c r="X5687" s="6" t="str">
        <f>IFERROR(__xludf.DUMMYFUNCTION("""COMPUTED_VALUE"""),"Enrolled")</f>
        <v>Enrolled</v>
      </c>
    </row>
    <row r="5688">
      <c r="A5688" s="6" t="str">
        <f>IFERROR(__xludf.DUMMYFUNCTION("""COMPUTED_VALUE"""),"087-12285")</f>
        <v>087-12285</v>
      </c>
      <c r="B5688" s="6" t="str">
        <f>IFERROR(__xludf.DUMMYFUNCTION("""COMPUTED_VALUE"""),"87")</f>
        <v>87</v>
      </c>
      <c r="C5688" s="6" t="str">
        <f>IFERROR(__xludf.DUMMYFUNCTION("""COMPUTED_VALUE"""),"12285")</f>
        <v>12285</v>
      </c>
      <c r="D5688" s="6" t="str">
        <f>IFERROR(__xludf.DUMMYFUNCTION("""COMPUTED_VALUE"""),"Joshua")</f>
        <v>Joshua</v>
      </c>
      <c r="E5688" s="6" t="str">
        <f>IFERROR(__xludf.DUMMYFUNCTION("""COMPUTED_VALUE"""),"")</f>
        <v/>
      </c>
      <c r="F5688" s="6" t="str">
        <f>IFERROR(__xludf.DUMMYFUNCTION("""COMPUTED_VALUE"""),"King")</f>
        <v>King</v>
      </c>
      <c r="G5688" s="6" t="str">
        <f>IFERROR(__xludf.DUMMYFUNCTION("""COMPUTED_VALUE"""),"09/17/2012")</f>
        <v>09/17/2012</v>
      </c>
      <c r="H5688" s="6" t="str">
        <f>IFERROR(__xludf.DUMMYFUNCTION("""COMPUTED_VALUE"""),"male")</f>
        <v>male</v>
      </c>
      <c r="I5688" s="6" t="str">
        <f>IFERROR(__xludf.DUMMYFUNCTION("""COMPUTED_VALUE"""),"Middle School")</f>
        <v>Middle School</v>
      </c>
      <c r="J5688" s="6" t="str">
        <f>IFERROR(__xludf.DUMMYFUNCTION("""COMPUTED_VALUE"""),"7")</f>
        <v>7</v>
      </c>
      <c r="K5688" s="6" t="str">
        <f>IFERROR(__xludf.DUMMYFUNCTION("""COMPUTED_VALUE"""),"joshua.king@2hourlearning.com")</f>
        <v>joshua.king@2hourlearning.com</v>
      </c>
      <c r="L5688" s="6" t="str">
        <f>IFERROR(__xludf.DUMMYFUNCTION("""COMPUTED_VALUE"""),"JRHS - Ridgeland Secondary Academy of Excellence")</f>
        <v>JRHS - Ridgeland Secondary Academy of Excellence</v>
      </c>
      <c r="M5688" s="6" t="str">
        <f>IFERROR(__xludf.DUMMYFUNCTION("""COMPUTED_VALUE"""),"")</f>
        <v/>
      </c>
      <c r="N5688" s="6" t="str">
        <f>IFERROR(__xludf.DUMMYFUNCTION("""COMPUTED_VALUE"""),"")</f>
        <v/>
      </c>
      <c r="O5688" s="87" t="str">
        <f>IFERROR(__xludf.DUMMYFUNCTION("""COMPUTED_VALUE"""),"https://drive.google.com/drive/folders/10T2cTQHqEJZqE-st6uFKPoI?usp=share_link")</f>
        <v>https://drive.google.com/drive/folders/10T2cTQHqEJZqE-st6uFKPoI?usp=share_link</v>
      </c>
      <c r="P5688" s="6" t="str">
        <f>IFERROR(__xludf.DUMMYFUNCTION("""COMPUTED_VALUE"""),"Joshua King")</f>
        <v>Joshua King</v>
      </c>
      <c r="Q5688" s="6" t="str">
        <f>IFERROR(__xludf.DUMMYFUNCTION("""COMPUTED_VALUE"""),"MS")</f>
        <v>MS</v>
      </c>
      <c r="R5688" s="6">
        <f>IFERROR(__xludf.DUMMYFUNCTION("""COMPUTED_VALUE"""),0.0)</f>
        <v>0</v>
      </c>
      <c r="S5688" s="6" t="str">
        <f>IFERROR(__xludf.DUMMYFUNCTION("""COMPUTED_VALUE"""),"Kimberly Ball")</f>
        <v>Kimberly Ball</v>
      </c>
      <c r="T5688" s="6" t="str">
        <f>IFERROR(__xludf.DUMMYFUNCTION("""COMPUTED_VALUE"""),"kimberly.ball@studient.com")</f>
        <v>kimberly.ball@studient.com</v>
      </c>
      <c r="U5688" s="6" t="str">
        <f>IFERROR(__xludf.DUMMYFUNCTION("""COMPUTED_VALUE"""),"7")</f>
        <v>7</v>
      </c>
      <c r="V5688" s="6" t="str">
        <f>IFERROR(__xludf.DUMMYFUNCTION("""COMPUTED_VALUE"""),"")</f>
        <v/>
      </c>
      <c r="W5688" s="6" t="str">
        <f>IFERROR(__xludf.DUMMYFUNCTION("""COMPUTED_VALUE"""),"[]")</f>
        <v>[]</v>
      </c>
      <c r="X5688" s="6" t="str">
        <f>IFERROR(__xludf.DUMMYFUNCTION("""COMPUTED_VALUE"""),"Enrolled")</f>
        <v>Enrolled</v>
      </c>
    </row>
    <row r="5689">
      <c r="A5689" s="6" t="str">
        <f>IFERROR(__xludf.DUMMYFUNCTION("""COMPUTED_VALUE"""),"087-12286")</f>
        <v>087-12286</v>
      </c>
      <c r="B5689" s="6" t="str">
        <f>IFERROR(__xludf.DUMMYFUNCTION("""COMPUTED_VALUE"""),"87")</f>
        <v>87</v>
      </c>
      <c r="C5689" s="6" t="str">
        <f>IFERROR(__xludf.DUMMYFUNCTION("""COMPUTED_VALUE"""),"12286")</f>
        <v>12286</v>
      </c>
      <c r="D5689" s="6" t="str">
        <f>IFERROR(__xludf.DUMMYFUNCTION("""COMPUTED_VALUE"""),"Enacynce")</f>
        <v>Enacynce</v>
      </c>
      <c r="E5689" s="6" t="str">
        <f>IFERROR(__xludf.DUMMYFUNCTION("""COMPUTED_VALUE"""),"")</f>
        <v/>
      </c>
      <c r="F5689" s="6" t="str">
        <f>IFERROR(__xludf.DUMMYFUNCTION("""COMPUTED_VALUE"""),"Klinger")</f>
        <v>Klinger</v>
      </c>
      <c r="G5689" s="6" t="str">
        <f>IFERROR(__xludf.DUMMYFUNCTION("""COMPUTED_VALUE"""),"06/12/2014")</f>
        <v>06/12/2014</v>
      </c>
      <c r="H5689" s="6" t="str">
        <f>IFERROR(__xludf.DUMMYFUNCTION("""COMPUTED_VALUE"""),"female")</f>
        <v>female</v>
      </c>
      <c r="I5689" s="6" t="str">
        <f>IFERROR(__xludf.DUMMYFUNCTION("""COMPUTED_VALUE"""),"Middle School")</f>
        <v>Middle School</v>
      </c>
      <c r="J5689" s="6" t="str">
        <f>IFERROR(__xludf.DUMMYFUNCTION("""COMPUTED_VALUE"""),"6")</f>
        <v>6</v>
      </c>
      <c r="K5689" s="6" t="str">
        <f>IFERROR(__xludf.DUMMYFUNCTION("""COMPUTED_VALUE"""),"enacynce.klinger@2hourlearning.com")</f>
        <v>enacynce.klinger@2hourlearning.com</v>
      </c>
      <c r="L5689" s="6" t="str">
        <f>IFERROR(__xludf.DUMMYFUNCTION("""COMPUTED_VALUE"""),"JRHS - Ridgeland Secondary Academy of Excellence")</f>
        <v>JRHS - Ridgeland Secondary Academy of Excellence</v>
      </c>
      <c r="M5689" s="6" t="str">
        <f>IFERROR(__xludf.DUMMYFUNCTION("""COMPUTED_VALUE"""),"")</f>
        <v/>
      </c>
      <c r="N5689" s="6" t="str">
        <f>IFERROR(__xludf.DUMMYFUNCTION("""COMPUTED_VALUE"""),"")</f>
        <v/>
      </c>
      <c r="O5689" s="87" t="str">
        <f>IFERROR(__xludf.DUMMYFUNCTION("""COMPUTED_VALUE"""),"https://drive.google.com/drive/folders/10T2cTQHqEJZqE-st6uFKPoI?usp=share_link")</f>
        <v>https://drive.google.com/drive/folders/10T2cTQHqEJZqE-st6uFKPoI?usp=share_link</v>
      </c>
      <c r="P5689" s="6" t="str">
        <f>IFERROR(__xludf.DUMMYFUNCTION("""COMPUTED_VALUE"""),"Enacynce Klinger")</f>
        <v>Enacynce Klinger</v>
      </c>
      <c r="Q5689" s="6" t="str">
        <f>IFERROR(__xludf.DUMMYFUNCTION("""COMPUTED_VALUE"""),"MS")</f>
        <v>MS</v>
      </c>
      <c r="R5689" s="6">
        <f>IFERROR(__xludf.DUMMYFUNCTION("""COMPUTED_VALUE"""),0.0)</f>
        <v>0</v>
      </c>
      <c r="S5689" s="6" t="str">
        <f>IFERROR(__xludf.DUMMYFUNCTION("""COMPUTED_VALUE"""),"Kimberly Ball")</f>
        <v>Kimberly Ball</v>
      </c>
      <c r="T5689" s="6" t="str">
        <f>IFERROR(__xludf.DUMMYFUNCTION("""COMPUTED_VALUE"""),"kimberly.ball@studient.com")</f>
        <v>kimberly.ball@studient.com</v>
      </c>
      <c r="U5689" s="6" t="str">
        <f>IFERROR(__xludf.DUMMYFUNCTION("""COMPUTED_VALUE"""),"6")</f>
        <v>6</v>
      </c>
      <c r="V5689" s="6" t="str">
        <f>IFERROR(__xludf.DUMMYFUNCTION("""COMPUTED_VALUE"""),"")</f>
        <v/>
      </c>
      <c r="W5689" s="6" t="str">
        <f>IFERROR(__xludf.DUMMYFUNCTION("""COMPUTED_VALUE"""),"[]")</f>
        <v>[]</v>
      </c>
      <c r="X5689" s="6" t="str">
        <f>IFERROR(__xludf.DUMMYFUNCTION("""COMPUTED_VALUE"""),"Enrolled")</f>
        <v>Enrolled</v>
      </c>
    </row>
    <row r="5690">
      <c r="A5690" s="6" t="str">
        <f>IFERROR(__xludf.DUMMYFUNCTION("""COMPUTED_VALUE"""),"087-12287")</f>
        <v>087-12287</v>
      </c>
      <c r="B5690" s="6" t="str">
        <f>IFERROR(__xludf.DUMMYFUNCTION("""COMPUTED_VALUE"""),"87")</f>
        <v>87</v>
      </c>
      <c r="C5690" s="6" t="str">
        <f>IFERROR(__xludf.DUMMYFUNCTION("""COMPUTED_VALUE"""),"12287")</f>
        <v>12287</v>
      </c>
      <c r="D5690" s="6" t="str">
        <f>IFERROR(__xludf.DUMMYFUNCTION("""COMPUTED_VALUE"""),"Brandon")</f>
        <v>Brandon</v>
      </c>
      <c r="E5690" s="6" t="str">
        <f>IFERROR(__xludf.DUMMYFUNCTION("""COMPUTED_VALUE"""),"")</f>
        <v/>
      </c>
      <c r="F5690" s="6" t="str">
        <f>IFERROR(__xludf.DUMMYFUNCTION("""COMPUTED_VALUE"""),"Landeros")</f>
        <v>Landeros</v>
      </c>
      <c r="G5690" s="6" t="str">
        <f>IFERROR(__xludf.DUMMYFUNCTION("""COMPUTED_VALUE"""),"11/22/2011")</f>
        <v>11/22/2011</v>
      </c>
      <c r="H5690" s="6" t="str">
        <f>IFERROR(__xludf.DUMMYFUNCTION("""COMPUTED_VALUE"""),"male")</f>
        <v>male</v>
      </c>
      <c r="I5690" s="6" t="str">
        <f>IFERROR(__xludf.DUMMYFUNCTION("""COMPUTED_VALUE"""),"Middle School")</f>
        <v>Middle School</v>
      </c>
      <c r="J5690" s="6" t="str">
        <f>IFERROR(__xludf.DUMMYFUNCTION("""COMPUTED_VALUE"""),"8")</f>
        <v>8</v>
      </c>
      <c r="K5690" s="6" t="str">
        <f>IFERROR(__xludf.DUMMYFUNCTION("""COMPUTED_VALUE"""),"brandon.landeros@2hourlearning.com")</f>
        <v>brandon.landeros@2hourlearning.com</v>
      </c>
      <c r="L5690" s="6" t="str">
        <f>IFERROR(__xludf.DUMMYFUNCTION("""COMPUTED_VALUE"""),"JRHS - Ridgeland Secondary Academy of Excellence")</f>
        <v>JRHS - Ridgeland Secondary Academy of Excellence</v>
      </c>
      <c r="M5690" s="6" t="str">
        <f>IFERROR(__xludf.DUMMYFUNCTION("""COMPUTED_VALUE"""),"")</f>
        <v/>
      </c>
      <c r="N5690" s="6" t="str">
        <f>IFERROR(__xludf.DUMMYFUNCTION("""COMPUTED_VALUE"""),"")</f>
        <v/>
      </c>
      <c r="O5690" s="87" t="str">
        <f>IFERROR(__xludf.DUMMYFUNCTION("""COMPUTED_VALUE"""),"https://drive.google.com/drive/folders/10T2cTQHqEJZqE-st6uFKPoI?usp=share_link")</f>
        <v>https://drive.google.com/drive/folders/10T2cTQHqEJZqE-st6uFKPoI?usp=share_link</v>
      </c>
      <c r="P5690" s="6" t="str">
        <f>IFERROR(__xludf.DUMMYFUNCTION("""COMPUTED_VALUE"""),"Brandon Landeros")</f>
        <v>Brandon Landeros</v>
      </c>
      <c r="Q5690" s="6" t="str">
        <f>IFERROR(__xludf.DUMMYFUNCTION("""COMPUTED_VALUE"""),"MS")</f>
        <v>MS</v>
      </c>
      <c r="R5690" s="6">
        <f>IFERROR(__xludf.DUMMYFUNCTION("""COMPUTED_VALUE"""),0.0)</f>
        <v>0</v>
      </c>
      <c r="S5690" s="6" t="str">
        <f>IFERROR(__xludf.DUMMYFUNCTION("""COMPUTED_VALUE"""),"Kimberly Ball")</f>
        <v>Kimberly Ball</v>
      </c>
      <c r="T5690" s="6" t="str">
        <f>IFERROR(__xludf.DUMMYFUNCTION("""COMPUTED_VALUE"""),"kimberly.ball@studient.com")</f>
        <v>kimberly.ball@studient.com</v>
      </c>
      <c r="U5690" s="6" t="str">
        <f>IFERROR(__xludf.DUMMYFUNCTION("""COMPUTED_VALUE"""),"8")</f>
        <v>8</v>
      </c>
      <c r="V5690" s="6" t="str">
        <f>IFERROR(__xludf.DUMMYFUNCTION("""COMPUTED_VALUE"""),"")</f>
        <v/>
      </c>
      <c r="W5690" s="6" t="str">
        <f>IFERROR(__xludf.DUMMYFUNCTION("""COMPUTED_VALUE"""),"[]")</f>
        <v>[]</v>
      </c>
      <c r="X5690" s="6" t="str">
        <f>IFERROR(__xludf.DUMMYFUNCTION("""COMPUTED_VALUE"""),"Enrolled")</f>
        <v>Enrolled</v>
      </c>
    </row>
    <row r="5691">
      <c r="A5691" s="6" t="str">
        <f>IFERROR(__xludf.DUMMYFUNCTION("""COMPUTED_VALUE"""),"087-12288")</f>
        <v>087-12288</v>
      </c>
      <c r="B5691" s="6" t="str">
        <f>IFERROR(__xludf.DUMMYFUNCTION("""COMPUTED_VALUE"""),"87")</f>
        <v>87</v>
      </c>
      <c r="C5691" s="6" t="str">
        <f>IFERROR(__xludf.DUMMYFUNCTION("""COMPUTED_VALUE"""),"12288")</f>
        <v>12288</v>
      </c>
      <c r="D5691" s="6" t="str">
        <f>IFERROR(__xludf.DUMMYFUNCTION("""COMPUTED_VALUE"""),"Logan")</f>
        <v>Logan</v>
      </c>
      <c r="E5691" s="6" t="str">
        <f>IFERROR(__xludf.DUMMYFUNCTION("""COMPUTED_VALUE"""),"")</f>
        <v/>
      </c>
      <c r="F5691" s="6" t="str">
        <f>IFERROR(__xludf.DUMMYFUNCTION("""COMPUTED_VALUE"""),"Landrum")</f>
        <v>Landrum</v>
      </c>
      <c r="G5691" s="6" t="str">
        <f>IFERROR(__xludf.DUMMYFUNCTION("""COMPUTED_VALUE"""),"04/06/2012")</f>
        <v>04/06/2012</v>
      </c>
      <c r="H5691" s="6" t="str">
        <f>IFERROR(__xludf.DUMMYFUNCTION("""COMPUTED_VALUE"""),"male")</f>
        <v>male</v>
      </c>
      <c r="I5691" s="6" t="str">
        <f>IFERROR(__xludf.DUMMYFUNCTION("""COMPUTED_VALUE"""),"Middle School")</f>
        <v>Middle School</v>
      </c>
      <c r="J5691" s="6" t="str">
        <f>IFERROR(__xludf.DUMMYFUNCTION("""COMPUTED_VALUE"""),"7")</f>
        <v>7</v>
      </c>
      <c r="K5691" s="6" t="str">
        <f>IFERROR(__xludf.DUMMYFUNCTION("""COMPUTED_VALUE"""),"logan.landrum@2hourlearning.com")</f>
        <v>logan.landrum@2hourlearning.com</v>
      </c>
      <c r="L5691" s="6" t="str">
        <f>IFERROR(__xludf.DUMMYFUNCTION("""COMPUTED_VALUE"""),"JRHS - Ridgeland Secondary Academy of Excellence")</f>
        <v>JRHS - Ridgeland Secondary Academy of Excellence</v>
      </c>
      <c r="M5691" s="6" t="str">
        <f>IFERROR(__xludf.DUMMYFUNCTION("""COMPUTED_VALUE"""),"")</f>
        <v/>
      </c>
      <c r="N5691" s="6" t="str">
        <f>IFERROR(__xludf.DUMMYFUNCTION("""COMPUTED_VALUE"""),"")</f>
        <v/>
      </c>
      <c r="O5691" s="87" t="str">
        <f>IFERROR(__xludf.DUMMYFUNCTION("""COMPUTED_VALUE"""),"https://drive.google.com/drive/folders/10T2cTQHqEJZqE-st6uFKPoI?usp=share_link")</f>
        <v>https://drive.google.com/drive/folders/10T2cTQHqEJZqE-st6uFKPoI?usp=share_link</v>
      </c>
      <c r="P5691" s="6" t="str">
        <f>IFERROR(__xludf.DUMMYFUNCTION("""COMPUTED_VALUE"""),"Logan Landrum")</f>
        <v>Logan Landrum</v>
      </c>
      <c r="Q5691" s="6" t="str">
        <f>IFERROR(__xludf.DUMMYFUNCTION("""COMPUTED_VALUE"""),"MS")</f>
        <v>MS</v>
      </c>
      <c r="R5691" s="6">
        <f>IFERROR(__xludf.DUMMYFUNCTION("""COMPUTED_VALUE"""),0.0)</f>
        <v>0</v>
      </c>
      <c r="S5691" s="6" t="str">
        <f>IFERROR(__xludf.DUMMYFUNCTION("""COMPUTED_VALUE"""),"Kimberly Ball")</f>
        <v>Kimberly Ball</v>
      </c>
      <c r="T5691" s="6" t="str">
        <f>IFERROR(__xludf.DUMMYFUNCTION("""COMPUTED_VALUE"""),"kimberly.ball@studient.com")</f>
        <v>kimberly.ball@studient.com</v>
      </c>
      <c r="U5691" s="6" t="str">
        <f>IFERROR(__xludf.DUMMYFUNCTION("""COMPUTED_VALUE"""),"7")</f>
        <v>7</v>
      </c>
      <c r="V5691" s="6" t="str">
        <f>IFERROR(__xludf.DUMMYFUNCTION("""COMPUTED_VALUE"""),"")</f>
        <v/>
      </c>
      <c r="W5691" s="6" t="str">
        <f>IFERROR(__xludf.DUMMYFUNCTION("""COMPUTED_VALUE"""),"[]")</f>
        <v>[]</v>
      </c>
      <c r="X5691" s="6" t="str">
        <f>IFERROR(__xludf.DUMMYFUNCTION("""COMPUTED_VALUE"""),"Enrolled")</f>
        <v>Enrolled</v>
      </c>
    </row>
    <row r="5692">
      <c r="A5692" s="6" t="str">
        <f>IFERROR(__xludf.DUMMYFUNCTION("""COMPUTED_VALUE"""),"087-12289")</f>
        <v>087-12289</v>
      </c>
      <c r="B5692" s="6" t="str">
        <f>IFERROR(__xludf.DUMMYFUNCTION("""COMPUTED_VALUE"""),"87")</f>
        <v>87</v>
      </c>
      <c r="C5692" s="6" t="str">
        <f>IFERROR(__xludf.DUMMYFUNCTION("""COMPUTED_VALUE"""),"12289")</f>
        <v>12289</v>
      </c>
      <c r="D5692" s="6" t="str">
        <f>IFERROR(__xludf.DUMMYFUNCTION("""COMPUTED_VALUE"""),"Brandon")</f>
        <v>Brandon</v>
      </c>
      <c r="E5692" s="6" t="str">
        <f>IFERROR(__xludf.DUMMYFUNCTION("""COMPUTED_VALUE"""),"")</f>
        <v/>
      </c>
      <c r="F5692" s="6" t="str">
        <f>IFERROR(__xludf.DUMMYFUNCTION("""COMPUTED_VALUE"""),"Larios Vasquez")</f>
        <v>Larios Vasquez</v>
      </c>
      <c r="G5692" s="6" t="str">
        <f>IFERROR(__xludf.DUMMYFUNCTION("""COMPUTED_VALUE"""),"06/27/2013")</f>
        <v>06/27/2013</v>
      </c>
      <c r="H5692" s="6" t="str">
        <f>IFERROR(__xludf.DUMMYFUNCTION("""COMPUTED_VALUE"""),"male")</f>
        <v>male</v>
      </c>
      <c r="I5692" s="6" t="str">
        <f>IFERROR(__xludf.DUMMYFUNCTION("""COMPUTED_VALUE"""),"Middle School")</f>
        <v>Middle School</v>
      </c>
      <c r="J5692" s="6" t="str">
        <f>IFERROR(__xludf.DUMMYFUNCTION("""COMPUTED_VALUE"""),"7")</f>
        <v>7</v>
      </c>
      <c r="K5692" s="6" t="str">
        <f>IFERROR(__xludf.DUMMYFUNCTION("""COMPUTED_VALUE"""),"brandon.lariosvasquez@2hourlearning.com")</f>
        <v>brandon.lariosvasquez@2hourlearning.com</v>
      </c>
      <c r="L5692" s="6" t="str">
        <f>IFERROR(__xludf.DUMMYFUNCTION("""COMPUTED_VALUE"""),"JRHS - Ridgeland Secondary Academy of Excellence")</f>
        <v>JRHS - Ridgeland Secondary Academy of Excellence</v>
      </c>
      <c r="M5692" s="6" t="str">
        <f>IFERROR(__xludf.DUMMYFUNCTION("""COMPUTED_VALUE"""),"")</f>
        <v/>
      </c>
      <c r="N5692" s="6" t="str">
        <f>IFERROR(__xludf.DUMMYFUNCTION("""COMPUTED_VALUE"""),"")</f>
        <v/>
      </c>
      <c r="O5692" s="87" t="str">
        <f>IFERROR(__xludf.DUMMYFUNCTION("""COMPUTED_VALUE"""),"https://drive.google.com/drive/folders/10T2cTQHqEJZqE-st6uFKPoI?usp=share_link")</f>
        <v>https://drive.google.com/drive/folders/10T2cTQHqEJZqE-st6uFKPoI?usp=share_link</v>
      </c>
      <c r="P5692" s="6" t="str">
        <f>IFERROR(__xludf.DUMMYFUNCTION("""COMPUTED_VALUE"""),"Brandon Larios Vasquez")</f>
        <v>Brandon Larios Vasquez</v>
      </c>
      <c r="Q5692" s="6" t="str">
        <f>IFERROR(__xludf.DUMMYFUNCTION("""COMPUTED_VALUE"""),"MS")</f>
        <v>MS</v>
      </c>
      <c r="R5692" s="6">
        <f>IFERROR(__xludf.DUMMYFUNCTION("""COMPUTED_VALUE"""),0.0)</f>
        <v>0</v>
      </c>
      <c r="S5692" s="6" t="str">
        <f>IFERROR(__xludf.DUMMYFUNCTION("""COMPUTED_VALUE"""),"Kimberly Ball")</f>
        <v>Kimberly Ball</v>
      </c>
      <c r="T5692" s="6" t="str">
        <f>IFERROR(__xludf.DUMMYFUNCTION("""COMPUTED_VALUE"""),"kimberly.ball@studient.com")</f>
        <v>kimberly.ball@studient.com</v>
      </c>
      <c r="U5692" s="6" t="str">
        <f>IFERROR(__xludf.DUMMYFUNCTION("""COMPUTED_VALUE"""),"7")</f>
        <v>7</v>
      </c>
      <c r="V5692" s="6" t="str">
        <f>IFERROR(__xludf.DUMMYFUNCTION("""COMPUTED_VALUE"""),"")</f>
        <v/>
      </c>
      <c r="W5692" s="6" t="str">
        <f>IFERROR(__xludf.DUMMYFUNCTION("""COMPUTED_VALUE"""),"[]")</f>
        <v>[]</v>
      </c>
      <c r="X5692" s="6" t="str">
        <f>IFERROR(__xludf.DUMMYFUNCTION("""COMPUTED_VALUE"""),"Enrolled")</f>
        <v>Enrolled</v>
      </c>
    </row>
    <row r="5693">
      <c r="A5693" s="6" t="str">
        <f>IFERROR(__xludf.DUMMYFUNCTION("""COMPUTED_VALUE"""),"087-12290")</f>
        <v>087-12290</v>
      </c>
      <c r="B5693" s="6" t="str">
        <f>IFERROR(__xludf.DUMMYFUNCTION("""COMPUTED_VALUE"""),"87")</f>
        <v>87</v>
      </c>
      <c r="C5693" s="6" t="str">
        <f>IFERROR(__xludf.DUMMYFUNCTION("""COMPUTED_VALUE"""),"12290")</f>
        <v>12290</v>
      </c>
      <c r="D5693" s="6" t="str">
        <f>IFERROR(__xludf.DUMMYFUNCTION("""COMPUTED_VALUE"""),"Kenneth")</f>
        <v>Kenneth</v>
      </c>
      <c r="E5693" s="6" t="str">
        <f>IFERROR(__xludf.DUMMYFUNCTION("""COMPUTED_VALUE"""),"")</f>
        <v/>
      </c>
      <c r="F5693" s="6" t="str">
        <f>IFERROR(__xludf.DUMMYFUNCTION("""COMPUTED_VALUE"""),"Ling")</f>
        <v>Ling</v>
      </c>
      <c r="G5693" s="6" t="str">
        <f>IFERROR(__xludf.DUMMYFUNCTION("""COMPUTED_VALUE"""),"03/30/2013")</f>
        <v>03/30/2013</v>
      </c>
      <c r="H5693" s="6" t="str">
        <f>IFERROR(__xludf.DUMMYFUNCTION("""COMPUTED_VALUE"""),"male")</f>
        <v>male</v>
      </c>
      <c r="I5693" s="6" t="str">
        <f>IFERROR(__xludf.DUMMYFUNCTION("""COMPUTED_VALUE"""),"Middle School")</f>
        <v>Middle School</v>
      </c>
      <c r="J5693" s="6" t="str">
        <f>IFERROR(__xludf.DUMMYFUNCTION("""COMPUTED_VALUE"""),"7")</f>
        <v>7</v>
      </c>
      <c r="K5693" s="6" t="str">
        <f>IFERROR(__xludf.DUMMYFUNCTION("""COMPUTED_VALUE"""),"kenneth.ling@2hourlearning.com")</f>
        <v>kenneth.ling@2hourlearning.com</v>
      </c>
      <c r="L5693" s="6" t="str">
        <f>IFERROR(__xludf.DUMMYFUNCTION("""COMPUTED_VALUE"""),"JRHS - Ridgeland Secondary Academy of Excellence")</f>
        <v>JRHS - Ridgeland Secondary Academy of Excellence</v>
      </c>
      <c r="M5693" s="6" t="str">
        <f>IFERROR(__xludf.DUMMYFUNCTION("""COMPUTED_VALUE"""),"")</f>
        <v/>
      </c>
      <c r="N5693" s="6" t="str">
        <f>IFERROR(__xludf.DUMMYFUNCTION("""COMPUTED_VALUE"""),"")</f>
        <v/>
      </c>
      <c r="O5693" s="87" t="str">
        <f>IFERROR(__xludf.DUMMYFUNCTION("""COMPUTED_VALUE"""),"https://drive.google.com/drive/folders/10T2cTQHqEJZqE-st6uFKPoI?usp=share_link")</f>
        <v>https://drive.google.com/drive/folders/10T2cTQHqEJZqE-st6uFKPoI?usp=share_link</v>
      </c>
      <c r="P5693" s="6" t="str">
        <f>IFERROR(__xludf.DUMMYFUNCTION("""COMPUTED_VALUE"""),"Kenneth Ling")</f>
        <v>Kenneth Ling</v>
      </c>
      <c r="Q5693" s="6" t="str">
        <f>IFERROR(__xludf.DUMMYFUNCTION("""COMPUTED_VALUE"""),"MS")</f>
        <v>MS</v>
      </c>
      <c r="R5693" s="6">
        <f>IFERROR(__xludf.DUMMYFUNCTION("""COMPUTED_VALUE"""),0.0)</f>
        <v>0</v>
      </c>
      <c r="S5693" s="6" t="str">
        <f>IFERROR(__xludf.DUMMYFUNCTION("""COMPUTED_VALUE"""),"Kimberly Ball")</f>
        <v>Kimberly Ball</v>
      </c>
      <c r="T5693" s="6" t="str">
        <f>IFERROR(__xludf.DUMMYFUNCTION("""COMPUTED_VALUE"""),"kimberly.ball@studient.com")</f>
        <v>kimberly.ball@studient.com</v>
      </c>
      <c r="U5693" s="6" t="str">
        <f>IFERROR(__xludf.DUMMYFUNCTION("""COMPUTED_VALUE"""),"7")</f>
        <v>7</v>
      </c>
      <c r="V5693" s="6" t="str">
        <f>IFERROR(__xludf.DUMMYFUNCTION("""COMPUTED_VALUE"""),"")</f>
        <v/>
      </c>
      <c r="W5693" s="6" t="str">
        <f>IFERROR(__xludf.DUMMYFUNCTION("""COMPUTED_VALUE"""),"[]")</f>
        <v>[]</v>
      </c>
      <c r="X5693" s="6" t="str">
        <f>IFERROR(__xludf.DUMMYFUNCTION("""COMPUTED_VALUE"""),"Enrolled")</f>
        <v>Enrolled</v>
      </c>
    </row>
    <row r="5694">
      <c r="A5694" s="6" t="str">
        <f>IFERROR(__xludf.DUMMYFUNCTION("""COMPUTED_VALUE"""),"087-12291")</f>
        <v>087-12291</v>
      </c>
      <c r="B5694" s="6" t="str">
        <f>IFERROR(__xludf.DUMMYFUNCTION("""COMPUTED_VALUE"""),"87")</f>
        <v>87</v>
      </c>
      <c r="C5694" s="6" t="str">
        <f>IFERROR(__xludf.DUMMYFUNCTION("""COMPUTED_VALUE"""),"12291")</f>
        <v>12291</v>
      </c>
      <c r="D5694" s="6" t="str">
        <f>IFERROR(__xludf.DUMMYFUNCTION("""COMPUTED_VALUE"""),"Kemorah")</f>
        <v>Kemorah</v>
      </c>
      <c r="E5694" s="6" t="str">
        <f>IFERROR(__xludf.DUMMYFUNCTION("""COMPUTED_VALUE"""),"")</f>
        <v/>
      </c>
      <c r="F5694" s="6" t="str">
        <f>IFERROR(__xludf.DUMMYFUNCTION("""COMPUTED_VALUE"""),"Linton")</f>
        <v>Linton</v>
      </c>
      <c r="G5694" s="6" t="str">
        <f>IFERROR(__xludf.DUMMYFUNCTION("""COMPUTED_VALUE"""),"11/23/2012")</f>
        <v>11/23/2012</v>
      </c>
      <c r="H5694" s="6" t="str">
        <f>IFERROR(__xludf.DUMMYFUNCTION("""COMPUTED_VALUE"""),"female")</f>
        <v>female</v>
      </c>
      <c r="I5694" s="6" t="str">
        <f>IFERROR(__xludf.DUMMYFUNCTION("""COMPUTED_VALUE"""),"Middle School")</f>
        <v>Middle School</v>
      </c>
      <c r="J5694" s="6" t="str">
        <f>IFERROR(__xludf.DUMMYFUNCTION("""COMPUTED_VALUE"""),"7")</f>
        <v>7</v>
      </c>
      <c r="K5694" s="6" t="str">
        <f>IFERROR(__xludf.DUMMYFUNCTION("""COMPUTED_VALUE"""),"kemorah.linton@2hourlearning.com")</f>
        <v>kemorah.linton@2hourlearning.com</v>
      </c>
      <c r="L5694" s="6" t="str">
        <f>IFERROR(__xludf.DUMMYFUNCTION("""COMPUTED_VALUE"""),"JRHS - Ridgeland Secondary Academy of Excellence")</f>
        <v>JRHS - Ridgeland Secondary Academy of Excellence</v>
      </c>
      <c r="M5694" s="6" t="str">
        <f>IFERROR(__xludf.DUMMYFUNCTION("""COMPUTED_VALUE"""),"")</f>
        <v/>
      </c>
      <c r="N5694" s="6" t="str">
        <f>IFERROR(__xludf.DUMMYFUNCTION("""COMPUTED_VALUE"""),"")</f>
        <v/>
      </c>
      <c r="O5694" s="87" t="str">
        <f>IFERROR(__xludf.DUMMYFUNCTION("""COMPUTED_VALUE"""),"https://drive.google.com/drive/folders/10T2cTQHqEJZqE-st6uFKPoI?usp=share_link")</f>
        <v>https://drive.google.com/drive/folders/10T2cTQHqEJZqE-st6uFKPoI?usp=share_link</v>
      </c>
      <c r="P5694" s="6" t="str">
        <f>IFERROR(__xludf.DUMMYFUNCTION("""COMPUTED_VALUE"""),"Kemorah Linton")</f>
        <v>Kemorah Linton</v>
      </c>
      <c r="Q5694" s="6" t="str">
        <f>IFERROR(__xludf.DUMMYFUNCTION("""COMPUTED_VALUE"""),"MS")</f>
        <v>MS</v>
      </c>
      <c r="R5694" s="6">
        <f>IFERROR(__xludf.DUMMYFUNCTION("""COMPUTED_VALUE"""),0.0)</f>
        <v>0</v>
      </c>
      <c r="S5694" s="6" t="str">
        <f>IFERROR(__xludf.DUMMYFUNCTION("""COMPUTED_VALUE"""),"Kimberly Ball")</f>
        <v>Kimberly Ball</v>
      </c>
      <c r="T5694" s="6" t="str">
        <f>IFERROR(__xludf.DUMMYFUNCTION("""COMPUTED_VALUE"""),"kimberly.ball@studient.com")</f>
        <v>kimberly.ball@studient.com</v>
      </c>
      <c r="U5694" s="6" t="str">
        <f>IFERROR(__xludf.DUMMYFUNCTION("""COMPUTED_VALUE"""),"7")</f>
        <v>7</v>
      </c>
      <c r="V5694" s="6" t="str">
        <f>IFERROR(__xludf.DUMMYFUNCTION("""COMPUTED_VALUE"""),"")</f>
        <v/>
      </c>
      <c r="W5694" s="6" t="str">
        <f>IFERROR(__xludf.DUMMYFUNCTION("""COMPUTED_VALUE"""),"[]")</f>
        <v>[]</v>
      </c>
      <c r="X5694" s="6" t="str">
        <f>IFERROR(__xludf.DUMMYFUNCTION("""COMPUTED_VALUE"""),"Enrolled")</f>
        <v>Enrolled</v>
      </c>
    </row>
    <row r="5695">
      <c r="A5695" s="6" t="str">
        <f>IFERROR(__xludf.DUMMYFUNCTION("""COMPUTED_VALUE"""),"087-12292")</f>
        <v>087-12292</v>
      </c>
      <c r="B5695" s="6" t="str">
        <f>IFERROR(__xludf.DUMMYFUNCTION("""COMPUTED_VALUE"""),"87")</f>
        <v>87</v>
      </c>
      <c r="C5695" s="6" t="str">
        <f>IFERROR(__xludf.DUMMYFUNCTION("""COMPUTED_VALUE"""),"12292")</f>
        <v>12292</v>
      </c>
      <c r="D5695" s="6" t="str">
        <f>IFERROR(__xludf.DUMMYFUNCTION("""COMPUTED_VALUE"""),"Edward")</f>
        <v>Edward</v>
      </c>
      <c r="E5695" s="6" t="str">
        <f>IFERROR(__xludf.DUMMYFUNCTION("""COMPUTED_VALUE"""),"")</f>
        <v/>
      </c>
      <c r="F5695" s="6" t="str">
        <f>IFERROR(__xludf.DUMMYFUNCTION("""COMPUTED_VALUE"""),"Lopez Moreno")</f>
        <v>Lopez Moreno</v>
      </c>
      <c r="G5695" s="6" t="str">
        <f>IFERROR(__xludf.DUMMYFUNCTION("""COMPUTED_VALUE"""),"11/16/2011")</f>
        <v>11/16/2011</v>
      </c>
      <c r="H5695" s="6" t="str">
        <f>IFERROR(__xludf.DUMMYFUNCTION("""COMPUTED_VALUE"""),"male")</f>
        <v>male</v>
      </c>
      <c r="I5695" s="6" t="str">
        <f>IFERROR(__xludf.DUMMYFUNCTION("""COMPUTED_VALUE"""),"Middle School")</f>
        <v>Middle School</v>
      </c>
      <c r="J5695" s="6" t="str">
        <f>IFERROR(__xludf.DUMMYFUNCTION("""COMPUTED_VALUE"""),"8")</f>
        <v>8</v>
      </c>
      <c r="K5695" s="6" t="str">
        <f>IFERROR(__xludf.DUMMYFUNCTION("""COMPUTED_VALUE"""),"edward.lopezmoreno@2hourlearning.com")</f>
        <v>edward.lopezmoreno@2hourlearning.com</v>
      </c>
      <c r="L5695" s="6" t="str">
        <f>IFERROR(__xludf.DUMMYFUNCTION("""COMPUTED_VALUE"""),"JRHS - Ridgeland Secondary Academy of Excellence")</f>
        <v>JRHS - Ridgeland Secondary Academy of Excellence</v>
      </c>
      <c r="M5695" s="6" t="str">
        <f>IFERROR(__xludf.DUMMYFUNCTION("""COMPUTED_VALUE"""),"")</f>
        <v/>
      </c>
      <c r="N5695" s="6" t="str">
        <f>IFERROR(__xludf.DUMMYFUNCTION("""COMPUTED_VALUE"""),"")</f>
        <v/>
      </c>
      <c r="O5695" s="87" t="str">
        <f>IFERROR(__xludf.DUMMYFUNCTION("""COMPUTED_VALUE"""),"https://drive.google.com/drive/folders/10T2cTQHqEJZqE-st6uFKPoI?usp=share_link")</f>
        <v>https://drive.google.com/drive/folders/10T2cTQHqEJZqE-st6uFKPoI?usp=share_link</v>
      </c>
      <c r="P5695" s="6" t="str">
        <f>IFERROR(__xludf.DUMMYFUNCTION("""COMPUTED_VALUE"""),"Edward Lopez Moreno")</f>
        <v>Edward Lopez Moreno</v>
      </c>
      <c r="Q5695" s="6" t="str">
        <f>IFERROR(__xludf.DUMMYFUNCTION("""COMPUTED_VALUE"""),"MS")</f>
        <v>MS</v>
      </c>
      <c r="R5695" s="6">
        <f>IFERROR(__xludf.DUMMYFUNCTION("""COMPUTED_VALUE"""),0.0)</f>
        <v>0</v>
      </c>
      <c r="S5695" s="6" t="str">
        <f>IFERROR(__xludf.DUMMYFUNCTION("""COMPUTED_VALUE"""),"Kimberly Ball")</f>
        <v>Kimberly Ball</v>
      </c>
      <c r="T5695" s="6" t="str">
        <f>IFERROR(__xludf.DUMMYFUNCTION("""COMPUTED_VALUE"""),"kimberly.ball@studient.com")</f>
        <v>kimberly.ball@studient.com</v>
      </c>
      <c r="U5695" s="6" t="str">
        <f>IFERROR(__xludf.DUMMYFUNCTION("""COMPUTED_VALUE"""),"8")</f>
        <v>8</v>
      </c>
      <c r="V5695" s="6" t="str">
        <f>IFERROR(__xludf.DUMMYFUNCTION("""COMPUTED_VALUE"""),"")</f>
        <v/>
      </c>
      <c r="W5695" s="6" t="str">
        <f>IFERROR(__xludf.DUMMYFUNCTION("""COMPUTED_VALUE"""),"[]")</f>
        <v>[]</v>
      </c>
      <c r="X5695" s="6" t="str">
        <f>IFERROR(__xludf.DUMMYFUNCTION("""COMPUTED_VALUE"""),"Enrolled")</f>
        <v>Enrolled</v>
      </c>
    </row>
    <row r="5696">
      <c r="A5696" s="6" t="str">
        <f>IFERROR(__xludf.DUMMYFUNCTION("""COMPUTED_VALUE"""),"087-12293")</f>
        <v>087-12293</v>
      </c>
      <c r="B5696" s="6" t="str">
        <f>IFERROR(__xludf.DUMMYFUNCTION("""COMPUTED_VALUE"""),"87")</f>
        <v>87</v>
      </c>
      <c r="C5696" s="6" t="str">
        <f>IFERROR(__xludf.DUMMYFUNCTION("""COMPUTED_VALUE"""),"12293")</f>
        <v>12293</v>
      </c>
      <c r="D5696" s="6" t="str">
        <f>IFERROR(__xludf.DUMMYFUNCTION("""COMPUTED_VALUE"""),"Jordan")</f>
        <v>Jordan</v>
      </c>
      <c r="E5696" s="6" t="str">
        <f>IFERROR(__xludf.DUMMYFUNCTION("""COMPUTED_VALUE"""),"")</f>
        <v/>
      </c>
      <c r="F5696" s="6" t="str">
        <f>IFERROR(__xludf.DUMMYFUNCTION("""COMPUTED_VALUE"""),"Lopez Perez")</f>
        <v>Lopez Perez</v>
      </c>
      <c r="G5696" s="6" t="str">
        <f>IFERROR(__xludf.DUMMYFUNCTION("""COMPUTED_VALUE"""),"03/12/2013")</f>
        <v>03/12/2013</v>
      </c>
      <c r="H5696" s="6" t="str">
        <f>IFERROR(__xludf.DUMMYFUNCTION("""COMPUTED_VALUE"""),"male")</f>
        <v>male</v>
      </c>
      <c r="I5696" s="6" t="str">
        <f>IFERROR(__xludf.DUMMYFUNCTION("""COMPUTED_VALUE"""),"Middle School")</f>
        <v>Middle School</v>
      </c>
      <c r="J5696" s="6" t="str">
        <f>IFERROR(__xludf.DUMMYFUNCTION("""COMPUTED_VALUE"""),"6")</f>
        <v>6</v>
      </c>
      <c r="K5696" s="6" t="str">
        <f>IFERROR(__xludf.DUMMYFUNCTION("""COMPUTED_VALUE"""),"jordan.lopezperez@2hourlearning.com")</f>
        <v>jordan.lopezperez@2hourlearning.com</v>
      </c>
      <c r="L5696" s="6" t="str">
        <f>IFERROR(__xludf.DUMMYFUNCTION("""COMPUTED_VALUE"""),"JRHS - Ridgeland Secondary Academy of Excellence")</f>
        <v>JRHS - Ridgeland Secondary Academy of Excellence</v>
      </c>
      <c r="M5696" s="6" t="str">
        <f>IFERROR(__xludf.DUMMYFUNCTION("""COMPUTED_VALUE"""),"")</f>
        <v/>
      </c>
      <c r="N5696" s="6" t="str">
        <f>IFERROR(__xludf.DUMMYFUNCTION("""COMPUTED_VALUE"""),"")</f>
        <v/>
      </c>
      <c r="O5696" s="87" t="str">
        <f>IFERROR(__xludf.DUMMYFUNCTION("""COMPUTED_VALUE"""),"https://drive.google.com/drive/folders/10T2cTQHqEJZqE-st6uFKPoI?usp=share_link")</f>
        <v>https://drive.google.com/drive/folders/10T2cTQHqEJZqE-st6uFKPoI?usp=share_link</v>
      </c>
      <c r="P5696" s="6" t="str">
        <f>IFERROR(__xludf.DUMMYFUNCTION("""COMPUTED_VALUE"""),"Jordan Lopez Perez")</f>
        <v>Jordan Lopez Perez</v>
      </c>
      <c r="Q5696" s="6" t="str">
        <f>IFERROR(__xludf.DUMMYFUNCTION("""COMPUTED_VALUE"""),"MS")</f>
        <v>MS</v>
      </c>
      <c r="R5696" s="6">
        <f>IFERROR(__xludf.DUMMYFUNCTION("""COMPUTED_VALUE"""),0.0)</f>
        <v>0</v>
      </c>
      <c r="S5696" s="6" t="str">
        <f>IFERROR(__xludf.DUMMYFUNCTION("""COMPUTED_VALUE"""),"Kimberly Ball")</f>
        <v>Kimberly Ball</v>
      </c>
      <c r="T5696" s="6" t="str">
        <f>IFERROR(__xludf.DUMMYFUNCTION("""COMPUTED_VALUE"""),"kimberly.ball@studient.com")</f>
        <v>kimberly.ball@studient.com</v>
      </c>
      <c r="U5696" s="6" t="str">
        <f>IFERROR(__xludf.DUMMYFUNCTION("""COMPUTED_VALUE"""),"6")</f>
        <v>6</v>
      </c>
      <c r="V5696" s="6" t="str">
        <f>IFERROR(__xludf.DUMMYFUNCTION("""COMPUTED_VALUE"""),"")</f>
        <v/>
      </c>
      <c r="W5696" s="6" t="str">
        <f>IFERROR(__xludf.DUMMYFUNCTION("""COMPUTED_VALUE"""),"[]")</f>
        <v>[]</v>
      </c>
      <c r="X5696" s="6" t="str">
        <f>IFERROR(__xludf.DUMMYFUNCTION("""COMPUTED_VALUE"""),"Enrolled")</f>
        <v>Enrolled</v>
      </c>
    </row>
    <row r="5697">
      <c r="A5697" s="6" t="str">
        <f>IFERROR(__xludf.DUMMYFUNCTION("""COMPUTED_VALUE"""),"087-12294")</f>
        <v>087-12294</v>
      </c>
      <c r="B5697" s="6" t="str">
        <f>IFERROR(__xludf.DUMMYFUNCTION("""COMPUTED_VALUE"""),"87")</f>
        <v>87</v>
      </c>
      <c r="C5697" s="6" t="str">
        <f>IFERROR(__xludf.DUMMYFUNCTION("""COMPUTED_VALUE"""),"12294")</f>
        <v>12294</v>
      </c>
      <c r="D5697" s="6" t="str">
        <f>IFERROR(__xludf.DUMMYFUNCTION("""COMPUTED_VALUE"""),"Keyla")</f>
        <v>Keyla</v>
      </c>
      <c r="E5697" s="6" t="str">
        <f>IFERROR(__xludf.DUMMYFUNCTION("""COMPUTED_VALUE"""),"")</f>
        <v/>
      </c>
      <c r="F5697" s="6" t="str">
        <f>IFERROR(__xludf.DUMMYFUNCTION("""COMPUTED_VALUE"""),"Lopez Perez")</f>
        <v>Lopez Perez</v>
      </c>
      <c r="G5697" s="6" t="str">
        <f>IFERROR(__xludf.DUMMYFUNCTION("""COMPUTED_VALUE"""),"05/06/2014")</f>
        <v>05/06/2014</v>
      </c>
      <c r="H5697" s="6" t="str">
        <f>IFERROR(__xludf.DUMMYFUNCTION("""COMPUTED_VALUE"""),"female")</f>
        <v>female</v>
      </c>
      <c r="I5697" s="6" t="str">
        <f>IFERROR(__xludf.DUMMYFUNCTION("""COMPUTED_VALUE"""),"Middle School")</f>
        <v>Middle School</v>
      </c>
      <c r="J5697" s="6" t="str">
        <f>IFERROR(__xludf.DUMMYFUNCTION("""COMPUTED_VALUE"""),"6")</f>
        <v>6</v>
      </c>
      <c r="K5697" s="6" t="str">
        <f>IFERROR(__xludf.DUMMYFUNCTION("""COMPUTED_VALUE"""),"keyla.lopezperez@2hourlearning.com")</f>
        <v>keyla.lopezperez@2hourlearning.com</v>
      </c>
      <c r="L5697" s="6" t="str">
        <f>IFERROR(__xludf.DUMMYFUNCTION("""COMPUTED_VALUE"""),"JRHS - Ridgeland Secondary Academy of Excellence")</f>
        <v>JRHS - Ridgeland Secondary Academy of Excellence</v>
      </c>
      <c r="M5697" s="6" t="str">
        <f>IFERROR(__xludf.DUMMYFUNCTION("""COMPUTED_VALUE"""),"")</f>
        <v/>
      </c>
      <c r="N5697" s="6" t="str">
        <f>IFERROR(__xludf.DUMMYFUNCTION("""COMPUTED_VALUE"""),"")</f>
        <v/>
      </c>
      <c r="O5697" s="87" t="str">
        <f>IFERROR(__xludf.DUMMYFUNCTION("""COMPUTED_VALUE"""),"https://drive.google.com/drive/folders/10T2cTQHqEJZqE-st6uFKPoI?usp=share_link")</f>
        <v>https://drive.google.com/drive/folders/10T2cTQHqEJZqE-st6uFKPoI?usp=share_link</v>
      </c>
      <c r="P5697" s="6" t="str">
        <f>IFERROR(__xludf.DUMMYFUNCTION("""COMPUTED_VALUE"""),"Keyla Lopez Perez")</f>
        <v>Keyla Lopez Perez</v>
      </c>
      <c r="Q5697" s="6" t="str">
        <f>IFERROR(__xludf.DUMMYFUNCTION("""COMPUTED_VALUE"""),"MS")</f>
        <v>MS</v>
      </c>
      <c r="R5697" s="6">
        <f>IFERROR(__xludf.DUMMYFUNCTION("""COMPUTED_VALUE"""),0.0)</f>
        <v>0</v>
      </c>
      <c r="S5697" s="6" t="str">
        <f>IFERROR(__xludf.DUMMYFUNCTION("""COMPUTED_VALUE"""),"Kimberly Ball")</f>
        <v>Kimberly Ball</v>
      </c>
      <c r="T5697" s="6" t="str">
        <f>IFERROR(__xludf.DUMMYFUNCTION("""COMPUTED_VALUE"""),"kimberly.ball@studient.com")</f>
        <v>kimberly.ball@studient.com</v>
      </c>
      <c r="U5697" s="6" t="str">
        <f>IFERROR(__xludf.DUMMYFUNCTION("""COMPUTED_VALUE"""),"6")</f>
        <v>6</v>
      </c>
      <c r="V5697" s="6" t="str">
        <f>IFERROR(__xludf.DUMMYFUNCTION("""COMPUTED_VALUE"""),"")</f>
        <v/>
      </c>
      <c r="W5697" s="6" t="str">
        <f>IFERROR(__xludf.DUMMYFUNCTION("""COMPUTED_VALUE"""),"[]")</f>
        <v>[]</v>
      </c>
      <c r="X5697" s="6" t="str">
        <f>IFERROR(__xludf.DUMMYFUNCTION("""COMPUTED_VALUE"""),"Enrolled")</f>
        <v>Enrolled</v>
      </c>
    </row>
    <row r="5698">
      <c r="A5698" s="6" t="str">
        <f>IFERROR(__xludf.DUMMYFUNCTION("""COMPUTED_VALUE"""),"087-12295")</f>
        <v>087-12295</v>
      </c>
      <c r="B5698" s="6" t="str">
        <f>IFERROR(__xludf.DUMMYFUNCTION("""COMPUTED_VALUE"""),"87")</f>
        <v>87</v>
      </c>
      <c r="C5698" s="6" t="str">
        <f>IFERROR(__xludf.DUMMYFUNCTION("""COMPUTED_VALUE"""),"12295")</f>
        <v>12295</v>
      </c>
      <c r="D5698" s="6" t="str">
        <f>IFERROR(__xludf.DUMMYFUNCTION("""COMPUTED_VALUE"""),"Christian")</f>
        <v>Christian</v>
      </c>
      <c r="E5698" s="6" t="str">
        <f>IFERROR(__xludf.DUMMYFUNCTION("""COMPUTED_VALUE"""),"")</f>
        <v/>
      </c>
      <c r="F5698" s="6" t="str">
        <f>IFERROR(__xludf.DUMMYFUNCTION("""COMPUTED_VALUE"""),"Love")</f>
        <v>Love</v>
      </c>
      <c r="G5698" s="6" t="str">
        <f>IFERROR(__xludf.DUMMYFUNCTION("""COMPUTED_VALUE"""),"11/11/2010")</f>
        <v>11/11/2010</v>
      </c>
      <c r="H5698" s="6" t="str">
        <f>IFERROR(__xludf.DUMMYFUNCTION("""COMPUTED_VALUE"""),"male")</f>
        <v>male</v>
      </c>
      <c r="I5698" s="6" t="str">
        <f>IFERROR(__xludf.DUMMYFUNCTION("""COMPUTED_VALUE"""),"Middle School")</f>
        <v>Middle School</v>
      </c>
      <c r="J5698" s="6" t="str">
        <f>IFERROR(__xludf.DUMMYFUNCTION("""COMPUTED_VALUE"""),"8")</f>
        <v>8</v>
      </c>
      <c r="K5698" s="6" t="str">
        <f>IFERROR(__xludf.DUMMYFUNCTION("""COMPUTED_VALUE"""),"christian.love@2hourlearning.com")</f>
        <v>christian.love@2hourlearning.com</v>
      </c>
      <c r="L5698" s="6" t="str">
        <f>IFERROR(__xludf.DUMMYFUNCTION("""COMPUTED_VALUE"""),"JRHS - Ridgeland Secondary Academy of Excellence")</f>
        <v>JRHS - Ridgeland Secondary Academy of Excellence</v>
      </c>
      <c r="M5698" s="6" t="str">
        <f>IFERROR(__xludf.DUMMYFUNCTION("""COMPUTED_VALUE"""),"")</f>
        <v/>
      </c>
      <c r="N5698" s="6" t="str">
        <f>IFERROR(__xludf.DUMMYFUNCTION("""COMPUTED_VALUE"""),"")</f>
        <v/>
      </c>
      <c r="O5698" s="87" t="str">
        <f>IFERROR(__xludf.DUMMYFUNCTION("""COMPUTED_VALUE"""),"https://drive.google.com/drive/folders/10T2cTQHqEJZqE-st6uFKPoI?usp=share_link")</f>
        <v>https://drive.google.com/drive/folders/10T2cTQHqEJZqE-st6uFKPoI?usp=share_link</v>
      </c>
      <c r="P5698" s="6" t="str">
        <f>IFERROR(__xludf.DUMMYFUNCTION("""COMPUTED_VALUE"""),"Christian Love")</f>
        <v>Christian Love</v>
      </c>
      <c r="Q5698" s="6" t="str">
        <f>IFERROR(__xludf.DUMMYFUNCTION("""COMPUTED_VALUE"""),"MS")</f>
        <v>MS</v>
      </c>
      <c r="R5698" s="6">
        <f>IFERROR(__xludf.DUMMYFUNCTION("""COMPUTED_VALUE"""),0.0)</f>
        <v>0</v>
      </c>
      <c r="S5698" s="6" t="str">
        <f>IFERROR(__xludf.DUMMYFUNCTION("""COMPUTED_VALUE"""),"Kimberly Ball")</f>
        <v>Kimberly Ball</v>
      </c>
      <c r="T5698" s="6" t="str">
        <f>IFERROR(__xludf.DUMMYFUNCTION("""COMPUTED_VALUE"""),"kimberly.ball@studient.com")</f>
        <v>kimberly.ball@studient.com</v>
      </c>
      <c r="U5698" s="6" t="str">
        <f>IFERROR(__xludf.DUMMYFUNCTION("""COMPUTED_VALUE"""),"8")</f>
        <v>8</v>
      </c>
      <c r="V5698" s="6" t="str">
        <f>IFERROR(__xludf.DUMMYFUNCTION("""COMPUTED_VALUE"""),"")</f>
        <v/>
      </c>
      <c r="W5698" s="6" t="str">
        <f>IFERROR(__xludf.DUMMYFUNCTION("""COMPUTED_VALUE"""),"[]")</f>
        <v>[]</v>
      </c>
      <c r="X5698" s="6" t="str">
        <f>IFERROR(__xludf.DUMMYFUNCTION("""COMPUTED_VALUE"""),"Enrolled")</f>
        <v>Enrolled</v>
      </c>
    </row>
    <row r="5699">
      <c r="A5699" s="6" t="str">
        <f>IFERROR(__xludf.DUMMYFUNCTION("""COMPUTED_VALUE"""),"087-12296")</f>
        <v>087-12296</v>
      </c>
      <c r="B5699" s="6" t="str">
        <f>IFERROR(__xludf.DUMMYFUNCTION("""COMPUTED_VALUE"""),"87")</f>
        <v>87</v>
      </c>
      <c r="C5699" s="6" t="str">
        <f>IFERROR(__xludf.DUMMYFUNCTION("""COMPUTED_VALUE"""),"12296")</f>
        <v>12296</v>
      </c>
      <c r="D5699" s="6" t="str">
        <f>IFERROR(__xludf.DUMMYFUNCTION("""COMPUTED_VALUE"""),"Zoe")</f>
        <v>Zoe</v>
      </c>
      <c r="E5699" s="6" t="str">
        <f>IFERROR(__xludf.DUMMYFUNCTION("""COMPUTED_VALUE"""),"")</f>
        <v/>
      </c>
      <c r="F5699" s="6" t="str">
        <f>IFERROR(__xludf.DUMMYFUNCTION("""COMPUTED_VALUE"""),"Lozano Reyna")</f>
        <v>Lozano Reyna</v>
      </c>
      <c r="G5699" s="6" t="str">
        <f>IFERROR(__xludf.DUMMYFUNCTION("""COMPUTED_VALUE"""),"04/10/2013")</f>
        <v>04/10/2013</v>
      </c>
      <c r="H5699" s="6" t="str">
        <f>IFERROR(__xludf.DUMMYFUNCTION("""COMPUTED_VALUE"""),"female")</f>
        <v>female</v>
      </c>
      <c r="I5699" s="6" t="str">
        <f>IFERROR(__xludf.DUMMYFUNCTION("""COMPUTED_VALUE"""),"Middle School")</f>
        <v>Middle School</v>
      </c>
      <c r="J5699" s="6" t="str">
        <f>IFERROR(__xludf.DUMMYFUNCTION("""COMPUTED_VALUE"""),"7")</f>
        <v>7</v>
      </c>
      <c r="K5699" s="6" t="str">
        <f>IFERROR(__xludf.DUMMYFUNCTION("""COMPUTED_VALUE"""),"zoe.lozanoreyna@2hourlearning.com")</f>
        <v>zoe.lozanoreyna@2hourlearning.com</v>
      </c>
      <c r="L5699" s="6" t="str">
        <f>IFERROR(__xludf.DUMMYFUNCTION("""COMPUTED_VALUE"""),"JRHS - Ridgeland Secondary Academy of Excellence")</f>
        <v>JRHS - Ridgeland Secondary Academy of Excellence</v>
      </c>
      <c r="M5699" s="6" t="str">
        <f>IFERROR(__xludf.DUMMYFUNCTION("""COMPUTED_VALUE"""),"")</f>
        <v/>
      </c>
      <c r="N5699" s="6" t="str">
        <f>IFERROR(__xludf.DUMMYFUNCTION("""COMPUTED_VALUE"""),"")</f>
        <v/>
      </c>
      <c r="O5699" s="87" t="str">
        <f>IFERROR(__xludf.DUMMYFUNCTION("""COMPUTED_VALUE"""),"https://drive.google.com/drive/folders/10T2cTQHqEJZqE-st6uFKPoI?usp=share_link")</f>
        <v>https://drive.google.com/drive/folders/10T2cTQHqEJZqE-st6uFKPoI?usp=share_link</v>
      </c>
      <c r="P5699" s="6" t="str">
        <f>IFERROR(__xludf.DUMMYFUNCTION("""COMPUTED_VALUE"""),"Zoe Lozano Reyna")</f>
        <v>Zoe Lozano Reyna</v>
      </c>
      <c r="Q5699" s="6" t="str">
        <f>IFERROR(__xludf.DUMMYFUNCTION("""COMPUTED_VALUE"""),"MS")</f>
        <v>MS</v>
      </c>
      <c r="R5699" s="6">
        <f>IFERROR(__xludf.DUMMYFUNCTION("""COMPUTED_VALUE"""),0.0)</f>
        <v>0</v>
      </c>
      <c r="S5699" s="6" t="str">
        <f>IFERROR(__xludf.DUMMYFUNCTION("""COMPUTED_VALUE"""),"Kimberly Ball")</f>
        <v>Kimberly Ball</v>
      </c>
      <c r="T5699" s="6" t="str">
        <f>IFERROR(__xludf.DUMMYFUNCTION("""COMPUTED_VALUE"""),"kimberly.ball@studient.com")</f>
        <v>kimberly.ball@studient.com</v>
      </c>
      <c r="U5699" s="6" t="str">
        <f>IFERROR(__xludf.DUMMYFUNCTION("""COMPUTED_VALUE"""),"7")</f>
        <v>7</v>
      </c>
      <c r="V5699" s="6" t="str">
        <f>IFERROR(__xludf.DUMMYFUNCTION("""COMPUTED_VALUE"""),"")</f>
        <v/>
      </c>
      <c r="W5699" s="6" t="str">
        <f>IFERROR(__xludf.DUMMYFUNCTION("""COMPUTED_VALUE"""),"[]")</f>
        <v>[]</v>
      </c>
      <c r="X5699" s="6" t="str">
        <f>IFERROR(__xludf.DUMMYFUNCTION("""COMPUTED_VALUE"""),"Enrolled")</f>
        <v>Enrolled</v>
      </c>
    </row>
    <row r="5700">
      <c r="A5700" s="6" t="str">
        <f>IFERROR(__xludf.DUMMYFUNCTION("""COMPUTED_VALUE"""),"087-12297")</f>
        <v>087-12297</v>
      </c>
      <c r="B5700" s="6" t="str">
        <f>IFERROR(__xludf.DUMMYFUNCTION("""COMPUTED_VALUE"""),"87")</f>
        <v>87</v>
      </c>
      <c r="C5700" s="6" t="str">
        <f>IFERROR(__xludf.DUMMYFUNCTION("""COMPUTED_VALUE"""),"12297")</f>
        <v>12297</v>
      </c>
      <c r="D5700" s="6" t="str">
        <f>IFERROR(__xludf.DUMMYFUNCTION("""COMPUTED_VALUE"""),"Adriel")</f>
        <v>Adriel</v>
      </c>
      <c r="E5700" s="6" t="str">
        <f>IFERROR(__xludf.DUMMYFUNCTION("""COMPUTED_VALUE"""),"")</f>
        <v/>
      </c>
      <c r="F5700" s="6" t="str">
        <f>IFERROR(__xludf.DUMMYFUNCTION("""COMPUTED_VALUE"""),"Luna Salinas")</f>
        <v>Luna Salinas</v>
      </c>
      <c r="G5700" s="6" t="str">
        <f>IFERROR(__xludf.DUMMYFUNCTION("""COMPUTED_VALUE"""),"05/05/2012")</f>
        <v>05/05/2012</v>
      </c>
      <c r="H5700" s="6" t="str">
        <f>IFERROR(__xludf.DUMMYFUNCTION("""COMPUTED_VALUE"""),"male")</f>
        <v>male</v>
      </c>
      <c r="I5700" s="6" t="str">
        <f>IFERROR(__xludf.DUMMYFUNCTION("""COMPUTED_VALUE"""),"Middle School")</f>
        <v>Middle School</v>
      </c>
      <c r="J5700" s="6" t="str">
        <f>IFERROR(__xludf.DUMMYFUNCTION("""COMPUTED_VALUE"""),"8")</f>
        <v>8</v>
      </c>
      <c r="K5700" s="6" t="str">
        <f>IFERROR(__xludf.DUMMYFUNCTION("""COMPUTED_VALUE"""),"adriel.lunasalinas@2hourlearning.com")</f>
        <v>adriel.lunasalinas@2hourlearning.com</v>
      </c>
      <c r="L5700" s="6" t="str">
        <f>IFERROR(__xludf.DUMMYFUNCTION("""COMPUTED_VALUE"""),"JRHS - Ridgeland Secondary Academy of Excellence")</f>
        <v>JRHS - Ridgeland Secondary Academy of Excellence</v>
      </c>
      <c r="M5700" s="6" t="str">
        <f>IFERROR(__xludf.DUMMYFUNCTION("""COMPUTED_VALUE"""),"")</f>
        <v/>
      </c>
      <c r="N5700" s="6" t="str">
        <f>IFERROR(__xludf.DUMMYFUNCTION("""COMPUTED_VALUE"""),"")</f>
        <v/>
      </c>
      <c r="O5700" s="87" t="str">
        <f>IFERROR(__xludf.DUMMYFUNCTION("""COMPUTED_VALUE"""),"https://drive.google.com/drive/folders/10T2cTQHqEJZqE-st6uFKPoI?usp=share_link")</f>
        <v>https://drive.google.com/drive/folders/10T2cTQHqEJZqE-st6uFKPoI?usp=share_link</v>
      </c>
      <c r="P5700" s="6" t="str">
        <f>IFERROR(__xludf.DUMMYFUNCTION("""COMPUTED_VALUE"""),"Adriel Luna Salinas")</f>
        <v>Adriel Luna Salinas</v>
      </c>
      <c r="Q5700" s="6" t="str">
        <f>IFERROR(__xludf.DUMMYFUNCTION("""COMPUTED_VALUE"""),"MS")</f>
        <v>MS</v>
      </c>
      <c r="R5700" s="6">
        <f>IFERROR(__xludf.DUMMYFUNCTION("""COMPUTED_VALUE"""),0.0)</f>
        <v>0</v>
      </c>
      <c r="S5700" s="6" t="str">
        <f>IFERROR(__xludf.DUMMYFUNCTION("""COMPUTED_VALUE"""),"Kimberly Ball")</f>
        <v>Kimberly Ball</v>
      </c>
      <c r="T5700" s="6" t="str">
        <f>IFERROR(__xludf.DUMMYFUNCTION("""COMPUTED_VALUE"""),"kimberly.ball@studient.com")</f>
        <v>kimberly.ball@studient.com</v>
      </c>
      <c r="U5700" s="6" t="str">
        <f>IFERROR(__xludf.DUMMYFUNCTION("""COMPUTED_VALUE"""),"8")</f>
        <v>8</v>
      </c>
      <c r="V5700" s="6" t="str">
        <f>IFERROR(__xludf.DUMMYFUNCTION("""COMPUTED_VALUE"""),"")</f>
        <v/>
      </c>
      <c r="W5700" s="6" t="str">
        <f>IFERROR(__xludf.DUMMYFUNCTION("""COMPUTED_VALUE"""),"[]")</f>
        <v>[]</v>
      </c>
      <c r="X5700" s="6" t="str">
        <f>IFERROR(__xludf.DUMMYFUNCTION("""COMPUTED_VALUE"""),"Enrolled")</f>
        <v>Enrolled</v>
      </c>
    </row>
    <row r="5701">
      <c r="A5701" s="6" t="str">
        <f>IFERROR(__xludf.DUMMYFUNCTION("""COMPUTED_VALUE"""),"087-12298")</f>
        <v>087-12298</v>
      </c>
      <c r="B5701" s="6" t="str">
        <f>IFERROR(__xludf.DUMMYFUNCTION("""COMPUTED_VALUE"""),"87")</f>
        <v>87</v>
      </c>
      <c r="C5701" s="6" t="str">
        <f>IFERROR(__xludf.DUMMYFUNCTION("""COMPUTED_VALUE"""),"12298")</f>
        <v>12298</v>
      </c>
      <c r="D5701" s="6" t="str">
        <f>IFERROR(__xludf.DUMMYFUNCTION("""COMPUTED_VALUE"""),"Nalani")</f>
        <v>Nalani</v>
      </c>
      <c r="E5701" s="6" t="str">
        <f>IFERROR(__xludf.DUMMYFUNCTION("""COMPUTED_VALUE"""),"")</f>
        <v/>
      </c>
      <c r="F5701" s="6" t="str">
        <f>IFERROR(__xludf.DUMMYFUNCTION("""COMPUTED_VALUE"""),"Lynah")</f>
        <v>Lynah</v>
      </c>
      <c r="G5701" s="6" t="str">
        <f>IFERROR(__xludf.DUMMYFUNCTION("""COMPUTED_VALUE"""),"02/15/2011")</f>
        <v>02/15/2011</v>
      </c>
      <c r="H5701" s="6" t="str">
        <f>IFERROR(__xludf.DUMMYFUNCTION("""COMPUTED_VALUE"""),"female")</f>
        <v>female</v>
      </c>
      <c r="I5701" s="6" t="str">
        <f>IFERROR(__xludf.DUMMYFUNCTION("""COMPUTED_VALUE"""),"Middle School")</f>
        <v>Middle School</v>
      </c>
      <c r="J5701" s="6" t="str">
        <f>IFERROR(__xludf.DUMMYFUNCTION("""COMPUTED_VALUE"""),"8")</f>
        <v>8</v>
      </c>
      <c r="K5701" s="6" t="str">
        <f>IFERROR(__xludf.DUMMYFUNCTION("""COMPUTED_VALUE"""),"nalani.lynah@2hourlearning.com")</f>
        <v>nalani.lynah@2hourlearning.com</v>
      </c>
      <c r="L5701" s="6" t="str">
        <f>IFERROR(__xludf.DUMMYFUNCTION("""COMPUTED_VALUE"""),"JRHS - Ridgeland Secondary Academy of Excellence")</f>
        <v>JRHS - Ridgeland Secondary Academy of Excellence</v>
      </c>
      <c r="M5701" s="6" t="str">
        <f>IFERROR(__xludf.DUMMYFUNCTION("""COMPUTED_VALUE"""),"")</f>
        <v/>
      </c>
      <c r="N5701" s="6" t="str">
        <f>IFERROR(__xludf.DUMMYFUNCTION("""COMPUTED_VALUE"""),"")</f>
        <v/>
      </c>
      <c r="O5701" s="87" t="str">
        <f>IFERROR(__xludf.DUMMYFUNCTION("""COMPUTED_VALUE"""),"https://drive.google.com/drive/folders/10T2cTQHqEJZqE-st6uFKPoI?usp=share_link")</f>
        <v>https://drive.google.com/drive/folders/10T2cTQHqEJZqE-st6uFKPoI?usp=share_link</v>
      </c>
      <c r="P5701" s="6" t="str">
        <f>IFERROR(__xludf.DUMMYFUNCTION("""COMPUTED_VALUE"""),"Nalani Lynah")</f>
        <v>Nalani Lynah</v>
      </c>
      <c r="Q5701" s="6" t="str">
        <f>IFERROR(__xludf.DUMMYFUNCTION("""COMPUTED_VALUE"""),"MS")</f>
        <v>MS</v>
      </c>
      <c r="R5701" s="6">
        <f>IFERROR(__xludf.DUMMYFUNCTION("""COMPUTED_VALUE"""),0.0)</f>
        <v>0</v>
      </c>
      <c r="S5701" s="6" t="str">
        <f>IFERROR(__xludf.DUMMYFUNCTION("""COMPUTED_VALUE"""),"Kimberly Ball")</f>
        <v>Kimberly Ball</v>
      </c>
      <c r="T5701" s="6" t="str">
        <f>IFERROR(__xludf.DUMMYFUNCTION("""COMPUTED_VALUE"""),"kimberly.ball@studient.com")</f>
        <v>kimberly.ball@studient.com</v>
      </c>
      <c r="U5701" s="6" t="str">
        <f>IFERROR(__xludf.DUMMYFUNCTION("""COMPUTED_VALUE"""),"8")</f>
        <v>8</v>
      </c>
      <c r="V5701" s="6" t="str">
        <f>IFERROR(__xludf.DUMMYFUNCTION("""COMPUTED_VALUE"""),"")</f>
        <v/>
      </c>
      <c r="W5701" s="6" t="str">
        <f>IFERROR(__xludf.DUMMYFUNCTION("""COMPUTED_VALUE"""),"[]")</f>
        <v>[]</v>
      </c>
      <c r="X5701" s="6" t="str">
        <f>IFERROR(__xludf.DUMMYFUNCTION("""COMPUTED_VALUE"""),"Enrolled")</f>
        <v>Enrolled</v>
      </c>
    </row>
    <row r="5702">
      <c r="A5702" s="6" t="str">
        <f>IFERROR(__xludf.DUMMYFUNCTION("""COMPUTED_VALUE"""),"087-12299")</f>
        <v>087-12299</v>
      </c>
      <c r="B5702" s="6" t="str">
        <f>IFERROR(__xludf.DUMMYFUNCTION("""COMPUTED_VALUE"""),"87")</f>
        <v>87</v>
      </c>
      <c r="C5702" s="6" t="str">
        <f>IFERROR(__xludf.DUMMYFUNCTION("""COMPUTED_VALUE"""),"12299")</f>
        <v>12299</v>
      </c>
      <c r="D5702" s="6" t="str">
        <f>IFERROR(__xludf.DUMMYFUNCTION("""COMPUTED_VALUE"""),"Ja'Laiah")</f>
        <v>Ja'Laiah</v>
      </c>
      <c r="E5702" s="6" t="str">
        <f>IFERROR(__xludf.DUMMYFUNCTION("""COMPUTED_VALUE"""),"")</f>
        <v/>
      </c>
      <c r="F5702" s="6" t="str">
        <f>IFERROR(__xludf.DUMMYFUNCTION("""COMPUTED_VALUE"""),"Mack")</f>
        <v>Mack</v>
      </c>
      <c r="G5702" s="6" t="str">
        <f>IFERROR(__xludf.DUMMYFUNCTION("""COMPUTED_VALUE"""),"07/07/2014")</f>
        <v>07/07/2014</v>
      </c>
      <c r="H5702" s="6" t="str">
        <f>IFERROR(__xludf.DUMMYFUNCTION("""COMPUTED_VALUE"""),"female")</f>
        <v>female</v>
      </c>
      <c r="I5702" s="6" t="str">
        <f>IFERROR(__xludf.DUMMYFUNCTION("""COMPUTED_VALUE"""),"Middle School")</f>
        <v>Middle School</v>
      </c>
      <c r="J5702" s="6" t="str">
        <f>IFERROR(__xludf.DUMMYFUNCTION("""COMPUTED_VALUE"""),"6")</f>
        <v>6</v>
      </c>
      <c r="K5702" s="6" t="str">
        <f>IFERROR(__xludf.DUMMYFUNCTION("""COMPUTED_VALUE"""),"jalaiah.mack@2hourlearning.com")</f>
        <v>jalaiah.mack@2hourlearning.com</v>
      </c>
      <c r="L5702" s="6" t="str">
        <f>IFERROR(__xludf.DUMMYFUNCTION("""COMPUTED_VALUE"""),"JRHS - Ridgeland Secondary Academy of Excellence")</f>
        <v>JRHS - Ridgeland Secondary Academy of Excellence</v>
      </c>
      <c r="M5702" s="6" t="str">
        <f>IFERROR(__xludf.DUMMYFUNCTION("""COMPUTED_VALUE"""),"")</f>
        <v/>
      </c>
      <c r="N5702" s="6" t="str">
        <f>IFERROR(__xludf.DUMMYFUNCTION("""COMPUTED_VALUE"""),"")</f>
        <v/>
      </c>
      <c r="O5702" s="87" t="str">
        <f>IFERROR(__xludf.DUMMYFUNCTION("""COMPUTED_VALUE"""),"https://drive.google.com/drive/folders/10T2cTQHqEJZqE-st6uFKPoI?usp=share_link")</f>
        <v>https://drive.google.com/drive/folders/10T2cTQHqEJZqE-st6uFKPoI?usp=share_link</v>
      </c>
      <c r="P5702" s="6" t="str">
        <f>IFERROR(__xludf.DUMMYFUNCTION("""COMPUTED_VALUE"""),"Ja'Laiah Mack")</f>
        <v>Ja'Laiah Mack</v>
      </c>
      <c r="Q5702" s="6" t="str">
        <f>IFERROR(__xludf.DUMMYFUNCTION("""COMPUTED_VALUE"""),"MS")</f>
        <v>MS</v>
      </c>
      <c r="R5702" s="6">
        <f>IFERROR(__xludf.DUMMYFUNCTION("""COMPUTED_VALUE"""),0.0)</f>
        <v>0</v>
      </c>
      <c r="S5702" s="6" t="str">
        <f>IFERROR(__xludf.DUMMYFUNCTION("""COMPUTED_VALUE"""),"Kimberly Ball")</f>
        <v>Kimberly Ball</v>
      </c>
      <c r="T5702" s="6" t="str">
        <f>IFERROR(__xludf.DUMMYFUNCTION("""COMPUTED_VALUE"""),"kimberly.ball@studient.com")</f>
        <v>kimberly.ball@studient.com</v>
      </c>
      <c r="U5702" s="6" t="str">
        <f>IFERROR(__xludf.DUMMYFUNCTION("""COMPUTED_VALUE"""),"6")</f>
        <v>6</v>
      </c>
      <c r="V5702" s="6" t="str">
        <f>IFERROR(__xludf.DUMMYFUNCTION("""COMPUTED_VALUE"""),"")</f>
        <v/>
      </c>
      <c r="W5702" s="6" t="str">
        <f>IFERROR(__xludf.DUMMYFUNCTION("""COMPUTED_VALUE"""),"[]")</f>
        <v>[]</v>
      </c>
      <c r="X5702" s="6" t="str">
        <f>IFERROR(__xludf.DUMMYFUNCTION("""COMPUTED_VALUE"""),"Enrolled")</f>
        <v>Enrolled</v>
      </c>
    </row>
    <row r="5703">
      <c r="A5703" s="6" t="str">
        <f>IFERROR(__xludf.DUMMYFUNCTION("""COMPUTED_VALUE"""),"087-12300")</f>
        <v>087-12300</v>
      </c>
      <c r="B5703" s="6" t="str">
        <f>IFERROR(__xludf.DUMMYFUNCTION("""COMPUTED_VALUE"""),"87")</f>
        <v>87</v>
      </c>
      <c r="C5703" s="6" t="str">
        <f>IFERROR(__xludf.DUMMYFUNCTION("""COMPUTED_VALUE"""),"12300")</f>
        <v>12300</v>
      </c>
      <c r="D5703" s="6" t="str">
        <f>IFERROR(__xludf.DUMMYFUNCTION("""COMPUTED_VALUE"""),"Scarlett")</f>
        <v>Scarlett</v>
      </c>
      <c r="E5703" s="6" t="str">
        <f>IFERROR(__xludf.DUMMYFUNCTION("""COMPUTED_VALUE"""),"")</f>
        <v/>
      </c>
      <c r="F5703" s="6" t="str">
        <f>IFERROR(__xludf.DUMMYFUNCTION("""COMPUTED_VALUE"""),"Magana")</f>
        <v>Magana</v>
      </c>
      <c r="G5703" s="6" t="str">
        <f>IFERROR(__xludf.DUMMYFUNCTION("""COMPUTED_VALUE"""),"07/20/2014")</f>
        <v>07/20/2014</v>
      </c>
      <c r="H5703" s="6" t="str">
        <f>IFERROR(__xludf.DUMMYFUNCTION("""COMPUTED_VALUE"""),"female")</f>
        <v>female</v>
      </c>
      <c r="I5703" s="6" t="str">
        <f>IFERROR(__xludf.DUMMYFUNCTION("""COMPUTED_VALUE"""),"Middle School")</f>
        <v>Middle School</v>
      </c>
      <c r="J5703" s="6" t="str">
        <f>IFERROR(__xludf.DUMMYFUNCTION("""COMPUTED_VALUE"""),"6")</f>
        <v>6</v>
      </c>
      <c r="K5703" s="6" t="str">
        <f>IFERROR(__xludf.DUMMYFUNCTION("""COMPUTED_VALUE"""),"scarlett.magana@2hourlearning.com")</f>
        <v>scarlett.magana@2hourlearning.com</v>
      </c>
      <c r="L5703" s="6" t="str">
        <f>IFERROR(__xludf.DUMMYFUNCTION("""COMPUTED_VALUE"""),"JRHS - Ridgeland Secondary Academy of Excellence")</f>
        <v>JRHS - Ridgeland Secondary Academy of Excellence</v>
      </c>
      <c r="M5703" s="6" t="str">
        <f>IFERROR(__xludf.DUMMYFUNCTION("""COMPUTED_VALUE"""),"")</f>
        <v/>
      </c>
      <c r="N5703" s="6" t="str">
        <f>IFERROR(__xludf.DUMMYFUNCTION("""COMPUTED_VALUE"""),"")</f>
        <v/>
      </c>
      <c r="O5703" s="87" t="str">
        <f>IFERROR(__xludf.DUMMYFUNCTION("""COMPUTED_VALUE"""),"https://drive.google.com/drive/folders/10T2cTQHqEJZqE-st6uFKPoI?usp=share_link")</f>
        <v>https://drive.google.com/drive/folders/10T2cTQHqEJZqE-st6uFKPoI?usp=share_link</v>
      </c>
      <c r="P5703" s="6" t="str">
        <f>IFERROR(__xludf.DUMMYFUNCTION("""COMPUTED_VALUE"""),"Scarlett Magana")</f>
        <v>Scarlett Magana</v>
      </c>
      <c r="Q5703" s="6" t="str">
        <f>IFERROR(__xludf.DUMMYFUNCTION("""COMPUTED_VALUE"""),"MS")</f>
        <v>MS</v>
      </c>
      <c r="R5703" s="6">
        <f>IFERROR(__xludf.DUMMYFUNCTION("""COMPUTED_VALUE"""),0.0)</f>
        <v>0</v>
      </c>
      <c r="S5703" s="6" t="str">
        <f>IFERROR(__xludf.DUMMYFUNCTION("""COMPUTED_VALUE"""),"Kimberly Ball")</f>
        <v>Kimberly Ball</v>
      </c>
      <c r="T5703" s="6" t="str">
        <f>IFERROR(__xludf.DUMMYFUNCTION("""COMPUTED_VALUE"""),"kimberly.ball@studient.com")</f>
        <v>kimberly.ball@studient.com</v>
      </c>
      <c r="U5703" s="6" t="str">
        <f>IFERROR(__xludf.DUMMYFUNCTION("""COMPUTED_VALUE"""),"6")</f>
        <v>6</v>
      </c>
      <c r="V5703" s="6" t="str">
        <f>IFERROR(__xludf.DUMMYFUNCTION("""COMPUTED_VALUE"""),"")</f>
        <v/>
      </c>
      <c r="W5703" s="6" t="str">
        <f>IFERROR(__xludf.DUMMYFUNCTION("""COMPUTED_VALUE"""),"[]")</f>
        <v>[]</v>
      </c>
      <c r="X5703" s="6" t="str">
        <f>IFERROR(__xludf.DUMMYFUNCTION("""COMPUTED_VALUE"""),"Enrolled")</f>
        <v>Enrolled</v>
      </c>
    </row>
    <row r="5704">
      <c r="A5704" s="6" t="str">
        <f>IFERROR(__xludf.DUMMYFUNCTION("""COMPUTED_VALUE"""),"087-12301")</f>
        <v>087-12301</v>
      </c>
      <c r="B5704" s="6" t="str">
        <f>IFERROR(__xludf.DUMMYFUNCTION("""COMPUTED_VALUE"""),"87")</f>
        <v>87</v>
      </c>
      <c r="C5704" s="6" t="str">
        <f>IFERROR(__xludf.DUMMYFUNCTION("""COMPUTED_VALUE"""),"12301")</f>
        <v>12301</v>
      </c>
      <c r="D5704" s="6" t="str">
        <f>IFERROR(__xludf.DUMMYFUNCTION("""COMPUTED_VALUE"""),"Kimberly")</f>
        <v>Kimberly</v>
      </c>
      <c r="E5704" s="6" t="str">
        <f>IFERROR(__xludf.DUMMYFUNCTION("""COMPUTED_VALUE"""),"")</f>
        <v/>
      </c>
      <c r="F5704" s="6" t="str">
        <f>IFERROR(__xludf.DUMMYFUNCTION("""COMPUTED_VALUE"""),"Maldonado Mendoza")</f>
        <v>Maldonado Mendoza</v>
      </c>
      <c r="G5704" s="6" t="str">
        <f>IFERROR(__xludf.DUMMYFUNCTION("""COMPUTED_VALUE"""),"10/01/2013")</f>
        <v>10/01/2013</v>
      </c>
      <c r="H5704" s="6" t="str">
        <f>IFERROR(__xludf.DUMMYFUNCTION("""COMPUTED_VALUE"""),"Self Identify")</f>
        <v>Self Identify</v>
      </c>
      <c r="I5704" s="6" t="str">
        <f>IFERROR(__xludf.DUMMYFUNCTION("""COMPUTED_VALUE"""),"Middle School")</f>
        <v>Middle School</v>
      </c>
      <c r="J5704" s="6" t="str">
        <f>IFERROR(__xludf.DUMMYFUNCTION("""COMPUTED_VALUE"""),"7")</f>
        <v>7</v>
      </c>
      <c r="K5704" s="6" t="str">
        <f>IFERROR(__xludf.DUMMYFUNCTION("""COMPUTED_VALUE"""),"kimberly.maldonadomendoza@2hourlearning.com")</f>
        <v>kimberly.maldonadomendoza@2hourlearning.com</v>
      </c>
      <c r="L5704" s="6" t="str">
        <f>IFERROR(__xludf.DUMMYFUNCTION("""COMPUTED_VALUE"""),"JRHS - Ridgeland Secondary Academy of Excellence")</f>
        <v>JRHS - Ridgeland Secondary Academy of Excellence</v>
      </c>
      <c r="M5704" s="6" t="str">
        <f>IFERROR(__xludf.DUMMYFUNCTION("""COMPUTED_VALUE"""),"")</f>
        <v/>
      </c>
      <c r="N5704" s="6" t="str">
        <f>IFERROR(__xludf.DUMMYFUNCTION("""COMPUTED_VALUE"""),"")</f>
        <v/>
      </c>
      <c r="O5704" s="87" t="str">
        <f>IFERROR(__xludf.DUMMYFUNCTION("""COMPUTED_VALUE"""),"https://drive.google.com/drive/folders/10T2cTQHqEJZqE-st6uFKPoI?usp=share_link")</f>
        <v>https://drive.google.com/drive/folders/10T2cTQHqEJZqE-st6uFKPoI?usp=share_link</v>
      </c>
      <c r="P5704" s="6" t="str">
        <f>IFERROR(__xludf.DUMMYFUNCTION("""COMPUTED_VALUE"""),"Kimberly Maldonado Mendoza")</f>
        <v>Kimberly Maldonado Mendoza</v>
      </c>
      <c r="Q5704" s="6" t="str">
        <f>IFERROR(__xludf.DUMMYFUNCTION("""COMPUTED_VALUE"""),"MS")</f>
        <v>MS</v>
      </c>
      <c r="R5704" s="6">
        <f>IFERROR(__xludf.DUMMYFUNCTION("""COMPUTED_VALUE"""),0.0)</f>
        <v>0</v>
      </c>
      <c r="S5704" s="6" t="str">
        <f>IFERROR(__xludf.DUMMYFUNCTION("""COMPUTED_VALUE"""),"Kimberly Ball")</f>
        <v>Kimberly Ball</v>
      </c>
      <c r="T5704" s="6" t="str">
        <f>IFERROR(__xludf.DUMMYFUNCTION("""COMPUTED_VALUE"""),"kimberly.ball@studient.com")</f>
        <v>kimberly.ball@studient.com</v>
      </c>
      <c r="U5704" s="6" t="str">
        <f>IFERROR(__xludf.DUMMYFUNCTION("""COMPUTED_VALUE"""),"7")</f>
        <v>7</v>
      </c>
      <c r="V5704" s="6" t="str">
        <f>IFERROR(__xludf.DUMMYFUNCTION("""COMPUTED_VALUE"""),"")</f>
        <v/>
      </c>
      <c r="W5704" s="6" t="str">
        <f>IFERROR(__xludf.DUMMYFUNCTION("""COMPUTED_VALUE"""),"[]")</f>
        <v>[]</v>
      </c>
      <c r="X5704" s="6" t="str">
        <f>IFERROR(__xludf.DUMMYFUNCTION("""COMPUTED_VALUE"""),"Enrolled")</f>
        <v>Enrolled</v>
      </c>
    </row>
    <row r="5705">
      <c r="A5705" s="6" t="str">
        <f>IFERROR(__xludf.DUMMYFUNCTION("""COMPUTED_VALUE"""),"087-12302")</f>
        <v>087-12302</v>
      </c>
      <c r="B5705" s="6" t="str">
        <f>IFERROR(__xludf.DUMMYFUNCTION("""COMPUTED_VALUE"""),"87")</f>
        <v>87</v>
      </c>
      <c r="C5705" s="6" t="str">
        <f>IFERROR(__xludf.DUMMYFUNCTION("""COMPUTED_VALUE"""),"12302")</f>
        <v>12302</v>
      </c>
      <c r="D5705" s="6" t="str">
        <f>IFERROR(__xludf.DUMMYFUNCTION("""COMPUTED_VALUE"""),"Kamari")</f>
        <v>Kamari</v>
      </c>
      <c r="E5705" s="6" t="str">
        <f>IFERROR(__xludf.DUMMYFUNCTION("""COMPUTED_VALUE"""),"")</f>
        <v/>
      </c>
      <c r="F5705" s="6" t="str">
        <f>IFERROR(__xludf.DUMMYFUNCTION("""COMPUTED_VALUE"""),"Manigo")</f>
        <v>Manigo</v>
      </c>
      <c r="G5705" s="6" t="str">
        <f>IFERROR(__xludf.DUMMYFUNCTION("""COMPUTED_VALUE"""),"11/09/2012")</f>
        <v>11/09/2012</v>
      </c>
      <c r="H5705" s="6" t="str">
        <f>IFERROR(__xludf.DUMMYFUNCTION("""COMPUTED_VALUE"""),"male")</f>
        <v>male</v>
      </c>
      <c r="I5705" s="6" t="str">
        <f>IFERROR(__xludf.DUMMYFUNCTION("""COMPUTED_VALUE"""),"Middle School")</f>
        <v>Middle School</v>
      </c>
      <c r="J5705" s="6" t="str">
        <f>IFERROR(__xludf.DUMMYFUNCTION("""COMPUTED_VALUE"""),"7")</f>
        <v>7</v>
      </c>
      <c r="K5705" s="6" t="str">
        <f>IFERROR(__xludf.DUMMYFUNCTION("""COMPUTED_VALUE"""),"kamari.manigo@2hourlearning.com")</f>
        <v>kamari.manigo@2hourlearning.com</v>
      </c>
      <c r="L5705" s="6" t="str">
        <f>IFERROR(__xludf.DUMMYFUNCTION("""COMPUTED_VALUE"""),"JRHS - Ridgeland Secondary Academy of Excellence")</f>
        <v>JRHS - Ridgeland Secondary Academy of Excellence</v>
      </c>
      <c r="M5705" s="6" t="str">
        <f>IFERROR(__xludf.DUMMYFUNCTION("""COMPUTED_VALUE"""),"")</f>
        <v/>
      </c>
      <c r="N5705" s="6" t="str">
        <f>IFERROR(__xludf.DUMMYFUNCTION("""COMPUTED_VALUE"""),"")</f>
        <v/>
      </c>
      <c r="O5705" s="87" t="str">
        <f>IFERROR(__xludf.DUMMYFUNCTION("""COMPUTED_VALUE"""),"https://drive.google.com/drive/folders/10T2cTQHqEJZqE-st6uFKPoI?usp=share_link")</f>
        <v>https://drive.google.com/drive/folders/10T2cTQHqEJZqE-st6uFKPoI?usp=share_link</v>
      </c>
      <c r="P5705" s="6" t="str">
        <f>IFERROR(__xludf.DUMMYFUNCTION("""COMPUTED_VALUE"""),"Kamari Manigo")</f>
        <v>Kamari Manigo</v>
      </c>
      <c r="Q5705" s="6" t="str">
        <f>IFERROR(__xludf.DUMMYFUNCTION("""COMPUTED_VALUE"""),"MS")</f>
        <v>MS</v>
      </c>
      <c r="R5705" s="6">
        <f>IFERROR(__xludf.DUMMYFUNCTION("""COMPUTED_VALUE"""),0.0)</f>
        <v>0</v>
      </c>
      <c r="S5705" s="6" t="str">
        <f>IFERROR(__xludf.DUMMYFUNCTION("""COMPUTED_VALUE"""),"Kimberly Ball")</f>
        <v>Kimberly Ball</v>
      </c>
      <c r="T5705" s="6" t="str">
        <f>IFERROR(__xludf.DUMMYFUNCTION("""COMPUTED_VALUE"""),"kimberly.ball@studient.com")</f>
        <v>kimberly.ball@studient.com</v>
      </c>
      <c r="U5705" s="6" t="str">
        <f>IFERROR(__xludf.DUMMYFUNCTION("""COMPUTED_VALUE"""),"7")</f>
        <v>7</v>
      </c>
      <c r="V5705" s="6" t="str">
        <f>IFERROR(__xludf.DUMMYFUNCTION("""COMPUTED_VALUE"""),"")</f>
        <v/>
      </c>
      <c r="W5705" s="6" t="str">
        <f>IFERROR(__xludf.DUMMYFUNCTION("""COMPUTED_VALUE"""),"[]")</f>
        <v>[]</v>
      </c>
      <c r="X5705" s="6" t="str">
        <f>IFERROR(__xludf.DUMMYFUNCTION("""COMPUTED_VALUE"""),"Enrolled")</f>
        <v>Enrolled</v>
      </c>
    </row>
    <row r="5706">
      <c r="A5706" s="6" t="str">
        <f>IFERROR(__xludf.DUMMYFUNCTION("""COMPUTED_VALUE"""),"087-12303")</f>
        <v>087-12303</v>
      </c>
      <c r="B5706" s="6" t="str">
        <f>IFERROR(__xludf.DUMMYFUNCTION("""COMPUTED_VALUE"""),"87")</f>
        <v>87</v>
      </c>
      <c r="C5706" s="6" t="str">
        <f>IFERROR(__xludf.DUMMYFUNCTION("""COMPUTED_VALUE"""),"12303")</f>
        <v>12303</v>
      </c>
      <c r="D5706" s="6" t="str">
        <f>IFERROR(__xludf.DUMMYFUNCTION("""COMPUTED_VALUE"""),"Joselyn")</f>
        <v>Joselyn</v>
      </c>
      <c r="E5706" s="6" t="str">
        <f>IFERROR(__xludf.DUMMYFUNCTION("""COMPUTED_VALUE"""),"")</f>
        <v/>
      </c>
      <c r="F5706" s="6" t="str">
        <f>IFERROR(__xludf.DUMMYFUNCTION("""COMPUTED_VALUE"""),"Manzanarez")</f>
        <v>Manzanarez</v>
      </c>
      <c r="G5706" s="6" t="str">
        <f>IFERROR(__xludf.DUMMYFUNCTION("""COMPUTED_VALUE"""),"10/01/2011")</f>
        <v>10/01/2011</v>
      </c>
      <c r="H5706" s="6" t="str">
        <f>IFERROR(__xludf.DUMMYFUNCTION("""COMPUTED_VALUE"""),"female")</f>
        <v>female</v>
      </c>
      <c r="I5706" s="6" t="str">
        <f>IFERROR(__xludf.DUMMYFUNCTION("""COMPUTED_VALUE"""),"Middle School")</f>
        <v>Middle School</v>
      </c>
      <c r="J5706" s="6" t="str">
        <f>IFERROR(__xludf.DUMMYFUNCTION("""COMPUTED_VALUE"""),"8")</f>
        <v>8</v>
      </c>
      <c r="K5706" s="6" t="str">
        <f>IFERROR(__xludf.DUMMYFUNCTION("""COMPUTED_VALUE"""),"joselyn.manzanarez@2hourlearning.com")</f>
        <v>joselyn.manzanarez@2hourlearning.com</v>
      </c>
      <c r="L5706" s="6" t="str">
        <f>IFERROR(__xludf.DUMMYFUNCTION("""COMPUTED_VALUE"""),"JRHS - Ridgeland Secondary Academy of Excellence")</f>
        <v>JRHS - Ridgeland Secondary Academy of Excellence</v>
      </c>
      <c r="M5706" s="6" t="str">
        <f>IFERROR(__xludf.DUMMYFUNCTION("""COMPUTED_VALUE"""),"")</f>
        <v/>
      </c>
      <c r="N5706" s="6" t="str">
        <f>IFERROR(__xludf.DUMMYFUNCTION("""COMPUTED_VALUE"""),"")</f>
        <v/>
      </c>
      <c r="O5706" s="87" t="str">
        <f>IFERROR(__xludf.DUMMYFUNCTION("""COMPUTED_VALUE"""),"https://drive.google.com/drive/folders/10T2cTQHqEJZqE-st6uFKPoI?usp=share_link")</f>
        <v>https://drive.google.com/drive/folders/10T2cTQHqEJZqE-st6uFKPoI?usp=share_link</v>
      </c>
      <c r="P5706" s="6" t="str">
        <f>IFERROR(__xludf.DUMMYFUNCTION("""COMPUTED_VALUE"""),"Joselyn Manzanarez")</f>
        <v>Joselyn Manzanarez</v>
      </c>
      <c r="Q5706" s="6" t="str">
        <f>IFERROR(__xludf.DUMMYFUNCTION("""COMPUTED_VALUE"""),"MS")</f>
        <v>MS</v>
      </c>
      <c r="R5706" s="6">
        <f>IFERROR(__xludf.DUMMYFUNCTION("""COMPUTED_VALUE"""),0.0)</f>
        <v>0</v>
      </c>
      <c r="S5706" s="6" t="str">
        <f>IFERROR(__xludf.DUMMYFUNCTION("""COMPUTED_VALUE"""),"Kimberly Ball")</f>
        <v>Kimberly Ball</v>
      </c>
      <c r="T5706" s="6" t="str">
        <f>IFERROR(__xludf.DUMMYFUNCTION("""COMPUTED_VALUE"""),"kimberly.ball@studient.com")</f>
        <v>kimberly.ball@studient.com</v>
      </c>
      <c r="U5706" s="6" t="str">
        <f>IFERROR(__xludf.DUMMYFUNCTION("""COMPUTED_VALUE"""),"8")</f>
        <v>8</v>
      </c>
      <c r="V5706" s="6" t="str">
        <f>IFERROR(__xludf.DUMMYFUNCTION("""COMPUTED_VALUE"""),"")</f>
        <v/>
      </c>
      <c r="W5706" s="6" t="str">
        <f>IFERROR(__xludf.DUMMYFUNCTION("""COMPUTED_VALUE"""),"[]")</f>
        <v>[]</v>
      </c>
      <c r="X5706" s="6" t="str">
        <f>IFERROR(__xludf.DUMMYFUNCTION("""COMPUTED_VALUE"""),"Enrolled")</f>
        <v>Enrolled</v>
      </c>
    </row>
    <row r="5707">
      <c r="A5707" s="6" t="str">
        <f>IFERROR(__xludf.DUMMYFUNCTION("""COMPUTED_VALUE"""),"087-12304")</f>
        <v>087-12304</v>
      </c>
      <c r="B5707" s="6" t="str">
        <f>IFERROR(__xludf.DUMMYFUNCTION("""COMPUTED_VALUE"""),"87")</f>
        <v>87</v>
      </c>
      <c r="C5707" s="6" t="str">
        <f>IFERROR(__xludf.DUMMYFUNCTION("""COMPUTED_VALUE"""),"12304")</f>
        <v>12304</v>
      </c>
      <c r="D5707" s="6" t="str">
        <f>IFERROR(__xludf.DUMMYFUNCTION("""COMPUTED_VALUE"""),"Montserrat")</f>
        <v>Montserrat</v>
      </c>
      <c r="E5707" s="6" t="str">
        <f>IFERROR(__xludf.DUMMYFUNCTION("""COMPUTED_VALUE"""),"")</f>
        <v/>
      </c>
      <c r="F5707" s="6" t="str">
        <f>IFERROR(__xludf.DUMMYFUNCTION("""COMPUTED_VALUE"""),"Manzanarez")</f>
        <v>Manzanarez</v>
      </c>
      <c r="G5707" s="6" t="str">
        <f>IFERROR(__xludf.DUMMYFUNCTION("""COMPUTED_VALUE"""),"03/15/2014")</f>
        <v>03/15/2014</v>
      </c>
      <c r="H5707" s="6" t="str">
        <f>IFERROR(__xludf.DUMMYFUNCTION("""COMPUTED_VALUE"""),"female")</f>
        <v>female</v>
      </c>
      <c r="I5707" s="6" t="str">
        <f>IFERROR(__xludf.DUMMYFUNCTION("""COMPUTED_VALUE"""),"Middle School")</f>
        <v>Middle School</v>
      </c>
      <c r="J5707" s="6" t="str">
        <f>IFERROR(__xludf.DUMMYFUNCTION("""COMPUTED_VALUE"""),"6")</f>
        <v>6</v>
      </c>
      <c r="K5707" s="6" t="str">
        <f>IFERROR(__xludf.DUMMYFUNCTION("""COMPUTED_VALUE"""),"montserrat.manzanarez@2hourlearning.com")</f>
        <v>montserrat.manzanarez@2hourlearning.com</v>
      </c>
      <c r="L5707" s="6" t="str">
        <f>IFERROR(__xludf.DUMMYFUNCTION("""COMPUTED_VALUE"""),"JRHS - Ridgeland Secondary Academy of Excellence")</f>
        <v>JRHS - Ridgeland Secondary Academy of Excellence</v>
      </c>
      <c r="M5707" s="6" t="str">
        <f>IFERROR(__xludf.DUMMYFUNCTION("""COMPUTED_VALUE"""),"")</f>
        <v/>
      </c>
      <c r="N5707" s="6" t="str">
        <f>IFERROR(__xludf.DUMMYFUNCTION("""COMPUTED_VALUE"""),"")</f>
        <v/>
      </c>
      <c r="O5707" s="87" t="str">
        <f>IFERROR(__xludf.DUMMYFUNCTION("""COMPUTED_VALUE"""),"https://drive.google.com/drive/folders/10T2cTQHqEJZqE-st6uFKPoI?usp=share_link")</f>
        <v>https://drive.google.com/drive/folders/10T2cTQHqEJZqE-st6uFKPoI?usp=share_link</v>
      </c>
      <c r="P5707" s="6" t="str">
        <f>IFERROR(__xludf.DUMMYFUNCTION("""COMPUTED_VALUE"""),"Montserrat Manzanarez")</f>
        <v>Montserrat Manzanarez</v>
      </c>
      <c r="Q5707" s="6" t="str">
        <f>IFERROR(__xludf.DUMMYFUNCTION("""COMPUTED_VALUE"""),"MS")</f>
        <v>MS</v>
      </c>
      <c r="R5707" s="6">
        <f>IFERROR(__xludf.DUMMYFUNCTION("""COMPUTED_VALUE"""),0.0)</f>
        <v>0</v>
      </c>
      <c r="S5707" s="6" t="str">
        <f>IFERROR(__xludf.DUMMYFUNCTION("""COMPUTED_VALUE"""),"Kimberly Ball")</f>
        <v>Kimberly Ball</v>
      </c>
      <c r="T5707" s="6" t="str">
        <f>IFERROR(__xludf.DUMMYFUNCTION("""COMPUTED_VALUE"""),"kimberly.ball@studient.com")</f>
        <v>kimberly.ball@studient.com</v>
      </c>
      <c r="U5707" s="6" t="str">
        <f>IFERROR(__xludf.DUMMYFUNCTION("""COMPUTED_VALUE"""),"6")</f>
        <v>6</v>
      </c>
      <c r="V5707" s="6" t="str">
        <f>IFERROR(__xludf.DUMMYFUNCTION("""COMPUTED_VALUE"""),"")</f>
        <v/>
      </c>
      <c r="W5707" s="6" t="str">
        <f>IFERROR(__xludf.DUMMYFUNCTION("""COMPUTED_VALUE"""),"[]")</f>
        <v>[]</v>
      </c>
      <c r="X5707" s="6" t="str">
        <f>IFERROR(__xludf.DUMMYFUNCTION("""COMPUTED_VALUE"""),"Enrolled")</f>
        <v>Enrolled</v>
      </c>
    </row>
    <row r="5708">
      <c r="A5708" s="6" t="str">
        <f>IFERROR(__xludf.DUMMYFUNCTION("""COMPUTED_VALUE"""),"087-12305")</f>
        <v>087-12305</v>
      </c>
      <c r="B5708" s="6" t="str">
        <f>IFERROR(__xludf.DUMMYFUNCTION("""COMPUTED_VALUE"""),"87")</f>
        <v>87</v>
      </c>
      <c r="C5708" s="6" t="str">
        <f>IFERROR(__xludf.DUMMYFUNCTION("""COMPUTED_VALUE"""),"12305")</f>
        <v>12305</v>
      </c>
      <c r="D5708" s="6" t="str">
        <f>IFERROR(__xludf.DUMMYFUNCTION("""COMPUTED_VALUE"""),"Lluvia")</f>
        <v>Lluvia</v>
      </c>
      <c r="E5708" s="6" t="str">
        <f>IFERROR(__xludf.DUMMYFUNCTION("""COMPUTED_VALUE"""),"")</f>
        <v/>
      </c>
      <c r="F5708" s="6" t="str">
        <f>IFERROR(__xludf.DUMMYFUNCTION("""COMPUTED_VALUE"""),"Marin Cisneros")</f>
        <v>Marin Cisneros</v>
      </c>
      <c r="G5708" s="6" t="str">
        <f>IFERROR(__xludf.DUMMYFUNCTION("""COMPUTED_VALUE"""),"07/28/2012")</f>
        <v>07/28/2012</v>
      </c>
      <c r="H5708" s="6" t="str">
        <f>IFERROR(__xludf.DUMMYFUNCTION("""COMPUTED_VALUE"""),"Self Identify")</f>
        <v>Self Identify</v>
      </c>
      <c r="I5708" s="6" t="str">
        <f>IFERROR(__xludf.DUMMYFUNCTION("""COMPUTED_VALUE"""),"Middle School")</f>
        <v>Middle School</v>
      </c>
      <c r="J5708" s="6" t="str">
        <f>IFERROR(__xludf.DUMMYFUNCTION("""COMPUTED_VALUE"""),"8")</f>
        <v>8</v>
      </c>
      <c r="K5708" s="6" t="str">
        <f>IFERROR(__xludf.DUMMYFUNCTION("""COMPUTED_VALUE"""),"lluvia.marincisneros@2hourlearning.com")</f>
        <v>lluvia.marincisneros@2hourlearning.com</v>
      </c>
      <c r="L5708" s="6" t="str">
        <f>IFERROR(__xludf.DUMMYFUNCTION("""COMPUTED_VALUE"""),"JRHS - Ridgeland Secondary Academy of Excellence")</f>
        <v>JRHS - Ridgeland Secondary Academy of Excellence</v>
      </c>
      <c r="M5708" s="6" t="str">
        <f>IFERROR(__xludf.DUMMYFUNCTION("""COMPUTED_VALUE"""),"")</f>
        <v/>
      </c>
      <c r="N5708" s="6" t="str">
        <f>IFERROR(__xludf.DUMMYFUNCTION("""COMPUTED_VALUE"""),"")</f>
        <v/>
      </c>
      <c r="O5708" s="87" t="str">
        <f>IFERROR(__xludf.DUMMYFUNCTION("""COMPUTED_VALUE"""),"https://drive.google.com/drive/folders/10T2cTQHqEJZqE-st6uFKPoI?usp=share_link")</f>
        <v>https://drive.google.com/drive/folders/10T2cTQHqEJZqE-st6uFKPoI?usp=share_link</v>
      </c>
      <c r="P5708" s="6" t="str">
        <f>IFERROR(__xludf.DUMMYFUNCTION("""COMPUTED_VALUE"""),"Lluvia Marin Cisneros")</f>
        <v>Lluvia Marin Cisneros</v>
      </c>
      <c r="Q5708" s="6" t="str">
        <f>IFERROR(__xludf.DUMMYFUNCTION("""COMPUTED_VALUE"""),"MS")</f>
        <v>MS</v>
      </c>
      <c r="R5708" s="6">
        <f>IFERROR(__xludf.DUMMYFUNCTION("""COMPUTED_VALUE"""),0.0)</f>
        <v>0</v>
      </c>
      <c r="S5708" s="6" t="str">
        <f>IFERROR(__xludf.DUMMYFUNCTION("""COMPUTED_VALUE"""),"Kimberly Ball")</f>
        <v>Kimberly Ball</v>
      </c>
      <c r="T5708" s="6" t="str">
        <f>IFERROR(__xludf.DUMMYFUNCTION("""COMPUTED_VALUE"""),"kimberly.ball@studient.com")</f>
        <v>kimberly.ball@studient.com</v>
      </c>
      <c r="U5708" s="6" t="str">
        <f>IFERROR(__xludf.DUMMYFUNCTION("""COMPUTED_VALUE"""),"8")</f>
        <v>8</v>
      </c>
      <c r="V5708" s="6" t="str">
        <f>IFERROR(__xludf.DUMMYFUNCTION("""COMPUTED_VALUE"""),"")</f>
        <v/>
      </c>
      <c r="W5708" s="6" t="str">
        <f>IFERROR(__xludf.DUMMYFUNCTION("""COMPUTED_VALUE"""),"[]")</f>
        <v>[]</v>
      </c>
      <c r="X5708" s="6" t="str">
        <f>IFERROR(__xludf.DUMMYFUNCTION("""COMPUTED_VALUE"""),"Enrolled")</f>
        <v>Enrolled</v>
      </c>
    </row>
    <row r="5709">
      <c r="A5709" s="6" t="str">
        <f>IFERROR(__xludf.DUMMYFUNCTION("""COMPUTED_VALUE"""),"087-12306")</f>
        <v>087-12306</v>
      </c>
      <c r="B5709" s="6" t="str">
        <f>IFERROR(__xludf.DUMMYFUNCTION("""COMPUTED_VALUE"""),"87")</f>
        <v>87</v>
      </c>
      <c r="C5709" s="6" t="str">
        <f>IFERROR(__xludf.DUMMYFUNCTION("""COMPUTED_VALUE"""),"12306")</f>
        <v>12306</v>
      </c>
      <c r="D5709" s="6" t="str">
        <f>IFERROR(__xludf.DUMMYFUNCTION("""COMPUTED_VALUE"""),"Cinthia")</f>
        <v>Cinthia</v>
      </c>
      <c r="E5709" s="6" t="str">
        <f>IFERROR(__xludf.DUMMYFUNCTION("""COMPUTED_VALUE"""),"")</f>
        <v/>
      </c>
      <c r="F5709" s="6" t="str">
        <f>IFERROR(__xludf.DUMMYFUNCTION("""COMPUTED_VALUE"""),"Marquina Pinto")</f>
        <v>Marquina Pinto</v>
      </c>
      <c r="G5709" s="6" t="str">
        <f>IFERROR(__xludf.DUMMYFUNCTION("""COMPUTED_VALUE"""),"11/17/2011")</f>
        <v>11/17/2011</v>
      </c>
      <c r="H5709" s="6" t="str">
        <f>IFERROR(__xludf.DUMMYFUNCTION("""COMPUTED_VALUE"""),"female")</f>
        <v>female</v>
      </c>
      <c r="I5709" s="6" t="str">
        <f>IFERROR(__xludf.DUMMYFUNCTION("""COMPUTED_VALUE"""),"Middle School")</f>
        <v>Middle School</v>
      </c>
      <c r="J5709" s="6" t="str">
        <f>IFERROR(__xludf.DUMMYFUNCTION("""COMPUTED_VALUE"""),"8")</f>
        <v>8</v>
      </c>
      <c r="K5709" s="6" t="str">
        <f>IFERROR(__xludf.DUMMYFUNCTION("""COMPUTED_VALUE"""),"cinthia.marquinapinto@2hourlearning.com")</f>
        <v>cinthia.marquinapinto@2hourlearning.com</v>
      </c>
      <c r="L5709" s="6" t="str">
        <f>IFERROR(__xludf.DUMMYFUNCTION("""COMPUTED_VALUE"""),"JRHS - Ridgeland Secondary Academy of Excellence")</f>
        <v>JRHS - Ridgeland Secondary Academy of Excellence</v>
      </c>
      <c r="M5709" s="6" t="str">
        <f>IFERROR(__xludf.DUMMYFUNCTION("""COMPUTED_VALUE"""),"")</f>
        <v/>
      </c>
      <c r="N5709" s="6" t="str">
        <f>IFERROR(__xludf.DUMMYFUNCTION("""COMPUTED_VALUE"""),"")</f>
        <v/>
      </c>
      <c r="O5709" s="87" t="str">
        <f>IFERROR(__xludf.DUMMYFUNCTION("""COMPUTED_VALUE"""),"https://drive.google.com/drive/folders/10T2cTQHqEJZqE-st6uFKPoI?usp=share_link")</f>
        <v>https://drive.google.com/drive/folders/10T2cTQHqEJZqE-st6uFKPoI?usp=share_link</v>
      </c>
      <c r="P5709" s="6" t="str">
        <f>IFERROR(__xludf.DUMMYFUNCTION("""COMPUTED_VALUE"""),"Cinthia Marquina Pinto")</f>
        <v>Cinthia Marquina Pinto</v>
      </c>
      <c r="Q5709" s="6" t="str">
        <f>IFERROR(__xludf.DUMMYFUNCTION("""COMPUTED_VALUE"""),"MS")</f>
        <v>MS</v>
      </c>
      <c r="R5709" s="6">
        <f>IFERROR(__xludf.DUMMYFUNCTION("""COMPUTED_VALUE"""),0.0)</f>
        <v>0</v>
      </c>
      <c r="S5709" s="6" t="str">
        <f>IFERROR(__xludf.DUMMYFUNCTION("""COMPUTED_VALUE"""),"Kimberly Ball")</f>
        <v>Kimberly Ball</v>
      </c>
      <c r="T5709" s="6" t="str">
        <f>IFERROR(__xludf.DUMMYFUNCTION("""COMPUTED_VALUE"""),"kimberly.ball@studient.com")</f>
        <v>kimberly.ball@studient.com</v>
      </c>
      <c r="U5709" s="6" t="str">
        <f>IFERROR(__xludf.DUMMYFUNCTION("""COMPUTED_VALUE"""),"8")</f>
        <v>8</v>
      </c>
      <c r="V5709" s="6" t="str">
        <f>IFERROR(__xludf.DUMMYFUNCTION("""COMPUTED_VALUE"""),"")</f>
        <v/>
      </c>
      <c r="W5709" s="6" t="str">
        <f>IFERROR(__xludf.DUMMYFUNCTION("""COMPUTED_VALUE"""),"[]")</f>
        <v>[]</v>
      </c>
      <c r="X5709" s="6" t="str">
        <f>IFERROR(__xludf.DUMMYFUNCTION("""COMPUTED_VALUE"""),"Enrolled")</f>
        <v>Enrolled</v>
      </c>
    </row>
    <row r="5710">
      <c r="A5710" s="6" t="str">
        <f>IFERROR(__xludf.DUMMYFUNCTION("""COMPUTED_VALUE"""),"087-12307")</f>
        <v>087-12307</v>
      </c>
      <c r="B5710" s="6" t="str">
        <f>IFERROR(__xludf.DUMMYFUNCTION("""COMPUTED_VALUE"""),"87")</f>
        <v>87</v>
      </c>
      <c r="C5710" s="6" t="str">
        <f>IFERROR(__xludf.DUMMYFUNCTION("""COMPUTED_VALUE"""),"12307")</f>
        <v>12307</v>
      </c>
      <c r="D5710" s="6" t="str">
        <f>IFERROR(__xludf.DUMMYFUNCTION("""COMPUTED_VALUE"""),"Hunter")</f>
        <v>Hunter</v>
      </c>
      <c r="E5710" s="6" t="str">
        <f>IFERROR(__xludf.DUMMYFUNCTION("""COMPUTED_VALUE"""),"")</f>
        <v/>
      </c>
      <c r="F5710" s="6" t="str">
        <f>IFERROR(__xludf.DUMMYFUNCTION("""COMPUTED_VALUE"""),"Marshall")</f>
        <v>Marshall</v>
      </c>
      <c r="G5710" s="6" t="str">
        <f>IFERROR(__xludf.DUMMYFUNCTION("""COMPUTED_VALUE"""),"07/12/2013")</f>
        <v>07/12/2013</v>
      </c>
      <c r="H5710" s="6" t="str">
        <f>IFERROR(__xludf.DUMMYFUNCTION("""COMPUTED_VALUE"""),"male")</f>
        <v>male</v>
      </c>
      <c r="I5710" s="6" t="str">
        <f>IFERROR(__xludf.DUMMYFUNCTION("""COMPUTED_VALUE"""),"Middle School")</f>
        <v>Middle School</v>
      </c>
      <c r="J5710" s="6" t="str">
        <f>IFERROR(__xludf.DUMMYFUNCTION("""COMPUTED_VALUE"""),"7")</f>
        <v>7</v>
      </c>
      <c r="K5710" s="6" t="str">
        <f>IFERROR(__xludf.DUMMYFUNCTION("""COMPUTED_VALUE"""),"hunter.marshall@2hourlearning.com")</f>
        <v>hunter.marshall@2hourlearning.com</v>
      </c>
      <c r="L5710" s="6" t="str">
        <f>IFERROR(__xludf.DUMMYFUNCTION("""COMPUTED_VALUE"""),"JRHS - Ridgeland Secondary Academy of Excellence")</f>
        <v>JRHS - Ridgeland Secondary Academy of Excellence</v>
      </c>
      <c r="M5710" s="6" t="str">
        <f>IFERROR(__xludf.DUMMYFUNCTION("""COMPUTED_VALUE"""),"")</f>
        <v/>
      </c>
      <c r="N5710" s="6" t="str">
        <f>IFERROR(__xludf.DUMMYFUNCTION("""COMPUTED_VALUE"""),"")</f>
        <v/>
      </c>
      <c r="O5710" s="87" t="str">
        <f>IFERROR(__xludf.DUMMYFUNCTION("""COMPUTED_VALUE"""),"https://drive.google.com/drive/folders/10T2cTQHqEJZqE-st6uFKPoI?usp=share_link")</f>
        <v>https://drive.google.com/drive/folders/10T2cTQHqEJZqE-st6uFKPoI?usp=share_link</v>
      </c>
      <c r="P5710" s="6" t="str">
        <f>IFERROR(__xludf.DUMMYFUNCTION("""COMPUTED_VALUE"""),"Hunter Marshall")</f>
        <v>Hunter Marshall</v>
      </c>
      <c r="Q5710" s="6" t="str">
        <f>IFERROR(__xludf.DUMMYFUNCTION("""COMPUTED_VALUE"""),"MS")</f>
        <v>MS</v>
      </c>
      <c r="R5710" s="6">
        <f>IFERROR(__xludf.DUMMYFUNCTION("""COMPUTED_VALUE"""),0.0)</f>
        <v>0</v>
      </c>
      <c r="S5710" s="6" t="str">
        <f>IFERROR(__xludf.DUMMYFUNCTION("""COMPUTED_VALUE"""),"Kimberly Ball")</f>
        <v>Kimberly Ball</v>
      </c>
      <c r="T5710" s="6" t="str">
        <f>IFERROR(__xludf.DUMMYFUNCTION("""COMPUTED_VALUE"""),"kimberly.ball@studient.com")</f>
        <v>kimberly.ball@studient.com</v>
      </c>
      <c r="U5710" s="6" t="str">
        <f>IFERROR(__xludf.DUMMYFUNCTION("""COMPUTED_VALUE"""),"7")</f>
        <v>7</v>
      </c>
      <c r="V5710" s="6" t="str">
        <f>IFERROR(__xludf.DUMMYFUNCTION("""COMPUTED_VALUE"""),"")</f>
        <v/>
      </c>
      <c r="W5710" s="6" t="str">
        <f>IFERROR(__xludf.DUMMYFUNCTION("""COMPUTED_VALUE"""),"[]")</f>
        <v>[]</v>
      </c>
      <c r="X5710" s="6" t="str">
        <f>IFERROR(__xludf.DUMMYFUNCTION("""COMPUTED_VALUE"""),"Enrolled")</f>
        <v>Enrolled</v>
      </c>
    </row>
    <row r="5711">
      <c r="A5711" s="6" t="str">
        <f>IFERROR(__xludf.DUMMYFUNCTION("""COMPUTED_VALUE"""),"087-12308")</f>
        <v>087-12308</v>
      </c>
      <c r="B5711" s="6" t="str">
        <f>IFERROR(__xludf.DUMMYFUNCTION("""COMPUTED_VALUE"""),"87")</f>
        <v>87</v>
      </c>
      <c r="C5711" s="6" t="str">
        <f>IFERROR(__xludf.DUMMYFUNCTION("""COMPUTED_VALUE"""),"12308")</f>
        <v>12308</v>
      </c>
      <c r="D5711" s="6" t="str">
        <f>IFERROR(__xludf.DUMMYFUNCTION("""COMPUTED_VALUE"""),"Andres")</f>
        <v>Andres</v>
      </c>
      <c r="E5711" s="6" t="str">
        <f>IFERROR(__xludf.DUMMYFUNCTION("""COMPUTED_VALUE"""),"")</f>
        <v/>
      </c>
      <c r="F5711" s="6" t="str">
        <f>IFERROR(__xludf.DUMMYFUNCTION("""COMPUTED_VALUE"""),"Martinez-Murillo")</f>
        <v>Martinez-Murillo</v>
      </c>
      <c r="G5711" s="6" t="str">
        <f>IFERROR(__xludf.DUMMYFUNCTION("""COMPUTED_VALUE"""),"10/31/2012")</f>
        <v>10/31/2012</v>
      </c>
      <c r="H5711" s="6" t="str">
        <f>IFERROR(__xludf.DUMMYFUNCTION("""COMPUTED_VALUE"""),"male")</f>
        <v>male</v>
      </c>
      <c r="I5711" s="6" t="str">
        <f>IFERROR(__xludf.DUMMYFUNCTION("""COMPUTED_VALUE"""),"Middle School")</f>
        <v>Middle School</v>
      </c>
      <c r="J5711" s="6" t="str">
        <f>IFERROR(__xludf.DUMMYFUNCTION("""COMPUTED_VALUE"""),"7")</f>
        <v>7</v>
      </c>
      <c r="K5711" s="6" t="str">
        <f>IFERROR(__xludf.DUMMYFUNCTION("""COMPUTED_VALUE"""),"andres.martinez-murillo@2hourlearning.com")</f>
        <v>andres.martinez-murillo@2hourlearning.com</v>
      </c>
      <c r="L5711" s="6" t="str">
        <f>IFERROR(__xludf.DUMMYFUNCTION("""COMPUTED_VALUE"""),"JRHS - Ridgeland Secondary Academy of Excellence")</f>
        <v>JRHS - Ridgeland Secondary Academy of Excellence</v>
      </c>
      <c r="M5711" s="6" t="str">
        <f>IFERROR(__xludf.DUMMYFUNCTION("""COMPUTED_VALUE"""),"")</f>
        <v/>
      </c>
      <c r="N5711" s="6" t="str">
        <f>IFERROR(__xludf.DUMMYFUNCTION("""COMPUTED_VALUE"""),"")</f>
        <v/>
      </c>
      <c r="O5711" s="87" t="str">
        <f>IFERROR(__xludf.DUMMYFUNCTION("""COMPUTED_VALUE"""),"https://drive.google.com/drive/folders/10T2cTQHqEJZqE-st6uFKPoI?usp=share_link")</f>
        <v>https://drive.google.com/drive/folders/10T2cTQHqEJZqE-st6uFKPoI?usp=share_link</v>
      </c>
      <c r="P5711" s="6" t="str">
        <f>IFERROR(__xludf.DUMMYFUNCTION("""COMPUTED_VALUE"""),"Andres Martinez-Murillo")</f>
        <v>Andres Martinez-Murillo</v>
      </c>
      <c r="Q5711" s="6" t="str">
        <f>IFERROR(__xludf.DUMMYFUNCTION("""COMPUTED_VALUE"""),"MS")</f>
        <v>MS</v>
      </c>
      <c r="R5711" s="6">
        <f>IFERROR(__xludf.DUMMYFUNCTION("""COMPUTED_VALUE"""),0.0)</f>
        <v>0</v>
      </c>
      <c r="S5711" s="6" t="str">
        <f>IFERROR(__xludf.DUMMYFUNCTION("""COMPUTED_VALUE"""),"Kimberly Ball")</f>
        <v>Kimberly Ball</v>
      </c>
      <c r="T5711" s="6" t="str">
        <f>IFERROR(__xludf.DUMMYFUNCTION("""COMPUTED_VALUE"""),"kimberly.ball@studient.com")</f>
        <v>kimberly.ball@studient.com</v>
      </c>
      <c r="U5711" s="6" t="str">
        <f>IFERROR(__xludf.DUMMYFUNCTION("""COMPUTED_VALUE"""),"7")</f>
        <v>7</v>
      </c>
      <c r="V5711" s="6" t="str">
        <f>IFERROR(__xludf.DUMMYFUNCTION("""COMPUTED_VALUE"""),"")</f>
        <v/>
      </c>
      <c r="W5711" s="6" t="str">
        <f>IFERROR(__xludf.DUMMYFUNCTION("""COMPUTED_VALUE"""),"[]")</f>
        <v>[]</v>
      </c>
      <c r="X5711" s="6" t="str">
        <f>IFERROR(__xludf.DUMMYFUNCTION("""COMPUTED_VALUE"""),"Enrolled")</f>
        <v>Enrolled</v>
      </c>
    </row>
    <row r="5712">
      <c r="A5712" s="6" t="str">
        <f>IFERROR(__xludf.DUMMYFUNCTION("""COMPUTED_VALUE"""),"087-12309")</f>
        <v>087-12309</v>
      </c>
      <c r="B5712" s="6" t="str">
        <f>IFERROR(__xludf.DUMMYFUNCTION("""COMPUTED_VALUE"""),"87")</f>
        <v>87</v>
      </c>
      <c r="C5712" s="6" t="str">
        <f>IFERROR(__xludf.DUMMYFUNCTION("""COMPUTED_VALUE"""),"12309")</f>
        <v>12309</v>
      </c>
      <c r="D5712" s="6" t="str">
        <f>IFERROR(__xludf.DUMMYFUNCTION("""COMPUTED_VALUE"""),"Danna")</f>
        <v>Danna</v>
      </c>
      <c r="E5712" s="6" t="str">
        <f>IFERROR(__xludf.DUMMYFUNCTION("""COMPUTED_VALUE"""),"")</f>
        <v/>
      </c>
      <c r="F5712" s="6" t="str">
        <f>IFERROR(__xludf.DUMMYFUNCTION("""COMPUTED_VALUE"""),"Mata Apolinar")</f>
        <v>Mata Apolinar</v>
      </c>
      <c r="G5712" s="6" t="str">
        <f>IFERROR(__xludf.DUMMYFUNCTION("""COMPUTED_VALUE"""),"06/03/2013")</f>
        <v>06/03/2013</v>
      </c>
      <c r="H5712" s="6" t="str">
        <f>IFERROR(__xludf.DUMMYFUNCTION("""COMPUTED_VALUE"""),"female")</f>
        <v>female</v>
      </c>
      <c r="I5712" s="6" t="str">
        <f>IFERROR(__xludf.DUMMYFUNCTION("""COMPUTED_VALUE"""),"Middle School")</f>
        <v>Middle School</v>
      </c>
      <c r="J5712" s="6" t="str">
        <f>IFERROR(__xludf.DUMMYFUNCTION("""COMPUTED_VALUE"""),"7")</f>
        <v>7</v>
      </c>
      <c r="K5712" s="6" t="str">
        <f>IFERROR(__xludf.DUMMYFUNCTION("""COMPUTED_VALUE"""),"danna.mataapolinar@2hourlearning.com")</f>
        <v>danna.mataapolinar@2hourlearning.com</v>
      </c>
      <c r="L5712" s="6" t="str">
        <f>IFERROR(__xludf.DUMMYFUNCTION("""COMPUTED_VALUE"""),"JRHS - Ridgeland Secondary Academy of Excellence")</f>
        <v>JRHS - Ridgeland Secondary Academy of Excellence</v>
      </c>
      <c r="M5712" s="6" t="str">
        <f>IFERROR(__xludf.DUMMYFUNCTION("""COMPUTED_VALUE"""),"")</f>
        <v/>
      </c>
      <c r="N5712" s="6" t="str">
        <f>IFERROR(__xludf.DUMMYFUNCTION("""COMPUTED_VALUE"""),"")</f>
        <v/>
      </c>
      <c r="O5712" s="87" t="str">
        <f>IFERROR(__xludf.DUMMYFUNCTION("""COMPUTED_VALUE"""),"https://drive.google.com/drive/folders/10T2cTQHqEJZqE-st6uFKPoI?usp=share_link")</f>
        <v>https://drive.google.com/drive/folders/10T2cTQHqEJZqE-st6uFKPoI?usp=share_link</v>
      </c>
      <c r="P5712" s="6" t="str">
        <f>IFERROR(__xludf.DUMMYFUNCTION("""COMPUTED_VALUE"""),"Danna Mata Apolinar")</f>
        <v>Danna Mata Apolinar</v>
      </c>
      <c r="Q5712" s="6" t="str">
        <f>IFERROR(__xludf.DUMMYFUNCTION("""COMPUTED_VALUE"""),"MS")</f>
        <v>MS</v>
      </c>
      <c r="R5712" s="6">
        <f>IFERROR(__xludf.DUMMYFUNCTION("""COMPUTED_VALUE"""),0.0)</f>
        <v>0</v>
      </c>
      <c r="S5712" s="6" t="str">
        <f>IFERROR(__xludf.DUMMYFUNCTION("""COMPUTED_VALUE"""),"Kimberly Ball")</f>
        <v>Kimberly Ball</v>
      </c>
      <c r="T5712" s="6" t="str">
        <f>IFERROR(__xludf.DUMMYFUNCTION("""COMPUTED_VALUE"""),"kimberly.ball@studient.com")</f>
        <v>kimberly.ball@studient.com</v>
      </c>
      <c r="U5712" s="6" t="str">
        <f>IFERROR(__xludf.DUMMYFUNCTION("""COMPUTED_VALUE"""),"7")</f>
        <v>7</v>
      </c>
      <c r="V5712" s="6" t="str">
        <f>IFERROR(__xludf.DUMMYFUNCTION("""COMPUTED_VALUE"""),"")</f>
        <v/>
      </c>
      <c r="W5712" s="6" t="str">
        <f>IFERROR(__xludf.DUMMYFUNCTION("""COMPUTED_VALUE"""),"[]")</f>
        <v>[]</v>
      </c>
      <c r="X5712" s="6" t="str">
        <f>IFERROR(__xludf.DUMMYFUNCTION("""COMPUTED_VALUE"""),"Enrolled")</f>
        <v>Enrolled</v>
      </c>
    </row>
    <row r="5713">
      <c r="A5713" s="6" t="str">
        <f>IFERROR(__xludf.DUMMYFUNCTION("""COMPUTED_VALUE"""),"087-12310")</f>
        <v>087-12310</v>
      </c>
      <c r="B5713" s="6" t="str">
        <f>IFERROR(__xludf.DUMMYFUNCTION("""COMPUTED_VALUE"""),"87")</f>
        <v>87</v>
      </c>
      <c r="C5713" s="6" t="str">
        <f>IFERROR(__xludf.DUMMYFUNCTION("""COMPUTED_VALUE"""),"12310")</f>
        <v>12310</v>
      </c>
      <c r="D5713" s="6" t="str">
        <f>IFERROR(__xludf.DUMMYFUNCTION("""COMPUTED_VALUE"""),"Kemani")</f>
        <v>Kemani</v>
      </c>
      <c r="E5713" s="6" t="str">
        <f>IFERROR(__xludf.DUMMYFUNCTION("""COMPUTED_VALUE"""),"")</f>
        <v/>
      </c>
      <c r="F5713" s="6" t="str">
        <f>IFERROR(__xludf.DUMMYFUNCTION("""COMPUTED_VALUE"""),"McCall")</f>
        <v>McCall</v>
      </c>
      <c r="G5713" s="6" t="str">
        <f>IFERROR(__xludf.DUMMYFUNCTION("""COMPUTED_VALUE"""),"03/29/2012")</f>
        <v>03/29/2012</v>
      </c>
      <c r="H5713" s="6" t="str">
        <f>IFERROR(__xludf.DUMMYFUNCTION("""COMPUTED_VALUE"""),"female")</f>
        <v>female</v>
      </c>
      <c r="I5713" s="6" t="str">
        <f>IFERROR(__xludf.DUMMYFUNCTION("""COMPUTED_VALUE"""),"Middle School")</f>
        <v>Middle School</v>
      </c>
      <c r="J5713" s="6" t="str">
        <f>IFERROR(__xludf.DUMMYFUNCTION("""COMPUTED_VALUE"""),"8")</f>
        <v>8</v>
      </c>
      <c r="K5713" s="6" t="str">
        <f>IFERROR(__xludf.DUMMYFUNCTION("""COMPUTED_VALUE"""),"kemani.mccall@2hourlearning.com")</f>
        <v>kemani.mccall@2hourlearning.com</v>
      </c>
      <c r="L5713" s="6" t="str">
        <f>IFERROR(__xludf.DUMMYFUNCTION("""COMPUTED_VALUE"""),"JRHS - Ridgeland Secondary Academy of Excellence")</f>
        <v>JRHS - Ridgeland Secondary Academy of Excellence</v>
      </c>
      <c r="M5713" s="6" t="str">
        <f>IFERROR(__xludf.DUMMYFUNCTION("""COMPUTED_VALUE"""),"")</f>
        <v/>
      </c>
      <c r="N5713" s="6" t="str">
        <f>IFERROR(__xludf.DUMMYFUNCTION("""COMPUTED_VALUE"""),"")</f>
        <v/>
      </c>
      <c r="O5713" s="87" t="str">
        <f>IFERROR(__xludf.DUMMYFUNCTION("""COMPUTED_VALUE"""),"https://drive.google.com/drive/folders/10T2cTQHqEJZqE-st6uFKPoI?usp=share_link")</f>
        <v>https://drive.google.com/drive/folders/10T2cTQHqEJZqE-st6uFKPoI?usp=share_link</v>
      </c>
      <c r="P5713" s="6" t="str">
        <f>IFERROR(__xludf.DUMMYFUNCTION("""COMPUTED_VALUE"""),"Kemani McCall")</f>
        <v>Kemani McCall</v>
      </c>
      <c r="Q5713" s="6" t="str">
        <f>IFERROR(__xludf.DUMMYFUNCTION("""COMPUTED_VALUE"""),"MS")</f>
        <v>MS</v>
      </c>
      <c r="R5713" s="6">
        <f>IFERROR(__xludf.DUMMYFUNCTION("""COMPUTED_VALUE"""),0.0)</f>
        <v>0</v>
      </c>
      <c r="S5713" s="6" t="str">
        <f>IFERROR(__xludf.DUMMYFUNCTION("""COMPUTED_VALUE"""),"Kimberly Ball")</f>
        <v>Kimberly Ball</v>
      </c>
      <c r="T5713" s="6" t="str">
        <f>IFERROR(__xludf.DUMMYFUNCTION("""COMPUTED_VALUE"""),"kimberly.ball@studient.com")</f>
        <v>kimberly.ball@studient.com</v>
      </c>
      <c r="U5713" s="6" t="str">
        <f>IFERROR(__xludf.DUMMYFUNCTION("""COMPUTED_VALUE"""),"8")</f>
        <v>8</v>
      </c>
      <c r="V5713" s="6" t="str">
        <f>IFERROR(__xludf.DUMMYFUNCTION("""COMPUTED_VALUE"""),"")</f>
        <v/>
      </c>
      <c r="W5713" s="6" t="str">
        <f>IFERROR(__xludf.DUMMYFUNCTION("""COMPUTED_VALUE"""),"[]")</f>
        <v>[]</v>
      </c>
      <c r="X5713" s="6" t="str">
        <f>IFERROR(__xludf.DUMMYFUNCTION("""COMPUTED_VALUE"""),"Enrolled")</f>
        <v>Enrolled</v>
      </c>
    </row>
    <row r="5714">
      <c r="A5714" s="6" t="str">
        <f>IFERROR(__xludf.DUMMYFUNCTION("""COMPUTED_VALUE"""),"087-12311")</f>
        <v>087-12311</v>
      </c>
      <c r="B5714" s="6" t="str">
        <f>IFERROR(__xludf.DUMMYFUNCTION("""COMPUTED_VALUE"""),"87")</f>
        <v>87</v>
      </c>
      <c r="C5714" s="6" t="str">
        <f>IFERROR(__xludf.DUMMYFUNCTION("""COMPUTED_VALUE"""),"12311")</f>
        <v>12311</v>
      </c>
      <c r="D5714" s="6" t="str">
        <f>IFERROR(__xludf.DUMMYFUNCTION("""COMPUTED_VALUE"""),"Calvin")</f>
        <v>Calvin</v>
      </c>
      <c r="E5714" s="6" t="str">
        <f>IFERROR(__xludf.DUMMYFUNCTION("""COMPUTED_VALUE"""),"")</f>
        <v/>
      </c>
      <c r="F5714" s="6" t="str">
        <f>IFERROR(__xludf.DUMMYFUNCTION("""COMPUTED_VALUE"""),"McGraw")</f>
        <v>McGraw</v>
      </c>
      <c r="G5714" s="6" t="str">
        <f>IFERROR(__xludf.DUMMYFUNCTION("""COMPUTED_VALUE"""),"07/16/2014")</f>
        <v>07/16/2014</v>
      </c>
      <c r="H5714" s="6" t="str">
        <f>IFERROR(__xludf.DUMMYFUNCTION("""COMPUTED_VALUE"""),"male")</f>
        <v>male</v>
      </c>
      <c r="I5714" s="6" t="str">
        <f>IFERROR(__xludf.DUMMYFUNCTION("""COMPUTED_VALUE"""),"Middle School")</f>
        <v>Middle School</v>
      </c>
      <c r="J5714" s="6" t="str">
        <f>IFERROR(__xludf.DUMMYFUNCTION("""COMPUTED_VALUE"""),"6")</f>
        <v>6</v>
      </c>
      <c r="K5714" s="6" t="str">
        <f>IFERROR(__xludf.DUMMYFUNCTION("""COMPUTED_VALUE"""),"calvin.mcgraw@2hourlearning.com")</f>
        <v>calvin.mcgraw@2hourlearning.com</v>
      </c>
      <c r="L5714" s="6" t="str">
        <f>IFERROR(__xludf.DUMMYFUNCTION("""COMPUTED_VALUE"""),"JRHS - Ridgeland Secondary Academy of Excellence")</f>
        <v>JRHS - Ridgeland Secondary Academy of Excellence</v>
      </c>
      <c r="M5714" s="6" t="str">
        <f>IFERROR(__xludf.DUMMYFUNCTION("""COMPUTED_VALUE"""),"")</f>
        <v/>
      </c>
      <c r="N5714" s="6" t="str">
        <f>IFERROR(__xludf.DUMMYFUNCTION("""COMPUTED_VALUE"""),"")</f>
        <v/>
      </c>
      <c r="O5714" s="87" t="str">
        <f>IFERROR(__xludf.DUMMYFUNCTION("""COMPUTED_VALUE"""),"https://drive.google.com/drive/folders/10T2cTQHqEJZqE-st6uFKPoI?usp=share_link")</f>
        <v>https://drive.google.com/drive/folders/10T2cTQHqEJZqE-st6uFKPoI?usp=share_link</v>
      </c>
      <c r="P5714" s="6" t="str">
        <f>IFERROR(__xludf.DUMMYFUNCTION("""COMPUTED_VALUE"""),"Calvin McGraw")</f>
        <v>Calvin McGraw</v>
      </c>
      <c r="Q5714" s="6" t="str">
        <f>IFERROR(__xludf.DUMMYFUNCTION("""COMPUTED_VALUE"""),"MS")</f>
        <v>MS</v>
      </c>
      <c r="R5714" s="6">
        <f>IFERROR(__xludf.DUMMYFUNCTION("""COMPUTED_VALUE"""),0.0)</f>
        <v>0</v>
      </c>
      <c r="S5714" s="6" t="str">
        <f>IFERROR(__xludf.DUMMYFUNCTION("""COMPUTED_VALUE"""),"Kimberly Ball")</f>
        <v>Kimberly Ball</v>
      </c>
      <c r="T5714" s="6" t="str">
        <f>IFERROR(__xludf.DUMMYFUNCTION("""COMPUTED_VALUE"""),"kimberly.ball@studient.com")</f>
        <v>kimberly.ball@studient.com</v>
      </c>
      <c r="U5714" s="6" t="str">
        <f>IFERROR(__xludf.DUMMYFUNCTION("""COMPUTED_VALUE"""),"6")</f>
        <v>6</v>
      </c>
      <c r="V5714" s="6" t="str">
        <f>IFERROR(__xludf.DUMMYFUNCTION("""COMPUTED_VALUE"""),"")</f>
        <v/>
      </c>
      <c r="W5714" s="6" t="str">
        <f>IFERROR(__xludf.DUMMYFUNCTION("""COMPUTED_VALUE"""),"[]")</f>
        <v>[]</v>
      </c>
      <c r="X5714" s="6" t="str">
        <f>IFERROR(__xludf.DUMMYFUNCTION("""COMPUTED_VALUE"""),"Enrolled")</f>
        <v>Enrolled</v>
      </c>
    </row>
    <row r="5715">
      <c r="A5715" s="6" t="str">
        <f>IFERROR(__xludf.DUMMYFUNCTION("""COMPUTED_VALUE"""),"087-12312")</f>
        <v>087-12312</v>
      </c>
      <c r="B5715" s="6" t="str">
        <f>IFERROR(__xludf.DUMMYFUNCTION("""COMPUTED_VALUE"""),"87")</f>
        <v>87</v>
      </c>
      <c r="C5715" s="6" t="str">
        <f>IFERROR(__xludf.DUMMYFUNCTION("""COMPUTED_VALUE"""),"12312")</f>
        <v>12312</v>
      </c>
      <c r="D5715" s="6" t="str">
        <f>IFERROR(__xludf.DUMMYFUNCTION("""COMPUTED_VALUE"""),"Matthew")</f>
        <v>Matthew</v>
      </c>
      <c r="E5715" s="6" t="str">
        <f>IFERROR(__xludf.DUMMYFUNCTION("""COMPUTED_VALUE"""),"")</f>
        <v/>
      </c>
      <c r="F5715" s="6" t="str">
        <f>IFERROR(__xludf.DUMMYFUNCTION("""COMPUTED_VALUE"""),"Mejia")</f>
        <v>Mejia</v>
      </c>
      <c r="G5715" s="6" t="str">
        <f>IFERROR(__xludf.DUMMYFUNCTION("""COMPUTED_VALUE"""),"05/14/2012")</f>
        <v>05/14/2012</v>
      </c>
      <c r="H5715" s="6" t="str">
        <f>IFERROR(__xludf.DUMMYFUNCTION("""COMPUTED_VALUE"""),"male")</f>
        <v>male</v>
      </c>
      <c r="I5715" s="6" t="str">
        <f>IFERROR(__xludf.DUMMYFUNCTION("""COMPUTED_VALUE"""),"Middle School")</f>
        <v>Middle School</v>
      </c>
      <c r="J5715" s="6" t="str">
        <f>IFERROR(__xludf.DUMMYFUNCTION("""COMPUTED_VALUE"""),"6")</f>
        <v>6</v>
      </c>
      <c r="K5715" s="6" t="str">
        <f>IFERROR(__xludf.DUMMYFUNCTION("""COMPUTED_VALUE"""),"matthew.mejia@2hourlearning.com")</f>
        <v>matthew.mejia@2hourlearning.com</v>
      </c>
      <c r="L5715" s="6" t="str">
        <f>IFERROR(__xludf.DUMMYFUNCTION("""COMPUTED_VALUE"""),"JRHS - Ridgeland Secondary Academy of Excellence")</f>
        <v>JRHS - Ridgeland Secondary Academy of Excellence</v>
      </c>
      <c r="M5715" s="6" t="str">
        <f>IFERROR(__xludf.DUMMYFUNCTION("""COMPUTED_VALUE"""),"")</f>
        <v/>
      </c>
      <c r="N5715" s="6" t="str">
        <f>IFERROR(__xludf.DUMMYFUNCTION("""COMPUTED_VALUE"""),"")</f>
        <v/>
      </c>
      <c r="O5715" s="87" t="str">
        <f>IFERROR(__xludf.DUMMYFUNCTION("""COMPUTED_VALUE"""),"https://drive.google.com/drive/folders/10T2cTQHqEJZqE-st6uFKPoI?usp=share_link")</f>
        <v>https://drive.google.com/drive/folders/10T2cTQHqEJZqE-st6uFKPoI?usp=share_link</v>
      </c>
      <c r="P5715" s="6" t="str">
        <f>IFERROR(__xludf.DUMMYFUNCTION("""COMPUTED_VALUE"""),"Matthew Mejia")</f>
        <v>Matthew Mejia</v>
      </c>
      <c r="Q5715" s="6" t="str">
        <f>IFERROR(__xludf.DUMMYFUNCTION("""COMPUTED_VALUE"""),"MS")</f>
        <v>MS</v>
      </c>
      <c r="R5715" s="6">
        <f>IFERROR(__xludf.DUMMYFUNCTION("""COMPUTED_VALUE"""),0.0)</f>
        <v>0</v>
      </c>
      <c r="S5715" s="6" t="str">
        <f>IFERROR(__xludf.DUMMYFUNCTION("""COMPUTED_VALUE"""),"Kimberly Ball")</f>
        <v>Kimberly Ball</v>
      </c>
      <c r="T5715" s="6" t="str">
        <f>IFERROR(__xludf.DUMMYFUNCTION("""COMPUTED_VALUE"""),"kimberly.ball@studient.com")</f>
        <v>kimberly.ball@studient.com</v>
      </c>
      <c r="U5715" s="6" t="str">
        <f>IFERROR(__xludf.DUMMYFUNCTION("""COMPUTED_VALUE"""),"6")</f>
        <v>6</v>
      </c>
      <c r="V5715" s="6" t="str">
        <f>IFERROR(__xludf.DUMMYFUNCTION("""COMPUTED_VALUE"""),"")</f>
        <v/>
      </c>
      <c r="W5715" s="6" t="str">
        <f>IFERROR(__xludf.DUMMYFUNCTION("""COMPUTED_VALUE"""),"[]")</f>
        <v>[]</v>
      </c>
      <c r="X5715" s="6" t="str">
        <f>IFERROR(__xludf.DUMMYFUNCTION("""COMPUTED_VALUE"""),"Enrolled")</f>
        <v>Enrolled</v>
      </c>
    </row>
    <row r="5716">
      <c r="A5716" s="6" t="str">
        <f>IFERROR(__xludf.DUMMYFUNCTION("""COMPUTED_VALUE"""),"087-12313")</f>
        <v>087-12313</v>
      </c>
      <c r="B5716" s="6" t="str">
        <f>IFERROR(__xludf.DUMMYFUNCTION("""COMPUTED_VALUE"""),"87")</f>
        <v>87</v>
      </c>
      <c r="C5716" s="6" t="str">
        <f>IFERROR(__xludf.DUMMYFUNCTION("""COMPUTED_VALUE"""),"12313")</f>
        <v>12313</v>
      </c>
      <c r="D5716" s="6" t="str">
        <f>IFERROR(__xludf.DUMMYFUNCTION("""COMPUTED_VALUE"""),"Jose")</f>
        <v>Jose</v>
      </c>
      <c r="E5716" s="6" t="str">
        <f>IFERROR(__xludf.DUMMYFUNCTION("""COMPUTED_VALUE"""),"")</f>
        <v/>
      </c>
      <c r="F5716" s="6" t="str">
        <f>IFERROR(__xludf.DUMMYFUNCTION("""COMPUTED_VALUE"""),"Mendoza Espinales")</f>
        <v>Mendoza Espinales</v>
      </c>
      <c r="G5716" s="6" t="str">
        <f>IFERROR(__xludf.DUMMYFUNCTION("""COMPUTED_VALUE"""),"01/18/2014")</f>
        <v>01/18/2014</v>
      </c>
      <c r="H5716" s="6" t="str">
        <f>IFERROR(__xludf.DUMMYFUNCTION("""COMPUTED_VALUE"""),"male")</f>
        <v>male</v>
      </c>
      <c r="I5716" s="6" t="str">
        <f>IFERROR(__xludf.DUMMYFUNCTION("""COMPUTED_VALUE"""),"Middle School")</f>
        <v>Middle School</v>
      </c>
      <c r="J5716" s="6" t="str">
        <f>IFERROR(__xludf.DUMMYFUNCTION("""COMPUTED_VALUE"""),"6")</f>
        <v>6</v>
      </c>
      <c r="K5716" s="6" t="str">
        <f>IFERROR(__xludf.DUMMYFUNCTION("""COMPUTED_VALUE"""),"jose.mendozaespinales@2hourlearning.com")</f>
        <v>jose.mendozaespinales@2hourlearning.com</v>
      </c>
      <c r="L5716" s="6" t="str">
        <f>IFERROR(__xludf.DUMMYFUNCTION("""COMPUTED_VALUE"""),"JRHS - Ridgeland Secondary Academy of Excellence")</f>
        <v>JRHS - Ridgeland Secondary Academy of Excellence</v>
      </c>
      <c r="M5716" s="6" t="str">
        <f>IFERROR(__xludf.DUMMYFUNCTION("""COMPUTED_VALUE"""),"")</f>
        <v/>
      </c>
      <c r="N5716" s="6" t="str">
        <f>IFERROR(__xludf.DUMMYFUNCTION("""COMPUTED_VALUE"""),"")</f>
        <v/>
      </c>
      <c r="O5716" s="87" t="str">
        <f>IFERROR(__xludf.DUMMYFUNCTION("""COMPUTED_VALUE"""),"https://drive.google.com/drive/folders/10T2cTQHqEJZqE-st6uFKPoI?usp=share_link")</f>
        <v>https://drive.google.com/drive/folders/10T2cTQHqEJZqE-st6uFKPoI?usp=share_link</v>
      </c>
      <c r="P5716" s="6" t="str">
        <f>IFERROR(__xludf.DUMMYFUNCTION("""COMPUTED_VALUE"""),"Jose Mendoza Espinales")</f>
        <v>Jose Mendoza Espinales</v>
      </c>
      <c r="Q5716" s="6" t="str">
        <f>IFERROR(__xludf.DUMMYFUNCTION("""COMPUTED_VALUE"""),"MS")</f>
        <v>MS</v>
      </c>
      <c r="R5716" s="6">
        <f>IFERROR(__xludf.DUMMYFUNCTION("""COMPUTED_VALUE"""),0.0)</f>
        <v>0</v>
      </c>
      <c r="S5716" s="6" t="str">
        <f>IFERROR(__xludf.DUMMYFUNCTION("""COMPUTED_VALUE"""),"Kimberly Ball")</f>
        <v>Kimberly Ball</v>
      </c>
      <c r="T5716" s="6" t="str">
        <f>IFERROR(__xludf.DUMMYFUNCTION("""COMPUTED_VALUE"""),"kimberly.ball@studient.com")</f>
        <v>kimberly.ball@studient.com</v>
      </c>
      <c r="U5716" s="6" t="str">
        <f>IFERROR(__xludf.DUMMYFUNCTION("""COMPUTED_VALUE"""),"6")</f>
        <v>6</v>
      </c>
      <c r="V5716" s="6" t="str">
        <f>IFERROR(__xludf.DUMMYFUNCTION("""COMPUTED_VALUE"""),"")</f>
        <v/>
      </c>
      <c r="W5716" s="6" t="str">
        <f>IFERROR(__xludf.DUMMYFUNCTION("""COMPUTED_VALUE"""),"[]")</f>
        <v>[]</v>
      </c>
      <c r="X5716" s="6" t="str">
        <f>IFERROR(__xludf.DUMMYFUNCTION("""COMPUTED_VALUE"""),"Enrolled")</f>
        <v>Enrolled</v>
      </c>
    </row>
    <row r="5717">
      <c r="A5717" s="6" t="str">
        <f>IFERROR(__xludf.DUMMYFUNCTION("""COMPUTED_VALUE"""),"087-12314")</f>
        <v>087-12314</v>
      </c>
      <c r="B5717" s="6" t="str">
        <f>IFERROR(__xludf.DUMMYFUNCTION("""COMPUTED_VALUE"""),"87")</f>
        <v>87</v>
      </c>
      <c r="C5717" s="6" t="str">
        <f>IFERROR(__xludf.DUMMYFUNCTION("""COMPUTED_VALUE"""),"12314")</f>
        <v>12314</v>
      </c>
      <c r="D5717" s="6" t="str">
        <f>IFERROR(__xludf.DUMMYFUNCTION("""COMPUTED_VALUE"""),"Kamryn")</f>
        <v>Kamryn</v>
      </c>
      <c r="E5717" s="6" t="str">
        <f>IFERROR(__xludf.DUMMYFUNCTION("""COMPUTED_VALUE"""),"")</f>
        <v/>
      </c>
      <c r="F5717" s="6" t="str">
        <f>IFERROR(__xludf.DUMMYFUNCTION("""COMPUTED_VALUE"""),"Mervin-Gardner")</f>
        <v>Mervin-Gardner</v>
      </c>
      <c r="G5717" s="6" t="str">
        <f>IFERROR(__xludf.DUMMYFUNCTION("""COMPUTED_VALUE"""),"09/19/2012")</f>
        <v>09/19/2012</v>
      </c>
      <c r="H5717" s="6" t="str">
        <f>IFERROR(__xludf.DUMMYFUNCTION("""COMPUTED_VALUE"""),"female")</f>
        <v>female</v>
      </c>
      <c r="I5717" s="6" t="str">
        <f>IFERROR(__xludf.DUMMYFUNCTION("""COMPUTED_VALUE"""),"Middle School")</f>
        <v>Middle School</v>
      </c>
      <c r="J5717" s="6" t="str">
        <f>IFERROR(__xludf.DUMMYFUNCTION("""COMPUTED_VALUE"""),"7")</f>
        <v>7</v>
      </c>
      <c r="K5717" s="6" t="str">
        <f>IFERROR(__xludf.DUMMYFUNCTION("""COMPUTED_VALUE"""),"kamryn.mervin-gardner@2hourlearning.com")</f>
        <v>kamryn.mervin-gardner@2hourlearning.com</v>
      </c>
      <c r="L5717" s="6" t="str">
        <f>IFERROR(__xludf.DUMMYFUNCTION("""COMPUTED_VALUE"""),"JRHS - Ridgeland Secondary Academy of Excellence")</f>
        <v>JRHS - Ridgeland Secondary Academy of Excellence</v>
      </c>
      <c r="M5717" s="6" t="str">
        <f>IFERROR(__xludf.DUMMYFUNCTION("""COMPUTED_VALUE"""),"")</f>
        <v/>
      </c>
      <c r="N5717" s="6" t="str">
        <f>IFERROR(__xludf.DUMMYFUNCTION("""COMPUTED_VALUE"""),"")</f>
        <v/>
      </c>
      <c r="O5717" s="87" t="str">
        <f>IFERROR(__xludf.DUMMYFUNCTION("""COMPUTED_VALUE"""),"https://drive.google.com/drive/folders/10T2cTQHqEJZqE-st6uFKPoI?usp=share_link")</f>
        <v>https://drive.google.com/drive/folders/10T2cTQHqEJZqE-st6uFKPoI?usp=share_link</v>
      </c>
      <c r="P5717" s="6" t="str">
        <f>IFERROR(__xludf.DUMMYFUNCTION("""COMPUTED_VALUE"""),"Kamryn Mervin-Gardner")</f>
        <v>Kamryn Mervin-Gardner</v>
      </c>
      <c r="Q5717" s="6" t="str">
        <f>IFERROR(__xludf.DUMMYFUNCTION("""COMPUTED_VALUE"""),"MS")</f>
        <v>MS</v>
      </c>
      <c r="R5717" s="6">
        <f>IFERROR(__xludf.DUMMYFUNCTION("""COMPUTED_VALUE"""),0.0)</f>
        <v>0</v>
      </c>
      <c r="S5717" s="6" t="str">
        <f>IFERROR(__xludf.DUMMYFUNCTION("""COMPUTED_VALUE"""),"Kimberly Ball")</f>
        <v>Kimberly Ball</v>
      </c>
      <c r="T5717" s="6" t="str">
        <f>IFERROR(__xludf.DUMMYFUNCTION("""COMPUTED_VALUE"""),"kimberly.ball@studient.com")</f>
        <v>kimberly.ball@studient.com</v>
      </c>
      <c r="U5717" s="6" t="str">
        <f>IFERROR(__xludf.DUMMYFUNCTION("""COMPUTED_VALUE"""),"7")</f>
        <v>7</v>
      </c>
      <c r="V5717" s="6" t="str">
        <f>IFERROR(__xludf.DUMMYFUNCTION("""COMPUTED_VALUE"""),"")</f>
        <v/>
      </c>
      <c r="W5717" s="6" t="str">
        <f>IFERROR(__xludf.DUMMYFUNCTION("""COMPUTED_VALUE"""),"[]")</f>
        <v>[]</v>
      </c>
      <c r="X5717" s="6" t="str">
        <f>IFERROR(__xludf.DUMMYFUNCTION("""COMPUTED_VALUE"""),"Enrolled")</f>
        <v>Enrolled</v>
      </c>
    </row>
    <row r="5718">
      <c r="A5718" s="6" t="str">
        <f>IFERROR(__xludf.DUMMYFUNCTION("""COMPUTED_VALUE"""),"087-12315")</f>
        <v>087-12315</v>
      </c>
      <c r="B5718" s="6" t="str">
        <f>IFERROR(__xludf.DUMMYFUNCTION("""COMPUTED_VALUE"""),"87")</f>
        <v>87</v>
      </c>
      <c r="C5718" s="6" t="str">
        <f>IFERROR(__xludf.DUMMYFUNCTION("""COMPUTED_VALUE"""),"12315")</f>
        <v>12315</v>
      </c>
      <c r="D5718" s="6" t="str">
        <f>IFERROR(__xludf.DUMMYFUNCTION("""COMPUTED_VALUE"""),"Anyi")</f>
        <v>Anyi</v>
      </c>
      <c r="E5718" s="6" t="str">
        <f>IFERROR(__xludf.DUMMYFUNCTION("""COMPUTED_VALUE"""),"")</f>
        <v/>
      </c>
      <c r="F5718" s="6" t="str">
        <f>IFERROR(__xludf.DUMMYFUNCTION("""COMPUTED_VALUE"""),"Mesen Orellana")</f>
        <v>Mesen Orellana</v>
      </c>
      <c r="G5718" s="6" t="str">
        <f>IFERROR(__xludf.DUMMYFUNCTION("""COMPUTED_VALUE"""),"01/30/2014")</f>
        <v>01/30/2014</v>
      </c>
      <c r="H5718" s="6" t="str">
        <f>IFERROR(__xludf.DUMMYFUNCTION("""COMPUTED_VALUE"""),"female")</f>
        <v>female</v>
      </c>
      <c r="I5718" s="6" t="str">
        <f>IFERROR(__xludf.DUMMYFUNCTION("""COMPUTED_VALUE"""),"Middle School")</f>
        <v>Middle School</v>
      </c>
      <c r="J5718" s="6" t="str">
        <f>IFERROR(__xludf.DUMMYFUNCTION("""COMPUTED_VALUE"""),"6")</f>
        <v>6</v>
      </c>
      <c r="K5718" s="6" t="str">
        <f>IFERROR(__xludf.DUMMYFUNCTION("""COMPUTED_VALUE"""),"anyi.mesenorellana@2hourlearning.com")</f>
        <v>anyi.mesenorellana@2hourlearning.com</v>
      </c>
      <c r="L5718" s="6" t="str">
        <f>IFERROR(__xludf.DUMMYFUNCTION("""COMPUTED_VALUE"""),"JRHS - Ridgeland Secondary Academy of Excellence")</f>
        <v>JRHS - Ridgeland Secondary Academy of Excellence</v>
      </c>
      <c r="M5718" s="6" t="str">
        <f>IFERROR(__xludf.DUMMYFUNCTION("""COMPUTED_VALUE"""),"")</f>
        <v/>
      </c>
      <c r="N5718" s="6" t="str">
        <f>IFERROR(__xludf.DUMMYFUNCTION("""COMPUTED_VALUE"""),"")</f>
        <v/>
      </c>
      <c r="O5718" s="87" t="str">
        <f>IFERROR(__xludf.DUMMYFUNCTION("""COMPUTED_VALUE"""),"https://drive.google.com/drive/folders/10T2cTQHqEJZqE-st6uFKPoI?usp=share_link")</f>
        <v>https://drive.google.com/drive/folders/10T2cTQHqEJZqE-st6uFKPoI?usp=share_link</v>
      </c>
      <c r="P5718" s="6" t="str">
        <f>IFERROR(__xludf.DUMMYFUNCTION("""COMPUTED_VALUE"""),"Anyi Mesen Orellana")</f>
        <v>Anyi Mesen Orellana</v>
      </c>
      <c r="Q5718" s="6" t="str">
        <f>IFERROR(__xludf.DUMMYFUNCTION("""COMPUTED_VALUE"""),"MS")</f>
        <v>MS</v>
      </c>
      <c r="R5718" s="6">
        <f>IFERROR(__xludf.DUMMYFUNCTION("""COMPUTED_VALUE"""),0.0)</f>
        <v>0</v>
      </c>
      <c r="S5718" s="6" t="str">
        <f>IFERROR(__xludf.DUMMYFUNCTION("""COMPUTED_VALUE"""),"Kimberly Ball")</f>
        <v>Kimberly Ball</v>
      </c>
      <c r="T5718" s="6" t="str">
        <f>IFERROR(__xludf.DUMMYFUNCTION("""COMPUTED_VALUE"""),"kimberly.ball@studient.com")</f>
        <v>kimberly.ball@studient.com</v>
      </c>
      <c r="U5718" s="6" t="str">
        <f>IFERROR(__xludf.DUMMYFUNCTION("""COMPUTED_VALUE"""),"6")</f>
        <v>6</v>
      </c>
      <c r="V5718" s="6" t="str">
        <f>IFERROR(__xludf.DUMMYFUNCTION("""COMPUTED_VALUE"""),"")</f>
        <v/>
      </c>
      <c r="W5718" s="6" t="str">
        <f>IFERROR(__xludf.DUMMYFUNCTION("""COMPUTED_VALUE"""),"[]")</f>
        <v>[]</v>
      </c>
      <c r="X5718" s="6" t="str">
        <f>IFERROR(__xludf.DUMMYFUNCTION("""COMPUTED_VALUE"""),"Enrolled")</f>
        <v>Enrolled</v>
      </c>
    </row>
    <row r="5719">
      <c r="A5719" s="6" t="str">
        <f>IFERROR(__xludf.DUMMYFUNCTION("""COMPUTED_VALUE"""),"087-12316")</f>
        <v>087-12316</v>
      </c>
      <c r="B5719" s="6" t="str">
        <f>IFERROR(__xludf.DUMMYFUNCTION("""COMPUTED_VALUE"""),"87")</f>
        <v>87</v>
      </c>
      <c r="C5719" s="6" t="str">
        <f>IFERROR(__xludf.DUMMYFUNCTION("""COMPUTED_VALUE"""),"12316")</f>
        <v>12316</v>
      </c>
      <c r="D5719" s="6" t="str">
        <f>IFERROR(__xludf.DUMMYFUNCTION("""COMPUTED_VALUE"""),"Josue")</f>
        <v>Josue</v>
      </c>
      <c r="E5719" s="6" t="str">
        <f>IFERROR(__xludf.DUMMYFUNCTION("""COMPUTED_VALUE"""),"")</f>
        <v/>
      </c>
      <c r="F5719" s="6" t="str">
        <f>IFERROR(__xludf.DUMMYFUNCTION("""COMPUTED_VALUE"""),"Mesen Orellana")</f>
        <v>Mesen Orellana</v>
      </c>
      <c r="G5719" s="6" t="str">
        <f>IFERROR(__xludf.DUMMYFUNCTION("""COMPUTED_VALUE"""),"02/12/2012")</f>
        <v>02/12/2012</v>
      </c>
      <c r="H5719" s="6" t="str">
        <f>IFERROR(__xludf.DUMMYFUNCTION("""COMPUTED_VALUE"""),"male")</f>
        <v>male</v>
      </c>
      <c r="I5719" s="6" t="str">
        <f>IFERROR(__xludf.DUMMYFUNCTION("""COMPUTED_VALUE"""),"Middle School")</f>
        <v>Middle School</v>
      </c>
      <c r="J5719" s="6" t="str">
        <f>IFERROR(__xludf.DUMMYFUNCTION("""COMPUTED_VALUE"""),"8")</f>
        <v>8</v>
      </c>
      <c r="K5719" s="6" t="str">
        <f>IFERROR(__xludf.DUMMYFUNCTION("""COMPUTED_VALUE"""),"josue.mesenorellana@2hourlearning.com")</f>
        <v>josue.mesenorellana@2hourlearning.com</v>
      </c>
      <c r="L5719" s="6" t="str">
        <f>IFERROR(__xludf.DUMMYFUNCTION("""COMPUTED_VALUE"""),"JRHS - Ridgeland Secondary Academy of Excellence")</f>
        <v>JRHS - Ridgeland Secondary Academy of Excellence</v>
      </c>
      <c r="M5719" s="6" t="str">
        <f>IFERROR(__xludf.DUMMYFUNCTION("""COMPUTED_VALUE"""),"")</f>
        <v/>
      </c>
      <c r="N5719" s="6" t="str">
        <f>IFERROR(__xludf.DUMMYFUNCTION("""COMPUTED_VALUE"""),"")</f>
        <v/>
      </c>
      <c r="O5719" s="87" t="str">
        <f>IFERROR(__xludf.DUMMYFUNCTION("""COMPUTED_VALUE"""),"https://drive.google.com/drive/folders/10T2cTQHqEJZqE-st6uFKPoI?usp=share_link")</f>
        <v>https://drive.google.com/drive/folders/10T2cTQHqEJZqE-st6uFKPoI?usp=share_link</v>
      </c>
      <c r="P5719" s="6" t="str">
        <f>IFERROR(__xludf.DUMMYFUNCTION("""COMPUTED_VALUE"""),"Josue Mesen Orellana")</f>
        <v>Josue Mesen Orellana</v>
      </c>
      <c r="Q5719" s="6" t="str">
        <f>IFERROR(__xludf.DUMMYFUNCTION("""COMPUTED_VALUE"""),"MS")</f>
        <v>MS</v>
      </c>
      <c r="R5719" s="6">
        <f>IFERROR(__xludf.DUMMYFUNCTION("""COMPUTED_VALUE"""),0.0)</f>
        <v>0</v>
      </c>
      <c r="S5719" s="6" t="str">
        <f>IFERROR(__xludf.DUMMYFUNCTION("""COMPUTED_VALUE"""),"Kimberly Ball")</f>
        <v>Kimberly Ball</v>
      </c>
      <c r="T5719" s="6" t="str">
        <f>IFERROR(__xludf.DUMMYFUNCTION("""COMPUTED_VALUE"""),"kimberly.ball@studient.com")</f>
        <v>kimberly.ball@studient.com</v>
      </c>
      <c r="U5719" s="6" t="str">
        <f>IFERROR(__xludf.DUMMYFUNCTION("""COMPUTED_VALUE"""),"8")</f>
        <v>8</v>
      </c>
      <c r="V5719" s="6" t="str">
        <f>IFERROR(__xludf.DUMMYFUNCTION("""COMPUTED_VALUE"""),"")</f>
        <v/>
      </c>
      <c r="W5719" s="6" t="str">
        <f>IFERROR(__xludf.DUMMYFUNCTION("""COMPUTED_VALUE"""),"[]")</f>
        <v>[]</v>
      </c>
      <c r="X5719" s="6" t="str">
        <f>IFERROR(__xludf.DUMMYFUNCTION("""COMPUTED_VALUE"""),"Enrolled")</f>
        <v>Enrolled</v>
      </c>
    </row>
    <row r="5720">
      <c r="A5720" s="6" t="str">
        <f>IFERROR(__xludf.DUMMYFUNCTION("""COMPUTED_VALUE"""),"087-12317")</f>
        <v>087-12317</v>
      </c>
      <c r="B5720" s="6" t="str">
        <f>IFERROR(__xludf.DUMMYFUNCTION("""COMPUTED_VALUE"""),"87")</f>
        <v>87</v>
      </c>
      <c r="C5720" s="6" t="str">
        <f>IFERROR(__xludf.DUMMYFUNCTION("""COMPUTED_VALUE"""),"12317")</f>
        <v>12317</v>
      </c>
      <c r="D5720" s="6" t="str">
        <f>IFERROR(__xludf.DUMMYFUNCTION("""COMPUTED_VALUE"""),"Malachi")</f>
        <v>Malachi</v>
      </c>
      <c r="E5720" s="6" t="str">
        <f>IFERROR(__xludf.DUMMYFUNCTION("""COMPUTED_VALUE"""),"")</f>
        <v/>
      </c>
      <c r="F5720" s="6" t="str">
        <f>IFERROR(__xludf.DUMMYFUNCTION("""COMPUTED_VALUE"""),"Mew")</f>
        <v>Mew</v>
      </c>
      <c r="G5720" s="6" t="str">
        <f>IFERROR(__xludf.DUMMYFUNCTION("""COMPUTED_VALUE"""),"12/15/2012")</f>
        <v>12/15/2012</v>
      </c>
      <c r="H5720" s="6" t="str">
        <f>IFERROR(__xludf.DUMMYFUNCTION("""COMPUTED_VALUE"""),"male")</f>
        <v>male</v>
      </c>
      <c r="I5720" s="6" t="str">
        <f>IFERROR(__xludf.DUMMYFUNCTION("""COMPUTED_VALUE"""),"Middle School")</f>
        <v>Middle School</v>
      </c>
      <c r="J5720" s="6" t="str">
        <f>IFERROR(__xludf.DUMMYFUNCTION("""COMPUTED_VALUE"""),"7")</f>
        <v>7</v>
      </c>
      <c r="K5720" s="6" t="str">
        <f>IFERROR(__xludf.DUMMYFUNCTION("""COMPUTED_VALUE"""),"malachi.mew@2hourlearning.com")</f>
        <v>malachi.mew@2hourlearning.com</v>
      </c>
      <c r="L5720" s="6" t="str">
        <f>IFERROR(__xludf.DUMMYFUNCTION("""COMPUTED_VALUE"""),"JRHS - Ridgeland Secondary Academy of Excellence")</f>
        <v>JRHS - Ridgeland Secondary Academy of Excellence</v>
      </c>
      <c r="M5720" s="6" t="str">
        <f>IFERROR(__xludf.DUMMYFUNCTION("""COMPUTED_VALUE"""),"")</f>
        <v/>
      </c>
      <c r="N5720" s="6" t="str">
        <f>IFERROR(__xludf.DUMMYFUNCTION("""COMPUTED_VALUE"""),"")</f>
        <v/>
      </c>
      <c r="O5720" s="87" t="str">
        <f>IFERROR(__xludf.DUMMYFUNCTION("""COMPUTED_VALUE"""),"https://drive.google.com/drive/folders/10T2cTQHqEJZqE-st6uFKPoI?usp=share_link")</f>
        <v>https://drive.google.com/drive/folders/10T2cTQHqEJZqE-st6uFKPoI?usp=share_link</v>
      </c>
      <c r="P5720" s="6" t="str">
        <f>IFERROR(__xludf.DUMMYFUNCTION("""COMPUTED_VALUE"""),"Malachi Mew")</f>
        <v>Malachi Mew</v>
      </c>
      <c r="Q5720" s="6" t="str">
        <f>IFERROR(__xludf.DUMMYFUNCTION("""COMPUTED_VALUE"""),"MS")</f>
        <v>MS</v>
      </c>
      <c r="R5720" s="6">
        <f>IFERROR(__xludf.DUMMYFUNCTION("""COMPUTED_VALUE"""),0.0)</f>
        <v>0</v>
      </c>
      <c r="S5720" s="6" t="str">
        <f>IFERROR(__xludf.DUMMYFUNCTION("""COMPUTED_VALUE"""),"Kimberly Ball")</f>
        <v>Kimberly Ball</v>
      </c>
      <c r="T5720" s="6" t="str">
        <f>IFERROR(__xludf.DUMMYFUNCTION("""COMPUTED_VALUE"""),"kimberly.ball@studient.com")</f>
        <v>kimberly.ball@studient.com</v>
      </c>
      <c r="U5720" s="6" t="str">
        <f>IFERROR(__xludf.DUMMYFUNCTION("""COMPUTED_VALUE"""),"7")</f>
        <v>7</v>
      </c>
      <c r="V5720" s="6" t="str">
        <f>IFERROR(__xludf.DUMMYFUNCTION("""COMPUTED_VALUE"""),"")</f>
        <v/>
      </c>
      <c r="W5720" s="6" t="str">
        <f>IFERROR(__xludf.DUMMYFUNCTION("""COMPUTED_VALUE"""),"[]")</f>
        <v>[]</v>
      </c>
      <c r="X5720" s="6" t="str">
        <f>IFERROR(__xludf.DUMMYFUNCTION("""COMPUTED_VALUE"""),"Enrolled")</f>
        <v>Enrolled</v>
      </c>
    </row>
    <row r="5721">
      <c r="A5721" s="6" t="str">
        <f>IFERROR(__xludf.DUMMYFUNCTION("""COMPUTED_VALUE"""),"087-12318")</f>
        <v>087-12318</v>
      </c>
      <c r="B5721" s="6" t="str">
        <f>IFERROR(__xludf.DUMMYFUNCTION("""COMPUTED_VALUE"""),"87")</f>
        <v>87</v>
      </c>
      <c r="C5721" s="6" t="str">
        <f>IFERROR(__xludf.DUMMYFUNCTION("""COMPUTED_VALUE"""),"12318")</f>
        <v>12318</v>
      </c>
      <c r="D5721" s="6" t="str">
        <f>IFERROR(__xludf.DUMMYFUNCTION("""COMPUTED_VALUE"""),"Davon")</f>
        <v>Davon</v>
      </c>
      <c r="E5721" s="6" t="str">
        <f>IFERROR(__xludf.DUMMYFUNCTION("""COMPUTED_VALUE"""),"")</f>
        <v/>
      </c>
      <c r="F5721" s="6" t="str">
        <f>IFERROR(__xludf.DUMMYFUNCTION("""COMPUTED_VALUE"""),"Miller Lewis")</f>
        <v>Miller Lewis</v>
      </c>
      <c r="G5721" s="6" t="str">
        <f>IFERROR(__xludf.DUMMYFUNCTION("""COMPUTED_VALUE"""),"09/07/2011")</f>
        <v>09/07/2011</v>
      </c>
      <c r="H5721" s="6" t="str">
        <f>IFERROR(__xludf.DUMMYFUNCTION("""COMPUTED_VALUE"""),"male")</f>
        <v>male</v>
      </c>
      <c r="I5721" s="6" t="str">
        <f>IFERROR(__xludf.DUMMYFUNCTION("""COMPUTED_VALUE"""),"Middle School")</f>
        <v>Middle School</v>
      </c>
      <c r="J5721" s="6" t="str">
        <f>IFERROR(__xludf.DUMMYFUNCTION("""COMPUTED_VALUE"""),"8")</f>
        <v>8</v>
      </c>
      <c r="K5721" s="6" t="str">
        <f>IFERROR(__xludf.DUMMYFUNCTION("""COMPUTED_VALUE"""),"davon.millerlewis@2hourlearning.com")</f>
        <v>davon.millerlewis@2hourlearning.com</v>
      </c>
      <c r="L5721" s="6" t="str">
        <f>IFERROR(__xludf.DUMMYFUNCTION("""COMPUTED_VALUE"""),"JRHS - Ridgeland Secondary Academy of Excellence")</f>
        <v>JRHS - Ridgeland Secondary Academy of Excellence</v>
      </c>
      <c r="M5721" s="6" t="str">
        <f>IFERROR(__xludf.DUMMYFUNCTION("""COMPUTED_VALUE"""),"")</f>
        <v/>
      </c>
      <c r="N5721" s="6" t="str">
        <f>IFERROR(__xludf.DUMMYFUNCTION("""COMPUTED_VALUE"""),"")</f>
        <v/>
      </c>
      <c r="O5721" s="87" t="str">
        <f>IFERROR(__xludf.DUMMYFUNCTION("""COMPUTED_VALUE"""),"https://drive.google.com/drive/folders/10T2cTQHqEJZqE-st6uFKPoI?usp=share_link")</f>
        <v>https://drive.google.com/drive/folders/10T2cTQHqEJZqE-st6uFKPoI?usp=share_link</v>
      </c>
      <c r="P5721" s="6" t="str">
        <f>IFERROR(__xludf.DUMMYFUNCTION("""COMPUTED_VALUE"""),"Davon Miller Lewis")</f>
        <v>Davon Miller Lewis</v>
      </c>
      <c r="Q5721" s="6" t="str">
        <f>IFERROR(__xludf.DUMMYFUNCTION("""COMPUTED_VALUE"""),"MS")</f>
        <v>MS</v>
      </c>
      <c r="R5721" s="6">
        <f>IFERROR(__xludf.DUMMYFUNCTION("""COMPUTED_VALUE"""),0.0)</f>
        <v>0</v>
      </c>
      <c r="S5721" s="6" t="str">
        <f>IFERROR(__xludf.DUMMYFUNCTION("""COMPUTED_VALUE"""),"Kimberly Ball")</f>
        <v>Kimberly Ball</v>
      </c>
      <c r="T5721" s="6" t="str">
        <f>IFERROR(__xludf.DUMMYFUNCTION("""COMPUTED_VALUE"""),"kimberly.ball@studient.com")</f>
        <v>kimberly.ball@studient.com</v>
      </c>
      <c r="U5721" s="6" t="str">
        <f>IFERROR(__xludf.DUMMYFUNCTION("""COMPUTED_VALUE"""),"8")</f>
        <v>8</v>
      </c>
      <c r="V5721" s="6" t="str">
        <f>IFERROR(__xludf.DUMMYFUNCTION("""COMPUTED_VALUE"""),"")</f>
        <v/>
      </c>
      <c r="W5721" s="6" t="str">
        <f>IFERROR(__xludf.DUMMYFUNCTION("""COMPUTED_VALUE"""),"[]")</f>
        <v>[]</v>
      </c>
      <c r="X5721" s="6" t="str">
        <f>IFERROR(__xludf.DUMMYFUNCTION("""COMPUTED_VALUE"""),"Enrolled")</f>
        <v>Enrolled</v>
      </c>
    </row>
    <row r="5722">
      <c r="A5722" s="6" t="str">
        <f>IFERROR(__xludf.DUMMYFUNCTION("""COMPUTED_VALUE"""),"087-12319")</f>
        <v>087-12319</v>
      </c>
      <c r="B5722" s="6" t="str">
        <f>IFERROR(__xludf.DUMMYFUNCTION("""COMPUTED_VALUE"""),"87")</f>
        <v>87</v>
      </c>
      <c r="C5722" s="6" t="str">
        <f>IFERROR(__xludf.DUMMYFUNCTION("""COMPUTED_VALUE"""),"12319")</f>
        <v>12319</v>
      </c>
      <c r="D5722" s="6" t="str">
        <f>IFERROR(__xludf.DUMMYFUNCTION("""COMPUTED_VALUE"""),"Jose")</f>
        <v>Jose</v>
      </c>
      <c r="E5722" s="6" t="str">
        <f>IFERROR(__xludf.DUMMYFUNCTION("""COMPUTED_VALUE"""),"")</f>
        <v/>
      </c>
      <c r="F5722" s="6" t="str">
        <f>IFERROR(__xludf.DUMMYFUNCTION("""COMPUTED_VALUE"""),"Mondragon Valle")</f>
        <v>Mondragon Valle</v>
      </c>
      <c r="G5722" s="6" t="str">
        <f>IFERROR(__xludf.DUMMYFUNCTION("""COMPUTED_VALUE"""),"11/20/2011")</f>
        <v>11/20/2011</v>
      </c>
      <c r="H5722" s="6" t="str">
        <f>IFERROR(__xludf.DUMMYFUNCTION("""COMPUTED_VALUE"""),"male")</f>
        <v>male</v>
      </c>
      <c r="I5722" s="6" t="str">
        <f>IFERROR(__xludf.DUMMYFUNCTION("""COMPUTED_VALUE"""),"Middle School")</f>
        <v>Middle School</v>
      </c>
      <c r="J5722" s="6" t="str">
        <f>IFERROR(__xludf.DUMMYFUNCTION("""COMPUTED_VALUE"""),"8")</f>
        <v>8</v>
      </c>
      <c r="K5722" s="6" t="str">
        <f>IFERROR(__xludf.DUMMYFUNCTION("""COMPUTED_VALUE"""),"jose.mondragonvalle@2hourlearning.com")</f>
        <v>jose.mondragonvalle@2hourlearning.com</v>
      </c>
      <c r="L5722" s="6" t="str">
        <f>IFERROR(__xludf.DUMMYFUNCTION("""COMPUTED_VALUE"""),"JRHS - Ridgeland Secondary Academy of Excellence")</f>
        <v>JRHS - Ridgeland Secondary Academy of Excellence</v>
      </c>
      <c r="M5722" s="6" t="str">
        <f>IFERROR(__xludf.DUMMYFUNCTION("""COMPUTED_VALUE"""),"")</f>
        <v/>
      </c>
      <c r="N5722" s="6" t="str">
        <f>IFERROR(__xludf.DUMMYFUNCTION("""COMPUTED_VALUE"""),"")</f>
        <v/>
      </c>
      <c r="O5722" s="87" t="str">
        <f>IFERROR(__xludf.DUMMYFUNCTION("""COMPUTED_VALUE"""),"https://drive.google.com/drive/folders/10T2cTQHqEJZqE-st6uFKPoI?usp=share_link")</f>
        <v>https://drive.google.com/drive/folders/10T2cTQHqEJZqE-st6uFKPoI?usp=share_link</v>
      </c>
      <c r="P5722" s="6" t="str">
        <f>IFERROR(__xludf.DUMMYFUNCTION("""COMPUTED_VALUE"""),"Jose Mondragon Valle")</f>
        <v>Jose Mondragon Valle</v>
      </c>
      <c r="Q5722" s="6" t="str">
        <f>IFERROR(__xludf.DUMMYFUNCTION("""COMPUTED_VALUE"""),"MS")</f>
        <v>MS</v>
      </c>
      <c r="R5722" s="6">
        <f>IFERROR(__xludf.DUMMYFUNCTION("""COMPUTED_VALUE"""),0.0)</f>
        <v>0</v>
      </c>
      <c r="S5722" s="6" t="str">
        <f>IFERROR(__xludf.DUMMYFUNCTION("""COMPUTED_VALUE"""),"Kimberly Ball")</f>
        <v>Kimberly Ball</v>
      </c>
      <c r="T5722" s="6" t="str">
        <f>IFERROR(__xludf.DUMMYFUNCTION("""COMPUTED_VALUE"""),"kimberly.ball@studient.com")</f>
        <v>kimberly.ball@studient.com</v>
      </c>
      <c r="U5722" s="6" t="str">
        <f>IFERROR(__xludf.DUMMYFUNCTION("""COMPUTED_VALUE"""),"8")</f>
        <v>8</v>
      </c>
      <c r="V5722" s="6" t="str">
        <f>IFERROR(__xludf.DUMMYFUNCTION("""COMPUTED_VALUE"""),"")</f>
        <v/>
      </c>
      <c r="W5722" s="6" t="str">
        <f>IFERROR(__xludf.DUMMYFUNCTION("""COMPUTED_VALUE"""),"[]")</f>
        <v>[]</v>
      </c>
      <c r="X5722" s="6" t="str">
        <f>IFERROR(__xludf.DUMMYFUNCTION("""COMPUTED_VALUE"""),"Enrolled")</f>
        <v>Enrolled</v>
      </c>
    </row>
    <row r="5723">
      <c r="A5723" s="6" t="str">
        <f>IFERROR(__xludf.DUMMYFUNCTION("""COMPUTED_VALUE"""),"087-12320")</f>
        <v>087-12320</v>
      </c>
      <c r="B5723" s="6" t="str">
        <f>IFERROR(__xludf.DUMMYFUNCTION("""COMPUTED_VALUE"""),"87")</f>
        <v>87</v>
      </c>
      <c r="C5723" s="6" t="str">
        <f>IFERROR(__xludf.DUMMYFUNCTION("""COMPUTED_VALUE"""),"12320")</f>
        <v>12320</v>
      </c>
      <c r="D5723" s="6" t="str">
        <f>IFERROR(__xludf.DUMMYFUNCTION("""COMPUTED_VALUE"""),"Jaylah")</f>
        <v>Jaylah</v>
      </c>
      <c r="E5723" s="6" t="str">
        <f>IFERROR(__xludf.DUMMYFUNCTION("""COMPUTED_VALUE"""),"")</f>
        <v/>
      </c>
      <c r="F5723" s="6" t="str">
        <f>IFERROR(__xludf.DUMMYFUNCTION("""COMPUTED_VALUE"""),"Morales Baca")</f>
        <v>Morales Baca</v>
      </c>
      <c r="G5723" s="6" t="str">
        <f>IFERROR(__xludf.DUMMYFUNCTION("""COMPUTED_VALUE"""),"09/03/2012")</f>
        <v>09/03/2012</v>
      </c>
      <c r="H5723" s="6" t="str">
        <f>IFERROR(__xludf.DUMMYFUNCTION("""COMPUTED_VALUE"""),"female")</f>
        <v>female</v>
      </c>
      <c r="I5723" s="6" t="str">
        <f>IFERROR(__xludf.DUMMYFUNCTION("""COMPUTED_VALUE"""),"Middle School")</f>
        <v>Middle School</v>
      </c>
      <c r="J5723" s="6" t="str">
        <f>IFERROR(__xludf.DUMMYFUNCTION("""COMPUTED_VALUE"""),"7")</f>
        <v>7</v>
      </c>
      <c r="K5723" s="6" t="str">
        <f>IFERROR(__xludf.DUMMYFUNCTION("""COMPUTED_VALUE"""),"jaylah.moralesbaca@2hourlearning.com")</f>
        <v>jaylah.moralesbaca@2hourlearning.com</v>
      </c>
      <c r="L5723" s="6" t="str">
        <f>IFERROR(__xludf.DUMMYFUNCTION("""COMPUTED_VALUE"""),"JRHS - Ridgeland Secondary Academy of Excellence")</f>
        <v>JRHS - Ridgeland Secondary Academy of Excellence</v>
      </c>
      <c r="M5723" s="6" t="str">
        <f>IFERROR(__xludf.DUMMYFUNCTION("""COMPUTED_VALUE"""),"")</f>
        <v/>
      </c>
      <c r="N5723" s="6" t="str">
        <f>IFERROR(__xludf.DUMMYFUNCTION("""COMPUTED_VALUE"""),"")</f>
        <v/>
      </c>
      <c r="O5723" s="87" t="str">
        <f>IFERROR(__xludf.DUMMYFUNCTION("""COMPUTED_VALUE"""),"https://drive.google.com/drive/folders/10T2cTQHqEJZqE-st6uFKPoI?usp=share_link")</f>
        <v>https://drive.google.com/drive/folders/10T2cTQHqEJZqE-st6uFKPoI?usp=share_link</v>
      </c>
      <c r="P5723" s="6" t="str">
        <f>IFERROR(__xludf.DUMMYFUNCTION("""COMPUTED_VALUE"""),"Jaylah Morales Baca")</f>
        <v>Jaylah Morales Baca</v>
      </c>
      <c r="Q5723" s="6" t="str">
        <f>IFERROR(__xludf.DUMMYFUNCTION("""COMPUTED_VALUE"""),"MS")</f>
        <v>MS</v>
      </c>
      <c r="R5723" s="6">
        <f>IFERROR(__xludf.DUMMYFUNCTION("""COMPUTED_VALUE"""),0.0)</f>
        <v>0</v>
      </c>
      <c r="S5723" s="6" t="str">
        <f>IFERROR(__xludf.DUMMYFUNCTION("""COMPUTED_VALUE"""),"Kimberly Ball")</f>
        <v>Kimberly Ball</v>
      </c>
      <c r="T5723" s="6" t="str">
        <f>IFERROR(__xludf.DUMMYFUNCTION("""COMPUTED_VALUE"""),"kimberly.ball@studient.com")</f>
        <v>kimberly.ball@studient.com</v>
      </c>
      <c r="U5723" s="6" t="str">
        <f>IFERROR(__xludf.DUMMYFUNCTION("""COMPUTED_VALUE"""),"7")</f>
        <v>7</v>
      </c>
      <c r="V5723" s="6" t="str">
        <f>IFERROR(__xludf.DUMMYFUNCTION("""COMPUTED_VALUE"""),"")</f>
        <v/>
      </c>
      <c r="W5723" s="6" t="str">
        <f>IFERROR(__xludf.DUMMYFUNCTION("""COMPUTED_VALUE"""),"[]")</f>
        <v>[]</v>
      </c>
      <c r="X5723" s="6" t="str">
        <f>IFERROR(__xludf.DUMMYFUNCTION("""COMPUTED_VALUE"""),"Enrolled")</f>
        <v>Enrolled</v>
      </c>
    </row>
    <row r="5724">
      <c r="A5724" s="6" t="str">
        <f>IFERROR(__xludf.DUMMYFUNCTION("""COMPUTED_VALUE"""),"087-12321")</f>
        <v>087-12321</v>
      </c>
      <c r="B5724" s="6" t="str">
        <f>IFERROR(__xludf.DUMMYFUNCTION("""COMPUTED_VALUE"""),"87")</f>
        <v>87</v>
      </c>
      <c r="C5724" s="6" t="str">
        <f>IFERROR(__xludf.DUMMYFUNCTION("""COMPUTED_VALUE"""),"12321")</f>
        <v>12321</v>
      </c>
      <c r="D5724" s="6" t="str">
        <f>IFERROR(__xludf.DUMMYFUNCTION("""COMPUTED_VALUE"""),"Eycon")</f>
        <v>Eycon</v>
      </c>
      <c r="E5724" s="6" t="str">
        <f>IFERROR(__xludf.DUMMYFUNCTION("""COMPUTED_VALUE"""),"")</f>
        <v/>
      </c>
      <c r="F5724" s="6" t="str">
        <f>IFERROR(__xludf.DUMMYFUNCTION("""COMPUTED_VALUE"""),"Morales Vazquez")</f>
        <v>Morales Vazquez</v>
      </c>
      <c r="G5724" s="6" t="str">
        <f>IFERROR(__xludf.DUMMYFUNCTION("""COMPUTED_VALUE"""),"02/11/2013")</f>
        <v>02/11/2013</v>
      </c>
      <c r="H5724" s="6" t="str">
        <f>IFERROR(__xludf.DUMMYFUNCTION("""COMPUTED_VALUE"""),"male")</f>
        <v>male</v>
      </c>
      <c r="I5724" s="6" t="str">
        <f>IFERROR(__xludf.DUMMYFUNCTION("""COMPUTED_VALUE"""),"Middle School")</f>
        <v>Middle School</v>
      </c>
      <c r="J5724" s="6" t="str">
        <f>IFERROR(__xludf.DUMMYFUNCTION("""COMPUTED_VALUE"""),"7")</f>
        <v>7</v>
      </c>
      <c r="K5724" s="6" t="str">
        <f>IFERROR(__xludf.DUMMYFUNCTION("""COMPUTED_VALUE"""),"eycon.moralesvazquez@2hourlearning.com")</f>
        <v>eycon.moralesvazquez@2hourlearning.com</v>
      </c>
      <c r="L5724" s="6" t="str">
        <f>IFERROR(__xludf.DUMMYFUNCTION("""COMPUTED_VALUE"""),"JRHS - Ridgeland Secondary Academy of Excellence")</f>
        <v>JRHS - Ridgeland Secondary Academy of Excellence</v>
      </c>
      <c r="M5724" s="6" t="str">
        <f>IFERROR(__xludf.DUMMYFUNCTION("""COMPUTED_VALUE"""),"")</f>
        <v/>
      </c>
      <c r="N5724" s="6" t="str">
        <f>IFERROR(__xludf.DUMMYFUNCTION("""COMPUTED_VALUE"""),"")</f>
        <v/>
      </c>
      <c r="O5724" s="87" t="str">
        <f>IFERROR(__xludf.DUMMYFUNCTION("""COMPUTED_VALUE"""),"https://drive.google.com/drive/folders/10T2cTQHqEJZqE-st6uFKPoI?usp=share_link")</f>
        <v>https://drive.google.com/drive/folders/10T2cTQHqEJZqE-st6uFKPoI?usp=share_link</v>
      </c>
      <c r="P5724" s="6" t="str">
        <f>IFERROR(__xludf.DUMMYFUNCTION("""COMPUTED_VALUE"""),"Eycon Morales Vazquez")</f>
        <v>Eycon Morales Vazquez</v>
      </c>
      <c r="Q5724" s="6" t="str">
        <f>IFERROR(__xludf.DUMMYFUNCTION("""COMPUTED_VALUE"""),"MS")</f>
        <v>MS</v>
      </c>
      <c r="R5724" s="6">
        <f>IFERROR(__xludf.DUMMYFUNCTION("""COMPUTED_VALUE"""),0.0)</f>
        <v>0</v>
      </c>
      <c r="S5724" s="6" t="str">
        <f>IFERROR(__xludf.DUMMYFUNCTION("""COMPUTED_VALUE"""),"Kimberly Ball")</f>
        <v>Kimberly Ball</v>
      </c>
      <c r="T5724" s="6" t="str">
        <f>IFERROR(__xludf.DUMMYFUNCTION("""COMPUTED_VALUE"""),"kimberly.ball@studient.com")</f>
        <v>kimberly.ball@studient.com</v>
      </c>
      <c r="U5724" s="6" t="str">
        <f>IFERROR(__xludf.DUMMYFUNCTION("""COMPUTED_VALUE"""),"7")</f>
        <v>7</v>
      </c>
      <c r="V5724" s="6" t="str">
        <f>IFERROR(__xludf.DUMMYFUNCTION("""COMPUTED_VALUE"""),"")</f>
        <v/>
      </c>
      <c r="W5724" s="6" t="str">
        <f>IFERROR(__xludf.DUMMYFUNCTION("""COMPUTED_VALUE"""),"[]")</f>
        <v>[]</v>
      </c>
      <c r="X5724" s="6" t="str">
        <f>IFERROR(__xludf.DUMMYFUNCTION("""COMPUTED_VALUE"""),"Enrolled")</f>
        <v>Enrolled</v>
      </c>
    </row>
    <row r="5725">
      <c r="A5725" s="6" t="str">
        <f>IFERROR(__xludf.DUMMYFUNCTION("""COMPUTED_VALUE"""),"087-12322")</f>
        <v>087-12322</v>
      </c>
      <c r="B5725" s="6" t="str">
        <f>IFERROR(__xludf.DUMMYFUNCTION("""COMPUTED_VALUE"""),"87")</f>
        <v>87</v>
      </c>
      <c r="C5725" s="6" t="str">
        <f>IFERROR(__xludf.DUMMYFUNCTION("""COMPUTED_VALUE"""),"12322")</f>
        <v>12322</v>
      </c>
      <c r="D5725" s="6" t="str">
        <f>IFERROR(__xludf.DUMMYFUNCTION("""COMPUTED_VALUE"""),"Kendi")</f>
        <v>Kendi</v>
      </c>
      <c r="E5725" s="6" t="str">
        <f>IFERROR(__xludf.DUMMYFUNCTION("""COMPUTED_VALUE"""),"")</f>
        <v/>
      </c>
      <c r="F5725" s="6" t="str">
        <f>IFERROR(__xludf.DUMMYFUNCTION("""COMPUTED_VALUE"""),"Moreno Gomez")</f>
        <v>Moreno Gomez</v>
      </c>
      <c r="G5725" s="6" t="str">
        <f>IFERROR(__xludf.DUMMYFUNCTION("""COMPUTED_VALUE"""),"03/02/2012")</f>
        <v>03/02/2012</v>
      </c>
      <c r="H5725" s="6" t="str">
        <f>IFERROR(__xludf.DUMMYFUNCTION("""COMPUTED_VALUE"""),"female")</f>
        <v>female</v>
      </c>
      <c r="I5725" s="6" t="str">
        <f>IFERROR(__xludf.DUMMYFUNCTION("""COMPUTED_VALUE"""),"Middle School")</f>
        <v>Middle School</v>
      </c>
      <c r="J5725" s="6" t="str">
        <f>IFERROR(__xludf.DUMMYFUNCTION("""COMPUTED_VALUE"""),"8")</f>
        <v>8</v>
      </c>
      <c r="K5725" s="6" t="str">
        <f>IFERROR(__xludf.DUMMYFUNCTION("""COMPUTED_VALUE"""),"kendi.morenogomez@2hourlearning.com")</f>
        <v>kendi.morenogomez@2hourlearning.com</v>
      </c>
      <c r="L5725" s="6" t="str">
        <f>IFERROR(__xludf.DUMMYFUNCTION("""COMPUTED_VALUE"""),"JRHS - Ridgeland Secondary Academy of Excellence")</f>
        <v>JRHS - Ridgeland Secondary Academy of Excellence</v>
      </c>
      <c r="M5725" s="6" t="str">
        <f>IFERROR(__xludf.DUMMYFUNCTION("""COMPUTED_VALUE"""),"")</f>
        <v/>
      </c>
      <c r="N5725" s="6" t="str">
        <f>IFERROR(__xludf.DUMMYFUNCTION("""COMPUTED_VALUE"""),"")</f>
        <v/>
      </c>
      <c r="O5725" s="87" t="str">
        <f>IFERROR(__xludf.DUMMYFUNCTION("""COMPUTED_VALUE"""),"https://drive.google.com/drive/folders/10T2cTQHqEJZqE-st6uFKPoI?usp=share_link")</f>
        <v>https://drive.google.com/drive/folders/10T2cTQHqEJZqE-st6uFKPoI?usp=share_link</v>
      </c>
      <c r="P5725" s="6" t="str">
        <f>IFERROR(__xludf.DUMMYFUNCTION("""COMPUTED_VALUE"""),"Kendi Moreno Gomez")</f>
        <v>Kendi Moreno Gomez</v>
      </c>
      <c r="Q5725" s="6" t="str">
        <f>IFERROR(__xludf.DUMMYFUNCTION("""COMPUTED_VALUE"""),"MS")</f>
        <v>MS</v>
      </c>
      <c r="R5725" s="6">
        <f>IFERROR(__xludf.DUMMYFUNCTION("""COMPUTED_VALUE"""),0.0)</f>
        <v>0</v>
      </c>
      <c r="S5725" s="6" t="str">
        <f>IFERROR(__xludf.DUMMYFUNCTION("""COMPUTED_VALUE"""),"Kimberly Ball")</f>
        <v>Kimberly Ball</v>
      </c>
      <c r="T5725" s="6" t="str">
        <f>IFERROR(__xludf.DUMMYFUNCTION("""COMPUTED_VALUE"""),"kimberly.ball@studient.com")</f>
        <v>kimberly.ball@studient.com</v>
      </c>
      <c r="U5725" s="6" t="str">
        <f>IFERROR(__xludf.DUMMYFUNCTION("""COMPUTED_VALUE"""),"8")</f>
        <v>8</v>
      </c>
      <c r="V5725" s="6" t="str">
        <f>IFERROR(__xludf.DUMMYFUNCTION("""COMPUTED_VALUE"""),"")</f>
        <v/>
      </c>
      <c r="W5725" s="6" t="str">
        <f>IFERROR(__xludf.DUMMYFUNCTION("""COMPUTED_VALUE"""),"[]")</f>
        <v>[]</v>
      </c>
      <c r="X5725" s="6" t="str">
        <f>IFERROR(__xludf.DUMMYFUNCTION("""COMPUTED_VALUE"""),"Enrolled")</f>
        <v>Enrolled</v>
      </c>
    </row>
    <row r="5726">
      <c r="A5726" s="6" t="str">
        <f>IFERROR(__xludf.DUMMYFUNCTION("""COMPUTED_VALUE"""),"087-12323")</f>
        <v>087-12323</v>
      </c>
      <c r="B5726" s="6" t="str">
        <f>IFERROR(__xludf.DUMMYFUNCTION("""COMPUTED_VALUE"""),"87")</f>
        <v>87</v>
      </c>
      <c r="C5726" s="6" t="str">
        <f>IFERROR(__xludf.DUMMYFUNCTION("""COMPUTED_VALUE"""),"12323")</f>
        <v>12323</v>
      </c>
      <c r="D5726" s="6" t="str">
        <f>IFERROR(__xludf.DUMMYFUNCTION("""COMPUTED_VALUE"""),"Jayla")</f>
        <v>Jayla</v>
      </c>
      <c r="E5726" s="6" t="str">
        <f>IFERROR(__xludf.DUMMYFUNCTION("""COMPUTED_VALUE"""),"")</f>
        <v/>
      </c>
      <c r="F5726" s="6" t="str">
        <f>IFERROR(__xludf.DUMMYFUNCTION("""COMPUTED_VALUE"""),"Morgan")</f>
        <v>Morgan</v>
      </c>
      <c r="G5726" s="6" t="str">
        <f>IFERROR(__xludf.DUMMYFUNCTION("""COMPUTED_VALUE"""),"09/27/2013")</f>
        <v>09/27/2013</v>
      </c>
      <c r="H5726" s="6" t="str">
        <f>IFERROR(__xludf.DUMMYFUNCTION("""COMPUTED_VALUE"""),"female")</f>
        <v>female</v>
      </c>
      <c r="I5726" s="6" t="str">
        <f>IFERROR(__xludf.DUMMYFUNCTION("""COMPUTED_VALUE"""),"Middle School")</f>
        <v>Middle School</v>
      </c>
      <c r="J5726" s="6" t="str">
        <f>IFERROR(__xludf.DUMMYFUNCTION("""COMPUTED_VALUE"""),"6")</f>
        <v>6</v>
      </c>
      <c r="K5726" s="6" t="str">
        <f>IFERROR(__xludf.DUMMYFUNCTION("""COMPUTED_VALUE"""),"jayla.morgan@2hourlearning.com")</f>
        <v>jayla.morgan@2hourlearning.com</v>
      </c>
      <c r="L5726" s="6" t="str">
        <f>IFERROR(__xludf.DUMMYFUNCTION("""COMPUTED_VALUE"""),"JRHS - Ridgeland Secondary Academy of Excellence")</f>
        <v>JRHS - Ridgeland Secondary Academy of Excellence</v>
      </c>
      <c r="M5726" s="6" t="str">
        <f>IFERROR(__xludf.DUMMYFUNCTION("""COMPUTED_VALUE"""),"")</f>
        <v/>
      </c>
      <c r="N5726" s="6" t="str">
        <f>IFERROR(__xludf.DUMMYFUNCTION("""COMPUTED_VALUE"""),"")</f>
        <v/>
      </c>
      <c r="O5726" s="87" t="str">
        <f>IFERROR(__xludf.DUMMYFUNCTION("""COMPUTED_VALUE"""),"https://drive.google.com/drive/folders/10T2cTQHqEJZqE-st6uFKPoI?usp=share_link")</f>
        <v>https://drive.google.com/drive/folders/10T2cTQHqEJZqE-st6uFKPoI?usp=share_link</v>
      </c>
      <c r="P5726" s="6" t="str">
        <f>IFERROR(__xludf.DUMMYFUNCTION("""COMPUTED_VALUE"""),"Jayla Morgan")</f>
        <v>Jayla Morgan</v>
      </c>
      <c r="Q5726" s="6" t="str">
        <f>IFERROR(__xludf.DUMMYFUNCTION("""COMPUTED_VALUE"""),"MS")</f>
        <v>MS</v>
      </c>
      <c r="R5726" s="6">
        <f>IFERROR(__xludf.DUMMYFUNCTION("""COMPUTED_VALUE"""),0.0)</f>
        <v>0</v>
      </c>
      <c r="S5726" s="6" t="str">
        <f>IFERROR(__xludf.DUMMYFUNCTION("""COMPUTED_VALUE"""),"Kimberly Ball")</f>
        <v>Kimberly Ball</v>
      </c>
      <c r="T5726" s="6" t="str">
        <f>IFERROR(__xludf.DUMMYFUNCTION("""COMPUTED_VALUE"""),"kimberly.ball@studient.com")</f>
        <v>kimberly.ball@studient.com</v>
      </c>
      <c r="U5726" s="6" t="str">
        <f>IFERROR(__xludf.DUMMYFUNCTION("""COMPUTED_VALUE"""),"6")</f>
        <v>6</v>
      </c>
      <c r="V5726" s="6" t="str">
        <f>IFERROR(__xludf.DUMMYFUNCTION("""COMPUTED_VALUE"""),"")</f>
        <v/>
      </c>
      <c r="W5726" s="6" t="str">
        <f>IFERROR(__xludf.DUMMYFUNCTION("""COMPUTED_VALUE"""),"[]")</f>
        <v>[]</v>
      </c>
      <c r="X5726" s="6" t="str">
        <f>IFERROR(__xludf.DUMMYFUNCTION("""COMPUTED_VALUE"""),"Enrolled")</f>
        <v>Enrolled</v>
      </c>
    </row>
    <row r="5727">
      <c r="A5727" s="6" t="str">
        <f>IFERROR(__xludf.DUMMYFUNCTION("""COMPUTED_VALUE"""),"087-12324")</f>
        <v>087-12324</v>
      </c>
      <c r="B5727" s="6" t="str">
        <f>IFERROR(__xludf.DUMMYFUNCTION("""COMPUTED_VALUE"""),"87")</f>
        <v>87</v>
      </c>
      <c r="C5727" s="6" t="str">
        <f>IFERROR(__xludf.DUMMYFUNCTION("""COMPUTED_VALUE"""),"12324")</f>
        <v>12324</v>
      </c>
      <c r="D5727" s="6" t="str">
        <f>IFERROR(__xludf.DUMMYFUNCTION("""COMPUTED_VALUE"""),"Ken'Yannah")</f>
        <v>Ken'Yannah</v>
      </c>
      <c r="E5727" s="6" t="str">
        <f>IFERROR(__xludf.DUMMYFUNCTION("""COMPUTED_VALUE"""),"")</f>
        <v/>
      </c>
      <c r="F5727" s="6" t="str">
        <f>IFERROR(__xludf.DUMMYFUNCTION("""COMPUTED_VALUE"""),"Morris")</f>
        <v>Morris</v>
      </c>
      <c r="G5727" s="6" t="str">
        <f>IFERROR(__xludf.DUMMYFUNCTION("""COMPUTED_VALUE"""),"02/12/2014")</f>
        <v>02/12/2014</v>
      </c>
      <c r="H5727" s="6" t="str">
        <f>IFERROR(__xludf.DUMMYFUNCTION("""COMPUTED_VALUE"""),"female")</f>
        <v>female</v>
      </c>
      <c r="I5727" s="6" t="str">
        <f>IFERROR(__xludf.DUMMYFUNCTION("""COMPUTED_VALUE"""),"Middle School")</f>
        <v>Middle School</v>
      </c>
      <c r="J5727" s="6" t="str">
        <f>IFERROR(__xludf.DUMMYFUNCTION("""COMPUTED_VALUE"""),"6")</f>
        <v>6</v>
      </c>
      <c r="K5727" s="6" t="str">
        <f>IFERROR(__xludf.DUMMYFUNCTION("""COMPUTED_VALUE"""),"kenyannah.morris@2hourlearning.com")</f>
        <v>kenyannah.morris@2hourlearning.com</v>
      </c>
      <c r="L5727" s="6" t="str">
        <f>IFERROR(__xludf.DUMMYFUNCTION("""COMPUTED_VALUE"""),"JRHS - Ridgeland Secondary Academy of Excellence")</f>
        <v>JRHS - Ridgeland Secondary Academy of Excellence</v>
      </c>
      <c r="M5727" s="6" t="str">
        <f>IFERROR(__xludf.DUMMYFUNCTION("""COMPUTED_VALUE"""),"")</f>
        <v/>
      </c>
      <c r="N5727" s="6" t="str">
        <f>IFERROR(__xludf.DUMMYFUNCTION("""COMPUTED_VALUE"""),"")</f>
        <v/>
      </c>
      <c r="O5727" s="87" t="str">
        <f>IFERROR(__xludf.DUMMYFUNCTION("""COMPUTED_VALUE"""),"https://drive.google.com/drive/folders/10T2cTQHqEJZqE-st6uFKPoI?usp=share_link")</f>
        <v>https://drive.google.com/drive/folders/10T2cTQHqEJZqE-st6uFKPoI?usp=share_link</v>
      </c>
      <c r="P5727" s="6" t="str">
        <f>IFERROR(__xludf.DUMMYFUNCTION("""COMPUTED_VALUE"""),"Ken'Yannah Morris")</f>
        <v>Ken'Yannah Morris</v>
      </c>
      <c r="Q5727" s="6" t="str">
        <f>IFERROR(__xludf.DUMMYFUNCTION("""COMPUTED_VALUE"""),"MS")</f>
        <v>MS</v>
      </c>
      <c r="R5727" s="6">
        <f>IFERROR(__xludf.DUMMYFUNCTION("""COMPUTED_VALUE"""),0.0)</f>
        <v>0</v>
      </c>
      <c r="S5727" s="6" t="str">
        <f>IFERROR(__xludf.DUMMYFUNCTION("""COMPUTED_VALUE"""),"Kimberly Ball")</f>
        <v>Kimberly Ball</v>
      </c>
      <c r="T5727" s="6" t="str">
        <f>IFERROR(__xludf.DUMMYFUNCTION("""COMPUTED_VALUE"""),"kimberly.ball@studient.com")</f>
        <v>kimberly.ball@studient.com</v>
      </c>
      <c r="U5727" s="6" t="str">
        <f>IFERROR(__xludf.DUMMYFUNCTION("""COMPUTED_VALUE"""),"6")</f>
        <v>6</v>
      </c>
      <c r="V5727" s="6" t="str">
        <f>IFERROR(__xludf.DUMMYFUNCTION("""COMPUTED_VALUE"""),"")</f>
        <v/>
      </c>
      <c r="W5727" s="6" t="str">
        <f>IFERROR(__xludf.DUMMYFUNCTION("""COMPUTED_VALUE"""),"[]")</f>
        <v>[]</v>
      </c>
      <c r="X5727" s="6" t="str">
        <f>IFERROR(__xludf.DUMMYFUNCTION("""COMPUTED_VALUE"""),"Enrolled")</f>
        <v>Enrolled</v>
      </c>
    </row>
    <row r="5728">
      <c r="A5728" s="6" t="str">
        <f>IFERROR(__xludf.DUMMYFUNCTION("""COMPUTED_VALUE"""),"087-12325")</f>
        <v>087-12325</v>
      </c>
      <c r="B5728" s="6" t="str">
        <f>IFERROR(__xludf.DUMMYFUNCTION("""COMPUTED_VALUE"""),"87")</f>
        <v>87</v>
      </c>
      <c r="C5728" s="6" t="str">
        <f>IFERROR(__xludf.DUMMYFUNCTION("""COMPUTED_VALUE"""),"12325")</f>
        <v>12325</v>
      </c>
      <c r="D5728" s="6" t="str">
        <f>IFERROR(__xludf.DUMMYFUNCTION("""COMPUTED_VALUE"""),"Cameron")</f>
        <v>Cameron</v>
      </c>
      <c r="E5728" s="6" t="str">
        <f>IFERROR(__xludf.DUMMYFUNCTION("""COMPUTED_VALUE"""),"")</f>
        <v/>
      </c>
      <c r="F5728" s="6" t="str">
        <f>IFERROR(__xludf.DUMMYFUNCTION("""COMPUTED_VALUE"""),"Mulligan")</f>
        <v>Mulligan</v>
      </c>
      <c r="G5728" s="6" t="str">
        <f>IFERROR(__xludf.DUMMYFUNCTION("""COMPUTED_VALUE"""),"07/24/2013")</f>
        <v>07/24/2013</v>
      </c>
      <c r="H5728" s="6" t="str">
        <f>IFERROR(__xludf.DUMMYFUNCTION("""COMPUTED_VALUE"""),"male")</f>
        <v>male</v>
      </c>
      <c r="I5728" s="6" t="str">
        <f>IFERROR(__xludf.DUMMYFUNCTION("""COMPUTED_VALUE"""),"Middle School")</f>
        <v>Middle School</v>
      </c>
      <c r="J5728" s="6" t="str">
        <f>IFERROR(__xludf.DUMMYFUNCTION("""COMPUTED_VALUE"""),"7")</f>
        <v>7</v>
      </c>
      <c r="K5728" s="6" t="str">
        <f>IFERROR(__xludf.DUMMYFUNCTION("""COMPUTED_VALUE"""),"cameron.mulligan@2hourlearning.com")</f>
        <v>cameron.mulligan@2hourlearning.com</v>
      </c>
      <c r="L5728" s="6" t="str">
        <f>IFERROR(__xludf.DUMMYFUNCTION("""COMPUTED_VALUE"""),"JRHS - Ridgeland Secondary Academy of Excellence")</f>
        <v>JRHS - Ridgeland Secondary Academy of Excellence</v>
      </c>
      <c r="M5728" s="6" t="str">
        <f>IFERROR(__xludf.DUMMYFUNCTION("""COMPUTED_VALUE"""),"")</f>
        <v/>
      </c>
      <c r="N5728" s="6" t="str">
        <f>IFERROR(__xludf.DUMMYFUNCTION("""COMPUTED_VALUE"""),"")</f>
        <v/>
      </c>
      <c r="O5728" s="87" t="str">
        <f>IFERROR(__xludf.DUMMYFUNCTION("""COMPUTED_VALUE"""),"https://drive.google.com/drive/folders/10T2cTQHqEJZqE-st6uFKPoI?usp=share_link")</f>
        <v>https://drive.google.com/drive/folders/10T2cTQHqEJZqE-st6uFKPoI?usp=share_link</v>
      </c>
      <c r="P5728" s="6" t="str">
        <f>IFERROR(__xludf.DUMMYFUNCTION("""COMPUTED_VALUE"""),"Cameron Mulligan")</f>
        <v>Cameron Mulligan</v>
      </c>
      <c r="Q5728" s="6" t="str">
        <f>IFERROR(__xludf.DUMMYFUNCTION("""COMPUTED_VALUE"""),"MS")</f>
        <v>MS</v>
      </c>
      <c r="R5728" s="6">
        <f>IFERROR(__xludf.DUMMYFUNCTION("""COMPUTED_VALUE"""),0.0)</f>
        <v>0</v>
      </c>
      <c r="S5728" s="6" t="str">
        <f>IFERROR(__xludf.DUMMYFUNCTION("""COMPUTED_VALUE"""),"Kimberly Ball")</f>
        <v>Kimberly Ball</v>
      </c>
      <c r="T5728" s="6" t="str">
        <f>IFERROR(__xludf.DUMMYFUNCTION("""COMPUTED_VALUE"""),"kimberly.ball@studient.com")</f>
        <v>kimberly.ball@studient.com</v>
      </c>
      <c r="U5728" s="6" t="str">
        <f>IFERROR(__xludf.DUMMYFUNCTION("""COMPUTED_VALUE"""),"7")</f>
        <v>7</v>
      </c>
      <c r="V5728" s="6" t="str">
        <f>IFERROR(__xludf.DUMMYFUNCTION("""COMPUTED_VALUE"""),"")</f>
        <v/>
      </c>
      <c r="W5728" s="6" t="str">
        <f>IFERROR(__xludf.DUMMYFUNCTION("""COMPUTED_VALUE"""),"[]")</f>
        <v>[]</v>
      </c>
      <c r="X5728" s="6" t="str">
        <f>IFERROR(__xludf.DUMMYFUNCTION("""COMPUTED_VALUE"""),"Enrolled")</f>
        <v>Enrolled</v>
      </c>
    </row>
    <row r="5729">
      <c r="A5729" s="6" t="str">
        <f>IFERROR(__xludf.DUMMYFUNCTION("""COMPUTED_VALUE"""),"087-12326")</f>
        <v>087-12326</v>
      </c>
      <c r="B5729" s="6" t="str">
        <f>IFERROR(__xludf.DUMMYFUNCTION("""COMPUTED_VALUE"""),"87")</f>
        <v>87</v>
      </c>
      <c r="C5729" s="6" t="str">
        <f>IFERROR(__xludf.DUMMYFUNCTION("""COMPUTED_VALUE"""),"12326")</f>
        <v>12326</v>
      </c>
      <c r="D5729" s="6" t="str">
        <f>IFERROR(__xludf.DUMMYFUNCTION("""COMPUTED_VALUE"""),"Sophia")</f>
        <v>Sophia</v>
      </c>
      <c r="E5729" s="6" t="str">
        <f>IFERROR(__xludf.DUMMYFUNCTION("""COMPUTED_VALUE"""),"")</f>
        <v/>
      </c>
      <c r="F5729" s="6" t="str">
        <f>IFERROR(__xludf.DUMMYFUNCTION("""COMPUTED_VALUE"""),"Munguia")</f>
        <v>Munguia</v>
      </c>
      <c r="G5729" s="6" t="str">
        <f>IFERROR(__xludf.DUMMYFUNCTION("""COMPUTED_VALUE"""),"01/04/2014")</f>
        <v>01/04/2014</v>
      </c>
      <c r="H5729" s="6" t="str">
        <f>IFERROR(__xludf.DUMMYFUNCTION("""COMPUTED_VALUE"""),"female")</f>
        <v>female</v>
      </c>
      <c r="I5729" s="6" t="str">
        <f>IFERROR(__xludf.DUMMYFUNCTION("""COMPUTED_VALUE"""),"Middle School")</f>
        <v>Middle School</v>
      </c>
      <c r="J5729" s="6" t="str">
        <f>IFERROR(__xludf.DUMMYFUNCTION("""COMPUTED_VALUE"""),"6")</f>
        <v>6</v>
      </c>
      <c r="K5729" s="6" t="str">
        <f>IFERROR(__xludf.DUMMYFUNCTION("""COMPUTED_VALUE"""),"sophia.munguia@2hourlearning.com")</f>
        <v>sophia.munguia@2hourlearning.com</v>
      </c>
      <c r="L5729" s="6" t="str">
        <f>IFERROR(__xludf.DUMMYFUNCTION("""COMPUTED_VALUE"""),"JRHS - Ridgeland Secondary Academy of Excellence")</f>
        <v>JRHS - Ridgeland Secondary Academy of Excellence</v>
      </c>
      <c r="M5729" s="6" t="str">
        <f>IFERROR(__xludf.DUMMYFUNCTION("""COMPUTED_VALUE"""),"")</f>
        <v/>
      </c>
      <c r="N5729" s="6" t="str">
        <f>IFERROR(__xludf.DUMMYFUNCTION("""COMPUTED_VALUE"""),"")</f>
        <v/>
      </c>
      <c r="O5729" s="87" t="str">
        <f>IFERROR(__xludf.DUMMYFUNCTION("""COMPUTED_VALUE"""),"https://drive.google.com/drive/folders/10T2cTQHqEJZqE-st6uFKPoI?usp=share_link")</f>
        <v>https://drive.google.com/drive/folders/10T2cTQHqEJZqE-st6uFKPoI?usp=share_link</v>
      </c>
      <c r="P5729" s="6" t="str">
        <f>IFERROR(__xludf.DUMMYFUNCTION("""COMPUTED_VALUE"""),"Sophia Munguia")</f>
        <v>Sophia Munguia</v>
      </c>
      <c r="Q5729" s="6" t="str">
        <f>IFERROR(__xludf.DUMMYFUNCTION("""COMPUTED_VALUE"""),"MS")</f>
        <v>MS</v>
      </c>
      <c r="R5729" s="6">
        <f>IFERROR(__xludf.DUMMYFUNCTION("""COMPUTED_VALUE"""),0.0)</f>
        <v>0</v>
      </c>
      <c r="S5729" s="6" t="str">
        <f>IFERROR(__xludf.DUMMYFUNCTION("""COMPUTED_VALUE"""),"Kimberly Ball")</f>
        <v>Kimberly Ball</v>
      </c>
      <c r="T5729" s="6" t="str">
        <f>IFERROR(__xludf.DUMMYFUNCTION("""COMPUTED_VALUE"""),"kimberly.ball@studient.com")</f>
        <v>kimberly.ball@studient.com</v>
      </c>
      <c r="U5729" s="6" t="str">
        <f>IFERROR(__xludf.DUMMYFUNCTION("""COMPUTED_VALUE"""),"6")</f>
        <v>6</v>
      </c>
      <c r="V5729" s="6" t="str">
        <f>IFERROR(__xludf.DUMMYFUNCTION("""COMPUTED_VALUE"""),"")</f>
        <v/>
      </c>
      <c r="W5729" s="6" t="str">
        <f>IFERROR(__xludf.DUMMYFUNCTION("""COMPUTED_VALUE"""),"[]")</f>
        <v>[]</v>
      </c>
      <c r="X5729" s="6" t="str">
        <f>IFERROR(__xludf.DUMMYFUNCTION("""COMPUTED_VALUE"""),"Enrolled")</f>
        <v>Enrolled</v>
      </c>
    </row>
    <row r="5730">
      <c r="A5730" s="6" t="str">
        <f>IFERROR(__xludf.DUMMYFUNCTION("""COMPUTED_VALUE"""),"087-12327")</f>
        <v>087-12327</v>
      </c>
      <c r="B5730" s="6" t="str">
        <f>IFERROR(__xludf.DUMMYFUNCTION("""COMPUTED_VALUE"""),"87")</f>
        <v>87</v>
      </c>
      <c r="C5730" s="6" t="str">
        <f>IFERROR(__xludf.DUMMYFUNCTION("""COMPUTED_VALUE"""),"12327")</f>
        <v>12327</v>
      </c>
      <c r="D5730" s="6" t="str">
        <f>IFERROR(__xludf.DUMMYFUNCTION("""COMPUTED_VALUE"""),"Ismanuel")</f>
        <v>Ismanuel</v>
      </c>
      <c r="E5730" s="6" t="str">
        <f>IFERROR(__xludf.DUMMYFUNCTION("""COMPUTED_VALUE"""),"")</f>
        <v/>
      </c>
      <c r="F5730" s="6" t="str">
        <f>IFERROR(__xludf.DUMMYFUNCTION("""COMPUTED_VALUE"""),"Murga-Cisneros")</f>
        <v>Murga-Cisneros</v>
      </c>
      <c r="G5730" s="6" t="str">
        <f>IFERROR(__xludf.DUMMYFUNCTION("""COMPUTED_VALUE"""),"08/30/2013")</f>
        <v>08/30/2013</v>
      </c>
      <c r="H5730" s="6" t="str">
        <f>IFERROR(__xludf.DUMMYFUNCTION("""COMPUTED_VALUE"""),"male")</f>
        <v>male</v>
      </c>
      <c r="I5730" s="6" t="str">
        <f>IFERROR(__xludf.DUMMYFUNCTION("""COMPUTED_VALUE"""),"Middle School")</f>
        <v>Middle School</v>
      </c>
      <c r="J5730" s="6" t="str">
        <f>IFERROR(__xludf.DUMMYFUNCTION("""COMPUTED_VALUE"""),"7")</f>
        <v>7</v>
      </c>
      <c r="K5730" s="6" t="str">
        <f>IFERROR(__xludf.DUMMYFUNCTION("""COMPUTED_VALUE"""),"ismanuel.murga-cisneros@2hourlearning.com")</f>
        <v>ismanuel.murga-cisneros@2hourlearning.com</v>
      </c>
      <c r="L5730" s="6" t="str">
        <f>IFERROR(__xludf.DUMMYFUNCTION("""COMPUTED_VALUE"""),"JRHS - Ridgeland Secondary Academy of Excellence")</f>
        <v>JRHS - Ridgeland Secondary Academy of Excellence</v>
      </c>
      <c r="M5730" s="6" t="str">
        <f>IFERROR(__xludf.DUMMYFUNCTION("""COMPUTED_VALUE"""),"")</f>
        <v/>
      </c>
      <c r="N5730" s="6" t="str">
        <f>IFERROR(__xludf.DUMMYFUNCTION("""COMPUTED_VALUE"""),"")</f>
        <v/>
      </c>
      <c r="O5730" s="87" t="str">
        <f>IFERROR(__xludf.DUMMYFUNCTION("""COMPUTED_VALUE"""),"https://drive.google.com/drive/folders/10T2cTQHqEJZqE-st6uFKPoI?usp=share_link")</f>
        <v>https://drive.google.com/drive/folders/10T2cTQHqEJZqE-st6uFKPoI?usp=share_link</v>
      </c>
      <c r="P5730" s="6" t="str">
        <f>IFERROR(__xludf.DUMMYFUNCTION("""COMPUTED_VALUE"""),"Ismanuel Murga-Cisneros")</f>
        <v>Ismanuel Murga-Cisneros</v>
      </c>
      <c r="Q5730" s="6" t="str">
        <f>IFERROR(__xludf.DUMMYFUNCTION("""COMPUTED_VALUE"""),"MS")</f>
        <v>MS</v>
      </c>
      <c r="R5730" s="6">
        <f>IFERROR(__xludf.DUMMYFUNCTION("""COMPUTED_VALUE"""),0.0)</f>
        <v>0</v>
      </c>
      <c r="S5730" s="6" t="str">
        <f>IFERROR(__xludf.DUMMYFUNCTION("""COMPUTED_VALUE"""),"Kimberly Ball")</f>
        <v>Kimberly Ball</v>
      </c>
      <c r="T5730" s="6" t="str">
        <f>IFERROR(__xludf.DUMMYFUNCTION("""COMPUTED_VALUE"""),"kimberly.ball@studient.com")</f>
        <v>kimberly.ball@studient.com</v>
      </c>
      <c r="U5730" s="6" t="str">
        <f>IFERROR(__xludf.DUMMYFUNCTION("""COMPUTED_VALUE"""),"7")</f>
        <v>7</v>
      </c>
      <c r="V5730" s="6" t="str">
        <f>IFERROR(__xludf.DUMMYFUNCTION("""COMPUTED_VALUE"""),"")</f>
        <v/>
      </c>
      <c r="W5730" s="6" t="str">
        <f>IFERROR(__xludf.DUMMYFUNCTION("""COMPUTED_VALUE"""),"[]")</f>
        <v>[]</v>
      </c>
      <c r="X5730" s="6" t="str">
        <f>IFERROR(__xludf.DUMMYFUNCTION("""COMPUTED_VALUE"""),"Enrolled")</f>
        <v>Enrolled</v>
      </c>
    </row>
    <row r="5731">
      <c r="A5731" s="6" t="str">
        <f>IFERROR(__xludf.DUMMYFUNCTION("""COMPUTED_VALUE"""),"087-12328")</f>
        <v>087-12328</v>
      </c>
      <c r="B5731" s="6" t="str">
        <f>IFERROR(__xludf.DUMMYFUNCTION("""COMPUTED_VALUE"""),"87")</f>
        <v>87</v>
      </c>
      <c r="C5731" s="6" t="str">
        <f>IFERROR(__xludf.DUMMYFUNCTION("""COMPUTED_VALUE"""),"12328")</f>
        <v>12328</v>
      </c>
      <c r="D5731" s="6" t="str">
        <f>IFERROR(__xludf.DUMMYFUNCTION("""COMPUTED_VALUE"""),"Mariela")</f>
        <v>Mariela</v>
      </c>
      <c r="E5731" s="6" t="str">
        <f>IFERROR(__xludf.DUMMYFUNCTION("""COMPUTED_VALUE"""),"")</f>
        <v/>
      </c>
      <c r="F5731" s="6" t="str">
        <f>IFERROR(__xludf.DUMMYFUNCTION("""COMPUTED_VALUE"""),"Nava Gomez")</f>
        <v>Nava Gomez</v>
      </c>
      <c r="G5731" s="6" t="str">
        <f>IFERROR(__xludf.DUMMYFUNCTION("""COMPUTED_VALUE"""),"10/27/2012")</f>
        <v>10/27/2012</v>
      </c>
      <c r="H5731" s="6" t="str">
        <f>IFERROR(__xludf.DUMMYFUNCTION("""COMPUTED_VALUE"""),"female")</f>
        <v>female</v>
      </c>
      <c r="I5731" s="6" t="str">
        <f>IFERROR(__xludf.DUMMYFUNCTION("""COMPUTED_VALUE"""),"Middle School")</f>
        <v>Middle School</v>
      </c>
      <c r="J5731" s="6" t="str">
        <f>IFERROR(__xludf.DUMMYFUNCTION("""COMPUTED_VALUE"""),"7")</f>
        <v>7</v>
      </c>
      <c r="K5731" s="6" t="str">
        <f>IFERROR(__xludf.DUMMYFUNCTION("""COMPUTED_VALUE"""),"mariela.navagomez@2hourlearning.com")</f>
        <v>mariela.navagomez@2hourlearning.com</v>
      </c>
      <c r="L5731" s="6" t="str">
        <f>IFERROR(__xludf.DUMMYFUNCTION("""COMPUTED_VALUE"""),"JRHS - Ridgeland Secondary Academy of Excellence")</f>
        <v>JRHS - Ridgeland Secondary Academy of Excellence</v>
      </c>
      <c r="M5731" s="6" t="str">
        <f>IFERROR(__xludf.DUMMYFUNCTION("""COMPUTED_VALUE"""),"")</f>
        <v/>
      </c>
      <c r="N5731" s="6" t="str">
        <f>IFERROR(__xludf.DUMMYFUNCTION("""COMPUTED_VALUE"""),"")</f>
        <v/>
      </c>
      <c r="O5731" s="87" t="str">
        <f>IFERROR(__xludf.DUMMYFUNCTION("""COMPUTED_VALUE"""),"https://drive.google.com/drive/folders/10T2cTQHqEJZqE-st6uFKPoI?usp=share_link")</f>
        <v>https://drive.google.com/drive/folders/10T2cTQHqEJZqE-st6uFKPoI?usp=share_link</v>
      </c>
      <c r="P5731" s="6" t="str">
        <f>IFERROR(__xludf.DUMMYFUNCTION("""COMPUTED_VALUE"""),"Mariela Nava Gomez")</f>
        <v>Mariela Nava Gomez</v>
      </c>
      <c r="Q5731" s="6" t="str">
        <f>IFERROR(__xludf.DUMMYFUNCTION("""COMPUTED_VALUE"""),"MS")</f>
        <v>MS</v>
      </c>
      <c r="R5731" s="6">
        <f>IFERROR(__xludf.DUMMYFUNCTION("""COMPUTED_VALUE"""),0.0)</f>
        <v>0</v>
      </c>
      <c r="S5731" s="6" t="str">
        <f>IFERROR(__xludf.DUMMYFUNCTION("""COMPUTED_VALUE"""),"Kimberly Ball")</f>
        <v>Kimberly Ball</v>
      </c>
      <c r="T5731" s="6" t="str">
        <f>IFERROR(__xludf.DUMMYFUNCTION("""COMPUTED_VALUE"""),"kimberly.ball@studient.com")</f>
        <v>kimberly.ball@studient.com</v>
      </c>
      <c r="U5731" s="6" t="str">
        <f>IFERROR(__xludf.DUMMYFUNCTION("""COMPUTED_VALUE"""),"7")</f>
        <v>7</v>
      </c>
      <c r="V5731" s="6" t="str">
        <f>IFERROR(__xludf.DUMMYFUNCTION("""COMPUTED_VALUE"""),"")</f>
        <v/>
      </c>
      <c r="W5731" s="6" t="str">
        <f>IFERROR(__xludf.DUMMYFUNCTION("""COMPUTED_VALUE"""),"[]")</f>
        <v>[]</v>
      </c>
      <c r="X5731" s="6" t="str">
        <f>IFERROR(__xludf.DUMMYFUNCTION("""COMPUTED_VALUE"""),"Enrolled")</f>
        <v>Enrolled</v>
      </c>
    </row>
    <row r="5732">
      <c r="A5732" s="6" t="str">
        <f>IFERROR(__xludf.DUMMYFUNCTION("""COMPUTED_VALUE"""),"087-12329")</f>
        <v>087-12329</v>
      </c>
      <c r="B5732" s="6" t="str">
        <f>IFERROR(__xludf.DUMMYFUNCTION("""COMPUTED_VALUE"""),"87")</f>
        <v>87</v>
      </c>
      <c r="C5732" s="6" t="str">
        <f>IFERROR(__xludf.DUMMYFUNCTION("""COMPUTED_VALUE"""),"12329")</f>
        <v>12329</v>
      </c>
      <c r="D5732" s="6" t="str">
        <f>IFERROR(__xludf.DUMMYFUNCTION("""COMPUTED_VALUE"""),"Alexandra")</f>
        <v>Alexandra</v>
      </c>
      <c r="E5732" s="6" t="str">
        <f>IFERROR(__xludf.DUMMYFUNCTION("""COMPUTED_VALUE"""),"")</f>
        <v/>
      </c>
      <c r="F5732" s="6" t="str">
        <f>IFERROR(__xludf.DUMMYFUNCTION("""COMPUTED_VALUE"""),"Nava Jimenez")</f>
        <v>Nava Jimenez</v>
      </c>
      <c r="G5732" s="6" t="str">
        <f>IFERROR(__xludf.DUMMYFUNCTION("""COMPUTED_VALUE"""),"06/28/2012")</f>
        <v>06/28/2012</v>
      </c>
      <c r="H5732" s="6" t="str">
        <f>IFERROR(__xludf.DUMMYFUNCTION("""COMPUTED_VALUE"""),"female")</f>
        <v>female</v>
      </c>
      <c r="I5732" s="6" t="str">
        <f>IFERROR(__xludf.DUMMYFUNCTION("""COMPUTED_VALUE"""),"Middle School")</f>
        <v>Middle School</v>
      </c>
      <c r="J5732" s="6" t="str">
        <f>IFERROR(__xludf.DUMMYFUNCTION("""COMPUTED_VALUE"""),"7")</f>
        <v>7</v>
      </c>
      <c r="K5732" s="6" t="str">
        <f>IFERROR(__xludf.DUMMYFUNCTION("""COMPUTED_VALUE"""),"alexandra.navajimenez@2hourlearning.com")</f>
        <v>alexandra.navajimenez@2hourlearning.com</v>
      </c>
      <c r="L5732" s="6" t="str">
        <f>IFERROR(__xludf.DUMMYFUNCTION("""COMPUTED_VALUE"""),"JRHS - Ridgeland Secondary Academy of Excellence")</f>
        <v>JRHS - Ridgeland Secondary Academy of Excellence</v>
      </c>
      <c r="M5732" s="6" t="str">
        <f>IFERROR(__xludf.DUMMYFUNCTION("""COMPUTED_VALUE"""),"")</f>
        <v/>
      </c>
      <c r="N5732" s="6" t="str">
        <f>IFERROR(__xludf.DUMMYFUNCTION("""COMPUTED_VALUE"""),"")</f>
        <v/>
      </c>
      <c r="O5732" s="87" t="str">
        <f>IFERROR(__xludf.DUMMYFUNCTION("""COMPUTED_VALUE"""),"https://drive.google.com/drive/folders/10T2cTQHqEJZqE-st6uFKPoI?usp=share_link")</f>
        <v>https://drive.google.com/drive/folders/10T2cTQHqEJZqE-st6uFKPoI?usp=share_link</v>
      </c>
      <c r="P5732" s="6" t="str">
        <f>IFERROR(__xludf.DUMMYFUNCTION("""COMPUTED_VALUE"""),"Alexandra Nava Jimenez")</f>
        <v>Alexandra Nava Jimenez</v>
      </c>
      <c r="Q5732" s="6" t="str">
        <f>IFERROR(__xludf.DUMMYFUNCTION("""COMPUTED_VALUE"""),"MS")</f>
        <v>MS</v>
      </c>
      <c r="R5732" s="6">
        <f>IFERROR(__xludf.DUMMYFUNCTION("""COMPUTED_VALUE"""),0.0)</f>
        <v>0</v>
      </c>
      <c r="S5732" s="6" t="str">
        <f>IFERROR(__xludf.DUMMYFUNCTION("""COMPUTED_VALUE"""),"Kimberly Ball")</f>
        <v>Kimberly Ball</v>
      </c>
      <c r="T5732" s="6" t="str">
        <f>IFERROR(__xludf.DUMMYFUNCTION("""COMPUTED_VALUE"""),"kimberly.ball@studient.com")</f>
        <v>kimberly.ball@studient.com</v>
      </c>
      <c r="U5732" s="6" t="str">
        <f>IFERROR(__xludf.DUMMYFUNCTION("""COMPUTED_VALUE"""),"7")</f>
        <v>7</v>
      </c>
      <c r="V5732" s="6" t="str">
        <f>IFERROR(__xludf.DUMMYFUNCTION("""COMPUTED_VALUE"""),"")</f>
        <v/>
      </c>
      <c r="W5732" s="6" t="str">
        <f>IFERROR(__xludf.DUMMYFUNCTION("""COMPUTED_VALUE"""),"[]")</f>
        <v>[]</v>
      </c>
      <c r="X5732" s="6" t="str">
        <f>IFERROR(__xludf.DUMMYFUNCTION("""COMPUTED_VALUE"""),"Enrolled")</f>
        <v>Enrolled</v>
      </c>
    </row>
    <row r="5733">
      <c r="A5733" s="6" t="str">
        <f>IFERROR(__xludf.DUMMYFUNCTION("""COMPUTED_VALUE"""),"087-12330")</f>
        <v>087-12330</v>
      </c>
      <c r="B5733" s="6" t="str">
        <f>IFERROR(__xludf.DUMMYFUNCTION("""COMPUTED_VALUE"""),"87")</f>
        <v>87</v>
      </c>
      <c r="C5733" s="6" t="str">
        <f>IFERROR(__xludf.DUMMYFUNCTION("""COMPUTED_VALUE"""),"12330")</f>
        <v>12330</v>
      </c>
      <c r="D5733" s="6" t="str">
        <f>IFERROR(__xludf.DUMMYFUNCTION("""COMPUTED_VALUE"""),"Alis")</f>
        <v>Alis</v>
      </c>
      <c r="E5733" s="6" t="str">
        <f>IFERROR(__xludf.DUMMYFUNCTION("""COMPUTED_VALUE"""),"")</f>
        <v/>
      </c>
      <c r="F5733" s="6" t="str">
        <f>IFERROR(__xludf.DUMMYFUNCTION("""COMPUTED_VALUE"""),"Nava Valente")</f>
        <v>Nava Valente</v>
      </c>
      <c r="G5733" s="6" t="str">
        <f>IFERROR(__xludf.DUMMYFUNCTION("""COMPUTED_VALUE"""),"07/03/2013")</f>
        <v>07/03/2013</v>
      </c>
      <c r="H5733" s="6" t="str">
        <f>IFERROR(__xludf.DUMMYFUNCTION("""COMPUTED_VALUE"""),"female")</f>
        <v>female</v>
      </c>
      <c r="I5733" s="6" t="str">
        <f>IFERROR(__xludf.DUMMYFUNCTION("""COMPUTED_VALUE"""),"Middle School")</f>
        <v>Middle School</v>
      </c>
      <c r="J5733" s="6" t="str">
        <f>IFERROR(__xludf.DUMMYFUNCTION("""COMPUTED_VALUE"""),"7")</f>
        <v>7</v>
      </c>
      <c r="K5733" s="6" t="str">
        <f>IFERROR(__xludf.DUMMYFUNCTION("""COMPUTED_VALUE"""),"alis.navavalente@2hourlearning.com")</f>
        <v>alis.navavalente@2hourlearning.com</v>
      </c>
      <c r="L5733" s="6" t="str">
        <f>IFERROR(__xludf.DUMMYFUNCTION("""COMPUTED_VALUE"""),"JRHS - Ridgeland Secondary Academy of Excellence")</f>
        <v>JRHS - Ridgeland Secondary Academy of Excellence</v>
      </c>
      <c r="M5733" s="6" t="str">
        <f>IFERROR(__xludf.DUMMYFUNCTION("""COMPUTED_VALUE"""),"")</f>
        <v/>
      </c>
      <c r="N5733" s="6" t="str">
        <f>IFERROR(__xludf.DUMMYFUNCTION("""COMPUTED_VALUE"""),"")</f>
        <v/>
      </c>
      <c r="O5733" s="87" t="str">
        <f>IFERROR(__xludf.DUMMYFUNCTION("""COMPUTED_VALUE"""),"https://drive.google.com/drive/folders/10T2cTQHqEJZqE-st6uFKPoI?usp=share_link")</f>
        <v>https://drive.google.com/drive/folders/10T2cTQHqEJZqE-st6uFKPoI?usp=share_link</v>
      </c>
      <c r="P5733" s="6" t="str">
        <f>IFERROR(__xludf.DUMMYFUNCTION("""COMPUTED_VALUE"""),"Alis Nava Valente")</f>
        <v>Alis Nava Valente</v>
      </c>
      <c r="Q5733" s="6" t="str">
        <f>IFERROR(__xludf.DUMMYFUNCTION("""COMPUTED_VALUE"""),"MS")</f>
        <v>MS</v>
      </c>
      <c r="R5733" s="6">
        <f>IFERROR(__xludf.DUMMYFUNCTION("""COMPUTED_VALUE"""),0.0)</f>
        <v>0</v>
      </c>
      <c r="S5733" s="6" t="str">
        <f>IFERROR(__xludf.DUMMYFUNCTION("""COMPUTED_VALUE"""),"Kimberly Ball")</f>
        <v>Kimberly Ball</v>
      </c>
      <c r="T5733" s="6" t="str">
        <f>IFERROR(__xludf.DUMMYFUNCTION("""COMPUTED_VALUE"""),"kimberly.ball@studient.com")</f>
        <v>kimberly.ball@studient.com</v>
      </c>
      <c r="U5733" s="6" t="str">
        <f>IFERROR(__xludf.DUMMYFUNCTION("""COMPUTED_VALUE"""),"7")</f>
        <v>7</v>
      </c>
      <c r="V5733" s="6" t="str">
        <f>IFERROR(__xludf.DUMMYFUNCTION("""COMPUTED_VALUE"""),"")</f>
        <v/>
      </c>
      <c r="W5733" s="6" t="str">
        <f>IFERROR(__xludf.DUMMYFUNCTION("""COMPUTED_VALUE"""),"[]")</f>
        <v>[]</v>
      </c>
      <c r="X5733" s="6" t="str">
        <f>IFERROR(__xludf.DUMMYFUNCTION("""COMPUTED_VALUE"""),"Enrolled")</f>
        <v>Enrolled</v>
      </c>
    </row>
    <row r="5734">
      <c r="A5734" s="6" t="str">
        <f>IFERROR(__xludf.DUMMYFUNCTION("""COMPUTED_VALUE"""),"087-12331")</f>
        <v>087-12331</v>
      </c>
      <c r="B5734" s="6" t="str">
        <f>IFERROR(__xludf.DUMMYFUNCTION("""COMPUTED_VALUE"""),"87")</f>
        <v>87</v>
      </c>
      <c r="C5734" s="6" t="str">
        <f>IFERROR(__xludf.DUMMYFUNCTION("""COMPUTED_VALUE"""),"12331")</f>
        <v>12331</v>
      </c>
      <c r="D5734" s="6" t="str">
        <f>IFERROR(__xludf.DUMMYFUNCTION("""COMPUTED_VALUE"""),"Brandon")</f>
        <v>Brandon</v>
      </c>
      <c r="E5734" s="6" t="str">
        <f>IFERROR(__xludf.DUMMYFUNCTION("""COMPUTED_VALUE"""),"")</f>
        <v/>
      </c>
      <c r="F5734" s="6" t="str">
        <f>IFERROR(__xludf.DUMMYFUNCTION("""COMPUTED_VALUE"""),"Nelson")</f>
        <v>Nelson</v>
      </c>
      <c r="G5734" s="6" t="str">
        <f>IFERROR(__xludf.DUMMYFUNCTION("""COMPUTED_VALUE"""),"08/13/2013")</f>
        <v>08/13/2013</v>
      </c>
      <c r="H5734" s="6" t="str">
        <f>IFERROR(__xludf.DUMMYFUNCTION("""COMPUTED_VALUE"""),"male")</f>
        <v>male</v>
      </c>
      <c r="I5734" s="6" t="str">
        <f>IFERROR(__xludf.DUMMYFUNCTION("""COMPUTED_VALUE"""),"Middle School")</f>
        <v>Middle School</v>
      </c>
      <c r="J5734" s="6" t="str">
        <f>IFERROR(__xludf.DUMMYFUNCTION("""COMPUTED_VALUE"""),"7")</f>
        <v>7</v>
      </c>
      <c r="K5734" s="6" t="str">
        <f>IFERROR(__xludf.DUMMYFUNCTION("""COMPUTED_VALUE"""),"brandon.nelson@2hourlearning.com")</f>
        <v>brandon.nelson@2hourlearning.com</v>
      </c>
      <c r="L5734" s="6" t="str">
        <f>IFERROR(__xludf.DUMMYFUNCTION("""COMPUTED_VALUE"""),"JRHS - Ridgeland Secondary Academy of Excellence")</f>
        <v>JRHS - Ridgeland Secondary Academy of Excellence</v>
      </c>
      <c r="M5734" s="6" t="str">
        <f>IFERROR(__xludf.DUMMYFUNCTION("""COMPUTED_VALUE"""),"")</f>
        <v/>
      </c>
      <c r="N5734" s="6" t="str">
        <f>IFERROR(__xludf.DUMMYFUNCTION("""COMPUTED_VALUE"""),"")</f>
        <v/>
      </c>
      <c r="O5734" s="87" t="str">
        <f>IFERROR(__xludf.DUMMYFUNCTION("""COMPUTED_VALUE"""),"https://drive.google.com/drive/folders/10T2cTQHqEJZqE-st6uFKPoI?usp=share_link")</f>
        <v>https://drive.google.com/drive/folders/10T2cTQHqEJZqE-st6uFKPoI?usp=share_link</v>
      </c>
      <c r="P5734" s="6" t="str">
        <f>IFERROR(__xludf.DUMMYFUNCTION("""COMPUTED_VALUE"""),"Brandon Nelson")</f>
        <v>Brandon Nelson</v>
      </c>
      <c r="Q5734" s="6" t="str">
        <f>IFERROR(__xludf.DUMMYFUNCTION("""COMPUTED_VALUE"""),"MS")</f>
        <v>MS</v>
      </c>
      <c r="R5734" s="6">
        <f>IFERROR(__xludf.DUMMYFUNCTION("""COMPUTED_VALUE"""),0.0)</f>
        <v>0</v>
      </c>
      <c r="S5734" s="6" t="str">
        <f>IFERROR(__xludf.DUMMYFUNCTION("""COMPUTED_VALUE"""),"Kimberly Ball")</f>
        <v>Kimberly Ball</v>
      </c>
      <c r="T5734" s="6" t="str">
        <f>IFERROR(__xludf.DUMMYFUNCTION("""COMPUTED_VALUE"""),"kimberly.ball@studient.com")</f>
        <v>kimberly.ball@studient.com</v>
      </c>
      <c r="U5734" s="6" t="str">
        <f>IFERROR(__xludf.DUMMYFUNCTION("""COMPUTED_VALUE"""),"7")</f>
        <v>7</v>
      </c>
      <c r="V5734" s="6" t="str">
        <f>IFERROR(__xludf.DUMMYFUNCTION("""COMPUTED_VALUE"""),"")</f>
        <v/>
      </c>
      <c r="W5734" s="6" t="str">
        <f>IFERROR(__xludf.DUMMYFUNCTION("""COMPUTED_VALUE"""),"[]")</f>
        <v>[]</v>
      </c>
      <c r="X5734" s="6" t="str">
        <f>IFERROR(__xludf.DUMMYFUNCTION("""COMPUTED_VALUE"""),"Enrolled")</f>
        <v>Enrolled</v>
      </c>
    </row>
    <row r="5735">
      <c r="A5735" s="6" t="str">
        <f>IFERROR(__xludf.DUMMYFUNCTION("""COMPUTED_VALUE"""),"087-12332")</f>
        <v>087-12332</v>
      </c>
      <c r="B5735" s="6" t="str">
        <f>IFERROR(__xludf.DUMMYFUNCTION("""COMPUTED_VALUE"""),"87")</f>
        <v>87</v>
      </c>
      <c r="C5735" s="6" t="str">
        <f>IFERROR(__xludf.DUMMYFUNCTION("""COMPUTED_VALUE"""),"12332")</f>
        <v>12332</v>
      </c>
      <c r="D5735" s="6" t="str">
        <f>IFERROR(__xludf.DUMMYFUNCTION("""COMPUTED_VALUE"""),"Lynnera")</f>
        <v>Lynnera</v>
      </c>
      <c r="E5735" s="6" t="str">
        <f>IFERROR(__xludf.DUMMYFUNCTION("""COMPUTED_VALUE"""),"")</f>
        <v/>
      </c>
      <c r="F5735" s="6" t="str">
        <f>IFERROR(__xludf.DUMMYFUNCTION("""COMPUTED_VALUE"""),"Nelson")</f>
        <v>Nelson</v>
      </c>
      <c r="G5735" s="6" t="str">
        <f>IFERROR(__xludf.DUMMYFUNCTION("""COMPUTED_VALUE"""),"11/22/2011")</f>
        <v>11/22/2011</v>
      </c>
      <c r="H5735" s="6" t="str">
        <f>IFERROR(__xludf.DUMMYFUNCTION("""COMPUTED_VALUE"""),"female")</f>
        <v>female</v>
      </c>
      <c r="I5735" s="6" t="str">
        <f>IFERROR(__xludf.DUMMYFUNCTION("""COMPUTED_VALUE"""),"Middle School")</f>
        <v>Middle School</v>
      </c>
      <c r="J5735" s="6" t="str">
        <f>IFERROR(__xludf.DUMMYFUNCTION("""COMPUTED_VALUE"""),"8")</f>
        <v>8</v>
      </c>
      <c r="K5735" s="6" t="str">
        <f>IFERROR(__xludf.DUMMYFUNCTION("""COMPUTED_VALUE"""),"lynnera.nelson@2hourlearning.com")</f>
        <v>lynnera.nelson@2hourlearning.com</v>
      </c>
      <c r="L5735" s="6" t="str">
        <f>IFERROR(__xludf.DUMMYFUNCTION("""COMPUTED_VALUE"""),"JRHS - Ridgeland Secondary Academy of Excellence")</f>
        <v>JRHS - Ridgeland Secondary Academy of Excellence</v>
      </c>
      <c r="M5735" s="6" t="str">
        <f>IFERROR(__xludf.DUMMYFUNCTION("""COMPUTED_VALUE"""),"")</f>
        <v/>
      </c>
      <c r="N5735" s="6" t="str">
        <f>IFERROR(__xludf.DUMMYFUNCTION("""COMPUTED_VALUE"""),"")</f>
        <v/>
      </c>
      <c r="O5735" s="87" t="str">
        <f>IFERROR(__xludf.DUMMYFUNCTION("""COMPUTED_VALUE"""),"https://drive.google.com/drive/folders/10T2cTQHqEJZqE-st6uFKPoI?usp=share_link")</f>
        <v>https://drive.google.com/drive/folders/10T2cTQHqEJZqE-st6uFKPoI?usp=share_link</v>
      </c>
      <c r="P5735" s="6" t="str">
        <f>IFERROR(__xludf.DUMMYFUNCTION("""COMPUTED_VALUE"""),"Lynnera Nelson")</f>
        <v>Lynnera Nelson</v>
      </c>
      <c r="Q5735" s="6" t="str">
        <f>IFERROR(__xludf.DUMMYFUNCTION("""COMPUTED_VALUE"""),"MS")</f>
        <v>MS</v>
      </c>
      <c r="R5735" s="6">
        <f>IFERROR(__xludf.DUMMYFUNCTION("""COMPUTED_VALUE"""),0.0)</f>
        <v>0</v>
      </c>
      <c r="S5735" s="6" t="str">
        <f>IFERROR(__xludf.DUMMYFUNCTION("""COMPUTED_VALUE"""),"Kimberly Ball")</f>
        <v>Kimberly Ball</v>
      </c>
      <c r="T5735" s="6" t="str">
        <f>IFERROR(__xludf.DUMMYFUNCTION("""COMPUTED_VALUE"""),"kimberly.ball@studient.com")</f>
        <v>kimberly.ball@studient.com</v>
      </c>
      <c r="U5735" s="6" t="str">
        <f>IFERROR(__xludf.DUMMYFUNCTION("""COMPUTED_VALUE"""),"8")</f>
        <v>8</v>
      </c>
      <c r="V5735" s="6" t="str">
        <f>IFERROR(__xludf.DUMMYFUNCTION("""COMPUTED_VALUE"""),"")</f>
        <v/>
      </c>
      <c r="W5735" s="6" t="str">
        <f>IFERROR(__xludf.DUMMYFUNCTION("""COMPUTED_VALUE"""),"[]")</f>
        <v>[]</v>
      </c>
      <c r="X5735" s="6" t="str">
        <f>IFERROR(__xludf.DUMMYFUNCTION("""COMPUTED_VALUE"""),"Enrolled")</f>
        <v>Enrolled</v>
      </c>
    </row>
    <row r="5736">
      <c r="A5736" s="6" t="str">
        <f>IFERROR(__xludf.DUMMYFUNCTION("""COMPUTED_VALUE"""),"087-12333")</f>
        <v>087-12333</v>
      </c>
      <c r="B5736" s="6" t="str">
        <f>IFERROR(__xludf.DUMMYFUNCTION("""COMPUTED_VALUE"""),"87")</f>
        <v>87</v>
      </c>
      <c r="C5736" s="6" t="str">
        <f>IFERROR(__xludf.DUMMYFUNCTION("""COMPUTED_VALUE"""),"12333")</f>
        <v>12333</v>
      </c>
      <c r="D5736" s="6" t="str">
        <f>IFERROR(__xludf.DUMMYFUNCTION("""COMPUTED_VALUE"""),"Jaquez")</f>
        <v>Jaquez</v>
      </c>
      <c r="E5736" s="6" t="str">
        <f>IFERROR(__xludf.DUMMYFUNCTION("""COMPUTED_VALUE"""),"")</f>
        <v/>
      </c>
      <c r="F5736" s="6" t="str">
        <f>IFERROR(__xludf.DUMMYFUNCTION("""COMPUTED_VALUE"""),"Orr")</f>
        <v>Orr</v>
      </c>
      <c r="G5736" s="6" t="str">
        <f>IFERROR(__xludf.DUMMYFUNCTION("""COMPUTED_VALUE"""),"04/08/2013")</f>
        <v>04/08/2013</v>
      </c>
      <c r="H5736" s="6" t="str">
        <f>IFERROR(__xludf.DUMMYFUNCTION("""COMPUTED_VALUE"""),"male")</f>
        <v>male</v>
      </c>
      <c r="I5736" s="6" t="str">
        <f>IFERROR(__xludf.DUMMYFUNCTION("""COMPUTED_VALUE"""),"Middle School")</f>
        <v>Middle School</v>
      </c>
      <c r="J5736" s="6" t="str">
        <f>IFERROR(__xludf.DUMMYFUNCTION("""COMPUTED_VALUE"""),"7")</f>
        <v>7</v>
      </c>
      <c r="K5736" s="6" t="str">
        <f>IFERROR(__xludf.DUMMYFUNCTION("""COMPUTED_VALUE"""),"jaquez.orr@2hourlearning.com")</f>
        <v>jaquez.orr@2hourlearning.com</v>
      </c>
      <c r="L5736" s="6" t="str">
        <f>IFERROR(__xludf.DUMMYFUNCTION("""COMPUTED_VALUE"""),"JRHS - Ridgeland Secondary Academy of Excellence")</f>
        <v>JRHS - Ridgeland Secondary Academy of Excellence</v>
      </c>
      <c r="M5736" s="6" t="str">
        <f>IFERROR(__xludf.DUMMYFUNCTION("""COMPUTED_VALUE"""),"")</f>
        <v/>
      </c>
      <c r="N5736" s="6" t="str">
        <f>IFERROR(__xludf.DUMMYFUNCTION("""COMPUTED_VALUE"""),"")</f>
        <v/>
      </c>
      <c r="O5736" s="87" t="str">
        <f>IFERROR(__xludf.DUMMYFUNCTION("""COMPUTED_VALUE"""),"https://drive.google.com/drive/folders/10T2cTQHqEJZqE-st6uFKPoI?usp=share_link")</f>
        <v>https://drive.google.com/drive/folders/10T2cTQHqEJZqE-st6uFKPoI?usp=share_link</v>
      </c>
      <c r="P5736" s="6" t="str">
        <f>IFERROR(__xludf.DUMMYFUNCTION("""COMPUTED_VALUE"""),"Jaquez Orr")</f>
        <v>Jaquez Orr</v>
      </c>
      <c r="Q5736" s="6" t="str">
        <f>IFERROR(__xludf.DUMMYFUNCTION("""COMPUTED_VALUE"""),"MS")</f>
        <v>MS</v>
      </c>
      <c r="R5736" s="6">
        <f>IFERROR(__xludf.DUMMYFUNCTION("""COMPUTED_VALUE"""),0.0)</f>
        <v>0</v>
      </c>
      <c r="S5736" s="6" t="str">
        <f>IFERROR(__xludf.DUMMYFUNCTION("""COMPUTED_VALUE"""),"Kimberly Ball")</f>
        <v>Kimberly Ball</v>
      </c>
      <c r="T5736" s="6" t="str">
        <f>IFERROR(__xludf.DUMMYFUNCTION("""COMPUTED_VALUE"""),"kimberly.ball@studient.com")</f>
        <v>kimberly.ball@studient.com</v>
      </c>
      <c r="U5736" s="6" t="str">
        <f>IFERROR(__xludf.DUMMYFUNCTION("""COMPUTED_VALUE"""),"7")</f>
        <v>7</v>
      </c>
      <c r="V5736" s="6" t="str">
        <f>IFERROR(__xludf.DUMMYFUNCTION("""COMPUTED_VALUE"""),"")</f>
        <v/>
      </c>
      <c r="W5736" s="6" t="str">
        <f>IFERROR(__xludf.DUMMYFUNCTION("""COMPUTED_VALUE"""),"[]")</f>
        <v>[]</v>
      </c>
      <c r="X5736" s="6" t="str">
        <f>IFERROR(__xludf.DUMMYFUNCTION("""COMPUTED_VALUE"""),"Enrolled")</f>
        <v>Enrolled</v>
      </c>
    </row>
    <row r="5737">
      <c r="A5737" s="6" t="str">
        <f>IFERROR(__xludf.DUMMYFUNCTION("""COMPUTED_VALUE"""),"087-12334")</f>
        <v>087-12334</v>
      </c>
      <c r="B5737" s="6" t="str">
        <f>IFERROR(__xludf.DUMMYFUNCTION("""COMPUTED_VALUE"""),"87")</f>
        <v>87</v>
      </c>
      <c r="C5737" s="6" t="str">
        <f>IFERROR(__xludf.DUMMYFUNCTION("""COMPUTED_VALUE"""),"12334")</f>
        <v>12334</v>
      </c>
      <c r="D5737" s="6" t="str">
        <f>IFERROR(__xludf.DUMMYFUNCTION("""COMPUTED_VALUE"""),"Allan")</f>
        <v>Allan</v>
      </c>
      <c r="E5737" s="6" t="str">
        <f>IFERROR(__xludf.DUMMYFUNCTION("""COMPUTED_VALUE"""),"")</f>
        <v/>
      </c>
      <c r="F5737" s="6" t="str">
        <f>IFERROR(__xludf.DUMMYFUNCTION("""COMPUTED_VALUE"""),"Ortiz Avila")</f>
        <v>Ortiz Avila</v>
      </c>
      <c r="G5737" s="6" t="str">
        <f>IFERROR(__xludf.DUMMYFUNCTION("""COMPUTED_VALUE"""),"11/29/2011")</f>
        <v>11/29/2011</v>
      </c>
      <c r="H5737" s="6" t="str">
        <f>IFERROR(__xludf.DUMMYFUNCTION("""COMPUTED_VALUE"""),"male")</f>
        <v>male</v>
      </c>
      <c r="I5737" s="6" t="str">
        <f>IFERROR(__xludf.DUMMYFUNCTION("""COMPUTED_VALUE"""),"Middle School")</f>
        <v>Middle School</v>
      </c>
      <c r="J5737" s="6" t="str">
        <f>IFERROR(__xludf.DUMMYFUNCTION("""COMPUTED_VALUE"""),"8")</f>
        <v>8</v>
      </c>
      <c r="K5737" s="6" t="str">
        <f>IFERROR(__xludf.DUMMYFUNCTION("""COMPUTED_VALUE"""),"allan.ortizavila@2hourlearning.com")</f>
        <v>allan.ortizavila@2hourlearning.com</v>
      </c>
      <c r="L5737" s="6" t="str">
        <f>IFERROR(__xludf.DUMMYFUNCTION("""COMPUTED_VALUE"""),"JRHS - Ridgeland Secondary Academy of Excellence")</f>
        <v>JRHS - Ridgeland Secondary Academy of Excellence</v>
      </c>
      <c r="M5737" s="6" t="str">
        <f>IFERROR(__xludf.DUMMYFUNCTION("""COMPUTED_VALUE"""),"")</f>
        <v/>
      </c>
      <c r="N5737" s="6" t="str">
        <f>IFERROR(__xludf.DUMMYFUNCTION("""COMPUTED_VALUE"""),"")</f>
        <v/>
      </c>
      <c r="O5737" s="87" t="str">
        <f>IFERROR(__xludf.DUMMYFUNCTION("""COMPUTED_VALUE"""),"https://drive.google.com/drive/folders/10T2cTQHqEJZqE-st6uFKPoI?usp=share_link")</f>
        <v>https://drive.google.com/drive/folders/10T2cTQHqEJZqE-st6uFKPoI?usp=share_link</v>
      </c>
      <c r="P5737" s="6" t="str">
        <f>IFERROR(__xludf.DUMMYFUNCTION("""COMPUTED_VALUE"""),"Allan Ortiz Avila")</f>
        <v>Allan Ortiz Avila</v>
      </c>
      <c r="Q5737" s="6" t="str">
        <f>IFERROR(__xludf.DUMMYFUNCTION("""COMPUTED_VALUE"""),"MS")</f>
        <v>MS</v>
      </c>
      <c r="R5737" s="6">
        <f>IFERROR(__xludf.DUMMYFUNCTION("""COMPUTED_VALUE"""),0.0)</f>
        <v>0</v>
      </c>
      <c r="S5737" s="6" t="str">
        <f>IFERROR(__xludf.DUMMYFUNCTION("""COMPUTED_VALUE"""),"Kimberly Ball")</f>
        <v>Kimberly Ball</v>
      </c>
      <c r="T5737" s="6" t="str">
        <f>IFERROR(__xludf.DUMMYFUNCTION("""COMPUTED_VALUE"""),"kimberly.ball@studient.com")</f>
        <v>kimberly.ball@studient.com</v>
      </c>
      <c r="U5737" s="6" t="str">
        <f>IFERROR(__xludf.DUMMYFUNCTION("""COMPUTED_VALUE"""),"8")</f>
        <v>8</v>
      </c>
      <c r="V5737" s="6" t="str">
        <f>IFERROR(__xludf.DUMMYFUNCTION("""COMPUTED_VALUE"""),"")</f>
        <v/>
      </c>
      <c r="W5737" s="6" t="str">
        <f>IFERROR(__xludf.DUMMYFUNCTION("""COMPUTED_VALUE"""),"[]")</f>
        <v>[]</v>
      </c>
      <c r="X5737" s="6" t="str">
        <f>IFERROR(__xludf.DUMMYFUNCTION("""COMPUTED_VALUE"""),"Enrolled")</f>
        <v>Enrolled</v>
      </c>
    </row>
    <row r="5738">
      <c r="A5738" s="6" t="str">
        <f>IFERROR(__xludf.DUMMYFUNCTION("""COMPUTED_VALUE"""),"087-12335")</f>
        <v>087-12335</v>
      </c>
      <c r="B5738" s="6" t="str">
        <f>IFERROR(__xludf.DUMMYFUNCTION("""COMPUTED_VALUE"""),"87")</f>
        <v>87</v>
      </c>
      <c r="C5738" s="6" t="str">
        <f>IFERROR(__xludf.DUMMYFUNCTION("""COMPUTED_VALUE"""),"12335")</f>
        <v>12335</v>
      </c>
      <c r="D5738" s="6" t="str">
        <f>IFERROR(__xludf.DUMMYFUNCTION("""COMPUTED_VALUE"""),"Viviana")</f>
        <v>Viviana</v>
      </c>
      <c r="E5738" s="6" t="str">
        <f>IFERROR(__xludf.DUMMYFUNCTION("""COMPUTED_VALUE"""),"")</f>
        <v/>
      </c>
      <c r="F5738" s="6" t="str">
        <f>IFERROR(__xludf.DUMMYFUNCTION("""COMPUTED_VALUE"""),"Osorio Lemus")</f>
        <v>Osorio Lemus</v>
      </c>
      <c r="G5738" s="6" t="str">
        <f>IFERROR(__xludf.DUMMYFUNCTION("""COMPUTED_VALUE"""),"08/03/2011")</f>
        <v>08/03/2011</v>
      </c>
      <c r="H5738" s="6" t="str">
        <f>IFERROR(__xludf.DUMMYFUNCTION("""COMPUTED_VALUE"""),"female")</f>
        <v>female</v>
      </c>
      <c r="I5738" s="6" t="str">
        <f>IFERROR(__xludf.DUMMYFUNCTION("""COMPUTED_VALUE"""),"Middle School")</f>
        <v>Middle School</v>
      </c>
      <c r="J5738" s="6" t="str">
        <f>IFERROR(__xludf.DUMMYFUNCTION("""COMPUTED_VALUE"""),"8")</f>
        <v>8</v>
      </c>
      <c r="K5738" s="6" t="str">
        <f>IFERROR(__xludf.DUMMYFUNCTION("""COMPUTED_VALUE"""),"viviana.osoriolemus@2hourlearning.com")</f>
        <v>viviana.osoriolemus@2hourlearning.com</v>
      </c>
      <c r="L5738" s="6" t="str">
        <f>IFERROR(__xludf.DUMMYFUNCTION("""COMPUTED_VALUE"""),"JRHS - Ridgeland Secondary Academy of Excellence")</f>
        <v>JRHS - Ridgeland Secondary Academy of Excellence</v>
      </c>
      <c r="M5738" s="6" t="str">
        <f>IFERROR(__xludf.DUMMYFUNCTION("""COMPUTED_VALUE"""),"")</f>
        <v/>
      </c>
      <c r="N5738" s="6" t="str">
        <f>IFERROR(__xludf.DUMMYFUNCTION("""COMPUTED_VALUE"""),"")</f>
        <v/>
      </c>
      <c r="O5738" s="87" t="str">
        <f>IFERROR(__xludf.DUMMYFUNCTION("""COMPUTED_VALUE"""),"https://drive.google.com/drive/folders/10T2cTQHqEJZqE-st6uFKPoI?usp=share_link")</f>
        <v>https://drive.google.com/drive/folders/10T2cTQHqEJZqE-st6uFKPoI?usp=share_link</v>
      </c>
      <c r="P5738" s="6" t="str">
        <f>IFERROR(__xludf.DUMMYFUNCTION("""COMPUTED_VALUE"""),"Viviana Osorio Lemus")</f>
        <v>Viviana Osorio Lemus</v>
      </c>
      <c r="Q5738" s="6" t="str">
        <f>IFERROR(__xludf.DUMMYFUNCTION("""COMPUTED_VALUE"""),"MS")</f>
        <v>MS</v>
      </c>
      <c r="R5738" s="6">
        <f>IFERROR(__xludf.DUMMYFUNCTION("""COMPUTED_VALUE"""),0.0)</f>
        <v>0</v>
      </c>
      <c r="S5738" s="6" t="str">
        <f>IFERROR(__xludf.DUMMYFUNCTION("""COMPUTED_VALUE"""),"Kimberly Ball")</f>
        <v>Kimberly Ball</v>
      </c>
      <c r="T5738" s="6" t="str">
        <f>IFERROR(__xludf.DUMMYFUNCTION("""COMPUTED_VALUE"""),"kimberly.ball@studient.com")</f>
        <v>kimberly.ball@studient.com</v>
      </c>
      <c r="U5738" s="6" t="str">
        <f>IFERROR(__xludf.DUMMYFUNCTION("""COMPUTED_VALUE"""),"8")</f>
        <v>8</v>
      </c>
      <c r="V5738" s="6" t="str">
        <f>IFERROR(__xludf.DUMMYFUNCTION("""COMPUTED_VALUE"""),"")</f>
        <v/>
      </c>
      <c r="W5738" s="6" t="str">
        <f>IFERROR(__xludf.DUMMYFUNCTION("""COMPUTED_VALUE"""),"[]")</f>
        <v>[]</v>
      </c>
      <c r="X5738" s="6" t="str">
        <f>IFERROR(__xludf.DUMMYFUNCTION("""COMPUTED_VALUE"""),"Enrolled")</f>
        <v>Enrolled</v>
      </c>
    </row>
    <row r="5739">
      <c r="A5739" s="6" t="str">
        <f>IFERROR(__xludf.DUMMYFUNCTION("""COMPUTED_VALUE"""),"087-12336")</f>
        <v>087-12336</v>
      </c>
      <c r="B5739" s="6" t="str">
        <f>IFERROR(__xludf.DUMMYFUNCTION("""COMPUTED_VALUE"""),"87")</f>
        <v>87</v>
      </c>
      <c r="C5739" s="6" t="str">
        <f>IFERROR(__xludf.DUMMYFUNCTION("""COMPUTED_VALUE"""),"12336")</f>
        <v>12336</v>
      </c>
      <c r="D5739" s="6" t="str">
        <f>IFERROR(__xludf.DUMMYFUNCTION("""COMPUTED_VALUE"""),"Michelle")</f>
        <v>Michelle</v>
      </c>
      <c r="E5739" s="6" t="str">
        <f>IFERROR(__xludf.DUMMYFUNCTION("""COMPUTED_VALUE"""),"")</f>
        <v/>
      </c>
      <c r="F5739" s="6" t="str">
        <f>IFERROR(__xludf.DUMMYFUNCTION("""COMPUTED_VALUE"""),"Osorio-Becerril")</f>
        <v>Osorio-Becerril</v>
      </c>
      <c r="G5739" s="6" t="str">
        <f>IFERROR(__xludf.DUMMYFUNCTION("""COMPUTED_VALUE"""),"02/02/2012")</f>
        <v>02/02/2012</v>
      </c>
      <c r="H5739" s="6" t="str">
        <f>IFERROR(__xludf.DUMMYFUNCTION("""COMPUTED_VALUE"""),"female")</f>
        <v>female</v>
      </c>
      <c r="I5739" s="6" t="str">
        <f>IFERROR(__xludf.DUMMYFUNCTION("""COMPUTED_VALUE"""),"Middle School")</f>
        <v>Middle School</v>
      </c>
      <c r="J5739" s="6" t="str">
        <f>IFERROR(__xludf.DUMMYFUNCTION("""COMPUTED_VALUE"""),"8")</f>
        <v>8</v>
      </c>
      <c r="K5739" s="6" t="str">
        <f>IFERROR(__xludf.DUMMYFUNCTION("""COMPUTED_VALUE"""),"michelle.osorio-becerril@2hourlearning.com")</f>
        <v>michelle.osorio-becerril@2hourlearning.com</v>
      </c>
      <c r="L5739" s="6" t="str">
        <f>IFERROR(__xludf.DUMMYFUNCTION("""COMPUTED_VALUE"""),"JRHS - Ridgeland Secondary Academy of Excellence")</f>
        <v>JRHS - Ridgeland Secondary Academy of Excellence</v>
      </c>
      <c r="M5739" s="6" t="str">
        <f>IFERROR(__xludf.DUMMYFUNCTION("""COMPUTED_VALUE"""),"")</f>
        <v/>
      </c>
      <c r="N5739" s="6" t="str">
        <f>IFERROR(__xludf.DUMMYFUNCTION("""COMPUTED_VALUE"""),"")</f>
        <v/>
      </c>
      <c r="O5739" s="87" t="str">
        <f>IFERROR(__xludf.DUMMYFUNCTION("""COMPUTED_VALUE"""),"https://drive.google.com/drive/folders/10T2cTQHqEJZqE-st6uFKPoI?usp=share_link")</f>
        <v>https://drive.google.com/drive/folders/10T2cTQHqEJZqE-st6uFKPoI?usp=share_link</v>
      </c>
      <c r="P5739" s="6" t="str">
        <f>IFERROR(__xludf.DUMMYFUNCTION("""COMPUTED_VALUE"""),"Michelle Osorio-Becerril")</f>
        <v>Michelle Osorio-Becerril</v>
      </c>
      <c r="Q5739" s="6" t="str">
        <f>IFERROR(__xludf.DUMMYFUNCTION("""COMPUTED_VALUE"""),"MS")</f>
        <v>MS</v>
      </c>
      <c r="R5739" s="6">
        <f>IFERROR(__xludf.DUMMYFUNCTION("""COMPUTED_VALUE"""),0.0)</f>
        <v>0</v>
      </c>
      <c r="S5739" s="6" t="str">
        <f>IFERROR(__xludf.DUMMYFUNCTION("""COMPUTED_VALUE"""),"Kimberly Ball")</f>
        <v>Kimberly Ball</v>
      </c>
      <c r="T5739" s="6" t="str">
        <f>IFERROR(__xludf.DUMMYFUNCTION("""COMPUTED_VALUE"""),"kimberly.ball@studient.com")</f>
        <v>kimberly.ball@studient.com</v>
      </c>
      <c r="U5739" s="6" t="str">
        <f>IFERROR(__xludf.DUMMYFUNCTION("""COMPUTED_VALUE"""),"8")</f>
        <v>8</v>
      </c>
      <c r="V5739" s="6" t="str">
        <f>IFERROR(__xludf.DUMMYFUNCTION("""COMPUTED_VALUE"""),"")</f>
        <v/>
      </c>
      <c r="W5739" s="6" t="str">
        <f>IFERROR(__xludf.DUMMYFUNCTION("""COMPUTED_VALUE"""),"[]")</f>
        <v>[]</v>
      </c>
      <c r="X5739" s="6" t="str">
        <f>IFERROR(__xludf.DUMMYFUNCTION("""COMPUTED_VALUE"""),"Enrolled")</f>
        <v>Enrolled</v>
      </c>
    </row>
    <row r="5740">
      <c r="A5740" s="6" t="str">
        <f>IFERROR(__xludf.DUMMYFUNCTION("""COMPUTED_VALUE"""),"087-12337")</f>
        <v>087-12337</v>
      </c>
      <c r="B5740" s="6" t="str">
        <f>IFERROR(__xludf.DUMMYFUNCTION("""COMPUTED_VALUE"""),"87")</f>
        <v>87</v>
      </c>
      <c r="C5740" s="6" t="str">
        <f>IFERROR(__xludf.DUMMYFUNCTION("""COMPUTED_VALUE"""),"12337")</f>
        <v>12337</v>
      </c>
      <c r="D5740" s="6" t="str">
        <f>IFERROR(__xludf.DUMMYFUNCTION("""COMPUTED_VALUE"""),"Roderick")</f>
        <v>Roderick</v>
      </c>
      <c r="E5740" s="6" t="str">
        <f>IFERROR(__xludf.DUMMYFUNCTION("""COMPUTED_VALUE"""),"")</f>
        <v/>
      </c>
      <c r="F5740" s="6" t="str">
        <f>IFERROR(__xludf.DUMMYFUNCTION("""COMPUTED_VALUE"""),"Ovando-Santos")</f>
        <v>Ovando-Santos</v>
      </c>
      <c r="G5740" s="6" t="str">
        <f>IFERROR(__xludf.DUMMYFUNCTION("""COMPUTED_VALUE"""),"10/23/2012")</f>
        <v>10/23/2012</v>
      </c>
      <c r="H5740" s="6" t="str">
        <f>IFERROR(__xludf.DUMMYFUNCTION("""COMPUTED_VALUE"""),"male")</f>
        <v>male</v>
      </c>
      <c r="I5740" s="6" t="str">
        <f>IFERROR(__xludf.DUMMYFUNCTION("""COMPUTED_VALUE"""),"Middle School")</f>
        <v>Middle School</v>
      </c>
      <c r="J5740" s="6" t="str">
        <f>IFERROR(__xludf.DUMMYFUNCTION("""COMPUTED_VALUE"""),"7")</f>
        <v>7</v>
      </c>
      <c r="K5740" s="6" t="str">
        <f>IFERROR(__xludf.DUMMYFUNCTION("""COMPUTED_VALUE"""),"roderick.ovando-santos@2hourlearning.com")</f>
        <v>roderick.ovando-santos@2hourlearning.com</v>
      </c>
      <c r="L5740" s="6" t="str">
        <f>IFERROR(__xludf.DUMMYFUNCTION("""COMPUTED_VALUE"""),"JRHS - Ridgeland Secondary Academy of Excellence")</f>
        <v>JRHS - Ridgeland Secondary Academy of Excellence</v>
      </c>
      <c r="M5740" s="6" t="str">
        <f>IFERROR(__xludf.DUMMYFUNCTION("""COMPUTED_VALUE"""),"")</f>
        <v/>
      </c>
      <c r="N5740" s="6" t="str">
        <f>IFERROR(__xludf.DUMMYFUNCTION("""COMPUTED_VALUE"""),"")</f>
        <v/>
      </c>
      <c r="O5740" s="87" t="str">
        <f>IFERROR(__xludf.DUMMYFUNCTION("""COMPUTED_VALUE"""),"https://drive.google.com/drive/folders/10T2cTQHqEJZqE-st6uFKPoI?usp=share_link")</f>
        <v>https://drive.google.com/drive/folders/10T2cTQHqEJZqE-st6uFKPoI?usp=share_link</v>
      </c>
      <c r="P5740" s="6" t="str">
        <f>IFERROR(__xludf.DUMMYFUNCTION("""COMPUTED_VALUE"""),"Roderick Ovando-Santos")</f>
        <v>Roderick Ovando-Santos</v>
      </c>
      <c r="Q5740" s="6" t="str">
        <f>IFERROR(__xludf.DUMMYFUNCTION("""COMPUTED_VALUE"""),"MS")</f>
        <v>MS</v>
      </c>
      <c r="R5740" s="6">
        <f>IFERROR(__xludf.DUMMYFUNCTION("""COMPUTED_VALUE"""),0.0)</f>
        <v>0</v>
      </c>
      <c r="S5740" s="6" t="str">
        <f>IFERROR(__xludf.DUMMYFUNCTION("""COMPUTED_VALUE"""),"Kimberly Ball")</f>
        <v>Kimberly Ball</v>
      </c>
      <c r="T5740" s="6" t="str">
        <f>IFERROR(__xludf.DUMMYFUNCTION("""COMPUTED_VALUE"""),"kimberly.ball@studient.com")</f>
        <v>kimberly.ball@studient.com</v>
      </c>
      <c r="U5740" s="6" t="str">
        <f>IFERROR(__xludf.DUMMYFUNCTION("""COMPUTED_VALUE"""),"7")</f>
        <v>7</v>
      </c>
      <c r="V5740" s="6" t="str">
        <f>IFERROR(__xludf.DUMMYFUNCTION("""COMPUTED_VALUE"""),"")</f>
        <v/>
      </c>
      <c r="W5740" s="6" t="str">
        <f>IFERROR(__xludf.DUMMYFUNCTION("""COMPUTED_VALUE"""),"[]")</f>
        <v>[]</v>
      </c>
      <c r="X5740" s="6" t="str">
        <f>IFERROR(__xludf.DUMMYFUNCTION("""COMPUTED_VALUE"""),"Enrolled")</f>
        <v>Enrolled</v>
      </c>
    </row>
    <row r="5741">
      <c r="A5741" s="6" t="str">
        <f>IFERROR(__xludf.DUMMYFUNCTION("""COMPUTED_VALUE"""),"087-12338")</f>
        <v>087-12338</v>
      </c>
      <c r="B5741" s="6" t="str">
        <f>IFERROR(__xludf.DUMMYFUNCTION("""COMPUTED_VALUE"""),"87")</f>
        <v>87</v>
      </c>
      <c r="C5741" s="6" t="str">
        <f>IFERROR(__xludf.DUMMYFUNCTION("""COMPUTED_VALUE"""),"12338")</f>
        <v>12338</v>
      </c>
      <c r="D5741" s="6" t="str">
        <f>IFERROR(__xludf.DUMMYFUNCTION("""COMPUTED_VALUE"""),"Yeison")</f>
        <v>Yeison</v>
      </c>
      <c r="E5741" s="6" t="str">
        <f>IFERROR(__xludf.DUMMYFUNCTION("""COMPUTED_VALUE"""),"")</f>
        <v/>
      </c>
      <c r="F5741" s="6" t="str">
        <f>IFERROR(__xludf.DUMMYFUNCTION("""COMPUTED_VALUE"""),"Palacios Mejia")</f>
        <v>Palacios Mejia</v>
      </c>
      <c r="G5741" s="6" t="str">
        <f>IFERROR(__xludf.DUMMYFUNCTION("""COMPUTED_VALUE"""),"02/18/2011")</f>
        <v>02/18/2011</v>
      </c>
      <c r="H5741" s="6" t="str">
        <f>IFERROR(__xludf.DUMMYFUNCTION("""COMPUTED_VALUE"""),"male")</f>
        <v>male</v>
      </c>
      <c r="I5741" s="6" t="str">
        <f>IFERROR(__xludf.DUMMYFUNCTION("""COMPUTED_VALUE"""),"Middle School")</f>
        <v>Middle School</v>
      </c>
      <c r="J5741" s="6" t="str">
        <f>IFERROR(__xludf.DUMMYFUNCTION("""COMPUTED_VALUE"""),"8")</f>
        <v>8</v>
      </c>
      <c r="K5741" s="6" t="str">
        <f>IFERROR(__xludf.DUMMYFUNCTION("""COMPUTED_VALUE"""),"yeison.palaciosmejia@2hourlearning.com")</f>
        <v>yeison.palaciosmejia@2hourlearning.com</v>
      </c>
      <c r="L5741" s="6" t="str">
        <f>IFERROR(__xludf.DUMMYFUNCTION("""COMPUTED_VALUE"""),"JRHS - Ridgeland Secondary Academy of Excellence")</f>
        <v>JRHS - Ridgeland Secondary Academy of Excellence</v>
      </c>
      <c r="M5741" s="6" t="str">
        <f>IFERROR(__xludf.DUMMYFUNCTION("""COMPUTED_VALUE"""),"")</f>
        <v/>
      </c>
      <c r="N5741" s="6" t="str">
        <f>IFERROR(__xludf.DUMMYFUNCTION("""COMPUTED_VALUE"""),"")</f>
        <v/>
      </c>
      <c r="O5741" s="87" t="str">
        <f>IFERROR(__xludf.DUMMYFUNCTION("""COMPUTED_VALUE"""),"https://drive.google.com/drive/folders/10T2cTQHqEJZqE-st6uFKPoI?usp=share_link")</f>
        <v>https://drive.google.com/drive/folders/10T2cTQHqEJZqE-st6uFKPoI?usp=share_link</v>
      </c>
      <c r="P5741" s="6" t="str">
        <f>IFERROR(__xludf.DUMMYFUNCTION("""COMPUTED_VALUE"""),"Yeison Palacios Mejia")</f>
        <v>Yeison Palacios Mejia</v>
      </c>
      <c r="Q5741" s="6" t="str">
        <f>IFERROR(__xludf.DUMMYFUNCTION("""COMPUTED_VALUE"""),"MS")</f>
        <v>MS</v>
      </c>
      <c r="R5741" s="6">
        <f>IFERROR(__xludf.DUMMYFUNCTION("""COMPUTED_VALUE"""),0.0)</f>
        <v>0</v>
      </c>
      <c r="S5741" s="6" t="str">
        <f>IFERROR(__xludf.DUMMYFUNCTION("""COMPUTED_VALUE"""),"Kimberly Ball")</f>
        <v>Kimberly Ball</v>
      </c>
      <c r="T5741" s="6" t="str">
        <f>IFERROR(__xludf.DUMMYFUNCTION("""COMPUTED_VALUE"""),"kimberly.ball@studient.com")</f>
        <v>kimberly.ball@studient.com</v>
      </c>
      <c r="U5741" s="6" t="str">
        <f>IFERROR(__xludf.DUMMYFUNCTION("""COMPUTED_VALUE"""),"8")</f>
        <v>8</v>
      </c>
      <c r="V5741" s="6" t="str">
        <f>IFERROR(__xludf.DUMMYFUNCTION("""COMPUTED_VALUE"""),"")</f>
        <v/>
      </c>
      <c r="W5741" s="6" t="str">
        <f>IFERROR(__xludf.DUMMYFUNCTION("""COMPUTED_VALUE"""),"[]")</f>
        <v>[]</v>
      </c>
      <c r="X5741" s="6" t="str">
        <f>IFERROR(__xludf.DUMMYFUNCTION("""COMPUTED_VALUE"""),"Enrolled")</f>
        <v>Enrolled</v>
      </c>
    </row>
    <row r="5742">
      <c r="A5742" s="6" t="str">
        <f>IFERROR(__xludf.DUMMYFUNCTION("""COMPUTED_VALUE"""),"087-12339")</f>
        <v>087-12339</v>
      </c>
      <c r="B5742" s="6" t="str">
        <f>IFERROR(__xludf.DUMMYFUNCTION("""COMPUTED_VALUE"""),"87")</f>
        <v>87</v>
      </c>
      <c r="C5742" s="6" t="str">
        <f>IFERROR(__xludf.DUMMYFUNCTION("""COMPUTED_VALUE"""),"12339")</f>
        <v>12339</v>
      </c>
      <c r="D5742" s="6" t="str">
        <f>IFERROR(__xludf.DUMMYFUNCTION("""COMPUTED_VALUE"""),"Hetvi")</f>
        <v>Hetvi</v>
      </c>
      <c r="E5742" s="6" t="str">
        <f>IFERROR(__xludf.DUMMYFUNCTION("""COMPUTED_VALUE"""),"")</f>
        <v/>
      </c>
      <c r="F5742" s="6" t="str">
        <f>IFERROR(__xludf.DUMMYFUNCTION("""COMPUTED_VALUE"""),"Patel")</f>
        <v>Patel</v>
      </c>
      <c r="G5742" s="6" t="str">
        <f>IFERROR(__xludf.DUMMYFUNCTION("""COMPUTED_VALUE"""),"01/27/2013")</f>
        <v>01/27/2013</v>
      </c>
      <c r="H5742" s="6" t="str">
        <f>IFERROR(__xludf.DUMMYFUNCTION("""COMPUTED_VALUE"""),"female")</f>
        <v>female</v>
      </c>
      <c r="I5742" s="6" t="str">
        <f>IFERROR(__xludf.DUMMYFUNCTION("""COMPUTED_VALUE"""),"Middle School")</f>
        <v>Middle School</v>
      </c>
      <c r="J5742" s="6" t="str">
        <f>IFERROR(__xludf.DUMMYFUNCTION("""COMPUTED_VALUE"""),"7")</f>
        <v>7</v>
      </c>
      <c r="K5742" s="6" t="str">
        <f>IFERROR(__xludf.DUMMYFUNCTION("""COMPUTED_VALUE"""),"hetvi.patel@2hourlearning.com")</f>
        <v>hetvi.patel@2hourlearning.com</v>
      </c>
      <c r="L5742" s="6" t="str">
        <f>IFERROR(__xludf.DUMMYFUNCTION("""COMPUTED_VALUE"""),"JRHS - Ridgeland Secondary Academy of Excellence")</f>
        <v>JRHS - Ridgeland Secondary Academy of Excellence</v>
      </c>
      <c r="M5742" s="6" t="str">
        <f>IFERROR(__xludf.DUMMYFUNCTION("""COMPUTED_VALUE"""),"")</f>
        <v/>
      </c>
      <c r="N5742" s="6" t="str">
        <f>IFERROR(__xludf.DUMMYFUNCTION("""COMPUTED_VALUE"""),"")</f>
        <v/>
      </c>
      <c r="O5742" s="87" t="str">
        <f>IFERROR(__xludf.DUMMYFUNCTION("""COMPUTED_VALUE"""),"https://drive.google.com/drive/folders/10T2cTQHqEJZqE-st6uFKPoI?usp=share_link")</f>
        <v>https://drive.google.com/drive/folders/10T2cTQHqEJZqE-st6uFKPoI?usp=share_link</v>
      </c>
      <c r="P5742" s="6" t="str">
        <f>IFERROR(__xludf.DUMMYFUNCTION("""COMPUTED_VALUE"""),"Hetvi Patel")</f>
        <v>Hetvi Patel</v>
      </c>
      <c r="Q5742" s="6" t="str">
        <f>IFERROR(__xludf.DUMMYFUNCTION("""COMPUTED_VALUE"""),"MS")</f>
        <v>MS</v>
      </c>
      <c r="R5742" s="6">
        <f>IFERROR(__xludf.DUMMYFUNCTION("""COMPUTED_VALUE"""),0.0)</f>
        <v>0</v>
      </c>
      <c r="S5742" s="6" t="str">
        <f>IFERROR(__xludf.DUMMYFUNCTION("""COMPUTED_VALUE"""),"Kimberly Ball")</f>
        <v>Kimberly Ball</v>
      </c>
      <c r="T5742" s="6" t="str">
        <f>IFERROR(__xludf.DUMMYFUNCTION("""COMPUTED_VALUE"""),"kimberly.ball@studient.com")</f>
        <v>kimberly.ball@studient.com</v>
      </c>
      <c r="U5742" s="6" t="str">
        <f>IFERROR(__xludf.DUMMYFUNCTION("""COMPUTED_VALUE"""),"7")</f>
        <v>7</v>
      </c>
      <c r="V5742" s="6" t="str">
        <f>IFERROR(__xludf.DUMMYFUNCTION("""COMPUTED_VALUE"""),"")</f>
        <v/>
      </c>
      <c r="W5742" s="6" t="str">
        <f>IFERROR(__xludf.DUMMYFUNCTION("""COMPUTED_VALUE"""),"[]")</f>
        <v>[]</v>
      </c>
      <c r="X5742" s="6" t="str">
        <f>IFERROR(__xludf.DUMMYFUNCTION("""COMPUTED_VALUE"""),"Enrolled")</f>
        <v>Enrolled</v>
      </c>
    </row>
    <row r="5743">
      <c r="A5743" s="6" t="str">
        <f>IFERROR(__xludf.DUMMYFUNCTION("""COMPUTED_VALUE"""),"087-12340")</f>
        <v>087-12340</v>
      </c>
      <c r="B5743" s="6" t="str">
        <f>IFERROR(__xludf.DUMMYFUNCTION("""COMPUTED_VALUE"""),"87")</f>
        <v>87</v>
      </c>
      <c r="C5743" s="6" t="str">
        <f>IFERROR(__xludf.DUMMYFUNCTION("""COMPUTED_VALUE"""),"12340")</f>
        <v>12340</v>
      </c>
      <c r="D5743" s="6" t="str">
        <f>IFERROR(__xludf.DUMMYFUNCTION("""COMPUTED_VALUE"""),"Natalia")</f>
        <v>Natalia</v>
      </c>
      <c r="E5743" s="6" t="str">
        <f>IFERROR(__xludf.DUMMYFUNCTION("""COMPUTED_VALUE"""),"")</f>
        <v/>
      </c>
      <c r="F5743" s="6" t="str">
        <f>IFERROR(__xludf.DUMMYFUNCTION("""COMPUTED_VALUE"""),"Perry")</f>
        <v>Perry</v>
      </c>
      <c r="G5743" s="6" t="str">
        <f>IFERROR(__xludf.DUMMYFUNCTION("""COMPUTED_VALUE"""),"09/04/2011")</f>
        <v>09/04/2011</v>
      </c>
      <c r="H5743" s="6" t="str">
        <f>IFERROR(__xludf.DUMMYFUNCTION("""COMPUTED_VALUE"""),"female")</f>
        <v>female</v>
      </c>
      <c r="I5743" s="6" t="str">
        <f>IFERROR(__xludf.DUMMYFUNCTION("""COMPUTED_VALUE"""),"Middle School")</f>
        <v>Middle School</v>
      </c>
      <c r="J5743" s="6" t="str">
        <f>IFERROR(__xludf.DUMMYFUNCTION("""COMPUTED_VALUE"""),"7")</f>
        <v>7</v>
      </c>
      <c r="K5743" s="6" t="str">
        <f>IFERROR(__xludf.DUMMYFUNCTION("""COMPUTED_VALUE"""),"natalia.perry@2hourlearning.com")</f>
        <v>natalia.perry@2hourlearning.com</v>
      </c>
      <c r="L5743" s="6" t="str">
        <f>IFERROR(__xludf.DUMMYFUNCTION("""COMPUTED_VALUE"""),"JRHS - Ridgeland Secondary Academy of Excellence")</f>
        <v>JRHS - Ridgeland Secondary Academy of Excellence</v>
      </c>
      <c r="M5743" s="6" t="str">
        <f>IFERROR(__xludf.DUMMYFUNCTION("""COMPUTED_VALUE"""),"")</f>
        <v/>
      </c>
      <c r="N5743" s="6" t="str">
        <f>IFERROR(__xludf.DUMMYFUNCTION("""COMPUTED_VALUE"""),"")</f>
        <v/>
      </c>
      <c r="O5743" s="87" t="str">
        <f>IFERROR(__xludf.DUMMYFUNCTION("""COMPUTED_VALUE"""),"https://drive.google.com/drive/folders/10T2cTQHqEJZqE-st6uFKPoI?usp=share_link")</f>
        <v>https://drive.google.com/drive/folders/10T2cTQHqEJZqE-st6uFKPoI?usp=share_link</v>
      </c>
      <c r="P5743" s="6" t="str">
        <f>IFERROR(__xludf.DUMMYFUNCTION("""COMPUTED_VALUE"""),"Natalia Perry")</f>
        <v>Natalia Perry</v>
      </c>
      <c r="Q5743" s="6" t="str">
        <f>IFERROR(__xludf.DUMMYFUNCTION("""COMPUTED_VALUE"""),"MS")</f>
        <v>MS</v>
      </c>
      <c r="R5743" s="6">
        <f>IFERROR(__xludf.DUMMYFUNCTION("""COMPUTED_VALUE"""),0.0)</f>
        <v>0</v>
      </c>
      <c r="S5743" s="6" t="str">
        <f>IFERROR(__xludf.DUMMYFUNCTION("""COMPUTED_VALUE"""),"Kimberly Ball")</f>
        <v>Kimberly Ball</v>
      </c>
      <c r="T5743" s="6" t="str">
        <f>IFERROR(__xludf.DUMMYFUNCTION("""COMPUTED_VALUE"""),"kimberly.ball@studient.com")</f>
        <v>kimberly.ball@studient.com</v>
      </c>
      <c r="U5743" s="6" t="str">
        <f>IFERROR(__xludf.DUMMYFUNCTION("""COMPUTED_VALUE"""),"7")</f>
        <v>7</v>
      </c>
      <c r="V5743" s="6" t="str">
        <f>IFERROR(__xludf.DUMMYFUNCTION("""COMPUTED_VALUE"""),"")</f>
        <v/>
      </c>
      <c r="W5743" s="6" t="str">
        <f>IFERROR(__xludf.DUMMYFUNCTION("""COMPUTED_VALUE"""),"[]")</f>
        <v>[]</v>
      </c>
      <c r="X5743" s="6" t="str">
        <f>IFERROR(__xludf.DUMMYFUNCTION("""COMPUTED_VALUE"""),"Enrolled")</f>
        <v>Enrolled</v>
      </c>
    </row>
    <row r="5744">
      <c r="A5744" s="6" t="str">
        <f>IFERROR(__xludf.DUMMYFUNCTION("""COMPUTED_VALUE"""),"087-12341")</f>
        <v>087-12341</v>
      </c>
      <c r="B5744" s="6" t="str">
        <f>IFERROR(__xludf.DUMMYFUNCTION("""COMPUTED_VALUE"""),"87")</f>
        <v>87</v>
      </c>
      <c r="C5744" s="6" t="str">
        <f>IFERROR(__xludf.DUMMYFUNCTION("""COMPUTED_VALUE"""),"12341")</f>
        <v>12341</v>
      </c>
      <c r="D5744" s="6" t="str">
        <f>IFERROR(__xludf.DUMMYFUNCTION("""COMPUTED_VALUE"""),"Ja'Liyah")</f>
        <v>Ja'Liyah</v>
      </c>
      <c r="E5744" s="6" t="str">
        <f>IFERROR(__xludf.DUMMYFUNCTION("""COMPUTED_VALUE"""),"")</f>
        <v/>
      </c>
      <c r="F5744" s="6" t="str">
        <f>IFERROR(__xludf.DUMMYFUNCTION("""COMPUTED_VALUE"""),"Pierce")</f>
        <v>Pierce</v>
      </c>
      <c r="G5744" s="6" t="str">
        <f>IFERROR(__xludf.DUMMYFUNCTION("""COMPUTED_VALUE"""),"09/19/2012")</f>
        <v>09/19/2012</v>
      </c>
      <c r="H5744" s="6" t="str">
        <f>IFERROR(__xludf.DUMMYFUNCTION("""COMPUTED_VALUE"""),"female")</f>
        <v>female</v>
      </c>
      <c r="I5744" s="6" t="str">
        <f>IFERROR(__xludf.DUMMYFUNCTION("""COMPUTED_VALUE"""),"Middle School")</f>
        <v>Middle School</v>
      </c>
      <c r="J5744" s="6" t="str">
        <f>IFERROR(__xludf.DUMMYFUNCTION("""COMPUTED_VALUE"""),"6")</f>
        <v>6</v>
      </c>
      <c r="K5744" s="6" t="str">
        <f>IFERROR(__xludf.DUMMYFUNCTION("""COMPUTED_VALUE"""),"jaliyah.pierce@2hourlearning.com")</f>
        <v>jaliyah.pierce@2hourlearning.com</v>
      </c>
      <c r="L5744" s="6" t="str">
        <f>IFERROR(__xludf.DUMMYFUNCTION("""COMPUTED_VALUE"""),"JRHS - Ridgeland Secondary Academy of Excellence")</f>
        <v>JRHS - Ridgeland Secondary Academy of Excellence</v>
      </c>
      <c r="M5744" s="6" t="str">
        <f>IFERROR(__xludf.DUMMYFUNCTION("""COMPUTED_VALUE"""),"")</f>
        <v/>
      </c>
      <c r="N5744" s="6" t="str">
        <f>IFERROR(__xludf.DUMMYFUNCTION("""COMPUTED_VALUE"""),"")</f>
        <v/>
      </c>
      <c r="O5744" s="87" t="str">
        <f>IFERROR(__xludf.DUMMYFUNCTION("""COMPUTED_VALUE"""),"https://drive.google.com/drive/folders/10T2cTQHqEJZqE-st6uFKPoI?usp=share_link")</f>
        <v>https://drive.google.com/drive/folders/10T2cTQHqEJZqE-st6uFKPoI?usp=share_link</v>
      </c>
      <c r="P5744" s="6" t="str">
        <f>IFERROR(__xludf.DUMMYFUNCTION("""COMPUTED_VALUE"""),"Ja'Liyah Pierce")</f>
        <v>Ja'Liyah Pierce</v>
      </c>
      <c r="Q5744" s="6" t="str">
        <f>IFERROR(__xludf.DUMMYFUNCTION("""COMPUTED_VALUE"""),"MS")</f>
        <v>MS</v>
      </c>
      <c r="R5744" s="6">
        <f>IFERROR(__xludf.DUMMYFUNCTION("""COMPUTED_VALUE"""),0.0)</f>
        <v>0</v>
      </c>
      <c r="S5744" s="6" t="str">
        <f>IFERROR(__xludf.DUMMYFUNCTION("""COMPUTED_VALUE"""),"Kimberly Ball")</f>
        <v>Kimberly Ball</v>
      </c>
      <c r="T5744" s="6" t="str">
        <f>IFERROR(__xludf.DUMMYFUNCTION("""COMPUTED_VALUE"""),"kimberly.ball@studient.com")</f>
        <v>kimberly.ball@studient.com</v>
      </c>
      <c r="U5744" s="6" t="str">
        <f>IFERROR(__xludf.DUMMYFUNCTION("""COMPUTED_VALUE"""),"6")</f>
        <v>6</v>
      </c>
      <c r="V5744" s="6" t="str">
        <f>IFERROR(__xludf.DUMMYFUNCTION("""COMPUTED_VALUE"""),"")</f>
        <v/>
      </c>
      <c r="W5744" s="6" t="str">
        <f>IFERROR(__xludf.DUMMYFUNCTION("""COMPUTED_VALUE"""),"[]")</f>
        <v>[]</v>
      </c>
      <c r="X5744" s="6" t="str">
        <f>IFERROR(__xludf.DUMMYFUNCTION("""COMPUTED_VALUE"""),"Enrolled")</f>
        <v>Enrolled</v>
      </c>
    </row>
    <row r="5745">
      <c r="A5745" s="6" t="str">
        <f>IFERROR(__xludf.DUMMYFUNCTION("""COMPUTED_VALUE"""),"087-12342")</f>
        <v>087-12342</v>
      </c>
      <c r="B5745" s="6" t="str">
        <f>IFERROR(__xludf.DUMMYFUNCTION("""COMPUTED_VALUE"""),"87")</f>
        <v>87</v>
      </c>
      <c r="C5745" s="6" t="str">
        <f>IFERROR(__xludf.DUMMYFUNCTION("""COMPUTED_VALUE"""),"12342")</f>
        <v>12342</v>
      </c>
      <c r="D5745" s="6" t="str">
        <f>IFERROR(__xludf.DUMMYFUNCTION("""COMPUTED_VALUE"""),"Ariel")</f>
        <v>Ariel</v>
      </c>
      <c r="E5745" s="6" t="str">
        <f>IFERROR(__xludf.DUMMYFUNCTION("""COMPUTED_VALUE"""),"")</f>
        <v/>
      </c>
      <c r="F5745" s="6" t="str">
        <f>IFERROR(__xludf.DUMMYFUNCTION("""COMPUTED_VALUE"""),"Pinckney")</f>
        <v>Pinckney</v>
      </c>
      <c r="G5745" s="6" t="str">
        <f>IFERROR(__xludf.DUMMYFUNCTION("""COMPUTED_VALUE"""),"02/06/2012")</f>
        <v>02/06/2012</v>
      </c>
      <c r="H5745" s="6" t="str">
        <f>IFERROR(__xludf.DUMMYFUNCTION("""COMPUTED_VALUE"""),"female")</f>
        <v>female</v>
      </c>
      <c r="I5745" s="6" t="str">
        <f>IFERROR(__xludf.DUMMYFUNCTION("""COMPUTED_VALUE"""),"Middle School")</f>
        <v>Middle School</v>
      </c>
      <c r="J5745" s="6" t="str">
        <f>IFERROR(__xludf.DUMMYFUNCTION("""COMPUTED_VALUE"""),"8")</f>
        <v>8</v>
      </c>
      <c r="K5745" s="6" t="str">
        <f>IFERROR(__xludf.DUMMYFUNCTION("""COMPUTED_VALUE"""),"ariel.pinckney@2hourlearning.com")</f>
        <v>ariel.pinckney@2hourlearning.com</v>
      </c>
      <c r="L5745" s="6" t="str">
        <f>IFERROR(__xludf.DUMMYFUNCTION("""COMPUTED_VALUE"""),"JRHS - Ridgeland Secondary Academy of Excellence")</f>
        <v>JRHS - Ridgeland Secondary Academy of Excellence</v>
      </c>
      <c r="M5745" s="6" t="str">
        <f>IFERROR(__xludf.DUMMYFUNCTION("""COMPUTED_VALUE"""),"")</f>
        <v/>
      </c>
      <c r="N5745" s="6" t="str">
        <f>IFERROR(__xludf.DUMMYFUNCTION("""COMPUTED_VALUE"""),"")</f>
        <v/>
      </c>
      <c r="O5745" s="87" t="str">
        <f>IFERROR(__xludf.DUMMYFUNCTION("""COMPUTED_VALUE"""),"https://drive.google.com/drive/folders/10T2cTQHqEJZqE-st6uFKPoI?usp=share_link")</f>
        <v>https://drive.google.com/drive/folders/10T2cTQHqEJZqE-st6uFKPoI?usp=share_link</v>
      </c>
      <c r="P5745" s="6" t="str">
        <f>IFERROR(__xludf.DUMMYFUNCTION("""COMPUTED_VALUE"""),"Ariel Pinckney")</f>
        <v>Ariel Pinckney</v>
      </c>
      <c r="Q5745" s="6" t="str">
        <f>IFERROR(__xludf.DUMMYFUNCTION("""COMPUTED_VALUE"""),"MS")</f>
        <v>MS</v>
      </c>
      <c r="R5745" s="6">
        <f>IFERROR(__xludf.DUMMYFUNCTION("""COMPUTED_VALUE"""),0.0)</f>
        <v>0</v>
      </c>
      <c r="S5745" s="6" t="str">
        <f>IFERROR(__xludf.DUMMYFUNCTION("""COMPUTED_VALUE"""),"Kimberly Ball")</f>
        <v>Kimberly Ball</v>
      </c>
      <c r="T5745" s="6" t="str">
        <f>IFERROR(__xludf.DUMMYFUNCTION("""COMPUTED_VALUE"""),"kimberly.ball@studient.com")</f>
        <v>kimberly.ball@studient.com</v>
      </c>
      <c r="U5745" s="6" t="str">
        <f>IFERROR(__xludf.DUMMYFUNCTION("""COMPUTED_VALUE"""),"8")</f>
        <v>8</v>
      </c>
      <c r="V5745" s="6" t="str">
        <f>IFERROR(__xludf.DUMMYFUNCTION("""COMPUTED_VALUE"""),"")</f>
        <v/>
      </c>
      <c r="W5745" s="6" t="str">
        <f>IFERROR(__xludf.DUMMYFUNCTION("""COMPUTED_VALUE"""),"[]")</f>
        <v>[]</v>
      </c>
      <c r="X5745" s="6" t="str">
        <f>IFERROR(__xludf.DUMMYFUNCTION("""COMPUTED_VALUE"""),"Enrolled")</f>
        <v>Enrolled</v>
      </c>
    </row>
    <row r="5746">
      <c r="A5746" s="6" t="str">
        <f>IFERROR(__xludf.DUMMYFUNCTION("""COMPUTED_VALUE"""),"087-12343")</f>
        <v>087-12343</v>
      </c>
      <c r="B5746" s="6" t="str">
        <f>IFERROR(__xludf.DUMMYFUNCTION("""COMPUTED_VALUE"""),"87")</f>
        <v>87</v>
      </c>
      <c r="C5746" s="6" t="str">
        <f>IFERROR(__xludf.DUMMYFUNCTION("""COMPUTED_VALUE"""),"12343")</f>
        <v>12343</v>
      </c>
      <c r="D5746" s="6" t="str">
        <f>IFERROR(__xludf.DUMMYFUNCTION("""COMPUTED_VALUE"""),"Da'Mairius")</f>
        <v>Da'Mairius</v>
      </c>
      <c r="E5746" s="6" t="str">
        <f>IFERROR(__xludf.DUMMYFUNCTION("""COMPUTED_VALUE"""),"")</f>
        <v/>
      </c>
      <c r="F5746" s="6" t="str">
        <f>IFERROR(__xludf.DUMMYFUNCTION("""COMPUTED_VALUE"""),"Pinckney")</f>
        <v>Pinckney</v>
      </c>
      <c r="G5746" s="6" t="str">
        <f>IFERROR(__xludf.DUMMYFUNCTION("""COMPUTED_VALUE"""),"01/17/2013")</f>
        <v>01/17/2013</v>
      </c>
      <c r="H5746" s="6" t="str">
        <f>IFERROR(__xludf.DUMMYFUNCTION("""COMPUTED_VALUE"""),"male")</f>
        <v>male</v>
      </c>
      <c r="I5746" s="6" t="str">
        <f>IFERROR(__xludf.DUMMYFUNCTION("""COMPUTED_VALUE"""),"Middle School")</f>
        <v>Middle School</v>
      </c>
      <c r="J5746" s="6" t="str">
        <f>IFERROR(__xludf.DUMMYFUNCTION("""COMPUTED_VALUE"""),"7")</f>
        <v>7</v>
      </c>
      <c r="K5746" s="6" t="str">
        <f>IFERROR(__xludf.DUMMYFUNCTION("""COMPUTED_VALUE"""),"damairius.pinckney@2hourlearning.com")</f>
        <v>damairius.pinckney@2hourlearning.com</v>
      </c>
      <c r="L5746" s="6" t="str">
        <f>IFERROR(__xludf.DUMMYFUNCTION("""COMPUTED_VALUE"""),"JRHS - Ridgeland Secondary Academy of Excellence")</f>
        <v>JRHS - Ridgeland Secondary Academy of Excellence</v>
      </c>
      <c r="M5746" s="6" t="str">
        <f>IFERROR(__xludf.DUMMYFUNCTION("""COMPUTED_VALUE"""),"")</f>
        <v/>
      </c>
      <c r="N5746" s="6" t="str">
        <f>IFERROR(__xludf.DUMMYFUNCTION("""COMPUTED_VALUE"""),"")</f>
        <v/>
      </c>
      <c r="O5746" s="87" t="str">
        <f>IFERROR(__xludf.DUMMYFUNCTION("""COMPUTED_VALUE"""),"https://drive.google.com/drive/folders/10T2cTQHqEJZqE-st6uFKPoI?usp=share_link")</f>
        <v>https://drive.google.com/drive/folders/10T2cTQHqEJZqE-st6uFKPoI?usp=share_link</v>
      </c>
      <c r="P5746" s="6" t="str">
        <f>IFERROR(__xludf.DUMMYFUNCTION("""COMPUTED_VALUE"""),"Da'Mairius Pinckney")</f>
        <v>Da'Mairius Pinckney</v>
      </c>
      <c r="Q5746" s="6" t="str">
        <f>IFERROR(__xludf.DUMMYFUNCTION("""COMPUTED_VALUE"""),"MS")</f>
        <v>MS</v>
      </c>
      <c r="R5746" s="6">
        <f>IFERROR(__xludf.DUMMYFUNCTION("""COMPUTED_VALUE"""),0.0)</f>
        <v>0</v>
      </c>
      <c r="S5746" s="6" t="str">
        <f>IFERROR(__xludf.DUMMYFUNCTION("""COMPUTED_VALUE"""),"Kimberly Ball")</f>
        <v>Kimberly Ball</v>
      </c>
      <c r="T5746" s="6" t="str">
        <f>IFERROR(__xludf.DUMMYFUNCTION("""COMPUTED_VALUE"""),"kimberly.ball@studient.com")</f>
        <v>kimberly.ball@studient.com</v>
      </c>
      <c r="U5746" s="6" t="str">
        <f>IFERROR(__xludf.DUMMYFUNCTION("""COMPUTED_VALUE"""),"7")</f>
        <v>7</v>
      </c>
      <c r="V5746" s="6" t="str">
        <f>IFERROR(__xludf.DUMMYFUNCTION("""COMPUTED_VALUE"""),"")</f>
        <v/>
      </c>
      <c r="W5746" s="6" t="str">
        <f>IFERROR(__xludf.DUMMYFUNCTION("""COMPUTED_VALUE"""),"[]")</f>
        <v>[]</v>
      </c>
      <c r="X5746" s="6" t="str">
        <f>IFERROR(__xludf.DUMMYFUNCTION("""COMPUTED_VALUE"""),"Enrolled")</f>
        <v>Enrolled</v>
      </c>
    </row>
    <row r="5747">
      <c r="A5747" s="6" t="str">
        <f>IFERROR(__xludf.DUMMYFUNCTION("""COMPUTED_VALUE"""),"087-12344")</f>
        <v>087-12344</v>
      </c>
      <c r="B5747" s="6" t="str">
        <f>IFERROR(__xludf.DUMMYFUNCTION("""COMPUTED_VALUE"""),"87")</f>
        <v>87</v>
      </c>
      <c r="C5747" s="6" t="str">
        <f>IFERROR(__xludf.DUMMYFUNCTION("""COMPUTED_VALUE"""),"12344")</f>
        <v>12344</v>
      </c>
      <c r="D5747" s="6" t="str">
        <f>IFERROR(__xludf.DUMMYFUNCTION("""COMPUTED_VALUE"""),"Marcia")</f>
        <v>Marcia</v>
      </c>
      <c r="E5747" s="6" t="str">
        <f>IFERROR(__xludf.DUMMYFUNCTION("""COMPUTED_VALUE"""),"")</f>
        <v/>
      </c>
      <c r="F5747" s="6" t="str">
        <f>IFERROR(__xludf.DUMMYFUNCTION("""COMPUTED_VALUE"""),"Pollins")</f>
        <v>Pollins</v>
      </c>
      <c r="G5747" s="6" t="str">
        <f>IFERROR(__xludf.DUMMYFUNCTION("""COMPUTED_VALUE"""),"04/16/2014")</f>
        <v>04/16/2014</v>
      </c>
      <c r="H5747" s="6" t="str">
        <f>IFERROR(__xludf.DUMMYFUNCTION("""COMPUTED_VALUE"""),"female")</f>
        <v>female</v>
      </c>
      <c r="I5747" s="6" t="str">
        <f>IFERROR(__xludf.DUMMYFUNCTION("""COMPUTED_VALUE"""),"Middle School")</f>
        <v>Middle School</v>
      </c>
      <c r="J5747" s="6" t="str">
        <f>IFERROR(__xludf.DUMMYFUNCTION("""COMPUTED_VALUE"""),"6")</f>
        <v>6</v>
      </c>
      <c r="K5747" s="6" t="str">
        <f>IFERROR(__xludf.DUMMYFUNCTION("""COMPUTED_VALUE"""),"marcia.pollins@2hourlearning.com")</f>
        <v>marcia.pollins@2hourlearning.com</v>
      </c>
      <c r="L5747" s="6" t="str">
        <f>IFERROR(__xludf.DUMMYFUNCTION("""COMPUTED_VALUE"""),"JRHS - Ridgeland Secondary Academy of Excellence")</f>
        <v>JRHS - Ridgeland Secondary Academy of Excellence</v>
      </c>
      <c r="M5747" s="6" t="str">
        <f>IFERROR(__xludf.DUMMYFUNCTION("""COMPUTED_VALUE"""),"")</f>
        <v/>
      </c>
      <c r="N5747" s="6" t="str">
        <f>IFERROR(__xludf.DUMMYFUNCTION("""COMPUTED_VALUE"""),"")</f>
        <v/>
      </c>
      <c r="O5747" s="87" t="str">
        <f>IFERROR(__xludf.DUMMYFUNCTION("""COMPUTED_VALUE"""),"https://drive.google.com/drive/folders/10T2cTQHqEJZqE-st6uFKPoI?usp=share_link")</f>
        <v>https://drive.google.com/drive/folders/10T2cTQHqEJZqE-st6uFKPoI?usp=share_link</v>
      </c>
      <c r="P5747" s="6" t="str">
        <f>IFERROR(__xludf.DUMMYFUNCTION("""COMPUTED_VALUE"""),"Marcia Pollins")</f>
        <v>Marcia Pollins</v>
      </c>
      <c r="Q5747" s="6" t="str">
        <f>IFERROR(__xludf.DUMMYFUNCTION("""COMPUTED_VALUE"""),"MS")</f>
        <v>MS</v>
      </c>
      <c r="R5747" s="6">
        <f>IFERROR(__xludf.DUMMYFUNCTION("""COMPUTED_VALUE"""),0.0)</f>
        <v>0</v>
      </c>
      <c r="S5747" s="6" t="str">
        <f>IFERROR(__xludf.DUMMYFUNCTION("""COMPUTED_VALUE"""),"Kimberly Ball")</f>
        <v>Kimberly Ball</v>
      </c>
      <c r="T5747" s="6" t="str">
        <f>IFERROR(__xludf.DUMMYFUNCTION("""COMPUTED_VALUE"""),"kimberly.ball@studient.com")</f>
        <v>kimberly.ball@studient.com</v>
      </c>
      <c r="U5747" s="6" t="str">
        <f>IFERROR(__xludf.DUMMYFUNCTION("""COMPUTED_VALUE"""),"6")</f>
        <v>6</v>
      </c>
      <c r="V5747" s="6" t="str">
        <f>IFERROR(__xludf.DUMMYFUNCTION("""COMPUTED_VALUE"""),"")</f>
        <v/>
      </c>
      <c r="W5747" s="6" t="str">
        <f>IFERROR(__xludf.DUMMYFUNCTION("""COMPUTED_VALUE"""),"[]")</f>
        <v>[]</v>
      </c>
      <c r="X5747" s="6" t="str">
        <f>IFERROR(__xludf.DUMMYFUNCTION("""COMPUTED_VALUE"""),"Enrolled")</f>
        <v>Enrolled</v>
      </c>
    </row>
    <row r="5748">
      <c r="A5748" s="6" t="str">
        <f>IFERROR(__xludf.DUMMYFUNCTION("""COMPUTED_VALUE"""),"087-12345")</f>
        <v>087-12345</v>
      </c>
      <c r="B5748" s="6" t="str">
        <f>IFERROR(__xludf.DUMMYFUNCTION("""COMPUTED_VALUE"""),"87")</f>
        <v>87</v>
      </c>
      <c r="C5748" s="6" t="str">
        <f>IFERROR(__xludf.DUMMYFUNCTION("""COMPUTED_VALUE"""),"12345")</f>
        <v>12345</v>
      </c>
      <c r="D5748" s="6" t="str">
        <f>IFERROR(__xludf.DUMMYFUNCTION("""COMPUTED_VALUE"""),"Mark")</f>
        <v>Mark</v>
      </c>
      <c r="E5748" s="6" t="str">
        <f>IFERROR(__xludf.DUMMYFUNCTION("""COMPUTED_VALUE"""),"")</f>
        <v/>
      </c>
      <c r="F5748" s="6" t="str">
        <f>IFERROR(__xludf.DUMMYFUNCTION("""COMPUTED_VALUE"""),"Primus")</f>
        <v>Primus</v>
      </c>
      <c r="G5748" s="6" t="str">
        <f>IFERROR(__xludf.DUMMYFUNCTION("""COMPUTED_VALUE"""),"12/29/2012")</f>
        <v>12/29/2012</v>
      </c>
      <c r="H5748" s="6" t="str">
        <f>IFERROR(__xludf.DUMMYFUNCTION("""COMPUTED_VALUE"""),"male")</f>
        <v>male</v>
      </c>
      <c r="I5748" s="6" t="str">
        <f>IFERROR(__xludf.DUMMYFUNCTION("""COMPUTED_VALUE"""),"Middle School")</f>
        <v>Middle School</v>
      </c>
      <c r="J5748" s="6" t="str">
        <f>IFERROR(__xludf.DUMMYFUNCTION("""COMPUTED_VALUE"""),"7")</f>
        <v>7</v>
      </c>
      <c r="K5748" s="6" t="str">
        <f>IFERROR(__xludf.DUMMYFUNCTION("""COMPUTED_VALUE"""),"mark.primus@2hourlearning.com")</f>
        <v>mark.primus@2hourlearning.com</v>
      </c>
      <c r="L5748" s="6" t="str">
        <f>IFERROR(__xludf.DUMMYFUNCTION("""COMPUTED_VALUE"""),"JRHS - Ridgeland Secondary Academy of Excellence")</f>
        <v>JRHS - Ridgeland Secondary Academy of Excellence</v>
      </c>
      <c r="M5748" s="6" t="str">
        <f>IFERROR(__xludf.DUMMYFUNCTION("""COMPUTED_VALUE"""),"")</f>
        <v/>
      </c>
      <c r="N5748" s="6" t="str">
        <f>IFERROR(__xludf.DUMMYFUNCTION("""COMPUTED_VALUE"""),"")</f>
        <v/>
      </c>
      <c r="O5748" s="87" t="str">
        <f>IFERROR(__xludf.DUMMYFUNCTION("""COMPUTED_VALUE"""),"https://drive.google.com/drive/folders/10T2cTQHqEJZqE-st6uFKPoI?usp=share_link")</f>
        <v>https://drive.google.com/drive/folders/10T2cTQHqEJZqE-st6uFKPoI?usp=share_link</v>
      </c>
      <c r="P5748" s="6" t="str">
        <f>IFERROR(__xludf.DUMMYFUNCTION("""COMPUTED_VALUE"""),"Mark Primus")</f>
        <v>Mark Primus</v>
      </c>
      <c r="Q5748" s="6" t="str">
        <f>IFERROR(__xludf.DUMMYFUNCTION("""COMPUTED_VALUE"""),"MS")</f>
        <v>MS</v>
      </c>
      <c r="R5748" s="6">
        <f>IFERROR(__xludf.DUMMYFUNCTION("""COMPUTED_VALUE"""),0.0)</f>
        <v>0</v>
      </c>
      <c r="S5748" s="6" t="str">
        <f>IFERROR(__xludf.DUMMYFUNCTION("""COMPUTED_VALUE"""),"Kimberly Ball")</f>
        <v>Kimberly Ball</v>
      </c>
      <c r="T5748" s="6" t="str">
        <f>IFERROR(__xludf.DUMMYFUNCTION("""COMPUTED_VALUE"""),"kimberly.ball@studient.com")</f>
        <v>kimberly.ball@studient.com</v>
      </c>
      <c r="U5748" s="6" t="str">
        <f>IFERROR(__xludf.DUMMYFUNCTION("""COMPUTED_VALUE"""),"7")</f>
        <v>7</v>
      </c>
      <c r="V5748" s="6" t="str">
        <f>IFERROR(__xludf.DUMMYFUNCTION("""COMPUTED_VALUE"""),"")</f>
        <v/>
      </c>
      <c r="W5748" s="6" t="str">
        <f>IFERROR(__xludf.DUMMYFUNCTION("""COMPUTED_VALUE"""),"[]")</f>
        <v>[]</v>
      </c>
      <c r="X5748" s="6" t="str">
        <f>IFERROR(__xludf.DUMMYFUNCTION("""COMPUTED_VALUE"""),"Enrolled")</f>
        <v>Enrolled</v>
      </c>
    </row>
    <row r="5749">
      <c r="A5749" s="6" t="str">
        <f>IFERROR(__xludf.DUMMYFUNCTION("""COMPUTED_VALUE"""),"087-12346")</f>
        <v>087-12346</v>
      </c>
      <c r="B5749" s="6" t="str">
        <f>IFERROR(__xludf.DUMMYFUNCTION("""COMPUTED_VALUE"""),"87")</f>
        <v>87</v>
      </c>
      <c r="C5749" s="6" t="str">
        <f>IFERROR(__xludf.DUMMYFUNCTION("""COMPUTED_VALUE"""),"12346")</f>
        <v>12346</v>
      </c>
      <c r="D5749" s="6" t="str">
        <f>IFERROR(__xludf.DUMMYFUNCTION("""COMPUTED_VALUE"""),"Jair")</f>
        <v>Jair</v>
      </c>
      <c r="E5749" s="6" t="str">
        <f>IFERROR(__xludf.DUMMYFUNCTION("""COMPUTED_VALUE"""),"")</f>
        <v/>
      </c>
      <c r="F5749" s="6" t="str">
        <f>IFERROR(__xludf.DUMMYFUNCTION("""COMPUTED_VALUE"""),"Quezada Moctezuma")</f>
        <v>Quezada Moctezuma</v>
      </c>
      <c r="G5749" s="6" t="str">
        <f>IFERROR(__xludf.DUMMYFUNCTION("""COMPUTED_VALUE"""),"11/16/2011")</f>
        <v>11/16/2011</v>
      </c>
      <c r="H5749" s="6" t="str">
        <f>IFERROR(__xludf.DUMMYFUNCTION("""COMPUTED_VALUE"""),"male")</f>
        <v>male</v>
      </c>
      <c r="I5749" s="6" t="str">
        <f>IFERROR(__xludf.DUMMYFUNCTION("""COMPUTED_VALUE"""),"Middle School")</f>
        <v>Middle School</v>
      </c>
      <c r="J5749" s="6" t="str">
        <f>IFERROR(__xludf.DUMMYFUNCTION("""COMPUTED_VALUE"""),"8")</f>
        <v>8</v>
      </c>
      <c r="K5749" s="6" t="str">
        <f>IFERROR(__xludf.DUMMYFUNCTION("""COMPUTED_VALUE"""),"jair.quezadamoctezuma@2hourlearning.com")</f>
        <v>jair.quezadamoctezuma@2hourlearning.com</v>
      </c>
      <c r="L5749" s="6" t="str">
        <f>IFERROR(__xludf.DUMMYFUNCTION("""COMPUTED_VALUE"""),"JRHS - Ridgeland Secondary Academy of Excellence")</f>
        <v>JRHS - Ridgeland Secondary Academy of Excellence</v>
      </c>
      <c r="M5749" s="6" t="str">
        <f>IFERROR(__xludf.DUMMYFUNCTION("""COMPUTED_VALUE"""),"")</f>
        <v/>
      </c>
      <c r="N5749" s="6" t="str">
        <f>IFERROR(__xludf.DUMMYFUNCTION("""COMPUTED_VALUE"""),"")</f>
        <v/>
      </c>
      <c r="O5749" s="87" t="str">
        <f>IFERROR(__xludf.DUMMYFUNCTION("""COMPUTED_VALUE"""),"https://drive.google.com/drive/folders/10T2cTQHqEJZqE-st6uFKPoI?usp=share_link")</f>
        <v>https://drive.google.com/drive/folders/10T2cTQHqEJZqE-st6uFKPoI?usp=share_link</v>
      </c>
      <c r="P5749" s="6" t="str">
        <f>IFERROR(__xludf.DUMMYFUNCTION("""COMPUTED_VALUE"""),"Jair Quezada Moctezuma")</f>
        <v>Jair Quezada Moctezuma</v>
      </c>
      <c r="Q5749" s="6" t="str">
        <f>IFERROR(__xludf.DUMMYFUNCTION("""COMPUTED_VALUE"""),"MS")</f>
        <v>MS</v>
      </c>
      <c r="R5749" s="6">
        <f>IFERROR(__xludf.DUMMYFUNCTION("""COMPUTED_VALUE"""),0.0)</f>
        <v>0</v>
      </c>
      <c r="S5749" s="6" t="str">
        <f>IFERROR(__xludf.DUMMYFUNCTION("""COMPUTED_VALUE"""),"Kimberly Ball")</f>
        <v>Kimberly Ball</v>
      </c>
      <c r="T5749" s="6" t="str">
        <f>IFERROR(__xludf.DUMMYFUNCTION("""COMPUTED_VALUE"""),"kimberly.ball@studient.com")</f>
        <v>kimberly.ball@studient.com</v>
      </c>
      <c r="U5749" s="6" t="str">
        <f>IFERROR(__xludf.DUMMYFUNCTION("""COMPUTED_VALUE"""),"8")</f>
        <v>8</v>
      </c>
      <c r="V5749" s="6" t="str">
        <f>IFERROR(__xludf.DUMMYFUNCTION("""COMPUTED_VALUE"""),"")</f>
        <v/>
      </c>
      <c r="W5749" s="6" t="str">
        <f>IFERROR(__xludf.DUMMYFUNCTION("""COMPUTED_VALUE"""),"[]")</f>
        <v>[]</v>
      </c>
      <c r="X5749" s="6" t="str">
        <f>IFERROR(__xludf.DUMMYFUNCTION("""COMPUTED_VALUE"""),"Enrolled")</f>
        <v>Enrolled</v>
      </c>
    </row>
    <row r="5750">
      <c r="A5750" s="6" t="str">
        <f>IFERROR(__xludf.DUMMYFUNCTION("""COMPUTED_VALUE"""),"087-12347")</f>
        <v>087-12347</v>
      </c>
      <c r="B5750" s="6" t="str">
        <f>IFERROR(__xludf.DUMMYFUNCTION("""COMPUTED_VALUE"""),"87")</f>
        <v>87</v>
      </c>
      <c r="C5750" s="6" t="str">
        <f>IFERROR(__xludf.DUMMYFUNCTION("""COMPUTED_VALUE"""),"12347")</f>
        <v>12347</v>
      </c>
      <c r="D5750" s="6" t="str">
        <f>IFERROR(__xludf.DUMMYFUNCTION("""COMPUTED_VALUE"""),"Ricardo Armando")</f>
        <v>Ricardo Armando</v>
      </c>
      <c r="E5750" s="6" t="str">
        <f>IFERROR(__xludf.DUMMYFUNCTION("""COMPUTED_VALUE"""),"")</f>
        <v/>
      </c>
      <c r="F5750" s="6" t="str">
        <f>IFERROR(__xludf.DUMMYFUNCTION("""COMPUTED_VALUE"""),"Ramirez Nicolas")</f>
        <v>Ramirez Nicolas</v>
      </c>
      <c r="G5750" s="6" t="str">
        <f>IFERROR(__xludf.DUMMYFUNCTION("""COMPUTED_VALUE"""),"06/28/2014")</f>
        <v>06/28/2014</v>
      </c>
      <c r="H5750" s="6" t="str">
        <f>IFERROR(__xludf.DUMMYFUNCTION("""COMPUTED_VALUE"""),"male")</f>
        <v>male</v>
      </c>
      <c r="I5750" s="6" t="str">
        <f>IFERROR(__xludf.DUMMYFUNCTION("""COMPUTED_VALUE"""),"Middle School")</f>
        <v>Middle School</v>
      </c>
      <c r="J5750" s="6" t="str">
        <f>IFERROR(__xludf.DUMMYFUNCTION("""COMPUTED_VALUE"""),"6")</f>
        <v>6</v>
      </c>
      <c r="K5750" s="6" t="str">
        <f>IFERROR(__xludf.DUMMYFUNCTION("""COMPUTED_VALUE"""),"ricardoarmando.ramireznicolas@2hourlearning.com")</f>
        <v>ricardoarmando.ramireznicolas@2hourlearning.com</v>
      </c>
      <c r="L5750" s="6" t="str">
        <f>IFERROR(__xludf.DUMMYFUNCTION("""COMPUTED_VALUE"""),"JRHS - Ridgeland Secondary Academy of Excellence")</f>
        <v>JRHS - Ridgeland Secondary Academy of Excellence</v>
      </c>
      <c r="M5750" s="6" t="str">
        <f>IFERROR(__xludf.DUMMYFUNCTION("""COMPUTED_VALUE"""),"")</f>
        <v/>
      </c>
      <c r="N5750" s="6" t="str">
        <f>IFERROR(__xludf.DUMMYFUNCTION("""COMPUTED_VALUE"""),"")</f>
        <v/>
      </c>
      <c r="O5750" s="87" t="str">
        <f>IFERROR(__xludf.DUMMYFUNCTION("""COMPUTED_VALUE"""),"https://drive.google.com/drive/folders/10T2cTQHqEJZqE-st6uFKPoI?usp=share_link")</f>
        <v>https://drive.google.com/drive/folders/10T2cTQHqEJZqE-st6uFKPoI?usp=share_link</v>
      </c>
      <c r="P5750" s="6" t="str">
        <f>IFERROR(__xludf.DUMMYFUNCTION("""COMPUTED_VALUE"""),"Ricardo Armando Ramirez Nicolas")</f>
        <v>Ricardo Armando Ramirez Nicolas</v>
      </c>
      <c r="Q5750" s="6" t="str">
        <f>IFERROR(__xludf.DUMMYFUNCTION("""COMPUTED_VALUE"""),"MS")</f>
        <v>MS</v>
      </c>
      <c r="R5750" s="6">
        <f>IFERROR(__xludf.DUMMYFUNCTION("""COMPUTED_VALUE"""),0.0)</f>
        <v>0</v>
      </c>
      <c r="S5750" s="6" t="str">
        <f>IFERROR(__xludf.DUMMYFUNCTION("""COMPUTED_VALUE"""),"Kimberly Ball")</f>
        <v>Kimberly Ball</v>
      </c>
      <c r="T5750" s="6" t="str">
        <f>IFERROR(__xludf.DUMMYFUNCTION("""COMPUTED_VALUE"""),"kimberly.ball@studient.com")</f>
        <v>kimberly.ball@studient.com</v>
      </c>
      <c r="U5750" s="6" t="str">
        <f>IFERROR(__xludf.DUMMYFUNCTION("""COMPUTED_VALUE"""),"6")</f>
        <v>6</v>
      </c>
      <c r="V5750" s="6" t="str">
        <f>IFERROR(__xludf.DUMMYFUNCTION("""COMPUTED_VALUE"""),"")</f>
        <v/>
      </c>
      <c r="W5750" s="6" t="str">
        <f>IFERROR(__xludf.DUMMYFUNCTION("""COMPUTED_VALUE"""),"[]")</f>
        <v>[]</v>
      </c>
      <c r="X5750" s="6" t="str">
        <f>IFERROR(__xludf.DUMMYFUNCTION("""COMPUTED_VALUE"""),"Enrolled")</f>
        <v>Enrolled</v>
      </c>
    </row>
    <row r="5751">
      <c r="A5751" s="6" t="str">
        <f>IFERROR(__xludf.DUMMYFUNCTION("""COMPUTED_VALUE"""),"087-12348")</f>
        <v>087-12348</v>
      </c>
      <c r="B5751" s="6" t="str">
        <f>IFERROR(__xludf.DUMMYFUNCTION("""COMPUTED_VALUE"""),"87")</f>
        <v>87</v>
      </c>
      <c r="C5751" s="6" t="str">
        <f>IFERROR(__xludf.DUMMYFUNCTION("""COMPUTED_VALUE"""),"12348")</f>
        <v>12348</v>
      </c>
      <c r="D5751" s="6" t="str">
        <f>IFERROR(__xludf.DUMMYFUNCTION("""COMPUTED_VALUE"""),"Joshua")</f>
        <v>Joshua</v>
      </c>
      <c r="E5751" s="6" t="str">
        <f>IFERROR(__xludf.DUMMYFUNCTION("""COMPUTED_VALUE"""),"")</f>
        <v/>
      </c>
      <c r="F5751" s="6" t="str">
        <f>IFERROR(__xludf.DUMMYFUNCTION("""COMPUTED_VALUE"""),"Ramos")</f>
        <v>Ramos</v>
      </c>
      <c r="G5751" s="6" t="str">
        <f>IFERROR(__xludf.DUMMYFUNCTION("""COMPUTED_VALUE"""),"09/14/2014")</f>
        <v>09/14/2014</v>
      </c>
      <c r="H5751" s="6" t="str">
        <f>IFERROR(__xludf.DUMMYFUNCTION("""COMPUTED_VALUE"""),"male")</f>
        <v>male</v>
      </c>
      <c r="I5751" s="6" t="str">
        <f>IFERROR(__xludf.DUMMYFUNCTION("""COMPUTED_VALUE"""),"Middle School")</f>
        <v>Middle School</v>
      </c>
      <c r="J5751" s="6" t="str">
        <f>IFERROR(__xludf.DUMMYFUNCTION("""COMPUTED_VALUE"""),"6")</f>
        <v>6</v>
      </c>
      <c r="K5751" s="6" t="str">
        <f>IFERROR(__xludf.DUMMYFUNCTION("""COMPUTED_VALUE"""),"joshua.ramos@2hourlearning.com")</f>
        <v>joshua.ramos@2hourlearning.com</v>
      </c>
      <c r="L5751" s="6" t="str">
        <f>IFERROR(__xludf.DUMMYFUNCTION("""COMPUTED_VALUE"""),"JRHS - Ridgeland Secondary Academy of Excellence")</f>
        <v>JRHS - Ridgeland Secondary Academy of Excellence</v>
      </c>
      <c r="M5751" s="6" t="str">
        <f>IFERROR(__xludf.DUMMYFUNCTION("""COMPUTED_VALUE"""),"")</f>
        <v/>
      </c>
      <c r="N5751" s="6" t="str">
        <f>IFERROR(__xludf.DUMMYFUNCTION("""COMPUTED_VALUE"""),"")</f>
        <v/>
      </c>
      <c r="O5751" s="87" t="str">
        <f>IFERROR(__xludf.DUMMYFUNCTION("""COMPUTED_VALUE"""),"https://drive.google.com/drive/folders/10T2cTQHqEJZqE-st6uFKPoI?usp=share_link")</f>
        <v>https://drive.google.com/drive/folders/10T2cTQHqEJZqE-st6uFKPoI?usp=share_link</v>
      </c>
      <c r="P5751" s="6" t="str">
        <f>IFERROR(__xludf.DUMMYFUNCTION("""COMPUTED_VALUE"""),"Joshua Ramos")</f>
        <v>Joshua Ramos</v>
      </c>
      <c r="Q5751" s="6" t="str">
        <f>IFERROR(__xludf.DUMMYFUNCTION("""COMPUTED_VALUE"""),"MS")</f>
        <v>MS</v>
      </c>
      <c r="R5751" s="6">
        <f>IFERROR(__xludf.DUMMYFUNCTION("""COMPUTED_VALUE"""),0.0)</f>
        <v>0</v>
      </c>
      <c r="S5751" s="6" t="str">
        <f>IFERROR(__xludf.DUMMYFUNCTION("""COMPUTED_VALUE"""),"Kimberly Ball")</f>
        <v>Kimberly Ball</v>
      </c>
      <c r="T5751" s="6" t="str">
        <f>IFERROR(__xludf.DUMMYFUNCTION("""COMPUTED_VALUE"""),"kimberly.ball@studient.com")</f>
        <v>kimberly.ball@studient.com</v>
      </c>
      <c r="U5751" s="6" t="str">
        <f>IFERROR(__xludf.DUMMYFUNCTION("""COMPUTED_VALUE"""),"6")</f>
        <v>6</v>
      </c>
      <c r="V5751" s="6" t="str">
        <f>IFERROR(__xludf.DUMMYFUNCTION("""COMPUTED_VALUE"""),"")</f>
        <v/>
      </c>
      <c r="W5751" s="6" t="str">
        <f>IFERROR(__xludf.DUMMYFUNCTION("""COMPUTED_VALUE"""),"[]")</f>
        <v>[]</v>
      </c>
      <c r="X5751" s="6" t="str">
        <f>IFERROR(__xludf.DUMMYFUNCTION("""COMPUTED_VALUE"""),"Enrolled")</f>
        <v>Enrolled</v>
      </c>
    </row>
    <row r="5752">
      <c r="A5752" s="6" t="str">
        <f>IFERROR(__xludf.DUMMYFUNCTION("""COMPUTED_VALUE"""),"087-12349")</f>
        <v>087-12349</v>
      </c>
      <c r="B5752" s="6" t="str">
        <f>IFERROR(__xludf.DUMMYFUNCTION("""COMPUTED_VALUE"""),"87")</f>
        <v>87</v>
      </c>
      <c r="C5752" s="6" t="str">
        <f>IFERROR(__xludf.DUMMYFUNCTION("""COMPUTED_VALUE"""),"12349")</f>
        <v>12349</v>
      </c>
      <c r="D5752" s="6" t="str">
        <f>IFERROR(__xludf.DUMMYFUNCTION("""COMPUTED_VALUE"""),"Wendy")</f>
        <v>Wendy</v>
      </c>
      <c r="E5752" s="6" t="str">
        <f>IFERROR(__xludf.DUMMYFUNCTION("""COMPUTED_VALUE"""),"")</f>
        <v/>
      </c>
      <c r="F5752" s="6" t="str">
        <f>IFERROR(__xludf.DUMMYFUNCTION("""COMPUTED_VALUE"""),"Reyes Cruz")</f>
        <v>Reyes Cruz</v>
      </c>
      <c r="G5752" s="6" t="str">
        <f>IFERROR(__xludf.DUMMYFUNCTION("""COMPUTED_VALUE"""),"10/14/2011")</f>
        <v>10/14/2011</v>
      </c>
      <c r="H5752" s="6" t="str">
        <f>IFERROR(__xludf.DUMMYFUNCTION("""COMPUTED_VALUE"""),"female")</f>
        <v>female</v>
      </c>
      <c r="I5752" s="6" t="str">
        <f>IFERROR(__xludf.DUMMYFUNCTION("""COMPUTED_VALUE"""),"Middle School")</f>
        <v>Middle School</v>
      </c>
      <c r="J5752" s="6" t="str">
        <f>IFERROR(__xludf.DUMMYFUNCTION("""COMPUTED_VALUE"""),"8")</f>
        <v>8</v>
      </c>
      <c r="K5752" s="6" t="str">
        <f>IFERROR(__xludf.DUMMYFUNCTION("""COMPUTED_VALUE"""),"wendy.reyescruz@2hourlearning.com")</f>
        <v>wendy.reyescruz@2hourlearning.com</v>
      </c>
      <c r="L5752" s="6" t="str">
        <f>IFERROR(__xludf.DUMMYFUNCTION("""COMPUTED_VALUE"""),"JRHS - Ridgeland Secondary Academy of Excellence")</f>
        <v>JRHS - Ridgeland Secondary Academy of Excellence</v>
      </c>
      <c r="M5752" s="6" t="str">
        <f>IFERROR(__xludf.DUMMYFUNCTION("""COMPUTED_VALUE"""),"")</f>
        <v/>
      </c>
      <c r="N5752" s="6" t="str">
        <f>IFERROR(__xludf.DUMMYFUNCTION("""COMPUTED_VALUE"""),"")</f>
        <v/>
      </c>
      <c r="O5752" s="87" t="str">
        <f>IFERROR(__xludf.DUMMYFUNCTION("""COMPUTED_VALUE"""),"https://drive.google.com/drive/folders/10T2cTQHqEJZqE-st6uFKPoI?usp=share_link")</f>
        <v>https://drive.google.com/drive/folders/10T2cTQHqEJZqE-st6uFKPoI?usp=share_link</v>
      </c>
      <c r="P5752" s="6" t="str">
        <f>IFERROR(__xludf.DUMMYFUNCTION("""COMPUTED_VALUE"""),"Wendy Reyes Cruz")</f>
        <v>Wendy Reyes Cruz</v>
      </c>
      <c r="Q5752" s="6" t="str">
        <f>IFERROR(__xludf.DUMMYFUNCTION("""COMPUTED_VALUE"""),"MS")</f>
        <v>MS</v>
      </c>
      <c r="R5752" s="6">
        <f>IFERROR(__xludf.DUMMYFUNCTION("""COMPUTED_VALUE"""),0.0)</f>
        <v>0</v>
      </c>
      <c r="S5752" s="6" t="str">
        <f>IFERROR(__xludf.DUMMYFUNCTION("""COMPUTED_VALUE"""),"Kimberly Ball")</f>
        <v>Kimberly Ball</v>
      </c>
      <c r="T5752" s="6" t="str">
        <f>IFERROR(__xludf.DUMMYFUNCTION("""COMPUTED_VALUE"""),"kimberly.ball@studient.com")</f>
        <v>kimberly.ball@studient.com</v>
      </c>
      <c r="U5752" s="6" t="str">
        <f>IFERROR(__xludf.DUMMYFUNCTION("""COMPUTED_VALUE"""),"8")</f>
        <v>8</v>
      </c>
      <c r="V5752" s="6" t="str">
        <f>IFERROR(__xludf.DUMMYFUNCTION("""COMPUTED_VALUE"""),"")</f>
        <v/>
      </c>
      <c r="W5752" s="6" t="str">
        <f>IFERROR(__xludf.DUMMYFUNCTION("""COMPUTED_VALUE"""),"[]")</f>
        <v>[]</v>
      </c>
      <c r="X5752" s="6" t="str">
        <f>IFERROR(__xludf.DUMMYFUNCTION("""COMPUTED_VALUE"""),"Enrolled")</f>
        <v>Enrolled</v>
      </c>
    </row>
    <row r="5753">
      <c r="A5753" s="6" t="str">
        <f>IFERROR(__xludf.DUMMYFUNCTION("""COMPUTED_VALUE"""),"087-12350")</f>
        <v>087-12350</v>
      </c>
      <c r="B5753" s="6" t="str">
        <f>IFERROR(__xludf.DUMMYFUNCTION("""COMPUTED_VALUE"""),"87")</f>
        <v>87</v>
      </c>
      <c r="C5753" s="6" t="str">
        <f>IFERROR(__xludf.DUMMYFUNCTION("""COMPUTED_VALUE"""),"12350")</f>
        <v>12350</v>
      </c>
      <c r="D5753" s="6" t="str">
        <f>IFERROR(__xludf.DUMMYFUNCTION("""COMPUTED_VALUE"""),"Flor De Jesus")</f>
        <v>Flor De Jesus</v>
      </c>
      <c r="E5753" s="6" t="str">
        <f>IFERROR(__xludf.DUMMYFUNCTION("""COMPUTED_VALUE"""),"")</f>
        <v/>
      </c>
      <c r="F5753" s="6" t="str">
        <f>IFERROR(__xludf.DUMMYFUNCTION("""COMPUTED_VALUE"""),"Reyes Piedra")</f>
        <v>Reyes Piedra</v>
      </c>
      <c r="G5753" s="6" t="str">
        <f>IFERROR(__xludf.DUMMYFUNCTION("""COMPUTED_VALUE"""),"10/01/2012")</f>
        <v>10/01/2012</v>
      </c>
      <c r="H5753" s="6" t="str">
        <f>IFERROR(__xludf.DUMMYFUNCTION("""COMPUTED_VALUE"""),"female")</f>
        <v>female</v>
      </c>
      <c r="I5753" s="6" t="str">
        <f>IFERROR(__xludf.DUMMYFUNCTION("""COMPUTED_VALUE"""),"Middle School")</f>
        <v>Middle School</v>
      </c>
      <c r="J5753" s="6" t="str">
        <f>IFERROR(__xludf.DUMMYFUNCTION("""COMPUTED_VALUE"""),"7")</f>
        <v>7</v>
      </c>
      <c r="K5753" s="6" t="str">
        <f>IFERROR(__xludf.DUMMYFUNCTION("""COMPUTED_VALUE"""),"flordejesus.reyespiedra@2hourlearning.com")</f>
        <v>flordejesus.reyespiedra@2hourlearning.com</v>
      </c>
      <c r="L5753" s="6" t="str">
        <f>IFERROR(__xludf.DUMMYFUNCTION("""COMPUTED_VALUE"""),"JRHS - Ridgeland Secondary Academy of Excellence")</f>
        <v>JRHS - Ridgeland Secondary Academy of Excellence</v>
      </c>
      <c r="M5753" s="6" t="str">
        <f>IFERROR(__xludf.DUMMYFUNCTION("""COMPUTED_VALUE"""),"")</f>
        <v/>
      </c>
      <c r="N5753" s="6" t="str">
        <f>IFERROR(__xludf.DUMMYFUNCTION("""COMPUTED_VALUE"""),"")</f>
        <v/>
      </c>
      <c r="O5753" s="87" t="str">
        <f>IFERROR(__xludf.DUMMYFUNCTION("""COMPUTED_VALUE"""),"https://drive.google.com/drive/folders/10T2cTQHqEJZqE-st6uFKPoI?usp=share_link")</f>
        <v>https://drive.google.com/drive/folders/10T2cTQHqEJZqE-st6uFKPoI?usp=share_link</v>
      </c>
      <c r="P5753" s="6" t="str">
        <f>IFERROR(__xludf.DUMMYFUNCTION("""COMPUTED_VALUE"""),"Flor De Jesus Reyes Piedra")</f>
        <v>Flor De Jesus Reyes Piedra</v>
      </c>
      <c r="Q5753" s="6" t="str">
        <f>IFERROR(__xludf.DUMMYFUNCTION("""COMPUTED_VALUE"""),"MS")</f>
        <v>MS</v>
      </c>
      <c r="R5753" s="6">
        <f>IFERROR(__xludf.DUMMYFUNCTION("""COMPUTED_VALUE"""),0.0)</f>
        <v>0</v>
      </c>
      <c r="S5753" s="6" t="str">
        <f>IFERROR(__xludf.DUMMYFUNCTION("""COMPUTED_VALUE"""),"Kimberly Ball")</f>
        <v>Kimberly Ball</v>
      </c>
      <c r="T5753" s="6" t="str">
        <f>IFERROR(__xludf.DUMMYFUNCTION("""COMPUTED_VALUE"""),"kimberly.ball@studient.com")</f>
        <v>kimberly.ball@studient.com</v>
      </c>
      <c r="U5753" s="6" t="str">
        <f>IFERROR(__xludf.DUMMYFUNCTION("""COMPUTED_VALUE"""),"7")</f>
        <v>7</v>
      </c>
      <c r="V5753" s="6" t="str">
        <f>IFERROR(__xludf.DUMMYFUNCTION("""COMPUTED_VALUE"""),"")</f>
        <v/>
      </c>
      <c r="W5753" s="6" t="str">
        <f>IFERROR(__xludf.DUMMYFUNCTION("""COMPUTED_VALUE"""),"[]")</f>
        <v>[]</v>
      </c>
      <c r="X5753" s="6" t="str">
        <f>IFERROR(__xludf.DUMMYFUNCTION("""COMPUTED_VALUE"""),"Enrolled")</f>
        <v>Enrolled</v>
      </c>
    </row>
    <row r="5754">
      <c r="A5754" s="6" t="str">
        <f>IFERROR(__xludf.DUMMYFUNCTION("""COMPUTED_VALUE"""),"087-12351")</f>
        <v>087-12351</v>
      </c>
      <c r="B5754" s="6" t="str">
        <f>IFERROR(__xludf.DUMMYFUNCTION("""COMPUTED_VALUE"""),"87")</f>
        <v>87</v>
      </c>
      <c r="C5754" s="6" t="str">
        <f>IFERROR(__xludf.DUMMYFUNCTION("""COMPUTED_VALUE"""),"12351")</f>
        <v>12351</v>
      </c>
      <c r="D5754" s="6" t="str">
        <f>IFERROR(__xludf.DUMMYFUNCTION("""COMPUTED_VALUE"""),"Maritza")</f>
        <v>Maritza</v>
      </c>
      <c r="E5754" s="6" t="str">
        <f>IFERROR(__xludf.DUMMYFUNCTION("""COMPUTED_VALUE"""),"")</f>
        <v/>
      </c>
      <c r="F5754" s="6" t="str">
        <f>IFERROR(__xludf.DUMMYFUNCTION("""COMPUTED_VALUE"""),"Reyes Piedra")</f>
        <v>Reyes Piedra</v>
      </c>
      <c r="G5754" s="6" t="str">
        <f>IFERROR(__xludf.DUMMYFUNCTION("""COMPUTED_VALUE"""),"08/18/2011")</f>
        <v>08/18/2011</v>
      </c>
      <c r="H5754" s="6" t="str">
        <f>IFERROR(__xludf.DUMMYFUNCTION("""COMPUTED_VALUE"""),"female")</f>
        <v>female</v>
      </c>
      <c r="I5754" s="6" t="str">
        <f>IFERROR(__xludf.DUMMYFUNCTION("""COMPUTED_VALUE"""),"Middle School")</f>
        <v>Middle School</v>
      </c>
      <c r="J5754" s="6" t="str">
        <f>IFERROR(__xludf.DUMMYFUNCTION("""COMPUTED_VALUE"""),"8")</f>
        <v>8</v>
      </c>
      <c r="K5754" s="6" t="str">
        <f>IFERROR(__xludf.DUMMYFUNCTION("""COMPUTED_VALUE"""),"maritza.reyespiedra@2hourlearning.com")</f>
        <v>maritza.reyespiedra@2hourlearning.com</v>
      </c>
      <c r="L5754" s="6" t="str">
        <f>IFERROR(__xludf.DUMMYFUNCTION("""COMPUTED_VALUE"""),"JRHS - Ridgeland Secondary Academy of Excellence")</f>
        <v>JRHS - Ridgeland Secondary Academy of Excellence</v>
      </c>
      <c r="M5754" s="6" t="str">
        <f>IFERROR(__xludf.DUMMYFUNCTION("""COMPUTED_VALUE"""),"")</f>
        <v/>
      </c>
      <c r="N5754" s="6" t="str">
        <f>IFERROR(__xludf.DUMMYFUNCTION("""COMPUTED_VALUE"""),"")</f>
        <v/>
      </c>
      <c r="O5754" s="87" t="str">
        <f>IFERROR(__xludf.DUMMYFUNCTION("""COMPUTED_VALUE"""),"https://drive.google.com/drive/folders/10T2cTQHqEJZqE-st6uFKPoI?usp=share_link")</f>
        <v>https://drive.google.com/drive/folders/10T2cTQHqEJZqE-st6uFKPoI?usp=share_link</v>
      </c>
      <c r="P5754" s="6" t="str">
        <f>IFERROR(__xludf.DUMMYFUNCTION("""COMPUTED_VALUE"""),"Maritza Reyes Piedra")</f>
        <v>Maritza Reyes Piedra</v>
      </c>
      <c r="Q5754" s="6" t="str">
        <f>IFERROR(__xludf.DUMMYFUNCTION("""COMPUTED_VALUE"""),"MS")</f>
        <v>MS</v>
      </c>
      <c r="R5754" s="6">
        <f>IFERROR(__xludf.DUMMYFUNCTION("""COMPUTED_VALUE"""),0.0)</f>
        <v>0</v>
      </c>
      <c r="S5754" s="6" t="str">
        <f>IFERROR(__xludf.DUMMYFUNCTION("""COMPUTED_VALUE"""),"Kimberly Ball")</f>
        <v>Kimberly Ball</v>
      </c>
      <c r="T5754" s="6" t="str">
        <f>IFERROR(__xludf.DUMMYFUNCTION("""COMPUTED_VALUE"""),"kimberly.ball@studient.com")</f>
        <v>kimberly.ball@studient.com</v>
      </c>
      <c r="U5754" s="6" t="str">
        <f>IFERROR(__xludf.DUMMYFUNCTION("""COMPUTED_VALUE"""),"8")</f>
        <v>8</v>
      </c>
      <c r="V5754" s="6" t="str">
        <f>IFERROR(__xludf.DUMMYFUNCTION("""COMPUTED_VALUE"""),"")</f>
        <v/>
      </c>
      <c r="W5754" s="6" t="str">
        <f>IFERROR(__xludf.DUMMYFUNCTION("""COMPUTED_VALUE"""),"[]")</f>
        <v>[]</v>
      </c>
      <c r="X5754" s="6" t="str">
        <f>IFERROR(__xludf.DUMMYFUNCTION("""COMPUTED_VALUE"""),"Enrolled")</f>
        <v>Enrolled</v>
      </c>
    </row>
    <row r="5755">
      <c r="A5755" s="6" t="str">
        <f>IFERROR(__xludf.DUMMYFUNCTION("""COMPUTED_VALUE"""),"087-12352")</f>
        <v>087-12352</v>
      </c>
      <c r="B5755" s="6" t="str">
        <f>IFERROR(__xludf.DUMMYFUNCTION("""COMPUTED_VALUE"""),"87")</f>
        <v>87</v>
      </c>
      <c r="C5755" s="6" t="str">
        <f>IFERROR(__xludf.DUMMYFUNCTION("""COMPUTED_VALUE"""),"12352")</f>
        <v>12352</v>
      </c>
      <c r="D5755" s="6" t="str">
        <f>IFERROR(__xludf.DUMMYFUNCTION("""COMPUTED_VALUE"""),"Jonathan")</f>
        <v>Jonathan</v>
      </c>
      <c r="E5755" s="6" t="str">
        <f>IFERROR(__xludf.DUMMYFUNCTION("""COMPUTED_VALUE"""),"")</f>
        <v/>
      </c>
      <c r="F5755" s="6" t="str">
        <f>IFERROR(__xludf.DUMMYFUNCTION("""COMPUTED_VALUE"""),"Reyna Nava")</f>
        <v>Reyna Nava</v>
      </c>
      <c r="G5755" s="6" t="str">
        <f>IFERROR(__xludf.DUMMYFUNCTION("""COMPUTED_VALUE"""),"03/12/2012")</f>
        <v>03/12/2012</v>
      </c>
      <c r="H5755" s="6" t="str">
        <f>IFERROR(__xludf.DUMMYFUNCTION("""COMPUTED_VALUE"""),"male")</f>
        <v>male</v>
      </c>
      <c r="I5755" s="6" t="str">
        <f>IFERROR(__xludf.DUMMYFUNCTION("""COMPUTED_VALUE"""),"Middle School")</f>
        <v>Middle School</v>
      </c>
      <c r="J5755" s="6" t="str">
        <f>IFERROR(__xludf.DUMMYFUNCTION("""COMPUTED_VALUE"""),"8")</f>
        <v>8</v>
      </c>
      <c r="K5755" s="6" t="str">
        <f>IFERROR(__xludf.DUMMYFUNCTION("""COMPUTED_VALUE"""),"jonathan.reynanava@2hourlearning.com")</f>
        <v>jonathan.reynanava@2hourlearning.com</v>
      </c>
      <c r="L5755" s="6" t="str">
        <f>IFERROR(__xludf.DUMMYFUNCTION("""COMPUTED_VALUE"""),"JRHS - Ridgeland Secondary Academy of Excellence")</f>
        <v>JRHS - Ridgeland Secondary Academy of Excellence</v>
      </c>
      <c r="M5755" s="6" t="str">
        <f>IFERROR(__xludf.DUMMYFUNCTION("""COMPUTED_VALUE"""),"")</f>
        <v/>
      </c>
      <c r="N5755" s="6" t="str">
        <f>IFERROR(__xludf.DUMMYFUNCTION("""COMPUTED_VALUE"""),"")</f>
        <v/>
      </c>
      <c r="O5755" s="87" t="str">
        <f>IFERROR(__xludf.DUMMYFUNCTION("""COMPUTED_VALUE"""),"https://drive.google.com/drive/folders/10T2cTQHqEJZqE-st6uFKPoI?usp=share_link")</f>
        <v>https://drive.google.com/drive/folders/10T2cTQHqEJZqE-st6uFKPoI?usp=share_link</v>
      </c>
      <c r="P5755" s="6" t="str">
        <f>IFERROR(__xludf.DUMMYFUNCTION("""COMPUTED_VALUE"""),"Jonathan Reyna Nava")</f>
        <v>Jonathan Reyna Nava</v>
      </c>
      <c r="Q5755" s="6" t="str">
        <f>IFERROR(__xludf.DUMMYFUNCTION("""COMPUTED_VALUE"""),"MS")</f>
        <v>MS</v>
      </c>
      <c r="R5755" s="6">
        <f>IFERROR(__xludf.DUMMYFUNCTION("""COMPUTED_VALUE"""),0.0)</f>
        <v>0</v>
      </c>
      <c r="S5755" s="6" t="str">
        <f>IFERROR(__xludf.DUMMYFUNCTION("""COMPUTED_VALUE"""),"Kimberly Ball")</f>
        <v>Kimberly Ball</v>
      </c>
      <c r="T5755" s="6" t="str">
        <f>IFERROR(__xludf.DUMMYFUNCTION("""COMPUTED_VALUE"""),"kimberly.ball@studient.com")</f>
        <v>kimberly.ball@studient.com</v>
      </c>
      <c r="U5755" s="6" t="str">
        <f>IFERROR(__xludf.DUMMYFUNCTION("""COMPUTED_VALUE"""),"8")</f>
        <v>8</v>
      </c>
      <c r="V5755" s="6" t="str">
        <f>IFERROR(__xludf.DUMMYFUNCTION("""COMPUTED_VALUE"""),"")</f>
        <v/>
      </c>
      <c r="W5755" s="6" t="str">
        <f>IFERROR(__xludf.DUMMYFUNCTION("""COMPUTED_VALUE"""),"[]")</f>
        <v>[]</v>
      </c>
      <c r="X5755" s="6" t="str">
        <f>IFERROR(__xludf.DUMMYFUNCTION("""COMPUTED_VALUE"""),"Enrolled")</f>
        <v>Enrolled</v>
      </c>
    </row>
    <row r="5756">
      <c r="A5756" s="6" t="str">
        <f>IFERROR(__xludf.DUMMYFUNCTION("""COMPUTED_VALUE"""),"087-12353")</f>
        <v>087-12353</v>
      </c>
      <c r="B5756" s="6" t="str">
        <f>IFERROR(__xludf.DUMMYFUNCTION("""COMPUTED_VALUE"""),"87")</f>
        <v>87</v>
      </c>
      <c r="C5756" s="6" t="str">
        <f>IFERROR(__xludf.DUMMYFUNCTION("""COMPUTED_VALUE"""),"12353")</f>
        <v>12353</v>
      </c>
      <c r="D5756" s="6" t="str">
        <f>IFERROR(__xludf.DUMMYFUNCTION("""COMPUTED_VALUE"""),"Makayla")</f>
        <v>Makayla</v>
      </c>
      <c r="E5756" s="6" t="str">
        <f>IFERROR(__xludf.DUMMYFUNCTION("""COMPUTED_VALUE"""),"")</f>
        <v/>
      </c>
      <c r="F5756" s="6" t="str">
        <f>IFERROR(__xludf.DUMMYFUNCTION("""COMPUTED_VALUE"""),"Richards")</f>
        <v>Richards</v>
      </c>
      <c r="G5756" s="6" t="str">
        <f>IFERROR(__xludf.DUMMYFUNCTION("""COMPUTED_VALUE"""),"12/02/2011")</f>
        <v>12/02/2011</v>
      </c>
      <c r="H5756" s="6" t="str">
        <f>IFERROR(__xludf.DUMMYFUNCTION("""COMPUTED_VALUE"""),"female")</f>
        <v>female</v>
      </c>
      <c r="I5756" s="6" t="str">
        <f>IFERROR(__xludf.DUMMYFUNCTION("""COMPUTED_VALUE"""),"Middle School")</f>
        <v>Middle School</v>
      </c>
      <c r="J5756" s="6" t="str">
        <f>IFERROR(__xludf.DUMMYFUNCTION("""COMPUTED_VALUE"""),"8")</f>
        <v>8</v>
      </c>
      <c r="K5756" s="6" t="str">
        <f>IFERROR(__xludf.DUMMYFUNCTION("""COMPUTED_VALUE"""),"makayla.richards@2hourlearning.com")</f>
        <v>makayla.richards@2hourlearning.com</v>
      </c>
      <c r="L5756" s="6" t="str">
        <f>IFERROR(__xludf.DUMMYFUNCTION("""COMPUTED_VALUE"""),"JRHS - Ridgeland Secondary Academy of Excellence")</f>
        <v>JRHS - Ridgeland Secondary Academy of Excellence</v>
      </c>
      <c r="M5756" s="6" t="str">
        <f>IFERROR(__xludf.DUMMYFUNCTION("""COMPUTED_VALUE"""),"")</f>
        <v/>
      </c>
      <c r="N5756" s="6" t="str">
        <f>IFERROR(__xludf.DUMMYFUNCTION("""COMPUTED_VALUE"""),"")</f>
        <v/>
      </c>
      <c r="O5756" s="87" t="str">
        <f>IFERROR(__xludf.DUMMYFUNCTION("""COMPUTED_VALUE"""),"https://drive.google.com/drive/folders/10T2cTQHqEJZqE-st6uFKPoI?usp=share_link")</f>
        <v>https://drive.google.com/drive/folders/10T2cTQHqEJZqE-st6uFKPoI?usp=share_link</v>
      </c>
      <c r="P5756" s="6" t="str">
        <f>IFERROR(__xludf.DUMMYFUNCTION("""COMPUTED_VALUE"""),"Makayla Richards")</f>
        <v>Makayla Richards</v>
      </c>
      <c r="Q5756" s="6" t="str">
        <f>IFERROR(__xludf.DUMMYFUNCTION("""COMPUTED_VALUE"""),"MS")</f>
        <v>MS</v>
      </c>
      <c r="R5756" s="6">
        <f>IFERROR(__xludf.DUMMYFUNCTION("""COMPUTED_VALUE"""),0.0)</f>
        <v>0</v>
      </c>
      <c r="S5756" s="6" t="str">
        <f>IFERROR(__xludf.DUMMYFUNCTION("""COMPUTED_VALUE"""),"Kimberly Ball")</f>
        <v>Kimberly Ball</v>
      </c>
      <c r="T5756" s="6" t="str">
        <f>IFERROR(__xludf.DUMMYFUNCTION("""COMPUTED_VALUE"""),"kimberly.ball@studient.com")</f>
        <v>kimberly.ball@studient.com</v>
      </c>
      <c r="U5756" s="6" t="str">
        <f>IFERROR(__xludf.DUMMYFUNCTION("""COMPUTED_VALUE"""),"8")</f>
        <v>8</v>
      </c>
      <c r="V5756" s="6" t="str">
        <f>IFERROR(__xludf.DUMMYFUNCTION("""COMPUTED_VALUE"""),"")</f>
        <v/>
      </c>
      <c r="W5756" s="6" t="str">
        <f>IFERROR(__xludf.DUMMYFUNCTION("""COMPUTED_VALUE"""),"[]")</f>
        <v>[]</v>
      </c>
      <c r="X5756" s="6" t="str">
        <f>IFERROR(__xludf.DUMMYFUNCTION("""COMPUTED_VALUE"""),"Enrolled")</f>
        <v>Enrolled</v>
      </c>
    </row>
    <row r="5757">
      <c r="A5757" s="6" t="str">
        <f>IFERROR(__xludf.DUMMYFUNCTION("""COMPUTED_VALUE"""),"087-12354")</f>
        <v>087-12354</v>
      </c>
      <c r="B5757" s="6" t="str">
        <f>IFERROR(__xludf.DUMMYFUNCTION("""COMPUTED_VALUE"""),"87")</f>
        <v>87</v>
      </c>
      <c r="C5757" s="6" t="str">
        <f>IFERROR(__xludf.DUMMYFUNCTION("""COMPUTED_VALUE"""),"12354")</f>
        <v>12354</v>
      </c>
      <c r="D5757" s="6" t="str">
        <f>IFERROR(__xludf.DUMMYFUNCTION("""COMPUTED_VALUE"""),"Kamdyn")</f>
        <v>Kamdyn</v>
      </c>
      <c r="E5757" s="6" t="str">
        <f>IFERROR(__xludf.DUMMYFUNCTION("""COMPUTED_VALUE"""),"")</f>
        <v/>
      </c>
      <c r="F5757" s="6" t="str">
        <f>IFERROR(__xludf.DUMMYFUNCTION("""COMPUTED_VALUE"""),"Richardson")</f>
        <v>Richardson</v>
      </c>
      <c r="G5757" s="6" t="str">
        <f>IFERROR(__xludf.DUMMYFUNCTION("""COMPUTED_VALUE"""),"07/11/2013")</f>
        <v>07/11/2013</v>
      </c>
      <c r="H5757" s="6" t="str">
        <f>IFERROR(__xludf.DUMMYFUNCTION("""COMPUTED_VALUE"""),"male")</f>
        <v>male</v>
      </c>
      <c r="I5757" s="6" t="str">
        <f>IFERROR(__xludf.DUMMYFUNCTION("""COMPUTED_VALUE"""),"Middle School")</f>
        <v>Middle School</v>
      </c>
      <c r="J5757" s="6" t="str">
        <f>IFERROR(__xludf.DUMMYFUNCTION("""COMPUTED_VALUE"""),"7")</f>
        <v>7</v>
      </c>
      <c r="K5757" s="6" t="str">
        <f>IFERROR(__xludf.DUMMYFUNCTION("""COMPUTED_VALUE"""),"kamdyn.richardson@2hourlearning.com")</f>
        <v>kamdyn.richardson@2hourlearning.com</v>
      </c>
      <c r="L5757" s="6" t="str">
        <f>IFERROR(__xludf.DUMMYFUNCTION("""COMPUTED_VALUE"""),"JRHS - Ridgeland Secondary Academy of Excellence")</f>
        <v>JRHS - Ridgeland Secondary Academy of Excellence</v>
      </c>
      <c r="M5757" s="6" t="str">
        <f>IFERROR(__xludf.DUMMYFUNCTION("""COMPUTED_VALUE"""),"")</f>
        <v/>
      </c>
      <c r="N5757" s="6" t="str">
        <f>IFERROR(__xludf.DUMMYFUNCTION("""COMPUTED_VALUE"""),"")</f>
        <v/>
      </c>
      <c r="O5757" s="87" t="str">
        <f>IFERROR(__xludf.DUMMYFUNCTION("""COMPUTED_VALUE"""),"https://drive.google.com/drive/folders/10T2cTQHqEJZqE-st6uFKPoI?usp=share_link")</f>
        <v>https://drive.google.com/drive/folders/10T2cTQHqEJZqE-st6uFKPoI?usp=share_link</v>
      </c>
      <c r="P5757" s="6" t="str">
        <f>IFERROR(__xludf.DUMMYFUNCTION("""COMPUTED_VALUE"""),"Kamdyn Richardson")</f>
        <v>Kamdyn Richardson</v>
      </c>
      <c r="Q5757" s="6" t="str">
        <f>IFERROR(__xludf.DUMMYFUNCTION("""COMPUTED_VALUE"""),"MS")</f>
        <v>MS</v>
      </c>
      <c r="R5757" s="6">
        <f>IFERROR(__xludf.DUMMYFUNCTION("""COMPUTED_VALUE"""),0.0)</f>
        <v>0</v>
      </c>
      <c r="S5757" s="6" t="str">
        <f>IFERROR(__xludf.DUMMYFUNCTION("""COMPUTED_VALUE"""),"Kimberly Ball")</f>
        <v>Kimberly Ball</v>
      </c>
      <c r="T5757" s="6" t="str">
        <f>IFERROR(__xludf.DUMMYFUNCTION("""COMPUTED_VALUE"""),"kimberly.ball@studient.com")</f>
        <v>kimberly.ball@studient.com</v>
      </c>
      <c r="U5757" s="6" t="str">
        <f>IFERROR(__xludf.DUMMYFUNCTION("""COMPUTED_VALUE"""),"7")</f>
        <v>7</v>
      </c>
      <c r="V5757" s="6" t="str">
        <f>IFERROR(__xludf.DUMMYFUNCTION("""COMPUTED_VALUE"""),"")</f>
        <v/>
      </c>
      <c r="W5757" s="6" t="str">
        <f>IFERROR(__xludf.DUMMYFUNCTION("""COMPUTED_VALUE"""),"[]")</f>
        <v>[]</v>
      </c>
      <c r="X5757" s="6" t="str">
        <f>IFERROR(__xludf.DUMMYFUNCTION("""COMPUTED_VALUE"""),"Enrolled")</f>
        <v>Enrolled</v>
      </c>
    </row>
    <row r="5758">
      <c r="A5758" s="6" t="str">
        <f>IFERROR(__xludf.DUMMYFUNCTION("""COMPUTED_VALUE"""),"087-12355")</f>
        <v>087-12355</v>
      </c>
      <c r="B5758" s="6" t="str">
        <f>IFERROR(__xludf.DUMMYFUNCTION("""COMPUTED_VALUE"""),"87")</f>
        <v>87</v>
      </c>
      <c r="C5758" s="6" t="str">
        <f>IFERROR(__xludf.DUMMYFUNCTION("""COMPUTED_VALUE"""),"12355")</f>
        <v>12355</v>
      </c>
      <c r="D5758" s="6" t="str">
        <f>IFERROR(__xludf.DUMMYFUNCTION("""COMPUTED_VALUE"""),"Rylan")</f>
        <v>Rylan</v>
      </c>
      <c r="E5758" s="6" t="str">
        <f>IFERROR(__xludf.DUMMYFUNCTION("""COMPUTED_VALUE"""),"")</f>
        <v/>
      </c>
      <c r="F5758" s="6" t="str">
        <f>IFERROR(__xludf.DUMMYFUNCTION("""COMPUTED_VALUE"""),"Rivera")</f>
        <v>Rivera</v>
      </c>
      <c r="G5758" s="6" t="str">
        <f>IFERROR(__xludf.DUMMYFUNCTION("""COMPUTED_VALUE"""),"01/24/2014")</f>
        <v>01/24/2014</v>
      </c>
      <c r="H5758" s="6" t="str">
        <f>IFERROR(__xludf.DUMMYFUNCTION("""COMPUTED_VALUE"""),"male")</f>
        <v>male</v>
      </c>
      <c r="I5758" s="6" t="str">
        <f>IFERROR(__xludf.DUMMYFUNCTION("""COMPUTED_VALUE"""),"Middle School")</f>
        <v>Middle School</v>
      </c>
      <c r="J5758" s="6" t="str">
        <f>IFERROR(__xludf.DUMMYFUNCTION("""COMPUTED_VALUE"""),"6")</f>
        <v>6</v>
      </c>
      <c r="K5758" s="6" t="str">
        <f>IFERROR(__xludf.DUMMYFUNCTION("""COMPUTED_VALUE"""),"rylan.rivera@2hourlearning.com")</f>
        <v>rylan.rivera@2hourlearning.com</v>
      </c>
      <c r="L5758" s="6" t="str">
        <f>IFERROR(__xludf.DUMMYFUNCTION("""COMPUTED_VALUE"""),"JRHS - Ridgeland Secondary Academy of Excellence")</f>
        <v>JRHS - Ridgeland Secondary Academy of Excellence</v>
      </c>
      <c r="M5758" s="6" t="str">
        <f>IFERROR(__xludf.DUMMYFUNCTION("""COMPUTED_VALUE"""),"")</f>
        <v/>
      </c>
      <c r="N5758" s="6" t="str">
        <f>IFERROR(__xludf.DUMMYFUNCTION("""COMPUTED_VALUE"""),"")</f>
        <v/>
      </c>
      <c r="O5758" s="87" t="str">
        <f>IFERROR(__xludf.DUMMYFUNCTION("""COMPUTED_VALUE"""),"https://drive.google.com/drive/folders/10T2cTQHqEJZqE-st6uFKPoI?usp=share_link")</f>
        <v>https://drive.google.com/drive/folders/10T2cTQHqEJZqE-st6uFKPoI?usp=share_link</v>
      </c>
      <c r="P5758" s="6" t="str">
        <f>IFERROR(__xludf.DUMMYFUNCTION("""COMPUTED_VALUE"""),"Rylan Rivera")</f>
        <v>Rylan Rivera</v>
      </c>
      <c r="Q5758" s="6" t="str">
        <f>IFERROR(__xludf.DUMMYFUNCTION("""COMPUTED_VALUE"""),"MS")</f>
        <v>MS</v>
      </c>
      <c r="R5758" s="6">
        <f>IFERROR(__xludf.DUMMYFUNCTION("""COMPUTED_VALUE"""),0.0)</f>
        <v>0</v>
      </c>
      <c r="S5758" s="6" t="str">
        <f>IFERROR(__xludf.DUMMYFUNCTION("""COMPUTED_VALUE"""),"Kimberly Ball")</f>
        <v>Kimberly Ball</v>
      </c>
      <c r="T5758" s="6" t="str">
        <f>IFERROR(__xludf.DUMMYFUNCTION("""COMPUTED_VALUE"""),"kimberly.ball@studient.com")</f>
        <v>kimberly.ball@studient.com</v>
      </c>
      <c r="U5758" s="6" t="str">
        <f>IFERROR(__xludf.DUMMYFUNCTION("""COMPUTED_VALUE"""),"6")</f>
        <v>6</v>
      </c>
      <c r="V5758" s="6" t="str">
        <f>IFERROR(__xludf.DUMMYFUNCTION("""COMPUTED_VALUE"""),"")</f>
        <v/>
      </c>
      <c r="W5758" s="6" t="str">
        <f>IFERROR(__xludf.DUMMYFUNCTION("""COMPUTED_VALUE"""),"[]")</f>
        <v>[]</v>
      </c>
      <c r="X5758" s="6" t="str">
        <f>IFERROR(__xludf.DUMMYFUNCTION("""COMPUTED_VALUE"""),"Enrolled")</f>
        <v>Enrolled</v>
      </c>
    </row>
    <row r="5759">
      <c r="A5759" s="6" t="str">
        <f>IFERROR(__xludf.DUMMYFUNCTION("""COMPUTED_VALUE"""),"087-12356")</f>
        <v>087-12356</v>
      </c>
      <c r="B5759" s="6" t="str">
        <f>IFERROR(__xludf.DUMMYFUNCTION("""COMPUTED_VALUE"""),"87")</f>
        <v>87</v>
      </c>
      <c r="C5759" s="6" t="str">
        <f>IFERROR(__xludf.DUMMYFUNCTION("""COMPUTED_VALUE"""),"12356")</f>
        <v>12356</v>
      </c>
      <c r="D5759" s="6" t="str">
        <f>IFERROR(__xludf.DUMMYFUNCTION("""COMPUTED_VALUE"""),"Melissa")</f>
        <v>Melissa</v>
      </c>
      <c r="E5759" s="6" t="str">
        <f>IFERROR(__xludf.DUMMYFUNCTION("""COMPUTED_VALUE"""),"")</f>
        <v/>
      </c>
      <c r="F5759" s="6" t="str">
        <f>IFERROR(__xludf.DUMMYFUNCTION("""COMPUTED_VALUE"""),"Rivera Gutierrez")</f>
        <v>Rivera Gutierrez</v>
      </c>
      <c r="G5759" s="6" t="str">
        <f>IFERROR(__xludf.DUMMYFUNCTION("""COMPUTED_VALUE"""),"07/15/2011")</f>
        <v>07/15/2011</v>
      </c>
      <c r="H5759" s="6" t="str">
        <f>IFERROR(__xludf.DUMMYFUNCTION("""COMPUTED_VALUE"""),"female")</f>
        <v>female</v>
      </c>
      <c r="I5759" s="6" t="str">
        <f>IFERROR(__xludf.DUMMYFUNCTION("""COMPUTED_VALUE"""),"Middle School")</f>
        <v>Middle School</v>
      </c>
      <c r="J5759" s="6" t="str">
        <f>IFERROR(__xludf.DUMMYFUNCTION("""COMPUTED_VALUE"""),"8")</f>
        <v>8</v>
      </c>
      <c r="K5759" s="6" t="str">
        <f>IFERROR(__xludf.DUMMYFUNCTION("""COMPUTED_VALUE"""),"melissa.riveragutierrez@2hourlearning.com")</f>
        <v>melissa.riveragutierrez@2hourlearning.com</v>
      </c>
      <c r="L5759" s="6" t="str">
        <f>IFERROR(__xludf.DUMMYFUNCTION("""COMPUTED_VALUE"""),"JRHS - Ridgeland Secondary Academy of Excellence")</f>
        <v>JRHS - Ridgeland Secondary Academy of Excellence</v>
      </c>
      <c r="M5759" s="6" t="str">
        <f>IFERROR(__xludf.DUMMYFUNCTION("""COMPUTED_VALUE"""),"")</f>
        <v/>
      </c>
      <c r="N5759" s="6" t="str">
        <f>IFERROR(__xludf.DUMMYFUNCTION("""COMPUTED_VALUE"""),"")</f>
        <v/>
      </c>
      <c r="O5759" s="87" t="str">
        <f>IFERROR(__xludf.DUMMYFUNCTION("""COMPUTED_VALUE"""),"https://drive.google.com/drive/folders/10T2cTQHqEJZqE-st6uFKPoI?usp=share_link")</f>
        <v>https://drive.google.com/drive/folders/10T2cTQHqEJZqE-st6uFKPoI?usp=share_link</v>
      </c>
      <c r="P5759" s="6" t="str">
        <f>IFERROR(__xludf.DUMMYFUNCTION("""COMPUTED_VALUE"""),"Melissa Rivera Gutierrez")</f>
        <v>Melissa Rivera Gutierrez</v>
      </c>
      <c r="Q5759" s="6" t="str">
        <f>IFERROR(__xludf.DUMMYFUNCTION("""COMPUTED_VALUE"""),"MS")</f>
        <v>MS</v>
      </c>
      <c r="R5759" s="6">
        <f>IFERROR(__xludf.DUMMYFUNCTION("""COMPUTED_VALUE"""),0.0)</f>
        <v>0</v>
      </c>
      <c r="S5759" s="6" t="str">
        <f>IFERROR(__xludf.DUMMYFUNCTION("""COMPUTED_VALUE"""),"Kimberly Ball")</f>
        <v>Kimberly Ball</v>
      </c>
      <c r="T5759" s="6" t="str">
        <f>IFERROR(__xludf.DUMMYFUNCTION("""COMPUTED_VALUE"""),"kimberly.ball@studient.com")</f>
        <v>kimberly.ball@studient.com</v>
      </c>
      <c r="U5759" s="6" t="str">
        <f>IFERROR(__xludf.DUMMYFUNCTION("""COMPUTED_VALUE"""),"8")</f>
        <v>8</v>
      </c>
      <c r="V5759" s="6" t="str">
        <f>IFERROR(__xludf.DUMMYFUNCTION("""COMPUTED_VALUE"""),"")</f>
        <v/>
      </c>
      <c r="W5759" s="6" t="str">
        <f>IFERROR(__xludf.DUMMYFUNCTION("""COMPUTED_VALUE"""),"[]")</f>
        <v>[]</v>
      </c>
      <c r="X5759" s="6" t="str">
        <f>IFERROR(__xludf.DUMMYFUNCTION("""COMPUTED_VALUE"""),"Enrolled")</f>
        <v>Enrolled</v>
      </c>
    </row>
    <row r="5760">
      <c r="A5760" s="6" t="str">
        <f>IFERROR(__xludf.DUMMYFUNCTION("""COMPUTED_VALUE"""),"087-12357")</f>
        <v>087-12357</v>
      </c>
      <c r="B5760" s="6" t="str">
        <f>IFERROR(__xludf.DUMMYFUNCTION("""COMPUTED_VALUE"""),"87")</f>
        <v>87</v>
      </c>
      <c r="C5760" s="6" t="str">
        <f>IFERROR(__xludf.DUMMYFUNCTION("""COMPUTED_VALUE"""),"12357")</f>
        <v>12357</v>
      </c>
      <c r="D5760" s="6" t="str">
        <f>IFERROR(__xludf.DUMMYFUNCTION("""COMPUTED_VALUE"""),"Isaiah")</f>
        <v>Isaiah</v>
      </c>
      <c r="E5760" s="6" t="str">
        <f>IFERROR(__xludf.DUMMYFUNCTION("""COMPUTED_VALUE"""),"")</f>
        <v/>
      </c>
      <c r="F5760" s="6" t="str">
        <f>IFERROR(__xludf.DUMMYFUNCTION("""COMPUTED_VALUE"""),"Roberts")</f>
        <v>Roberts</v>
      </c>
      <c r="G5760" s="6" t="str">
        <f>IFERROR(__xludf.DUMMYFUNCTION("""COMPUTED_VALUE"""),"01/12/2013")</f>
        <v>01/12/2013</v>
      </c>
      <c r="H5760" s="6" t="str">
        <f>IFERROR(__xludf.DUMMYFUNCTION("""COMPUTED_VALUE"""),"male")</f>
        <v>male</v>
      </c>
      <c r="I5760" s="6" t="str">
        <f>IFERROR(__xludf.DUMMYFUNCTION("""COMPUTED_VALUE"""),"Middle School")</f>
        <v>Middle School</v>
      </c>
      <c r="J5760" s="6" t="str">
        <f>IFERROR(__xludf.DUMMYFUNCTION("""COMPUTED_VALUE"""),"7")</f>
        <v>7</v>
      </c>
      <c r="K5760" s="6" t="str">
        <f>IFERROR(__xludf.DUMMYFUNCTION("""COMPUTED_VALUE"""),"isaiah.roberts@2hourlearning.com")</f>
        <v>isaiah.roberts@2hourlearning.com</v>
      </c>
      <c r="L5760" s="6" t="str">
        <f>IFERROR(__xludf.DUMMYFUNCTION("""COMPUTED_VALUE"""),"JRHS - Ridgeland Secondary Academy of Excellence")</f>
        <v>JRHS - Ridgeland Secondary Academy of Excellence</v>
      </c>
      <c r="M5760" s="6" t="str">
        <f>IFERROR(__xludf.DUMMYFUNCTION("""COMPUTED_VALUE"""),"")</f>
        <v/>
      </c>
      <c r="N5760" s="6" t="str">
        <f>IFERROR(__xludf.DUMMYFUNCTION("""COMPUTED_VALUE"""),"")</f>
        <v/>
      </c>
      <c r="O5760" s="87" t="str">
        <f>IFERROR(__xludf.DUMMYFUNCTION("""COMPUTED_VALUE"""),"https://drive.google.com/drive/folders/10T2cTQHqEJZqE-st6uFKPoI?usp=share_link")</f>
        <v>https://drive.google.com/drive/folders/10T2cTQHqEJZqE-st6uFKPoI?usp=share_link</v>
      </c>
      <c r="P5760" s="6" t="str">
        <f>IFERROR(__xludf.DUMMYFUNCTION("""COMPUTED_VALUE"""),"Isaiah Roberts")</f>
        <v>Isaiah Roberts</v>
      </c>
      <c r="Q5760" s="6" t="str">
        <f>IFERROR(__xludf.DUMMYFUNCTION("""COMPUTED_VALUE"""),"MS")</f>
        <v>MS</v>
      </c>
      <c r="R5760" s="6">
        <f>IFERROR(__xludf.DUMMYFUNCTION("""COMPUTED_VALUE"""),0.0)</f>
        <v>0</v>
      </c>
      <c r="S5760" s="6" t="str">
        <f>IFERROR(__xludf.DUMMYFUNCTION("""COMPUTED_VALUE"""),"Kimberly Ball")</f>
        <v>Kimberly Ball</v>
      </c>
      <c r="T5760" s="6" t="str">
        <f>IFERROR(__xludf.DUMMYFUNCTION("""COMPUTED_VALUE"""),"kimberly.ball@studient.com")</f>
        <v>kimberly.ball@studient.com</v>
      </c>
      <c r="U5760" s="6" t="str">
        <f>IFERROR(__xludf.DUMMYFUNCTION("""COMPUTED_VALUE"""),"7")</f>
        <v>7</v>
      </c>
      <c r="V5760" s="6" t="str">
        <f>IFERROR(__xludf.DUMMYFUNCTION("""COMPUTED_VALUE"""),"")</f>
        <v/>
      </c>
      <c r="W5760" s="6" t="str">
        <f>IFERROR(__xludf.DUMMYFUNCTION("""COMPUTED_VALUE"""),"[]")</f>
        <v>[]</v>
      </c>
      <c r="X5760" s="6" t="str">
        <f>IFERROR(__xludf.DUMMYFUNCTION("""COMPUTED_VALUE"""),"Enrolled")</f>
        <v>Enrolled</v>
      </c>
    </row>
    <row r="5761">
      <c r="A5761" s="6" t="str">
        <f>IFERROR(__xludf.DUMMYFUNCTION("""COMPUTED_VALUE"""),"087-12358")</f>
        <v>087-12358</v>
      </c>
      <c r="B5761" s="6" t="str">
        <f>IFERROR(__xludf.DUMMYFUNCTION("""COMPUTED_VALUE"""),"87")</f>
        <v>87</v>
      </c>
      <c r="C5761" s="6" t="str">
        <f>IFERROR(__xludf.DUMMYFUNCTION("""COMPUTED_VALUE"""),"12358")</f>
        <v>12358</v>
      </c>
      <c r="D5761" s="6" t="str">
        <f>IFERROR(__xludf.DUMMYFUNCTION("""COMPUTED_VALUE"""),"Te'Onna")</f>
        <v>Te'Onna</v>
      </c>
      <c r="E5761" s="6" t="str">
        <f>IFERROR(__xludf.DUMMYFUNCTION("""COMPUTED_VALUE"""),"")</f>
        <v/>
      </c>
      <c r="F5761" s="6" t="str">
        <f>IFERROR(__xludf.DUMMYFUNCTION("""COMPUTED_VALUE"""),"Robinson")</f>
        <v>Robinson</v>
      </c>
      <c r="G5761" s="6" t="str">
        <f>IFERROR(__xludf.DUMMYFUNCTION("""COMPUTED_VALUE"""),"08/21/2012")</f>
        <v>08/21/2012</v>
      </c>
      <c r="H5761" s="6" t="str">
        <f>IFERROR(__xludf.DUMMYFUNCTION("""COMPUTED_VALUE"""),"female")</f>
        <v>female</v>
      </c>
      <c r="I5761" s="6" t="str">
        <f>IFERROR(__xludf.DUMMYFUNCTION("""COMPUTED_VALUE"""),"Middle School")</f>
        <v>Middle School</v>
      </c>
      <c r="J5761" s="6" t="str">
        <f>IFERROR(__xludf.DUMMYFUNCTION("""COMPUTED_VALUE"""),"8")</f>
        <v>8</v>
      </c>
      <c r="K5761" s="6" t="str">
        <f>IFERROR(__xludf.DUMMYFUNCTION("""COMPUTED_VALUE"""),"teonna.robinson@2hourlearning.com")</f>
        <v>teonna.robinson@2hourlearning.com</v>
      </c>
      <c r="L5761" s="6" t="str">
        <f>IFERROR(__xludf.DUMMYFUNCTION("""COMPUTED_VALUE"""),"JRHS - Ridgeland Secondary Academy of Excellence")</f>
        <v>JRHS - Ridgeland Secondary Academy of Excellence</v>
      </c>
      <c r="M5761" s="6" t="str">
        <f>IFERROR(__xludf.DUMMYFUNCTION("""COMPUTED_VALUE"""),"")</f>
        <v/>
      </c>
      <c r="N5761" s="6" t="str">
        <f>IFERROR(__xludf.DUMMYFUNCTION("""COMPUTED_VALUE"""),"")</f>
        <v/>
      </c>
      <c r="O5761" s="87" t="str">
        <f>IFERROR(__xludf.DUMMYFUNCTION("""COMPUTED_VALUE"""),"https://drive.google.com/drive/folders/10T2cTQHqEJZqE-st6uFKPoI?usp=share_link")</f>
        <v>https://drive.google.com/drive/folders/10T2cTQHqEJZqE-st6uFKPoI?usp=share_link</v>
      </c>
      <c r="P5761" s="6" t="str">
        <f>IFERROR(__xludf.DUMMYFUNCTION("""COMPUTED_VALUE"""),"Te'Onna Robinson")</f>
        <v>Te'Onna Robinson</v>
      </c>
      <c r="Q5761" s="6" t="str">
        <f>IFERROR(__xludf.DUMMYFUNCTION("""COMPUTED_VALUE"""),"MS")</f>
        <v>MS</v>
      </c>
      <c r="R5761" s="6">
        <f>IFERROR(__xludf.DUMMYFUNCTION("""COMPUTED_VALUE"""),0.0)</f>
        <v>0</v>
      </c>
      <c r="S5761" s="6" t="str">
        <f>IFERROR(__xludf.DUMMYFUNCTION("""COMPUTED_VALUE"""),"Kimberly Ball")</f>
        <v>Kimberly Ball</v>
      </c>
      <c r="T5761" s="6" t="str">
        <f>IFERROR(__xludf.DUMMYFUNCTION("""COMPUTED_VALUE"""),"kimberly.ball@studient.com")</f>
        <v>kimberly.ball@studient.com</v>
      </c>
      <c r="U5761" s="6" t="str">
        <f>IFERROR(__xludf.DUMMYFUNCTION("""COMPUTED_VALUE"""),"8")</f>
        <v>8</v>
      </c>
      <c r="V5761" s="6" t="str">
        <f>IFERROR(__xludf.DUMMYFUNCTION("""COMPUTED_VALUE"""),"")</f>
        <v/>
      </c>
      <c r="W5761" s="6" t="str">
        <f>IFERROR(__xludf.DUMMYFUNCTION("""COMPUTED_VALUE"""),"[]")</f>
        <v>[]</v>
      </c>
      <c r="X5761" s="6" t="str">
        <f>IFERROR(__xludf.DUMMYFUNCTION("""COMPUTED_VALUE"""),"Enrolled")</f>
        <v>Enrolled</v>
      </c>
    </row>
    <row r="5762">
      <c r="A5762" s="6" t="str">
        <f>IFERROR(__xludf.DUMMYFUNCTION("""COMPUTED_VALUE"""),"087-12359")</f>
        <v>087-12359</v>
      </c>
      <c r="B5762" s="6" t="str">
        <f>IFERROR(__xludf.DUMMYFUNCTION("""COMPUTED_VALUE"""),"87")</f>
        <v>87</v>
      </c>
      <c r="C5762" s="6" t="str">
        <f>IFERROR(__xludf.DUMMYFUNCTION("""COMPUTED_VALUE"""),"12359")</f>
        <v>12359</v>
      </c>
      <c r="D5762" s="6" t="str">
        <f>IFERROR(__xludf.DUMMYFUNCTION("""COMPUTED_VALUE"""),"Nathalia")</f>
        <v>Nathalia</v>
      </c>
      <c r="E5762" s="6" t="str">
        <f>IFERROR(__xludf.DUMMYFUNCTION("""COMPUTED_VALUE"""),"")</f>
        <v/>
      </c>
      <c r="F5762" s="6" t="str">
        <f>IFERROR(__xludf.DUMMYFUNCTION("""COMPUTED_VALUE"""),"Roblero Fonseca")</f>
        <v>Roblero Fonseca</v>
      </c>
      <c r="G5762" s="6" t="str">
        <f>IFERROR(__xludf.DUMMYFUNCTION("""COMPUTED_VALUE"""),"08/29/2014")</f>
        <v>08/29/2014</v>
      </c>
      <c r="H5762" s="6" t="str">
        <f>IFERROR(__xludf.DUMMYFUNCTION("""COMPUTED_VALUE"""),"female")</f>
        <v>female</v>
      </c>
      <c r="I5762" s="6" t="str">
        <f>IFERROR(__xludf.DUMMYFUNCTION("""COMPUTED_VALUE"""),"Middle School")</f>
        <v>Middle School</v>
      </c>
      <c r="J5762" s="6" t="str">
        <f>IFERROR(__xludf.DUMMYFUNCTION("""COMPUTED_VALUE"""),"6")</f>
        <v>6</v>
      </c>
      <c r="K5762" s="6" t="str">
        <f>IFERROR(__xludf.DUMMYFUNCTION("""COMPUTED_VALUE"""),"nathalia.roblerofonseca@2hourlearning.com")</f>
        <v>nathalia.roblerofonseca@2hourlearning.com</v>
      </c>
      <c r="L5762" s="6" t="str">
        <f>IFERROR(__xludf.DUMMYFUNCTION("""COMPUTED_VALUE"""),"JRHS - Ridgeland Secondary Academy of Excellence")</f>
        <v>JRHS - Ridgeland Secondary Academy of Excellence</v>
      </c>
      <c r="M5762" s="6" t="str">
        <f>IFERROR(__xludf.DUMMYFUNCTION("""COMPUTED_VALUE"""),"")</f>
        <v/>
      </c>
      <c r="N5762" s="6" t="str">
        <f>IFERROR(__xludf.DUMMYFUNCTION("""COMPUTED_VALUE"""),"")</f>
        <v/>
      </c>
      <c r="O5762" s="87" t="str">
        <f>IFERROR(__xludf.DUMMYFUNCTION("""COMPUTED_VALUE"""),"https://drive.google.com/drive/folders/10T2cTQHqEJZqE-st6uFKPoI?usp=share_link")</f>
        <v>https://drive.google.com/drive/folders/10T2cTQHqEJZqE-st6uFKPoI?usp=share_link</v>
      </c>
      <c r="P5762" s="6" t="str">
        <f>IFERROR(__xludf.DUMMYFUNCTION("""COMPUTED_VALUE"""),"Nathalia Roblero Fonseca")</f>
        <v>Nathalia Roblero Fonseca</v>
      </c>
      <c r="Q5762" s="6" t="str">
        <f>IFERROR(__xludf.DUMMYFUNCTION("""COMPUTED_VALUE"""),"MS")</f>
        <v>MS</v>
      </c>
      <c r="R5762" s="6">
        <f>IFERROR(__xludf.DUMMYFUNCTION("""COMPUTED_VALUE"""),0.0)</f>
        <v>0</v>
      </c>
      <c r="S5762" s="6" t="str">
        <f>IFERROR(__xludf.DUMMYFUNCTION("""COMPUTED_VALUE"""),"Kimberly Ball")</f>
        <v>Kimberly Ball</v>
      </c>
      <c r="T5762" s="6" t="str">
        <f>IFERROR(__xludf.DUMMYFUNCTION("""COMPUTED_VALUE"""),"kimberly.ball@studient.com")</f>
        <v>kimberly.ball@studient.com</v>
      </c>
      <c r="U5762" s="6" t="str">
        <f>IFERROR(__xludf.DUMMYFUNCTION("""COMPUTED_VALUE"""),"6")</f>
        <v>6</v>
      </c>
      <c r="V5762" s="6" t="str">
        <f>IFERROR(__xludf.DUMMYFUNCTION("""COMPUTED_VALUE"""),"")</f>
        <v/>
      </c>
      <c r="W5762" s="6" t="str">
        <f>IFERROR(__xludf.DUMMYFUNCTION("""COMPUTED_VALUE"""),"[]")</f>
        <v>[]</v>
      </c>
      <c r="X5762" s="6" t="str">
        <f>IFERROR(__xludf.DUMMYFUNCTION("""COMPUTED_VALUE"""),"Enrolled")</f>
        <v>Enrolled</v>
      </c>
    </row>
    <row r="5763">
      <c r="A5763" s="6" t="str">
        <f>IFERROR(__xludf.DUMMYFUNCTION("""COMPUTED_VALUE"""),"087-12360")</f>
        <v>087-12360</v>
      </c>
      <c r="B5763" s="6" t="str">
        <f>IFERROR(__xludf.DUMMYFUNCTION("""COMPUTED_VALUE"""),"87")</f>
        <v>87</v>
      </c>
      <c r="C5763" s="6" t="str">
        <f>IFERROR(__xludf.DUMMYFUNCTION("""COMPUTED_VALUE"""),"12360")</f>
        <v>12360</v>
      </c>
      <c r="D5763" s="6" t="str">
        <f>IFERROR(__xludf.DUMMYFUNCTION("""COMPUTED_VALUE"""),"Yenni")</f>
        <v>Yenni</v>
      </c>
      <c r="E5763" s="6" t="str">
        <f>IFERROR(__xludf.DUMMYFUNCTION("""COMPUTED_VALUE"""),"")</f>
        <v/>
      </c>
      <c r="F5763" s="6" t="str">
        <f>IFERROR(__xludf.DUMMYFUNCTION("""COMPUTED_VALUE"""),"Roblero Gonzalez")</f>
        <v>Roblero Gonzalez</v>
      </c>
      <c r="G5763" s="6" t="str">
        <f>IFERROR(__xludf.DUMMYFUNCTION("""COMPUTED_VALUE"""),"02/13/2013")</f>
        <v>02/13/2013</v>
      </c>
      <c r="H5763" s="6" t="str">
        <f>IFERROR(__xludf.DUMMYFUNCTION("""COMPUTED_VALUE"""),"female")</f>
        <v>female</v>
      </c>
      <c r="I5763" s="6" t="str">
        <f>IFERROR(__xludf.DUMMYFUNCTION("""COMPUTED_VALUE"""),"Middle School")</f>
        <v>Middle School</v>
      </c>
      <c r="J5763" s="6" t="str">
        <f>IFERROR(__xludf.DUMMYFUNCTION("""COMPUTED_VALUE"""),"7")</f>
        <v>7</v>
      </c>
      <c r="K5763" s="6" t="str">
        <f>IFERROR(__xludf.DUMMYFUNCTION("""COMPUTED_VALUE"""),"yenni.roblerogonzalez@2hourlearning.com")</f>
        <v>yenni.roblerogonzalez@2hourlearning.com</v>
      </c>
      <c r="L5763" s="6" t="str">
        <f>IFERROR(__xludf.DUMMYFUNCTION("""COMPUTED_VALUE"""),"JRHS - Ridgeland Secondary Academy of Excellence")</f>
        <v>JRHS - Ridgeland Secondary Academy of Excellence</v>
      </c>
      <c r="M5763" s="6" t="str">
        <f>IFERROR(__xludf.DUMMYFUNCTION("""COMPUTED_VALUE"""),"")</f>
        <v/>
      </c>
      <c r="N5763" s="6" t="str">
        <f>IFERROR(__xludf.DUMMYFUNCTION("""COMPUTED_VALUE"""),"")</f>
        <v/>
      </c>
      <c r="O5763" s="87" t="str">
        <f>IFERROR(__xludf.DUMMYFUNCTION("""COMPUTED_VALUE"""),"https://drive.google.com/drive/folders/10T2cTQHqEJZqE-st6uFKPoI?usp=share_link")</f>
        <v>https://drive.google.com/drive/folders/10T2cTQHqEJZqE-st6uFKPoI?usp=share_link</v>
      </c>
      <c r="P5763" s="6" t="str">
        <f>IFERROR(__xludf.DUMMYFUNCTION("""COMPUTED_VALUE"""),"Yenni Roblero Gonzalez")</f>
        <v>Yenni Roblero Gonzalez</v>
      </c>
      <c r="Q5763" s="6" t="str">
        <f>IFERROR(__xludf.DUMMYFUNCTION("""COMPUTED_VALUE"""),"MS")</f>
        <v>MS</v>
      </c>
      <c r="R5763" s="6">
        <f>IFERROR(__xludf.DUMMYFUNCTION("""COMPUTED_VALUE"""),0.0)</f>
        <v>0</v>
      </c>
      <c r="S5763" s="6" t="str">
        <f>IFERROR(__xludf.DUMMYFUNCTION("""COMPUTED_VALUE"""),"Kimberly Ball")</f>
        <v>Kimberly Ball</v>
      </c>
      <c r="T5763" s="6" t="str">
        <f>IFERROR(__xludf.DUMMYFUNCTION("""COMPUTED_VALUE"""),"kimberly.ball@studient.com")</f>
        <v>kimberly.ball@studient.com</v>
      </c>
      <c r="U5763" s="6" t="str">
        <f>IFERROR(__xludf.DUMMYFUNCTION("""COMPUTED_VALUE"""),"7")</f>
        <v>7</v>
      </c>
      <c r="V5763" s="6" t="str">
        <f>IFERROR(__xludf.DUMMYFUNCTION("""COMPUTED_VALUE"""),"")</f>
        <v/>
      </c>
      <c r="W5763" s="6" t="str">
        <f>IFERROR(__xludf.DUMMYFUNCTION("""COMPUTED_VALUE"""),"[]")</f>
        <v>[]</v>
      </c>
      <c r="X5763" s="6" t="str">
        <f>IFERROR(__xludf.DUMMYFUNCTION("""COMPUTED_VALUE"""),"Enrolled")</f>
        <v>Enrolled</v>
      </c>
    </row>
    <row r="5764">
      <c r="A5764" s="6" t="str">
        <f>IFERROR(__xludf.DUMMYFUNCTION("""COMPUTED_VALUE"""),"087-12361")</f>
        <v>087-12361</v>
      </c>
      <c r="B5764" s="6" t="str">
        <f>IFERROR(__xludf.DUMMYFUNCTION("""COMPUTED_VALUE"""),"87")</f>
        <v>87</v>
      </c>
      <c r="C5764" s="6" t="str">
        <f>IFERROR(__xludf.DUMMYFUNCTION("""COMPUTED_VALUE"""),"12361")</f>
        <v>12361</v>
      </c>
      <c r="D5764" s="6" t="str">
        <f>IFERROR(__xludf.DUMMYFUNCTION("""COMPUTED_VALUE"""),"Alondra")</f>
        <v>Alondra</v>
      </c>
      <c r="E5764" s="6" t="str">
        <f>IFERROR(__xludf.DUMMYFUNCTION("""COMPUTED_VALUE"""),"")</f>
        <v/>
      </c>
      <c r="F5764" s="6" t="str">
        <f>IFERROR(__xludf.DUMMYFUNCTION("""COMPUTED_VALUE"""),"Rogel")</f>
        <v>Rogel</v>
      </c>
      <c r="G5764" s="6" t="str">
        <f>IFERROR(__xludf.DUMMYFUNCTION("""COMPUTED_VALUE"""),"03/23/2012")</f>
        <v>03/23/2012</v>
      </c>
      <c r="H5764" s="6" t="str">
        <f>IFERROR(__xludf.DUMMYFUNCTION("""COMPUTED_VALUE"""),"female")</f>
        <v>female</v>
      </c>
      <c r="I5764" s="6" t="str">
        <f>IFERROR(__xludf.DUMMYFUNCTION("""COMPUTED_VALUE"""),"Middle School")</f>
        <v>Middle School</v>
      </c>
      <c r="J5764" s="6" t="str">
        <f>IFERROR(__xludf.DUMMYFUNCTION("""COMPUTED_VALUE"""),"8")</f>
        <v>8</v>
      </c>
      <c r="K5764" s="6" t="str">
        <f>IFERROR(__xludf.DUMMYFUNCTION("""COMPUTED_VALUE"""),"alondra.rogel@2hourlearning.com")</f>
        <v>alondra.rogel@2hourlearning.com</v>
      </c>
      <c r="L5764" s="6" t="str">
        <f>IFERROR(__xludf.DUMMYFUNCTION("""COMPUTED_VALUE"""),"JRHS - Ridgeland Secondary Academy of Excellence")</f>
        <v>JRHS - Ridgeland Secondary Academy of Excellence</v>
      </c>
      <c r="M5764" s="6" t="str">
        <f>IFERROR(__xludf.DUMMYFUNCTION("""COMPUTED_VALUE"""),"")</f>
        <v/>
      </c>
      <c r="N5764" s="6" t="str">
        <f>IFERROR(__xludf.DUMMYFUNCTION("""COMPUTED_VALUE"""),"")</f>
        <v/>
      </c>
      <c r="O5764" s="87" t="str">
        <f>IFERROR(__xludf.DUMMYFUNCTION("""COMPUTED_VALUE"""),"https://drive.google.com/drive/folders/10T2cTQHqEJZqE-st6uFKPoI?usp=share_link")</f>
        <v>https://drive.google.com/drive/folders/10T2cTQHqEJZqE-st6uFKPoI?usp=share_link</v>
      </c>
      <c r="P5764" s="6" t="str">
        <f>IFERROR(__xludf.DUMMYFUNCTION("""COMPUTED_VALUE"""),"Alondra Rogel")</f>
        <v>Alondra Rogel</v>
      </c>
      <c r="Q5764" s="6" t="str">
        <f>IFERROR(__xludf.DUMMYFUNCTION("""COMPUTED_VALUE"""),"MS")</f>
        <v>MS</v>
      </c>
      <c r="R5764" s="6">
        <f>IFERROR(__xludf.DUMMYFUNCTION("""COMPUTED_VALUE"""),0.0)</f>
        <v>0</v>
      </c>
      <c r="S5764" s="6" t="str">
        <f>IFERROR(__xludf.DUMMYFUNCTION("""COMPUTED_VALUE"""),"Kimberly Ball")</f>
        <v>Kimberly Ball</v>
      </c>
      <c r="T5764" s="6" t="str">
        <f>IFERROR(__xludf.DUMMYFUNCTION("""COMPUTED_VALUE"""),"kimberly.ball@studient.com")</f>
        <v>kimberly.ball@studient.com</v>
      </c>
      <c r="U5764" s="6" t="str">
        <f>IFERROR(__xludf.DUMMYFUNCTION("""COMPUTED_VALUE"""),"8")</f>
        <v>8</v>
      </c>
      <c r="V5764" s="6" t="str">
        <f>IFERROR(__xludf.DUMMYFUNCTION("""COMPUTED_VALUE"""),"")</f>
        <v/>
      </c>
      <c r="W5764" s="6" t="str">
        <f>IFERROR(__xludf.DUMMYFUNCTION("""COMPUTED_VALUE"""),"[]")</f>
        <v>[]</v>
      </c>
      <c r="X5764" s="6" t="str">
        <f>IFERROR(__xludf.DUMMYFUNCTION("""COMPUTED_VALUE"""),"Enrolled")</f>
        <v>Enrolled</v>
      </c>
    </row>
    <row r="5765">
      <c r="A5765" s="6" t="str">
        <f>IFERROR(__xludf.DUMMYFUNCTION("""COMPUTED_VALUE"""),"087-12362")</f>
        <v>087-12362</v>
      </c>
      <c r="B5765" s="6" t="str">
        <f>IFERROR(__xludf.DUMMYFUNCTION("""COMPUTED_VALUE"""),"87")</f>
        <v>87</v>
      </c>
      <c r="C5765" s="6" t="str">
        <f>IFERROR(__xludf.DUMMYFUNCTION("""COMPUTED_VALUE"""),"12362")</f>
        <v>12362</v>
      </c>
      <c r="D5765" s="6" t="str">
        <f>IFERROR(__xludf.DUMMYFUNCTION("""COMPUTED_VALUE"""),"Kevin")</f>
        <v>Kevin</v>
      </c>
      <c r="E5765" s="6" t="str">
        <f>IFERROR(__xludf.DUMMYFUNCTION("""COMPUTED_VALUE"""),"")</f>
        <v/>
      </c>
      <c r="F5765" s="6" t="str">
        <f>IFERROR(__xludf.DUMMYFUNCTION("""COMPUTED_VALUE"""),"Rojas")</f>
        <v>Rojas</v>
      </c>
      <c r="G5765" s="6" t="str">
        <f>IFERROR(__xludf.DUMMYFUNCTION("""COMPUTED_VALUE"""),"01/08/2014")</f>
        <v>01/08/2014</v>
      </c>
      <c r="H5765" s="6" t="str">
        <f>IFERROR(__xludf.DUMMYFUNCTION("""COMPUTED_VALUE"""),"male")</f>
        <v>male</v>
      </c>
      <c r="I5765" s="6" t="str">
        <f>IFERROR(__xludf.DUMMYFUNCTION("""COMPUTED_VALUE"""),"Middle School")</f>
        <v>Middle School</v>
      </c>
      <c r="J5765" s="6" t="str">
        <f>IFERROR(__xludf.DUMMYFUNCTION("""COMPUTED_VALUE"""),"6")</f>
        <v>6</v>
      </c>
      <c r="K5765" s="6" t="str">
        <f>IFERROR(__xludf.DUMMYFUNCTION("""COMPUTED_VALUE"""),"kevin.rojas@2hourlearning.com")</f>
        <v>kevin.rojas@2hourlearning.com</v>
      </c>
      <c r="L5765" s="6" t="str">
        <f>IFERROR(__xludf.DUMMYFUNCTION("""COMPUTED_VALUE"""),"JRHS - Ridgeland Secondary Academy of Excellence")</f>
        <v>JRHS - Ridgeland Secondary Academy of Excellence</v>
      </c>
      <c r="M5765" s="6" t="str">
        <f>IFERROR(__xludf.DUMMYFUNCTION("""COMPUTED_VALUE"""),"")</f>
        <v/>
      </c>
      <c r="N5765" s="6" t="str">
        <f>IFERROR(__xludf.DUMMYFUNCTION("""COMPUTED_VALUE"""),"")</f>
        <v/>
      </c>
      <c r="O5765" s="87" t="str">
        <f>IFERROR(__xludf.DUMMYFUNCTION("""COMPUTED_VALUE"""),"https://drive.google.com/drive/folders/10T2cTQHqEJZqE-st6uFKPoI?usp=share_link")</f>
        <v>https://drive.google.com/drive/folders/10T2cTQHqEJZqE-st6uFKPoI?usp=share_link</v>
      </c>
      <c r="P5765" s="6" t="str">
        <f>IFERROR(__xludf.DUMMYFUNCTION("""COMPUTED_VALUE"""),"Kevin Rojas")</f>
        <v>Kevin Rojas</v>
      </c>
      <c r="Q5765" s="6" t="str">
        <f>IFERROR(__xludf.DUMMYFUNCTION("""COMPUTED_VALUE"""),"MS")</f>
        <v>MS</v>
      </c>
      <c r="R5765" s="6">
        <f>IFERROR(__xludf.DUMMYFUNCTION("""COMPUTED_VALUE"""),0.0)</f>
        <v>0</v>
      </c>
      <c r="S5765" s="6" t="str">
        <f>IFERROR(__xludf.DUMMYFUNCTION("""COMPUTED_VALUE"""),"Kimberly Ball")</f>
        <v>Kimberly Ball</v>
      </c>
      <c r="T5765" s="6" t="str">
        <f>IFERROR(__xludf.DUMMYFUNCTION("""COMPUTED_VALUE"""),"kimberly.ball@studient.com")</f>
        <v>kimberly.ball@studient.com</v>
      </c>
      <c r="U5765" s="6" t="str">
        <f>IFERROR(__xludf.DUMMYFUNCTION("""COMPUTED_VALUE"""),"6")</f>
        <v>6</v>
      </c>
      <c r="V5765" s="6" t="str">
        <f>IFERROR(__xludf.DUMMYFUNCTION("""COMPUTED_VALUE"""),"")</f>
        <v/>
      </c>
      <c r="W5765" s="6" t="str">
        <f>IFERROR(__xludf.DUMMYFUNCTION("""COMPUTED_VALUE"""),"[]")</f>
        <v>[]</v>
      </c>
      <c r="X5765" s="6" t="str">
        <f>IFERROR(__xludf.DUMMYFUNCTION("""COMPUTED_VALUE"""),"Enrolled")</f>
        <v>Enrolled</v>
      </c>
    </row>
    <row r="5766">
      <c r="A5766" s="6" t="str">
        <f>IFERROR(__xludf.DUMMYFUNCTION("""COMPUTED_VALUE"""),"087-12363")</f>
        <v>087-12363</v>
      </c>
      <c r="B5766" s="6" t="str">
        <f>IFERROR(__xludf.DUMMYFUNCTION("""COMPUTED_VALUE"""),"87")</f>
        <v>87</v>
      </c>
      <c r="C5766" s="6" t="str">
        <f>IFERROR(__xludf.DUMMYFUNCTION("""COMPUTED_VALUE"""),"12363")</f>
        <v>12363</v>
      </c>
      <c r="D5766" s="6" t="str">
        <f>IFERROR(__xludf.DUMMYFUNCTION("""COMPUTED_VALUE"""),"Kimberly")</f>
        <v>Kimberly</v>
      </c>
      <c r="E5766" s="6" t="str">
        <f>IFERROR(__xludf.DUMMYFUNCTION("""COMPUTED_VALUE"""),"")</f>
        <v/>
      </c>
      <c r="F5766" s="6" t="str">
        <f>IFERROR(__xludf.DUMMYFUNCTION("""COMPUTED_VALUE"""),"Romero Catalan")</f>
        <v>Romero Catalan</v>
      </c>
      <c r="G5766" s="6" t="str">
        <f>IFERROR(__xludf.DUMMYFUNCTION("""COMPUTED_VALUE"""),"04/19/2014")</f>
        <v>04/19/2014</v>
      </c>
      <c r="H5766" s="6" t="str">
        <f>IFERROR(__xludf.DUMMYFUNCTION("""COMPUTED_VALUE"""),"female")</f>
        <v>female</v>
      </c>
      <c r="I5766" s="6" t="str">
        <f>IFERROR(__xludf.DUMMYFUNCTION("""COMPUTED_VALUE"""),"Middle School")</f>
        <v>Middle School</v>
      </c>
      <c r="J5766" s="6" t="str">
        <f>IFERROR(__xludf.DUMMYFUNCTION("""COMPUTED_VALUE"""),"6")</f>
        <v>6</v>
      </c>
      <c r="K5766" s="6" t="str">
        <f>IFERROR(__xludf.DUMMYFUNCTION("""COMPUTED_VALUE"""),"kimberly.romerocatalan@2hourlearning.com")</f>
        <v>kimberly.romerocatalan@2hourlearning.com</v>
      </c>
      <c r="L5766" s="6" t="str">
        <f>IFERROR(__xludf.DUMMYFUNCTION("""COMPUTED_VALUE"""),"JRHS - Ridgeland Secondary Academy of Excellence")</f>
        <v>JRHS - Ridgeland Secondary Academy of Excellence</v>
      </c>
      <c r="M5766" s="6" t="str">
        <f>IFERROR(__xludf.DUMMYFUNCTION("""COMPUTED_VALUE"""),"")</f>
        <v/>
      </c>
      <c r="N5766" s="6" t="str">
        <f>IFERROR(__xludf.DUMMYFUNCTION("""COMPUTED_VALUE"""),"")</f>
        <v/>
      </c>
      <c r="O5766" s="87" t="str">
        <f>IFERROR(__xludf.DUMMYFUNCTION("""COMPUTED_VALUE"""),"https://drive.google.com/drive/folders/10T2cTQHqEJZqE-st6uFKPoI?usp=share_link")</f>
        <v>https://drive.google.com/drive/folders/10T2cTQHqEJZqE-st6uFKPoI?usp=share_link</v>
      </c>
      <c r="P5766" s="6" t="str">
        <f>IFERROR(__xludf.DUMMYFUNCTION("""COMPUTED_VALUE"""),"Kimberly Romero Catalan")</f>
        <v>Kimberly Romero Catalan</v>
      </c>
      <c r="Q5766" s="6" t="str">
        <f>IFERROR(__xludf.DUMMYFUNCTION("""COMPUTED_VALUE"""),"MS")</f>
        <v>MS</v>
      </c>
      <c r="R5766" s="6">
        <f>IFERROR(__xludf.DUMMYFUNCTION("""COMPUTED_VALUE"""),0.0)</f>
        <v>0</v>
      </c>
      <c r="S5766" s="6" t="str">
        <f>IFERROR(__xludf.DUMMYFUNCTION("""COMPUTED_VALUE"""),"Kimberly Ball")</f>
        <v>Kimberly Ball</v>
      </c>
      <c r="T5766" s="6" t="str">
        <f>IFERROR(__xludf.DUMMYFUNCTION("""COMPUTED_VALUE"""),"kimberly.ball@studient.com")</f>
        <v>kimberly.ball@studient.com</v>
      </c>
      <c r="U5766" s="6" t="str">
        <f>IFERROR(__xludf.DUMMYFUNCTION("""COMPUTED_VALUE"""),"6")</f>
        <v>6</v>
      </c>
      <c r="V5766" s="6" t="str">
        <f>IFERROR(__xludf.DUMMYFUNCTION("""COMPUTED_VALUE"""),"")</f>
        <v/>
      </c>
      <c r="W5766" s="6" t="str">
        <f>IFERROR(__xludf.DUMMYFUNCTION("""COMPUTED_VALUE"""),"[]")</f>
        <v>[]</v>
      </c>
      <c r="X5766" s="6" t="str">
        <f>IFERROR(__xludf.DUMMYFUNCTION("""COMPUTED_VALUE"""),"Enrolled")</f>
        <v>Enrolled</v>
      </c>
    </row>
    <row r="5767">
      <c r="A5767" s="6" t="str">
        <f>IFERROR(__xludf.DUMMYFUNCTION("""COMPUTED_VALUE"""),"087-12364")</f>
        <v>087-12364</v>
      </c>
      <c r="B5767" s="6" t="str">
        <f>IFERROR(__xludf.DUMMYFUNCTION("""COMPUTED_VALUE"""),"87")</f>
        <v>87</v>
      </c>
      <c r="C5767" s="6" t="str">
        <f>IFERROR(__xludf.DUMMYFUNCTION("""COMPUTED_VALUE"""),"12364")</f>
        <v>12364</v>
      </c>
      <c r="D5767" s="6" t="str">
        <f>IFERROR(__xludf.DUMMYFUNCTION("""COMPUTED_VALUE"""),"Abelardo")</f>
        <v>Abelardo</v>
      </c>
      <c r="E5767" s="6" t="str">
        <f>IFERROR(__xludf.DUMMYFUNCTION("""COMPUTED_VALUE"""),"")</f>
        <v/>
      </c>
      <c r="F5767" s="6" t="str">
        <f>IFERROR(__xludf.DUMMYFUNCTION("""COMPUTED_VALUE"""),"Romero Gonzalez")</f>
        <v>Romero Gonzalez</v>
      </c>
      <c r="G5767" s="6" t="str">
        <f>IFERROR(__xludf.DUMMYFUNCTION("""COMPUTED_VALUE"""),"08/10/2011")</f>
        <v>08/10/2011</v>
      </c>
      <c r="H5767" s="6" t="str">
        <f>IFERROR(__xludf.DUMMYFUNCTION("""COMPUTED_VALUE"""),"male")</f>
        <v>male</v>
      </c>
      <c r="I5767" s="6" t="str">
        <f>IFERROR(__xludf.DUMMYFUNCTION("""COMPUTED_VALUE"""),"Middle School")</f>
        <v>Middle School</v>
      </c>
      <c r="J5767" s="6" t="str">
        <f>IFERROR(__xludf.DUMMYFUNCTION("""COMPUTED_VALUE"""),"8")</f>
        <v>8</v>
      </c>
      <c r="K5767" s="6" t="str">
        <f>IFERROR(__xludf.DUMMYFUNCTION("""COMPUTED_VALUE"""),"abelardo.romerogonzalez@2hourlearning.com")</f>
        <v>abelardo.romerogonzalez@2hourlearning.com</v>
      </c>
      <c r="L5767" s="6" t="str">
        <f>IFERROR(__xludf.DUMMYFUNCTION("""COMPUTED_VALUE"""),"JRHS - Ridgeland Secondary Academy of Excellence")</f>
        <v>JRHS - Ridgeland Secondary Academy of Excellence</v>
      </c>
      <c r="M5767" s="6" t="str">
        <f>IFERROR(__xludf.DUMMYFUNCTION("""COMPUTED_VALUE"""),"")</f>
        <v/>
      </c>
      <c r="N5767" s="6" t="str">
        <f>IFERROR(__xludf.DUMMYFUNCTION("""COMPUTED_VALUE"""),"")</f>
        <v/>
      </c>
      <c r="O5767" s="87" t="str">
        <f>IFERROR(__xludf.DUMMYFUNCTION("""COMPUTED_VALUE"""),"https://drive.google.com/drive/folders/10T2cTQHqEJZqE-st6uFKPoI?usp=share_link")</f>
        <v>https://drive.google.com/drive/folders/10T2cTQHqEJZqE-st6uFKPoI?usp=share_link</v>
      </c>
      <c r="P5767" s="6" t="str">
        <f>IFERROR(__xludf.DUMMYFUNCTION("""COMPUTED_VALUE"""),"Abelardo Romero Gonzalez")</f>
        <v>Abelardo Romero Gonzalez</v>
      </c>
      <c r="Q5767" s="6" t="str">
        <f>IFERROR(__xludf.DUMMYFUNCTION("""COMPUTED_VALUE"""),"MS")</f>
        <v>MS</v>
      </c>
      <c r="R5767" s="6">
        <f>IFERROR(__xludf.DUMMYFUNCTION("""COMPUTED_VALUE"""),0.0)</f>
        <v>0</v>
      </c>
      <c r="S5767" s="6" t="str">
        <f>IFERROR(__xludf.DUMMYFUNCTION("""COMPUTED_VALUE"""),"Kimberly Ball")</f>
        <v>Kimberly Ball</v>
      </c>
      <c r="T5767" s="6" t="str">
        <f>IFERROR(__xludf.DUMMYFUNCTION("""COMPUTED_VALUE"""),"kimberly.ball@studient.com")</f>
        <v>kimberly.ball@studient.com</v>
      </c>
      <c r="U5767" s="6" t="str">
        <f>IFERROR(__xludf.DUMMYFUNCTION("""COMPUTED_VALUE"""),"8")</f>
        <v>8</v>
      </c>
      <c r="V5767" s="6" t="str">
        <f>IFERROR(__xludf.DUMMYFUNCTION("""COMPUTED_VALUE"""),"")</f>
        <v/>
      </c>
      <c r="W5767" s="6" t="str">
        <f>IFERROR(__xludf.DUMMYFUNCTION("""COMPUTED_VALUE"""),"[]")</f>
        <v>[]</v>
      </c>
      <c r="X5767" s="6" t="str">
        <f>IFERROR(__xludf.DUMMYFUNCTION("""COMPUTED_VALUE"""),"Enrolled")</f>
        <v>Enrolled</v>
      </c>
    </row>
    <row r="5768">
      <c r="A5768" s="6" t="str">
        <f>IFERROR(__xludf.DUMMYFUNCTION("""COMPUTED_VALUE"""),"087-12365")</f>
        <v>087-12365</v>
      </c>
      <c r="B5768" s="6" t="str">
        <f>IFERROR(__xludf.DUMMYFUNCTION("""COMPUTED_VALUE"""),"87")</f>
        <v>87</v>
      </c>
      <c r="C5768" s="6" t="str">
        <f>IFERROR(__xludf.DUMMYFUNCTION("""COMPUTED_VALUE"""),"12365")</f>
        <v>12365</v>
      </c>
      <c r="D5768" s="6" t="str">
        <f>IFERROR(__xludf.DUMMYFUNCTION("""COMPUTED_VALUE"""),"Hanny")</f>
        <v>Hanny</v>
      </c>
      <c r="E5768" s="6" t="str">
        <f>IFERROR(__xludf.DUMMYFUNCTION("""COMPUTED_VALUE"""),"")</f>
        <v/>
      </c>
      <c r="F5768" s="6" t="str">
        <f>IFERROR(__xludf.DUMMYFUNCTION("""COMPUTED_VALUE"""),"Romero Gonzalez")</f>
        <v>Romero Gonzalez</v>
      </c>
      <c r="G5768" s="6" t="str">
        <f>IFERROR(__xludf.DUMMYFUNCTION("""COMPUTED_VALUE"""),"03/21/2013")</f>
        <v>03/21/2013</v>
      </c>
      <c r="H5768" s="6" t="str">
        <f>IFERROR(__xludf.DUMMYFUNCTION("""COMPUTED_VALUE"""),"female")</f>
        <v>female</v>
      </c>
      <c r="I5768" s="6" t="str">
        <f>IFERROR(__xludf.DUMMYFUNCTION("""COMPUTED_VALUE"""),"Middle School")</f>
        <v>Middle School</v>
      </c>
      <c r="J5768" s="6" t="str">
        <f>IFERROR(__xludf.DUMMYFUNCTION("""COMPUTED_VALUE"""),"7")</f>
        <v>7</v>
      </c>
      <c r="K5768" s="6" t="str">
        <f>IFERROR(__xludf.DUMMYFUNCTION("""COMPUTED_VALUE"""),"hanny.romerogonzalez@2hourlearning.com")</f>
        <v>hanny.romerogonzalez@2hourlearning.com</v>
      </c>
      <c r="L5768" s="6" t="str">
        <f>IFERROR(__xludf.DUMMYFUNCTION("""COMPUTED_VALUE"""),"JRHS - Ridgeland Secondary Academy of Excellence")</f>
        <v>JRHS - Ridgeland Secondary Academy of Excellence</v>
      </c>
      <c r="M5768" s="6" t="str">
        <f>IFERROR(__xludf.DUMMYFUNCTION("""COMPUTED_VALUE"""),"")</f>
        <v/>
      </c>
      <c r="N5768" s="6" t="str">
        <f>IFERROR(__xludf.DUMMYFUNCTION("""COMPUTED_VALUE"""),"")</f>
        <v/>
      </c>
      <c r="O5768" s="87" t="str">
        <f>IFERROR(__xludf.DUMMYFUNCTION("""COMPUTED_VALUE"""),"https://drive.google.com/drive/folders/10T2cTQHqEJZqE-st6uFKPoI?usp=share_link")</f>
        <v>https://drive.google.com/drive/folders/10T2cTQHqEJZqE-st6uFKPoI?usp=share_link</v>
      </c>
      <c r="P5768" s="6" t="str">
        <f>IFERROR(__xludf.DUMMYFUNCTION("""COMPUTED_VALUE"""),"Hanny Romero Gonzalez")</f>
        <v>Hanny Romero Gonzalez</v>
      </c>
      <c r="Q5768" s="6" t="str">
        <f>IFERROR(__xludf.DUMMYFUNCTION("""COMPUTED_VALUE"""),"MS")</f>
        <v>MS</v>
      </c>
      <c r="R5768" s="6">
        <f>IFERROR(__xludf.DUMMYFUNCTION("""COMPUTED_VALUE"""),0.0)</f>
        <v>0</v>
      </c>
      <c r="S5768" s="6" t="str">
        <f>IFERROR(__xludf.DUMMYFUNCTION("""COMPUTED_VALUE"""),"Kimberly Ball")</f>
        <v>Kimberly Ball</v>
      </c>
      <c r="T5768" s="6" t="str">
        <f>IFERROR(__xludf.DUMMYFUNCTION("""COMPUTED_VALUE"""),"kimberly.ball@studient.com")</f>
        <v>kimberly.ball@studient.com</v>
      </c>
      <c r="U5768" s="6" t="str">
        <f>IFERROR(__xludf.DUMMYFUNCTION("""COMPUTED_VALUE"""),"7")</f>
        <v>7</v>
      </c>
      <c r="V5768" s="6" t="str">
        <f>IFERROR(__xludf.DUMMYFUNCTION("""COMPUTED_VALUE"""),"")</f>
        <v/>
      </c>
      <c r="W5768" s="6" t="str">
        <f>IFERROR(__xludf.DUMMYFUNCTION("""COMPUTED_VALUE"""),"[]")</f>
        <v>[]</v>
      </c>
      <c r="X5768" s="6" t="str">
        <f>IFERROR(__xludf.DUMMYFUNCTION("""COMPUTED_VALUE"""),"Enrolled")</f>
        <v>Enrolled</v>
      </c>
    </row>
    <row r="5769">
      <c r="A5769" s="6" t="str">
        <f>IFERROR(__xludf.DUMMYFUNCTION("""COMPUTED_VALUE"""),"087-12366")</f>
        <v>087-12366</v>
      </c>
      <c r="B5769" s="6" t="str">
        <f>IFERROR(__xludf.DUMMYFUNCTION("""COMPUTED_VALUE"""),"87")</f>
        <v>87</v>
      </c>
      <c r="C5769" s="6" t="str">
        <f>IFERROR(__xludf.DUMMYFUNCTION("""COMPUTED_VALUE"""),"12366")</f>
        <v>12366</v>
      </c>
      <c r="D5769" s="6" t="str">
        <f>IFERROR(__xludf.DUMMYFUNCTION("""COMPUTED_VALUE"""),"Keisha")</f>
        <v>Keisha</v>
      </c>
      <c r="E5769" s="6" t="str">
        <f>IFERROR(__xludf.DUMMYFUNCTION("""COMPUTED_VALUE"""),"")</f>
        <v/>
      </c>
      <c r="F5769" s="6" t="str">
        <f>IFERROR(__xludf.DUMMYFUNCTION("""COMPUTED_VALUE"""),"Rosado De la Cruz")</f>
        <v>Rosado De la Cruz</v>
      </c>
      <c r="G5769" s="6" t="str">
        <f>IFERROR(__xludf.DUMMYFUNCTION("""COMPUTED_VALUE"""),"08/29/2014")</f>
        <v>08/29/2014</v>
      </c>
      <c r="H5769" s="6" t="str">
        <f>IFERROR(__xludf.DUMMYFUNCTION("""COMPUTED_VALUE"""),"female")</f>
        <v>female</v>
      </c>
      <c r="I5769" s="6" t="str">
        <f>IFERROR(__xludf.DUMMYFUNCTION("""COMPUTED_VALUE"""),"Middle School")</f>
        <v>Middle School</v>
      </c>
      <c r="J5769" s="6" t="str">
        <f>IFERROR(__xludf.DUMMYFUNCTION("""COMPUTED_VALUE"""),"6")</f>
        <v>6</v>
      </c>
      <c r="K5769" s="6" t="str">
        <f>IFERROR(__xludf.DUMMYFUNCTION("""COMPUTED_VALUE"""),"keisha.rosadodelacruz@2hourlearning.com")</f>
        <v>keisha.rosadodelacruz@2hourlearning.com</v>
      </c>
      <c r="L5769" s="6" t="str">
        <f>IFERROR(__xludf.DUMMYFUNCTION("""COMPUTED_VALUE"""),"JRHS - Ridgeland Secondary Academy of Excellence")</f>
        <v>JRHS - Ridgeland Secondary Academy of Excellence</v>
      </c>
      <c r="M5769" s="6" t="str">
        <f>IFERROR(__xludf.DUMMYFUNCTION("""COMPUTED_VALUE"""),"")</f>
        <v/>
      </c>
      <c r="N5769" s="6" t="str">
        <f>IFERROR(__xludf.DUMMYFUNCTION("""COMPUTED_VALUE"""),"")</f>
        <v/>
      </c>
      <c r="O5769" s="87" t="str">
        <f>IFERROR(__xludf.DUMMYFUNCTION("""COMPUTED_VALUE"""),"https://drive.google.com/drive/folders/10T2cTQHqEJZqE-st6uFKPoI?usp=share_link")</f>
        <v>https://drive.google.com/drive/folders/10T2cTQHqEJZqE-st6uFKPoI?usp=share_link</v>
      </c>
      <c r="P5769" s="6" t="str">
        <f>IFERROR(__xludf.DUMMYFUNCTION("""COMPUTED_VALUE"""),"Keisha Rosado De la Cruz")</f>
        <v>Keisha Rosado De la Cruz</v>
      </c>
      <c r="Q5769" s="6" t="str">
        <f>IFERROR(__xludf.DUMMYFUNCTION("""COMPUTED_VALUE"""),"MS")</f>
        <v>MS</v>
      </c>
      <c r="R5769" s="6">
        <f>IFERROR(__xludf.DUMMYFUNCTION("""COMPUTED_VALUE"""),0.0)</f>
        <v>0</v>
      </c>
      <c r="S5769" s="6" t="str">
        <f>IFERROR(__xludf.DUMMYFUNCTION("""COMPUTED_VALUE"""),"Kimberly Ball")</f>
        <v>Kimberly Ball</v>
      </c>
      <c r="T5769" s="6" t="str">
        <f>IFERROR(__xludf.DUMMYFUNCTION("""COMPUTED_VALUE"""),"kimberly.ball@studient.com")</f>
        <v>kimberly.ball@studient.com</v>
      </c>
      <c r="U5769" s="6" t="str">
        <f>IFERROR(__xludf.DUMMYFUNCTION("""COMPUTED_VALUE"""),"6")</f>
        <v>6</v>
      </c>
      <c r="V5769" s="6" t="str">
        <f>IFERROR(__xludf.DUMMYFUNCTION("""COMPUTED_VALUE"""),"")</f>
        <v/>
      </c>
      <c r="W5769" s="6" t="str">
        <f>IFERROR(__xludf.DUMMYFUNCTION("""COMPUTED_VALUE"""),"[]")</f>
        <v>[]</v>
      </c>
      <c r="X5769" s="6" t="str">
        <f>IFERROR(__xludf.DUMMYFUNCTION("""COMPUTED_VALUE"""),"Enrolled")</f>
        <v>Enrolled</v>
      </c>
    </row>
    <row r="5770">
      <c r="A5770" s="6" t="str">
        <f>IFERROR(__xludf.DUMMYFUNCTION("""COMPUTED_VALUE"""),"087-12367")</f>
        <v>087-12367</v>
      </c>
      <c r="B5770" s="6" t="str">
        <f>IFERROR(__xludf.DUMMYFUNCTION("""COMPUTED_VALUE"""),"87")</f>
        <v>87</v>
      </c>
      <c r="C5770" s="6" t="str">
        <f>IFERROR(__xludf.DUMMYFUNCTION("""COMPUTED_VALUE"""),"12367")</f>
        <v>12367</v>
      </c>
      <c r="D5770" s="6" t="str">
        <f>IFERROR(__xludf.DUMMYFUNCTION("""COMPUTED_VALUE"""),"Aylin")</f>
        <v>Aylin</v>
      </c>
      <c r="E5770" s="6" t="str">
        <f>IFERROR(__xludf.DUMMYFUNCTION("""COMPUTED_VALUE"""),"")</f>
        <v/>
      </c>
      <c r="F5770" s="6" t="str">
        <f>IFERROR(__xludf.DUMMYFUNCTION("""COMPUTED_VALUE"""),"Rubio-Aguilera")</f>
        <v>Rubio-Aguilera</v>
      </c>
      <c r="G5770" s="6" t="str">
        <f>IFERROR(__xludf.DUMMYFUNCTION("""COMPUTED_VALUE"""),"10/27/2010")</f>
        <v>10/27/2010</v>
      </c>
      <c r="H5770" s="6" t="str">
        <f>IFERROR(__xludf.DUMMYFUNCTION("""COMPUTED_VALUE"""),"female")</f>
        <v>female</v>
      </c>
      <c r="I5770" s="6" t="str">
        <f>IFERROR(__xludf.DUMMYFUNCTION("""COMPUTED_VALUE"""),"Middle School")</f>
        <v>Middle School</v>
      </c>
      <c r="J5770" s="6" t="str">
        <f>IFERROR(__xludf.DUMMYFUNCTION("""COMPUTED_VALUE"""),"8")</f>
        <v>8</v>
      </c>
      <c r="K5770" s="6" t="str">
        <f>IFERROR(__xludf.DUMMYFUNCTION("""COMPUTED_VALUE"""),"aylin.rubio-aguilera@2hourlearning.com")</f>
        <v>aylin.rubio-aguilera@2hourlearning.com</v>
      </c>
      <c r="L5770" s="6" t="str">
        <f>IFERROR(__xludf.DUMMYFUNCTION("""COMPUTED_VALUE"""),"JRHS - Ridgeland Secondary Academy of Excellence")</f>
        <v>JRHS - Ridgeland Secondary Academy of Excellence</v>
      </c>
      <c r="M5770" s="6" t="str">
        <f>IFERROR(__xludf.DUMMYFUNCTION("""COMPUTED_VALUE"""),"")</f>
        <v/>
      </c>
      <c r="N5770" s="6" t="str">
        <f>IFERROR(__xludf.DUMMYFUNCTION("""COMPUTED_VALUE"""),"")</f>
        <v/>
      </c>
      <c r="O5770" s="87" t="str">
        <f>IFERROR(__xludf.DUMMYFUNCTION("""COMPUTED_VALUE"""),"https://drive.google.com/drive/folders/10T2cTQHqEJZqE-st6uFKPoI?usp=share_link")</f>
        <v>https://drive.google.com/drive/folders/10T2cTQHqEJZqE-st6uFKPoI?usp=share_link</v>
      </c>
      <c r="P5770" s="6" t="str">
        <f>IFERROR(__xludf.DUMMYFUNCTION("""COMPUTED_VALUE"""),"Aylin Rubio-Aguilera")</f>
        <v>Aylin Rubio-Aguilera</v>
      </c>
      <c r="Q5770" s="6" t="str">
        <f>IFERROR(__xludf.DUMMYFUNCTION("""COMPUTED_VALUE"""),"MS")</f>
        <v>MS</v>
      </c>
      <c r="R5770" s="6">
        <f>IFERROR(__xludf.DUMMYFUNCTION("""COMPUTED_VALUE"""),0.0)</f>
        <v>0</v>
      </c>
      <c r="S5770" s="6" t="str">
        <f>IFERROR(__xludf.DUMMYFUNCTION("""COMPUTED_VALUE"""),"Kimberly Ball")</f>
        <v>Kimberly Ball</v>
      </c>
      <c r="T5770" s="6" t="str">
        <f>IFERROR(__xludf.DUMMYFUNCTION("""COMPUTED_VALUE"""),"kimberly.ball@studient.com")</f>
        <v>kimberly.ball@studient.com</v>
      </c>
      <c r="U5770" s="6" t="str">
        <f>IFERROR(__xludf.DUMMYFUNCTION("""COMPUTED_VALUE"""),"8")</f>
        <v>8</v>
      </c>
      <c r="V5770" s="6" t="str">
        <f>IFERROR(__xludf.DUMMYFUNCTION("""COMPUTED_VALUE"""),"")</f>
        <v/>
      </c>
      <c r="W5770" s="6" t="str">
        <f>IFERROR(__xludf.DUMMYFUNCTION("""COMPUTED_VALUE"""),"[]")</f>
        <v>[]</v>
      </c>
      <c r="X5770" s="6" t="str">
        <f>IFERROR(__xludf.DUMMYFUNCTION("""COMPUTED_VALUE"""),"Enrolled")</f>
        <v>Enrolled</v>
      </c>
    </row>
    <row r="5771">
      <c r="A5771" s="6" t="str">
        <f>IFERROR(__xludf.DUMMYFUNCTION("""COMPUTED_VALUE"""),"087-12368")</f>
        <v>087-12368</v>
      </c>
      <c r="B5771" s="6" t="str">
        <f>IFERROR(__xludf.DUMMYFUNCTION("""COMPUTED_VALUE"""),"87")</f>
        <v>87</v>
      </c>
      <c r="C5771" s="6" t="str">
        <f>IFERROR(__xludf.DUMMYFUNCTION("""COMPUTED_VALUE"""),"12368")</f>
        <v>12368</v>
      </c>
      <c r="D5771" s="6" t="str">
        <f>IFERROR(__xludf.DUMMYFUNCTION("""COMPUTED_VALUE"""),"Yenci")</f>
        <v>Yenci</v>
      </c>
      <c r="E5771" s="6" t="str">
        <f>IFERROR(__xludf.DUMMYFUNCTION("""COMPUTED_VALUE"""),"")</f>
        <v/>
      </c>
      <c r="F5771" s="6" t="str">
        <f>IFERROR(__xludf.DUMMYFUNCTION("""COMPUTED_VALUE"""),"Ruiz Munguia")</f>
        <v>Ruiz Munguia</v>
      </c>
      <c r="G5771" s="6" t="str">
        <f>IFERROR(__xludf.DUMMYFUNCTION("""COMPUTED_VALUE"""),"09/13/2011")</f>
        <v>09/13/2011</v>
      </c>
      <c r="H5771" s="6" t="str">
        <f>IFERROR(__xludf.DUMMYFUNCTION("""COMPUTED_VALUE"""),"female")</f>
        <v>female</v>
      </c>
      <c r="I5771" s="6" t="str">
        <f>IFERROR(__xludf.DUMMYFUNCTION("""COMPUTED_VALUE"""),"Middle School")</f>
        <v>Middle School</v>
      </c>
      <c r="J5771" s="6" t="str">
        <f>IFERROR(__xludf.DUMMYFUNCTION("""COMPUTED_VALUE"""),"8")</f>
        <v>8</v>
      </c>
      <c r="K5771" s="6" t="str">
        <f>IFERROR(__xludf.DUMMYFUNCTION("""COMPUTED_VALUE"""),"yenci.ruizmunguia@2hourlearning.com")</f>
        <v>yenci.ruizmunguia@2hourlearning.com</v>
      </c>
      <c r="L5771" s="6" t="str">
        <f>IFERROR(__xludf.DUMMYFUNCTION("""COMPUTED_VALUE"""),"JRHS - Ridgeland Secondary Academy of Excellence")</f>
        <v>JRHS - Ridgeland Secondary Academy of Excellence</v>
      </c>
      <c r="M5771" s="6" t="str">
        <f>IFERROR(__xludf.DUMMYFUNCTION("""COMPUTED_VALUE"""),"")</f>
        <v/>
      </c>
      <c r="N5771" s="6" t="str">
        <f>IFERROR(__xludf.DUMMYFUNCTION("""COMPUTED_VALUE"""),"")</f>
        <v/>
      </c>
      <c r="O5771" s="87" t="str">
        <f>IFERROR(__xludf.DUMMYFUNCTION("""COMPUTED_VALUE"""),"https://drive.google.com/drive/folders/10T2cTQHqEJZqE-st6uFKPoI?usp=share_link")</f>
        <v>https://drive.google.com/drive/folders/10T2cTQHqEJZqE-st6uFKPoI?usp=share_link</v>
      </c>
      <c r="P5771" s="6" t="str">
        <f>IFERROR(__xludf.DUMMYFUNCTION("""COMPUTED_VALUE"""),"Yenci Ruiz Munguia")</f>
        <v>Yenci Ruiz Munguia</v>
      </c>
      <c r="Q5771" s="6" t="str">
        <f>IFERROR(__xludf.DUMMYFUNCTION("""COMPUTED_VALUE"""),"MS")</f>
        <v>MS</v>
      </c>
      <c r="R5771" s="6">
        <f>IFERROR(__xludf.DUMMYFUNCTION("""COMPUTED_VALUE"""),0.0)</f>
        <v>0</v>
      </c>
      <c r="S5771" s="6" t="str">
        <f>IFERROR(__xludf.DUMMYFUNCTION("""COMPUTED_VALUE"""),"Kimberly Ball")</f>
        <v>Kimberly Ball</v>
      </c>
      <c r="T5771" s="6" t="str">
        <f>IFERROR(__xludf.DUMMYFUNCTION("""COMPUTED_VALUE"""),"kimberly.ball@studient.com")</f>
        <v>kimberly.ball@studient.com</v>
      </c>
      <c r="U5771" s="6" t="str">
        <f>IFERROR(__xludf.DUMMYFUNCTION("""COMPUTED_VALUE"""),"8")</f>
        <v>8</v>
      </c>
      <c r="V5771" s="6" t="str">
        <f>IFERROR(__xludf.DUMMYFUNCTION("""COMPUTED_VALUE"""),"")</f>
        <v/>
      </c>
      <c r="W5771" s="6" t="str">
        <f>IFERROR(__xludf.DUMMYFUNCTION("""COMPUTED_VALUE"""),"[]")</f>
        <v>[]</v>
      </c>
      <c r="X5771" s="6" t="str">
        <f>IFERROR(__xludf.DUMMYFUNCTION("""COMPUTED_VALUE"""),"Enrolled")</f>
        <v>Enrolled</v>
      </c>
    </row>
    <row r="5772">
      <c r="A5772" s="6" t="str">
        <f>IFERROR(__xludf.DUMMYFUNCTION("""COMPUTED_VALUE"""),"087-12369")</f>
        <v>087-12369</v>
      </c>
      <c r="B5772" s="6" t="str">
        <f>IFERROR(__xludf.DUMMYFUNCTION("""COMPUTED_VALUE"""),"87")</f>
        <v>87</v>
      </c>
      <c r="C5772" s="6" t="str">
        <f>IFERROR(__xludf.DUMMYFUNCTION("""COMPUTED_VALUE"""),"12369")</f>
        <v>12369</v>
      </c>
      <c r="D5772" s="6" t="str">
        <f>IFERROR(__xludf.DUMMYFUNCTION("""COMPUTED_VALUE"""),"Aiden")</f>
        <v>Aiden</v>
      </c>
      <c r="E5772" s="6" t="str">
        <f>IFERROR(__xludf.DUMMYFUNCTION("""COMPUTED_VALUE"""),"")</f>
        <v/>
      </c>
      <c r="F5772" s="6" t="str">
        <f>IFERROR(__xludf.DUMMYFUNCTION("""COMPUTED_VALUE"""),"Ruth")</f>
        <v>Ruth</v>
      </c>
      <c r="G5772" s="6" t="str">
        <f>IFERROR(__xludf.DUMMYFUNCTION("""COMPUTED_VALUE"""),"10/27/2013")</f>
        <v>10/27/2013</v>
      </c>
      <c r="H5772" s="6" t="str">
        <f>IFERROR(__xludf.DUMMYFUNCTION("""COMPUTED_VALUE"""),"male")</f>
        <v>male</v>
      </c>
      <c r="I5772" s="6" t="str">
        <f>IFERROR(__xludf.DUMMYFUNCTION("""COMPUTED_VALUE"""),"Middle School")</f>
        <v>Middle School</v>
      </c>
      <c r="J5772" s="6" t="str">
        <f>IFERROR(__xludf.DUMMYFUNCTION("""COMPUTED_VALUE"""),"6")</f>
        <v>6</v>
      </c>
      <c r="K5772" s="6" t="str">
        <f>IFERROR(__xludf.DUMMYFUNCTION("""COMPUTED_VALUE"""),"aiden.ruth@2hourlearning.com")</f>
        <v>aiden.ruth@2hourlearning.com</v>
      </c>
      <c r="L5772" s="6" t="str">
        <f>IFERROR(__xludf.DUMMYFUNCTION("""COMPUTED_VALUE"""),"JRHS - Ridgeland Secondary Academy of Excellence")</f>
        <v>JRHS - Ridgeland Secondary Academy of Excellence</v>
      </c>
      <c r="M5772" s="6" t="str">
        <f>IFERROR(__xludf.DUMMYFUNCTION("""COMPUTED_VALUE"""),"")</f>
        <v/>
      </c>
      <c r="N5772" s="6" t="str">
        <f>IFERROR(__xludf.DUMMYFUNCTION("""COMPUTED_VALUE"""),"")</f>
        <v/>
      </c>
      <c r="O5772" s="87" t="str">
        <f>IFERROR(__xludf.DUMMYFUNCTION("""COMPUTED_VALUE"""),"https://drive.google.com/drive/folders/10T2cTQHqEJZqE-st6uFKPoI?usp=share_link")</f>
        <v>https://drive.google.com/drive/folders/10T2cTQHqEJZqE-st6uFKPoI?usp=share_link</v>
      </c>
      <c r="P5772" s="6" t="str">
        <f>IFERROR(__xludf.DUMMYFUNCTION("""COMPUTED_VALUE"""),"Aiden Ruth")</f>
        <v>Aiden Ruth</v>
      </c>
      <c r="Q5772" s="6" t="str">
        <f>IFERROR(__xludf.DUMMYFUNCTION("""COMPUTED_VALUE"""),"MS")</f>
        <v>MS</v>
      </c>
      <c r="R5772" s="6">
        <f>IFERROR(__xludf.DUMMYFUNCTION("""COMPUTED_VALUE"""),0.0)</f>
        <v>0</v>
      </c>
      <c r="S5772" s="6" t="str">
        <f>IFERROR(__xludf.DUMMYFUNCTION("""COMPUTED_VALUE"""),"Kimberly Ball")</f>
        <v>Kimberly Ball</v>
      </c>
      <c r="T5772" s="6" t="str">
        <f>IFERROR(__xludf.DUMMYFUNCTION("""COMPUTED_VALUE"""),"kimberly.ball@studient.com")</f>
        <v>kimberly.ball@studient.com</v>
      </c>
      <c r="U5772" s="6" t="str">
        <f>IFERROR(__xludf.DUMMYFUNCTION("""COMPUTED_VALUE"""),"6")</f>
        <v>6</v>
      </c>
      <c r="V5772" s="6" t="str">
        <f>IFERROR(__xludf.DUMMYFUNCTION("""COMPUTED_VALUE"""),"")</f>
        <v/>
      </c>
      <c r="W5772" s="6" t="str">
        <f>IFERROR(__xludf.DUMMYFUNCTION("""COMPUTED_VALUE"""),"[]")</f>
        <v>[]</v>
      </c>
      <c r="X5772" s="6" t="str">
        <f>IFERROR(__xludf.DUMMYFUNCTION("""COMPUTED_VALUE"""),"Enrolled")</f>
        <v>Enrolled</v>
      </c>
    </row>
    <row r="5773">
      <c r="A5773" s="6" t="str">
        <f>IFERROR(__xludf.DUMMYFUNCTION("""COMPUTED_VALUE"""),"087-12370")</f>
        <v>087-12370</v>
      </c>
      <c r="B5773" s="6" t="str">
        <f>IFERROR(__xludf.DUMMYFUNCTION("""COMPUTED_VALUE"""),"87")</f>
        <v>87</v>
      </c>
      <c r="C5773" s="6" t="str">
        <f>IFERROR(__xludf.DUMMYFUNCTION("""COMPUTED_VALUE"""),"12370")</f>
        <v>12370</v>
      </c>
      <c r="D5773" s="6" t="str">
        <f>IFERROR(__xludf.DUMMYFUNCTION("""COMPUTED_VALUE"""),"Hayden")</f>
        <v>Hayden</v>
      </c>
      <c r="E5773" s="6" t="str">
        <f>IFERROR(__xludf.DUMMYFUNCTION("""COMPUTED_VALUE"""),"")</f>
        <v/>
      </c>
      <c r="F5773" s="6" t="str">
        <f>IFERROR(__xludf.DUMMYFUNCTION("""COMPUTED_VALUE"""),"Ryea")</f>
        <v>Ryea</v>
      </c>
      <c r="G5773" s="6" t="str">
        <f>IFERROR(__xludf.DUMMYFUNCTION("""COMPUTED_VALUE"""),"11/22/2011")</f>
        <v>11/22/2011</v>
      </c>
      <c r="H5773" s="6" t="str">
        <f>IFERROR(__xludf.DUMMYFUNCTION("""COMPUTED_VALUE"""),"female")</f>
        <v>female</v>
      </c>
      <c r="I5773" s="6" t="str">
        <f>IFERROR(__xludf.DUMMYFUNCTION("""COMPUTED_VALUE"""),"Middle School")</f>
        <v>Middle School</v>
      </c>
      <c r="J5773" s="6" t="str">
        <f>IFERROR(__xludf.DUMMYFUNCTION("""COMPUTED_VALUE"""),"8")</f>
        <v>8</v>
      </c>
      <c r="K5773" s="6" t="str">
        <f>IFERROR(__xludf.DUMMYFUNCTION("""COMPUTED_VALUE"""),"hayden.ryea@2hourlearning.com")</f>
        <v>hayden.ryea@2hourlearning.com</v>
      </c>
      <c r="L5773" s="6" t="str">
        <f>IFERROR(__xludf.DUMMYFUNCTION("""COMPUTED_VALUE"""),"JRHS - Ridgeland Secondary Academy of Excellence")</f>
        <v>JRHS - Ridgeland Secondary Academy of Excellence</v>
      </c>
      <c r="M5773" s="6" t="str">
        <f>IFERROR(__xludf.DUMMYFUNCTION("""COMPUTED_VALUE"""),"")</f>
        <v/>
      </c>
      <c r="N5773" s="6" t="str">
        <f>IFERROR(__xludf.DUMMYFUNCTION("""COMPUTED_VALUE"""),"")</f>
        <v/>
      </c>
      <c r="O5773" s="87" t="str">
        <f>IFERROR(__xludf.DUMMYFUNCTION("""COMPUTED_VALUE"""),"https://drive.google.com/drive/folders/10T2cTQHqEJZqE-st6uFKPoI?usp=share_link")</f>
        <v>https://drive.google.com/drive/folders/10T2cTQHqEJZqE-st6uFKPoI?usp=share_link</v>
      </c>
      <c r="P5773" s="6" t="str">
        <f>IFERROR(__xludf.DUMMYFUNCTION("""COMPUTED_VALUE"""),"Hayden Ryea")</f>
        <v>Hayden Ryea</v>
      </c>
      <c r="Q5773" s="6" t="str">
        <f>IFERROR(__xludf.DUMMYFUNCTION("""COMPUTED_VALUE"""),"MS")</f>
        <v>MS</v>
      </c>
      <c r="R5773" s="6">
        <f>IFERROR(__xludf.DUMMYFUNCTION("""COMPUTED_VALUE"""),0.0)</f>
        <v>0</v>
      </c>
      <c r="S5773" s="6" t="str">
        <f>IFERROR(__xludf.DUMMYFUNCTION("""COMPUTED_VALUE"""),"Kimberly Ball")</f>
        <v>Kimberly Ball</v>
      </c>
      <c r="T5773" s="6" t="str">
        <f>IFERROR(__xludf.DUMMYFUNCTION("""COMPUTED_VALUE"""),"kimberly.ball@studient.com")</f>
        <v>kimberly.ball@studient.com</v>
      </c>
      <c r="U5773" s="6" t="str">
        <f>IFERROR(__xludf.DUMMYFUNCTION("""COMPUTED_VALUE"""),"8")</f>
        <v>8</v>
      </c>
      <c r="V5773" s="6" t="str">
        <f>IFERROR(__xludf.DUMMYFUNCTION("""COMPUTED_VALUE"""),"")</f>
        <v/>
      </c>
      <c r="W5773" s="6" t="str">
        <f>IFERROR(__xludf.DUMMYFUNCTION("""COMPUTED_VALUE"""),"[]")</f>
        <v>[]</v>
      </c>
      <c r="X5773" s="6" t="str">
        <f>IFERROR(__xludf.DUMMYFUNCTION("""COMPUTED_VALUE"""),"Enrolled")</f>
        <v>Enrolled</v>
      </c>
    </row>
    <row r="5774">
      <c r="A5774" s="6" t="str">
        <f>IFERROR(__xludf.DUMMYFUNCTION("""COMPUTED_VALUE"""),"087-12371")</f>
        <v>087-12371</v>
      </c>
      <c r="B5774" s="6" t="str">
        <f>IFERROR(__xludf.DUMMYFUNCTION("""COMPUTED_VALUE"""),"87")</f>
        <v>87</v>
      </c>
      <c r="C5774" s="6" t="str">
        <f>IFERROR(__xludf.DUMMYFUNCTION("""COMPUTED_VALUE"""),"12371")</f>
        <v>12371</v>
      </c>
      <c r="D5774" s="6" t="str">
        <f>IFERROR(__xludf.DUMMYFUNCTION("""COMPUTED_VALUE"""),"Pamela")</f>
        <v>Pamela</v>
      </c>
      <c r="E5774" s="6" t="str">
        <f>IFERROR(__xludf.DUMMYFUNCTION("""COMPUTED_VALUE"""),"")</f>
        <v/>
      </c>
      <c r="F5774" s="6" t="str">
        <f>IFERROR(__xludf.DUMMYFUNCTION("""COMPUTED_VALUE"""),"Salazar")</f>
        <v>Salazar</v>
      </c>
      <c r="G5774" s="6" t="str">
        <f>IFERROR(__xludf.DUMMYFUNCTION("""COMPUTED_VALUE"""),"07/31/2013")</f>
        <v>07/31/2013</v>
      </c>
      <c r="H5774" s="6" t="str">
        <f>IFERROR(__xludf.DUMMYFUNCTION("""COMPUTED_VALUE"""),"female")</f>
        <v>female</v>
      </c>
      <c r="I5774" s="6" t="str">
        <f>IFERROR(__xludf.DUMMYFUNCTION("""COMPUTED_VALUE"""),"Middle School")</f>
        <v>Middle School</v>
      </c>
      <c r="J5774" s="6" t="str">
        <f>IFERROR(__xludf.DUMMYFUNCTION("""COMPUTED_VALUE"""),"7")</f>
        <v>7</v>
      </c>
      <c r="K5774" s="6" t="str">
        <f>IFERROR(__xludf.DUMMYFUNCTION("""COMPUTED_VALUE"""),"pamela.salazar@2hourlearning.com")</f>
        <v>pamela.salazar@2hourlearning.com</v>
      </c>
      <c r="L5774" s="6" t="str">
        <f>IFERROR(__xludf.DUMMYFUNCTION("""COMPUTED_VALUE"""),"JRHS - Ridgeland Secondary Academy of Excellence")</f>
        <v>JRHS - Ridgeland Secondary Academy of Excellence</v>
      </c>
      <c r="M5774" s="6" t="str">
        <f>IFERROR(__xludf.DUMMYFUNCTION("""COMPUTED_VALUE"""),"")</f>
        <v/>
      </c>
      <c r="N5774" s="6" t="str">
        <f>IFERROR(__xludf.DUMMYFUNCTION("""COMPUTED_VALUE"""),"")</f>
        <v/>
      </c>
      <c r="O5774" s="87" t="str">
        <f>IFERROR(__xludf.DUMMYFUNCTION("""COMPUTED_VALUE"""),"https://drive.google.com/drive/folders/10T2cTQHqEJZqE-st6uFKPoI?usp=share_link")</f>
        <v>https://drive.google.com/drive/folders/10T2cTQHqEJZqE-st6uFKPoI?usp=share_link</v>
      </c>
      <c r="P5774" s="6" t="str">
        <f>IFERROR(__xludf.DUMMYFUNCTION("""COMPUTED_VALUE"""),"Pamela Salazar")</f>
        <v>Pamela Salazar</v>
      </c>
      <c r="Q5774" s="6" t="str">
        <f>IFERROR(__xludf.DUMMYFUNCTION("""COMPUTED_VALUE"""),"MS")</f>
        <v>MS</v>
      </c>
      <c r="R5774" s="6">
        <f>IFERROR(__xludf.DUMMYFUNCTION("""COMPUTED_VALUE"""),0.0)</f>
        <v>0</v>
      </c>
      <c r="S5774" s="6" t="str">
        <f>IFERROR(__xludf.DUMMYFUNCTION("""COMPUTED_VALUE"""),"Kimberly Ball")</f>
        <v>Kimberly Ball</v>
      </c>
      <c r="T5774" s="6" t="str">
        <f>IFERROR(__xludf.DUMMYFUNCTION("""COMPUTED_VALUE"""),"kimberly.ball@studient.com")</f>
        <v>kimberly.ball@studient.com</v>
      </c>
      <c r="U5774" s="6" t="str">
        <f>IFERROR(__xludf.DUMMYFUNCTION("""COMPUTED_VALUE"""),"7")</f>
        <v>7</v>
      </c>
      <c r="V5774" s="6" t="str">
        <f>IFERROR(__xludf.DUMMYFUNCTION("""COMPUTED_VALUE"""),"")</f>
        <v/>
      </c>
      <c r="W5774" s="6" t="str">
        <f>IFERROR(__xludf.DUMMYFUNCTION("""COMPUTED_VALUE"""),"[]")</f>
        <v>[]</v>
      </c>
      <c r="X5774" s="6" t="str">
        <f>IFERROR(__xludf.DUMMYFUNCTION("""COMPUTED_VALUE"""),"Enrolled")</f>
        <v>Enrolled</v>
      </c>
    </row>
    <row r="5775">
      <c r="A5775" s="6" t="str">
        <f>IFERROR(__xludf.DUMMYFUNCTION("""COMPUTED_VALUE"""),"087-12372")</f>
        <v>087-12372</v>
      </c>
      <c r="B5775" s="6" t="str">
        <f>IFERROR(__xludf.DUMMYFUNCTION("""COMPUTED_VALUE"""),"87")</f>
        <v>87</v>
      </c>
      <c r="C5775" s="6" t="str">
        <f>IFERROR(__xludf.DUMMYFUNCTION("""COMPUTED_VALUE"""),"12372")</f>
        <v>12372</v>
      </c>
      <c r="D5775" s="6" t="str">
        <f>IFERROR(__xludf.DUMMYFUNCTION("""COMPUTED_VALUE"""),"Rosie")</f>
        <v>Rosie</v>
      </c>
      <c r="E5775" s="6" t="str">
        <f>IFERROR(__xludf.DUMMYFUNCTION("""COMPUTED_VALUE"""),"")</f>
        <v/>
      </c>
      <c r="F5775" s="6" t="str">
        <f>IFERROR(__xludf.DUMMYFUNCTION("""COMPUTED_VALUE"""),"Salazar")</f>
        <v>Salazar</v>
      </c>
      <c r="G5775" s="6" t="str">
        <f>IFERROR(__xludf.DUMMYFUNCTION("""COMPUTED_VALUE"""),"08/10/2012")</f>
        <v>08/10/2012</v>
      </c>
      <c r="H5775" s="6" t="str">
        <f>IFERROR(__xludf.DUMMYFUNCTION("""COMPUTED_VALUE"""),"female")</f>
        <v>female</v>
      </c>
      <c r="I5775" s="6" t="str">
        <f>IFERROR(__xludf.DUMMYFUNCTION("""COMPUTED_VALUE"""),"Middle School")</f>
        <v>Middle School</v>
      </c>
      <c r="J5775" s="6" t="str">
        <f>IFERROR(__xludf.DUMMYFUNCTION("""COMPUTED_VALUE"""),"8")</f>
        <v>8</v>
      </c>
      <c r="K5775" s="6" t="str">
        <f>IFERROR(__xludf.DUMMYFUNCTION("""COMPUTED_VALUE"""),"rosie.salazar@2hourlearning.com")</f>
        <v>rosie.salazar@2hourlearning.com</v>
      </c>
      <c r="L5775" s="6" t="str">
        <f>IFERROR(__xludf.DUMMYFUNCTION("""COMPUTED_VALUE"""),"JRHS - Ridgeland Secondary Academy of Excellence")</f>
        <v>JRHS - Ridgeland Secondary Academy of Excellence</v>
      </c>
      <c r="M5775" s="6" t="str">
        <f>IFERROR(__xludf.DUMMYFUNCTION("""COMPUTED_VALUE"""),"")</f>
        <v/>
      </c>
      <c r="N5775" s="6" t="str">
        <f>IFERROR(__xludf.DUMMYFUNCTION("""COMPUTED_VALUE"""),"")</f>
        <v/>
      </c>
      <c r="O5775" s="87" t="str">
        <f>IFERROR(__xludf.DUMMYFUNCTION("""COMPUTED_VALUE"""),"https://drive.google.com/drive/folders/10T2cTQHqEJZqE-st6uFKPoI?usp=share_link")</f>
        <v>https://drive.google.com/drive/folders/10T2cTQHqEJZqE-st6uFKPoI?usp=share_link</v>
      </c>
      <c r="P5775" s="6" t="str">
        <f>IFERROR(__xludf.DUMMYFUNCTION("""COMPUTED_VALUE"""),"Rosie Salazar")</f>
        <v>Rosie Salazar</v>
      </c>
      <c r="Q5775" s="6" t="str">
        <f>IFERROR(__xludf.DUMMYFUNCTION("""COMPUTED_VALUE"""),"MS")</f>
        <v>MS</v>
      </c>
      <c r="R5775" s="6">
        <f>IFERROR(__xludf.DUMMYFUNCTION("""COMPUTED_VALUE"""),0.0)</f>
        <v>0</v>
      </c>
      <c r="S5775" s="6" t="str">
        <f>IFERROR(__xludf.DUMMYFUNCTION("""COMPUTED_VALUE"""),"Kimberly Ball")</f>
        <v>Kimberly Ball</v>
      </c>
      <c r="T5775" s="6" t="str">
        <f>IFERROR(__xludf.DUMMYFUNCTION("""COMPUTED_VALUE"""),"kimberly.ball@studient.com")</f>
        <v>kimberly.ball@studient.com</v>
      </c>
      <c r="U5775" s="6" t="str">
        <f>IFERROR(__xludf.DUMMYFUNCTION("""COMPUTED_VALUE"""),"8")</f>
        <v>8</v>
      </c>
      <c r="V5775" s="6" t="str">
        <f>IFERROR(__xludf.DUMMYFUNCTION("""COMPUTED_VALUE"""),"")</f>
        <v/>
      </c>
      <c r="W5775" s="6" t="str">
        <f>IFERROR(__xludf.DUMMYFUNCTION("""COMPUTED_VALUE"""),"[]")</f>
        <v>[]</v>
      </c>
      <c r="X5775" s="6" t="str">
        <f>IFERROR(__xludf.DUMMYFUNCTION("""COMPUTED_VALUE"""),"Enrolled")</f>
        <v>Enrolled</v>
      </c>
    </row>
    <row r="5776">
      <c r="A5776" s="6" t="str">
        <f>IFERROR(__xludf.DUMMYFUNCTION("""COMPUTED_VALUE"""),"087-12373")</f>
        <v>087-12373</v>
      </c>
      <c r="B5776" s="6" t="str">
        <f>IFERROR(__xludf.DUMMYFUNCTION("""COMPUTED_VALUE"""),"87")</f>
        <v>87</v>
      </c>
      <c r="C5776" s="6" t="str">
        <f>IFERROR(__xludf.DUMMYFUNCTION("""COMPUTED_VALUE"""),"12373")</f>
        <v>12373</v>
      </c>
      <c r="D5776" s="6" t="str">
        <f>IFERROR(__xludf.DUMMYFUNCTION("""COMPUTED_VALUE"""),"Alan")</f>
        <v>Alan</v>
      </c>
      <c r="E5776" s="6" t="str">
        <f>IFERROR(__xludf.DUMMYFUNCTION("""COMPUTED_VALUE"""),"")</f>
        <v/>
      </c>
      <c r="F5776" s="6" t="str">
        <f>IFERROR(__xludf.DUMMYFUNCTION("""COMPUTED_VALUE"""),"Sanchez")</f>
        <v>Sanchez</v>
      </c>
      <c r="G5776" s="6" t="str">
        <f>IFERROR(__xludf.DUMMYFUNCTION("""COMPUTED_VALUE"""),"10/03/2011")</f>
        <v>10/03/2011</v>
      </c>
      <c r="H5776" s="6" t="str">
        <f>IFERROR(__xludf.DUMMYFUNCTION("""COMPUTED_VALUE"""),"male")</f>
        <v>male</v>
      </c>
      <c r="I5776" s="6" t="str">
        <f>IFERROR(__xludf.DUMMYFUNCTION("""COMPUTED_VALUE"""),"Middle School")</f>
        <v>Middle School</v>
      </c>
      <c r="J5776" s="6" t="str">
        <f>IFERROR(__xludf.DUMMYFUNCTION("""COMPUTED_VALUE"""),"8")</f>
        <v>8</v>
      </c>
      <c r="K5776" s="6" t="str">
        <f>IFERROR(__xludf.DUMMYFUNCTION("""COMPUTED_VALUE"""),"alan.sanchez@2hourlearning.com")</f>
        <v>alan.sanchez@2hourlearning.com</v>
      </c>
      <c r="L5776" s="6" t="str">
        <f>IFERROR(__xludf.DUMMYFUNCTION("""COMPUTED_VALUE"""),"JRHS - Ridgeland Secondary Academy of Excellence")</f>
        <v>JRHS - Ridgeland Secondary Academy of Excellence</v>
      </c>
      <c r="M5776" s="6" t="str">
        <f>IFERROR(__xludf.DUMMYFUNCTION("""COMPUTED_VALUE"""),"")</f>
        <v/>
      </c>
      <c r="N5776" s="6" t="str">
        <f>IFERROR(__xludf.DUMMYFUNCTION("""COMPUTED_VALUE"""),"")</f>
        <v/>
      </c>
      <c r="O5776" s="87" t="str">
        <f>IFERROR(__xludf.DUMMYFUNCTION("""COMPUTED_VALUE"""),"https://drive.google.com/drive/folders/10T2cTQHqEJZqE-st6uFKPoI?usp=share_link")</f>
        <v>https://drive.google.com/drive/folders/10T2cTQHqEJZqE-st6uFKPoI?usp=share_link</v>
      </c>
      <c r="P5776" s="6" t="str">
        <f>IFERROR(__xludf.DUMMYFUNCTION("""COMPUTED_VALUE"""),"Alan Sanchez")</f>
        <v>Alan Sanchez</v>
      </c>
      <c r="Q5776" s="6" t="str">
        <f>IFERROR(__xludf.DUMMYFUNCTION("""COMPUTED_VALUE"""),"MS")</f>
        <v>MS</v>
      </c>
      <c r="R5776" s="6">
        <f>IFERROR(__xludf.DUMMYFUNCTION("""COMPUTED_VALUE"""),0.0)</f>
        <v>0</v>
      </c>
      <c r="S5776" s="6" t="str">
        <f>IFERROR(__xludf.DUMMYFUNCTION("""COMPUTED_VALUE"""),"Kimberly Ball")</f>
        <v>Kimberly Ball</v>
      </c>
      <c r="T5776" s="6" t="str">
        <f>IFERROR(__xludf.DUMMYFUNCTION("""COMPUTED_VALUE"""),"kimberly.ball@studient.com")</f>
        <v>kimberly.ball@studient.com</v>
      </c>
      <c r="U5776" s="6" t="str">
        <f>IFERROR(__xludf.DUMMYFUNCTION("""COMPUTED_VALUE"""),"8")</f>
        <v>8</v>
      </c>
      <c r="V5776" s="6" t="str">
        <f>IFERROR(__xludf.DUMMYFUNCTION("""COMPUTED_VALUE"""),"")</f>
        <v/>
      </c>
      <c r="W5776" s="6" t="str">
        <f>IFERROR(__xludf.DUMMYFUNCTION("""COMPUTED_VALUE"""),"[]")</f>
        <v>[]</v>
      </c>
      <c r="X5776" s="6" t="str">
        <f>IFERROR(__xludf.DUMMYFUNCTION("""COMPUTED_VALUE"""),"Enrolled")</f>
        <v>Enrolled</v>
      </c>
    </row>
    <row r="5777">
      <c r="A5777" s="6" t="str">
        <f>IFERROR(__xludf.DUMMYFUNCTION("""COMPUTED_VALUE"""),"087-12374")</f>
        <v>087-12374</v>
      </c>
      <c r="B5777" s="6" t="str">
        <f>IFERROR(__xludf.DUMMYFUNCTION("""COMPUTED_VALUE"""),"87")</f>
        <v>87</v>
      </c>
      <c r="C5777" s="6" t="str">
        <f>IFERROR(__xludf.DUMMYFUNCTION("""COMPUTED_VALUE"""),"12374")</f>
        <v>12374</v>
      </c>
      <c r="D5777" s="6" t="str">
        <f>IFERROR(__xludf.DUMMYFUNCTION("""COMPUTED_VALUE"""),"Jeferson")</f>
        <v>Jeferson</v>
      </c>
      <c r="E5777" s="6" t="str">
        <f>IFERROR(__xludf.DUMMYFUNCTION("""COMPUTED_VALUE"""),"")</f>
        <v/>
      </c>
      <c r="F5777" s="6" t="str">
        <f>IFERROR(__xludf.DUMMYFUNCTION("""COMPUTED_VALUE"""),"Santos Perdomo")</f>
        <v>Santos Perdomo</v>
      </c>
      <c r="G5777" s="6" t="str">
        <f>IFERROR(__xludf.DUMMYFUNCTION("""COMPUTED_VALUE"""),"07/17/2011")</f>
        <v>07/17/2011</v>
      </c>
      <c r="H5777" s="6" t="str">
        <f>IFERROR(__xludf.DUMMYFUNCTION("""COMPUTED_VALUE"""),"male")</f>
        <v>male</v>
      </c>
      <c r="I5777" s="6" t="str">
        <f>IFERROR(__xludf.DUMMYFUNCTION("""COMPUTED_VALUE"""),"Middle School")</f>
        <v>Middle School</v>
      </c>
      <c r="J5777" s="6" t="str">
        <f>IFERROR(__xludf.DUMMYFUNCTION("""COMPUTED_VALUE"""),"8")</f>
        <v>8</v>
      </c>
      <c r="K5777" s="6" t="str">
        <f>IFERROR(__xludf.DUMMYFUNCTION("""COMPUTED_VALUE"""),"jeferson.santosperdomo@2hourlearning.com")</f>
        <v>jeferson.santosperdomo@2hourlearning.com</v>
      </c>
      <c r="L5777" s="6" t="str">
        <f>IFERROR(__xludf.DUMMYFUNCTION("""COMPUTED_VALUE"""),"JRHS - Ridgeland Secondary Academy of Excellence")</f>
        <v>JRHS - Ridgeland Secondary Academy of Excellence</v>
      </c>
      <c r="M5777" s="6" t="str">
        <f>IFERROR(__xludf.DUMMYFUNCTION("""COMPUTED_VALUE"""),"")</f>
        <v/>
      </c>
      <c r="N5777" s="6" t="str">
        <f>IFERROR(__xludf.DUMMYFUNCTION("""COMPUTED_VALUE"""),"")</f>
        <v/>
      </c>
      <c r="O5777" s="87" t="str">
        <f>IFERROR(__xludf.DUMMYFUNCTION("""COMPUTED_VALUE"""),"https://drive.google.com/drive/folders/10T2cTQHqEJZqE-st6uFKPoI?usp=share_link")</f>
        <v>https://drive.google.com/drive/folders/10T2cTQHqEJZqE-st6uFKPoI?usp=share_link</v>
      </c>
      <c r="P5777" s="6" t="str">
        <f>IFERROR(__xludf.DUMMYFUNCTION("""COMPUTED_VALUE"""),"Jeferson Santos Perdomo")</f>
        <v>Jeferson Santos Perdomo</v>
      </c>
      <c r="Q5777" s="6" t="str">
        <f>IFERROR(__xludf.DUMMYFUNCTION("""COMPUTED_VALUE"""),"MS")</f>
        <v>MS</v>
      </c>
      <c r="R5777" s="6">
        <f>IFERROR(__xludf.DUMMYFUNCTION("""COMPUTED_VALUE"""),0.0)</f>
        <v>0</v>
      </c>
      <c r="S5777" s="6" t="str">
        <f>IFERROR(__xludf.DUMMYFUNCTION("""COMPUTED_VALUE"""),"Kimberly Ball")</f>
        <v>Kimberly Ball</v>
      </c>
      <c r="T5777" s="6" t="str">
        <f>IFERROR(__xludf.DUMMYFUNCTION("""COMPUTED_VALUE"""),"kimberly.ball@studient.com")</f>
        <v>kimberly.ball@studient.com</v>
      </c>
      <c r="U5777" s="6" t="str">
        <f>IFERROR(__xludf.DUMMYFUNCTION("""COMPUTED_VALUE"""),"8")</f>
        <v>8</v>
      </c>
      <c r="V5777" s="6" t="str">
        <f>IFERROR(__xludf.DUMMYFUNCTION("""COMPUTED_VALUE"""),"")</f>
        <v/>
      </c>
      <c r="W5777" s="6" t="str">
        <f>IFERROR(__xludf.DUMMYFUNCTION("""COMPUTED_VALUE"""),"[]")</f>
        <v>[]</v>
      </c>
      <c r="X5777" s="6" t="str">
        <f>IFERROR(__xludf.DUMMYFUNCTION("""COMPUTED_VALUE"""),"Enrolled")</f>
        <v>Enrolled</v>
      </c>
    </row>
    <row r="5778">
      <c r="A5778" s="6" t="str">
        <f>IFERROR(__xludf.DUMMYFUNCTION("""COMPUTED_VALUE"""),"087-12375")</f>
        <v>087-12375</v>
      </c>
      <c r="B5778" s="6" t="str">
        <f>IFERROR(__xludf.DUMMYFUNCTION("""COMPUTED_VALUE"""),"87")</f>
        <v>87</v>
      </c>
      <c r="C5778" s="6" t="str">
        <f>IFERROR(__xludf.DUMMYFUNCTION("""COMPUTED_VALUE"""),"12375")</f>
        <v>12375</v>
      </c>
      <c r="D5778" s="6" t="str">
        <f>IFERROR(__xludf.DUMMYFUNCTION("""COMPUTED_VALUE"""),"Suyian")</f>
        <v>Suyian</v>
      </c>
      <c r="E5778" s="6" t="str">
        <f>IFERROR(__xludf.DUMMYFUNCTION("""COMPUTED_VALUE"""),"")</f>
        <v/>
      </c>
      <c r="F5778" s="6" t="str">
        <f>IFERROR(__xludf.DUMMYFUNCTION("""COMPUTED_VALUE"""),"Santos Rosario")</f>
        <v>Santos Rosario</v>
      </c>
      <c r="G5778" s="6" t="str">
        <f>IFERROR(__xludf.DUMMYFUNCTION("""COMPUTED_VALUE"""),"05/02/2012")</f>
        <v>05/02/2012</v>
      </c>
      <c r="H5778" s="6" t="str">
        <f>IFERROR(__xludf.DUMMYFUNCTION("""COMPUTED_VALUE"""),"male")</f>
        <v>male</v>
      </c>
      <c r="I5778" s="6" t="str">
        <f>IFERROR(__xludf.DUMMYFUNCTION("""COMPUTED_VALUE"""),"Middle School")</f>
        <v>Middle School</v>
      </c>
      <c r="J5778" s="6" t="str">
        <f>IFERROR(__xludf.DUMMYFUNCTION("""COMPUTED_VALUE"""),"8")</f>
        <v>8</v>
      </c>
      <c r="K5778" s="6" t="str">
        <f>IFERROR(__xludf.DUMMYFUNCTION("""COMPUTED_VALUE"""),"suyian.santosrosario@2hourlearning.com")</f>
        <v>suyian.santosrosario@2hourlearning.com</v>
      </c>
      <c r="L5778" s="6" t="str">
        <f>IFERROR(__xludf.DUMMYFUNCTION("""COMPUTED_VALUE"""),"JRHS - Ridgeland Secondary Academy of Excellence")</f>
        <v>JRHS - Ridgeland Secondary Academy of Excellence</v>
      </c>
      <c r="M5778" s="6" t="str">
        <f>IFERROR(__xludf.DUMMYFUNCTION("""COMPUTED_VALUE"""),"")</f>
        <v/>
      </c>
      <c r="N5778" s="6" t="str">
        <f>IFERROR(__xludf.DUMMYFUNCTION("""COMPUTED_VALUE"""),"")</f>
        <v/>
      </c>
      <c r="O5778" s="87" t="str">
        <f>IFERROR(__xludf.DUMMYFUNCTION("""COMPUTED_VALUE"""),"https://drive.google.com/drive/folders/10T2cTQHqEJZqE-st6uFKPoI?usp=share_link")</f>
        <v>https://drive.google.com/drive/folders/10T2cTQHqEJZqE-st6uFKPoI?usp=share_link</v>
      </c>
      <c r="P5778" s="6" t="str">
        <f>IFERROR(__xludf.DUMMYFUNCTION("""COMPUTED_VALUE"""),"Suyian Santos Rosario")</f>
        <v>Suyian Santos Rosario</v>
      </c>
      <c r="Q5778" s="6" t="str">
        <f>IFERROR(__xludf.DUMMYFUNCTION("""COMPUTED_VALUE"""),"MS")</f>
        <v>MS</v>
      </c>
      <c r="R5778" s="6">
        <f>IFERROR(__xludf.DUMMYFUNCTION("""COMPUTED_VALUE"""),0.0)</f>
        <v>0</v>
      </c>
      <c r="S5778" s="6" t="str">
        <f>IFERROR(__xludf.DUMMYFUNCTION("""COMPUTED_VALUE"""),"Kimberly Ball")</f>
        <v>Kimberly Ball</v>
      </c>
      <c r="T5778" s="6" t="str">
        <f>IFERROR(__xludf.DUMMYFUNCTION("""COMPUTED_VALUE"""),"kimberly.ball@studient.com")</f>
        <v>kimberly.ball@studient.com</v>
      </c>
      <c r="U5778" s="6" t="str">
        <f>IFERROR(__xludf.DUMMYFUNCTION("""COMPUTED_VALUE"""),"8")</f>
        <v>8</v>
      </c>
      <c r="V5778" s="6" t="str">
        <f>IFERROR(__xludf.DUMMYFUNCTION("""COMPUTED_VALUE"""),"")</f>
        <v/>
      </c>
      <c r="W5778" s="6" t="str">
        <f>IFERROR(__xludf.DUMMYFUNCTION("""COMPUTED_VALUE"""),"[]")</f>
        <v>[]</v>
      </c>
      <c r="X5778" s="6" t="str">
        <f>IFERROR(__xludf.DUMMYFUNCTION("""COMPUTED_VALUE"""),"Enrolled")</f>
        <v>Enrolled</v>
      </c>
    </row>
    <row r="5779">
      <c r="A5779" s="6" t="str">
        <f>IFERROR(__xludf.DUMMYFUNCTION("""COMPUTED_VALUE"""),"087-12376")</f>
        <v>087-12376</v>
      </c>
      <c r="B5779" s="6" t="str">
        <f>IFERROR(__xludf.DUMMYFUNCTION("""COMPUTED_VALUE"""),"87")</f>
        <v>87</v>
      </c>
      <c r="C5779" s="6" t="str">
        <f>IFERROR(__xludf.DUMMYFUNCTION("""COMPUTED_VALUE"""),"12376")</f>
        <v>12376</v>
      </c>
      <c r="D5779" s="6" t="str">
        <f>IFERROR(__xludf.DUMMYFUNCTION("""COMPUTED_VALUE"""),"Sharlin")</f>
        <v>Sharlin</v>
      </c>
      <c r="E5779" s="6" t="str">
        <f>IFERROR(__xludf.DUMMYFUNCTION("""COMPUTED_VALUE"""),"")</f>
        <v/>
      </c>
      <c r="F5779" s="6" t="str">
        <f>IFERROR(__xludf.DUMMYFUNCTION("""COMPUTED_VALUE"""),"Saybe")</f>
        <v>Saybe</v>
      </c>
      <c r="G5779" s="6" t="str">
        <f>IFERROR(__xludf.DUMMYFUNCTION("""COMPUTED_VALUE"""),"09/26/2014")</f>
        <v>09/26/2014</v>
      </c>
      <c r="H5779" s="6" t="str">
        <f>IFERROR(__xludf.DUMMYFUNCTION("""COMPUTED_VALUE"""),"female")</f>
        <v>female</v>
      </c>
      <c r="I5779" s="6" t="str">
        <f>IFERROR(__xludf.DUMMYFUNCTION("""COMPUTED_VALUE"""),"Middle School")</f>
        <v>Middle School</v>
      </c>
      <c r="J5779" s="6" t="str">
        <f>IFERROR(__xludf.DUMMYFUNCTION("""COMPUTED_VALUE"""),"6")</f>
        <v>6</v>
      </c>
      <c r="K5779" s="6" t="str">
        <f>IFERROR(__xludf.DUMMYFUNCTION("""COMPUTED_VALUE"""),"sharlin.saybe@2hourlearning.com")</f>
        <v>sharlin.saybe@2hourlearning.com</v>
      </c>
      <c r="L5779" s="6" t="str">
        <f>IFERROR(__xludf.DUMMYFUNCTION("""COMPUTED_VALUE"""),"JRHS - Ridgeland Secondary Academy of Excellence")</f>
        <v>JRHS - Ridgeland Secondary Academy of Excellence</v>
      </c>
      <c r="M5779" s="6" t="str">
        <f>IFERROR(__xludf.DUMMYFUNCTION("""COMPUTED_VALUE"""),"")</f>
        <v/>
      </c>
      <c r="N5779" s="6" t="str">
        <f>IFERROR(__xludf.DUMMYFUNCTION("""COMPUTED_VALUE"""),"")</f>
        <v/>
      </c>
      <c r="O5779" s="87" t="str">
        <f>IFERROR(__xludf.DUMMYFUNCTION("""COMPUTED_VALUE"""),"https://drive.google.com/drive/folders/10T2cTQHqEJZqE-st6uFKPoI?usp=share_link")</f>
        <v>https://drive.google.com/drive/folders/10T2cTQHqEJZqE-st6uFKPoI?usp=share_link</v>
      </c>
      <c r="P5779" s="6" t="str">
        <f>IFERROR(__xludf.DUMMYFUNCTION("""COMPUTED_VALUE"""),"Sharlin Saybe")</f>
        <v>Sharlin Saybe</v>
      </c>
      <c r="Q5779" s="6" t="str">
        <f>IFERROR(__xludf.DUMMYFUNCTION("""COMPUTED_VALUE"""),"MS")</f>
        <v>MS</v>
      </c>
      <c r="R5779" s="6">
        <f>IFERROR(__xludf.DUMMYFUNCTION("""COMPUTED_VALUE"""),0.0)</f>
        <v>0</v>
      </c>
      <c r="S5779" s="6" t="str">
        <f>IFERROR(__xludf.DUMMYFUNCTION("""COMPUTED_VALUE"""),"Kimberly Ball")</f>
        <v>Kimberly Ball</v>
      </c>
      <c r="T5779" s="6" t="str">
        <f>IFERROR(__xludf.DUMMYFUNCTION("""COMPUTED_VALUE"""),"kimberly.ball@studient.com")</f>
        <v>kimberly.ball@studient.com</v>
      </c>
      <c r="U5779" s="6" t="str">
        <f>IFERROR(__xludf.DUMMYFUNCTION("""COMPUTED_VALUE"""),"6")</f>
        <v>6</v>
      </c>
      <c r="V5779" s="6" t="str">
        <f>IFERROR(__xludf.DUMMYFUNCTION("""COMPUTED_VALUE"""),"")</f>
        <v/>
      </c>
      <c r="W5779" s="6" t="str">
        <f>IFERROR(__xludf.DUMMYFUNCTION("""COMPUTED_VALUE"""),"[]")</f>
        <v>[]</v>
      </c>
      <c r="X5779" s="6" t="str">
        <f>IFERROR(__xludf.DUMMYFUNCTION("""COMPUTED_VALUE"""),"Enrolled")</f>
        <v>Enrolled</v>
      </c>
    </row>
    <row r="5780">
      <c r="A5780" s="6" t="str">
        <f>IFERROR(__xludf.DUMMYFUNCTION("""COMPUTED_VALUE"""),"087-12377")</f>
        <v>087-12377</v>
      </c>
      <c r="B5780" s="6" t="str">
        <f>IFERROR(__xludf.DUMMYFUNCTION("""COMPUTED_VALUE"""),"87")</f>
        <v>87</v>
      </c>
      <c r="C5780" s="6" t="str">
        <f>IFERROR(__xludf.DUMMYFUNCTION("""COMPUTED_VALUE"""),"12377")</f>
        <v>12377</v>
      </c>
      <c r="D5780" s="6" t="str">
        <f>IFERROR(__xludf.DUMMYFUNCTION("""COMPUTED_VALUE"""),"Amaury")</f>
        <v>Amaury</v>
      </c>
      <c r="E5780" s="6" t="str">
        <f>IFERROR(__xludf.DUMMYFUNCTION("""COMPUTED_VALUE"""),"")</f>
        <v/>
      </c>
      <c r="F5780" s="6" t="str">
        <f>IFERROR(__xludf.DUMMYFUNCTION("""COMPUTED_VALUE"""),"Serna Herrera")</f>
        <v>Serna Herrera</v>
      </c>
      <c r="G5780" s="6" t="str">
        <f>IFERROR(__xludf.DUMMYFUNCTION("""COMPUTED_VALUE"""),"04/30/2013")</f>
        <v>04/30/2013</v>
      </c>
      <c r="H5780" s="6" t="str">
        <f>IFERROR(__xludf.DUMMYFUNCTION("""COMPUTED_VALUE"""),"male")</f>
        <v>male</v>
      </c>
      <c r="I5780" s="6" t="str">
        <f>IFERROR(__xludf.DUMMYFUNCTION("""COMPUTED_VALUE"""),"Middle School")</f>
        <v>Middle School</v>
      </c>
      <c r="J5780" s="6" t="str">
        <f>IFERROR(__xludf.DUMMYFUNCTION("""COMPUTED_VALUE"""),"7")</f>
        <v>7</v>
      </c>
      <c r="K5780" s="6" t="str">
        <f>IFERROR(__xludf.DUMMYFUNCTION("""COMPUTED_VALUE"""),"amaury.sernaherrera@2hourlearning.com")</f>
        <v>amaury.sernaherrera@2hourlearning.com</v>
      </c>
      <c r="L5780" s="6" t="str">
        <f>IFERROR(__xludf.DUMMYFUNCTION("""COMPUTED_VALUE"""),"JRHS - Ridgeland Secondary Academy of Excellence")</f>
        <v>JRHS - Ridgeland Secondary Academy of Excellence</v>
      </c>
      <c r="M5780" s="6" t="str">
        <f>IFERROR(__xludf.DUMMYFUNCTION("""COMPUTED_VALUE"""),"")</f>
        <v/>
      </c>
      <c r="N5780" s="6" t="str">
        <f>IFERROR(__xludf.DUMMYFUNCTION("""COMPUTED_VALUE"""),"")</f>
        <v/>
      </c>
      <c r="O5780" s="87" t="str">
        <f>IFERROR(__xludf.DUMMYFUNCTION("""COMPUTED_VALUE"""),"https://drive.google.com/drive/folders/10T2cTQHqEJZqE-st6uFKPoI?usp=share_link")</f>
        <v>https://drive.google.com/drive/folders/10T2cTQHqEJZqE-st6uFKPoI?usp=share_link</v>
      </c>
      <c r="P5780" s="6" t="str">
        <f>IFERROR(__xludf.DUMMYFUNCTION("""COMPUTED_VALUE"""),"Amaury Serna Herrera")</f>
        <v>Amaury Serna Herrera</v>
      </c>
      <c r="Q5780" s="6" t="str">
        <f>IFERROR(__xludf.DUMMYFUNCTION("""COMPUTED_VALUE"""),"MS")</f>
        <v>MS</v>
      </c>
      <c r="R5780" s="6">
        <f>IFERROR(__xludf.DUMMYFUNCTION("""COMPUTED_VALUE"""),0.0)</f>
        <v>0</v>
      </c>
      <c r="S5780" s="6" t="str">
        <f>IFERROR(__xludf.DUMMYFUNCTION("""COMPUTED_VALUE"""),"Kimberly Ball")</f>
        <v>Kimberly Ball</v>
      </c>
      <c r="T5780" s="6" t="str">
        <f>IFERROR(__xludf.DUMMYFUNCTION("""COMPUTED_VALUE"""),"kimberly.ball@studient.com")</f>
        <v>kimberly.ball@studient.com</v>
      </c>
      <c r="U5780" s="6" t="str">
        <f>IFERROR(__xludf.DUMMYFUNCTION("""COMPUTED_VALUE"""),"7")</f>
        <v>7</v>
      </c>
      <c r="V5780" s="6" t="str">
        <f>IFERROR(__xludf.DUMMYFUNCTION("""COMPUTED_VALUE"""),"")</f>
        <v/>
      </c>
      <c r="W5780" s="6" t="str">
        <f>IFERROR(__xludf.DUMMYFUNCTION("""COMPUTED_VALUE"""),"[]")</f>
        <v>[]</v>
      </c>
      <c r="X5780" s="6" t="str">
        <f>IFERROR(__xludf.DUMMYFUNCTION("""COMPUTED_VALUE"""),"Enrolled")</f>
        <v>Enrolled</v>
      </c>
    </row>
    <row r="5781">
      <c r="A5781" s="6" t="str">
        <f>IFERROR(__xludf.DUMMYFUNCTION("""COMPUTED_VALUE"""),"087-12378")</f>
        <v>087-12378</v>
      </c>
      <c r="B5781" s="6" t="str">
        <f>IFERROR(__xludf.DUMMYFUNCTION("""COMPUTED_VALUE"""),"87")</f>
        <v>87</v>
      </c>
      <c r="C5781" s="6" t="str">
        <f>IFERROR(__xludf.DUMMYFUNCTION("""COMPUTED_VALUE"""),"12378")</f>
        <v>12378</v>
      </c>
      <c r="D5781" s="6" t="str">
        <f>IFERROR(__xludf.DUMMYFUNCTION("""COMPUTED_VALUE"""),"Ana")</f>
        <v>Ana</v>
      </c>
      <c r="E5781" s="6" t="str">
        <f>IFERROR(__xludf.DUMMYFUNCTION("""COMPUTED_VALUE"""),"")</f>
        <v/>
      </c>
      <c r="F5781" s="6" t="str">
        <f>IFERROR(__xludf.DUMMYFUNCTION("""COMPUTED_VALUE"""),"Serna Herrera")</f>
        <v>Serna Herrera</v>
      </c>
      <c r="G5781" s="6" t="str">
        <f>IFERROR(__xludf.DUMMYFUNCTION("""COMPUTED_VALUE"""),"02/01/2012")</f>
        <v>02/01/2012</v>
      </c>
      <c r="H5781" s="6" t="str">
        <f>IFERROR(__xludf.DUMMYFUNCTION("""COMPUTED_VALUE"""),"female")</f>
        <v>female</v>
      </c>
      <c r="I5781" s="6" t="str">
        <f>IFERROR(__xludf.DUMMYFUNCTION("""COMPUTED_VALUE"""),"Middle School")</f>
        <v>Middle School</v>
      </c>
      <c r="J5781" s="6" t="str">
        <f>IFERROR(__xludf.DUMMYFUNCTION("""COMPUTED_VALUE"""),"8")</f>
        <v>8</v>
      </c>
      <c r="K5781" s="6" t="str">
        <f>IFERROR(__xludf.DUMMYFUNCTION("""COMPUTED_VALUE"""),"ana.sernaherrera@2hourlearning.com")</f>
        <v>ana.sernaherrera@2hourlearning.com</v>
      </c>
      <c r="L5781" s="6" t="str">
        <f>IFERROR(__xludf.DUMMYFUNCTION("""COMPUTED_VALUE"""),"JRHS - Ridgeland Secondary Academy of Excellence")</f>
        <v>JRHS - Ridgeland Secondary Academy of Excellence</v>
      </c>
      <c r="M5781" s="6" t="str">
        <f>IFERROR(__xludf.DUMMYFUNCTION("""COMPUTED_VALUE"""),"")</f>
        <v/>
      </c>
      <c r="N5781" s="6" t="str">
        <f>IFERROR(__xludf.DUMMYFUNCTION("""COMPUTED_VALUE"""),"")</f>
        <v/>
      </c>
      <c r="O5781" s="87" t="str">
        <f>IFERROR(__xludf.DUMMYFUNCTION("""COMPUTED_VALUE"""),"https://drive.google.com/drive/folders/10T2cTQHqEJZqE-st6uFKPoI?usp=share_link")</f>
        <v>https://drive.google.com/drive/folders/10T2cTQHqEJZqE-st6uFKPoI?usp=share_link</v>
      </c>
      <c r="P5781" s="6" t="str">
        <f>IFERROR(__xludf.DUMMYFUNCTION("""COMPUTED_VALUE"""),"Ana Serna Herrera")</f>
        <v>Ana Serna Herrera</v>
      </c>
      <c r="Q5781" s="6" t="str">
        <f>IFERROR(__xludf.DUMMYFUNCTION("""COMPUTED_VALUE"""),"MS")</f>
        <v>MS</v>
      </c>
      <c r="R5781" s="6">
        <f>IFERROR(__xludf.DUMMYFUNCTION("""COMPUTED_VALUE"""),0.0)</f>
        <v>0</v>
      </c>
      <c r="S5781" s="6" t="str">
        <f>IFERROR(__xludf.DUMMYFUNCTION("""COMPUTED_VALUE"""),"Kimberly Ball")</f>
        <v>Kimberly Ball</v>
      </c>
      <c r="T5781" s="6" t="str">
        <f>IFERROR(__xludf.DUMMYFUNCTION("""COMPUTED_VALUE"""),"kimberly.ball@studient.com")</f>
        <v>kimberly.ball@studient.com</v>
      </c>
      <c r="U5781" s="6" t="str">
        <f>IFERROR(__xludf.DUMMYFUNCTION("""COMPUTED_VALUE"""),"8")</f>
        <v>8</v>
      </c>
      <c r="V5781" s="6" t="str">
        <f>IFERROR(__xludf.DUMMYFUNCTION("""COMPUTED_VALUE"""),"")</f>
        <v/>
      </c>
      <c r="W5781" s="6" t="str">
        <f>IFERROR(__xludf.DUMMYFUNCTION("""COMPUTED_VALUE"""),"[]")</f>
        <v>[]</v>
      </c>
      <c r="X5781" s="6" t="str">
        <f>IFERROR(__xludf.DUMMYFUNCTION("""COMPUTED_VALUE"""),"Enrolled")</f>
        <v>Enrolled</v>
      </c>
    </row>
    <row r="5782">
      <c r="A5782" s="6" t="str">
        <f>IFERROR(__xludf.DUMMYFUNCTION("""COMPUTED_VALUE"""),"087-12379")</f>
        <v>087-12379</v>
      </c>
      <c r="B5782" s="6" t="str">
        <f>IFERROR(__xludf.DUMMYFUNCTION("""COMPUTED_VALUE"""),"87")</f>
        <v>87</v>
      </c>
      <c r="C5782" s="6" t="str">
        <f>IFERROR(__xludf.DUMMYFUNCTION("""COMPUTED_VALUE"""),"12379")</f>
        <v>12379</v>
      </c>
      <c r="D5782" s="6" t="str">
        <f>IFERROR(__xludf.DUMMYFUNCTION("""COMPUTED_VALUE"""),"Simeon")</f>
        <v>Simeon</v>
      </c>
      <c r="E5782" s="6" t="str">
        <f>IFERROR(__xludf.DUMMYFUNCTION("""COMPUTED_VALUE"""),"")</f>
        <v/>
      </c>
      <c r="F5782" s="6" t="str">
        <f>IFERROR(__xludf.DUMMYFUNCTION("""COMPUTED_VALUE"""),"Shaw")</f>
        <v>Shaw</v>
      </c>
      <c r="G5782" s="6" t="str">
        <f>IFERROR(__xludf.DUMMYFUNCTION("""COMPUTED_VALUE"""),"06/25/2013")</f>
        <v>06/25/2013</v>
      </c>
      <c r="H5782" s="6" t="str">
        <f>IFERROR(__xludf.DUMMYFUNCTION("""COMPUTED_VALUE"""),"male")</f>
        <v>male</v>
      </c>
      <c r="I5782" s="6" t="str">
        <f>IFERROR(__xludf.DUMMYFUNCTION("""COMPUTED_VALUE"""),"Middle School")</f>
        <v>Middle School</v>
      </c>
      <c r="J5782" s="6" t="str">
        <f>IFERROR(__xludf.DUMMYFUNCTION("""COMPUTED_VALUE"""),"6")</f>
        <v>6</v>
      </c>
      <c r="K5782" s="6" t="str">
        <f>IFERROR(__xludf.DUMMYFUNCTION("""COMPUTED_VALUE"""),"simeon.shaw@2hourlearning.com")</f>
        <v>simeon.shaw@2hourlearning.com</v>
      </c>
      <c r="L5782" s="6" t="str">
        <f>IFERROR(__xludf.DUMMYFUNCTION("""COMPUTED_VALUE"""),"JRHS - Ridgeland Secondary Academy of Excellence")</f>
        <v>JRHS - Ridgeland Secondary Academy of Excellence</v>
      </c>
      <c r="M5782" s="6" t="str">
        <f>IFERROR(__xludf.DUMMYFUNCTION("""COMPUTED_VALUE"""),"")</f>
        <v/>
      </c>
      <c r="N5782" s="6" t="str">
        <f>IFERROR(__xludf.DUMMYFUNCTION("""COMPUTED_VALUE"""),"")</f>
        <v/>
      </c>
      <c r="O5782" s="87" t="str">
        <f>IFERROR(__xludf.DUMMYFUNCTION("""COMPUTED_VALUE"""),"https://drive.google.com/drive/folders/10T2cTQHqEJZqE-st6uFKPoI?usp=share_link")</f>
        <v>https://drive.google.com/drive/folders/10T2cTQHqEJZqE-st6uFKPoI?usp=share_link</v>
      </c>
      <c r="P5782" s="6" t="str">
        <f>IFERROR(__xludf.DUMMYFUNCTION("""COMPUTED_VALUE"""),"Simeon Shaw")</f>
        <v>Simeon Shaw</v>
      </c>
      <c r="Q5782" s="6" t="str">
        <f>IFERROR(__xludf.DUMMYFUNCTION("""COMPUTED_VALUE"""),"MS")</f>
        <v>MS</v>
      </c>
      <c r="R5782" s="6">
        <f>IFERROR(__xludf.DUMMYFUNCTION("""COMPUTED_VALUE"""),0.0)</f>
        <v>0</v>
      </c>
      <c r="S5782" s="6" t="str">
        <f>IFERROR(__xludf.DUMMYFUNCTION("""COMPUTED_VALUE"""),"Kimberly Ball")</f>
        <v>Kimberly Ball</v>
      </c>
      <c r="T5782" s="6" t="str">
        <f>IFERROR(__xludf.DUMMYFUNCTION("""COMPUTED_VALUE"""),"kimberly.ball@studient.com")</f>
        <v>kimberly.ball@studient.com</v>
      </c>
      <c r="U5782" s="6" t="str">
        <f>IFERROR(__xludf.DUMMYFUNCTION("""COMPUTED_VALUE"""),"6")</f>
        <v>6</v>
      </c>
      <c r="V5782" s="6" t="str">
        <f>IFERROR(__xludf.DUMMYFUNCTION("""COMPUTED_VALUE"""),"")</f>
        <v/>
      </c>
      <c r="W5782" s="6" t="str">
        <f>IFERROR(__xludf.DUMMYFUNCTION("""COMPUTED_VALUE"""),"[]")</f>
        <v>[]</v>
      </c>
      <c r="X5782" s="6" t="str">
        <f>IFERROR(__xludf.DUMMYFUNCTION("""COMPUTED_VALUE"""),"Enrolled")</f>
        <v>Enrolled</v>
      </c>
    </row>
    <row r="5783">
      <c r="A5783" s="6" t="str">
        <f>IFERROR(__xludf.DUMMYFUNCTION("""COMPUTED_VALUE"""),"087-12380")</f>
        <v>087-12380</v>
      </c>
      <c r="B5783" s="6" t="str">
        <f>IFERROR(__xludf.DUMMYFUNCTION("""COMPUTED_VALUE"""),"87")</f>
        <v>87</v>
      </c>
      <c r="C5783" s="6" t="str">
        <f>IFERROR(__xludf.DUMMYFUNCTION("""COMPUTED_VALUE"""),"12380")</f>
        <v>12380</v>
      </c>
      <c r="D5783" s="6" t="str">
        <f>IFERROR(__xludf.DUMMYFUNCTION("""COMPUTED_VALUE"""),"Victor")</f>
        <v>Victor</v>
      </c>
      <c r="E5783" s="6" t="str">
        <f>IFERROR(__xludf.DUMMYFUNCTION("""COMPUTED_VALUE"""),"")</f>
        <v/>
      </c>
      <c r="F5783" s="6" t="str">
        <f>IFERROR(__xludf.DUMMYFUNCTION("""COMPUTED_VALUE"""),"Silverio Morales")</f>
        <v>Silverio Morales</v>
      </c>
      <c r="G5783" s="6" t="str">
        <f>IFERROR(__xludf.DUMMYFUNCTION("""COMPUTED_VALUE"""),"07/04/2012")</f>
        <v>07/04/2012</v>
      </c>
      <c r="H5783" s="6" t="str">
        <f>IFERROR(__xludf.DUMMYFUNCTION("""COMPUTED_VALUE"""),"male")</f>
        <v>male</v>
      </c>
      <c r="I5783" s="6" t="str">
        <f>IFERROR(__xludf.DUMMYFUNCTION("""COMPUTED_VALUE"""),"Middle School")</f>
        <v>Middle School</v>
      </c>
      <c r="J5783" s="6" t="str">
        <f>IFERROR(__xludf.DUMMYFUNCTION("""COMPUTED_VALUE"""),"8")</f>
        <v>8</v>
      </c>
      <c r="K5783" s="6" t="str">
        <f>IFERROR(__xludf.DUMMYFUNCTION("""COMPUTED_VALUE"""),"victor.silveriomorales@2hourlearning.com")</f>
        <v>victor.silveriomorales@2hourlearning.com</v>
      </c>
      <c r="L5783" s="6" t="str">
        <f>IFERROR(__xludf.DUMMYFUNCTION("""COMPUTED_VALUE"""),"JRHS - Ridgeland Secondary Academy of Excellence")</f>
        <v>JRHS - Ridgeland Secondary Academy of Excellence</v>
      </c>
      <c r="M5783" s="6" t="str">
        <f>IFERROR(__xludf.DUMMYFUNCTION("""COMPUTED_VALUE"""),"")</f>
        <v/>
      </c>
      <c r="N5783" s="6" t="str">
        <f>IFERROR(__xludf.DUMMYFUNCTION("""COMPUTED_VALUE"""),"")</f>
        <v/>
      </c>
      <c r="O5783" s="87" t="str">
        <f>IFERROR(__xludf.DUMMYFUNCTION("""COMPUTED_VALUE"""),"https://drive.google.com/drive/folders/10T2cTQHqEJZqE-st6uFKPoI?usp=share_link")</f>
        <v>https://drive.google.com/drive/folders/10T2cTQHqEJZqE-st6uFKPoI?usp=share_link</v>
      </c>
      <c r="P5783" s="6" t="str">
        <f>IFERROR(__xludf.DUMMYFUNCTION("""COMPUTED_VALUE"""),"Victor Silverio Morales")</f>
        <v>Victor Silverio Morales</v>
      </c>
      <c r="Q5783" s="6" t="str">
        <f>IFERROR(__xludf.DUMMYFUNCTION("""COMPUTED_VALUE"""),"MS")</f>
        <v>MS</v>
      </c>
      <c r="R5783" s="6">
        <f>IFERROR(__xludf.DUMMYFUNCTION("""COMPUTED_VALUE"""),0.0)</f>
        <v>0</v>
      </c>
      <c r="S5783" s="6" t="str">
        <f>IFERROR(__xludf.DUMMYFUNCTION("""COMPUTED_VALUE"""),"Kimberly Ball")</f>
        <v>Kimberly Ball</v>
      </c>
      <c r="T5783" s="6" t="str">
        <f>IFERROR(__xludf.DUMMYFUNCTION("""COMPUTED_VALUE"""),"kimberly.ball@studient.com")</f>
        <v>kimberly.ball@studient.com</v>
      </c>
      <c r="U5783" s="6" t="str">
        <f>IFERROR(__xludf.DUMMYFUNCTION("""COMPUTED_VALUE"""),"8")</f>
        <v>8</v>
      </c>
      <c r="V5783" s="6" t="str">
        <f>IFERROR(__xludf.DUMMYFUNCTION("""COMPUTED_VALUE"""),"")</f>
        <v/>
      </c>
      <c r="W5783" s="6" t="str">
        <f>IFERROR(__xludf.DUMMYFUNCTION("""COMPUTED_VALUE"""),"[]")</f>
        <v>[]</v>
      </c>
      <c r="X5783" s="6" t="str">
        <f>IFERROR(__xludf.DUMMYFUNCTION("""COMPUTED_VALUE"""),"Enrolled")</f>
        <v>Enrolled</v>
      </c>
    </row>
    <row r="5784">
      <c r="A5784" s="6" t="str">
        <f>IFERROR(__xludf.DUMMYFUNCTION("""COMPUTED_VALUE"""),"087-12381")</f>
        <v>087-12381</v>
      </c>
      <c r="B5784" s="6" t="str">
        <f>IFERROR(__xludf.DUMMYFUNCTION("""COMPUTED_VALUE"""),"87")</f>
        <v>87</v>
      </c>
      <c r="C5784" s="6" t="str">
        <f>IFERROR(__xludf.DUMMYFUNCTION("""COMPUTED_VALUE"""),"12381")</f>
        <v>12381</v>
      </c>
      <c r="D5784" s="6" t="str">
        <f>IFERROR(__xludf.DUMMYFUNCTION("""COMPUTED_VALUE"""),"Jace")</f>
        <v>Jace</v>
      </c>
      <c r="E5784" s="6" t="str">
        <f>IFERROR(__xludf.DUMMYFUNCTION("""COMPUTED_VALUE"""),"")</f>
        <v/>
      </c>
      <c r="F5784" s="6" t="str">
        <f>IFERROR(__xludf.DUMMYFUNCTION("""COMPUTED_VALUE"""),"Simmons")</f>
        <v>Simmons</v>
      </c>
      <c r="G5784" s="6" t="str">
        <f>IFERROR(__xludf.DUMMYFUNCTION("""COMPUTED_VALUE"""),"05/13/2013")</f>
        <v>05/13/2013</v>
      </c>
      <c r="H5784" s="6" t="str">
        <f>IFERROR(__xludf.DUMMYFUNCTION("""COMPUTED_VALUE"""),"male")</f>
        <v>male</v>
      </c>
      <c r="I5784" s="6" t="str">
        <f>IFERROR(__xludf.DUMMYFUNCTION("""COMPUTED_VALUE"""),"Middle School")</f>
        <v>Middle School</v>
      </c>
      <c r="J5784" s="6" t="str">
        <f>IFERROR(__xludf.DUMMYFUNCTION("""COMPUTED_VALUE"""),"6")</f>
        <v>6</v>
      </c>
      <c r="K5784" s="6" t="str">
        <f>IFERROR(__xludf.DUMMYFUNCTION("""COMPUTED_VALUE"""),"jace.simmons@2hourlearning.com")</f>
        <v>jace.simmons@2hourlearning.com</v>
      </c>
      <c r="L5784" s="6" t="str">
        <f>IFERROR(__xludf.DUMMYFUNCTION("""COMPUTED_VALUE"""),"JRHS - Ridgeland Secondary Academy of Excellence")</f>
        <v>JRHS - Ridgeland Secondary Academy of Excellence</v>
      </c>
      <c r="M5784" s="6" t="str">
        <f>IFERROR(__xludf.DUMMYFUNCTION("""COMPUTED_VALUE"""),"")</f>
        <v/>
      </c>
      <c r="N5784" s="6" t="str">
        <f>IFERROR(__xludf.DUMMYFUNCTION("""COMPUTED_VALUE"""),"")</f>
        <v/>
      </c>
      <c r="O5784" s="87" t="str">
        <f>IFERROR(__xludf.DUMMYFUNCTION("""COMPUTED_VALUE"""),"https://drive.google.com/drive/folders/10T2cTQHqEJZqE-st6uFKPoI?usp=share_link")</f>
        <v>https://drive.google.com/drive/folders/10T2cTQHqEJZqE-st6uFKPoI?usp=share_link</v>
      </c>
      <c r="P5784" s="6" t="str">
        <f>IFERROR(__xludf.DUMMYFUNCTION("""COMPUTED_VALUE"""),"Jace Simmons")</f>
        <v>Jace Simmons</v>
      </c>
      <c r="Q5784" s="6" t="str">
        <f>IFERROR(__xludf.DUMMYFUNCTION("""COMPUTED_VALUE"""),"MS")</f>
        <v>MS</v>
      </c>
      <c r="R5784" s="6">
        <f>IFERROR(__xludf.DUMMYFUNCTION("""COMPUTED_VALUE"""),0.0)</f>
        <v>0</v>
      </c>
      <c r="S5784" s="6" t="str">
        <f>IFERROR(__xludf.DUMMYFUNCTION("""COMPUTED_VALUE"""),"Kimberly Ball")</f>
        <v>Kimberly Ball</v>
      </c>
      <c r="T5784" s="6" t="str">
        <f>IFERROR(__xludf.DUMMYFUNCTION("""COMPUTED_VALUE"""),"kimberly.ball@studient.com")</f>
        <v>kimberly.ball@studient.com</v>
      </c>
      <c r="U5784" s="6" t="str">
        <f>IFERROR(__xludf.DUMMYFUNCTION("""COMPUTED_VALUE"""),"6")</f>
        <v>6</v>
      </c>
      <c r="V5784" s="6" t="str">
        <f>IFERROR(__xludf.DUMMYFUNCTION("""COMPUTED_VALUE"""),"")</f>
        <v/>
      </c>
      <c r="W5784" s="6" t="str">
        <f>IFERROR(__xludf.DUMMYFUNCTION("""COMPUTED_VALUE"""),"[]")</f>
        <v>[]</v>
      </c>
      <c r="X5784" s="6" t="str">
        <f>IFERROR(__xludf.DUMMYFUNCTION("""COMPUTED_VALUE"""),"Enrolled")</f>
        <v>Enrolled</v>
      </c>
    </row>
    <row r="5785">
      <c r="A5785" s="6" t="str">
        <f>IFERROR(__xludf.DUMMYFUNCTION("""COMPUTED_VALUE"""),"087-12382")</f>
        <v>087-12382</v>
      </c>
      <c r="B5785" s="6" t="str">
        <f>IFERROR(__xludf.DUMMYFUNCTION("""COMPUTED_VALUE"""),"87")</f>
        <v>87</v>
      </c>
      <c r="C5785" s="6" t="str">
        <f>IFERROR(__xludf.DUMMYFUNCTION("""COMPUTED_VALUE"""),"12382")</f>
        <v>12382</v>
      </c>
      <c r="D5785" s="6" t="str">
        <f>IFERROR(__xludf.DUMMYFUNCTION("""COMPUTED_VALUE"""),"Ka'Ron")</f>
        <v>Ka'Ron</v>
      </c>
      <c r="E5785" s="6" t="str">
        <f>IFERROR(__xludf.DUMMYFUNCTION("""COMPUTED_VALUE"""),"")</f>
        <v/>
      </c>
      <c r="F5785" s="6" t="str">
        <f>IFERROR(__xludf.DUMMYFUNCTION("""COMPUTED_VALUE"""),"Singleton")</f>
        <v>Singleton</v>
      </c>
      <c r="G5785" s="6" t="str">
        <f>IFERROR(__xludf.DUMMYFUNCTION("""COMPUTED_VALUE"""),"02/05/2013")</f>
        <v>02/05/2013</v>
      </c>
      <c r="H5785" s="6" t="str">
        <f>IFERROR(__xludf.DUMMYFUNCTION("""COMPUTED_VALUE"""),"male")</f>
        <v>male</v>
      </c>
      <c r="I5785" s="6" t="str">
        <f>IFERROR(__xludf.DUMMYFUNCTION("""COMPUTED_VALUE"""),"Middle School")</f>
        <v>Middle School</v>
      </c>
      <c r="J5785" s="6" t="str">
        <f>IFERROR(__xludf.DUMMYFUNCTION("""COMPUTED_VALUE"""),"7")</f>
        <v>7</v>
      </c>
      <c r="K5785" s="6" t="str">
        <f>IFERROR(__xludf.DUMMYFUNCTION("""COMPUTED_VALUE"""),"karon.singleton@2hourlearning.com")</f>
        <v>karon.singleton@2hourlearning.com</v>
      </c>
      <c r="L5785" s="6" t="str">
        <f>IFERROR(__xludf.DUMMYFUNCTION("""COMPUTED_VALUE"""),"JRHS - Ridgeland Secondary Academy of Excellence")</f>
        <v>JRHS - Ridgeland Secondary Academy of Excellence</v>
      </c>
      <c r="M5785" s="6" t="str">
        <f>IFERROR(__xludf.DUMMYFUNCTION("""COMPUTED_VALUE"""),"")</f>
        <v/>
      </c>
      <c r="N5785" s="6" t="str">
        <f>IFERROR(__xludf.DUMMYFUNCTION("""COMPUTED_VALUE"""),"")</f>
        <v/>
      </c>
      <c r="O5785" s="87" t="str">
        <f>IFERROR(__xludf.DUMMYFUNCTION("""COMPUTED_VALUE"""),"https://drive.google.com/drive/folders/10T2cTQHqEJZqE-st6uFKPoI?usp=share_link")</f>
        <v>https://drive.google.com/drive/folders/10T2cTQHqEJZqE-st6uFKPoI?usp=share_link</v>
      </c>
      <c r="P5785" s="6" t="str">
        <f>IFERROR(__xludf.DUMMYFUNCTION("""COMPUTED_VALUE"""),"Ka'Ron Singleton")</f>
        <v>Ka'Ron Singleton</v>
      </c>
      <c r="Q5785" s="6" t="str">
        <f>IFERROR(__xludf.DUMMYFUNCTION("""COMPUTED_VALUE"""),"MS")</f>
        <v>MS</v>
      </c>
      <c r="R5785" s="6">
        <f>IFERROR(__xludf.DUMMYFUNCTION("""COMPUTED_VALUE"""),0.0)</f>
        <v>0</v>
      </c>
      <c r="S5785" s="6" t="str">
        <f>IFERROR(__xludf.DUMMYFUNCTION("""COMPUTED_VALUE"""),"Kimberly Ball")</f>
        <v>Kimberly Ball</v>
      </c>
      <c r="T5785" s="6" t="str">
        <f>IFERROR(__xludf.DUMMYFUNCTION("""COMPUTED_VALUE"""),"kimberly.ball@studient.com")</f>
        <v>kimberly.ball@studient.com</v>
      </c>
      <c r="U5785" s="6" t="str">
        <f>IFERROR(__xludf.DUMMYFUNCTION("""COMPUTED_VALUE"""),"7")</f>
        <v>7</v>
      </c>
      <c r="V5785" s="6" t="str">
        <f>IFERROR(__xludf.DUMMYFUNCTION("""COMPUTED_VALUE"""),"")</f>
        <v/>
      </c>
      <c r="W5785" s="6" t="str">
        <f>IFERROR(__xludf.DUMMYFUNCTION("""COMPUTED_VALUE"""),"[]")</f>
        <v>[]</v>
      </c>
      <c r="X5785" s="6" t="str">
        <f>IFERROR(__xludf.DUMMYFUNCTION("""COMPUTED_VALUE"""),"Enrolled")</f>
        <v>Enrolled</v>
      </c>
    </row>
    <row r="5786">
      <c r="A5786" s="6" t="str">
        <f>IFERROR(__xludf.DUMMYFUNCTION("""COMPUTED_VALUE"""),"087-12383")</f>
        <v>087-12383</v>
      </c>
      <c r="B5786" s="6" t="str">
        <f>IFERROR(__xludf.DUMMYFUNCTION("""COMPUTED_VALUE"""),"87")</f>
        <v>87</v>
      </c>
      <c r="C5786" s="6" t="str">
        <f>IFERROR(__xludf.DUMMYFUNCTION("""COMPUTED_VALUE"""),"12383")</f>
        <v>12383</v>
      </c>
      <c r="D5786" s="6" t="str">
        <f>IFERROR(__xludf.DUMMYFUNCTION("""COMPUTED_VALUE"""),"Tay'vyne")</f>
        <v>Tay'vyne</v>
      </c>
      <c r="E5786" s="6" t="str">
        <f>IFERROR(__xludf.DUMMYFUNCTION("""COMPUTED_VALUE"""),"")</f>
        <v/>
      </c>
      <c r="F5786" s="6" t="str">
        <f>IFERROR(__xludf.DUMMYFUNCTION("""COMPUTED_VALUE"""),"Singleton")</f>
        <v>Singleton</v>
      </c>
      <c r="G5786" s="6" t="str">
        <f>IFERROR(__xludf.DUMMYFUNCTION("""COMPUTED_VALUE"""),"12/15/2011")</f>
        <v>12/15/2011</v>
      </c>
      <c r="H5786" s="6" t="str">
        <f>IFERROR(__xludf.DUMMYFUNCTION("""COMPUTED_VALUE"""),"female")</f>
        <v>female</v>
      </c>
      <c r="I5786" s="6" t="str">
        <f>IFERROR(__xludf.DUMMYFUNCTION("""COMPUTED_VALUE"""),"Middle School")</f>
        <v>Middle School</v>
      </c>
      <c r="J5786" s="6" t="str">
        <f>IFERROR(__xludf.DUMMYFUNCTION("""COMPUTED_VALUE"""),"8")</f>
        <v>8</v>
      </c>
      <c r="K5786" s="6" t="str">
        <f>IFERROR(__xludf.DUMMYFUNCTION("""COMPUTED_VALUE"""),"tayvyne.singleton@2hourlearning.com")</f>
        <v>tayvyne.singleton@2hourlearning.com</v>
      </c>
      <c r="L5786" s="6" t="str">
        <f>IFERROR(__xludf.DUMMYFUNCTION("""COMPUTED_VALUE"""),"JRHS - Ridgeland Secondary Academy of Excellence")</f>
        <v>JRHS - Ridgeland Secondary Academy of Excellence</v>
      </c>
      <c r="M5786" s="6" t="str">
        <f>IFERROR(__xludf.DUMMYFUNCTION("""COMPUTED_VALUE"""),"")</f>
        <v/>
      </c>
      <c r="N5786" s="6" t="str">
        <f>IFERROR(__xludf.DUMMYFUNCTION("""COMPUTED_VALUE"""),"")</f>
        <v/>
      </c>
      <c r="O5786" s="87" t="str">
        <f>IFERROR(__xludf.DUMMYFUNCTION("""COMPUTED_VALUE"""),"https://drive.google.com/drive/folders/10T2cTQHqEJZqE-st6uFKPoI?usp=share_link")</f>
        <v>https://drive.google.com/drive/folders/10T2cTQHqEJZqE-st6uFKPoI?usp=share_link</v>
      </c>
      <c r="P5786" s="6" t="str">
        <f>IFERROR(__xludf.DUMMYFUNCTION("""COMPUTED_VALUE"""),"Tay'vyne Singleton")</f>
        <v>Tay'vyne Singleton</v>
      </c>
      <c r="Q5786" s="6" t="str">
        <f>IFERROR(__xludf.DUMMYFUNCTION("""COMPUTED_VALUE"""),"MS")</f>
        <v>MS</v>
      </c>
      <c r="R5786" s="6">
        <f>IFERROR(__xludf.DUMMYFUNCTION("""COMPUTED_VALUE"""),0.0)</f>
        <v>0</v>
      </c>
      <c r="S5786" s="6" t="str">
        <f>IFERROR(__xludf.DUMMYFUNCTION("""COMPUTED_VALUE"""),"Kimberly Ball")</f>
        <v>Kimberly Ball</v>
      </c>
      <c r="T5786" s="6" t="str">
        <f>IFERROR(__xludf.DUMMYFUNCTION("""COMPUTED_VALUE"""),"kimberly.ball@studient.com")</f>
        <v>kimberly.ball@studient.com</v>
      </c>
      <c r="U5786" s="6" t="str">
        <f>IFERROR(__xludf.DUMMYFUNCTION("""COMPUTED_VALUE"""),"8")</f>
        <v>8</v>
      </c>
      <c r="V5786" s="6" t="str">
        <f>IFERROR(__xludf.DUMMYFUNCTION("""COMPUTED_VALUE"""),"")</f>
        <v/>
      </c>
      <c r="W5786" s="6" t="str">
        <f>IFERROR(__xludf.DUMMYFUNCTION("""COMPUTED_VALUE"""),"[]")</f>
        <v>[]</v>
      </c>
      <c r="X5786" s="6" t="str">
        <f>IFERROR(__xludf.DUMMYFUNCTION("""COMPUTED_VALUE"""),"Enrolled")</f>
        <v>Enrolled</v>
      </c>
    </row>
    <row r="5787">
      <c r="A5787" s="6" t="str">
        <f>IFERROR(__xludf.DUMMYFUNCTION("""COMPUTED_VALUE"""),"087-12384")</f>
        <v>087-12384</v>
      </c>
      <c r="B5787" s="6" t="str">
        <f>IFERROR(__xludf.DUMMYFUNCTION("""COMPUTED_VALUE"""),"87")</f>
        <v>87</v>
      </c>
      <c r="C5787" s="6" t="str">
        <f>IFERROR(__xludf.DUMMYFUNCTION("""COMPUTED_VALUE"""),"12384")</f>
        <v>12384</v>
      </c>
      <c r="D5787" s="6" t="str">
        <f>IFERROR(__xludf.DUMMYFUNCTION("""COMPUTED_VALUE"""),"Jeremiah")</f>
        <v>Jeremiah</v>
      </c>
      <c r="E5787" s="6" t="str">
        <f>IFERROR(__xludf.DUMMYFUNCTION("""COMPUTED_VALUE"""),"")</f>
        <v/>
      </c>
      <c r="F5787" s="6" t="str">
        <f>IFERROR(__xludf.DUMMYFUNCTION("""COMPUTED_VALUE"""),"Smalls")</f>
        <v>Smalls</v>
      </c>
      <c r="G5787" s="6" t="str">
        <f>IFERROR(__xludf.DUMMYFUNCTION("""COMPUTED_VALUE"""),"02/06/2013")</f>
        <v>02/06/2013</v>
      </c>
      <c r="H5787" s="6" t="str">
        <f>IFERROR(__xludf.DUMMYFUNCTION("""COMPUTED_VALUE"""),"male")</f>
        <v>male</v>
      </c>
      <c r="I5787" s="6" t="str">
        <f>IFERROR(__xludf.DUMMYFUNCTION("""COMPUTED_VALUE"""),"Middle School")</f>
        <v>Middle School</v>
      </c>
      <c r="J5787" s="6" t="str">
        <f>IFERROR(__xludf.DUMMYFUNCTION("""COMPUTED_VALUE"""),"7")</f>
        <v>7</v>
      </c>
      <c r="K5787" s="6" t="str">
        <f>IFERROR(__xludf.DUMMYFUNCTION("""COMPUTED_VALUE"""),"jeremiah.smalls@2hourlearning.com")</f>
        <v>jeremiah.smalls@2hourlearning.com</v>
      </c>
      <c r="L5787" s="6" t="str">
        <f>IFERROR(__xludf.DUMMYFUNCTION("""COMPUTED_VALUE"""),"JRHS - Ridgeland Secondary Academy of Excellence")</f>
        <v>JRHS - Ridgeland Secondary Academy of Excellence</v>
      </c>
      <c r="M5787" s="6" t="str">
        <f>IFERROR(__xludf.DUMMYFUNCTION("""COMPUTED_VALUE"""),"")</f>
        <v/>
      </c>
      <c r="N5787" s="6" t="str">
        <f>IFERROR(__xludf.DUMMYFUNCTION("""COMPUTED_VALUE"""),"")</f>
        <v/>
      </c>
      <c r="O5787" s="87" t="str">
        <f>IFERROR(__xludf.DUMMYFUNCTION("""COMPUTED_VALUE"""),"https://drive.google.com/drive/folders/10T2cTQHqEJZqE-st6uFKPoI?usp=share_link")</f>
        <v>https://drive.google.com/drive/folders/10T2cTQHqEJZqE-st6uFKPoI?usp=share_link</v>
      </c>
      <c r="P5787" s="6" t="str">
        <f>IFERROR(__xludf.DUMMYFUNCTION("""COMPUTED_VALUE"""),"Jeremiah Smalls")</f>
        <v>Jeremiah Smalls</v>
      </c>
      <c r="Q5787" s="6" t="str">
        <f>IFERROR(__xludf.DUMMYFUNCTION("""COMPUTED_VALUE"""),"MS")</f>
        <v>MS</v>
      </c>
      <c r="R5787" s="6">
        <f>IFERROR(__xludf.DUMMYFUNCTION("""COMPUTED_VALUE"""),0.0)</f>
        <v>0</v>
      </c>
      <c r="S5787" s="6" t="str">
        <f>IFERROR(__xludf.DUMMYFUNCTION("""COMPUTED_VALUE"""),"Kimberly Ball")</f>
        <v>Kimberly Ball</v>
      </c>
      <c r="T5787" s="6" t="str">
        <f>IFERROR(__xludf.DUMMYFUNCTION("""COMPUTED_VALUE"""),"kimberly.ball@studient.com")</f>
        <v>kimberly.ball@studient.com</v>
      </c>
      <c r="U5787" s="6" t="str">
        <f>IFERROR(__xludf.DUMMYFUNCTION("""COMPUTED_VALUE"""),"7")</f>
        <v>7</v>
      </c>
      <c r="V5787" s="6" t="str">
        <f>IFERROR(__xludf.DUMMYFUNCTION("""COMPUTED_VALUE"""),"")</f>
        <v/>
      </c>
      <c r="W5787" s="6" t="str">
        <f>IFERROR(__xludf.DUMMYFUNCTION("""COMPUTED_VALUE"""),"[]")</f>
        <v>[]</v>
      </c>
      <c r="X5787" s="6" t="str">
        <f>IFERROR(__xludf.DUMMYFUNCTION("""COMPUTED_VALUE"""),"Enrolled")</f>
        <v>Enrolled</v>
      </c>
    </row>
    <row r="5788">
      <c r="A5788" s="6" t="str">
        <f>IFERROR(__xludf.DUMMYFUNCTION("""COMPUTED_VALUE"""),"087-12385")</f>
        <v>087-12385</v>
      </c>
      <c r="B5788" s="6" t="str">
        <f>IFERROR(__xludf.DUMMYFUNCTION("""COMPUTED_VALUE"""),"87")</f>
        <v>87</v>
      </c>
      <c r="C5788" s="6" t="str">
        <f>IFERROR(__xludf.DUMMYFUNCTION("""COMPUTED_VALUE"""),"12385")</f>
        <v>12385</v>
      </c>
      <c r="D5788" s="6" t="str">
        <f>IFERROR(__xludf.DUMMYFUNCTION("""COMPUTED_VALUE"""),"I'Myireon")</f>
        <v>I'Myireon</v>
      </c>
      <c r="E5788" s="6" t="str">
        <f>IFERROR(__xludf.DUMMYFUNCTION("""COMPUTED_VALUE"""),"")</f>
        <v/>
      </c>
      <c r="F5788" s="6" t="str">
        <f>IFERROR(__xludf.DUMMYFUNCTION("""COMPUTED_VALUE"""),"Smith")</f>
        <v>Smith</v>
      </c>
      <c r="G5788" s="6" t="str">
        <f>IFERROR(__xludf.DUMMYFUNCTION("""COMPUTED_VALUE"""),"05/10/2014")</f>
        <v>05/10/2014</v>
      </c>
      <c r="H5788" s="6" t="str">
        <f>IFERROR(__xludf.DUMMYFUNCTION("""COMPUTED_VALUE"""),"male")</f>
        <v>male</v>
      </c>
      <c r="I5788" s="6" t="str">
        <f>IFERROR(__xludf.DUMMYFUNCTION("""COMPUTED_VALUE"""),"Middle School")</f>
        <v>Middle School</v>
      </c>
      <c r="J5788" s="6" t="str">
        <f>IFERROR(__xludf.DUMMYFUNCTION("""COMPUTED_VALUE"""),"6")</f>
        <v>6</v>
      </c>
      <c r="K5788" s="6" t="str">
        <f>IFERROR(__xludf.DUMMYFUNCTION("""COMPUTED_VALUE"""),"imyireon.smith@2hourlearning.com")</f>
        <v>imyireon.smith@2hourlearning.com</v>
      </c>
      <c r="L5788" s="6" t="str">
        <f>IFERROR(__xludf.DUMMYFUNCTION("""COMPUTED_VALUE"""),"JRHS - Ridgeland Secondary Academy of Excellence")</f>
        <v>JRHS - Ridgeland Secondary Academy of Excellence</v>
      </c>
      <c r="M5788" s="6" t="str">
        <f>IFERROR(__xludf.DUMMYFUNCTION("""COMPUTED_VALUE"""),"")</f>
        <v/>
      </c>
      <c r="N5788" s="6" t="str">
        <f>IFERROR(__xludf.DUMMYFUNCTION("""COMPUTED_VALUE"""),"")</f>
        <v/>
      </c>
      <c r="O5788" s="87" t="str">
        <f>IFERROR(__xludf.DUMMYFUNCTION("""COMPUTED_VALUE"""),"https://drive.google.com/drive/folders/10T2cTQHqEJZqE-st6uFKPoI?usp=share_link")</f>
        <v>https://drive.google.com/drive/folders/10T2cTQHqEJZqE-st6uFKPoI?usp=share_link</v>
      </c>
      <c r="P5788" s="6" t="str">
        <f>IFERROR(__xludf.DUMMYFUNCTION("""COMPUTED_VALUE"""),"I'Myireon Smith")</f>
        <v>I'Myireon Smith</v>
      </c>
      <c r="Q5788" s="6" t="str">
        <f>IFERROR(__xludf.DUMMYFUNCTION("""COMPUTED_VALUE"""),"MS")</f>
        <v>MS</v>
      </c>
      <c r="R5788" s="6">
        <f>IFERROR(__xludf.DUMMYFUNCTION("""COMPUTED_VALUE"""),0.0)</f>
        <v>0</v>
      </c>
      <c r="S5788" s="6" t="str">
        <f>IFERROR(__xludf.DUMMYFUNCTION("""COMPUTED_VALUE"""),"Kimberly Ball")</f>
        <v>Kimberly Ball</v>
      </c>
      <c r="T5788" s="6" t="str">
        <f>IFERROR(__xludf.DUMMYFUNCTION("""COMPUTED_VALUE"""),"kimberly.ball@studient.com")</f>
        <v>kimberly.ball@studient.com</v>
      </c>
      <c r="U5788" s="6" t="str">
        <f>IFERROR(__xludf.DUMMYFUNCTION("""COMPUTED_VALUE"""),"6")</f>
        <v>6</v>
      </c>
      <c r="V5788" s="6" t="str">
        <f>IFERROR(__xludf.DUMMYFUNCTION("""COMPUTED_VALUE"""),"")</f>
        <v/>
      </c>
      <c r="W5788" s="6" t="str">
        <f>IFERROR(__xludf.DUMMYFUNCTION("""COMPUTED_VALUE"""),"[]")</f>
        <v>[]</v>
      </c>
      <c r="X5788" s="6" t="str">
        <f>IFERROR(__xludf.DUMMYFUNCTION("""COMPUTED_VALUE"""),"Enrolled")</f>
        <v>Enrolled</v>
      </c>
    </row>
    <row r="5789">
      <c r="A5789" s="6" t="str">
        <f>IFERROR(__xludf.DUMMYFUNCTION("""COMPUTED_VALUE"""),"087-12386")</f>
        <v>087-12386</v>
      </c>
      <c r="B5789" s="6" t="str">
        <f>IFERROR(__xludf.DUMMYFUNCTION("""COMPUTED_VALUE"""),"87")</f>
        <v>87</v>
      </c>
      <c r="C5789" s="6" t="str">
        <f>IFERROR(__xludf.DUMMYFUNCTION("""COMPUTED_VALUE"""),"12386")</f>
        <v>12386</v>
      </c>
      <c r="D5789" s="6" t="str">
        <f>IFERROR(__xludf.DUMMYFUNCTION("""COMPUTED_VALUE"""),"Judith")</f>
        <v>Judith</v>
      </c>
      <c r="E5789" s="6" t="str">
        <f>IFERROR(__xludf.DUMMYFUNCTION("""COMPUTED_VALUE"""),"")</f>
        <v/>
      </c>
      <c r="F5789" s="6" t="str">
        <f>IFERROR(__xludf.DUMMYFUNCTION("""COMPUTED_VALUE"""),"Smith")</f>
        <v>Smith</v>
      </c>
      <c r="G5789" s="6" t="str">
        <f>IFERROR(__xludf.DUMMYFUNCTION("""COMPUTED_VALUE"""),"11/01/2013")</f>
        <v>11/01/2013</v>
      </c>
      <c r="H5789" s="6" t="str">
        <f>IFERROR(__xludf.DUMMYFUNCTION("""COMPUTED_VALUE"""),"female")</f>
        <v>female</v>
      </c>
      <c r="I5789" s="6" t="str">
        <f>IFERROR(__xludf.DUMMYFUNCTION("""COMPUTED_VALUE"""),"Middle School")</f>
        <v>Middle School</v>
      </c>
      <c r="J5789" s="6" t="str">
        <f>IFERROR(__xludf.DUMMYFUNCTION("""COMPUTED_VALUE"""),"6")</f>
        <v>6</v>
      </c>
      <c r="K5789" s="6" t="str">
        <f>IFERROR(__xludf.DUMMYFUNCTION("""COMPUTED_VALUE"""),"judith.smith@2hourlearning.com")</f>
        <v>judith.smith@2hourlearning.com</v>
      </c>
      <c r="L5789" s="6" t="str">
        <f>IFERROR(__xludf.DUMMYFUNCTION("""COMPUTED_VALUE"""),"JRHS - Ridgeland Secondary Academy of Excellence")</f>
        <v>JRHS - Ridgeland Secondary Academy of Excellence</v>
      </c>
      <c r="M5789" s="6" t="str">
        <f>IFERROR(__xludf.DUMMYFUNCTION("""COMPUTED_VALUE"""),"")</f>
        <v/>
      </c>
      <c r="N5789" s="6" t="str">
        <f>IFERROR(__xludf.DUMMYFUNCTION("""COMPUTED_VALUE"""),"")</f>
        <v/>
      </c>
      <c r="O5789" s="87" t="str">
        <f>IFERROR(__xludf.DUMMYFUNCTION("""COMPUTED_VALUE"""),"https://drive.google.com/drive/folders/10T2cTQHqEJZqE-st6uFKPoI?usp=share_link")</f>
        <v>https://drive.google.com/drive/folders/10T2cTQHqEJZqE-st6uFKPoI?usp=share_link</v>
      </c>
      <c r="P5789" s="6" t="str">
        <f>IFERROR(__xludf.DUMMYFUNCTION("""COMPUTED_VALUE"""),"Judith Smith")</f>
        <v>Judith Smith</v>
      </c>
      <c r="Q5789" s="6" t="str">
        <f>IFERROR(__xludf.DUMMYFUNCTION("""COMPUTED_VALUE"""),"MS")</f>
        <v>MS</v>
      </c>
      <c r="R5789" s="6">
        <f>IFERROR(__xludf.DUMMYFUNCTION("""COMPUTED_VALUE"""),0.0)</f>
        <v>0</v>
      </c>
      <c r="S5789" s="6" t="str">
        <f>IFERROR(__xludf.DUMMYFUNCTION("""COMPUTED_VALUE"""),"Kimberly Ball")</f>
        <v>Kimberly Ball</v>
      </c>
      <c r="T5789" s="6" t="str">
        <f>IFERROR(__xludf.DUMMYFUNCTION("""COMPUTED_VALUE"""),"kimberly.ball@studient.com")</f>
        <v>kimberly.ball@studient.com</v>
      </c>
      <c r="U5789" s="6" t="str">
        <f>IFERROR(__xludf.DUMMYFUNCTION("""COMPUTED_VALUE"""),"6")</f>
        <v>6</v>
      </c>
      <c r="V5789" s="6" t="str">
        <f>IFERROR(__xludf.DUMMYFUNCTION("""COMPUTED_VALUE"""),"")</f>
        <v/>
      </c>
      <c r="W5789" s="6" t="str">
        <f>IFERROR(__xludf.DUMMYFUNCTION("""COMPUTED_VALUE"""),"[]")</f>
        <v>[]</v>
      </c>
      <c r="X5789" s="6" t="str">
        <f>IFERROR(__xludf.DUMMYFUNCTION("""COMPUTED_VALUE"""),"Enrolled")</f>
        <v>Enrolled</v>
      </c>
    </row>
    <row r="5790">
      <c r="A5790" s="6" t="str">
        <f>IFERROR(__xludf.DUMMYFUNCTION("""COMPUTED_VALUE"""),"087-12387")</f>
        <v>087-12387</v>
      </c>
      <c r="B5790" s="6" t="str">
        <f>IFERROR(__xludf.DUMMYFUNCTION("""COMPUTED_VALUE"""),"87")</f>
        <v>87</v>
      </c>
      <c r="C5790" s="6" t="str">
        <f>IFERROR(__xludf.DUMMYFUNCTION("""COMPUTED_VALUE"""),"12387")</f>
        <v>12387</v>
      </c>
      <c r="D5790" s="6" t="str">
        <f>IFERROR(__xludf.DUMMYFUNCTION("""COMPUTED_VALUE"""),"Khalid")</f>
        <v>Khalid</v>
      </c>
      <c r="E5790" s="6" t="str">
        <f>IFERROR(__xludf.DUMMYFUNCTION("""COMPUTED_VALUE"""),"")</f>
        <v/>
      </c>
      <c r="F5790" s="6" t="str">
        <f>IFERROR(__xludf.DUMMYFUNCTION("""COMPUTED_VALUE"""),"Smith")</f>
        <v>Smith</v>
      </c>
      <c r="G5790" s="6" t="str">
        <f>IFERROR(__xludf.DUMMYFUNCTION("""COMPUTED_VALUE"""),"02/14/2013")</f>
        <v>02/14/2013</v>
      </c>
      <c r="H5790" s="6" t="str">
        <f>IFERROR(__xludf.DUMMYFUNCTION("""COMPUTED_VALUE"""),"male")</f>
        <v>male</v>
      </c>
      <c r="I5790" s="6" t="str">
        <f>IFERROR(__xludf.DUMMYFUNCTION("""COMPUTED_VALUE"""),"Middle School")</f>
        <v>Middle School</v>
      </c>
      <c r="J5790" s="6" t="str">
        <f>IFERROR(__xludf.DUMMYFUNCTION("""COMPUTED_VALUE"""),"7")</f>
        <v>7</v>
      </c>
      <c r="K5790" s="6" t="str">
        <f>IFERROR(__xludf.DUMMYFUNCTION("""COMPUTED_VALUE"""),"khalid.smith@2hourlearning.com")</f>
        <v>khalid.smith@2hourlearning.com</v>
      </c>
      <c r="L5790" s="6" t="str">
        <f>IFERROR(__xludf.DUMMYFUNCTION("""COMPUTED_VALUE"""),"JRHS - Ridgeland Secondary Academy of Excellence")</f>
        <v>JRHS - Ridgeland Secondary Academy of Excellence</v>
      </c>
      <c r="M5790" s="6" t="str">
        <f>IFERROR(__xludf.DUMMYFUNCTION("""COMPUTED_VALUE"""),"")</f>
        <v/>
      </c>
      <c r="N5790" s="6" t="str">
        <f>IFERROR(__xludf.DUMMYFUNCTION("""COMPUTED_VALUE"""),"")</f>
        <v/>
      </c>
      <c r="O5790" s="87" t="str">
        <f>IFERROR(__xludf.DUMMYFUNCTION("""COMPUTED_VALUE"""),"https://drive.google.com/drive/folders/10T2cTQHqEJZqE-st6uFKPoI?usp=share_link")</f>
        <v>https://drive.google.com/drive/folders/10T2cTQHqEJZqE-st6uFKPoI?usp=share_link</v>
      </c>
      <c r="P5790" s="6" t="str">
        <f>IFERROR(__xludf.DUMMYFUNCTION("""COMPUTED_VALUE"""),"Khalid Smith")</f>
        <v>Khalid Smith</v>
      </c>
      <c r="Q5790" s="6" t="str">
        <f>IFERROR(__xludf.DUMMYFUNCTION("""COMPUTED_VALUE"""),"MS")</f>
        <v>MS</v>
      </c>
      <c r="R5790" s="6">
        <f>IFERROR(__xludf.DUMMYFUNCTION("""COMPUTED_VALUE"""),0.0)</f>
        <v>0</v>
      </c>
      <c r="S5790" s="6" t="str">
        <f>IFERROR(__xludf.DUMMYFUNCTION("""COMPUTED_VALUE"""),"Kimberly Ball")</f>
        <v>Kimberly Ball</v>
      </c>
      <c r="T5790" s="6" t="str">
        <f>IFERROR(__xludf.DUMMYFUNCTION("""COMPUTED_VALUE"""),"kimberly.ball@studient.com")</f>
        <v>kimberly.ball@studient.com</v>
      </c>
      <c r="U5790" s="6" t="str">
        <f>IFERROR(__xludf.DUMMYFUNCTION("""COMPUTED_VALUE"""),"7")</f>
        <v>7</v>
      </c>
      <c r="V5790" s="6" t="str">
        <f>IFERROR(__xludf.DUMMYFUNCTION("""COMPUTED_VALUE"""),"")</f>
        <v/>
      </c>
      <c r="W5790" s="6" t="str">
        <f>IFERROR(__xludf.DUMMYFUNCTION("""COMPUTED_VALUE"""),"[]")</f>
        <v>[]</v>
      </c>
      <c r="X5790" s="6" t="str">
        <f>IFERROR(__xludf.DUMMYFUNCTION("""COMPUTED_VALUE"""),"Enrolled")</f>
        <v>Enrolled</v>
      </c>
    </row>
    <row r="5791">
      <c r="A5791" s="6" t="str">
        <f>IFERROR(__xludf.DUMMYFUNCTION("""COMPUTED_VALUE"""),"087-12388")</f>
        <v>087-12388</v>
      </c>
      <c r="B5791" s="6" t="str">
        <f>IFERROR(__xludf.DUMMYFUNCTION("""COMPUTED_VALUE"""),"87")</f>
        <v>87</v>
      </c>
      <c r="C5791" s="6" t="str">
        <f>IFERROR(__xludf.DUMMYFUNCTION("""COMPUTED_VALUE"""),"12388")</f>
        <v>12388</v>
      </c>
      <c r="D5791" s="6" t="str">
        <f>IFERROR(__xludf.DUMMYFUNCTION("""COMPUTED_VALUE"""),"Makenley")</f>
        <v>Makenley</v>
      </c>
      <c r="E5791" s="6" t="str">
        <f>IFERROR(__xludf.DUMMYFUNCTION("""COMPUTED_VALUE"""),"")</f>
        <v/>
      </c>
      <c r="F5791" s="6" t="str">
        <f>IFERROR(__xludf.DUMMYFUNCTION("""COMPUTED_VALUE"""),"Smith")</f>
        <v>Smith</v>
      </c>
      <c r="G5791" s="6" t="str">
        <f>IFERROR(__xludf.DUMMYFUNCTION("""COMPUTED_VALUE"""),"09/12/2012")</f>
        <v>09/12/2012</v>
      </c>
      <c r="H5791" s="6" t="str">
        <f>IFERROR(__xludf.DUMMYFUNCTION("""COMPUTED_VALUE"""),"female")</f>
        <v>female</v>
      </c>
      <c r="I5791" s="6" t="str">
        <f>IFERROR(__xludf.DUMMYFUNCTION("""COMPUTED_VALUE"""),"Middle School")</f>
        <v>Middle School</v>
      </c>
      <c r="J5791" s="6" t="str">
        <f>IFERROR(__xludf.DUMMYFUNCTION("""COMPUTED_VALUE"""),"7")</f>
        <v>7</v>
      </c>
      <c r="K5791" s="6" t="str">
        <f>IFERROR(__xludf.DUMMYFUNCTION("""COMPUTED_VALUE"""),"makenley.smith@2hourlearning.com")</f>
        <v>makenley.smith@2hourlearning.com</v>
      </c>
      <c r="L5791" s="6" t="str">
        <f>IFERROR(__xludf.DUMMYFUNCTION("""COMPUTED_VALUE"""),"JRHS - Ridgeland Secondary Academy of Excellence")</f>
        <v>JRHS - Ridgeland Secondary Academy of Excellence</v>
      </c>
      <c r="M5791" s="6" t="str">
        <f>IFERROR(__xludf.DUMMYFUNCTION("""COMPUTED_VALUE"""),"")</f>
        <v/>
      </c>
      <c r="N5791" s="6" t="str">
        <f>IFERROR(__xludf.DUMMYFUNCTION("""COMPUTED_VALUE"""),"")</f>
        <v/>
      </c>
      <c r="O5791" s="87" t="str">
        <f>IFERROR(__xludf.DUMMYFUNCTION("""COMPUTED_VALUE"""),"https://drive.google.com/drive/folders/10T2cTQHqEJZqE-st6uFKPoI?usp=share_link")</f>
        <v>https://drive.google.com/drive/folders/10T2cTQHqEJZqE-st6uFKPoI?usp=share_link</v>
      </c>
      <c r="P5791" s="6" t="str">
        <f>IFERROR(__xludf.DUMMYFUNCTION("""COMPUTED_VALUE"""),"Makenley Smith")</f>
        <v>Makenley Smith</v>
      </c>
      <c r="Q5791" s="6" t="str">
        <f>IFERROR(__xludf.DUMMYFUNCTION("""COMPUTED_VALUE"""),"MS")</f>
        <v>MS</v>
      </c>
      <c r="R5791" s="6">
        <f>IFERROR(__xludf.DUMMYFUNCTION("""COMPUTED_VALUE"""),0.0)</f>
        <v>0</v>
      </c>
      <c r="S5791" s="6" t="str">
        <f>IFERROR(__xludf.DUMMYFUNCTION("""COMPUTED_VALUE"""),"Kimberly Ball")</f>
        <v>Kimberly Ball</v>
      </c>
      <c r="T5791" s="6" t="str">
        <f>IFERROR(__xludf.DUMMYFUNCTION("""COMPUTED_VALUE"""),"kimberly.ball@studient.com")</f>
        <v>kimberly.ball@studient.com</v>
      </c>
      <c r="U5791" s="6" t="str">
        <f>IFERROR(__xludf.DUMMYFUNCTION("""COMPUTED_VALUE"""),"7")</f>
        <v>7</v>
      </c>
      <c r="V5791" s="6" t="str">
        <f>IFERROR(__xludf.DUMMYFUNCTION("""COMPUTED_VALUE"""),"")</f>
        <v/>
      </c>
      <c r="W5791" s="6" t="str">
        <f>IFERROR(__xludf.DUMMYFUNCTION("""COMPUTED_VALUE"""),"[]")</f>
        <v>[]</v>
      </c>
      <c r="X5791" s="6" t="str">
        <f>IFERROR(__xludf.DUMMYFUNCTION("""COMPUTED_VALUE"""),"Enrolled")</f>
        <v>Enrolled</v>
      </c>
    </row>
    <row r="5792">
      <c r="A5792" s="6" t="str">
        <f>IFERROR(__xludf.DUMMYFUNCTION("""COMPUTED_VALUE"""),"087-12389")</f>
        <v>087-12389</v>
      </c>
      <c r="B5792" s="6" t="str">
        <f>IFERROR(__xludf.DUMMYFUNCTION("""COMPUTED_VALUE"""),"87")</f>
        <v>87</v>
      </c>
      <c r="C5792" s="6" t="str">
        <f>IFERROR(__xludf.DUMMYFUNCTION("""COMPUTED_VALUE"""),"12389")</f>
        <v>12389</v>
      </c>
      <c r="D5792" s="6" t="str">
        <f>IFERROR(__xludf.DUMMYFUNCTION("""COMPUTED_VALUE"""),"Evan")</f>
        <v>Evan</v>
      </c>
      <c r="E5792" s="6" t="str">
        <f>IFERROR(__xludf.DUMMYFUNCTION("""COMPUTED_VALUE"""),"")</f>
        <v/>
      </c>
      <c r="F5792" s="6" t="str">
        <f>IFERROR(__xludf.DUMMYFUNCTION("""COMPUTED_VALUE"""),"Smith DUPLICATE")</f>
        <v>Smith DUPLICATE</v>
      </c>
      <c r="G5792" s="6" t="str">
        <f>IFERROR(__xludf.DUMMYFUNCTION("""COMPUTED_VALUE"""),"09/11/2012")</f>
        <v>09/11/2012</v>
      </c>
      <c r="H5792" s="6" t="str">
        <f>IFERROR(__xludf.DUMMYFUNCTION("""COMPUTED_VALUE"""),"male")</f>
        <v>male</v>
      </c>
      <c r="I5792" s="6" t="str">
        <f>IFERROR(__xludf.DUMMYFUNCTION("""COMPUTED_VALUE"""),"Middle School")</f>
        <v>Middle School</v>
      </c>
      <c r="J5792" s="6" t="str">
        <f>IFERROR(__xludf.DUMMYFUNCTION("""COMPUTED_VALUE"""),"6")</f>
        <v>6</v>
      </c>
      <c r="K5792" s="6" t="str">
        <f>IFERROR(__xludf.DUMMYFUNCTION("""COMPUTED_VALUE"""),"evan.smithduplicate@2hourlearning.com")</f>
        <v>evan.smithduplicate@2hourlearning.com</v>
      </c>
      <c r="L5792" s="6" t="str">
        <f>IFERROR(__xludf.DUMMYFUNCTION("""COMPUTED_VALUE"""),"JRHS - Ridgeland Secondary Academy of Excellence")</f>
        <v>JRHS - Ridgeland Secondary Academy of Excellence</v>
      </c>
      <c r="M5792" s="6" t="str">
        <f>IFERROR(__xludf.DUMMYFUNCTION("""COMPUTED_VALUE"""),"")</f>
        <v/>
      </c>
      <c r="N5792" s="6" t="str">
        <f>IFERROR(__xludf.DUMMYFUNCTION("""COMPUTED_VALUE"""),"")</f>
        <v/>
      </c>
      <c r="O5792" s="87" t="str">
        <f>IFERROR(__xludf.DUMMYFUNCTION("""COMPUTED_VALUE"""),"https://drive.google.com/drive/folders/10T2cTQHqEJZqE-st6uFKPoI?usp=share_link")</f>
        <v>https://drive.google.com/drive/folders/10T2cTQHqEJZqE-st6uFKPoI?usp=share_link</v>
      </c>
      <c r="P5792" s="6" t="str">
        <f>IFERROR(__xludf.DUMMYFUNCTION("""COMPUTED_VALUE"""),"Evan Smith DUPLICATE")</f>
        <v>Evan Smith DUPLICATE</v>
      </c>
      <c r="Q5792" s="6" t="str">
        <f>IFERROR(__xludf.DUMMYFUNCTION("""COMPUTED_VALUE"""),"MS")</f>
        <v>MS</v>
      </c>
      <c r="R5792" s="6">
        <f>IFERROR(__xludf.DUMMYFUNCTION("""COMPUTED_VALUE"""),0.0)</f>
        <v>0</v>
      </c>
      <c r="S5792" s="6" t="str">
        <f>IFERROR(__xludf.DUMMYFUNCTION("""COMPUTED_VALUE"""),"Kimberly Ball")</f>
        <v>Kimberly Ball</v>
      </c>
      <c r="T5792" s="6" t="str">
        <f>IFERROR(__xludf.DUMMYFUNCTION("""COMPUTED_VALUE"""),"kimberly.ball@studient.com")</f>
        <v>kimberly.ball@studient.com</v>
      </c>
      <c r="U5792" s="6" t="str">
        <f>IFERROR(__xludf.DUMMYFUNCTION("""COMPUTED_VALUE"""),"6")</f>
        <v>6</v>
      </c>
      <c r="V5792" s="6" t="str">
        <f>IFERROR(__xludf.DUMMYFUNCTION("""COMPUTED_VALUE"""),"")</f>
        <v/>
      </c>
      <c r="W5792" s="6" t="str">
        <f>IFERROR(__xludf.DUMMYFUNCTION("""COMPUTED_VALUE"""),"[]")</f>
        <v>[]</v>
      </c>
      <c r="X5792" s="6" t="str">
        <f>IFERROR(__xludf.DUMMYFUNCTION("""COMPUTED_VALUE"""),"Enrolled")</f>
        <v>Enrolled</v>
      </c>
    </row>
    <row r="5793">
      <c r="A5793" s="6" t="str">
        <f>IFERROR(__xludf.DUMMYFUNCTION("""COMPUTED_VALUE"""),"087-12390")</f>
        <v>087-12390</v>
      </c>
      <c r="B5793" s="6" t="str">
        <f>IFERROR(__xludf.DUMMYFUNCTION("""COMPUTED_VALUE"""),"87")</f>
        <v>87</v>
      </c>
      <c r="C5793" s="6" t="str">
        <f>IFERROR(__xludf.DUMMYFUNCTION("""COMPUTED_VALUE"""),"12390")</f>
        <v>12390</v>
      </c>
      <c r="D5793" s="6" t="str">
        <f>IFERROR(__xludf.DUMMYFUNCTION("""COMPUTED_VALUE"""),"Kyra")</f>
        <v>Kyra</v>
      </c>
      <c r="E5793" s="6" t="str">
        <f>IFERROR(__xludf.DUMMYFUNCTION("""COMPUTED_VALUE"""),"")</f>
        <v/>
      </c>
      <c r="F5793" s="6" t="str">
        <f>IFERROR(__xludf.DUMMYFUNCTION("""COMPUTED_VALUE"""),"Spicer")</f>
        <v>Spicer</v>
      </c>
      <c r="G5793" s="6" t="str">
        <f>IFERROR(__xludf.DUMMYFUNCTION("""COMPUTED_VALUE"""),"11/21/2011")</f>
        <v>11/21/2011</v>
      </c>
      <c r="H5793" s="6" t="str">
        <f>IFERROR(__xludf.DUMMYFUNCTION("""COMPUTED_VALUE"""),"female")</f>
        <v>female</v>
      </c>
      <c r="I5793" s="6" t="str">
        <f>IFERROR(__xludf.DUMMYFUNCTION("""COMPUTED_VALUE"""),"Middle School")</f>
        <v>Middle School</v>
      </c>
      <c r="J5793" s="6" t="str">
        <f>IFERROR(__xludf.DUMMYFUNCTION("""COMPUTED_VALUE"""),"8")</f>
        <v>8</v>
      </c>
      <c r="K5793" s="6" t="str">
        <f>IFERROR(__xludf.DUMMYFUNCTION("""COMPUTED_VALUE"""),"kyra.spicer@2hourlearning.com")</f>
        <v>kyra.spicer@2hourlearning.com</v>
      </c>
      <c r="L5793" s="6" t="str">
        <f>IFERROR(__xludf.DUMMYFUNCTION("""COMPUTED_VALUE"""),"JRHS - Ridgeland Secondary Academy of Excellence")</f>
        <v>JRHS - Ridgeland Secondary Academy of Excellence</v>
      </c>
      <c r="M5793" s="6" t="str">
        <f>IFERROR(__xludf.DUMMYFUNCTION("""COMPUTED_VALUE"""),"")</f>
        <v/>
      </c>
      <c r="N5793" s="6" t="str">
        <f>IFERROR(__xludf.DUMMYFUNCTION("""COMPUTED_VALUE"""),"")</f>
        <v/>
      </c>
      <c r="O5793" s="87" t="str">
        <f>IFERROR(__xludf.DUMMYFUNCTION("""COMPUTED_VALUE"""),"https://drive.google.com/drive/folders/10T2cTQHqEJZqE-st6uFKPoI?usp=share_link")</f>
        <v>https://drive.google.com/drive/folders/10T2cTQHqEJZqE-st6uFKPoI?usp=share_link</v>
      </c>
      <c r="P5793" s="6" t="str">
        <f>IFERROR(__xludf.DUMMYFUNCTION("""COMPUTED_VALUE"""),"Kyra Spicer")</f>
        <v>Kyra Spicer</v>
      </c>
      <c r="Q5793" s="6" t="str">
        <f>IFERROR(__xludf.DUMMYFUNCTION("""COMPUTED_VALUE"""),"MS")</f>
        <v>MS</v>
      </c>
      <c r="R5793" s="6">
        <f>IFERROR(__xludf.DUMMYFUNCTION("""COMPUTED_VALUE"""),0.0)</f>
        <v>0</v>
      </c>
      <c r="S5793" s="6" t="str">
        <f>IFERROR(__xludf.DUMMYFUNCTION("""COMPUTED_VALUE"""),"Kimberly Ball")</f>
        <v>Kimberly Ball</v>
      </c>
      <c r="T5793" s="6" t="str">
        <f>IFERROR(__xludf.DUMMYFUNCTION("""COMPUTED_VALUE"""),"kimberly.ball@studient.com")</f>
        <v>kimberly.ball@studient.com</v>
      </c>
      <c r="U5793" s="6" t="str">
        <f>IFERROR(__xludf.DUMMYFUNCTION("""COMPUTED_VALUE"""),"8")</f>
        <v>8</v>
      </c>
      <c r="V5793" s="6" t="str">
        <f>IFERROR(__xludf.DUMMYFUNCTION("""COMPUTED_VALUE"""),"")</f>
        <v/>
      </c>
      <c r="W5793" s="6" t="str">
        <f>IFERROR(__xludf.DUMMYFUNCTION("""COMPUTED_VALUE"""),"[]")</f>
        <v>[]</v>
      </c>
      <c r="X5793" s="6" t="str">
        <f>IFERROR(__xludf.DUMMYFUNCTION("""COMPUTED_VALUE"""),"Enrolled")</f>
        <v>Enrolled</v>
      </c>
    </row>
    <row r="5794">
      <c r="A5794" s="6" t="str">
        <f>IFERROR(__xludf.DUMMYFUNCTION("""COMPUTED_VALUE"""),"087-12391")</f>
        <v>087-12391</v>
      </c>
      <c r="B5794" s="6" t="str">
        <f>IFERROR(__xludf.DUMMYFUNCTION("""COMPUTED_VALUE"""),"87")</f>
        <v>87</v>
      </c>
      <c r="C5794" s="6" t="str">
        <f>IFERROR(__xludf.DUMMYFUNCTION("""COMPUTED_VALUE"""),"12391")</f>
        <v>12391</v>
      </c>
      <c r="D5794" s="6" t="str">
        <f>IFERROR(__xludf.DUMMYFUNCTION("""COMPUTED_VALUE"""),"Robert")</f>
        <v>Robert</v>
      </c>
      <c r="E5794" s="6" t="str">
        <f>IFERROR(__xludf.DUMMYFUNCTION("""COMPUTED_VALUE"""),"")</f>
        <v/>
      </c>
      <c r="F5794" s="6" t="str">
        <f>IFERROR(__xludf.DUMMYFUNCTION("""COMPUTED_VALUE"""),"Spicer")</f>
        <v>Spicer</v>
      </c>
      <c r="G5794" s="6" t="str">
        <f>IFERROR(__xludf.DUMMYFUNCTION("""COMPUTED_VALUE"""),"07/26/2014")</f>
        <v>07/26/2014</v>
      </c>
      <c r="H5794" s="6" t="str">
        <f>IFERROR(__xludf.DUMMYFUNCTION("""COMPUTED_VALUE"""),"male")</f>
        <v>male</v>
      </c>
      <c r="I5794" s="6" t="str">
        <f>IFERROR(__xludf.DUMMYFUNCTION("""COMPUTED_VALUE"""),"Middle School")</f>
        <v>Middle School</v>
      </c>
      <c r="J5794" s="6" t="str">
        <f>IFERROR(__xludf.DUMMYFUNCTION("""COMPUTED_VALUE"""),"6")</f>
        <v>6</v>
      </c>
      <c r="K5794" s="6" t="str">
        <f>IFERROR(__xludf.DUMMYFUNCTION("""COMPUTED_VALUE"""),"robert.spicer@2hourlearning.com")</f>
        <v>robert.spicer@2hourlearning.com</v>
      </c>
      <c r="L5794" s="6" t="str">
        <f>IFERROR(__xludf.DUMMYFUNCTION("""COMPUTED_VALUE"""),"JRHS - Ridgeland Secondary Academy of Excellence")</f>
        <v>JRHS - Ridgeland Secondary Academy of Excellence</v>
      </c>
      <c r="M5794" s="6" t="str">
        <f>IFERROR(__xludf.DUMMYFUNCTION("""COMPUTED_VALUE"""),"")</f>
        <v/>
      </c>
      <c r="N5794" s="6" t="str">
        <f>IFERROR(__xludf.DUMMYFUNCTION("""COMPUTED_VALUE"""),"")</f>
        <v/>
      </c>
      <c r="O5794" s="87" t="str">
        <f>IFERROR(__xludf.DUMMYFUNCTION("""COMPUTED_VALUE"""),"https://drive.google.com/drive/folders/10T2cTQHqEJZqE-st6uFKPoI?usp=share_link")</f>
        <v>https://drive.google.com/drive/folders/10T2cTQHqEJZqE-st6uFKPoI?usp=share_link</v>
      </c>
      <c r="P5794" s="6" t="str">
        <f>IFERROR(__xludf.DUMMYFUNCTION("""COMPUTED_VALUE"""),"Robert Spicer")</f>
        <v>Robert Spicer</v>
      </c>
      <c r="Q5794" s="6" t="str">
        <f>IFERROR(__xludf.DUMMYFUNCTION("""COMPUTED_VALUE"""),"MS")</f>
        <v>MS</v>
      </c>
      <c r="R5794" s="6">
        <f>IFERROR(__xludf.DUMMYFUNCTION("""COMPUTED_VALUE"""),0.0)</f>
        <v>0</v>
      </c>
      <c r="S5794" s="6" t="str">
        <f>IFERROR(__xludf.DUMMYFUNCTION("""COMPUTED_VALUE"""),"Kimberly Ball")</f>
        <v>Kimberly Ball</v>
      </c>
      <c r="T5794" s="6" t="str">
        <f>IFERROR(__xludf.DUMMYFUNCTION("""COMPUTED_VALUE"""),"kimberly.ball@studient.com")</f>
        <v>kimberly.ball@studient.com</v>
      </c>
      <c r="U5794" s="6" t="str">
        <f>IFERROR(__xludf.DUMMYFUNCTION("""COMPUTED_VALUE"""),"6")</f>
        <v>6</v>
      </c>
      <c r="V5794" s="6" t="str">
        <f>IFERROR(__xludf.DUMMYFUNCTION("""COMPUTED_VALUE"""),"")</f>
        <v/>
      </c>
      <c r="W5794" s="6" t="str">
        <f>IFERROR(__xludf.DUMMYFUNCTION("""COMPUTED_VALUE"""),"[]")</f>
        <v>[]</v>
      </c>
      <c r="X5794" s="6" t="str">
        <f>IFERROR(__xludf.DUMMYFUNCTION("""COMPUTED_VALUE"""),"Enrolled")</f>
        <v>Enrolled</v>
      </c>
    </row>
    <row r="5795">
      <c r="A5795" s="6" t="str">
        <f>IFERROR(__xludf.DUMMYFUNCTION("""COMPUTED_VALUE"""),"087-12392")</f>
        <v>087-12392</v>
      </c>
      <c r="B5795" s="6" t="str">
        <f>IFERROR(__xludf.DUMMYFUNCTION("""COMPUTED_VALUE"""),"87")</f>
        <v>87</v>
      </c>
      <c r="C5795" s="6" t="str">
        <f>IFERROR(__xludf.DUMMYFUNCTION("""COMPUTED_VALUE"""),"12392")</f>
        <v>12392</v>
      </c>
      <c r="D5795" s="6" t="str">
        <f>IFERROR(__xludf.DUMMYFUNCTION("""COMPUTED_VALUE"""),"Tyler")</f>
        <v>Tyler</v>
      </c>
      <c r="E5795" s="6" t="str">
        <f>IFERROR(__xludf.DUMMYFUNCTION("""COMPUTED_VALUE"""),"")</f>
        <v/>
      </c>
      <c r="F5795" s="6" t="str">
        <f>IFERROR(__xludf.DUMMYFUNCTION("""COMPUTED_VALUE"""),"Stephens")</f>
        <v>Stephens</v>
      </c>
      <c r="G5795" s="6" t="str">
        <f>IFERROR(__xludf.DUMMYFUNCTION("""COMPUTED_VALUE"""),"07/05/2014")</f>
        <v>07/05/2014</v>
      </c>
      <c r="H5795" s="6" t="str">
        <f>IFERROR(__xludf.DUMMYFUNCTION("""COMPUTED_VALUE"""),"male")</f>
        <v>male</v>
      </c>
      <c r="I5795" s="6" t="str">
        <f>IFERROR(__xludf.DUMMYFUNCTION("""COMPUTED_VALUE"""),"Middle School")</f>
        <v>Middle School</v>
      </c>
      <c r="J5795" s="6" t="str">
        <f>IFERROR(__xludf.DUMMYFUNCTION("""COMPUTED_VALUE"""),"6")</f>
        <v>6</v>
      </c>
      <c r="K5795" s="6" t="str">
        <f>IFERROR(__xludf.DUMMYFUNCTION("""COMPUTED_VALUE"""),"tyler.stephens@2hourlearning.com")</f>
        <v>tyler.stephens@2hourlearning.com</v>
      </c>
      <c r="L5795" s="6" t="str">
        <f>IFERROR(__xludf.DUMMYFUNCTION("""COMPUTED_VALUE"""),"JRHS - Ridgeland Secondary Academy of Excellence")</f>
        <v>JRHS - Ridgeland Secondary Academy of Excellence</v>
      </c>
      <c r="M5795" s="6" t="str">
        <f>IFERROR(__xludf.DUMMYFUNCTION("""COMPUTED_VALUE"""),"")</f>
        <v/>
      </c>
      <c r="N5795" s="6" t="str">
        <f>IFERROR(__xludf.DUMMYFUNCTION("""COMPUTED_VALUE"""),"")</f>
        <v/>
      </c>
      <c r="O5795" s="87" t="str">
        <f>IFERROR(__xludf.DUMMYFUNCTION("""COMPUTED_VALUE"""),"https://drive.google.com/drive/folders/10T2cTQHqEJZqE-st6uFKPoI?usp=share_link")</f>
        <v>https://drive.google.com/drive/folders/10T2cTQHqEJZqE-st6uFKPoI?usp=share_link</v>
      </c>
      <c r="P5795" s="6" t="str">
        <f>IFERROR(__xludf.DUMMYFUNCTION("""COMPUTED_VALUE"""),"Tyler Stephens")</f>
        <v>Tyler Stephens</v>
      </c>
      <c r="Q5795" s="6" t="str">
        <f>IFERROR(__xludf.DUMMYFUNCTION("""COMPUTED_VALUE"""),"MS")</f>
        <v>MS</v>
      </c>
      <c r="R5795" s="6">
        <f>IFERROR(__xludf.DUMMYFUNCTION("""COMPUTED_VALUE"""),0.0)</f>
        <v>0</v>
      </c>
      <c r="S5795" s="6" t="str">
        <f>IFERROR(__xludf.DUMMYFUNCTION("""COMPUTED_VALUE"""),"Kimberly Ball")</f>
        <v>Kimberly Ball</v>
      </c>
      <c r="T5795" s="6" t="str">
        <f>IFERROR(__xludf.DUMMYFUNCTION("""COMPUTED_VALUE"""),"kimberly.ball@studient.com")</f>
        <v>kimberly.ball@studient.com</v>
      </c>
      <c r="U5795" s="6" t="str">
        <f>IFERROR(__xludf.DUMMYFUNCTION("""COMPUTED_VALUE"""),"6")</f>
        <v>6</v>
      </c>
      <c r="V5795" s="6" t="str">
        <f>IFERROR(__xludf.DUMMYFUNCTION("""COMPUTED_VALUE"""),"")</f>
        <v/>
      </c>
      <c r="W5795" s="6" t="str">
        <f>IFERROR(__xludf.DUMMYFUNCTION("""COMPUTED_VALUE"""),"[]")</f>
        <v>[]</v>
      </c>
      <c r="X5795" s="6" t="str">
        <f>IFERROR(__xludf.DUMMYFUNCTION("""COMPUTED_VALUE"""),"Enrolled")</f>
        <v>Enrolled</v>
      </c>
    </row>
    <row r="5796">
      <c r="A5796" s="6" t="str">
        <f>IFERROR(__xludf.DUMMYFUNCTION("""COMPUTED_VALUE"""),"087-12393")</f>
        <v>087-12393</v>
      </c>
      <c r="B5796" s="6" t="str">
        <f>IFERROR(__xludf.DUMMYFUNCTION("""COMPUTED_VALUE"""),"87")</f>
        <v>87</v>
      </c>
      <c r="C5796" s="6" t="str">
        <f>IFERROR(__xludf.DUMMYFUNCTION("""COMPUTED_VALUE"""),"12393")</f>
        <v>12393</v>
      </c>
      <c r="D5796" s="6" t="str">
        <f>IFERROR(__xludf.DUMMYFUNCTION("""COMPUTED_VALUE"""),"Ariana")</f>
        <v>Ariana</v>
      </c>
      <c r="E5796" s="6" t="str">
        <f>IFERROR(__xludf.DUMMYFUNCTION("""COMPUTED_VALUE"""),"")</f>
        <v/>
      </c>
      <c r="F5796" s="6" t="str">
        <f>IFERROR(__xludf.DUMMYFUNCTION("""COMPUTED_VALUE"""),"Stevenson")</f>
        <v>Stevenson</v>
      </c>
      <c r="G5796" s="6" t="str">
        <f>IFERROR(__xludf.DUMMYFUNCTION("""COMPUTED_VALUE"""),"08/26/2012")</f>
        <v>08/26/2012</v>
      </c>
      <c r="H5796" s="6" t="str">
        <f>IFERROR(__xludf.DUMMYFUNCTION("""COMPUTED_VALUE"""),"female")</f>
        <v>female</v>
      </c>
      <c r="I5796" s="6" t="str">
        <f>IFERROR(__xludf.DUMMYFUNCTION("""COMPUTED_VALUE"""),"Middle School")</f>
        <v>Middle School</v>
      </c>
      <c r="J5796" s="6" t="str">
        <f>IFERROR(__xludf.DUMMYFUNCTION("""COMPUTED_VALUE"""),"8")</f>
        <v>8</v>
      </c>
      <c r="K5796" s="6" t="str">
        <f>IFERROR(__xludf.DUMMYFUNCTION("""COMPUTED_VALUE"""),"ariana.stevenson@2hourlearning.com")</f>
        <v>ariana.stevenson@2hourlearning.com</v>
      </c>
      <c r="L5796" s="6" t="str">
        <f>IFERROR(__xludf.DUMMYFUNCTION("""COMPUTED_VALUE"""),"JRHS - Ridgeland Secondary Academy of Excellence")</f>
        <v>JRHS - Ridgeland Secondary Academy of Excellence</v>
      </c>
      <c r="M5796" s="6" t="str">
        <f>IFERROR(__xludf.DUMMYFUNCTION("""COMPUTED_VALUE"""),"")</f>
        <v/>
      </c>
      <c r="N5796" s="6" t="str">
        <f>IFERROR(__xludf.DUMMYFUNCTION("""COMPUTED_VALUE"""),"")</f>
        <v/>
      </c>
      <c r="O5796" s="87" t="str">
        <f>IFERROR(__xludf.DUMMYFUNCTION("""COMPUTED_VALUE"""),"https://drive.google.com/drive/folders/10T2cTQHqEJZqE-st6uFKPoI?usp=share_link")</f>
        <v>https://drive.google.com/drive/folders/10T2cTQHqEJZqE-st6uFKPoI?usp=share_link</v>
      </c>
      <c r="P5796" s="6" t="str">
        <f>IFERROR(__xludf.DUMMYFUNCTION("""COMPUTED_VALUE"""),"Ariana Stevenson")</f>
        <v>Ariana Stevenson</v>
      </c>
      <c r="Q5796" s="6" t="str">
        <f>IFERROR(__xludf.DUMMYFUNCTION("""COMPUTED_VALUE"""),"MS")</f>
        <v>MS</v>
      </c>
      <c r="R5796" s="6">
        <f>IFERROR(__xludf.DUMMYFUNCTION("""COMPUTED_VALUE"""),0.0)</f>
        <v>0</v>
      </c>
      <c r="S5796" s="6" t="str">
        <f>IFERROR(__xludf.DUMMYFUNCTION("""COMPUTED_VALUE"""),"Kimberly Ball")</f>
        <v>Kimberly Ball</v>
      </c>
      <c r="T5796" s="6" t="str">
        <f>IFERROR(__xludf.DUMMYFUNCTION("""COMPUTED_VALUE"""),"kimberly.ball@studient.com")</f>
        <v>kimberly.ball@studient.com</v>
      </c>
      <c r="U5796" s="6" t="str">
        <f>IFERROR(__xludf.DUMMYFUNCTION("""COMPUTED_VALUE"""),"8")</f>
        <v>8</v>
      </c>
      <c r="V5796" s="6" t="str">
        <f>IFERROR(__xludf.DUMMYFUNCTION("""COMPUTED_VALUE"""),"")</f>
        <v/>
      </c>
      <c r="W5796" s="6" t="str">
        <f>IFERROR(__xludf.DUMMYFUNCTION("""COMPUTED_VALUE"""),"[]")</f>
        <v>[]</v>
      </c>
      <c r="X5796" s="6" t="str">
        <f>IFERROR(__xludf.DUMMYFUNCTION("""COMPUTED_VALUE"""),"Enrolled")</f>
        <v>Enrolled</v>
      </c>
    </row>
    <row r="5797">
      <c r="A5797" s="6" t="str">
        <f>IFERROR(__xludf.DUMMYFUNCTION("""COMPUTED_VALUE"""),"087-12394")</f>
        <v>087-12394</v>
      </c>
      <c r="B5797" s="6" t="str">
        <f>IFERROR(__xludf.DUMMYFUNCTION("""COMPUTED_VALUE"""),"87")</f>
        <v>87</v>
      </c>
      <c r="C5797" s="6" t="str">
        <f>IFERROR(__xludf.DUMMYFUNCTION("""COMPUTED_VALUE"""),"12394")</f>
        <v>12394</v>
      </c>
      <c r="D5797" s="6" t="str">
        <f>IFERROR(__xludf.DUMMYFUNCTION("""COMPUTED_VALUE"""),"Saniaya")</f>
        <v>Saniaya</v>
      </c>
      <c r="E5797" s="6" t="str">
        <f>IFERROR(__xludf.DUMMYFUNCTION("""COMPUTED_VALUE"""),"")</f>
        <v/>
      </c>
      <c r="F5797" s="6" t="str">
        <f>IFERROR(__xludf.DUMMYFUNCTION("""COMPUTED_VALUE"""),"Swinton")</f>
        <v>Swinton</v>
      </c>
      <c r="G5797" s="6" t="str">
        <f>IFERROR(__xludf.DUMMYFUNCTION("""COMPUTED_VALUE"""),"03/20/2013")</f>
        <v>03/20/2013</v>
      </c>
      <c r="H5797" s="6" t="str">
        <f>IFERROR(__xludf.DUMMYFUNCTION("""COMPUTED_VALUE"""),"female")</f>
        <v>female</v>
      </c>
      <c r="I5797" s="6" t="str">
        <f>IFERROR(__xludf.DUMMYFUNCTION("""COMPUTED_VALUE"""),"Middle School")</f>
        <v>Middle School</v>
      </c>
      <c r="J5797" s="6" t="str">
        <f>IFERROR(__xludf.DUMMYFUNCTION("""COMPUTED_VALUE"""),"7")</f>
        <v>7</v>
      </c>
      <c r="K5797" s="6" t="str">
        <f>IFERROR(__xludf.DUMMYFUNCTION("""COMPUTED_VALUE"""),"saniaya.swinton@2hourlearning.com")</f>
        <v>saniaya.swinton@2hourlearning.com</v>
      </c>
      <c r="L5797" s="6" t="str">
        <f>IFERROR(__xludf.DUMMYFUNCTION("""COMPUTED_VALUE"""),"JRHS - Ridgeland Secondary Academy of Excellence")</f>
        <v>JRHS - Ridgeland Secondary Academy of Excellence</v>
      </c>
      <c r="M5797" s="6" t="str">
        <f>IFERROR(__xludf.DUMMYFUNCTION("""COMPUTED_VALUE"""),"")</f>
        <v/>
      </c>
      <c r="N5797" s="6" t="str">
        <f>IFERROR(__xludf.DUMMYFUNCTION("""COMPUTED_VALUE"""),"")</f>
        <v/>
      </c>
      <c r="O5797" s="87" t="str">
        <f>IFERROR(__xludf.DUMMYFUNCTION("""COMPUTED_VALUE"""),"https://drive.google.com/drive/folders/10T2cTQHqEJZqE-st6uFKPoI?usp=share_link")</f>
        <v>https://drive.google.com/drive/folders/10T2cTQHqEJZqE-st6uFKPoI?usp=share_link</v>
      </c>
      <c r="P5797" s="6" t="str">
        <f>IFERROR(__xludf.DUMMYFUNCTION("""COMPUTED_VALUE"""),"Saniaya Swinton")</f>
        <v>Saniaya Swinton</v>
      </c>
      <c r="Q5797" s="6" t="str">
        <f>IFERROR(__xludf.DUMMYFUNCTION("""COMPUTED_VALUE"""),"MS")</f>
        <v>MS</v>
      </c>
      <c r="R5797" s="6">
        <f>IFERROR(__xludf.DUMMYFUNCTION("""COMPUTED_VALUE"""),0.0)</f>
        <v>0</v>
      </c>
      <c r="S5797" s="6" t="str">
        <f>IFERROR(__xludf.DUMMYFUNCTION("""COMPUTED_VALUE"""),"Kimberly Ball")</f>
        <v>Kimberly Ball</v>
      </c>
      <c r="T5797" s="6" t="str">
        <f>IFERROR(__xludf.DUMMYFUNCTION("""COMPUTED_VALUE"""),"kimberly.ball@studient.com")</f>
        <v>kimberly.ball@studient.com</v>
      </c>
      <c r="U5797" s="6" t="str">
        <f>IFERROR(__xludf.DUMMYFUNCTION("""COMPUTED_VALUE"""),"7")</f>
        <v>7</v>
      </c>
      <c r="V5797" s="6" t="str">
        <f>IFERROR(__xludf.DUMMYFUNCTION("""COMPUTED_VALUE"""),"")</f>
        <v/>
      </c>
      <c r="W5797" s="6" t="str">
        <f>IFERROR(__xludf.DUMMYFUNCTION("""COMPUTED_VALUE"""),"[]")</f>
        <v>[]</v>
      </c>
      <c r="X5797" s="6" t="str">
        <f>IFERROR(__xludf.DUMMYFUNCTION("""COMPUTED_VALUE"""),"Enrolled")</f>
        <v>Enrolled</v>
      </c>
    </row>
    <row r="5798">
      <c r="A5798" s="6" t="str">
        <f>IFERROR(__xludf.DUMMYFUNCTION("""COMPUTED_VALUE"""),"087-12395")</f>
        <v>087-12395</v>
      </c>
      <c r="B5798" s="6" t="str">
        <f>IFERROR(__xludf.DUMMYFUNCTION("""COMPUTED_VALUE"""),"87")</f>
        <v>87</v>
      </c>
      <c r="C5798" s="6" t="str">
        <f>IFERROR(__xludf.DUMMYFUNCTION("""COMPUTED_VALUE"""),"12395")</f>
        <v>12395</v>
      </c>
      <c r="D5798" s="6" t="str">
        <f>IFERROR(__xludf.DUMMYFUNCTION("""COMPUTED_VALUE"""),"Nevaeh")</f>
        <v>Nevaeh</v>
      </c>
      <c r="E5798" s="6" t="str">
        <f>IFERROR(__xludf.DUMMYFUNCTION("""COMPUTED_VALUE"""),"")</f>
        <v/>
      </c>
      <c r="F5798" s="6" t="str">
        <f>IFERROR(__xludf.DUMMYFUNCTION("""COMPUTED_VALUE"""),"Taylor")</f>
        <v>Taylor</v>
      </c>
      <c r="G5798" s="6" t="str">
        <f>IFERROR(__xludf.DUMMYFUNCTION("""COMPUTED_VALUE"""),"03/18/2013")</f>
        <v>03/18/2013</v>
      </c>
      <c r="H5798" s="6" t="str">
        <f>IFERROR(__xludf.DUMMYFUNCTION("""COMPUTED_VALUE"""),"female")</f>
        <v>female</v>
      </c>
      <c r="I5798" s="6" t="str">
        <f>IFERROR(__xludf.DUMMYFUNCTION("""COMPUTED_VALUE"""),"Middle School")</f>
        <v>Middle School</v>
      </c>
      <c r="J5798" s="6" t="str">
        <f>IFERROR(__xludf.DUMMYFUNCTION("""COMPUTED_VALUE"""),"7")</f>
        <v>7</v>
      </c>
      <c r="K5798" s="6" t="str">
        <f>IFERROR(__xludf.DUMMYFUNCTION("""COMPUTED_VALUE"""),"nevaeh.taylor@2hourlearning.com")</f>
        <v>nevaeh.taylor@2hourlearning.com</v>
      </c>
      <c r="L5798" s="6" t="str">
        <f>IFERROR(__xludf.DUMMYFUNCTION("""COMPUTED_VALUE"""),"JRHS - Ridgeland Secondary Academy of Excellence")</f>
        <v>JRHS - Ridgeland Secondary Academy of Excellence</v>
      </c>
      <c r="M5798" s="6" t="str">
        <f>IFERROR(__xludf.DUMMYFUNCTION("""COMPUTED_VALUE"""),"")</f>
        <v/>
      </c>
      <c r="N5798" s="6" t="str">
        <f>IFERROR(__xludf.DUMMYFUNCTION("""COMPUTED_VALUE"""),"")</f>
        <v/>
      </c>
      <c r="O5798" s="87" t="str">
        <f>IFERROR(__xludf.DUMMYFUNCTION("""COMPUTED_VALUE"""),"https://drive.google.com/drive/folders/10T2cTQHqEJZqE-st6uFKPoI?usp=share_link")</f>
        <v>https://drive.google.com/drive/folders/10T2cTQHqEJZqE-st6uFKPoI?usp=share_link</v>
      </c>
      <c r="P5798" s="6" t="str">
        <f>IFERROR(__xludf.DUMMYFUNCTION("""COMPUTED_VALUE"""),"Nevaeh Taylor")</f>
        <v>Nevaeh Taylor</v>
      </c>
      <c r="Q5798" s="6" t="str">
        <f>IFERROR(__xludf.DUMMYFUNCTION("""COMPUTED_VALUE"""),"MS")</f>
        <v>MS</v>
      </c>
      <c r="R5798" s="6">
        <f>IFERROR(__xludf.DUMMYFUNCTION("""COMPUTED_VALUE"""),0.0)</f>
        <v>0</v>
      </c>
      <c r="S5798" s="6" t="str">
        <f>IFERROR(__xludf.DUMMYFUNCTION("""COMPUTED_VALUE"""),"Kimberly Ball")</f>
        <v>Kimberly Ball</v>
      </c>
      <c r="T5798" s="6" t="str">
        <f>IFERROR(__xludf.DUMMYFUNCTION("""COMPUTED_VALUE"""),"kimberly.ball@studient.com")</f>
        <v>kimberly.ball@studient.com</v>
      </c>
      <c r="U5798" s="6" t="str">
        <f>IFERROR(__xludf.DUMMYFUNCTION("""COMPUTED_VALUE"""),"7")</f>
        <v>7</v>
      </c>
      <c r="V5798" s="6" t="str">
        <f>IFERROR(__xludf.DUMMYFUNCTION("""COMPUTED_VALUE"""),"")</f>
        <v/>
      </c>
      <c r="W5798" s="6" t="str">
        <f>IFERROR(__xludf.DUMMYFUNCTION("""COMPUTED_VALUE"""),"[]")</f>
        <v>[]</v>
      </c>
      <c r="X5798" s="6" t="str">
        <f>IFERROR(__xludf.DUMMYFUNCTION("""COMPUTED_VALUE"""),"Enrolled")</f>
        <v>Enrolled</v>
      </c>
    </row>
    <row r="5799">
      <c r="A5799" s="6" t="str">
        <f>IFERROR(__xludf.DUMMYFUNCTION("""COMPUTED_VALUE"""),"087-12396")</f>
        <v>087-12396</v>
      </c>
      <c r="B5799" s="6" t="str">
        <f>IFERROR(__xludf.DUMMYFUNCTION("""COMPUTED_VALUE"""),"87")</f>
        <v>87</v>
      </c>
      <c r="C5799" s="6" t="str">
        <f>IFERROR(__xludf.DUMMYFUNCTION("""COMPUTED_VALUE"""),"12396")</f>
        <v>12396</v>
      </c>
      <c r="D5799" s="6" t="str">
        <f>IFERROR(__xludf.DUMMYFUNCTION("""COMPUTED_VALUE"""),"Tony")</f>
        <v>Tony</v>
      </c>
      <c r="E5799" s="6" t="str">
        <f>IFERROR(__xludf.DUMMYFUNCTION("""COMPUTED_VALUE"""),"")</f>
        <v/>
      </c>
      <c r="F5799" s="6" t="str">
        <f>IFERROR(__xludf.DUMMYFUNCTION("""COMPUTED_VALUE"""),"Thomas")</f>
        <v>Thomas</v>
      </c>
      <c r="G5799" s="6" t="str">
        <f>IFERROR(__xludf.DUMMYFUNCTION("""COMPUTED_VALUE"""),"08/23/2013")</f>
        <v>08/23/2013</v>
      </c>
      <c r="H5799" s="6" t="str">
        <f>IFERROR(__xludf.DUMMYFUNCTION("""COMPUTED_VALUE"""),"male")</f>
        <v>male</v>
      </c>
      <c r="I5799" s="6" t="str">
        <f>IFERROR(__xludf.DUMMYFUNCTION("""COMPUTED_VALUE"""),"Middle School")</f>
        <v>Middle School</v>
      </c>
      <c r="J5799" s="6" t="str">
        <f>IFERROR(__xludf.DUMMYFUNCTION("""COMPUTED_VALUE"""),"7")</f>
        <v>7</v>
      </c>
      <c r="K5799" s="6" t="str">
        <f>IFERROR(__xludf.DUMMYFUNCTION("""COMPUTED_VALUE"""),"tony.thomas@2hourlearning.com")</f>
        <v>tony.thomas@2hourlearning.com</v>
      </c>
      <c r="L5799" s="6" t="str">
        <f>IFERROR(__xludf.DUMMYFUNCTION("""COMPUTED_VALUE"""),"JRHS - Ridgeland Secondary Academy of Excellence")</f>
        <v>JRHS - Ridgeland Secondary Academy of Excellence</v>
      </c>
      <c r="M5799" s="6" t="str">
        <f>IFERROR(__xludf.DUMMYFUNCTION("""COMPUTED_VALUE"""),"")</f>
        <v/>
      </c>
      <c r="N5799" s="6" t="str">
        <f>IFERROR(__xludf.DUMMYFUNCTION("""COMPUTED_VALUE"""),"")</f>
        <v/>
      </c>
      <c r="O5799" s="87" t="str">
        <f>IFERROR(__xludf.DUMMYFUNCTION("""COMPUTED_VALUE"""),"https://drive.google.com/drive/folders/10T2cTQHqEJZqE-st6uFKPoI?usp=share_link")</f>
        <v>https://drive.google.com/drive/folders/10T2cTQHqEJZqE-st6uFKPoI?usp=share_link</v>
      </c>
      <c r="P5799" s="6" t="str">
        <f>IFERROR(__xludf.DUMMYFUNCTION("""COMPUTED_VALUE"""),"Tony Thomas")</f>
        <v>Tony Thomas</v>
      </c>
      <c r="Q5799" s="6" t="str">
        <f>IFERROR(__xludf.DUMMYFUNCTION("""COMPUTED_VALUE"""),"MS")</f>
        <v>MS</v>
      </c>
      <c r="R5799" s="6">
        <f>IFERROR(__xludf.DUMMYFUNCTION("""COMPUTED_VALUE"""),0.0)</f>
        <v>0</v>
      </c>
      <c r="S5799" s="6" t="str">
        <f>IFERROR(__xludf.DUMMYFUNCTION("""COMPUTED_VALUE"""),"Kimberly Ball")</f>
        <v>Kimberly Ball</v>
      </c>
      <c r="T5799" s="6" t="str">
        <f>IFERROR(__xludf.DUMMYFUNCTION("""COMPUTED_VALUE"""),"kimberly.ball@studient.com")</f>
        <v>kimberly.ball@studient.com</v>
      </c>
      <c r="U5799" s="6" t="str">
        <f>IFERROR(__xludf.DUMMYFUNCTION("""COMPUTED_VALUE"""),"7")</f>
        <v>7</v>
      </c>
      <c r="V5799" s="6" t="str">
        <f>IFERROR(__xludf.DUMMYFUNCTION("""COMPUTED_VALUE"""),"")</f>
        <v/>
      </c>
      <c r="W5799" s="6" t="str">
        <f>IFERROR(__xludf.DUMMYFUNCTION("""COMPUTED_VALUE"""),"[]")</f>
        <v>[]</v>
      </c>
      <c r="X5799" s="6" t="str">
        <f>IFERROR(__xludf.DUMMYFUNCTION("""COMPUTED_VALUE"""),"Enrolled")</f>
        <v>Enrolled</v>
      </c>
    </row>
    <row r="5800">
      <c r="A5800" s="6" t="str">
        <f>IFERROR(__xludf.DUMMYFUNCTION("""COMPUTED_VALUE"""),"087-12397")</f>
        <v>087-12397</v>
      </c>
      <c r="B5800" s="6" t="str">
        <f>IFERROR(__xludf.DUMMYFUNCTION("""COMPUTED_VALUE"""),"87")</f>
        <v>87</v>
      </c>
      <c r="C5800" s="6" t="str">
        <f>IFERROR(__xludf.DUMMYFUNCTION("""COMPUTED_VALUE"""),"12397")</f>
        <v>12397</v>
      </c>
      <c r="D5800" s="6" t="str">
        <f>IFERROR(__xludf.DUMMYFUNCTION("""COMPUTED_VALUE"""),"Letsy")</f>
        <v>Letsy</v>
      </c>
      <c r="E5800" s="6" t="str">
        <f>IFERROR(__xludf.DUMMYFUNCTION("""COMPUTED_VALUE"""),"")</f>
        <v/>
      </c>
      <c r="F5800" s="6" t="str">
        <f>IFERROR(__xludf.DUMMYFUNCTION("""COMPUTED_VALUE"""),"Tinoco Colchado")</f>
        <v>Tinoco Colchado</v>
      </c>
      <c r="G5800" s="6" t="str">
        <f>IFERROR(__xludf.DUMMYFUNCTION("""COMPUTED_VALUE"""),"01/17/2013")</f>
        <v>01/17/2013</v>
      </c>
      <c r="H5800" s="6" t="str">
        <f>IFERROR(__xludf.DUMMYFUNCTION("""COMPUTED_VALUE"""),"female")</f>
        <v>female</v>
      </c>
      <c r="I5800" s="6" t="str">
        <f>IFERROR(__xludf.DUMMYFUNCTION("""COMPUTED_VALUE"""),"Middle School")</f>
        <v>Middle School</v>
      </c>
      <c r="J5800" s="6" t="str">
        <f>IFERROR(__xludf.DUMMYFUNCTION("""COMPUTED_VALUE"""),"7")</f>
        <v>7</v>
      </c>
      <c r="K5800" s="6" t="str">
        <f>IFERROR(__xludf.DUMMYFUNCTION("""COMPUTED_VALUE"""),"letsy.tinococolchado@2hourlearning.com")</f>
        <v>letsy.tinococolchado@2hourlearning.com</v>
      </c>
      <c r="L5800" s="6" t="str">
        <f>IFERROR(__xludf.DUMMYFUNCTION("""COMPUTED_VALUE"""),"JRHS - Ridgeland Secondary Academy of Excellence")</f>
        <v>JRHS - Ridgeland Secondary Academy of Excellence</v>
      </c>
      <c r="M5800" s="6" t="str">
        <f>IFERROR(__xludf.DUMMYFUNCTION("""COMPUTED_VALUE"""),"")</f>
        <v/>
      </c>
      <c r="N5800" s="6" t="str">
        <f>IFERROR(__xludf.DUMMYFUNCTION("""COMPUTED_VALUE"""),"")</f>
        <v/>
      </c>
      <c r="O5800" s="87" t="str">
        <f>IFERROR(__xludf.DUMMYFUNCTION("""COMPUTED_VALUE"""),"https://drive.google.com/drive/folders/10T2cTQHqEJZqE-st6uFKPoI?usp=share_link")</f>
        <v>https://drive.google.com/drive/folders/10T2cTQHqEJZqE-st6uFKPoI?usp=share_link</v>
      </c>
      <c r="P5800" s="6" t="str">
        <f>IFERROR(__xludf.DUMMYFUNCTION("""COMPUTED_VALUE"""),"Letsy Tinoco Colchado")</f>
        <v>Letsy Tinoco Colchado</v>
      </c>
      <c r="Q5800" s="6" t="str">
        <f>IFERROR(__xludf.DUMMYFUNCTION("""COMPUTED_VALUE"""),"MS")</f>
        <v>MS</v>
      </c>
      <c r="R5800" s="6">
        <f>IFERROR(__xludf.DUMMYFUNCTION("""COMPUTED_VALUE"""),0.0)</f>
        <v>0</v>
      </c>
      <c r="S5800" s="6" t="str">
        <f>IFERROR(__xludf.DUMMYFUNCTION("""COMPUTED_VALUE"""),"Kimberly Ball")</f>
        <v>Kimberly Ball</v>
      </c>
      <c r="T5800" s="6" t="str">
        <f>IFERROR(__xludf.DUMMYFUNCTION("""COMPUTED_VALUE"""),"kimberly.ball@studient.com")</f>
        <v>kimberly.ball@studient.com</v>
      </c>
      <c r="U5800" s="6" t="str">
        <f>IFERROR(__xludf.DUMMYFUNCTION("""COMPUTED_VALUE"""),"7")</f>
        <v>7</v>
      </c>
      <c r="V5800" s="6" t="str">
        <f>IFERROR(__xludf.DUMMYFUNCTION("""COMPUTED_VALUE"""),"")</f>
        <v/>
      </c>
      <c r="W5800" s="6" t="str">
        <f>IFERROR(__xludf.DUMMYFUNCTION("""COMPUTED_VALUE"""),"[]")</f>
        <v>[]</v>
      </c>
      <c r="X5800" s="6" t="str">
        <f>IFERROR(__xludf.DUMMYFUNCTION("""COMPUTED_VALUE"""),"Enrolled")</f>
        <v>Enrolled</v>
      </c>
    </row>
    <row r="5801">
      <c r="A5801" s="6" t="str">
        <f>IFERROR(__xludf.DUMMYFUNCTION("""COMPUTED_VALUE"""),"087-12398")</f>
        <v>087-12398</v>
      </c>
      <c r="B5801" s="6" t="str">
        <f>IFERROR(__xludf.DUMMYFUNCTION("""COMPUTED_VALUE"""),"87")</f>
        <v>87</v>
      </c>
      <c r="C5801" s="6" t="str">
        <f>IFERROR(__xludf.DUMMYFUNCTION("""COMPUTED_VALUE"""),"12398")</f>
        <v>12398</v>
      </c>
      <c r="D5801" s="6" t="str">
        <f>IFERROR(__xludf.DUMMYFUNCTION("""COMPUTED_VALUE"""),"Jaquelin")</f>
        <v>Jaquelin</v>
      </c>
      <c r="E5801" s="6" t="str">
        <f>IFERROR(__xludf.DUMMYFUNCTION("""COMPUTED_VALUE"""),"")</f>
        <v/>
      </c>
      <c r="F5801" s="6" t="str">
        <f>IFERROR(__xludf.DUMMYFUNCTION("""COMPUTED_VALUE"""),"Tinoco-Adame")</f>
        <v>Tinoco-Adame</v>
      </c>
      <c r="G5801" s="6" t="str">
        <f>IFERROR(__xludf.DUMMYFUNCTION("""COMPUTED_VALUE"""),"11/21/2012")</f>
        <v>11/21/2012</v>
      </c>
      <c r="H5801" s="6" t="str">
        <f>IFERROR(__xludf.DUMMYFUNCTION("""COMPUTED_VALUE"""),"female")</f>
        <v>female</v>
      </c>
      <c r="I5801" s="6" t="str">
        <f>IFERROR(__xludf.DUMMYFUNCTION("""COMPUTED_VALUE"""),"Middle School")</f>
        <v>Middle School</v>
      </c>
      <c r="J5801" s="6" t="str">
        <f>IFERROR(__xludf.DUMMYFUNCTION("""COMPUTED_VALUE"""),"7")</f>
        <v>7</v>
      </c>
      <c r="K5801" s="6" t="str">
        <f>IFERROR(__xludf.DUMMYFUNCTION("""COMPUTED_VALUE"""),"jaquelin.tinoco-adame@2hourlearning.com")</f>
        <v>jaquelin.tinoco-adame@2hourlearning.com</v>
      </c>
      <c r="L5801" s="6" t="str">
        <f>IFERROR(__xludf.DUMMYFUNCTION("""COMPUTED_VALUE"""),"JRHS - Ridgeland Secondary Academy of Excellence")</f>
        <v>JRHS - Ridgeland Secondary Academy of Excellence</v>
      </c>
      <c r="M5801" s="6" t="str">
        <f>IFERROR(__xludf.DUMMYFUNCTION("""COMPUTED_VALUE"""),"")</f>
        <v/>
      </c>
      <c r="N5801" s="6" t="str">
        <f>IFERROR(__xludf.DUMMYFUNCTION("""COMPUTED_VALUE"""),"")</f>
        <v/>
      </c>
      <c r="O5801" s="87" t="str">
        <f>IFERROR(__xludf.DUMMYFUNCTION("""COMPUTED_VALUE"""),"https://drive.google.com/drive/folders/10T2cTQHqEJZqE-st6uFKPoI?usp=share_link")</f>
        <v>https://drive.google.com/drive/folders/10T2cTQHqEJZqE-st6uFKPoI?usp=share_link</v>
      </c>
      <c r="P5801" s="6" t="str">
        <f>IFERROR(__xludf.DUMMYFUNCTION("""COMPUTED_VALUE"""),"Jaquelin Tinoco-Adame")</f>
        <v>Jaquelin Tinoco-Adame</v>
      </c>
      <c r="Q5801" s="6" t="str">
        <f>IFERROR(__xludf.DUMMYFUNCTION("""COMPUTED_VALUE"""),"MS")</f>
        <v>MS</v>
      </c>
      <c r="R5801" s="6">
        <f>IFERROR(__xludf.DUMMYFUNCTION("""COMPUTED_VALUE"""),0.0)</f>
        <v>0</v>
      </c>
      <c r="S5801" s="6" t="str">
        <f>IFERROR(__xludf.DUMMYFUNCTION("""COMPUTED_VALUE"""),"Kimberly Ball")</f>
        <v>Kimberly Ball</v>
      </c>
      <c r="T5801" s="6" t="str">
        <f>IFERROR(__xludf.DUMMYFUNCTION("""COMPUTED_VALUE"""),"kimberly.ball@studient.com")</f>
        <v>kimberly.ball@studient.com</v>
      </c>
      <c r="U5801" s="6" t="str">
        <f>IFERROR(__xludf.DUMMYFUNCTION("""COMPUTED_VALUE"""),"7")</f>
        <v>7</v>
      </c>
      <c r="V5801" s="6" t="str">
        <f>IFERROR(__xludf.DUMMYFUNCTION("""COMPUTED_VALUE"""),"")</f>
        <v/>
      </c>
      <c r="W5801" s="6" t="str">
        <f>IFERROR(__xludf.DUMMYFUNCTION("""COMPUTED_VALUE"""),"[]")</f>
        <v>[]</v>
      </c>
      <c r="X5801" s="6" t="str">
        <f>IFERROR(__xludf.DUMMYFUNCTION("""COMPUTED_VALUE"""),"Enrolled")</f>
        <v>Enrolled</v>
      </c>
    </row>
    <row r="5802">
      <c r="A5802" s="6" t="str">
        <f>IFERROR(__xludf.DUMMYFUNCTION("""COMPUTED_VALUE"""),"087-12399")</f>
        <v>087-12399</v>
      </c>
      <c r="B5802" s="6" t="str">
        <f>IFERROR(__xludf.DUMMYFUNCTION("""COMPUTED_VALUE"""),"87")</f>
        <v>87</v>
      </c>
      <c r="C5802" s="6" t="str">
        <f>IFERROR(__xludf.DUMMYFUNCTION("""COMPUTED_VALUE"""),"12399")</f>
        <v>12399</v>
      </c>
      <c r="D5802" s="6" t="str">
        <f>IFERROR(__xludf.DUMMYFUNCTION("""COMPUTED_VALUE"""),"Ariana")</f>
        <v>Ariana</v>
      </c>
      <c r="E5802" s="6" t="str">
        <f>IFERROR(__xludf.DUMMYFUNCTION("""COMPUTED_VALUE"""),"")</f>
        <v/>
      </c>
      <c r="F5802" s="6" t="str">
        <f>IFERROR(__xludf.DUMMYFUNCTION("""COMPUTED_VALUE"""),"Tomasini Perez")</f>
        <v>Tomasini Perez</v>
      </c>
      <c r="G5802" s="6" t="str">
        <f>IFERROR(__xludf.DUMMYFUNCTION("""COMPUTED_VALUE"""),"05/18/2011")</f>
        <v>05/18/2011</v>
      </c>
      <c r="H5802" s="6" t="str">
        <f>IFERROR(__xludf.DUMMYFUNCTION("""COMPUTED_VALUE"""),"female")</f>
        <v>female</v>
      </c>
      <c r="I5802" s="6" t="str">
        <f>IFERROR(__xludf.DUMMYFUNCTION("""COMPUTED_VALUE"""),"Middle School")</f>
        <v>Middle School</v>
      </c>
      <c r="J5802" s="6" t="str">
        <f>IFERROR(__xludf.DUMMYFUNCTION("""COMPUTED_VALUE"""),"8")</f>
        <v>8</v>
      </c>
      <c r="K5802" s="6" t="str">
        <f>IFERROR(__xludf.DUMMYFUNCTION("""COMPUTED_VALUE"""),"ariana.tomasiniperez@2hourlearning.com")</f>
        <v>ariana.tomasiniperez@2hourlearning.com</v>
      </c>
      <c r="L5802" s="6" t="str">
        <f>IFERROR(__xludf.DUMMYFUNCTION("""COMPUTED_VALUE"""),"JRHS - Ridgeland Secondary Academy of Excellence")</f>
        <v>JRHS - Ridgeland Secondary Academy of Excellence</v>
      </c>
      <c r="M5802" s="6" t="str">
        <f>IFERROR(__xludf.DUMMYFUNCTION("""COMPUTED_VALUE"""),"")</f>
        <v/>
      </c>
      <c r="N5802" s="6" t="str">
        <f>IFERROR(__xludf.DUMMYFUNCTION("""COMPUTED_VALUE"""),"")</f>
        <v/>
      </c>
      <c r="O5802" s="87" t="str">
        <f>IFERROR(__xludf.DUMMYFUNCTION("""COMPUTED_VALUE"""),"https://drive.google.com/drive/folders/10T2cTQHqEJZqE-st6uFKPoI?usp=share_link")</f>
        <v>https://drive.google.com/drive/folders/10T2cTQHqEJZqE-st6uFKPoI?usp=share_link</v>
      </c>
      <c r="P5802" s="6" t="str">
        <f>IFERROR(__xludf.DUMMYFUNCTION("""COMPUTED_VALUE"""),"Ariana Tomasini Perez")</f>
        <v>Ariana Tomasini Perez</v>
      </c>
      <c r="Q5802" s="6" t="str">
        <f>IFERROR(__xludf.DUMMYFUNCTION("""COMPUTED_VALUE"""),"MS")</f>
        <v>MS</v>
      </c>
      <c r="R5802" s="6">
        <f>IFERROR(__xludf.DUMMYFUNCTION("""COMPUTED_VALUE"""),0.0)</f>
        <v>0</v>
      </c>
      <c r="S5802" s="6" t="str">
        <f>IFERROR(__xludf.DUMMYFUNCTION("""COMPUTED_VALUE"""),"Kimberly Ball")</f>
        <v>Kimberly Ball</v>
      </c>
      <c r="T5802" s="6" t="str">
        <f>IFERROR(__xludf.DUMMYFUNCTION("""COMPUTED_VALUE"""),"kimberly.ball@studient.com")</f>
        <v>kimberly.ball@studient.com</v>
      </c>
      <c r="U5802" s="6" t="str">
        <f>IFERROR(__xludf.DUMMYFUNCTION("""COMPUTED_VALUE"""),"8")</f>
        <v>8</v>
      </c>
      <c r="V5802" s="6" t="str">
        <f>IFERROR(__xludf.DUMMYFUNCTION("""COMPUTED_VALUE"""),"")</f>
        <v/>
      </c>
      <c r="W5802" s="6" t="str">
        <f>IFERROR(__xludf.DUMMYFUNCTION("""COMPUTED_VALUE"""),"[]")</f>
        <v>[]</v>
      </c>
      <c r="X5802" s="6" t="str">
        <f>IFERROR(__xludf.DUMMYFUNCTION("""COMPUTED_VALUE"""),"Enrolled")</f>
        <v>Enrolled</v>
      </c>
    </row>
    <row r="5803">
      <c r="A5803" s="6" t="str">
        <f>IFERROR(__xludf.DUMMYFUNCTION("""COMPUTED_VALUE"""),"087-12400")</f>
        <v>087-12400</v>
      </c>
      <c r="B5803" s="6" t="str">
        <f>IFERROR(__xludf.DUMMYFUNCTION("""COMPUTED_VALUE"""),"87")</f>
        <v>87</v>
      </c>
      <c r="C5803" s="6" t="str">
        <f>IFERROR(__xludf.DUMMYFUNCTION("""COMPUTED_VALUE"""),"12400")</f>
        <v>12400</v>
      </c>
      <c r="D5803" s="6" t="str">
        <f>IFERROR(__xludf.DUMMYFUNCTION("""COMPUTED_VALUE"""),"Olivia")</f>
        <v>Olivia</v>
      </c>
      <c r="E5803" s="6" t="str">
        <f>IFERROR(__xludf.DUMMYFUNCTION("""COMPUTED_VALUE"""),"")</f>
        <v/>
      </c>
      <c r="F5803" s="6" t="str">
        <f>IFERROR(__xludf.DUMMYFUNCTION("""COMPUTED_VALUE"""),"Torreblanca Angel")</f>
        <v>Torreblanca Angel</v>
      </c>
      <c r="G5803" s="6" t="str">
        <f>IFERROR(__xludf.DUMMYFUNCTION("""COMPUTED_VALUE"""),"01/05/2012")</f>
        <v>01/05/2012</v>
      </c>
      <c r="H5803" s="6" t="str">
        <f>IFERROR(__xludf.DUMMYFUNCTION("""COMPUTED_VALUE"""),"female")</f>
        <v>female</v>
      </c>
      <c r="I5803" s="6" t="str">
        <f>IFERROR(__xludf.DUMMYFUNCTION("""COMPUTED_VALUE"""),"Middle School")</f>
        <v>Middle School</v>
      </c>
      <c r="J5803" s="6" t="str">
        <f>IFERROR(__xludf.DUMMYFUNCTION("""COMPUTED_VALUE"""),"8")</f>
        <v>8</v>
      </c>
      <c r="K5803" s="6" t="str">
        <f>IFERROR(__xludf.DUMMYFUNCTION("""COMPUTED_VALUE"""),"olivia.torreblancaangel@2hourlearning.com")</f>
        <v>olivia.torreblancaangel@2hourlearning.com</v>
      </c>
      <c r="L5803" s="6" t="str">
        <f>IFERROR(__xludf.DUMMYFUNCTION("""COMPUTED_VALUE"""),"JRHS - Ridgeland Secondary Academy of Excellence")</f>
        <v>JRHS - Ridgeland Secondary Academy of Excellence</v>
      </c>
      <c r="M5803" s="6" t="str">
        <f>IFERROR(__xludf.DUMMYFUNCTION("""COMPUTED_VALUE"""),"")</f>
        <v/>
      </c>
      <c r="N5803" s="6" t="str">
        <f>IFERROR(__xludf.DUMMYFUNCTION("""COMPUTED_VALUE"""),"")</f>
        <v/>
      </c>
      <c r="O5803" s="87" t="str">
        <f>IFERROR(__xludf.DUMMYFUNCTION("""COMPUTED_VALUE"""),"https://drive.google.com/drive/folders/10T2cTQHqEJZqE-st6uFKPoI?usp=share_link")</f>
        <v>https://drive.google.com/drive/folders/10T2cTQHqEJZqE-st6uFKPoI?usp=share_link</v>
      </c>
      <c r="P5803" s="6" t="str">
        <f>IFERROR(__xludf.DUMMYFUNCTION("""COMPUTED_VALUE"""),"Olivia Torreblanca Angel")</f>
        <v>Olivia Torreblanca Angel</v>
      </c>
      <c r="Q5803" s="6" t="str">
        <f>IFERROR(__xludf.DUMMYFUNCTION("""COMPUTED_VALUE"""),"MS")</f>
        <v>MS</v>
      </c>
      <c r="R5803" s="6">
        <f>IFERROR(__xludf.DUMMYFUNCTION("""COMPUTED_VALUE"""),0.0)</f>
        <v>0</v>
      </c>
      <c r="S5803" s="6" t="str">
        <f>IFERROR(__xludf.DUMMYFUNCTION("""COMPUTED_VALUE"""),"Kimberly Ball")</f>
        <v>Kimberly Ball</v>
      </c>
      <c r="T5803" s="6" t="str">
        <f>IFERROR(__xludf.DUMMYFUNCTION("""COMPUTED_VALUE"""),"kimberly.ball@studient.com")</f>
        <v>kimberly.ball@studient.com</v>
      </c>
      <c r="U5803" s="6" t="str">
        <f>IFERROR(__xludf.DUMMYFUNCTION("""COMPUTED_VALUE"""),"8")</f>
        <v>8</v>
      </c>
      <c r="V5803" s="6" t="str">
        <f>IFERROR(__xludf.DUMMYFUNCTION("""COMPUTED_VALUE"""),"")</f>
        <v/>
      </c>
      <c r="W5803" s="6" t="str">
        <f>IFERROR(__xludf.DUMMYFUNCTION("""COMPUTED_VALUE"""),"[]")</f>
        <v>[]</v>
      </c>
      <c r="X5803" s="6" t="str">
        <f>IFERROR(__xludf.DUMMYFUNCTION("""COMPUTED_VALUE"""),"Enrolled")</f>
        <v>Enrolled</v>
      </c>
    </row>
    <row r="5804">
      <c r="A5804" s="6" t="str">
        <f>IFERROR(__xludf.DUMMYFUNCTION("""COMPUTED_VALUE"""),"087-12401")</f>
        <v>087-12401</v>
      </c>
      <c r="B5804" s="6" t="str">
        <f>IFERROR(__xludf.DUMMYFUNCTION("""COMPUTED_VALUE"""),"87")</f>
        <v>87</v>
      </c>
      <c r="C5804" s="6" t="str">
        <f>IFERROR(__xludf.DUMMYFUNCTION("""COMPUTED_VALUE"""),"12401")</f>
        <v>12401</v>
      </c>
      <c r="D5804" s="6" t="str">
        <f>IFERROR(__xludf.DUMMYFUNCTION("""COMPUTED_VALUE"""),"Carlos")</f>
        <v>Carlos</v>
      </c>
      <c r="E5804" s="6" t="str">
        <f>IFERROR(__xludf.DUMMYFUNCTION("""COMPUTED_VALUE"""),"")</f>
        <v/>
      </c>
      <c r="F5804" s="6" t="str">
        <f>IFERROR(__xludf.DUMMYFUNCTION("""COMPUTED_VALUE"""),"Torres")</f>
        <v>Torres</v>
      </c>
      <c r="G5804" s="6" t="str">
        <f>IFERROR(__xludf.DUMMYFUNCTION("""COMPUTED_VALUE"""),"06/24/2014")</f>
        <v>06/24/2014</v>
      </c>
      <c r="H5804" s="6" t="str">
        <f>IFERROR(__xludf.DUMMYFUNCTION("""COMPUTED_VALUE"""),"male")</f>
        <v>male</v>
      </c>
      <c r="I5804" s="6" t="str">
        <f>IFERROR(__xludf.DUMMYFUNCTION("""COMPUTED_VALUE"""),"Middle School")</f>
        <v>Middle School</v>
      </c>
      <c r="J5804" s="6" t="str">
        <f>IFERROR(__xludf.DUMMYFUNCTION("""COMPUTED_VALUE"""),"6")</f>
        <v>6</v>
      </c>
      <c r="K5804" s="6" t="str">
        <f>IFERROR(__xludf.DUMMYFUNCTION("""COMPUTED_VALUE"""),"carlos.torres@2hourlearning.com")</f>
        <v>carlos.torres@2hourlearning.com</v>
      </c>
      <c r="L5804" s="6" t="str">
        <f>IFERROR(__xludf.DUMMYFUNCTION("""COMPUTED_VALUE"""),"JRHS - Ridgeland Secondary Academy of Excellence")</f>
        <v>JRHS - Ridgeland Secondary Academy of Excellence</v>
      </c>
      <c r="M5804" s="6" t="str">
        <f>IFERROR(__xludf.DUMMYFUNCTION("""COMPUTED_VALUE"""),"")</f>
        <v/>
      </c>
      <c r="N5804" s="6" t="str">
        <f>IFERROR(__xludf.DUMMYFUNCTION("""COMPUTED_VALUE"""),"")</f>
        <v/>
      </c>
      <c r="O5804" s="87" t="str">
        <f>IFERROR(__xludf.DUMMYFUNCTION("""COMPUTED_VALUE"""),"https://drive.google.com/drive/folders/10T2cTQHqEJZqE-st6uFKPoI?usp=share_link")</f>
        <v>https://drive.google.com/drive/folders/10T2cTQHqEJZqE-st6uFKPoI?usp=share_link</v>
      </c>
      <c r="P5804" s="6" t="str">
        <f>IFERROR(__xludf.DUMMYFUNCTION("""COMPUTED_VALUE"""),"Carlos Torres")</f>
        <v>Carlos Torres</v>
      </c>
      <c r="Q5804" s="6" t="str">
        <f>IFERROR(__xludf.DUMMYFUNCTION("""COMPUTED_VALUE"""),"MS")</f>
        <v>MS</v>
      </c>
      <c r="R5804" s="6">
        <f>IFERROR(__xludf.DUMMYFUNCTION("""COMPUTED_VALUE"""),0.0)</f>
        <v>0</v>
      </c>
      <c r="S5804" s="6" t="str">
        <f>IFERROR(__xludf.DUMMYFUNCTION("""COMPUTED_VALUE"""),"Kimberly Ball")</f>
        <v>Kimberly Ball</v>
      </c>
      <c r="T5804" s="6" t="str">
        <f>IFERROR(__xludf.DUMMYFUNCTION("""COMPUTED_VALUE"""),"kimberly.ball@studient.com")</f>
        <v>kimberly.ball@studient.com</v>
      </c>
      <c r="U5804" s="6" t="str">
        <f>IFERROR(__xludf.DUMMYFUNCTION("""COMPUTED_VALUE"""),"6")</f>
        <v>6</v>
      </c>
      <c r="V5804" s="6" t="str">
        <f>IFERROR(__xludf.DUMMYFUNCTION("""COMPUTED_VALUE"""),"")</f>
        <v/>
      </c>
      <c r="W5804" s="6" t="str">
        <f>IFERROR(__xludf.DUMMYFUNCTION("""COMPUTED_VALUE"""),"[]")</f>
        <v>[]</v>
      </c>
      <c r="X5804" s="6" t="str">
        <f>IFERROR(__xludf.DUMMYFUNCTION("""COMPUTED_VALUE"""),"Enrolled")</f>
        <v>Enrolled</v>
      </c>
    </row>
    <row r="5805">
      <c r="A5805" s="6" t="str">
        <f>IFERROR(__xludf.DUMMYFUNCTION("""COMPUTED_VALUE"""),"087-12402")</f>
        <v>087-12402</v>
      </c>
      <c r="B5805" s="6" t="str">
        <f>IFERROR(__xludf.DUMMYFUNCTION("""COMPUTED_VALUE"""),"87")</f>
        <v>87</v>
      </c>
      <c r="C5805" s="6" t="str">
        <f>IFERROR(__xludf.DUMMYFUNCTION("""COMPUTED_VALUE"""),"12402")</f>
        <v>12402</v>
      </c>
      <c r="D5805" s="6" t="str">
        <f>IFERROR(__xludf.DUMMYFUNCTION("""COMPUTED_VALUE"""),"Daniela")</f>
        <v>Daniela</v>
      </c>
      <c r="E5805" s="6" t="str">
        <f>IFERROR(__xludf.DUMMYFUNCTION("""COMPUTED_VALUE"""),"")</f>
        <v/>
      </c>
      <c r="F5805" s="6" t="str">
        <f>IFERROR(__xludf.DUMMYFUNCTION("""COMPUTED_VALUE"""),"Torres Rodriguez")</f>
        <v>Torres Rodriguez</v>
      </c>
      <c r="G5805" s="6" t="str">
        <f>IFERROR(__xludf.DUMMYFUNCTION("""COMPUTED_VALUE"""),"11/05/2011")</f>
        <v>11/05/2011</v>
      </c>
      <c r="H5805" s="6" t="str">
        <f>IFERROR(__xludf.DUMMYFUNCTION("""COMPUTED_VALUE"""),"female")</f>
        <v>female</v>
      </c>
      <c r="I5805" s="6" t="str">
        <f>IFERROR(__xludf.DUMMYFUNCTION("""COMPUTED_VALUE"""),"Middle School")</f>
        <v>Middle School</v>
      </c>
      <c r="J5805" s="6" t="str">
        <f>IFERROR(__xludf.DUMMYFUNCTION("""COMPUTED_VALUE"""),"8")</f>
        <v>8</v>
      </c>
      <c r="K5805" s="6" t="str">
        <f>IFERROR(__xludf.DUMMYFUNCTION("""COMPUTED_VALUE"""),"daniela.torresrodriguez@2hourlearning.com")</f>
        <v>daniela.torresrodriguez@2hourlearning.com</v>
      </c>
      <c r="L5805" s="6" t="str">
        <f>IFERROR(__xludf.DUMMYFUNCTION("""COMPUTED_VALUE"""),"JRHS - Ridgeland Secondary Academy of Excellence")</f>
        <v>JRHS - Ridgeland Secondary Academy of Excellence</v>
      </c>
      <c r="M5805" s="6" t="str">
        <f>IFERROR(__xludf.DUMMYFUNCTION("""COMPUTED_VALUE"""),"")</f>
        <v/>
      </c>
      <c r="N5805" s="6" t="str">
        <f>IFERROR(__xludf.DUMMYFUNCTION("""COMPUTED_VALUE"""),"")</f>
        <v/>
      </c>
      <c r="O5805" s="87" t="str">
        <f>IFERROR(__xludf.DUMMYFUNCTION("""COMPUTED_VALUE"""),"https://drive.google.com/drive/folders/10T2cTQHqEJZqE-st6uFKPoI?usp=share_link")</f>
        <v>https://drive.google.com/drive/folders/10T2cTQHqEJZqE-st6uFKPoI?usp=share_link</v>
      </c>
      <c r="P5805" s="6" t="str">
        <f>IFERROR(__xludf.DUMMYFUNCTION("""COMPUTED_VALUE"""),"Daniela Torres Rodriguez")</f>
        <v>Daniela Torres Rodriguez</v>
      </c>
      <c r="Q5805" s="6" t="str">
        <f>IFERROR(__xludf.DUMMYFUNCTION("""COMPUTED_VALUE"""),"MS")</f>
        <v>MS</v>
      </c>
      <c r="R5805" s="6">
        <f>IFERROR(__xludf.DUMMYFUNCTION("""COMPUTED_VALUE"""),0.0)</f>
        <v>0</v>
      </c>
      <c r="S5805" s="6" t="str">
        <f>IFERROR(__xludf.DUMMYFUNCTION("""COMPUTED_VALUE"""),"Kimberly Ball")</f>
        <v>Kimberly Ball</v>
      </c>
      <c r="T5805" s="6" t="str">
        <f>IFERROR(__xludf.DUMMYFUNCTION("""COMPUTED_VALUE"""),"kimberly.ball@studient.com")</f>
        <v>kimberly.ball@studient.com</v>
      </c>
      <c r="U5805" s="6" t="str">
        <f>IFERROR(__xludf.DUMMYFUNCTION("""COMPUTED_VALUE"""),"8")</f>
        <v>8</v>
      </c>
      <c r="V5805" s="6" t="str">
        <f>IFERROR(__xludf.DUMMYFUNCTION("""COMPUTED_VALUE"""),"")</f>
        <v/>
      </c>
      <c r="W5805" s="6" t="str">
        <f>IFERROR(__xludf.DUMMYFUNCTION("""COMPUTED_VALUE"""),"[]")</f>
        <v>[]</v>
      </c>
      <c r="X5805" s="6" t="str">
        <f>IFERROR(__xludf.DUMMYFUNCTION("""COMPUTED_VALUE"""),"Enrolled")</f>
        <v>Enrolled</v>
      </c>
    </row>
    <row r="5806">
      <c r="A5806" s="6" t="str">
        <f>IFERROR(__xludf.DUMMYFUNCTION("""COMPUTED_VALUE"""),"087-12403")</f>
        <v>087-12403</v>
      </c>
      <c r="B5806" s="6" t="str">
        <f>IFERROR(__xludf.DUMMYFUNCTION("""COMPUTED_VALUE"""),"87")</f>
        <v>87</v>
      </c>
      <c r="C5806" s="6" t="str">
        <f>IFERROR(__xludf.DUMMYFUNCTION("""COMPUTED_VALUE"""),"12403")</f>
        <v>12403</v>
      </c>
      <c r="D5806" s="6" t="str">
        <f>IFERROR(__xludf.DUMMYFUNCTION("""COMPUTED_VALUE"""),"Juan")</f>
        <v>Juan</v>
      </c>
      <c r="E5806" s="6" t="str">
        <f>IFERROR(__xludf.DUMMYFUNCTION("""COMPUTED_VALUE"""),"")</f>
        <v/>
      </c>
      <c r="F5806" s="6" t="str">
        <f>IFERROR(__xludf.DUMMYFUNCTION("""COMPUTED_VALUE"""),"Torres Rodriguez")</f>
        <v>Torres Rodriguez</v>
      </c>
      <c r="G5806" s="6" t="str">
        <f>IFERROR(__xludf.DUMMYFUNCTION("""COMPUTED_VALUE"""),"05/21/2014")</f>
        <v>05/21/2014</v>
      </c>
      <c r="H5806" s="6" t="str">
        <f>IFERROR(__xludf.DUMMYFUNCTION("""COMPUTED_VALUE"""),"male")</f>
        <v>male</v>
      </c>
      <c r="I5806" s="6" t="str">
        <f>IFERROR(__xludf.DUMMYFUNCTION("""COMPUTED_VALUE"""),"Middle School")</f>
        <v>Middle School</v>
      </c>
      <c r="J5806" s="6" t="str">
        <f>IFERROR(__xludf.DUMMYFUNCTION("""COMPUTED_VALUE"""),"6")</f>
        <v>6</v>
      </c>
      <c r="K5806" s="6" t="str">
        <f>IFERROR(__xludf.DUMMYFUNCTION("""COMPUTED_VALUE"""),"juan.torresrodriguez@2hourlearning.com")</f>
        <v>juan.torresrodriguez@2hourlearning.com</v>
      </c>
      <c r="L5806" s="6" t="str">
        <f>IFERROR(__xludf.DUMMYFUNCTION("""COMPUTED_VALUE"""),"JRHS - Ridgeland Secondary Academy of Excellence")</f>
        <v>JRHS - Ridgeland Secondary Academy of Excellence</v>
      </c>
      <c r="M5806" s="6" t="str">
        <f>IFERROR(__xludf.DUMMYFUNCTION("""COMPUTED_VALUE"""),"")</f>
        <v/>
      </c>
      <c r="N5806" s="6" t="str">
        <f>IFERROR(__xludf.DUMMYFUNCTION("""COMPUTED_VALUE"""),"")</f>
        <v/>
      </c>
      <c r="O5806" s="87" t="str">
        <f>IFERROR(__xludf.DUMMYFUNCTION("""COMPUTED_VALUE"""),"https://drive.google.com/drive/folders/10T2cTQHqEJZqE-st6uFKPoI?usp=share_link")</f>
        <v>https://drive.google.com/drive/folders/10T2cTQHqEJZqE-st6uFKPoI?usp=share_link</v>
      </c>
      <c r="P5806" s="6" t="str">
        <f>IFERROR(__xludf.DUMMYFUNCTION("""COMPUTED_VALUE"""),"Juan Torres Rodriguez")</f>
        <v>Juan Torres Rodriguez</v>
      </c>
      <c r="Q5806" s="6" t="str">
        <f>IFERROR(__xludf.DUMMYFUNCTION("""COMPUTED_VALUE"""),"MS")</f>
        <v>MS</v>
      </c>
      <c r="R5806" s="6">
        <f>IFERROR(__xludf.DUMMYFUNCTION("""COMPUTED_VALUE"""),0.0)</f>
        <v>0</v>
      </c>
      <c r="S5806" s="6" t="str">
        <f>IFERROR(__xludf.DUMMYFUNCTION("""COMPUTED_VALUE"""),"Kimberly Ball")</f>
        <v>Kimberly Ball</v>
      </c>
      <c r="T5806" s="6" t="str">
        <f>IFERROR(__xludf.DUMMYFUNCTION("""COMPUTED_VALUE"""),"kimberly.ball@studient.com")</f>
        <v>kimberly.ball@studient.com</v>
      </c>
      <c r="U5806" s="6" t="str">
        <f>IFERROR(__xludf.DUMMYFUNCTION("""COMPUTED_VALUE"""),"6")</f>
        <v>6</v>
      </c>
      <c r="V5806" s="6" t="str">
        <f>IFERROR(__xludf.DUMMYFUNCTION("""COMPUTED_VALUE"""),"")</f>
        <v/>
      </c>
      <c r="W5806" s="6" t="str">
        <f>IFERROR(__xludf.DUMMYFUNCTION("""COMPUTED_VALUE"""),"[]")</f>
        <v>[]</v>
      </c>
      <c r="X5806" s="6" t="str">
        <f>IFERROR(__xludf.DUMMYFUNCTION("""COMPUTED_VALUE"""),"Enrolled")</f>
        <v>Enrolled</v>
      </c>
    </row>
    <row r="5807">
      <c r="A5807" s="6" t="str">
        <f>IFERROR(__xludf.DUMMYFUNCTION("""COMPUTED_VALUE"""),"087-12404")</f>
        <v>087-12404</v>
      </c>
      <c r="B5807" s="6" t="str">
        <f>IFERROR(__xludf.DUMMYFUNCTION("""COMPUTED_VALUE"""),"87")</f>
        <v>87</v>
      </c>
      <c r="C5807" s="6" t="str">
        <f>IFERROR(__xludf.DUMMYFUNCTION("""COMPUTED_VALUE"""),"12404")</f>
        <v>12404</v>
      </c>
      <c r="D5807" s="6" t="str">
        <f>IFERROR(__xludf.DUMMYFUNCTION("""COMPUTED_VALUE"""),"Cristopher")</f>
        <v>Cristopher</v>
      </c>
      <c r="E5807" s="6" t="str">
        <f>IFERROR(__xludf.DUMMYFUNCTION("""COMPUTED_VALUE"""),"")</f>
        <v/>
      </c>
      <c r="F5807" s="6" t="str">
        <f>IFERROR(__xludf.DUMMYFUNCTION("""COMPUTED_VALUE"""),"Trejo Resendiz")</f>
        <v>Trejo Resendiz</v>
      </c>
      <c r="G5807" s="6" t="str">
        <f>IFERROR(__xludf.DUMMYFUNCTION("""COMPUTED_VALUE"""),"03/19/2013")</f>
        <v>03/19/2013</v>
      </c>
      <c r="H5807" s="6" t="str">
        <f>IFERROR(__xludf.DUMMYFUNCTION("""COMPUTED_VALUE"""),"male")</f>
        <v>male</v>
      </c>
      <c r="I5807" s="6" t="str">
        <f>IFERROR(__xludf.DUMMYFUNCTION("""COMPUTED_VALUE"""),"Middle School")</f>
        <v>Middle School</v>
      </c>
      <c r="J5807" s="6" t="str">
        <f>IFERROR(__xludf.DUMMYFUNCTION("""COMPUTED_VALUE"""),"7")</f>
        <v>7</v>
      </c>
      <c r="K5807" s="6" t="str">
        <f>IFERROR(__xludf.DUMMYFUNCTION("""COMPUTED_VALUE"""),"cristopher.trejoresendiz@2hourlearning.com")</f>
        <v>cristopher.trejoresendiz@2hourlearning.com</v>
      </c>
      <c r="L5807" s="6" t="str">
        <f>IFERROR(__xludf.DUMMYFUNCTION("""COMPUTED_VALUE"""),"JRHS - Ridgeland Secondary Academy of Excellence")</f>
        <v>JRHS - Ridgeland Secondary Academy of Excellence</v>
      </c>
      <c r="M5807" s="6" t="str">
        <f>IFERROR(__xludf.DUMMYFUNCTION("""COMPUTED_VALUE"""),"")</f>
        <v/>
      </c>
      <c r="N5807" s="6" t="str">
        <f>IFERROR(__xludf.DUMMYFUNCTION("""COMPUTED_VALUE"""),"")</f>
        <v/>
      </c>
      <c r="O5807" s="87" t="str">
        <f>IFERROR(__xludf.DUMMYFUNCTION("""COMPUTED_VALUE"""),"https://drive.google.com/drive/folders/10T2cTQHqEJZqE-st6uFKPoI?usp=share_link")</f>
        <v>https://drive.google.com/drive/folders/10T2cTQHqEJZqE-st6uFKPoI?usp=share_link</v>
      </c>
      <c r="P5807" s="6" t="str">
        <f>IFERROR(__xludf.DUMMYFUNCTION("""COMPUTED_VALUE"""),"Cristopher Trejo Resendiz")</f>
        <v>Cristopher Trejo Resendiz</v>
      </c>
      <c r="Q5807" s="6" t="str">
        <f>IFERROR(__xludf.DUMMYFUNCTION("""COMPUTED_VALUE"""),"MS")</f>
        <v>MS</v>
      </c>
      <c r="R5807" s="6">
        <f>IFERROR(__xludf.DUMMYFUNCTION("""COMPUTED_VALUE"""),0.0)</f>
        <v>0</v>
      </c>
      <c r="S5807" s="6" t="str">
        <f>IFERROR(__xludf.DUMMYFUNCTION("""COMPUTED_VALUE"""),"Kimberly Ball")</f>
        <v>Kimberly Ball</v>
      </c>
      <c r="T5807" s="6" t="str">
        <f>IFERROR(__xludf.DUMMYFUNCTION("""COMPUTED_VALUE"""),"kimberly.ball@studient.com")</f>
        <v>kimberly.ball@studient.com</v>
      </c>
      <c r="U5807" s="6" t="str">
        <f>IFERROR(__xludf.DUMMYFUNCTION("""COMPUTED_VALUE"""),"7")</f>
        <v>7</v>
      </c>
      <c r="V5807" s="6" t="str">
        <f>IFERROR(__xludf.DUMMYFUNCTION("""COMPUTED_VALUE"""),"")</f>
        <v/>
      </c>
      <c r="W5807" s="6" t="str">
        <f>IFERROR(__xludf.DUMMYFUNCTION("""COMPUTED_VALUE"""),"[]")</f>
        <v>[]</v>
      </c>
      <c r="X5807" s="6" t="str">
        <f>IFERROR(__xludf.DUMMYFUNCTION("""COMPUTED_VALUE"""),"Enrolled")</f>
        <v>Enrolled</v>
      </c>
    </row>
    <row r="5808">
      <c r="A5808" s="6" t="str">
        <f>IFERROR(__xludf.DUMMYFUNCTION("""COMPUTED_VALUE"""),"087-12405")</f>
        <v>087-12405</v>
      </c>
      <c r="B5808" s="6" t="str">
        <f>IFERROR(__xludf.DUMMYFUNCTION("""COMPUTED_VALUE"""),"87")</f>
        <v>87</v>
      </c>
      <c r="C5808" s="6" t="str">
        <f>IFERROR(__xludf.DUMMYFUNCTION("""COMPUTED_VALUE"""),"12405")</f>
        <v>12405</v>
      </c>
      <c r="D5808" s="6" t="str">
        <f>IFERROR(__xludf.DUMMYFUNCTION("""COMPUTED_VALUE"""),"Kevin")</f>
        <v>Kevin</v>
      </c>
      <c r="E5808" s="6" t="str">
        <f>IFERROR(__xludf.DUMMYFUNCTION("""COMPUTED_VALUE"""),"")</f>
        <v/>
      </c>
      <c r="F5808" s="6" t="str">
        <f>IFERROR(__xludf.DUMMYFUNCTION("""COMPUTED_VALUE"""),"Trejo Resendiz")</f>
        <v>Trejo Resendiz</v>
      </c>
      <c r="G5808" s="6" t="str">
        <f>IFERROR(__xludf.DUMMYFUNCTION("""COMPUTED_VALUE"""),"08/29/2014")</f>
        <v>08/29/2014</v>
      </c>
      <c r="H5808" s="6" t="str">
        <f>IFERROR(__xludf.DUMMYFUNCTION("""COMPUTED_VALUE"""),"male")</f>
        <v>male</v>
      </c>
      <c r="I5808" s="6" t="str">
        <f>IFERROR(__xludf.DUMMYFUNCTION("""COMPUTED_VALUE"""),"Middle School")</f>
        <v>Middle School</v>
      </c>
      <c r="J5808" s="6" t="str">
        <f>IFERROR(__xludf.DUMMYFUNCTION("""COMPUTED_VALUE"""),"6")</f>
        <v>6</v>
      </c>
      <c r="K5808" s="6" t="str">
        <f>IFERROR(__xludf.DUMMYFUNCTION("""COMPUTED_VALUE"""),"kevin.trejoresendiz@2hourlearning.com")</f>
        <v>kevin.trejoresendiz@2hourlearning.com</v>
      </c>
      <c r="L5808" s="6" t="str">
        <f>IFERROR(__xludf.DUMMYFUNCTION("""COMPUTED_VALUE"""),"JRHS - Ridgeland Secondary Academy of Excellence")</f>
        <v>JRHS - Ridgeland Secondary Academy of Excellence</v>
      </c>
      <c r="M5808" s="6" t="str">
        <f>IFERROR(__xludf.DUMMYFUNCTION("""COMPUTED_VALUE"""),"")</f>
        <v/>
      </c>
      <c r="N5808" s="6" t="str">
        <f>IFERROR(__xludf.DUMMYFUNCTION("""COMPUTED_VALUE"""),"")</f>
        <v/>
      </c>
      <c r="O5808" s="87" t="str">
        <f>IFERROR(__xludf.DUMMYFUNCTION("""COMPUTED_VALUE"""),"https://drive.google.com/drive/folders/10T2cTQHqEJZqE-st6uFKPoI?usp=share_link")</f>
        <v>https://drive.google.com/drive/folders/10T2cTQHqEJZqE-st6uFKPoI?usp=share_link</v>
      </c>
      <c r="P5808" s="6" t="str">
        <f>IFERROR(__xludf.DUMMYFUNCTION("""COMPUTED_VALUE"""),"Kevin Trejo Resendiz")</f>
        <v>Kevin Trejo Resendiz</v>
      </c>
      <c r="Q5808" s="6" t="str">
        <f>IFERROR(__xludf.DUMMYFUNCTION("""COMPUTED_VALUE"""),"MS")</f>
        <v>MS</v>
      </c>
      <c r="R5808" s="6">
        <f>IFERROR(__xludf.DUMMYFUNCTION("""COMPUTED_VALUE"""),0.0)</f>
        <v>0</v>
      </c>
      <c r="S5808" s="6" t="str">
        <f>IFERROR(__xludf.DUMMYFUNCTION("""COMPUTED_VALUE"""),"Kimberly Ball")</f>
        <v>Kimberly Ball</v>
      </c>
      <c r="T5808" s="6" t="str">
        <f>IFERROR(__xludf.DUMMYFUNCTION("""COMPUTED_VALUE"""),"kimberly.ball@studient.com")</f>
        <v>kimberly.ball@studient.com</v>
      </c>
      <c r="U5808" s="6" t="str">
        <f>IFERROR(__xludf.DUMMYFUNCTION("""COMPUTED_VALUE"""),"6")</f>
        <v>6</v>
      </c>
      <c r="V5808" s="6" t="str">
        <f>IFERROR(__xludf.DUMMYFUNCTION("""COMPUTED_VALUE"""),"")</f>
        <v/>
      </c>
      <c r="W5808" s="6" t="str">
        <f>IFERROR(__xludf.DUMMYFUNCTION("""COMPUTED_VALUE"""),"[]")</f>
        <v>[]</v>
      </c>
      <c r="X5808" s="6" t="str">
        <f>IFERROR(__xludf.DUMMYFUNCTION("""COMPUTED_VALUE"""),"Enrolled")</f>
        <v>Enrolled</v>
      </c>
    </row>
    <row r="5809">
      <c r="A5809" s="6" t="str">
        <f>IFERROR(__xludf.DUMMYFUNCTION("""COMPUTED_VALUE"""),"087-12406")</f>
        <v>087-12406</v>
      </c>
      <c r="B5809" s="6" t="str">
        <f>IFERROR(__xludf.DUMMYFUNCTION("""COMPUTED_VALUE"""),"87")</f>
        <v>87</v>
      </c>
      <c r="C5809" s="6" t="str">
        <f>IFERROR(__xludf.DUMMYFUNCTION("""COMPUTED_VALUE"""),"12406")</f>
        <v>12406</v>
      </c>
      <c r="D5809" s="6" t="str">
        <f>IFERROR(__xludf.DUMMYFUNCTION("""COMPUTED_VALUE"""),"Zymon")</f>
        <v>Zymon</v>
      </c>
      <c r="E5809" s="6" t="str">
        <f>IFERROR(__xludf.DUMMYFUNCTION("""COMPUTED_VALUE"""),"")</f>
        <v/>
      </c>
      <c r="F5809" s="6" t="str">
        <f>IFERROR(__xludf.DUMMYFUNCTION("""COMPUTED_VALUE"""),"Tyler")</f>
        <v>Tyler</v>
      </c>
      <c r="G5809" s="6" t="str">
        <f>IFERROR(__xludf.DUMMYFUNCTION("""COMPUTED_VALUE"""),"11/11/2012")</f>
        <v>11/11/2012</v>
      </c>
      <c r="H5809" s="6" t="str">
        <f>IFERROR(__xludf.DUMMYFUNCTION("""COMPUTED_VALUE"""),"Self Identify")</f>
        <v>Self Identify</v>
      </c>
      <c r="I5809" s="6" t="str">
        <f>IFERROR(__xludf.DUMMYFUNCTION("""COMPUTED_VALUE"""),"Middle School")</f>
        <v>Middle School</v>
      </c>
      <c r="J5809" s="6" t="str">
        <f>IFERROR(__xludf.DUMMYFUNCTION("""COMPUTED_VALUE"""),"7")</f>
        <v>7</v>
      </c>
      <c r="K5809" s="6" t="str">
        <f>IFERROR(__xludf.DUMMYFUNCTION("""COMPUTED_VALUE"""),"zymon.tyler@2hourlearning.com")</f>
        <v>zymon.tyler@2hourlearning.com</v>
      </c>
      <c r="L5809" s="6" t="str">
        <f>IFERROR(__xludf.DUMMYFUNCTION("""COMPUTED_VALUE"""),"JRHS - Ridgeland Secondary Academy of Excellence")</f>
        <v>JRHS - Ridgeland Secondary Academy of Excellence</v>
      </c>
      <c r="M5809" s="6" t="str">
        <f>IFERROR(__xludf.DUMMYFUNCTION("""COMPUTED_VALUE"""),"")</f>
        <v/>
      </c>
      <c r="N5809" s="6" t="str">
        <f>IFERROR(__xludf.DUMMYFUNCTION("""COMPUTED_VALUE"""),"")</f>
        <v/>
      </c>
      <c r="O5809" s="87" t="str">
        <f>IFERROR(__xludf.DUMMYFUNCTION("""COMPUTED_VALUE"""),"https://drive.google.com/drive/folders/10T2cTQHqEJZqE-st6uFKPoI?usp=share_link")</f>
        <v>https://drive.google.com/drive/folders/10T2cTQHqEJZqE-st6uFKPoI?usp=share_link</v>
      </c>
      <c r="P5809" s="6" t="str">
        <f>IFERROR(__xludf.DUMMYFUNCTION("""COMPUTED_VALUE"""),"Zymon Tyler")</f>
        <v>Zymon Tyler</v>
      </c>
      <c r="Q5809" s="6" t="str">
        <f>IFERROR(__xludf.DUMMYFUNCTION("""COMPUTED_VALUE"""),"MS")</f>
        <v>MS</v>
      </c>
      <c r="R5809" s="6">
        <f>IFERROR(__xludf.DUMMYFUNCTION("""COMPUTED_VALUE"""),0.0)</f>
        <v>0</v>
      </c>
      <c r="S5809" s="6" t="str">
        <f>IFERROR(__xludf.DUMMYFUNCTION("""COMPUTED_VALUE"""),"Kimberly Ball")</f>
        <v>Kimberly Ball</v>
      </c>
      <c r="T5809" s="6" t="str">
        <f>IFERROR(__xludf.DUMMYFUNCTION("""COMPUTED_VALUE"""),"kimberly.ball@studient.com")</f>
        <v>kimberly.ball@studient.com</v>
      </c>
      <c r="U5809" s="6" t="str">
        <f>IFERROR(__xludf.DUMMYFUNCTION("""COMPUTED_VALUE"""),"7")</f>
        <v>7</v>
      </c>
      <c r="V5809" s="6" t="str">
        <f>IFERROR(__xludf.DUMMYFUNCTION("""COMPUTED_VALUE"""),"")</f>
        <v/>
      </c>
      <c r="W5809" s="6" t="str">
        <f>IFERROR(__xludf.DUMMYFUNCTION("""COMPUTED_VALUE"""),"[]")</f>
        <v>[]</v>
      </c>
      <c r="X5809" s="6" t="str">
        <f>IFERROR(__xludf.DUMMYFUNCTION("""COMPUTED_VALUE"""),"Enrolled")</f>
        <v>Enrolled</v>
      </c>
    </row>
    <row r="5810">
      <c r="A5810" s="6" t="str">
        <f>IFERROR(__xludf.DUMMYFUNCTION("""COMPUTED_VALUE"""),"087-12407")</f>
        <v>087-12407</v>
      </c>
      <c r="B5810" s="6" t="str">
        <f>IFERROR(__xludf.DUMMYFUNCTION("""COMPUTED_VALUE"""),"87")</f>
        <v>87</v>
      </c>
      <c r="C5810" s="6" t="str">
        <f>IFERROR(__xludf.DUMMYFUNCTION("""COMPUTED_VALUE"""),"12407")</f>
        <v>12407</v>
      </c>
      <c r="D5810" s="6" t="str">
        <f>IFERROR(__xludf.DUMMYFUNCTION("""COMPUTED_VALUE"""),"Adriana")</f>
        <v>Adriana</v>
      </c>
      <c r="E5810" s="6" t="str">
        <f>IFERROR(__xludf.DUMMYFUNCTION("""COMPUTED_VALUE"""),"")</f>
        <v/>
      </c>
      <c r="F5810" s="6" t="str">
        <f>IFERROR(__xludf.DUMMYFUNCTION("""COMPUTED_VALUE"""),"Urbina-Garcia")</f>
        <v>Urbina-Garcia</v>
      </c>
      <c r="G5810" s="6" t="str">
        <f>IFERROR(__xludf.DUMMYFUNCTION("""COMPUTED_VALUE"""),"03/07/2012")</f>
        <v>03/07/2012</v>
      </c>
      <c r="H5810" s="6" t="str">
        <f>IFERROR(__xludf.DUMMYFUNCTION("""COMPUTED_VALUE"""),"female")</f>
        <v>female</v>
      </c>
      <c r="I5810" s="6" t="str">
        <f>IFERROR(__xludf.DUMMYFUNCTION("""COMPUTED_VALUE"""),"Middle School")</f>
        <v>Middle School</v>
      </c>
      <c r="J5810" s="6" t="str">
        <f>IFERROR(__xludf.DUMMYFUNCTION("""COMPUTED_VALUE"""),"8")</f>
        <v>8</v>
      </c>
      <c r="K5810" s="6" t="str">
        <f>IFERROR(__xludf.DUMMYFUNCTION("""COMPUTED_VALUE"""),"adriana.urbina-garcia@2hourlearning.com")</f>
        <v>adriana.urbina-garcia@2hourlearning.com</v>
      </c>
      <c r="L5810" s="6" t="str">
        <f>IFERROR(__xludf.DUMMYFUNCTION("""COMPUTED_VALUE"""),"JRHS - Ridgeland Secondary Academy of Excellence")</f>
        <v>JRHS - Ridgeland Secondary Academy of Excellence</v>
      </c>
      <c r="M5810" s="6" t="str">
        <f>IFERROR(__xludf.DUMMYFUNCTION("""COMPUTED_VALUE"""),"")</f>
        <v/>
      </c>
      <c r="N5810" s="6" t="str">
        <f>IFERROR(__xludf.DUMMYFUNCTION("""COMPUTED_VALUE"""),"")</f>
        <v/>
      </c>
      <c r="O5810" s="87" t="str">
        <f>IFERROR(__xludf.DUMMYFUNCTION("""COMPUTED_VALUE"""),"https://drive.google.com/drive/folders/10T2cTQHqEJZqE-st6uFKPoI?usp=share_link")</f>
        <v>https://drive.google.com/drive/folders/10T2cTQHqEJZqE-st6uFKPoI?usp=share_link</v>
      </c>
      <c r="P5810" s="6" t="str">
        <f>IFERROR(__xludf.DUMMYFUNCTION("""COMPUTED_VALUE"""),"Adriana Urbina-Garcia")</f>
        <v>Adriana Urbina-Garcia</v>
      </c>
      <c r="Q5810" s="6" t="str">
        <f>IFERROR(__xludf.DUMMYFUNCTION("""COMPUTED_VALUE"""),"MS")</f>
        <v>MS</v>
      </c>
      <c r="R5810" s="6">
        <f>IFERROR(__xludf.DUMMYFUNCTION("""COMPUTED_VALUE"""),0.0)</f>
        <v>0</v>
      </c>
      <c r="S5810" s="6" t="str">
        <f>IFERROR(__xludf.DUMMYFUNCTION("""COMPUTED_VALUE"""),"Kimberly Ball")</f>
        <v>Kimberly Ball</v>
      </c>
      <c r="T5810" s="6" t="str">
        <f>IFERROR(__xludf.DUMMYFUNCTION("""COMPUTED_VALUE"""),"kimberly.ball@studient.com")</f>
        <v>kimberly.ball@studient.com</v>
      </c>
      <c r="U5810" s="6" t="str">
        <f>IFERROR(__xludf.DUMMYFUNCTION("""COMPUTED_VALUE"""),"8")</f>
        <v>8</v>
      </c>
      <c r="V5810" s="6" t="str">
        <f>IFERROR(__xludf.DUMMYFUNCTION("""COMPUTED_VALUE"""),"")</f>
        <v/>
      </c>
      <c r="W5810" s="6" t="str">
        <f>IFERROR(__xludf.DUMMYFUNCTION("""COMPUTED_VALUE"""),"[]")</f>
        <v>[]</v>
      </c>
      <c r="X5810" s="6" t="str">
        <f>IFERROR(__xludf.DUMMYFUNCTION("""COMPUTED_VALUE"""),"Enrolled")</f>
        <v>Enrolled</v>
      </c>
    </row>
    <row r="5811">
      <c r="A5811" s="6" t="str">
        <f>IFERROR(__xludf.DUMMYFUNCTION("""COMPUTED_VALUE"""),"087-12408")</f>
        <v>087-12408</v>
      </c>
      <c r="B5811" s="6" t="str">
        <f>IFERROR(__xludf.DUMMYFUNCTION("""COMPUTED_VALUE"""),"87")</f>
        <v>87</v>
      </c>
      <c r="C5811" s="6" t="str">
        <f>IFERROR(__xludf.DUMMYFUNCTION("""COMPUTED_VALUE"""),"12408")</f>
        <v>12408</v>
      </c>
      <c r="D5811" s="6" t="str">
        <f>IFERROR(__xludf.DUMMYFUNCTION("""COMPUTED_VALUE"""),"Maycol")</f>
        <v>Maycol</v>
      </c>
      <c r="E5811" s="6" t="str">
        <f>IFERROR(__xludf.DUMMYFUNCTION("""COMPUTED_VALUE"""),"")</f>
        <v/>
      </c>
      <c r="F5811" s="6" t="str">
        <f>IFERROR(__xludf.DUMMYFUNCTION("""COMPUTED_VALUE"""),"Velasquez Aleman")</f>
        <v>Velasquez Aleman</v>
      </c>
      <c r="G5811" s="6" t="str">
        <f>IFERROR(__xludf.DUMMYFUNCTION("""COMPUTED_VALUE"""),"01/06/2014")</f>
        <v>01/06/2014</v>
      </c>
      <c r="H5811" s="6" t="str">
        <f>IFERROR(__xludf.DUMMYFUNCTION("""COMPUTED_VALUE"""),"male")</f>
        <v>male</v>
      </c>
      <c r="I5811" s="6" t="str">
        <f>IFERROR(__xludf.DUMMYFUNCTION("""COMPUTED_VALUE"""),"Middle School")</f>
        <v>Middle School</v>
      </c>
      <c r="J5811" s="6" t="str">
        <f>IFERROR(__xludf.DUMMYFUNCTION("""COMPUTED_VALUE"""),"6")</f>
        <v>6</v>
      </c>
      <c r="K5811" s="6" t="str">
        <f>IFERROR(__xludf.DUMMYFUNCTION("""COMPUTED_VALUE"""),"maycol.velasquezaleman@2hourlearning.com")</f>
        <v>maycol.velasquezaleman@2hourlearning.com</v>
      </c>
      <c r="L5811" s="6" t="str">
        <f>IFERROR(__xludf.DUMMYFUNCTION("""COMPUTED_VALUE"""),"JRHS - Ridgeland Secondary Academy of Excellence")</f>
        <v>JRHS - Ridgeland Secondary Academy of Excellence</v>
      </c>
      <c r="M5811" s="6" t="str">
        <f>IFERROR(__xludf.DUMMYFUNCTION("""COMPUTED_VALUE"""),"")</f>
        <v/>
      </c>
      <c r="N5811" s="6" t="str">
        <f>IFERROR(__xludf.DUMMYFUNCTION("""COMPUTED_VALUE"""),"")</f>
        <v/>
      </c>
      <c r="O5811" s="87" t="str">
        <f>IFERROR(__xludf.DUMMYFUNCTION("""COMPUTED_VALUE"""),"https://drive.google.com/drive/folders/10T2cTQHqEJZqE-st6uFKPoI?usp=share_link")</f>
        <v>https://drive.google.com/drive/folders/10T2cTQHqEJZqE-st6uFKPoI?usp=share_link</v>
      </c>
      <c r="P5811" s="6" t="str">
        <f>IFERROR(__xludf.DUMMYFUNCTION("""COMPUTED_VALUE"""),"Maycol Velasquez Aleman")</f>
        <v>Maycol Velasquez Aleman</v>
      </c>
      <c r="Q5811" s="6" t="str">
        <f>IFERROR(__xludf.DUMMYFUNCTION("""COMPUTED_VALUE"""),"MS")</f>
        <v>MS</v>
      </c>
      <c r="R5811" s="6">
        <f>IFERROR(__xludf.DUMMYFUNCTION("""COMPUTED_VALUE"""),0.0)</f>
        <v>0</v>
      </c>
      <c r="S5811" s="6" t="str">
        <f>IFERROR(__xludf.DUMMYFUNCTION("""COMPUTED_VALUE"""),"Kimberly Ball")</f>
        <v>Kimberly Ball</v>
      </c>
      <c r="T5811" s="6" t="str">
        <f>IFERROR(__xludf.DUMMYFUNCTION("""COMPUTED_VALUE"""),"kimberly.ball@studient.com")</f>
        <v>kimberly.ball@studient.com</v>
      </c>
      <c r="U5811" s="6" t="str">
        <f>IFERROR(__xludf.DUMMYFUNCTION("""COMPUTED_VALUE"""),"6")</f>
        <v>6</v>
      </c>
      <c r="V5811" s="6" t="str">
        <f>IFERROR(__xludf.DUMMYFUNCTION("""COMPUTED_VALUE"""),"")</f>
        <v/>
      </c>
      <c r="W5811" s="6" t="str">
        <f>IFERROR(__xludf.DUMMYFUNCTION("""COMPUTED_VALUE"""),"[]")</f>
        <v>[]</v>
      </c>
      <c r="X5811" s="6" t="str">
        <f>IFERROR(__xludf.DUMMYFUNCTION("""COMPUTED_VALUE"""),"Enrolled")</f>
        <v>Enrolled</v>
      </c>
    </row>
    <row r="5812">
      <c r="A5812" s="6" t="str">
        <f>IFERROR(__xludf.DUMMYFUNCTION("""COMPUTED_VALUE"""),"087-12409")</f>
        <v>087-12409</v>
      </c>
      <c r="B5812" s="6" t="str">
        <f>IFERROR(__xludf.DUMMYFUNCTION("""COMPUTED_VALUE"""),"87")</f>
        <v>87</v>
      </c>
      <c r="C5812" s="6" t="str">
        <f>IFERROR(__xludf.DUMMYFUNCTION("""COMPUTED_VALUE"""),"12409")</f>
        <v>12409</v>
      </c>
      <c r="D5812" s="6" t="str">
        <f>IFERROR(__xludf.DUMMYFUNCTION("""COMPUTED_VALUE"""),"Richardo")</f>
        <v>Richardo</v>
      </c>
      <c r="E5812" s="6" t="str">
        <f>IFERROR(__xludf.DUMMYFUNCTION("""COMPUTED_VALUE"""),"")</f>
        <v/>
      </c>
      <c r="F5812" s="6" t="str">
        <f>IFERROR(__xludf.DUMMYFUNCTION("""COMPUTED_VALUE"""),"Velasquez-Alavardo")</f>
        <v>Velasquez-Alavardo</v>
      </c>
      <c r="G5812" s="6" t="str">
        <f>IFERROR(__xludf.DUMMYFUNCTION("""COMPUTED_VALUE"""),"09/08/2012")</f>
        <v>09/08/2012</v>
      </c>
      <c r="H5812" s="6" t="str">
        <f>IFERROR(__xludf.DUMMYFUNCTION("""COMPUTED_VALUE"""),"male")</f>
        <v>male</v>
      </c>
      <c r="I5812" s="6" t="str">
        <f>IFERROR(__xludf.DUMMYFUNCTION("""COMPUTED_VALUE"""),"Middle School")</f>
        <v>Middle School</v>
      </c>
      <c r="J5812" s="6" t="str">
        <f>IFERROR(__xludf.DUMMYFUNCTION("""COMPUTED_VALUE"""),"8")</f>
        <v>8</v>
      </c>
      <c r="K5812" s="6" t="str">
        <f>IFERROR(__xludf.DUMMYFUNCTION("""COMPUTED_VALUE"""),"richardo.velasquez-alavardo@2hourlearning.com")</f>
        <v>richardo.velasquez-alavardo@2hourlearning.com</v>
      </c>
      <c r="L5812" s="6" t="str">
        <f>IFERROR(__xludf.DUMMYFUNCTION("""COMPUTED_VALUE"""),"JRHS - Ridgeland Secondary Academy of Excellence")</f>
        <v>JRHS - Ridgeland Secondary Academy of Excellence</v>
      </c>
      <c r="M5812" s="6" t="str">
        <f>IFERROR(__xludf.DUMMYFUNCTION("""COMPUTED_VALUE"""),"")</f>
        <v/>
      </c>
      <c r="N5812" s="6" t="str">
        <f>IFERROR(__xludf.DUMMYFUNCTION("""COMPUTED_VALUE"""),"")</f>
        <v/>
      </c>
      <c r="O5812" s="87" t="str">
        <f>IFERROR(__xludf.DUMMYFUNCTION("""COMPUTED_VALUE"""),"https://drive.google.com/drive/folders/10T2cTQHqEJZqE-st6uFKPoI?usp=share_link")</f>
        <v>https://drive.google.com/drive/folders/10T2cTQHqEJZqE-st6uFKPoI?usp=share_link</v>
      </c>
      <c r="P5812" s="6" t="str">
        <f>IFERROR(__xludf.DUMMYFUNCTION("""COMPUTED_VALUE"""),"Richardo Velasquez-Alavardo")</f>
        <v>Richardo Velasquez-Alavardo</v>
      </c>
      <c r="Q5812" s="6" t="str">
        <f>IFERROR(__xludf.DUMMYFUNCTION("""COMPUTED_VALUE"""),"MS")</f>
        <v>MS</v>
      </c>
      <c r="R5812" s="6">
        <f>IFERROR(__xludf.DUMMYFUNCTION("""COMPUTED_VALUE"""),0.0)</f>
        <v>0</v>
      </c>
      <c r="S5812" s="6" t="str">
        <f>IFERROR(__xludf.DUMMYFUNCTION("""COMPUTED_VALUE"""),"Kimberly Ball")</f>
        <v>Kimberly Ball</v>
      </c>
      <c r="T5812" s="6" t="str">
        <f>IFERROR(__xludf.DUMMYFUNCTION("""COMPUTED_VALUE"""),"kimberly.ball@studient.com")</f>
        <v>kimberly.ball@studient.com</v>
      </c>
      <c r="U5812" s="6" t="str">
        <f>IFERROR(__xludf.DUMMYFUNCTION("""COMPUTED_VALUE"""),"8")</f>
        <v>8</v>
      </c>
      <c r="V5812" s="6" t="str">
        <f>IFERROR(__xludf.DUMMYFUNCTION("""COMPUTED_VALUE"""),"")</f>
        <v/>
      </c>
      <c r="W5812" s="6" t="str">
        <f>IFERROR(__xludf.DUMMYFUNCTION("""COMPUTED_VALUE"""),"[]")</f>
        <v>[]</v>
      </c>
      <c r="X5812" s="6" t="str">
        <f>IFERROR(__xludf.DUMMYFUNCTION("""COMPUTED_VALUE"""),"Enrolled")</f>
        <v>Enrolled</v>
      </c>
    </row>
    <row r="5813">
      <c r="A5813" s="6" t="str">
        <f>IFERROR(__xludf.DUMMYFUNCTION("""COMPUTED_VALUE"""),"087-12410")</f>
        <v>087-12410</v>
      </c>
      <c r="B5813" s="6" t="str">
        <f>IFERROR(__xludf.DUMMYFUNCTION("""COMPUTED_VALUE"""),"87")</f>
        <v>87</v>
      </c>
      <c r="C5813" s="6" t="str">
        <f>IFERROR(__xludf.DUMMYFUNCTION("""COMPUTED_VALUE"""),"12410")</f>
        <v>12410</v>
      </c>
      <c r="D5813" s="6" t="str">
        <f>IFERROR(__xludf.DUMMYFUNCTION("""COMPUTED_VALUE"""),"Aleyza")</f>
        <v>Aleyza</v>
      </c>
      <c r="E5813" s="6" t="str">
        <f>IFERROR(__xludf.DUMMYFUNCTION("""COMPUTED_VALUE"""),"")</f>
        <v/>
      </c>
      <c r="F5813" s="6" t="str">
        <f>IFERROR(__xludf.DUMMYFUNCTION("""COMPUTED_VALUE"""),"Villagomez Sanchez")</f>
        <v>Villagomez Sanchez</v>
      </c>
      <c r="G5813" s="6" t="str">
        <f>IFERROR(__xludf.DUMMYFUNCTION("""COMPUTED_VALUE"""),"05/20/2014")</f>
        <v>05/20/2014</v>
      </c>
      <c r="H5813" s="6" t="str">
        <f>IFERROR(__xludf.DUMMYFUNCTION("""COMPUTED_VALUE"""),"female")</f>
        <v>female</v>
      </c>
      <c r="I5813" s="6" t="str">
        <f>IFERROR(__xludf.DUMMYFUNCTION("""COMPUTED_VALUE"""),"Middle School")</f>
        <v>Middle School</v>
      </c>
      <c r="J5813" s="6" t="str">
        <f>IFERROR(__xludf.DUMMYFUNCTION("""COMPUTED_VALUE"""),"6")</f>
        <v>6</v>
      </c>
      <c r="K5813" s="6" t="str">
        <f>IFERROR(__xludf.DUMMYFUNCTION("""COMPUTED_VALUE"""),"aleyza.villagomezsanchez@2hourlearning.com")</f>
        <v>aleyza.villagomezsanchez@2hourlearning.com</v>
      </c>
      <c r="L5813" s="6" t="str">
        <f>IFERROR(__xludf.DUMMYFUNCTION("""COMPUTED_VALUE"""),"JRHS - Ridgeland Secondary Academy of Excellence")</f>
        <v>JRHS - Ridgeland Secondary Academy of Excellence</v>
      </c>
      <c r="M5813" s="6" t="str">
        <f>IFERROR(__xludf.DUMMYFUNCTION("""COMPUTED_VALUE"""),"")</f>
        <v/>
      </c>
      <c r="N5813" s="6" t="str">
        <f>IFERROR(__xludf.DUMMYFUNCTION("""COMPUTED_VALUE"""),"")</f>
        <v/>
      </c>
      <c r="O5813" s="87" t="str">
        <f>IFERROR(__xludf.DUMMYFUNCTION("""COMPUTED_VALUE"""),"https://drive.google.com/drive/folders/10T2cTQHqEJZqE-st6uFKPoI?usp=share_link")</f>
        <v>https://drive.google.com/drive/folders/10T2cTQHqEJZqE-st6uFKPoI?usp=share_link</v>
      </c>
      <c r="P5813" s="6" t="str">
        <f>IFERROR(__xludf.DUMMYFUNCTION("""COMPUTED_VALUE"""),"Aleyza Villagomez Sanchez")</f>
        <v>Aleyza Villagomez Sanchez</v>
      </c>
      <c r="Q5813" s="6" t="str">
        <f>IFERROR(__xludf.DUMMYFUNCTION("""COMPUTED_VALUE"""),"MS")</f>
        <v>MS</v>
      </c>
      <c r="R5813" s="6">
        <f>IFERROR(__xludf.DUMMYFUNCTION("""COMPUTED_VALUE"""),0.0)</f>
        <v>0</v>
      </c>
      <c r="S5813" s="6" t="str">
        <f>IFERROR(__xludf.DUMMYFUNCTION("""COMPUTED_VALUE"""),"Kimberly Ball")</f>
        <v>Kimberly Ball</v>
      </c>
      <c r="T5813" s="6" t="str">
        <f>IFERROR(__xludf.DUMMYFUNCTION("""COMPUTED_VALUE"""),"kimberly.ball@studient.com")</f>
        <v>kimberly.ball@studient.com</v>
      </c>
      <c r="U5813" s="6" t="str">
        <f>IFERROR(__xludf.DUMMYFUNCTION("""COMPUTED_VALUE"""),"6")</f>
        <v>6</v>
      </c>
      <c r="V5813" s="6" t="str">
        <f>IFERROR(__xludf.DUMMYFUNCTION("""COMPUTED_VALUE"""),"")</f>
        <v/>
      </c>
      <c r="W5813" s="6" t="str">
        <f>IFERROR(__xludf.DUMMYFUNCTION("""COMPUTED_VALUE"""),"[]")</f>
        <v>[]</v>
      </c>
      <c r="X5813" s="6" t="str">
        <f>IFERROR(__xludf.DUMMYFUNCTION("""COMPUTED_VALUE"""),"Enrolled")</f>
        <v>Enrolled</v>
      </c>
    </row>
    <row r="5814">
      <c r="A5814" s="6" t="str">
        <f>IFERROR(__xludf.DUMMYFUNCTION("""COMPUTED_VALUE"""),"087-12411")</f>
        <v>087-12411</v>
      </c>
      <c r="B5814" s="6" t="str">
        <f>IFERROR(__xludf.DUMMYFUNCTION("""COMPUTED_VALUE"""),"87")</f>
        <v>87</v>
      </c>
      <c r="C5814" s="6" t="str">
        <f>IFERROR(__xludf.DUMMYFUNCTION("""COMPUTED_VALUE"""),"12411")</f>
        <v>12411</v>
      </c>
      <c r="D5814" s="6" t="str">
        <f>IFERROR(__xludf.DUMMYFUNCTION("""COMPUTED_VALUE"""),"Carson")</f>
        <v>Carson</v>
      </c>
      <c r="E5814" s="6" t="str">
        <f>IFERROR(__xludf.DUMMYFUNCTION("""COMPUTED_VALUE"""),"")</f>
        <v/>
      </c>
      <c r="F5814" s="6" t="str">
        <f>IFERROR(__xludf.DUMMYFUNCTION("""COMPUTED_VALUE"""),"Walker-Brown")</f>
        <v>Walker-Brown</v>
      </c>
      <c r="G5814" s="6" t="str">
        <f>IFERROR(__xludf.DUMMYFUNCTION("""COMPUTED_VALUE"""),"08/05/2014")</f>
        <v>08/05/2014</v>
      </c>
      <c r="H5814" s="6" t="str">
        <f>IFERROR(__xludf.DUMMYFUNCTION("""COMPUTED_VALUE"""),"male")</f>
        <v>male</v>
      </c>
      <c r="I5814" s="6" t="str">
        <f>IFERROR(__xludf.DUMMYFUNCTION("""COMPUTED_VALUE"""),"Middle School")</f>
        <v>Middle School</v>
      </c>
      <c r="J5814" s="6" t="str">
        <f>IFERROR(__xludf.DUMMYFUNCTION("""COMPUTED_VALUE"""),"6")</f>
        <v>6</v>
      </c>
      <c r="K5814" s="6" t="str">
        <f>IFERROR(__xludf.DUMMYFUNCTION("""COMPUTED_VALUE"""),"carson.walker-brown@2hourlearning.com")</f>
        <v>carson.walker-brown@2hourlearning.com</v>
      </c>
      <c r="L5814" s="6" t="str">
        <f>IFERROR(__xludf.DUMMYFUNCTION("""COMPUTED_VALUE"""),"JRHS - Ridgeland Secondary Academy of Excellence")</f>
        <v>JRHS - Ridgeland Secondary Academy of Excellence</v>
      </c>
      <c r="M5814" s="6" t="str">
        <f>IFERROR(__xludf.DUMMYFUNCTION("""COMPUTED_VALUE"""),"")</f>
        <v/>
      </c>
      <c r="N5814" s="6" t="str">
        <f>IFERROR(__xludf.DUMMYFUNCTION("""COMPUTED_VALUE"""),"")</f>
        <v/>
      </c>
      <c r="O5814" s="87" t="str">
        <f>IFERROR(__xludf.DUMMYFUNCTION("""COMPUTED_VALUE"""),"https://drive.google.com/drive/folders/10T2cTQHqEJZqE-st6uFKPoI?usp=share_link")</f>
        <v>https://drive.google.com/drive/folders/10T2cTQHqEJZqE-st6uFKPoI?usp=share_link</v>
      </c>
      <c r="P5814" s="6" t="str">
        <f>IFERROR(__xludf.DUMMYFUNCTION("""COMPUTED_VALUE"""),"Carson Walker-Brown")</f>
        <v>Carson Walker-Brown</v>
      </c>
      <c r="Q5814" s="6" t="str">
        <f>IFERROR(__xludf.DUMMYFUNCTION("""COMPUTED_VALUE"""),"MS")</f>
        <v>MS</v>
      </c>
      <c r="R5814" s="6">
        <f>IFERROR(__xludf.DUMMYFUNCTION("""COMPUTED_VALUE"""),0.0)</f>
        <v>0</v>
      </c>
      <c r="S5814" s="6" t="str">
        <f>IFERROR(__xludf.DUMMYFUNCTION("""COMPUTED_VALUE"""),"Kimberly Ball")</f>
        <v>Kimberly Ball</v>
      </c>
      <c r="T5814" s="6" t="str">
        <f>IFERROR(__xludf.DUMMYFUNCTION("""COMPUTED_VALUE"""),"kimberly.ball@studient.com")</f>
        <v>kimberly.ball@studient.com</v>
      </c>
      <c r="U5814" s="6" t="str">
        <f>IFERROR(__xludf.DUMMYFUNCTION("""COMPUTED_VALUE"""),"6")</f>
        <v>6</v>
      </c>
      <c r="V5814" s="6" t="str">
        <f>IFERROR(__xludf.DUMMYFUNCTION("""COMPUTED_VALUE"""),"")</f>
        <v/>
      </c>
      <c r="W5814" s="6" t="str">
        <f>IFERROR(__xludf.DUMMYFUNCTION("""COMPUTED_VALUE"""),"[]")</f>
        <v>[]</v>
      </c>
      <c r="X5814" s="6" t="str">
        <f>IFERROR(__xludf.DUMMYFUNCTION("""COMPUTED_VALUE"""),"Enrolled")</f>
        <v>Enrolled</v>
      </c>
    </row>
    <row r="5815">
      <c r="A5815" s="6" t="str">
        <f>IFERROR(__xludf.DUMMYFUNCTION("""COMPUTED_VALUE"""),"087-12412")</f>
        <v>087-12412</v>
      </c>
      <c r="B5815" s="6" t="str">
        <f>IFERROR(__xludf.DUMMYFUNCTION("""COMPUTED_VALUE"""),"87")</f>
        <v>87</v>
      </c>
      <c r="C5815" s="6" t="str">
        <f>IFERROR(__xludf.DUMMYFUNCTION("""COMPUTED_VALUE"""),"12412")</f>
        <v>12412</v>
      </c>
      <c r="D5815" s="6" t="str">
        <f>IFERROR(__xludf.DUMMYFUNCTION("""COMPUTED_VALUE"""),"Craige")</f>
        <v>Craige</v>
      </c>
      <c r="E5815" s="6" t="str">
        <f>IFERROR(__xludf.DUMMYFUNCTION("""COMPUTED_VALUE"""),"")</f>
        <v/>
      </c>
      <c r="F5815" s="6" t="str">
        <f>IFERROR(__xludf.DUMMYFUNCTION("""COMPUTED_VALUE"""),"Washington")</f>
        <v>Washington</v>
      </c>
      <c r="G5815" s="6" t="str">
        <f>IFERROR(__xludf.DUMMYFUNCTION("""COMPUTED_VALUE"""),"07/04/2013")</f>
        <v>07/04/2013</v>
      </c>
      <c r="H5815" s="6" t="str">
        <f>IFERROR(__xludf.DUMMYFUNCTION("""COMPUTED_VALUE"""),"male")</f>
        <v>male</v>
      </c>
      <c r="I5815" s="6" t="str">
        <f>IFERROR(__xludf.DUMMYFUNCTION("""COMPUTED_VALUE"""),"Middle School")</f>
        <v>Middle School</v>
      </c>
      <c r="J5815" s="6" t="str">
        <f>IFERROR(__xludf.DUMMYFUNCTION("""COMPUTED_VALUE"""),"7")</f>
        <v>7</v>
      </c>
      <c r="K5815" s="6" t="str">
        <f>IFERROR(__xludf.DUMMYFUNCTION("""COMPUTED_VALUE"""),"craige.washington@2hourlearning.com")</f>
        <v>craige.washington@2hourlearning.com</v>
      </c>
      <c r="L5815" s="6" t="str">
        <f>IFERROR(__xludf.DUMMYFUNCTION("""COMPUTED_VALUE"""),"JRHS - Ridgeland Secondary Academy of Excellence")</f>
        <v>JRHS - Ridgeland Secondary Academy of Excellence</v>
      </c>
      <c r="M5815" s="6" t="str">
        <f>IFERROR(__xludf.DUMMYFUNCTION("""COMPUTED_VALUE"""),"")</f>
        <v/>
      </c>
      <c r="N5815" s="6" t="str">
        <f>IFERROR(__xludf.DUMMYFUNCTION("""COMPUTED_VALUE"""),"")</f>
        <v/>
      </c>
      <c r="O5815" s="87" t="str">
        <f>IFERROR(__xludf.DUMMYFUNCTION("""COMPUTED_VALUE"""),"https://drive.google.com/drive/folders/10T2cTQHqEJZqE-st6uFKPoI?usp=share_link")</f>
        <v>https://drive.google.com/drive/folders/10T2cTQHqEJZqE-st6uFKPoI?usp=share_link</v>
      </c>
      <c r="P5815" s="6" t="str">
        <f>IFERROR(__xludf.DUMMYFUNCTION("""COMPUTED_VALUE"""),"Craige Washington")</f>
        <v>Craige Washington</v>
      </c>
      <c r="Q5815" s="6" t="str">
        <f>IFERROR(__xludf.DUMMYFUNCTION("""COMPUTED_VALUE"""),"MS")</f>
        <v>MS</v>
      </c>
      <c r="R5815" s="6">
        <f>IFERROR(__xludf.DUMMYFUNCTION("""COMPUTED_VALUE"""),0.0)</f>
        <v>0</v>
      </c>
      <c r="S5815" s="6" t="str">
        <f>IFERROR(__xludf.DUMMYFUNCTION("""COMPUTED_VALUE"""),"Kimberly Ball")</f>
        <v>Kimberly Ball</v>
      </c>
      <c r="T5815" s="6" t="str">
        <f>IFERROR(__xludf.DUMMYFUNCTION("""COMPUTED_VALUE"""),"kimberly.ball@studient.com")</f>
        <v>kimberly.ball@studient.com</v>
      </c>
      <c r="U5815" s="6" t="str">
        <f>IFERROR(__xludf.DUMMYFUNCTION("""COMPUTED_VALUE"""),"7")</f>
        <v>7</v>
      </c>
      <c r="V5815" s="6" t="str">
        <f>IFERROR(__xludf.DUMMYFUNCTION("""COMPUTED_VALUE"""),"")</f>
        <v/>
      </c>
      <c r="W5815" s="6" t="str">
        <f>IFERROR(__xludf.DUMMYFUNCTION("""COMPUTED_VALUE"""),"[]")</f>
        <v>[]</v>
      </c>
      <c r="X5815" s="6" t="str">
        <f>IFERROR(__xludf.DUMMYFUNCTION("""COMPUTED_VALUE"""),"Enrolled")</f>
        <v>Enrolled</v>
      </c>
    </row>
    <row r="5816">
      <c r="A5816" s="6" t="str">
        <f>IFERROR(__xludf.DUMMYFUNCTION("""COMPUTED_VALUE"""),"087-12413")</f>
        <v>087-12413</v>
      </c>
      <c r="B5816" s="6" t="str">
        <f>IFERROR(__xludf.DUMMYFUNCTION("""COMPUTED_VALUE"""),"87")</f>
        <v>87</v>
      </c>
      <c r="C5816" s="6" t="str">
        <f>IFERROR(__xludf.DUMMYFUNCTION("""COMPUTED_VALUE"""),"12413")</f>
        <v>12413</v>
      </c>
      <c r="D5816" s="6" t="str">
        <f>IFERROR(__xludf.DUMMYFUNCTION("""COMPUTED_VALUE"""),"Kaiden")</f>
        <v>Kaiden</v>
      </c>
      <c r="E5816" s="6" t="str">
        <f>IFERROR(__xludf.DUMMYFUNCTION("""COMPUTED_VALUE"""),"")</f>
        <v/>
      </c>
      <c r="F5816" s="6" t="str">
        <f>IFERROR(__xludf.DUMMYFUNCTION("""COMPUTED_VALUE"""),"Watson")</f>
        <v>Watson</v>
      </c>
      <c r="G5816" s="6" t="str">
        <f>IFERROR(__xludf.DUMMYFUNCTION("""COMPUTED_VALUE"""),"01/30/2013")</f>
        <v>01/30/2013</v>
      </c>
      <c r="H5816" s="6" t="str">
        <f>IFERROR(__xludf.DUMMYFUNCTION("""COMPUTED_VALUE"""),"male")</f>
        <v>male</v>
      </c>
      <c r="I5816" s="6" t="str">
        <f>IFERROR(__xludf.DUMMYFUNCTION("""COMPUTED_VALUE"""),"Middle School")</f>
        <v>Middle School</v>
      </c>
      <c r="J5816" s="6" t="str">
        <f>IFERROR(__xludf.DUMMYFUNCTION("""COMPUTED_VALUE"""),"7")</f>
        <v>7</v>
      </c>
      <c r="K5816" s="6" t="str">
        <f>IFERROR(__xludf.DUMMYFUNCTION("""COMPUTED_VALUE"""),"kaiden.watson@2hourlearning.com")</f>
        <v>kaiden.watson@2hourlearning.com</v>
      </c>
      <c r="L5816" s="6" t="str">
        <f>IFERROR(__xludf.DUMMYFUNCTION("""COMPUTED_VALUE"""),"JRHS - Ridgeland Secondary Academy of Excellence")</f>
        <v>JRHS - Ridgeland Secondary Academy of Excellence</v>
      </c>
      <c r="M5816" s="6" t="str">
        <f>IFERROR(__xludf.DUMMYFUNCTION("""COMPUTED_VALUE"""),"")</f>
        <v/>
      </c>
      <c r="N5816" s="6" t="str">
        <f>IFERROR(__xludf.DUMMYFUNCTION("""COMPUTED_VALUE"""),"")</f>
        <v/>
      </c>
      <c r="O5816" s="87" t="str">
        <f>IFERROR(__xludf.DUMMYFUNCTION("""COMPUTED_VALUE"""),"https://drive.google.com/drive/folders/10T2cTQHqEJZqE-st6uFKPoI?usp=share_link")</f>
        <v>https://drive.google.com/drive/folders/10T2cTQHqEJZqE-st6uFKPoI?usp=share_link</v>
      </c>
      <c r="P5816" s="6" t="str">
        <f>IFERROR(__xludf.DUMMYFUNCTION("""COMPUTED_VALUE"""),"Kaiden Watson")</f>
        <v>Kaiden Watson</v>
      </c>
      <c r="Q5816" s="6" t="str">
        <f>IFERROR(__xludf.DUMMYFUNCTION("""COMPUTED_VALUE"""),"MS")</f>
        <v>MS</v>
      </c>
      <c r="R5816" s="6">
        <f>IFERROR(__xludf.DUMMYFUNCTION("""COMPUTED_VALUE"""),0.0)</f>
        <v>0</v>
      </c>
      <c r="S5816" s="6" t="str">
        <f>IFERROR(__xludf.DUMMYFUNCTION("""COMPUTED_VALUE"""),"Kimberly Ball")</f>
        <v>Kimberly Ball</v>
      </c>
      <c r="T5816" s="6" t="str">
        <f>IFERROR(__xludf.DUMMYFUNCTION("""COMPUTED_VALUE"""),"kimberly.ball@studient.com")</f>
        <v>kimberly.ball@studient.com</v>
      </c>
      <c r="U5816" s="6" t="str">
        <f>IFERROR(__xludf.DUMMYFUNCTION("""COMPUTED_VALUE"""),"7")</f>
        <v>7</v>
      </c>
      <c r="V5816" s="6" t="str">
        <f>IFERROR(__xludf.DUMMYFUNCTION("""COMPUTED_VALUE"""),"")</f>
        <v/>
      </c>
      <c r="W5816" s="6" t="str">
        <f>IFERROR(__xludf.DUMMYFUNCTION("""COMPUTED_VALUE"""),"[]")</f>
        <v>[]</v>
      </c>
      <c r="X5816" s="6" t="str">
        <f>IFERROR(__xludf.DUMMYFUNCTION("""COMPUTED_VALUE"""),"Enrolled")</f>
        <v>Enrolled</v>
      </c>
    </row>
    <row r="5817">
      <c r="A5817" s="6" t="str">
        <f>IFERROR(__xludf.DUMMYFUNCTION("""COMPUTED_VALUE"""),"087-12414")</f>
        <v>087-12414</v>
      </c>
      <c r="B5817" s="6" t="str">
        <f>IFERROR(__xludf.DUMMYFUNCTION("""COMPUTED_VALUE"""),"87")</f>
        <v>87</v>
      </c>
      <c r="C5817" s="6" t="str">
        <f>IFERROR(__xludf.DUMMYFUNCTION("""COMPUTED_VALUE"""),"12414")</f>
        <v>12414</v>
      </c>
      <c r="D5817" s="6" t="str">
        <f>IFERROR(__xludf.DUMMYFUNCTION("""COMPUTED_VALUE"""),"Amberly")</f>
        <v>Amberly</v>
      </c>
      <c r="E5817" s="6" t="str">
        <f>IFERROR(__xludf.DUMMYFUNCTION("""COMPUTED_VALUE"""),"")</f>
        <v/>
      </c>
      <c r="F5817" s="6" t="str">
        <f>IFERROR(__xludf.DUMMYFUNCTION("""COMPUTED_VALUE"""),"Wayne")</f>
        <v>Wayne</v>
      </c>
      <c r="G5817" s="6" t="str">
        <f>IFERROR(__xludf.DUMMYFUNCTION("""COMPUTED_VALUE"""),"12/07/2013")</f>
        <v>12/07/2013</v>
      </c>
      <c r="H5817" s="6" t="str">
        <f>IFERROR(__xludf.DUMMYFUNCTION("""COMPUTED_VALUE"""),"female")</f>
        <v>female</v>
      </c>
      <c r="I5817" s="6" t="str">
        <f>IFERROR(__xludf.DUMMYFUNCTION("""COMPUTED_VALUE"""),"Middle School")</f>
        <v>Middle School</v>
      </c>
      <c r="J5817" s="6" t="str">
        <f>IFERROR(__xludf.DUMMYFUNCTION("""COMPUTED_VALUE"""),"6")</f>
        <v>6</v>
      </c>
      <c r="K5817" s="6" t="str">
        <f>IFERROR(__xludf.DUMMYFUNCTION("""COMPUTED_VALUE"""),"amberly.wayne@2hourlearning.com")</f>
        <v>amberly.wayne@2hourlearning.com</v>
      </c>
      <c r="L5817" s="6" t="str">
        <f>IFERROR(__xludf.DUMMYFUNCTION("""COMPUTED_VALUE"""),"JRHS - Ridgeland Secondary Academy of Excellence")</f>
        <v>JRHS - Ridgeland Secondary Academy of Excellence</v>
      </c>
      <c r="M5817" s="6" t="str">
        <f>IFERROR(__xludf.DUMMYFUNCTION("""COMPUTED_VALUE"""),"")</f>
        <v/>
      </c>
      <c r="N5817" s="6" t="str">
        <f>IFERROR(__xludf.DUMMYFUNCTION("""COMPUTED_VALUE"""),"")</f>
        <v/>
      </c>
      <c r="O5817" s="87" t="str">
        <f>IFERROR(__xludf.DUMMYFUNCTION("""COMPUTED_VALUE"""),"https://drive.google.com/drive/folders/10T2cTQHqEJZqE-st6uFKPoI?usp=share_link")</f>
        <v>https://drive.google.com/drive/folders/10T2cTQHqEJZqE-st6uFKPoI?usp=share_link</v>
      </c>
      <c r="P5817" s="6" t="str">
        <f>IFERROR(__xludf.DUMMYFUNCTION("""COMPUTED_VALUE"""),"Amberly Wayne")</f>
        <v>Amberly Wayne</v>
      </c>
      <c r="Q5817" s="6" t="str">
        <f>IFERROR(__xludf.DUMMYFUNCTION("""COMPUTED_VALUE"""),"MS")</f>
        <v>MS</v>
      </c>
      <c r="R5817" s="6">
        <f>IFERROR(__xludf.DUMMYFUNCTION("""COMPUTED_VALUE"""),0.0)</f>
        <v>0</v>
      </c>
      <c r="S5817" s="6" t="str">
        <f>IFERROR(__xludf.DUMMYFUNCTION("""COMPUTED_VALUE"""),"Kimberly Ball")</f>
        <v>Kimberly Ball</v>
      </c>
      <c r="T5817" s="6" t="str">
        <f>IFERROR(__xludf.DUMMYFUNCTION("""COMPUTED_VALUE"""),"kimberly.ball@studient.com")</f>
        <v>kimberly.ball@studient.com</v>
      </c>
      <c r="U5817" s="6" t="str">
        <f>IFERROR(__xludf.DUMMYFUNCTION("""COMPUTED_VALUE"""),"6")</f>
        <v>6</v>
      </c>
      <c r="V5817" s="6" t="str">
        <f>IFERROR(__xludf.DUMMYFUNCTION("""COMPUTED_VALUE"""),"")</f>
        <v/>
      </c>
      <c r="W5817" s="6" t="str">
        <f>IFERROR(__xludf.DUMMYFUNCTION("""COMPUTED_VALUE"""),"[]")</f>
        <v>[]</v>
      </c>
      <c r="X5817" s="6" t="str">
        <f>IFERROR(__xludf.DUMMYFUNCTION("""COMPUTED_VALUE"""),"Enrolled")</f>
        <v>Enrolled</v>
      </c>
    </row>
    <row r="5818">
      <c r="A5818" s="6" t="str">
        <f>IFERROR(__xludf.DUMMYFUNCTION("""COMPUTED_VALUE"""),"087-12415")</f>
        <v>087-12415</v>
      </c>
      <c r="B5818" s="6" t="str">
        <f>IFERROR(__xludf.DUMMYFUNCTION("""COMPUTED_VALUE"""),"87")</f>
        <v>87</v>
      </c>
      <c r="C5818" s="6" t="str">
        <f>IFERROR(__xludf.DUMMYFUNCTION("""COMPUTED_VALUE"""),"12415")</f>
        <v>12415</v>
      </c>
      <c r="D5818" s="6" t="str">
        <f>IFERROR(__xludf.DUMMYFUNCTION("""COMPUTED_VALUE"""),"Nathaniel")</f>
        <v>Nathaniel</v>
      </c>
      <c r="E5818" s="6" t="str">
        <f>IFERROR(__xludf.DUMMYFUNCTION("""COMPUTED_VALUE"""),"")</f>
        <v/>
      </c>
      <c r="F5818" s="6" t="str">
        <f>IFERROR(__xludf.DUMMYFUNCTION("""COMPUTED_VALUE"""),"Weaver")</f>
        <v>Weaver</v>
      </c>
      <c r="G5818" s="6" t="str">
        <f>IFERROR(__xludf.DUMMYFUNCTION("""COMPUTED_VALUE"""),"05/03/2012")</f>
        <v>05/03/2012</v>
      </c>
      <c r="H5818" s="6" t="str">
        <f>IFERROR(__xludf.DUMMYFUNCTION("""COMPUTED_VALUE"""),"male")</f>
        <v>male</v>
      </c>
      <c r="I5818" s="6" t="str">
        <f>IFERROR(__xludf.DUMMYFUNCTION("""COMPUTED_VALUE"""),"Middle School")</f>
        <v>Middle School</v>
      </c>
      <c r="J5818" s="6" t="str">
        <f>IFERROR(__xludf.DUMMYFUNCTION("""COMPUTED_VALUE"""),"8")</f>
        <v>8</v>
      </c>
      <c r="K5818" s="6" t="str">
        <f>IFERROR(__xludf.DUMMYFUNCTION("""COMPUTED_VALUE"""),"nathaniel.weaver@2hourlearning.com")</f>
        <v>nathaniel.weaver@2hourlearning.com</v>
      </c>
      <c r="L5818" s="6" t="str">
        <f>IFERROR(__xludf.DUMMYFUNCTION("""COMPUTED_VALUE"""),"JRHS - Ridgeland Secondary Academy of Excellence")</f>
        <v>JRHS - Ridgeland Secondary Academy of Excellence</v>
      </c>
      <c r="M5818" s="6" t="str">
        <f>IFERROR(__xludf.DUMMYFUNCTION("""COMPUTED_VALUE"""),"")</f>
        <v/>
      </c>
      <c r="N5818" s="6" t="str">
        <f>IFERROR(__xludf.DUMMYFUNCTION("""COMPUTED_VALUE"""),"")</f>
        <v/>
      </c>
      <c r="O5818" s="87" t="str">
        <f>IFERROR(__xludf.DUMMYFUNCTION("""COMPUTED_VALUE"""),"https://drive.google.com/drive/folders/10T2cTQHqEJZqE-st6uFKPoI?usp=share_link")</f>
        <v>https://drive.google.com/drive/folders/10T2cTQHqEJZqE-st6uFKPoI?usp=share_link</v>
      </c>
      <c r="P5818" s="6" t="str">
        <f>IFERROR(__xludf.DUMMYFUNCTION("""COMPUTED_VALUE"""),"Nathaniel Weaver")</f>
        <v>Nathaniel Weaver</v>
      </c>
      <c r="Q5818" s="6" t="str">
        <f>IFERROR(__xludf.DUMMYFUNCTION("""COMPUTED_VALUE"""),"MS")</f>
        <v>MS</v>
      </c>
      <c r="R5818" s="6">
        <f>IFERROR(__xludf.DUMMYFUNCTION("""COMPUTED_VALUE"""),0.0)</f>
        <v>0</v>
      </c>
      <c r="S5818" s="6" t="str">
        <f>IFERROR(__xludf.DUMMYFUNCTION("""COMPUTED_VALUE"""),"Kimberly Ball")</f>
        <v>Kimberly Ball</v>
      </c>
      <c r="T5818" s="6" t="str">
        <f>IFERROR(__xludf.DUMMYFUNCTION("""COMPUTED_VALUE"""),"kimberly.ball@studient.com")</f>
        <v>kimberly.ball@studient.com</v>
      </c>
      <c r="U5818" s="6" t="str">
        <f>IFERROR(__xludf.DUMMYFUNCTION("""COMPUTED_VALUE"""),"8")</f>
        <v>8</v>
      </c>
      <c r="V5818" s="6" t="str">
        <f>IFERROR(__xludf.DUMMYFUNCTION("""COMPUTED_VALUE"""),"")</f>
        <v/>
      </c>
      <c r="W5818" s="6" t="str">
        <f>IFERROR(__xludf.DUMMYFUNCTION("""COMPUTED_VALUE"""),"[]")</f>
        <v>[]</v>
      </c>
      <c r="X5818" s="6" t="str">
        <f>IFERROR(__xludf.DUMMYFUNCTION("""COMPUTED_VALUE"""),"Enrolled")</f>
        <v>Enrolled</v>
      </c>
    </row>
    <row r="5819">
      <c r="A5819" s="6" t="str">
        <f>IFERROR(__xludf.DUMMYFUNCTION("""COMPUTED_VALUE"""),"087-12416")</f>
        <v>087-12416</v>
      </c>
      <c r="B5819" s="6" t="str">
        <f>IFERROR(__xludf.DUMMYFUNCTION("""COMPUTED_VALUE"""),"87")</f>
        <v>87</v>
      </c>
      <c r="C5819" s="6" t="str">
        <f>IFERROR(__xludf.DUMMYFUNCTION("""COMPUTED_VALUE"""),"12416")</f>
        <v>12416</v>
      </c>
      <c r="D5819" s="6" t="str">
        <f>IFERROR(__xludf.DUMMYFUNCTION("""COMPUTED_VALUE"""),"Bailey")</f>
        <v>Bailey</v>
      </c>
      <c r="E5819" s="6" t="str">
        <f>IFERROR(__xludf.DUMMYFUNCTION("""COMPUTED_VALUE"""),"")</f>
        <v/>
      </c>
      <c r="F5819" s="6" t="str">
        <f>IFERROR(__xludf.DUMMYFUNCTION("""COMPUTED_VALUE"""),"Whitaker")</f>
        <v>Whitaker</v>
      </c>
      <c r="G5819" s="6" t="str">
        <f>IFERROR(__xludf.DUMMYFUNCTION("""COMPUTED_VALUE"""),"08/19/2013")</f>
        <v>08/19/2013</v>
      </c>
      <c r="H5819" s="6" t="str">
        <f>IFERROR(__xludf.DUMMYFUNCTION("""COMPUTED_VALUE"""),"female")</f>
        <v>female</v>
      </c>
      <c r="I5819" s="6" t="str">
        <f>IFERROR(__xludf.DUMMYFUNCTION("""COMPUTED_VALUE"""),"Middle School")</f>
        <v>Middle School</v>
      </c>
      <c r="J5819" s="6" t="str">
        <f>IFERROR(__xludf.DUMMYFUNCTION("""COMPUTED_VALUE"""),"6")</f>
        <v>6</v>
      </c>
      <c r="K5819" s="6" t="str">
        <f>IFERROR(__xludf.DUMMYFUNCTION("""COMPUTED_VALUE"""),"bailey.whitaker@2hourlearning.com")</f>
        <v>bailey.whitaker@2hourlearning.com</v>
      </c>
      <c r="L5819" s="6" t="str">
        <f>IFERROR(__xludf.DUMMYFUNCTION("""COMPUTED_VALUE"""),"JRHS - Ridgeland Secondary Academy of Excellence")</f>
        <v>JRHS - Ridgeland Secondary Academy of Excellence</v>
      </c>
      <c r="M5819" s="6" t="str">
        <f>IFERROR(__xludf.DUMMYFUNCTION("""COMPUTED_VALUE"""),"")</f>
        <v/>
      </c>
      <c r="N5819" s="6" t="str">
        <f>IFERROR(__xludf.DUMMYFUNCTION("""COMPUTED_VALUE"""),"")</f>
        <v/>
      </c>
      <c r="O5819" s="87" t="str">
        <f>IFERROR(__xludf.DUMMYFUNCTION("""COMPUTED_VALUE"""),"https://drive.google.com/drive/folders/10T2cTQHqEJZqE-st6uFKPoI?usp=share_link")</f>
        <v>https://drive.google.com/drive/folders/10T2cTQHqEJZqE-st6uFKPoI?usp=share_link</v>
      </c>
      <c r="P5819" s="6" t="str">
        <f>IFERROR(__xludf.DUMMYFUNCTION("""COMPUTED_VALUE"""),"Bailey Whitaker")</f>
        <v>Bailey Whitaker</v>
      </c>
      <c r="Q5819" s="6" t="str">
        <f>IFERROR(__xludf.DUMMYFUNCTION("""COMPUTED_VALUE"""),"MS")</f>
        <v>MS</v>
      </c>
      <c r="R5819" s="6">
        <f>IFERROR(__xludf.DUMMYFUNCTION("""COMPUTED_VALUE"""),0.0)</f>
        <v>0</v>
      </c>
      <c r="S5819" s="6" t="str">
        <f>IFERROR(__xludf.DUMMYFUNCTION("""COMPUTED_VALUE"""),"Kimberly Ball")</f>
        <v>Kimberly Ball</v>
      </c>
      <c r="T5819" s="6" t="str">
        <f>IFERROR(__xludf.DUMMYFUNCTION("""COMPUTED_VALUE"""),"kimberly.ball@studient.com")</f>
        <v>kimberly.ball@studient.com</v>
      </c>
      <c r="U5819" s="6" t="str">
        <f>IFERROR(__xludf.DUMMYFUNCTION("""COMPUTED_VALUE"""),"6")</f>
        <v>6</v>
      </c>
      <c r="V5819" s="6" t="str">
        <f>IFERROR(__xludf.DUMMYFUNCTION("""COMPUTED_VALUE"""),"")</f>
        <v/>
      </c>
      <c r="W5819" s="6" t="str">
        <f>IFERROR(__xludf.DUMMYFUNCTION("""COMPUTED_VALUE"""),"[]")</f>
        <v>[]</v>
      </c>
      <c r="X5819" s="6" t="str">
        <f>IFERROR(__xludf.DUMMYFUNCTION("""COMPUTED_VALUE"""),"Enrolled")</f>
        <v>Enrolled</v>
      </c>
    </row>
    <row r="5820">
      <c r="A5820" s="6" t="str">
        <f>IFERROR(__xludf.DUMMYFUNCTION("""COMPUTED_VALUE"""),"087-12417")</f>
        <v>087-12417</v>
      </c>
      <c r="B5820" s="6" t="str">
        <f>IFERROR(__xludf.DUMMYFUNCTION("""COMPUTED_VALUE"""),"87")</f>
        <v>87</v>
      </c>
      <c r="C5820" s="6" t="str">
        <f>IFERROR(__xludf.DUMMYFUNCTION("""COMPUTED_VALUE"""),"12417")</f>
        <v>12417</v>
      </c>
      <c r="D5820" s="6" t="str">
        <f>IFERROR(__xludf.DUMMYFUNCTION("""COMPUTED_VALUE"""),"Aalyiah")</f>
        <v>Aalyiah</v>
      </c>
      <c r="E5820" s="6" t="str">
        <f>IFERROR(__xludf.DUMMYFUNCTION("""COMPUTED_VALUE"""),"")</f>
        <v/>
      </c>
      <c r="F5820" s="6" t="str">
        <f>IFERROR(__xludf.DUMMYFUNCTION("""COMPUTED_VALUE"""),"White")</f>
        <v>White</v>
      </c>
      <c r="G5820" s="6" t="str">
        <f>IFERROR(__xludf.DUMMYFUNCTION("""COMPUTED_VALUE"""),"05/07/2014")</f>
        <v>05/07/2014</v>
      </c>
      <c r="H5820" s="6" t="str">
        <f>IFERROR(__xludf.DUMMYFUNCTION("""COMPUTED_VALUE"""),"female")</f>
        <v>female</v>
      </c>
      <c r="I5820" s="6" t="str">
        <f>IFERROR(__xludf.DUMMYFUNCTION("""COMPUTED_VALUE"""),"Middle School")</f>
        <v>Middle School</v>
      </c>
      <c r="J5820" s="6" t="str">
        <f>IFERROR(__xludf.DUMMYFUNCTION("""COMPUTED_VALUE"""),"6")</f>
        <v>6</v>
      </c>
      <c r="K5820" s="6" t="str">
        <f>IFERROR(__xludf.DUMMYFUNCTION("""COMPUTED_VALUE"""),"aalyiah.white@2hourlearning.com")</f>
        <v>aalyiah.white@2hourlearning.com</v>
      </c>
      <c r="L5820" s="6" t="str">
        <f>IFERROR(__xludf.DUMMYFUNCTION("""COMPUTED_VALUE"""),"JRHS - Ridgeland Secondary Academy of Excellence")</f>
        <v>JRHS - Ridgeland Secondary Academy of Excellence</v>
      </c>
      <c r="M5820" s="6" t="str">
        <f>IFERROR(__xludf.DUMMYFUNCTION("""COMPUTED_VALUE"""),"")</f>
        <v/>
      </c>
      <c r="N5820" s="6" t="str">
        <f>IFERROR(__xludf.DUMMYFUNCTION("""COMPUTED_VALUE"""),"")</f>
        <v/>
      </c>
      <c r="O5820" s="87" t="str">
        <f>IFERROR(__xludf.DUMMYFUNCTION("""COMPUTED_VALUE"""),"https://drive.google.com/drive/folders/10T2cTQHqEJZqE-st6uFKPoI?usp=share_link")</f>
        <v>https://drive.google.com/drive/folders/10T2cTQHqEJZqE-st6uFKPoI?usp=share_link</v>
      </c>
      <c r="P5820" s="6" t="str">
        <f>IFERROR(__xludf.DUMMYFUNCTION("""COMPUTED_VALUE"""),"Aalyiah White")</f>
        <v>Aalyiah White</v>
      </c>
      <c r="Q5820" s="6" t="str">
        <f>IFERROR(__xludf.DUMMYFUNCTION("""COMPUTED_VALUE"""),"MS")</f>
        <v>MS</v>
      </c>
      <c r="R5820" s="6">
        <f>IFERROR(__xludf.DUMMYFUNCTION("""COMPUTED_VALUE"""),0.0)</f>
        <v>0</v>
      </c>
      <c r="S5820" s="6" t="str">
        <f>IFERROR(__xludf.DUMMYFUNCTION("""COMPUTED_VALUE"""),"Kimberly Ball")</f>
        <v>Kimberly Ball</v>
      </c>
      <c r="T5820" s="6" t="str">
        <f>IFERROR(__xludf.DUMMYFUNCTION("""COMPUTED_VALUE"""),"kimberly.ball@studient.com")</f>
        <v>kimberly.ball@studient.com</v>
      </c>
      <c r="U5820" s="6" t="str">
        <f>IFERROR(__xludf.DUMMYFUNCTION("""COMPUTED_VALUE"""),"6")</f>
        <v>6</v>
      </c>
      <c r="V5820" s="6" t="str">
        <f>IFERROR(__xludf.DUMMYFUNCTION("""COMPUTED_VALUE"""),"")</f>
        <v/>
      </c>
      <c r="W5820" s="6" t="str">
        <f>IFERROR(__xludf.DUMMYFUNCTION("""COMPUTED_VALUE"""),"[]")</f>
        <v>[]</v>
      </c>
      <c r="X5820" s="6" t="str">
        <f>IFERROR(__xludf.DUMMYFUNCTION("""COMPUTED_VALUE"""),"Enrolled")</f>
        <v>Enrolled</v>
      </c>
    </row>
    <row r="5821">
      <c r="A5821" s="6" t="str">
        <f>IFERROR(__xludf.DUMMYFUNCTION("""COMPUTED_VALUE"""),"087-12418")</f>
        <v>087-12418</v>
      </c>
      <c r="B5821" s="6" t="str">
        <f>IFERROR(__xludf.DUMMYFUNCTION("""COMPUTED_VALUE"""),"87")</f>
        <v>87</v>
      </c>
      <c r="C5821" s="6" t="str">
        <f>IFERROR(__xludf.DUMMYFUNCTION("""COMPUTED_VALUE"""),"12418")</f>
        <v>12418</v>
      </c>
      <c r="D5821" s="6" t="str">
        <f>IFERROR(__xludf.DUMMYFUNCTION("""COMPUTED_VALUE"""),"Symone'")</f>
        <v>Symone'</v>
      </c>
      <c r="E5821" s="6" t="str">
        <f>IFERROR(__xludf.DUMMYFUNCTION("""COMPUTED_VALUE"""),"")</f>
        <v/>
      </c>
      <c r="F5821" s="6" t="str">
        <f>IFERROR(__xludf.DUMMYFUNCTION("""COMPUTED_VALUE"""),"White")</f>
        <v>White</v>
      </c>
      <c r="G5821" s="6" t="str">
        <f>IFERROR(__xludf.DUMMYFUNCTION("""COMPUTED_VALUE"""),"07/06/2013")</f>
        <v>07/06/2013</v>
      </c>
      <c r="H5821" s="6" t="str">
        <f>IFERROR(__xludf.DUMMYFUNCTION("""COMPUTED_VALUE"""),"female")</f>
        <v>female</v>
      </c>
      <c r="I5821" s="6" t="str">
        <f>IFERROR(__xludf.DUMMYFUNCTION("""COMPUTED_VALUE"""),"Middle School")</f>
        <v>Middle School</v>
      </c>
      <c r="J5821" s="6" t="str">
        <f>IFERROR(__xludf.DUMMYFUNCTION("""COMPUTED_VALUE"""),"7")</f>
        <v>7</v>
      </c>
      <c r="K5821" s="6" t="str">
        <f>IFERROR(__xludf.DUMMYFUNCTION("""COMPUTED_VALUE"""),"symone.white@2hourlearning.com")</f>
        <v>symone.white@2hourlearning.com</v>
      </c>
      <c r="L5821" s="6" t="str">
        <f>IFERROR(__xludf.DUMMYFUNCTION("""COMPUTED_VALUE"""),"JRHS - Ridgeland Secondary Academy of Excellence")</f>
        <v>JRHS - Ridgeland Secondary Academy of Excellence</v>
      </c>
      <c r="M5821" s="6" t="str">
        <f>IFERROR(__xludf.DUMMYFUNCTION("""COMPUTED_VALUE"""),"")</f>
        <v/>
      </c>
      <c r="N5821" s="6" t="str">
        <f>IFERROR(__xludf.DUMMYFUNCTION("""COMPUTED_VALUE"""),"")</f>
        <v/>
      </c>
      <c r="O5821" s="87" t="str">
        <f>IFERROR(__xludf.DUMMYFUNCTION("""COMPUTED_VALUE"""),"https://drive.google.com/drive/folders/10T2cTQHqEJZqE-st6uFKPoI?usp=share_link")</f>
        <v>https://drive.google.com/drive/folders/10T2cTQHqEJZqE-st6uFKPoI?usp=share_link</v>
      </c>
      <c r="P5821" s="6" t="str">
        <f>IFERROR(__xludf.DUMMYFUNCTION("""COMPUTED_VALUE"""),"Symone' White")</f>
        <v>Symone' White</v>
      </c>
      <c r="Q5821" s="6" t="str">
        <f>IFERROR(__xludf.DUMMYFUNCTION("""COMPUTED_VALUE"""),"MS")</f>
        <v>MS</v>
      </c>
      <c r="R5821" s="6">
        <f>IFERROR(__xludf.DUMMYFUNCTION("""COMPUTED_VALUE"""),0.0)</f>
        <v>0</v>
      </c>
      <c r="S5821" s="6" t="str">
        <f>IFERROR(__xludf.DUMMYFUNCTION("""COMPUTED_VALUE"""),"Kimberly Ball")</f>
        <v>Kimberly Ball</v>
      </c>
      <c r="T5821" s="6" t="str">
        <f>IFERROR(__xludf.DUMMYFUNCTION("""COMPUTED_VALUE"""),"kimberly.ball@studient.com")</f>
        <v>kimberly.ball@studient.com</v>
      </c>
      <c r="U5821" s="6" t="str">
        <f>IFERROR(__xludf.DUMMYFUNCTION("""COMPUTED_VALUE"""),"7")</f>
        <v>7</v>
      </c>
      <c r="V5821" s="6" t="str">
        <f>IFERROR(__xludf.DUMMYFUNCTION("""COMPUTED_VALUE"""),"")</f>
        <v/>
      </c>
      <c r="W5821" s="6" t="str">
        <f>IFERROR(__xludf.DUMMYFUNCTION("""COMPUTED_VALUE"""),"[]")</f>
        <v>[]</v>
      </c>
      <c r="X5821" s="6" t="str">
        <f>IFERROR(__xludf.DUMMYFUNCTION("""COMPUTED_VALUE"""),"Enrolled")</f>
        <v>Enrolled</v>
      </c>
    </row>
    <row r="5822">
      <c r="A5822" s="6" t="str">
        <f>IFERROR(__xludf.DUMMYFUNCTION("""COMPUTED_VALUE"""),"087-12419")</f>
        <v>087-12419</v>
      </c>
      <c r="B5822" s="6" t="str">
        <f>IFERROR(__xludf.DUMMYFUNCTION("""COMPUTED_VALUE"""),"87")</f>
        <v>87</v>
      </c>
      <c r="C5822" s="6" t="str">
        <f>IFERROR(__xludf.DUMMYFUNCTION("""COMPUTED_VALUE"""),"12419")</f>
        <v>12419</v>
      </c>
      <c r="D5822" s="6" t="str">
        <f>IFERROR(__xludf.DUMMYFUNCTION("""COMPUTED_VALUE"""),"Elijah")</f>
        <v>Elijah</v>
      </c>
      <c r="E5822" s="6" t="str">
        <f>IFERROR(__xludf.DUMMYFUNCTION("""COMPUTED_VALUE"""),"")</f>
        <v/>
      </c>
      <c r="F5822" s="6" t="str">
        <f>IFERROR(__xludf.DUMMYFUNCTION("""COMPUTED_VALUE"""),"Whitlock")</f>
        <v>Whitlock</v>
      </c>
      <c r="G5822" s="6" t="str">
        <f>IFERROR(__xludf.DUMMYFUNCTION("""COMPUTED_VALUE"""),"04/29/2012")</f>
        <v>04/29/2012</v>
      </c>
      <c r="H5822" s="6" t="str">
        <f>IFERROR(__xludf.DUMMYFUNCTION("""COMPUTED_VALUE"""),"male")</f>
        <v>male</v>
      </c>
      <c r="I5822" s="6" t="str">
        <f>IFERROR(__xludf.DUMMYFUNCTION("""COMPUTED_VALUE"""),"Middle School")</f>
        <v>Middle School</v>
      </c>
      <c r="J5822" s="6" t="str">
        <f>IFERROR(__xludf.DUMMYFUNCTION("""COMPUTED_VALUE"""),"7")</f>
        <v>7</v>
      </c>
      <c r="K5822" s="6" t="str">
        <f>IFERROR(__xludf.DUMMYFUNCTION("""COMPUTED_VALUE"""),"elijah.whitlock@2hourlearning.com")</f>
        <v>elijah.whitlock@2hourlearning.com</v>
      </c>
      <c r="L5822" s="6" t="str">
        <f>IFERROR(__xludf.DUMMYFUNCTION("""COMPUTED_VALUE"""),"JRHS - Ridgeland Secondary Academy of Excellence")</f>
        <v>JRHS - Ridgeland Secondary Academy of Excellence</v>
      </c>
      <c r="M5822" s="6" t="str">
        <f>IFERROR(__xludf.DUMMYFUNCTION("""COMPUTED_VALUE"""),"")</f>
        <v/>
      </c>
      <c r="N5822" s="6" t="str">
        <f>IFERROR(__xludf.DUMMYFUNCTION("""COMPUTED_VALUE"""),"")</f>
        <v/>
      </c>
      <c r="O5822" s="87" t="str">
        <f>IFERROR(__xludf.DUMMYFUNCTION("""COMPUTED_VALUE"""),"https://drive.google.com/drive/folders/10T2cTQHqEJZqE-st6uFKPoI?usp=share_link")</f>
        <v>https://drive.google.com/drive/folders/10T2cTQHqEJZqE-st6uFKPoI?usp=share_link</v>
      </c>
      <c r="P5822" s="6" t="str">
        <f>IFERROR(__xludf.DUMMYFUNCTION("""COMPUTED_VALUE"""),"Elijah Whitlock")</f>
        <v>Elijah Whitlock</v>
      </c>
      <c r="Q5822" s="6" t="str">
        <f>IFERROR(__xludf.DUMMYFUNCTION("""COMPUTED_VALUE"""),"MS")</f>
        <v>MS</v>
      </c>
      <c r="R5822" s="6">
        <f>IFERROR(__xludf.DUMMYFUNCTION("""COMPUTED_VALUE"""),0.0)</f>
        <v>0</v>
      </c>
      <c r="S5822" s="6" t="str">
        <f>IFERROR(__xludf.DUMMYFUNCTION("""COMPUTED_VALUE"""),"Kimberly Ball")</f>
        <v>Kimberly Ball</v>
      </c>
      <c r="T5822" s="6" t="str">
        <f>IFERROR(__xludf.DUMMYFUNCTION("""COMPUTED_VALUE"""),"kimberly.ball@studient.com")</f>
        <v>kimberly.ball@studient.com</v>
      </c>
      <c r="U5822" s="6" t="str">
        <f>IFERROR(__xludf.DUMMYFUNCTION("""COMPUTED_VALUE"""),"7")</f>
        <v>7</v>
      </c>
      <c r="V5822" s="6" t="str">
        <f>IFERROR(__xludf.DUMMYFUNCTION("""COMPUTED_VALUE"""),"")</f>
        <v/>
      </c>
      <c r="W5822" s="6" t="str">
        <f>IFERROR(__xludf.DUMMYFUNCTION("""COMPUTED_VALUE"""),"[]")</f>
        <v>[]</v>
      </c>
      <c r="X5822" s="6" t="str">
        <f>IFERROR(__xludf.DUMMYFUNCTION("""COMPUTED_VALUE"""),"Enrolled")</f>
        <v>Enrolled</v>
      </c>
    </row>
    <row r="5823">
      <c r="A5823" s="6" t="str">
        <f>IFERROR(__xludf.DUMMYFUNCTION("""COMPUTED_VALUE"""),"087-12420")</f>
        <v>087-12420</v>
      </c>
      <c r="B5823" s="6" t="str">
        <f>IFERROR(__xludf.DUMMYFUNCTION("""COMPUTED_VALUE"""),"87")</f>
        <v>87</v>
      </c>
      <c r="C5823" s="6" t="str">
        <f>IFERROR(__xludf.DUMMYFUNCTION("""COMPUTED_VALUE"""),"12420")</f>
        <v>12420</v>
      </c>
      <c r="D5823" s="6" t="str">
        <f>IFERROR(__xludf.DUMMYFUNCTION("""COMPUTED_VALUE"""),"Ajah")</f>
        <v>Ajah</v>
      </c>
      <c r="E5823" s="6" t="str">
        <f>IFERROR(__xludf.DUMMYFUNCTION("""COMPUTED_VALUE"""),"")</f>
        <v/>
      </c>
      <c r="F5823" s="6" t="str">
        <f>IFERROR(__xludf.DUMMYFUNCTION("""COMPUTED_VALUE"""),"Wiggins")</f>
        <v>Wiggins</v>
      </c>
      <c r="G5823" s="6" t="str">
        <f>IFERROR(__xludf.DUMMYFUNCTION("""COMPUTED_VALUE"""),"01/14/2014")</f>
        <v>01/14/2014</v>
      </c>
      <c r="H5823" s="6" t="str">
        <f>IFERROR(__xludf.DUMMYFUNCTION("""COMPUTED_VALUE"""),"female")</f>
        <v>female</v>
      </c>
      <c r="I5823" s="6" t="str">
        <f>IFERROR(__xludf.DUMMYFUNCTION("""COMPUTED_VALUE"""),"Middle School")</f>
        <v>Middle School</v>
      </c>
      <c r="J5823" s="6" t="str">
        <f>IFERROR(__xludf.DUMMYFUNCTION("""COMPUTED_VALUE"""),"6")</f>
        <v>6</v>
      </c>
      <c r="K5823" s="6" t="str">
        <f>IFERROR(__xludf.DUMMYFUNCTION("""COMPUTED_VALUE"""),"ajah.wiggins@2hourlearning.com")</f>
        <v>ajah.wiggins@2hourlearning.com</v>
      </c>
      <c r="L5823" s="6" t="str">
        <f>IFERROR(__xludf.DUMMYFUNCTION("""COMPUTED_VALUE"""),"JRHS - Ridgeland Secondary Academy of Excellence")</f>
        <v>JRHS - Ridgeland Secondary Academy of Excellence</v>
      </c>
      <c r="M5823" s="6" t="str">
        <f>IFERROR(__xludf.DUMMYFUNCTION("""COMPUTED_VALUE"""),"")</f>
        <v/>
      </c>
      <c r="N5823" s="6" t="str">
        <f>IFERROR(__xludf.DUMMYFUNCTION("""COMPUTED_VALUE"""),"")</f>
        <v/>
      </c>
      <c r="O5823" s="87" t="str">
        <f>IFERROR(__xludf.DUMMYFUNCTION("""COMPUTED_VALUE"""),"https://drive.google.com/drive/folders/10T2cTQHqEJZqE-st6uFKPoI?usp=share_link")</f>
        <v>https://drive.google.com/drive/folders/10T2cTQHqEJZqE-st6uFKPoI?usp=share_link</v>
      </c>
      <c r="P5823" s="6" t="str">
        <f>IFERROR(__xludf.DUMMYFUNCTION("""COMPUTED_VALUE"""),"Ajah Wiggins")</f>
        <v>Ajah Wiggins</v>
      </c>
      <c r="Q5823" s="6" t="str">
        <f>IFERROR(__xludf.DUMMYFUNCTION("""COMPUTED_VALUE"""),"MS")</f>
        <v>MS</v>
      </c>
      <c r="R5823" s="6">
        <f>IFERROR(__xludf.DUMMYFUNCTION("""COMPUTED_VALUE"""),0.0)</f>
        <v>0</v>
      </c>
      <c r="S5823" s="6" t="str">
        <f>IFERROR(__xludf.DUMMYFUNCTION("""COMPUTED_VALUE"""),"Kimberly Ball")</f>
        <v>Kimberly Ball</v>
      </c>
      <c r="T5823" s="6" t="str">
        <f>IFERROR(__xludf.DUMMYFUNCTION("""COMPUTED_VALUE"""),"kimberly.ball@studient.com")</f>
        <v>kimberly.ball@studient.com</v>
      </c>
      <c r="U5823" s="6" t="str">
        <f>IFERROR(__xludf.DUMMYFUNCTION("""COMPUTED_VALUE"""),"6")</f>
        <v>6</v>
      </c>
      <c r="V5823" s="6" t="str">
        <f>IFERROR(__xludf.DUMMYFUNCTION("""COMPUTED_VALUE"""),"")</f>
        <v/>
      </c>
      <c r="W5823" s="6" t="str">
        <f>IFERROR(__xludf.DUMMYFUNCTION("""COMPUTED_VALUE"""),"[]")</f>
        <v>[]</v>
      </c>
      <c r="X5823" s="6" t="str">
        <f>IFERROR(__xludf.DUMMYFUNCTION("""COMPUTED_VALUE"""),"Enrolled")</f>
        <v>Enrolled</v>
      </c>
    </row>
    <row r="5824">
      <c r="A5824" s="6" t="str">
        <f>IFERROR(__xludf.DUMMYFUNCTION("""COMPUTED_VALUE"""),"087-12421")</f>
        <v>087-12421</v>
      </c>
      <c r="B5824" s="6" t="str">
        <f>IFERROR(__xludf.DUMMYFUNCTION("""COMPUTED_VALUE"""),"87")</f>
        <v>87</v>
      </c>
      <c r="C5824" s="6" t="str">
        <f>IFERROR(__xludf.DUMMYFUNCTION("""COMPUTED_VALUE"""),"12421")</f>
        <v>12421</v>
      </c>
      <c r="D5824" s="6" t="str">
        <f>IFERROR(__xludf.DUMMYFUNCTION("""COMPUTED_VALUE"""),"Faith")</f>
        <v>Faith</v>
      </c>
      <c r="E5824" s="6" t="str">
        <f>IFERROR(__xludf.DUMMYFUNCTION("""COMPUTED_VALUE"""),"")</f>
        <v/>
      </c>
      <c r="F5824" s="6" t="str">
        <f>IFERROR(__xludf.DUMMYFUNCTION("""COMPUTED_VALUE"""),"Williams")</f>
        <v>Williams</v>
      </c>
      <c r="G5824" s="6" t="str">
        <f>IFERROR(__xludf.DUMMYFUNCTION("""COMPUTED_VALUE"""),"09/24/2012")</f>
        <v>09/24/2012</v>
      </c>
      <c r="H5824" s="6" t="str">
        <f>IFERROR(__xludf.DUMMYFUNCTION("""COMPUTED_VALUE"""),"female")</f>
        <v>female</v>
      </c>
      <c r="I5824" s="6" t="str">
        <f>IFERROR(__xludf.DUMMYFUNCTION("""COMPUTED_VALUE"""),"Middle School")</f>
        <v>Middle School</v>
      </c>
      <c r="J5824" s="6" t="str">
        <f>IFERROR(__xludf.DUMMYFUNCTION("""COMPUTED_VALUE"""),"7")</f>
        <v>7</v>
      </c>
      <c r="K5824" s="6" t="str">
        <f>IFERROR(__xludf.DUMMYFUNCTION("""COMPUTED_VALUE"""),"faith.williams@2hourlearning.com")</f>
        <v>faith.williams@2hourlearning.com</v>
      </c>
      <c r="L5824" s="6" t="str">
        <f>IFERROR(__xludf.DUMMYFUNCTION("""COMPUTED_VALUE"""),"JRHS - Ridgeland Secondary Academy of Excellence")</f>
        <v>JRHS - Ridgeland Secondary Academy of Excellence</v>
      </c>
      <c r="M5824" s="6" t="str">
        <f>IFERROR(__xludf.DUMMYFUNCTION("""COMPUTED_VALUE"""),"")</f>
        <v/>
      </c>
      <c r="N5824" s="6" t="str">
        <f>IFERROR(__xludf.DUMMYFUNCTION("""COMPUTED_VALUE"""),"")</f>
        <v/>
      </c>
      <c r="O5824" s="87" t="str">
        <f>IFERROR(__xludf.DUMMYFUNCTION("""COMPUTED_VALUE"""),"https://drive.google.com/drive/folders/10T2cTQHqEJZqE-st6uFKPoI?usp=share_link")</f>
        <v>https://drive.google.com/drive/folders/10T2cTQHqEJZqE-st6uFKPoI?usp=share_link</v>
      </c>
      <c r="P5824" s="6" t="str">
        <f>IFERROR(__xludf.DUMMYFUNCTION("""COMPUTED_VALUE"""),"Faith Williams")</f>
        <v>Faith Williams</v>
      </c>
      <c r="Q5824" s="6" t="str">
        <f>IFERROR(__xludf.DUMMYFUNCTION("""COMPUTED_VALUE"""),"MS")</f>
        <v>MS</v>
      </c>
      <c r="R5824" s="6">
        <f>IFERROR(__xludf.DUMMYFUNCTION("""COMPUTED_VALUE"""),0.0)</f>
        <v>0</v>
      </c>
      <c r="S5824" s="6" t="str">
        <f>IFERROR(__xludf.DUMMYFUNCTION("""COMPUTED_VALUE"""),"Kimberly Ball")</f>
        <v>Kimberly Ball</v>
      </c>
      <c r="T5824" s="6" t="str">
        <f>IFERROR(__xludf.DUMMYFUNCTION("""COMPUTED_VALUE"""),"kimberly.ball@studient.com")</f>
        <v>kimberly.ball@studient.com</v>
      </c>
      <c r="U5824" s="6" t="str">
        <f>IFERROR(__xludf.DUMMYFUNCTION("""COMPUTED_VALUE"""),"7")</f>
        <v>7</v>
      </c>
      <c r="V5824" s="6" t="str">
        <f>IFERROR(__xludf.DUMMYFUNCTION("""COMPUTED_VALUE"""),"")</f>
        <v/>
      </c>
      <c r="W5824" s="6" t="str">
        <f>IFERROR(__xludf.DUMMYFUNCTION("""COMPUTED_VALUE"""),"[]")</f>
        <v>[]</v>
      </c>
      <c r="X5824" s="6" t="str">
        <f>IFERROR(__xludf.DUMMYFUNCTION("""COMPUTED_VALUE"""),"Enrolled")</f>
        <v>Enrolled</v>
      </c>
    </row>
    <row r="5825">
      <c r="A5825" s="6" t="str">
        <f>IFERROR(__xludf.DUMMYFUNCTION("""COMPUTED_VALUE"""),"087-12422")</f>
        <v>087-12422</v>
      </c>
      <c r="B5825" s="6" t="str">
        <f>IFERROR(__xludf.DUMMYFUNCTION("""COMPUTED_VALUE"""),"87")</f>
        <v>87</v>
      </c>
      <c r="C5825" s="6" t="str">
        <f>IFERROR(__xludf.DUMMYFUNCTION("""COMPUTED_VALUE"""),"12422")</f>
        <v>12422</v>
      </c>
      <c r="D5825" s="6" t="str">
        <f>IFERROR(__xludf.DUMMYFUNCTION("""COMPUTED_VALUE"""),"Hunter")</f>
        <v>Hunter</v>
      </c>
      <c r="E5825" s="6" t="str">
        <f>IFERROR(__xludf.DUMMYFUNCTION("""COMPUTED_VALUE"""),"")</f>
        <v/>
      </c>
      <c r="F5825" s="6" t="str">
        <f>IFERROR(__xludf.DUMMYFUNCTION("""COMPUTED_VALUE"""),"Williams")</f>
        <v>Williams</v>
      </c>
      <c r="G5825" s="6" t="str">
        <f>IFERROR(__xludf.DUMMYFUNCTION("""COMPUTED_VALUE"""),"07/11/2013")</f>
        <v>07/11/2013</v>
      </c>
      <c r="H5825" s="6" t="str">
        <f>IFERROR(__xludf.DUMMYFUNCTION("""COMPUTED_VALUE"""),"male")</f>
        <v>male</v>
      </c>
      <c r="I5825" s="6" t="str">
        <f>IFERROR(__xludf.DUMMYFUNCTION("""COMPUTED_VALUE"""),"Middle School")</f>
        <v>Middle School</v>
      </c>
      <c r="J5825" s="6" t="str">
        <f>IFERROR(__xludf.DUMMYFUNCTION("""COMPUTED_VALUE"""),"7")</f>
        <v>7</v>
      </c>
      <c r="K5825" s="6" t="str">
        <f>IFERROR(__xludf.DUMMYFUNCTION("""COMPUTED_VALUE"""),"hunter.williams@2hourlearning.com")</f>
        <v>hunter.williams@2hourlearning.com</v>
      </c>
      <c r="L5825" s="6" t="str">
        <f>IFERROR(__xludf.DUMMYFUNCTION("""COMPUTED_VALUE"""),"JRHS - Ridgeland Secondary Academy of Excellence")</f>
        <v>JRHS - Ridgeland Secondary Academy of Excellence</v>
      </c>
      <c r="M5825" s="6" t="str">
        <f>IFERROR(__xludf.DUMMYFUNCTION("""COMPUTED_VALUE"""),"")</f>
        <v/>
      </c>
      <c r="N5825" s="6" t="str">
        <f>IFERROR(__xludf.DUMMYFUNCTION("""COMPUTED_VALUE"""),"")</f>
        <v/>
      </c>
      <c r="O5825" s="87" t="str">
        <f>IFERROR(__xludf.DUMMYFUNCTION("""COMPUTED_VALUE"""),"https://drive.google.com/drive/folders/10T2cTQHqEJZqE-st6uFKPoI?usp=share_link")</f>
        <v>https://drive.google.com/drive/folders/10T2cTQHqEJZqE-st6uFKPoI?usp=share_link</v>
      </c>
      <c r="P5825" s="6" t="str">
        <f>IFERROR(__xludf.DUMMYFUNCTION("""COMPUTED_VALUE"""),"Hunter Williams")</f>
        <v>Hunter Williams</v>
      </c>
      <c r="Q5825" s="6" t="str">
        <f>IFERROR(__xludf.DUMMYFUNCTION("""COMPUTED_VALUE"""),"MS")</f>
        <v>MS</v>
      </c>
      <c r="R5825" s="6">
        <f>IFERROR(__xludf.DUMMYFUNCTION("""COMPUTED_VALUE"""),0.0)</f>
        <v>0</v>
      </c>
      <c r="S5825" s="6" t="str">
        <f>IFERROR(__xludf.DUMMYFUNCTION("""COMPUTED_VALUE"""),"Kimberly Ball")</f>
        <v>Kimberly Ball</v>
      </c>
      <c r="T5825" s="6" t="str">
        <f>IFERROR(__xludf.DUMMYFUNCTION("""COMPUTED_VALUE"""),"kimberly.ball@studient.com")</f>
        <v>kimberly.ball@studient.com</v>
      </c>
      <c r="U5825" s="6" t="str">
        <f>IFERROR(__xludf.DUMMYFUNCTION("""COMPUTED_VALUE"""),"7")</f>
        <v>7</v>
      </c>
      <c r="V5825" s="6" t="str">
        <f>IFERROR(__xludf.DUMMYFUNCTION("""COMPUTED_VALUE"""),"")</f>
        <v/>
      </c>
      <c r="W5825" s="6" t="str">
        <f>IFERROR(__xludf.DUMMYFUNCTION("""COMPUTED_VALUE"""),"[]")</f>
        <v>[]</v>
      </c>
      <c r="X5825" s="6" t="str">
        <f>IFERROR(__xludf.DUMMYFUNCTION("""COMPUTED_VALUE"""),"Enrolled")</f>
        <v>Enrolled</v>
      </c>
    </row>
    <row r="5826">
      <c r="A5826" s="6" t="str">
        <f>IFERROR(__xludf.DUMMYFUNCTION("""COMPUTED_VALUE"""),"087-12423")</f>
        <v>087-12423</v>
      </c>
      <c r="B5826" s="6" t="str">
        <f>IFERROR(__xludf.DUMMYFUNCTION("""COMPUTED_VALUE"""),"87")</f>
        <v>87</v>
      </c>
      <c r="C5826" s="6" t="str">
        <f>IFERROR(__xludf.DUMMYFUNCTION("""COMPUTED_VALUE"""),"12423")</f>
        <v>12423</v>
      </c>
      <c r="D5826" s="6" t="str">
        <f>IFERROR(__xludf.DUMMYFUNCTION("""COMPUTED_VALUE"""),"Isabella")</f>
        <v>Isabella</v>
      </c>
      <c r="E5826" s="6" t="str">
        <f>IFERROR(__xludf.DUMMYFUNCTION("""COMPUTED_VALUE"""),"")</f>
        <v/>
      </c>
      <c r="F5826" s="6" t="str">
        <f>IFERROR(__xludf.DUMMYFUNCTION("""COMPUTED_VALUE"""),"Williams")</f>
        <v>Williams</v>
      </c>
      <c r="G5826" s="6" t="str">
        <f>IFERROR(__xludf.DUMMYFUNCTION("""COMPUTED_VALUE"""),"03/06/2014")</f>
        <v>03/06/2014</v>
      </c>
      <c r="H5826" s="6" t="str">
        <f>IFERROR(__xludf.DUMMYFUNCTION("""COMPUTED_VALUE"""),"female")</f>
        <v>female</v>
      </c>
      <c r="I5826" s="6" t="str">
        <f>IFERROR(__xludf.DUMMYFUNCTION("""COMPUTED_VALUE"""),"Middle School")</f>
        <v>Middle School</v>
      </c>
      <c r="J5826" s="6" t="str">
        <f>IFERROR(__xludf.DUMMYFUNCTION("""COMPUTED_VALUE"""),"6")</f>
        <v>6</v>
      </c>
      <c r="K5826" s="6" t="str">
        <f>IFERROR(__xludf.DUMMYFUNCTION("""COMPUTED_VALUE"""),"isabella.williams@2hourlearning.com")</f>
        <v>isabella.williams@2hourlearning.com</v>
      </c>
      <c r="L5826" s="6" t="str">
        <f>IFERROR(__xludf.DUMMYFUNCTION("""COMPUTED_VALUE"""),"JRHS - Ridgeland Secondary Academy of Excellence")</f>
        <v>JRHS - Ridgeland Secondary Academy of Excellence</v>
      </c>
      <c r="M5826" s="6" t="str">
        <f>IFERROR(__xludf.DUMMYFUNCTION("""COMPUTED_VALUE"""),"")</f>
        <v/>
      </c>
      <c r="N5826" s="6" t="str">
        <f>IFERROR(__xludf.DUMMYFUNCTION("""COMPUTED_VALUE"""),"")</f>
        <v/>
      </c>
      <c r="O5826" s="87" t="str">
        <f>IFERROR(__xludf.DUMMYFUNCTION("""COMPUTED_VALUE"""),"https://drive.google.com/drive/folders/10T2cTQHqEJZqE-st6uFKPoI?usp=share_link")</f>
        <v>https://drive.google.com/drive/folders/10T2cTQHqEJZqE-st6uFKPoI?usp=share_link</v>
      </c>
      <c r="P5826" s="6" t="str">
        <f>IFERROR(__xludf.DUMMYFUNCTION("""COMPUTED_VALUE"""),"Isabella Williams")</f>
        <v>Isabella Williams</v>
      </c>
      <c r="Q5826" s="6" t="str">
        <f>IFERROR(__xludf.DUMMYFUNCTION("""COMPUTED_VALUE"""),"MS")</f>
        <v>MS</v>
      </c>
      <c r="R5826" s="6">
        <f>IFERROR(__xludf.DUMMYFUNCTION("""COMPUTED_VALUE"""),0.0)</f>
        <v>0</v>
      </c>
      <c r="S5826" s="6" t="str">
        <f>IFERROR(__xludf.DUMMYFUNCTION("""COMPUTED_VALUE"""),"Kimberly Ball")</f>
        <v>Kimberly Ball</v>
      </c>
      <c r="T5826" s="6" t="str">
        <f>IFERROR(__xludf.DUMMYFUNCTION("""COMPUTED_VALUE"""),"kimberly.ball@studient.com")</f>
        <v>kimberly.ball@studient.com</v>
      </c>
      <c r="U5826" s="6" t="str">
        <f>IFERROR(__xludf.DUMMYFUNCTION("""COMPUTED_VALUE"""),"6")</f>
        <v>6</v>
      </c>
      <c r="V5826" s="6" t="str">
        <f>IFERROR(__xludf.DUMMYFUNCTION("""COMPUTED_VALUE"""),"")</f>
        <v/>
      </c>
      <c r="W5826" s="6" t="str">
        <f>IFERROR(__xludf.DUMMYFUNCTION("""COMPUTED_VALUE"""),"[]")</f>
        <v>[]</v>
      </c>
      <c r="X5826" s="6" t="str">
        <f>IFERROR(__xludf.DUMMYFUNCTION("""COMPUTED_VALUE"""),"Enrolled")</f>
        <v>Enrolled</v>
      </c>
    </row>
    <row r="5827">
      <c r="A5827" s="6" t="str">
        <f>IFERROR(__xludf.DUMMYFUNCTION("""COMPUTED_VALUE"""),"087-12424")</f>
        <v>087-12424</v>
      </c>
      <c r="B5827" s="6" t="str">
        <f>IFERROR(__xludf.DUMMYFUNCTION("""COMPUTED_VALUE"""),"87")</f>
        <v>87</v>
      </c>
      <c r="C5827" s="6" t="str">
        <f>IFERROR(__xludf.DUMMYFUNCTION("""COMPUTED_VALUE"""),"12424")</f>
        <v>12424</v>
      </c>
      <c r="D5827" s="6" t="str">
        <f>IFERROR(__xludf.DUMMYFUNCTION("""COMPUTED_VALUE"""),"Layla")</f>
        <v>Layla</v>
      </c>
      <c r="E5827" s="6" t="str">
        <f>IFERROR(__xludf.DUMMYFUNCTION("""COMPUTED_VALUE"""),"")</f>
        <v/>
      </c>
      <c r="F5827" s="6" t="str">
        <f>IFERROR(__xludf.DUMMYFUNCTION("""COMPUTED_VALUE"""),"Williams")</f>
        <v>Williams</v>
      </c>
      <c r="G5827" s="6" t="str">
        <f>IFERROR(__xludf.DUMMYFUNCTION("""COMPUTED_VALUE"""),"01/31/2013")</f>
        <v>01/31/2013</v>
      </c>
      <c r="H5827" s="6" t="str">
        <f>IFERROR(__xludf.DUMMYFUNCTION("""COMPUTED_VALUE"""),"female")</f>
        <v>female</v>
      </c>
      <c r="I5827" s="6" t="str">
        <f>IFERROR(__xludf.DUMMYFUNCTION("""COMPUTED_VALUE"""),"Middle School")</f>
        <v>Middle School</v>
      </c>
      <c r="J5827" s="6" t="str">
        <f>IFERROR(__xludf.DUMMYFUNCTION("""COMPUTED_VALUE"""),"7")</f>
        <v>7</v>
      </c>
      <c r="K5827" s="6" t="str">
        <f>IFERROR(__xludf.DUMMYFUNCTION("""COMPUTED_VALUE"""),"layla.williams@2hourlearning.com")</f>
        <v>layla.williams@2hourlearning.com</v>
      </c>
      <c r="L5827" s="6" t="str">
        <f>IFERROR(__xludf.DUMMYFUNCTION("""COMPUTED_VALUE"""),"JRHS - Ridgeland Secondary Academy of Excellence")</f>
        <v>JRHS - Ridgeland Secondary Academy of Excellence</v>
      </c>
      <c r="M5827" s="6" t="str">
        <f>IFERROR(__xludf.DUMMYFUNCTION("""COMPUTED_VALUE"""),"")</f>
        <v/>
      </c>
      <c r="N5827" s="6" t="str">
        <f>IFERROR(__xludf.DUMMYFUNCTION("""COMPUTED_VALUE"""),"")</f>
        <v/>
      </c>
      <c r="O5827" s="87" t="str">
        <f>IFERROR(__xludf.DUMMYFUNCTION("""COMPUTED_VALUE"""),"https://drive.google.com/drive/folders/10T2cTQHqEJZqE-st6uFKPoI?usp=share_link")</f>
        <v>https://drive.google.com/drive/folders/10T2cTQHqEJZqE-st6uFKPoI?usp=share_link</v>
      </c>
      <c r="P5827" s="6" t="str">
        <f>IFERROR(__xludf.DUMMYFUNCTION("""COMPUTED_VALUE"""),"Layla Williams")</f>
        <v>Layla Williams</v>
      </c>
      <c r="Q5827" s="6" t="str">
        <f>IFERROR(__xludf.DUMMYFUNCTION("""COMPUTED_VALUE"""),"MS")</f>
        <v>MS</v>
      </c>
      <c r="R5827" s="6">
        <f>IFERROR(__xludf.DUMMYFUNCTION("""COMPUTED_VALUE"""),0.0)</f>
        <v>0</v>
      </c>
      <c r="S5827" s="6" t="str">
        <f>IFERROR(__xludf.DUMMYFUNCTION("""COMPUTED_VALUE"""),"Kimberly Ball")</f>
        <v>Kimberly Ball</v>
      </c>
      <c r="T5827" s="6" t="str">
        <f>IFERROR(__xludf.DUMMYFUNCTION("""COMPUTED_VALUE"""),"kimberly.ball@studient.com")</f>
        <v>kimberly.ball@studient.com</v>
      </c>
      <c r="U5827" s="6" t="str">
        <f>IFERROR(__xludf.DUMMYFUNCTION("""COMPUTED_VALUE"""),"7")</f>
        <v>7</v>
      </c>
      <c r="V5827" s="6" t="str">
        <f>IFERROR(__xludf.DUMMYFUNCTION("""COMPUTED_VALUE"""),"")</f>
        <v/>
      </c>
      <c r="W5827" s="6" t="str">
        <f>IFERROR(__xludf.DUMMYFUNCTION("""COMPUTED_VALUE"""),"[]")</f>
        <v>[]</v>
      </c>
      <c r="X5827" s="6" t="str">
        <f>IFERROR(__xludf.DUMMYFUNCTION("""COMPUTED_VALUE"""),"Enrolled")</f>
        <v>Enrolled</v>
      </c>
    </row>
    <row r="5828">
      <c r="A5828" s="6" t="str">
        <f>IFERROR(__xludf.DUMMYFUNCTION("""COMPUTED_VALUE"""),"087-12425")</f>
        <v>087-12425</v>
      </c>
      <c r="B5828" s="6" t="str">
        <f>IFERROR(__xludf.DUMMYFUNCTION("""COMPUTED_VALUE"""),"87")</f>
        <v>87</v>
      </c>
      <c r="C5828" s="6" t="str">
        <f>IFERROR(__xludf.DUMMYFUNCTION("""COMPUTED_VALUE"""),"12425")</f>
        <v>12425</v>
      </c>
      <c r="D5828" s="6" t="str">
        <f>IFERROR(__xludf.DUMMYFUNCTION("""COMPUTED_VALUE"""),"Summer")</f>
        <v>Summer</v>
      </c>
      <c r="E5828" s="6" t="str">
        <f>IFERROR(__xludf.DUMMYFUNCTION("""COMPUTED_VALUE"""),"")</f>
        <v/>
      </c>
      <c r="F5828" s="6" t="str">
        <f>IFERROR(__xludf.DUMMYFUNCTION("""COMPUTED_VALUE"""),"Williams")</f>
        <v>Williams</v>
      </c>
      <c r="G5828" s="6" t="str">
        <f>IFERROR(__xludf.DUMMYFUNCTION("""COMPUTED_VALUE"""),"10/18/2013")</f>
        <v>10/18/2013</v>
      </c>
      <c r="H5828" s="6" t="str">
        <f>IFERROR(__xludf.DUMMYFUNCTION("""COMPUTED_VALUE"""),"female")</f>
        <v>female</v>
      </c>
      <c r="I5828" s="6" t="str">
        <f>IFERROR(__xludf.DUMMYFUNCTION("""COMPUTED_VALUE"""),"Middle School")</f>
        <v>Middle School</v>
      </c>
      <c r="J5828" s="6" t="str">
        <f>IFERROR(__xludf.DUMMYFUNCTION("""COMPUTED_VALUE"""),"6")</f>
        <v>6</v>
      </c>
      <c r="K5828" s="6" t="str">
        <f>IFERROR(__xludf.DUMMYFUNCTION("""COMPUTED_VALUE"""),"summer.williams@2hourlearning.com")</f>
        <v>summer.williams@2hourlearning.com</v>
      </c>
      <c r="L5828" s="6" t="str">
        <f>IFERROR(__xludf.DUMMYFUNCTION("""COMPUTED_VALUE"""),"JRHS - Ridgeland Secondary Academy of Excellence")</f>
        <v>JRHS - Ridgeland Secondary Academy of Excellence</v>
      </c>
      <c r="M5828" s="6" t="str">
        <f>IFERROR(__xludf.DUMMYFUNCTION("""COMPUTED_VALUE"""),"")</f>
        <v/>
      </c>
      <c r="N5828" s="6" t="str">
        <f>IFERROR(__xludf.DUMMYFUNCTION("""COMPUTED_VALUE"""),"")</f>
        <v/>
      </c>
      <c r="O5828" s="87" t="str">
        <f>IFERROR(__xludf.DUMMYFUNCTION("""COMPUTED_VALUE"""),"https://drive.google.com/drive/folders/10T2cTQHqEJZqE-st6uFKPoI?usp=share_link")</f>
        <v>https://drive.google.com/drive/folders/10T2cTQHqEJZqE-st6uFKPoI?usp=share_link</v>
      </c>
      <c r="P5828" s="6" t="str">
        <f>IFERROR(__xludf.DUMMYFUNCTION("""COMPUTED_VALUE"""),"Summer Williams")</f>
        <v>Summer Williams</v>
      </c>
      <c r="Q5828" s="6" t="str">
        <f>IFERROR(__xludf.DUMMYFUNCTION("""COMPUTED_VALUE"""),"MS")</f>
        <v>MS</v>
      </c>
      <c r="R5828" s="6">
        <f>IFERROR(__xludf.DUMMYFUNCTION("""COMPUTED_VALUE"""),0.0)</f>
        <v>0</v>
      </c>
      <c r="S5828" s="6" t="str">
        <f>IFERROR(__xludf.DUMMYFUNCTION("""COMPUTED_VALUE"""),"Kimberly Ball")</f>
        <v>Kimberly Ball</v>
      </c>
      <c r="T5828" s="6" t="str">
        <f>IFERROR(__xludf.DUMMYFUNCTION("""COMPUTED_VALUE"""),"kimberly.ball@studient.com")</f>
        <v>kimberly.ball@studient.com</v>
      </c>
      <c r="U5828" s="6" t="str">
        <f>IFERROR(__xludf.DUMMYFUNCTION("""COMPUTED_VALUE"""),"6")</f>
        <v>6</v>
      </c>
      <c r="V5828" s="6" t="str">
        <f>IFERROR(__xludf.DUMMYFUNCTION("""COMPUTED_VALUE"""),"")</f>
        <v/>
      </c>
      <c r="W5828" s="6" t="str">
        <f>IFERROR(__xludf.DUMMYFUNCTION("""COMPUTED_VALUE"""),"[]")</f>
        <v>[]</v>
      </c>
      <c r="X5828" s="6" t="str">
        <f>IFERROR(__xludf.DUMMYFUNCTION("""COMPUTED_VALUE"""),"Enrolled")</f>
        <v>Enrolled</v>
      </c>
    </row>
    <row r="5829">
      <c r="A5829" s="6" t="str">
        <f>IFERROR(__xludf.DUMMYFUNCTION("""COMPUTED_VALUE"""),"087-12426")</f>
        <v>087-12426</v>
      </c>
      <c r="B5829" s="6" t="str">
        <f>IFERROR(__xludf.DUMMYFUNCTION("""COMPUTED_VALUE"""),"87")</f>
        <v>87</v>
      </c>
      <c r="C5829" s="6" t="str">
        <f>IFERROR(__xludf.DUMMYFUNCTION("""COMPUTED_VALUE"""),"12426")</f>
        <v>12426</v>
      </c>
      <c r="D5829" s="6" t="str">
        <f>IFERROR(__xludf.DUMMYFUNCTION("""COMPUTED_VALUE"""),"Karter")</f>
        <v>Karter</v>
      </c>
      <c r="E5829" s="6" t="str">
        <f>IFERROR(__xludf.DUMMYFUNCTION("""COMPUTED_VALUE"""),"")</f>
        <v/>
      </c>
      <c r="F5829" s="6" t="str">
        <f>IFERROR(__xludf.DUMMYFUNCTION("""COMPUTED_VALUE"""),"Williams-Bush")</f>
        <v>Williams-Bush</v>
      </c>
      <c r="G5829" s="6" t="str">
        <f>IFERROR(__xludf.DUMMYFUNCTION("""COMPUTED_VALUE"""),"01/17/2014")</f>
        <v>01/17/2014</v>
      </c>
      <c r="H5829" s="6" t="str">
        <f>IFERROR(__xludf.DUMMYFUNCTION("""COMPUTED_VALUE"""),"male")</f>
        <v>male</v>
      </c>
      <c r="I5829" s="6" t="str">
        <f>IFERROR(__xludf.DUMMYFUNCTION("""COMPUTED_VALUE"""),"Middle School")</f>
        <v>Middle School</v>
      </c>
      <c r="J5829" s="6" t="str">
        <f>IFERROR(__xludf.DUMMYFUNCTION("""COMPUTED_VALUE"""),"6")</f>
        <v>6</v>
      </c>
      <c r="K5829" s="6" t="str">
        <f>IFERROR(__xludf.DUMMYFUNCTION("""COMPUTED_VALUE"""),"karter.williams-bush@2hourlearning.com")</f>
        <v>karter.williams-bush@2hourlearning.com</v>
      </c>
      <c r="L5829" s="6" t="str">
        <f>IFERROR(__xludf.DUMMYFUNCTION("""COMPUTED_VALUE"""),"JRHS - Ridgeland Secondary Academy of Excellence")</f>
        <v>JRHS - Ridgeland Secondary Academy of Excellence</v>
      </c>
      <c r="M5829" s="6" t="str">
        <f>IFERROR(__xludf.DUMMYFUNCTION("""COMPUTED_VALUE"""),"")</f>
        <v/>
      </c>
      <c r="N5829" s="6" t="str">
        <f>IFERROR(__xludf.DUMMYFUNCTION("""COMPUTED_VALUE"""),"")</f>
        <v/>
      </c>
      <c r="O5829" s="87" t="str">
        <f>IFERROR(__xludf.DUMMYFUNCTION("""COMPUTED_VALUE"""),"https://drive.google.com/drive/folders/10T2cTQHqEJZqE-st6uFKPoI?usp=share_link")</f>
        <v>https://drive.google.com/drive/folders/10T2cTQHqEJZqE-st6uFKPoI?usp=share_link</v>
      </c>
      <c r="P5829" s="6" t="str">
        <f>IFERROR(__xludf.DUMMYFUNCTION("""COMPUTED_VALUE"""),"Karter Williams-Bush")</f>
        <v>Karter Williams-Bush</v>
      </c>
      <c r="Q5829" s="6" t="str">
        <f>IFERROR(__xludf.DUMMYFUNCTION("""COMPUTED_VALUE"""),"MS")</f>
        <v>MS</v>
      </c>
      <c r="R5829" s="6">
        <f>IFERROR(__xludf.DUMMYFUNCTION("""COMPUTED_VALUE"""),0.0)</f>
        <v>0</v>
      </c>
      <c r="S5829" s="6" t="str">
        <f>IFERROR(__xludf.DUMMYFUNCTION("""COMPUTED_VALUE"""),"Kimberly Ball")</f>
        <v>Kimberly Ball</v>
      </c>
      <c r="T5829" s="6" t="str">
        <f>IFERROR(__xludf.DUMMYFUNCTION("""COMPUTED_VALUE"""),"kimberly.ball@studient.com")</f>
        <v>kimberly.ball@studient.com</v>
      </c>
      <c r="U5829" s="6" t="str">
        <f>IFERROR(__xludf.DUMMYFUNCTION("""COMPUTED_VALUE"""),"6")</f>
        <v>6</v>
      </c>
      <c r="V5829" s="6" t="str">
        <f>IFERROR(__xludf.DUMMYFUNCTION("""COMPUTED_VALUE"""),"")</f>
        <v/>
      </c>
      <c r="W5829" s="6" t="str">
        <f>IFERROR(__xludf.DUMMYFUNCTION("""COMPUTED_VALUE"""),"[]")</f>
        <v>[]</v>
      </c>
      <c r="X5829" s="6" t="str">
        <f>IFERROR(__xludf.DUMMYFUNCTION("""COMPUTED_VALUE"""),"Enrolled")</f>
        <v>Enrolled</v>
      </c>
    </row>
    <row r="5830">
      <c r="A5830" s="6" t="str">
        <f>IFERROR(__xludf.DUMMYFUNCTION("""COMPUTED_VALUE"""),"087-12427")</f>
        <v>087-12427</v>
      </c>
      <c r="B5830" s="6" t="str">
        <f>IFERROR(__xludf.DUMMYFUNCTION("""COMPUTED_VALUE"""),"87")</f>
        <v>87</v>
      </c>
      <c r="C5830" s="6" t="str">
        <f>IFERROR(__xludf.DUMMYFUNCTION("""COMPUTED_VALUE"""),"12427")</f>
        <v>12427</v>
      </c>
      <c r="D5830" s="6" t="str">
        <f>IFERROR(__xludf.DUMMYFUNCTION("""COMPUTED_VALUE"""),"Jace")</f>
        <v>Jace</v>
      </c>
      <c r="E5830" s="6" t="str">
        <f>IFERROR(__xludf.DUMMYFUNCTION("""COMPUTED_VALUE"""),"")</f>
        <v/>
      </c>
      <c r="F5830" s="6" t="str">
        <f>IFERROR(__xludf.DUMMYFUNCTION("""COMPUTED_VALUE"""),"Willis")</f>
        <v>Willis</v>
      </c>
      <c r="G5830" s="6" t="str">
        <f>IFERROR(__xludf.DUMMYFUNCTION("""COMPUTED_VALUE"""),"06/07/2012")</f>
        <v>06/07/2012</v>
      </c>
      <c r="H5830" s="6" t="str">
        <f>IFERROR(__xludf.DUMMYFUNCTION("""COMPUTED_VALUE"""),"male")</f>
        <v>male</v>
      </c>
      <c r="I5830" s="6" t="str">
        <f>IFERROR(__xludf.DUMMYFUNCTION("""COMPUTED_VALUE"""),"Middle School")</f>
        <v>Middle School</v>
      </c>
      <c r="J5830" s="6" t="str">
        <f>IFERROR(__xludf.DUMMYFUNCTION("""COMPUTED_VALUE"""),"8")</f>
        <v>8</v>
      </c>
      <c r="K5830" s="6" t="str">
        <f>IFERROR(__xludf.DUMMYFUNCTION("""COMPUTED_VALUE"""),"jace.willis@2hourlearning.com")</f>
        <v>jace.willis@2hourlearning.com</v>
      </c>
      <c r="L5830" s="6" t="str">
        <f>IFERROR(__xludf.DUMMYFUNCTION("""COMPUTED_VALUE"""),"JRHS - Ridgeland Secondary Academy of Excellence")</f>
        <v>JRHS - Ridgeland Secondary Academy of Excellence</v>
      </c>
      <c r="M5830" s="6" t="str">
        <f>IFERROR(__xludf.DUMMYFUNCTION("""COMPUTED_VALUE"""),"")</f>
        <v/>
      </c>
      <c r="N5830" s="6" t="str">
        <f>IFERROR(__xludf.DUMMYFUNCTION("""COMPUTED_VALUE"""),"")</f>
        <v/>
      </c>
      <c r="O5830" s="87" t="str">
        <f>IFERROR(__xludf.DUMMYFUNCTION("""COMPUTED_VALUE"""),"https://drive.google.com/drive/folders/10T2cTQHqEJZqE-st6uFKPoI?usp=share_link")</f>
        <v>https://drive.google.com/drive/folders/10T2cTQHqEJZqE-st6uFKPoI?usp=share_link</v>
      </c>
      <c r="P5830" s="6" t="str">
        <f>IFERROR(__xludf.DUMMYFUNCTION("""COMPUTED_VALUE"""),"Jace Willis")</f>
        <v>Jace Willis</v>
      </c>
      <c r="Q5830" s="6" t="str">
        <f>IFERROR(__xludf.DUMMYFUNCTION("""COMPUTED_VALUE"""),"MS")</f>
        <v>MS</v>
      </c>
      <c r="R5830" s="6">
        <f>IFERROR(__xludf.DUMMYFUNCTION("""COMPUTED_VALUE"""),0.0)</f>
        <v>0</v>
      </c>
      <c r="S5830" s="6" t="str">
        <f>IFERROR(__xludf.DUMMYFUNCTION("""COMPUTED_VALUE"""),"Kimberly Ball")</f>
        <v>Kimberly Ball</v>
      </c>
      <c r="T5830" s="6" t="str">
        <f>IFERROR(__xludf.DUMMYFUNCTION("""COMPUTED_VALUE"""),"kimberly.ball@studient.com")</f>
        <v>kimberly.ball@studient.com</v>
      </c>
      <c r="U5830" s="6" t="str">
        <f>IFERROR(__xludf.DUMMYFUNCTION("""COMPUTED_VALUE"""),"8")</f>
        <v>8</v>
      </c>
      <c r="V5830" s="6" t="str">
        <f>IFERROR(__xludf.DUMMYFUNCTION("""COMPUTED_VALUE"""),"")</f>
        <v/>
      </c>
      <c r="W5830" s="6" t="str">
        <f>IFERROR(__xludf.DUMMYFUNCTION("""COMPUTED_VALUE"""),"[]")</f>
        <v>[]</v>
      </c>
      <c r="X5830" s="6" t="str">
        <f>IFERROR(__xludf.DUMMYFUNCTION("""COMPUTED_VALUE"""),"Enrolled")</f>
        <v>Enrolled</v>
      </c>
    </row>
    <row r="5831">
      <c r="A5831" s="6" t="str">
        <f>IFERROR(__xludf.DUMMYFUNCTION("""COMPUTED_VALUE"""),"087-12428")</f>
        <v>087-12428</v>
      </c>
      <c r="B5831" s="6" t="str">
        <f>IFERROR(__xludf.DUMMYFUNCTION("""COMPUTED_VALUE"""),"87")</f>
        <v>87</v>
      </c>
      <c r="C5831" s="6" t="str">
        <f>IFERROR(__xludf.DUMMYFUNCTION("""COMPUTED_VALUE"""),"12428")</f>
        <v>12428</v>
      </c>
      <c r="D5831" s="6" t="str">
        <f>IFERROR(__xludf.DUMMYFUNCTION("""COMPUTED_VALUE"""),"Ja'Mari")</f>
        <v>Ja'Mari</v>
      </c>
      <c r="E5831" s="6" t="str">
        <f>IFERROR(__xludf.DUMMYFUNCTION("""COMPUTED_VALUE"""),"")</f>
        <v/>
      </c>
      <c r="F5831" s="6" t="str">
        <f>IFERROR(__xludf.DUMMYFUNCTION("""COMPUTED_VALUE"""),"Wilson")</f>
        <v>Wilson</v>
      </c>
      <c r="G5831" s="6" t="str">
        <f>IFERROR(__xludf.DUMMYFUNCTION("""COMPUTED_VALUE"""),"02/13/2012")</f>
        <v>02/13/2012</v>
      </c>
      <c r="H5831" s="6" t="str">
        <f>IFERROR(__xludf.DUMMYFUNCTION("""COMPUTED_VALUE"""),"male")</f>
        <v>male</v>
      </c>
      <c r="I5831" s="6" t="str">
        <f>IFERROR(__xludf.DUMMYFUNCTION("""COMPUTED_VALUE"""),"Middle School")</f>
        <v>Middle School</v>
      </c>
      <c r="J5831" s="6" t="str">
        <f>IFERROR(__xludf.DUMMYFUNCTION("""COMPUTED_VALUE"""),"7")</f>
        <v>7</v>
      </c>
      <c r="K5831" s="6" t="str">
        <f>IFERROR(__xludf.DUMMYFUNCTION("""COMPUTED_VALUE"""),"jamari.wilson@2hourlearning.com")</f>
        <v>jamari.wilson@2hourlearning.com</v>
      </c>
      <c r="L5831" s="6" t="str">
        <f>IFERROR(__xludf.DUMMYFUNCTION("""COMPUTED_VALUE"""),"JRHS - Ridgeland Secondary Academy of Excellence")</f>
        <v>JRHS - Ridgeland Secondary Academy of Excellence</v>
      </c>
      <c r="M5831" s="6" t="str">
        <f>IFERROR(__xludf.DUMMYFUNCTION("""COMPUTED_VALUE"""),"")</f>
        <v/>
      </c>
      <c r="N5831" s="6" t="str">
        <f>IFERROR(__xludf.DUMMYFUNCTION("""COMPUTED_VALUE"""),"")</f>
        <v/>
      </c>
      <c r="O5831" s="87" t="str">
        <f>IFERROR(__xludf.DUMMYFUNCTION("""COMPUTED_VALUE"""),"https://drive.google.com/drive/folders/10T2cTQHqEJZqE-st6uFKPoI?usp=share_link")</f>
        <v>https://drive.google.com/drive/folders/10T2cTQHqEJZqE-st6uFKPoI?usp=share_link</v>
      </c>
      <c r="P5831" s="6" t="str">
        <f>IFERROR(__xludf.DUMMYFUNCTION("""COMPUTED_VALUE"""),"Ja'Mari Wilson")</f>
        <v>Ja'Mari Wilson</v>
      </c>
      <c r="Q5831" s="6" t="str">
        <f>IFERROR(__xludf.DUMMYFUNCTION("""COMPUTED_VALUE"""),"MS")</f>
        <v>MS</v>
      </c>
      <c r="R5831" s="6">
        <f>IFERROR(__xludf.DUMMYFUNCTION("""COMPUTED_VALUE"""),0.0)</f>
        <v>0</v>
      </c>
      <c r="S5831" s="6" t="str">
        <f>IFERROR(__xludf.DUMMYFUNCTION("""COMPUTED_VALUE"""),"Kimberly Ball")</f>
        <v>Kimberly Ball</v>
      </c>
      <c r="T5831" s="6" t="str">
        <f>IFERROR(__xludf.DUMMYFUNCTION("""COMPUTED_VALUE"""),"kimberly.ball@studient.com")</f>
        <v>kimberly.ball@studient.com</v>
      </c>
      <c r="U5831" s="6" t="str">
        <f>IFERROR(__xludf.DUMMYFUNCTION("""COMPUTED_VALUE"""),"7")</f>
        <v>7</v>
      </c>
      <c r="V5831" s="6" t="str">
        <f>IFERROR(__xludf.DUMMYFUNCTION("""COMPUTED_VALUE"""),"")</f>
        <v/>
      </c>
      <c r="W5831" s="6" t="str">
        <f>IFERROR(__xludf.DUMMYFUNCTION("""COMPUTED_VALUE"""),"[]")</f>
        <v>[]</v>
      </c>
      <c r="X5831" s="6" t="str">
        <f>IFERROR(__xludf.DUMMYFUNCTION("""COMPUTED_VALUE"""),"Enrolled")</f>
        <v>Enrolled</v>
      </c>
    </row>
    <row r="5832">
      <c r="A5832" s="6" t="str">
        <f>IFERROR(__xludf.DUMMYFUNCTION("""COMPUTED_VALUE"""),"087-12429")</f>
        <v>087-12429</v>
      </c>
      <c r="B5832" s="6" t="str">
        <f>IFERROR(__xludf.DUMMYFUNCTION("""COMPUTED_VALUE"""),"87")</f>
        <v>87</v>
      </c>
      <c r="C5832" s="6" t="str">
        <f>IFERROR(__xludf.DUMMYFUNCTION("""COMPUTED_VALUE"""),"12429")</f>
        <v>12429</v>
      </c>
      <c r="D5832" s="6" t="str">
        <f>IFERROR(__xludf.DUMMYFUNCTION("""COMPUTED_VALUE"""),"Jayden")</f>
        <v>Jayden</v>
      </c>
      <c r="E5832" s="6" t="str">
        <f>IFERROR(__xludf.DUMMYFUNCTION("""COMPUTED_VALUE"""),"")</f>
        <v/>
      </c>
      <c r="F5832" s="6" t="str">
        <f>IFERROR(__xludf.DUMMYFUNCTION("""COMPUTED_VALUE"""),"Wilson")</f>
        <v>Wilson</v>
      </c>
      <c r="G5832" s="6" t="str">
        <f>IFERROR(__xludf.DUMMYFUNCTION("""COMPUTED_VALUE"""),"05/07/2014")</f>
        <v>05/07/2014</v>
      </c>
      <c r="H5832" s="6" t="str">
        <f>IFERROR(__xludf.DUMMYFUNCTION("""COMPUTED_VALUE"""),"male")</f>
        <v>male</v>
      </c>
      <c r="I5832" s="6" t="str">
        <f>IFERROR(__xludf.DUMMYFUNCTION("""COMPUTED_VALUE"""),"Middle School")</f>
        <v>Middle School</v>
      </c>
      <c r="J5832" s="6" t="str">
        <f>IFERROR(__xludf.DUMMYFUNCTION("""COMPUTED_VALUE"""),"6")</f>
        <v>6</v>
      </c>
      <c r="K5832" s="6" t="str">
        <f>IFERROR(__xludf.DUMMYFUNCTION("""COMPUTED_VALUE"""),"jayden.wilson@2hourlearning.com")</f>
        <v>jayden.wilson@2hourlearning.com</v>
      </c>
      <c r="L5832" s="6" t="str">
        <f>IFERROR(__xludf.DUMMYFUNCTION("""COMPUTED_VALUE"""),"JRHS - Ridgeland Secondary Academy of Excellence")</f>
        <v>JRHS - Ridgeland Secondary Academy of Excellence</v>
      </c>
      <c r="M5832" s="6" t="str">
        <f>IFERROR(__xludf.DUMMYFUNCTION("""COMPUTED_VALUE"""),"")</f>
        <v/>
      </c>
      <c r="N5832" s="6" t="str">
        <f>IFERROR(__xludf.DUMMYFUNCTION("""COMPUTED_VALUE"""),"")</f>
        <v/>
      </c>
      <c r="O5832" s="87" t="str">
        <f>IFERROR(__xludf.DUMMYFUNCTION("""COMPUTED_VALUE"""),"https://drive.google.com/drive/folders/10T2cTQHqEJZqE-st6uFKPoI?usp=share_link")</f>
        <v>https://drive.google.com/drive/folders/10T2cTQHqEJZqE-st6uFKPoI?usp=share_link</v>
      </c>
      <c r="P5832" s="6" t="str">
        <f>IFERROR(__xludf.DUMMYFUNCTION("""COMPUTED_VALUE"""),"Jayden Wilson")</f>
        <v>Jayden Wilson</v>
      </c>
      <c r="Q5832" s="6" t="str">
        <f>IFERROR(__xludf.DUMMYFUNCTION("""COMPUTED_VALUE"""),"MS")</f>
        <v>MS</v>
      </c>
      <c r="R5832" s="6">
        <f>IFERROR(__xludf.DUMMYFUNCTION("""COMPUTED_VALUE"""),0.0)</f>
        <v>0</v>
      </c>
      <c r="S5832" s="6" t="str">
        <f>IFERROR(__xludf.DUMMYFUNCTION("""COMPUTED_VALUE"""),"Kimberly Ball")</f>
        <v>Kimberly Ball</v>
      </c>
      <c r="T5832" s="6" t="str">
        <f>IFERROR(__xludf.DUMMYFUNCTION("""COMPUTED_VALUE"""),"kimberly.ball@studient.com")</f>
        <v>kimberly.ball@studient.com</v>
      </c>
      <c r="U5832" s="6" t="str">
        <f>IFERROR(__xludf.DUMMYFUNCTION("""COMPUTED_VALUE"""),"6")</f>
        <v>6</v>
      </c>
      <c r="V5832" s="6" t="str">
        <f>IFERROR(__xludf.DUMMYFUNCTION("""COMPUTED_VALUE"""),"")</f>
        <v/>
      </c>
      <c r="W5832" s="6" t="str">
        <f>IFERROR(__xludf.DUMMYFUNCTION("""COMPUTED_VALUE"""),"[]")</f>
        <v>[]</v>
      </c>
      <c r="X5832" s="6" t="str">
        <f>IFERROR(__xludf.DUMMYFUNCTION("""COMPUTED_VALUE"""),"Enrolled")</f>
        <v>Enrolled</v>
      </c>
    </row>
    <row r="5833">
      <c r="A5833" s="6" t="str">
        <f>IFERROR(__xludf.DUMMYFUNCTION("""COMPUTED_VALUE"""),"087-12430")</f>
        <v>087-12430</v>
      </c>
      <c r="B5833" s="6" t="str">
        <f>IFERROR(__xludf.DUMMYFUNCTION("""COMPUTED_VALUE"""),"87")</f>
        <v>87</v>
      </c>
      <c r="C5833" s="6" t="str">
        <f>IFERROR(__xludf.DUMMYFUNCTION("""COMPUTED_VALUE"""),"12430")</f>
        <v>12430</v>
      </c>
      <c r="D5833" s="6" t="str">
        <f>IFERROR(__xludf.DUMMYFUNCTION("""COMPUTED_VALUE"""),"Shawn")</f>
        <v>Shawn</v>
      </c>
      <c r="E5833" s="6" t="str">
        <f>IFERROR(__xludf.DUMMYFUNCTION("""COMPUTED_VALUE"""),"")</f>
        <v/>
      </c>
      <c r="F5833" s="6" t="str">
        <f>IFERROR(__xludf.DUMMYFUNCTION("""COMPUTED_VALUE"""),"Wilson")</f>
        <v>Wilson</v>
      </c>
      <c r="G5833" s="6" t="str">
        <f>IFERROR(__xludf.DUMMYFUNCTION("""COMPUTED_VALUE"""),"05/17/2014")</f>
        <v>05/17/2014</v>
      </c>
      <c r="H5833" s="6" t="str">
        <f>IFERROR(__xludf.DUMMYFUNCTION("""COMPUTED_VALUE"""),"male")</f>
        <v>male</v>
      </c>
      <c r="I5833" s="6" t="str">
        <f>IFERROR(__xludf.DUMMYFUNCTION("""COMPUTED_VALUE"""),"Middle School")</f>
        <v>Middle School</v>
      </c>
      <c r="J5833" s="6" t="str">
        <f>IFERROR(__xludf.DUMMYFUNCTION("""COMPUTED_VALUE"""),"6")</f>
        <v>6</v>
      </c>
      <c r="K5833" s="6" t="str">
        <f>IFERROR(__xludf.DUMMYFUNCTION("""COMPUTED_VALUE"""),"shawn.wilson@2hourlearning.com")</f>
        <v>shawn.wilson@2hourlearning.com</v>
      </c>
      <c r="L5833" s="6" t="str">
        <f>IFERROR(__xludf.DUMMYFUNCTION("""COMPUTED_VALUE"""),"JRHS - Ridgeland Secondary Academy of Excellence")</f>
        <v>JRHS - Ridgeland Secondary Academy of Excellence</v>
      </c>
      <c r="M5833" s="6" t="str">
        <f>IFERROR(__xludf.DUMMYFUNCTION("""COMPUTED_VALUE"""),"")</f>
        <v/>
      </c>
      <c r="N5833" s="6" t="str">
        <f>IFERROR(__xludf.DUMMYFUNCTION("""COMPUTED_VALUE"""),"")</f>
        <v/>
      </c>
      <c r="O5833" s="87" t="str">
        <f>IFERROR(__xludf.DUMMYFUNCTION("""COMPUTED_VALUE"""),"https://drive.google.com/drive/folders/10T2cTQHqEJZqE-st6uFKPoI?usp=share_link")</f>
        <v>https://drive.google.com/drive/folders/10T2cTQHqEJZqE-st6uFKPoI?usp=share_link</v>
      </c>
      <c r="P5833" s="6" t="str">
        <f>IFERROR(__xludf.DUMMYFUNCTION("""COMPUTED_VALUE"""),"Shawn Wilson")</f>
        <v>Shawn Wilson</v>
      </c>
      <c r="Q5833" s="6" t="str">
        <f>IFERROR(__xludf.DUMMYFUNCTION("""COMPUTED_VALUE"""),"MS")</f>
        <v>MS</v>
      </c>
      <c r="R5833" s="6">
        <f>IFERROR(__xludf.DUMMYFUNCTION("""COMPUTED_VALUE"""),0.0)</f>
        <v>0</v>
      </c>
      <c r="S5833" s="6" t="str">
        <f>IFERROR(__xludf.DUMMYFUNCTION("""COMPUTED_VALUE"""),"Kimberly Ball")</f>
        <v>Kimberly Ball</v>
      </c>
      <c r="T5833" s="6" t="str">
        <f>IFERROR(__xludf.DUMMYFUNCTION("""COMPUTED_VALUE"""),"kimberly.ball@studient.com")</f>
        <v>kimberly.ball@studient.com</v>
      </c>
      <c r="U5833" s="6" t="str">
        <f>IFERROR(__xludf.DUMMYFUNCTION("""COMPUTED_VALUE"""),"6")</f>
        <v>6</v>
      </c>
      <c r="V5833" s="6" t="str">
        <f>IFERROR(__xludf.DUMMYFUNCTION("""COMPUTED_VALUE"""),"")</f>
        <v/>
      </c>
      <c r="W5833" s="6" t="str">
        <f>IFERROR(__xludf.DUMMYFUNCTION("""COMPUTED_VALUE"""),"[]")</f>
        <v>[]</v>
      </c>
      <c r="X5833" s="6" t="str">
        <f>IFERROR(__xludf.DUMMYFUNCTION("""COMPUTED_VALUE"""),"Enrolled")</f>
        <v>Enrolled</v>
      </c>
    </row>
    <row r="5834">
      <c r="A5834" s="6" t="str">
        <f>IFERROR(__xludf.DUMMYFUNCTION("""COMPUTED_VALUE"""),"087-12431")</f>
        <v>087-12431</v>
      </c>
      <c r="B5834" s="6" t="str">
        <f>IFERROR(__xludf.DUMMYFUNCTION("""COMPUTED_VALUE"""),"87")</f>
        <v>87</v>
      </c>
      <c r="C5834" s="6" t="str">
        <f>IFERROR(__xludf.DUMMYFUNCTION("""COMPUTED_VALUE"""),"12431")</f>
        <v>12431</v>
      </c>
      <c r="D5834" s="6" t="str">
        <f>IFERROR(__xludf.DUMMYFUNCTION("""COMPUTED_VALUE"""),"Eli")</f>
        <v>Eli</v>
      </c>
      <c r="E5834" s="6" t="str">
        <f>IFERROR(__xludf.DUMMYFUNCTION("""COMPUTED_VALUE"""),"")</f>
        <v/>
      </c>
      <c r="F5834" s="6" t="str">
        <f>IFERROR(__xludf.DUMMYFUNCTION("""COMPUTED_VALUE"""),"Woodward")</f>
        <v>Woodward</v>
      </c>
      <c r="G5834" s="6" t="str">
        <f>IFERROR(__xludf.DUMMYFUNCTION("""COMPUTED_VALUE"""),"01/04/2013")</f>
        <v>01/04/2013</v>
      </c>
      <c r="H5834" s="6" t="str">
        <f>IFERROR(__xludf.DUMMYFUNCTION("""COMPUTED_VALUE"""),"male")</f>
        <v>male</v>
      </c>
      <c r="I5834" s="6" t="str">
        <f>IFERROR(__xludf.DUMMYFUNCTION("""COMPUTED_VALUE"""),"Middle School")</f>
        <v>Middle School</v>
      </c>
      <c r="J5834" s="6" t="str">
        <f>IFERROR(__xludf.DUMMYFUNCTION("""COMPUTED_VALUE"""),"7")</f>
        <v>7</v>
      </c>
      <c r="K5834" s="6" t="str">
        <f>IFERROR(__xludf.DUMMYFUNCTION("""COMPUTED_VALUE"""),"eli.woodward@2hourlearning.com")</f>
        <v>eli.woodward@2hourlearning.com</v>
      </c>
      <c r="L5834" s="6" t="str">
        <f>IFERROR(__xludf.DUMMYFUNCTION("""COMPUTED_VALUE"""),"JRHS - Ridgeland Secondary Academy of Excellence")</f>
        <v>JRHS - Ridgeland Secondary Academy of Excellence</v>
      </c>
      <c r="M5834" s="6" t="str">
        <f>IFERROR(__xludf.DUMMYFUNCTION("""COMPUTED_VALUE"""),"")</f>
        <v/>
      </c>
      <c r="N5834" s="6" t="str">
        <f>IFERROR(__xludf.DUMMYFUNCTION("""COMPUTED_VALUE"""),"")</f>
        <v/>
      </c>
      <c r="O5834" s="87" t="str">
        <f>IFERROR(__xludf.DUMMYFUNCTION("""COMPUTED_VALUE"""),"https://drive.google.com/drive/folders/10T2cTQHqEJZqE-st6uFKPoI?usp=share_link")</f>
        <v>https://drive.google.com/drive/folders/10T2cTQHqEJZqE-st6uFKPoI?usp=share_link</v>
      </c>
      <c r="P5834" s="6" t="str">
        <f>IFERROR(__xludf.DUMMYFUNCTION("""COMPUTED_VALUE"""),"Eli Woodward")</f>
        <v>Eli Woodward</v>
      </c>
      <c r="Q5834" s="6" t="str">
        <f>IFERROR(__xludf.DUMMYFUNCTION("""COMPUTED_VALUE"""),"MS")</f>
        <v>MS</v>
      </c>
      <c r="R5834" s="6">
        <f>IFERROR(__xludf.DUMMYFUNCTION("""COMPUTED_VALUE"""),0.0)</f>
        <v>0</v>
      </c>
      <c r="S5834" s="6" t="str">
        <f>IFERROR(__xludf.DUMMYFUNCTION("""COMPUTED_VALUE"""),"Kimberly Ball")</f>
        <v>Kimberly Ball</v>
      </c>
      <c r="T5834" s="6" t="str">
        <f>IFERROR(__xludf.DUMMYFUNCTION("""COMPUTED_VALUE"""),"kimberly.ball@studient.com")</f>
        <v>kimberly.ball@studient.com</v>
      </c>
      <c r="U5834" s="6" t="str">
        <f>IFERROR(__xludf.DUMMYFUNCTION("""COMPUTED_VALUE"""),"7")</f>
        <v>7</v>
      </c>
      <c r="V5834" s="6" t="str">
        <f>IFERROR(__xludf.DUMMYFUNCTION("""COMPUTED_VALUE"""),"")</f>
        <v/>
      </c>
      <c r="W5834" s="6" t="str">
        <f>IFERROR(__xludf.DUMMYFUNCTION("""COMPUTED_VALUE"""),"[]")</f>
        <v>[]</v>
      </c>
      <c r="X5834" s="6" t="str">
        <f>IFERROR(__xludf.DUMMYFUNCTION("""COMPUTED_VALUE"""),"Enrolled")</f>
        <v>Enrolled</v>
      </c>
    </row>
    <row r="5835">
      <c r="A5835" s="6" t="str">
        <f>IFERROR(__xludf.DUMMYFUNCTION("""COMPUTED_VALUE"""),"087-12432")</f>
        <v>087-12432</v>
      </c>
      <c r="B5835" s="6" t="str">
        <f>IFERROR(__xludf.DUMMYFUNCTION("""COMPUTED_VALUE"""),"87")</f>
        <v>87</v>
      </c>
      <c r="C5835" s="6" t="str">
        <f>IFERROR(__xludf.DUMMYFUNCTION("""COMPUTED_VALUE"""),"12432")</f>
        <v>12432</v>
      </c>
      <c r="D5835" s="6" t="str">
        <f>IFERROR(__xludf.DUMMYFUNCTION("""COMPUTED_VALUE"""),"I'Yonna")</f>
        <v>I'Yonna</v>
      </c>
      <c r="E5835" s="6" t="str">
        <f>IFERROR(__xludf.DUMMYFUNCTION("""COMPUTED_VALUE"""),"")</f>
        <v/>
      </c>
      <c r="F5835" s="6" t="str">
        <f>IFERROR(__xludf.DUMMYFUNCTION("""COMPUTED_VALUE"""),"Wright")</f>
        <v>Wright</v>
      </c>
      <c r="G5835" s="6" t="str">
        <f>IFERROR(__xludf.DUMMYFUNCTION("""COMPUTED_VALUE"""),"02/06/2012")</f>
        <v>02/06/2012</v>
      </c>
      <c r="H5835" s="6" t="str">
        <f>IFERROR(__xludf.DUMMYFUNCTION("""COMPUTED_VALUE"""),"Self Identify")</f>
        <v>Self Identify</v>
      </c>
      <c r="I5835" s="6" t="str">
        <f>IFERROR(__xludf.DUMMYFUNCTION("""COMPUTED_VALUE"""),"Middle School")</f>
        <v>Middle School</v>
      </c>
      <c r="J5835" s="6" t="str">
        <f>IFERROR(__xludf.DUMMYFUNCTION("""COMPUTED_VALUE"""),"7")</f>
        <v>7</v>
      </c>
      <c r="K5835" s="6" t="str">
        <f>IFERROR(__xludf.DUMMYFUNCTION("""COMPUTED_VALUE"""),"iyonna.wright@2hourlearning.com")</f>
        <v>iyonna.wright@2hourlearning.com</v>
      </c>
      <c r="L5835" s="6" t="str">
        <f>IFERROR(__xludf.DUMMYFUNCTION("""COMPUTED_VALUE"""),"JRHS - Ridgeland Secondary Academy of Excellence")</f>
        <v>JRHS - Ridgeland Secondary Academy of Excellence</v>
      </c>
      <c r="M5835" s="6" t="str">
        <f>IFERROR(__xludf.DUMMYFUNCTION("""COMPUTED_VALUE"""),"")</f>
        <v/>
      </c>
      <c r="N5835" s="6" t="str">
        <f>IFERROR(__xludf.DUMMYFUNCTION("""COMPUTED_VALUE"""),"")</f>
        <v/>
      </c>
      <c r="O5835" s="87" t="str">
        <f>IFERROR(__xludf.DUMMYFUNCTION("""COMPUTED_VALUE"""),"https://drive.google.com/drive/folders/10T2cTQHqEJZqE-st6uFKPoI?usp=share_link")</f>
        <v>https://drive.google.com/drive/folders/10T2cTQHqEJZqE-st6uFKPoI?usp=share_link</v>
      </c>
      <c r="P5835" s="6" t="str">
        <f>IFERROR(__xludf.DUMMYFUNCTION("""COMPUTED_VALUE"""),"I'Yonna Wright")</f>
        <v>I'Yonna Wright</v>
      </c>
      <c r="Q5835" s="6" t="str">
        <f>IFERROR(__xludf.DUMMYFUNCTION("""COMPUTED_VALUE"""),"MS")</f>
        <v>MS</v>
      </c>
      <c r="R5835" s="6">
        <f>IFERROR(__xludf.DUMMYFUNCTION("""COMPUTED_VALUE"""),0.0)</f>
        <v>0</v>
      </c>
      <c r="S5835" s="6" t="str">
        <f>IFERROR(__xludf.DUMMYFUNCTION("""COMPUTED_VALUE"""),"Kimberly Ball")</f>
        <v>Kimberly Ball</v>
      </c>
      <c r="T5835" s="6" t="str">
        <f>IFERROR(__xludf.DUMMYFUNCTION("""COMPUTED_VALUE"""),"kimberly.ball@studient.com")</f>
        <v>kimberly.ball@studient.com</v>
      </c>
      <c r="U5835" s="6" t="str">
        <f>IFERROR(__xludf.DUMMYFUNCTION("""COMPUTED_VALUE"""),"7")</f>
        <v>7</v>
      </c>
      <c r="V5835" s="6" t="str">
        <f>IFERROR(__xludf.DUMMYFUNCTION("""COMPUTED_VALUE"""),"")</f>
        <v/>
      </c>
      <c r="W5835" s="6" t="str">
        <f>IFERROR(__xludf.DUMMYFUNCTION("""COMPUTED_VALUE"""),"[]")</f>
        <v>[]</v>
      </c>
      <c r="X5835" s="6" t="str">
        <f>IFERROR(__xludf.DUMMYFUNCTION("""COMPUTED_VALUE"""),"Enrolled")</f>
        <v>Enrolled</v>
      </c>
    </row>
    <row r="5836">
      <c r="A5836" s="6" t="str">
        <f>IFERROR(__xludf.DUMMYFUNCTION("""COMPUTED_VALUE"""),"087-12433")</f>
        <v>087-12433</v>
      </c>
      <c r="B5836" s="6" t="str">
        <f>IFERROR(__xludf.DUMMYFUNCTION("""COMPUTED_VALUE"""),"87")</f>
        <v>87</v>
      </c>
      <c r="C5836" s="6" t="str">
        <f>IFERROR(__xludf.DUMMYFUNCTION("""COMPUTED_VALUE"""),"12433")</f>
        <v>12433</v>
      </c>
      <c r="D5836" s="6" t="str">
        <f>IFERROR(__xludf.DUMMYFUNCTION("""COMPUTED_VALUE"""),"Kamari")</f>
        <v>Kamari</v>
      </c>
      <c r="E5836" s="6" t="str">
        <f>IFERROR(__xludf.DUMMYFUNCTION("""COMPUTED_VALUE"""),"")</f>
        <v/>
      </c>
      <c r="F5836" s="6" t="str">
        <f>IFERROR(__xludf.DUMMYFUNCTION("""COMPUTED_VALUE"""),"Wright")</f>
        <v>Wright</v>
      </c>
      <c r="G5836" s="6" t="str">
        <f>IFERROR(__xludf.DUMMYFUNCTION("""COMPUTED_VALUE"""),"12/12/2010")</f>
        <v>12/12/2010</v>
      </c>
      <c r="H5836" s="6" t="str">
        <f>IFERROR(__xludf.DUMMYFUNCTION("""COMPUTED_VALUE"""),"male")</f>
        <v>male</v>
      </c>
      <c r="I5836" s="6" t="str">
        <f>IFERROR(__xludf.DUMMYFUNCTION("""COMPUTED_VALUE"""),"Middle School")</f>
        <v>Middle School</v>
      </c>
      <c r="J5836" s="6" t="str">
        <f>IFERROR(__xludf.DUMMYFUNCTION("""COMPUTED_VALUE"""),"8")</f>
        <v>8</v>
      </c>
      <c r="K5836" s="6" t="str">
        <f>IFERROR(__xludf.DUMMYFUNCTION("""COMPUTED_VALUE"""),"kamari.wright@2hourlearning.com")</f>
        <v>kamari.wright@2hourlearning.com</v>
      </c>
      <c r="L5836" s="6" t="str">
        <f>IFERROR(__xludf.DUMMYFUNCTION("""COMPUTED_VALUE"""),"JRHS - Ridgeland Secondary Academy of Excellence")</f>
        <v>JRHS - Ridgeland Secondary Academy of Excellence</v>
      </c>
      <c r="M5836" s="6" t="str">
        <f>IFERROR(__xludf.DUMMYFUNCTION("""COMPUTED_VALUE"""),"")</f>
        <v/>
      </c>
      <c r="N5836" s="6" t="str">
        <f>IFERROR(__xludf.DUMMYFUNCTION("""COMPUTED_VALUE"""),"")</f>
        <v/>
      </c>
      <c r="O5836" s="87" t="str">
        <f>IFERROR(__xludf.DUMMYFUNCTION("""COMPUTED_VALUE"""),"https://drive.google.com/drive/folders/10T2cTQHqEJZqE-st6uFKPoI?usp=share_link")</f>
        <v>https://drive.google.com/drive/folders/10T2cTQHqEJZqE-st6uFKPoI?usp=share_link</v>
      </c>
      <c r="P5836" s="6" t="str">
        <f>IFERROR(__xludf.DUMMYFUNCTION("""COMPUTED_VALUE"""),"Kamari Wright")</f>
        <v>Kamari Wright</v>
      </c>
      <c r="Q5836" s="6" t="str">
        <f>IFERROR(__xludf.DUMMYFUNCTION("""COMPUTED_VALUE"""),"MS")</f>
        <v>MS</v>
      </c>
      <c r="R5836" s="6">
        <f>IFERROR(__xludf.DUMMYFUNCTION("""COMPUTED_VALUE"""),0.0)</f>
        <v>0</v>
      </c>
      <c r="S5836" s="6" t="str">
        <f>IFERROR(__xludf.DUMMYFUNCTION("""COMPUTED_VALUE"""),"Kimberly Ball")</f>
        <v>Kimberly Ball</v>
      </c>
      <c r="T5836" s="6" t="str">
        <f>IFERROR(__xludf.DUMMYFUNCTION("""COMPUTED_VALUE"""),"kimberly.ball@studient.com")</f>
        <v>kimberly.ball@studient.com</v>
      </c>
      <c r="U5836" s="6" t="str">
        <f>IFERROR(__xludf.DUMMYFUNCTION("""COMPUTED_VALUE"""),"8")</f>
        <v>8</v>
      </c>
      <c r="V5836" s="6" t="str">
        <f>IFERROR(__xludf.DUMMYFUNCTION("""COMPUTED_VALUE"""),"")</f>
        <v/>
      </c>
      <c r="W5836" s="6" t="str">
        <f>IFERROR(__xludf.DUMMYFUNCTION("""COMPUTED_VALUE"""),"[]")</f>
        <v>[]</v>
      </c>
      <c r="X5836" s="6" t="str">
        <f>IFERROR(__xludf.DUMMYFUNCTION("""COMPUTED_VALUE"""),"Enrolled")</f>
        <v>Enrolled</v>
      </c>
    </row>
    <row r="5837">
      <c r="A5837" s="6" t="str">
        <f>IFERROR(__xludf.DUMMYFUNCTION("""COMPUTED_VALUE"""),"087-12434")</f>
        <v>087-12434</v>
      </c>
      <c r="B5837" s="6" t="str">
        <f>IFERROR(__xludf.DUMMYFUNCTION("""COMPUTED_VALUE"""),"87")</f>
        <v>87</v>
      </c>
      <c r="C5837" s="6" t="str">
        <f>IFERROR(__xludf.DUMMYFUNCTION("""COMPUTED_VALUE"""),"12434")</f>
        <v>12434</v>
      </c>
      <c r="D5837" s="6" t="str">
        <f>IFERROR(__xludf.DUMMYFUNCTION("""COMPUTED_VALUE"""),"Ny'Asia")</f>
        <v>Ny'Asia</v>
      </c>
      <c r="E5837" s="6" t="str">
        <f>IFERROR(__xludf.DUMMYFUNCTION("""COMPUTED_VALUE"""),"")</f>
        <v/>
      </c>
      <c r="F5837" s="6" t="str">
        <f>IFERROR(__xludf.DUMMYFUNCTION("""COMPUTED_VALUE"""),"Wright")</f>
        <v>Wright</v>
      </c>
      <c r="G5837" s="6" t="str">
        <f>IFERROR(__xludf.DUMMYFUNCTION("""COMPUTED_VALUE"""),"04/05/2012")</f>
        <v>04/05/2012</v>
      </c>
      <c r="H5837" s="6" t="str">
        <f>IFERROR(__xludf.DUMMYFUNCTION("""COMPUTED_VALUE"""),"female")</f>
        <v>female</v>
      </c>
      <c r="I5837" s="6" t="str">
        <f>IFERROR(__xludf.DUMMYFUNCTION("""COMPUTED_VALUE"""),"Middle School")</f>
        <v>Middle School</v>
      </c>
      <c r="J5837" s="6" t="str">
        <f>IFERROR(__xludf.DUMMYFUNCTION("""COMPUTED_VALUE"""),"8")</f>
        <v>8</v>
      </c>
      <c r="K5837" s="6" t="str">
        <f>IFERROR(__xludf.DUMMYFUNCTION("""COMPUTED_VALUE"""),"nyasia.wright@2hourlearning.com")</f>
        <v>nyasia.wright@2hourlearning.com</v>
      </c>
      <c r="L5837" s="6" t="str">
        <f>IFERROR(__xludf.DUMMYFUNCTION("""COMPUTED_VALUE"""),"JRHS - Ridgeland Secondary Academy of Excellence")</f>
        <v>JRHS - Ridgeland Secondary Academy of Excellence</v>
      </c>
      <c r="M5837" s="6" t="str">
        <f>IFERROR(__xludf.DUMMYFUNCTION("""COMPUTED_VALUE"""),"")</f>
        <v/>
      </c>
      <c r="N5837" s="6" t="str">
        <f>IFERROR(__xludf.DUMMYFUNCTION("""COMPUTED_VALUE"""),"")</f>
        <v/>
      </c>
      <c r="O5837" s="87" t="str">
        <f>IFERROR(__xludf.DUMMYFUNCTION("""COMPUTED_VALUE"""),"https://drive.google.com/drive/folders/10T2cTQHqEJZqE-st6uFKPoI?usp=share_link")</f>
        <v>https://drive.google.com/drive/folders/10T2cTQHqEJZqE-st6uFKPoI?usp=share_link</v>
      </c>
      <c r="P5837" s="6" t="str">
        <f>IFERROR(__xludf.DUMMYFUNCTION("""COMPUTED_VALUE"""),"Ny'Asia Wright")</f>
        <v>Ny'Asia Wright</v>
      </c>
      <c r="Q5837" s="6" t="str">
        <f>IFERROR(__xludf.DUMMYFUNCTION("""COMPUTED_VALUE"""),"MS")</f>
        <v>MS</v>
      </c>
      <c r="R5837" s="6">
        <f>IFERROR(__xludf.DUMMYFUNCTION("""COMPUTED_VALUE"""),0.0)</f>
        <v>0</v>
      </c>
      <c r="S5837" s="6" t="str">
        <f>IFERROR(__xludf.DUMMYFUNCTION("""COMPUTED_VALUE"""),"Kimberly Ball")</f>
        <v>Kimberly Ball</v>
      </c>
      <c r="T5837" s="6" t="str">
        <f>IFERROR(__xludf.DUMMYFUNCTION("""COMPUTED_VALUE"""),"kimberly.ball@studient.com")</f>
        <v>kimberly.ball@studient.com</v>
      </c>
      <c r="U5837" s="6" t="str">
        <f>IFERROR(__xludf.DUMMYFUNCTION("""COMPUTED_VALUE"""),"8")</f>
        <v>8</v>
      </c>
      <c r="V5837" s="6" t="str">
        <f>IFERROR(__xludf.DUMMYFUNCTION("""COMPUTED_VALUE"""),"")</f>
        <v/>
      </c>
      <c r="W5837" s="6" t="str">
        <f>IFERROR(__xludf.DUMMYFUNCTION("""COMPUTED_VALUE"""),"[]")</f>
        <v>[]</v>
      </c>
      <c r="X5837" s="6" t="str">
        <f>IFERROR(__xludf.DUMMYFUNCTION("""COMPUTED_VALUE"""),"Enrolled")</f>
        <v>Enrolled</v>
      </c>
    </row>
    <row r="5838">
      <c r="A5838" s="6" t="str">
        <f>IFERROR(__xludf.DUMMYFUNCTION("""COMPUTED_VALUE"""),"087-12435")</f>
        <v>087-12435</v>
      </c>
      <c r="B5838" s="6" t="str">
        <f>IFERROR(__xludf.DUMMYFUNCTION("""COMPUTED_VALUE"""),"87")</f>
        <v>87</v>
      </c>
      <c r="C5838" s="6" t="str">
        <f>IFERROR(__xludf.DUMMYFUNCTION("""COMPUTED_VALUE"""),"12435")</f>
        <v>12435</v>
      </c>
      <c r="D5838" s="6" t="str">
        <f>IFERROR(__xludf.DUMMYFUNCTION("""COMPUTED_VALUE"""),"Tamia")</f>
        <v>Tamia</v>
      </c>
      <c r="E5838" s="6" t="str">
        <f>IFERROR(__xludf.DUMMYFUNCTION("""COMPUTED_VALUE"""),"")</f>
        <v/>
      </c>
      <c r="F5838" s="6" t="str">
        <f>IFERROR(__xludf.DUMMYFUNCTION("""COMPUTED_VALUE"""),"Wright")</f>
        <v>Wright</v>
      </c>
      <c r="G5838" s="6" t="str">
        <f>IFERROR(__xludf.DUMMYFUNCTION("""COMPUTED_VALUE"""),"10/16/2013")</f>
        <v>10/16/2013</v>
      </c>
      <c r="H5838" s="6" t="str">
        <f>IFERROR(__xludf.DUMMYFUNCTION("""COMPUTED_VALUE"""),"female")</f>
        <v>female</v>
      </c>
      <c r="I5838" s="6" t="str">
        <f>IFERROR(__xludf.DUMMYFUNCTION("""COMPUTED_VALUE"""),"Middle School")</f>
        <v>Middle School</v>
      </c>
      <c r="J5838" s="6" t="str">
        <f>IFERROR(__xludf.DUMMYFUNCTION("""COMPUTED_VALUE"""),"6")</f>
        <v>6</v>
      </c>
      <c r="K5838" s="6" t="str">
        <f>IFERROR(__xludf.DUMMYFUNCTION("""COMPUTED_VALUE"""),"tamia.wright@2hourlearning.com")</f>
        <v>tamia.wright@2hourlearning.com</v>
      </c>
      <c r="L5838" s="6" t="str">
        <f>IFERROR(__xludf.DUMMYFUNCTION("""COMPUTED_VALUE"""),"JRHS - Ridgeland Secondary Academy of Excellence")</f>
        <v>JRHS - Ridgeland Secondary Academy of Excellence</v>
      </c>
      <c r="M5838" s="6" t="str">
        <f>IFERROR(__xludf.DUMMYFUNCTION("""COMPUTED_VALUE"""),"")</f>
        <v/>
      </c>
      <c r="N5838" s="6" t="str">
        <f>IFERROR(__xludf.DUMMYFUNCTION("""COMPUTED_VALUE"""),"")</f>
        <v/>
      </c>
      <c r="O5838" s="87" t="str">
        <f>IFERROR(__xludf.DUMMYFUNCTION("""COMPUTED_VALUE"""),"https://drive.google.com/drive/folders/10T2cTQHqEJZqE-st6uFKPoI?usp=share_link")</f>
        <v>https://drive.google.com/drive/folders/10T2cTQHqEJZqE-st6uFKPoI?usp=share_link</v>
      </c>
      <c r="P5838" s="6" t="str">
        <f>IFERROR(__xludf.DUMMYFUNCTION("""COMPUTED_VALUE"""),"Tamia Wright")</f>
        <v>Tamia Wright</v>
      </c>
      <c r="Q5838" s="6" t="str">
        <f>IFERROR(__xludf.DUMMYFUNCTION("""COMPUTED_VALUE"""),"MS")</f>
        <v>MS</v>
      </c>
      <c r="R5838" s="6">
        <f>IFERROR(__xludf.DUMMYFUNCTION("""COMPUTED_VALUE"""),0.0)</f>
        <v>0</v>
      </c>
      <c r="S5838" s="6" t="str">
        <f>IFERROR(__xludf.DUMMYFUNCTION("""COMPUTED_VALUE"""),"Kimberly Ball")</f>
        <v>Kimberly Ball</v>
      </c>
      <c r="T5838" s="6" t="str">
        <f>IFERROR(__xludf.DUMMYFUNCTION("""COMPUTED_VALUE"""),"kimberly.ball@studient.com")</f>
        <v>kimberly.ball@studient.com</v>
      </c>
      <c r="U5838" s="6" t="str">
        <f>IFERROR(__xludf.DUMMYFUNCTION("""COMPUTED_VALUE"""),"6")</f>
        <v>6</v>
      </c>
      <c r="V5838" s="6" t="str">
        <f>IFERROR(__xludf.DUMMYFUNCTION("""COMPUTED_VALUE"""),"")</f>
        <v/>
      </c>
      <c r="W5838" s="6" t="str">
        <f>IFERROR(__xludf.DUMMYFUNCTION("""COMPUTED_VALUE"""),"[]")</f>
        <v>[]</v>
      </c>
      <c r="X5838" s="6" t="str">
        <f>IFERROR(__xludf.DUMMYFUNCTION("""COMPUTED_VALUE"""),"Enrolled")</f>
        <v>Enrolled</v>
      </c>
    </row>
    <row r="5839">
      <c r="A5839" s="6" t="str">
        <f>IFERROR(__xludf.DUMMYFUNCTION("""COMPUTED_VALUE"""),"087-12436")</f>
        <v>087-12436</v>
      </c>
      <c r="B5839" s="6" t="str">
        <f>IFERROR(__xludf.DUMMYFUNCTION("""COMPUTED_VALUE"""),"87")</f>
        <v>87</v>
      </c>
      <c r="C5839" s="6" t="str">
        <f>IFERROR(__xludf.DUMMYFUNCTION("""COMPUTED_VALUE"""),"12436")</f>
        <v>12436</v>
      </c>
      <c r="D5839" s="6" t="str">
        <f>IFERROR(__xludf.DUMMYFUNCTION("""COMPUTED_VALUE"""),"Aniyaa")</f>
        <v>Aniyaa</v>
      </c>
      <c r="E5839" s="6" t="str">
        <f>IFERROR(__xludf.DUMMYFUNCTION("""COMPUTED_VALUE"""),"")</f>
        <v/>
      </c>
      <c r="F5839" s="6" t="str">
        <f>IFERROR(__xludf.DUMMYFUNCTION("""COMPUTED_VALUE"""),"Youmans")</f>
        <v>Youmans</v>
      </c>
      <c r="G5839" s="6" t="str">
        <f>IFERROR(__xludf.DUMMYFUNCTION("""COMPUTED_VALUE"""),"02/15/2012")</f>
        <v>02/15/2012</v>
      </c>
      <c r="H5839" s="6" t="str">
        <f>IFERROR(__xludf.DUMMYFUNCTION("""COMPUTED_VALUE"""),"female")</f>
        <v>female</v>
      </c>
      <c r="I5839" s="6" t="str">
        <f>IFERROR(__xludf.DUMMYFUNCTION("""COMPUTED_VALUE"""),"Middle School")</f>
        <v>Middle School</v>
      </c>
      <c r="J5839" s="6" t="str">
        <f>IFERROR(__xludf.DUMMYFUNCTION("""COMPUTED_VALUE"""),"8")</f>
        <v>8</v>
      </c>
      <c r="K5839" s="6" t="str">
        <f>IFERROR(__xludf.DUMMYFUNCTION("""COMPUTED_VALUE"""),"aniyaa.youmans@2hourlearning.com")</f>
        <v>aniyaa.youmans@2hourlearning.com</v>
      </c>
      <c r="L5839" s="6" t="str">
        <f>IFERROR(__xludf.DUMMYFUNCTION("""COMPUTED_VALUE"""),"JRHS - Ridgeland Secondary Academy of Excellence")</f>
        <v>JRHS - Ridgeland Secondary Academy of Excellence</v>
      </c>
      <c r="M5839" s="6" t="str">
        <f>IFERROR(__xludf.DUMMYFUNCTION("""COMPUTED_VALUE"""),"")</f>
        <v/>
      </c>
      <c r="N5839" s="6" t="str">
        <f>IFERROR(__xludf.DUMMYFUNCTION("""COMPUTED_VALUE"""),"")</f>
        <v/>
      </c>
      <c r="O5839" s="87" t="str">
        <f>IFERROR(__xludf.DUMMYFUNCTION("""COMPUTED_VALUE"""),"https://drive.google.com/drive/folders/10T2cTQHqEJZqE-st6uFKPoI?usp=share_link")</f>
        <v>https://drive.google.com/drive/folders/10T2cTQHqEJZqE-st6uFKPoI?usp=share_link</v>
      </c>
      <c r="P5839" s="6" t="str">
        <f>IFERROR(__xludf.DUMMYFUNCTION("""COMPUTED_VALUE"""),"Aniyaa Youmans")</f>
        <v>Aniyaa Youmans</v>
      </c>
      <c r="Q5839" s="6" t="str">
        <f>IFERROR(__xludf.DUMMYFUNCTION("""COMPUTED_VALUE"""),"MS")</f>
        <v>MS</v>
      </c>
      <c r="R5839" s="6">
        <f>IFERROR(__xludf.DUMMYFUNCTION("""COMPUTED_VALUE"""),0.0)</f>
        <v>0</v>
      </c>
      <c r="S5839" s="6" t="str">
        <f>IFERROR(__xludf.DUMMYFUNCTION("""COMPUTED_VALUE"""),"Kimberly Ball")</f>
        <v>Kimberly Ball</v>
      </c>
      <c r="T5839" s="6" t="str">
        <f>IFERROR(__xludf.DUMMYFUNCTION("""COMPUTED_VALUE"""),"kimberly.ball@studient.com")</f>
        <v>kimberly.ball@studient.com</v>
      </c>
      <c r="U5839" s="6" t="str">
        <f>IFERROR(__xludf.DUMMYFUNCTION("""COMPUTED_VALUE"""),"8")</f>
        <v>8</v>
      </c>
      <c r="V5839" s="6" t="str">
        <f>IFERROR(__xludf.DUMMYFUNCTION("""COMPUTED_VALUE"""),"")</f>
        <v/>
      </c>
      <c r="W5839" s="6" t="str">
        <f>IFERROR(__xludf.DUMMYFUNCTION("""COMPUTED_VALUE"""),"[]")</f>
        <v>[]</v>
      </c>
      <c r="X5839" s="6" t="str">
        <f>IFERROR(__xludf.DUMMYFUNCTION("""COMPUTED_VALUE"""),"Enrolled")</f>
        <v>Enrolled</v>
      </c>
    </row>
    <row r="5840">
      <c r="A5840" s="6" t="str">
        <f>IFERROR(__xludf.DUMMYFUNCTION("""COMPUTED_VALUE"""),"087-12437")</f>
        <v>087-12437</v>
      </c>
      <c r="B5840" s="6" t="str">
        <f>IFERROR(__xludf.DUMMYFUNCTION("""COMPUTED_VALUE"""),"87")</f>
        <v>87</v>
      </c>
      <c r="C5840" s="6" t="str">
        <f>IFERROR(__xludf.DUMMYFUNCTION("""COMPUTED_VALUE"""),"12437")</f>
        <v>12437</v>
      </c>
      <c r="D5840" s="6" t="str">
        <f>IFERROR(__xludf.DUMMYFUNCTION("""COMPUTED_VALUE"""),"Jaden")</f>
        <v>Jaden</v>
      </c>
      <c r="E5840" s="6" t="str">
        <f>IFERROR(__xludf.DUMMYFUNCTION("""COMPUTED_VALUE"""),"")</f>
        <v/>
      </c>
      <c r="F5840" s="6" t="str">
        <f>IFERROR(__xludf.DUMMYFUNCTION("""COMPUTED_VALUE"""),"Youmans")</f>
        <v>Youmans</v>
      </c>
      <c r="G5840" s="6" t="str">
        <f>IFERROR(__xludf.DUMMYFUNCTION("""COMPUTED_VALUE"""),"04/09/2013")</f>
        <v>04/09/2013</v>
      </c>
      <c r="H5840" s="6" t="str">
        <f>IFERROR(__xludf.DUMMYFUNCTION("""COMPUTED_VALUE"""),"male")</f>
        <v>male</v>
      </c>
      <c r="I5840" s="6" t="str">
        <f>IFERROR(__xludf.DUMMYFUNCTION("""COMPUTED_VALUE"""),"Middle School")</f>
        <v>Middle School</v>
      </c>
      <c r="J5840" s="6" t="str">
        <f>IFERROR(__xludf.DUMMYFUNCTION("""COMPUTED_VALUE"""),"7")</f>
        <v>7</v>
      </c>
      <c r="K5840" s="6" t="str">
        <f>IFERROR(__xludf.DUMMYFUNCTION("""COMPUTED_VALUE"""),"jaden.youmans@2hourlearning.com")</f>
        <v>jaden.youmans@2hourlearning.com</v>
      </c>
      <c r="L5840" s="6" t="str">
        <f>IFERROR(__xludf.DUMMYFUNCTION("""COMPUTED_VALUE"""),"JRHS - Ridgeland Secondary Academy of Excellence")</f>
        <v>JRHS - Ridgeland Secondary Academy of Excellence</v>
      </c>
      <c r="M5840" s="6" t="str">
        <f>IFERROR(__xludf.DUMMYFUNCTION("""COMPUTED_VALUE"""),"")</f>
        <v/>
      </c>
      <c r="N5840" s="6" t="str">
        <f>IFERROR(__xludf.DUMMYFUNCTION("""COMPUTED_VALUE"""),"")</f>
        <v/>
      </c>
      <c r="O5840" s="87" t="str">
        <f>IFERROR(__xludf.DUMMYFUNCTION("""COMPUTED_VALUE"""),"https://drive.google.com/drive/folders/10T2cTQHqEJZqE-st6uFKPoI?usp=share_link")</f>
        <v>https://drive.google.com/drive/folders/10T2cTQHqEJZqE-st6uFKPoI?usp=share_link</v>
      </c>
      <c r="P5840" s="6" t="str">
        <f>IFERROR(__xludf.DUMMYFUNCTION("""COMPUTED_VALUE"""),"Jaden Youmans")</f>
        <v>Jaden Youmans</v>
      </c>
      <c r="Q5840" s="6" t="str">
        <f>IFERROR(__xludf.DUMMYFUNCTION("""COMPUTED_VALUE"""),"MS")</f>
        <v>MS</v>
      </c>
      <c r="R5840" s="6">
        <f>IFERROR(__xludf.DUMMYFUNCTION("""COMPUTED_VALUE"""),0.0)</f>
        <v>0</v>
      </c>
      <c r="S5840" s="6" t="str">
        <f>IFERROR(__xludf.DUMMYFUNCTION("""COMPUTED_VALUE"""),"Kimberly Ball")</f>
        <v>Kimberly Ball</v>
      </c>
      <c r="T5840" s="6" t="str">
        <f>IFERROR(__xludf.DUMMYFUNCTION("""COMPUTED_VALUE"""),"kimberly.ball@studient.com")</f>
        <v>kimberly.ball@studient.com</v>
      </c>
      <c r="U5840" s="6" t="str">
        <f>IFERROR(__xludf.DUMMYFUNCTION("""COMPUTED_VALUE"""),"7")</f>
        <v>7</v>
      </c>
      <c r="V5840" s="6" t="str">
        <f>IFERROR(__xludf.DUMMYFUNCTION("""COMPUTED_VALUE"""),"")</f>
        <v/>
      </c>
      <c r="W5840" s="6" t="str">
        <f>IFERROR(__xludf.DUMMYFUNCTION("""COMPUTED_VALUE"""),"[]")</f>
        <v>[]</v>
      </c>
      <c r="X5840" s="6" t="str">
        <f>IFERROR(__xludf.DUMMYFUNCTION("""COMPUTED_VALUE"""),"Enrolled")</f>
        <v>Enrolled</v>
      </c>
    </row>
    <row r="5841">
      <c r="A5841" s="6" t="str">
        <f>IFERROR(__xludf.DUMMYFUNCTION("""COMPUTED_VALUE"""),"087-12438")</f>
        <v>087-12438</v>
      </c>
      <c r="B5841" s="6" t="str">
        <f>IFERROR(__xludf.DUMMYFUNCTION("""COMPUTED_VALUE"""),"87")</f>
        <v>87</v>
      </c>
      <c r="C5841" s="6" t="str">
        <f>IFERROR(__xludf.DUMMYFUNCTION("""COMPUTED_VALUE"""),"12438")</f>
        <v>12438</v>
      </c>
      <c r="D5841" s="6" t="str">
        <f>IFERROR(__xludf.DUMMYFUNCTION("""COMPUTED_VALUE"""),"Morgan")</f>
        <v>Morgan</v>
      </c>
      <c r="E5841" s="6" t="str">
        <f>IFERROR(__xludf.DUMMYFUNCTION("""COMPUTED_VALUE"""),"")</f>
        <v/>
      </c>
      <c r="F5841" s="6" t="str">
        <f>IFERROR(__xludf.DUMMYFUNCTION("""COMPUTED_VALUE"""),"Young")</f>
        <v>Young</v>
      </c>
      <c r="G5841" s="6" t="str">
        <f>IFERROR(__xludf.DUMMYFUNCTION("""COMPUTED_VALUE"""),"05/29/2014")</f>
        <v>05/29/2014</v>
      </c>
      <c r="H5841" s="6" t="str">
        <f>IFERROR(__xludf.DUMMYFUNCTION("""COMPUTED_VALUE"""),"female")</f>
        <v>female</v>
      </c>
      <c r="I5841" s="6" t="str">
        <f>IFERROR(__xludf.DUMMYFUNCTION("""COMPUTED_VALUE"""),"Middle School")</f>
        <v>Middle School</v>
      </c>
      <c r="J5841" s="6" t="str">
        <f>IFERROR(__xludf.DUMMYFUNCTION("""COMPUTED_VALUE"""),"6")</f>
        <v>6</v>
      </c>
      <c r="K5841" s="6" t="str">
        <f>IFERROR(__xludf.DUMMYFUNCTION("""COMPUTED_VALUE"""),"morgan.young@2hourlearning.com")</f>
        <v>morgan.young@2hourlearning.com</v>
      </c>
      <c r="L5841" s="6" t="str">
        <f>IFERROR(__xludf.DUMMYFUNCTION("""COMPUTED_VALUE"""),"JRHS - Ridgeland Secondary Academy of Excellence")</f>
        <v>JRHS - Ridgeland Secondary Academy of Excellence</v>
      </c>
      <c r="M5841" s="6" t="str">
        <f>IFERROR(__xludf.DUMMYFUNCTION("""COMPUTED_VALUE"""),"")</f>
        <v/>
      </c>
      <c r="N5841" s="6" t="str">
        <f>IFERROR(__xludf.DUMMYFUNCTION("""COMPUTED_VALUE"""),"")</f>
        <v/>
      </c>
      <c r="O5841" s="87" t="str">
        <f>IFERROR(__xludf.DUMMYFUNCTION("""COMPUTED_VALUE"""),"https://drive.google.com/drive/folders/10T2cTQHqEJZqE-st6uFKPoI?usp=share_link")</f>
        <v>https://drive.google.com/drive/folders/10T2cTQHqEJZqE-st6uFKPoI?usp=share_link</v>
      </c>
      <c r="P5841" s="6" t="str">
        <f>IFERROR(__xludf.DUMMYFUNCTION("""COMPUTED_VALUE"""),"Morgan Young")</f>
        <v>Morgan Young</v>
      </c>
      <c r="Q5841" s="6" t="str">
        <f>IFERROR(__xludf.DUMMYFUNCTION("""COMPUTED_VALUE"""),"MS")</f>
        <v>MS</v>
      </c>
      <c r="R5841" s="6">
        <f>IFERROR(__xludf.DUMMYFUNCTION("""COMPUTED_VALUE"""),0.0)</f>
        <v>0</v>
      </c>
      <c r="S5841" s="6" t="str">
        <f>IFERROR(__xludf.DUMMYFUNCTION("""COMPUTED_VALUE"""),"Kimberly Ball")</f>
        <v>Kimberly Ball</v>
      </c>
      <c r="T5841" s="6" t="str">
        <f>IFERROR(__xludf.DUMMYFUNCTION("""COMPUTED_VALUE"""),"kimberly.ball@studient.com")</f>
        <v>kimberly.ball@studient.com</v>
      </c>
      <c r="U5841" s="6" t="str">
        <f>IFERROR(__xludf.DUMMYFUNCTION("""COMPUTED_VALUE"""),"6")</f>
        <v>6</v>
      </c>
      <c r="V5841" s="6" t="str">
        <f>IFERROR(__xludf.DUMMYFUNCTION("""COMPUTED_VALUE"""),"")</f>
        <v/>
      </c>
      <c r="W5841" s="6" t="str">
        <f>IFERROR(__xludf.DUMMYFUNCTION("""COMPUTED_VALUE"""),"[]")</f>
        <v>[]</v>
      </c>
      <c r="X5841" s="6" t="str">
        <f>IFERROR(__xludf.DUMMYFUNCTION("""COMPUTED_VALUE"""),"Enrolled")</f>
        <v>Enrolled</v>
      </c>
    </row>
    <row r="5842">
      <c r="A5842" s="6" t="str">
        <f>IFERROR(__xludf.DUMMYFUNCTION("""COMPUTED_VALUE"""),"087-12439")</f>
        <v>087-12439</v>
      </c>
      <c r="B5842" s="6" t="str">
        <f>IFERROR(__xludf.DUMMYFUNCTION("""COMPUTED_VALUE"""),"87")</f>
        <v>87</v>
      </c>
      <c r="C5842" s="6" t="str">
        <f>IFERROR(__xludf.DUMMYFUNCTION("""COMPUTED_VALUE"""),"12439")</f>
        <v>12439</v>
      </c>
      <c r="D5842" s="6" t="str">
        <f>IFERROR(__xludf.DUMMYFUNCTION("""COMPUTED_VALUE"""),"Leilany")</f>
        <v>Leilany</v>
      </c>
      <c r="E5842" s="6" t="str">
        <f>IFERROR(__xludf.DUMMYFUNCTION("""COMPUTED_VALUE"""),"")</f>
        <v/>
      </c>
      <c r="F5842" s="6" t="str">
        <f>IFERROR(__xludf.DUMMYFUNCTION("""COMPUTED_VALUE"""),"Zarate")</f>
        <v>Zarate</v>
      </c>
      <c r="G5842" s="6" t="str">
        <f>IFERROR(__xludf.DUMMYFUNCTION("""COMPUTED_VALUE"""),"04/22/2013")</f>
        <v>04/22/2013</v>
      </c>
      <c r="H5842" s="6" t="str">
        <f>IFERROR(__xludf.DUMMYFUNCTION("""COMPUTED_VALUE"""),"Self Identify")</f>
        <v>Self Identify</v>
      </c>
      <c r="I5842" s="6" t="str">
        <f>IFERROR(__xludf.DUMMYFUNCTION("""COMPUTED_VALUE"""),"Middle School")</f>
        <v>Middle School</v>
      </c>
      <c r="J5842" s="6" t="str">
        <f>IFERROR(__xludf.DUMMYFUNCTION("""COMPUTED_VALUE"""),"7")</f>
        <v>7</v>
      </c>
      <c r="K5842" s="6" t="str">
        <f>IFERROR(__xludf.DUMMYFUNCTION("""COMPUTED_VALUE"""),"leilany.zarate@2hourlearning.com")</f>
        <v>leilany.zarate@2hourlearning.com</v>
      </c>
      <c r="L5842" s="6" t="str">
        <f>IFERROR(__xludf.DUMMYFUNCTION("""COMPUTED_VALUE"""),"JRHS - Ridgeland Secondary Academy of Excellence")</f>
        <v>JRHS - Ridgeland Secondary Academy of Excellence</v>
      </c>
      <c r="M5842" s="6" t="str">
        <f>IFERROR(__xludf.DUMMYFUNCTION("""COMPUTED_VALUE"""),"")</f>
        <v/>
      </c>
      <c r="N5842" s="6" t="str">
        <f>IFERROR(__xludf.DUMMYFUNCTION("""COMPUTED_VALUE"""),"")</f>
        <v/>
      </c>
      <c r="O5842" s="87" t="str">
        <f>IFERROR(__xludf.DUMMYFUNCTION("""COMPUTED_VALUE"""),"https://drive.google.com/drive/folders/10T2cTQHqEJZqE-st6uFKPoI?usp=share_link")</f>
        <v>https://drive.google.com/drive/folders/10T2cTQHqEJZqE-st6uFKPoI?usp=share_link</v>
      </c>
      <c r="P5842" s="6" t="str">
        <f>IFERROR(__xludf.DUMMYFUNCTION("""COMPUTED_VALUE"""),"Leilany Zarate")</f>
        <v>Leilany Zarate</v>
      </c>
      <c r="Q5842" s="6" t="str">
        <f>IFERROR(__xludf.DUMMYFUNCTION("""COMPUTED_VALUE"""),"MS")</f>
        <v>MS</v>
      </c>
      <c r="R5842" s="6">
        <f>IFERROR(__xludf.DUMMYFUNCTION("""COMPUTED_VALUE"""),0.0)</f>
        <v>0</v>
      </c>
      <c r="S5842" s="6" t="str">
        <f>IFERROR(__xludf.DUMMYFUNCTION("""COMPUTED_VALUE"""),"Kimberly Ball")</f>
        <v>Kimberly Ball</v>
      </c>
      <c r="T5842" s="6" t="str">
        <f>IFERROR(__xludf.DUMMYFUNCTION("""COMPUTED_VALUE"""),"kimberly.ball@studient.com")</f>
        <v>kimberly.ball@studient.com</v>
      </c>
      <c r="U5842" s="6" t="str">
        <f>IFERROR(__xludf.DUMMYFUNCTION("""COMPUTED_VALUE"""),"7")</f>
        <v>7</v>
      </c>
      <c r="V5842" s="6" t="str">
        <f>IFERROR(__xludf.DUMMYFUNCTION("""COMPUTED_VALUE"""),"")</f>
        <v/>
      </c>
      <c r="W5842" s="6" t="str">
        <f>IFERROR(__xludf.DUMMYFUNCTION("""COMPUTED_VALUE"""),"[]")</f>
        <v>[]</v>
      </c>
      <c r="X5842" s="6" t="str">
        <f>IFERROR(__xludf.DUMMYFUNCTION("""COMPUTED_VALUE"""),"Enrolled")</f>
        <v>Enrolled</v>
      </c>
    </row>
    <row r="5843">
      <c r="A5843" s="6" t="str">
        <f>IFERROR(__xludf.DUMMYFUNCTION("""COMPUTED_VALUE"""),"087-12440")</f>
        <v>087-12440</v>
      </c>
      <c r="B5843" s="6" t="str">
        <f>IFERROR(__xludf.DUMMYFUNCTION("""COMPUTED_VALUE"""),"87")</f>
        <v>87</v>
      </c>
      <c r="C5843" s="6" t="str">
        <f>IFERROR(__xludf.DUMMYFUNCTION("""COMPUTED_VALUE"""),"12440")</f>
        <v>12440</v>
      </c>
      <c r="D5843" s="6" t="str">
        <f>IFERROR(__xludf.DUMMYFUNCTION("""COMPUTED_VALUE"""),"Nevaeh")</f>
        <v>Nevaeh</v>
      </c>
      <c r="E5843" s="6" t="str">
        <f>IFERROR(__xludf.DUMMYFUNCTION("""COMPUTED_VALUE"""),"")</f>
        <v/>
      </c>
      <c r="F5843" s="6" t="str">
        <f>IFERROR(__xludf.DUMMYFUNCTION("""COMPUTED_VALUE"""),"Zinnerman")</f>
        <v>Zinnerman</v>
      </c>
      <c r="G5843" s="6" t="str">
        <f>IFERROR(__xludf.DUMMYFUNCTION("""COMPUTED_VALUE"""),"04/25/2013")</f>
        <v>04/25/2013</v>
      </c>
      <c r="H5843" s="6" t="str">
        <f>IFERROR(__xludf.DUMMYFUNCTION("""COMPUTED_VALUE"""),"female")</f>
        <v>female</v>
      </c>
      <c r="I5843" s="6" t="str">
        <f>IFERROR(__xludf.DUMMYFUNCTION("""COMPUTED_VALUE"""),"Middle School")</f>
        <v>Middle School</v>
      </c>
      <c r="J5843" s="6" t="str">
        <f>IFERROR(__xludf.DUMMYFUNCTION("""COMPUTED_VALUE"""),"7")</f>
        <v>7</v>
      </c>
      <c r="K5843" s="6" t="str">
        <f>IFERROR(__xludf.DUMMYFUNCTION("""COMPUTED_VALUE"""),"nevaeh.zinnerman@2hourlearning.com")</f>
        <v>nevaeh.zinnerman@2hourlearning.com</v>
      </c>
      <c r="L5843" s="6" t="str">
        <f>IFERROR(__xludf.DUMMYFUNCTION("""COMPUTED_VALUE"""),"JRHS - Ridgeland Secondary Academy of Excellence")</f>
        <v>JRHS - Ridgeland Secondary Academy of Excellence</v>
      </c>
      <c r="M5843" s="6" t="str">
        <f>IFERROR(__xludf.DUMMYFUNCTION("""COMPUTED_VALUE"""),"")</f>
        <v/>
      </c>
      <c r="N5843" s="6" t="str">
        <f>IFERROR(__xludf.DUMMYFUNCTION("""COMPUTED_VALUE"""),"")</f>
        <v/>
      </c>
      <c r="O5843" s="87" t="str">
        <f>IFERROR(__xludf.DUMMYFUNCTION("""COMPUTED_VALUE"""),"https://drive.google.com/drive/folders/10T2cTQHqEJZqE-st6uFKPoI?usp=share_link")</f>
        <v>https://drive.google.com/drive/folders/10T2cTQHqEJZqE-st6uFKPoI?usp=share_link</v>
      </c>
      <c r="P5843" s="6" t="str">
        <f>IFERROR(__xludf.DUMMYFUNCTION("""COMPUTED_VALUE"""),"Nevaeh Zinnerman")</f>
        <v>Nevaeh Zinnerman</v>
      </c>
      <c r="Q5843" s="6" t="str">
        <f>IFERROR(__xludf.DUMMYFUNCTION("""COMPUTED_VALUE"""),"MS")</f>
        <v>MS</v>
      </c>
      <c r="R5843" s="6">
        <f>IFERROR(__xludf.DUMMYFUNCTION("""COMPUTED_VALUE"""),0.0)</f>
        <v>0</v>
      </c>
      <c r="S5843" s="6" t="str">
        <f>IFERROR(__xludf.DUMMYFUNCTION("""COMPUTED_VALUE"""),"Kimberly Ball")</f>
        <v>Kimberly Ball</v>
      </c>
      <c r="T5843" s="6" t="str">
        <f>IFERROR(__xludf.DUMMYFUNCTION("""COMPUTED_VALUE"""),"kimberly.ball@studient.com")</f>
        <v>kimberly.ball@studient.com</v>
      </c>
      <c r="U5843" s="6" t="str">
        <f>IFERROR(__xludf.DUMMYFUNCTION("""COMPUTED_VALUE"""),"7")</f>
        <v>7</v>
      </c>
      <c r="V5843" s="6" t="str">
        <f>IFERROR(__xludf.DUMMYFUNCTION("""COMPUTED_VALUE"""),"")</f>
        <v/>
      </c>
      <c r="W5843" s="6" t="str">
        <f>IFERROR(__xludf.DUMMYFUNCTION("""COMPUTED_VALUE"""),"[]")</f>
        <v>[]</v>
      </c>
      <c r="X5843" s="6" t="str">
        <f>IFERROR(__xludf.DUMMYFUNCTION("""COMPUTED_VALUE"""),"Enrolled")</f>
        <v>Enrolled</v>
      </c>
    </row>
    <row r="5844">
      <c r="A5844" s="6" t="str">
        <f>IFERROR(__xludf.DUMMYFUNCTION("""COMPUTED_VALUE"""),"088-11867")</f>
        <v>088-11867</v>
      </c>
      <c r="B5844" s="6" t="str">
        <f>IFERROR(__xludf.DUMMYFUNCTION("""COMPUTED_VALUE"""),"88")</f>
        <v>88</v>
      </c>
      <c r="C5844" s="6" t="str">
        <f>IFERROR(__xludf.DUMMYFUNCTION("""COMPUTED_VALUE"""),"11867")</f>
        <v>11867</v>
      </c>
      <c r="D5844" s="6" t="str">
        <f>IFERROR(__xludf.DUMMYFUNCTION("""COMPUTED_VALUE"""),"Dahmari")</f>
        <v>Dahmari</v>
      </c>
      <c r="E5844" s="6" t="str">
        <f>IFERROR(__xludf.DUMMYFUNCTION("""COMPUTED_VALUE"""),"")</f>
        <v/>
      </c>
      <c r="F5844" s="6" t="str">
        <f>IFERROR(__xludf.DUMMYFUNCTION("""COMPUTED_VALUE"""),"Allen")</f>
        <v>Allen</v>
      </c>
      <c r="G5844" s="6" t="str">
        <f>IFERROR(__xludf.DUMMYFUNCTION("""COMPUTED_VALUE"""),"09/27/2016")</f>
        <v>09/27/2016</v>
      </c>
      <c r="H5844" s="6" t="str">
        <f>IFERROR(__xludf.DUMMYFUNCTION("""COMPUTED_VALUE"""),"male")</f>
        <v>male</v>
      </c>
      <c r="I5844" s="6" t="str">
        <f>IFERROR(__xludf.DUMMYFUNCTION("""COMPUTED_VALUE"""),"Level 1")</f>
        <v>Level 1</v>
      </c>
      <c r="J5844" s="6" t="str">
        <f>IFERROR(__xludf.DUMMYFUNCTION("""COMPUTED_VALUE"""),"3")</f>
        <v>3</v>
      </c>
      <c r="K5844" s="6" t="str">
        <f>IFERROR(__xludf.DUMMYFUNCTION("""COMPUTED_VALUE"""),"dahmari.allen@2hourlearning.com")</f>
        <v>dahmari.allen@2hourlearning.com</v>
      </c>
      <c r="L5844" s="6" t="str">
        <f>IFERROR(__xludf.DUMMYFUNCTION("""COMPUTED_VALUE"""),"AFES - Allendale Fairfax Elementary School")</f>
        <v>AFES - Allendale Fairfax Elementary School</v>
      </c>
      <c r="M5844" s="6" t="str">
        <f>IFERROR(__xludf.DUMMYFUNCTION("""COMPUTED_VALUE"""),"")</f>
        <v/>
      </c>
      <c r="N5844" s="6" t="str">
        <f>IFERROR(__xludf.DUMMYFUNCTION("""COMPUTED_VALUE"""),"")</f>
        <v/>
      </c>
      <c r="O5844" s="87" t="str">
        <f>IFERROR(__xludf.DUMMYFUNCTION("""COMPUTED_VALUE"""),"https://drive.google.com/drive/folders/10T2cTQHqEJZqE-st6uFKPoI?usp=share_link")</f>
        <v>https://drive.google.com/drive/folders/10T2cTQHqEJZqE-st6uFKPoI?usp=share_link</v>
      </c>
      <c r="P5844" s="6" t="str">
        <f>IFERROR(__xludf.DUMMYFUNCTION("""COMPUTED_VALUE"""),"Dahmari Allen")</f>
        <v>Dahmari Allen</v>
      </c>
      <c r="Q5844" s="6" t="str">
        <f>IFERROR(__xludf.DUMMYFUNCTION("""COMPUTED_VALUE"""),"L1")</f>
        <v>L1</v>
      </c>
      <c r="R5844" s="6">
        <f>IFERROR(__xludf.DUMMYFUNCTION("""COMPUTED_VALUE"""),1.0)</f>
        <v>1</v>
      </c>
      <c r="S5844" s="6" t="str">
        <f>IFERROR(__xludf.DUMMYFUNCTION("""COMPUTED_VALUE"""),"Kimberly Ball")</f>
        <v>Kimberly Ball</v>
      </c>
      <c r="T5844" s="6" t="str">
        <f>IFERROR(__xludf.DUMMYFUNCTION("""COMPUTED_VALUE"""),"kimberly.ball@studient.com")</f>
        <v>kimberly.ball@studient.com</v>
      </c>
      <c r="U5844" s="6" t="str">
        <f>IFERROR(__xludf.DUMMYFUNCTION("""COMPUTED_VALUE"""),"3")</f>
        <v>3</v>
      </c>
      <c r="V5844" s="6" t="str">
        <f>IFERROR(__xludf.DUMMYFUNCTION("""COMPUTED_VALUE"""),"")</f>
        <v/>
      </c>
      <c r="W5844" s="6" t="str">
        <f>IFERROR(__xludf.DUMMYFUNCTION("""COMPUTED_VALUE"""),"[]")</f>
        <v>[]</v>
      </c>
      <c r="X5844" s="6" t="str">
        <f>IFERROR(__xludf.DUMMYFUNCTION("""COMPUTED_VALUE"""),"Enrolled")</f>
        <v>Enrolled</v>
      </c>
    </row>
    <row r="5845">
      <c r="A5845" s="6" t="str">
        <f>IFERROR(__xludf.DUMMYFUNCTION("""COMPUTED_VALUE"""),"088-11868")</f>
        <v>088-11868</v>
      </c>
      <c r="B5845" s="6" t="str">
        <f>IFERROR(__xludf.DUMMYFUNCTION("""COMPUTED_VALUE"""),"88")</f>
        <v>88</v>
      </c>
      <c r="C5845" s="6" t="str">
        <f>IFERROR(__xludf.DUMMYFUNCTION("""COMPUTED_VALUE"""),"11868")</f>
        <v>11868</v>
      </c>
      <c r="D5845" s="6" t="str">
        <f>IFERROR(__xludf.DUMMYFUNCTION("""COMPUTED_VALUE"""),"Annalise")</f>
        <v>Annalise</v>
      </c>
      <c r="E5845" s="6" t="str">
        <f>IFERROR(__xludf.DUMMYFUNCTION("""COMPUTED_VALUE"""),"")</f>
        <v/>
      </c>
      <c r="F5845" s="6" t="str">
        <f>IFERROR(__xludf.DUMMYFUNCTION("""COMPUTED_VALUE"""),"Andrews")</f>
        <v>Andrews</v>
      </c>
      <c r="G5845" s="6" t="str">
        <f>IFERROR(__xludf.DUMMYFUNCTION("""COMPUTED_VALUE"""),"06/21/2017")</f>
        <v>06/21/2017</v>
      </c>
      <c r="H5845" s="6" t="str">
        <f>IFERROR(__xludf.DUMMYFUNCTION("""COMPUTED_VALUE"""),"female")</f>
        <v>female</v>
      </c>
      <c r="I5845" s="6" t="str">
        <f>IFERROR(__xludf.DUMMYFUNCTION("""COMPUTED_VALUE"""),"Level 1")</f>
        <v>Level 1</v>
      </c>
      <c r="J5845" s="6" t="str">
        <f>IFERROR(__xludf.DUMMYFUNCTION("""COMPUTED_VALUE"""),"3")</f>
        <v>3</v>
      </c>
      <c r="K5845" s="6" t="str">
        <f>IFERROR(__xludf.DUMMYFUNCTION("""COMPUTED_VALUE"""),"annalise.andrews@2hourlearning.com")</f>
        <v>annalise.andrews@2hourlearning.com</v>
      </c>
      <c r="L5845" s="6" t="str">
        <f>IFERROR(__xludf.DUMMYFUNCTION("""COMPUTED_VALUE"""),"AFES - Allendale Fairfax Elementary School")</f>
        <v>AFES - Allendale Fairfax Elementary School</v>
      </c>
      <c r="M5845" s="6" t="str">
        <f>IFERROR(__xludf.DUMMYFUNCTION("""COMPUTED_VALUE"""),"")</f>
        <v/>
      </c>
      <c r="N5845" s="6" t="str">
        <f>IFERROR(__xludf.DUMMYFUNCTION("""COMPUTED_VALUE"""),"")</f>
        <v/>
      </c>
      <c r="O5845" s="87" t="str">
        <f>IFERROR(__xludf.DUMMYFUNCTION("""COMPUTED_VALUE"""),"https://drive.google.com/drive/folders/10T2cTQHqEJZqE-st6uFKPoI?usp=share_link")</f>
        <v>https://drive.google.com/drive/folders/10T2cTQHqEJZqE-st6uFKPoI?usp=share_link</v>
      </c>
      <c r="P5845" s="6" t="str">
        <f>IFERROR(__xludf.DUMMYFUNCTION("""COMPUTED_VALUE"""),"Annalise Andrews")</f>
        <v>Annalise Andrews</v>
      </c>
      <c r="Q5845" s="6" t="str">
        <f>IFERROR(__xludf.DUMMYFUNCTION("""COMPUTED_VALUE"""),"L1")</f>
        <v>L1</v>
      </c>
      <c r="R5845" s="6">
        <f>IFERROR(__xludf.DUMMYFUNCTION("""COMPUTED_VALUE"""),1.0)</f>
        <v>1</v>
      </c>
      <c r="S5845" s="6" t="str">
        <f>IFERROR(__xludf.DUMMYFUNCTION("""COMPUTED_VALUE"""),"Kimberly Ball")</f>
        <v>Kimberly Ball</v>
      </c>
      <c r="T5845" s="6" t="str">
        <f>IFERROR(__xludf.DUMMYFUNCTION("""COMPUTED_VALUE"""),"kimberly.ball@studient.com")</f>
        <v>kimberly.ball@studient.com</v>
      </c>
      <c r="U5845" s="6" t="str">
        <f>IFERROR(__xludf.DUMMYFUNCTION("""COMPUTED_VALUE"""),"3")</f>
        <v>3</v>
      </c>
      <c r="V5845" s="6" t="str">
        <f>IFERROR(__xludf.DUMMYFUNCTION("""COMPUTED_VALUE"""),"")</f>
        <v/>
      </c>
      <c r="W5845" s="6" t="str">
        <f>IFERROR(__xludf.DUMMYFUNCTION("""COMPUTED_VALUE"""),"[]")</f>
        <v>[]</v>
      </c>
      <c r="X5845" s="6" t="str">
        <f>IFERROR(__xludf.DUMMYFUNCTION("""COMPUTED_VALUE"""),"Enrolled")</f>
        <v>Enrolled</v>
      </c>
    </row>
    <row r="5846">
      <c r="A5846" s="6" t="str">
        <f>IFERROR(__xludf.DUMMYFUNCTION("""COMPUTED_VALUE"""),"088-11869")</f>
        <v>088-11869</v>
      </c>
      <c r="B5846" s="6" t="str">
        <f>IFERROR(__xludf.DUMMYFUNCTION("""COMPUTED_VALUE"""),"88")</f>
        <v>88</v>
      </c>
      <c r="C5846" s="6" t="str">
        <f>IFERROR(__xludf.DUMMYFUNCTION("""COMPUTED_VALUE"""),"11869")</f>
        <v>11869</v>
      </c>
      <c r="D5846" s="6" t="str">
        <f>IFERROR(__xludf.DUMMYFUNCTION("""COMPUTED_VALUE"""),"Zohei")</f>
        <v>Zohei</v>
      </c>
      <c r="E5846" s="6" t="str">
        <f>IFERROR(__xludf.DUMMYFUNCTION("""COMPUTED_VALUE"""),"")</f>
        <v/>
      </c>
      <c r="F5846" s="6" t="str">
        <f>IFERROR(__xludf.DUMMYFUNCTION("""COMPUTED_VALUE"""),"Capers")</f>
        <v>Capers</v>
      </c>
      <c r="G5846" s="6" t="str">
        <f>IFERROR(__xludf.DUMMYFUNCTION("""COMPUTED_VALUE"""),"10/14/2016")</f>
        <v>10/14/2016</v>
      </c>
      <c r="H5846" s="6" t="str">
        <f>IFERROR(__xludf.DUMMYFUNCTION("""COMPUTED_VALUE"""),"female")</f>
        <v>female</v>
      </c>
      <c r="I5846" s="6" t="str">
        <f>IFERROR(__xludf.DUMMYFUNCTION("""COMPUTED_VALUE"""),"Level 1")</f>
        <v>Level 1</v>
      </c>
      <c r="J5846" s="6" t="str">
        <f>IFERROR(__xludf.DUMMYFUNCTION("""COMPUTED_VALUE"""),"3")</f>
        <v>3</v>
      </c>
      <c r="K5846" s="6" t="str">
        <f>IFERROR(__xludf.DUMMYFUNCTION("""COMPUTED_VALUE"""),"zohei.capers@2hourlearning.com")</f>
        <v>zohei.capers@2hourlearning.com</v>
      </c>
      <c r="L5846" s="6" t="str">
        <f>IFERROR(__xludf.DUMMYFUNCTION("""COMPUTED_VALUE"""),"AFES - Allendale Fairfax Elementary School")</f>
        <v>AFES - Allendale Fairfax Elementary School</v>
      </c>
      <c r="M5846" s="6" t="str">
        <f>IFERROR(__xludf.DUMMYFUNCTION("""COMPUTED_VALUE"""),"")</f>
        <v/>
      </c>
      <c r="N5846" s="6" t="str">
        <f>IFERROR(__xludf.DUMMYFUNCTION("""COMPUTED_VALUE"""),"")</f>
        <v/>
      </c>
      <c r="O5846" s="87" t="str">
        <f>IFERROR(__xludf.DUMMYFUNCTION("""COMPUTED_VALUE"""),"https://drive.google.com/drive/folders/10T2cTQHqEJZqE-st6uFKPoI?usp=share_link")</f>
        <v>https://drive.google.com/drive/folders/10T2cTQHqEJZqE-st6uFKPoI?usp=share_link</v>
      </c>
      <c r="P5846" s="6" t="str">
        <f>IFERROR(__xludf.DUMMYFUNCTION("""COMPUTED_VALUE"""),"Zohei Capers")</f>
        <v>Zohei Capers</v>
      </c>
      <c r="Q5846" s="6" t="str">
        <f>IFERROR(__xludf.DUMMYFUNCTION("""COMPUTED_VALUE"""),"L1")</f>
        <v>L1</v>
      </c>
      <c r="R5846" s="6">
        <f>IFERROR(__xludf.DUMMYFUNCTION("""COMPUTED_VALUE"""),1.0)</f>
        <v>1</v>
      </c>
      <c r="S5846" s="6" t="str">
        <f>IFERROR(__xludf.DUMMYFUNCTION("""COMPUTED_VALUE"""),"Kimberly Ball")</f>
        <v>Kimberly Ball</v>
      </c>
      <c r="T5846" s="6" t="str">
        <f>IFERROR(__xludf.DUMMYFUNCTION("""COMPUTED_VALUE"""),"kimberly.ball@studient.com")</f>
        <v>kimberly.ball@studient.com</v>
      </c>
      <c r="U5846" s="6" t="str">
        <f>IFERROR(__xludf.DUMMYFUNCTION("""COMPUTED_VALUE"""),"3")</f>
        <v>3</v>
      </c>
      <c r="V5846" s="6" t="str">
        <f>IFERROR(__xludf.DUMMYFUNCTION("""COMPUTED_VALUE"""),"")</f>
        <v/>
      </c>
      <c r="W5846" s="6" t="str">
        <f>IFERROR(__xludf.DUMMYFUNCTION("""COMPUTED_VALUE"""),"[]")</f>
        <v>[]</v>
      </c>
      <c r="X5846" s="6" t="str">
        <f>IFERROR(__xludf.DUMMYFUNCTION("""COMPUTED_VALUE"""),"Enrolled")</f>
        <v>Enrolled</v>
      </c>
    </row>
    <row r="5847">
      <c r="A5847" s="6" t="str">
        <f>IFERROR(__xludf.DUMMYFUNCTION("""COMPUTED_VALUE"""),"088-11870")</f>
        <v>088-11870</v>
      </c>
      <c r="B5847" s="6" t="str">
        <f>IFERROR(__xludf.DUMMYFUNCTION("""COMPUTED_VALUE"""),"88")</f>
        <v>88</v>
      </c>
      <c r="C5847" s="6" t="str">
        <f>IFERROR(__xludf.DUMMYFUNCTION("""COMPUTED_VALUE"""),"11870")</f>
        <v>11870</v>
      </c>
      <c r="D5847" s="6" t="str">
        <f>IFERROR(__xludf.DUMMYFUNCTION("""COMPUTED_VALUE"""),"Kelsyn")</f>
        <v>Kelsyn</v>
      </c>
      <c r="E5847" s="6" t="str">
        <f>IFERROR(__xludf.DUMMYFUNCTION("""COMPUTED_VALUE"""),"")</f>
        <v/>
      </c>
      <c r="F5847" s="6" t="str">
        <f>IFERROR(__xludf.DUMMYFUNCTION("""COMPUTED_VALUE"""),"Chisolm")</f>
        <v>Chisolm</v>
      </c>
      <c r="G5847" s="6" t="str">
        <f>IFERROR(__xludf.DUMMYFUNCTION("""COMPUTED_VALUE"""),"04/06/2019")</f>
        <v>04/06/2019</v>
      </c>
      <c r="H5847" s="6" t="str">
        <f>IFERROR(__xludf.DUMMYFUNCTION("""COMPUTED_VALUE"""),"female")</f>
        <v>female</v>
      </c>
      <c r="I5847" s="6" t="str">
        <f>IFERROR(__xludf.DUMMYFUNCTION("""COMPUTED_VALUE"""),"Level 1")</f>
        <v>Level 1</v>
      </c>
      <c r="J5847" s="6" t="str">
        <f>IFERROR(__xludf.DUMMYFUNCTION("""COMPUTED_VALUE"""),"3")</f>
        <v>3</v>
      </c>
      <c r="K5847" s="6" t="str">
        <f>IFERROR(__xludf.DUMMYFUNCTION("""COMPUTED_VALUE"""),"kelsyn.chisolm@2hourlearning.com")</f>
        <v>kelsyn.chisolm@2hourlearning.com</v>
      </c>
      <c r="L5847" s="6" t="str">
        <f>IFERROR(__xludf.DUMMYFUNCTION("""COMPUTED_VALUE"""),"AFES - Allendale Fairfax Elementary School")</f>
        <v>AFES - Allendale Fairfax Elementary School</v>
      </c>
      <c r="M5847" s="6" t="str">
        <f>IFERROR(__xludf.DUMMYFUNCTION("""COMPUTED_VALUE"""),"")</f>
        <v/>
      </c>
      <c r="N5847" s="6" t="str">
        <f>IFERROR(__xludf.DUMMYFUNCTION("""COMPUTED_VALUE"""),"")</f>
        <v/>
      </c>
      <c r="O5847" s="87" t="str">
        <f>IFERROR(__xludf.DUMMYFUNCTION("""COMPUTED_VALUE"""),"https://drive.google.com/drive/folders/10T2cTQHqEJZqE-st6uFKPoI?usp=share_link")</f>
        <v>https://drive.google.com/drive/folders/10T2cTQHqEJZqE-st6uFKPoI?usp=share_link</v>
      </c>
      <c r="P5847" s="6" t="str">
        <f>IFERROR(__xludf.DUMMYFUNCTION("""COMPUTED_VALUE"""),"Kelsyn Chisolm")</f>
        <v>Kelsyn Chisolm</v>
      </c>
      <c r="Q5847" s="6" t="str">
        <f>IFERROR(__xludf.DUMMYFUNCTION("""COMPUTED_VALUE"""),"L1")</f>
        <v>L1</v>
      </c>
      <c r="R5847" s="6">
        <f>IFERROR(__xludf.DUMMYFUNCTION("""COMPUTED_VALUE"""),1.0)</f>
        <v>1</v>
      </c>
      <c r="S5847" s="6" t="str">
        <f>IFERROR(__xludf.DUMMYFUNCTION("""COMPUTED_VALUE"""),"Kimberly Ball")</f>
        <v>Kimberly Ball</v>
      </c>
      <c r="T5847" s="6" t="str">
        <f>IFERROR(__xludf.DUMMYFUNCTION("""COMPUTED_VALUE"""),"kimberly.ball@studient.com")</f>
        <v>kimberly.ball@studient.com</v>
      </c>
      <c r="U5847" s="6" t="str">
        <f>IFERROR(__xludf.DUMMYFUNCTION("""COMPUTED_VALUE"""),"3")</f>
        <v>3</v>
      </c>
      <c r="V5847" s="6" t="str">
        <f>IFERROR(__xludf.DUMMYFUNCTION("""COMPUTED_VALUE"""),"")</f>
        <v/>
      </c>
      <c r="W5847" s="6" t="str">
        <f>IFERROR(__xludf.DUMMYFUNCTION("""COMPUTED_VALUE"""),"[]")</f>
        <v>[]</v>
      </c>
      <c r="X5847" s="6" t="str">
        <f>IFERROR(__xludf.DUMMYFUNCTION("""COMPUTED_VALUE"""),"Enrolled")</f>
        <v>Enrolled</v>
      </c>
    </row>
    <row r="5848">
      <c r="A5848" s="6" t="str">
        <f>IFERROR(__xludf.DUMMYFUNCTION("""COMPUTED_VALUE"""),"088-11871")</f>
        <v>088-11871</v>
      </c>
      <c r="B5848" s="6" t="str">
        <f>IFERROR(__xludf.DUMMYFUNCTION("""COMPUTED_VALUE"""),"88")</f>
        <v>88</v>
      </c>
      <c r="C5848" s="6" t="str">
        <f>IFERROR(__xludf.DUMMYFUNCTION("""COMPUTED_VALUE"""),"11871")</f>
        <v>11871</v>
      </c>
      <c r="D5848" s="6" t="str">
        <f>IFERROR(__xludf.DUMMYFUNCTION("""COMPUTED_VALUE"""),"Tariq")</f>
        <v>Tariq</v>
      </c>
      <c r="E5848" s="6" t="str">
        <f>IFERROR(__xludf.DUMMYFUNCTION("""COMPUTED_VALUE"""),"")</f>
        <v/>
      </c>
      <c r="F5848" s="6" t="str">
        <f>IFERROR(__xludf.DUMMYFUNCTION("""COMPUTED_VALUE"""),"Doe")</f>
        <v>Doe</v>
      </c>
      <c r="G5848" s="6" t="str">
        <f>IFERROR(__xludf.DUMMYFUNCTION("""COMPUTED_VALUE"""),"03/02/2017")</f>
        <v>03/02/2017</v>
      </c>
      <c r="H5848" s="6" t="str">
        <f>IFERROR(__xludf.DUMMYFUNCTION("""COMPUTED_VALUE"""),"male")</f>
        <v>male</v>
      </c>
      <c r="I5848" s="6" t="str">
        <f>IFERROR(__xludf.DUMMYFUNCTION("""COMPUTED_VALUE"""),"Level 1")</f>
        <v>Level 1</v>
      </c>
      <c r="J5848" s="6" t="str">
        <f>IFERROR(__xludf.DUMMYFUNCTION("""COMPUTED_VALUE"""),"3")</f>
        <v>3</v>
      </c>
      <c r="K5848" s="6" t="str">
        <f>IFERROR(__xludf.DUMMYFUNCTION("""COMPUTED_VALUE"""),"tariq.doe@2hourlearning.com")</f>
        <v>tariq.doe@2hourlearning.com</v>
      </c>
      <c r="L5848" s="6" t="str">
        <f>IFERROR(__xludf.DUMMYFUNCTION("""COMPUTED_VALUE"""),"AFES - Allendale Fairfax Elementary School")</f>
        <v>AFES - Allendale Fairfax Elementary School</v>
      </c>
      <c r="M5848" s="6" t="str">
        <f>IFERROR(__xludf.DUMMYFUNCTION("""COMPUTED_VALUE"""),"")</f>
        <v/>
      </c>
      <c r="N5848" s="6" t="str">
        <f>IFERROR(__xludf.DUMMYFUNCTION("""COMPUTED_VALUE"""),"")</f>
        <v/>
      </c>
      <c r="O5848" s="87" t="str">
        <f>IFERROR(__xludf.DUMMYFUNCTION("""COMPUTED_VALUE"""),"https://drive.google.com/drive/folders/10T2cTQHqEJZqE-st6uFKPoI?usp=share_link")</f>
        <v>https://drive.google.com/drive/folders/10T2cTQHqEJZqE-st6uFKPoI?usp=share_link</v>
      </c>
      <c r="P5848" s="6" t="str">
        <f>IFERROR(__xludf.DUMMYFUNCTION("""COMPUTED_VALUE"""),"Tariq Doe")</f>
        <v>Tariq Doe</v>
      </c>
      <c r="Q5848" s="6" t="str">
        <f>IFERROR(__xludf.DUMMYFUNCTION("""COMPUTED_VALUE"""),"L1")</f>
        <v>L1</v>
      </c>
      <c r="R5848" s="6">
        <f>IFERROR(__xludf.DUMMYFUNCTION("""COMPUTED_VALUE"""),1.0)</f>
        <v>1</v>
      </c>
      <c r="S5848" s="6" t="str">
        <f>IFERROR(__xludf.DUMMYFUNCTION("""COMPUTED_VALUE"""),"Kimberly Ball")</f>
        <v>Kimberly Ball</v>
      </c>
      <c r="T5848" s="6" t="str">
        <f>IFERROR(__xludf.DUMMYFUNCTION("""COMPUTED_VALUE"""),"kimberly.ball@studient.com")</f>
        <v>kimberly.ball@studient.com</v>
      </c>
      <c r="U5848" s="6" t="str">
        <f>IFERROR(__xludf.DUMMYFUNCTION("""COMPUTED_VALUE"""),"3")</f>
        <v>3</v>
      </c>
      <c r="V5848" s="6" t="str">
        <f>IFERROR(__xludf.DUMMYFUNCTION("""COMPUTED_VALUE"""),"")</f>
        <v/>
      </c>
      <c r="W5848" s="6" t="str">
        <f>IFERROR(__xludf.DUMMYFUNCTION("""COMPUTED_VALUE"""),"[]")</f>
        <v>[]</v>
      </c>
      <c r="X5848" s="6" t="str">
        <f>IFERROR(__xludf.DUMMYFUNCTION("""COMPUTED_VALUE"""),"Enrolled")</f>
        <v>Enrolled</v>
      </c>
    </row>
    <row r="5849">
      <c r="A5849" s="6" t="str">
        <f>IFERROR(__xludf.DUMMYFUNCTION("""COMPUTED_VALUE"""),"088-11872")</f>
        <v>088-11872</v>
      </c>
      <c r="B5849" s="6" t="str">
        <f>IFERROR(__xludf.DUMMYFUNCTION("""COMPUTED_VALUE"""),"88")</f>
        <v>88</v>
      </c>
      <c r="C5849" s="6" t="str">
        <f>IFERROR(__xludf.DUMMYFUNCTION("""COMPUTED_VALUE"""),"11872")</f>
        <v>11872</v>
      </c>
      <c r="D5849" s="6" t="str">
        <f>IFERROR(__xludf.DUMMYFUNCTION("""COMPUTED_VALUE"""),"Kendal")</f>
        <v>Kendal</v>
      </c>
      <c r="E5849" s="6" t="str">
        <f>IFERROR(__xludf.DUMMYFUNCTION("""COMPUTED_VALUE"""),"")</f>
        <v/>
      </c>
      <c r="F5849" s="6" t="str">
        <f>IFERROR(__xludf.DUMMYFUNCTION("""COMPUTED_VALUE"""),"Farris")</f>
        <v>Farris</v>
      </c>
      <c r="G5849" s="6" t="str">
        <f>IFERROR(__xludf.DUMMYFUNCTION("""COMPUTED_VALUE"""),"02/22/2017")</f>
        <v>02/22/2017</v>
      </c>
      <c r="H5849" s="6" t="str">
        <f>IFERROR(__xludf.DUMMYFUNCTION("""COMPUTED_VALUE"""),"male")</f>
        <v>male</v>
      </c>
      <c r="I5849" s="6" t="str">
        <f>IFERROR(__xludf.DUMMYFUNCTION("""COMPUTED_VALUE"""),"Level 1")</f>
        <v>Level 1</v>
      </c>
      <c r="J5849" s="6" t="str">
        <f>IFERROR(__xludf.DUMMYFUNCTION("""COMPUTED_VALUE"""),"3")</f>
        <v>3</v>
      </c>
      <c r="K5849" s="6" t="str">
        <f>IFERROR(__xludf.DUMMYFUNCTION("""COMPUTED_VALUE"""),"kendal.farris@2hourlearning.com")</f>
        <v>kendal.farris@2hourlearning.com</v>
      </c>
      <c r="L5849" s="6" t="str">
        <f>IFERROR(__xludf.DUMMYFUNCTION("""COMPUTED_VALUE"""),"AFES - Allendale Fairfax Elementary School")</f>
        <v>AFES - Allendale Fairfax Elementary School</v>
      </c>
      <c r="M5849" s="6" t="str">
        <f>IFERROR(__xludf.DUMMYFUNCTION("""COMPUTED_VALUE"""),"")</f>
        <v/>
      </c>
      <c r="N5849" s="6" t="str">
        <f>IFERROR(__xludf.DUMMYFUNCTION("""COMPUTED_VALUE"""),"")</f>
        <v/>
      </c>
      <c r="O5849" s="87" t="str">
        <f>IFERROR(__xludf.DUMMYFUNCTION("""COMPUTED_VALUE"""),"https://drive.google.com/drive/folders/10T2cTQHqEJZqE-st6uFKPoI?usp=share_link")</f>
        <v>https://drive.google.com/drive/folders/10T2cTQHqEJZqE-st6uFKPoI?usp=share_link</v>
      </c>
      <c r="P5849" s="6" t="str">
        <f>IFERROR(__xludf.DUMMYFUNCTION("""COMPUTED_VALUE"""),"Kendal Farris")</f>
        <v>Kendal Farris</v>
      </c>
      <c r="Q5849" s="6" t="str">
        <f>IFERROR(__xludf.DUMMYFUNCTION("""COMPUTED_VALUE"""),"L1")</f>
        <v>L1</v>
      </c>
      <c r="R5849" s="6">
        <f>IFERROR(__xludf.DUMMYFUNCTION("""COMPUTED_VALUE"""),1.0)</f>
        <v>1</v>
      </c>
      <c r="S5849" s="6" t="str">
        <f>IFERROR(__xludf.DUMMYFUNCTION("""COMPUTED_VALUE"""),"Kimberly Ball")</f>
        <v>Kimberly Ball</v>
      </c>
      <c r="T5849" s="6" t="str">
        <f>IFERROR(__xludf.DUMMYFUNCTION("""COMPUTED_VALUE"""),"kimberly.ball@studient.com")</f>
        <v>kimberly.ball@studient.com</v>
      </c>
      <c r="U5849" s="6" t="str">
        <f>IFERROR(__xludf.DUMMYFUNCTION("""COMPUTED_VALUE"""),"3")</f>
        <v>3</v>
      </c>
      <c r="V5849" s="6" t="str">
        <f>IFERROR(__xludf.DUMMYFUNCTION("""COMPUTED_VALUE"""),"")</f>
        <v/>
      </c>
      <c r="W5849" s="6" t="str">
        <f>IFERROR(__xludf.DUMMYFUNCTION("""COMPUTED_VALUE"""),"[]")</f>
        <v>[]</v>
      </c>
      <c r="X5849" s="6" t="str">
        <f>IFERROR(__xludf.DUMMYFUNCTION("""COMPUTED_VALUE"""),"Enrolled")</f>
        <v>Enrolled</v>
      </c>
    </row>
    <row r="5850">
      <c r="A5850" s="6" t="str">
        <f>IFERROR(__xludf.DUMMYFUNCTION("""COMPUTED_VALUE"""),"088-11873")</f>
        <v>088-11873</v>
      </c>
      <c r="B5850" s="6" t="str">
        <f>IFERROR(__xludf.DUMMYFUNCTION("""COMPUTED_VALUE"""),"88")</f>
        <v>88</v>
      </c>
      <c r="C5850" s="6" t="str">
        <f>IFERROR(__xludf.DUMMYFUNCTION("""COMPUTED_VALUE"""),"11873")</f>
        <v>11873</v>
      </c>
      <c r="D5850" s="6" t="str">
        <f>IFERROR(__xludf.DUMMYFUNCTION("""COMPUTED_VALUE"""),"Ashton")</f>
        <v>Ashton</v>
      </c>
      <c r="E5850" s="6" t="str">
        <f>IFERROR(__xludf.DUMMYFUNCTION("""COMPUTED_VALUE"""),"")</f>
        <v/>
      </c>
      <c r="F5850" s="6" t="str">
        <f>IFERROR(__xludf.DUMMYFUNCTION("""COMPUTED_VALUE"""),"Frazier")</f>
        <v>Frazier</v>
      </c>
      <c r="G5850" s="6" t="str">
        <f>IFERROR(__xludf.DUMMYFUNCTION("""COMPUTED_VALUE"""),"05/25/2017")</f>
        <v>05/25/2017</v>
      </c>
      <c r="H5850" s="6" t="str">
        <f>IFERROR(__xludf.DUMMYFUNCTION("""COMPUTED_VALUE"""),"male")</f>
        <v>male</v>
      </c>
      <c r="I5850" s="6" t="str">
        <f>IFERROR(__xludf.DUMMYFUNCTION("""COMPUTED_VALUE"""),"Level 1")</f>
        <v>Level 1</v>
      </c>
      <c r="J5850" s="6" t="str">
        <f>IFERROR(__xludf.DUMMYFUNCTION("""COMPUTED_VALUE"""),"3")</f>
        <v>3</v>
      </c>
      <c r="K5850" s="6" t="str">
        <f>IFERROR(__xludf.DUMMYFUNCTION("""COMPUTED_VALUE"""),"ashton.frazier@2hourlearning.com")</f>
        <v>ashton.frazier@2hourlearning.com</v>
      </c>
      <c r="L5850" s="6" t="str">
        <f>IFERROR(__xludf.DUMMYFUNCTION("""COMPUTED_VALUE"""),"AFES - Allendale Fairfax Elementary School")</f>
        <v>AFES - Allendale Fairfax Elementary School</v>
      </c>
      <c r="M5850" s="6" t="str">
        <f>IFERROR(__xludf.DUMMYFUNCTION("""COMPUTED_VALUE"""),"")</f>
        <v/>
      </c>
      <c r="N5850" s="6" t="str">
        <f>IFERROR(__xludf.DUMMYFUNCTION("""COMPUTED_VALUE"""),"")</f>
        <v/>
      </c>
      <c r="O5850" s="87" t="str">
        <f>IFERROR(__xludf.DUMMYFUNCTION("""COMPUTED_VALUE"""),"https://drive.google.com/drive/folders/10T2cTQHqEJZqE-st6uFKPoI?usp=share_link")</f>
        <v>https://drive.google.com/drive/folders/10T2cTQHqEJZqE-st6uFKPoI?usp=share_link</v>
      </c>
      <c r="P5850" s="6" t="str">
        <f>IFERROR(__xludf.DUMMYFUNCTION("""COMPUTED_VALUE"""),"Ashton Frazier")</f>
        <v>Ashton Frazier</v>
      </c>
      <c r="Q5850" s="6" t="str">
        <f>IFERROR(__xludf.DUMMYFUNCTION("""COMPUTED_VALUE"""),"L1")</f>
        <v>L1</v>
      </c>
      <c r="R5850" s="6">
        <f>IFERROR(__xludf.DUMMYFUNCTION("""COMPUTED_VALUE"""),1.0)</f>
        <v>1</v>
      </c>
      <c r="S5850" s="6" t="str">
        <f>IFERROR(__xludf.DUMMYFUNCTION("""COMPUTED_VALUE"""),"Kimberly Ball")</f>
        <v>Kimberly Ball</v>
      </c>
      <c r="T5850" s="6" t="str">
        <f>IFERROR(__xludf.DUMMYFUNCTION("""COMPUTED_VALUE"""),"kimberly.ball@studient.com")</f>
        <v>kimberly.ball@studient.com</v>
      </c>
      <c r="U5850" s="6" t="str">
        <f>IFERROR(__xludf.DUMMYFUNCTION("""COMPUTED_VALUE"""),"3")</f>
        <v>3</v>
      </c>
      <c r="V5850" s="6" t="str">
        <f>IFERROR(__xludf.DUMMYFUNCTION("""COMPUTED_VALUE"""),"")</f>
        <v/>
      </c>
      <c r="W5850" s="6" t="str">
        <f>IFERROR(__xludf.DUMMYFUNCTION("""COMPUTED_VALUE"""),"[]")</f>
        <v>[]</v>
      </c>
      <c r="X5850" s="6" t="str">
        <f>IFERROR(__xludf.DUMMYFUNCTION("""COMPUTED_VALUE"""),"Enrolled")</f>
        <v>Enrolled</v>
      </c>
    </row>
    <row r="5851">
      <c r="A5851" s="6" t="str">
        <f>IFERROR(__xludf.DUMMYFUNCTION("""COMPUTED_VALUE"""),"088-11874")</f>
        <v>088-11874</v>
      </c>
      <c r="B5851" s="6" t="str">
        <f>IFERROR(__xludf.DUMMYFUNCTION("""COMPUTED_VALUE"""),"88")</f>
        <v>88</v>
      </c>
      <c r="C5851" s="6" t="str">
        <f>IFERROR(__xludf.DUMMYFUNCTION("""COMPUTED_VALUE"""),"11874")</f>
        <v>11874</v>
      </c>
      <c r="D5851" s="6" t="str">
        <f>IFERROR(__xludf.DUMMYFUNCTION("""COMPUTED_VALUE"""),"Canaria")</f>
        <v>Canaria</v>
      </c>
      <c r="E5851" s="6" t="str">
        <f>IFERROR(__xludf.DUMMYFUNCTION("""COMPUTED_VALUE"""),"")</f>
        <v/>
      </c>
      <c r="F5851" s="6" t="str">
        <f>IFERROR(__xludf.DUMMYFUNCTION("""COMPUTED_VALUE"""),"Holmes")</f>
        <v>Holmes</v>
      </c>
      <c r="G5851" s="6" t="str">
        <f>IFERROR(__xludf.DUMMYFUNCTION("""COMPUTED_VALUE"""),"12/08/2016")</f>
        <v>12/08/2016</v>
      </c>
      <c r="H5851" s="6" t="str">
        <f>IFERROR(__xludf.DUMMYFUNCTION("""COMPUTED_VALUE"""),"female")</f>
        <v>female</v>
      </c>
      <c r="I5851" s="6" t="str">
        <f>IFERROR(__xludf.DUMMYFUNCTION("""COMPUTED_VALUE"""),"Level 1")</f>
        <v>Level 1</v>
      </c>
      <c r="J5851" s="6" t="str">
        <f>IFERROR(__xludf.DUMMYFUNCTION("""COMPUTED_VALUE"""),"3")</f>
        <v>3</v>
      </c>
      <c r="K5851" s="6" t="str">
        <f>IFERROR(__xludf.DUMMYFUNCTION("""COMPUTED_VALUE"""),"canaria.holmes@2hourlearning.com")</f>
        <v>canaria.holmes@2hourlearning.com</v>
      </c>
      <c r="L5851" s="6" t="str">
        <f>IFERROR(__xludf.DUMMYFUNCTION("""COMPUTED_VALUE"""),"AFES - Allendale Fairfax Elementary School")</f>
        <v>AFES - Allendale Fairfax Elementary School</v>
      </c>
      <c r="M5851" s="6" t="str">
        <f>IFERROR(__xludf.DUMMYFUNCTION("""COMPUTED_VALUE"""),"")</f>
        <v/>
      </c>
      <c r="N5851" s="6" t="str">
        <f>IFERROR(__xludf.DUMMYFUNCTION("""COMPUTED_VALUE"""),"")</f>
        <v/>
      </c>
      <c r="O5851" s="87" t="str">
        <f>IFERROR(__xludf.DUMMYFUNCTION("""COMPUTED_VALUE"""),"https://drive.google.com/drive/folders/10T2cTQHqEJZqE-st6uFKPoI?usp=share_link")</f>
        <v>https://drive.google.com/drive/folders/10T2cTQHqEJZqE-st6uFKPoI?usp=share_link</v>
      </c>
      <c r="P5851" s="6" t="str">
        <f>IFERROR(__xludf.DUMMYFUNCTION("""COMPUTED_VALUE"""),"Canaria Holmes")</f>
        <v>Canaria Holmes</v>
      </c>
      <c r="Q5851" s="6" t="str">
        <f>IFERROR(__xludf.DUMMYFUNCTION("""COMPUTED_VALUE"""),"L1")</f>
        <v>L1</v>
      </c>
      <c r="R5851" s="6">
        <f>IFERROR(__xludf.DUMMYFUNCTION("""COMPUTED_VALUE"""),1.0)</f>
        <v>1</v>
      </c>
      <c r="S5851" s="6" t="str">
        <f>IFERROR(__xludf.DUMMYFUNCTION("""COMPUTED_VALUE"""),"Kimberly Ball")</f>
        <v>Kimberly Ball</v>
      </c>
      <c r="T5851" s="6" t="str">
        <f>IFERROR(__xludf.DUMMYFUNCTION("""COMPUTED_VALUE"""),"kimberly.ball@studient.com")</f>
        <v>kimberly.ball@studient.com</v>
      </c>
      <c r="U5851" s="6" t="str">
        <f>IFERROR(__xludf.DUMMYFUNCTION("""COMPUTED_VALUE"""),"3")</f>
        <v>3</v>
      </c>
      <c r="V5851" s="6" t="str">
        <f>IFERROR(__xludf.DUMMYFUNCTION("""COMPUTED_VALUE"""),"")</f>
        <v/>
      </c>
      <c r="W5851" s="6" t="str">
        <f>IFERROR(__xludf.DUMMYFUNCTION("""COMPUTED_VALUE"""),"[]")</f>
        <v>[]</v>
      </c>
      <c r="X5851" s="6" t="str">
        <f>IFERROR(__xludf.DUMMYFUNCTION("""COMPUTED_VALUE"""),"Enrolled")</f>
        <v>Enrolled</v>
      </c>
    </row>
    <row r="5852">
      <c r="A5852" s="6" t="str">
        <f>IFERROR(__xludf.DUMMYFUNCTION("""COMPUTED_VALUE"""),"088-11875")</f>
        <v>088-11875</v>
      </c>
      <c r="B5852" s="6" t="str">
        <f>IFERROR(__xludf.DUMMYFUNCTION("""COMPUTED_VALUE"""),"88")</f>
        <v>88</v>
      </c>
      <c r="C5852" s="6" t="str">
        <f>IFERROR(__xludf.DUMMYFUNCTION("""COMPUTED_VALUE"""),"11875")</f>
        <v>11875</v>
      </c>
      <c r="D5852" s="6" t="str">
        <f>IFERROR(__xludf.DUMMYFUNCTION("""COMPUTED_VALUE"""),"London")</f>
        <v>London</v>
      </c>
      <c r="E5852" s="6" t="str">
        <f>IFERROR(__xludf.DUMMYFUNCTION("""COMPUTED_VALUE"""),"")</f>
        <v/>
      </c>
      <c r="F5852" s="6" t="str">
        <f>IFERROR(__xludf.DUMMYFUNCTION("""COMPUTED_VALUE"""),"Owens")</f>
        <v>Owens</v>
      </c>
      <c r="G5852" s="6" t="str">
        <f>IFERROR(__xludf.DUMMYFUNCTION("""COMPUTED_VALUE"""),"10/28/2016")</f>
        <v>10/28/2016</v>
      </c>
      <c r="H5852" s="6" t="str">
        <f>IFERROR(__xludf.DUMMYFUNCTION("""COMPUTED_VALUE"""),"female")</f>
        <v>female</v>
      </c>
      <c r="I5852" s="6" t="str">
        <f>IFERROR(__xludf.DUMMYFUNCTION("""COMPUTED_VALUE"""),"Level 1")</f>
        <v>Level 1</v>
      </c>
      <c r="J5852" s="6" t="str">
        <f>IFERROR(__xludf.DUMMYFUNCTION("""COMPUTED_VALUE"""),"3")</f>
        <v>3</v>
      </c>
      <c r="K5852" s="6" t="str">
        <f>IFERROR(__xludf.DUMMYFUNCTION("""COMPUTED_VALUE"""),"london.owens@2hourlearning.com")</f>
        <v>london.owens@2hourlearning.com</v>
      </c>
      <c r="L5852" s="6" t="str">
        <f>IFERROR(__xludf.DUMMYFUNCTION("""COMPUTED_VALUE"""),"AFES - Allendale Fairfax Elementary School")</f>
        <v>AFES - Allendale Fairfax Elementary School</v>
      </c>
      <c r="M5852" s="6" t="str">
        <f>IFERROR(__xludf.DUMMYFUNCTION("""COMPUTED_VALUE"""),"")</f>
        <v/>
      </c>
      <c r="N5852" s="6" t="str">
        <f>IFERROR(__xludf.DUMMYFUNCTION("""COMPUTED_VALUE"""),"")</f>
        <v/>
      </c>
      <c r="O5852" s="87" t="str">
        <f>IFERROR(__xludf.DUMMYFUNCTION("""COMPUTED_VALUE"""),"https://drive.google.com/drive/folders/10T2cTQHqEJZqE-st6uFKPoI?usp=share_link")</f>
        <v>https://drive.google.com/drive/folders/10T2cTQHqEJZqE-st6uFKPoI?usp=share_link</v>
      </c>
      <c r="P5852" s="6" t="str">
        <f>IFERROR(__xludf.DUMMYFUNCTION("""COMPUTED_VALUE"""),"London Owens")</f>
        <v>London Owens</v>
      </c>
      <c r="Q5852" s="6" t="str">
        <f>IFERROR(__xludf.DUMMYFUNCTION("""COMPUTED_VALUE"""),"L1")</f>
        <v>L1</v>
      </c>
      <c r="R5852" s="6">
        <f>IFERROR(__xludf.DUMMYFUNCTION("""COMPUTED_VALUE"""),1.0)</f>
        <v>1</v>
      </c>
      <c r="S5852" s="6" t="str">
        <f>IFERROR(__xludf.DUMMYFUNCTION("""COMPUTED_VALUE"""),"Kimberly Ball")</f>
        <v>Kimberly Ball</v>
      </c>
      <c r="T5852" s="6" t="str">
        <f>IFERROR(__xludf.DUMMYFUNCTION("""COMPUTED_VALUE"""),"kimberly.ball@studient.com")</f>
        <v>kimberly.ball@studient.com</v>
      </c>
      <c r="U5852" s="6" t="str">
        <f>IFERROR(__xludf.DUMMYFUNCTION("""COMPUTED_VALUE"""),"3")</f>
        <v>3</v>
      </c>
      <c r="V5852" s="6" t="str">
        <f>IFERROR(__xludf.DUMMYFUNCTION("""COMPUTED_VALUE"""),"")</f>
        <v/>
      </c>
      <c r="W5852" s="6" t="str">
        <f>IFERROR(__xludf.DUMMYFUNCTION("""COMPUTED_VALUE"""),"[]")</f>
        <v>[]</v>
      </c>
      <c r="X5852" s="6" t="str">
        <f>IFERROR(__xludf.DUMMYFUNCTION("""COMPUTED_VALUE"""),"Enrolled")</f>
        <v>Enrolled</v>
      </c>
    </row>
    <row r="5853">
      <c r="A5853" s="6" t="str">
        <f>IFERROR(__xludf.DUMMYFUNCTION("""COMPUTED_VALUE"""),"088-11876")</f>
        <v>088-11876</v>
      </c>
      <c r="B5853" s="6" t="str">
        <f>IFERROR(__xludf.DUMMYFUNCTION("""COMPUTED_VALUE"""),"88")</f>
        <v>88</v>
      </c>
      <c r="C5853" s="6" t="str">
        <f>IFERROR(__xludf.DUMMYFUNCTION("""COMPUTED_VALUE"""),"11876")</f>
        <v>11876</v>
      </c>
      <c r="D5853" s="6" t="str">
        <f>IFERROR(__xludf.DUMMYFUNCTION("""COMPUTED_VALUE"""),"Devante")</f>
        <v>Devante</v>
      </c>
      <c r="E5853" s="6" t="str">
        <f>IFERROR(__xludf.DUMMYFUNCTION("""COMPUTED_VALUE"""),"")</f>
        <v/>
      </c>
      <c r="F5853" s="6" t="str">
        <f>IFERROR(__xludf.DUMMYFUNCTION("""COMPUTED_VALUE"""),"Rasberry")</f>
        <v>Rasberry</v>
      </c>
      <c r="G5853" s="6" t="str">
        <f>IFERROR(__xludf.DUMMYFUNCTION("""COMPUTED_VALUE"""),"09/20/2015")</f>
        <v>09/20/2015</v>
      </c>
      <c r="H5853" s="6" t="str">
        <f>IFERROR(__xludf.DUMMYFUNCTION("""COMPUTED_VALUE"""),"male")</f>
        <v>male</v>
      </c>
      <c r="I5853" s="6" t="str">
        <f>IFERROR(__xludf.DUMMYFUNCTION("""COMPUTED_VALUE"""),"Level 1")</f>
        <v>Level 1</v>
      </c>
      <c r="J5853" s="6" t="str">
        <f>IFERROR(__xludf.DUMMYFUNCTION("""COMPUTED_VALUE"""),"3")</f>
        <v>3</v>
      </c>
      <c r="K5853" s="6" t="str">
        <f>IFERROR(__xludf.DUMMYFUNCTION("""COMPUTED_VALUE"""),"devante.rasberry@2hourlearning.com")</f>
        <v>devante.rasberry@2hourlearning.com</v>
      </c>
      <c r="L5853" s="6" t="str">
        <f>IFERROR(__xludf.DUMMYFUNCTION("""COMPUTED_VALUE"""),"AFES - Allendale Fairfax Elementary School")</f>
        <v>AFES - Allendale Fairfax Elementary School</v>
      </c>
      <c r="M5853" s="6" t="str">
        <f>IFERROR(__xludf.DUMMYFUNCTION("""COMPUTED_VALUE"""),"")</f>
        <v/>
      </c>
      <c r="N5853" s="6" t="str">
        <f>IFERROR(__xludf.DUMMYFUNCTION("""COMPUTED_VALUE"""),"")</f>
        <v/>
      </c>
      <c r="O5853" s="87" t="str">
        <f>IFERROR(__xludf.DUMMYFUNCTION("""COMPUTED_VALUE"""),"https://drive.google.com/drive/folders/10T2cTQHqEJZqE-st6uFKPoI?usp=share_link")</f>
        <v>https://drive.google.com/drive/folders/10T2cTQHqEJZqE-st6uFKPoI?usp=share_link</v>
      </c>
      <c r="P5853" s="6" t="str">
        <f>IFERROR(__xludf.DUMMYFUNCTION("""COMPUTED_VALUE"""),"Devante Rasberry")</f>
        <v>Devante Rasberry</v>
      </c>
      <c r="Q5853" s="6" t="str">
        <f>IFERROR(__xludf.DUMMYFUNCTION("""COMPUTED_VALUE"""),"L1")</f>
        <v>L1</v>
      </c>
      <c r="R5853" s="6">
        <f>IFERROR(__xludf.DUMMYFUNCTION("""COMPUTED_VALUE"""),1.0)</f>
        <v>1</v>
      </c>
      <c r="S5853" s="6" t="str">
        <f>IFERROR(__xludf.DUMMYFUNCTION("""COMPUTED_VALUE"""),"Kimberly Ball")</f>
        <v>Kimberly Ball</v>
      </c>
      <c r="T5853" s="6" t="str">
        <f>IFERROR(__xludf.DUMMYFUNCTION("""COMPUTED_VALUE"""),"kimberly.ball@studient.com")</f>
        <v>kimberly.ball@studient.com</v>
      </c>
      <c r="U5853" s="6" t="str">
        <f>IFERROR(__xludf.DUMMYFUNCTION("""COMPUTED_VALUE"""),"3")</f>
        <v>3</v>
      </c>
      <c r="V5853" s="6" t="str">
        <f>IFERROR(__xludf.DUMMYFUNCTION("""COMPUTED_VALUE"""),"")</f>
        <v/>
      </c>
      <c r="W5853" s="6" t="str">
        <f>IFERROR(__xludf.DUMMYFUNCTION("""COMPUTED_VALUE"""),"[]")</f>
        <v>[]</v>
      </c>
      <c r="X5853" s="6" t="str">
        <f>IFERROR(__xludf.DUMMYFUNCTION("""COMPUTED_VALUE"""),"Enrolled")</f>
        <v>Enrolled</v>
      </c>
    </row>
    <row r="5854">
      <c r="A5854" s="6" t="str">
        <f>IFERROR(__xludf.DUMMYFUNCTION("""COMPUTED_VALUE"""),"088-11877")</f>
        <v>088-11877</v>
      </c>
      <c r="B5854" s="6" t="str">
        <f>IFERROR(__xludf.DUMMYFUNCTION("""COMPUTED_VALUE"""),"88")</f>
        <v>88</v>
      </c>
      <c r="C5854" s="6" t="str">
        <f>IFERROR(__xludf.DUMMYFUNCTION("""COMPUTED_VALUE"""),"11877")</f>
        <v>11877</v>
      </c>
      <c r="D5854" s="6" t="str">
        <f>IFERROR(__xludf.DUMMYFUNCTION("""COMPUTED_VALUE"""),"Bettie")</f>
        <v>Bettie</v>
      </c>
      <c r="E5854" s="6" t="str">
        <f>IFERROR(__xludf.DUMMYFUNCTION("""COMPUTED_VALUE"""),"")</f>
        <v/>
      </c>
      <c r="F5854" s="6" t="str">
        <f>IFERROR(__xludf.DUMMYFUNCTION("""COMPUTED_VALUE"""),"Schlins")</f>
        <v>Schlins</v>
      </c>
      <c r="G5854" s="6" t="str">
        <f>IFERROR(__xludf.DUMMYFUNCTION("""COMPUTED_VALUE"""),"07/21/2015")</f>
        <v>07/21/2015</v>
      </c>
      <c r="H5854" s="6" t="str">
        <f>IFERROR(__xludf.DUMMYFUNCTION("""COMPUTED_VALUE"""),"female")</f>
        <v>female</v>
      </c>
      <c r="I5854" s="6" t="str">
        <f>IFERROR(__xludf.DUMMYFUNCTION("""COMPUTED_VALUE"""),"Level 1")</f>
        <v>Level 1</v>
      </c>
      <c r="J5854" s="6" t="str">
        <f>IFERROR(__xludf.DUMMYFUNCTION("""COMPUTED_VALUE"""),"3")</f>
        <v>3</v>
      </c>
      <c r="K5854" s="6" t="str">
        <f>IFERROR(__xludf.DUMMYFUNCTION("""COMPUTED_VALUE"""),"bettie.schlins@2hourlearning.com")</f>
        <v>bettie.schlins@2hourlearning.com</v>
      </c>
      <c r="L5854" s="6" t="str">
        <f>IFERROR(__xludf.DUMMYFUNCTION("""COMPUTED_VALUE"""),"AFES - Allendale Fairfax Elementary School")</f>
        <v>AFES - Allendale Fairfax Elementary School</v>
      </c>
      <c r="M5854" s="6" t="str">
        <f>IFERROR(__xludf.DUMMYFUNCTION("""COMPUTED_VALUE"""),"")</f>
        <v/>
      </c>
      <c r="N5854" s="6" t="str">
        <f>IFERROR(__xludf.DUMMYFUNCTION("""COMPUTED_VALUE"""),"")</f>
        <v/>
      </c>
      <c r="O5854" s="87" t="str">
        <f>IFERROR(__xludf.DUMMYFUNCTION("""COMPUTED_VALUE"""),"https://drive.google.com/drive/folders/10T2cTQHqEJZqE-st6uFKPoI?usp=share_link")</f>
        <v>https://drive.google.com/drive/folders/10T2cTQHqEJZqE-st6uFKPoI?usp=share_link</v>
      </c>
      <c r="P5854" s="6" t="str">
        <f>IFERROR(__xludf.DUMMYFUNCTION("""COMPUTED_VALUE"""),"Bettie Schlins")</f>
        <v>Bettie Schlins</v>
      </c>
      <c r="Q5854" s="6" t="str">
        <f>IFERROR(__xludf.DUMMYFUNCTION("""COMPUTED_VALUE"""),"L1")</f>
        <v>L1</v>
      </c>
      <c r="R5854" s="6">
        <f>IFERROR(__xludf.DUMMYFUNCTION("""COMPUTED_VALUE"""),1.0)</f>
        <v>1</v>
      </c>
      <c r="S5854" s="6" t="str">
        <f>IFERROR(__xludf.DUMMYFUNCTION("""COMPUTED_VALUE"""),"Kimberly Ball")</f>
        <v>Kimberly Ball</v>
      </c>
      <c r="T5854" s="6" t="str">
        <f>IFERROR(__xludf.DUMMYFUNCTION("""COMPUTED_VALUE"""),"kimberly.ball@studient.com")</f>
        <v>kimberly.ball@studient.com</v>
      </c>
      <c r="U5854" s="6" t="str">
        <f>IFERROR(__xludf.DUMMYFUNCTION("""COMPUTED_VALUE"""),"3")</f>
        <v>3</v>
      </c>
      <c r="V5854" s="6" t="str">
        <f>IFERROR(__xludf.DUMMYFUNCTION("""COMPUTED_VALUE"""),"")</f>
        <v/>
      </c>
      <c r="W5854" s="6" t="str">
        <f>IFERROR(__xludf.DUMMYFUNCTION("""COMPUTED_VALUE"""),"[]")</f>
        <v>[]</v>
      </c>
      <c r="X5854" s="6" t="str">
        <f>IFERROR(__xludf.DUMMYFUNCTION("""COMPUTED_VALUE"""),"Enrolled")</f>
        <v>Enrolled</v>
      </c>
    </row>
    <row r="5855">
      <c r="A5855" s="6" t="str">
        <f>IFERROR(__xludf.DUMMYFUNCTION("""COMPUTED_VALUE"""),"088-11878")</f>
        <v>088-11878</v>
      </c>
      <c r="B5855" s="6" t="str">
        <f>IFERROR(__xludf.DUMMYFUNCTION("""COMPUTED_VALUE"""),"88")</f>
        <v>88</v>
      </c>
      <c r="C5855" s="6" t="str">
        <f>IFERROR(__xludf.DUMMYFUNCTION("""COMPUTED_VALUE"""),"11878")</f>
        <v>11878</v>
      </c>
      <c r="D5855" s="6" t="str">
        <f>IFERROR(__xludf.DUMMYFUNCTION("""COMPUTED_VALUE"""),"Joshua")</f>
        <v>Joshua</v>
      </c>
      <c r="E5855" s="6" t="str">
        <f>IFERROR(__xludf.DUMMYFUNCTION("""COMPUTED_VALUE"""),"")</f>
        <v/>
      </c>
      <c r="F5855" s="6" t="str">
        <f>IFERROR(__xludf.DUMMYFUNCTION("""COMPUTED_VALUE"""),"Smith")</f>
        <v>Smith</v>
      </c>
      <c r="G5855" s="6" t="str">
        <f>IFERROR(__xludf.DUMMYFUNCTION("""COMPUTED_VALUE"""),"05/17/2017")</f>
        <v>05/17/2017</v>
      </c>
      <c r="H5855" s="6" t="str">
        <f>IFERROR(__xludf.DUMMYFUNCTION("""COMPUTED_VALUE"""),"male")</f>
        <v>male</v>
      </c>
      <c r="I5855" s="6" t="str">
        <f>IFERROR(__xludf.DUMMYFUNCTION("""COMPUTED_VALUE"""),"Level 1")</f>
        <v>Level 1</v>
      </c>
      <c r="J5855" s="6" t="str">
        <f>IFERROR(__xludf.DUMMYFUNCTION("""COMPUTED_VALUE"""),"3")</f>
        <v>3</v>
      </c>
      <c r="K5855" s="6" t="str">
        <f>IFERROR(__xludf.DUMMYFUNCTION("""COMPUTED_VALUE"""),"joshua.smith@2hourlearning.com")</f>
        <v>joshua.smith@2hourlearning.com</v>
      </c>
      <c r="L5855" s="6" t="str">
        <f>IFERROR(__xludf.DUMMYFUNCTION("""COMPUTED_VALUE"""),"AFES - Allendale Fairfax Elementary School")</f>
        <v>AFES - Allendale Fairfax Elementary School</v>
      </c>
      <c r="M5855" s="6" t="str">
        <f>IFERROR(__xludf.DUMMYFUNCTION("""COMPUTED_VALUE"""),"")</f>
        <v/>
      </c>
      <c r="N5855" s="6" t="str">
        <f>IFERROR(__xludf.DUMMYFUNCTION("""COMPUTED_VALUE"""),"")</f>
        <v/>
      </c>
      <c r="O5855" s="87" t="str">
        <f>IFERROR(__xludf.DUMMYFUNCTION("""COMPUTED_VALUE"""),"https://drive.google.com/drive/folders/10T2cTQHqEJZqE-st6uFKPoI?usp=share_link")</f>
        <v>https://drive.google.com/drive/folders/10T2cTQHqEJZqE-st6uFKPoI?usp=share_link</v>
      </c>
      <c r="P5855" s="6" t="str">
        <f>IFERROR(__xludf.DUMMYFUNCTION("""COMPUTED_VALUE"""),"Joshua Smith")</f>
        <v>Joshua Smith</v>
      </c>
      <c r="Q5855" s="6" t="str">
        <f>IFERROR(__xludf.DUMMYFUNCTION("""COMPUTED_VALUE"""),"L1")</f>
        <v>L1</v>
      </c>
      <c r="R5855" s="6">
        <f>IFERROR(__xludf.DUMMYFUNCTION("""COMPUTED_VALUE"""),1.0)</f>
        <v>1</v>
      </c>
      <c r="S5855" s="6" t="str">
        <f>IFERROR(__xludf.DUMMYFUNCTION("""COMPUTED_VALUE"""),"Kimberly Ball")</f>
        <v>Kimberly Ball</v>
      </c>
      <c r="T5855" s="6" t="str">
        <f>IFERROR(__xludf.DUMMYFUNCTION("""COMPUTED_VALUE"""),"kimberly.ball@studient.com")</f>
        <v>kimberly.ball@studient.com</v>
      </c>
      <c r="U5855" s="6" t="str">
        <f>IFERROR(__xludf.DUMMYFUNCTION("""COMPUTED_VALUE"""),"3")</f>
        <v>3</v>
      </c>
      <c r="V5855" s="6" t="str">
        <f>IFERROR(__xludf.DUMMYFUNCTION("""COMPUTED_VALUE"""),"")</f>
        <v/>
      </c>
      <c r="W5855" s="6" t="str">
        <f>IFERROR(__xludf.DUMMYFUNCTION("""COMPUTED_VALUE"""),"[]")</f>
        <v>[]</v>
      </c>
      <c r="X5855" s="6" t="str">
        <f>IFERROR(__xludf.DUMMYFUNCTION("""COMPUTED_VALUE"""),"Enrolled")</f>
        <v>Enrolled</v>
      </c>
    </row>
    <row r="5856">
      <c r="A5856" s="6" t="str">
        <f>IFERROR(__xludf.DUMMYFUNCTION("""COMPUTED_VALUE"""),"088-11879")</f>
        <v>088-11879</v>
      </c>
      <c r="B5856" s="6" t="str">
        <f>IFERROR(__xludf.DUMMYFUNCTION("""COMPUTED_VALUE"""),"88")</f>
        <v>88</v>
      </c>
      <c r="C5856" s="6" t="str">
        <f>IFERROR(__xludf.DUMMYFUNCTION("""COMPUTED_VALUE"""),"11879")</f>
        <v>11879</v>
      </c>
      <c r="D5856" s="6" t="str">
        <f>IFERROR(__xludf.DUMMYFUNCTION("""COMPUTED_VALUE"""),"Sariyah")</f>
        <v>Sariyah</v>
      </c>
      <c r="E5856" s="6" t="str">
        <f>IFERROR(__xludf.DUMMYFUNCTION("""COMPUTED_VALUE"""),"")</f>
        <v/>
      </c>
      <c r="F5856" s="6" t="str">
        <f>IFERROR(__xludf.DUMMYFUNCTION("""COMPUTED_VALUE"""),"Smoak")</f>
        <v>Smoak</v>
      </c>
      <c r="G5856" s="6" t="str">
        <f>IFERROR(__xludf.DUMMYFUNCTION("""COMPUTED_VALUE"""),"04/16/2016")</f>
        <v>04/16/2016</v>
      </c>
      <c r="H5856" s="6" t="str">
        <f>IFERROR(__xludf.DUMMYFUNCTION("""COMPUTED_VALUE"""),"female")</f>
        <v>female</v>
      </c>
      <c r="I5856" s="6" t="str">
        <f>IFERROR(__xludf.DUMMYFUNCTION("""COMPUTED_VALUE"""),"Level 1")</f>
        <v>Level 1</v>
      </c>
      <c r="J5856" s="6" t="str">
        <f>IFERROR(__xludf.DUMMYFUNCTION("""COMPUTED_VALUE"""),"3")</f>
        <v>3</v>
      </c>
      <c r="K5856" s="6" t="str">
        <f>IFERROR(__xludf.DUMMYFUNCTION("""COMPUTED_VALUE"""),"sariyah.smoak@2hourlearning.com")</f>
        <v>sariyah.smoak@2hourlearning.com</v>
      </c>
      <c r="L5856" s="6" t="str">
        <f>IFERROR(__xludf.DUMMYFUNCTION("""COMPUTED_VALUE"""),"AFES - Allendale Fairfax Elementary School")</f>
        <v>AFES - Allendale Fairfax Elementary School</v>
      </c>
      <c r="M5856" s="6" t="str">
        <f>IFERROR(__xludf.DUMMYFUNCTION("""COMPUTED_VALUE"""),"")</f>
        <v/>
      </c>
      <c r="N5856" s="6" t="str">
        <f>IFERROR(__xludf.DUMMYFUNCTION("""COMPUTED_VALUE"""),"")</f>
        <v/>
      </c>
      <c r="O5856" s="87" t="str">
        <f>IFERROR(__xludf.DUMMYFUNCTION("""COMPUTED_VALUE"""),"https://drive.google.com/drive/folders/10T2cTQHqEJZqE-st6uFKPoI?usp=share_link")</f>
        <v>https://drive.google.com/drive/folders/10T2cTQHqEJZqE-st6uFKPoI?usp=share_link</v>
      </c>
      <c r="P5856" s="6" t="str">
        <f>IFERROR(__xludf.DUMMYFUNCTION("""COMPUTED_VALUE"""),"Sariyah Smoak")</f>
        <v>Sariyah Smoak</v>
      </c>
      <c r="Q5856" s="6" t="str">
        <f>IFERROR(__xludf.DUMMYFUNCTION("""COMPUTED_VALUE"""),"L1")</f>
        <v>L1</v>
      </c>
      <c r="R5856" s="6">
        <f>IFERROR(__xludf.DUMMYFUNCTION("""COMPUTED_VALUE"""),1.0)</f>
        <v>1</v>
      </c>
      <c r="S5856" s="6" t="str">
        <f>IFERROR(__xludf.DUMMYFUNCTION("""COMPUTED_VALUE"""),"Kimberly Ball")</f>
        <v>Kimberly Ball</v>
      </c>
      <c r="T5856" s="6" t="str">
        <f>IFERROR(__xludf.DUMMYFUNCTION("""COMPUTED_VALUE"""),"kimberly.ball@studient.com")</f>
        <v>kimberly.ball@studient.com</v>
      </c>
      <c r="U5856" s="6" t="str">
        <f>IFERROR(__xludf.DUMMYFUNCTION("""COMPUTED_VALUE"""),"3")</f>
        <v>3</v>
      </c>
      <c r="V5856" s="6" t="str">
        <f>IFERROR(__xludf.DUMMYFUNCTION("""COMPUTED_VALUE"""),"")</f>
        <v/>
      </c>
      <c r="W5856" s="6" t="str">
        <f>IFERROR(__xludf.DUMMYFUNCTION("""COMPUTED_VALUE"""),"[]")</f>
        <v>[]</v>
      </c>
      <c r="X5856" s="6" t="str">
        <f>IFERROR(__xludf.DUMMYFUNCTION("""COMPUTED_VALUE"""),"Enrolled")</f>
        <v>Enrolled</v>
      </c>
    </row>
    <row r="5857">
      <c r="A5857" s="6" t="str">
        <f>IFERROR(__xludf.DUMMYFUNCTION("""COMPUTED_VALUE"""),"088-11880")</f>
        <v>088-11880</v>
      </c>
      <c r="B5857" s="6" t="str">
        <f>IFERROR(__xludf.DUMMYFUNCTION("""COMPUTED_VALUE"""),"88")</f>
        <v>88</v>
      </c>
      <c r="C5857" s="6" t="str">
        <f>IFERROR(__xludf.DUMMYFUNCTION("""COMPUTED_VALUE"""),"11880")</f>
        <v>11880</v>
      </c>
      <c r="D5857" s="6" t="str">
        <f>IFERROR(__xludf.DUMMYFUNCTION("""COMPUTED_VALUE"""),"Dahndray")</f>
        <v>Dahndray</v>
      </c>
      <c r="E5857" s="6" t="str">
        <f>IFERROR(__xludf.DUMMYFUNCTION("""COMPUTED_VALUE"""),"")</f>
        <v/>
      </c>
      <c r="F5857" s="6" t="str">
        <f>IFERROR(__xludf.DUMMYFUNCTION("""COMPUTED_VALUE"""),"Stroman")</f>
        <v>Stroman</v>
      </c>
      <c r="G5857" s="6" t="str">
        <f>IFERROR(__xludf.DUMMYFUNCTION("""COMPUTED_VALUE"""),"03/15/2016")</f>
        <v>03/15/2016</v>
      </c>
      <c r="H5857" s="6" t="str">
        <f>IFERROR(__xludf.DUMMYFUNCTION("""COMPUTED_VALUE"""),"male")</f>
        <v>male</v>
      </c>
      <c r="I5857" s="6" t="str">
        <f>IFERROR(__xludf.DUMMYFUNCTION("""COMPUTED_VALUE"""),"Level 1")</f>
        <v>Level 1</v>
      </c>
      <c r="J5857" s="6" t="str">
        <f>IFERROR(__xludf.DUMMYFUNCTION("""COMPUTED_VALUE"""),"3")</f>
        <v>3</v>
      </c>
      <c r="K5857" s="6" t="str">
        <f>IFERROR(__xludf.DUMMYFUNCTION("""COMPUTED_VALUE"""),"dahndray.stroman@2hourlearning.com")</f>
        <v>dahndray.stroman@2hourlearning.com</v>
      </c>
      <c r="L5857" s="6" t="str">
        <f>IFERROR(__xludf.DUMMYFUNCTION("""COMPUTED_VALUE"""),"AFES - Allendale Fairfax Elementary School")</f>
        <v>AFES - Allendale Fairfax Elementary School</v>
      </c>
      <c r="M5857" s="6" t="str">
        <f>IFERROR(__xludf.DUMMYFUNCTION("""COMPUTED_VALUE"""),"")</f>
        <v/>
      </c>
      <c r="N5857" s="6" t="str">
        <f>IFERROR(__xludf.DUMMYFUNCTION("""COMPUTED_VALUE"""),"")</f>
        <v/>
      </c>
      <c r="O5857" s="87" t="str">
        <f>IFERROR(__xludf.DUMMYFUNCTION("""COMPUTED_VALUE"""),"https://drive.google.com/drive/folders/10T2cTQHqEJZqE-st6uFKPoI?usp=share_link")</f>
        <v>https://drive.google.com/drive/folders/10T2cTQHqEJZqE-st6uFKPoI?usp=share_link</v>
      </c>
      <c r="P5857" s="6" t="str">
        <f>IFERROR(__xludf.DUMMYFUNCTION("""COMPUTED_VALUE"""),"Dahndray Stroman")</f>
        <v>Dahndray Stroman</v>
      </c>
      <c r="Q5857" s="6" t="str">
        <f>IFERROR(__xludf.DUMMYFUNCTION("""COMPUTED_VALUE"""),"L1")</f>
        <v>L1</v>
      </c>
      <c r="R5857" s="6">
        <f>IFERROR(__xludf.DUMMYFUNCTION("""COMPUTED_VALUE"""),1.0)</f>
        <v>1</v>
      </c>
      <c r="S5857" s="6" t="str">
        <f>IFERROR(__xludf.DUMMYFUNCTION("""COMPUTED_VALUE"""),"Kimberly Ball")</f>
        <v>Kimberly Ball</v>
      </c>
      <c r="T5857" s="6" t="str">
        <f>IFERROR(__xludf.DUMMYFUNCTION("""COMPUTED_VALUE"""),"kimberly.ball@studient.com")</f>
        <v>kimberly.ball@studient.com</v>
      </c>
      <c r="U5857" s="6" t="str">
        <f>IFERROR(__xludf.DUMMYFUNCTION("""COMPUTED_VALUE"""),"3")</f>
        <v>3</v>
      </c>
      <c r="V5857" s="6" t="str">
        <f>IFERROR(__xludf.DUMMYFUNCTION("""COMPUTED_VALUE"""),"")</f>
        <v/>
      </c>
      <c r="W5857" s="6" t="str">
        <f>IFERROR(__xludf.DUMMYFUNCTION("""COMPUTED_VALUE"""),"[]")</f>
        <v>[]</v>
      </c>
      <c r="X5857" s="6" t="str">
        <f>IFERROR(__xludf.DUMMYFUNCTION("""COMPUTED_VALUE"""),"Enrolled")</f>
        <v>Enrolled</v>
      </c>
    </row>
    <row r="5858">
      <c r="A5858" s="6" t="str">
        <f>IFERROR(__xludf.DUMMYFUNCTION("""COMPUTED_VALUE"""),"088-11881")</f>
        <v>088-11881</v>
      </c>
      <c r="B5858" s="6" t="str">
        <f>IFERROR(__xludf.DUMMYFUNCTION("""COMPUTED_VALUE"""),"88")</f>
        <v>88</v>
      </c>
      <c r="C5858" s="6" t="str">
        <f>IFERROR(__xludf.DUMMYFUNCTION("""COMPUTED_VALUE"""),"11881")</f>
        <v>11881</v>
      </c>
      <c r="D5858" s="6" t="str">
        <f>IFERROR(__xludf.DUMMYFUNCTION("""COMPUTED_VALUE"""),"Katelynn")</f>
        <v>Katelynn</v>
      </c>
      <c r="E5858" s="6" t="str">
        <f>IFERROR(__xludf.DUMMYFUNCTION("""COMPUTED_VALUE"""),"")</f>
        <v/>
      </c>
      <c r="F5858" s="6" t="str">
        <f>IFERROR(__xludf.DUMMYFUNCTION("""COMPUTED_VALUE"""),"Tinsley-Hay")</f>
        <v>Tinsley-Hay</v>
      </c>
      <c r="G5858" s="6" t="str">
        <f>IFERROR(__xludf.DUMMYFUNCTION("""COMPUTED_VALUE"""),"07/08/2017")</f>
        <v>07/08/2017</v>
      </c>
      <c r="H5858" s="6" t="str">
        <f>IFERROR(__xludf.DUMMYFUNCTION("""COMPUTED_VALUE"""),"female")</f>
        <v>female</v>
      </c>
      <c r="I5858" s="6" t="str">
        <f>IFERROR(__xludf.DUMMYFUNCTION("""COMPUTED_VALUE"""),"Level 1")</f>
        <v>Level 1</v>
      </c>
      <c r="J5858" s="6" t="str">
        <f>IFERROR(__xludf.DUMMYFUNCTION("""COMPUTED_VALUE"""),"3")</f>
        <v>3</v>
      </c>
      <c r="K5858" s="6" t="str">
        <f>IFERROR(__xludf.DUMMYFUNCTION("""COMPUTED_VALUE"""),"katelynn.tinsley-hay@2hourlearning.com")</f>
        <v>katelynn.tinsley-hay@2hourlearning.com</v>
      </c>
      <c r="L5858" s="6" t="str">
        <f>IFERROR(__xludf.DUMMYFUNCTION("""COMPUTED_VALUE"""),"AFES - Allendale Fairfax Elementary School")</f>
        <v>AFES - Allendale Fairfax Elementary School</v>
      </c>
      <c r="M5858" s="6" t="str">
        <f>IFERROR(__xludf.DUMMYFUNCTION("""COMPUTED_VALUE"""),"")</f>
        <v/>
      </c>
      <c r="N5858" s="6" t="str">
        <f>IFERROR(__xludf.DUMMYFUNCTION("""COMPUTED_VALUE"""),"")</f>
        <v/>
      </c>
      <c r="O5858" s="87" t="str">
        <f>IFERROR(__xludf.DUMMYFUNCTION("""COMPUTED_VALUE"""),"https://drive.google.com/drive/folders/10T2cTQHqEJZqE-st6uFKPoI?usp=share_link")</f>
        <v>https://drive.google.com/drive/folders/10T2cTQHqEJZqE-st6uFKPoI?usp=share_link</v>
      </c>
      <c r="P5858" s="6" t="str">
        <f>IFERROR(__xludf.DUMMYFUNCTION("""COMPUTED_VALUE"""),"Katelynn Tinsley-Hay")</f>
        <v>Katelynn Tinsley-Hay</v>
      </c>
      <c r="Q5858" s="6" t="str">
        <f>IFERROR(__xludf.DUMMYFUNCTION("""COMPUTED_VALUE"""),"L1")</f>
        <v>L1</v>
      </c>
      <c r="R5858" s="6">
        <f>IFERROR(__xludf.DUMMYFUNCTION("""COMPUTED_VALUE"""),1.0)</f>
        <v>1</v>
      </c>
      <c r="S5858" s="6" t="str">
        <f>IFERROR(__xludf.DUMMYFUNCTION("""COMPUTED_VALUE"""),"Kimberly Ball")</f>
        <v>Kimberly Ball</v>
      </c>
      <c r="T5858" s="6" t="str">
        <f>IFERROR(__xludf.DUMMYFUNCTION("""COMPUTED_VALUE"""),"kimberly.ball@studient.com")</f>
        <v>kimberly.ball@studient.com</v>
      </c>
      <c r="U5858" s="6" t="str">
        <f>IFERROR(__xludf.DUMMYFUNCTION("""COMPUTED_VALUE"""),"3")</f>
        <v>3</v>
      </c>
      <c r="V5858" s="6" t="str">
        <f>IFERROR(__xludf.DUMMYFUNCTION("""COMPUTED_VALUE"""),"")</f>
        <v/>
      </c>
      <c r="W5858" s="6" t="str">
        <f>IFERROR(__xludf.DUMMYFUNCTION("""COMPUTED_VALUE"""),"[]")</f>
        <v>[]</v>
      </c>
      <c r="X5858" s="6" t="str">
        <f>IFERROR(__xludf.DUMMYFUNCTION("""COMPUTED_VALUE"""),"Enrolled")</f>
        <v>Enrolled</v>
      </c>
    </row>
    <row r="5859">
      <c r="A5859" s="6" t="str">
        <f>IFERROR(__xludf.DUMMYFUNCTION("""COMPUTED_VALUE"""),"088-11882")</f>
        <v>088-11882</v>
      </c>
      <c r="B5859" s="6" t="str">
        <f>IFERROR(__xludf.DUMMYFUNCTION("""COMPUTED_VALUE"""),"88")</f>
        <v>88</v>
      </c>
      <c r="C5859" s="6" t="str">
        <f>IFERROR(__xludf.DUMMYFUNCTION("""COMPUTED_VALUE"""),"11882")</f>
        <v>11882</v>
      </c>
      <c r="D5859" s="6" t="str">
        <f>IFERROR(__xludf.DUMMYFUNCTION("""COMPUTED_VALUE"""),"Jakai")</f>
        <v>Jakai</v>
      </c>
      <c r="E5859" s="6" t="str">
        <f>IFERROR(__xludf.DUMMYFUNCTION("""COMPUTED_VALUE"""),"")</f>
        <v/>
      </c>
      <c r="F5859" s="6" t="str">
        <f>IFERROR(__xludf.DUMMYFUNCTION("""COMPUTED_VALUE"""),"Bolden")</f>
        <v>Bolden</v>
      </c>
      <c r="G5859" s="6" t="str">
        <f>IFERROR(__xludf.DUMMYFUNCTION("""COMPUTED_VALUE"""),"07/31/2015")</f>
        <v>07/31/2015</v>
      </c>
      <c r="H5859" s="6" t="str">
        <f>IFERROR(__xludf.DUMMYFUNCTION("""COMPUTED_VALUE"""),"male")</f>
        <v>male</v>
      </c>
      <c r="I5859" s="6" t="str">
        <f>IFERROR(__xludf.DUMMYFUNCTION("""COMPUTED_VALUE"""),"Level 2")</f>
        <v>Level 2</v>
      </c>
      <c r="J5859" s="6" t="str">
        <f>IFERROR(__xludf.DUMMYFUNCTION("""COMPUTED_VALUE"""),"5")</f>
        <v>5</v>
      </c>
      <c r="K5859" s="6" t="str">
        <f>IFERROR(__xludf.DUMMYFUNCTION("""COMPUTED_VALUE"""),"jakai.bolden@2hourlearning.com")</f>
        <v>jakai.bolden@2hourlearning.com</v>
      </c>
      <c r="L5859" s="6" t="str">
        <f>IFERROR(__xludf.DUMMYFUNCTION("""COMPUTED_VALUE"""),"AFES - Allendale Fairfax Elementary School")</f>
        <v>AFES - Allendale Fairfax Elementary School</v>
      </c>
      <c r="M5859" s="6" t="str">
        <f>IFERROR(__xludf.DUMMYFUNCTION("""COMPUTED_VALUE"""),"")</f>
        <v/>
      </c>
      <c r="N5859" s="6" t="str">
        <f>IFERROR(__xludf.DUMMYFUNCTION("""COMPUTED_VALUE"""),"")</f>
        <v/>
      </c>
      <c r="O5859" s="87" t="str">
        <f>IFERROR(__xludf.DUMMYFUNCTION("""COMPUTED_VALUE"""),"https://drive.google.com/drive/folders/10T2cTQHqEJZqE-st6uFKPoI?usp=share_link")</f>
        <v>https://drive.google.com/drive/folders/10T2cTQHqEJZqE-st6uFKPoI?usp=share_link</v>
      </c>
      <c r="P5859" s="6" t="str">
        <f>IFERROR(__xludf.DUMMYFUNCTION("""COMPUTED_VALUE"""),"Jakai Bolden")</f>
        <v>Jakai Bolden</v>
      </c>
      <c r="Q5859" s="6" t="str">
        <f>IFERROR(__xludf.DUMMYFUNCTION("""COMPUTED_VALUE"""),"L2")</f>
        <v>L2</v>
      </c>
      <c r="R5859" s="6">
        <f>IFERROR(__xludf.DUMMYFUNCTION("""COMPUTED_VALUE"""),2.0)</f>
        <v>2</v>
      </c>
      <c r="S5859" s="6" t="str">
        <f>IFERROR(__xludf.DUMMYFUNCTION("""COMPUTED_VALUE"""),"Kimberly Ball")</f>
        <v>Kimberly Ball</v>
      </c>
      <c r="T5859" s="6" t="str">
        <f>IFERROR(__xludf.DUMMYFUNCTION("""COMPUTED_VALUE"""),"kimberly.ball@studient.com")</f>
        <v>kimberly.ball@studient.com</v>
      </c>
      <c r="U5859" s="6" t="str">
        <f>IFERROR(__xludf.DUMMYFUNCTION("""COMPUTED_VALUE"""),"5")</f>
        <v>5</v>
      </c>
      <c r="V5859" s="6" t="str">
        <f>IFERROR(__xludf.DUMMYFUNCTION("""COMPUTED_VALUE"""),"")</f>
        <v/>
      </c>
      <c r="W5859" s="6" t="str">
        <f>IFERROR(__xludf.DUMMYFUNCTION("""COMPUTED_VALUE"""),"[]")</f>
        <v>[]</v>
      </c>
      <c r="X5859" s="6" t="str">
        <f>IFERROR(__xludf.DUMMYFUNCTION("""COMPUTED_VALUE"""),"Enrolled")</f>
        <v>Enrolled</v>
      </c>
    </row>
    <row r="5860">
      <c r="A5860" s="6" t="str">
        <f>IFERROR(__xludf.DUMMYFUNCTION("""COMPUTED_VALUE"""),"088-11883")</f>
        <v>088-11883</v>
      </c>
      <c r="B5860" s="6" t="str">
        <f>IFERROR(__xludf.DUMMYFUNCTION("""COMPUTED_VALUE"""),"88")</f>
        <v>88</v>
      </c>
      <c r="C5860" s="6" t="str">
        <f>IFERROR(__xludf.DUMMYFUNCTION("""COMPUTED_VALUE"""),"11883")</f>
        <v>11883</v>
      </c>
      <c r="D5860" s="6" t="str">
        <f>IFERROR(__xludf.DUMMYFUNCTION("""COMPUTED_VALUE"""),"Carlos")</f>
        <v>Carlos</v>
      </c>
      <c r="E5860" s="6" t="str">
        <f>IFERROR(__xludf.DUMMYFUNCTION("""COMPUTED_VALUE"""),"")</f>
        <v/>
      </c>
      <c r="F5860" s="6" t="str">
        <f>IFERROR(__xludf.DUMMYFUNCTION("""COMPUTED_VALUE"""),"Cahuich")</f>
        <v>Cahuich</v>
      </c>
      <c r="G5860" s="6" t="str">
        <f>IFERROR(__xludf.DUMMYFUNCTION("""COMPUTED_VALUE"""),"11/19/2014")</f>
        <v>11/19/2014</v>
      </c>
      <c r="H5860" s="6" t="str">
        <f>IFERROR(__xludf.DUMMYFUNCTION("""COMPUTED_VALUE"""),"male")</f>
        <v>male</v>
      </c>
      <c r="I5860" s="6" t="str">
        <f>IFERROR(__xludf.DUMMYFUNCTION("""COMPUTED_VALUE"""),"Level 2")</f>
        <v>Level 2</v>
      </c>
      <c r="J5860" s="6" t="str">
        <f>IFERROR(__xludf.DUMMYFUNCTION("""COMPUTED_VALUE"""),"5")</f>
        <v>5</v>
      </c>
      <c r="K5860" s="6" t="str">
        <f>IFERROR(__xludf.DUMMYFUNCTION("""COMPUTED_VALUE"""),"carlos.cahuich@2hourlearning.com")</f>
        <v>carlos.cahuich@2hourlearning.com</v>
      </c>
      <c r="L5860" s="6" t="str">
        <f>IFERROR(__xludf.DUMMYFUNCTION("""COMPUTED_VALUE"""),"AFES - Allendale Fairfax Elementary School")</f>
        <v>AFES - Allendale Fairfax Elementary School</v>
      </c>
      <c r="M5860" s="6" t="str">
        <f>IFERROR(__xludf.DUMMYFUNCTION("""COMPUTED_VALUE"""),"")</f>
        <v/>
      </c>
      <c r="N5860" s="6" t="str">
        <f>IFERROR(__xludf.DUMMYFUNCTION("""COMPUTED_VALUE"""),"")</f>
        <v/>
      </c>
      <c r="O5860" s="87" t="str">
        <f>IFERROR(__xludf.DUMMYFUNCTION("""COMPUTED_VALUE"""),"https://drive.google.com/drive/folders/10T2cTQHqEJZqE-st6uFKPoI?usp=share_link")</f>
        <v>https://drive.google.com/drive/folders/10T2cTQHqEJZqE-st6uFKPoI?usp=share_link</v>
      </c>
      <c r="P5860" s="6" t="str">
        <f>IFERROR(__xludf.DUMMYFUNCTION("""COMPUTED_VALUE"""),"Carlos Cahuich")</f>
        <v>Carlos Cahuich</v>
      </c>
      <c r="Q5860" s="6" t="str">
        <f>IFERROR(__xludf.DUMMYFUNCTION("""COMPUTED_VALUE"""),"L2")</f>
        <v>L2</v>
      </c>
      <c r="R5860" s="6">
        <f>IFERROR(__xludf.DUMMYFUNCTION("""COMPUTED_VALUE"""),2.0)</f>
        <v>2</v>
      </c>
      <c r="S5860" s="6" t="str">
        <f>IFERROR(__xludf.DUMMYFUNCTION("""COMPUTED_VALUE"""),"Kimberly Ball")</f>
        <v>Kimberly Ball</v>
      </c>
      <c r="T5860" s="6" t="str">
        <f>IFERROR(__xludf.DUMMYFUNCTION("""COMPUTED_VALUE"""),"kimberly.ball@studient.com")</f>
        <v>kimberly.ball@studient.com</v>
      </c>
      <c r="U5860" s="6" t="str">
        <f>IFERROR(__xludf.DUMMYFUNCTION("""COMPUTED_VALUE"""),"5")</f>
        <v>5</v>
      </c>
      <c r="V5860" s="6" t="str">
        <f>IFERROR(__xludf.DUMMYFUNCTION("""COMPUTED_VALUE"""),"")</f>
        <v/>
      </c>
      <c r="W5860" s="6" t="str">
        <f>IFERROR(__xludf.DUMMYFUNCTION("""COMPUTED_VALUE"""),"[]")</f>
        <v>[]</v>
      </c>
      <c r="X5860" s="6" t="str">
        <f>IFERROR(__xludf.DUMMYFUNCTION("""COMPUTED_VALUE"""),"Enrolled")</f>
        <v>Enrolled</v>
      </c>
    </row>
    <row r="5861">
      <c r="A5861" s="6" t="str">
        <f>IFERROR(__xludf.DUMMYFUNCTION("""COMPUTED_VALUE"""),"088-11884")</f>
        <v>088-11884</v>
      </c>
      <c r="B5861" s="6" t="str">
        <f>IFERROR(__xludf.DUMMYFUNCTION("""COMPUTED_VALUE"""),"88")</f>
        <v>88</v>
      </c>
      <c r="C5861" s="6" t="str">
        <f>IFERROR(__xludf.DUMMYFUNCTION("""COMPUTED_VALUE"""),"11884")</f>
        <v>11884</v>
      </c>
      <c r="D5861" s="6" t="str">
        <f>IFERROR(__xludf.DUMMYFUNCTION("""COMPUTED_VALUE"""),"A'Jayiah")</f>
        <v>A'Jayiah</v>
      </c>
      <c r="E5861" s="6" t="str">
        <f>IFERROR(__xludf.DUMMYFUNCTION("""COMPUTED_VALUE"""),"")</f>
        <v/>
      </c>
      <c r="F5861" s="6" t="str">
        <f>IFERROR(__xludf.DUMMYFUNCTION("""COMPUTED_VALUE"""),"Doe")</f>
        <v>Doe</v>
      </c>
      <c r="G5861" s="6" t="str">
        <f>IFERROR(__xludf.DUMMYFUNCTION("""COMPUTED_VALUE"""),"10/29/2012")</f>
        <v>10/29/2012</v>
      </c>
      <c r="H5861" s="6" t="str">
        <f>IFERROR(__xludf.DUMMYFUNCTION("""COMPUTED_VALUE"""),"female")</f>
        <v>female</v>
      </c>
      <c r="I5861" s="6" t="str">
        <f>IFERROR(__xludf.DUMMYFUNCTION("""COMPUTED_VALUE"""),"Level 2")</f>
        <v>Level 2</v>
      </c>
      <c r="J5861" s="6" t="str">
        <f>IFERROR(__xludf.DUMMYFUNCTION("""COMPUTED_VALUE"""),"5")</f>
        <v>5</v>
      </c>
      <c r="K5861" s="6" t="str">
        <f>IFERROR(__xludf.DUMMYFUNCTION("""COMPUTED_VALUE"""),"ajayiah.doe@2hourlearning.com")</f>
        <v>ajayiah.doe@2hourlearning.com</v>
      </c>
      <c r="L5861" s="6" t="str">
        <f>IFERROR(__xludf.DUMMYFUNCTION("""COMPUTED_VALUE"""),"AFES - Allendale Fairfax Elementary School")</f>
        <v>AFES - Allendale Fairfax Elementary School</v>
      </c>
      <c r="M5861" s="6" t="str">
        <f>IFERROR(__xludf.DUMMYFUNCTION("""COMPUTED_VALUE"""),"")</f>
        <v/>
      </c>
      <c r="N5861" s="6" t="str">
        <f>IFERROR(__xludf.DUMMYFUNCTION("""COMPUTED_VALUE"""),"")</f>
        <v/>
      </c>
      <c r="O5861" s="87" t="str">
        <f>IFERROR(__xludf.DUMMYFUNCTION("""COMPUTED_VALUE"""),"https://drive.google.com/drive/folders/10T2cTQHqEJZqE-st6uFKPoI?usp=share_link")</f>
        <v>https://drive.google.com/drive/folders/10T2cTQHqEJZqE-st6uFKPoI?usp=share_link</v>
      </c>
      <c r="P5861" s="6" t="str">
        <f>IFERROR(__xludf.DUMMYFUNCTION("""COMPUTED_VALUE"""),"A'Jayiah Doe")</f>
        <v>A'Jayiah Doe</v>
      </c>
      <c r="Q5861" s="6" t="str">
        <f>IFERROR(__xludf.DUMMYFUNCTION("""COMPUTED_VALUE"""),"L2")</f>
        <v>L2</v>
      </c>
      <c r="R5861" s="6">
        <f>IFERROR(__xludf.DUMMYFUNCTION("""COMPUTED_VALUE"""),2.0)</f>
        <v>2</v>
      </c>
      <c r="S5861" s="6" t="str">
        <f>IFERROR(__xludf.DUMMYFUNCTION("""COMPUTED_VALUE"""),"Kimberly Ball")</f>
        <v>Kimberly Ball</v>
      </c>
      <c r="T5861" s="6" t="str">
        <f>IFERROR(__xludf.DUMMYFUNCTION("""COMPUTED_VALUE"""),"kimberly.ball@studient.com")</f>
        <v>kimberly.ball@studient.com</v>
      </c>
      <c r="U5861" s="6" t="str">
        <f>IFERROR(__xludf.DUMMYFUNCTION("""COMPUTED_VALUE"""),"5")</f>
        <v>5</v>
      </c>
      <c r="V5861" s="6" t="str">
        <f>IFERROR(__xludf.DUMMYFUNCTION("""COMPUTED_VALUE"""),"")</f>
        <v/>
      </c>
      <c r="W5861" s="6" t="str">
        <f>IFERROR(__xludf.DUMMYFUNCTION("""COMPUTED_VALUE"""),"[]")</f>
        <v>[]</v>
      </c>
      <c r="X5861" s="6" t="str">
        <f>IFERROR(__xludf.DUMMYFUNCTION("""COMPUTED_VALUE"""),"Enrolled")</f>
        <v>Enrolled</v>
      </c>
    </row>
    <row r="5862">
      <c r="A5862" s="6" t="str">
        <f>IFERROR(__xludf.DUMMYFUNCTION("""COMPUTED_VALUE"""),"088-11885")</f>
        <v>088-11885</v>
      </c>
      <c r="B5862" s="6" t="str">
        <f>IFERROR(__xludf.DUMMYFUNCTION("""COMPUTED_VALUE"""),"88")</f>
        <v>88</v>
      </c>
      <c r="C5862" s="6" t="str">
        <f>IFERROR(__xludf.DUMMYFUNCTION("""COMPUTED_VALUE"""),"11885")</f>
        <v>11885</v>
      </c>
      <c r="D5862" s="6" t="str">
        <f>IFERROR(__xludf.DUMMYFUNCTION("""COMPUTED_VALUE"""),"Hailey")</f>
        <v>Hailey</v>
      </c>
      <c r="E5862" s="6" t="str">
        <f>IFERROR(__xludf.DUMMYFUNCTION("""COMPUTED_VALUE"""),"")</f>
        <v/>
      </c>
      <c r="F5862" s="6" t="str">
        <f>IFERROR(__xludf.DUMMYFUNCTION("""COMPUTED_VALUE"""),"Drayton")</f>
        <v>Drayton</v>
      </c>
      <c r="G5862" s="6" t="str">
        <f>IFERROR(__xludf.DUMMYFUNCTION("""COMPUTED_VALUE"""),"02/02/2014")</f>
        <v>02/02/2014</v>
      </c>
      <c r="H5862" s="6" t="str">
        <f>IFERROR(__xludf.DUMMYFUNCTION("""COMPUTED_VALUE"""),"female")</f>
        <v>female</v>
      </c>
      <c r="I5862" s="6" t="str">
        <f>IFERROR(__xludf.DUMMYFUNCTION("""COMPUTED_VALUE"""),"Level 2")</f>
        <v>Level 2</v>
      </c>
      <c r="J5862" s="6" t="str">
        <f>IFERROR(__xludf.DUMMYFUNCTION("""COMPUTED_VALUE"""),"5")</f>
        <v>5</v>
      </c>
      <c r="K5862" s="6" t="str">
        <f>IFERROR(__xludf.DUMMYFUNCTION("""COMPUTED_VALUE"""),"hailey.drayton@2hourlearning.com")</f>
        <v>hailey.drayton@2hourlearning.com</v>
      </c>
      <c r="L5862" s="6" t="str">
        <f>IFERROR(__xludf.DUMMYFUNCTION("""COMPUTED_VALUE"""),"AFES - Allendale Fairfax Elementary School")</f>
        <v>AFES - Allendale Fairfax Elementary School</v>
      </c>
      <c r="M5862" s="6" t="str">
        <f>IFERROR(__xludf.DUMMYFUNCTION("""COMPUTED_VALUE"""),"")</f>
        <v/>
      </c>
      <c r="N5862" s="6" t="str">
        <f>IFERROR(__xludf.DUMMYFUNCTION("""COMPUTED_VALUE"""),"")</f>
        <v/>
      </c>
      <c r="O5862" s="87" t="str">
        <f>IFERROR(__xludf.DUMMYFUNCTION("""COMPUTED_VALUE"""),"https://drive.google.com/drive/folders/10T2cTQHqEJZqE-st6uFKPoI?usp=share_link")</f>
        <v>https://drive.google.com/drive/folders/10T2cTQHqEJZqE-st6uFKPoI?usp=share_link</v>
      </c>
      <c r="P5862" s="6" t="str">
        <f>IFERROR(__xludf.DUMMYFUNCTION("""COMPUTED_VALUE"""),"Hailey Drayton")</f>
        <v>Hailey Drayton</v>
      </c>
      <c r="Q5862" s="6" t="str">
        <f>IFERROR(__xludf.DUMMYFUNCTION("""COMPUTED_VALUE"""),"L2")</f>
        <v>L2</v>
      </c>
      <c r="R5862" s="6">
        <f>IFERROR(__xludf.DUMMYFUNCTION("""COMPUTED_VALUE"""),2.0)</f>
        <v>2</v>
      </c>
      <c r="S5862" s="6" t="str">
        <f>IFERROR(__xludf.DUMMYFUNCTION("""COMPUTED_VALUE"""),"Kimberly Ball")</f>
        <v>Kimberly Ball</v>
      </c>
      <c r="T5862" s="6" t="str">
        <f>IFERROR(__xludf.DUMMYFUNCTION("""COMPUTED_VALUE"""),"kimberly.ball@studient.com")</f>
        <v>kimberly.ball@studient.com</v>
      </c>
      <c r="U5862" s="6" t="str">
        <f>IFERROR(__xludf.DUMMYFUNCTION("""COMPUTED_VALUE"""),"5")</f>
        <v>5</v>
      </c>
      <c r="V5862" s="6" t="str">
        <f>IFERROR(__xludf.DUMMYFUNCTION("""COMPUTED_VALUE"""),"")</f>
        <v/>
      </c>
      <c r="W5862" s="6" t="str">
        <f>IFERROR(__xludf.DUMMYFUNCTION("""COMPUTED_VALUE"""),"[]")</f>
        <v>[]</v>
      </c>
      <c r="X5862" s="6" t="str">
        <f>IFERROR(__xludf.DUMMYFUNCTION("""COMPUTED_VALUE"""),"Enrolled")</f>
        <v>Enrolled</v>
      </c>
    </row>
    <row r="5863">
      <c r="A5863" s="6" t="str">
        <f>IFERROR(__xludf.DUMMYFUNCTION("""COMPUTED_VALUE"""),"088-11886")</f>
        <v>088-11886</v>
      </c>
      <c r="B5863" s="6" t="str">
        <f>IFERROR(__xludf.DUMMYFUNCTION("""COMPUTED_VALUE"""),"88")</f>
        <v>88</v>
      </c>
      <c r="C5863" s="6" t="str">
        <f>IFERROR(__xludf.DUMMYFUNCTION("""COMPUTED_VALUE"""),"11886")</f>
        <v>11886</v>
      </c>
      <c r="D5863" s="6" t="str">
        <f>IFERROR(__xludf.DUMMYFUNCTION("""COMPUTED_VALUE"""),"Jayda")</f>
        <v>Jayda</v>
      </c>
      <c r="E5863" s="6" t="str">
        <f>IFERROR(__xludf.DUMMYFUNCTION("""COMPUTED_VALUE"""),"")</f>
        <v/>
      </c>
      <c r="F5863" s="6" t="str">
        <f>IFERROR(__xludf.DUMMYFUNCTION("""COMPUTED_VALUE"""),"Holmes")</f>
        <v>Holmes</v>
      </c>
      <c r="G5863" s="6" t="str">
        <f>IFERROR(__xludf.DUMMYFUNCTION("""COMPUTED_VALUE"""),"04/10/2014")</f>
        <v>04/10/2014</v>
      </c>
      <c r="H5863" s="6" t="str">
        <f>IFERROR(__xludf.DUMMYFUNCTION("""COMPUTED_VALUE"""),"female")</f>
        <v>female</v>
      </c>
      <c r="I5863" s="6" t="str">
        <f>IFERROR(__xludf.DUMMYFUNCTION("""COMPUTED_VALUE"""),"Level 2")</f>
        <v>Level 2</v>
      </c>
      <c r="J5863" s="6" t="str">
        <f>IFERROR(__xludf.DUMMYFUNCTION("""COMPUTED_VALUE"""),"5")</f>
        <v>5</v>
      </c>
      <c r="K5863" s="6" t="str">
        <f>IFERROR(__xludf.DUMMYFUNCTION("""COMPUTED_VALUE"""),"jayda.holmes@2hourlearning.com")</f>
        <v>jayda.holmes@2hourlearning.com</v>
      </c>
      <c r="L5863" s="6" t="str">
        <f>IFERROR(__xludf.DUMMYFUNCTION("""COMPUTED_VALUE"""),"AFES - Allendale Fairfax Elementary School")</f>
        <v>AFES - Allendale Fairfax Elementary School</v>
      </c>
      <c r="M5863" s="6" t="str">
        <f>IFERROR(__xludf.DUMMYFUNCTION("""COMPUTED_VALUE"""),"")</f>
        <v/>
      </c>
      <c r="N5863" s="6" t="str">
        <f>IFERROR(__xludf.DUMMYFUNCTION("""COMPUTED_VALUE"""),"")</f>
        <v/>
      </c>
      <c r="O5863" s="87" t="str">
        <f>IFERROR(__xludf.DUMMYFUNCTION("""COMPUTED_VALUE"""),"https://drive.google.com/drive/folders/10T2cTQHqEJZqE-st6uFKPoI?usp=share_link")</f>
        <v>https://drive.google.com/drive/folders/10T2cTQHqEJZqE-st6uFKPoI?usp=share_link</v>
      </c>
      <c r="P5863" s="6" t="str">
        <f>IFERROR(__xludf.DUMMYFUNCTION("""COMPUTED_VALUE"""),"Jayda Holmes")</f>
        <v>Jayda Holmes</v>
      </c>
      <c r="Q5863" s="6" t="str">
        <f>IFERROR(__xludf.DUMMYFUNCTION("""COMPUTED_VALUE"""),"L2")</f>
        <v>L2</v>
      </c>
      <c r="R5863" s="6">
        <f>IFERROR(__xludf.DUMMYFUNCTION("""COMPUTED_VALUE"""),2.0)</f>
        <v>2</v>
      </c>
      <c r="S5863" s="6" t="str">
        <f>IFERROR(__xludf.DUMMYFUNCTION("""COMPUTED_VALUE"""),"Kimberly Ball")</f>
        <v>Kimberly Ball</v>
      </c>
      <c r="T5863" s="6" t="str">
        <f>IFERROR(__xludf.DUMMYFUNCTION("""COMPUTED_VALUE"""),"kimberly.ball@studient.com")</f>
        <v>kimberly.ball@studient.com</v>
      </c>
      <c r="U5863" s="6" t="str">
        <f>IFERROR(__xludf.DUMMYFUNCTION("""COMPUTED_VALUE"""),"5")</f>
        <v>5</v>
      </c>
      <c r="V5863" s="6" t="str">
        <f>IFERROR(__xludf.DUMMYFUNCTION("""COMPUTED_VALUE"""),"")</f>
        <v/>
      </c>
      <c r="W5863" s="6" t="str">
        <f>IFERROR(__xludf.DUMMYFUNCTION("""COMPUTED_VALUE"""),"[]")</f>
        <v>[]</v>
      </c>
      <c r="X5863" s="6" t="str">
        <f>IFERROR(__xludf.DUMMYFUNCTION("""COMPUTED_VALUE"""),"Enrolled")</f>
        <v>Enrolled</v>
      </c>
    </row>
    <row r="5864">
      <c r="A5864" s="6" t="str">
        <f>IFERROR(__xludf.DUMMYFUNCTION("""COMPUTED_VALUE"""),"088-11887")</f>
        <v>088-11887</v>
      </c>
      <c r="B5864" s="6" t="str">
        <f>IFERROR(__xludf.DUMMYFUNCTION("""COMPUTED_VALUE"""),"88")</f>
        <v>88</v>
      </c>
      <c r="C5864" s="6" t="str">
        <f>IFERROR(__xludf.DUMMYFUNCTION("""COMPUTED_VALUE"""),"11887")</f>
        <v>11887</v>
      </c>
      <c r="D5864" s="6" t="str">
        <f>IFERROR(__xludf.DUMMYFUNCTION("""COMPUTED_VALUE"""),"Adonus")</f>
        <v>Adonus</v>
      </c>
      <c r="E5864" s="6" t="str">
        <f>IFERROR(__xludf.DUMMYFUNCTION("""COMPUTED_VALUE"""),"")</f>
        <v/>
      </c>
      <c r="F5864" s="6" t="str">
        <f>IFERROR(__xludf.DUMMYFUNCTION("""COMPUTED_VALUE"""),"Maner")</f>
        <v>Maner</v>
      </c>
      <c r="G5864" s="6" t="str">
        <f>IFERROR(__xludf.DUMMYFUNCTION("""COMPUTED_VALUE"""),"09/03/2014")</f>
        <v>09/03/2014</v>
      </c>
      <c r="H5864" s="6" t="str">
        <f>IFERROR(__xludf.DUMMYFUNCTION("""COMPUTED_VALUE"""),"male")</f>
        <v>male</v>
      </c>
      <c r="I5864" s="6" t="str">
        <f>IFERROR(__xludf.DUMMYFUNCTION("""COMPUTED_VALUE"""),"Level 2")</f>
        <v>Level 2</v>
      </c>
      <c r="J5864" s="6" t="str">
        <f>IFERROR(__xludf.DUMMYFUNCTION("""COMPUTED_VALUE"""),"5")</f>
        <v>5</v>
      </c>
      <c r="K5864" s="6" t="str">
        <f>IFERROR(__xludf.DUMMYFUNCTION("""COMPUTED_VALUE"""),"adonus.maner@2hourlearning.com")</f>
        <v>adonus.maner@2hourlearning.com</v>
      </c>
      <c r="L5864" s="6" t="str">
        <f>IFERROR(__xludf.DUMMYFUNCTION("""COMPUTED_VALUE"""),"AFES - Allendale Fairfax Elementary School")</f>
        <v>AFES - Allendale Fairfax Elementary School</v>
      </c>
      <c r="M5864" s="6" t="str">
        <f>IFERROR(__xludf.DUMMYFUNCTION("""COMPUTED_VALUE"""),"")</f>
        <v/>
      </c>
      <c r="N5864" s="6" t="str">
        <f>IFERROR(__xludf.DUMMYFUNCTION("""COMPUTED_VALUE"""),"")</f>
        <v/>
      </c>
      <c r="O5864" s="87" t="str">
        <f>IFERROR(__xludf.DUMMYFUNCTION("""COMPUTED_VALUE"""),"https://drive.google.com/drive/folders/10T2cTQHqEJZqE-st6uFKPoI?usp=share_link")</f>
        <v>https://drive.google.com/drive/folders/10T2cTQHqEJZqE-st6uFKPoI?usp=share_link</v>
      </c>
      <c r="P5864" s="6" t="str">
        <f>IFERROR(__xludf.DUMMYFUNCTION("""COMPUTED_VALUE"""),"Adonus Maner")</f>
        <v>Adonus Maner</v>
      </c>
      <c r="Q5864" s="6" t="str">
        <f>IFERROR(__xludf.DUMMYFUNCTION("""COMPUTED_VALUE"""),"L2")</f>
        <v>L2</v>
      </c>
      <c r="R5864" s="6">
        <f>IFERROR(__xludf.DUMMYFUNCTION("""COMPUTED_VALUE"""),2.0)</f>
        <v>2</v>
      </c>
      <c r="S5864" s="6" t="str">
        <f>IFERROR(__xludf.DUMMYFUNCTION("""COMPUTED_VALUE"""),"Kimberly Ball")</f>
        <v>Kimberly Ball</v>
      </c>
      <c r="T5864" s="6" t="str">
        <f>IFERROR(__xludf.DUMMYFUNCTION("""COMPUTED_VALUE"""),"kimberly.ball@studient.com")</f>
        <v>kimberly.ball@studient.com</v>
      </c>
      <c r="U5864" s="6" t="str">
        <f>IFERROR(__xludf.DUMMYFUNCTION("""COMPUTED_VALUE"""),"5")</f>
        <v>5</v>
      </c>
      <c r="V5864" s="6" t="str">
        <f>IFERROR(__xludf.DUMMYFUNCTION("""COMPUTED_VALUE"""),"")</f>
        <v/>
      </c>
      <c r="W5864" s="6" t="str">
        <f>IFERROR(__xludf.DUMMYFUNCTION("""COMPUTED_VALUE"""),"[]")</f>
        <v>[]</v>
      </c>
      <c r="X5864" s="6" t="str">
        <f>IFERROR(__xludf.DUMMYFUNCTION("""COMPUTED_VALUE"""),"Enrolled")</f>
        <v>Enrolled</v>
      </c>
    </row>
    <row r="5865">
      <c r="A5865" s="6" t="str">
        <f>IFERROR(__xludf.DUMMYFUNCTION("""COMPUTED_VALUE"""),"088-11888")</f>
        <v>088-11888</v>
      </c>
      <c r="B5865" s="6" t="str">
        <f>IFERROR(__xludf.DUMMYFUNCTION("""COMPUTED_VALUE"""),"88")</f>
        <v>88</v>
      </c>
      <c r="C5865" s="6" t="str">
        <f>IFERROR(__xludf.DUMMYFUNCTION("""COMPUTED_VALUE"""),"11888")</f>
        <v>11888</v>
      </c>
      <c r="D5865" s="6" t="str">
        <f>IFERROR(__xludf.DUMMYFUNCTION("""COMPUTED_VALUE"""),"Carmen")</f>
        <v>Carmen</v>
      </c>
      <c r="E5865" s="6" t="str">
        <f>IFERROR(__xludf.DUMMYFUNCTION("""COMPUTED_VALUE"""),"")</f>
        <v/>
      </c>
      <c r="F5865" s="6" t="str">
        <f>IFERROR(__xludf.DUMMYFUNCTION("""COMPUTED_VALUE"""),"Milledge")</f>
        <v>Milledge</v>
      </c>
      <c r="G5865" s="6" t="str">
        <f>IFERROR(__xludf.DUMMYFUNCTION("""COMPUTED_VALUE"""),"09/25/2013")</f>
        <v>09/25/2013</v>
      </c>
      <c r="H5865" s="6" t="str">
        <f>IFERROR(__xludf.DUMMYFUNCTION("""COMPUTED_VALUE"""),"female")</f>
        <v>female</v>
      </c>
      <c r="I5865" s="6" t="str">
        <f>IFERROR(__xludf.DUMMYFUNCTION("""COMPUTED_VALUE"""),"Level 2")</f>
        <v>Level 2</v>
      </c>
      <c r="J5865" s="6" t="str">
        <f>IFERROR(__xludf.DUMMYFUNCTION("""COMPUTED_VALUE"""),"5")</f>
        <v>5</v>
      </c>
      <c r="K5865" s="6" t="str">
        <f>IFERROR(__xludf.DUMMYFUNCTION("""COMPUTED_VALUE"""),"carmen.milledge@2hourlearning.com")</f>
        <v>carmen.milledge@2hourlearning.com</v>
      </c>
      <c r="L5865" s="6" t="str">
        <f>IFERROR(__xludf.DUMMYFUNCTION("""COMPUTED_VALUE"""),"AFES - Allendale Fairfax Elementary School")</f>
        <v>AFES - Allendale Fairfax Elementary School</v>
      </c>
      <c r="M5865" s="6" t="str">
        <f>IFERROR(__xludf.DUMMYFUNCTION("""COMPUTED_VALUE"""),"")</f>
        <v/>
      </c>
      <c r="N5865" s="6" t="str">
        <f>IFERROR(__xludf.DUMMYFUNCTION("""COMPUTED_VALUE"""),"")</f>
        <v/>
      </c>
      <c r="O5865" s="87" t="str">
        <f>IFERROR(__xludf.DUMMYFUNCTION("""COMPUTED_VALUE"""),"https://drive.google.com/drive/folders/10T2cTQHqEJZqE-st6uFKPoI?usp=share_link")</f>
        <v>https://drive.google.com/drive/folders/10T2cTQHqEJZqE-st6uFKPoI?usp=share_link</v>
      </c>
      <c r="P5865" s="6" t="str">
        <f>IFERROR(__xludf.DUMMYFUNCTION("""COMPUTED_VALUE"""),"Carmen Milledge")</f>
        <v>Carmen Milledge</v>
      </c>
      <c r="Q5865" s="6" t="str">
        <f>IFERROR(__xludf.DUMMYFUNCTION("""COMPUTED_VALUE"""),"L2")</f>
        <v>L2</v>
      </c>
      <c r="R5865" s="6">
        <f>IFERROR(__xludf.DUMMYFUNCTION("""COMPUTED_VALUE"""),2.0)</f>
        <v>2</v>
      </c>
      <c r="S5865" s="6" t="str">
        <f>IFERROR(__xludf.DUMMYFUNCTION("""COMPUTED_VALUE"""),"Kimberly Ball")</f>
        <v>Kimberly Ball</v>
      </c>
      <c r="T5865" s="6" t="str">
        <f>IFERROR(__xludf.DUMMYFUNCTION("""COMPUTED_VALUE"""),"kimberly.ball@studient.com")</f>
        <v>kimberly.ball@studient.com</v>
      </c>
      <c r="U5865" s="6" t="str">
        <f>IFERROR(__xludf.DUMMYFUNCTION("""COMPUTED_VALUE"""),"5")</f>
        <v>5</v>
      </c>
      <c r="V5865" s="6" t="str">
        <f>IFERROR(__xludf.DUMMYFUNCTION("""COMPUTED_VALUE"""),"")</f>
        <v/>
      </c>
      <c r="W5865" s="6" t="str">
        <f>IFERROR(__xludf.DUMMYFUNCTION("""COMPUTED_VALUE"""),"[]")</f>
        <v>[]</v>
      </c>
      <c r="X5865" s="6" t="str">
        <f>IFERROR(__xludf.DUMMYFUNCTION("""COMPUTED_VALUE"""),"Enrolled")</f>
        <v>Enrolled</v>
      </c>
    </row>
    <row r="5866">
      <c r="A5866" s="6" t="str">
        <f>IFERROR(__xludf.DUMMYFUNCTION("""COMPUTED_VALUE"""),"088-11889")</f>
        <v>088-11889</v>
      </c>
      <c r="B5866" s="6" t="str">
        <f>IFERROR(__xludf.DUMMYFUNCTION("""COMPUTED_VALUE"""),"88")</f>
        <v>88</v>
      </c>
      <c r="C5866" s="6" t="str">
        <f>IFERROR(__xludf.DUMMYFUNCTION("""COMPUTED_VALUE"""),"11889")</f>
        <v>11889</v>
      </c>
      <c r="D5866" s="6" t="str">
        <f>IFERROR(__xludf.DUMMYFUNCTION("""COMPUTED_VALUE"""),"Aubreyonna")</f>
        <v>Aubreyonna</v>
      </c>
      <c r="E5866" s="6" t="str">
        <f>IFERROR(__xludf.DUMMYFUNCTION("""COMPUTED_VALUE"""),"")</f>
        <v/>
      </c>
      <c r="F5866" s="6" t="str">
        <f>IFERROR(__xludf.DUMMYFUNCTION("""COMPUTED_VALUE"""),"Newberry")</f>
        <v>Newberry</v>
      </c>
      <c r="G5866" s="6" t="str">
        <f>IFERROR(__xludf.DUMMYFUNCTION("""COMPUTED_VALUE"""),"07/17/2014")</f>
        <v>07/17/2014</v>
      </c>
      <c r="H5866" s="6" t="str">
        <f>IFERROR(__xludf.DUMMYFUNCTION("""COMPUTED_VALUE"""),"female")</f>
        <v>female</v>
      </c>
      <c r="I5866" s="6" t="str">
        <f>IFERROR(__xludf.DUMMYFUNCTION("""COMPUTED_VALUE"""),"Level 2")</f>
        <v>Level 2</v>
      </c>
      <c r="J5866" s="6" t="str">
        <f>IFERROR(__xludf.DUMMYFUNCTION("""COMPUTED_VALUE"""),"5")</f>
        <v>5</v>
      </c>
      <c r="K5866" s="6" t="str">
        <f>IFERROR(__xludf.DUMMYFUNCTION("""COMPUTED_VALUE"""),"aubreyonna.newberry@2hourlearning.com")</f>
        <v>aubreyonna.newberry@2hourlearning.com</v>
      </c>
      <c r="L5866" s="6" t="str">
        <f>IFERROR(__xludf.DUMMYFUNCTION("""COMPUTED_VALUE"""),"AFES - Allendale Fairfax Elementary School")</f>
        <v>AFES - Allendale Fairfax Elementary School</v>
      </c>
      <c r="M5866" s="6" t="str">
        <f>IFERROR(__xludf.DUMMYFUNCTION("""COMPUTED_VALUE"""),"")</f>
        <v/>
      </c>
      <c r="N5866" s="6" t="str">
        <f>IFERROR(__xludf.DUMMYFUNCTION("""COMPUTED_VALUE"""),"")</f>
        <v/>
      </c>
      <c r="O5866" s="87" t="str">
        <f>IFERROR(__xludf.DUMMYFUNCTION("""COMPUTED_VALUE"""),"https://drive.google.com/drive/folders/10T2cTQHqEJZqE-st6uFKPoI?usp=share_link")</f>
        <v>https://drive.google.com/drive/folders/10T2cTQHqEJZqE-st6uFKPoI?usp=share_link</v>
      </c>
      <c r="P5866" s="6" t="str">
        <f>IFERROR(__xludf.DUMMYFUNCTION("""COMPUTED_VALUE"""),"Aubreyonna Newberry")</f>
        <v>Aubreyonna Newberry</v>
      </c>
      <c r="Q5866" s="6" t="str">
        <f>IFERROR(__xludf.DUMMYFUNCTION("""COMPUTED_VALUE"""),"L2")</f>
        <v>L2</v>
      </c>
      <c r="R5866" s="6">
        <f>IFERROR(__xludf.DUMMYFUNCTION("""COMPUTED_VALUE"""),2.0)</f>
        <v>2</v>
      </c>
      <c r="S5866" s="6" t="str">
        <f>IFERROR(__xludf.DUMMYFUNCTION("""COMPUTED_VALUE"""),"Kimberly Ball")</f>
        <v>Kimberly Ball</v>
      </c>
      <c r="T5866" s="6" t="str">
        <f>IFERROR(__xludf.DUMMYFUNCTION("""COMPUTED_VALUE"""),"kimberly.ball@studient.com")</f>
        <v>kimberly.ball@studient.com</v>
      </c>
      <c r="U5866" s="6" t="str">
        <f>IFERROR(__xludf.DUMMYFUNCTION("""COMPUTED_VALUE"""),"5")</f>
        <v>5</v>
      </c>
      <c r="V5866" s="6" t="str">
        <f>IFERROR(__xludf.DUMMYFUNCTION("""COMPUTED_VALUE"""),"")</f>
        <v/>
      </c>
      <c r="W5866" s="6" t="str">
        <f>IFERROR(__xludf.DUMMYFUNCTION("""COMPUTED_VALUE"""),"[]")</f>
        <v>[]</v>
      </c>
      <c r="X5866" s="6" t="str">
        <f>IFERROR(__xludf.DUMMYFUNCTION("""COMPUTED_VALUE"""),"Enrolled")</f>
        <v>Enrolled</v>
      </c>
    </row>
    <row r="5867">
      <c r="A5867" s="6" t="str">
        <f>IFERROR(__xludf.DUMMYFUNCTION("""COMPUTED_VALUE"""),"088-11890")</f>
        <v>088-11890</v>
      </c>
      <c r="B5867" s="6" t="str">
        <f>IFERROR(__xludf.DUMMYFUNCTION("""COMPUTED_VALUE"""),"88")</f>
        <v>88</v>
      </c>
      <c r="C5867" s="6" t="str">
        <f>IFERROR(__xludf.DUMMYFUNCTION("""COMPUTED_VALUE"""),"11890")</f>
        <v>11890</v>
      </c>
      <c r="D5867" s="6" t="str">
        <f>IFERROR(__xludf.DUMMYFUNCTION("""COMPUTED_VALUE"""),"Ja'Feris")</f>
        <v>Ja'Feris</v>
      </c>
      <c r="E5867" s="6" t="str">
        <f>IFERROR(__xludf.DUMMYFUNCTION("""COMPUTED_VALUE"""),"")</f>
        <v/>
      </c>
      <c r="F5867" s="6" t="str">
        <f>IFERROR(__xludf.DUMMYFUNCTION("""COMPUTED_VALUE"""),"Outing")</f>
        <v>Outing</v>
      </c>
      <c r="G5867" s="6" t="str">
        <f>IFERROR(__xludf.DUMMYFUNCTION("""COMPUTED_VALUE"""),"10/16/2013")</f>
        <v>10/16/2013</v>
      </c>
      <c r="H5867" s="6" t="str">
        <f>IFERROR(__xludf.DUMMYFUNCTION("""COMPUTED_VALUE"""),"male")</f>
        <v>male</v>
      </c>
      <c r="I5867" s="6" t="str">
        <f>IFERROR(__xludf.DUMMYFUNCTION("""COMPUTED_VALUE"""),"Level 2")</f>
        <v>Level 2</v>
      </c>
      <c r="J5867" s="6" t="str">
        <f>IFERROR(__xludf.DUMMYFUNCTION("""COMPUTED_VALUE"""),"5")</f>
        <v>5</v>
      </c>
      <c r="K5867" s="6" t="str">
        <f>IFERROR(__xludf.DUMMYFUNCTION("""COMPUTED_VALUE"""),"jaferis.outing@2hourlearning.com")</f>
        <v>jaferis.outing@2hourlearning.com</v>
      </c>
      <c r="L5867" s="6" t="str">
        <f>IFERROR(__xludf.DUMMYFUNCTION("""COMPUTED_VALUE"""),"AFES - Allendale Fairfax Elementary School")</f>
        <v>AFES - Allendale Fairfax Elementary School</v>
      </c>
      <c r="M5867" s="6" t="str">
        <f>IFERROR(__xludf.DUMMYFUNCTION("""COMPUTED_VALUE"""),"")</f>
        <v/>
      </c>
      <c r="N5867" s="6" t="str">
        <f>IFERROR(__xludf.DUMMYFUNCTION("""COMPUTED_VALUE"""),"")</f>
        <v/>
      </c>
      <c r="O5867" s="87" t="str">
        <f>IFERROR(__xludf.DUMMYFUNCTION("""COMPUTED_VALUE"""),"https://drive.google.com/drive/folders/10T2cTQHqEJZqE-st6uFKPoI?usp=share_link")</f>
        <v>https://drive.google.com/drive/folders/10T2cTQHqEJZqE-st6uFKPoI?usp=share_link</v>
      </c>
      <c r="P5867" s="6" t="str">
        <f>IFERROR(__xludf.DUMMYFUNCTION("""COMPUTED_VALUE"""),"Ja'Feris Outing")</f>
        <v>Ja'Feris Outing</v>
      </c>
      <c r="Q5867" s="6" t="str">
        <f>IFERROR(__xludf.DUMMYFUNCTION("""COMPUTED_VALUE"""),"L2")</f>
        <v>L2</v>
      </c>
      <c r="R5867" s="6">
        <f>IFERROR(__xludf.DUMMYFUNCTION("""COMPUTED_VALUE"""),2.0)</f>
        <v>2</v>
      </c>
      <c r="S5867" s="6" t="str">
        <f>IFERROR(__xludf.DUMMYFUNCTION("""COMPUTED_VALUE"""),"Kimberly Ball")</f>
        <v>Kimberly Ball</v>
      </c>
      <c r="T5867" s="6" t="str">
        <f>IFERROR(__xludf.DUMMYFUNCTION("""COMPUTED_VALUE"""),"kimberly.ball@studient.com")</f>
        <v>kimberly.ball@studient.com</v>
      </c>
      <c r="U5867" s="6" t="str">
        <f>IFERROR(__xludf.DUMMYFUNCTION("""COMPUTED_VALUE"""),"5")</f>
        <v>5</v>
      </c>
      <c r="V5867" s="6" t="str">
        <f>IFERROR(__xludf.DUMMYFUNCTION("""COMPUTED_VALUE"""),"")</f>
        <v/>
      </c>
      <c r="W5867" s="6" t="str">
        <f>IFERROR(__xludf.DUMMYFUNCTION("""COMPUTED_VALUE"""),"[]")</f>
        <v>[]</v>
      </c>
      <c r="X5867" s="6" t="str">
        <f>IFERROR(__xludf.DUMMYFUNCTION("""COMPUTED_VALUE"""),"Enrolled")</f>
        <v>Enrolled</v>
      </c>
    </row>
    <row r="5868">
      <c r="A5868" s="6" t="str">
        <f>IFERROR(__xludf.DUMMYFUNCTION("""COMPUTED_VALUE"""),"088-11891")</f>
        <v>088-11891</v>
      </c>
      <c r="B5868" s="6" t="str">
        <f>IFERROR(__xludf.DUMMYFUNCTION("""COMPUTED_VALUE"""),"88")</f>
        <v>88</v>
      </c>
      <c r="C5868" s="6" t="str">
        <f>IFERROR(__xludf.DUMMYFUNCTION("""COMPUTED_VALUE"""),"11891")</f>
        <v>11891</v>
      </c>
      <c r="D5868" s="6" t="str">
        <f>IFERROR(__xludf.DUMMYFUNCTION("""COMPUTED_VALUE"""),"Chase")</f>
        <v>Chase</v>
      </c>
      <c r="E5868" s="6" t="str">
        <f>IFERROR(__xludf.DUMMYFUNCTION("""COMPUTED_VALUE"""),"")</f>
        <v/>
      </c>
      <c r="F5868" s="6" t="str">
        <f>IFERROR(__xludf.DUMMYFUNCTION("""COMPUTED_VALUE"""),"Patterson")</f>
        <v>Patterson</v>
      </c>
      <c r="G5868" s="6" t="str">
        <f>IFERROR(__xludf.DUMMYFUNCTION("""COMPUTED_VALUE"""),"08/24/2014")</f>
        <v>08/24/2014</v>
      </c>
      <c r="H5868" s="6" t="str">
        <f>IFERROR(__xludf.DUMMYFUNCTION("""COMPUTED_VALUE"""),"male")</f>
        <v>male</v>
      </c>
      <c r="I5868" s="6" t="str">
        <f>IFERROR(__xludf.DUMMYFUNCTION("""COMPUTED_VALUE"""),"Level 2")</f>
        <v>Level 2</v>
      </c>
      <c r="J5868" s="6" t="str">
        <f>IFERROR(__xludf.DUMMYFUNCTION("""COMPUTED_VALUE"""),"5")</f>
        <v>5</v>
      </c>
      <c r="K5868" s="6" t="str">
        <f>IFERROR(__xludf.DUMMYFUNCTION("""COMPUTED_VALUE"""),"chase.patterson@2hourlearning.com")</f>
        <v>chase.patterson@2hourlearning.com</v>
      </c>
      <c r="L5868" s="6" t="str">
        <f>IFERROR(__xludf.DUMMYFUNCTION("""COMPUTED_VALUE"""),"AFES - Allendale Fairfax Elementary School")</f>
        <v>AFES - Allendale Fairfax Elementary School</v>
      </c>
      <c r="M5868" s="6" t="str">
        <f>IFERROR(__xludf.DUMMYFUNCTION("""COMPUTED_VALUE"""),"")</f>
        <v/>
      </c>
      <c r="N5868" s="6" t="str">
        <f>IFERROR(__xludf.DUMMYFUNCTION("""COMPUTED_VALUE"""),"")</f>
        <v/>
      </c>
      <c r="O5868" s="87" t="str">
        <f>IFERROR(__xludf.DUMMYFUNCTION("""COMPUTED_VALUE"""),"https://drive.google.com/drive/folders/10T2cTQHqEJZqE-st6uFKPoI?usp=share_link")</f>
        <v>https://drive.google.com/drive/folders/10T2cTQHqEJZqE-st6uFKPoI?usp=share_link</v>
      </c>
      <c r="P5868" s="6" t="str">
        <f>IFERROR(__xludf.DUMMYFUNCTION("""COMPUTED_VALUE"""),"Chase Patterson")</f>
        <v>Chase Patterson</v>
      </c>
      <c r="Q5868" s="6" t="str">
        <f>IFERROR(__xludf.DUMMYFUNCTION("""COMPUTED_VALUE"""),"L2")</f>
        <v>L2</v>
      </c>
      <c r="R5868" s="6">
        <f>IFERROR(__xludf.DUMMYFUNCTION("""COMPUTED_VALUE"""),2.0)</f>
        <v>2</v>
      </c>
      <c r="S5868" s="6" t="str">
        <f>IFERROR(__xludf.DUMMYFUNCTION("""COMPUTED_VALUE"""),"Kimberly Ball")</f>
        <v>Kimberly Ball</v>
      </c>
      <c r="T5868" s="6" t="str">
        <f>IFERROR(__xludf.DUMMYFUNCTION("""COMPUTED_VALUE"""),"kimberly.ball@studient.com")</f>
        <v>kimberly.ball@studient.com</v>
      </c>
      <c r="U5868" s="6" t="str">
        <f>IFERROR(__xludf.DUMMYFUNCTION("""COMPUTED_VALUE"""),"5")</f>
        <v>5</v>
      </c>
      <c r="V5868" s="6" t="str">
        <f>IFERROR(__xludf.DUMMYFUNCTION("""COMPUTED_VALUE"""),"")</f>
        <v/>
      </c>
      <c r="W5868" s="6" t="str">
        <f>IFERROR(__xludf.DUMMYFUNCTION("""COMPUTED_VALUE"""),"[]")</f>
        <v>[]</v>
      </c>
      <c r="X5868" s="6" t="str">
        <f>IFERROR(__xludf.DUMMYFUNCTION("""COMPUTED_VALUE"""),"Enrolled")</f>
        <v>Enrolled</v>
      </c>
    </row>
    <row r="5869">
      <c r="A5869" s="6" t="str">
        <f>IFERROR(__xludf.DUMMYFUNCTION("""COMPUTED_VALUE"""),"088-11892")</f>
        <v>088-11892</v>
      </c>
      <c r="B5869" s="6" t="str">
        <f>IFERROR(__xludf.DUMMYFUNCTION("""COMPUTED_VALUE"""),"88")</f>
        <v>88</v>
      </c>
      <c r="C5869" s="6" t="str">
        <f>IFERROR(__xludf.DUMMYFUNCTION("""COMPUTED_VALUE"""),"11892")</f>
        <v>11892</v>
      </c>
      <c r="D5869" s="6" t="str">
        <f>IFERROR(__xludf.DUMMYFUNCTION("""COMPUTED_VALUE"""),"Deyanna")</f>
        <v>Deyanna</v>
      </c>
      <c r="E5869" s="6" t="str">
        <f>IFERROR(__xludf.DUMMYFUNCTION("""COMPUTED_VALUE"""),"")</f>
        <v/>
      </c>
      <c r="F5869" s="6" t="str">
        <f>IFERROR(__xludf.DUMMYFUNCTION("""COMPUTED_VALUE"""),"Rhodes")</f>
        <v>Rhodes</v>
      </c>
      <c r="G5869" s="6" t="str">
        <f>IFERROR(__xludf.DUMMYFUNCTION("""COMPUTED_VALUE"""),"06/22/2015")</f>
        <v>06/22/2015</v>
      </c>
      <c r="H5869" s="6" t="str">
        <f>IFERROR(__xludf.DUMMYFUNCTION("""COMPUTED_VALUE"""),"female")</f>
        <v>female</v>
      </c>
      <c r="I5869" s="6" t="str">
        <f>IFERROR(__xludf.DUMMYFUNCTION("""COMPUTED_VALUE"""),"Level 2")</f>
        <v>Level 2</v>
      </c>
      <c r="J5869" s="6" t="str">
        <f>IFERROR(__xludf.DUMMYFUNCTION("""COMPUTED_VALUE"""),"5")</f>
        <v>5</v>
      </c>
      <c r="K5869" s="6" t="str">
        <f>IFERROR(__xludf.DUMMYFUNCTION("""COMPUTED_VALUE"""),"deyanna.rhodes@2hourlearning.com")</f>
        <v>deyanna.rhodes@2hourlearning.com</v>
      </c>
      <c r="L5869" s="6" t="str">
        <f>IFERROR(__xludf.DUMMYFUNCTION("""COMPUTED_VALUE"""),"AFES - Allendale Fairfax Elementary School")</f>
        <v>AFES - Allendale Fairfax Elementary School</v>
      </c>
      <c r="M5869" s="6" t="str">
        <f>IFERROR(__xludf.DUMMYFUNCTION("""COMPUTED_VALUE"""),"")</f>
        <v/>
      </c>
      <c r="N5869" s="6" t="str">
        <f>IFERROR(__xludf.DUMMYFUNCTION("""COMPUTED_VALUE"""),"")</f>
        <v/>
      </c>
      <c r="O5869" s="87" t="str">
        <f>IFERROR(__xludf.DUMMYFUNCTION("""COMPUTED_VALUE"""),"https://drive.google.com/drive/folders/10T2cTQHqEJZqE-st6uFKPoI?usp=share_link")</f>
        <v>https://drive.google.com/drive/folders/10T2cTQHqEJZqE-st6uFKPoI?usp=share_link</v>
      </c>
      <c r="P5869" s="6" t="str">
        <f>IFERROR(__xludf.DUMMYFUNCTION("""COMPUTED_VALUE"""),"Deyanna Rhodes")</f>
        <v>Deyanna Rhodes</v>
      </c>
      <c r="Q5869" s="6" t="str">
        <f>IFERROR(__xludf.DUMMYFUNCTION("""COMPUTED_VALUE"""),"L2")</f>
        <v>L2</v>
      </c>
      <c r="R5869" s="6">
        <f>IFERROR(__xludf.DUMMYFUNCTION("""COMPUTED_VALUE"""),2.0)</f>
        <v>2</v>
      </c>
      <c r="S5869" s="6" t="str">
        <f>IFERROR(__xludf.DUMMYFUNCTION("""COMPUTED_VALUE"""),"Kimberly Ball")</f>
        <v>Kimberly Ball</v>
      </c>
      <c r="T5869" s="6" t="str">
        <f>IFERROR(__xludf.DUMMYFUNCTION("""COMPUTED_VALUE"""),"kimberly.ball@studient.com")</f>
        <v>kimberly.ball@studient.com</v>
      </c>
      <c r="U5869" s="6" t="str">
        <f>IFERROR(__xludf.DUMMYFUNCTION("""COMPUTED_VALUE"""),"5")</f>
        <v>5</v>
      </c>
      <c r="V5869" s="6" t="str">
        <f>IFERROR(__xludf.DUMMYFUNCTION("""COMPUTED_VALUE"""),"")</f>
        <v/>
      </c>
      <c r="W5869" s="6" t="str">
        <f>IFERROR(__xludf.DUMMYFUNCTION("""COMPUTED_VALUE"""),"[]")</f>
        <v>[]</v>
      </c>
      <c r="X5869" s="6" t="str">
        <f>IFERROR(__xludf.DUMMYFUNCTION("""COMPUTED_VALUE"""),"Enrolled")</f>
        <v>Enrolled</v>
      </c>
    </row>
    <row r="5870">
      <c r="A5870" s="6" t="str">
        <f>IFERROR(__xludf.DUMMYFUNCTION("""COMPUTED_VALUE"""),"088-11893")</f>
        <v>088-11893</v>
      </c>
      <c r="B5870" s="6" t="str">
        <f>IFERROR(__xludf.DUMMYFUNCTION("""COMPUTED_VALUE"""),"88")</f>
        <v>88</v>
      </c>
      <c r="C5870" s="6" t="str">
        <f>IFERROR(__xludf.DUMMYFUNCTION("""COMPUTED_VALUE"""),"11893")</f>
        <v>11893</v>
      </c>
      <c r="D5870" s="6" t="str">
        <f>IFERROR(__xludf.DUMMYFUNCTION("""COMPUTED_VALUE"""),"Damian")</f>
        <v>Damian</v>
      </c>
      <c r="E5870" s="6" t="str">
        <f>IFERROR(__xludf.DUMMYFUNCTION("""COMPUTED_VALUE"""),"")</f>
        <v/>
      </c>
      <c r="F5870" s="6" t="str">
        <f>IFERROR(__xludf.DUMMYFUNCTION("""COMPUTED_VALUE"""),"Rodriguez-Pulido")</f>
        <v>Rodriguez-Pulido</v>
      </c>
      <c r="G5870" s="6" t="str">
        <f>IFERROR(__xludf.DUMMYFUNCTION("""COMPUTED_VALUE"""),"07/17/2014")</f>
        <v>07/17/2014</v>
      </c>
      <c r="H5870" s="6" t="str">
        <f>IFERROR(__xludf.DUMMYFUNCTION("""COMPUTED_VALUE"""),"male")</f>
        <v>male</v>
      </c>
      <c r="I5870" s="6" t="str">
        <f>IFERROR(__xludf.DUMMYFUNCTION("""COMPUTED_VALUE"""),"Level 2")</f>
        <v>Level 2</v>
      </c>
      <c r="J5870" s="6" t="str">
        <f>IFERROR(__xludf.DUMMYFUNCTION("""COMPUTED_VALUE"""),"5")</f>
        <v>5</v>
      </c>
      <c r="K5870" s="6" t="str">
        <f>IFERROR(__xludf.DUMMYFUNCTION("""COMPUTED_VALUE"""),"damian.rodriguez-pulido@2hourlearning.com")</f>
        <v>damian.rodriguez-pulido@2hourlearning.com</v>
      </c>
      <c r="L5870" s="6" t="str">
        <f>IFERROR(__xludf.DUMMYFUNCTION("""COMPUTED_VALUE"""),"AFES - Allendale Fairfax Elementary School")</f>
        <v>AFES - Allendale Fairfax Elementary School</v>
      </c>
      <c r="M5870" s="6" t="str">
        <f>IFERROR(__xludf.DUMMYFUNCTION("""COMPUTED_VALUE"""),"")</f>
        <v/>
      </c>
      <c r="N5870" s="6" t="str">
        <f>IFERROR(__xludf.DUMMYFUNCTION("""COMPUTED_VALUE"""),"")</f>
        <v/>
      </c>
      <c r="O5870" s="87" t="str">
        <f>IFERROR(__xludf.DUMMYFUNCTION("""COMPUTED_VALUE"""),"https://drive.google.com/drive/folders/10T2cTQHqEJZqE-st6uFKPoI?usp=share_link")</f>
        <v>https://drive.google.com/drive/folders/10T2cTQHqEJZqE-st6uFKPoI?usp=share_link</v>
      </c>
      <c r="P5870" s="6" t="str">
        <f>IFERROR(__xludf.DUMMYFUNCTION("""COMPUTED_VALUE"""),"Damian Rodriguez-Pulido")</f>
        <v>Damian Rodriguez-Pulido</v>
      </c>
      <c r="Q5870" s="6" t="str">
        <f>IFERROR(__xludf.DUMMYFUNCTION("""COMPUTED_VALUE"""),"L2")</f>
        <v>L2</v>
      </c>
      <c r="R5870" s="6">
        <f>IFERROR(__xludf.DUMMYFUNCTION("""COMPUTED_VALUE"""),2.0)</f>
        <v>2</v>
      </c>
      <c r="S5870" s="6" t="str">
        <f>IFERROR(__xludf.DUMMYFUNCTION("""COMPUTED_VALUE"""),"Kimberly Ball")</f>
        <v>Kimberly Ball</v>
      </c>
      <c r="T5870" s="6" t="str">
        <f>IFERROR(__xludf.DUMMYFUNCTION("""COMPUTED_VALUE"""),"kimberly.ball@studient.com")</f>
        <v>kimberly.ball@studient.com</v>
      </c>
      <c r="U5870" s="6" t="str">
        <f>IFERROR(__xludf.DUMMYFUNCTION("""COMPUTED_VALUE"""),"5")</f>
        <v>5</v>
      </c>
      <c r="V5870" s="6" t="str">
        <f>IFERROR(__xludf.DUMMYFUNCTION("""COMPUTED_VALUE"""),"")</f>
        <v/>
      </c>
      <c r="W5870" s="6" t="str">
        <f>IFERROR(__xludf.DUMMYFUNCTION("""COMPUTED_VALUE"""),"[]")</f>
        <v>[]</v>
      </c>
      <c r="X5870" s="6" t="str">
        <f>IFERROR(__xludf.DUMMYFUNCTION("""COMPUTED_VALUE"""),"Enrolled")</f>
        <v>Enrolled</v>
      </c>
    </row>
    <row r="5871">
      <c r="A5871" s="6" t="str">
        <f>IFERROR(__xludf.DUMMYFUNCTION("""COMPUTED_VALUE"""),"088-11894")</f>
        <v>088-11894</v>
      </c>
      <c r="B5871" s="6" t="str">
        <f>IFERROR(__xludf.DUMMYFUNCTION("""COMPUTED_VALUE"""),"88")</f>
        <v>88</v>
      </c>
      <c r="C5871" s="6" t="str">
        <f>IFERROR(__xludf.DUMMYFUNCTION("""COMPUTED_VALUE"""),"11894")</f>
        <v>11894</v>
      </c>
      <c r="D5871" s="6" t="str">
        <f>IFERROR(__xludf.DUMMYFUNCTION("""COMPUTED_VALUE"""),"Mercedes")</f>
        <v>Mercedes</v>
      </c>
      <c r="E5871" s="6" t="str">
        <f>IFERROR(__xludf.DUMMYFUNCTION("""COMPUTED_VALUE"""),"")</f>
        <v/>
      </c>
      <c r="F5871" s="6" t="str">
        <f>IFERROR(__xludf.DUMMYFUNCTION("""COMPUTED_VALUE"""),"Saxon")</f>
        <v>Saxon</v>
      </c>
      <c r="G5871" s="6" t="str">
        <f>IFERROR(__xludf.DUMMYFUNCTION("""COMPUTED_VALUE"""),"10/24/2014")</f>
        <v>10/24/2014</v>
      </c>
      <c r="H5871" s="6" t="str">
        <f>IFERROR(__xludf.DUMMYFUNCTION("""COMPUTED_VALUE"""),"female")</f>
        <v>female</v>
      </c>
      <c r="I5871" s="6" t="str">
        <f>IFERROR(__xludf.DUMMYFUNCTION("""COMPUTED_VALUE"""),"Level 2")</f>
        <v>Level 2</v>
      </c>
      <c r="J5871" s="6" t="str">
        <f>IFERROR(__xludf.DUMMYFUNCTION("""COMPUTED_VALUE"""),"5")</f>
        <v>5</v>
      </c>
      <c r="K5871" s="6" t="str">
        <f>IFERROR(__xludf.DUMMYFUNCTION("""COMPUTED_VALUE"""),"mercedes.saxon@2hourlearning.com")</f>
        <v>mercedes.saxon@2hourlearning.com</v>
      </c>
      <c r="L5871" s="6" t="str">
        <f>IFERROR(__xludf.DUMMYFUNCTION("""COMPUTED_VALUE"""),"AFES - Allendale Fairfax Elementary School")</f>
        <v>AFES - Allendale Fairfax Elementary School</v>
      </c>
      <c r="M5871" s="6" t="str">
        <f>IFERROR(__xludf.DUMMYFUNCTION("""COMPUTED_VALUE"""),"")</f>
        <v/>
      </c>
      <c r="N5871" s="6" t="str">
        <f>IFERROR(__xludf.DUMMYFUNCTION("""COMPUTED_VALUE"""),"")</f>
        <v/>
      </c>
      <c r="O5871" s="87" t="str">
        <f>IFERROR(__xludf.DUMMYFUNCTION("""COMPUTED_VALUE"""),"https://drive.google.com/drive/folders/10T2cTQHqEJZqE-st6uFKPoI?usp=share_link")</f>
        <v>https://drive.google.com/drive/folders/10T2cTQHqEJZqE-st6uFKPoI?usp=share_link</v>
      </c>
      <c r="P5871" s="6" t="str">
        <f>IFERROR(__xludf.DUMMYFUNCTION("""COMPUTED_VALUE"""),"Mercedes Saxon")</f>
        <v>Mercedes Saxon</v>
      </c>
      <c r="Q5871" s="6" t="str">
        <f>IFERROR(__xludf.DUMMYFUNCTION("""COMPUTED_VALUE"""),"L2")</f>
        <v>L2</v>
      </c>
      <c r="R5871" s="6">
        <f>IFERROR(__xludf.DUMMYFUNCTION("""COMPUTED_VALUE"""),2.0)</f>
        <v>2</v>
      </c>
      <c r="S5871" s="6" t="str">
        <f>IFERROR(__xludf.DUMMYFUNCTION("""COMPUTED_VALUE"""),"Kimberly Ball")</f>
        <v>Kimberly Ball</v>
      </c>
      <c r="T5871" s="6" t="str">
        <f>IFERROR(__xludf.DUMMYFUNCTION("""COMPUTED_VALUE"""),"kimberly.ball@studient.com")</f>
        <v>kimberly.ball@studient.com</v>
      </c>
      <c r="U5871" s="6" t="str">
        <f>IFERROR(__xludf.DUMMYFUNCTION("""COMPUTED_VALUE"""),"5")</f>
        <v>5</v>
      </c>
      <c r="V5871" s="6" t="str">
        <f>IFERROR(__xludf.DUMMYFUNCTION("""COMPUTED_VALUE"""),"")</f>
        <v/>
      </c>
      <c r="W5871" s="6" t="str">
        <f>IFERROR(__xludf.DUMMYFUNCTION("""COMPUTED_VALUE"""),"[]")</f>
        <v>[]</v>
      </c>
      <c r="X5871" s="6" t="str">
        <f>IFERROR(__xludf.DUMMYFUNCTION("""COMPUTED_VALUE"""),"Enrolled")</f>
        <v>Enrolled</v>
      </c>
    </row>
    <row r="5872">
      <c r="A5872" s="6" t="str">
        <f>IFERROR(__xludf.DUMMYFUNCTION("""COMPUTED_VALUE"""),"088-11895")</f>
        <v>088-11895</v>
      </c>
      <c r="B5872" s="6" t="str">
        <f>IFERROR(__xludf.DUMMYFUNCTION("""COMPUTED_VALUE"""),"88")</f>
        <v>88</v>
      </c>
      <c r="C5872" s="6" t="str">
        <f>IFERROR(__xludf.DUMMYFUNCTION("""COMPUTED_VALUE"""),"11895")</f>
        <v>11895</v>
      </c>
      <c r="D5872" s="6" t="str">
        <f>IFERROR(__xludf.DUMMYFUNCTION("""COMPUTED_VALUE"""),"Kathyrn")</f>
        <v>Kathyrn</v>
      </c>
      <c r="E5872" s="6" t="str">
        <f>IFERROR(__xludf.DUMMYFUNCTION("""COMPUTED_VALUE"""),"")</f>
        <v/>
      </c>
      <c r="F5872" s="6" t="str">
        <f>IFERROR(__xludf.DUMMYFUNCTION("""COMPUTED_VALUE"""),"Schlins")</f>
        <v>Schlins</v>
      </c>
      <c r="G5872" s="6" t="str">
        <f>IFERROR(__xludf.DUMMYFUNCTION("""COMPUTED_VALUE"""),"06/10/2014")</f>
        <v>06/10/2014</v>
      </c>
      <c r="H5872" s="6" t="str">
        <f>IFERROR(__xludf.DUMMYFUNCTION("""COMPUTED_VALUE"""),"female")</f>
        <v>female</v>
      </c>
      <c r="I5872" s="6" t="str">
        <f>IFERROR(__xludf.DUMMYFUNCTION("""COMPUTED_VALUE"""),"Level 2")</f>
        <v>Level 2</v>
      </c>
      <c r="J5872" s="6" t="str">
        <f>IFERROR(__xludf.DUMMYFUNCTION("""COMPUTED_VALUE"""),"5")</f>
        <v>5</v>
      </c>
      <c r="K5872" s="6" t="str">
        <f>IFERROR(__xludf.DUMMYFUNCTION("""COMPUTED_VALUE"""),"kathyrn.schlins@2hourlearning.com")</f>
        <v>kathyrn.schlins@2hourlearning.com</v>
      </c>
      <c r="L5872" s="6" t="str">
        <f>IFERROR(__xludf.DUMMYFUNCTION("""COMPUTED_VALUE"""),"AFES - Allendale Fairfax Elementary School")</f>
        <v>AFES - Allendale Fairfax Elementary School</v>
      </c>
      <c r="M5872" s="6" t="str">
        <f>IFERROR(__xludf.DUMMYFUNCTION("""COMPUTED_VALUE"""),"")</f>
        <v/>
      </c>
      <c r="N5872" s="6" t="str">
        <f>IFERROR(__xludf.DUMMYFUNCTION("""COMPUTED_VALUE"""),"")</f>
        <v/>
      </c>
      <c r="O5872" s="87" t="str">
        <f>IFERROR(__xludf.DUMMYFUNCTION("""COMPUTED_VALUE"""),"https://drive.google.com/drive/folders/10T2cTQHqEJZqE-st6uFKPoI?usp=share_link")</f>
        <v>https://drive.google.com/drive/folders/10T2cTQHqEJZqE-st6uFKPoI?usp=share_link</v>
      </c>
      <c r="P5872" s="6" t="str">
        <f>IFERROR(__xludf.DUMMYFUNCTION("""COMPUTED_VALUE"""),"Kathyrn Schlins")</f>
        <v>Kathyrn Schlins</v>
      </c>
      <c r="Q5872" s="6" t="str">
        <f>IFERROR(__xludf.DUMMYFUNCTION("""COMPUTED_VALUE"""),"L2")</f>
        <v>L2</v>
      </c>
      <c r="R5872" s="6">
        <f>IFERROR(__xludf.DUMMYFUNCTION("""COMPUTED_VALUE"""),2.0)</f>
        <v>2</v>
      </c>
      <c r="S5872" s="6" t="str">
        <f>IFERROR(__xludf.DUMMYFUNCTION("""COMPUTED_VALUE"""),"Kimberly Ball")</f>
        <v>Kimberly Ball</v>
      </c>
      <c r="T5872" s="6" t="str">
        <f>IFERROR(__xludf.DUMMYFUNCTION("""COMPUTED_VALUE"""),"kimberly.ball@studient.com")</f>
        <v>kimberly.ball@studient.com</v>
      </c>
      <c r="U5872" s="6" t="str">
        <f>IFERROR(__xludf.DUMMYFUNCTION("""COMPUTED_VALUE"""),"5")</f>
        <v>5</v>
      </c>
      <c r="V5872" s="6" t="str">
        <f>IFERROR(__xludf.DUMMYFUNCTION("""COMPUTED_VALUE"""),"")</f>
        <v/>
      </c>
      <c r="W5872" s="6" t="str">
        <f>IFERROR(__xludf.DUMMYFUNCTION("""COMPUTED_VALUE"""),"[]")</f>
        <v>[]</v>
      </c>
      <c r="X5872" s="6" t="str">
        <f>IFERROR(__xludf.DUMMYFUNCTION("""COMPUTED_VALUE"""),"Enrolled")</f>
        <v>Enrolled</v>
      </c>
    </row>
    <row r="5873">
      <c r="A5873" s="6" t="str">
        <f>IFERROR(__xludf.DUMMYFUNCTION("""COMPUTED_VALUE"""),"088-11896")</f>
        <v>088-11896</v>
      </c>
      <c r="B5873" s="6" t="str">
        <f>IFERROR(__xludf.DUMMYFUNCTION("""COMPUTED_VALUE"""),"88")</f>
        <v>88</v>
      </c>
      <c r="C5873" s="6" t="str">
        <f>IFERROR(__xludf.DUMMYFUNCTION("""COMPUTED_VALUE"""),"11896")</f>
        <v>11896</v>
      </c>
      <c r="D5873" s="6" t="str">
        <f>IFERROR(__xludf.DUMMYFUNCTION("""COMPUTED_VALUE"""),"Christian")</f>
        <v>Christian</v>
      </c>
      <c r="E5873" s="6" t="str">
        <f>IFERROR(__xludf.DUMMYFUNCTION("""COMPUTED_VALUE"""),"")</f>
        <v/>
      </c>
      <c r="F5873" s="6" t="str">
        <f>IFERROR(__xludf.DUMMYFUNCTION("""COMPUTED_VALUE"""),"Shiggs")</f>
        <v>Shiggs</v>
      </c>
      <c r="G5873" s="6" t="str">
        <f>IFERROR(__xludf.DUMMYFUNCTION("""COMPUTED_VALUE"""),"09/04/2013")</f>
        <v>09/04/2013</v>
      </c>
      <c r="H5873" s="6" t="str">
        <f>IFERROR(__xludf.DUMMYFUNCTION("""COMPUTED_VALUE"""),"male")</f>
        <v>male</v>
      </c>
      <c r="I5873" s="6" t="str">
        <f>IFERROR(__xludf.DUMMYFUNCTION("""COMPUTED_VALUE"""),"Level 2")</f>
        <v>Level 2</v>
      </c>
      <c r="J5873" s="6" t="str">
        <f>IFERROR(__xludf.DUMMYFUNCTION("""COMPUTED_VALUE"""),"5")</f>
        <v>5</v>
      </c>
      <c r="K5873" s="6" t="str">
        <f>IFERROR(__xludf.DUMMYFUNCTION("""COMPUTED_VALUE"""),"christian.shiggs@2hourlearning.com")</f>
        <v>christian.shiggs@2hourlearning.com</v>
      </c>
      <c r="L5873" s="6" t="str">
        <f>IFERROR(__xludf.DUMMYFUNCTION("""COMPUTED_VALUE"""),"AFES - Allendale Fairfax Elementary School")</f>
        <v>AFES - Allendale Fairfax Elementary School</v>
      </c>
      <c r="M5873" s="6" t="str">
        <f>IFERROR(__xludf.DUMMYFUNCTION("""COMPUTED_VALUE"""),"")</f>
        <v/>
      </c>
      <c r="N5873" s="6" t="str">
        <f>IFERROR(__xludf.DUMMYFUNCTION("""COMPUTED_VALUE"""),"")</f>
        <v/>
      </c>
      <c r="O5873" s="87" t="str">
        <f>IFERROR(__xludf.DUMMYFUNCTION("""COMPUTED_VALUE"""),"https://drive.google.com/drive/folders/10T2cTQHqEJZqE-st6uFKPoI?usp=share_link")</f>
        <v>https://drive.google.com/drive/folders/10T2cTQHqEJZqE-st6uFKPoI?usp=share_link</v>
      </c>
      <c r="P5873" s="6" t="str">
        <f>IFERROR(__xludf.DUMMYFUNCTION("""COMPUTED_VALUE"""),"Christian Shiggs")</f>
        <v>Christian Shiggs</v>
      </c>
      <c r="Q5873" s="6" t="str">
        <f>IFERROR(__xludf.DUMMYFUNCTION("""COMPUTED_VALUE"""),"L2")</f>
        <v>L2</v>
      </c>
      <c r="R5873" s="6">
        <f>IFERROR(__xludf.DUMMYFUNCTION("""COMPUTED_VALUE"""),2.0)</f>
        <v>2</v>
      </c>
      <c r="S5873" s="6" t="str">
        <f>IFERROR(__xludf.DUMMYFUNCTION("""COMPUTED_VALUE"""),"Kimberly Ball")</f>
        <v>Kimberly Ball</v>
      </c>
      <c r="T5873" s="6" t="str">
        <f>IFERROR(__xludf.DUMMYFUNCTION("""COMPUTED_VALUE"""),"kimberly.ball@studient.com")</f>
        <v>kimberly.ball@studient.com</v>
      </c>
      <c r="U5873" s="6" t="str">
        <f>IFERROR(__xludf.DUMMYFUNCTION("""COMPUTED_VALUE"""),"5")</f>
        <v>5</v>
      </c>
      <c r="V5873" s="6" t="str">
        <f>IFERROR(__xludf.DUMMYFUNCTION("""COMPUTED_VALUE"""),"")</f>
        <v/>
      </c>
      <c r="W5873" s="6" t="str">
        <f>IFERROR(__xludf.DUMMYFUNCTION("""COMPUTED_VALUE"""),"[]")</f>
        <v>[]</v>
      </c>
      <c r="X5873" s="6" t="str">
        <f>IFERROR(__xludf.DUMMYFUNCTION("""COMPUTED_VALUE"""),"Enrolled")</f>
        <v>Enrolled</v>
      </c>
    </row>
    <row r="5874">
      <c r="A5874" s="6" t="str">
        <f>IFERROR(__xludf.DUMMYFUNCTION("""COMPUTED_VALUE"""),"088-11897")</f>
        <v>088-11897</v>
      </c>
      <c r="B5874" s="6" t="str">
        <f>IFERROR(__xludf.DUMMYFUNCTION("""COMPUTED_VALUE"""),"88")</f>
        <v>88</v>
      </c>
      <c r="C5874" s="6" t="str">
        <f>IFERROR(__xludf.DUMMYFUNCTION("""COMPUTED_VALUE"""),"11897")</f>
        <v>11897</v>
      </c>
      <c r="D5874" s="6" t="str">
        <f>IFERROR(__xludf.DUMMYFUNCTION("""COMPUTED_VALUE"""),"James")</f>
        <v>James</v>
      </c>
      <c r="E5874" s="6" t="str">
        <f>IFERROR(__xludf.DUMMYFUNCTION("""COMPUTED_VALUE"""),"")</f>
        <v/>
      </c>
      <c r="F5874" s="6" t="str">
        <f>IFERROR(__xludf.DUMMYFUNCTION("""COMPUTED_VALUE"""),"Walls")</f>
        <v>Walls</v>
      </c>
      <c r="G5874" s="6" t="str">
        <f>IFERROR(__xludf.DUMMYFUNCTION("""COMPUTED_VALUE"""),"12/16/2013")</f>
        <v>12/16/2013</v>
      </c>
      <c r="H5874" s="6" t="str">
        <f>IFERROR(__xludf.DUMMYFUNCTION("""COMPUTED_VALUE"""),"male")</f>
        <v>male</v>
      </c>
      <c r="I5874" s="6" t="str">
        <f>IFERROR(__xludf.DUMMYFUNCTION("""COMPUTED_VALUE"""),"Level 2")</f>
        <v>Level 2</v>
      </c>
      <c r="J5874" s="6" t="str">
        <f>IFERROR(__xludf.DUMMYFUNCTION("""COMPUTED_VALUE"""),"5")</f>
        <v>5</v>
      </c>
      <c r="K5874" s="6" t="str">
        <f>IFERROR(__xludf.DUMMYFUNCTION("""COMPUTED_VALUE"""),"james.walls@2hourlearning.com")</f>
        <v>james.walls@2hourlearning.com</v>
      </c>
      <c r="L5874" s="6" t="str">
        <f>IFERROR(__xludf.DUMMYFUNCTION("""COMPUTED_VALUE"""),"AFES - Allendale Fairfax Elementary School")</f>
        <v>AFES - Allendale Fairfax Elementary School</v>
      </c>
      <c r="M5874" s="6" t="str">
        <f>IFERROR(__xludf.DUMMYFUNCTION("""COMPUTED_VALUE"""),"")</f>
        <v/>
      </c>
      <c r="N5874" s="6" t="str">
        <f>IFERROR(__xludf.DUMMYFUNCTION("""COMPUTED_VALUE"""),"")</f>
        <v/>
      </c>
      <c r="O5874" s="87" t="str">
        <f>IFERROR(__xludf.DUMMYFUNCTION("""COMPUTED_VALUE"""),"https://drive.google.com/drive/folders/10T2cTQHqEJZqE-st6uFKPoI?usp=share_link")</f>
        <v>https://drive.google.com/drive/folders/10T2cTQHqEJZqE-st6uFKPoI?usp=share_link</v>
      </c>
      <c r="P5874" s="6" t="str">
        <f>IFERROR(__xludf.DUMMYFUNCTION("""COMPUTED_VALUE"""),"James Walls")</f>
        <v>James Walls</v>
      </c>
      <c r="Q5874" s="6" t="str">
        <f>IFERROR(__xludf.DUMMYFUNCTION("""COMPUTED_VALUE"""),"L2")</f>
        <v>L2</v>
      </c>
      <c r="R5874" s="6">
        <f>IFERROR(__xludf.DUMMYFUNCTION("""COMPUTED_VALUE"""),2.0)</f>
        <v>2</v>
      </c>
      <c r="S5874" s="6" t="str">
        <f>IFERROR(__xludf.DUMMYFUNCTION("""COMPUTED_VALUE"""),"Kimberly Ball")</f>
        <v>Kimberly Ball</v>
      </c>
      <c r="T5874" s="6" t="str">
        <f>IFERROR(__xludf.DUMMYFUNCTION("""COMPUTED_VALUE"""),"kimberly.ball@studient.com")</f>
        <v>kimberly.ball@studient.com</v>
      </c>
      <c r="U5874" s="6" t="str">
        <f>IFERROR(__xludf.DUMMYFUNCTION("""COMPUTED_VALUE"""),"5")</f>
        <v>5</v>
      </c>
      <c r="V5874" s="6" t="str">
        <f>IFERROR(__xludf.DUMMYFUNCTION("""COMPUTED_VALUE"""),"")</f>
        <v/>
      </c>
      <c r="W5874" s="6" t="str">
        <f>IFERROR(__xludf.DUMMYFUNCTION("""COMPUTED_VALUE"""),"[]")</f>
        <v>[]</v>
      </c>
      <c r="X5874" s="6" t="str">
        <f>IFERROR(__xludf.DUMMYFUNCTION("""COMPUTED_VALUE"""),"Enrolled")</f>
        <v>Enrolled</v>
      </c>
    </row>
    <row r="5875">
      <c r="A5875" s="6" t="str">
        <f>IFERROR(__xludf.DUMMYFUNCTION("""COMPUTED_VALUE"""),"088-11898")</f>
        <v>088-11898</v>
      </c>
      <c r="B5875" s="6" t="str">
        <f>IFERROR(__xludf.DUMMYFUNCTION("""COMPUTED_VALUE"""),"88")</f>
        <v>88</v>
      </c>
      <c r="C5875" s="6" t="str">
        <f>IFERROR(__xludf.DUMMYFUNCTION("""COMPUTED_VALUE"""),"11898")</f>
        <v>11898</v>
      </c>
      <c r="D5875" s="6" t="str">
        <f>IFERROR(__xludf.DUMMYFUNCTION("""COMPUTED_VALUE"""),"Brayden")</f>
        <v>Brayden</v>
      </c>
      <c r="E5875" s="6" t="str">
        <f>IFERROR(__xludf.DUMMYFUNCTION("""COMPUTED_VALUE"""),"")</f>
        <v/>
      </c>
      <c r="F5875" s="6" t="str">
        <f>IFERROR(__xludf.DUMMYFUNCTION("""COMPUTED_VALUE"""),"Williams")</f>
        <v>Williams</v>
      </c>
      <c r="G5875" s="6" t="str">
        <f>IFERROR(__xludf.DUMMYFUNCTION("""COMPUTED_VALUE"""),"09/10/2014")</f>
        <v>09/10/2014</v>
      </c>
      <c r="H5875" s="6" t="str">
        <f>IFERROR(__xludf.DUMMYFUNCTION("""COMPUTED_VALUE"""),"male")</f>
        <v>male</v>
      </c>
      <c r="I5875" s="6" t="str">
        <f>IFERROR(__xludf.DUMMYFUNCTION("""COMPUTED_VALUE"""),"Level 2")</f>
        <v>Level 2</v>
      </c>
      <c r="J5875" s="6" t="str">
        <f>IFERROR(__xludf.DUMMYFUNCTION("""COMPUTED_VALUE"""),"5")</f>
        <v>5</v>
      </c>
      <c r="K5875" s="6" t="str">
        <f>IFERROR(__xludf.DUMMYFUNCTION("""COMPUTED_VALUE"""),"brayden.williams@2hourlearning.com")</f>
        <v>brayden.williams@2hourlearning.com</v>
      </c>
      <c r="L5875" s="6" t="str">
        <f>IFERROR(__xludf.DUMMYFUNCTION("""COMPUTED_VALUE"""),"AFES - Allendale Fairfax Elementary School")</f>
        <v>AFES - Allendale Fairfax Elementary School</v>
      </c>
      <c r="M5875" s="6" t="str">
        <f>IFERROR(__xludf.DUMMYFUNCTION("""COMPUTED_VALUE"""),"")</f>
        <v/>
      </c>
      <c r="N5875" s="6" t="str">
        <f>IFERROR(__xludf.DUMMYFUNCTION("""COMPUTED_VALUE"""),"")</f>
        <v/>
      </c>
      <c r="O5875" s="87" t="str">
        <f>IFERROR(__xludf.DUMMYFUNCTION("""COMPUTED_VALUE"""),"https://drive.google.com/drive/folders/10T2cTQHqEJZqE-st6uFKPoI?usp=share_link")</f>
        <v>https://drive.google.com/drive/folders/10T2cTQHqEJZqE-st6uFKPoI?usp=share_link</v>
      </c>
      <c r="P5875" s="6" t="str">
        <f>IFERROR(__xludf.DUMMYFUNCTION("""COMPUTED_VALUE"""),"Brayden Williams")</f>
        <v>Brayden Williams</v>
      </c>
      <c r="Q5875" s="6" t="str">
        <f>IFERROR(__xludf.DUMMYFUNCTION("""COMPUTED_VALUE"""),"L2")</f>
        <v>L2</v>
      </c>
      <c r="R5875" s="6">
        <f>IFERROR(__xludf.DUMMYFUNCTION("""COMPUTED_VALUE"""),2.0)</f>
        <v>2</v>
      </c>
      <c r="S5875" s="6" t="str">
        <f>IFERROR(__xludf.DUMMYFUNCTION("""COMPUTED_VALUE"""),"Kimberly Ball")</f>
        <v>Kimberly Ball</v>
      </c>
      <c r="T5875" s="6" t="str">
        <f>IFERROR(__xludf.DUMMYFUNCTION("""COMPUTED_VALUE"""),"kimberly.ball@studient.com")</f>
        <v>kimberly.ball@studient.com</v>
      </c>
      <c r="U5875" s="6" t="str">
        <f>IFERROR(__xludf.DUMMYFUNCTION("""COMPUTED_VALUE"""),"5")</f>
        <v>5</v>
      </c>
      <c r="V5875" s="6" t="str">
        <f>IFERROR(__xludf.DUMMYFUNCTION("""COMPUTED_VALUE"""),"")</f>
        <v/>
      </c>
      <c r="W5875" s="6" t="str">
        <f>IFERROR(__xludf.DUMMYFUNCTION("""COMPUTED_VALUE"""),"[]")</f>
        <v>[]</v>
      </c>
      <c r="X5875" s="6" t="str">
        <f>IFERROR(__xludf.DUMMYFUNCTION("""COMPUTED_VALUE"""),"Enrolled")</f>
        <v>Enrolled</v>
      </c>
    </row>
    <row r="5876">
      <c r="A5876" s="6" t="str">
        <f>IFERROR(__xludf.DUMMYFUNCTION("""COMPUTED_VALUE"""),"088-11899")</f>
        <v>088-11899</v>
      </c>
      <c r="B5876" s="6" t="str">
        <f>IFERROR(__xludf.DUMMYFUNCTION("""COMPUTED_VALUE"""),"88")</f>
        <v>88</v>
      </c>
      <c r="C5876" s="6" t="str">
        <f>IFERROR(__xludf.DUMMYFUNCTION("""COMPUTED_VALUE"""),"11899")</f>
        <v>11899</v>
      </c>
      <c r="D5876" s="6" t="str">
        <f>IFERROR(__xludf.DUMMYFUNCTION("""COMPUTED_VALUE"""),"Madisyn")</f>
        <v>Madisyn</v>
      </c>
      <c r="E5876" s="6" t="str">
        <f>IFERROR(__xludf.DUMMYFUNCTION("""COMPUTED_VALUE"""),"")</f>
        <v/>
      </c>
      <c r="F5876" s="6" t="str">
        <f>IFERROR(__xludf.DUMMYFUNCTION("""COMPUTED_VALUE"""),"Williams")</f>
        <v>Williams</v>
      </c>
      <c r="G5876" s="6" t="str">
        <f>IFERROR(__xludf.DUMMYFUNCTION("""COMPUTED_VALUE"""),"07/13/2015")</f>
        <v>07/13/2015</v>
      </c>
      <c r="H5876" s="6" t="str">
        <f>IFERROR(__xludf.DUMMYFUNCTION("""COMPUTED_VALUE"""),"female")</f>
        <v>female</v>
      </c>
      <c r="I5876" s="6" t="str">
        <f>IFERROR(__xludf.DUMMYFUNCTION("""COMPUTED_VALUE"""),"Level 2")</f>
        <v>Level 2</v>
      </c>
      <c r="J5876" s="6" t="str">
        <f>IFERROR(__xludf.DUMMYFUNCTION("""COMPUTED_VALUE"""),"5")</f>
        <v>5</v>
      </c>
      <c r="K5876" s="6" t="str">
        <f>IFERROR(__xludf.DUMMYFUNCTION("""COMPUTED_VALUE"""),"madisyn.williams@2hourlearning.com")</f>
        <v>madisyn.williams@2hourlearning.com</v>
      </c>
      <c r="L5876" s="6" t="str">
        <f>IFERROR(__xludf.DUMMYFUNCTION("""COMPUTED_VALUE"""),"AFES - Allendale Fairfax Elementary School")</f>
        <v>AFES - Allendale Fairfax Elementary School</v>
      </c>
      <c r="M5876" s="6" t="str">
        <f>IFERROR(__xludf.DUMMYFUNCTION("""COMPUTED_VALUE"""),"")</f>
        <v/>
      </c>
      <c r="N5876" s="6" t="str">
        <f>IFERROR(__xludf.DUMMYFUNCTION("""COMPUTED_VALUE"""),"")</f>
        <v/>
      </c>
      <c r="O5876" s="87" t="str">
        <f>IFERROR(__xludf.DUMMYFUNCTION("""COMPUTED_VALUE"""),"https://drive.google.com/drive/folders/10T2cTQHqEJZqE-st6uFKPoI?usp=share_link")</f>
        <v>https://drive.google.com/drive/folders/10T2cTQHqEJZqE-st6uFKPoI?usp=share_link</v>
      </c>
      <c r="P5876" s="6" t="str">
        <f>IFERROR(__xludf.DUMMYFUNCTION("""COMPUTED_VALUE"""),"Madisyn Williams")</f>
        <v>Madisyn Williams</v>
      </c>
      <c r="Q5876" s="6" t="str">
        <f>IFERROR(__xludf.DUMMYFUNCTION("""COMPUTED_VALUE"""),"L2")</f>
        <v>L2</v>
      </c>
      <c r="R5876" s="6">
        <f>IFERROR(__xludf.DUMMYFUNCTION("""COMPUTED_VALUE"""),2.0)</f>
        <v>2</v>
      </c>
      <c r="S5876" s="6" t="str">
        <f>IFERROR(__xludf.DUMMYFUNCTION("""COMPUTED_VALUE"""),"Kimberly Ball")</f>
        <v>Kimberly Ball</v>
      </c>
      <c r="T5876" s="6" t="str">
        <f>IFERROR(__xludf.DUMMYFUNCTION("""COMPUTED_VALUE"""),"kimberly.ball@studient.com")</f>
        <v>kimberly.ball@studient.com</v>
      </c>
      <c r="U5876" s="6" t="str">
        <f>IFERROR(__xludf.DUMMYFUNCTION("""COMPUTED_VALUE"""),"5")</f>
        <v>5</v>
      </c>
      <c r="V5876" s="6" t="str">
        <f>IFERROR(__xludf.DUMMYFUNCTION("""COMPUTED_VALUE"""),"")</f>
        <v/>
      </c>
      <c r="W5876" s="6" t="str">
        <f>IFERROR(__xludf.DUMMYFUNCTION("""COMPUTED_VALUE"""),"[]")</f>
        <v>[]</v>
      </c>
      <c r="X5876" s="6" t="str">
        <f>IFERROR(__xludf.DUMMYFUNCTION("""COMPUTED_VALUE"""),"Enrolled")</f>
        <v>Enrolled</v>
      </c>
    </row>
    <row r="5877">
      <c r="A5877" s="6" t="str">
        <f>IFERROR(__xludf.DUMMYFUNCTION("""COMPUTED_VALUE"""),"088-11900")</f>
        <v>088-11900</v>
      </c>
      <c r="B5877" s="6" t="str">
        <f>IFERROR(__xludf.DUMMYFUNCTION("""COMPUTED_VALUE"""),"88")</f>
        <v>88</v>
      </c>
      <c r="C5877" s="6" t="str">
        <f>IFERROR(__xludf.DUMMYFUNCTION("""COMPUTED_VALUE"""),"11900")</f>
        <v>11900</v>
      </c>
      <c r="D5877" s="6" t="str">
        <f>IFERROR(__xludf.DUMMYFUNCTION("""COMPUTED_VALUE"""),"Nevaeh")</f>
        <v>Nevaeh</v>
      </c>
      <c r="E5877" s="6" t="str">
        <f>IFERROR(__xludf.DUMMYFUNCTION("""COMPUTED_VALUE"""),"")</f>
        <v/>
      </c>
      <c r="F5877" s="6" t="str">
        <f>IFERROR(__xludf.DUMMYFUNCTION("""COMPUTED_VALUE"""),"Youmans")</f>
        <v>Youmans</v>
      </c>
      <c r="G5877" s="6" t="str">
        <f>IFERROR(__xludf.DUMMYFUNCTION("""COMPUTED_VALUE"""),"07/31/2015")</f>
        <v>07/31/2015</v>
      </c>
      <c r="H5877" s="6" t="str">
        <f>IFERROR(__xludf.DUMMYFUNCTION("""COMPUTED_VALUE"""),"female")</f>
        <v>female</v>
      </c>
      <c r="I5877" s="6" t="str">
        <f>IFERROR(__xludf.DUMMYFUNCTION("""COMPUTED_VALUE"""),"Level 2")</f>
        <v>Level 2</v>
      </c>
      <c r="J5877" s="6" t="str">
        <f>IFERROR(__xludf.DUMMYFUNCTION("""COMPUTED_VALUE"""),"5")</f>
        <v>5</v>
      </c>
      <c r="K5877" s="6" t="str">
        <f>IFERROR(__xludf.DUMMYFUNCTION("""COMPUTED_VALUE"""),"nevaeh.youmans@2hourlearning.com")</f>
        <v>nevaeh.youmans@2hourlearning.com</v>
      </c>
      <c r="L5877" s="6" t="str">
        <f>IFERROR(__xludf.DUMMYFUNCTION("""COMPUTED_VALUE"""),"AFES - Allendale Fairfax Elementary School")</f>
        <v>AFES - Allendale Fairfax Elementary School</v>
      </c>
      <c r="M5877" s="6" t="str">
        <f>IFERROR(__xludf.DUMMYFUNCTION("""COMPUTED_VALUE"""),"")</f>
        <v/>
      </c>
      <c r="N5877" s="6" t="str">
        <f>IFERROR(__xludf.DUMMYFUNCTION("""COMPUTED_VALUE"""),"")</f>
        <v/>
      </c>
      <c r="O5877" s="87" t="str">
        <f>IFERROR(__xludf.DUMMYFUNCTION("""COMPUTED_VALUE"""),"https://drive.google.com/drive/folders/10T2cTQHqEJZqE-st6uFKPoI?usp=share_link")</f>
        <v>https://drive.google.com/drive/folders/10T2cTQHqEJZqE-st6uFKPoI?usp=share_link</v>
      </c>
      <c r="P5877" s="6" t="str">
        <f>IFERROR(__xludf.DUMMYFUNCTION("""COMPUTED_VALUE"""),"Nevaeh Youmans")</f>
        <v>Nevaeh Youmans</v>
      </c>
      <c r="Q5877" s="6" t="str">
        <f>IFERROR(__xludf.DUMMYFUNCTION("""COMPUTED_VALUE"""),"L2")</f>
        <v>L2</v>
      </c>
      <c r="R5877" s="6">
        <f>IFERROR(__xludf.DUMMYFUNCTION("""COMPUTED_VALUE"""),2.0)</f>
        <v>2</v>
      </c>
      <c r="S5877" s="6" t="str">
        <f>IFERROR(__xludf.DUMMYFUNCTION("""COMPUTED_VALUE"""),"Kimberly Ball")</f>
        <v>Kimberly Ball</v>
      </c>
      <c r="T5877" s="6" t="str">
        <f>IFERROR(__xludf.DUMMYFUNCTION("""COMPUTED_VALUE"""),"kimberly.ball@studient.com")</f>
        <v>kimberly.ball@studient.com</v>
      </c>
      <c r="U5877" s="6" t="str">
        <f>IFERROR(__xludf.DUMMYFUNCTION("""COMPUTED_VALUE"""),"5")</f>
        <v>5</v>
      </c>
      <c r="V5877" s="6" t="str">
        <f>IFERROR(__xludf.DUMMYFUNCTION("""COMPUTED_VALUE"""),"")</f>
        <v/>
      </c>
      <c r="W5877" s="6" t="str">
        <f>IFERROR(__xludf.DUMMYFUNCTION("""COMPUTED_VALUE"""),"[]")</f>
        <v>[]</v>
      </c>
      <c r="X5877" s="6" t="str">
        <f>IFERROR(__xludf.DUMMYFUNCTION("""COMPUTED_VALUE"""),"Enrolled")</f>
        <v>Enrolled</v>
      </c>
    </row>
    <row r="5878">
      <c r="A5878" s="6" t="str">
        <f>IFERROR(__xludf.DUMMYFUNCTION("""COMPUTED_VALUE"""),"088-11901")</f>
        <v>088-11901</v>
      </c>
      <c r="B5878" s="6" t="str">
        <f>IFERROR(__xludf.DUMMYFUNCTION("""COMPUTED_VALUE"""),"88")</f>
        <v>88</v>
      </c>
      <c r="C5878" s="6" t="str">
        <f>IFERROR(__xludf.DUMMYFUNCTION("""COMPUTED_VALUE"""),"11901")</f>
        <v>11901</v>
      </c>
      <c r="D5878" s="6" t="str">
        <f>IFERROR(__xludf.DUMMYFUNCTION("""COMPUTED_VALUE"""),"Allen")</f>
        <v>Allen</v>
      </c>
      <c r="E5878" s="6" t="str">
        <f>IFERROR(__xludf.DUMMYFUNCTION("""COMPUTED_VALUE"""),"")</f>
        <v/>
      </c>
      <c r="F5878" s="6" t="str">
        <f>IFERROR(__xludf.DUMMYFUNCTION("""COMPUTED_VALUE"""),"Daiquan")</f>
        <v>Daiquan</v>
      </c>
      <c r="G5878" s="6" t="str">
        <f>IFERROR(__xludf.DUMMYFUNCTION("""COMPUTED_VALUE"""),"09/18/2014")</f>
        <v>09/18/2014</v>
      </c>
      <c r="H5878" s="6" t="str">
        <f>IFERROR(__xludf.DUMMYFUNCTION("""COMPUTED_VALUE"""),"male")</f>
        <v>male</v>
      </c>
      <c r="I5878" s="6" t="str">
        <f>IFERROR(__xludf.DUMMYFUNCTION("""COMPUTED_VALUE"""),"Level 2")</f>
        <v>Level 2</v>
      </c>
      <c r="J5878" s="6" t="str">
        <f>IFERROR(__xludf.DUMMYFUNCTION("""COMPUTED_VALUE"""),"4")</f>
        <v>4</v>
      </c>
      <c r="K5878" s="6" t="str">
        <f>IFERROR(__xludf.DUMMYFUNCTION("""COMPUTED_VALUE"""),"allen.daiquan@2hourlearning.com")</f>
        <v>allen.daiquan@2hourlearning.com</v>
      </c>
      <c r="L5878" s="6" t="str">
        <f>IFERROR(__xludf.DUMMYFUNCTION("""COMPUTED_VALUE"""),"AFES - Allendale Fairfax Elementary School")</f>
        <v>AFES - Allendale Fairfax Elementary School</v>
      </c>
      <c r="M5878" s="6" t="str">
        <f>IFERROR(__xludf.DUMMYFUNCTION("""COMPUTED_VALUE"""),"")</f>
        <v/>
      </c>
      <c r="N5878" s="6" t="str">
        <f>IFERROR(__xludf.DUMMYFUNCTION("""COMPUTED_VALUE"""),"")</f>
        <v/>
      </c>
      <c r="O5878" s="87" t="str">
        <f>IFERROR(__xludf.DUMMYFUNCTION("""COMPUTED_VALUE"""),"https://drive.google.com/drive/folders/10T2cTQHqEJZqE-st6uFKPoI?usp=share_link")</f>
        <v>https://drive.google.com/drive/folders/10T2cTQHqEJZqE-st6uFKPoI?usp=share_link</v>
      </c>
      <c r="P5878" s="6" t="str">
        <f>IFERROR(__xludf.DUMMYFUNCTION("""COMPUTED_VALUE"""),"Allen Daiquan")</f>
        <v>Allen Daiquan</v>
      </c>
      <c r="Q5878" s="6" t="str">
        <f>IFERROR(__xludf.DUMMYFUNCTION("""COMPUTED_VALUE"""),"L2")</f>
        <v>L2</v>
      </c>
      <c r="R5878" s="6">
        <f>IFERROR(__xludf.DUMMYFUNCTION("""COMPUTED_VALUE"""),2.0)</f>
        <v>2</v>
      </c>
      <c r="S5878" s="6" t="str">
        <f>IFERROR(__xludf.DUMMYFUNCTION("""COMPUTED_VALUE"""),"Kimberly Ball")</f>
        <v>Kimberly Ball</v>
      </c>
      <c r="T5878" s="6" t="str">
        <f>IFERROR(__xludf.DUMMYFUNCTION("""COMPUTED_VALUE"""),"kimberly.ball@studient.com")</f>
        <v>kimberly.ball@studient.com</v>
      </c>
      <c r="U5878" s="6" t="str">
        <f>IFERROR(__xludf.DUMMYFUNCTION("""COMPUTED_VALUE"""),"4")</f>
        <v>4</v>
      </c>
      <c r="V5878" s="6" t="str">
        <f>IFERROR(__xludf.DUMMYFUNCTION("""COMPUTED_VALUE"""),"")</f>
        <v/>
      </c>
      <c r="W5878" s="6" t="str">
        <f>IFERROR(__xludf.DUMMYFUNCTION("""COMPUTED_VALUE"""),"[]")</f>
        <v>[]</v>
      </c>
      <c r="X5878" s="6" t="str">
        <f>IFERROR(__xludf.DUMMYFUNCTION("""COMPUTED_VALUE"""),"Enrolled")</f>
        <v>Enrolled</v>
      </c>
    </row>
    <row r="5879">
      <c r="A5879" s="6" t="str">
        <f>IFERROR(__xludf.DUMMYFUNCTION("""COMPUTED_VALUE"""),"088-11902")</f>
        <v>088-11902</v>
      </c>
      <c r="B5879" s="6" t="str">
        <f>IFERROR(__xludf.DUMMYFUNCTION("""COMPUTED_VALUE"""),"88")</f>
        <v>88</v>
      </c>
      <c r="C5879" s="6" t="str">
        <f>IFERROR(__xludf.DUMMYFUNCTION("""COMPUTED_VALUE"""),"11902")</f>
        <v>11902</v>
      </c>
      <c r="D5879" s="6" t="str">
        <f>IFERROR(__xludf.DUMMYFUNCTION("""COMPUTED_VALUE"""),"Allen")</f>
        <v>Allen</v>
      </c>
      <c r="E5879" s="6" t="str">
        <f>IFERROR(__xludf.DUMMYFUNCTION("""COMPUTED_VALUE"""),"")</f>
        <v/>
      </c>
      <c r="F5879" s="6" t="str">
        <f>IFERROR(__xludf.DUMMYFUNCTION("""COMPUTED_VALUE"""),"Danitia")</f>
        <v>Danitia</v>
      </c>
      <c r="G5879" s="6" t="str">
        <f>IFERROR(__xludf.DUMMYFUNCTION("""COMPUTED_VALUE"""),"10/21/2015")</f>
        <v>10/21/2015</v>
      </c>
      <c r="H5879" s="6" t="str">
        <f>IFERROR(__xludf.DUMMYFUNCTION("""COMPUTED_VALUE"""),"female")</f>
        <v>female</v>
      </c>
      <c r="I5879" s="6" t="str">
        <f>IFERROR(__xludf.DUMMYFUNCTION("""COMPUTED_VALUE"""),"Level 2")</f>
        <v>Level 2</v>
      </c>
      <c r="J5879" s="6" t="str">
        <f>IFERROR(__xludf.DUMMYFUNCTION("""COMPUTED_VALUE"""),"4")</f>
        <v>4</v>
      </c>
      <c r="K5879" s="6" t="str">
        <f>IFERROR(__xludf.DUMMYFUNCTION("""COMPUTED_VALUE"""),"allen.danitia@2hourlearning.com")</f>
        <v>allen.danitia@2hourlearning.com</v>
      </c>
      <c r="L5879" s="6" t="str">
        <f>IFERROR(__xludf.DUMMYFUNCTION("""COMPUTED_VALUE"""),"AFES - Allendale Fairfax Elementary School")</f>
        <v>AFES - Allendale Fairfax Elementary School</v>
      </c>
      <c r="M5879" s="6" t="str">
        <f>IFERROR(__xludf.DUMMYFUNCTION("""COMPUTED_VALUE"""),"")</f>
        <v/>
      </c>
      <c r="N5879" s="6" t="str">
        <f>IFERROR(__xludf.DUMMYFUNCTION("""COMPUTED_VALUE"""),"")</f>
        <v/>
      </c>
      <c r="O5879" s="87" t="str">
        <f>IFERROR(__xludf.DUMMYFUNCTION("""COMPUTED_VALUE"""),"https://drive.google.com/drive/folders/10T2cTQHqEJZqE-st6uFKPoI?usp=share_link")</f>
        <v>https://drive.google.com/drive/folders/10T2cTQHqEJZqE-st6uFKPoI?usp=share_link</v>
      </c>
      <c r="P5879" s="6" t="str">
        <f>IFERROR(__xludf.DUMMYFUNCTION("""COMPUTED_VALUE"""),"Allen Danitia")</f>
        <v>Allen Danitia</v>
      </c>
      <c r="Q5879" s="6" t="str">
        <f>IFERROR(__xludf.DUMMYFUNCTION("""COMPUTED_VALUE"""),"L2")</f>
        <v>L2</v>
      </c>
      <c r="R5879" s="6">
        <f>IFERROR(__xludf.DUMMYFUNCTION("""COMPUTED_VALUE"""),2.0)</f>
        <v>2</v>
      </c>
      <c r="S5879" s="6" t="str">
        <f>IFERROR(__xludf.DUMMYFUNCTION("""COMPUTED_VALUE"""),"Kimberly Ball")</f>
        <v>Kimberly Ball</v>
      </c>
      <c r="T5879" s="6" t="str">
        <f>IFERROR(__xludf.DUMMYFUNCTION("""COMPUTED_VALUE"""),"kimberly.ball@studient.com")</f>
        <v>kimberly.ball@studient.com</v>
      </c>
      <c r="U5879" s="6" t="str">
        <f>IFERROR(__xludf.DUMMYFUNCTION("""COMPUTED_VALUE"""),"4")</f>
        <v>4</v>
      </c>
      <c r="V5879" s="6" t="str">
        <f>IFERROR(__xludf.DUMMYFUNCTION("""COMPUTED_VALUE"""),"")</f>
        <v/>
      </c>
      <c r="W5879" s="6" t="str">
        <f>IFERROR(__xludf.DUMMYFUNCTION("""COMPUTED_VALUE"""),"[]")</f>
        <v>[]</v>
      </c>
      <c r="X5879" s="6" t="str">
        <f>IFERROR(__xludf.DUMMYFUNCTION("""COMPUTED_VALUE"""),"Enrolled")</f>
        <v>Enrolled</v>
      </c>
    </row>
    <row r="5880">
      <c r="A5880" s="6" t="str">
        <f>IFERROR(__xludf.DUMMYFUNCTION("""COMPUTED_VALUE"""),"088-11903")</f>
        <v>088-11903</v>
      </c>
      <c r="B5880" s="6" t="str">
        <f>IFERROR(__xludf.DUMMYFUNCTION("""COMPUTED_VALUE"""),"88")</f>
        <v>88</v>
      </c>
      <c r="C5880" s="6" t="str">
        <f>IFERROR(__xludf.DUMMYFUNCTION("""COMPUTED_VALUE"""),"11903")</f>
        <v>11903</v>
      </c>
      <c r="D5880" s="6" t="str">
        <f>IFERROR(__xludf.DUMMYFUNCTION("""COMPUTED_VALUE"""),"Brant")</f>
        <v>Brant</v>
      </c>
      <c r="E5880" s="6" t="str">
        <f>IFERROR(__xludf.DUMMYFUNCTION("""COMPUTED_VALUE"""),"")</f>
        <v/>
      </c>
      <c r="F5880" s="6" t="str">
        <f>IFERROR(__xludf.DUMMYFUNCTION("""COMPUTED_VALUE"""),"Jermaine")</f>
        <v>Jermaine</v>
      </c>
      <c r="G5880" s="6" t="str">
        <f>IFERROR(__xludf.DUMMYFUNCTION("""COMPUTED_VALUE"""),"01/28/2015")</f>
        <v>01/28/2015</v>
      </c>
      <c r="H5880" s="6" t="str">
        <f>IFERROR(__xludf.DUMMYFUNCTION("""COMPUTED_VALUE"""),"male")</f>
        <v>male</v>
      </c>
      <c r="I5880" s="6" t="str">
        <f>IFERROR(__xludf.DUMMYFUNCTION("""COMPUTED_VALUE"""),"Level 2")</f>
        <v>Level 2</v>
      </c>
      <c r="J5880" s="6" t="str">
        <f>IFERROR(__xludf.DUMMYFUNCTION("""COMPUTED_VALUE"""),"4")</f>
        <v>4</v>
      </c>
      <c r="K5880" s="6" t="str">
        <f>IFERROR(__xludf.DUMMYFUNCTION("""COMPUTED_VALUE"""),"brant.jermaine@2hourlearning.com")</f>
        <v>brant.jermaine@2hourlearning.com</v>
      </c>
      <c r="L5880" s="6" t="str">
        <f>IFERROR(__xludf.DUMMYFUNCTION("""COMPUTED_VALUE"""),"AFES - Allendale Fairfax Elementary School")</f>
        <v>AFES - Allendale Fairfax Elementary School</v>
      </c>
      <c r="M5880" s="6" t="str">
        <f>IFERROR(__xludf.DUMMYFUNCTION("""COMPUTED_VALUE"""),"")</f>
        <v/>
      </c>
      <c r="N5880" s="6" t="str">
        <f>IFERROR(__xludf.DUMMYFUNCTION("""COMPUTED_VALUE"""),"")</f>
        <v/>
      </c>
      <c r="O5880" s="87" t="str">
        <f>IFERROR(__xludf.DUMMYFUNCTION("""COMPUTED_VALUE"""),"https://drive.google.com/drive/folders/10T2cTQHqEJZqE-st6uFKPoI?usp=share_link")</f>
        <v>https://drive.google.com/drive/folders/10T2cTQHqEJZqE-st6uFKPoI?usp=share_link</v>
      </c>
      <c r="P5880" s="6" t="str">
        <f>IFERROR(__xludf.DUMMYFUNCTION("""COMPUTED_VALUE"""),"Brant Jermaine")</f>
        <v>Brant Jermaine</v>
      </c>
      <c r="Q5880" s="6" t="str">
        <f>IFERROR(__xludf.DUMMYFUNCTION("""COMPUTED_VALUE"""),"L2")</f>
        <v>L2</v>
      </c>
      <c r="R5880" s="6">
        <f>IFERROR(__xludf.DUMMYFUNCTION("""COMPUTED_VALUE"""),2.0)</f>
        <v>2</v>
      </c>
      <c r="S5880" s="6" t="str">
        <f>IFERROR(__xludf.DUMMYFUNCTION("""COMPUTED_VALUE"""),"Kimberly Ball")</f>
        <v>Kimberly Ball</v>
      </c>
      <c r="T5880" s="6" t="str">
        <f>IFERROR(__xludf.DUMMYFUNCTION("""COMPUTED_VALUE"""),"kimberly.ball@studient.com")</f>
        <v>kimberly.ball@studient.com</v>
      </c>
      <c r="U5880" s="6" t="str">
        <f>IFERROR(__xludf.DUMMYFUNCTION("""COMPUTED_VALUE"""),"4")</f>
        <v>4</v>
      </c>
      <c r="V5880" s="6" t="str">
        <f>IFERROR(__xludf.DUMMYFUNCTION("""COMPUTED_VALUE"""),"")</f>
        <v/>
      </c>
      <c r="W5880" s="6" t="str">
        <f>IFERROR(__xludf.DUMMYFUNCTION("""COMPUTED_VALUE"""),"[]")</f>
        <v>[]</v>
      </c>
      <c r="X5880" s="6" t="str">
        <f>IFERROR(__xludf.DUMMYFUNCTION("""COMPUTED_VALUE"""),"Enrolled")</f>
        <v>Enrolled</v>
      </c>
    </row>
    <row r="5881">
      <c r="A5881" s="6" t="str">
        <f>IFERROR(__xludf.DUMMYFUNCTION("""COMPUTED_VALUE"""),"088-11904")</f>
        <v>088-11904</v>
      </c>
      <c r="B5881" s="6" t="str">
        <f>IFERROR(__xludf.DUMMYFUNCTION("""COMPUTED_VALUE"""),"88")</f>
        <v>88</v>
      </c>
      <c r="C5881" s="6" t="str">
        <f>IFERROR(__xludf.DUMMYFUNCTION("""COMPUTED_VALUE"""),"11904")</f>
        <v>11904</v>
      </c>
      <c r="D5881" s="6" t="str">
        <f>IFERROR(__xludf.DUMMYFUNCTION("""COMPUTED_VALUE"""),"Brown")</f>
        <v>Brown</v>
      </c>
      <c r="E5881" s="6" t="str">
        <f>IFERROR(__xludf.DUMMYFUNCTION("""COMPUTED_VALUE"""),"")</f>
        <v/>
      </c>
      <c r="F5881" s="6" t="str">
        <f>IFERROR(__xludf.DUMMYFUNCTION("""COMPUTED_VALUE"""),"Jaylin")</f>
        <v>Jaylin</v>
      </c>
      <c r="G5881" s="6" t="str">
        <f>IFERROR(__xludf.DUMMYFUNCTION("""COMPUTED_VALUE"""),"01/08/2015")</f>
        <v>01/08/2015</v>
      </c>
      <c r="H5881" s="6" t="str">
        <f>IFERROR(__xludf.DUMMYFUNCTION("""COMPUTED_VALUE"""),"male")</f>
        <v>male</v>
      </c>
      <c r="I5881" s="6" t="str">
        <f>IFERROR(__xludf.DUMMYFUNCTION("""COMPUTED_VALUE"""),"Level 2")</f>
        <v>Level 2</v>
      </c>
      <c r="J5881" s="6" t="str">
        <f>IFERROR(__xludf.DUMMYFUNCTION("""COMPUTED_VALUE"""),"4")</f>
        <v>4</v>
      </c>
      <c r="K5881" s="6" t="str">
        <f>IFERROR(__xludf.DUMMYFUNCTION("""COMPUTED_VALUE"""),"brown.jaylin@2hourlearning.com")</f>
        <v>brown.jaylin@2hourlearning.com</v>
      </c>
      <c r="L5881" s="6" t="str">
        <f>IFERROR(__xludf.DUMMYFUNCTION("""COMPUTED_VALUE"""),"AFES - Allendale Fairfax Elementary School")</f>
        <v>AFES - Allendale Fairfax Elementary School</v>
      </c>
      <c r="M5881" s="6" t="str">
        <f>IFERROR(__xludf.DUMMYFUNCTION("""COMPUTED_VALUE"""),"")</f>
        <v/>
      </c>
      <c r="N5881" s="6" t="str">
        <f>IFERROR(__xludf.DUMMYFUNCTION("""COMPUTED_VALUE"""),"")</f>
        <v/>
      </c>
      <c r="O5881" s="87" t="str">
        <f>IFERROR(__xludf.DUMMYFUNCTION("""COMPUTED_VALUE"""),"https://drive.google.com/drive/folders/10T2cTQHqEJZqE-st6uFKPoI?usp=share_link")</f>
        <v>https://drive.google.com/drive/folders/10T2cTQHqEJZqE-st6uFKPoI?usp=share_link</v>
      </c>
      <c r="P5881" s="6" t="str">
        <f>IFERROR(__xludf.DUMMYFUNCTION("""COMPUTED_VALUE"""),"Brown Jaylin")</f>
        <v>Brown Jaylin</v>
      </c>
      <c r="Q5881" s="6" t="str">
        <f>IFERROR(__xludf.DUMMYFUNCTION("""COMPUTED_VALUE"""),"L2")</f>
        <v>L2</v>
      </c>
      <c r="R5881" s="6">
        <f>IFERROR(__xludf.DUMMYFUNCTION("""COMPUTED_VALUE"""),2.0)</f>
        <v>2</v>
      </c>
      <c r="S5881" s="6" t="str">
        <f>IFERROR(__xludf.DUMMYFUNCTION("""COMPUTED_VALUE"""),"Kimberly Ball")</f>
        <v>Kimberly Ball</v>
      </c>
      <c r="T5881" s="6" t="str">
        <f>IFERROR(__xludf.DUMMYFUNCTION("""COMPUTED_VALUE"""),"kimberly.ball@studient.com")</f>
        <v>kimberly.ball@studient.com</v>
      </c>
      <c r="U5881" s="6" t="str">
        <f>IFERROR(__xludf.DUMMYFUNCTION("""COMPUTED_VALUE"""),"4")</f>
        <v>4</v>
      </c>
      <c r="V5881" s="6" t="str">
        <f>IFERROR(__xludf.DUMMYFUNCTION("""COMPUTED_VALUE"""),"")</f>
        <v/>
      </c>
      <c r="W5881" s="6" t="str">
        <f>IFERROR(__xludf.DUMMYFUNCTION("""COMPUTED_VALUE"""),"[]")</f>
        <v>[]</v>
      </c>
      <c r="X5881" s="6" t="str">
        <f>IFERROR(__xludf.DUMMYFUNCTION("""COMPUTED_VALUE"""),"Enrolled")</f>
        <v>Enrolled</v>
      </c>
    </row>
    <row r="5882">
      <c r="A5882" s="6" t="str">
        <f>IFERROR(__xludf.DUMMYFUNCTION("""COMPUTED_VALUE"""),"088-11905")</f>
        <v>088-11905</v>
      </c>
      <c r="B5882" s="6" t="str">
        <f>IFERROR(__xludf.DUMMYFUNCTION("""COMPUTED_VALUE"""),"88")</f>
        <v>88</v>
      </c>
      <c r="C5882" s="6" t="str">
        <f>IFERROR(__xludf.DUMMYFUNCTION("""COMPUTED_VALUE"""),"11905")</f>
        <v>11905</v>
      </c>
      <c r="D5882" s="6" t="str">
        <f>IFERROR(__xludf.DUMMYFUNCTION("""COMPUTED_VALUE"""),"Bynum")</f>
        <v>Bynum</v>
      </c>
      <c r="E5882" s="6" t="str">
        <f>IFERROR(__xludf.DUMMYFUNCTION("""COMPUTED_VALUE"""),"")</f>
        <v/>
      </c>
      <c r="F5882" s="6" t="str">
        <f>IFERROR(__xludf.DUMMYFUNCTION("""COMPUTED_VALUE"""),"Ashanti")</f>
        <v>Ashanti</v>
      </c>
      <c r="G5882" s="6" t="str">
        <f>IFERROR(__xludf.DUMMYFUNCTION("""COMPUTED_VALUE"""),"12/21/2013")</f>
        <v>12/21/2013</v>
      </c>
      <c r="H5882" s="6" t="str">
        <f>IFERROR(__xludf.DUMMYFUNCTION("""COMPUTED_VALUE"""),"female")</f>
        <v>female</v>
      </c>
      <c r="I5882" s="6" t="str">
        <f>IFERROR(__xludf.DUMMYFUNCTION("""COMPUTED_VALUE"""),"Level 2")</f>
        <v>Level 2</v>
      </c>
      <c r="J5882" s="6" t="str">
        <f>IFERROR(__xludf.DUMMYFUNCTION("""COMPUTED_VALUE"""),"4")</f>
        <v>4</v>
      </c>
      <c r="K5882" s="6" t="str">
        <f>IFERROR(__xludf.DUMMYFUNCTION("""COMPUTED_VALUE"""),"bynum.ashanti@2hourlearning.com")</f>
        <v>bynum.ashanti@2hourlearning.com</v>
      </c>
      <c r="L5882" s="6" t="str">
        <f>IFERROR(__xludf.DUMMYFUNCTION("""COMPUTED_VALUE"""),"AFES - Allendale Fairfax Elementary School")</f>
        <v>AFES - Allendale Fairfax Elementary School</v>
      </c>
      <c r="M5882" s="6" t="str">
        <f>IFERROR(__xludf.DUMMYFUNCTION("""COMPUTED_VALUE"""),"")</f>
        <v/>
      </c>
      <c r="N5882" s="6" t="str">
        <f>IFERROR(__xludf.DUMMYFUNCTION("""COMPUTED_VALUE"""),"")</f>
        <v/>
      </c>
      <c r="O5882" s="87" t="str">
        <f>IFERROR(__xludf.DUMMYFUNCTION("""COMPUTED_VALUE"""),"https://drive.google.com/drive/folders/10T2cTQHqEJZqE-st6uFKPoI?usp=share_link")</f>
        <v>https://drive.google.com/drive/folders/10T2cTQHqEJZqE-st6uFKPoI?usp=share_link</v>
      </c>
      <c r="P5882" s="6" t="str">
        <f>IFERROR(__xludf.DUMMYFUNCTION("""COMPUTED_VALUE"""),"Bynum Ashanti")</f>
        <v>Bynum Ashanti</v>
      </c>
      <c r="Q5882" s="6" t="str">
        <f>IFERROR(__xludf.DUMMYFUNCTION("""COMPUTED_VALUE"""),"L2")</f>
        <v>L2</v>
      </c>
      <c r="R5882" s="6">
        <f>IFERROR(__xludf.DUMMYFUNCTION("""COMPUTED_VALUE"""),2.0)</f>
        <v>2</v>
      </c>
      <c r="S5882" s="6" t="str">
        <f>IFERROR(__xludf.DUMMYFUNCTION("""COMPUTED_VALUE"""),"Kimberly Ball")</f>
        <v>Kimberly Ball</v>
      </c>
      <c r="T5882" s="6" t="str">
        <f>IFERROR(__xludf.DUMMYFUNCTION("""COMPUTED_VALUE"""),"kimberly.ball@studient.com")</f>
        <v>kimberly.ball@studient.com</v>
      </c>
      <c r="U5882" s="6" t="str">
        <f>IFERROR(__xludf.DUMMYFUNCTION("""COMPUTED_VALUE"""),"4")</f>
        <v>4</v>
      </c>
      <c r="V5882" s="6" t="str">
        <f>IFERROR(__xludf.DUMMYFUNCTION("""COMPUTED_VALUE"""),"")</f>
        <v/>
      </c>
      <c r="W5882" s="6" t="str">
        <f>IFERROR(__xludf.DUMMYFUNCTION("""COMPUTED_VALUE"""),"[]")</f>
        <v>[]</v>
      </c>
      <c r="X5882" s="6" t="str">
        <f>IFERROR(__xludf.DUMMYFUNCTION("""COMPUTED_VALUE"""),"Enrolled")</f>
        <v>Enrolled</v>
      </c>
    </row>
    <row r="5883">
      <c r="A5883" s="6" t="str">
        <f>IFERROR(__xludf.DUMMYFUNCTION("""COMPUTED_VALUE"""),"088-11906")</f>
        <v>088-11906</v>
      </c>
      <c r="B5883" s="6" t="str">
        <f>IFERROR(__xludf.DUMMYFUNCTION("""COMPUTED_VALUE"""),"88")</f>
        <v>88</v>
      </c>
      <c r="C5883" s="6" t="str">
        <f>IFERROR(__xludf.DUMMYFUNCTION("""COMPUTED_VALUE"""),"11906")</f>
        <v>11906</v>
      </c>
      <c r="D5883" s="6" t="str">
        <f>IFERROR(__xludf.DUMMYFUNCTION("""COMPUTED_VALUE"""),"Carter-Rhodes")</f>
        <v>Carter-Rhodes</v>
      </c>
      <c r="E5883" s="6" t="str">
        <f>IFERROR(__xludf.DUMMYFUNCTION("""COMPUTED_VALUE"""),"")</f>
        <v/>
      </c>
      <c r="F5883" s="6" t="str">
        <f>IFERROR(__xludf.DUMMYFUNCTION("""COMPUTED_VALUE"""),"Kingston")</f>
        <v>Kingston</v>
      </c>
      <c r="G5883" s="6" t="str">
        <f>IFERROR(__xludf.DUMMYFUNCTION("""COMPUTED_VALUE"""),"07/31/2016")</f>
        <v>07/31/2016</v>
      </c>
      <c r="H5883" s="6" t="str">
        <f>IFERROR(__xludf.DUMMYFUNCTION("""COMPUTED_VALUE"""),"male")</f>
        <v>male</v>
      </c>
      <c r="I5883" s="6" t="str">
        <f>IFERROR(__xludf.DUMMYFUNCTION("""COMPUTED_VALUE"""),"Level 2")</f>
        <v>Level 2</v>
      </c>
      <c r="J5883" s="6" t="str">
        <f>IFERROR(__xludf.DUMMYFUNCTION("""COMPUTED_VALUE"""),"4")</f>
        <v>4</v>
      </c>
      <c r="K5883" s="6" t="str">
        <f>IFERROR(__xludf.DUMMYFUNCTION("""COMPUTED_VALUE"""),"carter-rhodes.kingston@2hourlearning.com")</f>
        <v>carter-rhodes.kingston@2hourlearning.com</v>
      </c>
      <c r="L5883" s="6" t="str">
        <f>IFERROR(__xludf.DUMMYFUNCTION("""COMPUTED_VALUE"""),"AFES - Allendale Fairfax Elementary School")</f>
        <v>AFES - Allendale Fairfax Elementary School</v>
      </c>
      <c r="M5883" s="6" t="str">
        <f>IFERROR(__xludf.DUMMYFUNCTION("""COMPUTED_VALUE"""),"")</f>
        <v/>
      </c>
      <c r="N5883" s="6" t="str">
        <f>IFERROR(__xludf.DUMMYFUNCTION("""COMPUTED_VALUE"""),"")</f>
        <v/>
      </c>
      <c r="O5883" s="87" t="str">
        <f>IFERROR(__xludf.DUMMYFUNCTION("""COMPUTED_VALUE"""),"https://drive.google.com/drive/folders/10T2cTQHqEJZqE-st6uFKPoI?usp=share_link")</f>
        <v>https://drive.google.com/drive/folders/10T2cTQHqEJZqE-st6uFKPoI?usp=share_link</v>
      </c>
      <c r="P5883" s="6" t="str">
        <f>IFERROR(__xludf.DUMMYFUNCTION("""COMPUTED_VALUE"""),"Carter-Rhodes Kingston")</f>
        <v>Carter-Rhodes Kingston</v>
      </c>
      <c r="Q5883" s="6" t="str">
        <f>IFERROR(__xludf.DUMMYFUNCTION("""COMPUTED_VALUE"""),"L2")</f>
        <v>L2</v>
      </c>
      <c r="R5883" s="6">
        <f>IFERROR(__xludf.DUMMYFUNCTION("""COMPUTED_VALUE"""),2.0)</f>
        <v>2</v>
      </c>
      <c r="S5883" s="6" t="str">
        <f>IFERROR(__xludf.DUMMYFUNCTION("""COMPUTED_VALUE"""),"Kimberly Ball")</f>
        <v>Kimberly Ball</v>
      </c>
      <c r="T5883" s="6" t="str">
        <f>IFERROR(__xludf.DUMMYFUNCTION("""COMPUTED_VALUE"""),"kimberly.ball@studient.com")</f>
        <v>kimberly.ball@studient.com</v>
      </c>
      <c r="U5883" s="6" t="str">
        <f>IFERROR(__xludf.DUMMYFUNCTION("""COMPUTED_VALUE"""),"4")</f>
        <v>4</v>
      </c>
      <c r="V5883" s="6" t="str">
        <f>IFERROR(__xludf.DUMMYFUNCTION("""COMPUTED_VALUE"""),"")</f>
        <v/>
      </c>
      <c r="W5883" s="6" t="str">
        <f>IFERROR(__xludf.DUMMYFUNCTION("""COMPUTED_VALUE"""),"[]")</f>
        <v>[]</v>
      </c>
      <c r="X5883" s="6" t="str">
        <f>IFERROR(__xludf.DUMMYFUNCTION("""COMPUTED_VALUE"""),"Enrolled")</f>
        <v>Enrolled</v>
      </c>
    </row>
    <row r="5884">
      <c r="A5884" s="6" t="str">
        <f>IFERROR(__xludf.DUMMYFUNCTION("""COMPUTED_VALUE"""),"088-11907")</f>
        <v>088-11907</v>
      </c>
      <c r="B5884" s="6" t="str">
        <f>IFERROR(__xludf.DUMMYFUNCTION("""COMPUTED_VALUE"""),"88")</f>
        <v>88</v>
      </c>
      <c r="C5884" s="6" t="str">
        <f>IFERROR(__xludf.DUMMYFUNCTION("""COMPUTED_VALUE"""),"11907")</f>
        <v>11907</v>
      </c>
      <c r="D5884" s="6" t="str">
        <f>IFERROR(__xludf.DUMMYFUNCTION("""COMPUTED_VALUE"""),"Charlton")</f>
        <v>Charlton</v>
      </c>
      <c r="E5884" s="6" t="str">
        <f>IFERROR(__xludf.DUMMYFUNCTION("""COMPUTED_VALUE"""),"")</f>
        <v/>
      </c>
      <c r="F5884" s="6" t="str">
        <f>IFERROR(__xludf.DUMMYFUNCTION("""COMPUTED_VALUE"""),"Ja'Kaiden")</f>
        <v>Ja'Kaiden</v>
      </c>
      <c r="G5884" s="6" t="str">
        <f>IFERROR(__xludf.DUMMYFUNCTION("""COMPUTED_VALUE"""),"07/10/2015")</f>
        <v>07/10/2015</v>
      </c>
      <c r="H5884" s="6" t="str">
        <f>IFERROR(__xludf.DUMMYFUNCTION("""COMPUTED_VALUE"""),"male")</f>
        <v>male</v>
      </c>
      <c r="I5884" s="6" t="str">
        <f>IFERROR(__xludf.DUMMYFUNCTION("""COMPUTED_VALUE"""),"Level 2")</f>
        <v>Level 2</v>
      </c>
      <c r="J5884" s="6" t="str">
        <f>IFERROR(__xludf.DUMMYFUNCTION("""COMPUTED_VALUE"""),"4")</f>
        <v>4</v>
      </c>
      <c r="K5884" s="6" t="str">
        <f>IFERROR(__xludf.DUMMYFUNCTION("""COMPUTED_VALUE"""),"charlton.jakaiden@2hourlearning.com")</f>
        <v>charlton.jakaiden@2hourlearning.com</v>
      </c>
      <c r="L5884" s="6" t="str">
        <f>IFERROR(__xludf.DUMMYFUNCTION("""COMPUTED_VALUE"""),"AFES - Allendale Fairfax Elementary School")</f>
        <v>AFES - Allendale Fairfax Elementary School</v>
      </c>
      <c r="M5884" s="6" t="str">
        <f>IFERROR(__xludf.DUMMYFUNCTION("""COMPUTED_VALUE"""),"")</f>
        <v/>
      </c>
      <c r="N5884" s="6" t="str">
        <f>IFERROR(__xludf.DUMMYFUNCTION("""COMPUTED_VALUE"""),"")</f>
        <v/>
      </c>
      <c r="O5884" s="87" t="str">
        <f>IFERROR(__xludf.DUMMYFUNCTION("""COMPUTED_VALUE"""),"https://drive.google.com/drive/folders/10T2cTQHqEJZqE-st6uFKPoI?usp=share_link")</f>
        <v>https://drive.google.com/drive/folders/10T2cTQHqEJZqE-st6uFKPoI?usp=share_link</v>
      </c>
      <c r="P5884" s="6" t="str">
        <f>IFERROR(__xludf.DUMMYFUNCTION("""COMPUTED_VALUE"""),"Charlton Ja'Kaiden")</f>
        <v>Charlton Ja'Kaiden</v>
      </c>
      <c r="Q5884" s="6" t="str">
        <f>IFERROR(__xludf.DUMMYFUNCTION("""COMPUTED_VALUE"""),"L2")</f>
        <v>L2</v>
      </c>
      <c r="R5884" s="6">
        <f>IFERROR(__xludf.DUMMYFUNCTION("""COMPUTED_VALUE"""),2.0)</f>
        <v>2</v>
      </c>
      <c r="S5884" s="6" t="str">
        <f>IFERROR(__xludf.DUMMYFUNCTION("""COMPUTED_VALUE"""),"Kimberly Ball")</f>
        <v>Kimberly Ball</v>
      </c>
      <c r="T5884" s="6" t="str">
        <f>IFERROR(__xludf.DUMMYFUNCTION("""COMPUTED_VALUE"""),"kimberly.ball@studient.com")</f>
        <v>kimberly.ball@studient.com</v>
      </c>
      <c r="U5884" s="6" t="str">
        <f>IFERROR(__xludf.DUMMYFUNCTION("""COMPUTED_VALUE"""),"4")</f>
        <v>4</v>
      </c>
      <c r="V5884" s="6" t="str">
        <f>IFERROR(__xludf.DUMMYFUNCTION("""COMPUTED_VALUE"""),"")</f>
        <v/>
      </c>
      <c r="W5884" s="6" t="str">
        <f>IFERROR(__xludf.DUMMYFUNCTION("""COMPUTED_VALUE"""),"[]")</f>
        <v>[]</v>
      </c>
      <c r="X5884" s="6" t="str">
        <f>IFERROR(__xludf.DUMMYFUNCTION("""COMPUTED_VALUE"""),"Enrolled")</f>
        <v>Enrolled</v>
      </c>
    </row>
    <row r="5885">
      <c r="A5885" s="6" t="str">
        <f>IFERROR(__xludf.DUMMYFUNCTION("""COMPUTED_VALUE"""),"088-11908")</f>
        <v>088-11908</v>
      </c>
      <c r="B5885" s="6" t="str">
        <f>IFERROR(__xludf.DUMMYFUNCTION("""COMPUTED_VALUE"""),"88")</f>
        <v>88</v>
      </c>
      <c r="C5885" s="6" t="str">
        <f>IFERROR(__xludf.DUMMYFUNCTION("""COMPUTED_VALUE"""),"11908")</f>
        <v>11908</v>
      </c>
      <c r="D5885" s="6" t="str">
        <f>IFERROR(__xludf.DUMMYFUNCTION("""COMPUTED_VALUE"""),"Eady")</f>
        <v>Eady</v>
      </c>
      <c r="E5885" s="6" t="str">
        <f>IFERROR(__xludf.DUMMYFUNCTION("""COMPUTED_VALUE"""),"")</f>
        <v/>
      </c>
      <c r="F5885" s="6" t="str">
        <f>IFERROR(__xludf.DUMMYFUNCTION("""COMPUTED_VALUE"""),"Kaison")</f>
        <v>Kaison</v>
      </c>
      <c r="G5885" s="6" t="str">
        <f>IFERROR(__xludf.DUMMYFUNCTION("""COMPUTED_VALUE"""),"08/30/2016")</f>
        <v>08/30/2016</v>
      </c>
      <c r="H5885" s="6" t="str">
        <f>IFERROR(__xludf.DUMMYFUNCTION("""COMPUTED_VALUE"""),"male")</f>
        <v>male</v>
      </c>
      <c r="I5885" s="6" t="str">
        <f>IFERROR(__xludf.DUMMYFUNCTION("""COMPUTED_VALUE"""),"Level 2")</f>
        <v>Level 2</v>
      </c>
      <c r="J5885" s="6" t="str">
        <f>IFERROR(__xludf.DUMMYFUNCTION("""COMPUTED_VALUE"""),"4")</f>
        <v>4</v>
      </c>
      <c r="K5885" s="6" t="str">
        <f>IFERROR(__xludf.DUMMYFUNCTION("""COMPUTED_VALUE"""),"eady.kaison@2hourlearning.com")</f>
        <v>eady.kaison@2hourlearning.com</v>
      </c>
      <c r="L5885" s="6" t="str">
        <f>IFERROR(__xludf.DUMMYFUNCTION("""COMPUTED_VALUE"""),"AFES - Allendale Fairfax Elementary School")</f>
        <v>AFES - Allendale Fairfax Elementary School</v>
      </c>
      <c r="M5885" s="6" t="str">
        <f>IFERROR(__xludf.DUMMYFUNCTION("""COMPUTED_VALUE"""),"")</f>
        <v/>
      </c>
      <c r="N5885" s="6" t="str">
        <f>IFERROR(__xludf.DUMMYFUNCTION("""COMPUTED_VALUE"""),"")</f>
        <v/>
      </c>
      <c r="O5885" s="87" t="str">
        <f>IFERROR(__xludf.DUMMYFUNCTION("""COMPUTED_VALUE"""),"https://drive.google.com/drive/folders/10T2cTQHqEJZqE-st6uFKPoI?usp=share_link")</f>
        <v>https://drive.google.com/drive/folders/10T2cTQHqEJZqE-st6uFKPoI?usp=share_link</v>
      </c>
      <c r="P5885" s="6" t="str">
        <f>IFERROR(__xludf.DUMMYFUNCTION("""COMPUTED_VALUE"""),"Eady Kaison")</f>
        <v>Eady Kaison</v>
      </c>
      <c r="Q5885" s="6" t="str">
        <f>IFERROR(__xludf.DUMMYFUNCTION("""COMPUTED_VALUE"""),"L2")</f>
        <v>L2</v>
      </c>
      <c r="R5885" s="6">
        <f>IFERROR(__xludf.DUMMYFUNCTION("""COMPUTED_VALUE"""),2.0)</f>
        <v>2</v>
      </c>
      <c r="S5885" s="6" t="str">
        <f>IFERROR(__xludf.DUMMYFUNCTION("""COMPUTED_VALUE"""),"Kimberly Ball")</f>
        <v>Kimberly Ball</v>
      </c>
      <c r="T5885" s="6" t="str">
        <f>IFERROR(__xludf.DUMMYFUNCTION("""COMPUTED_VALUE"""),"kimberly.ball@studient.com")</f>
        <v>kimberly.ball@studient.com</v>
      </c>
      <c r="U5885" s="6" t="str">
        <f>IFERROR(__xludf.DUMMYFUNCTION("""COMPUTED_VALUE"""),"4")</f>
        <v>4</v>
      </c>
      <c r="V5885" s="6" t="str">
        <f>IFERROR(__xludf.DUMMYFUNCTION("""COMPUTED_VALUE"""),"")</f>
        <v/>
      </c>
      <c r="W5885" s="6" t="str">
        <f>IFERROR(__xludf.DUMMYFUNCTION("""COMPUTED_VALUE"""),"[]")</f>
        <v>[]</v>
      </c>
      <c r="X5885" s="6" t="str">
        <f>IFERROR(__xludf.DUMMYFUNCTION("""COMPUTED_VALUE"""),"Enrolled")</f>
        <v>Enrolled</v>
      </c>
    </row>
    <row r="5886">
      <c r="A5886" s="6" t="str">
        <f>IFERROR(__xludf.DUMMYFUNCTION("""COMPUTED_VALUE"""),"088-11909")</f>
        <v>088-11909</v>
      </c>
      <c r="B5886" s="6" t="str">
        <f>IFERROR(__xludf.DUMMYFUNCTION("""COMPUTED_VALUE"""),"88")</f>
        <v>88</v>
      </c>
      <c r="C5886" s="6" t="str">
        <f>IFERROR(__xludf.DUMMYFUNCTION("""COMPUTED_VALUE"""),"11909")</f>
        <v>11909</v>
      </c>
      <c r="D5886" s="6" t="str">
        <f>IFERROR(__xludf.DUMMYFUNCTION("""COMPUTED_VALUE"""),"Forrester")</f>
        <v>Forrester</v>
      </c>
      <c r="E5886" s="6" t="str">
        <f>IFERROR(__xludf.DUMMYFUNCTION("""COMPUTED_VALUE"""),"")</f>
        <v/>
      </c>
      <c r="F5886" s="6" t="str">
        <f>IFERROR(__xludf.DUMMYFUNCTION("""COMPUTED_VALUE"""),"Denzel")</f>
        <v>Denzel</v>
      </c>
      <c r="G5886" s="6" t="str">
        <f>IFERROR(__xludf.DUMMYFUNCTION("""COMPUTED_VALUE"""),"11/24/2015")</f>
        <v>11/24/2015</v>
      </c>
      <c r="H5886" s="6" t="str">
        <f>IFERROR(__xludf.DUMMYFUNCTION("""COMPUTED_VALUE"""),"male")</f>
        <v>male</v>
      </c>
      <c r="I5886" s="6" t="str">
        <f>IFERROR(__xludf.DUMMYFUNCTION("""COMPUTED_VALUE"""),"Level 2")</f>
        <v>Level 2</v>
      </c>
      <c r="J5886" s="6" t="str">
        <f>IFERROR(__xludf.DUMMYFUNCTION("""COMPUTED_VALUE"""),"4")</f>
        <v>4</v>
      </c>
      <c r="K5886" s="6" t="str">
        <f>IFERROR(__xludf.DUMMYFUNCTION("""COMPUTED_VALUE"""),"forrester.denzel@2hourlearning.com")</f>
        <v>forrester.denzel@2hourlearning.com</v>
      </c>
      <c r="L5886" s="6" t="str">
        <f>IFERROR(__xludf.DUMMYFUNCTION("""COMPUTED_VALUE"""),"AFES - Allendale Fairfax Elementary School")</f>
        <v>AFES - Allendale Fairfax Elementary School</v>
      </c>
      <c r="M5886" s="6" t="str">
        <f>IFERROR(__xludf.DUMMYFUNCTION("""COMPUTED_VALUE"""),"")</f>
        <v/>
      </c>
      <c r="N5886" s="6" t="str">
        <f>IFERROR(__xludf.DUMMYFUNCTION("""COMPUTED_VALUE"""),"")</f>
        <v/>
      </c>
      <c r="O5886" s="87" t="str">
        <f>IFERROR(__xludf.DUMMYFUNCTION("""COMPUTED_VALUE"""),"https://drive.google.com/drive/folders/10T2cTQHqEJZqE-st6uFKPoI?usp=share_link")</f>
        <v>https://drive.google.com/drive/folders/10T2cTQHqEJZqE-st6uFKPoI?usp=share_link</v>
      </c>
      <c r="P5886" s="6" t="str">
        <f>IFERROR(__xludf.DUMMYFUNCTION("""COMPUTED_VALUE"""),"Forrester Denzel")</f>
        <v>Forrester Denzel</v>
      </c>
      <c r="Q5886" s="6" t="str">
        <f>IFERROR(__xludf.DUMMYFUNCTION("""COMPUTED_VALUE"""),"L2")</f>
        <v>L2</v>
      </c>
      <c r="R5886" s="6">
        <f>IFERROR(__xludf.DUMMYFUNCTION("""COMPUTED_VALUE"""),2.0)</f>
        <v>2</v>
      </c>
      <c r="S5886" s="6" t="str">
        <f>IFERROR(__xludf.DUMMYFUNCTION("""COMPUTED_VALUE"""),"Kimberly Ball")</f>
        <v>Kimberly Ball</v>
      </c>
      <c r="T5886" s="6" t="str">
        <f>IFERROR(__xludf.DUMMYFUNCTION("""COMPUTED_VALUE"""),"kimberly.ball@studient.com")</f>
        <v>kimberly.ball@studient.com</v>
      </c>
      <c r="U5886" s="6" t="str">
        <f>IFERROR(__xludf.DUMMYFUNCTION("""COMPUTED_VALUE"""),"4")</f>
        <v>4</v>
      </c>
      <c r="V5886" s="6" t="str">
        <f>IFERROR(__xludf.DUMMYFUNCTION("""COMPUTED_VALUE"""),"")</f>
        <v/>
      </c>
      <c r="W5886" s="6" t="str">
        <f>IFERROR(__xludf.DUMMYFUNCTION("""COMPUTED_VALUE"""),"[]")</f>
        <v>[]</v>
      </c>
      <c r="X5886" s="6" t="str">
        <f>IFERROR(__xludf.DUMMYFUNCTION("""COMPUTED_VALUE"""),"Enrolled")</f>
        <v>Enrolled</v>
      </c>
    </row>
    <row r="5887">
      <c r="A5887" s="6" t="str">
        <f>IFERROR(__xludf.DUMMYFUNCTION("""COMPUTED_VALUE"""),"088-11910")</f>
        <v>088-11910</v>
      </c>
      <c r="B5887" s="6" t="str">
        <f>IFERROR(__xludf.DUMMYFUNCTION("""COMPUTED_VALUE"""),"88")</f>
        <v>88</v>
      </c>
      <c r="C5887" s="6" t="str">
        <f>IFERROR(__xludf.DUMMYFUNCTION("""COMPUTED_VALUE"""),"11910")</f>
        <v>11910</v>
      </c>
      <c r="D5887" s="6" t="str">
        <f>IFERROR(__xludf.DUMMYFUNCTION("""COMPUTED_VALUE"""),"Hutchinson")</f>
        <v>Hutchinson</v>
      </c>
      <c r="E5887" s="6" t="str">
        <f>IFERROR(__xludf.DUMMYFUNCTION("""COMPUTED_VALUE"""),"")</f>
        <v/>
      </c>
      <c r="F5887" s="6" t="str">
        <f>IFERROR(__xludf.DUMMYFUNCTION("""COMPUTED_VALUE"""),"Darien")</f>
        <v>Darien</v>
      </c>
      <c r="G5887" s="6" t="str">
        <f>IFERROR(__xludf.DUMMYFUNCTION("""COMPUTED_VALUE"""),"11/26/2015")</f>
        <v>11/26/2015</v>
      </c>
      <c r="H5887" s="6" t="str">
        <f>IFERROR(__xludf.DUMMYFUNCTION("""COMPUTED_VALUE"""),"male")</f>
        <v>male</v>
      </c>
      <c r="I5887" s="6" t="str">
        <f>IFERROR(__xludf.DUMMYFUNCTION("""COMPUTED_VALUE"""),"Level 2")</f>
        <v>Level 2</v>
      </c>
      <c r="J5887" s="6" t="str">
        <f>IFERROR(__xludf.DUMMYFUNCTION("""COMPUTED_VALUE"""),"4")</f>
        <v>4</v>
      </c>
      <c r="K5887" s="6" t="str">
        <f>IFERROR(__xludf.DUMMYFUNCTION("""COMPUTED_VALUE"""),"hutchinson.darien@2hourlearning.com")</f>
        <v>hutchinson.darien@2hourlearning.com</v>
      </c>
      <c r="L5887" s="6" t="str">
        <f>IFERROR(__xludf.DUMMYFUNCTION("""COMPUTED_VALUE"""),"AFES - Allendale Fairfax Elementary School")</f>
        <v>AFES - Allendale Fairfax Elementary School</v>
      </c>
      <c r="M5887" s="6" t="str">
        <f>IFERROR(__xludf.DUMMYFUNCTION("""COMPUTED_VALUE"""),"")</f>
        <v/>
      </c>
      <c r="N5887" s="6" t="str">
        <f>IFERROR(__xludf.DUMMYFUNCTION("""COMPUTED_VALUE"""),"")</f>
        <v/>
      </c>
      <c r="O5887" s="87" t="str">
        <f>IFERROR(__xludf.DUMMYFUNCTION("""COMPUTED_VALUE"""),"https://drive.google.com/drive/folders/10T2cTQHqEJZqE-st6uFKPoI?usp=share_link")</f>
        <v>https://drive.google.com/drive/folders/10T2cTQHqEJZqE-st6uFKPoI?usp=share_link</v>
      </c>
      <c r="P5887" s="6" t="str">
        <f>IFERROR(__xludf.DUMMYFUNCTION("""COMPUTED_VALUE"""),"Hutchinson Darien")</f>
        <v>Hutchinson Darien</v>
      </c>
      <c r="Q5887" s="6" t="str">
        <f>IFERROR(__xludf.DUMMYFUNCTION("""COMPUTED_VALUE"""),"L2")</f>
        <v>L2</v>
      </c>
      <c r="R5887" s="6">
        <f>IFERROR(__xludf.DUMMYFUNCTION("""COMPUTED_VALUE"""),2.0)</f>
        <v>2</v>
      </c>
      <c r="S5887" s="6" t="str">
        <f>IFERROR(__xludf.DUMMYFUNCTION("""COMPUTED_VALUE"""),"Kimberly Ball")</f>
        <v>Kimberly Ball</v>
      </c>
      <c r="T5887" s="6" t="str">
        <f>IFERROR(__xludf.DUMMYFUNCTION("""COMPUTED_VALUE"""),"kimberly.ball@studient.com")</f>
        <v>kimberly.ball@studient.com</v>
      </c>
      <c r="U5887" s="6" t="str">
        <f>IFERROR(__xludf.DUMMYFUNCTION("""COMPUTED_VALUE"""),"4")</f>
        <v>4</v>
      </c>
      <c r="V5887" s="6" t="str">
        <f>IFERROR(__xludf.DUMMYFUNCTION("""COMPUTED_VALUE"""),"")</f>
        <v/>
      </c>
      <c r="W5887" s="6" t="str">
        <f>IFERROR(__xludf.DUMMYFUNCTION("""COMPUTED_VALUE"""),"[]")</f>
        <v>[]</v>
      </c>
      <c r="X5887" s="6" t="str">
        <f>IFERROR(__xludf.DUMMYFUNCTION("""COMPUTED_VALUE"""),"Enrolled")</f>
        <v>Enrolled</v>
      </c>
    </row>
    <row r="5888">
      <c r="A5888" s="6" t="str">
        <f>IFERROR(__xludf.DUMMYFUNCTION("""COMPUTED_VALUE"""),"088-11911")</f>
        <v>088-11911</v>
      </c>
      <c r="B5888" s="6" t="str">
        <f>IFERROR(__xludf.DUMMYFUNCTION("""COMPUTED_VALUE"""),"88")</f>
        <v>88</v>
      </c>
      <c r="C5888" s="6" t="str">
        <f>IFERROR(__xludf.DUMMYFUNCTION("""COMPUTED_VALUE"""),"11911")</f>
        <v>11911</v>
      </c>
      <c r="D5888" s="6" t="str">
        <f>IFERROR(__xludf.DUMMYFUNCTION("""COMPUTED_VALUE"""),"Jackson")</f>
        <v>Jackson</v>
      </c>
      <c r="E5888" s="6" t="str">
        <f>IFERROR(__xludf.DUMMYFUNCTION("""COMPUTED_VALUE"""),"")</f>
        <v/>
      </c>
      <c r="F5888" s="6" t="str">
        <f>IFERROR(__xludf.DUMMYFUNCTION("""COMPUTED_VALUE"""),"Elvonta")</f>
        <v>Elvonta</v>
      </c>
      <c r="G5888" s="6" t="str">
        <f>IFERROR(__xludf.DUMMYFUNCTION("""COMPUTED_VALUE"""),"11/09/2015")</f>
        <v>11/09/2015</v>
      </c>
      <c r="H5888" s="6" t="str">
        <f>IFERROR(__xludf.DUMMYFUNCTION("""COMPUTED_VALUE"""),"male")</f>
        <v>male</v>
      </c>
      <c r="I5888" s="6" t="str">
        <f>IFERROR(__xludf.DUMMYFUNCTION("""COMPUTED_VALUE"""),"Level 2")</f>
        <v>Level 2</v>
      </c>
      <c r="J5888" s="6" t="str">
        <f>IFERROR(__xludf.DUMMYFUNCTION("""COMPUTED_VALUE"""),"4")</f>
        <v>4</v>
      </c>
      <c r="K5888" s="6" t="str">
        <f>IFERROR(__xludf.DUMMYFUNCTION("""COMPUTED_VALUE"""),"jackson.elvonta@2hourlearning.com")</f>
        <v>jackson.elvonta@2hourlearning.com</v>
      </c>
      <c r="L5888" s="6" t="str">
        <f>IFERROR(__xludf.DUMMYFUNCTION("""COMPUTED_VALUE"""),"AFES - Allendale Fairfax Elementary School")</f>
        <v>AFES - Allendale Fairfax Elementary School</v>
      </c>
      <c r="M5888" s="6" t="str">
        <f>IFERROR(__xludf.DUMMYFUNCTION("""COMPUTED_VALUE"""),"")</f>
        <v/>
      </c>
      <c r="N5888" s="6" t="str">
        <f>IFERROR(__xludf.DUMMYFUNCTION("""COMPUTED_VALUE"""),"")</f>
        <v/>
      </c>
      <c r="O5888" s="87" t="str">
        <f>IFERROR(__xludf.DUMMYFUNCTION("""COMPUTED_VALUE"""),"https://drive.google.com/drive/folders/10T2cTQHqEJZqE-st6uFKPoI?usp=share_link")</f>
        <v>https://drive.google.com/drive/folders/10T2cTQHqEJZqE-st6uFKPoI?usp=share_link</v>
      </c>
      <c r="P5888" s="6" t="str">
        <f>IFERROR(__xludf.DUMMYFUNCTION("""COMPUTED_VALUE"""),"Jackson Elvonta")</f>
        <v>Jackson Elvonta</v>
      </c>
      <c r="Q5888" s="6" t="str">
        <f>IFERROR(__xludf.DUMMYFUNCTION("""COMPUTED_VALUE"""),"L2")</f>
        <v>L2</v>
      </c>
      <c r="R5888" s="6">
        <f>IFERROR(__xludf.DUMMYFUNCTION("""COMPUTED_VALUE"""),2.0)</f>
        <v>2</v>
      </c>
      <c r="S5888" s="6" t="str">
        <f>IFERROR(__xludf.DUMMYFUNCTION("""COMPUTED_VALUE"""),"Kimberly Ball")</f>
        <v>Kimberly Ball</v>
      </c>
      <c r="T5888" s="6" t="str">
        <f>IFERROR(__xludf.DUMMYFUNCTION("""COMPUTED_VALUE"""),"kimberly.ball@studient.com")</f>
        <v>kimberly.ball@studient.com</v>
      </c>
      <c r="U5888" s="6" t="str">
        <f>IFERROR(__xludf.DUMMYFUNCTION("""COMPUTED_VALUE"""),"4")</f>
        <v>4</v>
      </c>
      <c r="V5888" s="6" t="str">
        <f>IFERROR(__xludf.DUMMYFUNCTION("""COMPUTED_VALUE"""),"")</f>
        <v/>
      </c>
      <c r="W5888" s="6" t="str">
        <f>IFERROR(__xludf.DUMMYFUNCTION("""COMPUTED_VALUE"""),"[]")</f>
        <v>[]</v>
      </c>
      <c r="X5888" s="6" t="str">
        <f>IFERROR(__xludf.DUMMYFUNCTION("""COMPUTED_VALUE"""),"Enrolled")</f>
        <v>Enrolled</v>
      </c>
    </row>
    <row r="5889">
      <c r="A5889" s="6" t="str">
        <f>IFERROR(__xludf.DUMMYFUNCTION("""COMPUTED_VALUE"""),"088-11912")</f>
        <v>088-11912</v>
      </c>
      <c r="B5889" s="6" t="str">
        <f>IFERROR(__xludf.DUMMYFUNCTION("""COMPUTED_VALUE"""),"88")</f>
        <v>88</v>
      </c>
      <c r="C5889" s="6" t="str">
        <f>IFERROR(__xludf.DUMMYFUNCTION("""COMPUTED_VALUE"""),"11912")</f>
        <v>11912</v>
      </c>
      <c r="D5889" s="6" t="str">
        <f>IFERROR(__xludf.DUMMYFUNCTION("""COMPUTED_VALUE"""),"Jordan")</f>
        <v>Jordan</v>
      </c>
      <c r="E5889" s="6" t="str">
        <f>IFERROR(__xludf.DUMMYFUNCTION("""COMPUTED_VALUE"""),"")</f>
        <v/>
      </c>
      <c r="F5889" s="6" t="str">
        <f>IFERROR(__xludf.DUMMYFUNCTION("""COMPUTED_VALUE"""),"Jaequan")</f>
        <v>Jaequan</v>
      </c>
      <c r="G5889" s="6" t="str">
        <f>IFERROR(__xludf.DUMMYFUNCTION("""COMPUTED_VALUE"""),"04/14/2016")</f>
        <v>04/14/2016</v>
      </c>
      <c r="H5889" s="6" t="str">
        <f>IFERROR(__xludf.DUMMYFUNCTION("""COMPUTED_VALUE"""),"male")</f>
        <v>male</v>
      </c>
      <c r="I5889" s="6" t="str">
        <f>IFERROR(__xludf.DUMMYFUNCTION("""COMPUTED_VALUE"""),"Level 2")</f>
        <v>Level 2</v>
      </c>
      <c r="J5889" s="6" t="str">
        <f>IFERROR(__xludf.DUMMYFUNCTION("""COMPUTED_VALUE"""),"4")</f>
        <v>4</v>
      </c>
      <c r="K5889" s="6" t="str">
        <f>IFERROR(__xludf.DUMMYFUNCTION("""COMPUTED_VALUE"""),"jordan.jaequan@2hourlearning.com")</f>
        <v>jordan.jaequan@2hourlearning.com</v>
      </c>
      <c r="L5889" s="6" t="str">
        <f>IFERROR(__xludf.DUMMYFUNCTION("""COMPUTED_VALUE"""),"AFES - Allendale Fairfax Elementary School")</f>
        <v>AFES - Allendale Fairfax Elementary School</v>
      </c>
      <c r="M5889" s="6" t="str">
        <f>IFERROR(__xludf.DUMMYFUNCTION("""COMPUTED_VALUE"""),"")</f>
        <v/>
      </c>
      <c r="N5889" s="6" t="str">
        <f>IFERROR(__xludf.DUMMYFUNCTION("""COMPUTED_VALUE"""),"")</f>
        <v/>
      </c>
      <c r="O5889" s="87" t="str">
        <f>IFERROR(__xludf.DUMMYFUNCTION("""COMPUTED_VALUE"""),"https://drive.google.com/drive/folders/10T2cTQHqEJZqE-st6uFKPoI?usp=share_link")</f>
        <v>https://drive.google.com/drive/folders/10T2cTQHqEJZqE-st6uFKPoI?usp=share_link</v>
      </c>
      <c r="P5889" s="6" t="str">
        <f>IFERROR(__xludf.DUMMYFUNCTION("""COMPUTED_VALUE"""),"Jordan Jaequan")</f>
        <v>Jordan Jaequan</v>
      </c>
      <c r="Q5889" s="6" t="str">
        <f>IFERROR(__xludf.DUMMYFUNCTION("""COMPUTED_VALUE"""),"L2")</f>
        <v>L2</v>
      </c>
      <c r="R5889" s="6">
        <f>IFERROR(__xludf.DUMMYFUNCTION("""COMPUTED_VALUE"""),2.0)</f>
        <v>2</v>
      </c>
      <c r="S5889" s="6" t="str">
        <f>IFERROR(__xludf.DUMMYFUNCTION("""COMPUTED_VALUE"""),"Kimberly Ball")</f>
        <v>Kimberly Ball</v>
      </c>
      <c r="T5889" s="6" t="str">
        <f>IFERROR(__xludf.DUMMYFUNCTION("""COMPUTED_VALUE"""),"kimberly.ball@studient.com")</f>
        <v>kimberly.ball@studient.com</v>
      </c>
      <c r="U5889" s="6" t="str">
        <f>IFERROR(__xludf.DUMMYFUNCTION("""COMPUTED_VALUE"""),"4")</f>
        <v>4</v>
      </c>
      <c r="V5889" s="6" t="str">
        <f>IFERROR(__xludf.DUMMYFUNCTION("""COMPUTED_VALUE"""),"")</f>
        <v/>
      </c>
      <c r="W5889" s="6" t="str">
        <f>IFERROR(__xludf.DUMMYFUNCTION("""COMPUTED_VALUE"""),"[]")</f>
        <v>[]</v>
      </c>
      <c r="X5889" s="6" t="str">
        <f>IFERROR(__xludf.DUMMYFUNCTION("""COMPUTED_VALUE"""),"Enrolled")</f>
        <v>Enrolled</v>
      </c>
    </row>
    <row r="5890">
      <c r="A5890" s="6" t="str">
        <f>IFERROR(__xludf.DUMMYFUNCTION("""COMPUTED_VALUE"""),"088-11913")</f>
        <v>088-11913</v>
      </c>
      <c r="B5890" s="6" t="str">
        <f>IFERROR(__xludf.DUMMYFUNCTION("""COMPUTED_VALUE"""),"88")</f>
        <v>88</v>
      </c>
      <c r="C5890" s="6" t="str">
        <f>IFERROR(__xludf.DUMMYFUNCTION("""COMPUTED_VALUE"""),"11913")</f>
        <v>11913</v>
      </c>
      <c r="D5890" s="6" t="str">
        <f>IFERROR(__xludf.DUMMYFUNCTION("""COMPUTED_VALUE"""),"Lewis")</f>
        <v>Lewis</v>
      </c>
      <c r="E5890" s="6" t="str">
        <f>IFERROR(__xludf.DUMMYFUNCTION("""COMPUTED_VALUE"""),"")</f>
        <v/>
      </c>
      <c r="F5890" s="6" t="str">
        <f>IFERROR(__xludf.DUMMYFUNCTION("""COMPUTED_VALUE"""),"Braydon")</f>
        <v>Braydon</v>
      </c>
      <c r="G5890" s="6" t="str">
        <f>IFERROR(__xludf.DUMMYFUNCTION("""COMPUTED_VALUE"""),"09/10/2014")</f>
        <v>09/10/2014</v>
      </c>
      <c r="H5890" s="6" t="str">
        <f>IFERROR(__xludf.DUMMYFUNCTION("""COMPUTED_VALUE"""),"male")</f>
        <v>male</v>
      </c>
      <c r="I5890" s="6" t="str">
        <f>IFERROR(__xludf.DUMMYFUNCTION("""COMPUTED_VALUE"""),"Level 2")</f>
        <v>Level 2</v>
      </c>
      <c r="J5890" s="6" t="str">
        <f>IFERROR(__xludf.DUMMYFUNCTION("""COMPUTED_VALUE"""),"4")</f>
        <v>4</v>
      </c>
      <c r="K5890" s="6" t="str">
        <f>IFERROR(__xludf.DUMMYFUNCTION("""COMPUTED_VALUE"""),"lewis.braydon@2hourlearning.com")</f>
        <v>lewis.braydon@2hourlearning.com</v>
      </c>
      <c r="L5890" s="6" t="str">
        <f>IFERROR(__xludf.DUMMYFUNCTION("""COMPUTED_VALUE"""),"AFES - Allendale Fairfax Elementary School")</f>
        <v>AFES - Allendale Fairfax Elementary School</v>
      </c>
      <c r="M5890" s="6" t="str">
        <f>IFERROR(__xludf.DUMMYFUNCTION("""COMPUTED_VALUE"""),"")</f>
        <v/>
      </c>
      <c r="N5890" s="6" t="str">
        <f>IFERROR(__xludf.DUMMYFUNCTION("""COMPUTED_VALUE"""),"")</f>
        <v/>
      </c>
      <c r="O5890" s="87" t="str">
        <f>IFERROR(__xludf.DUMMYFUNCTION("""COMPUTED_VALUE"""),"https://drive.google.com/drive/folders/10T2cTQHqEJZqE-st6uFKPoI?usp=share_link")</f>
        <v>https://drive.google.com/drive/folders/10T2cTQHqEJZqE-st6uFKPoI?usp=share_link</v>
      </c>
      <c r="P5890" s="6" t="str">
        <f>IFERROR(__xludf.DUMMYFUNCTION("""COMPUTED_VALUE"""),"Lewis Braydon")</f>
        <v>Lewis Braydon</v>
      </c>
      <c r="Q5890" s="6" t="str">
        <f>IFERROR(__xludf.DUMMYFUNCTION("""COMPUTED_VALUE"""),"L2")</f>
        <v>L2</v>
      </c>
      <c r="R5890" s="6">
        <f>IFERROR(__xludf.DUMMYFUNCTION("""COMPUTED_VALUE"""),2.0)</f>
        <v>2</v>
      </c>
      <c r="S5890" s="6" t="str">
        <f>IFERROR(__xludf.DUMMYFUNCTION("""COMPUTED_VALUE"""),"Kimberly Ball")</f>
        <v>Kimberly Ball</v>
      </c>
      <c r="T5890" s="6" t="str">
        <f>IFERROR(__xludf.DUMMYFUNCTION("""COMPUTED_VALUE"""),"kimberly.ball@studient.com")</f>
        <v>kimberly.ball@studient.com</v>
      </c>
      <c r="U5890" s="6" t="str">
        <f>IFERROR(__xludf.DUMMYFUNCTION("""COMPUTED_VALUE"""),"4")</f>
        <v>4</v>
      </c>
      <c r="V5890" s="6" t="str">
        <f>IFERROR(__xludf.DUMMYFUNCTION("""COMPUTED_VALUE"""),"")</f>
        <v/>
      </c>
      <c r="W5890" s="6" t="str">
        <f>IFERROR(__xludf.DUMMYFUNCTION("""COMPUTED_VALUE"""),"[]")</f>
        <v>[]</v>
      </c>
      <c r="X5890" s="6" t="str">
        <f>IFERROR(__xludf.DUMMYFUNCTION("""COMPUTED_VALUE"""),"Enrolled")</f>
        <v>Enrolled</v>
      </c>
    </row>
    <row r="5891">
      <c r="A5891" s="6" t="str">
        <f>IFERROR(__xludf.DUMMYFUNCTION("""COMPUTED_VALUE"""),"088-11914")</f>
        <v>088-11914</v>
      </c>
      <c r="B5891" s="6" t="str">
        <f>IFERROR(__xludf.DUMMYFUNCTION("""COMPUTED_VALUE"""),"88")</f>
        <v>88</v>
      </c>
      <c r="C5891" s="6" t="str">
        <f>IFERROR(__xludf.DUMMYFUNCTION("""COMPUTED_VALUE"""),"11914")</f>
        <v>11914</v>
      </c>
      <c r="D5891" s="6" t="str">
        <f>IFERROR(__xludf.DUMMYFUNCTION("""COMPUTED_VALUE"""),"Peay")</f>
        <v>Peay</v>
      </c>
      <c r="E5891" s="6" t="str">
        <f>IFERROR(__xludf.DUMMYFUNCTION("""COMPUTED_VALUE"""),"")</f>
        <v/>
      </c>
      <c r="F5891" s="6" t="str">
        <f>IFERROR(__xludf.DUMMYFUNCTION("""COMPUTED_VALUE"""),"Jer'Riya")</f>
        <v>Jer'Riya</v>
      </c>
      <c r="G5891" s="6" t="str">
        <f>IFERROR(__xludf.DUMMYFUNCTION("""COMPUTED_VALUE"""),"12/09/2014")</f>
        <v>12/09/2014</v>
      </c>
      <c r="H5891" s="6" t="str">
        <f>IFERROR(__xludf.DUMMYFUNCTION("""COMPUTED_VALUE"""),"female")</f>
        <v>female</v>
      </c>
      <c r="I5891" s="6" t="str">
        <f>IFERROR(__xludf.DUMMYFUNCTION("""COMPUTED_VALUE"""),"Level 2")</f>
        <v>Level 2</v>
      </c>
      <c r="J5891" s="6" t="str">
        <f>IFERROR(__xludf.DUMMYFUNCTION("""COMPUTED_VALUE"""),"4")</f>
        <v>4</v>
      </c>
      <c r="K5891" s="6" t="str">
        <f>IFERROR(__xludf.DUMMYFUNCTION("""COMPUTED_VALUE"""),"peay.jerriya@2hourlearning.com")</f>
        <v>peay.jerriya@2hourlearning.com</v>
      </c>
      <c r="L5891" s="6" t="str">
        <f>IFERROR(__xludf.DUMMYFUNCTION("""COMPUTED_VALUE"""),"AFES - Allendale Fairfax Elementary School")</f>
        <v>AFES - Allendale Fairfax Elementary School</v>
      </c>
      <c r="M5891" s="6" t="str">
        <f>IFERROR(__xludf.DUMMYFUNCTION("""COMPUTED_VALUE"""),"")</f>
        <v/>
      </c>
      <c r="N5891" s="6" t="str">
        <f>IFERROR(__xludf.DUMMYFUNCTION("""COMPUTED_VALUE"""),"")</f>
        <v/>
      </c>
      <c r="O5891" s="87" t="str">
        <f>IFERROR(__xludf.DUMMYFUNCTION("""COMPUTED_VALUE"""),"https://drive.google.com/drive/folders/10T2cTQHqEJZqE-st6uFKPoI?usp=share_link")</f>
        <v>https://drive.google.com/drive/folders/10T2cTQHqEJZqE-st6uFKPoI?usp=share_link</v>
      </c>
      <c r="P5891" s="6" t="str">
        <f>IFERROR(__xludf.DUMMYFUNCTION("""COMPUTED_VALUE"""),"Peay Jer'Riya")</f>
        <v>Peay Jer'Riya</v>
      </c>
      <c r="Q5891" s="6" t="str">
        <f>IFERROR(__xludf.DUMMYFUNCTION("""COMPUTED_VALUE"""),"L2")</f>
        <v>L2</v>
      </c>
      <c r="R5891" s="6">
        <f>IFERROR(__xludf.DUMMYFUNCTION("""COMPUTED_VALUE"""),2.0)</f>
        <v>2</v>
      </c>
      <c r="S5891" s="6" t="str">
        <f>IFERROR(__xludf.DUMMYFUNCTION("""COMPUTED_VALUE"""),"Kimberly Ball")</f>
        <v>Kimberly Ball</v>
      </c>
      <c r="T5891" s="6" t="str">
        <f>IFERROR(__xludf.DUMMYFUNCTION("""COMPUTED_VALUE"""),"kimberly.ball@studient.com")</f>
        <v>kimberly.ball@studient.com</v>
      </c>
      <c r="U5891" s="6" t="str">
        <f>IFERROR(__xludf.DUMMYFUNCTION("""COMPUTED_VALUE"""),"4")</f>
        <v>4</v>
      </c>
      <c r="V5891" s="6" t="str">
        <f>IFERROR(__xludf.DUMMYFUNCTION("""COMPUTED_VALUE"""),"")</f>
        <v/>
      </c>
      <c r="W5891" s="6" t="str">
        <f>IFERROR(__xludf.DUMMYFUNCTION("""COMPUTED_VALUE"""),"[]")</f>
        <v>[]</v>
      </c>
      <c r="X5891" s="6" t="str">
        <f>IFERROR(__xludf.DUMMYFUNCTION("""COMPUTED_VALUE"""),"Enrolled")</f>
        <v>Enrolled</v>
      </c>
    </row>
    <row r="5892">
      <c r="A5892" s="6" t="str">
        <f>IFERROR(__xludf.DUMMYFUNCTION("""COMPUTED_VALUE"""),"088-11915")</f>
        <v>088-11915</v>
      </c>
      <c r="B5892" s="6" t="str">
        <f>IFERROR(__xludf.DUMMYFUNCTION("""COMPUTED_VALUE"""),"88")</f>
        <v>88</v>
      </c>
      <c r="C5892" s="6" t="str">
        <f>IFERROR(__xludf.DUMMYFUNCTION("""COMPUTED_VALUE"""),"11915")</f>
        <v>11915</v>
      </c>
      <c r="D5892" s="6" t="str">
        <f>IFERROR(__xludf.DUMMYFUNCTION("""COMPUTED_VALUE"""),"Taylor")</f>
        <v>Taylor</v>
      </c>
      <c r="E5892" s="6" t="str">
        <f>IFERROR(__xludf.DUMMYFUNCTION("""COMPUTED_VALUE"""),"")</f>
        <v/>
      </c>
      <c r="F5892" s="6" t="str">
        <f>IFERROR(__xludf.DUMMYFUNCTION("""COMPUTED_VALUE"""),"Noah")</f>
        <v>Noah</v>
      </c>
      <c r="G5892" s="6" t="str">
        <f>IFERROR(__xludf.DUMMYFUNCTION("""COMPUTED_VALUE"""),"08/11/2016")</f>
        <v>08/11/2016</v>
      </c>
      <c r="H5892" s="6" t="str">
        <f>IFERROR(__xludf.DUMMYFUNCTION("""COMPUTED_VALUE"""),"male")</f>
        <v>male</v>
      </c>
      <c r="I5892" s="6" t="str">
        <f>IFERROR(__xludf.DUMMYFUNCTION("""COMPUTED_VALUE"""),"Level 2")</f>
        <v>Level 2</v>
      </c>
      <c r="J5892" s="6" t="str">
        <f>IFERROR(__xludf.DUMMYFUNCTION("""COMPUTED_VALUE"""),"4")</f>
        <v>4</v>
      </c>
      <c r="K5892" s="6" t="str">
        <f>IFERROR(__xludf.DUMMYFUNCTION("""COMPUTED_VALUE"""),"taylor.noah@2hourlearning.com")</f>
        <v>taylor.noah@2hourlearning.com</v>
      </c>
      <c r="L5892" s="6" t="str">
        <f>IFERROR(__xludf.DUMMYFUNCTION("""COMPUTED_VALUE"""),"AFES - Allendale Fairfax Elementary School")</f>
        <v>AFES - Allendale Fairfax Elementary School</v>
      </c>
      <c r="M5892" s="6" t="str">
        <f>IFERROR(__xludf.DUMMYFUNCTION("""COMPUTED_VALUE"""),"")</f>
        <v/>
      </c>
      <c r="N5892" s="6" t="str">
        <f>IFERROR(__xludf.DUMMYFUNCTION("""COMPUTED_VALUE"""),"")</f>
        <v/>
      </c>
      <c r="O5892" s="87" t="str">
        <f>IFERROR(__xludf.DUMMYFUNCTION("""COMPUTED_VALUE"""),"https://drive.google.com/drive/folders/10T2cTQHqEJZqE-st6uFKPoI?usp=share_link")</f>
        <v>https://drive.google.com/drive/folders/10T2cTQHqEJZqE-st6uFKPoI?usp=share_link</v>
      </c>
      <c r="P5892" s="6" t="str">
        <f>IFERROR(__xludf.DUMMYFUNCTION("""COMPUTED_VALUE"""),"Taylor Noah")</f>
        <v>Taylor Noah</v>
      </c>
      <c r="Q5892" s="6" t="str">
        <f>IFERROR(__xludf.DUMMYFUNCTION("""COMPUTED_VALUE"""),"L2")</f>
        <v>L2</v>
      </c>
      <c r="R5892" s="6">
        <f>IFERROR(__xludf.DUMMYFUNCTION("""COMPUTED_VALUE"""),2.0)</f>
        <v>2</v>
      </c>
      <c r="S5892" s="6" t="str">
        <f>IFERROR(__xludf.DUMMYFUNCTION("""COMPUTED_VALUE"""),"Kimberly Ball")</f>
        <v>Kimberly Ball</v>
      </c>
      <c r="T5892" s="6" t="str">
        <f>IFERROR(__xludf.DUMMYFUNCTION("""COMPUTED_VALUE"""),"kimberly.ball@studient.com")</f>
        <v>kimberly.ball@studient.com</v>
      </c>
      <c r="U5892" s="6" t="str">
        <f>IFERROR(__xludf.DUMMYFUNCTION("""COMPUTED_VALUE"""),"4")</f>
        <v>4</v>
      </c>
      <c r="V5892" s="6" t="str">
        <f>IFERROR(__xludf.DUMMYFUNCTION("""COMPUTED_VALUE"""),"")</f>
        <v/>
      </c>
      <c r="W5892" s="6" t="str">
        <f>IFERROR(__xludf.DUMMYFUNCTION("""COMPUTED_VALUE"""),"[]")</f>
        <v>[]</v>
      </c>
      <c r="X5892" s="6" t="str">
        <f>IFERROR(__xludf.DUMMYFUNCTION("""COMPUTED_VALUE"""),"Enrolled")</f>
        <v>Enrolled</v>
      </c>
    </row>
    <row r="5893">
      <c r="A5893" s="6" t="str">
        <f>IFERROR(__xludf.DUMMYFUNCTION("""COMPUTED_VALUE"""),"088-11916")</f>
        <v>088-11916</v>
      </c>
      <c r="B5893" s="6" t="str">
        <f>IFERROR(__xludf.DUMMYFUNCTION("""COMPUTED_VALUE"""),"88")</f>
        <v>88</v>
      </c>
      <c r="C5893" s="6" t="str">
        <f>IFERROR(__xludf.DUMMYFUNCTION("""COMPUTED_VALUE"""),"11916")</f>
        <v>11916</v>
      </c>
      <c r="D5893" s="6" t="str">
        <f>IFERROR(__xludf.DUMMYFUNCTION("""COMPUTED_VALUE"""),"Thompson")</f>
        <v>Thompson</v>
      </c>
      <c r="E5893" s="6" t="str">
        <f>IFERROR(__xludf.DUMMYFUNCTION("""COMPUTED_VALUE"""),"")</f>
        <v/>
      </c>
      <c r="F5893" s="6" t="str">
        <f>IFERROR(__xludf.DUMMYFUNCTION("""COMPUTED_VALUE"""),"Jeremiah")</f>
        <v>Jeremiah</v>
      </c>
      <c r="G5893" s="6" t="str">
        <f>IFERROR(__xludf.DUMMYFUNCTION("""COMPUTED_VALUE"""),"06/08/2016")</f>
        <v>06/08/2016</v>
      </c>
      <c r="H5893" s="6" t="str">
        <f>IFERROR(__xludf.DUMMYFUNCTION("""COMPUTED_VALUE"""),"male")</f>
        <v>male</v>
      </c>
      <c r="I5893" s="6" t="str">
        <f>IFERROR(__xludf.DUMMYFUNCTION("""COMPUTED_VALUE"""),"Level 2")</f>
        <v>Level 2</v>
      </c>
      <c r="J5893" s="6" t="str">
        <f>IFERROR(__xludf.DUMMYFUNCTION("""COMPUTED_VALUE"""),"4")</f>
        <v>4</v>
      </c>
      <c r="K5893" s="6" t="str">
        <f>IFERROR(__xludf.DUMMYFUNCTION("""COMPUTED_VALUE"""),"thompson.jeremiah@2hourlearning.com")</f>
        <v>thompson.jeremiah@2hourlearning.com</v>
      </c>
      <c r="L5893" s="6" t="str">
        <f>IFERROR(__xludf.DUMMYFUNCTION("""COMPUTED_VALUE"""),"AFES - Allendale Fairfax Elementary School")</f>
        <v>AFES - Allendale Fairfax Elementary School</v>
      </c>
      <c r="M5893" s="6" t="str">
        <f>IFERROR(__xludf.DUMMYFUNCTION("""COMPUTED_VALUE"""),"")</f>
        <v/>
      </c>
      <c r="N5893" s="6" t="str">
        <f>IFERROR(__xludf.DUMMYFUNCTION("""COMPUTED_VALUE"""),"")</f>
        <v/>
      </c>
      <c r="O5893" s="87" t="str">
        <f>IFERROR(__xludf.DUMMYFUNCTION("""COMPUTED_VALUE"""),"https://drive.google.com/drive/folders/10T2cTQHqEJZqE-st6uFKPoI?usp=share_link")</f>
        <v>https://drive.google.com/drive/folders/10T2cTQHqEJZqE-st6uFKPoI?usp=share_link</v>
      </c>
      <c r="P5893" s="6" t="str">
        <f>IFERROR(__xludf.DUMMYFUNCTION("""COMPUTED_VALUE"""),"Thompson Jeremiah")</f>
        <v>Thompson Jeremiah</v>
      </c>
      <c r="Q5893" s="6" t="str">
        <f>IFERROR(__xludf.DUMMYFUNCTION("""COMPUTED_VALUE"""),"L2")</f>
        <v>L2</v>
      </c>
      <c r="R5893" s="6">
        <f>IFERROR(__xludf.DUMMYFUNCTION("""COMPUTED_VALUE"""),2.0)</f>
        <v>2</v>
      </c>
      <c r="S5893" s="6" t="str">
        <f>IFERROR(__xludf.DUMMYFUNCTION("""COMPUTED_VALUE"""),"Kimberly Ball")</f>
        <v>Kimberly Ball</v>
      </c>
      <c r="T5893" s="6" t="str">
        <f>IFERROR(__xludf.DUMMYFUNCTION("""COMPUTED_VALUE"""),"kimberly.ball@studient.com")</f>
        <v>kimberly.ball@studient.com</v>
      </c>
      <c r="U5893" s="6" t="str">
        <f>IFERROR(__xludf.DUMMYFUNCTION("""COMPUTED_VALUE"""),"4")</f>
        <v>4</v>
      </c>
      <c r="V5893" s="6" t="str">
        <f>IFERROR(__xludf.DUMMYFUNCTION("""COMPUTED_VALUE"""),"")</f>
        <v/>
      </c>
      <c r="W5893" s="6" t="str">
        <f>IFERROR(__xludf.DUMMYFUNCTION("""COMPUTED_VALUE"""),"[]")</f>
        <v>[]</v>
      </c>
      <c r="X5893" s="6" t="str">
        <f>IFERROR(__xludf.DUMMYFUNCTION("""COMPUTED_VALUE"""),"Enrolled")</f>
        <v>Enrolled</v>
      </c>
    </row>
    <row r="5894">
      <c r="A5894" s="6" t="str">
        <f>IFERROR(__xludf.DUMMYFUNCTION("""COMPUTED_VALUE"""),"088-11917")</f>
        <v>088-11917</v>
      </c>
      <c r="B5894" s="6" t="str">
        <f>IFERROR(__xludf.DUMMYFUNCTION("""COMPUTED_VALUE"""),"88")</f>
        <v>88</v>
      </c>
      <c r="C5894" s="6" t="str">
        <f>IFERROR(__xludf.DUMMYFUNCTION("""COMPUTED_VALUE"""),"11917")</f>
        <v>11917</v>
      </c>
      <c r="D5894" s="6" t="str">
        <f>IFERROR(__xludf.DUMMYFUNCTION("""COMPUTED_VALUE"""),"Walls")</f>
        <v>Walls</v>
      </c>
      <c r="E5894" s="6" t="str">
        <f>IFERROR(__xludf.DUMMYFUNCTION("""COMPUTED_VALUE"""),"")</f>
        <v/>
      </c>
      <c r="F5894" s="6" t="str">
        <f>IFERROR(__xludf.DUMMYFUNCTION("""COMPUTED_VALUE"""),"Wyatt")</f>
        <v>Wyatt</v>
      </c>
      <c r="G5894" s="6" t="str">
        <f>IFERROR(__xludf.DUMMYFUNCTION("""COMPUTED_VALUE"""),"07/31/2016")</f>
        <v>07/31/2016</v>
      </c>
      <c r="H5894" s="6" t="str">
        <f>IFERROR(__xludf.DUMMYFUNCTION("""COMPUTED_VALUE"""),"male")</f>
        <v>male</v>
      </c>
      <c r="I5894" s="6" t="str">
        <f>IFERROR(__xludf.DUMMYFUNCTION("""COMPUTED_VALUE"""),"Level 2")</f>
        <v>Level 2</v>
      </c>
      <c r="J5894" s="6" t="str">
        <f>IFERROR(__xludf.DUMMYFUNCTION("""COMPUTED_VALUE"""),"4")</f>
        <v>4</v>
      </c>
      <c r="K5894" s="6" t="str">
        <f>IFERROR(__xludf.DUMMYFUNCTION("""COMPUTED_VALUE"""),"walls.wyatt@2hourlearning.com")</f>
        <v>walls.wyatt@2hourlearning.com</v>
      </c>
      <c r="L5894" s="6" t="str">
        <f>IFERROR(__xludf.DUMMYFUNCTION("""COMPUTED_VALUE"""),"AFES - Allendale Fairfax Elementary School")</f>
        <v>AFES - Allendale Fairfax Elementary School</v>
      </c>
      <c r="M5894" s="6" t="str">
        <f>IFERROR(__xludf.DUMMYFUNCTION("""COMPUTED_VALUE"""),"")</f>
        <v/>
      </c>
      <c r="N5894" s="6" t="str">
        <f>IFERROR(__xludf.DUMMYFUNCTION("""COMPUTED_VALUE"""),"")</f>
        <v/>
      </c>
      <c r="O5894" s="87" t="str">
        <f>IFERROR(__xludf.DUMMYFUNCTION("""COMPUTED_VALUE"""),"https://drive.google.com/drive/folders/10T2cTQHqEJZqE-st6uFKPoI?usp=share_link")</f>
        <v>https://drive.google.com/drive/folders/10T2cTQHqEJZqE-st6uFKPoI?usp=share_link</v>
      </c>
      <c r="P5894" s="6" t="str">
        <f>IFERROR(__xludf.DUMMYFUNCTION("""COMPUTED_VALUE"""),"Walls Wyatt")</f>
        <v>Walls Wyatt</v>
      </c>
      <c r="Q5894" s="6" t="str">
        <f>IFERROR(__xludf.DUMMYFUNCTION("""COMPUTED_VALUE"""),"L2")</f>
        <v>L2</v>
      </c>
      <c r="R5894" s="6">
        <f>IFERROR(__xludf.DUMMYFUNCTION("""COMPUTED_VALUE"""),2.0)</f>
        <v>2</v>
      </c>
      <c r="S5894" s="6" t="str">
        <f>IFERROR(__xludf.DUMMYFUNCTION("""COMPUTED_VALUE"""),"Kimberly Ball")</f>
        <v>Kimberly Ball</v>
      </c>
      <c r="T5894" s="6" t="str">
        <f>IFERROR(__xludf.DUMMYFUNCTION("""COMPUTED_VALUE"""),"kimberly.ball@studient.com")</f>
        <v>kimberly.ball@studient.com</v>
      </c>
      <c r="U5894" s="6" t="str">
        <f>IFERROR(__xludf.DUMMYFUNCTION("""COMPUTED_VALUE"""),"4")</f>
        <v>4</v>
      </c>
      <c r="V5894" s="6" t="str">
        <f>IFERROR(__xludf.DUMMYFUNCTION("""COMPUTED_VALUE"""),"")</f>
        <v/>
      </c>
      <c r="W5894" s="6" t="str">
        <f>IFERROR(__xludf.DUMMYFUNCTION("""COMPUTED_VALUE"""),"[]")</f>
        <v>[]</v>
      </c>
      <c r="X5894" s="6" t="str">
        <f>IFERROR(__xludf.DUMMYFUNCTION("""COMPUTED_VALUE"""),"Enrolled")</f>
        <v>Enrolled</v>
      </c>
    </row>
    <row r="5895">
      <c r="A5895" s="6" t="str">
        <f>IFERROR(__xludf.DUMMYFUNCTION("""COMPUTED_VALUE"""),"105-1290")</f>
        <v>105-1290</v>
      </c>
      <c r="B5895" s="6" t="str">
        <f>IFERROR(__xludf.DUMMYFUNCTION("""COMPUTED_VALUE"""),"105")</f>
        <v>105</v>
      </c>
      <c r="C5895" s="6" t="str">
        <f>IFERROR(__xludf.DUMMYFUNCTION("""COMPUTED_VALUE"""),"1290")</f>
        <v>1290</v>
      </c>
      <c r="D5895" s="6" t="str">
        <f>IFERROR(__xludf.DUMMYFUNCTION("""COMPUTED_VALUE"""),"Student")</f>
        <v>Student</v>
      </c>
      <c r="E5895" s="6" t="str">
        <f>IFERROR(__xludf.DUMMYFUNCTION("""COMPUTED_VALUE"""),"")</f>
        <v/>
      </c>
      <c r="F5895" s="6" t="str">
        <f>IFERROR(__xludf.DUMMYFUNCTION("""COMPUTED_VALUE"""),"Acton")</f>
        <v>Acton</v>
      </c>
      <c r="G5895" s="6" t="str">
        <f>IFERROR(__xludf.DUMMYFUNCTION("""COMPUTED_VALUE"""),"04/21/2014")</f>
        <v>04/21/2014</v>
      </c>
      <c r="H5895" s="6" t="str">
        <f>IFERROR(__xludf.DUMMYFUNCTION("""COMPUTED_VALUE"""),"F")</f>
        <v>F</v>
      </c>
      <c r="I5895" s="6" t="str">
        <f>IFERROR(__xludf.DUMMYFUNCTION("""COMPUTED_VALUE"""),"Middle School")</f>
        <v>Middle School</v>
      </c>
      <c r="J5895" s="6" t="str">
        <f>IFERROR(__xludf.DUMMYFUNCTION("""COMPUTED_VALUE"""),"7")</f>
        <v>7</v>
      </c>
      <c r="K5895" s="6" t="str">
        <f>IFERROR(__xludf.DUMMYFUNCTION("""COMPUTED_VALUE"""),"student.acton@esports.school")</f>
        <v>student.acton@esports.school</v>
      </c>
      <c r="L5895" s="6" t="str">
        <f>IFERROR(__xludf.DUMMYFUNCTION("""COMPUTED_VALUE"""),"Acton Academy West Austin")</f>
        <v>Acton Academy West Austin</v>
      </c>
      <c r="M5895" s="6" t="str">
        <f>IFERROR(__xludf.DUMMYFUNCTION("""COMPUTED_VALUE"""),"speedrun")</f>
        <v>speedrun</v>
      </c>
      <c r="N5895" s="6" t="str">
        <f>IFERROR(__xludf.DUMMYFUNCTION("""COMPUTED_VALUE"""),"")</f>
        <v/>
      </c>
      <c r="O5895" s="87" t="str">
        <f>IFERROR(__xludf.DUMMYFUNCTION("""COMPUTED_VALUE"""),"https://drive.google.com/drive/folders/10T2cTQHqEJZqE-st6uFKPoI?usp=share_link")</f>
        <v>https://drive.google.com/drive/folders/10T2cTQHqEJZqE-st6uFKPoI?usp=share_link</v>
      </c>
      <c r="P5895" s="6" t="str">
        <f>IFERROR(__xludf.DUMMYFUNCTION("""COMPUTED_VALUE"""),"Student Acton")</f>
        <v>Student Acton</v>
      </c>
      <c r="Q5895" s="6" t="str">
        <f>IFERROR(__xludf.DUMMYFUNCTION("""COMPUTED_VALUE"""),"MS")</f>
        <v>MS</v>
      </c>
      <c r="R5895" s="6">
        <f>IFERROR(__xludf.DUMMYFUNCTION("""COMPUTED_VALUE"""),0.0)</f>
        <v>0</v>
      </c>
      <c r="S5895" s="6" t="str">
        <f>IFERROR(__xludf.DUMMYFUNCTION("""COMPUTED_VALUE"""),"Chetan Verma")</f>
        <v>Chetan Verma</v>
      </c>
      <c r="T5895" s="6" t="str">
        <f>IFERROR(__xludf.DUMMYFUNCTION("""COMPUTED_VALUE"""),"chetan.verma@trilogy.com")</f>
        <v>chetan.verma@trilogy.com</v>
      </c>
      <c r="U5895" s="6" t="str">
        <f>IFERROR(__xludf.DUMMYFUNCTION("""COMPUTED_VALUE"""),"7")</f>
        <v>7</v>
      </c>
      <c r="V5895" s="6" t="str">
        <f>IFERROR(__xludf.DUMMYFUNCTION("""COMPUTED_VALUE"""),"English")</f>
        <v>English</v>
      </c>
      <c r="W5895" s="6" t="str">
        <f>IFERROR(__xludf.DUMMYFUNCTION("""COMPUTED_VALUE"""),"[]")</f>
        <v>[]</v>
      </c>
      <c r="X5895" s="6" t="str">
        <f>IFERROR(__xludf.DUMMYFUNCTION("""COMPUTED_VALUE"""),"Enrolled")</f>
        <v>Enrolled</v>
      </c>
    </row>
    <row r="5896">
      <c r="A5896" s="6" t="str">
        <f>IFERROR(__xludf.DUMMYFUNCTION("""COMPUTED_VALUE"""),"132-1266")</f>
        <v>132-1266</v>
      </c>
      <c r="B5896" s="6" t="str">
        <f>IFERROR(__xludf.DUMMYFUNCTION("""COMPUTED_VALUE"""),"132")</f>
        <v>132</v>
      </c>
      <c r="C5896" s="6" t="str">
        <f>IFERROR(__xludf.DUMMYFUNCTION("""COMPUTED_VALUE"""),"1266")</f>
        <v>1266</v>
      </c>
      <c r="D5896" s="6" t="str">
        <f>IFERROR(__xludf.DUMMYFUNCTION("""COMPUTED_VALUE"""),"Student")</f>
        <v>Student</v>
      </c>
      <c r="E5896" s="6" t="str">
        <f>IFERROR(__xludf.DUMMYFUNCTION("""COMPUTED_VALUE"""),"")</f>
        <v/>
      </c>
      <c r="F5896" s="6" t="str">
        <f>IFERROR(__xludf.DUMMYFUNCTION("""COMPUTED_VALUE"""),"German")</f>
        <v>German</v>
      </c>
      <c r="G5896" s="6" t="str">
        <f>IFERROR(__xludf.DUMMYFUNCTION("""COMPUTED_VALUE"""),"04/21/2012")</f>
        <v>04/21/2012</v>
      </c>
      <c r="H5896" s="6" t="str">
        <f>IFERROR(__xludf.DUMMYFUNCTION("""COMPUTED_VALUE"""),"F")</f>
        <v>F</v>
      </c>
      <c r="I5896" s="6" t="str">
        <f>IFERROR(__xludf.DUMMYFUNCTION("""COMPUTED_VALUE"""),"Middle School")</f>
        <v>Middle School</v>
      </c>
      <c r="J5896" s="6" t="str">
        <f>IFERROR(__xludf.DUMMYFUNCTION("""COMPUTED_VALUE"""),"7")</f>
        <v>7</v>
      </c>
      <c r="K5896" s="6" t="str">
        <f>IFERROR(__xludf.DUMMYFUNCTION("""COMPUTED_VALUE"""),"student.german@esports.school")</f>
        <v>student.german@esports.school</v>
      </c>
      <c r="L5896" s="6" t="str">
        <f>IFERROR(__xludf.DUMMYFUNCTION("""COMPUTED_VALUE"""),"German - Texan Heritage Society")</f>
        <v>German - Texan Heritage Society</v>
      </c>
      <c r="M5896" s="6" t="str">
        <f>IFERROR(__xludf.DUMMYFUNCTION("""COMPUTED_VALUE"""),"speedrun")</f>
        <v>speedrun</v>
      </c>
      <c r="N5896" s="6" t="str">
        <f>IFERROR(__xludf.DUMMYFUNCTION("""COMPUTED_VALUE"""),"")</f>
        <v/>
      </c>
      <c r="O5896" s="87" t="str">
        <f>IFERROR(__xludf.DUMMYFUNCTION("""COMPUTED_VALUE"""),"https://drive.google.com/drive/folders/10T2cTQHqEJZqE-st6uFKPoI?usp=share_link")</f>
        <v>https://drive.google.com/drive/folders/10T2cTQHqEJZqE-st6uFKPoI?usp=share_link</v>
      </c>
      <c r="P5896" s="6" t="str">
        <f>IFERROR(__xludf.DUMMYFUNCTION("""COMPUTED_VALUE"""),"Student German")</f>
        <v>Student German</v>
      </c>
      <c r="Q5896" s="6" t="str">
        <f>IFERROR(__xludf.DUMMYFUNCTION("""COMPUTED_VALUE"""),"MS")</f>
        <v>MS</v>
      </c>
      <c r="R5896" s="6">
        <f>IFERROR(__xludf.DUMMYFUNCTION("""COMPUTED_VALUE"""),0.0)</f>
        <v>0</v>
      </c>
      <c r="S5896" s="6" t="str">
        <f>IFERROR(__xludf.DUMMYFUNCTION("""COMPUTED_VALUE""")," ")</f>
        <v> </v>
      </c>
      <c r="T5896" s="6" t="str">
        <f>IFERROR(__xludf.DUMMYFUNCTION("""COMPUTED_VALUE"""),"")</f>
        <v/>
      </c>
      <c r="U5896" s="6" t="str">
        <f>IFERROR(__xludf.DUMMYFUNCTION("""COMPUTED_VALUE"""),"7")</f>
        <v>7</v>
      </c>
      <c r="V5896" s="6" t="str">
        <f>IFERROR(__xludf.DUMMYFUNCTION("""COMPUTED_VALUE"""),"English")</f>
        <v>English</v>
      </c>
      <c r="W5896" s="6" t="str">
        <f>IFERROR(__xludf.DUMMYFUNCTION("""COMPUTED_VALUE"""),"[]")</f>
        <v>[]</v>
      </c>
      <c r="X5896" s="6" t="str">
        <f>IFERROR(__xludf.DUMMYFUNCTION("""COMPUTED_VALUE"""),"Enrolled")</f>
        <v>Enrolled</v>
      </c>
    </row>
    <row r="5897">
      <c r="A5897" s="6" t="str">
        <f>IFERROR(__xludf.DUMMYFUNCTION("""COMPUTED_VALUE"""),"160-1289")</f>
        <v>160-1289</v>
      </c>
      <c r="B5897" s="6" t="str">
        <f>IFERROR(__xludf.DUMMYFUNCTION("""COMPUTED_VALUE"""),"160")</f>
        <v>160</v>
      </c>
      <c r="C5897" s="6" t="str">
        <f>IFERROR(__xludf.DUMMYFUNCTION("""COMPUTED_VALUE"""),"1289")</f>
        <v>1289</v>
      </c>
      <c r="D5897" s="6" t="str">
        <f>IFERROR(__xludf.DUMMYFUNCTION("""COMPUTED_VALUE"""),"Student")</f>
        <v>Student</v>
      </c>
      <c r="E5897" s="6" t="str">
        <f>IFERROR(__xludf.DUMMYFUNCTION("""COMPUTED_VALUE"""),"")</f>
        <v/>
      </c>
      <c r="F5897" s="6" t="str">
        <f>IFERROR(__xludf.DUMMYFUNCTION("""COMPUTED_VALUE"""),"Hills")</f>
        <v>Hills</v>
      </c>
      <c r="G5897" s="6" t="str">
        <f>IFERROR(__xludf.DUMMYFUNCTION("""COMPUTED_VALUE"""),"04/05/2013")</f>
        <v>04/05/2013</v>
      </c>
      <c r="H5897" s="6" t="str">
        <f>IFERROR(__xludf.DUMMYFUNCTION("""COMPUTED_VALUE"""),"F")</f>
        <v>F</v>
      </c>
      <c r="I5897" s="6" t="str">
        <f>IFERROR(__xludf.DUMMYFUNCTION("""COMPUTED_VALUE"""),"Middle School")</f>
        <v>Middle School</v>
      </c>
      <c r="J5897" s="6" t="str">
        <f>IFERROR(__xludf.DUMMYFUNCTION("""COMPUTED_VALUE"""),"7")</f>
        <v>7</v>
      </c>
      <c r="K5897" s="6" t="str">
        <f>IFERROR(__xludf.DUMMYFUNCTION("""COMPUTED_VALUE"""),"student.hills@esports.school")</f>
        <v>student.hills@esports.school</v>
      </c>
      <c r="L5897" s="6" t="str">
        <f>IFERROR(__xludf.DUMMYFUNCTION("""COMPUTED_VALUE"""),"School In The Hills")</f>
        <v>School In The Hills</v>
      </c>
      <c r="M5897" s="6" t="str">
        <f>IFERROR(__xludf.DUMMYFUNCTION("""COMPUTED_VALUE"""),"speedrun")</f>
        <v>speedrun</v>
      </c>
      <c r="N5897" s="6" t="str">
        <f>IFERROR(__xludf.DUMMYFUNCTION("""COMPUTED_VALUE"""),"")</f>
        <v/>
      </c>
      <c r="O5897" s="87" t="str">
        <f>IFERROR(__xludf.DUMMYFUNCTION("""COMPUTED_VALUE"""),"https://drive.google.com/drive/folders/10T2cTQHqEJZqE-st6uFKPoI?usp=share_link")</f>
        <v>https://drive.google.com/drive/folders/10T2cTQHqEJZqE-st6uFKPoI?usp=share_link</v>
      </c>
      <c r="P5897" s="6" t="str">
        <f>IFERROR(__xludf.DUMMYFUNCTION("""COMPUTED_VALUE"""),"Student Hills")</f>
        <v>Student Hills</v>
      </c>
      <c r="Q5897" s="6" t="str">
        <f>IFERROR(__xludf.DUMMYFUNCTION("""COMPUTED_VALUE"""),"MS")</f>
        <v>MS</v>
      </c>
      <c r="R5897" s="6">
        <f>IFERROR(__xludf.DUMMYFUNCTION("""COMPUTED_VALUE"""),0.0)</f>
        <v>0</v>
      </c>
      <c r="S5897" s="6" t="str">
        <f>IFERROR(__xludf.DUMMYFUNCTION("""COMPUTED_VALUE""")," ")</f>
        <v> </v>
      </c>
      <c r="T5897" s="6" t="str">
        <f>IFERROR(__xludf.DUMMYFUNCTION("""COMPUTED_VALUE"""),"")</f>
        <v/>
      </c>
      <c r="U5897" s="6" t="str">
        <f>IFERROR(__xludf.DUMMYFUNCTION("""COMPUTED_VALUE"""),"7")</f>
        <v>7</v>
      </c>
      <c r="V5897" s="6" t="str">
        <f>IFERROR(__xludf.DUMMYFUNCTION("""COMPUTED_VALUE"""),"English")</f>
        <v>English</v>
      </c>
      <c r="W5897" s="6" t="str">
        <f>IFERROR(__xludf.DUMMYFUNCTION("""COMPUTED_VALUE"""),"[]")</f>
        <v>[]</v>
      </c>
      <c r="X5897" s="6" t="str">
        <f>IFERROR(__xludf.DUMMYFUNCTION("""COMPUTED_VALUE"""),"Enrolled")</f>
        <v>Enrolled</v>
      </c>
    </row>
    <row r="5898">
      <c r="A5898" s="6" t="str">
        <f>IFERROR(__xludf.DUMMYFUNCTION("""COMPUTED_VALUE"""),"179-1259")</f>
        <v>179-1259</v>
      </c>
      <c r="B5898" s="6" t="str">
        <f>IFERROR(__xludf.DUMMYFUNCTION("""COMPUTED_VALUE"""),"179")</f>
        <v>179</v>
      </c>
      <c r="C5898" s="6" t="str">
        <f>IFERROR(__xludf.DUMMYFUNCTION("""COMPUTED_VALUE"""),"1259")</f>
        <v>1259</v>
      </c>
      <c r="D5898" s="6" t="str">
        <f>IFERROR(__xludf.DUMMYFUNCTION("""COMPUTED_VALUE"""),"Thiago")</f>
        <v>Thiago</v>
      </c>
      <c r="E5898" s="6" t="str">
        <f>IFERROR(__xludf.DUMMYFUNCTION("""COMPUTED_VALUE"""),"")</f>
        <v/>
      </c>
      <c r="F5898" s="6" t="str">
        <f>IFERROR(__xludf.DUMMYFUNCTION("""COMPUTED_VALUE"""),"Magellan")</f>
        <v>Magellan</v>
      </c>
      <c r="G5898" s="6" t="str">
        <f>IFERROR(__xludf.DUMMYFUNCTION("""COMPUTED_VALUE"""),"01/01/2010")</f>
        <v>01/01/2010</v>
      </c>
      <c r="H5898" s="6" t="str">
        <f>IFERROR(__xludf.DUMMYFUNCTION("""COMPUTED_VALUE"""),"M")</f>
        <v>M</v>
      </c>
      <c r="I5898" s="6" t="str">
        <f>IFERROR(__xludf.DUMMYFUNCTION("""COMPUTED_VALUE"""),"Middle School")</f>
        <v>Middle School</v>
      </c>
      <c r="J5898" s="6" t="str">
        <f>IFERROR(__xludf.DUMMYFUNCTION("""COMPUTED_VALUE"""),"7")</f>
        <v>7</v>
      </c>
      <c r="K5898" s="6" t="str">
        <f>IFERROR(__xludf.DUMMYFUNCTION("""COMPUTED_VALUE"""),"thiago.magellan@esports.school")</f>
        <v>thiago.magellan@esports.school</v>
      </c>
      <c r="L5898" s="6" t="str">
        <f>IFERROR(__xludf.DUMMYFUNCTION("""COMPUTED_VALUE"""),"The Magellan International School")</f>
        <v>The Magellan International School</v>
      </c>
      <c r="M5898" s="6" t="str">
        <f>IFERROR(__xludf.DUMMYFUNCTION("""COMPUTED_VALUE"""),"speedrun")</f>
        <v>speedrun</v>
      </c>
      <c r="N5898" s="6" t="str">
        <f>IFERROR(__xludf.DUMMYFUNCTION("""COMPUTED_VALUE"""),"")</f>
        <v/>
      </c>
      <c r="O5898" s="87" t="str">
        <f>IFERROR(__xludf.DUMMYFUNCTION("""COMPUTED_VALUE"""),"https://drive.google.com/drive/folders/10T2cTQHqEJZqE-st6uFKPoI?usp=share_link")</f>
        <v>https://drive.google.com/drive/folders/10T2cTQHqEJZqE-st6uFKPoI?usp=share_link</v>
      </c>
      <c r="P5898" s="6" t="str">
        <f>IFERROR(__xludf.DUMMYFUNCTION("""COMPUTED_VALUE"""),"Thiago Magellan")</f>
        <v>Thiago Magellan</v>
      </c>
      <c r="Q5898" s="6" t="str">
        <f>IFERROR(__xludf.DUMMYFUNCTION("""COMPUTED_VALUE"""),"MS")</f>
        <v>MS</v>
      </c>
      <c r="R5898" s="6">
        <f>IFERROR(__xludf.DUMMYFUNCTION("""COMPUTED_VALUE"""),0.0)</f>
        <v>0</v>
      </c>
      <c r="S5898" s="6" t="str">
        <f>IFERROR(__xludf.DUMMYFUNCTION("""COMPUTED_VALUE""")," ")</f>
        <v> </v>
      </c>
      <c r="T5898" s="6" t="str">
        <f>IFERROR(__xludf.DUMMYFUNCTION("""COMPUTED_VALUE"""),"")</f>
        <v/>
      </c>
      <c r="U5898" s="6" t="str">
        <f>IFERROR(__xludf.DUMMYFUNCTION("""COMPUTED_VALUE"""),"7")</f>
        <v>7</v>
      </c>
      <c r="V5898" s="6" t="str">
        <f>IFERROR(__xludf.DUMMYFUNCTION("""COMPUTED_VALUE"""),"English")</f>
        <v>English</v>
      </c>
      <c r="W5898" s="6" t="str">
        <f>IFERROR(__xludf.DUMMYFUNCTION("""COMPUTED_VALUE"""),"[]")</f>
        <v>[]</v>
      </c>
      <c r="X5898" s="6" t="str">
        <f>IFERROR(__xludf.DUMMYFUNCTION("""COMPUTED_VALUE"""),"Enrolled")</f>
        <v>Enrolled</v>
      </c>
    </row>
    <row r="5899">
      <c r="A5899" s="6" t="str">
        <f>IFERROR(__xludf.DUMMYFUNCTION("""COMPUTED_VALUE"""),"192-0669")</f>
        <v>192-0669</v>
      </c>
      <c r="B5899" s="6" t="str">
        <f>IFERROR(__xludf.DUMMYFUNCTION("""COMPUTED_VALUE"""),"192")</f>
        <v>192</v>
      </c>
      <c r="C5899" s="6" t="str">
        <f>IFERROR(__xludf.DUMMYFUNCTION("""COMPUTED_VALUE"""),"0669")</f>
        <v>0669</v>
      </c>
      <c r="D5899" s="6" t="str">
        <f>IFERROR(__xludf.DUMMYFUNCTION("""COMPUTED_VALUE"""),"Athena")</f>
        <v>Athena</v>
      </c>
      <c r="E5899" s="6" t="str">
        <f>IFERROR(__xludf.DUMMYFUNCTION("""COMPUTED_VALUE"""),"")</f>
        <v/>
      </c>
      <c r="F5899" s="6" t="str">
        <f>IFERROR(__xludf.DUMMYFUNCTION("""COMPUTED_VALUE"""),"Lonsdale")</f>
        <v>Lonsdale</v>
      </c>
      <c r="G5899" s="6" t="str">
        <f>IFERROR(__xludf.DUMMYFUNCTION("""COMPUTED_VALUE"""),"03/31/2017")</f>
        <v>03/31/2017</v>
      </c>
      <c r="H5899" s="6" t="str">
        <f>IFERROR(__xludf.DUMMYFUNCTION("""COMPUTED_VALUE"""),"F")</f>
        <v>F</v>
      </c>
      <c r="I5899" s="6" t="str">
        <f>IFERROR(__xludf.DUMMYFUNCTION("""COMPUTED_VALUE"""),"Level 1")</f>
        <v>Level 1</v>
      </c>
      <c r="J5899" s="6" t="str">
        <f>IFERROR(__xludf.DUMMYFUNCTION("""COMPUTED_VALUE"""),"2")</f>
        <v>2</v>
      </c>
      <c r="K5899" s="6" t="str">
        <f>IFERROR(__xludf.DUMMYFUNCTION("""COMPUTED_VALUE"""),"athena.lonsdale@havruta.school")</f>
        <v>athena.lonsdale@havruta.school</v>
      </c>
      <c r="L5899" s="6" t="str">
        <f>IFERROR(__xludf.DUMMYFUNCTION("""COMPUTED_VALUE"""),"Havruta Learning Pod: Austin TX")</f>
        <v>Havruta Learning Pod: Austin TX</v>
      </c>
      <c r="M5899" s="6" t="str">
        <f>IFERROR(__xludf.DUMMYFUNCTION("""COMPUTED_VALUE"""),"")</f>
        <v/>
      </c>
      <c r="N5899" s="6" t="str">
        <f>IFERROR(__xludf.DUMMYFUNCTION("""COMPUTED_VALUE"""),"")</f>
        <v/>
      </c>
      <c r="O5899" s="87" t="str">
        <f>IFERROR(__xludf.DUMMYFUNCTION("""COMPUTED_VALUE"""),"https://drive.google.com/drive/folders/10T2cTQHqEJZqE-st6uFKPoI?usp=share_link")</f>
        <v>https://drive.google.com/drive/folders/10T2cTQHqEJZqE-st6uFKPoI?usp=share_link</v>
      </c>
      <c r="P5899" s="6" t="str">
        <f>IFERROR(__xludf.DUMMYFUNCTION("""COMPUTED_VALUE"""),"Athena Lonsdale")</f>
        <v>Athena Lonsdale</v>
      </c>
      <c r="Q5899" s="6" t="str">
        <f>IFERROR(__xludf.DUMMYFUNCTION("""COMPUTED_VALUE"""),"L1")</f>
        <v>L1</v>
      </c>
      <c r="R5899" s="6">
        <f>IFERROR(__xludf.DUMMYFUNCTION("""COMPUTED_VALUE"""),1.0)</f>
        <v>1</v>
      </c>
      <c r="S5899" s="6" t="str">
        <f>IFERROR(__xludf.DUMMYFUNCTION("""COMPUTED_VALUE""")," ")</f>
        <v> </v>
      </c>
      <c r="T5899" s="6" t="str">
        <f>IFERROR(__xludf.DUMMYFUNCTION("""COMPUTED_VALUE"""),"")</f>
        <v/>
      </c>
      <c r="U5899" s="6" t="str">
        <f>IFERROR(__xludf.DUMMYFUNCTION("""COMPUTED_VALUE"""),"2")</f>
        <v>2</v>
      </c>
      <c r="V5899" s="6" t="str">
        <f>IFERROR(__xludf.DUMMYFUNCTION("""COMPUTED_VALUE"""),"English")</f>
        <v>English</v>
      </c>
      <c r="W5899" s="6" t="str">
        <f>IFERROR(__xludf.DUMMYFUNCTION("""COMPUTED_VALUE"""),"[]")</f>
        <v>[]</v>
      </c>
      <c r="X5899" s="6" t="str">
        <f>IFERROR(__xludf.DUMMYFUNCTION("""COMPUTED_VALUE"""),"Enrolled")</f>
        <v>Enrolled</v>
      </c>
    </row>
    <row r="5900">
      <c r="A5900" s="6" t="str">
        <f>IFERROR(__xludf.DUMMYFUNCTION("""COMPUTED_VALUE"""),"192-0670")</f>
        <v>192-0670</v>
      </c>
      <c r="B5900" s="6" t="str">
        <f>IFERROR(__xludf.DUMMYFUNCTION("""COMPUTED_VALUE"""),"192")</f>
        <v>192</v>
      </c>
      <c r="C5900" s="6" t="str">
        <f>IFERROR(__xludf.DUMMYFUNCTION("""COMPUTED_VALUE"""),"0670")</f>
        <v>0670</v>
      </c>
      <c r="D5900" s="6" t="str">
        <f>IFERROR(__xludf.DUMMYFUNCTION("""COMPUTED_VALUE"""),"Aurelia")</f>
        <v>Aurelia</v>
      </c>
      <c r="E5900" s="6" t="str">
        <f>IFERROR(__xludf.DUMMYFUNCTION("""COMPUTED_VALUE"""),"")</f>
        <v/>
      </c>
      <c r="F5900" s="6" t="str">
        <f>IFERROR(__xludf.DUMMYFUNCTION("""COMPUTED_VALUE"""),"Lonsdale")</f>
        <v>Lonsdale</v>
      </c>
      <c r="G5900" s="6" t="str">
        <f>IFERROR(__xludf.DUMMYFUNCTION("""COMPUTED_VALUE"""),"09/12/2018")</f>
        <v>09/12/2018</v>
      </c>
      <c r="H5900" s="6" t="str">
        <f>IFERROR(__xludf.DUMMYFUNCTION("""COMPUTED_VALUE"""),"F")</f>
        <v>F</v>
      </c>
      <c r="I5900" s="6" t="str">
        <f>IFERROR(__xludf.DUMMYFUNCTION("""COMPUTED_VALUE"""),"Learning Lab")</f>
        <v>Learning Lab</v>
      </c>
      <c r="J5900" s="6" t="str">
        <f>IFERROR(__xludf.DUMMYFUNCTION("""COMPUTED_VALUE"""),"1")</f>
        <v>1</v>
      </c>
      <c r="K5900" s="6" t="str">
        <f>IFERROR(__xludf.DUMMYFUNCTION("""COMPUTED_VALUE"""),"aurelia.lonsdale@havruta.school")</f>
        <v>aurelia.lonsdale@havruta.school</v>
      </c>
      <c r="L5900" s="6" t="str">
        <f>IFERROR(__xludf.DUMMYFUNCTION("""COMPUTED_VALUE"""),"Havruta Learning Pod: Austin TX")</f>
        <v>Havruta Learning Pod: Austin TX</v>
      </c>
      <c r="M5900" s="6" t="str">
        <f>IFERROR(__xludf.DUMMYFUNCTION("""COMPUTED_VALUE"""),"")</f>
        <v/>
      </c>
      <c r="N5900" s="6" t="str">
        <f>IFERROR(__xludf.DUMMYFUNCTION("""COMPUTED_VALUE"""),"")</f>
        <v/>
      </c>
      <c r="O5900" s="87" t="str">
        <f>IFERROR(__xludf.DUMMYFUNCTION("""COMPUTED_VALUE"""),"https://drive.google.com/drive/folders/10T2cTQHqEJZqE-st6uFKPoI?usp=share_link")</f>
        <v>https://drive.google.com/drive/folders/10T2cTQHqEJZqE-st6uFKPoI?usp=share_link</v>
      </c>
      <c r="P5900" s="6" t="str">
        <f>IFERROR(__xludf.DUMMYFUNCTION("""COMPUTED_VALUE"""),"Aurelia Lonsdale")</f>
        <v>Aurelia Lonsdale</v>
      </c>
      <c r="Q5900" s="6" t="str">
        <f>IFERROR(__xludf.DUMMYFUNCTION("""COMPUTED_VALUE"""),"LL")</f>
        <v>LL</v>
      </c>
      <c r="R5900" s="6">
        <f>IFERROR(__xludf.DUMMYFUNCTION("""COMPUTED_VALUE"""),0.0)</f>
        <v>0</v>
      </c>
      <c r="S5900" s="6" t="str">
        <f>IFERROR(__xludf.DUMMYFUNCTION("""COMPUTED_VALUE""")," ")</f>
        <v> </v>
      </c>
      <c r="T5900" s="6" t="str">
        <f>IFERROR(__xludf.DUMMYFUNCTION("""COMPUTED_VALUE"""),"")</f>
        <v/>
      </c>
      <c r="U5900" s="6" t="str">
        <f>IFERROR(__xludf.DUMMYFUNCTION("""COMPUTED_VALUE"""),"1")</f>
        <v>1</v>
      </c>
      <c r="V5900" s="6" t="str">
        <f>IFERROR(__xludf.DUMMYFUNCTION("""COMPUTED_VALUE"""),"English")</f>
        <v>English</v>
      </c>
      <c r="W5900" s="6" t="str">
        <f>IFERROR(__xludf.DUMMYFUNCTION("""COMPUTED_VALUE"""),"[]")</f>
        <v>[]</v>
      </c>
      <c r="X5900" s="6" t="str">
        <f>IFERROR(__xludf.DUMMYFUNCTION("""COMPUTED_VALUE"""),"Enrolled")</f>
        <v>Enrolled</v>
      </c>
    </row>
    <row r="5901">
      <c r="A5901" s="6" t="str">
        <f>IFERROR(__xludf.DUMMYFUNCTION("""COMPUTED_VALUE"""),"192-1235")</f>
        <v>192-1235</v>
      </c>
      <c r="B5901" s="6" t="str">
        <f>IFERROR(__xludf.DUMMYFUNCTION("""COMPUTED_VALUE"""),"192")</f>
        <v>192</v>
      </c>
      <c r="C5901" s="6" t="str">
        <f>IFERROR(__xludf.DUMMYFUNCTION("""COMPUTED_VALUE"""),"1235")</f>
        <v>1235</v>
      </c>
      <c r="D5901" s="6" t="str">
        <f>IFERROR(__xludf.DUMMYFUNCTION("""COMPUTED_VALUE"""),"Test")</f>
        <v>Test</v>
      </c>
      <c r="E5901" s="6" t="str">
        <f>IFERROR(__xludf.DUMMYFUNCTION("""COMPUTED_VALUE"""),"")</f>
        <v/>
      </c>
      <c r="F5901" s="6" t="str">
        <f>IFERROR(__xludf.DUMMYFUNCTION("""COMPUTED_VALUE"""),"Lincstudent1")</f>
        <v>Lincstudent1</v>
      </c>
      <c r="G5901" s="6" t="str">
        <f>IFERROR(__xludf.DUMMYFUNCTION("""COMPUTED_VALUE"""),"01/01/2010")</f>
        <v>01/01/2010</v>
      </c>
      <c r="H5901" s="6" t="str">
        <f>IFERROR(__xludf.DUMMYFUNCTION("""COMPUTED_VALUE"""),"M")</f>
        <v>M</v>
      </c>
      <c r="I5901" s="6" t="str">
        <f>IFERROR(__xludf.DUMMYFUNCTION("""COMPUTED_VALUE"""),"Middle School")</f>
        <v>Middle School</v>
      </c>
      <c r="J5901" s="6" t="str">
        <f>IFERROR(__xludf.DUMMYFUNCTION("""COMPUTED_VALUE"""),"6")</f>
        <v>6</v>
      </c>
      <c r="K5901" s="6" t="str">
        <f>IFERROR(__xludf.DUMMYFUNCTION("""COMPUTED_VALUE"""),"test.lincstudent1@havruta.school")</f>
        <v>test.lincstudent1@havruta.school</v>
      </c>
      <c r="L5901" s="6" t="str">
        <f>IFERROR(__xludf.DUMMYFUNCTION("""COMPUTED_VALUE"""),"Havruta Learning Pod: Austin TX")</f>
        <v>Havruta Learning Pod: Austin TX</v>
      </c>
      <c r="M5901" s="6" t="str">
        <f>IFERROR(__xludf.DUMMYFUNCTION("""COMPUTED_VALUE"""),"Mock")</f>
        <v>Mock</v>
      </c>
      <c r="N5901" s="6" t="str">
        <f>IFERROR(__xludf.DUMMYFUNCTION("""COMPUTED_VALUE"""),"")</f>
        <v/>
      </c>
      <c r="O5901" s="87" t="str">
        <f>IFERROR(__xludf.DUMMYFUNCTION("""COMPUTED_VALUE"""),"https://drive.google.com/drive/folders/10T2cTQHqEJZqE-st6uFKPoI?usp=share_link")</f>
        <v>https://drive.google.com/drive/folders/10T2cTQHqEJZqE-st6uFKPoI?usp=share_link</v>
      </c>
      <c r="P5901" s="6" t="str">
        <f>IFERROR(__xludf.DUMMYFUNCTION("""COMPUTED_VALUE"""),"Test Lincstudent1")</f>
        <v>Test Lincstudent1</v>
      </c>
      <c r="Q5901" s="6" t="str">
        <f>IFERROR(__xludf.DUMMYFUNCTION("""COMPUTED_VALUE"""),"MS")</f>
        <v>MS</v>
      </c>
      <c r="R5901" s="6">
        <f>IFERROR(__xludf.DUMMYFUNCTION("""COMPUTED_VALUE"""),0.0)</f>
        <v>0</v>
      </c>
      <c r="S5901" s="6" t="str">
        <f>IFERROR(__xludf.DUMMYFUNCTION("""COMPUTED_VALUE""")," ")</f>
        <v> </v>
      </c>
      <c r="T5901" s="6" t="str">
        <f>IFERROR(__xludf.DUMMYFUNCTION("""COMPUTED_VALUE"""),"")</f>
        <v/>
      </c>
      <c r="U5901" s="6" t="str">
        <f>IFERROR(__xludf.DUMMYFUNCTION("""COMPUTED_VALUE"""),"6")</f>
        <v>6</v>
      </c>
      <c r="V5901" s="6" t="str">
        <f>IFERROR(__xludf.DUMMYFUNCTION("""COMPUTED_VALUE"""),"English")</f>
        <v>English</v>
      </c>
      <c r="W5901" s="6" t="str">
        <f>IFERROR(__xludf.DUMMYFUNCTION("""COMPUTED_VALUE"""),"[]")</f>
        <v>[]</v>
      </c>
      <c r="X5901" s="6" t="str">
        <f>IFERROR(__xludf.DUMMYFUNCTION("""COMPUTED_VALUE"""),"Enrolled")</f>
        <v>Enrolled</v>
      </c>
    </row>
    <row r="5902">
      <c r="A5902" s="6" t="str">
        <f>IFERROR(__xludf.DUMMYFUNCTION("""COMPUTED_VALUE"""),"192-1236")</f>
        <v>192-1236</v>
      </c>
      <c r="B5902" s="6" t="str">
        <f>IFERROR(__xludf.DUMMYFUNCTION("""COMPUTED_VALUE"""),"192")</f>
        <v>192</v>
      </c>
      <c r="C5902" s="6" t="str">
        <f>IFERROR(__xludf.DUMMYFUNCTION("""COMPUTED_VALUE"""),"1236")</f>
        <v>1236</v>
      </c>
      <c r="D5902" s="6" t="str">
        <f>IFERROR(__xludf.DUMMYFUNCTION("""COMPUTED_VALUE"""),"Test")</f>
        <v>Test</v>
      </c>
      <c r="E5902" s="6" t="str">
        <f>IFERROR(__xludf.DUMMYFUNCTION("""COMPUTED_VALUE"""),"")</f>
        <v/>
      </c>
      <c r="F5902" s="6" t="str">
        <f>IFERROR(__xludf.DUMMYFUNCTION("""COMPUTED_VALUE"""),"LLstudent1")</f>
        <v>LLstudent1</v>
      </c>
      <c r="G5902" s="6" t="str">
        <f>IFERROR(__xludf.DUMMYFUNCTION("""COMPUTED_VALUE"""),"01/01/2010")</f>
        <v>01/01/2010</v>
      </c>
      <c r="H5902" s="6" t="str">
        <f>IFERROR(__xludf.DUMMYFUNCTION("""COMPUTED_VALUE"""),"Self Identify")</f>
        <v>Self Identify</v>
      </c>
      <c r="I5902" s="6" t="str">
        <f>IFERROR(__xludf.DUMMYFUNCTION("""COMPUTED_VALUE"""),"Level 1")</f>
        <v>Level 1</v>
      </c>
      <c r="J5902" s="6" t="str">
        <f>IFERROR(__xludf.DUMMYFUNCTION("""COMPUTED_VALUE"""),"3")</f>
        <v>3</v>
      </c>
      <c r="K5902" s="6" t="str">
        <f>IFERROR(__xludf.DUMMYFUNCTION("""COMPUTED_VALUE"""),"test.llstudent1@havruta.school")</f>
        <v>test.llstudent1@havruta.school</v>
      </c>
      <c r="L5902" s="6" t="str">
        <f>IFERROR(__xludf.DUMMYFUNCTION("""COMPUTED_VALUE"""),"Havruta Learning Pod: Austin TX")</f>
        <v>Havruta Learning Pod: Austin TX</v>
      </c>
      <c r="M5902" s="6" t="str">
        <f>IFERROR(__xludf.DUMMYFUNCTION("""COMPUTED_VALUE"""),"Test")</f>
        <v>Test</v>
      </c>
      <c r="N5902" s="6" t="str">
        <f>IFERROR(__xludf.DUMMYFUNCTION("""COMPUTED_VALUE"""),"")</f>
        <v/>
      </c>
      <c r="O5902" s="87" t="str">
        <f>IFERROR(__xludf.DUMMYFUNCTION("""COMPUTED_VALUE"""),"https://drive.google.com/drive/folders/10T2cTQHqEJZqE-st6uFKPoI?usp=share_link")</f>
        <v>https://drive.google.com/drive/folders/10T2cTQHqEJZqE-st6uFKPoI?usp=share_link</v>
      </c>
      <c r="P5902" s="6" t="str">
        <f>IFERROR(__xludf.DUMMYFUNCTION("""COMPUTED_VALUE"""),"Test LLstudent1")</f>
        <v>Test LLstudent1</v>
      </c>
      <c r="Q5902" s="6" t="str">
        <f>IFERROR(__xludf.DUMMYFUNCTION("""COMPUTED_VALUE"""),"L1")</f>
        <v>L1</v>
      </c>
      <c r="R5902" s="6">
        <f>IFERROR(__xludf.DUMMYFUNCTION("""COMPUTED_VALUE"""),1.0)</f>
        <v>1</v>
      </c>
      <c r="S5902" s="6" t="str">
        <f>IFERROR(__xludf.DUMMYFUNCTION("""COMPUTED_VALUE""")," ")</f>
        <v> </v>
      </c>
      <c r="T5902" s="6" t="str">
        <f>IFERROR(__xludf.DUMMYFUNCTION("""COMPUTED_VALUE"""),"")</f>
        <v/>
      </c>
      <c r="U5902" s="6" t="str">
        <f>IFERROR(__xludf.DUMMYFUNCTION("""COMPUTED_VALUE"""),"3")</f>
        <v>3</v>
      </c>
      <c r="V5902" s="6" t="str">
        <f>IFERROR(__xludf.DUMMYFUNCTION("""COMPUTED_VALUE"""),"English")</f>
        <v>English</v>
      </c>
      <c r="W5902" s="6" t="str">
        <f>IFERROR(__xludf.DUMMYFUNCTION("""COMPUTED_VALUE"""),"[]")</f>
        <v>[]</v>
      </c>
      <c r="X5902" s="6" t="str">
        <f>IFERROR(__xludf.DUMMYFUNCTION("""COMPUTED_VALUE"""),"Enrolled")</f>
        <v>Enrolled</v>
      </c>
    </row>
  </sheetData>
  <autoFilter ref="$A$1:$X$5212"/>
  <hyperlinks>
    <hyperlink r:id="rId2" ref="O2"/>
    <hyperlink r:id="rId3" ref="O3"/>
    <hyperlink r:id="rId4" ref="O4"/>
    <hyperlink r:id="rId5" ref="O5"/>
    <hyperlink r:id="rId6" ref="O6"/>
    <hyperlink r:id="rId7" ref="O7"/>
    <hyperlink r:id="rId8" ref="O8"/>
    <hyperlink r:id="rId9" ref="O9"/>
    <hyperlink r:id="rId10" ref="O10"/>
    <hyperlink r:id="rId11" ref="O11"/>
    <hyperlink r:id="rId12" ref="O12"/>
    <hyperlink r:id="rId13" ref="O13"/>
    <hyperlink r:id="rId14" ref="O14"/>
    <hyperlink r:id="rId15" ref="O15"/>
    <hyperlink r:id="rId16" ref="O16"/>
    <hyperlink r:id="rId17" ref="O17"/>
    <hyperlink r:id="rId18" ref="O18"/>
    <hyperlink r:id="rId19" ref="O19"/>
    <hyperlink r:id="rId20" ref="O20"/>
    <hyperlink r:id="rId21" ref="O21"/>
    <hyperlink r:id="rId22" ref="O22"/>
    <hyperlink r:id="rId23" ref="O23"/>
    <hyperlink r:id="rId24" ref="O24"/>
    <hyperlink r:id="rId25" ref="O25"/>
    <hyperlink r:id="rId26" ref="O26"/>
    <hyperlink r:id="rId27" ref="O27"/>
    <hyperlink r:id="rId28" ref="O28"/>
    <hyperlink r:id="rId29" ref="O29"/>
    <hyperlink r:id="rId30" ref="O30"/>
    <hyperlink r:id="rId31" ref="O31"/>
    <hyperlink r:id="rId32" ref="O32"/>
    <hyperlink r:id="rId33" ref="O33"/>
    <hyperlink r:id="rId34" ref="O34"/>
    <hyperlink r:id="rId35" ref="O35"/>
    <hyperlink r:id="rId36" ref="O36"/>
    <hyperlink r:id="rId37" ref="O37"/>
    <hyperlink r:id="rId38" ref="O38"/>
    <hyperlink r:id="rId39" ref="O39"/>
    <hyperlink r:id="rId40" ref="O40"/>
    <hyperlink r:id="rId41" ref="O41"/>
    <hyperlink r:id="rId42" ref="O42"/>
    <hyperlink r:id="rId43" ref="O43"/>
    <hyperlink r:id="rId44" ref="O44"/>
    <hyperlink r:id="rId45" ref="O45"/>
    <hyperlink r:id="rId46" ref="O46"/>
    <hyperlink r:id="rId47" ref="O47"/>
    <hyperlink r:id="rId48" ref="O48"/>
    <hyperlink r:id="rId49" ref="O49"/>
    <hyperlink r:id="rId50" ref="O50"/>
    <hyperlink r:id="rId51" ref="O51"/>
    <hyperlink r:id="rId52" ref="O52"/>
    <hyperlink r:id="rId53" ref="O53"/>
    <hyperlink r:id="rId54" ref="O54"/>
    <hyperlink r:id="rId55" ref="O55"/>
    <hyperlink r:id="rId56" ref="O56"/>
    <hyperlink r:id="rId57" ref="O57"/>
    <hyperlink r:id="rId58" ref="O58"/>
    <hyperlink r:id="rId59" ref="O59"/>
    <hyperlink r:id="rId60" ref="O60"/>
    <hyperlink r:id="rId61" ref="O61"/>
    <hyperlink r:id="rId62" ref="O62"/>
    <hyperlink r:id="rId63" ref="O63"/>
    <hyperlink r:id="rId64" ref="O64"/>
    <hyperlink r:id="rId65" ref="O65"/>
    <hyperlink r:id="rId66" ref="O66"/>
    <hyperlink r:id="rId67" ref="O67"/>
    <hyperlink r:id="rId68" ref="O68"/>
    <hyperlink r:id="rId69" ref="O69"/>
    <hyperlink r:id="rId70" ref="O70"/>
    <hyperlink r:id="rId71" ref="O71"/>
    <hyperlink r:id="rId72" ref="O72"/>
    <hyperlink r:id="rId73" ref="O73"/>
    <hyperlink r:id="rId74" ref="O74"/>
    <hyperlink r:id="rId75" ref="O75"/>
    <hyperlink r:id="rId76" ref="O76"/>
    <hyperlink r:id="rId77" ref="O77"/>
    <hyperlink r:id="rId78" ref="O78"/>
    <hyperlink r:id="rId79" ref="O79"/>
    <hyperlink r:id="rId80" ref="O80"/>
    <hyperlink r:id="rId81" ref="O81"/>
    <hyperlink r:id="rId82" ref="O82"/>
    <hyperlink r:id="rId83" ref="O83"/>
    <hyperlink r:id="rId84" ref="O84"/>
    <hyperlink r:id="rId85" ref="O85"/>
    <hyperlink r:id="rId86" ref="O86"/>
    <hyperlink r:id="rId87" ref="O87"/>
    <hyperlink r:id="rId88" ref="O88"/>
    <hyperlink r:id="rId89" ref="O89"/>
    <hyperlink r:id="rId90" ref="O90"/>
    <hyperlink r:id="rId91" ref="O91"/>
    <hyperlink r:id="rId92" ref="O92"/>
    <hyperlink r:id="rId93" ref="O93"/>
    <hyperlink r:id="rId94" ref="O94"/>
    <hyperlink r:id="rId95" ref="O95"/>
    <hyperlink r:id="rId96" ref="O96"/>
    <hyperlink r:id="rId97" ref="O97"/>
    <hyperlink r:id="rId98" ref="O98"/>
    <hyperlink r:id="rId99" ref="O99"/>
    <hyperlink r:id="rId100" ref="O100"/>
    <hyperlink r:id="rId101" ref="O101"/>
    <hyperlink r:id="rId102" ref="O102"/>
    <hyperlink r:id="rId103" ref="O103"/>
    <hyperlink r:id="rId104" ref="O104"/>
    <hyperlink r:id="rId105" ref="O105"/>
    <hyperlink r:id="rId106" ref="O106"/>
    <hyperlink r:id="rId107" ref="O107"/>
    <hyperlink r:id="rId108" ref="O108"/>
    <hyperlink r:id="rId109" ref="O109"/>
    <hyperlink r:id="rId110" ref="O110"/>
    <hyperlink r:id="rId111" ref="O111"/>
    <hyperlink r:id="rId112" ref="O112"/>
    <hyperlink r:id="rId113" ref="O113"/>
    <hyperlink r:id="rId114" ref="O114"/>
    <hyperlink r:id="rId115" ref="O115"/>
    <hyperlink r:id="rId116" ref="O116"/>
    <hyperlink r:id="rId117" ref="O117"/>
    <hyperlink r:id="rId118" ref="O118"/>
    <hyperlink r:id="rId119" ref="O119"/>
    <hyperlink r:id="rId120" ref="O120"/>
    <hyperlink r:id="rId121" ref="O121"/>
    <hyperlink r:id="rId122" ref="O122"/>
    <hyperlink r:id="rId123" ref="O123"/>
    <hyperlink r:id="rId124" ref="O124"/>
    <hyperlink r:id="rId125" ref="O125"/>
    <hyperlink r:id="rId126" ref="O126"/>
    <hyperlink r:id="rId127" ref="O127"/>
    <hyperlink r:id="rId128" ref="O128"/>
    <hyperlink r:id="rId129" ref="O129"/>
    <hyperlink r:id="rId130" ref="O130"/>
    <hyperlink r:id="rId131" ref="O131"/>
    <hyperlink r:id="rId132" ref="O132"/>
    <hyperlink r:id="rId133" ref="O133"/>
    <hyperlink r:id="rId134" ref="O134"/>
    <hyperlink r:id="rId135" ref="O135"/>
    <hyperlink r:id="rId136" ref="O136"/>
    <hyperlink r:id="rId137" ref="O137"/>
    <hyperlink r:id="rId138" ref="O138"/>
    <hyperlink r:id="rId139" ref="O139"/>
    <hyperlink r:id="rId140" ref="O140"/>
    <hyperlink r:id="rId141" ref="O141"/>
    <hyperlink r:id="rId142" ref="O142"/>
    <hyperlink r:id="rId143" ref="O143"/>
    <hyperlink r:id="rId144" ref="O144"/>
    <hyperlink r:id="rId145" ref="O145"/>
    <hyperlink r:id="rId146" ref="O146"/>
    <hyperlink r:id="rId147" ref="O147"/>
    <hyperlink r:id="rId148" ref="O148"/>
    <hyperlink r:id="rId149" ref="O149"/>
    <hyperlink r:id="rId150" ref="O150"/>
    <hyperlink r:id="rId151" ref="O151"/>
    <hyperlink r:id="rId152" ref="O152"/>
    <hyperlink r:id="rId153" ref="O153"/>
    <hyperlink r:id="rId154" ref="O154"/>
    <hyperlink r:id="rId155" ref="O155"/>
    <hyperlink r:id="rId156" ref="O156"/>
    <hyperlink r:id="rId157" ref="O157"/>
    <hyperlink r:id="rId158" ref="O158"/>
    <hyperlink r:id="rId159" ref="O159"/>
    <hyperlink r:id="rId160" ref="O160"/>
    <hyperlink r:id="rId161" ref="O161"/>
    <hyperlink r:id="rId162" ref="O162"/>
    <hyperlink r:id="rId163" ref="O163"/>
    <hyperlink r:id="rId164" ref="O164"/>
    <hyperlink r:id="rId165" ref="O165"/>
    <hyperlink r:id="rId166" ref="O166"/>
    <hyperlink r:id="rId167" ref="O167"/>
    <hyperlink r:id="rId168" ref="O168"/>
    <hyperlink r:id="rId169" ref="O169"/>
    <hyperlink r:id="rId170" ref="O170"/>
    <hyperlink r:id="rId171" ref="O171"/>
    <hyperlink r:id="rId172" ref="O172"/>
    <hyperlink r:id="rId173" ref="O173"/>
    <hyperlink r:id="rId174" ref="O174"/>
    <hyperlink r:id="rId175" ref="O175"/>
    <hyperlink r:id="rId176" ref="O176"/>
    <hyperlink r:id="rId177" ref="O177"/>
    <hyperlink r:id="rId178" ref="O178"/>
    <hyperlink r:id="rId179" ref="O179"/>
    <hyperlink r:id="rId180" ref="O180"/>
    <hyperlink r:id="rId181" ref="O181"/>
    <hyperlink r:id="rId182" ref="O182"/>
    <hyperlink r:id="rId183" ref="O183"/>
    <hyperlink r:id="rId184" ref="O184"/>
    <hyperlink r:id="rId185" ref="O185"/>
    <hyperlink r:id="rId186" ref="O186"/>
    <hyperlink r:id="rId187" ref="O187"/>
    <hyperlink r:id="rId188" ref="O188"/>
    <hyperlink r:id="rId189" ref="O189"/>
    <hyperlink r:id="rId190" ref="O190"/>
    <hyperlink r:id="rId191" ref="O191"/>
    <hyperlink r:id="rId192" ref="O192"/>
    <hyperlink r:id="rId193" ref="O193"/>
    <hyperlink r:id="rId194" ref="O194"/>
    <hyperlink r:id="rId195" ref="O195"/>
    <hyperlink r:id="rId196" ref="O196"/>
    <hyperlink r:id="rId197" ref="O197"/>
    <hyperlink r:id="rId198" ref="O198"/>
    <hyperlink r:id="rId199" ref="O199"/>
    <hyperlink r:id="rId200" ref="O200"/>
    <hyperlink r:id="rId201" ref="O201"/>
    <hyperlink r:id="rId202" ref="O202"/>
    <hyperlink r:id="rId203" ref="O203"/>
    <hyperlink r:id="rId204" ref="O204"/>
    <hyperlink r:id="rId205" ref="O205"/>
    <hyperlink r:id="rId206" ref="O206"/>
    <hyperlink r:id="rId207" ref="O207"/>
    <hyperlink r:id="rId208" ref="O208"/>
    <hyperlink r:id="rId209" ref="O209"/>
    <hyperlink r:id="rId210" ref="O210"/>
    <hyperlink r:id="rId211" ref="O211"/>
    <hyperlink r:id="rId212" ref="O212"/>
    <hyperlink r:id="rId213" ref="O213"/>
    <hyperlink r:id="rId214" ref="O214"/>
    <hyperlink r:id="rId215" ref="O215"/>
    <hyperlink r:id="rId216" ref="O216"/>
    <hyperlink r:id="rId217" ref="O217"/>
    <hyperlink r:id="rId218" ref="O218"/>
    <hyperlink r:id="rId219" ref="O219"/>
    <hyperlink r:id="rId220" ref="O220"/>
    <hyperlink r:id="rId221" ref="O221"/>
    <hyperlink r:id="rId222" ref="O222"/>
    <hyperlink r:id="rId223" ref="O223"/>
    <hyperlink r:id="rId224" ref="O224"/>
    <hyperlink r:id="rId225" ref="O225"/>
    <hyperlink r:id="rId226" ref="O226"/>
    <hyperlink r:id="rId227" ref="O227"/>
    <hyperlink r:id="rId228" ref="O228"/>
    <hyperlink r:id="rId229" ref="O229"/>
    <hyperlink r:id="rId230" ref="O230"/>
    <hyperlink r:id="rId231" ref="O231"/>
    <hyperlink r:id="rId232" ref="O232"/>
    <hyperlink r:id="rId233" ref="O233"/>
    <hyperlink r:id="rId234" ref="O234"/>
    <hyperlink r:id="rId235" ref="O235"/>
    <hyperlink r:id="rId236" ref="O236"/>
    <hyperlink r:id="rId237" ref="O237"/>
    <hyperlink r:id="rId238" ref="O238"/>
    <hyperlink r:id="rId239" ref="O239"/>
    <hyperlink r:id="rId240" ref="O240"/>
    <hyperlink r:id="rId241" ref="O241"/>
    <hyperlink r:id="rId242" ref="O242"/>
    <hyperlink r:id="rId243" ref="O243"/>
    <hyperlink r:id="rId244" ref="O244"/>
    <hyperlink r:id="rId245" ref="O245"/>
    <hyperlink r:id="rId246" ref="O246"/>
    <hyperlink r:id="rId247" ref="O247"/>
    <hyperlink r:id="rId248" ref="O248"/>
    <hyperlink r:id="rId249" ref="O249"/>
    <hyperlink r:id="rId250" ref="O250"/>
    <hyperlink r:id="rId251" ref="O251"/>
    <hyperlink r:id="rId252" ref="O252"/>
    <hyperlink r:id="rId253" ref="O253"/>
    <hyperlink r:id="rId254" ref="O254"/>
    <hyperlink r:id="rId255" ref="O255"/>
    <hyperlink r:id="rId256" ref="O256"/>
    <hyperlink r:id="rId257" ref="O257"/>
    <hyperlink r:id="rId258" ref="O258"/>
    <hyperlink r:id="rId259" ref="O259"/>
    <hyperlink r:id="rId260" ref="O260"/>
    <hyperlink r:id="rId261" ref="O261"/>
    <hyperlink r:id="rId262" ref="O262"/>
    <hyperlink r:id="rId263" ref="O263"/>
    <hyperlink r:id="rId264" ref="O264"/>
    <hyperlink r:id="rId265" ref="O265"/>
    <hyperlink r:id="rId266" ref="O266"/>
    <hyperlink r:id="rId267" ref="O267"/>
    <hyperlink r:id="rId268" ref="O268"/>
    <hyperlink r:id="rId269" ref="O269"/>
    <hyperlink r:id="rId270" ref="O270"/>
    <hyperlink r:id="rId271" ref="O271"/>
    <hyperlink r:id="rId272" ref="O272"/>
    <hyperlink r:id="rId273" ref="O273"/>
    <hyperlink r:id="rId274" ref="O274"/>
    <hyperlink r:id="rId275" ref="O275"/>
    <hyperlink r:id="rId276" ref="O276"/>
    <hyperlink r:id="rId277" ref="O277"/>
    <hyperlink r:id="rId278" ref="O278"/>
    <hyperlink r:id="rId279" ref="O279"/>
    <hyperlink r:id="rId280" ref="O280"/>
    <hyperlink r:id="rId281" ref="O281"/>
    <hyperlink r:id="rId282" ref="O282"/>
    <hyperlink r:id="rId283" ref="O283"/>
    <hyperlink r:id="rId284" ref="O284"/>
    <hyperlink r:id="rId285" ref="O285"/>
    <hyperlink r:id="rId286" ref="O286"/>
    <hyperlink r:id="rId287" ref="O287"/>
    <hyperlink r:id="rId288" ref="O288"/>
    <hyperlink r:id="rId289" ref="O289"/>
    <hyperlink r:id="rId290" ref="O290"/>
    <hyperlink r:id="rId291" ref="O291"/>
    <hyperlink r:id="rId292" ref="O292"/>
    <hyperlink r:id="rId293" ref="O293"/>
    <hyperlink r:id="rId294" ref="O294"/>
    <hyperlink r:id="rId295" ref="O295"/>
    <hyperlink r:id="rId296" ref="O296"/>
    <hyperlink r:id="rId297" ref="O297"/>
    <hyperlink r:id="rId298" ref="O298"/>
    <hyperlink r:id="rId299" ref="O299"/>
    <hyperlink r:id="rId300" ref="O300"/>
    <hyperlink r:id="rId301" ref="O301"/>
    <hyperlink r:id="rId302" ref="O302"/>
    <hyperlink r:id="rId303" ref="O303"/>
    <hyperlink r:id="rId304" ref="O304"/>
    <hyperlink r:id="rId305" ref="O305"/>
    <hyperlink r:id="rId306" ref="O306"/>
    <hyperlink r:id="rId307" ref="O307"/>
    <hyperlink r:id="rId308" ref="O308"/>
    <hyperlink r:id="rId309" ref="O309"/>
    <hyperlink r:id="rId310" ref="O310"/>
    <hyperlink r:id="rId311" ref="O311"/>
    <hyperlink r:id="rId312" ref="O312"/>
    <hyperlink r:id="rId313" ref="O313"/>
    <hyperlink r:id="rId314" ref="O314"/>
    <hyperlink r:id="rId315" ref="O315"/>
    <hyperlink r:id="rId316" ref="O316"/>
    <hyperlink r:id="rId317" ref="O317"/>
    <hyperlink r:id="rId318" ref="O318"/>
    <hyperlink r:id="rId319" ref="O319"/>
    <hyperlink r:id="rId320" ref="O320"/>
    <hyperlink r:id="rId321" ref="O321"/>
    <hyperlink r:id="rId322" ref="O322"/>
    <hyperlink r:id="rId323" ref="O323"/>
    <hyperlink r:id="rId324" ref="O324"/>
    <hyperlink r:id="rId325" ref="O325"/>
    <hyperlink r:id="rId326" ref="O326"/>
    <hyperlink r:id="rId327" ref="O327"/>
    <hyperlink r:id="rId328" ref="O328"/>
    <hyperlink r:id="rId329" ref="O329"/>
    <hyperlink r:id="rId330" ref="O330"/>
    <hyperlink r:id="rId331" ref="O331"/>
    <hyperlink r:id="rId332" ref="O332"/>
    <hyperlink r:id="rId333" ref="O333"/>
    <hyperlink r:id="rId334" ref="O334"/>
    <hyperlink r:id="rId335" ref="O335"/>
    <hyperlink r:id="rId336" ref="O336"/>
    <hyperlink r:id="rId337" ref="O337"/>
    <hyperlink r:id="rId338" ref="O338"/>
    <hyperlink r:id="rId339" ref="O339"/>
    <hyperlink r:id="rId340" ref="O340"/>
    <hyperlink r:id="rId341" ref="O341"/>
    <hyperlink r:id="rId342" ref="O342"/>
    <hyperlink r:id="rId343" ref="O343"/>
    <hyperlink r:id="rId344" ref="O344"/>
    <hyperlink r:id="rId345" ref="O345"/>
    <hyperlink r:id="rId346" ref="O346"/>
    <hyperlink r:id="rId347" ref="O347"/>
    <hyperlink r:id="rId348" ref="O348"/>
    <hyperlink r:id="rId349" ref="O349"/>
    <hyperlink r:id="rId350" ref="O350"/>
    <hyperlink r:id="rId351" ref="O351"/>
    <hyperlink r:id="rId352" ref="O352"/>
    <hyperlink r:id="rId353" ref="O353"/>
    <hyperlink r:id="rId354" ref="O354"/>
    <hyperlink r:id="rId355" ref="O355"/>
    <hyperlink r:id="rId356" ref="O356"/>
    <hyperlink r:id="rId357" ref="O357"/>
    <hyperlink r:id="rId358" ref="O358"/>
    <hyperlink r:id="rId359" ref="O359"/>
    <hyperlink r:id="rId360" ref="O360"/>
    <hyperlink r:id="rId361" ref="O361"/>
    <hyperlink r:id="rId362" ref="O362"/>
    <hyperlink r:id="rId363" ref="O363"/>
    <hyperlink r:id="rId364" ref="O364"/>
    <hyperlink r:id="rId365" ref="O365"/>
    <hyperlink r:id="rId366" ref="O366"/>
    <hyperlink r:id="rId367" ref="O367"/>
    <hyperlink r:id="rId368" ref="O368"/>
    <hyperlink r:id="rId369" ref="O369"/>
    <hyperlink r:id="rId370" ref="O370"/>
    <hyperlink r:id="rId371" ref="O371"/>
    <hyperlink r:id="rId372" ref="O372"/>
    <hyperlink r:id="rId373" ref="O373"/>
    <hyperlink r:id="rId374" ref="O374"/>
    <hyperlink r:id="rId375" ref="O375"/>
    <hyperlink r:id="rId376" ref="O376"/>
    <hyperlink r:id="rId377" ref="O377"/>
    <hyperlink r:id="rId378" ref="O378"/>
    <hyperlink r:id="rId379" ref="O379"/>
    <hyperlink r:id="rId380" ref="O380"/>
    <hyperlink r:id="rId381" ref="O381"/>
    <hyperlink r:id="rId382" ref="O382"/>
    <hyperlink r:id="rId383" ref="O383"/>
    <hyperlink r:id="rId384" ref="O384"/>
    <hyperlink r:id="rId385" ref="O385"/>
    <hyperlink r:id="rId386" ref="O386"/>
    <hyperlink r:id="rId387" ref="O387"/>
    <hyperlink r:id="rId388" ref="O388"/>
    <hyperlink r:id="rId389" ref="O389"/>
    <hyperlink r:id="rId390" ref="O390"/>
    <hyperlink r:id="rId391" ref="O391"/>
    <hyperlink r:id="rId392" ref="O392"/>
    <hyperlink r:id="rId393" ref="O393"/>
    <hyperlink r:id="rId394" ref="O394"/>
    <hyperlink r:id="rId395" ref="O395"/>
    <hyperlink r:id="rId396" ref="O396"/>
    <hyperlink r:id="rId397" ref="O397"/>
    <hyperlink r:id="rId398" ref="O398"/>
    <hyperlink r:id="rId399" ref="O399"/>
    <hyperlink r:id="rId400" ref="O400"/>
    <hyperlink r:id="rId401" ref="O401"/>
    <hyperlink r:id="rId402" ref="O402"/>
    <hyperlink r:id="rId403" ref="O403"/>
    <hyperlink r:id="rId404" ref="O404"/>
    <hyperlink r:id="rId405" ref="O405"/>
    <hyperlink r:id="rId406" ref="O406"/>
    <hyperlink r:id="rId407" ref="O407"/>
    <hyperlink r:id="rId408" ref="O408"/>
    <hyperlink r:id="rId409" ref="O409"/>
    <hyperlink r:id="rId410" ref="O410"/>
    <hyperlink r:id="rId411" ref="O411"/>
    <hyperlink r:id="rId412" ref="O412"/>
    <hyperlink r:id="rId413" ref="O413"/>
    <hyperlink r:id="rId414" ref="O414"/>
    <hyperlink r:id="rId415" ref="O415"/>
    <hyperlink r:id="rId416" ref="O416"/>
    <hyperlink r:id="rId417" ref="O417"/>
    <hyperlink r:id="rId418" ref="O418"/>
    <hyperlink r:id="rId419" ref="O419"/>
    <hyperlink r:id="rId420" ref="O420"/>
    <hyperlink r:id="rId421" ref="O421"/>
    <hyperlink r:id="rId422" ref="O422"/>
    <hyperlink r:id="rId423" ref="O423"/>
    <hyperlink r:id="rId424" ref="O424"/>
    <hyperlink r:id="rId425" ref="O425"/>
    <hyperlink r:id="rId426" ref="O426"/>
    <hyperlink r:id="rId427" ref="O427"/>
    <hyperlink r:id="rId428" ref="O428"/>
    <hyperlink r:id="rId429" ref="O429"/>
    <hyperlink r:id="rId430" ref="O430"/>
    <hyperlink r:id="rId431" ref="O431"/>
    <hyperlink r:id="rId432" ref="O432"/>
    <hyperlink r:id="rId433" ref="O433"/>
    <hyperlink r:id="rId434" ref="O434"/>
    <hyperlink r:id="rId435" ref="O435"/>
    <hyperlink r:id="rId436" ref="O436"/>
    <hyperlink r:id="rId437" ref="O437"/>
    <hyperlink r:id="rId438" ref="O438"/>
    <hyperlink r:id="rId439" ref="O439"/>
    <hyperlink r:id="rId440" ref="O440"/>
    <hyperlink r:id="rId441" ref="O441"/>
    <hyperlink r:id="rId442" ref="O442"/>
    <hyperlink r:id="rId443" ref="O443"/>
    <hyperlink r:id="rId444" ref="O444"/>
    <hyperlink r:id="rId445" ref="O445"/>
    <hyperlink r:id="rId446" ref="O446"/>
    <hyperlink r:id="rId447" ref="O447"/>
    <hyperlink r:id="rId448" ref="O448"/>
    <hyperlink r:id="rId449" ref="O449"/>
    <hyperlink r:id="rId450" ref="O450"/>
    <hyperlink r:id="rId451" ref="O451"/>
    <hyperlink r:id="rId452" ref="O452"/>
    <hyperlink r:id="rId453" ref="O453"/>
    <hyperlink r:id="rId454" ref="O454"/>
    <hyperlink r:id="rId455" ref="O455"/>
    <hyperlink r:id="rId456" ref="O456"/>
    <hyperlink r:id="rId457" ref="O457"/>
    <hyperlink r:id="rId458" ref="O458"/>
    <hyperlink r:id="rId459" ref="O459"/>
    <hyperlink r:id="rId460" ref="O460"/>
    <hyperlink r:id="rId461" ref="O461"/>
    <hyperlink r:id="rId462" ref="O462"/>
    <hyperlink r:id="rId463" ref="O463"/>
    <hyperlink r:id="rId464" ref="O464"/>
    <hyperlink r:id="rId465" ref="O465"/>
    <hyperlink r:id="rId466" ref="O466"/>
    <hyperlink r:id="rId467" ref="O467"/>
    <hyperlink r:id="rId468" ref="O468"/>
    <hyperlink r:id="rId469" ref="O469"/>
    <hyperlink r:id="rId470" ref="O470"/>
    <hyperlink r:id="rId471" ref="O471"/>
    <hyperlink r:id="rId472" ref="O472"/>
    <hyperlink r:id="rId473" ref="O473"/>
    <hyperlink r:id="rId474" ref="O474"/>
    <hyperlink r:id="rId475" ref="O475"/>
    <hyperlink r:id="rId476" ref="O476"/>
    <hyperlink r:id="rId477" ref="O477"/>
    <hyperlink r:id="rId478" ref="O478"/>
    <hyperlink r:id="rId479" ref="O479"/>
    <hyperlink r:id="rId480" ref="O480"/>
    <hyperlink r:id="rId481" ref="O481"/>
    <hyperlink r:id="rId482" ref="O482"/>
    <hyperlink r:id="rId483" ref="O483"/>
    <hyperlink r:id="rId484" ref="O484"/>
    <hyperlink r:id="rId485" ref="O485"/>
    <hyperlink r:id="rId486" ref="O486"/>
    <hyperlink r:id="rId487" ref="O487"/>
    <hyperlink r:id="rId488" ref="O488"/>
    <hyperlink r:id="rId489" ref="O489"/>
    <hyperlink r:id="rId490" ref="O490"/>
    <hyperlink r:id="rId491" ref="O491"/>
    <hyperlink r:id="rId492" ref="O492"/>
    <hyperlink r:id="rId493" ref="O493"/>
    <hyperlink r:id="rId494" ref="O494"/>
    <hyperlink r:id="rId495" ref="O495"/>
    <hyperlink r:id="rId496" ref="O496"/>
    <hyperlink r:id="rId497" ref="O497"/>
    <hyperlink r:id="rId498" ref="O498"/>
    <hyperlink r:id="rId499" ref="O499"/>
    <hyperlink r:id="rId500" ref="O500"/>
    <hyperlink r:id="rId501" ref="O501"/>
    <hyperlink r:id="rId502" ref="O502"/>
    <hyperlink r:id="rId503" ref="O503"/>
    <hyperlink r:id="rId504" ref="O504"/>
    <hyperlink r:id="rId505" ref="O505"/>
    <hyperlink r:id="rId506" ref="O506"/>
    <hyperlink r:id="rId507" ref="O507"/>
    <hyperlink r:id="rId508" ref="O508"/>
    <hyperlink r:id="rId509" ref="O509"/>
    <hyperlink r:id="rId510" ref="O510"/>
    <hyperlink r:id="rId511" ref="O511"/>
    <hyperlink r:id="rId512" ref="O512"/>
    <hyperlink r:id="rId513" ref="O513"/>
    <hyperlink r:id="rId514" ref="O514"/>
    <hyperlink r:id="rId515" ref="O515"/>
    <hyperlink r:id="rId516" ref="O516"/>
    <hyperlink r:id="rId517" ref="O517"/>
    <hyperlink r:id="rId518" ref="O518"/>
    <hyperlink r:id="rId519" ref="O519"/>
    <hyperlink r:id="rId520" ref="O520"/>
    <hyperlink r:id="rId521" ref="O521"/>
    <hyperlink r:id="rId522" ref="O522"/>
    <hyperlink r:id="rId523" ref="O523"/>
    <hyperlink r:id="rId524" ref="O524"/>
    <hyperlink r:id="rId525" ref="O525"/>
    <hyperlink r:id="rId526" ref="O526"/>
    <hyperlink r:id="rId527" ref="O527"/>
    <hyperlink r:id="rId528" ref="O528"/>
    <hyperlink r:id="rId529" ref="O529"/>
    <hyperlink r:id="rId530" ref="O530"/>
    <hyperlink r:id="rId531" ref="O531"/>
    <hyperlink r:id="rId532" ref="O532"/>
    <hyperlink r:id="rId533" ref="O533"/>
    <hyperlink r:id="rId534" ref="O534"/>
    <hyperlink r:id="rId535" ref="O535"/>
    <hyperlink r:id="rId536" ref="O536"/>
    <hyperlink r:id="rId537" ref="O537"/>
    <hyperlink r:id="rId538" ref="O538"/>
    <hyperlink r:id="rId539" ref="O539"/>
    <hyperlink r:id="rId540" ref="O540"/>
    <hyperlink r:id="rId541" ref="O541"/>
    <hyperlink r:id="rId542" ref="O542"/>
    <hyperlink r:id="rId543" ref="O543"/>
    <hyperlink r:id="rId544" ref="O544"/>
    <hyperlink r:id="rId545" ref="O545"/>
    <hyperlink r:id="rId546" ref="O546"/>
    <hyperlink r:id="rId547" ref="O547"/>
    <hyperlink r:id="rId548" ref="O548"/>
    <hyperlink r:id="rId549" ref="O549"/>
    <hyperlink r:id="rId550" ref="O550"/>
    <hyperlink r:id="rId551" ref="O551"/>
    <hyperlink r:id="rId552" ref="O552"/>
    <hyperlink r:id="rId553" ref="O553"/>
    <hyperlink r:id="rId554" ref="O554"/>
    <hyperlink r:id="rId555" ref="O555"/>
    <hyperlink r:id="rId556" ref="O556"/>
    <hyperlink r:id="rId557" ref="O557"/>
    <hyperlink r:id="rId558" ref="O558"/>
    <hyperlink r:id="rId559" ref="O559"/>
    <hyperlink r:id="rId560" ref="O560"/>
    <hyperlink r:id="rId561" ref="O561"/>
    <hyperlink r:id="rId562" ref="O562"/>
    <hyperlink r:id="rId563" ref="O563"/>
    <hyperlink r:id="rId564" ref="O564"/>
    <hyperlink r:id="rId565" ref="O565"/>
    <hyperlink r:id="rId566" ref="O566"/>
    <hyperlink r:id="rId567" ref="O567"/>
    <hyperlink r:id="rId568" ref="O568"/>
    <hyperlink r:id="rId569" ref="O569"/>
    <hyperlink r:id="rId570" ref="O570"/>
    <hyperlink r:id="rId571" ref="O571"/>
    <hyperlink r:id="rId572" ref="O572"/>
    <hyperlink r:id="rId573" ref="O573"/>
    <hyperlink r:id="rId574" ref="O574"/>
    <hyperlink r:id="rId575" ref="O575"/>
    <hyperlink r:id="rId576" ref="O576"/>
    <hyperlink r:id="rId577" ref="O577"/>
    <hyperlink r:id="rId578" ref="O578"/>
    <hyperlink r:id="rId579" ref="O579"/>
    <hyperlink r:id="rId580" ref="O580"/>
    <hyperlink r:id="rId581" ref="O581"/>
    <hyperlink r:id="rId582" ref="O582"/>
    <hyperlink r:id="rId583" ref="O583"/>
    <hyperlink r:id="rId584" ref="O584"/>
    <hyperlink r:id="rId585" ref="O585"/>
    <hyperlink r:id="rId586" ref="O586"/>
    <hyperlink r:id="rId587" ref="O587"/>
    <hyperlink r:id="rId588" ref="O588"/>
    <hyperlink r:id="rId589" ref="O589"/>
    <hyperlink r:id="rId590" ref="O590"/>
    <hyperlink r:id="rId591" ref="O591"/>
    <hyperlink r:id="rId592" ref="O592"/>
    <hyperlink r:id="rId593" ref="O593"/>
    <hyperlink r:id="rId594" ref="O594"/>
    <hyperlink r:id="rId595" ref="O595"/>
    <hyperlink r:id="rId596" ref="O596"/>
    <hyperlink r:id="rId597" ref="O597"/>
    <hyperlink r:id="rId598" ref="O598"/>
    <hyperlink r:id="rId599" ref="O599"/>
    <hyperlink r:id="rId600" ref="O600"/>
    <hyperlink r:id="rId601" ref="O601"/>
    <hyperlink r:id="rId602" ref="O602"/>
    <hyperlink r:id="rId603" ref="O603"/>
    <hyperlink r:id="rId604" ref="O604"/>
    <hyperlink r:id="rId605" ref="O605"/>
    <hyperlink r:id="rId606" ref="O606"/>
    <hyperlink r:id="rId607" ref="O607"/>
    <hyperlink r:id="rId608" ref="O608"/>
    <hyperlink r:id="rId609" ref="O609"/>
    <hyperlink r:id="rId610" ref="O610"/>
    <hyperlink r:id="rId611" ref="O611"/>
    <hyperlink r:id="rId612" ref="O612"/>
    <hyperlink r:id="rId613" ref="O613"/>
    <hyperlink r:id="rId614" ref="O614"/>
    <hyperlink r:id="rId615" ref="O615"/>
    <hyperlink r:id="rId616" ref="O616"/>
    <hyperlink r:id="rId617" ref="O617"/>
    <hyperlink r:id="rId618" ref="O618"/>
    <hyperlink r:id="rId619" ref="O619"/>
    <hyperlink r:id="rId620" ref="O620"/>
    <hyperlink r:id="rId621" ref="O621"/>
    <hyperlink r:id="rId622" ref="O622"/>
    <hyperlink r:id="rId623" ref="O623"/>
    <hyperlink r:id="rId624" ref="O624"/>
    <hyperlink r:id="rId625" ref="O625"/>
    <hyperlink r:id="rId626" ref="O626"/>
    <hyperlink r:id="rId627" ref="O627"/>
    <hyperlink r:id="rId628" ref="O628"/>
    <hyperlink r:id="rId629" ref="O629"/>
    <hyperlink r:id="rId630" ref="O630"/>
    <hyperlink r:id="rId631" ref="O631"/>
    <hyperlink r:id="rId632" ref="O632"/>
    <hyperlink r:id="rId633" ref="O633"/>
    <hyperlink r:id="rId634" ref="O634"/>
    <hyperlink r:id="rId635" ref="O635"/>
    <hyperlink r:id="rId636" ref="O636"/>
    <hyperlink r:id="rId637" ref="O637"/>
    <hyperlink r:id="rId638" ref="O638"/>
    <hyperlink r:id="rId639" ref="O639"/>
    <hyperlink r:id="rId640" ref="O640"/>
    <hyperlink r:id="rId641" ref="O641"/>
    <hyperlink r:id="rId642" ref="O642"/>
    <hyperlink r:id="rId643" ref="O643"/>
    <hyperlink r:id="rId644" ref="O644"/>
    <hyperlink r:id="rId645" ref="O645"/>
    <hyperlink r:id="rId646" ref="O646"/>
    <hyperlink r:id="rId647" ref="O647"/>
    <hyperlink r:id="rId648" ref="O648"/>
    <hyperlink r:id="rId649" ref="O649"/>
    <hyperlink r:id="rId650" ref="O650"/>
    <hyperlink r:id="rId651" ref="O651"/>
    <hyperlink r:id="rId652" ref="O652"/>
    <hyperlink r:id="rId653" ref="O653"/>
    <hyperlink r:id="rId654" ref="O654"/>
    <hyperlink r:id="rId655" ref="O655"/>
    <hyperlink r:id="rId656" ref="O656"/>
    <hyperlink r:id="rId657" ref="O657"/>
    <hyperlink r:id="rId658" ref="O658"/>
    <hyperlink r:id="rId659" ref="O659"/>
    <hyperlink r:id="rId660" ref="O660"/>
    <hyperlink r:id="rId661" ref="O661"/>
    <hyperlink r:id="rId662" ref="O662"/>
    <hyperlink r:id="rId663" ref="O663"/>
    <hyperlink r:id="rId664" ref="O664"/>
    <hyperlink r:id="rId665" ref="O665"/>
    <hyperlink r:id="rId666" ref="O666"/>
    <hyperlink r:id="rId667" ref="O667"/>
    <hyperlink r:id="rId668" ref="O668"/>
    <hyperlink r:id="rId669" ref="O669"/>
    <hyperlink r:id="rId670" ref="O670"/>
    <hyperlink r:id="rId671" ref="O671"/>
    <hyperlink r:id="rId672" ref="O672"/>
    <hyperlink r:id="rId673" ref="O673"/>
    <hyperlink r:id="rId674" ref="O674"/>
    <hyperlink r:id="rId675" ref="O675"/>
    <hyperlink r:id="rId676" ref="O676"/>
    <hyperlink r:id="rId677" ref="O677"/>
    <hyperlink r:id="rId678" ref="O678"/>
    <hyperlink r:id="rId679" ref="O679"/>
    <hyperlink r:id="rId680" ref="O680"/>
    <hyperlink r:id="rId681" ref="O681"/>
    <hyperlink r:id="rId682" ref="O682"/>
    <hyperlink r:id="rId683" ref="O683"/>
    <hyperlink r:id="rId684" ref="O684"/>
    <hyperlink r:id="rId685" ref="O685"/>
    <hyperlink r:id="rId686" ref="O686"/>
    <hyperlink r:id="rId687" ref="O687"/>
    <hyperlink r:id="rId688" ref="O688"/>
    <hyperlink r:id="rId689" ref="O689"/>
    <hyperlink r:id="rId690" ref="O690"/>
    <hyperlink r:id="rId691" ref="O691"/>
    <hyperlink r:id="rId692" ref="O692"/>
    <hyperlink r:id="rId693" ref="O693"/>
    <hyperlink r:id="rId694" ref="O694"/>
    <hyperlink r:id="rId695" ref="O695"/>
    <hyperlink r:id="rId696" ref="O696"/>
    <hyperlink r:id="rId697" ref="O697"/>
    <hyperlink r:id="rId698" ref="O698"/>
    <hyperlink r:id="rId699" ref="O699"/>
    <hyperlink r:id="rId700" ref="O700"/>
    <hyperlink r:id="rId701" ref="O701"/>
    <hyperlink r:id="rId702" ref="O702"/>
    <hyperlink r:id="rId703" ref="O703"/>
    <hyperlink r:id="rId704" ref="O704"/>
    <hyperlink r:id="rId705" ref="O705"/>
    <hyperlink r:id="rId706" ref="O706"/>
    <hyperlink r:id="rId707" ref="O707"/>
    <hyperlink r:id="rId708" ref="O708"/>
    <hyperlink r:id="rId709" ref="O709"/>
    <hyperlink r:id="rId710" ref="O710"/>
    <hyperlink r:id="rId711" ref="O711"/>
    <hyperlink r:id="rId712" ref="O712"/>
    <hyperlink r:id="rId713" ref="O713"/>
    <hyperlink r:id="rId714" ref="O714"/>
    <hyperlink r:id="rId715" ref="O715"/>
    <hyperlink r:id="rId716" ref="O716"/>
    <hyperlink r:id="rId717" ref="O717"/>
    <hyperlink r:id="rId718" ref="O718"/>
    <hyperlink r:id="rId719" ref="O719"/>
    <hyperlink r:id="rId720" ref="O720"/>
    <hyperlink r:id="rId721" ref="O721"/>
    <hyperlink r:id="rId722" ref="O722"/>
    <hyperlink r:id="rId723" ref="O723"/>
    <hyperlink r:id="rId724" ref="O724"/>
    <hyperlink r:id="rId725" ref="O725"/>
    <hyperlink r:id="rId726" ref="O726"/>
    <hyperlink r:id="rId727" ref="O727"/>
    <hyperlink r:id="rId728" ref="O728"/>
    <hyperlink r:id="rId729" ref="O729"/>
    <hyperlink r:id="rId730" ref="O730"/>
    <hyperlink r:id="rId731" ref="O731"/>
    <hyperlink r:id="rId732" ref="O732"/>
    <hyperlink r:id="rId733" ref="O733"/>
    <hyperlink r:id="rId734" ref="O734"/>
    <hyperlink r:id="rId735" ref="O735"/>
    <hyperlink r:id="rId736" ref="O736"/>
    <hyperlink r:id="rId737" ref="O737"/>
    <hyperlink r:id="rId738" ref="O738"/>
    <hyperlink r:id="rId739" ref="O739"/>
    <hyperlink r:id="rId740" ref="O740"/>
    <hyperlink r:id="rId741" ref="O741"/>
    <hyperlink r:id="rId742" ref="O742"/>
    <hyperlink r:id="rId743" ref="O743"/>
    <hyperlink r:id="rId744" ref="O744"/>
    <hyperlink r:id="rId745" ref="O745"/>
    <hyperlink r:id="rId746" ref="O746"/>
    <hyperlink r:id="rId747" ref="O747"/>
    <hyperlink r:id="rId748" ref="O748"/>
    <hyperlink r:id="rId749" ref="O749"/>
    <hyperlink r:id="rId750" ref="O750"/>
    <hyperlink r:id="rId751" ref="O751"/>
    <hyperlink r:id="rId752" ref="O752"/>
    <hyperlink r:id="rId753" ref="O753"/>
    <hyperlink r:id="rId754" ref="O754"/>
    <hyperlink r:id="rId755" ref="O755"/>
    <hyperlink r:id="rId756" ref="O756"/>
    <hyperlink r:id="rId757" ref="O757"/>
    <hyperlink r:id="rId758" ref="O758"/>
    <hyperlink r:id="rId759" ref="O759"/>
    <hyperlink r:id="rId760" ref="O760"/>
    <hyperlink r:id="rId761" ref="O761"/>
    <hyperlink r:id="rId762" ref="O762"/>
    <hyperlink r:id="rId763" ref="O763"/>
    <hyperlink r:id="rId764" ref="O764"/>
    <hyperlink r:id="rId765" ref="O765"/>
    <hyperlink r:id="rId766" ref="O766"/>
    <hyperlink r:id="rId767" ref="O767"/>
    <hyperlink r:id="rId768" ref="O768"/>
    <hyperlink r:id="rId769" ref="O769"/>
    <hyperlink r:id="rId770" ref="O770"/>
    <hyperlink r:id="rId771" ref="O771"/>
    <hyperlink r:id="rId772" ref="O772"/>
    <hyperlink r:id="rId773" ref="O773"/>
    <hyperlink r:id="rId774" ref="O774"/>
    <hyperlink r:id="rId775" ref="O775"/>
    <hyperlink r:id="rId776" ref="O776"/>
    <hyperlink r:id="rId777" ref="O777"/>
    <hyperlink r:id="rId778" ref="O778"/>
    <hyperlink r:id="rId779" ref="O779"/>
    <hyperlink r:id="rId780" ref="O780"/>
    <hyperlink r:id="rId781" ref="O781"/>
    <hyperlink r:id="rId782" ref="O782"/>
    <hyperlink r:id="rId783" ref="O783"/>
    <hyperlink r:id="rId784" ref="O784"/>
    <hyperlink r:id="rId785" ref="O785"/>
    <hyperlink r:id="rId786" ref="O786"/>
    <hyperlink r:id="rId787" ref="O787"/>
    <hyperlink r:id="rId788" ref="O788"/>
    <hyperlink r:id="rId789" ref="O789"/>
    <hyperlink r:id="rId790" ref="O790"/>
    <hyperlink r:id="rId791" ref="O791"/>
    <hyperlink r:id="rId792" ref="O792"/>
    <hyperlink r:id="rId793" ref="O793"/>
    <hyperlink r:id="rId794" ref="O794"/>
    <hyperlink r:id="rId795" ref="O795"/>
    <hyperlink r:id="rId796" ref="O796"/>
    <hyperlink r:id="rId797" ref="O797"/>
    <hyperlink r:id="rId798" ref="O798"/>
    <hyperlink r:id="rId799" ref="O799"/>
    <hyperlink r:id="rId800" ref="O800"/>
    <hyperlink r:id="rId801" ref="O801"/>
    <hyperlink r:id="rId802" ref="O802"/>
    <hyperlink r:id="rId803" ref="O803"/>
    <hyperlink r:id="rId804" ref="O804"/>
    <hyperlink r:id="rId805" ref="O805"/>
    <hyperlink r:id="rId806" ref="O806"/>
    <hyperlink r:id="rId807" ref="O807"/>
    <hyperlink r:id="rId808" ref="O808"/>
    <hyperlink r:id="rId809" ref="O809"/>
    <hyperlink r:id="rId810" ref="O810"/>
    <hyperlink r:id="rId811" ref="O811"/>
    <hyperlink r:id="rId812" ref="O812"/>
    <hyperlink r:id="rId813" ref="O813"/>
    <hyperlink r:id="rId814" ref="O814"/>
    <hyperlink r:id="rId815" ref="O815"/>
    <hyperlink r:id="rId816" ref="O816"/>
    <hyperlink r:id="rId817" ref="O817"/>
    <hyperlink r:id="rId818" ref="O818"/>
    <hyperlink r:id="rId819" ref="O819"/>
    <hyperlink r:id="rId820" ref="O820"/>
    <hyperlink r:id="rId821" ref="O821"/>
    <hyperlink r:id="rId822" ref="O822"/>
    <hyperlink r:id="rId823" ref="O823"/>
    <hyperlink r:id="rId824" ref="O824"/>
    <hyperlink r:id="rId825" ref="O825"/>
    <hyperlink r:id="rId826" ref="O826"/>
    <hyperlink r:id="rId827" ref="O827"/>
    <hyperlink r:id="rId828" ref="O828"/>
    <hyperlink r:id="rId829" ref="O829"/>
    <hyperlink r:id="rId830" ref="O830"/>
    <hyperlink r:id="rId831" ref="O831"/>
    <hyperlink r:id="rId832" ref="O832"/>
    <hyperlink r:id="rId833" ref="O833"/>
    <hyperlink r:id="rId834" ref="O834"/>
    <hyperlink r:id="rId835" ref="O835"/>
    <hyperlink r:id="rId836" ref="O836"/>
    <hyperlink r:id="rId837" ref="O837"/>
    <hyperlink r:id="rId838" ref="O838"/>
    <hyperlink r:id="rId839" ref="O839"/>
    <hyperlink r:id="rId840" ref="O840"/>
    <hyperlink r:id="rId841" ref="O841"/>
    <hyperlink r:id="rId842" ref="O842"/>
    <hyperlink r:id="rId843" ref="O843"/>
    <hyperlink r:id="rId844" ref="O844"/>
    <hyperlink r:id="rId845" ref="O845"/>
    <hyperlink r:id="rId846" ref="O846"/>
    <hyperlink r:id="rId847" ref="O847"/>
    <hyperlink r:id="rId848" ref="O848"/>
    <hyperlink r:id="rId849" ref="O849"/>
    <hyperlink r:id="rId850" ref="O850"/>
    <hyperlink r:id="rId851" ref="O851"/>
    <hyperlink r:id="rId852" ref="O852"/>
    <hyperlink r:id="rId853" ref="O853"/>
    <hyperlink r:id="rId854" ref="O854"/>
    <hyperlink r:id="rId855" ref="O855"/>
    <hyperlink r:id="rId856" ref="O856"/>
    <hyperlink r:id="rId857" ref="O857"/>
    <hyperlink r:id="rId858" ref="O858"/>
    <hyperlink r:id="rId859" ref="O859"/>
    <hyperlink r:id="rId860" ref="O860"/>
    <hyperlink r:id="rId861" ref="O861"/>
    <hyperlink r:id="rId862" ref="O862"/>
    <hyperlink r:id="rId863" ref="O863"/>
    <hyperlink r:id="rId864" ref="O864"/>
    <hyperlink r:id="rId865" ref="O865"/>
    <hyperlink r:id="rId866" ref="O866"/>
    <hyperlink r:id="rId867" ref="O867"/>
    <hyperlink r:id="rId868" ref="O868"/>
    <hyperlink r:id="rId869" ref="O869"/>
    <hyperlink r:id="rId870" ref="O870"/>
    <hyperlink r:id="rId871" ref="O871"/>
    <hyperlink r:id="rId872" ref="O872"/>
    <hyperlink r:id="rId873" ref="O873"/>
    <hyperlink r:id="rId874" ref="O874"/>
    <hyperlink r:id="rId875" ref="O875"/>
    <hyperlink r:id="rId876" ref="O876"/>
    <hyperlink r:id="rId877" ref="O877"/>
    <hyperlink r:id="rId878" ref="O878"/>
    <hyperlink r:id="rId879" ref="O879"/>
    <hyperlink r:id="rId880" ref="O880"/>
    <hyperlink r:id="rId881" ref="O881"/>
    <hyperlink r:id="rId882" ref="O882"/>
    <hyperlink r:id="rId883" ref="O883"/>
    <hyperlink r:id="rId884" ref="O884"/>
    <hyperlink r:id="rId885" ref="O885"/>
    <hyperlink r:id="rId886" ref="O886"/>
    <hyperlink r:id="rId887" ref="O887"/>
    <hyperlink r:id="rId888" ref="O888"/>
    <hyperlink r:id="rId889" ref="O889"/>
    <hyperlink r:id="rId890" ref="O890"/>
    <hyperlink r:id="rId891" ref="O891"/>
    <hyperlink r:id="rId892" ref="O892"/>
    <hyperlink r:id="rId893" ref="O893"/>
    <hyperlink r:id="rId894" ref="O894"/>
    <hyperlink r:id="rId895" ref="O895"/>
    <hyperlink r:id="rId896" ref="O896"/>
    <hyperlink r:id="rId897" ref="O897"/>
    <hyperlink r:id="rId898" ref="O898"/>
    <hyperlink r:id="rId899" ref="O899"/>
    <hyperlink r:id="rId900" ref="O900"/>
    <hyperlink r:id="rId901" ref="O901"/>
    <hyperlink r:id="rId902" ref="O902"/>
    <hyperlink r:id="rId903" ref="O903"/>
    <hyperlink r:id="rId904" ref="O904"/>
    <hyperlink r:id="rId905" ref="O905"/>
    <hyperlink r:id="rId906" ref="O906"/>
    <hyperlink r:id="rId907" ref="O907"/>
    <hyperlink r:id="rId908" ref="O908"/>
    <hyperlink r:id="rId909" ref="O909"/>
    <hyperlink r:id="rId910" ref="O910"/>
    <hyperlink r:id="rId911" ref="O911"/>
    <hyperlink r:id="rId912" ref="O912"/>
    <hyperlink r:id="rId913" ref="O913"/>
    <hyperlink r:id="rId914" ref="O914"/>
    <hyperlink r:id="rId915" ref="O915"/>
    <hyperlink r:id="rId916" ref="O916"/>
    <hyperlink r:id="rId917" ref="O917"/>
    <hyperlink r:id="rId918" ref="O918"/>
    <hyperlink r:id="rId919" ref="O919"/>
    <hyperlink r:id="rId920" ref="O920"/>
    <hyperlink r:id="rId921" ref="O921"/>
    <hyperlink r:id="rId922" ref="O922"/>
    <hyperlink r:id="rId923" ref="O923"/>
    <hyperlink r:id="rId924" ref="O924"/>
    <hyperlink r:id="rId925" ref="O925"/>
    <hyperlink r:id="rId926" ref="O926"/>
    <hyperlink r:id="rId927" ref="O927"/>
    <hyperlink r:id="rId928" ref="O928"/>
    <hyperlink r:id="rId929" ref="O929"/>
    <hyperlink r:id="rId930" ref="O930"/>
    <hyperlink r:id="rId931" ref="O931"/>
    <hyperlink r:id="rId932" ref="O932"/>
    <hyperlink r:id="rId933" ref="O933"/>
    <hyperlink r:id="rId934" ref="O934"/>
    <hyperlink r:id="rId935" ref="O935"/>
    <hyperlink r:id="rId936" ref="O936"/>
    <hyperlink r:id="rId937" ref="O937"/>
    <hyperlink r:id="rId938" ref="O938"/>
    <hyperlink r:id="rId939" ref="O939"/>
    <hyperlink r:id="rId940" ref="O940"/>
    <hyperlink r:id="rId941" ref="O941"/>
    <hyperlink r:id="rId942" ref="O942"/>
    <hyperlink r:id="rId943" ref="O943"/>
    <hyperlink r:id="rId944" ref="O944"/>
    <hyperlink r:id="rId945" ref="O945"/>
    <hyperlink r:id="rId946" ref="O946"/>
    <hyperlink r:id="rId947" ref="O947"/>
    <hyperlink r:id="rId948" ref="O948"/>
    <hyperlink r:id="rId949" ref="O949"/>
    <hyperlink r:id="rId950" ref="O950"/>
    <hyperlink r:id="rId951" ref="O951"/>
    <hyperlink r:id="rId952" ref="O952"/>
    <hyperlink r:id="rId953" ref="O953"/>
    <hyperlink r:id="rId954" ref="O954"/>
    <hyperlink r:id="rId955" ref="O955"/>
    <hyperlink r:id="rId956" ref="O956"/>
    <hyperlink r:id="rId957" ref="O957"/>
    <hyperlink r:id="rId958" ref="O958"/>
    <hyperlink r:id="rId959" ref="O959"/>
    <hyperlink r:id="rId960" ref="O960"/>
    <hyperlink r:id="rId961" ref="O961"/>
    <hyperlink r:id="rId962" ref="O962"/>
    <hyperlink r:id="rId963" ref="O963"/>
    <hyperlink r:id="rId964" ref="O964"/>
    <hyperlink r:id="rId965" ref="O965"/>
    <hyperlink r:id="rId966" ref="O966"/>
    <hyperlink r:id="rId967" ref="O967"/>
    <hyperlink r:id="rId968" ref="O968"/>
    <hyperlink r:id="rId969" ref="O969"/>
    <hyperlink r:id="rId970" ref="O970"/>
    <hyperlink r:id="rId971" ref="O971"/>
    <hyperlink r:id="rId972" ref="O972"/>
    <hyperlink r:id="rId973" ref="O973"/>
    <hyperlink r:id="rId974" ref="O974"/>
    <hyperlink r:id="rId975" ref="O975"/>
    <hyperlink r:id="rId976" ref="O976"/>
    <hyperlink r:id="rId977" ref="O977"/>
    <hyperlink r:id="rId978" ref="O978"/>
    <hyperlink r:id="rId979" ref="O979"/>
    <hyperlink r:id="rId980" ref="O980"/>
    <hyperlink r:id="rId981" ref="O981"/>
    <hyperlink r:id="rId982" ref="O982"/>
    <hyperlink r:id="rId983" ref="O983"/>
    <hyperlink r:id="rId984" ref="O984"/>
    <hyperlink r:id="rId985" ref="O985"/>
    <hyperlink r:id="rId986" ref="O986"/>
    <hyperlink r:id="rId987" ref="O987"/>
    <hyperlink r:id="rId988" ref="O988"/>
    <hyperlink r:id="rId989" ref="O989"/>
    <hyperlink r:id="rId990" ref="O990"/>
    <hyperlink r:id="rId991" ref="O991"/>
    <hyperlink r:id="rId992" ref="O992"/>
    <hyperlink r:id="rId993" ref="O993"/>
    <hyperlink r:id="rId994" ref="O994"/>
    <hyperlink r:id="rId995" ref="O995"/>
    <hyperlink r:id="rId996" ref="O996"/>
    <hyperlink r:id="rId997" ref="O997"/>
    <hyperlink r:id="rId998" ref="O998"/>
    <hyperlink r:id="rId999" ref="O999"/>
    <hyperlink r:id="rId1000" ref="O1000"/>
    <hyperlink r:id="rId1001" ref="O1001"/>
    <hyperlink r:id="rId1002" ref="O1002"/>
    <hyperlink r:id="rId1003" ref="O1003"/>
    <hyperlink r:id="rId1004" ref="O1004"/>
    <hyperlink r:id="rId1005" ref="O1005"/>
    <hyperlink r:id="rId1006" ref="O1006"/>
    <hyperlink r:id="rId1007" ref="O1007"/>
    <hyperlink r:id="rId1008" ref="O1008"/>
    <hyperlink r:id="rId1009" ref="O1009"/>
    <hyperlink r:id="rId1010" ref="O1010"/>
    <hyperlink r:id="rId1011" ref="O1011"/>
    <hyperlink r:id="rId1012" ref="O1012"/>
    <hyperlink r:id="rId1013" ref="O1013"/>
    <hyperlink r:id="rId1014" ref="O1014"/>
    <hyperlink r:id="rId1015" ref="O1015"/>
    <hyperlink r:id="rId1016" ref="O1016"/>
    <hyperlink r:id="rId1017" ref="O1017"/>
    <hyperlink r:id="rId1018" ref="O1018"/>
    <hyperlink r:id="rId1019" ref="O1019"/>
    <hyperlink r:id="rId1020" ref="O1020"/>
    <hyperlink r:id="rId1021" ref="O1021"/>
    <hyperlink r:id="rId1022" ref="O1022"/>
    <hyperlink r:id="rId1023" ref="O1023"/>
    <hyperlink r:id="rId1024" ref="O1024"/>
    <hyperlink r:id="rId1025" ref="O1025"/>
    <hyperlink r:id="rId1026" ref="O1026"/>
    <hyperlink r:id="rId1027" ref="O1027"/>
    <hyperlink r:id="rId1028" ref="O1028"/>
    <hyperlink r:id="rId1029" ref="O1029"/>
    <hyperlink r:id="rId1030" ref="O1030"/>
    <hyperlink r:id="rId1031" ref="O1031"/>
    <hyperlink r:id="rId1032" ref="O1032"/>
    <hyperlink r:id="rId1033" ref="O1033"/>
    <hyperlink r:id="rId1034" ref="O1034"/>
    <hyperlink r:id="rId1035" ref="O1035"/>
    <hyperlink r:id="rId1036" ref="O1036"/>
    <hyperlink r:id="rId1037" ref="O1037"/>
    <hyperlink r:id="rId1038" ref="O1038"/>
    <hyperlink r:id="rId1039" ref="O1039"/>
    <hyperlink r:id="rId1040" ref="O1040"/>
    <hyperlink r:id="rId1041" ref="O1041"/>
    <hyperlink r:id="rId1042" ref="O1042"/>
    <hyperlink r:id="rId1043" ref="O1043"/>
    <hyperlink r:id="rId1044" ref="O1044"/>
    <hyperlink r:id="rId1045" ref="O1045"/>
    <hyperlink r:id="rId1046" ref="O1046"/>
    <hyperlink r:id="rId1047" ref="O1047"/>
    <hyperlink r:id="rId1048" ref="O1048"/>
    <hyperlink r:id="rId1049" ref="O1049"/>
    <hyperlink r:id="rId1050" ref="O1050"/>
    <hyperlink r:id="rId1051" ref="O1051"/>
    <hyperlink r:id="rId1052" ref="O1052"/>
    <hyperlink r:id="rId1053" ref="O1053"/>
    <hyperlink r:id="rId1054" ref="O1054"/>
    <hyperlink r:id="rId1055" ref="O1055"/>
    <hyperlink r:id="rId1056" ref="O1056"/>
    <hyperlink r:id="rId1057" ref="O1057"/>
    <hyperlink r:id="rId1058" ref="O1058"/>
    <hyperlink r:id="rId1059" ref="O1059"/>
    <hyperlink r:id="rId1060" ref="O1060"/>
    <hyperlink r:id="rId1061" ref="O1061"/>
    <hyperlink r:id="rId1062" ref="O1062"/>
    <hyperlink r:id="rId1063" ref="O1063"/>
    <hyperlink r:id="rId1064" ref="O1064"/>
    <hyperlink r:id="rId1065" ref="O1065"/>
    <hyperlink r:id="rId1066" ref="O1066"/>
    <hyperlink r:id="rId1067" ref="O1067"/>
    <hyperlink r:id="rId1068" ref="O1068"/>
    <hyperlink r:id="rId1069" ref="O1069"/>
    <hyperlink r:id="rId1070" ref="O1070"/>
    <hyperlink r:id="rId1071" ref="O1071"/>
    <hyperlink r:id="rId1072" ref="O1072"/>
    <hyperlink r:id="rId1073" ref="O1073"/>
    <hyperlink r:id="rId1074" ref="O1074"/>
    <hyperlink r:id="rId1075" ref="O1075"/>
    <hyperlink r:id="rId1076" ref="O1076"/>
    <hyperlink r:id="rId1077" ref="O1077"/>
    <hyperlink r:id="rId1078" ref="O1078"/>
    <hyperlink r:id="rId1079" ref="O1079"/>
    <hyperlink r:id="rId1080" ref="O1080"/>
    <hyperlink r:id="rId1081" ref="O1081"/>
    <hyperlink r:id="rId1082" ref="O1082"/>
    <hyperlink r:id="rId1083" ref="O1083"/>
    <hyperlink r:id="rId1084" ref="O1084"/>
    <hyperlink r:id="rId1085" ref="O1085"/>
    <hyperlink r:id="rId1086" ref="O1086"/>
    <hyperlink r:id="rId1087" ref="O1087"/>
    <hyperlink r:id="rId1088" ref="O1088"/>
    <hyperlink r:id="rId1089" ref="O1089"/>
    <hyperlink r:id="rId1090" ref="O1090"/>
    <hyperlink r:id="rId1091" ref="O1091"/>
    <hyperlink r:id="rId1092" ref="O1092"/>
    <hyperlink r:id="rId1093" ref="O1093"/>
    <hyperlink r:id="rId1094" ref="O1094"/>
    <hyperlink r:id="rId1095" ref="O1095"/>
    <hyperlink r:id="rId1096" ref="O1096"/>
    <hyperlink r:id="rId1097" ref="O1097"/>
    <hyperlink r:id="rId1098" ref="O1098"/>
    <hyperlink r:id="rId1099" ref="O1099"/>
    <hyperlink r:id="rId1100" ref="O1100"/>
    <hyperlink r:id="rId1101" ref="O1101"/>
    <hyperlink r:id="rId1102" ref="O1102"/>
    <hyperlink r:id="rId1103" ref="O1103"/>
    <hyperlink r:id="rId1104" ref="O1104"/>
    <hyperlink r:id="rId1105" ref="O1105"/>
    <hyperlink r:id="rId1106" ref="O1106"/>
    <hyperlink r:id="rId1107" ref="O1107"/>
    <hyperlink r:id="rId1108" ref="O1108"/>
    <hyperlink r:id="rId1109" ref="O1109"/>
    <hyperlink r:id="rId1110" ref="O1110"/>
    <hyperlink r:id="rId1111" ref="O1111"/>
    <hyperlink r:id="rId1112" ref="O1112"/>
    <hyperlink r:id="rId1113" ref="O1113"/>
    <hyperlink r:id="rId1114" ref="O1114"/>
    <hyperlink r:id="rId1115" ref="O1115"/>
    <hyperlink r:id="rId1116" ref="O1116"/>
    <hyperlink r:id="rId1117" ref="O1117"/>
    <hyperlink r:id="rId1118" ref="O1118"/>
    <hyperlink r:id="rId1119" ref="O1119"/>
    <hyperlink r:id="rId1120" ref="O1120"/>
    <hyperlink r:id="rId1121" ref="O1121"/>
    <hyperlink r:id="rId1122" ref="O1122"/>
    <hyperlink r:id="rId1123" ref="O1123"/>
    <hyperlink r:id="rId1124" ref="O1124"/>
    <hyperlink r:id="rId1125" ref="O1125"/>
    <hyperlink r:id="rId1126" ref="O1126"/>
    <hyperlink r:id="rId1127" ref="O1127"/>
    <hyperlink r:id="rId1128" ref="O1128"/>
    <hyperlink r:id="rId1129" ref="O1129"/>
    <hyperlink r:id="rId1130" ref="O1130"/>
    <hyperlink r:id="rId1131" ref="O1131"/>
    <hyperlink r:id="rId1132" ref="O1132"/>
    <hyperlink r:id="rId1133" ref="O1133"/>
    <hyperlink r:id="rId1134" ref="O1134"/>
    <hyperlink r:id="rId1135" ref="O1135"/>
    <hyperlink r:id="rId1136" ref="O1136"/>
    <hyperlink r:id="rId1137" ref="O1137"/>
    <hyperlink r:id="rId1138" ref="O1138"/>
    <hyperlink r:id="rId1139" ref="O1139"/>
    <hyperlink r:id="rId1140" ref="O1140"/>
    <hyperlink r:id="rId1141" ref="O1141"/>
    <hyperlink r:id="rId1142" ref="O1142"/>
    <hyperlink r:id="rId1143" ref="O1143"/>
    <hyperlink r:id="rId1144" ref="O1144"/>
    <hyperlink r:id="rId1145" ref="O1145"/>
    <hyperlink r:id="rId1146" ref="O1146"/>
    <hyperlink r:id="rId1147" ref="O1147"/>
    <hyperlink r:id="rId1148" ref="O1148"/>
    <hyperlink r:id="rId1149" ref="O1149"/>
    <hyperlink r:id="rId1150" ref="O1150"/>
    <hyperlink r:id="rId1151" ref="O1151"/>
    <hyperlink r:id="rId1152" ref="O1152"/>
    <hyperlink r:id="rId1153" ref="O1153"/>
    <hyperlink r:id="rId1154" ref="O1154"/>
    <hyperlink r:id="rId1155" ref="O1155"/>
    <hyperlink r:id="rId1156" ref="O1156"/>
    <hyperlink r:id="rId1157" ref="O1157"/>
    <hyperlink r:id="rId1158" ref="O1158"/>
    <hyperlink r:id="rId1159" ref="O1159"/>
    <hyperlink r:id="rId1160" ref="O1160"/>
    <hyperlink r:id="rId1161" ref="O1161"/>
    <hyperlink r:id="rId1162" ref="O1162"/>
    <hyperlink r:id="rId1163" ref="O1163"/>
    <hyperlink r:id="rId1164" ref="O1164"/>
    <hyperlink r:id="rId1165" ref="O1165"/>
    <hyperlink r:id="rId1166" ref="O1166"/>
    <hyperlink r:id="rId1167" ref="O1167"/>
    <hyperlink r:id="rId1168" ref="O1168"/>
    <hyperlink r:id="rId1169" ref="O1169"/>
    <hyperlink r:id="rId1170" ref="O1170"/>
    <hyperlink r:id="rId1171" ref="O1171"/>
    <hyperlink r:id="rId1172" ref="O1172"/>
    <hyperlink r:id="rId1173" ref="O1173"/>
    <hyperlink r:id="rId1174" ref="O1174"/>
    <hyperlink r:id="rId1175" ref="O1175"/>
    <hyperlink r:id="rId1176" ref="O1176"/>
    <hyperlink r:id="rId1177" ref="O1177"/>
    <hyperlink r:id="rId1178" ref="O1178"/>
    <hyperlink r:id="rId1179" ref="O1179"/>
    <hyperlink r:id="rId1180" ref="O1180"/>
    <hyperlink r:id="rId1181" ref="O1181"/>
    <hyperlink r:id="rId1182" ref="O1182"/>
    <hyperlink r:id="rId1183" ref="O1183"/>
    <hyperlink r:id="rId1184" ref="O1184"/>
    <hyperlink r:id="rId1185" ref="O1185"/>
    <hyperlink r:id="rId1186" ref="O1186"/>
    <hyperlink r:id="rId1187" ref="O1187"/>
    <hyperlink r:id="rId1188" ref="O1188"/>
    <hyperlink r:id="rId1189" ref="O1189"/>
    <hyperlink r:id="rId1190" ref="O1190"/>
    <hyperlink r:id="rId1191" ref="O1191"/>
    <hyperlink r:id="rId1192" ref="O1192"/>
    <hyperlink r:id="rId1193" ref="O1193"/>
    <hyperlink r:id="rId1194" ref="O1194"/>
    <hyperlink r:id="rId1195" ref="O1195"/>
    <hyperlink r:id="rId1196" ref="O1196"/>
    <hyperlink r:id="rId1197" ref="O1197"/>
    <hyperlink r:id="rId1198" ref="O1198"/>
    <hyperlink r:id="rId1199" ref="O1199"/>
    <hyperlink r:id="rId1200" ref="O1200"/>
    <hyperlink r:id="rId1201" ref="O1201"/>
    <hyperlink r:id="rId1202" ref="O1202"/>
    <hyperlink r:id="rId1203" ref="O1203"/>
    <hyperlink r:id="rId1204" ref="O1204"/>
    <hyperlink r:id="rId1205" ref="O1205"/>
    <hyperlink r:id="rId1206" ref="O1206"/>
    <hyperlink r:id="rId1207" ref="O1207"/>
    <hyperlink r:id="rId1208" ref="O1208"/>
    <hyperlink r:id="rId1209" ref="O1209"/>
    <hyperlink r:id="rId1210" ref="O1210"/>
    <hyperlink r:id="rId1211" ref="O1211"/>
    <hyperlink r:id="rId1212" ref="O1212"/>
    <hyperlink r:id="rId1213" ref="O1213"/>
    <hyperlink r:id="rId1214" ref="O1214"/>
    <hyperlink r:id="rId1215" ref="O1215"/>
    <hyperlink r:id="rId1216" ref="O1216"/>
    <hyperlink r:id="rId1217" ref="O1217"/>
    <hyperlink r:id="rId1218" ref="O1218"/>
    <hyperlink r:id="rId1219" ref="O1219"/>
    <hyperlink r:id="rId1220" ref="O1220"/>
    <hyperlink r:id="rId1221" ref="O1221"/>
    <hyperlink r:id="rId1222" ref="O1222"/>
    <hyperlink r:id="rId1223" ref="O1223"/>
    <hyperlink r:id="rId1224" ref="O1224"/>
    <hyperlink r:id="rId1225" ref="O1225"/>
    <hyperlink r:id="rId1226" ref="O1226"/>
    <hyperlink r:id="rId1227" ref="O1227"/>
    <hyperlink r:id="rId1228" ref="O1228"/>
    <hyperlink r:id="rId1229" ref="O1229"/>
    <hyperlink r:id="rId1230" ref="O1230"/>
    <hyperlink r:id="rId1231" ref="O1231"/>
    <hyperlink r:id="rId1232" ref="O1232"/>
    <hyperlink r:id="rId1233" ref="O1233"/>
    <hyperlink r:id="rId1234" ref="O1234"/>
    <hyperlink r:id="rId1235" ref="O1235"/>
    <hyperlink r:id="rId1236" ref="O1236"/>
    <hyperlink r:id="rId1237" ref="O1237"/>
    <hyperlink r:id="rId1238" ref="O1238"/>
    <hyperlink r:id="rId1239" ref="O1239"/>
    <hyperlink r:id="rId1240" ref="O1240"/>
    <hyperlink r:id="rId1241" ref="O1241"/>
    <hyperlink r:id="rId1242" ref="O1242"/>
    <hyperlink r:id="rId1243" ref="O1243"/>
    <hyperlink r:id="rId1244" ref="O1244"/>
    <hyperlink r:id="rId1245" ref="O1245"/>
    <hyperlink r:id="rId1246" ref="O1246"/>
    <hyperlink r:id="rId1247" ref="O1247"/>
    <hyperlink r:id="rId1248" ref="O1248"/>
    <hyperlink r:id="rId1249" ref="O1249"/>
    <hyperlink r:id="rId1250" ref="O1250"/>
    <hyperlink r:id="rId1251" ref="O1251"/>
    <hyperlink r:id="rId1252" ref="O1252"/>
    <hyperlink r:id="rId1253" ref="O1253"/>
    <hyperlink r:id="rId1254" ref="O1254"/>
    <hyperlink r:id="rId1255" ref="O1255"/>
    <hyperlink r:id="rId1256" ref="O1256"/>
    <hyperlink r:id="rId1257" ref="O1257"/>
    <hyperlink r:id="rId1258" ref="O1258"/>
    <hyperlink r:id="rId1259" ref="O1259"/>
    <hyperlink r:id="rId1260" ref="O1260"/>
    <hyperlink r:id="rId1261" ref="O1261"/>
    <hyperlink r:id="rId1262" ref="O1262"/>
    <hyperlink r:id="rId1263" ref="O1263"/>
    <hyperlink r:id="rId1264" ref="O1264"/>
    <hyperlink r:id="rId1265" ref="O1265"/>
    <hyperlink r:id="rId1266" ref="O1266"/>
    <hyperlink r:id="rId1267" ref="O1267"/>
    <hyperlink r:id="rId1268" ref="O1268"/>
    <hyperlink r:id="rId1269" ref="O1269"/>
    <hyperlink r:id="rId1270" ref="O1270"/>
    <hyperlink r:id="rId1271" ref="O1271"/>
    <hyperlink r:id="rId1272" ref="O1272"/>
    <hyperlink r:id="rId1273" ref="O1273"/>
    <hyperlink r:id="rId1274" ref="O1274"/>
    <hyperlink r:id="rId1275" ref="O1275"/>
    <hyperlink r:id="rId1276" ref="O1276"/>
    <hyperlink r:id="rId1277" ref="O1277"/>
    <hyperlink r:id="rId1278" ref="O1278"/>
    <hyperlink r:id="rId1279" ref="O1279"/>
    <hyperlink r:id="rId1280" ref="O1280"/>
    <hyperlink r:id="rId1281" ref="O1281"/>
    <hyperlink r:id="rId1282" ref="O1282"/>
    <hyperlink r:id="rId1283" ref="O1283"/>
    <hyperlink r:id="rId1284" ref="O1284"/>
    <hyperlink r:id="rId1285" ref="O1285"/>
    <hyperlink r:id="rId1286" ref="O1286"/>
    <hyperlink r:id="rId1287" ref="O1287"/>
    <hyperlink r:id="rId1288" ref="O1288"/>
    <hyperlink r:id="rId1289" ref="O1289"/>
    <hyperlink r:id="rId1290" ref="O1290"/>
    <hyperlink r:id="rId1291" ref="O1291"/>
    <hyperlink r:id="rId1292" ref="O1292"/>
    <hyperlink r:id="rId1293" ref="O1293"/>
    <hyperlink r:id="rId1294" ref="O1294"/>
    <hyperlink r:id="rId1295" ref="O1295"/>
    <hyperlink r:id="rId1296" ref="O1296"/>
    <hyperlink r:id="rId1297" ref="O1297"/>
    <hyperlink r:id="rId1298" ref="O1298"/>
    <hyperlink r:id="rId1299" ref="O1299"/>
    <hyperlink r:id="rId1300" ref="O1300"/>
    <hyperlink r:id="rId1301" ref="O1301"/>
    <hyperlink r:id="rId1302" ref="O1302"/>
    <hyperlink r:id="rId1303" ref="O1303"/>
    <hyperlink r:id="rId1304" ref="O1304"/>
    <hyperlink r:id="rId1305" ref="O1305"/>
    <hyperlink r:id="rId1306" ref="O1306"/>
    <hyperlink r:id="rId1307" ref="O1307"/>
    <hyperlink r:id="rId1308" ref="O1308"/>
    <hyperlink r:id="rId1309" ref="O1309"/>
    <hyperlink r:id="rId1310" ref="O1310"/>
    <hyperlink r:id="rId1311" ref="O1311"/>
    <hyperlink r:id="rId1312" ref="O1312"/>
    <hyperlink r:id="rId1313" ref="O1313"/>
    <hyperlink r:id="rId1314" ref="O1314"/>
    <hyperlink r:id="rId1315" ref="O1315"/>
    <hyperlink r:id="rId1316" ref="O1316"/>
    <hyperlink r:id="rId1317" ref="O1317"/>
    <hyperlink r:id="rId1318" ref="O1318"/>
    <hyperlink r:id="rId1319" ref="O1319"/>
    <hyperlink r:id="rId1320" ref="O1320"/>
    <hyperlink r:id="rId1321" ref="O1321"/>
    <hyperlink r:id="rId1322" ref="O1322"/>
    <hyperlink r:id="rId1323" ref="O1323"/>
    <hyperlink r:id="rId1324" ref="O1324"/>
    <hyperlink r:id="rId1325" ref="O1325"/>
    <hyperlink r:id="rId1326" ref="O1326"/>
    <hyperlink r:id="rId1327" ref="O1327"/>
    <hyperlink r:id="rId1328" ref="O1328"/>
    <hyperlink r:id="rId1329" ref="O1329"/>
    <hyperlink r:id="rId1330" ref="O1330"/>
    <hyperlink r:id="rId1331" ref="O1331"/>
    <hyperlink r:id="rId1332" ref="O1332"/>
    <hyperlink r:id="rId1333" ref="O1333"/>
    <hyperlink r:id="rId1334" ref="O1334"/>
    <hyperlink r:id="rId1335" ref="O1335"/>
    <hyperlink r:id="rId1336" ref="O1336"/>
    <hyperlink r:id="rId1337" ref="O1337"/>
    <hyperlink r:id="rId1338" ref="O1338"/>
    <hyperlink r:id="rId1339" ref="O1339"/>
    <hyperlink r:id="rId1340" ref="O1340"/>
    <hyperlink r:id="rId1341" ref="O1341"/>
    <hyperlink r:id="rId1342" ref="O1342"/>
    <hyperlink r:id="rId1343" ref="O1343"/>
    <hyperlink r:id="rId1344" ref="O1344"/>
    <hyperlink r:id="rId1345" ref="O1345"/>
    <hyperlink r:id="rId1346" ref="O1346"/>
    <hyperlink r:id="rId1347" ref="O1347"/>
    <hyperlink r:id="rId1348" ref="O1348"/>
    <hyperlink r:id="rId1349" ref="O1349"/>
    <hyperlink r:id="rId1350" ref="O1350"/>
    <hyperlink r:id="rId1351" ref="O1351"/>
    <hyperlink r:id="rId1352" ref="O1352"/>
    <hyperlink r:id="rId1353" ref="O1353"/>
    <hyperlink r:id="rId1354" ref="O1354"/>
    <hyperlink r:id="rId1355" ref="O1355"/>
    <hyperlink r:id="rId1356" ref="O1356"/>
    <hyperlink r:id="rId1357" ref="O1357"/>
    <hyperlink r:id="rId1358" ref="O1358"/>
    <hyperlink r:id="rId1359" ref="O1359"/>
    <hyperlink r:id="rId1360" ref="O1360"/>
    <hyperlink r:id="rId1361" ref="O1361"/>
    <hyperlink r:id="rId1362" ref="O1362"/>
    <hyperlink r:id="rId1363" ref="O1363"/>
    <hyperlink r:id="rId1364" ref="O1364"/>
    <hyperlink r:id="rId1365" ref="O1365"/>
    <hyperlink r:id="rId1366" ref="O1366"/>
    <hyperlink r:id="rId1367" ref="O1367"/>
    <hyperlink r:id="rId1368" ref="O1368"/>
    <hyperlink r:id="rId1369" ref="O1369"/>
    <hyperlink r:id="rId1370" ref="O1370"/>
    <hyperlink r:id="rId1371" ref="O1371"/>
    <hyperlink r:id="rId1372" ref="O1372"/>
    <hyperlink r:id="rId1373" ref="O1373"/>
    <hyperlink r:id="rId1374" ref="O1374"/>
    <hyperlink r:id="rId1375" ref="O1375"/>
    <hyperlink r:id="rId1376" ref="O1376"/>
    <hyperlink r:id="rId1377" ref="O1377"/>
    <hyperlink r:id="rId1378" ref="O1378"/>
    <hyperlink r:id="rId1379" ref="O1379"/>
    <hyperlink r:id="rId1380" ref="O1380"/>
    <hyperlink r:id="rId1381" ref="O1381"/>
    <hyperlink r:id="rId1382" ref="O1382"/>
    <hyperlink r:id="rId1383" ref="O1383"/>
    <hyperlink r:id="rId1384" ref="O1384"/>
    <hyperlink r:id="rId1385" ref="O1385"/>
    <hyperlink r:id="rId1386" ref="O1386"/>
    <hyperlink r:id="rId1387" ref="O1387"/>
    <hyperlink r:id="rId1388" ref="O1388"/>
    <hyperlink r:id="rId1389" ref="O1389"/>
    <hyperlink r:id="rId1390" ref="O1390"/>
    <hyperlink r:id="rId1391" ref="O1391"/>
    <hyperlink r:id="rId1392" ref="O1392"/>
    <hyperlink r:id="rId1393" ref="O1393"/>
    <hyperlink r:id="rId1394" ref="O1394"/>
    <hyperlink r:id="rId1395" ref="O1395"/>
    <hyperlink r:id="rId1396" ref="O1396"/>
    <hyperlink r:id="rId1397" ref="O1397"/>
    <hyperlink r:id="rId1398" ref="O1398"/>
    <hyperlink r:id="rId1399" ref="O1399"/>
    <hyperlink r:id="rId1400" ref="O1400"/>
    <hyperlink r:id="rId1401" ref="O1401"/>
    <hyperlink r:id="rId1402" ref="O1402"/>
    <hyperlink r:id="rId1403" ref="O1403"/>
    <hyperlink r:id="rId1404" ref="O1404"/>
    <hyperlink r:id="rId1405" ref="O1405"/>
    <hyperlink r:id="rId1406" ref="O1406"/>
    <hyperlink r:id="rId1407" ref="O1407"/>
    <hyperlink r:id="rId1408" ref="O1408"/>
    <hyperlink r:id="rId1409" ref="O1409"/>
    <hyperlink r:id="rId1410" ref="O1410"/>
    <hyperlink r:id="rId1411" ref="O1411"/>
    <hyperlink r:id="rId1412" ref="O1412"/>
    <hyperlink r:id="rId1413" ref="O1413"/>
    <hyperlink r:id="rId1414" ref="O1414"/>
    <hyperlink r:id="rId1415" ref="O1415"/>
    <hyperlink r:id="rId1416" ref="O1416"/>
    <hyperlink r:id="rId1417" ref="O1417"/>
    <hyperlink r:id="rId1418" ref="O1418"/>
    <hyperlink r:id="rId1419" ref="O1419"/>
    <hyperlink r:id="rId1420" ref="O1420"/>
    <hyperlink r:id="rId1421" ref="O1421"/>
    <hyperlink r:id="rId1422" ref="O1422"/>
    <hyperlink r:id="rId1423" ref="O1423"/>
    <hyperlink r:id="rId1424" ref="O1424"/>
    <hyperlink r:id="rId1425" ref="O1425"/>
    <hyperlink r:id="rId1426" ref="O1426"/>
    <hyperlink r:id="rId1427" ref="O1427"/>
    <hyperlink r:id="rId1428" ref="O1428"/>
    <hyperlink r:id="rId1429" ref="O1429"/>
    <hyperlink r:id="rId1430" ref="O1430"/>
    <hyperlink r:id="rId1431" ref="O1431"/>
    <hyperlink r:id="rId1432" ref="O1432"/>
    <hyperlink r:id="rId1433" ref="O1433"/>
    <hyperlink r:id="rId1434" ref="O1434"/>
    <hyperlink r:id="rId1435" ref="O1435"/>
    <hyperlink r:id="rId1436" ref="O1436"/>
    <hyperlink r:id="rId1437" ref="O1437"/>
    <hyperlink r:id="rId1438" ref="O1438"/>
    <hyperlink r:id="rId1439" ref="O1439"/>
    <hyperlink r:id="rId1440" ref="O1440"/>
    <hyperlink r:id="rId1441" ref="O1441"/>
    <hyperlink r:id="rId1442" ref="O1442"/>
    <hyperlink r:id="rId1443" ref="O1443"/>
    <hyperlink r:id="rId1444" ref="O1444"/>
    <hyperlink r:id="rId1445" ref="O1445"/>
    <hyperlink r:id="rId1446" ref="O1446"/>
    <hyperlink r:id="rId1447" ref="O1447"/>
    <hyperlink r:id="rId1448" ref="O1448"/>
    <hyperlink r:id="rId1449" ref="O1449"/>
    <hyperlink r:id="rId1450" ref="O1450"/>
    <hyperlink r:id="rId1451" ref="O1451"/>
    <hyperlink r:id="rId1452" ref="O1452"/>
    <hyperlink r:id="rId1453" ref="O1453"/>
    <hyperlink r:id="rId1454" ref="O1454"/>
    <hyperlink r:id="rId1455" ref="O1455"/>
    <hyperlink r:id="rId1456" ref="O1456"/>
    <hyperlink r:id="rId1457" ref="O1457"/>
    <hyperlink r:id="rId1458" ref="O1458"/>
    <hyperlink r:id="rId1459" ref="O1459"/>
    <hyperlink r:id="rId1460" ref="O1460"/>
    <hyperlink r:id="rId1461" ref="O1461"/>
    <hyperlink r:id="rId1462" ref="O1462"/>
    <hyperlink r:id="rId1463" ref="O1463"/>
    <hyperlink r:id="rId1464" ref="O1464"/>
    <hyperlink r:id="rId1465" ref="O1465"/>
    <hyperlink r:id="rId1466" ref="O1466"/>
    <hyperlink r:id="rId1467" ref="O1467"/>
    <hyperlink r:id="rId1468" ref="O1468"/>
    <hyperlink r:id="rId1469" ref="O1469"/>
    <hyperlink r:id="rId1470" ref="O1470"/>
    <hyperlink r:id="rId1471" ref="O1471"/>
    <hyperlink r:id="rId1472" ref="O1472"/>
    <hyperlink r:id="rId1473" ref="O1473"/>
    <hyperlink r:id="rId1474" ref="O1474"/>
    <hyperlink r:id="rId1475" ref="O1475"/>
    <hyperlink r:id="rId1476" ref="O1476"/>
    <hyperlink r:id="rId1477" ref="O1477"/>
    <hyperlink r:id="rId1478" ref="O1478"/>
    <hyperlink r:id="rId1479" ref="O1479"/>
    <hyperlink r:id="rId1480" ref="O1480"/>
    <hyperlink r:id="rId1481" ref="O1481"/>
    <hyperlink r:id="rId1482" ref="O1482"/>
    <hyperlink r:id="rId1483" ref="O1483"/>
    <hyperlink r:id="rId1484" ref="O1484"/>
    <hyperlink r:id="rId1485" ref="O1485"/>
    <hyperlink r:id="rId1486" ref="O1486"/>
    <hyperlink r:id="rId1487" ref="O1487"/>
    <hyperlink r:id="rId1488" ref="O1488"/>
    <hyperlink r:id="rId1489" ref="O1489"/>
    <hyperlink r:id="rId1490" ref="O1490"/>
    <hyperlink r:id="rId1491" ref="O1491"/>
    <hyperlink r:id="rId1492" ref="O1492"/>
    <hyperlink r:id="rId1493" ref="O1493"/>
    <hyperlink r:id="rId1494" ref="O1494"/>
    <hyperlink r:id="rId1495" ref="O1495"/>
    <hyperlink r:id="rId1496" ref="O1496"/>
    <hyperlink r:id="rId1497" ref="O1497"/>
    <hyperlink r:id="rId1498" ref="O1498"/>
    <hyperlink r:id="rId1499" ref="O1499"/>
    <hyperlink r:id="rId1500" ref="O1500"/>
    <hyperlink r:id="rId1501" ref="O1501"/>
    <hyperlink r:id="rId1502" ref="O1502"/>
    <hyperlink r:id="rId1503" ref="O1503"/>
    <hyperlink r:id="rId1504" ref="O1504"/>
    <hyperlink r:id="rId1505" ref="O1505"/>
    <hyperlink r:id="rId1506" ref="O1506"/>
    <hyperlink r:id="rId1507" ref="O1507"/>
    <hyperlink r:id="rId1508" ref="O1508"/>
    <hyperlink r:id="rId1509" ref="O1509"/>
    <hyperlink r:id="rId1510" ref="O1510"/>
    <hyperlink r:id="rId1511" ref="O1511"/>
    <hyperlink r:id="rId1512" ref="O1512"/>
    <hyperlink r:id="rId1513" ref="O1513"/>
    <hyperlink r:id="rId1514" ref="O1514"/>
    <hyperlink r:id="rId1515" ref="O1515"/>
    <hyperlink r:id="rId1516" ref="O1516"/>
    <hyperlink r:id="rId1517" ref="O1517"/>
    <hyperlink r:id="rId1518" ref="O1518"/>
    <hyperlink r:id="rId1519" ref="O1519"/>
    <hyperlink r:id="rId1520" ref="O1520"/>
    <hyperlink r:id="rId1521" ref="O1521"/>
    <hyperlink r:id="rId1522" ref="O1522"/>
    <hyperlink r:id="rId1523" ref="O1523"/>
    <hyperlink r:id="rId1524" ref="O1524"/>
    <hyperlink r:id="rId1525" ref="O1525"/>
    <hyperlink r:id="rId1526" ref="O1526"/>
    <hyperlink r:id="rId1527" ref="O1527"/>
    <hyperlink r:id="rId1528" ref="O1528"/>
    <hyperlink r:id="rId1529" ref="O1529"/>
    <hyperlink r:id="rId1530" ref="O1530"/>
    <hyperlink r:id="rId1531" ref="O1531"/>
    <hyperlink r:id="rId1532" ref="O1532"/>
    <hyperlink r:id="rId1533" ref="O1533"/>
    <hyperlink r:id="rId1534" ref="O1534"/>
    <hyperlink r:id="rId1535" ref="O1535"/>
    <hyperlink r:id="rId1536" ref="O1536"/>
    <hyperlink r:id="rId1537" ref="O1537"/>
    <hyperlink r:id="rId1538" ref="O1538"/>
    <hyperlink r:id="rId1539" ref="O1539"/>
    <hyperlink r:id="rId1540" ref="O1540"/>
    <hyperlink r:id="rId1541" ref="O1541"/>
    <hyperlink r:id="rId1542" ref="O1542"/>
    <hyperlink r:id="rId1543" ref="O1543"/>
    <hyperlink r:id="rId1544" ref="O1544"/>
    <hyperlink r:id="rId1545" ref="O1545"/>
    <hyperlink r:id="rId1546" ref="O1546"/>
    <hyperlink r:id="rId1547" ref="O1547"/>
    <hyperlink r:id="rId1548" ref="O1548"/>
    <hyperlink r:id="rId1549" ref="O1549"/>
    <hyperlink r:id="rId1550" ref="O1550"/>
    <hyperlink r:id="rId1551" ref="O1551"/>
    <hyperlink r:id="rId1552" ref="O1552"/>
    <hyperlink r:id="rId1553" ref="O1553"/>
    <hyperlink r:id="rId1554" ref="O1554"/>
    <hyperlink r:id="rId1555" ref="O1555"/>
    <hyperlink r:id="rId1556" ref="O1556"/>
    <hyperlink r:id="rId1557" ref="O1557"/>
    <hyperlink r:id="rId1558" ref="O1558"/>
    <hyperlink r:id="rId1559" ref="O1559"/>
    <hyperlink r:id="rId1560" ref="O1560"/>
    <hyperlink r:id="rId1561" ref="O1561"/>
    <hyperlink r:id="rId1562" ref="O1562"/>
    <hyperlink r:id="rId1563" ref="O1563"/>
    <hyperlink r:id="rId1564" ref="O1564"/>
    <hyperlink r:id="rId1565" ref="O1565"/>
    <hyperlink r:id="rId1566" ref="O1566"/>
    <hyperlink r:id="rId1567" ref="O1567"/>
    <hyperlink r:id="rId1568" ref="O1568"/>
    <hyperlink r:id="rId1569" ref="O1569"/>
    <hyperlink r:id="rId1570" ref="O1570"/>
    <hyperlink r:id="rId1571" ref="O1571"/>
    <hyperlink r:id="rId1572" ref="O1572"/>
    <hyperlink r:id="rId1573" ref="O1573"/>
    <hyperlink r:id="rId1574" ref="O1574"/>
    <hyperlink r:id="rId1575" ref="O1575"/>
    <hyperlink r:id="rId1576" ref="O1576"/>
    <hyperlink r:id="rId1577" ref="O1577"/>
    <hyperlink r:id="rId1578" ref="O1578"/>
    <hyperlink r:id="rId1579" ref="O1579"/>
    <hyperlink r:id="rId1580" ref="O1580"/>
    <hyperlink r:id="rId1581" ref="O1581"/>
    <hyperlink r:id="rId1582" ref="O1582"/>
    <hyperlink r:id="rId1583" ref="O1583"/>
    <hyperlink r:id="rId1584" ref="O1584"/>
    <hyperlink r:id="rId1585" ref="O1585"/>
    <hyperlink r:id="rId1586" ref="O1586"/>
    <hyperlink r:id="rId1587" ref="O1587"/>
    <hyperlink r:id="rId1588" ref="O1588"/>
    <hyperlink r:id="rId1589" ref="O1589"/>
    <hyperlink r:id="rId1590" ref="O1590"/>
    <hyperlink r:id="rId1591" ref="O1591"/>
    <hyperlink r:id="rId1592" ref="O1592"/>
    <hyperlink r:id="rId1593" ref="O1593"/>
    <hyperlink r:id="rId1594" ref="O1594"/>
    <hyperlink r:id="rId1595" ref="O1595"/>
    <hyperlink r:id="rId1596" ref="O1596"/>
    <hyperlink r:id="rId1597" ref="O1597"/>
    <hyperlink r:id="rId1598" ref="O1598"/>
    <hyperlink r:id="rId1599" ref="O1599"/>
    <hyperlink r:id="rId1600" ref="O1600"/>
    <hyperlink r:id="rId1601" ref="O1601"/>
    <hyperlink r:id="rId1602" ref="O1602"/>
    <hyperlink r:id="rId1603" ref="O1603"/>
    <hyperlink r:id="rId1604" ref="O1604"/>
    <hyperlink r:id="rId1605" ref="O1605"/>
    <hyperlink r:id="rId1606" ref="O1606"/>
    <hyperlink r:id="rId1607" ref="O1607"/>
    <hyperlink r:id="rId1608" ref="O1608"/>
    <hyperlink r:id="rId1609" ref="O1609"/>
    <hyperlink r:id="rId1610" ref="O1610"/>
    <hyperlink r:id="rId1611" ref="O1611"/>
    <hyperlink r:id="rId1612" ref="O1612"/>
    <hyperlink r:id="rId1613" ref="O1613"/>
    <hyperlink r:id="rId1614" ref="O1614"/>
    <hyperlink r:id="rId1615" ref="O1615"/>
    <hyperlink r:id="rId1616" ref="O1616"/>
    <hyperlink r:id="rId1617" ref="O1617"/>
    <hyperlink r:id="rId1618" ref="O1618"/>
    <hyperlink r:id="rId1619" ref="O1619"/>
    <hyperlink r:id="rId1620" ref="O1620"/>
    <hyperlink r:id="rId1621" ref="O1621"/>
    <hyperlink r:id="rId1622" ref="O1622"/>
    <hyperlink r:id="rId1623" ref="O1623"/>
    <hyperlink r:id="rId1624" ref="O1624"/>
    <hyperlink r:id="rId1625" ref="O1625"/>
    <hyperlink r:id="rId1626" ref="O1626"/>
    <hyperlink r:id="rId1627" ref="O1627"/>
    <hyperlink r:id="rId1628" ref="O1628"/>
    <hyperlink r:id="rId1629" ref="O1629"/>
    <hyperlink r:id="rId1630" ref="O1630"/>
    <hyperlink r:id="rId1631" ref="O1631"/>
    <hyperlink r:id="rId1632" ref="O1632"/>
    <hyperlink r:id="rId1633" ref="O1633"/>
    <hyperlink r:id="rId1634" ref="O1634"/>
    <hyperlink r:id="rId1635" ref="O1635"/>
    <hyperlink r:id="rId1636" ref="O1636"/>
    <hyperlink r:id="rId1637" ref="O1637"/>
    <hyperlink r:id="rId1638" ref="O1638"/>
    <hyperlink r:id="rId1639" ref="O1639"/>
    <hyperlink r:id="rId1640" ref="O1640"/>
    <hyperlink r:id="rId1641" ref="O1641"/>
    <hyperlink r:id="rId1642" ref="O1642"/>
    <hyperlink r:id="rId1643" ref="O1643"/>
    <hyperlink r:id="rId1644" ref="O1644"/>
    <hyperlink r:id="rId1645" ref="O1645"/>
    <hyperlink r:id="rId1646" ref="O1646"/>
    <hyperlink r:id="rId1647" ref="O1647"/>
    <hyperlink r:id="rId1648" ref="O1648"/>
    <hyperlink r:id="rId1649" ref="O1649"/>
    <hyperlink r:id="rId1650" ref="O1650"/>
    <hyperlink r:id="rId1651" ref="O1651"/>
    <hyperlink r:id="rId1652" ref="O1652"/>
    <hyperlink r:id="rId1653" ref="O1653"/>
    <hyperlink r:id="rId1654" ref="O1654"/>
    <hyperlink r:id="rId1655" ref="O1655"/>
    <hyperlink r:id="rId1656" ref="O1656"/>
    <hyperlink r:id="rId1657" ref="O1657"/>
    <hyperlink r:id="rId1658" ref="O1658"/>
    <hyperlink r:id="rId1659" ref="O1659"/>
    <hyperlink r:id="rId1660" ref="O1660"/>
    <hyperlink r:id="rId1661" ref="O1661"/>
    <hyperlink r:id="rId1662" ref="O1662"/>
    <hyperlink r:id="rId1663" ref="O1663"/>
    <hyperlink r:id="rId1664" ref="O1664"/>
    <hyperlink r:id="rId1665" ref="O1665"/>
    <hyperlink r:id="rId1666" ref="O1666"/>
    <hyperlink r:id="rId1667" ref="O1667"/>
    <hyperlink r:id="rId1668" ref="O1668"/>
    <hyperlink r:id="rId1669" ref="O1669"/>
    <hyperlink r:id="rId1670" ref="O1670"/>
    <hyperlink r:id="rId1671" ref="O1671"/>
    <hyperlink r:id="rId1672" ref="O1672"/>
    <hyperlink r:id="rId1673" ref="O1673"/>
    <hyperlink r:id="rId1674" ref="O1674"/>
    <hyperlink r:id="rId1675" ref="O1675"/>
    <hyperlink r:id="rId1676" ref="O1676"/>
    <hyperlink r:id="rId1677" ref="O1677"/>
    <hyperlink r:id="rId1678" ref="O1678"/>
    <hyperlink r:id="rId1679" ref="O1679"/>
    <hyperlink r:id="rId1680" ref="O1680"/>
    <hyperlink r:id="rId1681" ref="O1681"/>
    <hyperlink r:id="rId1682" ref="O1682"/>
    <hyperlink r:id="rId1683" ref="O1683"/>
    <hyperlink r:id="rId1684" ref="O1684"/>
    <hyperlink r:id="rId1685" ref="O1685"/>
    <hyperlink r:id="rId1686" ref="O1686"/>
    <hyperlink r:id="rId1687" ref="O1687"/>
    <hyperlink r:id="rId1688" ref="O1688"/>
    <hyperlink r:id="rId1689" ref="O1689"/>
    <hyperlink r:id="rId1690" ref="O1690"/>
    <hyperlink r:id="rId1691" ref="O1691"/>
    <hyperlink r:id="rId1692" ref="O1692"/>
    <hyperlink r:id="rId1693" ref="O1693"/>
    <hyperlink r:id="rId1694" ref="O1694"/>
    <hyperlink r:id="rId1695" ref="O1695"/>
    <hyperlink r:id="rId1696" ref="O1696"/>
    <hyperlink r:id="rId1697" ref="O1697"/>
    <hyperlink r:id="rId1698" ref="O1698"/>
    <hyperlink r:id="rId1699" ref="O1699"/>
    <hyperlink r:id="rId1700" ref="O1700"/>
    <hyperlink r:id="rId1701" ref="O1701"/>
    <hyperlink r:id="rId1702" ref="O1702"/>
    <hyperlink r:id="rId1703" ref="O1703"/>
    <hyperlink r:id="rId1704" ref="O1704"/>
    <hyperlink r:id="rId1705" ref="O1705"/>
    <hyperlink r:id="rId1706" ref="O1706"/>
    <hyperlink r:id="rId1707" ref="O1707"/>
    <hyperlink r:id="rId1708" ref="O1708"/>
    <hyperlink r:id="rId1709" ref="O1709"/>
    <hyperlink r:id="rId1710" ref="O1710"/>
    <hyperlink r:id="rId1711" ref="O1711"/>
    <hyperlink r:id="rId1712" ref="O1712"/>
    <hyperlink r:id="rId1713" ref="O1713"/>
    <hyperlink r:id="rId1714" ref="O1714"/>
    <hyperlink r:id="rId1715" ref="O1715"/>
    <hyperlink r:id="rId1716" ref="O1716"/>
    <hyperlink r:id="rId1717" ref="O1717"/>
    <hyperlink r:id="rId1718" ref="O1718"/>
    <hyperlink r:id="rId1719" ref="O1719"/>
    <hyperlink r:id="rId1720" ref="O1720"/>
    <hyperlink r:id="rId1721" ref="O1721"/>
    <hyperlink r:id="rId1722" ref="O1722"/>
    <hyperlink r:id="rId1723" ref="O1723"/>
    <hyperlink r:id="rId1724" ref="O1724"/>
    <hyperlink r:id="rId1725" ref="O1725"/>
    <hyperlink r:id="rId1726" ref="O1726"/>
    <hyperlink r:id="rId1727" ref="O1727"/>
    <hyperlink r:id="rId1728" ref="O1728"/>
    <hyperlink r:id="rId1729" ref="O1729"/>
    <hyperlink r:id="rId1730" ref="O1730"/>
    <hyperlink r:id="rId1731" ref="O1731"/>
    <hyperlink r:id="rId1732" ref="O1732"/>
    <hyperlink r:id="rId1733" ref="O1733"/>
    <hyperlink r:id="rId1734" ref="O1734"/>
    <hyperlink r:id="rId1735" ref="O1735"/>
    <hyperlink r:id="rId1736" ref="O1736"/>
    <hyperlink r:id="rId1737" ref="O1737"/>
    <hyperlink r:id="rId1738" ref="O1738"/>
    <hyperlink r:id="rId1739" ref="O1739"/>
    <hyperlink r:id="rId1740" ref="O1740"/>
    <hyperlink r:id="rId1741" ref="O1741"/>
    <hyperlink r:id="rId1742" ref="O1742"/>
    <hyperlink r:id="rId1743" ref="O1743"/>
    <hyperlink r:id="rId1744" ref="O1744"/>
    <hyperlink r:id="rId1745" ref="O1745"/>
    <hyperlink r:id="rId1746" ref="O1746"/>
    <hyperlink r:id="rId1747" ref="O1747"/>
    <hyperlink r:id="rId1748" ref="O1748"/>
    <hyperlink r:id="rId1749" ref="O1749"/>
    <hyperlink r:id="rId1750" ref="O1750"/>
    <hyperlink r:id="rId1751" ref="O1751"/>
    <hyperlink r:id="rId1752" ref="O1752"/>
    <hyperlink r:id="rId1753" ref="O1753"/>
    <hyperlink r:id="rId1754" ref="O1754"/>
    <hyperlink r:id="rId1755" ref="O1755"/>
    <hyperlink r:id="rId1756" ref="O1756"/>
    <hyperlink r:id="rId1757" ref="O1757"/>
    <hyperlink r:id="rId1758" ref="O1758"/>
    <hyperlink r:id="rId1759" ref="O1759"/>
    <hyperlink r:id="rId1760" ref="O1760"/>
    <hyperlink r:id="rId1761" ref="O1761"/>
    <hyperlink r:id="rId1762" ref="O1762"/>
    <hyperlink r:id="rId1763" ref="O1763"/>
    <hyperlink r:id="rId1764" ref="O1764"/>
    <hyperlink r:id="rId1765" ref="O1765"/>
    <hyperlink r:id="rId1766" ref="O1766"/>
    <hyperlink r:id="rId1767" ref="O1767"/>
    <hyperlink r:id="rId1768" ref="O1768"/>
    <hyperlink r:id="rId1769" ref="O1769"/>
    <hyperlink r:id="rId1770" ref="O1770"/>
    <hyperlink r:id="rId1771" ref="O1771"/>
    <hyperlink r:id="rId1772" ref="O1772"/>
    <hyperlink r:id="rId1773" ref="O1773"/>
    <hyperlink r:id="rId1774" ref="O1774"/>
    <hyperlink r:id="rId1775" ref="O1775"/>
    <hyperlink r:id="rId1776" ref="O1776"/>
    <hyperlink r:id="rId1777" ref="O1777"/>
    <hyperlink r:id="rId1778" ref="O1778"/>
    <hyperlink r:id="rId1779" ref="O1779"/>
    <hyperlink r:id="rId1780" ref="O1780"/>
    <hyperlink r:id="rId1781" ref="O1781"/>
    <hyperlink r:id="rId1782" ref="O1782"/>
    <hyperlink r:id="rId1783" ref="O1783"/>
    <hyperlink r:id="rId1784" ref="O1784"/>
    <hyperlink r:id="rId1785" ref="O1785"/>
    <hyperlink r:id="rId1786" ref="O1786"/>
    <hyperlink r:id="rId1787" ref="O1787"/>
    <hyperlink r:id="rId1788" ref="O1788"/>
    <hyperlink r:id="rId1789" ref="O1789"/>
    <hyperlink r:id="rId1790" ref="O1790"/>
    <hyperlink r:id="rId1791" ref="O1791"/>
    <hyperlink r:id="rId1792" ref="O1792"/>
    <hyperlink r:id="rId1793" ref="O1793"/>
    <hyperlink r:id="rId1794" ref="O1794"/>
    <hyperlink r:id="rId1795" ref="O1795"/>
    <hyperlink r:id="rId1796" ref="O1796"/>
    <hyperlink r:id="rId1797" ref="O1797"/>
    <hyperlink r:id="rId1798" ref="O1798"/>
    <hyperlink r:id="rId1799" ref="O1799"/>
    <hyperlink r:id="rId1800" ref="O1800"/>
    <hyperlink r:id="rId1801" ref="O1801"/>
    <hyperlink r:id="rId1802" ref="O1802"/>
    <hyperlink r:id="rId1803" ref="O1803"/>
    <hyperlink r:id="rId1804" ref="O1804"/>
    <hyperlink r:id="rId1805" ref="O1805"/>
    <hyperlink r:id="rId1806" ref="O1806"/>
    <hyperlink r:id="rId1807" ref="O1807"/>
    <hyperlink r:id="rId1808" ref="O1808"/>
    <hyperlink r:id="rId1809" ref="O1809"/>
    <hyperlink r:id="rId1810" ref="O1810"/>
    <hyperlink r:id="rId1811" ref="O1811"/>
    <hyperlink r:id="rId1812" ref="O1812"/>
    <hyperlink r:id="rId1813" ref="O1813"/>
    <hyperlink r:id="rId1814" ref="O1814"/>
    <hyperlink r:id="rId1815" ref="O1815"/>
    <hyperlink r:id="rId1816" ref="O1816"/>
    <hyperlink r:id="rId1817" ref="O1817"/>
    <hyperlink r:id="rId1818" ref="O1818"/>
    <hyperlink r:id="rId1819" ref="O1819"/>
    <hyperlink r:id="rId1820" ref="O1820"/>
    <hyperlink r:id="rId1821" ref="O1821"/>
    <hyperlink r:id="rId1822" ref="O1822"/>
    <hyperlink r:id="rId1823" ref="O1823"/>
    <hyperlink r:id="rId1824" ref="O1824"/>
    <hyperlink r:id="rId1825" ref="O1825"/>
    <hyperlink r:id="rId1826" ref="O1826"/>
    <hyperlink r:id="rId1827" ref="O1827"/>
    <hyperlink r:id="rId1828" ref="O1828"/>
    <hyperlink r:id="rId1829" ref="O1829"/>
    <hyperlink r:id="rId1830" ref="O1830"/>
    <hyperlink r:id="rId1831" ref="O1831"/>
    <hyperlink r:id="rId1832" ref="O1832"/>
    <hyperlink r:id="rId1833" ref="O1833"/>
    <hyperlink r:id="rId1834" ref="O1834"/>
    <hyperlink r:id="rId1835" ref="O1835"/>
    <hyperlink r:id="rId1836" ref="O1836"/>
    <hyperlink r:id="rId1837" ref="O1837"/>
    <hyperlink r:id="rId1838" ref="O1838"/>
    <hyperlink r:id="rId1839" ref="O1839"/>
    <hyperlink r:id="rId1840" ref="O1840"/>
    <hyperlink r:id="rId1841" ref="O1841"/>
    <hyperlink r:id="rId1842" ref="O1842"/>
    <hyperlink r:id="rId1843" ref="O1843"/>
    <hyperlink r:id="rId1844" ref="O1844"/>
    <hyperlink r:id="rId1845" ref="O1845"/>
    <hyperlink r:id="rId1846" ref="O1846"/>
    <hyperlink r:id="rId1847" ref="O1847"/>
    <hyperlink r:id="rId1848" ref="O1848"/>
    <hyperlink r:id="rId1849" ref="O1849"/>
    <hyperlink r:id="rId1850" ref="O1850"/>
    <hyperlink r:id="rId1851" ref="O1851"/>
    <hyperlink r:id="rId1852" ref="O1852"/>
    <hyperlink r:id="rId1853" ref="O1853"/>
    <hyperlink r:id="rId1854" ref="O1854"/>
    <hyperlink r:id="rId1855" ref="O1855"/>
    <hyperlink r:id="rId1856" ref="O1856"/>
    <hyperlink r:id="rId1857" ref="O1857"/>
    <hyperlink r:id="rId1858" ref="O1858"/>
    <hyperlink r:id="rId1859" ref="O1859"/>
    <hyperlink r:id="rId1860" ref="O1860"/>
    <hyperlink r:id="rId1861" ref="O1861"/>
    <hyperlink r:id="rId1862" ref="O1862"/>
    <hyperlink r:id="rId1863" ref="O1863"/>
    <hyperlink r:id="rId1864" ref="O1864"/>
    <hyperlink r:id="rId1865" ref="O1865"/>
    <hyperlink r:id="rId1866" ref="O1866"/>
    <hyperlink r:id="rId1867" ref="O1867"/>
    <hyperlink r:id="rId1868" ref="O1868"/>
    <hyperlink r:id="rId1869" ref="O1869"/>
    <hyperlink r:id="rId1870" ref="O1870"/>
    <hyperlink r:id="rId1871" ref="O1871"/>
    <hyperlink r:id="rId1872" ref="O1872"/>
    <hyperlink r:id="rId1873" ref="O1873"/>
    <hyperlink r:id="rId1874" ref="O1874"/>
    <hyperlink r:id="rId1875" ref="O1875"/>
    <hyperlink r:id="rId1876" ref="O1876"/>
    <hyperlink r:id="rId1877" ref="O1877"/>
    <hyperlink r:id="rId1878" ref="O1878"/>
    <hyperlink r:id="rId1879" ref="O1879"/>
    <hyperlink r:id="rId1880" ref="O1880"/>
    <hyperlink r:id="rId1881" ref="O1881"/>
    <hyperlink r:id="rId1882" ref="O1882"/>
    <hyperlink r:id="rId1883" ref="O1883"/>
    <hyperlink r:id="rId1884" ref="O1884"/>
    <hyperlink r:id="rId1885" ref="O1885"/>
    <hyperlink r:id="rId1886" ref="O1886"/>
    <hyperlink r:id="rId1887" ref="O1887"/>
    <hyperlink r:id="rId1888" ref="O1888"/>
    <hyperlink r:id="rId1889" ref="O1889"/>
    <hyperlink r:id="rId1890" ref="O1890"/>
    <hyperlink r:id="rId1891" ref="O1891"/>
    <hyperlink r:id="rId1892" ref="O1892"/>
    <hyperlink r:id="rId1893" ref="O1893"/>
    <hyperlink r:id="rId1894" ref="O1894"/>
    <hyperlink r:id="rId1895" ref="O1895"/>
    <hyperlink r:id="rId1896" ref="O1896"/>
    <hyperlink r:id="rId1897" ref="O1897"/>
    <hyperlink r:id="rId1898" ref="O1898"/>
    <hyperlink r:id="rId1899" ref="O1899"/>
    <hyperlink r:id="rId1900" ref="O1900"/>
    <hyperlink r:id="rId1901" ref="O1901"/>
    <hyperlink r:id="rId1902" ref="O1902"/>
    <hyperlink r:id="rId1903" ref="O1903"/>
    <hyperlink r:id="rId1904" ref="O1904"/>
    <hyperlink r:id="rId1905" ref="O1905"/>
    <hyperlink r:id="rId1906" ref="O1906"/>
    <hyperlink r:id="rId1907" ref="O1907"/>
    <hyperlink r:id="rId1908" ref="O1908"/>
    <hyperlink r:id="rId1909" ref="O1909"/>
    <hyperlink r:id="rId1910" ref="O1910"/>
    <hyperlink r:id="rId1911" ref="O1911"/>
    <hyperlink r:id="rId1912" ref="O1912"/>
    <hyperlink r:id="rId1913" ref="O1913"/>
    <hyperlink r:id="rId1914" ref="O1914"/>
    <hyperlink r:id="rId1915" ref="O1915"/>
    <hyperlink r:id="rId1916" ref="O1916"/>
    <hyperlink r:id="rId1917" ref="O1917"/>
    <hyperlink r:id="rId1918" ref="O1918"/>
    <hyperlink r:id="rId1919" ref="O1919"/>
    <hyperlink r:id="rId1920" ref="O1920"/>
    <hyperlink r:id="rId1921" ref="O1921"/>
    <hyperlink r:id="rId1922" ref="O1922"/>
    <hyperlink r:id="rId1923" ref="O1923"/>
    <hyperlink r:id="rId1924" ref="O1924"/>
    <hyperlink r:id="rId1925" ref="O1925"/>
    <hyperlink r:id="rId1926" ref="O1926"/>
    <hyperlink r:id="rId1927" ref="O1927"/>
    <hyperlink r:id="rId1928" ref="O1928"/>
    <hyperlink r:id="rId1929" ref="O1929"/>
    <hyperlink r:id="rId1930" ref="O1930"/>
    <hyperlink r:id="rId1931" ref="O1931"/>
    <hyperlink r:id="rId1932" ref="O1932"/>
    <hyperlink r:id="rId1933" ref="O1933"/>
    <hyperlink r:id="rId1934" ref="O1934"/>
    <hyperlink r:id="rId1935" ref="O1935"/>
    <hyperlink r:id="rId1936" ref="O1936"/>
    <hyperlink r:id="rId1937" ref="O1937"/>
    <hyperlink r:id="rId1938" ref="O1938"/>
    <hyperlink r:id="rId1939" ref="O1939"/>
    <hyperlink r:id="rId1940" ref="O1940"/>
    <hyperlink r:id="rId1941" ref="O1941"/>
    <hyperlink r:id="rId1942" ref="O1942"/>
    <hyperlink r:id="rId1943" ref="O1943"/>
    <hyperlink r:id="rId1944" ref="O1944"/>
    <hyperlink r:id="rId1945" ref="O1945"/>
    <hyperlink r:id="rId1946" ref="O1946"/>
    <hyperlink r:id="rId1947" ref="O1947"/>
    <hyperlink r:id="rId1948" ref="O1948"/>
    <hyperlink r:id="rId1949" ref="O1949"/>
    <hyperlink r:id="rId1950" ref="O1950"/>
    <hyperlink r:id="rId1951" ref="O1951"/>
    <hyperlink r:id="rId1952" ref="O1952"/>
    <hyperlink r:id="rId1953" ref="O1953"/>
    <hyperlink r:id="rId1954" ref="O1954"/>
    <hyperlink r:id="rId1955" ref="O1955"/>
    <hyperlink r:id="rId1956" ref="O1956"/>
    <hyperlink r:id="rId1957" ref="O1957"/>
    <hyperlink r:id="rId1958" ref="O1958"/>
    <hyperlink r:id="rId1959" ref="O1959"/>
    <hyperlink r:id="rId1960" ref="O1960"/>
    <hyperlink r:id="rId1961" ref="O1961"/>
    <hyperlink r:id="rId1962" ref="O1962"/>
    <hyperlink r:id="rId1963" ref="O1963"/>
    <hyperlink r:id="rId1964" ref="O1964"/>
    <hyperlink r:id="rId1965" ref="O1965"/>
    <hyperlink r:id="rId1966" ref="O1966"/>
    <hyperlink r:id="rId1967" ref="O1967"/>
    <hyperlink r:id="rId1968" ref="O1968"/>
    <hyperlink r:id="rId1969" ref="O1969"/>
    <hyperlink r:id="rId1970" ref="O1970"/>
    <hyperlink r:id="rId1971" ref="O1971"/>
    <hyperlink r:id="rId1972" ref="O1972"/>
    <hyperlink r:id="rId1973" ref="O1973"/>
    <hyperlink r:id="rId1974" ref="O1974"/>
    <hyperlink r:id="rId1975" ref="O1975"/>
    <hyperlink r:id="rId1976" ref="O1976"/>
    <hyperlink r:id="rId1977" ref="O1977"/>
    <hyperlink r:id="rId1978" ref="O1978"/>
    <hyperlink r:id="rId1979" ref="O1979"/>
    <hyperlink r:id="rId1980" ref="O1980"/>
    <hyperlink r:id="rId1981" ref="O1981"/>
    <hyperlink r:id="rId1982" ref="O1982"/>
    <hyperlink r:id="rId1983" ref="O1983"/>
    <hyperlink r:id="rId1984" ref="O1984"/>
    <hyperlink r:id="rId1985" ref="O1985"/>
    <hyperlink r:id="rId1986" ref="O1986"/>
    <hyperlink r:id="rId1987" ref="O1987"/>
    <hyperlink r:id="rId1988" ref="O1988"/>
    <hyperlink r:id="rId1989" ref="O1989"/>
    <hyperlink r:id="rId1990" ref="O1990"/>
    <hyperlink r:id="rId1991" ref="O1991"/>
    <hyperlink r:id="rId1992" ref="O1992"/>
    <hyperlink r:id="rId1993" ref="O1993"/>
    <hyperlink r:id="rId1994" ref="O1994"/>
    <hyperlink r:id="rId1995" ref="O1995"/>
    <hyperlink r:id="rId1996" ref="O1996"/>
    <hyperlink r:id="rId1997" ref="O1997"/>
    <hyperlink r:id="rId1998" ref="O1998"/>
    <hyperlink r:id="rId1999" ref="O1999"/>
    <hyperlink r:id="rId2000" ref="O2000"/>
    <hyperlink r:id="rId2001" ref="O2001"/>
    <hyperlink r:id="rId2002" ref="O2002"/>
    <hyperlink r:id="rId2003" ref="O2003"/>
    <hyperlink r:id="rId2004" ref="O2004"/>
    <hyperlink r:id="rId2005" ref="O2005"/>
    <hyperlink r:id="rId2006" ref="O2006"/>
    <hyperlink r:id="rId2007" ref="O2007"/>
    <hyperlink r:id="rId2008" ref="O2008"/>
    <hyperlink r:id="rId2009" ref="O2009"/>
    <hyperlink r:id="rId2010" ref="O2010"/>
    <hyperlink r:id="rId2011" ref="O2011"/>
    <hyperlink r:id="rId2012" ref="O2012"/>
    <hyperlink r:id="rId2013" ref="O2013"/>
    <hyperlink r:id="rId2014" ref="O2014"/>
    <hyperlink r:id="rId2015" ref="O2015"/>
    <hyperlink r:id="rId2016" ref="O2016"/>
    <hyperlink r:id="rId2017" ref="O2017"/>
    <hyperlink r:id="rId2018" ref="O2018"/>
    <hyperlink r:id="rId2019" ref="O2019"/>
    <hyperlink r:id="rId2020" ref="O2020"/>
    <hyperlink r:id="rId2021" ref="O2021"/>
    <hyperlink r:id="rId2022" ref="O2022"/>
    <hyperlink r:id="rId2023" ref="O2023"/>
    <hyperlink r:id="rId2024" ref="O2024"/>
    <hyperlink r:id="rId2025" ref="O2025"/>
    <hyperlink r:id="rId2026" ref="O2026"/>
    <hyperlink r:id="rId2027" ref="O2027"/>
    <hyperlink r:id="rId2028" ref="O2028"/>
    <hyperlink r:id="rId2029" ref="O2029"/>
    <hyperlink r:id="rId2030" ref="O2030"/>
    <hyperlink r:id="rId2031" ref="O2031"/>
    <hyperlink r:id="rId2032" ref="O2032"/>
    <hyperlink r:id="rId2033" ref="O2033"/>
    <hyperlink r:id="rId2034" ref="O2034"/>
    <hyperlink r:id="rId2035" ref="O2035"/>
    <hyperlink r:id="rId2036" ref="O2036"/>
    <hyperlink r:id="rId2037" ref="O2037"/>
    <hyperlink r:id="rId2038" ref="O2038"/>
    <hyperlink r:id="rId2039" ref="O2039"/>
    <hyperlink r:id="rId2040" ref="O2040"/>
    <hyperlink r:id="rId2041" ref="O2041"/>
    <hyperlink r:id="rId2042" ref="O2042"/>
    <hyperlink r:id="rId2043" ref="O2043"/>
    <hyperlink r:id="rId2044" ref="O2044"/>
    <hyperlink r:id="rId2045" ref="O2045"/>
    <hyperlink r:id="rId2046" ref="O2046"/>
    <hyperlink r:id="rId2047" ref="O2047"/>
    <hyperlink r:id="rId2048" ref="O2048"/>
    <hyperlink r:id="rId2049" ref="O2049"/>
    <hyperlink r:id="rId2050" ref="O2050"/>
    <hyperlink r:id="rId2051" ref="O2051"/>
    <hyperlink r:id="rId2052" ref="O2052"/>
    <hyperlink r:id="rId2053" ref="O2053"/>
    <hyperlink r:id="rId2054" ref="O2054"/>
    <hyperlink r:id="rId2055" ref="O2055"/>
    <hyperlink r:id="rId2056" ref="O2056"/>
    <hyperlink r:id="rId2057" ref="O2057"/>
    <hyperlink r:id="rId2058" ref="O2058"/>
    <hyperlink r:id="rId2059" ref="O2059"/>
    <hyperlink r:id="rId2060" ref="O2060"/>
    <hyperlink r:id="rId2061" ref="O2061"/>
    <hyperlink r:id="rId2062" ref="O2062"/>
    <hyperlink r:id="rId2063" ref="O2063"/>
    <hyperlink r:id="rId2064" ref="O2064"/>
    <hyperlink r:id="rId2065" ref="O2065"/>
    <hyperlink r:id="rId2066" ref="O2066"/>
    <hyperlink r:id="rId2067" ref="O2067"/>
    <hyperlink r:id="rId2068" ref="O2068"/>
    <hyperlink r:id="rId2069" ref="O2069"/>
    <hyperlink r:id="rId2070" ref="O2070"/>
    <hyperlink r:id="rId2071" ref="O2071"/>
    <hyperlink r:id="rId2072" ref="O2072"/>
    <hyperlink r:id="rId2073" ref="O2073"/>
    <hyperlink r:id="rId2074" ref="O2074"/>
    <hyperlink r:id="rId2075" ref="O2075"/>
    <hyperlink r:id="rId2076" ref="O2076"/>
    <hyperlink r:id="rId2077" ref="O2077"/>
    <hyperlink r:id="rId2078" ref="O2078"/>
    <hyperlink r:id="rId2079" ref="O2079"/>
    <hyperlink r:id="rId2080" ref="O2080"/>
    <hyperlink r:id="rId2081" ref="O2081"/>
    <hyperlink r:id="rId2082" ref="O2082"/>
    <hyperlink r:id="rId2083" ref="O2083"/>
    <hyperlink r:id="rId2084" ref="O2084"/>
    <hyperlink r:id="rId2085" ref="O2085"/>
    <hyperlink r:id="rId2086" ref="O2086"/>
    <hyperlink r:id="rId2087" ref="O2087"/>
    <hyperlink r:id="rId2088" ref="O2088"/>
    <hyperlink r:id="rId2089" ref="O2089"/>
    <hyperlink r:id="rId2090" ref="O2090"/>
    <hyperlink r:id="rId2091" ref="O2091"/>
    <hyperlink r:id="rId2092" ref="O2092"/>
    <hyperlink r:id="rId2093" ref="O2093"/>
    <hyperlink r:id="rId2094" ref="O2094"/>
    <hyperlink r:id="rId2095" ref="O2095"/>
    <hyperlink r:id="rId2096" ref="O2096"/>
    <hyperlink r:id="rId2097" ref="O2097"/>
    <hyperlink r:id="rId2098" ref="O2098"/>
    <hyperlink r:id="rId2099" ref="O2099"/>
    <hyperlink r:id="rId2100" ref="O2100"/>
    <hyperlink r:id="rId2101" ref="O2101"/>
    <hyperlink r:id="rId2102" ref="O2102"/>
    <hyperlink r:id="rId2103" ref="O2103"/>
    <hyperlink r:id="rId2104" ref="O2104"/>
    <hyperlink r:id="rId2105" ref="O2105"/>
    <hyperlink r:id="rId2106" ref="O2106"/>
    <hyperlink r:id="rId2107" ref="O2107"/>
    <hyperlink r:id="rId2108" ref="O2108"/>
    <hyperlink r:id="rId2109" ref="O2109"/>
    <hyperlink r:id="rId2110" ref="O2110"/>
    <hyperlink r:id="rId2111" ref="O2111"/>
    <hyperlink r:id="rId2112" ref="O2112"/>
    <hyperlink r:id="rId2113" ref="O2113"/>
    <hyperlink r:id="rId2114" ref="O2114"/>
    <hyperlink r:id="rId2115" ref="O2115"/>
    <hyperlink r:id="rId2116" ref="O2116"/>
    <hyperlink r:id="rId2117" ref="O2117"/>
    <hyperlink r:id="rId2118" ref="O2118"/>
    <hyperlink r:id="rId2119" ref="O2119"/>
    <hyperlink r:id="rId2120" ref="O2120"/>
    <hyperlink r:id="rId2121" ref="O2121"/>
    <hyperlink r:id="rId2122" ref="O2122"/>
    <hyperlink r:id="rId2123" ref="O2123"/>
    <hyperlink r:id="rId2124" ref="O2124"/>
    <hyperlink r:id="rId2125" ref="O2125"/>
    <hyperlink r:id="rId2126" ref="O2126"/>
    <hyperlink r:id="rId2127" ref="O2127"/>
    <hyperlink r:id="rId2128" ref="O2128"/>
    <hyperlink r:id="rId2129" ref="O2129"/>
    <hyperlink r:id="rId2130" ref="O2130"/>
    <hyperlink r:id="rId2131" ref="O2131"/>
    <hyperlink r:id="rId2132" ref="O2132"/>
    <hyperlink r:id="rId2133" ref="O2133"/>
    <hyperlink r:id="rId2134" ref="O2134"/>
    <hyperlink r:id="rId2135" ref="O2135"/>
    <hyperlink r:id="rId2136" ref="O2136"/>
    <hyperlink r:id="rId2137" ref="O2137"/>
    <hyperlink r:id="rId2138" ref="O2138"/>
    <hyperlink r:id="rId2139" ref="O2139"/>
    <hyperlink r:id="rId2140" ref="O2140"/>
    <hyperlink r:id="rId2141" ref="O2141"/>
    <hyperlink r:id="rId2142" ref="O2142"/>
    <hyperlink r:id="rId2143" ref="O2143"/>
    <hyperlink r:id="rId2144" ref="O2144"/>
    <hyperlink r:id="rId2145" ref="O2145"/>
    <hyperlink r:id="rId2146" ref="O2146"/>
    <hyperlink r:id="rId2147" ref="O2147"/>
    <hyperlink r:id="rId2148" ref="O2148"/>
    <hyperlink r:id="rId2149" ref="O2149"/>
    <hyperlink r:id="rId2150" ref="O2150"/>
    <hyperlink r:id="rId2151" ref="O2151"/>
    <hyperlink r:id="rId2152" ref="O2152"/>
    <hyperlink r:id="rId2153" ref="O2153"/>
    <hyperlink r:id="rId2154" ref="O2154"/>
    <hyperlink r:id="rId2155" ref="O2155"/>
    <hyperlink r:id="rId2156" ref="O2156"/>
    <hyperlink r:id="rId2157" ref="O2157"/>
    <hyperlink r:id="rId2158" ref="O2158"/>
    <hyperlink r:id="rId2159" ref="O2159"/>
    <hyperlink r:id="rId2160" ref="O2160"/>
    <hyperlink r:id="rId2161" ref="O2161"/>
    <hyperlink r:id="rId2162" ref="O2162"/>
    <hyperlink r:id="rId2163" ref="O2163"/>
    <hyperlink r:id="rId2164" ref="O2164"/>
    <hyperlink r:id="rId2165" ref="O2165"/>
    <hyperlink r:id="rId2166" ref="O2166"/>
    <hyperlink r:id="rId2167" ref="O2167"/>
    <hyperlink r:id="rId2168" ref="O2168"/>
    <hyperlink r:id="rId2169" ref="O2169"/>
    <hyperlink r:id="rId2170" ref="O2170"/>
    <hyperlink r:id="rId2171" ref="O2171"/>
    <hyperlink r:id="rId2172" ref="O2172"/>
    <hyperlink r:id="rId2173" ref="O2173"/>
    <hyperlink r:id="rId2174" ref="O2174"/>
    <hyperlink r:id="rId2175" ref="O2175"/>
    <hyperlink r:id="rId2176" ref="O2176"/>
    <hyperlink r:id="rId2177" ref="O2177"/>
    <hyperlink r:id="rId2178" ref="O2178"/>
    <hyperlink r:id="rId2179" ref="O2179"/>
    <hyperlink r:id="rId2180" ref="O2180"/>
    <hyperlink r:id="rId2181" ref="O2181"/>
    <hyperlink r:id="rId2182" ref="O2182"/>
    <hyperlink r:id="rId2183" ref="O2183"/>
    <hyperlink r:id="rId2184" ref="O2184"/>
    <hyperlink r:id="rId2185" ref="O2185"/>
    <hyperlink r:id="rId2186" ref="O2186"/>
    <hyperlink r:id="rId2187" ref="O2187"/>
    <hyperlink r:id="rId2188" ref="O2188"/>
    <hyperlink r:id="rId2189" ref="O2189"/>
    <hyperlink r:id="rId2190" ref="O2190"/>
    <hyperlink r:id="rId2191" ref="O2191"/>
    <hyperlink r:id="rId2192" ref="O2192"/>
    <hyperlink r:id="rId2193" ref="O2193"/>
    <hyperlink r:id="rId2194" ref="O2194"/>
    <hyperlink r:id="rId2195" ref="O2195"/>
    <hyperlink r:id="rId2196" ref="O2196"/>
    <hyperlink r:id="rId2197" ref="O2197"/>
    <hyperlink r:id="rId2198" ref="O2198"/>
    <hyperlink r:id="rId2199" ref="O2199"/>
    <hyperlink r:id="rId2200" ref="O2200"/>
    <hyperlink r:id="rId2201" ref="O2201"/>
    <hyperlink r:id="rId2202" ref="O2202"/>
    <hyperlink r:id="rId2203" ref="O2203"/>
    <hyperlink r:id="rId2204" ref="O2204"/>
    <hyperlink r:id="rId2205" ref="O2205"/>
    <hyperlink r:id="rId2206" ref="O2206"/>
    <hyperlink r:id="rId2207" ref="O2207"/>
    <hyperlink r:id="rId2208" ref="O2208"/>
    <hyperlink r:id="rId2209" ref="O2209"/>
    <hyperlink r:id="rId2210" ref="O2210"/>
    <hyperlink r:id="rId2211" ref="O2211"/>
    <hyperlink r:id="rId2212" ref="O2212"/>
    <hyperlink r:id="rId2213" ref="O2213"/>
    <hyperlink r:id="rId2214" ref="O2214"/>
    <hyperlink r:id="rId2215" ref="O2215"/>
    <hyperlink r:id="rId2216" ref="O2216"/>
    <hyperlink r:id="rId2217" ref="O2217"/>
    <hyperlink r:id="rId2218" ref="O2218"/>
    <hyperlink r:id="rId2219" ref="O2219"/>
    <hyperlink r:id="rId2220" ref="O2220"/>
    <hyperlink r:id="rId2221" ref="O2221"/>
    <hyperlink r:id="rId2222" ref="O2222"/>
    <hyperlink r:id="rId2223" ref="O2223"/>
    <hyperlink r:id="rId2224" ref="O2224"/>
    <hyperlink r:id="rId2225" ref="O2225"/>
    <hyperlink r:id="rId2226" ref="O2226"/>
    <hyperlink r:id="rId2227" ref="O2227"/>
    <hyperlink r:id="rId2228" ref="O2228"/>
    <hyperlink r:id="rId2229" ref="O2229"/>
    <hyperlink r:id="rId2230" ref="O2230"/>
    <hyperlink r:id="rId2231" ref="O2231"/>
    <hyperlink r:id="rId2232" ref="O2232"/>
    <hyperlink r:id="rId2233" ref="O2233"/>
    <hyperlink r:id="rId2234" ref="O2234"/>
    <hyperlink r:id="rId2235" ref="O2235"/>
    <hyperlink r:id="rId2236" ref="O2236"/>
    <hyperlink r:id="rId2237" ref="O2237"/>
    <hyperlink r:id="rId2238" ref="O2238"/>
    <hyperlink r:id="rId2239" ref="O2239"/>
    <hyperlink r:id="rId2240" ref="O2240"/>
    <hyperlink r:id="rId2241" ref="O2241"/>
    <hyperlink r:id="rId2242" ref="O2242"/>
    <hyperlink r:id="rId2243" ref="O2243"/>
    <hyperlink r:id="rId2244" ref="O2244"/>
    <hyperlink r:id="rId2245" ref="O2245"/>
    <hyperlink r:id="rId2246" ref="O2246"/>
    <hyperlink r:id="rId2247" ref="O2247"/>
    <hyperlink r:id="rId2248" ref="O2248"/>
    <hyperlink r:id="rId2249" ref="O2249"/>
    <hyperlink r:id="rId2250" ref="O2250"/>
    <hyperlink r:id="rId2251" ref="O2251"/>
    <hyperlink r:id="rId2252" ref="O2252"/>
    <hyperlink r:id="rId2253" ref="O2253"/>
    <hyperlink r:id="rId2254" ref="O2254"/>
    <hyperlink r:id="rId2255" ref="O2255"/>
    <hyperlink r:id="rId2256" ref="O2256"/>
    <hyperlink r:id="rId2257" ref="O2257"/>
    <hyperlink r:id="rId2258" ref="O2258"/>
    <hyperlink r:id="rId2259" ref="O2259"/>
    <hyperlink r:id="rId2260" ref="O2260"/>
    <hyperlink r:id="rId2261" ref="O2261"/>
    <hyperlink r:id="rId2262" ref="O2262"/>
    <hyperlink r:id="rId2263" ref="O2263"/>
    <hyperlink r:id="rId2264" ref="O2264"/>
    <hyperlink r:id="rId2265" ref="O2265"/>
    <hyperlink r:id="rId2266" ref="O2266"/>
    <hyperlink r:id="rId2267" ref="O2267"/>
    <hyperlink r:id="rId2268" ref="O2268"/>
    <hyperlink r:id="rId2269" ref="O2269"/>
    <hyperlink r:id="rId2270" ref="O2270"/>
    <hyperlink r:id="rId2271" ref="O2271"/>
    <hyperlink r:id="rId2272" ref="O2272"/>
    <hyperlink r:id="rId2273" ref="O2273"/>
    <hyperlink r:id="rId2274" ref="O2274"/>
    <hyperlink r:id="rId2275" ref="O2275"/>
    <hyperlink r:id="rId2276" ref="O2276"/>
    <hyperlink r:id="rId2277" ref="O2277"/>
    <hyperlink r:id="rId2278" ref="O2278"/>
    <hyperlink r:id="rId2279" ref="O2279"/>
    <hyperlink r:id="rId2280" ref="O2280"/>
    <hyperlink r:id="rId2281" ref="O2281"/>
    <hyperlink r:id="rId2282" ref="O2282"/>
    <hyperlink r:id="rId2283" ref="O2283"/>
    <hyperlink r:id="rId2284" ref="O2284"/>
    <hyperlink r:id="rId2285" ref="O2285"/>
    <hyperlink r:id="rId2286" ref="O2286"/>
    <hyperlink r:id="rId2287" ref="O2287"/>
    <hyperlink r:id="rId2288" ref="O2288"/>
    <hyperlink r:id="rId2289" ref="O2289"/>
    <hyperlink r:id="rId2290" ref="O2290"/>
    <hyperlink r:id="rId2291" ref="O2291"/>
    <hyperlink r:id="rId2292" ref="O2292"/>
    <hyperlink r:id="rId2293" ref="O2293"/>
    <hyperlink r:id="rId2294" ref="O2294"/>
    <hyperlink r:id="rId2295" ref="O2295"/>
    <hyperlink r:id="rId2296" ref="O2296"/>
    <hyperlink r:id="rId2297" ref="O2297"/>
    <hyperlink r:id="rId2298" ref="O2298"/>
    <hyperlink r:id="rId2299" ref="O2299"/>
    <hyperlink r:id="rId2300" ref="O2300"/>
    <hyperlink r:id="rId2301" ref="O2301"/>
    <hyperlink r:id="rId2302" ref="O2302"/>
    <hyperlink r:id="rId2303" ref="O2303"/>
    <hyperlink r:id="rId2304" ref="O2304"/>
    <hyperlink r:id="rId2305" ref="O2305"/>
    <hyperlink r:id="rId2306" ref="O2306"/>
    <hyperlink r:id="rId2307" ref="O2307"/>
    <hyperlink r:id="rId2308" ref="O2308"/>
    <hyperlink r:id="rId2309" ref="O2309"/>
    <hyperlink r:id="rId2310" ref="O2310"/>
    <hyperlink r:id="rId2311" ref="O2311"/>
    <hyperlink r:id="rId2312" ref="O2312"/>
    <hyperlink r:id="rId2313" ref="O2313"/>
    <hyperlink r:id="rId2314" ref="O2314"/>
    <hyperlink r:id="rId2315" ref="O2315"/>
    <hyperlink r:id="rId2316" ref="O2316"/>
    <hyperlink r:id="rId2317" ref="O2317"/>
    <hyperlink r:id="rId2318" ref="O2318"/>
    <hyperlink r:id="rId2319" ref="O2319"/>
    <hyperlink r:id="rId2320" ref="O2320"/>
    <hyperlink r:id="rId2321" ref="O2321"/>
    <hyperlink r:id="rId2322" ref="O2322"/>
    <hyperlink r:id="rId2323" ref="O2323"/>
    <hyperlink r:id="rId2324" ref="O2324"/>
    <hyperlink r:id="rId2325" ref="O2325"/>
    <hyperlink r:id="rId2326" ref="O2326"/>
    <hyperlink r:id="rId2327" ref="O2327"/>
    <hyperlink r:id="rId2328" ref="O2328"/>
    <hyperlink r:id="rId2329" ref="O2329"/>
    <hyperlink r:id="rId2330" ref="O2330"/>
    <hyperlink r:id="rId2331" ref="O2331"/>
    <hyperlink r:id="rId2332" ref="O2332"/>
    <hyperlink r:id="rId2333" ref="O2333"/>
    <hyperlink r:id="rId2334" ref="O2334"/>
    <hyperlink r:id="rId2335" ref="O2335"/>
    <hyperlink r:id="rId2336" ref="O2336"/>
    <hyperlink r:id="rId2337" ref="O2337"/>
    <hyperlink r:id="rId2338" ref="O2338"/>
    <hyperlink r:id="rId2339" ref="O2339"/>
    <hyperlink r:id="rId2340" ref="O2340"/>
    <hyperlink r:id="rId2341" ref="O2341"/>
    <hyperlink r:id="rId2342" ref="O2342"/>
    <hyperlink r:id="rId2343" ref="O2343"/>
    <hyperlink r:id="rId2344" ref="O2344"/>
    <hyperlink r:id="rId2345" ref="O2345"/>
    <hyperlink r:id="rId2346" ref="O2346"/>
    <hyperlink r:id="rId2347" ref="O2347"/>
    <hyperlink r:id="rId2348" ref="O2348"/>
    <hyperlink r:id="rId2349" ref="O2349"/>
    <hyperlink r:id="rId2350" ref="O2350"/>
    <hyperlink r:id="rId2351" ref="O2351"/>
    <hyperlink r:id="rId2352" ref="O2352"/>
    <hyperlink r:id="rId2353" ref="O2353"/>
    <hyperlink r:id="rId2354" ref="O2354"/>
    <hyperlink r:id="rId2355" ref="O2355"/>
    <hyperlink r:id="rId2356" ref="O2356"/>
    <hyperlink r:id="rId2357" ref="O2357"/>
    <hyperlink r:id="rId2358" ref="O2358"/>
    <hyperlink r:id="rId2359" ref="O2359"/>
    <hyperlink r:id="rId2360" ref="O2360"/>
    <hyperlink r:id="rId2361" ref="O2361"/>
    <hyperlink r:id="rId2362" ref="O2362"/>
    <hyperlink r:id="rId2363" ref="O2363"/>
    <hyperlink r:id="rId2364" ref="O2364"/>
    <hyperlink r:id="rId2365" ref="O2365"/>
    <hyperlink r:id="rId2366" ref="O2366"/>
    <hyperlink r:id="rId2367" ref="O2367"/>
    <hyperlink r:id="rId2368" ref="O2368"/>
    <hyperlink r:id="rId2369" ref="O2369"/>
    <hyperlink r:id="rId2370" ref="O2370"/>
    <hyperlink r:id="rId2371" ref="O2371"/>
    <hyperlink r:id="rId2372" ref="O2372"/>
    <hyperlink r:id="rId2373" ref="O2373"/>
    <hyperlink r:id="rId2374" ref="O2374"/>
    <hyperlink r:id="rId2375" ref="O2375"/>
    <hyperlink r:id="rId2376" ref="O2376"/>
    <hyperlink r:id="rId2377" ref="O2377"/>
    <hyperlink r:id="rId2378" ref="O2378"/>
    <hyperlink r:id="rId2379" ref="O2379"/>
    <hyperlink r:id="rId2380" ref="O2380"/>
    <hyperlink r:id="rId2381" ref="O2381"/>
    <hyperlink r:id="rId2382" ref="O2382"/>
    <hyperlink r:id="rId2383" ref="O2383"/>
    <hyperlink r:id="rId2384" ref="O2384"/>
    <hyperlink r:id="rId2385" ref="O2385"/>
    <hyperlink r:id="rId2386" ref="O2386"/>
    <hyperlink r:id="rId2387" ref="O2387"/>
    <hyperlink r:id="rId2388" ref="O2388"/>
    <hyperlink r:id="rId2389" ref="O2389"/>
    <hyperlink r:id="rId2390" ref="O2390"/>
    <hyperlink r:id="rId2391" ref="O2391"/>
    <hyperlink r:id="rId2392" ref="O2392"/>
    <hyperlink r:id="rId2393" ref="O2393"/>
    <hyperlink r:id="rId2394" ref="O2394"/>
    <hyperlink r:id="rId2395" ref="O2395"/>
    <hyperlink r:id="rId2396" ref="O2396"/>
    <hyperlink r:id="rId2397" ref="O2397"/>
    <hyperlink r:id="rId2398" ref="O2398"/>
    <hyperlink r:id="rId2399" ref="O2399"/>
    <hyperlink r:id="rId2400" ref="O2400"/>
    <hyperlink r:id="rId2401" ref="O2401"/>
    <hyperlink r:id="rId2402" ref="O2402"/>
    <hyperlink r:id="rId2403" ref="O2403"/>
    <hyperlink r:id="rId2404" ref="O2404"/>
    <hyperlink r:id="rId2405" ref="O2405"/>
    <hyperlink r:id="rId2406" ref="O2406"/>
    <hyperlink r:id="rId2407" ref="O2407"/>
    <hyperlink r:id="rId2408" ref="O2408"/>
    <hyperlink r:id="rId2409" ref="O2409"/>
    <hyperlink r:id="rId2410" ref="O2410"/>
    <hyperlink r:id="rId2411" ref="O2411"/>
    <hyperlink r:id="rId2412" ref="O2412"/>
    <hyperlink r:id="rId2413" ref="O2413"/>
    <hyperlink r:id="rId2414" ref="O2414"/>
    <hyperlink r:id="rId2415" ref="O2415"/>
    <hyperlink r:id="rId2416" ref="O2416"/>
    <hyperlink r:id="rId2417" ref="O2417"/>
    <hyperlink r:id="rId2418" ref="O2418"/>
    <hyperlink r:id="rId2419" ref="O2419"/>
    <hyperlink r:id="rId2420" ref="O2420"/>
    <hyperlink r:id="rId2421" ref="O2421"/>
    <hyperlink r:id="rId2422" ref="O2422"/>
    <hyperlink r:id="rId2423" ref="O2423"/>
    <hyperlink r:id="rId2424" ref="O2424"/>
    <hyperlink r:id="rId2425" ref="O2425"/>
    <hyperlink r:id="rId2426" ref="O2426"/>
    <hyperlink r:id="rId2427" ref="O2427"/>
    <hyperlink r:id="rId2428" ref="O2428"/>
    <hyperlink r:id="rId2429" ref="O2429"/>
    <hyperlink r:id="rId2430" ref="O2430"/>
    <hyperlink r:id="rId2431" ref="O2431"/>
    <hyperlink r:id="rId2432" ref="O2432"/>
    <hyperlink r:id="rId2433" ref="O2433"/>
    <hyperlink r:id="rId2434" ref="O2434"/>
    <hyperlink r:id="rId2435" ref="O2435"/>
    <hyperlink r:id="rId2436" ref="O2436"/>
    <hyperlink r:id="rId2437" ref="O2437"/>
    <hyperlink r:id="rId2438" ref="O2438"/>
    <hyperlink r:id="rId2439" ref="O2439"/>
    <hyperlink r:id="rId2440" ref="O2440"/>
    <hyperlink r:id="rId2441" ref="O2441"/>
    <hyperlink r:id="rId2442" ref="O2442"/>
    <hyperlink r:id="rId2443" ref="O2443"/>
    <hyperlink r:id="rId2444" ref="O2444"/>
    <hyperlink r:id="rId2445" ref="O2445"/>
    <hyperlink r:id="rId2446" ref="O2446"/>
    <hyperlink r:id="rId2447" ref="O2447"/>
    <hyperlink r:id="rId2448" ref="O2448"/>
    <hyperlink r:id="rId2449" ref="O2449"/>
    <hyperlink r:id="rId2450" ref="O2450"/>
    <hyperlink r:id="rId2451" ref="O2451"/>
    <hyperlink r:id="rId2452" ref="O2452"/>
    <hyperlink r:id="rId2453" ref="O2453"/>
    <hyperlink r:id="rId2454" ref="O2454"/>
    <hyperlink r:id="rId2455" ref="O2455"/>
    <hyperlink r:id="rId2456" ref="O2456"/>
    <hyperlink r:id="rId2457" ref="O2457"/>
    <hyperlink r:id="rId2458" ref="O2458"/>
    <hyperlink r:id="rId2459" ref="O2459"/>
    <hyperlink r:id="rId2460" ref="O2460"/>
    <hyperlink r:id="rId2461" ref="O2461"/>
    <hyperlink r:id="rId2462" ref="O2462"/>
    <hyperlink r:id="rId2463" ref="O2463"/>
    <hyperlink r:id="rId2464" ref="O2464"/>
    <hyperlink r:id="rId2465" ref="O2465"/>
    <hyperlink r:id="rId2466" ref="O2466"/>
    <hyperlink r:id="rId2467" ref="O2467"/>
    <hyperlink r:id="rId2468" ref="O2468"/>
    <hyperlink r:id="rId2469" ref="O2469"/>
    <hyperlink r:id="rId2470" ref="O2470"/>
    <hyperlink r:id="rId2471" ref="O2471"/>
    <hyperlink r:id="rId2472" ref="O2472"/>
    <hyperlink r:id="rId2473" ref="O2473"/>
    <hyperlink r:id="rId2474" ref="O2474"/>
    <hyperlink r:id="rId2475" ref="O2475"/>
    <hyperlink r:id="rId2476" ref="O2476"/>
    <hyperlink r:id="rId2477" ref="O2477"/>
    <hyperlink r:id="rId2478" ref="O2478"/>
    <hyperlink r:id="rId2479" ref="O2479"/>
    <hyperlink r:id="rId2480" ref="O2480"/>
    <hyperlink r:id="rId2481" ref="O2481"/>
    <hyperlink r:id="rId2482" ref="O2482"/>
    <hyperlink r:id="rId2483" ref="O2483"/>
    <hyperlink r:id="rId2484" ref="O2484"/>
    <hyperlink r:id="rId2485" ref="O2485"/>
    <hyperlink r:id="rId2486" ref="O2486"/>
    <hyperlink r:id="rId2487" ref="O2487"/>
    <hyperlink r:id="rId2488" ref="O2488"/>
    <hyperlink r:id="rId2489" ref="O2489"/>
    <hyperlink r:id="rId2490" ref="O2490"/>
    <hyperlink r:id="rId2491" ref="O2491"/>
    <hyperlink r:id="rId2492" ref="O2492"/>
    <hyperlink r:id="rId2493" ref="O2493"/>
    <hyperlink r:id="rId2494" ref="O2494"/>
    <hyperlink r:id="rId2495" ref="O2495"/>
    <hyperlink r:id="rId2496" ref="O2496"/>
    <hyperlink r:id="rId2497" ref="O2497"/>
    <hyperlink r:id="rId2498" ref="O2498"/>
    <hyperlink r:id="rId2499" ref="O2499"/>
    <hyperlink r:id="rId2500" ref="O2500"/>
    <hyperlink r:id="rId2501" ref="O2501"/>
    <hyperlink r:id="rId2502" ref="O2502"/>
    <hyperlink r:id="rId2503" ref="O2503"/>
    <hyperlink r:id="rId2504" ref="O2504"/>
    <hyperlink r:id="rId2505" ref="O2505"/>
    <hyperlink r:id="rId2506" ref="O2506"/>
    <hyperlink r:id="rId2507" ref="O2507"/>
    <hyperlink r:id="rId2508" ref="O2508"/>
    <hyperlink r:id="rId2509" ref="O2509"/>
    <hyperlink r:id="rId2510" ref="O2510"/>
    <hyperlink r:id="rId2511" ref="O2511"/>
    <hyperlink r:id="rId2512" ref="O2512"/>
    <hyperlink r:id="rId2513" ref="O2513"/>
    <hyperlink r:id="rId2514" ref="O2514"/>
    <hyperlink r:id="rId2515" ref="O2515"/>
    <hyperlink r:id="rId2516" ref="O2516"/>
    <hyperlink r:id="rId2517" ref="O2517"/>
    <hyperlink r:id="rId2518" ref="O2518"/>
    <hyperlink r:id="rId2519" ref="O2519"/>
    <hyperlink r:id="rId2520" ref="O2520"/>
    <hyperlink r:id="rId2521" ref="O2521"/>
    <hyperlink r:id="rId2522" ref="O2522"/>
    <hyperlink r:id="rId2523" ref="O2523"/>
    <hyperlink r:id="rId2524" ref="O2524"/>
    <hyperlink r:id="rId2525" ref="O2525"/>
    <hyperlink r:id="rId2526" ref="O2526"/>
    <hyperlink r:id="rId2527" ref="O2527"/>
    <hyperlink r:id="rId2528" ref="O2528"/>
    <hyperlink r:id="rId2529" ref="O2529"/>
    <hyperlink r:id="rId2530" ref="O2530"/>
    <hyperlink r:id="rId2531" ref="O2531"/>
    <hyperlink r:id="rId2532" ref="O2532"/>
    <hyperlink r:id="rId2533" ref="O2533"/>
    <hyperlink r:id="rId2534" ref="O2534"/>
    <hyperlink r:id="rId2535" ref="O2535"/>
    <hyperlink r:id="rId2536" ref="O2536"/>
    <hyperlink r:id="rId2537" ref="O2537"/>
    <hyperlink r:id="rId2538" ref="O2538"/>
    <hyperlink r:id="rId2539" ref="O2539"/>
    <hyperlink r:id="rId2540" ref="O2540"/>
    <hyperlink r:id="rId2541" ref="O2541"/>
    <hyperlink r:id="rId2542" ref="O2542"/>
    <hyperlink r:id="rId2543" ref="O2543"/>
    <hyperlink r:id="rId2544" ref="O2544"/>
    <hyperlink r:id="rId2545" ref="O2545"/>
    <hyperlink r:id="rId2546" ref="O2546"/>
    <hyperlink r:id="rId2547" ref="O2547"/>
    <hyperlink r:id="rId2548" ref="O2548"/>
    <hyperlink r:id="rId2549" ref="O2549"/>
    <hyperlink r:id="rId2550" ref="O2550"/>
    <hyperlink r:id="rId2551" ref="O2551"/>
    <hyperlink r:id="rId2552" ref="O2552"/>
    <hyperlink r:id="rId2553" ref="O2553"/>
    <hyperlink r:id="rId2554" ref="O2554"/>
    <hyperlink r:id="rId2555" ref="O2555"/>
    <hyperlink r:id="rId2556" ref="O2556"/>
    <hyperlink r:id="rId2557" ref="O2557"/>
    <hyperlink r:id="rId2558" ref="O2558"/>
    <hyperlink r:id="rId2559" ref="O2559"/>
    <hyperlink r:id="rId2560" ref="O2560"/>
    <hyperlink r:id="rId2561" ref="O2561"/>
    <hyperlink r:id="rId2562" ref="O2562"/>
    <hyperlink r:id="rId2563" ref="O2563"/>
    <hyperlink r:id="rId2564" ref="O2564"/>
    <hyperlink r:id="rId2565" ref="O2565"/>
    <hyperlink r:id="rId2566" ref="O2566"/>
    <hyperlink r:id="rId2567" ref="O2567"/>
    <hyperlink r:id="rId2568" ref="O2568"/>
    <hyperlink r:id="rId2569" ref="O2569"/>
    <hyperlink r:id="rId2570" ref="O2570"/>
    <hyperlink r:id="rId2571" ref="O2571"/>
    <hyperlink r:id="rId2572" ref="O2572"/>
    <hyperlink r:id="rId2573" ref="O2573"/>
    <hyperlink r:id="rId2574" ref="O2574"/>
    <hyperlink r:id="rId2575" ref="O2575"/>
    <hyperlink r:id="rId2576" ref="O2576"/>
    <hyperlink r:id="rId2577" ref="O2577"/>
    <hyperlink r:id="rId2578" ref="O2578"/>
    <hyperlink r:id="rId2579" ref="O2579"/>
    <hyperlink r:id="rId2580" ref="O2580"/>
    <hyperlink r:id="rId2581" ref="O2581"/>
    <hyperlink r:id="rId2582" ref="O2582"/>
    <hyperlink r:id="rId2583" ref="O2583"/>
    <hyperlink r:id="rId2584" ref="O2584"/>
    <hyperlink r:id="rId2585" ref="O2585"/>
    <hyperlink r:id="rId2586" ref="O2586"/>
    <hyperlink r:id="rId2587" ref="O2587"/>
    <hyperlink r:id="rId2588" ref="O2588"/>
    <hyperlink r:id="rId2589" ref="O2589"/>
    <hyperlink r:id="rId2590" ref="O2590"/>
    <hyperlink r:id="rId2591" ref="O2591"/>
    <hyperlink r:id="rId2592" ref="O2592"/>
    <hyperlink r:id="rId2593" ref="O2593"/>
    <hyperlink r:id="rId2594" ref="O2594"/>
    <hyperlink r:id="rId2595" ref="O2595"/>
    <hyperlink r:id="rId2596" ref="O2596"/>
    <hyperlink r:id="rId2597" ref="O2597"/>
    <hyperlink r:id="rId2598" ref="O2598"/>
    <hyperlink r:id="rId2599" ref="O2599"/>
    <hyperlink r:id="rId2600" ref="O2600"/>
    <hyperlink r:id="rId2601" ref="O2601"/>
    <hyperlink r:id="rId2602" ref="O2602"/>
    <hyperlink r:id="rId2603" ref="O2603"/>
    <hyperlink r:id="rId2604" ref="O2604"/>
    <hyperlink r:id="rId2605" ref="O2605"/>
    <hyperlink r:id="rId2606" ref="O2606"/>
    <hyperlink r:id="rId2607" ref="O2607"/>
    <hyperlink r:id="rId2608" ref="O2608"/>
    <hyperlink r:id="rId2609" ref="O2609"/>
    <hyperlink r:id="rId2610" ref="O2610"/>
    <hyperlink r:id="rId2611" ref="O2611"/>
    <hyperlink r:id="rId2612" ref="O2612"/>
    <hyperlink r:id="rId2613" ref="O2613"/>
    <hyperlink r:id="rId2614" ref="O2614"/>
    <hyperlink r:id="rId2615" ref="O2615"/>
    <hyperlink r:id="rId2616" ref="O2616"/>
    <hyperlink r:id="rId2617" ref="O2617"/>
    <hyperlink r:id="rId2618" ref="O2618"/>
    <hyperlink r:id="rId2619" ref="O2619"/>
    <hyperlink r:id="rId2620" ref="O2620"/>
    <hyperlink r:id="rId2621" ref="O2621"/>
    <hyperlink r:id="rId2622" ref="O2622"/>
    <hyperlink r:id="rId2623" ref="O2623"/>
    <hyperlink r:id="rId2624" ref="O2624"/>
    <hyperlink r:id="rId2625" ref="O2625"/>
    <hyperlink r:id="rId2626" ref="O2626"/>
    <hyperlink r:id="rId2627" ref="O2627"/>
    <hyperlink r:id="rId2628" ref="O2628"/>
    <hyperlink r:id="rId2629" ref="O2629"/>
    <hyperlink r:id="rId2630" ref="O2630"/>
    <hyperlink r:id="rId2631" ref="O2631"/>
    <hyperlink r:id="rId2632" ref="O2632"/>
    <hyperlink r:id="rId2633" ref="O2633"/>
    <hyperlink r:id="rId2634" ref="O2634"/>
    <hyperlink r:id="rId2635" ref="O2635"/>
    <hyperlink r:id="rId2636" ref="O2636"/>
    <hyperlink r:id="rId2637" ref="O2637"/>
    <hyperlink r:id="rId2638" ref="O2638"/>
    <hyperlink r:id="rId2639" ref="O2639"/>
    <hyperlink r:id="rId2640" ref="O2640"/>
    <hyperlink r:id="rId2641" ref="O2641"/>
    <hyperlink r:id="rId2642" ref="O2642"/>
    <hyperlink r:id="rId2643" ref="O2643"/>
    <hyperlink r:id="rId2644" ref="O2644"/>
    <hyperlink r:id="rId2645" ref="O2645"/>
    <hyperlink r:id="rId2646" ref="O2646"/>
    <hyperlink r:id="rId2647" ref="O2647"/>
    <hyperlink r:id="rId2648" ref="O2648"/>
    <hyperlink r:id="rId2649" ref="O2649"/>
    <hyperlink r:id="rId2650" ref="O2650"/>
    <hyperlink r:id="rId2651" ref="O2651"/>
    <hyperlink r:id="rId2652" ref="O2652"/>
    <hyperlink r:id="rId2653" ref="O2653"/>
    <hyperlink r:id="rId2654" ref="O2654"/>
    <hyperlink r:id="rId2655" ref="O2655"/>
    <hyperlink r:id="rId2656" ref="O2656"/>
    <hyperlink r:id="rId2657" ref="O2657"/>
    <hyperlink r:id="rId2658" ref="O2658"/>
    <hyperlink r:id="rId2659" ref="O2659"/>
    <hyperlink r:id="rId2660" ref="O2660"/>
    <hyperlink r:id="rId2661" ref="O2661"/>
    <hyperlink r:id="rId2662" ref="O2662"/>
    <hyperlink r:id="rId2663" ref="O2663"/>
    <hyperlink r:id="rId2664" ref="O2664"/>
    <hyperlink r:id="rId2665" ref="O2665"/>
    <hyperlink r:id="rId2666" ref="O2666"/>
    <hyperlink r:id="rId2667" ref="O2667"/>
    <hyperlink r:id="rId2668" ref="O2668"/>
    <hyperlink r:id="rId2669" ref="O2669"/>
    <hyperlink r:id="rId2670" ref="O2670"/>
    <hyperlink r:id="rId2671" ref="O2671"/>
    <hyperlink r:id="rId2672" ref="O2672"/>
    <hyperlink r:id="rId2673" ref="O2673"/>
    <hyperlink r:id="rId2674" ref="O2674"/>
    <hyperlink r:id="rId2675" ref="O2675"/>
    <hyperlink r:id="rId2676" ref="O2676"/>
    <hyperlink r:id="rId2677" ref="O2677"/>
    <hyperlink r:id="rId2678" ref="O2678"/>
    <hyperlink r:id="rId2679" ref="O2679"/>
    <hyperlink r:id="rId2680" ref="O2680"/>
    <hyperlink r:id="rId2681" ref="O2681"/>
    <hyperlink r:id="rId2682" ref="O2682"/>
    <hyperlink r:id="rId2683" ref="O2683"/>
    <hyperlink r:id="rId2684" ref="O2684"/>
    <hyperlink r:id="rId2685" ref="O2685"/>
    <hyperlink r:id="rId2686" ref="O2686"/>
    <hyperlink r:id="rId2687" ref="O2687"/>
    <hyperlink r:id="rId2688" ref="O2688"/>
    <hyperlink r:id="rId2689" ref="O2689"/>
    <hyperlink r:id="rId2690" ref="O2690"/>
    <hyperlink r:id="rId2691" ref="O2691"/>
    <hyperlink r:id="rId2692" ref="O2692"/>
    <hyperlink r:id="rId2693" ref="O2693"/>
    <hyperlink r:id="rId2694" ref="O2694"/>
    <hyperlink r:id="rId2695" ref="O2695"/>
    <hyperlink r:id="rId2696" ref="O2696"/>
    <hyperlink r:id="rId2697" ref="O2697"/>
    <hyperlink r:id="rId2698" ref="O2698"/>
    <hyperlink r:id="rId2699" ref="O2699"/>
    <hyperlink r:id="rId2700" ref="O2700"/>
    <hyperlink r:id="rId2701" ref="O2701"/>
    <hyperlink r:id="rId2702" ref="O2702"/>
    <hyperlink r:id="rId2703" ref="O2703"/>
    <hyperlink r:id="rId2704" ref="O2704"/>
    <hyperlink r:id="rId2705" ref="O2705"/>
    <hyperlink r:id="rId2706" ref="O2706"/>
    <hyperlink r:id="rId2707" ref="O2707"/>
    <hyperlink r:id="rId2708" ref="O2708"/>
    <hyperlink r:id="rId2709" ref="O2709"/>
    <hyperlink r:id="rId2710" ref="O2710"/>
    <hyperlink r:id="rId2711" ref="O2711"/>
    <hyperlink r:id="rId2712" ref="O2712"/>
    <hyperlink r:id="rId2713" ref="O2713"/>
    <hyperlink r:id="rId2714" ref="O2714"/>
    <hyperlink r:id="rId2715" ref="O2715"/>
    <hyperlink r:id="rId2716" ref="O2716"/>
    <hyperlink r:id="rId2717" ref="O2717"/>
    <hyperlink r:id="rId2718" ref="O2718"/>
    <hyperlink r:id="rId2719" ref="O2719"/>
    <hyperlink r:id="rId2720" ref="O2720"/>
    <hyperlink r:id="rId2721" ref="O2721"/>
    <hyperlink r:id="rId2722" ref="O2722"/>
    <hyperlink r:id="rId2723" ref="O2723"/>
    <hyperlink r:id="rId2724" ref="O2724"/>
    <hyperlink r:id="rId2725" ref="O2725"/>
    <hyperlink r:id="rId2726" ref="O2726"/>
    <hyperlink r:id="rId2727" ref="O2727"/>
    <hyperlink r:id="rId2728" ref="O2728"/>
    <hyperlink r:id="rId2729" ref="O2729"/>
    <hyperlink r:id="rId2730" ref="O2730"/>
    <hyperlink r:id="rId2731" ref="O2731"/>
    <hyperlink r:id="rId2732" ref="O2732"/>
    <hyperlink r:id="rId2733" ref="O2733"/>
    <hyperlink r:id="rId2734" ref="O2734"/>
    <hyperlink r:id="rId2735" ref="O2735"/>
    <hyperlink r:id="rId2736" ref="O2736"/>
    <hyperlink r:id="rId2737" ref="O2737"/>
    <hyperlink r:id="rId2738" ref="O2738"/>
    <hyperlink r:id="rId2739" ref="O2739"/>
    <hyperlink r:id="rId2740" ref="O2740"/>
    <hyperlink r:id="rId2741" ref="O2741"/>
    <hyperlink r:id="rId2742" ref="O2742"/>
    <hyperlink r:id="rId2743" ref="O2743"/>
    <hyperlink r:id="rId2744" ref="O2744"/>
    <hyperlink r:id="rId2745" ref="O2745"/>
    <hyperlink r:id="rId2746" ref="O2746"/>
    <hyperlink r:id="rId2747" ref="O2747"/>
    <hyperlink r:id="rId2748" ref="O2748"/>
    <hyperlink r:id="rId2749" ref="O2749"/>
    <hyperlink r:id="rId2750" ref="O2750"/>
    <hyperlink r:id="rId2751" ref="O2751"/>
    <hyperlink r:id="rId2752" ref="O2752"/>
    <hyperlink r:id="rId2753" ref="O2753"/>
    <hyperlink r:id="rId2754" ref="O2754"/>
    <hyperlink r:id="rId2755" ref="O2755"/>
    <hyperlink r:id="rId2756" ref="O2756"/>
    <hyperlink r:id="rId2757" ref="O2757"/>
    <hyperlink r:id="rId2758" ref="O2758"/>
    <hyperlink r:id="rId2759" ref="O2759"/>
    <hyperlink r:id="rId2760" ref="O2760"/>
    <hyperlink r:id="rId2761" ref="O2761"/>
    <hyperlink r:id="rId2762" ref="O2762"/>
    <hyperlink r:id="rId2763" ref="O2763"/>
    <hyperlink r:id="rId2764" ref="O2764"/>
    <hyperlink r:id="rId2765" ref="O2765"/>
    <hyperlink r:id="rId2766" ref="O2766"/>
    <hyperlink r:id="rId2767" ref="O2767"/>
    <hyperlink r:id="rId2768" ref="O2768"/>
    <hyperlink r:id="rId2769" ref="O2769"/>
    <hyperlink r:id="rId2770" ref="O2770"/>
    <hyperlink r:id="rId2771" ref="O2771"/>
    <hyperlink r:id="rId2772" ref="O2772"/>
    <hyperlink r:id="rId2773" ref="O2773"/>
    <hyperlink r:id="rId2774" ref="O2774"/>
    <hyperlink r:id="rId2775" ref="O2775"/>
    <hyperlink r:id="rId2776" ref="O2776"/>
    <hyperlink r:id="rId2777" ref="O2777"/>
    <hyperlink r:id="rId2778" ref="O2778"/>
    <hyperlink r:id="rId2779" ref="O2779"/>
    <hyperlink r:id="rId2780" ref="O2780"/>
    <hyperlink r:id="rId2781" ref="O2781"/>
    <hyperlink r:id="rId2782" ref="O2782"/>
    <hyperlink r:id="rId2783" ref="O2783"/>
    <hyperlink r:id="rId2784" ref="O2784"/>
    <hyperlink r:id="rId2785" ref="O2785"/>
    <hyperlink r:id="rId2786" ref="O2786"/>
    <hyperlink r:id="rId2787" ref="O2787"/>
    <hyperlink r:id="rId2788" ref="O2788"/>
    <hyperlink r:id="rId2789" ref="O2789"/>
    <hyperlink r:id="rId2790" ref="O2790"/>
    <hyperlink r:id="rId2791" ref="O2791"/>
    <hyperlink r:id="rId2792" ref="O2792"/>
    <hyperlink r:id="rId2793" ref="O2793"/>
    <hyperlink r:id="rId2794" ref="O2794"/>
    <hyperlink r:id="rId2795" ref="O2795"/>
    <hyperlink r:id="rId2796" ref="O2796"/>
    <hyperlink r:id="rId2797" ref="O2797"/>
    <hyperlink r:id="rId2798" ref="O2798"/>
    <hyperlink r:id="rId2799" ref="O2799"/>
    <hyperlink r:id="rId2800" ref="O2800"/>
    <hyperlink r:id="rId2801" ref="O2801"/>
    <hyperlink r:id="rId2802" ref="O2802"/>
    <hyperlink r:id="rId2803" ref="O2803"/>
    <hyperlink r:id="rId2804" ref="O2804"/>
    <hyperlink r:id="rId2805" ref="O2805"/>
    <hyperlink r:id="rId2806" ref="O2806"/>
    <hyperlink r:id="rId2807" ref="O2807"/>
    <hyperlink r:id="rId2808" ref="O2808"/>
    <hyperlink r:id="rId2809" ref="O2809"/>
    <hyperlink r:id="rId2810" ref="O2810"/>
    <hyperlink r:id="rId2811" ref="O2811"/>
    <hyperlink r:id="rId2812" ref="O2812"/>
    <hyperlink r:id="rId2813" ref="O2813"/>
    <hyperlink r:id="rId2814" ref="O2814"/>
    <hyperlink r:id="rId2815" ref="O2815"/>
    <hyperlink r:id="rId2816" ref="O2816"/>
    <hyperlink r:id="rId2817" ref="O2817"/>
    <hyperlink r:id="rId2818" ref="O2818"/>
    <hyperlink r:id="rId2819" ref="O2819"/>
    <hyperlink r:id="rId2820" ref="O2820"/>
    <hyperlink r:id="rId2821" ref="O2821"/>
    <hyperlink r:id="rId2822" ref="O2822"/>
    <hyperlink r:id="rId2823" ref="O2823"/>
    <hyperlink r:id="rId2824" ref="O2824"/>
    <hyperlink r:id="rId2825" ref="O2825"/>
    <hyperlink r:id="rId2826" ref="O2826"/>
    <hyperlink r:id="rId2827" ref="O2827"/>
    <hyperlink r:id="rId2828" ref="O2828"/>
    <hyperlink r:id="rId2829" ref="O2829"/>
    <hyperlink r:id="rId2830" ref="O2830"/>
    <hyperlink r:id="rId2831" ref="O2831"/>
    <hyperlink r:id="rId2832" ref="O2832"/>
    <hyperlink r:id="rId2833" ref="O2833"/>
    <hyperlink r:id="rId2834" ref="O2834"/>
    <hyperlink r:id="rId2835" ref="O2835"/>
    <hyperlink r:id="rId2836" ref="O2836"/>
    <hyperlink r:id="rId2837" ref="O2837"/>
    <hyperlink r:id="rId2838" ref="O2838"/>
    <hyperlink r:id="rId2839" ref="O2839"/>
    <hyperlink r:id="rId2840" ref="O2840"/>
    <hyperlink r:id="rId2841" ref="O2841"/>
    <hyperlink r:id="rId2842" ref="O2842"/>
    <hyperlink r:id="rId2843" ref="O2843"/>
    <hyperlink r:id="rId2844" ref="O2844"/>
    <hyperlink r:id="rId2845" ref="O2845"/>
    <hyperlink r:id="rId2846" ref="O2846"/>
    <hyperlink r:id="rId2847" ref="O2847"/>
    <hyperlink r:id="rId2848" ref="O2848"/>
    <hyperlink r:id="rId2849" ref="O2849"/>
    <hyperlink r:id="rId2850" ref="O2850"/>
    <hyperlink r:id="rId2851" ref="O2851"/>
    <hyperlink r:id="rId2852" ref="O2852"/>
    <hyperlink r:id="rId2853" ref="O2853"/>
    <hyperlink r:id="rId2854" ref="O2854"/>
    <hyperlink r:id="rId2855" ref="O2855"/>
    <hyperlink r:id="rId2856" ref="O2856"/>
    <hyperlink r:id="rId2857" ref="O2857"/>
    <hyperlink r:id="rId2858" ref="O2858"/>
    <hyperlink r:id="rId2859" ref="O2859"/>
    <hyperlink r:id="rId2860" ref="O2860"/>
    <hyperlink r:id="rId2861" ref="O2861"/>
    <hyperlink r:id="rId2862" ref="O2862"/>
    <hyperlink r:id="rId2863" ref="O2863"/>
    <hyperlink r:id="rId2864" ref="O2864"/>
    <hyperlink r:id="rId2865" ref="O2865"/>
    <hyperlink r:id="rId2866" ref="O2866"/>
    <hyperlink r:id="rId2867" ref="O2867"/>
    <hyperlink r:id="rId2868" ref="O2868"/>
    <hyperlink r:id="rId2869" ref="O2869"/>
    <hyperlink r:id="rId2870" ref="O2870"/>
    <hyperlink r:id="rId2871" ref="O2871"/>
    <hyperlink r:id="rId2872" ref="O2872"/>
    <hyperlink r:id="rId2873" ref="O2873"/>
    <hyperlink r:id="rId2874" ref="O2874"/>
    <hyperlink r:id="rId2875" ref="O2875"/>
    <hyperlink r:id="rId2876" ref="O2876"/>
    <hyperlink r:id="rId2877" ref="O2877"/>
    <hyperlink r:id="rId2878" ref="O2878"/>
    <hyperlink r:id="rId2879" ref="O2879"/>
    <hyperlink r:id="rId2880" ref="O2880"/>
    <hyperlink r:id="rId2881" ref="O2881"/>
    <hyperlink r:id="rId2882" ref="O2882"/>
    <hyperlink r:id="rId2883" ref="O2883"/>
    <hyperlink r:id="rId2884" ref="O2884"/>
    <hyperlink r:id="rId2885" ref="O2885"/>
    <hyperlink r:id="rId2886" ref="O2886"/>
    <hyperlink r:id="rId2887" ref="O2887"/>
    <hyperlink r:id="rId2888" ref="O2888"/>
    <hyperlink r:id="rId2889" ref="O2889"/>
    <hyperlink r:id="rId2890" ref="O2890"/>
    <hyperlink r:id="rId2891" ref="O2891"/>
    <hyperlink r:id="rId2892" ref="O2892"/>
    <hyperlink r:id="rId2893" ref="O2893"/>
    <hyperlink r:id="rId2894" ref="O2894"/>
    <hyperlink r:id="rId2895" ref="O2895"/>
    <hyperlink r:id="rId2896" ref="O2896"/>
    <hyperlink r:id="rId2897" ref="O2897"/>
    <hyperlink r:id="rId2898" ref="O2898"/>
    <hyperlink r:id="rId2899" ref="O2899"/>
    <hyperlink r:id="rId2900" ref="O2900"/>
    <hyperlink r:id="rId2901" ref="O2901"/>
    <hyperlink r:id="rId2902" ref="O2902"/>
    <hyperlink r:id="rId2903" ref="O2903"/>
    <hyperlink r:id="rId2904" ref="O2904"/>
    <hyperlink r:id="rId2905" ref="O2905"/>
    <hyperlink r:id="rId2906" ref="O2906"/>
    <hyperlink r:id="rId2907" ref="O2907"/>
    <hyperlink r:id="rId2908" ref="O2908"/>
    <hyperlink r:id="rId2909" ref="O2909"/>
    <hyperlink r:id="rId2910" ref="O2910"/>
    <hyperlink r:id="rId2911" ref="O2911"/>
    <hyperlink r:id="rId2912" ref="O2912"/>
    <hyperlink r:id="rId2913" ref="O2913"/>
    <hyperlink r:id="rId2914" ref="O2914"/>
    <hyperlink r:id="rId2915" ref="O2915"/>
    <hyperlink r:id="rId2916" ref="O2916"/>
    <hyperlink r:id="rId2917" ref="O2917"/>
    <hyperlink r:id="rId2918" ref="O2918"/>
    <hyperlink r:id="rId2919" ref="O2919"/>
    <hyperlink r:id="rId2920" ref="O2920"/>
    <hyperlink r:id="rId2921" ref="O2921"/>
    <hyperlink r:id="rId2922" ref="O2922"/>
    <hyperlink r:id="rId2923" ref="O2923"/>
    <hyperlink r:id="rId2924" ref="O2924"/>
    <hyperlink r:id="rId2925" ref="O2925"/>
    <hyperlink r:id="rId2926" ref="O2926"/>
    <hyperlink r:id="rId2927" ref="O2927"/>
    <hyperlink r:id="rId2928" ref="O2928"/>
    <hyperlink r:id="rId2929" ref="O2929"/>
    <hyperlink r:id="rId2930" ref="O2930"/>
    <hyperlink r:id="rId2931" ref="O2931"/>
    <hyperlink r:id="rId2932" ref="O2932"/>
    <hyperlink r:id="rId2933" ref="O2933"/>
    <hyperlink r:id="rId2934" ref="O2934"/>
    <hyperlink r:id="rId2935" ref="O2935"/>
    <hyperlink r:id="rId2936" ref="O2936"/>
    <hyperlink r:id="rId2937" ref="O2937"/>
    <hyperlink r:id="rId2938" ref="O2938"/>
    <hyperlink r:id="rId2939" ref="O2939"/>
    <hyperlink r:id="rId2940" ref="O2940"/>
    <hyperlink r:id="rId2941" ref="O2941"/>
    <hyperlink r:id="rId2942" ref="O2942"/>
    <hyperlink r:id="rId2943" ref="O2943"/>
    <hyperlink r:id="rId2944" ref="O2944"/>
    <hyperlink r:id="rId2945" ref="O2945"/>
    <hyperlink r:id="rId2946" ref="O2946"/>
    <hyperlink r:id="rId2947" ref="O2947"/>
    <hyperlink r:id="rId2948" ref="O2948"/>
    <hyperlink r:id="rId2949" ref="O2949"/>
    <hyperlink r:id="rId2950" ref="O2950"/>
    <hyperlink r:id="rId2951" ref="O2951"/>
    <hyperlink r:id="rId2952" ref="O2952"/>
    <hyperlink r:id="rId2953" ref="O2953"/>
    <hyperlink r:id="rId2954" ref="O2954"/>
    <hyperlink r:id="rId2955" ref="O2955"/>
    <hyperlink r:id="rId2956" ref="O2956"/>
    <hyperlink r:id="rId2957" ref="O2957"/>
    <hyperlink r:id="rId2958" ref="O2958"/>
    <hyperlink r:id="rId2959" ref="O2959"/>
    <hyperlink r:id="rId2960" ref="O2960"/>
    <hyperlink r:id="rId2961" ref="O2961"/>
    <hyperlink r:id="rId2962" ref="O2962"/>
    <hyperlink r:id="rId2963" ref="O2963"/>
    <hyperlink r:id="rId2964" ref="O2964"/>
    <hyperlink r:id="rId2965" ref="O2965"/>
    <hyperlink r:id="rId2966" ref="O2966"/>
    <hyperlink r:id="rId2967" ref="O2967"/>
    <hyperlink r:id="rId2968" ref="O2968"/>
    <hyperlink r:id="rId2969" ref="O2969"/>
    <hyperlink r:id="rId2970" ref="O2970"/>
    <hyperlink r:id="rId2971" ref="O2971"/>
    <hyperlink r:id="rId2972" ref="O2972"/>
    <hyperlink r:id="rId2973" ref="O2973"/>
    <hyperlink r:id="rId2974" ref="O2974"/>
    <hyperlink r:id="rId2975" ref="O2975"/>
    <hyperlink r:id="rId2976" ref="O2976"/>
    <hyperlink r:id="rId2977" ref="O2977"/>
    <hyperlink r:id="rId2978" ref="O2978"/>
    <hyperlink r:id="rId2979" ref="O2979"/>
    <hyperlink r:id="rId2980" ref="O2980"/>
    <hyperlink r:id="rId2981" ref="O2981"/>
    <hyperlink r:id="rId2982" ref="O2982"/>
    <hyperlink r:id="rId2983" ref="O2983"/>
    <hyperlink r:id="rId2984" ref="O2984"/>
    <hyperlink r:id="rId2985" ref="O2985"/>
    <hyperlink r:id="rId2986" ref="O2986"/>
    <hyperlink r:id="rId2987" ref="O2987"/>
    <hyperlink r:id="rId2988" ref="O2988"/>
    <hyperlink r:id="rId2989" ref="O2989"/>
    <hyperlink r:id="rId2990" ref="O2990"/>
    <hyperlink r:id="rId2991" ref="O2991"/>
    <hyperlink r:id="rId2992" ref="O2992"/>
    <hyperlink r:id="rId2993" ref="O2993"/>
    <hyperlink r:id="rId2994" ref="O2994"/>
    <hyperlink r:id="rId2995" ref="O2995"/>
    <hyperlink r:id="rId2996" ref="O2996"/>
    <hyperlink r:id="rId2997" ref="O2997"/>
    <hyperlink r:id="rId2998" ref="O2998"/>
    <hyperlink r:id="rId2999" ref="O2999"/>
    <hyperlink r:id="rId3000" ref="O3000"/>
    <hyperlink r:id="rId3001" ref="O3001"/>
    <hyperlink r:id="rId3002" ref="O3002"/>
    <hyperlink r:id="rId3003" ref="O3003"/>
    <hyperlink r:id="rId3004" ref="O3004"/>
    <hyperlink r:id="rId3005" ref="O3005"/>
    <hyperlink r:id="rId3006" ref="O3006"/>
    <hyperlink r:id="rId3007" ref="O3007"/>
    <hyperlink r:id="rId3008" ref="O3008"/>
    <hyperlink r:id="rId3009" ref="O3009"/>
    <hyperlink r:id="rId3010" ref="O3010"/>
    <hyperlink r:id="rId3011" ref="O3011"/>
    <hyperlink r:id="rId3012" ref="O3012"/>
    <hyperlink r:id="rId3013" ref="O3013"/>
    <hyperlink r:id="rId3014" ref="O3014"/>
    <hyperlink r:id="rId3015" ref="O3015"/>
    <hyperlink r:id="rId3016" ref="O3016"/>
    <hyperlink r:id="rId3017" ref="O3017"/>
    <hyperlink r:id="rId3018" ref="O3018"/>
    <hyperlink r:id="rId3019" ref="O3019"/>
    <hyperlink r:id="rId3020" ref="O3020"/>
    <hyperlink r:id="rId3021" ref="O3021"/>
    <hyperlink r:id="rId3022" ref="O3022"/>
    <hyperlink r:id="rId3023" ref="O3023"/>
    <hyperlink r:id="rId3024" ref="O3024"/>
    <hyperlink r:id="rId3025" ref="O3025"/>
    <hyperlink r:id="rId3026" ref="O3026"/>
    <hyperlink r:id="rId3027" ref="O3027"/>
    <hyperlink r:id="rId3028" ref="O3028"/>
    <hyperlink r:id="rId3029" ref="O3029"/>
    <hyperlink r:id="rId3030" ref="O3030"/>
    <hyperlink r:id="rId3031" ref="O3031"/>
    <hyperlink r:id="rId3032" ref="O3032"/>
    <hyperlink r:id="rId3033" ref="O3033"/>
    <hyperlink r:id="rId3034" ref="O3034"/>
    <hyperlink r:id="rId3035" ref="O3035"/>
    <hyperlink r:id="rId3036" ref="O3036"/>
    <hyperlink r:id="rId3037" ref="O3037"/>
    <hyperlink r:id="rId3038" ref="O3038"/>
    <hyperlink r:id="rId3039" ref="O3039"/>
    <hyperlink r:id="rId3040" ref="O3040"/>
    <hyperlink r:id="rId3041" ref="O3041"/>
    <hyperlink r:id="rId3042" ref="O3042"/>
    <hyperlink r:id="rId3043" ref="O3043"/>
    <hyperlink r:id="rId3044" ref="O3044"/>
    <hyperlink r:id="rId3045" ref="O3045"/>
    <hyperlink r:id="rId3046" ref="O3046"/>
    <hyperlink r:id="rId3047" ref="O3047"/>
    <hyperlink r:id="rId3048" ref="O3048"/>
    <hyperlink r:id="rId3049" ref="O3049"/>
    <hyperlink r:id="rId3050" ref="O3050"/>
    <hyperlink r:id="rId3051" ref="O3051"/>
    <hyperlink r:id="rId3052" ref="O3052"/>
    <hyperlink r:id="rId3053" ref="O3053"/>
    <hyperlink r:id="rId3054" ref="O3054"/>
    <hyperlink r:id="rId3055" ref="O3055"/>
    <hyperlink r:id="rId3056" ref="O3056"/>
    <hyperlink r:id="rId3057" ref="O3057"/>
    <hyperlink r:id="rId3058" ref="O3058"/>
    <hyperlink r:id="rId3059" ref="O3059"/>
    <hyperlink r:id="rId3060" ref="O3060"/>
    <hyperlink r:id="rId3061" ref="O3061"/>
    <hyperlink r:id="rId3062" ref="O3062"/>
    <hyperlink r:id="rId3063" ref="O3063"/>
    <hyperlink r:id="rId3064" ref="O3064"/>
    <hyperlink r:id="rId3065" ref="O3065"/>
    <hyperlink r:id="rId3066" ref="O3066"/>
    <hyperlink r:id="rId3067" ref="O3067"/>
    <hyperlink r:id="rId3068" ref="O3068"/>
    <hyperlink r:id="rId3069" ref="O3069"/>
    <hyperlink r:id="rId3070" ref="O3070"/>
    <hyperlink r:id="rId3071" ref="O3071"/>
    <hyperlink r:id="rId3072" ref="O3072"/>
    <hyperlink r:id="rId3073" ref="O3073"/>
    <hyperlink r:id="rId3074" ref="O3074"/>
    <hyperlink r:id="rId3075" ref="O3075"/>
    <hyperlink r:id="rId3076" ref="O3076"/>
    <hyperlink r:id="rId3077" ref="O3077"/>
    <hyperlink r:id="rId3078" ref="O3078"/>
    <hyperlink r:id="rId3079" ref="O3079"/>
    <hyperlink r:id="rId3080" ref="O3080"/>
    <hyperlink r:id="rId3081" ref="O3081"/>
    <hyperlink r:id="rId3082" ref="O3082"/>
    <hyperlink r:id="rId3083" ref="O3083"/>
    <hyperlink r:id="rId3084" ref="O3084"/>
    <hyperlink r:id="rId3085" ref="O3085"/>
    <hyperlink r:id="rId3086" ref="O3086"/>
    <hyperlink r:id="rId3087" ref="O3087"/>
    <hyperlink r:id="rId3088" ref="O3088"/>
    <hyperlink r:id="rId3089" ref="O3089"/>
    <hyperlink r:id="rId3090" ref="O3090"/>
    <hyperlink r:id="rId3091" ref="O3091"/>
    <hyperlink r:id="rId3092" ref="O3092"/>
    <hyperlink r:id="rId3093" ref="O3093"/>
    <hyperlink r:id="rId3094" ref="O3094"/>
    <hyperlink r:id="rId3095" ref="O3095"/>
    <hyperlink r:id="rId3096" ref="O3096"/>
    <hyperlink r:id="rId3097" ref="O3097"/>
    <hyperlink r:id="rId3098" ref="O3098"/>
    <hyperlink r:id="rId3099" ref="O3099"/>
    <hyperlink r:id="rId3100" ref="O3100"/>
    <hyperlink r:id="rId3101" ref="O3101"/>
    <hyperlink r:id="rId3102" ref="O3102"/>
    <hyperlink r:id="rId3103" ref="O3103"/>
    <hyperlink r:id="rId3104" ref="O3104"/>
    <hyperlink r:id="rId3105" ref="O3105"/>
    <hyperlink r:id="rId3106" ref="O3106"/>
    <hyperlink r:id="rId3107" ref="O3107"/>
    <hyperlink r:id="rId3108" ref="O3108"/>
    <hyperlink r:id="rId3109" ref="O3109"/>
    <hyperlink r:id="rId3110" ref="O3110"/>
    <hyperlink r:id="rId3111" ref="O3111"/>
    <hyperlink r:id="rId3112" ref="O3112"/>
    <hyperlink r:id="rId3113" ref="O3113"/>
    <hyperlink r:id="rId3114" ref="O3114"/>
    <hyperlink r:id="rId3115" ref="O3115"/>
    <hyperlink r:id="rId3116" ref="O3116"/>
    <hyperlink r:id="rId3117" ref="O3117"/>
    <hyperlink r:id="rId3118" ref="O3118"/>
    <hyperlink r:id="rId3119" ref="O3119"/>
    <hyperlink r:id="rId3120" ref="O3120"/>
    <hyperlink r:id="rId3121" ref="O3121"/>
    <hyperlink r:id="rId3122" ref="O3122"/>
    <hyperlink r:id="rId3123" ref="O3123"/>
    <hyperlink r:id="rId3124" ref="O3124"/>
    <hyperlink r:id="rId3125" ref="O3125"/>
    <hyperlink r:id="rId3126" ref="O3126"/>
    <hyperlink r:id="rId3127" ref="O3127"/>
    <hyperlink r:id="rId3128" ref="O3128"/>
    <hyperlink r:id="rId3129" ref="O3129"/>
    <hyperlink r:id="rId3130" ref="O3130"/>
    <hyperlink r:id="rId3131" ref="O3131"/>
    <hyperlink r:id="rId3132" ref="O3132"/>
    <hyperlink r:id="rId3133" ref="O3133"/>
    <hyperlink r:id="rId3134" ref="O3134"/>
    <hyperlink r:id="rId3135" ref="O3135"/>
    <hyperlink r:id="rId3136" ref="O3136"/>
    <hyperlink r:id="rId3137" ref="O3137"/>
    <hyperlink r:id="rId3138" ref="O3138"/>
    <hyperlink r:id="rId3139" ref="O3139"/>
    <hyperlink r:id="rId3140" ref="O3140"/>
    <hyperlink r:id="rId3141" ref="O3141"/>
    <hyperlink r:id="rId3142" ref="O3142"/>
    <hyperlink r:id="rId3143" ref="O3143"/>
    <hyperlink r:id="rId3144" ref="O3144"/>
    <hyperlink r:id="rId3145" ref="O3145"/>
    <hyperlink r:id="rId3146" ref="O3146"/>
    <hyperlink r:id="rId3147" ref="O3147"/>
    <hyperlink r:id="rId3148" ref="O3148"/>
    <hyperlink r:id="rId3149" ref="O3149"/>
    <hyperlink r:id="rId3150" ref="O3150"/>
    <hyperlink r:id="rId3151" ref="O3151"/>
    <hyperlink r:id="rId3152" ref="O3152"/>
    <hyperlink r:id="rId3153" ref="O3153"/>
    <hyperlink r:id="rId3154" ref="O3154"/>
    <hyperlink r:id="rId3155" ref="O3155"/>
    <hyperlink r:id="rId3156" ref="O3156"/>
    <hyperlink r:id="rId3157" ref="O3157"/>
    <hyperlink r:id="rId3158" ref="O3158"/>
    <hyperlink r:id="rId3159" ref="O3159"/>
    <hyperlink r:id="rId3160" ref="O3160"/>
    <hyperlink r:id="rId3161" ref="O3161"/>
    <hyperlink r:id="rId3162" ref="O3162"/>
    <hyperlink r:id="rId3163" ref="O3163"/>
    <hyperlink r:id="rId3164" ref="O3164"/>
    <hyperlink r:id="rId3165" ref="O3165"/>
    <hyperlink r:id="rId3166" ref="O3166"/>
    <hyperlink r:id="rId3167" ref="O3167"/>
    <hyperlink r:id="rId3168" ref="O3168"/>
    <hyperlink r:id="rId3169" ref="O3169"/>
    <hyperlink r:id="rId3170" ref="O3170"/>
    <hyperlink r:id="rId3171" ref="O3171"/>
    <hyperlink r:id="rId3172" ref="O3172"/>
    <hyperlink r:id="rId3173" ref="O3173"/>
    <hyperlink r:id="rId3174" ref="O3174"/>
    <hyperlink r:id="rId3175" ref="O3175"/>
    <hyperlink r:id="rId3176" ref="O3176"/>
    <hyperlink r:id="rId3177" ref="O3177"/>
    <hyperlink r:id="rId3178" ref="O3178"/>
    <hyperlink r:id="rId3179" ref="O3179"/>
    <hyperlink r:id="rId3180" ref="O3180"/>
    <hyperlink r:id="rId3181" ref="O3181"/>
    <hyperlink r:id="rId3182" ref="O3182"/>
    <hyperlink r:id="rId3183" ref="O3183"/>
    <hyperlink r:id="rId3184" ref="O3184"/>
    <hyperlink r:id="rId3185" ref="O3185"/>
    <hyperlink r:id="rId3186" ref="O3186"/>
    <hyperlink r:id="rId3187" ref="O3187"/>
    <hyperlink r:id="rId3188" ref="O3188"/>
    <hyperlink r:id="rId3189" ref="O3189"/>
    <hyperlink r:id="rId3190" ref="O3190"/>
    <hyperlink r:id="rId3191" ref="O3191"/>
    <hyperlink r:id="rId3192" ref="O3192"/>
    <hyperlink r:id="rId3193" ref="O3193"/>
    <hyperlink r:id="rId3194" ref="O3194"/>
    <hyperlink r:id="rId3195" ref="O3195"/>
    <hyperlink r:id="rId3196" ref="O3196"/>
    <hyperlink r:id="rId3197" ref="O3197"/>
    <hyperlink r:id="rId3198" ref="O3198"/>
    <hyperlink r:id="rId3199" ref="O3199"/>
    <hyperlink r:id="rId3200" ref="O3200"/>
    <hyperlink r:id="rId3201" ref="O3201"/>
    <hyperlink r:id="rId3202" ref="O3202"/>
    <hyperlink r:id="rId3203" ref="O3203"/>
    <hyperlink r:id="rId3204" ref="O3204"/>
    <hyperlink r:id="rId3205" ref="O3205"/>
    <hyperlink r:id="rId3206" ref="O3206"/>
    <hyperlink r:id="rId3207" ref="O3207"/>
    <hyperlink r:id="rId3208" ref="O3208"/>
    <hyperlink r:id="rId3209" ref="O3209"/>
    <hyperlink r:id="rId3210" ref="O3210"/>
    <hyperlink r:id="rId3211" ref="O3211"/>
    <hyperlink r:id="rId3212" ref="O3212"/>
    <hyperlink r:id="rId3213" ref="O3213"/>
    <hyperlink r:id="rId3214" ref="O3214"/>
    <hyperlink r:id="rId3215" ref="O3215"/>
    <hyperlink r:id="rId3216" ref="O3216"/>
    <hyperlink r:id="rId3217" ref="O3217"/>
    <hyperlink r:id="rId3218" ref="O3218"/>
    <hyperlink r:id="rId3219" ref="O3219"/>
    <hyperlink r:id="rId3220" ref="O3220"/>
    <hyperlink r:id="rId3221" ref="O3221"/>
    <hyperlink r:id="rId3222" ref="O3222"/>
    <hyperlink r:id="rId3223" ref="O3223"/>
    <hyperlink r:id="rId3224" ref="O3224"/>
    <hyperlink r:id="rId3225" ref="O3225"/>
    <hyperlink r:id="rId3226" ref="O3226"/>
    <hyperlink r:id="rId3227" ref="O3227"/>
    <hyperlink r:id="rId3228" ref="O3228"/>
    <hyperlink r:id="rId3229" ref="O3229"/>
    <hyperlink r:id="rId3230" ref="O3230"/>
    <hyperlink r:id="rId3231" ref="O3231"/>
    <hyperlink r:id="rId3232" ref="O3232"/>
    <hyperlink r:id="rId3233" ref="O3233"/>
    <hyperlink r:id="rId3234" ref="O3234"/>
    <hyperlink r:id="rId3235" ref="O3235"/>
    <hyperlink r:id="rId3236" ref="O3236"/>
    <hyperlink r:id="rId3237" ref="O3237"/>
    <hyperlink r:id="rId3238" ref="O3238"/>
    <hyperlink r:id="rId3239" ref="O3239"/>
    <hyperlink r:id="rId3240" ref="O3240"/>
    <hyperlink r:id="rId3241" ref="O3241"/>
    <hyperlink r:id="rId3242" ref="O3242"/>
    <hyperlink r:id="rId3243" ref="O3243"/>
    <hyperlink r:id="rId3244" ref="O3244"/>
    <hyperlink r:id="rId3245" ref="O3245"/>
    <hyperlink r:id="rId3246" ref="O3246"/>
    <hyperlink r:id="rId3247" ref="O3247"/>
    <hyperlink r:id="rId3248" ref="O3248"/>
    <hyperlink r:id="rId3249" ref="O3249"/>
    <hyperlink r:id="rId3250" ref="O3250"/>
    <hyperlink r:id="rId3251" ref="O3251"/>
    <hyperlink r:id="rId3252" ref="O3252"/>
    <hyperlink r:id="rId3253" ref="O3253"/>
    <hyperlink r:id="rId3254" ref="O3254"/>
    <hyperlink r:id="rId3255" ref="O3255"/>
    <hyperlink r:id="rId3256" ref="O3256"/>
    <hyperlink r:id="rId3257" ref="O3257"/>
    <hyperlink r:id="rId3258" ref="O3258"/>
    <hyperlink r:id="rId3259" ref="O3259"/>
    <hyperlink r:id="rId3260" ref="O3260"/>
    <hyperlink r:id="rId3261" ref="O3261"/>
    <hyperlink r:id="rId3262" ref="O3262"/>
    <hyperlink r:id="rId3263" ref="O3263"/>
    <hyperlink r:id="rId3264" ref="O3264"/>
    <hyperlink r:id="rId3265" ref="O3265"/>
    <hyperlink r:id="rId3266" ref="O3266"/>
    <hyperlink r:id="rId3267" ref="O3267"/>
    <hyperlink r:id="rId3268" ref="O3268"/>
    <hyperlink r:id="rId3269" ref="O3269"/>
    <hyperlink r:id="rId3270" ref="O3270"/>
    <hyperlink r:id="rId3271" ref="O3271"/>
    <hyperlink r:id="rId3272" ref="O3272"/>
    <hyperlink r:id="rId3273" ref="O3273"/>
    <hyperlink r:id="rId3274" ref="O3274"/>
    <hyperlink r:id="rId3275" ref="O3275"/>
    <hyperlink r:id="rId3276" ref="O3276"/>
    <hyperlink r:id="rId3277" ref="O3277"/>
    <hyperlink r:id="rId3278" ref="O3278"/>
    <hyperlink r:id="rId3279" ref="O3279"/>
    <hyperlink r:id="rId3280" ref="O3280"/>
    <hyperlink r:id="rId3281" ref="O3281"/>
    <hyperlink r:id="rId3282" ref="O3282"/>
    <hyperlink r:id="rId3283" ref="O3283"/>
    <hyperlink r:id="rId3284" ref="O3284"/>
    <hyperlink r:id="rId3285" ref="O3285"/>
    <hyperlink r:id="rId3286" ref="O3286"/>
    <hyperlink r:id="rId3287" ref="O3287"/>
    <hyperlink r:id="rId3288" ref="O3288"/>
    <hyperlink r:id="rId3289" ref="O3289"/>
    <hyperlink r:id="rId3290" ref="O3290"/>
    <hyperlink r:id="rId3291" ref="O3291"/>
    <hyperlink r:id="rId3292" ref="O3292"/>
    <hyperlink r:id="rId3293" ref="O3293"/>
    <hyperlink r:id="rId3294" ref="O3294"/>
    <hyperlink r:id="rId3295" ref="O3295"/>
    <hyperlink r:id="rId3296" ref="O3296"/>
    <hyperlink r:id="rId3297" ref="O3297"/>
    <hyperlink r:id="rId3298" ref="O3298"/>
    <hyperlink r:id="rId3299" ref="O3299"/>
    <hyperlink r:id="rId3300" ref="O3300"/>
    <hyperlink r:id="rId3301" ref="O3301"/>
    <hyperlink r:id="rId3302" ref="O3302"/>
    <hyperlink r:id="rId3303" ref="O3303"/>
    <hyperlink r:id="rId3304" ref="O3304"/>
    <hyperlink r:id="rId3305" ref="O3305"/>
    <hyperlink r:id="rId3306" ref="O3306"/>
    <hyperlink r:id="rId3307" ref="O3307"/>
    <hyperlink r:id="rId3308" ref="O3308"/>
    <hyperlink r:id="rId3309" ref="O3309"/>
    <hyperlink r:id="rId3310" ref="O3310"/>
    <hyperlink r:id="rId3311" ref="O3311"/>
    <hyperlink r:id="rId3312" ref="O3312"/>
    <hyperlink r:id="rId3313" ref="O3313"/>
    <hyperlink r:id="rId3314" ref="O3314"/>
    <hyperlink r:id="rId3315" ref="O3315"/>
    <hyperlink r:id="rId3316" ref="O3316"/>
    <hyperlink r:id="rId3317" ref="O3317"/>
    <hyperlink r:id="rId3318" ref="O3318"/>
    <hyperlink r:id="rId3319" ref="O3319"/>
    <hyperlink r:id="rId3320" ref="O3320"/>
    <hyperlink r:id="rId3321" ref="O3321"/>
    <hyperlink r:id="rId3322" ref="O3322"/>
    <hyperlink r:id="rId3323" ref="O3323"/>
    <hyperlink r:id="rId3324" ref="O3324"/>
    <hyperlink r:id="rId3325" ref="O3325"/>
    <hyperlink r:id="rId3326" ref="O3326"/>
    <hyperlink r:id="rId3327" ref="O3327"/>
    <hyperlink r:id="rId3328" ref="O3328"/>
    <hyperlink r:id="rId3329" ref="O3329"/>
    <hyperlink r:id="rId3330" ref="O3330"/>
    <hyperlink r:id="rId3331" ref="O3331"/>
    <hyperlink r:id="rId3332" ref="O3332"/>
    <hyperlink r:id="rId3333" ref="O3333"/>
    <hyperlink r:id="rId3334" ref="O3334"/>
    <hyperlink r:id="rId3335" ref="O3335"/>
    <hyperlink r:id="rId3336" ref="O3336"/>
    <hyperlink r:id="rId3337" ref="O3337"/>
    <hyperlink r:id="rId3338" ref="O3338"/>
    <hyperlink r:id="rId3339" ref="O3339"/>
    <hyperlink r:id="rId3340" ref="O3340"/>
    <hyperlink r:id="rId3341" ref="O3341"/>
    <hyperlink r:id="rId3342" ref="O3342"/>
    <hyperlink r:id="rId3343" ref="O3343"/>
    <hyperlink r:id="rId3344" ref="O3344"/>
    <hyperlink r:id="rId3345" ref="O3345"/>
    <hyperlink r:id="rId3346" ref="O3346"/>
    <hyperlink r:id="rId3347" ref="O3347"/>
    <hyperlink r:id="rId3348" ref="O3348"/>
    <hyperlink r:id="rId3349" ref="O3349"/>
    <hyperlink r:id="rId3350" ref="O3350"/>
    <hyperlink r:id="rId3351" ref="O3351"/>
    <hyperlink r:id="rId3352" ref="O3352"/>
    <hyperlink r:id="rId3353" ref="O3353"/>
    <hyperlink r:id="rId3354" ref="O3354"/>
    <hyperlink r:id="rId3355" ref="O3355"/>
    <hyperlink r:id="rId3356" ref="O3356"/>
    <hyperlink r:id="rId3357" ref="O3357"/>
    <hyperlink r:id="rId3358" ref="O3358"/>
    <hyperlink r:id="rId3359" ref="O3359"/>
    <hyperlink r:id="rId3360" ref="O3360"/>
    <hyperlink r:id="rId3361" ref="O3361"/>
    <hyperlink r:id="rId3362" ref="O3362"/>
    <hyperlink r:id="rId3363" ref="O3363"/>
    <hyperlink r:id="rId3364" ref="O3364"/>
    <hyperlink r:id="rId3365" ref="O3365"/>
    <hyperlink r:id="rId3366" ref="O3366"/>
    <hyperlink r:id="rId3367" ref="O3367"/>
    <hyperlink r:id="rId3368" ref="O3368"/>
    <hyperlink r:id="rId3369" ref="O3369"/>
    <hyperlink r:id="rId3370" ref="O3370"/>
    <hyperlink r:id="rId3371" ref="O3371"/>
    <hyperlink r:id="rId3372" ref="O3372"/>
    <hyperlink r:id="rId3373" ref="O3373"/>
    <hyperlink r:id="rId3374" ref="O3374"/>
    <hyperlink r:id="rId3375" ref="O3375"/>
    <hyperlink r:id="rId3376" ref="O3376"/>
    <hyperlink r:id="rId3377" ref="O3377"/>
    <hyperlink r:id="rId3378" ref="O3378"/>
    <hyperlink r:id="rId3379" ref="O3379"/>
    <hyperlink r:id="rId3380" ref="O3380"/>
    <hyperlink r:id="rId3381" ref="O3381"/>
    <hyperlink r:id="rId3382" ref="O3382"/>
    <hyperlink r:id="rId3383" ref="O3383"/>
    <hyperlink r:id="rId3384" ref="O3384"/>
    <hyperlink r:id="rId3385" ref="O3385"/>
    <hyperlink r:id="rId3386" ref="O3386"/>
    <hyperlink r:id="rId3387" ref="O3387"/>
    <hyperlink r:id="rId3388" ref="O3388"/>
    <hyperlink r:id="rId3389" ref="O3389"/>
    <hyperlink r:id="rId3390" ref="O3390"/>
    <hyperlink r:id="rId3391" ref="O3391"/>
    <hyperlink r:id="rId3392" ref="O3392"/>
    <hyperlink r:id="rId3393" ref="O3393"/>
    <hyperlink r:id="rId3394" ref="O3394"/>
    <hyperlink r:id="rId3395" ref="O3395"/>
    <hyperlink r:id="rId3396" ref="O3396"/>
    <hyperlink r:id="rId3397" ref="O3397"/>
    <hyperlink r:id="rId3398" ref="O3398"/>
    <hyperlink r:id="rId3399" ref="O3399"/>
    <hyperlink r:id="rId3400" ref="O3400"/>
    <hyperlink r:id="rId3401" ref="O3401"/>
    <hyperlink r:id="rId3402" ref="O3402"/>
    <hyperlink r:id="rId3403" ref="O3403"/>
    <hyperlink r:id="rId3404" ref="O3404"/>
    <hyperlink r:id="rId3405" ref="O3405"/>
    <hyperlink r:id="rId3406" ref="O3406"/>
    <hyperlink r:id="rId3407" ref="O3407"/>
    <hyperlink r:id="rId3408" ref="O3408"/>
    <hyperlink r:id="rId3409" ref="O3409"/>
    <hyperlink r:id="rId3410" ref="O3410"/>
    <hyperlink r:id="rId3411" ref="O3411"/>
    <hyperlink r:id="rId3412" ref="O3412"/>
    <hyperlink r:id="rId3413" ref="O3413"/>
    <hyperlink r:id="rId3414" ref="O3414"/>
    <hyperlink r:id="rId3415" ref="O3415"/>
    <hyperlink r:id="rId3416" ref="O3416"/>
    <hyperlink r:id="rId3417" ref="O3417"/>
    <hyperlink r:id="rId3418" ref="O3418"/>
    <hyperlink r:id="rId3419" ref="O3419"/>
    <hyperlink r:id="rId3420" ref="O3420"/>
    <hyperlink r:id="rId3421" ref="O3421"/>
    <hyperlink r:id="rId3422" ref="O3422"/>
    <hyperlink r:id="rId3423" ref="O3423"/>
    <hyperlink r:id="rId3424" ref="O3424"/>
    <hyperlink r:id="rId3425" ref="O3425"/>
    <hyperlink r:id="rId3426" ref="O3426"/>
    <hyperlink r:id="rId3427" ref="O3427"/>
    <hyperlink r:id="rId3428" ref="O3428"/>
    <hyperlink r:id="rId3429" ref="O3429"/>
    <hyperlink r:id="rId3430" ref="O3430"/>
    <hyperlink r:id="rId3431" ref="O3431"/>
    <hyperlink r:id="rId3432" ref="O3432"/>
    <hyperlink r:id="rId3433" ref="O3433"/>
    <hyperlink r:id="rId3434" ref="O3434"/>
    <hyperlink r:id="rId3435" ref="O3435"/>
    <hyperlink r:id="rId3436" ref="O3436"/>
    <hyperlink r:id="rId3437" ref="O3437"/>
    <hyperlink r:id="rId3438" ref="O3438"/>
    <hyperlink r:id="rId3439" ref="O3439"/>
    <hyperlink r:id="rId3440" ref="O3440"/>
    <hyperlink r:id="rId3441" ref="O3441"/>
    <hyperlink r:id="rId3442" ref="O3442"/>
    <hyperlink r:id="rId3443" ref="O3443"/>
    <hyperlink r:id="rId3444" ref="O3444"/>
    <hyperlink r:id="rId3445" ref="O3445"/>
    <hyperlink r:id="rId3446" ref="O3446"/>
    <hyperlink r:id="rId3447" ref="O3447"/>
    <hyperlink r:id="rId3448" ref="O3448"/>
    <hyperlink r:id="rId3449" ref="O3449"/>
    <hyperlink r:id="rId3450" ref="O3450"/>
    <hyperlink r:id="rId3451" ref="O3451"/>
    <hyperlink r:id="rId3452" ref="O3452"/>
    <hyperlink r:id="rId3453" ref="O3453"/>
    <hyperlink r:id="rId3454" ref="O3454"/>
    <hyperlink r:id="rId3455" ref="O3455"/>
    <hyperlink r:id="rId3456" ref="O3456"/>
    <hyperlink r:id="rId3457" ref="O3457"/>
    <hyperlink r:id="rId3458" ref="O3458"/>
    <hyperlink r:id="rId3459" ref="O3459"/>
    <hyperlink r:id="rId3460" ref="O3460"/>
    <hyperlink r:id="rId3461" ref="O3461"/>
    <hyperlink r:id="rId3462" ref="O3462"/>
    <hyperlink r:id="rId3463" ref="O3463"/>
    <hyperlink r:id="rId3464" ref="O3464"/>
    <hyperlink r:id="rId3465" ref="O3465"/>
    <hyperlink r:id="rId3466" ref="O3466"/>
    <hyperlink r:id="rId3467" ref="O3467"/>
    <hyperlink r:id="rId3468" ref="O3468"/>
    <hyperlink r:id="rId3469" ref="O3469"/>
    <hyperlink r:id="rId3470" ref="O3470"/>
    <hyperlink r:id="rId3471" ref="O3471"/>
    <hyperlink r:id="rId3472" ref="O3472"/>
    <hyperlink r:id="rId3473" ref="O3473"/>
    <hyperlink r:id="rId3474" ref="O3474"/>
    <hyperlink r:id="rId3475" ref="O3475"/>
    <hyperlink r:id="rId3476" ref="O3476"/>
    <hyperlink r:id="rId3477" ref="O3477"/>
    <hyperlink r:id="rId3478" ref="O3478"/>
    <hyperlink r:id="rId3479" ref="O3479"/>
    <hyperlink r:id="rId3480" ref="O3480"/>
    <hyperlink r:id="rId3481" ref="O3481"/>
    <hyperlink r:id="rId3482" ref="O3482"/>
    <hyperlink r:id="rId3483" ref="O3483"/>
    <hyperlink r:id="rId3484" ref="O3484"/>
    <hyperlink r:id="rId3485" ref="O3485"/>
    <hyperlink r:id="rId3486" ref="O3486"/>
    <hyperlink r:id="rId3487" ref="O3487"/>
    <hyperlink r:id="rId3488" ref="O3488"/>
    <hyperlink r:id="rId3489" ref="O3489"/>
    <hyperlink r:id="rId3490" ref="O3490"/>
    <hyperlink r:id="rId3491" ref="O3491"/>
    <hyperlink r:id="rId3492" ref="O3492"/>
    <hyperlink r:id="rId3493" ref="O3493"/>
    <hyperlink r:id="rId3494" ref="O3494"/>
    <hyperlink r:id="rId3495" ref="O3495"/>
    <hyperlink r:id="rId3496" ref="O3496"/>
    <hyperlink r:id="rId3497" ref="O3497"/>
    <hyperlink r:id="rId3498" ref="O3498"/>
    <hyperlink r:id="rId3499" ref="O3499"/>
    <hyperlink r:id="rId3500" ref="O3500"/>
    <hyperlink r:id="rId3501" ref="O3501"/>
    <hyperlink r:id="rId3502" ref="O3502"/>
    <hyperlink r:id="rId3503" ref="O3503"/>
    <hyperlink r:id="rId3504" ref="O3504"/>
    <hyperlink r:id="rId3505" ref="O3505"/>
    <hyperlink r:id="rId3506" ref="O3506"/>
    <hyperlink r:id="rId3507" ref="O3507"/>
    <hyperlink r:id="rId3508" ref="O3508"/>
    <hyperlink r:id="rId3509" ref="O3509"/>
    <hyperlink r:id="rId3510" ref="O3510"/>
    <hyperlink r:id="rId3511" ref="O3511"/>
    <hyperlink r:id="rId3512" ref="O3512"/>
    <hyperlink r:id="rId3513" ref="O3513"/>
    <hyperlink r:id="rId3514" ref="O3514"/>
    <hyperlink r:id="rId3515" ref="O3515"/>
    <hyperlink r:id="rId3516" ref="O3516"/>
    <hyperlink r:id="rId3517" ref="O3517"/>
    <hyperlink r:id="rId3518" ref="O3518"/>
    <hyperlink r:id="rId3519" ref="O3519"/>
    <hyperlink r:id="rId3520" ref="O3520"/>
    <hyperlink r:id="rId3521" ref="O3521"/>
    <hyperlink r:id="rId3522" ref="O3522"/>
    <hyperlink r:id="rId3523" ref="O3523"/>
    <hyperlink r:id="rId3524" ref="O3524"/>
    <hyperlink r:id="rId3525" ref="O3525"/>
    <hyperlink r:id="rId3526" ref="O3526"/>
    <hyperlink r:id="rId3527" ref="O3527"/>
    <hyperlink r:id="rId3528" ref="O3528"/>
    <hyperlink r:id="rId3529" ref="O3529"/>
    <hyperlink r:id="rId3530" ref="O3530"/>
    <hyperlink r:id="rId3531" ref="O3531"/>
    <hyperlink r:id="rId3532" ref="O3532"/>
    <hyperlink r:id="rId3533" ref="O3533"/>
    <hyperlink r:id="rId3534" ref="O3534"/>
    <hyperlink r:id="rId3535" ref="O3535"/>
    <hyperlink r:id="rId3536" ref="O3536"/>
    <hyperlink r:id="rId3537" ref="O3537"/>
    <hyperlink r:id="rId3538" ref="O3538"/>
    <hyperlink r:id="rId3539" ref="O3539"/>
    <hyperlink r:id="rId3540" ref="O3540"/>
    <hyperlink r:id="rId3541" ref="O3541"/>
    <hyperlink r:id="rId3542" ref="O3542"/>
    <hyperlink r:id="rId3543" ref="O3543"/>
    <hyperlink r:id="rId3544" ref="O3544"/>
    <hyperlink r:id="rId3545" ref="O3545"/>
    <hyperlink r:id="rId3546" ref="O3546"/>
    <hyperlink r:id="rId3547" ref="O3547"/>
    <hyperlink r:id="rId3548" ref="O3548"/>
    <hyperlink r:id="rId3549" ref="O3549"/>
    <hyperlink r:id="rId3550" ref="O3550"/>
    <hyperlink r:id="rId3551" ref="O3551"/>
    <hyperlink r:id="rId3552" ref="O3552"/>
    <hyperlink r:id="rId3553" ref="O3553"/>
    <hyperlink r:id="rId3554" ref="O3554"/>
    <hyperlink r:id="rId3555" ref="O3555"/>
    <hyperlink r:id="rId3556" ref="O3556"/>
    <hyperlink r:id="rId3557" ref="O3557"/>
    <hyperlink r:id="rId3558" ref="O3558"/>
    <hyperlink r:id="rId3559" ref="O3559"/>
    <hyperlink r:id="rId3560" ref="O3560"/>
    <hyperlink r:id="rId3561" ref="O3561"/>
    <hyperlink r:id="rId3562" ref="O3562"/>
    <hyperlink r:id="rId3563" ref="O3563"/>
    <hyperlink r:id="rId3564" ref="O3564"/>
    <hyperlink r:id="rId3565" ref="O3565"/>
    <hyperlink r:id="rId3566" ref="O3566"/>
    <hyperlink r:id="rId3567" ref="O3567"/>
    <hyperlink r:id="rId3568" ref="O3568"/>
    <hyperlink r:id="rId3569" ref="O3569"/>
    <hyperlink r:id="rId3570" ref="O3570"/>
    <hyperlink r:id="rId3571" ref="O3571"/>
    <hyperlink r:id="rId3572" ref="O3572"/>
    <hyperlink r:id="rId3573" ref="O3573"/>
    <hyperlink r:id="rId3574" ref="O3574"/>
    <hyperlink r:id="rId3575" ref="O3575"/>
    <hyperlink r:id="rId3576" ref="O3576"/>
    <hyperlink r:id="rId3577" ref="O3577"/>
    <hyperlink r:id="rId3578" ref="O3578"/>
    <hyperlink r:id="rId3579" ref="O3579"/>
    <hyperlink r:id="rId3580" ref="O3580"/>
    <hyperlink r:id="rId3581" ref="O3581"/>
    <hyperlink r:id="rId3582" ref="O3582"/>
    <hyperlink r:id="rId3583" ref="O3583"/>
    <hyperlink r:id="rId3584" ref="O3584"/>
    <hyperlink r:id="rId3585" ref="O3585"/>
    <hyperlink r:id="rId3586" ref="O3586"/>
    <hyperlink r:id="rId3587" ref="O3587"/>
    <hyperlink r:id="rId3588" ref="O3588"/>
    <hyperlink r:id="rId3589" ref="O3589"/>
    <hyperlink r:id="rId3590" ref="O3590"/>
    <hyperlink r:id="rId3591" ref="O3591"/>
    <hyperlink r:id="rId3592" ref="O3592"/>
    <hyperlink r:id="rId3593" ref="O3593"/>
    <hyperlink r:id="rId3594" ref="O3594"/>
    <hyperlink r:id="rId3595" ref="O3595"/>
    <hyperlink r:id="rId3596" ref="O3596"/>
    <hyperlink r:id="rId3597" ref="O3597"/>
    <hyperlink r:id="rId3598" ref="O3598"/>
    <hyperlink r:id="rId3599" ref="O3599"/>
    <hyperlink r:id="rId3600" ref="O3600"/>
    <hyperlink r:id="rId3601" ref="O3601"/>
    <hyperlink r:id="rId3602" ref="O3602"/>
    <hyperlink r:id="rId3603" ref="O3603"/>
    <hyperlink r:id="rId3604" ref="O3604"/>
    <hyperlink r:id="rId3605" ref="O3605"/>
    <hyperlink r:id="rId3606" ref="O3606"/>
    <hyperlink r:id="rId3607" ref="O3607"/>
    <hyperlink r:id="rId3608" ref="O3608"/>
    <hyperlink r:id="rId3609" ref="O3609"/>
    <hyperlink r:id="rId3610" ref="O3610"/>
    <hyperlink r:id="rId3611" ref="O3611"/>
    <hyperlink r:id="rId3612" ref="O3612"/>
    <hyperlink r:id="rId3613" ref="O3613"/>
    <hyperlink r:id="rId3614" ref="O3614"/>
    <hyperlink r:id="rId3615" ref="O3615"/>
    <hyperlink r:id="rId3616" ref="O3616"/>
    <hyperlink r:id="rId3617" ref="O3617"/>
    <hyperlink r:id="rId3618" ref="O3618"/>
    <hyperlink r:id="rId3619" ref="O3619"/>
    <hyperlink r:id="rId3620" ref="O3620"/>
    <hyperlink r:id="rId3621" ref="O3621"/>
    <hyperlink r:id="rId3622" ref="O3622"/>
    <hyperlink r:id="rId3623" ref="O3623"/>
    <hyperlink r:id="rId3624" ref="O3624"/>
    <hyperlink r:id="rId3625" ref="O3625"/>
    <hyperlink r:id="rId3626" ref="O3626"/>
    <hyperlink r:id="rId3627" ref="O3627"/>
    <hyperlink r:id="rId3628" ref="O3628"/>
    <hyperlink r:id="rId3629" ref="O3629"/>
    <hyperlink r:id="rId3630" ref="O3630"/>
    <hyperlink r:id="rId3631" ref="O3631"/>
    <hyperlink r:id="rId3632" ref="O3632"/>
    <hyperlink r:id="rId3633" ref="O3633"/>
    <hyperlink r:id="rId3634" ref="O3634"/>
    <hyperlink r:id="rId3635" ref="O3635"/>
    <hyperlink r:id="rId3636" ref="O3636"/>
    <hyperlink r:id="rId3637" ref="O3637"/>
    <hyperlink r:id="rId3638" ref="O3638"/>
    <hyperlink r:id="rId3639" ref="O3639"/>
    <hyperlink r:id="rId3640" ref="O3640"/>
    <hyperlink r:id="rId3641" ref="O3641"/>
    <hyperlink r:id="rId3642" ref="O3642"/>
    <hyperlink r:id="rId3643" ref="O3643"/>
    <hyperlink r:id="rId3644" ref="O3644"/>
    <hyperlink r:id="rId3645" ref="O3645"/>
    <hyperlink r:id="rId3646" ref="O3646"/>
    <hyperlink r:id="rId3647" ref="O3647"/>
    <hyperlink r:id="rId3648" ref="O3648"/>
    <hyperlink r:id="rId3649" ref="O3649"/>
    <hyperlink r:id="rId3650" ref="O3650"/>
    <hyperlink r:id="rId3651" ref="O3651"/>
    <hyperlink r:id="rId3652" ref="O3652"/>
    <hyperlink r:id="rId3653" ref="O3653"/>
    <hyperlink r:id="rId3654" ref="O3654"/>
    <hyperlink r:id="rId3655" ref="O3655"/>
    <hyperlink r:id="rId3656" ref="O3656"/>
    <hyperlink r:id="rId3657" ref="O3657"/>
    <hyperlink r:id="rId3658" ref="O3658"/>
    <hyperlink r:id="rId3659" ref="O3659"/>
    <hyperlink r:id="rId3660" ref="O3660"/>
    <hyperlink r:id="rId3661" ref="O3661"/>
    <hyperlink r:id="rId3662" ref="O3662"/>
    <hyperlink r:id="rId3663" ref="O3663"/>
    <hyperlink r:id="rId3664" ref="O3664"/>
    <hyperlink r:id="rId3665" ref="O3665"/>
    <hyperlink r:id="rId3666" ref="O3666"/>
    <hyperlink r:id="rId3667" ref="O3667"/>
    <hyperlink r:id="rId3668" ref="O3668"/>
    <hyperlink r:id="rId3669" ref="O3669"/>
    <hyperlink r:id="rId3670" ref="O3670"/>
    <hyperlink r:id="rId3671" ref="O3671"/>
    <hyperlink r:id="rId3672" ref="O3672"/>
    <hyperlink r:id="rId3673" ref="O3673"/>
    <hyperlink r:id="rId3674" ref="O3674"/>
    <hyperlink r:id="rId3675" ref="O3675"/>
    <hyperlink r:id="rId3676" ref="O3676"/>
    <hyperlink r:id="rId3677" ref="O3677"/>
    <hyperlink r:id="rId3678" ref="O3678"/>
    <hyperlink r:id="rId3679" ref="O3679"/>
    <hyperlink r:id="rId3680" ref="O3680"/>
    <hyperlink r:id="rId3681" ref="O3681"/>
    <hyperlink r:id="rId3682" ref="O3682"/>
    <hyperlink r:id="rId3683" ref="O3683"/>
    <hyperlink r:id="rId3684" ref="O3684"/>
    <hyperlink r:id="rId3685" ref="O3685"/>
    <hyperlink r:id="rId3686" ref="O3686"/>
    <hyperlink r:id="rId3687" ref="O3687"/>
    <hyperlink r:id="rId3688" ref="O3688"/>
    <hyperlink r:id="rId3689" ref="O3689"/>
    <hyperlink r:id="rId3690" ref="O3690"/>
    <hyperlink r:id="rId3691" ref="O3691"/>
    <hyperlink r:id="rId3692" ref="O3692"/>
    <hyperlink r:id="rId3693" ref="O3693"/>
    <hyperlink r:id="rId3694" ref="O3694"/>
    <hyperlink r:id="rId3695" ref="O3695"/>
    <hyperlink r:id="rId3696" ref="O3696"/>
    <hyperlink r:id="rId3697" ref="O3697"/>
    <hyperlink r:id="rId3698" ref="O3698"/>
    <hyperlink r:id="rId3699" ref="O3699"/>
    <hyperlink r:id="rId3700" ref="O3700"/>
    <hyperlink r:id="rId3701" ref="O3701"/>
    <hyperlink r:id="rId3702" ref="O3702"/>
    <hyperlink r:id="rId3703" ref="O3703"/>
    <hyperlink r:id="rId3704" ref="O3704"/>
    <hyperlink r:id="rId3705" ref="O3705"/>
    <hyperlink r:id="rId3706" ref="O3706"/>
    <hyperlink r:id="rId3707" ref="O3707"/>
    <hyperlink r:id="rId3708" ref="O3708"/>
    <hyperlink r:id="rId3709" ref="O3709"/>
    <hyperlink r:id="rId3710" ref="O3710"/>
    <hyperlink r:id="rId3711" ref="O3711"/>
    <hyperlink r:id="rId3712" ref="O3712"/>
    <hyperlink r:id="rId3713" ref="O3713"/>
    <hyperlink r:id="rId3714" ref="O3714"/>
    <hyperlink r:id="rId3715" ref="O3715"/>
    <hyperlink r:id="rId3716" ref="O3716"/>
    <hyperlink r:id="rId3717" ref="O3717"/>
    <hyperlink r:id="rId3718" ref="O3718"/>
    <hyperlink r:id="rId3719" ref="O3719"/>
    <hyperlink r:id="rId3720" ref="O3720"/>
    <hyperlink r:id="rId3721" ref="O3721"/>
    <hyperlink r:id="rId3722" ref="O3722"/>
    <hyperlink r:id="rId3723" ref="O3723"/>
    <hyperlink r:id="rId3724" ref="O3724"/>
    <hyperlink r:id="rId3725" ref="O3725"/>
    <hyperlink r:id="rId3726" ref="O3726"/>
    <hyperlink r:id="rId3727" ref="O3727"/>
    <hyperlink r:id="rId3728" ref="O3728"/>
    <hyperlink r:id="rId3729" ref="O3729"/>
    <hyperlink r:id="rId3730" ref="O3730"/>
    <hyperlink r:id="rId3731" ref="O3731"/>
    <hyperlink r:id="rId3732" ref="O3732"/>
    <hyperlink r:id="rId3733" ref="O3733"/>
    <hyperlink r:id="rId3734" ref="O3734"/>
    <hyperlink r:id="rId3735" ref="O3735"/>
    <hyperlink r:id="rId3736" ref="O3736"/>
    <hyperlink r:id="rId3737" ref="O3737"/>
    <hyperlink r:id="rId3738" ref="O3738"/>
    <hyperlink r:id="rId3739" ref="O3739"/>
    <hyperlink r:id="rId3740" ref="O3740"/>
    <hyperlink r:id="rId3741" ref="O3741"/>
    <hyperlink r:id="rId3742" ref="O3742"/>
    <hyperlink r:id="rId3743" ref="O3743"/>
    <hyperlink r:id="rId3744" ref="O3744"/>
    <hyperlink r:id="rId3745" ref="O3745"/>
    <hyperlink r:id="rId3746" ref="O3746"/>
    <hyperlink r:id="rId3747" ref="O3747"/>
    <hyperlink r:id="rId3748" ref="O3748"/>
    <hyperlink r:id="rId3749" ref="O3749"/>
    <hyperlink r:id="rId3750" ref="O3750"/>
    <hyperlink r:id="rId3751" ref="O3751"/>
    <hyperlink r:id="rId3752" ref="O3752"/>
    <hyperlink r:id="rId3753" ref="O3753"/>
    <hyperlink r:id="rId3754" ref="O3754"/>
    <hyperlink r:id="rId3755" ref="O3755"/>
    <hyperlink r:id="rId3756" ref="O3756"/>
    <hyperlink r:id="rId3757" ref="O3757"/>
    <hyperlink r:id="rId3758" ref="O3758"/>
    <hyperlink r:id="rId3759" ref="O3759"/>
    <hyperlink r:id="rId3760" ref="O3760"/>
    <hyperlink r:id="rId3761" ref="O3761"/>
    <hyperlink r:id="rId3762" ref="O3762"/>
    <hyperlink r:id="rId3763" ref="O3763"/>
    <hyperlink r:id="rId3764" ref="O3764"/>
    <hyperlink r:id="rId3765" ref="O3765"/>
    <hyperlink r:id="rId3766" ref="O3766"/>
    <hyperlink r:id="rId3767" ref="O3767"/>
    <hyperlink r:id="rId3768" ref="O3768"/>
    <hyperlink r:id="rId3769" ref="O3769"/>
    <hyperlink r:id="rId3770" ref="O3770"/>
    <hyperlink r:id="rId3771" ref="O3771"/>
    <hyperlink r:id="rId3772" ref="O3772"/>
    <hyperlink r:id="rId3773" ref="O3773"/>
    <hyperlink r:id="rId3774" ref="O3774"/>
    <hyperlink r:id="rId3775" ref="O3775"/>
    <hyperlink r:id="rId3776" ref="O3776"/>
    <hyperlink r:id="rId3777" ref="O3777"/>
    <hyperlink r:id="rId3778" ref="O3778"/>
    <hyperlink r:id="rId3779" ref="O3779"/>
    <hyperlink r:id="rId3780" ref="O3780"/>
    <hyperlink r:id="rId3781" ref="O3781"/>
    <hyperlink r:id="rId3782" ref="O3782"/>
    <hyperlink r:id="rId3783" ref="O3783"/>
    <hyperlink r:id="rId3784" ref="O3784"/>
    <hyperlink r:id="rId3785" ref="O3785"/>
    <hyperlink r:id="rId3786" ref="O3786"/>
    <hyperlink r:id="rId3787" ref="O3787"/>
    <hyperlink r:id="rId3788" ref="O3788"/>
    <hyperlink r:id="rId3789" ref="O3789"/>
    <hyperlink r:id="rId3790" ref="O3790"/>
    <hyperlink r:id="rId3791" ref="O3791"/>
    <hyperlink r:id="rId3792" ref="O3792"/>
    <hyperlink r:id="rId3793" ref="O3793"/>
    <hyperlink r:id="rId3794" ref="O3794"/>
    <hyperlink r:id="rId3795" ref="O3795"/>
    <hyperlink r:id="rId3796" ref="O3796"/>
    <hyperlink r:id="rId3797" ref="O3797"/>
    <hyperlink r:id="rId3798" ref="O3798"/>
    <hyperlink r:id="rId3799" ref="O3799"/>
    <hyperlink r:id="rId3800" ref="O3800"/>
    <hyperlink r:id="rId3801" ref="O3801"/>
    <hyperlink r:id="rId3802" ref="O3802"/>
    <hyperlink r:id="rId3803" ref="O3803"/>
    <hyperlink r:id="rId3804" ref="O3804"/>
    <hyperlink r:id="rId3805" ref="O3805"/>
    <hyperlink r:id="rId3806" ref="O3806"/>
    <hyperlink r:id="rId3807" ref="O3807"/>
    <hyperlink r:id="rId3808" ref="O3808"/>
    <hyperlink r:id="rId3809" ref="O3809"/>
    <hyperlink r:id="rId3810" ref="O3810"/>
    <hyperlink r:id="rId3811" ref="O3811"/>
    <hyperlink r:id="rId3812" ref="O3812"/>
    <hyperlink r:id="rId3813" ref="O3813"/>
    <hyperlink r:id="rId3814" ref="O3814"/>
    <hyperlink r:id="rId3815" ref="O3815"/>
    <hyperlink r:id="rId3816" ref="O3816"/>
    <hyperlink r:id="rId3817" ref="O3817"/>
    <hyperlink r:id="rId3818" ref="O3818"/>
    <hyperlink r:id="rId3819" ref="O3819"/>
    <hyperlink r:id="rId3820" ref="O3820"/>
    <hyperlink r:id="rId3821" ref="O3821"/>
    <hyperlink r:id="rId3822" ref="O3822"/>
    <hyperlink r:id="rId3823" ref="O3823"/>
    <hyperlink r:id="rId3824" ref="O3824"/>
    <hyperlink r:id="rId3825" ref="O3825"/>
    <hyperlink r:id="rId3826" ref="O3826"/>
    <hyperlink r:id="rId3827" ref="O3827"/>
    <hyperlink r:id="rId3828" ref="O3828"/>
    <hyperlink r:id="rId3829" ref="O3829"/>
    <hyperlink r:id="rId3830" ref="O3830"/>
    <hyperlink r:id="rId3831" ref="O3831"/>
    <hyperlink r:id="rId3832" ref="O3832"/>
    <hyperlink r:id="rId3833" ref="O3833"/>
    <hyperlink r:id="rId3834" ref="O3834"/>
    <hyperlink r:id="rId3835" ref="O3835"/>
    <hyperlink r:id="rId3836" ref="O3836"/>
    <hyperlink r:id="rId3837" ref="O3837"/>
    <hyperlink r:id="rId3838" ref="O3838"/>
    <hyperlink r:id="rId3839" ref="O3839"/>
    <hyperlink r:id="rId3840" ref="O3840"/>
    <hyperlink r:id="rId3841" ref="O3841"/>
    <hyperlink r:id="rId3842" ref="O3842"/>
    <hyperlink r:id="rId3843" ref="O3843"/>
    <hyperlink r:id="rId3844" ref="O3844"/>
    <hyperlink r:id="rId3845" ref="O3845"/>
    <hyperlink r:id="rId3846" ref="O3846"/>
    <hyperlink r:id="rId3847" ref="O3847"/>
    <hyperlink r:id="rId3848" ref="O3848"/>
    <hyperlink r:id="rId3849" ref="O3849"/>
    <hyperlink r:id="rId3850" ref="O3850"/>
    <hyperlink r:id="rId3851" ref="O3851"/>
    <hyperlink r:id="rId3852" ref="O3852"/>
    <hyperlink r:id="rId3853" ref="O3853"/>
    <hyperlink r:id="rId3854" ref="O3854"/>
    <hyperlink r:id="rId3855" ref="O3855"/>
    <hyperlink r:id="rId3856" ref="O3856"/>
    <hyperlink r:id="rId3857" ref="O3857"/>
    <hyperlink r:id="rId3858" ref="O3858"/>
    <hyperlink r:id="rId3859" ref="O3859"/>
    <hyperlink r:id="rId3860" ref="O3860"/>
    <hyperlink r:id="rId3861" ref="O3861"/>
    <hyperlink r:id="rId3862" ref="O3862"/>
    <hyperlink r:id="rId3863" ref="O3863"/>
    <hyperlink r:id="rId3864" ref="O3864"/>
    <hyperlink r:id="rId3865" ref="O3865"/>
    <hyperlink r:id="rId3866" ref="O3866"/>
    <hyperlink r:id="rId3867" ref="O3867"/>
    <hyperlink r:id="rId3868" ref="O3868"/>
    <hyperlink r:id="rId3869" ref="O3869"/>
    <hyperlink r:id="rId3870" ref="O3870"/>
    <hyperlink r:id="rId3871" ref="O3871"/>
    <hyperlink r:id="rId3872" ref="O3872"/>
    <hyperlink r:id="rId3873" ref="O3873"/>
    <hyperlink r:id="rId3874" ref="O3874"/>
    <hyperlink r:id="rId3875" ref="O3875"/>
    <hyperlink r:id="rId3876" ref="O3876"/>
    <hyperlink r:id="rId3877" ref="O3877"/>
    <hyperlink r:id="rId3878" ref="O3878"/>
    <hyperlink r:id="rId3879" ref="O3879"/>
    <hyperlink r:id="rId3880" ref="O3880"/>
    <hyperlink r:id="rId3881" ref="O3881"/>
    <hyperlink r:id="rId3882" ref="O3882"/>
    <hyperlink r:id="rId3883" ref="O3883"/>
    <hyperlink r:id="rId3884" ref="O3884"/>
    <hyperlink r:id="rId3885" ref="O3885"/>
    <hyperlink r:id="rId3886" ref="O3886"/>
    <hyperlink r:id="rId3887" ref="O3887"/>
    <hyperlink r:id="rId3888" ref="O3888"/>
    <hyperlink r:id="rId3889" ref="O3889"/>
    <hyperlink r:id="rId3890" ref="O3890"/>
    <hyperlink r:id="rId3891" ref="O3891"/>
    <hyperlink r:id="rId3892" ref="O3892"/>
    <hyperlink r:id="rId3893" ref="O3893"/>
    <hyperlink r:id="rId3894" ref="O3894"/>
    <hyperlink r:id="rId3895" ref="O3895"/>
    <hyperlink r:id="rId3896" ref="O3896"/>
    <hyperlink r:id="rId3897" ref="O3897"/>
    <hyperlink r:id="rId3898" ref="O3898"/>
    <hyperlink r:id="rId3899" ref="O3899"/>
    <hyperlink r:id="rId3900" ref="O3900"/>
    <hyperlink r:id="rId3901" ref="O3901"/>
    <hyperlink r:id="rId3902" ref="O3902"/>
    <hyperlink r:id="rId3903" ref="O3903"/>
    <hyperlink r:id="rId3904" ref="O3904"/>
    <hyperlink r:id="rId3905" ref="O3905"/>
    <hyperlink r:id="rId3906" ref="O3906"/>
    <hyperlink r:id="rId3907" ref="O3907"/>
    <hyperlink r:id="rId3908" ref="O3908"/>
    <hyperlink r:id="rId3909" ref="O3909"/>
    <hyperlink r:id="rId3910" ref="O3910"/>
    <hyperlink r:id="rId3911" ref="O3911"/>
    <hyperlink r:id="rId3912" ref="O3912"/>
    <hyperlink r:id="rId3913" ref="O3913"/>
    <hyperlink r:id="rId3914" ref="O3914"/>
    <hyperlink r:id="rId3915" ref="O3915"/>
    <hyperlink r:id="rId3916" ref="O3916"/>
    <hyperlink r:id="rId3917" ref="O3917"/>
    <hyperlink r:id="rId3918" ref="O3918"/>
    <hyperlink r:id="rId3919" ref="O3919"/>
    <hyperlink r:id="rId3920" ref="O3920"/>
    <hyperlink r:id="rId3921" ref="O3921"/>
    <hyperlink r:id="rId3922" ref="O3922"/>
    <hyperlink r:id="rId3923" ref="O3923"/>
    <hyperlink r:id="rId3924" ref="O3924"/>
    <hyperlink r:id="rId3925" ref="O3925"/>
    <hyperlink r:id="rId3926" ref="O3926"/>
    <hyperlink r:id="rId3927" ref="O3927"/>
    <hyperlink r:id="rId3928" ref="O3928"/>
    <hyperlink r:id="rId3929" ref="O3929"/>
    <hyperlink r:id="rId3930" ref="O3930"/>
    <hyperlink r:id="rId3931" ref="O3931"/>
    <hyperlink r:id="rId3932" ref="O3932"/>
    <hyperlink r:id="rId3933" ref="O3933"/>
    <hyperlink r:id="rId3934" ref="O3934"/>
    <hyperlink r:id="rId3935" ref="O3935"/>
    <hyperlink r:id="rId3936" ref="O3936"/>
    <hyperlink r:id="rId3937" ref="O3937"/>
    <hyperlink r:id="rId3938" ref="O3938"/>
    <hyperlink r:id="rId3939" ref="O3939"/>
    <hyperlink r:id="rId3940" ref="O3940"/>
    <hyperlink r:id="rId3941" ref="O3941"/>
    <hyperlink r:id="rId3942" ref="O3942"/>
    <hyperlink r:id="rId3943" ref="O3943"/>
    <hyperlink r:id="rId3944" ref="O3944"/>
    <hyperlink r:id="rId3945" ref="O3945"/>
    <hyperlink r:id="rId3946" ref="O3946"/>
    <hyperlink r:id="rId3947" ref="O3947"/>
    <hyperlink r:id="rId3948" ref="O3948"/>
    <hyperlink r:id="rId3949" ref="O3949"/>
    <hyperlink r:id="rId3950" ref="O3950"/>
    <hyperlink r:id="rId3951" ref="O3951"/>
    <hyperlink r:id="rId3952" ref="O3952"/>
    <hyperlink r:id="rId3953" ref="O3953"/>
    <hyperlink r:id="rId3954" ref="O3954"/>
    <hyperlink r:id="rId3955" ref="O3955"/>
    <hyperlink r:id="rId3956" ref="O3956"/>
    <hyperlink r:id="rId3957" ref="O3957"/>
    <hyperlink r:id="rId3958" ref="O3958"/>
    <hyperlink r:id="rId3959" ref="O3959"/>
    <hyperlink r:id="rId3960" ref="O3960"/>
    <hyperlink r:id="rId3961" ref="O3961"/>
    <hyperlink r:id="rId3962" ref="O3962"/>
    <hyperlink r:id="rId3963" ref="O3963"/>
    <hyperlink r:id="rId3964" ref="O3964"/>
    <hyperlink r:id="rId3965" ref="O3965"/>
    <hyperlink r:id="rId3966" ref="O3966"/>
    <hyperlink r:id="rId3967" ref="O3967"/>
    <hyperlink r:id="rId3968" ref="O3968"/>
    <hyperlink r:id="rId3969" ref="O3969"/>
    <hyperlink r:id="rId3970" ref="O3970"/>
    <hyperlink r:id="rId3971" ref="O3971"/>
    <hyperlink r:id="rId3972" ref="O3972"/>
    <hyperlink r:id="rId3973" ref="O3973"/>
    <hyperlink r:id="rId3974" ref="O3974"/>
    <hyperlink r:id="rId3975" ref="O3975"/>
    <hyperlink r:id="rId3976" ref="O3976"/>
    <hyperlink r:id="rId3977" ref="O3977"/>
    <hyperlink r:id="rId3978" ref="O3978"/>
    <hyperlink r:id="rId3979" ref="O3979"/>
    <hyperlink r:id="rId3980" ref="O3980"/>
    <hyperlink r:id="rId3981" ref="O3981"/>
    <hyperlink r:id="rId3982" ref="O3982"/>
    <hyperlink r:id="rId3983" ref="O3983"/>
    <hyperlink r:id="rId3984" ref="O3984"/>
    <hyperlink r:id="rId3985" ref="O3985"/>
    <hyperlink r:id="rId3986" ref="O3986"/>
    <hyperlink r:id="rId3987" ref="O3987"/>
    <hyperlink r:id="rId3988" ref="O3988"/>
    <hyperlink r:id="rId3989" ref="O3989"/>
    <hyperlink r:id="rId3990" ref="O3990"/>
    <hyperlink r:id="rId3991" ref="O3991"/>
    <hyperlink r:id="rId3992" ref="O3992"/>
    <hyperlink r:id="rId3993" ref="O3993"/>
    <hyperlink r:id="rId3994" ref="O3994"/>
    <hyperlink r:id="rId3995" ref="O3995"/>
    <hyperlink r:id="rId3996" ref="O3996"/>
    <hyperlink r:id="rId3997" ref="O3997"/>
    <hyperlink r:id="rId3998" ref="O3998"/>
    <hyperlink r:id="rId3999" ref="O3999"/>
    <hyperlink r:id="rId4000" ref="O4000"/>
    <hyperlink r:id="rId4001" ref="O4001"/>
    <hyperlink r:id="rId4002" ref="O4002"/>
    <hyperlink r:id="rId4003" ref="O4003"/>
    <hyperlink r:id="rId4004" ref="O4004"/>
    <hyperlink r:id="rId4005" ref="O4005"/>
    <hyperlink r:id="rId4006" ref="O4006"/>
    <hyperlink r:id="rId4007" ref="O4007"/>
    <hyperlink r:id="rId4008" ref="O4008"/>
    <hyperlink r:id="rId4009" ref="O4009"/>
    <hyperlink r:id="rId4010" ref="O4010"/>
    <hyperlink r:id="rId4011" ref="O4011"/>
    <hyperlink r:id="rId4012" ref="O4012"/>
    <hyperlink r:id="rId4013" ref="O4013"/>
    <hyperlink r:id="rId4014" ref="O4014"/>
    <hyperlink r:id="rId4015" ref="O4015"/>
    <hyperlink r:id="rId4016" ref="O4016"/>
    <hyperlink r:id="rId4017" ref="O4017"/>
    <hyperlink r:id="rId4018" ref="O4018"/>
    <hyperlink r:id="rId4019" ref="O4019"/>
    <hyperlink r:id="rId4020" ref="O4020"/>
    <hyperlink r:id="rId4021" ref="O4021"/>
    <hyperlink r:id="rId4022" ref="O4022"/>
    <hyperlink r:id="rId4023" ref="O4023"/>
    <hyperlink r:id="rId4024" ref="O4024"/>
    <hyperlink r:id="rId4025" ref="O4025"/>
    <hyperlink r:id="rId4026" ref="O4026"/>
    <hyperlink r:id="rId4027" ref="O4027"/>
    <hyperlink r:id="rId4028" ref="O4028"/>
    <hyperlink r:id="rId4029" ref="O4029"/>
    <hyperlink r:id="rId4030" ref="O4030"/>
    <hyperlink r:id="rId4031" ref="O4031"/>
    <hyperlink r:id="rId4032" ref="O4032"/>
    <hyperlink r:id="rId4033" ref="O4033"/>
    <hyperlink r:id="rId4034" ref="O4034"/>
    <hyperlink r:id="rId4035" ref="O4035"/>
    <hyperlink r:id="rId4036" ref="O4036"/>
    <hyperlink r:id="rId4037" ref="O4037"/>
    <hyperlink r:id="rId4038" ref="O4038"/>
    <hyperlink r:id="rId4039" ref="O4039"/>
    <hyperlink r:id="rId4040" ref="O4040"/>
    <hyperlink r:id="rId4041" ref="O4041"/>
    <hyperlink r:id="rId4042" ref="O4042"/>
    <hyperlink r:id="rId4043" ref="O4043"/>
    <hyperlink r:id="rId4044" ref="O4044"/>
    <hyperlink r:id="rId4045" ref="O4045"/>
    <hyperlink r:id="rId4046" ref="O4046"/>
    <hyperlink r:id="rId4047" ref="O4047"/>
    <hyperlink r:id="rId4048" ref="O4048"/>
    <hyperlink r:id="rId4049" ref="O4049"/>
    <hyperlink r:id="rId4050" ref="O4050"/>
    <hyperlink r:id="rId4051" ref="O4051"/>
    <hyperlink r:id="rId4052" ref="O4052"/>
    <hyperlink r:id="rId4053" ref="O4053"/>
    <hyperlink r:id="rId4054" ref="O4054"/>
    <hyperlink r:id="rId4055" ref="O4055"/>
    <hyperlink r:id="rId4056" ref="O4056"/>
    <hyperlink r:id="rId4057" ref="O4057"/>
    <hyperlink r:id="rId4058" ref="O4058"/>
    <hyperlink r:id="rId4059" ref="O4059"/>
    <hyperlink r:id="rId4060" ref="O4060"/>
    <hyperlink r:id="rId4061" ref="O4061"/>
    <hyperlink r:id="rId4062" ref="O4062"/>
    <hyperlink r:id="rId4063" ref="O4063"/>
    <hyperlink r:id="rId4064" ref="O4064"/>
    <hyperlink r:id="rId4065" ref="O4065"/>
    <hyperlink r:id="rId4066" ref="O4066"/>
    <hyperlink r:id="rId4067" ref="O4067"/>
    <hyperlink r:id="rId4068" ref="O4068"/>
    <hyperlink r:id="rId4069" ref="O4069"/>
    <hyperlink r:id="rId4070" ref="O4070"/>
    <hyperlink r:id="rId4071" ref="O4071"/>
    <hyperlink r:id="rId4072" ref="O4072"/>
    <hyperlink r:id="rId4073" ref="O4073"/>
    <hyperlink r:id="rId4074" ref="O4074"/>
    <hyperlink r:id="rId4075" ref="O4075"/>
    <hyperlink r:id="rId4076" ref="O4076"/>
    <hyperlink r:id="rId4077" ref="O4077"/>
    <hyperlink r:id="rId4078" ref="O4078"/>
    <hyperlink r:id="rId4079" ref="O4079"/>
    <hyperlink r:id="rId4080" ref="O4080"/>
    <hyperlink r:id="rId4081" ref="O4081"/>
    <hyperlink r:id="rId4082" ref="O4082"/>
    <hyperlink r:id="rId4083" ref="O4083"/>
    <hyperlink r:id="rId4084" ref="O4084"/>
    <hyperlink r:id="rId4085" ref="O4085"/>
    <hyperlink r:id="rId4086" ref="O4086"/>
    <hyperlink r:id="rId4087" ref="O4087"/>
    <hyperlink r:id="rId4088" ref="O4088"/>
    <hyperlink r:id="rId4089" ref="O4089"/>
    <hyperlink r:id="rId4090" ref="O4090"/>
    <hyperlink r:id="rId4091" ref="O4091"/>
    <hyperlink r:id="rId4092" ref="O4092"/>
    <hyperlink r:id="rId4093" ref="O4093"/>
    <hyperlink r:id="rId4094" ref="O4094"/>
    <hyperlink r:id="rId4095" ref="O4095"/>
    <hyperlink r:id="rId4096" ref="O4096"/>
    <hyperlink r:id="rId4097" ref="O4097"/>
    <hyperlink r:id="rId4098" ref="O4098"/>
    <hyperlink r:id="rId4099" ref="O4099"/>
    <hyperlink r:id="rId4100" ref="O4100"/>
    <hyperlink r:id="rId4101" ref="O4101"/>
    <hyperlink r:id="rId4102" ref="O4102"/>
    <hyperlink r:id="rId4103" ref="O4103"/>
    <hyperlink r:id="rId4104" ref="O4104"/>
    <hyperlink r:id="rId4105" ref="O4105"/>
    <hyperlink r:id="rId4106" ref="O4106"/>
    <hyperlink r:id="rId4107" ref="O4107"/>
    <hyperlink r:id="rId4108" ref="O4108"/>
    <hyperlink r:id="rId4109" ref="O4109"/>
    <hyperlink r:id="rId4110" ref="O4110"/>
    <hyperlink r:id="rId4111" ref="O4111"/>
    <hyperlink r:id="rId4112" ref="O4112"/>
    <hyperlink r:id="rId4113" ref="O4113"/>
    <hyperlink r:id="rId4114" ref="O4114"/>
    <hyperlink r:id="rId4115" ref="O4115"/>
    <hyperlink r:id="rId4116" ref="O4116"/>
    <hyperlink r:id="rId4117" ref="O4117"/>
    <hyperlink r:id="rId4118" ref="O4118"/>
    <hyperlink r:id="rId4119" ref="O4119"/>
    <hyperlink r:id="rId4120" ref="O4120"/>
    <hyperlink r:id="rId4121" ref="O4121"/>
    <hyperlink r:id="rId4122" ref="O4122"/>
    <hyperlink r:id="rId4123" ref="O4123"/>
    <hyperlink r:id="rId4124" ref="O4124"/>
    <hyperlink r:id="rId4125" ref="O4125"/>
    <hyperlink r:id="rId4126" ref="O4126"/>
    <hyperlink r:id="rId4127" ref="O4127"/>
    <hyperlink r:id="rId4128" ref="O4128"/>
    <hyperlink r:id="rId4129" ref="O4129"/>
    <hyperlink r:id="rId4130" ref="O4130"/>
    <hyperlink r:id="rId4131" ref="O4131"/>
    <hyperlink r:id="rId4132" ref="O4132"/>
    <hyperlink r:id="rId4133" ref="O4133"/>
    <hyperlink r:id="rId4134" ref="O4134"/>
    <hyperlink r:id="rId4135" ref="O4135"/>
    <hyperlink r:id="rId4136" ref="O4136"/>
    <hyperlink r:id="rId4137" ref="O4137"/>
    <hyperlink r:id="rId4138" ref="O4138"/>
    <hyperlink r:id="rId4139" ref="O4139"/>
    <hyperlink r:id="rId4140" ref="O4140"/>
    <hyperlink r:id="rId4141" ref="O4141"/>
    <hyperlink r:id="rId4142" ref="O4142"/>
    <hyperlink r:id="rId4143" ref="O4143"/>
    <hyperlink r:id="rId4144" ref="O4144"/>
    <hyperlink r:id="rId4145" ref="O4145"/>
    <hyperlink r:id="rId4146" ref="O4146"/>
    <hyperlink r:id="rId4147" ref="O4147"/>
    <hyperlink r:id="rId4148" ref="O4148"/>
    <hyperlink r:id="rId4149" ref="O4149"/>
    <hyperlink r:id="rId4150" ref="O4150"/>
    <hyperlink r:id="rId4151" ref="O4151"/>
    <hyperlink r:id="rId4152" ref="O4152"/>
    <hyperlink r:id="rId4153" ref="O4153"/>
    <hyperlink r:id="rId4154" ref="O4154"/>
    <hyperlink r:id="rId4155" ref="O4155"/>
    <hyperlink r:id="rId4156" ref="O4156"/>
    <hyperlink r:id="rId4157" ref="O4157"/>
    <hyperlink r:id="rId4158" ref="O4158"/>
    <hyperlink r:id="rId4159" ref="O4159"/>
    <hyperlink r:id="rId4160" ref="O4160"/>
    <hyperlink r:id="rId4161" ref="O4161"/>
    <hyperlink r:id="rId4162" ref="O4162"/>
    <hyperlink r:id="rId4163" ref="O4163"/>
    <hyperlink r:id="rId4164" ref="O4164"/>
    <hyperlink r:id="rId4165" ref="O4165"/>
    <hyperlink r:id="rId4166" ref="O4166"/>
    <hyperlink r:id="rId4167" ref="O4167"/>
    <hyperlink r:id="rId4168" ref="O4168"/>
    <hyperlink r:id="rId4169" ref="O4169"/>
    <hyperlink r:id="rId4170" ref="O4170"/>
    <hyperlink r:id="rId4171" ref="O4171"/>
    <hyperlink r:id="rId4172" ref="O4172"/>
    <hyperlink r:id="rId4173" ref="O4173"/>
    <hyperlink r:id="rId4174" ref="O4174"/>
    <hyperlink r:id="rId4175" ref="O4175"/>
    <hyperlink r:id="rId4176" ref="O4176"/>
    <hyperlink r:id="rId4177" ref="O4177"/>
    <hyperlink r:id="rId4178" ref="O4178"/>
    <hyperlink r:id="rId4179" ref="O4179"/>
    <hyperlink r:id="rId4180" ref="O4180"/>
    <hyperlink r:id="rId4181" ref="O4181"/>
    <hyperlink r:id="rId4182" ref="O4182"/>
    <hyperlink r:id="rId4183" ref="O4183"/>
    <hyperlink r:id="rId4184" ref="O4184"/>
    <hyperlink r:id="rId4185" ref="O4185"/>
    <hyperlink r:id="rId4186" ref="O4186"/>
    <hyperlink r:id="rId4187" ref="O4187"/>
    <hyperlink r:id="rId4188" ref="O4188"/>
    <hyperlink r:id="rId4189" ref="O4189"/>
    <hyperlink r:id="rId4190" ref="O4190"/>
    <hyperlink r:id="rId4191" ref="O4191"/>
    <hyperlink r:id="rId4192" ref="O4192"/>
    <hyperlink r:id="rId4193" ref="O4193"/>
    <hyperlink r:id="rId4194" ref="O4194"/>
    <hyperlink r:id="rId4195" ref="O4195"/>
    <hyperlink r:id="rId4196" ref="O4196"/>
    <hyperlink r:id="rId4197" ref="O4197"/>
    <hyperlink r:id="rId4198" ref="O4198"/>
    <hyperlink r:id="rId4199" ref="O4199"/>
    <hyperlink r:id="rId4200" ref="O4200"/>
    <hyperlink r:id="rId4201" ref="O4201"/>
    <hyperlink r:id="rId4202" ref="O4202"/>
    <hyperlink r:id="rId4203" ref="O4203"/>
    <hyperlink r:id="rId4204" ref="O4204"/>
    <hyperlink r:id="rId4205" ref="O4205"/>
    <hyperlink r:id="rId4206" ref="O4206"/>
    <hyperlink r:id="rId4207" ref="O4207"/>
    <hyperlink r:id="rId4208" ref="O4208"/>
    <hyperlink r:id="rId4209" ref="O4209"/>
    <hyperlink r:id="rId4210" ref="O4210"/>
    <hyperlink r:id="rId4211" ref="O4211"/>
    <hyperlink r:id="rId4212" ref="O4212"/>
    <hyperlink r:id="rId4213" ref="O4213"/>
    <hyperlink r:id="rId4214" ref="O4214"/>
    <hyperlink r:id="rId4215" ref="O4215"/>
    <hyperlink r:id="rId4216" ref="O4216"/>
    <hyperlink r:id="rId4217" ref="O4217"/>
    <hyperlink r:id="rId4218" ref="O4218"/>
    <hyperlink r:id="rId4219" ref="O4219"/>
    <hyperlink r:id="rId4220" ref="O4220"/>
    <hyperlink r:id="rId4221" ref="O4221"/>
    <hyperlink r:id="rId4222" ref="O4222"/>
    <hyperlink r:id="rId4223" ref="O4223"/>
    <hyperlink r:id="rId4224" ref="O4224"/>
    <hyperlink r:id="rId4225" ref="O4225"/>
    <hyperlink r:id="rId4226" ref="O4226"/>
    <hyperlink r:id="rId4227" ref="O4227"/>
    <hyperlink r:id="rId4228" ref="O4228"/>
    <hyperlink r:id="rId4229" ref="O4229"/>
    <hyperlink r:id="rId4230" ref="O4230"/>
    <hyperlink r:id="rId4231" ref="O4231"/>
    <hyperlink r:id="rId4232" ref="O4232"/>
    <hyperlink r:id="rId4233" ref="O4233"/>
    <hyperlink r:id="rId4234" ref="O4234"/>
    <hyperlink r:id="rId4235" ref="O4235"/>
    <hyperlink r:id="rId4236" ref="O4236"/>
    <hyperlink r:id="rId4237" ref="O4237"/>
    <hyperlink r:id="rId4238" ref="O4238"/>
    <hyperlink r:id="rId4239" ref="O4239"/>
    <hyperlink r:id="rId4240" ref="O4240"/>
    <hyperlink r:id="rId4241" ref="O4241"/>
    <hyperlink r:id="rId4242" ref="O4242"/>
    <hyperlink r:id="rId4243" ref="O4243"/>
    <hyperlink r:id="rId4244" ref="O4244"/>
    <hyperlink r:id="rId4245" ref="O4245"/>
    <hyperlink r:id="rId4246" ref="O4246"/>
    <hyperlink r:id="rId4247" ref="O4247"/>
    <hyperlink r:id="rId4248" ref="O4248"/>
    <hyperlink r:id="rId4249" ref="O4249"/>
    <hyperlink r:id="rId4250" ref="O4250"/>
    <hyperlink r:id="rId4251" ref="O4251"/>
    <hyperlink r:id="rId4252" ref="O4252"/>
    <hyperlink r:id="rId4253" ref="O4253"/>
    <hyperlink r:id="rId4254" ref="O4254"/>
    <hyperlink r:id="rId4255" ref="O4255"/>
    <hyperlink r:id="rId4256" ref="O4256"/>
    <hyperlink r:id="rId4257" ref="O4257"/>
    <hyperlink r:id="rId4258" ref="O4258"/>
    <hyperlink r:id="rId4259" ref="O4259"/>
    <hyperlink r:id="rId4260" ref="O4260"/>
    <hyperlink r:id="rId4261" ref="O4261"/>
    <hyperlink r:id="rId4262" ref="O4262"/>
    <hyperlink r:id="rId4263" ref="O4263"/>
    <hyperlink r:id="rId4264" ref="O4264"/>
    <hyperlink r:id="rId4265" ref="O4265"/>
    <hyperlink r:id="rId4266" ref="O4266"/>
    <hyperlink r:id="rId4267" ref="O4267"/>
    <hyperlink r:id="rId4268" ref="O4268"/>
    <hyperlink r:id="rId4269" ref="O4269"/>
    <hyperlink r:id="rId4270" ref="O4270"/>
    <hyperlink r:id="rId4271" ref="O4271"/>
    <hyperlink r:id="rId4272" ref="O4272"/>
    <hyperlink r:id="rId4273" ref="O4273"/>
    <hyperlink r:id="rId4274" ref="O4274"/>
    <hyperlink r:id="rId4275" ref="O4275"/>
    <hyperlink r:id="rId4276" ref="O4276"/>
    <hyperlink r:id="rId4277" ref="O4277"/>
    <hyperlink r:id="rId4278" ref="O4278"/>
    <hyperlink r:id="rId4279" ref="O4279"/>
    <hyperlink r:id="rId4280" ref="O4280"/>
    <hyperlink r:id="rId4281" ref="O4281"/>
    <hyperlink r:id="rId4282" ref="O4282"/>
    <hyperlink r:id="rId4283" ref="O4283"/>
    <hyperlink r:id="rId4284" ref="O4284"/>
    <hyperlink r:id="rId4285" ref="O4285"/>
    <hyperlink r:id="rId4286" ref="O4286"/>
    <hyperlink r:id="rId4287" ref="O4287"/>
    <hyperlink r:id="rId4288" ref="O4288"/>
    <hyperlink r:id="rId4289" ref="O4289"/>
    <hyperlink r:id="rId4290" ref="O4290"/>
    <hyperlink r:id="rId4291" ref="O4291"/>
    <hyperlink r:id="rId4292" ref="O4292"/>
    <hyperlink r:id="rId4293" ref="O4293"/>
    <hyperlink r:id="rId4294" ref="O4294"/>
    <hyperlink r:id="rId4295" ref="O4295"/>
    <hyperlink r:id="rId4296" ref="O4296"/>
    <hyperlink r:id="rId4297" ref="O4297"/>
    <hyperlink r:id="rId4298" ref="O4298"/>
    <hyperlink r:id="rId4299" ref="O4299"/>
    <hyperlink r:id="rId4300" ref="O4300"/>
    <hyperlink r:id="rId4301" ref="O4301"/>
    <hyperlink r:id="rId4302" ref="O4302"/>
    <hyperlink r:id="rId4303" ref="O4303"/>
    <hyperlink r:id="rId4304" ref="O4304"/>
    <hyperlink r:id="rId4305" ref="O4305"/>
    <hyperlink r:id="rId4306" ref="O4306"/>
    <hyperlink r:id="rId4307" ref="O4307"/>
    <hyperlink r:id="rId4308" ref="O4308"/>
    <hyperlink r:id="rId4309" ref="O4309"/>
    <hyperlink r:id="rId4310" ref="O4310"/>
    <hyperlink r:id="rId4311" ref="O4311"/>
    <hyperlink r:id="rId4312" ref="O4312"/>
    <hyperlink r:id="rId4313" ref="O4313"/>
    <hyperlink r:id="rId4314" ref="O4314"/>
    <hyperlink r:id="rId4315" ref="O4315"/>
    <hyperlink r:id="rId4316" ref="O4316"/>
    <hyperlink r:id="rId4317" ref="O4317"/>
    <hyperlink r:id="rId4318" ref="O4318"/>
    <hyperlink r:id="rId4319" ref="O4319"/>
    <hyperlink r:id="rId4320" ref="O4320"/>
    <hyperlink r:id="rId4321" ref="O4321"/>
    <hyperlink r:id="rId4322" ref="O4322"/>
    <hyperlink r:id="rId4323" ref="O4323"/>
    <hyperlink r:id="rId4324" ref="O4324"/>
    <hyperlink r:id="rId4325" ref="O4325"/>
    <hyperlink r:id="rId4326" ref="O4326"/>
    <hyperlink r:id="rId4327" ref="O4327"/>
    <hyperlink r:id="rId4328" ref="O4328"/>
    <hyperlink r:id="rId4329" ref="O4329"/>
    <hyperlink r:id="rId4330" ref="O4330"/>
    <hyperlink r:id="rId4331" ref="O4331"/>
    <hyperlink r:id="rId4332" ref="O4332"/>
    <hyperlink r:id="rId4333" ref="O4333"/>
    <hyperlink r:id="rId4334" ref="O4334"/>
    <hyperlink r:id="rId4335" ref="O4335"/>
    <hyperlink r:id="rId4336" ref="O4336"/>
    <hyperlink r:id="rId4337" ref="O4337"/>
    <hyperlink r:id="rId4338" ref="O4338"/>
    <hyperlink r:id="rId4339" ref="O4339"/>
    <hyperlink r:id="rId4340" ref="O4340"/>
    <hyperlink r:id="rId4341" ref="O4341"/>
    <hyperlink r:id="rId4342" ref="O4342"/>
    <hyperlink r:id="rId4343" ref="O4343"/>
    <hyperlink r:id="rId4344" ref="O4344"/>
    <hyperlink r:id="rId4345" ref="O4345"/>
    <hyperlink r:id="rId4346" ref="O4346"/>
    <hyperlink r:id="rId4347" ref="O4347"/>
    <hyperlink r:id="rId4348" ref="O4348"/>
    <hyperlink r:id="rId4349" ref="O4349"/>
    <hyperlink r:id="rId4350" ref="O4350"/>
    <hyperlink r:id="rId4351" ref="O4351"/>
    <hyperlink r:id="rId4352" ref="O4352"/>
    <hyperlink r:id="rId4353" ref="O4353"/>
    <hyperlink r:id="rId4354" ref="O4354"/>
    <hyperlink r:id="rId4355" ref="O4355"/>
    <hyperlink r:id="rId4356" ref="O4356"/>
    <hyperlink r:id="rId4357" ref="O4357"/>
    <hyperlink r:id="rId4358" ref="O4358"/>
    <hyperlink r:id="rId4359" ref="O4359"/>
    <hyperlink r:id="rId4360" ref="O4360"/>
    <hyperlink r:id="rId4361" ref="O4361"/>
    <hyperlink r:id="rId4362" ref="O4362"/>
    <hyperlink r:id="rId4363" ref="O4363"/>
    <hyperlink r:id="rId4364" ref="O4364"/>
    <hyperlink r:id="rId4365" ref="O4365"/>
    <hyperlink r:id="rId4366" ref="O4366"/>
    <hyperlink r:id="rId4367" ref="O4367"/>
    <hyperlink r:id="rId4368" ref="O4368"/>
    <hyperlink r:id="rId4369" ref="O4369"/>
    <hyperlink r:id="rId4370" ref="O4370"/>
    <hyperlink r:id="rId4371" ref="O4371"/>
    <hyperlink r:id="rId4372" ref="O4372"/>
    <hyperlink r:id="rId4373" ref="O4373"/>
    <hyperlink r:id="rId4374" ref="O4374"/>
    <hyperlink r:id="rId4375" ref="O4375"/>
    <hyperlink r:id="rId4376" ref="O4376"/>
    <hyperlink r:id="rId4377" ref="O4377"/>
    <hyperlink r:id="rId4378" ref="O4378"/>
    <hyperlink r:id="rId4379" ref="O4379"/>
    <hyperlink r:id="rId4380" ref="O4380"/>
    <hyperlink r:id="rId4381" ref="O4381"/>
    <hyperlink r:id="rId4382" ref="O4382"/>
    <hyperlink r:id="rId4383" ref="O4383"/>
    <hyperlink r:id="rId4384" ref="O4384"/>
    <hyperlink r:id="rId4385" ref="O4385"/>
    <hyperlink r:id="rId4386" ref="O4386"/>
    <hyperlink r:id="rId4387" ref="O4387"/>
    <hyperlink r:id="rId4388" ref="O4388"/>
    <hyperlink r:id="rId4389" ref="O4389"/>
    <hyperlink r:id="rId4390" ref="O4390"/>
    <hyperlink r:id="rId4391" ref="O4391"/>
    <hyperlink r:id="rId4392" ref="O4392"/>
    <hyperlink r:id="rId4393" ref="O4393"/>
    <hyperlink r:id="rId4394" ref="O4394"/>
    <hyperlink r:id="rId4395" ref="O4395"/>
    <hyperlink r:id="rId4396" ref="O4396"/>
    <hyperlink r:id="rId4397" ref="O4397"/>
    <hyperlink r:id="rId4398" ref="O4398"/>
    <hyperlink r:id="rId4399" ref="O4399"/>
    <hyperlink r:id="rId4400" ref="O4400"/>
    <hyperlink r:id="rId4401" ref="O4401"/>
    <hyperlink r:id="rId4402" ref="O4402"/>
    <hyperlink r:id="rId4403" ref="O4403"/>
    <hyperlink r:id="rId4404" ref="O4404"/>
    <hyperlink r:id="rId4405" ref="O4405"/>
    <hyperlink r:id="rId4406" ref="O4406"/>
    <hyperlink r:id="rId4407" ref="O4407"/>
    <hyperlink r:id="rId4408" ref="O4408"/>
    <hyperlink r:id="rId4409" ref="O4409"/>
    <hyperlink r:id="rId4410" ref="O4410"/>
    <hyperlink r:id="rId4411" ref="O4411"/>
    <hyperlink r:id="rId4412" ref="O4412"/>
    <hyperlink r:id="rId4413" ref="O4413"/>
    <hyperlink r:id="rId4414" ref="O4414"/>
    <hyperlink r:id="rId4415" ref="O4415"/>
    <hyperlink r:id="rId4416" ref="O4416"/>
    <hyperlink r:id="rId4417" ref="O4417"/>
    <hyperlink r:id="rId4418" ref="O4418"/>
    <hyperlink r:id="rId4419" ref="O4419"/>
    <hyperlink r:id="rId4420" ref="O4420"/>
    <hyperlink r:id="rId4421" ref="O4421"/>
    <hyperlink r:id="rId4422" ref="O4422"/>
    <hyperlink r:id="rId4423" ref="O4423"/>
    <hyperlink r:id="rId4424" ref="O4424"/>
    <hyperlink r:id="rId4425" ref="O4425"/>
    <hyperlink r:id="rId4426" ref="O4426"/>
    <hyperlink r:id="rId4427" ref="O4427"/>
    <hyperlink r:id="rId4428" ref="O4428"/>
    <hyperlink r:id="rId4429" ref="O4429"/>
    <hyperlink r:id="rId4430" ref="O4430"/>
    <hyperlink r:id="rId4431" ref="O4431"/>
    <hyperlink r:id="rId4432" ref="O4432"/>
    <hyperlink r:id="rId4433" ref="O4433"/>
    <hyperlink r:id="rId4434" ref="O4434"/>
    <hyperlink r:id="rId4435" ref="O4435"/>
    <hyperlink r:id="rId4436" ref="O4436"/>
    <hyperlink r:id="rId4437" ref="O4437"/>
    <hyperlink r:id="rId4438" ref="O4438"/>
    <hyperlink r:id="rId4439" ref="O4439"/>
    <hyperlink r:id="rId4440" ref="O4440"/>
    <hyperlink r:id="rId4441" ref="O4441"/>
    <hyperlink r:id="rId4442" ref="O4442"/>
    <hyperlink r:id="rId4443" ref="O4443"/>
    <hyperlink r:id="rId4444" ref="O4444"/>
    <hyperlink r:id="rId4445" ref="O4445"/>
    <hyperlink r:id="rId4446" ref="O4446"/>
    <hyperlink r:id="rId4447" ref="O4447"/>
    <hyperlink r:id="rId4448" ref="O4448"/>
    <hyperlink r:id="rId4449" ref="O4449"/>
    <hyperlink r:id="rId4450" ref="O4450"/>
    <hyperlink r:id="rId4451" ref="O4451"/>
    <hyperlink r:id="rId4452" ref="O4452"/>
    <hyperlink r:id="rId4453" ref="O4453"/>
    <hyperlink r:id="rId4454" ref="O4454"/>
    <hyperlink r:id="rId4455" ref="O4455"/>
    <hyperlink r:id="rId4456" ref="O4456"/>
    <hyperlink r:id="rId4457" ref="O4457"/>
    <hyperlink r:id="rId4458" ref="O4458"/>
    <hyperlink r:id="rId4459" ref="O4459"/>
    <hyperlink r:id="rId4460" ref="O4460"/>
    <hyperlink r:id="rId4461" ref="O4461"/>
    <hyperlink r:id="rId4462" ref="O4462"/>
    <hyperlink r:id="rId4463" ref="O4463"/>
    <hyperlink r:id="rId4464" ref="O4464"/>
    <hyperlink r:id="rId4465" ref="O4465"/>
    <hyperlink r:id="rId4466" ref="O4466"/>
    <hyperlink r:id="rId4467" ref="O4467"/>
    <hyperlink r:id="rId4468" ref="O4468"/>
    <hyperlink r:id="rId4469" ref="O4469"/>
    <hyperlink r:id="rId4470" ref="O4470"/>
    <hyperlink r:id="rId4471" ref="O4471"/>
    <hyperlink r:id="rId4472" ref="O4472"/>
    <hyperlink r:id="rId4473" ref="O4473"/>
    <hyperlink r:id="rId4474" ref="O4474"/>
    <hyperlink r:id="rId4475" ref="O4475"/>
    <hyperlink r:id="rId4476" ref="O4476"/>
    <hyperlink r:id="rId4477" ref="O4477"/>
    <hyperlink r:id="rId4478" ref="O4478"/>
    <hyperlink r:id="rId4479" ref="O4479"/>
    <hyperlink r:id="rId4480" ref="O4480"/>
    <hyperlink r:id="rId4481" ref="O4481"/>
    <hyperlink r:id="rId4482" ref="O4482"/>
    <hyperlink r:id="rId4483" ref="O4483"/>
    <hyperlink r:id="rId4484" ref="O4484"/>
    <hyperlink r:id="rId4485" ref="O4485"/>
    <hyperlink r:id="rId4486" ref="O4486"/>
    <hyperlink r:id="rId4487" ref="O4487"/>
    <hyperlink r:id="rId4488" ref="O4488"/>
    <hyperlink r:id="rId4489" ref="O4489"/>
    <hyperlink r:id="rId4490" ref="O4490"/>
    <hyperlink r:id="rId4491" ref="O4491"/>
    <hyperlink r:id="rId4492" ref="O4492"/>
    <hyperlink r:id="rId4493" ref="O4493"/>
    <hyperlink r:id="rId4494" ref="O4494"/>
    <hyperlink r:id="rId4495" ref="O4495"/>
    <hyperlink r:id="rId4496" ref="O4496"/>
    <hyperlink r:id="rId4497" ref="O4497"/>
    <hyperlink r:id="rId4498" ref="O4498"/>
    <hyperlink r:id="rId4499" ref="O4499"/>
    <hyperlink r:id="rId4500" ref="O4500"/>
    <hyperlink r:id="rId4501" ref="O4501"/>
    <hyperlink r:id="rId4502" ref="O4502"/>
    <hyperlink r:id="rId4503" ref="O4503"/>
    <hyperlink r:id="rId4504" ref="O4504"/>
    <hyperlink r:id="rId4505" ref="O4505"/>
    <hyperlink r:id="rId4506" ref="O4506"/>
    <hyperlink r:id="rId4507" ref="O4507"/>
    <hyperlink r:id="rId4508" ref="O4508"/>
    <hyperlink r:id="rId4509" ref="O4509"/>
    <hyperlink r:id="rId4510" ref="O4510"/>
    <hyperlink r:id="rId4511" ref="O4511"/>
    <hyperlink r:id="rId4512" ref="O4512"/>
    <hyperlink r:id="rId4513" ref="O4513"/>
    <hyperlink r:id="rId4514" ref="O4514"/>
    <hyperlink r:id="rId4515" ref="O4515"/>
    <hyperlink r:id="rId4516" ref="O4516"/>
    <hyperlink r:id="rId4517" ref="O4517"/>
    <hyperlink r:id="rId4518" ref="O4518"/>
    <hyperlink r:id="rId4519" ref="O4519"/>
    <hyperlink r:id="rId4520" ref="O4520"/>
    <hyperlink r:id="rId4521" ref="O4521"/>
    <hyperlink r:id="rId4522" ref="O4522"/>
    <hyperlink r:id="rId4523" ref="O4523"/>
    <hyperlink r:id="rId4524" ref="O4524"/>
    <hyperlink r:id="rId4525" ref="O4525"/>
    <hyperlink r:id="rId4526" ref="O4526"/>
    <hyperlink r:id="rId4527" ref="O4527"/>
    <hyperlink r:id="rId4528" ref="O4528"/>
    <hyperlink r:id="rId4529" ref="O4529"/>
    <hyperlink r:id="rId4530" ref="O4530"/>
    <hyperlink r:id="rId4531" ref="O4531"/>
    <hyperlink r:id="rId4532" ref="O4532"/>
    <hyperlink r:id="rId4533" ref="O4533"/>
    <hyperlink r:id="rId4534" ref="O4534"/>
    <hyperlink r:id="rId4535" ref="O4535"/>
    <hyperlink r:id="rId4536" ref="O4536"/>
    <hyperlink r:id="rId4537" ref="O4537"/>
    <hyperlink r:id="rId4538" ref="O4538"/>
    <hyperlink r:id="rId4539" ref="O4539"/>
    <hyperlink r:id="rId4540" ref="O4540"/>
    <hyperlink r:id="rId4541" ref="O4541"/>
    <hyperlink r:id="rId4542" ref="O4542"/>
    <hyperlink r:id="rId4543" ref="O4543"/>
    <hyperlink r:id="rId4544" ref="O4544"/>
    <hyperlink r:id="rId4545" ref="O4545"/>
    <hyperlink r:id="rId4546" ref="O4546"/>
    <hyperlink r:id="rId4547" ref="O4547"/>
    <hyperlink r:id="rId4548" ref="O4548"/>
    <hyperlink r:id="rId4549" ref="O4549"/>
    <hyperlink r:id="rId4550" ref="O4550"/>
    <hyperlink r:id="rId4551" ref="O4551"/>
    <hyperlink r:id="rId4552" ref="O4552"/>
    <hyperlink r:id="rId4553" ref="O4553"/>
    <hyperlink r:id="rId4554" ref="O4554"/>
    <hyperlink r:id="rId4555" ref="O4555"/>
    <hyperlink r:id="rId4556" ref="O4556"/>
    <hyperlink r:id="rId4557" ref="O4557"/>
    <hyperlink r:id="rId4558" ref="O4558"/>
    <hyperlink r:id="rId4559" ref="O4559"/>
    <hyperlink r:id="rId4560" ref="O4560"/>
    <hyperlink r:id="rId4561" ref="O4561"/>
    <hyperlink r:id="rId4562" ref="O4562"/>
    <hyperlink r:id="rId4563" ref="O4563"/>
    <hyperlink r:id="rId4564" ref="O4564"/>
    <hyperlink r:id="rId4565" ref="O4565"/>
    <hyperlink r:id="rId4566" ref="O4566"/>
    <hyperlink r:id="rId4567" ref="O4567"/>
    <hyperlink r:id="rId4568" ref="O4568"/>
    <hyperlink r:id="rId4569" ref="O4569"/>
    <hyperlink r:id="rId4570" ref="O4570"/>
    <hyperlink r:id="rId4571" ref="O4571"/>
    <hyperlink r:id="rId4572" ref="O4572"/>
    <hyperlink r:id="rId4573" ref="O4573"/>
    <hyperlink r:id="rId4574" ref="O4574"/>
    <hyperlink r:id="rId4575" ref="O4575"/>
    <hyperlink r:id="rId4576" ref="O4576"/>
    <hyperlink r:id="rId4577" ref="O4577"/>
    <hyperlink r:id="rId4578" ref="O4578"/>
    <hyperlink r:id="rId4579" ref="O4579"/>
    <hyperlink r:id="rId4580" ref="O4580"/>
    <hyperlink r:id="rId4581" ref="O4581"/>
    <hyperlink r:id="rId4582" ref="O4582"/>
    <hyperlink r:id="rId4583" ref="O4583"/>
    <hyperlink r:id="rId4584" ref="O4584"/>
    <hyperlink r:id="rId4585" ref="O4585"/>
    <hyperlink r:id="rId4586" ref="O4586"/>
    <hyperlink r:id="rId4587" ref="O4587"/>
    <hyperlink r:id="rId4588" ref="O4588"/>
    <hyperlink r:id="rId4589" ref="O4589"/>
    <hyperlink r:id="rId4590" ref="O4590"/>
    <hyperlink r:id="rId4591" ref="O4591"/>
    <hyperlink r:id="rId4592" ref="O4592"/>
    <hyperlink r:id="rId4593" ref="O4593"/>
    <hyperlink r:id="rId4594" ref="O4594"/>
    <hyperlink r:id="rId4595" ref="O4595"/>
    <hyperlink r:id="rId4596" ref="O4596"/>
    <hyperlink r:id="rId4597" ref="O4597"/>
    <hyperlink r:id="rId4598" ref="O4598"/>
    <hyperlink r:id="rId4599" ref="O4599"/>
    <hyperlink r:id="rId4600" ref="O4600"/>
    <hyperlink r:id="rId4601" ref="O4601"/>
    <hyperlink r:id="rId4602" ref="O4602"/>
    <hyperlink r:id="rId4603" ref="O4603"/>
    <hyperlink r:id="rId4604" ref="O4604"/>
    <hyperlink r:id="rId4605" ref="O4605"/>
    <hyperlink r:id="rId4606" ref="O4606"/>
    <hyperlink r:id="rId4607" ref="O4607"/>
    <hyperlink r:id="rId4608" ref="O4608"/>
    <hyperlink r:id="rId4609" ref="O4609"/>
    <hyperlink r:id="rId4610" ref="O4610"/>
    <hyperlink r:id="rId4611" ref="O4611"/>
    <hyperlink r:id="rId4612" ref="O4612"/>
    <hyperlink r:id="rId4613" ref="O4613"/>
    <hyperlink r:id="rId4614" ref="O4614"/>
    <hyperlink r:id="rId4615" ref="O4615"/>
    <hyperlink r:id="rId4616" ref="O4616"/>
    <hyperlink r:id="rId4617" ref="O4617"/>
    <hyperlink r:id="rId4618" ref="O4618"/>
    <hyperlink r:id="rId4619" ref="O4619"/>
    <hyperlink r:id="rId4620" ref="O4620"/>
    <hyperlink r:id="rId4621" ref="O4621"/>
    <hyperlink r:id="rId4622" ref="O4622"/>
    <hyperlink r:id="rId4623" ref="O4623"/>
    <hyperlink r:id="rId4624" ref="O4624"/>
    <hyperlink r:id="rId4625" ref="O4625"/>
    <hyperlink r:id="rId4626" ref="O4626"/>
    <hyperlink r:id="rId4627" ref="O4627"/>
    <hyperlink r:id="rId4628" ref="O4628"/>
    <hyperlink r:id="rId4629" ref="O4629"/>
    <hyperlink r:id="rId4630" ref="O4630"/>
    <hyperlink r:id="rId4631" ref="O4631"/>
    <hyperlink r:id="rId4632" ref="O4632"/>
    <hyperlink r:id="rId4633" ref="O4633"/>
    <hyperlink r:id="rId4634" ref="O4634"/>
    <hyperlink r:id="rId4635" ref="O4635"/>
    <hyperlink r:id="rId4636" ref="O4636"/>
    <hyperlink r:id="rId4637" ref="O4637"/>
    <hyperlink r:id="rId4638" ref="O4638"/>
    <hyperlink r:id="rId4639" ref="O4639"/>
    <hyperlink r:id="rId4640" ref="O4640"/>
    <hyperlink r:id="rId4641" ref="O4641"/>
    <hyperlink r:id="rId4642" ref="O4642"/>
    <hyperlink r:id="rId4643" ref="O4643"/>
    <hyperlink r:id="rId4644" ref="O4644"/>
    <hyperlink r:id="rId4645" ref="O4645"/>
    <hyperlink r:id="rId4646" ref="O4646"/>
    <hyperlink r:id="rId4647" ref="O4647"/>
    <hyperlink r:id="rId4648" ref="O4648"/>
    <hyperlink r:id="rId4649" ref="O4649"/>
    <hyperlink r:id="rId4650" ref="O4650"/>
    <hyperlink r:id="rId4651" ref="O4651"/>
    <hyperlink r:id="rId4652" ref="O4652"/>
    <hyperlink r:id="rId4653" ref="O4653"/>
    <hyperlink r:id="rId4654" ref="O4654"/>
    <hyperlink r:id="rId4655" ref="O4655"/>
    <hyperlink r:id="rId4656" ref="O4656"/>
    <hyperlink r:id="rId4657" ref="O4657"/>
    <hyperlink r:id="rId4658" ref="O4658"/>
    <hyperlink r:id="rId4659" ref="O4659"/>
    <hyperlink r:id="rId4660" ref="O4660"/>
    <hyperlink r:id="rId4661" ref="O4661"/>
    <hyperlink r:id="rId4662" ref="O4662"/>
    <hyperlink r:id="rId4663" ref="O4663"/>
    <hyperlink r:id="rId4664" ref="O4664"/>
    <hyperlink r:id="rId4665" ref="O4665"/>
    <hyperlink r:id="rId4666" ref="O4666"/>
    <hyperlink r:id="rId4667" ref="O4667"/>
    <hyperlink r:id="rId4668" ref="O4668"/>
    <hyperlink r:id="rId4669" ref="O4669"/>
    <hyperlink r:id="rId4670" ref="O4670"/>
    <hyperlink r:id="rId4671" ref="O4671"/>
    <hyperlink r:id="rId4672" ref="O4672"/>
    <hyperlink r:id="rId4673" ref="O4673"/>
    <hyperlink r:id="rId4674" ref="O4674"/>
    <hyperlink r:id="rId4675" ref="O4675"/>
    <hyperlink r:id="rId4676" ref="O4676"/>
    <hyperlink r:id="rId4677" ref="O4677"/>
    <hyperlink r:id="rId4678" ref="O4678"/>
    <hyperlink r:id="rId4679" ref="O4679"/>
    <hyperlink r:id="rId4680" ref="O4680"/>
    <hyperlink r:id="rId4681" ref="O4681"/>
    <hyperlink r:id="rId4682" ref="O4682"/>
    <hyperlink r:id="rId4683" ref="O4683"/>
    <hyperlink r:id="rId4684" ref="O4684"/>
    <hyperlink r:id="rId4685" ref="O4685"/>
    <hyperlink r:id="rId4686" ref="O4686"/>
    <hyperlink r:id="rId4687" ref="O4687"/>
    <hyperlink r:id="rId4688" ref="O4688"/>
    <hyperlink r:id="rId4689" ref="O4689"/>
    <hyperlink r:id="rId4690" ref="O4690"/>
    <hyperlink r:id="rId4691" ref="O4691"/>
    <hyperlink r:id="rId4692" ref="O4692"/>
    <hyperlink r:id="rId4693" ref="O4693"/>
    <hyperlink r:id="rId4694" ref="O4694"/>
    <hyperlink r:id="rId4695" ref="O4695"/>
    <hyperlink r:id="rId4696" ref="O4696"/>
    <hyperlink r:id="rId4697" ref="O4697"/>
    <hyperlink r:id="rId4698" ref="O4698"/>
    <hyperlink r:id="rId4699" ref="O4699"/>
    <hyperlink r:id="rId4700" ref="O4700"/>
    <hyperlink r:id="rId4701" ref="O4701"/>
    <hyperlink r:id="rId4702" ref="O4702"/>
    <hyperlink r:id="rId4703" ref="O4703"/>
    <hyperlink r:id="rId4704" ref="O4704"/>
    <hyperlink r:id="rId4705" ref="O4705"/>
    <hyperlink r:id="rId4706" ref="O4706"/>
    <hyperlink r:id="rId4707" ref="O4707"/>
    <hyperlink r:id="rId4708" ref="O4708"/>
    <hyperlink r:id="rId4709" ref="O4709"/>
    <hyperlink r:id="rId4710" ref="O4710"/>
    <hyperlink r:id="rId4711" ref="O4711"/>
    <hyperlink r:id="rId4712" ref="O4712"/>
    <hyperlink r:id="rId4713" ref="O4713"/>
    <hyperlink r:id="rId4714" ref="O4714"/>
    <hyperlink r:id="rId4715" ref="O4715"/>
    <hyperlink r:id="rId4716" ref="O4716"/>
    <hyperlink r:id="rId4717" ref="O4717"/>
    <hyperlink r:id="rId4718" ref="O4718"/>
    <hyperlink r:id="rId4719" ref="O4719"/>
    <hyperlink r:id="rId4720" ref="O4720"/>
    <hyperlink r:id="rId4721" ref="O4721"/>
    <hyperlink r:id="rId4722" ref="O4722"/>
    <hyperlink r:id="rId4723" ref="O4723"/>
    <hyperlink r:id="rId4724" ref="O4724"/>
    <hyperlink r:id="rId4725" ref="O4725"/>
    <hyperlink r:id="rId4726" ref="O4726"/>
    <hyperlink r:id="rId4727" ref="O4727"/>
    <hyperlink r:id="rId4728" ref="O4728"/>
    <hyperlink r:id="rId4729" ref="O4729"/>
    <hyperlink r:id="rId4730" ref="O4730"/>
    <hyperlink r:id="rId4731" ref="O4731"/>
    <hyperlink r:id="rId4732" ref="O4732"/>
    <hyperlink r:id="rId4733" ref="O4733"/>
    <hyperlink r:id="rId4734" ref="O4734"/>
    <hyperlink r:id="rId4735" ref="O4735"/>
    <hyperlink r:id="rId4736" ref="O4736"/>
    <hyperlink r:id="rId4737" ref="O4737"/>
    <hyperlink r:id="rId4738" ref="O4738"/>
    <hyperlink r:id="rId4739" ref="O4739"/>
    <hyperlink r:id="rId4740" ref="O4740"/>
    <hyperlink r:id="rId4741" ref="O4741"/>
    <hyperlink r:id="rId4742" ref="O4742"/>
    <hyperlink r:id="rId4743" ref="O4743"/>
    <hyperlink r:id="rId4744" ref="O4744"/>
    <hyperlink r:id="rId4745" ref="O4745"/>
    <hyperlink r:id="rId4746" ref="O4746"/>
    <hyperlink r:id="rId4747" ref="O4747"/>
    <hyperlink r:id="rId4748" ref="O4748"/>
    <hyperlink r:id="rId4749" ref="O4749"/>
    <hyperlink r:id="rId4750" ref="O4750"/>
    <hyperlink r:id="rId4751" ref="O4751"/>
    <hyperlink r:id="rId4752" ref="O4752"/>
    <hyperlink r:id="rId4753" ref="O4753"/>
    <hyperlink r:id="rId4754" ref="O4754"/>
    <hyperlink r:id="rId4755" ref="O4755"/>
    <hyperlink r:id="rId4756" ref="O4756"/>
    <hyperlink r:id="rId4757" ref="O4757"/>
    <hyperlink r:id="rId4758" ref="O4758"/>
    <hyperlink r:id="rId4759" ref="O4759"/>
    <hyperlink r:id="rId4760" ref="O4760"/>
    <hyperlink r:id="rId4761" ref="O4761"/>
    <hyperlink r:id="rId4762" ref="O4762"/>
    <hyperlink r:id="rId4763" ref="O4763"/>
    <hyperlink r:id="rId4764" ref="O4764"/>
    <hyperlink r:id="rId4765" ref="O4765"/>
    <hyperlink r:id="rId4766" ref="O4766"/>
    <hyperlink r:id="rId4767" ref="O4767"/>
    <hyperlink r:id="rId4768" ref="O4768"/>
    <hyperlink r:id="rId4769" ref="O4769"/>
    <hyperlink r:id="rId4770" ref="O4770"/>
    <hyperlink r:id="rId4771" ref="O4771"/>
    <hyperlink r:id="rId4772" ref="O4772"/>
    <hyperlink r:id="rId4773" ref="O4773"/>
    <hyperlink r:id="rId4774" ref="O4774"/>
    <hyperlink r:id="rId4775" ref="O4775"/>
    <hyperlink r:id="rId4776" ref="O4776"/>
    <hyperlink r:id="rId4777" ref="O4777"/>
    <hyperlink r:id="rId4778" ref="O4778"/>
    <hyperlink r:id="rId4779" ref="O4779"/>
    <hyperlink r:id="rId4780" ref="O4780"/>
    <hyperlink r:id="rId4781" ref="O4781"/>
    <hyperlink r:id="rId4782" ref="O4782"/>
    <hyperlink r:id="rId4783" ref="O4783"/>
    <hyperlink r:id="rId4784" ref="O4784"/>
    <hyperlink r:id="rId4785" ref="O4785"/>
    <hyperlink r:id="rId4786" ref="O4786"/>
    <hyperlink r:id="rId4787" ref="O4787"/>
    <hyperlink r:id="rId4788" ref="O4788"/>
    <hyperlink r:id="rId4789" ref="O4789"/>
    <hyperlink r:id="rId4790" ref="O4790"/>
    <hyperlink r:id="rId4791" ref="O4791"/>
    <hyperlink r:id="rId4792" ref="O4792"/>
    <hyperlink r:id="rId4793" ref="O4793"/>
    <hyperlink r:id="rId4794" ref="O4794"/>
    <hyperlink r:id="rId4795" ref="O4795"/>
    <hyperlink r:id="rId4796" ref="O4796"/>
    <hyperlink r:id="rId4797" ref="O4797"/>
    <hyperlink r:id="rId4798" ref="O4798"/>
    <hyperlink r:id="rId4799" ref="O4799"/>
    <hyperlink r:id="rId4800" ref="O4800"/>
    <hyperlink r:id="rId4801" ref="O4801"/>
    <hyperlink r:id="rId4802" ref="O4802"/>
    <hyperlink r:id="rId4803" ref="O4803"/>
    <hyperlink r:id="rId4804" ref="O4804"/>
    <hyperlink r:id="rId4805" ref="O4805"/>
    <hyperlink r:id="rId4806" ref="O4806"/>
    <hyperlink r:id="rId4807" ref="O4807"/>
    <hyperlink r:id="rId4808" ref="O4808"/>
    <hyperlink r:id="rId4809" ref="O4809"/>
    <hyperlink r:id="rId4810" ref="O4810"/>
    <hyperlink r:id="rId4811" ref="O4811"/>
    <hyperlink r:id="rId4812" ref="O4812"/>
    <hyperlink r:id="rId4813" ref="O4813"/>
    <hyperlink r:id="rId4814" ref="O4814"/>
    <hyperlink r:id="rId4815" ref="O4815"/>
    <hyperlink r:id="rId4816" ref="O4816"/>
    <hyperlink r:id="rId4817" ref="O4817"/>
    <hyperlink r:id="rId4818" ref="O4818"/>
    <hyperlink r:id="rId4819" ref="O4819"/>
    <hyperlink r:id="rId4820" ref="O4820"/>
    <hyperlink r:id="rId4821" ref="O4821"/>
    <hyperlink r:id="rId4822" ref="O4822"/>
    <hyperlink r:id="rId4823" ref="O4823"/>
    <hyperlink r:id="rId4824" ref="O4824"/>
    <hyperlink r:id="rId4825" ref="O4825"/>
    <hyperlink r:id="rId4826" ref="O4826"/>
    <hyperlink r:id="rId4827" ref="O4827"/>
    <hyperlink r:id="rId4828" ref="O4828"/>
    <hyperlink r:id="rId4829" ref="O4829"/>
    <hyperlink r:id="rId4830" ref="O4830"/>
    <hyperlink r:id="rId4831" ref="O4831"/>
    <hyperlink r:id="rId4832" ref="O4832"/>
    <hyperlink r:id="rId4833" ref="O4833"/>
    <hyperlink r:id="rId4834" ref="O4834"/>
    <hyperlink r:id="rId4835" ref="O4835"/>
    <hyperlink r:id="rId4836" ref="O4836"/>
    <hyperlink r:id="rId4837" ref="O4837"/>
    <hyperlink r:id="rId4838" ref="O4838"/>
    <hyperlink r:id="rId4839" ref="O4839"/>
    <hyperlink r:id="rId4840" ref="O4840"/>
    <hyperlink r:id="rId4841" ref="O4841"/>
    <hyperlink r:id="rId4842" ref="O4842"/>
    <hyperlink r:id="rId4843" ref="O4843"/>
    <hyperlink r:id="rId4844" ref="O4844"/>
    <hyperlink r:id="rId4845" ref="O4845"/>
    <hyperlink r:id="rId4846" ref="O4846"/>
    <hyperlink r:id="rId4847" ref="O4847"/>
    <hyperlink r:id="rId4848" ref="O4848"/>
    <hyperlink r:id="rId4849" ref="O4849"/>
    <hyperlink r:id="rId4850" ref="O4850"/>
    <hyperlink r:id="rId4851" ref="O4851"/>
    <hyperlink r:id="rId4852" ref="O4852"/>
    <hyperlink r:id="rId4853" ref="O4853"/>
    <hyperlink r:id="rId4854" ref="O4854"/>
    <hyperlink r:id="rId4855" ref="O4855"/>
    <hyperlink r:id="rId4856" ref="O4856"/>
    <hyperlink r:id="rId4857" ref="O4857"/>
    <hyperlink r:id="rId4858" ref="O4858"/>
    <hyperlink r:id="rId4859" ref="O4859"/>
    <hyperlink r:id="rId4860" ref="O4860"/>
    <hyperlink r:id="rId4861" ref="O4861"/>
    <hyperlink r:id="rId4862" ref="O4862"/>
    <hyperlink r:id="rId4863" ref="O4863"/>
    <hyperlink r:id="rId4864" ref="O4864"/>
    <hyperlink r:id="rId4865" ref="O4865"/>
    <hyperlink r:id="rId4866" ref="O4866"/>
    <hyperlink r:id="rId4867" ref="O4867"/>
    <hyperlink r:id="rId4868" ref="O4868"/>
    <hyperlink r:id="rId4869" ref="O4869"/>
    <hyperlink r:id="rId4870" ref="O4870"/>
    <hyperlink r:id="rId4871" ref="O4871"/>
    <hyperlink r:id="rId4872" ref="O4872"/>
    <hyperlink r:id="rId4873" ref="O4873"/>
    <hyperlink r:id="rId4874" ref="O4874"/>
    <hyperlink r:id="rId4875" ref="O4875"/>
    <hyperlink r:id="rId4876" ref="O4876"/>
    <hyperlink r:id="rId4877" ref="O4877"/>
    <hyperlink r:id="rId4878" ref="O4878"/>
    <hyperlink r:id="rId4879" ref="O4879"/>
    <hyperlink r:id="rId4880" ref="O4880"/>
    <hyperlink r:id="rId4881" ref="O4881"/>
    <hyperlink r:id="rId4882" ref="O4882"/>
    <hyperlink r:id="rId4883" ref="O4883"/>
    <hyperlink r:id="rId4884" ref="O4884"/>
    <hyperlink r:id="rId4885" ref="O4885"/>
    <hyperlink r:id="rId4886" ref="O4886"/>
    <hyperlink r:id="rId4887" ref="O4887"/>
    <hyperlink r:id="rId4888" ref="O4888"/>
    <hyperlink r:id="rId4889" ref="O4889"/>
    <hyperlink r:id="rId4890" ref="O4890"/>
    <hyperlink r:id="rId4891" ref="O4891"/>
    <hyperlink r:id="rId4892" ref="O4892"/>
    <hyperlink r:id="rId4893" ref="O4893"/>
    <hyperlink r:id="rId4894" ref="O4894"/>
    <hyperlink r:id="rId4895" ref="O4895"/>
    <hyperlink r:id="rId4896" ref="O4896"/>
    <hyperlink r:id="rId4897" ref="O4897"/>
    <hyperlink r:id="rId4898" ref="O4898"/>
    <hyperlink r:id="rId4899" ref="O4899"/>
    <hyperlink r:id="rId4900" ref="O4900"/>
    <hyperlink r:id="rId4901" ref="O4901"/>
    <hyperlink r:id="rId4902" ref="O4902"/>
    <hyperlink r:id="rId4903" ref="O4903"/>
    <hyperlink r:id="rId4904" ref="O4904"/>
    <hyperlink r:id="rId4905" ref="O4905"/>
    <hyperlink r:id="rId4906" ref="O4906"/>
    <hyperlink r:id="rId4907" ref="O4907"/>
    <hyperlink r:id="rId4908" ref="O4908"/>
    <hyperlink r:id="rId4909" ref="O4909"/>
    <hyperlink r:id="rId4910" ref="O4910"/>
    <hyperlink r:id="rId4911" ref="O4911"/>
    <hyperlink r:id="rId4912" ref="O4912"/>
    <hyperlink r:id="rId4913" ref="O4913"/>
    <hyperlink r:id="rId4914" ref="O4914"/>
    <hyperlink r:id="rId4915" ref="O4915"/>
    <hyperlink r:id="rId4916" ref="O4916"/>
    <hyperlink r:id="rId4917" ref="O4917"/>
    <hyperlink r:id="rId4918" ref="O4918"/>
    <hyperlink r:id="rId4919" ref="O4919"/>
    <hyperlink r:id="rId4920" ref="O4920"/>
    <hyperlink r:id="rId4921" ref="O4921"/>
    <hyperlink r:id="rId4922" ref="O4922"/>
    <hyperlink r:id="rId4923" ref="O4923"/>
    <hyperlink r:id="rId4924" ref="O4924"/>
    <hyperlink r:id="rId4925" ref="O4925"/>
    <hyperlink r:id="rId4926" ref="O4926"/>
    <hyperlink r:id="rId4927" ref="O4927"/>
    <hyperlink r:id="rId4928" ref="O4928"/>
    <hyperlink r:id="rId4929" ref="O4929"/>
    <hyperlink r:id="rId4930" ref="O4930"/>
    <hyperlink r:id="rId4931" ref="O4931"/>
    <hyperlink r:id="rId4932" ref="O4932"/>
    <hyperlink r:id="rId4933" ref="O4933"/>
    <hyperlink r:id="rId4934" ref="O4934"/>
    <hyperlink r:id="rId4935" ref="O4935"/>
    <hyperlink r:id="rId4936" ref="O4936"/>
    <hyperlink r:id="rId4937" ref="O4937"/>
    <hyperlink r:id="rId4938" ref="O4938"/>
    <hyperlink r:id="rId4939" ref="O4939"/>
    <hyperlink r:id="rId4940" ref="O4940"/>
    <hyperlink r:id="rId4941" ref="O4941"/>
    <hyperlink r:id="rId4942" ref="O4942"/>
    <hyperlink r:id="rId4943" ref="O4943"/>
    <hyperlink r:id="rId4944" ref="O4944"/>
    <hyperlink r:id="rId4945" ref="O4945"/>
    <hyperlink r:id="rId4946" ref="O4946"/>
    <hyperlink r:id="rId4947" ref="O4947"/>
    <hyperlink r:id="rId4948" ref="O4948"/>
    <hyperlink r:id="rId4949" ref="O4949"/>
    <hyperlink r:id="rId4950" ref="O4950"/>
    <hyperlink r:id="rId4951" ref="O4951"/>
    <hyperlink r:id="rId4952" ref="O4952"/>
    <hyperlink r:id="rId4953" ref="O4953"/>
    <hyperlink r:id="rId4954" ref="O4954"/>
    <hyperlink r:id="rId4955" ref="O4955"/>
    <hyperlink r:id="rId4956" ref="O4956"/>
    <hyperlink r:id="rId4957" ref="O4957"/>
    <hyperlink r:id="rId4958" ref="O4958"/>
    <hyperlink r:id="rId4959" ref="O4959"/>
    <hyperlink r:id="rId4960" ref="O4960"/>
    <hyperlink r:id="rId4961" ref="O4961"/>
    <hyperlink r:id="rId4962" ref="O4962"/>
    <hyperlink r:id="rId4963" ref="O4963"/>
    <hyperlink r:id="rId4964" ref="O4964"/>
    <hyperlink r:id="rId4965" ref="O4965"/>
    <hyperlink r:id="rId4966" ref="O4966"/>
    <hyperlink r:id="rId4967" ref="O4967"/>
    <hyperlink r:id="rId4968" ref="O4968"/>
    <hyperlink r:id="rId4969" ref="O4969"/>
    <hyperlink r:id="rId4970" ref="O4970"/>
    <hyperlink r:id="rId4971" ref="O4971"/>
    <hyperlink r:id="rId4972" ref="O4972"/>
    <hyperlink r:id="rId4973" ref="O4973"/>
    <hyperlink r:id="rId4974" ref="O4974"/>
    <hyperlink r:id="rId4975" ref="O4975"/>
    <hyperlink r:id="rId4976" ref="O4976"/>
    <hyperlink r:id="rId4977" ref="O4977"/>
    <hyperlink r:id="rId4978" ref="O4978"/>
    <hyperlink r:id="rId4979" ref="O4979"/>
    <hyperlink r:id="rId4980" ref="O4980"/>
    <hyperlink r:id="rId4981" ref="O4981"/>
    <hyperlink r:id="rId4982" ref="O4982"/>
    <hyperlink r:id="rId4983" ref="O4983"/>
    <hyperlink r:id="rId4984" ref="O4984"/>
    <hyperlink r:id="rId4985" ref="O4985"/>
    <hyperlink r:id="rId4986" ref="O4986"/>
    <hyperlink r:id="rId4987" ref="O4987"/>
    <hyperlink r:id="rId4988" ref="O4988"/>
    <hyperlink r:id="rId4989" ref="O4989"/>
    <hyperlink r:id="rId4990" ref="O4990"/>
    <hyperlink r:id="rId4991" ref="O4991"/>
    <hyperlink r:id="rId4992" ref="O4992"/>
    <hyperlink r:id="rId4993" ref="O4993"/>
    <hyperlink r:id="rId4994" ref="O4994"/>
    <hyperlink r:id="rId4995" ref="O4995"/>
    <hyperlink r:id="rId4996" ref="O4996"/>
    <hyperlink r:id="rId4997" ref="O4997"/>
    <hyperlink r:id="rId4998" ref="O4998"/>
    <hyperlink r:id="rId4999" ref="O4999"/>
    <hyperlink r:id="rId5000" ref="O5000"/>
    <hyperlink r:id="rId5001" ref="O5001"/>
    <hyperlink r:id="rId5002" ref="O5002"/>
    <hyperlink r:id="rId5003" ref="O5003"/>
    <hyperlink r:id="rId5004" ref="O5004"/>
    <hyperlink r:id="rId5005" ref="O5005"/>
    <hyperlink r:id="rId5006" ref="O5006"/>
    <hyperlink r:id="rId5007" ref="O5007"/>
    <hyperlink r:id="rId5008" ref="O5008"/>
    <hyperlink r:id="rId5009" ref="O5009"/>
    <hyperlink r:id="rId5010" ref="O5010"/>
    <hyperlink r:id="rId5011" ref="O5011"/>
    <hyperlink r:id="rId5012" ref="O5012"/>
    <hyperlink r:id="rId5013" ref="O5013"/>
    <hyperlink r:id="rId5014" ref="O5014"/>
    <hyperlink r:id="rId5015" ref="O5015"/>
    <hyperlink r:id="rId5016" ref="O5016"/>
    <hyperlink r:id="rId5017" ref="O5017"/>
    <hyperlink r:id="rId5018" ref="O5018"/>
    <hyperlink r:id="rId5019" ref="O5019"/>
    <hyperlink r:id="rId5020" ref="O5020"/>
    <hyperlink r:id="rId5021" ref="O5021"/>
    <hyperlink r:id="rId5022" ref="O5022"/>
    <hyperlink r:id="rId5023" ref="O5023"/>
    <hyperlink r:id="rId5024" ref="O5024"/>
    <hyperlink r:id="rId5025" ref="O5025"/>
    <hyperlink r:id="rId5026" ref="O5026"/>
    <hyperlink r:id="rId5027" ref="O5027"/>
    <hyperlink r:id="rId5028" ref="O5028"/>
    <hyperlink r:id="rId5029" ref="O5029"/>
    <hyperlink r:id="rId5030" ref="O5030"/>
    <hyperlink r:id="rId5031" ref="O5031"/>
    <hyperlink r:id="rId5032" ref="O5032"/>
    <hyperlink r:id="rId5033" ref="O5033"/>
    <hyperlink r:id="rId5034" ref="O5034"/>
    <hyperlink r:id="rId5035" ref="O5035"/>
    <hyperlink r:id="rId5036" ref="O5036"/>
    <hyperlink r:id="rId5037" ref="O5037"/>
    <hyperlink r:id="rId5038" ref="O5038"/>
    <hyperlink r:id="rId5039" ref="O5039"/>
    <hyperlink r:id="rId5040" ref="O5040"/>
    <hyperlink r:id="rId5041" ref="O5041"/>
    <hyperlink r:id="rId5042" ref="O5042"/>
    <hyperlink r:id="rId5043" ref="O5043"/>
    <hyperlink r:id="rId5044" ref="O5044"/>
    <hyperlink r:id="rId5045" ref="O5045"/>
    <hyperlink r:id="rId5046" ref="O5046"/>
    <hyperlink r:id="rId5047" ref="O5047"/>
    <hyperlink r:id="rId5048" ref="O5048"/>
    <hyperlink r:id="rId5049" ref="O5049"/>
    <hyperlink r:id="rId5050" ref="O5050"/>
    <hyperlink r:id="rId5051" ref="O5051"/>
    <hyperlink r:id="rId5052" ref="O5052"/>
    <hyperlink r:id="rId5053" ref="O5053"/>
    <hyperlink r:id="rId5054" ref="O5054"/>
    <hyperlink r:id="rId5055" ref="O5055"/>
    <hyperlink r:id="rId5056" ref="O5056"/>
    <hyperlink r:id="rId5057" ref="O5057"/>
    <hyperlink r:id="rId5058" ref="O5058"/>
    <hyperlink r:id="rId5059" ref="O5059"/>
    <hyperlink r:id="rId5060" ref="O5060"/>
    <hyperlink r:id="rId5061" ref="O5061"/>
    <hyperlink r:id="rId5062" ref="O5062"/>
    <hyperlink r:id="rId5063" ref="O5063"/>
    <hyperlink r:id="rId5064" ref="O5064"/>
    <hyperlink r:id="rId5065" ref="O5065"/>
    <hyperlink r:id="rId5066" ref="O5066"/>
    <hyperlink r:id="rId5067" ref="O5067"/>
    <hyperlink r:id="rId5068" ref="O5068"/>
    <hyperlink r:id="rId5069" ref="O5069"/>
    <hyperlink r:id="rId5070" ref="O5070"/>
    <hyperlink r:id="rId5071" ref="O5071"/>
    <hyperlink r:id="rId5072" ref="O5072"/>
    <hyperlink r:id="rId5073" ref="O5073"/>
    <hyperlink r:id="rId5074" ref="O5074"/>
    <hyperlink r:id="rId5075" ref="O5075"/>
    <hyperlink r:id="rId5076" ref="O5076"/>
    <hyperlink r:id="rId5077" ref="O5077"/>
    <hyperlink r:id="rId5078" ref="O5078"/>
    <hyperlink r:id="rId5079" ref="O5079"/>
    <hyperlink r:id="rId5080" ref="O5080"/>
    <hyperlink r:id="rId5081" ref="O5081"/>
    <hyperlink r:id="rId5082" ref="O5082"/>
    <hyperlink r:id="rId5083" ref="O5083"/>
    <hyperlink r:id="rId5084" ref="O5084"/>
    <hyperlink r:id="rId5085" ref="O5085"/>
    <hyperlink r:id="rId5086" ref="O5086"/>
    <hyperlink r:id="rId5087" ref="O5087"/>
    <hyperlink r:id="rId5088" ref="O5088"/>
    <hyperlink r:id="rId5089" ref="O5089"/>
    <hyperlink r:id="rId5090" ref="O5090"/>
    <hyperlink r:id="rId5091" ref="O5091"/>
    <hyperlink r:id="rId5092" ref="O5092"/>
    <hyperlink r:id="rId5093" ref="O5093"/>
    <hyperlink r:id="rId5094" ref="O5094"/>
    <hyperlink r:id="rId5095" ref="O5095"/>
    <hyperlink r:id="rId5096" ref="O5096"/>
    <hyperlink r:id="rId5097" ref="O5097"/>
    <hyperlink r:id="rId5098" ref="O5098"/>
    <hyperlink r:id="rId5099" ref="O5099"/>
    <hyperlink r:id="rId5100" ref="O5100"/>
    <hyperlink r:id="rId5101" ref="O5101"/>
    <hyperlink r:id="rId5102" ref="O5102"/>
    <hyperlink r:id="rId5103" ref="O5103"/>
    <hyperlink r:id="rId5104" ref="O5104"/>
    <hyperlink r:id="rId5105" ref="O5105"/>
    <hyperlink r:id="rId5106" ref="O5106"/>
    <hyperlink r:id="rId5107" ref="O5107"/>
    <hyperlink r:id="rId5108" ref="O5108"/>
    <hyperlink r:id="rId5109" ref="O5109"/>
    <hyperlink r:id="rId5110" ref="O5110"/>
    <hyperlink r:id="rId5111" ref="O5111"/>
    <hyperlink r:id="rId5112" ref="O5112"/>
    <hyperlink r:id="rId5113" ref="O5113"/>
    <hyperlink r:id="rId5114" ref="O5114"/>
    <hyperlink r:id="rId5115" ref="O5115"/>
    <hyperlink r:id="rId5116" ref="O5116"/>
    <hyperlink r:id="rId5117" ref="O5117"/>
    <hyperlink r:id="rId5118" ref="O5118"/>
    <hyperlink r:id="rId5119" ref="O5119"/>
    <hyperlink r:id="rId5120" ref="O5120"/>
    <hyperlink r:id="rId5121" ref="O5121"/>
    <hyperlink r:id="rId5122" ref="O5122"/>
    <hyperlink r:id="rId5123" ref="O5123"/>
    <hyperlink r:id="rId5124" ref="O5124"/>
    <hyperlink r:id="rId5125" ref="O5125"/>
    <hyperlink r:id="rId5126" ref="O5126"/>
    <hyperlink r:id="rId5127" ref="O5127"/>
    <hyperlink r:id="rId5128" ref="O5128"/>
    <hyperlink r:id="rId5129" ref="O5129"/>
    <hyperlink r:id="rId5130" ref="O5130"/>
    <hyperlink r:id="rId5131" ref="O5131"/>
    <hyperlink r:id="rId5132" ref="O5132"/>
    <hyperlink r:id="rId5133" ref="O5133"/>
    <hyperlink r:id="rId5134" ref="O5134"/>
    <hyperlink r:id="rId5135" ref="O5135"/>
    <hyperlink r:id="rId5136" ref="O5136"/>
    <hyperlink r:id="rId5137" ref="O5137"/>
    <hyperlink r:id="rId5138" ref="O5138"/>
    <hyperlink r:id="rId5139" ref="O5139"/>
    <hyperlink r:id="rId5140" ref="O5140"/>
    <hyperlink r:id="rId5141" ref="O5141"/>
    <hyperlink r:id="rId5142" ref="O5142"/>
    <hyperlink r:id="rId5143" ref="O5143"/>
    <hyperlink r:id="rId5144" ref="O5144"/>
    <hyperlink r:id="rId5145" ref="O5145"/>
    <hyperlink r:id="rId5146" ref="O5146"/>
    <hyperlink r:id="rId5147" ref="O5147"/>
    <hyperlink r:id="rId5148" ref="O5148"/>
    <hyperlink r:id="rId5149" ref="O5149"/>
    <hyperlink r:id="rId5150" ref="O5150"/>
    <hyperlink r:id="rId5151" ref="O5151"/>
    <hyperlink r:id="rId5152" ref="O5152"/>
    <hyperlink r:id="rId5153" ref="O5153"/>
    <hyperlink r:id="rId5154" ref="O5154"/>
    <hyperlink r:id="rId5155" ref="O5155"/>
    <hyperlink r:id="rId5156" ref="O5156"/>
    <hyperlink r:id="rId5157" ref="O5157"/>
    <hyperlink r:id="rId5158" ref="O5158"/>
    <hyperlink r:id="rId5159" ref="O5159"/>
    <hyperlink r:id="rId5160" ref="O5160"/>
    <hyperlink r:id="rId5161" ref="O5161"/>
    <hyperlink r:id="rId5162" ref="O5162"/>
    <hyperlink r:id="rId5163" ref="O5163"/>
    <hyperlink r:id="rId5164" ref="O5164"/>
    <hyperlink r:id="rId5165" ref="O5165"/>
    <hyperlink r:id="rId5166" ref="O5166"/>
    <hyperlink r:id="rId5167" ref="O5167"/>
    <hyperlink r:id="rId5168" ref="O5168"/>
    <hyperlink r:id="rId5169" ref="O5169"/>
    <hyperlink r:id="rId5170" ref="O5170"/>
    <hyperlink r:id="rId5171" ref="O5171"/>
    <hyperlink r:id="rId5172" ref="O5172"/>
    <hyperlink r:id="rId5173" ref="O5173"/>
    <hyperlink r:id="rId5174" ref="O5174"/>
    <hyperlink r:id="rId5175" ref="O5175"/>
    <hyperlink r:id="rId5176" ref="O5176"/>
    <hyperlink r:id="rId5177" ref="O5177"/>
    <hyperlink r:id="rId5178" ref="O5178"/>
    <hyperlink r:id="rId5179" ref="O5179"/>
    <hyperlink r:id="rId5180" ref="O5180"/>
    <hyperlink r:id="rId5181" ref="O5181"/>
    <hyperlink r:id="rId5182" ref="O5182"/>
    <hyperlink r:id="rId5183" ref="O5183"/>
    <hyperlink r:id="rId5184" ref="O5184"/>
    <hyperlink r:id="rId5185" ref="O5185"/>
    <hyperlink r:id="rId5186" ref="O5186"/>
    <hyperlink r:id="rId5187" ref="O5187"/>
    <hyperlink r:id="rId5188" ref="O5188"/>
    <hyperlink r:id="rId5189" ref="O5189"/>
    <hyperlink r:id="rId5190" ref="O5190"/>
    <hyperlink r:id="rId5191" ref="O5191"/>
    <hyperlink r:id="rId5192" ref="O5192"/>
    <hyperlink r:id="rId5193" ref="O5193"/>
    <hyperlink r:id="rId5194" ref="O5194"/>
    <hyperlink r:id="rId5195" ref="O5195"/>
    <hyperlink r:id="rId5196" ref="O5196"/>
    <hyperlink r:id="rId5197" ref="O5197"/>
    <hyperlink r:id="rId5198" ref="O5198"/>
    <hyperlink r:id="rId5199" ref="O5199"/>
    <hyperlink r:id="rId5200" ref="O5200"/>
    <hyperlink r:id="rId5201" ref="O5201"/>
    <hyperlink r:id="rId5202" ref="O5202"/>
    <hyperlink r:id="rId5203" ref="O5203"/>
    <hyperlink r:id="rId5204" ref="O5204"/>
    <hyperlink r:id="rId5205" ref="O5205"/>
    <hyperlink r:id="rId5206" ref="O5206"/>
    <hyperlink r:id="rId5207" ref="O5207"/>
    <hyperlink r:id="rId5208" ref="O5208"/>
    <hyperlink r:id="rId5209" ref="O5209"/>
    <hyperlink r:id="rId5210" ref="O5210"/>
    <hyperlink r:id="rId5211" ref="O5211"/>
    <hyperlink r:id="rId5212" ref="O5212"/>
    <hyperlink r:id="rId5213" ref="O5213"/>
    <hyperlink r:id="rId5214" ref="O5214"/>
    <hyperlink r:id="rId5215" ref="O5215"/>
    <hyperlink r:id="rId5216" ref="O5216"/>
    <hyperlink r:id="rId5217" ref="O5217"/>
    <hyperlink r:id="rId5218" ref="O5218"/>
    <hyperlink r:id="rId5219" ref="O5219"/>
    <hyperlink r:id="rId5220" ref="O5220"/>
    <hyperlink r:id="rId5221" ref="O5221"/>
    <hyperlink r:id="rId5222" ref="O5222"/>
    <hyperlink r:id="rId5223" ref="O5223"/>
    <hyperlink r:id="rId5224" ref="O5224"/>
    <hyperlink r:id="rId5225" ref="O5225"/>
    <hyperlink r:id="rId5226" ref="O5226"/>
    <hyperlink r:id="rId5227" ref="O5227"/>
    <hyperlink r:id="rId5228" ref="O5228"/>
    <hyperlink r:id="rId5229" ref="O5229"/>
    <hyperlink r:id="rId5230" ref="O5230"/>
    <hyperlink r:id="rId5231" ref="O5231"/>
    <hyperlink r:id="rId5232" ref="O5232"/>
    <hyperlink r:id="rId5233" ref="O5233"/>
    <hyperlink r:id="rId5234" ref="O5234"/>
    <hyperlink r:id="rId5235" ref="O5235"/>
    <hyperlink r:id="rId5236" ref="O5236"/>
    <hyperlink r:id="rId5237" ref="O5237"/>
    <hyperlink r:id="rId5238" ref="O5238"/>
    <hyperlink r:id="rId5239" ref="O5239"/>
    <hyperlink r:id="rId5240" ref="O5240"/>
    <hyperlink r:id="rId5241" ref="O5241"/>
    <hyperlink r:id="rId5242" ref="O5242"/>
    <hyperlink r:id="rId5243" ref="O5243"/>
    <hyperlink r:id="rId5244" ref="O5244"/>
    <hyperlink r:id="rId5245" ref="O5245"/>
    <hyperlink r:id="rId5246" ref="O5246"/>
    <hyperlink r:id="rId5247" ref="O5247"/>
    <hyperlink r:id="rId5248" ref="O5248"/>
    <hyperlink r:id="rId5249" ref="O5249"/>
    <hyperlink r:id="rId5250" ref="O5250"/>
    <hyperlink r:id="rId5251" ref="O5251"/>
    <hyperlink r:id="rId5252" ref="O5252"/>
    <hyperlink r:id="rId5253" ref="O5253"/>
    <hyperlink r:id="rId5254" ref="O5254"/>
    <hyperlink r:id="rId5255" ref="O5255"/>
    <hyperlink r:id="rId5256" ref="O5256"/>
    <hyperlink r:id="rId5257" ref="O5257"/>
    <hyperlink r:id="rId5258" ref="O5258"/>
    <hyperlink r:id="rId5259" ref="O5259"/>
    <hyperlink r:id="rId5260" ref="O5260"/>
    <hyperlink r:id="rId5261" ref="O5261"/>
    <hyperlink r:id="rId5262" ref="O5262"/>
    <hyperlink r:id="rId5263" ref="O5263"/>
    <hyperlink r:id="rId5264" ref="O5264"/>
    <hyperlink r:id="rId5265" ref="O5265"/>
    <hyperlink r:id="rId5266" ref="O5266"/>
    <hyperlink r:id="rId5267" ref="O5267"/>
    <hyperlink r:id="rId5268" ref="O5268"/>
    <hyperlink r:id="rId5269" ref="O5269"/>
    <hyperlink r:id="rId5270" ref="O5270"/>
    <hyperlink r:id="rId5271" ref="O5271"/>
    <hyperlink r:id="rId5272" ref="O5272"/>
    <hyperlink r:id="rId5273" ref="O5273"/>
    <hyperlink r:id="rId5274" ref="O5274"/>
    <hyperlink r:id="rId5275" ref="O5275"/>
    <hyperlink r:id="rId5276" ref="O5276"/>
    <hyperlink r:id="rId5277" ref="O5277"/>
    <hyperlink r:id="rId5278" ref="O5278"/>
    <hyperlink r:id="rId5279" ref="O5279"/>
    <hyperlink r:id="rId5280" ref="O5280"/>
    <hyperlink r:id="rId5281" ref="O5281"/>
    <hyperlink r:id="rId5282" ref="O5282"/>
    <hyperlink r:id="rId5283" ref="O5283"/>
    <hyperlink r:id="rId5284" ref="O5284"/>
    <hyperlink r:id="rId5285" ref="O5285"/>
    <hyperlink r:id="rId5286" ref="O5286"/>
    <hyperlink r:id="rId5287" ref="O5287"/>
    <hyperlink r:id="rId5288" ref="O5288"/>
    <hyperlink r:id="rId5289" ref="O5289"/>
    <hyperlink r:id="rId5290" ref="O5290"/>
    <hyperlink r:id="rId5291" ref="O5291"/>
    <hyperlink r:id="rId5292" ref="O5292"/>
    <hyperlink r:id="rId5293" ref="O5293"/>
    <hyperlink r:id="rId5294" ref="O5294"/>
    <hyperlink r:id="rId5295" ref="O5295"/>
    <hyperlink r:id="rId5296" ref="O5296"/>
    <hyperlink r:id="rId5297" ref="O5297"/>
    <hyperlink r:id="rId5298" ref="O5298"/>
    <hyperlink r:id="rId5299" ref="O5299"/>
    <hyperlink r:id="rId5300" ref="O5300"/>
    <hyperlink r:id="rId5301" ref="O5301"/>
    <hyperlink r:id="rId5302" ref="O5302"/>
    <hyperlink r:id="rId5303" ref="O5303"/>
    <hyperlink r:id="rId5304" ref="O5304"/>
    <hyperlink r:id="rId5305" ref="O5305"/>
    <hyperlink r:id="rId5306" ref="O5306"/>
    <hyperlink r:id="rId5307" ref="O5307"/>
    <hyperlink r:id="rId5308" ref="O5308"/>
    <hyperlink r:id="rId5309" ref="O5309"/>
    <hyperlink r:id="rId5310" ref="O5310"/>
    <hyperlink r:id="rId5311" ref="O5311"/>
    <hyperlink r:id="rId5312" ref="O5312"/>
    <hyperlink r:id="rId5313" ref="O5313"/>
    <hyperlink r:id="rId5314" ref="O5314"/>
    <hyperlink r:id="rId5315" ref="O5315"/>
    <hyperlink r:id="rId5316" ref="O5316"/>
    <hyperlink r:id="rId5317" ref="O5317"/>
    <hyperlink r:id="rId5318" ref="O5318"/>
    <hyperlink r:id="rId5319" ref="O5319"/>
    <hyperlink r:id="rId5320" ref="O5320"/>
    <hyperlink r:id="rId5321" ref="O5321"/>
    <hyperlink r:id="rId5322" ref="O5322"/>
    <hyperlink r:id="rId5323" ref="O5323"/>
    <hyperlink r:id="rId5324" ref="O5324"/>
    <hyperlink r:id="rId5325" ref="O5325"/>
    <hyperlink r:id="rId5326" ref="O5326"/>
    <hyperlink r:id="rId5327" ref="O5327"/>
    <hyperlink r:id="rId5328" ref="O5328"/>
    <hyperlink r:id="rId5329" ref="O5329"/>
    <hyperlink r:id="rId5330" ref="O5330"/>
    <hyperlink r:id="rId5331" ref="O5331"/>
    <hyperlink r:id="rId5332" ref="O5332"/>
    <hyperlink r:id="rId5333" ref="O5333"/>
    <hyperlink r:id="rId5334" ref="O5334"/>
    <hyperlink r:id="rId5335" ref="O5335"/>
    <hyperlink r:id="rId5336" ref="O5336"/>
    <hyperlink r:id="rId5337" ref="O5337"/>
    <hyperlink r:id="rId5338" ref="O5338"/>
    <hyperlink r:id="rId5339" ref="O5339"/>
    <hyperlink r:id="rId5340" ref="O5340"/>
    <hyperlink r:id="rId5341" ref="O5341"/>
    <hyperlink r:id="rId5342" ref="O5342"/>
    <hyperlink r:id="rId5343" ref="O5343"/>
    <hyperlink r:id="rId5344" ref="O5344"/>
    <hyperlink r:id="rId5345" ref="O5345"/>
    <hyperlink r:id="rId5346" ref="O5346"/>
    <hyperlink r:id="rId5347" ref="O5347"/>
    <hyperlink r:id="rId5348" ref="O5348"/>
    <hyperlink r:id="rId5349" ref="O5349"/>
    <hyperlink r:id="rId5350" ref="O5350"/>
    <hyperlink r:id="rId5351" ref="O5351"/>
    <hyperlink r:id="rId5352" ref="O5352"/>
    <hyperlink r:id="rId5353" ref="O5353"/>
    <hyperlink r:id="rId5354" ref="O5354"/>
    <hyperlink r:id="rId5355" ref="O5355"/>
    <hyperlink r:id="rId5356" ref="O5356"/>
    <hyperlink r:id="rId5357" ref="O5357"/>
    <hyperlink r:id="rId5358" ref="O5358"/>
    <hyperlink r:id="rId5359" ref="O5359"/>
    <hyperlink r:id="rId5360" ref="O5360"/>
    <hyperlink r:id="rId5361" ref="O5361"/>
    <hyperlink r:id="rId5362" ref="O5362"/>
    <hyperlink r:id="rId5363" ref="O5363"/>
    <hyperlink r:id="rId5364" ref="O5364"/>
    <hyperlink r:id="rId5365" ref="O5365"/>
    <hyperlink r:id="rId5366" ref="O5366"/>
    <hyperlink r:id="rId5367" ref="O5367"/>
    <hyperlink r:id="rId5368" ref="O5368"/>
    <hyperlink r:id="rId5369" ref="O5369"/>
    <hyperlink r:id="rId5370" ref="O5370"/>
    <hyperlink r:id="rId5371" ref="O5371"/>
    <hyperlink r:id="rId5372" ref="O5372"/>
    <hyperlink r:id="rId5373" ref="O5373"/>
    <hyperlink r:id="rId5374" ref="O5374"/>
    <hyperlink r:id="rId5375" ref="O5375"/>
    <hyperlink r:id="rId5376" ref="O5376"/>
    <hyperlink r:id="rId5377" ref="O5377"/>
    <hyperlink r:id="rId5378" ref="O5378"/>
    <hyperlink r:id="rId5379" ref="O5379"/>
    <hyperlink r:id="rId5380" ref="O5380"/>
    <hyperlink r:id="rId5381" ref="O5381"/>
    <hyperlink r:id="rId5382" ref="O5382"/>
    <hyperlink r:id="rId5383" ref="O5383"/>
    <hyperlink r:id="rId5384" ref="O5384"/>
    <hyperlink r:id="rId5385" ref="O5385"/>
    <hyperlink r:id="rId5386" ref="O5386"/>
    <hyperlink r:id="rId5387" ref="O5387"/>
    <hyperlink r:id="rId5388" ref="O5388"/>
    <hyperlink r:id="rId5389" ref="O5389"/>
    <hyperlink r:id="rId5390" ref="O5390"/>
    <hyperlink r:id="rId5391" ref="O5391"/>
    <hyperlink r:id="rId5392" ref="O5392"/>
    <hyperlink r:id="rId5393" ref="O5393"/>
    <hyperlink r:id="rId5394" ref="O5394"/>
    <hyperlink r:id="rId5395" ref="O5395"/>
    <hyperlink r:id="rId5396" ref="O5396"/>
    <hyperlink r:id="rId5397" ref="O5397"/>
    <hyperlink r:id="rId5398" ref="O5398"/>
    <hyperlink r:id="rId5399" ref="O5399"/>
    <hyperlink r:id="rId5400" ref="O5400"/>
    <hyperlink r:id="rId5401" ref="O5401"/>
    <hyperlink r:id="rId5402" ref="O5402"/>
    <hyperlink r:id="rId5403" ref="O5403"/>
    <hyperlink r:id="rId5404" ref="O5404"/>
    <hyperlink r:id="rId5405" ref="O5405"/>
    <hyperlink r:id="rId5406" ref="O5406"/>
    <hyperlink r:id="rId5407" ref="O5407"/>
    <hyperlink r:id="rId5408" ref="O5408"/>
    <hyperlink r:id="rId5409" ref="O5409"/>
    <hyperlink r:id="rId5410" ref="O5410"/>
    <hyperlink r:id="rId5411" ref="O5411"/>
    <hyperlink r:id="rId5412" ref="O5412"/>
    <hyperlink r:id="rId5413" ref="O5413"/>
    <hyperlink r:id="rId5414" ref="O5414"/>
    <hyperlink r:id="rId5415" ref="O5415"/>
    <hyperlink r:id="rId5416" ref="O5416"/>
    <hyperlink r:id="rId5417" ref="O5417"/>
    <hyperlink r:id="rId5418" ref="O5418"/>
    <hyperlink r:id="rId5419" ref="O5419"/>
    <hyperlink r:id="rId5420" ref="O5420"/>
    <hyperlink r:id="rId5421" ref="O5421"/>
    <hyperlink r:id="rId5422" ref="O5422"/>
    <hyperlink r:id="rId5423" ref="O5423"/>
    <hyperlink r:id="rId5424" ref="O5424"/>
    <hyperlink r:id="rId5425" ref="O5425"/>
    <hyperlink r:id="rId5426" ref="O5426"/>
    <hyperlink r:id="rId5427" ref="O5427"/>
    <hyperlink r:id="rId5428" ref="O5428"/>
    <hyperlink r:id="rId5429" ref="O5429"/>
    <hyperlink r:id="rId5430" ref="O5430"/>
    <hyperlink r:id="rId5431" ref="O5431"/>
    <hyperlink r:id="rId5432" ref="O5432"/>
    <hyperlink r:id="rId5433" ref="O5433"/>
    <hyperlink r:id="rId5434" ref="O5434"/>
    <hyperlink r:id="rId5435" ref="O5435"/>
    <hyperlink r:id="rId5436" ref="O5436"/>
    <hyperlink r:id="rId5437" ref="O5437"/>
    <hyperlink r:id="rId5438" ref="O5438"/>
    <hyperlink r:id="rId5439" ref="O5439"/>
    <hyperlink r:id="rId5440" ref="O5440"/>
    <hyperlink r:id="rId5441" ref="O5441"/>
    <hyperlink r:id="rId5442" ref="O5442"/>
    <hyperlink r:id="rId5443" ref="O5443"/>
    <hyperlink r:id="rId5444" ref="O5444"/>
    <hyperlink r:id="rId5445" ref="O5445"/>
    <hyperlink r:id="rId5446" ref="O5446"/>
    <hyperlink r:id="rId5447" ref="O5447"/>
    <hyperlink r:id="rId5448" ref="O5448"/>
    <hyperlink r:id="rId5449" ref="O5449"/>
    <hyperlink r:id="rId5450" ref="O5450"/>
    <hyperlink r:id="rId5451" ref="O5451"/>
    <hyperlink r:id="rId5452" ref="O5452"/>
    <hyperlink r:id="rId5453" ref="O5453"/>
    <hyperlink r:id="rId5454" ref="O5454"/>
    <hyperlink r:id="rId5455" ref="O5455"/>
    <hyperlink r:id="rId5456" ref="O5456"/>
    <hyperlink r:id="rId5457" ref="O5457"/>
    <hyperlink r:id="rId5458" ref="O5458"/>
    <hyperlink r:id="rId5459" ref="O5459"/>
    <hyperlink r:id="rId5460" ref="O5460"/>
    <hyperlink r:id="rId5461" ref="O5461"/>
    <hyperlink r:id="rId5462" ref="O5462"/>
    <hyperlink r:id="rId5463" ref="O5463"/>
    <hyperlink r:id="rId5464" ref="O5464"/>
    <hyperlink r:id="rId5465" ref="O5465"/>
    <hyperlink r:id="rId5466" ref="O5466"/>
    <hyperlink r:id="rId5467" ref="O5467"/>
    <hyperlink r:id="rId5468" ref="O5468"/>
    <hyperlink r:id="rId5469" ref="O5469"/>
    <hyperlink r:id="rId5470" ref="O5470"/>
    <hyperlink r:id="rId5471" ref="O5471"/>
    <hyperlink r:id="rId5472" ref="O5472"/>
    <hyperlink r:id="rId5473" ref="O5473"/>
    <hyperlink r:id="rId5474" ref="O5474"/>
    <hyperlink r:id="rId5475" ref="O5475"/>
    <hyperlink r:id="rId5476" ref="O5476"/>
    <hyperlink r:id="rId5477" ref="O5477"/>
    <hyperlink r:id="rId5478" ref="O5478"/>
    <hyperlink r:id="rId5479" ref="O5479"/>
    <hyperlink r:id="rId5480" ref="O5480"/>
    <hyperlink r:id="rId5481" ref="O5481"/>
    <hyperlink r:id="rId5482" ref="O5482"/>
    <hyperlink r:id="rId5483" ref="O5483"/>
    <hyperlink r:id="rId5484" ref="O5484"/>
    <hyperlink r:id="rId5485" ref="O5485"/>
    <hyperlink r:id="rId5486" ref="O5486"/>
    <hyperlink r:id="rId5487" ref="O5487"/>
    <hyperlink r:id="rId5488" ref="O5488"/>
    <hyperlink r:id="rId5489" ref="O5489"/>
    <hyperlink r:id="rId5490" ref="O5490"/>
    <hyperlink r:id="rId5491" ref="O5491"/>
    <hyperlink r:id="rId5492" ref="O5492"/>
    <hyperlink r:id="rId5493" ref="O5493"/>
    <hyperlink r:id="rId5494" ref="O5494"/>
    <hyperlink r:id="rId5495" ref="O5495"/>
    <hyperlink r:id="rId5496" ref="O5496"/>
    <hyperlink r:id="rId5497" ref="O5497"/>
    <hyperlink r:id="rId5498" ref="O5498"/>
    <hyperlink r:id="rId5499" ref="O5499"/>
    <hyperlink r:id="rId5500" ref="O5500"/>
    <hyperlink r:id="rId5501" ref="O5501"/>
    <hyperlink r:id="rId5502" ref="O5502"/>
    <hyperlink r:id="rId5503" ref="O5503"/>
    <hyperlink r:id="rId5504" ref="O5504"/>
    <hyperlink r:id="rId5505" ref="O5505"/>
    <hyperlink r:id="rId5506" ref="O5506"/>
    <hyperlink r:id="rId5507" ref="O5507"/>
    <hyperlink r:id="rId5508" ref="O5508"/>
    <hyperlink r:id="rId5509" ref="O5509"/>
    <hyperlink r:id="rId5510" ref="O5510"/>
    <hyperlink r:id="rId5511" ref="O5511"/>
    <hyperlink r:id="rId5512" ref="O5512"/>
    <hyperlink r:id="rId5513" ref="O5513"/>
    <hyperlink r:id="rId5514" ref="O5514"/>
    <hyperlink r:id="rId5515" ref="O5515"/>
    <hyperlink r:id="rId5516" ref="O5516"/>
    <hyperlink r:id="rId5517" ref="O5517"/>
    <hyperlink r:id="rId5518" ref="O5518"/>
    <hyperlink r:id="rId5519" ref="O5519"/>
    <hyperlink r:id="rId5520" ref="O5520"/>
    <hyperlink r:id="rId5521" ref="O5521"/>
    <hyperlink r:id="rId5522" ref="O5522"/>
    <hyperlink r:id="rId5523" ref="O5523"/>
    <hyperlink r:id="rId5524" ref="O5524"/>
    <hyperlink r:id="rId5525" ref="O5525"/>
    <hyperlink r:id="rId5526" ref="O5526"/>
    <hyperlink r:id="rId5527" ref="O5527"/>
    <hyperlink r:id="rId5528" ref="O5528"/>
    <hyperlink r:id="rId5529" ref="O5529"/>
    <hyperlink r:id="rId5530" ref="O5530"/>
    <hyperlink r:id="rId5531" ref="O5531"/>
    <hyperlink r:id="rId5532" ref="O5532"/>
    <hyperlink r:id="rId5533" ref="O5533"/>
    <hyperlink r:id="rId5534" ref="O5534"/>
    <hyperlink r:id="rId5535" ref="O5535"/>
    <hyperlink r:id="rId5536" ref="O5536"/>
    <hyperlink r:id="rId5537" ref="O5537"/>
    <hyperlink r:id="rId5538" ref="O5538"/>
    <hyperlink r:id="rId5539" ref="O5539"/>
    <hyperlink r:id="rId5540" ref="O5540"/>
    <hyperlink r:id="rId5541" ref="O5541"/>
    <hyperlink r:id="rId5542" ref="O5542"/>
    <hyperlink r:id="rId5543" ref="O5543"/>
    <hyperlink r:id="rId5544" ref="O5544"/>
    <hyperlink r:id="rId5545" ref="O5545"/>
    <hyperlink r:id="rId5546" ref="O5546"/>
    <hyperlink r:id="rId5547" ref="O5547"/>
    <hyperlink r:id="rId5548" ref="O5548"/>
    <hyperlink r:id="rId5549" ref="O5549"/>
    <hyperlink r:id="rId5550" ref="O5550"/>
    <hyperlink r:id="rId5551" ref="O5551"/>
    <hyperlink r:id="rId5552" ref="O5552"/>
    <hyperlink r:id="rId5553" ref="O5553"/>
    <hyperlink r:id="rId5554" ref="O5554"/>
    <hyperlink r:id="rId5555" ref="O5555"/>
    <hyperlink r:id="rId5556" ref="O5556"/>
    <hyperlink r:id="rId5557" ref="O5557"/>
    <hyperlink r:id="rId5558" ref="O5558"/>
    <hyperlink r:id="rId5559" ref="O5559"/>
    <hyperlink r:id="rId5560" ref="O5560"/>
    <hyperlink r:id="rId5561" ref="O5561"/>
    <hyperlink r:id="rId5562" ref="O5562"/>
    <hyperlink r:id="rId5563" ref="O5563"/>
    <hyperlink r:id="rId5564" ref="O5564"/>
    <hyperlink r:id="rId5565" ref="O5565"/>
    <hyperlink r:id="rId5566" ref="O5566"/>
    <hyperlink r:id="rId5567" ref="O5567"/>
    <hyperlink r:id="rId5568" ref="O5568"/>
    <hyperlink r:id="rId5569" ref="O5569"/>
    <hyperlink r:id="rId5570" ref="O5570"/>
    <hyperlink r:id="rId5571" ref="O5571"/>
    <hyperlink r:id="rId5572" ref="O5572"/>
    <hyperlink r:id="rId5573" ref="O5573"/>
    <hyperlink r:id="rId5574" ref="O5574"/>
    <hyperlink r:id="rId5575" ref="O5575"/>
    <hyperlink r:id="rId5576" ref="O5576"/>
    <hyperlink r:id="rId5577" ref="O5577"/>
    <hyperlink r:id="rId5578" ref="O5578"/>
    <hyperlink r:id="rId5579" ref="O5579"/>
    <hyperlink r:id="rId5580" ref="O5580"/>
    <hyperlink r:id="rId5581" ref="O5581"/>
    <hyperlink r:id="rId5582" ref="O5582"/>
    <hyperlink r:id="rId5583" ref="O5583"/>
    <hyperlink r:id="rId5584" ref="O5584"/>
    <hyperlink r:id="rId5585" ref="O5585"/>
    <hyperlink r:id="rId5586" ref="O5586"/>
    <hyperlink r:id="rId5587" ref="O5587"/>
    <hyperlink r:id="rId5588" ref="O5588"/>
    <hyperlink r:id="rId5589" ref="O5589"/>
    <hyperlink r:id="rId5590" ref="O5590"/>
    <hyperlink r:id="rId5591" ref="O5591"/>
    <hyperlink r:id="rId5592" ref="O5592"/>
    <hyperlink r:id="rId5593" ref="O5593"/>
    <hyperlink r:id="rId5594" ref="O5594"/>
    <hyperlink r:id="rId5595" ref="O5595"/>
    <hyperlink r:id="rId5596" ref="O5596"/>
    <hyperlink r:id="rId5597" ref="O5597"/>
    <hyperlink r:id="rId5598" ref="O5598"/>
    <hyperlink r:id="rId5599" ref="O5599"/>
    <hyperlink r:id="rId5600" ref="O5600"/>
    <hyperlink r:id="rId5601" ref="O5601"/>
    <hyperlink r:id="rId5602" ref="O5602"/>
    <hyperlink r:id="rId5603" ref="O5603"/>
    <hyperlink r:id="rId5604" ref="O5604"/>
    <hyperlink r:id="rId5605" ref="O5605"/>
    <hyperlink r:id="rId5606" ref="O5606"/>
    <hyperlink r:id="rId5607" ref="O5607"/>
    <hyperlink r:id="rId5608" ref="O5608"/>
    <hyperlink r:id="rId5609" ref="O5609"/>
    <hyperlink r:id="rId5610" ref="O5610"/>
    <hyperlink r:id="rId5611" ref="O5611"/>
    <hyperlink r:id="rId5612" ref="O5612"/>
    <hyperlink r:id="rId5613" ref="O5613"/>
    <hyperlink r:id="rId5614" ref="O5614"/>
    <hyperlink r:id="rId5615" ref="O5615"/>
    <hyperlink r:id="rId5616" ref="O5616"/>
    <hyperlink r:id="rId5617" ref="O5617"/>
    <hyperlink r:id="rId5618" ref="O5618"/>
    <hyperlink r:id="rId5619" ref="O5619"/>
    <hyperlink r:id="rId5620" ref="O5620"/>
    <hyperlink r:id="rId5621" ref="O5621"/>
    <hyperlink r:id="rId5622" ref="O5622"/>
    <hyperlink r:id="rId5623" ref="O5623"/>
    <hyperlink r:id="rId5624" ref="O5624"/>
    <hyperlink r:id="rId5625" ref="O5625"/>
    <hyperlink r:id="rId5626" ref="O5626"/>
    <hyperlink r:id="rId5627" ref="O5627"/>
    <hyperlink r:id="rId5628" ref="O5628"/>
    <hyperlink r:id="rId5629" ref="O5629"/>
    <hyperlink r:id="rId5630" ref="O5630"/>
    <hyperlink r:id="rId5631" ref="O5631"/>
    <hyperlink r:id="rId5632" ref="O5632"/>
    <hyperlink r:id="rId5633" ref="O5633"/>
    <hyperlink r:id="rId5634" ref="O5634"/>
    <hyperlink r:id="rId5635" ref="O5635"/>
    <hyperlink r:id="rId5636" ref="O5636"/>
    <hyperlink r:id="rId5637" ref="O5637"/>
    <hyperlink r:id="rId5638" ref="O5638"/>
    <hyperlink r:id="rId5639" ref="O5639"/>
    <hyperlink r:id="rId5640" ref="O5640"/>
    <hyperlink r:id="rId5641" ref="O5641"/>
    <hyperlink r:id="rId5642" ref="O5642"/>
    <hyperlink r:id="rId5643" ref="O5643"/>
    <hyperlink r:id="rId5644" ref="O5644"/>
    <hyperlink r:id="rId5645" ref="O5645"/>
    <hyperlink r:id="rId5646" ref="O5646"/>
    <hyperlink r:id="rId5647" ref="O5647"/>
    <hyperlink r:id="rId5648" ref="O5648"/>
    <hyperlink r:id="rId5649" ref="O5649"/>
    <hyperlink r:id="rId5650" ref="O5650"/>
    <hyperlink r:id="rId5651" ref="O5651"/>
    <hyperlink r:id="rId5652" ref="O5652"/>
    <hyperlink r:id="rId5653" ref="O5653"/>
    <hyperlink r:id="rId5654" ref="O5654"/>
    <hyperlink r:id="rId5655" ref="O5655"/>
    <hyperlink r:id="rId5656" ref="O5656"/>
    <hyperlink r:id="rId5657" ref="O5657"/>
    <hyperlink r:id="rId5658" ref="O5658"/>
    <hyperlink r:id="rId5659" ref="O5659"/>
    <hyperlink r:id="rId5660" ref="O5660"/>
    <hyperlink r:id="rId5661" ref="O5661"/>
    <hyperlink r:id="rId5662" ref="O5662"/>
    <hyperlink r:id="rId5663" ref="O5663"/>
    <hyperlink r:id="rId5664" ref="O5664"/>
    <hyperlink r:id="rId5665" ref="O5665"/>
    <hyperlink r:id="rId5666" ref="O5666"/>
    <hyperlink r:id="rId5667" ref="O5667"/>
    <hyperlink r:id="rId5668" ref="O5668"/>
    <hyperlink r:id="rId5669" ref="O5669"/>
    <hyperlink r:id="rId5670" ref="O5670"/>
    <hyperlink r:id="rId5671" ref="O5671"/>
    <hyperlink r:id="rId5672" ref="O5672"/>
    <hyperlink r:id="rId5673" ref="O5673"/>
    <hyperlink r:id="rId5674" ref="O5674"/>
    <hyperlink r:id="rId5675" ref="O5675"/>
    <hyperlink r:id="rId5676" ref="O5676"/>
    <hyperlink r:id="rId5677" ref="O5677"/>
    <hyperlink r:id="rId5678" ref="O5678"/>
    <hyperlink r:id="rId5679" ref="O5679"/>
    <hyperlink r:id="rId5680" ref="O5680"/>
    <hyperlink r:id="rId5681" ref="O5681"/>
    <hyperlink r:id="rId5682" ref="O5682"/>
    <hyperlink r:id="rId5683" ref="O5683"/>
    <hyperlink r:id="rId5684" ref="O5684"/>
    <hyperlink r:id="rId5685" ref="O5685"/>
    <hyperlink r:id="rId5686" ref="O5686"/>
    <hyperlink r:id="rId5687" ref="O5687"/>
    <hyperlink r:id="rId5688" ref="O5688"/>
    <hyperlink r:id="rId5689" ref="O5689"/>
    <hyperlink r:id="rId5690" ref="O5690"/>
    <hyperlink r:id="rId5691" ref="O5691"/>
    <hyperlink r:id="rId5692" ref="O5692"/>
    <hyperlink r:id="rId5693" ref="O5693"/>
    <hyperlink r:id="rId5694" ref="O5694"/>
    <hyperlink r:id="rId5695" ref="O5695"/>
    <hyperlink r:id="rId5696" ref="O5696"/>
    <hyperlink r:id="rId5697" ref="O5697"/>
    <hyperlink r:id="rId5698" ref="O5698"/>
    <hyperlink r:id="rId5699" ref="O5699"/>
    <hyperlink r:id="rId5700" ref="O5700"/>
    <hyperlink r:id="rId5701" ref="O5701"/>
    <hyperlink r:id="rId5702" ref="O5702"/>
    <hyperlink r:id="rId5703" ref="O5703"/>
    <hyperlink r:id="rId5704" ref="O5704"/>
    <hyperlink r:id="rId5705" ref="O5705"/>
    <hyperlink r:id="rId5706" ref="O5706"/>
    <hyperlink r:id="rId5707" ref="O5707"/>
    <hyperlink r:id="rId5708" ref="O5708"/>
    <hyperlink r:id="rId5709" ref="O5709"/>
    <hyperlink r:id="rId5710" ref="O5710"/>
    <hyperlink r:id="rId5711" ref="O5711"/>
    <hyperlink r:id="rId5712" ref="O5712"/>
    <hyperlink r:id="rId5713" ref="O5713"/>
    <hyperlink r:id="rId5714" ref="O5714"/>
    <hyperlink r:id="rId5715" ref="O5715"/>
    <hyperlink r:id="rId5716" ref="O5716"/>
    <hyperlink r:id="rId5717" ref="O5717"/>
    <hyperlink r:id="rId5718" ref="O5718"/>
    <hyperlink r:id="rId5719" ref="O5719"/>
    <hyperlink r:id="rId5720" ref="O5720"/>
    <hyperlink r:id="rId5721" ref="O5721"/>
    <hyperlink r:id="rId5722" ref="O5722"/>
    <hyperlink r:id="rId5723" ref="O5723"/>
    <hyperlink r:id="rId5724" ref="O5724"/>
    <hyperlink r:id="rId5725" ref="O5725"/>
    <hyperlink r:id="rId5726" ref="O5726"/>
    <hyperlink r:id="rId5727" ref="O5727"/>
    <hyperlink r:id="rId5728" ref="O5728"/>
    <hyperlink r:id="rId5729" ref="O5729"/>
    <hyperlink r:id="rId5730" ref="O5730"/>
    <hyperlink r:id="rId5731" ref="O5731"/>
    <hyperlink r:id="rId5732" ref="O5732"/>
    <hyperlink r:id="rId5733" ref="O5733"/>
    <hyperlink r:id="rId5734" ref="O5734"/>
    <hyperlink r:id="rId5735" ref="O5735"/>
    <hyperlink r:id="rId5736" ref="O5736"/>
    <hyperlink r:id="rId5737" ref="O5737"/>
    <hyperlink r:id="rId5738" ref="O5738"/>
    <hyperlink r:id="rId5739" ref="O5739"/>
    <hyperlink r:id="rId5740" ref="O5740"/>
    <hyperlink r:id="rId5741" ref="O5741"/>
    <hyperlink r:id="rId5742" ref="O5742"/>
    <hyperlink r:id="rId5743" ref="O5743"/>
    <hyperlink r:id="rId5744" ref="O5744"/>
    <hyperlink r:id="rId5745" ref="O5745"/>
    <hyperlink r:id="rId5746" ref="O5746"/>
    <hyperlink r:id="rId5747" ref="O5747"/>
    <hyperlink r:id="rId5748" ref="O5748"/>
    <hyperlink r:id="rId5749" ref="O5749"/>
    <hyperlink r:id="rId5750" ref="O5750"/>
    <hyperlink r:id="rId5751" ref="O5751"/>
    <hyperlink r:id="rId5752" ref="O5752"/>
    <hyperlink r:id="rId5753" ref="O5753"/>
    <hyperlink r:id="rId5754" ref="O5754"/>
    <hyperlink r:id="rId5755" ref="O5755"/>
    <hyperlink r:id="rId5756" ref="O5756"/>
    <hyperlink r:id="rId5757" ref="O5757"/>
    <hyperlink r:id="rId5758" ref="O5758"/>
    <hyperlink r:id="rId5759" ref="O5759"/>
    <hyperlink r:id="rId5760" ref="O5760"/>
    <hyperlink r:id="rId5761" ref="O5761"/>
    <hyperlink r:id="rId5762" ref="O5762"/>
    <hyperlink r:id="rId5763" ref="O5763"/>
    <hyperlink r:id="rId5764" ref="O5764"/>
    <hyperlink r:id="rId5765" ref="O5765"/>
    <hyperlink r:id="rId5766" ref="O5766"/>
    <hyperlink r:id="rId5767" ref="O5767"/>
    <hyperlink r:id="rId5768" ref="O5768"/>
    <hyperlink r:id="rId5769" ref="O5769"/>
    <hyperlink r:id="rId5770" ref="O5770"/>
    <hyperlink r:id="rId5771" ref="O5771"/>
    <hyperlink r:id="rId5772" ref="O5772"/>
    <hyperlink r:id="rId5773" ref="O5773"/>
    <hyperlink r:id="rId5774" ref="O5774"/>
    <hyperlink r:id="rId5775" ref="O5775"/>
    <hyperlink r:id="rId5776" ref="O5776"/>
    <hyperlink r:id="rId5777" ref="O5777"/>
    <hyperlink r:id="rId5778" ref="O5778"/>
    <hyperlink r:id="rId5779" ref="O5779"/>
    <hyperlink r:id="rId5780" ref="O5780"/>
    <hyperlink r:id="rId5781" ref="O5781"/>
    <hyperlink r:id="rId5782" ref="O5782"/>
    <hyperlink r:id="rId5783" ref="O5783"/>
    <hyperlink r:id="rId5784" ref="O5784"/>
    <hyperlink r:id="rId5785" ref="O5785"/>
    <hyperlink r:id="rId5786" ref="O5786"/>
    <hyperlink r:id="rId5787" ref="O5787"/>
    <hyperlink r:id="rId5788" ref="O5788"/>
    <hyperlink r:id="rId5789" ref="O5789"/>
    <hyperlink r:id="rId5790" ref="O5790"/>
    <hyperlink r:id="rId5791" ref="O5791"/>
    <hyperlink r:id="rId5792" ref="O5792"/>
    <hyperlink r:id="rId5793" ref="O5793"/>
    <hyperlink r:id="rId5794" ref="O5794"/>
    <hyperlink r:id="rId5795" ref="O5795"/>
    <hyperlink r:id="rId5796" ref="O5796"/>
    <hyperlink r:id="rId5797" ref="O5797"/>
    <hyperlink r:id="rId5798" ref="O5798"/>
    <hyperlink r:id="rId5799" ref="O5799"/>
    <hyperlink r:id="rId5800" ref="O5800"/>
    <hyperlink r:id="rId5801" ref="O5801"/>
    <hyperlink r:id="rId5802" ref="O5802"/>
    <hyperlink r:id="rId5803" ref="O5803"/>
    <hyperlink r:id="rId5804" ref="O5804"/>
    <hyperlink r:id="rId5805" ref="O5805"/>
    <hyperlink r:id="rId5806" ref="O5806"/>
    <hyperlink r:id="rId5807" ref="O5807"/>
    <hyperlink r:id="rId5808" ref="O5808"/>
    <hyperlink r:id="rId5809" ref="O5809"/>
    <hyperlink r:id="rId5810" ref="O5810"/>
    <hyperlink r:id="rId5811" ref="O5811"/>
    <hyperlink r:id="rId5812" ref="O5812"/>
    <hyperlink r:id="rId5813" ref="O5813"/>
    <hyperlink r:id="rId5814" ref="O5814"/>
    <hyperlink r:id="rId5815" ref="O5815"/>
    <hyperlink r:id="rId5816" ref="O5816"/>
    <hyperlink r:id="rId5817" ref="O5817"/>
    <hyperlink r:id="rId5818" ref="O5818"/>
    <hyperlink r:id="rId5819" ref="O5819"/>
    <hyperlink r:id="rId5820" ref="O5820"/>
    <hyperlink r:id="rId5821" ref="O5821"/>
    <hyperlink r:id="rId5822" ref="O5822"/>
    <hyperlink r:id="rId5823" ref="O5823"/>
    <hyperlink r:id="rId5824" ref="O5824"/>
    <hyperlink r:id="rId5825" ref="O5825"/>
    <hyperlink r:id="rId5826" ref="O5826"/>
    <hyperlink r:id="rId5827" ref="O5827"/>
    <hyperlink r:id="rId5828" ref="O5828"/>
    <hyperlink r:id="rId5829" ref="O5829"/>
    <hyperlink r:id="rId5830" ref="O5830"/>
    <hyperlink r:id="rId5831" ref="O5831"/>
    <hyperlink r:id="rId5832" ref="O5832"/>
    <hyperlink r:id="rId5833" ref="O5833"/>
    <hyperlink r:id="rId5834" ref="O5834"/>
    <hyperlink r:id="rId5835" ref="O5835"/>
    <hyperlink r:id="rId5836" ref="O5836"/>
    <hyperlink r:id="rId5837" ref="O5837"/>
    <hyperlink r:id="rId5838" ref="O5838"/>
    <hyperlink r:id="rId5839" ref="O5839"/>
    <hyperlink r:id="rId5840" ref="O5840"/>
    <hyperlink r:id="rId5841" ref="O5841"/>
    <hyperlink r:id="rId5842" ref="O5842"/>
    <hyperlink r:id="rId5843" ref="O5843"/>
    <hyperlink r:id="rId5844" ref="O5844"/>
    <hyperlink r:id="rId5845" ref="O5845"/>
    <hyperlink r:id="rId5846" ref="O5846"/>
    <hyperlink r:id="rId5847" ref="O5847"/>
    <hyperlink r:id="rId5848" ref="O5848"/>
    <hyperlink r:id="rId5849" ref="O5849"/>
    <hyperlink r:id="rId5850" ref="O5850"/>
    <hyperlink r:id="rId5851" ref="O5851"/>
    <hyperlink r:id="rId5852" ref="O5852"/>
    <hyperlink r:id="rId5853" ref="O5853"/>
    <hyperlink r:id="rId5854" ref="O5854"/>
    <hyperlink r:id="rId5855" ref="O5855"/>
    <hyperlink r:id="rId5856" ref="O5856"/>
    <hyperlink r:id="rId5857" ref="O5857"/>
    <hyperlink r:id="rId5858" ref="O5858"/>
    <hyperlink r:id="rId5859" ref="O5859"/>
    <hyperlink r:id="rId5860" ref="O5860"/>
    <hyperlink r:id="rId5861" ref="O5861"/>
    <hyperlink r:id="rId5862" ref="O5862"/>
    <hyperlink r:id="rId5863" ref="O5863"/>
    <hyperlink r:id="rId5864" ref="O5864"/>
    <hyperlink r:id="rId5865" ref="O5865"/>
    <hyperlink r:id="rId5866" ref="O5866"/>
    <hyperlink r:id="rId5867" ref="O5867"/>
    <hyperlink r:id="rId5868" ref="O5868"/>
    <hyperlink r:id="rId5869" ref="O5869"/>
    <hyperlink r:id="rId5870" ref="O5870"/>
    <hyperlink r:id="rId5871" ref="O5871"/>
    <hyperlink r:id="rId5872" ref="O5872"/>
    <hyperlink r:id="rId5873" ref="O5873"/>
    <hyperlink r:id="rId5874" ref="O5874"/>
    <hyperlink r:id="rId5875" ref="O5875"/>
    <hyperlink r:id="rId5876" ref="O5876"/>
    <hyperlink r:id="rId5877" ref="O5877"/>
    <hyperlink r:id="rId5878" ref="O5878"/>
    <hyperlink r:id="rId5879" ref="O5879"/>
    <hyperlink r:id="rId5880" ref="O5880"/>
    <hyperlink r:id="rId5881" ref="O5881"/>
    <hyperlink r:id="rId5882" ref="O5882"/>
    <hyperlink r:id="rId5883" ref="O5883"/>
    <hyperlink r:id="rId5884" ref="O5884"/>
    <hyperlink r:id="rId5885" ref="O5885"/>
    <hyperlink r:id="rId5886" ref="O5886"/>
    <hyperlink r:id="rId5887" ref="O5887"/>
    <hyperlink r:id="rId5888" ref="O5888"/>
    <hyperlink r:id="rId5889" ref="O5889"/>
    <hyperlink r:id="rId5890" ref="O5890"/>
    <hyperlink r:id="rId5891" ref="O5891"/>
    <hyperlink r:id="rId5892" ref="O5892"/>
    <hyperlink r:id="rId5893" ref="O5893"/>
    <hyperlink r:id="rId5894" ref="O5894"/>
    <hyperlink r:id="rId5895" ref="O5895"/>
    <hyperlink r:id="rId5896" ref="O5896"/>
    <hyperlink r:id="rId5897" ref="O5897"/>
    <hyperlink r:id="rId5898" ref="O5898"/>
    <hyperlink r:id="rId5899" ref="O5899"/>
    <hyperlink r:id="rId5900" ref="O5900"/>
    <hyperlink r:id="rId5901" ref="O5901"/>
    <hyperlink r:id="rId5902" ref="O5902"/>
  </hyperlinks>
  <drawing r:id="rId5903"/>
  <legacyDrawing r:id="rId590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24.38"/>
    <col customWidth="1" min="3" max="3" width="63.38"/>
    <col customWidth="1" min="4" max="4" width="25.75"/>
  </cols>
  <sheetData>
    <row r="1">
      <c r="A1" s="88"/>
      <c r="B1" s="89"/>
      <c r="C1" s="89"/>
      <c r="D1" s="89"/>
      <c r="E1" s="89"/>
      <c r="F1" s="89"/>
      <c r="G1" s="89"/>
      <c r="H1" s="89"/>
      <c r="I1" s="89"/>
      <c r="J1" s="89"/>
      <c r="K1" s="89"/>
      <c r="L1" s="89"/>
      <c r="M1" s="89"/>
      <c r="N1" s="89"/>
      <c r="O1" s="89"/>
      <c r="P1" s="89"/>
      <c r="Q1" s="89"/>
      <c r="R1" s="89"/>
      <c r="S1" s="89"/>
      <c r="T1" s="89"/>
      <c r="U1" s="89"/>
      <c r="V1" s="89"/>
      <c r="W1" s="89"/>
      <c r="X1" s="89"/>
      <c r="Y1" s="89"/>
      <c r="Z1" s="89"/>
    </row>
    <row r="2">
      <c r="A2" s="90" t="s">
        <v>606</v>
      </c>
      <c r="B2" s="90" t="s">
        <v>593</v>
      </c>
      <c r="C2" s="90" t="s">
        <v>607</v>
      </c>
      <c r="D2" s="90" t="s">
        <v>608</v>
      </c>
      <c r="E2" s="89"/>
      <c r="F2" s="89"/>
      <c r="G2" s="89"/>
      <c r="H2" s="89"/>
      <c r="I2" s="89"/>
      <c r="J2" s="89"/>
      <c r="K2" s="89"/>
      <c r="L2" s="89"/>
      <c r="M2" s="89"/>
      <c r="N2" s="89"/>
      <c r="O2" s="89"/>
      <c r="P2" s="89"/>
      <c r="Q2" s="89"/>
      <c r="R2" s="89"/>
      <c r="S2" s="89"/>
      <c r="T2" s="89"/>
      <c r="U2" s="89"/>
      <c r="V2" s="89"/>
      <c r="W2" s="89"/>
      <c r="X2" s="89"/>
      <c r="Y2" s="89"/>
      <c r="Z2" s="89"/>
    </row>
    <row r="3">
      <c r="A3" s="91">
        <v>1.0</v>
      </c>
      <c r="B3" s="92" t="s">
        <v>609</v>
      </c>
      <c r="C3" s="92" t="s">
        <v>610</v>
      </c>
      <c r="D3" s="92" t="s">
        <v>611</v>
      </c>
      <c r="E3" s="89"/>
      <c r="F3" s="89"/>
      <c r="G3" s="89"/>
      <c r="H3" s="89"/>
      <c r="I3" s="89"/>
      <c r="J3" s="89"/>
      <c r="K3" s="89"/>
      <c r="L3" s="89"/>
      <c r="M3" s="89"/>
      <c r="N3" s="89"/>
      <c r="O3" s="89"/>
      <c r="P3" s="89"/>
      <c r="Q3" s="89"/>
      <c r="R3" s="89"/>
      <c r="S3" s="89"/>
      <c r="T3" s="89"/>
      <c r="U3" s="89"/>
      <c r="V3" s="89"/>
      <c r="W3" s="89"/>
      <c r="X3" s="89"/>
      <c r="Y3" s="89"/>
      <c r="Z3" s="89"/>
    </row>
    <row r="4">
      <c r="A4" s="91">
        <v>2.0</v>
      </c>
      <c r="B4" s="92" t="s">
        <v>612</v>
      </c>
      <c r="C4" s="92" t="s">
        <v>613</v>
      </c>
      <c r="D4" s="92" t="s">
        <v>614</v>
      </c>
      <c r="E4" s="89"/>
      <c r="F4" s="89"/>
      <c r="G4" s="89"/>
      <c r="H4" s="89"/>
      <c r="I4" s="89"/>
      <c r="J4" s="89"/>
      <c r="K4" s="89"/>
      <c r="L4" s="89"/>
      <c r="M4" s="89"/>
      <c r="N4" s="89"/>
      <c r="O4" s="89"/>
      <c r="P4" s="89"/>
      <c r="Q4" s="89"/>
      <c r="R4" s="89"/>
      <c r="S4" s="89"/>
      <c r="T4" s="89"/>
      <c r="U4" s="89"/>
      <c r="V4" s="89"/>
      <c r="W4" s="89"/>
      <c r="X4" s="89"/>
      <c r="Y4" s="89"/>
      <c r="Z4" s="89"/>
    </row>
    <row r="5">
      <c r="A5" s="91">
        <v>3.0</v>
      </c>
      <c r="B5" s="92" t="s">
        <v>615</v>
      </c>
      <c r="C5" s="89"/>
      <c r="D5" s="89"/>
      <c r="E5" s="89"/>
      <c r="F5" s="89"/>
      <c r="G5" s="89"/>
      <c r="H5" s="89"/>
      <c r="I5" s="89"/>
      <c r="J5" s="89"/>
      <c r="K5" s="89"/>
      <c r="L5" s="89"/>
      <c r="M5" s="89"/>
      <c r="N5" s="89"/>
      <c r="O5" s="89"/>
      <c r="P5" s="89"/>
      <c r="Q5" s="89"/>
      <c r="R5" s="89"/>
      <c r="S5" s="89"/>
      <c r="T5" s="89"/>
      <c r="U5" s="89"/>
      <c r="V5" s="89"/>
      <c r="W5" s="89"/>
      <c r="X5" s="89"/>
      <c r="Y5" s="89"/>
      <c r="Z5" s="89"/>
    </row>
    <row r="6">
      <c r="A6" s="91">
        <v>4.0</v>
      </c>
      <c r="B6" s="92" t="s">
        <v>351</v>
      </c>
      <c r="C6" s="93" t="s">
        <v>616</v>
      </c>
      <c r="D6" s="89"/>
      <c r="E6" s="89"/>
      <c r="F6" s="89"/>
      <c r="G6" s="89"/>
      <c r="H6" s="89"/>
      <c r="I6" s="89"/>
      <c r="J6" s="89"/>
      <c r="K6" s="89"/>
      <c r="L6" s="89"/>
      <c r="M6" s="89"/>
      <c r="N6" s="89"/>
      <c r="O6" s="89"/>
      <c r="P6" s="89"/>
      <c r="Q6" s="89"/>
      <c r="R6" s="89"/>
      <c r="S6" s="89"/>
      <c r="T6" s="89"/>
      <c r="U6" s="89"/>
      <c r="V6" s="89"/>
      <c r="W6" s="89"/>
      <c r="X6" s="89"/>
      <c r="Y6" s="89"/>
      <c r="Z6" s="89"/>
    </row>
    <row r="7">
      <c r="A7" s="88"/>
      <c r="B7" s="89"/>
      <c r="C7" s="89"/>
      <c r="D7" s="89"/>
      <c r="E7" s="89"/>
      <c r="F7" s="89"/>
      <c r="G7" s="89"/>
      <c r="H7" s="89"/>
      <c r="I7" s="89"/>
      <c r="J7" s="89"/>
      <c r="K7" s="89"/>
      <c r="L7" s="89"/>
      <c r="M7" s="89"/>
      <c r="N7" s="89"/>
      <c r="O7" s="89"/>
      <c r="P7" s="89"/>
      <c r="Q7" s="89"/>
      <c r="R7" s="89"/>
      <c r="S7" s="89"/>
      <c r="T7" s="89"/>
      <c r="U7" s="89"/>
      <c r="V7" s="89"/>
      <c r="W7" s="89"/>
      <c r="X7" s="89"/>
      <c r="Y7" s="89"/>
      <c r="Z7" s="89"/>
    </row>
    <row r="8">
      <c r="A8" s="88"/>
      <c r="B8" s="89"/>
      <c r="C8" s="89"/>
      <c r="D8" s="89"/>
      <c r="E8" s="89"/>
      <c r="F8" s="89"/>
      <c r="G8" s="89"/>
      <c r="H8" s="89"/>
      <c r="I8" s="89"/>
      <c r="J8" s="89"/>
      <c r="K8" s="89"/>
      <c r="L8" s="89"/>
      <c r="M8" s="89"/>
      <c r="N8" s="89"/>
      <c r="O8" s="89"/>
      <c r="P8" s="89"/>
      <c r="Q8" s="89"/>
      <c r="R8" s="89"/>
      <c r="S8" s="89"/>
      <c r="T8" s="89"/>
      <c r="U8" s="89"/>
      <c r="V8" s="89"/>
      <c r="W8" s="89"/>
      <c r="X8" s="89"/>
      <c r="Y8" s="89"/>
      <c r="Z8" s="89"/>
    </row>
    <row r="9">
      <c r="A9" s="88"/>
      <c r="B9" s="89"/>
      <c r="C9" s="89"/>
      <c r="D9" s="89"/>
      <c r="E9" s="89"/>
      <c r="F9" s="89"/>
      <c r="G9" s="89"/>
      <c r="H9" s="89"/>
      <c r="I9" s="89"/>
      <c r="J9" s="89"/>
      <c r="K9" s="89"/>
      <c r="L9" s="89"/>
      <c r="M9" s="89"/>
      <c r="N9" s="89"/>
      <c r="O9" s="89"/>
      <c r="P9" s="89"/>
      <c r="Q9" s="89"/>
      <c r="R9" s="89"/>
      <c r="S9" s="89"/>
      <c r="T9" s="89"/>
      <c r="U9" s="89"/>
      <c r="V9" s="89"/>
      <c r="W9" s="89"/>
      <c r="X9" s="89"/>
      <c r="Y9" s="89"/>
      <c r="Z9" s="89"/>
    </row>
    <row r="10">
      <c r="A10" s="88"/>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c r="A11" s="88"/>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row r="12">
      <c r="A12" s="88"/>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c r="A13" s="88"/>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c r="A14" s="88"/>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c r="A15" s="88"/>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c r="A16" s="88"/>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c r="A18" s="88"/>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c r="A19" s="88"/>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c r="A20" s="88"/>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c r="A21" s="88"/>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c r="A22" s="88"/>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c r="A23" s="88"/>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c r="A24" s="88"/>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c r="A25" s="88"/>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c r="A26" s="88"/>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c r="A27" s="88"/>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c r="A28" s="88"/>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c r="A29" s="88"/>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c r="A30" s="88"/>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c r="A31" s="88"/>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c r="A32" s="88"/>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c r="A33" s="88"/>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c r="A34" s="88"/>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c r="A35" s="88"/>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c r="A36" s="88"/>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c r="A37" s="88"/>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c r="A38" s="88"/>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c r="A39" s="88"/>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c r="A40" s="88"/>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c r="A41" s="88"/>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c r="A42" s="88"/>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c r="A43" s="88"/>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c r="A44" s="88"/>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c r="A45" s="88"/>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c r="A46" s="88"/>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c r="A47" s="88"/>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c r="A48" s="88"/>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c r="A49" s="88"/>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c r="A50" s="88"/>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c r="A51" s="88"/>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c r="A52" s="88"/>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c r="A53" s="88"/>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c r="A54" s="88"/>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c r="A55" s="88"/>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c r="A56" s="88"/>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c r="A57" s="88"/>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c r="A58" s="88"/>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c r="A59" s="88"/>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c r="A60" s="88"/>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c r="A61" s="88"/>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c r="A62" s="88"/>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c r="A63" s="88"/>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c r="A64" s="88"/>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c r="A65" s="88"/>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c r="A66" s="88"/>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c r="A67" s="88"/>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c r="A68" s="88"/>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c r="A69" s="88"/>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c r="A70" s="88"/>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c r="A71" s="88"/>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c r="A72" s="88"/>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c r="A73" s="88"/>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c r="A74" s="88"/>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c r="A75" s="88"/>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c r="A76" s="88"/>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c r="A77" s="88"/>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c r="A78" s="88"/>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c r="A79" s="88"/>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c r="A80" s="88"/>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c r="A81" s="88"/>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c r="A82" s="88"/>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c r="A83" s="88"/>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c r="A84" s="88"/>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c r="A85" s="88"/>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c r="A86" s="88"/>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c r="A87" s="88"/>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c r="A88" s="88"/>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c r="A89" s="88"/>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c r="A90" s="88"/>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c r="A91" s="88"/>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c r="A92" s="88"/>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c r="A93" s="88"/>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c r="A94" s="88"/>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c r="A95" s="88"/>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c r="A96" s="88"/>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c r="A97" s="88"/>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c r="A98" s="88"/>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c r="A99" s="88"/>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c r="A100" s="88"/>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c r="A101" s="88"/>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c r="A102" s="88"/>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c r="A103" s="88"/>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c r="A104" s="88"/>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c r="A105" s="88"/>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c r="A106" s="88"/>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c r="A107" s="88"/>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c r="A108" s="88"/>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c r="A109" s="88"/>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c r="A110" s="88"/>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c r="A111" s="88"/>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c r="A112" s="88"/>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c r="A113" s="88"/>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c r="A114" s="88"/>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c r="A115" s="88"/>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c r="A116" s="88"/>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c r="A117" s="88"/>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c r="A118" s="88"/>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c r="A119" s="88"/>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c r="A120" s="88"/>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c r="A121" s="88"/>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c r="A122" s="88"/>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c r="A123" s="88"/>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c r="A124" s="88"/>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c r="A125" s="88"/>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c r="A126" s="88"/>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c r="A127" s="88"/>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c r="A128" s="88"/>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c r="A129" s="88"/>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c r="A130" s="88"/>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c r="A131" s="88"/>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c r="A132" s="88"/>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c r="A133" s="88"/>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c r="A134" s="88"/>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c r="A135" s="88"/>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c r="A136" s="88"/>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c r="A137" s="88"/>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c r="A138" s="88"/>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c r="A139" s="88"/>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c r="A140" s="88"/>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c r="A141" s="88"/>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c r="A142" s="88"/>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c r="A143" s="88"/>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c r="A144" s="88"/>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c r="A145" s="88"/>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c r="A146" s="88"/>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c r="A147" s="88"/>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c r="A148" s="88"/>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c r="A149" s="88"/>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c r="A150" s="88"/>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c r="A151" s="88"/>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c r="A152" s="88"/>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c r="A153" s="88"/>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c r="A154" s="88"/>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c r="A155" s="88"/>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c r="A156" s="88"/>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c r="A157" s="88"/>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c r="A158" s="88"/>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c r="A159" s="88"/>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c r="A160" s="88"/>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c r="A161" s="88"/>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c r="A162" s="88"/>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c r="A163" s="88"/>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c r="A164" s="88"/>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c r="A165" s="88"/>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c r="A166" s="88"/>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c r="A167" s="88"/>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c r="A168" s="88"/>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c r="A169" s="88"/>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c r="A170" s="88"/>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c r="A171" s="88"/>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c r="A172" s="88"/>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c r="A173" s="88"/>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c r="A174" s="88"/>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c r="A175" s="88"/>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c r="A176" s="88"/>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c r="A177" s="88"/>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c r="A178" s="88"/>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c r="A179" s="88"/>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c r="A180" s="88"/>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c r="A181" s="88"/>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c r="A182" s="88"/>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c r="A183" s="88"/>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c r="A184" s="88"/>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c r="A185" s="88"/>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c r="A186" s="88"/>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c r="A187" s="88"/>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c r="A188" s="88"/>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c r="A189" s="88"/>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c r="A190" s="88"/>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c r="A191" s="88"/>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c r="A192" s="88"/>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c r="A193" s="88"/>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c r="A194" s="88"/>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c r="A195" s="88"/>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c r="A196" s="88"/>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c r="A197" s="88"/>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c r="A198" s="88"/>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c r="A199" s="88"/>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c r="A200" s="88"/>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c r="A201" s="88"/>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c r="A202" s="88"/>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c r="A203" s="88"/>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c r="A204" s="88"/>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c r="A205" s="88"/>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c r="A206" s="88"/>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c r="A207" s="88"/>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c r="A208" s="88"/>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c r="A209" s="88"/>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c r="A210" s="88"/>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c r="A211" s="88"/>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c r="A212" s="88"/>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c r="A213" s="88"/>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c r="A214" s="88"/>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c r="A215" s="88"/>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c r="A216" s="88"/>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c r="A217" s="88"/>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c r="A218" s="88"/>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c r="A219" s="88"/>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c r="A220" s="88"/>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c r="A221" s="88"/>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c r="A222" s="88"/>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c r="A223" s="88"/>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c r="A224" s="88"/>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c r="A225" s="88"/>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c r="A226" s="88"/>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c r="A227" s="88"/>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c r="A228" s="88"/>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c r="A229" s="88"/>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c r="A230" s="88"/>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c r="A231" s="88"/>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c r="A232" s="88"/>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c r="A233" s="88"/>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c r="A234" s="88"/>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c r="A235" s="88"/>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c r="A236" s="88"/>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c r="A237" s="88"/>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c r="A238" s="88"/>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c r="A239" s="88"/>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c r="A240" s="88"/>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c r="A241" s="88"/>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c r="A242" s="88"/>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c r="A243" s="88"/>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c r="A244" s="88"/>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c r="A245" s="88"/>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c r="A246" s="88"/>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c r="A247" s="88"/>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c r="A248" s="88"/>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c r="A249" s="88"/>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c r="A250" s="88"/>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c r="A251" s="88"/>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c r="A252" s="88"/>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c r="A253" s="88"/>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c r="A254" s="88"/>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c r="A255" s="88"/>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c r="A256" s="88"/>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c r="A257" s="88"/>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c r="A258" s="88"/>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c r="A259" s="88"/>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c r="A260" s="88"/>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c r="A261" s="88"/>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c r="A262" s="88"/>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c r="A263" s="88"/>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c r="A264" s="88"/>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c r="A265" s="88"/>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c r="A266" s="88"/>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c r="A267" s="88"/>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c r="A268" s="88"/>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c r="A269" s="88"/>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c r="A270" s="88"/>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c r="A271" s="88"/>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c r="A272" s="88"/>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c r="A273" s="88"/>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c r="A274" s="88"/>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c r="A275" s="88"/>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c r="A276" s="88"/>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c r="A277" s="88"/>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c r="A278" s="88"/>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c r="A279" s="88"/>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c r="A280" s="88"/>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c r="A281" s="88"/>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c r="A282" s="88"/>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c r="A283" s="88"/>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c r="A284" s="88"/>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c r="A285" s="88"/>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c r="A286" s="88"/>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c r="A287" s="88"/>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c r="A288" s="88"/>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c r="A289" s="88"/>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c r="A290" s="88"/>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c r="A291" s="88"/>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c r="A292" s="88"/>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c r="A293" s="88"/>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c r="A294" s="88"/>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c r="A295" s="88"/>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c r="A296" s="88"/>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c r="A297" s="88"/>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c r="A298" s="88"/>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c r="A299" s="88"/>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c r="A300" s="88"/>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c r="A301" s="88"/>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c r="A302" s="88"/>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c r="A303" s="88"/>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c r="A304" s="88"/>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c r="A305" s="88"/>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c r="A306" s="88"/>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c r="A307" s="88"/>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c r="A308" s="88"/>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c r="A309" s="88"/>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c r="A310" s="88"/>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c r="A311" s="88"/>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c r="A312" s="88"/>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c r="A313" s="88"/>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c r="A314" s="88"/>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c r="A315" s="88"/>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c r="A316" s="88"/>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c r="A317" s="88"/>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c r="A318" s="88"/>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c r="A319" s="88"/>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c r="A320" s="88"/>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c r="A321" s="88"/>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c r="A322" s="88"/>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c r="A323" s="88"/>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c r="A324" s="88"/>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c r="A325" s="88"/>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c r="A326" s="88"/>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c r="A327" s="88"/>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c r="A328" s="88"/>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c r="A329" s="88"/>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c r="A330" s="88"/>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c r="A331" s="88"/>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c r="A332" s="88"/>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c r="A333" s="88"/>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c r="A334" s="88"/>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c r="A335" s="88"/>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c r="A336" s="88"/>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c r="A337" s="88"/>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c r="A338" s="88"/>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c r="A339" s="88"/>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c r="A340" s="88"/>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c r="A341" s="88"/>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c r="A342" s="88"/>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c r="A343" s="88"/>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c r="A344" s="88"/>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c r="A345" s="88"/>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c r="A346" s="88"/>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c r="A347" s="88"/>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c r="A348" s="88"/>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c r="A349" s="88"/>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c r="A350" s="88"/>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c r="A351" s="88"/>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c r="A352" s="88"/>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c r="A353" s="88"/>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c r="A354" s="88"/>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c r="A355" s="88"/>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c r="A356" s="88"/>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c r="A357" s="88"/>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c r="A358" s="88"/>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c r="A359" s="88"/>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c r="A360" s="88"/>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c r="A361" s="88"/>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c r="A362" s="88"/>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c r="A363" s="88"/>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c r="A364" s="88"/>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c r="A365" s="88"/>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c r="A366" s="88"/>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c r="A367" s="88"/>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c r="A368" s="88"/>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c r="A369" s="88"/>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c r="A370" s="88"/>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c r="A371" s="88"/>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c r="A372" s="88"/>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c r="A373" s="88"/>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c r="A374" s="88"/>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c r="A375" s="88"/>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c r="A376" s="88"/>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c r="A377" s="88"/>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c r="A378" s="88"/>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c r="A379" s="88"/>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c r="A380" s="88"/>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c r="A381" s="88"/>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c r="A382" s="88"/>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c r="A383" s="88"/>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c r="A384" s="88"/>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c r="A385" s="88"/>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c r="A386" s="88"/>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c r="A387" s="88"/>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c r="A388" s="88"/>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c r="A389" s="88"/>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c r="A390" s="88"/>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c r="A391" s="88"/>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c r="A392" s="88"/>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c r="A393" s="88"/>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c r="A394" s="88"/>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c r="A395" s="88"/>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c r="A396" s="88"/>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c r="A397" s="88"/>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c r="A398" s="88"/>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c r="A399" s="88"/>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c r="A400" s="88"/>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c r="A401" s="88"/>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c r="A402" s="88"/>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c r="A403" s="88"/>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c r="A404" s="88"/>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c r="A405" s="88"/>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c r="A406" s="88"/>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c r="A407" s="88"/>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c r="A408" s="88"/>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c r="A409" s="88"/>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c r="A410" s="88"/>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c r="A411" s="88"/>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c r="A412" s="88"/>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c r="A413" s="88"/>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c r="A414" s="88"/>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c r="A415" s="88"/>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c r="A416" s="88"/>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c r="A417" s="88"/>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c r="A418" s="88"/>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c r="A419" s="88"/>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c r="A420" s="88"/>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c r="A421" s="88"/>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c r="A422" s="88"/>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c r="A423" s="88"/>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c r="A424" s="88"/>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c r="A425" s="88"/>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c r="A426" s="88"/>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c r="A427" s="88"/>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c r="A428" s="88"/>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c r="A429" s="88"/>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c r="A430" s="88"/>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c r="A431" s="88"/>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c r="A432" s="88"/>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c r="A433" s="88"/>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c r="A434" s="88"/>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c r="A435" s="88"/>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c r="A436" s="88"/>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c r="A437" s="88"/>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c r="A438" s="88"/>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c r="A439" s="88"/>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c r="A440" s="88"/>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c r="A441" s="88"/>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c r="A442" s="88"/>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c r="A443" s="88"/>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c r="A444" s="88"/>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c r="A445" s="88"/>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c r="A446" s="88"/>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c r="A447" s="88"/>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c r="A448" s="88"/>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c r="A449" s="88"/>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c r="A450" s="88"/>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c r="A451" s="88"/>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c r="A452" s="88"/>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c r="A453" s="88"/>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c r="A454" s="88"/>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c r="A455" s="88"/>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c r="A456" s="88"/>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c r="A457" s="88"/>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c r="A458" s="88"/>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c r="A459" s="88"/>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c r="A460" s="88"/>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c r="A461" s="88"/>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c r="A462" s="88"/>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c r="A463" s="88"/>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c r="A464" s="88"/>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c r="A465" s="88"/>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c r="A466" s="88"/>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c r="A467" s="88"/>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c r="A468" s="88"/>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c r="A469" s="88"/>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c r="A470" s="88"/>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c r="A471" s="88"/>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c r="A472" s="88"/>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c r="A473" s="88"/>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c r="A474" s="88"/>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c r="A475" s="88"/>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c r="A476" s="88"/>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c r="A477" s="88"/>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c r="A478" s="88"/>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c r="A479" s="88"/>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c r="A480" s="88"/>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c r="A481" s="88"/>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c r="A482" s="88"/>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c r="A483" s="88"/>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c r="A484" s="88"/>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c r="A485" s="88"/>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c r="A486" s="88"/>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c r="A487" s="88"/>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c r="A488" s="88"/>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c r="A489" s="88"/>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c r="A490" s="88"/>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c r="A491" s="88"/>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c r="A492" s="88"/>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c r="A493" s="88"/>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c r="A494" s="88"/>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c r="A495" s="88"/>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c r="A496" s="88"/>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c r="A497" s="88"/>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c r="A498" s="88"/>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c r="A499" s="88"/>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c r="A500" s="88"/>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c r="A501" s="88"/>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c r="A502" s="88"/>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c r="A503" s="88"/>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c r="A504" s="88"/>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c r="A505" s="88"/>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c r="A506" s="88"/>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c r="A507" s="88"/>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c r="A508" s="88"/>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c r="A509" s="88"/>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c r="A510" s="88"/>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c r="A511" s="88"/>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c r="A512" s="88"/>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c r="A513" s="88"/>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c r="A514" s="88"/>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c r="A515" s="88"/>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c r="A516" s="88"/>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c r="A517" s="88"/>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c r="A518" s="88"/>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c r="A519" s="88"/>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c r="A520" s="88"/>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c r="A521" s="88"/>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c r="A522" s="88"/>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c r="A523" s="88"/>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c r="A524" s="88"/>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c r="A525" s="88"/>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c r="A526" s="88"/>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c r="A527" s="88"/>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c r="A528" s="88"/>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c r="A529" s="88"/>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c r="A530" s="88"/>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c r="A531" s="88"/>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c r="A532" s="88"/>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c r="A533" s="88"/>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c r="A534" s="88"/>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c r="A535" s="88"/>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c r="A536" s="88"/>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c r="A537" s="88"/>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c r="A538" s="88"/>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c r="A539" s="88"/>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c r="A540" s="88"/>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c r="A541" s="88"/>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c r="A542" s="88"/>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c r="A543" s="88"/>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c r="A544" s="88"/>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c r="A545" s="88"/>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c r="A546" s="88"/>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c r="A547" s="88"/>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c r="A548" s="88"/>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c r="A549" s="88"/>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c r="A550" s="88"/>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c r="A551" s="88"/>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c r="A552" s="88"/>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c r="A553" s="88"/>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c r="A554" s="88"/>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c r="A555" s="88"/>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c r="A556" s="88"/>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c r="A557" s="88"/>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c r="A558" s="88"/>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c r="A559" s="88"/>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c r="A560" s="88"/>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c r="A561" s="88"/>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c r="A562" s="88"/>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c r="A563" s="88"/>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c r="A564" s="88"/>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c r="A565" s="88"/>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c r="A566" s="88"/>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c r="A567" s="88"/>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c r="A568" s="88"/>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c r="A569" s="88"/>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c r="A570" s="88"/>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c r="A571" s="88"/>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c r="A572" s="88"/>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c r="A573" s="88"/>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c r="A574" s="88"/>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c r="A575" s="88"/>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c r="A576" s="88"/>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c r="A577" s="88"/>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c r="A578" s="88"/>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c r="A579" s="88"/>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c r="A580" s="88"/>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c r="A581" s="88"/>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c r="A582" s="88"/>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c r="A583" s="88"/>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c r="A584" s="88"/>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c r="A585" s="88"/>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c r="A586" s="88"/>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c r="A587" s="88"/>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c r="A588" s="88"/>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c r="A589" s="88"/>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c r="A590" s="88"/>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c r="A591" s="88"/>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c r="A592" s="88"/>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c r="A593" s="88"/>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c r="A594" s="88"/>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c r="A595" s="88"/>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c r="A596" s="88"/>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c r="A597" s="88"/>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c r="A598" s="88"/>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c r="A599" s="88"/>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c r="A600" s="88"/>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c r="A601" s="88"/>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c r="A602" s="88"/>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c r="A603" s="88"/>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c r="A604" s="88"/>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c r="A605" s="88"/>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c r="A606" s="88"/>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c r="A607" s="88"/>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c r="A608" s="88"/>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c r="A609" s="88"/>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c r="A610" s="88"/>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c r="A611" s="88"/>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c r="A612" s="88"/>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c r="A613" s="88"/>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c r="A614" s="88"/>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c r="A615" s="88"/>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c r="A616" s="88"/>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c r="A617" s="88"/>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c r="A618" s="88"/>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c r="A619" s="88"/>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c r="A620" s="88"/>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c r="A621" s="88"/>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c r="A622" s="88"/>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c r="A623" s="88"/>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c r="A624" s="88"/>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c r="A625" s="88"/>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c r="A626" s="88"/>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c r="A627" s="88"/>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c r="A628" s="88"/>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c r="A629" s="88"/>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c r="A630" s="88"/>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c r="A631" s="88"/>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c r="A632" s="88"/>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c r="A633" s="88"/>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c r="A634" s="88"/>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c r="A635" s="88"/>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c r="A636" s="88"/>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c r="A637" s="88"/>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c r="A638" s="88"/>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c r="A639" s="88"/>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c r="A640" s="88"/>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c r="A641" s="88"/>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c r="A642" s="88"/>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c r="A643" s="88"/>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c r="A644" s="88"/>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c r="A645" s="88"/>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c r="A646" s="88"/>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c r="A647" s="88"/>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c r="A648" s="88"/>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c r="A649" s="88"/>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c r="A650" s="88"/>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c r="A651" s="88"/>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c r="A652" s="88"/>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c r="A653" s="88"/>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c r="A654" s="88"/>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c r="A655" s="88"/>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c r="A656" s="88"/>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c r="A657" s="88"/>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c r="A658" s="88"/>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c r="A659" s="88"/>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c r="A660" s="88"/>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c r="A661" s="88"/>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c r="A662" s="88"/>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c r="A663" s="88"/>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c r="A664" s="88"/>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c r="A665" s="88"/>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c r="A666" s="88"/>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c r="A667" s="88"/>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c r="A668" s="88"/>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c r="A669" s="88"/>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c r="A670" s="88"/>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c r="A671" s="88"/>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c r="A672" s="88"/>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c r="A673" s="88"/>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c r="A674" s="88"/>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c r="A675" s="88"/>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c r="A676" s="88"/>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c r="A677" s="88"/>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c r="A678" s="88"/>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c r="A679" s="88"/>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c r="A680" s="88"/>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c r="A681" s="88"/>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c r="A682" s="88"/>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c r="A683" s="88"/>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c r="A684" s="88"/>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c r="A685" s="88"/>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c r="A686" s="88"/>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c r="A687" s="88"/>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c r="A688" s="88"/>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c r="A689" s="88"/>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c r="A690" s="88"/>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c r="A691" s="88"/>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c r="A692" s="88"/>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c r="A693" s="88"/>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c r="A694" s="88"/>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c r="A695" s="88"/>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c r="A696" s="88"/>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c r="A697" s="88"/>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c r="A698" s="88"/>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c r="A699" s="88"/>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c r="A700" s="88"/>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c r="A701" s="88"/>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c r="A702" s="88"/>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c r="A703" s="88"/>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c r="A704" s="88"/>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c r="A705" s="88"/>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c r="A706" s="88"/>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c r="A707" s="88"/>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c r="A708" s="88"/>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c r="A709" s="88"/>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c r="A710" s="88"/>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c r="A711" s="88"/>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c r="A712" s="88"/>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c r="A713" s="88"/>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c r="A714" s="88"/>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c r="A715" s="88"/>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c r="A716" s="88"/>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c r="A717" s="88"/>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c r="A718" s="88"/>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c r="A719" s="88"/>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c r="A720" s="88"/>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c r="A721" s="88"/>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c r="A722" s="88"/>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c r="A723" s="88"/>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c r="A724" s="88"/>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c r="A725" s="88"/>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c r="A726" s="88"/>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c r="A727" s="88"/>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c r="A728" s="88"/>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c r="A729" s="88"/>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c r="A730" s="88"/>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c r="A731" s="88"/>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c r="A732" s="88"/>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c r="A733" s="88"/>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c r="A734" s="88"/>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c r="A735" s="88"/>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c r="A736" s="88"/>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c r="A737" s="88"/>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c r="A738" s="88"/>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c r="A739" s="88"/>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c r="A740" s="88"/>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c r="A741" s="88"/>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c r="A742" s="88"/>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c r="A743" s="88"/>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c r="A744" s="88"/>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c r="A745" s="88"/>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c r="A746" s="88"/>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c r="A747" s="88"/>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c r="A748" s="88"/>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c r="A749" s="88"/>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c r="A750" s="88"/>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c r="A751" s="88"/>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c r="A752" s="88"/>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c r="A753" s="88"/>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c r="A754" s="88"/>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c r="A755" s="88"/>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c r="A756" s="88"/>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c r="A757" s="88"/>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c r="A758" s="88"/>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c r="A759" s="88"/>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c r="A760" s="88"/>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c r="A761" s="88"/>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c r="A762" s="88"/>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c r="A763" s="88"/>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c r="A764" s="88"/>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c r="A765" s="88"/>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c r="A766" s="88"/>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c r="A767" s="88"/>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c r="A768" s="88"/>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c r="A769" s="88"/>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c r="A770" s="88"/>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c r="A771" s="88"/>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c r="A772" s="88"/>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c r="A773" s="88"/>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c r="A774" s="88"/>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c r="A775" s="88"/>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c r="A776" s="88"/>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c r="A777" s="88"/>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c r="A778" s="88"/>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c r="A779" s="88"/>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c r="A780" s="88"/>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c r="A781" s="88"/>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c r="A782" s="88"/>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c r="A783" s="88"/>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c r="A784" s="88"/>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c r="A785" s="88"/>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c r="A786" s="88"/>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c r="A787" s="88"/>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c r="A788" s="88"/>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c r="A789" s="88"/>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c r="A790" s="88"/>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c r="A791" s="88"/>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c r="A792" s="88"/>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c r="A793" s="88"/>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c r="A794" s="88"/>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c r="A795" s="88"/>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c r="A796" s="88"/>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c r="A797" s="88"/>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c r="A798" s="88"/>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c r="A799" s="88"/>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c r="A800" s="88"/>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c r="A801" s="88"/>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c r="A802" s="88"/>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c r="A803" s="88"/>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c r="A804" s="88"/>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c r="A805" s="88"/>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c r="A806" s="88"/>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c r="A807" s="88"/>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c r="A808" s="88"/>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c r="A809" s="88"/>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c r="A810" s="88"/>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c r="A811" s="88"/>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c r="A812" s="88"/>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c r="A813" s="88"/>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c r="A814" s="88"/>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c r="A815" s="88"/>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c r="A816" s="88"/>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c r="A817" s="88"/>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c r="A818" s="88"/>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c r="A819" s="88"/>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c r="A820" s="88"/>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c r="A821" s="88"/>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c r="A822" s="88"/>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c r="A823" s="88"/>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c r="A824" s="88"/>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c r="A825" s="88"/>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c r="A826" s="88"/>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c r="A827" s="88"/>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c r="A828" s="88"/>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c r="A829" s="88"/>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c r="A830" s="88"/>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c r="A831" s="88"/>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c r="A832" s="88"/>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c r="A833" s="88"/>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c r="A834" s="88"/>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c r="A835" s="88"/>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c r="A836" s="88"/>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c r="A837" s="88"/>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c r="A838" s="88"/>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c r="A839" s="88"/>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c r="A840" s="88"/>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c r="A841" s="88"/>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c r="A842" s="88"/>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c r="A843" s="88"/>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c r="A844" s="88"/>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c r="A845" s="88"/>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c r="A846" s="88"/>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c r="A847" s="88"/>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c r="A848" s="88"/>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c r="A849" s="88"/>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c r="A850" s="88"/>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c r="A851" s="88"/>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c r="A852" s="88"/>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c r="A853" s="88"/>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c r="A854" s="88"/>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c r="A855" s="88"/>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c r="A856" s="88"/>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c r="A857" s="88"/>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c r="A858" s="88"/>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c r="A859" s="88"/>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c r="A860" s="88"/>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c r="A861" s="88"/>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c r="A862" s="88"/>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c r="A863" s="88"/>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c r="A864" s="88"/>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c r="A865" s="88"/>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c r="A866" s="88"/>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c r="A867" s="88"/>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c r="A868" s="88"/>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c r="A869" s="88"/>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c r="A870" s="88"/>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c r="A871" s="88"/>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c r="A872" s="88"/>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c r="A873" s="88"/>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c r="A874" s="88"/>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c r="A875" s="88"/>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c r="A876" s="88"/>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c r="A877" s="88"/>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c r="A878" s="88"/>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c r="A879" s="88"/>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c r="A880" s="88"/>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c r="A881" s="88"/>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c r="A882" s="88"/>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c r="A883" s="88"/>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c r="A884" s="88"/>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c r="A885" s="88"/>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c r="A886" s="88"/>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c r="A887" s="88"/>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c r="A888" s="88"/>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c r="A889" s="88"/>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c r="A890" s="88"/>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c r="A891" s="88"/>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c r="A892" s="88"/>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c r="A893" s="88"/>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c r="A894" s="88"/>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c r="A895" s="88"/>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c r="A896" s="88"/>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c r="A897" s="88"/>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c r="A898" s="88"/>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c r="A899" s="88"/>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c r="A900" s="88"/>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c r="A901" s="88"/>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c r="A902" s="88"/>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c r="A903" s="88"/>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c r="A904" s="88"/>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c r="A905" s="88"/>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c r="A906" s="88"/>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c r="A907" s="88"/>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c r="A908" s="88"/>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c r="A909" s="88"/>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c r="A910" s="88"/>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c r="A911" s="88"/>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c r="A912" s="88"/>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c r="A913" s="88"/>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c r="A914" s="88"/>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c r="A915" s="88"/>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c r="A916" s="88"/>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c r="A917" s="88"/>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c r="A918" s="88"/>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c r="A919" s="88"/>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c r="A920" s="88"/>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c r="A921" s="88"/>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c r="A922" s="88"/>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c r="A923" s="88"/>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c r="A924" s="88"/>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c r="A925" s="88"/>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c r="A926" s="88"/>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c r="A927" s="88"/>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c r="A928" s="88"/>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c r="A929" s="88"/>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c r="A930" s="88"/>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c r="A931" s="88"/>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c r="A932" s="88"/>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c r="A933" s="88"/>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c r="A934" s="88"/>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c r="A935" s="88"/>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c r="A936" s="88"/>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c r="A937" s="88"/>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c r="A938" s="88"/>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c r="A939" s="88"/>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c r="A940" s="88"/>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c r="A941" s="88"/>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c r="A942" s="88"/>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c r="A943" s="88"/>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c r="A944" s="88"/>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c r="A945" s="88"/>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c r="A946" s="88"/>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c r="A947" s="88"/>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c r="A948" s="88"/>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c r="A949" s="88"/>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c r="A950" s="88"/>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c r="A951" s="88"/>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c r="A952" s="88"/>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c r="A953" s="88"/>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c r="A954" s="88"/>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c r="A955" s="88"/>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c r="A956" s="88"/>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c r="A957" s="88"/>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c r="A958" s="88"/>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c r="A959" s="88"/>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c r="A960" s="88"/>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c r="A961" s="88"/>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c r="A962" s="88"/>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c r="A963" s="88"/>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c r="A964" s="88"/>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c r="A965" s="88"/>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c r="A966" s="88"/>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c r="A967" s="88"/>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c r="A968" s="88"/>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c r="A969" s="88"/>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c r="A970" s="88"/>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c r="A971" s="88"/>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c r="A972" s="88"/>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c r="A973" s="88"/>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c r="A974" s="88"/>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c r="A975" s="88"/>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c r="A976" s="88"/>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c r="A977" s="88"/>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c r="A978" s="88"/>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c r="A979" s="88"/>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c r="A980" s="88"/>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c r="A981" s="88"/>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c r="A982" s="88"/>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c r="A983" s="88"/>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c r="A984" s="88"/>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c r="A985" s="88"/>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c r="A986" s="88"/>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c r="A987" s="88"/>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c r="A988" s="88"/>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c r="A989" s="88"/>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c r="A990" s="88"/>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c r="A991" s="88"/>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c r="A992" s="88"/>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c r="A993" s="88"/>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c r="A994" s="88"/>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c r="A995" s="88"/>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c r="A996" s="88"/>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c r="A997" s="88"/>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c r="A998" s="88"/>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c r="A999" s="88"/>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c r="A1000" s="88"/>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hyperlinks>
    <hyperlink r:id="rId4" location="gid=0" ref="C6"/>
  </hyperlinks>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s>
  <sheetData>
    <row r="1">
      <c r="A1" s="94" t="s">
        <v>617</v>
      </c>
      <c r="B1" s="95"/>
      <c r="C1" s="95"/>
      <c r="D1" s="95"/>
      <c r="E1" s="95"/>
      <c r="F1" s="95"/>
      <c r="G1" s="95"/>
      <c r="H1" s="96"/>
      <c r="I1" s="95"/>
      <c r="J1" s="97">
        <v>13.0</v>
      </c>
    </row>
    <row r="2">
      <c r="A2" s="98" t="s">
        <v>618</v>
      </c>
      <c r="B2" s="99" t="s">
        <v>619</v>
      </c>
      <c r="C2" s="99" t="s">
        <v>620</v>
      </c>
      <c r="D2" s="99" t="s">
        <v>621</v>
      </c>
      <c r="E2" s="99" t="s">
        <v>622</v>
      </c>
      <c r="F2" s="99" t="s">
        <v>623</v>
      </c>
      <c r="G2" s="99" t="s">
        <v>624</v>
      </c>
      <c r="H2" s="99" t="s">
        <v>625</v>
      </c>
      <c r="I2" s="99" t="s">
        <v>626</v>
      </c>
      <c r="J2" s="100" t="s">
        <v>627</v>
      </c>
    </row>
    <row r="3">
      <c r="A3" s="101" t="s">
        <v>6</v>
      </c>
      <c r="B3" s="102">
        <v>23.0</v>
      </c>
      <c r="C3" s="102">
        <v>3.0</v>
      </c>
      <c r="D3" s="102">
        <v>11.0</v>
      </c>
      <c r="E3" s="103"/>
      <c r="F3" s="102">
        <v>30.0</v>
      </c>
      <c r="G3" s="102">
        <v>13.0</v>
      </c>
      <c r="H3" s="102">
        <v>43.0</v>
      </c>
      <c r="I3" s="104">
        <v>0.0</v>
      </c>
      <c r="J3" s="105"/>
    </row>
    <row r="4">
      <c r="A4" s="101" t="s">
        <v>5</v>
      </c>
      <c r="B4" s="102">
        <v>132.0</v>
      </c>
      <c r="C4" s="102">
        <v>21.0</v>
      </c>
      <c r="D4" s="102">
        <v>13.0</v>
      </c>
      <c r="E4" s="103"/>
      <c r="F4" s="102">
        <v>98.0</v>
      </c>
      <c r="G4" s="102">
        <v>53.0</v>
      </c>
      <c r="H4" s="102">
        <v>151.0</v>
      </c>
      <c r="I4" s="104">
        <v>0.0</v>
      </c>
      <c r="J4" s="105"/>
    </row>
    <row r="5">
      <c r="A5" s="101" t="s">
        <v>8</v>
      </c>
      <c r="B5" s="102">
        <v>40.0</v>
      </c>
      <c r="C5" s="103"/>
      <c r="D5" s="102">
        <v>1.0</v>
      </c>
      <c r="E5" s="103"/>
      <c r="F5" s="102">
        <v>39.0</v>
      </c>
      <c r="G5" s="102">
        <v>6.0</v>
      </c>
      <c r="H5" s="102">
        <v>45.0</v>
      </c>
      <c r="I5" s="104">
        <v>0.0</v>
      </c>
      <c r="J5" s="105"/>
    </row>
    <row r="6">
      <c r="A6" s="101" t="s">
        <v>24</v>
      </c>
      <c r="B6" s="103"/>
      <c r="C6" s="103"/>
      <c r="D6" s="103"/>
      <c r="E6" s="103"/>
      <c r="F6" s="103"/>
      <c r="G6" s="102">
        <v>1.0</v>
      </c>
      <c r="H6" s="106">
        <v>0.0</v>
      </c>
      <c r="I6" s="104">
        <v>0.0</v>
      </c>
      <c r="J6" s="105"/>
    </row>
    <row r="7">
      <c r="A7" s="101" t="s">
        <v>25</v>
      </c>
      <c r="B7" s="95"/>
      <c r="C7" s="95"/>
      <c r="D7" s="95"/>
      <c r="E7" s="95"/>
      <c r="F7" s="95"/>
      <c r="G7" s="95"/>
      <c r="H7" s="107">
        <v>0.0</v>
      </c>
      <c r="I7" s="104">
        <v>0.0</v>
      </c>
      <c r="J7" s="105"/>
    </row>
    <row r="8">
      <c r="A8" s="101" t="s">
        <v>17</v>
      </c>
      <c r="B8" s="103"/>
      <c r="C8" s="103"/>
      <c r="D8" s="103"/>
      <c r="E8" s="103"/>
      <c r="F8" s="103"/>
      <c r="G8" s="102">
        <v>11.0</v>
      </c>
      <c r="H8" s="108">
        <v>9.0</v>
      </c>
      <c r="I8" s="104">
        <v>0.0</v>
      </c>
      <c r="J8" s="105"/>
    </row>
    <row r="9">
      <c r="A9" s="101" t="s">
        <v>570</v>
      </c>
      <c r="B9" s="103"/>
      <c r="C9" s="103"/>
      <c r="D9" s="103"/>
      <c r="E9" s="103"/>
      <c r="F9" s="103"/>
      <c r="G9" s="102">
        <v>1.0</v>
      </c>
      <c r="H9" s="109">
        <v>1.0</v>
      </c>
      <c r="I9" s="104">
        <v>0.0</v>
      </c>
      <c r="J9" s="105"/>
    </row>
    <row r="10">
      <c r="A10" s="101" t="s">
        <v>23</v>
      </c>
      <c r="B10" s="95"/>
      <c r="C10" s="95"/>
      <c r="D10" s="95"/>
      <c r="E10" s="95"/>
      <c r="F10" s="95"/>
      <c r="G10" s="95"/>
      <c r="H10" s="107">
        <v>0.0</v>
      </c>
      <c r="I10" s="104">
        <v>0.0</v>
      </c>
      <c r="J10" s="105"/>
    </row>
    <row r="11">
      <c r="A11" s="101" t="s">
        <v>7</v>
      </c>
      <c r="B11" s="102">
        <v>13.0</v>
      </c>
      <c r="C11" s="103"/>
      <c r="D11" s="102">
        <v>1.0</v>
      </c>
      <c r="E11" s="103"/>
      <c r="F11" s="102">
        <v>12.0</v>
      </c>
      <c r="G11" s="108">
        <v>51.0</v>
      </c>
      <c r="H11" s="108">
        <v>63.0</v>
      </c>
      <c r="I11" s="104">
        <v>-4.0</v>
      </c>
      <c r="J11" s="105"/>
    </row>
    <row r="12">
      <c r="A12" s="110" t="s">
        <v>21</v>
      </c>
      <c r="B12" s="103"/>
      <c r="C12" s="103"/>
      <c r="D12" s="103"/>
      <c r="E12" s="103"/>
      <c r="F12" s="103"/>
      <c r="G12" s="102">
        <v>15.0</v>
      </c>
      <c r="H12" s="102">
        <v>15.0</v>
      </c>
      <c r="I12" s="104">
        <v>0.0</v>
      </c>
      <c r="J12" s="105"/>
    </row>
    <row r="13">
      <c r="A13" s="101" t="s">
        <v>574</v>
      </c>
      <c r="B13" s="103"/>
      <c r="C13" s="103"/>
      <c r="D13" s="103"/>
      <c r="E13" s="103"/>
      <c r="F13" s="103"/>
      <c r="G13" s="102">
        <v>2.0</v>
      </c>
      <c r="H13" s="102">
        <v>2.0</v>
      </c>
      <c r="I13" s="104">
        <v>0.0</v>
      </c>
      <c r="J13" s="105"/>
    </row>
    <row r="14">
      <c r="A14" s="101" t="s">
        <v>19</v>
      </c>
      <c r="B14" s="103"/>
      <c r="C14" s="103"/>
      <c r="D14" s="103"/>
      <c r="E14" s="103"/>
      <c r="F14" s="103"/>
      <c r="G14" s="102">
        <v>5.0</v>
      </c>
      <c r="H14" s="108">
        <v>4.0</v>
      </c>
      <c r="I14" s="104">
        <v>0.0</v>
      </c>
      <c r="J14" s="105"/>
    </row>
    <row r="15">
      <c r="A15" s="101" t="s">
        <v>20</v>
      </c>
      <c r="B15" s="103"/>
      <c r="C15" s="103"/>
      <c r="D15" s="103"/>
      <c r="E15" s="103"/>
      <c r="F15" s="103"/>
      <c r="G15" s="111">
        <v>4.0</v>
      </c>
      <c r="H15" s="112">
        <v>4.0</v>
      </c>
      <c r="I15" s="104">
        <v>0.0</v>
      </c>
      <c r="J15" s="105"/>
    </row>
    <row r="16">
      <c r="A16" s="101" t="s">
        <v>26</v>
      </c>
      <c r="B16" s="95"/>
      <c r="C16" s="95"/>
      <c r="D16" s="95"/>
      <c r="E16" s="95"/>
      <c r="F16" s="95"/>
      <c r="G16" s="95"/>
      <c r="H16" s="107">
        <v>0.0</v>
      </c>
      <c r="I16" s="104">
        <v>0.0</v>
      </c>
      <c r="J16" s="105"/>
    </row>
    <row r="17">
      <c r="A17" s="101" t="s">
        <v>18</v>
      </c>
      <c r="B17" s="103"/>
      <c r="C17" s="103"/>
      <c r="D17" s="103"/>
      <c r="E17" s="103"/>
      <c r="F17" s="103"/>
      <c r="G17" s="102">
        <v>8.0</v>
      </c>
      <c r="H17" s="102">
        <v>8.0</v>
      </c>
      <c r="I17" s="104">
        <v>0.0</v>
      </c>
      <c r="J17" s="105"/>
    </row>
    <row r="18">
      <c r="A18" s="101" t="s">
        <v>22</v>
      </c>
      <c r="B18" s="103"/>
      <c r="C18" s="103"/>
      <c r="D18" s="103"/>
      <c r="E18" s="103"/>
      <c r="F18" s="103"/>
      <c r="G18" s="102">
        <v>8.0</v>
      </c>
      <c r="H18" s="102">
        <v>8.0</v>
      </c>
      <c r="I18" s="104">
        <v>0.0</v>
      </c>
      <c r="J18" s="105"/>
    </row>
    <row r="19">
      <c r="A19" s="101" t="s">
        <v>16</v>
      </c>
      <c r="B19" s="103"/>
      <c r="C19" s="103"/>
      <c r="D19" s="103"/>
      <c r="E19" s="103"/>
      <c r="F19" s="103"/>
      <c r="G19" s="111">
        <v>24.0</v>
      </c>
      <c r="H19" s="111">
        <v>22.0</v>
      </c>
      <c r="I19" s="104">
        <v>0.0</v>
      </c>
      <c r="J19" s="105"/>
    </row>
    <row r="20">
      <c r="A20" s="101" t="s">
        <v>27</v>
      </c>
      <c r="B20" s="103"/>
      <c r="C20" s="103"/>
      <c r="D20" s="103"/>
      <c r="E20" s="103"/>
      <c r="F20" s="103"/>
      <c r="G20" s="102">
        <v>4.0</v>
      </c>
      <c r="H20" s="102">
        <v>4.0</v>
      </c>
      <c r="I20" s="104">
        <v>0.0</v>
      </c>
      <c r="J20" s="105"/>
    </row>
    <row r="21">
      <c r="A21" s="101" t="s">
        <v>10</v>
      </c>
      <c r="B21" s="102">
        <v>11.0</v>
      </c>
      <c r="C21" s="103"/>
      <c r="D21" s="103"/>
      <c r="E21" s="103"/>
      <c r="F21" s="102">
        <v>11.0</v>
      </c>
      <c r="G21" s="102">
        <v>12.0</v>
      </c>
      <c r="H21" s="102">
        <v>23.0</v>
      </c>
      <c r="I21" s="104">
        <v>0.0</v>
      </c>
      <c r="J21" s="105"/>
    </row>
    <row r="22">
      <c r="A22" s="101" t="s">
        <v>15</v>
      </c>
      <c r="B22" s="103"/>
      <c r="C22" s="103"/>
      <c r="D22" s="103"/>
      <c r="E22" s="103"/>
      <c r="F22" s="103"/>
      <c r="G22" s="102">
        <v>16.0</v>
      </c>
      <c r="H22" s="102">
        <v>16.0</v>
      </c>
      <c r="I22" s="104">
        <v>0.0</v>
      </c>
      <c r="J22" s="105"/>
    </row>
    <row r="23">
      <c r="A23" s="101" t="s">
        <v>13</v>
      </c>
      <c r="B23" s="102">
        <v>4.0</v>
      </c>
      <c r="C23" s="103"/>
      <c r="D23" s="102">
        <v>1.0</v>
      </c>
      <c r="E23" s="103"/>
      <c r="F23" s="102">
        <v>3.0</v>
      </c>
      <c r="G23" s="102">
        <v>3.0</v>
      </c>
      <c r="H23" s="102">
        <v>6.0</v>
      </c>
      <c r="I23" s="104">
        <v>0.0</v>
      </c>
      <c r="J23" s="105"/>
    </row>
    <row r="24">
      <c r="A24" s="110" t="s">
        <v>11</v>
      </c>
      <c r="B24" s="102">
        <v>49.0</v>
      </c>
      <c r="C24" s="103"/>
      <c r="D24" s="103"/>
      <c r="E24" s="102">
        <v>33.0</v>
      </c>
      <c r="F24" s="102">
        <v>16.0</v>
      </c>
      <c r="G24" s="103"/>
      <c r="H24" s="102">
        <v>16.0</v>
      </c>
      <c r="I24" s="104">
        <v>0.0</v>
      </c>
      <c r="J24" s="105"/>
    </row>
    <row r="25">
      <c r="A25" s="110" t="s">
        <v>12</v>
      </c>
      <c r="B25" s="103"/>
      <c r="C25" s="103"/>
      <c r="D25" s="103"/>
      <c r="E25" s="103"/>
      <c r="F25" s="103"/>
      <c r="G25" s="102">
        <v>15.0</v>
      </c>
      <c r="H25" s="108">
        <v>14.0</v>
      </c>
      <c r="I25" s="104">
        <v>0.0</v>
      </c>
      <c r="J25" s="105"/>
    </row>
    <row r="26">
      <c r="A26" s="101" t="s">
        <v>9</v>
      </c>
      <c r="B26" s="102">
        <v>20.0</v>
      </c>
      <c r="C26" s="103"/>
      <c r="D26" s="102">
        <v>5.0</v>
      </c>
      <c r="E26" s="103"/>
      <c r="F26" s="102">
        <v>15.0</v>
      </c>
      <c r="G26" s="108">
        <v>17.0</v>
      </c>
      <c r="H26" s="108">
        <v>32.0</v>
      </c>
      <c r="I26" s="104">
        <v>0.0</v>
      </c>
      <c r="J26" s="105"/>
    </row>
    <row r="27">
      <c r="A27" s="113" t="s">
        <v>14</v>
      </c>
      <c r="B27" s="95"/>
      <c r="C27" s="95"/>
      <c r="D27" s="95"/>
      <c r="E27" s="95"/>
      <c r="F27" s="95"/>
      <c r="G27" s="95"/>
      <c r="H27" s="107">
        <v>0.0</v>
      </c>
      <c r="I27" s="104">
        <v>0.0</v>
      </c>
      <c r="J27" s="105"/>
    </row>
    <row r="28">
      <c r="A28" s="114" t="s">
        <v>628</v>
      </c>
      <c r="B28" s="115">
        <v>292.0</v>
      </c>
      <c r="C28" s="115">
        <v>24.0</v>
      </c>
      <c r="D28" s="115">
        <v>32.0</v>
      </c>
      <c r="E28" s="115">
        <v>33.0</v>
      </c>
      <c r="F28" s="115">
        <v>224.0</v>
      </c>
      <c r="G28" s="115">
        <v>262.0</v>
      </c>
      <c r="H28" s="115">
        <v>486.0</v>
      </c>
      <c r="I28" s="116">
        <v>-4.0</v>
      </c>
      <c r="J28" s="117"/>
    </row>
    <row r="29">
      <c r="H29" s="118"/>
    </row>
    <row r="30">
      <c r="H30" s="118"/>
    </row>
    <row r="31">
      <c r="H31" s="118"/>
    </row>
    <row r="32">
      <c r="H32" s="118"/>
    </row>
    <row r="33">
      <c r="H33" s="118"/>
    </row>
    <row r="34">
      <c r="H34" s="118"/>
    </row>
    <row r="35">
      <c r="H35" s="118"/>
    </row>
    <row r="36">
      <c r="H36" s="118"/>
    </row>
    <row r="37">
      <c r="H37" s="118"/>
    </row>
    <row r="38">
      <c r="H38" s="118"/>
    </row>
    <row r="39">
      <c r="H39" s="118"/>
    </row>
    <row r="40">
      <c r="H40" s="118"/>
    </row>
    <row r="41">
      <c r="H41" s="118"/>
    </row>
    <row r="42">
      <c r="H42" s="118"/>
    </row>
    <row r="43">
      <c r="H43" s="118"/>
    </row>
    <row r="44">
      <c r="H44" s="118"/>
    </row>
    <row r="45">
      <c r="H45" s="118"/>
    </row>
    <row r="46">
      <c r="H46" s="118"/>
    </row>
    <row r="47">
      <c r="H47" s="118"/>
    </row>
    <row r="48">
      <c r="H48" s="118"/>
    </row>
    <row r="49">
      <c r="H49" s="118"/>
    </row>
    <row r="50">
      <c r="H50" s="118"/>
    </row>
    <row r="51">
      <c r="H51" s="118"/>
    </row>
    <row r="52">
      <c r="H52" s="118"/>
    </row>
    <row r="53">
      <c r="H53" s="118"/>
    </row>
    <row r="54">
      <c r="H54" s="118"/>
    </row>
    <row r="55">
      <c r="H55" s="118"/>
    </row>
    <row r="56">
      <c r="H56" s="118"/>
    </row>
    <row r="57">
      <c r="H57" s="118"/>
    </row>
    <row r="58">
      <c r="H58" s="118"/>
    </row>
    <row r="59">
      <c r="H59" s="118"/>
    </row>
    <row r="60">
      <c r="H60" s="118"/>
    </row>
    <row r="61">
      <c r="H61" s="118"/>
    </row>
    <row r="62">
      <c r="H62" s="118"/>
    </row>
    <row r="63">
      <c r="H63" s="118"/>
    </row>
    <row r="64">
      <c r="H64" s="118"/>
    </row>
    <row r="65">
      <c r="H65" s="118"/>
    </row>
    <row r="66">
      <c r="H66" s="118"/>
    </row>
    <row r="67">
      <c r="H67" s="118"/>
    </row>
    <row r="68">
      <c r="H68" s="118"/>
    </row>
    <row r="69">
      <c r="H69" s="118"/>
    </row>
    <row r="70">
      <c r="H70" s="118"/>
    </row>
    <row r="71">
      <c r="H71" s="118"/>
    </row>
    <row r="72">
      <c r="H72" s="118"/>
    </row>
    <row r="73">
      <c r="H73" s="118"/>
    </row>
    <row r="74">
      <c r="H74" s="118"/>
    </row>
    <row r="75">
      <c r="H75" s="118"/>
    </row>
    <row r="76">
      <c r="H76" s="118"/>
    </row>
    <row r="77">
      <c r="H77" s="118"/>
    </row>
    <row r="78">
      <c r="H78" s="118"/>
    </row>
    <row r="79">
      <c r="H79" s="118"/>
    </row>
    <row r="80">
      <c r="H80" s="118"/>
    </row>
    <row r="81">
      <c r="H81" s="118"/>
    </row>
    <row r="82">
      <c r="H82" s="118"/>
    </row>
    <row r="83">
      <c r="H83" s="118"/>
    </row>
    <row r="84">
      <c r="H84" s="118"/>
    </row>
    <row r="85">
      <c r="H85" s="118"/>
    </row>
    <row r="86">
      <c r="H86" s="118"/>
    </row>
    <row r="87">
      <c r="H87" s="118"/>
    </row>
    <row r="88">
      <c r="H88" s="118"/>
    </row>
    <row r="89">
      <c r="H89" s="118"/>
    </row>
    <row r="90">
      <c r="H90" s="118"/>
    </row>
    <row r="91">
      <c r="H91" s="118"/>
    </row>
    <row r="92">
      <c r="H92" s="118"/>
    </row>
    <row r="93">
      <c r="H93" s="118"/>
    </row>
    <row r="94">
      <c r="H94" s="118"/>
    </row>
    <row r="95">
      <c r="H95" s="118"/>
    </row>
    <row r="96">
      <c r="H96" s="118"/>
    </row>
    <row r="97">
      <c r="H97" s="118"/>
    </row>
    <row r="98">
      <c r="H98" s="118"/>
    </row>
    <row r="99">
      <c r="H99" s="118"/>
    </row>
    <row r="100">
      <c r="H100" s="118"/>
    </row>
    <row r="101">
      <c r="H101" s="118"/>
    </row>
    <row r="102">
      <c r="H102" s="118"/>
    </row>
    <row r="103">
      <c r="H103" s="118"/>
    </row>
    <row r="104">
      <c r="H104" s="118"/>
    </row>
    <row r="105">
      <c r="H105" s="118"/>
    </row>
    <row r="106">
      <c r="H106" s="118"/>
    </row>
    <row r="107">
      <c r="H107" s="118"/>
    </row>
    <row r="108">
      <c r="H108" s="118"/>
    </row>
    <row r="109">
      <c r="H109" s="118"/>
    </row>
    <row r="110">
      <c r="H110" s="118"/>
    </row>
    <row r="111">
      <c r="H111" s="118"/>
    </row>
    <row r="112">
      <c r="H112" s="118"/>
    </row>
    <row r="113">
      <c r="H113" s="118"/>
    </row>
    <row r="114">
      <c r="H114" s="118"/>
    </row>
    <row r="115">
      <c r="H115" s="118"/>
    </row>
    <row r="116">
      <c r="H116" s="118"/>
    </row>
    <row r="117">
      <c r="H117" s="118"/>
    </row>
    <row r="118">
      <c r="H118" s="118"/>
    </row>
    <row r="119">
      <c r="H119" s="118"/>
    </row>
    <row r="120">
      <c r="H120" s="118"/>
    </row>
    <row r="121">
      <c r="H121" s="118"/>
    </row>
    <row r="122">
      <c r="H122" s="118"/>
    </row>
    <row r="123">
      <c r="H123" s="118"/>
    </row>
    <row r="124">
      <c r="H124" s="118"/>
    </row>
    <row r="125">
      <c r="H125" s="118"/>
    </row>
    <row r="126">
      <c r="H126" s="118"/>
    </row>
    <row r="127">
      <c r="H127" s="118"/>
    </row>
    <row r="128">
      <c r="H128" s="118"/>
    </row>
    <row r="129">
      <c r="H129" s="118"/>
    </row>
    <row r="130">
      <c r="H130" s="118"/>
    </row>
    <row r="131">
      <c r="H131" s="118"/>
    </row>
    <row r="132">
      <c r="H132" s="118"/>
    </row>
    <row r="133">
      <c r="H133" s="118"/>
    </row>
    <row r="134">
      <c r="H134" s="118"/>
    </row>
    <row r="135">
      <c r="H135" s="118"/>
    </row>
    <row r="136">
      <c r="H136" s="118"/>
    </row>
    <row r="137">
      <c r="H137" s="118"/>
    </row>
    <row r="138">
      <c r="H138" s="118"/>
    </row>
    <row r="139">
      <c r="H139" s="118"/>
    </row>
    <row r="140">
      <c r="H140" s="118"/>
    </row>
    <row r="141">
      <c r="H141" s="118"/>
    </row>
    <row r="142">
      <c r="H142" s="118"/>
    </row>
    <row r="143">
      <c r="H143" s="118"/>
    </row>
    <row r="144">
      <c r="H144" s="118"/>
    </row>
    <row r="145">
      <c r="H145" s="118"/>
    </row>
    <row r="146">
      <c r="H146" s="118"/>
    </row>
    <row r="147">
      <c r="H147" s="118"/>
    </row>
    <row r="148">
      <c r="H148" s="118"/>
    </row>
    <row r="149">
      <c r="H149" s="118"/>
    </row>
    <row r="150">
      <c r="H150" s="118"/>
    </row>
    <row r="151">
      <c r="H151" s="118"/>
    </row>
    <row r="152">
      <c r="H152" s="118"/>
    </row>
    <row r="153">
      <c r="H153" s="118"/>
    </row>
    <row r="154">
      <c r="H154" s="118"/>
    </row>
    <row r="155">
      <c r="H155" s="118"/>
    </row>
    <row r="156">
      <c r="H156" s="118"/>
    </row>
    <row r="157">
      <c r="H157" s="118"/>
    </row>
    <row r="158">
      <c r="H158" s="118"/>
    </row>
    <row r="159">
      <c r="H159" s="118"/>
    </row>
    <row r="160">
      <c r="H160" s="118"/>
    </row>
    <row r="161">
      <c r="H161" s="118"/>
    </row>
    <row r="162">
      <c r="H162" s="118"/>
    </row>
    <row r="163">
      <c r="H163" s="118"/>
    </row>
    <row r="164">
      <c r="H164" s="118"/>
    </row>
    <row r="165">
      <c r="H165" s="118"/>
    </row>
    <row r="166">
      <c r="H166" s="118"/>
    </row>
    <row r="167">
      <c r="H167" s="118"/>
    </row>
    <row r="168">
      <c r="H168" s="118"/>
    </row>
    <row r="169">
      <c r="H169" s="118"/>
    </row>
    <row r="170">
      <c r="H170" s="118"/>
    </row>
    <row r="171">
      <c r="H171" s="118"/>
    </row>
    <row r="172">
      <c r="H172" s="118"/>
    </row>
    <row r="173">
      <c r="H173" s="118"/>
    </row>
    <row r="174">
      <c r="H174" s="118"/>
    </row>
    <row r="175">
      <c r="H175" s="118"/>
    </row>
    <row r="176">
      <c r="H176" s="118"/>
    </row>
    <row r="177">
      <c r="H177" s="118"/>
    </row>
    <row r="178">
      <c r="H178" s="118"/>
    </row>
    <row r="179">
      <c r="H179" s="118"/>
    </row>
    <row r="180">
      <c r="H180" s="118"/>
    </row>
    <row r="181">
      <c r="H181" s="118"/>
    </row>
    <row r="182">
      <c r="H182" s="118"/>
    </row>
    <row r="183">
      <c r="H183" s="118"/>
    </row>
    <row r="184">
      <c r="H184" s="118"/>
    </row>
    <row r="185">
      <c r="H185" s="118"/>
    </row>
    <row r="186">
      <c r="H186" s="118"/>
    </row>
    <row r="187">
      <c r="H187" s="118"/>
    </row>
    <row r="188">
      <c r="H188" s="118"/>
    </row>
    <row r="189">
      <c r="H189" s="118"/>
    </row>
    <row r="190">
      <c r="H190" s="118"/>
    </row>
    <row r="191">
      <c r="H191" s="118"/>
    </row>
    <row r="192">
      <c r="H192" s="118"/>
    </row>
    <row r="193">
      <c r="H193" s="118"/>
    </row>
    <row r="194">
      <c r="H194" s="118"/>
    </row>
    <row r="195">
      <c r="H195" s="118"/>
    </row>
    <row r="196">
      <c r="H196" s="118"/>
    </row>
    <row r="197">
      <c r="H197" s="118"/>
    </row>
    <row r="198">
      <c r="H198" s="118"/>
    </row>
    <row r="199">
      <c r="H199" s="118"/>
    </row>
    <row r="200">
      <c r="H200" s="118"/>
    </row>
    <row r="201">
      <c r="H201" s="118"/>
    </row>
    <row r="202">
      <c r="H202" s="118"/>
    </row>
    <row r="203">
      <c r="H203" s="118"/>
    </row>
    <row r="204">
      <c r="H204" s="118"/>
    </row>
    <row r="205">
      <c r="H205" s="118"/>
    </row>
    <row r="206">
      <c r="H206" s="118"/>
    </row>
    <row r="207">
      <c r="H207" s="118"/>
    </row>
    <row r="208">
      <c r="H208" s="118"/>
    </row>
    <row r="209">
      <c r="H209" s="118"/>
    </row>
    <row r="210">
      <c r="H210" s="118"/>
    </row>
    <row r="211">
      <c r="H211" s="118"/>
    </row>
    <row r="212">
      <c r="H212" s="118"/>
    </row>
    <row r="213">
      <c r="H213" s="118"/>
    </row>
    <row r="214">
      <c r="H214" s="118"/>
    </row>
    <row r="215">
      <c r="H215" s="118"/>
    </row>
    <row r="216">
      <c r="H216" s="118"/>
    </row>
    <row r="217">
      <c r="H217" s="118"/>
    </row>
    <row r="218">
      <c r="H218" s="118"/>
    </row>
    <row r="219">
      <c r="H219" s="118"/>
    </row>
    <row r="220">
      <c r="H220" s="118"/>
    </row>
    <row r="221">
      <c r="H221" s="118"/>
    </row>
    <row r="222">
      <c r="H222" s="118"/>
    </row>
    <row r="223">
      <c r="H223" s="118"/>
    </row>
    <row r="224">
      <c r="H224" s="118"/>
    </row>
    <row r="225">
      <c r="H225" s="118"/>
    </row>
    <row r="226">
      <c r="H226" s="118"/>
    </row>
    <row r="227">
      <c r="H227" s="118"/>
    </row>
    <row r="228">
      <c r="H228" s="118"/>
    </row>
    <row r="229">
      <c r="H229" s="118"/>
    </row>
    <row r="230">
      <c r="H230" s="118"/>
    </row>
    <row r="231">
      <c r="H231" s="118"/>
    </row>
    <row r="232">
      <c r="H232" s="118"/>
    </row>
    <row r="233">
      <c r="H233" s="118"/>
    </row>
    <row r="234">
      <c r="H234" s="118"/>
    </row>
    <row r="235">
      <c r="H235" s="118"/>
    </row>
    <row r="236">
      <c r="H236" s="118"/>
    </row>
    <row r="237">
      <c r="H237" s="118"/>
    </row>
    <row r="238">
      <c r="H238" s="118"/>
    </row>
    <row r="239">
      <c r="H239" s="118"/>
    </row>
    <row r="240">
      <c r="H240" s="118"/>
    </row>
    <row r="241">
      <c r="H241" s="118"/>
    </row>
    <row r="242">
      <c r="H242" s="118"/>
    </row>
    <row r="243">
      <c r="H243" s="118"/>
    </row>
    <row r="244">
      <c r="H244" s="118"/>
    </row>
    <row r="245">
      <c r="H245" s="118"/>
    </row>
    <row r="246">
      <c r="H246" s="118"/>
    </row>
    <row r="247">
      <c r="H247" s="118"/>
    </row>
    <row r="248">
      <c r="H248" s="118"/>
    </row>
    <row r="249">
      <c r="H249" s="118"/>
    </row>
    <row r="250">
      <c r="H250" s="118"/>
    </row>
    <row r="251">
      <c r="H251" s="118"/>
    </row>
    <row r="252">
      <c r="H252" s="118"/>
    </row>
    <row r="253">
      <c r="H253" s="118"/>
    </row>
    <row r="254">
      <c r="H254" s="118"/>
    </row>
    <row r="255">
      <c r="H255" s="118"/>
    </row>
    <row r="256">
      <c r="H256" s="118"/>
    </row>
    <row r="257">
      <c r="H257" s="118"/>
    </row>
    <row r="258">
      <c r="H258" s="118"/>
    </row>
    <row r="259">
      <c r="H259" s="118"/>
    </row>
    <row r="260">
      <c r="H260" s="118"/>
    </row>
    <row r="261">
      <c r="H261" s="118"/>
    </row>
    <row r="262">
      <c r="H262" s="118"/>
    </row>
    <row r="263">
      <c r="H263" s="118"/>
    </row>
    <row r="264">
      <c r="H264" s="118"/>
    </row>
    <row r="265">
      <c r="H265" s="118"/>
    </row>
    <row r="266">
      <c r="H266" s="118"/>
    </row>
    <row r="267">
      <c r="H267" s="118"/>
    </row>
    <row r="268">
      <c r="H268" s="118"/>
    </row>
    <row r="269">
      <c r="H269" s="118"/>
    </row>
    <row r="270">
      <c r="H270" s="118"/>
    </row>
    <row r="271">
      <c r="H271" s="118"/>
    </row>
    <row r="272">
      <c r="H272" s="118"/>
    </row>
    <row r="273">
      <c r="H273" s="118"/>
    </row>
    <row r="274">
      <c r="H274" s="118"/>
    </row>
    <row r="275">
      <c r="H275" s="118"/>
    </row>
    <row r="276">
      <c r="H276" s="118"/>
    </row>
    <row r="277">
      <c r="H277" s="118"/>
    </row>
    <row r="278">
      <c r="H278" s="118"/>
    </row>
    <row r="279">
      <c r="H279" s="118"/>
    </row>
    <row r="280">
      <c r="H280" s="118"/>
    </row>
    <row r="281">
      <c r="H281" s="118"/>
    </row>
    <row r="282">
      <c r="H282" s="118"/>
    </row>
    <row r="283">
      <c r="H283" s="118"/>
    </row>
    <row r="284">
      <c r="H284" s="118"/>
    </row>
    <row r="285">
      <c r="H285" s="118"/>
    </row>
    <row r="286">
      <c r="H286" s="118"/>
    </row>
    <row r="287">
      <c r="H287" s="118"/>
    </row>
    <row r="288">
      <c r="H288" s="118"/>
    </row>
    <row r="289">
      <c r="H289" s="118"/>
    </row>
    <row r="290">
      <c r="H290" s="118"/>
    </row>
    <row r="291">
      <c r="H291" s="118"/>
    </row>
    <row r="292">
      <c r="H292" s="118"/>
    </row>
    <row r="293">
      <c r="H293" s="118"/>
    </row>
    <row r="294">
      <c r="H294" s="118"/>
    </row>
    <row r="295">
      <c r="H295" s="118"/>
    </row>
    <row r="296">
      <c r="H296" s="118"/>
    </row>
    <row r="297">
      <c r="H297" s="118"/>
    </row>
    <row r="298">
      <c r="H298" s="118"/>
    </row>
    <row r="299">
      <c r="H299" s="118"/>
    </row>
    <row r="300">
      <c r="H300" s="118"/>
    </row>
    <row r="301">
      <c r="H301" s="118"/>
    </row>
    <row r="302">
      <c r="H302" s="118"/>
    </row>
    <row r="303">
      <c r="H303" s="118"/>
    </row>
    <row r="304">
      <c r="H304" s="118"/>
    </row>
    <row r="305">
      <c r="H305" s="118"/>
    </row>
    <row r="306">
      <c r="H306" s="118"/>
    </row>
    <row r="307">
      <c r="H307" s="118"/>
    </row>
    <row r="308">
      <c r="H308" s="118"/>
    </row>
    <row r="309">
      <c r="H309" s="118"/>
    </row>
    <row r="310">
      <c r="H310" s="118"/>
    </row>
    <row r="311">
      <c r="H311" s="118"/>
    </row>
    <row r="312">
      <c r="H312" s="118"/>
    </row>
    <row r="313">
      <c r="H313" s="118"/>
    </row>
    <row r="314">
      <c r="H314" s="118"/>
    </row>
    <row r="315">
      <c r="H315" s="118"/>
    </row>
    <row r="316">
      <c r="H316" s="118"/>
    </row>
    <row r="317">
      <c r="H317" s="118"/>
    </row>
    <row r="318">
      <c r="H318" s="118"/>
    </row>
    <row r="319">
      <c r="H319" s="118"/>
    </row>
    <row r="320">
      <c r="H320" s="118"/>
    </row>
    <row r="321">
      <c r="H321" s="118"/>
    </row>
    <row r="322">
      <c r="H322" s="118"/>
    </row>
    <row r="323">
      <c r="H323" s="118"/>
    </row>
    <row r="324">
      <c r="H324" s="118"/>
    </row>
    <row r="325">
      <c r="H325" s="118"/>
    </row>
    <row r="326">
      <c r="H326" s="118"/>
    </row>
    <row r="327">
      <c r="H327" s="118"/>
    </row>
    <row r="328">
      <c r="H328" s="118"/>
    </row>
    <row r="329">
      <c r="H329" s="118"/>
    </row>
    <row r="330">
      <c r="H330" s="118"/>
    </row>
    <row r="331">
      <c r="H331" s="118"/>
    </row>
    <row r="332">
      <c r="H332" s="118"/>
    </row>
    <row r="333">
      <c r="H333" s="118"/>
    </row>
    <row r="334">
      <c r="H334" s="118"/>
    </row>
    <row r="335">
      <c r="H335" s="118"/>
    </row>
    <row r="336">
      <c r="H336" s="118"/>
    </row>
    <row r="337">
      <c r="H337" s="118"/>
    </row>
    <row r="338">
      <c r="H338" s="118"/>
    </row>
    <row r="339">
      <c r="H339" s="118"/>
    </row>
    <row r="340">
      <c r="H340" s="118"/>
    </row>
    <row r="341">
      <c r="H341" s="118"/>
    </row>
    <row r="342">
      <c r="H342" s="118"/>
    </row>
    <row r="343">
      <c r="H343" s="118"/>
    </row>
    <row r="344">
      <c r="H344" s="118"/>
    </row>
    <row r="345">
      <c r="H345" s="118"/>
    </row>
    <row r="346">
      <c r="H346" s="118"/>
    </row>
    <row r="347">
      <c r="H347" s="118"/>
    </row>
    <row r="348">
      <c r="H348" s="118"/>
    </row>
    <row r="349">
      <c r="H349" s="118"/>
    </row>
    <row r="350">
      <c r="H350" s="118"/>
    </row>
    <row r="351">
      <c r="H351" s="118"/>
    </row>
    <row r="352">
      <c r="H352" s="118"/>
    </row>
    <row r="353">
      <c r="H353" s="118"/>
    </row>
    <row r="354">
      <c r="H354" s="118"/>
    </row>
    <row r="355">
      <c r="H355" s="118"/>
    </row>
    <row r="356">
      <c r="H356" s="118"/>
    </row>
    <row r="357">
      <c r="H357" s="118"/>
    </row>
    <row r="358">
      <c r="H358" s="118"/>
    </row>
    <row r="359">
      <c r="H359" s="118"/>
    </row>
    <row r="360">
      <c r="H360" s="118"/>
    </row>
    <row r="361">
      <c r="H361" s="118"/>
    </row>
    <row r="362">
      <c r="H362" s="118"/>
    </row>
    <row r="363">
      <c r="H363" s="118"/>
    </row>
    <row r="364">
      <c r="H364" s="118"/>
    </row>
    <row r="365">
      <c r="H365" s="118"/>
    </row>
    <row r="366">
      <c r="H366" s="118"/>
    </row>
    <row r="367">
      <c r="H367" s="118"/>
    </row>
    <row r="368">
      <c r="H368" s="118"/>
    </row>
    <row r="369">
      <c r="H369" s="118"/>
    </row>
    <row r="370">
      <c r="H370" s="118"/>
    </row>
    <row r="371">
      <c r="H371" s="118"/>
    </row>
    <row r="372">
      <c r="H372" s="118"/>
    </row>
    <row r="373">
      <c r="H373" s="118"/>
    </row>
    <row r="374">
      <c r="H374" s="118"/>
    </row>
    <row r="375">
      <c r="H375" s="118"/>
    </row>
    <row r="376">
      <c r="H376" s="118"/>
    </row>
    <row r="377">
      <c r="H377" s="118"/>
    </row>
    <row r="378">
      <c r="H378" s="118"/>
    </row>
    <row r="379">
      <c r="H379" s="118"/>
    </row>
    <row r="380">
      <c r="H380" s="118"/>
    </row>
    <row r="381">
      <c r="H381" s="118"/>
    </row>
    <row r="382">
      <c r="H382" s="118"/>
    </row>
    <row r="383">
      <c r="H383" s="118"/>
    </row>
    <row r="384">
      <c r="H384" s="118"/>
    </row>
    <row r="385">
      <c r="H385" s="118"/>
    </row>
    <row r="386">
      <c r="H386" s="118"/>
    </row>
    <row r="387">
      <c r="H387" s="118"/>
    </row>
    <row r="388">
      <c r="H388" s="118"/>
    </row>
    <row r="389">
      <c r="H389" s="118"/>
    </row>
    <row r="390">
      <c r="H390" s="118"/>
    </row>
    <row r="391">
      <c r="H391" s="118"/>
    </row>
    <row r="392">
      <c r="H392" s="118"/>
    </row>
    <row r="393">
      <c r="H393" s="118"/>
    </row>
    <row r="394">
      <c r="H394" s="118"/>
    </row>
    <row r="395">
      <c r="H395" s="118"/>
    </row>
    <row r="396">
      <c r="H396" s="118"/>
    </row>
    <row r="397">
      <c r="H397" s="118"/>
    </row>
    <row r="398">
      <c r="H398" s="118"/>
    </row>
    <row r="399">
      <c r="H399" s="118"/>
    </row>
    <row r="400">
      <c r="H400" s="118"/>
    </row>
    <row r="401">
      <c r="H401" s="118"/>
    </row>
    <row r="402">
      <c r="H402" s="118"/>
    </row>
    <row r="403">
      <c r="H403" s="118"/>
    </row>
    <row r="404">
      <c r="H404" s="118"/>
    </row>
    <row r="405">
      <c r="H405" s="118"/>
    </row>
    <row r="406">
      <c r="H406" s="118"/>
    </row>
    <row r="407">
      <c r="H407" s="118"/>
    </row>
    <row r="408">
      <c r="H408" s="118"/>
    </row>
    <row r="409">
      <c r="H409" s="118"/>
    </row>
    <row r="410">
      <c r="H410" s="118"/>
    </row>
    <row r="411">
      <c r="H411" s="118"/>
    </row>
    <row r="412">
      <c r="H412" s="118"/>
    </row>
    <row r="413">
      <c r="H413" s="118"/>
    </row>
    <row r="414">
      <c r="H414" s="118"/>
    </row>
    <row r="415">
      <c r="H415" s="118"/>
    </row>
    <row r="416">
      <c r="H416" s="118"/>
    </row>
    <row r="417">
      <c r="H417" s="118"/>
    </row>
    <row r="418">
      <c r="H418" s="118"/>
    </row>
    <row r="419">
      <c r="H419" s="118"/>
    </row>
    <row r="420">
      <c r="H420" s="118"/>
    </row>
    <row r="421">
      <c r="H421" s="118"/>
    </row>
    <row r="422">
      <c r="H422" s="118"/>
    </row>
    <row r="423">
      <c r="H423" s="118"/>
    </row>
    <row r="424">
      <c r="H424" s="118"/>
    </row>
    <row r="425">
      <c r="H425" s="118"/>
    </row>
    <row r="426">
      <c r="H426" s="118"/>
    </row>
    <row r="427">
      <c r="H427" s="118"/>
    </row>
    <row r="428">
      <c r="H428" s="118"/>
    </row>
    <row r="429">
      <c r="H429" s="118"/>
    </row>
    <row r="430">
      <c r="H430" s="118"/>
    </row>
    <row r="431">
      <c r="H431" s="118"/>
    </row>
    <row r="432">
      <c r="H432" s="118"/>
    </row>
    <row r="433">
      <c r="H433" s="118"/>
    </row>
    <row r="434">
      <c r="H434" s="118"/>
    </row>
    <row r="435">
      <c r="H435" s="118"/>
    </row>
    <row r="436">
      <c r="H436" s="118"/>
    </row>
    <row r="437">
      <c r="H437" s="118"/>
    </row>
    <row r="438">
      <c r="H438" s="118"/>
    </row>
    <row r="439">
      <c r="H439" s="118"/>
    </row>
    <row r="440">
      <c r="H440" s="118"/>
    </row>
    <row r="441">
      <c r="H441" s="118"/>
    </row>
    <row r="442">
      <c r="H442" s="118"/>
    </row>
    <row r="443">
      <c r="H443" s="118"/>
    </row>
    <row r="444">
      <c r="H444" s="118"/>
    </row>
    <row r="445">
      <c r="H445" s="118"/>
    </row>
    <row r="446">
      <c r="H446" s="118"/>
    </row>
    <row r="447">
      <c r="H447" s="118"/>
    </row>
    <row r="448">
      <c r="H448" s="118"/>
    </row>
    <row r="449">
      <c r="H449" s="118"/>
    </row>
    <row r="450">
      <c r="H450" s="118"/>
    </row>
    <row r="451">
      <c r="H451" s="118"/>
    </row>
    <row r="452">
      <c r="H452" s="118"/>
    </row>
    <row r="453">
      <c r="H453" s="118"/>
    </row>
    <row r="454">
      <c r="H454" s="118"/>
    </row>
    <row r="455">
      <c r="H455" s="118"/>
    </row>
    <row r="456">
      <c r="H456" s="118"/>
    </row>
    <row r="457">
      <c r="H457" s="118"/>
    </row>
    <row r="458">
      <c r="H458" s="118"/>
    </row>
    <row r="459">
      <c r="H459" s="118"/>
    </row>
    <row r="460">
      <c r="H460" s="118"/>
    </row>
    <row r="461">
      <c r="H461" s="118"/>
    </row>
    <row r="462">
      <c r="H462" s="118"/>
    </row>
    <row r="463">
      <c r="H463" s="118"/>
    </row>
    <row r="464">
      <c r="H464" s="118"/>
    </row>
    <row r="465">
      <c r="H465" s="118"/>
    </row>
    <row r="466">
      <c r="H466" s="118"/>
    </row>
    <row r="467">
      <c r="H467" s="118"/>
    </row>
    <row r="468">
      <c r="H468" s="118"/>
    </row>
    <row r="469">
      <c r="H469" s="118"/>
    </row>
    <row r="470">
      <c r="H470" s="118"/>
    </row>
    <row r="471">
      <c r="H471" s="118"/>
    </row>
    <row r="472">
      <c r="H472" s="118"/>
    </row>
    <row r="473">
      <c r="H473" s="118"/>
    </row>
    <row r="474">
      <c r="H474" s="118"/>
    </row>
    <row r="475">
      <c r="H475" s="118"/>
    </row>
    <row r="476">
      <c r="H476" s="118"/>
    </row>
    <row r="477">
      <c r="H477" s="118"/>
    </row>
    <row r="478">
      <c r="H478" s="118"/>
    </row>
    <row r="479">
      <c r="H479" s="118"/>
    </row>
    <row r="480">
      <c r="H480" s="118"/>
    </row>
    <row r="481">
      <c r="H481" s="118"/>
    </row>
    <row r="482">
      <c r="H482" s="118"/>
    </row>
    <row r="483">
      <c r="H483" s="118"/>
    </row>
    <row r="484">
      <c r="H484" s="118"/>
    </row>
    <row r="485">
      <c r="H485" s="118"/>
    </row>
    <row r="486">
      <c r="H486" s="118"/>
    </row>
    <row r="487">
      <c r="H487" s="118"/>
    </row>
    <row r="488">
      <c r="H488" s="118"/>
    </row>
    <row r="489">
      <c r="H489" s="118"/>
    </row>
    <row r="490">
      <c r="H490" s="118"/>
    </row>
    <row r="491">
      <c r="H491" s="118"/>
    </row>
    <row r="492">
      <c r="H492" s="118"/>
    </row>
    <row r="493">
      <c r="H493" s="118"/>
    </row>
    <row r="494">
      <c r="H494" s="118"/>
    </row>
    <row r="495">
      <c r="H495" s="118"/>
    </row>
    <row r="496">
      <c r="H496" s="118"/>
    </row>
    <row r="497">
      <c r="H497" s="118"/>
    </row>
    <row r="498">
      <c r="H498" s="118"/>
    </row>
    <row r="499">
      <c r="H499" s="118"/>
    </row>
    <row r="500">
      <c r="H500" s="118"/>
    </row>
    <row r="501">
      <c r="H501" s="118"/>
    </row>
    <row r="502">
      <c r="H502" s="118"/>
    </row>
    <row r="503">
      <c r="H503" s="118"/>
    </row>
    <row r="504">
      <c r="H504" s="118"/>
    </row>
    <row r="505">
      <c r="H505" s="118"/>
    </row>
    <row r="506">
      <c r="H506" s="118"/>
    </row>
    <row r="507">
      <c r="H507" s="118"/>
    </row>
    <row r="508">
      <c r="H508" s="118"/>
    </row>
    <row r="509">
      <c r="H509" s="118"/>
    </row>
    <row r="510">
      <c r="H510" s="118"/>
    </row>
    <row r="511">
      <c r="H511" s="118"/>
    </row>
    <row r="512">
      <c r="H512" s="118"/>
    </row>
    <row r="513">
      <c r="H513" s="118"/>
    </row>
    <row r="514">
      <c r="H514" s="118"/>
    </row>
    <row r="515">
      <c r="H515" s="118"/>
    </row>
    <row r="516">
      <c r="H516" s="118"/>
    </row>
    <row r="517">
      <c r="H517" s="118"/>
    </row>
    <row r="518">
      <c r="H518" s="118"/>
    </row>
    <row r="519">
      <c r="H519" s="118"/>
    </row>
    <row r="520">
      <c r="H520" s="118"/>
    </row>
    <row r="521">
      <c r="H521" s="118"/>
    </row>
    <row r="522">
      <c r="H522" s="118"/>
    </row>
    <row r="523">
      <c r="H523" s="118"/>
    </row>
    <row r="524">
      <c r="H524" s="118"/>
    </row>
    <row r="525">
      <c r="H525" s="118"/>
    </row>
    <row r="526">
      <c r="H526" s="118"/>
    </row>
    <row r="527">
      <c r="H527" s="118"/>
    </row>
    <row r="528">
      <c r="H528" s="118"/>
    </row>
    <row r="529">
      <c r="H529" s="118"/>
    </row>
    <row r="530">
      <c r="H530" s="118"/>
    </row>
    <row r="531">
      <c r="H531" s="118"/>
    </row>
    <row r="532">
      <c r="H532" s="118"/>
    </row>
    <row r="533">
      <c r="H533" s="118"/>
    </row>
    <row r="534">
      <c r="H534" s="118"/>
    </row>
    <row r="535">
      <c r="H535" s="118"/>
    </row>
    <row r="536">
      <c r="H536" s="118"/>
    </row>
    <row r="537">
      <c r="H537" s="118"/>
    </row>
    <row r="538">
      <c r="H538" s="118"/>
    </row>
    <row r="539">
      <c r="H539" s="118"/>
    </row>
    <row r="540">
      <c r="H540" s="118"/>
    </row>
    <row r="541">
      <c r="H541" s="118"/>
    </row>
    <row r="542">
      <c r="H542" s="118"/>
    </row>
    <row r="543">
      <c r="H543" s="118"/>
    </row>
    <row r="544">
      <c r="H544" s="118"/>
    </row>
    <row r="545">
      <c r="H545" s="118"/>
    </row>
    <row r="546">
      <c r="H546" s="118"/>
    </row>
    <row r="547">
      <c r="H547" s="118"/>
    </row>
    <row r="548">
      <c r="H548" s="118"/>
    </row>
    <row r="549">
      <c r="H549" s="118"/>
    </row>
    <row r="550">
      <c r="H550" s="118"/>
    </row>
    <row r="551">
      <c r="H551" s="118"/>
    </row>
    <row r="552">
      <c r="H552" s="118"/>
    </row>
    <row r="553">
      <c r="H553" s="118"/>
    </row>
    <row r="554">
      <c r="H554" s="118"/>
    </row>
    <row r="555">
      <c r="H555" s="118"/>
    </row>
    <row r="556">
      <c r="H556" s="118"/>
    </row>
    <row r="557">
      <c r="H557" s="118"/>
    </row>
    <row r="558">
      <c r="H558" s="118"/>
    </row>
    <row r="559">
      <c r="H559" s="118"/>
    </row>
    <row r="560">
      <c r="H560" s="118"/>
    </row>
    <row r="561">
      <c r="H561" s="118"/>
    </row>
    <row r="562">
      <c r="H562" s="118"/>
    </row>
    <row r="563">
      <c r="H563" s="118"/>
    </row>
    <row r="564">
      <c r="H564" s="118"/>
    </row>
    <row r="565">
      <c r="H565" s="118"/>
    </row>
    <row r="566">
      <c r="H566" s="118"/>
    </row>
    <row r="567">
      <c r="H567" s="118"/>
    </row>
    <row r="568">
      <c r="H568" s="118"/>
    </row>
    <row r="569">
      <c r="H569" s="118"/>
    </row>
    <row r="570">
      <c r="H570" s="118"/>
    </row>
    <row r="571">
      <c r="H571" s="118"/>
    </row>
    <row r="572">
      <c r="H572" s="118"/>
    </row>
    <row r="573">
      <c r="H573" s="118"/>
    </row>
    <row r="574">
      <c r="H574" s="118"/>
    </row>
    <row r="575">
      <c r="H575" s="118"/>
    </row>
    <row r="576">
      <c r="H576" s="118"/>
    </row>
    <row r="577">
      <c r="H577" s="118"/>
    </row>
    <row r="578">
      <c r="H578" s="118"/>
    </row>
    <row r="579">
      <c r="H579" s="118"/>
    </row>
    <row r="580">
      <c r="H580" s="118"/>
    </row>
    <row r="581">
      <c r="H581" s="118"/>
    </row>
    <row r="582">
      <c r="H582" s="118"/>
    </row>
    <row r="583">
      <c r="H583" s="118"/>
    </row>
    <row r="584">
      <c r="H584" s="118"/>
    </row>
    <row r="585">
      <c r="H585" s="118"/>
    </row>
    <row r="586">
      <c r="H586" s="118"/>
    </row>
    <row r="587">
      <c r="H587" s="118"/>
    </row>
    <row r="588">
      <c r="H588" s="118"/>
    </row>
    <row r="589">
      <c r="H589" s="118"/>
    </row>
    <row r="590">
      <c r="H590" s="118"/>
    </row>
    <row r="591">
      <c r="H591" s="118"/>
    </row>
    <row r="592">
      <c r="H592" s="118"/>
    </row>
    <row r="593">
      <c r="H593" s="118"/>
    </row>
    <row r="594">
      <c r="H594" s="118"/>
    </row>
    <row r="595">
      <c r="H595" s="118"/>
    </row>
    <row r="596">
      <c r="H596" s="118"/>
    </row>
    <row r="597">
      <c r="H597" s="118"/>
    </row>
    <row r="598">
      <c r="H598" s="118"/>
    </row>
    <row r="599">
      <c r="H599" s="118"/>
    </row>
    <row r="600">
      <c r="H600" s="118"/>
    </row>
    <row r="601">
      <c r="H601" s="118"/>
    </row>
    <row r="602">
      <c r="H602" s="118"/>
    </row>
    <row r="603">
      <c r="H603" s="118"/>
    </row>
    <row r="604">
      <c r="H604" s="118"/>
    </row>
    <row r="605">
      <c r="H605" s="118"/>
    </row>
    <row r="606">
      <c r="H606" s="118"/>
    </row>
    <row r="607">
      <c r="H607" s="118"/>
    </row>
    <row r="608">
      <c r="H608" s="118"/>
    </row>
    <row r="609">
      <c r="H609" s="118"/>
    </row>
    <row r="610">
      <c r="H610" s="118"/>
    </row>
    <row r="611">
      <c r="H611" s="118"/>
    </row>
    <row r="612">
      <c r="H612" s="118"/>
    </row>
    <row r="613">
      <c r="H613" s="118"/>
    </row>
    <row r="614">
      <c r="H614" s="118"/>
    </row>
    <row r="615">
      <c r="H615" s="118"/>
    </row>
    <row r="616">
      <c r="H616" s="118"/>
    </row>
    <row r="617">
      <c r="H617" s="118"/>
    </row>
    <row r="618">
      <c r="H618" s="118"/>
    </row>
    <row r="619">
      <c r="H619" s="118"/>
    </row>
    <row r="620">
      <c r="H620" s="118"/>
    </row>
    <row r="621">
      <c r="H621" s="118"/>
    </row>
    <row r="622">
      <c r="H622" s="118"/>
    </row>
    <row r="623">
      <c r="H623" s="118"/>
    </row>
    <row r="624">
      <c r="H624" s="118"/>
    </row>
    <row r="625">
      <c r="H625" s="118"/>
    </row>
    <row r="626">
      <c r="H626" s="118"/>
    </row>
    <row r="627">
      <c r="H627" s="118"/>
    </row>
    <row r="628">
      <c r="H628" s="118"/>
    </row>
    <row r="629">
      <c r="H629" s="118"/>
    </row>
    <row r="630">
      <c r="H630" s="118"/>
    </row>
    <row r="631">
      <c r="H631" s="118"/>
    </row>
    <row r="632">
      <c r="H632" s="118"/>
    </row>
    <row r="633">
      <c r="H633" s="118"/>
    </row>
    <row r="634">
      <c r="H634" s="118"/>
    </row>
    <row r="635">
      <c r="H635" s="118"/>
    </row>
    <row r="636">
      <c r="H636" s="118"/>
    </row>
    <row r="637">
      <c r="H637" s="118"/>
    </row>
    <row r="638">
      <c r="H638" s="118"/>
    </row>
    <row r="639">
      <c r="H639" s="118"/>
    </row>
    <row r="640">
      <c r="H640" s="118"/>
    </row>
    <row r="641">
      <c r="H641" s="118"/>
    </row>
    <row r="642">
      <c r="H642" s="118"/>
    </row>
    <row r="643">
      <c r="H643" s="118"/>
    </row>
    <row r="644">
      <c r="H644" s="118"/>
    </row>
    <row r="645">
      <c r="H645" s="118"/>
    </row>
    <row r="646">
      <c r="H646" s="118"/>
    </row>
    <row r="647">
      <c r="H647" s="118"/>
    </row>
    <row r="648">
      <c r="H648" s="118"/>
    </row>
    <row r="649">
      <c r="H649" s="118"/>
    </row>
    <row r="650">
      <c r="H650" s="118"/>
    </row>
    <row r="651">
      <c r="H651" s="118"/>
    </row>
    <row r="652">
      <c r="H652" s="118"/>
    </row>
    <row r="653">
      <c r="H653" s="118"/>
    </row>
    <row r="654">
      <c r="H654" s="118"/>
    </row>
    <row r="655">
      <c r="H655" s="118"/>
    </row>
    <row r="656">
      <c r="H656" s="118"/>
    </row>
    <row r="657">
      <c r="H657" s="118"/>
    </row>
    <row r="658">
      <c r="H658" s="118"/>
    </row>
    <row r="659">
      <c r="H659" s="118"/>
    </row>
    <row r="660">
      <c r="H660" s="118"/>
    </row>
    <row r="661">
      <c r="H661" s="118"/>
    </row>
    <row r="662">
      <c r="H662" s="118"/>
    </row>
    <row r="663">
      <c r="H663" s="118"/>
    </row>
    <row r="664">
      <c r="H664" s="118"/>
    </row>
    <row r="665">
      <c r="H665" s="118"/>
    </row>
    <row r="666">
      <c r="H666" s="118"/>
    </row>
    <row r="667">
      <c r="H667" s="118"/>
    </row>
    <row r="668">
      <c r="H668" s="118"/>
    </row>
    <row r="669">
      <c r="H669" s="118"/>
    </row>
    <row r="670">
      <c r="H670" s="118"/>
    </row>
    <row r="671">
      <c r="H671" s="118"/>
    </row>
    <row r="672">
      <c r="H672" s="118"/>
    </row>
    <row r="673">
      <c r="H673" s="118"/>
    </row>
    <row r="674">
      <c r="H674" s="118"/>
    </row>
    <row r="675">
      <c r="H675" s="118"/>
    </row>
    <row r="676">
      <c r="H676" s="118"/>
    </row>
    <row r="677">
      <c r="H677" s="118"/>
    </row>
    <row r="678">
      <c r="H678" s="118"/>
    </row>
    <row r="679">
      <c r="H679" s="118"/>
    </row>
    <row r="680">
      <c r="H680" s="118"/>
    </row>
    <row r="681">
      <c r="H681" s="118"/>
    </row>
    <row r="682">
      <c r="H682" s="118"/>
    </row>
    <row r="683">
      <c r="H683" s="118"/>
    </row>
    <row r="684">
      <c r="H684" s="118"/>
    </row>
    <row r="685">
      <c r="H685" s="118"/>
    </row>
    <row r="686">
      <c r="H686" s="118"/>
    </row>
    <row r="687">
      <c r="H687" s="118"/>
    </row>
    <row r="688">
      <c r="H688" s="118"/>
    </row>
    <row r="689">
      <c r="H689" s="118"/>
    </row>
    <row r="690">
      <c r="H690" s="118"/>
    </row>
    <row r="691">
      <c r="H691" s="118"/>
    </row>
    <row r="692">
      <c r="H692" s="118"/>
    </row>
    <row r="693">
      <c r="H693" s="118"/>
    </row>
    <row r="694">
      <c r="H694" s="118"/>
    </row>
    <row r="695">
      <c r="H695" s="118"/>
    </row>
    <row r="696">
      <c r="H696" s="118"/>
    </row>
    <row r="697">
      <c r="H697" s="118"/>
    </row>
    <row r="698">
      <c r="H698" s="118"/>
    </row>
    <row r="699">
      <c r="H699" s="118"/>
    </row>
    <row r="700">
      <c r="H700" s="118"/>
    </row>
    <row r="701">
      <c r="H701" s="118"/>
    </row>
    <row r="702">
      <c r="H702" s="118"/>
    </row>
    <row r="703">
      <c r="H703" s="118"/>
    </row>
    <row r="704">
      <c r="H704" s="118"/>
    </row>
    <row r="705">
      <c r="H705" s="118"/>
    </row>
    <row r="706">
      <c r="H706" s="118"/>
    </row>
    <row r="707">
      <c r="H707" s="118"/>
    </row>
    <row r="708">
      <c r="H708" s="118"/>
    </row>
    <row r="709">
      <c r="H709" s="118"/>
    </row>
    <row r="710">
      <c r="H710" s="118"/>
    </row>
    <row r="711">
      <c r="H711" s="118"/>
    </row>
    <row r="712">
      <c r="H712" s="118"/>
    </row>
    <row r="713">
      <c r="H713" s="118"/>
    </row>
    <row r="714">
      <c r="H714" s="118"/>
    </row>
    <row r="715">
      <c r="H715" s="118"/>
    </row>
    <row r="716">
      <c r="H716" s="118"/>
    </row>
    <row r="717">
      <c r="H717" s="118"/>
    </row>
    <row r="718">
      <c r="H718" s="118"/>
    </row>
    <row r="719">
      <c r="H719" s="118"/>
    </row>
    <row r="720">
      <c r="H720" s="118"/>
    </row>
    <row r="721">
      <c r="H721" s="118"/>
    </row>
    <row r="722">
      <c r="H722" s="118"/>
    </row>
    <row r="723">
      <c r="H723" s="118"/>
    </row>
    <row r="724">
      <c r="H724" s="118"/>
    </row>
    <row r="725">
      <c r="H725" s="118"/>
    </row>
    <row r="726">
      <c r="H726" s="118"/>
    </row>
    <row r="727">
      <c r="H727" s="118"/>
    </row>
    <row r="728">
      <c r="H728" s="118"/>
    </row>
    <row r="729">
      <c r="H729" s="118"/>
    </row>
    <row r="730">
      <c r="H730" s="118"/>
    </row>
    <row r="731">
      <c r="H731" s="118"/>
    </row>
    <row r="732">
      <c r="H732" s="118"/>
    </row>
    <row r="733">
      <c r="H733" s="118"/>
    </row>
    <row r="734">
      <c r="H734" s="118"/>
    </row>
    <row r="735">
      <c r="H735" s="118"/>
    </row>
    <row r="736">
      <c r="H736" s="118"/>
    </row>
    <row r="737">
      <c r="H737" s="118"/>
    </row>
    <row r="738">
      <c r="H738" s="118"/>
    </row>
    <row r="739">
      <c r="H739" s="118"/>
    </row>
    <row r="740">
      <c r="H740" s="118"/>
    </row>
    <row r="741">
      <c r="H741" s="118"/>
    </row>
    <row r="742">
      <c r="H742" s="118"/>
    </row>
    <row r="743">
      <c r="H743" s="118"/>
    </row>
    <row r="744">
      <c r="H744" s="118"/>
    </row>
    <row r="745">
      <c r="H745" s="118"/>
    </row>
    <row r="746">
      <c r="H746" s="118"/>
    </row>
    <row r="747">
      <c r="H747" s="118"/>
    </row>
    <row r="748">
      <c r="H748" s="118"/>
    </row>
    <row r="749">
      <c r="H749" s="118"/>
    </row>
    <row r="750">
      <c r="H750" s="118"/>
    </row>
    <row r="751">
      <c r="H751" s="118"/>
    </row>
    <row r="752">
      <c r="H752" s="118"/>
    </row>
    <row r="753">
      <c r="H753" s="118"/>
    </row>
    <row r="754">
      <c r="H754" s="118"/>
    </row>
    <row r="755">
      <c r="H755" s="118"/>
    </row>
    <row r="756">
      <c r="H756" s="118"/>
    </row>
    <row r="757">
      <c r="H757" s="118"/>
    </row>
    <row r="758">
      <c r="H758" s="118"/>
    </row>
    <row r="759">
      <c r="H759" s="118"/>
    </row>
    <row r="760">
      <c r="H760" s="118"/>
    </row>
    <row r="761">
      <c r="H761" s="118"/>
    </row>
    <row r="762">
      <c r="H762" s="118"/>
    </row>
    <row r="763">
      <c r="H763" s="118"/>
    </row>
    <row r="764">
      <c r="H764" s="118"/>
    </row>
    <row r="765">
      <c r="H765" s="118"/>
    </row>
    <row r="766">
      <c r="H766" s="118"/>
    </row>
    <row r="767">
      <c r="H767" s="118"/>
    </row>
    <row r="768">
      <c r="H768" s="118"/>
    </row>
    <row r="769">
      <c r="H769" s="118"/>
    </row>
    <row r="770">
      <c r="H770" s="118"/>
    </row>
    <row r="771">
      <c r="H771" s="118"/>
    </row>
    <row r="772">
      <c r="H772" s="118"/>
    </row>
    <row r="773">
      <c r="H773" s="118"/>
    </row>
    <row r="774">
      <c r="H774" s="118"/>
    </row>
    <row r="775">
      <c r="H775" s="118"/>
    </row>
    <row r="776">
      <c r="H776" s="118"/>
    </row>
    <row r="777">
      <c r="H777" s="118"/>
    </row>
    <row r="778">
      <c r="H778" s="118"/>
    </row>
    <row r="779">
      <c r="H779" s="118"/>
    </row>
    <row r="780">
      <c r="H780" s="118"/>
    </row>
    <row r="781">
      <c r="H781" s="118"/>
    </row>
    <row r="782">
      <c r="H782" s="118"/>
    </row>
    <row r="783">
      <c r="H783" s="118"/>
    </row>
    <row r="784">
      <c r="H784" s="118"/>
    </row>
    <row r="785">
      <c r="H785" s="118"/>
    </row>
    <row r="786">
      <c r="H786" s="118"/>
    </row>
    <row r="787">
      <c r="H787" s="118"/>
    </row>
    <row r="788">
      <c r="H788" s="118"/>
    </row>
    <row r="789">
      <c r="H789" s="118"/>
    </row>
    <row r="790">
      <c r="H790" s="118"/>
    </row>
    <row r="791">
      <c r="H791" s="118"/>
    </row>
    <row r="792">
      <c r="H792" s="118"/>
    </row>
    <row r="793">
      <c r="H793" s="118"/>
    </row>
    <row r="794">
      <c r="H794" s="118"/>
    </row>
    <row r="795">
      <c r="H795" s="118"/>
    </row>
    <row r="796">
      <c r="H796" s="118"/>
    </row>
    <row r="797">
      <c r="H797" s="118"/>
    </row>
    <row r="798">
      <c r="H798" s="118"/>
    </row>
    <row r="799">
      <c r="H799" s="118"/>
    </row>
    <row r="800">
      <c r="H800" s="118"/>
    </row>
    <row r="801">
      <c r="H801" s="118"/>
    </row>
    <row r="802">
      <c r="H802" s="118"/>
    </row>
    <row r="803">
      <c r="H803" s="118"/>
    </row>
    <row r="804">
      <c r="H804" s="118"/>
    </row>
    <row r="805">
      <c r="H805" s="118"/>
    </row>
    <row r="806">
      <c r="H806" s="118"/>
    </row>
    <row r="807">
      <c r="H807" s="118"/>
    </row>
    <row r="808">
      <c r="H808" s="118"/>
    </row>
    <row r="809">
      <c r="H809" s="118"/>
    </row>
    <row r="810">
      <c r="H810" s="118"/>
    </row>
    <row r="811">
      <c r="H811" s="118"/>
    </row>
    <row r="812">
      <c r="H812" s="118"/>
    </row>
    <row r="813">
      <c r="H813" s="118"/>
    </row>
    <row r="814">
      <c r="H814" s="118"/>
    </row>
    <row r="815">
      <c r="H815" s="118"/>
    </row>
    <row r="816">
      <c r="H816" s="118"/>
    </row>
    <row r="817">
      <c r="H817" s="118"/>
    </row>
    <row r="818">
      <c r="H818" s="118"/>
    </row>
    <row r="819">
      <c r="H819" s="118"/>
    </row>
    <row r="820">
      <c r="H820" s="118"/>
    </row>
    <row r="821">
      <c r="H821" s="118"/>
    </row>
    <row r="822">
      <c r="H822" s="118"/>
    </row>
    <row r="823">
      <c r="H823" s="118"/>
    </row>
    <row r="824">
      <c r="H824" s="118"/>
    </row>
    <row r="825">
      <c r="H825" s="118"/>
    </row>
    <row r="826">
      <c r="H826" s="118"/>
    </row>
    <row r="827">
      <c r="H827" s="118"/>
    </row>
    <row r="828">
      <c r="H828" s="118"/>
    </row>
    <row r="829">
      <c r="H829" s="118"/>
    </row>
    <row r="830">
      <c r="H830" s="118"/>
    </row>
    <row r="831">
      <c r="H831" s="118"/>
    </row>
    <row r="832">
      <c r="H832" s="118"/>
    </row>
    <row r="833">
      <c r="H833" s="118"/>
    </row>
    <row r="834">
      <c r="H834" s="118"/>
    </row>
    <row r="835">
      <c r="H835" s="118"/>
    </row>
    <row r="836">
      <c r="H836" s="118"/>
    </row>
    <row r="837">
      <c r="H837" s="118"/>
    </row>
    <row r="838">
      <c r="H838" s="118"/>
    </row>
    <row r="839">
      <c r="H839" s="118"/>
    </row>
    <row r="840">
      <c r="H840" s="118"/>
    </row>
    <row r="841">
      <c r="H841" s="118"/>
    </row>
    <row r="842">
      <c r="H842" s="118"/>
    </row>
    <row r="843">
      <c r="H843" s="118"/>
    </row>
    <row r="844">
      <c r="H844" s="118"/>
    </row>
    <row r="845">
      <c r="H845" s="118"/>
    </row>
    <row r="846">
      <c r="H846" s="118"/>
    </row>
    <row r="847">
      <c r="H847" s="118"/>
    </row>
    <row r="848">
      <c r="H848" s="118"/>
    </row>
    <row r="849">
      <c r="H849" s="118"/>
    </row>
    <row r="850">
      <c r="H850" s="118"/>
    </row>
    <row r="851">
      <c r="H851" s="118"/>
    </row>
    <row r="852">
      <c r="H852" s="118"/>
    </row>
    <row r="853">
      <c r="H853" s="118"/>
    </row>
    <row r="854">
      <c r="H854" s="118"/>
    </row>
    <row r="855">
      <c r="H855" s="118"/>
    </row>
    <row r="856">
      <c r="H856" s="118"/>
    </row>
    <row r="857">
      <c r="H857" s="118"/>
    </row>
    <row r="858">
      <c r="H858" s="118"/>
    </row>
    <row r="859">
      <c r="H859" s="118"/>
    </row>
    <row r="860">
      <c r="H860" s="118"/>
    </row>
    <row r="861">
      <c r="H861" s="118"/>
    </row>
    <row r="862">
      <c r="H862" s="118"/>
    </row>
    <row r="863">
      <c r="H863" s="118"/>
    </row>
    <row r="864">
      <c r="H864" s="118"/>
    </row>
    <row r="865">
      <c r="H865" s="118"/>
    </row>
    <row r="866">
      <c r="H866" s="118"/>
    </row>
    <row r="867">
      <c r="H867" s="118"/>
    </row>
    <row r="868">
      <c r="H868" s="118"/>
    </row>
    <row r="869">
      <c r="H869" s="118"/>
    </row>
    <row r="870">
      <c r="H870" s="118"/>
    </row>
    <row r="871">
      <c r="H871" s="118"/>
    </row>
    <row r="872">
      <c r="H872" s="118"/>
    </row>
    <row r="873">
      <c r="H873" s="118"/>
    </row>
    <row r="874">
      <c r="H874" s="118"/>
    </row>
    <row r="875">
      <c r="H875" s="118"/>
    </row>
    <row r="876">
      <c r="H876" s="118"/>
    </row>
    <row r="877">
      <c r="H877" s="118"/>
    </row>
    <row r="878">
      <c r="H878" s="118"/>
    </row>
    <row r="879">
      <c r="H879" s="118"/>
    </row>
    <row r="880">
      <c r="H880" s="118"/>
    </row>
    <row r="881">
      <c r="H881" s="118"/>
    </row>
    <row r="882">
      <c r="H882" s="118"/>
    </row>
    <row r="883">
      <c r="H883" s="118"/>
    </row>
    <row r="884">
      <c r="H884" s="118"/>
    </row>
    <row r="885">
      <c r="H885" s="118"/>
    </row>
    <row r="886">
      <c r="H886" s="118"/>
    </row>
    <row r="887">
      <c r="H887" s="118"/>
    </row>
    <row r="888">
      <c r="H888" s="118"/>
    </row>
    <row r="889">
      <c r="H889" s="118"/>
    </row>
    <row r="890">
      <c r="H890" s="118"/>
    </row>
    <row r="891">
      <c r="H891" s="118"/>
    </row>
    <row r="892">
      <c r="H892" s="118"/>
    </row>
    <row r="893">
      <c r="H893" s="118"/>
    </row>
    <row r="894">
      <c r="H894" s="118"/>
    </row>
    <row r="895">
      <c r="H895" s="118"/>
    </row>
    <row r="896">
      <c r="H896" s="118"/>
    </row>
    <row r="897">
      <c r="H897" s="118"/>
    </row>
    <row r="898">
      <c r="H898" s="118"/>
    </row>
    <row r="899">
      <c r="H899" s="118"/>
    </row>
    <row r="900">
      <c r="H900" s="118"/>
    </row>
    <row r="901">
      <c r="H901" s="118"/>
    </row>
    <row r="902">
      <c r="H902" s="118"/>
    </row>
    <row r="903">
      <c r="H903" s="118"/>
    </row>
    <row r="904">
      <c r="H904" s="118"/>
    </row>
    <row r="905">
      <c r="H905" s="118"/>
    </row>
    <row r="906">
      <c r="H906" s="118"/>
    </row>
    <row r="907">
      <c r="H907" s="118"/>
    </row>
    <row r="908">
      <c r="H908" s="118"/>
    </row>
    <row r="909">
      <c r="H909" s="118"/>
    </row>
    <row r="910">
      <c r="H910" s="118"/>
    </row>
    <row r="911">
      <c r="H911" s="118"/>
    </row>
    <row r="912">
      <c r="H912" s="118"/>
    </row>
    <row r="913">
      <c r="H913" s="118"/>
    </row>
    <row r="914">
      <c r="H914" s="118"/>
    </row>
    <row r="915">
      <c r="H915" s="118"/>
    </row>
    <row r="916">
      <c r="H916" s="118"/>
    </row>
    <row r="917">
      <c r="H917" s="118"/>
    </row>
    <row r="918">
      <c r="H918" s="118"/>
    </row>
    <row r="919">
      <c r="H919" s="118"/>
    </row>
    <row r="920">
      <c r="H920" s="118"/>
    </row>
    <row r="921">
      <c r="H921" s="118"/>
    </row>
    <row r="922">
      <c r="H922" s="118"/>
    </row>
    <row r="923">
      <c r="H923" s="118"/>
    </row>
    <row r="924">
      <c r="H924" s="118"/>
    </row>
    <row r="925">
      <c r="H925" s="118"/>
    </row>
    <row r="926">
      <c r="H926" s="118"/>
    </row>
    <row r="927">
      <c r="H927" s="118"/>
    </row>
    <row r="928">
      <c r="H928" s="118"/>
    </row>
    <row r="929">
      <c r="H929" s="118"/>
    </row>
    <row r="930">
      <c r="H930" s="118"/>
    </row>
    <row r="931">
      <c r="H931" s="118"/>
    </row>
    <row r="932">
      <c r="H932" s="118"/>
    </row>
    <row r="933">
      <c r="H933" s="118"/>
    </row>
    <row r="934">
      <c r="H934" s="118"/>
    </row>
    <row r="935">
      <c r="H935" s="118"/>
    </row>
    <row r="936">
      <c r="H936" s="118"/>
    </row>
    <row r="937">
      <c r="H937" s="118"/>
    </row>
    <row r="938">
      <c r="H938" s="118"/>
    </row>
    <row r="939">
      <c r="H939" s="118"/>
    </row>
    <row r="940">
      <c r="H940" s="118"/>
    </row>
    <row r="941">
      <c r="H941" s="118"/>
    </row>
    <row r="942">
      <c r="H942" s="118"/>
    </row>
    <row r="943">
      <c r="H943" s="118"/>
    </row>
    <row r="944">
      <c r="H944" s="118"/>
    </row>
    <row r="945">
      <c r="H945" s="118"/>
    </row>
    <row r="946">
      <c r="H946" s="118"/>
    </row>
    <row r="947">
      <c r="H947" s="118"/>
    </row>
    <row r="948">
      <c r="H948" s="118"/>
    </row>
    <row r="949">
      <c r="H949" s="118"/>
    </row>
    <row r="950">
      <c r="H950" s="118"/>
    </row>
    <row r="951">
      <c r="H951" s="118"/>
    </row>
    <row r="952">
      <c r="H952" s="118"/>
    </row>
    <row r="953">
      <c r="H953" s="118"/>
    </row>
    <row r="954">
      <c r="H954" s="118"/>
    </row>
    <row r="955">
      <c r="H955" s="118"/>
    </row>
    <row r="956">
      <c r="H956" s="118"/>
    </row>
    <row r="957">
      <c r="H957" s="118"/>
    </row>
    <row r="958">
      <c r="H958" s="118"/>
    </row>
    <row r="959">
      <c r="H959" s="118"/>
    </row>
    <row r="960">
      <c r="H960" s="118"/>
    </row>
    <row r="961">
      <c r="H961" s="118"/>
    </row>
    <row r="962">
      <c r="H962" s="118"/>
    </row>
    <row r="963">
      <c r="H963" s="118"/>
    </row>
    <row r="964">
      <c r="H964" s="118"/>
    </row>
    <row r="965">
      <c r="H965" s="118"/>
    </row>
    <row r="966">
      <c r="H966" s="118"/>
    </row>
    <row r="967">
      <c r="H967" s="118"/>
    </row>
    <row r="968">
      <c r="H968" s="118"/>
    </row>
    <row r="969">
      <c r="H969" s="118"/>
    </row>
    <row r="970">
      <c r="H970" s="118"/>
    </row>
    <row r="971">
      <c r="H971" s="118"/>
    </row>
    <row r="972">
      <c r="H972" s="118"/>
    </row>
    <row r="973">
      <c r="H973" s="118"/>
    </row>
    <row r="974">
      <c r="H974" s="118"/>
    </row>
    <row r="975">
      <c r="H975" s="118"/>
    </row>
    <row r="976">
      <c r="H976" s="118"/>
    </row>
    <row r="977">
      <c r="H977" s="118"/>
    </row>
    <row r="978">
      <c r="H978" s="118"/>
    </row>
    <row r="979">
      <c r="H979" s="118"/>
    </row>
    <row r="980">
      <c r="H980" s="118"/>
    </row>
    <row r="981">
      <c r="H981" s="118"/>
    </row>
    <row r="982">
      <c r="H982" s="118"/>
    </row>
    <row r="983">
      <c r="H983" s="118"/>
    </row>
    <row r="984">
      <c r="H984" s="118"/>
    </row>
    <row r="985">
      <c r="H985" s="118"/>
    </row>
    <row r="986">
      <c r="H986" s="118"/>
    </row>
    <row r="987">
      <c r="H987" s="118"/>
    </row>
    <row r="988">
      <c r="H988" s="118"/>
    </row>
    <row r="989">
      <c r="H989" s="118"/>
    </row>
    <row r="990">
      <c r="H990" s="118"/>
    </row>
    <row r="991">
      <c r="H991" s="118"/>
    </row>
    <row r="992">
      <c r="H992" s="118"/>
    </row>
    <row r="993">
      <c r="H993" s="118"/>
    </row>
    <row r="994">
      <c r="H994" s="118"/>
    </row>
    <row r="995">
      <c r="H995" s="118"/>
    </row>
    <row r="996">
      <c r="H996" s="118"/>
    </row>
    <row r="997">
      <c r="H997" s="118"/>
    </row>
    <row r="998">
      <c r="H998" s="118"/>
    </row>
    <row r="999">
      <c r="H999" s="118"/>
    </row>
    <row r="1000">
      <c r="H1000" s="11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4" max="4" width="15.88"/>
  </cols>
  <sheetData>
    <row r="1">
      <c r="B1" s="11"/>
      <c r="C1" s="84"/>
      <c r="D1" s="84" t="s">
        <v>593</v>
      </c>
      <c r="E1" s="11"/>
      <c r="G1" s="12"/>
      <c r="H1" s="12"/>
      <c r="I1" s="12"/>
      <c r="J1" s="12"/>
      <c r="K1" s="12"/>
      <c r="L1" s="15"/>
      <c r="M1" s="15"/>
      <c r="N1" s="15"/>
      <c r="O1" s="15"/>
      <c r="P1" s="15"/>
      <c r="Q1" s="15"/>
      <c r="R1" s="15"/>
      <c r="S1" s="15"/>
      <c r="T1" s="7"/>
      <c r="U1" s="7"/>
      <c r="V1" s="7"/>
      <c r="W1" s="7"/>
      <c r="X1" s="7"/>
      <c r="Y1" s="7"/>
      <c r="Z1" s="13"/>
      <c r="AA1" s="119"/>
      <c r="AB1" s="15"/>
      <c r="AC1" s="81"/>
      <c r="AD1" s="81"/>
      <c r="AE1" s="81"/>
      <c r="AF1" s="120"/>
      <c r="AG1" s="82"/>
      <c r="AH1" s="17"/>
    </row>
    <row r="2">
      <c r="A2" s="11" t="s">
        <v>5</v>
      </c>
      <c r="B2" s="6" t="s">
        <v>629</v>
      </c>
      <c r="D2" s="6" t="s">
        <v>34</v>
      </c>
    </row>
    <row r="3">
      <c r="A3" s="11" t="s">
        <v>6</v>
      </c>
      <c r="B3" s="6" t="s">
        <v>6</v>
      </c>
      <c r="D3" s="6" t="s">
        <v>630</v>
      </c>
      <c r="F3" s="6" t="s">
        <v>630</v>
      </c>
    </row>
    <row r="4">
      <c r="A4" s="11" t="s">
        <v>7</v>
      </c>
      <c r="B4" s="6" t="s">
        <v>631</v>
      </c>
      <c r="D4" s="6" t="s">
        <v>632</v>
      </c>
      <c r="F4" s="6" t="s">
        <v>21</v>
      </c>
    </row>
    <row r="5">
      <c r="A5" s="11" t="s">
        <v>8</v>
      </c>
      <c r="B5" s="6" t="s">
        <v>633</v>
      </c>
      <c r="D5" s="6" t="s">
        <v>6</v>
      </c>
      <c r="F5" s="6" t="s">
        <v>6</v>
      </c>
    </row>
    <row r="6">
      <c r="A6" s="12" t="s">
        <v>9</v>
      </c>
      <c r="B6" s="6" t="s">
        <v>634</v>
      </c>
      <c r="D6" s="6" t="s">
        <v>631</v>
      </c>
      <c r="F6" s="6" t="s">
        <v>635</v>
      </c>
    </row>
    <row r="7">
      <c r="A7" s="12" t="s">
        <v>10</v>
      </c>
      <c r="B7" s="6" t="s">
        <v>636</v>
      </c>
      <c r="D7" s="6" t="s">
        <v>635</v>
      </c>
      <c r="F7" s="6" t="s">
        <v>5</v>
      </c>
    </row>
    <row r="8">
      <c r="A8" s="12" t="s">
        <v>11</v>
      </c>
      <c r="B8" s="6" t="s">
        <v>11</v>
      </c>
      <c r="D8" s="6" t="s">
        <v>637</v>
      </c>
      <c r="F8" s="6" t="s">
        <v>8</v>
      </c>
    </row>
    <row r="9">
      <c r="A9" s="12" t="s">
        <v>12</v>
      </c>
      <c r="B9" s="6" t="s">
        <v>12</v>
      </c>
      <c r="D9" s="6" t="s">
        <v>638</v>
      </c>
      <c r="F9" s="6" t="s">
        <v>17</v>
      </c>
    </row>
    <row r="10">
      <c r="A10" s="12" t="s">
        <v>13</v>
      </c>
      <c r="B10" s="6" t="s">
        <v>639</v>
      </c>
      <c r="D10" s="6" t="s">
        <v>20</v>
      </c>
      <c r="F10" s="6" t="s">
        <v>7</v>
      </c>
    </row>
    <row r="11">
      <c r="A11" s="12" t="s">
        <v>14</v>
      </c>
      <c r="D11" s="6" t="s">
        <v>640</v>
      </c>
      <c r="F11" s="6" t="s">
        <v>19</v>
      </c>
    </row>
    <row r="12">
      <c r="A12" s="15" t="s">
        <v>16</v>
      </c>
      <c r="B12" s="6" t="s">
        <v>640</v>
      </c>
      <c r="D12" s="6" t="s">
        <v>641</v>
      </c>
      <c r="F12" s="6" t="s">
        <v>20</v>
      </c>
    </row>
    <row r="13">
      <c r="A13" s="15" t="s">
        <v>17</v>
      </c>
      <c r="B13" s="6" t="s">
        <v>632</v>
      </c>
      <c r="D13" s="6" t="s">
        <v>642</v>
      </c>
      <c r="F13" s="6" t="s">
        <v>18</v>
      </c>
    </row>
    <row r="14">
      <c r="A14" s="15" t="s">
        <v>18</v>
      </c>
      <c r="B14" s="6" t="s">
        <v>641</v>
      </c>
      <c r="D14" s="6" t="s">
        <v>643</v>
      </c>
      <c r="F14" s="6" t="s">
        <v>22</v>
      </c>
    </row>
    <row r="15">
      <c r="A15" s="15" t="s">
        <v>19</v>
      </c>
      <c r="B15" s="6" t="s">
        <v>643</v>
      </c>
      <c r="D15" s="6" t="s">
        <v>629</v>
      </c>
      <c r="F15" s="6" t="s">
        <v>16</v>
      </c>
    </row>
    <row r="16">
      <c r="A16" s="15" t="s">
        <v>20</v>
      </c>
      <c r="B16" s="6" t="s">
        <v>20</v>
      </c>
      <c r="D16" s="6" t="s">
        <v>633</v>
      </c>
      <c r="F16" s="6" t="s">
        <v>27</v>
      </c>
    </row>
    <row r="17">
      <c r="A17" s="15" t="s">
        <v>21</v>
      </c>
      <c r="B17" s="6" t="s">
        <v>637</v>
      </c>
      <c r="D17" s="6" t="s">
        <v>644</v>
      </c>
      <c r="F17" s="6" t="s">
        <v>644</v>
      </c>
    </row>
    <row r="18">
      <c r="A18" s="15" t="s">
        <v>22</v>
      </c>
      <c r="B18" s="6" t="s">
        <v>638</v>
      </c>
      <c r="D18" s="6" t="s">
        <v>645</v>
      </c>
      <c r="F18" s="6" t="s">
        <v>645</v>
      </c>
    </row>
    <row r="19">
      <c r="A19" s="15" t="s">
        <v>23</v>
      </c>
      <c r="D19" s="6" t="s">
        <v>646</v>
      </c>
      <c r="F19" s="6" t="s">
        <v>646</v>
      </c>
    </row>
    <row r="20">
      <c r="A20" s="7" t="s">
        <v>24</v>
      </c>
      <c r="D20" s="6" t="s">
        <v>647</v>
      </c>
      <c r="F20" s="6" t="s">
        <v>648</v>
      </c>
    </row>
    <row r="21">
      <c r="A21" s="7" t="s">
        <v>25</v>
      </c>
      <c r="D21" s="6" t="s">
        <v>648</v>
      </c>
      <c r="F21" s="6" t="s">
        <v>10</v>
      </c>
    </row>
    <row r="22">
      <c r="A22" s="7" t="s">
        <v>26</v>
      </c>
      <c r="D22" s="6" t="s">
        <v>636</v>
      </c>
      <c r="F22" s="6" t="s">
        <v>649</v>
      </c>
    </row>
    <row r="23">
      <c r="A23" s="7" t="s">
        <v>570</v>
      </c>
      <c r="D23" s="6" t="s">
        <v>649</v>
      </c>
      <c r="F23" s="6" t="s">
        <v>650</v>
      </c>
    </row>
    <row r="24">
      <c r="A24" s="7" t="s">
        <v>27</v>
      </c>
      <c r="B24" s="6" t="s">
        <v>642</v>
      </c>
      <c r="D24" s="6" t="s">
        <v>650</v>
      </c>
      <c r="F24" s="6" t="s">
        <v>651</v>
      </c>
    </row>
    <row r="25">
      <c r="A25" s="7" t="s">
        <v>574</v>
      </c>
      <c r="D25" s="6" t="s">
        <v>651</v>
      </c>
      <c r="F25" s="6" t="s">
        <v>652</v>
      </c>
    </row>
    <row r="26">
      <c r="A26" s="13" t="s">
        <v>15</v>
      </c>
      <c r="B26" s="6" t="s">
        <v>15</v>
      </c>
      <c r="D26" s="6" t="s">
        <v>652</v>
      </c>
      <c r="F26" s="6" t="s">
        <v>653</v>
      </c>
    </row>
    <row r="27">
      <c r="A27" s="14" t="s">
        <v>47</v>
      </c>
      <c r="D27" s="6" t="s">
        <v>653</v>
      </c>
      <c r="F27" s="6" t="s">
        <v>654</v>
      </c>
    </row>
    <row r="28">
      <c r="A28" s="15" t="s">
        <v>48</v>
      </c>
      <c r="B28" s="6" t="s">
        <v>34</v>
      </c>
      <c r="D28" s="6" t="s">
        <v>654</v>
      </c>
      <c r="F28" s="6" t="s">
        <v>655</v>
      </c>
    </row>
    <row r="29">
      <c r="A29" s="81" t="s">
        <v>656</v>
      </c>
      <c r="D29" s="6" t="s">
        <v>655</v>
      </c>
      <c r="F29" s="6" t="s">
        <v>657</v>
      </c>
    </row>
    <row r="30">
      <c r="A30" s="81" t="s">
        <v>658</v>
      </c>
      <c r="D30" s="6" t="s">
        <v>657</v>
      </c>
      <c r="F30" s="6" t="s">
        <v>659</v>
      </c>
    </row>
    <row r="31">
      <c r="A31" s="81" t="s">
        <v>660</v>
      </c>
      <c r="D31" s="6" t="s">
        <v>659</v>
      </c>
      <c r="F31" s="6" t="s">
        <v>661</v>
      </c>
    </row>
    <row r="32">
      <c r="A32" s="120" t="s">
        <v>662</v>
      </c>
      <c r="D32" s="6" t="s">
        <v>661</v>
      </c>
      <c r="F32" s="6" t="s">
        <v>15</v>
      </c>
    </row>
    <row r="33">
      <c r="A33" s="82" t="s">
        <v>663</v>
      </c>
      <c r="D33" s="6" t="s">
        <v>15</v>
      </c>
      <c r="F33" s="6" t="s">
        <v>13</v>
      </c>
    </row>
    <row r="34">
      <c r="A34" s="17" t="s">
        <v>50</v>
      </c>
      <c r="D34" s="6" t="s">
        <v>639</v>
      </c>
      <c r="F34" s="6" t="s">
        <v>639</v>
      </c>
    </row>
    <row r="35">
      <c r="D35" s="6" t="s">
        <v>11</v>
      </c>
      <c r="F35" s="6" t="s">
        <v>11</v>
      </c>
    </row>
    <row r="36">
      <c r="D36" s="6" t="s">
        <v>12</v>
      </c>
      <c r="F36" s="6" t="s">
        <v>12</v>
      </c>
    </row>
    <row r="37">
      <c r="D37" s="6" t="s">
        <v>664</v>
      </c>
      <c r="F37" s="6" t="s">
        <v>664</v>
      </c>
    </row>
    <row r="38">
      <c r="D38" s="6" t="s">
        <v>665</v>
      </c>
      <c r="F38" s="6" t="s">
        <v>665</v>
      </c>
    </row>
    <row r="39">
      <c r="D39" s="6" t="s">
        <v>666</v>
      </c>
      <c r="F39" s="6" t="s">
        <v>666</v>
      </c>
    </row>
    <row r="40">
      <c r="D40" s="6" t="s">
        <v>667</v>
      </c>
      <c r="F40" s="6" t="s">
        <v>34</v>
      </c>
    </row>
    <row r="41">
      <c r="D41" s="6" t="s">
        <v>634</v>
      </c>
      <c r="F41" s="6" t="s">
        <v>634</v>
      </c>
    </row>
    <row r="42">
      <c r="D42" s="6" t="s">
        <v>668</v>
      </c>
      <c r="F42" s="6" t="s">
        <v>9</v>
      </c>
    </row>
    <row r="43">
      <c r="D43" s="6" t="s">
        <v>669</v>
      </c>
      <c r="F43" s="6" t="s">
        <v>668</v>
      </c>
    </row>
    <row r="44">
      <c r="D44" s="6" t="s">
        <v>670</v>
      </c>
      <c r="F44" s="6" t="s">
        <v>669</v>
      </c>
    </row>
    <row r="45">
      <c r="D45" s="6" t="s">
        <v>671</v>
      </c>
      <c r="F45" s="6" t="s">
        <v>670</v>
      </c>
    </row>
    <row r="46">
      <c r="F46" s="6" t="s">
        <v>671</v>
      </c>
    </row>
  </sheetData>
  <conditionalFormatting sqref="A1:A34 B1 E1 G1:AH1">
    <cfRule type="cellIs" dxfId="1" priority="1" operator="equal">
      <formula>"TBD"</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5.63"/>
    <col customWidth="1" min="2" max="2" width="33.25"/>
    <col customWidth="1" min="3" max="6" width="21.0"/>
    <col customWidth="1" min="7" max="7" width="24.5"/>
    <col customWidth="1" min="8" max="23" width="21.0"/>
    <col customWidth="1" min="24" max="27" width="20.88"/>
    <col customWidth="1" min="28" max="28" width="21.0"/>
    <col customWidth="1" min="29" max="29" width="20.88"/>
    <col customWidth="1" min="30" max="33" width="21.0"/>
    <col customWidth="1" min="34" max="34" width="1.63"/>
    <col customWidth="1" min="35" max="35" width="21.0"/>
  </cols>
  <sheetData>
    <row r="1">
      <c r="A1" s="10" t="s">
        <v>672</v>
      </c>
      <c r="B1" s="7" t="s">
        <v>36</v>
      </c>
      <c r="C1" s="11" t="s">
        <v>673</v>
      </c>
      <c r="D1" s="11" t="s">
        <v>674</v>
      </c>
      <c r="E1" s="11" t="s">
        <v>675</v>
      </c>
      <c r="F1" s="11" t="s">
        <v>676</v>
      </c>
      <c r="G1" s="11" t="s">
        <v>631</v>
      </c>
      <c r="H1" s="12" t="s">
        <v>677</v>
      </c>
      <c r="I1" s="12" t="s">
        <v>678</v>
      </c>
      <c r="J1" s="12" t="s">
        <v>679</v>
      </c>
      <c r="K1" s="12" t="s">
        <v>680</v>
      </c>
      <c r="L1" s="12" t="s">
        <v>681</v>
      </c>
      <c r="M1" s="12" t="s">
        <v>682</v>
      </c>
      <c r="N1" s="12" t="s">
        <v>683</v>
      </c>
      <c r="O1" s="15" t="s">
        <v>39</v>
      </c>
      <c r="P1" s="15" t="s">
        <v>638</v>
      </c>
      <c r="Q1" s="15" t="s">
        <v>684</v>
      </c>
      <c r="R1" s="15" t="s">
        <v>685</v>
      </c>
      <c r="S1" s="15" t="s">
        <v>686</v>
      </c>
      <c r="T1" s="80" t="s">
        <v>662</v>
      </c>
      <c r="U1" s="80" t="s">
        <v>632</v>
      </c>
      <c r="V1" s="15" t="s">
        <v>687</v>
      </c>
      <c r="W1" s="15" t="s">
        <v>688</v>
      </c>
      <c r="X1" s="15" t="s">
        <v>689</v>
      </c>
      <c r="Y1" s="15" t="s">
        <v>690</v>
      </c>
      <c r="Z1" s="15" t="s">
        <v>691</v>
      </c>
      <c r="AA1" s="15" t="s">
        <v>640</v>
      </c>
      <c r="AB1" s="15" t="s">
        <v>692</v>
      </c>
      <c r="AC1" s="15" t="s">
        <v>693</v>
      </c>
      <c r="AD1" s="15" t="s">
        <v>694</v>
      </c>
      <c r="AE1" s="15" t="s">
        <v>641</v>
      </c>
      <c r="AF1" s="15" t="s">
        <v>642</v>
      </c>
      <c r="AG1" s="121" t="s">
        <v>663</v>
      </c>
      <c r="AH1" s="14" t="s">
        <v>47</v>
      </c>
      <c r="AI1" s="15" t="s">
        <v>48</v>
      </c>
    </row>
    <row r="2">
      <c r="A2" s="10" t="s">
        <v>51</v>
      </c>
      <c r="B2" s="122"/>
      <c r="C2" s="11" t="s">
        <v>52</v>
      </c>
      <c r="D2" s="11" t="s">
        <v>52</v>
      </c>
      <c r="E2" s="11" t="s">
        <v>52</v>
      </c>
      <c r="F2" s="11" t="s">
        <v>52</v>
      </c>
      <c r="G2" s="11" t="s">
        <v>53</v>
      </c>
      <c r="H2" s="12" t="s">
        <v>52</v>
      </c>
      <c r="I2" s="12" t="s">
        <v>52</v>
      </c>
      <c r="J2" s="12" t="s">
        <v>52</v>
      </c>
      <c r="K2" s="12" t="s">
        <v>52</v>
      </c>
      <c r="L2" s="12" t="s">
        <v>52</v>
      </c>
      <c r="M2" s="12" t="s">
        <v>52</v>
      </c>
      <c r="N2" s="12" t="s">
        <v>52</v>
      </c>
      <c r="O2" s="15" t="s">
        <v>79</v>
      </c>
      <c r="P2" s="15" t="s">
        <v>55</v>
      </c>
      <c r="Q2" s="15" t="s">
        <v>63</v>
      </c>
      <c r="R2" s="15" t="s">
        <v>58</v>
      </c>
      <c r="S2" s="15" t="s">
        <v>57</v>
      </c>
      <c r="T2" s="80" t="s">
        <v>55</v>
      </c>
      <c r="U2" s="80" t="s">
        <v>52</v>
      </c>
      <c r="V2" s="15" t="s">
        <v>55</v>
      </c>
      <c r="W2" s="15" t="s">
        <v>53</v>
      </c>
      <c r="X2" s="15" t="s">
        <v>52</v>
      </c>
      <c r="Y2" s="123"/>
      <c r="Z2" s="15" t="s">
        <v>58</v>
      </c>
      <c r="AA2" s="15" t="s">
        <v>53</v>
      </c>
      <c r="AB2" s="15" t="s">
        <v>52</v>
      </c>
      <c r="AC2" s="15" t="s">
        <v>55</v>
      </c>
      <c r="AD2" s="15" t="s">
        <v>53</v>
      </c>
      <c r="AE2" s="15" t="s">
        <v>55</v>
      </c>
      <c r="AF2" s="15" t="s">
        <v>53</v>
      </c>
      <c r="AG2" s="121"/>
      <c r="AH2" s="20" t="s">
        <v>47</v>
      </c>
      <c r="AI2" s="15" t="s">
        <v>65</v>
      </c>
    </row>
    <row r="3">
      <c r="A3" s="10" t="s">
        <v>66</v>
      </c>
      <c r="B3" s="124"/>
      <c r="C3" s="11" t="s">
        <v>67</v>
      </c>
      <c r="D3" s="11" t="s">
        <v>67</v>
      </c>
      <c r="E3" s="11" t="s">
        <v>67</v>
      </c>
      <c r="F3" s="11" t="s">
        <v>695</v>
      </c>
      <c r="G3" s="11" t="s">
        <v>53</v>
      </c>
      <c r="H3" s="12" t="s">
        <v>67</v>
      </c>
      <c r="I3" s="12" t="s">
        <v>70</v>
      </c>
      <c r="J3" s="12" t="s">
        <v>67</v>
      </c>
      <c r="K3" s="12" t="s">
        <v>67</v>
      </c>
      <c r="L3" s="12" t="s">
        <v>71</v>
      </c>
      <c r="M3" s="12"/>
      <c r="N3" s="12"/>
      <c r="O3" s="15"/>
      <c r="P3" s="15" t="s">
        <v>80</v>
      </c>
      <c r="Q3" s="15" t="s">
        <v>696</v>
      </c>
      <c r="R3" s="15" t="s">
        <v>83</v>
      </c>
      <c r="S3" s="15" t="s">
        <v>82</v>
      </c>
      <c r="T3" s="15" t="s">
        <v>697</v>
      </c>
      <c r="U3" s="15" t="s">
        <v>75</v>
      </c>
      <c r="V3" s="15" t="s">
        <v>81</v>
      </c>
      <c r="W3" s="15" t="s">
        <v>77</v>
      </c>
      <c r="X3" s="15" t="s">
        <v>78</v>
      </c>
      <c r="Y3" s="123"/>
      <c r="Z3" s="15" t="s">
        <v>84</v>
      </c>
      <c r="AA3" s="15" t="s">
        <v>74</v>
      </c>
      <c r="AB3" s="15" t="s">
        <v>571</v>
      </c>
      <c r="AC3" s="15" t="s">
        <v>698</v>
      </c>
      <c r="AD3" s="15" t="s">
        <v>575</v>
      </c>
      <c r="AE3" s="15" t="s">
        <v>76</v>
      </c>
      <c r="AF3" s="15" t="s">
        <v>85</v>
      </c>
      <c r="AG3" s="121"/>
      <c r="AH3" s="18"/>
      <c r="AI3" s="15" t="s">
        <v>65</v>
      </c>
    </row>
    <row r="4" ht="37.5" hidden="1" customHeight="1">
      <c r="A4" s="125" t="s">
        <v>699</v>
      </c>
      <c r="B4" s="126" t="s">
        <v>109</v>
      </c>
      <c r="C4" s="24" t="s">
        <v>700</v>
      </c>
      <c r="D4" s="24" t="s">
        <v>700</v>
      </c>
      <c r="E4" s="24" t="s">
        <v>700</v>
      </c>
      <c r="F4" s="24" t="s">
        <v>700</v>
      </c>
      <c r="G4" s="24" t="s">
        <v>700</v>
      </c>
      <c r="H4" s="24" t="s">
        <v>700</v>
      </c>
      <c r="I4" s="24" t="s">
        <v>700</v>
      </c>
      <c r="J4" s="24" t="s">
        <v>700</v>
      </c>
      <c r="K4" s="24" t="s">
        <v>700</v>
      </c>
      <c r="L4" s="24" t="s">
        <v>700</v>
      </c>
      <c r="M4" s="24" t="s">
        <v>700</v>
      </c>
      <c r="N4" s="24" t="s">
        <v>700</v>
      </c>
      <c r="O4" s="24" t="s">
        <v>700</v>
      </c>
      <c r="P4" s="24" t="s">
        <v>700</v>
      </c>
      <c r="Q4" s="24" t="s">
        <v>701</v>
      </c>
      <c r="R4" s="24" t="s">
        <v>701</v>
      </c>
      <c r="S4" s="24" t="s">
        <v>701</v>
      </c>
      <c r="T4" s="24" t="s">
        <v>701</v>
      </c>
      <c r="U4" s="24" t="s">
        <v>702</v>
      </c>
      <c r="V4" s="24" t="s">
        <v>701</v>
      </c>
      <c r="W4" s="24" t="s">
        <v>701</v>
      </c>
      <c r="X4" s="24" t="s">
        <v>701</v>
      </c>
      <c r="Y4" s="24" t="s">
        <v>700</v>
      </c>
      <c r="Z4" s="24" t="s">
        <v>701</v>
      </c>
      <c r="AA4" s="24" t="s">
        <v>701</v>
      </c>
      <c r="AB4" s="24" t="s">
        <v>700</v>
      </c>
      <c r="AC4" s="24" t="s">
        <v>700</v>
      </c>
      <c r="AD4" s="24" t="s">
        <v>700</v>
      </c>
      <c r="AE4" s="24" t="s">
        <v>700</v>
      </c>
      <c r="AF4" s="24" t="s">
        <v>700</v>
      </c>
      <c r="AG4" s="24"/>
      <c r="AH4" s="18"/>
      <c r="AI4" s="24"/>
    </row>
    <row r="5" ht="37.5" hidden="1" customHeight="1">
      <c r="A5" s="125"/>
      <c r="B5" s="126" t="s">
        <v>703</v>
      </c>
      <c r="C5" s="24" t="s">
        <v>704</v>
      </c>
      <c r="D5" s="24" t="s">
        <v>704</v>
      </c>
      <c r="E5" s="24" t="s">
        <v>704</v>
      </c>
      <c r="F5" s="24" t="s">
        <v>705</v>
      </c>
      <c r="G5" s="24" t="s">
        <v>704</v>
      </c>
      <c r="H5" s="24" t="s">
        <v>706</v>
      </c>
      <c r="I5" s="24" t="s">
        <v>707</v>
      </c>
      <c r="J5" s="24" t="s">
        <v>708</v>
      </c>
      <c r="K5" s="24" t="s">
        <v>709</v>
      </c>
      <c r="L5" s="24" t="s">
        <v>710</v>
      </c>
      <c r="M5" s="24"/>
      <c r="N5" s="24"/>
      <c r="O5" s="24" t="s">
        <v>711</v>
      </c>
      <c r="P5" s="24" t="s">
        <v>711</v>
      </c>
      <c r="Q5" s="24" t="s">
        <v>712</v>
      </c>
      <c r="R5" s="24" t="s">
        <v>713</v>
      </c>
      <c r="S5" s="24" t="s">
        <v>712</v>
      </c>
      <c r="T5" s="24" t="s">
        <v>713</v>
      </c>
      <c r="U5" s="24" t="s">
        <v>713</v>
      </c>
      <c r="V5" s="24" t="s">
        <v>713</v>
      </c>
      <c r="W5" s="24" t="s">
        <v>713</v>
      </c>
      <c r="X5" s="24" t="s">
        <v>713</v>
      </c>
      <c r="Y5" s="24" t="s">
        <v>713</v>
      </c>
      <c r="Z5" s="24" t="s">
        <v>713</v>
      </c>
      <c r="AA5" s="24" t="s">
        <v>713</v>
      </c>
      <c r="AB5" s="24" t="s">
        <v>713</v>
      </c>
      <c r="AC5" s="24" t="s">
        <v>712</v>
      </c>
      <c r="AD5" s="24" t="s">
        <v>713</v>
      </c>
      <c r="AE5" s="24" t="s">
        <v>712</v>
      </c>
      <c r="AF5" s="24" t="s">
        <v>713</v>
      </c>
      <c r="AG5" s="24" t="s">
        <v>714</v>
      </c>
      <c r="AH5" s="20" t="s">
        <v>47</v>
      </c>
      <c r="AI5" s="24" t="s">
        <v>124</v>
      </c>
    </row>
    <row r="6" ht="43.5" hidden="1" customHeight="1">
      <c r="A6" s="21" t="s">
        <v>715</v>
      </c>
      <c r="B6" s="126" t="s">
        <v>126</v>
      </c>
      <c r="C6" s="31">
        <v>40000.0</v>
      </c>
      <c r="D6" s="31">
        <v>40000.0</v>
      </c>
      <c r="E6" s="31">
        <v>40000.0</v>
      </c>
      <c r="F6" s="31">
        <v>10000.0</v>
      </c>
      <c r="G6" s="31">
        <v>50000.0</v>
      </c>
      <c r="H6" s="31">
        <v>15000.0</v>
      </c>
      <c r="I6" s="31">
        <v>25000.0</v>
      </c>
      <c r="J6" s="31">
        <v>25000.0</v>
      </c>
      <c r="K6" s="31">
        <v>25000.0</v>
      </c>
      <c r="L6" s="24" t="s">
        <v>716</v>
      </c>
      <c r="M6" s="31">
        <v>30000.0</v>
      </c>
      <c r="N6" s="31">
        <v>40000.0</v>
      </c>
      <c r="O6" s="49" t="s">
        <v>717</v>
      </c>
      <c r="P6" s="49" t="s">
        <v>718</v>
      </c>
      <c r="Q6" s="31">
        <v>65000.0</v>
      </c>
      <c r="R6" s="31">
        <v>45000.0</v>
      </c>
      <c r="S6" s="31">
        <v>65000.0</v>
      </c>
      <c r="T6" s="31">
        <v>50000.0</v>
      </c>
      <c r="U6" s="31">
        <v>40000.0</v>
      </c>
      <c r="V6" s="31">
        <v>50000.0</v>
      </c>
      <c r="W6" s="31">
        <v>50000.0</v>
      </c>
      <c r="X6" s="31">
        <v>50000.0</v>
      </c>
      <c r="Y6" s="31">
        <v>50000.0</v>
      </c>
      <c r="Z6" s="31">
        <v>45000.0</v>
      </c>
      <c r="AA6" s="31">
        <v>40000.0</v>
      </c>
      <c r="AB6" s="31">
        <v>40000.0</v>
      </c>
      <c r="AC6" s="31">
        <v>75000.0</v>
      </c>
      <c r="AD6" s="31">
        <v>40000.0</v>
      </c>
      <c r="AE6" s="31">
        <v>75000.0</v>
      </c>
      <c r="AF6" s="31">
        <v>40000.0</v>
      </c>
      <c r="AG6" s="24"/>
      <c r="AH6" s="20" t="s">
        <v>47</v>
      </c>
      <c r="AI6" s="24" t="s">
        <v>131</v>
      </c>
    </row>
    <row r="7" ht="60.0" hidden="1" customHeight="1">
      <c r="A7" s="21" t="s">
        <v>132</v>
      </c>
      <c r="B7" s="126" t="s">
        <v>719</v>
      </c>
      <c r="C7" s="23" t="s">
        <v>99</v>
      </c>
      <c r="D7" s="23" t="s">
        <v>99</v>
      </c>
      <c r="E7" s="23" t="s">
        <v>99</v>
      </c>
      <c r="F7" s="56" t="s">
        <v>720</v>
      </c>
      <c r="G7" s="24" t="s">
        <v>134</v>
      </c>
      <c r="H7" s="24" t="s">
        <v>721</v>
      </c>
      <c r="I7" s="24" t="s">
        <v>721</v>
      </c>
      <c r="J7" s="24" t="s">
        <v>721</v>
      </c>
      <c r="K7" s="24" t="s">
        <v>721</v>
      </c>
      <c r="L7" s="24" t="s">
        <v>721</v>
      </c>
      <c r="M7" s="24" t="s">
        <v>721</v>
      </c>
      <c r="N7" s="24" t="s">
        <v>721</v>
      </c>
      <c r="O7" s="23" t="s">
        <v>99</v>
      </c>
      <c r="P7" s="23" t="s">
        <v>99</v>
      </c>
      <c r="Q7" s="23" t="s">
        <v>99</v>
      </c>
      <c r="R7" s="23" t="s">
        <v>99</v>
      </c>
      <c r="S7" s="23" t="s">
        <v>99</v>
      </c>
      <c r="T7" s="23" t="s">
        <v>99</v>
      </c>
      <c r="U7" s="23" t="s">
        <v>99</v>
      </c>
      <c r="V7" s="23" t="s">
        <v>99</v>
      </c>
      <c r="W7" s="23" t="s">
        <v>99</v>
      </c>
      <c r="X7" s="23" t="s">
        <v>99</v>
      </c>
      <c r="Y7" s="23" t="s">
        <v>99</v>
      </c>
      <c r="Z7" s="23" t="s">
        <v>99</v>
      </c>
      <c r="AA7" s="23" t="s">
        <v>99</v>
      </c>
      <c r="AB7" s="23" t="s">
        <v>99</v>
      </c>
      <c r="AC7" s="23" t="s">
        <v>99</v>
      </c>
      <c r="AD7" s="23" t="s">
        <v>99</v>
      </c>
      <c r="AE7" s="23" t="s">
        <v>99</v>
      </c>
      <c r="AF7" s="23" t="s">
        <v>99</v>
      </c>
      <c r="AG7" s="24"/>
      <c r="AH7" s="20" t="s">
        <v>47</v>
      </c>
      <c r="AI7" s="24" t="s">
        <v>139</v>
      </c>
    </row>
    <row r="8" ht="37.5" hidden="1" customHeight="1">
      <c r="A8" s="21" t="s">
        <v>150</v>
      </c>
      <c r="B8" s="127" t="s">
        <v>47</v>
      </c>
      <c r="C8" s="36" t="s">
        <v>47</v>
      </c>
      <c r="D8" s="36" t="s">
        <v>47</v>
      </c>
      <c r="E8" s="36" t="s">
        <v>47</v>
      </c>
      <c r="F8" s="36" t="s">
        <v>47</v>
      </c>
      <c r="G8" s="36" t="s">
        <v>47</v>
      </c>
      <c r="H8" s="36" t="s">
        <v>47</v>
      </c>
      <c r="I8" s="36" t="s">
        <v>47</v>
      </c>
      <c r="J8" s="36" t="s">
        <v>47</v>
      </c>
      <c r="K8" s="36" t="s">
        <v>47</v>
      </c>
      <c r="L8" s="36" t="s">
        <v>47</v>
      </c>
      <c r="M8" s="36" t="s">
        <v>47</v>
      </c>
      <c r="N8" s="36" t="s">
        <v>47</v>
      </c>
      <c r="O8" s="36" t="s">
        <v>47</v>
      </c>
      <c r="P8" s="36" t="s">
        <v>47</v>
      </c>
      <c r="Q8" s="36" t="s">
        <v>47</v>
      </c>
      <c r="R8" s="36" t="s">
        <v>47</v>
      </c>
      <c r="S8" s="36" t="s">
        <v>47</v>
      </c>
      <c r="T8" s="38" t="s">
        <v>47</v>
      </c>
      <c r="U8" s="38" t="s">
        <v>47</v>
      </c>
      <c r="V8" s="36" t="s">
        <v>47</v>
      </c>
      <c r="W8" s="36" t="s">
        <v>47</v>
      </c>
      <c r="X8" s="36" t="s">
        <v>47</v>
      </c>
      <c r="Y8" s="36" t="s">
        <v>47</v>
      </c>
      <c r="Z8" s="36" t="s">
        <v>47</v>
      </c>
      <c r="AA8" s="36" t="s">
        <v>47</v>
      </c>
      <c r="AB8" s="36" t="s">
        <v>47</v>
      </c>
      <c r="AC8" s="36" t="s">
        <v>47</v>
      </c>
      <c r="AD8" s="36" t="s">
        <v>47</v>
      </c>
      <c r="AE8" s="36" t="s">
        <v>47</v>
      </c>
      <c r="AF8" s="36" t="s">
        <v>47</v>
      </c>
      <c r="AG8" s="37"/>
      <c r="AH8" s="18"/>
      <c r="AI8" s="37"/>
    </row>
    <row r="9" ht="58.5" hidden="1" customHeight="1">
      <c r="A9" s="39" t="s">
        <v>722</v>
      </c>
      <c r="B9" s="122" t="s">
        <v>155</v>
      </c>
      <c r="C9" s="40" t="s">
        <v>139</v>
      </c>
      <c r="D9" s="40" t="s">
        <v>139</v>
      </c>
      <c r="E9" s="40" t="s">
        <v>139</v>
      </c>
      <c r="F9" s="40" t="s">
        <v>139</v>
      </c>
      <c r="G9" s="56" t="s">
        <v>723</v>
      </c>
      <c r="H9" s="24" t="s">
        <v>724</v>
      </c>
      <c r="I9" s="24" t="s">
        <v>725</v>
      </c>
      <c r="J9" s="40" t="s">
        <v>139</v>
      </c>
      <c r="K9" s="24" t="s">
        <v>160</v>
      </c>
      <c r="L9" s="24" t="s">
        <v>726</v>
      </c>
      <c r="M9" s="40" t="s">
        <v>139</v>
      </c>
      <c r="N9" s="40" t="s">
        <v>139</v>
      </c>
      <c r="O9" s="23" t="s">
        <v>99</v>
      </c>
      <c r="P9" s="23" t="s">
        <v>99</v>
      </c>
      <c r="Q9" s="23" t="s">
        <v>99</v>
      </c>
      <c r="R9" s="23" t="s">
        <v>99</v>
      </c>
      <c r="S9" s="23" t="s">
        <v>99</v>
      </c>
      <c r="T9" s="23" t="s">
        <v>99</v>
      </c>
      <c r="U9" s="23" t="s">
        <v>99</v>
      </c>
      <c r="V9" s="23" t="s">
        <v>99</v>
      </c>
      <c r="W9" s="23" t="s">
        <v>99</v>
      </c>
      <c r="X9" s="23" t="s">
        <v>99</v>
      </c>
      <c r="Y9" s="23" t="s">
        <v>99</v>
      </c>
      <c r="Z9" s="23" t="s">
        <v>99</v>
      </c>
      <c r="AA9" s="23" t="s">
        <v>99</v>
      </c>
      <c r="AB9" s="23" t="s">
        <v>99</v>
      </c>
      <c r="AC9" s="23" t="s">
        <v>99</v>
      </c>
      <c r="AD9" s="23" t="s">
        <v>99</v>
      </c>
      <c r="AE9" s="23" t="s">
        <v>99</v>
      </c>
      <c r="AF9" s="23" t="s">
        <v>99</v>
      </c>
      <c r="AG9" s="24"/>
      <c r="AH9" s="20" t="s">
        <v>47</v>
      </c>
      <c r="AI9" s="24"/>
    </row>
    <row r="10" ht="74.25" hidden="1" customHeight="1">
      <c r="A10" s="39" t="s">
        <v>727</v>
      </c>
      <c r="B10" s="122" t="s">
        <v>728</v>
      </c>
      <c r="C10" s="23" t="s">
        <v>99</v>
      </c>
      <c r="D10" s="23" t="s">
        <v>99</v>
      </c>
      <c r="E10" s="23" t="s">
        <v>99</v>
      </c>
      <c r="F10" s="23" t="s">
        <v>99</v>
      </c>
      <c r="G10" s="23" t="s">
        <v>99</v>
      </c>
      <c r="H10" s="23" t="s">
        <v>99</v>
      </c>
      <c r="I10" s="23" t="s">
        <v>99</v>
      </c>
      <c r="J10" s="23" t="s">
        <v>99</v>
      </c>
      <c r="K10" s="23" t="s">
        <v>99</v>
      </c>
      <c r="L10" s="23" t="s">
        <v>99</v>
      </c>
      <c r="M10" s="23" t="s">
        <v>99</v>
      </c>
      <c r="N10" s="23" t="s">
        <v>99</v>
      </c>
      <c r="O10" s="23" t="s">
        <v>99</v>
      </c>
      <c r="P10" s="23" t="s">
        <v>99</v>
      </c>
      <c r="Q10" s="23" t="s">
        <v>99</v>
      </c>
      <c r="R10" s="23" t="s">
        <v>99</v>
      </c>
      <c r="S10" s="23" t="s">
        <v>99</v>
      </c>
      <c r="T10" s="23" t="s">
        <v>99</v>
      </c>
      <c r="U10" s="23" t="s">
        <v>99</v>
      </c>
      <c r="V10" s="23" t="s">
        <v>99</v>
      </c>
      <c r="W10" s="23" t="s">
        <v>99</v>
      </c>
      <c r="X10" s="23" t="s">
        <v>99</v>
      </c>
      <c r="Y10" s="23" t="s">
        <v>99</v>
      </c>
      <c r="Z10" s="23" t="s">
        <v>99</v>
      </c>
      <c r="AA10" s="23" t="s">
        <v>99</v>
      </c>
      <c r="AB10" s="23" t="s">
        <v>99</v>
      </c>
      <c r="AC10" s="23" t="s">
        <v>99</v>
      </c>
      <c r="AD10" s="23" t="s">
        <v>99</v>
      </c>
      <c r="AE10" s="23" t="s">
        <v>99</v>
      </c>
      <c r="AF10" s="23" t="s">
        <v>99</v>
      </c>
      <c r="AG10" s="34"/>
      <c r="AH10" s="20" t="s">
        <v>47</v>
      </c>
      <c r="AI10" s="34"/>
    </row>
    <row r="11" hidden="1">
      <c r="A11" s="39" t="s">
        <v>729</v>
      </c>
      <c r="B11" s="126" t="s">
        <v>168</v>
      </c>
      <c r="C11" s="23" t="s">
        <v>99</v>
      </c>
      <c r="D11" s="23" t="s">
        <v>99</v>
      </c>
      <c r="E11" s="23" t="s">
        <v>99</v>
      </c>
      <c r="F11" s="23" t="s">
        <v>99</v>
      </c>
      <c r="G11" s="23" t="s">
        <v>99</v>
      </c>
      <c r="H11" s="23" t="s">
        <v>99</v>
      </c>
      <c r="I11" s="23" t="s">
        <v>99</v>
      </c>
      <c r="J11" s="23" t="s">
        <v>99</v>
      </c>
      <c r="K11" s="23" t="s">
        <v>99</v>
      </c>
      <c r="L11" s="23" t="s">
        <v>99</v>
      </c>
      <c r="M11" s="23" t="s">
        <v>99</v>
      </c>
      <c r="N11" s="23" t="s">
        <v>99</v>
      </c>
      <c r="O11" s="23" t="s">
        <v>99</v>
      </c>
      <c r="P11" s="23" t="s">
        <v>99</v>
      </c>
      <c r="Q11" s="23" t="s">
        <v>99</v>
      </c>
      <c r="R11" s="23" t="s">
        <v>99</v>
      </c>
      <c r="S11" s="23" t="s">
        <v>99</v>
      </c>
      <c r="T11" s="23" t="s">
        <v>99</v>
      </c>
      <c r="U11" s="23" t="s">
        <v>99</v>
      </c>
      <c r="V11" s="23" t="s">
        <v>99</v>
      </c>
      <c r="W11" s="23" t="s">
        <v>99</v>
      </c>
      <c r="X11" s="23" t="s">
        <v>99</v>
      </c>
      <c r="Y11" s="23" t="s">
        <v>99</v>
      </c>
      <c r="Z11" s="23" t="s">
        <v>99</v>
      </c>
      <c r="AA11" s="23" t="s">
        <v>99</v>
      </c>
      <c r="AB11" s="23" t="s">
        <v>99</v>
      </c>
      <c r="AC11" s="23" t="s">
        <v>99</v>
      </c>
      <c r="AD11" s="23" t="s">
        <v>99</v>
      </c>
      <c r="AE11" s="23" t="s">
        <v>99</v>
      </c>
      <c r="AF11" s="23" t="s">
        <v>99</v>
      </c>
      <c r="AG11" s="34"/>
      <c r="AH11" s="20" t="s">
        <v>47</v>
      </c>
      <c r="AI11" s="34"/>
    </row>
    <row r="12" hidden="1">
      <c r="A12" s="39" t="s">
        <v>730</v>
      </c>
      <c r="B12" s="122" t="s">
        <v>170</v>
      </c>
      <c r="C12" s="23" t="s">
        <v>99</v>
      </c>
      <c r="D12" s="23" t="s">
        <v>99</v>
      </c>
      <c r="E12" s="23" t="s">
        <v>99</v>
      </c>
      <c r="F12" s="23" t="s">
        <v>99</v>
      </c>
      <c r="G12" s="23" t="s">
        <v>99</v>
      </c>
      <c r="H12" s="23" t="s">
        <v>99</v>
      </c>
      <c r="I12" s="23" t="s">
        <v>99</v>
      </c>
      <c r="J12" s="23" t="s">
        <v>99</v>
      </c>
      <c r="K12" s="23" t="s">
        <v>99</v>
      </c>
      <c r="L12" s="23" t="s">
        <v>99</v>
      </c>
      <c r="M12" s="23" t="s">
        <v>99</v>
      </c>
      <c r="N12" s="23" t="s">
        <v>99</v>
      </c>
      <c r="O12" s="23" t="s">
        <v>99</v>
      </c>
      <c r="P12" s="23" t="s">
        <v>99</v>
      </c>
      <c r="Q12" s="23" t="s">
        <v>99</v>
      </c>
      <c r="R12" s="23" t="s">
        <v>99</v>
      </c>
      <c r="S12" s="23" t="s">
        <v>99</v>
      </c>
      <c r="T12" s="23" t="s">
        <v>99</v>
      </c>
      <c r="U12" s="23" t="s">
        <v>99</v>
      </c>
      <c r="V12" s="23" t="s">
        <v>99</v>
      </c>
      <c r="W12" s="23" t="s">
        <v>99</v>
      </c>
      <c r="X12" s="23" t="s">
        <v>99</v>
      </c>
      <c r="Y12" s="23" t="s">
        <v>99</v>
      </c>
      <c r="Z12" s="23" t="s">
        <v>99</v>
      </c>
      <c r="AA12" s="23" t="s">
        <v>99</v>
      </c>
      <c r="AB12" s="23" t="s">
        <v>99</v>
      </c>
      <c r="AC12" s="23" t="s">
        <v>99</v>
      </c>
      <c r="AD12" s="23" t="s">
        <v>99</v>
      </c>
      <c r="AE12" s="23" t="s">
        <v>99</v>
      </c>
      <c r="AF12" s="23" t="s">
        <v>99</v>
      </c>
      <c r="AG12" s="34"/>
      <c r="AH12" s="20" t="s">
        <v>47</v>
      </c>
      <c r="AI12" s="34"/>
    </row>
    <row r="13" hidden="1">
      <c r="A13" s="39" t="s">
        <v>731</v>
      </c>
      <c r="B13" s="122" t="s">
        <v>172</v>
      </c>
      <c r="C13" s="23" t="s">
        <v>99</v>
      </c>
      <c r="D13" s="23" t="s">
        <v>99</v>
      </c>
      <c r="E13" s="23" t="s">
        <v>99</v>
      </c>
      <c r="F13" s="23" t="s">
        <v>99</v>
      </c>
      <c r="G13" s="23" t="s">
        <v>99</v>
      </c>
      <c r="H13" s="23" t="s">
        <v>99</v>
      </c>
      <c r="I13" s="23" t="s">
        <v>99</v>
      </c>
      <c r="J13" s="23" t="s">
        <v>99</v>
      </c>
      <c r="K13" s="23" t="s">
        <v>99</v>
      </c>
      <c r="L13" s="23" t="s">
        <v>99</v>
      </c>
      <c r="M13" s="23" t="s">
        <v>99</v>
      </c>
      <c r="N13" s="23" t="s">
        <v>99</v>
      </c>
      <c r="O13" s="23" t="s">
        <v>99</v>
      </c>
      <c r="P13" s="23" t="s">
        <v>99</v>
      </c>
      <c r="Q13" s="23" t="s">
        <v>99</v>
      </c>
      <c r="R13" s="23" t="s">
        <v>99</v>
      </c>
      <c r="S13" s="23" t="s">
        <v>99</v>
      </c>
      <c r="T13" s="23" t="s">
        <v>99</v>
      </c>
      <c r="U13" s="23" t="s">
        <v>99</v>
      </c>
      <c r="V13" s="23" t="s">
        <v>99</v>
      </c>
      <c r="W13" s="23" t="s">
        <v>99</v>
      </c>
      <c r="X13" s="23" t="s">
        <v>99</v>
      </c>
      <c r="Y13" s="23" t="s">
        <v>99</v>
      </c>
      <c r="Z13" s="23" t="s">
        <v>99</v>
      </c>
      <c r="AA13" s="23" t="s">
        <v>99</v>
      </c>
      <c r="AB13" s="23" t="s">
        <v>99</v>
      </c>
      <c r="AC13" s="23" t="s">
        <v>99</v>
      </c>
      <c r="AD13" s="23" t="s">
        <v>99</v>
      </c>
      <c r="AE13" s="23" t="s">
        <v>99</v>
      </c>
      <c r="AF13" s="23" t="s">
        <v>99</v>
      </c>
      <c r="AG13" s="34"/>
      <c r="AH13" s="20" t="s">
        <v>47</v>
      </c>
      <c r="AI13" s="34"/>
    </row>
    <row r="14" ht="37.5" hidden="1" customHeight="1">
      <c r="A14" s="21" t="s">
        <v>173</v>
      </c>
      <c r="B14" s="122"/>
      <c r="C14" s="24" t="s">
        <v>732</v>
      </c>
      <c r="D14" s="45">
        <v>45816.0</v>
      </c>
      <c r="E14" s="24" t="s">
        <v>176</v>
      </c>
      <c r="F14" s="24" t="s">
        <v>178</v>
      </c>
      <c r="G14" s="24" t="s">
        <v>733</v>
      </c>
      <c r="H14" s="24" t="s">
        <v>185</v>
      </c>
      <c r="I14" s="24" t="s">
        <v>180</v>
      </c>
      <c r="J14" s="24" t="s">
        <v>180</v>
      </c>
      <c r="K14" s="45">
        <v>45785.0</v>
      </c>
      <c r="L14" s="24" t="s">
        <v>180</v>
      </c>
      <c r="M14" s="128"/>
      <c r="N14" s="24"/>
      <c r="O14" s="24" t="s">
        <v>180</v>
      </c>
      <c r="P14" s="24" t="s">
        <v>184</v>
      </c>
      <c r="Q14" s="24" t="s">
        <v>734</v>
      </c>
      <c r="R14" s="24" t="s">
        <v>734</v>
      </c>
      <c r="S14" s="24" t="s">
        <v>734</v>
      </c>
      <c r="T14" s="24" t="s">
        <v>734</v>
      </c>
      <c r="U14" s="43" t="s">
        <v>180</v>
      </c>
      <c r="V14" s="24" t="s">
        <v>734</v>
      </c>
      <c r="W14" s="24" t="s">
        <v>734</v>
      </c>
      <c r="X14" s="24" t="s">
        <v>734</v>
      </c>
      <c r="Y14" s="24"/>
      <c r="Z14" s="24" t="s">
        <v>734</v>
      </c>
      <c r="AA14" s="24" t="s">
        <v>180</v>
      </c>
      <c r="AB14" s="24"/>
      <c r="AC14" s="24"/>
      <c r="AD14" s="24"/>
      <c r="AE14" s="24"/>
      <c r="AF14" s="24"/>
      <c r="AG14" s="24"/>
      <c r="AH14" s="20" t="s">
        <v>47</v>
      </c>
      <c r="AI14" s="24"/>
    </row>
    <row r="15" ht="37.5" hidden="1" customHeight="1">
      <c r="A15" s="21" t="s">
        <v>735</v>
      </c>
      <c r="B15" s="122"/>
      <c r="C15" s="24" t="s">
        <v>187</v>
      </c>
      <c r="D15" s="24" t="s">
        <v>187</v>
      </c>
      <c r="E15" s="24">
        <v>2019.0</v>
      </c>
      <c r="F15" s="24" t="s">
        <v>736</v>
      </c>
      <c r="G15" s="24">
        <v>2024.0</v>
      </c>
      <c r="H15" s="24">
        <v>2025.0</v>
      </c>
      <c r="I15" s="24">
        <v>2024.0</v>
      </c>
      <c r="J15" s="24">
        <v>2024.0</v>
      </c>
      <c r="K15" s="24">
        <v>2024.0</v>
      </c>
      <c r="L15" s="24">
        <v>2024.0</v>
      </c>
      <c r="M15" s="128"/>
      <c r="N15" s="24"/>
      <c r="O15" s="24" t="s">
        <v>737</v>
      </c>
      <c r="P15" s="24" t="s">
        <v>737</v>
      </c>
      <c r="Q15" s="24"/>
      <c r="R15" s="43" t="s">
        <v>737</v>
      </c>
      <c r="S15" s="43" t="s">
        <v>738</v>
      </c>
      <c r="T15" s="43" t="s">
        <v>739</v>
      </c>
      <c r="U15" s="43" t="s">
        <v>737</v>
      </c>
      <c r="V15" s="24"/>
      <c r="W15" s="24" t="s">
        <v>737</v>
      </c>
      <c r="X15" s="24"/>
      <c r="Y15" s="24"/>
      <c r="Z15" s="24" t="s">
        <v>737</v>
      </c>
      <c r="AA15" s="24" t="s">
        <v>737</v>
      </c>
      <c r="AB15" s="24"/>
      <c r="AC15" s="24"/>
      <c r="AD15" s="24"/>
      <c r="AE15" s="24"/>
      <c r="AF15" s="24"/>
      <c r="AG15" s="24"/>
      <c r="AH15" s="20" t="s">
        <v>47</v>
      </c>
      <c r="AI15" s="24"/>
    </row>
    <row r="16" ht="37.5" hidden="1" customHeight="1">
      <c r="A16" s="21" t="s">
        <v>210</v>
      </c>
      <c r="B16" s="122"/>
      <c r="C16" s="24" t="s">
        <v>740</v>
      </c>
      <c r="D16" s="24" t="s">
        <v>741</v>
      </c>
      <c r="E16" s="24" t="s">
        <v>212</v>
      </c>
      <c r="F16" s="24" t="s">
        <v>577</v>
      </c>
      <c r="G16" s="24" t="s">
        <v>213</v>
      </c>
      <c r="H16" s="24" t="s">
        <v>218</v>
      </c>
      <c r="I16" s="24" t="s">
        <v>217</v>
      </c>
      <c r="J16" s="24" t="s">
        <v>216</v>
      </c>
      <c r="K16" s="24" t="s">
        <v>220</v>
      </c>
      <c r="L16" s="24" t="s">
        <v>742</v>
      </c>
      <c r="M16" s="128"/>
      <c r="N16" s="24"/>
      <c r="O16" s="24" t="s">
        <v>743</v>
      </c>
      <c r="P16" s="24"/>
      <c r="Q16" s="24"/>
      <c r="R16" s="24" t="s">
        <v>234</v>
      </c>
      <c r="S16" s="24" t="s">
        <v>234</v>
      </c>
      <c r="T16" s="24" t="s">
        <v>234</v>
      </c>
      <c r="U16" s="24" t="s">
        <v>234</v>
      </c>
      <c r="V16" s="24"/>
      <c r="W16" s="24" t="s">
        <v>234</v>
      </c>
      <c r="X16" s="24"/>
      <c r="Y16" s="24"/>
      <c r="Z16" s="24" t="s">
        <v>234</v>
      </c>
      <c r="AA16" s="24" t="s">
        <v>234</v>
      </c>
      <c r="AB16" s="24"/>
      <c r="AC16" s="24"/>
      <c r="AD16" s="24"/>
      <c r="AE16" s="24"/>
      <c r="AF16" s="24"/>
      <c r="AG16" s="24"/>
      <c r="AH16" s="20" t="s">
        <v>47</v>
      </c>
      <c r="AI16" s="24" t="s">
        <v>244</v>
      </c>
    </row>
    <row r="17" ht="37.5" hidden="1" customHeight="1">
      <c r="A17" s="21" t="s">
        <v>744</v>
      </c>
      <c r="B17" s="129" t="s">
        <v>745</v>
      </c>
      <c r="C17" s="23" t="s">
        <v>99</v>
      </c>
      <c r="D17" s="23" t="s">
        <v>99</v>
      </c>
      <c r="E17" s="23" t="s">
        <v>99</v>
      </c>
      <c r="F17" s="23" t="s">
        <v>99</v>
      </c>
      <c r="G17" s="23" t="s">
        <v>99</v>
      </c>
      <c r="H17" s="23" t="s">
        <v>99</v>
      </c>
      <c r="I17" s="23" t="s">
        <v>99</v>
      </c>
      <c r="J17" s="23" t="s">
        <v>99</v>
      </c>
      <c r="K17" s="23" t="s">
        <v>99</v>
      </c>
      <c r="L17" s="23" t="s">
        <v>99</v>
      </c>
      <c r="M17" s="23" t="s">
        <v>99</v>
      </c>
      <c r="N17" s="34"/>
      <c r="O17" s="23" t="s">
        <v>99</v>
      </c>
      <c r="P17" s="23" t="s">
        <v>99</v>
      </c>
      <c r="Q17" s="130"/>
      <c r="R17" s="23" t="s">
        <v>99</v>
      </c>
      <c r="S17" s="23" t="s">
        <v>99</v>
      </c>
      <c r="T17" s="23" t="s">
        <v>99</v>
      </c>
      <c r="U17" s="23" t="s">
        <v>99</v>
      </c>
      <c r="V17" s="23" t="s">
        <v>99</v>
      </c>
      <c r="W17" s="23" t="s">
        <v>99</v>
      </c>
      <c r="X17" s="23" t="s">
        <v>99</v>
      </c>
      <c r="Y17" s="130"/>
      <c r="Z17" s="23" t="s">
        <v>99</v>
      </c>
      <c r="AA17" s="26" t="s">
        <v>745</v>
      </c>
      <c r="AB17" s="130"/>
      <c r="AC17" s="130"/>
      <c r="AD17" s="130"/>
      <c r="AE17" s="130"/>
      <c r="AF17" s="130"/>
      <c r="AG17" s="34"/>
      <c r="AH17" s="20" t="s">
        <v>47</v>
      </c>
      <c r="AI17" s="130"/>
    </row>
    <row r="18" ht="37.5" customHeight="1">
      <c r="A18" s="21" t="s">
        <v>746</v>
      </c>
      <c r="B18" s="129" t="s">
        <v>351</v>
      </c>
      <c r="C18" s="36" t="s">
        <v>47</v>
      </c>
      <c r="D18" s="36" t="s">
        <v>47</v>
      </c>
      <c r="E18" s="36" t="s">
        <v>47</v>
      </c>
      <c r="F18" s="36" t="s">
        <v>47</v>
      </c>
      <c r="G18" s="36" t="s">
        <v>47</v>
      </c>
      <c r="H18" s="36" t="s">
        <v>47</v>
      </c>
      <c r="I18" s="36" t="s">
        <v>47</v>
      </c>
      <c r="J18" s="36" t="s">
        <v>47</v>
      </c>
      <c r="K18" s="36" t="s">
        <v>47</v>
      </c>
      <c r="L18" s="36" t="s">
        <v>47</v>
      </c>
      <c r="M18" s="36" t="s">
        <v>47</v>
      </c>
      <c r="N18" s="36" t="s">
        <v>47</v>
      </c>
      <c r="O18" s="36" t="s">
        <v>47</v>
      </c>
      <c r="P18" s="36" t="s">
        <v>47</v>
      </c>
      <c r="Q18" s="36" t="s">
        <v>47</v>
      </c>
      <c r="R18" s="36" t="s">
        <v>47</v>
      </c>
      <c r="S18" s="36" t="s">
        <v>47</v>
      </c>
      <c r="T18" s="38" t="s">
        <v>47</v>
      </c>
      <c r="U18" s="38" t="s">
        <v>47</v>
      </c>
      <c r="V18" s="36" t="s">
        <v>47</v>
      </c>
      <c r="W18" s="36" t="s">
        <v>47</v>
      </c>
      <c r="X18" s="36" t="s">
        <v>47</v>
      </c>
      <c r="Y18" s="36" t="s">
        <v>47</v>
      </c>
      <c r="Z18" s="36" t="s">
        <v>47</v>
      </c>
      <c r="AA18" s="36" t="s">
        <v>47</v>
      </c>
      <c r="AB18" s="36" t="s">
        <v>47</v>
      </c>
      <c r="AC18" s="36" t="s">
        <v>47</v>
      </c>
      <c r="AD18" s="36" t="s">
        <v>47</v>
      </c>
      <c r="AE18" s="36" t="s">
        <v>47</v>
      </c>
      <c r="AF18" s="36" t="s">
        <v>47</v>
      </c>
      <c r="AG18" s="37"/>
      <c r="AH18" s="20" t="s">
        <v>47</v>
      </c>
      <c r="AI18" s="36" t="s">
        <v>47</v>
      </c>
    </row>
    <row r="19" ht="37.5" customHeight="1">
      <c r="A19" s="39" t="s">
        <v>747</v>
      </c>
      <c r="B19" s="122"/>
      <c r="C19" s="24" t="s">
        <v>139</v>
      </c>
      <c r="D19" s="24" t="s">
        <v>748</v>
      </c>
      <c r="E19" s="24" t="s">
        <v>748</v>
      </c>
      <c r="F19" s="24" t="s">
        <v>749</v>
      </c>
      <c r="G19" s="24" t="s">
        <v>750</v>
      </c>
      <c r="H19" s="24" t="s">
        <v>139</v>
      </c>
      <c r="I19" s="24" t="s">
        <v>139</v>
      </c>
      <c r="J19" s="24" t="s">
        <v>113</v>
      </c>
      <c r="K19" s="24" t="s">
        <v>139</v>
      </c>
      <c r="L19" s="24" t="s">
        <v>139</v>
      </c>
      <c r="M19" s="24" t="s">
        <v>139</v>
      </c>
      <c r="N19" s="24"/>
      <c r="O19" s="24" t="s">
        <v>751</v>
      </c>
      <c r="P19" s="24" t="s">
        <v>751</v>
      </c>
      <c r="Q19" s="24"/>
      <c r="R19" s="24"/>
      <c r="S19" s="24"/>
      <c r="T19" s="131"/>
      <c r="U19" s="43" t="s">
        <v>113</v>
      </c>
      <c r="V19" s="24"/>
      <c r="W19" s="24"/>
      <c r="X19" s="24"/>
      <c r="Y19" s="24"/>
      <c r="Z19" s="24"/>
      <c r="AA19" s="24"/>
      <c r="AB19" s="24"/>
      <c r="AC19" s="24"/>
      <c r="AD19" s="24"/>
      <c r="AE19" s="24" t="s">
        <v>751</v>
      </c>
      <c r="AF19" s="24"/>
      <c r="AG19" s="24"/>
      <c r="AH19" s="20" t="s">
        <v>47</v>
      </c>
      <c r="AI19" s="24" t="s">
        <v>752</v>
      </c>
    </row>
    <row r="20" ht="37.5" customHeight="1">
      <c r="A20" s="39" t="s">
        <v>753</v>
      </c>
      <c r="B20" s="122"/>
      <c r="C20" s="24" t="s">
        <v>754</v>
      </c>
      <c r="D20" s="24" t="s">
        <v>754</v>
      </c>
      <c r="E20" s="24" t="s">
        <v>754</v>
      </c>
      <c r="F20" s="24" t="s">
        <v>754</v>
      </c>
      <c r="G20" s="24" t="s">
        <v>754</v>
      </c>
      <c r="H20" s="24" t="s">
        <v>754</v>
      </c>
      <c r="I20" s="24" t="s">
        <v>754</v>
      </c>
      <c r="J20" s="24" t="s">
        <v>754</v>
      </c>
      <c r="K20" s="24" t="s">
        <v>754</v>
      </c>
      <c r="L20" s="24" t="s">
        <v>754</v>
      </c>
      <c r="M20" s="24" t="s">
        <v>754</v>
      </c>
      <c r="N20" s="24"/>
      <c r="O20" s="24" t="s">
        <v>139</v>
      </c>
      <c r="P20" s="24" t="s">
        <v>139</v>
      </c>
      <c r="Q20" s="24"/>
      <c r="R20" s="24" t="s">
        <v>755</v>
      </c>
      <c r="S20" s="24" t="s">
        <v>755</v>
      </c>
      <c r="T20" s="24" t="s">
        <v>755</v>
      </c>
      <c r="U20" s="24" t="s">
        <v>755</v>
      </c>
      <c r="V20" s="24" t="s">
        <v>755</v>
      </c>
      <c r="W20" s="24" t="s">
        <v>755</v>
      </c>
      <c r="X20" s="24" t="s">
        <v>755</v>
      </c>
      <c r="Y20" s="24" t="s">
        <v>755</v>
      </c>
      <c r="Z20" s="24" t="s">
        <v>755</v>
      </c>
      <c r="AA20" s="24" t="s">
        <v>755</v>
      </c>
      <c r="AB20" s="24" t="s">
        <v>755</v>
      </c>
      <c r="AC20" s="24"/>
      <c r="AD20" s="24" t="s">
        <v>755</v>
      </c>
      <c r="AE20" s="24"/>
      <c r="AF20" s="24" t="s">
        <v>755</v>
      </c>
      <c r="AG20" s="24"/>
      <c r="AH20" s="20" t="s">
        <v>47</v>
      </c>
      <c r="AI20" s="24" t="s">
        <v>139</v>
      </c>
    </row>
    <row r="21" ht="37.5" customHeight="1">
      <c r="A21" s="39" t="s">
        <v>756</v>
      </c>
      <c r="B21" s="122"/>
      <c r="C21" s="24" t="s">
        <v>139</v>
      </c>
      <c r="D21" s="24" t="s">
        <v>757</v>
      </c>
      <c r="E21" s="24" t="s">
        <v>757</v>
      </c>
      <c r="F21" s="24"/>
      <c r="G21" s="24" t="s">
        <v>139</v>
      </c>
      <c r="H21" s="24" t="s">
        <v>758</v>
      </c>
      <c r="I21" s="24" t="s">
        <v>759</v>
      </c>
      <c r="J21" s="24"/>
      <c r="K21" s="24" t="s">
        <v>760</v>
      </c>
      <c r="L21" s="24" t="s">
        <v>761</v>
      </c>
      <c r="M21" s="42" t="s">
        <v>762</v>
      </c>
      <c r="N21" s="24"/>
      <c r="O21" s="24" t="s">
        <v>763</v>
      </c>
      <c r="P21" s="24" t="s">
        <v>764</v>
      </c>
      <c r="Q21" s="24"/>
      <c r="R21" s="24"/>
      <c r="S21" s="24"/>
      <c r="T21" s="131"/>
      <c r="U21" s="24" t="s">
        <v>765</v>
      </c>
      <c r="V21" s="24"/>
      <c r="W21" s="24"/>
      <c r="X21" s="24"/>
      <c r="Y21" s="24"/>
      <c r="Z21" s="24"/>
      <c r="AA21" s="24" t="s">
        <v>766</v>
      </c>
      <c r="AB21" s="24" t="s">
        <v>767</v>
      </c>
      <c r="AC21" s="24"/>
      <c r="AD21" s="24" t="s">
        <v>768</v>
      </c>
      <c r="AE21" s="24"/>
      <c r="AF21" s="24" t="s">
        <v>769</v>
      </c>
      <c r="AG21" s="24"/>
      <c r="AH21" s="20" t="s">
        <v>47</v>
      </c>
      <c r="AI21" s="24"/>
    </row>
    <row r="22" ht="37.5" customHeight="1">
      <c r="A22" s="39" t="s">
        <v>770</v>
      </c>
      <c r="B22" s="122"/>
      <c r="C22" s="24" t="s">
        <v>771</v>
      </c>
      <c r="D22" s="24" t="s">
        <v>772</v>
      </c>
      <c r="E22" s="24" t="s">
        <v>772</v>
      </c>
      <c r="F22" s="44" t="s">
        <v>773</v>
      </c>
      <c r="G22" s="24" t="s">
        <v>774</v>
      </c>
      <c r="H22" s="24"/>
      <c r="I22" s="44" t="s">
        <v>113</v>
      </c>
      <c r="J22" s="24" t="s">
        <v>113</v>
      </c>
      <c r="K22" s="44" t="s">
        <v>113</v>
      </c>
      <c r="L22" s="44" t="s">
        <v>113</v>
      </c>
      <c r="M22" s="128"/>
      <c r="N22" s="24"/>
      <c r="O22" s="44" t="s">
        <v>113</v>
      </c>
      <c r="P22" s="44" t="s">
        <v>113</v>
      </c>
      <c r="Q22" s="24"/>
      <c r="R22" s="132" t="s">
        <v>113</v>
      </c>
      <c r="S22" s="132" t="s">
        <v>113</v>
      </c>
      <c r="T22" s="132" t="s">
        <v>113</v>
      </c>
      <c r="U22" s="132" t="s">
        <v>113</v>
      </c>
      <c r="V22" s="132" t="s">
        <v>113</v>
      </c>
      <c r="W22" s="132" t="s">
        <v>113</v>
      </c>
      <c r="X22" s="132" t="s">
        <v>113</v>
      </c>
      <c r="Y22" s="24"/>
      <c r="Z22" s="44" t="s">
        <v>113</v>
      </c>
      <c r="AA22" s="44" t="s">
        <v>113</v>
      </c>
      <c r="AB22" s="24"/>
      <c r="AC22" s="24"/>
      <c r="AD22" s="24"/>
      <c r="AE22" s="24"/>
      <c r="AF22" s="24"/>
      <c r="AG22" s="24"/>
      <c r="AH22" s="20" t="s">
        <v>47</v>
      </c>
      <c r="AI22" s="24"/>
    </row>
    <row r="23" ht="37.5" customHeight="1">
      <c r="A23" s="39" t="s">
        <v>775</v>
      </c>
      <c r="B23" s="122"/>
      <c r="C23" s="24" t="s">
        <v>776</v>
      </c>
      <c r="D23" s="24" t="s">
        <v>776</v>
      </c>
      <c r="E23" s="24" t="s">
        <v>776</v>
      </c>
      <c r="F23" s="133"/>
      <c r="G23" s="24" t="s">
        <v>453</v>
      </c>
      <c r="H23" s="24"/>
      <c r="I23" s="133"/>
      <c r="J23" s="24" t="s">
        <v>777</v>
      </c>
      <c r="K23" s="133"/>
      <c r="L23" s="133"/>
      <c r="M23" s="128"/>
      <c r="N23" s="24"/>
      <c r="O23" s="133"/>
      <c r="P23" s="133"/>
      <c r="Q23" s="24"/>
      <c r="R23" s="133"/>
      <c r="S23" s="133"/>
      <c r="T23" s="133"/>
      <c r="U23" s="133"/>
      <c r="V23" s="133"/>
      <c r="W23" s="133"/>
      <c r="X23" s="133"/>
      <c r="Y23" s="24"/>
      <c r="Z23" s="133"/>
      <c r="AA23" s="133"/>
      <c r="AB23" s="24"/>
      <c r="AC23" s="24"/>
      <c r="AD23" s="24"/>
      <c r="AE23" s="24"/>
      <c r="AF23" s="24"/>
      <c r="AG23" s="24"/>
      <c r="AH23" s="20" t="s">
        <v>47</v>
      </c>
      <c r="AI23" s="24"/>
    </row>
    <row r="24" ht="37.5" customHeight="1">
      <c r="A24" s="39" t="s">
        <v>778</v>
      </c>
      <c r="B24" s="122"/>
      <c r="C24" s="24" t="s">
        <v>779</v>
      </c>
      <c r="D24" s="24"/>
      <c r="E24" s="24"/>
      <c r="F24" s="24"/>
      <c r="G24" s="24"/>
      <c r="H24" s="24"/>
      <c r="I24" s="24" t="s">
        <v>780</v>
      </c>
      <c r="J24" s="24"/>
      <c r="K24" s="24"/>
      <c r="L24" s="24"/>
      <c r="M24" s="128"/>
      <c r="N24" s="24"/>
      <c r="O24" s="24"/>
      <c r="P24" s="24"/>
      <c r="Q24" s="24"/>
      <c r="R24" s="24"/>
      <c r="S24" s="24"/>
      <c r="T24" s="131"/>
      <c r="U24" s="43"/>
      <c r="V24" s="24"/>
      <c r="W24" s="24"/>
      <c r="X24" s="24"/>
      <c r="Y24" s="24"/>
      <c r="Z24" s="24"/>
      <c r="AA24" s="24"/>
      <c r="AB24" s="24"/>
      <c r="AC24" s="24"/>
      <c r="AD24" s="24"/>
      <c r="AE24" s="24"/>
      <c r="AF24" s="24"/>
      <c r="AG24" s="24"/>
      <c r="AH24" s="18"/>
      <c r="AI24" s="24"/>
    </row>
    <row r="25" ht="37.5" customHeight="1">
      <c r="A25" s="39" t="s">
        <v>781</v>
      </c>
      <c r="B25" s="134"/>
      <c r="C25" s="135" t="s">
        <v>782</v>
      </c>
      <c r="D25" s="135"/>
      <c r="E25" s="135" t="s">
        <v>783</v>
      </c>
      <c r="F25" s="135" t="s">
        <v>784</v>
      </c>
      <c r="G25" s="135" t="s">
        <v>785</v>
      </c>
      <c r="H25" s="135"/>
      <c r="I25" s="135"/>
      <c r="J25" s="136" t="s">
        <v>786</v>
      </c>
      <c r="K25" s="136" t="s">
        <v>787</v>
      </c>
      <c r="L25" s="135"/>
      <c r="M25" s="137"/>
      <c r="N25" s="135"/>
      <c r="O25" s="136" t="s">
        <v>788</v>
      </c>
      <c r="P25" s="136" t="s">
        <v>789</v>
      </c>
      <c r="Q25" s="135"/>
      <c r="R25" s="138" t="s">
        <v>790</v>
      </c>
      <c r="S25" s="138" t="s">
        <v>791</v>
      </c>
      <c r="T25" s="138" t="s">
        <v>792</v>
      </c>
      <c r="U25" s="138" t="s">
        <v>793</v>
      </c>
      <c r="V25" s="138" t="s">
        <v>794</v>
      </c>
      <c r="W25" s="136" t="s">
        <v>795</v>
      </c>
      <c r="X25" s="138" t="s">
        <v>796</v>
      </c>
      <c r="Y25" s="135"/>
      <c r="Z25" s="138" t="s">
        <v>797</v>
      </c>
      <c r="AA25" s="136" t="s">
        <v>798</v>
      </c>
      <c r="AB25" s="135"/>
      <c r="AC25" s="135"/>
      <c r="AD25" s="136" t="s">
        <v>799</v>
      </c>
      <c r="AE25" s="135"/>
      <c r="AF25" s="136" t="s">
        <v>800</v>
      </c>
      <c r="AG25" s="24"/>
      <c r="AH25" s="20" t="s">
        <v>47</v>
      </c>
      <c r="AI25" s="24"/>
    </row>
    <row r="26" ht="37.5" hidden="1" customHeight="1">
      <c r="A26" s="21" t="s">
        <v>801</v>
      </c>
      <c r="B26" s="122" t="s">
        <v>271</v>
      </c>
      <c r="C26" s="23" t="s">
        <v>99</v>
      </c>
      <c r="D26" s="24" t="s">
        <v>273</v>
      </c>
      <c r="E26" s="24" t="s">
        <v>273</v>
      </c>
      <c r="F26" s="23" t="s">
        <v>99</v>
      </c>
      <c r="G26" s="23" t="s">
        <v>99</v>
      </c>
      <c r="H26" s="24" t="s">
        <v>274</v>
      </c>
      <c r="I26" s="24" t="s">
        <v>274</v>
      </c>
      <c r="J26" s="24" t="s">
        <v>274</v>
      </c>
      <c r="K26" s="24" t="s">
        <v>274</v>
      </c>
      <c r="L26" s="24" t="s">
        <v>274</v>
      </c>
      <c r="M26" s="24" t="s">
        <v>274</v>
      </c>
      <c r="N26" s="24"/>
      <c r="O26" s="23" t="s">
        <v>99</v>
      </c>
      <c r="P26" s="23" t="s">
        <v>99</v>
      </c>
      <c r="Q26" s="23" t="s">
        <v>99</v>
      </c>
      <c r="R26" s="23" t="s">
        <v>99</v>
      </c>
      <c r="S26" s="23" t="s">
        <v>99</v>
      </c>
      <c r="T26" s="23" t="s">
        <v>99</v>
      </c>
      <c r="U26" s="23" t="s">
        <v>99</v>
      </c>
      <c r="V26" s="23" t="s">
        <v>99</v>
      </c>
      <c r="W26" s="23" t="s">
        <v>99</v>
      </c>
      <c r="X26" s="23" t="s">
        <v>99</v>
      </c>
      <c r="Y26" s="23" t="s">
        <v>99</v>
      </c>
      <c r="Z26" s="23" t="s">
        <v>99</v>
      </c>
      <c r="AA26" s="23" t="s">
        <v>99</v>
      </c>
      <c r="AB26" s="23" t="s">
        <v>99</v>
      </c>
      <c r="AC26" s="23" t="s">
        <v>99</v>
      </c>
      <c r="AD26" s="23" t="s">
        <v>99</v>
      </c>
      <c r="AE26" s="23" t="s">
        <v>99</v>
      </c>
      <c r="AF26" s="23" t="s">
        <v>99</v>
      </c>
      <c r="AG26" s="24" t="s">
        <v>274</v>
      </c>
      <c r="AH26" s="20" t="s">
        <v>47</v>
      </c>
      <c r="AI26" s="24" t="s">
        <v>271</v>
      </c>
    </row>
    <row r="27" ht="37.5" hidden="1" customHeight="1">
      <c r="A27" s="21" t="s">
        <v>802</v>
      </c>
      <c r="B27" s="122"/>
      <c r="C27" s="24" t="s">
        <v>803</v>
      </c>
      <c r="D27" s="24" t="s">
        <v>803</v>
      </c>
      <c r="E27" s="24" t="s">
        <v>803</v>
      </c>
      <c r="F27" s="24" t="s">
        <v>803</v>
      </c>
      <c r="G27" s="24" t="s">
        <v>804</v>
      </c>
      <c r="H27" s="24" t="s">
        <v>283</v>
      </c>
      <c r="I27" s="24" t="s">
        <v>282</v>
      </c>
      <c r="J27" s="24" t="s">
        <v>281</v>
      </c>
      <c r="K27" s="24" t="s">
        <v>285</v>
      </c>
      <c r="L27" s="24" t="s">
        <v>805</v>
      </c>
      <c r="M27" s="24"/>
      <c r="N27" s="24"/>
      <c r="O27" s="24"/>
      <c r="P27" s="24" t="s">
        <v>294</v>
      </c>
      <c r="Q27" s="24"/>
      <c r="R27" s="24" t="s">
        <v>806</v>
      </c>
      <c r="S27" s="24"/>
      <c r="T27" s="131"/>
      <c r="U27" s="24" t="s">
        <v>289</v>
      </c>
      <c r="V27" s="24"/>
      <c r="W27" s="24"/>
      <c r="X27" s="24" t="s">
        <v>292</v>
      </c>
      <c r="Y27" s="24"/>
      <c r="Z27" s="24" t="s">
        <v>806</v>
      </c>
      <c r="AA27" s="24"/>
      <c r="AB27" s="24"/>
      <c r="AC27" s="24"/>
      <c r="AD27" s="24"/>
      <c r="AE27" s="24"/>
      <c r="AF27" s="24"/>
      <c r="AG27" s="24" t="s">
        <v>306</v>
      </c>
      <c r="AH27" s="20" t="s">
        <v>47</v>
      </c>
      <c r="AI27" s="24"/>
    </row>
    <row r="28" ht="37.5" hidden="1" customHeight="1">
      <c r="A28" s="21" t="s">
        <v>807</v>
      </c>
      <c r="B28" s="122"/>
      <c r="C28" s="24" t="s">
        <v>808</v>
      </c>
      <c r="D28" s="24" t="s">
        <v>808</v>
      </c>
      <c r="E28" s="24" t="s">
        <v>808</v>
      </c>
      <c r="F28" s="24" t="s">
        <v>808</v>
      </c>
      <c r="G28" s="24" t="s">
        <v>809</v>
      </c>
      <c r="H28" s="24" t="s">
        <v>316</v>
      </c>
      <c r="I28" s="24" t="s">
        <v>810</v>
      </c>
      <c r="J28" s="24" t="s">
        <v>811</v>
      </c>
      <c r="K28" s="24" t="s">
        <v>316</v>
      </c>
      <c r="L28" s="24" t="s">
        <v>812</v>
      </c>
      <c r="M28" s="24"/>
      <c r="N28" s="24"/>
      <c r="O28" s="24"/>
      <c r="P28" s="24" t="s">
        <v>316</v>
      </c>
      <c r="Q28" s="24"/>
      <c r="R28" s="24" t="s">
        <v>316</v>
      </c>
      <c r="S28" s="24"/>
      <c r="T28" s="131"/>
      <c r="U28" s="24" t="s">
        <v>316</v>
      </c>
      <c r="V28" s="24"/>
      <c r="W28" s="24"/>
      <c r="X28" s="24" t="s">
        <v>316</v>
      </c>
      <c r="Y28" s="24"/>
      <c r="Z28" s="24" t="s">
        <v>316</v>
      </c>
      <c r="AA28" s="24"/>
      <c r="AB28" s="24"/>
      <c r="AC28" s="24"/>
      <c r="AD28" s="24"/>
      <c r="AE28" s="24"/>
      <c r="AF28" s="24"/>
      <c r="AG28" s="24" t="s">
        <v>813</v>
      </c>
      <c r="AH28" s="20" t="s">
        <v>47</v>
      </c>
      <c r="AI28" s="24"/>
    </row>
  </sheetData>
  <mergeCells count="15">
    <mergeCell ref="S22:S23"/>
    <mergeCell ref="T22:T23"/>
    <mergeCell ref="U22:U23"/>
    <mergeCell ref="V22:V23"/>
    <mergeCell ref="W22:W23"/>
    <mergeCell ref="X22:X23"/>
    <mergeCell ref="Z22:Z23"/>
    <mergeCell ref="AA22:AA23"/>
    <mergeCell ref="F22:F23"/>
    <mergeCell ref="I22:I23"/>
    <mergeCell ref="K22:K23"/>
    <mergeCell ref="L22:L23"/>
    <mergeCell ref="O22:O23"/>
    <mergeCell ref="P22:P23"/>
    <mergeCell ref="R22:R23"/>
  </mergeCells>
  <conditionalFormatting sqref="B2:B28 P2:Q28 V2:V28 X2:AI28 C4:O28 R4:U28 W4:W28">
    <cfRule type="containsBlanks" dxfId="0" priority="1">
      <formula>LEN(TRIM(B2))=0</formula>
    </cfRule>
  </conditionalFormatting>
  <conditionalFormatting sqref="A1:AI28">
    <cfRule type="cellIs" dxfId="1" priority="2" operator="equal">
      <formula>"TBD"</formula>
    </cfRule>
  </conditionalFormatting>
  <hyperlinks>
    <hyperlink r:id="rId4" location="gid=32753868" ref="B17"/>
    <hyperlink r:id="rId5" location="gid=32753868" ref="AA17"/>
    <hyperlink r:id="rId6" ref="B18"/>
  </hyperlinks>
  <drawing r:id="rId7"/>
  <legacy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5.63"/>
    <col customWidth="1" min="2" max="2" width="26.13"/>
    <col customWidth="1" min="3" max="6" width="21.0"/>
    <col customWidth="1" min="7" max="7" width="24.5"/>
    <col customWidth="1" min="8" max="22" width="21.0"/>
    <col customWidth="1" min="23" max="23" width="20.88"/>
    <col customWidth="1" min="24" max="26" width="21.0"/>
    <col customWidth="1" min="27" max="29" width="20.88"/>
    <col customWidth="1" min="30" max="31" width="21.0"/>
    <col customWidth="1" min="32" max="32" width="20.88"/>
    <col customWidth="1" min="33" max="33" width="21.0"/>
    <col customWidth="1" min="34" max="34" width="1.63"/>
    <col customWidth="1" min="35" max="45" width="21.0"/>
  </cols>
  <sheetData>
    <row r="1">
      <c r="A1" s="11" t="s">
        <v>672</v>
      </c>
      <c r="B1" s="7" t="s">
        <v>814</v>
      </c>
      <c r="C1" s="11" t="s">
        <v>673</v>
      </c>
      <c r="D1" s="11" t="s">
        <v>674</v>
      </c>
      <c r="E1" s="11" t="s">
        <v>675</v>
      </c>
      <c r="F1" s="11" t="s">
        <v>676</v>
      </c>
      <c r="G1" s="11" t="s">
        <v>631</v>
      </c>
      <c r="H1" s="121" t="s">
        <v>663</v>
      </c>
      <c r="I1" s="12" t="s">
        <v>815</v>
      </c>
      <c r="J1" s="12" t="s">
        <v>678</v>
      </c>
      <c r="K1" s="12" t="s">
        <v>679</v>
      </c>
      <c r="L1" s="12" t="s">
        <v>680</v>
      </c>
      <c r="M1" s="12" t="s">
        <v>681</v>
      </c>
      <c r="N1" s="12" t="s">
        <v>682</v>
      </c>
      <c r="O1" s="12" t="s">
        <v>683</v>
      </c>
      <c r="P1" s="15" t="s">
        <v>684</v>
      </c>
      <c r="Q1" s="15" t="s">
        <v>685</v>
      </c>
      <c r="R1" s="15" t="s">
        <v>686</v>
      </c>
      <c r="S1" s="139" t="s">
        <v>662</v>
      </c>
      <c r="T1" s="139" t="s">
        <v>632</v>
      </c>
      <c r="U1" s="15" t="s">
        <v>692</v>
      </c>
      <c r="V1" s="15" t="s">
        <v>687</v>
      </c>
      <c r="W1" s="15" t="s">
        <v>693</v>
      </c>
      <c r="X1" s="15" t="s">
        <v>39</v>
      </c>
      <c r="Y1" s="15" t="s">
        <v>694</v>
      </c>
      <c r="Z1" s="15" t="s">
        <v>688</v>
      </c>
      <c r="AA1" s="15" t="s">
        <v>689</v>
      </c>
      <c r="AB1" s="15" t="s">
        <v>690</v>
      </c>
      <c r="AC1" s="15" t="s">
        <v>691</v>
      </c>
      <c r="AD1" s="15" t="s">
        <v>641</v>
      </c>
      <c r="AE1" s="15" t="s">
        <v>638</v>
      </c>
      <c r="AF1" s="15" t="s">
        <v>640</v>
      </c>
      <c r="AG1" s="15" t="s">
        <v>642</v>
      </c>
      <c r="AH1" s="14" t="s">
        <v>47</v>
      </c>
      <c r="AI1" s="15" t="s">
        <v>48</v>
      </c>
      <c r="AJ1" s="140"/>
      <c r="AK1" s="140"/>
      <c r="AL1" s="140"/>
      <c r="AM1" s="140"/>
      <c r="AN1" s="140"/>
      <c r="AO1" s="140"/>
      <c r="AP1" s="140"/>
      <c r="AQ1" s="140"/>
      <c r="AR1" s="140"/>
      <c r="AS1" s="140"/>
    </row>
    <row r="2">
      <c r="A2" s="11" t="s">
        <v>51</v>
      </c>
      <c r="B2" s="24"/>
      <c r="C2" s="11" t="s">
        <v>52</v>
      </c>
      <c r="D2" s="11" t="s">
        <v>52</v>
      </c>
      <c r="E2" s="11" t="s">
        <v>52</v>
      </c>
      <c r="F2" s="11" t="s">
        <v>52</v>
      </c>
      <c r="G2" s="11" t="s">
        <v>53</v>
      </c>
      <c r="H2" s="121"/>
      <c r="I2" s="12" t="s">
        <v>816</v>
      </c>
      <c r="J2" s="12" t="s">
        <v>817</v>
      </c>
      <c r="K2" s="12" t="s">
        <v>816</v>
      </c>
      <c r="L2" s="12" t="s">
        <v>816</v>
      </c>
      <c r="M2" s="12" t="s">
        <v>818</v>
      </c>
      <c r="N2" s="12" t="s">
        <v>52</v>
      </c>
      <c r="O2" s="12" t="s">
        <v>52</v>
      </c>
      <c r="P2" s="15" t="s">
        <v>63</v>
      </c>
      <c r="Q2" s="15" t="s">
        <v>58</v>
      </c>
      <c r="R2" s="15" t="s">
        <v>57</v>
      </c>
      <c r="S2" s="139" t="s">
        <v>55</v>
      </c>
      <c r="T2" s="139" t="s">
        <v>52</v>
      </c>
      <c r="U2" s="15" t="s">
        <v>52</v>
      </c>
      <c r="V2" s="15" t="s">
        <v>55</v>
      </c>
      <c r="W2" s="15" t="s">
        <v>55</v>
      </c>
      <c r="X2" s="15" t="s">
        <v>79</v>
      </c>
      <c r="Y2" s="15" t="s">
        <v>53</v>
      </c>
      <c r="Z2" s="15" t="s">
        <v>53</v>
      </c>
      <c r="AA2" s="15" t="s">
        <v>52</v>
      </c>
      <c r="AB2" s="123"/>
      <c r="AC2" s="15" t="s">
        <v>58</v>
      </c>
      <c r="AD2" s="15" t="s">
        <v>55</v>
      </c>
      <c r="AE2" s="15" t="s">
        <v>55</v>
      </c>
      <c r="AF2" s="15" t="s">
        <v>53</v>
      </c>
      <c r="AG2" s="15" t="s">
        <v>53</v>
      </c>
      <c r="AH2" s="20" t="s">
        <v>47</v>
      </c>
      <c r="AI2" s="15" t="s">
        <v>65</v>
      </c>
      <c r="AJ2" s="140"/>
      <c r="AK2" s="140"/>
      <c r="AL2" s="140"/>
      <c r="AM2" s="140"/>
      <c r="AN2" s="140"/>
      <c r="AO2" s="140"/>
      <c r="AP2" s="140"/>
      <c r="AQ2" s="140"/>
      <c r="AR2" s="140"/>
      <c r="AS2" s="140"/>
    </row>
    <row r="3">
      <c r="A3" s="141" t="s">
        <v>699</v>
      </c>
      <c r="B3" s="24"/>
      <c r="C3" s="24"/>
      <c r="D3" s="24"/>
      <c r="E3" s="24"/>
      <c r="F3" s="24"/>
      <c r="G3" s="24"/>
      <c r="H3" s="24" t="s">
        <v>714</v>
      </c>
      <c r="I3" s="24"/>
      <c r="J3" s="24"/>
      <c r="K3" s="24" t="s">
        <v>819</v>
      </c>
      <c r="L3" s="24"/>
      <c r="M3" s="24"/>
      <c r="N3" s="24"/>
      <c r="O3" s="24"/>
      <c r="P3" s="24"/>
      <c r="Q3" s="24"/>
      <c r="R3" s="24"/>
      <c r="S3" s="142"/>
      <c r="T3" s="142"/>
      <c r="U3" s="24"/>
      <c r="V3" s="24"/>
      <c r="W3" s="24"/>
      <c r="X3" s="24" t="s">
        <v>711</v>
      </c>
      <c r="Y3" s="24"/>
      <c r="Z3" s="24"/>
      <c r="AA3" s="24"/>
      <c r="AB3" s="24"/>
      <c r="AC3" s="24"/>
      <c r="AD3" s="24"/>
      <c r="AE3" s="24"/>
      <c r="AF3" s="24"/>
      <c r="AG3" s="24"/>
      <c r="AH3" s="20" t="s">
        <v>47</v>
      </c>
      <c r="AI3" s="24" t="s">
        <v>124</v>
      </c>
      <c r="AJ3" s="140"/>
      <c r="AK3" s="140"/>
      <c r="AL3" s="140"/>
      <c r="AM3" s="140"/>
      <c r="AN3" s="140"/>
      <c r="AO3" s="140"/>
      <c r="AP3" s="140"/>
      <c r="AQ3" s="140"/>
      <c r="AR3" s="140"/>
      <c r="AS3" s="140"/>
    </row>
    <row r="4">
      <c r="A4" s="143" t="s">
        <v>715</v>
      </c>
      <c r="B4" s="24" t="s">
        <v>820</v>
      </c>
      <c r="C4" s="24" t="s">
        <v>821</v>
      </c>
      <c r="D4" s="24" t="s">
        <v>821</v>
      </c>
      <c r="E4" s="24" t="s">
        <v>821</v>
      </c>
      <c r="F4" s="24" t="s">
        <v>822</v>
      </c>
      <c r="G4" s="24" t="s">
        <v>823</v>
      </c>
      <c r="H4" s="24"/>
      <c r="I4" s="24" t="s">
        <v>824</v>
      </c>
      <c r="J4" s="24" t="s">
        <v>825</v>
      </c>
      <c r="K4" s="24" t="s">
        <v>825</v>
      </c>
      <c r="L4" s="24" t="s">
        <v>825</v>
      </c>
      <c r="M4" s="24" t="s">
        <v>716</v>
      </c>
      <c r="N4" s="24" t="s">
        <v>826</v>
      </c>
      <c r="O4" s="24" t="s">
        <v>827</v>
      </c>
      <c r="P4" s="24" t="s">
        <v>828</v>
      </c>
      <c r="Q4" s="24" t="s">
        <v>829</v>
      </c>
      <c r="R4" s="24" t="s">
        <v>830</v>
      </c>
      <c r="S4" s="43" t="s">
        <v>823</v>
      </c>
      <c r="T4" s="43" t="s">
        <v>821</v>
      </c>
      <c r="U4" s="24" t="s">
        <v>821</v>
      </c>
      <c r="V4" s="24" t="s">
        <v>823</v>
      </c>
      <c r="W4" s="24" t="s">
        <v>831</v>
      </c>
      <c r="X4" s="24"/>
      <c r="Y4" s="24" t="s">
        <v>821</v>
      </c>
      <c r="Z4" s="24" t="s">
        <v>823</v>
      </c>
      <c r="AA4" s="24" t="s">
        <v>823</v>
      </c>
      <c r="AB4" s="24" t="s">
        <v>823</v>
      </c>
      <c r="AC4" s="24" t="s">
        <v>829</v>
      </c>
      <c r="AD4" s="24" t="s">
        <v>831</v>
      </c>
      <c r="AE4" s="24" t="s">
        <v>831</v>
      </c>
      <c r="AF4" s="24" t="s">
        <v>827</v>
      </c>
      <c r="AG4" s="24" t="s">
        <v>821</v>
      </c>
      <c r="AH4" s="20" t="s">
        <v>47</v>
      </c>
      <c r="AI4" s="24" t="s">
        <v>131</v>
      </c>
      <c r="AJ4" s="140"/>
      <c r="AK4" s="140"/>
      <c r="AL4" s="140"/>
      <c r="AM4" s="140"/>
      <c r="AN4" s="140"/>
      <c r="AO4" s="140"/>
      <c r="AP4" s="140"/>
      <c r="AQ4" s="140"/>
      <c r="AR4" s="140"/>
      <c r="AS4" s="140"/>
    </row>
    <row r="5">
      <c r="A5" s="143" t="s">
        <v>132</v>
      </c>
      <c r="B5" s="24"/>
      <c r="C5" s="24" t="s">
        <v>832</v>
      </c>
      <c r="D5" s="24" t="s">
        <v>832</v>
      </c>
      <c r="E5" s="24" t="s">
        <v>832</v>
      </c>
      <c r="F5" s="24" t="s">
        <v>720</v>
      </c>
      <c r="G5" s="24" t="s">
        <v>833</v>
      </c>
      <c r="H5" s="24"/>
      <c r="I5" s="24" t="s">
        <v>721</v>
      </c>
      <c r="J5" s="24" t="s">
        <v>721</v>
      </c>
      <c r="K5" s="24" t="s">
        <v>721</v>
      </c>
      <c r="L5" s="24" t="s">
        <v>721</v>
      </c>
      <c r="M5" s="24" t="s">
        <v>721</v>
      </c>
      <c r="N5" s="24" t="s">
        <v>721</v>
      </c>
      <c r="O5" s="24" t="s">
        <v>721</v>
      </c>
      <c r="P5" s="24" t="s">
        <v>832</v>
      </c>
      <c r="Q5" s="24" t="s">
        <v>832</v>
      </c>
      <c r="R5" s="24" t="s">
        <v>832</v>
      </c>
      <c r="S5" s="77" t="s">
        <v>832</v>
      </c>
      <c r="T5" s="77" t="s">
        <v>832</v>
      </c>
      <c r="U5" s="24" t="s">
        <v>832</v>
      </c>
      <c r="V5" s="24" t="s">
        <v>832</v>
      </c>
      <c r="W5" s="24" t="s">
        <v>832</v>
      </c>
      <c r="X5" s="24" t="s">
        <v>832</v>
      </c>
      <c r="Y5" s="24" t="s">
        <v>832</v>
      </c>
      <c r="Z5" s="24" t="s">
        <v>832</v>
      </c>
      <c r="AA5" s="24" t="s">
        <v>832</v>
      </c>
      <c r="AB5" s="24" t="s">
        <v>832</v>
      </c>
      <c r="AC5" s="24" t="s">
        <v>832</v>
      </c>
      <c r="AD5" s="24" t="s">
        <v>832</v>
      </c>
      <c r="AE5" s="24" t="s">
        <v>832</v>
      </c>
      <c r="AF5" s="24" t="s">
        <v>832</v>
      </c>
      <c r="AG5" s="24" t="s">
        <v>832</v>
      </c>
      <c r="AH5" s="20" t="s">
        <v>47</v>
      </c>
      <c r="AI5" s="24" t="s">
        <v>139</v>
      </c>
      <c r="AJ5" s="140"/>
      <c r="AK5" s="140"/>
      <c r="AL5" s="140"/>
      <c r="AM5" s="140"/>
      <c r="AN5" s="140"/>
      <c r="AO5" s="140"/>
      <c r="AP5" s="140"/>
      <c r="AQ5" s="140"/>
      <c r="AR5" s="140"/>
      <c r="AS5" s="140"/>
    </row>
    <row r="6">
      <c r="A6" s="143" t="s">
        <v>150</v>
      </c>
      <c r="B6" s="36" t="s">
        <v>47</v>
      </c>
      <c r="C6" s="36" t="s">
        <v>47</v>
      </c>
      <c r="D6" s="36" t="s">
        <v>47</v>
      </c>
      <c r="E6" s="36" t="s">
        <v>47</v>
      </c>
      <c r="F6" s="36" t="s">
        <v>47</v>
      </c>
      <c r="G6" s="36" t="s">
        <v>47</v>
      </c>
      <c r="H6" s="37"/>
      <c r="I6" s="36" t="s">
        <v>47</v>
      </c>
      <c r="J6" s="36" t="s">
        <v>47</v>
      </c>
      <c r="K6" s="36" t="s">
        <v>47</v>
      </c>
      <c r="L6" s="36" t="s">
        <v>47</v>
      </c>
      <c r="M6" s="36" t="s">
        <v>47</v>
      </c>
      <c r="N6" s="36" t="s">
        <v>47</v>
      </c>
      <c r="O6" s="36" t="s">
        <v>47</v>
      </c>
      <c r="P6" s="36" t="s">
        <v>47</v>
      </c>
      <c r="Q6" s="36" t="s">
        <v>47</v>
      </c>
      <c r="R6" s="36" t="s">
        <v>47</v>
      </c>
      <c r="S6" s="144" t="s">
        <v>47</v>
      </c>
      <c r="T6" s="144" t="s">
        <v>47</v>
      </c>
      <c r="U6" s="36" t="s">
        <v>47</v>
      </c>
      <c r="V6" s="36" t="s">
        <v>47</v>
      </c>
      <c r="W6" s="36" t="s">
        <v>47</v>
      </c>
      <c r="X6" s="36" t="s">
        <v>47</v>
      </c>
      <c r="Y6" s="36" t="s">
        <v>47</v>
      </c>
      <c r="Z6" s="36" t="s">
        <v>47</v>
      </c>
      <c r="AA6" s="36" t="s">
        <v>47</v>
      </c>
      <c r="AB6" s="36" t="s">
        <v>47</v>
      </c>
      <c r="AC6" s="36" t="s">
        <v>47</v>
      </c>
      <c r="AD6" s="36" t="s">
        <v>47</v>
      </c>
      <c r="AE6" s="36" t="s">
        <v>47</v>
      </c>
      <c r="AF6" s="36" t="s">
        <v>47</v>
      </c>
      <c r="AG6" s="36" t="s">
        <v>47</v>
      </c>
      <c r="AH6" s="20" t="s">
        <v>47</v>
      </c>
      <c r="AI6" s="36" t="s">
        <v>47</v>
      </c>
      <c r="AJ6" s="140"/>
      <c r="AK6" s="140"/>
      <c r="AL6" s="140"/>
      <c r="AM6" s="140"/>
      <c r="AN6" s="140"/>
      <c r="AO6" s="140"/>
      <c r="AP6" s="140"/>
      <c r="AQ6" s="140"/>
      <c r="AR6" s="140"/>
      <c r="AS6" s="140"/>
    </row>
    <row r="7">
      <c r="A7" s="143" t="s">
        <v>722</v>
      </c>
      <c r="B7" s="24" t="s">
        <v>834</v>
      </c>
      <c r="C7" s="24" t="s">
        <v>139</v>
      </c>
      <c r="D7" s="24" t="s">
        <v>139</v>
      </c>
      <c r="E7" s="24" t="s">
        <v>139</v>
      </c>
      <c r="F7" s="24" t="s">
        <v>139</v>
      </c>
      <c r="G7" s="24" t="s">
        <v>835</v>
      </c>
      <c r="H7" s="24"/>
      <c r="I7" s="24" t="s">
        <v>139</v>
      </c>
      <c r="J7" s="29" t="s">
        <v>836</v>
      </c>
      <c r="K7" s="24" t="s">
        <v>139</v>
      </c>
      <c r="L7" s="24" t="s">
        <v>139</v>
      </c>
      <c r="M7" s="24" t="s">
        <v>837</v>
      </c>
      <c r="N7" s="24" t="s">
        <v>139</v>
      </c>
      <c r="O7" s="24" t="s">
        <v>139</v>
      </c>
      <c r="P7" s="24" t="s">
        <v>838</v>
      </c>
      <c r="Q7" s="24" t="s">
        <v>838</v>
      </c>
      <c r="R7" s="24" t="s">
        <v>838</v>
      </c>
      <c r="S7" s="77" t="s">
        <v>838</v>
      </c>
      <c r="T7" s="77" t="s">
        <v>838</v>
      </c>
      <c r="U7" s="24" t="s">
        <v>838</v>
      </c>
      <c r="V7" s="24" t="s">
        <v>838</v>
      </c>
      <c r="W7" s="24" t="s">
        <v>838</v>
      </c>
      <c r="X7" s="24" t="s">
        <v>839</v>
      </c>
      <c r="Y7" s="24" t="s">
        <v>838</v>
      </c>
      <c r="Z7" s="24" t="s">
        <v>838</v>
      </c>
      <c r="AA7" s="24" t="s">
        <v>838</v>
      </c>
      <c r="AB7" s="24" t="s">
        <v>838</v>
      </c>
      <c r="AC7" s="24" t="s">
        <v>838</v>
      </c>
      <c r="AD7" s="24" t="s">
        <v>838</v>
      </c>
      <c r="AE7" s="24" t="s">
        <v>840</v>
      </c>
      <c r="AF7" s="24" t="s">
        <v>838</v>
      </c>
      <c r="AG7" s="24" t="s">
        <v>838</v>
      </c>
      <c r="AH7" s="20" t="s">
        <v>47</v>
      </c>
      <c r="AI7" s="24"/>
      <c r="AJ7" s="140"/>
      <c r="AK7" s="140"/>
      <c r="AL7" s="140"/>
      <c r="AM7" s="140"/>
      <c r="AN7" s="140"/>
      <c r="AO7" s="140"/>
      <c r="AP7" s="140"/>
      <c r="AQ7" s="140"/>
      <c r="AR7" s="140"/>
      <c r="AS7" s="140"/>
    </row>
    <row r="8">
      <c r="A8" s="143" t="s">
        <v>727</v>
      </c>
      <c r="B8" s="24" t="s">
        <v>841</v>
      </c>
      <c r="C8" s="26" t="s">
        <v>842</v>
      </c>
      <c r="D8" s="26" t="s">
        <v>842</v>
      </c>
      <c r="E8" s="26" t="s">
        <v>842</v>
      </c>
      <c r="F8" s="26" t="s">
        <v>842</v>
      </c>
      <c r="G8" s="26" t="s">
        <v>842</v>
      </c>
      <c r="H8" s="34"/>
      <c r="I8" s="26" t="s">
        <v>842</v>
      </c>
      <c r="J8" s="26" t="s">
        <v>842</v>
      </c>
      <c r="K8" s="26" t="s">
        <v>842</v>
      </c>
      <c r="L8" s="26" t="s">
        <v>842</v>
      </c>
      <c r="M8" s="26" t="s">
        <v>842</v>
      </c>
      <c r="N8" s="26" t="s">
        <v>842</v>
      </c>
      <c r="O8" s="26" t="s">
        <v>842</v>
      </c>
      <c r="P8" s="26" t="s">
        <v>842</v>
      </c>
      <c r="Q8" s="26" t="s">
        <v>842</v>
      </c>
      <c r="R8" s="26" t="s">
        <v>842</v>
      </c>
      <c r="S8" s="145" t="s">
        <v>842</v>
      </c>
      <c r="T8" s="145" t="s">
        <v>842</v>
      </c>
      <c r="U8" s="26" t="s">
        <v>842</v>
      </c>
      <c r="V8" s="26" t="s">
        <v>842</v>
      </c>
      <c r="W8" s="26" t="s">
        <v>842</v>
      </c>
      <c r="X8" s="26" t="s">
        <v>842</v>
      </c>
      <c r="Y8" s="26" t="s">
        <v>842</v>
      </c>
      <c r="Z8" s="26" t="s">
        <v>842</v>
      </c>
      <c r="AA8" s="26" t="s">
        <v>842</v>
      </c>
      <c r="AB8" s="26" t="s">
        <v>842</v>
      </c>
      <c r="AC8" s="26" t="s">
        <v>842</v>
      </c>
      <c r="AD8" s="26" t="s">
        <v>842</v>
      </c>
      <c r="AE8" s="26" t="s">
        <v>842</v>
      </c>
      <c r="AF8" s="26" t="s">
        <v>842</v>
      </c>
      <c r="AG8" s="26" t="s">
        <v>842</v>
      </c>
      <c r="AH8" s="20" t="s">
        <v>47</v>
      </c>
      <c r="AI8" s="34"/>
      <c r="AJ8" s="140"/>
      <c r="AK8" s="140"/>
      <c r="AL8" s="140"/>
      <c r="AM8" s="140"/>
      <c r="AN8" s="140"/>
      <c r="AO8" s="140"/>
      <c r="AP8" s="140"/>
      <c r="AQ8" s="140"/>
      <c r="AR8" s="140"/>
      <c r="AS8" s="140"/>
    </row>
    <row r="9">
      <c r="A9" s="143" t="s">
        <v>843</v>
      </c>
      <c r="B9" s="29" t="s">
        <v>168</v>
      </c>
      <c r="C9" s="26" t="s">
        <v>842</v>
      </c>
      <c r="D9" s="26" t="s">
        <v>842</v>
      </c>
      <c r="E9" s="26" t="s">
        <v>842</v>
      </c>
      <c r="F9" s="26" t="s">
        <v>842</v>
      </c>
      <c r="G9" s="26" t="s">
        <v>842</v>
      </c>
      <c r="H9" s="34"/>
      <c r="I9" s="26" t="s">
        <v>842</v>
      </c>
      <c r="J9" s="26" t="s">
        <v>842</v>
      </c>
      <c r="K9" s="26" t="s">
        <v>842</v>
      </c>
      <c r="L9" s="26" t="s">
        <v>842</v>
      </c>
      <c r="M9" s="26" t="s">
        <v>842</v>
      </c>
      <c r="N9" s="26" t="s">
        <v>842</v>
      </c>
      <c r="O9" s="26" t="s">
        <v>842</v>
      </c>
      <c r="P9" s="26" t="s">
        <v>842</v>
      </c>
      <c r="Q9" s="26" t="s">
        <v>842</v>
      </c>
      <c r="R9" s="26" t="s">
        <v>842</v>
      </c>
      <c r="S9" s="145" t="s">
        <v>842</v>
      </c>
      <c r="T9" s="145" t="s">
        <v>842</v>
      </c>
      <c r="U9" s="26" t="s">
        <v>842</v>
      </c>
      <c r="V9" s="26" t="s">
        <v>842</v>
      </c>
      <c r="W9" s="26" t="s">
        <v>842</v>
      </c>
      <c r="X9" s="26" t="s">
        <v>842</v>
      </c>
      <c r="Y9" s="26" t="s">
        <v>842</v>
      </c>
      <c r="Z9" s="26" t="s">
        <v>842</v>
      </c>
      <c r="AA9" s="26" t="s">
        <v>842</v>
      </c>
      <c r="AB9" s="26" t="s">
        <v>842</v>
      </c>
      <c r="AC9" s="26" t="s">
        <v>842</v>
      </c>
      <c r="AD9" s="26" t="s">
        <v>842</v>
      </c>
      <c r="AE9" s="26" t="s">
        <v>842</v>
      </c>
      <c r="AF9" s="26" t="s">
        <v>842</v>
      </c>
      <c r="AG9" s="26" t="s">
        <v>842</v>
      </c>
      <c r="AH9" s="20" t="s">
        <v>47</v>
      </c>
      <c r="AI9" s="34"/>
      <c r="AJ9" s="140"/>
      <c r="AK9" s="140"/>
      <c r="AL9" s="140"/>
      <c r="AM9" s="140"/>
      <c r="AN9" s="140"/>
      <c r="AO9" s="140"/>
      <c r="AP9" s="140"/>
      <c r="AQ9" s="140"/>
      <c r="AR9" s="140"/>
      <c r="AS9" s="140"/>
    </row>
    <row r="10">
      <c r="A10" s="143" t="s">
        <v>844</v>
      </c>
      <c r="B10" s="24" t="s">
        <v>170</v>
      </c>
      <c r="C10" s="26" t="s">
        <v>842</v>
      </c>
      <c r="D10" s="26" t="s">
        <v>842</v>
      </c>
      <c r="E10" s="26" t="s">
        <v>842</v>
      </c>
      <c r="F10" s="26" t="s">
        <v>842</v>
      </c>
      <c r="G10" s="26" t="s">
        <v>842</v>
      </c>
      <c r="H10" s="34"/>
      <c r="I10" s="26" t="s">
        <v>842</v>
      </c>
      <c r="J10" s="26" t="s">
        <v>842</v>
      </c>
      <c r="K10" s="26" t="s">
        <v>842</v>
      </c>
      <c r="L10" s="26" t="s">
        <v>842</v>
      </c>
      <c r="M10" s="26" t="s">
        <v>842</v>
      </c>
      <c r="N10" s="26" t="s">
        <v>842</v>
      </c>
      <c r="O10" s="26" t="s">
        <v>842</v>
      </c>
      <c r="P10" s="26" t="s">
        <v>842</v>
      </c>
      <c r="Q10" s="26" t="s">
        <v>842</v>
      </c>
      <c r="R10" s="26" t="s">
        <v>842</v>
      </c>
      <c r="S10" s="145" t="s">
        <v>842</v>
      </c>
      <c r="T10" s="145" t="s">
        <v>842</v>
      </c>
      <c r="U10" s="26" t="s">
        <v>842</v>
      </c>
      <c r="V10" s="26" t="s">
        <v>842</v>
      </c>
      <c r="W10" s="26" t="s">
        <v>842</v>
      </c>
      <c r="X10" s="26" t="s">
        <v>842</v>
      </c>
      <c r="Y10" s="26" t="s">
        <v>842</v>
      </c>
      <c r="Z10" s="26" t="s">
        <v>842</v>
      </c>
      <c r="AA10" s="26" t="s">
        <v>842</v>
      </c>
      <c r="AB10" s="26" t="s">
        <v>842</v>
      </c>
      <c r="AC10" s="26" t="s">
        <v>842</v>
      </c>
      <c r="AD10" s="26" t="s">
        <v>842</v>
      </c>
      <c r="AE10" s="26" t="s">
        <v>842</v>
      </c>
      <c r="AF10" s="26" t="s">
        <v>842</v>
      </c>
      <c r="AG10" s="26" t="s">
        <v>842</v>
      </c>
      <c r="AH10" s="20" t="s">
        <v>47</v>
      </c>
      <c r="AI10" s="34"/>
      <c r="AJ10" s="140"/>
      <c r="AK10" s="140"/>
      <c r="AL10" s="140"/>
      <c r="AM10" s="140"/>
      <c r="AN10" s="140"/>
      <c r="AO10" s="140"/>
      <c r="AP10" s="140"/>
      <c r="AQ10" s="140"/>
      <c r="AR10" s="140"/>
      <c r="AS10" s="140"/>
    </row>
    <row r="11">
      <c r="A11" s="143" t="s">
        <v>731</v>
      </c>
      <c r="B11" s="24" t="s">
        <v>172</v>
      </c>
      <c r="C11" s="26" t="s">
        <v>842</v>
      </c>
      <c r="D11" s="26" t="s">
        <v>842</v>
      </c>
      <c r="E11" s="26" t="s">
        <v>842</v>
      </c>
      <c r="F11" s="26" t="s">
        <v>842</v>
      </c>
      <c r="G11" s="26" t="s">
        <v>842</v>
      </c>
      <c r="H11" s="34"/>
      <c r="I11" s="26" t="s">
        <v>842</v>
      </c>
      <c r="J11" s="26" t="s">
        <v>842</v>
      </c>
      <c r="K11" s="26" t="s">
        <v>842</v>
      </c>
      <c r="L11" s="26" t="s">
        <v>842</v>
      </c>
      <c r="M11" s="26" t="s">
        <v>842</v>
      </c>
      <c r="N11" s="26" t="s">
        <v>842</v>
      </c>
      <c r="O11" s="26" t="s">
        <v>842</v>
      </c>
      <c r="P11" s="26" t="s">
        <v>842</v>
      </c>
      <c r="Q11" s="26" t="s">
        <v>842</v>
      </c>
      <c r="R11" s="26" t="s">
        <v>842</v>
      </c>
      <c r="S11" s="145" t="s">
        <v>842</v>
      </c>
      <c r="T11" s="145" t="s">
        <v>842</v>
      </c>
      <c r="U11" s="26" t="s">
        <v>842</v>
      </c>
      <c r="V11" s="26" t="s">
        <v>842</v>
      </c>
      <c r="W11" s="26" t="s">
        <v>842</v>
      </c>
      <c r="X11" s="26" t="s">
        <v>842</v>
      </c>
      <c r="Y11" s="26" t="s">
        <v>842</v>
      </c>
      <c r="Z11" s="26" t="s">
        <v>842</v>
      </c>
      <c r="AA11" s="26" t="s">
        <v>842</v>
      </c>
      <c r="AB11" s="26" t="s">
        <v>842</v>
      </c>
      <c r="AC11" s="26" t="s">
        <v>842</v>
      </c>
      <c r="AD11" s="26" t="s">
        <v>842</v>
      </c>
      <c r="AE11" s="26" t="s">
        <v>842</v>
      </c>
      <c r="AF11" s="26" t="s">
        <v>842</v>
      </c>
      <c r="AG11" s="26" t="s">
        <v>842</v>
      </c>
      <c r="AH11" s="20" t="s">
        <v>47</v>
      </c>
      <c r="AI11" s="34"/>
      <c r="AJ11" s="140"/>
      <c r="AK11" s="140"/>
      <c r="AL11" s="140"/>
      <c r="AM11" s="140"/>
      <c r="AN11" s="140"/>
      <c r="AO11" s="140"/>
      <c r="AP11" s="140"/>
      <c r="AQ11" s="140"/>
      <c r="AR11" s="140"/>
      <c r="AS11" s="140"/>
    </row>
    <row r="12">
      <c r="A12" s="143" t="s">
        <v>173</v>
      </c>
      <c r="B12" s="24"/>
      <c r="C12" s="24" t="s">
        <v>732</v>
      </c>
      <c r="D12" s="45">
        <v>45816.0</v>
      </c>
      <c r="E12" s="24" t="s">
        <v>176</v>
      </c>
      <c r="F12" s="24" t="s">
        <v>178</v>
      </c>
      <c r="G12" s="24" t="s">
        <v>733</v>
      </c>
      <c r="H12" s="24"/>
      <c r="I12" s="24" t="s">
        <v>185</v>
      </c>
      <c r="J12" s="24" t="s">
        <v>180</v>
      </c>
      <c r="K12" s="24" t="s">
        <v>180</v>
      </c>
      <c r="L12" s="45">
        <v>45785.0</v>
      </c>
      <c r="M12" s="24" t="s">
        <v>180</v>
      </c>
      <c r="N12" s="128"/>
      <c r="O12" s="24"/>
      <c r="P12" s="24"/>
      <c r="Q12" s="24"/>
      <c r="R12" s="24"/>
      <c r="S12" s="142"/>
      <c r="T12" s="77" t="s">
        <v>180</v>
      </c>
      <c r="U12" s="24"/>
      <c r="V12" s="24"/>
      <c r="W12" s="24"/>
      <c r="X12" s="24" t="s">
        <v>180</v>
      </c>
      <c r="Y12" s="24"/>
      <c r="Z12" s="24"/>
      <c r="AA12" s="24"/>
      <c r="AB12" s="24"/>
      <c r="AC12" s="24"/>
      <c r="AD12" s="24"/>
      <c r="AE12" s="24" t="s">
        <v>184</v>
      </c>
      <c r="AF12" s="24" t="s">
        <v>180</v>
      </c>
      <c r="AG12" s="24"/>
      <c r="AH12" s="20" t="s">
        <v>47</v>
      </c>
      <c r="AI12" s="24"/>
      <c r="AJ12" s="140"/>
      <c r="AK12" s="140"/>
      <c r="AL12" s="140"/>
      <c r="AM12" s="140"/>
      <c r="AN12" s="140"/>
      <c r="AO12" s="140"/>
      <c r="AP12" s="140"/>
      <c r="AQ12" s="140"/>
      <c r="AR12" s="140"/>
      <c r="AS12" s="140"/>
    </row>
    <row r="13">
      <c r="A13" s="143" t="s">
        <v>735</v>
      </c>
      <c r="B13" s="24"/>
      <c r="C13" s="24" t="s">
        <v>187</v>
      </c>
      <c r="D13" s="24" t="s">
        <v>187</v>
      </c>
      <c r="E13" s="24">
        <v>2019.0</v>
      </c>
      <c r="F13" s="24" t="s">
        <v>845</v>
      </c>
      <c r="G13" s="24">
        <v>2024.0</v>
      </c>
      <c r="H13" s="24"/>
      <c r="I13" s="24">
        <v>2025.0</v>
      </c>
      <c r="J13" s="24" t="s">
        <v>846</v>
      </c>
      <c r="K13" s="24">
        <v>2024.0</v>
      </c>
      <c r="L13" s="24">
        <v>2024.0</v>
      </c>
      <c r="M13" s="24">
        <v>2024.0</v>
      </c>
      <c r="N13" s="128"/>
      <c r="O13" s="24"/>
      <c r="P13" s="24"/>
      <c r="Q13" s="24"/>
      <c r="R13" s="24"/>
      <c r="S13" s="142"/>
      <c r="T13" s="77" t="s">
        <v>737</v>
      </c>
      <c r="U13" s="24"/>
      <c r="V13" s="24"/>
      <c r="W13" s="24"/>
      <c r="X13" s="24" t="s">
        <v>737</v>
      </c>
      <c r="Y13" s="24"/>
      <c r="Z13" s="24"/>
      <c r="AA13" s="24"/>
      <c r="AB13" s="24"/>
      <c r="AC13" s="24"/>
      <c r="AD13" s="24"/>
      <c r="AE13" s="24" t="s">
        <v>737</v>
      </c>
      <c r="AF13" s="24" t="s">
        <v>737</v>
      </c>
      <c r="AG13" s="24"/>
      <c r="AH13" s="20" t="s">
        <v>47</v>
      </c>
      <c r="AI13" s="24"/>
      <c r="AJ13" s="140"/>
      <c r="AK13" s="140"/>
      <c r="AL13" s="140"/>
      <c r="AM13" s="140"/>
      <c r="AN13" s="140"/>
      <c r="AO13" s="140"/>
      <c r="AP13" s="140"/>
      <c r="AQ13" s="140"/>
      <c r="AR13" s="140"/>
      <c r="AS13" s="140"/>
    </row>
    <row r="14">
      <c r="A14" s="143" t="s">
        <v>210</v>
      </c>
      <c r="B14" s="24"/>
      <c r="C14" s="24" t="s">
        <v>740</v>
      </c>
      <c r="D14" s="24" t="s">
        <v>741</v>
      </c>
      <c r="E14" s="24" t="s">
        <v>212</v>
      </c>
      <c r="F14" s="24" t="s">
        <v>577</v>
      </c>
      <c r="G14" s="24" t="s">
        <v>213</v>
      </c>
      <c r="H14" s="24"/>
      <c r="I14" s="24" t="s">
        <v>218</v>
      </c>
      <c r="J14" s="24" t="s">
        <v>217</v>
      </c>
      <c r="K14" s="24" t="s">
        <v>216</v>
      </c>
      <c r="L14" s="24" t="s">
        <v>220</v>
      </c>
      <c r="M14" s="24" t="s">
        <v>742</v>
      </c>
      <c r="N14" s="128"/>
      <c r="O14" s="24"/>
      <c r="P14" s="24" t="s">
        <v>113</v>
      </c>
      <c r="Q14" s="24" t="s">
        <v>113</v>
      </c>
      <c r="R14" s="24" t="s">
        <v>113</v>
      </c>
      <c r="S14" s="77" t="s">
        <v>113</v>
      </c>
      <c r="T14" s="77" t="s">
        <v>847</v>
      </c>
      <c r="U14" s="24" t="s">
        <v>113</v>
      </c>
      <c r="V14" s="24" t="s">
        <v>113</v>
      </c>
      <c r="W14" s="24" t="s">
        <v>113</v>
      </c>
      <c r="X14" s="24" t="s">
        <v>743</v>
      </c>
      <c r="Y14" s="24" t="s">
        <v>113</v>
      </c>
      <c r="Z14" s="24" t="s">
        <v>113</v>
      </c>
      <c r="AA14" s="24" t="s">
        <v>113</v>
      </c>
      <c r="AB14" s="24" t="s">
        <v>113</v>
      </c>
      <c r="AC14" s="24" t="s">
        <v>113</v>
      </c>
      <c r="AD14" s="24" t="s">
        <v>113</v>
      </c>
      <c r="AE14" s="24" t="s">
        <v>113</v>
      </c>
      <c r="AF14" s="24" t="s">
        <v>113</v>
      </c>
      <c r="AG14" s="24" t="s">
        <v>113</v>
      </c>
      <c r="AH14" s="20" t="s">
        <v>47</v>
      </c>
      <c r="AI14" s="24" t="s">
        <v>244</v>
      </c>
      <c r="AJ14" s="140"/>
      <c r="AK14" s="140"/>
      <c r="AL14" s="140"/>
      <c r="AM14" s="140"/>
      <c r="AN14" s="140"/>
      <c r="AO14" s="140"/>
      <c r="AP14" s="140"/>
      <c r="AQ14" s="140"/>
      <c r="AR14" s="140"/>
      <c r="AS14" s="140"/>
    </row>
    <row r="15">
      <c r="A15" s="143" t="s">
        <v>744</v>
      </c>
      <c r="B15" s="34"/>
      <c r="C15" s="26" t="s">
        <v>745</v>
      </c>
      <c r="D15" s="26" t="s">
        <v>745</v>
      </c>
      <c r="E15" s="26" t="s">
        <v>745</v>
      </c>
      <c r="F15" s="26" t="s">
        <v>745</v>
      </c>
      <c r="G15" s="26" t="s">
        <v>745</v>
      </c>
      <c r="H15" s="34"/>
      <c r="I15" s="130"/>
      <c r="J15" s="26" t="s">
        <v>745</v>
      </c>
      <c r="K15" s="26" t="s">
        <v>745</v>
      </c>
      <c r="L15" s="26" t="s">
        <v>745</v>
      </c>
      <c r="M15" s="26" t="s">
        <v>745</v>
      </c>
      <c r="N15" s="128"/>
      <c r="O15" s="34"/>
      <c r="P15" s="130"/>
      <c r="Q15" s="130"/>
      <c r="R15" s="130"/>
      <c r="S15" s="146"/>
      <c r="T15" s="147" t="s">
        <v>745</v>
      </c>
      <c r="U15" s="130"/>
      <c r="V15" s="130"/>
      <c r="W15" s="130"/>
      <c r="X15" s="26" t="s">
        <v>745</v>
      </c>
      <c r="Y15" s="130"/>
      <c r="Z15" s="130"/>
      <c r="AA15" s="130"/>
      <c r="AB15" s="130"/>
      <c r="AC15" s="130"/>
      <c r="AD15" s="130"/>
      <c r="AE15" s="26" t="s">
        <v>745</v>
      </c>
      <c r="AF15" s="26" t="s">
        <v>745</v>
      </c>
      <c r="AG15" s="130"/>
      <c r="AH15" s="20" t="s">
        <v>47</v>
      </c>
      <c r="AI15" s="130"/>
      <c r="AJ15" s="140"/>
      <c r="AK15" s="140"/>
      <c r="AL15" s="140"/>
      <c r="AM15" s="140"/>
      <c r="AN15" s="140"/>
      <c r="AO15" s="140"/>
      <c r="AP15" s="140"/>
      <c r="AQ15" s="140"/>
      <c r="AR15" s="140"/>
      <c r="AS15" s="140"/>
    </row>
    <row r="16">
      <c r="A16" s="143" t="s">
        <v>746</v>
      </c>
      <c r="B16" s="36" t="s">
        <v>47</v>
      </c>
      <c r="C16" s="36" t="s">
        <v>47</v>
      </c>
      <c r="D16" s="36" t="s">
        <v>47</v>
      </c>
      <c r="E16" s="36" t="s">
        <v>47</v>
      </c>
      <c r="F16" s="36" t="s">
        <v>47</v>
      </c>
      <c r="G16" s="36" t="s">
        <v>47</v>
      </c>
      <c r="H16" s="37"/>
      <c r="I16" s="36" t="s">
        <v>47</v>
      </c>
      <c r="J16" s="36" t="s">
        <v>47</v>
      </c>
      <c r="K16" s="36" t="s">
        <v>47</v>
      </c>
      <c r="L16" s="36" t="s">
        <v>47</v>
      </c>
      <c r="M16" s="36" t="s">
        <v>47</v>
      </c>
      <c r="N16" s="36" t="s">
        <v>47</v>
      </c>
      <c r="O16" s="36" t="s">
        <v>47</v>
      </c>
      <c r="P16" s="36" t="s">
        <v>47</v>
      </c>
      <c r="Q16" s="36" t="s">
        <v>47</v>
      </c>
      <c r="R16" s="36" t="s">
        <v>47</v>
      </c>
      <c r="S16" s="144" t="s">
        <v>47</v>
      </c>
      <c r="T16" s="144" t="s">
        <v>47</v>
      </c>
      <c r="U16" s="36" t="s">
        <v>47</v>
      </c>
      <c r="V16" s="36" t="s">
        <v>47</v>
      </c>
      <c r="W16" s="36" t="s">
        <v>47</v>
      </c>
      <c r="X16" s="36" t="s">
        <v>47</v>
      </c>
      <c r="Y16" s="36" t="s">
        <v>47</v>
      </c>
      <c r="Z16" s="36" t="s">
        <v>47</v>
      </c>
      <c r="AA16" s="36" t="s">
        <v>47</v>
      </c>
      <c r="AB16" s="36" t="s">
        <v>47</v>
      </c>
      <c r="AC16" s="36" t="s">
        <v>47</v>
      </c>
      <c r="AD16" s="36" t="s">
        <v>47</v>
      </c>
      <c r="AE16" s="36" t="s">
        <v>47</v>
      </c>
      <c r="AF16" s="36" t="s">
        <v>47</v>
      </c>
      <c r="AG16" s="36" t="s">
        <v>47</v>
      </c>
      <c r="AH16" s="20" t="s">
        <v>47</v>
      </c>
      <c r="AI16" s="36" t="s">
        <v>47</v>
      </c>
      <c r="AJ16" s="140"/>
      <c r="AK16" s="140"/>
      <c r="AL16" s="140"/>
      <c r="AM16" s="140"/>
      <c r="AN16" s="140"/>
      <c r="AO16" s="140"/>
      <c r="AP16" s="140"/>
      <c r="AQ16" s="140"/>
      <c r="AR16" s="140"/>
      <c r="AS16" s="140"/>
    </row>
    <row r="17">
      <c r="A17" s="143" t="s">
        <v>848</v>
      </c>
      <c r="B17" s="24"/>
      <c r="C17" s="24" t="s">
        <v>139</v>
      </c>
      <c r="D17" s="24" t="s">
        <v>748</v>
      </c>
      <c r="E17" s="24" t="s">
        <v>748</v>
      </c>
      <c r="F17" s="24" t="s">
        <v>749</v>
      </c>
      <c r="G17" s="24" t="s">
        <v>750</v>
      </c>
      <c r="H17" s="24"/>
      <c r="I17" s="128"/>
      <c r="J17" s="24" t="s">
        <v>759</v>
      </c>
      <c r="K17" s="24" t="s">
        <v>113</v>
      </c>
      <c r="L17" s="24" t="s">
        <v>760</v>
      </c>
      <c r="M17" s="24" t="s">
        <v>761</v>
      </c>
      <c r="N17" s="128"/>
      <c r="O17" s="24"/>
      <c r="P17" s="24"/>
      <c r="Q17" s="24"/>
      <c r="R17" s="24"/>
      <c r="S17" s="142"/>
      <c r="T17" s="77" t="s">
        <v>113</v>
      </c>
      <c r="U17" s="24"/>
      <c r="V17" s="24"/>
      <c r="W17" s="24"/>
      <c r="X17" s="24" t="s">
        <v>751</v>
      </c>
      <c r="Y17" s="24"/>
      <c r="Z17" s="24"/>
      <c r="AA17" s="24"/>
      <c r="AB17" s="24"/>
      <c r="AC17" s="24"/>
      <c r="AD17" s="24"/>
      <c r="AE17" s="24" t="s">
        <v>751</v>
      </c>
      <c r="AF17" s="24"/>
      <c r="AG17" s="24"/>
      <c r="AH17" s="20" t="s">
        <v>47</v>
      </c>
      <c r="AI17" s="24" t="s">
        <v>752</v>
      </c>
      <c r="AJ17" s="140"/>
      <c r="AK17" s="140"/>
      <c r="AL17" s="140"/>
      <c r="AM17" s="140"/>
      <c r="AN17" s="140"/>
      <c r="AO17" s="140"/>
      <c r="AP17" s="140"/>
      <c r="AQ17" s="140"/>
      <c r="AR17" s="140"/>
      <c r="AS17" s="140"/>
    </row>
    <row r="18">
      <c r="A18" s="143" t="s">
        <v>849</v>
      </c>
      <c r="B18" s="24"/>
      <c r="C18" s="24" t="s">
        <v>754</v>
      </c>
      <c r="D18" s="24" t="s">
        <v>754</v>
      </c>
      <c r="E18" s="24" t="s">
        <v>754</v>
      </c>
      <c r="F18" s="24" t="s">
        <v>754</v>
      </c>
      <c r="G18" s="24" t="s">
        <v>754</v>
      </c>
      <c r="H18" s="24"/>
      <c r="I18" s="24" t="s">
        <v>754</v>
      </c>
      <c r="J18" s="24" t="s">
        <v>754</v>
      </c>
      <c r="K18" s="24" t="s">
        <v>754</v>
      </c>
      <c r="L18" s="24" t="s">
        <v>754</v>
      </c>
      <c r="M18" s="24" t="s">
        <v>754</v>
      </c>
      <c r="N18" s="24" t="s">
        <v>754</v>
      </c>
      <c r="O18" s="24" t="s">
        <v>754</v>
      </c>
      <c r="P18" s="24"/>
      <c r="Q18" s="24"/>
      <c r="R18" s="24"/>
      <c r="S18" s="142"/>
      <c r="T18" s="142"/>
      <c r="U18" s="24"/>
      <c r="V18" s="24"/>
      <c r="W18" s="24"/>
      <c r="X18" s="24"/>
      <c r="Y18" s="24"/>
      <c r="Z18" s="24"/>
      <c r="AA18" s="24"/>
      <c r="AB18" s="24"/>
      <c r="AC18" s="24"/>
      <c r="AD18" s="24"/>
      <c r="AE18" s="24"/>
      <c r="AF18" s="24"/>
      <c r="AG18" s="24"/>
      <c r="AH18" s="20" t="s">
        <v>47</v>
      </c>
      <c r="AI18" s="24" t="s">
        <v>139</v>
      </c>
      <c r="AJ18" s="140"/>
      <c r="AK18" s="140"/>
      <c r="AL18" s="140"/>
      <c r="AM18" s="140"/>
      <c r="AN18" s="140"/>
      <c r="AO18" s="140"/>
      <c r="AP18" s="140"/>
      <c r="AQ18" s="140"/>
      <c r="AR18" s="140"/>
      <c r="AS18" s="140"/>
    </row>
    <row r="19">
      <c r="A19" s="143" t="s">
        <v>850</v>
      </c>
      <c r="B19" s="24"/>
      <c r="C19" s="24" t="s">
        <v>139</v>
      </c>
      <c r="D19" s="24"/>
      <c r="E19" s="24"/>
      <c r="F19" s="24"/>
      <c r="G19" s="24" t="s">
        <v>139</v>
      </c>
      <c r="H19" s="24"/>
      <c r="I19" s="24" t="s">
        <v>758</v>
      </c>
      <c r="J19" s="24"/>
      <c r="K19" s="24"/>
      <c r="L19" s="24"/>
      <c r="M19" s="24"/>
      <c r="N19" s="128"/>
      <c r="O19" s="24"/>
      <c r="P19" s="24"/>
      <c r="Q19" s="24"/>
      <c r="R19" s="24"/>
      <c r="S19" s="142"/>
      <c r="T19" s="77" t="s">
        <v>851</v>
      </c>
      <c r="U19" s="24"/>
      <c r="V19" s="24"/>
      <c r="W19" s="24"/>
      <c r="X19" s="24" t="s">
        <v>763</v>
      </c>
      <c r="Y19" s="24"/>
      <c r="Z19" s="24"/>
      <c r="AA19" s="24"/>
      <c r="AB19" s="24"/>
      <c r="AC19" s="24"/>
      <c r="AD19" s="24"/>
      <c r="AE19" s="24" t="s">
        <v>764</v>
      </c>
      <c r="AF19" s="24" t="s">
        <v>766</v>
      </c>
      <c r="AG19" s="24"/>
      <c r="AH19" s="20" t="s">
        <v>47</v>
      </c>
      <c r="AI19" s="24"/>
      <c r="AJ19" s="140"/>
      <c r="AK19" s="140"/>
      <c r="AL19" s="140"/>
      <c r="AM19" s="140"/>
      <c r="AN19" s="140"/>
      <c r="AO19" s="140"/>
      <c r="AP19" s="140"/>
      <c r="AQ19" s="140"/>
      <c r="AR19" s="140"/>
      <c r="AS19" s="140"/>
    </row>
    <row r="20">
      <c r="A20" s="143" t="s">
        <v>852</v>
      </c>
      <c r="B20" s="24"/>
      <c r="C20" s="24" t="s">
        <v>853</v>
      </c>
      <c r="D20" s="24" t="s">
        <v>853</v>
      </c>
      <c r="E20" s="24"/>
      <c r="F20" s="24" t="s">
        <v>853</v>
      </c>
      <c r="G20" s="24" t="s">
        <v>853</v>
      </c>
      <c r="H20" s="24"/>
      <c r="I20" s="24" t="s">
        <v>853</v>
      </c>
      <c r="J20" s="24" t="s">
        <v>853</v>
      </c>
      <c r="K20" s="24" t="s">
        <v>853</v>
      </c>
      <c r="L20" s="24" t="s">
        <v>853</v>
      </c>
      <c r="M20" s="24" t="s">
        <v>853</v>
      </c>
      <c r="N20" s="24" t="s">
        <v>853</v>
      </c>
      <c r="O20" s="24" t="s">
        <v>853</v>
      </c>
      <c r="P20" s="24"/>
      <c r="Q20" s="24"/>
      <c r="R20" s="24"/>
      <c r="S20" s="142"/>
      <c r="T20" s="142"/>
      <c r="U20" s="24"/>
      <c r="V20" s="24"/>
      <c r="W20" s="24"/>
      <c r="X20" s="24"/>
      <c r="Y20" s="24"/>
      <c r="Z20" s="24"/>
      <c r="AA20" s="24"/>
      <c r="AB20" s="24"/>
      <c r="AC20" s="24"/>
      <c r="AD20" s="24"/>
      <c r="AE20" s="24"/>
      <c r="AF20" s="24"/>
      <c r="AG20" s="24"/>
      <c r="AH20" s="20" t="s">
        <v>47</v>
      </c>
      <c r="AI20" s="24"/>
      <c r="AJ20" s="140"/>
      <c r="AK20" s="140"/>
      <c r="AL20" s="140"/>
      <c r="AM20" s="140"/>
      <c r="AN20" s="140"/>
      <c r="AO20" s="140"/>
      <c r="AP20" s="140"/>
      <c r="AQ20" s="140"/>
      <c r="AR20" s="140"/>
      <c r="AS20" s="140"/>
    </row>
    <row r="21">
      <c r="A21" s="143" t="s">
        <v>854</v>
      </c>
      <c r="B21" s="24"/>
      <c r="C21" s="24" t="s">
        <v>771</v>
      </c>
      <c r="D21" s="24" t="s">
        <v>772</v>
      </c>
      <c r="E21" s="24" t="s">
        <v>772</v>
      </c>
      <c r="F21" s="24"/>
      <c r="G21" s="24" t="s">
        <v>774</v>
      </c>
      <c r="H21" s="24"/>
      <c r="I21" s="24"/>
      <c r="J21" s="44" t="s">
        <v>113</v>
      </c>
      <c r="K21" s="24" t="s">
        <v>113</v>
      </c>
      <c r="L21" s="44" t="s">
        <v>113</v>
      </c>
      <c r="M21" s="44" t="s">
        <v>113</v>
      </c>
      <c r="N21" s="128"/>
      <c r="O21" s="24"/>
      <c r="P21" s="24"/>
      <c r="Q21" s="24"/>
      <c r="R21" s="24"/>
      <c r="S21" s="142"/>
      <c r="T21" s="148" t="s">
        <v>113</v>
      </c>
      <c r="U21" s="24"/>
      <c r="V21" s="24"/>
      <c r="W21" s="24"/>
      <c r="X21" s="44" t="s">
        <v>113</v>
      </c>
      <c r="Y21" s="24"/>
      <c r="Z21" s="24"/>
      <c r="AA21" s="24"/>
      <c r="AB21" s="24"/>
      <c r="AC21" s="24"/>
      <c r="AD21" s="24"/>
      <c r="AE21" s="44" t="s">
        <v>113</v>
      </c>
      <c r="AF21" s="44" t="s">
        <v>113</v>
      </c>
      <c r="AG21" s="24"/>
      <c r="AH21" s="20" t="s">
        <v>47</v>
      </c>
      <c r="AI21" s="24"/>
      <c r="AJ21" s="140"/>
      <c r="AK21" s="140"/>
      <c r="AL21" s="140"/>
      <c r="AM21" s="140"/>
      <c r="AN21" s="140"/>
      <c r="AO21" s="140"/>
      <c r="AP21" s="140"/>
      <c r="AQ21" s="140"/>
      <c r="AR21" s="140"/>
      <c r="AS21" s="140"/>
    </row>
    <row r="22">
      <c r="A22" s="143" t="s">
        <v>855</v>
      </c>
      <c r="B22" s="24"/>
      <c r="C22" s="24" t="s">
        <v>776</v>
      </c>
      <c r="D22" s="24" t="s">
        <v>776</v>
      </c>
      <c r="E22" s="24" t="s">
        <v>776</v>
      </c>
      <c r="F22" s="24" t="s">
        <v>773</v>
      </c>
      <c r="G22" s="24" t="s">
        <v>453</v>
      </c>
      <c r="H22" s="24"/>
      <c r="I22" s="24"/>
      <c r="J22" s="133"/>
      <c r="K22" s="24" t="s">
        <v>777</v>
      </c>
      <c r="L22" s="133"/>
      <c r="M22" s="133"/>
      <c r="N22" s="128"/>
      <c r="O22" s="24"/>
      <c r="P22" s="24"/>
      <c r="Q22" s="24"/>
      <c r="R22" s="24"/>
      <c r="S22" s="142"/>
      <c r="T22" s="133"/>
      <c r="U22" s="24"/>
      <c r="V22" s="24"/>
      <c r="W22" s="24"/>
      <c r="X22" s="133"/>
      <c r="Y22" s="24"/>
      <c r="Z22" s="24"/>
      <c r="AA22" s="24"/>
      <c r="AB22" s="24"/>
      <c r="AC22" s="24"/>
      <c r="AD22" s="24"/>
      <c r="AE22" s="133"/>
      <c r="AF22" s="133"/>
      <c r="AG22" s="24"/>
      <c r="AH22" s="20" t="s">
        <v>47</v>
      </c>
      <c r="AI22" s="24"/>
      <c r="AJ22" s="140"/>
      <c r="AK22" s="140"/>
      <c r="AL22" s="140"/>
      <c r="AM22" s="140"/>
      <c r="AN22" s="140"/>
      <c r="AO22" s="140"/>
      <c r="AP22" s="140"/>
      <c r="AQ22" s="140"/>
      <c r="AR22" s="140"/>
      <c r="AS22" s="140"/>
    </row>
    <row r="23">
      <c r="A23" s="143" t="s">
        <v>856</v>
      </c>
      <c r="B23" s="24"/>
      <c r="C23" s="24"/>
      <c r="D23" s="24"/>
      <c r="E23" s="24"/>
      <c r="F23" s="24"/>
      <c r="G23" s="24"/>
      <c r="H23" s="24"/>
      <c r="I23" s="24"/>
      <c r="J23" s="24"/>
      <c r="K23" s="24"/>
      <c r="L23" s="24"/>
      <c r="M23" s="24"/>
      <c r="N23" s="128"/>
      <c r="O23" s="24"/>
      <c r="P23" s="24"/>
      <c r="Q23" s="24"/>
      <c r="R23" s="24"/>
      <c r="S23" s="142"/>
      <c r="T23" s="142"/>
      <c r="U23" s="24"/>
      <c r="V23" s="24"/>
      <c r="W23" s="24"/>
      <c r="X23" s="24"/>
      <c r="Y23" s="24"/>
      <c r="Z23" s="24"/>
      <c r="AA23" s="24"/>
      <c r="AB23" s="24"/>
      <c r="AC23" s="24"/>
      <c r="AD23" s="24"/>
      <c r="AE23" s="24"/>
      <c r="AF23" s="24"/>
      <c r="AG23" s="24"/>
      <c r="AH23" s="20" t="s">
        <v>47</v>
      </c>
      <c r="AI23" s="24"/>
      <c r="AJ23" s="140"/>
      <c r="AK23" s="140"/>
      <c r="AL23" s="140"/>
      <c r="AM23" s="140"/>
      <c r="AN23" s="140"/>
      <c r="AO23" s="140"/>
      <c r="AP23" s="140"/>
      <c r="AQ23" s="140"/>
      <c r="AR23" s="140"/>
      <c r="AS23" s="140"/>
    </row>
    <row r="24">
      <c r="A24" s="143" t="s">
        <v>857</v>
      </c>
      <c r="B24" s="24"/>
      <c r="C24" s="24"/>
      <c r="D24" s="24"/>
      <c r="E24" s="24"/>
      <c r="F24" s="24"/>
      <c r="G24" s="24"/>
      <c r="H24" s="24"/>
      <c r="I24" s="24"/>
      <c r="J24" s="24"/>
      <c r="K24" s="24"/>
      <c r="L24" s="24"/>
      <c r="M24" s="24"/>
      <c r="N24" s="128"/>
      <c r="O24" s="24"/>
      <c r="P24" s="24"/>
      <c r="Q24" s="24"/>
      <c r="R24" s="24"/>
      <c r="S24" s="142"/>
      <c r="T24" s="142"/>
      <c r="U24" s="24"/>
      <c r="V24" s="24"/>
      <c r="W24" s="24"/>
      <c r="X24" s="24"/>
      <c r="Y24" s="24"/>
      <c r="Z24" s="24"/>
      <c r="AA24" s="24"/>
      <c r="AB24" s="24"/>
      <c r="AC24" s="24"/>
      <c r="AD24" s="24"/>
      <c r="AE24" s="24"/>
      <c r="AF24" s="24"/>
      <c r="AG24" s="24"/>
      <c r="AH24" s="20" t="s">
        <v>47</v>
      </c>
      <c r="AI24" s="24"/>
      <c r="AJ24" s="140"/>
      <c r="AK24" s="140"/>
      <c r="AL24" s="140"/>
      <c r="AM24" s="140"/>
      <c r="AN24" s="140"/>
      <c r="AO24" s="140"/>
      <c r="AP24" s="140"/>
      <c r="AQ24" s="140"/>
      <c r="AR24" s="140"/>
      <c r="AS24" s="140"/>
    </row>
    <row r="25">
      <c r="A25" s="143" t="s">
        <v>858</v>
      </c>
      <c r="B25" s="24"/>
      <c r="C25" s="24" t="s">
        <v>779</v>
      </c>
      <c r="D25" s="24" t="s">
        <v>113</v>
      </c>
      <c r="E25" s="24" t="s">
        <v>113</v>
      </c>
      <c r="F25" s="24"/>
      <c r="G25" s="24"/>
      <c r="H25" s="24"/>
      <c r="I25" s="24"/>
      <c r="J25" s="24"/>
      <c r="K25" s="24"/>
      <c r="L25" s="24"/>
      <c r="M25" s="24"/>
      <c r="N25" s="128"/>
      <c r="O25" s="24"/>
      <c r="P25" s="24"/>
      <c r="Q25" s="24"/>
      <c r="R25" s="24"/>
      <c r="S25" s="142"/>
      <c r="T25" s="142"/>
      <c r="U25" s="24"/>
      <c r="V25" s="24"/>
      <c r="W25" s="24"/>
      <c r="X25" s="24"/>
      <c r="Y25" s="24"/>
      <c r="Z25" s="24"/>
      <c r="AA25" s="24"/>
      <c r="AB25" s="24"/>
      <c r="AC25" s="24"/>
      <c r="AD25" s="24"/>
      <c r="AE25" s="24"/>
      <c r="AF25" s="24"/>
      <c r="AG25" s="24"/>
      <c r="AH25" s="20" t="s">
        <v>47</v>
      </c>
      <c r="AI25" s="24"/>
      <c r="AJ25" s="140"/>
      <c r="AK25" s="140"/>
      <c r="AL25" s="140"/>
      <c r="AM25" s="140"/>
      <c r="AN25" s="140"/>
      <c r="AO25" s="140"/>
      <c r="AP25" s="140"/>
      <c r="AQ25" s="140"/>
      <c r="AR25" s="140"/>
      <c r="AS25" s="140"/>
    </row>
    <row r="26">
      <c r="A26" s="143" t="s">
        <v>801</v>
      </c>
      <c r="B26" s="24"/>
      <c r="C26" s="24" t="s">
        <v>271</v>
      </c>
      <c r="D26" s="24" t="s">
        <v>273</v>
      </c>
      <c r="E26" s="24" t="s">
        <v>273</v>
      </c>
      <c r="F26" s="24" t="s">
        <v>271</v>
      </c>
      <c r="G26" s="24" t="s">
        <v>271</v>
      </c>
      <c r="H26" s="24" t="s">
        <v>274</v>
      </c>
      <c r="I26" s="24" t="s">
        <v>274</v>
      </c>
      <c r="J26" s="24" t="s">
        <v>274</v>
      </c>
      <c r="K26" s="24" t="s">
        <v>274</v>
      </c>
      <c r="L26" s="24" t="s">
        <v>274</v>
      </c>
      <c r="M26" s="24" t="s">
        <v>274</v>
      </c>
      <c r="N26" s="24" t="s">
        <v>274</v>
      </c>
      <c r="O26" s="24" t="s">
        <v>274</v>
      </c>
      <c r="P26" s="24" t="s">
        <v>271</v>
      </c>
      <c r="Q26" s="24" t="s">
        <v>271</v>
      </c>
      <c r="R26" s="24" t="s">
        <v>271</v>
      </c>
      <c r="S26" s="77" t="s">
        <v>271</v>
      </c>
      <c r="T26" s="77" t="s">
        <v>271</v>
      </c>
      <c r="U26" s="24" t="s">
        <v>271</v>
      </c>
      <c r="V26" s="24" t="s">
        <v>271</v>
      </c>
      <c r="W26" s="24" t="s">
        <v>271</v>
      </c>
      <c r="X26" s="24" t="s">
        <v>271</v>
      </c>
      <c r="Y26" s="24" t="s">
        <v>271</v>
      </c>
      <c r="Z26" s="24" t="s">
        <v>271</v>
      </c>
      <c r="AA26" s="24" t="s">
        <v>271</v>
      </c>
      <c r="AB26" s="24" t="s">
        <v>271</v>
      </c>
      <c r="AC26" s="24" t="s">
        <v>271</v>
      </c>
      <c r="AD26" s="24" t="s">
        <v>271</v>
      </c>
      <c r="AE26" s="24" t="s">
        <v>271</v>
      </c>
      <c r="AF26" s="24" t="s">
        <v>271</v>
      </c>
      <c r="AG26" s="24" t="s">
        <v>271</v>
      </c>
      <c r="AH26" s="20" t="s">
        <v>47</v>
      </c>
      <c r="AI26" s="24" t="s">
        <v>271</v>
      </c>
      <c r="AJ26" s="140"/>
      <c r="AK26" s="140"/>
      <c r="AL26" s="140"/>
      <c r="AM26" s="140"/>
      <c r="AN26" s="140"/>
      <c r="AO26" s="140"/>
      <c r="AP26" s="140"/>
      <c r="AQ26" s="140"/>
      <c r="AR26" s="140"/>
      <c r="AS26" s="140"/>
    </row>
    <row r="27">
      <c r="A27" s="143" t="s">
        <v>802</v>
      </c>
      <c r="B27" s="24"/>
      <c r="C27" s="24" t="s">
        <v>803</v>
      </c>
      <c r="D27" s="24" t="s">
        <v>803</v>
      </c>
      <c r="E27" s="24" t="s">
        <v>803</v>
      </c>
      <c r="F27" s="24" t="s">
        <v>803</v>
      </c>
      <c r="G27" s="24" t="s">
        <v>804</v>
      </c>
      <c r="H27" s="24" t="s">
        <v>306</v>
      </c>
      <c r="I27" s="24"/>
      <c r="J27" s="24" t="s">
        <v>282</v>
      </c>
      <c r="K27" s="24" t="s">
        <v>281</v>
      </c>
      <c r="L27" s="24" t="s">
        <v>285</v>
      </c>
      <c r="M27" s="24" t="s">
        <v>805</v>
      </c>
      <c r="N27" s="24"/>
      <c r="O27" s="24"/>
      <c r="P27" s="24"/>
      <c r="Q27" s="24"/>
      <c r="R27" s="24"/>
      <c r="S27" s="142"/>
      <c r="T27" s="142"/>
      <c r="U27" s="24"/>
      <c r="V27" s="24"/>
      <c r="W27" s="24"/>
      <c r="X27" s="24"/>
      <c r="Y27" s="24"/>
      <c r="Z27" s="24"/>
      <c r="AA27" s="24"/>
      <c r="AB27" s="24"/>
      <c r="AC27" s="24"/>
      <c r="AD27" s="24"/>
      <c r="AE27" s="24"/>
      <c r="AF27" s="24"/>
      <c r="AG27" s="24"/>
      <c r="AH27" s="20" t="s">
        <v>47</v>
      </c>
      <c r="AI27" s="24"/>
      <c r="AJ27" s="140"/>
      <c r="AK27" s="140"/>
      <c r="AL27" s="140"/>
      <c r="AM27" s="140"/>
      <c r="AN27" s="140"/>
      <c r="AO27" s="140"/>
      <c r="AP27" s="140"/>
      <c r="AQ27" s="140"/>
      <c r="AR27" s="140"/>
      <c r="AS27" s="140"/>
    </row>
    <row r="28">
      <c r="A28" s="143" t="s">
        <v>807</v>
      </c>
      <c r="B28" s="24"/>
      <c r="C28" s="24" t="s">
        <v>808</v>
      </c>
      <c r="D28" s="24" t="s">
        <v>808</v>
      </c>
      <c r="E28" s="24" t="s">
        <v>808</v>
      </c>
      <c r="F28" s="24" t="s">
        <v>808</v>
      </c>
      <c r="G28" s="24"/>
      <c r="H28" s="24"/>
      <c r="I28" s="24"/>
      <c r="J28" s="24"/>
      <c r="K28" s="24"/>
      <c r="L28" s="24"/>
      <c r="M28" s="24"/>
      <c r="N28" s="24"/>
      <c r="O28" s="24"/>
      <c r="P28" s="24"/>
      <c r="Q28" s="24"/>
      <c r="R28" s="24"/>
      <c r="S28" s="142"/>
      <c r="T28" s="142"/>
      <c r="U28" s="24"/>
      <c r="V28" s="24"/>
      <c r="W28" s="24"/>
      <c r="X28" s="24"/>
      <c r="Y28" s="24"/>
      <c r="Z28" s="24"/>
      <c r="AA28" s="24"/>
      <c r="AB28" s="24"/>
      <c r="AC28" s="24"/>
      <c r="AD28" s="24"/>
      <c r="AE28" s="24"/>
      <c r="AF28" s="24"/>
      <c r="AG28" s="24"/>
      <c r="AH28" s="20" t="s">
        <v>47</v>
      </c>
      <c r="AI28" s="24"/>
      <c r="AJ28" s="140"/>
      <c r="AK28" s="140"/>
      <c r="AL28" s="140"/>
      <c r="AM28" s="140"/>
      <c r="AN28" s="140"/>
      <c r="AO28" s="140"/>
      <c r="AP28" s="140"/>
      <c r="AQ28" s="140"/>
      <c r="AR28" s="140"/>
      <c r="AS28" s="140"/>
    </row>
    <row r="29">
      <c r="A29" s="149"/>
      <c r="B29" s="140"/>
      <c r="C29" s="140"/>
      <c r="D29" s="140"/>
      <c r="E29" s="140"/>
      <c r="F29" s="140"/>
      <c r="G29" s="140"/>
      <c r="H29" s="140"/>
      <c r="I29" s="140"/>
      <c r="J29" s="140"/>
      <c r="K29" s="140"/>
      <c r="L29" s="140"/>
      <c r="M29" s="140"/>
      <c r="N29" s="140"/>
      <c r="O29" s="140"/>
      <c r="P29" s="140"/>
      <c r="Q29" s="140"/>
      <c r="R29" s="140"/>
      <c r="S29" s="150"/>
      <c r="T29" s="15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row>
    <row r="30">
      <c r="A30" s="149"/>
      <c r="B30" s="140"/>
      <c r="C30" s="140"/>
      <c r="D30" s="140"/>
      <c r="E30" s="140"/>
      <c r="F30" s="140"/>
      <c r="G30" s="140"/>
      <c r="H30" s="140"/>
      <c r="I30" s="140"/>
      <c r="J30" s="140"/>
      <c r="K30" s="140"/>
      <c r="L30" s="140"/>
      <c r="M30" s="140"/>
      <c r="N30" s="140"/>
      <c r="O30" s="140"/>
      <c r="P30" s="140"/>
      <c r="Q30" s="140"/>
      <c r="R30" s="140"/>
      <c r="S30" s="150"/>
      <c r="T30" s="15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row>
    <row r="31">
      <c r="A31" s="149"/>
      <c r="B31" s="140"/>
      <c r="C31" s="140"/>
      <c r="D31" s="140"/>
      <c r="E31" s="140"/>
      <c r="F31" s="140"/>
      <c r="G31" s="140"/>
      <c r="H31" s="140"/>
      <c r="I31" s="140"/>
      <c r="J31" s="140"/>
      <c r="K31" s="140"/>
      <c r="L31" s="140"/>
      <c r="M31" s="140"/>
      <c r="N31" s="140"/>
      <c r="O31" s="140"/>
      <c r="P31" s="140"/>
      <c r="Q31" s="140"/>
      <c r="R31" s="140"/>
      <c r="S31" s="150"/>
      <c r="T31" s="15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row>
    <row r="32">
      <c r="A32" s="149"/>
      <c r="B32" s="140"/>
      <c r="C32" s="140"/>
      <c r="D32" s="140"/>
      <c r="E32" s="140"/>
      <c r="F32" s="140"/>
      <c r="G32" s="140"/>
      <c r="H32" s="140"/>
      <c r="I32" s="140"/>
      <c r="J32" s="140"/>
      <c r="K32" s="140"/>
      <c r="L32" s="140"/>
      <c r="M32" s="140"/>
      <c r="N32" s="140"/>
      <c r="O32" s="140"/>
      <c r="P32" s="140"/>
      <c r="Q32" s="140"/>
      <c r="R32" s="140"/>
      <c r="S32" s="150"/>
      <c r="T32" s="15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row>
    <row r="33">
      <c r="A33" s="149"/>
      <c r="B33" s="140"/>
      <c r="C33" s="140"/>
      <c r="D33" s="140"/>
      <c r="E33" s="140"/>
      <c r="F33" s="140"/>
      <c r="G33" s="140"/>
      <c r="H33" s="140"/>
      <c r="I33" s="140"/>
      <c r="J33" s="140"/>
      <c r="K33" s="140"/>
      <c r="L33" s="140"/>
      <c r="M33" s="140"/>
      <c r="N33" s="140"/>
      <c r="O33" s="140"/>
      <c r="P33" s="140"/>
      <c r="Q33" s="140"/>
      <c r="R33" s="140"/>
      <c r="S33" s="150"/>
      <c r="T33" s="15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row>
    <row r="34">
      <c r="A34" s="149"/>
      <c r="B34" s="140"/>
      <c r="C34" s="140"/>
      <c r="D34" s="140"/>
      <c r="E34" s="140"/>
      <c r="F34" s="140"/>
      <c r="G34" s="140"/>
      <c r="H34" s="140"/>
      <c r="I34" s="140"/>
      <c r="J34" s="140"/>
      <c r="K34" s="140"/>
      <c r="L34" s="140"/>
      <c r="M34" s="140"/>
      <c r="N34" s="140"/>
      <c r="O34" s="140"/>
      <c r="P34" s="140"/>
      <c r="Q34" s="140"/>
      <c r="R34" s="140"/>
      <c r="S34" s="150"/>
      <c r="T34" s="15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row>
    <row r="35">
      <c r="A35" s="149"/>
      <c r="B35" s="140"/>
      <c r="C35" s="140"/>
      <c r="D35" s="140"/>
      <c r="E35" s="140"/>
      <c r="F35" s="140"/>
      <c r="G35" s="140"/>
      <c r="H35" s="140"/>
      <c r="I35" s="140"/>
      <c r="J35" s="140"/>
      <c r="K35" s="140"/>
      <c r="L35" s="140"/>
      <c r="M35" s="140"/>
      <c r="N35" s="140"/>
      <c r="O35" s="140"/>
      <c r="P35" s="140"/>
      <c r="Q35" s="140"/>
      <c r="R35" s="140"/>
      <c r="S35" s="150"/>
      <c r="T35" s="15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row>
    <row r="36">
      <c r="A36" s="149"/>
      <c r="B36" s="140"/>
      <c r="C36" s="140"/>
      <c r="D36" s="140"/>
      <c r="E36" s="140"/>
      <c r="F36" s="140"/>
      <c r="G36" s="140"/>
      <c r="H36" s="140"/>
      <c r="I36" s="140"/>
      <c r="J36" s="140"/>
      <c r="K36" s="140"/>
      <c r="L36" s="140"/>
      <c r="M36" s="140"/>
      <c r="N36" s="140"/>
      <c r="O36" s="140"/>
      <c r="P36" s="140"/>
      <c r="Q36" s="140"/>
      <c r="R36" s="140"/>
      <c r="S36" s="150"/>
      <c r="T36" s="15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row>
    <row r="37">
      <c r="A37" s="149"/>
      <c r="B37" s="140"/>
      <c r="C37" s="140"/>
      <c r="D37" s="140"/>
      <c r="E37" s="140"/>
      <c r="F37" s="140"/>
      <c r="G37" s="140"/>
      <c r="H37" s="140"/>
      <c r="I37" s="140"/>
      <c r="J37" s="140"/>
      <c r="K37" s="140"/>
      <c r="L37" s="140"/>
      <c r="M37" s="140"/>
      <c r="N37" s="140"/>
      <c r="O37" s="140"/>
      <c r="P37" s="140"/>
      <c r="Q37" s="140"/>
      <c r="R37" s="140"/>
      <c r="S37" s="150"/>
      <c r="T37" s="15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row>
    <row r="38">
      <c r="A38" s="149"/>
      <c r="B38" s="140"/>
      <c r="C38" s="140"/>
      <c r="D38" s="140"/>
      <c r="E38" s="140"/>
      <c r="F38" s="140"/>
      <c r="G38" s="140"/>
      <c r="H38" s="140"/>
      <c r="I38" s="140"/>
      <c r="J38" s="140"/>
      <c r="K38" s="140"/>
      <c r="L38" s="140"/>
      <c r="M38" s="140"/>
      <c r="N38" s="140"/>
      <c r="O38" s="140"/>
      <c r="P38" s="140"/>
      <c r="Q38" s="140"/>
      <c r="R38" s="140"/>
      <c r="S38" s="150"/>
      <c r="T38" s="15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row>
    <row r="39">
      <c r="A39" s="149"/>
      <c r="B39" s="140"/>
      <c r="C39" s="140"/>
      <c r="D39" s="140"/>
      <c r="E39" s="140"/>
      <c r="F39" s="140"/>
      <c r="G39" s="140"/>
      <c r="H39" s="140"/>
      <c r="I39" s="140"/>
      <c r="J39" s="140"/>
      <c r="K39" s="140"/>
      <c r="L39" s="140"/>
      <c r="M39" s="140"/>
      <c r="N39" s="140"/>
      <c r="O39" s="140"/>
      <c r="P39" s="140"/>
      <c r="Q39" s="140"/>
      <c r="R39" s="140"/>
      <c r="S39" s="150"/>
      <c r="T39" s="15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row>
    <row r="40">
      <c r="A40" s="149"/>
      <c r="B40" s="140"/>
      <c r="C40" s="140"/>
      <c r="D40" s="140"/>
      <c r="E40" s="140"/>
      <c r="F40" s="140"/>
      <c r="G40" s="140"/>
      <c r="H40" s="140"/>
      <c r="I40" s="140"/>
      <c r="J40" s="140"/>
      <c r="K40" s="140"/>
      <c r="L40" s="140"/>
      <c r="M40" s="140"/>
      <c r="N40" s="140"/>
      <c r="O40" s="140"/>
      <c r="P40" s="140"/>
      <c r="Q40" s="140"/>
      <c r="R40" s="140"/>
      <c r="S40" s="150"/>
      <c r="T40" s="15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row>
    <row r="41">
      <c r="A41" s="149"/>
      <c r="B41" s="140"/>
      <c r="C41" s="140"/>
      <c r="D41" s="140"/>
      <c r="E41" s="140"/>
      <c r="F41" s="140"/>
      <c r="G41" s="140"/>
      <c r="H41" s="140"/>
      <c r="I41" s="140"/>
      <c r="J41" s="140"/>
      <c r="K41" s="140"/>
      <c r="L41" s="140"/>
      <c r="M41" s="140"/>
      <c r="N41" s="140"/>
      <c r="O41" s="140"/>
      <c r="P41" s="140"/>
      <c r="Q41" s="140"/>
      <c r="R41" s="140"/>
      <c r="S41" s="150"/>
      <c r="T41" s="15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row>
    <row r="42">
      <c r="A42" s="149"/>
      <c r="B42" s="140"/>
      <c r="C42" s="140"/>
      <c r="D42" s="140"/>
      <c r="E42" s="140"/>
      <c r="F42" s="140"/>
      <c r="G42" s="140"/>
      <c r="H42" s="140"/>
      <c r="I42" s="140"/>
      <c r="J42" s="140"/>
      <c r="K42" s="140"/>
      <c r="L42" s="140"/>
      <c r="M42" s="140"/>
      <c r="N42" s="140"/>
      <c r="O42" s="140"/>
      <c r="P42" s="140"/>
      <c r="Q42" s="140"/>
      <c r="R42" s="140"/>
      <c r="S42" s="150"/>
      <c r="T42" s="15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row>
    <row r="43">
      <c r="A43" s="149"/>
      <c r="B43" s="140"/>
      <c r="C43" s="140"/>
      <c r="D43" s="140"/>
      <c r="E43" s="140"/>
      <c r="F43" s="140"/>
      <c r="G43" s="140"/>
      <c r="H43" s="140"/>
      <c r="I43" s="140"/>
      <c r="J43" s="140"/>
      <c r="K43" s="140"/>
      <c r="L43" s="140"/>
      <c r="M43" s="140"/>
      <c r="N43" s="140"/>
      <c r="O43" s="140"/>
      <c r="P43" s="140"/>
      <c r="Q43" s="140"/>
      <c r="R43" s="140"/>
      <c r="S43" s="150"/>
      <c r="T43" s="15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row>
    <row r="44">
      <c r="A44" s="149"/>
      <c r="B44" s="140"/>
      <c r="C44" s="140"/>
      <c r="D44" s="140"/>
      <c r="E44" s="140"/>
      <c r="F44" s="140"/>
      <c r="G44" s="140"/>
      <c r="H44" s="140"/>
      <c r="I44" s="140"/>
      <c r="J44" s="140"/>
      <c r="K44" s="140"/>
      <c r="L44" s="140"/>
      <c r="M44" s="140"/>
      <c r="N44" s="140"/>
      <c r="O44" s="140"/>
      <c r="P44" s="140"/>
      <c r="Q44" s="140"/>
      <c r="R44" s="140"/>
      <c r="S44" s="150"/>
      <c r="T44" s="15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row>
    <row r="45">
      <c r="A45" s="149"/>
      <c r="B45" s="140"/>
      <c r="C45" s="140"/>
      <c r="D45" s="140"/>
      <c r="E45" s="140"/>
      <c r="F45" s="140"/>
      <c r="G45" s="140"/>
      <c r="H45" s="140"/>
      <c r="I45" s="140"/>
      <c r="J45" s="140"/>
      <c r="K45" s="140"/>
      <c r="L45" s="140"/>
      <c r="M45" s="140"/>
      <c r="N45" s="140"/>
      <c r="O45" s="140"/>
      <c r="P45" s="140"/>
      <c r="Q45" s="140"/>
      <c r="R45" s="140"/>
      <c r="S45" s="150"/>
      <c r="T45" s="15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row>
    <row r="46">
      <c r="A46" s="149"/>
      <c r="B46" s="140"/>
      <c r="C46" s="140"/>
      <c r="D46" s="140"/>
      <c r="E46" s="140"/>
      <c r="F46" s="140"/>
      <c r="G46" s="140"/>
      <c r="H46" s="140"/>
      <c r="I46" s="140"/>
      <c r="J46" s="140"/>
      <c r="K46" s="140"/>
      <c r="L46" s="140"/>
      <c r="M46" s="140"/>
      <c r="N46" s="140"/>
      <c r="O46" s="140"/>
      <c r="P46" s="140"/>
      <c r="Q46" s="140"/>
      <c r="R46" s="140"/>
      <c r="S46" s="150"/>
      <c r="T46" s="15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row>
    <row r="47">
      <c r="A47" s="149"/>
      <c r="B47" s="140"/>
      <c r="C47" s="140"/>
      <c r="D47" s="140"/>
      <c r="E47" s="140"/>
      <c r="F47" s="140"/>
      <c r="G47" s="140"/>
      <c r="H47" s="140"/>
      <c r="I47" s="140"/>
      <c r="J47" s="140"/>
      <c r="K47" s="140"/>
      <c r="L47" s="140"/>
      <c r="M47" s="140"/>
      <c r="N47" s="140"/>
      <c r="O47" s="140"/>
      <c r="P47" s="140"/>
      <c r="Q47" s="140"/>
      <c r="R47" s="140"/>
      <c r="S47" s="150"/>
      <c r="T47" s="15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row>
    <row r="48">
      <c r="A48" s="149"/>
      <c r="B48" s="140"/>
      <c r="C48" s="140"/>
      <c r="D48" s="140"/>
      <c r="E48" s="140"/>
      <c r="F48" s="140"/>
      <c r="G48" s="140"/>
      <c r="H48" s="140"/>
      <c r="I48" s="140"/>
      <c r="J48" s="140"/>
      <c r="K48" s="140"/>
      <c r="L48" s="140"/>
      <c r="M48" s="140"/>
      <c r="N48" s="140"/>
      <c r="O48" s="140"/>
      <c r="P48" s="140"/>
      <c r="Q48" s="140"/>
      <c r="R48" s="140"/>
      <c r="S48" s="150"/>
      <c r="T48" s="15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row>
    <row r="49">
      <c r="A49" s="149"/>
      <c r="B49" s="140"/>
      <c r="C49" s="140"/>
      <c r="D49" s="140"/>
      <c r="E49" s="140"/>
      <c r="F49" s="140"/>
      <c r="G49" s="140"/>
      <c r="H49" s="140"/>
      <c r="I49" s="140"/>
      <c r="J49" s="140"/>
      <c r="K49" s="140"/>
      <c r="L49" s="140"/>
      <c r="M49" s="140"/>
      <c r="N49" s="140"/>
      <c r="O49" s="140"/>
      <c r="P49" s="140"/>
      <c r="Q49" s="140"/>
      <c r="R49" s="140"/>
      <c r="S49" s="150"/>
      <c r="T49" s="15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row>
    <row r="50">
      <c r="A50" s="149"/>
      <c r="B50" s="140"/>
      <c r="C50" s="140"/>
      <c r="D50" s="140"/>
      <c r="E50" s="140"/>
      <c r="F50" s="140"/>
      <c r="G50" s="140"/>
      <c r="H50" s="140"/>
      <c r="I50" s="140"/>
      <c r="J50" s="140"/>
      <c r="K50" s="140"/>
      <c r="L50" s="140"/>
      <c r="M50" s="140"/>
      <c r="N50" s="140"/>
      <c r="O50" s="140"/>
      <c r="P50" s="140"/>
      <c r="Q50" s="140"/>
      <c r="R50" s="140"/>
      <c r="S50" s="150"/>
      <c r="T50" s="15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row>
    <row r="51">
      <c r="A51" s="149"/>
      <c r="B51" s="140"/>
      <c r="C51" s="140"/>
      <c r="D51" s="140"/>
      <c r="E51" s="140"/>
      <c r="F51" s="140"/>
      <c r="G51" s="140"/>
      <c r="H51" s="140"/>
      <c r="I51" s="140"/>
      <c r="J51" s="140"/>
      <c r="K51" s="140"/>
      <c r="L51" s="140"/>
      <c r="M51" s="140"/>
      <c r="N51" s="140"/>
      <c r="O51" s="140"/>
      <c r="P51" s="140"/>
      <c r="Q51" s="140"/>
      <c r="R51" s="140"/>
      <c r="S51" s="150"/>
      <c r="T51" s="15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row>
    <row r="52">
      <c r="A52" s="149"/>
      <c r="B52" s="140"/>
      <c r="C52" s="140"/>
      <c r="D52" s="140"/>
      <c r="E52" s="140"/>
      <c r="F52" s="140"/>
      <c r="G52" s="140"/>
      <c r="H52" s="140"/>
      <c r="I52" s="140"/>
      <c r="J52" s="140"/>
      <c r="K52" s="140"/>
      <c r="L52" s="140"/>
      <c r="M52" s="140"/>
      <c r="N52" s="140"/>
      <c r="O52" s="140"/>
      <c r="P52" s="140"/>
      <c r="Q52" s="140"/>
      <c r="R52" s="140"/>
      <c r="S52" s="150"/>
      <c r="T52" s="15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row>
    <row r="53">
      <c r="A53" s="149"/>
      <c r="B53" s="140"/>
      <c r="C53" s="140"/>
      <c r="D53" s="140"/>
      <c r="E53" s="140"/>
      <c r="F53" s="140"/>
      <c r="G53" s="140"/>
      <c r="H53" s="140"/>
      <c r="I53" s="140"/>
      <c r="J53" s="140"/>
      <c r="K53" s="140"/>
      <c r="L53" s="140"/>
      <c r="M53" s="140"/>
      <c r="N53" s="140"/>
      <c r="O53" s="140"/>
      <c r="P53" s="140"/>
      <c r="Q53" s="140"/>
      <c r="R53" s="140"/>
      <c r="S53" s="150"/>
      <c r="T53" s="15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row>
    <row r="54">
      <c r="A54" s="149"/>
      <c r="B54" s="140"/>
      <c r="C54" s="140"/>
      <c r="D54" s="140"/>
      <c r="E54" s="140"/>
      <c r="F54" s="140"/>
      <c r="G54" s="140"/>
      <c r="H54" s="140"/>
      <c r="I54" s="140"/>
      <c r="J54" s="140"/>
      <c r="K54" s="140"/>
      <c r="L54" s="140"/>
      <c r="M54" s="140"/>
      <c r="N54" s="140"/>
      <c r="O54" s="140"/>
      <c r="P54" s="140"/>
      <c r="Q54" s="140"/>
      <c r="R54" s="140"/>
      <c r="S54" s="150"/>
      <c r="T54" s="15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row>
    <row r="55">
      <c r="A55" s="149"/>
      <c r="B55" s="140"/>
      <c r="C55" s="140"/>
      <c r="D55" s="140"/>
      <c r="E55" s="140"/>
      <c r="F55" s="140"/>
      <c r="G55" s="140"/>
      <c r="H55" s="140"/>
      <c r="I55" s="140"/>
      <c r="J55" s="140"/>
      <c r="K55" s="140"/>
      <c r="L55" s="140"/>
      <c r="M55" s="140"/>
      <c r="N55" s="140"/>
      <c r="O55" s="140"/>
      <c r="P55" s="140"/>
      <c r="Q55" s="140"/>
      <c r="R55" s="140"/>
      <c r="S55" s="150"/>
      <c r="T55" s="150"/>
      <c r="U55" s="140"/>
      <c r="V55" s="140"/>
      <c r="W55" s="140"/>
      <c r="X55" s="140"/>
      <c r="Y55" s="140"/>
      <c r="Z55" s="140"/>
      <c r="AA55" s="140"/>
      <c r="AB55" s="140"/>
      <c r="AC55" s="140"/>
      <c r="AD55" s="140"/>
      <c r="AE55" s="140"/>
      <c r="AF55" s="140"/>
      <c r="AG55" s="140"/>
      <c r="AH55" s="140"/>
      <c r="AI55" s="140"/>
      <c r="AJ55" s="140"/>
      <c r="AK55" s="140"/>
      <c r="AL55" s="140"/>
      <c r="AM55" s="140"/>
      <c r="AN55" s="140"/>
      <c r="AO55" s="140"/>
      <c r="AP55" s="140"/>
      <c r="AQ55" s="140"/>
      <c r="AR55" s="140"/>
      <c r="AS55" s="140"/>
    </row>
    <row r="56">
      <c r="A56" s="149"/>
      <c r="B56" s="140"/>
      <c r="C56" s="140"/>
      <c r="D56" s="140"/>
      <c r="E56" s="140"/>
      <c r="F56" s="140"/>
      <c r="G56" s="140"/>
      <c r="H56" s="140"/>
      <c r="I56" s="140"/>
      <c r="J56" s="140"/>
      <c r="K56" s="140"/>
      <c r="L56" s="140"/>
      <c r="M56" s="140"/>
      <c r="N56" s="140"/>
      <c r="O56" s="140"/>
      <c r="P56" s="140"/>
      <c r="Q56" s="140"/>
      <c r="R56" s="140"/>
      <c r="S56" s="150"/>
      <c r="T56" s="150"/>
      <c r="U56" s="140"/>
      <c r="V56" s="140"/>
      <c r="W56" s="140"/>
      <c r="X56" s="140"/>
      <c r="Y56" s="140"/>
      <c r="Z56" s="140"/>
      <c r="AA56" s="140"/>
      <c r="AB56" s="140"/>
      <c r="AC56" s="140"/>
      <c r="AD56" s="140"/>
      <c r="AE56" s="140"/>
      <c r="AF56" s="140"/>
      <c r="AG56" s="140"/>
      <c r="AH56" s="140"/>
      <c r="AI56" s="140"/>
      <c r="AJ56" s="140"/>
      <c r="AK56" s="140"/>
      <c r="AL56" s="140"/>
      <c r="AM56" s="140"/>
      <c r="AN56" s="140"/>
      <c r="AO56" s="140"/>
      <c r="AP56" s="140"/>
      <c r="AQ56" s="140"/>
      <c r="AR56" s="140"/>
      <c r="AS56" s="140"/>
    </row>
    <row r="57">
      <c r="A57" s="149"/>
      <c r="B57" s="140"/>
      <c r="C57" s="140"/>
      <c r="D57" s="140"/>
      <c r="E57" s="140"/>
      <c r="F57" s="140"/>
      <c r="G57" s="140"/>
      <c r="H57" s="140"/>
      <c r="I57" s="140"/>
      <c r="J57" s="140"/>
      <c r="K57" s="140"/>
      <c r="L57" s="140"/>
      <c r="M57" s="140"/>
      <c r="N57" s="140"/>
      <c r="O57" s="140"/>
      <c r="P57" s="140"/>
      <c r="Q57" s="140"/>
      <c r="R57" s="140"/>
      <c r="S57" s="150"/>
      <c r="T57" s="150"/>
      <c r="U57" s="140"/>
      <c r="V57" s="140"/>
      <c r="W57" s="140"/>
      <c r="X57" s="140"/>
      <c r="Y57" s="140"/>
      <c r="Z57" s="140"/>
      <c r="AA57" s="140"/>
      <c r="AB57" s="140"/>
      <c r="AC57" s="140"/>
      <c r="AD57" s="140"/>
      <c r="AE57" s="140"/>
      <c r="AF57" s="140"/>
      <c r="AG57" s="140"/>
      <c r="AH57" s="140"/>
      <c r="AI57" s="140"/>
      <c r="AJ57" s="140"/>
      <c r="AK57" s="140"/>
      <c r="AL57" s="140"/>
      <c r="AM57" s="140"/>
      <c r="AN57" s="140"/>
      <c r="AO57" s="140"/>
      <c r="AP57" s="140"/>
      <c r="AQ57" s="140"/>
      <c r="AR57" s="140"/>
      <c r="AS57" s="140"/>
    </row>
    <row r="58">
      <c r="A58" s="149"/>
      <c r="B58" s="140"/>
      <c r="C58" s="140"/>
      <c r="D58" s="140"/>
      <c r="E58" s="140"/>
      <c r="F58" s="140"/>
      <c r="G58" s="140"/>
      <c r="H58" s="140"/>
      <c r="I58" s="140"/>
      <c r="J58" s="140"/>
      <c r="K58" s="140"/>
      <c r="L58" s="140"/>
      <c r="M58" s="140"/>
      <c r="N58" s="140"/>
      <c r="O58" s="140"/>
      <c r="P58" s="140"/>
      <c r="Q58" s="140"/>
      <c r="R58" s="140"/>
      <c r="S58" s="150"/>
      <c r="T58" s="150"/>
      <c r="U58" s="140"/>
      <c r="V58" s="140"/>
      <c r="W58" s="140"/>
      <c r="X58" s="140"/>
      <c r="Y58" s="140"/>
      <c r="Z58" s="140"/>
      <c r="AA58" s="140"/>
      <c r="AB58" s="140"/>
      <c r="AC58" s="140"/>
      <c r="AD58" s="140"/>
      <c r="AE58" s="140"/>
      <c r="AF58" s="140"/>
      <c r="AG58" s="140"/>
      <c r="AH58" s="140"/>
      <c r="AI58" s="140"/>
      <c r="AJ58" s="140"/>
      <c r="AK58" s="140"/>
      <c r="AL58" s="140"/>
      <c r="AM58" s="140"/>
      <c r="AN58" s="140"/>
      <c r="AO58" s="140"/>
      <c r="AP58" s="140"/>
      <c r="AQ58" s="140"/>
      <c r="AR58" s="140"/>
      <c r="AS58" s="140"/>
    </row>
    <row r="59">
      <c r="A59" s="149"/>
      <c r="B59" s="140"/>
      <c r="C59" s="140"/>
      <c r="D59" s="140"/>
      <c r="E59" s="140"/>
      <c r="F59" s="140"/>
      <c r="G59" s="140"/>
      <c r="H59" s="140"/>
      <c r="I59" s="140"/>
      <c r="J59" s="140"/>
      <c r="K59" s="140"/>
      <c r="L59" s="140"/>
      <c r="M59" s="140"/>
      <c r="N59" s="140"/>
      <c r="O59" s="140"/>
      <c r="P59" s="140"/>
      <c r="Q59" s="140"/>
      <c r="R59" s="140"/>
      <c r="S59" s="150"/>
      <c r="T59" s="150"/>
      <c r="U59" s="140"/>
      <c r="V59" s="140"/>
      <c r="W59" s="140"/>
      <c r="X59" s="140"/>
      <c r="Y59" s="140"/>
      <c r="Z59" s="140"/>
      <c r="AA59" s="140"/>
      <c r="AB59" s="140"/>
      <c r="AC59" s="140"/>
      <c r="AD59" s="140"/>
      <c r="AE59" s="140"/>
      <c r="AF59" s="140"/>
      <c r="AG59" s="140"/>
      <c r="AH59" s="140"/>
      <c r="AI59" s="140"/>
      <c r="AJ59" s="140"/>
      <c r="AK59" s="140"/>
      <c r="AL59" s="140"/>
      <c r="AM59" s="140"/>
      <c r="AN59" s="140"/>
      <c r="AO59" s="140"/>
      <c r="AP59" s="140"/>
      <c r="AQ59" s="140"/>
      <c r="AR59" s="140"/>
      <c r="AS59" s="140"/>
    </row>
    <row r="60">
      <c r="A60" s="149"/>
      <c r="B60" s="140"/>
      <c r="C60" s="140"/>
      <c r="D60" s="140"/>
      <c r="E60" s="140"/>
      <c r="F60" s="140"/>
      <c r="G60" s="140"/>
      <c r="H60" s="140"/>
      <c r="I60" s="140"/>
      <c r="J60" s="140"/>
      <c r="K60" s="140"/>
      <c r="L60" s="140"/>
      <c r="M60" s="140"/>
      <c r="N60" s="140"/>
      <c r="O60" s="140"/>
      <c r="P60" s="140"/>
      <c r="Q60" s="140"/>
      <c r="R60" s="140"/>
      <c r="S60" s="150"/>
      <c r="T60" s="150"/>
      <c r="U60" s="140"/>
      <c r="V60" s="140"/>
      <c r="W60" s="140"/>
      <c r="X60" s="140"/>
      <c r="Y60" s="140"/>
      <c r="Z60" s="140"/>
      <c r="AA60" s="140"/>
      <c r="AB60" s="140"/>
      <c r="AC60" s="140"/>
      <c r="AD60" s="140"/>
      <c r="AE60" s="140"/>
      <c r="AF60" s="140"/>
      <c r="AG60" s="140"/>
      <c r="AH60" s="140"/>
      <c r="AI60" s="140"/>
      <c r="AJ60" s="140"/>
      <c r="AK60" s="140"/>
      <c r="AL60" s="140"/>
      <c r="AM60" s="140"/>
      <c r="AN60" s="140"/>
      <c r="AO60" s="140"/>
      <c r="AP60" s="140"/>
      <c r="AQ60" s="140"/>
      <c r="AR60" s="140"/>
      <c r="AS60" s="140"/>
    </row>
    <row r="61">
      <c r="A61" s="149"/>
      <c r="B61" s="140"/>
      <c r="C61" s="140"/>
      <c r="D61" s="140"/>
      <c r="E61" s="140"/>
      <c r="F61" s="140"/>
      <c r="G61" s="140"/>
      <c r="H61" s="140"/>
      <c r="I61" s="140"/>
      <c r="J61" s="140"/>
      <c r="K61" s="140"/>
      <c r="L61" s="140"/>
      <c r="M61" s="140"/>
      <c r="N61" s="140"/>
      <c r="O61" s="140"/>
      <c r="P61" s="140"/>
      <c r="Q61" s="140"/>
      <c r="R61" s="140"/>
      <c r="S61" s="150"/>
      <c r="T61" s="150"/>
      <c r="U61" s="140"/>
      <c r="V61" s="140"/>
      <c r="W61" s="140"/>
      <c r="X61" s="140"/>
      <c r="Y61" s="140"/>
      <c r="Z61" s="140"/>
      <c r="AA61" s="140"/>
      <c r="AB61" s="140"/>
      <c r="AC61" s="140"/>
      <c r="AD61" s="140"/>
      <c r="AE61" s="140"/>
      <c r="AF61" s="140"/>
      <c r="AG61" s="140"/>
      <c r="AH61" s="140"/>
      <c r="AI61" s="140"/>
      <c r="AJ61" s="140"/>
      <c r="AK61" s="140"/>
      <c r="AL61" s="140"/>
      <c r="AM61" s="140"/>
      <c r="AN61" s="140"/>
      <c r="AO61" s="140"/>
      <c r="AP61" s="140"/>
      <c r="AQ61" s="140"/>
      <c r="AR61" s="140"/>
      <c r="AS61" s="140"/>
    </row>
    <row r="62">
      <c r="A62" s="149"/>
      <c r="B62" s="140"/>
      <c r="C62" s="140"/>
      <c r="D62" s="140"/>
      <c r="E62" s="140"/>
      <c r="F62" s="140"/>
      <c r="G62" s="140"/>
      <c r="H62" s="140"/>
      <c r="I62" s="140"/>
      <c r="J62" s="140"/>
      <c r="K62" s="140"/>
      <c r="L62" s="140"/>
      <c r="M62" s="140"/>
      <c r="N62" s="140"/>
      <c r="O62" s="140"/>
      <c r="P62" s="140"/>
      <c r="Q62" s="140"/>
      <c r="R62" s="140"/>
      <c r="S62" s="150"/>
      <c r="T62" s="150"/>
      <c r="U62" s="140"/>
      <c r="V62" s="140"/>
      <c r="W62" s="140"/>
      <c r="X62" s="140"/>
      <c r="Y62" s="140"/>
      <c r="Z62" s="140"/>
      <c r="AA62" s="140"/>
      <c r="AB62" s="140"/>
      <c r="AC62" s="140"/>
      <c r="AD62" s="140"/>
      <c r="AE62" s="140"/>
      <c r="AF62" s="140"/>
      <c r="AG62" s="140"/>
      <c r="AH62" s="140"/>
      <c r="AI62" s="140"/>
      <c r="AJ62" s="140"/>
      <c r="AK62" s="140"/>
      <c r="AL62" s="140"/>
      <c r="AM62" s="140"/>
      <c r="AN62" s="140"/>
      <c r="AO62" s="140"/>
      <c r="AP62" s="140"/>
      <c r="AQ62" s="140"/>
      <c r="AR62" s="140"/>
      <c r="AS62" s="140"/>
    </row>
    <row r="63">
      <c r="A63" s="149"/>
      <c r="B63" s="140"/>
      <c r="C63" s="140"/>
      <c r="D63" s="140"/>
      <c r="E63" s="140"/>
      <c r="F63" s="140"/>
      <c r="G63" s="140"/>
      <c r="H63" s="140"/>
      <c r="I63" s="140"/>
      <c r="J63" s="140"/>
      <c r="K63" s="140"/>
      <c r="L63" s="140"/>
      <c r="M63" s="140"/>
      <c r="N63" s="140"/>
      <c r="O63" s="140"/>
      <c r="P63" s="140"/>
      <c r="Q63" s="140"/>
      <c r="R63" s="140"/>
      <c r="S63" s="150"/>
      <c r="T63" s="150"/>
      <c r="U63" s="140"/>
      <c r="V63" s="140"/>
      <c r="W63" s="140"/>
      <c r="X63" s="140"/>
      <c r="Y63" s="140"/>
      <c r="Z63" s="140"/>
      <c r="AA63" s="140"/>
      <c r="AB63" s="140"/>
      <c r="AC63" s="140"/>
      <c r="AD63" s="140"/>
      <c r="AE63" s="140"/>
      <c r="AF63" s="140"/>
      <c r="AG63" s="140"/>
      <c r="AH63" s="140"/>
      <c r="AI63" s="140"/>
      <c r="AJ63" s="140"/>
      <c r="AK63" s="140"/>
      <c r="AL63" s="140"/>
      <c r="AM63" s="140"/>
      <c r="AN63" s="140"/>
      <c r="AO63" s="140"/>
      <c r="AP63" s="140"/>
      <c r="AQ63" s="140"/>
      <c r="AR63" s="140"/>
      <c r="AS63" s="140"/>
    </row>
    <row r="64">
      <c r="A64" s="149"/>
      <c r="B64" s="140"/>
      <c r="C64" s="140"/>
      <c r="D64" s="140"/>
      <c r="E64" s="140"/>
      <c r="F64" s="140"/>
      <c r="G64" s="140"/>
      <c r="H64" s="140"/>
      <c r="I64" s="140"/>
      <c r="J64" s="140"/>
      <c r="K64" s="140"/>
      <c r="L64" s="140"/>
      <c r="M64" s="140"/>
      <c r="N64" s="140"/>
      <c r="O64" s="140"/>
      <c r="P64" s="140"/>
      <c r="Q64" s="140"/>
      <c r="R64" s="140"/>
      <c r="S64" s="150"/>
      <c r="T64" s="150"/>
      <c r="U64" s="140"/>
      <c r="V64" s="140"/>
      <c r="W64" s="140"/>
      <c r="X64" s="140"/>
      <c r="Y64" s="140"/>
      <c r="Z64" s="140"/>
      <c r="AA64" s="140"/>
      <c r="AB64" s="140"/>
      <c r="AC64" s="140"/>
      <c r="AD64" s="140"/>
      <c r="AE64" s="140"/>
      <c r="AF64" s="140"/>
      <c r="AG64" s="140"/>
      <c r="AH64" s="140"/>
      <c r="AI64" s="140"/>
      <c r="AJ64" s="140"/>
      <c r="AK64" s="140"/>
      <c r="AL64" s="140"/>
      <c r="AM64" s="140"/>
      <c r="AN64" s="140"/>
      <c r="AO64" s="140"/>
      <c r="AP64" s="140"/>
      <c r="AQ64" s="140"/>
      <c r="AR64" s="140"/>
      <c r="AS64" s="140"/>
    </row>
    <row r="65">
      <c r="A65" s="149"/>
      <c r="B65" s="140"/>
      <c r="C65" s="140"/>
      <c r="D65" s="140"/>
      <c r="E65" s="140"/>
      <c r="F65" s="140"/>
      <c r="G65" s="140"/>
      <c r="H65" s="140"/>
      <c r="I65" s="140"/>
      <c r="J65" s="140"/>
      <c r="K65" s="140"/>
      <c r="L65" s="140"/>
      <c r="M65" s="140"/>
      <c r="N65" s="140"/>
      <c r="O65" s="140"/>
      <c r="P65" s="140"/>
      <c r="Q65" s="140"/>
      <c r="R65" s="140"/>
      <c r="S65" s="150"/>
      <c r="T65" s="15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c r="AQ65" s="140"/>
      <c r="AR65" s="140"/>
      <c r="AS65" s="140"/>
    </row>
    <row r="66">
      <c r="A66" s="149"/>
      <c r="B66" s="140"/>
      <c r="C66" s="140"/>
      <c r="D66" s="140"/>
      <c r="E66" s="140"/>
      <c r="F66" s="140"/>
      <c r="G66" s="140"/>
      <c r="H66" s="140"/>
      <c r="I66" s="140"/>
      <c r="J66" s="140"/>
      <c r="K66" s="140"/>
      <c r="L66" s="140"/>
      <c r="M66" s="140"/>
      <c r="N66" s="140"/>
      <c r="O66" s="140"/>
      <c r="P66" s="140"/>
      <c r="Q66" s="140"/>
      <c r="R66" s="140"/>
      <c r="S66" s="150"/>
      <c r="T66" s="150"/>
      <c r="U66" s="140"/>
      <c r="V66" s="140"/>
      <c r="W66" s="140"/>
      <c r="X66" s="140"/>
      <c r="Y66" s="140"/>
      <c r="Z66" s="140"/>
      <c r="AA66" s="140"/>
      <c r="AB66" s="140"/>
      <c r="AC66" s="140"/>
      <c r="AD66" s="140"/>
      <c r="AE66" s="140"/>
      <c r="AF66" s="140"/>
      <c r="AG66" s="140"/>
      <c r="AH66" s="140"/>
      <c r="AI66" s="140"/>
      <c r="AJ66" s="140"/>
      <c r="AK66" s="140"/>
      <c r="AL66" s="140"/>
      <c r="AM66" s="140"/>
      <c r="AN66" s="140"/>
      <c r="AO66" s="140"/>
      <c r="AP66" s="140"/>
      <c r="AQ66" s="140"/>
      <c r="AR66" s="140"/>
      <c r="AS66" s="140"/>
    </row>
    <row r="67">
      <c r="A67" s="149"/>
      <c r="B67" s="140"/>
      <c r="C67" s="140"/>
      <c r="D67" s="140"/>
      <c r="E67" s="140"/>
      <c r="F67" s="140"/>
      <c r="G67" s="140"/>
      <c r="H67" s="140"/>
      <c r="I67" s="140"/>
      <c r="J67" s="140"/>
      <c r="K67" s="140"/>
      <c r="L67" s="140"/>
      <c r="M67" s="140"/>
      <c r="N67" s="140"/>
      <c r="O67" s="140"/>
      <c r="P67" s="140"/>
      <c r="Q67" s="140"/>
      <c r="R67" s="140"/>
      <c r="S67" s="150"/>
      <c r="T67" s="150"/>
      <c r="U67" s="140"/>
      <c r="V67" s="140"/>
      <c r="W67" s="140"/>
      <c r="X67" s="140"/>
      <c r="Y67" s="140"/>
      <c r="Z67" s="140"/>
      <c r="AA67" s="140"/>
      <c r="AB67" s="140"/>
      <c r="AC67" s="140"/>
      <c r="AD67" s="140"/>
      <c r="AE67" s="140"/>
      <c r="AF67" s="140"/>
      <c r="AG67" s="140"/>
      <c r="AH67" s="140"/>
      <c r="AI67" s="140"/>
      <c r="AJ67" s="140"/>
      <c r="AK67" s="140"/>
      <c r="AL67" s="140"/>
      <c r="AM67" s="140"/>
      <c r="AN67" s="140"/>
      <c r="AO67" s="140"/>
      <c r="AP67" s="140"/>
      <c r="AQ67" s="140"/>
      <c r="AR67" s="140"/>
      <c r="AS67" s="140"/>
    </row>
    <row r="68">
      <c r="A68" s="149"/>
      <c r="B68" s="140"/>
      <c r="C68" s="140"/>
      <c r="D68" s="140"/>
      <c r="E68" s="140"/>
      <c r="F68" s="140"/>
      <c r="G68" s="140"/>
      <c r="H68" s="140"/>
      <c r="I68" s="140"/>
      <c r="J68" s="140"/>
      <c r="K68" s="140"/>
      <c r="L68" s="140"/>
      <c r="M68" s="140"/>
      <c r="N68" s="140"/>
      <c r="O68" s="140"/>
      <c r="P68" s="140"/>
      <c r="Q68" s="140"/>
      <c r="R68" s="140"/>
      <c r="S68" s="150"/>
      <c r="T68" s="150"/>
      <c r="U68" s="140"/>
      <c r="V68" s="140"/>
      <c r="W68" s="140"/>
      <c r="X68" s="140"/>
      <c r="Y68" s="140"/>
      <c r="Z68" s="140"/>
      <c r="AA68" s="140"/>
      <c r="AB68" s="140"/>
      <c r="AC68" s="140"/>
      <c r="AD68" s="140"/>
      <c r="AE68" s="140"/>
      <c r="AF68" s="140"/>
      <c r="AG68" s="140"/>
      <c r="AH68" s="140"/>
      <c r="AI68" s="140"/>
      <c r="AJ68" s="140"/>
      <c r="AK68" s="140"/>
      <c r="AL68" s="140"/>
      <c r="AM68" s="140"/>
      <c r="AN68" s="140"/>
      <c r="AO68" s="140"/>
      <c r="AP68" s="140"/>
      <c r="AQ68" s="140"/>
      <c r="AR68" s="140"/>
      <c r="AS68" s="140"/>
    </row>
    <row r="69">
      <c r="A69" s="149"/>
      <c r="B69" s="140"/>
      <c r="C69" s="140"/>
      <c r="D69" s="140"/>
      <c r="E69" s="140"/>
      <c r="F69" s="140"/>
      <c r="G69" s="140"/>
      <c r="H69" s="140"/>
      <c r="I69" s="140"/>
      <c r="J69" s="140"/>
      <c r="K69" s="140"/>
      <c r="L69" s="140"/>
      <c r="M69" s="140"/>
      <c r="N69" s="140"/>
      <c r="O69" s="140"/>
      <c r="P69" s="140"/>
      <c r="Q69" s="140"/>
      <c r="R69" s="140"/>
      <c r="S69" s="150"/>
      <c r="T69" s="15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row>
    <row r="70">
      <c r="A70" s="149"/>
      <c r="B70" s="140"/>
      <c r="C70" s="140"/>
      <c r="D70" s="140"/>
      <c r="E70" s="140"/>
      <c r="F70" s="140"/>
      <c r="G70" s="140"/>
      <c r="H70" s="140"/>
      <c r="I70" s="140"/>
      <c r="J70" s="140"/>
      <c r="K70" s="140"/>
      <c r="L70" s="140"/>
      <c r="M70" s="140"/>
      <c r="N70" s="140"/>
      <c r="O70" s="140"/>
      <c r="P70" s="140"/>
      <c r="Q70" s="140"/>
      <c r="R70" s="140"/>
      <c r="S70" s="150"/>
      <c r="T70" s="150"/>
      <c r="U70" s="140"/>
      <c r="V70" s="140"/>
      <c r="W70" s="140"/>
      <c r="X70" s="140"/>
      <c r="Y70" s="140"/>
      <c r="Z70" s="140"/>
      <c r="AA70" s="140"/>
      <c r="AB70" s="140"/>
      <c r="AC70" s="140"/>
      <c r="AD70" s="140"/>
      <c r="AE70" s="140"/>
      <c r="AF70" s="140"/>
      <c r="AG70" s="140"/>
      <c r="AH70" s="140"/>
      <c r="AI70" s="140"/>
      <c r="AJ70" s="140"/>
      <c r="AK70" s="140"/>
      <c r="AL70" s="140"/>
      <c r="AM70" s="140"/>
      <c r="AN70" s="140"/>
      <c r="AO70" s="140"/>
      <c r="AP70" s="140"/>
      <c r="AQ70" s="140"/>
      <c r="AR70" s="140"/>
      <c r="AS70" s="140"/>
    </row>
    <row r="71">
      <c r="A71" s="149"/>
      <c r="B71" s="140"/>
      <c r="C71" s="140"/>
      <c r="D71" s="140"/>
      <c r="E71" s="140"/>
      <c r="F71" s="140"/>
      <c r="G71" s="140"/>
      <c r="H71" s="140"/>
      <c r="I71" s="140"/>
      <c r="J71" s="140"/>
      <c r="K71" s="140"/>
      <c r="L71" s="140"/>
      <c r="M71" s="140"/>
      <c r="N71" s="140"/>
      <c r="O71" s="140"/>
      <c r="P71" s="140"/>
      <c r="Q71" s="140"/>
      <c r="R71" s="140"/>
      <c r="S71" s="150"/>
      <c r="T71" s="150"/>
      <c r="U71" s="140"/>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c r="AR71" s="140"/>
      <c r="AS71" s="140"/>
    </row>
    <row r="72">
      <c r="A72" s="149"/>
      <c r="B72" s="140"/>
      <c r="C72" s="140"/>
      <c r="D72" s="140"/>
      <c r="E72" s="140"/>
      <c r="F72" s="140"/>
      <c r="G72" s="140"/>
      <c r="H72" s="140"/>
      <c r="I72" s="140"/>
      <c r="J72" s="140"/>
      <c r="K72" s="140"/>
      <c r="L72" s="140"/>
      <c r="M72" s="140"/>
      <c r="N72" s="140"/>
      <c r="O72" s="140"/>
      <c r="P72" s="140"/>
      <c r="Q72" s="140"/>
      <c r="R72" s="140"/>
      <c r="S72" s="150"/>
      <c r="T72" s="150"/>
      <c r="U72" s="140"/>
      <c r="V72" s="140"/>
      <c r="W72" s="140"/>
      <c r="X72" s="140"/>
      <c r="Y72" s="140"/>
      <c r="Z72" s="140"/>
      <c r="AA72" s="140"/>
      <c r="AB72" s="140"/>
      <c r="AC72" s="140"/>
      <c r="AD72" s="140"/>
      <c r="AE72" s="140"/>
      <c r="AF72" s="140"/>
      <c r="AG72" s="140"/>
      <c r="AH72" s="140"/>
      <c r="AI72" s="140"/>
      <c r="AJ72" s="140"/>
      <c r="AK72" s="140"/>
      <c r="AL72" s="140"/>
      <c r="AM72" s="140"/>
      <c r="AN72" s="140"/>
      <c r="AO72" s="140"/>
      <c r="AP72" s="140"/>
      <c r="AQ72" s="140"/>
      <c r="AR72" s="140"/>
      <c r="AS72" s="140"/>
    </row>
    <row r="73">
      <c r="A73" s="149"/>
      <c r="B73" s="140"/>
      <c r="C73" s="140"/>
      <c r="D73" s="140"/>
      <c r="E73" s="140"/>
      <c r="F73" s="140"/>
      <c r="G73" s="140"/>
      <c r="H73" s="140"/>
      <c r="I73" s="140"/>
      <c r="J73" s="140"/>
      <c r="K73" s="140"/>
      <c r="L73" s="140"/>
      <c r="M73" s="140"/>
      <c r="N73" s="140"/>
      <c r="O73" s="140"/>
      <c r="P73" s="140"/>
      <c r="Q73" s="140"/>
      <c r="R73" s="140"/>
      <c r="S73" s="150"/>
      <c r="T73" s="15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row>
    <row r="74">
      <c r="A74" s="149"/>
      <c r="B74" s="140"/>
      <c r="C74" s="140"/>
      <c r="D74" s="140"/>
      <c r="E74" s="140"/>
      <c r="F74" s="140"/>
      <c r="G74" s="140"/>
      <c r="H74" s="140"/>
      <c r="I74" s="140"/>
      <c r="J74" s="140"/>
      <c r="K74" s="140"/>
      <c r="L74" s="140"/>
      <c r="M74" s="140"/>
      <c r="N74" s="140"/>
      <c r="O74" s="140"/>
      <c r="P74" s="140"/>
      <c r="Q74" s="140"/>
      <c r="R74" s="140"/>
      <c r="S74" s="150"/>
      <c r="T74" s="15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row>
    <row r="75">
      <c r="A75" s="149"/>
      <c r="B75" s="140"/>
      <c r="C75" s="140"/>
      <c r="D75" s="140"/>
      <c r="E75" s="140"/>
      <c r="F75" s="140"/>
      <c r="G75" s="140"/>
      <c r="H75" s="140"/>
      <c r="I75" s="140"/>
      <c r="J75" s="140"/>
      <c r="K75" s="140"/>
      <c r="L75" s="140"/>
      <c r="M75" s="140"/>
      <c r="N75" s="140"/>
      <c r="O75" s="140"/>
      <c r="P75" s="140"/>
      <c r="Q75" s="140"/>
      <c r="R75" s="140"/>
      <c r="S75" s="150"/>
      <c r="T75" s="15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c r="AS75" s="140"/>
    </row>
    <row r="76">
      <c r="A76" s="149"/>
      <c r="B76" s="140"/>
      <c r="C76" s="140"/>
      <c r="D76" s="140"/>
      <c r="E76" s="140"/>
      <c r="F76" s="140"/>
      <c r="G76" s="140"/>
      <c r="H76" s="140"/>
      <c r="I76" s="140"/>
      <c r="J76" s="140"/>
      <c r="K76" s="140"/>
      <c r="L76" s="140"/>
      <c r="M76" s="140"/>
      <c r="N76" s="140"/>
      <c r="O76" s="140"/>
      <c r="P76" s="140"/>
      <c r="Q76" s="140"/>
      <c r="R76" s="140"/>
      <c r="S76" s="150"/>
      <c r="T76" s="15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c r="AR76" s="140"/>
      <c r="AS76" s="140"/>
    </row>
    <row r="77">
      <c r="A77" s="149"/>
      <c r="B77" s="140"/>
      <c r="C77" s="140"/>
      <c r="D77" s="140"/>
      <c r="E77" s="140"/>
      <c r="F77" s="140"/>
      <c r="G77" s="140"/>
      <c r="H77" s="140"/>
      <c r="I77" s="140"/>
      <c r="J77" s="140"/>
      <c r="K77" s="140"/>
      <c r="L77" s="140"/>
      <c r="M77" s="140"/>
      <c r="N77" s="140"/>
      <c r="O77" s="140"/>
      <c r="P77" s="140"/>
      <c r="Q77" s="140"/>
      <c r="R77" s="140"/>
      <c r="S77" s="150"/>
      <c r="T77" s="150"/>
      <c r="U77" s="140"/>
      <c r="V77" s="140"/>
      <c r="W77" s="140"/>
      <c r="X77" s="140"/>
      <c r="Y77" s="140"/>
      <c r="Z77" s="140"/>
      <c r="AA77" s="140"/>
      <c r="AB77" s="140"/>
      <c r="AC77" s="140"/>
      <c r="AD77" s="140"/>
      <c r="AE77" s="140"/>
      <c r="AF77" s="140"/>
      <c r="AG77" s="140"/>
      <c r="AH77" s="140"/>
      <c r="AI77" s="140"/>
      <c r="AJ77" s="140"/>
      <c r="AK77" s="140"/>
      <c r="AL77" s="140"/>
      <c r="AM77" s="140"/>
      <c r="AN77" s="140"/>
      <c r="AO77" s="140"/>
      <c r="AP77" s="140"/>
      <c r="AQ77" s="140"/>
      <c r="AR77" s="140"/>
      <c r="AS77" s="140"/>
    </row>
    <row r="78">
      <c r="A78" s="149"/>
      <c r="B78" s="140"/>
      <c r="C78" s="140"/>
      <c r="D78" s="140"/>
      <c r="E78" s="140"/>
      <c r="F78" s="140"/>
      <c r="G78" s="140"/>
      <c r="H78" s="140"/>
      <c r="I78" s="140"/>
      <c r="J78" s="140"/>
      <c r="K78" s="140"/>
      <c r="L78" s="140"/>
      <c r="M78" s="140"/>
      <c r="N78" s="140"/>
      <c r="O78" s="140"/>
      <c r="P78" s="140"/>
      <c r="Q78" s="140"/>
      <c r="R78" s="140"/>
      <c r="S78" s="150"/>
      <c r="T78" s="15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c r="AQ78" s="140"/>
      <c r="AR78" s="140"/>
      <c r="AS78" s="140"/>
    </row>
    <row r="79">
      <c r="A79" s="149"/>
      <c r="B79" s="140"/>
      <c r="C79" s="140"/>
      <c r="D79" s="140"/>
      <c r="E79" s="140"/>
      <c r="F79" s="140"/>
      <c r="G79" s="140"/>
      <c r="H79" s="140"/>
      <c r="I79" s="140"/>
      <c r="J79" s="140"/>
      <c r="K79" s="140"/>
      <c r="L79" s="140"/>
      <c r="M79" s="140"/>
      <c r="N79" s="140"/>
      <c r="O79" s="140"/>
      <c r="P79" s="140"/>
      <c r="Q79" s="140"/>
      <c r="R79" s="140"/>
      <c r="S79" s="150"/>
      <c r="T79" s="150"/>
      <c r="U79" s="140"/>
      <c r="V79" s="140"/>
      <c r="W79" s="140"/>
      <c r="X79" s="140"/>
      <c r="Y79" s="140"/>
      <c r="Z79" s="140"/>
      <c r="AA79" s="140"/>
      <c r="AB79" s="140"/>
      <c r="AC79" s="140"/>
      <c r="AD79" s="140"/>
      <c r="AE79" s="140"/>
      <c r="AF79" s="140"/>
      <c r="AG79" s="140"/>
      <c r="AH79" s="140"/>
      <c r="AI79" s="140"/>
      <c r="AJ79" s="140"/>
      <c r="AK79" s="140"/>
      <c r="AL79" s="140"/>
      <c r="AM79" s="140"/>
      <c r="AN79" s="140"/>
      <c r="AO79" s="140"/>
      <c r="AP79" s="140"/>
      <c r="AQ79" s="140"/>
      <c r="AR79" s="140"/>
      <c r="AS79" s="140"/>
    </row>
    <row r="80">
      <c r="A80" s="149"/>
      <c r="B80" s="140"/>
      <c r="C80" s="140"/>
      <c r="D80" s="140"/>
      <c r="E80" s="140"/>
      <c r="F80" s="140"/>
      <c r="G80" s="140"/>
      <c r="H80" s="140"/>
      <c r="I80" s="140"/>
      <c r="J80" s="140"/>
      <c r="K80" s="140"/>
      <c r="L80" s="140"/>
      <c r="M80" s="140"/>
      <c r="N80" s="140"/>
      <c r="O80" s="140"/>
      <c r="P80" s="140"/>
      <c r="Q80" s="140"/>
      <c r="R80" s="140"/>
      <c r="S80" s="150"/>
      <c r="T80" s="15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row>
    <row r="81">
      <c r="A81" s="149"/>
      <c r="B81" s="140"/>
      <c r="C81" s="140"/>
      <c r="D81" s="140"/>
      <c r="E81" s="140"/>
      <c r="F81" s="140"/>
      <c r="G81" s="140"/>
      <c r="H81" s="140"/>
      <c r="I81" s="140"/>
      <c r="J81" s="140"/>
      <c r="K81" s="140"/>
      <c r="L81" s="140"/>
      <c r="M81" s="140"/>
      <c r="N81" s="140"/>
      <c r="O81" s="140"/>
      <c r="P81" s="140"/>
      <c r="Q81" s="140"/>
      <c r="R81" s="140"/>
      <c r="S81" s="150"/>
      <c r="T81" s="150"/>
      <c r="U81" s="140"/>
      <c r="V81" s="140"/>
      <c r="W81" s="140"/>
      <c r="X81" s="140"/>
      <c r="Y81" s="140"/>
      <c r="Z81" s="140"/>
      <c r="AA81" s="140"/>
      <c r="AB81" s="140"/>
      <c r="AC81" s="140"/>
      <c r="AD81" s="140"/>
      <c r="AE81" s="140"/>
      <c r="AF81" s="140"/>
      <c r="AG81" s="140"/>
      <c r="AH81" s="140"/>
      <c r="AI81" s="140"/>
      <c r="AJ81" s="140"/>
      <c r="AK81" s="140"/>
      <c r="AL81" s="140"/>
      <c r="AM81" s="140"/>
      <c r="AN81" s="140"/>
      <c r="AO81" s="140"/>
      <c r="AP81" s="140"/>
      <c r="AQ81" s="140"/>
      <c r="AR81" s="140"/>
      <c r="AS81" s="140"/>
    </row>
    <row r="82">
      <c r="A82" s="149"/>
      <c r="B82" s="140"/>
      <c r="C82" s="140"/>
      <c r="D82" s="140"/>
      <c r="E82" s="140"/>
      <c r="F82" s="140"/>
      <c r="G82" s="140"/>
      <c r="H82" s="140"/>
      <c r="I82" s="140"/>
      <c r="J82" s="140"/>
      <c r="K82" s="140"/>
      <c r="L82" s="140"/>
      <c r="M82" s="140"/>
      <c r="N82" s="140"/>
      <c r="O82" s="140"/>
      <c r="P82" s="140"/>
      <c r="Q82" s="140"/>
      <c r="R82" s="140"/>
      <c r="S82" s="150"/>
      <c r="T82" s="150"/>
      <c r="U82" s="140"/>
      <c r="V82" s="140"/>
      <c r="W82" s="140"/>
      <c r="X82" s="140"/>
      <c r="Y82" s="140"/>
      <c r="Z82" s="140"/>
      <c r="AA82" s="140"/>
      <c r="AB82" s="140"/>
      <c r="AC82" s="140"/>
      <c r="AD82" s="140"/>
      <c r="AE82" s="140"/>
      <c r="AF82" s="140"/>
      <c r="AG82" s="140"/>
      <c r="AH82" s="140"/>
      <c r="AI82" s="140"/>
      <c r="AJ82" s="140"/>
      <c r="AK82" s="140"/>
      <c r="AL82" s="140"/>
      <c r="AM82" s="140"/>
      <c r="AN82" s="140"/>
      <c r="AO82" s="140"/>
      <c r="AP82" s="140"/>
      <c r="AQ82" s="140"/>
      <c r="AR82" s="140"/>
      <c r="AS82" s="140"/>
    </row>
    <row r="83">
      <c r="A83" s="149"/>
      <c r="B83" s="140"/>
      <c r="C83" s="140"/>
      <c r="D83" s="140"/>
      <c r="E83" s="140"/>
      <c r="F83" s="140"/>
      <c r="G83" s="140"/>
      <c r="H83" s="140"/>
      <c r="I83" s="140"/>
      <c r="J83" s="140"/>
      <c r="K83" s="140"/>
      <c r="L83" s="140"/>
      <c r="M83" s="140"/>
      <c r="N83" s="140"/>
      <c r="O83" s="140"/>
      <c r="P83" s="140"/>
      <c r="Q83" s="140"/>
      <c r="R83" s="140"/>
      <c r="S83" s="150"/>
      <c r="T83" s="15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row>
    <row r="84">
      <c r="A84" s="149"/>
      <c r="B84" s="140"/>
      <c r="C84" s="140"/>
      <c r="D84" s="140"/>
      <c r="E84" s="140"/>
      <c r="F84" s="140"/>
      <c r="G84" s="140"/>
      <c r="H84" s="140"/>
      <c r="I84" s="140"/>
      <c r="J84" s="140"/>
      <c r="K84" s="140"/>
      <c r="L84" s="140"/>
      <c r="M84" s="140"/>
      <c r="N84" s="140"/>
      <c r="O84" s="140"/>
      <c r="P84" s="140"/>
      <c r="Q84" s="140"/>
      <c r="R84" s="140"/>
      <c r="S84" s="150"/>
      <c r="T84" s="15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0"/>
    </row>
    <row r="85">
      <c r="A85" s="149"/>
      <c r="B85" s="140"/>
      <c r="C85" s="140"/>
      <c r="D85" s="140"/>
      <c r="E85" s="140"/>
      <c r="F85" s="140"/>
      <c r="G85" s="140"/>
      <c r="H85" s="140"/>
      <c r="I85" s="140"/>
      <c r="J85" s="140"/>
      <c r="K85" s="140"/>
      <c r="L85" s="140"/>
      <c r="M85" s="140"/>
      <c r="N85" s="140"/>
      <c r="O85" s="140"/>
      <c r="P85" s="140"/>
      <c r="Q85" s="140"/>
      <c r="R85" s="140"/>
      <c r="S85" s="150"/>
      <c r="T85" s="15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c r="AR85" s="140"/>
      <c r="AS85" s="140"/>
    </row>
    <row r="86">
      <c r="A86" s="149"/>
      <c r="B86" s="140"/>
      <c r="C86" s="140"/>
      <c r="D86" s="140"/>
      <c r="E86" s="140"/>
      <c r="F86" s="140"/>
      <c r="G86" s="140"/>
      <c r="H86" s="140"/>
      <c r="I86" s="140"/>
      <c r="J86" s="140"/>
      <c r="K86" s="140"/>
      <c r="L86" s="140"/>
      <c r="M86" s="140"/>
      <c r="N86" s="140"/>
      <c r="O86" s="140"/>
      <c r="P86" s="140"/>
      <c r="Q86" s="140"/>
      <c r="R86" s="140"/>
      <c r="S86" s="150"/>
      <c r="T86" s="150"/>
      <c r="U86" s="140"/>
      <c r="V86" s="140"/>
      <c r="W86" s="140"/>
      <c r="X86" s="140"/>
      <c r="Y86" s="140"/>
      <c r="Z86" s="140"/>
      <c r="AA86" s="140"/>
      <c r="AB86" s="140"/>
      <c r="AC86" s="140"/>
      <c r="AD86" s="140"/>
      <c r="AE86" s="140"/>
      <c r="AF86" s="140"/>
      <c r="AG86" s="140"/>
      <c r="AH86" s="140"/>
      <c r="AI86" s="140"/>
      <c r="AJ86" s="140"/>
      <c r="AK86" s="140"/>
      <c r="AL86" s="140"/>
      <c r="AM86" s="140"/>
      <c r="AN86" s="140"/>
      <c r="AO86" s="140"/>
      <c r="AP86" s="140"/>
      <c r="AQ86" s="140"/>
      <c r="AR86" s="140"/>
      <c r="AS86" s="140"/>
    </row>
    <row r="87">
      <c r="A87" s="149"/>
      <c r="B87" s="140"/>
      <c r="C87" s="140"/>
      <c r="D87" s="140"/>
      <c r="E87" s="140"/>
      <c r="F87" s="140"/>
      <c r="G87" s="140"/>
      <c r="H87" s="140"/>
      <c r="I87" s="140"/>
      <c r="J87" s="140"/>
      <c r="K87" s="140"/>
      <c r="L87" s="140"/>
      <c r="M87" s="140"/>
      <c r="N87" s="140"/>
      <c r="O87" s="140"/>
      <c r="P87" s="140"/>
      <c r="Q87" s="140"/>
      <c r="R87" s="140"/>
      <c r="S87" s="150"/>
      <c r="T87" s="150"/>
      <c r="U87" s="140"/>
      <c r="V87" s="140"/>
      <c r="W87" s="140"/>
      <c r="X87" s="140"/>
      <c r="Y87" s="140"/>
      <c r="Z87" s="140"/>
      <c r="AA87" s="140"/>
      <c r="AB87" s="140"/>
      <c r="AC87" s="140"/>
      <c r="AD87" s="140"/>
      <c r="AE87" s="140"/>
      <c r="AF87" s="140"/>
      <c r="AG87" s="140"/>
      <c r="AH87" s="140"/>
      <c r="AI87" s="140"/>
      <c r="AJ87" s="140"/>
      <c r="AK87" s="140"/>
      <c r="AL87" s="140"/>
      <c r="AM87" s="140"/>
      <c r="AN87" s="140"/>
      <c r="AO87" s="140"/>
      <c r="AP87" s="140"/>
      <c r="AQ87" s="140"/>
      <c r="AR87" s="140"/>
      <c r="AS87" s="140"/>
    </row>
    <row r="88">
      <c r="A88" s="149"/>
      <c r="B88" s="140"/>
      <c r="C88" s="140"/>
      <c r="D88" s="140"/>
      <c r="E88" s="140"/>
      <c r="F88" s="140"/>
      <c r="G88" s="140"/>
      <c r="H88" s="140"/>
      <c r="I88" s="140"/>
      <c r="J88" s="140"/>
      <c r="K88" s="140"/>
      <c r="L88" s="140"/>
      <c r="M88" s="140"/>
      <c r="N88" s="140"/>
      <c r="O88" s="140"/>
      <c r="P88" s="140"/>
      <c r="Q88" s="140"/>
      <c r="R88" s="140"/>
      <c r="S88" s="150"/>
      <c r="T88" s="150"/>
      <c r="U88" s="140"/>
      <c r="V88" s="140"/>
      <c r="W88" s="140"/>
      <c r="X88" s="140"/>
      <c r="Y88" s="140"/>
      <c r="Z88" s="140"/>
      <c r="AA88" s="140"/>
      <c r="AB88" s="140"/>
      <c r="AC88" s="140"/>
      <c r="AD88" s="140"/>
      <c r="AE88" s="140"/>
      <c r="AF88" s="140"/>
      <c r="AG88" s="140"/>
      <c r="AH88" s="140"/>
      <c r="AI88" s="140"/>
      <c r="AJ88" s="140"/>
      <c r="AK88" s="140"/>
      <c r="AL88" s="140"/>
      <c r="AM88" s="140"/>
      <c r="AN88" s="140"/>
      <c r="AO88" s="140"/>
      <c r="AP88" s="140"/>
      <c r="AQ88" s="140"/>
      <c r="AR88" s="140"/>
      <c r="AS88" s="140"/>
    </row>
    <row r="89">
      <c r="A89" s="149"/>
      <c r="B89" s="140"/>
      <c r="C89" s="140"/>
      <c r="D89" s="140"/>
      <c r="E89" s="140"/>
      <c r="F89" s="140"/>
      <c r="G89" s="140"/>
      <c r="H89" s="140"/>
      <c r="I89" s="140"/>
      <c r="J89" s="140"/>
      <c r="K89" s="140"/>
      <c r="L89" s="140"/>
      <c r="M89" s="140"/>
      <c r="N89" s="140"/>
      <c r="O89" s="140"/>
      <c r="P89" s="140"/>
      <c r="Q89" s="140"/>
      <c r="R89" s="140"/>
      <c r="S89" s="150"/>
      <c r="T89" s="150"/>
      <c r="U89" s="140"/>
      <c r="V89" s="140"/>
      <c r="W89" s="140"/>
      <c r="X89" s="140"/>
      <c r="Y89" s="140"/>
      <c r="Z89" s="140"/>
      <c r="AA89" s="140"/>
      <c r="AB89" s="140"/>
      <c r="AC89" s="140"/>
      <c r="AD89" s="140"/>
      <c r="AE89" s="140"/>
      <c r="AF89" s="140"/>
      <c r="AG89" s="140"/>
      <c r="AH89" s="140"/>
      <c r="AI89" s="140"/>
      <c r="AJ89" s="140"/>
      <c r="AK89" s="140"/>
      <c r="AL89" s="140"/>
      <c r="AM89" s="140"/>
      <c r="AN89" s="140"/>
      <c r="AO89" s="140"/>
      <c r="AP89" s="140"/>
      <c r="AQ89" s="140"/>
      <c r="AR89" s="140"/>
      <c r="AS89" s="140"/>
    </row>
    <row r="90">
      <c r="A90" s="149"/>
      <c r="B90" s="140"/>
      <c r="C90" s="140"/>
      <c r="D90" s="140"/>
      <c r="E90" s="140"/>
      <c r="F90" s="140"/>
      <c r="G90" s="140"/>
      <c r="H90" s="140"/>
      <c r="I90" s="140"/>
      <c r="J90" s="140"/>
      <c r="K90" s="140"/>
      <c r="L90" s="140"/>
      <c r="M90" s="140"/>
      <c r="N90" s="140"/>
      <c r="O90" s="140"/>
      <c r="P90" s="140"/>
      <c r="Q90" s="140"/>
      <c r="R90" s="140"/>
      <c r="S90" s="150"/>
      <c r="T90" s="150"/>
      <c r="U90" s="140"/>
      <c r="V90" s="140"/>
      <c r="W90" s="140"/>
      <c r="X90" s="140"/>
      <c r="Y90" s="140"/>
      <c r="Z90" s="140"/>
      <c r="AA90" s="140"/>
      <c r="AB90" s="140"/>
      <c r="AC90" s="140"/>
      <c r="AD90" s="140"/>
      <c r="AE90" s="140"/>
      <c r="AF90" s="140"/>
      <c r="AG90" s="140"/>
      <c r="AH90" s="140"/>
      <c r="AI90" s="140"/>
      <c r="AJ90" s="140"/>
      <c r="AK90" s="140"/>
      <c r="AL90" s="140"/>
      <c r="AM90" s="140"/>
      <c r="AN90" s="140"/>
      <c r="AO90" s="140"/>
      <c r="AP90" s="140"/>
      <c r="AQ90" s="140"/>
      <c r="AR90" s="140"/>
      <c r="AS90" s="140"/>
    </row>
    <row r="91">
      <c r="A91" s="149"/>
      <c r="B91" s="140"/>
      <c r="C91" s="140"/>
      <c r="D91" s="140"/>
      <c r="E91" s="140"/>
      <c r="F91" s="140"/>
      <c r="G91" s="140"/>
      <c r="H91" s="140"/>
      <c r="I91" s="140"/>
      <c r="J91" s="140"/>
      <c r="K91" s="140"/>
      <c r="L91" s="140"/>
      <c r="M91" s="140"/>
      <c r="N91" s="140"/>
      <c r="O91" s="140"/>
      <c r="P91" s="140"/>
      <c r="Q91" s="140"/>
      <c r="R91" s="140"/>
      <c r="S91" s="150"/>
      <c r="T91" s="15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c r="AR91" s="140"/>
      <c r="AS91" s="140"/>
    </row>
    <row r="92">
      <c r="A92" s="149"/>
      <c r="B92" s="140"/>
      <c r="C92" s="140"/>
      <c r="D92" s="140"/>
      <c r="E92" s="140"/>
      <c r="F92" s="140"/>
      <c r="G92" s="140"/>
      <c r="H92" s="140"/>
      <c r="I92" s="140"/>
      <c r="J92" s="140"/>
      <c r="K92" s="140"/>
      <c r="L92" s="140"/>
      <c r="M92" s="140"/>
      <c r="N92" s="140"/>
      <c r="O92" s="140"/>
      <c r="P92" s="140"/>
      <c r="Q92" s="140"/>
      <c r="R92" s="140"/>
      <c r="S92" s="150"/>
      <c r="T92" s="15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row>
    <row r="93">
      <c r="A93" s="149"/>
      <c r="B93" s="140"/>
      <c r="C93" s="140"/>
      <c r="D93" s="140"/>
      <c r="E93" s="140"/>
      <c r="F93" s="140"/>
      <c r="G93" s="140"/>
      <c r="H93" s="140"/>
      <c r="I93" s="140"/>
      <c r="J93" s="140"/>
      <c r="K93" s="140"/>
      <c r="L93" s="140"/>
      <c r="M93" s="140"/>
      <c r="N93" s="140"/>
      <c r="O93" s="140"/>
      <c r="P93" s="140"/>
      <c r="Q93" s="140"/>
      <c r="R93" s="140"/>
      <c r="S93" s="150"/>
      <c r="T93" s="150"/>
      <c r="U93" s="140"/>
      <c r="V93" s="140"/>
      <c r="W93" s="140"/>
      <c r="X93" s="140"/>
      <c r="Y93" s="140"/>
      <c r="Z93" s="140"/>
      <c r="AA93" s="140"/>
      <c r="AB93" s="140"/>
      <c r="AC93" s="140"/>
      <c r="AD93" s="140"/>
      <c r="AE93" s="140"/>
      <c r="AF93" s="140"/>
      <c r="AG93" s="140"/>
      <c r="AH93" s="140"/>
      <c r="AI93" s="140"/>
      <c r="AJ93" s="140"/>
      <c r="AK93" s="140"/>
      <c r="AL93" s="140"/>
      <c r="AM93" s="140"/>
      <c r="AN93" s="140"/>
      <c r="AO93" s="140"/>
      <c r="AP93" s="140"/>
      <c r="AQ93" s="140"/>
      <c r="AR93" s="140"/>
      <c r="AS93" s="140"/>
    </row>
    <row r="94">
      <c r="A94" s="149"/>
      <c r="B94" s="140"/>
      <c r="C94" s="140"/>
      <c r="D94" s="140"/>
      <c r="E94" s="140"/>
      <c r="F94" s="140"/>
      <c r="G94" s="140"/>
      <c r="H94" s="140"/>
      <c r="I94" s="140"/>
      <c r="J94" s="140"/>
      <c r="K94" s="140"/>
      <c r="L94" s="140"/>
      <c r="M94" s="140"/>
      <c r="N94" s="140"/>
      <c r="O94" s="140"/>
      <c r="P94" s="140"/>
      <c r="Q94" s="140"/>
      <c r="R94" s="140"/>
      <c r="S94" s="150"/>
      <c r="T94" s="150"/>
      <c r="U94" s="140"/>
      <c r="V94" s="140"/>
      <c r="W94" s="140"/>
      <c r="X94" s="140"/>
      <c r="Y94" s="140"/>
      <c r="Z94" s="140"/>
      <c r="AA94" s="140"/>
      <c r="AB94" s="140"/>
      <c r="AC94" s="140"/>
      <c r="AD94" s="140"/>
      <c r="AE94" s="140"/>
      <c r="AF94" s="140"/>
      <c r="AG94" s="140"/>
      <c r="AH94" s="140"/>
      <c r="AI94" s="140"/>
      <c r="AJ94" s="140"/>
      <c r="AK94" s="140"/>
      <c r="AL94" s="140"/>
      <c r="AM94" s="140"/>
      <c r="AN94" s="140"/>
      <c r="AO94" s="140"/>
      <c r="AP94" s="140"/>
      <c r="AQ94" s="140"/>
      <c r="AR94" s="140"/>
      <c r="AS94" s="140"/>
    </row>
    <row r="95">
      <c r="A95" s="149"/>
      <c r="B95" s="140"/>
      <c r="C95" s="140"/>
      <c r="D95" s="140"/>
      <c r="E95" s="140"/>
      <c r="F95" s="140"/>
      <c r="G95" s="140"/>
      <c r="H95" s="140"/>
      <c r="I95" s="140"/>
      <c r="J95" s="140"/>
      <c r="K95" s="140"/>
      <c r="L95" s="140"/>
      <c r="M95" s="140"/>
      <c r="N95" s="140"/>
      <c r="O95" s="140"/>
      <c r="P95" s="140"/>
      <c r="Q95" s="140"/>
      <c r="R95" s="140"/>
      <c r="S95" s="150"/>
      <c r="T95" s="150"/>
      <c r="U95" s="140"/>
      <c r="V95" s="140"/>
      <c r="W95" s="140"/>
      <c r="X95" s="140"/>
      <c r="Y95" s="140"/>
      <c r="Z95" s="140"/>
      <c r="AA95" s="140"/>
      <c r="AB95" s="140"/>
      <c r="AC95" s="140"/>
      <c r="AD95" s="140"/>
      <c r="AE95" s="140"/>
      <c r="AF95" s="140"/>
      <c r="AG95" s="140"/>
      <c r="AH95" s="140"/>
      <c r="AI95" s="140"/>
      <c r="AJ95" s="140"/>
      <c r="AK95" s="140"/>
      <c r="AL95" s="140"/>
      <c r="AM95" s="140"/>
      <c r="AN95" s="140"/>
      <c r="AO95" s="140"/>
      <c r="AP95" s="140"/>
      <c r="AQ95" s="140"/>
      <c r="AR95" s="140"/>
      <c r="AS95" s="140"/>
    </row>
    <row r="96">
      <c r="A96" s="149"/>
      <c r="B96" s="140"/>
      <c r="C96" s="140"/>
      <c r="D96" s="140"/>
      <c r="E96" s="140"/>
      <c r="F96" s="140"/>
      <c r="G96" s="140"/>
      <c r="H96" s="140"/>
      <c r="I96" s="140"/>
      <c r="J96" s="140"/>
      <c r="K96" s="140"/>
      <c r="L96" s="140"/>
      <c r="M96" s="140"/>
      <c r="N96" s="140"/>
      <c r="O96" s="140"/>
      <c r="P96" s="140"/>
      <c r="Q96" s="140"/>
      <c r="R96" s="140"/>
      <c r="S96" s="150"/>
      <c r="T96" s="150"/>
      <c r="U96" s="140"/>
      <c r="V96" s="140"/>
      <c r="W96" s="140"/>
      <c r="X96" s="140"/>
      <c r="Y96" s="140"/>
      <c r="Z96" s="140"/>
      <c r="AA96" s="140"/>
      <c r="AB96" s="140"/>
      <c r="AC96" s="140"/>
      <c r="AD96" s="140"/>
      <c r="AE96" s="140"/>
      <c r="AF96" s="140"/>
      <c r="AG96" s="140"/>
      <c r="AH96" s="140"/>
      <c r="AI96" s="140"/>
      <c r="AJ96" s="140"/>
      <c r="AK96" s="140"/>
      <c r="AL96" s="140"/>
      <c r="AM96" s="140"/>
      <c r="AN96" s="140"/>
      <c r="AO96" s="140"/>
      <c r="AP96" s="140"/>
      <c r="AQ96" s="140"/>
      <c r="AR96" s="140"/>
      <c r="AS96" s="140"/>
    </row>
    <row r="97">
      <c r="A97" s="149"/>
      <c r="B97" s="140"/>
      <c r="C97" s="140"/>
      <c r="D97" s="140"/>
      <c r="E97" s="140"/>
      <c r="F97" s="140"/>
      <c r="G97" s="140"/>
      <c r="H97" s="140"/>
      <c r="I97" s="140"/>
      <c r="J97" s="140"/>
      <c r="K97" s="140"/>
      <c r="L97" s="140"/>
      <c r="M97" s="140"/>
      <c r="N97" s="140"/>
      <c r="O97" s="140"/>
      <c r="P97" s="140"/>
      <c r="Q97" s="140"/>
      <c r="R97" s="140"/>
      <c r="S97" s="150"/>
      <c r="T97" s="150"/>
      <c r="U97" s="140"/>
      <c r="V97" s="140"/>
      <c r="W97" s="140"/>
      <c r="X97" s="140"/>
      <c r="Y97" s="140"/>
      <c r="Z97" s="140"/>
      <c r="AA97" s="140"/>
      <c r="AB97" s="140"/>
      <c r="AC97" s="140"/>
      <c r="AD97" s="140"/>
      <c r="AE97" s="140"/>
      <c r="AF97" s="140"/>
      <c r="AG97" s="140"/>
      <c r="AH97" s="140"/>
      <c r="AI97" s="140"/>
      <c r="AJ97" s="140"/>
      <c r="AK97" s="140"/>
      <c r="AL97" s="140"/>
      <c r="AM97" s="140"/>
      <c r="AN97" s="140"/>
      <c r="AO97" s="140"/>
      <c r="AP97" s="140"/>
      <c r="AQ97" s="140"/>
      <c r="AR97" s="140"/>
      <c r="AS97" s="140"/>
    </row>
    <row r="98">
      <c r="A98" s="149"/>
      <c r="B98" s="140"/>
      <c r="C98" s="140"/>
      <c r="D98" s="140"/>
      <c r="E98" s="140"/>
      <c r="F98" s="140"/>
      <c r="G98" s="140"/>
      <c r="H98" s="140"/>
      <c r="I98" s="140"/>
      <c r="J98" s="140"/>
      <c r="K98" s="140"/>
      <c r="L98" s="140"/>
      <c r="M98" s="140"/>
      <c r="N98" s="140"/>
      <c r="O98" s="140"/>
      <c r="P98" s="140"/>
      <c r="Q98" s="140"/>
      <c r="R98" s="140"/>
      <c r="S98" s="150"/>
      <c r="T98" s="150"/>
      <c r="U98" s="140"/>
      <c r="V98" s="140"/>
      <c r="W98" s="140"/>
      <c r="X98" s="140"/>
      <c r="Y98" s="140"/>
      <c r="Z98" s="140"/>
      <c r="AA98" s="140"/>
      <c r="AB98" s="140"/>
      <c r="AC98" s="140"/>
      <c r="AD98" s="140"/>
      <c r="AE98" s="140"/>
      <c r="AF98" s="140"/>
      <c r="AG98" s="140"/>
      <c r="AH98" s="140"/>
      <c r="AI98" s="140"/>
      <c r="AJ98" s="140"/>
      <c r="AK98" s="140"/>
      <c r="AL98" s="140"/>
      <c r="AM98" s="140"/>
      <c r="AN98" s="140"/>
      <c r="AO98" s="140"/>
      <c r="AP98" s="140"/>
      <c r="AQ98" s="140"/>
      <c r="AR98" s="140"/>
      <c r="AS98" s="140"/>
    </row>
    <row r="99">
      <c r="A99" s="149"/>
      <c r="B99" s="140"/>
      <c r="C99" s="140"/>
      <c r="D99" s="140"/>
      <c r="E99" s="140"/>
      <c r="F99" s="140"/>
      <c r="G99" s="140"/>
      <c r="H99" s="140"/>
      <c r="I99" s="140"/>
      <c r="J99" s="140"/>
      <c r="K99" s="140"/>
      <c r="L99" s="140"/>
      <c r="M99" s="140"/>
      <c r="N99" s="140"/>
      <c r="O99" s="140"/>
      <c r="P99" s="140"/>
      <c r="Q99" s="140"/>
      <c r="R99" s="140"/>
      <c r="S99" s="150"/>
      <c r="T99" s="150"/>
      <c r="U99" s="140"/>
      <c r="V99" s="140"/>
      <c r="W99" s="140"/>
      <c r="X99" s="140"/>
      <c r="Y99" s="140"/>
      <c r="Z99" s="140"/>
      <c r="AA99" s="140"/>
      <c r="AB99" s="140"/>
      <c r="AC99" s="140"/>
      <c r="AD99" s="140"/>
      <c r="AE99" s="140"/>
      <c r="AF99" s="140"/>
      <c r="AG99" s="140"/>
      <c r="AH99" s="140"/>
      <c r="AI99" s="140"/>
      <c r="AJ99" s="140"/>
      <c r="AK99" s="140"/>
      <c r="AL99" s="140"/>
      <c r="AM99" s="140"/>
      <c r="AN99" s="140"/>
      <c r="AO99" s="140"/>
      <c r="AP99" s="140"/>
      <c r="AQ99" s="140"/>
      <c r="AR99" s="140"/>
      <c r="AS99" s="140"/>
    </row>
    <row r="100">
      <c r="A100" s="149"/>
      <c r="B100" s="140"/>
      <c r="C100" s="140"/>
      <c r="D100" s="140"/>
      <c r="E100" s="140"/>
      <c r="F100" s="140"/>
      <c r="G100" s="140"/>
      <c r="H100" s="140"/>
      <c r="I100" s="140"/>
      <c r="J100" s="140"/>
      <c r="K100" s="140"/>
      <c r="L100" s="140"/>
      <c r="M100" s="140"/>
      <c r="N100" s="140"/>
      <c r="O100" s="140"/>
      <c r="P100" s="140"/>
      <c r="Q100" s="140"/>
      <c r="R100" s="140"/>
      <c r="S100" s="150"/>
      <c r="T100" s="150"/>
      <c r="U100" s="140"/>
      <c r="V100" s="140"/>
      <c r="W100" s="140"/>
      <c r="X100" s="140"/>
      <c r="Y100" s="140"/>
      <c r="Z100" s="140"/>
      <c r="AA100" s="140"/>
      <c r="AB100" s="140"/>
      <c r="AC100" s="140"/>
      <c r="AD100" s="140"/>
      <c r="AE100" s="140"/>
      <c r="AF100" s="140"/>
      <c r="AG100" s="140"/>
      <c r="AH100" s="140"/>
      <c r="AI100" s="140"/>
      <c r="AJ100" s="140"/>
      <c r="AK100" s="140"/>
      <c r="AL100" s="140"/>
      <c r="AM100" s="140"/>
      <c r="AN100" s="140"/>
      <c r="AO100" s="140"/>
      <c r="AP100" s="140"/>
      <c r="AQ100" s="140"/>
      <c r="AR100" s="140"/>
      <c r="AS100" s="140"/>
    </row>
    <row r="101">
      <c r="A101" s="149"/>
      <c r="B101" s="140"/>
      <c r="C101" s="140"/>
      <c r="D101" s="140"/>
      <c r="E101" s="140"/>
      <c r="F101" s="140"/>
      <c r="G101" s="140"/>
      <c r="H101" s="140"/>
      <c r="I101" s="140"/>
      <c r="J101" s="140"/>
      <c r="K101" s="140"/>
      <c r="L101" s="140"/>
      <c r="M101" s="140"/>
      <c r="N101" s="140"/>
      <c r="O101" s="140"/>
      <c r="P101" s="140"/>
      <c r="Q101" s="140"/>
      <c r="R101" s="140"/>
      <c r="S101" s="150"/>
      <c r="T101" s="150"/>
      <c r="U101" s="140"/>
      <c r="V101" s="140"/>
      <c r="W101" s="140"/>
      <c r="X101" s="140"/>
      <c r="Y101" s="140"/>
      <c r="Z101" s="140"/>
      <c r="AA101" s="140"/>
      <c r="AB101" s="140"/>
      <c r="AC101" s="140"/>
      <c r="AD101" s="140"/>
      <c r="AE101" s="140"/>
      <c r="AF101" s="140"/>
      <c r="AG101" s="140"/>
      <c r="AH101" s="140"/>
      <c r="AI101" s="140"/>
      <c r="AJ101" s="140"/>
      <c r="AK101" s="140"/>
      <c r="AL101" s="140"/>
      <c r="AM101" s="140"/>
      <c r="AN101" s="140"/>
      <c r="AO101" s="140"/>
      <c r="AP101" s="140"/>
      <c r="AQ101" s="140"/>
      <c r="AR101" s="140"/>
      <c r="AS101" s="140"/>
    </row>
    <row r="102">
      <c r="A102" s="149"/>
      <c r="B102" s="140"/>
      <c r="C102" s="140"/>
      <c r="D102" s="140"/>
      <c r="E102" s="140"/>
      <c r="F102" s="140"/>
      <c r="G102" s="140"/>
      <c r="H102" s="140"/>
      <c r="I102" s="140"/>
      <c r="J102" s="140"/>
      <c r="K102" s="140"/>
      <c r="L102" s="140"/>
      <c r="M102" s="140"/>
      <c r="N102" s="140"/>
      <c r="O102" s="140"/>
      <c r="P102" s="140"/>
      <c r="Q102" s="140"/>
      <c r="R102" s="140"/>
      <c r="S102" s="150"/>
      <c r="T102" s="150"/>
      <c r="U102" s="140"/>
      <c r="V102" s="140"/>
      <c r="W102" s="140"/>
      <c r="X102" s="140"/>
      <c r="Y102" s="140"/>
      <c r="Z102" s="140"/>
      <c r="AA102" s="140"/>
      <c r="AB102" s="140"/>
      <c r="AC102" s="140"/>
      <c r="AD102" s="140"/>
      <c r="AE102" s="140"/>
      <c r="AF102" s="140"/>
      <c r="AG102" s="140"/>
      <c r="AH102" s="140"/>
      <c r="AI102" s="140"/>
      <c r="AJ102" s="140"/>
      <c r="AK102" s="140"/>
      <c r="AL102" s="140"/>
      <c r="AM102" s="140"/>
      <c r="AN102" s="140"/>
      <c r="AO102" s="140"/>
      <c r="AP102" s="140"/>
      <c r="AQ102" s="140"/>
      <c r="AR102" s="140"/>
      <c r="AS102" s="140"/>
    </row>
    <row r="103">
      <c r="A103" s="149"/>
      <c r="B103" s="140"/>
      <c r="C103" s="140"/>
      <c r="D103" s="140"/>
      <c r="E103" s="140"/>
      <c r="F103" s="140"/>
      <c r="G103" s="140"/>
      <c r="H103" s="140"/>
      <c r="I103" s="140"/>
      <c r="J103" s="140"/>
      <c r="K103" s="140"/>
      <c r="L103" s="140"/>
      <c r="M103" s="140"/>
      <c r="N103" s="140"/>
      <c r="O103" s="140"/>
      <c r="P103" s="140"/>
      <c r="Q103" s="140"/>
      <c r="R103" s="140"/>
      <c r="S103" s="150"/>
      <c r="T103" s="150"/>
      <c r="U103" s="140"/>
      <c r="V103" s="140"/>
      <c r="W103" s="140"/>
      <c r="X103" s="140"/>
      <c r="Y103" s="140"/>
      <c r="Z103" s="140"/>
      <c r="AA103" s="140"/>
      <c r="AB103" s="140"/>
      <c r="AC103" s="140"/>
      <c r="AD103" s="140"/>
      <c r="AE103" s="140"/>
      <c r="AF103" s="140"/>
      <c r="AG103" s="140"/>
      <c r="AH103" s="140"/>
      <c r="AI103" s="140"/>
      <c r="AJ103" s="140"/>
      <c r="AK103" s="140"/>
      <c r="AL103" s="140"/>
      <c r="AM103" s="140"/>
      <c r="AN103" s="140"/>
      <c r="AO103" s="140"/>
      <c r="AP103" s="140"/>
      <c r="AQ103" s="140"/>
      <c r="AR103" s="140"/>
      <c r="AS103" s="140"/>
    </row>
    <row r="104">
      <c r="A104" s="149"/>
      <c r="B104" s="140"/>
      <c r="C104" s="140"/>
      <c r="D104" s="140"/>
      <c r="E104" s="140"/>
      <c r="F104" s="140"/>
      <c r="G104" s="140"/>
      <c r="H104" s="140"/>
      <c r="I104" s="140"/>
      <c r="J104" s="140"/>
      <c r="K104" s="140"/>
      <c r="L104" s="140"/>
      <c r="M104" s="140"/>
      <c r="N104" s="140"/>
      <c r="O104" s="140"/>
      <c r="P104" s="140"/>
      <c r="Q104" s="140"/>
      <c r="R104" s="140"/>
      <c r="S104" s="150"/>
      <c r="T104" s="150"/>
      <c r="U104" s="140"/>
      <c r="V104" s="140"/>
      <c r="W104" s="140"/>
      <c r="X104" s="140"/>
      <c r="Y104" s="140"/>
      <c r="Z104" s="140"/>
      <c r="AA104" s="140"/>
      <c r="AB104" s="140"/>
      <c r="AC104" s="140"/>
      <c r="AD104" s="140"/>
      <c r="AE104" s="140"/>
      <c r="AF104" s="140"/>
      <c r="AG104" s="140"/>
      <c r="AH104" s="140"/>
      <c r="AI104" s="140"/>
      <c r="AJ104" s="140"/>
      <c r="AK104" s="140"/>
      <c r="AL104" s="140"/>
      <c r="AM104" s="140"/>
      <c r="AN104" s="140"/>
      <c r="AO104" s="140"/>
      <c r="AP104" s="140"/>
      <c r="AQ104" s="140"/>
      <c r="AR104" s="140"/>
      <c r="AS104" s="140"/>
    </row>
    <row r="105">
      <c r="A105" s="149"/>
      <c r="B105" s="140"/>
      <c r="C105" s="140"/>
      <c r="D105" s="140"/>
      <c r="E105" s="140"/>
      <c r="F105" s="140"/>
      <c r="G105" s="140"/>
      <c r="H105" s="140"/>
      <c r="I105" s="140"/>
      <c r="J105" s="140"/>
      <c r="K105" s="140"/>
      <c r="L105" s="140"/>
      <c r="M105" s="140"/>
      <c r="N105" s="140"/>
      <c r="O105" s="140"/>
      <c r="P105" s="140"/>
      <c r="Q105" s="140"/>
      <c r="R105" s="140"/>
      <c r="S105" s="150"/>
      <c r="T105" s="15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row>
    <row r="106">
      <c r="A106" s="149"/>
      <c r="B106" s="140"/>
      <c r="C106" s="140"/>
      <c r="D106" s="140"/>
      <c r="E106" s="140"/>
      <c r="F106" s="140"/>
      <c r="G106" s="140"/>
      <c r="H106" s="140"/>
      <c r="I106" s="140"/>
      <c r="J106" s="140"/>
      <c r="K106" s="140"/>
      <c r="L106" s="140"/>
      <c r="M106" s="140"/>
      <c r="N106" s="140"/>
      <c r="O106" s="140"/>
      <c r="P106" s="140"/>
      <c r="Q106" s="140"/>
      <c r="R106" s="140"/>
      <c r="S106" s="150"/>
      <c r="T106" s="15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140"/>
      <c r="AQ106" s="140"/>
      <c r="AR106" s="140"/>
      <c r="AS106" s="140"/>
    </row>
    <row r="107">
      <c r="A107" s="149"/>
      <c r="B107" s="140"/>
      <c r="C107" s="140"/>
      <c r="D107" s="140"/>
      <c r="E107" s="140"/>
      <c r="F107" s="140"/>
      <c r="G107" s="140"/>
      <c r="H107" s="140"/>
      <c r="I107" s="140"/>
      <c r="J107" s="140"/>
      <c r="K107" s="140"/>
      <c r="L107" s="140"/>
      <c r="M107" s="140"/>
      <c r="N107" s="140"/>
      <c r="O107" s="140"/>
      <c r="P107" s="140"/>
      <c r="Q107" s="140"/>
      <c r="R107" s="140"/>
      <c r="S107" s="150"/>
      <c r="T107" s="150"/>
      <c r="U107" s="140"/>
      <c r="V107" s="140"/>
      <c r="W107" s="140"/>
      <c r="X107" s="140"/>
      <c r="Y107" s="140"/>
      <c r="Z107" s="140"/>
      <c r="AA107" s="140"/>
      <c r="AB107" s="140"/>
      <c r="AC107" s="140"/>
      <c r="AD107" s="140"/>
      <c r="AE107" s="140"/>
      <c r="AF107" s="140"/>
      <c r="AG107" s="140"/>
      <c r="AH107" s="140"/>
      <c r="AI107" s="140"/>
      <c r="AJ107" s="140"/>
      <c r="AK107" s="140"/>
      <c r="AL107" s="140"/>
      <c r="AM107" s="140"/>
      <c r="AN107" s="140"/>
      <c r="AO107" s="140"/>
      <c r="AP107" s="140"/>
      <c r="AQ107" s="140"/>
      <c r="AR107" s="140"/>
      <c r="AS107" s="140"/>
    </row>
    <row r="108">
      <c r="A108" s="149"/>
      <c r="B108" s="140"/>
      <c r="C108" s="140"/>
      <c r="D108" s="140"/>
      <c r="E108" s="140"/>
      <c r="F108" s="140"/>
      <c r="G108" s="140"/>
      <c r="H108" s="140"/>
      <c r="I108" s="140"/>
      <c r="J108" s="140"/>
      <c r="K108" s="140"/>
      <c r="L108" s="140"/>
      <c r="M108" s="140"/>
      <c r="N108" s="140"/>
      <c r="O108" s="140"/>
      <c r="P108" s="140"/>
      <c r="Q108" s="140"/>
      <c r="R108" s="140"/>
      <c r="S108" s="150"/>
      <c r="T108" s="150"/>
      <c r="U108" s="140"/>
      <c r="V108" s="140"/>
      <c r="W108" s="140"/>
      <c r="X108" s="140"/>
      <c r="Y108" s="140"/>
      <c r="Z108" s="140"/>
      <c r="AA108" s="140"/>
      <c r="AB108" s="140"/>
      <c r="AC108" s="140"/>
      <c r="AD108" s="140"/>
      <c r="AE108" s="140"/>
      <c r="AF108" s="140"/>
      <c r="AG108" s="140"/>
      <c r="AH108" s="140"/>
      <c r="AI108" s="140"/>
      <c r="AJ108" s="140"/>
      <c r="AK108" s="140"/>
      <c r="AL108" s="140"/>
      <c r="AM108" s="140"/>
      <c r="AN108" s="140"/>
      <c r="AO108" s="140"/>
      <c r="AP108" s="140"/>
      <c r="AQ108" s="140"/>
      <c r="AR108" s="140"/>
      <c r="AS108" s="140"/>
    </row>
    <row r="109">
      <c r="A109" s="149"/>
      <c r="B109" s="140"/>
      <c r="C109" s="140"/>
      <c r="D109" s="140"/>
      <c r="E109" s="140"/>
      <c r="F109" s="140"/>
      <c r="G109" s="140"/>
      <c r="H109" s="140"/>
      <c r="I109" s="140"/>
      <c r="J109" s="140"/>
      <c r="K109" s="140"/>
      <c r="L109" s="140"/>
      <c r="M109" s="140"/>
      <c r="N109" s="140"/>
      <c r="O109" s="140"/>
      <c r="P109" s="140"/>
      <c r="Q109" s="140"/>
      <c r="R109" s="140"/>
      <c r="S109" s="150"/>
      <c r="T109" s="150"/>
      <c r="U109" s="140"/>
      <c r="V109" s="140"/>
      <c r="W109" s="140"/>
      <c r="X109" s="140"/>
      <c r="Y109" s="140"/>
      <c r="Z109" s="140"/>
      <c r="AA109" s="140"/>
      <c r="AB109" s="140"/>
      <c r="AC109" s="140"/>
      <c r="AD109" s="140"/>
      <c r="AE109" s="140"/>
      <c r="AF109" s="140"/>
      <c r="AG109" s="140"/>
      <c r="AH109" s="140"/>
      <c r="AI109" s="140"/>
      <c r="AJ109" s="140"/>
      <c r="AK109" s="140"/>
      <c r="AL109" s="140"/>
      <c r="AM109" s="140"/>
      <c r="AN109" s="140"/>
      <c r="AO109" s="140"/>
      <c r="AP109" s="140"/>
      <c r="AQ109" s="140"/>
      <c r="AR109" s="140"/>
      <c r="AS109" s="140"/>
    </row>
    <row r="110">
      <c r="A110" s="149"/>
      <c r="B110" s="140"/>
      <c r="C110" s="140"/>
      <c r="D110" s="140"/>
      <c r="E110" s="140"/>
      <c r="F110" s="140"/>
      <c r="G110" s="140"/>
      <c r="H110" s="140"/>
      <c r="I110" s="140"/>
      <c r="J110" s="140"/>
      <c r="K110" s="140"/>
      <c r="L110" s="140"/>
      <c r="M110" s="140"/>
      <c r="N110" s="140"/>
      <c r="O110" s="140"/>
      <c r="P110" s="140"/>
      <c r="Q110" s="140"/>
      <c r="R110" s="140"/>
      <c r="S110" s="150"/>
      <c r="T110" s="150"/>
      <c r="U110" s="140"/>
      <c r="V110" s="140"/>
      <c r="W110" s="140"/>
      <c r="X110" s="140"/>
      <c r="Y110" s="140"/>
      <c r="Z110" s="140"/>
      <c r="AA110" s="140"/>
      <c r="AB110" s="140"/>
      <c r="AC110" s="140"/>
      <c r="AD110" s="140"/>
      <c r="AE110" s="140"/>
      <c r="AF110" s="140"/>
      <c r="AG110" s="140"/>
      <c r="AH110" s="140"/>
      <c r="AI110" s="140"/>
      <c r="AJ110" s="140"/>
      <c r="AK110" s="140"/>
      <c r="AL110" s="140"/>
      <c r="AM110" s="140"/>
      <c r="AN110" s="140"/>
      <c r="AO110" s="140"/>
      <c r="AP110" s="140"/>
      <c r="AQ110" s="140"/>
      <c r="AR110" s="140"/>
      <c r="AS110" s="140"/>
    </row>
    <row r="111">
      <c r="A111" s="149"/>
      <c r="B111" s="140"/>
      <c r="C111" s="140"/>
      <c r="D111" s="140"/>
      <c r="E111" s="140"/>
      <c r="F111" s="140"/>
      <c r="G111" s="140"/>
      <c r="H111" s="140"/>
      <c r="I111" s="140"/>
      <c r="J111" s="140"/>
      <c r="K111" s="140"/>
      <c r="L111" s="140"/>
      <c r="M111" s="140"/>
      <c r="N111" s="140"/>
      <c r="O111" s="140"/>
      <c r="P111" s="140"/>
      <c r="Q111" s="140"/>
      <c r="R111" s="140"/>
      <c r="S111" s="150"/>
      <c r="T111" s="150"/>
      <c r="U111" s="140"/>
      <c r="V111" s="140"/>
      <c r="W111" s="140"/>
      <c r="X111" s="140"/>
      <c r="Y111" s="140"/>
      <c r="Z111" s="140"/>
      <c r="AA111" s="140"/>
      <c r="AB111" s="140"/>
      <c r="AC111" s="140"/>
      <c r="AD111" s="140"/>
      <c r="AE111" s="140"/>
      <c r="AF111" s="140"/>
      <c r="AG111" s="140"/>
      <c r="AH111" s="140"/>
      <c r="AI111" s="140"/>
      <c r="AJ111" s="140"/>
      <c r="AK111" s="140"/>
      <c r="AL111" s="140"/>
      <c r="AM111" s="140"/>
      <c r="AN111" s="140"/>
      <c r="AO111" s="140"/>
      <c r="AP111" s="140"/>
      <c r="AQ111" s="140"/>
      <c r="AR111" s="140"/>
      <c r="AS111" s="140"/>
    </row>
    <row r="112">
      <c r="A112" s="149"/>
      <c r="B112" s="140"/>
      <c r="C112" s="140"/>
      <c r="D112" s="140"/>
      <c r="E112" s="140"/>
      <c r="F112" s="140"/>
      <c r="G112" s="140"/>
      <c r="H112" s="140"/>
      <c r="I112" s="140"/>
      <c r="J112" s="140"/>
      <c r="K112" s="140"/>
      <c r="L112" s="140"/>
      <c r="M112" s="140"/>
      <c r="N112" s="140"/>
      <c r="O112" s="140"/>
      <c r="P112" s="140"/>
      <c r="Q112" s="140"/>
      <c r="R112" s="140"/>
      <c r="S112" s="150"/>
      <c r="T112" s="150"/>
      <c r="U112" s="140"/>
      <c r="V112" s="140"/>
      <c r="W112" s="140"/>
      <c r="X112" s="140"/>
      <c r="Y112" s="140"/>
      <c r="Z112" s="140"/>
      <c r="AA112" s="140"/>
      <c r="AB112" s="140"/>
      <c r="AC112" s="140"/>
      <c r="AD112" s="140"/>
      <c r="AE112" s="140"/>
      <c r="AF112" s="140"/>
      <c r="AG112" s="140"/>
      <c r="AH112" s="140"/>
      <c r="AI112" s="140"/>
      <c r="AJ112" s="140"/>
      <c r="AK112" s="140"/>
      <c r="AL112" s="140"/>
      <c r="AM112" s="140"/>
      <c r="AN112" s="140"/>
      <c r="AO112" s="140"/>
      <c r="AP112" s="140"/>
      <c r="AQ112" s="140"/>
      <c r="AR112" s="140"/>
      <c r="AS112" s="140"/>
    </row>
    <row r="113">
      <c r="A113" s="149"/>
      <c r="B113" s="140"/>
      <c r="C113" s="140"/>
      <c r="D113" s="140"/>
      <c r="E113" s="140"/>
      <c r="F113" s="140"/>
      <c r="G113" s="140"/>
      <c r="H113" s="140"/>
      <c r="I113" s="140"/>
      <c r="J113" s="140"/>
      <c r="K113" s="140"/>
      <c r="L113" s="140"/>
      <c r="M113" s="140"/>
      <c r="N113" s="140"/>
      <c r="O113" s="140"/>
      <c r="P113" s="140"/>
      <c r="Q113" s="140"/>
      <c r="R113" s="140"/>
      <c r="S113" s="150"/>
      <c r="T113" s="150"/>
      <c r="U113" s="140"/>
      <c r="V113" s="140"/>
      <c r="W113" s="140"/>
      <c r="X113" s="140"/>
      <c r="Y113" s="140"/>
      <c r="Z113" s="140"/>
      <c r="AA113" s="140"/>
      <c r="AB113" s="140"/>
      <c r="AC113" s="140"/>
      <c r="AD113" s="140"/>
      <c r="AE113" s="140"/>
      <c r="AF113" s="140"/>
      <c r="AG113" s="140"/>
      <c r="AH113" s="140"/>
      <c r="AI113" s="140"/>
      <c r="AJ113" s="140"/>
      <c r="AK113" s="140"/>
      <c r="AL113" s="140"/>
      <c r="AM113" s="140"/>
      <c r="AN113" s="140"/>
      <c r="AO113" s="140"/>
      <c r="AP113" s="140"/>
      <c r="AQ113" s="140"/>
      <c r="AR113" s="140"/>
      <c r="AS113" s="140"/>
    </row>
    <row r="114">
      <c r="A114" s="149"/>
      <c r="B114" s="140"/>
      <c r="C114" s="140"/>
      <c r="D114" s="140"/>
      <c r="E114" s="140"/>
      <c r="F114" s="140"/>
      <c r="G114" s="140"/>
      <c r="H114" s="140"/>
      <c r="I114" s="140"/>
      <c r="J114" s="140"/>
      <c r="K114" s="140"/>
      <c r="L114" s="140"/>
      <c r="M114" s="140"/>
      <c r="N114" s="140"/>
      <c r="O114" s="140"/>
      <c r="P114" s="140"/>
      <c r="Q114" s="140"/>
      <c r="R114" s="140"/>
      <c r="S114" s="150"/>
      <c r="T114" s="150"/>
      <c r="U114" s="140"/>
      <c r="V114" s="140"/>
      <c r="W114" s="140"/>
      <c r="X114" s="140"/>
      <c r="Y114" s="140"/>
      <c r="Z114" s="140"/>
      <c r="AA114" s="140"/>
      <c r="AB114" s="140"/>
      <c r="AC114" s="140"/>
      <c r="AD114" s="140"/>
      <c r="AE114" s="140"/>
      <c r="AF114" s="140"/>
      <c r="AG114" s="140"/>
      <c r="AH114" s="140"/>
      <c r="AI114" s="140"/>
      <c r="AJ114" s="140"/>
      <c r="AK114" s="140"/>
      <c r="AL114" s="140"/>
      <c r="AM114" s="140"/>
      <c r="AN114" s="140"/>
      <c r="AO114" s="140"/>
      <c r="AP114" s="140"/>
      <c r="AQ114" s="140"/>
      <c r="AR114" s="140"/>
      <c r="AS114" s="140"/>
    </row>
    <row r="115">
      <c r="A115" s="149"/>
      <c r="B115" s="140"/>
      <c r="C115" s="140"/>
      <c r="D115" s="140"/>
      <c r="E115" s="140"/>
      <c r="F115" s="140"/>
      <c r="G115" s="140"/>
      <c r="H115" s="140"/>
      <c r="I115" s="140"/>
      <c r="J115" s="140"/>
      <c r="K115" s="140"/>
      <c r="L115" s="140"/>
      <c r="M115" s="140"/>
      <c r="N115" s="140"/>
      <c r="O115" s="140"/>
      <c r="P115" s="140"/>
      <c r="Q115" s="140"/>
      <c r="R115" s="140"/>
      <c r="S115" s="150"/>
      <c r="T115" s="150"/>
      <c r="U115" s="140"/>
      <c r="V115" s="140"/>
      <c r="W115" s="140"/>
      <c r="X115" s="140"/>
      <c r="Y115" s="140"/>
      <c r="Z115" s="140"/>
      <c r="AA115" s="140"/>
      <c r="AB115" s="140"/>
      <c r="AC115" s="140"/>
      <c r="AD115" s="140"/>
      <c r="AE115" s="140"/>
      <c r="AF115" s="140"/>
      <c r="AG115" s="140"/>
      <c r="AH115" s="140"/>
      <c r="AI115" s="140"/>
      <c r="AJ115" s="140"/>
      <c r="AK115" s="140"/>
      <c r="AL115" s="140"/>
      <c r="AM115" s="140"/>
      <c r="AN115" s="140"/>
      <c r="AO115" s="140"/>
      <c r="AP115" s="140"/>
      <c r="AQ115" s="140"/>
      <c r="AR115" s="140"/>
      <c r="AS115" s="140"/>
    </row>
    <row r="116">
      <c r="A116" s="149"/>
      <c r="B116" s="140"/>
      <c r="C116" s="140"/>
      <c r="D116" s="140"/>
      <c r="E116" s="140"/>
      <c r="F116" s="140"/>
      <c r="G116" s="140"/>
      <c r="H116" s="140"/>
      <c r="I116" s="140"/>
      <c r="J116" s="140"/>
      <c r="K116" s="140"/>
      <c r="L116" s="140"/>
      <c r="M116" s="140"/>
      <c r="N116" s="140"/>
      <c r="O116" s="140"/>
      <c r="P116" s="140"/>
      <c r="Q116" s="140"/>
      <c r="R116" s="140"/>
      <c r="S116" s="150"/>
      <c r="T116" s="150"/>
      <c r="U116" s="140"/>
      <c r="V116" s="140"/>
      <c r="W116" s="140"/>
      <c r="X116" s="140"/>
      <c r="Y116" s="140"/>
      <c r="Z116" s="140"/>
      <c r="AA116" s="140"/>
      <c r="AB116" s="140"/>
      <c r="AC116" s="140"/>
      <c r="AD116" s="140"/>
      <c r="AE116" s="140"/>
      <c r="AF116" s="140"/>
      <c r="AG116" s="140"/>
      <c r="AH116" s="140"/>
      <c r="AI116" s="140"/>
      <c r="AJ116" s="140"/>
      <c r="AK116" s="140"/>
      <c r="AL116" s="140"/>
      <c r="AM116" s="140"/>
      <c r="AN116" s="140"/>
      <c r="AO116" s="140"/>
      <c r="AP116" s="140"/>
      <c r="AQ116" s="140"/>
      <c r="AR116" s="140"/>
      <c r="AS116" s="140"/>
    </row>
    <row r="117">
      <c r="A117" s="149"/>
      <c r="B117" s="140"/>
      <c r="C117" s="140"/>
      <c r="D117" s="140"/>
      <c r="E117" s="140"/>
      <c r="F117" s="140"/>
      <c r="G117" s="140"/>
      <c r="H117" s="140"/>
      <c r="I117" s="140"/>
      <c r="J117" s="140"/>
      <c r="K117" s="140"/>
      <c r="L117" s="140"/>
      <c r="M117" s="140"/>
      <c r="N117" s="140"/>
      <c r="O117" s="140"/>
      <c r="P117" s="140"/>
      <c r="Q117" s="140"/>
      <c r="R117" s="140"/>
      <c r="S117" s="150"/>
      <c r="T117" s="150"/>
      <c r="U117" s="140"/>
      <c r="V117" s="140"/>
      <c r="W117" s="140"/>
      <c r="X117" s="140"/>
      <c r="Y117" s="140"/>
      <c r="Z117" s="140"/>
      <c r="AA117" s="140"/>
      <c r="AB117" s="140"/>
      <c r="AC117" s="140"/>
      <c r="AD117" s="140"/>
      <c r="AE117" s="140"/>
      <c r="AF117" s="140"/>
      <c r="AG117" s="140"/>
      <c r="AH117" s="140"/>
      <c r="AI117" s="140"/>
      <c r="AJ117" s="140"/>
      <c r="AK117" s="140"/>
      <c r="AL117" s="140"/>
      <c r="AM117" s="140"/>
      <c r="AN117" s="140"/>
      <c r="AO117" s="140"/>
      <c r="AP117" s="140"/>
      <c r="AQ117" s="140"/>
      <c r="AR117" s="140"/>
      <c r="AS117" s="140"/>
    </row>
    <row r="118">
      <c r="A118" s="149"/>
      <c r="B118" s="140"/>
      <c r="C118" s="140"/>
      <c r="D118" s="140"/>
      <c r="E118" s="140"/>
      <c r="F118" s="140"/>
      <c r="G118" s="140"/>
      <c r="H118" s="140"/>
      <c r="I118" s="140"/>
      <c r="J118" s="140"/>
      <c r="K118" s="140"/>
      <c r="L118" s="140"/>
      <c r="M118" s="140"/>
      <c r="N118" s="140"/>
      <c r="O118" s="140"/>
      <c r="P118" s="140"/>
      <c r="Q118" s="140"/>
      <c r="R118" s="140"/>
      <c r="S118" s="150"/>
      <c r="T118" s="150"/>
      <c r="U118" s="140"/>
      <c r="V118" s="140"/>
      <c r="W118" s="140"/>
      <c r="X118" s="140"/>
      <c r="Y118" s="140"/>
      <c r="Z118" s="140"/>
      <c r="AA118" s="140"/>
      <c r="AB118" s="140"/>
      <c r="AC118" s="140"/>
      <c r="AD118" s="140"/>
      <c r="AE118" s="140"/>
      <c r="AF118" s="140"/>
      <c r="AG118" s="140"/>
      <c r="AH118" s="140"/>
      <c r="AI118" s="140"/>
      <c r="AJ118" s="140"/>
      <c r="AK118" s="140"/>
      <c r="AL118" s="140"/>
      <c r="AM118" s="140"/>
      <c r="AN118" s="140"/>
      <c r="AO118" s="140"/>
      <c r="AP118" s="140"/>
      <c r="AQ118" s="140"/>
      <c r="AR118" s="140"/>
      <c r="AS118" s="140"/>
    </row>
    <row r="119">
      <c r="A119" s="149"/>
      <c r="B119" s="140"/>
      <c r="C119" s="140"/>
      <c r="D119" s="140"/>
      <c r="E119" s="140"/>
      <c r="F119" s="140"/>
      <c r="G119" s="140"/>
      <c r="H119" s="140"/>
      <c r="I119" s="140"/>
      <c r="J119" s="140"/>
      <c r="K119" s="140"/>
      <c r="L119" s="140"/>
      <c r="M119" s="140"/>
      <c r="N119" s="140"/>
      <c r="O119" s="140"/>
      <c r="P119" s="140"/>
      <c r="Q119" s="140"/>
      <c r="R119" s="140"/>
      <c r="S119" s="150"/>
      <c r="T119" s="150"/>
      <c r="U119" s="140"/>
      <c r="V119" s="140"/>
      <c r="W119" s="140"/>
      <c r="X119" s="140"/>
      <c r="Y119" s="140"/>
      <c r="Z119" s="140"/>
      <c r="AA119" s="140"/>
      <c r="AB119" s="140"/>
      <c r="AC119" s="140"/>
      <c r="AD119" s="140"/>
      <c r="AE119" s="140"/>
      <c r="AF119" s="140"/>
      <c r="AG119" s="140"/>
      <c r="AH119" s="140"/>
      <c r="AI119" s="140"/>
      <c r="AJ119" s="140"/>
      <c r="AK119" s="140"/>
      <c r="AL119" s="140"/>
      <c r="AM119" s="140"/>
      <c r="AN119" s="140"/>
      <c r="AO119" s="140"/>
      <c r="AP119" s="140"/>
      <c r="AQ119" s="140"/>
      <c r="AR119" s="140"/>
      <c r="AS119" s="140"/>
    </row>
    <row r="120">
      <c r="A120" s="149"/>
      <c r="B120" s="140"/>
      <c r="C120" s="140"/>
      <c r="D120" s="140"/>
      <c r="E120" s="140"/>
      <c r="F120" s="140"/>
      <c r="G120" s="140"/>
      <c r="H120" s="140"/>
      <c r="I120" s="140"/>
      <c r="J120" s="140"/>
      <c r="K120" s="140"/>
      <c r="L120" s="140"/>
      <c r="M120" s="140"/>
      <c r="N120" s="140"/>
      <c r="O120" s="140"/>
      <c r="P120" s="140"/>
      <c r="Q120" s="140"/>
      <c r="R120" s="140"/>
      <c r="S120" s="150"/>
      <c r="T120" s="150"/>
      <c r="U120" s="140"/>
      <c r="V120" s="140"/>
      <c r="W120" s="140"/>
      <c r="X120" s="140"/>
      <c r="Y120" s="140"/>
      <c r="Z120" s="140"/>
      <c r="AA120" s="140"/>
      <c r="AB120" s="140"/>
      <c r="AC120" s="140"/>
      <c r="AD120" s="140"/>
      <c r="AE120" s="140"/>
      <c r="AF120" s="140"/>
      <c r="AG120" s="140"/>
      <c r="AH120" s="140"/>
      <c r="AI120" s="140"/>
      <c r="AJ120" s="140"/>
      <c r="AK120" s="140"/>
      <c r="AL120" s="140"/>
      <c r="AM120" s="140"/>
      <c r="AN120" s="140"/>
      <c r="AO120" s="140"/>
      <c r="AP120" s="140"/>
      <c r="AQ120" s="140"/>
      <c r="AR120" s="140"/>
      <c r="AS120" s="140"/>
    </row>
    <row r="121">
      <c r="A121" s="149"/>
      <c r="B121" s="140"/>
      <c r="C121" s="140"/>
      <c r="D121" s="140"/>
      <c r="E121" s="140"/>
      <c r="F121" s="140"/>
      <c r="G121" s="140"/>
      <c r="H121" s="140"/>
      <c r="I121" s="140"/>
      <c r="J121" s="140"/>
      <c r="K121" s="140"/>
      <c r="L121" s="140"/>
      <c r="M121" s="140"/>
      <c r="N121" s="140"/>
      <c r="O121" s="140"/>
      <c r="P121" s="140"/>
      <c r="Q121" s="140"/>
      <c r="R121" s="140"/>
      <c r="S121" s="150"/>
      <c r="T121" s="150"/>
      <c r="U121" s="140"/>
      <c r="V121" s="140"/>
      <c r="W121" s="140"/>
      <c r="X121" s="140"/>
      <c r="Y121" s="140"/>
      <c r="Z121" s="140"/>
      <c r="AA121" s="140"/>
      <c r="AB121" s="140"/>
      <c r="AC121" s="140"/>
      <c r="AD121" s="140"/>
      <c r="AE121" s="140"/>
      <c r="AF121" s="140"/>
      <c r="AG121" s="140"/>
      <c r="AH121" s="140"/>
      <c r="AI121" s="140"/>
      <c r="AJ121" s="140"/>
      <c r="AK121" s="140"/>
      <c r="AL121" s="140"/>
      <c r="AM121" s="140"/>
      <c r="AN121" s="140"/>
      <c r="AO121" s="140"/>
      <c r="AP121" s="140"/>
      <c r="AQ121" s="140"/>
      <c r="AR121" s="140"/>
      <c r="AS121" s="140"/>
    </row>
    <row r="122">
      <c r="A122" s="149"/>
      <c r="B122" s="140"/>
      <c r="C122" s="140"/>
      <c r="D122" s="140"/>
      <c r="E122" s="140"/>
      <c r="F122" s="140"/>
      <c r="G122" s="140"/>
      <c r="H122" s="140"/>
      <c r="I122" s="140"/>
      <c r="J122" s="140"/>
      <c r="K122" s="140"/>
      <c r="L122" s="140"/>
      <c r="M122" s="140"/>
      <c r="N122" s="140"/>
      <c r="O122" s="140"/>
      <c r="P122" s="140"/>
      <c r="Q122" s="140"/>
      <c r="R122" s="140"/>
      <c r="S122" s="150"/>
      <c r="T122" s="150"/>
      <c r="U122" s="140"/>
      <c r="V122" s="140"/>
      <c r="W122" s="140"/>
      <c r="X122" s="140"/>
      <c r="Y122" s="140"/>
      <c r="Z122" s="140"/>
      <c r="AA122" s="140"/>
      <c r="AB122" s="140"/>
      <c r="AC122" s="140"/>
      <c r="AD122" s="140"/>
      <c r="AE122" s="140"/>
      <c r="AF122" s="140"/>
      <c r="AG122" s="140"/>
      <c r="AH122" s="140"/>
      <c r="AI122" s="140"/>
      <c r="AJ122" s="140"/>
      <c r="AK122" s="140"/>
      <c r="AL122" s="140"/>
      <c r="AM122" s="140"/>
      <c r="AN122" s="140"/>
      <c r="AO122" s="140"/>
      <c r="AP122" s="140"/>
      <c r="AQ122" s="140"/>
      <c r="AR122" s="140"/>
      <c r="AS122" s="140"/>
    </row>
    <row r="123">
      <c r="A123" s="149"/>
      <c r="B123" s="140"/>
      <c r="C123" s="140"/>
      <c r="D123" s="140"/>
      <c r="E123" s="140"/>
      <c r="F123" s="140"/>
      <c r="G123" s="140"/>
      <c r="H123" s="140"/>
      <c r="I123" s="140"/>
      <c r="J123" s="140"/>
      <c r="K123" s="140"/>
      <c r="L123" s="140"/>
      <c r="M123" s="140"/>
      <c r="N123" s="140"/>
      <c r="O123" s="140"/>
      <c r="P123" s="140"/>
      <c r="Q123" s="140"/>
      <c r="R123" s="140"/>
      <c r="S123" s="150"/>
      <c r="T123" s="150"/>
      <c r="U123" s="140"/>
      <c r="V123" s="140"/>
      <c r="W123" s="140"/>
      <c r="X123" s="140"/>
      <c r="Y123" s="140"/>
      <c r="Z123" s="140"/>
      <c r="AA123" s="140"/>
      <c r="AB123" s="140"/>
      <c r="AC123" s="140"/>
      <c r="AD123" s="140"/>
      <c r="AE123" s="140"/>
      <c r="AF123" s="140"/>
      <c r="AG123" s="140"/>
      <c r="AH123" s="140"/>
      <c r="AI123" s="140"/>
      <c r="AJ123" s="140"/>
      <c r="AK123" s="140"/>
      <c r="AL123" s="140"/>
      <c r="AM123" s="140"/>
      <c r="AN123" s="140"/>
      <c r="AO123" s="140"/>
      <c r="AP123" s="140"/>
      <c r="AQ123" s="140"/>
      <c r="AR123" s="140"/>
      <c r="AS123" s="140"/>
    </row>
    <row r="124">
      <c r="A124" s="149"/>
      <c r="B124" s="140"/>
      <c r="C124" s="140"/>
      <c r="D124" s="140"/>
      <c r="E124" s="140"/>
      <c r="F124" s="140"/>
      <c r="G124" s="140"/>
      <c r="H124" s="140"/>
      <c r="I124" s="140"/>
      <c r="J124" s="140"/>
      <c r="K124" s="140"/>
      <c r="L124" s="140"/>
      <c r="M124" s="140"/>
      <c r="N124" s="140"/>
      <c r="O124" s="140"/>
      <c r="P124" s="140"/>
      <c r="Q124" s="140"/>
      <c r="R124" s="140"/>
      <c r="S124" s="150"/>
      <c r="T124" s="150"/>
      <c r="U124" s="140"/>
      <c r="V124" s="140"/>
      <c r="W124" s="140"/>
      <c r="X124" s="140"/>
      <c r="Y124" s="140"/>
      <c r="Z124" s="140"/>
      <c r="AA124" s="140"/>
      <c r="AB124" s="140"/>
      <c r="AC124" s="140"/>
      <c r="AD124" s="140"/>
      <c r="AE124" s="140"/>
      <c r="AF124" s="140"/>
      <c r="AG124" s="140"/>
      <c r="AH124" s="140"/>
      <c r="AI124" s="140"/>
      <c r="AJ124" s="140"/>
      <c r="AK124" s="140"/>
      <c r="AL124" s="140"/>
      <c r="AM124" s="140"/>
      <c r="AN124" s="140"/>
      <c r="AO124" s="140"/>
      <c r="AP124" s="140"/>
      <c r="AQ124" s="140"/>
      <c r="AR124" s="140"/>
      <c r="AS124" s="140"/>
    </row>
    <row r="125">
      <c r="A125" s="149"/>
      <c r="B125" s="140"/>
      <c r="C125" s="140"/>
      <c r="D125" s="140"/>
      <c r="E125" s="140"/>
      <c r="F125" s="140"/>
      <c r="G125" s="140"/>
      <c r="H125" s="140"/>
      <c r="I125" s="140"/>
      <c r="J125" s="140"/>
      <c r="K125" s="140"/>
      <c r="L125" s="140"/>
      <c r="M125" s="140"/>
      <c r="N125" s="140"/>
      <c r="O125" s="140"/>
      <c r="P125" s="140"/>
      <c r="Q125" s="140"/>
      <c r="R125" s="140"/>
      <c r="S125" s="150"/>
      <c r="T125" s="150"/>
      <c r="U125" s="140"/>
      <c r="V125" s="140"/>
      <c r="W125" s="140"/>
      <c r="X125" s="140"/>
      <c r="Y125" s="140"/>
      <c r="Z125" s="140"/>
      <c r="AA125" s="140"/>
      <c r="AB125" s="140"/>
      <c r="AC125" s="140"/>
      <c r="AD125" s="140"/>
      <c r="AE125" s="140"/>
      <c r="AF125" s="140"/>
      <c r="AG125" s="140"/>
      <c r="AH125" s="140"/>
      <c r="AI125" s="140"/>
      <c r="AJ125" s="140"/>
      <c r="AK125" s="140"/>
      <c r="AL125" s="140"/>
      <c r="AM125" s="140"/>
      <c r="AN125" s="140"/>
      <c r="AO125" s="140"/>
      <c r="AP125" s="140"/>
      <c r="AQ125" s="140"/>
      <c r="AR125" s="140"/>
      <c r="AS125" s="140"/>
    </row>
    <row r="126">
      <c r="A126" s="149"/>
      <c r="B126" s="140"/>
      <c r="C126" s="140"/>
      <c r="D126" s="140"/>
      <c r="E126" s="140"/>
      <c r="F126" s="140"/>
      <c r="G126" s="140"/>
      <c r="H126" s="140"/>
      <c r="I126" s="140"/>
      <c r="J126" s="140"/>
      <c r="K126" s="140"/>
      <c r="L126" s="140"/>
      <c r="M126" s="140"/>
      <c r="N126" s="140"/>
      <c r="O126" s="140"/>
      <c r="P126" s="140"/>
      <c r="Q126" s="140"/>
      <c r="R126" s="140"/>
      <c r="S126" s="150"/>
      <c r="T126" s="150"/>
      <c r="U126" s="140"/>
      <c r="V126" s="140"/>
      <c r="W126" s="140"/>
      <c r="X126" s="140"/>
      <c r="Y126" s="140"/>
      <c r="Z126" s="140"/>
      <c r="AA126" s="140"/>
      <c r="AB126" s="140"/>
      <c r="AC126" s="140"/>
      <c r="AD126" s="140"/>
      <c r="AE126" s="140"/>
      <c r="AF126" s="140"/>
      <c r="AG126" s="140"/>
      <c r="AH126" s="140"/>
      <c r="AI126" s="140"/>
      <c r="AJ126" s="140"/>
      <c r="AK126" s="140"/>
      <c r="AL126" s="140"/>
      <c r="AM126" s="140"/>
      <c r="AN126" s="140"/>
      <c r="AO126" s="140"/>
      <c r="AP126" s="140"/>
      <c r="AQ126" s="140"/>
      <c r="AR126" s="140"/>
      <c r="AS126" s="140"/>
    </row>
    <row r="127">
      <c r="A127" s="149"/>
      <c r="B127" s="140"/>
      <c r="C127" s="140"/>
      <c r="D127" s="140"/>
      <c r="E127" s="140"/>
      <c r="F127" s="140"/>
      <c r="G127" s="140"/>
      <c r="H127" s="140"/>
      <c r="I127" s="140"/>
      <c r="J127" s="140"/>
      <c r="K127" s="140"/>
      <c r="L127" s="140"/>
      <c r="M127" s="140"/>
      <c r="N127" s="140"/>
      <c r="O127" s="140"/>
      <c r="P127" s="140"/>
      <c r="Q127" s="140"/>
      <c r="R127" s="140"/>
      <c r="S127" s="150"/>
      <c r="T127" s="150"/>
      <c r="U127" s="140"/>
      <c r="V127" s="140"/>
      <c r="W127" s="140"/>
      <c r="X127" s="140"/>
      <c r="Y127" s="140"/>
      <c r="Z127" s="140"/>
      <c r="AA127" s="140"/>
      <c r="AB127" s="140"/>
      <c r="AC127" s="140"/>
      <c r="AD127" s="140"/>
      <c r="AE127" s="140"/>
      <c r="AF127" s="140"/>
      <c r="AG127" s="140"/>
      <c r="AH127" s="140"/>
      <c r="AI127" s="140"/>
      <c r="AJ127" s="140"/>
      <c r="AK127" s="140"/>
      <c r="AL127" s="140"/>
      <c r="AM127" s="140"/>
      <c r="AN127" s="140"/>
      <c r="AO127" s="140"/>
      <c r="AP127" s="140"/>
      <c r="AQ127" s="140"/>
      <c r="AR127" s="140"/>
      <c r="AS127" s="140"/>
    </row>
    <row r="128">
      <c r="A128" s="149"/>
      <c r="B128" s="140"/>
      <c r="C128" s="140"/>
      <c r="D128" s="140"/>
      <c r="E128" s="140"/>
      <c r="F128" s="140"/>
      <c r="G128" s="140"/>
      <c r="H128" s="140"/>
      <c r="I128" s="140"/>
      <c r="J128" s="140"/>
      <c r="K128" s="140"/>
      <c r="L128" s="140"/>
      <c r="M128" s="140"/>
      <c r="N128" s="140"/>
      <c r="O128" s="140"/>
      <c r="P128" s="140"/>
      <c r="Q128" s="140"/>
      <c r="R128" s="140"/>
      <c r="S128" s="150"/>
      <c r="T128" s="150"/>
      <c r="U128" s="140"/>
      <c r="V128" s="140"/>
      <c r="W128" s="140"/>
      <c r="X128" s="140"/>
      <c r="Y128" s="140"/>
      <c r="Z128" s="140"/>
      <c r="AA128" s="140"/>
      <c r="AB128" s="140"/>
      <c r="AC128" s="140"/>
      <c r="AD128" s="140"/>
      <c r="AE128" s="140"/>
      <c r="AF128" s="140"/>
      <c r="AG128" s="140"/>
      <c r="AH128" s="140"/>
      <c r="AI128" s="140"/>
      <c r="AJ128" s="140"/>
      <c r="AK128" s="140"/>
      <c r="AL128" s="140"/>
      <c r="AM128" s="140"/>
      <c r="AN128" s="140"/>
      <c r="AO128" s="140"/>
      <c r="AP128" s="140"/>
      <c r="AQ128" s="140"/>
      <c r="AR128" s="140"/>
      <c r="AS128" s="140"/>
    </row>
    <row r="129">
      <c r="A129" s="149"/>
      <c r="B129" s="140"/>
      <c r="C129" s="140"/>
      <c r="D129" s="140"/>
      <c r="E129" s="140"/>
      <c r="F129" s="140"/>
      <c r="G129" s="140"/>
      <c r="H129" s="140"/>
      <c r="I129" s="140"/>
      <c r="J129" s="140"/>
      <c r="K129" s="140"/>
      <c r="L129" s="140"/>
      <c r="M129" s="140"/>
      <c r="N129" s="140"/>
      <c r="O129" s="140"/>
      <c r="P129" s="140"/>
      <c r="Q129" s="140"/>
      <c r="R129" s="140"/>
      <c r="S129" s="150"/>
      <c r="T129" s="150"/>
      <c r="U129" s="140"/>
      <c r="V129" s="140"/>
      <c r="W129" s="140"/>
      <c r="X129" s="140"/>
      <c r="Y129" s="140"/>
      <c r="Z129" s="140"/>
      <c r="AA129" s="140"/>
      <c r="AB129" s="140"/>
      <c r="AC129" s="140"/>
      <c r="AD129" s="140"/>
      <c r="AE129" s="140"/>
      <c r="AF129" s="140"/>
      <c r="AG129" s="140"/>
      <c r="AH129" s="140"/>
      <c r="AI129" s="140"/>
      <c r="AJ129" s="140"/>
      <c r="AK129" s="140"/>
      <c r="AL129" s="140"/>
      <c r="AM129" s="140"/>
      <c r="AN129" s="140"/>
      <c r="AO129" s="140"/>
      <c r="AP129" s="140"/>
      <c r="AQ129" s="140"/>
      <c r="AR129" s="140"/>
      <c r="AS129" s="140"/>
    </row>
    <row r="130">
      <c r="A130" s="149"/>
      <c r="B130" s="140"/>
      <c r="C130" s="140"/>
      <c r="D130" s="140"/>
      <c r="E130" s="140"/>
      <c r="F130" s="140"/>
      <c r="G130" s="140"/>
      <c r="H130" s="140"/>
      <c r="I130" s="140"/>
      <c r="J130" s="140"/>
      <c r="K130" s="140"/>
      <c r="L130" s="140"/>
      <c r="M130" s="140"/>
      <c r="N130" s="140"/>
      <c r="O130" s="140"/>
      <c r="P130" s="140"/>
      <c r="Q130" s="140"/>
      <c r="R130" s="140"/>
      <c r="S130" s="150"/>
      <c r="T130" s="150"/>
      <c r="U130" s="140"/>
      <c r="V130" s="140"/>
      <c r="W130" s="140"/>
      <c r="X130" s="140"/>
      <c r="Y130" s="140"/>
      <c r="Z130" s="140"/>
      <c r="AA130" s="140"/>
      <c r="AB130" s="140"/>
      <c r="AC130" s="140"/>
      <c r="AD130" s="140"/>
      <c r="AE130" s="140"/>
      <c r="AF130" s="140"/>
      <c r="AG130" s="140"/>
      <c r="AH130" s="140"/>
      <c r="AI130" s="140"/>
      <c r="AJ130" s="140"/>
      <c r="AK130" s="140"/>
      <c r="AL130" s="140"/>
      <c r="AM130" s="140"/>
      <c r="AN130" s="140"/>
      <c r="AO130" s="140"/>
      <c r="AP130" s="140"/>
      <c r="AQ130" s="140"/>
      <c r="AR130" s="140"/>
      <c r="AS130" s="140"/>
    </row>
    <row r="131">
      <c r="A131" s="149"/>
      <c r="B131" s="140"/>
      <c r="C131" s="140"/>
      <c r="D131" s="140"/>
      <c r="E131" s="140"/>
      <c r="F131" s="140"/>
      <c r="G131" s="140"/>
      <c r="H131" s="140"/>
      <c r="I131" s="140"/>
      <c r="J131" s="140"/>
      <c r="K131" s="140"/>
      <c r="L131" s="140"/>
      <c r="M131" s="140"/>
      <c r="N131" s="140"/>
      <c r="O131" s="140"/>
      <c r="P131" s="140"/>
      <c r="Q131" s="140"/>
      <c r="R131" s="140"/>
      <c r="S131" s="150"/>
      <c r="T131" s="150"/>
      <c r="U131" s="140"/>
      <c r="V131" s="140"/>
      <c r="W131" s="140"/>
      <c r="X131" s="140"/>
      <c r="Y131" s="140"/>
      <c r="Z131" s="140"/>
      <c r="AA131" s="140"/>
      <c r="AB131" s="140"/>
      <c r="AC131" s="140"/>
      <c r="AD131" s="140"/>
      <c r="AE131" s="140"/>
      <c r="AF131" s="140"/>
      <c r="AG131" s="140"/>
      <c r="AH131" s="140"/>
      <c r="AI131" s="140"/>
      <c r="AJ131" s="140"/>
      <c r="AK131" s="140"/>
      <c r="AL131" s="140"/>
      <c r="AM131" s="140"/>
      <c r="AN131" s="140"/>
      <c r="AO131" s="140"/>
      <c r="AP131" s="140"/>
      <c r="AQ131" s="140"/>
      <c r="AR131" s="140"/>
      <c r="AS131" s="140"/>
    </row>
    <row r="132">
      <c r="A132" s="149"/>
      <c r="B132" s="140"/>
      <c r="C132" s="140"/>
      <c r="D132" s="140"/>
      <c r="E132" s="140"/>
      <c r="F132" s="140"/>
      <c r="G132" s="140"/>
      <c r="H132" s="140"/>
      <c r="I132" s="140"/>
      <c r="J132" s="140"/>
      <c r="K132" s="140"/>
      <c r="L132" s="140"/>
      <c r="M132" s="140"/>
      <c r="N132" s="140"/>
      <c r="O132" s="140"/>
      <c r="P132" s="140"/>
      <c r="Q132" s="140"/>
      <c r="R132" s="140"/>
      <c r="S132" s="150"/>
      <c r="T132" s="150"/>
      <c r="U132" s="140"/>
      <c r="V132" s="140"/>
      <c r="W132" s="140"/>
      <c r="X132" s="140"/>
      <c r="Y132" s="140"/>
      <c r="Z132" s="140"/>
      <c r="AA132" s="140"/>
      <c r="AB132" s="140"/>
      <c r="AC132" s="140"/>
      <c r="AD132" s="140"/>
      <c r="AE132" s="140"/>
      <c r="AF132" s="140"/>
      <c r="AG132" s="140"/>
      <c r="AH132" s="140"/>
      <c r="AI132" s="140"/>
      <c r="AJ132" s="140"/>
      <c r="AK132" s="140"/>
      <c r="AL132" s="140"/>
      <c r="AM132" s="140"/>
      <c r="AN132" s="140"/>
      <c r="AO132" s="140"/>
      <c r="AP132" s="140"/>
      <c r="AQ132" s="140"/>
      <c r="AR132" s="140"/>
      <c r="AS132" s="140"/>
    </row>
    <row r="133">
      <c r="A133" s="149"/>
      <c r="B133" s="140"/>
      <c r="C133" s="140"/>
      <c r="D133" s="140"/>
      <c r="E133" s="140"/>
      <c r="F133" s="140"/>
      <c r="G133" s="140"/>
      <c r="H133" s="140"/>
      <c r="I133" s="140"/>
      <c r="J133" s="140"/>
      <c r="K133" s="140"/>
      <c r="L133" s="140"/>
      <c r="M133" s="140"/>
      <c r="N133" s="140"/>
      <c r="O133" s="140"/>
      <c r="P133" s="140"/>
      <c r="Q133" s="140"/>
      <c r="R133" s="140"/>
      <c r="S133" s="150"/>
      <c r="T133" s="150"/>
      <c r="U133" s="140"/>
      <c r="V133" s="140"/>
      <c r="W133" s="140"/>
      <c r="X133" s="140"/>
      <c r="Y133" s="140"/>
      <c r="Z133" s="140"/>
      <c r="AA133" s="140"/>
      <c r="AB133" s="140"/>
      <c r="AC133" s="140"/>
      <c r="AD133" s="140"/>
      <c r="AE133" s="140"/>
      <c r="AF133" s="140"/>
      <c r="AG133" s="140"/>
      <c r="AH133" s="140"/>
      <c r="AI133" s="140"/>
      <c r="AJ133" s="140"/>
      <c r="AK133" s="140"/>
      <c r="AL133" s="140"/>
      <c r="AM133" s="140"/>
      <c r="AN133" s="140"/>
      <c r="AO133" s="140"/>
      <c r="AP133" s="140"/>
      <c r="AQ133" s="140"/>
      <c r="AR133" s="140"/>
      <c r="AS133" s="140"/>
    </row>
    <row r="134">
      <c r="A134" s="149"/>
      <c r="B134" s="140"/>
      <c r="C134" s="140"/>
      <c r="D134" s="140"/>
      <c r="E134" s="140"/>
      <c r="F134" s="140"/>
      <c r="G134" s="140"/>
      <c r="H134" s="140"/>
      <c r="I134" s="140"/>
      <c r="J134" s="140"/>
      <c r="K134" s="140"/>
      <c r="L134" s="140"/>
      <c r="M134" s="140"/>
      <c r="N134" s="140"/>
      <c r="O134" s="140"/>
      <c r="P134" s="140"/>
      <c r="Q134" s="140"/>
      <c r="R134" s="140"/>
      <c r="S134" s="150"/>
      <c r="T134" s="150"/>
      <c r="U134" s="140"/>
      <c r="V134" s="140"/>
      <c r="W134" s="140"/>
      <c r="X134" s="140"/>
      <c r="Y134" s="140"/>
      <c r="Z134" s="140"/>
      <c r="AA134" s="140"/>
      <c r="AB134" s="140"/>
      <c r="AC134" s="140"/>
      <c r="AD134" s="140"/>
      <c r="AE134" s="140"/>
      <c r="AF134" s="140"/>
      <c r="AG134" s="140"/>
      <c r="AH134" s="140"/>
      <c r="AI134" s="140"/>
      <c r="AJ134" s="140"/>
      <c r="AK134" s="140"/>
      <c r="AL134" s="140"/>
      <c r="AM134" s="140"/>
      <c r="AN134" s="140"/>
      <c r="AO134" s="140"/>
      <c r="AP134" s="140"/>
      <c r="AQ134" s="140"/>
      <c r="AR134" s="140"/>
      <c r="AS134" s="140"/>
    </row>
    <row r="135">
      <c r="A135" s="149"/>
      <c r="B135" s="140"/>
      <c r="C135" s="140"/>
      <c r="D135" s="140"/>
      <c r="E135" s="140"/>
      <c r="F135" s="140"/>
      <c r="G135" s="140"/>
      <c r="H135" s="140"/>
      <c r="I135" s="140"/>
      <c r="J135" s="140"/>
      <c r="K135" s="140"/>
      <c r="L135" s="140"/>
      <c r="M135" s="140"/>
      <c r="N135" s="140"/>
      <c r="O135" s="140"/>
      <c r="P135" s="140"/>
      <c r="Q135" s="140"/>
      <c r="R135" s="140"/>
      <c r="S135" s="150"/>
      <c r="T135" s="150"/>
      <c r="U135" s="140"/>
      <c r="V135" s="140"/>
      <c r="W135" s="140"/>
      <c r="X135" s="140"/>
      <c r="Y135" s="140"/>
      <c r="Z135" s="140"/>
      <c r="AA135" s="140"/>
      <c r="AB135" s="140"/>
      <c r="AC135" s="140"/>
      <c r="AD135" s="140"/>
      <c r="AE135" s="140"/>
      <c r="AF135" s="140"/>
      <c r="AG135" s="140"/>
      <c r="AH135" s="140"/>
      <c r="AI135" s="140"/>
      <c r="AJ135" s="140"/>
      <c r="AK135" s="140"/>
      <c r="AL135" s="140"/>
      <c r="AM135" s="140"/>
      <c r="AN135" s="140"/>
      <c r="AO135" s="140"/>
      <c r="AP135" s="140"/>
      <c r="AQ135" s="140"/>
      <c r="AR135" s="140"/>
      <c r="AS135" s="140"/>
    </row>
    <row r="136">
      <c r="A136" s="149"/>
      <c r="B136" s="140"/>
      <c r="C136" s="140"/>
      <c r="D136" s="140"/>
      <c r="E136" s="140"/>
      <c r="F136" s="140"/>
      <c r="G136" s="140"/>
      <c r="H136" s="140"/>
      <c r="I136" s="140"/>
      <c r="J136" s="140"/>
      <c r="K136" s="140"/>
      <c r="L136" s="140"/>
      <c r="M136" s="140"/>
      <c r="N136" s="140"/>
      <c r="O136" s="140"/>
      <c r="P136" s="140"/>
      <c r="Q136" s="140"/>
      <c r="R136" s="140"/>
      <c r="S136" s="150"/>
      <c r="T136" s="150"/>
      <c r="U136" s="140"/>
      <c r="V136" s="140"/>
      <c r="W136" s="140"/>
      <c r="X136" s="140"/>
      <c r="Y136" s="140"/>
      <c r="Z136" s="140"/>
      <c r="AA136" s="140"/>
      <c r="AB136" s="140"/>
      <c r="AC136" s="140"/>
      <c r="AD136" s="140"/>
      <c r="AE136" s="140"/>
      <c r="AF136" s="140"/>
      <c r="AG136" s="140"/>
      <c r="AH136" s="140"/>
      <c r="AI136" s="140"/>
      <c r="AJ136" s="140"/>
      <c r="AK136" s="140"/>
      <c r="AL136" s="140"/>
      <c r="AM136" s="140"/>
      <c r="AN136" s="140"/>
      <c r="AO136" s="140"/>
      <c r="AP136" s="140"/>
      <c r="AQ136" s="140"/>
      <c r="AR136" s="140"/>
      <c r="AS136" s="140"/>
    </row>
    <row r="137">
      <c r="A137" s="149"/>
      <c r="B137" s="140"/>
      <c r="C137" s="140"/>
      <c r="D137" s="140"/>
      <c r="E137" s="140"/>
      <c r="F137" s="140"/>
      <c r="G137" s="140"/>
      <c r="H137" s="140"/>
      <c r="I137" s="140"/>
      <c r="J137" s="140"/>
      <c r="K137" s="140"/>
      <c r="L137" s="140"/>
      <c r="M137" s="140"/>
      <c r="N137" s="140"/>
      <c r="O137" s="140"/>
      <c r="P137" s="140"/>
      <c r="Q137" s="140"/>
      <c r="R137" s="140"/>
      <c r="S137" s="150"/>
      <c r="T137" s="150"/>
      <c r="U137" s="140"/>
      <c r="V137" s="140"/>
      <c r="W137" s="140"/>
      <c r="X137" s="140"/>
      <c r="Y137" s="140"/>
      <c r="Z137" s="140"/>
      <c r="AA137" s="140"/>
      <c r="AB137" s="140"/>
      <c r="AC137" s="140"/>
      <c r="AD137" s="140"/>
      <c r="AE137" s="140"/>
      <c r="AF137" s="140"/>
      <c r="AG137" s="140"/>
      <c r="AH137" s="140"/>
      <c r="AI137" s="140"/>
      <c r="AJ137" s="140"/>
      <c r="AK137" s="140"/>
      <c r="AL137" s="140"/>
      <c r="AM137" s="140"/>
      <c r="AN137" s="140"/>
      <c r="AO137" s="140"/>
      <c r="AP137" s="140"/>
      <c r="AQ137" s="140"/>
      <c r="AR137" s="140"/>
      <c r="AS137" s="140"/>
    </row>
    <row r="138">
      <c r="A138" s="149"/>
      <c r="B138" s="140"/>
      <c r="C138" s="140"/>
      <c r="D138" s="140"/>
      <c r="E138" s="140"/>
      <c r="F138" s="140"/>
      <c r="G138" s="140"/>
      <c r="H138" s="140"/>
      <c r="I138" s="140"/>
      <c r="J138" s="140"/>
      <c r="K138" s="140"/>
      <c r="L138" s="140"/>
      <c r="M138" s="140"/>
      <c r="N138" s="140"/>
      <c r="O138" s="140"/>
      <c r="P138" s="140"/>
      <c r="Q138" s="140"/>
      <c r="R138" s="140"/>
      <c r="S138" s="150"/>
      <c r="T138" s="150"/>
      <c r="U138" s="140"/>
      <c r="V138" s="140"/>
      <c r="W138" s="140"/>
      <c r="X138" s="140"/>
      <c r="Y138" s="140"/>
      <c r="Z138" s="140"/>
      <c r="AA138" s="140"/>
      <c r="AB138" s="140"/>
      <c r="AC138" s="140"/>
      <c r="AD138" s="140"/>
      <c r="AE138" s="140"/>
      <c r="AF138" s="140"/>
      <c r="AG138" s="140"/>
      <c r="AH138" s="140"/>
      <c r="AI138" s="140"/>
      <c r="AJ138" s="140"/>
      <c r="AK138" s="140"/>
      <c r="AL138" s="140"/>
      <c r="AM138" s="140"/>
      <c r="AN138" s="140"/>
      <c r="AO138" s="140"/>
      <c r="AP138" s="140"/>
      <c r="AQ138" s="140"/>
      <c r="AR138" s="140"/>
      <c r="AS138" s="140"/>
    </row>
    <row r="139">
      <c r="A139" s="149"/>
      <c r="B139" s="140"/>
      <c r="C139" s="140"/>
      <c r="D139" s="140"/>
      <c r="E139" s="140"/>
      <c r="F139" s="140"/>
      <c r="G139" s="140"/>
      <c r="H139" s="140"/>
      <c r="I139" s="140"/>
      <c r="J139" s="140"/>
      <c r="K139" s="140"/>
      <c r="L139" s="140"/>
      <c r="M139" s="140"/>
      <c r="N139" s="140"/>
      <c r="O139" s="140"/>
      <c r="P139" s="140"/>
      <c r="Q139" s="140"/>
      <c r="R139" s="140"/>
      <c r="S139" s="150"/>
      <c r="T139" s="150"/>
      <c r="U139" s="140"/>
      <c r="V139" s="140"/>
      <c r="W139" s="140"/>
      <c r="X139" s="140"/>
      <c r="Y139" s="140"/>
      <c r="Z139" s="140"/>
      <c r="AA139" s="140"/>
      <c r="AB139" s="140"/>
      <c r="AC139" s="140"/>
      <c r="AD139" s="140"/>
      <c r="AE139" s="140"/>
      <c r="AF139" s="140"/>
      <c r="AG139" s="140"/>
      <c r="AH139" s="140"/>
      <c r="AI139" s="140"/>
      <c r="AJ139" s="140"/>
      <c r="AK139" s="140"/>
      <c r="AL139" s="140"/>
      <c r="AM139" s="140"/>
      <c r="AN139" s="140"/>
      <c r="AO139" s="140"/>
      <c r="AP139" s="140"/>
      <c r="AQ139" s="140"/>
      <c r="AR139" s="140"/>
      <c r="AS139" s="140"/>
    </row>
    <row r="140">
      <c r="A140" s="149"/>
      <c r="B140" s="140"/>
      <c r="C140" s="140"/>
      <c r="D140" s="140"/>
      <c r="E140" s="140"/>
      <c r="F140" s="140"/>
      <c r="G140" s="140"/>
      <c r="H140" s="140"/>
      <c r="I140" s="140"/>
      <c r="J140" s="140"/>
      <c r="K140" s="140"/>
      <c r="L140" s="140"/>
      <c r="M140" s="140"/>
      <c r="N140" s="140"/>
      <c r="O140" s="140"/>
      <c r="P140" s="140"/>
      <c r="Q140" s="140"/>
      <c r="R140" s="140"/>
      <c r="S140" s="150"/>
      <c r="T140" s="150"/>
      <c r="U140" s="140"/>
      <c r="V140" s="140"/>
      <c r="W140" s="140"/>
      <c r="X140" s="140"/>
      <c r="Y140" s="140"/>
      <c r="Z140" s="140"/>
      <c r="AA140" s="140"/>
      <c r="AB140" s="140"/>
      <c r="AC140" s="140"/>
      <c r="AD140" s="140"/>
      <c r="AE140" s="140"/>
      <c r="AF140" s="140"/>
      <c r="AG140" s="140"/>
      <c r="AH140" s="140"/>
      <c r="AI140" s="140"/>
      <c r="AJ140" s="140"/>
      <c r="AK140" s="140"/>
      <c r="AL140" s="140"/>
      <c r="AM140" s="140"/>
      <c r="AN140" s="140"/>
      <c r="AO140" s="140"/>
      <c r="AP140" s="140"/>
      <c r="AQ140" s="140"/>
      <c r="AR140" s="140"/>
      <c r="AS140" s="140"/>
    </row>
    <row r="141">
      <c r="A141" s="149"/>
      <c r="B141" s="140"/>
      <c r="C141" s="140"/>
      <c r="D141" s="140"/>
      <c r="E141" s="140"/>
      <c r="F141" s="140"/>
      <c r="G141" s="140"/>
      <c r="H141" s="140"/>
      <c r="I141" s="140"/>
      <c r="J141" s="140"/>
      <c r="K141" s="140"/>
      <c r="L141" s="140"/>
      <c r="M141" s="140"/>
      <c r="N141" s="140"/>
      <c r="O141" s="140"/>
      <c r="P141" s="140"/>
      <c r="Q141" s="140"/>
      <c r="R141" s="140"/>
      <c r="S141" s="150"/>
      <c r="T141" s="150"/>
      <c r="U141" s="140"/>
      <c r="V141" s="140"/>
      <c r="W141" s="140"/>
      <c r="X141" s="140"/>
      <c r="Y141" s="140"/>
      <c r="Z141" s="140"/>
      <c r="AA141" s="140"/>
      <c r="AB141" s="140"/>
      <c r="AC141" s="140"/>
      <c r="AD141" s="140"/>
      <c r="AE141" s="140"/>
      <c r="AF141" s="140"/>
      <c r="AG141" s="140"/>
      <c r="AH141" s="140"/>
      <c r="AI141" s="140"/>
      <c r="AJ141" s="140"/>
      <c r="AK141" s="140"/>
      <c r="AL141" s="140"/>
      <c r="AM141" s="140"/>
      <c r="AN141" s="140"/>
      <c r="AO141" s="140"/>
      <c r="AP141" s="140"/>
      <c r="AQ141" s="140"/>
      <c r="AR141" s="140"/>
      <c r="AS141" s="140"/>
    </row>
    <row r="142">
      <c r="A142" s="149"/>
      <c r="B142" s="140"/>
      <c r="C142" s="140"/>
      <c r="D142" s="140"/>
      <c r="E142" s="140"/>
      <c r="F142" s="140"/>
      <c r="G142" s="140"/>
      <c r="H142" s="140"/>
      <c r="I142" s="140"/>
      <c r="J142" s="140"/>
      <c r="K142" s="140"/>
      <c r="L142" s="140"/>
      <c r="M142" s="140"/>
      <c r="N142" s="140"/>
      <c r="O142" s="140"/>
      <c r="P142" s="140"/>
      <c r="Q142" s="140"/>
      <c r="R142" s="140"/>
      <c r="S142" s="150"/>
      <c r="T142" s="150"/>
      <c r="U142" s="140"/>
      <c r="V142" s="140"/>
      <c r="W142" s="140"/>
      <c r="X142" s="140"/>
      <c r="Y142" s="140"/>
      <c r="Z142" s="140"/>
      <c r="AA142" s="140"/>
      <c r="AB142" s="140"/>
      <c r="AC142" s="140"/>
      <c r="AD142" s="140"/>
      <c r="AE142" s="140"/>
      <c r="AF142" s="140"/>
      <c r="AG142" s="140"/>
      <c r="AH142" s="140"/>
      <c r="AI142" s="140"/>
      <c r="AJ142" s="140"/>
      <c r="AK142" s="140"/>
      <c r="AL142" s="140"/>
      <c r="AM142" s="140"/>
      <c r="AN142" s="140"/>
      <c r="AO142" s="140"/>
      <c r="AP142" s="140"/>
      <c r="AQ142" s="140"/>
      <c r="AR142" s="140"/>
      <c r="AS142" s="140"/>
    </row>
    <row r="143">
      <c r="A143" s="149"/>
      <c r="B143" s="140"/>
      <c r="C143" s="140"/>
      <c r="D143" s="140"/>
      <c r="E143" s="140"/>
      <c r="F143" s="140"/>
      <c r="G143" s="140"/>
      <c r="H143" s="140"/>
      <c r="I143" s="140"/>
      <c r="J143" s="140"/>
      <c r="K143" s="140"/>
      <c r="L143" s="140"/>
      <c r="M143" s="140"/>
      <c r="N143" s="140"/>
      <c r="O143" s="140"/>
      <c r="P143" s="140"/>
      <c r="Q143" s="140"/>
      <c r="R143" s="140"/>
      <c r="S143" s="150"/>
      <c r="T143" s="150"/>
      <c r="U143" s="140"/>
      <c r="V143" s="140"/>
      <c r="W143" s="140"/>
      <c r="X143" s="140"/>
      <c r="Y143" s="140"/>
      <c r="Z143" s="140"/>
      <c r="AA143" s="140"/>
      <c r="AB143" s="140"/>
      <c r="AC143" s="140"/>
      <c r="AD143" s="140"/>
      <c r="AE143" s="140"/>
      <c r="AF143" s="140"/>
      <c r="AG143" s="140"/>
      <c r="AH143" s="140"/>
      <c r="AI143" s="140"/>
      <c r="AJ143" s="140"/>
      <c r="AK143" s="140"/>
      <c r="AL143" s="140"/>
      <c r="AM143" s="140"/>
      <c r="AN143" s="140"/>
      <c r="AO143" s="140"/>
      <c r="AP143" s="140"/>
      <c r="AQ143" s="140"/>
      <c r="AR143" s="140"/>
      <c r="AS143" s="140"/>
    </row>
    <row r="144">
      <c r="A144" s="149"/>
      <c r="B144" s="140"/>
      <c r="C144" s="140"/>
      <c r="D144" s="140"/>
      <c r="E144" s="140"/>
      <c r="F144" s="140"/>
      <c r="G144" s="140"/>
      <c r="H144" s="140"/>
      <c r="I144" s="140"/>
      <c r="J144" s="140"/>
      <c r="K144" s="140"/>
      <c r="L144" s="140"/>
      <c r="M144" s="140"/>
      <c r="N144" s="140"/>
      <c r="O144" s="140"/>
      <c r="P144" s="140"/>
      <c r="Q144" s="140"/>
      <c r="R144" s="140"/>
      <c r="S144" s="150"/>
      <c r="T144" s="150"/>
      <c r="U144" s="140"/>
      <c r="V144" s="140"/>
      <c r="W144" s="140"/>
      <c r="X144" s="140"/>
      <c r="Y144" s="140"/>
      <c r="Z144" s="140"/>
      <c r="AA144" s="140"/>
      <c r="AB144" s="140"/>
      <c r="AC144" s="140"/>
      <c r="AD144" s="140"/>
      <c r="AE144" s="140"/>
      <c r="AF144" s="140"/>
      <c r="AG144" s="140"/>
      <c r="AH144" s="140"/>
      <c r="AI144" s="140"/>
      <c r="AJ144" s="140"/>
      <c r="AK144" s="140"/>
      <c r="AL144" s="140"/>
      <c r="AM144" s="140"/>
      <c r="AN144" s="140"/>
      <c r="AO144" s="140"/>
      <c r="AP144" s="140"/>
      <c r="AQ144" s="140"/>
      <c r="AR144" s="140"/>
      <c r="AS144" s="140"/>
    </row>
    <row r="145">
      <c r="A145" s="149"/>
      <c r="B145" s="140"/>
      <c r="C145" s="140"/>
      <c r="D145" s="140"/>
      <c r="E145" s="140"/>
      <c r="F145" s="140"/>
      <c r="G145" s="140"/>
      <c r="H145" s="140"/>
      <c r="I145" s="140"/>
      <c r="J145" s="140"/>
      <c r="K145" s="140"/>
      <c r="L145" s="140"/>
      <c r="M145" s="140"/>
      <c r="N145" s="140"/>
      <c r="O145" s="140"/>
      <c r="P145" s="140"/>
      <c r="Q145" s="140"/>
      <c r="R145" s="140"/>
      <c r="S145" s="150"/>
      <c r="T145" s="150"/>
      <c r="U145" s="140"/>
      <c r="V145" s="140"/>
      <c r="W145" s="140"/>
      <c r="X145" s="140"/>
      <c r="Y145" s="140"/>
      <c r="Z145" s="140"/>
      <c r="AA145" s="140"/>
      <c r="AB145" s="140"/>
      <c r="AC145" s="140"/>
      <c r="AD145" s="140"/>
      <c r="AE145" s="140"/>
      <c r="AF145" s="140"/>
      <c r="AG145" s="140"/>
      <c r="AH145" s="140"/>
      <c r="AI145" s="140"/>
      <c r="AJ145" s="140"/>
      <c r="AK145" s="140"/>
      <c r="AL145" s="140"/>
      <c r="AM145" s="140"/>
      <c r="AN145" s="140"/>
      <c r="AO145" s="140"/>
      <c r="AP145" s="140"/>
      <c r="AQ145" s="140"/>
      <c r="AR145" s="140"/>
      <c r="AS145" s="140"/>
    </row>
    <row r="146">
      <c r="A146" s="149"/>
      <c r="B146" s="140"/>
      <c r="C146" s="140"/>
      <c r="D146" s="140"/>
      <c r="E146" s="140"/>
      <c r="F146" s="140"/>
      <c r="G146" s="140"/>
      <c r="H146" s="140"/>
      <c r="I146" s="140"/>
      <c r="J146" s="140"/>
      <c r="K146" s="140"/>
      <c r="L146" s="140"/>
      <c r="M146" s="140"/>
      <c r="N146" s="140"/>
      <c r="O146" s="140"/>
      <c r="P146" s="140"/>
      <c r="Q146" s="140"/>
      <c r="R146" s="140"/>
      <c r="S146" s="150"/>
      <c r="T146" s="150"/>
      <c r="U146" s="140"/>
      <c r="V146" s="140"/>
      <c r="W146" s="140"/>
      <c r="X146" s="140"/>
      <c r="Y146" s="140"/>
      <c r="Z146" s="140"/>
      <c r="AA146" s="140"/>
      <c r="AB146" s="140"/>
      <c r="AC146" s="140"/>
      <c r="AD146" s="140"/>
      <c r="AE146" s="140"/>
      <c r="AF146" s="140"/>
      <c r="AG146" s="140"/>
      <c r="AH146" s="140"/>
      <c r="AI146" s="140"/>
      <c r="AJ146" s="140"/>
      <c r="AK146" s="140"/>
      <c r="AL146" s="140"/>
      <c r="AM146" s="140"/>
      <c r="AN146" s="140"/>
      <c r="AO146" s="140"/>
      <c r="AP146" s="140"/>
      <c r="AQ146" s="140"/>
      <c r="AR146" s="140"/>
      <c r="AS146" s="140"/>
    </row>
    <row r="147">
      <c r="A147" s="149"/>
      <c r="B147" s="140"/>
      <c r="C147" s="140"/>
      <c r="D147" s="140"/>
      <c r="E147" s="140"/>
      <c r="F147" s="140"/>
      <c r="G147" s="140"/>
      <c r="H147" s="140"/>
      <c r="I147" s="140"/>
      <c r="J147" s="140"/>
      <c r="K147" s="140"/>
      <c r="L147" s="140"/>
      <c r="M147" s="140"/>
      <c r="N147" s="140"/>
      <c r="O147" s="140"/>
      <c r="P147" s="140"/>
      <c r="Q147" s="140"/>
      <c r="R147" s="140"/>
      <c r="S147" s="150"/>
      <c r="T147" s="150"/>
      <c r="U147" s="140"/>
      <c r="V147" s="140"/>
      <c r="W147" s="140"/>
      <c r="X147" s="140"/>
      <c r="Y147" s="140"/>
      <c r="Z147" s="140"/>
      <c r="AA147" s="140"/>
      <c r="AB147" s="140"/>
      <c r="AC147" s="140"/>
      <c r="AD147" s="140"/>
      <c r="AE147" s="140"/>
      <c r="AF147" s="140"/>
      <c r="AG147" s="140"/>
      <c r="AH147" s="140"/>
      <c r="AI147" s="140"/>
      <c r="AJ147" s="140"/>
      <c r="AK147" s="140"/>
      <c r="AL147" s="140"/>
      <c r="AM147" s="140"/>
      <c r="AN147" s="140"/>
      <c r="AO147" s="140"/>
      <c r="AP147" s="140"/>
      <c r="AQ147" s="140"/>
      <c r="AR147" s="140"/>
      <c r="AS147" s="140"/>
    </row>
    <row r="148">
      <c r="A148" s="149"/>
      <c r="B148" s="140"/>
      <c r="C148" s="140"/>
      <c r="D148" s="140"/>
      <c r="E148" s="140"/>
      <c r="F148" s="140"/>
      <c r="G148" s="140"/>
      <c r="H148" s="140"/>
      <c r="I148" s="140"/>
      <c r="J148" s="140"/>
      <c r="K148" s="140"/>
      <c r="L148" s="140"/>
      <c r="M148" s="140"/>
      <c r="N148" s="140"/>
      <c r="O148" s="140"/>
      <c r="P148" s="140"/>
      <c r="Q148" s="140"/>
      <c r="R148" s="140"/>
      <c r="S148" s="150"/>
      <c r="T148" s="150"/>
      <c r="U148" s="140"/>
      <c r="V148" s="140"/>
      <c r="W148" s="140"/>
      <c r="X148" s="140"/>
      <c r="Y148" s="140"/>
      <c r="Z148" s="140"/>
      <c r="AA148" s="140"/>
      <c r="AB148" s="140"/>
      <c r="AC148" s="140"/>
      <c r="AD148" s="140"/>
      <c r="AE148" s="140"/>
      <c r="AF148" s="140"/>
      <c r="AG148" s="140"/>
      <c r="AH148" s="140"/>
      <c r="AI148" s="140"/>
      <c r="AJ148" s="140"/>
      <c r="AK148" s="140"/>
      <c r="AL148" s="140"/>
      <c r="AM148" s="140"/>
      <c r="AN148" s="140"/>
      <c r="AO148" s="140"/>
      <c r="AP148" s="140"/>
      <c r="AQ148" s="140"/>
      <c r="AR148" s="140"/>
      <c r="AS148" s="140"/>
    </row>
    <row r="149">
      <c r="A149" s="149"/>
      <c r="B149" s="140"/>
      <c r="C149" s="140"/>
      <c r="D149" s="140"/>
      <c r="E149" s="140"/>
      <c r="F149" s="140"/>
      <c r="G149" s="140"/>
      <c r="H149" s="140"/>
      <c r="I149" s="140"/>
      <c r="J149" s="140"/>
      <c r="K149" s="140"/>
      <c r="L149" s="140"/>
      <c r="M149" s="140"/>
      <c r="N149" s="140"/>
      <c r="O149" s="140"/>
      <c r="P149" s="140"/>
      <c r="Q149" s="140"/>
      <c r="R149" s="140"/>
      <c r="S149" s="150"/>
      <c r="T149" s="150"/>
      <c r="U149" s="140"/>
      <c r="V149" s="140"/>
      <c r="W149" s="140"/>
      <c r="X149" s="140"/>
      <c r="Y149" s="140"/>
      <c r="Z149" s="140"/>
      <c r="AA149" s="140"/>
      <c r="AB149" s="140"/>
      <c r="AC149" s="140"/>
      <c r="AD149" s="140"/>
      <c r="AE149" s="140"/>
      <c r="AF149" s="140"/>
      <c r="AG149" s="140"/>
      <c r="AH149" s="140"/>
      <c r="AI149" s="140"/>
      <c r="AJ149" s="140"/>
      <c r="AK149" s="140"/>
      <c r="AL149" s="140"/>
      <c r="AM149" s="140"/>
      <c r="AN149" s="140"/>
      <c r="AO149" s="140"/>
      <c r="AP149" s="140"/>
      <c r="AQ149" s="140"/>
      <c r="AR149" s="140"/>
      <c r="AS149" s="140"/>
    </row>
    <row r="150">
      <c r="A150" s="149"/>
      <c r="B150" s="140"/>
      <c r="C150" s="140"/>
      <c r="D150" s="140"/>
      <c r="E150" s="140"/>
      <c r="F150" s="140"/>
      <c r="G150" s="140"/>
      <c r="H150" s="140"/>
      <c r="I150" s="140"/>
      <c r="J150" s="140"/>
      <c r="K150" s="140"/>
      <c r="L150" s="140"/>
      <c r="M150" s="140"/>
      <c r="N150" s="140"/>
      <c r="O150" s="140"/>
      <c r="P150" s="140"/>
      <c r="Q150" s="140"/>
      <c r="R150" s="140"/>
      <c r="S150" s="150"/>
      <c r="T150" s="150"/>
      <c r="U150" s="140"/>
      <c r="V150" s="140"/>
      <c r="W150" s="140"/>
      <c r="X150" s="140"/>
      <c r="Y150" s="140"/>
      <c r="Z150" s="140"/>
      <c r="AA150" s="140"/>
      <c r="AB150" s="140"/>
      <c r="AC150" s="140"/>
      <c r="AD150" s="140"/>
      <c r="AE150" s="140"/>
      <c r="AF150" s="140"/>
      <c r="AG150" s="140"/>
      <c r="AH150" s="140"/>
      <c r="AI150" s="140"/>
      <c r="AJ150" s="140"/>
      <c r="AK150" s="140"/>
      <c r="AL150" s="140"/>
      <c r="AM150" s="140"/>
      <c r="AN150" s="140"/>
      <c r="AO150" s="140"/>
      <c r="AP150" s="140"/>
      <c r="AQ150" s="140"/>
      <c r="AR150" s="140"/>
      <c r="AS150" s="140"/>
    </row>
    <row r="151">
      <c r="A151" s="149"/>
      <c r="B151" s="140"/>
      <c r="C151" s="140"/>
      <c r="D151" s="140"/>
      <c r="E151" s="140"/>
      <c r="F151" s="140"/>
      <c r="G151" s="140"/>
      <c r="H151" s="140"/>
      <c r="I151" s="140"/>
      <c r="J151" s="140"/>
      <c r="K151" s="140"/>
      <c r="L151" s="140"/>
      <c r="M151" s="140"/>
      <c r="N151" s="140"/>
      <c r="O151" s="140"/>
      <c r="P151" s="140"/>
      <c r="Q151" s="140"/>
      <c r="R151" s="140"/>
      <c r="S151" s="150"/>
      <c r="T151" s="150"/>
      <c r="U151" s="140"/>
      <c r="V151" s="140"/>
      <c r="W151" s="140"/>
      <c r="X151" s="140"/>
      <c r="Y151" s="140"/>
      <c r="Z151" s="140"/>
      <c r="AA151" s="140"/>
      <c r="AB151" s="140"/>
      <c r="AC151" s="140"/>
      <c r="AD151" s="140"/>
      <c r="AE151" s="140"/>
      <c r="AF151" s="140"/>
      <c r="AG151" s="140"/>
      <c r="AH151" s="140"/>
      <c r="AI151" s="140"/>
      <c r="AJ151" s="140"/>
      <c r="AK151" s="140"/>
      <c r="AL151" s="140"/>
      <c r="AM151" s="140"/>
      <c r="AN151" s="140"/>
      <c r="AO151" s="140"/>
      <c r="AP151" s="140"/>
      <c r="AQ151" s="140"/>
      <c r="AR151" s="140"/>
      <c r="AS151" s="140"/>
    </row>
    <row r="152">
      <c r="A152" s="149"/>
      <c r="B152" s="140"/>
      <c r="C152" s="140"/>
      <c r="D152" s="140"/>
      <c r="E152" s="140"/>
      <c r="F152" s="140"/>
      <c r="G152" s="140"/>
      <c r="H152" s="140"/>
      <c r="I152" s="140"/>
      <c r="J152" s="140"/>
      <c r="K152" s="140"/>
      <c r="L152" s="140"/>
      <c r="M152" s="140"/>
      <c r="N152" s="140"/>
      <c r="O152" s="140"/>
      <c r="P152" s="140"/>
      <c r="Q152" s="140"/>
      <c r="R152" s="140"/>
      <c r="S152" s="150"/>
      <c r="T152" s="150"/>
      <c r="U152" s="140"/>
      <c r="V152" s="140"/>
      <c r="W152" s="140"/>
      <c r="X152" s="140"/>
      <c r="Y152" s="140"/>
      <c r="Z152" s="140"/>
      <c r="AA152" s="140"/>
      <c r="AB152" s="140"/>
      <c r="AC152" s="140"/>
      <c r="AD152" s="140"/>
      <c r="AE152" s="140"/>
      <c r="AF152" s="140"/>
      <c r="AG152" s="140"/>
      <c r="AH152" s="140"/>
      <c r="AI152" s="140"/>
      <c r="AJ152" s="140"/>
      <c r="AK152" s="140"/>
      <c r="AL152" s="140"/>
      <c r="AM152" s="140"/>
      <c r="AN152" s="140"/>
      <c r="AO152" s="140"/>
      <c r="AP152" s="140"/>
      <c r="AQ152" s="140"/>
      <c r="AR152" s="140"/>
      <c r="AS152" s="140"/>
    </row>
    <row r="153">
      <c r="A153" s="149"/>
      <c r="B153" s="140"/>
      <c r="C153" s="140"/>
      <c r="D153" s="140"/>
      <c r="E153" s="140"/>
      <c r="F153" s="140"/>
      <c r="G153" s="140"/>
      <c r="H153" s="140"/>
      <c r="I153" s="140"/>
      <c r="J153" s="140"/>
      <c r="K153" s="140"/>
      <c r="L153" s="140"/>
      <c r="M153" s="140"/>
      <c r="N153" s="140"/>
      <c r="O153" s="140"/>
      <c r="P153" s="140"/>
      <c r="Q153" s="140"/>
      <c r="R153" s="140"/>
      <c r="S153" s="150"/>
      <c r="T153" s="150"/>
      <c r="U153" s="140"/>
      <c r="V153" s="140"/>
      <c r="W153" s="140"/>
      <c r="X153" s="140"/>
      <c r="Y153" s="140"/>
      <c r="Z153" s="140"/>
      <c r="AA153" s="140"/>
      <c r="AB153" s="140"/>
      <c r="AC153" s="140"/>
      <c r="AD153" s="140"/>
      <c r="AE153" s="140"/>
      <c r="AF153" s="140"/>
      <c r="AG153" s="140"/>
      <c r="AH153" s="140"/>
      <c r="AI153" s="140"/>
      <c r="AJ153" s="140"/>
      <c r="AK153" s="140"/>
      <c r="AL153" s="140"/>
      <c r="AM153" s="140"/>
      <c r="AN153" s="140"/>
      <c r="AO153" s="140"/>
      <c r="AP153" s="140"/>
      <c r="AQ153" s="140"/>
      <c r="AR153" s="140"/>
      <c r="AS153" s="140"/>
    </row>
    <row r="154">
      <c r="A154" s="149"/>
      <c r="B154" s="140"/>
      <c r="C154" s="140"/>
      <c r="D154" s="140"/>
      <c r="E154" s="140"/>
      <c r="F154" s="140"/>
      <c r="G154" s="140"/>
      <c r="H154" s="140"/>
      <c r="I154" s="140"/>
      <c r="J154" s="140"/>
      <c r="K154" s="140"/>
      <c r="L154" s="140"/>
      <c r="M154" s="140"/>
      <c r="N154" s="140"/>
      <c r="O154" s="140"/>
      <c r="P154" s="140"/>
      <c r="Q154" s="140"/>
      <c r="R154" s="140"/>
      <c r="S154" s="150"/>
      <c r="T154" s="150"/>
      <c r="U154" s="140"/>
      <c r="V154" s="140"/>
      <c r="W154" s="140"/>
      <c r="X154" s="140"/>
      <c r="Y154" s="140"/>
      <c r="Z154" s="140"/>
      <c r="AA154" s="140"/>
      <c r="AB154" s="140"/>
      <c r="AC154" s="140"/>
      <c r="AD154" s="140"/>
      <c r="AE154" s="140"/>
      <c r="AF154" s="140"/>
      <c r="AG154" s="140"/>
      <c r="AH154" s="140"/>
      <c r="AI154" s="140"/>
      <c r="AJ154" s="140"/>
      <c r="AK154" s="140"/>
      <c r="AL154" s="140"/>
      <c r="AM154" s="140"/>
      <c r="AN154" s="140"/>
      <c r="AO154" s="140"/>
      <c r="AP154" s="140"/>
      <c r="AQ154" s="140"/>
      <c r="AR154" s="140"/>
      <c r="AS154" s="140"/>
    </row>
    <row r="155">
      <c r="A155" s="149"/>
      <c r="B155" s="140"/>
      <c r="C155" s="140"/>
      <c r="D155" s="140"/>
      <c r="E155" s="140"/>
      <c r="F155" s="140"/>
      <c r="G155" s="140"/>
      <c r="H155" s="140"/>
      <c r="I155" s="140"/>
      <c r="J155" s="140"/>
      <c r="K155" s="140"/>
      <c r="L155" s="140"/>
      <c r="M155" s="140"/>
      <c r="N155" s="140"/>
      <c r="O155" s="140"/>
      <c r="P155" s="140"/>
      <c r="Q155" s="140"/>
      <c r="R155" s="140"/>
      <c r="S155" s="150"/>
      <c r="T155" s="150"/>
      <c r="U155" s="140"/>
      <c r="V155" s="140"/>
      <c r="W155" s="140"/>
      <c r="X155" s="140"/>
      <c r="Y155" s="140"/>
      <c r="Z155" s="140"/>
      <c r="AA155" s="140"/>
      <c r="AB155" s="140"/>
      <c r="AC155" s="140"/>
      <c r="AD155" s="140"/>
      <c r="AE155" s="140"/>
      <c r="AF155" s="140"/>
      <c r="AG155" s="140"/>
      <c r="AH155" s="140"/>
      <c r="AI155" s="140"/>
      <c r="AJ155" s="140"/>
      <c r="AK155" s="140"/>
      <c r="AL155" s="140"/>
      <c r="AM155" s="140"/>
      <c r="AN155" s="140"/>
      <c r="AO155" s="140"/>
      <c r="AP155" s="140"/>
      <c r="AQ155" s="140"/>
      <c r="AR155" s="140"/>
      <c r="AS155" s="140"/>
    </row>
    <row r="156">
      <c r="A156" s="149"/>
      <c r="B156" s="140"/>
      <c r="C156" s="140"/>
      <c r="D156" s="140"/>
      <c r="E156" s="140"/>
      <c r="F156" s="140"/>
      <c r="G156" s="140"/>
      <c r="H156" s="140"/>
      <c r="I156" s="140"/>
      <c r="J156" s="140"/>
      <c r="K156" s="140"/>
      <c r="L156" s="140"/>
      <c r="M156" s="140"/>
      <c r="N156" s="140"/>
      <c r="O156" s="140"/>
      <c r="P156" s="140"/>
      <c r="Q156" s="140"/>
      <c r="R156" s="140"/>
      <c r="S156" s="150"/>
      <c r="T156" s="150"/>
      <c r="U156" s="140"/>
      <c r="V156" s="140"/>
      <c r="W156" s="140"/>
      <c r="X156" s="140"/>
      <c r="Y156" s="140"/>
      <c r="Z156" s="140"/>
      <c r="AA156" s="140"/>
      <c r="AB156" s="140"/>
      <c r="AC156" s="140"/>
      <c r="AD156" s="140"/>
      <c r="AE156" s="140"/>
      <c r="AF156" s="140"/>
      <c r="AG156" s="140"/>
      <c r="AH156" s="140"/>
      <c r="AI156" s="140"/>
      <c r="AJ156" s="140"/>
      <c r="AK156" s="140"/>
      <c r="AL156" s="140"/>
      <c r="AM156" s="140"/>
      <c r="AN156" s="140"/>
      <c r="AO156" s="140"/>
      <c r="AP156" s="140"/>
      <c r="AQ156" s="140"/>
      <c r="AR156" s="140"/>
      <c r="AS156" s="140"/>
    </row>
    <row r="157">
      <c r="A157" s="149"/>
      <c r="B157" s="140"/>
      <c r="C157" s="140"/>
      <c r="D157" s="140"/>
      <c r="E157" s="140"/>
      <c r="F157" s="140"/>
      <c r="G157" s="140"/>
      <c r="H157" s="140"/>
      <c r="I157" s="140"/>
      <c r="J157" s="140"/>
      <c r="K157" s="140"/>
      <c r="L157" s="140"/>
      <c r="M157" s="140"/>
      <c r="N157" s="140"/>
      <c r="O157" s="140"/>
      <c r="P157" s="140"/>
      <c r="Q157" s="140"/>
      <c r="R157" s="140"/>
      <c r="S157" s="150"/>
      <c r="T157" s="150"/>
      <c r="U157" s="140"/>
      <c r="V157" s="140"/>
      <c r="W157" s="140"/>
      <c r="X157" s="140"/>
      <c r="Y157" s="140"/>
      <c r="Z157" s="140"/>
      <c r="AA157" s="140"/>
      <c r="AB157" s="140"/>
      <c r="AC157" s="140"/>
      <c r="AD157" s="140"/>
      <c r="AE157" s="140"/>
      <c r="AF157" s="140"/>
      <c r="AG157" s="140"/>
      <c r="AH157" s="140"/>
      <c r="AI157" s="140"/>
      <c r="AJ157" s="140"/>
      <c r="AK157" s="140"/>
      <c r="AL157" s="140"/>
      <c r="AM157" s="140"/>
      <c r="AN157" s="140"/>
      <c r="AO157" s="140"/>
      <c r="AP157" s="140"/>
      <c r="AQ157" s="140"/>
      <c r="AR157" s="140"/>
      <c r="AS157" s="140"/>
    </row>
    <row r="158">
      <c r="A158" s="149"/>
      <c r="B158" s="140"/>
      <c r="C158" s="140"/>
      <c r="D158" s="140"/>
      <c r="E158" s="140"/>
      <c r="F158" s="140"/>
      <c r="G158" s="140"/>
      <c r="H158" s="140"/>
      <c r="I158" s="140"/>
      <c r="J158" s="140"/>
      <c r="K158" s="140"/>
      <c r="L158" s="140"/>
      <c r="M158" s="140"/>
      <c r="N158" s="140"/>
      <c r="O158" s="140"/>
      <c r="P158" s="140"/>
      <c r="Q158" s="140"/>
      <c r="R158" s="140"/>
      <c r="S158" s="150"/>
      <c r="T158" s="15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row>
    <row r="159">
      <c r="A159" s="149"/>
      <c r="B159" s="140"/>
      <c r="C159" s="140"/>
      <c r="D159" s="140"/>
      <c r="E159" s="140"/>
      <c r="F159" s="140"/>
      <c r="G159" s="140"/>
      <c r="H159" s="140"/>
      <c r="I159" s="140"/>
      <c r="J159" s="140"/>
      <c r="K159" s="140"/>
      <c r="L159" s="140"/>
      <c r="M159" s="140"/>
      <c r="N159" s="140"/>
      <c r="O159" s="140"/>
      <c r="P159" s="140"/>
      <c r="Q159" s="140"/>
      <c r="R159" s="140"/>
      <c r="S159" s="150"/>
      <c r="T159" s="150"/>
      <c r="U159" s="140"/>
      <c r="V159" s="140"/>
      <c r="W159" s="140"/>
      <c r="X159" s="140"/>
      <c r="Y159" s="140"/>
      <c r="Z159" s="140"/>
      <c r="AA159" s="140"/>
      <c r="AB159" s="140"/>
      <c r="AC159" s="140"/>
      <c r="AD159" s="140"/>
      <c r="AE159" s="140"/>
      <c r="AF159" s="140"/>
      <c r="AG159" s="140"/>
      <c r="AH159" s="140"/>
      <c r="AI159" s="140"/>
      <c r="AJ159" s="140"/>
      <c r="AK159" s="140"/>
      <c r="AL159" s="140"/>
      <c r="AM159" s="140"/>
      <c r="AN159" s="140"/>
      <c r="AO159" s="140"/>
      <c r="AP159" s="140"/>
      <c r="AQ159" s="140"/>
      <c r="AR159" s="140"/>
      <c r="AS159" s="140"/>
    </row>
    <row r="160">
      <c r="A160" s="149"/>
      <c r="B160" s="140"/>
      <c r="C160" s="140"/>
      <c r="D160" s="140"/>
      <c r="E160" s="140"/>
      <c r="F160" s="140"/>
      <c r="G160" s="140"/>
      <c r="H160" s="140"/>
      <c r="I160" s="140"/>
      <c r="J160" s="140"/>
      <c r="K160" s="140"/>
      <c r="L160" s="140"/>
      <c r="M160" s="140"/>
      <c r="N160" s="140"/>
      <c r="O160" s="140"/>
      <c r="P160" s="140"/>
      <c r="Q160" s="140"/>
      <c r="R160" s="140"/>
      <c r="S160" s="150"/>
      <c r="T160" s="150"/>
      <c r="U160" s="140"/>
      <c r="V160" s="140"/>
      <c r="W160" s="140"/>
      <c r="X160" s="140"/>
      <c r="Y160" s="140"/>
      <c r="Z160" s="140"/>
      <c r="AA160" s="140"/>
      <c r="AB160" s="140"/>
      <c r="AC160" s="140"/>
      <c r="AD160" s="140"/>
      <c r="AE160" s="140"/>
      <c r="AF160" s="140"/>
      <c r="AG160" s="140"/>
      <c r="AH160" s="140"/>
      <c r="AI160" s="140"/>
      <c r="AJ160" s="140"/>
      <c r="AK160" s="140"/>
      <c r="AL160" s="140"/>
      <c r="AM160" s="140"/>
      <c r="AN160" s="140"/>
      <c r="AO160" s="140"/>
      <c r="AP160" s="140"/>
      <c r="AQ160" s="140"/>
      <c r="AR160" s="140"/>
      <c r="AS160" s="140"/>
    </row>
    <row r="161">
      <c r="A161" s="149"/>
      <c r="B161" s="140"/>
      <c r="C161" s="140"/>
      <c r="D161" s="140"/>
      <c r="E161" s="140"/>
      <c r="F161" s="140"/>
      <c r="G161" s="140"/>
      <c r="H161" s="140"/>
      <c r="I161" s="140"/>
      <c r="J161" s="140"/>
      <c r="K161" s="140"/>
      <c r="L161" s="140"/>
      <c r="M161" s="140"/>
      <c r="N161" s="140"/>
      <c r="O161" s="140"/>
      <c r="P161" s="140"/>
      <c r="Q161" s="140"/>
      <c r="R161" s="140"/>
      <c r="S161" s="150"/>
      <c r="T161" s="15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row>
    <row r="162">
      <c r="A162" s="149"/>
      <c r="B162" s="140"/>
      <c r="C162" s="140"/>
      <c r="D162" s="140"/>
      <c r="E162" s="140"/>
      <c r="F162" s="140"/>
      <c r="G162" s="140"/>
      <c r="H162" s="140"/>
      <c r="I162" s="140"/>
      <c r="J162" s="140"/>
      <c r="K162" s="140"/>
      <c r="L162" s="140"/>
      <c r="M162" s="140"/>
      <c r="N162" s="140"/>
      <c r="O162" s="140"/>
      <c r="P162" s="140"/>
      <c r="Q162" s="140"/>
      <c r="R162" s="140"/>
      <c r="S162" s="150"/>
      <c r="T162" s="15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row>
    <row r="163">
      <c r="A163" s="149"/>
      <c r="B163" s="140"/>
      <c r="C163" s="140"/>
      <c r="D163" s="140"/>
      <c r="E163" s="140"/>
      <c r="F163" s="140"/>
      <c r="G163" s="140"/>
      <c r="H163" s="140"/>
      <c r="I163" s="140"/>
      <c r="J163" s="140"/>
      <c r="K163" s="140"/>
      <c r="L163" s="140"/>
      <c r="M163" s="140"/>
      <c r="N163" s="140"/>
      <c r="O163" s="140"/>
      <c r="P163" s="140"/>
      <c r="Q163" s="140"/>
      <c r="R163" s="140"/>
      <c r="S163" s="150"/>
      <c r="T163" s="15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row>
    <row r="164">
      <c r="A164" s="149"/>
      <c r="B164" s="140"/>
      <c r="C164" s="140"/>
      <c r="D164" s="140"/>
      <c r="E164" s="140"/>
      <c r="F164" s="140"/>
      <c r="G164" s="140"/>
      <c r="H164" s="140"/>
      <c r="I164" s="140"/>
      <c r="J164" s="140"/>
      <c r="K164" s="140"/>
      <c r="L164" s="140"/>
      <c r="M164" s="140"/>
      <c r="N164" s="140"/>
      <c r="O164" s="140"/>
      <c r="P164" s="140"/>
      <c r="Q164" s="140"/>
      <c r="R164" s="140"/>
      <c r="S164" s="150"/>
      <c r="T164" s="15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row>
    <row r="165">
      <c r="A165" s="149"/>
      <c r="B165" s="140"/>
      <c r="C165" s="140"/>
      <c r="D165" s="140"/>
      <c r="E165" s="140"/>
      <c r="F165" s="140"/>
      <c r="G165" s="140"/>
      <c r="H165" s="140"/>
      <c r="I165" s="140"/>
      <c r="J165" s="140"/>
      <c r="K165" s="140"/>
      <c r="L165" s="140"/>
      <c r="M165" s="140"/>
      <c r="N165" s="140"/>
      <c r="O165" s="140"/>
      <c r="P165" s="140"/>
      <c r="Q165" s="140"/>
      <c r="R165" s="140"/>
      <c r="S165" s="150"/>
      <c r="T165" s="150"/>
      <c r="U165" s="140"/>
      <c r="V165" s="140"/>
      <c r="W165" s="140"/>
      <c r="X165" s="140"/>
      <c r="Y165" s="140"/>
      <c r="Z165" s="140"/>
      <c r="AA165" s="140"/>
      <c r="AB165" s="140"/>
      <c r="AC165" s="140"/>
      <c r="AD165" s="140"/>
      <c r="AE165" s="140"/>
      <c r="AF165" s="140"/>
      <c r="AG165" s="140"/>
      <c r="AH165" s="140"/>
      <c r="AI165" s="140"/>
      <c r="AJ165" s="140"/>
      <c r="AK165" s="140"/>
      <c r="AL165" s="140"/>
      <c r="AM165" s="140"/>
      <c r="AN165" s="140"/>
      <c r="AO165" s="140"/>
      <c r="AP165" s="140"/>
      <c r="AQ165" s="140"/>
      <c r="AR165" s="140"/>
      <c r="AS165" s="140"/>
    </row>
    <row r="166">
      <c r="A166" s="149"/>
      <c r="B166" s="140"/>
      <c r="C166" s="140"/>
      <c r="D166" s="140"/>
      <c r="E166" s="140"/>
      <c r="F166" s="140"/>
      <c r="G166" s="140"/>
      <c r="H166" s="140"/>
      <c r="I166" s="140"/>
      <c r="J166" s="140"/>
      <c r="K166" s="140"/>
      <c r="L166" s="140"/>
      <c r="M166" s="140"/>
      <c r="N166" s="140"/>
      <c r="O166" s="140"/>
      <c r="P166" s="140"/>
      <c r="Q166" s="140"/>
      <c r="R166" s="140"/>
      <c r="S166" s="150"/>
      <c r="T166" s="150"/>
      <c r="U166" s="140"/>
      <c r="V166" s="140"/>
      <c r="W166" s="140"/>
      <c r="X166" s="140"/>
      <c r="Y166" s="140"/>
      <c r="Z166" s="140"/>
      <c r="AA166" s="140"/>
      <c r="AB166" s="140"/>
      <c r="AC166" s="140"/>
      <c r="AD166" s="140"/>
      <c r="AE166" s="140"/>
      <c r="AF166" s="140"/>
      <c r="AG166" s="140"/>
      <c r="AH166" s="140"/>
      <c r="AI166" s="140"/>
      <c r="AJ166" s="140"/>
      <c r="AK166" s="140"/>
      <c r="AL166" s="140"/>
      <c r="AM166" s="140"/>
      <c r="AN166" s="140"/>
      <c r="AO166" s="140"/>
      <c r="AP166" s="140"/>
      <c r="AQ166" s="140"/>
      <c r="AR166" s="140"/>
      <c r="AS166" s="140"/>
    </row>
    <row r="167">
      <c r="A167" s="149"/>
      <c r="B167" s="140"/>
      <c r="C167" s="140"/>
      <c r="D167" s="140"/>
      <c r="E167" s="140"/>
      <c r="F167" s="140"/>
      <c r="G167" s="140"/>
      <c r="H167" s="140"/>
      <c r="I167" s="140"/>
      <c r="J167" s="140"/>
      <c r="K167" s="140"/>
      <c r="L167" s="140"/>
      <c r="M167" s="140"/>
      <c r="N167" s="140"/>
      <c r="O167" s="140"/>
      <c r="P167" s="140"/>
      <c r="Q167" s="140"/>
      <c r="R167" s="140"/>
      <c r="S167" s="150"/>
      <c r="T167" s="150"/>
      <c r="U167" s="140"/>
      <c r="V167" s="140"/>
      <c r="W167" s="140"/>
      <c r="X167" s="140"/>
      <c r="Y167" s="140"/>
      <c r="Z167" s="140"/>
      <c r="AA167" s="140"/>
      <c r="AB167" s="140"/>
      <c r="AC167" s="140"/>
      <c r="AD167" s="140"/>
      <c r="AE167" s="140"/>
      <c r="AF167" s="140"/>
      <c r="AG167" s="140"/>
      <c r="AH167" s="140"/>
      <c r="AI167" s="140"/>
      <c r="AJ167" s="140"/>
      <c r="AK167" s="140"/>
      <c r="AL167" s="140"/>
      <c r="AM167" s="140"/>
      <c r="AN167" s="140"/>
      <c r="AO167" s="140"/>
      <c r="AP167" s="140"/>
      <c r="AQ167" s="140"/>
      <c r="AR167" s="140"/>
      <c r="AS167" s="140"/>
    </row>
    <row r="168">
      <c r="A168" s="149"/>
      <c r="B168" s="140"/>
      <c r="C168" s="140"/>
      <c r="D168" s="140"/>
      <c r="E168" s="140"/>
      <c r="F168" s="140"/>
      <c r="G168" s="140"/>
      <c r="H168" s="140"/>
      <c r="I168" s="140"/>
      <c r="J168" s="140"/>
      <c r="K168" s="140"/>
      <c r="L168" s="140"/>
      <c r="M168" s="140"/>
      <c r="N168" s="140"/>
      <c r="O168" s="140"/>
      <c r="P168" s="140"/>
      <c r="Q168" s="140"/>
      <c r="R168" s="140"/>
      <c r="S168" s="150"/>
      <c r="T168" s="150"/>
      <c r="U168" s="140"/>
      <c r="V168" s="140"/>
      <c r="W168" s="140"/>
      <c r="X168" s="140"/>
      <c r="Y168" s="140"/>
      <c r="Z168" s="140"/>
      <c r="AA168" s="140"/>
      <c r="AB168" s="140"/>
      <c r="AC168" s="140"/>
      <c r="AD168" s="140"/>
      <c r="AE168" s="140"/>
      <c r="AF168" s="140"/>
      <c r="AG168" s="140"/>
      <c r="AH168" s="140"/>
      <c r="AI168" s="140"/>
      <c r="AJ168" s="140"/>
      <c r="AK168" s="140"/>
      <c r="AL168" s="140"/>
      <c r="AM168" s="140"/>
      <c r="AN168" s="140"/>
      <c r="AO168" s="140"/>
      <c r="AP168" s="140"/>
      <c r="AQ168" s="140"/>
      <c r="AR168" s="140"/>
      <c r="AS168" s="140"/>
    </row>
    <row r="169">
      <c r="A169" s="149"/>
      <c r="B169" s="140"/>
      <c r="C169" s="140"/>
      <c r="D169" s="140"/>
      <c r="E169" s="140"/>
      <c r="F169" s="140"/>
      <c r="G169" s="140"/>
      <c r="H169" s="140"/>
      <c r="I169" s="140"/>
      <c r="J169" s="140"/>
      <c r="K169" s="140"/>
      <c r="L169" s="140"/>
      <c r="M169" s="140"/>
      <c r="N169" s="140"/>
      <c r="O169" s="140"/>
      <c r="P169" s="140"/>
      <c r="Q169" s="140"/>
      <c r="R169" s="140"/>
      <c r="S169" s="150"/>
      <c r="T169" s="150"/>
      <c r="U169" s="140"/>
      <c r="V169" s="140"/>
      <c r="W169" s="140"/>
      <c r="X169" s="140"/>
      <c r="Y169" s="140"/>
      <c r="Z169" s="140"/>
      <c r="AA169" s="140"/>
      <c r="AB169" s="140"/>
      <c r="AC169" s="140"/>
      <c r="AD169" s="140"/>
      <c r="AE169" s="140"/>
      <c r="AF169" s="140"/>
      <c r="AG169" s="140"/>
      <c r="AH169" s="140"/>
      <c r="AI169" s="140"/>
      <c r="AJ169" s="140"/>
      <c r="AK169" s="140"/>
      <c r="AL169" s="140"/>
      <c r="AM169" s="140"/>
      <c r="AN169" s="140"/>
      <c r="AO169" s="140"/>
      <c r="AP169" s="140"/>
      <c r="AQ169" s="140"/>
      <c r="AR169" s="140"/>
      <c r="AS169" s="140"/>
    </row>
    <row r="170">
      <c r="A170" s="149"/>
      <c r="B170" s="140"/>
      <c r="C170" s="140"/>
      <c r="D170" s="140"/>
      <c r="E170" s="140"/>
      <c r="F170" s="140"/>
      <c r="G170" s="140"/>
      <c r="H170" s="140"/>
      <c r="I170" s="140"/>
      <c r="J170" s="140"/>
      <c r="K170" s="140"/>
      <c r="L170" s="140"/>
      <c r="M170" s="140"/>
      <c r="N170" s="140"/>
      <c r="O170" s="140"/>
      <c r="P170" s="140"/>
      <c r="Q170" s="140"/>
      <c r="R170" s="140"/>
      <c r="S170" s="150"/>
      <c r="T170" s="150"/>
      <c r="U170" s="140"/>
      <c r="V170" s="140"/>
      <c r="W170" s="140"/>
      <c r="X170" s="140"/>
      <c r="Y170" s="140"/>
      <c r="Z170" s="140"/>
      <c r="AA170" s="140"/>
      <c r="AB170" s="140"/>
      <c r="AC170" s="140"/>
      <c r="AD170" s="140"/>
      <c r="AE170" s="140"/>
      <c r="AF170" s="140"/>
      <c r="AG170" s="140"/>
      <c r="AH170" s="140"/>
      <c r="AI170" s="140"/>
      <c r="AJ170" s="140"/>
      <c r="AK170" s="140"/>
      <c r="AL170" s="140"/>
      <c r="AM170" s="140"/>
      <c r="AN170" s="140"/>
      <c r="AO170" s="140"/>
      <c r="AP170" s="140"/>
      <c r="AQ170" s="140"/>
      <c r="AR170" s="140"/>
      <c r="AS170" s="140"/>
    </row>
    <row r="171">
      <c r="A171" s="149"/>
      <c r="B171" s="140"/>
      <c r="C171" s="140"/>
      <c r="D171" s="140"/>
      <c r="E171" s="140"/>
      <c r="F171" s="140"/>
      <c r="G171" s="140"/>
      <c r="H171" s="140"/>
      <c r="I171" s="140"/>
      <c r="J171" s="140"/>
      <c r="K171" s="140"/>
      <c r="L171" s="140"/>
      <c r="M171" s="140"/>
      <c r="N171" s="140"/>
      <c r="O171" s="140"/>
      <c r="P171" s="140"/>
      <c r="Q171" s="140"/>
      <c r="R171" s="140"/>
      <c r="S171" s="150"/>
      <c r="T171" s="150"/>
      <c r="U171" s="140"/>
      <c r="V171" s="140"/>
      <c r="W171" s="140"/>
      <c r="X171" s="140"/>
      <c r="Y171" s="140"/>
      <c r="Z171" s="140"/>
      <c r="AA171" s="140"/>
      <c r="AB171" s="140"/>
      <c r="AC171" s="140"/>
      <c r="AD171" s="140"/>
      <c r="AE171" s="140"/>
      <c r="AF171" s="140"/>
      <c r="AG171" s="140"/>
      <c r="AH171" s="140"/>
      <c r="AI171" s="140"/>
      <c r="AJ171" s="140"/>
      <c r="AK171" s="140"/>
      <c r="AL171" s="140"/>
      <c r="AM171" s="140"/>
      <c r="AN171" s="140"/>
      <c r="AO171" s="140"/>
      <c r="AP171" s="140"/>
      <c r="AQ171" s="140"/>
      <c r="AR171" s="140"/>
      <c r="AS171" s="140"/>
    </row>
    <row r="172">
      <c r="A172" s="149"/>
      <c r="B172" s="140"/>
      <c r="C172" s="140"/>
      <c r="D172" s="140"/>
      <c r="E172" s="140"/>
      <c r="F172" s="140"/>
      <c r="G172" s="140"/>
      <c r="H172" s="140"/>
      <c r="I172" s="140"/>
      <c r="J172" s="140"/>
      <c r="K172" s="140"/>
      <c r="L172" s="140"/>
      <c r="M172" s="140"/>
      <c r="N172" s="140"/>
      <c r="O172" s="140"/>
      <c r="P172" s="140"/>
      <c r="Q172" s="140"/>
      <c r="R172" s="140"/>
      <c r="S172" s="150"/>
      <c r="T172" s="150"/>
      <c r="U172" s="140"/>
      <c r="V172" s="140"/>
      <c r="W172" s="140"/>
      <c r="X172" s="140"/>
      <c r="Y172" s="140"/>
      <c r="Z172" s="140"/>
      <c r="AA172" s="140"/>
      <c r="AB172" s="140"/>
      <c r="AC172" s="140"/>
      <c r="AD172" s="140"/>
      <c r="AE172" s="140"/>
      <c r="AF172" s="140"/>
      <c r="AG172" s="140"/>
      <c r="AH172" s="140"/>
      <c r="AI172" s="140"/>
      <c r="AJ172" s="140"/>
      <c r="AK172" s="140"/>
      <c r="AL172" s="140"/>
      <c r="AM172" s="140"/>
      <c r="AN172" s="140"/>
      <c r="AO172" s="140"/>
      <c r="AP172" s="140"/>
      <c r="AQ172" s="140"/>
      <c r="AR172" s="140"/>
      <c r="AS172" s="140"/>
    </row>
    <row r="173">
      <c r="A173" s="149"/>
      <c r="B173" s="140"/>
      <c r="C173" s="140"/>
      <c r="D173" s="140"/>
      <c r="E173" s="140"/>
      <c r="F173" s="140"/>
      <c r="G173" s="140"/>
      <c r="H173" s="140"/>
      <c r="I173" s="140"/>
      <c r="J173" s="140"/>
      <c r="K173" s="140"/>
      <c r="L173" s="140"/>
      <c r="M173" s="140"/>
      <c r="N173" s="140"/>
      <c r="O173" s="140"/>
      <c r="P173" s="140"/>
      <c r="Q173" s="140"/>
      <c r="R173" s="140"/>
      <c r="S173" s="150"/>
      <c r="T173" s="150"/>
      <c r="U173" s="140"/>
      <c r="V173" s="140"/>
      <c r="W173" s="140"/>
      <c r="X173" s="140"/>
      <c r="Y173" s="140"/>
      <c r="Z173" s="140"/>
      <c r="AA173" s="140"/>
      <c r="AB173" s="140"/>
      <c r="AC173" s="140"/>
      <c r="AD173" s="140"/>
      <c r="AE173" s="140"/>
      <c r="AF173" s="140"/>
      <c r="AG173" s="140"/>
      <c r="AH173" s="140"/>
      <c r="AI173" s="140"/>
      <c r="AJ173" s="140"/>
      <c r="AK173" s="140"/>
      <c r="AL173" s="140"/>
      <c r="AM173" s="140"/>
      <c r="AN173" s="140"/>
      <c r="AO173" s="140"/>
      <c r="AP173" s="140"/>
      <c r="AQ173" s="140"/>
      <c r="AR173" s="140"/>
      <c r="AS173" s="140"/>
    </row>
    <row r="174">
      <c r="A174" s="149"/>
      <c r="B174" s="140"/>
      <c r="C174" s="140"/>
      <c r="D174" s="140"/>
      <c r="E174" s="140"/>
      <c r="F174" s="140"/>
      <c r="G174" s="140"/>
      <c r="H174" s="140"/>
      <c r="I174" s="140"/>
      <c r="J174" s="140"/>
      <c r="K174" s="140"/>
      <c r="L174" s="140"/>
      <c r="M174" s="140"/>
      <c r="N174" s="140"/>
      <c r="O174" s="140"/>
      <c r="P174" s="140"/>
      <c r="Q174" s="140"/>
      <c r="R174" s="140"/>
      <c r="S174" s="150"/>
      <c r="T174" s="150"/>
      <c r="U174" s="140"/>
      <c r="V174" s="140"/>
      <c r="W174" s="140"/>
      <c r="X174" s="140"/>
      <c r="Y174" s="140"/>
      <c r="Z174" s="140"/>
      <c r="AA174" s="140"/>
      <c r="AB174" s="140"/>
      <c r="AC174" s="140"/>
      <c r="AD174" s="140"/>
      <c r="AE174" s="140"/>
      <c r="AF174" s="140"/>
      <c r="AG174" s="140"/>
      <c r="AH174" s="140"/>
      <c r="AI174" s="140"/>
      <c r="AJ174" s="140"/>
      <c r="AK174" s="140"/>
      <c r="AL174" s="140"/>
      <c r="AM174" s="140"/>
      <c r="AN174" s="140"/>
      <c r="AO174" s="140"/>
      <c r="AP174" s="140"/>
      <c r="AQ174" s="140"/>
      <c r="AR174" s="140"/>
      <c r="AS174" s="140"/>
    </row>
    <row r="175">
      <c r="A175" s="149"/>
      <c r="B175" s="140"/>
      <c r="C175" s="140"/>
      <c r="D175" s="140"/>
      <c r="E175" s="140"/>
      <c r="F175" s="140"/>
      <c r="G175" s="140"/>
      <c r="H175" s="140"/>
      <c r="I175" s="140"/>
      <c r="J175" s="140"/>
      <c r="K175" s="140"/>
      <c r="L175" s="140"/>
      <c r="M175" s="140"/>
      <c r="N175" s="140"/>
      <c r="O175" s="140"/>
      <c r="P175" s="140"/>
      <c r="Q175" s="140"/>
      <c r="R175" s="140"/>
      <c r="S175" s="150"/>
      <c r="T175" s="150"/>
      <c r="U175" s="140"/>
      <c r="V175" s="140"/>
      <c r="W175" s="140"/>
      <c r="X175" s="140"/>
      <c r="Y175" s="140"/>
      <c r="Z175" s="140"/>
      <c r="AA175" s="140"/>
      <c r="AB175" s="140"/>
      <c r="AC175" s="140"/>
      <c r="AD175" s="140"/>
      <c r="AE175" s="140"/>
      <c r="AF175" s="140"/>
      <c r="AG175" s="140"/>
      <c r="AH175" s="140"/>
      <c r="AI175" s="140"/>
      <c r="AJ175" s="140"/>
      <c r="AK175" s="140"/>
      <c r="AL175" s="140"/>
      <c r="AM175" s="140"/>
      <c r="AN175" s="140"/>
      <c r="AO175" s="140"/>
      <c r="AP175" s="140"/>
      <c r="AQ175" s="140"/>
      <c r="AR175" s="140"/>
      <c r="AS175" s="140"/>
    </row>
    <row r="176">
      <c r="A176" s="149"/>
      <c r="B176" s="140"/>
      <c r="C176" s="140"/>
      <c r="D176" s="140"/>
      <c r="E176" s="140"/>
      <c r="F176" s="140"/>
      <c r="G176" s="140"/>
      <c r="H176" s="140"/>
      <c r="I176" s="140"/>
      <c r="J176" s="140"/>
      <c r="K176" s="140"/>
      <c r="L176" s="140"/>
      <c r="M176" s="140"/>
      <c r="N176" s="140"/>
      <c r="O176" s="140"/>
      <c r="P176" s="140"/>
      <c r="Q176" s="140"/>
      <c r="R176" s="140"/>
      <c r="S176" s="150"/>
      <c r="T176" s="150"/>
      <c r="U176" s="140"/>
      <c r="V176" s="140"/>
      <c r="W176" s="140"/>
      <c r="X176" s="140"/>
      <c r="Y176" s="140"/>
      <c r="Z176" s="140"/>
      <c r="AA176" s="140"/>
      <c r="AB176" s="140"/>
      <c r="AC176" s="140"/>
      <c r="AD176" s="140"/>
      <c r="AE176" s="140"/>
      <c r="AF176" s="140"/>
      <c r="AG176" s="140"/>
      <c r="AH176" s="140"/>
      <c r="AI176" s="140"/>
      <c r="AJ176" s="140"/>
      <c r="AK176" s="140"/>
      <c r="AL176" s="140"/>
      <c r="AM176" s="140"/>
      <c r="AN176" s="140"/>
      <c r="AO176" s="140"/>
      <c r="AP176" s="140"/>
      <c r="AQ176" s="140"/>
      <c r="AR176" s="140"/>
      <c r="AS176" s="140"/>
    </row>
    <row r="177">
      <c r="A177" s="149"/>
      <c r="B177" s="140"/>
      <c r="C177" s="140"/>
      <c r="D177" s="140"/>
      <c r="E177" s="140"/>
      <c r="F177" s="140"/>
      <c r="G177" s="140"/>
      <c r="H177" s="140"/>
      <c r="I177" s="140"/>
      <c r="J177" s="140"/>
      <c r="K177" s="140"/>
      <c r="L177" s="140"/>
      <c r="M177" s="140"/>
      <c r="N177" s="140"/>
      <c r="O177" s="140"/>
      <c r="P177" s="140"/>
      <c r="Q177" s="140"/>
      <c r="R177" s="140"/>
      <c r="S177" s="150"/>
      <c r="T177" s="150"/>
      <c r="U177" s="140"/>
      <c r="V177" s="140"/>
      <c r="W177" s="140"/>
      <c r="X177" s="140"/>
      <c r="Y177" s="140"/>
      <c r="Z177" s="140"/>
      <c r="AA177" s="140"/>
      <c r="AB177" s="140"/>
      <c r="AC177" s="140"/>
      <c r="AD177" s="140"/>
      <c r="AE177" s="140"/>
      <c r="AF177" s="140"/>
      <c r="AG177" s="140"/>
      <c r="AH177" s="140"/>
      <c r="AI177" s="140"/>
      <c r="AJ177" s="140"/>
      <c r="AK177" s="140"/>
      <c r="AL177" s="140"/>
      <c r="AM177" s="140"/>
      <c r="AN177" s="140"/>
      <c r="AO177" s="140"/>
      <c r="AP177" s="140"/>
      <c r="AQ177" s="140"/>
      <c r="AR177" s="140"/>
      <c r="AS177" s="140"/>
    </row>
    <row r="178">
      <c r="A178" s="149"/>
      <c r="B178" s="140"/>
      <c r="C178" s="140"/>
      <c r="D178" s="140"/>
      <c r="E178" s="140"/>
      <c r="F178" s="140"/>
      <c r="G178" s="140"/>
      <c r="H178" s="140"/>
      <c r="I178" s="140"/>
      <c r="J178" s="140"/>
      <c r="K178" s="140"/>
      <c r="L178" s="140"/>
      <c r="M178" s="140"/>
      <c r="N178" s="140"/>
      <c r="O178" s="140"/>
      <c r="P178" s="140"/>
      <c r="Q178" s="140"/>
      <c r="R178" s="140"/>
      <c r="S178" s="150"/>
      <c r="T178" s="150"/>
      <c r="U178" s="140"/>
      <c r="V178" s="140"/>
      <c r="W178" s="140"/>
      <c r="X178" s="140"/>
      <c r="Y178" s="140"/>
      <c r="Z178" s="140"/>
      <c r="AA178" s="140"/>
      <c r="AB178" s="140"/>
      <c r="AC178" s="140"/>
      <c r="AD178" s="140"/>
      <c r="AE178" s="140"/>
      <c r="AF178" s="140"/>
      <c r="AG178" s="140"/>
      <c r="AH178" s="140"/>
      <c r="AI178" s="140"/>
      <c r="AJ178" s="140"/>
      <c r="AK178" s="140"/>
      <c r="AL178" s="140"/>
      <c r="AM178" s="140"/>
      <c r="AN178" s="140"/>
      <c r="AO178" s="140"/>
      <c r="AP178" s="140"/>
      <c r="AQ178" s="140"/>
      <c r="AR178" s="140"/>
      <c r="AS178" s="140"/>
    </row>
    <row r="179">
      <c r="A179" s="149"/>
      <c r="B179" s="140"/>
      <c r="C179" s="140"/>
      <c r="D179" s="140"/>
      <c r="E179" s="140"/>
      <c r="F179" s="140"/>
      <c r="G179" s="140"/>
      <c r="H179" s="140"/>
      <c r="I179" s="140"/>
      <c r="J179" s="140"/>
      <c r="K179" s="140"/>
      <c r="L179" s="140"/>
      <c r="M179" s="140"/>
      <c r="N179" s="140"/>
      <c r="O179" s="140"/>
      <c r="P179" s="140"/>
      <c r="Q179" s="140"/>
      <c r="R179" s="140"/>
      <c r="S179" s="150"/>
      <c r="T179" s="15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row>
    <row r="180">
      <c r="A180" s="149"/>
      <c r="B180" s="140"/>
      <c r="C180" s="140"/>
      <c r="D180" s="140"/>
      <c r="E180" s="140"/>
      <c r="F180" s="140"/>
      <c r="G180" s="140"/>
      <c r="H180" s="140"/>
      <c r="I180" s="140"/>
      <c r="J180" s="140"/>
      <c r="K180" s="140"/>
      <c r="L180" s="140"/>
      <c r="M180" s="140"/>
      <c r="N180" s="140"/>
      <c r="O180" s="140"/>
      <c r="P180" s="140"/>
      <c r="Q180" s="140"/>
      <c r="R180" s="140"/>
      <c r="S180" s="150"/>
      <c r="T180" s="150"/>
      <c r="U180" s="140"/>
      <c r="V180" s="140"/>
      <c r="W180" s="140"/>
      <c r="X180" s="140"/>
      <c r="Y180" s="140"/>
      <c r="Z180" s="140"/>
      <c r="AA180" s="140"/>
      <c r="AB180" s="140"/>
      <c r="AC180" s="140"/>
      <c r="AD180" s="140"/>
      <c r="AE180" s="140"/>
      <c r="AF180" s="140"/>
      <c r="AG180" s="140"/>
      <c r="AH180" s="140"/>
      <c r="AI180" s="140"/>
      <c r="AJ180" s="140"/>
      <c r="AK180" s="140"/>
      <c r="AL180" s="140"/>
      <c r="AM180" s="140"/>
      <c r="AN180" s="140"/>
      <c r="AO180" s="140"/>
      <c r="AP180" s="140"/>
      <c r="AQ180" s="140"/>
      <c r="AR180" s="140"/>
      <c r="AS180" s="140"/>
    </row>
    <row r="181">
      <c r="A181" s="149"/>
      <c r="B181" s="140"/>
      <c r="C181" s="140"/>
      <c r="D181" s="140"/>
      <c r="E181" s="140"/>
      <c r="F181" s="140"/>
      <c r="G181" s="140"/>
      <c r="H181" s="140"/>
      <c r="I181" s="140"/>
      <c r="J181" s="140"/>
      <c r="K181" s="140"/>
      <c r="L181" s="140"/>
      <c r="M181" s="140"/>
      <c r="N181" s="140"/>
      <c r="O181" s="140"/>
      <c r="P181" s="140"/>
      <c r="Q181" s="140"/>
      <c r="R181" s="140"/>
      <c r="S181" s="150"/>
      <c r="T181" s="150"/>
      <c r="U181" s="140"/>
      <c r="V181" s="140"/>
      <c r="W181" s="140"/>
      <c r="X181" s="140"/>
      <c r="Y181" s="140"/>
      <c r="Z181" s="140"/>
      <c r="AA181" s="140"/>
      <c r="AB181" s="140"/>
      <c r="AC181" s="140"/>
      <c r="AD181" s="140"/>
      <c r="AE181" s="140"/>
      <c r="AF181" s="140"/>
      <c r="AG181" s="140"/>
      <c r="AH181" s="140"/>
      <c r="AI181" s="140"/>
      <c r="AJ181" s="140"/>
      <c r="AK181" s="140"/>
      <c r="AL181" s="140"/>
      <c r="AM181" s="140"/>
      <c r="AN181" s="140"/>
      <c r="AO181" s="140"/>
      <c r="AP181" s="140"/>
      <c r="AQ181" s="140"/>
      <c r="AR181" s="140"/>
      <c r="AS181" s="140"/>
    </row>
    <row r="182">
      <c r="A182" s="149"/>
      <c r="B182" s="140"/>
      <c r="C182" s="140"/>
      <c r="D182" s="140"/>
      <c r="E182" s="140"/>
      <c r="F182" s="140"/>
      <c r="G182" s="140"/>
      <c r="H182" s="140"/>
      <c r="I182" s="140"/>
      <c r="J182" s="140"/>
      <c r="K182" s="140"/>
      <c r="L182" s="140"/>
      <c r="M182" s="140"/>
      <c r="N182" s="140"/>
      <c r="O182" s="140"/>
      <c r="P182" s="140"/>
      <c r="Q182" s="140"/>
      <c r="R182" s="140"/>
      <c r="S182" s="150"/>
      <c r="T182" s="150"/>
      <c r="U182" s="140"/>
      <c r="V182" s="140"/>
      <c r="W182" s="140"/>
      <c r="X182" s="140"/>
      <c r="Y182" s="140"/>
      <c r="Z182" s="140"/>
      <c r="AA182" s="140"/>
      <c r="AB182" s="140"/>
      <c r="AC182" s="140"/>
      <c r="AD182" s="140"/>
      <c r="AE182" s="140"/>
      <c r="AF182" s="140"/>
      <c r="AG182" s="140"/>
      <c r="AH182" s="140"/>
      <c r="AI182" s="140"/>
      <c r="AJ182" s="140"/>
      <c r="AK182" s="140"/>
      <c r="AL182" s="140"/>
      <c r="AM182" s="140"/>
      <c r="AN182" s="140"/>
      <c r="AO182" s="140"/>
      <c r="AP182" s="140"/>
      <c r="AQ182" s="140"/>
      <c r="AR182" s="140"/>
      <c r="AS182" s="140"/>
    </row>
    <row r="183">
      <c r="A183" s="149"/>
      <c r="B183" s="140"/>
      <c r="C183" s="140"/>
      <c r="D183" s="140"/>
      <c r="E183" s="140"/>
      <c r="F183" s="140"/>
      <c r="G183" s="140"/>
      <c r="H183" s="140"/>
      <c r="I183" s="140"/>
      <c r="J183" s="140"/>
      <c r="K183" s="140"/>
      <c r="L183" s="140"/>
      <c r="M183" s="140"/>
      <c r="N183" s="140"/>
      <c r="O183" s="140"/>
      <c r="P183" s="140"/>
      <c r="Q183" s="140"/>
      <c r="R183" s="140"/>
      <c r="S183" s="150"/>
      <c r="T183" s="150"/>
      <c r="U183" s="140"/>
      <c r="V183" s="140"/>
      <c r="W183" s="140"/>
      <c r="X183" s="140"/>
      <c r="Y183" s="140"/>
      <c r="Z183" s="140"/>
      <c r="AA183" s="140"/>
      <c r="AB183" s="140"/>
      <c r="AC183" s="140"/>
      <c r="AD183" s="140"/>
      <c r="AE183" s="140"/>
      <c r="AF183" s="140"/>
      <c r="AG183" s="140"/>
      <c r="AH183" s="140"/>
      <c r="AI183" s="140"/>
      <c r="AJ183" s="140"/>
      <c r="AK183" s="140"/>
      <c r="AL183" s="140"/>
      <c r="AM183" s="140"/>
      <c r="AN183" s="140"/>
      <c r="AO183" s="140"/>
      <c r="AP183" s="140"/>
      <c r="AQ183" s="140"/>
      <c r="AR183" s="140"/>
      <c r="AS183" s="140"/>
    </row>
    <row r="184">
      <c r="A184" s="149"/>
      <c r="B184" s="140"/>
      <c r="C184" s="140"/>
      <c r="D184" s="140"/>
      <c r="E184" s="140"/>
      <c r="F184" s="140"/>
      <c r="G184" s="140"/>
      <c r="H184" s="140"/>
      <c r="I184" s="140"/>
      <c r="J184" s="140"/>
      <c r="K184" s="140"/>
      <c r="L184" s="140"/>
      <c r="M184" s="140"/>
      <c r="N184" s="140"/>
      <c r="O184" s="140"/>
      <c r="P184" s="140"/>
      <c r="Q184" s="140"/>
      <c r="R184" s="140"/>
      <c r="S184" s="150"/>
      <c r="T184" s="150"/>
      <c r="U184" s="140"/>
      <c r="V184" s="140"/>
      <c r="W184" s="140"/>
      <c r="X184" s="140"/>
      <c r="Y184" s="140"/>
      <c r="Z184" s="140"/>
      <c r="AA184" s="140"/>
      <c r="AB184" s="140"/>
      <c r="AC184" s="140"/>
      <c r="AD184" s="140"/>
      <c r="AE184" s="140"/>
      <c r="AF184" s="140"/>
      <c r="AG184" s="140"/>
      <c r="AH184" s="140"/>
      <c r="AI184" s="140"/>
      <c r="AJ184" s="140"/>
      <c r="AK184" s="140"/>
      <c r="AL184" s="140"/>
      <c r="AM184" s="140"/>
      <c r="AN184" s="140"/>
      <c r="AO184" s="140"/>
      <c r="AP184" s="140"/>
      <c r="AQ184" s="140"/>
      <c r="AR184" s="140"/>
      <c r="AS184" s="140"/>
    </row>
    <row r="185">
      <c r="A185" s="149"/>
      <c r="B185" s="140"/>
      <c r="C185" s="140"/>
      <c r="D185" s="140"/>
      <c r="E185" s="140"/>
      <c r="F185" s="140"/>
      <c r="G185" s="140"/>
      <c r="H185" s="140"/>
      <c r="I185" s="140"/>
      <c r="J185" s="140"/>
      <c r="K185" s="140"/>
      <c r="L185" s="140"/>
      <c r="M185" s="140"/>
      <c r="N185" s="140"/>
      <c r="O185" s="140"/>
      <c r="P185" s="140"/>
      <c r="Q185" s="140"/>
      <c r="R185" s="140"/>
      <c r="S185" s="150"/>
      <c r="T185" s="150"/>
      <c r="U185" s="140"/>
      <c r="V185" s="140"/>
      <c r="W185" s="140"/>
      <c r="X185" s="140"/>
      <c r="Y185" s="140"/>
      <c r="Z185" s="140"/>
      <c r="AA185" s="140"/>
      <c r="AB185" s="140"/>
      <c r="AC185" s="140"/>
      <c r="AD185" s="140"/>
      <c r="AE185" s="140"/>
      <c r="AF185" s="140"/>
      <c r="AG185" s="140"/>
      <c r="AH185" s="140"/>
      <c r="AI185" s="140"/>
      <c r="AJ185" s="140"/>
      <c r="AK185" s="140"/>
      <c r="AL185" s="140"/>
      <c r="AM185" s="140"/>
      <c r="AN185" s="140"/>
      <c r="AO185" s="140"/>
      <c r="AP185" s="140"/>
      <c r="AQ185" s="140"/>
      <c r="AR185" s="140"/>
      <c r="AS185" s="140"/>
    </row>
    <row r="186">
      <c r="A186" s="149"/>
      <c r="B186" s="140"/>
      <c r="C186" s="140"/>
      <c r="D186" s="140"/>
      <c r="E186" s="140"/>
      <c r="F186" s="140"/>
      <c r="G186" s="140"/>
      <c r="H186" s="140"/>
      <c r="I186" s="140"/>
      <c r="J186" s="140"/>
      <c r="K186" s="140"/>
      <c r="L186" s="140"/>
      <c r="M186" s="140"/>
      <c r="N186" s="140"/>
      <c r="O186" s="140"/>
      <c r="P186" s="140"/>
      <c r="Q186" s="140"/>
      <c r="R186" s="140"/>
      <c r="S186" s="150"/>
      <c r="T186" s="150"/>
      <c r="U186" s="140"/>
      <c r="V186" s="140"/>
      <c r="W186" s="140"/>
      <c r="X186" s="140"/>
      <c r="Y186" s="140"/>
      <c r="Z186" s="140"/>
      <c r="AA186" s="140"/>
      <c r="AB186" s="140"/>
      <c r="AC186" s="140"/>
      <c r="AD186" s="140"/>
      <c r="AE186" s="140"/>
      <c r="AF186" s="140"/>
      <c r="AG186" s="140"/>
      <c r="AH186" s="140"/>
      <c r="AI186" s="140"/>
      <c r="AJ186" s="140"/>
      <c r="AK186" s="140"/>
      <c r="AL186" s="140"/>
      <c r="AM186" s="140"/>
      <c r="AN186" s="140"/>
      <c r="AO186" s="140"/>
      <c r="AP186" s="140"/>
      <c r="AQ186" s="140"/>
      <c r="AR186" s="140"/>
      <c r="AS186" s="140"/>
    </row>
    <row r="187">
      <c r="A187" s="149"/>
      <c r="B187" s="140"/>
      <c r="C187" s="140"/>
      <c r="D187" s="140"/>
      <c r="E187" s="140"/>
      <c r="F187" s="140"/>
      <c r="G187" s="140"/>
      <c r="H187" s="140"/>
      <c r="I187" s="140"/>
      <c r="J187" s="140"/>
      <c r="K187" s="140"/>
      <c r="L187" s="140"/>
      <c r="M187" s="140"/>
      <c r="N187" s="140"/>
      <c r="O187" s="140"/>
      <c r="P187" s="140"/>
      <c r="Q187" s="140"/>
      <c r="R187" s="140"/>
      <c r="S187" s="150"/>
      <c r="T187" s="150"/>
      <c r="U187" s="140"/>
      <c r="V187" s="140"/>
      <c r="W187" s="140"/>
      <c r="X187" s="140"/>
      <c r="Y187" s="140"/>
      <c r="Z187" s="140"/>
      <c r="AA187" s="140"/>
      <c r="AB187" s="140"/>
      <c r="AC187" s="140"/>
      <c r="AD187" s="140"/>
      <c r="AE187" s="140"/>
      <c r="AF187" s="140"/>
      <c r="AG187" s="140"/>
      <c r="AH187" s="140"/>
      <c r="AI187" s="140"/>
      <c r="AJ187" s="140"/>
      <c r="AK187" s="140"/>
      <c r="AL187" s="140"/>
      <c r="AM187" s="140"/>
      <c r="AN187" s="140"/>
      <c r="AO187" s="140"/>
      <c r="AP187" s="140"/>
      <c r="AQ187" s="140"/>
      <c r="AR187" s="140"/>
      <c r="AS187" s="140"/>
    </row>
    <row r="188">
      <c r="A188" s="149"/>
      <c r="B188" s="140"/>
      <c r="C188" s="140"/>
      <c r="D188" s="140"/>
      <c r="E188" s="140"/>
      <c r="F188" s="140"/>
      <c r="G188" s="140"/>
      <c r="H188" s="140"/>
      <c r="I188" s="140"/>
      <c r="J188" s="140"/>
      <c r="K188" s="140"/>
      <c r="L188" s="140"/>
      <c r="M188" s="140"/>
      <c r="N188" s="140"/>
      <c r="O188" s="140"/>
      <c r="P188" s="140"/>
      <c r="Q188" s="140"/>
      <c r="R188" s="140"/>
      <c r="S188" s="150"/>
      <c r="T188" s="150"/>
      <c r="U188" s="140"/>
      <c r="V188" s="140"/>
      <c r="W188" s="140"/>
      <c r="X188" s="140"/>
      <c r="Y188" s="140"/>
      <c r="Z188" s="140"/>
      <c r="AA188" s="140"/>
      <c r="AB188" s="140"/>
      <c r="AC188" s="140"/>
      <c r="AD188" s="140"/>
      <c r="AE188" s="140"/>
      <c r="AF188" s="140"/>
      <c r="AG188" s="140"/>
      <c r="AH188" s="140"/>
      <c r="AI188" s="140"/>
      <c r="AJ188" s="140"/>
      <c r="AK188" s="140"/>
      <c r="AL188" s="140"/>
      <c r="AM188" s="140"/>
      <c r="AN188" s="140"/>
      <c r="AO188" s="140"/>
      <c r="AP188" s="140"/>
      <c r="AQ188" s="140"/>
      <c r="AR188" s="140"/>
      <c r="AS188" s="140"/>
    </row>
    <row r="189">
      <c r="A189" s="149"/>
      <c r="B189" s="140"/>
      <c r="C189" s="140"/>
      <c r="D189" s="140"/>
      <c r="E189" s="140"/>
      <c r="F189" s="140"/>
      <c r="G189" s="140"/>
      <c r="H189" s="140"/>
      <c r="I189" s="140"/>
      <c r="J189" s="140"/>
      <c r="K189" s="140"/>
      <c r="L189" s="140"/>
      <c r="M189" s="140"/>
      <c r="N189" s="140"/>
      <c r="O189" s="140"/>
      <c r="P189" s="140"/>
      <c r="Q189" s="140"/>
      <c r="R189" s="140"/>
      <c r="S189" s="150"/>
      <c r="T189" s="150"/>
      <c r="U189" s="140"/>
      <c r="V189" s="140"/>
      <c r="W189" s="140"/>
      <c r="X189" s="140"/>
      <c r="Y189" s="140"/>
      <c r="Z189" s="140"/>
      <c r="AA189" s="140"/>
      <c r="AB189" s="140"/>
      <c r="AC189" s="140"/>
      <c r="AD189" s="140"/>
      <c r="AE189" s="140"/>
      <c r="AF189" s="140"/>
      <c r="AG189" s="140"/>
      <c r="AH189" s="140"/>
      <c r="AI189" s="140"/>
      <c r="AJ189" s="140"/>
      <c r="AK189" s="140"/>
      <c r="AL189" s="140"/>
      <c r="AM189" s="140"/>
      <c r="AN189" s="140"/>
      <c r="AO189" s="140"/>
      <c r="AP189" s="140"/>
      <c r="AQ189" s="140"/>
      <c r="AR189" s="140"/>
      <c r="AS189" s="140"/>
    </row>
    <row r="190">
      <c r="A190" s="149"/>
      <c r="B190" s="140"/>
      <c r="C190" s="140"/>
      <c r="D190" s="140"/>
      <c r="E190" s="140"/>
      <c r="F190" s="140"/>
      <c r="G190" s="140"/>
      <c r="H190" s="140"/>
      <c r="I190" s="140"/>
      <c r="J190" s="140"/>
      <c r="K190" s="140"/>
      <c r="L190" s="140"/>
      <c r="M190" s="140"/>
      <c r="N190" s="140"/>
      <c r="O190" s="140"/>
      <c r="P190" s="140"/>
      <c r="Q190" s="140"/>
      <c r="R190" s="140"/>
      <c r="S190" s="150"/>
      <c r="T190" s="150"/>
      <c r="U190" s="140"/>
      <c r="V190" s="140"/>
      <c r="W190" s="140"/>
      <c r="X190" s="140"/>
      <c r="Y190" s="140"/>
      <c r="Z190" s="140"/>
      <c r="AA190" s="140"/>
      <c r="AB190" s="140"/>
      <c r="AC190" s="140"/>
      <c r="AD190" s="140"/>
      <c r="AE190" s="140"/>
      <c r="AF190" s="140"/>
      <c r="AG190" s="140"/>
      <c r="AH190" s="140"/>
      <c r="AI190" s="140"/>
      <c r="AJ190" s="140"/>
      <c r="AK190" s="140"/>
      <c r="AL190" s="140"/>
      <c r="AM190" s="140"/>
      <c r="AN190" s="140"/>
      <c r="AO190" s="140"/>
      <c r="AP190" s="140"/>
      <c r="AQ190" s="140"/>
      <c r="AR190" s="140"/>
      <c r="AS190" s="140"/>
    </row>
    <row r="191">
      <c r="A191" s="149"/>
      <c r="B191" s="140"/>
      <c r="C191" s="140"/>
      <c r="D191" s="140"/>
      <c r="E191" s="140"/>
      <c r="F191" s="140"/>
      <c r="G191" s="140"/>
      <c r="H191" s="140"/>
      <c r="I191" s="140"/>
      <c r="J191" s="140"/>
      <c r="K191" s="140"/>
      <c r="L191" s="140"/>
      <c r="M191" s="140"/>
      <c r="N191" s="140"/>
      <c r="O191" s="140"/>
      <c r="P191" s="140"/>
      <c r="Q191" s="140"/>
      <c r="R191" s="140"/>
      <c r="S191" s="150"/>
      <c r="T191" s="150"/>
      <c r="U191" s="140"/>
      <c r="V191" s="140"/>
      <c r="W191" s="140"/>
      <c r="X191" s="140"/>
      <c r="Y191" s="140"/>
      <c r="Z191" s="140"/>
      <c r="AA191" s="140"/>
      <c r="AB191" s="140"/>
      <c r="AC191" s="140"/>
      <c r="AD191" s="140"/>
      <c r="AE191" s="140"/>
      <c r="AF191" s="140"/>
      <c r="AG191" s="140"/>
      <c r="AH191" s="140"/>
      <c r="AI191" s="140"/>
      <c r="AJ191" s="140"/>
      <c r="AK191" s="140"/>
      <c r="AL191" s="140"/>
      <c r="AM191" s="140"/>
      <c r="AN191" s="140"/>
      <c r="AO191" s="140"/>
      <c r="AP191" s="140"/>
      <c r="AQ191" s="140"/>
      <c r="AR191" s="140"/>
      <c r="AS191" s="140"/>
    </row>
    <row r="192">
      <c r="A192" s="149"/>
      <c r="B192" s="140"/>
      <c r="C192" s="140"/>
      <c r="D192" s="140"/>
      <c r="E192" s="140"/>
      <c r="F192" s="140"/>
      <c r="G192" s="140"/>
      <c r="H192" s="140"/>
      <c r="I192" s="140"/>
      <c r="J192" s="140"/>
      <c r="K192" s="140"/>
      <c r="L192" s="140"/>
      <c r="M192" s="140"/>
      <c r="N192" s="140"/>
      <c r="O192" s="140"/>
      <c r="P192" s="140"/>
      <c r="Q192" s="140"/>
      <c r="R192" s="140"/>
      <c r="S192" s="150"/>
      <c r="T192" s="150"/>
      <c r="U192" s="140"/>
      <c r="V192" s="140"/>
      <c r="W192" s="140"/>
      <c r="X192" s="140"/>
      <c r="Y192" s="140"/>
      <c r="Z192" s="140"/>
      <c r="AA192" s="140"/>
      <c r="AB192" s="140"/>
      <c r="AC192" s="140"/>
      <c r="AD192" s="140"/>
      <c r="AE192" s="140"/>
      <c r="AF192" s="140"/>
      <c r="AG192" s="140"/>
      <c r="AH192" s="140"/>
      <c r="AI192" s="140"/>
      <c r="AJ192" s="140"/>
      <c r="AK192" s="140"/>
      <c r="AL192" s="140"/>
      <c r="AM192" s="140"/>
      <c r="AN192" s="140"/>
      <c r="AO192" s="140"/>
      <c r="AP192" s="140"/>
      <c r="AQ192" s="140"/>
      <c r="AR192" s="140"/>
      <c r="AS192" s="140"/>
    </row>
    <row r="193">
      <c r="A193" s="149"/>
      <c r="B193" s="140"/>
      <c r="C193" s="140"/>
      <c r="D193" s="140"/>
      <c r="E193" s="140"/>
      <c r="F193" s="140"/>
      <c r="G193" s="140"/>
      <c r="H193" s="140"/>
      <c r="I193" s="140"/>
      <c r="J193" s="140"/>
      <c r="K193" s="140"/>
      <c r="L193" s="140"/>
      <c r="M193" s="140"/>
      <c r="N193" s="140"/>
      <c r="O193" s="140"/>
      <c r="P193" s="140"/>
      <c r="Q193" s="140"/>
      <c r="R193" s="140"/>
      <c r="S193" s="150"/>
      <c r="T193" s="150"/>
      <c r="U193" s="140"/>
      <c r="V193" s="140"/>
      <c r="W193" s="140"/>
      <c r="X193" s="140"/>
      <c r="Y193" s="140"/>
      <c r="Z193" s="140"/>
      <c r="AA193" s="140"/>
      <c r="AB193" s="140"/>
      <c r="AC193" s="140"/>
      <c r="AD193" s="140"/>
      <c r="AE193" s="140"/>
      <c r="AF193" s="140"/>
      <c r="AG193" s="140"/>
      <c r="AH193" s="140"/>
      <c r="AI193" s="140"/>
      <c r="AJ193" s="140"/>
      <c r="AK193" s="140"/>
      <c r="AL193" s="140"/>
      <c r="AM193" s="140"/>
      <c r="AN193" s="140"/>
      <c r="AO193" s="140"/>
      <c r="AP193" s="140"/>
      <c r="AQ193" s="140"/>
      <c r="AR193" s="140"/>
      <c r="AS193" s="140"/>
    </row>
    <row r="194">
      <c r="A194" s="149"/>
      <c r="B194" s="140"/>
      <c r="C194" s="140"/>
      <c r="D194" s="140"/>
      <c r="E194" s="140"/>
      <c r="F194" s="140"/>
      <c r="G194" s="140"/>
      <c r="H194" s="140"/>
      <c r="I194" s="140"/>
      <c r="J194" s="140"/>
      <c r="K194" s="140"/>
      <c r="L194" s="140"/>
      <c r="M194" s="140"/>
      <c r="N194" s="140"/>
      <c r="O194" s="140"/>
      <c r="P194" s="140"/>
      <c r="Q194" s="140"/>
      <c r="R194" s="140"/>
      <c r="S194" s="150"/>
      <c r="T194" s="150"/>
      <c r="U194" s="140"/>
      <c r="V194" s="140"/>
      <c r="W194" s="140"/>
      <c r="X194" s="140"/>
      <c r="Y194" s="140"/>
      <c r="Z194" s="140"/>
      <c r="AA194" s="140"/>
      <c r="AB194" s="140"/>
      <c r="AC194" s="140"/>
      <c r="AD194" s="140"/>
      <c r="AE194" s="140"/>
      <c r="AF194" s="140"/>
      <c r="AG194" s="140"/>
      <c r="AH194" s="140"/>
      <c r="AI194" s="140"/>
      <c r="AJ194" s="140"/>
      <c r="AK194" s="140"/>
      <c r="AL194" s="140"/>
      <c r="AM194" s="140"/>
      <c r="AN194" s="140"/>
      <c r="AO194" s="140"/>
      <c r="AP194" s="140"/>
      <c r="AQ194" s="140"/>
      <c r="AR194" s="140"/>
      <c r="AS194" s="140"/>
    </row>
    <row r="195">
      <c r="A195" s="149"/>
      <c r="B195" s="140"/>
      <c r="C195" s="140"/>
      <c r="D195" s="140"/>
      <c r="E195" s="140"/>
      <c r="F195" s="140"/>
      <c r="G195" s="140"/>
      <c r="H195" s="140"/>
      <c r="I195" s="140"/>
      <c r="J195" s="140"/>
      <c r="K195" s="140"/>
      <c r="L195" s="140"/>
      <c r="M195" s="140"/>
      <c r="N195" s="140"/>
      <c r="O195" s="140"/>
      <c r="P195" s="140"/>
      <c r="Q195" s="140"/>
      <c r="R195" s="140"/>
      <c r="S195" s="150"/>
      <c r="T195" s="150"/>
      <c r="U195" s="140"/>
      <c r="V195" s="140"/>
      <c r="W195" s="140"/>
      <c r="X195" s="140"/>
      <c r="Y195" s="140"/>
      <c r="Z195" s="140"/>
      <c r="AA195" s="140"/>
      <c r="AB195" s="140"/>
      <c r="AC195" s="140"/>
      <c r="AD195" s="140"/>
      <c r="AE195" s="140"/>
      <c r="AF195" s="140"/>
      <c r="AG195" s="140"/>
      <c r="AH195" s="140"/>
      <c r="AI195" s="140"/>
      <c r="AJ195" s="140"/>
      <c r="AK195" s="140"/>
      <c r="AL195" s="140"/>
      <c r="AM195" s="140"/>
      <c r="AN195" s="140"/>
      <c r="AO195" s="140"/>
      <c r="AP195" s="140"/>
      <c r="AQ195" s="140"/>
      <c r="AR195" s="140"/>
      <c r="AS195" s="140"/>
    </row>
    <row r="196">
      <c r="A196" s="149"/>
      <c r="B196" s="140"/>
      <c r="C196" s="140"/>
      <c r="D196" s="140"/>
      <c r="E196" s="140"/>
      <c r="F196" s="140"/>
      <c r="G196" s="140"/>
      <c r="H196" s="140"/>
      <c r="I196" s="140"/>
      <c r="J196" s="140"/>
      <c r="K196" s="140"/>
      <c r="L196" s="140"/>
      <c r="M196" s="140"/>
      <c r="N196" s="140"/>
      <c r="O196" s="140"/>
      <c r="P196" s="140"/>
      <c r="Q196" s="140"/>
      <c r="R196" s="140"/>
      <c r="S196" s="150"/>
      <c r="T196" s="150"/>
      <c r="U196" s="140"/>
      <c r="V196" s="140"/>
      <c r="W196" s="140"/>
      <c r="X196" s="140"/>
      <c r="Y196" s="140"/>
      <c r="Z196" s="140"/>
      <c r="AA196" s="140"/>
      <c r="AB196" s="140"/>
      <c r="AC196" s="140"/>
      <c r="AD196" s="140"/>
      <c r="AE196" s="140"/>
      <c r="AF196" s="140"/>
      <c r="AG196" s="140"/>
      <c r="AH196" s="140"/>
      <c r="AI196" s="140"/>
      <c r="AJ196" s="140"/>
      <c r="AK196" s="140"/>
      <c r="AL196" s="140"/>
      <c r="AM196" s="140"/>
      <c r="AN196" s="140"/>
      <c r="AO196" s="140"/>
      <c r="AP196" s="140"/>
      <c r="AQ196" s="140"/>
      <c r="AR196" s="140"/>
      <c r="AS196" s="140"/>
    </row>
    <row r="197">
      <c r="A197" s="149"/>
      <c r="B197" s="140"/>
      <c r="C197" s="140"/>
      <c r="D197" s="140"/>
      <c r="E197" s="140"/>
      <c r="F197" s="140"/>
      <c r="G197" s="140"/>
      <c r="H197" s="140"/>
      <c r="I197" s="140"/>
      <c r="J197" s="140"/>
      <c r="K197" s="140"/>
      <c r="L197" s="140"/>
      <c r="M197" s="140"/>
      <c r="N197" s="140"/>
      <c r="O197" s="140"/>
      <c r="P197" s="140"/>
      <c r="Q197" s="140"/>
      <c r="R197" s="140"/>
      <c r="S197" s="150"/>
      <c r="T197" s="150"/>
      <c r="U197" s="140"/>
      <c r="V197" s="140"/>
      <c r="W197" s="140"/>
      <c r="X197" s="140"/>
      <c r="Y197" s="140"/>
      <c r="Z197" s="140"/>
      <c r="AA197" s="140"/>
      <c r="AB197" s="140"/>
      <c r="AC197" s="140"/>
      <c r="AD197" s="140"/>
      <c r="AE197" s="140"/>
      <c r="AF197" s="140"/>
      <c r="AG197" s="140"/>
      <c r="AH197" s="140"/>
      <c r="AI197" s="140"/>
      <c r="AJ197" s="140"/>
      <c r="AK197" s="140"/>
      <c r="AL197" s="140"/>
      <c r="AM197" s="140"/>
      <c r="AN197" s="140"/>
      <c r="AO197" s="140"/>
      <c r="AP197" s="140"/>
      <c r="AQ197" s="140"/>
      <c r="AR197" s="140"/>
      <c r="AS197" s="140"/>
    </row>
    <row r="198">
      <c r="A198" s="149"/>
      <c r="B198" s="140"/>
      <c r="C198" s="140"/>
      <c r="D198" s="140"/>
      <c r="E198" s="140"/>
      <c r="F198" s="140"/>
      <c r="G198" s="140"/>
      <c r="H198" s="140"/>
      <c r="I198" s="140"/>
      <c r="J198" s="140"/>
      <c r="K198" s="140"/>
      <c r="L198" s="140"/>
      <c r="M198" s="140"/>
      <c r="N198" s="140"/>
      <c r="O198" s="140"/>
      <c r="P198" s="140"/>
      <c r="Q198" s="140"/>
      <c r="R198" s="140"/>
      <c r="S198" s="150"/>
      <c r="T198" s="150"/>
      <c r="U198" s="140"/>
      <c r="V198" s="140"/>
      <c r="W198" s="140"/>
      <c r="X198" s="140"/>
      <c r="Y198" s="140"/>
      <c r="Z198" s="140"/>
      <c r="AA198" s="140"/>
      <c r="AB198" s="140"/>
      <c r="AC198" s="140"/>
      <c r="AD198" s="140"/>
      <c r="AE198" s="140"/>
      <c r="AF198" s="140"/>
      <c r="AG198" s="140"/>
      <c r="AH198" s="140"/>
      <c r="AI198" s="140"/>
      <c r="AJ198" s="140"/>
      <c r="AK198" s="140"/>
      <c r="AL198" s="140"/>
      <c r="AM198" s="140"/>
      <c r="AN198" s="140"/>
      <c r="AO198" s="140"/>
      <c r="AP198" s="140"/>
      <c r="AQ198" s="140"/>
      <c r="AR198" s="140"/>
      <c r="AS198" s="140"/>
    </row>
    <row r="199">
      <c r="A199" s="149"/>
      <c r="B199" s="140"/>
      <c r="C199" s="140"/>
      <c r="D199" s="140"/>
      <c r="E199" s="140"/>
      <c r="F199" s="140"/>
      <c r="G199" s="140"/>
      <c r="H199" s="140"/>
      <c r="I199" s="140"/>
      <c r="J199" s="140"/>
      <c r="K199" s="140"/>
      <c r="L199" s="140"/>
      <c r="M199" s="140"/>
      <c r="N199" s="140"/>
      <c r="O199" s="140"/>
      <c r="P199" s="140"/>
      <c r="Q199" s="140"/>
      <c r="R199" s="140"/>
      <c r="S199" s="150"/>
      <c r="T199" s="150"/>
      <c r="U199" s="140"/>
      <c r="V199" s="140"/>
      <c r="W199" s="140"/>
      <c r="X199" s="140"/>
      <c r="Y199" s="140"/>
      <c r="Z199" s="140"/>
      <c r="AA199" s="140"/>
      <c r="AB199" s="140"/>
      <c r="AC199" s="140"/>
      <c r="AD199" s="140"/>
      <c r="AE199" s="140"/>
      <c r="AF199" s="140"/>
      <c r="AG199" s="140"/>
      <c r="AH199" s="140"/>
      <c r="AI199" s="140"/>
      <c r="AJ199" s="140"/>
      <c r="AK199" s="140"/>
      <c r="AL199" s="140"/>
      <c r="AM199" s="140"/>
      <c r="AN199" s="140"/>
      <c r="AO199" s="140"/>
      <c r="AP199" s="140"/>
      <c r="AQ199" s="140"/>
      <c r="AR199" s="140"/>
      <c r="AS199" s="140"/>
    </row>
    <row r="200">
      <c r="A200" s="149"/>
      <c r="B200" s="140"/>
      <c r="C200" s="140"/>
      <c r="D200" s="140"/>
      <c r="E200" s="140"/>
      <c r="F200" s="140"/>
      <c r="G200" s="140"/>
      <c r="H200" s="140"/>
      <c r="I200" s="140"/>
      <c r="J200" s="140"/>
      <c r="K200" s="140"/>
      <c r="L200" s="140"/>
      <c r="M200" s="140"/>
      <c r="N200" s="140"/>
      <c r="O200" s="140"/>
      <c r="P200" s="140"/>
      <c r="Q200" s="140"/>
      <c r="R200" s="140"/>
      <c r="S200" s="150"/>
      <c r="T200" s="150"/>
      <c r="U200" s="140"/>
      <c r="V200" s="140"/>
      <c r="W200" s="140"/>
      <c r="X200" s="140"/>
      <c r="Y200" s="140"/>
      <c r="Z200" s="140"/>
      <c r="AA200" s="140"/>
      <c r="AB200" s="140"/>
      <c r="AC200" s="140"/>
      <c r="AD200" s="140"/>
      <c r="AE200" s="140"/>
      <c r="AF200" s="140"/>
      <c r="AG200" s="140"/>
      <c r="AH200" s="140"/>
      <c r="AI200" s="140"/>
      <c r="AJ200" s="140"/>
      <c r="AK200" s="140"/>
      <c r="AL200" s="140"/>
      <c r="AM200" s="140"/>
      <c r="AN200" s="140"/>
      <c r="AO200" s="140"/>
      <c r="AP200" s="140"/>
      <c r="AQ200" s="140"/>
      <c r="AR200" s="140"/>
      <c r="AS200" s="140"/>
    </row>
    <row r="201">
      <c r="A201" s="149"/>
      <c r="B201" s="140"/>
      <c r="C201" s="140"/>
      <c r="D201" s="140"/>
      <c r="E201" s="140"/>
      <c r="F201" s="140"/>
      <c r="G201" s="140"/>
      <c r="H201" s="140"/>
      <c r="I201" s="140"/>
      <c r="J201" s="140"/>
      <c r="K201" s="140"/>
      <c r="L201" s="140"/>
      <c r="M201" s="140"/>
      <c r="N201" s="140"/>
      <c r="O201" s="140"/>
      <c r="P201" s="140"/>
      <c r="Q201" s="140"/>
      <c r="R201" s="140"/>
      <c r="S201" s="150"/>
      <c r="T201" s="150"/>
      <c r="U201" s="140"/>
      <c r="V201" s="140"/>
      <c r="W201" s="140"/>
      <c r="X201" s="140"/>
      <c r="Y201" s="140"/>
      <c r="Z201" s="140"/>
      <c r="AA201" s="140"/>
      <c r="AB201" s="140"/>
      <c r="AC201" s="140"/>
      <c r="AD201" s="140"/>
      <c r="AE201" s="140"/>
      <c r="AF201" s="140"/>
      <c r="AG201" s="140"/>
      <c r="AH201" s="140"/>
      <c r="AI201" s="140"/>
      <c r="AJ201" s="140"/>
      <c r="AK201" s="140"/>
      <c r="AL201" s="140"/>
      <c r="AM201" s="140"/>
      <c r="AN201" s="140"/>
      <c r="AO201" s="140"/>
      <c r="AP201" s="140"/>
      <c r="AQ201" s="140"/>
      <c r="AR201" s="140"/>
      <c r="AS201" s="140"/>
    </row>
    <row r="202">
      <c r="A202" s="149"/>
      <c r="B202" s="140"/>
      <c r="C202" s="140"/>
      <c r="D202" s="140"/>
      <c r="E202" s="140"/>
      <c r="F202" s="140"/>
      <c r="G202" s="140"/>
      <c r="H202" s="140"/>
      <c r="I202" s="140"/>
      <c r="J202" s="140"/>
      <c r="K202" s="140"/>
      <c r="L202" s="140"/>
      <c r="M202" s="140"/>
      <c r="N202" s="140"/>
      <c r="O202" s="140"/>
      <c r="P202" s="140"/>
      <c r="Q202" s="140"/>
      <c r="R202" s="140"/>
      <c r="S202" s="150"/>
      <c r="T202" s="150"/>
      <c r="U202" s="140"/>
      <c r="V202" s="140"/>
      <c r="W202" s="140"/>
      <c r="X202" s="140"/>
      <c r="Y202" s="140"/>
      <c r="Z202" s="140"/>
      <c r="AA202" s="140"/>
      <c r="AB202" s="140"/>
      <c r="AC202" s="140"/>
      <c r="AD202" s="140"/>
      <c r="AE202" s="140"/>
      <c r="AF202" s="140"/>
      <c r="AG202" s="140"/>
      <c r="AH202" s="140"/>
      <c r="AI202" s="140"/>
      <c r="AJ202" s="140"/>
      <c r="AK202" s="140"/>
      <c r="AL202" s="140"/>
      <c r="AM202" s="140"/>
      <c r="AN202" s="140"/>
      <c r="AO202" s="140"/>
      <c r="AP202" s="140"/>
      <c r="AQ202" s="140"/>
      <c r="AR202" s="140"/>
      <c r="AS202" s="140"/>
    </row>
    <row r="203">
      <c r="A203" s="149"/>
      <c r="B203" s="140"/>
      <c r="C203" s="140"/>
      <c r="D203" s="140"/>
      <c r="E203" s="140"/>
      <c r="F203" s="140"/>
      <c r="G203" s="140"/>
      <c r="H203" s="140"/>
      <c r="I203" s="140"/>
      <c r="J203" s="140"/>
      <c r="K203" s="140"/>
      <c r="L203" s="140"/>
      <c r="M203" s="140"/>
      <c r="N203" s="140"/>
      <c r="O203" s="140"/>
      <c r="P203" s="140"/>
      <c r="Q203" s="140"/>
      <c r="R203" s="140"/>
      <c r="S203" s="150"/>
      <c r="T203" s="150"/>
      <c r="U203" s="140"/>
      <c r="V203" s="140"/>
      <c r="W203" s="140"/>
      <c r="X203" s="140"/>
      <c r="Y203" s="140"/>
      <c r="Z203" s="140"/>
      <c r="AA203" s="140"/>
      <c r="AB203" s="140"/>
      <c r="AC203" s="140"/>
      <c r="AD203" s="140"/>
      <c r="AE203" s="140"/>
      <c r="AF203" s="140"/>
      <c r="AG203" s="140"/>
      <c r="AH203" s="140"/>
      <c r="AI203" s="140"/>
      <c r="AJ203" s="140"/>
      <c r="AK203" s="140"/>
      <c r="AL203" s="140"/>
      <c r="AM203" s="140"/>
      <c r="AN203" s="140"/>
      <c r="AO203" s="140"/>
      <c r="AP203" s="140"/>
      <c r="AQ203" s="140"/>
      <c r="AR203" s="140"/>
      <c r="AS203" s="140"/>
    </row>
    <row r="204">
      <c r="A204" s="149"/>
      <c r="B204" s="140"/>
      <c r="C204" s="140"/>
      <c r="D204" s="140"/>
      <c r="E204" s="140"/>
      <c r="F204" s="140"/>
      <c r="G204" s="140"/>
      <c r="H204" s="140"/>
      <c r="I204" s="140"/>
      <c r="J204" s="140"/>
      <c r="K204" s="140"/>
      <c r="L204" s="140"/>
      <c r="M204" s="140"/>
      <c r="N204" s="140"/>
      <c r="O204" s="140"/>
      <c r="P204" s="140"/>
      <c r="Q204" s="140"/>
      <c r="R204" s="140"/>
      <c r="S204" s="150"/>
      <c r="T204" s="150"/>
      <c r="U204" s="140"/>
      <c r="V204" s="140"/>
      <c r="W204" s="140"/>
      <c r="X204" s="140"/>
      <c r="Y204" s="140"/>
      <c r="Z204" s="140"/>
      <c r="AA204" s="140"/>
      <c r="AB204" s="140"/>
      <c r="AC204" s="140"/>
      <c r="AD204" s="140"/>
      <c r="AE204" s="140"/>
      <c r="AF204" s="140"/>
      <c r="AG204" s="140"/>
      <c r="AH204" s="140"/>
      <c r="AI204" s="140"/>
      <c r="AJ204" s="140"/>
      <c r="AK204" s="140"/>
      <c r="AL204" s="140"/>
      <c r="AM204" s="140"/>
      <c r="AN204" s="140"/>
      <c r="AO204" s="140"/>
      <c r="AP204" s="140"/>
      <c r="AQ204" s="140"/>
      <c r="AR204" s="140"/>
      <c r="AS204" s="140"/>
    </row>
    <row r="205">
      <c r="A205" s="149"/>
      <c r="B205" s="140"/>
      <c r="C205" s="140"/>
      <c r="D205" s="140"/>
      <c r="E205" s="140"/>
      <c r="F205" s="140"/>
      <c r="G205" s="140"/>
      <c r="H205" s="140"/>
      <c r="I205" s="140"/>
      <c r="J205" s="140"/>
      <c r="K205" s="140"/>
      <c r="L205" s="140"/>
      <c r="M205" s="140"/>
      <c r="N205" s="140"/>
      <c r="O205" s="140"/>
      <c r="P205" s="140"/>
      <c r="Q205" s="140"/>
      <c r="R205" s="140"/>
      <c r="S205" s="150"/>
      <c r="T205" s="150"/>
      <c r="U205" s="140"/>
      <c r="V205" s="140"/>
      <c r="W205" s="140"/>
      <c r="X205" s="140"/>
      <c r="Y205" s="140"/>
      <c r="Z205" s="140"/>
      <c r="AA205" s="140"/>
      <c r="AB205" s="140"/>
      <c r="AC205" s="140"/>
      <c r="AD205" s="140"/>
      <c r="AE205" s="140"/>
      <c r="AF205" s="140"/>
      <c r="AG205" s="140"/>
      <c r="AH205" s="140"/>
      <c r="AI205" s="140"/>
      <c r="AJ205" s="140"/>
      <c r="AK205" s="140"/>
      <c r="AL205" s="140"/>
      <c r="AM205" s="140"/>
      <c r="AN205" s="140"/>
      <c r="AO205" s="140"/>
      <c r="AP205" s="140"/>
      <c r="AQ205" s="140"/>
      <c r="AR205" s="140"/>
      <c r="AS205" s="140"/>
    </row>
    <row r="206">
      <c r="A206" s="149"/>
      <c r="B206" s="140"/>
      <c r="C206" s="140"/>
      <c r="D206" s="140"/>
      <c r="E206" s="140"/>
      <c r="F206" s="140"/>
      <c r="G206" s="140"/>
      <c r="H206" s="140"/>
      <c r="I206" s="140"/>
      <c r="J206" s="140"/>
      <c r="K206" s="140"/>
      <c r="L206" s="140"/>
      <c r="M206" s="140"/>
      <c r="N206" s="140"/>
      <c r="O206" s="140"/>
      <c r="P206" s="140"/>
      <c r="Q206" s="140"/>
      <c r="R206" s="140"/>
      <c r="S206" s="150"/>
      <c r="T206" s="150"/>
      <c r="U206" s="140"/>
      <c r="V206" s="140"/>
      <c r="W206" s="140"/>
      <c r="X206" s="140"/>
      <c r="Y206" s="140"/>
      <c r="Z206" s="140"/>
      <c r="AA206" s="140"/>
      <c r="AB206" s="140"/>
      <c r="AC206" s="140"/>
      <c r="AD206" s="140"/>
      <c r="AE206" s="140"/>
      <c r="AF206" s="140"/>
      <c r="AG206" s="140"/>
      <c r="AH206" s="140"/>
      <c r="AI206" s="140"/>
      <c r="AJ206" s="140"/>
      <c r="AK206" s="140"/>
      <c r="AL206" s="140"/>
      <c r="AM206" s="140"/>
      <c r="AN206" s="140"/>
      <c r="AO206" s="140"/>
      <c r="AP206" s="140"/>
      <c r="AQ206" s="140"/>
      <c r="AR206" s="140"/>
      <c r="AS206" s="140"/>
    </row>
    <row r="207">
      <c r="A207" s="149"/>
      <c r="B207" s="140"/>
      <c r="C207" s="140"/>
      <c r="D207" s="140"/>
      <c r="E207" s="140"/>
      <c r="F207" s="140"/>
      <c r="G207" s="140"/>
      <c r="H207" s="140"/>
      <c r="I207" s="140"/>
      <c r="J207" s="140"/>
      <c r="K207" s="140"/>
      <c r="L207" s="140"/>
      <c r="M207" s="140"/>
      <c r="N207" s="140"/>
      <c r="O207" s="140"/>
      <c r="P207" s="140"/>
      <c r="Q207" s="140"/>
      <c r="R207" s="140"/>
      <c r="S207" s="150"/>
      <c r="T207" s="150"/>
      <c r="U207" s="140"/>
      <c r="V207" s="140"/>
      <c r="W207" s="140"/>
      <c r="X207" s="140"/>
      <c r="Y207" s="140"/>
      <c r="Z207" s="140"/>
      <c r="AA207" s="140"/>
      <c r="AB207" s="140"/>
      <c r="AC207" s="140"/>
      <c r="AD207" s="140"/>
      <c r="AE207" s="140"/>
      <c r="AF207" s="140"/>
      <c r="AG207" s="140"/>
      <c r="AH207" s="140"/>
      <c r="AI207" s="140"/>
      <c r="AJ207" s="140"/>
      <c r="AK207" s="140"/>
      <c r="AL207" s="140"/>
      <c r="AM207" s="140"/>
      <c r="AN207" s="140"/>
      <c r="AO207" s="140"/>
      <c r="AP207" s="140"/>
      <c r="AQ207" s="140"/>
      <c r="AR207" s="140"/>
      <c r="AS207" s="140"/>
    </row>
    <row r="208">
      <c r="A208" s="149"/>
      <c r="B208" s="140"/>
      <c r="C208" s="140"/>
      <c r="D208" s="140"/>
      <c r="E208" s="140"/>
      <c r="F208" s="140"/>
      <c r="G208" s="140"/>
      <c r="H208" s="140"/>
      <c r="I208" s="140"/>
      <c r="J208" s="140"/>
      <c r="K208" s="140"/>
      <c r="L208" s="140"/>
      <c r="M208" s="140"/>
      <c r="N208" s="140"/>
      <c r="O208" s="140"/>
      <c r="P208" s="140"/>
      <c r="Q208" s="140"/>
      <c r="R208" s="140"/>
      <c r="S208" s="150"/>
      <c r="T208" s="150"/>
      <c r="U208" s="140"/>
      <c r="V208" s="140"/>
      <c r="W208" s="140"/>
      <c r="X208" s="140"/>
      <c r="Y208" s="140"/>
      <c r="Z208" s="140"/>
      <c r="AA208" s="140"/>
      <c r="AB208" s="140"/>
      <c r="AC208" s="140"/>
      <c r="AD208" s="140"/>
      <c r="AE208" s="140"/>
      <c r="AF208" s="140"/>
      <c r="AG208" s="140"/>
      <c r="AH208" s="140"/>
      <c r="AI208" s="140"/>
      <c r="AJ208" s="140"/>
      <c r="AK208" s="140"/>
      <c r="AL208" s="140"/>
      <c r="AM208" s="140"/>
      <c r="AN208" s="140"/>
      <c r="AO208" s="140"/>
      <c r="AP208" s="140"/>
      <c r="AQ208" s="140"/>
      <c r="AR208" s="140"/>
      <c r="AS208" s="140"/>
    </row>
    <row r="209">
      <c r="A209" s="149"/>
      <c r="B209" s="140"/>
      <c r="C209" s="140"/>
      <c r="D209" s="140"/>
      <c r="E209" s="140"/>
      <c r="F209" s="140"/>
      <c r="G209" s="140"/>
      <c r="H209" s="140"/>
      <c r="I209" s="140"/>
      <c r="J209" s="140"/>
      <c r="K209" s="140"/>
      <c r="L209" s="140"/>
      <c r="M209" s="140"/>
      <c r="N209" s="140"/>
      <c r="O209" s="140"/>
      <c r="P209" s="140"/>
      <c r="Q209" s="140"/>
      <c r="R209" s="140"/>
      <c r="S209" s="150"/>
      <c r="T209" s="150"/>
      <c r="U209" s="140"/>
      <c r="V209" s="140"/>
      <c r="W209" s="140"/>
      <c r="X209" s="140"/>
      <c r="Y209" s="140"/>
      <c r="Z209" s="140"/>
      <c r="AA209" s="140"/>
      <c r="AB209" s="140"/>
      <c r="AC209" s="140"/>
      <c r="AD209" s="140"/>
      <c r="AE209" s="140"/>
      <c r="AF209" s="140"/>
      <c r="AG209" s="140"/>
      <c r="AH209" s="140"/>
      <c r="AI209" s="140"/>
      <c r="AJ209" s="140"/>
      <c r="AK209" s="140"/>
      <c r="AL209" s="140"/>
      <c r="AM209" s="140"/>
      <c r="AN209" s="140"/>
      <c r="AO209" s="140"/>
      <c r="AP209" s="140"/>
      <c r="AQ209" s="140"/>
      <c r="AR209" s="140"/>
      <c r="AS209" s="140"/>
    </row>
    <row r="210">
      <c r="A210" s="149"/>
      <c r="B210" s="140"/>
      <c r="C210" s="140"/>
      <c r="D210" s="140"/>
      <c r="E210" s="140"/>
      <c r="F210" s="140"/>
      <c r="G210" s="140"/>
      <c r="H210" s="140"/>
      <c r="I210" s="140"/>
      <c r="J210" s="140"/>
      <c r="K210" s="140"/>
      <c r="L210" s="140"/>
      <c r="M210" s="140"/>
      <c r="N210" s="140"/>
      <c r="O210" s="140"/>
      <c r="P210" s="140"/>
      <c r="Q210" s="140"/>
      <c r="R210" s="140"/>
      <c r="S210" s="150"/>
      <c r="T210" s="150"/>
      <c r="U210" s="140"/>
      <c r="V210" s="140"/>
      <c r="W210" s="140"/>
      <c r="X210" s="140"/>
      <c r="Y210" s="140"/>
      <c r="Z210" s="140"/>
      <c r="AA210" s="140"/>
      <c r="AB210" s="140"/>
      <c r="AC210" s="140"/>
      <c r="AD210" s="140"/>
      <c r="AE210" s="140"/>
      <c r="AF210" s="140"/>
      <c r="AG210" s="140"/>
      <c r="AH210" s="140"/>
      <c r="AI210" s="140"/>
      <c r="AJ210" s="140"/>
      <c r="AK210" s="140"/>
      <c r="AL210" s="140"/>
      <c r="AM210" s="140"/>
      <c r="AN210" s="140"/>
      <c r="AO210" s="140"/>
      <c r="AP210" s="140"/>
      <c r="AQ210" s="140"/>
      <c r="AR210" s="140"/>
      <c r="AS210" s="140"/>
    </row>
    <row r="211">
      <c r="A211" s="149"/>
      <c r="B211" s="140"/>
      <c r="C211" s="140"/>
      <c r="D211" s="140"/>
      <c r="E211" s="140"/>
      <c r="F211" s="140"/>
      <c r="G211" s="140"/>
      <c r="H211" s="140"/>
      <c r="I211" s="140"/>
      <c r="J211" s="140"/>
      <c r="K211" s="140"/>
      <c r="L211" s="140"/>
      <c r="M211" s="140"/>
      <c r="N211" s="140"/>
      <c r="O211" s="140"/>
      <c r="P211" s="140"/>
      <c r="Q211" s="140"/>
      <c r="R211" s="140"/>
      <c r="S211" s="150"/>
      <c r="T211" s="150"/>
      <c r="U211" s="140"/>
      <c r="V211" s="140"/>
      <c r="W211" s="140"/>
      <c r="X211" s="140"/>
      <c r="Y211" s="140"/>
      <c r="Z211" s="140"/>
      <c r="AA211" s="140"/>
      <c r="AB211" s="140"/>
      <c r="AC211" s="140"/>
      <c r="AD211" s="140"/>
      <c r="AE211" s="140"/>
      <c r="AF211" s="140"/>
      <c r="AG211" s="140"/>
      <c r="AH211" s="140"/>
      <c r="AI211" s="140"/>
      <c r="AJ211" s="140"/>
      <c r="AK211" s="140"/>
      <c r="AL211" s="140"/>
      <c r="AM211" s="140"/>
      <c r="AN211" s="140"/>
      <c r="AO211" s="140"/>
      <c r="AP211" s="140"/>
      <c r="AQ211" s="140"/>
      <c r="AR211" s="140"/>
      <c r="AS211" s="140"/>
    </row>
    <row r="212">
      <c r="A212" s="149"/>
      <c r="B212" s="140"/>
      <c r="C212" s="140"/>
      <c r="D212" s="140"/>
      <c r="E212" s="140"/>
      <c r="F212" s="140"/>
      <c r="G212" s="140"/>
      <c r="H212" s="140"/>
      <c r="I212" s="140"/>
      <c r="J212" s="140"/>
      <c r="K212" s="140"/>
      <c r="L212" s="140"/>
      <c r="M212" s="140"/>
      <c r="N212" s="140"/>
      <c r="O212" s="140"/>
      <c r="P212" s="140"/>
      <c r="Q212" s="140"/>
      <c r="R212" s="140"/>
      <c r="S212" s="150"/>
      <c r="T212" s="150"/>
      <c r="U212" s="140"/>
      <c r="V212" s="140"/>
      <c r="W212" s="140"/>
      <c r="X212" s="140"/>
      <c r="Y212" s="140"/>
      <c r="Z212" s="140"/>
      <c r="AA212" s="140"/>
      <c r="AB212" s="140"/>
      <c r="AC212" s="140"/>
      <c r="AD212" s="140"/>
      <c r="AE212" s="140"/>
      <c r="AF212" s="140"/>
      <c r="AG212" s="140"/>
      <c r="AH212" s="140"/>
      <c r="AI212" s="140"/>
      <c r="AJ212" s="140"/>
      <c r="AK212" s="140"/>
      <c r="AL212" s="140"/>
      <c r="AM212" s="140"/>
      <c r="AN212" s="140"/>
      <c r="AO212" s="140"/>
      <c r="AP212" s="140"/>
      <c r="AQ212" s="140"/>
      <c r="AR212" s="140"/>
      <c r="AS212" s="140"/>
    </row>
    <row r="213">
      <c r="A213" s="149"/>
      <c r="B213" s="140"/>
      <c r="C213" s="140"/>
      <c r="D213" s="140"/>
      <c r="E213" s="140"/>
      <c r="F213" s="140"/>
      <c r="G213" s="140"/>
      <c r="H213" s="140"/>
      <c r="I213" s="140"/>
      <c r="J213" s="140"/>
      <c r="K213" s="140"/>
      <c r="L213" s="140"/>
      <c r="M213" s="140"/>
      <c r="N213" s="140"/>
      <c r="O213" s="140"/>
      <c r="P213" s="140"/>
      <c r="Q213" s="140"/>
      <c r="R213" s="140"/>
      <c r="S213" s="150"/>
      <c r="T213" s="150"/>
      <c r="U213" s="140"/>
      <c r="V213" s="140"/>
      <c r="W213" s="140"/>
      <c r="X213" s="140"/>
      <c r="Y213" s="140"/>
      <c r="Z213" s="140"/>
      <c r="AA213" s="140"/>
      <c r="AB213" s="140"/>
      <c r="AC213" s="140"/>
      <c r="AD213" s="140"/>
      <c r="AE213" s="140"/>
      <c r="AF213" s="140"/>
      <c r="AG213" s="140"/>
      <c r="AH213" s="140"/>
      <c r="AI213" s="140"/>
      <c r="AJ213" s="140"/>
      <c r="AK213" s="140"/>
      <c r="AL213" s="140"/>
      <c r="AM213" s="140"/>
      <c r="AN213" s="140"/>
      <c r="AO213" s="140"/>
      <c r="AP213" s="140"/>
      <c r="AQ213" s="140"/>
      <c r="AR213" s="140"/>
      <c r="AS213" s="140"/>
    </row>
    <row r="214">
      <c r="A214" s="149"/>
      <c r="B214" s="140"/>
      <c r="C214" s="140"/>
      <c r="D214" s="140"/>
      <c r="E214" s="140"/>
      <c r="F214" s="140"/>
      <c r="G214" s="140"/>
      <c r="H214" s="140"/>
      <c r="I214" s="140"/>
      <c r="J214" s="140"/>
      <c r="K214" s="140"/>
      <c r="L214" s="140"/>
      <c r="M214" s="140"/>
      <c r="N214" s="140"/>
      <c r="O214" s="140"/>
      <c r="P214" s="140"/>
      <c r="Q214" s="140"/>
      <c r="R214" s="140"/>
      <c r="S214" s="150"/>
      <c r="T214" s="150"/>
      <c r="U214" s="140"/>
      <c r="V214" s="140"/>
      <c r="W214" s="140"/>
      <c r="X214" s="140"/>
      <c r="Y214" s="140"/>
      <c r="Z214" s="140"/>
      <c r="AA214" s="140"/>
      <c r="AB214" s="140"/>
      <c r="AC214" s="140"/>
      <c r="AD214" s="140"/>
      <c r="AE214" s="140"/>
      <c r="AF214" s="140"/>
      <c r="AG214" s="140"/>
      <c r="AH214" s="140"/>
      <c r="AI214" s="140"/>
      <c r="AJ214" s="140"/>
      <c r="AK214" s="140"/>
      <c r="AL214" s="140"/>
      <c r="AM214" s="140"/>
      <c r="AN214" s="140"/>
      <c r="AO214" s="140"/>
      <c r="AP214" s="140"/>
      <c r="AQ214" s="140"/>
      <c r="AR214" s="140"/>
      <c r="AS214" s="140"/>
    </row>
    <row r="215">
      <c r="A215" s="149"/>
      <c r="B215" s="140"/>
      <c r="C215" s="140"/>
      <c r="D215" s="140"/>
      <c r="E215" s="140"/>
      <c r="F215" s="140"/>
      <c r="G215" s="140"/>
      <c r="H215" s="140"/>
      <c r="I215" s="140"/>
      <c r="J215" s="140"/>
      <c r="K215" s="140"/>
      <c r="L215" s="140"/>
      <c r="M215" s="140"/>
      <c r="N215" s="140"/>
      <c r="O215" s="140"/>
      <c r="P215" s="140"/>
      <c r="Q215" s="140"/>
      <c r="R215" s="140"/>
      <c r="S215" s="150"/>
      <c r="T215" s="150"/>
      <c r="U215" s="140"/>
      <c r="V215" s="140"/>
      <c r="W215" s="140"/>
      <c r="X215" s="140"/>
      <c r="Y215" s="140"/>
      <c r="Z215" s="140"/>
      <c r="AA215" s="140"/>
      <c r="AB215" s="140"/>
      <c r="AC215" s="140"/>
      <c r="AD215" s="140"/>
      <c r="AE215" s="140"/>
      <c r="AF215" s="140"/>
      <c r="AG215" s="140"/>
      <c r="AH215" s="140"/>
      <c r="AI215" s="140"/>
      <c r="AJ215" s="140"/>
      <c r="AK215" s="140"/>
      <c r="AL215" s="140"/>
      <c r="AM215" s="140"/>
      <c r="AN215" s="140"/>
      <c r="AO215" s="140"/>
      <c r="AP215" s="140"/>
      <c r="AQ215" s="140"/>
      <c r="AR215" s="140"/>
      <c r="AS215" s="140"/>
    </row>
    <row r="216">
      <c r="A216" s="149"/>
      <c r="B216" s="140"/>
      <c r="C216" s="140"/>
      <c r="D216" s="140"/>
      <c r="E216" s="140"/>
      <c r="F216" s="140"/>
      <c r="G216" s="140"/>
      <c r="H216" s="140"/>
      <c r="I216" s="140"/>
      <c r="J216" s="140"/>
      <c r="K216" s="140"/>
      <c r="L216" s="140"/>
      <c r="M216" s="140"/>
      <c r="N216" s="140"/>
      <c r="O216" s="140"/>
      <c r="P216" s="140"/>
      <c r="Q216" s="140"/>
      <c r="R216" s="140"/>
      <c r="S216" s="150"/>
      <c r="T216" s="150"/>
      <c r="U216" s="140"/>
      <c r="V216" s="140"/>
      <c r="W216" s="140"/>
      <c r="X216" s="140"/>
      <c r="Y216" s="140"/>
      <c r="Z216" s="140"/>
      <c r="AA216" s="140"/>
      <c r="AB216" s="140"/>
      <c r="AC216" s="140"/>
      <c r="AD216" s="140"/>
      <c r="AE216" s="140"/>
      <c r="AF216" s="140"/>
      <c r="AG216" s="140"/>
      <c r="AH216" s="140"/>
      <c r="AI216" s="140"/>
      <c r="AJ216" s="140"/>
      <c r="AK216" s="140"/>
      <c r="AL216" s="140"/>
      <c r="AM216" s="140"/>
      <c r="AN216" s="140"/>
      <c r="AO216" s="140"/>
      <c r="AP216" s="140"/>
      <c r="AQ216" s="140"/>
      <c r="AR216" s="140"/>
      <c r="AS216" s="140"/>
    </row>
    <row r="217">
      <c r="A217" s="149"/>
      <c r="B217" s="140"/>
      <c r="C217" s="140"/>
      <c r="D217" s="140"/>
      <c r="E217" s="140"/>
      <c r="F217" s="140"/>
      <c r="G217" s="140"/>
      <c r="H217" s="140"/>
      <c r="I217" s="140"/>
      <c r="J217" s="140"/>
      <c r="K217" s="140"/>
      <c r="L217" s="140"/>
      <c r="M217" s="140"/>
      <c r="N217" s="140"/>
      <c r="O217" s="140"/>
      <c r="P217" s="140"/>
      <c r="Q217" s="140"/>
      <c r="R217" s="140"/>
      <c r="S217" s="150"/>
      <c r="T217" s="150"/>
      <c r="U217" s="140"/>
      <c r="V217" s="140"/>
      <c r="W217" s="140"/>
      <c r="X217" s="140"/>
      <c r="Y217" s="140"/>
      <c r="Z217" s="140"/>
      <c r="AA217" s="140"/>
      <c r="AB217" s="140"/>
      <c r="AC217" s="140"/>
      <c r="AD217" s="140"/>
      <c r="AE217" s="140"/>
      <c r="AF217" s="140"/>
      <c r="AG217" s="140"/>
      <c r="AH217" s="140"/>
      <c r="AI217" s="140"/>
      <c r="AJ217" s="140"/>
      <c r="AK217" s="140"/>
      <c r="AL217" s="140"/>
      <c r="AM217" s="140"/>
      <c r="AN217" s="140"/>
      <c r="AO217" s="140"/>
      <c r="AP217" s="140"/>
      <c r="AQ217" s="140"/>
      <c r="AR217" s="140"/>
      <c r="AS217" s="140"/>
    </row>
    <row r="218">
      <c r="A218" s="149"/>
      <c r="B218" s="140"/>
      <c r="C218" s="140"/>
      <c r="D218" s="140"/>
      <c r="E218" s="140"/>
      <c r="F218" s="140"/>
      <c r="G218" s="140"/>
      <c r="H218" s="140"/>
      <c r="I218" s="140"/>
      <c r="J218" s="140"/>
      <c r="K218" s="140"/>
      <c r="L218" s="140"/>
      <c r="M218" s="140"/>
      <c r="N218" s="140"/>
      <c r="O218" s="140"/>
      <c r="P218" s="140"/>
      <c r="Q218" s="140"/>
      <c r="R218" s="140"/>
      <c r="S218" s="150"/>
      <c r="T218" s="150"/>
      <c r="U218" s="140"/>
      <c r="V218" s="140"/>
      <c r="W218" s="140"/>
      <c r="X218" s="140"/>
      <c r="Y218" s="140"/>
      <c r="Z218" s="140"/>
      <c r="AA218" s="140"/>
      <c r="AB218" s="140"/>
      <c r="AC218" s="140"/>
      <c r="AD218" s="140"/>
      <c r="AE218" s="140"/>
      <c r="AF218" s="140"/>
      <c r="AG218" s="140"/>
      <c r="AH218" s="140"/>
      <c r="AI218" s="140"/>
      <c r="AJ218" s="140"/>
      <c r="AK218" s="140"/>
      <c r="AL218" s="140"/>
      <c r="AM218" s="140"/>
      <c r="AN218" s="140"/>
      <c r="AO218" s="140"/>
      <c r="AP218" s="140"/>
      <c r="AQ218" s="140"/>
      <c r="AR218" s="140"/>
      <c r="AS218" s="140"/>
    </row>
    <row r="219">
      <c r="A219" s="149"/>
      <c r="B219" s="140"/>
      <c r="C219" s="140"/>
      <c r="D219" s="140"/>
      <c r="E219" s="140"/>
      <c r="F219" s="140"/>
      <c r="G219" s="140"/>
      <c r="H219" s="140"/>
      <c r="I219" s="140"/>
      <c r="J219" s="140"/>
      <c r="K219" s="140"/>
      <c r="L219" s="140"/>
      <c r="M219" s="140"/>
      <c r="N219" s="140"/>
      <c r="O219" s="140"/>
      <c r="P219" s="140"/>
      <c r="Q219" s="140"/>
      <c r="R219" s="140"/>
      <c r="S219" s="150"/>
      <c r="T219" s="150"/>
      <c r="U219" s="140"/>
      <c r="V219" s="140"/>
      <c r="W219" s="140"/>
      <c r="X219" s="140"/>
      <c r="Y219" s="140"/>
      <c r="Z219" s="140"/>
      <c r="AA219" s="140"/>
      <c r="AB219" s="140"/>
      <c r="AC219" s="140"/>
      <c r="AD219" s="140"/>
      <c r="AE219" s="140"/>
      <c r="AF219" s="140"/>
      <c r="AG219" s="140"/>
      <c r="AH219" s="140"/>
      <c r="AI219" s="140"/>
      <c r="AJ219" s="140"/>
      <c r="AK219" s="140"/>
      <c r="AL219" s="140"/>
      <c r="AM219" s="140"/>
      <c r="AN219" s="140"/>
      <c r="AO219" s="140"/>
      <c r="AP219" s="140"/>
      <c r="AQ219" s="140"/>
      <c r="AR219" s="140"/>
      <c r="AS219" s="140"/>
    </row>
    <row r="220">
      <c r="A220" s="149"/>
      <c r="B220" s="140"/>
      <c r="C220" s="140"/>
      <c r="D220" s="140"/>
      <c r="E220" s="140"/>
      <c r="F220" s="140"/>
      <c r="G220" s="140"/>
      <c r="H220" s="140"/>
      <c r="I220" s="140"/>
      <c r="J220" s="140"/>
      <c r="K220" s="140"/>
      <c r="L220" s="140"/>
      <c r="M220" s="140"/>
      <c r="N220" s="140"/>
      <c r="O220" s="140"/>
      <c r="P220" s="140"/>
      <c r="Q220" s="140"/>
      <c r="R220" s="140"/>
      <c r="S220" s="150"/>
      <c r="T220" s="150"/>
      <c r="U220" s="140"/>
      <c r="V220" s="140"/>
      <c r="W220" s="140"/>
      <c r="X220" s="140"/>
      <c r="Y220" s="140"/>
      <c r="Z220" s="140"/>
      <c r="AA220" s="140"/>
      <c r="AB220" s="140"/>
      <c r="AC220" s="140"/>
      <c r="AD220" s="140"/>
      <c r="AE220" s="140"/>
      <c r="AF220" s="140"/>
      <c r="AG220" s="140"/>
      <c r="AH220" s="140"/>
      <c r="AI220" s="140"/>
      <c r="AJ220" s="140"/>
      <c r="AK220" s="140"/>
      <c r="AL220" s="140"/>
      <c r="AM220" s="140"/>
      <c r="AN220" s="140"/>
      <c r="AO220" s="140"/>
      <c r="AP220" s="140"/>
      <c r="AQ220" s="140"/>
      <c r="AR220" s="140"/>
      <c r="AS220" s="140"/>
    </row>
    <row r="221">
      <c r="A221" s="149"/>
      <c r="B221" s="140"/>
      <c r="C221" s="140"/>
      <c r="D221" s="140"/>
      <c r="E221" s="140"/>
      <c r="F221" s="140"/>
      <c r="G221" s="140"/>
      <c r="H221" s="140"/>
      <c r="I221" s="140"/>
      <c r="J221" s="140"/>
      <c r="K221" s="140"/>
      <c r="L221" s="140"/>
      <c r="M221" s="140"/>
      <c r="N221" s="140"/>
      <c r="O221" s="140"/>
      <c r="P221" s="140"/>
      <c r="Q221" s="140"/>
      <c r="R221" s="140"/>
      <c r="S221" s="150"/>
      <c r="T221" s="150"/>
      <c r="U221" s="140"/>
      <c r="V221" s="140"/>
      <c r="W221" s="140"/>
      <c r="X221" s="140"/>
      <c r="Y221" s="140"/>
      <c r="Z221" s="140"/>
      <c r="AA221" s="140"/>
      <c r="AB221" s="140"/>
      <c r="AC221" s="140"/>
      <c r="AD221" s="140"/>
      <c r="AE221" s="140"/>
      <c r="AF221" s="140"/>
      <c r="AG221" s="140"/>
      <c r="AH221" s="140"/>
      <c r="AI221" s="140"/>
      <c r="AJ221" s="140"/>
      <c r="AK221" s="140"/>
      <c r="AL221" s="140"/>
      <c r="AM221" s="140"/>
      <c r="AN221" s="140"/>
      <c r="AO221" s="140"/>
      <c r="AP221" s="140"/>
      <c r="AQ221" s="140"/>
      <c r="AR221" s="140"/>
      <c r="AS221" s="140"/>
    </row>
    <row r="222">
      <c r="A222" s="149"/>
      <c r="B222" s="140"/>
      <c r="C222" s="140"/>
      <c r="D222" s="140"/>
      <c r="E222" s="140"/>
      <c r="F222" s="140"/>
      <c r="G222" s="140"/>
      <c r="H222" s="140"/>
      <c r="I222" s="140"/>
      <c r="J222" s="140"/>
      <c r="K222" s="140"/>
      <c r="L222" s="140"/>
      <c r="M222" s="140"/>
      <c r="N222" s="140"/>
      <c r="O222" s="140"/>
      <c r="P222" s="140"/>
      <c r="Q222" s="140"/>
      <c r="R222" s="140"/>
      <c r="S222" s="150"/>
      <c r="T222" s="150"/>
      <c r="U222" s="140"/>
      <c r="V222" s="140"/>
      <c r="W222" s="140"/>
      <c r="X222" s="140"/>
      <c r="Y222" s="140"/>
      <c r="Z222" s="140"/>
      <c r="AA222" s="140"/>
      <c r="AB222" s="140"/>
      <c r="AC222" s="140"/>
      <c r="AD222" s="140"/>
      <c r="AE222" s="140"/>
      <c r="AF222" s="140"/>
      <c r="AG222" s="140"/>
      <c r="AH222" s="140"/>
      <c r="AI222" s="140"/>
      <c r="AJ222" s="140"/>
      <c r="AK222" s="140"/>
      <c r="AL222" s="140"/>
      <c r="AM222" s="140"/>
      <c r="AN222" s="140"/>
      <c r="AO222" s="140"/>
      <c r="AP222" s="140"/>
      <c r="AQ222" s="140"/>
      <c r="AR222" s="140"/>
      <c r="AS222" s="140"/>
    </row>
    <row r="223">
      <c r="A223" s="149"/>
      <c r="B223" s="140"/>
      <c r="C223" s="140"/>
      <c r="D223" s="140"/>
      <c r="E223" s="140"/>
      <c r="F223" s="140"/>
      <c r="G223" s="140"/>
      <c r="H223" s="140"/>
      <c r="I223" s="140"/>
      <c r="J223" s="140"/>
      <c r="K223" s="140"/>
      <c r="L223" s="140"/>
      <c r="M223" s="140"/>
      <c r="N223" s="140"/>
      <c r="O223" s="140"/>
      <c r="P223" s="140"/>
      <c r="Q223" s="140"/>
      <c r="R223" s="140"/>
      <c r="S223" s="150"/>
      <c r="T223" s="150"/>
      <c r="U223" s="140"/>
      <c r="V223" s="140"/>
      <c r="W223" s="140"/>
      <c r="X223" s="140"/>
      <c r="Y223" s="140"/>
      <c r="Z223" s="140"/>
      <c r="AA223" s="140"/>
      <c r="AB223" s="140"/>
      <c r="AC223" s="140"/>
      <c r="AD223" s="140"/>
      <c r="AE223" s="140"/>
      <c r="AF223" s="140"/>
      <c r="AG223" s="140"/>
      <c r="AH223" s="140"/>
      <c r="AI223" s="140"/>
      <c r="AJ223" s="140"/>
      <c r="AK223" s="140"/>
      <c r="AL223" s="140"/>
      <c r="AM223" s="140"/>
      <c r="AN223" s="140"/>
      <c r="AO223" s="140"/>
      <c r="AP223" s="140"/>
      <c r="AQ223" s="140"/>
      <c r="AR223" s="140"/>
      <c r="AS223" s="140"/>
    </row>
    <row r="224">
      <c r="A224" s="149"/>
      <c r="B224" s="140"/>
      <c r="C224" s="140"/>
      <c r="D224" s="140"/>
      <c r="E224" s="140"/>
      <c r="F224" s="140"/>
      <c r="G224" s="140"/>
      <c r="H224" s="140"/>
      <c r="I224" s="140"/>
      <c r="J224" s="140"/>
      <c r="K224" s="140"/>
      <c r="L224" s="140"/>
      <c r="M224" s="140"/>
      <c r="N224" s="140"/>
      <c r="O224" s="140"/>
      <c r="P224" s="140"/>
      <c r="Q224" s="140"/>
      <c r="R224" s="140"/>
      <c r="S224" s="150"/>
      <c r="T224" s="150"/>
      <c r="U224" s="140"/>
      <c r="V224" s="140"/>
      <c r="W224" s="140"/>
      <c r="X224" s="140"/>
      <c r="Y224" s="140"/>
      <c r="Z224" s="140"/>
      <c r="AA224" s="140"/>
      <c r="AB224" s="140"/>
      <c r="AC224" s="140"/>
      <c r="AD224" s="140"/>
      <c r="AE224" s="140"/>
      <c r="AF224" s="140"/>
      <c r="AG224" s="140"/>
      <c r="AH224" s="140"/>
      <c r="AI224" s="140"/>
      <c r="AJ224" s="140"/>
      <c r="AK224" s="140"/>
      <c r="AL224" s="140"/>
      <c r="AM224" s="140"/>
      <c r="AN224" s="140"/>
      <c r="AO224" s="140"/>
      <c r="AP224" s="140"/>
      <c r="AQ224" s="140"/>
      <c r="AR224" s="140"/>
      <c r="AS224" s="140"/>
    </row>
    <row r="225">
      <c r="A225" s="149"/>
      <c r="B225" s="140"/>
      <c r="C225" s="140"/>
      <c r="D225" s="140"/>
      <c r="E225" s="140"/>
      <c r="F225" s="140"/>
      <c r="G225" s="140"/>
      <c r="H225" s="140"/>
      <c r="I225" s="140"/>
      <c r="J225" s="140"/>
      <c r="K225" s="140"/>
      <c r="L225" s="140"/>
      <c r="M225" s="140"/>
      <c r="N225" s="140"/>
      <c r="O225" s="140"/>
      <c r="P225" s="140"/>
      <c r="Q225" s="140"/>
      <c r="R225" s="140"/>
      <c r="S225" s="150"/>
      <c r="T225" s="150"/>
      <c r="U225" s="140"/>
      <c r="V225" s="140"/>
      <c r="W225" s="140"/>
      <c r="X225" s="140"/>
      <c r="Y225" s="140"/>
      <c r="Z225" s="140"/>
      <c r="AA225" s="140"/>
      <c r="AB225" s="140"/>
      <c r="AC225" s="140"/>
      <c r="AD225" s="140"/>
      <c r="AE225" s="140"/>
      <c r="AF225" s="140"/>
      <c r="AG225" s="140"/>
      <c r="AH225" s="140"/>
      <c r="AI225" s="140"/>
      <c r="AJ225" s="140"/>
      <c r="AK225" s="140"/>
      <c r="AL225" s="140"/>
      <c r="AM225" s="140"/>
      <c r="AN225" s="140"/>
      <c r="AO225" s="140"/>
      <c r="AP225" s="140"/>
      <c r="AQ225" s="140"/>
      <c r="AR225" s="140"/>
      <c r="AS225" s="140"/>
    </row>
    <row r="226">
      <c r="A226" s="149"/>
      <c r="B226" s="140"/>
      <c r="C226" s="140"/>
      <c r="D226" s="140"/>
      <c r="E226" s="140"/>
      <c r="F226" s="140"/>
      <c r="G226" s="140"/>
      <c r="H226" s="140"/>
      <c r="I226" s="140"/>
      <c r="J226" s="140"/>
      <c r="K226" s="140"/>
      <c r="L226" s="140"/>
      <c r="M226" s="140"/>
      <c r="N226" s="140"/>
      <c r="O226" s="140"/>
      <c r="P226" s="140"/>
      <c r="Q226" s="140"/>
      <c r="R226" s="140"/>
      <c r="S226" s="150"/>
      <c r="T226" s="150"/>
      <c r="U226" s="140"/>
      <c r="V226" s="140"/>
      <c r="W226" s="140"/>
      <c r="X226" s="140"/>
      <c r="Y226" s="140"/>
      <c r="Z226" s="140"/>
      <c r="AA226" s="140"/>
      <c r="AB226" s="140"/>
      <c r="AC226" s="140"/>
      <c r="AD226" s="140"/>
      <c r="AE226" s="140"/>
      <c r="AF226" s="140"/>
      <c r="AG226" s="140"/>
      <c r="AH226" s="140"/>
      <c r="AI226" s="140"/>
      <c r="AJ226" s="140"/>
      <c r="AK226" s="140"/>
      <c r="AL226" s="140"/>
      <c r="AM226" s="140"/>
      <c r="AN226" s="140"/>
      <c r="AO226" s="140"/>
      <c r="AP226" s="140"/>
      <c r="AQ226" s="140"/>
      <c r="AR226" s="140"/>
      <c r="AS226" s="140"/>
    </row>
    <row r="227">
      <c r="A227" s="149"/>
      <c r="B227" s="140"/>
      <c r="C227" s="140"/>
      <c r="D227" s="140"/>
      <c r="E227" s="140"/>
      <c r="F227" s="140"/>
      <c r="G227" s="140"/>
      <c r="H227" s="140"/>
      <c r="I227" s="140"/>
      <c r="J227" s="140"/>
      <c r="K227" s="140"/>
      <c r="L227" s="140"/>
      <c r="M227" s="140"/>
      <c r="N227" s="140"/>
      <c r="O227" s="140"/>
      <c r="P227" s="140"/>
      <c r="Q227" s="140"/>
      <c r="R227" s="140"/>
      <c r="S227" s="150"/>
      <c r="T227" s="150"/>
      <c r="U227" s="140"/>
      <c r="V227" s="140"/>
      <c r="W227" s="140"/>
      <c r="X227" s="140"/>
      <c r="Y227" s="140"/>
      <c r="Z227" s="140"/>
      <c r="AA227" s="140"/>
      <c r="AB227" s="140"/>
      <c r="AC227" s="140"/>
      <c r="AD227" s="140"/>
      <c r="AE227" s="140"/>
      <c r="AF227" s="140"/>
      <c r="AG227" s="140"/>
      <c r="AH227" s="140"/>
      <c r="AI227" s="140"/>
      <c r="AJ227" s="140"/>
      <c r="AK227" s="140"/>
      <c r="AL227" s="140"/>
      <c r="AM227" s="140"/>
      <c r="AN227" s="140"/>
      <c r="AO227" s="140"/>
      <c r="AP227" s="140"/>
      <c r="AQ227" s="140"/>
      <c r="AR227" s="140"/>
      <c r="AS227" s="140"/>
    </row>
    <row r="228">
      <c r="A228" s="149"/>
      <c r="B228" s="140"/>
      <c r="C228" s="140"/>
      <c r="D228" s="140"/>
      <c r="E228" s="140"/>
      <c r="F228" s="140"/>
      <c r="G228" s="140"/>
      <c r="H228" s="140"/>
      <c r="I228" s="140"/>
      <c r="J228" s="140"/>
      <c r="K228" s="140"/>
      <c r="L228" s="140"/>
      <c r="M228" s="140"/>
      <c r="N228" s="140"/>
      <c r="O228" s="140"/>
      <c r="P228" s="140"/>
      <c r="Q228" s="140"/>
      <c r="R228" s="140"/>
      <c r="S228" s="150"/>
      <c r="T228" s="150"/>
      <c r="U228" s="140"/>
      <c r="V228" s="140"/>
      <c r="W228" s="140"/>
      <c r="X228" s="140"/>
      <c r="Y228" s="140"/>
      <c r="Z228" s="140"/>
      <c r="AA228" s="140"/>
      <c r="AB228" s="140"/>
      <c r="AC228" s="140"/>
      <c r="AD228" s="140"/>
      <c r="AE228" s="140"/>
      <c r="AF228" s="140"/>
      <c r="AG228" s="140"/>
      <c r="AH228" s="140"/>
      <c r="AI228" s="140"/>
      <c r="AJ228" s="140"/>
      <c r="AK228" s="140"/>
      <c r="AL228" s="140"/>
      <c r="AM228" s="140"/>
      <c r="AN228" s="140"/>
      <c r="AO228" s="140"/>
      <c r="AP228" s="140"/>
      <c r="AQ228" s="140"/>
      <c r="AR228" s="140"/>
      <c r="AS228" s="140"/>
    </row>
    <row r="229">
      <c r="A229" s="149"/>
      <c r="B229" s="140"/>
      <c r="C229" s="140"/>
      <c r="D229" s="140"/>
      <c r="E229" s="140"/>
      <c r="F229" s="140"/>
      <c r="G229" s="140"/>
      <c r="H229" s="140"/>
      <c r="I229" s="140"/>
      <c r="J229" s="140"/>
      <c r="K229" s="140"/>
      <c r="L229" s="140"/>
      <c r="M229" s="140"/>
      <c r="N229" s="140"/>
      <c r="O229" s="140"/>
      <c r="P229" s="140"/>
      <c r="Q229" s="140"/>
      <c r="R229" s="140"/>
      <c r="S229" s="150"/>
      <c r="T229" s="150"/>
      <c r="U229" s="140"/>
      <c r="V229" s="140"/>
      <c r="W229" s="140"/>
      <c r="X229" s="140"/>
      <c r="Y229" s="140"/>
      <c r="Z229" s="140"/>
      <c r="AA229" s="140"/>
      <c r="AB229" s="140"/>
      <c r="AC229" s="140"/>
      <c r="AD229" s="140"/>
      <c r="AE229" s="140"/>
      <c r="AF229" s="140"/>
      <c r="AG229" s="140"/>
      <c r="AH229" s="140"/>
      <c r="AI229" s="140"/>
      <c r="AJ229" s="140"/>
      <c r="AK229" s="140"/>
      <c r="AL229" s="140"/>
      <c r="AM229" s="140"/>
      <c r="AN229" s="140"/>
      <c r="AO229" s="140"/>
      <c r="AP229" s="140"/>
      <c r="AQ229" s="140"/>
      <c r="AR229" s="140"/>
      <c r="AS229" s="140"/>
    </row>
    <row r="230">
      <c r="A230" s="149"/>
      <c r="B230" s="140"/>
      <c r="C230" s="140"/>
      <c r="D230" s="140"/>
      <c r="E230" s="140"/>
      <c r="F230" s="140"/>
      <c r="G230" s="140"/>
      <c r="H230" s="140"/>
      <c r="I230" s="140"/>
      <c r="J230" s="140"/>
      <c r="K230" s="140"/>
      <c r="L230" s="140"/>
      <c r="M230" s="140"/>
      <c r="N230" s="140"/>
      <c r="O230" s="140"/>
      <c r="P230" s="140"/>
      <c r="Q230" s="140"/>
      <c r="R230" s="140"/>
      <c r="S230" s="150"/>
      <c r="T230" s="150"/>
      <c r="U230" s="140"/>
      <c r="V230" s="140"/>
      <c r="W230" s="140"/>
      <c r="X230" s="140"/>
      <c r="Y230" s="140"/>
      <c r="Z230" s="140"/>
      <c r="AA230" s="140"/>
      <c r="AB230" s="140"/>
      <c r="AC230" s="140"/>
      <c r="AD230" s="140"/>
      <c r="AE230" s="140"/>
      <c r="AF230" s="140"/>
      <c r="AG230" s="140"/>
      <c r="AH230" s="140"/>
      <c r="AI230" s="140"/>
      <c r="AJ230" s="140"/>
      <c r="AK230" s="140"/>
      <c r="AL230" s="140"/>
      <c r="AM230" s="140"/>
      <c r="AN230" s="140"/>
      <c r="AO230" s="140"/>
      <c r="AP230" s="140"/>
      <c r="AQ230" s="140"/>
      <c r="AR230" s="140"/>
      <c r="AS230" s="140"/>
    </row>
    <row r="231">
      <c r="A231" s="149"/>
      <c r="B231" s="140"/>
      <c r="C231" s="140"/>
      <c r="D231" s="140"/>
      <c r="E231" s="140"/>
      <c r="F231" s="140"/>
      <c r="G231" s="140"/>
      <c r="H231" s="140"/>
      <c r="I231" s="140"/>
      <c r="J231" s="140"/>
      <c r="K231" s="140"/>
      <c r="L231" s="140"/>
      <c r="M231" s="140"/>
      <c r="N231" s="140"/>
      <c r="O231" s="140"/>
      <c r="P231" s="140"/>
      <c r="Q231" s="140"/>
      <c r="R231" s="140"/>
      <c r="S231" s="150"/>
      <c r="T231" s="150"/>
      <c r="U231" s="140"/>
      <c r="V231" s="140"/>
      <c r="W231" s="140"/>
      <c r="X231" s="140"/>
      <c r="Y231" s="140"/>
      <c r="Z231" s="140"/>
      <c r="AA231" s="140"/>
      <c r="AB231" s="140"/>
      <c r="AC231" s="140"/>
      <c r="AD231" s="140"/>
      <c r="AE231" s="140"/>
      <c r="AF231" s="140"/>
      <c r="AG231" s="140"/>
      <c r="AH231" s="140"/>
      <c r="AI231" s="140"/>
      <c r="AJ231" s="140"/>
      <c r="AK231" s="140"/>
      <c r="AL231" s="140"/>
      <c r="AM231" s="140"/>
      <c r="AN231" s="140"/>
      <c r="AO231" s="140"/>
      <c r="AP231" s="140"/>
      <c r="AQ231" s="140"/>
      <c r="AR231" s="140"/>
      <c r="AS231" s="140"/>
    </row>
    <row r="232">
      <c r="A232" s="149"/>
      <c r="B232" s="140"/>
      <c r="C232" s="140"/>
      <c r="D232" s="140"/>
      <c r="E232" s="140"/>
      <c r="F232" s="140"/>
      <c r="G232" s="140"/>
      <c r="H232" s="140"/>
      <c r="I232" s="140"/>
      <c r="J232" s="140"/>
      <c r="K232" s="140"/>
      <c r="L232" s="140"/>
      <c r="M232" s="140"/>
      <c r="N232" s="140"/>
      <c r="O232" s="140"/>
      <c r="P232" s="140"/>
      <c r="Q232" s="140"/>
      <c r="R232" s="140"/>
      <c r="S232" s="150"/>
      <c r="T232" s="150"/>
      <c r="U232" s="140"/>
      <c r="V232" s="140"/>
      <c r="W232" s="140"/>
      <c r="X232" s="140"/>
      <c r="Y232" s="140"/>
      <c r="Z232" s="140"/>
      <c r="AA232" s="140"/>
      <c r="AB232" s="140"/>
      <c r="AC232" s="140"/>
      <c r="AD232" s="140"/>
      <c r="AE232" s="140"/>
      <c r="AF232" s="140"/>
      <c r="AG232" s="140"/>
      <c r="AH232" s="140"/>
      <c r="AI232" s="140"/>
      <c r="AJ232" s="140"/>
      <c r="AK232" s="140"/>
      <c r="AL232" s="140"/>
      <c r="AM232" s="140"/>
      <c r="AN232" s="140"/>
      <c r="AO232" s="140"/>
      <c r="AP232" s="140"/>
      <c r="AQ232" s="140"/>
      <c r="AR232" s="140"/>
      <c r="AS232" s="140"/>
    </row>
    <row r="233">
      <c r="A233" s="149"/>
      <c r="B233" s="140"/>
      <c r="C233" s="140"/>
      <c r="D233" s="140"/>
      <c r="E233" s="140"/>
      <c r="F233" s="140"/>
      <c r="G233" s="140"/>
      <c r="H233" s="140"/>
      <c r="I233" s="140"/>
      <c r="J233" s="140"/>
      <c r="K233" s="140"/>
      <c r="L233" s="140"/>
      <c r="M233" s="140"/>
      <c r="N233" s="140"/>
      <c r="O233" s="140"/>
      <c r="P233" s="140"/>
      <c r="Q233" s="140"/>
      <c r="R233" s="140"/>
      <c r="S233" s="150"/>
      <c r="T233" s="150"/>
      <c r="U233" s="140"/>
      <c r="V233" s="140"/>
      <c r="W233" s="140"/>
      <c r="X233" s="140"/>
      <c r="Y233" s="140"/>
      <c r="Z233" s="140"/>
      <c r="AA233" s="140"/>
      <c r="AB233" s="140"/>
      <c r="AC233" s="140"/>
      <c r="AD233" s="140"/>
      <c r="AE233" s="140"/>
      <c r="AF233" s="140"/>
      <c r="AG233" s="140"/>
      <c r="AH233" s="140"/>
      <c r="AI233" s="140"/>
      <c r="AJ233" s="140"/>
      <c r="AK233" s="140"/>
      <c r="AL233" s="140"/>
      <c r="AM233" s="140"/>
      <c r="AN233" s="140"/>
      <c r="AO233" s="140"/>
      <c r="AP233" s="140"/>
      <c r="AQ233" s="140"/>
      <c r="AR233" s="140"/>
      <c r="AS233" s="140"/>
    </row>
    <row r="234">
      <c r="A234" s="149"/>
      <c r="B234" s="140"/>
      <c r="C234" s="140"/>
      <c r="D234" s="140"/>
      <c r="E234" s="140"/>
      <c r="F234" s="140"/>
      <c r="G234" s="140"/>
      <c r="H234" s="140"/>
      <c r="I234" s="140"/>
      <c r="J234" s="140"/>
      <c r="K234" s="140"/>
      <c r="L234" s="140"/>
      <c r="M234" s="140"/>
      <c r="N234" s="140"/>
      <c r="O234" s="140"/>
      <c r="P234" s="140"/>
      <c r="Q234" s="140"/>
      <c r="R234" s="140"/>
      <c r="S234" s="150"/>
      <c r="T234" s="150"/>
      <c r="U234" s="140"/>
      <c r="V234" s="140"/>
      <c r="W234" s="140"/>
      <c r="X234" s="140"/>
      <c r="Y234" s="140"/>
      <c r="Z234" s="140"/>
      <c r="AA234" s="140"/>
      <c r="AB234" s="140"/>
      <c r="AC234" s="140"/>
      <c r="AD234" s="140"/>
      <c r="AE234" s="140"/>
      <c r="AF234" s="140"/>
      <c r="AG234" s="140"/>
      <c r="AH234" s="140"/>
      <c r="AI234" s="140"/>
      <c r="AJ234" s="140"/>
      <c r="AK234" s="140"/>
      <c r="AL234" s="140"/>
      <c r="AM234" s="140"/>
      <c r="AN234" s="140"/>
      <c r="AO234" s="140"/>
      <c r="AP234" s="140"/>
      <c r="AQ234" s="140"/>
      <c r="AR234" s="140"/>
      <c r="AS234" s="140"/>
    </row>
    <row r="235">
      <c r="A235" s="149"/>
      <c r="B235" s="140"/>
      <c r="C235" s="140"/>
      <c r="D235" s="140"/>
      <c r="E235" s="140"/>
      <c r="F235" s="140"/>
      <c r="G235" s="140"/>
      <c r="H235" s="140"/>
      <c r="I235" s="140"/>
      <c r="J235" s="140"/>
      <c r="K235" s="140"/>
      <c r="L235" s="140"/>
      <c r="M235" s="140"/>
      <c r="N235" s="140"/>
      <c r="O235" s="140"/>
      <c r="P235" s="140"/>
      <c r="Q235" s="140"/>
      <c r="R235" s="140"/>
      <c r="S235" s="150"/>
      <c r="T235" s="150"/>
      <c r="U235" s="140"/>
      <c r="V235" s="140"/>
      <c r="W235" s="140"/>
      <c r="X235" s="140"/>
      <c r="Y235" s="140"/>
      <c r="Z235" s="140"/>
      <c r="AA235" s="140"/>
      <c r="AB235" s="140"/>
      <c r="AC235" s="140"/>
      <c r="AD235" s="140"/>
      <c r="AE235" s="140"/>
      <c r="AF235" s="140"/>
      <c r="AG235" s="140"/>
      <c r="AH235" s="140"/>
      <c r="AI235" s="140"/>
      <c r="AJ235" s="140"/>
      <c r="AK235" s="140"/>
      <c r="AL235" s="140"/>
      <c r="AM235" s="140"/>
      <c r="AN235" s="140"/>
      <c r="AO235" s="140"/>
      <c r="AP235" s="140"/>
      <c r="AQ235" s="140"/>
      <c r="AR235" s="140"/>
      <c r="AS235" s="140"/>
    </row>
    <row r="236">
      <c r="A236" s="149"/>
      <c r="B236" s="140"/>
      <c r="C236" s="140"/>
      <c r="D236" s="140"/>
      <c r="E236" s="140"/>
      <c r="F236" s="140"/>
      <c r="G236" s="140"/>
      <c r="H236" s="140"/>
      <c r="I236" s="140"/>
      <c r="J236" s="140"/>
      <c r="K236" s="140"/>
      <c r="L236" s="140"/>
      <c r="M236" s="140"/>
      <c r="N236" s="140"/>
      <c r="O236" s="140"/>
      <c r="P236" s="140"/>
      <c r="Q236" s="140"/>
      <c r="R236" s="140"/>
      <c r="S236" s="150"/>
      <c r="T236" s="150"/>
      <c r="U236" s="140"/>
      <c r="V236" s="140"/>
      <c r="W236" s="140"/>
      <c r="X236" s="140"/>
      <c r="Y236" s="140"/>
      <c r="Z236" s="140"/>
      <c r="AA236" s="140"/>
      <c r="AB236" s="140"/>
      <c r="AC236" s="140"/>
      <c r="AD236" s="140"/>
      <c r="AE236" s="140"/>
      <c r="AF236" s="140"/>
      <c r="AG236" s="140"/>
      <c r="AH236" s="140"/>
      <c r="AI236" s="140"/>
      <c r="AJ236" s="140"/>
      <c r="AK236" s="140"/>
      <c r="AL236" s="140"/>
      <c r="AM236" s="140"/>
      <c r="AN236" s="140"/>
      <c r="AO236" s="140"/>
      <c r="AP236" s="140"/>
      <c r="AQ236" s="140"/>
      <c r="AR236" s="140"/>
      <c r="AS236" s="140"/>
    </row>
    <row r="237">
      <c r="A237" s="149"/>
      <c r="B237" s="140"/>
      <c r="C237" s="140"/>
      <c r="D237" s="140"/>
      <c r="E237" s="140"/>
      <c r="F237" s="140"/>
      <c r="G237" s="140"/>
      <c r="H237" s="140"/>
      <c r="I237" s="140"/>
      <c r="J237" s="140"/>
      <c r="K237" s="140"/>
      <c r="L237" s="140"/>
      <c r="M237" s="140"/>
      <c r="N237" s="140"/>
      <c r="O237" s="140"/>
      <c r="P237" s="140"/>
      <c r="Q237" s="140"/>
      <c r="R237" s="140"/>
      <c r="S237" s="150"/>
      <c r="T237" s="150"/>
      <c r="U237" s="140"/>
      <c r="V237" s="140"/>
      <c r="W237" s="140"/>
      <c r="X237" s="140"/>
      <c r="Y237" s="140"/>
      <c r="Z237" s="140"/>
      <c r="AA237" s="140"/>
      <c r="AB237" s="140"/>
      <c r="AC237" s="140"/>
      <c r="AD237" s="140"/>
      <c r="AE237" s="140"/>
      <c r="AF237" s="140"/>
      <c r="AG237" s="140"/>
      <c r="AH237" s="140"/>
      <c r="AI237" s="140"/>
      <c r="AJ237" s="140"/>
      <c r="AK237" s="140"/>
      <c r="AL237" s="140"/>
      <c r="AM237" s="140"/>
      <c r="AN237" s="140"/>
      <c r="AO237" s="140"/>
      <c r="AP237" s="140"/>
      <c r="AQ237" s="140"/>
      <c r="AR237" s="140"/>
      <c r="AS237" s="140"/>
    </row>
    <row r="238">
      <c r="A238" s="149"/>
      <c r="B238" s="140"/>
      <c r="C238" s="140"/>
      <c r="D238" s="140"/>
      <c r="E238" s="140"/>
      <c r="F238" s="140"/>
      <c r="G238" s="140"/>
      <c r="H238" s="140"/>
      <c r="I238" s="140"/>
      <c r="J238" s="140"/>
      <c r="K238" s="140"/>
      <c r="L238" s="140"/>
      <c r="M238" s="140"/>
      <c r="N238" s="140"/>
      <c r="O238" s="140"/>
      <c r="P238" s="140"/>
      <c r="Q238" s="140"/>
      <c r="R238" s="140"/>
      <c r="S238" s="150"/>
      <c r="T238" s="150"/>
      <c r="U238" s="140"/>
      <c r="V238" s="140"/>
      <c r="W238" s="140"/>
      <c r="X238" s="140"/>
      <c r="Y238" s="140"/>
      <c r="Z238" s="140"/>
      <c r="AA238" s="140"/>
      <c r="AB238" s="140"/>
      <c r="AC238" s="140"/>
      <c r="AD238" s="140"/>
      <c r="AE238" s="140"/>
      <c r="AF238" s="140"/>
      <c r="AG238" s="140"/>
      <c r="AH238" s="140"/>
      <c r="AI238" s="140"/>
      <c r="AJ238" s="140"/>
      <c r="AK238" s="140"/>
      <c r="AL238" s="140"/>
      <c r="AM238" s="140"/>
      <c r="AN238" s="140"/>
      <c r="AO238" s="140"/>
      <c r="AP238" s="140"/>
      <c r="AQ238" s="140"/>
      <c r="AR238" s="140"/>
      <c r="AS238" s="140"/>
    </row>
    <row r="239">
      <c r="A239" s="149"/>
      <c r="B239" s="140"/>
      <c r="C239" s="140"/>
      <c r="D239" s="140"/>
      <c r="E239" s="140"/>
      <c r="F239" s="140"/>
      <c r="G239" s="140"/>
      <c r="H239" s="140"/>
      <c r="I239" s="140"/>
      <c r="J239" s="140"/>
      <c r="K239" s="140"/>
      <c r="L239" s="140"/>
      <c r="M239" s="140"/>
      <c r="N239" s="140"/>
      <c r="O239" s="140"/>
      <c r="P239" s="140"/>
      <c r="Q239" s="140"/>
      <c r="R239" s="140"/>
      <c r="S239" s="150"/>
      <c r="T239" s="150"/>
      <c r="U239" s="140"/>
      <c r="V239" s="140"/>
      <c r="W239" s="140"/>
      <c r="X239" s="140"/>
      <c r="Y239" s="140"/>
      <c r="Z239" s="140"/>
      <c r="AA239" s="140"/>
      <c r="AB239" s="140"/>
      <c r="AC239" s="140"/>
      <c r="AD239" s="140"/>
      <c r="AE239" s="140"/>
      <c r="AF239" s="140"/>
      <c r="AG239" s="140"/>
      <c r="AH239" s="140"/>
      <c r="AI239" s="140"/>
      <c r="AJ239" s="140"/>
      <c r="AK239" s="140"/>
      <c r="AL239" s="140"/>
      <c r="AM239" s="140"/>
      <c r="AN239" s="140"/>
      <c r="AO239" s="140"/>
      <c r="AP239" s="140"/>
      <c r="AQ239" s="140"/>
      <c r="AR239" s="140"/>
      <c r="AS239" s="140"/>
    </row>
    <row r="240">
      <c r="A240" s="149"/>
      <c r="B240" s="140"/>
      <c r="C240" s="140"/>
      <c r="D240" s="140"/>
      <c r="E240" s="140"/>
      <c r="F240" s="140"/>
      <c r="G240" s="140"/>
      <c r="H240" s="140"/>
      <c r="I240" s="140"/>
      <c r="J240" s="140"/>
      <c r="K240" s="140"/>
      <c r="L240" s="140"/>
      <c r="M240" s="140"/>
      <c r="N240" s="140"/>
      <c r="O240" s="140"/>
      <c r="P240" s="140"/>
      <c r="Q240" s="140"/>
      <c r="R240" s="140"/>
      <c r="S240" s="150"/>
      <c r="T240" s="150"/>
      <c r="U240" s="140"/>
      <c r="V240" s="140"/>
      <c r="W240" s="140"/>
      <c r="X240" s="140"/>
      <c r="Y240" s="140"/>
      <c r="Z240" s="140"/>
      <c r="AA240" s="140"/>
      <c r="AB240" s="140"/>
      <c r="AC240" s="140"/>
      <c r="AD240" s="140"/>
      <c r="AE240" s="140"/>
      <c r="AF240" s="140"/>
      <c r="AG240" s="140"/>
      <c r="AH240" s="140"/>
      <c r="AI240" s="140"/>
      <c r="AJ240" s="140"/>
      <c r="AK240" s="140"/>
      <c r="AL240" s="140"/>
      <c r="AM240" s="140"/>
      <c r="AN240" s="140"/>
      <c r="AO240" s="140"/>
      <c r="AP240" s="140"/>
      <c r="AQ240" s="140"/>
      <c r="AR240" s="140"/>
      <c r="AS240" s="140"/>
    </row>
    <row r="241">
      <c r="A241" s="149"/>
      <c r="B241" s="140"/>
      <c r="C241" s="140"/>
      <c r="D241" s="140"/>
      <c r="E241" s="140"/>
      <c r="F241" s="140"/>
      <c r="G241" s="140"/>
      <c r="H241" s="140"/>
      <c r="I241" s="140"/>
      <c r="J241" s="140"/>
      <c r="K241" s="140"/>
      <c r="L241" s="140"/>
      <c r="M241" s="140"/>
      <c r="N241" s="140"/>
      <c r="O241" s="140"/>
      <c r="P241" s="140"/>
      <c r="Q241" s="140"/>
      <c r="R241" s="140"/>
      <c r="S241" s="150"/>
      <c r="T241" s="150"/>
      <c r="U241" s="140"/>
      <c r="V241" s="140"/>
      <c r="W241" s="140"/>
      <c r="X241" s="140"/>
      <c r="Y241" s="140"/>
      <c r="Z241" s="140"/>
      <c r="AA241" s="140"/>
      <c r="AB241" s="140"/>
      <c r="AC241" s="140"/>
      <c r="AD241" s="140"/>
      <c r="AE241" s="140"/>
      <c r="AF241" s="140"/>
      <c r="AG241" s="140"/>
      <c r="AH241" s="140"/>
      <c r="AI241" s="140"/>
      <c r="AJ241" s="140"/>
      <c r="AK241" s="140"/>
      <c r="AL241" s="140"/>
      <c r="AM241" s="140"/>
      <c r="AN241" s="140"/>
      <c r="AO241" s="140"/>
      <c r="AP241" s="140"/>
      <c r="AQ241" s="140"/>
      <c r="AR241" s="140"/>
      <c r="AS241" s="140"/>
    </row>
    <row r="242">
      <c r="A242" s="149"/>
      <c r="B242" s="140"/>
      <c r="C242" s="140"/>
      <c r="D242" s="140"/>
      <c r="E242" s="140"/>
      <c r="F242" s="140"/>
      <c r="G242" s="140"/>
      <c r="H242" s="140"/>
      <c r="I242" s="140"/>
      <c r="J242" s="140"/>
      <c r="K242" s="140"/>
      <c r="L242" s="140"/>
      <c r="M242" s="140"/>
      <c r="N242" s="140"/>
      <c r="O242" s="140"/>
      <c r="P242" s="140"/>
      <c r="Q242" s="140"/>
      <c r="R242" s="140"/>
      <c r="S242" s="150"/>
      <c r="T242" s="150"/>
      <c r="U242" s="140"/>
      <c r="V242" s="140"/>
      <c r="W242" s="140"/>
      <c r="X242" s="140"/>
      <c r="Y242" s="140"/>
      <c r="Z242" s="140"/>
      <c r="AA242" s="140"/>
      <c r="AB242" s="140"/>
      <c r="AC242" s="140"/>
      <c r="AD242" s="140"/>
      <c r="AE242" s="140"/>
      <c r="AF242" s="140"/>
      <c r="AG242" s="140"/>
      <c r="AH242" s="140"/>
      <c r="AI242" s="140"/>
      <c r="AJ242" s="140"/>
      <c r="AK242" s="140"/>
      <c r="AL242" s="140"/>
      <c r="AM242" s="140"/>
      <c r="AN242" s="140"/>
      <c r="AO242" s="140"/>
      <c r="AP242" s="140"/>
      <c r="AQ242" s="140"/>
      <c r="AR242" s="140"/>
      <c r="AS242" s="140"/>
    </row>
    <row r="243">
      <c r="A243" s="149"/>
      <c r="B243" s="140"/>
      <c r="C243" s="140"/>
      <c r="D243" s="140"/>
      <c r="E243" s="140"/>
      <c r="F243" s="140"/>
      <c r="G243" s="140"/>
      <c r="H243" s="140"/>
      <c r="I243" s="140"/>
      <c r="J243" s="140"/>
      <c r="K243" s="140"/>
      <c r="L243" s="140"/>
      <c r="M243" s="140"/>
      <c r="N243" s="140"/>
      <c r="O243" s="140"/>
      <c r="P243" s="140"/>
      <c r="Q243" s="140"/>
      <c r="R243" s="140"/>
      <c r="S243" s="150"/>
      <c r="T243" s="150"/>
      <c r="U243" s="140"/>
      <c r="V243" s="140"/>
      <c r="W243" s="140"/>
      <c r="X243" s="140"/>
      <c r="Y243" s="140"/>
      <c r="Z243" s="140"/>
      <c r="AA243" s="140"/>
      <c r="AB243" s="140"/>
      <c r="AC243" s="140"/>
      <c r="AD243" s="140"/>
      <c r="AE243" s="140"/>
      <c r="AF243" s="140"/>
      <c r="AG243" s="140"/>
      <c r="AH243" s="140"/>
      <c r="AI243" s="140"/>
      <c r="AJ243" s="140"/>
      <c r="AK243" s="140"/>
      <c r="AL243" s="140"/>
      <c r="AM243" s="140"/>
      <c r="AN243" s="140"/>
      <c r="AO243" s="140"/>
      <c r="AP243" s="140"/>
      <c r="AQ243" s="140"/>
      <c r="AR243" s="140"/>
      <c r="AS243" s="140"/>
    </row>
    <row r="244">
      <c r="A244" s="149"/>
      <c r="B244" s="140"/>
      <c r="C244" s="140"/>
      <c r="D244" s="140"/>
      <c r="E244" s="140"/>
      <c r="F244" s="140"/>
      <c r="G244" s="140"/>
      <c r="H244" s="140"/>
      <c r="I244" s="140"/>
      <c r="J244" s="140"/>
      <c r="K244" s="140"/>
      <c r="L244" s="140"/>
      <c r="M244" s="140"/>
      <c r="N244" s="140"/>
      <c r="O244" s="140"/>
      <c r="P244" s="140"/>
      <c r="Q244" s="140"/>
      <c r="R244" s="140"/>
      <c r="S244" s="150"/>
      <c r="T244" s="150"/>
      <c r="U244" s="140"/>
      <c r="V244" s="140"/>
      <c r="W244" s="140"/>
      <c r="X244" s="140"/>
      <c r="Y244" s="140"/>
      <c r="Z244" s="140"/>
      <c r="AA244" s="140"/>
      <c r="AB244" s="140"/>
      <c r="AC244" s="140"/>
      <c r="AD244" s="140"/>
      <c r="AE244" s="140"/>
      <c r="AF244" s="140"/>
      <c r="AG244" s="140"/>
      <c r="AH244" s="140"/>
      <c r="AI244" s="140"/>
      <c r="AJ244" s="140"/>
      <c r="AK244" s="140"/>
      <c r="AL244" s="140"/>
      <c r="AM244" s="140"/>
      <c r="AN244" s="140"/>
      <c r="AO244" s="140"/>
      <c r="AP244" s="140"/>
      <c r="AQ244" s="140"/>
      <c r="AR244" s="140"/>
      <c r="AS244" s="140"/>
    </row>
    <row r="245">
      <c r="A245" s="149"/>
      <c r="B245" s="140"/>
      <c r="C245" s="140"/>
      <c r="D245" s="140"/>
      <c r="E245" s="140"/>
      <c r="F245" s="140"/>
      <c r="G245" s="140"/>
      <c r="H245" s="140"/>
      <c r="I245" s="140"/>
      <c r="J245" s="140"/>
      <c r="K245" s="140"/>
      <c r="L245" s="140"/>
      <c r="M245" s="140"/>
      <c r="N245" s="140"/>
      <c r="O245" s="140"/>
      <c r="P245" s="140"/>
      <c r="Q245" s="140"/>
      <c r="R245" s="140"/>
      <c r="S245" s="150"/>
      <c r="T245" s="150"/>
      <c r="U245" s="140"/>
      <c r="V245" s="140"/>
      <c r="W245" s="140"/>
      <c r="X245" s="140"/>
      <c r="Y245" s="140"/>
      <c r="Z245" s="140"/>
      <c r="AA245" s="140"/>
      <c r="AB245" s="140"/>
      <c r="AC245" s="140"/>
      <c r="AD245" s="140"/>
      <c r="AE245" s="140"/>
      <c r="AF245" s="140"/>
      <c r="AG245" s="140"/>
      <c r="AH245" s="140"/>
      <c r="AI245" s="140"/>
      <c r="AJ245" s="140"/>
      <c r="AK245" s="140"/>
      <c r="AL245" s="140"/>
      <c r="AM245" s="140"/>
      <c r="AN245" s="140"/>
      <c r="AO245" s="140"/>
      <c r="AP245" s="140"/>
      <c r="AQ245" s="140"/>
      <c r="AR245" s="140"/>
      <c r="AS245" s="140"/>
    </row>
    <row r="246">
      <c r="A246" s="149"/>
      <c r="B246" s="140"/>
      <c r="C246" s="140"/>
      <c r="D246" s="140"/>
      <c r="E246" s="140"/>
      <c r="F246" s="140"/>
      <c r="G246" s="140"/>
      <c r="H246" s="140"/>
      <c r="I246" s="140"/>
      <c r="J246" s="140"/>
      <c r="K246" s="140"/>
      <c r="L246" s="140"/>
      <c r="M246" s="140"/>
      <c r="N246" s="140"/>
      <c r="O246" s="140"/>
      <c r="P246" s="140"/>
      <c r="Q246" s="140"/>
      <c r="R246" s="140"/>
      <c r="S246" s="150"/>
      <c r="T246" s="150"/>
      <c r="U246" s="140"/>
      <c r="V246" s="140"/>
      <c r="W246" s="140"/>
      <c r="X246" s="140"/>
      <c r="Y246" s="140"/>
      <c r="Z246" s="140"/>
      <c r="AA246" s="140"/>
      <c r="AB246" s="140"/>
      <c r="AC246" s="140"/>
      <c r="AD246" s="140"/>
      <c r="AE246" s="140"/>
      <c r="AF246" s="140"/>
      <c r="AG246" s="140"/>
      <c r="AH246" s="140"/>
      <c r="AI246" s="140"/>
      <c r="AJ246" s="140"/>
      <c r="AK246" s="140"/>
      <c r="AL246" s="140"/>
      <c r="AM246" s="140"/>
      <c r="AN246" s="140"/>
      <c r="AO246" s="140"/>
      <c r="AP246" s="140"/>
      <c r="AQ246" s="140"/>
      <c r="AR246" s="140"/>
      <c r="AS246" s="140"/>
    </row>
    <row r="247">
      <c r="A247" s="149"/>
      <c r="B247" s="140"/>
      <c r="C247" s="140"/>
      <c r="D247" s="140"/>
      <c r="E247" s="140"/>
      <c r="F247" s="140"/>
      <c r="G247" s="140"/>
      <c r="H247" s="140"/>
      <c r="I247" s="140"/>
      <c r="J247" s="140"/>
      <c r="K247" s="140"/>
      <c r="L247" s="140"/>
      <c r="M247" s="140"/>
      <c r="N247" s="140"/>
      <c r="O247" s="140"/>
      <c r="P247" s="140"/>
      <c r="Q247" s="140"/>
      <c r="R247" s="140"/>
      <c r="S247" s="150"/>
      <c r="T247" s="150"/>
      <c r="U247" s="140"/>
      <c r="V247" s="140"/>
      <c r="W247" s="140"/>
      <c r="X247" s="140"/>
      <c r="Y247" s="140"/>
      <c r="Z247" s="140"/>
      <c r="AA247" s="140"/>
      <c r="AB247" s="140"/>
      <c r="AC247" s="140"/>
      <c r="AD247" s="140"/>
      <c r="AE247" s="140"/>
      <c r="AF247" s="140"/>
      <c r="AG247" s="140"/>
      <c r="AH247" s="140"/>
      <c r="AI247" s="140"/>
      <c r="AJ247" s="140"/>
      <c r="AK247" s="140"/>
      <c r="AL247" s="140"/>
      <c r="AM247" s="140"/>
      <c r="AN247" s="140"/>
      <c r="AO247" s="140"/>
      <c r="AP247" s="140"/>
      <c r="AQ247" s="140"/>
      <c r="AR247" s="140"/>
      <c r="AS247" s="140"/>
    </row>
    <row r="248">
      <c r="A248" s="149"/>
      <c r="B248" s="140"/>
      <c r="C248" s="140"/>
      <c r="D248" s="140"/>
      <c r="E248" s="140"/>
      <c r="F248" s="140"/>
      <c r="G248" s="140"/>
      <c r="H248" s="140"/>
      <c r="I248" s="140"/>
      <c r="J248" s="140"/>
      <c r="K248" s="140"/>
      <c r="L248" s="140"/>
      <c r="M248" s="140"/>
      <c r="N248" s="140"/>
      <c r="O248" s="140"/>
      <c r="P248" s="140"/>
      <c r="Q248" s="140"/>
      <c r="R248" s="140"/>
      <c r="S248" s="150"/>
      <c r="T248" s="150"/>
      <c r="U248" s="140"/>
      <c r="V248" s="140"/>
      <c r="W248" s="140"/>
      <c r="X248" s="140"/>
      <c r="Y248" s="140"/>
      <c r="Z248" s="140"/>
      <c r="AA248" s="140"/>
      <c r="AB248" s="140"/>
      <c r="AC248" s="140"/>
      <c r="AD248" s="140"/>
      <c r="AE248" s="140"/>
      <c r="AF248" s="140"/>
      <c r="AG248" s="140"/>
      <c r="AH248" s="140"/>
      <c r="AI248" s="140"/>
      <c r="AJ248" s="140"/>
      <c r="AK248" s="140"/>
      <c r="AL248" s="140"/>
      <c r="AM248" s="140"/>
      <c r="AN248" s="140"/>
      <c r="AO248" s="140"/>
      <c r="AP248" s="140"/>
      <c r="AQ248" s="140"/>
      <c r="AR248" s="140"/>
      <c r="AS248" s="140"/>
    </row>
    <row r="249">
      <c r="A249" s="149"/>
      <c r="B249" s="140"/>
      <c r="C249" s="140"/>
      <c r="D249" s="140"/>
      <c r="E249" s="140"/>
      <c r="F249" s="140"/>
      <c r="G249" s="140"/>
      <c r="H249" s="140"/>
      <c r="I249" s="140"/>
      <c r="J249" s="140"/>
      <c r="K249" s="140"/>
      <c r="L249" s="140"/>
      <c r="M249" s="140"/>
      <c r="N249" s="140"/>
      <c r="O249" s="140"/>
      <c r="P249" s="140"/>
      <c r="Q249" s="140"/>
      <c r="R249" s="140"/>
      <c r="S249" s="150"/>
      <c r="T249" s="150"/>
      <c r="U249" s="140"/>
      <c r="V249" s="140"/>
      <c r="W249" s="140"/>
      <c r="X249" s="140"/>
      <c r="Y249" s="140"/>
      <c r="Z249" s="140"/>
      <c r="AA249" s="140"/>
      <c r="AB249" s="140"/>
      <c r="AC249" s="140"/>
      <c r="AD249" s="140"/>
      <c r="AE249" s="140"/>
      <c r="AF249" s="140"/>
      <c r="AG249" s="140"/>
      <c r="AH249" s="140"/>
      <c r="AI249" s="140"/>
      <c r="AJ249" s="140"/>
      <c r="AK249" s="140"/>
      <c r="AL249" s="140"/>
      <c r="AM249" s="140"/>
      <c r="AN249" s="140"/>
      <c r="AO249" s="140"/>
      <c r="AP249" s="140"/>
      <c r="AQ249" s="140"/>
      <c r="AR249" s="140"/>
      <c r="AS249" s="140"/>
    </row>
    <row r="250">
      <c r="A250" s="149"/>
      <c r="B250" s="140"/>
      <c r="C250" s="140"/>
      <c r="D250" s="140"/>
      <c r="E250" s="140"/>
      <c r="F250" s="140"/>
      <c r="G250" s="140"/>
      <c r="H250" s="140"/>
      <c r="I250" s="140"/>
      <c r="J250" s="140"/>
      <c r="K250" s="140"/>
      <c r="L250" s="140"/>
      <c r="M250" s="140"/>
      <c r="N250" s="140"/>
      <c r="O250" s="140"/>
      <c r="P250" s="140"/>
      <c r="Q250" s="140"/>
      <c r="R250" s="140"/>
      <c r="S250" s="150"/>
      <c r="T250" s="150"/>
      <c r="U250" s="140"/>
      <c r="V250" s="140"/>
      <c r="W250" s="140"/>
      <c r="X250" s="140"/>
      <c r="Y250" s="140"/>
      <c r="Z250" s="140"/>
      <c r="AA250" s="140"/>
      <c r="AB250" s="140"/>
      <c r="AC250" s="140"/>
      <c r="AD250" s="140"/>
      <c r="AE250" s="140"/>
      <c r="AF250" s="140"/>
      <c r="AG250" s="140"/>
      <c r="AH250" s="140"/>
      <c r="AI250" s="140"/>
      <c r="AJ250" s="140"/>
      <c r="AK250" s="140"/>
      <c r="AL250" s="140"/>
      <c r="AM250" s="140"/>
      <c r="AN250" s="140"/>
      <c r="AO250" s="140"/>
      <c r="AP250" s="140"/>
      <c r="AQ250" s="140"/>
      <c r="AR250" s="140"/>
      <c r="AS250" s="140"/>
    </row>
    <row r="251">
      <c r="A251" s="149"/>
      <c r="B251" s="140"/>
      <c r="C251" s="140"/>
      <c r="D251" s="140"/>
      <c r="E251" s="140"/>
      <c r="F251" s="140"/>
      <c r="G251" s="140"/>
      <c r="H251" s="140"/>
      <c r="I251" s="140"/>
      <c r="J251" s="140"/>
      <c r="K251" s="140"/>
      <c r="L251" s="140"/>
      <c r="M251" s="140"/>
      <c r="N251" s="140"/>
      <c r="O251" s="140"/>
      <c r="P251" s="140"/>
      <c r="Q251" s="140"/>
      <c r="R251" s="140"/>
      <c r="S251" s="150"/>
      <c r="T251" s="150"/>
      <c r="U251" s="140"/>
      <c r="V251" s="140"/>
      <c r="W251" s="140"/>
      <c r="X251" s="140"/>
      <c r="Y251" s="140"/>
      <c r="Z251" s="140"/>
      <c r="AA251" s="140"/>
      <c r="AB251" s="140"/>
      <c r="AC251" s="140"/>
      <c r="AD251" s="140"/>
      <c r="AE251" s="140"/>
      <c r="AF251" s="140"/>
      <c r="AG251" s="140"/>
      <c r="AH251" s="140"/>
      <c r="AI251" s="140"/>
      <c r="AJ251" s="140"/>
      <c r="AK251" s="140"/>
      <c r="AL251" s="140"/>
      <c r="AM251" s="140"/>
      <c r="AN251" s="140"/>
      <c r="AO251" s="140"/>
      <c r="AP251" s="140"/>
      <c r="AQ251" s="140"/>
      <c r="AR251" s="140"/>
      <c r="AS251" s="140"/>
    </row>
    <row r="252">
      <c r="A252" s="149"/>
      <c r="B252" s="140"/>
      <c r="C252" s="140"/>
      <c r="D252" s="140"/>
      <c r="E252" s="140"/>
      <c r="F252" s="140"/>
      <c r="G252" s="140"/>
      <c r="H252" s="140"/>
      <c r="I252" s="140"/>
      <c r="J252" s="140"/>
      <c r="K252" s="140"/>
      <c r="L252" s="140"/>
      <c r="M252" s="140"/>
      <c r="N252" s="140"/>
      <c r="O252" s="140"/>
      <c r="P252" s="140"/>
      <c r="Q252" s="140"/>
      <c r="R252" s="140"/>
      <c r="S252" s="150"/>
      <c r="T252" s="150"/>
      <c r="U252" s="140"/>
      <c r="V252" s="140"/>
      <c r="W252" s="140"/>
      <c r="X252" s="140"/>
      <c r="Y252" s="140"/>
      <c r="Z252" s="140"/>
      <c r="AA252" s="140"/>
      <c r="AB252" s="140"/>
      <c r="AC252" s="140"/>
      <c r="AD252" s="140"/>
      <c r="AE252" s="140"/>
      <c r="AF252" s="140"/>
      <c r="AG252" s="140"/>
      <c r="AH252" s="140"/>
      <c r="AI252" s="140"/>
      <c r="AJ252" s="140"/>
      <c r="AK252" s="140"/>
      <c r="AL252" s="140"/>
      <c r="AM252" s="140"/>
      <c r="AN252" s="140"/>
      <c r="AO252" s="140"/>
      <c r="AP252" s="140"/>
      <c r="AQ252" s="140"/>
      <c r="AR252" s="140"/>
      <c r="AS252" s="140"/>
    </row>
    <row r="253">
      <c r="A253" s="149"/>
      <c r="B253" s="140"/>
      <c r="C253" s="140"/>
      <c r="D253" s="140"/>
      <c r="E253" s="140"/>
      <c r="F253" s="140"/>
      <c r="G253" s="140"/>
      <c r="H253" s="140"/>
      <c r="I253" s="140"/>
      <c r="J253" s="140"/>
      <c r="K253" s="140"/>
      <c r="L253" s="140"/>
      <c r="M253" s="140"/>
      <c r="N253" s="140"/>
      <c r="O253" s="140"/>
      <c r="P253" s="140"/>
      <c r="Q253" s="140"/>
      <c r="R253" s="140"/>
      <c r="S253" s="150"/>
      <c r="T253" s="150"/>
      <c r="U253" s="140"/>
      <c r="V253" s="140"/>
      <c r="W253" s="140"/>
      <c r="X253" s="140"/>
      <c r="Y253" s="140"/>
      <c r="Z253" s="140"/>
      <c r="AA253" s="140"/>
      <c r="AB253" s="140"/>
      <c r="AC253" s="140"/>
      <c r="AD253" s="140"/>
      <c r="AE253" s="140"/>
      <c r="AF253" s="140"/>
      <c r="AG253" s="140"/>
      <c r="AH253" s="140"/>
      <c r="AI253" s="140"/>
      <c r="AJ253" s="140"/>
      <c r="AK253" s="140"/>
      <c r="AL253" s="140"/>
      <c r="AM253" s="140"/>
      <c r="AN253" s="140"/>
      <c r="AO253" s="140"/>
      <c r="AP253" s="140"/>
      <c r="AQ253" s="140"/>
      <c r="AR253" s="140"/>
      <c r="AS253" s="140"/>
    </row>
    <row r="254">
      <c r="A254" s="149"/>
      <c r="B254" s="140"/>
      <c r="C254" s="140"/>
      <c r="D254" s="140"/>
      <c r="E254" s="140"/>
      <c r="F254" s="140"/>
      <c r="G254" s="140"/>
      <c r="H254" s="140"/>
      <c r="I254" s="140"/>
      <c r="J254" s="140"/>
      <c r="K254" s="140"/>
      <c r="L254" s="140"/>
      <c r="M254" s="140"/>
      <c r="N254" s="140"/>
      <c r="O254" s="140"/>
      <c r="P254" s="140"/>
      <c r="Q254" s="140"/>
      <c r="R254" s="140"/>
      <c r="S254" s="150"/>
      <c r="T254" s="150"/>
      <c r="U254" s="140"/>
      <c r="V254" s="140"/>
      <c r="W254" s="140"/>
      <c r="X254" s="140"/>
      <c r="Y254" s="140"/>
      <c r="Z254" s="140"/>
      <c r="AA254" s="140"/>
      <c r="AB254" s="140"/>
      <c r="AC254" s="140"/>
      <c r="AD254" s="140"/>
      <c r="AE254" s="140"/>
      <c r="AF254" s="140"/>
      <c r="AG254" s="140"/>
      <c r="AH254" s="140"/>
      <c r="AI254" s="140"/>
      <c r="AJ254" s="140"/>
      <c r="AK254" s="140"/>
      <c r="AL254" s="140"/>
      <c r="AM254" s="140"/>
      <c r="AN254" s="140"/>
      <c r="AO254" s="140"/>
      <c r="AP254" s="140"/>
      <c r="AQ254" s="140"/>
      <c r="AR254" s="140"/>
      <c r="AS254" s="140"/>
    </row>
    <row r="255">
      <c r="A255" s="149"/>
      <c r="B255" s="140"/>
      <c r="C255" s="140"/>
      <c r="D255" s="140"/>
      <c r="E255" s="140"/>
      <c r="F255" s="140"/>
      <c r="G255" s="140"/>
      <c r="H255" s="140"/>
      <c r="I255" s="140"/>
      <c r="J255" s="140"/>
      <c r="K255" s="140"/>
      <c r="L255" s="140"/>
      <c r="M255" s="140"/>
      <c r="N255" s="140"/>
      <c r="O255" s="140"/>
      <c r="P255" s="140"/>
      <c r="Q255" s="140"/>
      <c r="R255" s="140"/>
      <c r="S255" s="150"/>
      <c r="T255" s="150"/>
      <c r="U255" s="140"/>
      <c r="V255" s="140"/>
      <c r="W255" s="140"/>
      <c r="X255" s="140"/>
      <c r="Y255" s="140"/>
      <c r="Z255" s="140"/>
      <c r="AA255" s="140"/>
      <c r="AB255" s="140"/>
      <c r="AC255" s="140"/>
      <c r="AD255" s="140"/>
      <c r="AE255" s="140"/>
      <c r="AF255" s="140"/>
      <c r="AG255" s="140"/>
      <c r="AH255" s="140"/>
      <c r="AI255" s="140"/>
      <c r="AJ255" s="140"/>
      <c r="AK255" s="140"/>
      <c r="AL255" s="140"/>
      <c r="AM255" s="140"/>
      <c r="AN255" s="140"/>
      <c r="AO255" s="140"/>
      <c r="AP255" s="140"/>
      <c r="AQ255" s="140"/>
      <c r="AR255" s="140"/>
      <c r="AS255" s="140"/>
    </row>
    <row r="256">
      <c r="A256" s="149"/>
      <c r="B256" s="140"/>
      <c r="C256" s="140"/>
      <c r="D256" s="140"/>
      <c r="E256" s="140"/>
      <c r="F256" s="140"/>
      <c r="G256" s="140"/>
      <c r="H256" s="140"/>
      <c r="I256" s="140"/>
      <c r="J256" s="140"/>
      <c r="K256" s="140"/>
      <c r="L256" s="140"/>
      <c r="M256" s="140"/>
      <c r="N256" s="140"/>
      <c r="O256" s="140"/>
      <c r="P256" s="140"/>
      <c r="Q256" s="140"/>
      <c r="R256" s="140"/>
      <c r="S256" s="150"/>
      <c r="T256" s="150"/>
      <c r="U256" s="140"/>
      <c r="V256" s="140"/>
      <c r="W256" s="140"/>
      <c r="X256" s="140"/>
      <c r="Y256" s="140"/>
      <c r="Z256" s="140"/>
      <c r="AA256" s="140"/>
      <c r="AB256" s="140"/>
      <c r="AC256" s="140"/>
      <c r="AD256" s="140"/>
      <c r="AE256" s="140"/>
      <c r="AF256" s="140"/>
      <c r="AG256" s="140"/>
      <c r="AH256" s="140"/>
      <c r="AI256" s="140"/>
      <c r="AJ256" s="140"/>
      <c r="AK256" s="140"/>
      <c r="AL256" s="140"/>
      <c r="AM256" s="140"/>
      <c r="AN256" s="140"/>
      <c r="AO256" s="140"/>
      <c r="AP256" s="140"/>
      <c r="AQ256" s="140"/>
      <c r="AR256" s="140"/>
      <c r="AS256" s="140"/>
    </row>
    <row r="257">
      <c r="A257" s="149"/>
      <c r="B257" s="140"/>
      <c r="C257" s="140"/>
      <c r="D257" s="140"/>
      <c r="E257" s="140"/>
      <c r="F257" s="140"/>
      <c r="G257" s="140"/>
      <c r="H257" s="140"/>
      <c r="I257" s="140"/>
      <c r="J257" s="140"/>
      <c r="K257" s="140"/>
      <c r="L257" s="140"/>
      <c r="M257" s="140"/>
      <c r="N257" s="140"/>
      <c r="O257" s="140"/>
      <c r="P257" s="140"/>
      <c r="Q257" s="140"/>
      <c r="R257" s="140"/>
      <c r="S257" s="150"/>
      <c r="T257" s="150"/>
      <c r="U257" s="140"/>
      <c r="V257" s="140"/>
      <c r="W257" s="140"/>
      <c r="X257" s="140"/>
      <c r="Y257" s="140"/>
      <c r="Z257" s="140"/>
      <c r="AA257" s="140"/>
      <c r="AB257" s="140"/>
      <c r="AC257" s="140"/>
      <c r="AD257" s="140"/>
      <c r="AE257" s="140"/>
      <c r="AF257" s="140"/>
      <c r="AG257" s="140"/>
      <c r="AH257" s="140"/>
      <c r="AI257" s="140"/>
      <c r="AJ257" s="140"/>
      <c r="AK257" s="140"/>
      <c r="AL257" s="140"/>
      <c r="AM257" s="140"/>
      <c r="AN257" s="140"/>
      <c r="AO257" s="140"/>
      <c r="AP257" s="140"/>
      <c r="AQ257" s="140"/>
      <c r="AR257" s="140"/>
      <c r="AS257" s="140"/>
    </row>
    <row r="258">
      <c r="A258" s="149"/>
      <c r="B258" s="140"/>
      <c r="C258" s="140"/>
      <c r="D258" s="140"/>
      <c r="E258" s="140"/>
      <c r="F258" s="140"/>
      <c r="G258" s="140"/>
      <c r="H258" s="140"/>
      <c r="I258" s="140"/>
      <c r="J258" s="140"/>
      <c r="K258" s="140"/>
      <c r="L258" s="140"/>
      <c r="M258" s="140"/>
      <c r="N258" s="140"/>
      <c r="O258" s="140"/>
      <c r="P258" s="140"/>
      <c r="Q258" s="140"/>
      <c r="R258" s="140"/>
      <c r="S258" s="150"/>
      <c r="T258" s="150"/>
      <c r="U258" s="140"/>
      <c r="V258" s="140"/>
      <c r="W258" s="140"/>
      <c r="X258" s="140"/>
      <c r="Y258" s="140"/>
      <c r="Z258" s="140"/>
      <c r="AA258" s="140"/>
      <c r="AB258" s="140"/>
      <c r="AC258" s="140"/>
      <c r="AD258" s="140"/>
      <c r="AE258" s="140"/>
      <c r="AF258" s="140"/>
      <c r="AG258" s="140"/>
      <c r="AH258" s="140"/>
      <c r="AI258" s="140"/>
      <c r="AJ258" s="140"/>
      <c r="AK258" s="140"/>
      <c r="AL258" s="140"/>
      <c r="AM258" s="140"/>
      <c r="AN258" s="140"/>
      <c r="AO258" s="140"/>
      <c r="AP258" s="140"/>
      <c r="AQ258" s="140"/>
      <c r="AR258" s="140"/>
      <c r="AS258" s="140"/>
    </row>
    <row r="259">
      <c r="A259" s="149"/>
      <c r="B259" s="140"/>
      <c r="C259" s="140"/>
      <c r="D259" s="140"/>
      <c r="E259" s="140"/>
      <c r="F259" s="140"/>
      <c r="G259" s="140"/>
      <c r="H259" s="140"/>
      <c r="I259" s="140"/>
      <c r="J259" s="140"/>
      <c r="K259" s="140"/>
      <c r="L259" s="140"/>
      <c r="M259" s="140"/>
      <c r="N259" s="140"/>
      <c r="O259" s="140"/>
      <c r="P259" s="140"/>
      <c r="Q259" s="140"/>
      <c r="R259" s="140"/>
      <c r="S259" s="150"/>
      <c r="T259" s="150"/>
      <c r="U259" s="140"/>
      <c r="V259" s="140"/>
      <c r="W259" s="140"/>
      <c r="X259" s="140"/>
      <c r="Y259" s="140"/>
      <c r="Z259" s="140"/>
      <c r="AA259" s="140"/>
      <c r="AB259" s="140"/>
      <c r="AC259" s="140"/>
      <c r="AD259" s="140"/>
      <c r="AE259" s="140"/>
      <c r="AF259" s="140"/>
      <c r="AG259" s="140"/>
      <c r="AH259" s="140"/>
      <c r="AI259" s="140"/>
      <c r="AJ259" s="140"/>
      <c r="AK259" s="140"/>
      <c r="AL259" s="140"/>
      <c r="AM259" s="140"/>
      <c r="AN259" s="140"/>
      <c r="AO259" s="140"/>
      <c r="AP259" s="140"/>
      <c r="AQ259" s="140"/>
      <c r="AR259" s="140"/>
      <c r="AS259" s="140"/>
    </row>
    <row r="260">
      <c r="A260" s="149"/>
      <c r="B260" s="140"/>
      <c r="C260" s="140"/>
      <c r="D260" s="140"/>
      <c r="E260" s="140"/>
      <c r="F260" s="140"/>
      <c r="G260" s="140"/>
      <c r="H260" s="140"/>
      <c r="I260" s="140"/>
      <c r="J260" s="140"/>
      <c r="K260" s="140"/>
      <c r="L260" s="140"/>
      <c r="M260" s="140"/>
      <c r="N260" s="140"/>
      <c r="O260" s="140"/>
      <c r="P260" s="140"/>
      <c r="Q260" s="140"/>
      <c r="R260" s="140"/>
      <c r="S260" s="150"/>
      <c r="T260" s="150"/>
      <c r="U260" s="140"/>
      <c r="V260" s="140"/>
      <c r="W260" s="140"/>
      <c r="X260" s="140"/>
      <c r="Y260" s="140"/>
      <c r="Z260" s="140"/>
      <c r="AA260" s="140"/>
      <c r="AB260" s="140"/>
      <c r="AC260" s="140"/>
      <c r="AD260" s="140"/>
      <c r="AE260" s="140"/>
      <c r="AF260" s="140"/>
      <c r="AG260" s="140"/>
      <c r="AH260" s="140"/>
      <c r="AI260" s="140"/>
      <c r="AJ260" s="140"/>
      <c r="AK260" s="140"/>
      <c r="AL260" s="140"/>
      <c r="AM260" s="140"/>
      <c r="AN260" s="140"/>
      <c r="AO260" s="140"/>
      <c r="AP260" s="140"/>
      <c r="AQ260" s="140"/>
      <c r="AR260" s="140"/>
      <c r="AS260" s="140"/>
    </row>
    <row r="261">
      <c r="A261" s="149"/>
      <c r="B261" s="140"/>
      <c r="C261" s="140"/>
      <c r="D261" s="140"/>
      <c r="E261" s="140"/>
      <c r="F261" s="140"/>
      <c r="G261" s="140"/>
      <c r="H261" s="140"/>
      <c r="I261" s="140"/>
      <c r="J261" s="140"/>
      <c r="K261" s="140"/>
      <c r="L261" s="140"/>
      <c r="M261" s="140"/>
      <c r="N261" s="140"/>
      <c r="O261" s="140"/>
      <c r="P261" s="140"/>
      <c r="Q261" s="140"/>
      <c r="R261" s="140"/>
      <c r="S261" s="150"/>
      <c r="T261" s="150"/>
      <c r="U261" s="140"/>
      <c r="V261" s="140"/>
      <c r="W261" s="140"/>
      <c r="X261" s="140"/>
      <c r="Y261" s="140"/>
      <c r="Z261" s="140"/>
      <c r="AA261" s="140"/>
      <c r="AB261" s="140"/>
      <c r="AC261" s="140"/>
      <c r="AD261" s="140"/>
      <c r="AE261" s="140"/>
      <c r="AF261" s="140"/>
      <c r="AG261" s="140"/>
      <c r="AH261" s="140"/>
      <c r="AI261" s="140"/>
      <c r="AJ261" s="140"/>
      <c r="AK261" s="140"/>
      <c r="AL261" s="140"/>
      <c r="AM261" s="140"/>
      <c r="AN261" s="140"/>
      <c r="AO261" s="140"/>
      <c r="AP261" s="140"/>
      <c r="AQ261" s="140"/>
      <c r="AR261" s="140"/>
      <c r="AS261" s="140"/>
    </row>
    <row r="262">
      <c r="A262" s="149"/>
      <c r="B262" s="140"/>
      <c r="C262" s="140"/>
      <c r="D262" s="140"/>
      <c r="E262" s="140"/>
      <c r="F262" s="140"/>
      <c r="G262" s="140"/>
      <c r="H262" s="140"/>
      <c r="I262" s="140"/>
      <c r="J262" s="140"/>
      <c r="K262" s="140"/>
      <c r="L262" s="140"/>
      <c r="M262" s="140"/>
      <c r="N262" s="140"/>
      <c r="O262" s="140"/>
      <c r="P262" s="140"/>
      <c r="Q262" s="140"/>
      <c r="R262" s="140"/>
      <c r="S262" s="150"/>
      <c r="T262" s="150"/>
      <c r="U262" s="140"/>
      <c r="V262" s="140"/>
      <c r="W262" s="140"/>
      <c r="X262" s="140"/>
      <c r="Y262" s="140"/>
      <c r="Z262" s="140"/>
      <c r="AA262" s="140"/>
      <c r="AB262" s="140"/>
      <c r="AC262" s="140"/>
      <c r="AD262" s="140"/>
      <c r="AE262" s="140"/>
      <c r="AF262" s="140"/>
      <c r="AG262" s="140"/>
      <c r="AH262" s="140"/>
      <c r="AI262" s="140"/>
      <c r="AJ262" s="140"/>
      <c r="AK262" s="140"/>
      <c r="AL262" s="140"/>
      <c r="AM262" s="140"/>
      <c r="AN262" s="140"/>
      <c r="AO262" s="140"/>
      <c r="AP262" s="140"/>
      <c r="AQ262" s="140"/>
      <c r="AR262" s="140"/>
      <c r="AS262" s="140"/>
    </row>
    <row r="263">
      <c r="A263" s="149"/>
      <c r="B263" s="140"/>
      <c r="C263" s="140"/>
      <c r="D263" s="140"/>
      <c r="E263" s="140"/>
      <c r="F263" s="140"/>
      <c r="G263" s="140"/>
      <c r="H263" s="140"/>
      <c r="I263" s="140"/>
      <c r="J263" s="140"/>
      <c r="K263" s="140"/>
      <c r="L263" s="140"/>
      <c r="M263" s="140"/>
      <c r="N263" s="140"/>
      <c r="O263" s="140"/>
      <c r="P263" s="140"/>
      <c r="Q263" s="140"/>
      <c r="R263" s="140"/>
      <c r="S263" s="150"/>
      <c r="T263" s="150"/>
      <c r="U263" s="140"/>
      <c r="V263" s="140"/>
      <c r="W263" s="140"/>
      <c r="X263" s="140"/>
      <c r="Y263" s="140"/>
      <c r="Z263" s="140"/>
      <c r="AA263" s="140"/>
      <c r="AB263" s="140"/>
      <c r="AC263" s="140"/>
      <c r="AD263" s="140"/>
      <c r="AE263" s="140"/>
      <c r="AF263" s="140"/>
      <c r="AG263" s="140"/>
      <c r="AH263" s="140"/>
      <c r="AI263" s="140"/>
      <c r="AJ263" s="140"/>
      <c r="AK263" s="140"/>
      <c r="AL263" s="140"/>
      <c r="AM263" s="140"/>
      <c r="AN263" s="140"/>
      <c r="AO263" s="140"/>
      <c r="AP263" s="140"/>
      <c r="AQ263" s="140"/>
      <c r="AR263" s="140"/>
      <c r="AS263" s="140"/>
    </row>
    <row r="264">
      <c r="A264" s="149"/>
      <c r="B264" s="140"/>
      <c r="C264" s="140"/>
      <c r="D264" s="140"/>
      <c r="E264" s="140"/>
      <c r="F264" s="140"/>
      <c r="G264" s="140"/>
      <c r="H264" s="140"/>
      <c r="I264" s="140"/>
      <c r="J264" s="140"/>
      <c r="K264" s="140"/>
      <c r="L264" s="140"/>
      <c r="M264" s="140"/>
      <c r="N264" s="140"/>
      <c r="O264" s="140"/>
      <c r="P264" s="140"/>
      <c r="Q264" s="140"/>
      <c r="R264" s="140"/>
      <c r="S264" s="150"/>
      <c r="T264" s="150"/>
      <c r="U264" s="140"/>
      <c r="V264" s="140"/>
      <c r="W264" s="140"/>
      <c r="X264" s="140"/>
      <c r="Y264" s="140"/>
      <c r="Z264" s="140"/>
      <c r="AA264" s="140"/>
      <c r="AB264" s="140"/>
      <c r="AC264" s="140"/>
      <c r="AD264" s="140"/>
      <c r="AE264" s="140"/>
      <c r="AF264" s="140"/>
      <c r="AG264" s="140"/>
      <c r="AH264" s="140"/>
      <c r="AI264" s="140"/>
      <c r="AJ264" s="140"/>
      <c r="AK264" s="140"/>
      <c r="AL264" s="140"/>
      <c r="AM264" s="140"/>
      <c r="AN264" s="140"/>
      <c r="AO264" s="140"/>
      <c r="AP264" s="140"/>
      <c r="AQ264" s="140"/>
      <c r="AR264" s="140"/>
      <c r="AS264" s="140"/>
    </row>
    <row r="265">
      <c r="A265" s="149"/>
      <c r="B265" s="140"/>
      <c r="C265" s="140"/>
      <c r="D265" s="140"/>
      <c r="E265" s="140"/>
      <c r="F265" s="140"/>
      <c r="G265" s="140"/>
      <c r="H265" s="140"/>
      <c r="I265" s="140"/>
      <c r="J265" s="140"/>
      <c r="K265" s="140"/>
      <c r="L265" s="140"/>
      <c r="M265" s="140"/>
      <c r="N265" s="140"/>
      <c r="O265" s="140"/>
      <c r="P265" s="140"/>
      <c r="Q265" s="140"/>
      <c r="R265" s="140"/>
      <c r="S265" s="150"/>
      <c r="T265" s="150"/>
      <c r="U265" s="140"/>
      <c r="V265" s="140"/>
      <c r="W265" s="140"/>
      <c r="X265" s="140"/>
      <c r="Y265" s="140"/>
      <c r="Z265" s="140"/>
      <c r="AA265" s="140"/>
      <c r="AB265" s="140"/>
      <c r="AC265" s="140"/>
      <c r="AD265" s="140"/>
      <c r="AE265" s="140"/>
      <c r="AF265" s="140"/>
      <c r="AG265" s="140"/>
      <c r="AH265" s="140"/>
      <c r="AI265" s="140"/>
      <c r="AJ265" s="140"/>
      <c r="AK265" s="140"/>
      <c r="AL265" s="140"/>
      <c r="AM265" s="140"/>
      <c r="AN265" s="140"/>
      <c r="AO265" s="140"/>
      <c r="AP265" s="140"/>
      <c r="AQ265" s="140"/>
      <c r="AR265" s="140"/>
      <c r="AS265" s="140"/>
    </row>
    <row r="266">
      <c r="A266" s="149"/>
      <c r="B266" s="140"/>
      <c r="C266" s="140"/>
      <c r="D266" s="140"/>
      <c r="E266" s="140"/>
      <c r="F266" s="140"/>
      <c r="G266" s="140"/>
      <c r="H266" s="140"/>
      <c r="I266" s="140"/>
      <c r="J266" s="140"/>
      <c r="K266" s="140"/>
      <c r="L266" s="140"/>
      <c r="M266" s="140"/>
      <c r="N266" s="140"/>
      <c r="O266" s="140"/>
      <c r="P266" s="140"/>
      <c r="Q266" s="140"/>
      <c r="R266" s="140"/>
      <c r="S266" s="150"/>
      <c r="T266" s="150"/>
      <c r="U266" s="140"/>
      <c r="V266" s="140"/>
      <c r="W266" s="140"/>
      <c r="X266" s="140"/>
      <c r="Y266" s="140"/>
      <c r="Z266" s="140"/>
      <c r="AA266" s="140"/>
      <c r="AB266" s="140"/>
      <c r="AC266" s="140"/>
      <c r="AD266" s="140"/>
      <c r="AE266" s="140"/>
      <c r="AF266" s="140"/>
      <c r="AG266" s="140"/>
      <c r="AH266" s="140"/>
      <c r="AI266" s="140"/>
      <c r="AJ266" s="140"/>
      <c r="AK266" s="140"/>
      <c r="AL266" s="140"/>
      <c r="AM266" s="140"/>
      <c r="AN266" s="140"/>
      <c r="AO266" s="140"/>
      <c r="AP266" s="140"/>
      <c r="AQ266" s="140"/>
      <c r="AR266" s="140"/>
      <c r="AS266" s="140"/>
    </row>
    <row r="267">
      <c r="A267" s="149"/>
      <c r="B267" s="140"/>
      <c r="C267" s="140"/>
      <c r="D267" s="140"/>
      <c r="E267" s="140"/>
      <c r="F267" s="140"/>
      <c r="G267" s="140"/>
      <c r="H267" s="140"/>
      <c r="I267" s="140"/>
      <c r="J267" s="140"/>
      <c r="K267" s="140"/>
      <c r="L267" s="140"/>
      <c r="M267" s="140"/>
      <c r="N267" s="140"/>
      <c r="O267" s="140"/>
      <c r="P267" s="140"/>
      <c r="Q267" s="140"/>
      <c r="R267" s="140"/>
      <c r="S267" s="150"/>
      <c r="T267" s="150"/>
      <c r="U267" s="140"/>
      <c r="V267" s="140"/>
      <c r="W267" s="140"/>
      <c r="X267" s="140"/>
      <c r="Y267" s="140"/>
      <c r="Z267" s="140"/>
      <c r="AA267" s="140"/>
      <c r="AB267" s="140"/>
      <c r="AC267" s="140"/>
      <c r="AD267" s="140"/>
      <c r="AE267" s="140"/>
      <c r="AF267" s="140"/>
      <c r="AG267" s="140"/>
      <c r="AH267" s="140"/>
      <c r="AI267" s="140"/>
      <c r="AJ267" s="140"/>
      <c r="AK267" s="140"/>
      <c r="AL267" s="140"/>
      <c r="AM267" s="140"/>
      <c r="AN267" s="140"/>
      <c r="AO267" s="140"/>
      <c r="AP267" s="140"/>
      <c r="AQ267" s="140"/>
      <c r="AR267" s="140"/>
      <c r="AS267" s="140"/>
    </row>
    <row r="268">
      <c r="A268" s="149"/>
      <c r="B268" s="140"/>
      <c r="C268" s="140"/>
      <c r="D268" s="140"/>
      <c r="E268" s="140"/>
      <c r="F268" s="140"/>
      <c r="G268" s="140"/>
      <c r="H268" s="140"/>
      <c r="I268" s="140"/>
      <c r="J268" s="140"/>
      <c r="K268" s="140"/>
      <c r="L268" s="140"/>
      <c r="M268" s="140"/>
      <c r="N268" s="140"/>
      <c r="O268" s="140"/>
      <c r="P268" s="140"/>
      <c r="Q268" s="140"/>
      <c r="R268" s="140"/>
      <c r="S268" s="150"/>
      <c r="T268" s="150"/>
      <c r="U268" s="140"/>
      <c r="V268" s="140"/>
      <c r="W268" s="140"/>
      <c r="X268" s="140"/>
      <c r="Y268" s="140"/>
      <c r="Z268" s="140"/>
      <c r="AA268" s="140"/>
      <c r="AB268" s="140"/>
      <c r="AC268" s="140"/>
      <c r="AD268" s="140"/>
      <c r="AE268" s="140"/>
      <c r="AF268" s="140"/>
      <c r="AG268" s="140"/>
      <c r="AH268" s="140"/>
      <c r="AI268" s="140"/>
      <c r="AJ268" s="140"/>
      <c r="AK268" s="140"/>
      <c r="AL268" s="140"/>
      <c r="AM268" s="140"/>
      <c r="AN268" s="140"/>
      <c r="AO268" s="140"/>
      <c r="AP268" s="140"/>
      <c r="AQ268" s="140"/>
      <c r="AR268" s="140"/>
      <c r="AS268" s="140"/>
    </row>
    <row r="269">
      <c r="A269" s="149"/>
      <c r="B269" s="140"/>
      <c r="C269" s="140"/>
      <c r="D269" s="140"/>
      <c r="E269" s="140"/>
      <c r="F269" s="140"/>
      <c r="G269" s="140"/>
      <c r="H269" s="140"/>
      <c r="I269" s="140"/>
      <c r="J269" s="140"/>
      <c r="K269" s="140"/>
      <c r="L269" s="140"/>
      <c r="M269" s="140"/>
      <c r="N269" s="140"/>
      <c r="O269" s="140"/>
      <c r="P269" s="140"/>
      <c r="Q269" s="140"/>
      <c r="R269" s="140"/>
      <c r="S269" s="150"/>
      <c r="T269" s="150"/>
      <c r="U269" s="140"/>
      <c r="V269" s="140"/>
      <c r="W269" s="140"/>
      <c r="X269" s="140"/>
      <c r="Y269" s="140"/>
      <c r="Z269" s="140"/>
      <c r="AA269" s="140"/>
      <c r="AB269" s="140"/>
      <c r="AC269" s="140"/>
      <c r="AD269" s="140"/>
      <c r="AE269" s="140"/>
      <c r="AF269" s="140"/>
      <c r="AG269" s="140"/>
      <c r="AH269" s="140"/>
      <c r="AI269" s="140"/>
      <c r="AJ269" s="140"/>
      <c r="AK269" s="140"/>
      <c r="AL269" s="140"/>
      <c r="AM269" s="140"/>
      <c r="AN269" s="140"/>
      <c r="AO269" s="140"/>
      <c r="AP269" s="140"/>
      <c r="AQ269" s="140"/>
      <c r="AR269" s="140"/>
      <c r="AS269" s="140"/>
    </row>
    <row r="270">
      <c r="A270" s="149"/>
      <c r="B270" s="140"/>
      <c r="C270" s="140"/>
      <c r="D270" s="140"/>
      <c r="E270" s="140"/>
      <c r="F270" s="140"/>
      <c r="G270" s="140"/>
      <c r="H270" s="140"/>
      <c r="I270" s="140"/>
      <c r="J270" s="140"/>
      <c r="K270" s="140"/>
      <c r="L270" s="140"/>
      <c r="M270" s="140"/>
      <c r="N270" s="140"/>
      <c r="O270" s="140"/>
      <c r="P270" s="140"/>
      <c r="Q270" s="140"/>
      <c r="R270" s="140"/>
      <c r="S270" s="150"/>
      <c r="T270" s="150"/>
      <c r="U270" s="140"/>
      <c r="V270" s="140"/>
      <c r="W270" s="140"/>
      <c r="X270" s="140"/>
      <c r="Y270" s="140"/>
      <c r="Z270" s="140"/>
      <c r="AA270" s="140"/>
      <c r="AB270" s="140"/>
      <c r="AC270" s="140"/>
      <c r="AD270" s="140"/>
      <c r="AE270" s="140"/>
      <c r="AF270" s="140"/>
      <c r="AG270" s="140"/>
      <c r="AH270" s="140"/>
      <c r="AI270" s="140"/>
      <c r="AJ270" s="140"/>
      <c r="AK270" s="140"/>
      <c r="AL270" s="140"/>
      <c r="AM270" s="140"/>
      <c r="AN270" s="140"/>
      <c r="AO270" s="140"/>
      <c r="AP270" s="140"/>
      <c r="AQ270" s="140"/>
      <c r="AR270" s="140"/>
      <c r="AS270" s="140"/>
    </row>
    <row r="271">
      <c r="A271" s="149"/>
      <c r="B271" s="140"/>
      <c r="C271" s="140"/>
      <c r="D271" s="140"/>
      <c r="E271" s="140"/>
      <c r="F271" s="140"/>
      <c r="G271" s="140"/>
      <c r="H271" s="140"/>
      <c r="I271" s="140"/>
      <c r="J271" s="140"/>
      <c r="K271" s="140"/>
      <c r="L271" s="140"/>
      <c r="M271" s="140"/>
      <c r="N271" s="140"/>
      <c r="O271" s="140"/>
      <c r="P271" s="140"/>
      <c r="Q271" s="140"/>
      <c r="R271" s="140"/>
      <c r="S271" s="150"/>
      <c r="T271" s="150"/>
      <c r="U271" s="140"/>
      <c r="V271" s="140"/>
      <c r="W271" s="140"/>
      <c r="X271" s="140"/>
      <c r="Y271" s="140"/>
      <c r="Z271" s="140"/>
      <c r="AA271" s="140"/>
      <c r="AB271" s="140"/>
      <c r="AC271" s="140"/>
      <c r="AD271" s="140"/>
      <c r="AE271" s="140"/>
      <c r="AF271" s="140"/>
      <c r="AG271" s="140"/>
      <c r="AH271" s="140"/>
      <c r="AI271" s="140"/>
      <c r="AJ271" s="140"/>
      <c r="AK271" s="140"/>
      <c r="AL271" s="140"/>
      <c r="AM271" s="140"/>
      <c r="AN271" s="140"/>
      <c r="AO271" s="140"/>
      <c r="AP271" s="140"/>
      <c r="AQ271" s="140"/>
      <c r="AR271" s="140"/>
      <c r="AS271" s="140"/>
    </row>
    <row r="272">
      <c r="A272" s="149"/>
      <c r="B272" s="140"/>
      <c r="C272" s="140"/>
      <c r="D272" s="140"/>
      <c r="E272" s="140"/>
      <c r="F272" s="140"/>
      <c r="G272" s="140"/>
      <c r="H272" s="140"/>
      <c r="I272" s="140"/>
      <c r="J272" s="140"/>
      <c r="K272" s="140"/>
      <c r="L272" s="140"/>
      <c r="M272" s="140"/>
      <c r="N272" s="140"/>
      <c r="O272" s="140"/>
      <c r="P272" s="140"/>
      <c r="Q272" s="140"/>
      <c r="R272" s="140"/>
      <c r="S272" s="150"/>
      <c r="T272" s="150"/>
      <c r="U272" s="140"/>
      <c r="V272" s="140"/>
      <c r="W272" s="140"/>
      <c r="X272" s="140"/>
      <c r="Y272" s="140"/>
      <c r="Z272" s="140"/>
      <c r="AA272" s="140"/>
      <c r="AB272" s="140"/>
      <c r="AC272" s="140"/>
      <c r="AD272" s="140"/>
      <c r="AE272" s="140"/>
      <c r="AF272" s="140"/>
      <c r="AG272" s="140"/>
      <c r="AH272" s="140"/>
      <c r="AI272" s="140"/>
      <c r="AJ272" s="140"/>
      <c r="AK272" s="140"/>
      <c r="AL272" s="140"/>
      <c r="AM272" s="140"/>
      <c r="AN272" s="140"/>
      <c r="AO272" s="140"/>
      <c r="AP272" s="140"/>
      <c r="AQ272" s="140"/>
      <c r="AR272" s="140"/>
      <c r="AS272" s="140"/>
    </row>
    <row r="273">
      <c r="A273" s="149"/>
      <c r="B273" s="140"/>
      <c r="C273" s="140"/>
      <c r="D273" s="140"/>
      <c r="E273" s="140"/>
      <c r="F273" s="140"/>
      <c r="G273" s="140"/>
      <c r="H273" s="140"/>
      <c r="I273" s="140"/>
      <c r="J273" s="140"/>
      <c r="K273" s="140"/>
      <c r="L273" s="140"/>
      <c r="M273" s="140"/>
      <c r="N273" s="140"/>
      <c r="O273" s="140"/>
      <c r="P273" s="140"/>
      <c r="Q273" s="140"/>
      <c r="R273" s="140"/>
      <c r="S273" s="150"/>
      <c r="T273" s="150"/>
      <c r="U273" s="140"/>
      <c r="V273" s="140"/>
      <c r="W273" s="140"/>
      <c r="X273" s="140"/>
      <c r="Y273" s="140"/>
      <c r="Z273" s="140"/>
      <c r="AA273" s="140"/>
      <c r="AB273" s="140"/>
      <c r="AC273" s="140"/>
      <c r="AD273" s="140"/>
      <c r="AE273" s="140"/>
      <c r="AF273" s="140"/>
      <c r="AG273" s="140"/>
      <c r="AH273" s="140"/>
      <c r="AI273" s="140"/>
      <c r="AJ273" s="140"/>
      <c r="AK273" s="140"/>
      <c r="AL273" s="140"/>
      <c r="AM273" s="140"/>
      <c r="AN273" s="140"/>
      <c r="AO273" s="140"/>
      <c r="AP273" s="140"/>
      <c r="AQ273" s="140"/>
      <c r="AR273" s="140"/>
      <c r="AS273" s="140"/>
    </row>
    <row r="274">
      <c r="A274" s="149"/>
      <c r="B274" s="140"/>
      <c r="C274" s="140"/>
      <c r="D274" s="140"/>
      <c r="E274" s="140"/>
      <c r="F274" s="140"/>
      <c r="G274" s="140"/>
      <c r="H274" s="140"/>
      <c r="I274" s="140"/>
      <c r="J274" s="140"/>
      <c r="K274" s="140"/>
      <c r="L274" s="140"/>
      <c r="M274" s="140"/>
      <c r="N274" s="140"/>
      <c r="O274" s="140"/>
      <c r="P274" s="140"/>
      <c r="Q274" s="140"/>
      <c r="R274" s="140"/>
      <c r="S274" s="150"/>
      <c r="T274" s="150"/>
      <c r="U274" s="140"/>
      <c r="V274" s="140"/>
      <c r="W274" s="140"/>
      <c r="X274" s="140"/>
      <c r="Y274" s="140"/>
      <c r="Z274" s="140"/>
      <c r="AA274" s="140"/>
      <c r="AB274" s="140"/>
      <c r="AC274" s="140"/>
      <c r="AD274" s="140"/>
      <c r="AE274" s="140"/>
      <c r="AF274" s="140"/>
      <c r="AG274" s="140"/>
      <c r="AH274" s="140"/>
      <c r="AI274" s="140"/>
      <c r="AJ274" s="140"/>
      <c r="AK274" s="140"/>
      <c r="AL274" s="140"/>
      <c r="AM274" s="140"/>
      <c r="AN274" s="140"/>
      <c r="AO274" s="140"/>
      <c r="AP274" s="140"/>
      <c r="AQ274" s="140"/>
      <c r="AR274" s="140"/>
      <c r="AS274" s="140"/>
    </row>
    <row r="275">
      <c r="A275" s="149"/>
      <c r="B275" s="140"/>
      <c r="C275" s="140"/>
      <c r="D275" s="140"/>
      <c r="E275" s="140"/>
      <c r="F275" s="140"/>
      <c r="G275" s="140"/>
      <c r="H275" s="140"/>
      <c r="I275" s="140"/>
      <c r="J275" s="140"/>
      <c r="K275" s="140"/>
      <c r="L275" s="140"/>
      <c r="M275" s="140"/>
      <c r="N275" s="140"/>
      <c r="O275" s="140"/>
      <c r="P275" s="140"/>
      <c r="Q275" s="140"/>
      <c r="R275" s="140"/>
      <c r="S275" s="150"/>
      <c r="T275" s="150"/>
      <c r="U275" s="140"/>
      <c r="V275" s="140"/>
      <c r="W275" s="140"/>
      <c r="X275" s="140"/>
      <c r="Y275" s="140"/>
      <c r="Z275" s="140"/>
      <c r="AA275" s="140"/>
      <c r="AB275" s="140"/>
      <c r="AC275" s="140"/>
      <c r="AD275" s="140"/>
      <c r="AE275" s="140"/>
      <c r="AF275" s="140"/>
      <c r="AG275" s="140"/>
      <c r="AH275" s="140"/>
      <c r="AI275" s="140"/>
      <c r="AJ275" s="140"/>
      <c r="AK275" s="140"/>
      <c r="AL275" s="140"/>
      <c r="AM275" s="140"/>
      <c r="AN275" s="140"/>
      <c r="AO275" s="140"/>
      <c r="AP275" s="140"/>
      <c r="AQ275" s="140"/>
      <c r="AR275" s="140"/>
      <c r="AS275" s="140"/>
    </row>
    <row r="276">
      <c r="A276" s="149"/>
      <c r="B276" s="140"/>
      <c r="C276" s="140"/>
      <c r="D276" s="140"/>
      <c r="E276" s="140"/>
      <c r="F276" s="140"/>
      <c r="G276" s="140"/>
      <c r="H276" s="140"/>
      <c r="I276" s="140"/>
      <c r="J276" s="140"/>
      <c r="K276" s="140"/>
      <c r="L276" s="140"/>
      <c r="M276" s="140"/>
      <c r="N276" s="140"/>
      <c r="O276" s="140"/>
      <c r="P276" s="140"/>
      <c r="Q276" s="140"/>
      <c r="R276" s="140"/>
      <c r="S276" s="150"/>
      <c r="T276" s="150"/>
      <c r="U276" s="140"/>
      <c r="V276" s="140"/>
      <c r="W276" s="140"/>
      <c r="X276" s="140"/>
      <c r="Y276" s="140"/>
      <c r="Z276" s="140"/>
      <c r="AA276" s="140"/>
      <c r="AB276" s="140"/>
      <c r="AC276" s="140"/>
      <c r="AD276" s="140"/>
      <c r="AE276" s="140"/>
      <c r="AF276" s="140"/>
      <c r="AG276" s="140"/>
      <c r="AH276" s="140"/>
      <c r="AI276" s="140"/>
      <c r="AJ276" s="140"/>
      <c r="AK276" s="140"/>
      <c r="AL276" s="140"/>
      <c r="AM276" s="140"/>
      <c r="AN276" s="140"/>
      <c r="AO276" s="140"/>
      <c r="AP276" s="140"/>
      <c r="AQ276" s="140"/>
      <c r="AR276" s="140"/>
      <c r="AS276" s="140"/>
    </row>
    <row r="277">
      <c r="A277" s="149"/>
      <c r="B277" s="140"/>
      <c r="C277" s="140"/>
      <c r="D277" s="140"/>
      <c r="E277" s="140"/>
      <c r="F277" s="140"/>
      <c r="G277" s="140"/>
      <c r="H277" s="140"/>
      <c r="I277" s="140"/>
      <c r="J277" s="140"/>
      <c r="K277" s="140"/>
      <c r="L277" s="140"/>
      <c r="M277" s="140"/>
      <c r="N277" s="140"/>
      <c r="O277" s="140"/>
      <c r="P277" s="140"/>
      <c r="Q277" s="140"/>
      <c r="R277" s="140"/>
      <c r="S277" s="150"/>
      <c r="T277" s="150"/>
      <c r="U277" s="140"/>
      <c r="V277" s="140"/>
      <c r="W277" s="140"/>
      <c r="X277" s="140"/>
      <c r="Y277" s="140"/>
      <c r="Z277" s="140"/>
      <c r="AA277" s="140"/>
      <c r="AB277" s="140"/>
      <c r="AC277" s="140"/>
      <c r="AD277" s="140"/>
      <c r="AE277" s="140"/>
      <c r="AF277" s="140"/>
      <c r="AG277" s="140"/>
      <c r="AH277" s="140"/>
      <c r="AI277" s="140"/>
      <c r="AJ277" s="140"/>
      <c r="AK277" s="140"/>
      <c r="AL277" s="140"/>
      <c r="AM277" s="140"/>
      <c r="AN277" s="140"/>
      <c r="AO277" s="140"/>
      <c r="AP277" s="140"/>
      <c r="AQ277" s="140"/>
      <c r="AR277" s="140"/>
      <c r="AS277" s="140"/>
    </row>
    <row r="278">
      <c r="A278" s="149"/>
      <c r="B278" s="140"/>
      <c r="C278" s="140"/>
      <c r="D278" s="140"/>
      <c r="E278" s="140"/>
      <c r="F278" s="140"/>
      <c r="G278" s="140"/>
      <c r="H278" s="140"/>
      <c r="I278" s="140"/>
      <c r="J278" s="140"/>
      <c r="K278" s="140"/>
      <c r="L278" s="140"/>
      <c r="M278" s="140"/>
      <c r="N278" s="140"/>
      <c r="O278" s="140"/>
      <c r="P278" s="140"/>
      <c r="Q278" s="140"/>
      <c r="R278" s="140"/>
      <c r="S278" s="150"/>
      <c r="T278" s="150"/>
      <c r="U278" s="140"/>
      <c r="V278" s="140"/>
      <c r="W278" s="140"/>
      <c r="X278" s="140"/>
      <c r="Y278" s="140"/>
      <c r="Z278" s="140"/>
      <c r="AA278" s="140"/>
      <c r="AB278" s="140"/>
      <c r="AC278" s="140"/>
      <c r="AD278" s="140"/>
      <c r="AE278" s="140"/>
      <c r="AF278" s="140"/>
      <c r="AG278" s="140"/>
      <c r="AH278" s="140"/>
      <c r="AI278" s="140"/>
      <c r="AJ278" s="140"/>
      <c r="AK278" s="140"/>
      <c r="AL278" s="140"/>
      <c r="AM278" s="140"/>
      <c r="AN278" s="140"/>
      <c r="AO278" s="140"/>
      <c r="AP278" s="140"/>
      <c r="AQ278" s="140"/>
      <c r="AR278" s="140"/>
      <c r="AS278" s="140"/>
    </row>
    <row r="279">
      <c r="A279" s="149"/>
      <c r="B279" s="140"/>
      <c r="C279" s="140"/>
      <c r="D279" s="140"/>
      <c r="E279" s="140"/>
      <c r="F279" s="140"/>
      <c r="G279" s="140"/>
      <c r="H279" s="140"/>
      <c r="I279" s="140"/>
      <c r="J279" s="140"/>
      <c r="K279" s="140"/>
      <c r="L279" s="140"/>
      <c r="M279" s="140"/>
      <c r="N279" s="140"/>
      <c r="O279" s="140"/>
      <c r="P279" s="140"/>
      <c r="Q279" s="140"/>
      <c r="R279" s="140"/>
      <c r="S279" s="150"/>
      <c r="T279" s="150"/>
      <c r="U279" s="140"/>
      <c r="V279" s="140"/>
      <c r="W279" s="140"/>
      <c r="X279" s="140"/>
      <c r="Y279" s="140"/>
      <c r="Z279" s="140"/>
      <c r="AA279" s="140"/>
      <c r="AB279" s="140"/>
      <c r="AC279" s="140"/>
      <c r="AD279" s="140"/>
      <c r="AE279" s="140"/>
      <c r="AF279" s="140"/>
      <c r="AG279" s="140"/>
      <c r="AH279" s="140"/>
      <c r="AI279" s="140"/>
      <c r="AJ279" s="140"/>
      <c r="AK279" s="140"/>
      <c r="AL279" s="140"/>
      <c r="AM279" s="140"/>
      <c r="AN279" s="140"/>
      <c r="AO279" s="140"/>
      <c r="AP279" s="140"/>
      <c r="AQ279" s="140"/>
      <c r="AR279" s="140"/>
      <c r="AS279" s="140"/>
    </row>
    <row r="280">
      <c r="A280" s="149"/>
      <c r="B280" s="140"/>
      <c r="C280" s="140"/>
      <c r="D280" s="140"/>
      <c r="E280" s="140"/>
      <c r="F280" s="140"/>
      <c r="G280" s="140"/>
      <c r="H280" s="140"/>
      <c r="I280" s="140"/>
      <c r="J280" s="140"/>
      <c r="K280" s="140"/>
      <c r="L280" s="140"/>
      <c r="M280" s="140"/>
      <c r="N280" s="140"/>
      <c r="O280" s="140"/>
      <c r="P280" s="140"/>
      <c r="Q280" s="140"/>
      <c r="R280" s="140"/>
      <c r="S280" s="150"/>
      <c r="T280" s="150"/>
      <c r="U280" s="140"/>
      <c r="V280" s="140"/>
      <c r="W280" s="140"/>
      <c r="X280" s="140"/>
      <c r="Y280" s="140"/>
      <c r="Z280" s="140"/>
      <c r="AA280" s="140"/>
      <c r="AB280" s="140"/>
      <c r="AC280" s="140"/>
      <c r="AD280" s="140"/>
      <c r="AE280" s="140"/>
      <c r="AF280" s="140"/>
      <c r="AG280" s="140"/>
      <c r="AH280" s="140"/>
      <c r="AI280" s="140"/>
      <c r="AJ280" s="140"/>
      <c r="AK280" s="140"/>
      <c r="AL280" s="140"/>
      <c r="AM280" s="140"/>
      <c r="AN280" s="140"/>
      <c r="AO280" s="140"/>
      <c r="AP280" s="140"/>
      <c r="AQ280" s="140"/>
      <c r="AR280" s="140"/>
      <c r="AS280" s="140"/>
    </row>
    <row r="281">
      <c r="A281" s="149"/>
      <c r="B281" s="140"/>
      <c r="C281" s="140"/>
      <c r="D281" s="140"/>
      <c r="E281" s="140"/>
      <c r="F281" s="140"/>
      <c r="G281" s="140"/>
      <c r="H281" s="140"/>
      <c r="I281" s="140"/>
      <c r="J281" s="140"/>
      <c r="K281" s="140"/>
      <c r="L281" s="140"/>
      <c r="M281" s="140"/>
      <c r="N281" s="140"/>
      <c r="O281" s="140"/>
      <c r="P281" s="140"/>
      <c r="Q281" s="140"/>
      <c r="R281" s="140"/>
      <c r="S281" s="150"/>
      <c r="T281" s="150"/>
      <c r="U281" s="140"/>
      <c r="V281" s="140"/>
      <c r="W281" s="140"/>
      <c r="X281" s="140"/>
      <c r="Y281" s="140"/>
      <c r="Z281" s="140"/>
      <c r="AA281" s="140"/>
      <c r="AB281" s="140"/>
      <c r="AC281" s="140"/>
      <c r="AD281" s="140"/>
      <c r="AE281" s="140"/>
      <c r="AF281" s="140"/>
      <c r="AG281" s="140"/>
      <c r="AH281" s="140"/>
      <c r="AI281" s="140"/>
      <c r="AJ281" s="140"/>
      <c r="AK281" s="140"/>
      <c r="AL281" s="140"/>
      <c r="AM281" s="140"/>
      <c r="AN281" s="140"/>
      <c r="AO281" s="140"/>
      <c r="AP281" s="140"/>
      <c r="AQ281" s="140"/>
      <c r="AR281" s="140"/>
      <c r="AS281" s="140"/>
    </row>
    <row r="282">
      <c r="A282" s="149"/>
      <c r="B282" s="140"/>
      <c r="C282" s="140"/>
      <c r="D282" s="140"/>
      <c r="E282" s="140"/>
      <c r="F282" s="140"/>
      <c r="G282" s="140"/>
      <c r="H282" s="140"/>
      <c r="I282" s="140"/>
      <c r="J282" s="140"/>
      <c r="K282" s="140"/>
      <c r="L282" s="140"/>
      <c r="M282" s="140"/>
      <c r="N282" s="140"/>
      <c r="O282" s="140"/>
      <c r="P282" s="140"/>
      <c r="Q282" s="140"/>
      <c r="R282" s="140"/>
      <c r="S282" s="150"/>
      <c r="T282" s="150"/>
      <c r="U282" s="140"/>
      <c r="V282" s="140"/>
      <c r="W282" s="140"/>
      <c r="X282" s="140"/>
      <c r="Y282" s="140"/>
      <c r="Z282" s="140"/>
      <c r="AA282" s="140"/>
      <c r="AB282" s="140"/>
      <c r="AC282" s="140"/>
      <c r="AD282" s="140"/>
      <c r="AE282" s="140"/>
      <c r="AF282" s="140"/>
      <c r="AG282" s="140"/>
      <c r="AH282" s="140"/>
      <c r="AI282" s="140"/>
      <c r="AJ282" s="140"/>
      <c r="AK282" s="140"/>
      <c r="AL282" s="140"/>
      <c r="AM282" s="140"/>
      <c r="AN282" s="140"/>
      <c r="AO282" s="140"/>
      <c r="AP282" s="140"/>
      <c r="AQ282" s="140"/>
      <c r="AR282" s="140"/>
      <c r="AS282" s="140"/>
    </row>
    <row r="283">
      <c r="A283" s="149"/>
      <c r="B283" s="140"/>
      <c r="C283" s="140"/>
      <c r="D283" s="140"/>
      <c r="E283" s="140"/>
      <c r="F283" s="140"/>
      <c r="G283" s="140"/>
      <c r="H283" s="140"/>
      <c r="I283" s="140"/>
      <c r="J283" s="140"/>
      <c r="K283" s="140"/>
      <c r="L283" s="140"/>
      <c r="M283" s="140"/>
      <c r="N283" s="140"/>
      <c r="O283" s="140"/>
      <c r="P283" s="140"/>
      <c r="Q283" s="140"/>
      <c r="R283" s="140"/>
      <c r="S283" s="150"/>
      <c r="T283" s="150"/>
      <c r="U283" s="140"/>
      <c r="V283" s="140"/>
      <c r="W283" s="140"/>
      <c r="X283" s="140"/>
      <c r="Y283" s="140"/>
      <c r="Z283" s="140"/>
      <c r="AA283" s="140"/>
      <c r="AB283" s="140"/>
      <c r="AC283" s="140"/>
      <c r="AD283" s="140"/>
      <c r="AE283" s="140"/>
      <c r="AF283" s="140"/>
      <c r="AG283" s="140"/>
      <c r="AH283" s="140"/>
      <c r="AI283" s="140"/>
      <c r="AJ283" s="140"/>
      <c r="AK283" s="140"/>
      <c r="AL283" s="140"/>
      <c r="AM283" s="140"/>
      <c r="AN283" s="140"/>
      <c r="AO283" s="140"/>
      <c r="AP283" s="140"/>
      <c r="AQ283" s="140"/>
      <c r="AR283" s="140"/>
      <c r="AS283" s="140"/>
    </row>
    <row r="284">
      <c r="A284" s="149"/>
      <c r="B284" s="140"/>
      <c r="C284" s="140"/>
      <c r="D284" s="140"/>
      <c r="E284" s="140"/>
      <c r="F284" s="140"/>
      <c r="G284" s="140"/>
      <c r="H284" s="140"/>
      <c r="I284" s="140"/>
      <c r="J284" s="140"/>
      <c r="K284" s="140"/>
      <c r="L284" s="140"/>
      <c r="M284" s="140"/>
      <c r="N284" s="140"/>
      <c r="O284" s="140"/>
      <c r="P284" s="140"/>
      <c r="Q284" s="140"/>
      <c r="R284" s="140"/>
      <c r="S284" s="150"/>
      <c r="T284" s="150"/>
      <c r="U284" s="140"/>
      <c r="V284" s="140"/>
      <c r="W284" s="140"/>
      <c r="X284" s="140"/>
      <c r="Y284" s="140"/>
      <c r="Z284" s="140"/>
      <c r="AA284" s="140"/>
      <c r="AB284" s="140"/>
      <c r="AC284" s="140"/>
      <c r="AD284" s="140"/>
      <c r="AE284" s="140"/>
      <c r="AF284" s="140"/>
      <c r="AG284" s="140"/>
      <c r="AH284" s="140"/>
      <c r="AI284" s="140"/>
      <c r="AJ284" s="140"/>
      <c r="AK284" s="140"/>
      <c r="AL284" s="140"/>
      <c r="AM284" s="140"/>
      <c r="AN284" s="140"/>
      <c r="AO284" s="140"/>
      <c r="AP284" s="140"/>
      <c r="AQ284" s="140"/>
      <c r="AR284" s="140"/>
      <c r="AS284" s="140"/>
    </row>
    <row r="285">
      <c r="A285" s="149"/>
      <c r="B285" s="140"/>
      <c r="C285" s="140"/>
      <c r="D285" s="140"/>
      <c r="E285" s="140"/>
      <c r="F285" s="140"/>
      <c r="G285" s="140"/>
      <c r="H285" s="140"/>
      <c r="I285" s="140"/>
      <c r="J285" s="140"/>
      <c r="K285" s="140"/>
      <c r="L285" s="140"/>
      <c r="M285" s="140"/>
      <c r="N285" s="140"/>
      <c r="O285" s="140"/>
      <c r="P285" s="140"/>
      <c r="Q285" s="140"/>
      <c r="R285" s="140"/>
      <c r="S285" s="150"/>
      <c r="T285" s="150"/>
      <c r="U285" s="140"/>
      <c r="V285" s="140"/>
      <c r="W285" s="140"/>
      <c r="X285" s="140"/>
      <c r="Y285" s="140"/>
      <c r="Z285" s="140"/>
      <c r="AA285" s="140"/>
      <c r="AB285" s="140"/>
      <c r="AC285" s="140"/>
      <c r="AD285" s="140"/>
      <c r="AE285" s="140"/>
      <c r="AF285" s="140"/>
      <c r="AG285" s="140"/>
      <c r="AH285" s="140"/>
      <c r="AI285" s="140"/>
      <c r="AJ285" s="140"/>
      <c r="AK285" s="140"/>
      <c r="AL285" s="140"/>
      <c r="AM285" s="140"/>
      <c r="AN285" s="140"/>
      <c r="AO285" s="140"/>
      <c r="AP285" s="140"/>
      <c r="AQ285" s="140"/>
      <c r="AR285" s="140"/>
      <c r="AS285" s="140"/>
    </row>
    <row r="286">
      <c r="A286" s="149"/>
      <c r="B286" s="140"/>
      <c r="C286" s="140"/>
      <c r="D286" s="140"/>
      <c r="E286" s="140"/>
      <c r="F286" s="140"/>
      <c r="G286" s="140"/>
      <c r="H286" s="140"/>
      <c r="I286" s="140"/>
      <c r="J286" s="140"/>
      <c r="K286" s="140"/>
      <c r="L286" s="140"/>
      <c r="M286" s="140"/>
      <c r="N286" s="140"/>
      <c r="O286" s="140"/>
      <c r="P286" s="140"/>
      <c r="Q286" s="140"/>
      <c r="R286" s="140"/>
      <c r="S286" s="150"/>
      <c r="T286" s="150"/>
      <c r="U286" s="140"/>
      <c r="V286" s="140"/>
      <c r="W286" s="140"/>
      <c r="X286" s="140"/>
      <c r="Y286" s="140"/>
      <c r="Z286" s="140"/>
      <c r="AA286" s="140"/>
      <c r="AB286" s="140"/>
      <c r="AC286" s="140"/>
      <c r="AD286" s="140"/>
      <c r="AE286" s="140"/>
      <c r="AF286" s="140"/>
      <c r="AG286" s="140"/>
      <c r="AH286" s="140"/>
      <c r="AI286" s="140"/>
      <c r="AJ286" s="140"/>
      <c r="AK286" s="140"/>
      <c r="AL286" s="140"/>
      <c r="AM286" s="140"/>
      <c r="AN286" s="140"/>
      <c r="AO286" s="140"/>
      <c r="AP286" s="140"/>
      <c r="AQ286" s="140"/>
      <c r="AR286" s="140"/>
      <c r="AS286" s="140"/>
    </row>
    <row r="287">
      <c r="A287" s="149"/>
      <c r="B287" s="140"/>
      <c r="C287" s="140"/>
      <c r="D287" s="140"/>
      <c r="E287" s="140"/>
      <c r="F287" s="140"/>
      <c r="G287" s="140"/>
      <c r="H287" s="140"/>
      <c r="I287" s="140"/>
      <c r="J287" s="140"/>
      <c r="K287" s="140"/>
      <c r="L287" s="140"/>
      <c r="M287" s="140"/>
      <c r="N287" s="140"/>
      <c r="O287" s="140"/>
      <c r="P287" s="140"/>
      <c r="Q287" s="140"/>
      <c r="R287" s="140"/>
      <c r="S287" s="150"/>
      <c r="T287" s="150"/>
      <c r="U287" s="140"/>
      <c r="V287" s="140"/>
      <c r="W287" s="140"/>
      <c r="X287" s="140"/>
      <c r="Y287" s="140"/>
      <c r="Z287" s="140"/>
      <c r="AA287" s="140"/>
      <c r="AB287" s="140"/>
      <c r="AC287" s="140"/>
      <c r="AD287" s="140"/>
      <c r="AE287" s="140"/>
      <c r="AF287" s="140"/>
      <c r="AG287" s="140"/>
      <c r="AH287" s="140"/>
      <c r="AI287" s="140"/>
      <c r="AJ287" s="140"/>
      <c r="AK287" s="140"/>
      <c r="AL287" s="140"/>
      <c r="AM287" s="140"/>
      <c r="AN287" s="140"/>
      <c r="AO287" s="140"/>
      <c r="AP287" s="140"/>
      <c r="AQ287" s="140"/>
      <c r="AR287" s="140"/>
      <c r="AS287" s="140"/>
    </row>
    <row r="288">
      <c r="A288" s="149"/>
      <c r="B288" s="140"/>
      <c r="C288" s="140"/>
      <c r="D288" s="140"/>
      <c r="E288" s="140"/>
      <c r="F288" s="140"/>
      <c r="G288" s="140"/>
      <c r="H288" s="140"/>
      <c r="I288" s="140"/>
      <c r="J288" s="140"/>
      <c r="K288" s="140"/>
      <c r="L288" s="140"/>
      <c r="M288" s="140"/>
      <c r="N288" s="140"/>
      <c r="O288" s="140"/>
      <c r="P288" s="140"/>
      <c r="Q288" s="140"/>
      <c r="R288" s="140"/>
      <c r="S288" s="150"/>
      <c r="T288" s="150"/>
      <c r="U288" s="140"/>
      <c r="V288" s="140"/>
      <c r="W288" s="140"/>
      <c r="X288" s="140"/>
      <c r="Y288" s="140"/>
      <c r="Z288" s="140"/>
      <c r="AA288" s="140"/>
      <c r="AB288" s="140"/>
      <c r="AC288" s="140"/>
      <c r="AD288" s="140"/>
      <c r="AE288" s="140"/>
      <c r="AF288" s="140"/>
      <c r="AG288" s="140"/>
      <c r="AH288" s="140"/>
      <c r="AI288" s="140"/>
      <c r="AJ288" s="140"/>
      <c r="AK288" s="140"/>
      <c r="AL288" s="140"/>
      <c r="AM288" s="140"/>
      <c r="AN288" s="140"/>
      <c r="AO288" s="140"/>
      <c r="AP288" s="140"/>
      <c r="AQ288" s="140"/>
      <c r="AR288" s="140"/>
      <c r="AS288" s="140"/>
    </row>
    <row r="289">
      <c r="A289" s="149"/>
      <c r="B289" s="140"/>
      <c r="C289" s="140"/>
      <c r="D289" s="140"/>
      <c r="E289" s="140"/>
      <c r="F289" s="140"/>
      <c r="G289" s="140"/>
      <c r="H289" s="140"/>
      <c r="I289" s="140"/>
      <c r="J289" s="140"/>
      <c r="K289" s="140"/>
      <c r="L289" s="140"/>
      <c r="M289" s="140"/>
      <c r="N289" s="140"/>
      <c r="O289" s="140"/>
      <c r="P289" s="140"/>
      <c r="Q289" s="140"/>
      <c r="R289" s="140"/>
      <c r="S289" s="150"/>
      <c r="T289" s="150"/>
      <c r="U289" s="140"/>
      <c r="V289" s="140"/>
      <c r="W289" s="140"/>
      <c r="X289" s="140"/>
      <c r="Y289" s="140"/>
      <c r="Z289" s="140"/>
      <c r="AA289" s="140"/>
      <c r="AB289" s="140"/>
      <c r="AC289" s="140"/>
      <c r="AD289" s="140"/>
      <c r="AE289" s="140"/>
      <c r="AF289" s="140"/>
      <c r="AG289" s="140"/>
      <c r="AH289" s="140"/>
      <c r="AI289" s="140"/>
      <c r="AJ289" s="140"/>
      <c r="AK289" s="140"/>
      <c r="AL289" s="140"/>
      <c r="AM289" s="140"/>
      <c r="AN289" s="140"/>
      <c r="AO289" s="140"/>
      <c r="AP289" s="140"/>
      <c r="AQ289" s="140"/>
      <c r="AR289" s="140"/>
      <c r="AS289" s="140"/>
    </row>
    <row r="290">
      <c r="A290" s="149"/>
      <c r="B290" s="140"/>
      <c r="C290" s="140"/>
      <c r="D290" s="140"/>
      <c r="E290" s="140"/>
      <c r="F290" s="140"/>
      <c r="G290" s="140"/>
      <c r="H290" s="140"/>
      <c r="I290" s="140"/>
      <c r="J290" s="140"/>
      <c r="K290" s="140"/>
      <c r="L290" s="140"/>
      <c r="M290" s="140"/>
      <c r="N290" s="140"/>
      <c r="O290" s="140"/>
      <c r="P290" s="140"/>
      <c r="Q290" s="140"/>
      <c r="R290" s="140"/>
      <c r="S290" s="150"/>
      <c r="T290" s="150"/>
      <c r="U290" s="140"/>
      <c r="V290" s="140"/>
      <c r="W290" s="140"/>
      <c r="X290" s="140"/>
      <c r="Y290" s="140"/>
      <c r="Z290" s="140"/>
      <c r="AA290" s="140"/>
      <c r="AB290" s="140"/>
      <c r="AC290" s="140"/>
      <c r="AD290" s="140"/>
      <c r="AE290" s="140"/>
      <c r="AF290" s="140"/>
      <c r="AG290" s="140"/>
      <c r="AH290" s="140"/>
      <c r="AI290" s="140"/>
      <c r="AJ290" s="140"/>
      <c r="AK290" s="140"/>
      <c r="AL290" s="140"/>
      <c r="AM290" s="140"/>
      <c r="AN290" s="140"/>
      <c r="AO290" s="140"/>
      <c r="AP290" s="140"/>
      <c r="AQ290" s="140"/>
      <c r="AR290" s="140"/>
      <c r="AS290" s="140"/>
    </row>
    <row r="291">
      <c r="A291" s="149"/>
      <c r="B291" s="140"/>
      <c r="C291" s="140"/>
      <c r="D291" s="140"/>
      <c r="E291" s="140"/>
      <c r="F291" s="140"/>
      <c r="G291" s="140"/>
      <c r="H291" s="140"/>
      <c r="I291" s="140"/>
      <c r="J291" s="140"/>
      <c r="K291" s="140"/>
      <c r="L291" s="140"/>
      <c r="M291" s="140"/>
      <c r="N291" s="140"/>
      <c r="O291" s="140"/>
      <c r="P291" s="140"/>
      <c r="Q291" s="140"/>
      <c r="R291" s="140"/>
      <c r="S291" s="150"/>
      <c r="T291" s="150"/>
      <c r="U291" s="140"/>
      <c r="V291" s="140"/>
      <c r="W291" s="140"/>
      <c r="X291" s="140"/>
      <c r="Y291" s="140"/>
      <c r="Z291" s="140"/>
      <c r="AA291" s="140"/>
      <c r="AB291" s="140"/>
      <c r="AC291" s="140"/>
      <c r="AD291" s="140"/>
      <c r="AE291" s="140"/>
      <c r="AF291" s="140"/>
      <c r="AG291" s="140"/>
      <c r="AH291" s="140"/>
      <c r="AI291" s="140"/>
      <c r="AJ291" s="140"/>
      <c r="AK291" s="140"/>
      <c r="AL291" s="140"/>
      <c r="AM291" s="140"/>
      <c r="AN291" s="140"/>
      <c r="AO291" s="140"/>
      <c r="AP291" s="140"/>
      <c r="AQ291" s="140"/>
      <c r="AR291" s="140"/>
      <c r="AS291" s="140"/>
    </row>
    <row r="292">
      <c r="A292" s="149"/>
      <c r="B292" s="140"/>
      <c r="C292" s="140"/>
      <c r="D292" s="140"/>
      <c r="E292" s="140"/>
      <c r="F292" s="140"/>
      <c r="G292" s="140"/>
      <c r="H292" s="140"/>
      <c r="I292" s="140"/>
      <c r="J292" s="140"/>
      <c r="K292" s="140"/>
      <c r="L292" s="140"/>
      <c r="M292" s="140"/>
      <c r="N292" s="140"/>
      <c r="O292" s="140"/>
      <c r="P292" s="140"/>
      <c r="Q292" s="140"/>
      <c r="R292" s="140"/>
      <c r="S292" s="150"/>
      <c r="T292" s="150"/>
      <c r="U292" s="140"/>
      <c r="V292" s="140"/>
      <c r="W292" s="140"/>
      <c r="X292" s="140"/>
      <c r="Y292" s="140"/>
      <c r="Z292" s="140"/>
      <c r="AA292" s="140"/>
      <c r="AB292" s="140"/>
      <c r="AC292" s="140"/>
      <c r="AD292" s="140"/>
      <c r="AE292" s="140"/>
      <c r="AF292" s="140"/>
      <c r="AG292" s="140"/>
      <c r="AH292" s="140"/>
      <c r="AI292" s="140"/>
      <c r="AJ292" s="140"/>
      <c r="AK292" s="140"/>
      <c r="AL292" s="140"/>
      <c r="AM292" s="140"/>
      <c r="AN292" s="140"/>
      <c r="AO292" s="140"/>
      <c r="AP292" s="140"/>
      <c r="AQ292" s="140"/>
      <c r="AR292" s="140"/>
      <c r="AS292" s="140"/>
    </row>
    <row r="293">
      <c r="A293" s="149"/>
      <c r="B293" s="140"/>
      <c r="C293" s="140"/>
      <c r="D293" s="140"/>
      <c r="E293" s="140"/>
      <c r="F293" s="140"/>
      <c r="G293" s="140"/>
      <c r="H293" s="140"/>
      <c r="I293" s="140"/>
      <c r="J293" s="140"/>
      <c r="K293" s="140"/>
      <c r="L293" s="140"/>
      <c r="M293" s="140"/>
      <c r="N293" s="140"/>
      <c r="O293" s="140"/>
      <c r="P293" s="140"/>
      <c r="Q293" s="140"/>
      <c r="R293" s="140"/>
      <c r="S293" s="150"/>
      <c r="T293" s="150"/>
      <c r="U293" s="140"/>
      <c r="V293" s="140"/>
      <c r="W293" s="140"/>
      <c r="X293" s="140"/>
      <c r="Y293" s="140"/>
      <c r="Z293" s="140"/>
      <c r="AA293" s="140"/>
      <c r="AB293" s="140"/>
      <c r="AC293" s="140"/>
      <c r="AD293" s="140"/>
      <c r="AE293" s="140"/>
      <c r="AF293" s="140"/>
      <c r="AG293" s="140"/>
      <c r="AH293" s="140"/>
      <c r="AI293" s="140"/>
      <c r="AJ293" s="140"/>
      <c r="AK293" s="140"/>
      <c r="AL293" s="140"/>
      <c r="AM293" s="140"/>
      <c r="AN293" s="140"/>
      <c r="AO293" s="140"/>
      <c r="AP293" s="140"/>
      <c r="AQ293" s="140"/>
      <c r="AR293" s="140"/>
      <c r="AS293" s="140"/>
    </row>
    <row r="294">
      <c r="A294" s="149"/>
      <c r="B294" s="140"/>
      <c r="C294" s="140"/>
      <c r="D294" s="140"/>
      <c r="E294" s="140"/>
      <c r="F294" s="140"/>
      <c r="G294" s="140"/>
      <c r="H294" s="140"/>
      <c r="I294" s="140"/>
      <c r="J294" s="140"/>
      <c r="K294" s="140"/>
      <c r="L294" s="140"/>
      <c r="M294" s="140"/>
      <c r="N294" s="140"/>
      <c r="O294" s="140"/>
      <c r="P294" s="140"/>
      <c r="Q294" s="140"/>
      <c r="R294" s="140"/>
      <c r="S294" s="150"/>
      <c r="T294" s="150"/>
      <c r="U294" s="140"/>
      <c r="V294" s="140"/>
      <c r="W294" s="140"/>
      <c r="X294" s="140"/>
      <c r="Y294" s="140"/>
      <c r="Z294" s="140"/>
      <c r="AA294" s="140"/>
      <c r="AB294" s="140"/>
      <c r="AC294" s="140"/>
      <c r="AD294" s="140"/>
      <c r="AE294" s="140"/>
      <c r="AF294" s="140"/>
      <c r="AG294" s="140"/>
      <c r="AH294" s="140"/>
      <c r="AI294" s="140"/>
      <c r="AJ294" s="140"/>
      <c r="AK294" s="140"/>
      <c r="AL294" s="140"/>
      <c r="AM294" s="140"/>
      <c r="AN294" s="140"/>
      <c r="AO294" s="140"/>
      <c r="AP294" s="140"/>
      <c r="AQ294" s="140"/>
      <c r="AR294" s="140"/>
      <c r="AS294" s="140"/>
    </row>
    <row r="295">
      <c r="A295" s="149"/>
      <c r="B295" s="140"/>
      <c r="C295" s="140"/>
      <c r="D295" s="140"/>
      <c r="E295" s="140"/>
      <c r="F295" s="140"/>
      <c r="G295" s="140"/>
      <c r="H295" s="140"/>
      <c r="I295" s="140"/>
      <c r="J295" s="140"/>
      <c r="K295" s="140"/>
      <c r="L295" s="140"/>
      <c r="M295" s="140"/>
      <c r="N295" s="140"/>
      <c r="O295" s="140"/>
      <c r="P295" s="140"/>
      <c r="Q295" s="140"/>
      <c r="R295" s="140"/>
      <c r="S295" s="150"/>
      <c r="T295" s="150"/>
      <c r="U295" s="140"/>
      <c r="V295" s="140"/>
      <c r="W295" s="140"/>
      <c r="X295" s="140"/>
      <c r="Y295" s="140"/>
      <c r="Z295" s="140"/>
      <c r="AA295" s="140"/>
      <c r="AB295" s="140"/>
      <c r="AC295" s="140"/>
      <c r="AD295" s="140"/>
      <c r="AE295" s="140"/>
      <c r="AF295" s="140"/>
      <c r="AG295" s="140"/>
      <c r="AH295" s="140"/>
      <c r="AI295" s="140"/>
      <c r="AJ295" s="140"/>
      <c r="AK295" s="140"/>
      <c r="AL295" s="140"/>
      <c r="AM295" s="140"/>
      <c r="AN295" s="140"/>
      <c r="AO295" s="140"/>
      <c r="AP295" s="140"/>
      <c r="AQ295" s="140"/>
      <c r="AR295" s="140"/>
      <c r="AS295" s="140"/>
    </row>
    <row r="296">
      <c r="A296" s="149"/>
      <c r="B296" s="140"/>
      <c r="C296" s="140"/>
      <c r="D296" s="140"/>
      <c r="E296" s="140"/>
      <c r="F296" s="140"/>
      <c r="G296" s="140"/>
      <c r="H296" s="140"/>
      <c r="I296" s="140"/>
      <c r="J296" s="140"/>
      <c r="K296" s="140"/>
      <c r="L296" s="140"/>
      <c r="M296" s="140"/>
      <c r="N296" s="140"/>
      <c r="O296" s="140"/>
      <c r="P296" s="140"/>
      <c r="Q296" s="140"/>
      <c r="R296" s="140"/>
      <c r="S296" s="150"/>
      <c r="T296" s="150"/>
      <c r="U296" s="140"/>
      <c r="V296" s="140"/>
      <c r="W296" s="140"/>
      <c r="X296" s="140"/>
      <c r="Y296" s="140"/>
      <c r="Z296" s="140"/>
      <c r="AA296" s="140"/>
      <c r="AB296" s="140"/>
      <c r="AC296" s="140"/>
      <c r="AD296" s="140"/>
      <c r="AE296" s="140"/>
      <c r="AF296" s="140"/>
      <c r="AG296" s="140"/>
      <c r="AH296" s="140"/>
      <c r="AI296" s="140"/>
      <c r="AJ296" s="140"/>
      <c r="AK296" s="140"/>
      <c r="AL296" s="140"/>
      <c r="AM296" s="140"/>
      <c r="AN296" s="140"/>
      <c r="AO296" s="140"/>
      <c r="AP296" s="140"/>
      <c r="AQ296" s="140"/>
      <c r="AR296" s="140"/>
      <c r="AS296" s="140"/>
    </row>
    <row r="297">
      <c r="A297" s="149"/>
      <c r="B297" s="140"/>
      <c r="C297" s="140"/>
      <c r="D297" s="140"/>
      <c r="E297" s="140"/>
      <c r="F297" s="140"/>
      <c r="G297" s="140"/>
      <c r="H297" s="140"/>
      <c r="I297" s="140"/>
      <c r="J297" s="140"/>
      <c r="K297" s="140"/>
      <c r="L297" s="140"/>
      <c r="M297" s="140"/>
      <c r="N297" s="140"/>
      <c r="O297" s="140"/>
      <c r="P297" s="140"/>
      <c r="Q297" s="140"/>
      <c r="R297" s="140"/>
      <c r="S297" s="150"/>
      <c r="T297" s="150"/>
      <c r="U297" s="140"/>
      <c r="V297" s="140"/>
      <c r="W297" s="140"/>
      <c r="X297" s="140"/>
      <c r="Y297" s="140"/>
      <c r="Z297" s="140"/>
      <c r="AA297" s="140"/>
      <c r="AB297" s="140"/>
      <c r="AC297" s="140"/>
      <c r="AD297" s="140"/>
      <c r="AE297" s="140"/>
      <c r="AF297" s="140"/>
      <c r="AG297" s="140"/>
      <c r="AH297" s="140"/>
      <c r="AI297" s="140"/>
      <c r="AJ297" s="140"/>
      <c r="AK297" s="140"/>
      <c r="AL297" s="140"/>
      <c r="AM297" s="140"/>
      <c r="AN297" s="140"/>
      <c r="AO297" s="140"/>
      <c r="AP297" s="140"/>
      <c r="AQ297" s="140"/>
      <c r="AR297" s="140"/>
      <c r="AS297" s="140"/>
    </row>
    <row r="298">
      <c r="A298" s="149"/>
      <c r="B298" s="140"/>
      <c r="C298" s="140"/>
      <c r="D298" s="140"/>
      <c r="E298" s="140"/>
      <c r="F298" s="140"/>
      <c r="G298" s="140"/>
      <c r="H298" s="140"/>
      <c r="I298" s="140"/>
      <c r="J298" s="140"/>
      <c r="K298" s="140"/>
      <c r="L298" s="140"/>
      <c r="M298" s="140"/>
      <c r="N298" s="140"/>
      <c r="O298" s="140"/>
      <c r="P298" s="140"/>
      <c r="Q298" s="140"/>
      <c r="R298" s="140"/>
      <c r="S298" s="150"/>
      <c r="T298" s="150"/>
      <c r="U298" s="140"/>
      <c r="V298" s="140"/>
      <c r="W298" s="140"/>
      <c r="X298" s="140"/>
      <c r="Y298" s="140"/>
      <c r="Z298" s="140"/>
      <c r="AA298" s="140"/>
      <c r="AB298" s="140"/>
      <c r="AC298" s="140"/>
      <c r="AD298" s="140"/>
      <c r="AE298" s="140"/>
      <c r="AF298" s="140"/>
      <c r="AG298" s="140"/>
      <c r="AH298" s="140"/>
      <c r="AI298" s="140"/>
      <c r="AJ298" s="140"/>
      <c r="AK298" s="140"/>
      <c r="AL298" s="140"/>
      <c r="AM298" s="140"/>
      <c r="AN298" s="140"/>
      <c r="AO298" s="140"/>
      <c r="AP298" s="140"/>
      <c r="AQ298" s="140"/>
      <c r="AR298" s="140"/>
      <c r="AS298" s="140"/>
    </row>
    <row r="299">
      <c r="A299" s="149"/>
      <c r="B299" s="140"/>
      <c r="C299" s="140"/>
      <c r="D299" s="140"/>
      <c r="E299" s="140"/>
      <c r="F299" s="140"/>
      <c r="G299" s="140"/>
      <c r="H299" s="140"/>
      <c r="I299" s="140"/>
      <c r="J299" s="140"/>
      <c r="K299" s="140"/>
      <c r="L299" s="140"/>
      <c r="M299" s="140"/>
      <c r="N299" s="140"/>
      <c r="O299" s="140"/>
      <c r="P299" s="140"/>
      <c r="Q299" s="140"/>
      <c r="R299" s="140"/>
      <c r="S299" s="150"/>
      <c r="T299" s="150"/>
      <c r="U299" s="140"/>
      <c r="V299" s="140"/>
      <c r="W299" s="140"/>
      <c r="X299" s="140"/>
      <c r="Y299" s="140"/>
      <c r="Z299" s="140"/>
      <c r="AA299" s="140"/>
      <c r="AB299" s="140"/>
      <c r="AC299" s="140"/>
      <c r="AD299" s="140"/>
      <c r="AE299" s="140"/>
      <c r="AF299" s="140"/>
      <c r="AG299" s="140"/>
      <c r="AH299" s="140"/>
      <c r="AI299" s="140"/>
      <c r="AJ299" s="140"/>
      <c r="AK299" s="140"/>
      <c r="AL299" s="140"/>
      <c r="AM299" s="140"/>
      <c r="AN299" s="140"/>
      <c r="AO299" s="140"/>
      <c r="AP299" s="140"/>
      <c r="AQ299" s="140"/>
      <c r="AR299" s="140"/>
      <c r="AS299" s="140"/>
    </row>
    <row r="300">
      <c r="A300" s="149"/>
      <c r="B300" s="140"/>
      <c r="C300" s="140"/>
      <c r="D300" s="140"/>
      <c r="E300" s="140"/>
      <c r="F300" s="140"/>
      <c r="G300" s="140"/>
      <c r="H300" s="140"/>
      <c r="I300" s="140"/>
      <c r="J300" s="140"/>
      <c r="K300" s="140"/>
      <c r="L300" s="140"/>
      <c r="M300" s="140"/>
      <c r="N300" s="140"/>
      <c r="O300" s="140"/>
      <c r="P300" s="140"/>
      <c r="Q300" s="140"/>
      <c r="R300" s="140"/>
      <c r="S300" s="150"/>
      <c r="T300" s="150"/>
      <c r="U300" s="140"/>
      <c r="V300" s="140"/>
      <c r="W300" s="140"/>
      <c r="X300" s="140"/>
      <c r="Y300" s="140"/>
      <c r="Z300" s="140"/>
      <c r="AA300" s="140"/>
      <c r="AB300" s="140"/>
      <c r="AC300" s="140"/>
      <c r="AD300" s="140"/>
      <c r="AE300" s="140"/>
      <c r="AF300" s="140"/>
      <c r="AG300" s="140"/>
      <c r="AH300" s="140"/>
      <c r="AI300" s="140"/>
      <c r="AJ300" s="140"/>
      <c r="AK300" s="140"/>
      <c r="AL300" s="140"/>
      <c r="AM300" s="140"/>
      <c r="AN300" s="140"/>
      <c r="AO300" s="140"/>
      <c r="AP300" s="140"/>
      <c r="AQ300" s="140"/>
      <c r="AR300" s="140"/>
      <c r="AS300" s="140"/>
    </row>
    <row r="301">
      <c r="A301" s="149"/>
      <c r="B301" s="140"/>
      <c r="C301" s="140"/>
      <c r="D301" s="140"/>
      <c r="E301" s="140"/>
      <c r="F301" s="140"/>
      <c r="G301" s="140"/>
      <c r="H301" s="140"/>
      <c r="I301" s="140"/>
      <c r="J301" s="140"/>
      <c r="K301" s="140"/>
      <c r="L301" s="140"/>
      <c r="M301" s="140"/>
      <c r="N301" s="140"/>
      <c r="O301" s="140"/>
      <c r="P301" s="140"/>
      <c r="Q301" s="140"/>
      <c r="R301" s="140"/>
      <c r="S301" s="150"/>
      <c r="T301" s="150"/>
      <c r="U301" s="140"/>
      <c r="V301" s="140"/>
      <c r="W301" s="140"/>
      <c r="X301" s="140"/>
      <c r="Y301" s="140"/>
      <c r="Z301" s="140"/>
      <c r="AA301" s="140"/>
      <c r="AB301" s="140"/>
      <c r="AC301" s="140"/>
      <c r="AD301" s="140"/>
      <c r="AE301" s="140"/>
      <c r="AF301" s="140"/>
      <c r="AG301" s="140"/>
      <c r="AH301" s="140"/>
      <c r="AI301" s="140"/>
      <c r="AJ301" s="140"/>
      <c r="AK301" s="140"/>
      <c r="AL301" s="140"/>
      <c r="AM301" s="140"/>
      <c r="AN301" s="140"/>
      <c r="AO301" s="140"/>
      <c r="AP301" s="140"/>
      <c r="AQ301" s="140"/>
      <c r="AR301" s="140"/>
      <c r="AS301" s="140"/>
    </row>
    <row r="302">
      <c r="A302" s="149"/>
      <c r="B302" s="140"/>
      <c r="C302" s="140"/>
      <c r="D302" s="140"/>
      <c r="E302" s="140"/>
      <c r="F302" s="140"/>
      <c r="G302" s="140"/>
      <c r="H302" s="140"/>
      <c r="I302" s="140"/>
      <c r="J302" s="140"/>
      <c r="K302" s="140"/>
      <c r="L302" s="140"/>
      <c r="M302" s="140"/>
      <c r="N302" s="140"/>
      <c r="O302" s="140"/>
      <c r="P302" s="140"/>
      <c r="Q302" s="140"/>
      <c r="R302" s="140"/>
      <c r="S302" s="150"/>
      <c r="T302" s="150"/>
      <c r="U302" s="140"/>
      <c r="V302" s="140"/>
      <c r="W302" s="140"/>
      <c r="X302" s="140"/>
      <c r="Y302" s="140"/>
      <c r="Z302" s="140"/>
      <c r="AA302" s="140"/>
      <c r="AB302" s="140"/>
      <c r="AC302" s="140"/>
      <c r="AD302" s="140"/>
      <c r="AE302" s="140"/>
      <c r="AF302" s="140"/>
      <c r="AG302" s="140"/>
      <c r="AH302" s="140"/>
      <c r="AI302" s="140"/>
      <c r="AJ302" s="140"/>
      <c r="AK302" s="140"/>
      <c r="AL302" s="140"/>
      <c r="AM302" s="140"/>
      <c r="AN302" s="140"/>
      <c r="AO302" s="140"/>
      <c r="AP302" s="140"/>
      <c r="AQ302" s="140"/>
      <c r="AR302" s="140"/>
      <c r="AS302" s="140"/>
    </row>
    <row r="303">
      <c r="A303" s="149"/>
      <c r="B303" s="140"/>
      <c r="C303" s="140"/>
      <c r="D303" s="140"/>
      <c r="E303" s="140"/>
      <c r="F303" s="140"/>
      <c r="G303" s="140"/>
      <c r="H303" s="140"/>
      <c r="I303" s="140"/>
      <c r="J303" s="140"/>
      <c r="K303" s="140"/>
      <c r="L303" s="140"/>
      <c r="M303" s="140"/>
      <c r="N303" s="140"/>
      <c r="O303" s="140"/>
      <c r="P303" s="140"/>
      <c r="Q303" s="140"/>
      <c r="R303" s="140"/>
      <c r="S303" s="150"/>
      <c r="T303" s="150"/>
      <c r="U303" s="140"/>
      <c r="V303" s="140"/>
      <c r="W303" s="140"/>
      <c r="X303" s="140"/>
      <c r="Y303" s="140"/>
      <c r="Z303" s="140"/>
      <c r="AA303" s="140"/>
      <c r="AB303" s="140"/>
      <c r="AC303" s="140"/>
      <c r="AD303" s="140"/>
      <c r="AE303" s="140"/>
      <c r="AF303" s="140"/>
      <c r="AG303" s="140"/>
      <c r="AH303" s="140"/>
      <c r="AI303" s="140"/>
      <c r="AJ303" s="140"/>
      <c r="AK303" s="140"/>
      <c r="AL303" s="140"/>
      <c r="AM303" s="140"/>
      <c r="AN303" s="140"/>
      <c r="AO303" s="140"/>
      <c r="AP303" s="140"/>
      <c r="AQ303" s="140"/>
      <c r="AR303" s="140"/>
      <c r="AS303" s="140"/>
    </row>
    <row r="304">
      <c r="A304" s="149"/>
      <c r="B304" s="140"/>
      <c r="C304" s="140"/>
      <c r="D304" s="140"/>
      <c r="E304" s="140"/>
      <c r="F304" s="140"/>
      <c r="G304" s="140"/>
      <c r="H304" s="140"/>
      <c r="I304" s="140"/>
      <c r="J304" s="140"/>
      <c r="K304" s="140"/>
      <c r="L304" s="140"/>
      <c r="M304" s="140"/>
      <c r="N304" s="140"/>
      <c r="O304" s="140"/>
      <c r="P304" s="140"/>
      <c r="Q304" s="140"/>
      <c r="R304" s="140"/>
      <c r="S304" s="150"/>
      <c r="T304" s="150"/>
      <c r="U304" s="140"/>
      <c r="V304" s="140"/>
      <c r="W304" s="140"/>
      <c r="X304" s="140"/>
      <c r="Y304" s="140"/>
      <c r="Z304" s="140"/>
      <c r="AA304" s="140"/>
      <c r="AB304" s="140"/>
      <c r="AC304" s="140"/>
      <c r="AD304" s="140"/>
      <c r="AE304" s="140"/>
      <c r="AF304" s="140"/>
      <c r="AG304" s="140"/>
      <c r="AH304" s="140"/>
      <c r="AI304" s="140"/>
      <c r="AJ304" s="140"/>
      <c r="AK304" s="140"/>
      <c r="AL304" s="140"/>
      <c r="AM304" s="140"/>
      <c r="AN304" s="140"/>
      <c r="AO304" s="140"/>
      <c r="AP304" s="140"/>
      <c r="AQ304" s="140"/>
      <c r="AR304" s="140"/>
      <c r="AS304" s="140"/>
    </row>
    <row r="305">
      <c r="A305" s="149"/>
      <c r="B305" s="140"/>
      <c r="C305" s="140"/>
      <c r="D305" s="140"/>
      <c r="E305" s="140"/>
      <c r="F305" s="140"/>
      <c r="G305" s="140"/>
      <c r="H305" s="140"/>
      <c r="I305" s="140"/>
      <c r="J305" s="140"/>
      <c r="K305" s="140"/>
      <c r="L305" s="140"/>
      <c r="M305" s="140"/>
      <c r="N305" s="140"/>
      <c r="O305" s="140"/>
      <c r="P305" s="140"/>
      <c r="Q305" s="140"/>
      <c r="R305" s="140"/>
      <c r="S305" s="150"/>
      <c r="T305" s="150"/>
      <c r="U305" s="140"/>
      <c r="V305" s="140"/>
      <c r="W305" s="140"/>
      <c r="X305" s="140"/>
      <c r="Y305" s="140"/>
      <c r="Z305" s="140"/>
      <c r="AA305" s="140"/>
      <c r="AB305" s="140"/>
      <c r="AC305" s="140"/>
      <c r="AD305" s="140"/>
      <c r="AE305" s="140"/>
      <c r="AF305" s="140"/>
      <c r="AG305" s="140"/>
      <c r="AH305" s="140"/>
      <c r="AI305" s="140"/>
      <c r="AJ305" s="140"/>
      <c r="AK305" s="140"/>
      <c r="AL305" s="140"/>
      <c r="AM305" s="140"/>
      <c r="AN305" s="140"/>
      <c r="AO305" s="140"/>
      <c r="AP305" s="140"/>
      <c r="AQ305" s="140"/>
      <c r="AR305" s="140"/>
      <c r="AS305" s="140"/>
    </row>
    <row r="306">
      <c r="A306" s="149"/>
      <c r="B306" s="140"/>
      <c r="C306" s="140"/>
      <c r="D306" s="140"/>
      <c r="E306" s="140"/>
      <c r="F306" s="140"/>
      <c r="G306" s="140"/>
      <c r="H306" s="140"/>
      <c r="I306" s="140"/>
      <c r="J306" s="140"/>
      <c r="K306" s="140"/>
      <c r="L306" s="140"/>
      <c r="M306" s="140"/>
      <c r="N306" s="140"/>
      <c r="O306" s="140"/>
      <c r="P306" s="140"/>
      <c r="Q306" s="140"/>
      <c r="R306" s="140"/>
      <c r="S306" s="150"/>
      <c r="T306" s="150"/>
      <c r="U306" s="140"/>
      <c r="V306" s="140"/>
      <c r="W306" s="140"/>
      <c r="X306" s="140"/>
      <c r="Y306" s="140"/>
      <c r="Z306" s="140"/>
      <c r="AA306" s="140"/>
      <c r="AB306" s="140"/>
      <c r="AC306" s="140"/>
      <c r="AD306" s="140"/>
      <c r="AE306" s="140"/>
      <c r="AF306" s="140"/>
      <c r="AG306" s="140"/>
      <c r="AH306" s="140"/>
      <c r="AI306" s="140"/>
      <c r="AJ306" s="140"/>
      <c r="AK306" s="140"/>
      <c r="AL306" s="140"/>
      <c r="AM306" s="140"/>
      <c r="AN306" s="140"/>
      <c r="AO306" s="140"/>
      <c r="AP306" s="140"/>
      <c r="AQ306" s="140"/>
      <c r="AR306" s="140"/>
      <c r="AS306" s="140"/>
    </row>
    <row r="307">
      <c r="A307" s="149"/>
      <c r="B307" s="140"/>
      <c r="C307" s="140"/>
      <c r="D307" s="140"/>
      <c r="E307" s="140"/>
      <c r="F307" s="140"/>
      <c r="G307" s="140"/>
      <c r="H307" s="140"/>
      <c r="I307" s="140"/>
      <c r="J307" s="140"/>
      <c r="K307" s="140"/>
      <c r="L307" s="140"/>
      <c r="M307" s="140"/>
      <c r="N307" s="140"/>
      <c r="O307" s="140"/>
      <c r="P307" s="140"/>
      <c r="Q307" s="140"/>
      <c r="R307" s="140"/>
      <c r="S307" s="150"/>
      <c r="T307" s="150"/>
      <c r="U307" s="140"/>
      <c r="V307" s="140"/>
      <c r="W307" s="140"/>
      <c r="X307" s="140"/>
      <c r="Y307" s="140"/>
      <c r="Z307" s="140"/>
      <c r="AA307" s="140"/>
      <c r="AB307" s="140"/>
      <c r="AC307" s="140"/>
      <c r="AD307" s="140"/>
      <c r="AE307" s="140"/>
      <c r="AF307" s="140"/>
      <c r="AG307" s="140"/>
      <c r="AH307" s="140"/>
      <c r="AI307" s="140"/>
      <c r="AJ307" s="140"/>
      <c r="AK307" s="140"/>
      <c r="AL307" s="140"/>
      <c r="AM307" s="140"/>
      <c r="AN307" s="140"/>
      <c r="AO307" s="140"/>
      <c r="AP307" s="140"/>
      <c r="AQ307" s="140"/>
      <c r="AR307" s="140"/>
      <c r="AS307" s="140"/>
    </row>
    <row r="308">
      <c r="A308" s="149"/>
      <c r="B308" s="140"/>
      <c r="C308" s="140"/>
      <c r="D308" s="140"/>
      <c r="E308" s="140"/>
      <c r="F308" s="140"/>
      <c r="G308" s="140"/>
      <c r="H308" s="140"/>
      <c r="I308" s="140"/>
      <c r="J308" s="140"/>
      <c r="K308" s="140"/>
      <c r="L308" s="140"/>
      <c r="M308" s="140"/>
      <c r="N308" s="140"/>
      <c r="O308" s="140"/>
      <c r="P308" s="140"/>
      <c r="Q308" s="140"/>
      <c r="R308" s="140"/>
      <c r="S308" s="150"/>
      <c r="T308" s="150"/>
      <c r="U308" s="140"/>
      <c r="V308" s="140"/>
      <c r="W308" s="140"/>
      <c r="X308" s="140"/>
      <c r="Y308" s="140"/>
      <c r="Z308" s="140"/>
      <c r="AA308" s="140"/>
      <c r="AB308" s="140"/>
      <c r="AC308" s="140"/>
      <c r="AD308" s="140"/>
      <c r="AE308" s="140"/>
      <c r="AF308" s="140"/>
      <c r="AG308" s="140"/>
      <c r="AH308" s="140"/>
      <c r="AI308" s="140"/>
      <c r="AJ308" s="140"/>
      <c r="AK308" s="140"/>
      <c r="AL308" s="140"/>
      <c r="AM308" s="140"/>
      <c r="AN308" s="140"/>
      <c r="AO308" s="140"/>
      <c r="AP308" s="140"/>
      <c r="AQ308" s="140"/>
      <c r="AR308" s="140"/>
      <c r="AS308" s="140"/>
    </row>
    <row r="309">
      <c r="A309" s="149"/>
      <c r="B309" s="140"/>
      <c r="C309" s="140"/>
      <c r="D309" s="140"/>
      <c r="E309" s="140"/>
      <c r="F309" s="140"/>
      <c r="G309" s="140"/>
      <c r="H309" s="140"/>
      <c r="I309" s="140"/>
      <c r="J309" s="140"/>
      <c r="K309" s="140"/>
      <c r="L309" s="140"/>
      <c r="M309" s="140"/>
      <c r="N309" s="140"/>
      <c r="O309" s="140"/>
      <c r="P309" s="140"/>
      <c r="Q309" s="140"/>
      <c r="R309" s="140"/>
      <c r="S309" s="150"/>
      <c r="T309" s="150"/>
      <c r="U309" s="140"/>
      <c r="V309" s="140"/>
      <c r="W309" s="140"/>
      <c r="X309" s="140"/>
      <c r="Y309" s="140"/>
      <c r="Z309" s="140"/>
      <c r="AA309" s="140"/>
      <c r="AB309" s="140"/>
      <c r="AC309" s="140"/>
      <c r="AD309" s="140"/>
      <c r="AE309" s="140"/>
      <c r="AF309" s="140"/>
      <c r="AG309" s="140"/>
      <c r="AH309" s="140"/>
      <c r="AI309" s="140"/>
      <c r="AJ309" s="140"/>
      <c r="AK309" s="140"/>
      <c r="AL309" s="140"/>
      <c r="AM309" s="140"/>
      <c r="AN309" s="140"/>
      <c r="AO309" s="140"/>
      <c r="AP309" s="140"/>
      <c r="AQ309" s="140"/>
      <c r="AR309" s="140"/>
      <c r="AS309" s="140"/>
    </row>
    <row r="310">
      <c r="A310" s="149"/>
      <c r="B310" s="140"/>
      <c r="C310" s="140"/>
      <c r="D310" s="140"/>
      <c r="E310" s="140"/>
      <c r="F310" s="140"/>
      <c r="G310" s="140"/>
      <c r="H310" s="140"/>
      <c r="I310" s="140"/>
      <c r="J310" s="140"/>
      <c r="K310" s="140"/>
      <c r="L310" s="140"/>
      <c r="M310" s="140"/>
      <c r="N310" s="140"/>
      <c r="O310" s="140"/>
      <c r="P310" s="140"/>
      <c r="Q310" s="140"/>
      <c r="R310" s="140"/>
      <c r="S310" s="150"/>
      <c r="T310" s="150"/>
      <c r="U310" s="140"/>
      <c r="V310" s="140"/>
      <c r="W310" s="140"/>
      <c r="X310" s="140"/>
      <c r="Y310" s="140"/>
      <c r="Z310" s="140"/>
      <c r="AA310" s="140"/>
      <c r="AB310" s="140"/>
      <c r="AC310" s="140"/>
      <c r="AD310" s="140"/>
      <c r="AE310" s="140"/>
      <c r="AF310" s="140"/>
      <c r="AG310" s="140"/>
      <c r="AH310" s="140"/>
      <c r="AI310" s="140"/>
      <c r="AJ310" s="140"/>
      <c r="AK310" s="140"/>
      <c r="AL310" s="140"/>
      <c r="AM310" s="140"/>
      <c r="AN310" s="140"/>
      <c r="AO310" s="140"/>
      <c r="AP310" s="140"/>
      <c r="AQ310" s="140"/>
      <c r="AR310" s="140"/>
      <c r="AS310" s="140"/>
    </row>
    <row r="311">
      <c r="A311" s="149"/>
      <c r="B311" s="140"/>
      <c r="C311" s="140"/>
      <c r="D311" s="140"/>
      <c r="E311" s="140"/>
      <c r="F311" s="140"/>
      <c r="G311" s="140"/>
      <c r="H311" s="140"/>
      <c r="I311" s="140"/>
      <c r="J311" s="140"/>
      <c r="K311" s="140"/>
      <c r="L311" s="140"/>
      <c r="M311" s="140"/>
      <c r="N311" s="140"/>
      <c r="O311" s="140"/>
      <c r="P311" s="140"/>
      <c r="Q311" s="140"/>
      <c r="R311" s="140"/>
      <c r="S311" s="150"/>
      <c r="T311" s="150"/>
      <c r="U311" s="140"/>
      <c r="V311" s="140"/>
      <c r="W311" s="140"/>
      <c r="X311" s="140"/>
      <c r="Y311" s="140"/>
      <c r="Z311" s="140"/>
      <c r="AA311" s="140"/>
      <c r="AB311" s="140"/>
      <c r="AC311" s="140"/>
      <c r="AD311" s="140"/>
      <c r="AE311" s="140"/>
      <c r="AF311" s="140"/>
      <c r="AG311" s="140"/>
      <c r="AH311" s="140"/>
      <c r="AI311" s="140"/>
      <c r="AJ311" s="140"/>
      <c r="AK311" s="140"/>
      <c r="AL311" s="140"/>
      <c r="AM311" s="140"/>
      <c r="AN311" s="140"/>
      <c r="AO311" s="140"/>
      <c r="AP311" s="140"/>
      <c r="AQ311" s="140"/>
      <c r="AR311" s="140"/>
      <c r="AS311" s="140"/>
    </row>
    <row r="312">
      <c r="A312" s="149"/>
      <c r="B312" s="140"/>
      <c r="C312" s="140"/>
      <c r="D312" s="140"/>
      <c r="E312" s="140"/>
      <c r="F312" s="140"/>
      <c r="G312" s="140"/>
      <c r="H312" s="140"/>
      <c r="I312" s="140"/>
      <c r="J312" s="140"/>
      <c r="K312" s="140"/>
      <c r="L312" s="140"/>
      <c r="M312" s="140"/>
      <c r="N312" s="140"/>
      <c r="O312" s="140"/>
      <c r="P312" s="140"/>
      <c r="Q312" s="140"/>
      <c r="R312" s="140"/>
      <c r="S312" s="150"/>
      <c r="T312" s="150"/>
      <c r="U312" s="140"/>
      <c r="V312" s="140"/>
      <c r="W312" s="140"/>
      <c r="X312" s="140"/>
      <c r="Y312" s="140"/>
      <c r="Z312" s="140"/>
      <c r="AA312" s="140"/>
      <c r="AB312" s="140"/>
      <c r="AC312" s="140"/>
      <c r="AD312" s="140"/>
      <c r="AE312" s="140"/>
      <c r="AF312" s="140"/>
      <c r="AG312" s="140"/>
      <c r="AH312" s="140"/>
      <c r="AI312" s="140"/>
      <c r="AJ312" s="140"/>
      <c r="AK312" s="140"/>
      <c r="AL312" s="140"/>
      <c r="AM312" s="140"/>
      <c r="AN312" s="140"/>
      <c r="AO312" s="140"/>
      <c r="AP312" s="140"/>
      <c r="AQ312" s="140"/>
      <c r="AR312" s="140"/>
      <c r="AS312" s="140"/>
    </row>
    <row r="313">
      <c r="A313" s="149"/>
      <c r="B313" s="140"/>
      <c r="C313" s="140"/>
      <c r="D313" s="140"/>
      <c r="E313" s="140"/>
      <c r="F313" s="140"/>
      <c r="G313" s="140"/>
      <c r="H313" s="140"/>
      <c r="I313" s="140"/>
      <c r="J313" s="140"/>
      <c r="K313" s="140"/>
      <c r="L313" s="140"/>
      <c r="M313" s="140"/>
      <c r="N313" s="140"/>
      <c r="O313" s="140"/>
      <c r="P313" s="140"/>
      <c r="Q313" s="140"/>
      <c r="R313" s="140"/>
      <c r="S313" s="150"/>
      <c r="T313" s="150"/>
      <c r="U313" s="140"/>
      <c r="V313" s="140"/>
      <c r="W313" s="140"/>
      <c r="X313" s="140"/>
      <c r="Y313" s="140"/>
      <c r="Z313" s="140"/>
      <c r="AA313" s="140"/>
      <c r="AB313" s="140"/>
      <c r="AC313" s="140"/>
      <c r="AD313" s="140"/>
      <c r="AE313" s="140"/>
      <c r="AF313" s="140"/>
      <c r="AG313" s="140"/>
      <c r="AH313" s="140"/>
      <c r="AI313" s="140"/>
      <c r="AJ313" s="140"/>
      <c r="AK313" s="140"/>
      <c r="AL313" s="140"/>
      <c r="AM313" s="140"/>
      <c r="AN313" s="140"/>
      <c r="AO313" s="140"/>
      <c r="AP313" s="140"/>
      <c r="AQ313" s="140"/>
      <c r="AR313" s="140"/>
      <c r="AS313" s="140"/>
    </row>
    <row r="314">
      <c r="A314" s="149"/>
      <c r="B314" s="140"/>
      <c r="C314" s="140"/>
      <c r="D314" s="140"/>
      <c r="E314" s="140"/>
      <c r="F314" s="140"/>
      <c r="G314" s="140"/>
      <c r="H314" s="140"/>
      <c r="I314" s="140"/>
      <c r="J314" s="140"/>
      <c r="K314" s="140"/>
      <c r="L314" s="140"/>
      <c r="M314" s="140"/>
      <c r="N314" s="140"/>
      <c r="O314" s="140"/>
      <c r="P314" s="140"/>
      <c r="Q314" s="140"/>
      <c r="R314" s="140"/>
      <c r="S314" s="150"/>
      <c r="T314" s="150"/>
      <c r="U314" s="140"/>
      <c r="V314" s="140"/>
      <c r="W314" s="140"/>
      <c r="X314" s="140"/>
      <c r="Y314" s="140"/>
      <c r="Z314" s="140"/>
      <c r="AA314" s="140"/>
      <c r="AB314" s="140"/>
      <c r="AC314" s="140"/>
      <c r="AD314" s="140"/>
      <c r="AE314" s="140"/>
      <c r="AF314" s="140"/>
      <c r="AG314" s="140"/>
      <c r="AH314" s="140"/>
      <c r="AI314" s="140"/>
      <c r="AJ314" s="140"/>
      <c r="AK314" s="140"/>
      <c r="AL314" s="140"/>
      <c r="AM314" s="140"/>
      <c r="AN314" s="140"/>
      <c r="AO314" s="140"/>
      <c r="AP314" s="140"/>
      <c r="AQ314" s="140"/>
      <c r="AR314" s="140"/>
      <c r="AS314" s="140"/>
    </row>
    <row r="315">
      <c r="A315" s="149"/>
      <c r="B315" s="140"/>
      <c r="C315" s="140"/>
      <c r="D315" s="140"/>
      <c r="E315" s="140"/>
      <c r="F315" s="140"/>
      <c r="G315" s="140"/>
      <c r="H315" s="140"/>
      <c r="I315" s="140"/>
      <c r="J315" s="140"/>
      <c r="K315" s="140"/>
      <c r="L315" s="140"/>
      <c r="M315" s="140"/>
      <c r="N315" s="140"/>
      <c r="O315" s="140"/>
      <c r="P315" s="140"/>
      <c r="Q315" s="140"/>
      <c r="R315" s="140"/>
      <c r="S315" s="150"/>
      <c r="T315" s="150"/>
      <c r="U315" s="140"/>
      <c r="V315" s="140"/>
      <c r="W315" s="140"/>
      <c r="X315" s="140"/>
      <c r="Y315" s="140"/>
      <c r="Z315" s="140"/>
      <c r="AA315" s="140"/>
      <c r="AB315" s="140"/>
      <c r="AC315" s="140"/>
      <c r="AD315" s="140"/>
      <c r="AE315" s="140"/>
      <c r="AF315" s="140"/>
      <c r="AG315" s="140"/>
      <c r="AH315" s="140"/>
      <c r="AI315" s="140"/>
      <c r="AJ315" s="140"/>
      <c r="AK315" s="140"/>
      <c r="AL315" s="140"/>
      <c r="AM315" s="140"/>
      <c r="AN315" s="140"/>
      <c r="AO315" s="140"/>
      <c r="AP315" s="140"/>
      <c r="AQ315" s="140"/>
      <c r="AR315" s="140"/>
      <c r="AS315" s="140"/>
    </row>
    <row r="316">
      <c r="A316" s="149"/>
      <c r="B316" s="140"/>
      <c r="C316" s="140"/>
      <c r="D316" s="140"/>
      <c r="E316" s="140"/>
      <c r="F316" s="140"/>
      <c r="G316" s="140"/>
      <c r="H316" s="140"/>
      <c r="I316" s="140"/>
      <c r="J316" s="140"/>
      <c r="K316" s="140"/>
      <c r="L316" s="140"/>
      <c r="M316" s="140"/>
      <c r="N316" s="140"/>
      <c r="O316" s="140"/>
      <c r="P316" s="140"/>
      <c r="Q316" s="140"/>
      <c r="R316" s="140"/>
      <c r="S316" s="150"/>
      <c r="T316" s="150"/>
      <c r="U316" s="140"/>
      <c r="V316" s="140"/>
      <c r="W316" s="140"/>
      <c r="X316" s="140"/>
      <c r="Y316" s="140"/>
      <c r="Z316" s="140"/>
      <c r="AA316" s="140"/>
      <c r="AB316" s="140"/>
      <c r="AC316" s="140"/>
      <c r="AD316" s="140"/>
      <c r="AE316" s="140"/>
      <c r="AF316" s="140"/>
      <c r="AG316" s="140"/>
      <c r="AH316" s="140"/>
      <c r="AI316" s="140"/>
      <c r="AJ316" s="140"/>
      <c r="AK316" s="140"/>
      <c r="AL316" s="140"/>
      <c r="AM316" s="140"/>
      <c r="AN316" s="140"/>
      <c r="AO316" s="140"/>
      <c r="AP316" s="140"/>
      <c r="AQ316" s="140"/>
      <c r="AR316" s="140"/>
      <c r="AS316" s="140"/>
    </row>
    <row r="317">
      <c r="A317" s="149"/>
      <c r="B317" s="140"/>
      <c r="C317" s="140"/>
      <c r="D317" s="140"/>
      <c r="E317" s="140"/>
      <c r="F317" s="140"/>
      <c r="G317" s="140"/>
      <c r="H317" s="140"/>
      <c r="I317" s="140"/>
      <c r="J317" s="140"/>
      <c r="K317" s="140"/>
      <c r="L317" s="140"/>
      <c r="M317" s="140"/>
      <c r="N317" s="140"/>
      <c r="O317" s="140"/>
      <c r="P317" s="140"/>
      <c r="Q317" s="140"/>
      <c r="R317" s="140"/>
      <c r="S317" s="150"/>
      <c r="T317" s="150"/>
      <c r="U317" s="140"/>
      <c r="V317" s="140"/>
      <c r="W317" s="140"/>
      <c r="X317" s="140"/>
      <c r="Y317" s="140"/>
      <c r="Z317" s="140"/>
      <c r="AA317" s="140"/>
      <c r="AB317" s="140"/>
      <c r="AC317" s="140"/>
      <c r="AD317" s="140"/>
      <c r="AE317" s="140"/>
      <c r="AF317" s="140"/>
      <c r="AG317" s="140"/>
      <c r="AH317" s="140"/>
      <c r="AI317" s="140"/>
      <c r="AJ317" s="140"/>
      <c r="AK317" s="140"/>
      <c r="AL317" s="140"/>
      <c r="AM317" s="140"/>
      <c r="AN317" s="140"/>
      <c r="AO317" s="140"/>
      <c r="AP317" s="140"/>
      <c r="AQ317" s="140"/>
      <c r="AR317" s="140"/>
      <c r="AS317" s="140"/>
    </row>
    <row r="318">
      <c r="A318" s="149"/>
      <c r="B318" s="140"/>
      <c r="C318" s="140"/>
      <c r="D318" s="140"/>
      <c r="E318" s="140"/>
      <c r="F318" s="140"/>
      <c r="G318" s="140"/>
      <c r="H318" s="140"/>
      <c r="I318" s="140"/>
      <c r="J318" s="140"/>
      <c r="K318" s="140"/>
      <c r="L318" s="140"/>
      <c r="M318" s="140"/>
      <c r="N318" s="140"/>
      <c r="O318" s="140"/>
      <c r="P318" s="140"/>
      <c r="Q318" s="140"/>
      <c r="R318" s="140"/>
      <c r="S318" s="150"/>
      <c r="T318" s="150"/>
      <c r="U318" s="140"/>
      <c r="V318" s="140"/>
      <c r="W318" s="140"/>
      <c r="X318" s="140"/>
      <c r="Y318" s="140"/>
      <c r="Z318" s="140"/>
      <c r="AA318" s="140"/>
      <c r="AB318" s="140"/>
      <c r="AC318" s="140"/>
      <c r="AD318" s="140"/>
      <c r="AE318" s="140"/>
      <c r="AF318" s="140"/>
      <c r="AG318" s="140"/>
      <c r="AH318" s="140"/>
      <c r="AI318" s="140"/>
      <c r="AJ318" s="140"/>
      <c r="AK318" s="140"/>
      <c r="AL318" s="140"/>
      <c r="AM318" s="140"/>
      <c r="AN318" s="140"/>
      <c r="AO318" s="140"/>
      <c r="AP318" s="140"/>
      <c r="AQ318" s="140"/>
      <c r="AR318" s="140"/>
      <c r="AS318" s="140"/>
    </row>
    <row r="319">
      <c r="A319" s="149"/>
      <c r="B319" s="140"/>
      <c r="C319" s="140"/>
      <c r="D319" s="140"/>
      <c r="E319" s="140"/>
      <c r="F319" s="140"/>
      <c r="G319" s="140"/>
      <c r="H319" s="140"/>
      <c r="I319" s="140"/>
      <c r="J319" s="140"/>
      <c r="K319" s="140"/>
      <c r="L319" s="140"/>
      <c r="M319" s="140"/>
      <c r="N319" s="140"/>
      <c r="O319" s="140"/>
      <c r="P319" s="140"/>
      <c r="Q319" s="140"/>
      <c r="R319" s="140"/>
      <c r="S319" s="150"/>
      <c r="T319" s="150"/>
      <c r="U319" s="140"/>
      <c r="V319" s="140"/>
      <c r="W319" s="140"/>
      <c r="X319" s="140"/>
      <c r="Y319" s="140"/>
      <c r="Z319" s="140"/>
      <c r="AA319" s="140"/>
      <c r="AB319" s="140"/>
      <c r="AC319" s="140"/>
      <c r="AD319" s="140"/>
      <c r="AE319" s="140"/>
      <c r="AF319" s="140"/>
      <c r="AG319" s="140"/>
      <c r="AH319" s="140"/>
      <c r="AI319" s="140"/>
      <c r="AJ319" s="140"/>
      <c r="AK319" s="140"/>
      <c r="AL319" s="140"/>
      <c r="AM319" s="140"/>
      <c r="AN319" s="140"/>
      <c r="AO319" s="140"/>
      <c r="AP319" s="140"/>
      <c r="AQ319" s="140"/>
      <c r="AR319" s="140"/>
      <c r="AS319" s="140"/>
    </row>
    <row r="320">
      <c r="A320" s="149"/>
      <c r="B320" s="140"/>
      <c r="C320" s="140"/>
      <c r="D320" s="140"/>
      <c r="E320" s="140"/>
      <c r="F320" s="140"/>
      <c r="G320" s="140"/>
      <c r="H320" s="140"/>
      <c r="I320" s="140"/>
      <c r="J320" s="140"/>
      <c r="K320" s="140"/>
      <c r="L320" s="140"/>
      <c r="M320" s="140"/>
      <c r="N320" s="140"/>
      <c r="O320" s="140"/>
      <c r="P320" s="140"/>
      <c r="Q320" s="140"/>
      <c r="R320" s="140"/>
      <c r="S320" s="150"/>
      <c r="T320" s="150"/>
      <c r="U320" s="140"/>
      <c r="V320" s="140"/>
      <c r="W320" s="140"/>
      <c r="X320" s="140"/>
      <c r="Y320" s="140"/>
      <c r="Z320" s="140"/>
      <c r="AA320" s="140"/>
      <c r="AB320" s="140"/>
      <c r="AC320" s="140"/>
      <c r="AD320" s="140"/>
      <c r="AE320" s="140"/>
      <c r="AF320" s="140"/>
      <c r="AG320" s="140"/>
      <c r="AH320" s="140"/>
      <c r="AI320" s="140"/>
      <c r="AJ320" s="140"/>
      <c r="AK320" s="140"/>
      <c r="AL320" s="140"/>
      <c r="AM320" s="140"/>
      <c r="AN320" s="140"/>
      <c r="AO320" s="140"/>
      <c r="AP320" s="140"/>
      <c r="AQ320" s="140"/>
      <c r="AR320" s="140"/>
      <c r="AS320" s="140"/>
    </row>
    <row r="321">
      <c r="A321" s="149"/>
      <c r="B321" s="140"/>
      <c r="C321" s="140"/>
      <c r="D321" s="140"/>
      <c r="E321" s="140"/>
      <c r="F321" s="140"/>
      <c r="G321" s="140"/>
      <c r="H321" s="140"/>
      <c r="I321" s="140"/>
      <c r="J321" s="140"/>
      <c r="K321" s="140"/>
      <c r="L321" s="140"/>
      <c r="M321" s="140"/>
      <c r="N321" s="140"/>
      <c r="O321" s="140"/>
      <c r="P321" s="140"/>
      <c r="Q321" s="140"/>
      <c r="R321" s="140"/>
      <c r="S321" s="150"/>
      <c r="T321" s="150"/>
      <c r="U321" s="140"/>
      <c r="V321" s="140"/>
      <c r="W321" s="140"/>
      <c r="X321" s="140"/>
      <c r="Y321" s="140"/>
      <c r="Z321" s="140"/>
      <c r="AA321" s="140"/>
      <c r="AB321" s="140"/>
      <c r="AC321" s="140"/>
      <c r="AD321" s="140"/>
      <c r="AE321" s="140"/>
      <c r="AF321" s="140"/>
      <c r="AG321" s="140"/>
      <c r="AH321" s="140"/>
      <c r="AI321" s="140"/>
      <c r="AJ321" s="140"/>
      <c r="AK321" s="140"/>
      <c r="AL321" s="140"/>
      <c r="AM321" s="140"/>
      <c r="AN321" s="140"/>
      <c r="AO321" s="140"/>
      <c r="AP321" s="140"/>
      <c r="AQ321" s="140"/>
      <c r="AR321" s="140"/>
      <c r="AS321" s="140"/>
    </row>
    <row r="322">
      <c r="A322" s="149"/>
      <c r="B322" s="140"/>
      <c r="C322" s="140"/>
      <c r="D322" s="140"/>
      <c r="E322" s="140"/>
      <c r="F322" s="140"/>
      <c r="G322" s="140"/>
      <c r="H322" s="140"/>
      <c r="I322" s="140"/>
      <c r="J322" s="140"/>
      <c r="K322" s="140"/>
      <c r="L322" s="140"/>
      <c r="M322" s="140"/>
      <c r="N322" s="140"/>
      <c r="O322" s="140"/>
      <c r="P322" s="140"/>
      <c r="Q322" s="140"/>
      <c r="R322" s="140"/>
      <c r="S322" s="150"/>
      <c r="T322" s="150"/>
      <c r="U322" s="140"/>
      <c r="V322" s="140"/>
      <c r="W322" s="140"/>
      <c r="X322" s="140"/>
      <c r="Y322" s="140"/>
      <c r="Z322" s="140"/>
      <c r="AA322" s="140"/>
      <c r="AB322" s="140"/>
      <c r="AC322" s="140"/>
      <c r="AD322" s="140"/>
      <c r="AE322" s="140"/>
      <c r="AF322" s="140"/>
      <c r="AG322" s="140"/>
      <c r="AH322" s="140"/>
      <c r="AI322" s="140"/>
      <c r="AJ322" s="140"/>
      <c r="AK322" s="140"/>
      <c r="AL322" s="140"/>
      <c r="AM322" s="140"/>
      <c r="AN322" s="140"/>
      <c r="AO322" s="140"/>
      <c r="AP322" s="140"/>
      <c r="AQ322" s="140"/>
      <c r="AR322" s="140"/>
      <c r="AS322" s="140"/>
    </row>
    <row r="323">
      <c r="A323" s="149"/>
      <c r="B323" s="140"/>
      <c r="C323" s="140"/>
      <c r="D323" s="140"/>
      <c r="E323" s="140"/>
      <c r="F323" s="140"/>
      <c r="G323" s="140"/>
      <c r="H323" s="140"/>
      <c r="I323" s="140"/>
      <c r="J323" s="140"/>
      <c r="K323" s="140"/>
      <c r="L323" s="140"/>
      <c r="M323" s="140"/>
      <c r="N323" s="140"/>
      <c r="O323" s="140"/>
      <c r="P323" s="140"/>
      <c r="Q323" s="140"/>
      <c r="R323" s="140"/>
      <c r="S323" s="150"/>
      <c r="T323" s="150"/>
      <c r="U323" s="140"/>
      <c r="V323" s="140"/>
      <c r="W323" s="140"/>
      <c r="X323" s="140"/>
      <c r="Y323" s="140"/>
      <c r="Z323" s="140"/>
      <c r="AA323" s="140"/>
      <c r="AB323" s="140"/>
      <c r="AC323" s="140"/>
      <c r="AD323" s="140"/>
      <c r="AE323" s="140"/>
      <c r="AF323" s="140"/>
      <c r="AG323" s="140"/>
      <c r="AH323" s="140"/>
      <c r="AI323" s="140"/>
      <c r="AJ323" s="140"/>
      <c r="AK323" s="140"/>
      <c r="AL323" s="140"/>
      <c r="AM323" s="140"/>
      <c r="AN323" s="140"/>
      <c r="AO323" s="140"/>
      <c r="AP323" s="140"/>
      <c r="AQ323" s="140"/>
      <c r="AR323" s="140"/>
      <c r="AS323" s="140"/>
    </row>
    <row r="324">
      <c r="A324" s="149"/>
      <c r="B324" s="140"/>
      <c r="C324" s="140"/>
      <c r="D324" s="140"/>
      <c r="E324" s="140"/>
      <c r="F324" s="140"/>
      <c r="G324" s="140"/>
      <c r="H324" s="140"/>
      <c r="I324" s="140"/>
      <c r="J324" s="140"/>
      <c r="K324" s="140"/>
      <c r="L324" s="140"/>
      <c r="M324" s="140"/>
      <c r="N324" s="140"/>
      <c r="O324" s="140"/>
      <c r="P324" s="140"/>
      <c r="Q324" s="140"/>
      <c r="R324" s="140"/>
      <c r="S324" s="150"/>
      <c r="T324" s="150"/>
      <c r="U324" s="140"/>
      <c r="V324" s="140"/>
      <c r="W324" s="140"/>
      <c r="X324" s="140"/>
      <c r="Y324" s="140"/>
      <c r="Z324" s="140"/>
      <c r="AA324" s="140"/>
      <c r="AB324" s="140"/>
      <c r="AC324" s="140"/>
      <c r="AD324" s="140"/>
      <c r="AE324" s="140"/>
      <c r="AF324" s="140"/>
      <c r="AG324" s="140"/>
      <c r="AH324" s="140"/>
      <c r="AI324" s="140"/>
      <c r="AJ324" s="140"/>
      <c r="AK324" s="140"/>
      <c r="AL324" s="140"/>
      <c r="AM324" s="140"/>
      <c r="AN324" s="140"/>
      <c r="AO324" s="140"/>
      <c r="AP324" s="140"/>
      <c r="AQ324" s="140"/>
      <c r="AR324" s="140"/>
      <c r="AS324" s="140"/>
    </row>
    <row r="325">
      <c r="A325" s="149"/>
      <c r="B325" s="140"/>
      <c r="C325" s="140"/>
      <c r="D325" s="140"/>
      <c r="E325" s="140"/>
      <c r="F325" s="140"/>
      <c r="G325" s="140"/>
      <c r="H325" s="140"/>
      <c r="I325" s="140"/>
      <c r="J325" s="140"/>
      <c r="K325" s="140"/>
      <c r="L325" s="140"/>
      <c r="M325" s="140"/>
      <c r="N325" s="140"/>
      <c r="O325" s="140"/>
      <c r="P325" s="140"/>
      <c r="Q325" s="140"/>
      <c r="R325" s="140"/>
      <c r="S325" s="150"/>
      <c r="T325" s="150"/>
      <c r="U325" s="140"/>
      <c r="V325" s="140"/>
      <c r="W325" s="140"/>
      <c r="X325" s="140"/>
      <c r="Y325" s="140"/>
      <c r="Z325" s="140"/>
      <c r="AA325" s="140"/>
      <c r="AB325" s="140"/>
      <c r="AC325" s="140"/>
      <c r="AD325" s="140"/>
      <c r="AE325" s="140"/>
      <c r="AF325" s="140"/>
      <c r="AG325" s="140"/>
      <c r="AH325" s="140"/>
      <c r="AI325" s="140"/>
      <c r="AJ325" s="140"/>
      <c r="AK325" s="140"/>
      <c r="AL325" s="140"/>
      <c r="AM325" s="140"/>
      <c r="AN325" s="140"/>
      <c r="AO325" s="140"/>
      <c r="AP325" s="140"/>
      <c r="AQ325" s="140"/>
      <c r="AR325" s="140"/>
      <c r="AS325" s="140"/>
    </row>
    <row r="326">
      <c r="A326" s="149"/>
      <c r="B326" s="140"/>
      <c r="C326" s="140"/>
      <c r="D326" s="140"/>
      <c r="E326" s="140"/>
      <c r="F326" s="140"/>
      <c r="G326" s="140"/>
      <c r="H326" s="140"/>
      <c r="I326" s="140"/>
      <c r="J326" s="140"/>
      <c r="K326" s="140"/>
      <c r="L326" s="140"/>
      <c r="M326" s="140"/>
      <c r="N326" s="140"/>
      <c r="O326" s="140"/>
      <c r="P326" s="140"/>
      <c r="Q326" s="140"/>
      <c r="R326" s="140"/>
      <c r="S326" s="150"/>
      <c r="T326" s="150"/>
      <c r="U326" s="140"/>
      <c r="V326" s="140"/>
      <c r="W326" s="140"/>
      <c r="X326" s="140"/>
      <c r="Y326" s="140"/>
      <c r="Z326" s="140"/>
      <c r="AA326" s="140"/>
      <c r="AB326" s="140"/>
      <c r="AC326" s="140"/>
      <c r="AD326" s="140"/>
      <c r="AE326" s="140"/>
      <c r="AF326" s="140"/>
      <c r="AG326" s="140"/>
      <c r="AH326" s="140"/>
      <c r="AI326" s="140"/>
      <c r="AJ326" s="140"/>
      <c r="AK326" s="140"/>
      <c r="AL326" s="140"/>
      <c r="AM326" s="140"/>
      <c r="AN326" s="140"/>
      <c r="AO326" s="140"/>
      <c r="AP326" s="140"/>
      <c r="AQ326" s="140"/>
      <c r="AR326" s="140"/>
      <c r="AS326" s="140"/>
    </row>
    <row r="327">
      <c r="A327" s="149"/>
      <c r="B327" s="140"/>
      <c r="C327" s="140"/>
      <c r="D327" s="140"/>
      <c r="E327" s="140"/>
      <c r="F327" s="140"/>
      <c r="G327" s="140"/>
      <c r="H327" s="140"/>
      <c r="I327" s="140"/>
      <c r="J327" s="140"/>
      <c r="K327" s="140"/>
      <c r="L327" s="140"/>
      <c r="M327" s="140"/>
      <c r="N327" s="140"/>
      <c r="O327" s="140"/>
      <c r="P327" s="140"/>
      <c r="Q327" s="140"/>
      <c r="R327" s="140"/>
      <c r="S327" s="150"/>
      <c r="T327" s="150"/>
      <c r="U327" s="140"/>
      <c r="V327" s="140"/>
      <c r="W327" s="140"/>
      <c r="X327" s="140"/>
      <c r="Y327" s="140"/>
      <c r="Z327" s="140"/>
      <c r="AA327" s="140"/>
      <c r="AB327" s="140"/>
      <c r="AC327" s="140"/>
      <c r="AD327" s="140"/>
      <c r="AE327" s="140"/>
      <c r="AF327" s="140"/>
      <c r="AG327" s="140"/>
      <c r="AH327" s="140"/>
      <c r="AI327" s="140"/>
      <c r="AJ327" s="140"/>
      <c r="AK327" s="140"/>
      <c r="AL327" s="140"/>
      <c r="AM327" s="140"/>
      <c r="AN327" s="140"/>
      <c r="AO327" s="140"/>
      <c r="AP327" s="140"/>
      <c r="AQ327" s="140"/>
      <c r="AR327" s="140"/>
      <c r="AS327" s="140"/>
    </row>
    <row r="328">
      <c r="A328" s="149"/>
      <c r="B328" s="140"/>
      <c r="C328" s="140"/>
      <c r="D328" s="140"/>
      <c r="E328" s="140"/>
      <c r="F328" s="140"/>
      <c r="G328" s="140"/>
      <c r="H328" s="140"/>
      <c r="I328" s="140"/>
      <c r="J328" s="140"/>
      <c r="K328" s="140"/>
      <c r="L328" s="140"/>
      <c r="M328" s="140"/>
      <c r="N328" s="140"/>
      <c r="O328" s="140"/>
      <c r="P328" s="140"/>
      <c r="Q328" s="140"/>
      <c r="R328" s="140"/>
      <c r="S328" s="150"/>
      <c r="T328" s="150"/>
      <c r="U328" s="140"/>
      <c r="V328" s="140"/>
      <c r="W328" s="140"/>
      <c r="X328" s="140"/>
      <c r="Y328" s="140"/>
      <c r="Z328" s="140"/>
      <c r="AA328" s="140"/>
      <c r="AB328" s="140"/>
      <c r="AC328" s="140"/>
      <c r="AD328" s="140"/>
      <c r="AE328" s="140"/>
      <c r="AF328" s="140"/>
      <c r="AG328" s="140"/>
      <c r="AH328" s="140"/>
      <c r="AI328" s="140"/>
      <c r="AJ328" s="140"/>
      <c r="AK328" s="140"/>
      <c r="AL328" s="140"/>
      <c r="AM328" s="140"/>
      <c r="AN328" s="140"/>
      <c r="AO328" s="140"/>
      <c r="AP328" s="140"/>
      <c r="AQ328" s="140"/>
      <c r="AR328" s="140"/>
      <c r="AS328" s="140"/>
    </row>
    <row r="329">
      <c r="A329" s="149"/>
      <c r="B329" s="140"/>
      <c r="C329" s="140"/>
      <c r="D329" s="140"/>
      <c r="E329" s="140"/>
      <c r="F329" s="140"/>
      <c r="G329" s="140"/>
      <c r="H329" s="140"/>
      <c r="I329" s="140"/>
      <c r="J329" s="140"/>
      <c r="K329" s="140"/>
      <c r="L329" s="140"/>
      <c r="M329" s="140"/>
      <c r="N329" s="140"/>
      <c r="O329" s="140"/>
      <c r="P329" s="140"/>
      <c r="Q329" s="140"/>
      <c r="R329" s="140"/>
      <c r="S329" s="150"/>
      <c r="T329" s="150"/>
      <c r="U329" s="140"/>
      <c r="V329" s="140"/>
      <c r="W329" s="140"/>
      <c r="X329" s="140"/>
      <c r="Y329" s="140"/>
      <c r="Z329" s="140"/>
      <c r="AA329" s="140"/>
      <c r="AB329" s="140"/>
      <c r="AC329" s="140"/>
      <c r="AD329" s="140"/>
      <c r="AE329" s="140"/>
      <c r="AF329" s="140"/>
      <c r="AG329" s="140"/>
      <c r="AH329" s="140"/>
      <c r="AI329" s="140"/>
      <c r="AJ329" s="140"/>
      <c r="AK329" s="140"/>
      <c r="AL329" s="140"/>
      <c r="AM329" s="140"/>
      <c r="AN329" s="140"/>
      <c r="AO329" s="140"/>
      <c r="AP329" s="140"/>
      <c r="AQ329" s="140"/>
      <c r="AR329" s="140"/>
      <c r="AS329" s="140"/>
    </row>
    <row r="330">
      <c r="A330" s="149"/>
      <c r="B330" s="140"/>
      <c r="C330" s="140"/>
      <c r="D330" s="140"/>
      <c r="E330" s="140"/>
      <c r="F330" s="140"/>
      <c r="G330" s="140"/>
      <c r="H330" s="140"/>
      <c r="I330" s="140"/>
      <c r="J330" s="140"/>
      <c r="K330" s="140"/>
      <c r="L330" s="140"/>
      <c r="M330" s="140"/>
      <c r="N330" s="140"/>
      <c r="O330" s="140"/>
      <c r="P330" s="140"/>
      <c r="Q330" s="140"/>
      <c r="R330" s="140"/>
      <c r="S330" s="150"/>
      <c r="T330" s="150"/>
      <c r="U330" s="140"/>
      <c r="V330" s="140"/>
      <c r="W330" s="140"/>
      <c r="X330" s="140"/>
      <c r="Y330" s="140"/>
      <c r="Z330" s="140"/>
      <c r="AA330" s="140"/>
      <c r="AB330" s="140"/>
      <c r="AC330" s="140"/>
      <c r="AD330" s="140"/>
      <c r="AE330" s="140"/>
      <c r="AF330" s="140"/>
      <c r="AG330" s="140"/>
      <c r="AH330" s="140"/>
      <c r="AI330" s="140"/>
      <c r="AJ330" s="140"/>
      <c r="AK330" s="140"/>
      <c r="AL330" s="140"/>
      <c r="AM330" s="140"/>
      <c r="AN330" s="140"/>
      <c r="AO330" s="140"/>
      <c r="AP330" s="140"/>
      <c r="AQ330" s="140"/>
      <c r="AR330" s="140"/>
      <c r="AS330" s="140"/>
    </row>
    <row r="331">
      <c r="A331" s="149"/>
      <c r="B331" s="140"/>
      <c r="C331" s="140"/>
      <c r="D331" s="140"/>
      <c r="E331" s="140"/>
      <c r="F331" s="140"/>
      <c r="G331" s="140"/>
      <c r="H331" s="140"/>
      <c r="I331" s="140"/>
      <c r="J331" s="140"/>
      <c r="K331" s="140"/>
      <c r="L331" s="140"/>
      <c r="M331" s="140"/>
      <c r="N331" s="140"/>
      <c r="O331" s="140"/>
      <c r="P331" s="140"/>
      <c r="Q331" s="140"/>
      <c r="R331" s="140"/>
      <c r="S331" s="150"/>
      <c r="T331" s="150"/>
      <c r="U331" s="140"/>
      <c r="V331" s="140"/>
      <c r="W331" s="140"/>
      <c r="X331" s="140"/>
      <c r="Y331" s="140"/>
      <c r="Z331" s="140"/>
      <c r="AA331" s="140"/>
      <c r="AB331" s="140"/>
      <c r="AC331" s="140"/>
      <c r="AD331" s="140"/>
      <c r="AE331" s="140"/>
      <c r="AF331" s="140"/>
      <c r="AG331" s="140"/>
      <c r="AH331" s="140"/>
      <c r="AI331" s="140"/>
      <c r="AJ331" s="140"/>
      <c r="AK331" s="140"/>
      <c r="AL331" s="140"/>
      <c r="AM331" s="140"/>
      <c r="AN331" s="140"/>
      <c r="AO331" s="140"/>
      <c r="AP331" s="140"/>
      <c r="AQ331" s="140"/>
      <c r="AR331" s="140"/>
      <c r="AS331" s="140"/>
    </row>
    <row r="332">
      <c r="A332" s="149"/>
      <c r="B332" s="140"/>
      <c r="C332" s="140"/>
      <c r="D332" s="140"/>
      <c r="E332" s="140"/>
      <c r="F332" s="140"/>
      <c r="G332" s="140"/>
      <c r="H332" s="140"/>
      <c r="I332" s="140"/>
      <c r="J332" s="140"/>
      <c r="K332" s="140"/>
      <c r="L332" s="140"/>
      <c r="M332" s="140"/>
      <c r="N332" s="140"/>
      <c r="O332" s="140"/>
      <c r="P332" s="140"/>
      <c r="Q332" s="140"/>
      <c r="R332" s="140"/>
      <c r="S332" s="150"/>
      <c r="T332" s="150"/>
      <c r="U332" s="140"/>
      <c r="V332" s="140"/>
      <c r="W332" s="140"/>
      <c r="X332" s="140"/>
      <c r="Y332" s="140"/>
      <c r="Z332" s="140"/>
      <c r="AA332" s="140"/>
      <c r="AB332" s="140"/>
      <c r="AC332" s="140"/>
      <c r="AD332" s="140"/>
      <c r="AE332" s="140"/>
      <c r="AF332" s="140"/>
      <c r="AG332" s="140"/>
      <c r="AH332" s="140"/>
      <c r="AI332" s="140"/>
      <c r="AJ332" s="140"/>
      <c r="AK332" s="140"/>
      <c r="AL332" s="140"/>
      <c r="AM332" s="140"/>
      <c r="AN332" s="140"/>
      <c r="AO332" s="140"/>
      <c r="AP332" s="140"/>
      <c r="AQ332" s="140"/>
      <c r="AR332" s="140"/>
      <c r="AS332" s="140"/>
    </row>
    <row r="333">
      <c r="A333" s="149"/>
      <c r="B333" s="140"/>
      <c r="C333" s="140"/>
      <c r="D333" s="140"/>
      <c r="E333" s="140"/>
      <c r="F333" s="140"/>
      <c r="G333" s="140"/>
      <c r="H333" s="140"/>
      <c r="I333" s="140"/>
      <c r="J333" s="140"/>
      <c r="K333" s="140"/>
      <c r="L333" s="140"/>
      <c r="M333" s="140"/>
      <c r="N333" s="140"/>
      <c r="O333" s="140"/>
      <c r="P333" s="140"/>
      <c r="Q333" s="140"/>
      <c r="R333" s="140"/>
      <c r="S333" s="150"/>
      <c r="T333" s="150"/>
      <c r="U333" s="140"/>
      <c r="V333" s="140"/>
      <c r="W333" s="140"/>
      <c r="X333" s="140"/>
      <c r="Y333" s="140"/>
      <c r="Z333" s="140"/>
      <c r="AA333" s="140"/>
      <c r="AB333" s="140"/>
      <c r="AC333" s="140"/>
      <c r="AD333" s="140"/>
      <c r="AE333" s="140"/>
      <c r="AF333" s="140"/>
      <c r="AG333" s="140"/>
      <c r="AH333" s="140"/>
      <c r="AI333" s="140"/>
      <c r="AJ333" s="140"/>
      <c r="AK333" s="140"/>
      <c r="AL333" s="140"/>
      <c r="AM333" s="140"/>
      <c r="AN333" s="140"/>
      <c r="AO333" s="140"/>
      <c r="AP333" s="140"/>
      <c r="AQ333" s="140"/>
      <c r="AR333" s="140"/>
      <c r="AS333" s="140"/>
    </row>
    <row r="334">
      <c r="A334" s="149"/>
      <c r="B334" s="140"/>
      <c r="C334" s="140"/>
      <c r="D334" s="140"/>
      <c r="E334" s="140"/>
      <c r="F334" s="140"/>
      <c r="G334" s="140"/>
      <c r="H334" s="140"/>
      <c r="I334" s="140"/>
      <c r="J334" s="140"/>
      <c r="K334" s="140"/>
      <c r="L334" s="140"/>
      <c r="M334" s="140"/>
      <c r="N334" s="140"/>
      <c r="O334" s="140"/>
      <c r="P334" s="140"/>
      <c r="Q334" s="140"/>
      <c r="R334" s="140"/>
      <c r="S334" s="150"/>
      <c r="T334" s="150"/>
      <c r="U334" s="140"/>
      <c r="V334" s="140"/>
      <c r="W334" s="140"/>
      <c r="X334" s="140"/>
      <c r="Y334" s="140"/>
      <c r="Z334" s="140"/>
      <c r="AA334" s="140"/>
      <c r="AB334" s="140"/>
      <c r="AC334" s="140"/>
      <c r="AD334" s="140"/>
      <c r="AE334" s="140"/>
      <c r="AF334" s="140"/>
      <c r="AG334" s="140"/>
      <c r="AH334" s="140"/>
      <c r="AI334" s="140"/>
      <c r="AJ334" s="140"/>
      <c r="AK334" s="140"/>
      <c r="AL334" s="140"/>
      <c r="AM334" s="140"/>
      <c r="AN334" s="140"/>
      <c r="AO334" s="140"/>
      <c r="AP334" s="140"/>
      <c r="AQ334" s="140"/>
      <c r="AR334" s="140"/>
      <c r="AS334" s="140"/>
    </row>
    <row r="335">
      <c r="A335" s="149"/>
      <c r="B335" s="140"/>
      <c r="C335" s="140"/>
      <c r="D335" s="140"/>
      <c r="E335" s="140"/>
      <c r="F335" s="140"/>
      <c r="G335" s="140"/>
      <c r="H335" s="140"/>
      <c r="I335" s="140"/>
      <c r="J335" s="140"/>
      <c r="K335" s="140"/>
      <c r="L335" s="140"/>
      <c r="M335" s="140"/>
      <c r="N335" s="140"/>
      <c r="O335" s="140"/>
      <c r="P335" s="140"/>
      <c r="Q335" s="140"/>
      <c r="R335" s="140"/>
      <c r="S335" s="150"/>
      <c r="T335" s="150"/>
      <c r="U335" s="140"/>
      <c r="V335" s="140"/>
      <c r="W335" s="140"/>
      <c r="X335" s="140"/>
      <c r="Y335" s="140"/>
      <c r="Z335" s="140"/>
      <c r="AA335" s="140"/>
      <c r="AB335" s="140"/>
      <c r="AC335" s="140"/>
      <c r="AD335" s="140"/>
      <c r="AE335" s="140"/>
      <c r="AF335" s="140"/>
      <c r="AG335" s="140"/>
      <c r="AH335" s="140"/>
      <c r="AI335" s="140"/>
      <c r="AJ335" s="140"/>
      <c r="AK335" s="140"/>
      <c r="AL335" s="140"/>
      <c r="AM335" s="140"/>
      <c r="AN335" s="140"/>
      <c r="AO335" s="140"/>
      <c r="AP335" s="140"/>
      <c r="AQ335" s="140"/>
      <c r="AR335" s="140"/>
      <c r="AS335" s="140"/>
    </row>
    <row r="336">
      <c r="A336" s="149"/>
      <c r="B336" s="140"/>
      <c r="C336" s="140"/>
      <c r="D336" s="140"/>
      <c r="E336" s="140"/>
      <c r="F336" s="140"/>
      <c r="G336" s="140"/>
      <c r="H336" s="140"/>
      <c r="I336" s="140"/>
      <c r="J336" s="140"/>
      <c r="K336" s="140"/>
      <c r="L336" s="140"/>
      <c r="M336" s="140"/>
      <c r="N336" s="140"/>
      <c r="O336" s="140"/>
      <c r="P336" s="140"/>
      <c r="Q336" s="140"/>
      <c r="R336" s="140"/>
      <c r="S336" s="150"/>
      <c r="T336" s="150"/>
      <c r="U336" s="140"/>
      <c r="V336" s="140"/>
      <c r="W336" s="140"/>
      <c r="X336" s="140"/>
      <c r="Y336" s="140"/>
      <c r="Z336" s="140"/>
      <c r="AA336" s="140"/>
      <c r="AB336" s="140"/>
      <c r="AC336" s="140"/>
      <c r="AD336" s="140"/>
      <c r="AE336" s="140"/>
      <c r="AF336" s="140"/>
      <c r="AG336" s="140"/>
      <c r="AH336" s="140"/>
      <c r="AI336" s="140"/>
      <c r="AJ336" s="140"/>
      <c r="AK336" s="140"/>
      <c r="AL336" s="140"/>
      <c r="AM336" s="140"/>
      <c r="AN336" s="140"/>
      <c r="AO336" s="140"/>
      <c r="AP336" s="140"/>
      <c r="AQ336" s="140"/>
      <c r="AR336" s="140"/>
      <c r="AS336" s="140"/>
    </row>
    <row r="337">
      <c r="A337" s="149"/>
      <c r="B337" s="140"/>
      <c r="C337" s="140"/>
      <c r="D337" s="140"/>
      <c r="E337" s="140"/>
      <c r="F337" s="140"/>
      <c r="G337" s="140"/>
      <c r="H337" s="140"/>
      <c r="I337" s="140"/>
      <c r="J337" s="140"/>
      <c r="K337" s="140"/>
      <c r="L337" s="140"/>
      <c r="M337" s="140"/>
      <c r="N337" s="140"/>
      <c r="O337" s="140"/>
      <c r="P337" s="140"/>
      <c r="Q337" s="140"/>
      <c r="R337" s="140"/>
      <c r="S337" s="150"/>
      <c r="T337" s="150"/>
      <c r="U337" s="140"/>
      <c r="V337" s="140"/>
      <c r="W337" s="140"/>
      <c r="X337" s="140"/>
      <c r="Y337" s="140"/>
      <c r="Z337" s="140"/>
      <c r="AA337" s="140"/>
      <c r="AB337" s="140"/>
      <c r="AC337" s="140"/>
      <c r="AD337" s="140"/>
      <c r="AE337" s="140"/>
      <c r="AF337" s="140"/>
      <c r="AG337" s="140"/>
      <c r="AH337" s="140"/>
      <c r="AI337" s="140"/>
      <c r="AJ337" s="140"/>
      <c r="AK337" s="140"/>
      <c r="AL337" s="140"/>
      <c r="AM337" s="140"/>
      <c r="AN337" s="140"/>
      <c r="AO337" s="140"/>
      <c r="AP337" s="140"/>
      <c r="AQ337" s="140"/>
      <c r="AR337" s="140"/>
      <c r="AS337" s="140"/>
    </row>
    <row r="338">
      <c r="A338" s="149"/>
      <c r="B338" s="140"/>
      <c r="C338" s="140"/>
      <c r="D338" s="140"/>
      <c r="E338" s="140"/>
      <c r="F338" s="140"/>
      <c r="G338" s="140"/>
      <c r="H338" s="140"/>
      <c r="I338" s="140"/>
      <c r="J338" s="140"/>
      <c r="K338" s="140"/>
      <c r="L338" s="140"/>
      <c r="M338" s="140"/>
      <c r="N338" s="140"/>
      <c r="O338" s="140"/>
      <c r="P338" s="140"/>
      <c r="Q338" s="140"/>
      <c r="R338" s="140"/>
      <c r="S338" s="150"/>
      <c r="T338" s="150"/>
      <c r="U338" s="140"/>
      <c r="V338" s="140"/>
      <c r="W338" s="140"/>
      <c r="X338" s="140"/>
      <c r="Y338" s="140"/>
      <c r="Z338" s="140"/>
      <c r="AA338" s="140"/>
      <c r="AB338" s="140"/>
      <c r="AC338" s="140"/>
      <c r="AD338" s="140"/>
      <c r="AE338" s="140"/>
      <c r="AF338" s="140"/>
      <c r="AG338" s="140"/>
      <c r="AH338" s="140"/>
      <c r="AI338" s="140"/>
      <c r="AJ338" s="140"/>
      <c r="AK338" s="140"/>
      <c r="AL338" s="140"/>
      <c r="AM338" s="140"/>
      <c r="AN338" s="140"/>
      <c r="AO338" s="140"/>
      <c r="AP338" s="140"/>
      <c r="AQ338" s="140"/>
      <c r="AR338" s="140"/>
      <c r="AS338" s="140"/>
    </row>
    <row r="339">
      <c r="A339" s="149"/>
      <c r="B339" s="140"/>
      <c r="C339" s="140"/>
      <c r="D339" s="140"/>
      <c r="E339" s="140"/>
      <c r="F339" s="140"/>
      <c r="G339" s="140"/>
      <c r="H339" s="140"/>
      <c r="I339" s="140"/>
      <c r="J339" s="140"/>
      <c r="K339" s="140"/>
      <c r="L339" s="140"/>
      <c r="M339" s="140"/>
      <c r="N339" s="140"/>
      <c r="O339" s="140"/>
      <c r="P339" s="140"/>
      <c r="Q339" s="140"/>
      <c r="R339" s="140"/>
      <c r="S339" s="150"/>
      <c r="T339" s="150"/>
      <c r="U339" s="140"/>
      <c r="V339" s="140"/>
      <c r="W339" s="140"/>
      <c r="X339" s="140"/>
      <c r="Y339" s="140"/>
      <c r="Z339" s="140"/>
      <c r="AA339" s="140"/>
      <c r="AB339" s="140"/>
      <c r="AC339" s="140"/>
      <c r="AD339" s="140"/>
      <c r="AE339" s="140"/>
      <c r="AF339" s="140"/>
      <c r="AG339" s="140"/>
      <c r="AH339" s="140"/>
      <c r="AI339" s="140"/>
      <c r="AJ339" s="140"/>
      <c r="AK339" s="140"/>
      <c r="AL339" s="140"/>
      <c r="AM339" s="140"/>
      <c r="AN339" s="140"/>
      <c r="AO339" s="140"/>
      <c r="AP339" s="140"/>
      <c r="AQ339" s="140"/>
      <c r="AR339" s="140"/>
      <c r="AS339" s="140"/>
    </row>
    <row r="340">
      <c r="A340" s="149"/>
      <c r="B340" s="140"/>
      <c r="C340" s="140"/>
      <c r="D340" s="140"/>
      <c r="E340" s="140"/>
      <c r="F340" s="140"/>
      <c r="G340" s="140"/>
      <c r="H340" s="140"/>
      <c r="I340" s="140"/>
      <c r="J340" s="140"/>
      <c r="K340" s="140"/>
      <c r="L340" s="140"/>
      <c r="M340" s="140"/>
      <c r="N340" s="140"/>
      <c r="O340" s="140"/>
      <c r="P340" s="140"/>
      <c r="Q340" s="140"/>
      <c r="R340" s="140"/>
      <c r="S340" s="150"/>
      <c r="T340" s="150"/>
      <c r="U340" s="140"/>
      <c r="V340" s="140"/>
      <c r="W340" s="140"/>
      <c r="X340" s="140"/>
      <c r="Y340" s="140"/>
      <c r="Z340" s="140"/>
      <c r="AA340" s="140"/>
      <c r="AB340" s="140"/>
      <c r="AC340" s="140"/>
      <c r="AD340" s="140"/>
      <c r="AE340" s="140"/>
      <c r="AF340" s="140"/>
      <c r="AG340" s="140"/>
      <c r="AH340" s="140"/>
      <c r="AI340" s="140"/>
      <c r="AJ340" s="140"/>
      <c r="AK340" s="140"/>
      <c r="AL340" s="140"/>
      <c r="AM340" s="140"/>
      <c r="AN340" s="140"/>
      <c r="AO340" s="140"/>
      <c r="AP340" s="140"/>
      <c r="AQ340" s="140"/>
      <c r="AR340" s="140"/>
      <c r="AS340" s="140"/>
    </row>
    <row r="341">
      <c r="A341" s="149"/>
      <c r="B341" s="140"/>
      <c r="C341" s="140"/>
      <c r="D341" s="140"/>
      <c r="E341" s="140"/>
      <c r="F341" s="140"/>
      <c r="G341" s="140"/>
      <c r="H341" s="140"/>
      <c r="I341" s="140"/>
      <c r="J341" s="140"/>
      <c r="K341" s="140"/>
      <c r="L341" s="140"/>
      <c r="M341" s="140"/>
      <c r="N341" s="140"/>
      <c r="O341" s="140"/>
      <c r="P341" s="140"/>
      <c r="Q341" s="140"/>
      <c r="R341" s="140"/>
      <c r="S341" s="150"/>
      <c r="T341" s="150"/>
      <c r="U341" s="140"/>
      <c r="V341" s="140"/>
      <c r="W341" s="140"/>
      <c r="X341" s="140"/>
      <c r="Y341" s="140"/>
      <c r="Z341" s="140"/>
      <c r="AA341" s="140"/>
      <c r="AB341" s="140"/>
      <c r="AC341" s="140"/>
      <c r="AD341" s="140"/>
      <c r="AE341" s="140"/>
      <c r="AF341" s="140"/>
      <c r="AG341" s="140"/>
      <c r="AH341" s="140"/>
      <c r="AI341" s="140"/>
      <c r="AJ341" s="140"/>
      <c r="AK341" s="140"/>
      <c r="AL341" s="140"/>
      <c r="AM341" s="140"/>
      <c r="AN341" s="140"/>
      <c r="AO341" s="140"/>
      <c r="AP341" s="140"/>
      <c r="AQ341" s="140"/>
      <c r="AR341" s="140"/>
      <c r="AS341" s="140"/>
    </row>
    <row r="342">
      <c r="A342" s="149"/>
      <c r="B342" s="140"/>
      <c r="C342" s="140"/>
      <c r="D342" s="140"/>
      <c r="E342" s="140"/>
      <c r="F342" s="140"/>
      <c r="G342" s="140"/>
      <c r="H342" s="140"/>
      <c r="I342" s="140"/>
      <c r="J342" s="140"/>
      <c r="K342" s="140"/>
      <c r="L342" s="140"/>
      <c r="M342" s="140"/>
      <c r="N342" s="140"/>
      <c r="O342" s="140"/>
      <c r="P342" s="140"/>
      <c r="Q342" s="140"/>
      <c r="R342" s="140"/>
      <c r="S342" s="150"/>
      <c r="T342" s="150"/>
      <c r="U342" s="140"/>
      <c r="V342" s="140"/>
      <c r="W342" s="140"/>
      <c r="X342" s="140"/>
      <c r="Y342" s="140"/>
      <c r="Z342" s="140"/>
      <c r="AA342" s="140"/>
      <c r="AB342" s="140"/>
      <c r="AC342" s="140"/>
      <c r="AD342" s="140"/>
      <c r="AE342" s="140"/>
      <c r="AF342" s="140"/>
      <c r="AG342" s="140"/>
      <c r="AH342" s="140"/>
      <c r="AI342" s="140"/>
      <c r="AJ342" s="140"/>
      <c r="AK342" s="140"/>
      <c r="AL342" s="140"/>
      <c r="AM342" s="140"/>
      <c r="AN342" s="140"/>
      <c r="AO342" s="140"/>
      <c r="AP342" s="140"/>
      <c r="AQ342" s="140"/>
      <c r="AR342" s="140"/>
      <c r="AS342" s="140"/>
    </row>
    <row r="343">
      <c r="A343" s="149"/>
      <c r="B343" s="140"/>
      <c r="C343" s="140"/>
      <c r="D343" s="140"/>
      <c r="E343" s="140"/>
      <c r="F343" s="140"/>
      <c r="G343" s="140"/>
      <c r="H343" s="140"/>
      <c r="I343" s="140"/>
      <c r="J343" s="140"/>
      <c r="K343" s="140"/>
      <c r="L343" s="140"/>
      <c r="M343" s="140"/>
      <c r="N343" s="140"/>
      <c r="O343" s="140"/>
      <c r="P343" s="140"/>
      <c r="Q343" s="140"/>
      <c r="R343" s="140"/>
      <c r="S343" s="150"/>
      <c r="T343" s="150"/>
      <c r="U343" s="140"/>
      <c r="V343" s="140"/>
      <c r="W343" s="140"/>
      <c r="X343" s="140"/>
      <c r="Y343" s="140"/>
      <c r="Z343" s="140"/>
      <c r="AA343" s="140"/>
      <c r="AB343" s="140"/>
      <c r="AC343" s="140"/>
      <c r="AD343" s="140"/>
      <c r="AE343" s="140"/>
      <c r="AF343" s="140"/>
      <c r="AG343" s="140"/>
      <c r="AH343" s="140"/>
      <c r="AI343" s="140"/>
      <c r="AJ343" s="140"/>
      <c r="AK343" s="140"/>
      <c r="AL343" s="140"/>
      <c r="AM343" s="140"/>
      <c r="AN343" s="140"/>
      <c r="AO343" s="140"/>
      <c r="AP343" s="140"/>
      <c r="AQ343" s="140"/>
      <c r="AR343" s="140"/>
      <c r="AS343" s="140"/>
    </row>
    <row r="344">
      <c r="A344" s="149"/>
      <c r="B344" s="140"/>
      <c r="C344" s="140"/>
      <c r="D344" s="140"/>
      <c r="E344" s="140"/>
      <c r="F344" s="140"/>
      <c r="G344" s="140"/>
      <c r="H344" s="140"/>
      <c r="I344" s="140"/>
      <c r="J344" s="140"/>
      <c r="K344" s="140"/>
      <c r="L344" s="140"/>
      <c r="M344" s="140"/>
      <c r="N344" s="140"/>
      <c r="O344" s="140"/>
      <c r="P344" s="140"/>
      <c r="Q344" s="140"/>
      <c r="R344" s="140"/>
      <c r="S344" s="150"/>
      <c r="T344" s="150"/>
      <c r="U344" s="140"/>
      <c r="V344" s="140"/>
      <c r="W344" s="140"/>
      <c r="X344" s="140"/>
      <c r="Y344" s="140"/>
      <c r="Z344" s="140"/>
      <c r="AA344" s="140"/>
      <c r="AB344" s="140"/>
      <c r="AC344" s="140"/>
      <c r="AD344" s="140"/>
      <c r="AE344" s="140"/>
      <c r="AF344" s="140"/>
      <c r="AG344" s="140"/>
      <c r="AH344" s="140"/>
      <c r="AI344" s="140"/>
      <c r="AJ344" s="140"/>
      <c r="AK344" s="140"/>
      <c r="AL344" s="140"/>
      <c r="AM344" s="140"/>
      <c r="AN344" s="140"/>
      <c r="AO344" s="140"/>
      <c r="AP344" s="140"/>
      <c r="AQ344" s="140"/>
      <c r="AR344" s="140"/>
      <c r="AS344" s="140"/>
    </row>
    <row r="345">
      <c r="A345" s="149"/>
      <c r="B345" s="140"/>
      <c r="C345" s="140"/>
      <c r="D345" s="140"/>
      <c r="E345" s="140"/>
      <c r="F345" s="140"/>
      <c r="G345" s="140"/>
      <c r="H345" s="140"/>
      <c r="I345" s="140"/>
      <c r="J345" s="140"/>
      <c r="K345" s="140"/>
      <c r="L345" s="140"/>
      <c r="M345" s="140"/>
      <c r="N345" s="140"/>
      <c r="O345" s="140"/>
      <c r="P345" s="140"/>
      <c r="Q345" s="140"/>
      <c r="R345" s="140"/>
      <c r="S345" s="150"/>
      <c r="T345" s="150"/>
      <c r="U345" s="140"/>
      <c r="V345" s="140"/>
      <c r="W345" s="140"/>
      <c r="X345" s="140"/>
      <c r="Y345" s="140"/>
      <c r="Z345" s="140"/>
      <c r="AA345" s="140"/>
      <c r="AB345" s="140"/>
      <c r="AC345" s="140"/>
      <c r="AD345" s="140"/>
      <c r="AE345" s="140"/>
      <c r="AF345" s="140"/>
      <c r="AG345" s="140"/>
      <c r="AH345" s="140"/>
      <c r="AI345" s="140"/>
      <c r="AJ345" s="140"/>
      <c r="AK345" s="140"/>
      <c r="AL345" s="140"/>
      <c r="AM345" s="140"/>
      <c r="AN345" s="140"/>
      <c r="AO345" s="140"/>
      <c r="AP345" s="140"/>
      <c r="AQ345" s="140"/>
      <c r="AR345" s="140"/>
      <c r="AS345" s="140"/>
    </row>
    <row r="346">
      <c r="A346" s="149"/>
      <c r="B346" s="140"/>
      <c r="C346" s="140"/>
      <c r="D346" s="140"/>
      <c r="E346" s="140"/>
      <c r="F346" s="140"/>
      <c r="G346" s="140"/>
      <c r="H346" s="140"/>
      <c r="I346" s="140"/>
      <c r="J346" s="140"/>
      <c r="K346" s="140"/>
      <c r="L346" s="140"/>
      <c r="M346" s="140"/>
      <c r="N346" s="140"/>
      <c r="O346" s="140"/>
      <c r="P346" s="140"/>
      <c r="Q346" s="140"/>
      <c r="R346" s="140"/>
      <c r="S346" s="150"/>
      <c r="T346" s="150"/>
      <c r="U346" s="140"/>
      <c r="V346" s="140"/>
      <c r="W346" s="140"/>
      <c r="X346" s="140"/>
      <c r="Y346" s="140"/>
      <c r="Z346" s="140"/>
      <c r="AA346" s="140"/>
      <c r="AB346" s="140"/>
      <c r="AC346" s="140"/>
      <c r="AD346" s="140"/>
      <c r="AE346" s="140"/>
      <c r="AF346" s="140"/>
      <c r="AG346" s="140"/>
      <c r="AH346" s="140"/>
      <c r="AI346" s="140"/>
      <c r="AJ346" s="140"/>
      <c r="AK346" s="140"/>
      <c r="AL346" s="140"/>
      <c r="AM346" s="140"/>
      <c r="AN346" s="140"/>
      <c r="AO346" s="140"/>
      <c r="AP346" s="140"/>
      <c r="AQ346" s="140"/>
      <c r="AR346" s="140"/>
      <c r="AS346" s="140"/>
    </row>
    <row r="347">
      <c r="A347" s="149"/>
      <c r="B347" s="140"/>
      <c r="C347" s="140"/>
      <c r="D347" s="140"/>
      <c r="E347" s="140"/>
      <c r="F347" s="140"/>
      <c r="G347" s="140"/>
      <c r="H347" s="140"/>
      <c r="I347" s="140"/>
      <c r="J347" s="140"/>
      <c r="K347" s="140"/>
      <c r="L347" s="140"/>
      <c r="M347" s="140"/>
      <c r="N347" s="140"/>
      <c r="O347" s="140"/>
      <c r="P347" s="140"/>
      <c r="Q347" s="140"/>
      <c r="R347" s="140"/>
      <c r="S347" s="150"/>
      <c r="T347" s="150"/>
      <c r="U347" s="140"/>
      <c r="V347" s="140"/>
      <c r="W347" s="140"/>
      <c r="X347" s="140"/>
      <c r="Y347" s="140"/>
      <c r="Z347" s="140"/>
      <c r="AA347" s="140"/>
      <c r="AB347" s="140"/>
      <c r="AC347" s="140"/>
      <c r="AD347" s="140"/>
      <c r="AE347" s="140"/>
      <c r="AF347" s="140"/>
      <c r="AG347" s="140"/>
      <c r="AH347" s="140"/>
      <c r="AI347" s="140"/>
      <c r="AJ347" s="140"/>
      <c r="AK347" s="140"/>
      <c r="AL347" s="140"/>
      <c r="AM347" s="140"/>
      <c r="AN347" s="140"/>
      <c r="AO347" s="140"/>
      <c r="AP347" s="140"/>
      <c r="AQ347" s="140"/>
      <c r="AR347" s="140"/>
      <c r="AS347" s="140"/>
    </row>
    <row r="348">
      <c r="A348" s="149"/>
      <c r="B348" s="140"/>
      <c r="C348" s="140"/>
      <c r="D348" s="140"/>
      <c r="E348" s="140"/>
      <c r="F348" s="140"/>
      <c r="G348" s="140"/>
      <c r="H348" s="140"/>
      <c r="I348" s="140"/>
      <c r="J348" s="140"/>
      <c r="K348" s="140"/>
      <c r="L348" s="140"/>
      <c r="M348" s="140"/>
      <c r="N348" s="140"/>
      <c r="O348" s="140"/>
      <c r="P348" s="140"/>
      <c r="Q348" s="140"/>
      <c r="R348" s="140"/>
      <c r="S348" s="150"/>
      <c r="T348" s="150"/>
      <c r="U348" s="140"/>
      <c r="V348" s="140"/>
      <c r="W348" s="140"/>
      <c r="X348" s="140"/>
      <c r="Y348" s="140"/>
      <c r="Z348" s="140"/>
      <c r="AA348" s="140"/>
      <c r="AB348" s="140"/>
      <c r="AC348" s="140"/>
      <c r="AD348" s="140"/>
      <c r="AE348" s="140"/>
      <c r="AF348" s="140"/>
      <c r="AG348" s="140"/>
      <c r="AH348" s="140"/>
      <c r="AI348" s="140"/>
      <c r="AJ348" s="140"/>
      <c r="AK348" s="140"/>
      <c r="AL348" s="140"/>
      <c r="AM348" s="140"/>
      <c r="AN348" s="140"/>
      <c r="AO348" s="140"/>
      <c r="AP348" s="140"/>
      <c r="AQ348" s="140"/>
      <c r="AR348" s="140"/>
      <c r="AS348" s="140"/>
    </row>
    <row r="349">
      <c r="A349" s="149"/>
      <c r="B349" s="140"/>
      <c r="C349" s="140"/>
      <c r="D349" s="140"/>
      <c r="E349" s="140"/>
      <c r="F349" s="140"/>
      <c r="G349" s="140"/>
      <c r="H349" s="140"/>
      <c r="I349" s="140"/>
      <c r="J349" s="140"/>
      <c r="K349" s="140"/>
      <c r="L349" s="140"/>
      <c r="M349" s="140"/>
      <c r="N349" s="140"/>
      <c r="O349" s="140"/>
      <c r="P349" s="140"/>
      <c r="Q349" s="140"/>
      <c r="R349" s="140"/>
      <c r="S349" s="150"/>
      <c r="T349" s="150"/>
      <c r="U349" s="140"/>
      <c r="V349" s="140"/>
      <c r="W349" s="140"/>
      <c r="X349" s="140"/>
      <c r="Y349" s="140"/>
      <c r="Z349" s="140"/>
      <c r="AA349" s="140"/>
      <c r="AB349" s="140"/>
      <c r="AC349" s="140"/>
      <c r="AD349" s="140"/>
      <c r="AE349" s="140"/>
      <c r="AF349" s="140"/>
      <c r="AG349" s="140"/>
      <c r="AH349" s="140"/>
      <c r="AI349" s="140"/>
      <c r="AJ349" s="140"/>
      <c r="AK349" s="140"/>
      <c r="AL349" s="140"/>
      <c r="AM349" s="140"/>
      <c r="AN349" s="140"/>
      <c r="AO349" s="140"/>
      <c r="AP349" s="140"/>
      <c r="AQ349" s="140"/>
      <c r="AR349" s="140"/>
      <c r="AS349" s="140"/>
    </row>
    <row r="350">
      <c r="A350" s="149"/>
      <c r="B350" s="140"/>
      <c r="C350" s="140"/>
      <c r="D350" s="140"/>
      <c r="E350" s="140"/>
      <c r="F350" s="140"/>
      <c r="G350" s="140"/>
      <c r="H350" s="140"/>
      <c r="I350" s="140"/>
      <c r="J350" s="140"/>
      <c r="K350" s="140"/>
      <c r="L350" s="140"/>
      <c r="M350" s="140"/>
      <c r="N350" s="140"/>
      <c r="O350" s="140"/>
      <c r="P350" s="140"/>
      <c r="Q350" s="140"/>
      <c r="R350" s="140"/>
      <c r="S350" s="150"/>
      <c r="T350" s="150"/>
      <c r="U350" s="140"/>
      <c r="V350" s="140"/>
      <c r="W350" s="140"/>
      <c r="X350" s="140"/>
      <c r="Y350" s="140"/>
      <c r="Z350" s="140"/>
      <c r="AA350" s="140"/>
      <c r="AB350" s="140"/>
      <c r="AC350" s="140"/>
      <c r="AD350" s="140"/>
      <c r="AE350" s="140"/>
      <c r="AF350" s="140"/>
      <c r="AG350" s="140"/>
      <c r="AH350" s="140"/>
      <c r="AI350" s="140"/>
      <c r="AJ350" s="140"/>
      <c r="AK350" s="140"/>
      <c r="AL350" s="140"/>
      <c r="AM350" s="140"/>
      <c r="AN350" s="140"/>
      <c r="AO350" s="140"/>
      <c r="AP350" s="140"/>
      <c r="AQ350" s="140"/>
      <c r="AR350" s="140"/>
      <c r="AS350" s="140"/>
    </row>
    <row r="351">
      <c r="A351" s="149"/>
      <c r="B351" s="140"/>
      <c r="C351" s="140"/>
      <c r="D351" s="140"/>
      <c r="E351" s="140"/>
      <c r="F351" s="140"/>
      <c r="G351" s="140"/>
      <c r="H351" s="140"/>
      <c r="I351" s="140"/>
      <c r="J351" s="140"/>
      <c r="K351" s="140"/>
      <c r="L351" s="140"/>
      <c r="M351" s="140"/>
      <c r="N351" s="140"/>
      <c r="O351" s="140"/>
      <c r="P351" s="140"/>
      <c r="Q351" s="140"/>
      <c r="R351" s="140"/>
      <c r="S351" s="150"/>
      <c r="T351" s="150"/>
      <c r="U351" s="140"/>
      <c r="V351" s="140"/>
      <c r="W351" s="140"/>
      <c r="X351" s="140"/>
      <c r="Y351" s="140"/>
      <c r="Z351" s="140"/>
      <c r="AA351" s="140"/>
      <c r="AB351" s="140"/>
      <c r="AC351" s="140"/>
      <c r="AD351" s="140"/>
      <c r="AE351" s="140"/>
      <c r="AF351" s="140"/>
      <c r="AG351" s="140"/>
      <c r="AH351" s="140"/>
      <c r="AI351" s="140"/>
      <c r="AJ351" s="140"/>
      <c r="AK351" s="140"/>
      <c r="AL351" s="140"/>
      <c r="AM351" s="140"/>
      <c r="AN351" s="140"/>
      <c r="AO351" s="140"/>
      <c r="AP351" s="140"/>
      <c r="AQ351" s="140"/>
      <c r="AR351" s="140"/>
      <c r="AS351" s="140"/>
    </row>
    <row r="352">
      <c r="A352" s="149"/>
      <c r="B352" s="140"/>
      <c r="C352" s="140"/>
      <c r="D352" s="140"/>
      <c r="E352" s="140"/>
      <c r="F352" s="140"/>
      <c r="G352" s="140"/>
      <c r="H352" s="140"/>
      <c r="I352" s="140"/>
      <c r="J352" s="140"/>
      <c r="K352" s="140"/>
      <c r="L352" s="140"/>
      <c r="M352" s="140"/>
      <c r="N352" s="140"/>
      <c r="O352" s="140"/>
      <c r="P352" s="140"/>
      <c r="Q352" s="140"/>
      <c r="R352" s="140"/>
      <c r="S352" s="150"/>
      <c r="T352" s="150"/>
      <c r="U352" s="140"/>
      <c r="V352" s="140"/>
      <c r="W352" s="140"/>
      <c r="X352" s="140"/>
      <c r="Y352" s="140"/>
      <c r="Z352" s="140"/>
      <c r="AA352" s="140"/>
      <c r="AB352" s="140"/>
      <c r="AC352" s="140"/>
      <c r="AD352" s="140"/>
      <c r="AE352" s="140"/>
      <c r="AF352" s="140"/>
      <c r="AG352" s="140"/>
      <c r="AH352" s="140"/>
      <c r="AI352" s="140"/>
      <c r="AJ352" s="140"/>
      <c r="AK352" s="140"/>
      <c r="AL352" s="140"/>
      <c r="AM352" s="140"/>
      <c r="AN352" s="140"/>
      <c r="AO352" s="140"/>
      <c r="AP352" s="140"/>
      <c r="AQ352" s="140"/>
      <c r="AR352" s="140"/>
      <c r="AS352" s="140"/>
    </row>
    <row r="353">
      <c r="A353" s="149"/>
      <c r="B353" s="140"/>
      <c r="C353" s="140"/>
      <c r="D353" s="140"/>
      <c r="E353" s="140"/>
      <c r="F353" s="140"/>
      <c r="G353" s="140"/>
      <c r="H353" s="140"/>
      <c r="I353" s="140"/>
      <c r="J353" s="140"/>
      <c r="K353" s="140"/>
      <c r="L353" s="140"/>
      <c r="M353" s="140"/>
      <c r="N353" s="140"/>
      <c r="O353" s="140"/>
      <c r="P353" s="140"/>
      <c r="Q353" s="140"/>
      <c r="R353" s="140"/>
      <c r="S353" s="150"/>
      <c r="T353" s="150"/>
      <c r="U353" s="140"/>
      <c r="V353" s="140"/>
      <c r="W353" s="140"/>
      <c r="X353" s="140"/>
      <c r="Y353" s="140"/>
      <c r="Z353" s="140"/>
      <c r="AA353" s="140"/>
      <c r="AB353" s="140"/>
      <c r="AC353" s="140"/>
      <c r="AD353" s="140"/>
      <c r="AE353" s="140"/>
      <c r="AF353" s="140"/>
      <c r="AG353" s="140"/>
      <c r="AH353" s="140"/>
      <c r="AI353" s="140"/>
      <c r="AJ353" s="140"/>
      <c r="AK353" s="140"/>
      <c r="AL353" s="140"/>
      <c r="AM353" s="140"/>
      <c r="AN353" s="140"/>
      <c r="AO353" s="140"/>
      <c r="AP353" s="140"/>
      <c r="AQ353" s="140"/>
      <c r="AR353" s="140"/>
      <c r="AS353" s="140"/>
    </row>
    <row r="354">
      <c r="A354" s="149"/>
      <c r="B354" s="140"/>
      <c r="C354" s="140"/>
      <c r="D354" s="140"/>
      <c r="E354" s="140"/>
      <c r="F354" s="140"/>
      <c r="G354" s="140"/>
      <c r="H354" s="140"/>
      <c r="I354" s="140"/>
      <c r="J354" s="140"/>
      <c r="K354" s="140"/>
      <c r="L354" s="140"/>
      <c r="M354" s="140"/>
      <c r="N354" s="140"/>
      <c r="O354" s="140"/>
      <c r="P354" s="140"/>
      <c r="Q354" s="140"/>
      <c r="R354" s="140"/>
      <c r="S354" s="150"/>
      <c r="T354" s="150"/>
      <c r="U354" s="140"/>
      <c r="V354" s="140"/>
      <c r="W354" s="140"/>
      <c r="X354" s="140"/>
      <c r="Y354" s="140"/>
      <c r="Z354" s="140"/>
      <c r="AA354" s="140"/>
      <c r="AB354" s="140"/>
      <c r="AC354" s="140"/>
      <c r="AD354" s="140"/>
      <c r="AE354" s="140"/>
      <c r="AF354" s="140"/>
      <c r="AG354" s="140"/>
      <c r="AH354" s="140"/>
      <c r="AI354" s="140"/>
      <c r="AJ354" s="140"/>
      <c r="AK354" s="140"/>
      <c r="AL354" s="140"/>
      <c r="AM354" s="140"/>
      <c r="AN354" s="140"/>
      <c r="AO354" s="140"/>
      <c r="AP354" s="140"/>
      <c r="AQ354" s="140"/>
      <c r="AR354" s="140"/>
      <c r="AS354" s="140"/>
    </row>
    <row r="355">
      <c r="A355" s="149"/>
      <c r="B355" s="140"/>
      <c r="C355" s="140"/>
      <c r="D355" s="140"/>
      <c r="E355" s="140"/>
      <c r="F355" s="140"/>
      <c r="G355" s="140"/>
      <c r="H355" s="140"/>
      <c r="I355" s="140"/>
      <c r="J355" s="140"/>
      <c r="K355" s="140"/>
      <c r="L355" s="140"/>
      <c r="M355" s="140"/>
      <c r="N355" s="140"/>
      <c r="O355" s="140"/>
      <c r="P355" s="140"/>
      <c r="Q355" s="140"/>
      <c r="R355" s="140"/>
      <c r="S355" s="150"/>
      <c r="T355" s="150"/>
      <c r="U355" s="140"/>
      <c r="V355" s="140"/>
      <c r="W355" s="140"/>
      <c r="X355" s="140"/>
      <c r="Y355" s="140"/>
      <c r="Z355" s="140"/>
      <c r="AA355" s="140"/>
      <c r="AB355" s="140"/>
      <c r="AC355" s="140"/>
      <c r="AD355" s="140"/>
      <c r="AE355" s="140"/>
      <c r="AF355" s="140"/>
      <c r="AG355" s="140"/>
      <c r="AH355" s="140"/>
      <c r="AI355" s="140"/>
      <c r="AJ355" s="140"/>
      <c r="AK355" s="140"/>
      <c r="AL355" s="140"/>
      <c r="AM355" s="140"/>
      <c r="AN355" s="140"/>
      <c r="AO355" s="140"/>
      <c r="AP355" s="140"/>
      <c r="AQ355" s="140"/>
      <c r="AR355" s="140"/>
      <c r="AS355" s="140"/>
    </row>
    <row r="356">
      <c r="A356" s="149"/>
      <c r="B356" s="140"/>
      <c r="C356" s="140"/>
      <c r="D356" s="140"/>
      <c r="E356" s="140"/>
      <c r="F356" s="140"/>
      <c r="G356" s="140"/>
      <c r="H356" s="140"/>
      <c r="I356" s="140"/>
      <c r="J356" s="140"/>
      <c r="K356" s="140"/>
      <c r="L356" s="140"/>
      <c r="M356" s="140"/>
      <c r="N356" s="140"/>
      <c r="O356" s="140"/>
      <c r="P356" s="140"/>
      <c r="Q356" s="140"/>
      <c r="R356" s="140"/>
      <c r="S356" s="150"/>
      <c r="T356" s="150"/>
      <c r="U356" s="140"/>
      <c r="V356" s="140"/>
      <c r="W356" s="140"/>
      <c r="X356" s="140"/>
      <c r="Y356" s="140"/>
      <c r="Z356" s="140"/>
      <c r="AA356" s="140"/>
      <c r="AB356" s="140"/>
      <c r="AC356" s="140"/>
      <c r="AD356" s="140"/>
      <c r="AE356" s="140"/>
      <c r="AF356" s="140"/>
      <c r="AG356" s="140"/>
      <c r="AH356" s="140"/>
      <c r="AI356" s="140"/>
      <c r="AJ356" s="140"/>
      <c r="AK356" s="140"/>
      <c r="AL356" s="140"/>
      <c r="AM356" s="140"/>
      <c r="AN356" s="140"/>
      <c r="AO356" s="140"/>
      <c r="AP356" s="140"/>
      <c r="AQ356" s="140"/>
      <c r="AR356" s="140"/>
      <c r="AS356" s="140"/>
    </row>
    <row r="357">
      <c r="A357" s="149"/>
      <c r="B357" s="140"/>
      <c r="C357" s="140"/>
      <c r="D357" s="140"/>
      <c r="E357" s="140"/>
      <c r="F357" s="140"/>
      <c r="G357" s="140"/>
      <c r="H357" s="140"/>
      <c r="I357" s="140"/>
      <c r="J357" s="140"/>
      <c r="K357" s="140"/>
      <c r="L357" s="140"/>
      <c r="M357" s="140"/>
      <c r="N357" s="140"/>
      <c r="O357" s="140"/>
      <c r="P357" s="140"/>
      <c r="Q357" s="140"/>
      <c r="R357" s="140"/>
      <c r="S357" s="150"/>
      <c r="T357" s="150"/>
      <c r="U357" s="140"/>
      <c r="V357" s="140"/>
      <c r="W357" s="140"/>
      <c r="X357" s="140"/>
      <c r="Y357" s="140"/>
      <c r="Z357" s="140"/>
      <c r="AA357" s="140"/>
      <c r="AB357" s="140"/>
      <c r="AC357" s="140"/>
      <c r="AD357" s="140"/>
      <c r="AE357" s="140"/>
      <c r="AF357" s="140"/>
      <c r="AG357" s="140"/>
      <c r="AH357" s="140"/>
      <c r="AI357" s="140"/>
      <c r="AJ357" s="140"/>
      <c r="AK357" s="140"/>
      <c r="AL357" s="140"/>
      <c r="AM357" s="140"/>
      <c r="AN357" s="140"/>
      <c r="AO357" s="140"/>
      <c r="AP357" s="140"/>
      <c r="AQ357" s="140"/>
      <c r="AR357" s="140"/>
      <c r="AS357" s="140"/>
    </row>
    <row r="358">
      <c r="A358" s="149"/>
      <c r="B358" s="140"/>
      <c r="C358" s="140"/>
      <c r="D358" s="140"/>
      <c r="E358" s="140"/>
      <c r="F358" s="140"/>
      <c r="G358" s="140"/>
      <c r="H358" s="140"/>
      <c r="I358" s="140"/>
      <c r="J358" s="140"/>
      <c r="K358" s="140"/>
      <c r="L358" s="140"/>
      <c r="M358" s="140"/>
      <c r="N358" s="140"/>
      <c r="O358" s="140"/>
      <c r="P358" s="140"/>
      <c r="Q358" s="140"/>
      <c r="R358" s="140"/>
      <c r="S358" s="150"/>
      <c r="T358" s="150"/>
      <c r="U358" s="140"/>
      <c r="V358" s="140"/>
      <c r="W358" s="140"/>
      <c r="X358" s="140"/>
      <c r="Y358" s="140"/>
      <c r="Z358" s="140"/>
      <c r="AA358" s="140"/>
      <c r="AB358" s="140"/>
      <c r="AC358" s="140"/>
      <c r="AD358" s="140"/>
      <c r="AE358" s="140"/>
      <c r="AF358" s="140"/>
      <c r="AG358" s="140"/>
      <c r="AH358" s="140"/>
      <c r="AI358" s="140"/>
      <c r="AJ358" s="140"/>
      <c r="AK358" s="140"/>
      <c r="AL358" s="140"/>
      <c r="AM358" s="140"/>
      <c r="AN358" s="140"/>
      <c r="AO358" s="140"/>
      <c r="AP358" s="140"/>
      <c r="AQ358" s="140"/>
      <c r="AR358" s="140"/>
      <c r="AS358" s="140"/>
    </row>
    <row r="359">
      <c r="A359" s="149"/>
      <c r="B359" s="140"/>
      <c r="C359" s="140"/>
      <c r="D359" s="140"/>
      <c r="E359" s="140"/>
      <c r="F359" s="140"/>
      <c r="G359" s="140"/>
      <c r="H359" s="140"/>
      <c r="I359" s="140"/>
      <c r="J359" s="140"/>
      <c r="K359" s="140"/>
      <c r="L359" s="140"/>
      <c r="M359" s="140"/>
      <c r="N359" s="140"/>
      <c r="O359" s="140"/>
      <c r="P359" s="140"/>
      <c r="Q359" s="140"/>
      <c r="R359" s="140"/>
      <c r="S359" s="150"/>
      <c r="T359" s="150"/>
      <c r="U359" s="140"/>
      <c r="V359" s="140"/>
      <c r="W359" s="140"/>
      <c r="X359" s="140"/>
      <c r="Y359" s="140"/>
      <c r="Z359" s="140"/>
      <c r="AA359" s="140"/>
      <c r="AB359" s="140"/>
      <c r="AC359" s="140"/>
      <c r="AD359" s="140"/>
      <c r="AE359" s="140"/>
      <c r="AF359" s="140"/>
      <c r="AG359" s="140"/>
      <c r="AH359" s="140"/>
      <c r="AI359" s="140"/>
      <c r="AJ359" s="140"/>
      <c r="AK359" s="140"/>
      <c r="AL359" s="140"/>
      <c r="AM359" s="140"/>
      <c r="AN359" s="140"/>
      <c r="AO359" s="140"/>
      <c r="AP359" s="140"/>
      <c r="AQ359" s="140"/>
      <c r="AR359" s="140"/>
      <c r="AS359" s="140"/>
    </row>
    <row r="360">
      <c r="A360" s="149"/>
      <c r="B360" s="140"/>
      <c r="C360" s="140"/>
      <c r="D360" s="140"/>
      <c r="E360" s="140"/>
      <c r="F360" s="140"/>
      <c r="G360" s="140"/>
      <c r="H360" s="140"/>
      <c r="I360" s="140"/>
      <c r="J360" s="140"/>
      <c r="K360" s="140"/>
      <c r="L360" s="140"/>
      <c r="M360" s="140"/>
      <c r="N360" s="140"/>
      <c r="O360" s="140"/>
      <c r="P360" s="140"/>
      <c r="Q360" s="140"/>
      <c r="R360" s="140"/>
      <c r="S360" s="150"/>
      <c r="T360" s="150"/>
      <c r="U360" s="140"/>
      <c r="V360" s="140"/>
      <c r="W360" s="140"/>
      <c r="X360" s="140"/>
      <c r="Y360" s="140"/>
      <c r="Z360" s="140"/>
      <c r="AA360" s="140"/>
      <c r="AB360" s="140"/>
      <c r="AC360" s="140"/>
      <c r="AD360" s="140"/>
      <c r="AE360" s="140"/>
      <c r="AF360" s="140"/>
      <c r="AG360" s="140"/>
      <c r="AH360" s="140"/>
      <c r="AI360" s="140"/>
      <c r="AJ360" s="140"/>
      <c r="AK360" s="140"/>
      <c r="AL360" s="140"/>
      <c r="AM360" s="140"/>
      <c r="AN360" s="140"/>
      <c r="AO360" s="140"/>
      <c r="AP360" s="140"/>
      <c r="AQ360" s="140"/>
      <c r="AR360" s="140"/>
      <c r="AS360" s="140"/>
    </row>
    <row r="361">
      <c r="A361" s="149"/>
      <c r="B361" s="140"/>
      <c r="C361" s="140"/>
      <c r="D361" s="140"/>
      <c r="E361" s="140"/>
      <c r="F361" s="140"/>
      <c r="G361" s="140"/>
      <c r="H361" s="140"/>
      <c r="I361" s="140"/>
      <c r="J361" s="140"/>
      <c r="K361" s="140"/>
      <c r="L361" s="140"/>
      <c r="M361" s="140"/>
      <c r="N361" s="140"/>
      <c r="O361" s="140"/>
      <c r="P361" s="140"/>
      <c r="Q361" s="140"/>
      <c r="R361" s="140"/>
      <c r="S361" s="150"/>
      <c r="T361" s="150"/>
      <c r="U361" s="140"/>
      <c r="V361" s="140"/>
      <c r="W361" s="140"/>
      <c r="X361" s="140"/>
      <c r="Y361" s="140"/>
      <c r="Z361" s="140"/>
      <c r="AA361" s="140"/>
      <c r="AB361" s="140"/>
      <c r="AC361" s="140"/>
      <c r="AD361" s="140"/>
      <c r="AE361" s="140"/>
      <c r="AF361" s="140"/>
      <c r="AG361" s="140"/>
      <c r="AH361" s="140"/>
      <c r="AI361" s="140"/>
      <c r="AJ361" s="140"/>
      <c r="AK361" s="140"/>
      <c r="AL361" s="140"/>
      <c r="AM361" s="140"/>
      <c r="AN361" s="140"/>
      <c r="AO361" s="140"/>
      <c r="AP361" s="140"/>
      <c r="AQ361" s="140"/>
      <c r="AR361" s="140"/>
      <c r="AS361" s="140"/>
    </row>
    <row r="362">
      <c r="A362" s="149"/>
      <c r="B362" s="140"/>
      <c r="C362" s="140"/>
      <c r="D362" s="140"/>
      <c r="E362" s="140"/>
      <c r="F362" s="140"/>
      <c r="G362" s="140"/>
      <c r="H362" s="140"/>
      <c r="I362" s="140"/>
      <c r="J362" s="140"/>
      <c r="K362" s="140"/>
      <c r="L362" s="140"/>
      <c r="M362" s="140"/>
      <c r="N362" s="140"/>
      <c r="O362" s="140"/>
      <c r="P362" s="140"/>
      <c r="Q362" s="140"/>
      <c r="R362" s="140"/>
      <c r="S362" s="150"/>
      <c r="T362" s="150"/>
      <c r="U362" s="140"/>
      <c r="V362" s="140"/>
      <c r="W362" s="140"/>
      <c r="X362" s="140"/>
      <c r="Y362" s="140"/>
      <c r="Z362" s="140"/>
      <c r="AA362" s="140"/>
      <c r="AB362" s="140"/>
      <c r="AC362" s="140"/>
      <c r="AD362" s="140"/>
      <c r="AE362" s="140"/>
      <c r="AF362" s="140"/>
      <c r="AG362" s="140"/>
      <c r="AH362" s="140"/>
      <c r="AI362" s="140"/>
      <c r="AJ362" s="140"/>
      <c r="AK362" s="140"/>
      <c r="AL362" s="140"/>
      <c r="AM362" s="140"/>
      <c r="AN362" s="140"/>
      <c r="AO362" s="140"/>
      <c r="AP362" s="140"/>
      <c r="AQ362" s="140"/>
      <c r="AR362" s="140"/>
      <c r="AS362" s="140"/>
    </row>
    <row r="363">
      <c r="A363" s="149"/>
      <c r="B363" s="140"/>
      <c r="C363" s="140"/>
      <c r="D363" s="140"/>
      <c r="E363" s="140"/>
      <c r="F363" s="140"/>
      <c r="G363" s="140"/>
      <c r="H363" s="140"/>
      <c r="I363" s="140"/>
      <c r="J363" s="140"/>
      <c r="K363" s="140"/>
      <c r="L363" s="140"/>
      <c r="M363" s="140"/>
      <c r="N363" s="140"/>
      <c r="O363" s="140"/>
      <c r="P363" s="140"/>
      <c r="Q363" s="140"/>
      <c r="R363" s="140"/>
      <c r="S363" s="150"/>
      <c r="T363" s="150"/>
      <c r="U363" s="140"/>
      <c r="V363" s="140"/>
      <c r="W363" s="140"/>
      <c r="X363" s="140"/>
      <c r="Y363" s="140"/>
      <c r="Z363" s="140"/>
      <c r="AA363" s="140"/>
      <c r="AB363" s="140"/>
      <c r="AC363" s="140"/>
      <c r="AD363" s="140"/>
      <c r="AE363" s="140"/>
      <c r="AF363" s="140"/>
      <c r="AG363" s="140"/>
      <c r="AH363" s="140"/>
      <c r="AI363" s="140"/>
      <c r="AJ363" s="140"/>
      <c r="AK363" s="140"/>
      <c r="AL363" s="140"/>
      <c r="AM363" s="140"/>
      <c r="AN363" s="140"/>
      <c r="AO363" s="140"/>
      <c r="AP363" s="140"/>
      <c r="AQ363" s="140"/>
      <c r="AR363" s="140"/>
      <c r="AS363" s="140"/>
    </row>
    <row r="364">
      <c r="A364" s="149"/>
      <c r="B364" s="140"/>
      <c r="C364" s="140"/>
      <c r="D364" s="140"/>
      <c r="E364" s="140"/>
      <c r="F364" s="140"/>
      <c r="G364" s="140"/>
      <c r="H364" s="140"/>
      <c r="I364" s="140"/>
      <c r="J364" s="140"/>
      <c r="K364" s="140"/>
      <c r="L364" s="140"/>
      <c r="M364" s="140"/>
      <c r="N364" s="140"/>
      <c r="O364" s="140"/>
      <c r="P364" s="140"/>
      <c r="Q364" s="140"/>
      <c r="R364" s="140"/>
      <c r="S364" s="150"/>
      <c r="T364" s="150"/>
      <c r="U364" s="140"/>
      <c r="V364" s="140"/>
      <c r="W364" s="140"/>
      <c r="X364" s="140"/>
      <c r="Y364" s="140"/>
      <c r="Z364" s="140"/>
      <c r="AA364" s="140"/>
      <c r="AB364" s="140"/>
      <c r="AC364" s="140"/>
      <c r="AD364" s="140"/>
      <c r="AE364" s="140"/>
      <c r="AF364" s="140"/>
      <c r="AG364" s="140"/>
      <c r="AH364" s="140"/>
      <c r="AI364" s="140"/>
      <c r="AJ364" s="140"/>
      <c r="AK364" s="140"/>
      <c r="AL364" s="140"/>
      <c r="AM364" s="140"/>
      <c r="AN364" s="140"/>
      <c r="AO364" s="140"/>
      <c r="AP364" s="140"/>
      <c r="AQ364" s="140"/>
      <c r="AR364" s="140"/>
      <c r="AS364" s="140"/>
    </row>
    <row r="365">
      <c r="A365" s="149"/>
      <c r="B365" s="140"/>
      <c r="C365" s="140"/>
      <c r="D365" s="140"/>
      <c r="E365" s="140"/>
      <c r="F365" s="140"/>
      <c r="G365" s="140"/>
      <c r="H365" s="140"/>
      <c r="I365" s="140"/>
      <c r="J365" s="140"/>
      <c r="K365" s="140"/>
      <c r="L365" s="140"/>
      <c r="M365" s="140"/>
      <c r="N365" s="140"/>
      <c r="O365" s="140"/>
      <c r="P365" s="140"/>
      <c r="Q365" s="140"/>
      <c r="R365" s="140"/>
      <c r="S365" s="150"/>
      <c r="T365" s="150"/>
      <c r="U365" s="140"/>
      <c r="V365" s="140"/>
      <c r="W365" s="140"/>
      <c r="X365" s="140"/>
      <c r="Y365" s="140"/>
      <c r="Z365" s="140"/>
      <c r="AA365" s="140"/>
      <c r="AB365" s="140"/>
      <c r="AC365" s="140"/>
      <c r="AD365" s="140"/>
      <c r="AE365" s="140"/>
      <c r="AF365" s="140"/>
      <c r="AG365" s="140"/>
      <c r="AH365" s="140"/>
      <c r="AI365" s="140"/>
      <c r="AJ365" s="140"/>
      <c r="AK365" s="140"/>
      <c r="AL365" s="140"/>
      <c r="AM365" s="140"/>
      <c r="AN365" s="140"/>
      <c r="AO365" s="140"/>
      <c r="AP365" s="140"/>
      <c r="AQ365" s="140"/>
      <c r="AR365" s="140"/>
      <c r="AS365" s="140"/>
    </row>
    <row r="366">
      <c r="A366" s="149"/>
      <c r="B366" s="140"/>
      <c r="C366" s="140"/>
      <c r="D366" s="140"/>
      <c r="E366" s="140"/>
      <c r="F366" s="140"/>
      <c r="G366" s="140"/>
      <c r="H366" s="140"/>
      <c r="I366" s="140"/>
      <c r="J366" s="140"/>
      <c r="K366" s="140"/>
      <c r="L366" s="140"/>
      <c r="M366" s="140"/>
      <c r="N366" s="140"/>
      <c r="O366" s="140"/>
      <c r="P366" s="140"/>
      <c r="Q366" s="140"/>
      <c r="R366" s="140"/>
      <c r="S366" s="150"/>
      <c r="T366" s="150"/>
      <c r="U366" s="140"/>
      <c r="V366" s="140"/>
      <c r="W366" s="140"/>
      <c r="X366" s="140"/>
      <c r="Y366" s="140"/>
      <c r="Z366" s="140"/>
      <c r="AA366" s="140"/>
      <c r="AB366" s="140"/>
      <c r="AC366" s="140"/>
      <c r="AD366" s="140"/>
      <c r="AE366" s="140"/>
      <c r="AF366" s="140"/>
      <c r="AG366" s="140"/>
      <c r="AH366" s="140"/>
      <c r="AI366" s="140"/>
      <c r="AJ366" s="140"/>
      <c r="AK366" s="140"/>
      <c r="AL366" s="140"/>
      <c r="AM366" s="140"/>
      <c r="AN366" s="140"/>
      <c r="AO366" s="140"/>
      <c r="AP366" s="140"/>
      <c r="AQ366" s="140"/>
      <c r="AR366" s="140"/>
      <c r="AS366" s="140"/>
    </row>
    <row r="367">
      <c r="A367" s="149"/>
      <c r="B367" s="140"/>
      <c r="C367" s="140"/>
      <c r="D367" s="140"/>
      <c r="E367" s="140"/>
      <c r="F367" s="140"/>
      <c r="G367" s="140"/>
      <c r="H367" s="140"/>
      <c r="I367" s="140"/>
      <c r="J367" s="140"/>
      <c r="K367" s="140"/>
      <c r="L367" s="140"/>
      <c r="M367" s="140"/>
      <c r="N367" s="140"/>
      <c r="O367" s="140"/>
      <c r="P367" s="140"/>
      <c r="Q367" s="140"/>
      <c r="R367" s="140"/>
      <c r="S367" s="150"/>
      <c r="T367" s="150"/>
      <c r="U367" s="140"/>
      <c r="V367" s="140"/>
      <c r="W367" s="140"/>
      <c r="X367" s="140"/>
      <c r="Y367" s="140"/>
      <c r="Z367" s="140"/>
      <c r="AA367" s="140"/>
      <c r="AB367" s="140"/>
      <c r="AC367" s="140"/>
      <c r="AD367" s="140"/>
      <c r="AE367" s="140"/>
      <c r="AF367" s="140"/>
      <c r="AG367" s="140"/>
      <c r="AH367" s="140"/>
      <c r="AI367" s="140"/>
      <c r="AJ367" s="140"/>
      <c r="AK367" s="140"/>
      <c r="AL367" s="140"/>
      <c r="AM367" s="140"/>
      <c r="AN367" s="140"/>
      <c r="AO367" s="140"/>
      <c r="AP367" s="140"/>
      <c r="AQ367" s="140"/>
      <c r="AR367" s="140"/>
      <c r="AS367" s="140"/>
    </row>
    <row r="368">
      <c r="A368" s="149"/>
      <c r="B368" s="140"/>
      <c r="C368" s="140"/>
      <c r="D368" s="140"/>
      <c r="E368" s="140"/>
      <c r="F368" s="140"/>
      <c r="G368" s="140"/>
      <c r="H368" s="140"/>
      <c r="I368" s="140"/>
      <c r="J368" s="140"/>
      <c r="K368" s="140"/>
      <c r="L368" s="140"/>
      <c r="M368" s="140"/>
      <c r="N368" s="140"/>
      <c r="O368" s="140"/>
      <c r="P368" s="140"/>
      <c r="Q368" s="140"/>
      <c r="R368" s="140"/>
      <c r="S368" s="150"/>
      <c r="T368" s="150"/>
      <c r="U368" s="140"/>
      <c r="V368" s="140"/>
      <c r="W368" s="140"/>
      <c r="X368" s="140"/>
      <c r="Y368" s="140"/>
      <c r="Z368" s="140"/>
      <c r="AA368" s="140"/>
      <c r="AB368" s="140"/>
      <c r="AC368" s="140"/>
      <c r="AD368" s="140"/>
      <c r="AE368" s="140"/>
      <c r="AF368" s="140"/>
      <c r="AG368" s="140"/>
      <c r="AH368" s="140"/>
      <c r="AI368" s="140"/>
      <c r="AJ368" s="140"/>
      <c r="AK368" s="140"/>
      <c r="AL368" s="140"/>
      <c r="AM368" s="140"/>
      <c r="AN368" s="140"/>
      <c r="AO368" s="140"/>
      <c r="AP368" s="140"/>
      <c r="AQ368" s="140"/>
      <c r="AR368" s="140"/>
      <c r="AS368" s="140"/>
    </row>
    <row r="369">
      <c r="A369" s="149"/>
      <c r="B369" s="140"/>
      <c r="C369" s="140"/>
      <c r="D369" s="140"/>
      <c r="E369" s="140"/>
      <c r="F369" s="140"/>
      <c r="G369" s="140"/>
      <c r="H369" s="140"/>
      <c r="I369" s="140"/>
      <c r="J369" s="140"/>
      <c r="K369" s="140"/>
      <c r="L369" s="140"/>
      <c r="M369" s="140"/>
      <c r="N369" s="140"/>
      <c r="O369" s="140"/>
      <c r="P369" s="140"/>
      <c r="Q369" s="140"/>
      <c r="R369" s="140"/>
      <c r="S369" s="150"/>
      <c r="T369" s="150"/>
      <c r="U369" s="140"/>
      <c r="V369" s="140"/>
      <c r="W369" s="140"/>
      <c r="X369" s="140"/>
      <c r="Y369" s="140"/>
      <c r="Z369" s="140"/>
      <c r="AA369" s="140"/>
      <c r="AB369" s="140"/>
      <c r="AC369" s="140"/>
      <c r="AD369" s="140"/>
      <c r="AE369" s="140"/>
      <c r="AF369" s="140"/>
      <c r="AG369" s="140"/>
      <c r="AH369" s="140"/>
      <c r="AI369" s="140"/>
      <c r="AJ369" s="140"/>
      <c r="AK369" s="140"/>
      <c r="AL369" s="140"/>
      <c r="AM369" s="140"/>
      <c r="AN369" s="140"/>
      <c r="AO369" s="140"/>
      <c r="AP369" s="140"/>
      <c r="AQ369" s="140"/>
      <c r="AR369" s="140"/>
      <c r="AS369" s="140"/>
    </row>
    <row r="370">
      <c r="A370" s="149"/>
      <c r="B370" s="140"/>
      <c r="C370" s="140"/>
      <c r="D370" s="140"/>
      <c r="E370" s="140"/>
      <c r="F370" s="140"/>
      <c r="G370" s="140"/>
      <c r="H370" s="140"/>
      <c r="I370" s="140"/>
      <c r="J370" s="140"/>
      <c r="K370" s="140"/>
      <c r="L370" s="140"/>
      <c r="M370" s="140"/>
      <c r="N370" s="140"/>
      <c r="O370" s="140"/>
      <c r="P370" s="140"/>
      <c r="Q370" s="140"/>
      <c r="R370" s="140"/>
      <c r="S370" s="150"/>
      <c r="T370" s="150"/>
      <c r="U370" s="140"/>
      <c r="V370" s="140"/>
      <c r="W370" s="140"/>
      <c r="X370" s="140"/>
      <c r="Y370" s="140"/>
      <c r="Z370" s="140"/>
      <c r="AA370" s="140"/>
      <c r="AB370" s="140"/>
      <c r="AC370" s="140"/>
      <c r="AD370" s="140"/>
      <c r="AE370" s="140"/>
      <c r="AF370" s="140"/>
      <c r="AG370" s="140"/>
      <c r="AH370" s="140"/>
      <c r="AI370" s="140"/>
      <c r="AJ370" s="140"/>
      <c r="AK370" s="140"/>
      <c r="AL370" s="140"/>
      <c r="AM370" s="140"/>
      <c r="AN370" s="140"/>
      <c r="AO370" s="140"/>
      <c r="AP370" s="140"/>
      <c r="AQ370" s="140"/>
      <c r="AR370" s="140"/>
      <c r="AS370" s="140"/>
    </row>
    <row r="371">
      <c r="A371" s="149"/>
      <c r="B371" s="140"/>
      <c r="C371" s="140"/>
      <c r="D371" s="140"/>
      <c r="E371" s="140"/>
      <c r="F371" s="140"/>
      <c r="G371" s="140"/>
      <c r="H371" s="140"/>
      <c r="I371" s="140"/>
      <c r="J371" s="140"/>
      <c r="K371" s="140"/>
      <c r="L371" s="140"/>
      <c r="M371" s="140"/>
      <c r="N371" s="140"/>
      <c r="O371" s="140"/>
      <c r="P371" s="140"/>
      <c r="Q371" s="140"/>
      <c r="R371" s="140"/>
      <c r="S371" s="150"/>
      <c r="T371" s="150"/>
      <c r="U371" s="140"/>
      <c r="V371" s="140"/>
      <c r="W371" s="140"/>
      <c r="X371" s="140"/>
      <c r="Y371" s="140"/>
      <c r="Z371" s="140"/>
      <c r="AA371" s="140"/>
      <c r="AB371" s="140"/>
      <c r="AC371" s="140"/>
      <c r="AD371" s="140"/>
      <c r="AE371" s="140"/>
      <c r="AF371" s="140"/>
      <c r="AG371" s="140"/>
      <c r="AH371" s="140"/>
      <c r="AI371" s="140"/>
      <c r="AJ371" s="140"/>
      <c r="AK371" s="140"/>
      <c r="AL371" s="140"/>
      <c r="AM371" s="140"/>
      <c r="AN371" s="140"/>
      <c r="AO371" s="140"/>
      <c r="AP371" s="140"/>
      <c r="AQ371" s="140"/>
      <c r="AR371" s="140"/>
      <c r="AS371" s="140"/>
    </row>
    <row r="372">
      <c r="A372" s="149"/>
      <c r="B372" s="140"/>
      <c r="C372" s="140"/>
      <c r="D372" s="140"/>
      <c r="E372" s="140"/>
      <c r="F372" s="140"/>
      <c r="G372" s="140"/>
      <c r="H372" s="140"/>
      <c r="I372" s="140"/>
      <c r="J372" s="140"/>
      <c r="K372" s="140"/>
      <c r="L372" s="140"/>
      <c r="M372" s="140"/>
      <c r="N372" s="140"/>
      <c r="O372" s="140"/>
      <c r="P372" s="140"/>
      <c r="Q372" s="140"/>
      <c r="R372" s="140"/>
      <c r="S372" s="150"/>
      <c r="T372" s="150"/>
      <c r="U372" s="140"/>
      <c r="V372" s="140"/>
      <c r="W372" s="140"/>
      <c r="X372" s="140"/>
      <c r="Y372" s="140"/>
      <c r="Z372" s="140"/>
      <c r="AA372" s="140"/>
      <c r="AB372" s="140"/>
      <c r="AC372" s="140"/>
      <c r="AD372" s="140"/>
      <c r="AE372" s="140"/>
      <c r="AF372" s="140"/>
      <c r="AG372" s="140"/>
      <c r="AH372" s="140"/>
      <c r="AI372" s="140"/>
      <c r="AJ372" s="140"/>
      <c r="AK372" s="140"/>
      <c r="AL372" s="140"/>
      <c r="AM372" s="140"/>
      <c r="AN372" s="140"/>
      <c r="AO372" s="140"/>
      <c r="AP372" s="140"/>
      <c r="AQ372" s="140"/>
      <c r="AR372" s="140"/>
      <c r="AS372" s="140"/>
    </row>
    <row r="373">
      <c r="A373" s="149"/>
      <c r="B373" s="140"/>
      <c r="C373" s="140"/>
      <c r="D373" s="140"/>
      <c r="E373" s="140"/>
      <c r="F373" s="140"/>
      <c r="G373" s="140"/>
      <c r="H373" s="140"/>
      <c r="I373" s="140"/>
      <c r="J373" s="140"/>
      <c r="K373" s="140"/>
      <c r="L373" s="140"/>
      <c r="M373" s="140"/>
      <c r="N373" s="140"/>
      <c r="O373" s="140"/>
      <c r="P373" s="140"/>
      <c r="Q373" s="140"/>
      <c r="R373" s="140"/>
      <c r="S373" s="150"/>
      <c r="T373" s="150"/>
      <c r="U373" s="140"/>
      <c r="V373" s="140"/>
      <c r="W373" s="140"/>
      <c r="X373" s="140"/>
      <c r="Y373" s="140"/>
      <c r="Z373" s="140"/>
      <c r="AA373" s="140"/>
      <c r="AB373" s="140"/>
      <c r="AC373" s="140"/>
      <c r="AD373" s="140"/>
      <c r="AE373" s="140"/>
      <c r="AF373" s="140"/>
      <c r="AG373" s="140"/>
      <c r="AH373" s="140"/>
      <c r="AI373" s="140"/>
      <c r="AJ373" s="140"/>
      <c r="AK373" s="140"/>
      <c r="AL373" s="140"/>
      <c r="AM373" s="140"/>
      <c r="AN373" s="140"/>
      <c r="AO373" s="140"/>
      <c r="AP373" s="140"/>
      <c r="AQ373" s="140"/>
      <c r="AR373" s="140"/>
      <c r="AS373" s="140"/>
    </row>
    <row r="374">
      <c r="A374" s="149"/>
      <c r="B374" s="140"/>
      <c r="C374" s="140"/>
      <c r="D374" s="140"/>
      <c r="E374" s="140"/>
      <c r="F374" s="140"/>
      <c r="G374" s="140"/>
      <c r="H374" s="140"/>
      <c r="I374" s="140"/>
      <c r="J374" s="140"/>
      <c r="K374" s="140"/>
      <c r="L374" s="140"/>
      <c r="M374" s="140"/>
      <c r="N374" s="140"/>
      <c r="O374" s="140"/>
      <c r="P374" s="140"/>
      <c r="Q374" s="140"/>
      <c r="R374" s="140"/>
      <c r="S374" s="150"/>
      <c r="T374" s="150"/>
      <c r="U374" s="140"/>
      <c r="V374" s="140"/>
      <c r="W374" s="140"/>
      <c r="X374" s="140"/>
      <c r="Y374" s="140"/>
      <c r="Z374" s="140"/>
      <c r="AA374" s="140"/>
      <c r="AB374" s="140"/>
      <c r="AC374" s="140"/>
      <c r="AD374" s="140"/>
      <c r="AE374" s="140"/>
      <c r="AF374" s="140"/>
      <c r="AG374" s="140"/>
      <c r="AH374" s="140"/>
      <c r="AI374" s="140"/>
      <c r="AJ374" s="140"/>
      <c r="AK374" s="140"/>
      <c r="AL374" s="140"/>
      <c r="AM374" s="140"/>
      <c r="AN374" s="140"/>
      <c r="AO374" s="140"/>
      <c r="AP374" s="140"/>
      <c r="AQ374" s="140"/>
      <c r="AR374" s="140"/>
      <c r="AS374" s="140"/>
    </row>
    <row r="375">
      <c r="A375" s="149"/>
      <c r="B375" s="140"/>
      <c r="C375" s="140"/>
      <c r="D375" s="140"/>
      <c r="E375" s="140"/>
      <c r="F375" s="140"/>
      <c r="G375" s="140"/>
      <c r="H375" s="140"/>
      <c r="I375" s="140"/>
      <c r="J375" s="140"/>
      <c r="K375" s="140"/>
      <c r="L375" s="140"/>
      <c r="M375" s="140"/>
      <c r="N375" s="140"/>
      <c r="O375" s="140"/>
      <c r="P375" s="140"/>
      <c r="Q375" s="140"/>
      <c r="R375" s="140"/>
      <c r="S375" s="150"/>
      <c r="T375" s="150"/>
      <c r="U375" s="140"/>
      <c r="V375" s="140"/>
      <c r="W375" s="140"/>
      <c r="X375" s="140"/>
      <c r="Y375" s="140"/>
      <c r="Z375" s="140"/>
      <c r="AA375" s="140"/>
      <c r="AB375" s="140"/>
      <c r="AC375" s="140"/>
      <c r="AD375" s="140"/>
      <c r="AE375" s="140"/>
      <c r="AF375" s="140"/>
      <c r="AG375" s="140"/>
      <c r="AH375" s="140"/>
      <c r="AI375" s="140"/>
      <c r="AJ375" s="140"/>
      <c r="AK375" s="140"/>
      <c r="AL375" s="140"/>
      <c r="AM375" s="140"/>
      <c r="AN375" s="140"/>
      <c r="AO375" s="140"/>
      <c r="AP375" s="140"/>
      <c r="AQ375" s="140"/>
      <c r="AR375" s="140"/>
      <c r="AS375" s="140"/>
    </row>
    <row r="376">
      <c r="A376" s="149"/>
      <c r="B376" s="140"/>
      <c r="C376" s="140"/>
      <c r="D376" s="140"/>
      <c r="E376" s="140"/>
      <c r="F376" s="140"/>
      <c r="G376" s="140"/>
      <c r="H376" s="140"/>
      <c r="I376" s="140"/>
      <c r="J376" s="140"/>
      <c r="K376" s="140"/>
      <c r="L376" s="140"/>
      <c r="M376" s="140"/>
      <c r="N376" s="140"/>
      <c r="O376" s="140"/>
      <c r="P376" s="140"/>
      <c r="Q376" s="140"/>
      <c r="R376" s="140"/>
      <c r="S376" s="150"/>
      <c r="T376" s="150"/>
      <c r="U376" s="140"/>
      <c r="V376" s="140"/>
      <c r="W376" s="140"/>
      <c r="X376" s="140"/>
      <c r="Y376" s="140"/>
      <c r="Z376" s="140"/>
      <c r="AA376" s="140"/>
      <c r="AB376" s="140"/>
      <c r="AC376" s="140"/>
      <c r="AD376" s="140"/>
      <c r="AE376" s="140"/>
      <c r="AF376" s="140"/>
      <c r="AG376" s="140"/>
      <c r="AH376" s="140"/>
      <c r="AI376" s="140"/>
      <c r="AJ376" s="140"/>
      <c r="AK376" s="140"/>
      <c r="AL376" s="140"/>
      <c r="AM376" s="140"/>
      <c r="AN376" s="140"/>
      <c r="AO376" s="140"/>
      <c r="AP376" s="140"/>
      <c r="AQ376" s="140"/>
      <c r="AR376" s="140"/>
      <c r="AS376" s="140"/>
    </row>
    <row r="377">
      <c r="A377" s="149"/>
      <c r="B377" s="140"/>
      <c r="C377" s="140"/>
      <c r="D377" s="140"/>
      <c r="E377" s="140"/>
      <c r="F377" s="140"/>
      <c r="G377" s="140"/>
      <c r="H377" s="140"/>
      <c r="I377" s="140"/>
      <c r="J377" s="140"/>
      <c r="K377" s="140"/>
      <c r="L377" s="140"/>
      <c r="M377" s="140"/>
      <c r="N377" s="140"/>
      <c r="O377" s="140"/>
      <c r="P377" s="140"/>
      <c r="Q377" s="140"/>
      <c r="R377" s="140"/>
      <c r="S377" s="150"/>
      <c r="T377" s="150"/>
      <c r="U377" s="140"/>
      <c r="V377" s="140"/>
      <c r="W377" s="140"/>
      <c r="X377" s="140"/>
      <c r="Y377" s="140"/>
      <c r="Z377" s="140"/>
      <c r="AA377" s="140"/>
      <c r="AB377" s="140"/>
      <c r="AC377" s="140"/>
      <c r="AD377" s="140"/>
      <c r="AE377" s="140"/>
      <c r="AF377" s="140"/>
      <c r="AG377" s="140"/>
      <c r="AH377" s="140"/>
      <c r="AI377" s="140"/>
      <c r="AJ377" s="140"/>
      <c r="AK377" s="140"/>
      <c r="AL377" s="140"/>
      <c r="AM377" s="140"/>
      <c r="AN377" s="140"/>
      <c r="AO377" s="140"/>
      <c r="AP377" s="140"/>
      <c r="AQ377" s="140"/>
      <c r="AR377" s="140"/>
      <c r="AS377" s="140"/>
    </row>
    <row r="378">
      <c r="A378" s="149"/>
      <c r="B378" s="140"/>
      <c r="C378" s="140"/>
      <c r="D378" s="140"/>
      <c r="E378" s="140"/>
      <c r="F378" s="140"/>
      <c r="G378" s="140"/>
      <c r="H378" s="140"/>
      <c r="I378" s="140"/>
      <c r="J378" s="140"/>
      <c r="K378" s="140"/>
      <c r="L378" s="140"/>
      <c r="M378" s="140"/>
      <c r="N378" s="140"/>
      <c r="O378" s="140"/>
      <c r="P378" s="140"/>
      <c r="Q378" s="140"/>
      <c r="R378" s="140"/>
      <c r="S378" s="150"/>
      <c r="T378" s="150"/>
      <c r="U378" s="140"/>
      <c r="V378" s="140"/>
      <c r="W378" s="140"/>
      <c r="X378" s="140"/>
      <c r="Y378" s="140"/>
      <c r="Z378" s="140"/>
      <c r="AA378" s="140"/>
      <c r="AB378" s="140"/>
      <c r="AC378" s="140"/>
      <c r="AD378" s="140"/>
      <c r="AE378" s="140"/>
      <c r="AF378" s="140"/>
      <c r="AG378" s="140"/>
      <c r="AH378" s="140"/>
      <c r="AI378" s="140"/>
      <c r="AJ378" s="140"/>
      <c r="AK378" s="140"/>
      <c r="AL378" s="140"/>
      <c r="AM378" s="140"/>
      <c r="AN378" s="140"/>
      <c r="AO378" s="140"/>
      <c r="AP378" s="140"/>
      <c r="AQ378" s="140"/>
      <c r="AR378" s="140"/>
      <c r="AS378" s="140"/>
    </row>
    <row r="379">
      <c r="A379" s="149"/>
      <c r="B379" s="140"/>
      <c r="C379" s="140"/>
      <c r="D379" s="140"/>
      <c r="E379" s="140"/>
      <c r="F379" s="140"/>
      <c r="G379" s="140"/>
      <c r="H379" s="140"/>
      <c r="I379" s="140"/>
      <c r="J379" s="140"/>
      <c r="K379" s="140"/>
      <c r="L379" s="140"/>
      <c r="M379" s="140"/>
      <c r="N379" s="140"/>
      <c r="O379" s="140"/>
      <c r="P379" s="140"/>
      <c r="Q379" s="140"/>
      <c r="R379" s="140"/>
      <c r="S379" s="150"/>
      <c r="T379" s="150"/>
      <c r="U379" s="140"/>
      <c r="V379" s="140"/>
      <c r="W379" s="140"/>
      <c r="X379" s="140"/>
      <c r="Y379" s="140"/>
      <c r="Z379" s="140"/>
      <c r="AA379" s="140"/>
      <c r="AB379" s="140"/>
      <c r="AC379" s="140"/>
      <c r="AD379" s="140"/>
      <c r="AE379" s="140"/>
      <c r="AF379" s="140"/>
      <c r="AG379" s="140"/>
      <c r="AH379" s="140"/>
      <c r="AI379" s="140"/>
      <c r="AJ379" s="140"/>
      <c r="AK379" s="140"/>
      <c r="AL379" s="140"/>
      <c r="AM379" s="140"/>
      <c r="AN379" s="140"/>
      <c r="AO379" s="140"/>
      <c r="AP379" s="140"/>
      <c r="AQ379" s="140"/>
      <c r="AR379" s="140"/>
      <c r="AS379" s="140"/>
    </row>
    <row r="380">
      <c r="A380" s="149"/>
      <c r="B380" s="140"/>
      <c r="C380" s="140"/>
      <c r="D380" s="140"/>
      <c r="E380" s="140"/>
      <c r="F380" s="140"/>
      <c r="G380" s="140"/>
      <c r="H380" s="140"/>
      <c r="I380" s="140"/>
      <c r="J380" s="140"/>
      <c r="K380" s="140"/>
      <c r="L380" s="140"/>
      <c r="M380" s="140"/>
      <c r="N380" s="140"/>
      <c r="O380" s="140"/>
      <c r="P380" s="140"/>
      <c r="Q380" s="140"/>
      <c r="R380" s="140"/>
      <c r="S380" s="150"/>
      <c r="T380" s="150"/>
      <c r="U380" s="140"/>
      <c r="V380" s="140"/>
      <c r="W380" s="140"/>
      <c r="X380" s="140"/>
      <c r="Y380" s="140"/>
      <c r="Z380" s="140"/>
      <c r="AA380" s="140"/>
      <c r="AB380" s="140"/>
      <c r="AC380" s="140"/>
      <c r="AD380" s="140"/>
      <c r="AE380" s="140"/>
      <c r="AF380" s="140"/>
      <c r="AG380" s="140"/>
      <c r="AH380" s="140"/>
      <c r="AI380" s="140"/>
      <c r="AJ380" s="140"/>
      <c r="AK380" s="140"/>
      <c r="AL380" s="140"/>
      <c r="AM380" s="140"/>
      <c r="AN380" s="140"/>
      <c r="AO380" s="140"/>
      <c r="AP380" s="140"/>
      <c r="AQ380" s="140"/>
      <c r="AR380" s="140"/>
      <c r="AS380" s="140"/>
    </row>
    <row r="381">
      <c r="A381" s="149"/>
      <c r="B381" s="140"/>
      <c r="C381" s="140"/>
      <c r="D381" s="140"/>
      <c r="E381" s="140"/>
      <c r="F381" s="140"/>
      <c r="G381" s="140"/>
      <c r="H381" s="140"/>
      <c r="I381" s="140"/>
      <c r="J381" s="140"/>
      <c r="K381" s="140"/>
      <c r="L381" s="140"/>
      <c r="M381" s="140"/>
      <c r="N381" s="140"/>
      <c r="O381" s="140"/>
      <c r="P381" s="140"/>
      <c r="Q381" s="140"/>
      <c r="R381" s="140"/>
      <c r="S381" s="150"/>
      <c r="T381" s="150"/>
      <c r="U381" s="140"/>
      <c r="V381" s="140"/>
      <c r="W381" s="140"/>
      <c r="X381" s="140"/>
      <c r="Y381" s="140"/>
      <c r="Z381" s="140"/>
      <c r="AA381" s="140"/>
      <c r="AB381" s="140"/>
      <c r="AC381" s="140"/>
      <c r="AD381" s="140"/>
      <c r="AE381" s="140"/>
      <c r="AF381" s="140"/>
      <c r="AG381" s="140"/>
      <c r="AH381" s="140"/>
      <c r="AI381" s="140"/>
      <c r="AJ381" s="140"/>
      <c r="AK381" s="140"/>
      <c r="AL381" s="140"/>
      <c r="AM381" s="140"/>
      <c r="AN381" s="140"/>
      <c r="AO381" s="140"/>
      <c r="AP381" s="140"/>
      <c r="AQ381" s="140"/>
      <c r="AR381" s="140"/>
      <c r="AS381" s="140"/>
    </row>
    <row r="382">
      <c r="A382" s="149"/>
      <c r="B382" s="140"/>
      <c r="C382" s="140"/>
      <c r="D382" s="140"/>
      <c r="E382" s="140"/>
      <c r="F382" s="140"/>
      <c r="G382" s="140"/>
      <c r="H382" s="140"/>
      <c r="I382" s="140"/>
      <c r="J382" s="140"/>
      <c r="K382" s="140"/>
      <c r="L382" s="140"/>
      <c r="M382" s="140"/>
      <c r="N382" s="140"/>
      <c r="O382" s="140"/>
      <c r="P382" s="140"/>
      <c r="Q382" s="140"/>
      <c r="R382" s="140"/>
      <c r="S382" s="150"/>
      <c r="T382" s="150"/>
      <c r="U382" s="140"/>
      <c r="V382" s="140"/>
      <c r="W382" s="140"/>
      <c r="X382" s="140"/>
      <c r="Y382" s="140"/>
      <c r="Z382" s="140"/>
      <c r="AA382" s="140"/>
      <c r="AB382" s="140"/>
      <c r="AC382" s="140"/>
      <c r="AD382" s="140"/>
      <c r="AE382" s="140"/>
      <c r="AF382" s="140"/>
      <c r="AG382" s="140"/>
      <c r="AH382" s="140"/>
      <c r="AI382" s="140"/>
      <c r="AJ382" s="140"/>
      <c r="AK382" s="140"/>
      <c r="AL382" s="140"/>
      <c r="AM382" s="140"/>
      <c r="AN382" s="140"/>
      <c r="AO382" s="140"/>
      <c r="AP382" s="140"/>
      <c r="AQ382" s="140"/>
      <c r="AR382" s="140"/>
      <c r="AS382" s="140"/>
    </row>
    <row r="383">
      <c r="A383" s="149"/>
      <c r="B383" s="140"/>
      <c r="C383" s="140"/>
      <c r="D383" s="140"/>
      <c r="E383" s="140"/>
      <c r="F383" s="140"/>
      <c r="G383" s="140"/>
      <c r="H383" s="140"/>
      <c r="I383" s="140"/>
      <c r="J383" s="140"/>
      <c r="K383" s="140"/>
      <c r="L383" s="140"/>
      <c r="M383" s="140"/>
      <c r="N383" s="140"/>
      <c r="O383" s="140"/>
      <c r="P383" s="140"/>
      <c r="Q383" s="140"/>
      <c r="R383" s="140"/>
      <c r="S383" s="150"/>
      <c r="T383" s="150"/>
      <c r="U383" s="140"/>
      <c r="V383" s="140"/>
      <c r="W383" s="140"/>
      <c r="X383" s="140"/>
      <c r="Y383" s="140"/>
      <c r="Z383" s="140"/>
      <c r="AA383" s="140"/>
      <c r="AB383" s="140"/>
      <c r="AC383" s="140"/>
      <c r="AD383" s="140"/>
      <c r="AE383" s="140"/>
      <c r="AF383" s="140"/>
      <c r="AG383" s="140"/>
      <c r="AH383" s="140"/>
      <c r="AI383" s="140"/>
      <c r="AJ383" s="140"/>
      <c r="AK383" s="140"/>
      <c r="AL383" s="140"/>
      <c r="AM383" s="140"/>
      <c r="AN383" s="140"/>
      <c r="AO383" s="140"/>
      <c r="AP383" s="140"/>
      <c r="AQ383" s="140"/>
      <c r="AR383" s="140"/>
      <c r="AS383" s="140"/>
    </row>
    <row r="384">
      <c r="A384" s="149"/>
      <c r="B384" s="140"/>
      <c r="C384" s="140"/>
      <c r="D384" s="140"/>
      <c r="E384" s="140"/>
      <c r="F384" s="140"/>
      <c r="G384" s="140"/>
      <c r="H384" s="140"/>
      <c r="I384" s="140"/>
      <c r="J384" s="140"/>
      <c r="K384" s="140"/>
      <c r="L384" s="140"/>
      <c r="M384" s="140"/>
      <c r="N384" s="140"/>
      <c r="O384" s="140"/>
      <c r="P384" s="140"/>
      <c r="Q384" s="140"/>
      <c r="R384" s="140"/>
      <c r="S384" s="150"/>
      <c r="T384" s="150"/>
      <c r="U384" s="140"/>
      <c r="V384" s="140"/>
      <c r="W384" s="140"/>
      <c r="X384" s="140"/>
      <c r="Y384" s="140"/>
      <c r="Z384" s="140"/>
      <c r="AA384" s="140"/>
      <c r="AB384" s="140"/>
      <c r="AC384" s="140"/>
      <c r="AD384" s="140"/>
      <c r="AE384" s="140"/>
      <c r="AF384" s="140"/>
      <c r="AG384" s="140"/>
      <c r="AH384" s="140"/>
      <c r="AI384" s="140"/>
      <c r="AJ384" s="140"/>
      <c r="AK384" s="140"/>
      <c r="AL384" s="140"/>
      <c r="AM384" s="140"/>
      <c r="AN384" s="140"/>
      <c r="AO384" s="140"/>
      <c r="AP384" s="140"/>
      <c r="AQ384" s="140"/>
      <c r="AR384" s="140"/>
      <c r="AS384" s="140"/>
    </row>
    <row r="385">
      <c r="A385" s="149"/>
      <c r="B385" s="140"/>
      <c r="C385" s="140"/>
      <c r="D385" s="140"/>
      <c r="E385" s="140"/>
      <c r="F385" s="140"/>
      <c r="G385" s="140"/>
      <c r="H385" s="140"/>
      <c r="I385" s="140"/>
      <c r="J385" s="140"/>
      <c r="K385" s="140"/>
      <c r="L385" s="140"/>
      <c r="M385" s="140"/>
      <c r="N385" s="140"/>
      <c r="O385" s="140"/>
      <c r="P385" s="140"/>
      <c r="Q385" s="140"/>
      <c r="R385" s="140"/>
      <c r="S385" s="150"/>
      <c r="T385" s="150"/>
      <c r="U385" s="140"/>
      <c r="V385" s="140"/>
      <c r="W385" s="140"/>
      <c r="X385" s="140"/>
      <c r="Y385" s="140"/>
      <c r="Z385" s="140"/>
      <c r="AA385" s="140"/>
      <c r="AB385" s="140"/>
      <c r="AC385" s="140"/>
      <c r="AD385" s="140"/>
      <c r="AE385" s="140"/>
      <c r="AF385" s="140"/>
      <c r="AG385" s="140"/>
      <c r="AH385" s="140"/>
      <c r="AI385" s="140"/>
      <c r="AJ385" s="140"/>
      <c r="AK385" s="140"/>
      <c r="AL385" s="140"/>
      <c r="AM385" s="140"/>
      <c r="AN385" s="140"/>
      <c r="AO385" s="140"/>
      <c r="AP385" s="140"/>
      <c r="AQ385" s="140"/>
      <c r="AR385" s="140"/>
      <c r="AS385" s="140"/>
    </row>
    <row r="386">
      <c r="A386" s="149"/>
      <c r="B386" s="140"/>
      <c r="C386" s="140"/>
      <c r="D386" s="140"/>
      <c r="E386" s="140"/>
      <c r="F386" s="140"/>
      <c r="G386" s="140"/>
      <c r="H386" s="140"/>
      <c r="I386" s="140"/>
      <c r="J386" s="140"/>
      <c r="K386" s="140"/>
      <c r="L386" s="140"/>
      <c r="M386" s="140"/>
      <c r="N386" s="140"/>
      <c r="O386" s="140"/>
      <c r="P386" s="140"/>
      <c r="Q386" s="140"/>
      <c r="R386" s="140"/>
      <c r="S386" s="150"/>
      <c r="T386" s="150"/>
      <c r="U386" s="140"/>
      <c r="V386" s="140"/>
      <c r="W386" s="140"/>
      <c r="X386" s="140"/>
      <c r="Y386" s="140"/>
      <c r="Z386" s="140"/>
      <c r="AA386" s="140"/>
      <c r="AB386" s="140"/>
      <c r="AC386" s="140"/>
      <c r="AD386" s="140"/>
      <c r="AE386" s="140"/>
      <c r="AF386" s="140"/>
      <c r="AG386" s="140"/>
      <c r="AH386" s="140"/>
      <c r="AI386" s="140"/>
      <c r="AJ386" s="140"/>
      <c r="AK386" s="140"/>
      <c r="AL386" s="140"/>
      <c r="AM386" s="140"/>
      <c r="AN386" s="140"/>
      <c r="AO386" s="140"/>
      <c r="AP386" s="140"/>
      <c r="AQ386" s="140"/>
      <c r="AR386" s="140"/>
      <c r="AS386" s="140"/>
    </row>
    <row r="387">
      <c r="A387" s="149"/>
      <c r="B387" s="140"/>
      <c r="C387" s="140"/>
      <c r="D387" s="140"/>
      <c r="E387" s="140"/>
      <c r="F387" s="140"/>
      <c r="G387" s="140"/>
      <c r="H387" s="140"/>
      <c r="I387" s="140"/>
      <c r="J387" s="140"/>
      <c r="K387" s="140"/>
      <c r="L387" s="140"/>
      <c r="M387" s="140"/>
      <c r="N387" s="140"/>
      <c r="O387" s="140"/>
      <c r="P387" s="140"/>
      <c r="Q387" s="140"/>
      <c r="R387" s="140"/>
      <c r="S387" s="150"/>
      <c r="T387" s="150"/>
      <c r="U387" s="140"/>
      <c r="V387" s="140"/>
      <c r="W387" s="140"/>
      <c r="X387" s="140"/>
      <c r="Y387" s="140"/>
      <c r="Z387" s="140"/>
      <c r="AA387" s="140"/>
      <c r="AB387" s="140"/>
      <c r="AC387" s="140"/>
      <c r="AD387" s="140"/>
      <c r="AE387" s="140"/>
      <c r="AF387" s="140"/>
      <c r="AG387" s="140"/>
      <c r="AH387" s="140"/>
      <c r="AI387" s="140"/>
      <c r="AJ387" s="140"/>
      <c r="AK387" s="140"/>
      <c r="AL387" s="140"/>
      <c r="AM387" s="140"/>
      <c r="AN387" s="140"/>
      <c r="AO387" s="140"/>
      <c r="AP387" s="140"/>
      <c r="AQ387" s="140"/>
      <c r="AR387" s="140"/>
      <c r="AS387" s="140"/>
    </row>
    <row r="388">
      <c r="A388" s="149"/>
      <c r="B388" s="140"/>
      <c r="C388" s="140"/>
      <c r="D388" s="140"/>
      <c r="E388" s="140"/>
      <c r="F388" s="140"/>
      <c r="G388" s="140"/>
      <c r="H388" s="140"/>
      <c r="I388" s="140"/>
      <c r="J388" s="140"/>
      <c r="K388" s="140"/>
      <c r="L388" s="140"/>
      <c r="M388" s="140"/>
      <c r="N388" s="140"/>
      <c r="O388" s="140"/>
      <c r="P388" s="140"/>
      <c r="Q388" s="140"/>
      <c r="R388" s="140"/>
      <c r="S388" s="150"/>
      <c r="T388" s="150"/>
      <c r="U388" s="140"/>
      <c r="V388" s="140"/>
      <c r="W388" s="140"/>
      <c r="X388" s="140"/>
      <c r="Y388" s="140"/>
      <c r="Z388" s="140"/>
      <c r="AA388" s="140"/>
      <c r="AB388" s="140"/>
      <c r="AC388" s="140"/>
      <c r="AD388" s="140"/>
      <c r="AE388" s="140"/>
      <c r="AF388" s="140"/>
      <c r="AG388" s="140"/>
      <c r="AH388" s="140"/>
      <c r="AI388" s="140"/>
      <c r="AJ388" s="140"/>
      <c r="AK388" s="140"/>
      <c r="AL388" s="140"/>
      <c r="AM388" s="140"/>
      <c r="AN388" s="140"/>
      <c r="AO388" s="140"/>
      <c r="AP388" s="140"/>
      <c r="AQ388" s="140"/>
      <c r="AR388" s="140"/>
      <c r="AS388" s="140"/>
    </row>
    <row r="389">
      <c r="A389" s="149"/>
      <c r="B389" s="140"/>
      <c r="C389" s="140"/>
      <c r="D389" s="140"/>
      <c r="E389" s="140"/>
      <c r="F389" s="140"/>
      <c r="G389" s="140"/>
      <c r="H389" s="140"/>
      <c r="I389" s="140"/>
      <c r="J389" s="140"/>
      <c r="K389" s="140"/>
      <c r="L389" s="140"/>
      <c r="M389" s="140"/>
      <c r="N389" s="140"/>
      <c r="O389" s="140"/>
      <c r="P389" s="140"/>
      <c r="Q389" s="140"/>
      <c r="R389" s="140"/>
      <c r="S389" s="150"/>
      <c r="T389" s="150"/>
      <c r="U389" s="140"/>
      <c r="V389" s="140"/>
      <c r="W389" s="140"/>
      <c r="X389" s="140"/>
      <c r="Y389" s="140"/>
      <c r="Z389" s="140"/>
      <c r="AA389" s="140"/>
      <c r="AB389" s="140"/>
      <c r="AC389" s="140"/>
      <c r="AD389" s="140"/>
      <c r="AE389" s="140"/>
      <c r="AF389" s="140"/>
      <c r="AG389" s="140"/>
      <c r="AH389" s="140"/>
      <c r="AI389" s="140"/>
      <c r="AJ389" s="140"/>
      <c r="AK389" s="140"/>
      <c r="AL389" s="140"/>
      <c r="AM389" s="140"/>
      <c r="AN389" s="140"/>
      <c r="AO389" s="140"/>
      <c r="AP389" s="140"/>
      <c r="AQ389" s="140"/>
      <c r="AR389" s="140"/>
      <c r="AS389" s="140"/>
    </row>
    <row r="390">
      <c r="A390" s="149"/>
      <c r="B390" s="140"/>
      <c r="C390" s="140"/>
      <c r="D390" s="140"/>
      <c r="E390" s="140"/>
      <c r="F390" s="140"/>
      <c r="G390" s="140"/>
      <c r="H390" s="140"/>
      <c r="I390" s="140"/>
      <c r="J390" s="140"/>
      <c r="K390" s="140"/>
      <c r="L390" s="140"/>
      <c r="M390" s="140"/>
      <c r="N390" s="140"/>
      <c r="O390" s="140"/>
      <c r="P390" s="140"/>
      <c r="Q390" s="140"/>
      <c r="R390" s="140"/>
      <c r="S390" s="150"/>
      <c r="T390" s="150"/>
      <c r="U390" s="140"/>
      <c r="V390" s="140"/>
      <c r="W390" s="140"/>
      <c r="X390" s="140"/>
      <c r="Y390" s="140"/>
      <c r="Z390" s="140"/>
      <c r="AA390" s="140"/>
      <c r="AB390" s="140"/>
      <c r="AC390" s="140"/>
      <c r="AD390" s="140"/>
      <c r="AE390" s="140"/>
      <c r="AF390" s="140"/>
      <c r="AG390" s="140"/>
      <c r="AH390" s="140"/>
      <c r="AI390" s="140"/>
      <c r="AJ390" s="140"/>
      <c r="AK390" s="140"/>
      <c r="AL390" s="140"/>
      <c r="AM390" s="140"/>
      <c r="AN390" s="140"/>
      <c r="AO390" s="140"/>
      <c r="AP390" s="140"/>
      <c r="AQ390" s="140"/>
      <c r="AR390" s="140"/>
      <c r="AS390" s="140"/>
    </row>
    <row r="391">
      <c r="A391" s="149"/>
      <c r="B391" s="140"/>
      <c r="C391" s="140"/>
      <c r="D391" s="140"/>
      <c r="E391" s="140"/>
      <c r="F391" s="140"/>
      <c r="G391" s="140"/>
      <c r="H391" s="140"/>
      <c r="I391" s="140"/>
      <c r="J391" s="140"/>
      <c r="K391" s="140"/>
      <c r="L391" s="140"/>
      <c r="M391" s="140"/>
      <c r="N391" s="140"/>
      <c r="O391" s="140"/>
      <c r="P391" s="140"/>
      <c r="Q391" s="140"/>
      <c r="R391" s="140"/>
      <c r="S391" s="150"/>
      <c r="T391" s="150"/>
      <c r="U391" s="140"/>
      <c r="V391" s="140"/>
      <c r="W391" s="140"/>
      <c r="X391" s="140"/>
      <c r="Y391" s="140"/>
      <c r="Z391" s="140"/>
      <c r="AA391" s="140"/>
      <c r="AB391" s="140"/>
      <c r="AC391" s="140"/>
      <c r="AD391" s="140"/>
      <c r="AE391" s="140"/>
      <c r="AF391" s="140"/>
      <c r="AG391" s="140"/>
      <c r="AH391" s="140"/>
      <c r="AI391" s="140"/>
      <c r="AJ391" s="140"/>
      <c r="AK391" s="140"/>
      <c r="AL391" s="140"/>
      <c r="AM391" s="140"/>
      <c r="AN391" s="140"/>
      <c r="AO391" s="140"/>
      <c r="AP391" s="140"/>
      <c r="AQ391" s="140"/>
      <c r="AR391" s="140"/>
      <c r="AS391" s="140"/>
    </row>
    <row r="392">
      <c r="A392" s="149"/>
      <c r="B392" s="140"/>
      <c r="C392" s="140"/>
      <c r="D392" s="140"/>
      <c r="E392" s="140"/>
      <c r="F392" s="140"/>
      <c r="G392" s="140"/>
      <c r="H392" s="140"/>
      <c r="I392" s="140"/>
      <c r="J392" s="140"/>
      <c r="K392" s="140"/>
      <c r="L392" s="140"/>
      <c r="M392" s="140"/>
      <c r="N392" s="140"/>
      <c r="O392" s="140"/>
      <c r="P392" s="140"/>
      <c r="Q392" s="140"/>
      <c r="R392" s="140"/>
      <c r="S392" s="150"/>
      <c r="T392" s="150"/>
      <c r="U392" s="140"/>
      <c r="V392" s="140"/>
      <c r="W392" s="140"/>
      <c r="X392" s="140"/>
      <c r="Y392" s="140"/>
      <c r="Z392" s="140"/>
      <c r="AA392" s="140"/>
      <c r="AB392" s="140"/>
      <c r="AC392" s="140"/>
      <c r="AD392" s="140"/>
      <c r="AE392" s="140"/>
      <c r="AF392" s="140"/>
      <c r="AG392" s="140"/>
      <c r="AH392" s="140"/>
      <c r="AI392" s="140"/>
      <c r="AJ392" s="140"/>
      <c r="AK392" s="140"/>
      <c r="AL392" s="140"/>
      <c r="AM392" s="140"/>
      <c r="AN392" s="140"/>
      <c r="AO392" s="140"/>
      <c r="AP392" s="140"/>
      <c r="AQ392" s="140"/>
      <c r="AR392" s="140"/>
      <c r="AS392" s="140"/>
    </row>
    <row r="393">
      <c r="A393" s="149"/>
      <c r="B393" s="140"/>
      <c r="C393" s="140"/>
      <c r="D393" s="140"/>
      <c r="E393" s="140"/>
      <c r="F393" s="140"/>
      <c r="G393" s="140"/>
      <c r="H393" s="140"/>
      <c r="I393" s="140"/>
      <c r="J393" s="140"/>
      <c r="K393" s="140"/>
      <c r="L393" s="140"/>
      <c r="M393" s="140"/>
      <c r="N393" s="140"/>
      <c r="O393" s="140"/>
      <c r="P393" s="140"/>
      <c r="Q393" s="140"/>
      <c r="R393" s="140"/>
      <c r="S393" s="150"/>
      <c r="T393" s="150"/>
      <c r="U393" s="140"/>
      <c r="V393" s="140"/>
      <c r="W393" s="140"/>
      <c r="X393" s="140"/>
      <c r="Y393" s="140"/>
      <c r="Z393" s="140"/>
      <c r="AA393" s="140"/>
      <c r="AB393" s="140"/>
      <c r="AC393" s="140"/>
      <c r="AD393" s="140"/>
      <c r="AE393" s="140"/>
      <c r="AF393" s="140"/>
      <c r="AG393" s="140"/>
      <c r="AH393" s="140"/>
      <c r="AI393" s="140"/>
      <c r="AJ393" s="140"/>
      <c r="AK393" s="140"/>
      <c r="AL393" s="140"/>
      <c r="AM393" s="140"/>
      <c r="AN393" s="140"/>
      <c r="AO393" s="140"/>
      <c r="AP393" s="140"/>
      <c r="AQ393" s="140"/>
      <c r="AR393" s="140"/>
      <c r="AS393" s="140"/>
    </row>
    <row r="394">
      <c r="A394" s="149"/>
      <c r="B394" s="140"/>
      <c r="C394" s="140"/>
      <c r="D394" s="140"/>
      <c r="E394" s="140"/>
      <c r="F394" s="140"/>
      <c r="G394" s="140"/>
      <c r="H394" s="140"/>
      <c r="I394" s="140"/>
      <c r="J394" s="140"/>
      <c r="K394" s="140"/>
      <c r="L394" s="140"/>
      <c r="M394" s="140"/>
      <c r="N394" s="140"/>
      <c r="O394" s="140"/>
      <c r="P394" s="140"/>
      <c r="Q394" s="140"/>
      <c r="R394" s="140"/>
      <c r="S394" s="150"/>
      <c r="T394" s="150"/>
      <c r="U394" s="140"/>
      <c r="V394" s="140"/>
      <c r="W394" s="140"/>
      <c r="X394" s="140"/>
      <c r="Y394" s="140"/>
      <c r="Z394" s="140"/>
      <c r="AA394" s="140"/>
      <c r="AB394" s="140"/>
      <c r="AC394" s="140"/>
      <c r="AD394" s="140"/>
      <c r="AE394" s="140"/>
      <c r="AF394" s="140"/>
      <c r="AG394" s="140"/>
      <c r="AH394" s="140"/>
      <c r="AI394" s="140"/>
      <c r="AJ394" s="140"/>
      <c r="AK394" s="140"/>
      <c r="AL394" s="140"/>
      <c r="AM394" s="140"/>
      <c r="AN394" s="140"/>
      <c r="AO394" s="140"/>
      <c r="AP394" s="140"/>
      <c r="AQ394" s="140"/>
      <c r="AR394" s="140"/>
      <c r="AS394" s="140"/>
    </row>
    <row r="395">
      <c r="A395" s="149"/>
      <c r="B395" s="140"/>
      <c r="C395" s="140"/>
      <c r="D395" s="140"/>
      <c r="E395" s="140"/>
      <c r="F395" s="140"/>
      <c r="G395" s="140"/>
      <c r="H395" s="140"/>
      <c r="I395" s="140"/>
      <c r="J395" s="140"/>
      <c r="K395" s="140"/>
      <c r="L395" s="140"/>
      <c r="M395" s="140"/>
      <c r="N395" s="140"/>
      <c r="O395" s="140"/>
      <c r="P395" s="140"/>
      <c r="Q395" s="140"/>
      <c r="R395" s="140"/>
      <c r="S395" s="150"/>
      <c r="T395" s="150"/>
      <c r="U395" s="140"/>
      <c r="V395" s="140"/>
      <c r="W395" s="140"/>
      <c r="X395" s="140"/>
      <c r="Y395" s="140"/>
      <c r="Z395" s="140"/>
      <c r="AA395" s="140"/>
      <c r="AB395" s="140"/>
      <c r="AC395" s="140"/>
      <c r="AD395" s="140"/>
      <c r="AE395" s="140"/>
      <c r="AF395" s="140"/>
      <c r="AG395" s="140"/>
      <c r="AH395" s="140"/>
      <c r="AI395" s="140"/>
      <c r="AJ395" s="140"/>
      <c r="AK395" s="140"/>
      <c r="AL395" s="140"/>
      <c r="AM395" s="140"/>
      <c r="AN395" s="140"/>
      <c r="AO395" s="140"/>
      <c r="AP395" s="140"/>
      <c r="AQ395" s="140"/>
      <c r="AR395" s="140"/>
      <c r="AS395" s="140"/>
    </row>
    <row r="396">
      <c r="A396" s="149"/>
      <c r="B396" s="140"/>
      <c r="C396" s="140"/>
      <c r="D396" s="140"/>
      <c r="E396" s="140"/>
      <c r="F396" s="140"/>
      <c r="G396" s="140"/>
      <c r="H396" s="140"/>
      <c r="I396" s="140"/>
      <c r="J396" s="140"/>
      <c r="K396" s="140"/>
      <c r="L396" s="140"/>
      <c r="M396" s="140"/>
      <c r="N396" s="140"/>
      <c r="O396" s="140"/>
      <c r="P396" s="140"/>
      <c r="Q396" s="140"/>
      <c r="R396" s="140"/>
      <c r="S396" s="150"/>
      <c r="T396" s="150"/>
      <c r="U396" s="140"/>
      <c r="V396" s="140"/>
      <c r="W396" s="140"/>
      <c r="X396" s="140"/>
      <c r="Y396" s="140"/>
      <c r="Z396" s="140"/>
      <c r="AA396" s="140"/>
      <c r="AB396" s="140"/>
      <c r="AC396" s="140"/>
      <c r="AD396" s="140"/>
      <c r="AE396" s="140"/>
      <c r="AF396" s="140"/>
      <c r="AG396" s="140"/>
      <c r="AH396" s="140"/>
      <c r="AI396" s="140"/>
      <c r="AJ396" s="140"/>
      <c r="AK396" s="140"/>
      <c r="AL396" s="140"/>
      <c r="AM396" s="140"/>
      <c r="AN396" s="140"/>
      <c r="AO396" s="140"/>
      <c r="AP396" s="140"/>
      <c r="AQ396" s="140"/>
      <c r="AR396" s="140"/>
      <c r="AS396" s="140"/>
    </row>
    <row r="397">
      <c r="A397" s="149"/>
      <c r="B397" s="140"/>
      <c r="C397" s="140"/>
      <c r="D397" s="140"/>
      <c r="E397" s="140"/>
      <c r="F397" s="140"/>
      <c r="G397" s="140"/>
      <c r="H397" s="140"/>
      <c r="I397" s="140"/>
      <c r="J397" s="140"/>
      <c r="K397" s="140"/>
      <c r="L397" s="140"/>
      <c r="M397" s="140"/>
      <c r="N397" s="140"/>
      <c r="O397" s="140"/>
      <c r="P397" s="140"/>
      <c r="Q397" s="140"/>
      <c r="R397" s="140"/>
      <c r="S397" s="150"/>
      <c r="T397" s="150"/>
      <c r="U397" s="140"/>
      <c r="V397" s="140"/>
      <c r="W397" s="140"/>
      <c r="X397" s="140"/>
      <c r="Y397" s="140"/>
      <c r="Z397" s="140"/>
      <c r="AA397" s="140"/>
      <c r="AB397" s="140"/>
      <c r="AC397" s="140"/>
      <c r="AD397" s="140"/>
      <c r="AE397" s="140"/>
      <c r="AF397" s="140"/>
      <c r="AG397" s="140"/>
      <c r="AH397" s="140"/>
      <c r="AI397" s="140"/>
      <c r="AJ397" s="140"/>
      <c r="AK397" s="140"/>
      <c r="AL397" s="140"/>
      <c r="AM397" s="140"/>
      <c r="AN397" s="140"/>
      <c r="AO397" s="140"/>
      <c r="AP397" s="140"/>
      <c r="AQ397" s="140"/>
      <c r="AR397" s="140"/>
      <c r="AS397" s="140"/>
    </row>
    <row r="398">
      <c r="A398" s="149"/>
      <c r="B398" s="140"/>
      <c r="C398" s="140"/>
      <c r="D398" s="140"/>
      <c r="E398" s="140"/>
      <c r="F398" s="140"/>
      <c r="G398" s="140"/>
      <c r="H398" s="140"/>
      <c r="I398" s="140"/>
      <c r="J398" s="140"/>
      <c r="K398" s="140"/>
      <c r="L398" s="140"/>
      <c r="M398" s="140"/>
      <c r="N398" s="140"/>
      <c r="O398" s="140"/>
      <c r="P398" s="140"/>
      <c r="Q398" s="140"/>
      <c r="R398" s="140"/>
      <c r="S398" s="150"/>
      <c r="T398" s="150"/>
      <c r="U398" s="140"/>
      <c r="V398" s="140"/>
      <c r="W398" s="140"/>
      <c r="X398" s="140"/>
      <c r="Y398" s="140"/>
      <c r="Z398" s="140"/>
      <c r="AA398" s="140"/>
      <c r="AB398" s="140"/>
      <c r="AC398" s="140"/>
      <c r="AD398" s="140"/>
      <c r="AE398" s="140"/>
      <c r="AF398" s="140"/>
      <c r="AG398" s="140"/>
      <c r="AH398" s="140"/>
      <c r="AI398" s="140"/>
      <c r="AJ398" s="140"/>
      <c r="AK398" s="140"/>
      <c r="AL398" s="140"/>
      <c r="AM398" s="140"/>
      <c r="AN398" s="140"/>
      <c r="AO398" s="140"/>
      <c r="AP398" s="140"/>
      <c r="AQ398" s="140"/>
      <c r="AR398" s="140"/>
      <c r="AS398" s="140"/>
    </row>
    <row r="399">
      <c r="A399" s="149"/>
      <c r="B399" s="140"/>
      <c r="C399" s="140"/>
      <c r="D399" s="140"/>
      <c r="E399" s="140"/>
      <c r="F399" s="140"/>
      <c r="G399" s="140"/>
      <c r="H399" s="140"/>
      <c r="I399" s="140"/>
      <c r="J399" s="140"/>
      <c r="K399" s="140"/>
      <c r="L399" s="140"/>
      <c r="M399" s="140"/>
      <c r="N399" s="140"/>
      <c r="O399" s="140"/>
      <c r="P399" s="140"/>
      <c r="Q399" s="140"/>
      <c r="R399" s="140"/>
      <c r="S399" s="150"/>
      <c r="T399" s="150"/>
      <c r="U399" s="140"/>
      <c r="V399" s="140"/>
      <c r="W399" s="140"/>
      <c r="X399" s="140"/>
      <c r="Y399" s="140"/>
      <c r="Z399" s="140"/>
      <c r="AA399" s="140"/>
      <c r="AB399" s="140"/>
      <c r="AC399" s="140"/>
      <c r="AD399" s="140"/>
      <c r="AE399" s="140"/>
      <c r="AF399" s="140"/>
      <c r="AG399" s="140"/>
      <c r="AH399" s="140"/>
      <c r="AI399" s="140"/>
      <c r="AJ399" s="140"/>
      <c r="AK399" s="140"/>
      <c r="AL399" s="140"/>
      <c r="AM399" s="140"/>
      <c r="AN399" s="140"/>
      <c r="AO399" s="140"/>
      <c r="AP399" s="140"/>
      <c r="AQ399" s="140"/>
      <c r="AR399" s="140"/>
      <c r="AS399" s="140"/>
    </row>
    <row r="400">
      <c r="A400" s="149"/>
      <c r="B400" s="140"/>
      <c r="C400" s="140"/>
      <c r="D400" s="140"/>
      <c r="E400" s="140"/>
      <c r="F400" s="140"/>
      <c r="G400" s="140"/>
      <c r="H400" s="140"/>
      <c r="I400" s="140"/>
      <c r="J400" s="140"/>
      <c r="K400" s="140"/>
      <c r="L400" s="140"/>
      <c r="M400" s="140"/>
      <c r="N400" s="140"/>
      <c r="O400" s="140"/>
      <c r="P400" s="140"/>
      <c r="Q400" s="140"/>
      <c r="R400" s="140"/>
      <c r="S400" s="150"/>
      <c r="T400" s="150"/>
      <c r="U400" s="140"/>
      <c r="V400" s="140"/>
      <c r="W400" s="140"/>
      <c r="X400" s="140"/>
      <c r="Y400" s="140"/>
      <c r="Z400" s="140"/>
      <c r="AA400" s="140"/>
      <c r="AB400" s="140"/>
      <c r="AC400" s="140"/>
      <c r="AD400" s="140"/>
      <c r="AE400" s="140"/>
      <c r="AF400" s="140"/>
      <c r="AG400" s="140"/>
      <c r="AH400" s="140"/>
      <c r="AI400" s="140"/>
      <c r="AJ400" s="140"/>
      <c r="AK400" s="140"/>
      <c r="AL400" s="140"/>
      <c r="AM400" s="140"/>
      <c r="AN400" s="140"/>
      <c r="AO400" s="140"/>
      <c r="AP400" s="140"/>
      <c r="AQ400" s="140"/>
      <c r="AR400" s="140"/>
      <c r="AS400" s="140"/>
    </row>
    <row r="401">
      <c r="A401" s="149"/>
      <c r="B401" s="140"/>
      <c r="C401" s="140"/>
      <c r="D401" s="140"/>
      <c r="E401" s="140"/>
      <c r="F401" s="140"/>
      <c r="G401" s="140"/>
      <c r="H401" s="140"/>
      <c r="I401" s="140"/>
      <c r="J401" s="140"/>
      <c r="K401" s="140"/>
      <c r="L401" s="140"/>
      <c r="M401" s="140"/>
      <c r="N401" s="140"/>
      <c r="O401" s="140"/>
      <c r="P401" s="140"/>
      <c r="Q401" s="140"/>
      <c r="R401" s="140"/>
      <c r="S401" s="150"/>
      <c r="T401" s="150"/>
      <c r="U401" s="140"/>
      <c r="V401" s="140"/>
      <c r="W401" s="140"/>
      <c r="X401" s="140"/>
      <c r="Y401" s="140"/>
      <c r="Z401" s="140"/>
      <c r="AA401" s="140"/>
      <c r="AB401" s="140"/>
      <c r="AC401" s="140"/>
      <c r="AD401" s="140"/>
      <c r="AE401" s="140"/>
      <c r="AF401" s="140"/>
      <c r="AG401" s="140"/>
      <c r="AH401" s="140"/>
      <c r="AI401" s="140"/>
      <c r="AJ401" s="140"/>
      <c r="AK401" s="140"/>
      <c r="AL401" s="140"/>
      <c r="AM401" s="140"/>
      <c r="AN401" s="140"/>
      <c r="AO401" s="140"/>
      <c r="AP401" s="140"/>
      <c r="AQ401" s="140"/>
      <c r="AR401" s="140"/>
      <c r="AS401" s="140"/>
    </row>
    <row r="402">
      <c r="A402" s="149"/>
      <c r="B402" s="140"/>
      <c r="C402" s="140"/>
      <c r="D402" s="140"/>
      <c r="E402" s="140"/>
      <c r="F402" s="140"/>
      <c r="G402" s="140"/>
      <c r="H402" s="140"/>
      <c r="I402" s="140"/>
      <c r="J402" s="140"/>
      <c r="K402" s="140"/>
      <c r="L402" s="140"/>
      <c r="M402" s="140"/>
      <c r="N402" s="140"/>
      <c r="O402" s="140"/>
      <c r="P402" s="140"/>
      <c r="Q402" s="140"/>
      <c r="R402" s="140"/>
      <c r="S402" s="150"/>
      <c r="T402" s="150"/>
      <c r="U402" s="140"/>
      <c r="V402" s="140"/>
      <c r="W402" s="140"/>
      <c r="X402" s="140"/>
      <c r="Y402" s="140"/>
      <c r="Z402" s="140"/>
      <c r="AA402" s="140"/>
      <c r="AB402" s="140"/>
      <c r="AC402" s="140"/>
      <c r="AD402" s="140"/>
      <c r="AE402" s="140"/>
      <c r="AF402" s="140"/>
      <c r="AG402" s="140"/>
      <c r="AH402" s="140"/>
      <c r="AI402" s="140"/>
      <c r="AJ402" s="140"/>
      <c r="AK402" s="140"/>
      <c r="AL402" s="140"/>
      <c r="AM402" s="140"/>
      <c r="AN402" s="140"/>
      <c r="AO402" s="140"/>
      <c r="AP402" s="140"/>
      <c r="AQ402" s="140"/>
      <c r="AR402" s="140"/>
      <c r="AS402" s="140"/>
    </row>
    <row r="403">
      <c r="A403" s="149"/>
      <c r="B403" s="140"/>
      <c r="C403" s="140"/>
      <c r="D403" s="140"/>
      <c r="E403" s="140"/>
      <c r="F403" s="140"/>
      <c r="G403" s="140"/>
      <c r="H403" s="140"/>
      <c r="I403" s="140"/>
      <c r="J403" s="140"/>
      <c r="K403" s="140"/>
      <c r="L403" s="140"/>
      <c r="M403" s="140"/>
      <c r="N403" s="140"/>
      <c r="O403" s="140"/>
      <c r="P403" s="140"/>
      <c r="Q403" s="140"/>
      <c r="R403" s="140"/>
      <c r="S403" s="150"/>
      <c r="T403" s="150"/>
      <c r="U403" s="140"/>
      <c r="V403" s="140"/>
      <c r="W403" s="140"/>
      <c r="X403" s="140"/>
      <c r="Y403" s="140"/>
      <c r="Z403" s="140"/>
      <c r="AA403" s="140"/>
      <c r="AB403" s="140"/>
      <c r="AC403" s="140"/>
      <c r="AD403" s="140"/>
      <c r="AE403" s="140"/>
      <c r="AF403" s="140"/>
      <c r="AG403" s="140"/>
      <c r="AH403" s="140"/>
      <c r="AI403" s="140"/>
      <c r="AJ403" s="140"/>
      <c r="AK403" s="140"/>
      <c r="AL403" s="140"/>
      <c r="AM403" s="140"/>
      <c r="AN403" s="140"/>
      <c r="AO403" s="140"/>
      <c r="AP403" s="140"/>
      <c r="AQ403" s="140"/>
      <c r="AR403" s="140"/>
      <c r="AS403" s="140"/>
    </row>
    <row r="404">
      <c r="A404" s="149"/>
      <c r="B404" s="140"/>
      <c r="C404" s="140"/>
      <c r="D404" s="140"/>
      <c r="E404" s="140"/>
      <c r="F404" s="140"/>
      <c r="G404" s="140"/>
      <c r="H404" s="140"/>
      <c r="I404" s="140"/>
      <c r="J404" s="140"/>
      <c r="K404" s="140"/>
      <c r="L404" s="140"/>
      <c r="M404" s="140"/>
      <c r="N404" s="140"/>
      <c r="O404" s="140"/>
      <c r="P404" s="140"/>
      <c r="Q404" s="140"/>
      <c r="R404" s="140"/>
      <c r="S404" s="150"/>
      <c r="T404" s="150"/>
      <c r="U404" s="140"/>
      <c r="V404" s="140"/>
      <c r="W404" s="140"/>
      <c r="X404" s="140"/>
      <c r="Y404" s="140"/>
      <c r="Z404" s="140"/>
      <c r="AA404" s="140"/>
      <c r="AB404" s="140"/>
      <c r="AC404" s="140"/>
      <c r="AD404" s="140"/>
      <c r="AE404" s="140"/>
      <c r="AF404" s="140"/>
      <c r="AG404" s="140"/>
      <c r="AH404" s="140"/>
      <c r="AI404" s="140"/>
      <c r="AJ404" s="140"/>
      <c r="AK404" s="140"/>
      <c r="AL404" s="140"/>
      <c r="AM404" s="140"/>
      <c r="AN404" s="140"/>
      <c r="AO404" s="140"/>
      <c r="AP404" s="140"/>
      <c r="AQ404" s="140"/>
      <c r="AR404" s="140"/>
      <c r="AS404" s="140"/>
    </row>
    <row r="405">
      <c r="A405" s="149"/>
      <c r="B405" s="140"/>
      <c r="C405" s="140"/>
      <c r="D405" s="140"/>
      <c r="E405" s="140"/>
      <c r="F405" s="140"/>
      <c r="G405" s="140"/>
      <c r="H405" s="140"/>
      <c r="I405" s="140"/>
      <c r="J405" s="140"/>
      <c r="K405" s="140"/>
      <c r="L405" s="140"/>
      <c r="M405" s="140"/>
      <c r="N405" s="140"/>
      <c r="O405" s="140"/>
      <c r="P405" s="140"/>
      <c r="Q405" s="140"/>
      <c r="R405" s="140"/>
      <c r="S405" s="150"/>
      <c r="T405" s="150"/>
      <c r="U405" s="140"/>
      <c r="V405" s="140"/>
      <c r="W405" s="140"/>
      <c r="X405" s="140"/>
      <c r="Y405" s="140"/>
      <c r="Z405" s="140"/>
      <c r="AA405" s="140"/>
      <c r="AB405" s="140"/>
      <c r="AC405" s="140"/>
      <c r="AD405" s="140"/>
      <c r="AE405" s="140"/>
      <c r="AF405" s="140"/>
      <c r="AG405" s="140"/>
      <c r="AH405" s="140"/>
      <c r="AI405" s="140"/>
      <c r="AJ405" s="140"/>
      <c r="AK405" s="140"/>
      <c r="AL405" s="140"/>
      <c r="AM405" s="140"/>
      <c r="AN405" s="140"/>
      <c r="AO405" s="140"/>
      <c r="AP405" s="140"/>
      <c r="AQ405" s="140"/>
      <c r="AR405" s="140"/>
      <c r="AS405" s="140"/>
    </row>
    <row r="406">
      <c r="A406" s="149"/>
      <c r="B406" s="140"/>
      <c r="C406" s="140"/>
      <c r="D406" s="140"/>
      <c r="E406" s="140"/>
      <c r="F406" s="140"/>
      <c r="G406" s="140"/>
      <c r="H406" s="140"/>
      <c r="I406" s="140"/>
      <c r="J406" s="140"/>
      <c r="K406" s="140"/>
      <c r="L406" s="140"/>
      <c r="M406" s="140"/>
      <c r="N406" s="140"/>
      <c r="O406" s="140"/>
      <c r="P406" s="140"/>
      <c r="Q406" s="140"/>
      <c r="R406" s="140"/>
      <c r="S406" s="150"/>
      <c r="T406" s="150"/>
      <c r="U406" s="140"/>
      <c r="V406" s="140"/>
      <c r="W406" s="140"/>
      <c r="X406" s="140"/>
      <c r="Y406" s="140"/>
      <c r="Z406" s="140"/>
      <c r="AA406" s="140"/>
      <c r="AB406" s="140"/>
      <c r="AC406" s="140"/>
      <c r="AD406" s="140"/>
      <c r="AE406" s="140"/>
      <c r="AF406" s="140"/>
      <c r="AG406" s="140"/>
      <c r="AH406" s="140"/>
      <c r="AI406" s="140"/>
      <c r="AJ406" s="140"/>
      <c r="AK406" s="140"/>
      <c r="AL406" s="140"/>
      <c r="AM406" s="140"/>
      <c r="AN406" s="140"/>
      <c r="AO406" s="140"/>
      <c r="AP406" s="140"/>
      <c r="AQ406" s="140"/>
      <c r="AR406" s="140"/>
      <c r="AS406" s="140"/>
    </row>
    <row r="407">
      <c r="A407" s="149"/>
      <c r="B407" s="140"/>
      <c r="C407" s="140"/>
      <c r="D407" s="140"/>
      <c r="E407" s="140"/>
      <c r="F407" s="140"/>
      <c r="G407" s="140"/>
      <c r="H407" s="140"/>
      <c r="I407" s="140"/>
      <c r="J407" s="140"/>
      <c r="K407" s="140"/>
      <c r="L407" s="140"/>
      <c r="M407" s="140"/>
      <c r="N407" s="140"/>
      <c r="O407" s="140"/>
      <c r="P407" s="140"/>
      <c r="Q407" s="140"/>
      <c r="R407" s="140"/>
      <c r="S407" s="150"/>
      <c r="T407" s="150"/>
      <c r="U407" s="140"/>
      <c r="V407" s="140"/>
      <c r="W407" s="140"/>
      <c r="X407" s="140"/>
      <c r="Y407" s="140"/>
      <c r="Z407" s="140"/>
      <c r="AA407" s="140"/>
      <c r="AB407" s="140"/>
      <c r="AC407" s="140"/>
      <c r="AD407" s="140"/>
      <c r="AE407" s="140"/>
      <c r="AF407" s="140"/>
      <c r="AG407" s="140"/>
      <c r="AH407" s="140"/>
      <c r="AI407" s="140"/>
      <c r="AJ407" s="140"/>
      <c r="AK407" s="140"/>
      <c r="AL407" s="140"/>
      <c r="AM407" s="140"/>
      <c r="AN407" s="140"/>
      <c r="AO407" s="140"/>
      <c r="AP407" s="140"/>
      <c r="AQ407" s="140"/>
      <c r="AR407" s="140"/>
      <c r="AS407" s="140"/>
    </row>
    <row r="408">
      <c r="A408" s="149"/>
      <c r="B408" s="140"/>
      <c r="C408" s="140"/>
      <c r="D408" s="140"/>
      <c r="E408" s="140"/>
      <c r="F408" s="140"/>
      <c r="G408" s="140"/>
      <c r="H408" s="140"/>
      <c r="I408" s="140"/>
      <c r="J408" s="140"/>
      <c r="K408" s="140"/>
      <c r="L408" s="140"/>
      <c r="M408" s="140"/>
      <c r="N408" s="140"/>
      <c r="O408" s="140"/>
      <c r="P408" s="140"/>
      <c r="Q408" s="140"/>
      <c r="R408" s="140"/>
      <c r="S408" s="150"/>
      <c r="T408" s="150"/>
      <c r="U408" s="140"/>
      <c r="V408" s="140"/>
      <c r="W408" s="140"/>
      <c r="X408" s="140"/>
      <c r="Y408" s="140"/>
      <c r="Z408" s="140"/>
      <c r="AA408" s="140"/>
      <c r="AB408" s="140"/>
      <c r="AC408" s="140"/>
      <c r="AD408" s="140"/>
      <c r="AE408" s="140"/>
      <c r="AF408" s="140"/>
      <c r="AG408" s="140"/>
      <c r="AH408" s="140"/>
      <c r="AI408" s="140"/>
      <c r="AJ408" s="140"/>
      <c r="AK408" s="140"/>
      <c r="AL408" s="140"/>
      <c r="AM408" s="140"/>
      <c r="AN408" s="140"/>
      <c r="AO408" s="140"/>
      <c r="AP408" s="140"/>
      <c r="AQ408" s="140"/>
      <c r="AR408" s="140"/>
      <c r="AS408" s="140"/>
    </row>
    <row r="409">
      <c r="A409" s="149"/>
      <c r="B409" s="140"/>
      <c r="C409" s="140"/>
      <c r="D409" s="140"/>
      <c r="E409" s="140"/>
      <c r="F409" s="140"/>
      <c r="G409" s="140"/>
      <c r="H409" s="140"/>
      <c r="I409" s="140"/>
      <c r="J409" s="140"/>
      <c r="K409" s="140"/>
      <c r="L409" s="140"/>
      <c r="M409" s="140"/>
      <c r="N409" s="140"/>
      <c r="O409" s="140"/>
      <c r="P409" s="140"/>
      <c r="Q409" s="140"/>
      <c r="R409" s="140"/>
      <c r="S409" s="150"/>
      <c r="T409" s="150"/>
      <c r="U409" s="140"/>
      <c r="V409" s="140"/>
      <c r="W409" s="140"/>
      <c r="X409" s="140"/>
      <c r="Y409" s="140"/>
      <c r="Z409" s="140"/>
      <c r="AA409" s="140"/>
      <c r="AB409" s="140"/>
      <c r="AC409" s="140"/>
      <c r="AD409" s="140"/>
      <c r="AE409" s="140"/>
      <c r="AF409" s="140"/>
      <c r="AG409" s="140"/>
      <c r="AH409" s="140"/>
      <c r="AI409" s="140"/>
      <c r="AJ409" s="140"/>
      <c r="AK409" s="140"/>
      <c r="AL409" s="140"/>
      <c r="AM409" s="140"/>
      <c r="AN409" s="140"/>
      <c r="AO409" s="140"/>
      <c r="AP409" s="140"/>
      <c r="AQ409" s="140"/>
      <c r="AR409" s="140"/>
      <c r="AS409" s="140"/>
    </row>
    <row r="410">
      <c r="A410" s="149"/>
      <c r="B410" s="140"/>
      <c r="C410" s="140"/>
      <c r="D410" s="140"/>
      <c r="E410" s="140"/>
      <c r="F410" s="140"/>
      <c r="G410" s="140"/>
      <c r="H410" s="140"/>
      <c r="I410" s="140"/>
      <c r="J410" s="140"/>
      <c r="K410" s="140"/>
      <c r="L410" s="140"/>
      <c r="M410" s="140"/>
      <c r="N410" s="140"/>
      <c r="O410" s="140"/>
      <c r="P410" s="140"/>
      <c r="Q410" s="140"/>
      <c r="R410" s="140"/>
      <c r="S410" s="150"/>
      <c r="T410" s="150"/>
      <c r="U410" s="140"/>
      <c r="V410" s="140"/>
      <c r="W410" s="140"/>
      <c r="X410" s="140"/>
      <c r="Y410" s="140"/>
      <c r="Z410" s="140"/>
      <c r="AA410" s="140"/>
      <c r="AB410" s="140"/>
      <c r="AC410" s="140"/>
      <c r="AD410" s="140"/>
      <c r="AE410" s="140"/>
      <c r="AF410" s="140"/>
      <c r="AG410" s="140"/>
      <c r="AH410" s="140"/>
      <c r="AI410" s="140"/>
      <c r="AJ410" s="140"/>
      <c r="AK410" s="140"/>
      <c r="AL410" s="140"/>
      <c r="AM410" s="140"/>
      <c r="AN410" s="140"/>
      <c r="AO410" s="140"/>
      <c r="AP410" s="140"/>
      <c r="AQ410" s="140"/>
      <c r="AR410" s="140"/>
      <c r="AS410" s="140"/>
    </row>
    <row r="411">
      <c r="A411" s="149"/>
      <c r="B411" s="140"/>
      <c r="C411" s="140"/>
      <c r="D411" s="140"/>
      <c r="E411" s="140"/>
      <c r="F411" s="140"/>
      <c r="G411" s="140"/>
      <c r="H411" s="140"/>
      <c r="I411" s="140"/>
      <c r="J411" s="140"/>
      <c r="K411" s="140"/>
      <c r="L411" s="140"/>
      <c r="M411" s="140"/>
      <c r="N411" s="140"/>
      <c r="O411" s="140"/>
      <c r="P411" s="140"/>
      <c r="Q411" s="140"/>
      <c r="R411" s="140"/>
      <c r="S411" s="150"/>
      <c r="T411" s="150"/>
      <c r="U411" s="140"/>
      <c r="V411" s="140"/>
      <c r="W411" s="140"/>
      <c r="X411" s="140"/>
      <c r="Y411" s="140"/>
      <c r="Z411" s="140"/>
      <c r="AA411" s="140"/>
      <c r="AB411" s="140"/>
      <c r="AC411" s="140"/>
      <c r="AD411" s="140"/>
      <c r="AE411" s="140"/>
      <c r="AF411" s="140"/>
      <c r="AG411" s="140"/>
      <c r="AH411" s="140"/>
      <c r="AI411" s="140"/>
      <c r="AJ411" s="140"/>
      <c r="AK411" s="140"/>
      <c r="AL411" s="140"/>
      <c r="AM411" s="140"/>
      <c r="AN411" s="140"/>
      <c r="AO411" s="140"/>
      <c r="AP411" s="140"/>
      <c r="AQ411" s="140"/>
      <c r="AR411" s="140"/>
      <c r="AS411" s="140"/>
    </row>
    <row r="412">
      <c r="A412" s="149"/>
      <c r="B412" s="140"/>
      <c r="C412" s="140"/>
      <c r="D412" s="140"/>
      <c r="E412" s="140"/>
      <c r="F412" s="140"/>
      <c r="G412" s="140"/>
      <c r="H412" s="140"/>
      <c r="I412" s="140"/>
      <c r="J412" s="140"/>
      <c r="K412" s="140"/>
      <c r="L412" s="140"/>
      <c r="M412" s="140"/>
      <c r="N412" s="140"/>
      <c r="O412" s="140"/>
      <c r="P412" s="140"/>
      <c r="Q412" s="140"/>
      <c r="R412" s="140"/>
      <c r="S412" s="150"/>
      <c r="T412" s="150"/>
      <c r="U412" s="140"/>
      <c r="V412" s="140"/>
      <c r="W412" s="140"/>
      <c r="X412" s="140"/>
      <c r="Y412" s="140"/>
      <c r="Z412" s="140"/>
      <c r="AA412" s="140"/>
      <c r="AB412" s="140"/>
      <c r="AC412" s="140"/>
      <c r="AD412" s="140"/>
      <c r="AE412" s="140"/>
      <c r="AF412" s="140"/>
      <c r="AG412" s="140"/>
      <c r="AH412" s="140"/>
      <c r="AI412" s="140"/>
      <c r="AJ412" s="140"/>
      <c r="AK412" s="140"/>
      <c r="AL412" s="140"/>
      <c r="AM412" s="140"/>
      <c r="AN412" s="140"/>
      <c r="AO412" s="140"/>
      <c r="AP412" s="140"/>
      <c r="AQ412" s="140"/>
      <c r="AR412" s="140"/>
      <c r="AS412" s="140"/>
    </row>
    <row r="413">
      <c r="A413" s="149"/>
      <c r="B413" s="140"/>
      <c r="C413" s="140"/>
      <c r="D413" s="140"/>
      <c r="E413" s="140"/>
      <c r="F413" s="140"/>
      <c r="G413" s="140"/>
      <c r="H413" s="140"/>
      <c r="I413" s="140"/>
      <c r="J413" s="140"/>
      <c r="K413" s="140"/>
      <c r="L413" s="140"/>
      <c r="M413" s="140"/>
      <c r="N413" s="140"/>
      <c r="O413" s="140"/>
      <c r="P413" s="140"/>
      <c r="Q413" s="140"/>
      <c r="R413" s="140"/>
      <c r="S413" s="150"/>
      <c r="T413" s="150"/>
      <c r="U413" s="140"/>
      <c r="V413" s="140"/>
      <c r="W413" s="140"/>
      <c r="X413" s="140"/>
      <c r="Y413" s="140"/>
      <c r="Z413" s="140"/>
      <c r="AA413" s="140"/>
      <c r="AB413" s="140"/>
      <c r="AC413" s="140"/>
      <c r="AD413" s="140"/>
      <c r="AE413" s="140"/>
      <c r="AF413" s="140"/>
      <c r="AG413" s="140"/>
      <c r="AH413" s="140"/>
      <c r="AI413" s="140"/>
      <c r="AJ413" s="140"/>
      <c r="AK413" s="140"/>
      <c r="AL413" s="140"/>
      <c r="AM413" s="140"/>
      <c r="AN413" s="140"/>
      <c r="AO413" s="140"/>
      <c r="AP413" s="140"/>
      <c r="AQ413" s="140"/>
      <c r="AR413" s="140"/>
      <c r="AS413" s="140"/>
    </row>
    <row r="414">
      <c r="A414" s="149"/>
      <c r="B414" s="140"/>
      <c r="C414" s="140"/>
      <c r="D414" s="140"/>
      <c r="E414" s="140"/>
      <c r="F414" s="140"/>
      <c r="G414" s="140"/>
      <c r="H414" s="140"/>
      <c r="I414" s="140"/>
      <c r="J414" s="140"/>
      <c r="K414" s="140"/>
      <c r="L414" s="140"/>
      <c r="M414" s="140"/>
      <c r="N414" s="140"/>
      <c r="O414" s="140"/>
      <c r="P414" s="140"/>
      <c r="Q414" s="140"/>
      <c r="R414" s="140"/>
      <c r="S414" s="150"/>
      <c r="T414" s="150"/>
      <c r="U414" s="140"/>
      <c r="V414" s="140"/>
      <c r="W414" s="140"/>
      <c r="X414" s="140"/>
      <c r="Y414" s="140"/>
      <c r="Z414" s="140"/>
      <c r="AA414" s="140"/>
      <c r="AB414" s="140"/>
      <c r="AC414" s="140"/>
      <c r="AD414" s="140"/>
      <c r="AE414" s="140"/>
      <c r="AF414" s="140"/>
      <c r="AG414" s="140"/>
      <c r="AH414" s="140"/>
      <c r="AI414" s="140"/>
      <c r="AJ414" s="140"/>
      <c r="AK414" s="140"/>
      <c r="AL414" s="140"/>
      <c r="AM414" s="140"/>
      <c r="AN414" s="140"/>
      <c r="AO414" s="140"/>
      <c r="AP414" s="140"/>
      <c r="AQ414" s="140"/>
      <c r="AR414" s="140"/>
      <c r="AS414" s="140"/>
    </row>
    <row r="415">
      <c r="A415" s="149"/>
      <c r="B415" s="140"/>
      <c r="C415" s="140"/>
      <c r="D415" s="140"/>
      <c r="E415" s="140"/>
      <c r="F415" s="140"/>
      <c r="G415" s="140"/>
      <c r="H415" s="140"/>
      <c r="I415" s="140"/>
      <c r="J415" s="140"/>
      <c r="K415" s="140"/>
      <c r="L415" s="140"/>
      <c r="M415" s="140"/>
      <c r="N415" s="140"/>
      <c r="O415" s="140"/>
      <c r="P415" s="140"/>
      <c r="Q415" s="140"/>
      <c r="R415" s="140"/>
      <c r="S415" s="150"/>
      <c r="T415" s="150"/>
      <c r="U415" s="140"/>
      <c r="V415" s="140"/>
      <c r="W415" s="140"/>
      <c r="X415" s="140"/>
      <c r="Y415" s="140"/>
      <c r="Z415" s="140"/>
      <c r="AA415" s="140"/>
      <c r="AB415" s="140"/>
      <c r="AC415" s="140"/>
      <c r="AD415" s="140"/>
      <c r="AE415" s="140"/>
      <c r="AF415" s="140"/>
      <c r="AG415" s="140"/>
      <c r="AH415" s="140"/>
      <c r="AI415" s="140"/>
      <c r="AJ415" s="140"/>
      <c r="AK415" s="140"/>
      <c r="AL415" s="140"/>
      <c r="AM415" s="140"/>
      <c r="AN415" s="140"/>
      <c r="AO415" s="140"/>
      <c r="AP415" s="140"/>
      <c r="AQ415" s="140"/>
      <c r="AR415" s="140"/>
      <c r="AS415" s="140"/>
    </row>
    <row r="416">
      <c r="A416" s="149"/>
      <c r="B416" s="140"/>
      <c r="C416" s="140"/>
      <c r="D416" s="140"/>
      <c r="E416" s="140"/>
      <c r="F416" s="140"/>
      <c r="G416" s="140"/>
      <c r="H416" s="140"/>
      <c r="I416" s="140"/>
      <c r="J416" s="140"/>
      <c r="K416" s="140"/>
      <c r="L416" s="140"/>
      <c r="M416" s="140"/>
      <c r="N416" s="140"/>
      <c r="O416" s="140"/>
      <c r="P416" s="140"/>
      <c r="Q416" s="140"/>
      <c r="R416" s="140"/>
      <c r="S416" s="150"/>
      <c r="T416" s="150"/>
      <c r="U416" s="140"/>
      <c r="V416" s="140"/>
      <c r="W416" s="140"/>
      <c r="X416" s="140"/>
      <c r="Y416" s="140"/>
      <c r="Z416" s="140"/>
      <c r="AA416" s="140"/>
      <c r="AB416" s="140"/>
      <c r="AC416" s="140"/>
      <c r="AD416" s="140"/>
      <c r="AE416" s="140"/>
      <c r="AF416" s="140"/>
      <c r="AG416" s="140"/>
      <c r="AH416" s="140"/>
      <c r="AI416" s="140"/>
      <c r="AJ416" s="140"/>
      <c r="AK416" s="140"/>
      <c r="AL416" s="140"/>
      <c r="AM416" s="140"/>
      <c r="AN416" s="140"/>
      <c r="AO416" s="140"/>
      <c r="AP416" s="140"/>
      <c r="AQ416" s="140"/>
      <c r="AR416" s="140"/>
      <c r="AS416" s="140"/>
    </row>
    <row r="417">
      <c r="A417" s="149"/>
      <c r="B417" s="140"/>
      <c r="C417" s="140"/>
      <c r="D417" s="140"/>
      <c r="E417" s="140"/>
      <c r="F417" s="140"/>
      <c r="G417" s="140"/>
      <c r="H417" s="140"/>
      <c r="I417" s="140"/>
      <c r="J417" s="140"/>
      <c r="K417" s="140"/>
      <c r="L417" s="140"/>
      <c r="M417" s="140"/>
      <c r="N417" s="140"/>
      <c r="O417" s="140"/>
      <c r="P417" s="140"/>
      <c r="Q417" s="140"/>
      <c r="R417" s="140"/>
      <c r="S417" s="150"/>
      <c r="T417" s="150"/>
      <c r="U417" s="140"/>
      <c r="V417" s="140"/>
      <c r="W417" s="140"/>
      <c r="X417" s="140"/>
      <c r="Y417" s="140"/>
      <c r="Z417" s="140"/>
      <c r="AA417" s="140"/>
      <c r="AB417" s="140"/>
      <c r="AC417" s="140"/>
      <c r="AD417" s="140"/>
      <c r="AE417" s="140"/>
      <c r="AF417" s="140"/>
      <c r="AG417" s="140"/>
      <c r="AH417" s="140"/>
      <c r="AI417" s="140"/>
      <c r="AJ417" s="140"/>
      <c r="AK417" s="140"/>
      <c r="AL417" s="140"/>
      <c r="AM417" s="140"/>
      <c r="AN417" s="140"/>
      <c r="AO417" s="140"/>
      <c r="AP417" s="140"/>
      <c r="AQ417" s="140"/>
      <c r="AR417" s="140"/>
      <c r="AS417" s="140"/>
    </row>
    <row r="418">
      <c r="A418" s="149"/>
      <c r="B418" s="140"/>
      <c r="C418" s="140"/>
      <c r="D418" s="140"/>
      <c r="E418" s="140"/>
      <c r="F418" s="140"/>
      <c r="G418" s="140"/>
      <c r="H418" s="140"/>
      <c r="I418" s="140"/>
      <c r="J418" s="140"/>
      <c r="K418" s="140"/>
      <c r="L418" s="140"/>
      <c r="M418" s="140"/>
      <c r="N418" s="140"/>
      <c r="O418" s="140"/>
      <c r="P418" s="140"/>
      <c r="Q418" s="140"/>
      <c r="R418" s="140"/>
      <c r="S418" s="150"/>
      <c r="T418" s="150"/>
      <c r="U418" s="140"/>
      <c r="V418" s="140"/>
      <c r="W418" s="140"/>
      <c r="X418" s="140"/>
      <c r="Y418" s="140"/>
      <c r="Z418" s="140"/>
      <c r="AA418" s="140"/>
      <c r="AB418" s="140"/>
      <c r="AC418" s="140"/>
      <c r="AD418" s="140"/>
      <c r="AE418" s="140"/>
      <c r="AF418" s="140"/>
      <c r="AG418" s="140"/>
      <c r="AH418" s="140"/>
      <c r="AI418" s="140"/>
      <c r="AJ418" s="140"/>
      <c r="AK418" s="140"/>
      <c r="AL418" s="140"/>
      <c r="AM418" s="140"/>
      <c r="AN418" s="140"/>
      <c r="AO418" s="140"/>
      <c r="AP418" s="140"/>
      <c r="AQ418" s="140"/>
      <c r="AR418" s="140"/>
      <c r="AS418" s="140"/>
    </row>
    <row r="419">
      <c r="A419" s="149"/>
      <c r="B419" s="140"/>
      <c r="C419" s="140"/>
      <c r="D419" s="140"/>
      <c r="E419" s="140"/>
      <c r="F419" s="140"/>
      <c r="G419" s="140"/>
      <c r="H419" s="140"/>
      <c r="I419" s="140"/>
      <c r="J419" s="140"/>
      <c r="K419" s="140"/>
      <c r="L419" s="140"/>
      <c r="M419" s="140"/>
      <c r="N419" s="140"/>
      <c r="O419" s="140"/>
      <c r="P419" s="140"/>
      <c r="Q419" s="140"/>
      <c r="R419" s="140"/>
      <c r="S419" s="150"/>
      <c r="T419" s="150"/>
      <c r="U419" s="140"/>
      <c r="V419" s="140"/>
      <c r="W419" s="140"/>
      <c r="X419" s="140"/>
      <c r="Y419" s="140"/>
      <c r="Z419" s="140"/>
      <c r="AA419" s="140"/>
      <c r="AB419" s="140"/>
      <c r="AC419" s="140"/>
      <c r="AD419" s="140"/>
      <c r="AE419" s="140"/>
      <c r="AF419" s="140"/>
      <c r="AG419" s="140"/>
      <c r="AH419" s="140"/>
      <c r="AI419" s="140"/>
      <c r="AJ419" s="140"/>
      <c r="AK419" s="140"/>
      <c r="AL419" s="140"/>
      <c r="AM419" s="140"/>
      <c r="AN419" s="140"/>
      <c r="AO419" s="140"/>
      <c r="AP419" s="140"/>
      <c r="AQ419" s="140"/>
      <c r="AR419" s="140"/>
      <c r="AS419" s="140"/>
    </row>
    <row r="420">
      <c r="A420" s="149"/>
      <c r="B420" s="140"/>
      <c r="C420" s="140"/>
      <c r="D420" s="140"/>
      <c r="E420" s="140"/>
      <c r="F420" s="140"/>
      <c r="G420" s="140"/>
      <c r="H420" s="140"/>
      <c r="I420" s="140"/>
      <c r="J420" s="140"/>
      <c r="K420" s="140"/>
      <c r="L420" s="140"/>
      <c r="M420" s="140"/>
      <c r="N420" s="140"/>
      <c r="O420" s="140"/>
      <c r="P420" s="140"/>
      <c r="Q420" s="140"/>
      <c r="R420" s="140"/>
      <c r="S420" s="150"/>
      <c r="T420" s="150"/>
      <c r="U420" s="140"/>
      <c r="V420" s="140"/>
      <c r="W420" s="140"/>
      <c r="X420" s="140"/>
      <c r="Y420" s="140"/>
      <c r="Z420" s="140"/>
      <c r="AA420" s="140"/>
      <c r="AB420" s="140"/>
      <c r="AC420" s="140"/>
      <c r="AD420" s="140"/>
      <c r="AE420" s="140"/>
      <c r="AF420" s="140"/>
      <c r="AG420" s="140"/>
      <c r="AH420" s="140"/>
      <c r="AI420" s="140"/>
      <c r="AJ420" s="140"/>
      <c r="AK420" s="140"/>
      <c r="AL420" s="140"/>
      <c r="AM420" s="140"/>
      <c r="AN420" s="140"/>
      <c r="AO420" s="140"/>
      <c r="AP420" s="140"/>
      <c r="AQ420" s="140"/>
      <c r="AR420" s="140"/>
      <c r="AS420" s="140"/>
    </row>
    <row r="421">
      <c r="A421" s="149"/>
      <c r="B421" s="140"/>
      <c r="C421" s="140"/>
      <c r="D421" s="140"/>
      <c r="E421" s="140"/>
      <c r="F421" s="140"/>
      <c r="G421" s="140"/>
      <c r="H421" s="140"/>
      <c r="I421" s="140"/>
      <c r="J421" s="140"/>
      <c r="K421" s="140"/>
      <c r="L421" s="140"/>
      <c r="M421" s="140"/>
      <c r="N421" s="140"/>
      <c r="O421" s="140"/>
      <c r="P421" s="140"/>
      <c r="Q421" s="140"/>
      <c r="R421" s="140"/>
      <c r="S421" s="150"/>
      <c r="T421" s="150"/>
      <c r="U421" s="140"/>
      <c r="V421" s="140"/>
      <c r="W421" s="140"/>
      <c r="X421" s="140"/>
      <c r="Y421" s="140"/>
      <c r="Z421" s="140"/>
      <c r="AA421" s="140"/>
      <c r="AB421" s="140"/>
      <c r="AC421" s="140"/>
      <c r="AD421" s="140"/>
      <c r="AE421" s="140"/>
      <c r="AF421" s="140"/>
      <c r="AG421" s="140"/>
      <c r="AH421" s="140"/>
      <c r="AI421" s="140"/>
      <c r="AJ421" s="140"/>
      <c r="AK421" s="140"/>
      <c r="AL421" s="140"/>
      <c r="AM421" s="140"/>
      <c r="AN421" s="140"/>
      <c r="AO421" s="140"/>
      <c r="AP421" s="140"/>
      <c r="AQ421" s="140"/>
      <c r="AR421" s="140"/>
      <c r="AS421" s="140"/>
    </row>
    <row r="422">
      <c r="A422" s="149"/>
      <c r="B422" s="140"/>
      <c r="C422" s="140"/>
      <c r="D422" s="140"/>
      <c r="E422" s="140"/>
      <c r="F422" s="140"/>
      <c r="G422" s="140"/>
      <c r="H422" s="140"/>
      <c r="I422" s="140"/>
      <c r="J422" s="140"/>
      <c r="K422" s="140"/>
      <c r="L422" s="140"/>
      <c r="M422" s="140"/>
      <c r="N422" s="140"/>
      <c r="O422" s="140"/>
      <c r="P422" s="140"/>
      <c r="Q422" s="140"/>
      <c r="R422" s="140"/>
      <c r="S422" s="150"/>
      <c r="T422" s="150"/>
      <c r="U422" s="140"/>
      <c r="V422" s="140"/>
      <c r="W422" s="140"/>
      <c r="X422" s="140"/>
      <c r="Y422" s="140"/>
      <c r="Z422" s="140"/>
      <c r="AA422" s="140"/>
      <c r="AB422" s="140"/>
      <c r="AC422" s="140"/>
      <c r="AD422" s="140"/>
      <c r="AE422" s="140"/>
      <c r="AF422" s="140"/>
      <c r="AG422" s="140"/>
      <c r="AH422" s="140"/>
      <c r="AI422" s="140"/>
      <c r="AJ422" s="140"/>
      <c r="AK422" s="140"/>
      <c r="AL422" s="140"/>
      <c r="AM422" s="140"/>
      <c r="AN422" s="140"/>
      <c r="AO422" s="140"/>
      <c r="AP422" s="140"/>
      <c r="AQ422" s="140"/>
      <c r="AR422" s="140"/>
      <c r="AS422" s="140"/>
    </row>
    <row r="423">
      <c r="A423" s="149"/>
      <c r="B423" s="140"/>
      <c r="C423" s="140"/>
      <c r="D423" s="140"/>
      <c r="E423" s="140"/>
      <c r="F423" s="140"/>
      <c r="G423" s="140"/>
      <c r="H423" s="140"/>
      <c r="I423" s="140"/>
      <c r="J423" s="140"/>
      <c r="K423" s="140"/>
      <c r="L423" s="140"/>
      <c r="M423" s="140"/>
      <c r="N423" s="140"/>
      <c r="O423" s="140"/>
      <c r="P423" s="140"/>
      <c r="Q423" s="140"/>
      <c r="R423" s="140"/>
      <c r="S423" s="150"/>
      <c r="T423" s="150"/>
      <c r="U423" s="140"/>
      <c r="V423" s="140"/>
      <c r="W423" s="140"/>
      <c r="X423" s="140"/>
      <c r="Y423" s="140"/>
      <c r="Z423" s="140"/>
      <c r="AA423" s="140"/>
      <c r="AB423" s="140"/>
      <c r="AC423" s="140"/>
      <c r="AD423" s="140"/>
      <c r="AE423" s="140"/>
      <c r="AF423" s="140"/>
      <c r="AG423" s="140"/>
      <c r="AH423" s="140"/>
      <c r="AI423" s="140"/>
      <c r="AJ423" s="140"/>
      <c r="AK423" s="140"/>
      <c r="AL423" s="140"/>
      <c r="AM423" s="140"/>
      <c r="AN423" s="140"/>
      <c r="AO423" s="140"/>
      <c r="AP423" s="140"/>
      <c r="AQ423" s="140"/>
      <c r="AR423" s="140"/>
      <c r="AS423" s="140"/>
    </row>
    <row r="424">
      <c r="A424" s="149"/>
      <c r="B424" s="140"/>
      <c r="C424" s="140"/>
      <c r="D424" s="140"/>
      <c r="E424" s="140"/>
      <c r="F424" s="140"/>
      <c r="G424" s="140"/>
      <c r="H424" s="140"/>
      <c r="I424" s="140"/>
      <c r="J424" s="140"/>
      <c r="K424" s="140"/>
      <c r="L424" s="140"/>
      <c r="M424" s="140"/>
      <c r="N424" s="140"/>
      <c r="O424" s="140"/>
      <c r="P424" s="140"/>
      <c r="Q424" s="140"/>
      <c r="R424" s="140"/>
      <c r="S424" s="150"/>
      <c r="T424" s="15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row>
    <row r="425">
      <c r="A425" s="149"/>
      <c r="B425" s="140"/>
      <c r="C425" s="140"/>
      <c r="D425" s="140"/>
      <c r="E425" s="140"/>
      <c r="F425" s="140"/>
      <c r="G425" s="140"/>
      <c r="H425" s="140"/>
      <c r="I425" s="140"/>
      <c r="J425" s="140"/>
      <c r="K425" s="140"/>
      <c r="L425" s="140"/>
      <c r="M425" s="140"/>
      <c r="N425" s="140"/>
      <c r="O425" s="140"/>
      <c r="P425" s="140"/>
      <c r="Q425" s="140"/>
      <c r="R425" s="140"/>
      <c r="S425" s="150"/>
      <c r="T425" s="150"/>
      <c r="U425" s="140"/>
      <c r="V425" s="140"/>
      <c r="W425" s="140"/>
      <c r="X425" s="140"/>
      <c r="Y425" s="140"/>
      <c r="Z425" s="140"/>
      <c r="AA425" s="140"/>
      <c r="AB425" s="140"/>
      <c r="AC425" s="140"/>
      <c r="AD425" s="140"/>
      <c r="AE425" s="140"/>
      <c r="AF425" s="140"/>
      <c r="AG425" s="140"/>
      <c r="AH425" s="140"/>
      <c r="AI425" s="140"/>
      <c r="AJ425" s="140"/>
      <c r="AK425" s="140"/>
      <c r="AL425" s="140"/>
      <c r="AM425" s="140"/>
      <c r="AN425" s="140"/>
      <c r="AO425" s="140"/>
      <c r="AP425" s="140"/>
      <c r="AQ425" s="140"/>
      <c r="AR425" s="140"/>
      <c r="AS425" s="140"/>
    </row>
    <row r="426">
      <c r="A426" s="149"/>
      <c r="B426" s="140"/>
      <c r="C426" s="140"/>
      <c r="D426" s="140"/>
      <c r="E426" s="140"/>
      <c r="F426" s="140"/>
      <c r="G426" s="140"/>
      <c r="H426" s="140"/>
      <c r="I426" s="140"/>
      <c r="J426" s="140"/>
      <c r="K426" s="140"/>
      <c r="L426" s="140"/>
      <c r="M426" s="140"/>
      <c r="N426" s="140"/>
      <c r="O426" s="140"/>
      <c r="P426" s="140"/>
      <c r="Q426" s="140"/>
      <c r="R426" s="140"/>
      <c r="S426" s="150"/>
      <c r="T426" s="15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row>
    <row r="427">
      <c r="A427" s="149"/>
      <c r="B427" s="140"/>
      <c r="C427" s="140"/>
      <c r="D427" s="140"/>
      <c r="E427" s="140"/>
      <c r="F427" s="140"/>
      <c r="G427" s="140"/>
      <c r="H427" s="140"/>
      <c r="I427" s="140"/>
      <c r="J427" s="140"/>
      <c r="K427" s="140"/>
      <c r="L427" s="140"/>
      <c r="M427" s="140"/>
      <c r="N427" s="140"/>
      <c r="O427" s="140"/>
      <c r="P427" s="140"/>
      <c r="Q427" s="140"/>
      <c r="R427" s="140"/>
      <c r="S427" s="150"/>
      <c r="T427" s="150"/>
      <c r="U427" s="140"/>
      <c r="V427" s="140"/>
      <c r="W427" s="140"/>
      <c r="X427" s="140"/>
      <c r="Y427" s="140"/>
      <c r="Z427" s="140"/>
      <c r="AA427" s="140"/>
      <c r="AB427" s="140"/>
      <c r="AC427" s="140"/>
      <c r="AD427" s="140"/>
      <c r="AE427" s="140"/>
      <c r="AF427" s="140"/>
      <c r="AG427" s="140"/>
      <c r="AH427" s="140"/>
      <c r="AI427" s="140"/>
      <c r="AJ427" s="140"/>
      <c r="AK427" s="140"/>
      <c r="AL427" s="140"/>
      <c r="AM427" s="140"/>
      <c r="AN427" s="140"/>
      <c r="AO427" s="140"/>
      <c r="AP427" s="140"/>
      <c r="AQ427" s="140"/>
      <c r="AR427" s="140"/>
      <c r="AS427" s="140"/>
    </row>
    <row r="428">
      <c r="A428" s="149"/>
      <c r="B428" s="140"/>
      <c r="C428" s="140"/>
      <c r="D428" s="140"/>
      <c r="E428" s="140"/>
      <c r="F428" s="140"/>
      <c r="G428" s="140"/>
      <c r="H428" s="140"/>
      <c r="I428" s="140"/>
      <c r="J428" s="140"/>
      <c r="K428" s="140"/>
      <c r="L428" s="140"/>
      <c r="M428" s="140"/>
      <c r="N428" s="140"/>
      <c r="O428" s="140"/>
      <c r="P428" s="140"/>
      <c r="Q428" s="140"/>
      <c r="R428" s="140"/>
      <c r="S428" s="150"/>
      <c r="T428" s="150"/>
      <c r="U428" s="140"/>
      <c r="V428" s="140"/>
      <c r="W428" s="140"/>
      <c r="X428" s="140"/>
      <c r="Y428" s="140"/>
      <c r="Z428" s="140"/>
      <c r="AA428" s="140"/>
      <c r="AB428" s="140"/>
      <c r="AC428" s="140"/>
      <c r="AD428" s="140"/>
      <c r="AE428" s="140"/>
      <c r="AF428" s="140"/>
      <c r="AG428" s="140"/>
      <c r="AH428" s="140"/>
      <c r="AI428" s="140"/>
      <c r="AJ428" s="140"/>
      <c r="AK428" s="140"/>
      <c r="AL428" s="140"/>
      <c r="AM428" s="140"/>
      <c r="AN428" s="140"/>
      <c r="AO428" s="140"/>
      <c r="AP428" s="140"/>
      <c r="AQ428" s="140"/>
      <c r="AR428" s="140"/>
      <c r="AS428" s="140"/>
    </row>
    <row r="429">
      <c r="A429" s="149"/>
      <c r="B429" s="140"/>
      <c r="C429" s="140"/>
      <c r="D429" s="140"/>
      <c r="E429" s="140"/>
      <c r="F429" s="140"/>
      <c r="G429" s="140"/>
      <c r="H429" s="140"/>
      <c r="I429" s="140"/>
      <c r="J429" s="140"/>
      <c r="K429" s="140"/>
      <c r="L429" s="140"/>
      <c r="M429" s="140"/>
      <c r="N429" s="140"/>
      <c r="O429" s="140"/>
      <c r="P429" s="140"/>
      <c r="Q429" s="140"/>
      <c r="R429" s="140"/>
      <c r="S429" s="150"/>
      <c r="T429" s="150"/>
      <c r="U429" s="140"/>
      <c r="V429" s="140"/>
      <c r="W429" s="140"/>
      <c r="X429" s="140"/>
      <c r="Y429" s="140"/>
      <c r="Z429" s="140"/>
      <c r="AA429" s="140"/>
      <c r="AB429" s="140"/>
      <c r="AC429" s="140"/>
      <c r="AD429" s="140"/>
      <c r="AE429" s="140"/>
      <c r="AF429" s="140"/>
      <c r="AG429" s="140"/>
      <c r="AH429" s="140"/>
      <c r="AI429" s="140"/>
      <c r="AJ429" s="140"/>
      <c r="AK429" s="140"/>
      <c r="AL429" s="140"/>
      <c r="AM429" s="140"/>
      <c r="AN429" s="140"/>
      <c r="AO429" s="140"/>
      <c r="AP429" s="140"/>
      <c r="AQ429" s="140"/>
      <c r="AR429" s="140"/>
      <c r="AS429" s="140"/>
    </row>
    <row r="430">
      <c r="A430" s="149"/>
      <c r="B430" s="140"/>
      <c r="C430" s="140"/>
      <c r="D430" s="140"/>
      <c r="E430" s="140"/>
      <c r="F430" s="140"/>
      <c r="G430" s="140"/>
      <c r="H430" s="140"/>
      <c r="I430" s="140"/>
      <c r="J430" s="140"/>
      <c r="K430" s="140"/>
      <c r="L430" s="140"/>
      <c r="M430" s="140"/>
      <c r="N430" s="140"/>
      <c r="O430" s="140"/>
      <c r="P430" s="140"/>
      <c r="Q430" s="140"/>
      <c r="R430" s="140"/>
      <c r="S430" s="150"/>
      <c r="T430" s="150"/>
      <c r="U430" s="140"/>
      <c r="V430" s="140"/>
      <c r="W430" s="140"/>
      <c r="X430" s="140"/>
      <c r="Y430" s="140"/>
      <c r="Z430" s="140"/>
      <c r="AA430" s="140"/>
      <c r="AB430" s="140"/>
      <c r="AC430" s="140"/>
      <c r="AD430" s="140"/>
      <c r="AE430" s="140"/>
      <c r="AF430" s="140"/>
      <c r="AG430" s="140"/>
      <c r="AH430" s="140"/>
      <c r="AI430" s="140"/>
      <c r="AJ430" s="140"/>
      <c r="AK430" s="140"/>
      <c r="AL430" s="140"/>
      <c r="AM430" s="140"/>
      <c r="AN430" s="140"/>
      <c r="AO430" s="140"/>
      <c r="AP430" s="140"/>
      <c r="AQ430" s="140"/>
      <c r="AR430" s="140"/>
      <c r="AS430" s="140"/>
    </row>
    <row r="431">
      <c r="A431" s="149"/>
      <c r="B431" s="140"/>
      <c r="C431" s="140"/>
      <c r="D431" s="140"/>
      <c r="E431" s="140"/>
      <c r="F431" s="140"/>
      <c r="G431" s="140"/>
      <c r="H431" s="140"/>
      <c r="I431" s="140"/>
      <c r="J431" s="140"/>
      <c r="K431" s="140"/>
      <c r="L431" s="140"/>
      <c r="M431" s="140"/>
      <c r="N431" s="140"/>
      <c r="O431" s="140"/>
      <c r="P431" s="140"/>
      <c r="Q431" s="140"/>
      <c r="R431" s="140"/>
      <c r="S431" s="150"/>
      <c r="T431" s="150"/>
      <c r="U431" s="140"/>
      <c r="V431" s="140"/>
      <c r="W431" s="140"/>
      <c r="X431" s="140"/>
      <c r="Y431" s="140"/>
      <c r="Z431" s="140"/>
      <c r="AA431" s="140"/>
      <c r="AB431" s="140"/>
      <c r="AC431" s="140"/>
      <c r="AD431" s="140"/>
      <c r="AE431" s="140"/>
      <c r="AF431" s="140"/>
      <c r="AG431" s="140"/>
      <c r="AH431" s="140"/>
      <c r="AI431" s="140"/>
      <c r="AJ431" s="140"/>
      <c r="AK431" s="140"/>
      <c r="AL431" s="140"/>
      <c r="AM431" s="140"/>
      <c r="AN431" s="140"/>
      <c r="AO431" s="140"/>
      <c r="AP431" s="140"/>
      <c r="AQ431" s="140"/>
      <c r="AR431" s="140"/>
      <c r="AS431" s="140"/>
    </row>
    <row r="432">
      <c r="A432" s="149"/>
      <c r="B432" s="140"/>
      <c r="C432" s="140"/>
      <c r="D432" s="140"/>
      <c r="E432" s="140"/>
      <c r="F432" s="140"/>
      <c r="G432" s="140"/>
      <c r="H432" s="140"/>
      <c r="I432" s="140"/>
      <c r="J432" s="140"/>
      <c r="K432" s="140"/>
      <c r="L432" s="140"/>
      <c r="M432" s="140"/>
      <c r="N432" s="140"/>
      <c r="O432" s="140"/>
      <c r="P432" s="140"/>
      <c r="Q432" s="140"/>
      <c r="R432" s="140"/>
      <c r="S432" s="150"/>
      <c r="T432" s="150"/>
      <c r="U432" s="140"/>
      <c r="V432" s="140"/>
      <c r="W432" s="140"/>
      <c r="X432" s="140"/>
      <c r="Y432" s="140"/>
      <c r="Z432" s="140"/>
      <c r="AA432" s="140"/>
      <c r="AB432" s="140"/>
      <c r="AC432" s="140"/>
      <c r="AD432" s="140"/>
      <c r="AE432" s="140"/>
      <c r="AF432" s="140"/>
      <c r="AG432" s="140"/>
      <c r="AH432" s="140"/>
      <c r="AI432" s="140"/>
      <c r="AJ432" s="140"/>
      <c r="AK432" s="140"/>
      <c r="AL432" s="140"/>
      <c r="AM432" s="140"/>
      <c r="AN432" s="140"/>
      <c r="AO432" s="140"/>
      <c r="AP432" s="140"/>
      <c r="AQ432" s="140"/>
      <c r="AR432" s="140"/>
      <c r="AS432" s="140"/>
    </row>
    <row r="433">
      <c r="A433" s="149"/>
      <c r="B433" s="140"/>
      <c r="C433" s="140"/>
      <c r="D433" s="140"/>
      <c r="E433" s="140"/>
      <c r="F433" s="140"/>
      <c r="G433" s="140"/>
      <c r="H433" s="140"/>
      <c r="I433" s="140"/>
      <c r="J433" s="140"/>
      <c r="K433" s="140"/>
      <c r="L433" s="140"/>
      <c r="M433" s="140"/>
      <c r="N433" s="140"/>
      <c r="O433" s="140"/>
      <c r="P433" s="140"/>
      <c r="Q433" s="140"/>
      <c r="R433" s="140"/>
      <c r="S433" s="150"/>
      <c r="T433" s="150"/>
      <c r="U433" s="140"/>
      <c r="V433" s="140"/>
      <c r="W433" s="140"/>
      <c r="X433" s="140"/>
      <c r="Y433" s="140"/>
      <c r="Z433" s="140"/>
      <c r="AA433" s="140"/>
      <c r="AB433" s="140"/>
      <c r="AC433" s="140"/>
      <c r="AD433" s="140"/>
      <c r="AE433" s="140"/>
      <c r="AF433" s="140"/>
      <c r="AG433" s="140"/>
      <c r="AH433" s="140"/>
      <c r="AI433" s="140"/>
      <c r="AJ433" s="140"/>
      <c r="AK433" s="140"/>
      <c r="AL433" s="140"/>
      <c r="AM433" s="140"/>
      <c r="AN433" s="140"/>
      <c r="AO433" s="140"/>
      <c r="AP433" s="140"/>
      <c r="AQ433" s="140"/>
      <c r="AR433" s="140"/>
      <c r="AS433" s="140"/>
    </row>
    <row r="434">
      <c r="A434" s="149"/>
      <c r="B434" s="140"/>
      <c r="C434" s="140"/>
      <c r="D434" s="140"/>
      <c r="E434" s="140"/>
      <c r="F434" s="140"/>
      <c r="G434" s="140"/>
      <c r="H434" s="140"/>
      <c r="I434" s="140"/>
      <c r="J434" s="140"/>
      <c r="K434" s="140"/>
      <c r="L434" s="140"/>
      <c r="M434" s="140"/>
      <c r="N434" s="140"/>
      <c r="O434" s="140"/>
      <c r="P434" s="140"/>
      <c r="Q434" s="140"/>
      <c r="R434" s="140"/>
      <c r="S434" s="150"/>
      <c r="T434" s="150"/>
      <c r="U434" s="140"/>
      <c r="V434" s="140"/>
      <c r="W434" s="140"/>
      <c r="X434" s="140"/>
      <c r="Y434" s="140"/>
      <c r="Z434" s="140"/>
      <c r="AA434" s="140"/>
      <c r="AB434" s="140"/>
      <c r="AC434" s="140"/>
      <c r="AD434" s="140"/>
      <c r="AE434" s="140"/>
      <c r="AF434" s="140"/>
      <c r="AG434" s="140"/>
      <c r="AH434" s="140"/>
      <c r="AI434" s="140"/>
      <c r="AJ434" s="140"/>
      <c r="AK434" s="140"/>
      <c r="AL434" s="140"/>
      <c r="AM434" s="140"/>
      <c r="AN434" s="140"/>
      <c r="AO434" s="140"/>
      <c r="AP434" s="140"/>
      <c r="AQ434" s="140"/>
      <c r="AR434" s="140"/>
      <c r="AS434" s="140"/>
    </row>
    <row r="435">
      <c r="A435" s="149"/>
      <c r="B435" s="140"/>
      <c r="C435" s="140"/>
      <c r="D435" s="140"/>
      <c r="E435" s="140"/>
      <c r="F435" s="140"/>
      <c r="G435" s="140"/>
      <c r="H435" s="140"/>
      <c r="I435" s="140"/>
      <c r="J435" s="140"/>
      <c r="K435" s="140"/>
      <c r="L435" s="140"/>
      <c r="M435" s="140"/>
      <c r="N435" s="140"/>
      <c r="O435" s="140"/>
      <c r="P435" s="140"/>
      <c r="Q435" s="140"/>
      <c r="R435" s="140"/>
      <c r="S435" s="150"/>
      <c r="T435" s="150"/>
      <c r="U435" s="140"/>
      <c r="V435" s="140"/>
      <c r="W435" s="140"/>
      <c r="X435" s="140"/>
      <c r="Y435" s="140"/>
      <c r="Z435" s="140"/>
      <c r="AA435" s="140"/>
      <c r="AB435" s="140"/>
      <c r="AC435" s="140"/>
      <c r="AD435" s="140"/>
      <c r="AE435" s="140"/>
      <c r="AF435" s="140"/>
      <c r="AG435" s="140"/>
      <c r="AH435" s="140"/>
      <c r="AI435" s="140"/>
      <c r="AJ435" s="140"/>
      <c r="AK435" s="140"/>
      <c r="AL435" s="140"/>
      <c r="AM435" s="140"/>
      <c r="AN435" s="140"/>
      <c r="AO435" s="140"/>
      <c r="AP435" s="140"/>
      <c r="AQ435" s="140"/>
      <c r="AR435" s="140"/>
      <c r="AS435" s="140"/>
    </row>
    <row r="436">
      <c r="A436" s="149"/>
      <c r="B436" s="140"/>
      <c r="C436" s="140"/>
      <c r="D436" s="140"/>
      <c r="E436" s="140"/>
      <c r="F436" s="140"/>
      <c r="G436" s="140"/>
      <c r="H436" s="140"/>
      <c r="I436" s="140"/>
      <c r="J436" s="140"/>
      <c r="K436" s="140"/>
      <c r="L436" s="140"/>
      <c r="M436" s="140"/>
      <c r="N436" s="140"/>
      <c r="O436" s="140"/>
      <c r="P436" s="140"/>
      <c r="Q436" s="140"/>
      <c r="R436" s="140"/>
      <c r="S436" s="150"/>
      <c r="T436" s="150"/>
      <c r="U436" s="140"/>
      <c r="V436" s="140"/>
      <c r="W436" s="140"/>
      <c r="X436" s="140"/>
      <c r="Y436" s="140"/>
      <c r="Z436" s="140"/>
      <c r="AA436" s="140"/>
      <c r="AB436" s="140"/>
      <c r="AC436" s="140"/>
      <c r="AD436" s="140"/>
      <c r="AE436" s="140"/>
      <c r="AF436" s="140"/>
      <c r="AG436" s="140"/>
      <c r="AH436" s="140"/>
      <c r="AI436" s="140"/>
      <c r="AJ436" s="140"/>
      <c r="AK436" s="140"/>
      <c r="AL436" s="140"/>
      <c r="AM436" s="140"/>
      <c r="AN436" s="140"/>
      <c r="AO436" s="140"/>
      <c r="AP436" s="140"/>
      <c r="AQ436" s="140"/>
      <c r="AR436" s="140"/>
      <c r="AS436" s="140"/>
    </row>
    <row r="437">
      <c r="A437" s="149"/>
      <c r="B437" s="140"/>
      <c r="C437" s="140"/>
      <c r="D437" s="140"/>
      <c r="E437" s="140"/>
      <c r="F437" s="140"/>
      <c r="G437" s="140"/>
      <c r="H437" s="140"/>
      <c r="I437" s="140"/>
      <c r="J437" s="140"/>
      <c r="K437" s="140"/>
      <c r="L437" s="140"/>
      <c r="M437" s="140"/>
      <c r="N437" s="140"/>
      <c r="O437" s="140"/>
      <c r="P437" s="140"/>
      <c r="Q437" s="140"/>
      <c r="R437" s="140"/>
      <c r="S437" s="150"/>
      <c r="T437" s="150"/>
      <c r="U437" s="140"/>
      <c r="V437" s="140"/>
      <c r="W437" s="140"/>
      <c r="X437" s="140"/>
      <c r="Y437" s="140"/>
      <c r="Z437" s="140"/>
      <c r="AA437" s="140"/>
      <c r="AB437" s="140"/>
      <c r="AC437" s="140"/>
      <c r="AD437" s="140"/>
      <c r="AE437" s="140"/>
      <c r="AF437" s="140"/>
      <c r="AG437" s="140"/>
      <c r="AH437" s="140"/>
      <c r="AI437" s="140"/>
      <c r="AJ437" s="140"/>
      <c r="AK437" s="140"/>
      <c r="AL437" s="140"/>
      <c r="AM437" s="140"/>
      <c r="AN437" s="140"/>
      <c r="AO437" s="140"/>
      <c r="AP437" s="140"/>
      <c r="AQ437" s="140"/>
      <c r="AR437" s="140"/>
      <c r="AS437" s="140"/>
    </row>
    <row r="438">
      <c r="A438" s="149"/>
      <c r="B438" s="140"/>
      <c r="C438" s="140"/>
      <c r="D438" s="140"/>
      <c r="E438" s="140"/>
      <c r="F438" s="140"/>
      <c r="G438" s="140"/>
      <c r="H438" s="140"/>
      <c r="I438" s="140"/>
      <c r="J438" s="140"/>
      <c r="K438" s="140"/>
      <c r="L438" s="140"/>
      <c r="M438" s="140"/>
      <c r="N438" s="140"/>
      <c r="O438" s="140"/>
      <c r="P438" s="140"/>
      <c r="Q438" s="140"/>
      <c r="R438" s="140"/>
      <c r="S438" s="150"/>
      <c r="T438" s="150"/>
      <c r="U438" s="140"/>
      <c r="V438" s="140"/>
      <c r="W438" s="140"/>
      <c r="X438" s="140"/>
      <c r="Y438" s="140"/>
      <c r="Z438" s="140"/>
      <c r="AA438" s="140"/>
      <c r="AB438" s="140"/>
      <c r="AC438" s="140"/>
      <c r="AD438" s="140"/>
      <c r="AE438" s="140"/>
      <c r="AF438" s="140"/>
      <c r="AG438" s="140"/>
      <c r="AH438" s="140"/>
      <c r="AI438" s="140"/>
      <c r="AJ438" s="140"/>
      <c r="AK438" s="140"/>
      <c r="AL438" s="140"/>
      <c r="AM438" s="140"/>
      <c r="AN438" s="140"/>
      <c r="AO438" s="140"/>
      <c r="AP438" s="140"/>
      <c r="AQ438" s="140"/>
      <c r="AR438" s="140"/>
      <c r="AS438" s="140"/>
    </row>
    <row r="439">
      <c r="A439" s="149"/>
      <c r="B439" s="140"/>
      <c r="C439" s="140"/>
      <c r="D439" s="140"/>
      <c r="E439" s="140"/>
      <c r="F439" s="140"/>
      <c r="G439" s="140"/>
      <c r="H439" s="140"/>
      <c r="I439" s="140"/>
      <c r="J439" s="140"/>
      <c r="K439" s="140"/>
      <c r="L439" s="140"/>
      <c r="M439" s="140"/>
      <c r="N439" s="140"/>
      <c r="O439" s="140"/>
      <c r="P439" s="140"/>
      <c r="Q439" s="140"/>
      <c r="R439" s="140"/>
      <c r="S439" s="150"/>
      <c r="T439" s="150"/>
      <c r="U439" s="140"/>
      <c r="V439" s="140"/>
      <c r="W439" s="140"/>
      <c r="X439" s="140"/>
      <c r="Y439" s="140"/>
      <c r="Z439" s="140"/>
      <c r="AA439" s="140"/>
      <c r="AB439" s="140"/>
      <c r="AC439" s="140"/>
      <c r="AD439" s="140"/>
      <c r="AE439" s="140"/>
      <c r="AF439" s="140"/>
      <c r="AG439" s="140"/>
      <c r="AH439" s="140"/>
      <c r="AI439" s="140"/>
      <c r="AJ439" s="140"/>
      <c r="AK439" s="140"/>
      <c r="AL439" s="140"/>
      <c r="AM439" s="140"/>
      <c r="AN439" s="140"/>
      <c r="AO439" s="140"/>
      <c r="AP439" s="140"/>
      <c r="AQ439" s="140"/>
      <c r="AR439" s="140"/>
      <c r="AS439" s="140"/>
    </row>
    <row r="440">
      <c r="A440" s="149"/>
      <c r="B440" s="140"/>
      <c r="C440" s="140"/>
      <c r="D440" s="140"/>
      <c r="E440" s="140"/>
      <c r="F440" s="140"/>
      <c r="G440" s="140"/>
      <c r="H440" s="140"/>
      <c r="I440" s="140"/>
      <c r="J440" s="140"/>
      <c r="K440" s="140"/>
      <c r="L440" s="140"/>
      <c r="M440" s="140"/>
      <c r="N440" s="140"/>
      <c r="O440" s="140"/>
      <c r="P440" s="140"/>
      <c r="Q440" s="140"/>
      <c r="R440" s="140"/>
      <c r="S440" s="150"/>
      <c r="T440" s="150"/>
      <c r="U440" s="140"/>
      <c r="V440" s="140"/>
      <c r="W440" s="140"/>
      <c r="X440" s="140"/>
      <c r="Y440" s="140"/>
      <c r="Z440" s="140"/>
      <c r="AA440" s="140"/>
      <c r="AB440" s="140"/>
      <c r="AC440" s="140"/>
      <c r="AD440" s="140"/>
      <c r="AE440" s="140"/>
      <c r="AF440" s="140"/>
      <c r="AG440" s="140"/>
      <c r="AH440" s="140"/>
      <c r="AI440" s="140"/>
      <c r="AJ440" s="140"/>
      <c r="AK440" s="140"/>
      <c r="AL440" s="140"/>
      <c r="AM440" s="140"/>
      <c r="AN440" s="140"/>
      <c r="AO440" s="140"/>
      <c r="AP440" s="140"/>
      <c r="AQ440" s="140"/>
      <c r="AR440" s="140"/>
      <c r="AS440" s="140"/>
    </row>
    <row r="441">
      <c r="A441" s="149"/>
      <c r="B441" s="140"/>
      <c r="C441" s="140"/>
      <c r="D441" s="140"/>
      <c r="E441" s="140"/>
      <c r="F441" s="140"/>
      <c r="G441" s="140"/>
      <c r="H441" s="140"/>
      <c r="I441" s="140"/>
      <c r="J441" s="140"/>
      <c r="K441" s="140"/>
      <c r="L441" s="140"/>
      <c r="M441" s="140"/>
      <c r="N441" s="140"/>
      <c r="O441" s="140"/>
      <c r="P441" s="140"/>
      <c r="Q441" s="140"/>
      <c r="R441" s="140"/>
      <c r="S441" s="150"/>
      <c r="T441" s="150"/>
      <c r="U441" s="140"/>
      <c r="V441" s="140"/>
      <c r="W441" s="140"/>
      <c r="X441" s="140"/>
      <c r="Y441" s="140"/>
      <c r="Z441" s="140"/>
      <c r="AA441" s="140"/>
      <c r="AB441" s="140"/>
      <c r="AC441" s="140"/>
      <c r="AD441" s="140"/>
      <c r="AE441" s="140"/>
      <c r="AF441" s="140"/>
      <c r="AG441" s="140"/>
      <c r="AH441" s="140"/>
      <c r="AI441" s="140"/>
      <c r="AJ441" s="140"/>
      <c r="AK441" s="140"/>
      <c r="AL441" s="140"/>
      <c r="AM441" s="140"/>
      <c r="AN441" s="140"/>
      <c r="AO441" s="140"/>
      <c r="AP441" s="140"/>
      <c r="AQ441" s="140"/>
      <c r="AR441" s="140"/>
      <c r="AS441" s="140"/>
    </row>
    <row r="442">
      <c r="A442" s="149"/>
      <c r="B442" s="140"/>
      <c r="C442" s="140"/>
      <c r="D442" s="140"/>
      <c r="E442" s="140"/>
      <c r="F442" s="140"/>
      <c r="G442" s="140"/>
      <c r="H442" s="140"/>
      <c r="I442" s="140"/>
      <c r="J442" s="140"/>
      <c r="K442" s="140"/>
      <c r="L442" s="140"/>
      <c r="M442" s="140"/>
      <c r="N442" s="140"/>
      <c r="O442" s="140"/>
      <c r="P442" s="140"/>
      <c r="Q442" s="140"/>
      <c r="R442" s="140"/>
      <c r="S442" s="150"/>
      <c r="T442" s="150"/>
      <c r="U442" s="140"/>
      <c r="V442" s="140"/>
      <c r="W442" s="140"/>
      <c r="X442" s="140"/>
      <c r="Y442" s="140"/>
      <c r="Z442" s="140"/>
      <c r="AA442" s="140"/>
      <c r="AB442" s="140"/>
      <c r="AC442" s="140"/>
      <c r="AD442" s="140"/>
      <c r="AE442" s="140"/>
      <c r="AF442" s="140"/>
      <c r="AG442" s="140"/>
      <c r="AH442" s="140"/>
      <c r="AI442" s="140"/>
      <c r="AJ442" s="140"/>
      <c r="AK442" s="140"/>
      <c r="AL442" s="140"/>
      <c r="AM442" s="140"/>
      <c r="AN442" s="140"/>
      <c r="AO442" s="140"/>
      <c r="AP442" s="140"/>
      <c r="AQ442" s="140"/>
      <c r="AR442" s="140"/>
      <c r="AS442" s="140"/>
    </row>
    <row r="443">
      <c r="A443" s="149"/>
      <c r="B443" s="140"/>
      <c r="C443" s="140"/>
      <c r="D443" s="140"/>
      <c r="E443" s="140"/>
      <c r="F443" s="140"/>
      <c r="G443" s="140"/>
      <c r="H443" s="140"/>
      <c r="I443" s="140"/>
      <c r="J443" s="140"/>
      <c r="K443" s="140"/>
      <c r="L443" s="140"/>
      <c r="M443" s="140"/>
      <c r="N443" s="140"/>
      <c r="O443" s="140"/>
      <c r="P443" s="140"/>
      <c r="Q443" s="140"/>
      <c r="R443" s="140"/>
      <c r="S443" s="150"/>
      <c r="T443" s="150"/>
      <c r="U443" s="140"/>
      <c r="V443" s="140"/>
      <c r="W443" s="140"/>
      <c r="X443" s="140"/>
      <c r="Y443" s="140"/>
      <c r="Z443" s="140"/>
      <c r="AA443" s="140"/>
      <c r="AB443" s="140"/>
      <c r="AC443" s="140"/>
      <c r="AD443" s="140"/>
      <c r="AE443" s="140"/>
      <c r="AF443" s="140"/>
      <c r="AG443" s="140"/>
      <c r="AH443" s="140"/>
      <c r="AI443" s="140"/>
      <c r="AJ443" s="140"/>
      <c r="AK443" s="140"/>
      <c r="AL443" s="140"/>
      <c r="AM443" s="140"/>
      <c r="AN443" s="140"/>
      <c r="AO443" s="140"/>
      <c r="AP443" s="140"/>
      <c r="AQ443" s="140"/>
      <c r="AR443" s="140"/>
      <c r="AS443" s="140"/>
    </row>
    <row r="444">
      <c r="A444" s="149"/>
      <c r="B444" s="140"/>
      <c r="C444" s="140"/>
      <c r="D444" s="140"/>
      <c r="E444" s="140"/>
      <c r="F444" s="140"/>
      <c r="G444" s="140"/>
      <c r="H444" s="140"/>
      <c r="I444" s="140"/>
      <c r="J444" s="140"/>
      <c r="K444" s="140"/>
      <c r="L444" s="140"/>
      <c r="M444" s="140"/>
      <c r="N444" s="140"/>
      <c r="O444" s="140"/>
      <c r="P444" s="140"/>
      <c r="Q444" s="140"/>
      <c r="R444" s="140"/>
      <c r="S444" s="150"/>
      <c r="T444" s="150"/>
      <c r="U444" s="140"/>
      <c r="V444" s="140"/>
      <c r="W444" s="140"/>
      <c r="X444" s="140"/>
      <c r="Y444" s="140"/>
      <c r="Z444" s="140"/>
      <c r="AA444" s="140"/>
      <c r="AB444" s="140"/>
      <c r="AC444" s="140"/>
      <c r="AD444" s="140"/>
      <c r="AE444" s="140"/>
      <c r="AF444" s="140"/>
      <c r="AG444" s="140"/>
      <c r="AH444" s="140"/>
      <c r="AI444" s="140"/>
      <c r="AJ444" s="140"/>
      <c r="AK444" s="140"/>
      <c r="AL444" s="140"/>
      <c r="AM444" s="140"/>
      <c r="AN444" s="140"/>
      <c r="AO444" s="140"/>
      <c r="AP444" s="140"/>
      <c r="AQ444" s="140"/>
      <c r="AR444" s="140"/>
      <c r="AS444" s="140"/>
    </row>
    <row r="445">
      <c r="A445" s="149"/>
      <c r="B445" s="140"/>
      <c r="C445" s="140"/>
      <c r="D445" s="140"/>
      <c r="E445" s="140"/>
      <c r="F445" s="140"/>
      <c r="G445" s="140"/>
      <c r="H445" s="140"/>
      <c r="I445" s="140"/>
      <c r="J445" s="140"/>
      <c r="K445" s="140"/>
      <c r="L445" s="140"/>
      <c r="M445" s="140"/>
      <c r="N445" s="140"/>
      <c r="O445" s="140"/>
      <c r="P445" s="140"/>
      <c r="Q445" s="140"/>
      <c r="R445" s="140"/>
      <c r="S445" s="150"/>
      <c r="T445" s="150"/>
      <c r="U445" s="140"/>
      <c r="V445" s="140"/>
      <c r="W445" s="140"/>
      <c r="X445" s="140"/>
      <c r="Y445" s="140"/>
      <c r="Z445" s="140"/>
      <c r="AA445" s="140"/>
      <c r="AB445" s="140"/>
      <c r="AC445" s="140"/>
      <c r="AD445" s="140"/>
      <c r="AE445" s="140"/>
      <c r="AF445" s="140"/>
      <c r="AG445" s="140"/>
      <c r="AH445" s="140"/>
      <c r="AI445" s="140"/>
      <c r="AJ445" s="140"/>
      <c r="AK445" s="140"/>
      <c r="AL445" s="140"/>
      <c r="AM445" s="140"/>
      <c r="AN445" s="140"/>
      <c r="AO445" s="140"/>
      <c r="AP445" s="140"/>
      <c r="AQ445" s="140"/>
      <c r="AR445" s="140"/>
      <c r="AS445" s="140"/>
    </row>
    <row r="446">
      <c r="A446" s="149"/>
      <c r="B446" s="140"/>
      <c r="C446" s="140"/>
      <c r="D446" s="140"/>
      <c r="E446" s="140"/>
      <c r="F446" s="140"/>
      <c r="G446" s="140"/>
      <c r="H446" s="140"/>
      <c r="I446" s="140"/>
      <c r="J446" s="140"/>
      <c r="K446" s="140"/>
      <c r="L446" s="140"/>
      <c r="M446" s="140"/>
      <c r="N446" s="140"/>
      <c r="O446" s="140"/>
      <c r="P446" s="140"/>
      <c r="Q446" s="140"/>
      <c r="R446" s="140"/>
      <c r="S446" s="150"/>
      <c r="T446" s="150"/>
      <c r="U446" s="140"/>
      <c r="V446" s="140"/>
      <c r="W446" s="140"/>
      <c r="X446" s="140"/>
      <c r="Y446" s="140"/>
      <c r="Z446" s="140"/>
      <c r="AA446" s="140"/>
      <c r="AB446" s="140"/>
      <c r="AC446" s="140"/>
      <c r="AD446" s="140"/>
      <c r="AE446" s="140"/>
      <c r="AF446" s="140"/>
      <c r="AG446" s="140"/>
      <c r="AH446" s="140"/>
      <c r="AI446" s="140"/>
      <c r="AJ446" s="140"/>
      <c r="AK446" s="140"/>
      <c r="AL446" s="140"/>
      <c r="AM446" s="140"/>
      <c r="AN446" s="140"/>
      <c r="AO446" s="140"/>
      <c r="AP446" s="140"/>
      <c r="AQ446" s="140"/>
      <c r="AR446" s="140"/>
      <c r="AS446" s="140"/>
    </row>
    <row r="447">
      <c r="A447" s="149"/>
      <c r="B447" s="140"/>
      <c r="C447" s="140"/>
      <c r="D447" s="140"/>
      <c r="E447" s="140"/>
      <c r="F447" s="140"/>
      <c r="G447" s="140"/>
      <c r="H447" s="140"/>
      <c r="I447" s="140"/>
      <c r="J447" s="140"/>
      <c r="K447" s="140"/>
      <c r="L447" s="140"/>
      <c r="M447" s="140"/>
      <c r="N447" s="140"/>
      <c r="O447" s="140"/>
      <c r="P447" s="140"/>
      <c r="Q447" s="140"/>
      <c r="R447" s="140"/>
      <c r="S447" s="150"/>
      <c r="T447" s="150"/>
      <c r="U447" s="140"/>
      <c r="V447" s="140"/>
      <c r="W447" s="140"/>
      <c r="X447" s="140"/>
      <c r="Y447" s="140"/>
      <c r="Z447" s="140"/>
      <c r="AA447" s="140"/>
      <c r="AB447" s="140"/>
      <c r="AC447" s="140"/>
      <c r="AD447" s="140"/>
      <c r="AE447" s="140"/>
      <c r="AF447" s="140"/>
      <c r="AG447" s="140"/>
      <c r="AH447" s="140"/>
      <c r="AI447" s="140"/>
      <c r="AJ447" s="140"/>
      <c r="AK447" s="140"/>
      <c r="AL447" s="140"/>
      <c r="AM447" s="140"/>
      <c r="AN447" s="140"/>
      <c r="AO447" s="140"/>
      <c r="AP447" s="140"/>
      <c r="AQ447" s="140"/>
      <c r="AR447" s="140"/>
      <c r="AS447" s="140"/>
    </row>
    <row r="448">
      <c r="A448" s="149"/>
      <c r="B448" s="140"/>
      <c r="C448" s="140"/>
      <c r="D448" s="140"/>
      <c r="E448" s="140"/>
      <c r="F448" s="140"/>
      <c r="G448" s="140"/>
      <c r="H448" s="140"/>
      <c r="I448" s="140"/>
      <c r="J448" s="140"/>
      <c r="K448" s="140"/>
      <c r="L448" s="140"/>
      <c r="M448" s="140"/>
      <c r="N448" s="140"/>
      <c r="O448" s="140"/>
      <c r="P448" s="140"/>
      <c r="Q448" s="140"/>
      <c r="R448" s="140"/>
      <c r="S448" s="150"/>
      <c r="T448" s="150"/>
      <c r="U448" s="140"/>
      <c r="V448" s="140"/>
      <c r="W448" s="140"/>
      <c r="X448" s="140"/>
      <c r="Y448" s="140"/>
      <c r="Z448" s="140"/>
      <c r="AA448" s="140"/>
      <c r="AB448" s="140"/>
      <c r="AC448" s="140"/>
      <c r="AD448" s="140"/>
      <c r="AE448" s="140"/>
      <c r="AF448" s="140"/>
      <c r="AG448" s="140"/>
      <c r="AH448" s="140"/>
      <c r="AI448" s="140"/>
      <c r="AJ448" s="140"/>
      <c r="AK448" s="140"/>
      <c r="AL448" s="140"/>
      <c r="AM448" s="140"/>
      <c r="AN448" s="140"/>
      <c r="AO448" s="140"/>
      <c r="AP448" s="140"/>
      <c r="AQ448" s="140"/>
      <c r="AR448" s="140"/>
      <c r="AS448" s="140"/>
    </row>
    <row r="449">
      <c r="A449" s="149"/>
      <c r="B449" s="140"/>
      <c r="C449" s="140"/>
      <c r="D449" s="140"/>
      <c r="E449" s="140"/>
      <c r="F449" s="140"/>
      <c r="G449" s="140"/>
      <c r="H449" s="140"/>
      <c r="I449" s="140"/>
      <c r="J449" s="140"/>
      <c r="K449" s="140"/>
      <c r="L449" s="140"/>
      <c r="M449" s="140"/>
      <c r="N449" s="140"/>
      <c r="O449" s="140"/>
      <c r="P449" s="140"/>
      <c r="Q449" s="140"/>
      <c r="R449" s="140"/>
      <c r="S449" s="150"/>
      <c r="T449" s="150"/>
      <c r="U449" s="140"/>
      <c r="V449" s="140"/>
      <c r="W449" s="140"/>
      <c r="X449" s="140"/>
      <c r="Y449" s="140"/>
      <c r="Z449" s="140"/>
      <c r="AA449" s="140"/>
      <c r="AB449" s="140"/>
      <c r="AC449" s="140"/>
      <c r="AD449" s="140"/>
      <c r="AE449" s="140"/>
      <c r="AF449" s="140"/>
      <c r="AG449" s="140"/>
      <c r="AH449" s="140"/>
      <c r="AI449" s="140"/>
      <c r="AJ449" s="140"/>
      <c r="AK449" s="140"/>
      <c r="AL449" s="140"/>
      <c r="AM449" s="140"/>
      <c r="AN449" s="140"/>
      <c r="AO449" s="140"/>
      <c r="AP449" s="140"/>
      <c r="AQ449" s="140"/>
      <c r="AR449" s="140"/>
      <c r="AS449" s="140"/>
    </row>
    <row r="450">
      <c r="A450" s="149"/>
      <c r="B450" s="140"/>
      <c r="C450" s="140"/>
      <c r="D450" s="140"/>
      <c r="E450" s="140"/>
      <c r="F450" s="140"/>
      <c r="G450" s="140"/>
      <c r="H450" s="140"/>
      <c r="I450" s="140"/>
      <c r="J450" s="140"/>
      <c r="K450" s="140"/>
      <c r="L450" s="140"/>
      <c r="M450" s="140"/>
      <c r="N450" s="140"/>
      <c r="O450" s="140"/>
      <c r="P450" s="140"/>
      <c r="Q450" s="140"/>
      <c r="R450" s="140"/>
      <c r="S450" s="150"/>
      <c r="T450" s="150"/>
      <c r="U450" s="140"/>
      <c r="V450" s="140"/>
      <c r="W450" s="140"/>
      <c r="X450" s="140"/>
      <c r="Y450" s="140"/>
      <c r="Z450" s="140"/>
      <c r="AA450" s="140"/>
      <c r="AB450" s="140"/>
      <c r="AC450" s="140"/>
      <c r="AD450" s="140"/>
      <c r="AE450" s="140"/>
      <c r="AF450" s="140"/>
      <c r="AG450" s="140"/>
      <c r="AH450" s="140"/>
      <c r="AI450" s="140"/>
      <c r="AJ450" s="140"/>
      <c r="AK450" s="140"/>
      <c r="AL450" s="140"/>
      <c r="AM450" s="140"/>
      <c r="AN450" s="140"/>
      <c r="AO450" s="140"/>
      <c r="AP450" s="140"/>
      <c r="AQ450" s="140"/>
      <c r="AR450" s="140"/>
      <c r="AS450" s="140"/>
    </row>
    <row r="451">
      <c r="A451" s="149"/>
      <c r="B451" s="140"/>
      <c r="C451" s="140"/>
      <c r="D451" s="140"/>
      <c r="E451" s="140"/>
      <c r="F451" s="140"/>
      <c r="G451" s="140"/>
      <c r="H451" s="140"/>
      <c r="I451" s="140"/>
      <c r="J451" s="140"/>
      <c r="K451" s="140"/>
      <c r="L451" s="140"/>
      <c r="M451" s="140"/>
      <c r="N451" s="140"/>
      <c r="O451" s="140"/>
      <c r="P451" s="140"/>
      <c r="Q451" s="140"/>
      <c r="R451" s="140"/>
      <c r="S451" s="150"/>
      <c r="T451" s="150"/>
      <c r="U451" s="140"/>
      <c r="V451" s="140"/>
      <c r="W451" s="140"/>
      <c r="X451" s="140"/>
      <c r="Y451" s="140"/>
      <c r="Z451" s="140"/>
      <c r="AA451" s="140"/>
      <c r="AB451" s="140"/>
      <c r="AC451" s="140"/>
      <c r="AD451" s="140"/>
      <c r="AE451" s="140"/>
      <c r="AF451" s="140"/>
      <c r="AG451" s="140"/>
      <c r="AH451" s="140"/>
      <c r="AI451" s="140"/>
      <c r="AJ451" s="140"/>
      <c r="AK451" s="140"/>
      <c r="AL451" s="140"/>
      <c r="AM451" s="140"/>
      <c r="AN451" s="140"/>
      <c r="AO451" s="140"/>
      <c r="AP451" s="140"/>
      <c r="AQ451" s="140"/>
      <c r="AR451" s="140"/>
      <c r="AS451" s="140"/>
    </row>
    <row r="452">
      <c r="A452" s="149"/>
      <c r="B452" s="140"/>
      <c r="C452" s="140"/>
      <c r="D452" s="140"/>
      <c r="E452" s="140"/>
      <c r="F452" s="140"/>
      <c r="G452" s="140"/>
      <c r="H452" s="140"/>
      <c r="I452" s="140"/>
      <c r="J452" s="140"/>
      <c r="K452" s="140"/>
      <c r="L452" s="140"/>
      <c r="M452" s="140"/>
      <c r="N452" s="140"/>
      <c r="O452" s="140"/>
      <c r="P452" s="140"/>
      <c r="Q452" s="140"/>
      <c r="R452" s="140"/>
      <c r="S452" s="150"/>
      <c r="T452" s="150"/>
      <c r="U452" s="140"/>
      <c r="V452" s="140"/>
      <c r="W452" s="140"/>
      <c r="X452" s="140"/>
      <c r="Y452" s="140"/>
      <c r="Z452" s="140"/>
      <c r="AA452" s="140"/>
      <c r="AB452" s="140"/>
      <c r="AC452" s="140"/>
      <c r="AD452" s="140"/>
      <c r="AE452" s="140"/>
      <c r="AF452" s="140"/>
      <c r="AG452" s="140"/>
      <c r="AH452" s="140"/>
      <c r="AI452" s="140"/>
      <c r="AJ452" s="140"/>
      <c r="AK452" s="140"/>
      <c r="AL452" s="140"/>
      <c r="AM452" s="140"/>
      <c r="AN452" s="140"/>
      <c r="AO452" s="140"/>
      <c r="AP452" s="140"/>
      <c r="AQ452" s="140"/>
      <c r="AR452" s="140"/>
      <c r="AS452" s="140"/>
    </row>
    <row r="453">
      <c r="A453" s="149"/>
      <c r="B453" s="140"/>
      <c r="C453" s="140"/>
      <c r="D453" s="140"/>
      <c r="E453" s="140"/>
      <c r="F453" s="140"/>
      <c r="G453" s="140"/>
      <c r="H453" s="140"/>
      <c r="I453" s="140"/>
      <c r="J453" s="140"/>
      <c r="K453" s="140"/>
      <c r="L453" s="140"/>
      <c r="M453" s="140"/>
      <c r="N453" s="140"/>
      <c r="O453" s="140"/>
      <c r="P453" s="140"/>
      <c r="Q453" s="140"/>
      <c r="R453" s="140"/>
      <c r="S453" s="150"/>
      <c r="T453" s="150"/>
      <c r="U453" s="140"/>
      <c r="V453" s="140"/>
      <c r="W453" s="140"/>
      <c r="X453" s="140"/>
      <c r="Y453" s="140"/>
      <c r="Z453" s="140"/>
      <c r="AA453" s="140"/>
      <c r="AB453" s="140"/>
      <c r="AC453" s="140"/>
      <c r="AD453" s="140"/>
      <c r="AE453" s="140"/>
      <c r="AF453" s="140"/>
      <c r="AG453" s="140"/>
      <c r="AH453" s="140"/>
      <c r="AI453" s="140"/>
      <c r="AJ453" s="140"/>
      <c r="AK453" s="140"/>
      <c r="AL453" s="140"/>
      <c r="AM453" s="140"/>
      <c r="AN453" s="140"/>
      <c r="AO453" s="140"/>
      <c r="AP453" s="140"/>
      <c r="AQ453" s="140"/>
      <c r="AR453" s="140"/>
      <c r="AS453" s="140"/>
    </row>
    <row r="454">
      <c r="A454" s="149"/>
      <c r="B454" s="140"/>
      <c r="C454" s="140"/>
      <c r="D454" s="140"/>
      <c r="E454" s="140"/>
      <c r="F454" s="140"/>
      <c r="G454" s="140"/>
      <c r="H454" s="140"/>
      <c r="I454" s="140"/>
      <c r="J454" s="140"/>
      <c r="K454" s="140"/>
      <c r="L454" s="140"/>
      <c r="M454" s="140"/>
      <c r="N454" s="140"/>
      <c r="O454" s="140"/>
      <c r="P454" s="140"/>
      <c r="Q454" s="140"/>
      <c r="R454" s="140"/>
      <c r="S454" s="150"/>
      <c r="T454" s="150"/>
      <c r="U454" s="140"/>
      <c r="V454" s="140"/>
      <c r="W454" s="140"/>
      <c r="X454" s="140"/>
      <c r="Y454" s="140"/>
      <c r="Z454" s="140"/>
      <c r="AA454" s="140"/>
      <c r="AB454" s="140"/>
      <c r="AC454" s="140"/>
      <c r="AD454" s="140"/>
      <c r="AE454" s="140"/>
      <c r="AF454" s="140"/>
      <c r="AG454" s="140"/>
      <c r="AH454" s="140"/>
      <c r="AI454" s="140"/>
      <c r="AJ454" s="140"/>
      <c r="AK454" s="140"/>
      <c r="AL454" s="140"/>
      <c r="AM454" s="140"/>
      <c r="AN454" s="140"/>
      <c r="AO454" s="140"/>
      <c r="AP454" s="140"/>
      <c r="AQ454" s="140"/>
      <c r="AR454" s="140"/>
      <c r="AS454" s="140"/>
    </row>
    <row r="455">
      <c r="A455" s="149"/>
      <c r="B455" s="140"/>
      <c r="C455" s="140"/>
      <c r="D455" s="140"/>
      <c r="E455" s="140"/>
      <c r="F455" s="140"/>
      <c r="G455" s="140"/>
      <c r="H455" s="140"/>
      <c r="I455" s="140"/>
      <c r="J455" s="140"/>
      <c r="K455" s="140"/>
      <c r="L455" s="140"/>
      <c r="M455" s="140"/>
      <c r="N455" s="140"/>
      <c r="O455" s="140"/>
      <c r="P455" s="140"/>
      <c r="Q455" s="140"/>
      <c r="R455" s="140"/>
      <c r="S455" s="150"/>
      <c r="T455" s="150"/>
      <c r="U455" s="140"/>
      <c r="V455" s="140"/>
      <c r="W455" s="140"/>
      <c r="X455" s="140"/>
      <c r="Y455" s="140"/>
      <c r="Z455" s="140"/>
      <c r="AA455" s="140"/>
      <c r="AB455" s="140"/>
      <c r="AC455" s="140"/>
      <c r="AD455" s="140"/>
      <c r="AE455" s="140"/>
      <c r="AF455" s="140"/>
      <c r="AG455" s="140"/>
      <c r="AH455" s="140"/>
      <c r="AI455" s="140"/>
      <c r="AJ455" s="140"/>
      <c r="AK455" s="140"/>
      <c r="AL455" s="140"/>
      <c r="AM455" s="140"/>
      <c r="AN455" s="140"/>
      <c r="AO455" s="140"/>
      <c r="AP455" s="140"/>
      <c r="AQ455" s="140"/>
      <c r="AR455" s="140"/>
      <c r="AS455" s="140"/>
    </row>
    <row r="456">
      <c r="A456" s="149"/>
      <c r="B456" s="140"/>
      <c r="C456" s="140"/>
      <c r="D456" s="140"/>
      <c r="E456" s="140"/>
      <c r="F456" s="140"/>
      <c r="G456" s="140"/>
      <c r="H456" s="140"/>
      <c r="I456" s="140"/>
      <c r="J456" s="140"/>
      <c r="K456" s="140"/>
      <c r="L456" s="140"/>
      <c r="M456" s="140"/>
      <c r="N456" s="140"/>
      <c r="O456" s="140"/>
      <c r="P456" s="140"/>
      <c r="Q456" s="140"/>
      <c r="R456" s="140"/>
      <c r="S456" s="150"/>
      <c r="T456" s="150"/>
      <c r="U456" s="140"/>
      <c r="V456" s="140"/>
      <c r="W456" s="140"/>
      <c r="X456" s="140"/>
      <c r="Y456" s="140"/>
      <c r="Z456" s="140"/>
      <c r="AA456" s="140"/>
      <c r="AB456" s="140"/>
      <c r="AC456" s="140"/>
      <c r="AD456" s="140"/>
      <c r="AE456" s="140"/>
      <c r="AF456" s="140"/>
      <c r="AG456" s="140"/>
      <c r="AH456" s="140"/>
      <c r="AI456" s="140"/>
      <c r="AJ456" s="140"/>
      <c r="AK456" s="140"/>
      <c r="AL456" s="140"/>
      <c r="AM456" s="140"/>
      <c r="AN456" s="140"/>
      <c r="AO456" s="140"/>
      <c r="AP456" s="140"/>
      <c r="AQ456" s="140"/>
      <c r="AR456" s="140"/>
      <c r="AS456" s="140"/>
    </row>
    <row r="457">
      <c r="A457" s="149"/>
      <c r="B457" s="140"/>
      <c r="C457" s="140"/>
      <c r="D457" s="140"/>
      <c r="E457" s="140"/>
      <c r="F457" s="140"/>
      <c r="G457" s="140"/>
      <c r="H457" s="140"/>
      <c r="I457" s="140"/>
      <c r="J457" s="140"/>
      <c r="K457" s="140"/>
      <c r="L457" s="140"/>
      <c r="M457" s="140"/>
      <c r="N457" s="140"/>
      <c r="O457" s="140"/>
      <c r="P457" s="140"/>
      <c r="Q457" s="140"/>
      <c r="R457" s="140"/>
      <c r="S457" s="150"/>
      <c r="T457" s="150"/>
      <c r="U457" s="140"/>
      <c r="V457" s="140"/>
      <c r="W457" s="140"/>
      <c r="X457" s="140"/>
      <c r="Y457" s="140"/>
      <c r="Z457" s="140"/>
      <c r="AA457" s="140"/>
      <c r="AB457" s="140"/>
      <c r="AC457" s="140"/>
      <c r="AD457" s="140"/>
      <c r="AE457" s="140"/>
      <c r="AF457" s="140"/>
      <c r="AG457" s="140"/>
      <c r="AH457" s="140"/>
      <c r="AI457" s="140"/>
      <c r="AJ457" s="140"/>
      <c r="AK457" s="140"/>
      <c r="AL457" s="140"/>
      <c r="AM457" s="140"/>
      <c r="AN457" s="140"/>
      <c r="AO457" s="140"/>
      <c r="AP457" s="140"/>
      <c r="AQ457" s="140"/>
      <c r="AR457" s="140"/>
      <c r="AS457" s="140"/>
    </row>
    <row r="458">
      <c r="A458" s="149"/>
      <c r="B458" s="140"/>
      <c r="C458" s="140"/>
      <c r="D458" s="140"/>
      <c r="E458" s="140"/>
      <c r="F458" s="140"/>
      <c r="G458" s="140"/>
      <c r="H458" s="140"/>
      <c r="I458" s="140"/>
      <c r="J458" s="140"/>
      <c r="K458" s="140"/>
      <c r="L458" s="140"/>
      <c r="M458" s="140"/>
      <c r="N458" s="140"/>
      <c r="O458" s="140"/>
      <c r="P458" s="140"/>
      <c r="Q458" s="140"/>
      <c r="R458" s="140"/>
      <c r="S458" s="150"/>
      <c r="T458" s="150"/>
      <c r="U458" s="140"/>
      <c r="V458" s="140"/>
      <c r="W458" s="140"/>
      <c r="X458" s="140"/>
      <c r="Y458" s="140"/>
      <c r="Z458" s="140"/>
      <c r="AA458" s="140"/>
      <c r="AB458" s="140"/>
      <c r="AC458" s="140"/>
      <c r="AD458" s="140"/>
      <c r="AE458" s="140"/>
      <c r="AF458" s="140"/>
      <c r="AG458" s="140"/>
      <c r="AH458" s="140"/>
      <c r="AI458" s="140"/>
      <c r="AJ458" s="140"/>
      <c r="AK458" s="140"/>
      <c r="AL458" s="140"/>
      <c r="AM458" s="140"/>
      <c r="AN458" s="140"/>
      <c r="AO458" s="140"/>
      <c r="AP458" s="140"/>
      <c r="AQ458" s="140"/>
      <c r="AR458" s="140"/>
      <c r="AS458" s="140"/>
    </row>
    <row r="459">
      <c r="A459" s="149"/>
      <c r="B459" s="140"/>
      <c r="C459" s="140"/>
      <c r="D459" s="140"/>
      <c r="E459" s="140"/>
      <c r="F459" s="140"/>
      <c r="G459" s="140"/>
      <c r="H459" s="140"/>
      <c r="I459" s="140"/>
      <c r="J459" s="140"/>
      <c r="K459" s="140"/>
      <c r="L459" s="140"/>
      <c r="M459" s="140"/>
      <c r="N459" s="140"/>
      <c r="O459" s="140"/>
      <c r="P459" s="140"/>
      <c r="Q459" s="140"/>
      <c r="R459" s="140"/>
      <c r="S459" s="150"/>
      <c r="T459" s="150"/>
      <c r="U459" s="140"/>
      <c r="V459" s="140"/>
      <c r="W459" s="140"/>
      <c r="X459" s="140"/>
      <c r="Y459" s="140"/>
      <c r="Z459" s="140"/>
      <c r="AA459" s="140"/>
      <c r="AB459" s="140"/>
      <c r="AC459" s="140"/>
      <c r="AD459" s="140"/>
      <c r="AE459" s="140"/>
      <c r="AF459" s="140"/>
      <c r="AG459" s="140"/>
      <c r="AH459" s="140"/>
      <c r="AI459" s="140"/>
      <c r="AJ459" s="140"/>
      <c r="AK459" s="140"/>
      <c r="AL459" s="140"/>
      <c r="AM459" s="140"/>
      <c r="AN459" s="140"/>
      <c r="AO459" s="140"/>
      <c r="AP459" s="140"/>
      <c r="AQ459" s="140"/>
      <c r="AR459" s="140"/>
      <c r="AS459" s="140"/>
    </row>
    <row r="460">
      <c r="A460" s="149"/>
      <c r="B460" s="140"/>
      <c r="C460" s="140"/>
      <c r="D460" s="140"/>
      <c r="E460" s="140"/>
      <c r="F460" s="140"/>
      <c r="G460" s="140"/>
      <c r="H460" s="140"/>
      <c r="I460" s="140"/>
      <c r="J460" s="140"/>
      <c r="K460" s="140"/>
      <c r="L460" s="140"/>
      <c r="M460" s="140"/>
      <c r="N460" s="140"/>
      <c r="O460" s="140"/>
      <c r="P460" s="140"/>
      <c r="Q460" s="140"/>
      <c r="R460" s="140"/>
      <c r="S460" s="150"/>
      <c r="T460" s="150"/>
      <c r="U460" s="140"/>
      <c r="V460" s="140"/>
      <c r="W460" s="140"/>
      <c r="X460" s="140"/>
      <c r="Y460" s="140"/>
      <c r="Z460" s="140"/>
      <c r="AA460" s="140"/>
      <c r="AB460" s="140"/>
      <c r="AC460" s="140"/>
      <c r="AD460" s="140"/>
      <c r="AE460" s="140"/>
      <c r="AF460" s="140"/>
      <c r="AG460" s="140"/>
      <c r="AH460" s="140"/>
      <c r="AI460" s="140"/>
      <c r="AJ460" s="140"/>
      <c r="AK460" s="140"/>
      <c r="AL460" s="140"/>
      <c r="AM460" s="140"/>
      <c r="AN460" s="140"/>
      <c r="AO460" s="140"/>
      <c r="AP460" s="140"/>
      <c r="AQ460" s="140"/>
      <c r="AR460" s="140"/>
      <c r="AS460" s="140"/>
    </row>
    <row r="461">
      <c r="A461" s="149"/>
      <c r="B461" s="140"/>
      <c r="C461" s="140"/>
      <c r="D461" s="140"/>
      <c r="E461" s="140"/>
      <c r="F461" s="140"/>
      <c r="G461" s="140"/>
      <c r="H461" s="140"/>
      <c r="I461" s="140"/>
      <c r="J461" s="140"/>
      <c r="K461" s="140"/>
      <c r="L461" s="140"/>
      <c r="M461" s="140"/>
      <c r="N461" s="140"/>
      <c r="O461" s="140"/>
      <c r="P461" s="140"/>
      <c r="Q461" s="140"/>
      <c r="R461" s="140"/>
      <c r="S461" s="150"/>
      <c r="T461" s="150"/>
      <c r="U461" s="140"/>
      <c r="V461" s="140"/>
      <c r="W461" s="140"/>
      <c r="X461" s="140"/>
      <c r="Y461" s="140"/>
      <c r="Z461" s="140"/>
      <c r="AA461" s="140"/>
      <c r="AB461" s="140"/>
      <c r="AC461" s="140"/>
      <c r="AD461" s="140"/>
      <c r="AE461" s="140"/>
      <c r="AF461" s="140"/>
      <c r="AG461" s="140"/>
      <c r="AH461" s="140"/>
      <c r="AI461" s="140"/>
      <c r="AJ461" s="140"/>
      <c r="AK461" s="140"/>
      <c r="AL461" s="140"/>
      <c r="AM461" s="140"/>
      <c r="AN461" s="140"/>
      <c r="AO461" s="140"/>
      <c r="AP461" s="140"/>
      <c r="AQ461" s="140"/>
      <c r="AR461" s="140"/>
      <c r="AS461" s="140"/>
    </row>
    <row r="462">
      <c r="A462" s="149"/>
      <c r="B462" s="140"/>
      <c r="C462" s="140"/>
      <c r="D462" s="140"/>
      <c r="E462" s="140"/>
      <c r="F462" s="140"/>
      <c r="G462" s="140"/>
      <c r="H462" s="140"/>
      <c r="I462" s="140"/>
      <c r="J462" s="140"/>
      <c r="K462" s="140"/>
      <c r="L462" s="140"/>
      <c r="M462" s="140"/>
      <c r="N462" s="140"/>
      <c r="O462" s="140"/>
      <c r="P462" s="140"/>
      <c r="Q462" s="140"/>
      <c r="R462" s="140"/>
      <c r="S462" s="150"/>
      <c r="T462" s="150"/>
      <c r="U462" s="140"/>
      <c r="V462" s="140"/>
      <c r="W462" s="140"/>
      <c r="X462" s="140"/>
      <c r="Y462" s="140"/>
      <c r="Z462" s="140"/>
      <c r="AA462" s="140"/>
      <c r="AB462" s="140"/>
      <c r="AC462" s="140"/>
      <c r="AD462" s="140"/>
      <c r="AE462" s="140"/>
      <c r="AF462" s="140"/>
      <c r="AG462" s="140"/>
      <c r="AH462" s="140"/>
      <c r="AI462" s="140"/>
      <c r="AJ462" s="140"/>
      <c r="AK462" s="140"/>
      <c r="AL462" s="140"/>
      <c r="AM462" s="140"/>
      <c r="AN462" s="140"/>
      <c r="AO462" s="140"/>
      <c r="AP462" s="140"/>
      <c r="AQ462" s="140"/>
      <c r="AR462" s="140"/>
      <c r="AS462" s="140"/>
    </row>
    <row r="463">
      <c r="A463" s="149"/>
      <c r="B463" s="140"/>
      <c r="C463" s="140"/>
      <c r="D463" s="140"/>
      <c r="E463" s="140"/>
      <c r="F463" s="140"/>
      <c r="G463" s="140"/>
      <c r="H463" s="140"/>
      <c r="I463" s="140"/>
      <c r="J463" s="140"/>
      <c r="K463" s="140"/>
      <c r="L463" s="140"/>
      <c r="M463" s="140"/>
      <c r="N463" s="140"/>
      <c r="O463" s="140"/>
      <c r="P463" s="140"/>
      <c r="Q463" s="140"/>
      <c r="R463" s="140"/>
      <c r="S463" s="150"/>
      <c r="T463" s="150"/>
      <c r="U463" s="140"/>
      <c r="V463" s="140"/>
      <c r="W463" s="140"/>
      <c r="X463" s="140"/>
      <c r="Y463" s="140"/>
      <c r="Z463" s="140"/>
      <c r="AA463" s="140"/>
      <c r="AB463" s="140"/>
      <c r="AC463" s="140"/>
      <c r="AD463" s="140"/>
      <c r="AE463" s="140"/>
      <c r="AF463" s="140"/>
      <c r="AG463" s="140"/>
      <c r="AH463" s="140"/>
      <c r="AI463" s="140"/>
      <c r="AJ463" s="140"/>
      <c r="AK463" s="140"/>
      <c r="AL463" s="140"/>
      <c r="AM463" s="140"/>
      <c r="AN463" s="140"/>
      <c r="AO463" s="140"/>
      <c r="AP463" s="140"/>
      <c r="AQ463" s="140"/>
      <c r="AR463" s="140"/>
      <c r="AS463" s="140"/>
    </row>
    <row r="464">
      <c r="A464" s="149"/>
      <c r="B464" s="140"/>
      <c r="C464" s="140"/>
      <c r="D464" s="140"/>
      <c r="E464" s="140"/>
      <c r="F464" s="140"/>
      <c r="G464" s="140"/>
      <c r="H464" s="140"/>
      <c r="I464" s="140"/>
      <c r="J464" s="140"/>
      <c r="K464" s="140"/>
      <c r="L464" s="140"/>
      <c r="M464" s="140"/>
      <c r="N464" s="140"/>
      <c r="O464" s="140"/>
      <c r="P464" s="140"/>
      <c r="Q464" s="140"/>
      <c r="R464" s="140"/>
      <c r="S464" s="150"/>
      <c r="T464" s="150"/>
      <c r="U464" s="140"/>
      <c r="V464" s="140"/>
      <c r="W464" s="140"/>
      <c r="X464" s="140"/>
      <c r="Y464" s="140"/>
      <c r="Z464" s="140"/>
      <c r="AA464" s="140"/>
      <c r="AB464" s="140"/>
      <c r="AC464" s="140"/>
      <c r="AD464" s="140"/>
      <c r="AE464" s="140"/>
      <c r="AF464" s="140"/>
      <c r="AG464" s="140"/>
      <c r="AH464" s="140"/>
      <c r="AI464" s="140"/>
      <c r="AJ464" s="140"/>
      <c r="AK464" s="140"/>
      <c r="AL464" s="140"/>
      <c r="AM464" s="140"/>
      <c r="AN464" s="140"/>
      <c r="AO464" s="140"/>
      <c r="AP464" s="140"/>
      <c r="AQ464" s="140"/>
      <c r="AR464" s="140"/>
      <c r="AS464" s="140"/>
    </row>
    <row r="465">
      <c r="A465" s="149"/>
      <c r="B465" s="140"/>
      <c r="C465" s="140"/>
      <c r="D465" s="140"/>
      <c r="E465" s="140"/>
      <c r="F465" s="140"/>
      <c r="G465" s="140"/>
      <c r="H465" s="140"/>
      <c r="I465" s="140"/>
      <c r="J465" s="140"/>
      <c r="K465" s="140"/>
      <c r="L465" s="140"/>
      <c r="M465" s="140"/>
      <c r="N465" s="140"/>
      <c r="O465" s="140"/>
      <c r="P465" s="140"/>
      <c r="Q465" s="140"/>
      <c r="R465" s="140"/>
      <c r="S465" s="150"/>
      <c r="T465" s="150"/>
      <c r="U465" s="140"/>
      <c r="V465" s="140"/>
      <c r="W465" s="140"/>
      <c r="X465" s="140"/>
      <c r="Y465" s="140"/>
      <c r="Z465" s="140"/>
      <c r="AA465" s="140"/>
      <c r="AB465" s="140"/>
      <c r="AC465" s="140"/>
      <c r="AD465" s="140"/>
      <c r="AE465" s="140"/>
      <c r="AF465" s="140"/>
      <c r="AG465" s="140"/>
      <c r="AH465" s="140"/>
      <c r="AI465" s="140"/>
      <c r="AJ465" s="140"/>
      <c r="AK465" s="140"/>
      <c r="AL465" s="140"/>
      <c r="AM465" s="140"/>
      <c r="AN465" s="140"/>
      <c r="AO465" s="140"/>
      <c r="AP465" s="140"/>
      <c r="AQ465" s="140"/>
      <c r="AR465" s="140"/>
      <c r="AS465" s="140"/>
    </row>
    <row r="466">
      <c r="A466" s="149"/>
      <c r="B466" s="140"/>
      <c r="C466" s="140"/>
      <c r="D466" s="140"/>
      <c r="E466" s="140"/>
      <c r="F466" s="140"/>
      <c r="G466" s="140"/>
      <c r="H466" s="140"/>
      <c r="I466" s="140"/>
      <c r="J466" s="140"/>
      <c r="K466" s="140"/>
      <c r="L466" s="140"/>
      <c r="M466" s="140"/>
      <c r="N466" s="140"/>
      <c r="O466" s="140"/>
      <c r="P466" s="140"/>
      <c r="Q466" s="140"/>
      <c r="R466" s="140"/>
      <c r="S466" s="150"/>
      <c r="T466" s="150"/>
      <c r="U466" s="140"/>
      <c r="V466" s="140"/>
      <c r="W466" s="140"/>
      <c r="X466" s="140"/>
      <c r="Y466" s="140"/>
      <c r="Z466" s="140"/>
      <c r="AA466" s="140"/>
      <c r="AB466" s="140"/>
      <c r="AC466" s="140"/>
      <c r="AD466" s="140"/>
      <c r="AE466" s="140"/>
      <c r="AF466" s="140"/>
      <c r="AG466" s="140"/>
      <c r="AH466" s="140"/>
      <c r="AI466" s="140"/>
      <c r="AJ466" s="140"/>
      <c r="AK466" s="140"/>
      <c r="AL466" s="140"/>
      <c r="AM466" s="140"/>
      <c r="AN466" s="140"/>
      <c r="AO466" s="140"/>
      <c r="AP466" s="140"/>
      <c r="AQ466" s="140"/>
      <c r="AR466" s="140"/>
      <c r="AS466" s="140"/>
    </row>
    <row r="467">
      <c r="A467" s="149"/>
      <c r="B467" s="140"/>
      <c r="C467" s="140"/>
      <c r="D467" s="140"/>
      <c r="E467" s="140"/>
      <c r="F467" s="140"/>
      <c r="G467" s="140"/>
      <c r="H467" s="140"/>
      <c r="I467" s="140"/>
      <c r="J467" s="140"/>
      <c r="K467" s="140"/>
      <c r="L467" s="140"/>
      <c r="M467" s="140"/>
      <c r="N467" s="140"/>
      <c r="O467" s="140"/>
      <c r="P467" s="140"/>
      <c r="Q467" s="140"/>
      <c r="R467" s="140"/>
      <c r="S467" s="150"/>
      <c r="T467" s="150"/>
      <c r="U467" s="140"/>
      <c r="V467" s="140"/>
      <c r="W467" s="140"/>
      <c r="X467" s="140"/>
      <c r="Y467" s="140"/>
      <c r="Z467" s="140"/>
      <c r="AA467" s="140"/>
      <c r="AB467" s="140"/>
      <c r="AC467" s="140"/>
      <c r="AD467" s="140"/>
      <c r="AE467" s="140"/>
      <c r="AF467" s="140"/>
      <c r="AG467" s="140"/>
      <c r="AH467" s="140"/>
      <c r="AI467" s="140"/>
      <c r="AJ467" s="140"/>
      <c r="AK467" s="140"/>
      <c r="AL467" s="140"/>
      <c r="AM467" s="140"/>
      <c r="AN467" s="140"/>
      <c r="AO467" s="140"/>
      <c r="AP467" s="140"/>
      <c r="AQ467" s="140"/>
      <c r="AR467" s="140"/>
      <c r="AS467" s="140"/>
    </row>
    <row r="468">
      <c r="A468" s="149"/>
      <c r="B468" s="140"/>
      <c r="C468" s="140"/>
      <c r="D468" s="140"/>
      <c r="E468" s="140"/>
      <c r="F468" s="140"/>
      <c r="G468" s="140"/>
      <c r="H468" s="140"/>
      <c r="I468" s="140"/>
      <c r="J468" s="140"/>
      <c r="K468" s="140"/>
      <c r="L468" s="140"/>
      <c r="M468" s="140"/>
      <c r="N468" s="140"/>
      <c r="O468" s="140"/>
      <c r="P468" s="140"/>
      <c r="Q468" s="140"/>
      <c r="R468" s="140"/>
      <c r="S468" s="150"/>
      <c r="T468" s="150"/>
      <c r="U468" s="140"/>
      <c r="V468" s="140"/>
      <c r="W468" s="140"/>
      <c r="X468" s="140"/>
      <c r="Y468" s="140"/>
      <c r="Z468" s="140"/>
      <c r="AA468" s="140"/>
      <c r="AB468" s="140"/>
      <c r="AC468" s="140"/>
      <c r="AD468" s="140"/>
      <c r="AE468" s="140"/>
      <c r="AF468" s="140"/>
      <c r="AG468" s="140"/>
      <c r="AH468" s="140"/>
      <c r="AI468" s="140"/>
      <c r="AJ468" s="140"/>
      <c r="AK468" s="140"/>
      <c r="AL468" s="140"/>
      <c r="AM468" s="140"/>
      <c r="AN468" s="140"/>
      <c r="AO468" s="140"/>
      <c r="AP468" s="140"/>
      <c r="AQ468" s="140"/>
      <c r="AR468" s="140"/>
      <c r="AS468" s="140"/>
    </row>
    <row r="469">
      <c r="A469" s="149"/>
      <c r="B469" s="140"/>
      <c r="C469" s="140"/>
      <c r="D469" s="140"/>
      <c r="E469" s="140"/>
      <c r="F469" s="140"/>
      <c r="G469" s="140"/>
      <c r="H469" s="140"/>
      <c r="I469" s="140"/>
      <c r="J469" s="140"/>
      <c r="K469" s="140"/>
      <c r="L469" s="140"/>
      <c r="M469" s="140"/>
      <c r="N469" s="140"/>
      <c r="O469" s="140"/>
      <c r="P469" s="140"/>
      <c r="Q469" s="140"/>
      <c r="R469" s="140"/>
      <c r="S469" s="150"/>
      <c r="T469" s="150"/>
      <c r="U469" s="140"/>
      <c r="V469" s="140"/>
      <c r="W469" s="140"/>
      <c r="X469" s="140"/>
      <c r="Y469" s="140"/>
      <c r="Z469" s="140"/>
      <c r="AA469" s="140"/>
      <c r="AB469" s="140"/>
      <c r="AC469" s="140"/>
      <c r="AD469" s="140"/>
      <c r="AE469" s="140"/>
      <c r="AF469" s="140"/>
      <c r="AG469" s="140"/>
      <c r="AH469" s="140"/>
      <c r="AI469" s="140"/>
      <c r="AJ469" s="140"/>
      <c r="AK469" s="140"/>
      <c r="AL469" s="140"/>
      <c r="AM469" s="140"/>
      <c r="AN469" s="140"/>
      <c r="AO469" s="140"/>
      <c r="AP469" s="140"/>
      <c r="AQ469" s="140"/>
      <c r="AR469" s="140"/>
      <c r="AS469" s="140"/>
    </row>
    <row r="470">
      <c r="A470" s="149"/>
      <c r="B470" s="140"/>
      <c r="C470" s="140"/>
      <c r="D470" s="140"/>
      <c r="E470" s="140"/>
      <c r="F470" s="140"/>
      <c r="G470" s="140"/>
      <c r="H470" s="140"/>
      <c r="I470" s="140"/>
      <c r="J470" s="140"/>
      <c r="K470" s="140"/>
      <c r="L470" s="140"/>
      <c r="M470" s="140"/>
      <c r="N470" s="140"/>
      <c r="O470" s="140"/>
      <c r="P470" s="140"/>
      <c r="Q470" s="140"/>
      <c r="R470" s="140"/>
      <c r="S470" s="150"/>
      <c r="T470" s="150"/>
      <c r="U470" s="140"/>
      <c r="V470" s="140"/>
      <c r="W470" s="140"/>
      <c r="X470" s="140"/>
      <c r="Y470" s="140"/>
      <c r="Z470" s="140"/>
      <c r="AA470" s="140"/>
      <c r="AB470" s="140"/>
      <c r="AC470" s="140"/>
      <c r="AD470" s="140"/>
      <c r="AE470" s="140"/>
      <c r="AF470" s="140"/>
      <c r="AG470" s="140"/>
      <c r="AH470" s="140"/>
      <c r="AI470" s="140"/>
      <c r="AJ470" s="140"/>
      <c r="AK470" s="140"/>
      <c r="AL470" s="140"/>
      <c r="AM470" s="140"/>
      <c r="AN470" s="140"/>
      <c r="AO470" s="140"/>
      <c r="AP470" s="140"/>
      <c r="AQ470" s="140"/>
      <c r="AR470" s="140"/>
      <c r="AS470" s="140"/>
    </row>
    <row r="471">
      <c r="A471" s="149"/>
      <c r="B471" s="140"/>
      <c r="C471" s="140"/>
      <c r="D471" s="140"/>
      <c r="E471" s="140"/>
      <c r="F471" s="140"/>
      <c r="G471" s="140"/>
      <c r="H471" s="140"/>
      <c r="I471" s="140"/>
      <c r="J471" s="140"/>
      <c r="K471" s="140"/>
      <c r="L471" s="140"/>
      <c r="M471" s="140"/>
      <c r="N471" s="140"/>
      <c r="O471" s="140"/>
      <c r="P471" s="140"/>
      <c r="Q471" s="140"/>
      <c r="R471" s="140"/>
      <c r="S471" s="150"/>
      <c r="T471" s="150"/>
      <c r="U471" s="140"/>
      <c r="V471" s="140"/>
      <c r="W471" s="140"/>
      <c r="X471" s="140"/>
      <c r="Y471" s="140"/>
      <c r="Z471" s="140"/>
      <c r="AA471" s="140"/>
      <c r="AB471" s="140"/>
      <c r="AC471" s="140"/>
      <c r="AD471" s="140"/>
      <c r="AE471" s="140"/>
      <c r="AF471" s="140"/>
      <c r="AG471" s="140"/>
      <c r="AH471" s="140"/>
      <c r="AI471" s="140"/>
      <c r="AJ471" s="140"/>
      <c r="AK471" s="140"/>
      <c r="AL471" s="140"/>
      <c r="AM471" s="140"/>
      <c r="AN471" s="140"/>
      <c r="AO471" s="140"/>
      <c r="AP471" s="140"/>
      <c r="AQ471" s="140"/>
      <c r="AR471" s="140"/>
      <c r="AS471" s="140"/>
    </row>
    <row r="472">
      <c r="A472" s="149"/>
      <c r="B472" s="140"/>
      <c r="C472" s="140"/>
      <c r="D472" s="140"/>
      <c r="E472" s="140"/>
      <c r="F472" s="140"/>
      <c r="G472" s="140"/>
      <c r="H472" s="140"/>
      <c r="I472" s="140"/>
      <c r="J472" s="140"/>
      <c r="K472" s="140"/>
      <c r="L472" s="140"/>
      <c r="M472" s="140"/>
      <c r="N472" s="140"/>
      <c r="O472" s="140"/>
      <c r="P472" s="140"/>
      <c r="Q472" s="140"/>
      <c r="R472" s="140"/>
      <c r="S472" s="150"/>
      <c r="T472" s="150"/>
      <c r="U472" s="140"/>
      <c r="V472" s="140"/>
      <c r="W472" s="140"/>
      <c r="X472" s="140"/>
      <c r="Y472" s="140"/>
      <c r="Z472" s="140"/>
      <c r="AA472" s="140"/>
      <c r="AB472" s="140"/>
      <c r="AC472" s="140"/>
      <c r="AD472" s="140"/>
      <c r="AE472" s="140"/>
      <c r="AF472" s="140"/>
      <c r="AG472" s="140"/>
      <c r="AH472" s="140"/>
      <c r="AI472" s="140"/>
      <c r="AJ472" s="140"/>
      <c r="AK472" s="140"/>
      <c r="AL472" s="140"/>
      <c r="AM472" s="140"/>
      <c r="AN472" s="140"/>
      <c r="AO472" s="140"/>
      <c r="AP472" s="140"/>
      <c r="AQ472" s="140"/>
      <c r="AR472" s="140"/>
      <c r="AS472" s="140"/>
    </row>
    <row r="473">
      <c r="A473" s="149"/>
      <c r="B473" s="140"/>
      <c r="C473" s="140"/>
      <c r="D473" s="140"/>
      <c r="E473" s="140"/>
      <c r="F473" s="140"/>
      <c r="G473" s="140"/>
      <c r="H473" s="140"/>
      <c r="I473" s="140"/>
      <c r="J473" s="140"/>
      <c r="K473" s="140"/>
      <c r="L473" s="140"/>
      <c r="M473" s="140"/>
      <c r="N473" s="140"/>
      <c r="O473" s="140"/>
      <c r="P473" s="140"/>
      <c r="Q473" s="140"/>
      <c r="R473" s="140"/>
      <c r="S473" s="150"/>
      <c r="T473" s="150"/>
      <c r="U473" s="140"/>
      <c r="V473" s="140"/>
      <c r="W473" s="140"/>
      <c r="X473" s="140"/>
      <c r="Y473" s="140"/>
      <c r="Z473" s="140"/>
      <c r="AA473" s="140"/>
      <c r="AB473" s="140"/>
      <c r="AC473" s="140"/>
      <c r="AD473" s="140"/>
      <c r="AE473" s="140"/>
      <c r="AF473" s="140"/>
      <c r="AG473" s="140"/>
      <c r="AH473" s="140"/>
      <c r="AI473" s="140"/>
      <c r="AJ473" s="140"/>
      <c r="AK473" s="140"/>
      <c r="AL473" s="140"/>
      <c r="AM473" s="140"/>
      <c r="AN473" s="140"/>
      <c r="AO473" s="140"/>
      <c r="AP473" s="140"/>
      <c r="AQ473" s="140"/>
      <c r="AR473" s="140"/>
      <c r="AS473" s="140"/>
    </row>
    <row r="474">
      <c r="A474" s="149"/>
      <c r="B474" s="140"/>
      <c r="C474" s="140"/>
      <c r="D474" s="140"/>
      <c r="E474" s="140"/>
      <c r="F474" s="140"/>
      <c r="G474" s="140"/>
      <c r="H474" s="140"/>
      <c r="I474" s="140"/>
      <c r="J474" s="140"/>
      <c r="K474" s="140"/>
      <c r="L474" s="140"/>
      <c r="M474" s="140"/>
      <c r="N474" s="140"/>
      <c r="O474" s="140"/>
      <c r="P474" s="140"/>
      <c r="Q474" s="140"/>
      <c r="R474" s="140"/>
      <c r="S474" s="150"/>
      <c r="T474" s="150"/>
      <c r="U474" s="140"/>
      <c r="V474" s="140"/>
      <c r="W474" s="140"/>
      <c r="X474" s="140"/>
      <c r="Y474" s="140"/>
      <c r="Z474" s="140"/>
      <c r="AA474" s="140"/>
      <c r="AB474" s="140"/>
      <c r="AC474" s="140"/>
      <c r="AD474" s="140"/>
      <c r="AE474" s="140"/>
      <c r="AF474" s="140"/>
      <c r="AG474" s="140"/>
      <c r="AH474" s="140"/>
      <c r="AI474" s="140"/>
      <c r="AJ474" s="140"/>
      <c r="AK474" s="140"/>
      <c r="AL474" s="140"/>
      <c r="AM474" s="140"/>
      <c r="AN474" s="140"/>
      <c r="AO474" s="140"/>
      <c r="AP474" s="140"/>
      <c r="AQ474" s="140"/>
      <c r="AR474" s="140"/>
      <c r="AS474" s="140"/>
    </row>
    <row r="475">
      <c r="A475" s="149"/>
      <c r="B475" s="140"/>
      <c r="C475" s="140"/>
      <c r="D475" s="140"/>
      <c r="E475" s="140"/>
      <c r="F475" s="140"/>
      <c r="G475" s="140"/>
      <c r="H475" s="140"/>
      <c r="I475" s="140"/>
      <c r="J475" s="140"/>
      <c r="K475" s="140"/>
      <c r="L475" s="140"/>
      <c r="M475" s="140"/>
      <c r="N475" s="140"/>
      <c r="O475" s="140"/>
      <c r="P475" s="140"/>
      <c r="Q475" s="140"/>
      <c r="R475" s="140"/>
      <c r="S475" s="150"/>
      <c r="T475" s="150"/>
      <c r="U475" s="140"/>
      <c r="V475" s="140"/>
      <c r="W475" s="140"/>
      <c r="X475" s="140"/>
      <c r="Y475" s="140"/>
      <c r="Z475" s="140"/>
      <c r="AA475" s="140"/>
      <c r="AB475" s="140"/>
      <c r="AC475" s="140"/>
      <c r="AD475" s="140"/>
      <c r="AE475" s="140"/>
      <c r="AF475" s="140"/>
      <c r="AG475" s="140"/>
      <c r="AH475" s="140"/>
      <c r="AI475" s="140"/>
      <c r="AJ475" s="140"/>
      <c r="AK475" s="140"/>
      <c r="AL475" s="140"/>
      <c r="AM475" s="140"/>
      <c r="AN475" s="140"/>
      <c r="AO475" s="140"/>
      <c r="AP475" s="140"/>
      <c r="AQ475" s="140"/>
      <c r="AR475" s="140"/>
      <c r="AS475" s="140"/>
    </row>
    <row r="476">
      <c r="A476" s="149"/>
      <c r="B476" s="140"/>
      <c r="C476" s="140"/>
      <c r="D476" s="140"/>
      <c r="E476" s="140"/>
      <c r="F476" s="140"/>
      <c r="G476" s="140"/>
      <c r="H476" s="140"/>
      <c r="I476" s="140"/>
      <c r="J476" s="140"/>
      <c r="K476" s="140"/>
      <c r="L476" s="140"/>
      <c r="M476" s="140"/>
      <c r="N476" s="140"/>
      <c r="O476" s="140"/>
      <c r="P476" s="140"/>
      <c r="Q476" s="140"/>
      <c r="R476" s="140"/>
      <c r="S476" s="150"/>
      <c r="T476" s="150"/>
      <c r="U476" s="140"/>
      <c r="V476" s="140"/>
      <c r="W476" s="140"/>
      <c r="X476" s="140"/>
      <c r="Y476" s="140"/>
      <c r="Z476" s="140"/>
      <c r="AA476" s="140"/>
      <c r="AB476" s="140"/>
      <c r="AC476" s="140"/>
      <c r="AD476" s="140"/>
      <c r="AE476" s="140"/>
      <c r="AF476" s="140"/>
      <c r="AG476" s="140"/>
      <c r="AH476" s="140"/>
      <c r="AI476" s="140"/>
      <c r="AJ476" s="140"/>
      <c r="AK476" s="140"/>
      <c r="AL476" s="140"/>
      <c r="AM476" s="140"/>
      <c r="AN476" s="140"/>
      <c r="AO476" s="140"/>
      <c r="AP476" s="140"/>
      <c r="AQ476" s="140"/>
      <c r="AR476" s="140"/>
      <c r="AS476" s="140"/>
    </row>
    <row r="477">
      <c r="A477" s="149"/>
      <c r="B477" s="140"/>
      <c r="C477" s="140"/>
      <c r="D477" s="140"/>
      <c r="E477" s="140"/>
      <c r="F477" s="140"/>
      <c r="G477" s="140"/>
      <c r="H477" s="140"/>
      <c r="I477" s="140"/>
      <c r="J477" s="140"/>
      <c r="K477" s="140"/>
      <c r="L477" s="140"/>
      <c r="M477" s="140"/>
      <c r="N477" s="140"/>
      <c r="O477" s="140"/>
      <c r="P477" s="140"/>
      <c r="Q477" s="140"/>
      <c r="R477" s="140"/>
      <c r="S477" s="150"/>
      <c r="T477" s="150"/>
      <c r="U477" s="140"/>
      <c r="V477" s="140"/>
      <c r="W477" s="140"/>
      <c r="X477" s="140"/>
      <c r="Y477" s="140"/>
      <c r="Z477" s="140"/>
      <c r="AA477" s="140"/>
      <c r="AB477" s="140"/>
      <c r="AC477" s="140"/>
      <c r="AD477" s="140"/>
      <c r="AE477" s="140"/>
      <c r="AF477" s="140"/>
      <c r="AG477" s="140"/>
      <c r="AH477" s="140"/>
      <c r="AI477" s="140"/>
      <c r="AJ477" s="140"/>
      <c r="AK477" s="140"/>
      <c r="AL477" s="140"/>
      <c r="AM477" s="140"/>
      <c r="AN477" s="140"/>
      <c r="AO477" s="140"/>
      <c r="AP477" s="140"/>
      <c r="AQ477" s="140"/>
      <c r="AR477" s="140"/>
      <c r="AS477" s="140"/>
    </row>
    <row r="478">
      <c r="A478" s="149"/>
      <c r="B478" s="140"/>
      <c r="C478" s="140"/>
      <c r="D478" s="140"/>
      <c r="E478" s="140"/>
      <c r="F478" s="140"/>
      <c r="G478" s="140"/>
      <c r="H478" s="140"/>
      <c r="I478" s="140"/>
      <c r="J478" s="140"/>
      <c r="K478" s="140"/>
      <c r="L478" s="140"/>
      <c r="M478" s="140"/>
      <c r="N478" s="140"/>
      <c r="O478" s="140"/>
      <c r="P478" s="140"/>
      <c r="Q478" s="140"/>
      <c r="R478" s="140"/>
      <c r="S478" s="150"/>
      <c r="T478" s="150"/>
      <c r="U478" s="140"/>
      <c r="V478" s="140"/>
      <c r="W478" s="140"/>
      <c r="X478" s="140"/>
      <c r="Y478" s="140"/>
      <c r="Z478" s="140"/>
      <c r="AA478" s="140"/>
      <c r="AB478" s="140"/>
      <c r="AC478" s="140"/>
      <c r="AD478" s="140"/>
      <c r="AE478" s="140"/>
      <c r="AF478" s="140"/>
      <c r="AG478" s="140"/>
      <c r="AH478" s="140"/>
      <c r="AI478" s="140"/>
      <c r="AJ478" s="140"/>
      <c r="AK478" s="140"/>
      <c r="AL478" s="140"/>
      <c r="AM478" s="140"/>
      <c r="AN478" s="140"/>
      <c r="AO478" s="140"/>
      <c r="AP478" s="140"/>
      <c r="AQ478" s="140"/>
      <c r="AR478" s="140"/>
      <c r="AS478" s="140"/>
    </row>
    <row r="479">
      <c r="A479" s="149"/>
      <c r="B479" s="140"/>
      <c r="C479" s="140"/>
      <c r="D479" s="140"/>
      <c r="E479" s="140"/>
      <c r="F479" s="140"/>
      <c r="G479" s="140"/>
      <c r="H479" s="140"/>
      <c r="I479" s="140"/>
      <c r="J479" s="140"/>
      <c r="K479" s="140"/>
      <c r="L479" s="140"/>
      <c r="M479" s="140"/>
      <c r="N479" s="140"/>
      <c r="O479" s="140"/>
      <c r="P479" s="140"/>
      <c r="Q479" s="140"/>
      <c r="R479" s="140"/>
      <c r="S479" s="150"/>
      <c r="T479" s="150"/>
      <c r="U479" s="140"/>
      <c r="V479" s="140"/>
      <c r="W479" s="140"/>
      <c r="X479" s="140"/>
      <c r="Y479" s="140"/>
      <c r="Z479" s="140"/>
      <c r="AA479" s="140"/>
      <c r="AB479" s="140"/>
      <c r="AC479" s="140"/>
      <c r="AD479" s="140"/>
      <c r="AE479" s="140"/>
      <c r="AF479" s="140"/>
      <c r="AG479" s="140"/>
      <c r="AH479" s="140"/>
      <c r="AI479" s="140"/>
      <c r="AJ479" s="140"/>
      <c r="AK479" s="140"/>
      <c r="AL479" s="140"/>
      <c r="AM479" s="140"/>
      <c r="AN479" s="140"/>
      <c r="AO479" s="140"/>
      <c r="AP479" s="140"/>
      <c r="AQ479" s="140"/>
      <c r="AR479" s="140"/>
      <c r="AS479" s="140"/>
    </row>
    <row r="480">
      <c r="A480" s="149"/>
      <c r="B480" s="140"/>
      <c r="C480" s="140"/>
      <c r="D480" s="140"/>
      <c r="E480" s="140"/>
      <c r="F480" s="140"/>
      <c r="G480" s="140"/>
      <c r="H480" s="140"/>
      <c r="I480" s="140"/>
      <c r="J480" s="140"/>
      <c r="K480" s="140"/>
      <c r="L480" s="140"/>
      <c r="M480" s="140"/>
      <c r="N480" s="140"/>
      <c r="O480" s="140"/>
      <c r="P480" s="140"/>
      <c r="Q480" s="140"/>
      <c r="R480" s="140"/>
      <c r="S480" s="150"/>
      <c r="T480" s="150"/>
      <c r="U480" s="140"/>
      <c r="V480" s="140"/>
      <c r="W480" s="140"/>
      <c r="X480" s="140"/>
      <c r="Y480" s="140"/>
      <c r="Z480" s="140"/>
      <c r="AA480" s="140"/>
      <c r="AB480" s="140"/>
      <c r="AC480" s="140"/>
      <c r="AD480" s="140"/>
      <c r="AE480" s="140"/>
      <c r="AF480" s="140"/>
      <c r="AG480" s="140"/>
      <c r="AH480" s="140"/>
      <c r="AI480" s="140"/>
      <c r="AJ480" s="140"/>
      <c r="AK480" s="140"/>
      <c r="AL480" s="140"/>
      <c r="AM480" s="140"/>
      <c r="AN480" s="140"/>
      <c r="AO480" s="140"/>
      <c r="AP480" s="140"/>
      <c r="AQ480" s="140"/>
      <c r="AR480" s="140"/>
      <c r="AS480" s="140"/>
    </row>
    <row r="481">
      <c r="A481" s="149"/>
      <c r="B481" s="140"/>
      <c r="C481" s="140"/>
      <c r="D481" s="140"/>
      <c r="E481" s="140"/>
      <c r="F481" s="140"/>
      <c r="G481" s="140"/>
      <c r="H481" s="140"/>
      <c r="I481" s="140"/>
      <c r="J481" s="140"/>
      <c r="K481" s="140"/>
      <c r="L481" s="140"/>
      <c r="M481" s="140"/>
      <c r="N481" s="140"/>
      <c r="O481" s="140"/>
      <c r="P481" s="140"/>
      <c r="Q481" s="140"/>
      <c r="R481" s="140"/>
      <c r="S481" s="150"/>
      <c r="T481" s="150"/>
      <c r="U481" s="140"/>
      <c r="V481" s="140"/>
      <c r="W481" s="140"/>
      <c r="X481" s="140"/>
      <c r="Y481" s="140"/>
      <c r="Z481" s="140"/>
      <c r="AA481" s="140"/>
      <c r="AB481" s="140"/>
      <c r="AC481" s="140"/>
      <c r="AD481" s="140"/>
      <c r="AE481" s="140"/>
      <c r="AF481" s="140"/>
      <c r="AG481" s="140"/>
      <c r="AH481" s="140"/>
      <c r="AI481" s="140"/>
      <c r="AJ481" s="140"/>
      <c r="AK481" s="140"/>
      <c r="AL481" s="140"/>
      <c r="AM481" s="140"/>
      <c r="AN481" s="140"/>
      <c r="AO481" s="140"/>
      <c r="AP481" s="140"/>
      <c r="AQ481" s="140"/>
      <c r="AR481" s="140"/>
      <c r="AS481" s="140"/>
    </row>
    <row r="482">
      <c r="A482" s="149"/>
      <c r="B482" s="140"/>
      <c r="C482" s="140"/>
      <c r="D482" s="140"/>
      <c r="E482" s="140"/>
      <c r="F482" s="140"/>
      <c r="G482" s="140"/>
      <c r="H482" s="140"/>
      <c r="I482" s="140"/>
      <c r="J482" s="140"/>
      <c r="K482" s="140"/>
      <c r="L482" s="140"/>
      <c r="M482" s="140"/>
      <c r="N482" s="140"/>
      <c r="O482" s="140"/>
      <c r="P482" s="140"/>
      <c r="Q482" s="140"/>
      <c r="R482" s="140"/>
      <c r="S482" s="150"/>
      <c r="T482" s="150"/>
      <c r="U482" s="140"/>
      <c r="V482" s="140"/>
      <c r="W482" s="140"/>
      <c r="X482" s="140"/>
      <c r="Y482" s="140"/>
      <c r="Z482" s="140"/>
      <c r="AA482" s="140"/>
      <c r="AB482" s="140"/>
      <c r="AC482" s="140"/>
      <c r="AD482" s="140"/>
      <c r="AE482" s="140"/>
      <c r="AF482" s="140"/>
      <c r="AG482" s="140"/>
      <c r="AH482" s="140"/>
      <c r="AI482" s="140"/>
      <c r="AJ482" s="140"/>
      <c r="AK482" s="140"/>
      <c r="AL482" s="140"/>
      <c r="AM482" s="140"/>
      <c r="AN482" s="140"/>
      <c r="AO482" s="140"/>
      <c r="AP482" s="140"/>
      <c r="AQ482" s="140"/>
      <c r="AR482" s="140"/>
      <c r="AS482" s="140"/>
    </row>
    <row r="483">
      <c r="A483" s="149"/>
      <c r="B483" s="140"/>
      <c r="C483" s="140"/>
      <c r="D483" s="140"/>
      <c r="E483" s="140"/>
      <c r="F483" s="140"/>
      <c r="G483" s="140"/>
      <c r="H483" s="140"/>
      <c r="I483" s="140"/>
      <c r="J483" s="140"/>
      <c r="K483" s="140"/>
      <c r="L483" s="140"/>
      <c r="M483" s="140"/>
      <c r="N483" s="140"/>
      <c r="O483" s="140"/>
      <c r="P483" s="140"/>
      <c r="Q483" s="140"/>
      <c r="R483" s="140"/>
      <c r="S483" s="150"/>
      <c r="T483" s="150"/>
      <c r="U483" s="140"/>
      <c r="V483" s="140"/>
      <c r="W483" s="140"/>
      <c r="X483" s="140"/>
      <c r="Y483" s="140"/>
      <c r="Z483" s="140"/>
      <c r="AA483" s="140"/>
      <c r="AB483" s="140"/>
      <c r="AC483" s="140"/>
      <c r="AD483" s="140"/>
      <c r="AE483" s="140"/>
      <c r="AF483" s="140"/>
      <c r="AG483" s="140"/>
      <c r="AH483" s="140"/>
      <c r="AI483" s="140"/>
      <c r="AJ483" s="140"/>
      <c r="AK483" s="140"/>
      <c r="AL483" s="140"/>
      <c r="AM483" s="140"/>
      <c r="AN483" s="140"/>
      <c r="AO483" s="140"/>
      <c r="AP483" s="140"/>
      <c r="AQ483" s="140"/>
      <c r="AR483" s="140"/>
      <c r="AS483" s="140"/>
    </row>
    <row r="484">
      <c r="A484" s="149"/>
      <c r="B484" s="140"/>
      <c r="C484" s="140"/>
      <c r="D484" s="140"/>
      <c r="E484" s="140"/>
      <c r="F484" s="140"/>
      <c r="G484" s="140"/>
      <c r="H484" s="140"/>
      <c r="I484" s="140"/>
      <c r="J484" s="140"/>
      <c r="K484" s="140"/>
      <c r="L484" s="140"/>
      <c r="M484" s="140"/>
      <c r="N484" s="140"/>
      <c r="O484" s="140"/>
      <c r="P484" s="140"/>
      <c r="Q484" s="140"/>
      <c r="R484" s="140"/>
      <c r="S484" s="150"/>
      <c r="T484" s="150"/>
      <c r="U484" s="140"/>
      <c r="V484" s="140"/>
      <c r="W484" s="140"/>
      <c r="X484" s="140"/>
      <c r="Y484" s="140"/>
      <c r="Z484" s="140"/>
      <c r="AA484" s="140"/>
      <c r="AB484" s="140"/>
      <c r="AC484" s="140"/>
      <c r="AD484" s="140"/>
      <c r="AE484" s="140"/>
      <c r="AF484" s="140"/>
      <c r="AG484" s="140"/>
      <c r="AH484" s="140"/>
      <c r="AI484" s="140"/>
      <c r="AJ484" s="140"/>
      <c r="AK484" s="140"/>
      <c r="AL484" s="140"/>
      <c r="AM484" s="140"/>
      <c r="AN484" s="140"/>
      <c r="AO484" s="140"/>
      <c r="AP484" s="140"/>
      <c r="AQ484" s="140"/>
      <c r="AR484" s="140"/>
      <c r="AS484" s="140"/>
    </row>
    <row r="485">
      <c r="A485" s="149"/>
      <c r="B485" s="140"/>
      <c r="C485" s="140"/>
      <c r="D485" s="140"/>
      <c r="E485" s="140"/>
      <c r="F485" s="140"/>
      <c r="G485" s="140"/>
      <c r="H485" s="140"/>
      <c r="I485" s="140"/>
      <c r="J485" s="140"/>
      <c r="K485" s="140"/>
      <c r="L485" s="140"/>
      <c r="M485" s="140"/>
      <c r="N485" s="140"/>
      <c r="O485" s="140"/>
      <c r="P485" s="140"/>
      <c r="Q485" s="140"/>
      <c r="R485" s="140"/>
      <c r="S485" s="150"/>
      <c r="T485" s="150"/>
      <c r="U485" s="140"/>
      <c r="V485" s="140"/>
      <c r="W485" s="140"/>
      <c r="X485" s="140"/>
      <c r="Y485" s="140"/>
      <c r="Z485" s="140"/>
      <c r="AA485" s="140"/>
      <c r="AB485" s="140"/>
      <c r="AC485" s="140"/>
      <c r="AD485" s="140"/>
      <c r="AE485" s="140"/>
      <c r="AF485" s="140"/>
      <c r="AG485" s="140"/>
      <c r="AH485" s="140"/>
      <c r="AI485" s="140"/>
      <c r="AJ485" s="140"/>
      <c r="AK485" s="140"/>
      <c r="AL485" s="140"/>
      <c r="AM485" s="140"/>
      <c r="AN485" s="140"/>
      <c r="AO485" s="140"/>
      <c r="AP485" s="140"/>
      <c r="AQ485" s="140"/>
      <c r="AR485" s="140"/>
      <c r="AS485" s="140"/>
    </row>
    <row r="486">
      <c r="A486" s="149"/>
      <c r="B486" s="140"/>
      <c r="C486" s="140"/>
      <c r="D486" s="140"/>
      <c r="E486" s="140"/>
      <c r="F486" s="140"/>
      <c r="G486" s="140"/>
      <c r="H486" s="140"/>
      <c r="I486" s="140"/>
      <c r="J486" s="140"/>
      <c r="K486" s="140"/>
      <c r="L486" s="140"/>
      <c r="M486" s="140"/>
      <c r="N486" s="140"/>
      <c r="O486" s="140"/>
      <c r="P486" s="140"/>
      <c r="Q486" s="140"/>
      <c r="R486" s="140"/>
      <c r="S486" s="150"/>
      <c r="T486" s="150"/>
      <c r="U486" s="140"/>
      <c r="V486" s="140"/>
      <c r="W486" s="140"/>
      <c r="X486" s="140"/>
      <c r="Y486" s="140"/>
      <c r="Z486" s="140"/>
      <c r="AA486" s="140"/>
      <c r="AB486" s="140"/>
      <c r="AC486" s="140"/>
      <c r="AD486" s="140"/>
      <c r="AE486" s="140"/>
      <c r="AF486" s="140"/>
      <c r="AG486" s="140"/>
      <c r="AH486" s="140"/>
      <c r="AI486" s="140"/>
      <c r="AJ486" s="140"/>
      <c r="AK486" s="140"/>
      <c r="AL486" s="140"/>
      <c r="AM486" s="140"/>
      <c r="AN486" s="140"/>
      <c r="AO486" s="140"/>
      <c r="AP486" s="140"/>
      <c r="AQ486" s="140"/>
      <c r="AR486" s="140"/>
      <c r="AS486" s="140"/>
    </row>
    <row r="487">
      <c r="A487" s="149"/>
      <c r="B487" s="140"/>
      <c r="C487" s="140"/>
      <c r="D487" s="140"/>
      <c r="E487" s="140"/>
      <c r="F487" s="140"/>
      <c r="G487" s="140"/>
      <c r="H487" s="140"/>
      <c r="I487" s="140"/>
      <c r="J487" s="140"/>
      <c r="K487" s="140"/>
      <c r="L487" s="140"/>
      <c r="M487" s="140"/>
      <c r="N487" s="140"/>
      <c r="O487" s="140"/>
      <c r="P487" s="140"/>
      <c r="Q487" s="140"/>
      <c r="R487" s="140"/>
      <c r="S487" s="150"/>
      <c r="T487" s="150"/>
      <c r="U487" s="140"/>
      <c r="V487" s="140"/>
      <c r="W487" s="140"/>
      <c r="X487" s="140"/>
      <c r="Y487" s="140"/>
      <c r="Z487" s="140"/>
      <c r="AA487" s="140"/>
      <c r="AB487" s="140"/>
      <c r="AC487" s="140"/>
      <c r="AD487" s="140"/>
      <c r="AE487" s="140"/>
      <c r="AF487" s="140"/>
      <c r="AG487" s="140"/>
      <c r="AH487" s="140"/>
      <c r="AI487" s="140"/>
      <c r="AJ487" s="140"/>
      <c r="AK487" s="140"/>
      <c r="AL487" s="140"/>
      <c r="AM487" s="140"/>
      <c r="AN487" s="140"/>
      <c r="AO487" s="140"/>
      <c r="AP487" s="140"/>
      <c r="AQ487" s="140"/>
      <c r="AR487" s="140"/>
      <c r="AS487" s="140"/>
    </row>
    <row r="488">
      <c r="A488" s="149"/>
      <c r="B488" s="140"/>
      <c r="C488" s="140"/>
      <c r="D488" s="140"/>
      <c r="E488" s="140"/>
      <c r="F488" s="140"/>
      <c r="G488" s="140"/>
      <c r="H488" s="140"/>
      <c r="I488" s="140"/>
      <c r="J488" s="140"/>
      <c r="K488" s="140"/>
      <c r="L488" s="140"/>
      <c r="M488" s="140"/>
      <c r="N488" s="140"/>
      <c r="O488" s="140"/>
      <c r="P488" s="140"/>
      <c r="Q488" s="140"/>
      <c r="R488" s="140"/>
      <c r="S488" s="150"/>
      <c r="T488" s="150"/>
      <c r="U488" s="140"/>
      <c r="V488" s="140"/>
      <c r="W488" s="140"/>
      <c r="X488" s="140"/>
      <c r="Y488" s="140"/>
      <c r="Z488" s="140"/>
      <c r="AA488" s="140"/>
      <c r="AB488" s="140"/>
      <c r="AC488" s="140"/>
      <c r="AD488" s="140"/>
      <c r="AE488" s="140"/>
      <c r="AF488" s="140"/>
      <c r="AG488" s="140"/>
      <c r="AH488" s="140"/>
      <c r="AI488" s="140"/>
      <c r="AJ488" s="140"/>
      <c r="AK488" s="140"/>
      <c r="AL488" s="140"/>
      <c r="AM488" s="140"/>
      <c r="AN488" s="140"/>
      <c r="AO488" s="140"/>
      <c r="AP488" s="140"/>
      <c r="AQ488" s="140"/>
      <c r="AR488" s="140"/>
      <c r="AS488" s="140"/>
    </row>
    <row r="489">
      <c r="A489" s="149"/>
      <c r="B489" s="140"/>
      <c r="C489" s="140"/>
      <c r="D489" s="140"/>
      <c r="E489" s="140"/>
      <c r="F489" s="140"/>
      <c r="G489" s="140"/>
      <c r="H489" s="140"/>
      <c r="I489" s="140"/>
      <c r="J489" s="140"/>
      <c r="K489" s="140"/>
      <c r="L489" s="140"/>
      <c r="M489" s="140"/>
      <c r="N489" s="140"/>
      <c r="O489" s="140"/>
      <c r="P489" s="140"/>
      <c r="Q489" s="140"/>
      <c r="R489" s="140"/>
      <c r="S489" s="150"/>
      <c r="T489" s="150"/>
      <c r="U489" s="140"/>
      <c r="V489" s="140"/>
      <c r="W489" s="140"/>
      <c r="X489" s="140"/>
      <c r="Y489" s="140"/>
      <c r="Z489" s="140"/>
      <c r="AA489" s="140"/>
      <c r="AB489" s="140"/>
      <c r="AC489" s="140"/>
      <c r="AD489" s="140"/>
      <c r="AE489" s="140"/>
      <c r="AF489" s="140"/>
      <c r="AG489" s="140"/>
      <c r="AH489" s="140"/>
      <c r="AI489" s="140"/>
      <c r="AJ489" s="140"/>
      <c r="AK489" s="140"/>
      <c r="AL489" s="140"/>
      <c r="AM489" s="140"/>
      <c r="AN489" s="140"/>
      <c r="AO489" s="140"/>
      <c r="AP489" s="140"/>
      <c r="AQ489" s="140"/>
      <c r="AR489" s="140"/>
      <c r="AS489" s="140"/>
    </row>
    <row r="490">
      <c r="A490" s="149"/>
      <c r="B490" s="140"/>
      <c r="C490" s="140"/>
      <c r="D490" s="140"/>
      <c r="E490" s="140"/>
      <c r="F490" s="140"/>
      <c r="G490" s="140"/>
      <c r="H490" s="140"/>
      <c r="I490" s="140"/>
      <c r="J490" s="140"/>
      <c r="K490" s="140"/>
      <c r="L490" s="140"/>
      <c r="M490" s="140"/>
      <c r="N490" s="140"/>
      <c r="O490" s="140"/>
      <c r="P490" s="140"/>
      <c r="Q490" s="140"/>
      <c r="R490" s="140"/>
      <c r="S490" s="150"/>
      <c r="T490" s="150"/>
      <c r="U490" s="140"/>
      <c r="V490" s="140"/>
      <c r="W490" s="140"/>
      <c r="X490" s="140"/>
      <c r="Y490" s="140"/>
      <c r="Z490" s="140"/>
      <c r="AA490" s="140"/>
      <c r="AB490" s="140"/>
      <c r="AC490" s="140"/>
      <c r="AD490" s="140"/>
      <c r="AE490" s="140"/>
      <c r="AF490" s="140"/>
      <c r="AG490" s="140"/>
      <c r="AH490" s="140"/>
      <c r="AI490" s="140"/>
      <c r="AJ490" s="140"/>
      <c r="AK490" s="140"/>
      <c r="AL490" s="140"/>
      <c r="AM490" s="140"/>
      <c r="AN490" s="140"/>
      <c r="AO490" s="140"/>
      <c r="AP490" s="140"/>
      <c r="AQ490" s="140"/>
      <c r="AR490" s="140"/>
      <c r="AS490" s="140"/>
    </row>
    <row r="491">
      <c r="A491" s="149"/>
      <c r="B491" s="140"/>
      <c r="C491" s="140"/>
      <c r="D491" s="140"/>
      <c r="E491" s="140"/>
      <c r="F491" s="140"/>
      <c r="G491" s="140"/>
      <c r="H491" s="140"/>
      <c r="I491" s="140"/>
      <c r="J491" s="140"/>
      <c r="K491" s="140"/>
      <c r="L491" s="140"/>
      <c r="M491" s="140"/>
      <c r="N491" s="140"/>
      <c r="O491" s="140"/>
      <c r="P491" s="140"/>
      <c r="Q491" s="140"/>
      <c r="R491" s="140"/>
      <c r="S491" s="150"/>
      <c r="T491" s="150"/>
      <c r="U491" s="140"/>
      <c r="V491" s="140"/>
      <c r="W491" s="140"/>
      <c r="X491" s="140"/>
      <c r="Y491" s="140"/>
      <c r="Z491" s="140"/>
      <c r="AA491" s="140"/>
      <c r="AB491" s="140"/>
      <c r="AC491" s="140"/>
      <c r="AD491" s="140"/>
      <c r="AE491" s="140"/>
      <c r="AF491" s="140"/>
      <c r="AG491" s="140"/>
      <c r="AH491" s="140"/>
      <c r="AI491" s="140"/>
      <c r="AJ491" s="140"/>
      <c r="AK491" s="140"/>
      <c r="AL491" s="140"/>
      <c r="AM491" s="140"/>
      <c r="AN491" s="140"/>
      <c r="AO491" s="140"/>
      <c r="AP491" s="140"/>
      <c r="AQ491" s="140"/>
      <c r="AR491" s="140"/>
      <c r="AS491" s="140"/>
    </row>
    <row r="492">
      <c r="A492" s="149"/>
      <c r="B492" s="140"/>
      <c r="C492" s="140"/>
      <c r="D492" s="140"/>
      <c r="E492" s="140"/>
      <c r="F492" s="140"/>
      <c r="G492" s="140"/>
      <c r="H492" s="140"/>
      <c r="I492" s="140"/>
      <c r="J492" s="140"/>
      <c r="K492" s="140"/>
      <c r="L492" s="140"/>
      <c r="M492" s="140"/>
      <c r="N492" s="140"/>
      <c r="O492" s="140"/>
      <c r="P492" s="140"/>
      <c r="Q492" s="140"/>
      <c r="R492" s="140"/>
      <c r="S492" s="150"/>
      <c r="T492" s="150"/>
      <c r="U492" s="140"/>
      <c r="V492" s="140"/>
      <c r="W492" s="140"/>
      <c r="X492" s="140"/>
      <c r="Y492" s="140"/>
      <c r="Z492" s="140"/>
      <c r="AA492" s="140"/>
      <c r="AB492" s="140"/>
      <c r="AC492" s="140"/>
      <c r="AD492" s="140"/>
      <c r="AE492" s="140"/>
      <c r="AF492" s="140"/>
      <c r="AG492" s="140"/>
      <c r="AH492" s="140"/>
      <c r="AI492" s="140"/>
      <c r="AJ492" s="140"/>
      <c r="AK492" s="140"/>
      <c r="AL492" s="140"/>
      <c r="AM492" s="140"/>
      <c r="AN492" s="140"/>
      <c r="AO492" s="140"/>
      <c r="AP492" s="140"/>
      <c r="AQ492" s="140"/>
      <c r="AR492" s="140"/>
      <c r="AS492" s="140"/>
    </row>
    <row r="493">
      <c r="A493" s="149"/>
      <c r="B493" s="140"/>
      <c r="C493" s="140"/>
      <c r="D493" s="140"/>
      <c r="E493" s="140"/>
      <c r="F493" s="140"/>
      <c r="G493" s="140"/>
      <c r="H493" s="140"/>
      <c r="I493" s="140"/>
      <c r="J493" s="140"/>
      <c r="K493" s="140"/>
      <c r="L493" s="140"/>
      <c r="M493" s="140"/>
      <c r="N493" s="140"/>
      <c r="O493" s="140"/>
      <c r="P493" s="140"/>
      <c r="Q493" s="140"/>
      <c r="R493" s="140"/>
      <c r="S493" s="150"/>
      <c r="T493" s="150"/>
      <c r="U493" s="140"/>
      <c r="V493" s="140"/>
      <c r="W493" s="140"/>
      <c r="X493" s="140"/>
      <c r="Y493" s="140"/>
      <c r="Z493" s="140"/>
      <c r="AA493" s="140"/>
      <c r="AB493" s="140"/>
      <c r="AC493" s="140"/>
      <c r="AD493" s="140"/>
      <c r="AE493" s="140"/>
      <c r="AF493" s="140"/>
      <c r="AG493" s="140"/>
      <c r="AH493" s="140"/>
      <c r="AI493" s="140"/>
      <c r="AJ493" s="140"/>
      <c r="AK493" s="140"/>
      <c r="AL493" s="140"/>
      <c r="AM493" s="140"/>
      <c r="AN493" s="140"/>
      <c r="AO493" s="140"/>
      <c r="AP493" s="140"/>
      <c r="AQ493" s="140"/>
      <c r="AR493" s="140"/>
      <c r="AS493" s="140"/>
    </row>
    <row r="494">
      <c r="A494" s="149"/>
      <c r="B494" s="140"/>
      <c r="C494" s="140"/>
      <c r="D494" s="140"/>
      <c r="E494" s="140"/>
      <c r="F494" s="140"/>
      <c r="G494" s="140"/>
      <c r="H494" s="140"/>
      <c r="I494" s="140"/>
      <c r="J494" s="140"/>
      <c r="K494" s="140"/>
      <c r="L494" s="140"/>
      <c r="M494" s="140"/>
      <c r="N494" s="140"/>
      <c r="O494" s="140"/>
      <c r="P494" s="140"/>
      <c r="Q494" s="140"/>
      <c r="R494" s="140"/>
      <c r="S494" s="150"/>
      <c r="T494" s="150"/>
      <c r="U494" s="140"/>
      <c r="V494" s="140"/>
      <c r="W494" s="140"/>
      <c r="X494" s="140"/>
      <c r="Y494" s="140"/>
      <c r="Z494" s="140"/>
      <c r="AA494" s="140"/>
      <c r="AB494" s="140"/>
      <c r="AC494" s="140"/>
      <c r="AD494" s="140"/>
      <c r="AE494" s="140"/>
      <c r="AF494" s="140"/>
      <c r="AG494" s="140"/>
      <c r="AH494" s="140"/>
      <c r="AI494" s="140"/>
      <c r="AJ494" s="140"/>
      <c r="AK494" s="140"/>
      <c r="AL494" s="140"/>
      <c r="AM494" s="140"/>
      <c r="AN494" s="140"/>
      <c r="AO494" s="140"/>
      <c r="AP494" s="140"/>
      <c r="AQ494" s="140"/>
      <c r="AR494" s="140"/>
      <c r="AS494" s="140"/>
    </row>
    <row r="495">
      <c r="A495" s="149"/>
      <c r="B495" s="140"/>
      <c r="C495" s="140"/>
      <c r="D495" s="140"/>
      <c r="E495" s="140"/>
      <c r="F495" s="140"/>
      <c r="G495" s="140"/>
      <c r="H495" s="140"/>
      <c r="I495" s="140"/>
      <c r="J495" s="140"/>
      <c r="K495" s="140"/>
      <c r="L495" s="140"/>
      <c r="M495" s="140"/>
      <c r="N495" s="140"/>
      <c r="O495" s="140"/>
      <c r="P495" s="140"/>
      <c r="Q495" s="140"/>
      <c r="R495" s="140"/>
      <c r="S495" s="150"/>
      <c r="T495" s="150"/>
      <c r="U495" s="140"/>
      <c r="V495" s="140"/>
      <c r="W495" s="140"/>
      <c r="X495" s="140"/>
      <c r="Y495" s="140"/>
      <c r="Z495" s="140"/>
      <c r="AA495" s="140"/>
      <c r="AB495" s="140"/>
      <c r="AC495" s="140"/>
      <c r="AD495" s="140"/>
      <c r="AE495" s="140"/>
      <c r="AF495" s="140"/>
      <c r="AG495" s="140"/>
      <c r="AH495" s="140"/>
      <c r="AI495" s="140"/>
      <c r="AJ495" s="140"/>
      <c r="AK495" s="140"/>
      <c r="AL495" s="140"/>
      <c r="AM495" s="140"/>
      <c r="AN495" s="140"/>
      <c r="AO495" s="140"/>
      <c r="AP495" s="140"/>
      <c r="AQ495" s="140"/>
      <c r="AR495" s="140"/>
      <c r="AS495" s="140"/>
    </row>
    <row r="496">
      <c r="A496" s="149"/>
      <c r="B496" s="140"/>
      <c r="C496" s="140"/>
      <c r="D496" s="140"/>
      <c r="E496" s="140"/>
      <c r="F496" s="140"/>
      <c r="G496" s="140"/>
      <c r="H496" s="140"/>
      <c r="I496" s="140"/>
      <c r="J496" s="140"/>
      <c r="K496" s="140"/>
      <c r="L496" s="140"/>
      <c r="M496" s="140"/>
      <c r="N496" s="140"/>
      <c r="O496" s="140"/>
      <c r="P496" s="140"/>
      <c r="Q496" s="140"/>
      <c r="R496" s="140"/>
      <c r="S496" s="150"/>
      <c r="T496" s="150"/>
      <c r="U496" s="140"/>
      <c r="V496" s="140"/>
      <c r="W496" s="140"/>
      <c r="X496" s="140"/>
      <c r="Y496" s="140"/>
      <c r="Z496" s="140"/>
      <c r="AA496" s="140"/>
      <c r="AB496" s="140"/>
      <c r="AC496" s="140"/>
      <c r="AD496" s="140"/>
      <c r="AE496" s="140"/>
      <c r="AF496" s="140"/>
      <c r="AG496" s="140"/>
      <c r="AH496" s="140"/>
      <c r="AI496" s="140"/>
      <c r="AJ496" s="140"/>
      <c r="AK496" s="140"/>
      <c r="AL496" s="140"/>
      <c r="AM496" s="140"/>
      <c r="AN496" s="140"/>
      <c r="AO496" s="140"/>
      <c r="AP496" s="140"/>
      <c r="AQ496" s="140"/>
      <c r="AR496" s="140"/>
      <c r="AS496" s="140"/>
    </row>
    <row r="497">
      <c r="A497" s="149"/>
      <c r="B497" s="140"/>
      <c r="C497" s="140"/>
      <c r="D497" s="140"/>
      <c r="E497" s="140"/>
      <c r="F497" s="140"/>
      <c r="G497" s="140"/>
      <c r="H497" s="140"/>
      <c r="I497" s="140"/>
      <c r="J497" s="140"/>
      <c r="K497" s="140"/>
      <c r="L497" s="140"/>
      <c r="M497" s="140"/>
      <c r="N497" s="140"/>
      <c r="O497" s="140"/>
      <c r="P497" s="140"/>
      <c r="Q497" s="140"/>
      <c r="R497" s="140"/>
      <c r="S497" s="150"/>
      <c r="T497" s="150"/>
      <c r="U497" s="140"/>
      <c r="V497" s="140"/>
      <c r="W497" s="140"/>
      <c r="X497" s="140"/>
      <c r="Y497" s="140"/>
      <c r="Z497" s="140"/>
      <c r="AA497" s="140"/>
      <c r="AB497" s="140"/>
      <c r="AC497" s="140"/>
      <c r="AD497" s="140"/>
      <c r="AE497" s="140"/>
      <c r="AF497" s="140"/>
      <c r="AG497" s="140"/>
      <c r="AH497" s="140"/>
      <c r="AI497" s="140"/>
      <c r="AJ497" s="140"/>
      <c r="AK497" s="140"/>
      <c r="AL497" s="140"/>
      <c r="AM497" s="140"/>
      <c r="AN497" s="140"/>
      <c r="AO497" s="140"/>
      <c r="AP497" s="140"/>
      <c r="AQ497" s="140"/>
      <c r="AR497" s="140"/>
      <c r="AS497" s="140"/>
    </row>
    <row r="498">
      <c r="A498" s="149"/>
      <c r="B498" s="140"/>
      <c r="C498" s="140"/>
      <c r="D498" s="140"/>
      <c r="E498" s="140"/>
      <c r="F498" s="140"/>
      <c r="G498" s="140"/>
      <c r="H498" s="140"/>
      <c r="I498" s="140"/>
      <c r="J498" s="140"/>
      <c r="K498" s="140"/>
      <c r="L498" s="140"/>
      <c r="M498" s="140"/>
      <c r="N498" s="140"/>
      <c r="O498" s="140"/>
      <c r="P498" s="140"/>
      <c r="Q498" s="140"/>
      <c r="R498" s="140"/>
      <c r="S498" s="150"/>
      <c r="T498" s="150"/>
      <c r="U498" s="140"/>
      <c r="V498" s="140"/>
      <c r="W498" s="140"/>
      <c r="X498" s="140"/>
      <c r="Y498" s="140"/>
      <c r="Z498" s="140"/>
      <c r="AA498" s="140"/>
      <c r="AB498" s="140"/>
      <c r="AC498" s="140"/>
      <c r="AD498" s="140"/>
      <c r="AE498" s="140"/>
      <c r="AF498" s="140"/>
      <c r="AG498" s="140"/>
      <c r="AH498" s="140"/>
      <c r="AI498" s="140"/>
      <c r="AJ498" s="140"/>
      <c r="AK498" s="140"/>
      <c r="AL498" s="140"/>
      <c r="AM498" s="140"/>
      <c r="AN498" s="140"/>
      <c r="AO498" s="140"/>
      <c r="AP498" s="140"/>
      <c r="AQ498" s="140"/>
      <c r="AR498" s="140"/>
      <c r="AS498" s="140"/>
    </row>
    <row r="499">
      <c r="A499" s="149"/>
      <c r="B499" s="140"/>
      <c r="C499" s="140"/>
      <c r="D499" s="140"/>
      <c r="E499" s="140"/>
      <c r="F499" s="140"/>
      <c r="G499" s="140"/>
      <c r="H499" s="140"/>
      <c r="I499" s="140"/>
      <c r="J499" s="140"/>
      <c r="K499" s="140"/>
      <c r="L499" s="140"/>
      <c r="M499" s="140"/>
      <c r="N499" s="140"/>
      <c r="O499" s="140"/>
      <c r="P499" s="140"/>
      <c r="Q499" s="140"/>
      <c r="R499" s="140"/>
      <c r="S499" s="150"/>
      <c r="T499" s="150"/>
      <c r="U499" s="140"/>
      <c r="V499" s="140"/>
      <c r="W499" s="140"/>
      <c r="X499" s="140"/>
      <c r="Y499" s="140"/>
      <c r="Z499" s="140"/>
      <c r="AA499" s="140"/>
      <c r="AB499" s="140"/>
      <c r="AC499" s="140"/>
      <c r="AD499" s="140"/>
      <c r="AE499" s="140"/>
      <c r="AF499" s="140"/>
      <c r="AG499" s="140"/>
      <c r="AH499" s="140"/>
      <c r="AI499" s="140"/>
      <c r="AJ499" s="140"/>
      <c r="AK499" s="140"/>
      <c r="AL499" s="140"/>
      <c r="AM499" s="140"/>
      <c r="AN499" s="140"/>
      <c r="AO499" s="140"/>
      <c r="AP499" s="140"/>
      <c r="AQ499" s="140"/>
      <c r="AR499" s="140"/>
      <c r="AS499" s="140"/>
    </row>
    <row r="500">
      <c r="A500" s="149"/>
      <c r="B500" s="140"/>
      <c r="C500" s="140"/>
      <c r="D500" s="140"/>
      <c r="E500" s="140"/>
      <c r="F500" s="140"/>
      <c r="G500" s="140"/>
      <c r="H500" s="140"/>
      <c r="I500" s="140"/>
      <c r="J500" s="140"/>
      <c r="K500" s="140"/>
      <c r="L500" s="140"/>
      <c r="M500" s="140"/>
      <c r="N500" s="140"/>
      <c r="O500" s="140"/>
      <c r="P500" s="140"/>
      <c r="Q500" s="140"/>
      <c r="R500" s="140"/>
      <c r="S500" s="150"/>
      <c r="T500" s="150"/>
      <c r="U500" s="140"/>
      <c r="V500" s="140"/>
      <c r="W500" s="140"/>
      <c r="X500" s="140"/>
      <c r="Y500" s="140"/>
      <c r="Z500" s="140"/>
      <c r="AA500" s="140"/>
      <c r="AB500" s="140"/>
      <c r="AC500" s="140"/>
      <c r="AD500" s="140"/>
      <c r="AE500" s="140"/>
      <c r="AF500" s="140"/>
      <c r="AG500" s="140"/>
      <c r="AH500" s="140"/>
      <c r="AI500" s="140"/>
      <c r="AJ500" s="140"/>
      <c r="AK500" s="140"/>
      <c r="AL500" s="140"/>
      <c r="AM500" s="140"/>
      <c r="AN500" s="140"/>
      <c r="AO500" s="140"/>
      <c r="AP500" s="140"/>
      <c r="AQ500" s="140"/>
      <c r="AR500" s="140"/>
      <c r="AS500" s="140"/>
    </row>
    <row r="501">
      <c r="A501" s="149"/>
      <c r="B501" s="140"/>
      <c r="C501" s="140"/>
      <c r="D501" s="140"/>
      <c r="E501" s="140"/>
      <c r="F501" s="140"/>
      <c r="G501" s="140"/>
      <c r="H501" s="140"/>
      <c r="I501" s="140"/>
      <c r="J501" s="140"/>
      <c r="K501" s="140"/>
      <c r="L501" s="140"/>
      <c r="M501" s="140"/>
      <c r="N501" s="140"/>
      <c r="O501" s="140"/>
      <c r="P501" s="140"/>
      <c r="Q501" s="140"/>
      <c r="R501" s="140"/>
      <c r="S501" s="150"/>
      <c r="T501" s="150"/>
      <c r="U501" s="140"/>
      <c r="V501" s="140"/>
      <c r="W501" s="140"/>
      <c r="X501" s="140"/>
      <c r="Y501" s="140"/>
      <c r="Z501" s="140"/>
      <c r="AA501" s="140"/>
      <c r="AB501" s="140"/>
      <c r="AC501" s="140"/>
      <c r="AD501" s="140"/>
      <c r="AE501" s="140"/>
      <c r="AF501" s="140"/>
      <c r="AG501" s="140"/>
      <c r="AH501" s="140"/>
      <c r="AI501" s="140"/>
      <c r="AJ501" s="140"/>
      <c r="AK501" s="140"/>
      <c r="AL501" s="140"/>
      <c r="AM501" s="140"/>
      <c r="AN501" s="140"/>
      <c r="AO501" s="140"/>
      <c r="AP501" s="140"/>
      <c r="AQ501" s="140"/>
      <c r="AR501" s="140"/>
      <c r="AS501" s="140"/>
    </row>
    <row r="502">
      <c r="A502" s="149"/>
      <c r="B502" s="140"/>
      <c r="C502" s="140"/>
      <c r="D502" s="140"/>
      <c r="E502" s="140"/>
      <c r="F502" s="140"/>
      <c r="G502" s="140"/>
      <c r="H502" s="140"/>
      <c r="I502" s="140"/>
      <c r="J502" s="140"/>
      <c r="K502" s="140"/>
      <c r="L502" s="140"/>
      <c r="M502" s="140"/>
      <c r="N502" s="140"/>
      <c r="O502" s="140"/>
      <c r="P502" s="140"/>
      <c r="Q502" s="140"/>
      <c r="R502" s="140"/>
      <c r="S502" s="150"/>
      <c r="T502" s="150"/>
      <c r="U502" s="140"/>
      <c r="V502" s="140"/>
      <c r="W502" s="140"/>
      <c r="X502" s="140"/>
      <c r="Y502" s="140"/>
      <c r="Z502" s="140"/>
      <c r="AA502" s="140"/>
      <c r="AB502" s="140"/>
      <c r="AC502" s="140"/>
      <c r="AD502" s="140"/>
      <c r="AE502" s="140"/>
      <c r="AF502" s="140"/>
      <c r="AG502" s="140"/>
      <c r="AH502" s="140"/>
      <c r="AI502" s="140"/>
      <c r="AJ502" s="140"/>
      <c r="AK502" s="140"/>
      <c r="AL502" s="140"/>
      <c r="AM502" s="140"/>
      <c r="AN502" s="140"/>
      <c r="AO502" s="140"/>
      <c r="AP502" s="140"/>
      <c r="AQ502" s="140"/>
      <c r="AR502" s="140"/>
      <c r="AS502" s="140"/>
    </row>
    <row r="503">
      <c r="A503" s="149"/>
      <c r="B503" s="140"/>
      <c r="C503" s="140"/>
      <c r="D503" s="140"/>
      <c r="E503" s="140"/>
      <c r="F503" s="140"/>
      <c r="G503" s="140"/>
      <c r="H503" s="140"/>
      <c r="I503" s="140"/>
      <c r="J503" s="140"/>
      <c r="K503" s="140"/>
      <c r="L503" s="140"/>
      <c r="M503" s="140"/>
      <c r="N503" s="140"/>
      <c r="O503" s="140"/>
      <c r="P503" s="140"/>
      <c r="Q503" s="140"/>
      <c r="R503" s="140"/>
      <c r="S503" s="150"/>
      <c r="T503" s="150"/>
      <c r="U503" s="140"/>
      <c r="V503" s="140"/>
      <c r="W503" s="140"/>
      <c r="X503" s="140"/>
      <c r="Y503" s="140"/>
      <c r="Z503" s="140"/>
      <c r="AA503" s="140"/>
      <c r="AB503" s="140"/>
      <c r="AC503" s="140"/>
      <c r="AD503" s="140"/>
      <c r="AE503" s="140"/>
      <c r="AF503" s="140"/>
      <c r="AG503" s="140"/>
      <c r="AH503" s="140"/>
      <c r="AI503" s="140"/>
      <c r="AJ503" s="140"/>
      <c r="AK503" s="140"/>
      <c r="AL503" s="140"/>
      <c r="AM503" s="140"/>
      <c r="AN503" s="140"/>
      <c r="AO503" s="140"/>
      <c r="AP503" s="140"/>
      <c r="AQ503" s="140"/>
      <c r="AR503" s="140"/>
      <c r="AS503" s="140"/>
    </row>
    <row r="504">
      <c r="A504" s="149"/>
      <c r="B504" s="140"/>
      <c r="C504" s="140"/>
      <c r="D504" s="140"/>
      <c r="E504" s="140"/>
      <c r="F504" s="140"/>
      <c r="G504" s="140"/>
      <c r="H504" s="140"/>
      <c r="I504" s="140"/>
      <c r="J504" s="140"/>
      <c r="K504" s="140"/>
      <c r="L504" s="140"/>
      <c r="M504" s="140"/>
      <c r="N504" s="140"/>
      <c r="O504" s="140"/>
      <c r="P504" s="140"/>
      <c r="Q504" s="140"/>
      <c r="R504" s="140"/>
      <c r="S504" s="150"/>
      <c r="T504" s="150"/>
      <c r="U504" s="140"/>
      <c r="V504" s="140"/>
      <c r="W504" s="140"/>
      <c r="X504" s="140"/>
      <c r="Y504" s="140"/>
      <c r="Z504" s="140"/>
      <c r="AA504" s="140"/>
      <c r="AB504" s="140"/>
      <c r="AC504" s="140"/>
      <c r="AD504" s="140"/>
      <c r="AE504" s="140"/>
      <c r="AF504" s="140"/>
      <c r="AG504" s="140"/>
      <c r="AH504" s="140"/>
      <c r="AI504" s="140"/>
      <c r="AJ504" s="140"/>
      <c r="AK504" s="140"/>
      <c r="AL504" s="140"/>
      <c r="AM504" s="140"/>
      <c r="AN504" s="140"/>
      <c r="AO504" s="140"/>
      <c r="AP504" s="140"/>
      <c r="AQ504" s="140"/>
      <c r="AR504" s="140"/>
      <c r="AS504" s="140"/>
    </row>
    <row r="505">
      <c r="A505" s="149"/>
      <c r="B505" s="140"/>
      <c r="C505" s="140"/>
      <c r="D505" s="140"/>
      <c r="E505" s="140"/>
      <c r="F505" s="140"/>
      <c r="G505" s="140"/>
      <c r="H505" s="140"/>
      <c r="I505" s="140"/>
      <c r="J505" s="140"/>
      <c r="K505" s="140"/>
      <c r="L505" s="140"/>
      <c r="M505" s="140"/>
      <c r="N505" s="140"/>
      <c r="O505" s="140"/>
      <c r="P505" s="140"/>
      <c r="Q505" s="140"/>
      <c r="R505" s="140"/>
      <c r="S505" s="150"/>
      <c r="T505" s="150"/>
      <c r="U505" s="140"/>
      <c r="V505" s="140"/>
      <c r="W505" s="140"/>
      <c r="X505" s="140"/>
      <c r="Y505" s="140"/>
      <c r="Z505" s="140"/>
      <c r="AA505" s="140"/>
      <c r="AB505" s="140"/>
      <c r="AC505" s="140"/>
      <c r="AD505" s="140"/>
      <c r="AE505" s="140"/>
      <c r="AF505" s="140"/>
      <c r="AG505" s="140"/>
      <c r="AH505" s="140"/>
      <c r="AI505" s="140"/>
      <c r="AJ505" s="140"/>
      <c r="AK505" s="140"/>
      <c r="AL505" s="140"/>
      <c r="AM505" s="140"/>
      <c r="AN505" s="140"/>
      <c r="AO505" s="140"/>
      <c r="AP505" s="140"/>
      <c r="AQ505" s="140"/>
      <c r="AR505" s="140"/>
      <c r="AS505" s="140"/>
    </row>
    <row r="506">
      <c r="A506" s="149"/>
      <c r="B506" s="140"/>
      <c r="C506" s="140"/>
      <c r="D506" s="140"/>
      <c r="E506" s="140"/>
      <c r="F506" s="140"/>
      <c r="G506" s="140"/>
      <c r="H506" s="140"/>
      <c r="I506" s="140"/>
      <c r="J506" s="140"/>
      <c r="K506" s="140"/>
      <c r="L506" s="140"/>
      <c r="M506" s="140"/>
      <c r="N506" s="140"/>
      <c r="O506" s="140"/>
      <c r="P506" s="140"/>
      <c r="Q506" s="140"/>
      <c r="R506" s="140"/>
      <c r="S506" s="150"/>
      <c r="T506" s="150"/>
      <c r="U506" s="140"/>
      <c r="V506" s="140"/>
      <c r="W506" s="140"/>
      <c r="X506" s="140"/>
      <c r="Y506" s="140"/>
      <c r="Z506" s="140"/>
      <c r="AA506" s="140"/>
      <c r="AB506" s="140"/>
      <c r="AC506" s="140"/>
      <c r="AD506" s="140"/>
      <c r="AE506" s="140"/>
      <c r="AF506" s="140"/>
      <c r="AG506" s="140"/>
      <c r="AH506" s="140"/>
      <c r="AI506" s="140"/>
      <c r="AJ506" s="140"/>
      <c r="AK506" s="140"/>
      <c r="AL506" s="140"/>
      <c r="AM506" s="140"/>
      <c r="AN506" s="140"/>
      <c r="AO506" s="140"/>
      <c r="AP506" s="140"/>
      <c r="AQ506" s="140"/>
      <c r="AR506" s="140"/>
      <c r="AS506" s="140"/>
    </row>
    <row r="507">
      <c r="A507" s="149"/>
      <c r="B507" s="140"/>
      <c r="C507" s="140"/>
      <c r="D507" s="140"/>
      <c r="E507" s="140"/>
      <c r="F507" s="140"/>
      <c r="G507" s="140"/>
      <c r="H507" s="140"/>
      <c r="I507" s="140"/>
      <c r="J507" s="140"/>
      <c r="K507" s="140"/>
      <c r="L507" s="140"/>
      <c r="M507" s="140"/>
      <c r="N507" s="140"/>
      <c r="O507" s="140"/>
      <c r="P507" s="140"/>
      <c r="Q507" s="140"/>
      <c r="R507" s="140"/>
      <c r="S507" s="150"/>
      <c r="T507" s="150"/>
      <c r="U507" s="140"/>
      <c r="V507" s="140"/>
      <c r="W507" s="140"/>
      <c r="X507" s="140"/>
      <c r="Y507" s="140"/>
      <c r="Z507" s="140"/>
      <c r="AA507" s="140"/>
      <c r="AB507" s="140"/>
      <c r="AC507" s="140"/>
      <c r="AD507" s="140"/>
      <c r="AE507" s="140"/>
      <c r="AF507" s="140"/>
      <c r="AG507" s="140"/>
      <c r="AH507" s="140"/>
      <c r="AI507" s="140"/>
      <c r="AJ507" s="140"/>
      <c r="AK507" s="140"/>
      <c r="AL507" s="140"/>
      <c r="AM507" s="140"/>
      <c r="AN507" s="140"/>
      <c r="AO507" s="140"/>
      <c r="AP507" s="140"/>
      <c r="AQ507" s="140"/>
      <c r="AR507" s="140"/>
      <c r="AS507" s="140"/>
    </row>
    <row r="508">
      <c r="A508" s="149"/>
      <c r="B508" s="140"/>
      <c r="C508" s="140"/>
      <c r="D508" s="140"/>
      <c r="E508" s="140"/>
      <c r="F508" s="140"/>
      <c r="G508" s="140"/>
      <c r="H508" s="140"/>
      <c r="I508" s="140"/>
      <c r="J508" s="140"/>
      <c r="K508" s="140"/>
      <c r="L508" s="140"/>
      <c r="M508" s="140"/>
      <c r="N508" s="140"/>
      <c r="O508" s="140"/>
      <c r="P508" s="140"/>
      <c r="Q508" s="140"/>
      <c r="R508" s="140"/>
      <c r="S508" s="150"/>
      <c r="T508" s="150"/>
      <c r="U508" s="140"/>
      <c r="V508" s="140"/>
      <c r="W508" s="140"/>
      <c r="X508" s="140"/>
      <c r="Y508" s="140"/>
      <c r="Z508" s="140"/>
      <c r="AA508" s="140"/>
      <c r="AB508" s="140"/>
      <c r="AC508" s="140"/>
      <c r="AD508" s="140"/>
      <c r="AE508" s="140"/>
      <c r="AF508" s="140"/>
      <c r="AG508" s="140"/>
      <c r="AH508" s="140"/>
      <c r="AI508" s="140"/>
      <c r="AJ508" s="140"/>
      <c r="AK508" s="140"/>
      <c r="AL508" s="140"/>
      <c r="AM508" s="140"/>
      <c r="AN508" s="140"/>
      <c r="AO508" s="140"/>
      <c r="AP508" s="140"/>
      <c r="AQ508" s="140"/>
      <c r="AR508" s="140"/>
      <c r="AS508" s="140"/>
    </row>
    <row r="509">
      <c r="A509" s="149"/>
      <c r="B509" s="140"/>
      <c r="C509" s="140"/>
      <c r="D509" s="140"/>
      <c r="E509" s="140"/>
      <c r="F509" s="140"/>
      <c r="G509" s="140"/>
      <c r="H509" s="140"/>
      <c r="I509" s="140"/>
      <c r="J509" s="140"/>
      <c r="K509" s="140"/>
      <c r="L509" s="140"/>
      <c r="M509" s="140"/>
      <c r="N509" s="140"/>
      <c r="O509" s="140"/>
      <c r="P509" s="140"/>
      <c r="Q509" s="140"/>
      <c r="R509" s="140"/>
      <c r="S509" s="150"/>
      <c r="T509" s="150"/>
      <c r="U509" s="140"/>
      <c r="V509" s="140"/>
      <c r="W509" s="140"/>
      <c r="X509" s="140"/>
      <c r="Y509" s="140"/>
      <c r="Z509" s="140"/>
      <c r="AA509" s="140"/>
      <c r="AB509" s="140"/>
      <c r="AC509" s="140"/>
      <c r="AD509" s="140"/>
      <c r="AE509" s="140"/>
      <c r="AF509" s="140"/>
      <c r="AG509" s="140"/>
      <c r="AH509" s="140"/>
      <c r="AI509" s="140"/>
      <c r="AJ509" s="140"/>
      <c r="AK509" s="140"/>
      <c r="AL509" s="140"/>
      <c r="AM509" s="140"/>
      <c r="AN509" s="140"/>
      <c r="AO509" s="140"/>
      <c r="AP509" s="140"/>
      <c r="AQ509" s="140"/>
      <c r="AR509" s="140"/>
      <c r="AS509" s="140"/>
    </row>
    <row r="510">
      <c r="A510" s="149"/>
      <c r="B510" s="140"/>
      <c r="C510" s="140"/>
      <c r="D510" s="140"/>
      <c r="E510" s="140"/>
      <c r="F510" s="140"/>
      <c r="G510" s="140"/>
      <c r="H510" s="140"/>
      <c r="I510" s="140"/>
      <c r="J510" s="140"/>
      <c r="K510" s="140"/>
      <c r="L510" s="140"/>
      <c r="M510" s="140"/>
      <c r="N510" s="140"/>
      <c r="O510" s="140"/>
      <c r="P510" s="140"/>
      <c r="Q510" s="140"/>
      <c r="R510" s="140"/>
      <c r="S510" s="150"/>
      <c r="T510" s="150"/>
      <c r="U510" s="140"/>
      <c r="V510" s="140"/>
      <c r="W510" s="140"/>
      <c r="X510" s="140"/>
      <c r="Y510" s="140"/>
      <c r="Z510" s="140"/>
      <c r="AA510" s="140"/>
      <c r="AB510" s="140"/>
      <c r="AC510" s="140"/>
      <c r="AD510" s="140"/>
      <c r="AE510" s="140"/>
      <c r="AF510" s="140"/>
      <c r="AG510" s="140"/>
      <c r="AH510" s="140"/>
      <c r="AI510" s="140"/>
      <c r="AJ510" s="140"/>
      <c r="AK510" s="140"/>
      <c r="AL510" s="140"/>
      <c r="AM510" s="140"/>
      <c r="AN510" s="140"/>
      <c r="AO510" s="140"/>
      <c r="AP510" s="140"/>
      <c r="AQ510" s="140"/>
      <c r="AR510" s="140"/>
      <c r="AS510" s="140"/>
    </row>
    <row r="511">
      <c r="A511" s="149"/>
      <c r="B511" s="140"/>
      <c r="C511" s="140"/>
      <c r="D511" s="140"/>
      <c r="E511" s="140"/>
      <c r="F511" s="140"/>
      <c r="G511" s="140"/>
      <c r="H511" s="140"/>
      <c r="I511" s="140"/>
      <c r="J511" s="140"/>
      <c r="K511" s="140"/>
      <c r="L511" s="140"/>
      <c r="M511" s="140"/>
      <c r="N511" s="140"/>
      <c r="O511" s="140"/>
      <c r="P511" s="140"/>
      <c r="Q511" s="140"/>
      <c r="R511" s="140"/>
      <c r="S511" s="150"/>
      <c r="T511" s="150"/>
      <c r="U511" s="140"/>
      <c r="V511" s="140"/>
      <c r="W511" s="140"/>
      <c r="X511" s="140"/>
      <c r="Y511" s="140"/>
      <c r="Z511" s="140"/>
      <c r="AA511" s="140"/>
      <c r="AB511" s="140"/>
      <c r="AC511" s="140"/>
      <c r="AD511" s="140"/>
      <c r="AE511" s="140"/>
      <c r="AF511" s="140"/>
      <c r="AG511" s="140"/>
      <c r="AH511" s="140"/>
      <c r="AI511" s="140"/>
      <c r="AJ511" s="140"/>
      <c r="AK511" s="140"/>
      <c r="AL511" s="140"/>
      <c r="AM511" s="140"/>
      <c r="AN511" s="140"/>
      <c r="AO511" s="140"/>
      <c r="AP511" s="140"/>
      <c r="AQ511" s="140"/>
      <c r="AR511" s="140"/>
      <c r="AS511" s="140"/>
    </row>
    <row r="512">
      <c r="A512" s="149"/>
      <c r="B512" s="140"/>
      <c r="C512" s="140"/>
      <c r="D512" s="140"/>
      <c r="E512" s="140"/>
      <c r="F512" s="140"/>
      <c r="G512" s="140"/>
      <c r="H512" s="140"/>
      <c r="I512" s="140"/>
      <c r="J512" s="140"/>
      <c r="K512" s="140"/>
      <c r="L512" s="140"/>
      <c r="M512" s="140"/>
      <c r="N512" s="140"/>
      <c r="O512" s="140"/>
      <c r="P512" s="140"/>
      <c r="Q512" s="140"/>
      <c r="R512" s="140"/>
      <c r="S512" s="150"/>
      <c r="T512" s="150"/>
      <c r="U512" s="140"/>
      <c r="V512" s="140"/>
      <c r="W512" s="140"/>
      <c r="X512" s="140"/>
      <c r="Y512" s="140"/>
      <c r="Z512" s="140"/>
      <c r="AA512" s="140"/>
      <c r="AB512" s="140"/>
      <c r="AC512" s="140"/>
      <c r="AD512" s="140"/>
      <c r="AE512" s="140"/>
      <c r="AF512" s="140"/>
      <c r="AG512" s="140"/>
      <c r="AH512" s="140"/>
      <c r="AI512" s="140"/>
      <c r="AJ512" s="140"/>
      <c r="AK512" s="140"/>
      <c r="AL512" s="140"/>
      <c r="AM512" s="140"/>
      <c r="AN512" s="140"/>
      <c r="AO512" s="140"/>
      <c r="AP512" s="140"/>
      <c r="AQ512" s="140"/>
      <c r="AR512" s="140"/>
      <c r="AS512" s="140"/>
    </row>
    <row r="513">
      <c r="A513" s="149"/>
      <c r="B513" s="140"/>
      <c r="C513" s="140"/>
      <c r="D513" s="140"/>
      <c r="E513" s="140"/>
      <c r="F513" s="140"/>
      <c r="G513" s="140"/>
      <c r="H513" s="140"/>
      <c r="I513" s="140"/>
      <c r="J513" s="140"/>
      <c r="K513" s="140"/>
      <c r="L513" s="140"/>
      <c r="M513" s="140"/>
      <c r="N513" s="140"/>
      <c r="O513" s="140"/>
      <c r="P513" s="140"/>
      <c r="Q513" s="140"/>
      <c r="R513" s="140"/>
      <c r="S513" s="150"/>
      <c r="T513" s="150"/>
      <c r="U513" s="140"/>
      <c r="V513" s="140"/>
      <c r="W513" s="140"/>
      <c r="X513" s="140"/>
      <c r="Y513" s="140"/>
      <c r="Z513" s="140"/>
      <c r="AA513" s="140"/>
      <c r="AB513" s="140"/>
      <c r="AC513" s="140"/>
      <c r="AD513" s="140"/>
      <c r="AE513" s="140"/>
      <c r="AF513" s="140"/>
      <c r="AG513" s="140"/>
      <c r="AH513" s="140"/>
      <c r="AI513" s="140"/>
      <c r="AJ513" s="140"/>
      <c r="AK513" s="140"/>
      <c r="AL513" s="140"/>
      <c r="AM513" s="140"/>
      <c r="AN513" s="140"/>
      <c r="AO513" s="140"/>
      <c r="AP513" s="140"/>
      <c r="AQ513" s="140"/>
      <c r="AR513" s="140"/>
      <c r="AS513" s="140"/>
    </row>
    <row r="514">
      <c r="A514" s="149"/>
      <c r="B514" s="140"/>
      <c r="C514" s="140"/>
      <c r="D514" s="140"/>
      <c r="E514" s="140"/>
      <c r="F514" s="140"/>
      <c r="G514" s="140"/>
      <c r="H514" s="140"/>
      <c r="I514" s="140"/>
      <c r="J514" s="140"/>
      <c r="K514" s="140"/>
      <c r="L514" s="140"/>
      <c r="M514" s="140"/>
      <c r="N514" s="140"/>
      <c r="O514" s="140"/>
      <c r="P514" s="140"/>
      <c r="Q514" s="140"/>
      <c r="R514" s="140"/>
      <c r="S514" s="150"/>
      <c r="T514" s="150"/>
      <c r="U514" s="140"/>
      <c r="V514" s="140"/>
      <c r="W514" s="140"/>
      <c r="X514" s="140"/>
      <c r="Y514" s="140"/>
      <c r="Z514" s="140"/>
      <c r="AA514" s="140"/>
      <c r="AB514" s="140"/>
      <c r="AC514" s="140"/>
      <c r="AD514" s="140"/>
      <c r="AE514" s="140"/>
      <c r="AF514" s="140"/>
      <c r="AG514" s="140"/>
      <c r="AH514" s="140"/>
      <c r="AI514" s="140"/>
      <c r="AJ514" s="140"/>
      <c r="AK514" s="140"/>
      <c r="AL514" s="140"/>
      <c r="AM514" s="140"/>
      <c r="AN514" s="140"/>
      <c r="AO514" s="140"/>
      <c r="AP514" s="140"/>
      <c r="AQ514" s="140"/>
      <c r="AR514" s="140"/>
      <c r="AS514" s="140"/>
    </row>
    <row r="515">
      <c r="A515" s="149"/>
      <c r="B515" s="140"/>
      <c r="C515" s="140"/>
      <c r="D515" s="140"/>
      <c r="E515" s="140"/>
      <c r="F515" s="140"/>
      <c r="G515" s="140"/>
      <c r="H515" s="140"/>
      <c r="I515" s="140"/>
      <c r="J515" s="140"/>
      <c r="K515" s="140"/>
      <c r="L515" s="140"/>
      <c r="M515" s="140"/>
      <c r="N515" s="140"/>
      <c r="O515" s="140"/>
      <c r="P515" s="140"/>
      <c r="Q515" s="140"/>
      <c r="R515" s="140"/>
      <c r="S515" s="150"/>
      <c r="T515" s="150"/>
      <c r="U515" s="140"/>
      <c r="V515" s="140"/>
      <c r="W515" s="140"/>
      <c r="X515" s="140"/>
      <c r="Y515" s="140"/>
      <c r="Z515" s="140"/>
      <c r="AA515" s="140"/>
      <c r="AB515" s="140"/>
      <c r="AC515" s="140"/>
      <c r="AD515" s="140"/>
      <c r="AE515" s="140"/>
      <c r="AF515" s="140"/>
      <c r="AG515" s="140"/>
      <c r="AH515" s="140"/>
      <c r="AI515" s="140"/>
      <c r="AJ515" s="140"/>
      <c r="AK515" s="140"/>
      <c r="AL515" s="140"/>
      <c r="AM515" s="140"/>
      <c r="AN515" s="140"/>
      <c r="AO515" s="140"/>
      <c r="AP515" s="140"/>
      <c r="AQ515" s="140"/>
      <c r="AR515" s="140"/>
      <c r="AS515" s="140"/>
    </row>
    <row r="516">
      <c r="A516" s="149"/>
      <c r="B516" s="140"/>
      <c r="C516" s="140"/>
      <c r="D516" s="140"/>
      <c r="E516" s="140"/>
      <c r="F516" s="140"/>
      <c r="G516" s="140"/>
      <c r="H516" s="140"/>
      <c r="I516" s="140"/>
      <c r="J516" s="140"/>
      <c r="K516" s="140"/>
      <c r="L516" s="140"/>
      <c r="M516" s="140"/>
      <c r="N516" s="140"/>
      <c r="O516" s="140"/>
      <c r="P516" s="140"/>
      <c r="Q516" s="140"/>
      <c r="R516" s="140"/>
      <c r="S516" s="150"/>
      <c r="T516" s="150"/>
      <c r="U516" s="140"/>
      <c r="V516" s="140"/>
      <c r="W516" s="140"/>
      <c r="X516" s="140"/>
      <c r="Y516" s="140"/>
      <c r="Z516" s="140"/>
      <c r="AA516" s="140"/>
      <c r="AB516" s="140"/>
      <c r="AC516" s="140"/>
      <c r="AD516" s="140"/>
      <c r="AE516" s="140"/>
      <c r="AF516" s="140"/>
      <c r="AG516" s="140"/>
      <c r="AH516" s="140"/>
      <c r="AI516" s="140"/>
      <c r="AJ516" s="140"/>
      <c r="AK516" s="140"/>
      <c r="AL516" s="140"/>
      <c r="AM516" s="140"/>
      <c r="AN516" s="140"/>
      <c r="AO516" s="140"/>
      <c r="AP516" s="140"/>
      <c r="AQ516" s="140"/>
      <c r="AR516" s="140"/>
      <c r="AS516" s="140"/>
    </row>
    <row r="517">
      <c r="A517" s="149"/>
      <c r="B517" s="140"/>
      <c r="C517" s="140"/>
      <c r="D517" s="140"/>
      <c r="E517" s="140"/>
      <c r="F517" s="140"/>
      <c r="G517" s="140"/>
      <c r="H517" s="140"/>
      <c r="I517" s="140"/>
      <c r="J517" s="140"/>
      <c r="K517" s="140"/>
      <c r="L517" s="140"/>
      <c r="M517" s="140"/>
      <c r="N517" s="140"/>
      <c r="O517" s="140"/>
      <c r="P517" s="140"/>
      <c r="Q517" s="140"/>
      <c r="R517" s="140"/>
      <c r="S517" s="150"/>
      <c r="T517" s="150"/>
      <c r="U517" s="140"/>
      <c r="V517" s="140"/>
      <c r="W517" s="140"/>
      <c r="X517" s="140"/>
      <c r="Y517" s="140"/>
      <c r="Z517" s="140"/>
      <c r="AA517" s="140"/>
      <c r="AB517" s="140"/>
      <c r="AC517" s="140"/>
      <c r="AD517" s="140"/>
      <c r="AE517" s="140"/>
      <c r="AF517" s="140"/>
      <c r="AG517" s="140"/>
      <c r="AH517" s="140"/>
      <c r="AI517" s="140"/>
      <c r="AJ517" s="140"/>
      <c r="AK517" s="140"/>
      <c r="AL517" s="140"/>
      <c r="AM517" s="140"/>
      <c r="AN517" s="140"/>
      <c r="AO517" s="140"/>
      <c r="AP517" s="140"/>
      <c r="AQ517" s="140"/>
      <c r="AR517" s="140"/>
      <c r="AS517" s="140"/>
    </row>
    <row r="518">
      <c r="A518" s="149"/>
      <c r="B518" s="140"/>
      <c r="C518" s="140"/>
      <c r="D518" s="140"/>
      <c r="E518" s="140"/>
      <c r="F518" s="140"/>
      <c r="G518" s="140"/>
      <c r="H518" s="140"/>
      <c r="I518" s="140"/>
      <c r="J518" s="140"/>
      <c r="K518" s="140"/>
      <c r="L518" s="140"/>
      <c r="M518" s="140"/>
      <c r="N518" s="140"/>
      <c r="O518" s="140"/>
      <c r="P518" s="140"/>
      <c r="Q518" s="140"/>
      <c r="R518" s="140"/>
      <c r="S518" s="150"/>
      <c r="T518" s="150"/>
      <c r="U518" s="140"/>
      <c r="V518" s="140"/>
      <c r="W518" s="140"/>
      <c r="X518" s="140"/>
      <c r="Y518" s="140"/>
      <c r="Z518" s="140"/>
      <c r="AA518" s="140"/>
      <c r="AB518" s="140"/>
      <c r="AC518" s="140"/>
      <c r="AD518" s="140"/>
      <c r="AE518" s="140"/>
      <c r="AF518" s="140"/>
      <c r="AG518" s="140"/>
      <c r="AH518" s="140"/>
      <c r="AI518" s="140"/>
      <c r="AJ518" s="140"/>
      <c r="AK518" s="140"/>
      <c r="AL518" s="140"/>
      <c r="AM518" s="140"/>
      <c r="AN518" s="140"/>
      <c r="AO518" s="140"/>
      <c r="AP518" s="140"/>
      <c r="AQ518" s="140"/>
      <c r="AR518" s="140"/>
      <c r="AS518" s="140"/>
    </row>
    <row r="519">
      <c r="A519" s="149"/>
      <c r="B519" s="140"/>
      <c r="C519" s="140"/>
      <c r="D519" s="140"/>
      <c r="E519" s="140"/>
      <c r="F519" s="140"/>
      <c r="G519" s="140"/>
      <c r="H519" s="140"/>
      <c r="I519" s="140"/>
      <c r="J519" s="140"/>
      <c r="K519" s="140"/>
      <c r="L519" s="140"/>
      <c r="M519" s="140"/>
      <c r="N519" s="140"/>
      <c r="O519" s="140"/>
      <c r="P519" s="140"/>
      <c r="Q519" s="140"/>
      <c r="R519" s="140"/>
      <c r="S519" s="150"/>
      <c r="T519" s="150"/>
      <c r="U519" s="140"/>
      <c r="V519" s="140"/>
      <c r="W519" s="140"/>
      <c r="X519" s="140"/>
      <c r="Y519" s="140"/>
      <c r="Z519" s="140"/>
      <c r="AA519" s="140"/>
      <c r="AB519" s="140"/>
      <c r="AC519" s="140"/>
      <c r="AD519" s="140"/>
      <c r="AE519" s="140"/>
      <c r="AF519" s="140"/>
      <c r="AG519" s="140"/>
      <c r="AH519" s="140"/>
      <c r="AI519" s="140"/>
      <c r="AJ519" s="140"/>
      <c r="AK519" s="140"/>
      <c r="AL519" s="140"/>
      <c r="AM519" s="140"/>
      <c r="AN519" s="140"/>
      <c r="AO519" s="140"/>
      <c r="AP519" s="140"/>
      <c r="AQ519" s="140"/>
      <c r="AR519" s="140"/>
      <c r="AS519" s="140"/>
    </row>
    <row r="520">
      <c r="A520" s="149"/>
      <c r="B520" s="140"/>
      <c r="C520" s="140"/>
      <c r="D520" s="140"/>
      <c r="E520" s="140"/>
      <c r="F520" s="140"/>
      <c r="G520" s="140"/>
      <c r="H520" s="140"/>
      <c r="I520" s="140"/>
      <c r="J520" s="140"/>
      <c r="K520" s="140"/>
      <c r="L520" s="140"/>
      <c r="M520" s="140"/>
      <c r="N520" s="140"/>
      <c r="O520" s="140"/>
      <c r="P520" s="140"/>
      <c r="Q520" s="140"/>
      <c r="R520" s="140"/>
      <c r="S520" s="150"/>
      <c r="T520" s="150"/>
      <c r="U520" s="140"/>
      <c r="V520" s="140"/>
      <c r="W520" s="140"/>
      <c r="X520" s="140"/>
      <c r="Y520" s="140"/>
      <c r="Z520" s="140"/>
      <c r="AA520" s="140"/>
      <c r="AB520" s="140"/>
      <c r="AC520" s="140"/>
      <c r="AD520" s="140"/>
      <c r="AE520" s="140"/>
      <c r="AF520" s="140"/>
      <c r="AG520" s="140"/>
      <c r="AH520" s="140"/>
      <c r="AI520" s="140"/>
      <c r="AJ520" s="140"/>
      <c r="AK520" s="140"/>
      <c r="AL520" s="140"/>
      <c r="AM520" s="140"/>
      <c r="AN520" s="140"/>
      <c r="AO520" s="140"/>
      <c r="AP520" s="140"/>
      <c r="AQ520" s="140"/>
      <c r="AR520" s="140"/>
      <c r="AS520" s="140"/>
    </row>
    <row r="521">
      <c r="A521" s="149"/>
      <c r="B521" s="140"/>
      <c r="C521" s="140"/>
      <c r="D521" s="140"/>
      <c r="E521" s="140"/>
      <c r="F521" s="140"/>
      <c r="G521" s="140"/>
      <c r="H521" s="140"/>
      <c r="I521" s="140"/>
      <c r="J521" s="140"/>
      <c r="K521" s="140"/>
      <c r="L521" s="140"/>
      <c r="M521" s="140"/>
      <c r="N521" s="140"/>
      <c r="O521" s="140"/>
      <c r="P521" s="140"/>
      <c r="Q521" s="140"/>
      <c r="R521" s="140"/>
      <c r="S521" s="150"/>
      <c r="T521" s="150"/>
      <c r="U521" s="140"/>
      <c r="V521" s="140"/>
      <c r="W521" s="140"/>
      <c r="X521" s="140"/>
      <c r="Y521" s="140"/>
      <c r="Z521" s="140"/>
      <c r="AA521" s="140"/>
      <c r="AB521" s="140"/>
      <c r="AC521" s="140"/>
      <c r="AD521" s="140"/>
      <c r="AE521" s="140"/>
      <c r="AF521" s="140"/>
      <c r="AG521" s="140"/>
      <c r="AH521" s="140"/>
      <c r="AI521" s="140"/>
      <c r="AJ521" s="140"/>
      <c r="AK521" s="140"/>
      <c r="AL521" s="140"/>
      <c r="AM521" s="140"/>
      <c r="AN521" s="140"/>
      <c r="AO521" s="140"/>
      <c r="AP521" s="140"/>
      <c r="AQ521" s="140"/>
      <c r="AR521" s="140"/>
      <c r="AS521" s="140"/>
    </row>
    <row r="522">
      <c r="A522" s="149"/>
      <c r="B522" s="140"/>
      <c r="C522" s="140"/>
      <c r="D522" s="140"/>
      <c r="E522" s="140"/>
      <c r="F522" s="140"/>
      <c r="G522" s="140"/>
      <c r="H522" s="140"/>
      <c r="I522" s="140"/>
      <c r="J522" s="140"/>
      <c r="K522" s="140"/>
      <c r="L522" s="140"/>
      <c r="M522" s="140"/>
      <c r="N522" s="140"/>
      <c r="O522" s="140"/>
      <c r="P522" s="140"/>
      <c r="Q522" s="140"/>
      <c r="R522" s="140"/>
      <c r="S522" s="150"/>
      <c r="T522" s="150"/>
      <c r="U522" s="140"/>
      <c r="V522" s="140"/>
      <c r="W522" s="140"/>
      <c r="X522" s="140"/>
      <c r="Y522" s="140"/>
      <c r="Z522" s="140"/>
      <c r="AA522" s="140"/>
      <c r="AB522" s="140"/>
      <c r="AC522" s="140"/>
      <c r="AD522" s="140"/>
      <c r="AE522" s="140"/>
      <c r="AF522" s="140"/>
      <c r="AG522" s="140"/>
      <c r="AH522" s="140"/>
      <c r="AI522" s="140"/>
      <c r="AJ522" s="140"/>
      <c r="AK522" s="140"/>
      <c r="AL522" s="140"/>
      <c r="AM522" s="140"/>
      <c r="AN522" s="140"/>
      <c r="AO522" s="140"/>
      <c r="AP522" s="140"/>
      <c r="AQ522" s="140"/>
      <c r="AR522" s="140"/>
      <c r="AS522" s="140"/>
    </row>
    <row r="523">
      <c r="A523" s="149"/>
      <c r="B523" s="140"/>
      <c r="C523" s="140"/>
      <c r="D523" s="140"/>
      <c r="E523" s="140"/>
      <c r="F523" s="140"/>
      <c r="G523" s="140"/>
      <c r="H523" s="140"/>
      <c r="I523" s="140"/>
      <c r="J523" s="140"/>
      <c r="K523" s="140"/>
      <c r="L523" s="140"/>
      <c r="M523" s="140"/>
      <c r="N523" s="140"/>
      <c r="O523" s="140"/>
      <c r="P523" s="140"/>
      <c r="Q523" s="140"/>
      <c r="R523" s="140"/>
      <c r="S523" s="150"/>
      <c r="T523" s="150"/>
      <c r="U523" s="140"/>
      <c r="V523" s="140"/>
      <c r="W523" s="140"/>
      <c r="X523" s="140"/>
      <c r="Y523" s="140"/>
      <c r="Z523" s="140"/>
      <c r="AA523" s="140"/>
      <c r="AB523" s="140"/>
      <c r="AC523" s="140"/>
      <c r="AD523" s="140"/>
      <c r="AE523" s="140"/>
      <c r="AF523" s="140"/>
      <c r="AG523" s="140"/>
      <c r="AH523" s="140"/>
      <c r="AI523" s="140"/>
      <c r="AJ523" s="140"/>
      <c r="AK523" s="140"/>
      <c r="AL523" s="140"/>
      <c r="AM523" s="140"/>
      <c r="AN523" s="140"/>
      <c r="AO523" s="140"/>
      <c r="AP523" s="140"/>
      <c r="AQ523" s="140"/>
      <c r="AR523" s="140"/>
      <c r="AS523" s="140"/>
    </row>
    <row r="524">
      <c r="A524" s="149"/>
      <c r="B524" s="140"/>
      <c r="C524" s="140"/>
      <c r="D524" s="140"/>
      <c r="E524" s="140"/>
      <c r="F524" s="140"/>
      <c r="G524" s="140"/>
      <c r="H524" s="140"/>
      <c r="I524" s="140"/>
      <c r="J524" s="140"/>
      <c r="K524" s="140"/>
      <c r="L524" s="140"/>
      <c r="M524" s="140"/>
      <c r="N524" s="140"/>
      <c r="O524" s="140"/>
      <c r="P524" s="140"/>
      <c r="Q524" s="140"/>
      <c r="R524" s="140"/>
      <c r="S524" s="150"/>
      <c r="T524" s="150"/>
      <c r="U524" s="140"/>
      <c r="V524" s="140"/>
      <c r="W524" s="140"/>
      <c r="X524" s="140"/>
      <c r="Y524" s="140"/>
      <c r="Z524" s="140"/>
      <c r="AA524" s="140"/>
      <c r="AB524" s="140"/>
      <c r="AC524" s="140"/>
      <c r="AD524" s="140"/>
      <c r="AE524" s="140"/>
      <c r="AF524" s="140"/>
      <c r="AG524" s="140"/>
      <c r="AH524" s="140"/>
      <c r="AI524" s="140"/>
      <c r="AJ524" s="140"/>
      <c r="AK524" s="140"/>
      <c r="AL524" s="140"/>
      <c r="AM524" s="140"/>
      <c r="AN524" s="140"/>
      <c r="AO524" s="140"/>
      <c r="AP524" s="140"/>
      <c r="AQ524" s="140"/>
      <c r="AR524" s="140"/>
      <c r="AS524" s="140"/>
    </row>
    <row r="525">
      <c r="A525" s="149"/>
      <c r="B525" s="140"/>
      <c r="C525" s="140"/>
      <c r="D525" s="140"/>
      <c r="E525" s="140"/>
      <c r="F525" s="140"/>
      <c r="G525" s="140"/>
      <c r="H525" s="140"/>
      <c r="I525" s="140"/>
      <c r="J525" s="140"/>
      <c r="K525" s="140"/>
      <c r="L525" s="140"/>
      <c r="M525" s="140"/>
      <c r="N525" s="140"/>
      <c r="O525" s="140"/>
      <c r="P525" s="140"/>
      <c r="Q525" s="140"/>
      <c r="R525" s="140"/>
      <c r="S525" s="150"/>
      <c r="T525" s="150"/>
      <c r="U525" s="140"/>
      <c r="V525" s="140"/>
      <c r="W525" s="140"/>
      <c r="X525" s="140"/>
      <c r="Y525" s="140"/>
      <c r="Z525" s="140"/>
      <c r="AA525" s="140"/>
      <c r="AB525" s="140"/>
      <c r="AC525" s="140"/>
      <c r="AD525" s="140"/>
      <c r="AE525" s="140"/>
      <c r="AF525" s="140"/>
      <c r="AG525" s="140"/>
      <c r="AH525" s="140"/>
      <c r="AI525" s="140"/>
      <c r="AJ525" s="140"/>
      <c r="AK525" s="140"/>
      <c r="AL525" s="140"/>
      <c r="AM525" s="140"/>
      <c r="AN525" s="140"/>
      <c r="AO525" s="140"/>
      <c r="AP525" s="140"/>
      <c r="AQ525" s="140"/>
      <c r="AR525" s="140"/>
      <c r="AS525" s="140"/>
    </row>
    <row r="526">
      <c r="A526" s="149"/>
      <c r="B526" s="140"/>
      <c r="C526" s="140"/>
      <c r="D526" s="140"/>
      <c r="E526" s="140"/>
      <c r="F526" s="140"/>
      <c r="G526" s="140"/>
      <c r="H526" s="140"/>
      <c r="I526" s="140"/>
      <c r="J526" s="140"/>
      <c r="K526" s="140"/>
      <c r="L526" s="140"/>
      <c r="M526" s="140"/>
      <c r="N526" s="140"/>
      <c r="O526" s="140"/>
      <c r="P526" s="140"/>
      <c r="Q526" s="140"/>
      <c r="R526" s="140"/>
      <c r="S526" s="150"/>
      <c r="T526" s="150"/>
      <c r="U526" s="140"/>
      <c r="V526" s="140"/>
      <c r="W526" s="140"/>
      <c r="X526" s="140"/>
      <c r="Y526" s="140"/>
      <c r="Z526" s="140"/>
      <c r="AA526" s="140"/>
      <c r="AB526" s="140"/>
      <c r="AC526" s="140"/>
      <c r="AD526" s="140"/>
      <c r="AE526" s="140"/>
      <c r="AF526" s="140"/>
      <c r="AG526" s="140"/>
      <c r="AH526" s="140"/>
      <c r="AI526" s="140"/>
      <c r="AJ526" s="140"/>
      <c r="AK526" s="140"/>
      <c r="AL526" s="140"/>
      <c r="AM526" s="140"/>
      <c r="AN526" s="140"/>
      <c r="AO526" s="140"/>
      <c r="AP526" s="140"/>
      <c r="AQ526" s="140"/>
      <c r="AR526" s="140"/>
      <c r="AS526" s="140"/>
    </row>
    <row r="527">
      <c r="A527" s="149"/>
      <c r="B527" s="140"/>
      <c r="C527" s="140"/>
      <c r="D527" s="140"/>
      <c r="E527" s="140"/>
      <c r="F527" s="140"/>
      <c r="G527" s="140"/>
      <c r="H527" s="140"/>
      <c r="I527" s="140"/>
      <c r="J527" s="140"/>
      <c r="K527" s="140"/>
      <c r="L527" s="140"/>
      <c r="M527" s="140"/>
      <c r="N527" s="140"/>
      <c r="O527" s="140"/>
      <c r="P527" s="140"/>
      <c r="Q527" s="140"/>
      <c r="R527" s="140"/>
      <c r="S527" s="150"/>
      <c r="T527" s="150"/>
      <c r="U527" s="140"/>
      <c r="V527" s="140"/>
      <c r="W527" s="140"/>
      <c r="X527" s="140"/>
      <c r="Y527" s="140"/>
      <c r="Z527" s="140"/>
      <c r="AA527" s="140"/>
      <c r="AB527" s="140"/>
      <c r="AC527" s="140"/>
      <c r="AD527" s="140"/>
      <c r="AE527" s="140"/>
      <c r="AF527" s="140"/>
      <c r="AG527" s="140"/>
      <c r="AH527" s="140"/>
      <c r="AI527" s="140"/>
      <c r="AJ527" s="140"/>
      <c r="AK527" s="140"/>
      <c r="AL527" s="140"/>
      <c r="AM527" s="140"/>
      <c r="AN527" s="140"/>
      <c r="AO527" s="140"/>
      <c r="AP527" s="140"/>
      <c r="AQ527" s="140"/>
      <c r="AR527" s="140"/>
      <c r="AS527" s="140"/>
    </row>
    <row r="528">
      <c r="A528" s="149"/>
      <c r="B528" s="140"/>
      <c r="C528" s="140"/>
      <c r="D528" s="140"/>
      <c r="E528" s="140"/>
      <c r="F528" s="140"/>
      <c r="G528" s="140"/>
      <c r="H528" s="140"/>
      <c r="I528" s="140"/>
      <c r="J528" s="140"/>
      <c r="K528" s="140"/>
      <c r="L528" s="140"/>
      <c r="M528" s="140"/>
      <c r="N528" s="140"/>
      <c r="O528" s="140"/>
      <c r="P528" s="140"/>
      <c r="Q528" s="140"/>
      <c r="R528" s="140"/>
      <c r="S528" s="150"/>
      <c r="T528" s="150"/>
      <c r="U528" s="140"/>
      <c r="V528" s="140"/>
      <c r="W528" s="140"/>
      <c r="X528" s="140"/>
      <c r="Y528" s="140"/>
      <c r="Z528" s="140"/>
      <c r="AA528" s="140"/>
      <c r="AB528" s="140"/>
      <c r="AC528" s="140"/>
      <c r="AD528" s="140"/>
      <c r="AE528" s="140"/>
      <c r="AF528" s="140"/>
      <c r="AG528" s="140"/>
      <c r="AH528" s="140"/>
      <c r="AI528" s="140"/>
      <c r="AJ528" s="140"/>
      <c r="AK528" s="140"/>
      <c r="AL528" s="140"/>
      <c r="AM528" s="140"/>
      <c r="AN528" s="140"/>
      <c r="AO528" s="140"/>
      <c r="AP528" s="140"/>
      <c r="AQ528" s="140"/>
      <c r="AR528" s="140"/>
      <c r="AS528" s="140"/>
    </row>
    <row r="529">
      <c r="A529" s="149"/>
      <c r="B529" s="140"/>
      <c r="C529" s="140"/>
      <c r="D529" s="140"/>
      <c r="E529" s="140"/>
      <c r="F529" s="140"/>
      <c r="G529" s="140"/>
      <c r="H529" s="140"/>
      <c r="I529" s="140"/>
      <c r="J529" s="140"/>
      <c r="K529" s="140"/>
      <c r="L529" s="140"/>
      <c r="M529" s="140"/>
      <c r="N529" s="140"/>
      <c r="O529" s="140"/>
      <c r="P529" s="140"/>
      <c r="Q529" s="140"/>
      <c r="R529" s="140"/>
      <c r="S529" s="150"/>
      <c r="T529" s="150"/>
      <c r="U529" s="140"/>
      <c r="V529" s="140"/>
      <c r="W529" s="140"/>
      <c r="X529" s="140"/>
      <c r="Y529" s="140"/>
      <c r="Z529" s="140"/>
      <c r="AA529" s="140"/>
      <c r="AB529" s="140"/>
      <c r="AC529" s="140"/>
      <c r="AD529" s="140"/>
      <c r="AE529" s="140"/>
      <c r="AF529" s="140"/>
      <c r="AG529" s="140"/>
      <c r="AH529" s="140"/>
      <c r="AI529" s="140"/>
      <c r="AJ529" s="140"/>
      <c r="AK529" s="140"/>
      <c r="AL529" s="140"/>
      <c r="AM529" s="140"/>
      <c r="AN529" s="140"/>
      <c r="AO529" s="140"/>
      <c r="AP529" s="140"/>
      <c r="AQ529" s="140"/>
      <c r="AR529" s="140"/>
      <c r="AS529" s="140"/>
    </row>
    <row r="530">
      <c r="A530" s="149"/>
      <c r="B530" s="140"/>
      <c r="C530" s="140"/>
      <c r="D530" s="140"/>
      <c r="E530" s="140"/>
      <c r="F530" s="140"/>
      <c r="G530" s="140"/>
      <c r="H530" s="140"/>
      <c r="I530" s="140"/>
      <c r="J530" s="140"/>
      <c r="K530" s="140"/>
      <c r="L530" s="140"/>
      <c r="M530" s="140"/>
      <c r="N530" s="140"/>
      <c r="O530" s="140"/>
      <c r="P530" s="140"/>
      <c r="Q530" s="140"/>
      <c r="R530" s="140"/>
      <c r="S530" s="150"/>
      <c r="T530" s="150"/>
      <c r="U530" s="140"/>
      <c r="V530" s="140"/>
      <c r="W530" s="140"/>
      <c r="X530" s="140"/>
      <c r="Y530" s="140"/>
      <c r="Z530" s="140"/>
      <c r="AA530" s="140"/>
      <c r="AB530" s="140"/>
      <c r="AC530" s="140"/>
      <c r="AD530" s="140"/>
      <c r="AE530" s="140"/>
      <c r="AF530" s="140"/>
      <c r="AG530" s="140"/>
      <c r="AH530" s="140"/>
      <c r="AI530" s="140"/>
      <c r="AJ530" s="140"/>
      <c r="AK530" s="140"/>
      <c r="AL530" s="140"/>
      <c r="AM530" s="140"/>
      <c r="AN530" s="140"/>
      <c r="AO530" s="140"/>
      <c r="AP530" s="140"/>
      <c r="AQ530" s="140"/>
      <c r="AR530" s="140"/>
      <c r="AS530" s="140"/>
    </row>
    <row r="531">
      <c r="A531" s="149"/>
      <c r="B531" s="140"/>
      <c r="C531" s="140"/>
      <c r="D531" s="140"/>
      <c r="E531" s="140"/>
      <c r="F531" s="140"/>
      <c r="G531" s="140"/>
      <c r="H531" s="140"/>
      <c r="I531" s="140"/>
      <c r="J531" s="140"/>
      <c r="K531" s="140"/>
      <c r="L531" s="140"/>
      <c r="M531" s="140"/>
      <c r="N531" s="140"/>
      <c r="O531" s="140"/>
      <c r="P531" s="140"/>
      <c r="Q531" s="140"/>
      <c r="R531" s="140"/>
      <c r="S531" s="150"/>
      <c r="T531" s="150"/>
      <c r="U531" s="140"/>
      <c r="V531" s="140"/>
      <c r="W531" s="140"/>
      <c r="X531" s="140"/>
      <c r="Y531" s="140"/>
      <c r="Z531" s="140"/>
      <c r="AA531" s="140"/>
      <c r="AB531" s="140"/>
      <c r="AC531" s="140"/>
      <c r="AD531" s="140"/>
      <c r="AE531" s="140"/>
      <c r="AF531" s="140"/>
      <c r="AG531" s="140"/>
      <c r="AH531" s="140"/>
      <c r="AI531" s="140"/>
      <c r="AJ531" s="140"/>
      <c r="AK531" s="140"/>
      <c r="AL531" s="140"/>
      <c r="AM531" s="140"/>
      <c r="AN531" s="140"/>
      <c r="AO531" s="140"/>
      <c r="AP531" s="140"/>
      <c r="AQ531" s="140"/>
      <c r="AR531" s="140"/>
      <c r="AS531" s="140"/>
    </row>
    <row r="532">
      <c r="A532" s="149"/>
      <c r="B532" s="140"/>
      <c r="C532" s="140"/>
      <c r="D532" s="140"/>
      <c r="E532" s="140"/>
      <c r="F532" s="140"/>
      <c r="G532" s="140"/>
      <c r="H532" s="140"/>
      <c r="I532" s="140"/>
      <c r="J532" s="140"/>
      <c r="K532" s="140"/>
      <c r="L532" s="140"/>
      <c r="M532" s="140"/>
      <c r="N532" s="140"/>
      <c r="O532" s="140"/>
      <c r="P532" s="140"/>
      <c r="Q532" s="140"/>
      <c r="R532" s="140"/>
      <c r="S532" s="150"/>
      <c r="T532" s="150"/>
      <c r="U532" s="140"/>
      <c r="V532" s="140"/>
      <c r="W532" s="140"/>
      <c r="X532" s="140"/>
      <c r="Y532" s="140"/>
      <c r="Z532" s="140"/>
      <c r="AA532" s="140"/>
      <c r="AB532" s="140"/>
      <c r="AC532" s="140"/>
      <c r="AD532" s="140"/>
      <c r="AE532" s="140"/>
      <c r="AF532" s="140"/>
      <c r="AG532" s="140"/>
      <c r="AH532" s="140"/>
      <c r="AI532" s="140"/>
      <c r="AJ532" s="140"/>
      <c r="AK532" s="140"/>
      <c r="AL532" s="140"/>
      <c r="AM532" s="140"/>
      <c r="AN532" s="140"/>
      <c r="AO532" s="140"/>
      <c r="AP532" s="140"/>
      <c r="AQ532" s="140"/>
      <c r="AR532" s="140"/>
      <c r="AS532" s="140"/>
    </row>
    <row r="533">
      <c r="A533" s="149"/>
      <c r="B533" s="140"/>
      <c r="C533" s="140"/>
      <c r="D533" s="140"/>
      <c r="E533" s="140"/>
      <c r="F533" s="140"/>
      <c r="G533" s="140"/>
      <c r="H533" s="140"/>
      <c r="I533" s="140"/>
      <c r="J533" s="140"/>
      <c r="K533" s="140"/>
      <c r="L533" s="140"/>
      <c r="M533" s="140"/>
      <c r="N533" s="140"/>
      <c r="O533" s="140"/>
      <c r="P533" s="140"/>
      <c r="Q533" s="140"/>
      <c r="R533" s="140"/>
      <c r="S533" s="150"/>
      <c r="T533" s="150"/>
      <c r="U533" s="140"/>
      <c r="V533" s="140"/>
      <c r="W533" s="140"/>
      <c r="X533" s="140"/>
      <c r="Y533" s="140"/>
      <c r="Z533" s="140"/>
      <c r="AA533" s="140"/>
      <c r="AB533" s="140"/>
      <c r="AC533" s="140"/>
      <c r="AD533" s="140"/>
      <c r="AE533" s="140"/>
      <c r="AF533" s="140"/>
      <c r="AG533" s="140"/>
      <c r="AH533" s="140"/>
      <c r="AI533" s="140"/>
      <c r="AJ533" s="140"/>
      <c r="AK533" s="140"/>
      <c r="AL533" s="140"/>
      <c r="AM533" s="140"/>
      <c r="AN533" s="140"/>
      <c r="AO533" s="140"/>
      <c r="AP533" s="140"/>
      <c r="AQ533" s="140"/>
      <c r="AR533" s="140"/>
      <c r="AS533" s="140"/>
    </row>
    <row r="534">
      <c r="A534" s="149"/>
      <c r="B534" s="140"/>
      <c r="C534" s="140"/>
      <c r="D534" s="140"/>
      <c r="E534" s="140"/>
      <c r="F534" s="140"/>
      <c r="G534" s="140"/>
      <c r="H534" s="140"/>
      <c r="I534" s="140"/>
      <c r="J534" s="140"/>
      <c r="K534" s="140"/>
      <c r="L534" s="140"/>
      <c r="M534" s="140"/>
      <c r="N534" s="140"/>
      <c r="O534" s="140"/>
      <c r="P534" s="140"/>
      <c r="Q534" s="140"/>
      <c r="R534" s="140"/>
      <c r="S534" s="150"/>
      <c r="T534" s="150"/>
      <c r="U534" s="140"/>
      <c r="V534" s="140"/>
      <c r="W534" s="140"/>
      <c r="X534" s="140"/>
      <c r="Y534" s="140"/>
      <c r="Z534" s="140"/>
      <c r="AA534" s="140"/>
      <c r="AB534" s="140"/>
      <c r="AC534" s="140"/>
      <c r="AD534" s="140"/>
      <c r="AE534" s="140"/>
      <c r="AF534" s="140"/>
      <c r="AG534" s="140"/>
      <c r="AH534" s="140"/>
      <c r="AI534" s="140"/>
      <c r="AJ534" s="140"/>
      <c r="AK534" s="140"/>
      <c r="AL534" s="140"/>
      <c r="AM534" s="140"/>
      <c r="AN534" s="140"/>
      <c r="AO534" s="140"/>
      <c r="AP534" s="140"/>
      <c r="AQ534" s="140"/>
      <c r="AR534" s="140"/>
      <c r="AS534" s="140"/>
    </row>
    <row r="535">
      <c r="A535" s="149"/>
      <c r="B535" s="140"/>
      <c r="C535" s="140"/>
      <c r="D535" s="140"/>
      <c r="E535" s="140"/>
      <c r="F535" s="140"/>
      <c r="G535" s="140"/>
      <c r="H535" s="140"/>
      <c r="I535" s="140"/>
      <c r="J535" s="140"/>
      <c r="K535" s="140"/>
      <c r="L535" s="140"/>
      <c r="M535" s="140"/>
      <c r="N535" s="140"/>
      <c r="O535" s="140"/>
      <c r="P535" s="140"/>
      <c r="Q535" s="140"/>
      <c r="R535" s="140"/>
      <c r="S535" s="150"/>
      <c r="T535" s="150"/>
      <c r="U535" s="140"/>
      <c r="V535" s="140"/>
      <c r="W535" s="140"/>
      <c r="X535" s="140"/>
      <c r="Y535" s="140"/>
      <c r="Z535" s="140"/>
      <c r="AA535" s="140"/>
      <c r="AB535" s="140"/>
      <c r="AC535" s="140"/>
      <c r="AD535" s="140"/>
      <c r="AE535" s="140"/>
      <c r="AF535" s="140"/>
      <c r="AG535" s="140"/>
      <c r="AH535" s="140"/>
      <c r="AI535" s="140"/>
      <c r="AJ535" s="140"/>
      <c r="AK535" s="140"/>
      <c r="AL535" s="140"/>
      <c r="AM535" s="140"/>
      <c r="AN535" s="140"/>
      <c r="AO535" s="140"/>
      <c r="AP535" s="140"/>
      <c r="AQ535" s="140"/>
      <c r="AR535" s="140"/>
      <c r="AS535" s="140"/>
    </row>
    <row r="536">
      <c r="A536" s="149"/>
      <c r="B536" s="140"/>
      <c r="C536" s="140"/>
      <c r="D536" s="140"/>
      <c r="E536" s="140"/>
      <c r="F536" s="140"/>
      <c r="G536" s="140"/>
      <c r="H536" s="140"/>
      <c r="I536" s="140"/>
      <c r="J536" s="140"/>
      <c r="K536" s="140"/>
      <c r="L536" s="140"/>
      <c r="M536" s="140"/>
      <c r="N536" s="140"/>
      <c r="O536" s="140"/>
      <c r="P536" s="140"/>
      <c r="Q536" s="140"/>
      <c r="R536" s="140"/>
      <c r="S536" s="150"/>
      <c r="T536" s="150"/>
      <c r="U536" s="140"/>
      <c r="V536" s="140"/>
      <c r="W536" s="140"/>
      <c r="X536" s="140"/>
      <c r="Y536" s="140"/>
      <c r="Z536" s="140"/>
      <c r="AA536" s="140"/>
      <c r="AB536" s="140"/>
      <c r="AC536" s="140"/>
      <c r="AD536" s="140"/>
      <c r="AE536" s="140"/>
      <c r="AF536" s="140"/>
      <c r="AG536" s="140"/>
      <c r="AH536" s="140"/>
      <c r="AI536" s="140"/>
      <c r="AJ536" s="140"/>
      <c r="AK536" s="140"/>
      <c r="AL536" s="140"/>
      <c r="AM536" s="140"/>
      <c r="AN536" s="140"/>
      <c r="AO536" s="140"/>
      <c r="AP536" s="140"/>
      <c r="AQ536" s="140"/>
      <c r="AR536" s="140"/>
      <c r="AS536" s="140"/>
    </row>
    <row r="537">
      <c r="A537" s="149"/>
      <c r="B537" s="140"/>
      <c r="C537" s="140"/>
      <c r="D537" s="140"/>
      <c r="E537" s="140"/>
      <c r="F537" s="140"/>
      <c r="G537" s="140"/>
      <c r="H537" s="140"/>
      <c r="I537" s="140"/>
      <c r="J537" s="140"/>
      <c r="K537" s="140"/>
      <c r="L537" s="140"/>
      <c r="M537" s="140"/>
      <c r="N537" s="140"/>
      <c r="O537" s="140"/>
      <c r="P537" s="140"/>
      <c r="Q537" s="140"/>
      <c r="R537" s="140"/>
      <c r="S537" s="150"/>
      <c r="T537" s="150"/>
      <c r="U537" s="140"/>
      <c r="V537" s="140"/>
      <c r="W537" s="140"/>
      <c r="X537" s="140"/>
      <c r="Y537" s="140"/>
      <c r="Z537" s="140"/>
      <c r="AA537" s="140"/>
      <c r="AB537" s="140"/>
      <c r="AC537" s="140"/>
      <c r="AD537" s="140"/>
      <c r="AE537" s="140"/>
      <c r="AF537" s="140"/>
      <c r="AG537" s="140"/>
      <c r="AH537" s="140"/>
      <c r="AI537" s="140"/>
      <c r="AJ537" s="140"/>
      <c r="AK537" s="140"/>
      <c r="AL537" s="140"/>
      <c r="AM537" s="140"/>
      <c r="AN537" s="140"/>
      <c r="AO537" s="140"/>
      <c r="AP537" s="140"/>
      <c r="AQ537" s="140"/>
      <c r="AR537" s="140"/>
      <c r="AS537" s="140"/>
    </row>
    <row r="538">
      <c r="A538" s="149"/>
      <c r="B538" s="140"/>
      <c r="C538" s="140"/>
      <c r="D538" s="140"/>
      <c r="E538" s="140"/>
      <c r="F538" s="140"/>
      <c r="G538" s="140"/>
      <c r="H538" s="140"/>
      <c r="I538" s="140"/>
      <c r="J538" s="140"/>
      <c r="K538" s="140"/>
      <c r="L538" s="140"/>
      <c r="M538" s="140"/>
      <c r="N538" s="140"/>
      <c r="O538" s="140"/>
      <c r="P538" s="140"/>
      <c r="Q538" s="140"/>
      <c r="R538" s="140"/>
      <c r="S538" s="150"/>
      <c r="T538" s="150"/>
      <c r="U538" s="140"/>
      <c r="V538" s="140"/>
      <c r="W538" s="140"/>
      <c r="X538" s="140"/>
      <c r="Y538" s="140"/>
      <c r="Z538" s="140"/>
      <c r="AA538" s="140"/>
      <c r="AB538" s="140"/>
      <c r="AC538" s="140"/>
      <c r="AD538" s="140"/>
      <c r="AE538" s="140"/>
      <c r="AF538" s="140"/>
      <c r="AG538" s="140"/>
      <c r="AH538" s="140"/>
      <c r="AI538" s="140"/>
      <c r="AJ538" s="140"/>
      <c r="AK538" s="140"/>
      <c r="AL538" s="140"/>
      <c r="AM538" s="140"/>
      <c r="AN538" s="140"/>
      <c r="AO538" s="140"/>
      <c r="AP538" s="140"/>
      <c r="AQ538" s="140"/>
      <c r="AR538" s="140"/>
      <c r="AS538" s="140"/>
    </row>
    <row r="539">
      <c r="A539" s="149"/>
      <c r="B539" s="140"/>
      <c r="C539" s="140"/>
      <c r="D539" s="140"/>
      <c r="E539" s="140"/>
      <c r="F539" s="140"/>
      <c r="G539" s="140"/>
      <c r="H539" s="140"/>
      <c r="I539" s="140"/>
      <c r="J539" s="140"/>
      <c r="K539" s="140"/>
      <c r="L539" s="140"/>
      <c r="M539" s="140"/>
      <c r="N539" s="140"/>
      <c r="O539" s="140"/>
      <c r="P539" s="140"/>
      <c r="Q539" s="140"/>
      <c r="R539" s="140"/>
      <c r="S539" s="150"/>
      <c r="T539" s="150"/>
      <c r="U539" s="140"/>
      <c r="V539" s="140"/>
      <c r="W539" s="140"/>
      <c r="X539" s="140"/>
      <c r="Y539" s="140"/>
      <c r="Z539" s="140"/>
      <c r="AA539" s="140"/>
      <c r="AB539" s="140"/>
      <c r="AC539" s="140"/>
      <c r="AD539" s="140"/>
      <c r="AE539" s="140"/>
      <c r="AF539" s="140"/>
      <c r="AG539" s="140"/>
      <c r="AH539" s="140"/>
      <c r="AI539" s="140"/>
      <c r="AJ539" s="140"/>
      <c r="AK539" s="140"/>
      <c r="AL539" s="140"/>
      <c r="AM539" s="140"/>
      <c r="AN539" s="140"/>
      <c r="AO539" s="140"/>
      <c r="AP539" s="140"/>
      <c r="AQ539" s="140"/>
      <c r="AR539" s="140"/>
      <c r="AS539" s="140"/>
    </row>
    <row r="540">
      <c r="A540" s="149"/>
      <c r="B540" s="140"/>
      <c r="C540" s="140"/>
      <c r="D540" s="140"/>
      <c r="E540" s="140"/>
      <c r="F540" s="140"/>
      <c r="G540" s="140"/>
      <c r="H540" s="140"/>
      <c r="I540" s="140"/>
      <c r="J540" s="140"/>
      <c r="K540" s="140"/>
      <c r="L540" s="140"/>
      <c r="M540" s="140"/>
      <c r="N540" s="140"/>
      <c r="O540" s="140"/>
      <c r="P540" s="140"/>
      <c r="Q540" s="140"/>
      <c r="R540" s="140"/>
      <c r="S540" s="150"/>
      <c r="T540" s="150"/>
      <c r="U540" s="140"/>
      <c r="V540" s="140"/>
      <c r="W540" s="140"/>
      <c r="X540" s="140"/>
      <c r="Y540" s="140"/>
      <c r="Z540" s="140"/>
      <c r="AA540" s="140"/>
      <c r="AB540" s="140"/>
      <c r="AC540" s="140"/>
      <c r="AD540" s="140"/>
      <c r="AE540" s="140"/>
      <c r="AF540" s="140"/>
      <c r="AG540" s="140"/>
      <c r="AH540" s="140"/>
      <c r="AI540" s="140"/>
      <c r="AJ540" s="140"/>
      <c r="AK540" s="140"/>
      <c r="AL540" s="140"/>
      <c r="AM540" s="140"/>
      <c r="AN540" s="140"/>
      <c r="AO540" s="140"/>
      <c r="AP540" s="140"/>
      <c r="AQ540" s="140"/>
      <c r="AR540" s="140"/>
      <c r="AS540" s="140"/>
    </row>
    <row r="541">
      <c r="A541" s="149"/>
      <c r="B541" s="140"/>
      <c r="C541" s="140"/>
      <c r="D541" s="140"/>
      <c r="E541" s="140"/>
      <c r="F541" s="140"/>
      <c r="G541" s="140"/>
      <c r="H541" s="140"/>
      <c r="I541" s="140"/>
      <c r="J541" s="140"/>
      <c r="K541" s="140"/>
      <c r="L541" s="140"/>
      <c r="M541" s="140"/>
      <c r="N541" s="140"/>
      <c r="O541" s="140"/>
      <c r="P541" s="140"/>
      <c r="Q541" s="140"/>
      <c r="R541" s="140"/>
      <c r="S541" s="150"/>
      <c r="T541" s="150"/>
      <c r="U541" s="140"/>
      <c r="V541" s="140"/>
      <c r="W541" s="140"/>
      <c r="X541" s="140"/>
      <c r="Y541" s="140"/>
      <c r="Z541" s="140"/>
      <c r="AA541" s="140"/>
      <c r="AB541" s="140"/>
      <c r="AC541" s="140"/>
      <c r="AD541" s="140"/>
      <c r="AE541" s="140"/>
      <c r="AF541" s="140"/>
      <c r="AG541" s="140"/>
      <c r="AH541" s="140"/>
      <c r="AI541" s="140"/>
      <c r="AJ541" s="140"/>
      <c r="AK541" s="140"/>
      <c r="AL541" s="140"/>
      <c r="AM541" s="140"/>
      <c r="AN541" s="140"/>
      <c r="AO541" s="140"/>
      <c r="AP541" s="140"/>
      <c r="AQ541" s="140"/>
      <c r="AR541" s="140"/>
      <c r="AS541" s="140"/>
    </row>
    <row r="542">
      <c r="A542" s="149"/>
      <c r="B542" s="140"/>
      <c r="C542" s="140"/>
      <c r="D542" s="140"/>
      <c r="E542" s="140"/>
      <c r="F542" s="140"/>
      <c r="G542" s="140"/>
      <c r="H542" s="140"/>
      <c r="I542" s="140"/>
      <c r="J542" s="140"/>
      <c r="K542" s="140"/>
      <c r="L542" s="140"/>
      <c r="M542" s="140"/>
      <c r="N542" s="140"/>
      <c r="O542" s="140"/>
      <c r="P542" s="140"/>
      <c r="Q542" s="140"/>
      <c r="R542" s="140"/>
      <c r="S542" s="150"/>
      <c r="T542" s="150"/>
      <c r="U542" s="140"/>
      <c r="V542" s="140"/>
      <c r="W542" s="140"/>
      <c r="X542" s="140"/>
      <c r="Y542" s="140"/>
      <c r="Z542" s="140"/>
      <c r="AA542" s="140"/>
      <c r="AB542" s="140"/>
      <c r="AC542" s="140"/>
      <c r="AD542" s="140"/>
      <c r="AE542" s="140"/>
      <c r="AF542" s="140"/>
      <c r="AG542" s="140"/>
      <c r="AH542" s="140"/>
      <c r="AI542" s="140"/>
      <c r="AJ542" s="140"/>
      <c r="AK542" s="140"/>
      <c r="AL542" s="140"/>
      <c r="AM542" s="140"/>
      <c r="AN542" s="140"/>
      <c r="AO542" s="140"/>
      <c r="AP542" s="140"/>
      <c r="AQ542" s="140"/>
      <c r="AR542" s="140"/>
      <c r="AS542" s="140"/>
    </row>
    <row r="543">
      <c r="A543" s="149"/>
      <c r="B543" s="140"/>
      <c r="C543" s="140"/>
      <c r="D543" s="140"/>
      <c r="E543" s="140"/>
      <c r="F543" s="140"/>
      <c r="G543" s="140"/>
      <c r="H543" s="140"/>
      <c r="I543" s="140"/>
      <c r="J543" s="140"/>
      <c r="K543" s="140"/>
      <c r="L543" s="140"/>
      <c r="M543" s="140"/>
      <c r="N543" s="140"/>
      <c r="O543" s="140"/>
      <c r="P543" s="140"/>
      <c r="Q543" s="140"/>
      <c r="R543" s="140"/>
      <c r="S543" s="150"/>
      <c r="T543" s="150"/>
      <c r="U543" s="140"/>
      <c r="V543" s="140"/>
      <c r="W543" s="140"/>
      <c r="X543" s="140"/>
      <c r="Y543" s="140"/>
      <c r="Z543" s="140"/>
      <c r="AA543" s="140"/>
      <c r="AB543" s="140"/>
      <c r="AC543" s="140"/>
      <c r="AD543" s="140"/>
      <c r="AE543" s="140"/>
      <c r="AF543" s="140"/>
      <c r="AG543" s="140"/>
      <c r="AH543" s="140"/>
      <c r="AI543" s="140"/>
      <c r="AJ543" s="140"/>
      <c r="AK543" s="140"/>
      <c r="AL543" s="140"/>
      <c r="AM543" s="140"/>
      <c r="AN543" s="140"/>
      <c r="AO543" s="140"/>
      <c r="AP543" s="140"/>
      <c r="AQ543" s="140"/>
      <c r="AR543" s="140"/>
      <c r="AS543" s="140"/>
    </row>
    <row r="544">
      <c r="A544" s="149"/>
      <c r="B544" s="140"/>
      <c r="C544" s="140"/>
      <c r="D544" s="140"/>
      <c r="E544" s="140"/>
      <c r="F544" s="140"/>
      <c r="G544" s="140"/>
      <c r="H544" s="140"/>
      <c r="I544" s="140"/>
      <c r="J544" s="140"/>
      <c r="K544" s="140"/>
      <c r="L544" s="140"/>
      <c r="M544" s="140"/>
      <c r="N544" s="140"/>
      <c r="O544" s="140"/>
      <c r="P544" s="140"/>
      <c r="Q544" s="140"/>
      <c r="R544" s="140"/>
      <c r="S544" s="150"/>
      <c r="T544" s="150"/>
      <c r="U544" s="140"/>
      <c r="V544" s="140"/>
      <c r="W544" s="140"/>
      <c r="X544" s="140"/>
      <c r="Y544" s="140"/>
      <c r="Z544" s="140"/>
      <c r="AA544" s="140"/>
      <c r="AB544" s="140"/>
      <c r="AC544" s="140"/>
      <c r="AD544" s="140"/>
      <c r="AE544" s="140"/>
      <c r="AF544" s="140"/>
      <c r="AG544" s="140"/>
      <c r="AH544" s="140"/>
      <c r="AI544" s="140"/>
      <c r="AJ544" s="140"/>
      <c r="AK544" s="140"/>
      <c r="AL544" s="140"/>
      <c r="AM544" s="140"/>
      <c r="AN544" s="140"/>
      <c r="AO544" s="140"/>
      <c r="AP544" s="140"/>
      <c r="AQ544" s="140"/>
      <c r="AR544" s="140"/>
      <c r="AS544" s="140"/>
    </row>
    <row r="545">
      <c r="A545" s="149"/>
      <c r="B545" s="140"/>
      <c r="C545" s="140"/>
      <c r="D545" s="140"/>
      <c r="E545" s="140"/>
      <c r="F545" s="140"/>
      <c r="G545" s="140"/>
      <c r="H545" s="140"/>
      <c r="I545" s="140"/>
      <c r="J545" s="140"/>
      <c r="K545" s="140"/>
      <c r="L545" s="140"/>
      <c r="M545" s="140"/>
      <c r="N545" s="140"/>
      <c r="O545" s="140"/>
      <c r="P545" s="140"/>
      <c r="Q545" s="140"/>
      <c r="R545" s="140"/>
      <c r="S545" s="150"/>
      <c r="T545" s="150"/>
      <c r="U545" s="140"/>
      <c r="V545" s="140"/>
      <c r="W545" s="140"/>
      <c r="X545" s="140"/>
      <c r="Y545" s="140"/>
      <c r="Z545" s="140"/>
      <c r="AA545" s="140"/>
      <c r="AB545" s="140"/>
      <c r="AC545" s="140"/>
      <c r="AD545" s="140"/>
      <c r="AE545" s="140"/>
      <c r="AF545" s="140"/>
      <c r="AG545" s="140"/>
      <c r="AH545" s="140"/>
      <c r="AI545" s="140"/>
      <c r="AJ545" s="140"/>
      <c r="AK545" s="140"/>
      <c r="AL545" s="140"/>
      <c r="AM545" s="140"/>
      <c r="AN545" s="140"/>
      <c r="AO545" s="140"/>
      <c r="AP545" s="140"/>
      <c r="AQ545" s="140"/>
      <c r="AR545" s="140"/>
      <c r="AS545" s="140"/>
    </row>
    <row r="546">
      <c r="A546" s="149"/>
      <c r="B546" s="140"/>
      <c r="C546" s="140"/>
      <c r="D546" s="140"/>
      <c r="E546" s="140"/>
      <c r="F546" s="140"/>
      <c r="G546" s="140"/>
      <c r="H546" s="140"/>
      <c r="I546" s="140"/>
      <c r="J546" s="140"/>
      <c r="K546" s="140"/>
      <c r="L546" s="140"/>
      <c r="M546" s="140"/>
      <c r="N546" s="140"/>
      <c r="O546" s="140"/>
      <c r="P546" s="140"/>
      <c r="Q546" s="140"/>
      <c r="R546" s="140"/>
      <c r="S546" s="150"/>
      <c r="T546" s="150"/>
      <c r="U546" s="140"/>
      <c r="V546" s="140"/>
      <c r="W546" s="140"/>
      <c r="X546" s="140"/>
      <c r="Y546" s="140"/>
      <c r="Z546" s="140"/>
      <c r="AA546" s="140"/>
      <c r="AB546" s="140"/>
      <c r="AC546" s="140"/>
      <c r="AD546" s="140"/>
      <c r="AE546" s="140"/>
      <c r="AF546" s="140"/>
      <c r="AG546" s="140"/>
      <c r="AH546" s="140"/>
      <c r="AI546" s="140"/>
      <c r="AJ546" s="140"/>
      <c r="AK546" s="140"/>
      <c r="AL546" s="140"/>
      <c r="AM546" s="140"/>
      <c r="AN546" s="140"/>
      <c r="AO546" s="140"/>
      <c r="AP546" s="140"/>
      <c r="AQ546" s="140"/>
      <c r="AR546" s="140"/>
      <c r="AS546" s="140"/>
    </row>
    <row r="547">
      <c r="A547" s="149"/>
      <c r="B547" s="140"/>
      <c r="C547" s="140"/>
      <c r="D547" s="140"/>
      <c r="E547" s="140"/>
      <c r="F547" s="140"/>
      <c r="G547" s="140"/>
      <c r="H547" s="140"/>
      <c r="I547" s="140"/>
      <c r="J547" s="140"/>
      <c r="K547" s="140"/>
      <c r="L547" s="140"/>
      <c r="M547" s="140"/>
      <c r="N547" s="140"/>
      <c r="O547" s="140"/>
      <c r="P547" s="140"/>
      <c r="Q547" s="140"/>
      <c r="R547" s="140"/>
      <c r="S547" s="150"/>
      <c r="T547" s="150"/>
      <c r="U547" s="140"/>
      <c r="V547" s="140"/>
      <c r="W547" s="140"/>
      <c r="X547" s="140"/>
      <c r="Y547" s="140"/>
      <c r="Z547" s="140"/>
      <c r="AA547" s="140"/>
      <c r="AB547" s="140"/>
      <c r="AC547" s="140"/>
      <c r="AD547" s="140"/>
      <c r="AE547" s="140"/>
      <c r="AF547" s="140"/>
      <c r="AG547" s="140"/>
      <c r="AH547" s="140"/>
      <c r="AI547" s="140"/>
      <c r="AJ547" s="140"/>
      <c r="AK547" s="140"/>
      <c r="AL547" s="140"/>
      <c r="AM547" s="140"/>
      <c r="AN547" s="140"/>
      <c r="AO547" s="140"/>
      <c r="AP547" s="140"/>
      <c r="AQ547" s="140"/>
      <c r="AR547" s="140"/>
      <c r="AS547" s="140"/>
    </row>
    <row r="548">
      <c r="A548" s="149"/>
      <c r="B548" s="140"/>
      <c r="C548" s="140"/>
      <c r="D548" s="140"/>
      <c r="E548" s="140"/>
      <c r="F548" s="140"/>
      <c r="G548" s="140"/>
      <c r="H548" s="140"/>
      <c r="I548" s="140"/>
      <c r="J548" s="140"/>
      <c r="K548" s="140"/>
      <c r="L548" s="140"/>
      <c r="M548" s="140"/>
      <c r="N548" s="140"/>
      <c r="O548" s="140"/>
      <c r="P548" s="140"/>
      <c r="Q548" s="140"/>
      <c r="R548" s="140"/>
      <c r="S548" s="150"/>
      <c r="T548" s="150"/>
      <c r="U548" s="140"/>
      <c r="V548" s="140"/>
      <c r="W548" s="140"/>
      <c r="X548" s="140"/>
      <c r="Y548" s="140"/>
      <c r="Z548" s="140"/>
      <c r="AA548" s="140"/>
      <c r="AB548" s="140"/>
      <c r="AC548" s="140"/>
      <c r="AD548" s="140"/>
      <c r="AE548" s="140"/>
      <c r="AF548" s="140"/>
      <c r="AG548" s="140"/>
      <c r="AH548" s="140"/>
      <c r="AI548" s="140"/>
      <c r="AJ548" s="140"/>
      <c r="AK548" s="140"/>
      <c r="AL548" s="140"/>
      <c r="AM548" s="140"/>
      <c r="AN548" s="140"/>
      <c r="AO548" s="140"/>
      <c r="AP548" s="140"/>
      <c r="AQ548" s="140"/>
      <c r="AR548" s="140"/>
      <c r="AS548" s="140"/>
    </row>
    <row r="549">
      <c r="A549" s="149"/>
      <c r="B549" s="140"/>
      <c r="C549" s="140"/>
      <c r="D549" s="140"/>
      <c r="E549" s="140"/>
      <c r="F549" s="140"/>
      <c r="G549" s="140"/>
      <c r="H549" s="140"/>
      <c r="I549" s="140"/>
      <c r="J549" s="140"/>
      <c r="K549" s="140"/>
      <c r="L549" s="140"/>
      <c r="M549" s="140"/>
      <c r="N549" s="140"/>
      <c r="O549" s="140"/>
      <c r="P549" s="140"/>
      <c r="Q549" s="140"/>
      <c r="R549" s="140"/>
      <c r="S549" s="150"/>
      <c r="T549" s="150"/>
      <c r="U549" s="140"/>
      <c r="V549" s="140"/>
      <c r="W549" s="140"/>
      <c r="X549" s="140"/>
      <c r="Y549" s="140"/>
      <c r="Z549" s="140"/>
      <c r="AA549" s="140"/>
      <c r="AB549" s="140"/>
      <c r="AC549" s="140"/>
      <c r="AD549" s="140"/>
      <c r="AE549" s="140"/>
      <c r="AF549" s="140"/>
      <c r="AG549" s="140"/>
      <c r="AH549" s="140"/>
      <c r="AI549" s="140"/>
      <c r="AJ549" s="140"/>
      <c r="AK549" s="140"/>
      <c r="AL549" s="140"/>
      <c r="AM549" s="140"/>
      <c r="AN549" s="140"/>
      <c r="AO549" s="140"/>
      <c r="AP549" s="140"/>
      <c r="AQ549" s="140"/>
      <c r="AR549" s="140"/>
      <c r="AS549" s="140"/>
    </row>
    <row r="550">
      <c r="A550" s="149"/>
      <c r="B550" s="140"/>
      <c r="C550" s="140"/>
      <c r="D550" s="140"/>
      <c r="E550" s="140"/>
      <c r="F550" s="140"/>
      <c r="G550" s="140"/>
      <c r="H550" s="140"/>
      <c r="I550" s="140"/>
      <c r="J550" s="140"/>
      <c r="K550" s="140"/>
      <c r="L550" s="140"/>
      <c r="M550" s="140"/>
      <c r="N550" s="140"/>
      <c r="O550" s="140"/>
      <c r="P550" s="140"/>
      <c r="Q550" s="140"/>
      <c r="R550" s="140"/>
      <c r="S550" s="150"/>
      <c r="T550" s="150"/>
      <c r="U550" s="140"/>
      <c r="V550" s="140"/>
      <c r="W550" s="140"/>
      <c r="X550" s="140"/>
      <c r="Y550" s="140"/>
      <c r="Z550" s="140"/>
      <c r="AA550" s="140"/>
      <c r="AB550" s="140"/>
      <c r="AC550" s="140"/>
      <c r="AD550" s="140"/>
      <c r="AE550" s="140"/>
      <c r="AF550" s="140"/>
      <c r="AG550" s="140"/>
      <c r="AH550" s="140"/>
      <c r="AI550" s="140"/>
      <c r="AJ550" s="140"/>
      <c r="AK550" s="140"/>
      <c r="AL550" s="140"/>
      <c r="AM550" s="140"/>
      <c r="AN550" s="140"/>
      <c r="AO550" s="140"/>
      <c r="AP550" s="140"/>
      <c r="AQ550" s="140"/>
      <c r="AR550" s="140"/>
      <c r="AS550" s="140"/>
    </row>
    <row r="551">
      <c r="A551" s="149"/>
      <c r="B551" s="140"/>
      <c r="C551" s="140"/>
      <c r="D551" s="140"/>
      <c r="E551" s="140"/>
      <c r="F551" s="140"/>
      <c r="G551" s="140"/>
      <c r="H551" s="140"/>
      <c r="I551" s="140"/>
      <c r="J551" s="140"/>
      <c r="K551" s="140"/>
      <c r="L551" s="140"/>
      <c r="M551" s="140"/>
      <c r="N551" s="140"/>
      <c r="O551" s="140"/>
      <c r="P551" s="140"/>
      <c r="Q551" s="140"/>
      <c r="R551" s="140"/>
      <c r="S551" s="150"/>
      <c r="T551" s="150"/>
      <c r="U551" s="140"/>
      <c r="V551" s="140"/>
      <c r="W551" s="140"/>
      <c r="X551" s="140"/>
      <c r="Y551" s="140"/>
      <c r="Z551" s="140"/>
      <c r="AA551" s="140"/>
      <c r="AB551" s="140"/>
      <c r="AC551" s="140"/>
      <c r="AD551" s="140"/>
      <c r="AE551" s="140"/>
      <c r="AF551" s="140"/>
      <c r="AG551" s="140"/>
      <c r="AH551" s="140"/>
      <c r="AI551" s="140"/>
      <c r="AJ551" s="140"/>
      <c r="AK551" s="140"/>
      <c r="AL551" s="140"/>
      <c r="AM551" s="140"/>
      <c r="AN551" s="140"/>
      <c r="AO551" s="140"/>
      <c r="AP551" s="140"/>
      <c r="AQ551" s="140"/>
      <c r="AR551" s="140"/>
      <c r="AS551" s="140"/>
    </row>
    <row r="552">
      <c r="A552" s="149"/>
      <c r="B552" s="140"/>
      <c r="C552" s="140"/>
      <c r="D552" s="140"/>
      <c r="E552" s="140"/>
      <c r="F552" s="140"/>
      <c r="G552" s="140"/>
      <c r="H552" s="140"/>
      <c r="I552" s="140"/>
      <c r="J552" s="140"/>
      <c r="K552" s="140"/>
      <c r="L552" s="140"/>
      <c r="M552" s="140"/>
      <c r="N552" s="140"/>
      <c r="O552" s="140"/>
      <c r="P552" s="140"/>
      <c r="Q552" s="140"/>
      <c r="R552" s="140"/>
      <c r="S552" s="150"/>
      <c r="T552" s="150"/>
      <c r="U552" s="140"/>
      <c r="V552" s="140"/>
      <c r="W552" s="140"/>
      <c r="X552" s="140"/>
      <c r="Y552" s="140"/>
      <c r="Z552" s="140"/>
      <c r="AA552" s="140"/>
      <c r="AB552" s="140"/>
      <c r="AC552" s="140"/>
      <c r="AD552" s="140"/>
      <c r="AE552" s="140"/>
      <c r="AF552" s="140"/>
      <c r="AG552" s="140"/>
      <c r="AH552" s="140"/>
      <c r="AI552" s="140"/>
      <c r="AJ552" s="140"/>
      <c r="AK552" s="140"/>
      <c r="AL552" s="140"/>
      <c r="AM552" s="140"/>
      <c r="AN552" s="140"/>
      <c r="AO552" s="140"/>
      <c r="AP552" s="140"/>
      <c r="AQ552" s="140"/>
      <c r="AR552" s="140"/>
      <c r="AS552" s="140"/>
    </row>
    <row r="553">
      <c r="A553" s="149"/>
      <c r="B553" s="140"/>
      <c r="C553" s="140"/>
      <c r="D553" s="140"/>
      <c r="E553" s="140"/>
      <c r="F553" s="140"/>
      <c r="G553" s="140"/>
      <c r="H553" s="140"/>
      <c r="I553" s="140"/>
      <c r="J553" s="140"/>
      <c r="K553" s="140"/>
      <c r="L553" s="140"/>
      <c r="M553" s="140"/>
      <c r="N553" s="140"/>
      <c r="O553" s="140"/>
      <c r="P553" s="140"/>
      <c r="Q553" s="140"/>
      <c r="R553" s="140"/>
      <c r="S553" s="150"/>
      <c r="T553" s="150"/>
      <c r="U553" s="140"/>
      <c r="V553" s="140"/>
      <c r="W553" s="140"/>
      <c r="X553" s="140"/>
      <c r="Y553" s="140"/>
      <c r="Z553" s="140"/>
      <c r="AA553" s="140"/>
      <c r="AB553" s="140"/>
      <c r="AC553" s="140"/>
      <c r="AD553" s="140"/>
      <c r="AE553" s="140"/>
      <c r="AF553" s="140"/>
      <c r="AG553" s="140"/>
      <c r="AH553" s="140"/>
      <c r="AI553" s="140"/>
      <c r="AJ553" s="140"/>
      <c r="AK553" s="140"/>
      <c r="AL553" s="140"/>
      <c r="AM553" s="140"/>
      <c r="AN553" s="140"/>
      <c r="AO553" s="140"/>
      <c r="AP553" s="140"/>
      <c r="AQ553" s="140"/>
      <c r="AR553" s="140"/>
      <c r="AS553" s="140"/>
    </row>
    <row r="554">
      <c r="A554" s="149"/>
      <c r="B554" s="140"/>
      <c r="C554" s="140"/>
      <c r="D554" s="140"/>
      <c r="E554" s="140"/>
      <c r="F554" s="140"/>
      <c r="G554" s="140"/>
      <c r="H554" s="140"/>
      <c r="I554" s="140"/>
      <c r="J554" s="140"/>
      <c r="K554" s="140"/>
      <c r="L554" s="140"/>
      <c r="M554" s="140"/>
      <c r="N554" s="140"/>
      <c r="O554" s="140"/>
      <c r="P554" s="140"/>
      <c r="Q554" s="140"/>
      <c r="R554" s="140"/>
      <c r="S554" s="150"/>
      <c r="T554" s="150"/>
      <c r="U554" s="140"/>
      <c r="V554" s="140"/>
      <c r="W554" s="140"/>
      <c r="X554" s="140"/>
      <c r="Y554" s="140"/>
      <c r="Z554" s="140"/>
      <c r="AA554" s="140"/>
      <c r="AB554" s="140"/>
      <c r="AC554" s="140"/>
      <c r="AD554" s="140"/>
      <c r="AE554" s="140"/>
      <c r="AF554" s="140"/>
      <c r="AG554" s="140"/>
      <c r="AH554" s="140"/>
      <c r="AI554" s="140"/>
      <c r="AJ554" s="140"/>
      <c r="AK554" s="140"/>
      <c r="AL554" s="140"/>
      <c r="AM554" s="140"/>
      <c r="AN554" s="140"/>
      <c r="AO554" s="140"/>
      <c r="AP554" s="140"/>
      <c r="AQ554" s="140"/>
      <c r="AR554" s="140"/>
      <c r="AS554" s="140"/>
    </row>
    <row r="555">
      <c r="A555" s="149"/>
      <c r="B555" s="140"/>
      <c r="C555" s="140"/>
      <c r="D555" s="140"/>
      <c r="E555" s="140"/>
      <c r="F555" s="140"/>
      <c r="G555" s="140"/>
      <c r="H555" s="140"/>
      <c r="I555" s="140"/>
      <c r="J555" s="140"/>
      <c r="K555" s="140"/>
      <c r="L555" s="140"/>
      <c r="M555" s="140"/>
      <c r="N555" s="140"/>
      <c r="O555" s="140"/>
      <c r="P555" s="140"/>
      <c r="Q555" s="140"/>
      <c r="R555" s="140"/>
      <c r="S555" s="150"/>
      <c r="T555" s="150"/>
      <c r="U555" s="140"/>
      <c r="V555" s="140"/>
      <c r="W555" s="140"/>
      <c r="X555" s="140"/>
      <c r="Y555" s="140"/>
      <c r="Z555" s="140"/>
      <c r="AA555" s="140"/>
      <c r="AB555" s="140"/>
      <c r="AC555" s="140"/>
      <c r="AD555" s="140"/>
      <c r="AE555" s="140"/>
      <c r="AF555" s="140"/>
      <c r="AG555" s="140"/>
      <c r="AH555" s="140"/>
      <c r="AI555" s="140"/>
      <c r="AJ555" s="140"/>
      <c r="AK555" s="140"/>
      <c r="AL555" s="140"/>
      <c r="AM555" s="140"/>
      <c r="AN555" s="140"/>
      <c r="AO555" s="140"/>
      <c r="AP555" s="140"/>
      <c r="AQ555" s="140"/>
      <c r="AR555" s="140"/>
      <c r="AS555" s="140"/>
    </row>
    <row r="556">
      <c r="A556" s="149"/>
      <c r="B556" s="140"/>
      <c r="C556" s="140"/>
      <c r="D556" s="140"/>
      <c r="E556" s="140"/>
      <c r="F556" s="140"/>
      <c r="G556" s="140"/>
      <c r="H556" s="140"/>
      <c r="I556" s="140"/>
      <c r="J556" s="140"/>
      <c r="K556" s="140"/>
      <c r="L556" s="140"/>
      <c r="M556" s="140"/>
      <c r="N556" s="140"/>
      <c r="O556" s="140"/>
      <c r="P556" s="140"/>
      <c r="Q556" s="140"/>
      <c r="R556" s="140"/>
      <c r="S556" s="150"/>
      <c r="T556" s="150"/>
      <c r="U556" s="140"/>
      <c r="V556" s="140"/>
      <c r="W556" s="140"/>
      <c r="X556" s="140"/>
      <c r="Y556" s="140"/>
      <c r="Z556" s="140"/>
      <c r="AA556" s="140"/>
      <c r="AB556" s="140"/>
      <c r="AC556" s="140"/>
      <c r="AD556" s="140"/>
      <c r="AE556" s="140"/>
      <c r="AF556" s="140"/>
      <c r="AG556" s="140"/>
      <c r="AH556" s="140"/>
      <c r="AI556" s="140"/>
      <c r="AJ556" s="140"/>
      <c r="AK556" s="140"/>
      <c r="AL556" s="140"/>
      <c r="AM556" s="140"/>
      <c r="AN556" s="140"/>
      <c r="AO556" s="140"/>
      <c r="AP556" s="140"/>
      <c r="AQ556" s="140"/>
      <c r="AR556" s="140"/>
      <c r="AS556" s="140"/>
    </row>
    <row r="557">
      <c r="A557" s="149"/>
      <c r="B557" s="140"/>
      <c r="C557" s="140"/>
      <c r="D557" s="140"/>
      <c r="E557" s="140"/>
      <c r="F557" s="140"/>
      <c r="G557" s="140"/>
      <c r="H557" s="140"/>
      <c r="I557" s="140"/>
      <c r="J557" s="140"/>
      <c r="K557" s="140"/>
      <c r="L557" s="140"/>
      <c r="M557" s="140"/>
      <c r="N557" s="140"/>
      <c r="O557" s="140"/>
      <c r="P557" s="140"/>
      <c r="Q557" s="140"/>
      <c r="R557" s="140"/>
      <c r="S557" s="150"/>
      <c r="T557" s="150"/>
      <c r="U557" s="140"/>
      <c r="V557" s="140"/>
      <c r="W557" s="140"/>
      <c r="X557" s="140"/>
      <c r="Y557" s="140"/>
      <c r="Z557" s="140"/>
      <c r="AA557" s="140"/>
      <c r="AB557" s="140"/>
      <c r="AC557" s="140"/>
      <c r="AD557" s="140"/>
      <c r="AE557" s="140"/>
      <c r="AF557" s="140"/>
      <c r="AG557" s="140"/>
      <c r="AH557" s="140"/>
      <c r="AI557" s="140"/>
      <c r="AJ557" s="140"/>
      <c r="AK557" s="140"/>
      <c r="AL557" s="140"/>
      <c r="AM557" s="140"/>
      <c r="AN557" s="140"/>
      <c r="AO557" s="140"/>
      <c r="AP557" s="140"/>
      <c r="AQ557" s="140"/>
      <c r="AR557" s="140"/>
      <c r="AS557" s="140"/>
    </row>
    <row r="558">
      <c r="A558" s="149"/>
      <c r="B558" s="140"/>
      <c r="C558" s="140"/>
      <c r="D558" s="140"/>
      <c r="E558" s="140"/>
      <c r="F558" s="140"/>
      <c r="G558" s="140"/>
      <c r="H558" s="140"/>
      <c r="I558" s="140"/>
      <c r="J558" s="140"/>
      <c r="K558" s="140"/>
      <c r="L558" s="140"/>
      <c r="M558" s="140"/>
      <c r="N558" s="140"/>
      <c r="O558" s="140"/>
      <c r="P558" s="140"/>
      <c r="Q558" s="140"/>
      <c r="R558" s="140"/>
      <c r="S558" s="150"/>
      <c r="T558" s="150"/>
      <c r="U558" s="140"/>
      <c r="V558" s="140"/>
      <c r="W558" s="140"/>
      <c r="X558" s="140"/>
      <c r="Y558" s="140"/>
      <c r="Z558" s="140"/>
      <c r="AA558" s="140"/>
      <c r="AB558" s="140"/>
      <c r="AC558" s="140"/>
      <c r="AD558" s="140"/>
      <c r="AE558" s="140"/>
      <c r="AF558" s="140"/>
      <c r="AG558" s="140"/>
      <c r="AH558" s="140"/>
      <c r="AI558" s="140"/>
      <c r="AJ558" s="140"/>
      <c r="AK558" s="140"/>
      <c r="AL558" s="140"/>
      <c r="AM558" s="140"/>
      <c r="AN558" s="140"/>
      <c r="AO558" s="140"/>
      <c r="AP558" s="140"/>
      <c r="AQ558" s="140"/>
      <c r="AR558" s="140"/>
      <c r="AS558" s="140"/>
    </row>
    <row r="559">
      <c r="A559" s="149"/>
      <c r="B559" s="140"/>
      <c r="C559" s="140"/>
      <c r="D559" s="140"/>
      <c r="E559" s="140"/>
      <c r="F559" s="140"/>
      <c r="G559" s="140"/>
      <c r="H559" s="140"/>
      <c r="I559" s="140"/>
      <c r="J559" s="140"/>
      <c r="K559" s="140"/>
      <c r="L559" s="140"/>
      <c r="M559" s="140"/>
      <c r="N559" s="140"/>
      <c r="O559" s="140"/>
      <c r="P559" s="140"/>
      <c r="Q559" s="140"/>
      <c r="R559" s="140"/>
      <c r="S559" s="150"/>
      <c r="T559" s="150"/>
      <c r="U559" s="140"/>
      <c r="V559" s="140"/>
      <c r="W559" s="140"/>
      <c r="X559" s="140"/>
      <c r="Y559" s="140"/>
      <c r="Z559" s="140"/>
      <c r="AA559" s="140"/>
      <c r="AB559" s="140"/>
      <c r="AC559" s="140"/>
      <c r="AD559" s="140"/>
      <c r="AE559" s="140"/>
      <c r="AF559" s="140"/>
      <c r="AG559" s="140"/>
      <c r="AH559" s="140"/>
      <c r="AI559" s="140"/>
      <c r="AJ559" s="140"/>
      <c r="AK559" s="140"/>
      <c r="AL559" s="140"/>
      <c r="AM559" s="140"/>
      <c r="AN559" s="140"/>
      <c r="AO559" s="140"/>
      <c r="AP559" s="140"/>
      <c r="AQ559" s="140"/>
      <c r="AR559" s="140"/>
      <c r="AS559" s="140"/>
    </row>
    <row r="560">
      <c r="A560" s="149"/>
      <c r="B560" s="140"/>
      <c r="C560" s="140"/>
      <c r="D560" s="140"/>
      <c r="E560" s="140"/>
      <c r="F560" s="140"/>
      <c r="G560" s="140"/>
      <c r="H560" s="140"/>
      <c r="I560" s="140"/>
      <c r="J560" s="140"/>
      <c r="K560" s="140"/>
      <c r="L560" s="140"/>
      <c r="M560" s="140"/>
      <c r="N560" s="140"/>
      <c r="O560" s="140"/>
      <c r="P560" s="140"/>
      <c r="Q560" s="140"/>
      <c r="R560" s="140"/>
      <c r="S560" s="150"/>
      <c r="T560" s="150"/>
      <c r="U560" s="140"/>
      <c r="V560" s="140"/>
      <c r="W560" s="140"/>
      <c r="X560" s="140"/>
      <c r="Y560" s="140"/>
      <c r="Z560" s="140"/>
      <c r="AA560" s="140"/>
      <c r="AB560" s="140"/>
      <c r="AC560" s="140"/>
      <c r="AD560" s="140"/>
      <c r="AE560" s="140"/>
      <c r="AF560" s="140"/>
      <c r="AG560" s="140"/>
      <c r="AH560" s="140"/>
      <c r="AI560" s="140"/>
      <c r="AJ560" s="140"/>
      <c r="AK560" s="140"/>
      <c r="AL560" s="140"/>
      <c r="AM560" s="140"/>
      <c r="AN560" s="140"/>
      <c r="AO560" s="140"/>
      <c r="AP560" s="140"/>
      <c r="AQ560" s="140"/>
      <c r="AR560" s="140"/>
      <c r="AS560" s="140"/>
    </row>
    <row r="561">
      <c r="A561" s="149"/>
      <c r="B561" s="140"/>
      <c r="C561" s="140"/>
      <c r="D561" s="140"/>
      <c r="E561" s="140"/>
      <c r="F561" s="140"/>
      <c r="G561" s="140"/>
      <c r="H561" s="140"/>
      <c r="I561" s="140"/>
      <c r="J561" s="140"/>
      <c r="K561" s="140"/>
      <c r="L561" s="140"/>
      <c r="M561" s="140"/>
      <c r="N561" s="140"/>
      <c r="O561" s="140"/>
      <c r="P561" s="140"/>
      <c r="Q561" s="140"/>
      <c r="R561" s="140"/>
      <c r="S561" s="150"/>
      <c r="T561" s="150"/>
      <c r="U561" s="140"/>
      <c r="V561" s="140"/>
      <c r="W561" s="140"/>
      <c r="X561" s="140"/>
      <c r="Y561" s="140"/>
      <c r="Z561" s="140"/>
      <c r="AA561" s="140"/>
      <c r="AB561" s="140"/>
      <c r="AC561" s="140"/>
      <c r="AD561" s="140"/>
      <c r="AE561" s="140"/>
      <c r="AF561" s="140"/>
      <c r="AG561" s="140"/>
      <c r="AH561" s="140"/>
      <c r="AI561" s="140"/>
      <c r="AJ561" s="140"/>
      <c r="AK561" s="140"/>
      <c r="AL561" s="140"/>
      <c r="AM561" s="140"/>
      <c r="AN561" s="140"/>
      <c r="AO561" s="140"/>
      <c r="AP561" s="140"/>
      <c r="AQ561" s="140"/>
      <c r="AR561" s="140"/>
      <c r="AS561" s="140"/>
    </row>
    <row r="562">
      <c r="A562" s="149"/>
      <c r="B562" s="140"/>
      <c r="C562" s="140"/>
      <c r="D562" s="140"/>
      <c r="E562" s="140"/>
      <c r="F562" s="140"/>
      <c r="G562" s="140"/>
      <c r="H562" s="140"/>
      <c r="I562" s="140"/>
      <c r="J562" s="140"/>
      <c r="K562" s="140"/>
      <c r="L562" s="140"/>
      <c r="M562" s="140"/>
      <c r="N562" s="140"/>
      <c r="O562" s="140"/>
      <c r="P562" s="140"/>
      <c r="Q562" s="140"/>
      <c r="R562" s="140"/>
      <c r="S562" s="150"/>
      <c r="T562" s="150"/>
      <c r="U562" s="140"/>
      <c r="V562" s="140"/>
      <c r="W562" s="140"/>
      <c r="X562" s="140"/>
      <c r="Y562" s="140"/>
      <c r="Z562" s="140"/>
      <c r="AA562" s="140"/>
      <c r="AB562" s="140"/>
      <c r="AC562" s="140"/>
      <c r="AD562" s="140"/>
      <c r="AE562" s="140"/>
      <c r="AF562" s="140"/>
      <c r="AG562" s="140"/>
      <c r="AH562" s="140"/>
      <c r="AI562" s="140"/>
      <c r="AJ562" s="140"/>
      <c r="AK562" s="140"/>
      <c r="AL562" s="140"/>
      <c r="AM562" s="140"/>
      <c r="AN562" s="140"/>
      <c r="AO562" s="140"/>
      <c r="AP562" s="140"/>
      <c r="AQ562" s="140"/>
      <c r="AR562" s="140"/>
      <c r="AS562" s="140"/>
    </row>
    <row r="563">
      <c r="A563" s="149"/>
      <c r="B563" s="140"/>
      <c r="C563" s="140"/>
      <c r="D563" s="140"/>
      <c r="E563" s="140"/>
      <c r="F563" s="140"/>
      <c r="G563" s="140"/>
      <c r="H563" s="140"/>
      <c r="I563" s="140"/>
      <c r="J563" s="140"/>
      <c r="K563" s="140"/>
      <c r="L563" s="140"/>
      <c r="M563" s="140"/>
      <c r="N563" s="140"/>
      <c r="O563" s="140"/>
      <c r="P563" s="140"/>
      <c r="Q563" s="140"/>
      <c r="R563" s="140"/>
      <c r="S563" s="150"/>
      <c r="T563" s="150"/>
      <c r="U563" s="140"/>
      <c r="V563" s="140"/>
      <c r="W563" s="140"/>
      <c r="X563" s="140"/>
      <c r="Y563" s="140"/>
      <c r="Z563" s="140"/>
      <c r="AA563" s="140"/>
      <c r="AB563" s="140"/>
      <c r="AC563" s="140"/>
      <c r="AD563" s="140"/>
      <c r="AE563" s="140"/>
      <c r="AF563" s="140"/>
      <c r="AG563" s="140"/>
      <c r="AH563" s="140"/>
      <c r="AI563" s="140"/>
      <c r="AJ563" s="140"/>
      <c r="AK563" s="140"/>
      <c r="AL563" s="140"/>
      <c r="AM563" s="140"/>
      <c r="AN563" s="140"/>
      <c r="AO563" s="140"/>
      <c r="AP563" s="140"/>
      <c r="AQ563" s="140"/>
      <c r="AR563" s="140"/>
      <c r="AS563" s="140"/>
    </row>
    <row r="564">
      <c r="A564" s="149"/>
      <c r="B564" s="140"/>
      <c r="C564" s="140"/>
      <c r="D564" s="140"/>
      <c r="E564" s="140"/>
      <c r="F564" s="140"/>
      <c r="G564" s="140"/>
      <c r="H564" s="140"/>
      <c r="I564" s="140"/>
      <c r="J564" s="140"/>
      <c r="K564" s="140"/>
      <c r="L564" s="140"/>
      <c r="M564" s="140"/>
      <c r="N564" s="140"/>
      <c r="O564" s="140"/>
      <c r="P564" s="140"/>
      <c r="Q564" s="140"/>
      <c r="R564" s="140"/>
      <c r="S564" s="150"/>
      <c r="T564" s="150"/>
      <c r="U564" s="140"/>
      <c r="V564" s="140"/>
      <c r="W564" s="140"/>
      <c r="X564" s="140"/>
      <c r="Y564" s="140"/>
      <c r="Z564" s="140"/>
      <c r="AA564" s="140"/>
      <c r="AB564" s="140"/>
      <c r="AC564" s="140"/>
      <c r="AD564" s="140"/>
      <c r="AE564" s="140"/>
      <c r="AF564" s="140"/>
      <c r="AG564" s="140"/>
      <c r="AH564" s="140"/>
      <c r="AI564" s="140"/>
      <c r="AJ564" s="140"/>
      <c r="AK564" s="140"/>
      <c r="AL564" s="140"/>
      <c r="AM564" s="140"/>
      <c r="AN564" s="140"/>
      <c r="AO564" s="140"/>
      <c r="AP564" s="140"/>
      <c r="AQ564" s="140"/>
      <c r="AR564" s="140"/>
      <c r="AS564" s="140"/>
    </row>
    <row r="565">
      <c r="A565" s="149"/>
      <c r="B565" s="140"/>
      <c r="C565" s="140"/>
      <c r="D565" s="140"/>
      <c r="E565" s="140"/>
      <c r="F565" s="140"/>
      <c r="G565" s="140"/>
      <c r="H565" s="140"/>
      <c r="I565" s="140"/>
      <c r="J565" s="140"/>
      <c r="K565" s="140"/>
      <c r="L565" s="140"/>
      <c r="M565" s="140"/>
      <c r="N565" s="140"/>
      <c r="O565" s="140"/>
      <c r="P565" s="140"/>
      <c r="Q565" s="140"/>
      <c r="R565" s="140"/>
      <c r="S565" s="150"/>
      <c r="T565" s="150"/>
      <c r="U565" s="140"/>
      <c r="V565" s="140"/>
      <c r="W565" s="140"/>
      <c r="X565" s="140"/>
      <c r="Y565" s="140"/>
      <c r="Z565" s="140"/>
      <c r="AA565" s="140"/>
      <c r="AB565" s="140"/>
      <c r="AC565" s="140"/>
      <c r="AD565" s="140"/>
      <c r="AE565" s="140"/>
      <c r="AF565" s="140"/>
      <c r="AG565" s="140"/>
      <c r="AH565" s="140"/>
      <c r="AI565" s="140"/>
      <c r="AJ565" s="140"/>
      <c r="AK565" s="140"/>
      <c r="AL565" s="140"/>
      <c r="AM565" s="140"/>
      <c r="AN565" s="140"/>
      <c r="AO565" s="140"/>
      <c r="AP565" s="140"/>
      <c r="AQ565" s="140"/>
      <c r="AR565" s="140"/>
      <c r="AS565" s="140"/>
    </row>
    <row r="566">
      <c r="A566" s="149"/>
      <c r="B566" s="140"/>
      <c r="C566" s="140"/>
      <c r="D566" s="140"/>
      <c r="E566" s="140"/>
      <c r="F566" s="140"/>
      <c r="G566" s="140"/>
      <c r="H566" s="140"/>
      <c r="I566" s="140"/>
      <c r="J566" s="140"/>
      <c r="K566" s="140"/>
      <c r="L566" s="140"/>
      <c r="M566" s="140"/>
      <c r="N566" s="140"/>
      <c r="O566" s="140"/>
      <c r="P566" s="140"/>
      <c r="Q566" s="140"/>
      <c r="R566" s="140"/>
      <c r="S566" s="150"/>
      <c r="T566" s="150"/>
      <c r="U566" s="140"/>
      <c r="V566" s="140"/>
      <c r="W566" s="140"/>
      <c r="X566" s="140"/>
      <c r="Y566" s="140"/>
      <c r="Z566" s="140"/>
      <c r="AA566" s="140"/>
      <c r="AB566" s="140"/>
      <c r="AC566" s="140"/>
      <c r="AD566" s="140"/>
      <c r="AE566" s="140"/>
      <c r="AF566" s="140"/>
      <c r="AG566" s="140"/>
      <c r="AH566" s="140"/>
      <c r="AI566" s="140"/>
      <c r="AJ566" s="140"/>
      <c r="AK566" s="140"/>
      <c r="AL566" s="140"/>
      <c r="AM566" s="140"/>
      <c r="AN566" s="140"/>
      <c r="AO566" s="140"/>
      <c r="AP566" s="140"/>
      <c r="AQ566" s="140"/>
      <c r="AR566" s="140"/>
      <c r="AS566" s="140"/>
    </row>
    <row r="567">
      <c r="A567" s="149"/>
      <c r="B567" s="140"/>
      <c r="C567" s="140"/>
      <c r="D567" s="140"/>
      <c r="E567" s="140"/>
      <c r="F567" s="140"/>
      <c r="G567" s="140"/>
      <c r="H567" s="140"/>
      <c r="I567" s="140"/>
      <c r="J567" s="140"/>
      <c r="K567" s="140"/>
      <c r="L567" s="140"/>
      <c r="M567" s="140"/>
      <c r="N567" s="140"/>
      <c r="O567" s="140"/>
      <c r="P567" s="140"/>
      <c r="Q567" s="140"/>
      <c r="R567" s="140"/>
      <c r="S567" s="150"/>
      <c r="T567" s="150"/>
      <c r="U567" s="140"/>
      <c r="V567" s="140"/>
      <c r="W567" s="140"/>
      <c r="X567" s="140"/>
      <c r="Y567" s="140"/>
      <c r="Z567" s="140"/>
      <c r="AA567" s="140"/>
      <c r="AB567" s="140"/>
      <c r="AC567" s="140"/>
      <c r="AD567" s="140"/>
      <c r="AE567" s="140"/>
      <c r="AF567" s="140"/>
      <c r="AG567" s="140"/>
      <c r="AH567" s="140"/>
      <c r="AI567" s="140"/>
      <c r="AJ567" s="140"/>
      <c r="AK567" s="140"/>
      <c r="AL567" s="140"/>
      <c r="AM567" s="140"/>
      <c r="AN567" s="140"/>
      <c r="AO567" s="140"/>
      <c r="AP567" s="140"/>
      <c r="AQ567" s="140"/>
      <c r="AR567" s="140"/>
      <c r="AS567" s="140"/>
    </row>
    <row r="568">
      <c r="A568" s="149"/>
      <c r="B568" s="140"/>
      <c r="C568" s="140"/>
      <c r="D568" s="140"/>
      <c r="E568" s="140"/>
      <c r="F568" s="140"/>
      <c r="G568" s="140"/>
      <c r="H568" s="140"/>
      <c r="I568" s="140"/>
      <c r="J568" s="140"/>
      <c r="K568" s="140"/>
      <c r="L568" s="140"/>
      <c r="M568" s="140"/>
      <c r="N568" s="140"/>
      <c r="O568" s="140"/>
      <c r="P568" s="140"/>
      <c r="Q568" s="140"/>
      <c r="R568" s="140"/>
      <c r="S568" s="150"/>
      <c r="T568" s="150"/>
      <c r="U568" s="140"/>
      <c r="V568" s="140"/>
      <c r="W568" s="140"/>
      <c r="X568" s="140"/>
      <c r="Y568" s="140"/>
      <c r="Z568" s="140"/>
      <c r="AA568" s="140"/>
      <c r="AB568" s="140"/>
      <c r="AC568" s="140"/>
      <c r="AD568" s="140"/>
      <c r="AE568" s="140"/>
      <c r="AF568" s="140"/>
      <c r="AG568" s="140"/>
      <c r="AH568" s="140"/>
      <c r="AI568" s="140"/>
      <c r="AJ568" s="140"/>
      <c r="AK568" s="140"/>
      <c r="AL568" s="140"/>
      <c r="AM568" s="140"/>
      <c r="AN568" s="140"/>
      <c r="AO568" s="140"/>
      <c r="AP568" s="140"/>
      <c r="AQ568" s="140"/>
      <c r="AR568" s="140"/>
      <c r="AS568" s="140"/>
    </row>
    <row r="569">
      <c r="A569" s="149"/>
      <c r="B569" s="140"/>
      <c r="C569" s="140"/>
      <c r="D569" s="140"/>
      <c r="E569" s="140"/>
      <c r="F569" s="140"/>
      <c r="G569" s="140"/>
      <c r="H569" s="140"/>
      <c r="I569" s="140"/>
      <c r="J569" s="140"/>
      <c r="K569" s="140"/>
      <c r="L569" s="140"/>
      <c r="M569" s="140"/>
      <c r="N569" s="140"/>
      <c r="O569" s="140"/>
      <c r="P569" s="140"/>
      <c r="Q569" s="140"/>
      <c r="R569" s="140"/>
      <c r="S569" s="150"/>
      <c r="T569" s="150"/>
      <c r="U569" s="140"/>
      <c r="V569" s="140"/>
      <c r="W569" s="140"/>
      <c r="X569" s="140"/>
      <c r="Y569" s="140"/>
      <c r="Z569" s="140"/>
      <c r="AA569" s="140"/>
      <c r="AB569" s="140"/>
      <c r="AC569" s="140"/>
      <c r="AD569" s="140"/>
      <c r="AE569" s="140"/>
      <c r="AF569" s="140"/>
      <c r="AG569" s="140"/>
      <c r="AH569" s="140"/>
      <c r="AI569" s="140"/>
      <c r="AJ569" s="140"/>
      <c r="AK569" s="140"/>
      <c r="AL569" s="140"/>
      <c r="AM569" s="140"/>
      <c r="AN569" s="140"/>
      <c r="AO569" s="140"/>
      <c r="AP569" s="140"/>
      <c r="AQ569" s="140"/>
      <c r="AR569" s="140"/>
      <c r="AS569" s="140"/>
    </row>
    <row r="570">
      <c r="A570" s="149"/>
      <c r="B570" s="140"/>
      <c r="C570" s="140"/>
      <c r="D570" s="140"/>
      <c r="E570" s="140"/>
      <c r="F570" s="140"/>
      <c r="G570" s="140"/>
      <c r="H570" s="140"/>
      <c r="I570" s="140"/>
      <c r="J570" s="140"/>
      <c r="K570" s="140"/>
      <c r="L570" s="140"/>
      <c r="M570" s="140"/>
      <c r="N570" s="140"/>
      <c r="O570" s="140"/>
      <c r="P570" s="140"/>
      <c r="Q570" s="140"/>
      <c r="R570" s="140"/>
      <c r="S570" s="150"/>
      <c r="T570" s="150"/>
      <c r="U570" s="140"/>
      <c r="V570" s="140"/>
      <c r="W570" s="140"/>
      <c r="X570" s="140"/>
      <c r="Y570" s="140"/>
      <c r="Z570" s="140"/>
      <c r="AA570" s="140"/>
      <c r="AB570" s="140"/>
      <c r="AC570" s="140"/>
      <c r="AD570" s="140"/>
      <c r="AE570" s="140"/>
      <c r="AF570" s="140"/>
      <c r="AG570" s="140"/>
      <c r="AH570" s="140"/>
      <c r="AI570" s="140"/>
      <c r="AJ570" s="140"/>
      <c r="AK570" s="140"/>
      <c r="AL570" s="140"/>
      <c r="AM570" s="140"/>
      <c r="AN570" s="140"/>
      <c r="AO570" s="140"/>
      <c r="AP570" s="140"/>
      <c r="AQ570" s="140"/>
      <c r="AR570" s="140"/>
      <c r="AS570" s="140"/>
    </row>
    <row r="571">
      <c r="A571" s="149"/>
      <c r="B571" s="140"/>
      <c r="C571" s="140"/>
      <c r="D571" s="140"/>
      <c r="E571" s="140"/>
      <c r="F571" s="140"/>
      <c r="G571" s="140"/>
      <c r="H571" s="140"/>
      <c r="I571" s="140"/>
      <c r="J571" s="140"/>
      <c r="K571" s="140"/>
      <c r="L571" s="140"/>
      <c r="M571" s="140"/>
      <c r="N571" s="140"/>
      <c r="O571" s="140"/>
      <c r="P571" s="140"/>
      <c r="Q571" s="140"/>
      <c r="R571" s="140"/>
      <c r="S571" s="150"/>
      <c r="T571" s="150"/>
      <c r="U571" s="140"/>
      <c r="V571" s="140"/>
      <c r="W571" s="140"/>
      <c r="X571" s="140"/>
      <c r="Y571" s="140"/>
      <c r="Z571" s="140"/>
      <c r="AA571" s="140"/>
      <c r="AB571" s="140"/>
      <c r="AC571" s="140"/>
      <c r="AD571" s="140"/>
      <c r="AE571" s="140"/>
      <c r="AF571" s="140"/>
      <c r="AG571" s="140"/>
      <c r="AH571" s="140"/>
      <c r="AI571" s="140"/>
      <c r="AJ571" s="140"/>
      <c r="AK571" s="140"/>
      <c r="AL571" s="140"/>
      <c r="AM571" s="140"/>
      <c r="AN571" s="140"/>
      <c r="AO571" s="140"/>
      <c r="AP571" s="140"/>
      <c r="AQ571" s="140"/>
      <c r="AR571" s="140"/>
      <c r="AS571" s="140"/>
    </row>
    <row r="572">
      <c r="A572" s="149"/>
      <c r="B572" s="140"/>
      <c r="C572" s="140"/>
      <c r="D572" s="140"/>
      <c r="E572" s="140"/>
      <c r="F572" s="140"/>
      <c r="G572" s="140"/>
      <c r="H572" s="140"/>
      <c r="I572" s="140"/>
      <c r="J572" s="140"/>
      <c r="K572" s="140"/>
      <c r="L572" s="140"/>
      <c r="M572" s="140"/>
      <c r="N572" s="140"/>
      <c r="O572" s="140"/>
      <c r="P572" s="140"/>
      <c r="Q572" s="140"/>
      <c r="R572" s="140"/>
      <c r="S572" s="150"/>
      <c r="T572" s="150"/>
      <c r="U572" s="140"/>
      <c r="V572" s="140"/>
      <c r="W572" s="140"/>
      <c r="X572" s="140"/>
      <c r="Y572" s="140"/>
      <c r="Z572" s="140"/>
      <c r="AA572" s="140"/>
      <c r="AB572" s="140"/>
      <c r="AC572" s="140"/>
      <c r="AD572" s="140"/>
      <c r="AE572" s="140"/>
      <c r="AF572" s="140"/>
      <c r="AG572" s="140"/>
      <c r="AH572" s="140"/>
      <c r="AI572" s="140"/>
      <c r="AJ572" s="140"/>
      <c r="AK572" s="140"/>
      <c r="AL572" s="140"/>
      <c r="AM572" s="140"/>
      <c r="AN572" s="140"/>
      <c r="AO572" s="140"/>
      <c r="AP572" s="140"/>
      <c r="AQ572" s="140"/>
      <c r="AR572" s="140"/>
      <c r="AS572" s="140"/>
    </row>
    <row r="573">
      <c r="A573" s="149"/>
      <c r="B573" s="140"/>
      <c r="C573" s="140"/>
      <c r="D573" s="140"/>
      <c r="E573" s="140"/>
      <c r="F573" s="140"/>
      <c r="G573" s="140"/>
      <c r="H573" s="140"/>
      <c r="I573" s="140"/>
      <c r="J573" s="140"/>
      <c r="K573" s="140"/>
      <c r="L573" s="140"/>
      <c r="M573" s="140"/>
      <c r="N573" s="140"/>
      <c r="O573" s="140"/>
      <c r="P573" s="140"/>
      <c r="Q573" s="140"/>
      <c r="R573" s="140"/>
      <c r="S573" s="150"/>
      <c r="T573" s="150"/>
      <c r="U573" s="140"/>
      <c r="V573" s="140"/>
      <c r="W573" s="140"/>
      <c r="X573" s="140"/>
      <c r="Y573" s="140"/>
      <c r="Z573" s="140"/>
      <c r="AA573" s="140"/>
      <c r="AB573" s="140"/>
      <c r="AC573" s="140"/>
      <c r="AD573" s="140"/>
      <c r="AE573" s="140"/>
      <c r="AF573" s="140"/>
      <c r="AG573" s="140"/>
      <c r="AH573" s="140"/>
      <c r="AI573" s="140"/>
      <c r="AJ573" s="140"/>
      <c r="AK573" s="140"/>
      <c r="AL573" s="140"/>
      <c r="AM573" s="140"/>
      <c r="AN573" s="140"/>
      <c r="AO573" s="140"/>
      <c r="AP573" s="140"/>
      <c r="AQ573" s="140"/>
      <c r="AR573" s="140"/>
      <c r="AS573" s="140"/>
    </row>
    <row r="574">
      <c r="A574" s="149"/>
      <c r="B574" s="140"/>
      <c r="C574" s="140"/>
      <c r="D574" s="140"/>
      <c r="E574" s="140"/>
      <c r="F574" s="140"/>
      <c r="G574" s="140"/>
      <c r="H574" s="140"/>
      <c r="I574" s="140"/>
      <c r="J574" s="140"/>
      <c r="K574" s="140"/>
      <c r="L574" s="140"/>
      <c r="M574" s="140"/>
      <c r="N574" s="140"/>
      <c r="O574" s="140"/>
      <c r="P574" s="140"/>
      <c r="Q574" s="140"/>
      <c r="R574" s="140"/>
      <c r="S574" s="150"/>
      <c r="T574" s="150"/>
      <c r="U574" s="140"/>
      <c r="V574" s="140"/>
      <c r="W574" s="140"/>
      <c r="X574" s="140"/>
      <c r="Y574" s="140"/>
      <c r="Z574" s="140"/>
      <c r="AA574" s="140"/>
      <c r="AB574" s="140"/>
      <c r="AC574" s="140"/>
      <c r="AD574" s="140"/>
      <c r="AE574" s="140"/>
      <c r="AF574" s="140"/>
      <c r="AG574" s="140"/>
      <c r="AH574" s="140"/>
      <c r="AI574" s="140"/>
      <c r="AJ574" s="140"/>
      <c r="AK574" s="140"/>
      <c r="AL574" s="140"/>
      <c r="AM574" s="140"/>
      <c r="AN574" s="140"/>
      <c r="AO574" s="140"/>
      <c r="AP574" s="140"/>
      <c r="AQ574" s="140"/>
      <c r="AR574" s="140"/>
      <c r="AS574" s="140"/>
    </row>
    <row r="575">
      <c r="A575" s="149"/>
      <c r="B575" s="140"/>
      <c r="C575" s="140"/>
      <c r="D575" s="140"/>
      <c r="E575" s="140"/>
      <c r="F575" s="140"/>
      <c r="G575" s="140"/>
      <c r="H575" s="140"/>
      <c r="I575" s="140"/>
      <c r="J575" s="140"/>
      <c r="K575" s="140"/>
      <c r="L575" s="140"/>
      <c r="M575" s="140"/>
      <c r="N575" s="140"/>
      <c r="O575" s="140"/>
      <c r="P575" s="140"/>
      <c r="Q575" s="140"/>
      <c r="R575" s="140"/>
      <c r="S575" s="150"/>
      <c r="T575" s="150"/>
      <c r="U575" s="140"/>
      <c r="V575" s="140"/>
      <c r="W575" s="140"/>
      <c r="X575" s="140"/>
      <c r="Y575" s="140"/>
      <c r="Z575" s="140"/>
      <c r="AA575" s="140"/>
      <c r="AB575" s="140"/>
      <c r="AC575" s="140"/>
      <c r="AD575" s="140"/>
      <c r="AE575" s="140"/>
      <c r="AF575" s="140"/>
      <c r="AG575" s="140"/>
      <c r="AH575" s="140"/>
      <c r="AI575" s="140"/>
      <c r="AJ575" s="140"/>
      <c r="AK575" s="140"/>
      <c r="AL575" s="140"/>
      <c r="AM575" s="140"/>
      <c r="AN575" s="140"/>
      <c r="AO575" s="140"/>
      <c r="AP575" s="140"/>
      <c r="AQ575" s="140"/>
      <c r="AR575" s="140"/>
      <c r="AS575" s="140"/>
    </row>
    <row r="576">
      <c r="A576" s="149"/>
      <c r="B576" s="140"/>
      <c r="C576" s="140"/>
      <c r="D576" s="140"/>
      <c r="E576" s="140"/>
      <c r="F576" s="140"/>
      <c r="G576" s="140"/>
      <c r="H576" s="140"/>
      <c r="I576" s="140"/>
      <c r="J576" s="140"/>
      <c r="K576" s="140"/>
      <c r="L576" s="140"/>
      <c r="M576" s="140"/>
      <c r="N576" s="140"/>
      <c r="O576" s="140"/>
      <c r="P576" s="140"/>
      <c r="Q576" s="140"/>
      <c r="R576" s="140"/>
      <c r="S576" s="150"/>
      <c r="T576" s="150"/>
      <c r="U576" s="140"/>
      <c r="V576" s="140"/>
      <c r="W576" s="140"/>
      <c r="X576" s="140"/>
      <c r="Y576" s="140"/>
      <c r="Z576" s="140"/>
      <c r="AA576" s="140"/>
      <c r="AB576" s="140"/>
      <c r="AC576" s="140"/>
      <c r="AD576" s="140"/>
      <c r="AE576" s="140"/>
      <c r="AF576" s="140"/>
      <c r="AG576" s="140"/>
      <c r="AH576" s="140"/>
      <c r="AI576" s="140"/>
      <c r="AJ576" s="140"/>
      <c r="AK576" s="140"/>
      <c r="AL576" s="140"/>
      <c r="AM576" s="140"/>
      <c r="AN576" s="140"/>
      <c r="AO576" s="140"/>
      <c r="AP576" s="140"/>
      <c r="AQ576" s="140"/>
      <c r="AR576" s="140"/>
      <c r="AS576" s="140"/>
    </row>
    <row r="577">
      <c r="A577" s="149"/>
      <c r="B577" s="140"/>
      <c r="C577" s="140"/>
      <c r="D577" s="140"/>
      <c r="E577" s="140"/>
      <c r="F577" s="140"/>
      <c r="G577" s="140"/>
      <c r="H577" s="140"/>
      <c r="I577" s="140"/>
      <c r="J577" s="140"/>
      <c r="K577" s="140"/>
      <c r="L577" s="140"/>
      <c r="M577" s="140"/>
      <c r="N577" s="140"/>
      <c r="O577" s="140"/>
      <c r="P577" s="140"/>
      <c r="Q577" s="140"/>
      <c r="R577" s="140"/>
      <c r="S577" s="150"/>
      <c r="T577" s="150"/>
      <c r="U577" s="140"/>
      <c r="V577" s="140"/>
      <c r="W577" s="140"/>
      <c r="X577" s="140"/>
      <c r="Y577" s="140"/>
      <c r="Z577" s="140"/>
      <c r="AA577" s="140"/>
      <c r="AB577" s="140"/>
      <c r="AC577" s="140"/>
      <c r="AD577" s="140"/>
      <c r="AE577" s="140"/>
      <c r="AF577" s="140"/>
      <c r="AG577" s="140"/>
      <c r="AH577" s="140"/>
      <c r="AI577" s="140"/>
      <c r="AJ577" s="140"/>
      <c r="AK577" s="140"/>
      <c r="AL577" s="140"/>
      <c r="AM577" s="140"/>
      <c r="AN577" s="140"/>
      <c r="AO577" s="140"/>
      <c r="AP577" s="140"/>
      <c r="AQ577" s="140"/>
      <c r="AR577" s="140"/>
      <c r="AS577" s="140"/>
    </row>
    <row r="578">
      <c r="A578" s="149"/>
      <c r="B578" s="140"/>
      <c r="C578" s="140"/>
      <c r="D578" s="140"/>
      <c r="E578" s="140"/>
      <c r="F578" s="140"/>
      <c r="G578" s="140"/>
      <c r="H578" s="140"/>
      <c r="I578" s="140"/>
      <c r="J578" s="140"/>
      <c r="K578" s="140"/>
      <c r="L578" s="140"/>
      <c r="M578" s="140"/>
      <c r="N578" s="140"/>
      <c r="O578" s="140"/>
      <c r="P578" s="140"/>
      <c r="Q578" s="140"/>
      <c r="R578" s="140"/>
      <c r="S578" s="150"/>
      <c r="T578" s="150"/>
      <c r="U578" s="140"/>
      <c r="V578" s="140"/>
      <c r="W578" s="140"/>
      <c r="X578" s="140"/>
      <c r="Y578" s="140"/>
      <c r="Z578" s="140"/>
      <c r="AA578" s="140"/>
      <c r="AB578" s="140"/>
      <c r="AC578" s="140"/>
      <c r="AD578" s="140"/>
      <c r="AE578" s="140"/>
      <c r="AF578" s="140"/>
      <c r="AG578" s="140"/>
      <c r="AH578" s="140"/>
      <c r="AI578" s="140"/>
      <c r="AJ578" s="140"/>
      <c r="AK578" s="140"/>
      <c r="AL578" s="140"/>
      <c r="AM578" s="140"/>
      <c r="AN578" s="140"/>
      <c r="AO578" s="140"/>
      <c r="AP578" s="140"/>
      <c r="AQ578" s="140"/>
      <c r="AR578" s="140"/>
      <c r="AS578" s="140"/>
    </row>
    <row r="579">
      <c r="A579" s="149"/>
      <c r="B579" s="140"/>
      <c r="C579" s="140"/>
      <c r="D579" s="140"/>
      <c r="E579" s="140"/>
      <c r="F579" s="140"/>
      <c r="G579" s="140"/>
      <c r="H579" s="140"/>
      <c r="I579" s="140"/>
      <c r="J579" s="140"/>
      <c r="K579" s="140"/>
      <c r="L579" s="140"/>
      <c r="M579" s="140"/>
      <c r="N579" s="140"/>
      <c r="O579" s="140"/>
      <c r="P579" s="140"/>
      <c r="Q579" s="140"/>
      <c r="R579" s="140"/>
      <c r="S579" s="150"/>
      <c r="T579" s="150"/>
      <c r="U579" s="140"/>
      <c r="V579" s="140"/>
      <c r="W579" s="140"/>
      <c r="X579" s="140"/>
      <c r="Y579" s="140"/>
      <c r="Z579" s="140"/>
      <c r="AA579" s="140"/>
      <c r="AB579" s="140"/>
      <c r="AC579" s="140"/>
      <c r="AD579" s="140"/>
      <c r="AE579" s="140"/>
      <c r="AF579" s="140"/>
      <c r="AG579" s="140"/>
      <c r="AH579" s="140"/>
      <c r="AI579" s="140"/>
      <c r="AJ579" s="140"/>
      <c r="AK579" s="140"/>
      <c r="AL579" s="140"/>
      <c r="AM579" s="140"/>
      <c r="AN579" s="140"/>
      <c r="AO579" s="140"/>
      <c r="AP579" s="140"/>
      <c r="AQ579" s="140"/>
      <c r="AR579" s="140"/>
      <c r="AS579" s="140"/>
    </row>
    <row r="580">
      <c r="A580" s="149"/>
      <c r="B580" s="140"/>
      <c r="C580" s="140"/>
      <c r="D580" s="140"/>
      <c r="E580" s="140"/>
      <c r="F580" s="140"/>
      <c r="G580" s="140"/>
      <c r="H580" s="140"/>
      <c r="I580" s="140"/>
      <c r="J580" s="140"/>
      <c r="K580" s="140"/>
      <c r="L580" s="140"/>
      <c r="M580" s="140"/>
      <c r="N580" s="140"/>
      <c r="O580" s="140"/>
      <c r="P580" s="140"/>
      <c r="Q580" s="140"/>
      <c r="R580" s="140"/>
      <c r="S580" s="150"/>
      <c r="T580" s="150"/>
      <c r="U580" s="140"/>
      <c r="V580" s="140"/>
      <c r="W580" s="140"/>
      <c r="X580" s="140"/>
      <c r="Y580" s="140"/>
      <c r="Z580" s="140"/>
      <c r="AA580" s="140"/>
      <c r="AB580" s="140"/>
      <c r="AC580" s="140"/>
      <c r="AD580" s="140"/>
      <c r="AE580" s="140"/>
      <c r="AF580" s="140"/>
      <c r="AG580" s="140"/>
      <c r="AH580" s="140"/>
      <c r="AI580" s="140"/>
      <c r="AJ580" s="140"/>
      <c r="AK580" s="140"/>
      <c r="AL580" s="140"/>
      <c r="AM580" s="140"/>
      <c r="AN580" s="140"/>
      <c r="AO580" s="140"/>
      <c r="AP580" s="140"/>
      <c r="AQ580" s="140"/>
      <c r="AR580" s="140"/>
      <c r="AS580" s="140"/>
    </row>
    <row r="581">
      <c r="A581" s="149"/>
      <c r="B581" s="140"/>
      <c r="C581" s="140"/>
      <c r="D581" s="140"/>
      <c r="E581" s="140"/>
      <c r="F581" s="140"/>
      <c r="G581" s="140"/>
      <c r="H581" s="140"/>
      <c r="I581" s="140"/>
      <c r="J581" s="140"/>
      <c r="K581" s="140"/>
      <c r="L581" s="140"/>
      <c r="M581" s="140"/>
      <c r="N581" s="140"/>
      <c r="O581" s="140"/>
      <c r="P581" s="140"/>
      <c r="Q581" s="140"/>
      <c r="R581" s="140"/>
      <c r="S581" s="150"/>
      <c r="T581" s="150"/>
      <c r="U581" s="140"/>
      <c r="V581" s="140"/>
      <c r="W581" s="140"/>
      <c r="X581" s="140"/>
      <c r="Y581" s="140"/>
      <c r="Z581" s="140"/>
      <c r="AA581" s="140"/>
      <c r="AB581" s="140"/>
      <c r="AC581" s="140"/>
      <c r="AD581" s="140"/>
      <c r="AE581" s="140"/>
      <c r="AF581" s="140"/>
      <c r="AG581" s="140"/>
      <c r="AH581" s="140"/>
      <c r="AI581" s="140"/>
      <c r="AJ581" s="140"/>
      <c r="AK581" s="140"/>
      <c r="AL581" s="140"/>
      <c r="AM581" s="140"/>
      <c r="AN581" s="140"/>
      <c r="AO581" s="140"/>
      <c r="AP581" s="140"/>
      <c r="AQ581" s="140"/>
      <c r="AR581" s="140"/>
      <c r="AS581" s="140"/>
    </row>
    <row r="582">
      <c r="A582" s="149"/>
      <c r="B582" s="140"/>
      <c r="C582" s="140"/>
      <c r="D582" s="140"/>
      <c r="E582" s="140"/>
      <c r="F582" s="140"/>
      <c r="G582" s="140"/>
      <c r="H582" s="140"/>
      <c r="I582" s="140"/>
      <c r="J582" s="140"/>
      <c r="K582" s="140"/>
      <c r="L582" s="140"/>
      <c r="M582" s="140"/>
      <c r="N582" s="140"/>
      <c r="O582" s="140"/>
      <c r="P582" s="140"/>
      <c r="Q582" s="140"/>
      <c r="R582" s="140"/>
      <c r="S582" s="150"/>
      <c r="T582" s="150"/>
      <c r="U582" s="140"/>
      <c r="V582" s="140"/>
      <c r="W582" s="140"/>
      <c r="X582" s="140"/>
      <c r="Y582" s="140"/>
      <c r="Z582" s="140"/>
      <c r="AA582" s="140"/>
      <c r="AB582" s="140"/>
      <c r="AC582" s="140"/>
      <c r="AD582" s="140"/>
      <c r="AE582" s="140"/>
      <c r="AF582" s="140"/>
      <c r="AG582" s="140"/>
      <c r="AH582" s="140"/>
      <c r="AI582" s="140"/>
      <c r="AJ582" s="140"/>
      <c r="AK582" s="140"/>
      <c r="AL582" s="140"/>
      <c r="AM582" s="140"/>
      <c r="AN582" s="140"/>
      <c r="AO582" s="140"/>
      <c r="AP582" s="140"/>
      <c r="AQ582" s="140"/>
      <c r="AR582" s="140"/>
      <c r="AS582" s="140"/>
    </row>
    <row r="583">
      <c r="A583" s="149"/>
      <c r="B583" s="140"/>
      <c r="C583" s="140"/>
      <c r="D583" s="140"/>
      <c r="E583" s="140"/>
      <c r="F583" s="140"/>
      <c r="G583" s="140"/>
      <c r="H583" s="140"/>
      <c r="I583" s="140"/>
      <c r="J583" s="140"/>
      <c r="K583" s="140"/>
      <c r="L583" s="140"/>
      <c r="M583" s="140"/>
      <c r="N583" s="140"/>
      <c r="O583" s="140"/>
      <c r="P583" s="140"/>
      <c r="Q583" s="140"/>
      <c r="R583" s="140"/>
      <c r="S583" s="150"/>
      <c r="T583" s="150"/>
      <c r="U583" s="140"/>
      <c r="V583" s="140"/>
      <c r="W583" s="140"/>
      <c r="X583" s="140"/>
      <c r="Y583" s="140"/>
      <c r="Z583" s="140"/>
      <c r="AA583" s="140"/>
      <c r="AB583" s="140"/>
      <c r="AC583" s="140"/>
      <c r="AD583" s="140"/>
      <c r="AE583" s="140"/>
      <c r="AF583" s="140"/>
      <c r="AG583" s="140"/>
      <c r="AH583" s="140"/>
      <c r="AI583" s="140"/>
      <c r="AJ583" s="140"/>
      <c r="AK583" s="140"/>
      <c r="AL583" s="140"/>
      <c r="AM583" s="140"/>
      <c r="AN583" s="140"/>
      <c r="AO583" s="140"/>
      <c r="AP583" s="140"/>
      <c r="AQ583" s="140"/>
      <c r="AR583" s="140"/>
      <c r="AS583" s="140"/>
    </row>
    <row r="584">
      <c r="A584" s="149"/>
      <c r="B584" s="140"/>
      <c r="C584" s="140"/>
      <c r="D584" s="140"/>
      <c r="E584" s="140"/>
      <c r="F584" s="140"/>
      <c r="G584" s="140"/>
      <c r="H584" s="140"/>
      <c r="I584" s="140"/>
      <c r="J584" s="140"/>
      <c r="K584" s="140"/>
      <c r="L584" s="140"/>
      <c r="M584" s="140"/>
      <c r="N584" s="140"/>
      <c r="O584" s="140"/>
      <c r="P584" s="140"/>
      <c r="Q584" s="140"/>
      <c r="R584" s="140"/>
      <c r="S584" s="150"/>
      <c r="T584" s="150"/>
      <c r="U584" s="140"/>
      <c r="V584" s="140"/>
      <c r="W584" s="140"/>
      <c r="X584" s="140"/>
      <c r="Y584" s="140"/>
      <c r="Z584" s="140"/>
      <c r="AA584" s="140"/>
      <c r="AB584" s="140"/>
      <c r="AC584" s="140"/>
      <c r="AD584" s="140"/>
      <c r="AE584" s="140"/>
      <c r="AF584" s="140"/>
      <c r="AG584" s="140"/>
      <c r="AH584" s="140"/>
      <c r="AI584" s="140"/>
      <c r="AJ584" s="140"/>
      <c r="AK584" s="140"/>
      <c r="AL584" s="140"/>
      <c r="AM584" s="140"/>
      <c r="AN584" s="140"/>
      <c r="AO584" s="140"/>
      <c r="AP584" s="140"/>
      <c r="AQ584" s="140"/>
      <c r="AR584" s="140"/>
      <c r="AS584" s="140"/>
    </row>
    <row r="585">
      <c r="A585" s="149"/>
      <c r="B585" s="140"/>
      <c r="C585" s="140"/>
      <c r="D585" s="140"/>
      <c r="E585" s="140"/>
      <c r="F585" s="140"/>
      <c r="G585" s="140"/>
      <c r="H585" s="140"/>
      <c r="I585" s="140"/>
      <c r="J585" s="140"/>
      <c r="K585" s="140"/>
      <c r="L585" s="140"/>
      <c r="M585" s="140"/>
      <c r="N585" s="140"/>
      <c r="O585" s="140"/>
      <c r="P585" s="140"/>
      <c r="Q585" s="140"/>
      <c r="R585" s="140"/>
      <c r="S585" s="150"/>
      <c r="T585" s="150"/>
      <c r="U585" s="140"/>
      <c r="V585" s="140"/>
      <c r="W585" s="140"/>
      <c r="X585" s="140"/>
      <c r="Y585" s="140"/>
      <c r="Z585" s="140"/>
      <c r="AA585" s="140"/>
      <c r="AB585" s="140"/>
      <c r="AC585" s="140"/>
      <c r="AD585" s="140"/>
      <c r="AE585" s="140"/>
      <c r="AF585" s="140"/>
      <c r="AG585" s="140"/>
      <c r="AH585" s="140"/>
      <c r="AI585" s="140"/>
      <c r="AJ585" s="140"/>
      <c r="AK585" s="140"/>
      <c r="AL585" s="140"/>
      <c r="AM585" s="140"/>
      <c r="AN585" s="140"/>
      <c r="AO585" s="140"/>
      <c r="AP585" s="140"/>
      <c r="AQ585" s="140"/>
      <c r="AR585" s="140"/>
      <c r="AS585" s="140"/>
    </row>
    <row r="586">
      <c r="A586" s="149"/>
      <c r="B586" s="140"/>
      <c r="C586" s="140"/>
      <c r="D586" s="140"/>
      <c r="E586" s="140"/>
      <c r="F586" s="140"/>
      <c r="G586" s="140"/>
      <c r="H586" s="140"/>
      <c r="I586" s="140"/>
      <c r="J586" s="140"/>
      <c r="K586" s="140"/>
      <c r="L586" s="140"/>
      <c r="M586" s="140"/>
      <c r="N586" s="140"/>
      <c r="O586" s="140"/>
      <c r="P586" s="140"/>
      <c r="Q586" s="140"/>
      <c r="R586" s="140"/>
      <c r="S586" s="150"/>
      <c r="T586" s="150"/>
      <c r="U586" s="140"/>
      <c r="V586" s="140"/>
      <c r="W586" s="140"/>
      <c r="X586" s="140"/>
      <c r="Y586" s="140"/>
      <c r="Z586" s="140"/>
      <c r="AA586" s="140"/>
      <c r="AB586" s="140"/>
      <c r="AC586" s="140"/>
      <c r="AD586" s="140"/>
      <c r="AE586" s="140"/>
      <c r="AF586" s="140"/>
      <c r="AG586" s="140"/>
      <c r="AH586" s="140"/>
      <c r="AI586" s="140"/>
      <c r="AJ586" s="140"/>
      <c r="AK586" s="140"/>
      <c r="AL586" s="140"/>
      <c r="AM586" s="140"/>
      <c r="AN586" s="140"/>
      <c r="AO586" s="140"/>
      <c r="AP586" s="140"/>
      <c r="AQ586" s="140"/>
      <c r="AR586" s="140"/>
      <c r="AS586" s="140"/>
    </row>
    <row r="587">
      <c r="A587" s="149"/>
      <c r="B587" s="140"/>
      <c r="C587" s="140"/>
      <c r="D587" s="140"/>
      <c r="E587" s="140"/>
      <c r="F587" s="140"/>
      <c r="G587" s="140"/>
      <c r="H587" s="140"/>
      <c r="I587" s="140"/>
      <c r="J587" s="140"/>
      <c r="K587" s="140"/>
      <c r="L587" s="140"/>
      <c r="M587" s="140"/>
      <c r="N587" s="140"/>
      <c r="O587" s="140"/>
      <c r="P587" s="140"/>
      <c r="Q587" s="140"/>
      <c r="R587" s="140"/>
      <c r="S587" s="150"/>
      <c r="T587" s="150"/>
      <c r="U587" s="140"/>
      <c r="V587" s="140"/>
      <c r="W587" s="140"/>
      <c r="X587" s="140"/>
      <c r="Y587" s="140"/>
      <c r="Z587" s="140"/>
      <c r="AA587" s="140"/>
      <c r="AB587" s="140"/>
      <c r="AC587" s="140"/>
      <c r="AD587" s="140"/>
      <c r="AE587" s="140"/>
      <c r="AF587" s="140"/>
      <c r="AG587" s="140"/>
      <c r="AH587" s="140"/>
      <c r="AI587" s="140"/>
      <c r="AJ587" s="140"/>
      <c r="AK587" s="140"/>
      <c r="AL587" s="140"/>
      <c r="AM587" s="140"/>
      <c r="AN587" s="140"/>
      <c r="AO587" s="140"/>
      <c r="AP587" s="140"/>
      <c r="AQ587" s="140"/>
      <c r="AR587" s="140"/>
      <c r="AS587" s="140"/>
    </row>
    <row r="588">
      <c r="A588" s="149"/>
      <c r="B588" s="140"/>
      <c r="C588" s="140"/>
      <c r="D588" s="140"/>
      <c r="E588" s="140"/>
      <c r="F588" s="140"/>
      <c r="G588" s="140"/>
      <c r="H588" s="140"/>
      <c r="I588" s="140"/>
      <c r="J588" s="140"/>
      <c r="K588" s="140"/>
      <c r="L588" s="140"/>
      <c r="M588" s="140"/>
      <c r="N588" s="140"/>
      <c r="O588" s="140"/>
      <c r="P588" s="140"/>
      <c r="Q588" s="140"/>
      <c r="R588" s="140"/>
      <c r="S588" s="150"/>
      <c r="T588" s="150"/>
      <c r="U588" s="140"/>
      <c r="V588" s="140"/>
      <c r="W588" s="140"/>
      <c r="X588" s="140"/>
      <c r="Y588" s="140"/>
      <c r="Z588" s="140"/>
      <c r="AA588" s="140"/>
      <c r="AB588" s="140"/>
      <c r="AC588" s="140"/>
      <c r="AD588" s="140"/>
      <c r="AE588" s="140"/>
      <c r="AF588" s="140"/>
      <c r="AG588" s="140"/>
      <c r="AH588" s="140"/>
      <c r="AI588" s="140"/>
      <c r="AJ588" s="140"/>
      <c r="AK588" s="140"/>
      <c r="AL588" s="140"/>
      <c r="AM588" s="140"/>
      <c r="AN588" s="140"/>
      <c r="AO588" s="140"/>
      <c r="AP588" s="140"/>
      <c r="AQ588" s="140"/>
      <c r="AR588" s="140"/>
      <c r="AS588" s="140"/>
    </row>
    <row r="589">
      <c r="A589" s="149"/>
      <c r="B589" s="140"/>
      <c r="C589" s="140"/>
      <c r="D589" s="140"/>
      <c r="E589" s="140"/>
      <c r="F589" s="140"/>
      <c r="G589" s="140"/>
      <c r="H589" s="140"/>
      <c r="I589" s="140"/>
      <c r="J589" s="140"/>
      <c r="K589" s="140"/>
      <c r="L589" s="140"/>
      <c r="M589" s="140"/>
      <c r="N589" s="140"/>
      <c r="O589" s="140"/>
      <c r="P589" s="140"/>
      <c r="Q589" s="140"/>
      <c r="R589" s="140"/>
      <c r="S589" s="150"/>
      <c r="T589" s="150"/>
      <c r="U589" s="140"/>
      <c r="V589" s="140"/>
      <c r="W589" s="140"/>
      <c r="X589" s="140"/>
      <c r="Y589" s="140"/>
      <c r="Z589" s="140"/>
      <c r="AA589" s="140"/>
      <c r="AB589" s="140"/>
      <c r="AC589" s="140"/>
      <c r="AD589" s="140"/>
      <c r="AE589" s="140"/>
      <c r="AF589" s="140"/>
      <c r="AG589" s="140"/>
      <c r="AH589" s="140"/>
      <c r="AI589" s="140"/>
      <c r="AJ589" s="140"/>
      <c r="AK589" s="140"/>
      <c r="AL589" s="140"/>
      <c r="AM589" s="140"/>
      <c r="AN589" s="140"/>
      <c r="AO589" s="140"/>
      <c r="AP589" s="140"/>
      <c r="AQ589" s="140"/>
      <c r="AR589" s="140"/>
      <c r="AS589" s="140"/>
    </row>
    <row r="590">
      <c r="A590" s="149"/>
      <c r="B590" s="140"/>
      <c r="C590" s="140"/>
      <c r="D590" s="140"/>
      <c r="E590" s="140"/>
      <c r="F590" s="140"/>
      <c r="G590" s="140"/>
      <c r="H590" s="140"/>
      <c r="I590" s="140"/>
      <c r="J590" s="140"/>
      <c r="K590" s="140"/>
      <c r="L590" s="140"/>
      <c r="M590" s="140"/>
      <c r="N590" s="140"/>
      <c r="O590" s="140"/>
      <c r="P590" s="140"/>
      <c r="Q590" s="140"/>
      <c r="R590" s="140"/>
      <c r="S590" s="150"/>
      <c r="T590" s="150"/>
      <c r="U590" s="140"/>
      <c r="V590" s="140"/>
      <c r="W590" s="140"/>
      <c r="X590" s="140"/>
      <c r="Y590" s="140"/>
      <c r="Z590" s="140"/>
      <c r="AA590" s="140"/>
      <c r="AB590" s="140"/>
      <c r="AC590" s="140"/>
      <c r="AD590" s="140"/>
      <c r="AE590" s="140"/>
      <c r="AF590" s="140"/>
      <c r="AG590" s="140"/>
      <c r="AH590" s="140"/>
      <c r="AI590" s="140"/>
      <c r="AJ590" s="140"/>
      <c r="AK590" s="140"/>
      <c r="AL590" s="140"/>
      <c r="AM590" s="140"/>
      <c r="AN590" s="140"/>
      <c r="AO590" s="140"/>
      <c r="AP590" s="140"/>
      <c r="AQ590" s="140"/>
      <c r="AR590" s="140"/>
      <c r="AS590" s="140"/>
    </row>
    <row r="591">
      <c r="A591" s="149"/>
      <c r="B591" s="140"/>
      <c r="C591" s="140"/>
      <c r="D591" s="140"/>
      <c r="E591" s="140"/>
      <c r="F591" s="140"/>
      <c r="G591" s="140"/>
      <c r="H591" s="140"/>
      <c r="I591" s="140"/>
      <c r="J591" s="140"/>
      <c r="K591" s="140"/>
      <c r="L591" s="140"/>
      <c r="M591" s="140"/>
      <c r="N591" s="140"/>
      <c r="O591" s="140"/>
      <c r="P591" s="140"/>
      <c r="Q591" s="140"/>
      <c r="R591" s="140"/>
      <c r="S591" s="150"/>
      <c r="T591" s="150"/>
      <c r="U591" s="140"/>
      <c r="V591" s="140"/>
      <c r="W591" s="140"/>
      <c r="X591" s="140"/>
      <c r="Y591" s="140"/>
      <c r="Z591" s="140"/>
      <c r="AA591" s="140"/>
      <c r="AB591" s="140"/>
      <c r="AC591" s="140"/>
      <c r="AD591" s="140"/>
      <c r="AE591" s="140"/>
      <c r="AF591" s="140"/>
      <c r="AG591" s="140"/>
      <c r="AH591" s="140"/>
      <c r="AI591" s="140"/>
      <c r="AJ591" s="140"/>
      <c r="AK591" s="140"/>
      <c r="AL591" s="140"/>
      <c r="AM591" s="140"/>
      <c r="AN591" s="140"/>
      <c r="AO591" s="140"/>
      <c r="AP591" s="140"/>
      <c r="AQ591" s="140"/>
      <c r="AR591" s="140"/>
      <c r="AS591" s="140"/>
    </row>
    <row r="592">
      <c r="A592" s="149"/>
      <c r="B592" s="140"/>
      <c r="C592" s="140"/>
      <c r="D592" s="140"/>
      <c r="E592" s="140"/>
      <c r="F592" s="140"/>
      <c r="G592" s="140"/>
      <c r="H592" s="140"/>
      <c r="I592" s="140"/>
      <c r="J592" s="140"/>
      <c r="K592" s="140"/>
      <c r="L592" s="140"/>
      <c r="M592" s="140"/>
      <c r="N592" s="140"/>
      <c r="O592" s="140"/>
      <c r="P592" s="140"/>
      <c r="Q592" s="140"/>
      <c r="R592" s="140"/>
      <c r="S592" s="150"/>
      <c r="T592" s="150"/>
      <c r="U592" s="140"/>
      <c r="V592" s="140"/>
      <c r="W592" s="140"/>
      <c r="X592" s="140"/>
      <c r="Y592" s="140"/>
      <c r="Z592" s="140"/>
      <c r="AA592" s="140"/>
      <c r="AB592" s="140"/>
      <c r="AC592" s="140"/>
      <c r="AD592" s="140"/>
      <c r="AE592" s="140"/>
      <c r="AF592" s="140"/>
      <c r="AG592" s="140"/>
      <c r="AH592" s="140"/>
      <c r="AI592" s="140"/>
      <c r="AJ592" s="140"/>
      <c r="AK592" s="140"/>
      <c r="AL592" s="140"/>
      <c r="AM592" s="140"/>
      <c r="AN592" s="140"/>
      <c r="AO592" s="140"/>
      <c r="AP592" s="140"/>
      <c r="AQ592" s="140"/>
      <c r="AR592" s="140"/>
      <c r="AS592" s="140"/>
    </row>
    <row r="593">
      <c r="A593" s="149"/>
      <c r="B593" s="140"/>
      <c r="C593" s="140"/>
      <c r="D593" s="140"/>
      <c r="E593" s="140"/>
      <c r="F593" s="140"/>
      <c r="G593" s="140"/>
      <c r="H593" s="140"/>
      <c r="I593" s="140"/>
      <c r="J593" s="140"/>
      <c r="K593" s="140"/>
      <c r="L593" s="140"/>
      <c r="M593" s="140"/>
      <c r="N593" s="140"/>
      <c r="O593" s="140"/>
      <c r="P593" s="140"/>
      <c r="Q593" s="140"/>
      <c r="R593" s="140"/>
      <c r="S593" s="150"/>
      <c r="T593" s="150"/>
      <c r="U593" s="140"/>
      <c r="V593" s="140"/>
      <c r="W593" s="140"/>
      <c r="X593" s="140"/>
      <c r="Y593" s="140"/>
      <c r="Z593" s="140"/>
      <c r="AA593" s="140"/>
      <c r="AB593" s="140"/>
      <c r="AC593" s="140"/>
      <c r="AD593" s="140"/>
      <c r="AE593" s="140"/>
      <c r="AF593" s="140"/>
      <c r="AG593" s="140"/>
      <c r="AH593" s="140"/>
      <c r="AI593" s="140"/>
      <c r="AJ593" s="140"/>
      <c r="AK593" s="140"/>
      <c r="AL593" s="140"/>
      <c r="AM593" s="140"/>
      <c r="AN593" s="140"/>
      <c r="AO593" s="140"/>
      <c r="AP593" s="140"/>
      <c r="AQ593" s="140"/>
      <c r="AR593" s="140"/>
      <c r="AS593" s="140"/>
    </row>
    <row r="594">
      <c r="A594" s="149"/>
      <c r="B594" s="140"/>
      <c r="C594" s="140"/>
      <c r="D594" s="140"/>
      <c r="E594" s="140"/>
      <c r="F594" s="140"/>
      <c r="G594" s="140"/>
      <c r="H594" s="140"/>
      <c r="I594" s="140"/>
      <c r="J594" s="140"/>
      <c r="K594" s="140"/>
      <c r="L594" s="140"/>
      <c r="M594" s="140"/>
      <c r="N594" s="140"/>
      <c r="O594" s="140"/>
      <c r="P594" s="140"/>
      <c r="Q594" s="140"/>
      <c r="R594" s="140"/>
      <c r="S594" s="150"/>
      <c r="T594" s="150"/>
      <c r="U594" s="140"/>
      <c r="V594" s="140"/>
      <c r="W594" s="140"/>
      <c r="X594" s="140"/>
      <c r="Y594" s="140"/>
      <c r="Z594" s="140"/>
      <c r="AA594" s="140"/>
      <c r="AB594" s="140"/>
      <c r="AC594" s="140"/>
      <c r="AD594" s="140"/>
      <c r="AE594" s="140"/>
      <c r="AF594" s="140"/>
      <c r="AG594" s="140"/>
      <c r="AH594" s="140"/>
      <c r="AI594" s="140"/>
      <c r="AJ594" s="140"/>
      <c r="AK594" s="140"/>
      <c r="AL594" s="140"/>
      <c r="AM594" s="140"/>
      <c r="AN594" s="140"/>
      <c r="AO594" s="140"/>
      <c r="AP594" s="140"/>
      <c r="AQ594" s="140"/>
      <c r="AR594" s="140"/>
      <c r="AS594" s="140"/>
    </row>
    <row r="595">
      <c r="A595" s="149"/>
      <c r="B595" s="140"/>
      <c r="C595" s="140"/>
      <c r="D595" s="140"/>
      <c r="E595" s="140"/>
      <c r="F595" s="140"/>
      <c r="G595" s="140"/>
      <c r="H595" s="140"/>
      <c r="I595" s="140"/>
      <c r="J595" s="140"/>
      <c r="K595" s="140"/>
      <c r="L595" s="140"/>
      <c r="M595" s="140"/>
      <c r="N595" s="140"/>
      <c r="O595" s="140"/>
      <c r="P595" s="140"/>
      <c r="Q595" s="140"/>
      <c r="R595" s="140"/>
      <c r="S595" s="150"/>
      <c r="T595" s="150"/>
      <c r="U595" s="140"/>
      <c r="V595" s="140"/>
      <c r="W595" s="140"/>
      <c r="X595" s="140"/>
      <c r="Y595" s="140"/>
      <c r="Z595" s="140"/>
      <c r="AA595" s="140"/>
      <c r="AB595" s="140"/>
      <c r="AC595" s="140"/>
      <c r="AD595" s="140"/>
      <c r="AE595" s="140"/>
      <c r="AF595" s="140"/>
      <c r="AG595" s="140"/>
      <c r="AH595" s="140"/>
      <c r="AI595" s="140"/>
      <c r="AJ595" s="140"/>
      <c r="AK595" s="140"/>
      <c r="AL595" s="140"/>
      <c r="AM595" s="140"/>
      <c r="AN595" s="140"/>
      <c r="AO595" s="140"/>
      <c r="AP595" s="140"/>
      <c r="AQ595" s="140"/>
      <c r="AR595" s="140"/>
      <c r="AS595" s="140"/>
    </row>
    <row r="596">
      <c r="A596" s="149"/>
      <c r="B596" s="140"/>
      <c r="C596" s="140"/>
      <c r="D596" s="140"/>
      <c r="E596" s="140"/>
      <c r="F596" s="140"/>
      <c r="G596" s="140"/>
      <c r="H596" s="140"/>
      <c r="I596" s="140"/>
      <c r="J596" s="140"/>
      <c r="K596" s="140"/>
      <c r="L596" s="140"/>
      <c r="M596" s="140"/>
      <c r="N596" s="140"/>
      <c r="O596" s="140"/>
      <c r="P596" s="140"/>
      <c r="Q596" s="140"/>
      <c r="R596" s="140"/>
      <c r="S596" s="150"/>
      <c r="T596" s="150"/>
      <c r="U596" s="140"/>
      <c r="V596" s="140"/>
      <c r="W596" s="140"/>
      <c r="X596" s="140"/>
      <c r="Y596" s="140"/>
      <c r="Z596" s="140"/>
      <c r="AA596" s="140"/>
      <c r="AB596" s="140"/>
      <c r="AC596" s="140"/>
      <c r="AD596" s="140"/>
      <c r="AE596" s="140"/>
      <c r="AF596" s="140"/>
      <c r="AG596" s="140"/>
      <c r="AH596" s="140"/>
      <c r="AI596" s="140"/>
      <c r="AJ596" s="140"/>
      <c r="AK596" s="140"/>
      <c r="AL596" s="140"/>
      <c r="AM596" s="140"/>
      <c r="AN596" s="140"/>
      <c r="AO596" s="140"/>
      <c r="AP596" s="140"/>
      <c r="AQ596" s="140"/>
      <c r="AR596" s="140"/>
      <c r="AS596" s="140"/>
    </row>
    <row r="597">
      <c r="A597" s="149"/>
      <c r="B597" s="140"/>
      <c r="C597" s="140"/>
      <c r="D597" s="140"/>
      <c r="E597" s="140"/>
      <c r="F597" s="140"/>
      <c r="G597" s="140"/>
      <c r="H597" s="140"/>
      <c r="I597" s="140"/>
      <c r="J597" s="140"/>
      <c r="K597" s="140"/>
      <c r="L597" s="140"/>
      <c r="M597" s="140"/>
      <c r="N597" s="140"/>
      <c r="O597" s="140"/>
      <c r="P597" s="140"/>
      <c r="Q597" s="140"/>
      <c r="R597" s="140"/>
      <c r="S597" s="150"/>
      <c r="T597" s="150"/>
      <c r="U597" s="140"/>
      <c r="V597" s="140"/>
      <c r="W597" s="140"/>
      <c r="X597" s="140"/>
      <c r="Y597" s="140"/>
      <c r="Z597" s="140"/>
      <c r="AA597" s="140"/>
      <c r="AB597" s="140"/>
      <c r="AC597" s="140"/>
      <c r="AD597" s="140"/>
      <c r="AE597" s="140"/>
      <c r="AF597" s="140"/>
      <c r="AG597" s="140"/>
      <c r="AH597" s="140"/>
      <c r="AI597" s="140"/>
      <c r="AJ597" s="140"/>
      <c r="AK597" s="140"/>
      <c r="AL597" s="140"/>
      <c r="AM597" s="140"/>
      <c r="AN597" s="140"/>
      <c r="AO597" s="140"/>
      <c r="AP597" s="140"/>
      <c r="AQ597" s="140"/>
      <c r="AR597" s="140"/>
      <c r="AS597" s="140"/>
    </row>
    <row r="598">
      <c r="A598" s="149"/>
      <c r="B598" s="140"/>
      <c r="C598" s="140"/>
      <c r="D598" s="140"/>
      <c r="E598" s="140"/>
      <c r="F598" s="140"/>
      <c r="G598" s="140"/>
      <c r="H598" s="140"/>
      <c r="I598" s="140"/>
      <c r="J598" s="140"/>
      <c r="K598" s="140"/>
      <c r="L598" s="140"/>
      <c r="M598" s="140"/>
      <c r="N598" s="140"/>
      <c r="O598" s="140"/>
      <c r="P598" s="140"/>
      <c r="Q598" s="140"/>
      <c r="R598" s="140"/>
      <c r="S598" s="150"/>
      <c r="T598" s="150"/>
      <c r="U598" s="140"/>
      <c r="V598" s="140"/>
      <c r="W598" s="140"/>
      <c r="X598" s="140"/>
      <c r="Y598" s="140"/>
      <c r="Z598" s="140"/>
      <c r="AA598" s="140"/>
      <c r="AB598" s="140"/>
      <c r="AC598" s="140"/>
      <c r="AD598" s="140"/>
      <c r="AE598" s="140"/>
      <c r="AF598" s="140"/>
      <c r="AG598" s="140"/>
      <c r="AH598" s="140"/>
      <c r="AI598" s="140"/>
      <c r="AJ598" s="140"/>
      <c r="AK598" s="140"/>
      <c r="AL598" s="140"/>
      <c r="AM598" s="140"/>
      <c r="AN598" s="140"/>
      <c r="AO598" s="140"/>
      <c r="AP598" s="140"/>
      <c r="AQ598" s="140"/>
      <c r="AR598" s="140"/>
      <c r="AS598" s="140"/>
    </row>
    <row r="599">
      <c r="A599" s="149"/>
      <c r="B599" s="140"/>
      <c r="C599" s="140"/>
      <c r="D599" s="140"/>
      <c r="E599" s="140"/>
      <c r="F599" s="140"/>
      <c r="G599" s="140"/>
      <c r="H599" s="140"/>
      <c r="I599" s="140"/>
      <c r="J599" s="140"/>
      <c r="K599" s="140"/>
      <c r="L599" s="140"/>
      <c r="M599" s="140"/>
      <c r="N599" s="140"/>
      <c r="O599" s="140"/>
      <c r="P599" s="140"/>
      <c r="Q599" s="140"/>
      <c r="R599" s="140"/>
      <c r="S599" s="150"/>
      <c r="T599" s="150"/>
      <c r="U599" s="140"/>
      <c r="V599" s="140"/>
      <c r="W599" s="140"/>
      <c r="X599" s="140"/>
      <c r="Y599" s="140"/>
      <c r="Z599" s="140"/>
      <c r="AA599" s="140"/>
      <c r="AB599" s="140"/>
      <c r="AC599" s="140"/>
      <c r="AD599" s="140"/>
      <c r="AE599" s="140"/>
      <c r="AF599" s="140"/>
      <c r="AG599" s="140"/>
      <c r="AH599" s="140"/>
      <c r="AI599" s="140"/>
      <c r="AJ599" s="140"/>
      <c r="AK599" s="140"/>
      <c r="AL599" s="140"/>
      <c r="AM599" s="140"/>
      <c r="AN599" s="140"/>
      <c r="AO599" s="140"/>
      <c r="AP599" s="140"/>
      <c r="AQ599" s="140"/>
      <c r="AR599" s="140"/>
      <c r="AS599" s="140"/>
    </row>
    <row r="600">
      <c r="A600" s="149"/>
      <c r="B600" s="140"/>
      <c r="C600" s="140"/>
      <c r="D600" s="140"/>
      <c r="E600" s="140"/>
      <c r="F600" s="140"/>
      <c r="G600" s="140"/>
      <c r="H600" s="140"/>
      <c r="I600" s="140"/>
      <c r="J600" s="140"/>
      <c r="K600" s="140"/>
      <c r="L600" s="140"/>
      <c r="M600" s="140"/>
      <c r="N600" s="140"/>
      <c r="O600" s="140"/>
      <c r="P600" s="140"/>
      <c r="Q600" s="140"/>
      <c r="R600" s="140"/>
      <c r="S600" s="150"/>
      <c r="T600" s="150"/>
      <c r="U600" s="140"/>
      <c r="V600" s="140"/>
      <c r="W600" s="140"/>
      <c r="X600" s="140"/>
      <c r="Y600" s="140"/>
      <c r="Z600" s="140"/>
      <c r="AA600" s="140"/>
      <c r="AB600" s="140"/>
      <c r="AC600" s="140"/>
      <c r="AD600" s="140"/>
      <c r="AE600" s="140"/>
      <c r="AF600" s="140"/>
      <c r="AG600" s="140"/>
      <c r="AH600" s="140"/>
      <c r="AI600" s="140"/>
      <c r="AJ600" s="140"/>
      <c r="AK600" s="140"/>
      <c r="AL600" s="140"/>
      <c r="AM600" s="140"/>
      <c r="AN600" s="140"/>
      <c r="AO600" s="140"/>
      <c r="AP600" s="140"/>
      <c r="AQ600" s="140"/>
      <c r="AR600" s="140"/>
      <c r="AS600" s="140"/>
    </row>
    <row r="601">
      <c r="A601" s="149"/>
      <c r="B601" s="140"/>
      <c r="C601" s="140"/>
      <c r="D601" s="140"/>
      <c r="E601" s="140"/>
      <c r="F601" s="140"/>
      <c r="G601" s="140"/>
      <c r="H601" s="140"/>
      <c r="I601" s="140"/>
      <c r="J601" s="140"/>
      <c r="K601" s="140"/>
      <c r="L601" s="140"/>
      <c r="M601" s="140"/>
      <c r="N601" s="140"/>
      <c r="O601" s="140"/>
      <c r="P601" s="140"/>
      <c r="Q601" s="140"/>
      <c r="R601" s="140"/>
      <c r="S601" s="150"/>
      <c r="T601" s="150"/>
      <c r="U601" s="140"/>
      <c r="V601" s="140"/>
      <c r="W601" s="140"/>
      <c r="X601" s="140"/>
      <c r="Y601" s="140"/>
      <c r="Z601" s="140"/>
      <c r="AA601" s="140"/>
      <c r="AB601" s="140"/>
      <c r="AC601" s="140"/>
      <c r="AD601" s="140"/>
      <c r="AE601" s="140"/>
      <c r="AF601" s="140"/>
      <c r="AG601" s="140"/>
      <c r="AH601" s="140"/>
      <c r="AI601" s="140"/>
      <c r="AJ601" s="140"/>
      <c r="AK601" s="140"/>
      <c r="AL601" s="140"/>
      <c r="AM601" s="140"/>
      <c r="AN601" s="140"/>
      <c r="AO601" s="140"/>
      <c r="AP601" s="140"/>
      <c r="AQ601" s="140"/>
      <c r="AR601" s="140"/>
      <c r="AS601" s="140"/>
    </row>
    <row r="602">
      <c r="A602" s="149"/>
      <c r="B602" s="140"/>
      <c r="C602" s="140"/>
      <c r="D602" s="140"/>
      <c r="E602" s="140"/>
      <c r="F602" s="140"/>
      <c r="G602" s="140"/>
      <c r="H602" s="140"/>
      <c r="I602" s="140"/>
      <c r="J602" s="140"/>
      <c r="K602" s="140"/>
      <c r="L602" s="140"/>
      <c r="M602" s="140"/>
      <c r="N602" s="140"/>
      <c r="O602" s="140"/>
      <c r="P602" s="140"/>
      <c r="Q602" s="140"/>
      <c r="R602" s="140"/>
      <c r="S602" s="150"/>
      <c r="T602" s="150"/>
      <c r="U602" s="140"/>
      <c r="V602" s="140"/>
      <c r="W602" s="140"/>
      <c r="X602" s="140"/>
      <c r="Y602" s="140"/>
      <c r="Z602" s="140"/>
      <c r="AA602" s="140"/>
      <c r="AB602" s="140"/>
      <c r="AC602" s="140"/>
      <c r="AD602" s="140"/>
      <c r="AE602" s="140"/>
      <c r="AF602" s="140"/>
      <c r="AG602" s="140"/>
      <c r="AH602" s="140"/>
      <c r="AI602" s="140"/>
      <c r="AJ602" s="140"/>
      <c r="AK602" s="140"/>
      <c r="AL602" s="140"/>
      <c r="AM602" s="140"/>
      <c r="AN602" s="140"/>
      <c r="AO602" s="140"/>
      <c r="AP602" s="140"/>
      <c r="AQ602" s="140"/>
      <c r="AR602" s="140"/>
      <c r="AS602" s="140"/>
    </row>
    <row r="603">
      <c r="A603" s="149"/>
      <c r="B603" s="140"/>
      <c r="C603" s="140"/>
      <c r="D603" s="140"/>
      <c r="E603" s="140"/>
      <c r="F603" s="140"/>
      <c r="G603" s="140"/>
      <c r="H603" s="140"/>
      <c r="I603" s="140"/>
      <c r="J603" s="140"/>
      <c r="K603" s="140"/>
      <c r="L603" s="140"/>
      <c r="M603" s="140"/>
      <c r="N603" s="140"/>
      <c r="O603" s="140"/>
      <c r="P603" s="140"/>
      <c r="Q603" s="140"/>
      <c r="R603" s="140"/>
      <c r="S603" s="150"/>
      <c r="T603" s="150"/>
      <c r="U603" s="140"/>
      <c r="V603" s="140"/>
      <c r="W603" s="140"/>
      <c r="X603" s="140"/>
      <c r="Y603" s="140"/>
      <c r="Z603" s="140"/>
      <c r="AA603" s="140"/>
      <c r="AB603" s="140"/>
      <c r="AC603" s="140"/>
      <c r="AD603" s="140"/>
      <c r="AE603" s="140"/>
      <c r="AF603" s="140"/>
      <c r="AG603" s="140"/>
      <c r="AH603" s="140"/>
      <c r="AI603" s="140"/>
      <c r="AJ603" s="140"/>
      <c r="AK603" s="140"/>
      <c r="AL603" s="140"/>
      <c r="AM603" s="140"/>
      <c r="AN603" s="140"/>
      <c r="AO603" s="140"/>
      <c r="AP603" s="140"/>
      <c r="AQ603" s="140"/>
      <c r="AR603" s="140"/>
      <c r="AS603" s="140"/>
    </row>
    <row r="604">
      <c r="A604" s="149"/>
      <c r="B604" s="140"/>
      <c r="C604" s="140"/>
      <c r="D604" s="140"/>
      <c r="E604" s="140"/>
      <c r="F604" s="140"/>
      <c r="G604" s="140"/>
      <c r="H604" s="140"/>
      <c r="I604" s="140"/>
      <c r="J604" s="140"/>
      <c r="K604" s="140"/>
      <c r="L604" s="140"/>
      <c r="M604" s="140"/>
      <c r="N604" s="140"/>
      <c r="O604" s="140"/>
      <c r="P604" s="140"/>
      <c r="Q604" s="140"/>
      <c r="R604" s="140"/>
      <c r="S604" s="150"/>
      <c r="T604" s="150"/>
      <c r="U604" s="140"/>
      <c r="V604" s="140"/>
      <c r="W604" s="140"/>
      <c r="X604" s="140"/>
      <c r="Y604" s="140"/>
      <c r="Z604" s="140"/>
      <c r="AA604" s="140"/>
      <c r="AB604" s="140"/>
      <c r="AC604" s="140"/>
      <c r="AD604" s="140"/>
      <c r="AE604" s="140"/>
      <c r="AF604" s="140"/>
      <c r="AG604" s="140"/>
      <c r="AH604" s="140"/>
      <c r="AI604" s="140"/>
      <c r="AJ604" s="140"/>
      <c r="AK604" s="140"/>
      <c r="AL604" s="140"/>
      <c r="AM604" s="140"/>
      <c r="AN604" s="140"/>
      <c r="AO604" s="140"/>
      <c r="AP604" s="140"/>
      <c r="AQ604" s="140"/>
      <c r="AR604" s="140"/>
      <c r="AS604" s="140"/>
    </row>
    <row r="605">
      <c r="A605" s="149"/>
      <c r="B605" s="140"/>
      <c r="C605" s="140"/>
      <c r="D605" s="140"/>
      <c r="E605" s="140"/>
      <c r="F605" s="140"/>
      <c r="G605" s="140"/>
      <c r="H605" s="140"/>
      <c r="I605" s="140"/>
      <c r="J605" s="140"/>
      <c r="K605" s="140"/>
      <c r="L605" s="140"/>
      <c r="M605" s="140"/>
      <c r="N605" s="140"/>
      <c r="O605" s="140"/>
      <c r="P605" s="140"/>
      <c r="Q605" s="140"/>
      <c r="R605" s="140"/>
      <c r="S605" s="150"/>
      <c r="T605" s="150"/>
      <c r="U605" s="140"/>
      <c r="V605" s="140"/>
      <c r="W605" s="140"/>
      <c r="X605" s="140"/>
      <c r="Y605" s="140"/>
      <c r="Z605" s="140"/>
      <c r="AA605" s="140"/>
      <c r="AB605" s="140"/>
      <c r="AC605" s="140"/>
      <c r="AD605" s="140"/>
      <c r="AE605" s="140"/>
      <c r="AF605" s="140"/>
      <c r="AG605" s="140"/>
      <c r="AH605" s="140"/>
      <c r="AI605" s="140"/>
      <c r="AJ605" s="140"/>
      <c r="AK605" s="140"/>
      <c r="AL605" s="140"/>
      <c r="AM605" s="140"/>
      <c r="AN605" s="140"/>
      <c r="AO605" s="140"/>
      <c r="AP605" s="140"/>
      <c r="AQ605" s="140"/>
      <c r="AR605" s="140"/>
      <c r="AS605" s="140"/>
    </row>
    <row r="606">
      <c r="A606" s="149"/>
      <c r="B606" s="140"/>
      <c r="C606" s="140"/>
      <c r="D606" s="140"/>
      <c r="E606" s="140"/>
      <c r="F606" s="140"/>
      <c r="G606" s="140"/>
      <c r="H606" s="140"/>
      <c r="I606" s="140"/>
      <c r="J606" s="140"/>
      <c r="K606" s="140"/>
      <c r="L606" s="140"/>
      <c r="M606" s="140"/>
      <c r="N606" s="140"/>
      <c r="O606" s="140"/>
      <c r="P606" s="140"/>
      <c r="Q606" s="140"/>
      <c r="R606" s="140"/>
      <c r="S606" s="150"/>
      <c r="T606" s="150"/>
      <c r="U606" s="140"/>
      <c r="V606" s="140"/>
      <c r="W606" s="140"/>
      <c r="X606" s="140"/>
      <c r="Y606" s="140"/>
      <c r="Z606" s="140"/>
      <c r="AA606" s="140"/>
      <c r="AB606" s="140"/>
      <c r="AC606" s="140"/>
      <c r="AD606" s="140"/>
      <c r="AE606" s="140"/>
      <c r="AF606" s="140"/>
      <c r="AG606" s="140"/>
      <c r="AH606" s="140"/>
      <c r="AI606" s="140"/>
      <c r="AJ606" s="140"/>
      <c r="AK606" s="140"/>
      <c r="AL606" s="140"/>
      <c r="AM606" s="140"/>
      <c r="AN606" s="140"/>
      <c r="AO606" s="140"/>
      <c r="AP606" s="140"/>
      <c r="AQ606" s="140"/>
      <c r="AR606" s="140"/>
      <c r="AS606" s="140"/>
    </row>
    <row r="607">
      <c r="A607" s="149"/>
      <c r="B607" s="140"/>
      <c r="C607" s="140"/>
      <c r="D607" s="140"/>
      <c r="E607" s="140"/>
      <c r="F607" s="140"/>
      <c r="G607" s="140"/>
      <c r="H607" s="140"/>
      <c r="I607" s="140"/>
      <c r="J607" s="140"/>
      <c r="K607" s="140"/>
      <c r="L607" s="140"/>
      <c r="M607" s="140"/>
      <c r="N607" s="140"/>
      <c r="O607" s="140"/>
      <c r="P607" s="140"/>
      <c r="Q607" s="140"/>
      <c r="R607" s="140"/>
      <c r="S607" s="150"/>
      <c r="T607" s="150"/>
      <c r="U607" s="140"/>
      <c r="V607" s="140"/>
      <c r="W607" s="140"/>
      <c r="X607" s="140"/>
      <c r="Y607" s="140"/>
      <c r="Z607" s="140"/>
      <c r="AA607" s="140"/>
      <c r="AB607" s="140"/>
      <c r="AC607" s="140"/>
      <c r="AD607" s="140"/>
      <c r="AE607" s="140"/>
      <c r="AF607" s="140"/>
      <c r="AG607" s="140"/>
      <c r="AH607" s="140"/>
      <c r="AI607" s="140"/>
      <c r="AJ607" s="140"/>
      <c r="AK607" s="140"/>
      <c r="AL607" s="140"/>
      <c r="AM607" s="140"/>
      <c r="AN607" s="140"/>
      <c r="AO607" s="140"/>
      <c r="AP607" s="140"/>
      <c r="AQ607" s="140"/>
      <c r="AR607" s="140"/>
      <c r="AS607" s="140"/>
    </row>
    <row r="608">
      <c r="A608" s="149"/>
      <c r="B608" s="140"/>
      <c r="C608" s="140"/>
      <c r="D608" s="140"/>
      <c r="E608" s="140"/>
      <c r="F608" s="140"/>
      <c r="G608" s="140"/>
      <c r="H608" s="140"/>
      <c r="I608" s="140"/>
      <c r="J608" s="140"/>
      <c r="K608" s="140"/>
      <c r="L608" s="140"/>
      <c r="M608" s="140"/>
      <c r="N608" s="140"/>
      <c r="O608" s="140"/>
      <c r="P608" s="140"/>
      <c r="Q608" s="140"/>
      <c r="R608" s="140"/>
      <c r="S608" s="150"/>
      <c r="T608" s="150"/>
      <c r="U608" s="140"/>
      <c r="V608" s="140"/>
      <c r="W608" s="140"/>
      <c r="X608" s="140"/>
      <c r="Y608" s="140"/>
      <c r="Z608" s="140"/>
      <c r="AA608" s="140"/>
      <c r="AB608" s="140"/>
      <c r="AC608" s="140"/>
      <c r="AD608" s="140"/>
      <c r="AE608" s="140"/>
      <c r="AF608" s="140"/>
      <c r="AG608" s="140"/>
      <c r="AH608" s="140"/>
      <c r="AI608" s="140"/>
      <c r="AJ608" s="140"/>
      <c r="AK608" s="140"/>
      <c r="AL608" s="140"/>
      <c r="AM608" s="140"/>
      <c r="AN608" s="140"/>
      <c r="AO608" s="140"/>
      <c r="AP608" s="140"/>
      <c r="AQ608" s="140"/>
      <c r="AR608" s="140"/>
      <c r="AS608" s="140"/>
    </row>
    <row r="609">
      <c r="A609" s="149"/>
      <c r="B609" s="140"/>
      <c r="C609" s="140"/>
      <c r="D609" s="140"/>
      <c r="E609" s="140"/>
      <c r="F609" s="140"/>
      <c r="G609" s="140"/>
      <c r="H609" s="140"/>
      <c r="I609" s="140"/>
      <c r="J609" s="140"/>
      <c r="K609" s="140"/>
      <c r="L609" s="140"/>
      <c r="M609" s="140"/>
      <c r="N609" s="140"/>
      <c r="O609" s="140"/>
      <c r="P609" s="140"/>
      <c r="Q609" s="140"/>
      <c r="R609" s="140"/>
      <c r="S609" s="150"/>
      <c r="T609" s="150"/>
      <c r="U609" s="140"/>
      <c r="V609" s="140"/>
      <c r="W609" s="140"/>
      <c r="X609" s="140"/>
      <c r="Y609" s="140"/>
      <c r="Z609" s="140"/>
      <c r="AA609" s="140"/>
      <c r="AB609" s="140"/>
      <c r="AC609" s="140"/>
      <c r="AD609" s="140"/>
      <c r="AE609" s="140"/>
      <c r="AF609" s="140"/>
      <c r="AG609" s="140"/>
      <c r="AH609" s="140"/>
      <c r="AI609" s="140"/>
      <c r="AJ609" s="140"/>
      <c r="AK609" s="140"/>
      <c r="AL609" s="140"/>
      <c r="AM609" s="140"/>
      <c r="AN609" s="140"/>
      <c r="AO609" s="140"/>
      <c r="AP609" s="140"/>
      <c r="AQ609" s="140"/>
      <c r="AR609" s="140"/>
      <c r="AS609" s="140"/>
    </row>
    <row r="610">
      <c r="A610" s="149"/>
      <c r="B610" s="140"/>
      <c r="C610" s="140"/>
      <c r="D610" s="140"/>
      <c r="E610" s="140"/>
      <c r="F610" s="140"/>
      <c r="G610" s="140"/>
      <c r="H610" s="140"/>
      <c r="I610" s="140"/>
      <c r="J610" s="140"/>
      <c r="K610" s="140"/>
      <c r="L610" s="140"/>
      <c r="M610" s="140"/>
      <c r="N610" s="140"/>
      <c r="O610" s="140"/>
      <c r="P610" s="140"/>
      <c r="Q610" s="140"/>
      <c r="R610" s="140"/>
      <c r="S610" s="150"/>
      <c r="T610" s="150"/>
      <c r="U610" s="140"/>
      <c r="V610" s="140"/>
      <c r="W610" s="140"/>
      <c r="X610" s="140"/>
      <c r="Y610" s="140"/>
      <c r="Z610" s="140"/>
      <c r="AA610" s="140"/>
      <c r="AB610" s="140"/>
      <c r="AC610" s="140"/>
      <c r="AD610" s="140"/>
      <c r="AE610" s="140"/>
      <c r="AF610" s="140"/>
      <c r="AG610" s="140"/>
      <c r="AH610" s="140"/>
      <c r="AI610" s="140"/>
      <c r="AJ610" s="140"/>
      <c r="AK610" s="140"/>
      <c r="AL610" s="140"/>
      <c r="AM610" s="140"/>
      <c r="AN610" s="140"/>
      <c r="AO610" s="140"/>
      <c r="AP610" s="140"/>
      <c r="AQ610" s="140"/>
      <c r="AR610" s="140"/>
      <c r="AS610" s="140"/>
    </row>
    <row r="611">
      <c r="A611" s="149"/>
      <c r="B611" s="140"/>
      <c r="C611" s="140"/>
      <c r="D611" s="140"/>
      <c r="E611" s="140"/>
      <c r="F611" s="140"/>
      <c r="G611" s="140"/>
      <c r="H611" s="140"/>
      <c r="I611" s="140"/>
      <c r="J611" s="140"/>
      <c r="K611" s="140"/>
      <c r="L611" s="140"/>
      <c r="M611" s="140"/>
      <c r="N611" s="140"/>
      <c r="O611" s="140"/>
      <c r="P611" s="140"/>
      <c r="Q611" s="140"/>
      <c r="R611" s="140"/>
      <c r="S611" s="150"/>
      <c r="T611" s="150"/>
      <c r="U611" s="140"/>
      <c r="V611" s="140"/>
      <c r="W611" s="140"/>
      <c r="X611" s="140"/>
      <c r="Y611" s="140"/>
      <c r="Z611" s="140"/>
      <c r="AA611" s="140"/>
      <c r="AB611" s="140"/>
      <c r="AC611" s="140"/>
      <c r="AD611" s="140"/>
      <c r="AE611" s="140"/>
      <c r="AF611" s="140"/>
      <c r="AG611" s="140"/>
      <c r="AH611" s="140"/>
      <c r="AI611" s="140"/>
      <c r="AJ611" s="140"/>
      <c r="AK611" s="140"/>
      <c r="AL611" s="140"/>
      <c r="AM611" s="140"/>
      <c r="AN611" s="140"/>
      <c r="AO611" s="140"/>
      <c r="AP611" s="140"/>
      <c r="AQ611" s="140"/>
      <c r="AR611" s="140"/>
      <c r="AS611" s="140"/>
    </row>
    <row r="612">
      <c r="A612" s="149"/>
      <c r="B612" s="140"/>
      <c r="C612" s="140"/>
      <c r="D612" s="140"/>
      <c r="E612" s="140"/>
      <c r="F612" s="140"/>
      <c r="G612" s="140"/>
      <c r="H612" s="140"/>
      <c r="I612" s="140"/>
      <c r="J612" s="140"/>
      <c r="K612" s="140"/>
      <c r="L612" s="140"/>
      <c r="M612" s="140"/>
      <c r="N612" s="140"/>
      <c r="O612" s="140"/>
      <c r="P612" s="140"/>
      <c r="Q612" s="140"/>
      <c r="R612" s="140"/>
      <c r="S612" s="150"/>
      <c r="T612" s="150"/>
      <c r="U612" s="140"/>
      <c r="V612" s="140"/>
      <c r="W612" s="140"/>
      <c r="X612" s="140"/>
      <c r="Y612" s="140"/>
      <c r="Z612" s="140"/>
      <c r="AA612" s="140"/>
      <c r="AB612" s="140"/>
      <c r="AC612" s="140"/>
      <c r="AD612" s="140"/>
      <c r="AE612" s="140"/>
      <c r="AF612" s="140"/>
      <c r="AG612" s="140"/>
      <c r="AH612" s="140"/>
      <c r="AI612" s="140"/>
      <c r="AJ612" s="140"/>
      <c r="AK612" s="140"/>
      <c r="AL612" s="140"/>
      <c r="AM612" s="140"/>
      <c r="AN612" s="140"/>
      <c r="AO612" s="140"/>
      <c r="AP612" s="140"/>
      <c r="AQ612" s="140"/>
      <c r="AR612" s="140"/>
      <c r="AS612" s="140"/>
    </row>
    <row r="613">
      <c r="A613" s="149"/>
      <c r="B613" s="140"/>
      <c r="C613" s="140"/>
      <c r="D613" s="140"/>
      <c r="E613" s="140"/>
      <c r="F613" s="140"/>
      <c r="G613" s="140"/>
      <c r="H613" s="140"/>
      <c r="I613" s="140"/>
      <c r="J613" s="140"/>
      <c r="K613" s="140"/>
      <c r="L613" s="140"/>
      <c r="M613" s="140"/>
      <c r="N613" s="140"/>
      <c r="O613" s="140"/>
      <c r="P613" s="140"/>
      <c r="Q613" s="140"/>
      <c r="R613" s="140"/>
      <c r="S613" s="150"/>
      <c r="T613" s="150"/>
      <c r="U613" s="140"/>
      <c r="V613" s="140"/>
      <c r="W613" s="140"/>
      <c r="X613" s="140"/>
      <c r="Y613" s="140"/>
      <c r="Z613" s="140"/>
      <c r="AA613" s="140"/>
      <c r="AB613" s="140"/>
      <c r="AC613" s="140"/>
      <c r="AD613" s="140"/>
      <c r="AE613" s="140"/>
      <c r="AF613" s="140"/>
      <c r="AG613" s="140"/>
      <c r="AH613" s="140"/>
      <c r="AI613" s="140"/>
      <c r="AJ613" s="140"/>
      <c r="AK613" s="140"/>
      <c r="AL613" s="140"/>
      <c r="AM613" s="140"/>
      <c r="AN613" s="140"/>
      <c r="AO613" s="140"/>
      <c r="AP613" s="140"/>
      <c r="AQ613" s="140"/>
      <c r="AR613" s="140"/>
      <c r="AS613" s="140"/>
    </row>
    <row r="614">
      <c r="A614" s="149"/>
      <c r="B614" s="140"/>
      <c r="C614" s="140"/>
      <c r="D614" s="140"/>
      <c r="E614" s="140"/>
      <c r="F614" s="140"/>
      <c r="G614" s="140"/>
      <c r="H614" s="140"/>
      <c r="I614" s="140"/>
      <c r="J614" s="140"/>
      <c r="K614" s="140"/>
      <c r="L614" s="140"/>
      <c r="M614" s="140"/>
      <c r="N614" s="140"/>
      <c r="O614" s="140"/>
      <c r="P614" s="140"/>
      <c r="Q614" s="140"/>
      <c r="R614" s="140"/>
      <c r="S614" s="150"/>
      <c r="T614" s="150"/>
      <c r="U614" s="140"/>
      <c r="V614" s="140"/>
      <c r="W614" s="140"/>
      <c r="X614" s="140"/>
      <c r="Y614" s="140"/>
      <c r="Z614" s="140"/>
      <c r="AA614" s="140"/>
      <c r="AB614" s="140"/>
      <c r="AC614" s="140"/>
      <c r="AD614" s="140"/>
      <c r="AE614" s="140"/>
      <c r="AF614" s="140"/>
      <c r="AG614" s="140"/>
      <c r="AH614" s="140"/>
      <c r="AI614" s="140"/>
      <c r="AJ614" s="140"/>
      <c r="AK614" s="140"/>
      <c r="AL614" s="140"/>
      <c r="AM614" s="140"/>
      <c r="AN614" s="140"/>
      <c r="AO614" s="140"/>
      <c r="AP614" s="140"/>
      <c r="AQ614" s="140"/>
      <c r="AR614" s="140"/>
      <c r="AS614" s="140"/>
    </row>
    <row r="615">
      <c r="A615" s="149"/>
      <c r="B615" s="140"/>
      <c r="C615" s="140"/>
      <c r="D615" s="140"/>
      <c r="E615" s="140"/>
      <c r="F615" s="140"/>
      <c r="G615" s="140"/>
      <c r="H615" s="140"/>
      <c r="I615" s="140"/>
      <c r="J615" s="140"/>
      <c r="K615" s="140"/>
      <c r="L615" s="140"/>
      <c r="M615" s="140"/>
      <c r="N615" s="140"/>
      <c r="O615" s="140"/>
      <c r="P615" s="140"/>
      <c r="Q615" s="140"/>
      <c r="R615" s="140"/>
      <c r="S615" s="150"/>
      <c r="T615" s="150"/>
      <c r="U615" s="140"/>
      <c r="V615" s="140"/>
      <c r="W615" s="140"/>
      <c r="X615" s="140"/>
      <c r="Y615" s="140"/>
      <c r="Z615" s="140"/>
      <c r="AA615" s="140"/>
      <c r="AB615" s="140"/>
      <c r="AC615" s="140"/>
      <c r="AD615" s="140"/>
      <c r="AE615" s="140"/>
      <c r="AF615" s="140"/>
      <c r="AG615" s="140"/>
      <c r="AH615" s="140"/>
      <c r="AI615" s="140"/>
      <c r="AJ615" s="140"/>
      <c r="AK615" s="140"/>
      <c r="AL615" s="140"/>
      <c r="AM615" s="140"/>
      <c r="AN615" s="140"/>
      <c r="AO615" s="140"/>
      <c r="AP615" s="140"/>
      <c r="AQ615" s="140"/>
      <c r="AR615" s="140"/>
      <c r="AS615" s="140"/>
    </row>
    <row r="616">
      <c r="A616" s="149"/>
      <c r="B616" s="140"/>
      <c r="C616" s="140"/>
      <c r="D616" s="140"/>
      <c r="E616" s="140"/>
      <c r="F616" s="140"/>
      <c r="G616" s="140"/>
      <c r="H616" s="140"/>
      <c r="I616" s="140"/>
      <c r="J616" s="140"/>
      <c r="K616" s="140"/>
      <c r="L616" s="140"/>
      <c r="M616" s="140"/>
      <c r="N616" s="140"/>
      <c r="O616" s="140"/>
      <c r="P616" s="140"/>
      <c r="Q616" s="140"/>
      <c r="R616" s="140"/>
      <c r="S616" s="150"/>
      <c r="T616" s="150"/>
      <c r="U616" s="140"/>
      <c r="V616" s="140"/>
      <c r="W616" s="140"/>
      <c r="X616" s="140"/>
      <c r="Y616" s="140"/>
      <c r="Z616" s="140"/>
      <c r="AA616" s="140"/>
      <c r="AB616" s="140"/>
      <c r="AC616" s="140"/>
      <c r="AD616" s="140"/>
      <c r="AE616" s="140"/>
      <c r="AF616" s="140"/>
      <c r="AG616" s="140"/>
      <c r="AH616" s="140"/>
      <c r="AI616" s="140"/>
      <c r="AJ616" s="140"/>
      <c r="AK616" s="140"/>
      <c r="AL616" s="140"/>
      <c r="AM616" s="140"/>
      <c r="AN616" s="140"/>
      <c r="AO616" s="140"/>
      <c r="AP616" s="140"/>
      <c r="AQ616" s="140"/>
      <c r="AR616" s="140"/>
      <c r="AS616" s="140"/>
    </row>
    <row r="617">
      <c r="A617" s="149"/>
      <c r="B617" s="140"/>
      <c r="C617" s="140"/>
      <c r="D617" s="140"/>
      <c r="E617" s="140"/>
      <c r="F617" s="140"/>
      <c r="G617" s="140"/>
      <c r="H617" s="140"/>
      <c r="I617" s="140"/>
      <c r="J617" s="140"/>
      <c r="K617" s="140"/>
      <c r="L617" s="140"/>
      <c r="M617" s="140"/>
      <c r="N617" s="140"/>
      <c r="O617" s="140"/>
      <c r="P617" s="140"/>
      <c r="Q617" s="140"/>
      <c r="R617" s="140"/>
      <c r="S617" s="150"/>
      <c r="T617" s="150"/>
      <c r="U617" s="140"/>
      <c r="V617" s="140"/>
      <c r="W617" s="140"/>
      <c r="X617" s="140"/>
      <c r="Y617" s="140"/>
      <c r="Z617" s="140"/>
      <c r="AA617" s="140"/>
      <c r="AB617" s="140"/>
      <c r="AC617" s="140"/>
      <c r="AD617" s="140"/>
      <c r="AE617" s="140"/>
      <c r="AF617" s="140"/>
      <c r="AG617" s="140"/>
      <c r="AH617" s="140"/>
      <c r="AI617" s="140"/>
      <c r="AJ617" s="140"/>
      <c r="AK617" s="140"/>
      <c r="AL617" s="140"/>
      <c r="AM617" s="140"/>
      <c r="AN617" s="140"/>
      <c r="AO617" s="140"/>
      <c r="AP617" s="140"/>
      <c r="AQ617" s="140"/>
      <c r="AR617" s="140"/>
      <c r="AS617" s="140"/>
    </row>
    <row r="618">
      <c r="A618" s="149"/>
      <c r="B618" s="140"/>
      <c r="C618" s="140"/>
      <c r="D618" s="140"/>
      <c r="E618" s="140"/>
      <c r="F618" s="140"/>
      <c r="G618" s="140"/>
      <c r="H618" s="140"/>
      <c r="I618" s="140"/>
      <c r="J618" s="140"/>
      <c r="K618" s="140"/>
      <c r="L618" s="140"/>
      <c r="M618" s="140"/>
      <c r="N618" s="140"/>
      <c r="O618" s="140"/>
      <c r="P618" s="140"/>
      <c r="Q618" s="140"/>
      <c r="R618" s="140"/>
      <c r="S618" s="150"/>
      <c r="T618" s="150"/>
      <c r="U618" s="140"/>
      <c r="V618" s="140"/>
      <c r="W618" s="140"/>
      <c r="X618" s="140"/>
      <c r="Y618" s="140"/>
      <c r="Z618" s="140"/>
      <c r="AA618" s="140"/>
      <c r="AB618" s="140"/>
      <c r="AC618" s="140"/>
      <c r="AD618" s="140"/>
      <c r="AE618" s="140"/>
      <c r="AF618" s="140"/>
      <c r="AG618" s="140"/>
      <c r="AH618" s="140"/>
      <c r="AI618" s="140"/>
      <c r="AJ618" s="140"/>
      <c r="AK618" s="140"/>
      <c r="AL618" s="140"/>
      <c r="AM618" s="140"/>
      <c r="AN618" s="140"/>
      <c r="AO618" s="140"/>
      <c r="AP618" s="140"/>
      <c r="AQ618" s="140"/>
      <c r="AR618" s="140"/>
      <c r="AS618" s="140"/>
    </row>
    <row r="619">
      <c r="A619" s="149"/>
      <c r="B619" s="140"/>
      <c r="C619" s="140"/>
      <c r="D619" s="140"/>
      <c r="E619" s="140"/>
      <c r="F619" s="140"/>
      <c r="G619" s="140"/>
      <c r="H619" s="140"/>
      <c r="I619" s="140"/>
      <c r="J619" s="140"/>
      <c r="K619" s="140"/>
      <c r="L619" s="140"/>
      <c r="M619" s="140"/>
      <c r="N619" s="140"/>
      <c r="O619" s="140"/>
      <c r="P619" s="140"/>
      <c r="Q619" s="140"/>
      <c r="R619" s="140"/>
      <c r="S619" s="150"/>
      <c r="T619" s="150"/>
      <c r="U619" s="140"/>
      <c r="V619" s="140"/>
      <c r="W619" s="140"/>
      <c r="X619" s="140"/>
      <c r="Y619" s="140"/>
      <c r="Z619" s="140"/>
      <c r="AA619" s="140"/>
      <c r="AB619" s="140"/>
      <c r="AC619" s="140"/>
      <c r="AD619" s="140"/>
      <c r="AE619" s="140"/>
      <c r="AF619" s="140"/>
      <c r="AG619" s="140"/>
      <c r="AH619" s="140"/>
      <c r="AI619" s="140"/>
      <c r="AJ619" s="140"/>
      <c r="AK619" s="140"/>
      <c r="AL619" s="140"/>
      <c r="AM619" s="140"/>
      <c r="AN619" s="140"/>
      <c r="AO619" s="140"/>
      <c r="AP619" s="140"/>
      <c r="AQ619" s="140"/>
      <c r="AR619" s="140"/>
      <c r="AS619" s="140"/>
    </row>
    <row r="620">
      <c r="A620" s="149"/>
      <c r="B620" s="140"/>
      <c r="C620" s="140"/>
      <c r="D620" s="140"/>
      <c r="E620" s="140"/>
      <c r="F620" s="140"/>
      <c r="G620" s="140"/>
      <c r="H620" s="140"/>
      <c r="I620" s="140"/>
      <c r="J620" s="140"/>
      <c r="K620" s="140"/>
      <c r="L620" s="140"/>
      <c r="M620" s="140"/>
      <c r="N620" s="140"/>
      <c r="O620" s="140"/>
      <c r="P620" s="140"/>
      <c r="Q620" s="140"/>
      <c r="R620" s="140"/>
      <c r="S620" s="150"/>
      <c r="T620" s="150"/>
      <c r="U620" s="140"/>
      <c r="V620" s="140"/>
      <c r="W620" s="140"/>
      <c r="X620" s="140"/>
      <c r="Y620" s="140"/>
      <c r="Z620" s="140"/>
      <c r="AA620" s="140"/>
      <c r="AB620" s="140"/>
      <c r="AC620" s="140"/>
      <c r="AD620" s="140"/>
      <c r="AE620" s="140"/>
      <c r="AF620" s="140"/>
      <c r="AG620" s="140"/>
      <c r="AH620" s="140"/>
      <c r="AI620" s="140"/>
      <c r="AJ620" s="140"/>
      <c r="AK620" s="140"/>
      <c r="AL620" s="140"/>
      <c r="AM620" s="140"/>
      <c r="AN620" s="140"/>
      <c r="AO620" s="140"/>
      <c r="AP620" s="140"/>
      <c r="AQ620" s="140"/>
      <c r="AR620" s="140"/>
      <c r="AS620" s="140"/>
    </row>
    <row r="621">
      <c r="A621" s="149"/>
      <c r="B621" s="140"/>
      <c r="C621" s="140"/>
      <c r="D621" s="140"/>
      <c r="E621" s="140"/>
      <c r="F621" s="140"/>
      <c r="G621" s="140"/>
      <c r="H621" s="140"/>
      <c r="I621" s="140"/>
      <c r="J621" s="140"/>
      <c r="K621" s="140"/>
      <c r="L621" s="140"/>
      <c r="M621" s="140"/>
      <c r="N621" s="140"/>
      <c r="O621" s="140"/>
      <c r="P621" s="140"/>
      <c r="Q621" s="140"/>
      <c r="R621" s="140"/>
      <c r="S621" s="150"/>
      <c r="T621" s="150"/>
      <c r="U621" s="140"/>
      <c r="V621" s="140"/>
      <c r="W621" s="140"/>
      <c r="X621" s="140"/>
      <c r="Y621" s="140"/>
      <c r="Z621" s="140"/>
      <c r="AA621" s="140"/>
      <c r="AB621" s="140"/>
      <c r="AC621" s="140"/>
      <c r="AD621" s="140"/>
      <c r="AE621" s="140"/>
      <c r="AF621" s="140"/>
      <c r="AG621" s="140"/>
      <c r="AH621" s="140"/>
      <c r="AI621" s="140"/>
      <c r="AJ621" s="140"/>
      <c r="AK621" s="140"/>
      <c r="AL621" s="140"/>
      <c r="AM621" s="140"/>
      <c r="AN621" s="140"/>
      <c r="AO621" s="140"/>
      <c r="AP621" s="140"/>
      <c r="AQ621" s="140"/>
      <c r="AR621" s="140"/>
      <c r="AS621" s="140"/>
    </row>
    <row r="622">
      <c r="A622" s="149"/>
      <c r="B622" s="140"/>
      <c r="C622" s="140"/>
      <c r="D622" s="140"/>
      <c r="E622" s="140"/>
      <c r="F622" s="140"/>
      <c r="G622" s="140"/>
      <c r="H622" s="140"/>
      <c r="I622" s="140"/>
      <c r="J622" s="140"/>
      <c r="K622" s="140"/>
      <c r="L622" s="140"/>
      <c r="M622" s="140"/>
      <c r="N622" s="140"/>
      <c r="O622" s="140"/>
      <c r="P622" s="140"/>
      <c r="Q622" s="140"/>
      <c r="R622" s="140"/>
      <c r="S622" s="150"/>
      <c r="T622" s="150"/>
      <c r="U622" s="140"/>
      <c r="V622" s="140"/>
      <c r="W622" s="140"/>
      <c r="X622" s="140"/>
      <c r="Y622" s="140"/>
      <c r="Z622" s="140"/>
      <c r="AA622" s="140"/>
      <c r="AB622" s="140"/>
      <c r="AC622" s="140"/>
      <c r="AD622" s="140"/>
      <c r="AE622" s="140"/>
      <c r="AF622" s="140"/>
      <c r="AG622" s="140"/>
      <c r="AH622" s="140"/>
      <c r="AI622" s="140"/>
      <c r="AJ622" s="140"/>
      <c r="AK622" s="140"/>
      <c r="AL622" s="140"/>
      <c r="AM622" s="140"/>
      <c r="AN622" s="140"/>
      <c r="AO622" s="140"/>
      <c r="AP622" s="140"/>
      <c r="AQ622" s="140"/>
      <c r="AR622" s="140"/>
      <c r="AS622" s="140"/>
    </row>
    <row r="623">
      <c r="A623" s="149"/>
      <c r="B623" s="140"/>
      <c r="C623" s="140"/>
      <c r="D623" s="140"/>
      <c r="E623" s="140"/>
      <c r="F623" s="140"/>
      <c r="G623" s="140"/>
      <c r="H623" s="140"/>
      <c r="I623" s="140"/>
      <c r="J623" s="140"/>
      <c r="K623" s="140"/>
      <c r="L623" s="140"/>
      <c r="M623" s="140"/>
      <c r="N623" s="140"/>
      <c r="O623" s="140"/>
      <c r="P623" s="140"/>
      <c r="Q623" s="140"/>
      <c r="R623" s="140"/>
      <c r="S623" s="150"/>
      <c r="T623" s="150"/>
      <c r="U623" s="140"/>
      <c r="V623" s="140"/>
      <c r="W623" s="140"/>
      <c r="X623" s="140"/>
      <c r="Y623" s="140"/>
      <c r="Z623" s="140"/>
      <c r="AA623" s="140"/>
      <c r="AB623" s="140"/>
      <c r="AC623" s="140"/>
      <c r="AD623" s="140"/>
      <c r="AE623" s="140"/>
      <c r="AF623" s="140"/>
      <c r="AG623" s="140"/>
      <c r="AH623" s="140"/>
      <c r="AI623" s="140"/>
      <c r="AJ623" s="140"/>
      <c r="AK623" s="140"/>
      <c r="AL623" s="140"/>
      <c r="AM623" s="140"/>
      <c r="AN623" s="140"/>
      <c r="AO623" s="140"/>
      <c r="AP623" s="140"/>
      <c r="AQ623" s="140"/>
      <c r="AR623" s="140"/>
      <c r="AS623" s="140"/>
    </row>
    <row r="624">
      <c r="A624" s="149"/>
      <c r="B624" s="140"/>
      <c r="C624" s="140"/>
      <c r="D624" s="140"/>
      <c r="E624" s="140"/>
      <c r="F624" s="140"/>
      <c r="G624" s="140"/>
      <c r="H624" s="140"/>
      <c r="I624" s="140"/>
      <c r="J624" s="140"/>
      <c r="K624" s="140"/>
      <c r="L624" s="140"/>
      <c r="M624" s="140"/>
      <c r="N624" s="140"/>
      <c r="O624" s="140"/>
      <c r="P624" s="140"/>
      <c r="Q624" s="140"/>
      <c r="R624" s="140"/>
      <c r="S624" s="150"/>
      <c r="T624" s="150"/>
      <c r="U624" s="140"/>
      <c r="V624" s="140"/>
      <c r="W624" s="140"/>
      <c r="X624" s="140"/>
      <c r="Y624" s="140"/>
      <c r="Z624" s="140"/>
      <c r="AA624" s="140"/>
      <c r="AB624" s="140"/>
      <c r="AC624" s="140"/>
      <c r="AD624" s="140"/>
      <c r="AE624" s="140"/>
      <c r="AF624" s="140"/>
      <c r="AG624" s="140"/>
      <c r="AH624" s="140"/>
      <c r="AI624" s="140"/>
      <c r="AJ624" s="140"/>
      <c r="AK624" s="140"/>
      <c r="AL624" s="140"/>
      <c r="AM624" s="140"/>
      <c r="AN624" s="140"/>
      <c r="AO624" s="140"/>
      <c r="AP624" s="140"/>
      <c r="AQ624" s="140"/>
      <c r="AR624" s="140"/>
      <c r="AS624" s="140"/>
    </row>
    <row r="625">
      <c r="A625" s="149"/>
      <c r="B625" s="140"/>
      <c r="C625" s="140"/>
      <c r="D625" s="140"/>
      <c r="E625" s="140"/>
      <c r="F625" s="140"/>
      <c r="G625" s="140"/>
      <c r="H625" s="140"/>
      <c r="I625" s="140"/>
      <c r="J625" s="140"/>
      <c r="K625" s="140"/>
      <c r="L625" s="140"/>
      <c r="M625" s="140"/>
      <c r="N625" s="140"/>
      <c r="O625" s="140"/>
      <c r="P625" s="140"/>
      <c r="Q625" s="140"/>
      <c r="R625" s="140"/>
      <c r="S625" s="150"/>
      <c r="T625" s="150"/>
      <c r="U625" s="140"/>
      <c r="V625" s="140"/>
      <c r="W625" s="140"/>
      <c r="X625" s="140"/>
      <c r="Y625" s="140"/>
      <c r="Z625" s="140"/>
      <c r="AA625" s="140"/>
      <c r="AB625" s="140"/>
      <c r="AC625" s="140"/>
      <c r="AD625" s="140"/>
      <c r="AE625" s="140"/>
      <c r="AF625" s="140"/>
      <c r="AG625" s="140"/>
      <c r="AH625" s="140"/>
      <c r="AI625" s="140"/>
      <c r="AJ625" s="140"/>
      <c r="AK625" s="140"/>
      <c r="AL625" s="140"/>
      <c r="AM625" s="140"/>
      <c r="AN625" s="140"/>
      <c r="AO625" s="140"/>
      <c r="AP625" s="140"/>
      <c r="AQ625" s="140"/>
      <c r="AR625" s="140"/>
      <c r="AS625" s="140"/>
    </row>
    <row r="626">
      <c r="A626" s="149"/>
      <c r="B626" s="140"/>
      <c r="C626" s="140"/>
      <c r="D626" s="140"/>
      <c r="E626" s="140"/>
      <c r="F626" s="140"/>
      <c r="G626" s="140"/>
      <c r="H626" s="140"/>
      <c r="I626" s="140"/>
      <c r="J626" s="140"/>
      <c r="K626" s="140"/>
      <c r="L626" s="140"/>
      <c r="M626" s="140"/>
      <c r="N626" s="140"/>
      <c r="O626" s="140"/>
      <c r="P626" s="140"/>
      <c r="Q626" s="140"/>
      <c r="R626" s="140"/>
      <c r="S626" s="150"/>
      <c r="T626" s="150"/>
      <c r="U626" s="140"/>
      <c r="V626" s="140"/>
      <c r="W626" s="140"/>
      <c r="X626" s="140"/>
      <c r="Y626" s="140"/>
      <c r="Z626" s="140"/>
      <c r="AA626" s="140"/>
      <c r="AB626" s="140"/>
      <c r="AC626" s="140"/>
      <c r="AD626" s="140"/>
      <c r="AE626" s="140"/>
      <c r="AF626" s="140"/>
      <c r="AG626" s="140"/>
      <c r="AH626" s="140"/>
      <c r="AI626" s="140"/>
      <c r="AJ626" s="140"/>
      <c r="AK626" s="140"/>
      <c r="AL626" s="140"/>
      <c r="AM626" s="140"/>
      <c r="AN626" s="140"/>
      <c r="AO626" s="140"/>
      <c r="AP626" s="140"/>
      <c r="AQ626" s="140"/>
      <c r="AR626" s="140"/>
      <c r="AS626" s="140"/>
    </row>
    <row r="627">
      <c r="A627" s="149"/>
      <c r="B627" s="140"/>
      <c r="C627" s="140"/>
      <c r="D627" s="140"/>
      <c r="E627" s="140"/>
      <c r="F627" s="140"/>
      <c r="G627" s="140"/>
      <c r="H627" s="140"/>
      <c r="I627" s="140"/>
      <c r="J627" s="140"/>
      <c r="K627" s="140"/>
      <c r="L627" s="140"/>
      <c r="M627" s="140"/>
      <c r="N627" s="140"/>
      <c r="O627" s="140"/>
      <c r="P627" s="140"/>
      <c r="Q627" s="140"/>
      <c r="R627" s="140"/>
      <c r="S627" s="150"/>
      <c r="T627" s="150"/>
      <c r="U627" s="140"/>
      <c r="V627" s="140"/>
      <c r="W627" s="140"/>
      <c r="X627" s="140"/>
      <c r="Y627" s="140"/>
      <c r="Z627" s="140"/>
      <c r="AA627" s="140"/>
      <c r="AB627" s="140"/>
      <c r="AC627" s="140"/>
      <c r="AD627" s="140"/>
      <c r="AE627" s="140"/>
      <c r="AF627" s="140"/>
      <c r="AG627" s="140"/>
      <c r="AH627" s="140"/>
      <c r="AI627" s="140"/>
      <c r="AJ627" s="140"/>
      <c r="AK627" s="140"/>
      <c r="AL627" s="140"/>
      <c r="AM627" s="140"/>
      <c r="AN627" s="140"/>
      <c r="AO627" s="140"/>
      <c r="AP627" s="140"/>
      <c r="AQ627" s="140"/>
      <c r="AR627" s="140"/>
      <c r="AS627" s="140"/>
    </row>
    <row r="628">
      <c r="A628" s="149"/>
      <c r="B628" s="140"/>
      <c r="C628" s="140"/>
      <c r="D628" s="140"/>
      <c r="E628" s="140"/>
      <c r="F628" s="140"/>
      <c r="G628" s="140"/>
      <c r="H628" s="140"/>
      <c r="I628" s="140"/>
      <c r="J628" s="140"/>
      <c r="K628" s="140"/>
      <c r="L628" s="140"/>
      <c r="M628" s="140"/>
      <c r="N628" s="140"/>
      <c r="O628" s="140"/>
      <c r="P628" s="140"/>
      <c r="Q628" s="140"/>
      <c r="R628" s="140"/>
      <c r="S628" s="150"/>
      <c r="T628" s="150"/>
      <c r="U628" s="140"/>
      <c r="V628" s="140"/>
      <c r="W628" s="140"/>
      <c r="X628" s="140"/>
      <c r="Y628" s="140"/>
      <c r="Z628" s="140"/>
      <c r="AA628" s="140"/>
      <c r="AB628" s="140"/>
      <c r="AC628" s="140"/>
      <c r="AD628" s="140"/>
      <c r="AE628" s="140"/>
      <c r="AF628" s="140"/>
      <c r="AG628" s="140"/>
      <c r="AH628" s="140"/>
      <c r="AI628" s="140"/>
      <c r="AJ628" s="140"/>
      <c r="AK628" s="140"/>
      <c r="AL628" s="140"/>
      <c r="AM628" s="140"/>
      <c r="AN628" s="140"/>
      <c r="AO628" s="140"/>
      <c r="AP628" s="140"/>
      <c r="AQ628" s="140"/>
      <c r="AR628" s="140"/>
      <c r="AS628" s="140"/>
    </row>
    <row r="629">
      <c r="A629" s="149"/>
      <c r="B629" s="140"/>
      <c r="C629" s="140"/>
      <c r="D629" s="140"/>
      <c r="E629" s="140"/>
      <c r="F629" s="140"/>
      <c r="G629" s="140"/>
      <c r="H629" s="140"/>
      <c r="I629" s="140"/>
      <c r="J629" s="140"/>
      <c r="K629" s="140"/>
      <c r="L629" s="140"/>
      <c r="M629" s="140"/>
      <c r="N629" s="140"/>
      <c r="O629" s="140"/>
      <c r="P629" s="140"/>
      <c r="Q629" s="140"/>
      <c r="R629" s="140"/>
      <c r="S629" s="150"/>
      <c r="T629" s="150"/>
      <c r="U629" s="140"/>
      <c r="V629" s="140"/>
      <c r="W629" s="140"/>
      <c r="X629" s="140"/>
      <c r="Y629" s="140"/>
      <c r="Z629" s="140"/>
      <c r="AA629" s="140"/>
      <c r="AB629" s="140"/>
      <c r="AC629" s="140"/>
      <c r="AD629" s="140"/>
      <c r="AE629" s="140"/>
      <c r="AF629" s="140"/>
      <c r="AG629" s="140"/>
      <c r="AH629" s="140"/>
      <c r="AI629" s="140"/>
      <c r="AJ629" s="140"/>
      <c r="AK629" s="140"/>
      <c r="AL629" s="140"/>
      <c r="AM629" s="140"/>
      <c r="AN629" s="140"/>
      <c r="AO629" s="140"/>
      <c r="AP629" s="140"/>
      <c r="AQ629" s="140"/>
      <c r="AR629" s="140"/>
      <c r="AS629" s="140"/>
    </row>
    <row r="630">
      <c r="A630" s="149"/>
      <c r="B630" s="140"/>
      <c r="C630" s="140"/>
      <c r="D630" s="140"/>
      <c r="E630" s="140"/>
      <c r="F630" s="140"/>
      <c r="G630" s="140"/>
      <c r="H630" s="140"/>
      <c r="I630" s="140"/>
      <c r="J630" s="140"/>
      <c r="K630" s="140"/>
      <c r="L630" s="140"/>
      <c r="M630" s="140"/>
      <c r="N630" s="140"/>
      <c r="O630" s="140"/>
      <c r="P630" s="140"/>
      <c r="Q630" s="140"/>
      <c r="R630" s="140"/>
      <c r="S630" s="150"/>
      <c r="T630" s="150"/>
      <c r="U630" s="140"/>
      <c r="V630" s="140"/>
      <c r="W630" s="140"/>
      <c r="X630" s="140"/>
      <c r="Y630" s="140"/>
      <c r="Z630" s="140"/>
      <c r="AA630" s="140"/>
      <c r="AB630" s="140"/>
      <c r="AC630" s="140"/>
      <c r="AD630" s="140"/>
      <c r="AE630" s="140"/>
      <c r="AF630" s="140"/>
      <c r="AG630" s="140"/>
      <c r="AH630" s="140"/>
      <c r="AI630" s="140"/>
      <c r="AJ630" s="140"/>
      <c r="AK630" s="140"/>
      <c r="AL630" s="140"/>
      <c r="AM630" s="140"/>
      <c r="AN630" s="140"/>
      <c r="AO630" s="140"/>
      <c r="AP630" s="140"/>
      <c r="AQ630" s="140"/>
      <c r="AR630" s="140"/>
      <c r="AS630" s="140"/>
    </row>
    <row r="631">
      <c r="A631" s="149"/>
      <c r="B631" s="140"/>
      <c r="C631" s="140"/>
      <c r="D631" s="140"/>
      <c r="E631" s="140"/>
      <c r="F631" s="140"/>
      <c r="G631" s="140"/>
      <c r="H631" s="140"/>
      <c r="I631" s="140"/>
      <c r="J631" s="140"/>
      <c r="K631" s="140"/>
      <c r="L631" s="140"/>
      <c r="M631" s="140"/>
      <c r="N631" s="140"/>
      <c r="O631" s="140"/>
      <c r="P631" s="140"/>
      <c r="Q631" s="140"/>
      <c r="R631" s="140"/>
      <c r="S631" s="150"/>
      <c r="T631" s="150"/>
      <c r="U631" s="140"/>
      <c r="V631" s="140"/>
      <c r="W631" s="140"/>
      <c r="X631" s="140"/>
      <c r="Y631" s="140"/>
      <c r="Z631" s="140"/>
      <c r="AA631" s="140"/>
      <c r="AB631" s="140"/>
      <c r="AC631" s="140"/>
      <c r="AD631" s="140"/>
      <c r="AE631" s="140"/>
      <c r="AF631" s="140"/>
      <c r="AG631" s="140"/>
      <c r="AH631" s="140"/>
      <c r="AI631" s="140"/>
      <c r="AJ631" s="140"/>
      <c r="AK631" s="140"/>
      <c r="AL631" s="140"/>
      <c r="AM631" s="140"/>
      <c r="AN631" s="140"/>
      <c r="AO631" s="140"/>
      <c r="AP631" s="140"/>
      <c r="AQ631" s="140"/>
      <c r="AR631" s="140"/>
      <c r="AS631" s="140"/>
    </row>
    <row r="632">
      <c r="A632" s="149"/>
      <c r="B632" s="140"/>
      <c r="C632" s="140"/>
      <c r="D632" s="140"/>
      <c r="E632" s="140"/>
      <c r="F632" s="140"/>
      <c r="G632" s="140"/>
      <c r="H632" s="140"/>
      <c r="I632" s="140"/>
      <c r="J632" s="140"/>
      <c r="K632" s="140"/>
      <c r="L632" s="140"/>
      <c r="M632" s="140"/>
      <c r="N632" s="140"/>
      <c r="O632" s="140"/>
      <c r="P632" s="140"/>
      <c r="Q632" s="140"/>
      <c r="R632" s="140"/>
      <c r="S632" s="150"/>
      <c r="T632" s="150"/>
      <c r="U632" s="140"/>
      <c r="V632" s="140"/>
      <c r="W632" s="140"/>
      <c r="X632" s="140"/>
      <c r="Y632" s="140"/>
      <c r="Z632" s="140"/>
      <c r="AA632" s="140"/>
      <c r="AB632" s="140"/>
      <c r="AC632" s="140"/>
      <c r="AD632" s="140"/>
      <c r="AE632" s="140"/>
      <c r="AF632" s="140"/>
      <c r="AG632" s="140"/>
      <c r="AH632" s="140"/>
      <c r="AI632" s="140"/>
      <c r="AJ632" s="140"/>
      <c r="AK632" s="140"/>
      <c r="AL632" s="140"/>
      <c r="AM632" s="140"/>
      <c r="AN632" s="140"/>
      <c r="AO632" s="140"/>
      <c r="AP632" s="140"/>
      <c r="AQ632" s="140"/>
      <c r="AR632" s="140"/>
      <c r="AS632" s="140"/>
    </row>
    <row r="633">
      <c r="A633" s="149"/>
      <c r="B633" s="140"/>
      <c r="C633" s="140"/>
      <c r="D633" s="140"/>
      <c r="E633" s="140"/>
      <c r="F633" s="140"/>
      <c r="G633" s="140"/>
      <c r="H633" s="140"/>
      <c r="I633" s="140"/>
      <c r="J633" s="140"/>
      <c r="K633" s="140"/>
      <c r="L633" s="140"/>
      <c r="M633" s="140"/>
      <c r="N633" s="140"/>
      <c r="O633" s="140"/>
      <c r="P633" s="140"/>
      <c r="Q633" s="140"/>
      <c r="R633" s="140"/>
      <c r="S633" s="150"/>
      <c r="T633" s="150"/>
      <c r="U633" s="140"/>
      <c r="V633" s="140"/>
      <c r="W633" s="140"/>
      <c r="X633" s="140"/>
      <c r="Y633" s="140"/>
      <c r="Z633" s="140"/>
      <c r="AA633" s="140"/>
      <c r="AB633" s="140"/>
      <c r="AC633" s="140"/>
      <c r="AD633" s="140"/>
      <c r="AE633" s="140"/>
      <c r="AF633" s="140"/>
      <c r="AG633" s="140"/>
      <c r="AH633" s="140"/>
      <c r="AI633" s="140"/>
      <c r="AJ633" s="140"/>
      <c r="AK633" s="140"/>
      <c r="AL633" s="140"/>
      <c r="AM633" s="140"/>
      <c r="AN633" s="140"/>
      <c r="AO633" s="140"/>
      <c r="AP633" s="140"/>
      <c r="AQ633" s="140"/>
      <c r="AR633" s="140"/>
      <c r="AS633" s="140"/>
    </row>
    <row r="634">
      <c r="A634" s="149"/>
      <c r="B634" s="140"/>
      <c r="C634" s="140"/>
      <c r="D634" s="140"/>
      <c r="E634" s="140"/>
      <c r="F634" s="140"/>
      <c r="G634" s="140"/>
      <c r="H634" s="140"/>
      <c r="I634" s="140"/>
      <c r="J634" s="140"/>
      <c r="K634" s="140"/>
      <c r="L634" s="140"/>
      <c r="M634" s="140"/>
      <c r="N634" s="140"/>
      <c r="O634" s="140"/>
      <c r="P634" s="140"/>
      <c r="Q634" s="140"/>
      <c r="R634" s="140"/>
      <c r="S634" s="150"/>
      <c r="T634" s="150"/>
      <c r="U634" s="140"/>
      <c r="V634" s="140"/>
      <c r="W634" s="140"/>
      <c r="X634" s="140"/>
      <c r="Y634" s="140"/>
      <c r="Z634" s="140"/>
      <c r="AA634" s="140"/>
      <c r="AB634" s="140"/>
      <c r="AC634" s="140"/>
      <c r="AD634" s="140"/>
      <c r="AE634" s="140"/>
      <c r="AF634" s="140"/>
      <c r="AG634" s="140"/>
      <c r="AH634" s="140"/>
      <c r="AI634" s="140"/>
      <c r="AJ634" s="140"/>
      <c r="AK634" s="140"/>
      <c r="AL634" s="140"/>
      <c r="AM634" s="140"/>
      <c r="AN634" s="140"/>
      <c r="AO634" s="140"/>
      <c r="AP634" s="140"/>
      <c r="AQ634" s="140"/>
      <c r="AR634" s="140"/>
      <c r="AS634" s="140"/>
    </row>
    <row r="635">
      <c r="A635" s="149"/>
      <c r="B635" s="140"/>
      <c r="C635" s="140"/>
      <c r="D635" s="140"/>
      <c r="E635" s="140"/>
      <c r="F635" s="140"/>
      <c r="G635" s="140"/>
      <c r="H635" s="140"/>
      <c r="I635" s="140"/>
      <c r="J635" s="140"/>
      <c r="K635" s="140"/>
      <c r="L635" s="140"/>
      <c r="M635" s="140"/>
      <c r="N635" s="140"/>
      <c r="O635" s="140"/>
      <c r="P635" s="140"/>
      <c r="Q635" s="140"/>
      <c r="R635" s="140"/>
      <c r="S635" s="150"/>
      <c r="T635" s="150"/>
      <c r="U635" s="140"/>
      <c r="V635" s="140"/>
      <c r="W635" s="140"/>
      <c r="X635" s="140"/>
      <c r="Y635" s="140"/>
      <c r="Z635" s="140"/>
      <c r="AA635" s="140"/>
      <c r="AB635" s="140"/>
      <c r="AC635" s="140"/>
      <c r="AD635" s="140"/>
      <c r="AE635" s="140"/>
      <c r="AF635" s="140"/>
      <c r="AG635" s="140"/>
      <c r="AH635" s="140"/>
      <c r="AI635" s="140"/>
      <c r="AJ635" s="140"/>
      <c r="AK635" s="140"/>
      <c r="AL635" s="140"/>
      <c r="AM635" s="140"/>
      <c r="AN635" s="140"/>
      <c r="AO635" s="140"/>
      <c r="AP635" s="140"/>
      <c r="AQ635" s="140"/>
      <c r="AR635" s="140"/>
      <c r="AS635" s="140"/>
    </row>
    <row r="636">
      <c r="A636" s="149"/>
      <c r="B636" s="140"/>
      <c r="C636" s="140"/>
      <c r="D636" s="140"/>
      <c r="E636" s="140"/>
      <c r="F636" s="140"/>
      <c r="G636" s="140"/>
      <c r="H636" s="140"/>
      <c r="I636" s="140"/>
      <c r="J636" s="140"/>
      <c r="K636" s="140"/>
      <c r="L636" s="140"/>
      <c r="M636" s="140"/>
      <c r="N636" s="140"/>
      <c r="O636" s="140"/>
      <c r="P636" s="140"/>
      <c r="Q636" s="140"/>
      <c r="R636" s="140"/>
      <c r="S636" s="150"/>
      <c r="T636" s="150"/>
      <c r="U636" s="140"/>
      <c r="V636" s="140"/>
      <c r="W636" s="140"/>
      <c r="X636" s="140"/>
      <c r="Y636" s="140"/>
      <c r="Z636" s="140"/>
      <c r="AA636" s="140"/>
      <c r="AB636" s="140"/>
      <c r="AC636" s="140"/>
      <c r="AD636" s="140"/>
      <c r="AE636" s="140"/>
      <c r="AF636" s="140"/>
      <c r="AG636" s="140"/>
      <c r="AH636" s="140"/>
      <c r="AI636" s="140"/>
      <c r="AJ636" s="140"/>
      <c r="AK636" s="140"/>
      <c r="AL636" s="140"/>
      <c r="AM636" s="140"/>
      <c r="AN636" s="140"/>
      <c r="AO636" s="140"/>
      <c r="AP636" s="140"/>
      <c r="AQ636" s="140"/>
      <c r="AR636" s="140"/>
      <c r="AS636" s="140"/>
    </row>
    <row r="637">
      <c r="A637" s="149"/>
      <c r="B637" s="140"/>
      <c r="C637" s="140"/>
      <c r="D637" s="140"/>
      <c r="E637" s="140"/>
      <c r="F637" s="140"/>
      <c r="G637" s="140"/>
      <c r="H637" s="140"/>
      <c r="I637" s="140"/>
      <c r="J637" s="140"/>
      <c r="K637" s="140"/>
      <c r="L637" s="140"/>
      <c r="M637" s="140"/>
      <c r="N637" s="140"/>
      <c r="O637" s="140"/>
      <c r="P637" s="140"/>
      <c r="Q637" s="140"/>
      <c r="R637" s="140"/>
      <c r="S637" s="150"/>
      <c r="T637" s="150"/>
      <c r="U637" s="140"/>
      <c r="V637" s="140"/>
      <c r="W637" s="140"/>
      <c r="X637" s="140"/>
      <c r="Y637" s="140"/>
      <c r="Z637" s="140"/>
      <c r="AA637" s="140"/>
      <c r="AB637" s="140"/>
      <c r="AC637" s="140"/>
      <c r="AD637" s="140"/>
      <c r="AE637" s="140"/>
      <c r="AF637" s="140"/>
      <c r="AG637" s="140"/>
      <c r="AH637" s="140"/>
      <c r="AI637" s="140"/>
      <c r="AJ637" s="140"/>
      <c r="AK637" s="140"/>
      <c r="AL637" s="140"/>
      <c r="AM637" s="140"/>
      <c r="AN637" s="140"/>
      <c r="AO637" s="140"/>
      <c r="AP637" s="140"/>
      <c r="AQ637" s="140"/>
      <c r="AR637" s="140"/>
      <c r="AS637" s="140"/>
    </row>
    <row r="638">
      <c r="A638" s="149"/>
      <c r="B638" s="140"/>
      <c r="C638" s="140"/>
      <c r="D638" s="140"/>
      <c r="E638" s="140"/>
      <c r="F638" s="140"/>
      <c r="G638" s="140"/>
      <c r="H638" s="140"/>
      <c r="I638" s="140"/>
      <c r="J638" s="140"/>
      <c r="K638" s="140"/>
      <c r="L638" s="140"/>
      <c r="M638" s="140"/>
      <c r="N638" s="140"/>
      <c r="O638" s="140"/>
      <c r="P638" s="140"/>
      <c r="Q638" s="140"/>
      <c r="R638" s="140"/>
      <c r="S638" s="150"/>
      <c r="T638" s="150"/>
      <c r="U638" s="140"/>
      <c r="V638" s="140"/>
      <c r="W638" s="140"/>
      <c r="X638" s="140"/>
      <c r="Y638" s="140"/>
      <c r="Z638" s="140"/>
      <c r="AA638" s="140"/>
      <c r="AB638" s="140"/>
      <c r="AC638" s="140"/>
      <c r="AD638" s="140"/>
      <c r="AE638" s="140"/>
      <c r="AF638" s="140"/>
      <c r="AG638" s="140"/>
      <c r="AH638" s="140"/>
      <c r="AI638" s="140"/>
      <c r="AJ638" s="140"/>
      <c r="AK638" s="140"/>
      <c r="AL638" s="140"/>
      <c r="AM638" s="140"/>
      <c r="AN638" s="140"/>
      <c r="AO638" s="140"/>
      <c r="AP638" s="140"/>
      <c r="AQ638" s="140"/>
      <c r="AR638" s="140"/>
      <c r="AS638" s="140"/>
    </row>
    <row r="639">
      <c r="A639" s="149"/>
      <c r="B639" s="140"/>
      <c r="C639" s="140"/>
      <c r="D639" s="140"/>
      <c r="E639" s="140"/>
      <c r="F639" s="140"/>
      <c r="G639" s="140"/>
      <c r="H639" s="140"/>
      <c r="I639" s="140"/>
      <c r="J639" s="140"/>
      <c r="K639" s="140"/>
      <c r="L639" s="140"/>
      <c r="M639" s="140"/>
      <c r="N639" s="140"/>
      <c r="O639" s="140"/>
      <c r="P639" s="140"/>
      <c r="Q639" s="140"/>
      <c r="R639" s="140"/>
      <c r="S639" s="150"/>
      <c r="T639" s="150"/>
      <c r="U639" s="140"/>
      <c r="V639" s="140"/>
      <c r="W639" s="140"/>
      <c r="X639" s="140"/>
      <c r="Y639" s="140"/>
      <c r="Z639" s="140"/>
      <c r="AA639" s="140"/>
      <c r="AB639" s="140"/>
      <c r="AC639" s="140"/>
      <c r="AD639" s="140"/>
      <c r="AE639" s="140"/>
      <c r="AF639" s="140"/>
      <c r="AG639" s="140"/>
      <c r="AH639" s="140"/>
      <c r="AI639" s="140"/>
      <c r="AJ639" s="140"/>
      <c r="AK639" s="140"/>
      <c r="AL639" s="140"/>
      <c r="AM639" s="140"/>
      <c r="AN639" s="140"/>
      <c r="AO639" s="140"/>
      <c r="AP639" s="140"/>
      <c r="AQ639" s="140"/>
      <c r="AR639" s="140"/>
      <c r="AS639" s="140"/>
    </row>
    <row r="640">
      <c r="A640" s="149"/>
      <c r="B640" s="140"/>
      <c r="C640" s="140"/>
      <c r="D640" s="140"/>
      <c r="E640" s="140"/>
      <c r="F640" s="140"/>
      <c r="G640" s="140"/>
      <c r="H640" s="140"/>
      <c r="I640" s="140"/>
      <c r="J640" s="140"/>
      <c r="K640" s="140"/>
      <c r="L640" s="140"/>
      <c r="M640" s="140"/>
      <c r="N640" s="140"/>
      <c r="O640" s="140"/>
      <c r="P640" s="140"/>
      <c r="Q640" s="140"/>
      <c r="R640" s="140"/>
      <c r="S640" s="150"/>
      <c r="T640" s="150"/>
      <c r="U640" s="140"/>
      <c r="V640" s="140"/>
      <c r="W640" s="140"/>
      <c r="X640" s="140"/>
      <c r="Y640" s="140"/>
      <c r="Z640" s="140"/>
      <c r="AA640" s="140"/>
      <c r="AB640" s="140"/>
      <c r="AC640" s="140"/>
      <c r="AD640" s="140"/>
      <c r="AE640" s="140"/>
      <c r="AF640" s="140"/>
      <c r="AG640" s="140"/>
      <c r="AH640" s="140"/>
      <c r="AI640" s="140"/>
      <c r="AJ640" s="140"/>
      <c r="AK640" s="140"/>
      <c r="AL640" s="140"/>
      <c r="AM640" s="140"/>
      <c r="AN640" s="140"/>
      <c r="AO640" s="140"/>
      <c r="AP640" s="140"/>
      <c r="AQ640" s="140"/>
      <c r="AR640" s="140"/>
      <c r="AS640" s="140"/>
    </row>
    <row r="641">
      <c r="A641" s="149"/>
      <c r="B641" s="140"/>
      <c r="C641" s="140"/>
      <c r="D641" s="140"/>
      <c r="E641" s="140"/>
      <c r="F641" s="140"/>
      <c r="G641" s="140"/>
      <c r="H641" s="140"/>
      <c r="I641" s="140"/>
      <c r="J641" s="140"/>
      <c r="K641" s="140"/>
      <c r="L641" s="140"/>
      <c r="M641" s="140"/>
      <c r="N641" s="140"/>
      <c r="O641" s="140"/>
      <c r="P641" s="140"/>
      <c r="Q641" s="140"/>
      <c r="R641" s="140"/>
      <c r="S641" s="150"/>
      <c r="T641" s="150"/>
      <c r="U641" s="140"/>
      <c r="V641" s="140"/>
      <c r="W641" s="140"/>
      <c r="X641" s="140"/>
      <c r="Y641" s="140"/>
      <c r="Z641" s="140"/>
      <c r="AA641" s="140"/>
      <c r="AB641" s="140"/>
      <c r="AC641" s="140"/>
      <c r="AD641" s="140"/>
      <c r="AE641" s="140"/>
      <c r="AF641" s="140"/>
      <c r="AG641" s="140"/>
      <c r="AH641" s="140"/>
      <c r="AI641" s="140"/>
      <c r="AJ641" s="140"/>
      <c r="AK641" s="140"/>
      <c r="AL641" s="140"/>
      <c r="AM641" s="140"/>
      <c r="AN641" s="140"/>
      <c r="AO641" s="140"/>
      <c r="AP641" s="140"/>
      <c r="AQ641" s="140"/>
      <c r="AR641" s="140"/>
      <c r="AS641" s="140"/>
    </row>
    <row r="642">
      <c r="A642" s="149"/>
      <c r="B642" s="140"/>
      <c r="C642" s="140"/>
      <c r="D642" s="140"/>
      <c r="E642" s="140"/>
      <c r="F642" s="140"/>
      <c r="G642" s="140"/>
      <c r="H642" s="140"/>
      <c r="I642" s="140"/>
      <c r="J642" s="140"/>
      <c r="K642" s="140"/>
      <c r="L642" s="140"/>
      <c r="M642" s="140"/>
      <c r="N642" s="140"/>
      <c r="O642" s="140"/>
      <c r="P642" s="140"/>
      <c r="Q642" s="140"/>
      <c r="R642" s="140"/>
      <c r="S642" s="150"/>
      <c r="T642" s="150"/>
      <c r="U642" s="140"/>
      <c r="V642" s="140"/>
      <c r="W642" s="140"/>
      <c r="X642" s="140"/>
      <c r="Y642" s="140"/>
      <c r="Z642" s="140"/>
      <c r="AA642" s="140"/>
      <c r="AB642" s="140"/>
      <c r="AC642" s="140"/>
      <c r="AD642" s="140"/>
      <c r="AE642" s="140"/>
      <c r="AF642" s="140"/>
      <c r="AG642" s="140"/>
      <c r="AH642" s="140"/>
      <c r="AI642" s="140"/>
      <c r="AJ642" s="140"/>
      <c r="AK642" s="140"/>
      <c r="AL642" s="140"/>
      <c r="AM642" s="140"/>
      <c r="AN642" s="140"/>
      <c r="AO642" s="140"/>
      <c r="AP642" s="140"/>
      <c r="AQ642" s="140"/>
      <c r="AR642" s="140"/>
      <c r="AS642" s="140"/>
    </row>
    <row r="643">
      <c r="A643" s="149"/>
      <c r="B643" s="140"/>
      <c r="C643" s="140"/>
      <c r="D643" s="140"/>
      <c r="E643" s="140"/>
      <c r="F643" s="140"/>
      <c r="G643" s="140"/>
      <c r="H643" s="140"/>
      <c r="I643" s="140"/>
      <c r="J643" s="140"/>
      <c r="K643" s="140"/>
      <c r="L643" s="140"/>
      <c r="M643" s="140"/>
      <c r="N643" s="140"/>
      <c r="O643" s="140"/>
      <c r="P643" s="140"/>
      <c r="Q643" s="140"/>
      <c r="R643" s="140"/>
      <c r="S643" s="150"/>
      <c r="T643" s="150"/>
      <c r="U643" s="140"/>
      <c r="V643" s="140"/>
      <c r="W643" s="140"/>
      <c r="X643" s="140"/>
      <c r="Y643" s="140"/>
      <c r="Z643" s="140"/>
      <c r="AA643" s="140"/>
      <c r="AB643" s="140"/>
      <c r="AC643" s="140"/>
      <c r="AD643" s="140"/>
      <c r="AE643" s="140"/>
      <c r="AF643" s="140"/>
      <c r="AG643" s="140"/>
      <c r="AH643" s="140"/>
      <c r="AI643" s="140"/>
      <c r="AJ643" s="140"/>
      <c r="AK643" s="140"/>
      <c r="AL643" s="140"/>
      <c r="AM643" s="140"/>
      <c r="AN643" s="140"/>
      <c r="AO643" s="140"/>
      <c r="AP643" s="140"/>
      <c r="AQ643" s="140"/>
      <c r="AR643" s="140"/>
      <c r="AS643" s="140"/>
    </row>
    <row r="644">
      <c r="A644" s="149"/>
      <c r="B644" s="140"/>
      <c r="C644" s="140"/>
      <c r="D644" s="140"/>
      <c r="E644" s="140"/>
      <c r="F644" s="140"/>
      <c r="G644" s="140"/>
      <c r="H644" s="140"/>
      <c r="I644" s="140"/>
      <c r="J644" s="140"/>
      <c r="K644" s="140"/>
      <c r="L644" s="140"/>
      <c r="M644" s="140"/>
      <c r="N644" s="140"/>
      <c r="O644" s="140"/>
      <c r="P644" s="140"/>
      <c r="Q644" s="140"/>
      <c r="R644" s="140"/>
      <c r="S644" s="150"/>
      <c r="T644" s="150"/>
      <c r="U644" s="140"/>
      <c r="V644" s="140"/>
      <c r="W644" s="140"/>
      <c r="X644" s="140"/>
      <c r="Y644" s="140"/>
      <c r="Z644" s="140"/>
      <c r="AA644" s="140"/>
      <c r="AB644" s="140"/>
      <c r="AC644" s="140"/>
      <c r="AD644" s="140"/>
      <c r="AE644" s="140"/>
      <c r="AF644" s="140"/>
      <c r="AG644" s="140"/>
      <c r="AH644" s="140"/>
      <c r="AI644" s="140"/>
      <c r="AJ644" s="140"/>
      <c r="AK644" s="140"/>
      <c r="AL644" s="140"/>
      <c r="AM644" s="140"/>
      <c r="AN644" s="140"/>
      <c r="AO644" s="140"/>
      <c r="AP644" s="140"/>
      <c r="AQ644" s="140"/>
      <c r="AR644" s="140"/>
      <c r="AS644" s="140"/>
    </row>
    <row r="645">
      <c r="A645" s="149"/>
      <c r="B645" s="140"/>
      <c r="C645" s="140"/>
      <c r="D645" s="140"/>
      <c r="E645" s="140"/>
      <c r="F645" s="140"/>
      <c r="G645" s="140"/>
      <c r="H645" s="140"/>
      <c r="I645" s="140"/>
      <c r="J645" s="140"/>
      <c r="K645" s="140"/>
      <c r="L645" s="140"/>
      <c r="M645" s="140"/>
      <c r="N645" s="140"/>
      <c r="O645" s="140"/>
      <c r="P645" s="140"/>
      <c r="Q645" s="140"/>
      <c r="R645" s="140"/>
      <c r="S645" s="150"/>
      <c r="T645" s="150"/>
      <c r="U645" s="140"/>
      <c r="V645" s="140"/>
      <c r="W645" s="140"/>
      <c r="X645" s="140"/>
      <c r="Y645" s="140"/>
      <c r="Z645" s="140"/>
      <c r="AA645" s="140"/>
      <c r="AB645" s="140"/>
      <c r="AC645" s="140"/>
      <c r="AD645" s="140"/>
      <c r="AE645" s="140"/>
      <c r="AF645" s="140"/>
      <c r="AG645" s="140"/>
      <c r="AH645" s="140"/>
      <c r="AI645" s="140"/>
      <c r="AJ645" s="140"/>
      <c r="AK645" s="140"/>
      <c r="AL645" s="140"/>
      <c r="AM645" s="140"/>
      <c r="AN645" s="140"/>
      <c r="AO645" s="140"/>
      <c r="AP645" s="140"/>
      <c r="AQ645" s="140"/>
      <c r="AR645" s="140"/>
      <c r="AS645" s="140"/>
    </row>
    <row r="646">
      <c r="A646" s="149"/>
      <c r="B646" s="140"/>
      <c r="C646" s="140"/>
      <c r="D646" s="140"/>
      <c r="E646" s="140"/>
      <c r="F646" s="140"/>
      <c r="G646" s="140"/>
      <c r="H646" s="140"/>
      <c r="I646" s="140"/>
      <c r="J646" s="140"/>
      <c r="K646" s="140"/>
      <c r="L646" s="140"/>
      <c r="M646" s="140"/>
      <c r="N646" s="140"/>
      <c r="O646" s="140"/>
      <c r="P646" s="140"/>
      <c r="Q646" s="140"/>
      <c r="R646" s="140"/>
      <c r="S646" s="150"/>
      <c r="T646" s="150"/>
      <c r="U646" s="140"/>
      <c r="V646" s="140"/>
      <c r="W646" s="140"/>
      <c r="X646" s="140"/>
      <c r="Y646" s="140"/>
      <c r="Z646" s="140"/>
      <c r="AA646" s="140"/>
      <c r="AB646" s="140"/>
      <c r="AC646" s="140"/>
      <c r="AD646" s="140"/>
      <c r="AE646" s="140"/>
      <c r="AF646" s="140"/>
      <c r="AG646" s="140"/>
      <c r="AH646" s="140"/>
      <c r="AI646" s="140"/>
      <c r="AJ646" s="140"/>
      <c r="AK646" s="140"/>
      <c r="AL646" s="140"/>
      <c r="AM646" s="140"/>
      <c r="AN646" s="140"/>
      <c r="AO646" s="140"/>
      <c r="AP646" s="140"/>
      <c r="AQ646" s="140"/>
      <c r="AR646" s="140"/>
      <c r="AS646" s="140"/>
    </row>
    <row r="647">
      <c r="A647" s="149"/>
      <c r="B647" s="140"/>
      <c r="C647" s="140"/>
      <c r="D647" s="140"/>
      <c r="E647" s="140"/>
      <c r="F647" s="140"/>
      <c r="G647" s="140"/>
      <c r="H647" s="140"/>
      <c r="I647" s="140"/>
      <c r="J647" s="140"/>
      <c r="K647" s="140"/>
      <c r="L647" s="140"/>
      <c r="M647" s="140"/>
      <c r="N647" s="140"/>
      <c r="O647" s="140"/>
      <c r="P647" s="140"/>
      <c r="Q647" s="140"/>
      <c r="R647" s="140"/>
      <c r="S647" s="150"/>
      <c r="T647" s="150"/>
      <c r="U647" s="140"/>
      <c r="V647" s="140"/>
      <c r="W647" s="140"/>
      <c r="X647" s="140"/>
      <c r="Y647" s="140"/>
      <c r="Z647" s="140"/>
      <c r="AA647" s="140"/>
      <c r="AB647" s="140"/>
      <c r="AC647" s="140"/>
      <c r="AD647" s="140"/>
      <c r="AE647" s="140"/>
      <c r="AF647" s="140"/>
      <c r="AG647" s="140"/>
      <c r="AH647" s="140"/>
      <c r="AI647" s="140"/>
      <c r="AJ647" s="140"/>
      <c r="AK647" s="140"/>
      <c r="AL647" s="140"/>
      <c r="AM647" s="140"/>
      <c r="AN647" s="140"/>
      <c r="AO647" s="140"/>
      <c r="AP647" s="140"/>
      <c r="AQ647" s="140"/>
      <c r="AR647" s="140"/>
      <c r="AS647" s="140"/>
    </row>
    <row r="648">
      <c r="A648" s="149"/>
      <c r="B648" s="140"/>
      <c r="C648" s="140"/>
      <c r="D648" s="140"/>
      <c r="E648" s="140"/>
      <c r="F648" s="140"/>
      <c r="G648" s="140"/>
      <c r="H648" s="140"/>
      <c r="I648" s="140"/>
      <c r="J648" s="140"/>
      <c r="K648" s="140"/>
      <c r="L648" s="140"/>
      <c r="M648" s="140"/>
      <c r="N648" s="140"/>
      <c r="O648" s="140"/>
      <c r="P648" s="140"/>
      <c r="Q648" s="140"/>
      <c r="R648" s="140"/>
      <c r="S648" s="150"/>
      <c r="T648" s="150"/>
      <c r="U648" s="140"/>
      <c r="V648" s="140"/>
      <c r="W648" s="140"/>
      <c r="X648" s="140"/>
      <c r="Y648" s="140"/>
      <c r="Z648" s="140"/>
      <c r="AA648" s="140"/>
      <c r="AB648" s="140"/>
      <c r="AC648" s="140"/>
      <c r="AD648" s="140"/>
      <c r="AE648" s="140"/>
      <c r="AF648" s="140"/>
      <c r="AG648" s="140"/>
      <c r="AH648" s="140"/>
      <c r="AI648" s="140"/>
      <c r="AJ648" s="140"/>
      <c r="AK648" s="140"/>
      <c r="AL648" s="140"/>
      <c r="AM648" s="140"/>
      <c r="AN648" s="140"/>
      <c r="AO648" s="140"/>
      <c r="AP648" s="140"/>
      <c r="AQ648" s="140"/>
      <c r="AR648" s="140"/>
      <c r="AS648" s="140"/>
    </row>
    <row r="649">
      <c r="A649" s="149"/>
      <c r="B649" s="140"/>
      <c r="C649" s="140"/>
      <c r="D649" s="140"/>
      <c r="E649" s="140"/>
      <c r="F649" s="140"/>
      <c r="G649" s="140"/>
      <c r="H649" s="140"/>
      <c r="I649" s="140"/>
      <c r="J649" s="140"/>
      <c r="K649" s="140"/>
      <c r="L649" s="140"/>
      <c r="M649" s="140"/>
      <c r="N649" s="140"/>
      <c r="O649" s="140"/>
      <c r="P649" s="140"/>
      <c r="Q649" s="140"/>
      <c r="R649" s="140"/>
      <c r="S649" s="150"/>
      <c r="T649" s="150"/>
      <c r="U649" s="140"/>
      <c r="V649" s="140"/>
      <c r="W649" s="140"/>
      <c r="X649" s="140"/>
      <c r="Y649" s="140"/>
      <c r="Z649" s="140"/>
      <c r="AA649" s="140"/>
      <c r="AB649" s="140"/>
      <c r="AC649" s="140"/>
      <c r="AD649" s="140"/>
      <c r="AE649" s="140"/>
      <c r="AF649" s="140"/>
      <c r="AG649" s="140"/>
      <c r="AH649" s="140"/>
      <c r="AI649" s="140"/>
      <c r="AJ649" s="140"/>
      <c r="AK649" s="140"/>
      <c r="AL649" s="140"/>
      <c r="AM649" s="140"/>
      <c r="AN649" s="140"/>
      <c r="AO649" s="140"/>
      <c r="AP649" s="140"/>
      <c r="AQ649" s="140"/>
      <c r="AR649" s="140"/>
      <c r="AS649" s="140"/>
    </row>
    <row r="650">
      <c r="A650" s="149"/>
      <c r="B650" s="140"/>
      <c r="C650" s="140"/>
      <c r="D650" s="140"/>
      <c r="E650" s="140"/>
      <c r="F650" s="140"/>
      <c r="G650" s="140"/>
      <c r="H650" s="140"/>
      <c r="I650" s="140"/>
      <c r="J650" s="140"/>
      <c r="K650" s="140"/>
      <c r="L650" s="140"/>
      <c r="M650" s="140"/>
      <c r="N650" s="140"/>
      <c r="O650" s="140"/>
      <c r="P650" s="140"/>
      <c r="Q650" s="140"/>
      <c r="R650" s="140"/>
      <c r="S650" s="150"/>
      <c r="T650" s="150"/>
      <c r="U650" s="140"/>
      <c r="V650" s="140"/>
      <c r="W650" s="140"/>
      <c r="X650" s="140"/>
      <c r="Y650" s="140"/>
      <c r="Z650" s="140"/>
      <c r="AA650" s="140"/>
      <c r="AB650" s="140"/>
      <c r="AC650" s="140"/>
      <c r="AD650" s="140"/>
      <c r="AE650" s="140"/>
      <c r="AF650" s="140"/>
      <c r="AG650" s="140"/>
      <c r="AH650" s="140"/>
      <c r="AI650" s="140"/>
      <c r="AJ650" s="140"/>
      <c r="AK650" s="140"/>
      <c r="AL650" s="140"/>
      <c r="AM650" s="140"/>
      <c r="AN650" s="140"/>
      <c r="AO650" s="140"/>
      <c r="AP650" s="140"/>
      <c r="AQ650" s="140"/>
      <c r="AR650" s="140"/>
      <c r="AS650" s="140"/>
    </row>
    <row r="651">
      <c r="A651" s="149"/>
      <c r="B651" s="140"/>
      <c r="C651" s="140"/>
      <c r="D651" s="140"/>
      <c r="E651" s="140"/>
      <c r="F651" s="140"/>
      <c r="G651" s="140"/>
      <c r="H651" s="140"/>
      <c r="I651" s="140"/>
      <c r="J651" s="140"/>
      <c r="K651" s="140"/>
      <c r="L651" s="140"/>
      <c r="M651" s="140"/>
      <c r="N651" s="140"/>
      <c r="O651" s="140"/>
      <c r="P651" s="140"/>
      <c r="Q651" s="140"/>
      <c r="R651" s="140"/>
      <c r="S651" s="150"/>
      <c r="T651" s="150"/>
      <c r="U651" s="140"/>
      <c r="V651" s="140"/>
      <c r="W651" s="140"/>
      <c r="X651" s="140"/>
      <c r="Y651" s="140"/>
      <c r="Z651" s="140"/>
      <c r="AA651" s="140"/>
      <c r="AB651" s="140"/>
      <c r="AC651" s="140"/>
      <c r="AD651" s="140"/>
      <c r="AE651" s="140"/>
      <c r="AF651" s="140"/>
      <c r="AG651" s="140"/>
      <c r="AH651" s="140"/>
      <c r="AI651" s="140"/>
      <c r="AJ651" s="140"/>
      <c r="AK651" s="140"/>
      <c r="AL651" s="140"/>
      <c r="AM651" s="140"/>
      <c r="AN651" s="140"/>
      <c r="AO651" s="140"/>
      <c r="AP651" s="140"/>
      <c r="AQ651" s="140"/>
      <c r="AR651" s="140"/>
      <c r="AS651" s="140"/>
    </row>
    <row r="652">
      <c r="A652" s="149"/>
      <c r="B652" s="140"/>
      <c r="C652" s="140"/>
      <c r="D652" s="140"/>
      <c r="E652" s="140"/>
      <c r="F652" s="140"/>
      <c r="G652" s="140"/>
      <c r="H652" s="140"/>
      <c r="I652" s="140"/>
      <c r="J652" s="140"/>
      <c r="K652" s="140"/>
      <c r="L652" s="140"/>
      <c r="M652" s="140"/>
      <c r="N652" s="140"/>
      <c r="O652" s="140"/>
      <c r="P652" s="140"/>
      <c r="Q652" s="140"/>
      <c r="R652" s="140"/>
      <c r="S652" s="150"/>
      <c r="T652" s="150"/>
      <c r="U652" s="140"/>
      <c r="V652" s="140"/>
      <c r="W652" s="140"/>
      <c r="X652" s="140"/>
      <c r="Y652" s="140"/>
      <c r="Z652" s="140"/>
      <c r="AA652" s="140"/>
      <c r="AB652" s="140"/>
      <c r="AC652" s="140"/>
      <c r="AD652" s="140"/>
      <c r="AE652" s="140"/>
      <c r="AF652" s="140"/>
      <c r="AG652" s="140"/>
      <c r="AH652" s="140"/>
      <c r="AI652" s="140"/>
      <c r="AJ652" s="140"/>
      <c r="AK652" s="140"/>
      <c r="AL652" s="140"/>
      <c r="AM652" s="140"/>
      <c r="AN652" s="140"/>
      <c r="AO652" s="140"/>
      <c r="AP652" s="140"/>
      <c r="AQ652" s="140"/>
      <c r="AR652" s="140"/>
      <c r="AS652" s="140"/>
    </row>
    <row r="653">
      <c r="A653" s="149"/>
      <c r="B653" s="140"/>
      <c r="C653" s="140"/>
      <c r="D653" s="140"/>
      <c r="E653" s="140"/>
      <c r="F653" s="140"/>
      <c r="G653" s="140"/>
      <c r="H653" s="140"/>
      <c r="I653" s="140"/>
      <c r="J653" s="140"/>
      <c r="K653" s="140"/>
      <c r="L653" s="140"/>
      <c r="M653" s="140"/>
      <c r="N653" s="140"/>
      <c r="O653" s="140"/>
      <c r="P653" s="140"/>
      <c r="Q653" s="140"/>
      <c r="R653" s="140"/>
      <c r="S653" s="150"/>
      <c r="T653" s="150"/>
      <c r="U653" s="140"/>
      <c r="V653" s="140"/>
      <c r="W653" s="140"/>
      <c r="X653" s="140"/>
      <c r="Y653" s="140"/>
      <c r="Z653" s="140"/>
      <c r="AA653" s="140"/>
      <c r="AB653" s="140"/>
      <c r="AC653" s="140"/>
      <c r="AD653" s="140"/>
      <c r="AE653" s="140"/>
      <c r="AF653" s="140"/>
      <c r="AG653" s="140"/>
      <c r="AH653" s="140"/>
      <c r="AI653" s="140"/>
      <c r="AJ653" s="140"/>
      <c r="AK653" s="140"/>
      <c r="AL653" s="140"/>
      <c r="AM653" s="140"/>
      <c r="AN653" s="140"/>
      <c r="AO653" s="140"/>
      <c r="AP653" s="140"/>
      <c r="AQ653" s="140"/>
      <c r="AR653" s="140"/>
      <c r="AS653" s="140"/>
    </row>
    <row r="654">
      <c r="A654" s="149"/>
      <c r="B654" s="140"/>
      <c r="C654" s="140"/>
      <c r="D654" s="140"/>
      <c r="E654" s="140"/>
      <c r="F654" s="140"/>
      <c r="G654" s="140"/>
      <c r="H654" s="140"/>
      <c r="I654" s="140"/>
      <c r="J654" s="140"/>
      <c r="K654" s="140"/>
      <c r="L654" s="140"/>
      <c r="M654" s="140"/>
      <c r="N654" s="140"/>
      <c r="O654" s="140"/>
      <c r="P654" s="140"/>
      <c r="Q654" s="140"/>
      <c r="R654" s="140"/>
      <c r="S654" s="150"/>
      <c r="T654" s="150"/>
      <c r="U654" s="140"/>
      <c r="V654" s="140"/>
      <c r="W654" s="140"/>
      <c r="X654" s="140"/>
      <c r="Y654" s="140"/>
      <c r="Z654" s="140"/>
      <c r="AA654" s="140"/>
      <c r="AB654" s="140"/>
      <c r="AC654" s="140"/>
      <c r="AD654" s="140"/>
      <c r="AE654" s="140"/>
      <c r="AF654" s="140"/>
      <c r="AG654" s="140"/>
      <c r="AH654" s="140"/>
      <c r="AI654" s="140"/>
      <c r="AJ654" s="140"/>
      <c r="AK654" s="140"/>
      <c r="AL654" s="140"/>
      <c r="AM654" s="140"/>
      <c r="AN654" s="140"/>
      <c r="AO654" s="140"/>
      <c r="AP654" s="140"/>
      <c r="AQ654" s="140"/>
      <c r="AR654" s="140"/>
      <c r="AS654" s="140"/>
    </row>
    <row r="655">
      <c r="A655" s="149"/>
      <c r="B655" s="140"/>
      <c r="C655" s="140"/>
      <c r="D655" s="140"/>
      <c r="E655" s="140"/>
      <c r="F655" s="140"/>
      <c r="G655" s="140"/>
      <c r="H655" s="140"/>
      <c r="I655" s="140"/>
      <c r="J655" s="140"/>
      <c r="K655" s="140"/>
      <c r="L655" s="140"/>
      <c r="M655" s="140"/>
      <c r="N655" s="140"/>
      <c r="O655" s="140"/>
      <c r="P655" s="140"/>
      <c r="Q655" s="140"/>
      <c r="R655" s="140"/>
      <c r="S655" s="150"/>
      <c r="T655" s="150"/>
      <c r="U655" s="140"/>
      <c r="V655" s="140"/>
      <c r="W655" s="140"/>
      <c r="X655" s="140"/>
      <c r="Y655" s="140"/>
      <c r="Z655" s="140"/>
      <c r="AA655" s="140"/>
      <c r="AB655" s="140"/>
      <c r="AC655" s="140"/>
      <c r="AD655" s="140"/>
      <c r="AE655" s="140"/>
      <c r="AF655" s="140"/>
      <c r="AG655" s="140"/>
      <c r="AH655" s="140"/>
      <c r="AI655" s="140"/>
      <c r="AJ655" s="140"/>
      <c r="AK655" s="140"/>
      <c r="AL655" s="140"/>
      <c r="AM655" s="140"/>
      <c r="AN655" s="140"/>
      <c r="AO655" s="140"/>
      <c r="AP655" s="140"/>
      <c r="AQ655" s="140"/>
      <c r="AR655" s="140"/>
      <c r="AS655" s="140"/>
    </row>
    <row r="656">
      <c r="A656" s="149"/>
      <c r="B656" s="140"/>
      <c r="C656" s="140"/>
      <c r="D656" s="140"/>
      <c r="E656" s="140"/>
      <c r="F656" s="140"/>
      <c r="G656" s="140"/>
      <c r="H656" s="140"/>
      <c r="I656" s="140"/>
      <c r="J656" s="140"/>
      <c r="K656" s="140"/>
      <c r="L656" s="140"/>
      <c r="M656" s="140"/>
      <c r="N656" s="140"/>
      <c r="O656" s="140"/>
      <c r="P656" s="140"/>
      <c r="Q656" s="140"/>
      <c r="R656" s="140"/>
      <c r="S656" s="150"/>
      <c r="T656" s="150"/>
      <c r="U656" s="140"/>
      <c r="V656" s="140"/>
      <c r="W656" s="140"/>
      <c r="X656" s="140"/>
      <c r="Y656" s="140"/>
      <c r="Z656" s="140"/>
      <c r="AA656" s="140"/>
      <c r="AB656" s="140"/>
      <c r="AC656" s="140"/>
      <c r="AD656" s="140"/>
      <c r="AE656" s="140"/>
      <c r="AF656" s="140"/>
      <c r="AG656" s="140"/>
      <c r="AH656" s="140"/>
      <c r="AI656" s="140"/>
      <c r="AJ656" s="140"/>
      <c r="AK656" s="140"/>
      <c r="AL656" s="140"/>
      <c r="AM656" s="140"/>
      <c r="AN656" s="140"/>
      <c r="AO656" s="140"/>
      <c r="AP656" s="140"/>
      <c r="AQ656" s="140"/>
      <c r="AR656" s="140"/>
      <c r="AS656" s="140"/>
    </row>
    <row r="657">
      <c r="A657" s="149"/>
      <c r="B657" s="140"/>
      <c r="C657" s="140"/>
      <c r="D657" s="140"/>
      <c r="E657" s="140"/>
      <c r="F657" s="140"/>
      <c r="G657" s="140"/>
      <c r="H657" s="140"/>
      <c r="I657" s="140"/>
      <c r="J657" s="140"/>
      <c r="K657" s="140"/>
      <c r="L657" s="140"/>
      <c r="M657" s="140"/>
      <c r="N657" s="140"/>
      <c r="O657" s="140"/>
      <c r="P657" s="140"/>
      <c r="Q657" s="140"/>
      <c r="R657" s="140"/>
      <c r="S657" s="150"/>
      <c r="T657" s="150"/>
      <c r="U657" s="140"/>
      <c r="V657" s="140"/>
      <c r="W657" s="140"/>
      <c r="X657" s="140"/>
      <c r="Y657" s="140"/>
      <c r="Z657" s="140"/>
      <c r="AA657" s="140"/>
      <c r="AB657" s="140"/>
      <c r="AC657" s="140"/>
      <c r="AD657" s="140"/>
      <c r="AE657" s="140"/>
      <c r="AF657" s="140"/>
      <c r="AG657" s="140"/>
      <c r="AH657" s="140"/>
      <c r="AI657" s="140"/>
      <c r="AJ657" s="140"/>
      <c r="AK657" s="140"/>
      <c r="AL657" s="140"/>
      <c r="AM657" s="140"/>
      <c r="AN657" s="140"/>
      <c r="AO657" s="140"/>
      <c r="AP657" s="140"/>
      <c r="AQ657" s="140"/>
      <c r="AR657" s="140"/>
      <c r="AS657" s="140"/>
    </row>
    <row r="658">
      <c r="A658" s="149"/>
      <c r="B658" s="140"/>
      <c r="C658" s="140"/>
      <c r="D658" s="140"/>
      <c r="E658" s="140"/>
      <c r="F658" s="140"/>
      <c r="G658" s="140"/>
      <c r="H658" s="140"/>
      <c r="I658" s="140"/>
      <c r="J658" s="140"/>
      <c r="K658" s="140"/>
      <c r="L658" s="140"/>
      <c r="M658" s="140"/>
      <c r="N658" s="140"/>
      <c r="O658" s="140"/>
      <c r="P658" s="140"/>
      <c r="Q658" s="140"/>
      <c r="R658" s="140"/>
      <c r="S658" s="150"/>
      <c r="T658" s="150"/>
      <c r="U658" s="140"/>
      <c r="V658" s="140"/>
      <c r="W658" s="140"/>
      <c r="X658" s="140"/>
      <c r="Y658" s="140"/>
      <c r="Z658" s="140"/>
      <c r="AA658" s="140"/>
      <c r="AB658" s="140"/>
      <c r="AC658" s="140"/>
      <c r="AD658" s="140"/>
      <c r="AE658" s="140"/>
      <c r="AF658" s="140"/>
      <c r="AG658" s="140"/>
      <c r="AH658" s="140"/>
      <c r="AI658" s="140"/>
      <c r="AJ658" s="140"/>
      <c r="AK658" s="140"/>
      <c r="AL658" s="140"/>
      <c r="AM658" s="140"/>
      <c r="AN658" s="140"/>
      <c r="AO658" s="140"/>
      <c r="AP658" s="140"/>
      <c r="AQ658" s="140"/>
      <c r="AR658" s="140"/>
      <c r="AS658" s="140"/>
    </row>
    <row r="659">
      <c r="A659" s="149"/>
      <c r="B659" s="140"/>
      <c r="C659" s="140"/>
      <c r="D659" s="140"/>
      <c r="E659" s="140"/>
      <c r="F659" s="140"/>
      <c r="G659" s="140"/>
      <c r="H659" s="140"/>
      <c r="I659" s="140"/>
      <c r="J659" s="140"/>
      <c r="K659" s="140"/>
      <c r="L659" s="140"/>
      <c r="M659" s="140"/>
      <c r="N659" s="140"/>
      <c r="O659" s="140"/>
      <c r="P659" s="140"/>
      <c r="Q659" s="140"/>
      <c r="R659" s="140"/>
      <c r="S659" s="150"/>
      <c r="T659" s="150"/>
      <c r="U659" s="140"/>
      <c r="V659" s="140"/>
      <c r="W659" s="140"/>
      <c r="X659" s="140"/>
      <c r="Y659" s="140"/>
      <c r="Z659" s="140"/>
      <c r="AA659" s="140"/>
      <c r="AB659" s="140"/>
      <c r="AC659" s="140"/>
      <c r="AD659" s="140"/>
      <c r="AE659" s="140"/>
      <c r="AF659" s="140"/>
      <c r="AG659" s="140"/>
      <c r="AH659" s="140"/>
      <c r="AI659" s="140"/>
      <c r="AJ659" s="140"/>
      <c r="AK659" s="140"/>
      <c r="AL659" s="140"/>
      <c r="AM659" s="140"/>
      <c r="AN659" s="140"/>
      <c r="AO659" s="140"/>
      <c r="AP659" s="140"/>
      <c r="AQ659" s="140"/>
      <c r="AR659" s="140"/>
      <c r="AS659" s="140"/>
    </row>
    <row r="660">
      <c r="A660" s="149"/>
      <c r="B660" s="140"/>
      <c r="C660" s="140"/>
      <c r="D660" s="140"/>
      <c r="E660" s="140"/>
      <c r="F660" s="140"/>
      <c r="G660" s="140"/>
      <c r="H660" s="140"/>
      <c r="I660" s="140"/>
      <c r="J660" s="140"/>
      <c r="K660" s="140"/>
      <c r="L660" s="140"/>
      <c r="M660" s="140"/>
      <c r="N660" s="140"/>
      <c r="O660" s="140"/>
      <c r="P660" s="140"/>
      <c r="Q660" s="140"/>
      <c r="R660" s="140"/>
      <c r="S660" s="150"/>
      <c r="T660" s="150"/>
      <c r="U660" s="140"/>
      <c r="V660" s="140"/>
      <c r="W660" s="140"/>
      <c r="X660" s="140"/>
      <c r="Y660" s="140"/>
      <c r="Z660" s="140"/>
      <c r="AA660" s="140"/>
      <c r="AB660" s="140"/>
      <c r="AC660" s="140"/>
      <c r="AD660" s="140"/>
      <c r="AE660" s="140"/>
      <c r="AF660" s="140"/>
      <c r="AG660" s="140"/>
      <c r="AH660" s="140"/>
      <c r="AI660" s="140"/>
      <c r="AJ660" s="140"/>
      <c r="AK660" s="140"/>
      <c r="AL660" s="140"/>
      <c r="AM660" s="140"/>
      <c r="AN660" s="140"/>
      <c r="AO660" s="140"/>
      <c r="AP660" s="140"/>
      <c r="AQ660" s="140"/>
      <c r="AR660" s="140"/>
      <c r="AS660" s="140"/>
    </row>
    <row r="661">
      <c r="A661" s="149"/>
      <c r="B661" s="140"/>
      <c r="C661" s="140"/>
      <c r="D661" s="140"/>
      <c r="E661" s="140"/>
      <c r="F661" s="140"/>
      <c r="G661" s="140"/>
      <c r="H661" s="140"/>
      <c r="I661" s="140"/>
      <c r="J661" s="140"/>
      <c r="K661" s="140"/>
      <c r="L661" s="140"/>
      <c r="M661" s="140"/>
      <c r="N661" s="140"/>
      <c r="O661" s="140"/>
      <c r="P661" s="140"/>
      <c r="Q661" s="140"/>
      <c r="R661" s="140"/>
      <c r="S661" s="150"/>
      <c r="T661" s="150"/>
      <c r="U661" s="140"/>
      <c r="V661" s="140"/>
      <c r="W661" s="140"/>
      <c r="X661" s="140"/>
      <c r="Y661" s="140"/>
      <c r="Z661" s="140"/>
      <c r="AA661" s="140"/>
      <c r="AB661" s="140"/>
      <c r="AC661" s="140"/>
      <c r="AD661" s="140"/>
      <c r="AE661" s="140"/>
      <c r="AF661" s="140"/>
      <c r="AG661" s="140"/>
      <c r="AH661" s="140"/>
      <c r="AI661" s="140"/>
      <c r="AJ661" s="140"/>
      <c r="AK661" s="140"/>
      <c r="AL661" s="140"/>
      <c r="AM661" s="140"/>
      <c r="AN661" s="140"/>
      <c r="AO661" s="140"/>
      <c r="AP661" s="140"/>
      <c r="AQ661" s="140"/>
      <c r="AR661" s="140"/>
      <c r="AS661" s="140"/>
    </row>
    <row r="662">
      <c r="A662" s="149"/>
      <c r="B662" s="140"/>
      <c r="C662" s="140"/>
      <c r="D662" s="140"/>
      <c r="E662" s="140"/>
      <c r="F662" s="140"/>
      <c r="G662" s="140"/>
      <c r="H662" s="140"/>
      <c r="I662" s="140"/>
      <c r="J662" s="140"/>
      <c r="K662" s="140"/>
      <c r="L662" s="140"/>
      <c r="M662" s="140"/>
      <c r="N662" s="140"/>
      <c r="O662" s="140"/>
      <c r="P662" s="140"/>
      <c r="Q662" s="140"/>
      <c r="R662" s="140"/>
      <c r="S662" s="150"/>
      <c r="T662" s="150"/>
      <c r="U662" s="140"/>
      <c r="V662" s="140"/>
      <c r="W662" s="140"/>
      <c r="X662" s="140"/>
      <c r="Y662" s="140"/>
      <c r="Z662" s="140"/>
      <c r="AA662" s="140"/>
      <c r="AB662" s="140"/>
      <c r="AC662" s="140"/>
      <c r="AD662" s="140"/>
      <c r="AE662" s="140"/>
      <c r="AF662" s="140"/>
      <c r="AG662" s="140"/>
      <c r="AH662" s="140"/>
      <c r="AI662" s="140"/>
      <c r="AJ662" s="140"/>
      <c r="AK662" s="140"/>
      <c r="AL662" s="140"/>
      <c r="AM662" s="140"/>
      <c r="AN662" s="140"/>
      <c r="AO662" s="140"/>
      <c r="AP662" s="140"/>
      <c r="AQ662" s="140"/>
      <c r="AR662" s="140"/>
      <c r="AS662" s="140"/>
    </row>
    <row r="663">
      <c r="A663" s="149"/>
      <c r="B663" s="140"/>
      <c r="C663" s="140"/>
      <c r="D663" s="140"/>
      <c r="E663" s="140"/>
      <c r="F663" s="140"/>
      <c r="G663" s="140"/>
      <c r="H663" s="140"/>
      <c r="I663" s="140"/>
      <c r="J663" s="140"/>
      <c r="K663" s="140"/>
      <c r="L663" s="140"/>
      <c r="M663" s="140"/>
      <c r="N663" s="140"/>
      <c r="O663" s="140"/>
      <c r="P663" s="140"/>
      <c r="Q663" s="140"/>
      <c r="R663" s="140"/>
      <c r="S663" s="150"/>
      <c r="T663" s="150"/>
      <c r="U663" s="140"/>
      <c r="V663" s="140"/>
      <c r="W663" s="140"/>
      <c r="X663" s="140"/>
      <c r="Y663" s="140"/>
      <c r="Z663" s="140"/>
      <c r="AA663" s="140"/>
      <c r="AB663" s="140"/>
      <c r="AC663" s="140"/>
      <c r="AD663" s="140"/>
      <c r="AE663" s="140"/>
      <c r="AF663" s="140"/>
      <c r="AG663" s="140"/>
      <c r="AH663" s="140"/>
      <c r="AI663" s="140"/>
      <c r="AJ663" s="140"/>
      <c r="AK663" s="140"/>
      <c r="AL663" s="140"/>
      <c r="AM663" s="140"/>
      <c r="AN663" s="140"/>
      <c r="AO663" s="140"/>
      <c r="AP663" s="140"/>
      <c r="AQ663" s="140"/>
      <c r="AR663" s="140"/>
      <c r="AS663" s="140"/>
    </row>
    <row r="664">
      <c r="A664" s="149"/>
      <c r="B664" s="140"/>
      <c r="C664" s="140"/>
      <c r="D664" s="140"/>
      <c r="E664" s="140"/>
      <c r="F664" s="140"/>
      <c r="G664" s="140"/>
      <c r="H664" s="140"/>
      <c r="I664" s="140"/>
      <c r="J664" s="140"/>
      <c r="K664" s="140"/>
      <c r="L664" s="140"/>
      <c r="M664" s="140"/>
      <c r="N664" s="140"/>
      <c r="O664" s="140"/>
      <c r="P664" s="140"/>
      <c r="Q664" s="140"/>
      <c r="R664" s="140"/>
      <c r="S664" s="150"/>
      <c r="T664" s="150"/>
      <c r="U664" s="140"/>
      <c r="V664" s="140"/>
      <c r="W664" s="140"/>
      <c r="X664" s="140"/>
      <c r="Y664" s="140"/>
      <c r="Z664" s="140"/>
      <c r="AA664" s="140"/>
      <c r="AB664" s="140"/>
      <c r="AC664" s="140"/>
      <c r="AD664" s="140"/>
      <c r="AE664" s="140"/>
      <c r="AF664" s="140"/>
      <c r="AG664" s="140"/>
      <c r="AH664" s="140"/>
      <c r="AI664" s="140"/>
      <c r="AJ664" s="140"/>
      <c r="AK664" s="140"/>
      <c r="AL664" s="140"/>
      <c r="AM664" s="140"/>
      <c r="AN664" s="140"/>
      <c r="AO664" s="140"/>
      <c r="AP664" s="140"/>
      <c r="AQ664" s="140"/>
      <c r="AR664" s="140"/>
      <c r="AS664" s="140"/>
    </row>
    <row r="665">
      <c r="A665" s="149"/>
      <c r="B665" s="140"/>
      <c r="C665" s="140"/>
      <c r="D665" s="140"/>
      <c r="E665" s="140"/>
      <c r="F665" s="140"/>
      <c r="G665" s="140"/>
      <c r="H665" s="140"/>
      <c r="I665" s="140"/>
      <c r="J665" s="140"/>
      <c r="K665" s="140"/>
      <c r="L665" s="140"/>
      <c r="M665" s="140"/>
      <c r="N665" s="140"/>
      <c r="O665" s="140"/>
      <c r="P665" s="140"/>
      <c r="Q665" s="140"/>
      <c r="R665" s="140"/>
      <c r="S665" s="150"/>
      <c r="T665" s="150"/>
      <c r="U665" s="140"/>
      <c r="V665" s="140"/>
      <c r="W665" s="140"/>
      <c r="X665" s="140"/>
      <c r="Y665" s="140"/>
      <c r="Z665" s="140"/>
      <c r="AA665" s="140"/>
      <c r="AB665" s="140"/>
      <c r="AC665" s="140"/>
      <c r="AD665" s="140"/>
      <c r="AE665" s="140"/>
      <c r="AF665" s="140"/>
      <c r="AG665" s="140"/>
      <c r="AH665" s="140"/>
      <c r="AI665" s="140"/>
      <c r="AJ665" s="140"/>
      <c r="AK665" s="140"/>
      <c r="AL665" s="140"/>
      <c r="AM665" s="140"/>
      <c r="AN665" s="140"/>
      <c r="AO665" s="140"/>
      <c r="AP665" s="140"/>
      <c r="AQ665" s="140"/>
      <c r="AR665" s="140"/>
      <c r="AS665" s="140"/>
    </row>
    <row r="666">
      <c r="A666" s="149"/>
      <c r="B666" s="140"/>
      <c r="C666" s="140"/>
      <c r="D666" s="140"/>
      <c r="E666" s="140"/>
      <c r="F666" s="140"/>
      <c r="G666" s="140"/>
      <c r="H666" s="140"/>
      <c r="I666" s="140"/>
      <c r="J666" s="140"/>
      <c r="K666" s="140"/>
      <c r="L666" s="140"/>
      <c r="M666" s="140"/>
      <c r="N666" s="140"/>
      <c r="O666" s="140"/>
      <c r="P666" s="140"/>
      <c r="Q666" s="140"/>
      <c r="R666" s="140"/>
      <c r="S666" s="150"/>
      <c r="T666" s="150"/>
      <c r="U666" s="140"/>
      <c r="V666" s="140"/>
      <c r="W666" s="140"/>
      <c r="X666" s="140"/>
      <c r="Y666" s="140"/>
      <c r="Z666" s="140"/>
      <c r="AA666" s="140"/>
      <c r="AB666" s="140"/>
      <c r="AC666" s="140"/>
      <c r="AD666" s="140"/>
      <c r="AE666" s="140"/>
      <c r="AF666" s="140"/>
      <c r="AG666" s="140"/>
      <c r="AH666" s="140"/>
      <c r="AI666" s="140"/>
      <c r="AJ666" s="140"/>
      <c r="AK666" s="140"/>
      <c r="AL666" s="140"/>
      <c r="AM666" s="140"/>
      <c r="AN666" s="140"/>
      <c r="AO666" s="140"/>
      <c r="AP666" s="140"/>
      <c r="AQ666" s="140"/>
      <c r="AR666" s="140"/>
      <c r="AS666" s="140"/>
    </row>
    <row r="667">
      <c r="A667" s="149"/>
      <c r="B667" s="140"/>
      <c r="C667" s="140"/>
      <c r="D667" s="140"/>
      <c r="E667" s="140"/>
      <c r="F667" s="140"/>
      <c r="G667" s="140"/>
      <c r="H667" s="140"/>
      <c r="I667" s="140"/>
      <c r="J667" s="140"/>
      <c r="K667" s="140"/>
      <c r="L667" s="140"/>
      <c r="M667" s="140"/>
      <c r="N667" s="140"/>
      <c r="O667" s="140"/>
      <c r="P667" s="140"/>
      <c r="Q667" s="140"/>
      <c r="R667" s="140"/>
      <c r="S667" s="150"/>
      <c r="T667" s="150"/>
      <c r="U667" s="140"/>
      <c r="V667" s="140"/>
      <c r="W667" s="140"/>
      <c r="X667" s="140"/>
      <c r="Y667" s="140"/>
      <c r="Z667" s="140"/>
      <c r="AA667" s="140"/>
      <c r="AB667" s="140"/>
      <c r="AC667" s="140"/>
      <c r="AD667" s="140"/>
      <c r="AE667" s="140"/>
      <c r="AF667" s="140"/>
      <c r="AG667" s="140"/>
      <c r="AH667" s="140"/>
      <c r="AI667" s="140"/>
      <c r="AJ667" s="140"/>
      <c r="AK667" s="140"/>
      <c r="AL667" s="140"/>
      <c r="AM667" s="140"/>
      <c r="AN667" s="140"/>
      <c r="AO667" s="140"/>
      <c r="AP667" s="140"/>
      <c r="AQ667" s="140"/>
      <c r="AR667" s="140"/>
      <c r="AS667" s="140"/>
    </row>
    <row r="668">
      <c r="A668" s="149"/>
      <c r="B668" s="140"/>
      <c r="C668" s="140"/>
      <c r="D668" s="140"/>
      <c r="E668" s="140"/>
      <c r="F668" s="140"/>
      <c r="G668" s="140"/>
      <c r="H668" s="140"/>
      <c r="I668" s="140"/>
      <c r="J668" s="140"/>
      <c r="K668" s="140"/>
      <c r="L668" s="140"/>
      <c r="M668" s="140"/>
      <c r="N668" s="140"/>
      <c r="O668" s="140"/>
      <c r="P668" s="140"/>
      <c r="Q668" s="140"/>
      <c r="R668" s="140"/>
      <c r="S668" s="150"/>
      <c r="T668" s="150"/>
      <c r="U668" s="140"/>
      <c r="V668" s="140"/>
      <c r="W668" s="140"/>
      <c r="X668" s="140"/>
      <c r="Y668" s="140"/>
      <c r="Z668" s="140"/>
      <c r="AA668" s="140"/>
      <c r="AB668" s="140"/>
      <c r="AC668" s="140"/>
      <c r="AD668" s="140"/>
      <c r="AE668" s="140"/>
      <c r="AF668" s="140"/>
      <c r="AG668" s="140"/>
      <c r="AH668" s="140"/>
      <c r="AI668" s="140"/>
      <c r="AJ668" s="140"/>
      <c r="AK668" s="140"/>
      <c r="AL668" s="140"/>
      <c r="AM668" s="140"/>
      <c r="AN668" s="140"/>
      <c r="AO668" s="140"/>
      <c r="AP668" s="140"/>
      <c r="AQ668" s="140"/>
      <c r="AR668" s="140"/>
      <c r="AS668" s="140"/>
    </row>
    <row r="669">
      <c r="A669" s="149"/>
      <c r="B669" s="140"/>
      <c r="C669" s="140"/>
      <c r="D669" s="140"/>
      <c r="E669" s="140"/>
      <c r="F669" s="140"/>
      <c r="G669" s="140"/>
      <c r="H669" s="140"/>
      <c r="I669" s="140"/>
      <c r="J669" s="140"/>
      <c r="K669" s="140"/>
      <c r="L669" s="140"/>
      <c r="M669" s="140"/>
      <c r="N669" s="140"/>
      <c r="O669" s="140"/>
      <c r="P669" s="140"/>
      <c r="Q669" s="140"/>
      <c r="R669" s="140"/>
      <c r="S669" s="150"/>
      <c r="T669" s="150"/>
      <c r="U669" s="140"/>
      <c r="V669" s="140"/>
      <c r="W669" s="140"/>
      <c r="X669" s="140"/>
      <c r="Y669" s="140"/>
      <c r="Z669" s="140"/>
      <c r="AA669" s="140"/>
      <c r="AB669" s="140"/>
      <c r="AC669" s="140"/>
      <c r="AD669" s="140"/>
      <c r="AE669" s="140"/>
      <c r="AF669" s="140"/>
      <c r="AG669" s="140"/>
      <c r="AH669" s="140"/>
      <c r="AI669" s="140"/>
      <c r="AJ669" s="140"/>
      <c r="AK669" s="140"/>
      <c r="AL669" s="140"/>
      <c r="AM669" s="140"/>
      <c r="AN669" s="140"/>
      <c r="AO669" s="140"/>
      <c r="AP669" s="140"/>
      <c r="AQ669" s="140"/>
      <c r="AR669" s="140"/>
      <c r="AS669" s="140"/>
    </row>
    <row r="670">
      <c r="A670" s="149"/>
      <c r="B670" s="140"/>
      <c r="C670" s="140"/>
      <c r="D670" s="140"/>
      <c r="E670" s="140"/>
      <c r="F670" s="140"/>
      <c r="G670" s="140"/>
      <c r="H670" s="140"/>
      <c r="I670" s="140"/>
      <c r="J670" s="140"/>
      <c r="K670" s="140"/>
      <c r="L670" s="140"/>
      <c r="M670" s="140"/>
      <c r="N670" s="140"/>
      <c r="O670" s="140"/>
      <c r="P670" s="140"/>
      <c r="Q670" s="140"/>
      <c r="R670" s="140"/>
      <c r="S670" s="150"/>
      <c r="T670" s="150"/>
      <c r="U670" s="140"/>
      <c r="V670" s="140"/>
      <c r="W670" s="140"/>
      <c r="X670" s="140"/>
      <c r="Y670" s="140"/>
      <c r="Z670" s="140"/>
      <c r="AA670" s="140"/>
      <c r="AB670" s="140"/>
      <c r="AC670" s="140"/>
      <c r="AD670" s="140"/>
      <c r="AE670" s="140"/>
      <c r="AF670" s="140"/>
      <c r="AG670" s="140"/>
      <c r="AH670" s="140"/>
      <c r="AI670" s="140"/>
      <c r="AJ670" s="140"/>
      <c r="AK670" s="140"/>
      <c r="AL670" s="140"/>
      <c r="AM670" s="140"/>
      <c r="AN670" s="140"/>
      <c r="AO670" s="140"/>
      <c r="AP670" s="140"/>
      <c r="AQ670" s="140"/>
      <c r="AR670" s="140"/>
      <c r="AS670" s="140"/>
    </row>
    <row r="671">
      <c r="A671" s="149"/>
      <c r="B671" s="140"/>
      <c r="C671" s="140"/>
      <c r="D671" s="140"/>
      <c r="E671" s="140"/>
      <c r="F671" s="140"/>
      <c r="G671" s="140"/>
      <c r="H671" s="140"/>
      <c r="I671" s="140"/>
      <c r="J671" s="140"/>
      <c r="K671" s="140"/>
      <c r="L671" s="140"/>
      <c r="M671" s="140"/>
      <c r="N671" s="140"/>
      <c r="O671" s="140"/>
      <c r="P671" s="140"/>
      <c r="Q671" s="140"/>
      <c r="R671" s="140"/>
      <c r="S671" s="150"/>
      <c r="T671" s="150"/>
      <c r="U671" s="140"/>
      <c r="V671" s="140"/>
      <c r="W671" s="140"/>
      <c r="X671" s="140"/>
      <c r="Y671" s="140"/>
      <c r="Z671" s="140"/>
      <c r="AA671" s="140"/>
      <c r="AB671" s="140"/>
      <c r="AC671" s="140"/>
      <c r="AD671" s="140"/>
      <c r="AE671" s="140"/>
      <c r="AF671" s="140"/>
      <c r="AG671" s="140"/>
      <c r="AH671" s="140"/>
      <c r="AI671" s="140"/>
      <c r="AJ671" s="140"/>
      <c r="AK671" s="140"/>
      <c r="AL671" s="140"/>
      <c r="AM671" s="140"/>
      <c r="AN671" s="140"/>
      <c r="AO671" s="140"/>
      <c r="AP671" s="140"/>
      <c r="AQ671" s="140"/>
      <c r="AR671" s="140"/>
      <c r="AS671" s="140"/>
    </row>
    <row r="672">
      <c r="A672" s="149"/>
      <c r="B672" s="140"/>
      <c r="C672" s="140"/>
      <c r="D672" s="140"/>
      <c r="E672" s="140"/>
      <c r="F672" s="140"/>
      <c r="G672" s="140"/>
      <c r="H672" s="140"/>
      <c r="I672" s="140"/>
      <c r="J672" s="140"/>
      <c r="K672" s="140"/>
      <c r="L672" s="140"/>
      <c r="M672" s="140"/>
      <c r="N672" s="140"/>
      <c r="O672" s="140"/>
      <c r="P672" s="140"/>
      <c r="Q672" s="140"/>
      <c r="R672" s="140"/>
      <c r="S672" s="150"/>
      <c r="T672" s="150"/>
      <c r="U672" s="140"/>
      <c r="V672" s="140"/>
      <c r="W672" s="140"/>
      <c r="X672" s="140"/>
      <c r="Y672" s="140"/>
      <c r="Z672" s="140"/>
      <c r="AA672" s="140"/>
      <c r="AB672" s="140"/>
      <c r="AC672" s="140"/>
      <c r="AD672" s="140"/>
      <c r="AE672" s="140"/>
      <c r="AF672" s="140"/>
      <c r="AG672" s="140"/>
      <c r="AH672" s="140"/>
      <c r="AI672" s="140"/>
      <c r="AJ672" s="140"/>
      <c r="AK672" s="140"/>
      <c r="AL672" s="140"/>
      <c r="AM672" s="140"/>
      <c r="AN672" s="140"/>
      <c r="AO672" s="140"/>
      <c r="AP672" s="140"/>
      <c r="AQ672" s="140"/>
      <c r="AR672" s="140"/>
      <c r="AS672" s="140"/>
    </row>
    <row r="673">
      <c r="A673" s="149"/>
      <c r="B673" s="140"/>
      <c r="C673" s="140"/>
      <c r="D673" s="140"/>
      <c r="E673" s="140"/>
      <c r="F673" s="140"/>
      <c r="G673" s="140"/>
      <c r="H673" s="140"/>
      <c r="I673" s="140"/>
      <c r="J673" s="140"/>
      <c r="K673" s="140"/>
      <c r="L673" s="140"/>
      <c r="M673" s="140"/>
      <c r="N673" s="140"/>
      <c r="O673" s="140"/>
      <c r="P673" s="140"/>
      <c r="Q673" s="140"/>
      <c r="R673" s="140"/>
      <c r="S673" s="150"/>
      <c r="T673" s="150"/>
      <c r="U673" s="140"/>
      <c r="V673" s="140"/>
      <c r="W673" s="140"/>
      <c r="X673" s="140"/>
      <c r="Y673" s="140"/>
      <c r="Z673" s="140"/>
      <c r="AA673" s="140"/>
      <c r="AB673" s="140"/>
      <c r="AC673" s="140"/>
      <c r="AD673" s="140"/>
      <c r="AE673" s="140"/>
      <c r="AF673" s="140"/>
      <c r="AG673" s="140"/>
      <c r="AH673" s="140"/>
      <c r="AI673" s="140"/>
      <c r="AJ673" s="140"/>
      <c r="AK673" s="140"/>
      <c r="AL673" s="140"/>
      <c r="AM673" s="140"/>
      <c r="AN673" s="140"/>
      <c r="AO673" s="140"/>
      <c r="AP673" s="140"/>
      <c r="AQ673" s="140"/>
      <c r="AR673" s="140"/>
      <c r="AS673" s="140"/>
    </row>
    <row r="674">
      <c r="A674" s="149"/>
      <c r="B674" s="140"/>
      <c r="C674" s="140"/>
      <c r="D674" s="140"/>
      <c r="E674" s="140"/>
      <c r="F674" s="140"/>
      <c r="G674" s="140"/>
      <c r="H674" s="140"/>
      <c r="I674" s="140"/>
      <c r="J674" s="140"/>
      <c r="K674" s="140"/>
      <c r="L674" s="140"/>
      <c r="M674" s="140"/>
      <c r="N674" s="140"/>
      <c r="O674" s="140"/>
      <c r="P674" s="140"/>
      <c r="Q674" s="140"/>
      <c r="R674" s="140"/>
      <c r="S674" s="150"/>
      <c r="T674" s="150"/>
      <c r="U674" s="140"/>
      <c r="V674" s="140"/>
      <c r="W674" s="140"/>
      <c r="X674" s="140"/>
      <c r="Y674" s="140"/>
      <c r="Z674" s="140"/>
      <c r="AA674" s="140"/>
      <c r="AB674" s="140"/>
      <c r="AC674" s="140"/>
      <c r="AD674" s="140"/>
      <c r="AE674" s="140"/>
      <c r="AF674" s="140"/>
      <c r="AG674" s="140"/>
      <c r="AH674" s="140"/>
      <c r="AI674" s="140"/>
      <c r="AJ674" s="140"/>
      <c r="AK674" s="140"/>
      <c r="AL674" s="140"/>
      <c r="AM674" s="140"/>
      <c r="AN674" s="140"/>
      <c r="AO674" s="140"/>
      <c r="AP674" s="140"/>
      <c r="AQ674" s="140"/>
      <c r="AR674" s="140"/>
      <c r="AS674" s="140"/>
    </row>
    <row r="675">
      <c r="A675" s="149"/>
      <c r="B675" s="140"/>
      <c r="C675" s="140"/>
      <c r="D675" s="140"/>
      <c r="E675" s="140"/>
      <c r="F675" s="140"/>
      <c r="G675" s="140"/>
      <c r="H675" s="140"/>
      <c r="I675" s="140"/>
      <c r="J675" s="140"/>
      <c r="K675" s="140"/>
      <c r="L675" s="140"/>
      <c r="M675" s="140"/>
      <c r="N675" s="140"/>
      <c r="O675" s="140"/>
      <c r="P675" s="140"/>
      <c r="Q675" s="140"/>
      <c r="R675" s="140"/>
      <c r="S675" s="150"/>
      <c r="T675" s="150"/>
      <c r="U675" s="140"/>
      <c r="V675" s="140"/>
      <c r="W675" s="140"/>
      <c r="X675" s="140"/>
      <c r="Y675" s="140"/>
      <c r="Z675" s="140"/>
      <c r="AA675" s="140"/>
      <c r="AB675" s="140"/>
      <c r="AC675" s="140"/>
      <c r="AD675" s="140"/>
      <c r="AE675" s="140"/>
      <c r="AF675" s="140"/>
      <c r="AG675" s="140"/>
      <c r="AH675" s="140"/>
      <c r="AI675" s="140"/>
      <c r="AJ675" s="140"/>
      <c r="AK675" s="140"/>
      <c r="AL675" s="140"/>
      <c r="AM675" s="140"/>
      <c r="AN675" s="140"/>
      <c r="AO675" s="140"/>
      <c r="AP675" s="140"/>
      <c r="AQ675" s="140"/>
      <c r="AR675" s="140"/>
      <c r="AS675" s="140"/>
    </row>
    <row r="676">
      <c r="A676" s="149"/>
      <c r="B676" s="140"/>
      <c r="C676" s="140"/>
      <c r="D676" s="140"/>
      <c r="E676" s="140"/>
      <c r="F676" s="140"/>
      <c r="G676" s="140"/>
      <c r="H676" s="140"/>
      <c r="I676" s="140"/>
      <c r="J676" s="140"/>
      <c r="K676" s="140"/>
      <c r="L676" s="140"/>
      <c r="M676" s="140"/>
      <c r="N676" s="140"/>
      <c r="O676" s="140"/>
      <c r="P676" s="140"/>
      <c r="Q676" s="140"/>
      <c r="R676" s="140"/>
      <c r="S676" s="150"/>
      <c r="T676" s="150"/>
      <c r="U676" s="140"/>
      <c r="V676" s="140"/>
      <c r="W676" s="140"/>
      <c r="X676" s="140"/>
      <c r="Y676" s="140"/>
      <c r="Z676" s="140"/>
      <c r="AA676" s="140"/>
      <c r="AB676" s="140"/>
      <c r="AC676" s="140"/>
      <c r="AD676" s="140"/>
      <c r="AE676" s="140"/>
      <c r="AF676" s="140"/>
      <c r="AG676" s="140"/>
      <c r="AH676" s="140"/>
      <c r="AI676" s="140"/>
      <c r="AJ676" s="140"/>
      <c r="AK676" s="140"/>
      <c r="AL676" s="140"/>
      <c r="AM676" s="140"/>
      <c r="AN676" s="140"/>
      <c r="AO676" s="140"/>
      <c r="AP676" s="140"/>
      <c r="AQ676" s="140"/>
      <c r="AR676" s="140"/>
      <c r="AS676" s="140"/>
    </row>
    <row r="677">
      <c r="A677" s="149"/>
      <c r="B677" s="140"/>
      <c r="C677" s="140"/>
      <c r="D677" s="140"/>
      <c r="E677" s="140"/>
      <c r="F677" s="140"/>
      <c r="G677" s="140"/>
      <c r="H677" s="140"/>
      <c r="I677" s="140"/>
      <c r="J677" s="140"/>
      <c r="K677" s="140"/>
      <c r="L677" s="140"/>
      <c r="M677" s="140"/>
      <c r="N677" s="140"/>
      <c r="O677" s="140"/>
      <c r="P677" s="140"/>
      <c r="Q677" s="140"/>
      <c r="R677" s="140"/>
      <c r="S677" s="150"/>
      <c r="T677" s="150"/>
      <c r="U677" s="140"/>
      <c r="V677" s="140"/>
      <c r="W677" s="140"/>
      <c r="X677" s="140"/>
      <c r="Y677" s="140"/>
      <c r="Z677" s="140"/>
      <c r="AA677" s="140"/>
      <c r="AB677" s="140"/>
      <c r="AC677" s="140"/>
      <c r="AD677" s="140"/>
      <c r="AE677" s="140"/>
      <c r="AF677" s="140"/>
      <c r="AG677" s="140"/>
      <c r="AH677" s="140"/>
      <c r="AI677" s="140"/>
      <c r="AJ677" s="140"/>
      <c r="AK677" s="140"/>
      <c r="AL677" s="140"/>
      <c r="AM677" s="140"/>
      <c r="AN677" s="140"/>
      <c r="AO677" s="140"/>
      <c r="AP677" s="140"/>
      <c r="AQ677" s="140"/>
      <c r="AR677" s="140"/>
      <c r="AS677" s="140"/>
    </row>
    <row r="678">
      <c r="A678" s="149"/>
      <c r="B678" s="140"/>
      <c r="C678" s="140"/>
      <c r="D678" s="140"/>
      <c r="E678" s="140"/>
      <c r="F678" s="140"/>
      <c r="G678" s="140"/>
      <c r="H678" s="140"/>
      <c r="I678" s="140"/>
      <c r="J678" s="140"/>
      <c r="K678" s="140"/>
      <c r="L678" s="140"/>
      <c r="M678" s="140"/>
      <c r="N678" s="140"/>
      <c r="O678" s="140"/>
      <c r="P678" s="140"/>
      <c r="Q678" s="140"/>
      <c r="R678" s="140"/>
      <c r="S678" s="150"/>
      <c r="T678" s="150"/>
      <c r="U678" s="140"/>
      <c r="V678" s="140"/>
      <c r="W678" s="140"/>
      <c r="X678" s="140"/>
      <c r="Y678" s="140"/>
      <c r="Z678" s="140"/>
      <c r="AA678" s="140"/>
      <c r="AB678" s="140"/>
      <c r="AC678" s="140"/>
      <c r="AD678" s="140"/>
      <c r="AE678" s="140"/>
      <c r="AF678" s="140"/>
      <c r="AG678" s="140"/>
      <c r="AH678" s="140"/>
      <c r="AI678" s="140"/>
      <c r="AJ678" s="140"/>
      <c r="AK678" s="140"/>
      <c r="AL678" s="140"/>
      <c r="AM678" s="140"/>
      <c r="AN678" s="140"/>
      <c r="AO678" s="140"/>
      <c r="AP678" s="140"/>
      <c r="AQ678" s="140"/>
      <c r="AR678" s="140"/>
      <c r="AS678" s="140"/>
    </row>
    <row r="679">
      <c r="A679" s="149"/>
      <c r="B679" s="140"/>
      <c r="C679" s="140"/>
      <c r="D679" s="140"/>
      <c r="E679" s="140"/>
      <c r="F679" s="140"/>
      <c r="G679" s="140"/>
      <c r="H679" s="140"/>
      <c r="I679" s="140"/>
      <c r="J679" s="140"/>
      <c r="K679" s="140"/>
      <c r="L679" s="140"/>
      <c r="M679" s="140"/>
      <c r="N679" s="140"/>
      <c r="O679" s="140"/>
      <c r="P679" s="140"/>
      <c r="Q679" s="140"/>
      <c r="R679" s="140"/>
      <c r="S679" s="150"/>
      <c r="T679" s="150"/>
      <c r="U679" s="140"/>
      <c r="V679" s="140"/>
      <c r="W679" s="140"/>
      <c r="X679" s="140"/>
      <c r="Y679" s="140"/>
      <c r="Z679" s="140"/>
      <c r="AA679" s="140"/>
      <c r="AB679" s="140"/>
      <c r="AC679" s="140"/>
      <c r="AD679" s="140"/>
      <c r="AE679" s="140"/>
      <c r="AF679" s="140"/>
      <c r="AG679" s="140"/>
      <c r="AH679" s="140"/>
      <c r="AI679" s="140"/>
      <c r="AJ679" s="140"/>
      <c r="AK679" s="140"/>
      <c r="AL679" s="140"/>
      <c r="AM679" s="140"/>
      <c r="AN679" s="140"/>
      <c r="AO679" s="140"/>
      <c r="AP679" s="140"/>
      <c r="AQ679" s="140"/>
      <c r="AR679" s="140"/>
      <c r="AS679" s="140"/>
    </row>
    <row r="680">
      <c r="A680" s="149"/>
      <c r="B680" s="140"/>
      <c r="C680" s="140"/>
      <c r="D680" s="140"/>
      <c r="E680" s="140"/>
      <c r="F680" s="140"/>
      <c r="G680" s="140"/>
      <c r="H680" s="140"/>
      <c r="I680" s="140"/>
      <c r="J680" s="140"/>
      <c r="K680" s="140"/>
      <c r="L680" s="140"/>
      <c r="M680" s="140"/>
      <c r="N680" s="140"/>
      <c r="O680" s="140"/>
      <c r="P680" s="140"/>
      <c r="Q680" s="140"/>
      <c r="R680" s="140"/>
      <c r="S680" s="150"/>
      <c r="T680" s="150"/>
      <c r="U680" s="140"/>
      <c r="V680" s="140"/>
      <c r="W680" s="140"/>
      <c r="X680" s="140"/>
      <c r="Y680" s="140"/>
      <c r="Z680" s="140"/>
      <c r="AA680" s="140"/>
      <c r="AB680" s="140"/>
      <c r="AC680" s="140"/>
      <c r="AD680" s="140"/>
      <c r="AE680" s="140"/>
      <c r="AF680" s="140"/>
      <c r="AG680" s="140"/>
      <c r="AH680" s="140"/>
      <c r="AI680" s="140"/>
      <c r="AJ680" s="140"/>
      <c r="AK680" s="140"/>
      <c r="AL680" s="140"/>
      <c r="AM680" s="140"/>
      <c r="AN680" s="140"/>
      <c r="AO680" s="140"/>
      <c r="AP680" s="140"/>
      <c r="AQ680" s="140"/>
      <c r="AR680" s="140"/>
      <c r="AS680" s="140"/>
    </row>
    <row r="681">
      <c r="A681" s="149"/>
      <c r="B681" s="140"/>
      <c r="C681" s="140"/>
      <c r="D681" s="140"/>
      <c r="E681" s="140"/>
      <c r="F681" s="140"/>
      <c r="G681" s="140"/>
      <c r="H681" s="140"/>
      <c r="I681" s="140"/>
      <c r="J681" s="140"/>
      <c r="K681" s="140"/>
      <c r="L681" s="140"/>
      <c r="M681" s="140"/>
      <c r="N681" s="140"/>
      <c r="O681" s="140"/>
      <c r="P681" s="140"/>
      <c r="Q681" s="140"/>
      <c r="R681" s="140"/>
      <c r="S681" s="150"/>
      <c r="T681" s="150"/>
      <c r="U681" s="140"/>
      <c r="V681" s="140"/>
      <c r="W681" s="140"/>
      <c r="X681" s="140"/>
      <c r="Y681" s="140"/>
      <c r="Z681" s="140"/>
      <c r="AA681" s="140"/>
      <c r="AB681" s="140"/>
      <c r="AC681" s="140"/>
      <c r="AD681" s="140"/>
      <c r="AE681" s="140"/>
      <c r="AF681" s="140"/>
      <c r="AG681" s="140"/>
      <c r="AH681" s="140"/>
      <c r="AI681" s="140"/>
      <c r="AJ681" s="140"/>
      <c r="AK681" s="140"/>
      <c r="AL681" s="140"/>
      <c r="AM681" s="140"/>
      <c r="AN681" s="140"/>
      <c r="AO681" s="140"/>
      <c r="AP681" s="140"/>
      <c r="AQ681" s="140"/>
      <c r="AR681" s="140"/>
      <c r="AS681" s="140"/>
    </row>
    <row r="682">
      <c r="A682" s="149"/>
      <c r="B682" s="140"/>
      <c r="C682" s="140"/>
      <c r="D682" s="140"/>
      <c r="E682" s="140"/>
      <c r="F682" s="140"/>
      <c r="G682" s="140"/>
      <c r="H682" s="140"/>
      <c r="I682" s="140"/>
      <c r="J682" s="140"/>
      <c r="K682" s="140"/>
      <c r="L682" s="140"/>
      <c r="M682" s="140"/>
      <c r="N682" s="140"/>
      <c r="O682" s="140"/>
      <c r="P682" s="140"/>
      <c r="Q682" s="140"/>
      <c r="R682" s="140"/>
      <c r="S682" s="150"/>
      <c r="T682" s="150"/>
      <c r="U682" s="140"/>
      <c r="V682" s="140"/>
      <c r="W682" s="140"/>
      <c r="X682" s="140"/>
      <c r="Y682" s="140"/>
      <c r="Z682" s="140"/>
      <c r="AA682" s="140"/>
      <c r="AB682" s="140"/>
      <c r="AC682" s="140"/>
      <c r="AD682" s="140"/>
      <c r="AE682" s="140"/>
      <c r="AF682" s="140"/>
      <c r="AG682" s="140"/>
      <c r="AH682" s="140"/>
      <c r="AI682" s="140"/>
      <c r="AJ682" s="140"/>
      <c r="AK682" s="140"/>
      <c r="AL682" s="140"/>
      <c r="AM682" s="140"/>
      <c r="AN682" s="140"/>
      <c r="AO682" s="140"/>
      <c r="AP682" s="140"/>
      <c r="AQ682" s="140"/>
      <c r="AR682" s="140"/>
      <c r="AS682" s="140"/>
    </row>
    <row r="683">
      <c r="A683" s="149"/>
      <c r="B683" s="140"/>
      <c r="C683" s="140"/>
      <c r="D683" s="140"/>
      <c r="E683" s="140"/>
      <c r="F683" s="140"/>
      <c r="G683" s="140"/>
      <c r="H683" s="140"/>
      <c r="I683" s="140"/>
      <c r="J683" s="140"/>
      <c r="K683" s="140"/>
      <c r="L683" s="140"/>
      <c r="M683" s="140"/>
      <c r="N683" s="140"/>
      <c r="O683" s="140"/>
      <c r="P683" s="140"/>
      <c r="Q683" s="140"/>
      <c r="R683" s="140"/>
      <c r="S683" s="150"/>
      <c r="T683" s="150"/>
      <c r="U683" s="140"/>
      <c r="V683" s="140"/>
      <c r="W683" s="140"/>
      <c r="X683" s="140"/>
      <c r="Y683" s="140"/>
      <c r="Z683" s="140"/>
      <c r="AA683" s="140"/>
      <c r="AB683" s="140"/>
      <c r="AC683" s="140"/>
      <c r="AD683" s="140"/>
      <c r="AE683" s="140"/>
      <c r="AF683" s="140"/>
      <c r="AG683" s="140"/>
      <c r="AH683" s="140"/>
      <c r="AI683" s="140"/>
      <c r="AJ683" s="140"/>
      <c r="AK683" s="140"/>
      <c r="AL683" s="140"/>
      <c r="AM683" s="140"/>
      <c r="AN683" s="140"/>
      <c r="AO683" s="140"/>
      <c r="AP683" s="140"/>
      <c r="AQ683" s="140"/>
      <c r="AR683" s="140"/>
      <c r="AS683" s="140"/>
    </row>
    <row r="684">
      <c r="A684" s="149"/>
      <c r="B684" s="140"/>
      <c r="C684" s="140"/>
      <c r="D684" s="140"/>
      <c r="E684" s="140"/>
      <c r="F684" s="140"/>
      <c r="G684" s="140"/>
      <c r="H684" s="140"/>
      <c r="I684" s="140"/>
      <c r="J684" s="140"/>
      <c r="K684" s="140"/>
      <c r="L684" s="140"/>
      <c r="M684" s="140"/>
      <c r="N684" s="140"/>
      <c r="O684" s="140"/>
      <c r="P684" s="140"/>
      <c r="Q684" s="140"/>
      <c r="R684" s="140"/>
      <c r="S684" s="150"/>
      <c r="T684" s="150"/>
      <c r="U684" s="140"/>
      <c r="V684" s="140"/>
      <c r="W684" s="140"/>
      <c r="X684" s="140"/>
      <c r="Y684" s="140"/>
      <c r="Z684" s="140"/>
      <c r="AA684" s="140"/>
      <c r="AB684" s="140"/>
      <c r="AC684" s="140"/>
      <c r="AD684" s="140"/>
      <c r="AE684" s="140"/>
      <c r="AF684" s="140"/>
      <c r="AG684" s="140"/>
      <c r="AH684" s="140"/>
      <c r="AI684" s="140"/>
      <c r="AJ684" s="140"/>
      <c r="AK684" s="140"/>
      <c r="AL684" s="140"/>
      <c r="AM684" s="140"/>
      <c r="AN684" s="140"/>
      <c r="AO684" s="140"/>
      <c r="AP684" s="140"/>
      <c r="AQ684" s="140"/>
      <c r="AR684" s="140"/>
      <c r="AS684" s="140"/>
    </row>
    <row r="685">
      <c r="A685" s="149"/>
      <c r="B685" s="140"/>
      <c r="C685" s="140"/>
      <c r="D685" s="140"/>
      <c r="E685" s="140"/>
      <c r="F685" s="140"/>
      <c r="G685" s="140"/>
      <c r="H685" s="140"/>
      <c r="I685" s="140"/>
      <c r="J685" s="140"/>
      <c r="K685" s="140"/>
      <c r="L685" s="140"/>
      <c r="M685" s="140"/>
      <c r="N685" s="140"/>
      <c r="O685" s="140"/>
      <c r="P685" s="140"/>
      <c r="Q685" s="140"/>
      <c r="R685" s="140"/>
      <c r="S685" s="150"/>
      <c r="T685" s="150"/>
      <c r="U685" s="140"/>
      <c r="V685" s="140"/>
      <c r="W685" s="140"/>
      <c r="X685" s="140"/>
      <c r="Y685" s="140"/>
      <c r="Z685" s="140"/>
      <c r="AA685" s="140"/>
      <c r="AB685" s="140"/>
      <c r="AC685" s="140"/>
      <c r="AD685" s="140"/>
      <c r="AE685" s="140"/>
      <c r="AF685" s="140"/>
      <c r="AG685" s="140"/>
      <c r="AH685" s="140"/>
      <c r="AI685" s="140"/>
      <c r="AJ685" s="140"/>
      <c r="AK685" s="140"/>
      <c r="AL685" s="140"/>
      <c r="AM685" s="140"/>
      <c r="AN685" s="140"/>
      <c r="AO685" s="140"/>
      <c r="AP685" s="140"/>
      <c r="AQ685" s="140"/>
      <c r="AR685" s="140"/>
      <c r="AS685" s="140"/>
    </row>
    <row r="686">
      <c r="A686" s="149"/>
      <c r="B686" s="140"/>
      <c r="C686" s="140"/>
      <c r="D686" s="140"/>
      <c r="E686" s="140"/>
      <c r="F686" s="140"/>
      <c r="G686" s="140"/>
      <c r="H686" s="140"/>
      <c r="I686" s="140"/>
      <c r="J686" s="140"/>
      <c r="K686" s="140"/>
      <c r="L686" s="140"/>
      <c r="M686" s="140"/>
      <c r="N686" s="140"/>
      <c r="O686" s="140"/>
      <c r="P686" s="140"/>
      <c r="Q686" s="140"/>
      <c r="R686" s="140"/>
      <c r="S686" s="150"/>
      <c r="T686" s="150"/>
      <c r="U686" s="140"/>
      <c r="V686" s="140"/>
      <c r="W686" s="140"/>
      <c r="X686" s="140"/>
      <c r="Y686" s="140"/>
      <c r="Z686" s="140"/>
      <c r="AA686" s="140"/>
      <c r="AB686" s="140"/>
      <c r="AC686" s="140"/>
      <c r="AD686" s="140"/>
      <c r="AE686" s="140"/>
      <c r="AF686" s="140"/>
      <c r="AG686" s="140"/>
      <c r="AH686" s="140"/>
      <c r="AI686" s="140"/>
      <c r="AJ686" s="140"/>
      <c r="AK686" s="140"/>
      <c r="AL686" s="140"/>
      <c r="AM686" s="140"/>
      <c r="AN686" s="140"/>
      <c r="AO686" s="140"/>
      <c r="AP686" s="140"/>
      <c r="AQ686" s="140"/>
      <c r="AR686" s="140"/>
      <c r="AS686" s="140"/>
    </row>
    <row r="687">
      <c r="A687" s="149"/>
      <c r="B687" s="140"/>
      <c r="C687" s="140"/>
      <c r="D687" s="140"/>
      <c r="E687" s="140"/>
      <c r="F687" s="140"/>
      <c r="G687" s="140"/>
      <c r="H687" s="140"/>
      <c r="I687" s="140"/>
      <c r="J687" s="140"/>
      <c r="K687" s="140"/>
      <c r="L687" s="140"/>
      <c r="M687" s="140"/>
      <c r="N687" s="140"/>
      <c r="O687" s="140"/>
      <c r="P687" s="140"/>
      <c r="Q687" s="140"/>
      <c r="R687" s="140"/>
      <c r="S687" s="150"/>
      <c r="T687" s="150"/>
      <c r="U687" s="140"/>
      <c r="V687" s="140"/>
      <c r="W687" s="140"/>
      <c r="X687" s="140"/>
      <c r="Y687" s="140"/>
      <c r="Z687" s="140"/>
      <c r="AA687" s="140"/>
      <c r="AB687" s="140"/>
      <c r="AC687" s="140"/>
      <c r="AD687" s="140"/>
      <c r="AE687" s="140"/>
      <c r="AF687" s="140"/>
      <c r="AG687" s="140"/>
      <c r="AH687" s="140"/>
      <c r="AI687" s="140"/>
      <c r="AJ687" s="140"/>
      <c r="AK687" s="140"/>
      <c r="AL687" s="140"/>
      <c r="AM687" s="140"/>
      <c r="AN687" s="140"/>
      <c r="AO687" s="140"/>
      <c r="AP687" s="140"/>
      <c r="AQ687" s="140"/>
      <c r="AR687" s="140"/>
      <c r="AS687" s="140"/>
    </row>
    <row r="688">
      <c r="A688" s="149"/>
      <c r="B688" s="140"/>
      <c r="C688" s="140"/>
      <c r="D688" s="140"/>
      <c r="E688" s="140"/>
      <c r="F688" s="140"/>
      <c r="G688" s="140"/>
      <c r="H688" s="140"/>
      <c r="I688" s="140"/>
      <c r="J688" s="140"/>
      <c r="K688" s="140"/>
      <c r="L688" s="140"/>
      <c r="M688" s="140"/>
      <c r="N688" s="140"/>
      <c r="O688" s="140"/>
      <c r="P688" s="140"/>
      <c r="Q688" s="140"/>
      <c r="R688" s="140"/>
      <c r="S688" s="150"/>
      <c r="T688" s="150"/>
      <c r="U688" s="140"/>
      <c r="V688" s="140"/>
      <c r="W688" s="140"/>
      <c r="X688" s="140"/>
      <c r="Y688" s="140"/>
      <c r="Z688" s="140"/>
      <c r="AA688" s="140"/>
      <c r="AB688" s="140"/>
      <c r="AC688" s="140"/>
      <c r="AD688" s="140"/>
      <c r="AE688" s="140"/>
      <c r="AF688" s="140"/>
      <c r="AG688" s="140"/>
      <c r="AH688" s="140"/>
      <c r="AI688" s="140"/>
      <c r="AJ688" s="140"/>
      <c r="AK688" s="140"/>
      <c r="AL688" s="140"/>
      <c r="AM688" s="140"/>
      <c r="AN688" s="140"/>
      <c r="AO688" s="140"/>
      <c r="AP688" s="140"/>
      <c r="AQ688" s="140"/>
      <c r="AR688" s="140"/>
      <c r="AS688" s="140"/>
    </row>
    <row r="689">
      <c r="A689" s="149"/>
      <c r="B689" s="140"/>
      <c r="C689" s="140"/>
      <c r="D689" s="140"/>
      <c r="E689" s="140"/>
      <c r="F689" s="140"/>
      <c r="G689" s="140"/>
      <c r="H689" s="140"/>
      <c r="I689" s="140"/>
      <c r="J689" s="140"/>
      <c r="K689" s="140"/>
      <c r="L689" s="140"/>
      <c r="M689" s="140"/>
      <c r="N689" s="140"/>
      <c r="O689" s="140"/>
      <c r="P689" s="140"/>
      <c r="Q689" s="140"/>
      <c r="R689" s="140"/>
      <c r="S689" s="150"/>
      <c r="T689" s="150"/>
      <c r="U689" s="140"/>
      <c r="V689" s="140"/>
      <c r="W689" s="140"/>
      <c r="X689" s="140"/>
      <c r="Y689" s="140"/>
      <c r="Z689" s="140"/>
      <c r="AA689" s="140"/>
      <c r="AB689" s="140"/>
      <c r="AC689" s="140"/>
      <c r="AD689" s="140"/>
      <c r="AE689" s="140"/>
      <c r="AF689" s="140"/>
      <c r="AG689" s="140"/>
      <c r="AH689" s="140"/>
      <c r="AI689" s="140"/>
      <c r="AJ689" s="140"/>
      <c r="AK689" s="140"/>
      <c r="AL689" s="140"/>
      <c r="AM689" s="140"/>
      <c r="AN689" s="140"/>
      <c r="AO689" s="140"/>
      <c r="AP689" s="140"/>
      <c r="AQ689" s="140"/>
      <c r="AR689" s="140"/>
      <c r="AS689" s="140"/>
    </row>
    <row r="690">
      <c r="A690" s="149"/>
      <c r="B690" s="140"/>
      <c r="C690" s="140"/>
      <c r="D690" s="140"/>
      <c r="E690" s="140"/>
      <c r="F690" s="140"/>
      <c r="G690" s="140"/>
      <c r="H690" s="140"/>
      <c r="I690" s="140"/>
      <c r="J690" s="140"/>
      <c r="K690" s="140"/>
      <c r="L690" s="140"/>
      <c r="M690" s="140"/>
      <c r="N690" s="140"/>
      <c r="O690" s="140"/>
      <c r="P690" s="140"/>
      <c r="Q690" s="140"/>
      <c r="R690" s="140"/>
      <c r="S690" s="150"/>
      <c r="T690" s="150"/>
      <c r="U690" s="140"/>
      <c r="V690" s="140"/>
      <c r="W690" s="140"/>
      <c r="X690" s="140"/>
      <c r="Y690" s="140"/>
      <c r="Z690" s="140"/>
      <c r="AA690" s="140"/>
      <c r="AB690" s="140"/>
      <c r="AC690" s="140"/>
      <c r="AD690" s="140"/>
      <c r="AE690" s="140"/>
      <c r="AF690" s="140"/>
      <c r="AG690" s="140"/>
      <c r="AH690" s="140"/>
      <c r="AI690" s="140"/>
      <c r="AJ690" s="140"/>
      <c r="AK690" s="140"/>
      <c r="AL690" s="140"/>
      <c r="AM690" s="140"/>
      <c r="AN690" s="140"/>
      <c r="AO690" s="140"/>
      <c r="AP690" s="140"/>
      <c r="AQ690" s="140"/>
      <c r="AR690" s="140"/>
      <c r="AS690" s="140"/>
    </row>
    <row r="691">
      <c r="A691" s="149"/>
      <c r="B691" s="140"/>
      <c r="C691" s="140"/>
      <c r="D691" s="140"/>
      <c r="E691" s="140"/>
      <c r="F691" s="140"/>
      <c r="G691" s="140"/>
      <c r="H691" s="140"/>
      <c r="I691" s="140"/>
      <c r="J691" s="140"/>
      <c r="K691" s="140"/>
      <c r="L691" s="140"/>
      <c r="M691" s="140"/>
      <c r="N691" s="140"/>
      <c r="O691" s="140"/>
      <c r="P691" s="140"/>
      <c r="Q691" s="140"/>
      <c r="R691" s="140"/>
      <c r="S691" s="150"/>
      <c r="T691" s="150"/>
      <c r="U691" s="140"/>
      <c r="V691" s="140"/>
      <c r="W691" s="140"/>
      <c r="X691" s="140"/>
      <c r="Y691" s="140"/>
      <c r="Z691" s="140"/>
      <c r="AA691" s="140"/>
      <c r="AB691" s="140"/>
      <c r="AC691" s="140"/>
      <c r="AD691" s="140"/>
      <c r="AE691" s="140"/>
      <c r="AF691" s="140"/>
      <c r="AG691" s="140"/>
      <c r="AH691" s="140"/>
      <c r="AI691" s="140"/>
      <c r="AJ691" s="140"/>
      <c r="AK691" s="140"/>
      <c r="AL691" s="140"/>
      <c r="AM691" s="140"/>
      <c r="AN691" s="140"/>
      <c r="AO691" s="140"/>
      <c r="AP691" s="140"/>
      <c r="AQ691" s="140"/>
      <c r="AR691" s="140"/>
      <c r="AS691" s="140"/>
    </row>
    <row r="692">
      <c r="A692" s="149"/>
      <c r="B692" s="140"/>
      <c r="C692" s="140"/>
      <c r="D692" s="140"/>
      <c r="E692" s="140"/>
      <c r="F692" s="140"/>
      <c r="G692" s="140"/>
      <c r="H692" s="140"/>
      <c r="I692" s="140"/>
      <c r="J692" s="140"/>
      <c r="K692" s="140"/>
      <c r="L692" s="140"/>
      <c r="M692" s="140"/>
      <c r="N692" s="140"/>
      <c r="O692" s="140"/>
      <c r="P692" s="140"/>
      <c r="Q692" s="140"/>
      <c r="R692" s="140"/>
      <c r="S692" s="150"/>
      <c r="T692" s="150"/>
      <c r="U692" s="140"/>
      <c r="V692" s="140"/>
      <c r="W692" s="140"/>
      <c r="X692" s="140"/>
      <c r="Y692" s="140"/>
      <c r="Z692" s="140"/>
      <c r="AA692" s="140"/>
      <c r="AB692" s="140"/>
      <c r="AC692" s="140"/>
      <c r="AD692" s="140"/>
      <c r="AE692" s="140"/>
      <c r="AF692" s="140"/>
      <c r="AG692" s="140"/>
      <c r="AH692" s="140"/>
      <c r="AI692" s="140"/>
      <c r="AJ692" s="140"/>
      <c r="AK692" s="140"/>
      <c r="AL692" s="140"/>
      <c r="AM692" s="140"/>
      <c r="AN692" s="140"/>
      <c r="AO692" s="140"/>
      <c r="AP692" s="140"/>
      <c r="AQ692" s="140"/>
      <c r="AR692" s="140"/>
      <c r="AS692" s="140"/>
    </row>
    <row r="693">
      <c r="A693" s="149"/>
      <c r="B693" s="140"/>
      <c r="C693" s="140"/>
      <c r="D693" s="140"/>
      <c r="E693" s="140"/>
      <c r="F693" s="140"/>
      <c r="G693" s="140"/>
      <c r="H693" s="140"/>
      <c r="I693" s="140"/>
      <c r="J693" s="140"/>
      <c r="K693" s="140"/>
      <c r="L693" s="140"/>
      <c r="M693" s="140"/>
      <c r="N693" s="140"/>
      <c r="O693" s="140"/>
      <c r="P693" s="140"/>
      <c r="Q693" s="140"/>
      <c r="R693" s="140"/>
      <c r="S693" s="150"/>
      <c r="T693" s="150"/>
      <c r="U693" s="140"/>
      <c r="V693" s="140"/>
      <c r="W693" s="140"/>
      <c r="X693" s="140"/>
      <c r="Y693" s="140"/>
      <c r="Z693" s="140"/>
      <c r="AA693" s="140"/>
      <c r="AB693" s="140"/>
      <c r="AC693" s="140"/>
      <c r="AD693" s="140"/>
      <c r="AE693" s="140"/>
      <c r="AF693" s="140"/>
      <c r="AG693" s="140"/>
      <c r="AH693" s="140"/>
      <c r="AI693" s="140"/>
      <c r="AJ693" s="140"/>
      <c r="AK693" s="140"/>
      <c r="AL693" s="140"/>
      <c r="AM693" s="140"/>
      <c r="AN693" s="140"/>
      <c r="AO693" s="140"/>
      <c r="AP693" s="140"/>
      <c r="AQ693" s="140"/>
      <c r="AR693" s="140"/>
      <c r="AS693" s="140"/>
    </row>
    <row r="694">
      <c r="A694" s="149"/>
      <c r="B694" s="140"/>
      <c r="C694" s="140"/>
      <c r="D694" s="140"/>
      <c r="E694" s="140"/>
      <c r="F694" s="140"/>
      <c r="G694" s="140"/>
      <c r="H694" s="140"/>
      <c r="I694" s="140"/>
      <c r="J694" s="140"/>
      <c r="K694" s="140"/>
      <c r="L694" s="140"/>
      <c r="M694" s="140"/>
      <c r="N694" s="140"/>
      <c r="O694" s="140"/>
      <c r="P694" s="140"/>
      <c r="Q694" s="140"/>
      <c r="R694" s="140"/>
      <c r="S694" s="150"/>
      <c r="T694" s="150"/>
      <c r="U694" s="140"/>
      <c r="V694" s="140"/>
      <c r="W694" s="140"/>
      <c r="X694" s="140"/>
      <c r="Y694" s="140"/>
      <c r="Z694" s="140"/>
      <c r="AA694" s="140"/>
      <c r="AB694" s="140"/>
      <c r="AC694" s="140"/>
      <c r="AD694" s="140"/>
      <c r="AE694" s="140"/>
      <c r="AF694" s="140"/>
      <c r="AG694" s="140"/>
      <c r="AH694" s="140"/>
      <c r="AI694" s="140"/>
      <c r="AJ694" s="140"/>
      <c r="AK694" s="140"/>
      <c r="AL694" s="140"/>
      <c r="AM694" s="140"/>
      <c r="AN694" s="140"/>
      <c r="AO694" s="140"/>
      <c r="AP694" s="140"/>
      <c r="AQ694" s="140"/>
      <c r="AR694" s="140"/>
      <c r="AS694" s="140"/>
    </row>
    <row r="695">
      <c r="A695" s="149"/>
      <c r="B695" s="140"/>
      <c r="C695" s="140"/>
      <c r="D695" s="140"/>
      <c r="E695" s="140"/>
      <c r="F695" s="140"/>
      <c r="G695" s="140"/>
      <c r="H695" s="140"/>
      <c r="I695" s="140"/>
      <c r="J695" s="140"/>
      <c r="K695" s="140"/>
      <c r="L695" s="140"/>
      <c r="M695" s="140"/>
      <c r="N695" s="140"/>
      <c r="O695" s="140"/>
      <c r="P695" s="140"/>
      <c r="Q695" s="140"/>
      <c r="R695" s="140"/>
      <c r="S695" s="150"/>
      <c r="T695" s="150"/>
      <c r="U695" s="140"/>
      <c r="V695" s="140"/>
      <c r="W695" s="140"/>
      <c r="X695" s="140"/>
      <c r="Y695" s="140"/>
      <c r="Z695" s="140"/>
      <c r="AA695" s="140"/>
      <c r="AB695" s="140"/>
      <c r="AC695" s="140"/>
      <c r="AD695" s="140"/>
      <c r="AE695" s="140"/>
      <c r="AF695" s="140"/>
      <c r="AG695" s="140"/>
      <c r="AH695" s="140"/>
      <c r="AI695" s="140"/>
      <c r="AJ695" s="140"/>
      <c r="AK695" s="140"/>
      <c r="AL695" s="140"/>
      <c r="AM695" s="140"/>
      <c r="AN695" s="140"/>
      <c r="AO695" s="140"/>
      <c r="AP695" s="140"/>
      <c r="AQ695" s="140"/>
      <c r="AR695" s="140"/>
      <c r="AS695" s="140"/>
    </row>
    <row r="696">
      <c r="A696" s="149"/>
      <c r="B696" s="140"/>
      <c r="C696" s="140"/>
      <c r="D696" s="140"/>
      <c r="E696" s="140"/>
      <c r="F696" s="140"/>
      <c r="G696" s="140"/>
      <c r="H696" s="140"/>
      <c r="I696" s="140"/>
      <c r="J696" s="140"/>
      <c r="K696" s="140"/>
      <c r="L696" s="140"/>
      <c r="M696" s="140"/>
      <c r="N696" s="140"/>
      <c r="O696" s="140"/>
      <c r="P696" s="140"/>
      <c r="Q696" s="140"/>
      <c r="R696" s="140"/>
      <c r="S696" s="150"/>
      <c r="T696" s="150"/>
      <c r="U696" s="140"/>
      <c r="V696" s="140"/>
      <c r="W696" s="140"/>
      <c r="X696" s="140"/>
      <c r="Y696" s="140"/>
      <c r="Z696" s="140"/>
      <c r="AA696" s="140"/>
      <c r="AB696" s="140"/>
      <c r="AC696" s="140"/>
      <c r="AD696" s="140"/>
      <c r="AE696" s="140"/>
      <c r="AF696" s="140"/>
      <c r="AG696" s="140"/>
      <c r="AH696" s="140"/>
      <c r="AI696" s="140"/>
      <c r="AJ696" s="140"/>
      <c r="AK696" s="140"/>
      <c r="AL696" s="140"/>
      <c r="AM696" s="140"/>
      <c r="AN696" s="140"/>
      <c r="AO696" s="140"/>
      <c r="AP696" s="140"/>
      <c r="AQ696" s="140"/>
      <c r="AR696" s="140"/>
      <c r="AS696" s="140"/>
    </row>
    <row r="697">
      <c r="A697" s="149"/>
      <c r="B697" s="140"/>
      <c r="C697" s="140"/>
      <c r="D697" s="140"/>
      <c r="E697" s="140"/>
      <c r="F697" s="140"/>
      <c r="G697" s="140"/>
      <c r="H697" s="140"/>
      <c r="I697" s="140"/>
      <c r="J697" s="140"/>
      <c r="K697" s="140"/>
      <c r="L697" s="140"/>
      <c r="M697" s="140"/>
      <c r="N697" s="140"/>
      <c r="O697" s="140"/>
      <c r="P697" s="140"/>
      <c r="Q697" s="140"/>
      <c r="R697" s="140"/>
      <c r="S697" s="150"/>
      <c r="T697" s="150"/>
      <c r="U697" s="140"/>
      <c r="V697" s="140"/>
      <c r="W697" s="140"/>
      <c r="X697" s="140"/>
      <c r="Y697" s="140"/>
      <c r="Z697" s="140"/>
      <c r="AA697" s="140"/>
      <c r="AB697" s="140"/>
      <c r="AC697" s="140"/>
      <c r="AD697" s="140"/>
      <c r="AE697" s="140"/>
      <c r="AF697" s="140"/>
      <c r="AG697" s="140"/>
      <c r="AH697" s="140"/>
      <c r="AI697" s="140"/>
      <c r="AJ697" s="140"/>
      <c r="AK697" s="140"/>
      <c r="AL697" s="140"/>
      <c r="AM697" s="140"/>
      <c r="AN697" s="140"/>
      <c r="AO697" s="140"/>
      <c r="AP697" s="140"/>
      <c r="AQ697" s="140"/>
      <c r="AR697" s="140"/>
      <c r="AS697" s="140"/>
    </row>
    <row r="698">
      <c r="A698" s="149"/>
      <c r="B698" s="140"/>
      <c r="C698" s="140"/>
      <c r="D698" s="140"/>
      <c r="E698" s="140"/>
      <c r="F698" s="140"/>
      <c r="G698" s="140"/>
      <c r="H698" s="140"/>
      <c r="I698" s="140"/>
      <c r="J698" s="140"/>
      <c r="K698" s="140"/>
      <c r="L698" s="140"/>
      <c r="M698" s="140"/>
      <c r="N698" s="140"/>
      <c r="O698" s="140"/>
      <c r="P698" s="140"/>
      <c r="Q698" s="140"/>
      <c r="R698" s="140"/>
      <c r="S698" s="150"/>
      <c r="T698" s="150"/>
      <c r="U698" s="140"/>
      <c r="V698" s="140"/>
      <c r="W698" s="140"/>
      <c r="X698" s="140"/>
      <c r="Y698" s="140"/>
      <c r="Z698" s="140"/>
      <c r="AA698" s="140"/>
      <c r="AB698" s="140"/>
      <c r="AC698" s="140"/>
      <c r="AD698" s="140"/>
      <c r="AE698" s="140"/>
      <c r="AF698" s="140"/>
      <c r="AG698" s="140"/>
      <c r="AH698" s="140"/>
      <c r="AI698" s="140"/>
      <c r="AJ698" s="140"/>
      <c r="AK698" s="140"/>
      <c r="AL698" s="140"/>
      <c r="AM698" s="140"/>
      <c r="AN698" s="140"/>
      <c r="AO698" s="140"/>
      <c r="AP698" s="140"/>
      <c r="AQ698" s="140"/>
      <c r="AR698" s="140"/>
      <c r="AS698" s="140"/>
    </row>
    <row r="699">
      <c r="A699" s="149"/>
      <c r="B699" s="140"/>
      <c r="C699" s="140"/>
      <c r="D699" s="140"/>
      <c r="E699" s="140"/>
      <c r="F699" s="140"/>
      <c r="G699" s="140"/>
      <c r="H699" s="140"/>
      <c r="I699" s="140"/>
      <c r="J699" s="140"/>
      <c r="K699" s="140"/>
      <c r="L699" s="140"/>
      <c r="M699" s="140"/>
      <c r="N699" s="140"/>
      <c r="O699" s="140"/>
      <c r="P699" s="140"/>
      <c r="Q699" s="140"/>
      <c r="R699" s="140"/>
      <c r="S699" s="150"/>
      <c r="T699" s="150"/>
      <c r="U699" s="140"/>
      <c r="V699" s="140"/>
      <c r="W699" s="140"/>
      <c r="X699" s="140"/>
      <c r="Y699" s="140"/>
      <c r="Z699" s="140"/>
      <c r="AA699" s="140"/>
      <c r="AB699" s="140"/>
      <c r="AC699" s="140"/>
      <c r="AD699" s="140"/>
      <c r="AE699" s="140"/>
      <c r="AF699" s="140"/>
      <c r="AG699" s="140"/>
      <c r="AH699" s="140"/>
      <c r="AI699" s="140"/>
      <c r="AJ699" s="140"/>
      <c r="AK699" s="140"/>
      <c r="AL699" s="140"/>
      <c r="AM699" s="140"/>
      <c r="AN699" s="140"/>
      <c r="AO699" s="140"/>
      <c r="AP699" s="140"/>
      <c r="AQ699" s="140"/>
      <c r="AR699" s="140"/>
      <c r="AS699" s="140"/>
    </row>
    <row r="700">
      <c r="A700" s="149"/>
      <c r="B700" s="140"/>
      <c r="C700" s="140"/>
      <c r="D700" s="140"/>
      <c r="E700" s="140"/>
      <c r="F700" s="140"/>
      <c r="G700" s="140"/>
      <c r="H700" s="140"/>
      <c r="I700" s="140"/>
      <c r="J700" s="140"/>
      <c r="K700" s="140"/>
      <c r="L700" s="140"/>
      <c r="M700" s="140"/>
      <c r="N700" s="140"/>
      <c r="O700" s="140"/>
      <c r="P700" s="140"/>
      <c r="Q700" s="140"/>
      <c r="R700" s="140"/>
      <c r="S700" s="150"/>
      <c r="T700" s="150"/>
      <c r="U700" s="140"/>
      <c r="V700" s="140"/>
      <c r="W700" s="140"/>
      <c r="X700" s="140"/>
      <c r="Y700" s="140"/>
      <c r="Z700" s="140"/>
      <c r="AA700" s="140"/>
      <c r="AB700" s="140"/>
      <c r="AC700" s="140"/>
      <c r="AD700" s="140"/>
      <c r="AE700" s="140"/>
      <c r="AF700" s="140"/>
      <c r="AG700" s="140"/>
      <c r="AH700" s="140"/>
      <c r="AI700" s="140"/>
      <c r="AJ700" s="140"/>
      <c r="AK700" s="140"/>
      <c r="AL700" s="140"/>
      <c r="AM700" s="140"/>
      <c r="AN700" s="140"/>
      <c r="AO700" s="140"/>
      <c r="AP700" s="140"/>
      <c r="AQ700" s="140"/>
      <c r="AR700" s="140"/>
      <c r="AS700" s="140"/>
    </row>
    <row r="701">
      <c r="A701" s="149"/>
      <c r="B701" s="140"/>
      <c r="C701" s="140"/>
      <c r="D701" s="140"/>
      <c r="E701" s="140"/>
      <c r="F701" s="140"/>
      <c r="G701" s="140"/>
      <c r="H701" s="140"/>
      <c r="I701" s="140"/>
      <c r="J701" s="140"/>
      <c r="K701" s="140"/>
      <c r="L701" s="140"/>
      <c r="M701" s="140"/>
      <c r="N701" s="140"/>
      <c r="O701" s="140"/>
      <c r="P701" s="140"/>
      <c r="Q701" s="140"/>
      <c r="R701" s="140"/>
      <c r="S701" s="150"/>
      <c r="T701" s="150"/>
      <c r="U701" s="140"/>
      <c r="V701" s="140"/>
      <c r="W701" s="140"/>
      <c r="X701" s="140"/>
      <c r="Y701" s="140"/>
      <c r="Z701" s="140"/>
      <c r="AA701" s="140"/>
      <c r="AB701" s="140"/>
      <c r="AC701" s="140"/>
      <c r="AD701" s="140"/>
      <c r="AE701" s="140"/>
      <c r="AF701" s="140"/>
      <c r="AG701" s="140"/>
      <c r="AH701" s="140"/>
      <c r="AI701" s="140"/>
      <c r="AJ701" s="140"/>
      <c r="AK701" s="140"/>
      <c r="AL701" s="140"/>
      <c r="AM701" s="140"/>
      <c r="AN701" s="140"/>
      <c r="AO701" s="140"/>
      <c r="AP701" s="140"/>
      <c r="AQ701" s="140"/>
      <c r="AR701" s="140"/>
      <c r="AS701" s="140"/>
    </row>
    <row r="702">
      <c r="A702" s="149"/>
      <c r="B702" s="140"/>
      <c r="C702" s="140"/>
      <c r="D702" s="140"/>
      <c r="E702" s="140"/>
      <c r="F702" s="140"/>
      <c r="G702" s="140"/>
      <c r="H702" s="140"/>
      <c r="I702" s="140"/>
      <c r="J702" s="140"/>
      <c r="K702" s="140"/>
      <c r="L702" s="140"/>
      <c r="M702" s="140"/>
      <c r="N702" s="140"/>
      <c r="O702" s="140"/>
      <c r="P702" s="140"/>
      <c r="Q702" s="140"/>
      <c r="R702" s="140"/>
      <c r="S702" s="150"/>
      <c r="T702" s="150"/>
      <c r="U702" s="140"/>
      <c r="V702" s="140"/>
      <c r="W702" s="140"/>
      <c r="X702" s="140"/>
      <c r="Y702" s="140"/>
      <c r="Z702" s="140"/>
      <c r="AA702" s="140"/>
      <c r="AB702" s="140"/>
      <c r="AC702" s="140"/>
      <c r="AD702" s="140"/>
      <c r="AE702" s="140"/>
      <c r="AF702" s="140"/>
      <c r="AG702" s="140"/>
      <c r="AH702" s="140"/>
      <c r="AI702" s="140"/>
      <c r="AJ702" s="140"/>
      <c r="AK702" s="140"/>
      <c r="AL702" s="140"/>
      <c r="AM702" s="140"/>
      <c r="AN702" s="140"/>
      <c r="AO702" s="140"/>
      <c r="AP702" s="140"/>
      <c r="AQ702" s="140"/>
      <c r="AR702" s="140"/>
      <c r="AS702" s="140"/>
    </row>
    <row r="703">
      <c r="A703" s="149"/>
      <c r="B703" s="140"/>
      <c r="C703" s="140"/>
      <c r="D703" s="140"/>
      <c r="E703" s="140"/>
      <c r="F703" s="140"/>
      <c r="G703" s="140"/>
      <c r="H703" s="140"/>
      <c r="I703" s="140"/>
      <c r="J703" s="140"/>
      <c r="K703" s="140"/>
      <c r="L703" s="140"/>
      <c r="M703" s="140"/>
      <c r="N703" s="140"/>
      <c r="O703" s="140"/>
      <c r="P703" s="140"/>
      <c r="Q703" s="140"/>
      <c r="R703" s="140"/>
      <c r="S703" s="150"/>
      <c r="T703" s="150"/>
      <c r="U703" s="140"/>
      <c r="V703" s="140"/>
      <c r="W703" s="140"/>
      <c r="X703" s="140"/>
      <c r="Y703" s="140"/>
      <c r="Z703" s="140"/>
      <c r="AA703" s="140"/>
      <c r="AB703" s="140"/>
      <c r="AC703" s="140"/>
      <c r="AD703" s="140"/>
      <c r="AE703" s="140"/>
      <c r="AF703" s="140"/>
      <c r="AG703" s="140"/>
      <c r="AH703" s="140"/>
      <c r="AI703" s="140"/>
      <c r="AJ703" s="140"/>
      <c r="AK703" s="140"/>
      <c r="AL703" s="140"/>
      <c r="AM703" s="140"/>
      <c r="AN703" s="140"/>
      <c r="AO703" s="140"/>
      <c r="AP703" s="140"/>
      <c r="AQ703" s="140"/>
      <c r="AR703" s="140"/>
      <c r="AS703" s="140"/>
    </row>
    <row r="704">
      <c r="A704" s="149"/>
      <c r="B704" s="140"/>
      <c r="C704" s="140"/>
      <c r="D704" s="140"/>
      <c r="E704" s="140"/>
      <c r="F704" s="140"/>
      <c r="G704" s="140"/>
      <c r="H704" s="140"/>
      <c r="I704" s="140"/>
      <c r="J704" s="140"/>
      <c r="K704" s="140"/>
      <c r="L704" s="140"/>
      <c r="M704" s="140"/>
      <c r="N704" s="140"/>
      <c r="O704" s="140"/>
      <c r="P704" s="140"/>
      <c r="Q704" s="140"/>
      <c r="R704" s="140"/>
      <c r="S704" s="150"/>
      <c r="T704" s="150"/>
      <c r="U704" s="140"/>
      <c r="V704" s="140"/>
      <c r="W704" s="140"/>
      <c r="X704" s="140"/>
      <c r="Y704" s="140"/>
      <c r="Z704" s="140"/>
      <c r="AA704" s="140"/>
      <c r="AB704" s="140"/>
      <c r="AC704" s="140"/>
      <c r="AD704" s="140"/>
      <c r="AE704" s="140"/>
      <c r="AF704" s="140"/>
      <c r="AG704" s="140"/>
      <c r="AH704" s="140"/>
      <c r="AI704" s="140"/>
      <c r="AJ704" s="140"/>
      <c r="AK704" s="140"/>
      <c r="AL704" s="140"/>
      <c r="AM704" s="140"/>
      <c r="AN704" s="140"/>
      <c r="AO704" s="140"/>
      <c r="AP704" s="140"/>
      <c r="AQ704" s="140"/>
      <c r="AR704" s="140"/>
      <c r="AS704" s="140"/>
    </row>
    <row r="705">
      <c r="A705" s="149"/>
      <c r="B705" s="140"/>
      <c r="C705" s="140"/>
      <c r="D705" s="140"/>
      <c r="E705" s="140"/>
      <c r="F705" s="140"/>
      <c r="G705" s="140"/>
      <c r="H705" s="140"/>
      <c r="I705" s="140"/>
      <c r="J705" s="140"/>
      <c r="K705" s="140"/>
      <c r="L705" s="140"/>
      <c r="M705" s="140"/>
      <c r="N705" s="140"/>
      <c r="O705" s="140"/>
      <c r="P705" s="140"/>
      <c r="Q705" s="140"/>
      <c r="R705" s="140"/>
      <c r="S705" s="150"/>
      <c r="T705" s="150"/>
      <c r="U705" s="140"/>
      <c r="V705" s="140"/>
      <c r="W705" s="140"/>
      <c r="X705" s="140"/>
      <c r="Y705" s="140"/>
      <c r="Z705" s="140"/>
      <c r="AA705" s="140"/>
      <c r="AB705" s="140"/>
      <c r="AC705" s="140"/>
      <c r="AD705" s="140"/>
      <c r="AE705" s="140"/>
      <c r="AF705" s="140"/>
      <c r="AG705" s="140"/>
      <c r="AH705" s="140"/>
      <c r="AI705" s="140"/>
      <c r="AJ705" s="140"/>
      <c r="AK705" s="140"/>
      <c r="AL705" s="140"/>
      <c r="AM705" s="140"/>
      <c r="AN705" s="140"/>
      <c r="AO705" s="140"/>
      <c r="AP705" s="140"/>
      <c r="AQ705" s="140"/>
      <c r="AR705" s="140"/>
      <c r="AS705" s="140"/>
    </row>
    <row r="706">
      <c r="A706" s="149"/>
      <c r="B706" s="140"/>
      <c r="C706" s="140"/>
      <c r="D706" s="140"/>
      <c r="E706" s="140"/>
      <c r="F706" s="140"/>
      <c r="G706" s="140"/>
      <c r="H706" s="140"/>
      <c r="I706" s="140"/>
      <c r="J706" s="140"/>
      <c r="K706" s="140"/>
      <c r="L706" s="140"/>
      <c r="M706" s="140"/>
      <c r="N706" s="140"/>
      <c r="O706" s="140"/>
      <c r="P706" s="140"/>
      <c r="Q706" s="140"/>
      <c r="R706" s="140"/>
      <c r="S706" s="150"/>
      <c r="T706" s="150"/>
      <c r="U706" s="140"/>
      <c r="V706" s="140"/>
      <c r="W706" s="140"/>
      <c r="X706" s="140"/>
      <c r="Y706" s="140"/>
      <c r="Z706" s="140"/>
      <c r="AA706" s="140"/>
      <c r="AB706" s="140"/>
      <c r="AC706" s="140"/>
      <c r="AD706" s="140"/>
      <c r="AE706" s="140"/>
      <c r="AF706" s="140"/>
      <c r="AG706" s="140"/>
      <c r="AH706" s="140"/>
      <c r="AI706" s="140"/>
      <c r="AJ706" s="140"/>
      <c r="AK706" s="140"/>
      <c r="AL706" s="140"/>
      <c r="AM706" s="140"/>
      <c r="AN706" s="140"/>
      <c r="AO706" s="140"/>
      <c r="AP706" s="140"/>
      <c r="AQ706" s="140"/>
      <c r="AR706" s="140"/>
      <c r="AS706" s="140"/>
    </row>
    <row r="707">
      <c r="A707" s="149"/>
      <c r="B707" s="140"/>
      <c r="C707" s="140"/>
      <c r="D707" s="140"/>
      <c r="E707" s="140"/>
      <c r="F707" s="140"/>
      <c r="G707" s="140"/>
      <c r="H707" s="140"/>
      <c r="I707" s="140"/>
      <c r="J707" s="140"/>
      <c r="K707" s="140"/>
      <c r="L707" s="140"/>
      <c r="M707" s="140"/>
      <c r="N707" s="140"/>
      <c r="O707" s="140"/>
      <c r="P707" s="140"/>
      <c r="Q707" s="140"/>
      <c r="R707" s="140"/>
      <c r="S707" s="150"/>
      <c r="T707" s="150"/>
      <c r="U707" s="140"/>
      <c r="V707" s="140"/>
      <c r="W707" s="140"/>
      <c r="X707" s="140"/>
      <c r="Y707" s="140"/>
      <c r="Z707" s="140"/>
      <c r="AA707" s="140"/>
      <c r="AB707" s="140"/>
      <c r="AC707" s="140"/>
      <c r="AD707" s="140"/>
      <c r="AE707" s="140"/>
      <c r="AF707" s="140"/>
      <c r="AG707" s="140"/>
      <c r="AH707" s="140"/>
      <c r="AI707" s="140"/>
      <c r="AJ707" s="140"/>
      <c r="AK707" s="140"/>
      <c r="AL707" s="140"/>
      <c r="AM707" s="140"/>
      <c r="AN707" s="140"/>
      <c r="AO707" s="140"/>
      <c r="AP707" s="140"/>
      <c r="AQ707" s="140"/>
      <c r="AR707" s="140"/>
      <c r="AS707" s="140"/>
    </row>
    <row r="708">
      <c r="A708" s="149"/>
      <c r="B708" s="140"/>
      <c r="C708" s="140"/>
      <c r="D708" s="140"/>
      <c r="E708" s="140"/>
      <c r="F708" s="140"/>
      <c r="G708" s="140"/>
      <c r="H708" s="140"/>
      <c r="I708" s="140"/>
      <c r="J708" s="140"/>
      <c r="K708" s="140"/>
      <c r="L708" s="140"/>
      <c r="M708" s="140"/>
      <c r="N708" s="140"/>
      <c r="O708" s="140"/>
      <c r="P708" s="140"/>
      <c r="Q708" s="140"/>
      <c r="R708" s="140"/>
      <c r="S708" s="150"/>
      <c r="T708" s="150"/>
      <c r="U708" s="140"/>
      <c r="V708" s="140"/>
      <c r="W708" s="140"/>
      <c r="X708" s="140"/>
      <c r="Y708" s="140"/>
      <c r="Z708" s="140"/>
      <c r="AA708" s="140"/>
      <c r="AB708" s="140"/>
      <c r="AC708" s="140"/>
      <c r="AD708" s="140"/>
      <c r="AE708" s="140"/>
      <c r="AF708" s="140"/>
      <c r="AG708" s="140"/>
      <c r="AH708" s="140"/>
      <c r="AI708" s="140"/>
      <c r="AJ708" s="140"/>
      <c r="AK708" s="140"/>
      <c r="AL708" s="140"/>
      <c r="AM708" s="140"/>
      <c r="AN708" s="140"/>
      <c r="AO708" s="140"/>
      <c r="AP708" s="140"/>
      <c r="AQ708" s="140"/>
      <c r="AR708" s="140"/>
      <c r="AS708" s="140"/>
    </row>
    <row r="709">
      <c r="A709" s="149"/>
      <c r="B709" s="140"/>
      <c r="C709" s="140"/>
      <c r="D709" s="140"/>
      <c r="E709" s="140"/>
      <c r="F709" s="140"/>
      <c r="G709" s="140"/>
      <c r="H709" s="140"/>
      <c r="I709" s="140"/>
      <c r="J709" s="140"/>
      <c r="K709" s="140"/>
      <c r="L709" s="140"/>
      <c r="M709" s="140"/>
      <c r="N709" s="140"/>
      <c r="O709" s="140"/>
      <c r="P709" s="140"/>
      <c r="Q709" s="140"/>
      <c r="R709" s="140"/>
      <c r="S709" s="150"/>
      <c r="T709" s="150"/>
      <c r="U709" s="140"/>
      <c r="V709" s="140"/>
      <c r="W709" s="140"/>
      <c r="X709" s="140"/>
      <c r="Y709" s="140"/>
      <c r="Z709" s="140"/>
      <c r="AA709" s="140"/>
      <c r="AB709" s="140"/>
      <c r="AC709" s="140"/>
      <c r="AD709" s="140"/>
      <c r="AE709" s="140"/>
      <c r="AF709" s="140"/>
      <c r="AG709" s="140"/>
      <c r="AH709" s="140"/>
      <c r="AI709" s="140"/>
      <c r="AJ709" s="140"/>
      <c r="AK709" s="140"/>
      <c r="AL709" s="140"/>
      <c r="AM709" s="140"/>
      <c r="AN709" s="140"/>
      <c r="AO709" s="140"/>
      <c r="AP709" s="140"/>
      <c r="AQ709" s="140"/>
      <c r="AR709" s="140"/>
      <c r="AS709" s="140"/>
    </row>
    <row r="710">
      <c r="A710" s="149"/>
      <c r="B710" s="140"/>
      <c r="C710" s="140"/>
      <c r="D710" s="140"/>
      <c r="E710" s="140"/>
      <c r="F710" s="140"/>
      <c r="G710" s="140"/>
      <c r="H710" s="140"/>
      <c r="I710" s="140"/>
      <c r="J710" s="140"/>
      <c r="K710" s="140"/>
      <c r="L710" s="140"/>
      <c r="M710" s="140"/>
      <c r="N710" s="140"/>
      <c r="O710" s="140"/>
      <c r="P710" s="140"/>
      <c r="Q710" s="140"/>
      <c r="R710" s="140"/>
      <c r="S710" s="150"/>
      <c r="T710" s="150"/>
      <c r="U710" s="140"/>
      <c r="V710" s="140"/>
      <c r="W710" s="140"/>
      <c r="X710" s="140"/>
      <c r="Y710" s="140"/>
      <c r="Z710" s="140"/>
      <c r="AA710" s="140"/>
      <c r="AB710" s="140"/>
      <c r="AC710" s="140"/>
      <c r="AD710" s="140"/>
      <c r="AE710" s="140"/>
      <c r="AF710" s="140"/>
      <c r="AG710" s="140"/>
      <c r="AH710" s="140"/>
      <c r="AI710" s="140"/>
      <c r="AJ710" s="140"/>
      <c r="AK710" s="140"/>
      <c r="AL710" s="140"/>
      <c r="AM710" s="140"/>
      <c r="AN710" s="140"/>
      <c r="AO710" s="140"/>
      <c r="AP710" s="140"/>
      <c r="AQ710" s="140"/>
      <c r="AR710" s="140"/>
      <c r="AS710" s="140"/>
    </row>
    <row r="711">
      <c r="A711" s="149"/>
      <c r="B711" s="140"/>
      <c r="C711" s="140"/>
      <c r="D711" s="140"/>
      <c r="E711" s="140"/>
      <c r="F711" s="140"/>
      <c r="G711" s="140"/>
      <c r="H711" s="140"/>
      <c r="I711" s="140"/>
      <c r="J711" s="140"/>
      <c r="K711" s="140"/>
      <c r="L711" s="140"/>
      <c r="M711" s="140"/>
      <c r="N711" s="140"/>
      <c r="O711" s="140"/>
      <c r="P711" s="140"/>
      <c r="Q711" s="140"/>
      <c r="R711" s="140"/>
      <c r="S711" s="150"/>
      <c r="T711" s="150"/>
      <c r="U711" s="140"/>
      <c r="V711" s="140"/>
      <c r="W711" s="140"/>
      <c r="X711" s="140"/>
      <c r="Y711" s="140"/>
      <c r="Z711" s="140"/>
      <c r="AA711" s="140"/>
      <c r="AB711" s="140"/>
      <c r="AC711" s="140"/>
      <c r="AD711" s="140"/>
      <c r="AE711" s="140"/>
      <c r="AF711" s="140"/>
      <c r="AG711" s="140"/>
      <c r="AH711" s="140"/>
      <c r="AI711" s="140"/>
      <c r="AJ711" s="140"/>
      <c r="AK711" s="140"/>
      <c r="AL711" s="140"/>
      <c r="AM711" s="140"/>
      <c r="AN711" s="140"/>
      <c r="AO711" s="140"/>
      <c r="AP711" s="140"/>
      <c r="AQ711" s="140"/>
      <c r="AR711" s="140"/>
      <c r="AS711" s="140"/>
    </row>
    <row r="712">
      <c r="A712" s="149"/>
      <c r="B712" s="140"/>
      <c r="C712" s="140"/>
      <c r="D712" s="140"/>
      <c r="E712" s="140"/>
      <c r="F712" s="140"/>
      <c r="G712" s="140"/>
      <c r="H712" s="140"/>
      <c r="I712" s="140"/>
      <c r="J712" s="140"/>
      <c r="K712" s="140"/>
      <c r="L712" s="140"/>
      <c r="M712" s="140"/>
      <c r="N712" s="140"/>
      <c r="O712" s="140"/>
      <c r="P712" s="140"/>
      <c r="Q712" s="140"/>
      <c r="R712" s="140"/>
      <c r="S712" s="150"/>
      <c r="T712" s="150"/>
      <c r="U712" s="140"/>
      <c r="V712" s="140"/>
      <c r="W712" s="140"/>
      <c r="X712" s="140"/>
      <c r="Y712" s="140"/>
      <c r="Z712" s="140"/>
      <c r="AA712" s="140"/>
      <c r="AB712" s="140"/>
      <c r="AC712" s="140"/>
      <c r="AD712" s="140"/>
      <c r="AE712" s="140"/>
      <c r="AF712" s="140"/>
      <c r="AG712" s="140"/>
      <c r="AH712" s="140"/>
      <c r="AI712" s="140"/>
      <c r="AJ712" s="140"/>
      <c r="AK712" s="140"/>
      <c r="AL712" s="140"/>
      <c r="AM712" s="140"/>
      <c r="AN712" s="140"/>
      <c r="AO712" s="140"/>
      <c r="AP712" s="140"/>
      <c r="AQ712" s="140"/>
      <c r="AR712" s="140"/>
      <c r="AS712" s="140"/>
    </row>
    <row r="713">
      <c r="A713" s="149"/>
      <c r="B713" s="140"/>
      <c r="C713" s="140"/>
      <c r="D713" s="140"/>
      <c r="E713" s="140"/>
      <c r="F713" s="140"/>
      <c r="G713" s="140"/>
      <c r="H713" s="140"/>
      <c r="I713" s="140"/>
      <c r="J713" s="140"/>
      <c r="K713" s="140"/>
      <c r="L713" s="140"/>
      <c r="M713" s="140"/>
      <c r="N713" s="140"/>
      <c r="O713" s="140"/>
      <c r="P713" s="140"/>
      <c r="Q713" s="140"/>
      <c r="R713" s="140"/>
      <c r="S713" s="150"/>
      <c r="T713" s="150"/>
      <c r="U713" s="140"/>
      <c r="V713" s="140"/>
      <c r="W713" s="140"/>
      <c r="X713" s="140"/>
      <c r="Y713" s="140"/>
      <c r="Z713" s="140"/>
      <c r="AA713" s="140"/>
      <c r="AB713" s="140"/>
      <c r="AC713" s="140"/>
      <c r="AD713" s="140"/>
      <c r="AE713" s="140"/>
      <c r="AF713" s="140"/>
      <c r="AG713" s="140"/>
      <c r="AH713" s="140"/>
      <c r="AI713" s="140"/>
      <c r="AJ713" s="140"/>
      <c r="AK713" s="140"/>
      <c r="AL713" s="140"/>
      <c r="AM713" s="140"/>
      <c r="AN713" s="140"/>
      <c r="AO713" s="140"/>
      <c r="AP713" s="140"/>
      <c r="AQ713" s="140"/>
      <c r="AR713" s="140"/>
      <c r="AS713" s="140"/>
    </row>
    <row r="714">
      <c r="A714" s="149"/>
      <c r="B714" s="140"/>
      <c r="C714" s="140"/>
      <c r="D714" s="140"/>
      <c r="E714" s="140"/>
      <c r="F714" s="140"/>
      <c r="G714" s="140"/>
      <c r="H714" s="140"/>
      <c r="I714" s="140"/>
      <c r="J714" s="140"/>
      <c r="K714" s="140"/>
      <c r="L714" s="140"/>
      <c r="M714" s="140"/>
      <c r="N714" s="140"/>
      <c r="O714" s="140"/>
      <c r="P714" s="140"/>
      <c r="Q714" s="140"/>
      <c r="R714" s="140"/>
      <c r="S714" s="150"/>
      <c r="T714" s="150"/>
      <c r="U714" s="140"/>
      <c r="V714" s="140"/>
      <c r="W714" s="140"/>
      <c r="X714" s="140"/>
      <c r="Y714" s="140"/>
      <c r="Z714" s="140"/>
      <c r="AA714" s="140"/>
      <c r="AB714" s="140"/>
      <c r="AC714" s="140"/>
      <c r="AD714" s="140"/>
      <c r="AE714" s="140"/>
      <c r="AF714" s="140"/>
      <c r="AG714" s="140"/>
      <c r="AH714" s="140"/>
      <c r="AI714" s="140"/>
      <c r="AJ714" s="140"/>
      <c r="AK714" s="140"/>
      <c r="AL714" s="140"/>
      <c r="AM714" s="140"/>
      <c r="AN714" s="140"/>
      <c r="AO714" s="140"/>
      <c r="AP714" s="140"/>
      <c r="AQ714" s="140"/>
      <c r="AR714" s="140"/>
      <c r="AS714" s="140"/>
    </row>
    <row r="715">
      <c r="A715" s="149"/>
      <c r="B715" s="140"/>
      <c r="C715" s="140"/>
      <c r="D715" s="140"/>
      <c r="E715" s="140"/>
      <c r="F715" s="140"/>
      <c r="G715" s="140"/>
      <c r="H715" s="140"/>
      <c r="I715" s="140"/>
      <c r="J715" s="140"/>
      <c r="K715" s="140"/>
      <c r="L715" s="140"/>
      <c r="M715" s="140"/>
      <c r="N715" s="140"/>
      <c r="O715" s="140"/>
      <c r="P715" s="140"/>
      <c r="Q715" s="140"/>
      <c r="R715" s="140"/>
      <c r="S715" s="150"/>
      <c r="T715" s="150"/>
      <c r="U715" s="140"/>
      <c r="V715" s="140"/>
      <c r="W715" s="140"/>
      <c r="X715" s="140"/>
      <c r="Y715" s="140"/>
      <c r="Z715" s="140"/>
      <c r="AA715" s="140"/>
      <c r="AB715" s="140"/>
      <c r="AC715" s="140"/>
      <c r="AD715" s="140"/>
      <c r="AE715" s="140"/>
      <c r="AF715" s="140"/>
      <c r="AG715" s="140"/>
      <c r="AH715" s="140"/>
      <c r="AI715" s="140"/>
      <c r="AJ715" s="140"/>
      <c r="AK715" s="140"/>
      <c r="AL715" s="140"/>
      <c r="AM715" s="140"/>
      <c r="AN715" s="140"/>
      <c r="AO715" s="140"/>
      <c r="AP715" s="140"/>
      <c r="AQ715" s="140"/>
      <c r="AR715" s="140"/>
      <c r="AS715" s="140"/>
    </row>
    <row r="716">
      <c r="A716" s="149"/>
      <c r="B716" s="140"/>
      <c r="C716" s="140"/>
      <c r="D716" s="140"/>
      <c r="E716" s="140"/>
      <c r="F716" s="140"/>
      <c r="G716" s="140"/>
      <c r="H716" s="140"/>
      <c r="I716" s="140"/>
      <c r="J716" s="140"/>
      <c r="K716" s="140"/>
      <c r="L716" s="140"/>
      <c r="M716" s="140"/>
      <c r="N716" s="140"/>
      <c r="O716" s="140"/>
      <c r="P716" s="140"/>
      <c r="Q716" s="140"/>
      <c r="R716" s="140"/>
      <c r="S716" s="150"/>
      <c r="T716" s="150"/>
      <c r="U716" s="140"/>
      <c r="V716" s="140"/>
      <c r="W716" s="140"/>
      <c r="X716" s="140"/>
      <c r="Y716" s="140"/>
      <c r="Z716" s="140"/>
      <c r="AA716" s="140"/>
      <c r="AB716" s="140"/>
      <c r="AC716" s="140"/>
      <c r="AD716" s="140"/>
      <c r="AE716" s="140"/>
      <c r="AF716" s="140"/>
      <c r="AG716" s="140"/>
      <c r="AH716" s="140"/>
      <c r="AI716" s="140"/>
      <c r="AJ716" s="140"/>
      <c r="AK716" s="140"/>
      <c r="AL716" s="140"/>
      <c r="AM716" s="140"/>
      <c r="AN716" s="140"/>
      <c r="AO716" s="140"/>
      <c r="AP716" s="140"/>
      <c r="AQ716" s="140"/>
      <c r="AR716" s="140"/>
      <c r="AS716" s="140"/>
    </row>
    <row r="717">
      <c r="A717" s="149"/>
      <c r="B717" s="140"/>
      <c r="C717" s="140"/>
      <c r="D717" s="140"/>
      <c r="E717" s="140"/>
      <c r="F717" s="140"/>
      <c r="G717" s="140"/>
      <c r="H717" s="140"/>
      <c r="I717" s="140"/>
      <c r="J717" s="140"/>
      <c r="K717" s="140"/>
      <c r="L717" s="140"/>
      <c r="M717" s="140"/>
      <c r="N717" s="140"/>
      <c r="O717" s="140"/>
      <c r="P717" s="140"/>
      <c r="Q717" s="140"/>
      <c r="R717" s="140"/>
      <c r="S717" s="150"/>
      <c r="T717" s="150"/>
      <c r="U717" s="140"/>
      <c r="V717" s="140"/>
      <c r="W717" s="140"/>
      <c r="X717" s="140"/>
      <c r="Y717" s="140"/>
      <c r="Z717" s="140"/>
      <c r="AA717" s="140"/>
      <c r="AB717" s="140"/>
      <c r="AC717" s="140"/>
      <c r="AD717" s="140"/>
      <c r="AE717" s="140"/>
      <c r="AF717" s="140"/>
      <c r="AG717" s="140"/>
      <c r="AH717" s="140"/>
      <c r="AI717" s="140"/>
      <c r="AJ717" s="140"/>
      <c r="AK717" s="140"/>
      <c r="AL717" s="140"/>
      <c r="AM717" s="140"/>
      <c r="AN717" s="140"/>
      <c r="AO717" s="140"/>
      <c r="AP717" s="140"/>
      <c r="AQ717" s="140"/>
      <c r="AR717" s="140"/>
      <c r="AS717" s="140"/>
    </row>
    <row r="718">
      <c r="A718" s="149"/>
      <c r="B718" s="140"/>
      <c r="C718" s="140"/>
      <c r="D718" s="140"/>
      <c r="E718" s="140"/>
      <c r="F718" s="140"/>
      <c r="G718" s="140"/>
      <c r="H718" s="140"/>
      <c r="I718" s="140"/>
      <c r="J718" s="140"/>
      <c r="K718" s="140"/>
      <c r="L718" s="140"/>
      <c r="M718" s="140"/>
      <c r="N718" s="140"/>
      <c r="O718" s="140"/>
      <c r="P718" s="140"/>
      <c r="Q718" s="140"/>
      <c r="R718" s="140"/>
      <c r="S718" s="150"/>
      <c r="T718" s="150"/>
      <c r="U718" s="140"/>
      <c r="V718" s="140"/>
      <c r="W718" s="140"/>
      <c r="X718" s="140"/>
      <c r="Y718" s="140"/>
      <c r="Z718" s="140"/>
      <c r="AA718" s="140"/>
      <c r="AB718" s="140"/>
      <c r="AC718" s="140"/>
      <c r="AD718" s="140"/>
      <c r="AE718" s="140"/>
      <c r="AF718" s="140"/>
      <c r="AG718" s="140"/>
      <c r="AH718" s="140"/>
      <c r="AI718" s="140"/>
      <c r="AJ718" s="140"/>
      <c r="AK718" s="140"/>
      <c r="AL718" s="140"/>
      <c r="AM718" s="140"/>
      <c r="AN718" s="140"/>
      <c r="AO718" s="140"/>
      <c r="AP718" s="140"/>
      <c r="AQ718" s="140"/>
      <c r="AR718" s="140"/>
      <c r="AS718" s="140"/>
    </row>
    <row r="719">
      <c r="A719" s="149"/>
      <c r="B719" s="140"/>
      <c r="C719" s="140"/>
      <c r="D719" s="140"/>
      <c r="E719" s="140"/>
      <c r="F719" s="140"/>
      <c r="G719" s="140"/>
      <c r="H719" s="140"/>
      <c r="I719" s="140"/>
      <c r="J719" s="140"/>
      <c r="K719" s="140"/>
      <c r="L719" s="140"/>
      <c r="M719" s="140"/>
      <c r="N719" s="140"/>
      <c r="O719" s="140"/>
      <c r="P719" s="140"/>
      <c r="Q719" s="140"/>
      <c r="R719" s="140"/>
      <c r="S719" s="150"/>
      <c r="T719" s="150"/>
      <c r="U719" s="140"/>
      <c r="V719" s="140"/>
      <c r="W719" s="140"/>
      <c r="X719" s="140"/>
      <c r="Y719" s="140"/>
      <c r="Z719" s="140"/>
      <c r="AA719" s="140"/>
      <c r="AB719" s="140"/>
      <c r="AC719" s="140"/>
      <c r="AD719" s="140"/>
      <c r="AE719" s="140"/>
      <c r="AF719" s="140"/>
      <c r="AG719" s="140"/>
      <c r="AH719" s="140"/>
      <c r="AI719" s="140"/>
      <c r="AJ719" s="140"/>
      <c r="AK719" s="140"/>
      <c r="AL719" s="140"/>
      <c r="AM719" s="140"/>
      <c r="AN719" s="140"/>
      <c r="AO719" s="140"/>
      <c r="AP719" s="140"/>
      <c r="AQ719" s="140"/>
      <c r="AR719" s="140"/>
      <c r="AS719" s="140"/>
    </row>
    <row r="720">
      <c r="A720" s="149"/>
      <c r="B720" s="140"/>
      <c r="C720" s="140"/>
      <c r="D720" s="140"/>
      <c r="E720" s="140"/>
      <c r="F720" s="140"/>
      <c r="G720" s="140"/>
      <c r="H720" s="140"/>
      <c r="I720" s="140"/>
      <c r="J720" s="140"/>
      <c r="K720" s="140"/>
      <c r="L720" s="140"/>
      <c r="M720" s="140"/>
      <c r="N720" s="140"/>
      <c r="O720" s="140"/>
      <c r="P720" s="140"/>
      <c r="Q720" s="140"/>
      <c r="R720" s="140"/>
      <c r="S720" s="150"/>
      <c r="T720" s="150"/>
      <c r="U720" s="140"/>
      <c r="V720" s="140"/>
      <c r="W720" s="140"/>
      <c r="X720" s="140"/>
      <c r="Y720" s="140"/>
      <c r="Z720" s="140"/>
      <c r="AA720" s="140"/>
      <c r="AB720" s="140"/>
      <c r="AC720" s="140"/>
      <c r="AD720" s="140"/>
      <c r="AE720" s="140"/>
      <c r="AF720" s="140"/>
      <c r="AG720" s="140"/>
      <c r="AH720" s="140"/>
      <c r="AI720" s="140"/>
      <c r="AJ720" s="140"/>
      <c r="AK720" s="140"/>
      <c r="AL720" s="140"/>
      <c r="AM720" s="140"/>
      <c r="AN720" s="140"/>
      <c r="AO720" s="140"/>
      <c r="AP720" s="140"/>
      <c r="AQ720" s="140"/>
      <c r="AR720" s="140"/>
      <c r="AS720" s="140"/>
    </row>
    <row r="721">
      <c r="A721" s="149"/>
      <c r="B721" s="140"/>
      <c r="C721" s="140"/>
      <c r="D721" s="140"/>
      <c r="E721" s="140"/>
      <c r="F721" s="140"/>
      <c r="G721" s="140"/>
      <c r="H721" s="140"/>
      <c r="I721" s="140"/>
      <c r="J721" s="140"/>
      <c r="K721" s="140"/>
      <c r="L721" s="140"/>
      <c r="M721" s="140"/>
      <c r="N721" s="140"/>
      <c r="O721" s="140"/>
      <c r="P721" s="140"/>
      <c r="Q721" s="140"/>
      <c r="R721" s="140"/>
      <c r="S721" s="150"/>
      <c r="T721" s="150"/>
      <c r="U721" s="140"/>
      <c r="V721" s="140"/>
      <c r="W721" s="140"/>
      <c r="X721" s="140"/>
      <c r="Y721" s="140"/>
      <c r="Z721" s="140"/>
      <c r="AA721" s="140"/>
      <c r="AB721" s="140"/>
      <c r="AC721" s="140"/>
      <c r="AD721" s="140"/>
      <c r="AE721" s="140"/>
      <c r="AF721" s="140"/>
      <c r="AG721" s="140"/>
      <c r="AH721" s="140"/>
      <c r="AI721" s="140"/>
      <c r="AJ721" s="140"/>
      <c r="AK721" s="140"/>
      <c r="AL721" s="140"/>
      <c r="AM721" s="140"/>
      <c r="AN721" s="140"/>
      <c r="AO721" s="140"/>
      <c r="AP721" s="140"/>
      <c r="AQ721" s="140"/>
      <c r="AR721" s="140"/>
      <c r="AS721" s="140"/>
    </row>
    <row r="722">
      <c r="A722" s="149"/>
      <c r="B722" s="140"/>
      <c r="C722" s="140"/>
      <c r="D722" s="140"/>
      <c r="E722" s="140"/>
      <c r="F722" s="140"/>
      <c r="G722" s="140"/>
      <c r="H722" s="140"/>
      <c r="I722" s="140"/>
      <c r="J722" s="140"/>
      <c r="K722" s="140"/>
      <c r="L722" s="140"/>
      <c r="M722" s="140"/>
      <c r="N722" s="140"/>
      <c r="O722" s="140"/>
      <c r="P722" s="140"/>
      <c r="Q722" s="140"/>
      <c r="R722" s="140"/>
      <c r="S722" s="150"/>
      <c r="T722" s="150"/>
      <c r="U722" s="140"/>
      <c r="V722" s="140"/>
      <c r="W722" s="140"/>
      <c r="X722" s="140"/>
      <c r="Y722" s="140"/>
      <c r="Z722" s="140"/>
      <c r="AA722" s="140"/>
      <c r="AB722" s="140"/>
      <c r="AC722" s="140"/>
      <c r="AD722" s="140"/>
      <c r="AE722" s="140"/>
      <c r="AF722" s="140"/>
      <c r="AG722" s="140"/>
      <c r="AH722" s="140"/>
      <c r="AI722" s="140"/>
      <c r="AJ722" s="140"/>
      <c r="AK722" s="140"/>
      <c r="AL722" s="140"/>
      <c r="AM722" s="140"/>
      <c r="AN722" s="140"/>
      <c r="AO722" s="140"/>
      <c r="AP722" s="140"/>
      <c r="AQ722" s="140"/>
      <c r="AR722" s="140"/>
      <c r="AS722" s="140"/>
    </row>
    <row r="723">
      <c r="A723" s="149"/>
      <c r="B723" s="140"/>
      <c r="C723" s="140"/>
      <c r="D723" s="140"/>
      <c r="E723" s="140"/>
      <c r="F723" s="140"/>
      <c r="G723" s="140"/>
      <c r="H723" s="140"/>
      <c r="I723" s="140"/>
      <c r="J723" s="140"/>
      <c r="K723" s="140"/>
      <c r="L723" s="140"/>
      <c r="M723" s="140"/>
      <c r="N723" s="140"/>
      <c r="O723" s="140"/>
      <c r="P723" s="140"/>
      <c r="Q723" s="140"/>
      <c r="R723" s="140"/>
      <c r="S723" s="150"/>
      <c r="T723" s="150"/>
      <c r="U723" s="140"/>
      <c r="V723" s="140"/>
      <c r="W723" s="140"/>
      <c r="X723" s="140"/>
      <c r="Y723" s="140"/>
      <c r="Z723" s="140"/>
      <c r="AA723" s="140"/>
      <c r="AB723" s="140"/>
      <c r="AC723" s="140"/>
      <c r="AD723" s="140"/>
      <c r="AE723" s="140"/>
      <c r="AF723" s="140"/>
      <c r="AG723" s="140"/>
      <c r="AH723" s="140"/>
      <c r="AI723" s="140"/>
      <c r="AJ723" s="140"/>
      <c r="AK723" s="140"/>
      <c r="AL723" s="140"/>
      <c r="AM723" s="140"/>
      <c r="AN723" s="140"/>
      <c r="AO723" s="140"/>
      <c r="AP723" s="140"/>
      <c r="AQ723" s="140"/>
      <c r="AR723" s="140"/>
      <c r="AS723" s="140"/>
    </row>
    <row r="724">
      <c r="A724" s="149"/>
      <c r="B724" s="140"/>
      <c r="C724" s="140"/>
      <c r="D724" s="140"/>
      <c r="E724" s="140"/>
      <c r="F724" s="140"/>
      <c r="G724" s="140"/>
      <c r="H724" s="140"/>
      <c r="I724" s="140"/>
      <c r="J724" s="140"/>
      <c r="K724" s="140"/>
      <c r="L724" s="140"/>
      <c r="M724" s="140"/>
      <c r="N724" s="140"/>
      <c r="O724" s="140"/>
      <c r="P724" s="140"/>
      <c r="Q724" s="140"/>
      <c r="R724" s="140"/>
      <c r="S724" s="150"/>
      <c r="T724" s="150"/>
      <c r="U724" s="140"/>
      <c r="V724" s="140"/>
      <c r="W724" s="140"/>
      <c r="X724" s="140"/>
      <c r="Y724" s="140"/>
      <c r="Z724" s="140"/>
      <c r="AA724" s="140"/>
      <c r="AB724" s="140"/>
      <c r="AC724" s="140"/>
      <c r="AD724" s="140"/>
      <c r="AE724" s="140"/>
      <c r="AF724" s="140"/>
      <c r="AG724" s="140"/>
      <c r="AH724" s="140"/>
      <c r="AI724" s="140"/>
      <c r="AJ724" s="140"/>
      <c r="AK724" s="140"/>
      <c r="AL724" s="140"/>
      <c r="AM724" s="140"/>
      <c r="AN724" s="140"/>
      <c r="AO724" s="140"/>
      <c r="AP724" s="140"/>
      <c r="AQ724" s="140"/>
      <c r="AR724" s="140"/>
      <c r="AS724" s="140"/>
    </row>
    <row r="725">
      <c r="A725" s="149"/>
      <c r="B725" s="140"/>
      <c r="C725" s="140"/>
      <c r="D725" s="140"/>
      <c r="E725" s="140"/>
      <c r="F725" s="140"/>
      <c r="G725" s="140"/>
      <c r="H725" s="140"/>
      <c r="I725" s="140"/>
      <c r="J725" s="140"/>
      <c r="K725" s="140"/>
      <c r="L725" s="140"/>
      <c r="M725" s="140"/>
      <c r="N725" s="140"/>
      <c r="O725" s="140"/>
      <c r="P725" s="140"/>
      <c r="Q725" s="140"/>
      <c r="R725" s="140"/>
      <c r="S725" s="150"/>
      <c r="T725" s="150"/>
      <c r="U725" s="140"/>
      <c r="V725" s="140"/>
      <c r="W725" s="140"/>
      <c r="X725" s="140"/>
      <c r="Y725" s="140"/>
      <c r="Z725" s="140"/>
      <c r="AA725" s="140"/>
      <c r="AB725" s="140"/>
      <c r="AC725" s="140"/>
      <c r="AD725" s="140"/>
      <c r="AE725" s="140"/>
      <c r="AF725" s="140"/>
      <c r="AG725" s="140"/>
      <c r="AH725" s="140"/>
      <c r="AI725" s="140"/>
      <c r="AJ725" s="140"/>
      <c r="AK725" s="140"/>
      <c r="AL725" s="140"/>
      <c r="AM725" s="140"/>
      <c r="AN725" s="140"/>
      <c r="AO725" s="140"/>
      <c r="AP725" s="140"/>
      <c r="AQ725" s="140"/>
      <c r="AR725" s="140"/>
      <c r="AS725" s="140"/>
    </row>
    <row r="726">
      <c r="A726" s="149"/>
      <c r="B726" s="140"/>
      <c r="C726" s="140"/>
      <c r="D726" s="140"/>
      <c r="E726" s="140"/>
      <c r="F726" s="140"/>
      <c r="G726" s="140"/>
      <c r="H726" s="140"/>
      <c r="I726" s="140"/>
      <c r="J726" s="140"/>
      <c r="K726" s="140"/>
      <c r="L726" s="140"/>
      <c r="M726" s="140"/>
      <c r="N726" s="140"/>
      <c r="O726" s="140"/>
      <c r="P726" s="140"/>
      <c r="Q726" s="140"/>
      <c r="R726" s="140"/>
      <c r="S726" s="150"/>
      <c r="T726" s="150"/>
      <c r="U726" s="140"/>
      <c r="V726" s="140"/>
      <c r="W726" s="140"/>
      <c r="X726" s="140"/>
      <c r="Y726" s="140"/>
      <c r="Z726" s="140"/>
      <c r="AA726" s="140"/>
      <c r="AB726" s="140"/>
      <c r="AC726" s="140"/>
      <c r="AD726" s="140"/>
      <c r="AE726" s="140"/>
      <c r="AF726" s="140"/>
      <c r="AG726" s="140"/>
      <c r="AH726" s="140"/>
      <c r="AI726" s="140"/>
      <c r="AJ726" s="140"/>
      <c r="AK726" s="140"/>
      <c r="AL726" s="140"/>
      <c r="AM726" s="140"/>
      <c r="AN726" s="140"/>
      <c r="AO726" s="140"/>
      <c r="AP726" s="140"/>
      <c r="AQ726" s="140"/>
      <c r="AR726" s="140"/>
      <c r="AS726" s="140"/>
    </row>
    <row r="727">
      <c r="A727" s="149"/>
      <c r="B727" s="140"/>
      <c r="C727" s="140"/>
      <c r="D727" s="140"/>
      <c r="E727" s="140"/>
      <c r="F727" s="140"/>
      <c r="G727" s="140"/>
      <c r="H727" s="140"/>
      <c r="I727" s="140"/>
      <c r="J727" s="140"/>
      <c r="K727" s="140"/>
      <c r="L727" s="140"/>
      <c r="M727" s="140"/>
      <c r="N727" s="140"/>
      <c r="O727" s="140"/>
      <c r="P727" s="140"/>
      <c r="Q727" s="140"/>
      <c r="R727" s="140"/>
      <c r="S727" s="150"/>
      <c r="T727" s="150"/>
      <c r="U727" s="140"/>
      <c r="V727" s="140"/>
      <c r="W727" s="140"/>
      <c r="X727" s="140"/>
      <c r="Y727" s="140"/>
      <c r="Z727" s="140"/>
      <c r="AA727" s="140"/>
      <c r="AB727" s="140"/>
      <c r="AC727" s="140"/>
      <c r="AD727" s="140"/>
      <c r="AE727" s="140"/>
      <c r="AF727" s="140"/>
      <c r="AG727" s="140"/>
      <c r="AH727" s="140"/>
      <c r="AI727" s="140"/>
      <c r="AJ727" s="140"/>
      <c r="AK727" s="140"/>
      <c r="AL727" s="140"/>
      <c r="AM727" s="140"/>
      <c r="AN727" s="140"/>
      <c r="AO727" s="140"/>
      <c r="AP727" s="140"/>
      <c r="AQ727" s="140"/>
      <c r="AR727" s="140"/>
      <c r="AS727" s="140"/>
    </row>
    <row r="728">
      <c r="A728" s="149"/>
      <c r="B728" s="140"/>
      <c r="C728" s="140"/>
      <c r="D728" s="140"/>
      <c r="E728" s="140"/>
      <c r="F728" s="140"/>
      <c r="G728" s="140"/>
      <c r="H728" s="140"/>
      <c r="I728" s="140"/>
      <c r="J728" s="140"/>
      <c r="K728" s="140"/>
      <c r="L728" s="140"/>
      <c r="M728" s="140"/>
      <c r="N728" s="140"/>
      <c r="O728" s="140"/>
      <c r="P728" s="140"/>
      <c r="Q728" s="140"/>
      <c r="R728" s="140"/>
      <c r="S728" s="150"/>
      <c r="T728" s="150"/>
      <c r="U728" s="140"/>
      <c r="V728" s="140"/>
      <c r="W728" s="140"/>
      <c r="X728" s="140"/>
      <c r="Y728" s="140"/>
      <c r="Z728" s="140"/>
      <c r="AA728" s="140"/>
      <c r="AB728" s="140"/>
      <c r="AC728" s="140"/>
      <c r="AD728" s="140"/>
      <c r="AE728" s="140"/>
      <c r="AF728" s="140"/>
      <c r="AG728" s="140"/>
      <c r="AH728" s="140"/>
      <c r="AI728" s="140"/>
      <c r="AJ728" s="140"/>
      <c r="AK728" s="140"/>
      <c r="AL728" s="140"/>
      <c r="AM728" s="140"/>
      <c r="AN728" s="140"/>
      <c r="AO728" s="140"/>
      <c r="AP728" s="140"/>
      <c r="AQ728" s="140"/>
      <c r="AR728" s="140"/>
      <c r="AS728" s="140"/>
    </row>
    <row r="729">
      <c r="A729" s="149"/>
      <c r="B729" s="140"/>
      <c r="C729" s="140"/>
      <c r="D729" s="140"/>
      <c r="E729" s="140"/>
      <c r="F729" s="140"/>
      <c r="G729" s="140"/>
      <c r="H729" s="140"/>
      <c r="I729" s="140"/>
      <c r="J729" s="140"/>
      <c r="K729" s="140"/>
      <c r="L729" s="140"/>
      <c r="M729" s="140"/>
      <c r="N729" s="140"/>
      <c r="O729" s="140"/>
      <c r="P729" s="140"/>
      <c r="Q729" s="140"/>
      <c r="R729" s="140"/>
      <c r="S729" s="150"/>
      <c r="T729" s="150"/>
      <c r="U729" s="140"/>
      <c r="V729" s="140"/>
      <c r="W729" s="140"/>
      <c r="X729" s="140"/>
      <c r="Y729" s="140"/>
      <c r="Z729" s="140"/>
      <c r="AA729" s="140"/>
      <c r="AB729" s="140"/>
      <c r="AC729" s="140"/>
      <c r="AD729" s="140"/>
      <c r="AE729" s="140"/>
      <c r="AF729" s="140"/>
      <c r="AG729" s="140"/>
      <c r="AH729" s="140"/>
      <c r="AI729" s="140"/>
      <c r="AJ729" s="140"/>
      <c r="AK729" s="140"/>
      <c r="AL729" s="140"/>
      <c r="AM729" s="140"/>
      <c r="AN729" s="140"/>
      <c r="AO729" s="140"/>
      <c r="AP729" s="140"/>
      <c r="AQ729" s="140"/>
      <c r="AR729" s="140"/>
      <c r="AS729" s="140"/>
    </row>
    <row r="730">
      <c r="A730" s="149"/>
      <c r="B730" s="140"/>
      <c r="C730" s="140"/>
      <c r="D730" s="140"/>
      <c r="E730" s="140"/>
      <c r="F730" s="140"/>
      <c r="G730" s="140"/>
      <c r="H730" s="140"/>
      <c r="I730" s="140"/>
      <c r="J730" s="140"/>
      <c r="K730" s="140"/>
      <c r="L730" s="140"/>
      <c r="M730" s="140"/>
      <c r="N730" s="140"/>
      <c r="O730" s="140"/>
      <c r="P730" s="140"/>
      <c r="Q730" s="140"/>
      <c r="R730" s="140"/>
      <c r="S730" s="150"/>
      <c r="T730" s="150"/>
      <c r="U730" s="140"/>
      <c r="V730" s="140"/>
      <c r="W730" s="140"/>
      <c r="X730" s="140"/>
      <c r="Y730" s="140"/>
      <c r="Z730" s="140"/>
      <c r="AA730" s="140"/>
      <c r="AB730" s="140"/>
      <c r="AC730" s="140"/>
      <c r="AD730" s="140"/>
      <c r="AE730" s="140"/>
      <c r="AF730" s="140"/>
      <c r="AG730" s="140"/>
      <c r="AH730" s="140"/>
      <c r="AI730" s="140"/>
      <c r="AJ730" s="140"/>
      <c r="AK730" s="140"/>
      <c r="AL730" s="140"/>
      <c r="AM730" s="140"/>
      <c r="AN730" s="140"/>
      <c r="AO730" s="140"/>
      <c r="AP730" s="140"/>
      <c r="AQ730" s="140"/>
      <c r="AR730" s="140"/>
      <c r="AS730" s="140"/>
    </row>
    <row r="731">
      <c r="A731" s="149"/>
      <c r="B731" s="140"/>
      <c r="C731" s="140"/>
      <c r="D731" s="140"/>
      <c r="E731" s="140"/>
      <c r="F731" s="140"/>
      <c r="G731" s="140"/>
      <c r="H731" s="140"/>
      <c r="I731" s="140"/>
      <c r="J731" s="140"/>
      <c r="K731" s="140"/>
      <c r="L731" s="140"/>
      <c r="M731" s="140"/>
      <c r="N731" s="140"/>
      <c r="O731" s="140"/>
      <c r="P731" s="140"/>
      <c r="Q731" s="140"/>
      <c r="R731" s="140"/>
      <c r="S731" s="150"/>
      <c r="T731" s="150"/>
      <c r="U731" s="140"/>
      <c r="V731" s="140"/>
      <c r="W731" s="140"/>
      <c r="X731" s="140"/>
      <c r="Y731" s="140"/>
      <c r="Z731" s="140"/>
      <c r="AA731" s="140"/>
      <c r="AB731" s="140"/>
      <c r="AC731" s="140"/>
      <c r="AD731" s="140"/>
      <c r="AE731" s="140"/>
      <c r="AF731" s="140"/>
      <c r="AG731" s="140"/>
      <c r="AH731" s="140"/>
      <c r="AI731" s="140"/>
      <c r="AJ731" s="140"/>
      <c r="AK731" s="140"/>
      <c r="AL731" s="140"/>
      <c r="AM731" s="140"/>
      <c r="AN731" s="140"/>
      <c r="AO731" s="140"/>
      <c r="AP731" s="140"/>
      <c r="AQ731" s="140"/>
      <c r="AR731" s="140"/>
      <c r="AS731" s="140"/>
    </row>
    <row r="732">
      <c r="A732" s="149"/>
      <c r="B732" s="140"/>
      <c r="C732" s="140"/>
      <c r="D732" s="140"/>
      <c r="E732" s="140"/>
      <c r="F732" s="140"/>
      <c r="G732" s="140"/>
      <c r="H732" s="140"/>
      <c r="I732" s="140"/>
      <c r="J732" s="140"/>
      <c r="K732" s="140"/>
      <c r="L732" s="140"/>
      <c r="M732" s="140"/>
      <c r="N732" s="140"/>
      <c r="O732" s="140"/>
      <c r="P732" s="140"/>
      <c r="Q732" s="140"/>
      <c r="R732" s="140"/>
      <c r="S732" s="150"/>
      <c r="T732" s="150"/>
      <c r="U732" s="140"/>
      <c r="V732" s="140"/>
      <c r="W732" s="140"/>
      <c r="X732" s="140"/>
      <c r="Y732" s="140"/>
      <c r="Z732" s="140"/>
      <c r="AA732" s="140"/>
      <c r="AB732" s="140"/>
      <c r="AC732" s="140"/>
      <c r="AD732" s="140"/>
      <c r="AE732" s="140"/>
      <c r="AF732" s="140"/>
      <c r="AG732" s="140"/>
      <c r="AH732" s="140"/>
      <c r="AI732" s="140"/>
      <c r="AJ732" s="140"/>
      <c r="AK732" s="140"/>
      <c r="AL732" s="140"/>
      <c r="AM732" s="140"/>
      <c r="AN732" s="140"/>
      <c r="AO732" s="140"/>
      <c r="AP732" s="140"/>
      <c r="AQ732" s="140"/>
      <c r="AR732" s="140"/>
      <c r="AS732" s="140"/>
    </row>
    <row r="733">
      <c r="A733" s="149"/>
      <c r="B733" s="140"/>
      <c r="C733" s="140"/>
      <c r="D733" s="140"/>
      <c r="E733" s="140"/>
      <c r="F733" s="140"/>
      <c r="G733" s="140"/>
      <c r="H733" s="140"/>
      <c r="I733" s="140"/>
      <c r="J733" s="140"/>
      <c r="K733" s="140"/>
      <c r="L733" s="140"/>
      <c r="M733" s="140"/>
      <c r="N733" s="140"/>
      <c r="O733" s="140"/>
      <c r="P733" s="140"/>
      <c r="Q733" s="140"/>
      <c r="R733" s="140"/>
      <c r="S733" s="150"/>
      <c r="T733" s="150"/>
      <c r="U733" s="140"/>
      <c r="V733" s="140"/>
      <c r="W733" s="140"/>
      <c r="X733" s="140"/>
      <c r="Y733" s="140"/>
      <c r="Z733" s="140"/>
      <c r="AA733" s="140"/>
      <c r="AB733" s="140"/>
      <c r="AC733" s="140"/>
      <c r="AD733" s="140"/>
      <c r="AE733" s="140"/>
      <c r="AF733" s="140"/>
      <c r="AG733" s="140"/>
      <c r="AH733" s="140"/>
      <c r="AI733" s="140"/>
      <c r="AJ733" s="140"/>
      <c r="AK733" s="140"/>
      <c r="AL733" s="140"/>
      <c r="AM733" s="140"/>
      <c r="AN733" s="140"/>
      <c r="AO733" s="140"/>
      <c r="AP733" s="140"/>
      <c r="AQ733" s="140"/>
      <c r="AR733" s="140"/>
      <c r="AS733" s="140"/>
    </row>
    <row r="734">
      <c r="A734" s="149"/>
      <c r="B734" s="140"/>
      <c r="C734" s="140"/>
      <c r="D734" s="140"/>
      <c r="E734" s="140"/>
      <c r="F734" s="140"/>
      <c r="G734" s="140"/>
      <c r="H734" s="140"/>
      <c r="I734" s="140"/>
      <c r="J734" s="140"/>
      <c r="K734" s="140"/>
      <c r="L734" s="140"/>
      <c r="M734" s="140"/>
      <c r="N734" s="140"/>
      <c r="O734" s="140"/>
      <c r="P734" s="140"/>
      <c r="Q734" s="140"/>
      <c r="R734" s="140"/>
      <c r="S734" s="150"/>
      <c r="T734" s="150"/>
      <c r="U734" s="140"/>
      <c r="V734" s="140"/>
      <c r="W734" s="140"/>
      <c r="X734" s="140"/>
      <c r="Y734" s="140"/>
      <c r="Z734" s="140"/>
      <c r="AA734" s="140"/>
      <c r="AB734" s="140"/>
      <c r="AC734" s="140"/>
      <c r="AD734" s="140"/>
      <c r="AE734" s="140"/>
      <c r="AF734" s="140"/>
      <c r="AG734" s="140"/>
      <c r="AH734" s="140"/>
      <c r="AI734" s="140"/>
      <c r="AJ734" s="140"/>
      <c r="AK734" s="140"/>
      <c r="AL734" s="140"/>
      <c r="AM734" s="140"/>
      <c r="AN734" s="140"/>
      <c r="AO734" s="140"/>
      <c r="AP734" s="140"/>
      <c r="AQ734" s="140"/>
      <c r="AR734" s="140"/>
      <c r="AS734" s="140"/>
    </row>
    <row r="735">
      <c r="A735" s="149"/>
      <c r="B735" s="140"/>
      <c r="C735" s="140"/>
      <c r="D735" s="140"/>
      <c r="E735" s="140"/>
      <c r="F735" s="140"/>
      <c r="G735" s="140"/>
      <c r="H735" s="140"/>
      <c r="I735" s="140"/>
      <c r="J735" s="140"/>
      <c r="K735" s="140"/>
      <c r="L735" s="140"/>
      <c r="M735" s="140"/>
      <c r="N735" s="140"/>
      <c r="O735" s="140"/>
      <c r="P735" s="140"/>
      <c r="Q735" s="140"/>
      <c r="R735" s="140"/>
      <c r="S735" s="150"/>
      <c r="T735" s="150"/>
      <c r="U735" s="140"/>
      <c r="V735" s="140"/>
      <c r="W735" s="140"/>
      <c r="X735" s="140"/>
      <c r="Y735" s="140"/>
      <c r="Z735" s="140"/>
      <c r="AA735" s="140"/>
      <c r="AB735" s="140"/>
      <c r="AC735" s="140"/>
      <c r="AD735" s="140"/>
      <c r="AE735" s="140"/>
      <c r="AF735" s="140"/>
      <c r="AG735" s="140"/>
      <c r="AH735" s="140"/>
      <c r="AI735" s="140"/>
      <c r="AJ735" s="140"/>
      <c r="AK735" s="140"/>
      <c r="AL735" s="140"/>
      <c r="AM735" s="140"/>
      <c r="AN735" s="140"/>
      <c r="AO735" s="140"/>
      <c r="AP735" s="140"/>
      <c r="AQ735" s="140"/>
      <c r="AR735" s="140"/>
      <c r="AS735" s="140"/>
    </row>
    <row r="736">
      <c r="A736" s="149"/>
      <c r="B736" s="140"/>
      <c r="C736" s="140"/>
      <c r="D736" s="140"/>
      <c r="E736" s="140"/>
      <c r="F736" s="140"/>
      <c r="G736" s="140"/>
      <c r="H736" s="140"/>
      <c r="I736" s="140"/>
      <c r="J736" s="140"/>
      <c r="K736" s="140"/>
      <c r="L736" s="140"/>
      <c r="M736" s="140"/>
      <c r="N736" s="140"/>
      <c r="O736" s="140"/>
      <c r="P736" s="140"/>
      <c r="Q736" s="140"/>
      <c r="R736" s="140"/>
      <c r="S736" s="150"/>
      <c r="T736" s="150"/>
      <c r="U736" s="140"/>
      <c r="V736" s="140"/>
      <c r="W736" s="140"/>
      <c r="X736" s="140"/>
      <c r="Y736" s="140"/>
      <c r="Z736" s="140"/>
      <c r="AA736" s="140"/>
      <c r="AB736" s="140"/>
      <c r="AC736" s="140"/>
      <c r="AD736" s="140"/>
      <c r="AE736" s="140"/>
      <c r="AF736" s="140"/>
      <c r="AG736" s="140"/>
      <c r="AH736" s="140"/>
      <c r="AI736" s="140"/>
      <c r="AJ736" s="140"/>
      <c r="AK736" s="140"/>
      <c r="AL736" s="140"/>
      <c r="AM736" s="140"/>
      <c r="AN736" s="140"/>
      <c r="AO736" s="140"/>
      <c r="AP736" s="140"/>
      <c r="AQ736" s="140"/>
      <c r="AR736" s="140"/>
      <c r="AS736" s="140"/>
    </row>
    <row r="737">
      <c r="A737" s="149"/>
      <c r="B737" s="140"/>
      <c r="C737" s="140"/>
      <c r="D737" s="140"/>
      <c r="E737" s="140"/>
      <c r="F737" s="140"/>
      <c r="G737" s="140"/>
      <c r="H737" s="140"/>
      <c r="I737" s="140"/>
      <c r="J737" s="140"/>
      <c r="K737" s="140"/>
      <c r="L737" s="140"/>
      <c r="M737" s="140"/>
      <c r="N737" s="140"/>
      <c r="O737" s="140"/>
      <c r="P737" s="140"/>
      <c r="Q737" s="140"/>
      <c r="R737" s="140"/>
      <c r="S737" s="150"/>
      <c r="T737" s="150"/>
      <c r="U737" s="140"/>
      <c r="V737" s="140"/>
      <c r="W737" s="140"/>
      <c r="X737" s="140"/>
      <c r="Y737" s="140"/>
      <c r="Z737" s="140"/>
      <c r="AA737" s="140"/>
      <c r="AB737" s="140"/>
      <c r="AC737" s="140"/>
      <c r="AD737" s="140"/>
      <c r="AE737" s="140"/>
      <c r="AF737" s="140"/>
      <c r="AG737" s="140"/>
      <c r="AH737" s="140"/>
      <c r="AI737" s="140"/>
      <c r="AJ737" s="140"/>
      <c r="AK737" s="140"/>
      <c r="AL737" s="140"/>
      <c r="AM737" s="140"/>
      <c r="AN737" s="140"/>
      <c r="AO737" s="140"/>
      <c r="AP737" s="140"/>
      <c r="AQ737" s="140"/>
      <c r="AR737" s="140"/>
      <c r="AS737" s="140"/>
    </row>
    <row r="738">
      <c r="A738" s="149"/>
      <c r="B738" s="140"/>
      <c r="C738" s="140"/>
      <c r="D738" s="140"/>
      <c r="E738" s="140"/>
      <c r="F738" s="140"/>
      <c r="G738" s="140"/>
      <c r="H738" s="140"/>
      <c r="I738" s="140"/>
      <c r="J738" s="140"/>
      <c r="K738" s="140"/>
      <c r="L738" s="140"/>
      <c r="M738" s="140"/>
      <c r="N738" s="140"/>
      <c r="O738" s="140"/>
      <c r="P738" s="140"/>
      <c r="Q738" s="140"/>
      <c r="R738" s="140"/>
      <c r="S738" s="150"/>
      <c r="T738" s="150"/>
      <c r="U738" s="140"/>
      <c r="V738" s="140"/>
      <c r="W738" s="140"/>
      <c r="X738" s="140"/>
      <c r="Y738" s="140"/>
      <c r="Z738" s="140"/>
      <c r="AA738" s="140"/>
      <c r="AB738" s="140"/>
      <c r="AC738" s="140"/>
      <c r="AD738" s="140"/>
      <c r="AE738" s="140"/>
      <c r="AF738" s="140"/>
      <c r="AG738" s="140"/>
      <c r="AH738" s="140"/>
      <c r="AI738" s="140"/>
      <c r="AJ738" s="140"/>
      <c r="AK738" s="140"/>
      <c r="AL738" s="140"/>
      <c r="AM738" s="140"/>
      <c r="AN738" s="140"/>
      <c r="AO738" s="140"/>
      <c r="AP738" s="140"/>
      <c r="AQ738" s="140"/>
      <c r="AR738" s="140"/>
      <c r="AS738" s="140"/>
    </row>
    <row r="739">
      <c r="A739" s="149"/>
      <c r="B739" s="140"/>
      <c r="C739" s="140"/>
      <c r="D739" s="140"/>
      <c r="E739" s="140"/>
      <c r="F739" s="140"/>
      <c r="G739" s="140"/>
      <c r="H739" s="140"/>
      <c r="I739" s="140"/>
      <c r="J739" s="140"/>
      <c r="K739" s="140"/>
      <c r="L739" s="140"/>
      <c r="M739" s="140"/>
      <c r="N739" s="140"/>
      <c r="O739" s="140"/>
      <c r="P739" s="140"/>
      <c r="Q739" s="140"/>
      <c r="R739" s="140"/>
      <c r="S739" s="150"/>
      <c r="T739" s="150"/>
      <c r="U739" s="140"/>
      <c r="V739" s="140"/>
      <c r="W739" s="140"/>
      <c r="X739" s="140"/>
      <c r="Y739" s="140"/>
      <c r="Z739" s="140"/>
      <c r="AA739" s="140"/>
      <c r="AB739" s="140"/>
      <c r="AC739" s="140"/>
      <c r="AD739" s="140"/>
      <c r="AE739" s="140"/>
      <c r="AF739" s="140"/>
      <c r="AG739" s="140"/>
      <c r="AH739" s="140"/>
      <c r="AI739" s="140"/>
      <c r="AJ739" s="140"/>
      <c r="AK739" s="140"/>
      <c r="AL739" s="140"/>
      <c r="AM739" s="140"/>
      <c r="AN739" s="140"/>
      <c r="AO739" s="140"/>
      <c r="AP739" s="140"/>
      <c r="AQ739" s="140"/>
      <c r="AR739" s="140"/>
      <c r="AS739" s="140"/>
    </row>
    <row r="740">
      <c r="A740" s="149"/>
      <c r="B740" s="140"/>
      <c r="C740" s="140"/>
      <c r="D740" s="140"/>
      <c r="E740" s="140"/>
      <c r="F740" s="140"/>
      <c r="G740" s="140"/>
      <c r="H740" s="140"/>
      <c r="I740" s="140"/>
      <c r="J740" s="140"/>
      <c r="K740" s="140"/>
      <c r="L740" s="140"/>
      <c r="M740" s="140"/>
      <c r="N740" s="140"/>
      <c r="O740" s="140"/>
      <c r="P740" s="140"/>
      <c r="Q740" s="140"/>
      <c r="R740" s="140"/>
      <c r="S740" s="150"/>
      <c r="T740" s="150"/>
      <c r="U740" s="140"/>
      <c r="V740" s="140"/>
      <c r="W740" s="140"/>
      <c r="X740" s="140"/>
      <c r="Y740" s="140"/>
      <c r="Z740" s="140"/>
      <c r="AA740" s="140"/>
      <c r="AB740" s="140"/>
      <c r="AC740" s="140"/>
      <c r="AD740" s="140"/>
      <c r="AE740" s="140"/>
      <c r="AF740" s="140"/>
      <c r="AG740" s="140"/>
      <c r="AH740" s="140"/>
      <c r="AI740" s="140"/>
      <c r="AJ740" s="140"/>
      <c r="AK740" s="140"/>
      <c r="AL740" s="140"/>
      <c r="AM740" s="140"/>
      <c r="AN740" s="140"/>
      <c r="AO740" s="140"/>
      <c r="AP740" s="140"/>
      <c r="AQ740" s="140"/>
      <c r="AR740" s="140"/>
      <c r="AS740" s="140"/>
    </row>
    <row r="741">
      <c r="A741" s="149"/>
      <c r="B741" s="140"/>
      <c r="C741" s="140"/>
      <c r="D741" s="140"/>
      <c r="E741" s="140"/>
      <c r="F741" s="140"/>
      <c r="G741" s="140"/>
      <c r="H741" s="140"/>
      <c r="I741" s="140"/>
      <c r="J741" s="140"/>
      <c r="K741" s="140"/>
      <c r="L741" s="140"/>
      <c r="M741" s="140"/>
      <c r="N741" s="140"/>
      <c r="O741" s="140"/>
      <c r="P741" s="140"/>
      <c r="Q741" s="140"/>
      <c r="R741" s="140"/>
      <c r="S741" s="150"/>
      <c r="T741" s="150"/>
      <c r="U741" s="140"/>
      <c r="V741" s="140"/>
      <c r="W741" s="140"/>
      <c r="X741" s="140"/>
      <c r="Y741" s="140"/>
      <c r="Z741" s="140"/>
      <c r="AA741" s="140"/>
      <c r="AB741" s="140"/>
      <c r="AC741" s="140"/>
      <c r="AD741" s="140"/>
      <c r="AE741" s="140"/>
      <c r="AF741" s="140"/>
      <c r="AG741" s="140"/>
      <c r="AH741" s="140"/>
      <c r="AI741" s="140"/>
      <c r="AJ741" s="140"/>
      <c r="AK741" s="140"/>
      <c r="AL741" s="140"/>
      <c r="AM741" s="140"/>
      <c r="AN741" s="140"/>
      <c r="AO741" s="140"/>
      <c r="AP741" s="140"/>
      <c r="AQ741" s="140"/>
      <c r="AR741" s="140"/>
      <c r="AS741" s="140"/>
    </row>
    <row r="742">
      <c r="A742" s="149"/>
      <c r="B742" s="140"/>
      <c r="C742" s="140"/>
      <c r="D742" s="140"/>
      <c r="E742" s="140"/>
      <c r="F742" s="140"/>
      <c r="G742" s="140"/>
      <c r="H742" s="140"/>
      <c r="I742" s="140"/>
      <c r="J742" s="140"/>
      <c r="K742" s="140"/>
      <c r="L742" s="140"/>
      <c r="M742" s="140"/>
      <c r="N742" s="140"/>
      <c r="O742" s="140"/>
      <c r="P742" s="140"/>
      <c r="Q742" s="140"/>
      <c r="R742" s="140"/>
      <c r="S742" s="150"/>
      <c r="T742" s="150"/>
      <c r="U742" s="140"/>
      <c r="V742" s="140"/>
      <c r="W742" s="140"/>
      <c r="X742" s="140"/>
      <c r="Y742" s="140"/>
      <c r="Z742" s="140"/>
      <c r="AA742" s="140"/>
      <c r="AB742" s="140"/>
      <c r="AC742" s="140"/>
      <c r="AD742" s="140"/>
      <c r="AE742" s="140"/>
      <c r="AF742" s="140"/>
      <c r="AG742" s="140"/>
      <c r="AH742" s="140"/>
      <c r="AI742" s="140"/>
      <c r="AJ742" s="140"/>
      <c r="AK742" s="140"/>
      <c r="AL742" s="140"/>
      <c r="AM742" s="140"/>
      <c r="AN742" s="140"/>
      <c r="AO742" s="140"/>
      <c r="AP742" s="140"/>
      <c r="AQ742" s="140"/>
      <c r="AR742" s="140"/>
      <c r="AS742" s="140"/>
    </row>
    <row r="743">
      <c r="A743" s="149"/>
      <c r="B743" s="140"/>
      <c r="C743" s="140"/>
      <c r="D743" s="140"/>
      <c r="E743" s="140"/>
      <c r="F743" s="140"/>
      <c r="G743" s="140"/>
      <c r="H743" s="140"/>
      <c r="I743" s="140"/>
      <c r="J743" s="140"/>
      <c r="K743" s="140"/>
      <c r="L743" s="140"/>
      <c r="M743" s="140"/>
      <c r="N743" s="140"/>
      <c r="O743" s="140"/>
      <c r="P743" s="140"/>
      <c r="Q743" s="140"/>
      <c r="R743" s="140"/>
      <c r="S743" s="150"/>
      <c r="T743" s="150"/>
      <c r="U743" s="140"/>
      <c r="V743" s="140"/>
      <c r="W743" s="140"/>
      <c r="X743" s="140"/>
      <c r="Y743" s="140"/>
      <c r="Z743" s="140"/>
      <c r="AA743" s="140"/>
      <c r="AB743" s="140"/>
      <c r="AC743" s="140"/>
      <c r="AD743" s="140"/>
      <c r="AE743" s="140"/>
      <c r="AF743" s="140"/>
      <c r="AG743" s="140"/>
      <c r="AH743" s="140"/>
      <c r="AI743" s="140"/>
      <c r="AJ743" s="140"/>
      <c r="AK743" s="140"/>
      <c r="AL743" s="140"/>
      <c r="AM743" s="140"/>
      <c r="AN743" s="140"/>
      <c r="AO743" s="140"/>
      <c r="AP743" s="140"/>
      <c r="AQ743" s="140"/>
      <c r="AR743" s="140"/>
      <c r="AS743" s="140"/>
    </row>
    <row r="744">
      <c r="A744" s="149"/>
      <c r="B744" s="140"/>
      <c r="C744" s="140"/>
      <c r="D744" s="140"/>
      <c r="E744" s="140"/>
      <c r="F744" s="140"/>
      <c r="G744" s="140"/>
      <c r="H744" s="140"/>
      <c r="I744" s="140"/>
      <c r="J744" s="140"/>
      <c r="K744" s="140"/>
      <c r="L744" s="140"/>
      <c r="M744" s="140"/>
      <c r="N744" s="140"/>
      <c r="O744" s="140"/>
      <c r="P744" s="140"/>
      <c r="Q744" s="140"/>
      <c r="R744" s="140"/>
      <c r="S744" s="150"/>
      <c r="T744" s="150"/>
      <c r="U744" s="140"/>
      <c r="V744" s="140"/>
      <c r="W744" s="140"/>
      <c r="X744" s="140"/>
      <c r="Y744" s="140"/>
      <c r="Z744" s="140"/>
      <c r="AA744" s="140"/>
      <c r="AB744" s="140"/>
      <c r="AC744" s="140"/>
      <c r="AD744" s="140"/>
      <c r="AE744" s="140"/>
      <c r="AF744" s="140"/>
      <c r="AG744" s="140"/>
      <c r="AH744" s="140"/>
      <c r="AI744" s="140"/>
      <c r="AJ744" s="140"/>
      <c r="AK744" s="140"/>
      <c r="AL744" s="140"/>
      <c r="AM744" s="140"/>
      <c r="AN744" s="140"/>
      <c r="AO744" s="140"/>
      <c r="AP744" s="140"/>
      <c r="AQ744" s="140"/>
      <c r="AR744" s="140"/>
      <c r="AS744" s="140"/>
    </row>
    <row r="745">
      <c r="A745" s="149"/>
      <c r="B745" s="140"/>
      <c r="C745" s="140"/>
      <c r="D745" s="140"/>
      <c r="E745" s="140"/>
      <c r="F745" s="140"/>
      <c r="G745" s="140"/>
      <c r="H745" s="140"/>
      <c r="I745" s="140"/>
      <c r="J745" s="140"/>
      <c r="K745" s="140"/>
      <c r="L745" s="140"/>
      <c r="M745" s="140"/>
      <c r="N745" s="140"/>
      <c r="O745" s="140"/>
      <c r="P745" s="140"/>
      <c r="Q745" s="140"/>
      <c r="R745" s="140"/>
      <c r="S745" s="150"/>
      <c r="T745" s="150"/>
      <c r="U745" s="140"/>
      <c r="V745" s="140"/>
      <c r="W745" s="140"/>
      <c r="X745" s="140"/>
      <c r="Y745" s="140"/>
      <c r="Z745" s="140"/>
      <c r="AA745" s="140"/>
      <c r="AB745" s="140"/>
      <c r="AC745" s="140"/>
      <c r="AD745" s="140"/>
      <c r="AE745" s="140"/>
      <c r="AF745" s="140"/>
      <c r="AG745" s="140"/>
      <c r="AH745" s="140"/>
      <c r="AI745" s="140"/>
      <c r="AJ745" s="140"/>
      <c r="AK745" s="140"/>
      <c r="AL745" s="140"/>
      <c r="AM745" s="140"/>
      <c r="AN745" s="140"/>
      <c r="AO745" s="140"/>
      <c r="AP745" s="140"/>
      <c r="AQ745" s="140"/>
      <c r="AR745" s="140"/>
      <c r="AS745" s="140"/>
    </row>
    <row r="746">
      <c r="A746" s="149"/>
      <c r="B746" s="140"/>
      <c r="C746" s="140"/>
      <c r="D746" s="140"/>
      <c r="E746" s="140"/>
      <c r="F746" s="140"/>
      <c r="G746" s="140"/>
      <c r="H746" s="140"/>
      <c r="I746" s="140"/>
      <c r="J746" s="140"/>
      <c r="K746" s="140"/>
      <c r="L746" s="140"/>
      <c r="M746" s="140"/>
      <c r="N746" s="140"/>
      <c r="O746" s="140"/>
      <c r="P746" s="140"/>
      <c r="Q746" s="140"/>
      <c r="R746" s="140"/>
      <c r="S746" s="150"/>
      <c r="T746" s="150"/>
      <c r="U746" s="140"/>
      <c r="V746" s="140"/>
      <c r="W746" s="140"/>
      <c r="X746" s="140"/>
      <c r="Y746" s="140"/>
      <c r="Z746" s="140"/>
      <c r="AA746" s="140"/>
      <c r="AB746" s="140"/>
      <c r="AC746" s="140"/>
      <c r="AD746" s="140"/>
      <c r="AE746" s="140"/>
      <c r="AF746" s="140"/>
      <c r="AG746" s="140"/>
      <c r="AH746" s="140"/>
      <c r="AI746" s="140"/>
      <c r="AJ746" s="140"/>
      <c r="AK746" s="140"/>
      <c r="AL746" s="140"/>
      <c r="AM746" s="140"/>
      <c r="AN746" s="140"/>
      <c r="AO746" s="140"/>
      <c r="AP746" s="140"/>
      <c r="AQ746" s="140"/>
      <c r="AR746" s="140"/>
      <c r="AS746" s="140"/>
    </row>
    <row r="747">
      <c r="A747" s="149"/>
      <c r="B747" s="140"/>
      <c r="C747" s="140"/>
      <c r="D747" s="140"/>
      <c r="E747" s="140"/>
      <c r="F747" s="140"/>
      <c r="G747" s="140"/>
      <c r="H747" s="140"/>
      <c r="I747" s="140"/>
      <c r="J747" s="140"/>
      <c r="K747" s="140"/>
      <c r="L747" s="140"/>
      <c r="M747" s="140"/>
      <c r="N747" s="140"/>
      <c r="O747" s="140"/>
      <c r="P747" s="140"/>
      <c r="Q747" s="140"/>
      <c r="R747" s="140"/>
      <c r="S747" s="150"/>
      <c r="T747" s="150"/>
      <c r="U747" s="140"/>
      <c r="V747" s="140"/>
      <c r="W747" s="140"/>
      <c r="X747" s="140"/>
      <c r="Y747" s="140"/>
      <c r="Z747" s="140"/>
      <c r="AA747" s="140"/>
      <c r="AB747" s="140"/>
      <c r="AC747" s="140"/>
      <c r="AD747" s="140"/>
      <c r="AE747" s="140"/>
      <c r="AF747" s="140"/>
      <c r="AG747" s="140"/>
      <c r="AH747" s="140"/>
      <c r="AI747" s="140"/>
      <c r="AJ747" s="140"/>
      <c r="AK747" s="140"/>
      <c r="AL747" s="140"/>
      <c r="AM747" s="140"/>
      <c r="AN747" s="140"/>
      <c r="AO747" s="140"/>
      <c r="AP747" s="140"/>
      <c r="AQ747" s="140"/>
      <c r="AR747" s="140"/>
      <c r="AS747" s="140"/>
    </row>
    <row r="748">
      <c r="A748" s="149"/>
      <c r="B748" s="140"/>
      <c r="C748" s="140"/>
      <c r="D748" s="140"/>
      <c r="E748" s="140"/>
      <c r="F748" s="140"/>
      <c r="G748" s="140"/>
      <c r="H748" s="140"/>
      <c r="I748" s="140"/>
      <c r="J748" s="140"/>
      <c r="K748" s="140"/>
      <c r="L748" s="140"/>
      <c r="M748" s="140"/>
      <c r="N748" s="140"/>
      <c r="O748" s="140"/>
      <c r="P748" s="140"/>
      <c r="Q748" s="140"/>
      <c r="R748" s="140"/>
      <c r="S748" s="150"/>
      <c r="T748" s="150"/>
      <c r="U748" s="140"/>
      <c r="V748" s="140"/>
      <c r="W748" s="140"/>
      <c r="X748" s="140"/>
      <c r="Y748" s="140"/>
      <c r="Z748" s="140"/>
      <c r="AA748" s="140"/>
      <c r="AB748" s="140"/>
      <c r="AC748" s="140"/>
      <c r="AD748" s="140"/>
      <c r="AE748" s="140"/>
      <c r="AF748" s="140"/>
      <c r="AG748" s="140"/>
      <c r="AH748" s="140"/>
      <c r="AI748" s="140"/>
      <c r="AJ748" s="140"/>
      <c r="AK748" s="140"/>
      <c r="AL748" s="140"/>
      <c r="AM748" s="140"/>
      <c r="AN748" s="140"/>
      <c r="AO748" s="140"/>
      <c r="AP748" s="140"/>
      <c r="AQ748" s="140"/>
      <c r="AR748" s="140"/>
      <c r="AS748" s="140"/>
    </row>
    <row r="749">
      <c r="A749" s="149"/>
      <c r="B749" s="140"/>
      <c r="C749" s="140"/>
      <c r="D749" s="140"/>
      <c r="E749" s="140"/>
      <c r="F749" s="140"/>
      <c r="G749" s="140"/>
      <c r="H749" s="140"/>
      <c r="I749" s="140"/>
      <c r="J749" s="140"/>
      <c r="K749" s="140"/>
      <c r="L749" s="140"/>
      <c r="M749" s="140"/>
      <c r="N749" s="140"/>
      <c r="O749" s="140"/>
      <c r="P749" s="140"/>
      <c r="Q749" s="140"/>
      <c r="R749" s="140"/>
      <c r="S749" s="150"/>
      <c r="T749" s="150"/>
      <c r="U749" s="140"/>
      <c r="V749" s="140"/>
      <c r="W749" s="140"/>
      <c r="X749" s="140"/>
      <c r="Y749" s="140"/>
      <c r="Z749" s="140"/>
      <c r="AA749" s="140"/>
      <c r="AB749" s="140"/>
      <c r="AC749" s="140"/>
      <c r="AD749" s="140"/>
      <c r="AE749" s="140"/>
      <c r="AF749" s="140"/>
      <c r="AG749" s="140"/>
      <c r="AH749" s="140"/>
      <c r="AI749" s="140"/>
      <c r="AJ749" s="140"/>
      <c r="AK749" s="140"/>
      <c r="AL749" s="140"/>
      <c r="AM749" s="140"/>
      <c r="AN749" s="140"/>
      <c r="AO749" s="140"/>
      <c r="AP749" s="140"/>
      <c r="AQ749" s="140"/>
      <c r="AR749" s="140"/>
      <c r="AS749" s="140"/>
    </row>
    <row r="750">
      <c r="A750" s="149"/>
      <c r="B750" s="140"/>
      <c r="C750" s="140"/>
      <c r="D750" s="140"/>
      <c r="E750" s="140"/>
      <c r="F750" s="140"/>
      <c r="G750" s="140"/>
      <c r="H750" s="140"/>
      <c r="I750" s="140"/>
      <c r="J750" s="140"/>
      <c r="K750" s="140"/>
      <c r="L750" s="140"/>
      <c r="M750" s="140"/>
      <c r="N750" s="140"/>
      <c r="O750" s="140"/>
      <c r="P750" s="140"/>
      <c r="Q750" s="140"/>
      <c r="R750" s="140"/>
      <c r="S750" s="150"/>
      <c r="T750" s="150"/>
      <c r="U750" s="140"/>
      <c r="V750" s="140"/>
      <c r="W750" s="140"/>
      <c r="X750" s="140"/>
      <c r="Y750" s="140"/>
      <c r="Z750" s="140"/>
      <c r="AA750" s="140"/>
      <c r="AB750" s="140"/>
      <c r="AC750" s="140"/>
      <c r="AD750" s="140"/>
      <c r="AE750" s="140"/>
      <c r="AF750" s="140"/>
      <c r="AG750" s="140"/>
      <c r="AH750" s="140"/>
      <c r="AI750" s="140"/>
      <c r="AJ750" s="140"/>
      <c r="AK750" s="140"/>
      <c r="AL750" s="140"/>
      <c r="AM750" s="140"/>
      <c r="AN750" s="140"/>
      <c r="AO750" s="140"/>
      <c r="AP750" s="140"/>
      <c r="AQ750" s="140"/>
      <c r="AR750" s="140"/>
      <c r="AS750" s="140"/>
    </row>
    <row r="751">
      <c r="A751" s="149"/>
      <c r="B751" s="140"/>
      <c r="C751" s="140"/>
      <c r="D751" s="140"/>
      <c r="E751" s="140"/>
      <c r="F751" s="140"/>
      <c r="G751" s="140"/>
      <c r="H751" s="140"/>
      <c r="I751" s="140"/>
      <c r="J751" s="140"/>
      <c r="K751" s="140"/>
      <c r="L751" s="140"/>
      <c r="M751" s="140"/>
      <c r="N751" s="140"/>
      <c r="O751" s="140"/>
      <c r="P751" s="140"/>
      <c r="Q751" s="140"/>
      <c r="R751" s="140"/>
      <c r="S751" s="150"/>
      <c r="T751" s="150"/>
      <c r="U751" s="140"/>
      <c r="V751" s="140"/>
      <c r="W751" s="140"/>
      <c r="X751" s="140"/>
      <c r="Y751" s="140"/>
      <c r="Z751" s="140"/>
      <c r="AA751" s="140"/>
      <c r="AB751" s="140"/>
      <c r="AC751" s="140"/>
      <c r="AD751" s="140"/>
      <c r="AE751" s="140"/>
      <c r="AF751" s="140"/>
      <c r="AG751" s="140"/>
      <c r="AH751" s="140"/>
      <c r="AI751" s="140"/>
      <c r="AJ751" s="140"/>
      <c r="AK751" s="140"/>
      <c r="AL751" s="140"/>
      <c r="AM751" s="140"/>
      <c r="AN751" s="140"/>
      <c r="AO751" s="140"/>
      <c r="AP751" s="140"/>
      <c r="AQ751" s="140"/>
      <c r="AR751" s="140"/>
      <c r="AS751" s="140"/>
    </row>
    <row r="752">
      <c r="A752" s="149"/>
      <c r="B752" s="140"/>
      <c r="C752" s="140"/>
      <c r="D752" s="140"/>
      <c r="E752" s="140"/>
      <c r="F752" s="140"/>
      <c r="G752" s="140"/>
      <c r="H752" s="140"/>
      <c r="I752" s="140"/>
      <c r="J752" s="140"/>
      <c r="K752" s="140"/>
      <c r="L752" s="140"/>
      <c r="M752" s="140"/>
      <c r="N752" s="140"/>
      <c r="O752" s="140"/>
      <c r="P752" s="140"/>
      <c r="Q752" s="140"/>
      <c r="R752" s="140"/>
      <c r="S752" s="150"/>
      <c r="T752" s="150"/>
      <c r="U752" s="140"/>
      <c r="V752" s="140"/>
      <c r="W752" s="140"/>
      <c r="X752" s="140"/>
      <c r="Y752" s="140"/>
      <c r="Z752" s="140"/>
      <c r="AA752" s="140"/>
      <c r="AB752" s="140"/>
      <c r="AC752" s="140"/>
      <c r="AD752" s="140"/>
      <c r="AE752" s="140"/>
      <c r="AF752" s="140"/>
      <c r="AG752" s="140"/>
      <c r="AH752" s="140"/>
      <c r="AI752" s="140"/>
      <c r="AJ752" s="140"/>
      <c r="AK752" s="140"/>
      <c r="AL752" s="140"/>
      <c r="AM752" s="140"/>
      <c r="AN752" s="140"/>
      <c r="AO752" s="140"/>
      <c r="AP752" s="140"/>
      <c r="AQ752" s="140"/>
      <c r="AR752" s="140"/>
      <c r="AS752" s="140"/>
    </row>
    <row r="753">
      <c r="A753" s="149"/>
      <c r="B753" s="140"/>
      <c r="C753" s="140"/>
      <c r="D753" s="140"/>
      <c r="E753" s="140"/>
      <c r="F753" s="140"/>
      <c r="G753" s="140"/>
      <c r="H753" s="140"/>
      <c r="I753" s="140"/>
      <c r="J753" s="140"/>
      <c r="K753" s="140"/>
      <c r="L753" s="140"/>
      <c r="M753" s="140"/>
      <c r="N753" s="140"/>
      <c r="O753" s="140"/>
      <c r="P753" s="140"/>
      <c r="Q753" s="140"/>
      <c r="R753" s="140"/>
      <c r="S753" s="150"/>
      <c r="T753" s="150"/>
      <c r="U753" s="140"/>
      <c r="V753" s="140"/>
      <c r="W753" s="140"/>
      <c r="X753" s="140"/>
      <c r="Y753" s="140"/>
      <c r="Z753" s="140"/>
      <c r="AA753" s="140"/>
      <c r="AB753" s="140"/>
      <c r="AC753" s="140"/>
      <c r="AD753" s="140"/>
      <c r="AE753" s="140"/>
      <c r="AF753" s="140"/>
      <c r="AG753" s="140"/>
      <c r="AH753" s="140"/>
      <c r="AI753" s="140"/>
      <c r="AJ753" s="140"/>
      <c r="AK753" s="140"/>
      <c r="AL753" s="140"/>
      <c r="AM753" s="140"/>
      <c r="AN753" s="140"/>
      <c r="AO753" s="140"/>
      <c r="AP753" s="140"/>
      <c r="AQ753" s="140"/>
      <c r="AR753" s="140"/>
      <c r="AS753" s="140"/>
    </row>
    <row r="754">
      <c r="A754" s="149"/>
      <c r="B754" s="140"/>
      <c r="C754" s="140"/>
      <c r="D754" s="140"/>
      <c r="E754" s="140"/>
      <c r="F754" s="140"/>
      <c r="G754" s="140"/>
      <c r="H754" s="140"/>
      <c r="I754" s="140"/>
      <c r="J754" s="140"/>
      <c r="K754" s="140"/>
      <c r="L754" s="140"/>
      <c r="M754" s="140"/>
      <c r="N754" s="140"/>
      <c r="O754" s="140"/>
      <c r="P754" s="140"/>
      <c r="Q754" s="140"/>
      <c r="R754" s="140"/>
      <c r="S754" s="150"/>
      <c r="T754" s="150"/>
      <c r="U754" s="140"/>
      <c r="V754" s="140"/>
      <c r="W754" s="140"/>
      <c r="X754" s="140"/>
      <c r="Y754" s="140"/>
      <c r="Z754" s="140"/>
      <c r="AA754" s="140"/>
      <c r="AB754" s="140"/>
      <c r="AC754" s="140"/>
      <c r="AD754" s="140"/>
      <c r="AE754" s="140"/>
      <c r="AF754" s="140"/>
      <c r="AG754" s="140"/>
      <c r="AH754" s="140"/>
      <c r="AI754" s="140"/>
      <c r="AJ754" s="140"/>
      <c r="AK754" s="140"/>
      <c r="AL754" s="140"/>
      <c r="AM754" s="140"/>
      <c r="AN754" s="140"/>
      <c r="AO754" s="140"/>
      <c r="AP754" s="140"/>
      <c r="AQ754" s="140"/>
      <c r="AR754" s="140"/>
      <c r="AS754" s="140"/>
    </row>
    <row r="755">
      <c r="A755" s="149"/>
      <c r="B755" s="140"/>
      <c r="C755" s="140"/>
      <c r="D755" s="140"/>
      <c r="E755" s="140"/>
      <c r="F755" s="140"/>
      <c r="G755" s="140"/>
      <c r="H755" s="140"/>
      <c r="I755" s="140"/>
      <c r="J755" s="140"/>
      <c r="K755" s="140"/>
      <c r="L755" s="140"/>
      <c r="M755" s="140"/>
      <c r="N755" s="140"/>
      <c r="O755" s="140"/>
      <c r="P755" s="140"/>
      <c r="Q755" s="140"/>
      <c r="R755" s="140"/>
      <c r="S755" s="150"/>
      <c r="T755" s="150"/>
      <c r="U755" s="140"/>
      <c r="V755" s="140"/>
      <c r="W755" s="140"/>
      <c r="X755" s="140"/>
      <c r="Y755" s="140"/>
      <c r="Z755" s="140"/>
      <c r="AA755" s="140"/>
      <c r="AB755" s="140"/>
      <c r="AC755" s="140"/>
      <c r="AD755" s="140"/>
      <c r="AE755" s="140"/>
      <c r="AF755" s="140"/>
      <c r="AG755" s="140"/>
      <c r="AH755" s="140"/>
      <c r="AI755" s="140"/>
      <c r="AJ755" s="140"/>
      <c r="AK755" s="140"/>
      <c r="AL755" s="140"/>
      <c r="AM755" s="140"/>
      <c r="AN755" s="140"/>
      <c r="AO755" s="140"/>
      <c r="AP755" s="140"/>
      <c r="AQ755" s="140"/>
      <c r="AR755" s="140"/>
      <c r="AS755" s="140"/>
    </row>
    <row r="756">
      <c r="A756" s="149"/>
      <c r="B756" s="140"/>
      <c r="C756" s="140"/>
      <c r="D756" s="140"/>
      <c r="E756" s="140"/>
      <c r="F756" s="140"/>
      <c r="G756" s="140"/>
      <c r="H756" s="140"/>
      <c r="I756" s="140"/>
      <c r="J756" s="140"/>
      <c r="K756" s="140"/>
      <c r="L756" s="140"/>
      <c r="M756" s="140"/>
      <c r="N756" s="140"/>
      <c r="O756" s="140"/>
      <c r="P756" s="140"/>
      <c r="Q756" s="140"/>
      <c r="R756" s="140"/>
      <c r="S756" s="150"/>
      <c r="T756" s="150"/>
      <c r="U756" s="140"/>
      <c r="V756" s="140"/>
      <c r="W756" s="140"/>
      <c r="X756" s="140"/>
      <c r="Y756" s="140"/>
      <c r="Z756" s="140"/>
      <c r="AA756" s="140"/>
      <c r="AB756" s="140"/>
      <c r="AC756" s="140"/>
      <c r="AD756" s="140"/>
      <c r="AE756" s="140"/>
      <c r="AF756" s="140"/>
      <c r="AG756" s="140"/>
      <c r="AH756" s="140"/>
      <c r="AI756" s="140"/>
      <c r="AJ756" s="140"/>
      <c r="AK756" s="140"/>
      <c r="AL756" s="140"/>
      <c r="AM756" s="140"/>
      <c r="AN756" s="140"/>
      <c r="AO756" s="140"/>
      <c r="AP756" s="140"/>
      <c r="AQ756" s="140"/>
      <c r="AR756" s="140"/>
      <c r="AS756" s="140"/>
    </row>
    <row r="757">
      <c r="A757" s="149"/>
      <c r="B757" s="140"/>
      <c r="C757" s="140"/>
      <c r="D757" s="140"/>
      <c r="E757" s="140"/>
      <c r="F757" s="140"/>
      <c r="G757" s="140"/>
      <c r="H757" s="140"/>
      <c r="I757" s="140"/>
      <c r="J757" s="140"/>
      <c r="K757" s="140"/>
      <c r="L757" s="140"/>
      <c r="M757" s="140"/>
      <c r="N757" s="140"/>
      <c r="O757" s="140"/>
      <c r="P757" s="140"/>
      <c r="Q757" s="140"/>
      <c r="R757" s="140"/>
      <c r="S757" s="150"/>
      <c r="T757" s="150"/>
      <c r="U757" s="140"/>
      <c r="V757" s="140"/>
      <c r="W757" s="140"/>
      <c r="X757" s="140"/>
      <c r="Y757" s="140"/>
      <c r="Z757" s="140"/>
      <c r="AA757" s="140"/>
      <c r="AB757" s="140"/>
      <c r="AC757" s="140"/>
      <c r="AD757" s="140"/>
      <c r="AE757" s="140"/>
      <c r="AF757" s="140"/>
      <c r="AG757" s="140"/>
      <c r="AH757" s="140"/>
      <c r="AI757" s="140"/>
      <c r="AJ757" s="140"/>
      <c r="AK757" s="140"/>
      <c r="AL757" s="140"/>
      <c r="AM757" s="140"/>
      <c r="AN757" s="140"/>
      <c r="AO757" s="140"/>
      <c r="AP757" s="140"/>
      <c r="AQ757" s="140"/>
      <c r="AR757" s="140"/>
      <c r="AS757" s="140"/>
    </row>
    <row r="758">
      <c r="A758" s="149"/>
      <c r="B758" s="140"/>
      <c r="C758" s="140"/>
      <c r="D758" s="140"/>
      <c r="E758" s="140"/>
      <c r="F758" s="140"/>
      <c r="G758" s="140"/>
      <c r="H758" s="140"/>
      <c r="I758" s="140"/>
      <c r="J758" s="140"/>
      <c r="K758" s="140"/>
      <c r="L758" s="140"/>
      <c r="M758" s="140"/>
      <c r="N758" s="140"/>
      <c r="O758" s="140"/>
      <c r="P758" s="140"/>
      <c r="Q758" s="140"/>
      <c r="R758" s="140"/>
      <c r="S758" s="150"/>
      <c r="T758" s="150"/>
      <c r="U758" s="140"/>
      <c r="V758" s="140"/>
      <c r="W758" s="140"/>
      <c r="X758" s="140"/>
      <c r="Y758" s="140"/>
      <c r="Z758" s="140"/>
      <c r="AA758" s="140"/>
      <c r="AB758" s="140"/>
      <c r="AC758" s="140"/>
      <c r="AD758" s="140"/>
      <c r="AE758" s="140"/>
      <c r="AF758" s="140"/>
      <c r="AG758" s="140"/>
      <c r="AH758" s="140"/>
      <c r="AI758" s="140"/>
      <c r="AJ758" s="140"/>
      <c r="AK758" s="140"/>
      <c r="AL758" s="140"/>
      <c r="AM758" s="140"/>
      <c r="AN758" s="140"/>
      <c r="AO758" s="140"/>
      <c r="AP758" s="140"/>
      <c r="AQ758" s="140"/>
      <c r="AR758" s="140"/>
      <c r="AS758" s="140"/>
    </row>
    <row r="759">
      <c r="A759" s="149"/>
      <c r="B759" s="140"/>
      <c r="C759" s="140"/>
      <c r="D759" s="140"/>
      <c r="E759" s="140"/>
      <c r="F759" s="140"/>
      <c r="G759" s="140"/>
      <c r="H759" s="140"/>
      <c r="I759" s="140"/>
      <c r="J759" s="140"/>
      <c r="K759" s="140"/>
      <c r="L759" s="140"/>
      <c r="M759" s="140"/>
      <c r="N759" s="140"/>
      <c r="O759" s="140"/>
      <c r="P759" s="140"/>
      <c r="Q759" s="140"/>
      <c r="R759" s="140"/>
      <c r="S759" s="150"/>
      <c r="T759" s="150"/>
      <c r="U759" s="140"/>
      <c r="V759" s="140"/>
      <c r="W759" s="140"/>
      <c r="X759" s="140"/>
      <c r="Y759" s="140"/>
      <c r="Z759" s="140"/>
      <c r="AA759" s="140"/>
      <c r="AB759" s="140"/>
      <c r="AC759" s="140"/>
      <c r="AD759" s="140"/>
      <c r="AE759" s="140"/>
      <c r="AF759" s="140"/>
      <c r="AG759" s="140"/>
      <c r="AH759" s="140"/>
      <c r="AI759" s="140"/>
      <c r="AJ759" s="140"/>
      <c r="AK759" s="140"/>
      <c r="AL759" s="140"/>
      <c r="AM759" s="140"/>
      <c r="AN759" s="140"/>
      <c r="AO759" s="140"/>
      <c r="AP759" s="140"/>
      <c r="AQ759" s="140"/>
      <c r="AR759" s="140"/>
      <c r="AS759" s="140"/>
    </row>
    <row r="760">
      <c r="A760" s="149"/>
      <c r="B760" s="140"/>
      <c r="C760" s="140"/>
      <c r="D760" s="140"/>
      <c r="E760" s="140"/>
      <c r="F760" s="140"/>
      <c r="G760" s="140"/>
      <c r="H760" s="140"/>
      <c r="I760" s="140"/>
      <c r="J760" s="140"/>
      <c r="K760" s="140"/>
      <c r="L760" s="140"/>
      <c r="M760" s="140"/>
      <c r="N760" s="140"/>
      <c r="O760" s="140"/>
      <c r="P760" s="140"/>
      <c r="Q760" s="140"/>
      <c r="R760" s="140"/>
      <c r="S760" s="150"/>
      <c r="T760" s="150"/>
      <c r="U760" s="140"/>
      <c r="V760" s="140"/>
      <c r="W760" s="140"/>
      <c r="X760" s="140"/>
      <c r="Y760" s="140"/>
      <c r="Z760" s="140"/>
      <c r="AA760" s="140"/>
      <c r="AB760" s="140"/>
      <c r="AC760" s="140"/>
      <c r="AD760" s="140"/>
      <c r="AE760" s="140"/>
      <c r="AF760" s="140"/>
      <c r="AG760" s="140"/>
      <c r="AH760" s="140"/>
      <c r="AI760" s="140"/>
      <c r="AJ760" s="140"/>
      <c r="AK760" s="140"/>
      <c r="AL760" s="140"/>
      <c r="AM760" s="140"/>
      <c r="AN760" s="140"/>
      <c r="AO760" s="140"/>
      <c r="AP760" s="140"/>
      <c r="AQ760" s="140"/>
      <c r="AR760" s="140"/>
      <c r="AS760" s="140"/>
    </row>
    <row r="761">
      <c r="A761" s="149"/>
      <c r="B761" s="140"/>
      <c r="C761" s="140"/>
      <c r="D761" s="140"/>
      <c r="E761" s="140"/>
      <c r="F761" s="140"/>
      <c r="G761" s="140"/>
      <c r="H761" s="140"/>
      <c r="I761" s="140"/>
      <c r="J761" s="140"/>
      <c r="K761" s="140"/>
      <c r="L761" s="140"/>
      <c r="M761" s="140"/>
      <c r="N761" s="140"/>
      <c r="O761" s="140"/>
      <c r="P761" s="140"/>
      <c r="Q761" s="140"/>
      <c r="R761" s="140"/>
      <c r="S761" s="150"/>
      <c r="T761" s="150"/>
      <c r="U761" s="140"/>
      <c r="V761" s="140"/>
      <c r="W761" s="140"/>
      <c r="X761" s="140"/>
      <c r="Y761" s="140"/>
      <c r="Z761" s="140"/>
      <c r="AA761" s="140"/>
      <c r="AB761" s="140"/>
      <c r="AC761" s="140"/>
      <c r="AD761" s="140"/>
      <c r="AE761" s="140"/>
      <c r="AF761" s="140"/>
      <c r="AG761" s="140"/>
      <c r="AH761" s="140"/>
      <c r="AI761" s="140"/>
      <c r="AJ761" s="140"/>
      <c r="AK761" s="140"/>
      <c r="AL761" s="140"/>
      <c r="AM761" s="140"/>
      <c r="AN761" s="140"/>
      <c r="AO761" s="140"/>
      <c r="AP761" s="140"/>
      <c r="AQ761" s="140"/>
      <c r="AR761" s="140"/>
      <c r="AS761" s="140"/>
    </row>
    <row r="762">
      <c r="A762" s="149"/>
      <c r="B762" s="140"/>
      <c r="C762" s="140"/>
      <c r="D762" s="140"/>
      <c r="E762" s="140"/>
      <c r="F762" s="140"/>
      <c r="G762" s="140"/>
      <c r="H762" s="140"/>
      <c r="I762" s="140"/>
      <c r="J762" s="140"/>
      <c r="K762" s="140"/>
      <c r="L762" s="140"/>
      <c r="M762" s="140"/>
      <c r="N762" s="140"/>
      <c r="O762" s="140"/>
      <c r="P762" s="140"/>
      <c r="Q762" s="140"/>
      <c r="R762" s="140"/>
      <c r="S762" s="150"/>
      <c r="T762" s="150"/>
      <c r="U762" s="140"/>
      <c r="V762" s="140"/>
      <c r="W762" s="140"/>
      <c r="X762" s="140"/>
      <c r="Y762" s="140"/>
      <c r="Z762" s="140"/>
      <c r="AA762" s="140"/>
      <c r="AB762" s="140"/>
      <c r="AC762" s="140"/>
      <c r="AD762" s="140"/>
      <c r="AE762" s="140"/>
      <c r="AF762" s="140"/>
      <c r="AG762" s="140"/>
      <c r="AH762" s="140"/>
      <c r="AI762" s="140"/>
      <c r="AJ762" s="140"/>
      <c r="AK762" s="140"/>
      <c r="AL762" s="140"/>
      <c r="AM762" s="140"/>
      <c r="AN762" s="140"/>
      <c r="AO762" s="140"/>
      <c r="AP762" s="140"/>
      <c r="AQ762" s="140"/>
      <c r="AR762" s="140"/>
      <c r="AS762" s="140"/>
    </row>
    <row r="763">
      <c r="A763" s="149"/>
      <c r="B763" s="140"/>
      <c r="C763" s="140"/>
      <c r="D763" s="140"/>
      <c r="E763" s="140"/>
      <c r="F763" s="140"/>
      <c r="G763" s="140"/>
      <c r="H763" s="140"/>
      <c r="I763" s="140"/>
      <c r="J763" s="140"/>
      <c r="K763" s="140"/>
      <c r="L763" s="140"/>
      <c r="M763" s="140"/>
      <c r="N763" s="140"/>
      <c r="O763" s="140"/>
      <c r="P763" s="140"/>
      <c r="Q763" s="140"/>
      <c r="R763" s="140"/>
      <c r="S763" s="150"/>
      <c r="T763" s="150"/>
      <c r="U763" s="140"/>
      <c r="V763" s="140"/>
      <c r="W763" s="140"/>
      <c r="X763" s="140"/>
      <c r="Y763" s="140"/>
      <c r="Z763" s="140"/>
      <c r="AA763" s="140"/>
      <c r="AB763" s="140"/>
      <c r="AC763" s="140"/>
      <c r="AD763" s="140"/>
      <c r="AE763" s="140"/>
      <c r="AF763" s="140"/>
      <c r="AG763" s="140"/>
      <c r="AH763" s="140"/>
      <c r="AI763" s="140"/>
      <c r="AJ763" s="140"/>
      <c r="AK763" s="140"/>
      <c r="AL763" s="140"/>
      <c r="AM763" s="140"/>
      <c r="AN763" s="140"/>
      <c r="AO763" s="140"/>
      <c r="AP763" s="140"/>
      <c r="AQ763" s="140"/>
      <c r="AR763" s="140"/>
      <c r="AS763" s="140"/>
    </row>
    <row r="764">
      <c r="A764" s="149"/>
      <c r="B764" s="140"/>
      <c r="C764" s="140"/>
      <c r="D764" s="140"/>
      <c r="E764" s="140"/>
      <c r="F764" s="140"/>
      <c r="G764" s="140"/>
      <c r="H764" s="140"/>
      <c r="I764" s="140"/>
      <c r="J764" s="140"/>
      <c r="K764" s="140"/>
      <c r="L764" s="140"/>
      <c r="M764" s="140"/>
      <c r="N764" s="140"/>
      <c r="O764" s="140"/>
      <c r="P764" s="140"/>
      <c r="Q764" s="140"/>
      <c r="R764" s="140"/>
      <c r="S764" s="150"/>
      <c r="T764" s="150"/>
      <c r="U764" s="140"/>
      <c r="V764" s="140"/>
      <c r="W764" s="140"/>
      <c r="X764" s="140"/>
      <c r="Y764" s="140"/>
      <c r="Z764" s="140"/>
      <c r="AA764" s="140"/>
      <c r="AB764" s="140"/>
      <c r="AC764" s="140"/>
      <c r="AD764" s="140"/>
      <c r="AE764" s="140"/>
      <c r="AF764" s="140"/>
      <c r="AG764" s="140"/>
      <c r="AH764" s="140"/>
      <c r="AI764" s="140"/>
      <c r="AJ764" s="140"/>
      <c r="AK764" s="140"/>
      <c r="AL764" s="140"/>
      <c r="AM764" s="140"/>
      <c r="AN764" s="140"/>
      <c r="AO764" s="140"/>
      <c r="AP764" s="140"/>
      <c r="AQ764" s="140"/>
      <c r="AR764" s="140"/>
      <c r="AS764" s="140"/>
    </row>
    <row r="765">
      <c r="A765" s="149"/>
      <c r="B765" s="140"/>
      <c r="C765" s="140"/>
      <c r="D765" s="140"/>
      <c r="E765" s="140"/>
      <c r="F765" s="140"/>
      <c r="G765" s="140"/>
      <c r="H765" s="140"/>
      <c r="I765" s="140"/>
      <c r="J765" s="140"/>
      <c r="K765" s="140"/>
      <c r="L765" s="140"/>
      <c r="M765" s="140"/>
      <c r="N765" s="140"/>
      <c r="O765" s="140"/>
      <c r="P765" s="140"/>
      <c r="Q765" s="140"/>
      <c r="R765" s="140"/>
      <c r="S765" s="150"/>
      <c r="T765" s="150"/>
      <c r="U765" s="140"/>
      <c r="V765" s="140"/>
      <c r="W765" s="140"/>
      <c r="X765" s="140"/>
      <c r="Y765" s="140"/>
      <c r="Z765" s="140"/>
      <c r="AA765" s="140"/>
      <c r="AB765" s="140"/>
      <c r="AC765" s="140"/>
      <c r="AD765" s="140"/>
      <c r="AE765" s="140"/>
      <c r="AF765" s="140"/>
      <c r="AG765" s="140"/>
      <c r="AH765" s="140"/>
      <c r="AI765" s="140"/>
      <c r="AJ765" s="140"/>
      <c r="AK765" s="140"/>
      <c r="AL765" s="140"/>
      <c r="AM765" s="140"/>
      <c r="AN765" s="140"/>
      <c r="AO765" s="140"/>
      <c r="AP765" s="140"/>
      <c r="AQ765" s="140"/>
      <c r="AR765" s="140"/>
      <c r="AS765" s="140"/>
    </row>
    <row r="766">
      <c r="A766" s="149"/>
      <c r="B766" s="140"/>
      <c r="C766" s="140"/>
      <c r="D766" s="140"/>
      <c r="E766" s="140"/>
      <c r="F766" s="140"/>
      <c r="G766" s="140"/>
      <c r="H766" s="140"/>
      <c r="I766" s="140"/>
      <c r="J766" s="140"/>
      <c r="K766" s="140"/>
      <c r="L766" s="140"/>
      <c r="M766" s="140"/>
      <c r="N766" s="140"/>
      <c r="O766" s="140"/>
      <c r="P766" s="140"/>
      <c r="Q766" s="140"/>
      <c r="R766" s="140"/>
      <c r="S766" s="150"/>
      <c r="T766" s="150"/>
      <c r="U766" s="140"/>
      <c r="V766" s="140"/>
      <c r="W766" s="140"/>
      <c r="X766" s="140"/>
      <c r="Y766" s="140"/>
      <c r="Z766" s="140"/>
      <c r="AA766" s="140"/>
      <c r="AB766" s="140"/>
      <c r="AC766" s="140"/>
      <c r="AD766" s="140"/>
      <c r="AE766" s="140"/>
      <c r="AF766" s="140"/>
      <c r="AG766" s="140"/>
      <c r="AH766" s="140"/>
      <c r="AI766" s="140"/>
      <c r="AJ766" s="140"/>
      <c r="AK766" s="140"/>
      <c r="AL766" s="140"/>
      <c r="AM766" s="140"/>
      <c r="AN766" s="140"/>
      <c r="AO766" s="140"/>
      <c r="AP766" s="140"/>
      <c r="AQ766" s="140"/>
      <c r="AR766" s="140"/>
      <c r="AS766" s="140"/>
    </row>
    <row r="767">
      <c r="A767" s="149"/>
      <c r="B767" s="140"/>
      <c r="C767" s="140"/>
      <c r="D767" s="140"/>
      <c r="E767" s="140"/>
      <c r="F767" s="140"/>
      <c r="G767" s="140"/>
      <c r="H767" s="140"/>
      <c r="I767" s="140"/>
      <c r="J767" s="140"/>
      <c r="K767" s="140"/>
      <c r="L767" s="140"/>
      <c r="M767" s="140"/>
      <c r="N767" s="140"/>
      <c r="O767" s="140"/>
      <c r="P767" s="140"/>
      <c r="Q767" s="140"/>
      <c r="R767" s="140"/>
      <c r="S767" s="150"/>
      <c r="T767" s="150"/>
      <c r="U767" s="140"/>
      <c r="V767" s="140"/>
      <c r="W767" s="140"/>
      <c r="X767" s="140"/>
      <c r="Y767" s="140"/>
      <c r="Z767" s="140"/>
      <c r="AA767" s="140"/>
      <c r="AB767" s="140"/>
      <c r="AC767" s="140"/>
      <c r="AD767" s="140"/>
      <c r="AE767" s="140"/>
      <c r="AF767" s="140"/>
      <c r="AG767" s="140"/>
      <c r="AH767" s="140"/>
      <c r="AI767" s="140"/>
      <c r="AJ767" s="140"/>
      <c r="AK767" s="140"/>
      <c r="AL767" s="140"/>
      <c r="AM767" s="140"/>
      <c r="AN767" s="140"/>
      <c r="AO767" s="140"/>
      <c r="AP767" s="140"/>
      <c r="AQ767" s="140"/>
      <c r="AR767" s="140"/>
      <c r="AS767" s="140"/>
    </row>
    <row r="768">
      <c r="A768" s="149"/>
      <c r="B768" s="140"/>
      <c r="C768" s="140"/>
      <c r="D768" s="140"/>
      <c r="E768" s="140"/>
      <c r="F768" s="140"/>
      <c r="G768" s="140"/>
      <c r="H768" s="140"/>
      <c r="I768" s="140"/>
      <c r="J768" s="140"/>
      <c r="K768" s="140"/>
      <c r="L768" s="140"/>
      <c r="M768" s="140"/>
      <c r="N768" s="140"/>
      <c r="O768" s="140"/>
      <c r="P768" s="140"/>
      <c r="Q768" s="140"/>
      <c r="R768" s="140"/>
      <c r="S768" s="150"/>
      <c r="T768" s="150"/>
      <c r="U768" s="140"/>
      <c r="V768" s="140"/>
      <c r="W768" s="140"/>
      <c r="X768" s="140"/>
      <c r="Y768" s="140"/>
      <c r="Z768" s="140"/>
      <c r="AA768" s="140"/>
      <c r="AB768" s="140"/>
      <c r="AC768" s="140"/>
      <c r="AD768" s="140"/>
      <c r="AE768" s="140"/>
      <c r="AF768" s="140"/>
      <c r="AG768" s="140"/>
      <c r="AH768" s="140"/>
      <c r="AI768" s="140"/>
      <c r="AJ768" s="140"/>
      <c r="AK768" s="140"/>
      <c r="AL768" s="140"/>
      <c r="AM768" s="140"/>
      <c r="AN768" s="140"/>
      <c r="AO768" s="140"/>
      <c r="AP768" s="140"/>
      <c r="AQ768" s="140"/>
      <c r="AR768" s="140"/>
      <c r="AS768" s="140"/>
    </row>
    <row r="769">
      <c r="A769" s="149"/>
      <c r="B769" s="140"/>
      <c r="C769" s="140"/>
      <c r="D769" s="140"/>
      <c r="E769" s="140"/>
      <c r="F769" s="140"/>
      <c r="G769" s="140"/>
      <c r="H769" s="140"/>
      <c r="I769" s="140"/>
      <c r="J769" s="140"/>
      <c r="K769" s="140"/>
      <c r="L769" s="140"/>
      <c r="M769" s="140"/>
      <c r="N769" s="140"/>
      <c r="O769" s="140"/>
      <c r="P769" s="140"/>
      <c r="Q769" s="140"/>
      <c r="R769" s="140"/>
      <c r="S769" s="150"/>
      <c r="T769" s="150"/>
      <c r="U769" s="140"/>
      <c r="V769" s="140"/>
      <c r="W769" s="140"/>
      <c r="X769" s="140"/>
      <c r="Y769" s="140"/>
      <c r="Z769" s="140"/>
      <c r="AA769" s="140"/>
      <c r="AB769" s="140"/>
      <c r="AC769" s="140"/>
      <c r="AD769" s="140"/>
      <c r="AE769" s="140"/>
      <c r="AF769" s="140"/>
      <c r="AG769" s="140"/>
      <c r="AH769" s="140"/>
      <c r="AI769" s="140"/>
      <c r="AJ769" s="140"/>
      <c r="AK769" s="140"/>
      <c r="AL769" s="140"/>
      <c r="AM769" s="140"/>
      <c r="AN769" s="140"/>
      <c r="AO769" s="140"/>
      <c r="AP769" s="140"/>
      <c r="AQ769" s="140"/>
      <c r="AR769" s="140"/>
      <c r="AS769" s="140"/>
    </row>
    <row r="770">
      <c r="A770" s="149"/>
      <c r="B770" s="140"/>
      <c r="C770" s="140"/>
      <c r="D770" s="140"/>
      <c r="E770" s="140"/>
      <c r="F770" s="140"/>
      <c r="G770" s="140"/>
      <c r="H770" s="140"/>
      <c r="I770" s="140"/>
      <c r="J770" s="140"/>
      <c r="K770" s="140"/>
      <c r="L770" s="140"/>
      <c r="M770" s="140"/>
      <c r="N770" s="140"/>
      <c r="O770" s="140"/>
      <c r="P770" s="140"/>
      <c r="Q770" s="140"/>
      <c r="R770" s="140"/>
      <c r="S770" s="150"/>
      <c r="T770" s="150"/>
      <c r="U770" s="140"/>
      <c r="V770" s="140"/>
      <c r="W770" s="140"/>
      <c r="X770" s="140"/>
      <c r="Y770" s="140"/>
      <c r="Z770" s="140"/>
      <c r="AA770" s="140"/>
      <c r="AB770" s="140"/>
      <c r="AC770" s="140"/>
      <c r="AD770" s="140"/>
      <c r="AE770" s="140"/>
      <c r="AF770" s="140"/>
      <c r="AG770" s="140"/>
      <c r="AH770" s="140"/>
      <c r="AI770" s="140"/>
      <c r="AJ770" s="140"/>
      <c r="AK770" s="140"/>
      <c r="AL770" s="140"/>
      <c r="AM770" s="140"/>
      <c r="AN770" s="140"/>
      <c r="AO770" s="140"/>
      <c r="AP770" s="140"/>
      <c r="AQ770" s="140"/>
      <c r="AR770" s="140"/>
      <c r="AS770" s="140"/>
    </row>
    <row r="771">
      <c r="A771" s="149"/>
      <c r="B771" s="140"/>
      <c r="C771" s="140"/>
      <c r="D771" s="140"/>
      <c r="E771" s="140"/>
      <c r="F771" s="140"/>
      <c r="G771" s="140"/>
      <c r="H771" s="140"/>
      <c r="I771" s="140"/>
      <c r="J771" s="140"/>
      <c r="K771" s="140"/>
      <c r="L771" s="140"/>
      <c r="M771" s="140"/>
      <c r="N771" s="140"/>
      <c r="O771" s="140"/>
      <c r="P771" s="140"/>
      <c r="Q771" s="140"/>
      <c r="R771" s="140"/>
      <c r="S771" s="150"/>
      <c r="T771" s="150"/>
      <c r="U771" s="140"/>
      <c r="V771" s="140"/>
      <c r="W771" s="140"/>
      <c r="X771" s="140"/>
      <c r="Y771" s="140"/>
      <c r="Z771" s="140"/>
      <c r="AA771" s="140"/>
      <c r="AB771" s="140"/>
      <c r="AC771" s="140"/>
      <c r="AD771" s="140"/>
      <c r="AE771" s="140"/>
      <c r="AF771" s="140"/>
      <c r="AG771" s="140"/>
      <c r="AH771" s="140"/>
      <c r="AI771" s="140"/>
      <c r="AJ771" s="140"/>
      <c r="AK771" s="140"/>
      <c r="AL771" s="140"/>
      <c r="AM771" s="140"/>
      <c r="AN771" s="140"/>
      <c r="AO771" s="140"/>
      <c r="AP771" s="140"/>
      <c r="AQ771" s="140"/>
      <c r="AR771" s="140"/>
      <c r="AS771" s="140"/>
    </row>
    <row r="772">
      <c r="A772" s="149"/>
      <c r="B772" s="140"/>
      <c r="C772" s="140"/>
      <c r="D772" s="140"/>
      <c r="E772" s="140"/>
      <c r="F772" s="140"/>
      <c r="G772" s="140"/>
      <c r="H772" s="140"/>
      <c r="I772" s="140"/>
      <c r="J772" s="140"/>
      <c r="K772" s="140"/>
      <c r="L772" s="140"/>
      <c r="M772" s="140"/>
      <c r="N772" s="140"/>
      <c r="O772" s="140"/>
      <c r="P772" s="140"/>
      <c r="Q772" s="140"/>
      <c r="R772" s="140"/>
      <c r="S772" s="150"/>
      <c r="T772" s="150"/>
      <c r="U772" s="140"/>
      <c r="V772" s="140"/>
      <c r="W772" s="140"/>
      <c r="X772" s="140"/>
      <c r="Y772" s="140"/>
      <c r="Z772" s="140"/>
      <c r="AA772" s="140"/>
      <c r="AB772" s="140"/>
      <c r="AC772" s="140"/>
      <c r="AD772" s="140"/>
      <c r="AE772" s="140"/>
      <c r="AF772" s="140"/>
      <c r="AG772" s="140"/>
      <c r="AH772" s="140"/>
      <c r="AI772" s="140"/>
      <c r="AJ772" s="140"/>
      <c r="AK772" s="140"/>
      <c r="AL772" s="140"/>
      <c r="AM772" s="140"/>
      <c r="AN772" s="140"/>
      <c r="AO772" s="140"/>
      <c r="AP772" s="140"/>
      <c r="AQ772" s="140"/>
      <c r="AR772" s="140"/>
      <c r="AS772" s="140"/>
    </row>
    <row r="773">
      <c r="A773" s="149"/>
      <c r="B773" s="140"/>
      <c r="C773" s="140"/>
      <c r="D773" s="140"/>
      <c r="E773" s="140"/>
      <c r="F773" s="140"/>
      <c r="G773" s="140"/>
      <c r="H773" s="140"/>
      <c r="I773" s="140"/>
      <c r="J773" s="140"/>
      <c r="K773" s="140"/>
      <c r="L773" s="140"/>
      <c r="M773" s="140"/>
      <c r="N773" s="140"/>
      <c r="O773" s="140"/>
      <c r="P773" s="140"/>
      <c r="Q773" s="140"/>
      <c r="R773" s="140"/>
      <c r="S773" s="150"/>
      <c r="T773" s="150"/>
      <c r="U773" s="140"/>
      <c r="V773" s="140"/>
      <c r="W773" s="140"/>
      <c r="X773" s="140"/>
      <c r="Y773" s="140"/>
      <c r="Z773" s="140"/>
      <c r="AA773" s="140"/>
      <c r="AB773" s="140"/>
      <c r="AC773" s="140"/>
      <c r="AD773" s="140"/>
      <c r="AE773" s="140"/>
      <c r="AF773" s="140"/>
      <c r="AG773" s="140"/>
      <c r="AH773" s="140"/>
      <c r="AI773" s="140"/>
      <c r="AJ773" s="140"/>
      <c r="AK773" s="140"/>
      <c r="AL773" s="140"/>
      <c r="AM773" s="140"/>
      <c r="AN773" s="140"/>
      <c r="AO773" s="140"/>
      <c r="AP773" s="140"/>
      <c r="AQ773" s="140"/>
      <c r="AR773" s="140"/>
      <c r="AS773" s="140"/>
    </row>
    <row r="774">
      <c r="A774" s="149"/>
      <c r="B774" s="140"/>
      <c r="C774" s="140"/>
      <c r="D774" s="140"/>
      <c r="E774" s="140"/>
      <c r="F774" s="140"/>
      <c r="G774" s="140"/>
      <c r="H774" s="140"/>
      <c r="I774" s="140"/>
      <c r="J774" s="140"/>
      <c r="K774" s="140"/>
      <c r="L774" s="140"/>
      <c r="M774" s="140"/>
      <c r="N774" s="140"/>
      <c r="O774" s="140"/>
      <c r="P774" s="140"/>
      <c r="Q774" s="140"/>
      <c r="R774" s="140"/>
      <c r="S774" s="150"/>
      <c r="T774" s="150"/>
      <c r="U774" s="140"/>
      <c r="V774" s="140"/>
      <c r="W774" s="140"/>
      <c r="X774" s="140"/>
      <c r="Y774" s="140"/>
      <c r="Z774" s="140"/>
      <c r="AA774" s="140"/>
      <c r="AB774" s="140"/>
      <c r="AC774" s="140"/>
      <c r="AD774" s="140"/>
      <c r="AE774" s="140"/>
      <c r="AF774" s="140"/>
      <c r="AG774" s="140"/>
      <c r="AH774" s="140"/>
      <c r="AI774" s="140"/>
      <c r="AJ774" s="140"/>
      <c r="AK774" s="140"/>
      <c r="AL774" s="140"/>
      <c r="AM774" s="140"/>
      <c r="AN774" s="140"/>
      <c r="AO774" s="140"/>
      <c r="AP774" s="140"/>
      <c r="AQ774" s="140"/>
      <c r="AR774" s="140"/>
      <c r="AS774" s="140"/>
    </row>
    <row r="775">
      <c r="A775" s="149"/>
      <c r="B775" s="140"/>
      <c r="C775" s="140"/>
      <c r="D775" s="140"/>
      <c r="E775" s="140"/>
      <c r="F775" s="140"/>
      <c r="G775" s="140"/>
      <c r="H775" s="140"/>
      <c r="I775" s="140"/>
      <c r="J775" s="140"/>
      <c r="K775" s="140"/>
      <c r="L775" s="140"/>
      <c r="M775" s="140"/>
      <c r="N775" s="140"/>
      <c r="O775" s="140"/>
      <c r="P775" s="140"/>
      <c r="Q775" s="140"/>
      <c r="R775" s="140"/>
      <c r="S775" s="150"/>
      <c r="T775" s="150"/>
      <c r="U775" s="140"/>
      <c r="V775" s="140"/>
      <c r="W775" s="140"/>
      <c r="X775" s="140"/>
      <c r="Y775" s="140"/>
      <c r="Z775" s="140"/>
      <c r="AA775" s="140"/>
      <c r="AB775" s="140"/>
      <c r="AC775" s="140"/>
      <c r="AD775" s="140"/>
      <c r="AE775" s="140"/>
      <c r="AF775" s="140"/>
      <c r="AG775" s="140"/>
      <c r="AH775" s="140"/>
      <c r="AI775" s="140"/>
      <c r="AJ775" s="140"/>
      <c r="AK775" s="140"/>
      <c r="AL775" s="140"/>
      <c r="AM775" s="140"/>
      <c r="AN775" s="140"/>
      <c r="AO775" s="140"/>
      <c r="AP775" s="140"/>
      <c r="AQ775" s="140"/>
      <c r="AR775" s="140"/>
      <c r="AS775" s="140"/>
    </row>
    <row r="776">
      <c r="A776" s="149"/>
      <c r="B776" s="140"/>
      <c r="C776" s="140"/>
      <c r="D776" s="140"/>
      <c r="E776" s="140"/>
      <c r="F776" s="140"/>
      <c r="G776" s="140"/>
      <c r="H776" s="140"/>
      <c r="I776" s="140"/>
      <c r="J776" s="140"/>
      <c r="K776" s="140"/>
      <c r="L776" s="140"/>
      <c r="M776" s="140"/>
      <c r="N776" s="140"/>
      <c r="O776" s="140"/>
      <c r="P776" s="140"/>
      <c r="Q776" s="140"/>
      <c r="R776" s="140"/>
      <c r="S776" s="150"/>
      <c r="T776" s="150"/>
      <c r="U776" s="140"/>
      <c r="V776" s="140"/>
      <c r="W776" s="140"/>
      <c r="X776" s="140"/>
      <c r="Y776" s="140"/>
      <c r="Z776" s="140"/>
      <c r="AA776" s="140"/>
      <c r="AB776" s="140"/>
      <c r="AC776" s="140"/>
      <c r="AD776" s="140"/>
      <c r="AE776" s="140"/>
      <c r="AF776" s="140"/>
      <c r="AG776" s="140"/>
      <c r="AH776" s="140"/>
      <c r="AI776" s="140"/>
      <c r="AJ776" s="140"/>
      <c r="AK776" s="140"/>
      <c r="AL776" s="140"/>
      <c r="AM776" s="140"/>
      <c r="AN776" s="140"/>
      <c r="AO776" s="140"/>
      <c r="AP776" s="140"/>
      <c r="AQ776" s="140"/>
      <c r="AR776" s="140"/>
      <c r="AS776" s="140"/>
    </row>
    <row r="777">
      <c r="A777" s="149"/>
      <c r="B777" s="140"/>
      <c r="C777" s="140"/>
      <c r="D777" s="140"/>
      <c r="E777" s="140"/>
      <c r="F777" s="140"/>
      <c r="G777" s="140"/>
      <c r="H777" s="140"/>
      <c r="I777" s="140"/>
      <c r="J777" s="140"/>
      <c r="K777" s="140"/>
      <c r="L777" s="140"/>
      <c r="M777" s="140"/>
      <c r="N777" s="140"/>
      <c r="O777" s="140"/>
      <c r="P777" s="140"/>
      <c r="Q777" s="140"/>
      <c r="R777" s="140"/>
      <c r="S777" s="150"/>
      <c r="T777" s="150"/>
      <c r="U777" s="140"/>
      <c r="V777" s="140"/>
      <c r="W777" s="140"/>
      <c r="X777" s="140"/>
      <c r="Y777" s="140"/>
      <c r="Z777" s="140"/>
      <c r="AA777" s="140"/>
      <c r="AB777" s="140"/>
      <c r="AC777" s="140"/>
      <c r="AD777" s="140"/>
      <c r="AE777" s="140"/>
      <c r="AF777" s="140"/>
      <c r="AG777" s="140"/>
      <c r="AH777" s="140"/>
      <c r="AI777" s="140"/>
      <c r="AJ777" s="140"/>
      <c r="AK777" s="140"/>
      <c r="AL777" s="140"/>
      <c r="AM777" s="140"/>
      <c r="AN777" s="140"/>
      <c r="AO777" s="140"/>
      <c r="AP777" s="140"/>
      <c r="AQ777" s="140"/>
      <c r="AR777" s="140"/>
      <c r="AS777" s="140"/>
    </row>
    <row r="778">
      <c r="A778" s="149"/>
      <c r="B778" s="140"/>
      <c r="C778" s="140"/>
      <c r="D778" s="140"/>
      <c r="E778" s="140"/>
      <c r="F778" s="140"/>
      <c r="G778" s="140"/>
      <c r="H778" s="140"/>
      <c r="I778" s="140"/>
      <c r="J778" s="140"/>
      <c r="K778" s="140"/>
      <c r="L778" s="140"/>
      <c r="M778" s="140"/>
      <c r="N778" s="140"/>
      <c r="O778" s="140"/>
      <c r="P778" s="140"/>
      <c r="Q778" s="140"/>
      <c r="R778" s="140"/>
      <c r="S778" s="150"/>
      <c r="T778" s="150"/>
      <c r="U778" s="140"/>
      <c r="V778" s="140"/>
      <c r="W778" s="140"/>
      <c r="X778" s="140"/>
      <c r="Y778" s="140"/>
      <c r="Z778" s="140"/>
      <c r="AA778" s="140"/>
      <c r="AB778" s="140"/>
      <c r="AC778" s="140"/>
      <c r="AD778" s="140"/>
      <c r="AE778" s="140"/>
      <c r="AF778" s="140"/>
      <c r="AG778" s="140"/>
      <c r="AH778" s="140"/>
      <c r="AI778" s="140"/>
      <c r="AJ778" s="140"/>
      <c r="AK778" s="140"/>
      <c r="AL778" s="140"/>
      <c r="AM778" s="140"/>
      <c r="AN778" s="140"/>
      <c r="AO778" s="140"/>
      <c r="AP778" s="140"/>
      <c r="AQ778" s="140"/>
      <c r="AR778" s="140"/>
      <c r="AS778" s="140"/>
    </row>
    <row r="779">
      <c r="A779" s="149"/>
      <c r="B779" s="140"/>
      <c r="C779" s="140"/>
      <c r="D779" s="140"/>
      <c r="E779" s="140"/>
      <c r="F779" s="140"/>
      <c r="G779" s="140"/>
      <c r="H779" s="140"/>
      <c r="I779" s="140"/>
      <c r="J779" s="140"/>
      <c r="K779" s="140"/>
      <c r="L779" s="140"/>
      <c r="M779" s="140"/>
      <c r="N779" s="140"/>
      <c r="O779" s="140"/>
      <c r="P779" s="140"/>
      <c r="Q779" s="140"/>
      <c r="R779" s="140"/>
      <c r="S779" s="150"/>
      <c r="T779" s="150"/>
      <c r="U779" s="140"/>
      <c r="V779" s="140"/>
      <c r="W779" s="140"/>
      <c r="X779" s="140"/>
      <c r="Y779" s="140"/>
      <c r="Z779" s="140"/>
      <c r="AA779" s="140"/>
      <c r="AB779" s="140"/>
      <c r="AC779" s="140"/>
      <c r="AD779" s="140"/>
      <c r="AE779" s="140"/>
      <c r="AF779" s="140"/>
      <c r="AG779" s="140"/>
      <c r="AH779" s="140"/>
      <c r="AI779" s="140"/>
      <c r="AJ779" s="140"/>
      <c r="AK779" s="140"/>
      <c r="AL779" s="140"/>
      <c r="AM779" s="140"/>
      <c r="AN779" s="140"/>
      <c r="AO779" s="140"/>
      <c r="AP779" s="140"/>
      <c r="AQ779" s="140"/>
      <c r="AR779" s="140"/>
      <c r="AS779" s="140"/>
    </row>
    <row r="780">
      <c r="A780" s="149"/>
      <c r="B780" s="140"/>
      <c r="C780" s="140"/>
      <c r="D780" s="140"/>
      <c r="E780" s="140"/>
      <c r="F780" s="140"/>
      <c r="G780" s="140"/>
      <c r="H780" s="140"/>
      <c r="I780" s="140"/>
      <c r="J780" s="140"/>
      <c r="K780" s="140"/>
      <c r="L780" s="140"/>
      <c r="M780" s="140"/>
      <c r="N780" s="140"/>
      <c r="O780" s="140"/>
      <c r="P780" s="140"/>
      <c r="Q780" s="140"/>
      <c r="R780" s="140"/>
      <c r="S780" s="150"/>
      <c r="T780" s="150"/>
      <c r="U780" s="140"/>
      <c r="V780" s="140"/>
      <c r="W780" s="140"/>
      <c r="X780" s="140"/>
      <c r="Y780" s="140"/>
      <c r="Z780" s="140"/>
      <c r="AA780" s="140"/>
      <c r="AB780" s="140"/>
      <c r="AC780" s="140"/>
      <c r="AD780" s="140"/>
      <c r="AE780" s="140"/>
      <c r="AF780" s="140"/>
      <c r="AG780" s="140"/>
      <c r="AH780" s="140"/>
      <c r="AI780" s="140"/>
      <c r="AJ780" s="140"/>
      <c r="AK780" s="140"/>
      <c r="AL780" s="140"/>
      <c r="AM780" s="140"/>
      <c r="AN780" s="140"/>
      <c r="AO780" s="140"/>
      <c r="AP780" s="140"/>
      <c r="AQ780" s="140"/>
      <c r="AR780" s="140"/>
      <c r="AS780" s="140"/>
    </row>
    <row r="781">
      <c r="A781" s="149"/>
      <c r="B781" s="140"/>
      <c r="C781" s="140"/>
      <c r="D781" s="140"/>
      <c r="E781" s="140"/>
      <c r="F781" s="140"/>
      <c r="G781" s="140"/>
      <c r="H781" s="140"/>
      <c r="I781" s="140"/>
      <c r="J781" s="140"/>
      <c r="K781" s="140"/>
      <c r="L781" s="140"/>
      <c r="M781" s="140"/>
      <c r="N781" s="140"/>
      <c r="O781" s="140"/>
      <c r="P781" s="140"/>
      <c r="Q781" s="140"/>
      <c r="R781" s="140"/>
      <c r="S781" s="150"/>
      <c r="T781" s="150"/>
      <c r="U781" s="140"/>
      <c r="V781" s="140"/>
      <c r="W781" s="140"/>
      <c r="X781" s="140"/>
      <c r="Y781" s="140"/>
      <c r="Z781" s="140"/>
      <c r="AA781" s="140"/>
      <c r="AB781" s="140"/>
      <c r="AC781" s="140"/>
      <c r="AD781" s="140"/>
      <c r="AE781" s="140"/>
      <c r="AF781" s="140"/>
      <c r="AG781" s="140"/>
      <c r="AH781" s="140"/>
      <c r="AI781" s="140"/>
      <c r="AJ781" s="140"/>
      <c r="AK781" s="140"/>
      <c r="AL781" s="140"/>
      <c r="AM781" s="140"/>
      <c r="AN781" s="140"/>
      <c r="AO781" s="140"/>
      <c r="AP781" s="140"/>
      <c r="AQ781" s="140"/>
      <c r="AR781" s="140"/>
      <c r="AS781" s="140"/>
    </row>
    <row r="782">
      <c r="A782" s="149"/>
      <c r="B782" s="140"/>
      <c r="C782" s="140"/>
      <c r="D782" s="140"/>
      <c r="E782" s="140"/>
      <c r="F782" s="140"/>
      <c r="G782" s="140"/>
      <c r="H782" s="140"/>
      <c r="I782" s="140"/>
      <c r="J782" s="140"/>
      <c r="K782" s="140"/>
      <c r="L782" s="140"/>
      <c r="M782" s="140"/>
      <c r="N782" s="140"/>
      <c r="O782" s="140"/>
      <c r="P782" s="140"/>
      <c r="Q782" s="140"/>
      <c r="R782" s="140"/>
      <c r="S782" s="150"/>
      <c r="T782" s="150"/>
      <c r="U782" s="140"/>
      <c r="V782" s="140"/>
      <c r="W782" s="140"/>
      <c r="X782" s="140"/>
      <c r="Y782" s="140"/>
      <c r="Z782" s="140"/>
      <c r="AA782" s="140"/>
      <c r="AB782" s="140"/>
      <c r="AC782" s="140"/>
      <c r="AD782" s="140"/>
      <c r="AE782" s="140"/>
      <c r="AF782" s="140"/>
      <c r="AG782" s="140"/>
      <c r="AH782" s="140"/>
      <c r="AI782" s="140"/>
      <c r="AJ782" s="140"/>
      <c r="AK782" s="140"/>
      <c r="AL782" s="140"/>
      <c r="AM782" s="140"/>
      <c r="AN782" s="140"/>
      <c r="AO782" s="140"/>
      <c r="AP782" s="140"/>
      <c r="AQ782" s="140"/>
      <c r="AR782" s="140"/>
      <c r="AS782" s="140"/>
    </row>
    <row r="783">
      <c r="A783" s="149"/>
      <c r="B783" s="140"/>
      <c r="C783" s="140"/>
      <c r="D783" s="140"/>
      <c r="E783" s="140"/>
      <c r="F783" s="140"/>
      <c r="G783" s="140"/>
      <c r="H783" s="140"/>
      <c r="I783" s="140"/>
      <c r="J783" s="140"/>
      <c r="K783" s="140"/>
      <c r="L783" s="140"/>
      <c r="M783" s="140"/>
      <c r="N783" s="140"/>
      <c r="O783" s="140"/>
      <c r="P783" s="140"/>
      <c r="Q783" s="140"/>
      <c r="R783" s="140"/>
      <c r="S783" s="150"/>
      <c r="T783" s="150"/>
      <c r="U783" s="140"/>
      <c r="V783" s="140"/>
      <c r="W783" s="140"/>
      <c r="X783" s="140"/>
      <c r="Y783" s="140"/>
      <c r="Z783" s="140"/>
      <c r="AA783" s="140"/>
      <c r="AB783" s="140"/>
      <c r="AC783" s="140"/>
      <c r="AD783" s="140"/>
      <c r="AE783" s="140"/>
      <c r="AF783" s="140"/>
      <c r="AG783" s="140"/>
      <c r="AH783" s="140"/>
      <c r="AI783" s="140"/>
      <c r="AJ783" s="140"/>
      <c r="AK783" s="140"/>
      <c r="AL783" s="140"/>
      <c r="AM783" s="140"/>
      <c r="AN783" s="140"/>
      <c r="AO783" s="140"/>
      <c r="AP783" s="140"/>
      <c r="AQ783" s="140"/>
      <c r="AR783" s="140"/>
      <c r="AS783" s="140"/>
    </row>
    <row r="784">
      <c r="A784" s="149"/>
      <c r="B784" s="140"/>
      <c r="C784" s="140"/>
      <c r="D784" s="140"/>
      <c r="E784" s="140"/>
      <c r="F784" s="140"/>
      <c r="G784" s="140"/>
      <c r="H784" s="140"/>
      <c r="I784" s="140"/>
      <c r="J784" s="140"/>
      <c r="K784" s="140"/>
      <c r="L784" s="140"/>
      <c r="M784" s="140"/>
      <c r="N784" s="140"/>
      <c r="O784" s="140"/>
      <c r="P784" s="140"/>
      <c r="Q784" s="140"/>
      <c r="R784" s="140"/>
      <c r="S784" s="150"/>
      <c r="T784" s="150"/>
      <c r="U784" s="140"/>
      <c r="V784" s="140"/>
      <c r="W784" s="140"/>
      <c r="X784" s="140"/>
      <c r="Y784" s="140"/>
      <c r="Z784" s="140"/>
      <c r="AA784" s="140"/>
      <c r="AB784" s="140"/>
      <c r="AC784" s="140"/>
      <c r="AD784" s="140"/>
      <c r="AE784" s="140"/>
      <c r="AF784" s="140"/>
      <c r="AG784" s="140"/>
      <c r="AH784" s="140"/>
      <c r="AI784" s="140"/>
      <c r="AJ784" s="140"/>
      <c r="AK784" s="140"/>
      <c r="AL784" s="140"/>
      <c r="AM784" s="140"/>
      <c r="AN784" s="140"/>
      <c r="AO784" s="140"/>
      <c r="AP784" s="140"/>
      <c r="AQ784" s="140"/>
      <c r="AR784" s="140"/>
      <c r="AS784" s="140"/>
    </row>
    <row r="785">
      <c r="A785" s="149"/>
      <c r="B785" s="140"/>
      <c r="C785" s="140"/>
      <c r="D785" s="140"/>
      <c r="E785" s="140"/>
      <c r="F785" s="140"/>
      <c r="G785" s="140"/>
      <c r="H785" s="140"/>
      <c r="I785" s="140"/>
      <c r="J785" s="140"/>
      <c r="K785" s="140"/>
      <c r="L785" s="140"/>
      <c r="M785" s="140"/>
      <c r="N785" s="140"/>
      <c r="O785" s="140"/>
      <c r="P785" s="140"/>
      <c r="Q785" s="140"/>
      <c r="R785" s="140"/>
      <c r="S785" s="150"/>
      <c r="T785" s="150"/>
      <c r="U785" s="140"/>
      <c r="V785" s="140"/>
      <c r="W785" s="140"/>
      <c r="X785" s="140"/>
      <c r="Y785" s="140"/>
      <c r="Z785" s="140"/>
      <c r="AA785" s="140"/>
      <c r="AB785" s="140"/>
      <c r="AC785" s="140"/>
      <c r="AD785" s="140"/>
      <c r="AE785" s="140"/>
      <c r="AF785" s="140"/>
      <c r="AG785" s="140"/>
      <c r="AH785" s="140"/>
      <c r="AI785" s="140"/>
      <c r="AJ785" s="140"/>
      <c r="AK785" s="140"/>
      <c r="AL785" s="140"/>
      <c r="AM785" s="140"/>
      <c r="AN785" s="140"/>
      <c r="AO785" s="140"/>
      <c r="AP785" s="140"/>
      <c r="AQ785" s="140"/>
      <c r="AR785" s="140"/>
      <c r="AS785" s="140"/>
    </row>
    <row r="786">
      <c r="A786" s="149"/>
      <c r="B786" s="140"/>
      <c r="C786" s="140"/>
      <c r="D786" s="140"/>
      <c r="E786" s="140"/>
      <c r="F786" s="140"/>
      <c r="G786" s="140"/>
      <c r="H786" s="140"/>
      <c r="I786" s="140"/>
      <c r="J786" s="140"/>
      <c r="K786" s="140"/>
      <c r="L786" s="140"/>
      <c r="M786" s="140"/>
      <c r="N786" s="140"/>
      <c r="O786" s="140"/>
      <c r="P786" s="140"/>
      <c r="Q786" s="140"/>
      <c r="R786" s="140"/>
      <c r="S786" s="150"/>
      <c r="T786" s="150"/>
      <c r="U786" s="140"/>
      <c r="V786" s="140"/>
      <c r="W786" s="140"/>
      <c r="X786" s="140"/>
      <c r="Y786" s="140"/>
      <c r="Z786" s="140"/>
      <c r="AA786" s="140"/>
      <c r="AB786" s="140"/>
      <c r="AC786" s="140"/>
      <c r="AD786" s="140"/>
      <c r="AE786" s="140"/>
      <c r="AF786" s="140"/>
      <c r="AG786" s="140"/>
      <c r="AH786" s="140"/>
      <c r="AI786" s="140"/>
      <c r="AJ786" s="140"/>
      <c r="AK786" s="140"/>
      <c r="AL786" s="140"/>
      <c r="AM786" s="140"/>
      <c r="AN786" s="140"/>
      <c r="AO786" s="140"/>
      <c r="AP786" s="140"/>
      <c r="AQ786" s="140"/>
      <c r="AR786" s="140"/>
      <c r="AS786" s="140"/>
    </row>
    <row r="787">
      <c r="A787" s="149"/>
      <c r="B787" s="140"/>
      <c r="C787" s="140"/>
      <c r="D787" s="140"/>
      <c r="E787" s="140"/>
      <c r="F787" s="140"/>
      <c r="G787" s="140"/>
      <c r="H787" s="140"/>
      <c r="I787" s="140"/>
      <c r="J787" s="140"/>
      <c r="K787" s="140"/>
      <c r="L787" s="140"/>
      <c r="M787" s="140"/>
      <c r="N787" s="140"/>
      <c r="O787" s="140"/>
      <c r="P787" s="140"/>
      <c r="Q787" s="140"/>
      <c r="R787" s="140"/>
      <c r="S787" s="150"/>
      <c r="T787" s="150"/>
      <c r="U787" s="140"/>
      <c r="V787" s="140"/>
      <c r="W787" s="140"/>
      <c r="X787" s="140"/>
      <c r="Y787" s="140"/>
      <c r="Z787" s="140"/>
      <c r="AA787" s="140"/>
      <c r="AB787" s="140"/>
      <c r="AC787" s="140"/>
      <c r="AD787" s="140"/>
      <c r="AE787" s="140"/>
      <c r="AF787" s="140"/>
      <c r="AG787" s="140"/>
      <c r="AH787" s="140"/>
      <c r="AI787" s="140"/>
      <c r="AJ787" s="140"/>
      <c r="AK787" s="140"/>
      <c r="AL787" s="140"/>
      <c r="AM787" s="140"/>
      <c r="AN787" s="140"/>
      <c r="AO787" s="140"/>
      <c r="AP787" s="140"/>
      <c r="AQ787" s="140"/>
      <c r="AR787" s="140"/>
      <c r="AS787" s="140"/>
    </row>
    <row r="788">
      <c r="A788" s="149"/>
      <c r="B788" s="140"/>
      <c r="C788" s="140"/>
      <c r="D788" s="140"/>
      <c r="E788" s="140"/>
      <c r="F788" s="140"/>
      <c r="G788" s="140"/>
      <c r="H788" s="140"/>
      <c r="I788" s="140"/>
      <c r="J788" s="140"/>
      <c r="K788" s="140"/>
      <c r="L788" s="140"/>
      <c r="M788" s="140"/>
      <c r="N788" s="140"/>
      <c r="O788" s="140"/>
      <c r="P788" s="140"/>
      <c r="Q788" s="140"/>
      <c r="R788" s="140"/>
      <c r="S788" s="150"/>
      <c r="T788" s="150"/>
      <c r="U788" s="140"/>
      <c r="V788" s="140"/>
      <c r="W788" s="140"/>
      <c r="X788" s="140"/>
      <c r="Y788" s="140"/>
      <c r="Z788" s="140"/>
      <c r="AA788" s="140"/>
      <c r="AB788" s="140"/>
      <c r="AC788" s="140"/>
      <c r="AD788" s="140"/>
      <c r="AE788" s="140"/>
      <c r="AF788" s="140"/>
      <c r="AG788" s="140"/>
      <c r="AH788" s="140"/>
      <c r="AI788" s="140"/>
      <c r="AJ788" s="140"/>
      <c r="AK788" s="140"/>
      <c r="AL788" s="140"/>
      <c r="AM788" s="140"/>
      <c r="AN788" s="140"/>
      <c r="AO788" s="140"/>
      <c r="AP788" s="140"/>
      <c r="AQ788" s="140"/>
      <c r="AR788" s="140"/>
      <c r="AS788" s="140"/>
    </row>
    <row r="789">
      <c r="A789" s="149"/>
      <c r="B789" s="140"/>
      <c r="C789" s="140"/>
      <c r="D789" s="140"/>
      <c r="E789" s="140"/>
      <c r="F789" s="140"/>
      <c r="G789" s="140"/>
      <c r="H789" s="140"/>
      <c r="I789" s="140"/>
      <c r="J789" s="140"/>
      <c r="K789" s="140"/>
      <c r="L789" s="140"/>
      <c r="M789" s="140"/>
      <c r="N789" s="140"/>
      <c r="O789" s="140"/>
      <c r="P789" s="140"/>
      <c r="Q789" s="140"/>
      <c r="R789" s="140"/>
      <c r="S789" s="150"/>
      <c r="T789" s="150"/>
      <c r="U789" s="140"/>
      <c r="V789" s="140"/>
      <c r="W789" s="140"/>
      <c r="X789" s="140"/>
      <c r="Y789" s="140"/>
      <c r="Z789" s="140"/>
      <c r="AA789" s="140"/>
      <c r="AB789" s="140"/>
      <c r="AC789" s="140"/>
      <c r="AD789" s="140"/>
      <c r="AE789" s="140"/>
      <c r="AF789" s="140"/>
      <c r="AG789" s="140"/>
      <c r="AH789" s="140"/>
      <c r="AI789" s="140"/>
      <c r="AJ789" s="140"/>
      <c r="AK789" s="140"/>
      <c r="AL789" s="140"/>
      <c r="AM789" s="140"/>
      <c r="AN789" s="140"/>
      <c r="AO789" s="140"/>
      <c r="AP789" s="140"/>
      <c r="AQ789" s="140"/>
      <c r="AR789" s="140"/>
      <c r="AS789" s="140"/>
    </row>
    <row r="790">
      <c r="A790" s="149"/>
      <c r="B790" s="140"/>
      <c r="C790" s="140"/>
      <c r="D790" s="140"/>
      <c r="E790" s="140"/>
      <c r="F790" s="140"/>
      <c r="G790" s="140"/>
      <c r="H790" s="140"/>
      <c r="I790" s="140"/>
      <c r="J790" s="140"/>
      <c r="K790" s="140"/>
      <c r="L790" s="140"/>
      <c r="M790" s="140"/>
      <c r="N790" s="140"/>
      <c r="O790" s="140"/>
      <c r="P790" s="140"/>
      <c r="Q790" s="140"/>
      <c r="R790" s="140"/>
      <c r="S790" s="150"/>
      <c r="T790" s="150"/>
      <c r="U790" s="140"/>
      <c r="V790" s="140"/>
      <c r="W790" s="140"/>
      <c r="X790" s="140"/>
      <c r="Y790" s="140"/>
      <c r="Z790" s="140"/>
      <c r="AA790" s="140"/>
      <c r="AB790" s="140"/>
      <c r="AC790" s="140"/>
      <c r="AD790" s="140"/>
      <c r="AE790" s="140"/>
      <c r="AF790" s="140"/>
      <c r="AG790" s="140"/>
      <c r="AH790" s="140"/>
      <c r="AI790" s="140"/>
      <c r="AJ790" s="140"/>
      <c r="AK790" s="140"/>
      <c r="AL790" s="140"/>
      <c r="AM790" s="140"/>
      <c r="AN790" s="140"/>
      <c r="AO790" s="140"/>
      <c r="AP790" s="140"/>
      <c r="AQ790" s="140"/>
      <c r="AR790" s="140"/>
      <c r="AS790" s="140"/>
    </row>
    <row r="791">
      <c r="A791" s="149"/>
      <c r="B791" s="140"/>
      <c r="C791" s="140"/>
      <c r="D791" s="140"/>
      <c r="E791" s="140"/>
      <c r="F791" s="140"/>
      <c r="G791" s="140"/>
      <c r="H791" s="140"/>
      <c r="I791" s="140"/>
      <c r="J791" s="140"/>
      <c r="K791" s="140"/>
      <c r="L791" s="140"/>
      <c r="M791" s="140"/>
      <c r="N791" s="140"/>
      <c r="O791" s="140"/>
      <c r="P791" s="140"/>
      <c r="Q791" s="140"/>
      <c r="R791" s="140"/>
      <c r="S791" s="150"/>
      <c r="T791" s="150"/>
      <c r="U791" s="140"/>
      <c r="V791" s="140"/>
      <c r="W791" s="140"/>
      <c r="X791" s="140"/>
      <c r="Y791" s="140"/>
      <c r="Z791" s="140"/>
      <c r="AA791" s="140"/>
      <c r="AB791" s="140"/>
      <c r="AC791" s="140"/>
      <c r="AD791" s="140"/>
      <c r="AE791" s="140"/>
      <c r="AF791" s="140"/>
      <c r="AG791" s="140"/>
      <c r="AH791" s="140"/>
      <c r="AI791" s="140"/>
      <c r="AJ791" s="140"/>
      <c r="AK791" s="140"/>
      <c r="AL791" s="140"/>
      <c r="AM791" s="140"/>
      <c r="AN791" s="140"/>
      <c r="AO791" s="140"/>
      <c r="AP791" s="140"/>
      <c r="AQ791" s="140"/>
      <c r="AR791" s="140"/>
      <c r="AS791" s="140"/>
    </row>
    <row r="792">
      <c r="A792" s="149"/>
      <c r="B792" s="140"/>
      <c r="C792" s="140"/>
      <c r="D792" s="140"/>
      <c r="E792" s="140"/>
      <c r="F792" s="140"/>
      <c r="G792" s="140"/>
      <c r="H792" s="140"/>
      <c r="I792" s="140"/>
      <c r="J792" s="140"/>
      <c r="K792" s="140"/>
      <c r="L792" s="140"/>
      <c r="M792" s="140"/>
      <c r="N792" s="140"/>
      <c r="O792" s="140"/>
      <c r="P792" s="140"/>
      <c r="Q792" s="140"/>
      <c r="R792" s="140"/>
      <c r="S792" s="150"/>
      <c r="T792" s="150"/>
      <c r="U792" s="140"/>
      <c r="V792" s="140"/>
      <c r="W792" s="140"/>
      <c r="X792" s="140"/>
      <c r="Y792" s="140"/>
      <c r="Z792" s="140"/>
      <c r="AA792" s="140"/>
      <c r="AB792" s="140"/>
      <c r="AC792" s="140"/>
      <c r="AD792" s="140"/>
      <c r="AE792" s="140"/>
      <c r="AF792" s="140"/>
      <c r="AG792" s="140"/>
      <c r="AH792" s="140"/>
      <c r="AI792" s="140"/>
      <c r="AJ792" s="140"/>
      <c r="AK792" s="140"/>
      <c r="AL792" s="140"/>
      <c r="AM792" s="140"/>
      <c r="AN792" s="140"/>
      <c r="AO792" s="140"/>
      <c r="AP792" s="140"/>
      <c r="AQ792" s="140"/>
      <c r="AR792" s="140"/>
      <c r="AS792" s="140"/>
    </row>
    <row r="793">
      <c r="A793" s="149"/>
      <c r="B793" s="140"/>
      <c r="C793" s="140"/>
      <c r="D793" s="140"/>
      <c r="E793" s="140"/>
      <c r="F793" s="140"/>
      <c r="G793" s="140"/>
      <c r="H793" s="140"/>
      <c r="I793" s="140"/>
      <c r="J793" s="140"/>
      <c r="K793" s="140"/>
      <c r="L793" s="140"/>
      <c r="M793" s="140"/>
      <c r="N793" s="140"/>
      <c r="O793" s="140"/>
      <c r="P793" s="140"/>
      <c r="Q793" s="140"/>
      <c r="R793" s="140"/>
      <c r="S793" s="150"/>
      <c r="T793" s="150"/>
      <c r="U793" s="140"/>
      <c r="V793" s="140"/>
      <c r="W793" s="140"/>
      <c r="X793" s="140"/>
      <c r="Y793" s="140"/>
      <c r="Z793" s="140"/>
      <c r="AA793" s="140"/>
      <c r="AB793" s="140"/>
      <c r="AC793" s="140"/>
      <c r="AD793" s="140"/>
      <c r="AE793" s="140"/>
      <c r="AF793" s="140"/>
      <c r="AG793" s="140"/>
      <c r="AH793" s="140"/>
      <c r="AI793" s="140"/>
      <c r="AJ793" s="140"/>
      <c r="AK793" s="140"/>
      <c r="AL793" s="140"/>
      <c r="AM793" s="140"/>
      <c r="AN793" s="140"/>
      <c r="AO793" s="140"/>
      <c r="AP793" s="140"/>
      <c r="AQ793" s="140"/>
      <c r="AR793" s="140"/>
      <c r="AS793" s="140"/>
    </row>
    <row r="794">
      <c r="A794" s="149"/>
      <c r="B794" s="140"/>
      <c r="C794" s="140"/>
      <c r="D794" s="140"/>
      <c r="E794" s="140"/>
      <c r="F794" s="140"/>
      <c r="G794" s="140"/>
      <c r="H794" s="140"/>
      <c r="I794" s="140"/>
      <c r="J794" s="140"/>
      <c r="K794" s="140"/>
      <c r="L794" s="140"/>
      <c r="M794" s="140"/>
      <c r="N794" s="140"/>
      <c r="O794" s="140"/>
      <c r="P794" s="140"/>
      <c r="Q794" s="140"/>
      <c r="R794" s="140"/>
      <c r="S794" s="150"/>
      <c r="T794" s="150"/>
      <c r="U794" s="140"/>
      <c r="V794" s="140"/>
      <c r="W794" s="140"/>
      <c r="X794" s="140"/>
      <c r="Y794" s="140"/>
      <c r="Z794" s="140"/>
      <c r="AA794" s="140"/>
      <c r="AB794" s="140"/>
      <c r="AC794" s="140"/>
      <c r="AD794" s="140"/>
      <c r="AE794" s="140"/>
      <c r="AF794" s="140"/>
      <c r="AG794" s="140"/>
      <c r="AH794" s="140"/>
      <c r="AI794" s="140"/>
      <c r="AJ794" s="140"/>
      <c r="AK794" s="140"/>
      <c r="AL794" s="140"/>
      <c r="AM794" s="140"/>
      <c r="AN794" s="140"/>
      <c r="AO794" s="140"/>
      <c r="AP794" s="140"/>
      <c r="AQ794" s="140"/>
      <c r="AR794" s="140"/>
      <c r="AS794" s="140"/>
    </row>
    <row r="795">
      <c r="A795" s="149"/>
      <c r="B795" s="140"/>
      <c r="C795" s="140"/>
      <c r="D795" s="140"/>
      <c r="E795" s="140"/>
      <c r="F795" s="140"/>
      <c r="G795" s="140"/>
      <c r="H795" s="140"/>
      <c r="I795" s="140"/>
      <c r="J795" s="140"/>
      <c r="K795" s="140"/>
      <c r="L795" s="140"/>
      <c r="M795" s="140"/>
      <c r="N795" s="140"/>
      <c r="O795" s="140"/>
      <c r="P795" s="140"/>
      <c r="Q795" s="140"/>
      <c r="R795" s="140"/>
      <c r="S795" s="150"/>
      <c r="T795" s="150"/>
      <c r="U795" s="140"/>
      <c r="V795" s="140"/>
      <c r="W795" s="140"/>
      <c r="X795" s="140"/>
      <c r="Y795" s="140"/>
      <c r="Z795" s="140"/>
      <c r="AA795" s="140"/>
      <c r="AB795" s="140"/>
      <c r="AC795" s="140"/>
      <c r="AD795" s="140"/>
      <c r="AE795" s="140"/>
      <c r="AF795" s="140"/>
      <c r="AG795" s="140"/>
      <c r="AH795" s="140"/>
      <c r="AI795" s="140"/>
      <c r="AJ795" s="140"/>
      <c r="AK795" s="140"/>
      <c r="AL795" s="140"/>
      <c r="AM795" s="140"/>
      <c r="AN795" s="140"/>
      <c r="AO795" s="140"/>
      <c r="AP795" s="140"/>
      <c r="AQ795" s="140"/>
      <c r="AR795" s="140"/>
      <c r="AS795" s="140"/>
    </row>
    <row r="796">
      <c r="A796" s="149"/>
      <c r="B796" s="140"/>
      <c r="C796" s="140"/>
      <c r="D796" s="140"/>
      <c r="E796" s="140"/>
      <c r="F796" s="140"/>
      <c r="G796" s="140"/>
      <c r="H796" s="140"/>
      <c r="I796" s="140"/>
      <c r="J796" s="140"/>
      <c r="K796" s="140"/>
      <c r="L796" s="140"/>
      <c r="M796" s="140"/>
      <c r="N796" s="140"/>
      <c r="O796" s="140"/>
      <c r="P796" s="140"/>
      <c r="Q796" s="140"/>
      <c r="R796" s="140"/>
      <c r="S796" s="150"/>
      <c r="T796" s="150"/>
      <c r="U796" s="140"/>
      <c r="V796" s="140"/>
      <c r="W796" s="140"/>
      <c r="X796" s="140"/>
      <c r="Y796" s="140"/>
      <c r="Z796" s="140"/>
      <c r="AA796" s="140"/>
      <c r="AB796" s="140"/>
      <c r="AC796" s="140"/>
      <c r="AD796" s="140"/>
      <c r="AE796" s="140"/>
      <c r="AF796" s="140"/>
      <c r="AG796" s="140"/>
      <c r="AH796" s="140"/>
      <c r="AI796" s="140"/>
      <c r="AJ796" s="140"/>
      <c r="AK796" s="140"/>
      <c r="AL796" s="140"/>
      <c r="AM796" s="140"/>
      <c r="AN796" s="140"/>
      <c r="AO796" s="140"/>
      <c r="AP796" s="140"/>
      <c r="AQ796" s="140"/>
      <c r="AR796" s="140"/>
      <c r="AS796" s="140"/>
    </row>
    <row r="797">
      <c r="A797" s="149"/>
      <c r="B797" s="140"/>
      <c r="C797" s="140"/>
      <c r="D797" s="140"/>
      <c r="E797" s="140"/>
      <c r="F797" s="140"/>
      <c r="G797" s="140"/>
      <c r="H797" s="140"/>
      <c r="I797" s="140"/>
      <c r="J797" s="140"/>
      <c r="K797" s="140"/>
      <c r="L797" s="140"/>
      <c r="M797" s="140"/>
      <c r="N797" s="140"/>
      <c r="O797" s="140"/>
      <c r="P797" s="140"/>
      <c r="Q797" s="140"/>
      <c r="R797" s="140"/>
      <c r="S797" s="150"/>
      <c r="T797" s="150"/>
      <c r="U797" s="140"/>
      <c r="V797" s="140"/>
      <c r="W797" s="140"/>
      <c r="X797" s="140"/>
      <c r="Y797" s="140"/>
      <c r="Z797" s="140"/>
      <c r="AA797" s="140"/>
      <c r="AB797" s="140"/>
      <c r="AC797" s="140"/>
      <c r="AD797" s="140"/>
      <c r="AE797" s="140"/>
      <c r="AF797" s="140"/>
      <c r="AG797" s="140"/>
      <c r="AH797" s="140"/>
      <c r="AI797" s="140"/>
      <c r="AJ797" s="140"/>
      <c r="AK797" s="140"/>
      <c r="AL797" s="140"/>
      <c r="AM797" s="140"/>
      <c r="AN797" s="140"/>
      <c r="AO797" s="140"/>
      <c r="AP797" s="140"/>
      <c r="AQ797" s="140"/>
      <c r="AR797" s="140"/>
      <c r="AS797" s="140"/>
    </row>
    <row r="798">
      <c r="A798" s="149"/>
      <c r="B798" s="140"/>
      <c r="C798" s="140"/>
      <c r="D798" s="140"/>
      <c r="E798" s="140"/>
      <c r="F798" s="140"/>
      <c r="G798" s="140"/>
      <c r="H798" s="140"/>
      <c r="I798" s="140"/>
      <c r="J798" s="140"/>
      <c r="K798" s="140"/>
      <c r="L798" s="140"/>
      <c r="M798" s="140"/>
      <c r="N798" s="140"/>
      <c r="O798" s="140"/>
      <c r="P798" s="140"/>
      <c r="Q798" s="140"/>
      <c r="R798" s="140"/>
      <c r="S798" s="150"/>
      <c r="T798" s="150"/>
      <c r="U798" s="140"/>
      <c r="V798" s="140"/>
      <c r="W798" s="140"/>
      <c r="X798" s="140"/>
      <c r="Y798" s="140"/>
      <c r="Z798" s="140"/>
      <c r="AA798" s="140"/>
      <c r="AB798" s="140"/>
      <c r="AC798" s="140"/>
      <c r="AD798" s="140"/>
      <c r="AE798" s="140"/>
      <c r="AF798" s="140"/>
      <c r="AG798" s="140"/>
      <c r="AH798" s="140"/>
      <c r="AI798" s="140"/>
      <c r="AJ798" s="140"/>
      <c r="AK798" s="140"/>
      <c r="AL798" s="140"/>
      <c r="AM798" s="140"/>
      <c r="AN798" s="140"/>
      <c r="AO798" s="140"/>
      <c r="AP798" s="140"/>
      <c r="AQ798" s="140"/>
      <c r="AR798" s="140"/>
      <c r="AS798" s="140"/>
    </row>
    <row r="799">
      <c r="A799" s="149"/>
      <c r="B799" s="140"/>
      <c r="C799" s="140"/>
      <c r="D799" s="140"/>
      <c r="E799" s="140"/>
      <c r="F799" s="140"/>
      <c r="G799" s="140"/>
      <c r="H799" s="140"/>
      <c r="I799" s="140"/>
      <c r="J799" s="140"/>
      <c r="K799" s="140"/>
      <c r="L799" s="140"/>
      <c r="M799" s="140"/>
      <c r="N799" s="140"/>
      <c r="O799" s="140"/>
      <c r="P799" s="140"/>
      <c r="Q799" s="140"/>
      <c r="R799" s="140"/>
      <c r="S799" s="150"/>
      <c r="T799" s="150"/>
      <c r="U799" s="140"/>
      <c r="V799" s="140"/>
      <c r="W799" s="140"/>
      <c r="X799" s="140"/>
      <c r="Y799" s="140"/>
      <c r="Z799" s="140"/>
      <c r="AA799" s="140"/>
      <c r="AB799" s="140"/>
      <c r="AC799" s="140"/>
      <c r="AD799" s="140"/>
      <c r="AE799" s="140"/>
      <c r="AF799" s="140"/>
      <c r="AG799" s="140"/>
      <c r="AH799" s="140"/>
      <c r="AI799" s="140"/>
      <c r="AJ799" s="140"/>
      <c r="AK799" s="140"/>
      <c r="AL799" s="140"/>
      <c r="AM799" s="140"/>
      <c r="AN799" s="140"/>
      <c r="AO799" s="140"/>
      <c r="AP799" s="140"/>
      <c r="AQ799" s="140"/>
      <c r="AR799" s="140"/>
      <c r="AS799" s="140"/>
    </row>
    <row r="800">
      <c r="A800" s="149"/>
      <c r="B800" s="140"/>
      <c r="C800" s="140"/>
      <c r="D800" s="140"/>
      <c r="E800" s="140"/>
      <c r="F800" s="140"/>
      <c r="G800" s="140"/>
      <c r="H800" s="140"/>
      <c r="I800" s="140"/>
      <c r="J800" s="140"/>
      <c r="K800" s="140"/>
      <c r="L800" s="140"/>
      <c r="M800" s="140"/>
      <c r="N800" s="140"/>
      <c r="O800" s="140"/>
      <c r="P800" s="140"/>
      <c r="Q800" s="140"/>
      <c r="R800" s="140"/>
      <c r="S800" s="150"/>
      <c r="T800" s="150"/>
      <c r="U800" s="140"/>
      <c r="V800" s="140"/>
      <c r="W800" s="140"/>
      <c r="X800" s="140"/>
      <c r="Y800" s="140"/>
      <c r="Z800" s="140"/>
      <c r="AA800" s="140"/>
      <c r="AB800" s="140"/>
      <c r="AC800" s="140"/>
      <c r="AD800" s="140"/>
      <c r="AE800" s="140"/>
      <c r="AF800" s="140"/>
      <c r="AG800" s="140"/>
      <c r="AH800" s="140"/>
      <c r="AI800" s="140"/>
      <c r="AJ800" s="140"/>
      <c r="AK800" s="140"/>
      <c r="AL800" s="140"/>
      <c r="AM800" s="140"/>
      <c r="AN800" s="140"/>
      <c r="AO800" s="140"/>
      <c r="AP800" s="140"/>
      <c r="AQ800" s="140"/>
      <c r="AR800" s="140"/>
      <c r="AS800" s="140"/>
    </row>
    <row r="801">
      <c r="A801" s="149"/>
      <c r="B801" s="140"/>
      <c r="C801" s="140"/>
      <c r="D801" s="140"/>
      <c r="E801" s="140"/>
      <c r="F801" s="140"/>
      <c r="G801" s="140"/>
      <c r="H801" s="140"/>
      <c r="I801" s="140"/>
      <c r="J801" s="140"/>
      <c r="K801" s="140"/>
      <c r="L801" s="140"/>
      <c r="M801" s="140"/>
      <c r="N801" s="140"/>
      <c r="O801" s="140"/>
      <c r="P801" s="140"/>
      <c r="Q801" s="140"/>
      <c r="R801" s="140"/>
      <c r="S801" s="150"/>
      <c r="T801" s="150"/>
      <c r="U801" s="140"/>
      <c r="V801" s="140"/>
      <c r="W801" s="140"/>
      <c r="X801" s="140"/>
      <c r="Y801" s="140"/>
      <c r="Z801" s="140"/>
      <c r="AA801" s="140"/>
      <c r="AB801" s="140"/>
      <c r="AC801" s="140"/>
      <c r="AD801" s="140"/>
      <c r="AE801" s="140"/>
      <c r="AF801" s="140"/>
      <c r="AG801" s="140"/>
      <c r="AH801" s="140"/>
      <c r="AI801" s="140"/>
      <c r="AJ801" s="140"/>
      <c r="AK801" s="140"/>
      <c r="AL801" s="140"/>
      <c r="AM801" s="140"/>
      <c r="AN801" s="140"/>
      <c r="AO801" s="140"/>
      <c r="AP801" s="140"/>
      <c r="AQ801" s="140"/>
      <c r="AR801" s="140"/>
      <c r="AS801" s="140"/>
    </row>
    <row r="802">
      <c r="A802" s="149"/>
      <c r="B802" s="140"/>
      <c r="C802" s="140"/>
      <c r="D802" s="140"/>
      <c r="E802" s="140"/>
      <c r="F802" s="140"/>
      <c r="G802" s="140"/>
      <c r="H802" s="140"/>
      <c r="I802" s="140"/>
      <c r="J802" s="140"/>
      <c r="K802" s="140"/>
      <c r="L802" s="140"/>
      <c r="M802" s="140"/>
      <c r="N802" s="140"/>
      <c r="O802" s="140"/>
      <c r="P802" s="140"/>
      <c r="Q802" s="140"/>
      <c r="R802" s="140"/>
      <c r="S802" s="150"/>
      <c r="T802" s="150"/>
      <c r="U802" s="140"/>
      <c r="V802" s="140"/>
      <c r="W802" s="140"/>
      <c r="X802" s="140"/>
      <c r="Y802" s="140"/>
      <c r="Z802" s="140"/>
      <c r="AA802" s="140"/>
      <c r="AB802" s="140"/>
      <c r="AC802" s="140"/>
      <c r="AD802" s="140"/>
      <c r="AE802" s="140"/>
      <c r="AF802" s="140"/>
      <c r="AG802" s="140"/>
      <c r="AH802" s="140"/>
      <c r="AI802" s="140"/>
      <c r="AJ802" s="140"/>
      <c r="AK802" s="140"/>
      <c r="AL802" s="140"/>
      <c r="AM802" s="140"/>
      <c r="AN802" s="140"/>
      <c r="AO802" s="140"/>
      <c r="AP802" s="140"/>
      <c r="AQ802" s="140"/>
      <c r="AR802" s="140"/>
      <c r="AS802" s="140"/>
    </row>
    <row r="803">
      <c r="A803" s="149"/>
      <c r="B803" s="140"/>
      <c r="C803" s="140"/>
      <c r="D803" s="140"/>
      <c r="E803" s="140"/>
      <c r="F803" s="140"/>
      <c r="G803" s="140"/>
      <c r="H803" s="140"/>
      <c r="I803" s="140"/>
      <c r="J803" s="140"/>
      <c r="K803" s="140"/>
      <c r="L803" s="140"/>
      <c r="M803" s="140"/>
      <c r="N803" s="140"/>
      <c r="O803" s="140"/>
      <c r="P803" s="140"/>
      <c r="Q803" s="140"/>
      <c r="R803" s="140"/>
      <c r="S803" s="150"/>
      <c r="T803" s="150"/>
      <c r="U803" s="140"/>
      <c r="V803" s="140"/>
      <c r="W803" s="140"/>
      <c r="X803" s="140"/>
      <c r="Y803" s="140"/>
      <c r="Z803" s="140"/>
      <c r="AA803" s="140"/>
      <c r="AB803" s="140"/>
      <c r="AC803" s="140"/>
      <c r="AD803" s="140"/>
      <c r="AE803" s="140"/>
      <c r="AF803" s="140"/>
      <c r="AG803" s="140"/>
      <c r="AH803" s="140"/>
      <c r="AI803" s="140"/>
      <c r="AJ803" s="140"/>
      <c r="AK803" s="140"/>
      <c r="AL803" s="140"/>
      <c r="AM803" s="140"/>
      <c r="AN803" s="140"/>
      <c r="AO803" s="140"/>
      <c r="AP803" s="140"/>
      <c r="AQ803" s="140"/>
      <c r="AR803" s="140"/>
      <c r="AS803" s="140"/>
    </row>
    <row r="804">
      <c r="A804" s="149"/>
      <c r="B804" s="140"/>
      <c r="C804" s="140"/>
      <c r="D804" s="140"/>
      <c r="E804" s="140"/>
      <c r="F804" s="140"/>
      <c r="G804" s="140"/>
      <c r="H804" s="140"/>
      <c r="I804" s="140"/>
      <c r="J804" s="140"/>
      <c r="K804" s="140"/>
      <c r="L804" s="140"/>
      <c r="M804" s="140"/>
      <c r="N804" s="140"/>
      <c r="O804" s="140"/>
      <c r="P804" s="140"/>
      <c r="Q804" s="140"/>
      <c r="R804" s="140"/>
      <c r="S804" s="150"/>
      <c r="T804" s="150"/>
      <c r="U804" s="140"/>
      <c r="V804" s="140"/>
      <c r="W804" s="140"/>
      <c r="X804" s="140"/>
      <c r="Y804" s="140"/>
      <c r="Z804" s="140"/>
      <c r="AA804" s="140"/>
      <c r="AB804" s="140"/>
      <c r="AC804" s="140"/>
      <c r="AD804" s="140"/>
      <c r="AE804" s="140"/>
      <c r="AF804" s="140"/>
      <c r="AG804" s="140"/>
      <c r="AH804" s="140"/>
      <c r="AI804" s="140"/>
      <c r="AJ804" s="140"/>
      <c r="AK804" s="140"/>
      <c r="AL804" s="140"/>
      <c r="AM804" s="140"/>
      <c r="AN804" s="140"/>
      <c r="AO804" s="140"/>
      <c r="AP804" s="140"/>
      <c r="AQ804" s="140"/>
      <c r="AR804" s="140"/>
      <c r="AS804" s="140"/>
    </row>
    <row r="805">
      <c r="A805" s="149"/>
      <c r="B805" s="140"/>
      <c r="C805" s="140"/>
      <c r="D805" s="140"/>
      <c r="E805" s="140"/>
      <c r="F805" s="140"/>
      <c r="G805" s="140"/>
      <c r="H805" s="140"/>
      <c r="I805" s="140"/>
      <c r="J805" s="140"/>
      <c r="K805" s="140"/>
      <c r="L805" s="140"/>
      <c r="M805" s="140"/>
      <c r="N805" s="140"/>
      <c r="O805" s="140"/>
      <c r="P805" s="140"/>
      <c r="Q805" s="140"/>
      <c r="R805" s="140"/>
      <c r="S805" s="150"/>
      <c r="T805" s="150"/>
      <c r="U805" s="140"/>
      <c r="V805" s="140"/>
      <c r="W805" s="140"/>
      <c r="X805" s="140"/>
      <c r="Y805" s="140"/>
      <c r="Z805" s="140"/>
      <c r="AA805" s="140"/>
      <c r="AB805" s="140"/>
      <c r="AC805" s="140"/>
      <c r="AD805" s="140"/>
      <c r="AE805" s="140"/>
      <c r="AF805" s="140"/>
      <c r="AG805" s="140"/>
      <c r="AH805" s="140"/>
      <c r="AI805" s="140"/>
      <c r="AJ805" s="140"/>
      <c r="AK805" s="140"/>
      <c r="AL805" s="140"/>
      <c r="AM805" s="140"/>
      <c r="AN805" s="140"/>
      <c r="AO805" s="140"/>
      <c r="AP805" s="140"/>
      <c r="AQ805" s="140"/>
      <c r="AR805" s="140"/>
      <c r="AS805" s="140"/>
    </row>
    <row r="806">
      <c r="A806" s="149"/>
      <c r="B806" s="140"/>
      <c r="C806" s="140"/>
      <c r="D806" s="140"/>
      <c r="E806" s="140"/>
      <c r="F806" s="140"/>
      <c r="G806" s="140"/>
      <c r="H806" s="140"/>
      <c r="I806" s="140"/>
      <c r="J806" s="140"/>
      <c r="K806" s="140"/>
      <c r="L806" s="140"/>
      <c r="M806" s="140"/>
      <c r="N806" s="140"/>
      <c r="O806" s="140"/>
      <c r="P806" s="140"/>
      <c r="Q806" s="140"/>
      <c r="R806" s="140"/>
      <c r="S806" s="150"/>
      <c r="T806" s="150"/>
      <c r="U806" s="140"/>
      <c r="V806" s="140"/>
      <c r="W806" s="140"/>
      <c r="X806" s="140"/>
      <c r="Y806" s="140"/>
      <c r="Z806" s="140"/>
      <c r="AA806" s="140"/>
      <c r="AB806" s="140"/>
      <c r="AC806" s="140"/>
      <c r="AD806" s="140"/>
      <c r="AE806" s="140"/>
      <c r="AF806" s="140"/>
      <c r="AG806" s="140"/>
      <c r="AH806" s="140"/>
      <c r="AI806" s="140"/>
      <c r="AJ806" s="140"/>
      <c r="AK806" s="140"/>
      <c r="AL806" s="140"/>
      <c r="AM806" s="140"/>
      <c r="AN806" s="140"/>
      <c r="AO806" s="140"/>
      <c r="AP806" s="140"/>
      <c r="AQ806" s="140"/>
      <c r="AR806" s="140"/>
      <c r="AS806" s="140"/>
    </row>
    <row r="807">
      <c r="A807" s="149"/>
      <c r="B807" s="140"/>
      <c r="C807" s="140"/>
      <c r="D807" s="140"/>
      <c r="E807" s="140"/>
      <c r="F807" s="140"/>
      <c r="G807" s="140"/>
      <c r="H807" s="140"/>
      <c r="I807" s="140"/>
      <c r="J807" s="140"/>
      <c r="K807" s="140"/>
      <c r="L807" s="140"/>
      <c r="M807" s="140"/>
      <c r="N807" s="140"/>
      <c r="O807" s="140"/>
      <c r="P807" s="140"/>
      <c r="Q807" s="140"/>
      <c r="R807" s="140"/>
      <c r="S807" s="150"/>
      <c r="T807" s="150"/>
      <c r="U807" s="140"/>
      <c r="V807" s="140"/>
      <c r="W807" s="140"/>
      <c r="X807" s="140"/>
      <c r="Y807" s="140"/>
      <c r="Z807" s="140"/>
      <c r="AA807" s="140"/>
      <c r="AB807" s="140"/>
      <c r="AC807" s="140"/>
      <c r="AD807" s="140"/>
      <c r="AE807" s="140"/>
      <c r="AF807" s="140"/>
      <c r="AG807" s="140"/>
      <c r="AH807" s="140"/>
      <c r="AI807" s="140"/>
      <c r="AJ807" s="140"/>
      <c r="AK807" s="140"/>
      <c r="AL807" s="140"/>
      <c r="AM807" s="140"/>
      <c r="AN807" s="140"/>
      <c r="AO807" s="140"/>
      <c r="AP807" s="140"/>
      <c r="AQ807" s="140"/>
      <c r="AR807" s="140"/>
      <c r="AS807" s="140"/>
    </row>
    <row r="808">
      <c r="A808" s="149"/>
      <c r="B808" s="140"/>
      <c r="C808" s="140"/>
      <c r="D808" s="140"/>
      <c r="E808" s="140"/>
      <c r="F808" s="140"/>
      <c r="G808" s="140"/>
      <c r="H808" s="140"/>
      <c r="I808" s="140"/>
      <c r="J808" s="140"/>
      <c r="K808" s="140"/>
      <c r="L808" s="140"/>
      <c r="M808" s="140"/>
      <c r="N808" s="140"/>
      <c r="O808" s="140"/>
      <c r="P808" s="140"/>
      <c r="Q808" s="140"/>
      <c r="R808" s="140"/>
      <c r="S808" s="150"/>
      <c r="T808" s="150"/>
      <c r="U808" s="140"/>
      <c r="V808" s="140"/>
      <c r="W808" s="140"/>
      <c r="X808" s="140"/>
      <c r="Y808" s="140"/>
      <c r="Z808" s="140"/>
      <c r="AA808" s="140"/>
      <c r="AB808" s="140"/>
      <c r="AC808" s="140"/>
      <c r="AD808" s="140"/>
      <c r="AE808" s="140"/>
      <c r="AF808" s="140"/>
      <c r="AG808" s="140"/>
      <c r="AH808" s="140"/>
      <c r="AI808" s="140"/>
      <c r="AJ808" s="140"/>
      <c r="AK808" s="140"/>
      <c r="AL808" s="140"/>
      <c r="AM808" s="140"/>
      <c r="AN808" s="140"/>
      <c r="AO808" s="140"/>
      <c r="AP808" s="140"/>
      <c r="AQ808" s="140"/>
      <c r="AR808" s="140"/>
      <c r="AS808" s="140"/>
    </row>
    <row r="809">
      <c r="A809" s="149"/>
      <c r="B809" s="140"/>
      <c r="C809" s="140"/>
      <c r="D809" s="140"/>
      <c r="E809" s="140"/>
      <c r="F809" s="140"/>
      <c r="G809" s="140"/>
      <c r="H809" s="140"/>
      <c r="I809" s="140"/>
      <c r="J809" s="140"/>
      <c r="K809" s="140"/>
      <c r="L809" s="140"/>
      <c r="M809" s="140"/>
      <c r="N809" s="140"/>
      <c r="O809" s="140"/>
      <c r="P809" s="140"/>
      <c r="Q809" s="140"/>
      <c r="R809" s="140"/>
      <c r="S809" s="150"/>
      <c r="T809" s="150"/>
      <c r="U809" s="140"/>
      <c r="V809" s="140"/>
      <c r="W809" s="140"/>
      <c r="X809" s="140"/>
      <c r="Y809" s="140"/>
      <c r="Z809" s="140"/>
      <c r="AA809" s="140"/>
      <c r="AB809" s="140"/>
      <c r="AC809" s="140"/>
      <c r="AD809" s="140"/>
      <c r="AE809" s="140"/>
      <c r="AF809" s="140"/>
      <c r="AG809" s="140"/>
      <c r="AH809" s="140"/>
      <c r="AI809" s="140"/>
      <c r="AJ809" s="140"/>
      <c r="AK809" s="140"/>
      <c r="AL809" s="140"/>
      <c r="AM809" s="140"/>
      <c r="AN809" s="140"/>
      <c r="AO809" s="140"/>
      <c r="AP809" s="140"/>
      <c r="AQ809" s="140"/>
      <c r="AR809" s="140"/>
      <c r="AS809" s="140"/>
    </row>
    <row r="810">
      <c r="A810" s="149"/>
      <c r="B810" s="140"/>
      <c r="C810" s="140"/>
      <c r="D810" s="140"/>
      <c r="E810" s="140"/>
      <c r="F810" s="140"/>
      <c r="G810" s="140"/>
      <c r="H810" s="140"/>
      <c r="I810" s="140"/>
      <c r="J810" s="140"/>
      <c r="K810" s="140"/>
      <c r="L810" s="140"/>
      <c r="M810" s="140"/>
      <c r="N810" s="140"/>
      <c r="O810" s="140"/>
      <c r="P810" s="140"/>
      <c r="Q810" s="140"/>
      <c r="R810" s="140"/>
      <c r="S810" s="150"/>
      <c r="T810" s="150"/>
      <c r="U810" s="140"/>
      <c r="V810" s="140"/>
      <c r="W810" s="140"/>
      <c r="X810" s="140"/>
      <c r="Y810" s="140"/>
      <c r="Z810" s="140"/>
      <c r="AA810" s="140"/>
      <c r="AB810" s="140"/>
      <c r="AC810" s="140"/>
      <c r="AD810" s="140"/>
      <c r="AE810" s="140"/>
      <c r="AF810" s="140"/>
      <c r="AG810" s="140"/>
      <c r="AH810" s="140"/>
      <c r="AI810" s="140"/>
      <c r="AJ810" s="140"/>
      <c r="AK810" s="140"/>
      <c r="AL810" s="140"/>
      <c r="AM810" s="140"/>
      <c r="AN810" s="140"/>
      <c r="AO810" s="140"/>
      <c r="AP810" s="140"/>
      <c r="AQ810" s="140"/>
      <c r="AR810" s="140"/>
      <c r="AS810" s="140"/>
    </row>
    <row r="811">
      <c r="A811" s="149"/>
      <c r="B811" s="140"/>
      <c r="C811" s="140"/>
      <c r="D811" s="140"/>
      <c r="E811" s="140"/>
      <c r="F811" s="140"/>
      <c r="G811" s="140"/>
      <c r="H811" s="140"/>
      <c r="I811" s="140"/>
      <c r="J811" s="140"/>
      <c r="K811" s="140"/>
      <c r="L811" s="140"/>
      <c r="M811" s="140"/>
      <c r="N811" s="140"/>
      <c r="O811" s="140"/>
      <c r="P811" s="140"/>
      <c r="Q811" s="140"/>
      <c r="R811" s="140"/>
      <c r="S811" s="150"/>
      <c r="T811" s="150"/>
      <c r="U811" s="140"/>
      <c r="V811" s="140"/>
      <c r="W811" s="140"/>
      <c r="X811" s="140"/>
      <c r="Y811" s="140"/>
      <c r="Z811" s="140"/>
      <c r="AA811" s="140"/>
      <c r="AB811" s="140"/>
      <c r="AC811" s="140"/>
      <c r="AD811" s="140"/>
      <c r="AE811" s="140"/>
      <c r="AF811" s="140"/>
      <c r="AG811" s="140"/>
      <c r="AH811" s="140"/>
      <c r="AI811" s="140"/>
      <c r="AJ811" s="140"/>
      <c r="AK811" s="140"/>
      <c r="AL811" s="140"/>
      <c r="AM811" s="140"/>
      <c r="AN811" s="140"/>
      <c r="AO811" s="140"/>
      <c r="AP811" s="140"/>
      <c r="AQ811" s="140"/>
      <c r="AR811" s="140"/>
      <c r="AS811" s="140"/>
    </row>
    <row r="812">
      <c r="A812" s="149"/>
      <c r="B812" s="140"/>
      <c r="C812" s="140"/>
      <c r="D812" s="140"/>
      <c r="E812" s="140"/>
      <c r="F812" s="140"/>
      <c r="G812" s="140"/>
      <c r="H812" s="140"/>
      <c r="I812" s="140"/>
      <c r="J812" s="140"/>
      <c r="K812" s="140"/>
      <c r="L812" s="140"/>
      <c r="M812" s="140"/>
      <c r="N812" s="140"/>
      <c r="O812" s="140"/>
      <c r="P812" s="140"/>
      <c r="Q812" s="140"/>
      <c r="R812" s="140"/>
      <c r="S812" s="150"/>
      <c r="T812" s="150"/>
      <c r="U812" s="140"/>
      <c r="V812" s="140"/>
      <c r="W812" s="140"/>
      <c r="X812" s="140"/>
      <c r="Y812" s="140"/>
      <c r="Z812" s="140"/>
      <c r="AA812" s="140"/>
      <c r="AB812" s="140"/>
      <c r="AC812" s="140"/>
      <c r="AD812" s="140"/>
      <c r="AE812" s="140"/>
      <c r="AF812" s="140"/>
      <c r="AG812" s="140"/>
      <c r="AH812" s="140"/>
      <c r="AI812" s="140"/>
      <c r="AJ812" s="140"/>
      <c r="AK812" s="140"/>
      <c r="AL812" s="140"/>
      <c r="AM812" s="140"/>
      <c r="AN812" s="140"/>
      <c r="AO812" s="140"/>
      <c r="AP812" s="140"/>
      <c r="AQ812" s="140"/>
      <c r="AR812" s="140"/>
      <c r="AS812" s="140"/>
    </row>
    <row r="813">
      <c r="A813" s="149"/>
      <c r="B813" s="140"/>
      <c r="C813" s="140"/>
      <c r="D813" s="140"/>
      <c r="E813" s="140"/>
      <c r="F813" s="140"/>
      <c r="G813" s="140"/>
      <c r="H813" s="140"/>
      <c r="I813" s="140"/>
      <c r="J813" s="140"/>
      <c r="K813" s="140"/>
      <c r="L813" s="140"/>
      <c r="M813" s="140"/>
      <c r="N813" s="140"/>
      <c r="O813" s="140"/>
      <c r="P813" s="140"/>
      <c r="Q813" s="140"/>
      <c r="R813" s="140"/>
      <c r="S813" s="150"/>
      <c r="T813" s="150"/>
      <c r="U813" s="140"/>
      <c r="V813" s="140"/>
      <c r="W813" s="140"/>
      <c r="X813" s="140"/>
      <c r="Y813" s="140"/>
      <c r="Z813" s="140"/>
      <c r="AA813" s="140"/>
      <c r="AB813" s="140"/>
      <c r="AC813" s="140"/>
      <c r="AD813" s="140"/>
      <c r="AE813" s="140"/>
      <c r="AF813" s="140"/>
      <c r="AG813" s="140"/>
      <c r="AH813" s="140"/>
      <c r="AI813" s="140"/>
      <c r="AJ813" s="140"/>
      <c r="AK813" s="140"/>
      <c r="AL813" s="140"/>
      <c r="AM813" s="140"/>
      <c r="AN813" s="140"/>
      <c r="AO813" s="140"/>
      <c r="AP813" s="140"/>
      <c r="AQ813" s="140"/>
      <c r="AR813" s="140"/>
      <c r="AS813" s="140"/>
    </row>
    <row r="814">
      <c r="A814" s="149"/>
      <c r="B814" s="140"/>
      <c r="C814" s="140"/>
      <c r="D814" s="140"/>
      <c r="E814" s="140"/>
      <c r="F814" s="140"/>
      <c r="G814" s="140"/>
      <c r="H814" s="140"/>
      <c r="I814" s="140"/>
      <c r="J814" s="140"/>
      <c r="K814" s="140"/>
      <c r="L814" s="140"/>
      <c r="M814" s="140"/>
      <c r="N814" s="140"/>
      <c r="O814" s="140"/>
      <c r="P814" s="140"/>
      <c r="Q814" s="140"/>
      <c r="R814" s="140"/>
      <c r="S814" s="150"/>
      <c r="T814" s="150"/>
      <c r="U814" s="140"/>
      <c r="V814" s="140"/>
      <c r="W814" s="140"/>
      <c r="X814" s="140"/>
      <c r="Y814" s="140"/>
      <c r="Z814" s="140"/>
      <c r="AA814" s="140"/>
      <c r="AB814" s="140"/>
      <c r="AC814" s="140"/>
      <c r="AD814" s="140"/>
      <c r="AE814" s="140"/>
      <c r="AF814" s="140"/>
      <c r="AG814" s="140"/>
      <c r="AH814" s="140"/>
      <c r="AI814" s="140"/>
      <c r="AJ814" s="140"/>
      <c r="AK814" s="140"/>
      <c r="AL814" s="140"/>
      <c r="AM814" s="140"/>
      <c r="AN814" s="140"/>
      <c r="AO814" s="140"/>
      <c r="AP814" s="140"/>
      <c r="AQ814" s="140"/>
      <c r="AR814" s="140"/>
      <c r="AS814" s="140"/>
    </row>
    <row r="815">
      <c r="A815" s="149"/>
      <c r="B815" s="140"/>
      <c r="C815" s="140"/>
      <c r="D815" s="140"/>
      <c r="E815" s="140"/>
      <c r="F815" s="140"/>
      <c r="G815" s="140"/>
      <c r="H815" s="140"/>
      <c r="I815" s="140"/>
      <c r="J815" s="140"/>
      <c r="K815" s="140"/>
      <c r="L815" s="140"/>
      <c r="M815" s="140"/>
      <c r="N815" s="140"/>
      <c r="O815" s="140"/>
      <c r="P815" s="140"/>
      <c r="Q815" s="140"/>
      <c r="R815" s="140"/>
      <c r="S815" s="150"/>
      <c r="T815" s="150"/>
      <c r="U815" s="140"/>
      <c r="V815" s="140"/>
      <c r="W815" s="140"/>
      <c r="X815" s="140"/>
      <c r="Y815" s="140"/>
      <c r="Z815" s="140"/>
      <c r="AA815" s="140"/>
      <c r="AB815" s="140"/>
      <c r="AC815" s="140"/>
      <c r="AD815" s="140"/>
      <c r="AE815" s="140"/>
      <c r="AF815" s="140"/>
      <c r="AG815" s="140"/>
      <c r="AH815" s="140"/>
      <c r="AI815" s="140"/>
      <c r="AJ815" s="140"/>
      <c r="AK815" s="140"/>
      <c r="AL815" s="140"/>
      <c r="AM815" s="140"/>
      <c r="AN815" s="140"/>
      <c r="AO815" s="140"/>
      <c r="AP815" s="140"/>
      <c r="AQ815" s="140"/>
      <c r="AR815" s="140"/>
      <c r="AS815" s="140"/>
    </row>
    <row r="816">
      <c r="A816" s="149"/>
      <c r="B816" s="140"/>
      <c r="C816" s="140"/>
      <c r="D816" s="140"/>
      <c r="E816" s="140"/>
      <c r="F816" s="140"/>
      <c r="G816" s="140"/>
      <c r="H816" s="140"/>
      <c r="I816" s="140"/>
      <c r="J816" s="140"/>
      <c r="K816" s="140"/>
      <c r="L816" s="140"/>
      <c r="M816" s="140"/>
      <c r="N816" s="140"/>
      <c r="O816" s="140"/>
      <c r="P816" s="140"/>
      <c r="Q816" s="140"/>
      <c r="R816" s="140"/>
      <c r="S816" s="150"/>
      <c r="T816" s="150"/>
      <c r="U816" s="140"/>
      <c r="V816" s="140"/>
      <c r="W816" s="140"/>
      <c r="X816" s="140"/>
      <c r="Y816" s="140"/>
      <c r="Z816" s="140"/>
      <c r="AA816" s="140"/>
      <c r="AB816" s="140"/>
      <c r="AC816" s="140"/>
      <c r="AD816" s="140"/>
      <c r="AE816" s="140"/>
      <c r="AF816" s="140"/>
      <c r="AG816" s="140"/>
      <c r="AH816" s="140"/>
      <c r="AI816" s="140"/>
      <c r="AJ816" s="140"/>
      <c r="AK816" s="140"/>
      <c r="AL816" s="140"/>
      <c r="AM816" s="140"/>
      <c r="AN816" s="140"/>
      <c r="AO816" s="140"/>
      <c r="AP816" s="140"/>
      <c r="AQ816" s="140"/>
      <c r="AR816" s="140"/>
      <c r="AS816" s="140"/>
    </row>
    <row r="817">
      <c r="A817" s="149"/>
      <c r="B817" s="140"/>
      <c r="C817" s="140"/>
      <c r="D817" s="140"/>
      <c r="E817" s="140"/>
      <c r="F817" s="140"/>
      <c r="G817" s="140"/>
      <c r="H817" s="140"/>
      <c r="I817" s="140"/>
      <c r="J817" s="140"/>
      <c r="K817" s="140"/>
      <c r="L817" s="140"/>
      <c r="M817" s="140"/>
      <c r="N817" s="140"/>
      <c r="O817" s="140"/>
      <c r="P817" s="140"/>
      <c r="Q817" s="140"/>
      <c r="R817" s="140"/>
      <c r="S817" s="150"/>
      <c r="T817" s="150"/>
      <c r="U817" s="140"/>
      <c r="V817" s="140"/>
      <c r="W817" s="140"/>
      <c r="X817" s="140"/>
      <c r="Y817" s="140"/>
      <c r="Z817" s="140"/>
      <c r="AA817" s="140"/>
      <c r="AB817" s="140"/>
      <c r="AC817" s="140"/>
      <c r="AD817" s="140"/>
      <c r="AE817" s="140"/>
      <c r="AF817" s="140"/>
      <c r="AG817" s="140"/>
      <c r="AH817" s="140"/>
      <c r="AI817" s="140"/>
      <c r="AJ817" s="140"/>
      <c r="AK817" s="140"/>
      <c r="AL817" s="140"/>
      <c r="AM817" s="140"/>
      <c r="AN817" s="140"/>
      <c r="AO817" s="140"/>
      <c r="AP817" s="140"/>
      <c r="AQ817" s="140"/>
      <c r="AR817" s="140"/>
      <c r="AS817" s="140"/>
    </row>
    <row r="818">
      <c r="A818" s="149"/>
      <c r="B818" s="140"/>
      <c r="C818" s="140"/>
      <c r="D818" s="140"/>
      <c r="E818" s="140"/>
      <c r="F818" s="140"/>
      <c r="G818" s="140"/>
      <c r="H818" s="140"/>
      <c r="I818" s="140"/>
      <c r="J818" s="140"/>
      <c r="K818" s="140"/>
      <c r="L818" s="140"/>
      <c r="M818" s="140"/>
      <c r="N818" s="140"/>
      <c r="O818" s="140"/>
      <c r="P818" s="140"/>
      <c r="Q818" s="140"/>
      <c r="R818" s="140"/>
      <c r="S818" s="150"/>
      <c r="T818" s="150"/>
      <c r="U818" s="140"/>
      <c r="V818" s="140"/>
      <c r="W818" s="140"/>
      <c r="X818" s="140"/>
      <c r="Y818" s="140"/>
      <c r="Z818" s="140"/>
      <c r="AA818" s="140"/>
      <c r="AB818" s="140"/>
      <c r="AC818" s="140"/>
      <c r="AD818" s="140"/>
      <c r="AE818" s="140"/>
      <c r="AF818" s="140"/>
      <c r="AG818" s="140"/>
      <c r="AH818" s="140"/>
      <c r="AI818" s="140"/>
      <c r="AJ818" s="140"/>
      <c r="AK818" s="140"/>
      <c r="AL818" s="140"/>
      <c r="AM818" s="140"/>
      <c r="AN818" s="140"/>
      <c r="AO818" s="140"/>
      <c r="AP818" s="140"/>
      <c r="AQ818" s="140"/>
      <c r="AR818" s="140"/>
      <c r="AS818" s="140"/>
    </row>
    <row r="819">
      <c r="A819" s="149"/>
      <c r="B819" s="140"/>
      <c r="C819" s="140"/>
      <c r="D819" s="140"/>
      <c r="E819" s="140"/>
      <c r="F819" s="140"/>
      <c r="G819" s="140"/>
      <c r="H819" s="140"/>
      <c r="I819" s="140"/>
      <c r="J819" s="140"/>
      <c r="K819" s="140"/>
      <c r="L819" s="140"/>
      <c r="M819" s="140"/>
      <c r="N819" s="140"/>
      <c r="O819" s="140"/>
      <c r="P819" s="140"/>
      <c r="Q819" s="140"/>
      <c r="R819" s="140"/>
      <c r="S819" s="150"/>
      <c r="T819" s="150"/>
      <c r="U819" s="140"/>
      <c r="V819" s="140"/>
      <c r="W819" s="140"/>
      <c r="X819" s="140"/>
      <c r="Y819" s="140"/>
      <c r="Z819" s="140"/>
      <c r="AA819" s="140"/>
      <c r="AB819" s="140"/>
      <c r="AC819" s="140"/>
      <c r="AD819" s="140"/>
      <c r="AE819" s="140"/>
      <c r="AF819" s="140"/>
      <c r="AG819" s="140"/>
      <c r="AH819" s="140"/>
      <c r="AI819" s="140"/>
      <c r="AJ819" s="140"/>
      <c r="AK819" s="140"/>
      <c r="AL819" s="140"/>
      <c r="AM819" s="140"/>
      <c r="AN819" s="140"/>
      <c r="AO819" s="140"/>
      <c r="AP819" s="140"/>
      <c r="AQ819" s="140"/>
      <c r="AR819" s="140"/>
      <c r="AS819" s="140"/>
    </row>
    <row r="820">
      <c r="A820" s="149"/>
      <c r="B820" s="140"/>
      <c r="C820" s="140"/>
      <c r="D820" s="140"/>
      <c r="E820" s="140"/>
      <c r="F820" s="140"/>
      <c r="G820" s="140"/>
      <c r="H820" s="140"/>
      <c r="I820" s="140"/>
      <c r="J820" s="140"/>
      <c r="K820" s="140"/>
      <c r="L820" s="140"/>
      <c r="M820" s="140"/>
      <c r="N820" s="140"/>
      <c r="O820" s="140"/>
      <c r="P820" s="140"/>
      <c r="Q820" s="140"/>
      <c r="R820" s="140"/>
      <c r="S820" s="150"/>
      <c r="T820" s="150"/>
      <c r="U820" s="140"/>
      <c r="V820" s="140"/>
      <c r="W820" s="140"/>
      <c r="X820" s="140"/>
      <c r="Y820" s="140"/>
      <c r="Z820" s="140"/>
      <c r="AA820" s="140"/>
      <c r="AB820" s="140"/>
      <c r="AC820" s="140"/>
      <c r="AD820" s="140"/>
      <c r="AE820" s="140"/>
      <c r="AF820" s="140"/>
      <c r="AG820" s="140"/>
      <c r="AH820" s="140"/>
      <c r="AI820" s="140"/>
      <c r="AJ820" s="140"/>
      <c r="AK820" s="140"/>
      <c r="AL820" s="140"/>
      <c r="AM820" s="140"/>
      <c r="AN820" s="140"/>
      <c r="AO820" s="140"/>
      <c r="AP820" s="140"/>
      <c r="AQ820" s="140"/>
      <c r="AR820" s="140"/>
      <c r="AS820" s="140"/>
    </row>
    <row r="821">
      <c r="A821" s="149"/>
      <c r="B821" s="140"/>
      <c r="C821" s="140"/>
      <c r="D821" s="140"/>
      <c r="E821" s="140"/>
      <c r="F821" s="140"/>
      <c r="G821" s="140"/>
      <c r="H821" s="140"/>
      <c r="I821" s="140"/>
      <c r="J821" s="140"/>
      <c r="K821" s="140"/>
      <c r="L821" s="140"/>
      <c r="M821" s="140"/>
      <c r="N821" s="140"/>
      <c r="O821" s="140"/>
      <c r="P821" s="140"/>
      <c r="Q821" s="140"/>
      <c r="R821" s="140"/>
      <c r="S821" s="150"/>
      <c r="T821" s="150"/>
      <c r="U821" s="140"/>
      <c r="V821" s="140"/>
      <c r="W821" s="140"/>
      <c r="X821" s="140"/>
      <c r="Y821" s="140"/>
      <c r="Z821" s="140"/>
      <c r="AA821" s="140"/>
      <c r="AB821" s="140"/>
      <c r="AC821" s="140"/>
      <c r="AD821" s="140"/>
      <c r="AE821" s="140"/>
      <c r="AF821" s="140"/>
      <c r="AG821" s="140"/>
      <c r="AH821" s="140"/>
      <c r="AI821" s="140"/>
      <c r="AJ821" s="140"/>
      <c r="AK821" s="140"/>
      <c r="AL821" s="140"/>
      <c r="AM821" s="140"/>
      <c r="AN821" s="140"/>
      <c r="AO821" s="140"/>
      <c r="AP821" s="140"/>
      <c r="AQ821" s="140"/>
      <c r="AR821" s="140"/>
      <c r="AS821" s="140"/>
    </row>
    <row r="822">
      <c r="A822" s="149"/>
      <c r="B822" s="140"/>
      <c r="C822" s="140"/>
      <c r="D822" s="140"/>
      <c r="E822" s="140"/>
      <c r="F822" s="140"/>
      <c r="G822" s="140"/>
      <c r="H822" s="140"/>
      <c r="I822" s="140"/>
      <c r="J822" s="140"/>
      <c r="K822" s="140"/>
      <c r="L822" s="140"/>
      <c r="M822" s="140"/>
      <c r="N822" s="140"/>
      <c r="O822" s="140"/>
      <c r="P822" s="140"/>
      <c r="Q822" s="140"/>
      <c r="R822" s="140"/>
      <c r="S822" s="150"/>
      <c r="T822" s="150"/>
      <c r="U822" s="140"/>
      <c r="V822" s="140"/>
      <c r="W822" s="140"/>
      <c r="X822" s="140"/>
      <c r="Y822" s="140"/>
      <c r="Z822" s="140"/>
      <c r="AA822" s="140"/>
      <c r="AB822" s="140"/>
      <c r="AC822" s="140"/>
      <c r="AD822" s="140"/>
      <c r="AE822" s="140"/>
      <c r="AF822" s="140"/>
      <c r="AG822" s="140"/>
      <c r="AH822" s="140"/>
      <c r="AI822" s="140"/>
      <c r="AJ822" s="140"/>
      <c r="AK822" s="140"/>
      <c r="AL822" s="140"/>
      <c r="AM822" s="140"/>
      <c r="AN822" s="140"/>
      <c r="AO822" s="140"/>
      <c r="AP822" s="140"/>
      <c r="AQ822" s="140"/>
      <c r="AR822" s="140"/>
      <c r="AS822" s="140"/>
    </row>
    <row r="823">
      <c r="A823" s="149"/>
      <c r="B823" s="140"/>
      <c r="C823" s="140"/>
      <c r="D823" s="140"/>
      <c r="E823" s="140"/>
      <c r="F823" s="140"/>
      <c r="G823" s="140"/>
      <c r="H823" s="140"/>
      <c r="I823" s="140"/>
      <c r="J823" s="140"/>
      <c r="K823" s="140"/>
      <c r="L823" s="140"/>
      <c r="M823" s="140"/>
      <c r="N823" s="140"/>
      <c r="O823" s="140"/>
      <c r="P823" s="140"/>
      <c r="Q823" s="140"/>
      <c r="R823" s="140"/>
      <c r="S823" s="150"/>
      <c r="T823" s="150"/>
      <c r="U823" s="140"/>
      <c r="V823" s="140"/>
      <c r="W823" s="140"/>
      <c r="X823" s="140"/>
      <c r="Y823" s="140"/>
      <c r="Z823" s="140"/>
      <c r="AA823" s="140"/>
      <c r="AB823" s="140"/>
      <c r="AC823" s="140"/>
      <c r="AD823" s="140"/>
      <c r="AE823" s="140"/>
      <c r="AF823" s="140"/>
      <c r="AG823" s="140"/>
      <c r="AH823" s="140"/>
      <c r="AI823" s="140"/>
      <c r="AJ823" s="140"/>
      <c r="AK823" s="140"/>
      <c r="AL823" s="140"/>
      <c r="AM823" s="140"/>
      <c r="AN823" s="140"/>
      <c r="AO823" s="140"/>
      <c r="AP823" s="140"/>
      <c r="AQ823" s="140"/>
      <c r="AR823" s="140"/>
      <c r="AS823" s="140"/>
    </row>
    <row r="824">
      <c r="A824" s="149"/>
      <c r="B824" s="140"/>
      <c r="C824" s="140"/>
      <c r="D824" s="140"/>
      <c r="E824" s="140"/>
      <c r="F824" s="140"/>
      <c r="G824" s="140"/>
      <c r="H824" s="140"/>
      <c r="I824" s="140"/>
      <c r="J824" s="140"/>
      <c r="K824" s="140"/>
      <c r="L824" s="140"/>
      <c r="M824" s="140"/>
      <c r="N824" s="140"/>
      <c r="O824" s="140"/>
      <c r="P824" s="140"/>
      <c r="Q824" s="140"/>
      <c r="R824" s="140"/>
      <c r="S824" s="150"/>
      <c r="T824" s="150"/>
      <c r="U824" s="140"/>
      <c r="V824" s="140"/>
      <c r="W824" s="140"/>
      <c r="X824" s="140"/>
      <c r="Y824" s="140"/>
      <c r="Z824" s="140"/>
      <c r="AA824" s="140"/>
      <c r="AB824" s="140"/>
      <c r="AC824" s="140"/>
      <c r="AD824" s="140"/>
      <c r="AE824" s="140"/>
      <c r="AF824" s="140"/>
      <c r="AG824" s="140"/>
      <c r="AH824" s="140"/>
      <c r="AI824" s="140"/>
      <c r="AJ824" s="140"/>
      <c r="AK824" s="140"/>
      <c r="AL824" s="140"/>
      <c r="AM824" s="140"/>
      <c r="AN824" s="140"/>
      <c r="AO824" s="140"/>
      <c r="AP824" s="140"/>
      <c r="AQ824" s="140"/>
      <c r="AR824" s="140"/>
      <c r="AS824" s="140"/>
    </row>
    <row r="825">
      <c r="A825" s="149"/>
      <c r="B825" s="140"/>
      <c r="C825" s="140"/>
      <c r="D825" s="140"/>
      <c r="E825" s="140"/>
      <c r="F825" s="140"/>
      <c r="G825" s="140"/>
      <c r="H825" s="140"/>
      <c r="I825" s="140"/>
      <c r="J825" s="140"/>
      <c r="K825" s="140"/>
      <c r="L825" s="140"/>
      <c r="M825" s="140"/>
      <c r="N825" s="140"/>
      <c r="O825" s="140"/>
      <c r="P825" s="140"/>
      <c r="Q825" s="140"/>
      <c r="R825" s="140"/>
      <c r="S825" s="150"/>
      <c r="T825" s="150"/>
      <c r="U825" s="140"/>
      <c r="V825" s="140"/>
      <c r="W825" s="140"/>
      <c r="X825" s="140"/>
      <c r="Y825" s="140"/>
      <c r="Z825" s="140"/>
      <c r="AA825" s="140"/>
      <c r="AB825" s="140"/>
      <c r="AC825" s="140"/>
      <c r="AD825" s="140"/>
      <c r="AE825" s="140"/>
      <c r="AF825" s="140"/>
      <c r="AG825" s="140"/>
      <c r="AH825" s="140"/>
      <c r="AI825" s="140"/>
      <c r="AJ825" s="140"/>
      <c r="AK825" s="140"/>
      <c r="AL825" s="140"/>
      <c r="AM825" s="140"/>
      <c r="AN825" s="140"/>
      <c r="AO825" s="140"/>
      <c r="AP825" s="140"/>
      <c r="AQ825" s="140"/>
      <c r="AR825" s="140"/>
      <c r="AS825" s="140"/>
    </row>
    <row r="826">
      <c r="A826" s="149"/>
      <c r="B826" s="140"/>
      <c r="C826" s="140"/>
      <c r="D826" s="140"/>
      <c r="E826" s="140"/>
      <c r="F826" s="140"/>
      <c r="G826" s="140"/>
      <c r="H826" s="140"/>
      <c r="I826" s="140"/>
      <c r="J826" s="140"/>
      <c r="K826" s="140"/>
      <c r="L826" s="140"/>
      <c r="M826" s="140"/>
      <c r="N826" s="140"/>
      <c r="O826" s="140"/>
      <c r="P826" s="140"/>
      <c r="Q826" s="140"/>
      <c r="R826" s="140"/>
      <c r="S826" s="150"/>
      <c r="T826" s="150"/>
      <c r="U826" s="140"/>
      <c r="V826" s="140"/>
      <c r="W826" s="140"/>
      <c r="X826" s="140"/>
      <c r="Y826" s="140"/>
      <c r="Z826" s="140"/>
      <c r="AA826" s="140"/>
      <c r="AB826" s="140"/>
      <c r="AC826" s="140"/>
      <c r="AD826" s="140"/>
      <c r="AE826" s="140"/>
      <c r="AF826" s="140"/>
      <c r="AG826" s="140"/>
      <c r="AH826" s="140"/>
      <c r="AI826" s="140"/>
      <c r="AJ826" s="140"/>
      <c r="AK826" s="140"/>
      <c r="AL826" s="140"/>
      <c r="AM826" s="140"/>
      <c r="AN826" s="140"/>
      <c r="AO826" s="140"/>
      <c r="AP826" s="140"/>
      <c r="AQ826" s="140"/>
      <c r="AR826" s="140"/>
      <c r="AS826" s="140"/>
    </row>
    <row r="827">
      <c r="A827" s="149"/>
      <c r="B827" s="140"/>
      <c r="C827" s="140"/>
      <c r="D827" s="140"/>
      <c r="E827" s="140"/>
      <c r="F827" s="140"/>
      <c r="G827" s="140"/>
      <c r="H827" s="140"/>
      <c r="I827" s="140"/>
      <c r="J827" s="140"/>
      <c r="K827" s="140"/>
      <c r="L827" s="140"/>
      <c r="M827" s="140"/>
      <c r="N827" s="140"/>
      <c r="O827" s="140"/>
      <c r="P827" s="140"/>
      <c r="Q827" s="140"/>
      <c r="R827" s="140"/>
      <c r="S827" s="150"/>
      <c r="T827" s="150"/>
      <c r="U827" s="140"/>
      <c r="V827" s="140"/>
      <c r="W827" s="140"/>
      <c r="X827" s="140"/>
      <c r="Y827" s="140"/>
      <c r="Z827" s="140"/>
      <c r="AA827" s="140"/>
      <c r="AB827" s="140"/>
      <c r="AC827" s="140"/>
      <c r="AD827" s="140"/>
      <c r="AE827" s="140"/>
      <c r="AF827" s="140"/>
      <c r="AG827" s="140"/>
      <c r="AH827" s="140"/>
      <c r="AI827" s="140"/>
      <c r="AJ827" s="140"/>
      <c r="AK827" s="140"/>
      <c r="AL827" s="140"/>
      <c r="AM827" s="140"/>
      <c r="AN827" s="140"/>
      <c r="AO827" s="140"/>
      <c r="AP827" s="140"/>
      <c r="AQ827" s="140"/>
      <c r="AR827" s="140"/>
      <c r="AS827" s="140"/>
    </row>
    <row r="828">
      <c r="A828" s="149"/>
      <c r="B828" s="140"/>
      <c r="C828" s="140"/>
      <c r="D828" s="140"/>
      <c r="E828" s="140"/>
      <c r="F828" s="140"/>
      <c r="G828" s="140"/>
      <c r="H828" s="140"/>
      <c r="I828" s="140"/>
      <c r="J828" s="140"/>
      <c r="K828" s="140"/>
      <c r="L828" s="140"/>
      <c r="M828" s="140"/>
      <c r="N828" s="140"/>
      <c r="O828" s="140"/>
      <c r="P828" s="140"/>
      <c r="Q828" s="140"/>
      <c r="R828" s="140"/>
      <c r="S828" s="150"/>
      <c r="T828" s="150"/>
      <c r="U828" s="140"/>
      <c r="V828" s="140"/>
      <c r="W828" s="140"/>
      <c r="X828" s="140"/>
      <c r="Y828" s="140"/>
      <c r="Z828" s="140"/>
      <c r="AA828" s="140"/>
      <c r="AB828" s="140"/>
      <c r="AC828" s="140"/>
      <c r="AD828" s="140"/>
      <c r="AE828" s="140"/>
      <c r="AF828" s="140"/>
      <c r="AG828" s="140"/>
      <c r="AH828" s="140"/>
      <c r="AI828" s="140"/>
      <c r="AJ828" s="140"/>
      <c r="AK828" s="140"/>
      <c r="AL828" s="140"/>
      <c r="AM828" s="140"/>
      <c r="AN828" s="140"/>
      <c r="AO828" s="140"/>
      <c r="AP828" s="140"/>
      <c r="AQ828" s="140"/>
      <c r="AR828" s="140"/>
      <c r="AS828" s="140"/>
    </row>
    <row r="829">
      <c r="A829" s="149"/>
      <c r="B829" s="140"/>
      <c r="C829" s="140"/>
      <c r="D829" s="140"/>
      <c r="E829" s="140"/>
      <c r="F829" s="140"/>
      <c r="G829" s="140"/>
      <c r="H829" s="140"/>
      <c r="I829" s="140"/>
      <c r="J829" s="140"/>
      <c r="K829" s="140"/>
      <c r="L829" s="140"/>
      <c r="M829" s="140"/>
      <c r="N829" s="140"/>
      <c r="O829" s="140"/>
      <c r="P829" s="140"/>
      <c r="Q829" s="140"/>
      <c r="R829" s="140"/>
      <c r="S829" s="150"/>
      <c r="T829" s="150"/>
      <c r="U829" s="140"/>
      <c r="V829" s="140"/>
      <c r="W829" s="140"/>
      <c r="X829" s="140"/>
      <c r="Y829" s="140"/>
      <c r="Z829" s="140"/>
      <c r="AA829" s="140"/>
      <c r="AB829" s="140"/>
      <c r="AC829" s="140"/>
      <c r="AD829" s="140"/>
      <c r="AE829" s="140"/>
      <c r="AF829" s="140"/>
      <c r="AG829" s="140"/>
      <c r="AH829" s="140"/>
      <c r="AI829" s="140"/>
      <c r="AJ829" s="140"/>
      <c r="AK829" s="140"/>
      <c r="AL829" s="140"/>
      <c r="AM829" s="140"/>
      <c r="AN829" s="140"/>
      <c r="AO829" s="140"/>
      <c r="AP829" s="140"/>
      <c r="AQ829" s="140"/>
      <c r="AR829" s="140"/>
      <c r="AS829" s="140"/>
    </row>
    <row r="830">
      <c r="A830" s="149"/>
      <c r="B830" s="140"/>
      <c r="C830" s="140"/>
      <c r="D830" s="140"/>
      <c r="E830" s="140"/>
      <c r="F830" s="140"/>
      <c r="G830" s="140"/>
      <c r="H830" s="140"/>
      <c r="I830" s="140"/>
      <c r="J830" s="140"/>
      <c r="K830" s="140"/>
      <c r="L830" s="140"/>
      <c r="M830" s="140"/>
      <c r="N830" s="140"/>
      <c r="O830" s="140"/>
      <c r="P830" s="140"/>
      <c r="Q830" s="140"/>
      <c r="R830" s="140"/>
      <c r="S830" s="150"/>
      <c r="T830" s="150"/>
      <c r="U830" s="140"/>
      <c r="V830" s="140"/>
      <c r="W830" s="140"/>
      <c r="X830" s="140"/>
      <c r="Y830" s="140"/>
      <c r="Z830" s="140"/>
      <c r="AA830" s="140"/>
      <c r="AB830" s="140"/>
      <c r="AC830" s="140"/>
      <c r="AD830" s="140"/>
      <c r="AE830" s="140"/>
      <c r="AF830" s="140"/>
      <c r="AG830" s="140"/>
      <c r="AH830" s="140"/>
      <c r="AI830" s="140"/>
      <c r="AJ830" s="140"/>
      <c r="AK830" s="140"/>
      <c r="AL830" s="140"/>
      <c r="AM830" s="140"/>
      <c r="AN830" s="140"/>
      <c r="AO830" s="140"/>
      <c r="AP830" s="140"/>
      <c r="AQ830" s="140"/>
      <c r="AR830" s="140"/>
      <c r="AS830" s="140"/>
    </row>
    <row r="831">
      <c r="A831" s="149"/>
      <c r="B831" s="140"/>
      <c r="C831" s="140"/>
      <c r="D831" s="140"/>
      <c r="E831" s="140"/>
      <c r="F831" s="140"/>
      <c r="G831" s="140"/>
      <c r="H831" s="140"/>
      <c r="I831" s="140"/>
      <c r="J831" s="140"/>
      <c r="K831" s="140"/>
      <c r="L831" s="140"/>
      <c r="M831" s="140"/>
      <c r="N831" s="140"/>
      <c r="O831" s="140"/>
      <c r="P831" s="140"/>
      <c r="Q831" s="140"/>
      <c r="R831" s="140"/>
      <c r="S831" s="150"/>
      <c r="T831" s="150"/>
      <c r="U831" s="140"/>
      <c r="V831" s="140"/>
      <c r="W831" s="140"/>
      <c r="X831" s="140"/>
      <c r="Y831" s="140"/>
      <c r="Z831" s="140"/>
      <c r="AA831" s="140"/>
      <c r="AB831" s="140"/>
      <c r="AC831" s="140"/>
      <c r="AD831" s="140"/>
      <c r="AE831" s="140"/>
      <c r="AF831" s="140"/>
      <c r="AG831" s="140"/>
      <c r="AH831" s="140"/>
      <c r="AI831" s="140"/>
      <c r="AJ831" s="140"/>
      <c r="AK831" s="140"/>
      <c r="AL831" s="140"/>
      <c r="AM831" s="140"/>
      <c r="AN831" s="140"/>
      <c r="AO831" s="140"/>
      <c r="AP831" s="140"/>
      <c r="AQ831" s="140"/>
      <c r="AR831" s="140"/>
      <c r="AS831" s="140"/>
    </row>
    <row r="832">
      <c r="A832" s="149"/>
      <c r="B832" s="140"/>
      <c r="C832" s="140"/>
      <c r="D832" s="140"/>
      <c r="E832" s="140"/>
      <c r="F832" s="140"/>
      <c r="G832" s="140"/>
      <c r="H832" s="140"/>
      <c r="I832" s="140"/>
      <c r="J832" s="140"/>
      <c r="K832" s="140"/>
      <c r="L832" s="140"/>
      <c r="M832" s="140"/>
      <c r="N832" s="140"/>
      <c r="O832" s="140"/>
      <c r="P832" s="140"/>
      <c r="Q832" s="140"/>
      <c r="R832" s="140"/>
      <c r="S832" s="150"/>
      <c r="T832" s="150"/>
      <c r="U832" s="140"/>
      <c r="V832" s="140"/>
      <c r="W832" s="140"/>
      <c r="X832" s="140"/>
      <c r="Y832" s="140"/>
      <c r="Z832" s="140"/>
      <c r="AA832" s="140"/>
      <c r="AB832" s="140"/>
      <c r="AC832" s="140"/>
      <c r="AD832" s="140"/>
      <c r="AE832" s="140"/>
      <c r="AF832" s="140"/>
      <c r="AG832" s="140"/>
      <c r="AH832" s="140"/>
      <c r="AI832" s="140"/>
      <c r="AJ832" s="140"/>
      <c r="AK832" s="140"/>
      <c r="AL832" s="140"/>
      <c r="AM832" s="140"/>
      <c r="AN832" s="140"/>
      <c r="AO832" s="140"/>
      <c r="AP832" s="140"/>
      <c r="AQ832" s="140"/>
      <c r="AR832" s="140"/>
      <c r="AS832" s="140"/>
    </row>
    <row r="833">
      <c r="A833" s="149"/>
      <c r="B833" s="140"/>
      <c r="C833" s="140"/>
      <c r="D833" s="140"/>
      <c r="E833" s="140"/>
      <c r="F833" s="140"/>
      <c r="G833" s="140"/>
      <c r="H833" s="140"/>
      <c r="I833" s="140"/>
      <c r="J833" s="140"/>
      <c r="K833" s="140"/>
      <c r="L833" s="140"/>
      <c r="M833" s="140"/>
      <c r="N833" s="140"/>
      <c r="O833" s="140"/>
      <c r="P833" s="140"/>
      <c r="Q833" s="140"/>
      <c r="R833" s="140"/>
      <c r="S833" s="150"/>
      <c r="T833" s="150"/>
      <c r="U833" s="140"/>
      <c r="V833" s="140"/>
      <c r="W833" s="140"/>
      <c r="X833" s="140"/>
      <c r="Y833" s="140"/>
      <c r="Z833" s="140"/>
      <c r="AA833" s="140"/>
      <c r="AB833" s="140"/>
      <c r="AC833" s="140"/>
      <c r="AD833" s="140"/>
      <c r="AE833" s="140"/>
      <c r="AF833" s="140"/>
      <c r="AG833" s="140"/>
      <c r="AH833" s="140"/>
      <c r="AI833" s="140"/>
      <c r="AJ833" s="140"/>
      <c r="AK833" s="140"/>
      <c r="AL833" s="140"/>
      <c r="AM833" s="140"/>
      <c r="AN833" s="140"/>
      <c r="AO833" s="140"/>
      <c r="AP833" s="140"/>
      <c r="AQ833" s="140"/>
      <c r="AR833" s="140"/>
      <c r="AS833" s="140"/>
    </row>
    <row r="834">
      <c r="A834" s="149"/>
      <c r="B834" s="140"/>
      <c r="C834" s="140"/>
      <c r="D834" s="140"/>
      <c r="E834" s="140"/>
      <c r="F834" s="140"/>
      <c r="G834" s="140"/>
      <c r="H834" s="140"/>
      <c r="I834" s="140"/>
      <c r="J834" s="140"/>
      <c r="K834" s="140"/>
      <c r="L834" s="140"/>
      <c r="M834" s="140"/>
      <c r="N834" s="140"/>
      <c r="O834" s="140"/>
      <c r="P834" s="140"/>
      <c r="Q834" s="140"/>
      <c r="R834" s="140"/>
      <c r="S834" s="150"/>
      <c r="T834" s="150"/>
      <c r="U834" s="140"/>
      <c r="V834" s="140"/>
      <c r="W834" s="140"/>
      <c r="X834" s="140"/>
      <c r="Y834" s="140"/>
      <c r="Z834" s="140"/>
      <c r="AA834" s="140"/>
      <c r="AB834" s="140"/>
      <c r="AC834" s="140"/>
      <c r="AD834" s="140"/>
      <c r="AE834" s="140"/>
      <c r="AF834" s="140"/>
      <c r="AG834" s="140"/>
      <c r="AH834" s="140"/>
      <c r="AI834" s="140"/>
      <c r="AJ834" s="140"/>
      <c r="AK834" s="140"/>
      <c r="AL834" s="140"/>
      <c r="AM834" s="140"/>
      <c r="AN834" s="140"/>
      <c r="AO834" s="140"/>
      <c r="AP834" s="140"/>
      <c r="AQ834" s="140"/>
      <c r="AR834" s="140"/>
      <c r="AS834" s="140"/>
    </row>
    <row r="835">
      <c r="A835" s="149"/>
      <c r="B835" s="140"/>
      <c r="C835" s="140"/>
      <c r="D835" s="140"/>
      <c r="E835" s="140"/>
      <c r="F835" s="140"/>
      <c r="G835" s="140"/>
      <c r="H835" s="140"/>
      <c r="I835" s="140"/>
      <c r="J835" s="140"/>
      <c r="K835" s="140"/>
      <c r="L835" s="140"/>
      <c r="M835" s="140"/>
      <c r="N835" s="140"/>
      <c r="O835" s="140"/>
      <c r="P835" s="140"/>
      <c r="Q835" s="140"/>
      <c r="R835" s="140"/>
      <c r="S835" s="150"/>
      <c r="T835" s="150"/>
      <c r="U835" s="140"/>
      <c r="V835" s="140"/>
      <c r="W835" s="140"/>
      <c r="X835" s="140"/>
      <c r="Y835" s="140"/>
      <c r="Z835" s="140"/>
      <c r="AA835" s="140"/>
      <c r="AB835" s="140"/>
      <c r="AC835" s="140"/>
      <c r="AD835" s="140"/>
      <c r="AE835" s="140"/>
      <c r="AF835" s="140"/>
      <c r="AG835" s="140"/>
      <c r="AH835" s="140"/>
      <c r="AI835" s="140"/>
      <c r="AJ835" s="140"/>
      <c r="AK835" s="140"/>
      <c r="AL835" s="140"/>
      <c r="AM835" s="140"/>
      <c r="AN835" s="140"/>
      <c r="AO835" s="140"/>
      <c r="AP835" s="140"/>
      <c r="AQ835" s="140"/>
      <c r="AR835" s="140"/>
      <c r="AS835" s="140"/>
    </row>
    <row r="836">
      <c r="A836" s="149"/>
      <c r="B836" s="140"/>
      <c r="C836" s="140"/>
      <c r="D836" s="140"/>
      <c r="E836" s="140"/>
      <c r="F836" s="140"/>
      <c r="G836" s="140"/>
      <c r="H836" s="140"/>
      <c r="I836" s="140"/>
      <c r="J836" s="140"/>
      <c r="K836" s="140"/>
      <c r="L836" s="140"/>
      <c r="M836" s="140"/>
      <c r="N836" s="140"/>
      <c r="O836" s="140"/>
      <c r="P836" s="140"/>
      <c r="Q836" s="140"/>
      <c r="R836" s="140"/>
      <c r="S836" s="150"/>
      <c r="T836" s="150"/>
      <c r="U836" s="140"/>
      <c r="V836" s="140"/>
      <c r="W836" s="140"/>
      <c r="X836" s="140"/>
      <c r="Y836" s="140"/>
      <c r="Z836" s="140"/>
      <c r="AA836" s="140"/>
      <c r="AB836" s="140"/>
      <c r="AC836" s="140"/>
      <c r="AD836" s="140"/>
      <c r="AE836" s="140"/>
      <c r="AF836" s="140"/>
      <c r="AG836" s="140"/>
      <c r="AH836" s="140"/>
      <c r="AI836" s="140"/>
      <c r="AJ836" s="140"/>
      <c r="AK836" s="140"/>
      <c r="AL836" s="140"/>
      <c r="AM836" s="140"/>
      <c r="AN836" s="140"/>
      <c r="AO836" s="140"/>
      <c r="AP836" s="140"/>
      <c r="AQ836" s="140"/>
      <c r="AR836" s="140"/>
      <c r="AS836" s="140"/>
    </row>
    <row r="837">
      <c r="A837" s="149"/>
      <c r="B837" s="140"/>
      <c r="C837" s="140"/>
      <c r="D837" s="140"/>
      <c r="E837" s="140"/>
      <c r="F837" s="140"/>
      <c r="G837" s="140"/>
      <c r="H837" s="140"/>
      <c r="I837" s="140"/>
      <c r="J837" s="140"/>
      <c r="K837" s="140"/>
      <c r="L837" s="140"/>
      <c r="M837" s="140"/>
      <c r="N837" s="140"/>
      <c r="O837" s="140"/>
      <c r="P837" s="140"/>
      <c r="Q837" s="140"/>
      <c r="R837" s="140"/>
      <c r="S837" s="150"/>
      <c r="T837" s="150"/>
      <c r="U837" s="140"/>
      <c r="V837" s="140"/>
      <c r="W837" s="140"/>
      <c r="X837" s="140"/>
      <c r="Y837" s="140"/>
      <c r="Z837" s="140"/>
      <c r="AA837" s="140"/>
      <c r="AB837" s="140"/>
      <c r="AC837" s="140"/>
      <c r="AD837" s="140"/>
      <c r="AE837" s="140"/>
      <c r="AF837" s="140"/>
      <c r="AG837" s="140"/>
      <c r="AH837" s="140"/>
      <c r="AI837" s="140"/>
      <c r="AJ837" s="140"/>
      <c r="AK837" s="140"/>
      <c r="AL837" s="140"/>
      <c r="AM837" s="140"/>
      <c r="AN837" s="140"/>
      <c r="AO837" s="140"/>
      <c r="AP837" s="140"/>
      <c r="AQ837" s="140"/>
      <c r="AR837" s="140"/>
      <c r="AS837" s="140"/>
    </row>
    <row r="838">
      <c r="A838" s="149"/>
      <c r="B838" s="140"/>
      <c r="C838" s="140"/>
      <c r="D838" s="140"/>
      <c r="E838" s="140"/>
      <c r="F838" s="140"/>
      <c r="G838" s="140"/>
      <c r="H838" s="140"/>
      <c r="I838" s="140"/>
      <c r="J838" s="140"/>
      <c r="K838" s="140"/>
      <c r="L838" s="140"/>
      <c r="M838" s="140"/>
      <c r="N838" s="140"/>
      <c r="O838" s="140"/>
      <c r="P838" s="140"/>
      <c r="Q838" s="140"/>
      <c r="R838" s="140"/>
      <c r="S838" s="150"/>
      <c r="T838" s="150"/>
      <c r="U838" s="140"/>
      <c r="V838" s="140"/>
      <c r="W838" s="140"/>
      <c r="X838" s="140"/>
      <c r="Y838" s="140"/>
      <c r="Z838" s="140"/>
      <c r="AA838" s="140"/>
      <c r="AB838" s="140"/>
      <c r="AC838" s="140"/>
      <c r="AD838" s="140"/>
      <c r="AE838" s="140"/>
      <c r="AF838" s="140"/>
      <c r="AG838" s="140"/>
      <c r="AH838" s="140"/>
      <c r="AI838" s="140"/>
      <c r="AJ838" s="140"/>
      <c r="AK838" s="140"/>
      <c r="AL838" s="140"/>
      <c r="AM838" s="140"/>
      <c r="AN838" s="140"/>
      <c r="AO838" s="140"/>
      <c r="AP838" s="140"/>
      <c r="AQ838" s="140"/>
      <c r="AR838" s="140"/>
      <c r="AS838" s="140"/>
    </row>
    <row r="839">
      <c r="A839" s="149"/>
      <c r="B839" s="140"/>
      <c r="C839" s="140"/>
      <c r="D839" s="140"/>
      <c r="E839" s="140"/>
      <c r="F839" s="140"/>
      <c r="G839" s="140"/>
      <c r="H839" s="140"/>
      <c r="I839" s="140"/>
      <c r="J839" s="140"/>
      <c r="K839" s="140"/>
      <c r="L839" s="140"/>
      <c r="M839" s="140"/>
      <c r="N839" s="140"/>
      <c r="O839" s="140"/>
      <c r="P839" s="140"/>
      <c r="Q839" s="140"/>
      <c r="R839" s="140"/>
      <c r="S839" s="150"/>
      <c r="T839" s="150"/>
      <c r="U839" s="140"/>
      <c r="V839" s="140"/>
      <c r="W839" s="140"/>
      <c r="X839" s="140"/>
      <c r="Y839" s="140"/>
      <c r="Z839" s="140"/>
      <c r="AA839" s="140"/>
      <c r="AB839" s="140"/>
      <c r="AC839" s="140"/>
      <c r="AD839" s="140"/>
      <c r="AE839" s="140"/>
      <c r="AF839" s="140"/>
      <c r="AG839" s="140"/>
      <c r="AH839" s="140"/>
      <c r="AI839" s="140"/>
      <c r="AJ839" s="140"/>
      <c r="AK839" s="140"/>
      <c r="AL839" s="140"/>
      <c r="AM839" s="140"/>
      <c r="AN839" s="140"/>
      <c r="AO839" s="140"/>
      <c r="AP839" s="140"/>
      <c r="AQ839" s="140"/>
      <c r="AR839" s="140"/>
      <c r="AS839" s="140"/>
    </row>
    <row r="840">
      <c r="A840" s="149"/>
      <c r="B840" s="140"/>
      <c r="C840" s="140"/>
      <c r="D840" s="140"/>
      <c r="E840" s="140"/>
      <c r="F840" s="140"/>
      <c r="G840" s="140"/>
      <c r="H840" s="140"/>
      <c r="I840" s="140"/>
      <c r="J840" s="140"/>
      <c r="K840" s="140"/>
      <c r="L840" s="140"/>
      <c r="M840" s="140"/>
      <c r="N840" s="140"/>
      <c r="O840" s="140"/>
      <c r="P840" s="140"/>
      <c r="Q840" s="140"/>
      <c r="R840" s="140"/>
      <c r="S840" s="150"/>
      <c r="T840" s="150"/>
      <c r="U840" s="140"/>
      <c r="V840" s="140"/>
      <c r="W840" s="140"/>
      <c r="X840" s="140"/>
      <c r="Y840" s="140"/>
      <c r="Z840" s="140"/>
      <c r="AA840" s="140"/>
      <c r="AB840" s="140"/>
      <c r="AC840" s="140"/>
      <c r="AD840" s="140"/>
      <c r="AE840" s="140"/>
      <c r="AF840" s="140"/>
      <c r="AG840" s="140"/>
      <c r="AH840" s="140"/>
      <c r="AI840" s="140"/>
      <c r="AJ840" s="140"/>
      <c r="AK840" s="140"/>
      <c r="AL840" s="140"/>
      <c r="AM840" s="140"/>
      <c r="AN840" s="140"/>
      <c r="AO840" s="140"/>
      <c r="AP840" s="140"/>
      <c r="AQ840" s="140"/>
      <c r="AR840" s="140"/>
      <c r="AS840" s="140"/>
    </row>
    <row r="841">
      <c r="A841" s="149"/>
      <c r="B841" s="140"/>
      <c r="C841" s="140"/>
      <c r="D841" s="140"/>
      <c r="E841" s="140"/>
      <c r="F841" s="140"/>
      <c r="G841" s="140"/>
      <c r="H841" s="140"/>
      <c r="I841" s="140"/>
      <c r="J841" s="140"/>
      <c r="K841" s="140"/>
      <c r="L841" s="140"/>
      <c r="M841" s="140"/>
      <c r="N841" s="140"/>
      <c r="O841" s="140"/>
      <c r="P841" s="140"/>
      <c r="Q841" s="140"/>
      <c r="R841" s="140"/>
      <c r="S841" s="150"/>
      <c r="T841" s="150"/>
      <c r="U841" s="140"/>
      <c r="V841" s="140"/>
      <c r="W841" s="140"/>
      <c r="X841" s="140"/>
      <c r="Y841" s="140"/>
      <c r="Z841" s="140"/>
      <c r="AA841" s="140"/>
      <c r="AB841" s="140"/>
      <c r="AC841" s="140"/>
      <c r="AD841" s="140"/>
      <c r="AE841" s="140"/>
      <c r="AF841" s="140"/>
      <c r="AG841" s="140"/>
      <c r="AH841" s="140"/>
      <c r="AI841" s="140"/>
      <c r="AJ841" s="140"/>
      <c r="AK841" s="140"/>
      <c r="AL841" s="140"/>
      <c r="AM841" s="140"/>
      <c r="AN841" s="140"/>
      <c r="AO841" s="140"/>
      <c r="AP841" s="140"/>
      <c r="AQ841" s="140"/>
      <c r="AR841" s="140"/>
      <c r="AS841" s="140"/>
    </row>
    <row r="842">
      <c r="A842" s="149"/>
      <c r="B842" s="140"/>
      <c r="C842" s="140"/>
      <c r="D842" s="140"/>
      <c r="E842" s="140"/>
      <c r="F842" s="140"/>
      <c r="G842" s="140"/>
      <c r="H842" s="140"/>
      <c r="I842" s="140"/>
      <c r="J842" s="140"/>
      <c r="K842" s="140"/>
      <c r="L842" s="140"/>
      <c r="M842" s="140"/>
      <c r="N842" s="140"/>
      <c r="O842" s="140"/>
      <c r="P842" s="140"/>
      <c r="Q842" s="140"/>
      <c r="R842" s="140"/>
      <c r="S842" s="150"/>
      <c r="T842" s="150"/>
      <c r="U842" s="140"/>
      <c r="V842" s="140"/>
      <c r="W842" s="140"/>
      <c r="X842" s="140"/>
      <c r="Y842" s="140"/>
      <c r="Z842" s="140"/>
      <c r="AA842" s="140"/>
      <c r="AB842" s="140"/>
      <c r="AC842" s="140"/>
      <c r="AD842" s="140"/>
      <c r="AE842" s="140"/>
      <c r="AF842" s="140"/>
      <c r="AG842" s="140"/>
      <c r="AH842" s="140"/>
      <c r="AI842" s="140"/>
      <c r="AJ842" s="140"/>
      <c r="AK842" s="140"/>
      <c r="AL842" s="140"/>
      <c r="AM842" s="140"/>
      <c r="AN842" s="140"/>
      <c r="AO842" s="140"/>
      <c r="AP842" s="140"/>
      <c r="AQ842" s="140"/>
      <c r="AR842" s="140"/>
      <c r="AS842" s="140"/>
    </row>
    <row r="843">
      <c r="A843" s="149"/>
      <c r="B843" s="140"/>
      <c r="C843" s="140"/>
      <c r="D843" s="140"/>
      <c r="E843" s="140"/>
      <c r="F843" s="140"/>
      <c r="G843" s="140"/>
      <c r="H843" s="140"/>
      <c r="I843" s="140"/>
      <c r="J843" s="140"/>
      <c r="K843" s="140"/>
      <c r="L843" s="140"/>
      <c r="M843" s="140"/>
      <c r="N843" s="140"/>
      <c r="O843" s="140"/>
      <c r="P843" s="140"/>
      <c r="Q843" s="140"/>
      <c r="R843" s="140"/>
      <c r="S843" s="150"/>
      <c r="T843" s="150"/>
      <c r="U843" s="140"/>
      <c r="V843" s="140"/>
      <c r="W843" s="140"/>
      <c r="X843" s="140"/>
      <c r="Y843" s="140"/>
      <c r="Z843" s="140"/>
      <c r="AA843" s="140"/>
      <c r="AB843" s="140"/>
      <c r="AC843" s="140"/>
      <c r="AD843" s="140"/>
      <c r="AE843" s="140"/>
      <c r="AF843" s="140"/>
      <c r="AG843" s="140"/>
      <c r="AH843" s="140"/>
      <c r="AI843" s="140"/>
      <c r="AJ843" s="140"/>
      <c r="AK843" s="140"/>
      <c r="AL843" s="140"/>
      <c r="AM843" s="140"/>
      <c r="AN843" s="140"/>
      <c r="AO843" s="140"/>
      <c r="AP843" s="140"/>
      <c r="AQ843" s="140"/>
      <c r="AR843" s="140"/>
      <c r="AS843" s="140"/>
    </row>
    <row r="844">
      <c r="A844" s="149"/>
      <c r="B844" s="140"/>
      <c r="C844" s="140"/>
      <c r="D844" s="140"/>
      <c r="E844" s="140"/>
      <c r="F844" s="140"/>
      <c r="G844" s="140"/>
      <c r="H844" s="140"/>
      <c r="I844" s="140"/>
      <c r="J844" s="140"/>
      <c r="K844" s="140"/>
      <c r="L844" s="140"/>
      <c r="M844" s="140"/>
      <c r="N844" s="140"/>
      <c r="O844" s="140"/>
      <c r="P844" s="140"/>
      <c r="Q844" s="140"/>
      <c r="R844" s="140"/>
      <c r="S844" s="150"/>
      <c r="T844" s="150"/>
      <c r="U844" s="140"/>
      <c r="V844" s="140"/>
      <c r="W844" s="140"/>
      <c r="X844" s="140"/>
      <c r="Y844" s="140"/>
      <c r="Z844" s="140"/>
      <c r="AA844" s="140"/>
      <c r="AB844" s="140"/>
      <c r="AC844" s="140"/>
      <c r="AD844" s="140"/>
      <c r="AE844" s="140"/>
      <c r="AF844" s="140"/>
      <c r="AG844" s="140"/>
      <c r="AH844" s="140"/>
      <c r="AI844" s="140"/>
      <c r="AJ844" s="140"/>
      <c r="AK844" s="140"/>
      <c r="AL844" s="140"/>
      <c r="AM844" s="140"/>
      <c r="AN844" s="140"/>
      <c r="AO844" s="140"/>
      <c r="AP844" s="140"/>
      <c r="AQ844" s="140"/>
      <c r="AR844" s="140"/>
      <c r="AS844" s="140"/>
    </row>
    <row r="845">
      <c r="A845" s="149"/>
      <c r="B845" s="140"/>
      <c r="C845" s="140"/>
      <c r="D845" s="140"/>
      <c r="E845" s="140"/>
      <c r="F845" s="140"/>
      <c r="G845" s="140"/>
      <c r="H845" s="140"/>
      <c r="I845" s="140"/>
      <c r="J845" s="140"/>
      <c r="K845" s="140"/>
      <c r="L845" s="140"/>
      <c r="M845" s="140"/>
      <c r="N845" s="140"/>
      <c r="O845" s="140"/>
      <c r="P845" s="140"/>
      <c r="Q845" s="140"/>
      <c r="R845" s="140"/>
      <c r="S845" s="150"/>
      <c r="T845" s="150"/>
      <c r="U845" s="140"/>
      <c r="V845" s="140"/>
      <c r="W845" s="140"/>
      <c r="X845" s="140"/>
      <c r="Y845" s="140"/>
      <c r="Z845" s="140"/>
      <c r="AA845" s="140"/>
      <c r="AB845" s="140"/>
      <c r="AC845" s="140"/>
      <c r="AD845" s="140"/>
      <c r="AE845" s="140"/>
      <c r="AF845" s="140"/>
      <c r="AG845" s="140"/>
      <c r="AH845" s="140"/>
      <c r="AI845" s="140"/>
      <c r="AJ845" s="140"/>
      <c r="AK845" s="140"/>
      <c r="AL845" s="140"/>
      <c r="AM845" s="140"/>
      <c r="AN845" s="140"/>
      <c r="AO845" s="140"/>
      <c r="AP845" s="140"/>
      <c r="AQ845" s="140"/>
      <c r="AR845" s="140"/>
      <c r="AS845" s="140"/>
    </row>
    <row r="846">
      <c r="A846" s="149"/>
      <c r="B846" s="140"/>
      <c r="C846" s="140"/>
      <c r="D846" s="140"/>
      <c r="E846" s="140"/>
      <c r="F846" s="140"/>
      <c r="G846" s="140"/>
      <c r="H846" s="140"/>
      <c r="I846" s="140"/>
      <c r="J846" s="140"/>
      <c r="K846" s="140"/>
      <c r="L846" s="140"/>
      <c r="M846" s="140"/>
      <c r="N846" s="140"/>
      <c r="O846" s="140"/>
      <c r="P846" s="140"/>
      <c r="Q846" s="140"/>
      <c r="R846" s="140"/>
      <c r="S846" s="150"/>
      <c r="T846" s="150"/>
      <c r="U846" s="140"/>
      <c r="V846" s="140"/>
      <c r="W846" s="140"/>
      <c r="X846" s="140"/>
      <c r="Y846" s="140"/>
      <c r="Z846" s="140"/>
      <c r="AA846" s="140"/>
      <c r="AB846" s="140"/>
      <c r="AC846" s="140"/>
      <c r="AD846" s="140"/>
      <c r="AE846" s="140"/>
      <c r="AF846" s="140"/>
      <c r="AG846" s="140"/>
      <c r="AH846" s="140"/>
      <c r="AI846" s="140"/>
      <c r="AJ846" s="140"/>
      <c r="AK846" s="140"/>
      <c r="AL846" s="140"/>
      <c r="AM846" s="140"/>
      <c r="AN846" s="140"/>
      <c r="AO846" s="140"/>
      <c r="AP846" s="140"/>
      <c r="AQ846" s="140"/>
      <c r="AR846" s="140"/>
      <c r="AS846" s="140"/>
    </row>
    <row r="847">
      <c r="A847" s="149"/>
      <c r="B847" s="140"/>
      <c r="C847" s="140"/>
      <c r="D847" s="140"/>
      <c r="E847" s="140"/>
      <c r="F847" s="140"/>
      <c r="G847" s="140"/>
      <c r="H847" s="140"/>
      <c r="I847" s="140"/>
      <c r="J847" s="140"/>
      <c r="K847" s="140"/>
      <c r="L847" s="140"/>
      <c r="M847" s="140"/>
      <c r="N847" s="140"/>
      <c r="O847" s="140"/>
      <c r="P847" s="140"/>
      <c r="Q847" s="140"/>
      <c r="R847" s="140"/>
      <c r="S847" s="150"/>
      <c r="T847" s="150"/>
      <c r="U847" s="140"/>
      <c r="V847" s="140"/>
      <c r="W847" s="140"/>
      <c r="X847" s="140"/>
      <c r="Y847" s="140"/>
      <c r="Z847" s="140"/>
      <c r="AA847" s="140"/>
      <c r="AB847" s="140"/>
      <c r="AC847" s="140"/>
      <c r="AD847" s="140"/>
      <c r="AE847" s="140"/>
      <c r="AF847" s="140"/>
      <c r="AG847" s="140"/>
      <c r="AH847" s="140"/>
      <c r="AI847" s="140"/>
      <c r="AJ847" s="140"/>
      <c r="AK847" s="140"/>
      <c r="AL847" s="140"/>
      <c r="AM847" s="140"/>
      <c r="AN847" s="140"/>
      <c r="AO847" s="140"/>
      <c r="AP847" s="140"/>
      <c r="AQ847" s="140"/>
      <c r="AR847" s="140"/>
      <c r="AS847" s="140"/>
    </row>
    <row r="848">
      <c r="A848" s="149"/>
      <c r="B848" s="140"/>
      <c r="C848" s="140"/>
      <c r="D848" s="140"/>
      <c r="E848" s="140"/>
      <c r="F848" s="140"/>
      <c r="G848" s="140"/>
      <c r="H848" s="140"/>
      <c r="I848" s="140"/>
      <c r="J848" s="140"/>
      <c r="K848" s="140"/>
      <c r="L848" s="140"/>
      <c r="M848" s="140"/>
      <c r="N848" s="140"/>
      <c r="O848" s="140"/>
      <c r="P848" s="140"/>
      <c r="Q848" s="140"/>
      <c r="R848" s="140"/>
      <c r="S848" s="150"/>
      <c r="T848" s="150"/>
      <c r="U848" s="140"/>
      <c r="V848" s="140"/>
      <c r="W848" s="140"/>
      <c r="X848" s="140"/>
      <c r="Y848" s="140"/>
      <c r="Z848" s="140"/>
      <c r="AA848" s="140"/>
      <c r="AB848" s="140"/>
      <c r="AC848" s="140"/>
      <c r="AD848" s="140"/>
      <c r="AE848" s="140"/>
      <c r="AF848" s="140"/>
      <c r="AG848" s="140"/>
      <c r="AH848" s="140"/>
      <c r="AI848" s="140"/>
      <c r="AJ848" s="140"/>
      <c r="AK848" s="140"/>
      <c r="AL848" s="140"/>
      <c r="AM848" s="140"/>
      <c r="AN848" s="140"/>
      <c r="AO848" s="140"/>
      <c r="AP848" s="140"/>
      <c r="AQ848" s="140"/>
      <c r="AR848" s="140"/>
      <c r="AS848" s="140"/>
    </row>
    <row r="849">
      <c r="A849" s="149"/>
      <c r="B849" s="140"/>
      <c r="C849" s="140"/>
      <c r="D849" s="140"/>
      <c r="E849" s="140"/>
      <c r="F849" s="140"/>
      <c r="G849" s="140"/>
      <c r="H849" s="140"/>
      <c r="I849" s="140"/>
      <c r="J849" s="140"/>
      <c r="K849" s="140"/>
      <c r="L849" s="140"/>
      <c r="M849" s="140"/>
      <c r="N849" s="140"/>
      <c r="O849" s="140"/>
      <c r="P849" s="140"/>
      <c r="Q849" s="140"/>
      <c r="R849" s="140"/>
      <c r="S849" s="150"/>
      <c r="T849" s="150"/>
      <c r="U849" s="140"/>
      <c r="V849" s="140"/>
      <c r="W849" s="140"/>
      <c r="X849" s="140"/>
      <c r="Y849" s="140"/>
      <c r="Z849" s="140"/>
      <c r="AA849" s="140"/>
      <c r="AB849" s="140"/>
      <c r="AC849" s="140"/>
      <c r="AD849" s="140"/>
      <c r="AE849" s="140"/>
      <c r="AF849" s="140"/>
      <c r="AG849" s="140"/>
      <c r="AH849" s="140"/>
      <c r="AI849" s="140"/>
      <c r="AJ849" s="140"/>
      <c r="AK849" s="140"/>
      <c r="AL849" s="140"/>
      <c r="AM849" s="140"/>
      <c r="AN849" s="140"/>
      <c r="AO849" s="140"/>
      <c r="AP849" s="140"/>
      <c r="AQ849" s="140"/>
      <c r="AR849" s="140"/>
      <c r="AS849" s="140"/>
    </row>
    <row r="850">
      <c r="A850" s="149"/>
      <c r="B850" s="140"/>
      <c r="C850" s="140"/>
      <c r="D850" s="140"/>
      <c r="E850" s="140"/>
      <c r="F850" s="140"/>
      <c r="G850" s="140"/>
      <c r="H850" s="140"/>
      <c r="I850" s="140"/>
      <c r="J850" s="140"/>
      <c r="K850" s="140"/>
      <c r="L850" s="140"/>
      <c r="M850" s="140"/>
      <c r="N850" s="140"/>
      <c r="O850" s="140"/>
      <c r="P850" s="140"/>
      <c r="Q850" s="140"/>
      <c r="R850" s="140"/>
      <c r="S850" s="150"/>
      <c r="T850" s="150"/>
      <c r="U850" s="140"/>
      <c r="V850" s="140"/>
      <c r="W850" s="140"/>
      <c r="X850" s="140"/>
      <c r="Y850" s="140"/>
      <c r="Z850" s="140"/>
      <c r="AA850" s="140"/>
      <c r="AB850" s="140"/>
      <c r="AC850" s="140"/>
      <c r="AD850" s="140"/>
      <c r="AE850" s="140"/>
      <c r="AF850" s="140"/>
      <c r="AG850" s="140"/>
      <c r="AH850" s="140"/>
      <c r="AI850" s="140"/>
      <c r="AJ850" s="140"/>
      <c r="AK850" s="140"/>
      <c r="AL850" s="140"/>
      <c r="AM850" s="140"/>
      <c r="AN850" s="140"/>
      <c r="AO850" s="140"/>
      <c r="AP850" s="140"/>
      <c r="AQ850" s="140"/>
      <c r="AR850" s="140"/>
      <c r="AS850" s="140"/>
    </row>
    <row r="851">
      <c r="A851" s="149"/>
      <c r="B851" s="140"/>
      <c r="C851" s="140"/>
      <c r="D851" s="140"/>
      <c r="E851" s="140"/>
      <c r="F851" s="140"/>
      <c r="G851" s="140"/>
      <c r="H851" s="140"/>
      <c r="I851" s="140"/>
      <c r="J851" s="140"/>
      <c r="K851" s="140"/>
      <c r="L851" s="140"/>
      <c r="M851" s="140"/>
      <c r="N851" s="140"/>
      <c r="O851" s="140"/>
      <c r="P851" s="140"/>
      <c r="Q851" s="140"/>
      <c r="R851" s="140"/>
      <c r="S851" s="150"/>
      <c r="T851" s="150"/>
      <c r="U851" s="140"/>
      <c r="V851" s="140"/>
      <c r="W851" s="140"/>
      <c r="X851" s="140"/>
      <c r="Y851" s="140"/>
      <c r="Z851" s="140"/>
      <c r="AA851" s="140"/>
      <c r="AB851" s="140"/>
      <c r="AC851" s="140"/>
      <c r="AD851" s="140"/>
      <c r="AE851" s="140"/>
      <c r="AF851" s="140"/>
      <c r="AG851" s="140"/>
      <c r="AH851" s="140"/>
      <c r="AI851" s="140"/>
      <c r="AJ851" s="140"/>
      <c r="AK851" s="140"/>
      <c r="AL851" s="140"/>
      <c r="AM851" s="140"/>
      <c r="AN851" s="140"/>
      <c r="AO851" s="140"/>
      <c r="AP851" s="140"/>
      <c r="AQ851" s="140"/>
      <c r="AR851" s="140"/>
      <c r="AS851" s="140"/>
    </row>
    <row r="852">
      <c r="A852" s="149"/>
      <c r="B852" s="140"/>
      <c r="C852" s="140"/>
      <c r="D852" s="140"/>
      <c r="E852" s="140"/>
      <c r="F852" s="140"/>
      <c r="G852" s="140"/>
      <c r="H852" s="140"/>
      <c r="I852" s="140"/>
      <c r="J852" s="140"/>
      <c r="K852" s="140"/>
      <c r="L852" s="140"/>
      <c r="M852" s="140"/>
      <c r="N852" s="140"/>
      <c r="O852" s="140"/>
      <c r="P852" s="140"/>
      <c r="Q852" s="140"/>
      <c r="R852" s="140"/>
      <c r="S852" s="150"/>
      <c r="T852" s="150"/>
      <c r="U852" s="140"/>
      <c r="V852" s="140"/>
      <c r="W852" s="140"/>
      <c r="X852" s="140"/>
      <c r="Y852" s="140"/>
      <c r="Z852" s="140"/>
      <c r="AA852" s="140"/>
      <c r="AB852" s="140"/>
      <c r="AC852" s="140"/>
      <c r="AD852" s="140"/>
      <c r="AE852" s="140"/>
      <c r="AF852" s="140"/>
      <c r="AG852" s="140"/>
      <c r="AH852" s="140"/>
      <c r="AI852" s="140"/>
      <c r="AJ852" s="140"/>
      <c r="AK852" s="140"/>
      <c r="AL852" s="140"/>
      <c r="AM852" s="140"/>
      <c r="AN852" s="140"/>
      <c r="AO852" s="140"/>
      <c r="AP852" s="140"/>
      <c r="AQ852" s="140"/>
      <c r="AR852" s="140"/>
      <c r="AS852" s="140"/>
    </row>
    <row r="853">
      <c r="A853" s="149"/>
      <c r="B853" s="140"/>
      <c r="C853" s="140"/>
      <c r="D853" s="140"/>
      <c r="E853" s="140"/>
      <c r="F853" s="140"/>
      <c r="G853" s="140"/>
      <c r="H853" s="140"/>
      <c r="I853" s="140"/>
      <c r="J853" s="140"/>
      <c r="K853" s="140"/>
      <c r="L853" s="140"/>
      <c r="M853" s="140"/>
      <c r="N853" s="140"/>
      <c r="O853" s="140"/>
      <c r="P853" s="140"/>
      <c r="Q853" s="140"/>
      <c r="R853" s="140"/>
      <c r="S853" s="150"/>
      <c r="T853" s="150"/>
      <c r="U853" s="140"/>
      <c r="V853" s="140"/>
      <c r="W853" s="140"/>
      <c r="X853" s="140"/>
      <c r="Y853" s="140"/>
      <c r="Z853" s="140"/>
      <c r="AA853" s="140"/>
      <c r="AB853" s="140"/>
      <c r="AC853" s="140"/>
      <c r="AD853" s="140"/>
      <c r="AE853" s="140"/>
      <c r="AF853" s="140"/>
      <c r="AG853" s="140"/>
      <c r="AH853" s="140"/>
      <c r="AI853" s="140"/>
      <c r="AJ853" s="140"/>
      <c r="AK853" s="140"/>
      <c r="AL853" s="140"/>
      <c r="AM853" s="140"/>
      <c r="AN853" s="140"/>
      <c r="AO853" s="140"/>
      <c r="AP853" s="140"/>
      <c r="AQ853" s="140"/>
      <c r="AR853" s="140"/>
      <c r="AS853" s="140"/>
    </row>
    <row r="854">
      <c r="A854" s="149"/>
      <c r="B854" s="140"/>
      <c r="C854" s="140"/>
      <c r="D854" s="140"/>
      <c r="E854" s="140"/>
      <c r="F854" s="140"/>
      <c r="G854" s="140"/>
      <c r="H854" s="140"/>
      <c r="I854" s="140"/>
      <c r="J854" s="140"/>
      <c r="K854" s="140"/>
      <c r="L854" s="140"/>
      <c r="M854" s="140"/>
      <c r="N854" s="140"/>
      <c r="O854" s="140"/>
      <c r="P854" s="140"/>
      <c r="Q854" s="140"/>
      <c r="R854" s="140"/>
      <c r="S854" s="150"/>
      <c r="T854" s="150"/>
      <c r="U854" s="140"/>
      <c r="V854" s="140"/>
      <c r="W854" s="140"/>
      <c r="X854" s="140"/>
      <c r="Y854" s="140"/>
      <c r="Z854" s="140"/>
      <c r="AA854" s="140"/>
      <c r="AB854" s="140"/>
      <c r="AC854" s="140"/>
      <c r="AD854" s="140"/>
      <c r="AE854" s="140"/>
      <c r="AF854" s="140"/>
      <c r="AG854" s="140"/>
      <c r="AH854" s="140"/>
      <c r="AI854" s="140"/>
      <c r="AJ854" s="140"/>
      <c r="AK854" s="140"/>
      <c r="AL854" s="140"/>
      <c r="AM854" s="140"/>
      <c r="AN854" s="140"/>
      <c r="AO854" s="140"/>
      <c r="AP854" s="140"/>
      <c r="AQ854" s="140"/>
      <c r="AR854" s="140"/>
      <c r="AS854" s="140"/>
    </row>
    <row r="855">
      <c r="A855" s="149"/>
      <c r="B855" s="140"/>
      <c r="C855" s="140"/>
      <c r="D855" s="140"/>
      <c r="E855" s="140"/>
      <c r="F855" s="140"/>
      <c r="G855" s="140"/>
      <c r="H855" s="140"/>
      <c r="I855" s="140"/>
      <c r="J855" s="140"/>
      <c r="K855" s="140"/>
      <c r="L855" s="140"/>
      <c r="M855" s="140"/>
      <c r="N855" s="140"/>
      <c r="O855" s="140"/>
      <c r="P855" s="140"/>
      <c r="Q855" s="140"/>
      <c r="R855" s="140"/>
      <c r="S855" s="150"/>
      <c r="T855" s="150"/>
      <c r="U855" s="140"/>
      <c r="V855" s="140"/>
      <c r="W855" s="140"/>
      <c r="X855" s="140"/>
      <c r="Y855" s="140"/>
      <c r="Z855" s="140"/>
      <c r="AA855" s="140"/>
      <c r="AB855" s="140"/>
      <c r="AC855" s="140"/>
      <c r="AD855" s="140"/>
      <c r="AE855" s="140"/>
      <c r="AF855" s="140"/>
      <c r="AG855" s="140"/>
      <c r="AH855" s="140"/>
      <c r="AI855" s="140"/>
      <c r="AJ855" s="140"/>
      <c r="AK855" s="140"/>
      <c r="AL855" s="140"/>
      <c r="AM855" s="140"/>
      <c r="AN855" s="140"/>
      <c r="AO855" s="140"/>
      <c r="AP855" s="140"/>
      <c r="AQ855" s="140"/>
      <c r="AR855" s="140"/>
      <c r="AS855" s="140"/>
    </row>
    <row r="856">
      <c r="A856" s="149"/>
      <c r="B856" s="140"/>
      <c r="C856" s="140"/>
      <c r="D856" s="140"/>
      <c r="E856" s="140"/>
      <c r="F856" s="140"/>
      <c r="G856" s="140"/>
      <c r="H856" s="140"/>
      <c r="I856" s="140"/>
      <c r="J856" s="140"/>
      <c r="K856" s="140"/>
      <c r="L856" s="140"/>
      <c r="M856" s="140"/>
      <c r="N856" s="140"/>
      <c r="O856" s="140"/>
      <c r="P856" s="140"/>
      <c r="Q856" s="140"/>
      <c r="R856" s="140"/>
      <c r="S856" s="150"/>
      <c r="T856" s="150"/>
      <c r="U856" s="140"/>
      <c r="V856" s="140"/>
      <c r="W856" s="140"/>
      <c r="X856" s="140"/>
      <c r="Y856" s="140"/>
      <c r="Z856" s="140"/>
      <c r="AA856" s="140"/>
      <c r="AB856" s="140"/>
      <c r="AC856" s="140"/>
      <c r="AD856" s="140"/>
      <c r="AE856" s="140"/>
      <c r="AF856" s="140"/>
      <c r="AG856" s="140"/>
      <c r="AH856" s="140"/>
      <c r="AI856" s="140"/>
      <c r="AJ856" s="140"/>
      <c r="AK856" s="140"/>
      <c r="AL856" s="140"/>
      <c r="AM856" s="140"/>
      <c r="AN856" s="140"/>
      <c r="AO856" s="140"/>
      <c r="AP856" s="140"/>
      <c r="AQ856" s="140"/>
      <c r="AR856" s="140"/>
      <c r="AS856" s="140"/>
    </row>
    <row r="857">
      <c r="A857" s="149"/>
      <c r="B857" s="140"/>
      <c r="C857" s="140"/>
      <c r="D857" s="140"/>
      <c r="E857" s="140"/>
      <c r="F857" s="140"/>
      <c r="G857" s="140"/>
      <c r="H857" s="140"/>
      <c r="I857" s="140"/>
      <c r="J857" s="140"/>
      <c r="K857" s="140"/>
      <c r="L857" s="140"/>
      <c r="M857" s="140"/>
      <c r="N857" s="140"/>
      <c r="O857" s="140"/>
      <c r="P857" s="140"/>
      <c r="Q857" s="140"/>
      <c r="R857" s="140"/>
      <c r="S857" s="150"/>
      <c r="T857" s="150"/>
      <c r="U857" s="140"/>
      <c r="V857" s="140"/>
      <c r="W857" s="140"/>
      <c r="X857" s="140"/>
      <c r="Y857" s="140"/>
      <c r="Z857" s="140"/>
      <c r="AA857" s="140"/>
      <c r="AB857" s="140"/>
      <c r="AC857" s="140"/>
      <c r="AD857" s="140"/>
      <c r="AE857" s="140"/>
      <c r="AF857" s="140"/>
      <c r="AG857" s="140"/>
      <c r="AH857" s="140"/>
      <c r="AI857" s="140"/>
      <c r="AJ857" s="140"/>
      <c r="AK857" s="140"/>
      <c r="AL857" s="140"/>
      <c r="AM857" s="140"/>
      <c r="AN857" s="140"/>
      <c r="AO857" s="140"/>
      <c r="AP857" s="140"/>
      <c r="AQ857" s="140"/>
      <c r="AR857" s="140"/>
      <c r="AS857" s="140"/>
    </row>
    <row r="858">
      <c r="A858" s="149"/>
      <c r="B858" s="140"/>
      <c r="C858" s="140"/>
      <c r="D858" s="140"/>
      <c r="E858" s="140"/>
      <c r="F858" s="140"/>
      <c r="G858" s="140"/>
      <c r="H858" s="140"/>
      <c r="I858" s="140"/>
      <c r="J858" s="140"/>
      <c r="K858" s="140"/>
      <c r="L858" s="140"/>
      <c r="M858" s="140"/>
      <c r="N858" s="140"/>
      <c r="O858" s="140"/>
      <c r="P858" s="140"/>
      <c r="Q858" s="140"/>
      <c r="R858" s="140"/>
      <c r="S858" s="150"/>
      <c r="T858" s="150"/>
      <c r="U858" s="140"/>
      <c r="V858" s="140"/>
      <c r="W858" s="140"/>
      <c r="X858" s="140"/>
      <c r="Y858" s="140"/>
      <c r="Z858" s="140"/>
      <c r="AA858" s="140"/>
      <c r="AB858" s="140"/>
      <c r="AC858" s="140"/>
      <c r="AD858" s="140"/>
      <c r="AE858" s="140"/>
      <c r="AF858" s="140"/>
      <c r="AG858" s="140"/>
      <c r="AH858" s="140"/>
      <c r="AI858" s="140"/>
      <c r="AJ858" s="140"/>
      <c r="AK858" s="140"/>
      <c r="AL858" s="140"/>
      <c r="AM858" s="140"/>
      <c r="AN858" s="140"/>
      <c r="AO858" s="140"/>
      <c r="AP858" s="140"/>
      <c r="AQ858" s="140"/>
      <c r="AR858" s="140"/>
      <c r="AS858" s="140"/>
    </row>
    <row r="859">
      <c r="A859" s="149"/>
      <c r="B859" s="140"/>
      <c r="C859" s="140"/>
      <c r="D859" s="140"/>
      <c r="E859" s="140"/>
      <c r="F859" s="140"/>
      <c r="G859" s="140"/>
      <c r="H859" s="140"/>
      <c r="I859" s="140"/>
      <c r="J859" s="140"/>
      <c r="K859" s="140"/>
      <c r="L859" s="140"/>
      <c r="M859" s="140"/>
      <c r="N859" s="140"/>
      <c r="O859" s="140"/>
      <c r="P859" s="140"/>
      <c r="Q859" s="140"/>
      <c r="R859" s="140"/>
      <c r="S859" s="150"/>
      <c r="T859" s="150"/>
      <c r="U859" s="140"/>
      <c r="V859" s="140"/>
      <c r="W859" s="140"/>
      <c r="X859" s="140"/>
      <c r="Y859" s="140"/>
      <c r="Z859" s="140"/>
      <c r="AA859" s="140"/>
      <c r="AB859" s="140"/>
      <c r="AC859" s="140"/>
      <c r="AD859" s="140"/>
      <c r="AE859" s="140"/>
      <c r="AF859" s="140"/>
      <c r="AG859" s="140"/>
      <c r="AH859" s="140"/>
      <c r="AI859" s="140"/>
      <c r="AJ859" s="140"/>
      <c r="AK859" s="140"/>
      <c r="AL859" s="140"/>
      <c r="AM859" s="140"/>
      <c r="AN859" s="140"/>
      <c r="AO859" s="140"/>
      <c r="AP859" s="140"/>
      <c r="AQ859" s="140"/>
      <c r="AR859" s="140"/>
      <c r="AS859" s="140"/>
    </row>
    <row r="860">
      <c r="A860" s="149"/>
      <c r="B860" s="140"/>
      <c r="C860" s="140"/>
      <c r="D860" s="140"/>
      <c r="E860" s="140"/>
      <c r="F860" s="140"/>
      <c r="G860" s="140"/>
      <c r="H860" s="140"/>
      <c r="I860" s="140"/>
      <c r="J860" s="140"/>
      <c r="K860" s="140"/>
      <c r="L860" s="140"/>
      <c r="M860" s="140"/>
      <c r="N860" s="140"/>
      <c r="O860" s="140"/>
      <c r="P860" s="140"/>
      <c r="Q860" s="140"/>
      <c r="R860" s="140"/>
      <c r="S860" s="150"/>
      <c r="T860" s="150"/>
      <c r="U860" s="140"/>
      <c r="V860" s="140"/>
      <c r="W860" s="140"/>
      <c r="X860" s="140"/>
      <c r="Y860" s="140"/>
      <c r="Z860" s="140"/>
      <c r="AA860" s="140"/>
      <c r="AB860" s="140"/>
      <c r="AC860" s="140"/>
      <c r="AD860" s="140"/>
      <c r="AE860" s="140"/>
      <c r="AF860" s="140"/>
      <c r="AG860" s="140"/>
      <c r="AH860" s="140"/>
      <c r="AI860" s="140"/>
      <c r="AJ860" s="140"/>
      <c r="AK860" s="140"/>
      <c r="AL860" s="140"/>
      <c r="AM860" s="140"/>
      <c r="AN860" s="140"/>
      <c r="AO860" s="140"/>
      <c r="AP860" s="140"/>
      <c r="AQ860" s="140"/>
      <c r="AR860" s="140"/>
      <c r="AS860" s="140"/>
    </row>
    <row r="861">
      <c r="A861" s="149"/>
      <c r="B861" s="140"/>
      <c r="C861" s="140"/>
      <c r="D861" s="140"/>
      <c r="E861" s="140"/>
      <c r="F861" s="140"/>
      <c r="G861" s="140"/>
      <c r="H861" s="140"/>
      <c r="I861" s="140"/>
      <c r="J861" s="140"/>
      <c r="K861" s="140"/>
      <c r="L861" s="140"/>
      <c r="M861" s="140"/>
      <c r="N861" s="140"/>
      <c r="O861" s="140"/>
      <c r="P861" s="140"/>
      <c r="Q861" s="140"/>
      <c r="R861" s="140"/>
      <c r="S861" s="150"/>
      <c r="T861" s="150"/>
      <c r="U861" s="140"/>
      <c r="V861" s="140"/>
      <c r="W861" s="140"/>
      <c r="X861" s="140"/>
      <c r="Y861" s="140"/>
      <c r="Z861" s="140"/>
      <c r="AA861" s="140"/>
      <c r="AB861" s="140"/>
      <c r="AC861" s="140"/>
      <c r="AD861" s="140"/>
      <c r="AE861" s="140"/>
      <c r="AF861" s="140"/>
      <c r="AG861" s="140"/>
      <c r="AH861" s="140"/>
      <c r="AI861" s="140"/>
      <c r="AJ861" s="140"/>
      <c r="AK861" s="140"/>
      <c r="AL861" s="140"/>
      <c r="AM861" s="140"/>
      <c r="AN861" s="140"/>
      <c r="AO861" s="140"/>
      <c r="AP861" s="140"/>
      <c r="AQ861" s="140"/>
      <c r="AR861" s="140"/>
      <c r="AS861" s="140"/>
    </row>
    <row r="862">
      <c r="A862" s="149"/>
      <c r="B862" s="140"/>
      <c r="C862" s="140"/>
      <c r="D862" s="140"/>
      <c r="E862" s="140"/>
      <c r="F862" s="140"/>
      <c r="G862" s="140"/>
      <c r="H862" s="140"/>
      <c r="I862" s="140"/>
      <c r="J862" s="140"/>
      <c r="K862" s="140"/>
      <c r="L862" s="140"/>
      <c r="M862" s="140"/>
      <c r="N862" s="140"/>
      <c r="O862" s="140"/>
      <c r="P862" s="140"/>
      <c r="Q862" s="140"/>
      <c r="R862" s="140"/>
      <c r="S862" s="150"/>
      <c r="T862" s="150"/>
      <c r="U862" s="140"/>
      <c r="V862" s="140"/>
      <c r="W862" s="140"/>
      <c r="X862" s="140"/>
      <c r="Y862" s="140"/>
      <c r="Z862" s="140"/>
      <c r="AA862" s="140"/>
      <c r="AB862" s="140"/>
      <c r="AC862" s="140"/>
      <c r="AD862" s="140"/>
      <c r="AE862" s="140"/>
      <c r="AF862" s="140"/>
      <c r="AG862" s="140"/>
      <c r="AH862" s="140"/>
      <c r="AI862" s="140"/>
      <c r="AJ862" s="140"/>
      <c r="AK862" s="140"/>
      <c r="AL862" s="140"/>
      <c r="AM862" s="140"/>
      <c r="AN862" s="140"/>
      <c r="AO862" s="140"/>
      <c r="AP862" s="140"/>
      <c r="AQ862" s="140"/>
      <c r="AR862" s="140"/>
      <c r="AS862" s="140"/>
    </row>
    <row r="863">
      <c r="A863" s="149"/>
      <c r="B863" s="140"/>
      <c r="C863" s="140"/>
      <c r="D863" s="140"/>
      <c r="E863" s="140"/>
      <c r="F863" s="140"/>
      <c r="G863" s="140"/>
      <c r="H863" s="140"/>
      <c r="I863" s="140"/>
      <c r="J863" s="140"/>
      <c r="K863" s="140"/>
      <c r="L863" s="140"/>
      <c r="M863" s="140"/>
      <c r="N863" s="140"/>
      <c r="O863" s="140"/>
      <c r="P863" s="140"/>
      <c r="Q863" s="140"/>
      <c r="R863" s="140"/>
      <c r="S863" s="150"/>
      <c r="T863" s="150"/>
      <c r="U863" s="140"/>
      <c r="V863" s="140"/>
      <c r="W863" s="140"/>
      <c r="X863" s="140"/>
      <c r="Y863" s="140"/>
      <c r="Z863" s="140"/>
      <c r="AA863" s="140"/>
      <c r="AB863" s="140"/>
      <c r="AC863" s="140"/>
      <c r="AD863" s="140"/>
      <c r="AE863" s="140"/>
      <c r="AF863" s="140"/>
      <c r="AG863" s="140"/>
      <c r="AH863" s="140"/>
      <c r="AI863" s="140"/>
      <c r="AJ863" s="140"/>
      <c r="AK863" s="140"/>
      <c r="AL863" s="140"/>
      <c r="AM863" s="140"/>
      <c r="AN863" s="140"/>
      <c r="AO863" s="140"/>
      <c r="AP863" s="140"/>
      <c r="AQ863" s="140"/>
      <c r="AR863" s="140"/>
      <c r="AS863" s="140"/>
    </row>
    <row r="864">
      <c r="A864" s="149"/>
      <c r="B864" s="140"/>
      <c r="C864" s="140"/>
      <c r="D864" s="140"/>
      <c r="E864" s="140"/>
      <c r="F864" s="140"/>
      <c r="G864" s="140"/>
      <c r="H864" s="140"/>
      <c r="I864" s="140"/>
      <c r="J864" s="140"/>
      <c r="K864" s="140"/>
      <c r="L864" s="140"/>
      <c r="M864" s="140"/>
      <c r="N864" s="140"/>
      <c r="O864" s="140"/>
      <c r="P864" s="140"/>
      <c r="Q864" s="140"/>
      <c r="R864" s="140"/>
      <c r="S864" s="150"/>
      <c r="T864" s="150"/>
      <c r="U864" s="140"/>
      <c r="V864" s="140"/>
      <c r="W864" s="140"/>
      <c r="X864" s="140"/>
      <c r="Y864" s="140"/>
      <c r="Z864" s="140"/>
      <c r="AA864" s="140"/>
      <c r="AB864" s="140"/>
      <c r="AC864" s="140"/>
      <c r="AD864" s="140"/>
      <c r="AE864" s="140"/>
      <c r="AF864" s="140"/>
      <c r="AG864" s="140"/>
      <c r="AH864" s="140"/>
      <c r="AI864" s="140"/>
      <c r="AJ864" s="140"/>
      <c r="AK864" s="140"/>
      <c r="AL864" s="140"/>
      <c r="AM864" s="140"/>
      <c r="AN864" s="140"/>
      <c r="AO864" s="140"/>
      <c r="AP864" s="140"/>
      <c r="AQ864" s="140"/>
      <c r="AR864" s="140"/>
      <c r="AS864" s="140"/>
    </row>
    <row r="865">
      <c r="A865" s="149"/>
      <c r="B865" s="140"/>
      <c r="C865" s="140"/>
      <c r="D865" s="140"/>
      <c r="E865" s="140"/>
      <c r="F865" s="140"/>
      <c r="G865" s="140"/>
      <c r="H865" s="140"/>
      <c r="I865" s="140"/>
      <c r="J865" s="140"/>
      <c r="K865" s="140"/>
      <c r="L865" s="140"/>
      <c r="M865" s="140"/>
      <c r="N865" s="140"/>
      <c r="O865" s="140"/>
      <c r="P865" s="140"/>
      <c r="Q865" s="140"/>
      <c r="R865" s="140"/>
      <c r="S865" s="150"/>
      <c r="T865" s="150"/>
      <c r="U865" s="140"/>
      <c r="V865" s="140"/>
      <c r="W865" s="140"/>
      <c r="X865" s="140"/>
      <c r="Y865" s="140"/>
      <c r="Z865" s="140"/>
      <c r="AA865" s="140"/>
      <c r="AB865" s="140"/>
      <c r="AC865" s="140"/>
      <c r="AD865" s="140"/>
      <c r="AE865" s="140"/>
      <c r="AF865" s="140"/>
      <c r="AG865" s="140"/>
      <c r="AH865" s="140"/>
      <c r="AI865" s="140"/>
      <c r="AJ865" s="140"/>
      <c r="AK865" s="140"/>
      <c r="AL865" s="140"/>
      <c r="AM865" s="140"/>
      <c r="AN865" s="140"/>
      <c r="AO865" s="140"/>
      <c r="AP865" s="140"/>
      <c r="AQ865" s="140"/>
      <c r="AR865" s="140"/>
      <c r="AS865" s="140"/>
    </row>
    <row r="866">
      <c r="A866" s="149"/>
      <c r="B866" s="140"/>
      <c r="C866" s="140"/>
      <c r="D866" s="140"/>
      <c r="E866" s="140"/>
      <c r="F866" s="140"/>
      <c r="G866" s="140"/>
      <c r="H866" s="140"/>
      <c r="I866" s="140"/>
      <c r="J866" s="140"/>
      <c r="K866" s="140"/>
      <c r="L866" s="140"/>
      <c r="M866" s="140"/>
      <c r="N866" s="140"/>
      <c r="O866" s="140"/>
      <c r="P866" s="140"/>
      <c r="Q866" s="140"/>
      <c r="R866" s="140"/>
      <c r="S866" s="150"/>
      <c r="T866" s="150"/>
      <c r="U866" s="140"/>
      <c r="V866" s="140"/>
      <c r="W866" s="140"/>
      <c r="X866" s="140"/>
      <c r="Y866" s="140"/>
      <c r="Z866" s="140"/>
      <c r="AA866" s="140"/>
      <c r="AB866" s="140"/>
      <c r="AC866" s="140"/>
      <c r="AD866" s="140"/>
      <c r="AE866" s="140"/>
      <c r="AF866" s="140"/>
      <c r="AG866" s="140"/>
      <c r="AH866" s="140"/>
      <c r="AI866" s="140"/>
      <c r="AJ866" s="140"/>
      <c r="AK866" s="140"/>
      <c r="AL866" s="140"/>
      <c r="AM866" s="140"/>
      <c r="AN866" s="140"/>
      <c r="AO866" s="140"/>
      <c r="AP866" s="140"/>
      <c r="AQ866" s="140"/>
      <c r="AR866" s="140"/>
      <c r="AS866" s="140"/>
    </row>
    <row r="867">
      <c r="A867" s="149"/>
      <c r="B867" s="140"/>
      <c r="C867" s="140"/>
      <c r="D867" s="140"/>
      <c r="E867" s="140"/>
      <c r="F867" s="140"/>
      <c r="G867" s="140"/>
      <c r="H867" s="140"/>
      <c r="I867" s="140"/>
      <c r="J867" s="140"/>
      <c r="K867" s="140"/>
      <c r="L867" s="140"/>
      <c r="M867" s="140"/>
      <c r="N867" s="140"/>
      <c r="O867" s="140"/>
      <c r="P867" s="140"/>
      <c r="Q867" s="140"/>
      <c r="R867" s="140"/>
      <c r="S867" s="150"/>
      <c r="T867" s="150"/>
      <c r="U867" s="140"/>
      <c r="V867" s="140"/>
      <c r="W867" s="140"/>
      <c r="X867" s="140"/>
      <c r="Y867" s="140"/>
      <c r="Z867" s="140"/>
      <c r="AA867" s="140"/>
      <c r="AB867" s="140"/>
      <c r="AC867" s="140"/>
      <c r="AD867" s="140"/>
      <c r="AE867" s="140"/>
      <c r="AF867" s="140"/>
      <c r="AG867" s="140"/>
      <c r="AH867" s="140"/>
      <c r="AI867" s="140"/>
      <c r="AJ867" s="140"/>
      <c r="AK867" s="140"/>
      <c r="AL867" s="140"/>
      <c r="AM867" s="140"/>
      <c r="AN867" s="140"/>
      <c r="AO867" s="140"/>
      <c r="AP867" s="140"/>
      <c r="AQ867" s="140"/>
      <c r="AR867" s="140"/>
      <c r="AS867" s="140"/>
    </row>
    <row r="868">
      <c r="A868" s="149"/>
      <c r="B868" s="140"/>
      <c r="C868" s="140"/>
      <c r="D868" s="140"/>
      <c r="E868" s="140"/>
      <c r="F868" s="140"/>
      <c r="G868" s="140"/>
      <c r="H868" s="140"/>
      <c r="I868" s="140"/>
      <c r="J868" s="140"/>
      <c r="K868" s="140"/>
      <c r="L868" s="140"/>
      <c r="M868" s="140"/>
      <c r="N868" s="140"/>
      <c r="O868" s="140"/>
      <c r="P868" s="140"/>
      <c r="Q868" s="140"/>
      <c r="R868" s="140"/>
      <c r="S868" s="150"/>
      <c r="T868" s="150"/>
      <c r="U868" s="140"/>
      <c r="V868" s="140"/>
      <c r="W868" s="140"/>
      <c r="X868" s="140"/>
      <c r="Y868" s="140"/>
      <c r="Z868" s="140"/>
      <c r="AA868" s="140"/>
      <c r="AB868" s="140"/>
      <c r="AC868" s="140"/>
      <c r="AD868" s="140"/>
      <c r="AE868" s="140"/>
      <c r="AF868" s="140"/>
      <c r="AG868" s="140"/>
      <c r="AH868" s="140"/>
      <c r="AI868" s="140"/>
      <c r="AJ868" s="140"/>
      <c r="AK868" s="140"/>
      <c r="AL868" s="140"/>
      <c r="AM868" s="140"/>
      <c r="AN868" s="140"/>
      <c r="AO868" s="140"/>
      <c r="AP868" s="140"/>
      <c r="AQ868" s="140"/>
      <c r="AR868" s="140"/>
      <c r="AS868" s="140"/>
    </row>
    <row r="869">
      <c r="A869" s="149"/>
      <c r="B869" s="140"/>
      <c r="C869" s="140"/>
      <c r="D869" s="140"/>
      <c r="E869" s="140"/>
      <c r="F869" s="140"/>
      <c r="G869" s="140"/>
      <c r="H869" s="140"/>
      <c r="I869" s="140"/>
      <c r="J869" s="140"/>
      <c r="K869" s="140"/>
      <c r="L869" s="140"/>
      <c r="M869" s="140"/>
      <c r="N869" s="140"/>
      <c r="O869" s="140"/>
      <c r="P869" s="140"/>
      <c r="Q869" s="140"/>
      <c r="R869" s="140"/>
      <c r="S869" s="150"/>
      <c r="T869" s="150"/>
      <c r="U869" s="140"/>
      <c r="V869" s="140"/>
      <c r="W869" s="140"/>
      <c r="X869" s="140"/>
      <c r="Y869" s="140"/>
      <c r="Z869" s="140"/>
      <c r="AA869" s="140"/>
      <c r="AB869" s="140"/>
      <c r="AC869" s="140"/>
      <c r="AD869" s="140"/>
      <c r="AE869" s="140"/>
      <c r="AF869" s="140"/>
      <c r="AG869" s="140"/>
      <c r="AH869" s="140"/>
      <c r="AI869" s="140"/>
      <c r="AJ869" s="140"/>
      <c r="AK869" s="140"/>
      <c r="AL869" s="140"/>
      <c r="AM869" s="140"/>
      <c r="AN869" s="140"/>
      <c r="AO869" s="140"/>
      <c r="AP869" s="140"/>
      <c r="AQ869" s="140"/>
      <c r="AR869" s="140"/>
      <c r="AS869" s="140"/>
    </row>
    <row r="870">
      <c r="A870" s="149"/>
      <c r="B870" s="140"/>
      <c r="C870" s="140"/>
      <c r="D870" s="140"/>
      <c r="E870" s="140"/>
      <c r="F870" s="140"/>
      <c r="G870" s="140"/>
      <c r="H870" s="140"/>
      <c r="I870" s="140"/>
      <c r="J870" s="140"/>
      <c r="K870" s="140"/>
      <c r="L870" s="140"/>
      <c r="M870" s="140"/>
      <c r="N870" s="140"/>
      <c r="O870" s="140"/>
      <c r="P870" s="140"/>
      <c r="Q870" s="140"/>
      <c r="R870" s="140"/>
      <c r="S870" s="150"/>
      <c r="T870" s="150"/>
      <c r="U870" s="140"/>
      <c r="V870" s="140"/>
      <c r="W870" s="140"/>
      <c r="X870" s="140"/>
      <c r="Y870" s="140"/>
      <c r="Z870" s="140"/>
      <c r="AA870" s="140"/>
      <c r="AB870" s="140"/>
      <c r="AC870" s="140"/>
      <c r="AD870" s="140"/>
      <c r="AE870" s="140"/>
      <c r="AF870" s="140"/>
      <c r="AG870" s="140"/>
      <c r="AH870" s="140"/>
      <c r="AI870" s="140"/>
      <c r="AJ870" s="140"/>
      <c r="AK870" s="140"/>
      <c r="AL870" s="140"/>
      <c r="AM870" s="140"/>
      <c r="AN870" s="140"/>
      <c r="AO870" s="140"/>
      <c r="AP870" s="140"/>
      <c r="AQ870" s="140"/>
      <c r="AR870" s="140"/>
      <c r="AS870" s="140"/>
    </row>
    <row r="871">
      <c r="A871" s="149"/>
      <c r="B871" s="140"/>
      <c r="C871" s="140"/>
      <c r="D871" s="140"/>
      <c r="E871" s="140"/>
      <c r="F871" s="140"/>
      <c r="G871" s="140"/>
      <c r="H871" s="140"/>
      <c r="I871" s="140"/>
      <c r="J871" s="140"/>
      <c r="K871" s="140"/>
      <c r="L871" s="140"/>
      <c r="M871" s="140"/>
      <c r="N871" s="140"/>
      <c r="O871" s="140"/>
      <c r="P871" s="140"/>
      <c r="Q871" s="140"/>
      <c r="R871" s="140"/>
      <c r="S871" s="150"/>
      <c r="T871" s="150"/>
      <c r="U871" s="140"/>
      <c r="V871" s="140"/>
      <c r="W871" s="140"/>
      <c r="X871" s="140"/>
      <c r="Y871" s="140"/>
      <c r="Z871" s="140"/>
      <c r="AA871" s="140"/>
      <c r="AB871" s="140"/>
      <c r="AC871" s="140"/>
      <c r="AD871" s="140"/>
      <c r="AE871" s="140"/>
      <c r="AF871" s="140"/>
      <c r="AG871" s="140"/>
      <c r="AH871" s="140"/>
      <c r="AI871" s="140"/>
      <c r="AJ871" s="140"/>
      <c r="AK871" s="140"/>
      <c r="AL871" s="140"/>
      <c r="AM871" s="140"/>
      <c r="AN871" s="140"/>
      <c r="AO871" s="140"/>
      <c r="AP871" s="140"/>
      <c r="AQ871" s="140"/>
      <c r="AR871" s="140"/>
      <c r="AS871" s="140"/>
    </row>
    <row r="872">
      <c r="A872" s="149"/>
      <c r="B872" s="140"/>
      <c r="C872" s="140"/>
      <c r="D872" s="140"/>
      <c r="E872" s="140"/>
      <c r="F872" s="140"/>
      <c r="G872" s="140"/>
      <c r="H872" s="140"/>
      <c r="I872" s="140"/>
      <c r="J872" s="140"/>
      <c r="K872" s="140"/>
      <c r="L872" s="140"/>
      <c r="M872" s="140"/>
      <c r="N872" s="140"/>
      <c r="O872" s="140"/>
      <c r="P872" s="140"/>
      <c r="Q872" s="140"/>
      <c r="R872" s="140"/>
      <c r="S872" s="150"/>
      <c r="T872" s="150"/>
      <c r="U872" s="140"/>
      <c r="V872" s="140"/>
      <c r="W872" s="140"/>
      <c r="X872" s="140"/>
      <c r="Y872" s="140"/>
      <c r="Z872" s="140"/>
      <c r="AA872" s="140"/>
      <c r="AB872" s="140"/>
      <c r="AC872" s="140"/>
      <c r="AD872" s="140"/>
      <c r="AE872" s="140"/>
      <c r="AF872" s="140"/>
      <c r="AG872" s="140"/>
      <c r="AH872" s="140"/>
      <c r="AI872" s="140"/>
      <c r="AJ872" s="140"/>
      <c r="AK872" s="140"/>
      <c r="AL872" s="140"/>
      <c r="AM872" s="140"/>
      <c r="AN872" s="140"/>
      <c r="AO872" s="140"/>
      <c r="AP872" s="140"/>
      <c r="AQ872" s="140"/>
      <c r="AR872" s="140"/>
      <c r="AS872" s="140"/>
    </row>
    <row r="873">
      <c r="A873" s="149"/>
      <c r="B873" s="140"/>
      <c r="C873" s="140"/>
      <c r="D873" s="140"/>
      <c r="E873" s="140"/>
      <c r="F873" s="140"/>
      <c r="G873" s="140"/>
      <c r="H873" s="140"/>
      <c r="I873" s="140"/>
      <c r="J873" s="140"/>
      <c r="K873" s="140"/>
      <c r="L873" s="140"/>
      <c r="M873" s="140"/>
      <c r="N873" s="140"/>
      <c r="O873" s="140"/>
      <c r="P873" s="140"/>
      <c r="Q873" s="140"/>
      <c r="R873" s="140"/>
      <c r="S873" s="150"/>
      <c r="T873" s="150"/>
      <c r="U873" s="140"/>
      <c r="V873" s="140"/>
      <c r="W873" s="140"/>
      <c r="X873" s="140"/>
      <c r="Y873" s="140"/>
      <c r="Z873" s="140"/>
      <c r="AA873" s="140"/>
      <c r="AB873" s="140"/>
      <c r="AC873" s="140"/>
      <c r="AD873" s="140"/>
      <c r="AE873" s="140"/>
      <c r="AF873" s="140"/>
      <c r="AG873" s="140"/>
      <c r="AH873" s="140"/>
      <c r="AI873" s="140"/>
      <c r="AJ873" s="140"/>
      <c r="AK873" s="140"/>
      <c r="AL873" s="140"/>
      <c r="AM873" s="140"/>
      <c r="AN873" s="140"/>
      <c r="AO873" s="140"/>
      <c r="AP873" s="140"/>
      <c r="AQ873" s="140"/>
      <c r="AR873" s="140"/>
      <c r="AS873" s="140"/>
    </row>
    <row r="874">
      <c r="A874" s="149"/>
      <c r="B874" s="140"/>
      <c r="C874" s="140"/>
      <c r="D874" s="140"/>
      <c r="E874" s="140"/>
      <c r="F874" s="140"/>
      <c r="G874" s="140"/>
      <c r="H874" s="140"/>
      <c r="I874" s="140"/>
      <c r="J874" s="140"/>
      <c r="K874" s="140"/>
      <c r="L874" s="140"/>
      <c r="M874" s="140"/>
      <c r="N874" s="140"/>
      <c r="O874" s="140"/>
      <c r="P874" s="140"/>
      <c r="Q874" s="140"/>
      <c r="R874" s="140"/>
      <c r="S874" s="150"/>
      <c r="T874" s="150"/>
      <c r="U874" s="140"/>
      <c r="V874" s="140"/>
      <c r="W874" s="140"/>
      <c r="X874" s="140"/>
      <c r="Y874" s="140"/>
      <c r="Z874" s="140"/>
      <c r="AA874" s="140"/>
      <c r="AB874" s="140"/>
      <c r="AC874" s="140"/>
      <c r="AD874" s="140"/>
      <c r="AE874" s="140"/>
      <c r="AF874" s="140"/>
      <c r="AG874" s="140"/>
      <c r="AH874" s="140"/>
      <c r="AI874" s="140"/>
      <c r="AJ874" s="140"/>
      <c r="AK874" s="140"/>
      <c r="AL874" s="140"/>
      <c r="AM874" s="140"/>
      <c r="AN874" s="140"/>
      <c r="AO874" s="140"/>
      <c r="AP874" s="140"/>
      <c r="AQ874" s="140"/>
      <c r="AR874" s="140"/>
      <c r="AS874" s="140"/>
    </row>
    <row r="875">
      <c r="A875" s="149"/>
      <c r="B875" s="140"/>
      <c r="C875" s="140"/>
      <c r="D875" s="140"/>
      <c r="E875" s="140"/>
      <c r="F875" s="140"/>
      <c r="G875" s="140"/>
      <c r="H875" s="140"/>
      <c r="I875" s="140"/>
      <c r="J875" s="140"/>
      <c r="K875" s="140"/>
      <c r="L875" s="140"/>
      <c r="M875" s="140"/>
      <c r="N875" s="140"/>
      <c r="O875" s="140"/>
      <c r="P875" s="140"/>
      <c r="Q875" s="140"/>
      <c r="R875" s="140"/>
      <c r="S875" s="150"/>
      <c r="T875" s="150"/>
      <c r="U875" s="140"/>
      <c r="V875" s="140"/>
      <c r="W875" s="140"/>
      <c r="X875" s="140"/>
      <c r="Y875" s="140"/>
      <c r="Z875" s="140"/>
      <c r="AA875" s="140"/>
      <c r="AB875" s="140"/>
      <c r="AC875" s="140"/>
      <c r="AD875" s="140"/>
      <c r="AE875" s="140"/>
      <c r="AF875" s="140"/>
      <c r="AG875" s="140"/>
      <c r="AH875" s="140"/>
      <c r="AI875" s="140"/>
      <c r="AJ875" s="140"/>
      <c r="AK875" s="140"/>
      <c r="AL875" s="140"/>
      <c r="AM875" s="140"/>
      <c r="AN875" s="140"/>
      <c r="AO875" s="140"/>
      <c r="AP875" s="140"/>
      <c r="AQ875" s="140"/>
      <c r="AR875" s="140"/>
      <c r="AS875" s="140"/>
    </row>
    <row r="876">
      <c r="A876" s="149"/>
      <c r="B876" s="140"/>
      <c r="C876" s="140"/>
      <c r="D876" s="140"/>
      <c r="E876" s="140"/>
      <c r="F876" s="140"/>
      <c r="G876" s="140"/>
      <c r="H876" s="140"/>
      <c r="I876" s="140"/>
      <c r="J876" s="140"/>
      <c r="K876" s="140"/>
      <c r="L876" s="140"/>
      <c r="M876" s="140"/>
      <c r="N876" s="140"/>
      <c r="O876" s="140"/>
      <c r="P876" s="140"/>
      <c r="Q876" s="140"/>
      <c r="R876" s="140"/>
      <c r="S876" s="150"/>
      <c r="T876" s="150"/>
      <c r="U876" s="140"/>
      <c r="V876" s="140"/>
      <c r="W876" s="140"/>
      <c r="X876" s="140"/>
      <c r="Y876" s="140"/>
      <c r="Z876" s="140"/>
      <c r="AA876" s="140"/>
      <c r="AB876" s="140"/>
      <c r="AC876" s="140"/>
      <c r="AD876" s="140"/>
      <c r="AE876" s="140"/>
      <c r="AF876" s="140"/>
      <c r="AG876" s="140"/>
      <c r="AH876" s="140"/>
      <c r="AI876" s="140"/>
      <c r="AJ876" s="140"/>
      <c r="AK876" s="140"/>
      <c r="AL876" s="140"/>
      <c r="AM876" s="140"/>
      <c r="AN876" s="140"/>
      <c r="AO876" s="140"/>
      <c r="AP876" s="140"/>
      <c r="AQ876" s="140"/>
      <c r="AR876" s="140"/>
      <c r="AS876" s="140"/>
    </row>
    <row r="877">
      <c r="A877" s="149"/>
      <c r="B877" s="140"/>
      <c r="C877" s="140"/>
      <c r="D877" s="140"/>
      <c r="E877" s="140"/>
      <c r="F877" s="140"/>
      <c r="G877" s="140"/>
      <c r="H877" s="140"/>
      <c r="I877" s="140"/>
      <c r="J877" s="140"/>
      <c r="K877" s="140"/>
      <c r="L877" s="140"/>
      <c r="M877" s="140"/>
      <c r="N877" s="140"/>
      <c r="O877" s="140"/>
      <c r="P877" s="140"/>
      <c r="Q877" s="140"/>
      <c r="R877" s="140"/>
      <c r="S877" s="150"/>
      <c r="T877" s="150"/>
      <c r="U877" s="140"/>
      <c r="V877" s="140"/>
      <c r="W877" s="140"/>
      <c r="X877" s="140"/>
      <c r="Y877" s="140"/>
      <c r="Z877" s="140"/>
      <c r="AA877" s="140"/>
      <c r="AB877" s="140"/>
      <c r="AC877" s="140"/>
      <c r="AD877" s="140"/>
      <c r="AE877" s="140"/>
      <c r="AF877" s="140"/>
      <c r="AG877" s="140"/>
      <c r="AH877" s="140"/>
      <c r="AI877" s="140"/>
      <c r="AJ877" s="140"/>
      <c r="AK877" s="140"/>
      <c r="AL877" s="140"/>
      <c r="AM877" s="140"/>
      <c r="AN877" s="140"/>
      <c r="AO877" s="140"/>
      <c r="AP877" s="140"/>
      <c r="AQ877" s="140"/>
      <c r="AR877" s="140"/>
      <c r="AS877" s="140"/>
    </row>
    <row r="878">
      <c r="A878" s="149"/>
      <c r="B878" s="140"/>
      <c r="C878" s="140"/>
      <c r="D878" s="140"/>
      <c r="E878" s="140"/>
      <c r="F878" s="140"/>
      <c r="G878" s="140"/>
      <c r="H878" s="140"/>
      <c r="I878" s="140"/>
      <c r="J878" s="140"/>
      <c r="K878" s="140"/>
      <c r="L878" s="140"/>
      <c r="M878" s="140"/>
      <c r="N878" s="140"/>
      <c r="O878" s="140"/>
      <c r="P878" s="140"/>
      <c r="Q878" s="140"/>
      <c r="R878" s="140"/>
      <c r="S878" s="150"/>
      <c r="T878" s="150"/>
      <c r="U878" s="140"/>
      <c r="V878" s="140"/>
      <c r="W878" s="140"/>
      <c r="X878" s="140"/>
      <c r="Y878" s="140"/>
      <c r="Z878" s="140"/>
      <c r="AA878" s="140"/>
      <c r="AB878" s="140"/>
      <c r="AC878" s="140"/>
      <c r="AD878" s="140"/>
      <c r="AE878" s="140"/>
      <c r="AF878" s="140"/>
      <c r="AG878" s="140"/>
      <c r="AH878" s="140"/>
      <c r="AI878" s="140"/>
      <c r="AJ878" s="140"/>
      <c r="AK878" s="140"/>
      <c r="AL878" s="140"/>
      <c r="AM878" s="140"/>
      <c r="AN878" s="140"/>
      <c r="AO878" s="140"/>
      <c r="AP878" s="140"/>
      <c r="AQ878" s="140"/>
      <c r="AR878" s="140"/>
      <c r="AS878" s="140"/>
    </row>
    <row r="879">
      <c r="A879" s="149"/>
      <c r="B879" s="140"/>
      <c r="C879" s="140"/>
      <c r="D879" s="140"/>
      <c r="E879" s="140"/>
      <c r="F879" s="140"/>
      <c r="G879" s="140"/>
      <c r="H879" s="140"/>
      <c r="I879" s="140"/>
      <c r="J879" s="140"/>
      <c r="K879" s="140"/>
      <c r="L879" s="140"/>
      <c r="M879" s="140"/>
      <c r="N879" s="140"/>
      <c r="O879" s="140"/>
      <c r="P879" s="140"/>
      <c r="Q879" s="140"/>
      <c r="R879" s="140"/>
      <c r="S879" s="150"/>
      <c r="T879" s="150"/>
      <c r="U879" s="140"/>
      <c r="V879" s="140"/>
      <c r="W879" s="140"/>
      <c r="X879" s="140"/>
      <c r="Y879" s="140"/>
      <c r="Z879" s="140"/>
      <c r="AA879" s="140"/>
      <c r="AB879" s="140"/>
      <c r="AC879" s="140"/>
      <c r="AD879" s="140"/>
      <c r="AE879" s="140"/>
      <c r="AF879" s="140"/>
      <c r="AG879" s="140"/>
      <c r="AH879" s="140"/>
      <c r="AI879" s="140"/>
      <c r="AJ879" s="140"/>
      <c r="AK879" s="140"/>
      <c r="AL879" s="140"/>
      <c r="AM879" s="140"/>
      <c r="AN879" s="140"/>
      <c r="AO879" s="140"/>
      <c r="AP879" s="140"/>
      <c r="AQ879" s="140"/>
      <c r="AR879" s="140"/>
      <c r="AS879" s="140"/>
    </row>
    <row r="880">
      <c r="A880" s="149"/>
      <c r="B880" s="140"/>
      <c r="C880" s="140"/>
      <c r="D880" s="140"/>
      <c r="E880" s="140"/>
      <c r="F880" s="140"/>
      <c r="G880" s="140"/>
      <c r="H880" s="140"/>
      <c r="I880" s="140"/>
      <c r="J880" s="140"/>
      <c r="K880" s="140"/>
      <c r="L880" s="140"/>
      <c r="M880" s="140"/>
      <c r="N880" s="140"/>
      <c r="O880" s="140"/>
      <c r="P880" s="140"/>
      <c r="Q880" s="140"/>
      <c r="R880" s="140"/>
      <c r="S880" s="150"/>
      <c r="T880" s="150"/>
      <c r="U880" s="140"/>
      <c r="V880" s="140"/>
      <c r="W880" s="140"/>
      <c r="X880" s="140"/>
      <c r="Y880" s="140"/>
      <c r="Z880" s="140"/>
      <c r="AA880" s="140"/>
      <c r="AB880" s="140"/>
      <c r="AC880" s="140"/>
      <c r="AD880" s="140"/>
      <c r="AE880" s="140"/>
      <c r="AF880" s="140"/>
      <c r="AG880" s="140"/>
      <c r="AH880" s="140"/>
      <c r="AI880" s="140"/>
      <c r="AJ880" s="140"/>
      <c r="AK880" s="140"/>
      <c r="AL880" s="140"/>
      <c r="AM880" s="140"/>
      <c r="AN880" s="140"/>
      <c r="AO880" s="140"/>
      <c r="AP880" s="140"/>
      <c r="AQ880" s="140"/>
      <c r="AR880" s="140"/>
      <c r="AS880" s="140"/>
    </row>
    <row r="881">
      <c r="A881" s="149"/>
      <c r="B881" s="140"/>
      <c r="C881" s="140"/>
      <c r="D881" s="140"/>
      <c r="E881" s="140"/>
      <c r="F881" s="140"/>
      <c r="G881" s="140"/>
      <c r="H881" s="140"/>
      <c r="I881" s="140"/>
      <c r="J881" s="140"/>
      <c r="K881" s="140"/>
      <c r="L881" s="140"/>
      <c r="M881" s="140"/>
      <c r="N881" s="140"/>
      <c r="O881" s="140"/>
      <c r="P881" s="140"/>
      <c r="Q881" s="140"/>
      <c r="R881" s="140"/>
      <c r="S881" s="150"/>
      <c r="T881" s="150"/>
      <c r="U881" s="140"/>
      <c r="V881" s="140"/>
      <c r="W881" s="140"/>
      <c r="X881" s="140"/>
      <c r="Y881" s="140"/>
      <c r="Z881" s="140"/>
      <c r="AA881" s="140"/>
      <c r="AB881" s="140"/>
      <c r="AC881" s="140"/>
      <c r="AD881" s="140"/>
      <c r="AE881" s="140"/>
      <c r="AF881" s="140"/>
      <c r="AG881" s="140"/>
      <c r="AH881" s="140"/>
      <c r="AI881" s="140"/>
      <c r="AJ881" s="140"/>
      <c r="AK881" s="140"/>
      <c r="AL881" s="140"/>
      <c r="AM881" s="140"/>
      <c r="AN881" s="140"/>
      <c r="AO881" s="140"/>
      <c r="AP881" s="140"/>
      <c r="AQ881" s="140"/>
      <c r="AR881" s="140"/>
      <c r="AS881" s="140"/>
    </row>
    <row r="882">
      <c r="A882" s="149"/>
      <c r="B882" s="140"/>
      <c r="C882" s="140"/>
      <c r="D882" s="140"/>
      <c r="E882" s="140"/>
      <c r="F882" s="140"/>
      <c r="G882" s="140"/>
      <c r="H882" s="140"/>
      <c r="I882" s="140"/>
      <c r="J882" s="140"/>
      <c r="K882" s="140"/>
      <c r="L882" s="140"/>
      <c r="M882" s="140"/>
      <c r="N882" s="140"/>
      <c r="O882" s="140"/>
      <c r="P882" s="140"/>
      <c r="Q882" s="140"/>
      <c r="R882" s="140"/>
      <c r="S882" s="150"/>
      <c r="T882" s="150"/>
      <c r="U882" s="140"/>
      <c r="V882" s="140"/>
      <c r="W882" s="140"/>
      <c r="X882" s="140"/>
      <c r="Y882" s="140"/>
      <c r="Z882" s="140"/>
      <c r="AA882" s="140"/>
      <c r="AB882" s="140"/>
      <c r="AC882" s="140"/>
      <c r="AD882" s="140"/>
      <c r="AE882" s="140"/>
      <c r="AF882" s="140"/>
      <c r="AG882" s="140"/>
      <c r="AH882" s="140"/>
      <c r="AI882" s="140"/>
      <c r="AJ882" s="140"/>
      <c r="AK882" s="140"/>
      <c r="AL882" s="140"/>
      <c r="AM882" s="140"/>
      <c r="AN882" s="140"/>
      <c r="AO882" s="140"/>
      <c r="AP882" s="140"/>
      <c r="AQ882" s="140"/>
      <c r="AR882" s="140"/>
      <c r="AS882" s="140"/>
    </row>
    <row r="883">
      <c r="A883" s="149"/>
      <c r="B883" s="140"/>
      <c r="C883" s="140"/>
      <c r="D883" s="140"/>
      <c r="E883" s="140"/>
      <c r="F883" s="140"/>
      <c r="G883" s="140"/>
      <c r="H883" s="140"/>
      <c r="I883" s="140"/>
      <c r="J883" s="140"/>
      <c r="K883" s="140"/>
      <c r="L883" s="140"/>
      <c r="M883" s="140"/>
      <c r="N883" s="140"/>
      <c r="O883" s="140"/>
      <c r="P883" s="140"/>
      <c r="Q883" s="140"/>
      <c r="R883" s="140"/>
      <c r="S883" s="150"/>
      <c r="T883" s="150"/>
      <c r="U883" s="140"/>
      <c r="V883" s="140"/>
      <c r="W883" s="140"/>
      <c r="X883" s="140"/>
      <c r="Y883" s="140"/>
      <c r="Z883" s="140"/>
      <c r="AA883" s="140"/>
      <c r="AB883" s="140"/>
      <c r="AC883" s="140"/>
      <c r="AD883" s="140"/>
      <c r="AE883" s="140"/>
      <c r="AF883" s="140"/>
      <c r="AG883" s="140"/>
      <c r="AH883" s="140"/>
      <c r="AI883" s="140"/>
      <c r="AJ883" s="140"/>
      <c r="AK883" s="140"/>
      <c r="AL883" s="140"/>
      <c r="AM883" s="140"/>
      <c r="AN883" s="140"/>
      <c r="AO883" s="140"/>
      <c r="AP883" s="140"/>
      <c r="AQ883" s="140"/>
      <c r="AR883" s="140"/>
      <c r="AS883" s="140"/>
    </row>
    <row r="884">
      <c r="A884" s="149"/>
      <c r="B884" s="140"/>
      <c r="C884" s="140"/>
      <c r="D884" s="140"/>
      <c r="E884" s="140"/>
      <c r="F884" s="140"/>
      <c r="G884" s="140"/>
      <c r="H884" s="140"/>
      <c r="I884" s="140"/>
      <c r="J884" s="140"/>
      <c r="K884" s="140"/>
      <c r="L884" s="140"/>
      <c r="M884" s="140"/>
      <c r="N884" s="140"/>
      <c r="O884" s="140"/>
      <c r="P884" s="140"/>
      <c r="Q884" s="140"/>
      <c r="R884" s="140"/>
      <c r="S884" s="150"/>
      <c r="T884" s="150"/>
      <c r="U884" s="140"/>
      <c r="V884" s="140"/>
      <c r="W884" s="140"/>
      <c r="X884" s="140"/>
      <c r="Y884" s="140"/>
      <c r="Z884" s="140"/>
      <c r="AA884" s="140"/>
      <c r="AB884" s="140"/>
      <c r="AC884" s="140"/>
      <c r="AD884" s="140"/>
      <c r="AE884" s="140"/>
      <c r="AF884" s="140"/>
      <c r="AG884" s="140"/>
      <c r="AH884" s="140"/>
      <c r="AI884" s="140"/>
      <c r="AJ884" s="140"/>
      <c r="AK884" s="140"/>
      <c r="AL884" s="140"/>
      <c r="AM884" s="140"/>
      <c r="AN884" s="140"/>
      <c r="AO884" s="140"/>
      <c r="AP884" s="140"/>
      <c r="AQ884" s="140"/>
      <c r="AR884" s="140"/>
      <c r="AS884" s="140"/>
    </row>
    <row r="885">
      <c r="A885" s="149"/>
      <c r="B885" s="140"/>
      <c r="C885" s="140"/>
      <c r="D885" s="140"/>
      <c r="E885" s="140"/>
      <c r="F885" s="140"/>
      <c r="G885" s="140"/>
      <c r="H885" s="140"/>
      <c r="I885" s="140"/>
      <c r="J885" s="140"/>
      <c r="K885" s="140"/>
      <c r="L885" s="140"/>
      <c r="M885" s="140"/>
      <c r="N885" s="140"/>
      <c r="O885" s="140"/>
      <c r="P885" s="140"/>
      <c r="Q885" s="140"/>
      <c r="R885" s="140"/>
      <c r="S885" s="150"/>
      <c r="T885" s="150"/>
      <c r="U885" s="140"/>
      <c r="V885" s="140"/>
      <c r="W885" s="140"/>
      <c r="X885" s="140"/>
      <c r="Y885" s="140"/>
      <c r="Z885" s="140"/>
      <c r="AA885" s="140"/>
      <c r="AB885" s="140"/>
      <c r="AC885" s="140"/>
      <c r="AD885" s="140"/>
      <c r="AE885" s="140"/>
      <c r="AF885" s="140"/>
      <c r="AG885" s="140"/>
      <c r="AH885" s="140"/>
      <c r="AI885" s="140"/>
      <c r="AJ885" s="140"/>
      <c r="AK885" s="140"/>
      <c r="AL885" s="140"/>
      <c r="AM885" s="140"/>
      <c r="AN885" s="140"/>
      <c r="AO885" s="140"/>
      <c r="AP885" s="140"/>
      <c r="AQ885" s="140"/>
      <c r="AR885" s="140"/>
      <c r="AS885" s="140"/>
    </row>
    <row r="886">
      <c r="A886" s="149"/>
      <c r="B886" s="140"/>
      <c r="C886" s="140"/>
      <c r="D886" s="140"/>
      <c r="E886" s="140"/>
      <c r="F886" s="140"/>
      <c r="G886" s="140"/>
      <c r="H886" s="140"/>
      <c r="I886" s="140"/>
      <c r="J886" s="140"/>
      <c r="K886" s="140"/>
      <c r="L886" s="140"/>
      <c r="M886" s="140"/>
      <c r="N886" s="140"/>
      <c r="O886" s="140"/>
      <c r="P886" s="140"/>
      <c r="Q886" s="140"/>
      <c r="R886" s="140"/>
      <c r="S886" s="150"/>
      <c r="T886" s="150"/>
      <c r="U886" s="140"/>
      <c r="V886" s="140"/>
      <c r="W886" s="140"/>
      <c r="X886" s="140"/>
      <c r="Y886" s="140"/>
      <c r="Z886" s="140"/>
      <c r="AA886" s="140"/>
      <c r="AB886" s="140"/>
      <c r="AC886" s="140"/>
      <c r="AD886" s="140"/>
      <c r="AE886" s="140"/>
      <c r="AF886" s="140"/>
      <c r="AG886" s="140"/>
      <c r="AH886" s="140"/>
      <c r="AI886" s="140"/>
      <c r="AJ886" s="140"/>
      <c r="AK886" s="140"/>
      <c r="AL886" s="140"/>
      <c r="AM886" s="140"/>
      <c r="AN886" s="140"/>
      <c r="AO886" s="140"/>
      <c r="AP886" s="140"/>
      <c r="AQ886" s="140"/>
      <c r="AR886" s="140"/>
      <c r="AS886" s="140"/>
    </row>
    <row r="887">
      <c r="A887" s="149"/>
      <c r="B887" s="140"/>
      <c r="C887" s="140"/>
      <c r="D887" s="140"/>
      <c r="E887" s="140"/>
      <c r="F887" s="140"/>
      <c r="G887" s="140"/>
      <c r="H887" s="140"/>
      <c r="I887" s="140"/>
      <c r="J887" s="140"/>
      <c r="K887" s="140"/>
      <c r="L887" s="140"/>
      <c r="M887" s="140"/>
      <c r="N887" s="140"/>
      <c r="O887" s="140"/>
      <c r="P887" s="140"/>
      <c r="Q887" s="140"/>
      <c r="R887" s="140"/>
      <c r="S887" s="150"/>
      <c r="T887" s="150"/>
      <c r="U887" s="140"/>
      <c r="V887" s="140"/>
      <c r="W887" s="140"/>
      <c r="X887" s="140"/>
      <c r="Y887" s="140"/>
      <c r="Z887" s="140"/>
      <c r="AA887" s="140"/>
      <c r="AB887" s="140"/>
      <c r="AC887" s="140"/>
      <c r="AD887" s="140"/>
      <c r="AE887" s="140"/>
      <c r="AF887" s="140"/>
      <c r="AG887" s="140"/>
      <c r="AH887" s="140"/>
      <c r="AI887" s="140"/>
      <c r="AJ887" s="140"/>
      <c r="AK887" s="140"/>
      <c r="AL887" s="140"/>
      <c r="AM887" s="140"/>
      <c r="AN887" s="140"/>
      <c r="AO887" s="140"/>
      <c r="AP887" s="140"/>
      <c r="AQ887" s="140"/>
      <c r="AR887" s="140"/>
      <c r="AS887" s="140"/>
    </row>
    <row r="888">
      <c r="A888" s="149"/>
      <c r="B888" s="140"/>
      <c r="C888" s="140"/>
      <c r="D888" s="140"/>
      <c r="E888" s="140"/>
      <c r="F888" s="140"/>
      <c r="G888" s="140"/>
      <c r="H888" s="140"/>
      <c r="I888" s="140"/>
      <c r="J888" s="140"/>
      <c r="K888" s="140"/>
      <c r="L888" s="140"/>
      <c r="M888" s="140"/>
      <c r="N888" s="140"/>
      <c r="O888" s="140"/>
      <c r="P888" s="140"/>
      <c r="Q888" s="140"/>
      <c r="R888" s="140"/>
      <c r="S888" s="150"/>
      <c r="T888" s="150"/>
      <c r="U888" s="140"/>
      <c r="V888" s="140"/>
      <c r="W888" s="140"/>
      <c r="X888" s="140"/>
      <c r="Y888" s="140"/>
      <c r="Z888" s="140"/>
      <c r="AA888" s="140"/>
      <c r="AB888" s="140"/>
      <c r="AC888" s="140"/>
      <c r="AD888" s="140"/>
      <c r="AE888" s="140"/>
      <c r="AF888" s="140"/>
      <c r="AG888" s="140"/>
      <c r="AH888" s="140"/>
      <c r="AI888" s="140"/>
      <c r="AJ888" s="140"/>
      <c r="AK888" s="140"/>
      <c r="AL888" s="140"/>
      <c r="AM888" s="140"/>
      <c r="AN888" s="140"/>
      <c r="AO888" s="140"/>
      <c r="AP888" s="140"/>
      <c r="AQ888" s="140"/>
      <c r="AR888" s="140"/>
      <c r="AS888" s="140"/>
    </row>
    <row r="889">
      <c r="A889" s="149"/>
      <c r="B889" s="140"/>
      <c r="C889" s="140"/>
      <c r="D889" s="140"/>
      <c r="E889" s="140"/>
      <c r="F889" s="140"/>
      <c r="G889" s="140"/>
      <c r="H889" s="140"/>
      <c r="I889" s="140"/>
      <c r="J889" s="140"/>
      <c r="K889" s="140"/>
      <c r="L889" s="140"/>
      <c r="M889" s="140"/>
      <c r="N889" s="140"/>
      <c r="O889" s="140"/>
      <c r="P889" s="140"/>
      <c r="Q889" s="140"/>
      <c r="R889" s="140"/>
      <c r="S889" s="150"/>
      <c r="T889" s="150"/>
      <c r="U889" s="140"/>
      <c r="V889" s="140"/>
      <c r="W889" s="140"/>
      <c r="X889" s="140"/>
      <c r="Y889" s="140"/>
      <c r="Z889" s="140"/>
      <c r="AA889" s="140"/>
      <c r="AB889" s="140"/>
      <c r="AC889" s="140"/>
      <c r="AD889" s="140"/>
      <c r="AE889" s="140"/>
      <c r="AF889" s="140"/>
      <c r="AG889" s="140"/>
      <c r="AH889" s="140"/>
      <c r="AI889" s="140"/>
      <c r="AJ889" s="140"/>
      <c r="AK889" s="140"/>
      <c r="AL889" s="140"/>
      <c r="AM889" s="140"/>
      <c r="AN889" s="140"/>
      <c r="AO889" s="140"/>
      <c r="AP889" s="140"/>
      <c r="AQ889" s="140"/>
      <c r="AR889" s="140"/>
      <c r="AS889" s="140"/>
    </row>
    <row r="890">
      <c r="A890" s="149"/>
      <c r="B890" s="140"/>
      <c r="C890" s="140"/>
      <c r="D890" s="140"/>
      <c r="E890" s="140"/>
      <c r="F890" s="140"/>
      <c r="G890" s="140"/>
      <c r="H890" s="140"/>
      <c r="I890" s="140"/>
      <c r="J890" s="140"/>
      <c r="K890" s="140"/>
      <c r="L890" s="140"/>
      <c r="M890" s="140"/>
      <c r="N890" s="140"/>
      <c r="O890" s="140"/>
      <c r="P890" s="140"/>
      <c r="Q890" s="140"/>
      <c r="R890" s="140"/>
      <c r="S890" s="150"/>
      <c r="T890" s="150"/>
      <c r="U890" s="140"/>
      <c r="V890" s="140"/>
      <c r="W890" s="140"/>
      <c r="X890" s="140"/>
      <c r="Y890" s="140"/>
      <c r="Z890" s="140"/>
      <c r="AA890" s="140"/>
      <c r="AB890" s="140"/>
      <c r="AC890" s="140"/>
      <c r="AD890" s="140"/>
      <c r="AE890" s="140"/>
      <c r="AF890" s="140"/>
      <c r="AG890" s="140"/>
      <c r="AH890" s="140"/>
      <c r="AI890" s="140"/>
      <c r="AJ890" s="140"/>
      <c r="AK890" s="140"/>
      <c r="AL890" s="140"/>
      <c r="AM890" s="140"/>
      <c r="AN890" s="140"/>
      <c r="AO890" s="140"/>
      <c r="AP890" s="140"/>
      <c r="AQ890" s="140"/>
      <c r="AR890" s="140"/>
      <c r="AS890" s="140"/>
    </row>
    <row r="891">
      <c r="A891" s="149"/>
      <c r="B891" s="140"/>
      <c r="C891" s="140"/>
      <c r="D891" s="140"/>
      <c r="E891" s="140"/>
      <c r="F891" s="140"/>
      <c r="G891" s="140"/>
      <c r="H891" s="140"/>
      <c r="I891" s="140"/>
      <c r="J891" s="140"/>
      <c r="K891" s="140"/>
      <c r="L891" s="140"/>
      <c r="M891" s="140"/>
      <c r="N891" s="140"/>
      <c r="O891" s="140"/>
      <c r="P891" s="140"/>
      <c r="Q891" s="140"/>
      <c r="R891" s="140"/>
      <c r="S891" s="150"/>
      <c r="T891" s="150"/>
      <c r="U891" s="140"/>
      <c r="V891" s="140"/>
      <c r="W891" s="140"/>
      <c r="X891" s="140"/>
      <c r="Y891" s="140"/>
      <c r="Z891" s="140"/>
      <c r="AA891" s="140"/>
      <c r="AB891" s="140"/>
      <c r="AC891" s="140"/>
      <c r="AD891" s="140"/>
      <c r="AE891" s="140"/>
      <c r="AF891" s="140"/>
      <c r="AG891" s="140"/>
      <c r="AH891" s="140"/>
      <c r="AI891" s="140"/>
      <c r="AJ891" s="140"/>
      <c r="AK891" s="140"/>
      <c r="AL891" s="140"/>
      <c r="AM891" s="140"/>
      <c r="AN891" s="140"/>
      <c r="AO891" s="140"/>
      <c r="AP891" s="140"/>
      <c r="AQ891" s="140"/>
      <c r="AR891" s="140"/>
      <c r="AS891" s="140"/>
    </row>
    <row r="892">
      <c r="A892" s="149"/>
      <c r="B892" s="140"/>
      <c r="C892" s="140"/>
      <c r="D892" s="140"/>
      <c r="E892" s="140"/>
      <c r="F892" s="140"/>
      <c r="G892" s="140"/>
      <c r="H892" s="140"/>
      <c r="I892" s="140"/>
      <c r="J892" s="140"/>
      <c r="K892" s="140"/>
      <c r="L892" s="140"/>
      <c r="M892" s="140"/>
      <c r="N892" s="140"/>
      <c r="O892" s="140"/>
      <c r="P892" s="140"/>
      <c r="Q892" s="140"/>
      <c r="R892" s="140"/>
      <c r="S892" s="150"/>
      <c r="T892" s="150"/>
      <c r="U892" s="140"/>
      <c r="V892" s="140"/>
      <c r="W892" s="140"/>
      <c r="X892" s="140"/>
      <c r="Y892" s="140"/>
      <c r="Z892" s="140"/>
      <c r="AA892" s="140"/>
      <c r="AB892" s="140"/>
      <c r="AC892" s="140"/>
      <c r="AD892" s="140"/>
      <c r="AE892" s="140"/>
      <c r="AF892" s="140"/>
      <c r="AG892" s="140"/>
      <c r="AH892" s="140"/>
      <c r="AI892" s="140"/>
      <c r="AJ892" s="140"/>
      <c r="AK892" s="140"/>
      <c r="AL892" s="140"/>
      <c r="AM892" s="140"/>
      <c r="AN892" s="140"/>
      <c r="AO892" s="140"/>
      <c r="AP892" s="140"/>
      <c r="AQ892" s="140"/>
      <c r="AR892" s="140"/>
      <c r="AS892" s="140"/>
    </row>
    <row r="893">
      <c r="A893" s="149"/>
      <c r="B893" s="140"/>
      <c r="C893" s="140"/>
      <c r="D893" s="140"/>
      <c r="E893" s="140"/>
      <c r="F893" s="140"/>
      <c r="G893" s="140"/>
      <c r="H893" s="140"/>
      <c r="I893" s="140"/>
      <c r="J893" s="140"/>
      <c r="K893" s="140"/>
      <c r="L893" s="140"/>
      <c r="M893" s="140"/>
      <c r="N893" s="140"/>
      <c r="O893" s="140"/>
      <c r="P893" s="140"/>
      <c r="Q893" s="140"/>
      <c r="R893" s="140"/>
      <c r="S893" s="150"/>
      <c r="T893" s="150"/>
      <c r="U893" s="140"/>
      <c r="V893" s="140"/>
      <c r="W893" s="140"/>
      <c r="X893" s="140"/>
      <c r="Y893" s="140"/>
      <c r="Z893" s="140"/>
      <c r="AA893" s="140"/>
      <c r="AB893" s="140"/>
      <c r="AC893" s="140"/>
      <c r="AD893" s="140"/>
      <c r="AE893" s="140"/>
      <c r="AF893" s="140"/>
      <c r="AG893" s="140"/>
      <c r="AH893" s="140"/>
      <c r="AI893" s="140"/>
      <c r="AJ893" s="140"/>
      <c r="AK893" s="140"/>
      <c r="AL893" s="140"/>
      <c r="AM893" s="140"/>
      <c r="AN893" s="140"/>
      <c r="AO893" s="140"/>
      <c r="AP893" s="140"/>
      <c r="AQ893" s="140"/>
      <c r="AR893" s="140"/>
      <c r="AS893" s="140"/>
    </row>
    <row r="894">
      <c r="A894" s="149"/>
      <c r="B894" s="140"/>
      <c r="C894" s="140"/>
      <c r="D894" s="140"/>
      <c r="E894" s="140"/>
      <c r="F894" s="140"/>
      <c r="G894" s="140"/>
      <c r="H894" s="140"/>
      <c r="I894" s="140"/>
      <c r="J894" s="140"/>
      <c r="K894" s="140"/>
      <c r="L894" s="140"/>
      <c r="M894" s="140"/>
      <c r="N894" s="140"/>
      <c r="O894" s="140"/>
      <c r="P894" s="140"/>
      <c r="Q894" s="140"/>
      <c r="R894" s="140"/>
      <c r="S894" s="150"/>
      <c r="T894" s="150"/>
      <c r="U894" s="140"/>
      <c r="V894" s="140"/>
      <c r="W894" s="140"/>
      <c r="X894" s="140"/>
      <c r="Y894" s="140"/>
      <c r="Z894" s="140"/>
      <c r="AA894" s="140"/>
      <c r="AB894" s="140"/>
      <c r="AC894" s="140"/>
      <c r="AD894" s="140"/>
      <c r="AE894" s="140"/>
      <c r="AF894" s="140"/>
      <c r="AG894" s="140"/>
      <c r="AH894" s="140"/>
      <c r="AI894" s="140"/>
      <c r="AJ894" s="140"/>
      <c r="AK894" s="140"/>
      <c r="AL894" s="140"/>
      <c r="AM894" s="140"/>
      <c r="AN894" s="140"/>
      <c r="AO894" s="140"/>
      <c r="AP894" s="140"/>
      <c r="AQ894" s="140"/>
      <c r="AR894" s="140"/>
      <c r="AS894" s="140"/>
    </row>
    <row r="895">
      <c r="A895" s="149"/>
      <c r="B895" s="140"/>
      <c r="C895" s="140"/>
      <c r="D895" s="140"/>
      <c r="E895" s="140"/>
      <c r="F895" s="140"/>
      <c r="G895" s="140"/>
      <c r="H895" s="140"/>
      <c r="I895" s="140"/>
      <c r="J895" s="140"/>
      <c r="K895" s="140"/>
      <c r="L895" s="140"/>
      <c r="M895" s="140"/>
      <c r="N895" s="140"/>
      <c r="O895" s="140"/>
      <c r="P895" s="140"/>
      <c r="Q895" s="140"/>
      <c r="R895" s="140"/>
      <c r="S895" s="150"/>
      <c r="T895" s="150"/>
      <c r="U895" s="140"/>
      <c r="V895" s="140"/>
      <c r="W895" s="140"/>
      <c r="X895" s="140"/>
      <c r="Y895" s="140"/>
      <c r="Z895" s="140"/>
      <c r="AA895" s="140"/>
      <c r="AB895" s="140"/>
      <c r="AC895" s="140"/>
      <c r="AD895" s="140"/>
      <c r="AE895" s="140"/>
      <c r="AF895" s="140"/>
      <c r="AG895" s="140"/>
      <c r="AH895" s="140"/>
      <c r="AI895" s="140"/>
      <c r="AJ895" s="140"/>
      <c r="AK895" s="140"/>
      <c r="AL895" s="140"/>
      <c r="AM895" s="140"/>
      <c r="AN895" s="140"/>
      <c r="AO895" s="140"/>
      <c r="AP895" s="140"/>
      <c r="AQ895" s="140"/>
      <c r="AR895" s="140"/>
      <c r="AS895" s="140"/>
    </row>
    <row r="896">
      <c r="A896" s="149"/>
      <c r="B896" s="140"/>
      <c r="C896" s="140"/>
      <c r="D896" s="140"/>
      <c r="E896" s="140"/>
      <c r="F896" s="140"/>
      <c r="G896" s="140"/>
      <c r="H896" s="140"/>
      <c r="I896" s="140"/>
      <c r="J896" s="140"/>
      <c r="K896" s="140"/>
      <c r="L896" s="140"/>
      <c r="M896" s="140"/>
      <c r="N896" s="140"/>
      <c r="O896" s="140"/>
      <c r="P896" s="140"/>
      <c r="Q896" s="140"/>
      <c r="R896" s="140"/>
      <c r="S896" s="150"/>
      <c r="T896" s="150"/>
      <c r="U896" s="140"/>
      <c r="V896" s="140"/>
      <c r="W896" s="140"/>
      <c r="X896" s="140"/>
      <c r="Y896" s="140"/>
      <c r="Z896" s="140"/>
      <c r="AA896" s="140"/>
      <c r="AB896" s="140"/>
      <c r="AC896" s="140"/>
      <c r="AD896" s="140"/>
      <c r="AE896" s="140"/>
      <c r="AF896" s="140"/>
      <c r="AG896" s="140"/>
      <c r="AH896" s="140"/>
      <c r="AI896" s="140"/>
      <c r="AJ896" s="140"/>
      <c r="AK896" s="140"/>
      <c r="AL896" s="140"/>
      <c r="AM896" s="140"/>
      <c r="AN896" s="140"/>
      <c r="AO896" s="140"/>
      <c r="AP896" s="140"/>
      <c r="AQ896" s="140"/>
      <c r="AR896" s="140"/>
      <c r="AS896" s="140"/>
    </row>
    <row r="897">
      <c r="A897" s="149"/>
      <c r="B897" s="140"/>
      <c r="C897" s="140"/>
      <c r="D897" s="140"/>
      <c r="E897" s="140"/>
      <c r="F897" s="140"/>
      <c r="G897" s="140"/>
      <c r="H897" s="140"/>
      <c r="I897" s="140"/>
      <c r="J897" s="140"/>
      <c r="K897" s="140"/>
      <c r="L897" s="140"/>
      <c r="M897" s="140"/>
      <c r="N897" s="140"/>
      <c r="O897" s="140"/>
      <c r="P897" s="140"/>
      <c r="Q897" s="140"/>
      <c r="R897" s="140"/>
      <c r="S897" s="150"/>
      <c r="T897" s="150"/>
      <c r="U897" s="140"/>
      <c r="V897" s="140"/>
      <c r="W897" s="140"/>
      <c r="X897" s="140"/>
      <c r="Y897" s="140"/>
      <c r="Z897" s="140"/>
      <c r="AA897" s="140"/>
      <c r="AB897" s="140"/>
      <c r="AC897" s="140"/>
      <c r="AD897" s="140"/>
      <c r="AE897" s="140"/>
      <c r="AF897" s="140"/>
      <c r="AG897" s="140"/>
      <c r="AH897" s="140"/>
      <c r="AI897" s="140"/>
      <c r="AJ897" s="140"/>
      <c r="AK897" s="140"/>
      <c r="AL897" s="140"/>
      <c r="AM897" s="140"/>
      <c r="AN897" s="140"/>
      <c r="AO897" s="140"/>
      <c r="AP897" s="140"/>
      <c r="AQ897" s="140"/>
      <c r="AR897" s="140"/>
      <c r="AS897" s="140"/>
    </row>
    <row r="898">
      <c r="A898" s="149"/>
      <c r="B898" s="140"/>
      <c r="C898" s="140"/>
      <c r="D898" s="140"/>
      <c r="E898" s="140"/>
      <c r="F898" s="140"/>
      <c r="G898" s="140"/>
      <c r="H898" s="140"/>
      <c r="I898" s="140"/>
      <c r="J898" s="140"/>
      <c r="K898" s="140"/>
      <c r="L898" s="140"/>
      <c r="M898" s="140"/>
      <c r="N898" s="140"/>
      <c r="O898" s="140"/>
      <c r="P898" s="140"/>
      <c r="Q898" s="140"/>
      <c r="R898" s="140"/>
      <c r="S898" s="150"/>
      <c r="T898" s="150"/>
      <c r="U898" s="140"/>
      <c r="V898" s="140"/>
      <c r="W898" s="140"/>
      <c r="X898" s="140"/>
      <c r="Y898" s="140"/>
      <c r="Z898" s="140"/>
      <c r="AA898" s="140"/>
      <c r="AB898" s="140"/>
      <c r="AC898" s="140"/>
      <c r="AD898" s="140"/>
      <c r="AE898" s="140"/>
      <c r="AF898" s="140"/>
      <c r="AG898" s="140"/>
      <c r="AH898" s="140"/>
      <c r="AI898" s="140"/>
      <c r="AJ898" s="140"/>
      <c r="AK898" s="140"/>
      <c r="AL898" s="140"/>
      <c r="AM898" s="140"/>
      <c r="AN898" s="140"/>
      <c r="AO898" s="140"/>
      <c r="AP898" s="140"/>
      <c r="AQ898" s="140"/>
      <c r="AR898" s="140"/>
      <c r="AS898" s="140"/>
    </row>
    <row r="899">
      <c r="A899" s="149"/>
      <c r="B899" s="140"/>
      <c r="C899" s="140"/>
      <c r="D899" s="140"/>
      <c r="E899" s="140"/>
      <c r="F899" s="140"/>
      <c r="G899" s="140"/>
      <c r="H899" s="140"/>
      <c r="I899" s="140"/>
      <c r="J899" s="140"/>
      <c r="K899" s="140"/>
      <c r="L899" s="140"/>
      <c r="M899" s="140"/>
      <c r="N899" s="140"/>
      <c r="O899" s="140"/>
      <c r="P899" s="140"/>
      <c r="Q899" s="140"/>
      <c r="R899" s="140"/>
      <c r="S899" s="150"/>
      <c r="T899" s="150"/>
      <c r="U899" s="140"/>
      <c r="V899" s="140"/>
      <c r="W899" s="140"/>
      <c r="X899" s="140"/>
      <c r="Y899" s="140"/>
      <c r="Z899" s="140"/>
      <c r="AA899" s="140"/>
      <c r="AB899" s="140"/>
      <c r="AC899" s="140"/>
      <c r="AD899" s="140"/>
      <c r="AE899" s="140"/>
      <c r="AF899" s="140"/>
      <c r="AG899" s="140"/>
      <c r="AH899" s="140"/>
      <c r="AI899" s="140"/>
      <c r="AJ899" s="140"/>
      <c r="AK899" s="140"/>
      <c r="AL899" s="140"/>
      <c r="AM899" s="140"/>
      <c r="AN899" s="140"/>
      <c r="AO899" s="140"/>
      <c r="AP899" s="140"/>
      <c r="AQ899" s="140"/>
      <c r="AR899" s="140"/>
      <c r="AS899" s="140"/>
    </row>
    <row r="900">
      <c r="A900" s="149"/>
      <c r="B900" s="140"/>
      <c r="C900" s="140"/>
      <c r="D900" s="140"/>
      <c r="E900" s="140"/>
      <c r="F900" s="140"/>
      <c r="G900" s="140"/>
      <c r="H900" s="140"/>
      <c r="I900" s="140"/>
      <c r="J900" s="140"/>
      <c r="K900" s="140"/>
      <c r="L900" s="140"/>
      <c r="M900" s="140"/>
      <c r="N900" s="140"/>
      <c r="O900" s="140"/>
      <c r="P900" s="140"/>
      <c r="Q900" s="140"/>
      <c r="R900" s="140"/>
      <c r="S900" s="150"/>
      <c r="T900" s="150"/>
      <c r="U900" s="140"/>
      <c r="V900" s="140"/>
      <c r="W900" s="140"/>
      <c r="X900" s="140"/>
      <c r="Y900" s="140"/>
      <c r="Z900" s="140"/>
      <c r="AA900" s="140"/>
      <c r="AB900" s="140"/>
      <c r="AC900" s="140"/>
      <c r="AD900" s="140"/>
      <c r="AE900" s="140"/>
      <c r="AF900" s="140"/>
      <c r="AG900" s="140"/>
      <c r="AH900" s="140"/>
      <c r="AI900" s="140"/>
      <c r="AJ900" s="140"/>
      <c r="AK900" s="140"/>
      <c r="AL900" s="140"/>
      <c r="AM900" s="140"/>
      <c r="AN900" s="140"/>
      <c r="AO900" s="140"/>
      <c r="AP900" s="140"/>
      <c r="AQ900" s="140"/>
      <c r="AR900" s="140"/>
      <c r="AS900" s="140"/>
    </row>
    <row r="901">
      <c r="A901" s="149"/>
      <c r="B901" s="140"/>
      <c r="C901" s="140"/>
      <c r="D901" s="140"/>
      <c r="E901" s="140"/>
      <c r="F901" s="140"/>
      <c r="G901" s="140"/>
      <c r="H901" s="140"/>
      <c r="I901" s="140"/>
      <c r="J901" s="140"/>
      <c r="K901" s="140"/>
      <c r="L901" s="140"/>
      <c r="M901" s="140"/>
      <c r="N901" s="140"/>
      <c r="O901" s="140"/>
      <c r="P901" s="140"/>
      <c r="Q901" s="140"/>
      <c r="R901" s="140"/>
      <c r="S901" s="150"/>
      <c r="T901" s="150"/>
      <c r="U901" s="140"/>
      <c r="V901" s="140"/>
      <c r="W901" s="140"/>
      <c r="X901" s="140"/>
      <c r="Y901" s="140"/>
      <c r="Z901" s="140"/>
      <c r="AA901" s="140"/>
      <c r="AB901" s="140"/>
      <c r="AC901" s="140"/>
      <c r="AD901" s="140"/>
      <c r="AE901" s="140"/>
      <c r="AF901" s="140"/>
      <c r="AG901" s="140"/>
      <c r="AH901" s="140"/>
      <c r="AI901" s="140"/>
      <c r="AJ901" s="140"/>
      <c r="AK901" s="140"/>
      <c r="AL901" s="140"/>
      <c r="AM901" s="140"/>
      <c r="AN901" s="140"/>
      <c r="AO901" s="140"/>
      <c r="AP901" s="140"/>
      <c r="AQ901" s="140"/>
      <c r="AR901" s="140"/>
      <c r="AS901" s="140"/>
    </row>
    <row r="902">
      <c r="A902" s="149"/>
      <c r="B902" s="140"/>
      <c r="C902" s="140"/>
      <c r="D902" s="140"/>
      <c r="E902" s="140"/>
      <c r="F902" s="140"/>
      <c r="G902" s="140"/>
      <c r="H902" s="140"/>
      <c r="I902" s="140"/>
      <c r="J902" s="140"/>
      <c r="K902" s="140"/>
      <c r="L902" s="140"/>
      <c r="M902" s="140"/>
      <c r="N902" s="140"/>
      <c r="O902" s="140"/>
      <c r="P902" s="140"/>
      <c r="Q902" s="140"/>
      <c r="R902" s="140"/>
      <c r="S902" s="150"/>
      <c r="T902" s="150"/>
      <c r="U902" s="140"/>
      <c r="V902" s="140"/>
      <c r="W902" s="140"/>
      <c r="X902" s="140"/>
      <c r="Y902" s="140"/>
      <c r="Z902" s="140"/>
      <c r="AA902" s="140"/>
      <c r="AB902" s="140"/>
      <c r="AC902" s="140"/>
      <c r="AD902" s="140"/>
      <c r="AE902" s="140"/>
      <c r="AF902" s="140"/>
      <c r="AG902" s="140"/>
      <c r="AH902" s="140"/>
      <c r="AI902" s="140"/>
      <c r="AJ902" s="140"/>
      <c r="AK902" s="140"/>
      <c r="AL902" s="140"/>
      <c r="AM902" s="140"/>
      <c r="AN902" s="140"/>
      <c r="AO902" s="140"/>
      <c r="AP902" s="140"/>
      <c r="AQ902" s="140"/>
      <c r="AR902" s="140"/>
      <c r="AS902" s="140"/>
    </row>
    <row r="903">
      <c r="A903" s="149"/>
      <c r="B903" s="140"/>
      <c r="C903" s="140"/>
      <c r="D903" s="140"/>
      <c r="E903" s="140"/>
      <c r="F903" s="140"/>
      <c r="G903" s="140"/>
      <c r="H903" s="140"/>
      <c r="I903" s="140"/>
      <c r="J903" s="140"/>
      <c r="K903" s="140"/>
      <c r="L903" s="140"/>
      <c r="M903" s="140"/>
      <c r="N903" s="140"/>
      <c r="O903" s="140"/>
      <c r="P903" s="140"/>
      <c r="Q903" s="140"/>
      <c r="R903" s="140"/>
      <c r="S903" s="150"/>
      <c r="T903" s="150"/>
      <c r="U903" s="140"/>
      <c r="V903" s="140"/>
      <c r="W903" s="140"/>
      <c r="X903" s="140"/>
      <c r="Y903" s="140"/>
      <c r="Z903" s="140"/>
      <c r="AA903" s="140"/>
      <c r="AB903" s="140"/>
      <c r="AC903" s="140"/>
      <c r="AD903" s="140"/>
      <c r="AE903" s="140"/>
      <c r="AF903" s="140"/>
      <c r="AG903" s="140"/>
      <c r="AH903" s="140"/>
      <c r="AI903" s="140"/>
      <c r="AJ903" s="140"/>
      <c r="AK903" s="140"/>
      <c r="AL903" s="140"/>
      <c r="AM903" s="140"/>
      <c r="AN903" s="140"/>
      <c r="AO903" s="140"/>
      <c r="AP903" s="140"/>
      <c r="AQ903" s="140"/>
      <c r="AR903" s="140"/>
      <c r="AS903" s="140"/>
    </row>
    <row r="904">
      <c r="A904" s="149"/>
      <c r="B904" s="140"/>
      <c r="C904" s="140"/>
      <c r="D904" s="140"/>
      <c r="E904" s="140"/>
      <c r="F904" s="140"/>
      <c r="G904" s="140"/>
      <c r="H904" s="140"/>
      <c r="I904" s="140"/>
      <c r="J904" s="140"/>
      <c r="K904" s="140"/>
      <c r="L904" s="140"/>
      <c r="M904" s="140"/>
      <c r="N904" s="140"/>
      <c r="O904" s="140"/>
      <c r="P904" s="140"/>
      <c r="Q904" s="140"/>
      <c r="R904" s="140"/>
      <c r="S904" s="150"/>
      <c r="T904" s="150"/>
      <c r="U904" s="140"/>
      <c r="V904" s="140"/>
      <c r="W904" s="140"/>
      <c r="X904" s="140"/>
      <c r="Y904" s="140"/>
      <c r="Z904" s="140"/>
      <c r="AA904" s="140"/>
      <c r="AB904" s="140"/>
      <c r="AC904" s="140"/>
      <c r="AD904" s="140"/>
      <c r="AE904" s="140"/>
      <c r="AF904" s="140"/>
      <c r="AG904" s="140"/>
      <c r="AH904" s="140"/>
      <c r="AI904" s="140"/>
      <c r="AJ904" s="140"/>
      <c r="AK904" s="140"/>
      <c r="AL904" s="140"/>
      <c r="AM904" s="140"/>
      <c r="AN904" s="140"/>
      <c r="AO904" s="140"/>
      <c r="AP904" s="140"/>
      <c r="AQ904" s="140"/>
      <c r="AR904" s="140"/>
      <c r="AS904" s="140"/>
    </row>
    <row r="905">
      <c r="A905" s="149"/>
      <c r="B905" s="140"/>
      <c r="C905" s="140"/>
      <c r="D905" s="140"/>
      <c r="E905" s="140"/>
      <c r="F905" s="140"/>
      <c r="G905" s="140"/>
      <c r="H905" s="140"/>
      <c r="I905" s="140"/>
      <c r="J905" s="140"/>
      <c r="K905" s="140"/>
      <c r="L905" s="140"/>
      <c r="M905" s="140"/>
      <c r="N905" s="140"/>
      <c r="O905" s="140"/>
      <c r="P905" s="140"/>
      <c r="Q905" s="140"/>
      <c r="R905" s="140"/>
      <c r="S905" s="150"/>
      <c r="T905" s="150"/>
      <c r="U905" s="140"/>
      <c r="V905" s="140"/>
      <c r="W905" s="140"/>
      <c r="X905" s="140"/>
      <c r="Y905" s="140"/>
      <c r="Z905" s="140"/>
      <c r="AA905" s="140"/>
      <c r="AB905" s="140"/>
      <c r="AC905" s="140"/>
      <c r="AD905" s="140"/>
      <c r="AE905" s="140"/>
      <c r="AF905" s="140"/>
      <c r="AG905" s="140"/>
      <c r="AH905" s="140"/>
      <c r="AI905" s="140"/>
      <c r="AJ905" s="140"/>
      <c r="AK905" s="140"/>
      <c r="AL905" s="140"/>
      <c r="AM905" s="140"/>
      <c r="AN905" s="140"/>
      <c r="AO905" s="140"/>
      <c r="AP905" s="140"/>
      <c r="AQ905" s="140"/>
      <c r="AR905" s="140"/>
      <c r="AS905" s="140"/>
    </row>
    <row r="906">
      <c r="A906" s="149"/>
      <c r="B906" s="140"/>
      <c r="C906" s="140"/>
      <c r="D906" s="140"/>
      <c r="E906" s="140"/>
      <c r="F906" s="140"/>
      <c r="G906" s="140"/>
      <c r="H906" s="140"/>
      <c r="I906" s="140"/>
      <c r="J906" s="140"/>
      <c r="K906" s="140"/>
      <c r="L906" s="140"/>
      <c r="M906" s="140"/>
      <c r="N906" s="140"/>
      <c r="O906" s="140"/>
      <c r="P906" s="140"/>
      <c r="Q906" s="140"/>
      <c r="R906" s="140"/>
      <c r="S906" s="150"/>
      <c r="T906" s="150"/>
      <c r="U906" s="140"/>
      <c r="V906" s="140"/>
      <c r="W906" s="140"/>
      <c r="X906" s="140"/>
      <c r="Y906" s="140"/>
      <c r="Z906" s="140"/>
      <c r="AA906" s="140"/>
      <c r="AB906" s="140"/>
      <c r="AC906" s="140"/>
      <c r="AD906" s="140"/>
      <c r="AE906" s="140"/>
      <c r="AF906" s="140"/>
      <c r="AG906" s="140"/>
      <c r="AH906" s="140"/>
      <c r="AI906" s="140"/>
      <c r="AJ906" s="140"/>
      <c r="AK906" s="140"/>
      <c r="AL906" s="140"/>
      <c r="AM906" s="140"/>
      <c r="AN906" s="140"/>
      <c r="AO906" s="140"/>
      <c r="AP906" s="140"/>
      <c r="AQ906" s="140"/>
      <c r="AR906" s="140"/>
      <c r="AS906" s="140"/>
    </row>
    <row r="907">
      <c r="A907" s="149"/>
      <c r="B907" s="140"/>
      <c r="C907" s="140"/>
      <c r="D907" s="140"/>
      <c r="E907" s="140"/>
      <c r="F907" s="140"/>
      <c r="G907" s="140"/>
      <c r="H907" s="140"/>
      <c r="I907" s="140"/>
      <c r="J907" s="140"/>
      <c r="K907" s="140"/>
      <c r="L907" s="140"/>
      <c r="M907" s="140"/>
      <c r="N907" s="140"/>
      <c r="O907" s="140"/>
      <c r="P907" s="140"/>
      <c r="Q907" s="140"/>
      <c r="R907" s="140"/>
      <c r="S907" s="150"/>
      <c r="T907" s="150"/>
      <c r="U907" s="140"/>
      <c r="V907" s="140"/>
      <c r="W907" s="140"/>
      <c r="X907" s="140"/>
      <c r="Y907" s="140"/>
      <c r="Z907" s="140"/>
      <c r="AA907" s="140"/>
      <c r="AB907" s="140"/>
      <c r="AC907" s="140"/>
      <c r="AD907" s="140"/>
      <c r="AE907" s="140"/>
      <c r="AF907" s="140"/>
      <c r="AG907" s="140"/>
      <c r="AH907" s="140"/>
      <c r="AI907" s="140"/>
      <c r="AJ907" s="140"/>
      <c r="AK907" s="140"/>
      <c r="AL907" s="140"/>
      <c r="AM907" s="140"/>
      <c r="AN907" s="140"/>
      <c r="AO907" s="140"/>
      <c r="AP907" s="140"/>
      <c r="AQ907" s="140"/>
      <c r="AR907" s="140"/>
      <c r="AS907" s="140"/>
    </row>
    <row r="908">
      <c r="A908" s="149"/>
      <c r="B908" s="140"/>
      <c r="C908" s="140"/>
      <c r="D908" s="140"/>
      <c r="E908" s="140"/>
      <c r="F908" s="140"/>
      <c r="G908" s="140"/>
      <c r="H908" s="140"/>
      <c r="I908" s="140"/>
      <c r="J908" s="140"/>
      <c r="K908" s="140"/>
      <c r="L908" s="140"/>
      <c r="M908" s="140"/>
      <c r="N908" s="140"/>
      <c r="O908" s="140"/>
      <c r="P908" s="140"/>
      <c r="Q908" s="140"/>
      <c r="R908" s="140"/>
      <c r="S908" s="150"/>
      <c r="T908" s="150"/>
      <c r="U908" s="140"/>
      <c r="V908" s="140"/>
      <c r="W908" s="140"/>
      <c r="X908" s="140"/>
      <c r="Y908" s="140"/>
      <c r="Z908" s="140"/>
      <c r="AA908" s="140"/>
      <c r="AB908" s="140"/>
      <c r="AC908" s="140"/>
      <c r="AD908" s="140"/>
      <c r="AE908" s="140"/>
      <c r="AF908" s="140"/>
      <c r="AG908" s="140"/>
      <c r="AH908" s="140"/>
      <c r="AI908" s="140"/>
      <c r="AJ908" s="140"/>
      <c r="AK908" s="140"/>
      <c r="AL908" s="140"/>
      <c r="AM908" s="140"/>
      <c r="AN908" s="140"/>
      <c r="AO908" s="140"/>
      <c r="AP908" s="140"/>
      <c r="AQ908" s="140"/>
      <c r="AR908" s="140"/>
      <c r="AS908" s="140"/>
    </row>
    <row r="909">
      <c r="A909" s="149"/>
      <c r="B909" s="140"/>
      <c r="C909" s="140"/>
      <c r="D909" s="140"/>
      <c r="E909" s="140"/>
      <c r="F909" s="140"/>
      <c r="G909" s="140"/>
      <c r="H909" s="140"/>
      <c r="I909" s="140"/>
      <c r="J909" s="140"/>
      <c r="K909" s="140"/>
      <c r="L909" s="140"/>
      <c r="M909" s="140"/>
      <c r="N909" s="140"/>
      <c r="O909" s="140"/>
      <c r="P909" s="140"/>
      <c r="Q909" s="140"/>
      <c r="R909" s="140"/>
      <c r="S909" s="150"/>
      <c r="T909" s="150"/>
      <c r="U909" s="140"/>
      <c r="V909" s="140"/>
      <c r="W909" s="140"/>
      <c r="X909" s="140"/>
      <c r="Y909" s="140"/>
      <c r="Z909" s="140"/>
      <c r="AA909" s="140"/>
      <c r="AB909" s="140"/>
      <c r="AC909" s="140"/>
      <c r="AD909" s="140"/>
      <c r="AE909" s="140"/>
      <c r="AF909" s="140"/>
      <c r="AG909" s="140"/>
      <c r="AH909" s="140"/>
      <c r="AI909" s="140"/>
      <c r="AJ909" s="140"/>
      <c r="AK909" s="140"/>
      <c r="AL909" s="140"/>
      <c r="AM909" s="140"/>
      <c r="AN909" s="140"/>
      <c r="AO909" s="140"/>
      <c r="AP909" s="140"/>
      <c r="AQ909" s="140"/>
      <c r="AR909" s="140"/>
      <c r="AS909" s="140"/>
    </row>
    <row r="910">
      <c r="A910" s="149"/>
      <c r="B910" s="140"/>
      <c r="C910" s="140"/>
      <c r="D910" s="140"/>
      <c r="E910" s="140"/>
      <c r="F910" s="140"/>
      <c r="G910" s="140"/>
      <c r="H910" s="140"/>
      <c r="I910" s="140"/>
      <c r="J910" s="140"/>
      <c r="K910" s="140"/>
      <c r="L910" s="140"/>
      <c r="M910" s="140"/>
      <c r="N910" s="140"/>
      <c r="O910" s="140"/>
      <c r="P910" s="140"/>
      <c r="Q910" s="140"/>
      <c r="R910" s="140"/>
      <c r="S910" s="150"/>
      <c r="T910" s="150"/>
      <c r="U910" s="140"/>
      <c r="V910" s="140"/>
      <c r="W910" s="140"/>
      <c r="X910" s="140"/>
      <c r="Y910" s="140"/>
      <c r="Z910" s="140"/>
      <c r="AA910" s="140"/>
      <c r="AB910" s="140"/>
      <c r="AC910" s="140"/>
      <c r="AD910" s="140"/>
      <c r="AE910" s="140"/>
      <c r="AF910" s="140"/>
      <c r="AG910" s="140"/>
      <c r="AH910" s="140"/>
      <c r="AI910" s="140"/>
      <c r="AJ910" s="140"/>
      <c r="AK910" s="140"/>
      <c r="AL910" s="140"/>
      <c r="AM910" s="140"/>
      <c r="AN910" s="140"/>
      <c r="AO910" s="140"/>
      <c r="AP910" s="140"/>
      <c r="AQ910" s="140"/>
      <c r="AR910" s="140"/>
      <c r="AS910" s="140"/>
    </row>
    <row r="911">
      <c r="A911" s="149"/>
      <c r="B911" s="140"/>
      <c r="C911" s="140"/>
      <c r="D911" s="140"/>
      <c r="E911" s="140"/>
      <c r="F911" s="140"/>
      <c r="G911" s="140"/>
      <c r="H911" s="140"/>
      <c r="I911" s="140"/>
      <c r="J911" s="140"/>
      <c r="K911" s="140"/>
      <c r="L911" s="140"/>
      <c r="M911" s="140"/>
      <c r="N911" s="140"/>
      <c r="O911" s="140"/>
      <c r="P911" s="140"/>
      <c r="Q911" s="140"/>
      <c r="R911" s="140"/>
      <c r="S911" s="150"/>
      <c r="T911" s="150"/>
      <c r="U911" s="140"/>
      <c r="V911" s="140"/>
      <c r="W911" s="140"/>
      <c r="X911" s="140"/>
      <c r="Y911" s="140"/>
      <c r="Z911" s="140"/>
      <c r="AA911" s="140"/>
      <c r="AB911" s="140"/>
      <c r="AC911" s="140"/>
      <c r="AD911" s="140"/>
      <c r="AE911" s="140"/>
      <c r="AF911" s="140"/>
      <c r="AG911" s="140"/>
      <c r="AH911" s="140"/>
      <c r="AI911" s="140"/>
      <c r="AJ911" s="140"/>
      <c r="AK911" s="140"/>
      <c r="AL911" s="140"/>
      <c r="AM911" s="140"/>
      <c r="AN911" s="140"/>
      <c r="AO911" s="140"/>
      <c r="AP911" s="140"/>
      <c r="AQ911" s="140"/>
      <c r="AR911" s="140"/>
      <c r="AS911" s="140"/>
    </row>
    <row r="912">
      <c r="A912" s="149"/>
      <c r="B912" s="140"/>
      <c r="C912" s="140"/>
      <c r="D912" s="140"/>
      <c r="E912" s="140"/>
      <c r="F912" s="140"/>
      <c r="G912" s="140"/>
      <c r="H912" s="140"/>
      <c r="I912" s="140"/>
      <c r="J912" s="140"/>
      <c r="K912" s="140"/>
      <c r="L912" s="140"/>
      <c r="M912" s="140"/>
      <c r="N912" s="140"/>
      <c r="O912" s="140"/>
      <c r="P912" s="140"/>
      <c r="Q912" s="140"/>
      <c r="R912" s="140"/>
      <c r="S912" s="150"/>
      <c r="T912" s="150"/>
      <c r="U912" s="140"/>
      <c r="V912" s="140"/>
      <c r="W912" s="140"/>
      <c r="X912" s="140"/>
      <c r="Y912" s="140"/>
      <c r="Z912" s="140"/>
      <c r="AA912" s="140"/>
      <c r="AB912" s="140"/>
      <c r="AC912" s="140"/>
      <c r="AD912" s="140"/>
      <c r="AE912" s="140"/>
      <c r="AF912" s="140"/>
      <c r="AG912" s="140"/>
      <c r="AH912" s="140"/>
      <c r="AI912" s="140"/>
      <c r="AJ912" s="140"/>
      <c r="AK912" s="140"/>
      <c r="AL912" s="140"/>
      <c r="AM912" s="140"/>
      <c r="AN912" s="140"/>
      <c r="AO912" s="140"/>
      <c r="AP912" s="140"/>
      <c r="AQ912" s="140"/>
      <c r="AR912" s="140"/>
      <c r="AS912" s="140"/>
    </row>
    <row r="913">
      <c r="A913" s="149"/>
      <c r="B913" s="140"/>
      <c r="C913" s="140"/>
      <c r="D913" s="140"/>
      <c r="E913" s="140"/>
      <c r="F913" s="140"/>
      <c r="G913" s="140"/>
      <c r="H913" s="140"/>
      <c r="I913" s="140"/>
      <c r="J913" s="140"/>
      <c r="K913" s="140"/>
      <c r="L913" s="140"/>
      <c r="M913" s="140"/>
      <c r="N913" s="140"/>
      <c r="O913" s="140"/>
      <c r="P913" s="140"/>
      <c r="Q913" s="140"/>
      <c r="R913" s="140"/>
      <c r="S913" s="150"/>
      <c r="T913" s="150"/>
      <c r="U913" s="140"/>
      <c r="V913" s="140"/>
      <c r="W913" s="140"/>
      <c r="X913" s="140"/>
      <c r="Y913" s="140"/>
      <c r="Z913" s="140"/>
      <c r="AA913" s="140"/>
      <c r="AB913" s="140"/>
      <c r="AC913" s="140"/>
      <c r="AD913" s="140"/>
      <c r="AE913" s="140"/>
      <c r="AF913" s="140"/>
      <c r="AG913" s="140"/>
      <c r="AH913" s="140"/>
      <c r="AI913" s="140"/>
      <c r="AJ913" s="140"/>
      <c r="AK913" s="140"/>
      <c r="AL913" s="140"/>
      <c r="AM913" s="140"/>
      <c r="AN913" s="140"/>
      <c r="AO913" s="140"/>
      <c r="AP913" s="140"/>
      <c r="AQ913" s="140"/>
      <c r="AR913" s="140"/>
      <c r="AS913" s="140"/>
    </row>
    <row r="914">
      <c r="A914" s="149"/>
      <c r="B914" s="140"/>
      <c r="C914" s="140"/>
      <c r="D914" s="140"/>
      <c r="E914" s="140"/>
      <c r="F914" s="140"/>
      <c r="G914" s="140"/>
      <c r="H914" s="140"/>
      <c r="I914" s="140"/>
      <c r="J914" s="140"/>
      <c r="K914" s="140"/>
      <c r="L914" s="140"/>
      <c r="M914" s="140"/>
      <c r="N914" s="140"/>
      <c r="O914" s="140"/>
      <c r="P914" s="140"/>
      <c r="Q914" s="140"/>
      <c r="R914" s="140"/>
      <c r="S914" s="150"/>
      <c r="T914" s="150"/>
      <c r="U914" s="140"/>
      <c r="V914" s="140"/>
      <c r="W914" s="140"/>
      <c r="X914" s="140"/>
      <c r="Y914" s="140"/>
      <c r="Z914" s="140"/>
      <c r="AA914" s="140"/>
      <c r="AB914" s="140"/>
      <c r="AC914" s="140"/>
      <c r="AD914" s="140"/>
      <c r="AE914" s="140"/>
      <c r="AF914" s="140"/>
      <c r="AG914" s="140"/>
      <c r="AH914" s="140"/>
      <c r="AI914" s="140"/>
      <c r="AJ914" s="140"/>
      <c r="AK914" s="140"/>
      <c r="AL914" s="140"/>
      <c r="AM914" s="140"/>
      <c r="AN914" s="140"/>
      <c r="AO914" s="140"/>
      <c r="AP914" s="140"/>
      <c r="AQ914" s="140"/>
      <c r="AR914" s="140"/>
      <c r="AS914" s="140"/>
    </row>
    <row r="915">
      <c r="A915" s="149"/>
      <c r="B915" s="140"/>
      <c r="C915" s="140"/>
      <c r="D915" s="140"/>
      <c r="E915" s="140"/>
      <c r="F915" s="140"/>
      <c r="G915" s="140"/>
      <c r="H915" s="140"/>
      <c r="I915" s="140"/>
      <c r="J915" s="140"/>
      <c r="K915" s="140"/>
      <c r="L915" s="140"/>
      <c r="M915" s="140"/>
      <c r="N915" s="140"/>
      <c r="O915" s="140"/>
      <c r="P915" s="140"/>
      <c r="Q915" s="140"/>
      <c r="R915" s="140"/>
      <c r="S915" s="150"/>
      <c r="T915" s="150"/>
      <c r="U915" s="140"/>
      <c r="V915" s="140"/>
      <c r="W915" s="140"/>
      <c r="X915" s="140"/>
      <c r="Y915" s="140"/>
      <c r="Z915" s="140"/>
      <c r="AA915" s="140"/>
      <c r="AB915" s="140"/>
      <c r="AC915" s="140"/>
      <c r="AD915" s="140"/>
      <c r="AE915" s="140"/>
      <c r="AF915" s="140"/>
      <c r="AG915" s="140"/>
      <c r="AH915" s="140"/>
      <c r="AI915" s="140"/>
      <c r="AJ915" s="140"/>
      <c r="AK915" s="140"/>
      <c r="AL915" s="140"/>
      <c r="AM915" s="140"/>
      <c r="AN915" s="140"/>
      <c r="AO915" s="140"/>
      <c r="AP915" s="140"/>
      <c r="AQ915" s="140"/>
      <c r="AR915" s="140"/>
      <c r="AS915" s="140"/>
    </row>
    <row r="916">
      <c r="A916" s="149"/>
      <c r="B916" s="140"/>
      <c r="C916" s="140"/>
      <c r="D916" s="140"/>
      <c r="E916" s="140"/>
      <c r="F916" s="140"/>
      <c r="G916" s="140"/>
      <c r="H916" s="140"/>
      <c r="I916" s="140"/>
      <c r="J916" s="140"/>
      <c r="K916" s="140"/>
      <c r="L916" s="140"/>
      <c r="M916" s="140"/>
      <c r="N916" s="140"/>
      <c r="O916" s="140"/>
      <c r="P916" s="140"/>
      <c r="Q916" s="140"/>
      <c r="R916" s="140"/>
      <c r="S916" s="150"/>
      <c r="T916" s="150"/>
      <c r="U916" s="140"/>
      <c r="V916" s="140"/>
      <c r="W916" s="140"/>
      <c r="X916" s="140"/>
      <c r="Y916" s="140"/>
      <c r="Z916" s="140"/>
      <c r="AA916" s="140"/>
      <c r="AB916" s="140"/>
      <c r="AC916" s="140"/>
      <c r="AD916" s="140"/>
      <c r="AE916" s="140"/>
      <c r="AF916" s="140"/>
      <c r="AG916" s="140"/>
      <c r="AH916" s="140"/>
      <c r="AI916" s="140"/>
      <c r="AJ916" s="140"/>
      <c r="AK916" s="140"/>
      <c r="AL916" s="140"/>
      <c r="AM916" s="140"/>
      <c r="AN916" s="140"/>
      <c r="AO916" s="140"/>
      <c r="AP916" s="140"/>
      <c r="AQ916" s="140"/>
      <c r="AR916" s="140"/>
      <c r="AS916" s="140"/>
    </row>
    <row r="917">
      <c r="A917" s="149"/>
      <c r="B917" s="140"/>
      <c r="C917" s="140"/>
      <c r="D917" s="140"/>
      <c r="E917" s="140"/>
      <c r="F917" s="140"/>
      <c r="G917" s="140"/>
      <c r="H917" s="140"/>
      <c r="I917" s="140"/>
      <c r="J917" s="140"/>
      <c r="K917" s="140"/>
      <c r="L917" s="140"/>
      <c r="M917" s="140"/>
      <c r="N917" s="140"/>
      <c r="O917" s="140"/>
      <c r="P917" s="140"/>
      <c r="Q917" s="140"/>
      <c r="R917" s="140"/>
      <c r="S917" s="150"/>
      <c r="T917" s="150"/>
      <c r="U917" s="140"/>
      <c r="V917" s="140"/>
      <c r="W917" s="140"/>
      <c r="X917" s="140"/>
      <c r="Y917" s="140"/>
      <c r="Z917" s="140"/>
      <c r="AA917" s="140"/>
      <c r="AB917" s="140"/>
      <c r="AC917" s="140"/>
      <c r="AD917" s="140"/>
      <c r="AE917" s="140"/>
      <c r="AF917" s="140"/>
      <c r="AG917" s="140"/>
      <c r="AH917" s="140"/>
      <c r="AI917" s="140"/>
      <c r="AJ917" s="140"/>
      <c r="AK917" s="140"/>
      <c r="AL917" s="140"/>
      <c r="AM917" s="140"/>
      <c r="AN917" s="140"/>
      <c r="AO917" s="140"/>
      <c r="AP917" s="140"/>
      <c r="AQ917" s="140"/>
      <c r="AR917" s="140"/>
      <c r="AS917" s="140"/>
    </row>
    <row r="918">
      <c r="A918" s="149"/>
      <c r="B918" s="140"/>
      <c r="C918" s="140"/>
      <c r="D918" s="140"/>
      <c r="E918" s="140"/>
      <c r="F918" s="140"/>
      <c r="G918" s="140"/>
      <c r="H918" s="140"/>
      <c r="I918" s="140"/>
      <c r="J918" s="140"/>
      <c r="K918" s="140"/>
      <c r="L918" s="140"/>
      <c r="M918" s="140"/>
      <c r="N918" s="140"/>
      <c r="O918" s="140"/>
      <c r="P918" s="140"/>
      <c r="Q918" s="140"/>
      <c r="R918" s="140"/>
      <c r="S918" s="150"/>
      <c r="T918" s="150"/>
      <c r="U918" s="140"/>
      <c r="V918" s="140"/>
      <c r="W918" s="140"/>
      <c r="X918" s="140"/>
      <c r="Y918" s="140"/>
      <c r="Z918" s="140"/>
      <c r="AA918" s="140"/>
      <c r="AB918" s="140"/>
      <c r="AC918" s="140"/>
      <c r="AD918" s="140"/>
      <c r="AE918" s="140"/>
      <c r="AF918" s="140"/>
      <c r="AG918" s="140"/>
      <c r="AH918" s="140"/>
      <c r="AI918" s="140"/>
      <c r="AJ918" s="140"/>
      <c r="AK918" s="140"/>
      <c r="AL918" s="140"/>
      <c r="AM918" s="140"/>
      <c r="AN918" s="140"/>
      <c r="AO918" s="140"/>
      <c r="AP918" s="140"/>
      <c r="AQ918" s="140"/>
      <c r="AR918" s="140"/>
      <c r="AS918" s="140"/>
    </row>
    <row r="919">
      <c r="A919" s="149"/>
      <c r="B919" s="140"/>
      <c r="C919" s="140"/>
      <c r="D919" s="140"/>
      <c r="E919" s="140"/>
      <c r="F919" s="140"/>
      <c r="G919" s="140"/>
      <c r="H919" s="140"/>
      <c r="I919" s="140"/>
      <c r="J919" s="140"/>
      <c r="K919" s="140"/>
      <c r="L919" s="140"/>
      <c r="M919" s="140"/>
      <c r="N919" s="140"/>
      <c r="O919" s="140"/>
      <c r="P919" s="140"/>
      <c r="Q919" s="140"/>
      <c r="R919" s="140"/>
      <c r="S919" s="150"/>
      <c r="T919" s="150"/>
      <c r="U919" s="140"/>
      <c r="V919" s="140"/>
      <c r="W919" s="140"/>
      <c r="X919" s="140"/>
      <c r="Y919" s="140"/>
      <c r="Z919" s="140"/>
      <c r="AA919" s="140"/>
      <c r="AB919" s="140"/>
      <c r="AC919" s="140"/>
      <c r="AD919" s="140"/>
      <c r="AE919" s="140"/>
      <c r="AF919" s="140"/>
      <c r="AG919" s="140"/>
      <c r="AH919" s="140"/>
      <c r="AI919" s="140"/>
      <c r="AJ919" s="140"/>
      <c r="AK919" s="140"/>
      <c r="AL919" s="140"/>
      <c r="AM919" s="140"/>
      <c r="AN919" s="140"/>
      <c r="AO919" s="140"/>
      <c r="AP919" s="140"/>
      <c r="AQ919" s="140"/>
      <c r="AR919" s="140"/>
      <c r="AS919" s="140"/>
    </row>
    <row r="920">
      <c r="A920" s="149"/>
      <c r="B920" s="140"/>
      <c r="C920" s="140"/>
      <c r="D920" s="140"/>
      <c r="E920" s="140"/>
      <c r="F920" s="140"/>
      <c r="G920" s="140"/>
      <c r="H920" s="140"/>
      <c r="I920" s="140"/>
      <c r="J920" s="140"/>
      <c r="K920" s="140"/>
      <c r="L920" s="140"/>
      <c r="M920" s="140"/>
      <c r="N920" s="140"/>
      <c r="O920" s="140"/>
      <c r="P920" s="140"/>
      <c r="Q920" s="140"/>
      <c r="R920" s="140"/>
      <c r="S920" s="150"/>
      <c r="T920" s="150"/>
      <c r="U920" s="140"/>
      <c r="V920" s="140"/>
      <c r="W920" s="140"/>
      <c r="X920" s="140"/>
      <c r="Y920" s="140"/>
      <c r="Z920" s="140"/>
      <c r="AA920" s="140"/>
      <c r="AB920" s="140"/>
      <c r="AC920" s="140"/>
      <c r="AD920" s="140"/>
      <c r="AE920" s="140"/>
      <c r="AF920" s="140"/>
      <c r="AG920" s="140"/>
      <c r="AH920" s="140"/>
      <c r="AI920" s="140"/>
      <c r="AJ920" s="140"/>
      <c r="AK920" s="140"/>
      <c r="AL920" s="140"/>
      <c r="AM920" s="140"/>
      <c r="AN920" s="140"/>
      <c r="AO920" s="140"/>
      <c r="AP920" s="140"/>
      <c r="AQ920" s="140"/>
      <c r="AR920" s="140"/>
      <c r="AS920" s="140"/>
    </row>
    <row r="921">
      <c r="A921" s="149"/>
      <c r="B921" s="140"/>
      <c r="C921" s="140"/>
      <c r="D921" s="140"/>
      <c r="E921" s="140"/>
      <c r="F921" s="140"/>
      <c r="G921" s="140"/>
      <c r="H921" s="140"/>
      <c r="I921" s="140"/>
      <c r="J921" s="140"/>
      <c r="K921" s="140"/>
      <c r="L921" s="140"/>
      <c r="M921" s="140"/>
      <c r="N921" s="140"/>
      <c r="O921" s="140"/>
      <c r="P921" s="140"/>
      <c r="Q921" s="140"/>
      <c r="R921" s="140"/>
      <c r="S921" s="150"/>
      <c r="T921" s="150"/>
      <c r="U921" s="140"/>
      <c r="V921" s="140"/>
      <c r="W921" s="140"/>
      <c r="X921" s="140"/>
      <c r="Y921" s="140"/>
      <c r="Z921" s="140"/>
      <c r="AA921" s="140"/>
      <c r="AB921" s="140"/>
      <c r="AC921" s="140"/>
      <c r="AD921" s="140"/>
      <c r="AE921" s="140"/>
      <c r="AF921" s="140"/>
      <c r="AG921" s="140"/>
      <c r="AH921" s="140"/>
      <c r="AI921" s="140"/>
      <c r="AJ921" s="140"/>
      <c r="AK921" s="140"/>
      <c r="AL921" s="140"/>
      <c r="AM921" s="140"/>
      <c r="AN921" s="140"/>
      <c r="AO921" s="140"/>
      <c r="AP921" s="140"/>
      <c r="AQ921" s="140"/>
      <c r="AR921" s="140"/>
      <c r="AS921" s="140"/>
    </row>
    <row r="922">
      <c r="A922" s="149"/>
      <c r="B922" s="140"/>
      <c r="C922" s="140"/>
      <c r="D922" s="140"/>
      <c r="E922" s="140"/>
      <c r="F922" s="140"/>
      <c r="G922" s="140"/>
      <c r="H922" s="140"/>
      <c r="I922" s="140"/>
      <c r="J922" s="140"/>
      <c r="K922" s="140"/>
      <c r="L922" s="140"/>
      <c r="M922" s="140"/>
      <c r="N922" s="140"/>
      <c r="O922" s="140"/>
      <c r="P922" s="140"/>
      <c r="Q922" s="140"/>
      <c r="R922" s="140"/>
      <c r="S922" s="150"/>
      <c r="T922" s="150"/>
      <c r="U922" s="140"/>
      <c r="V922" s="140"/>
      <c r="W922" s="140"/>
      <c r="X922" s="140"/>
      <c r="Y922" s="140"/>
      <c r="Z922" s="140"/>
      <c r="AA922" s="140"/>
      <c r="AB922" s="140"/>
      <c r="AC922" s="140"/>
      <c r="AD922" s="140"/>
      <c r="AE922" s="140"/>
      <c r="AF922" s="140"/>
      <c r="AG922" s="140"/>
      <c r="AH922" s="140"/>
      <c r="AI922" s="140"/>
      <c r="AJ922" s="140"/>
      <c r="AK922" s="140"/>
      <c r="AL922" s="140"/>
      <c r="AM922" s="140"/>
      <c r="AN922" s="140"/>
      <c r="AO922" s="140"/>
      <c r="AP922" s="140"/>
      <c r="AQ922" s="140"/>
      <c r="AR922" s="140"/>
      <c r="AS922" s="140"/>
    </row>
    <row r="923">
      <c r="A923" s="149"/>
      <c r="B923" s="140"/>
      <c r="C923" s="140"/>
      <c r="D923" s="140"/>
      <c r="E923" s="140"/>
      <c r="F923" s="140"/>
      <c r="G923" s="140"/>
      <c r="H923" s="140"/>
      <c r="I923" s="140"/>
      <c r="J923" s="140"/>
      <c r="K923" s="140"/>
      <c r="L923" s="140"/>
      <c r="M923" s="140"/>
      <c r="N923" s="140"/>
      <c r="O923" s="140"/>
      <c r="P923" s="140"/>
      <c r="Q923" s="140"/>
      <c r="R923" s="140"/>
      <c r="S923" s="150"/>
      <c r="T923" s="150"/>
      <c r="U923" s="140"/>
      <c r="V923" s="140"/>
      <c r="W923" s="140"/>
      <c r="X923" s="140"/>
      <c r="Y923" s="140"/>
      <c r="Z923" s="140"/>
      <c r="AA923" s="140"/>
      <c r="AB923" s="140"/>
      <c r="AC923" s="140"/>
      <c r="AD923" s="140"/>
      <c r="AE923" s="140"/>
      <c r="AF923" s="140"/>
      <c r="AG923" s="140"/>
      <c r="AH923" s="140"/>
      <c r="AI923" s="140"/>
      <c r="AJ923" s="140"/>
      <c r="AK923" s="140"/>
      <c r="AL923" s="140"/>
      <c r="AM923" s="140"/>
      <c r="AN923" s="140"/>
      <c r="AO923" s="140"/>
      <c r="AP923" s="140"/>
      <c r="AQ923" s="140"/>
      <c r="AR923" s="140"/>
      <c r="AS923" s="140"/>
    </row>
    <row r="924">
      <c r="A924" s="149"/>
      <c r="B924" s="140"/>
      <c r="C924" s="140"/>
      <c r="D924" s="140"/>
      <c r="E924" s="140"/>
      <c r="F924" s="140"/>
      <c r="G924" s="140"/>
      <c r="H924" s="140"/>
      <c r="I924" s="140"/>
      <c r="J924" s="140"/>
      <c r="K924" s="140"/>
      <c r="L924" s="140"/>
      <c r="M924" s="140"/>
      <c r="N924" s="140"/>
      <c r="O924" s="140"/>
      <c r="P924" s="140"/>
      <c r="Q924" s="140"/>
      <c r="R924" s="140"/>
      <c r="S924" s="150"/>
      <c r="T924" s="150"/>
      <c r="U924" s="140"/>
      <c r="V924" s="140"/>
      <c r="W924" s="140"/>
      <c r="X924" s="140"/>
      <c r="Y924" s="140"/>
      <c r="Z924" s="140"/>
      <c r="AA924" s="140"/>
      <c r="AB924" s="140"/>
      <c r="AC924" s="140"/>
      <c r="AD924" s="140"/>
      <c r="AE924" s="140"/>
      <c r="AF924" s="140"/>
      <c r="AG924" s="140"/>
      <c r="AH924" s="140"/>
      <c r="AI924" s="140"/>
      <c r="AJ924" s="140"/>
      <c r="AK924" s="140"/>
      <c r="AL924" s="140"/>
      <c r="AM924" s="140"/>
      <c r="AN924" s="140"/>
      <c r="AO924" s="140"/>
      <c r="AP924" s="140"/>
      <c r="AQ924" s="140"/>
      <c r="AR924" s="140"/>
      <c r="AS924" s="140"/>
    </row>
    <row r="925">
      <c r="A925" s="149"/>
      <c r="B925" s="140"/>
      <c r="C925" s="140"/>
      <c r="D925" s="140"/>
      <c r="E925" s="140"/>
      <c r="F925" s="140"/>
      <c r="G925" s="140"/>
      <c r="H925" s="140"/>
      <c r="I925" s="140"/>
      <c r="J925" s="140"/>
      <c r="K925" s="140"/>
      <c r="L925" s="140"/>
      <c r="M925" s="140"/>
      <c r="N925" s="140"/>
      <c r="O925" s="140"/>
      <c r="P925" s="140"/>
      <c r="Q925" s="140"/>
      <c r="R925" s="140"/>
      <c r="S925" s="150"/>
      <c r="T925" s="150"/>
      <c r="U925" s="140"/>
      <c r="V925" s="140"/>
      <c r="W925" s="140"/>
      <c r="X925" s="140"/>
      <c r="Y925" s="140"/>
      <c r="Z925" s="140"/>
      <c r="AA925" s="140"/>
      <c r="AB925" s="140"/>
      <c r="AC925" s="140"/>
      <c r="AD925" s="140"/>
      <c r="AE925" s="140"/>
      <c r="AF925" s="140"/>
      <c r="AG925" s="140"/>
      <c r="AH925" s="140"/>
      <c r="AI925" s="140"/>
      <c r="AJ925" s="140"/>
      <c r="AK925" s="140"/>
      <c r="AL925" s="140"/>
      <c r="AM925" s="140"/>
      <c r="AN925" s="140"/>
      <c r="AO925" s="140"/>
      <c r="AP925" s="140"/>
      <c r="AQ925" s="140"/>
      <c r="AR925" s="140"/>
      <c r="AS925" s="140"/>
    </row>
    <row r="926">
      <c r="A926" s="149"/>
      <c r="B926" s="140"/>
      <c r="C926" s="140"/>
      <c r="D926" s="140"/>
      <c r="E926" s="140"/>
      <c r="F926" s="140"/>
      <c r="G926" s="140"/>
      <c r="H926" s="140"/>
      <c r="I926" s="140"/>
      <c r="J926" s="140"/>
      <c r="K926" s="140"/>
      <c r="L926" s="140"/>
      <c r="M926" s="140"/>
      <c r="N926" s="140"/>
      <c r="O926" s="140"/>
      <c r="P926" s="140"/>
      <c r="Q926" s="140"/>
      <c r="R926" s="140"/>
      <c r="S926" s="150"/>
      <c r="T926" s="150"/>
      <c r="U926" s="140"/>
      <c r="V926" s="140"/>
      <c r="W926" s="140"/>
      <c r="X926" s="140"/>
      <c r="Y926" s="140"/>
      <c r="Z926" s="140"/>
      <c r="AA926" s="140"/>
      <c r="AB926" s="140"/>
      <c r="AC926" s="140"/>
      <c r="AD926" s="140"/>
      <c r="AE926" s="140"/>
      <c r="AF926" s="140"/>
      <c r="AG926" s="140"/>
      <c r="AH926" s="140"/>
      <c r="AI926" s="140"/>
      <c r="AJ926" s="140"/>
      <c r="AK926" s="140"/>
      <c r="AL926" s="140"/>
      <c r="AM926" s="140"/>
      <c r="AN926" s="140"/>
      <c r="AO926" s="140"/>
      <c r="AP926" s="140"/>
      <c r="AQ926" s="140"/>
      <c r="AR926" s="140"/>
      <c r="AS926" s="140"/>
    </row>
    <row r="927">
      <c r="A927" s="149"/>
      <c r="B927" s="140"/>
      <c r="C927" s="140"/>
      <c r="D927" s="140"/>
      <c r="E927" s="140"/>
      <c r="F927" s="140"/>
      <c r="G927" s="140"/>
      <c r="H927" s="140"/>
      <c r="I927" s="140"/>
      <c r="J927" s="140"/>
      <c r="K927" s="140"/>
      <c r="L927" s="140"/>
      <c r="M927" s="140"/>
      <c r="N927" s="140"/>
      <c r="O927" s="140"/>
      <c r="P927" s="140"/>
      <c r="Q927" s="140"/>
      <c r="R927" s="140"/>
      <c r="S927" s="150"/>
      <c r="T927" s="150"/>
      <c r="U927" s="140"/>
      <c r="V927" s="140"/>
      <c r="W927" s="140"/>
      <c r="X927" s="140"/>
      <c r="Y927" s="140"/>
      <c r="Z927" s="140"/>
      <c r="AA927" s="140"/>
      <c r="AB927" s="140"/>
      <c r="AC927" s="140"/>
      <c r="AD927" s="140"/>
      <c r="AE927" s="140"/>
      <c r="AF927" s="140"/>
      <c r="AG927" s="140"/>
      <c r="AH927" s="140"/>
      <c r="AI927" s="140"/>
      <c r="AJ927" s="140"/>
      <c r="AK927" s="140"/>
      <c r="AL927" s="140"/>
      <c r="AM927" s="140"/>
      <c r="AN927" s="140"/>
      <c r="AO927" s="140"/>
      <c r="AP927" s="140"/>
      <c r="AQ927" s="140"/>
      <c r="AR927" s="140"/>
      <c r="AS927" s="140"/>
    </row>
    <row r="928">
      <c r="A928" s="149"/>
      <c r="B928" s="140"/>
      <c r="C928" s="140"/>
      <c r="D928" s="140"/>
      <c r="E928" s="140"/>
      <c r="F928" s="140"/>
      <c r="G928" s="140"/>
      <c r="H928" s="140"/>
      <c r="I928" s="140"/>
      <c r="J928" s="140"/>
      <c r="K928" s="140"/>
      <c r="L928" s="140"/>
      <c r="M928" s="140"/>
      <c r="N928" s="140"/>
      <c r="O928" s="140"/>
      <c r="P928" s="140"/>
      <c r="Q928" s="140"/>
      <c r="R928" s="140"/>
      <c r="S928" s="150"/>
      <c r="T928" s="150"/>
      <c r="U928" s="140"/>
      <c r="V928" s="140"/>
      <c r="W928" s="140"/>
      <c r="X928" s="140"/>
      <c r="Y928" s="140"/>
      <c r="Z928" s="140"/>
      <c r="AA928" s="140"/>
      <c r="AB928" s="140"/>
      <c r="AC928" s="140"/>
      <c r="AD928" s="140"/>
      <c r="AE928" s="140"/>
      <c r="AF928" s="140"/>
      <c r="AG928" s="140"/>
      <c r="AH928" s="140"/>
      <c r="AI928" s="140"/>
      <c r="AJ928" s="140"/>
      <c r="AK928" s="140"/>
      <c r="AL928" s="140"/>
      <c r="AM928" s="140"/>
      <c r="AN928" s="140"/>
      <c r="AO928" s="140"/>
      <c r="AP928" s="140"/>
      <c r="AQ928" s="140"/>
      <c r="AR928" s="140"/>
      <c r="AS928" s="140"/>
    </row>
    <row r="929">
      <c r="A929" s="149"/>
      <c r="B929" s="140"/>
      <c r="C929" s="140"/>
      <c r="D929" s="140"/>
      <c r="E929" s="140"/>
      <c r="F929" s="140"/>
      <c r="G929" s="140"/>
      <c r="H929" s="140"/>
      <c r="I929" s="140"/>
      <c r="J929" s="140"/>
      <c r="K929" s="140"/>
      <c r="L929" s="140"/>
      <c r="M929" s="140"/>
      <c r="N929" s="140"/>
      <c r="O929" s="140"/>
      <c r="P929" s="140"/>
      <c r="Q929" s="140"/>
      <c r="R929" s="140"/>
      <c r="S929" s="150"/>
      <c r="T929" s="150"/>
      <c r="U929" s="140"/>
      <c r="V929" s="140"/>
      <c r="W929" s="140"/>
      <c r="X929" s="140"/>
      <c r="Y929" s="140"/>
      <c r="Z929" s="140"/>
      <c r="AA929" s="140"/>
      <c r="AB929" s="140"/>
      <c r="AC929" s="140"/>
      <c r="AD929" s="140"/>
      <c r="AE929" s="140"/>
      <c r="AF929" s="140"/>
      <c r="AG929" s="140"/>
      <c r="AH929" s="140"/>
      <c r="AI929" s="140"/>
      <c r="AJ929" s="140"/>
      <c r="AK929" s="140"/>
      <c r="AL929" s="140"/>
      <c r="AM929" s="140"/>
      <c r="AN929" s="140"/>
      <c r="AO929" s="140"/>
      <c r="AP929" s="140"/>
      <c r="AQ929" s="140"/>
      <c r="AR929" s="140"/>
      <c r="AS929" s="140"/>
    </row>
    <row r="930">
      <c r="A930" s="149"/>
      <c r="B930" s="140"/>
      <c r="C930" s="140"/>
      <c r="D930" s="140"/>
      <c r="E930" s="140"/>
      <c r="F930" s="140"/>
      <c r="G930" s="140"/>
      <c r="H930" s="140"/>
      <c r="I930" s="140"/>
      <c r="J930" s="140"/>
      <c r="K930" s="140"/>
      <c r="L930" s="140"/>
      <c r="M930" s="140"/>
      <c r="N930" s="140"/>
      <c r="O930" s="140"/>
      <c r="P930" s="140"/>
      <c r="Q930" s="140"/>
      <c r="R930" s="140"/>
      <c r="S930" s="150"/>
      <c r="T930" s="150"/>
      <c r="U930" s="140"/>
      <c r="V930" s="140"/>
      <c r="W930" s="140"/>
      <c r="X930" s="140"/>
      <c r="Y930" s="140"/>
      <c r="Z930" s="140"/>
      <c r="AA930" s="140"/>
      <c r="AB930" s="140"/>
      <c r="AC930" s="140"/>
      <c r="AD930" s="140"/>
      <c r="AE930" s="140"/>
      <c r="AF930" s="140"/>
      <c r="AG930" s="140"/>
      <c r="AH930" s="140"/>
      <c r="AI930" s="140"/>
      <c r="AJ930" s="140"/>
      <c r="AK930" s="140"/>
      <c r="AL930" s="140"/>
      <c r="AM930" s="140"/>
      <c r="AN930" s="140"/>
      <c r="AO930" s="140"/>
      <c r="AP930" s="140"/>
      <c r="AQ930" s="140"/>
      <c r="AR930" s="140"/>
      <c r="AS930" s="140"/>
    </row>
    <row r="931">
      <c r="A931" s="149"/>
      <c r="B931" s="140"/>
      <c r="C931" s="140"/>
      <c r="D931" s="140"/>
      <c r="E931" s="140"/>
      <c r="F931" s="140"/>
      <c r="G931" s="140"/>
      <c r="H931" s="140"/>
      <c r="I931" s="140"/>
      <c r="J931" s="140"/>
      <c r="K931" s="140"/>
      <c r="L931" s="140"/>
      <c r="M931" s="140"/>
      <c r="N931" s="140"/>
      <c r="O931" s="140"/>
      <c r="P931" s="140"/>
      <c r="Q931" s="140"/>
      <c r="R931" s="140"/>
      <c r="S931" s="150"/>
      <c r="T931" s="150"/>
      <c r="U931" s="140"/>
      <c r="V931" s="140"/>
      <c r="W931" s="140"/>
      <c r="X931" s="140"/>
      <c r="Y931" s="140"/>
      <c r="Z931" s="140"/>
      <c r="AA931" s="140"/>
      <c r="AB931" s="140"/>
      <c r="AC931" s="140"/>
      <c r="AD931" s="140"/>
      <c r="AE931" s="140"/>
      <c r="AF931" s="140"/>
      <c r="AG931" s="140"/>
      <c r="AH931" s="140"/>
      <c r="AI931" s="140"/>
      <c r="AJ931" s="140"/>
      <c r="AK931" s="140"/>
      <c r="AL931" s="140"/>
      <c r="AM931" s="140"/>
      <c r="AN931" s="140"/>
      <c r="AO931" s="140"/>
      <c r="AP931" s="140"/>
      <c r="AQ931" s="140"/>
      <c r="AR931" s="140"/>
      <c r="AS931" s="140"/>
    </row>
    <row r="932">
      <c r="A932" s="149"/>
      <c r="B932" s="140"/>
      <c r="C932" s="140"/>
      <c r="D932" s="140"/>
      <c r="E932" s="140"/>
      <c r="F932" s="140"/>
      <c r="G932" s="140"/>
      <c r="H932" s="140"/>
      <c r="I932" s="140"/>
      <c r="J932" s="140"/>
      <c r="K932" s="140"/>
      <c r="L932" s="140"/>
      <c r="M932" s="140"/>
      <c r="N932" s="140"/>
      <c r="O932" s="140"/>
      <c r="P932" s="140"/>
      <c r="Q932" s="140"/>
      <c r="R932" s="140"/>
      <c r="S932" s="150"/>
      <c r="T932" s="150"/>
      <c r="U932" s="140"/>
      <c r="V932" s="140"/>
      <c r="W932" s="140"/>
      <c r="X932" s="140"/>
      <c r="Y932" s="140"/>
      <c r="Z932" s="140"/>
      <c r="AA932" s="140"/>
      <c r="AB932" s="140"/>
      <c r="AC932" s="140"/>
      <c r="AD932" s="140"/>
      <c r="AE932" s="140"/>
      <c r="AF932" s="140"/>
      <c r="AG932" s="140"/>
      <c r="AH932" s="140"/>
      <c r="AI932" s="140"/>
      <c r="AJ932" s="140"/>
      <c r="AK932" s="140"/>
      <c r="AL932" s="140"/>
      <c r="AM932" s="140"/>
      <c r="AN932" s="140"/>
      <c r="AO932" s="140"/>
      <c r="AP932" s="140"/>
      <c r="AQ932" s="140"/>
      <c r="AR932" s="140"/>
      <c r="AS932" s="140"/>
    </row>
    <row r="933">
      <c r="A933" s="149"/>
      <c r="B933" s="140"/>
      <c r="C933" s="140"/>
      <c r="D933" s="140"/>
      <c r="E933" s="140"/>
      <c r="F933" s="140"/>
      <c r="G933" s="140"/>
      <c r="H933" s="140"/>
      <c r="I933" s="140"/>
      <c r="J933" s="140"/>
      <c r="K933" s="140"/>
      <c r="L933" s="140"/>
      <c r="M933" s="140"/>
      <c r="N933" s="140"/>
      <c r="O933" s="140"/>
      <c r="P933" s="140"/>
      <c r="Q933" s="140"/>
      <c r="R933" s="140"/>
      <c r="S933" s="150"/>
      <c r="T933" s="150"/>
      <c r="U933" s="140"/>
      <c r="V933" s="140"/>
      <c r="W933" s="140"/>
      <c r="X933" s="140"/>
      <c r="Y933" s="140"/>
      <c r="Z933" s="140"/>
      <c r="AA933" s="140"/>
      <c r="AB933" s="140"/>
      <c r="AC933" s="140"/>
      <c r="AD933" s="140"/>
      <c r="AE933" s="140"/>
      <c r="AF933" s="140"/>
      <c r="AG933" s="140"/>
      <c r="AH933" s="140"/>
      <c r="AI933" s="140"/>
      <c r="AJ933" s="140"/>
      <c r="AK933" s="140"/>
      <c r="AL933" s="140"/>
      <c r="AM933" s="140"/>
      <c r="AN933" s="140"/>
      <c r="AO933" s="140"/>
      <c r="AP933" s="140"/>
      <c r="AQ933" s="140"/>
      <c r="AR933" s="140"/>
      <c r="AS933" s="140"/>
    </row>
    <row r="934">
      <c r="A934" s="149"/>
      <c r="B934" s="140"/>
      <c r="C934" s="140"/>
      <c r="D934" s="140"/>
      <c r="E934" s="140"/>
      <c r="F934" s="140"/>
      <c r="G934" s="140"/>
      <c r="H934" s="140"/>
      <c r="I934" s="140"/>
      <c r="J934" s="140"/>
      <c r="K934" s="140"/>
      <c r="L934" s="140"/>
      <c r="M934" s="140"/>
      <c r="N934" s="140"/>
      <c r="O934" s="140"/>
      <c r="P934" s="140"/>
      <c r="Q934" s="140"/>
      <c r="R934" s="140"/>
      <c r="S934" s="150"/>
      <c r="T934" s="150"/>
      <c r="U934" s="140"/>
      <c r="V934" s="140"/>
      <c r="W934" s="140"/>
      <c r="X934" s="140"/>
      <c r="Y934" s="140"/>
      <c r="Z934" s="140"/>
      <c r="AA934" s="140"/>
      <c r="AB934" s="140"/>
      <c r="AC934" s="140"/>
      <c r="AD934" s="140"/>
      <c r="AE934" s="140"/>
      <c r="AF934" s="140"/>
      <c r="AG934" s="140"/>
      <c r="AH934" s="140"/>
      <c r="AI934" s="140"/>
      <c r="AJ934" s="140"/>
      <c r="AK934" s="140"/>
      <c r="AL934" s="140"/>
      <c r="AM934" s="140"/>
      <c r="AN934" s="140"/>
      <c r="AO934" s="140"/>
      <c r="AP934" s="140"/>
      <c r="AQ934" s="140"/>
      <c r="AR934" s="140"/>
      <c r="AS934" s="140"/>
    </row>
    <row r="935">
      <c r="A935" s="149"/>
      <c r="B935" s="140"/>
      <c r="C935" s="140"/>
      <c r="D935" s="140"/>
      <c r="E935" s="140"/>
      <c r="F935" s="140"/>
      <c r="G935" s="140"/>
      <c r="H935" s="140"/>
      <c r="I935" s="140"/>
      <c r="J935" s="140"/>
      <c r="K935" s="140"/>
      <c r="L935" s="140"/>
      <c r="M935" s="140"/>
      <c r="N935" s="140"/>
      <c r="O935" s="140"/>
      <c r="P935" s="140"/>
      <c r="Q935" s="140"/>
      <c r="R935" s="140"/>
      <c r="S935" s="150"/>
      <c r="T935" s="150"/>
      <c r="U935" s="140"/>
      <c r="V935" s="140"/>
      <c r="W935" s="140"/>
      <c r="X935" s="140"/>
      <c r="Y935" s="140"/>
      <c r="Z935" s="140"/>
      <c r="AA935" s="140"/>
      <c r="AB935" s="140"/>
      <c r="AC935" s="140"/>
      <c r="AD935" s="140"/>
      <c r="AE935" s="140"/>
      <c r="AF935" s="140"/>
      <c r="AG935" s="140"/>
      <c r="AH935" s="140"/>
      <c r="AI935" s="140"/>
      <c r="AJ935" s="140"/>
      <c r="AK935" s="140"/>
      <c r="AL935" s="140"/>
      <c r="AM935" s="140"/>
      <c r="AN935" s="140"/>
      <c r="AO935" s="140"/>
      <c r="AP935" s="140"/>
      <c r="AQ935" s="140"/>
      <c r="AR935" s="140"/>
      <c r="AS935" s="140"/>
    </row>
    <row r="936">
      <c r="A936" s="149"/>
      <c r="B936" s="140"/>
      <c r="C936" s="140"/>
      <c r="D936" s="140"/>
      <c r="E936" s="140"/>
      <c r="F936" s="140"/>
      <c r="G936" s="140"/>
      <c r="H936" s="140"/>
      <c r="I936" s="140"/>
      <c r="J936" s="140"/>
      <c r="K936" s="140"/>
      <c r="L936" s="140"/>
      <c r="M936" s="140"/>
      <c r="N936" s="140"/>
      <c r="O936" s="140"/>
      <c r="P936" s="140"/>
      <c r="Q936" s="140"/>
      <c r="R936" s="140"/>
      <c r="S936" s="150"/>
      <c r="T936" s="150"/>
      <c r="U936" s="140"/>
      <c r="V936" s="140"/>
      <c r="W936" s="140"/>
      <c r="X936" s="140"/>
      <c r="Y936" s="140"/>
      <c r="Z936" s="140"/>
      <c r="AA936" s="140"/>
      <c r="AB936" s="140"/>
      <c r="AC936" s="140"/>
      <c r="AD936" s="140"/>
      <c r="AE936" s="140"/>
      <c r="AF936" s="140"/>
      <c r="AG936" s="140"/>
      <c r="AH936" s="140"/>
      <c r="AI936" s="140"/>
      <c r="AJ936" s="140"/>
      <c r="AK936" s="140"/>
      <c r="AL936" s="140"/>
      <c r="AM936" s="140"/>
      <c r="AN936" s="140"/>
      <c r="AO936" s="140"/>
      <c r="AP936" s="140"/>
      <c r="AQ936" s="140"/>
      <c r="AR936" s="140"/>
      <c r="AS936" s="140"/>
    </row>
    <row r="937">
      <c r="A937" s="149"/>
      <c r="B937" s="140"/>
      <c r="C937" s="140"/>
      <c r="D937" s="140"/>
      <c r="E937" s="140"/>
      <c r="F937" s="140"/>
      <c r="G937" s="140"/>
      <c r="H937" s="140"/>
      <c r="I937" s="140"/>
      <c r="J937" s="140"/>
      <c r="K937" s="140"/>
      <c r="L937" s="140"/>
      <c r="M937" s="140"/>
      <c r="N937" s="140"/>
      <c r="O937" s="140"/>
      <c r="P937" s="140"/>
      <c r="Q937" s="140"/>
      <c r="R937" s="140"/>
      <c r="S937" s="150"/>
      <c r="T937" s="150"/>
      <c r="U937" s="140"/>
      <c r="V937" s="140"/>
      <c r="W937" s="140"/>
      <c r="X937" s="140"/>
      <c r="Y937" s="140"/>
      <c r="Z937" s="140"/>
      <c r="AA937" s="140"/>
      <c r="AB937" s="140"/>
      <c r="AC937" s="140"/>
      <c r="AD937" s="140"/>
      <c r="AE937" s="140"/>
      <c r="AF937" s="140"/>
      <c r="AG937" s="140"/>
      <c r="AH937" s="140"/>
      <c r="AI937" s="140"/>
      <c r="AJ937" s="140"/>
      <c r="AK937" s="140"/>
      <c r="AL937" s="140"/>
      <c r="AM937" s="140"/>
      <c r="AN937" s="140"/>
      <c r="AO937" s="140"/>
      <c r="AP937" s="140"/>
      <c r="AQ937" s="140"/>
      <c r="AR937" s="140"/>
      <c r="AS937" s="140"/>
    </row>
    <row r="938">
      <c r="A938" s="149"/>
      <c r="B938" s="140"/>
      <c r="C938" s="140"/>
      <c r="D938" s="140"/>
      <c r="E938" s="140"/>
      <c r="F938" s="140"/>
      <c r="G938" s="140"/>
      <c r="H938" s="140"/>
      <c r="I938" s="140"/>
      <c r="J938" s="140"/>
      <c r="K938" s="140"/>
      <c r="L938" s="140"/>
      <c r="M938" s="140"/>
      <c r="N938" s="140"/>
      <c r="O938" s="140"/>
      <c r="P938" s="140"/>
      <c r="Q938" s="140"/>
      <c r="R938" s="140"/>
      <c r="S938" s="150"/>
      <c r="T938" s="150"/>
      <c r="U938" s="140"/>
      <c r="V938" s="140"/>
      <c r="W938" s="140"/>
      <c r="X938" s="140"/>
      <c r="Y938" s="140"/>
      <c r="Z938" s="140"/>
      <c r="AA938" s="140"/>
      <c r="AB938" s="140"/>
      <c r="AC938" s="140"/>
      <c r="AD938" s="140"/>
      <c r="AE938" s="140"/>
      <c r="AF938" s="140"/>
      <c r="AG938" s="140"/>
      <c r="AH938" s="140"/>
      <c r="AI938" s="140"/>
      <c r="AJ938" s="140"/>
      <c r="AK938" s="140"/>
      <c r="AL938" s="140"/>
      <c r="AM938" s="140"/>
      <c r="AN938" s="140"/>
      <c r="AO938" s="140"/>
      <c r="AP938" s="140"/>
      <c r="AQ938" s="140"/>
      <c r="AR938" s="140"/>
      <c r="AS938" s="140"/>
    </row>
    <row r="939">
      <c r="A939" s="149"/>
      <c r="B939" s="140"/>
      <c r="C939" s="140"/>
      <c r="D939" s="140"/>
      <c r="E939" s="140"/>
      <c r="F939" s="140"/>
      <c r="G939" s="140"/>
      <c r="H939" s="140"/>
      <c r="I939" s="140"/>
      <c r="J939" s="140"/>
      <c r="K939" s="140"/>
      <c r="L939" s="140"/>
      <c r="M939" s="140"/>
      <c r="N939" s="140"/>
      <c r="O939" s="140"/>
      <c r="P939" s="140"/>
      <c r="Q939" s="140"/>
      <c r="R939" s="140"/>
      <c r="S939" s="150"/>
      <c r="T939" s="150"/>
      <c r="U939" s="140"/>
      <c r="V939" s="140"/>
      <c r="W939" s="140"/>
      <c r="X939" s="140"/>
      <c r="Y939" s="140"/>
      <c r="Z939" s="140"/>
      <c r="AA939" s="140"/>
      <c r="AB939" s="140"/>
      <c r="AC939" s="140"/>
      <c r="AD939" s="140"/>
      <c r="AE939" s="140"/>
      <c r="AF939" s="140"/>
      <c r="AG939" s="140"/>
      <c r="AH939" s="140"/>
      <c r="AI939" s="140"/>
      <c r="AJ939" s="140"/>
      <c r="AK939" s="140"/>
      <c r="AL939" s="140"/>
      <c r="AM939" s="140"/>
      <c r="AN939" s="140"/>
      <c r="AO939" s="140"/>
      <c r="AP939" s="140"/>
      <c r="AQ939" s="140"/>
      <c r="AR939" s="140"/>
      <c r="AS939" s="140"/>
    </row>
    <row r="940">
      <c r="A940" s="149"/>
      <c r="B940" s="140"/>
      <c r="C940" s="140"/>
      <c r="D940" s="140"/>
      <c r="E940" s="140"/>
      <c r="F940" s="140"/>
      <c r="G940" s="140"/>
      <c r="H940" s="140"/>
      <c r="I940" s="140"/>
      <c r="J940" s="140"/>
      <c r="K940" s="140"/>
      <c r="L940" s="140"/>
      <c r="M940" s="140"/>
      <c r="N940" s="140"/>
      <c r="O940" s="140"/>
      <c r="P940" s="140"/>
      <c r="Q940" s="140"/>
      <c r="R940" s="140"/>
      <c r="S940" s="150"/>
      <c r="T940" s="150"/>
      <c r="U940" s="140"/>
      <c r="V940" s="140"/>
      <c r="W940" s="140"/>
      <c r="X940" s="140"/>
      <c r="Y940" s="140"/>
      <c r="Z940" s="140"/>
      <c r="AA940" s="140"/>
      <c r="AB940" s="140"/>
      <c r="AC940" s="140"/>
      <c r="AD940" s="140"/>
      <c r="AE940" s="140"/>
      <c r="AF940" s="140"/>
      <c r="AG940" s="140"/>
      <c r="AH940" s="140"/>
      <c r="AI940" s="140"/>
      <c r="AJ940" s="140"/>
      <c r="AK940" s="140"/>
      <c r="AL940" s="140"/>
      <c r="AM940" s="140"/>
      <c r="AN940" s="140"/>
      <c r="AO940" s="140"/>
      <c r="AP940" s="140"/>
      <c r="AQ940" s="140"/>
      <c r="AR940" s="140"/>
      <c r="AS940" s="140"/>
    </row>
    <row r="941">
      <c r="A941" s="149"/>
      <c r="B941" s="140"/>
      <c r="C941" s="140"/>
      <c r="D941" s="140"/>
      <c r="E941" s="140"/>
      <c r="F941" s="140"/>
      <c r="G941" s="140"/>
      <c r="H941" s="140"/>
      <c r="I941" s="140"/>
      <c r="J941" s="140"/>
      <c r="K941" s="140"/>
      <c r="L941" s="140"/>
      <c r="M941" s="140"/>
      <c r="N941" s="140"/>
      <c r="O941" s="140"/>
      <c r="P941" s="140"/>
      <c r="Q941" s="140"/>
      <c r="R941" s="140"/>
      <c r="S941" s="150"/>
      <c r="T941" s="150"/>
      <c r="U941" s="140"/>
      <c r="V941" s="140"/>
      <c r="W941" s="140"/>
      <c r="X941" s="140"/>
      <c r="Y941" s="140"/>
      <c r="Z941" s="140"/>
      <c r="AA941" s="140"/>
      <c r="AB941" s="140"/>
      <c r="AC941" s="140"/>
      <c r="AD941" s="140"/>
      <c r="AE941" s="140"/>
      <c r="AF941" s="140"/>
      <c r="AG941" s="140"/>
      <c r="AH941" s="140"/>
      <c r="AI941" s="140"/>
      <c r="AJ941" s="140"/>
      <c r="AK941" s="140"/>
      <c r="AL941" s="140"/>
      <c r="AM941" s="140"/>
      <c r="AN941" s="140"/>
      <c r="AO941" s="140"/>
      <c r="AP941" s="140"/>
      <c r="AQ941" s="140"/>
      <c r="AR941" s="140"/>
      <c r="AS941" s="140"/>
    </row>
    <row r="942">
      <c r="A942" s="149"/>
      <c r="B942" s="140"/>
      <c r="C942" s="140"/>
      <c r="D942" s="140"/>
      <c r="E942" s="140"/>
      <c r="F942" s="140"/>
      <c r="G942" s="140"/>
      <c r="H942" s="140"/>
      <c r="I942" s="140"/>
      <c r="J942" s="140"/>
      <c r="K942" s="140"/>
      <c r="L942" s="140"/>
      <c r="M942" s="140"/>
      <c r="N942" s="140"/>
      <c r="O942" s="140"/>
      <c r="P942" s="140"/>
      <c r="Q942" s="140"/>
      <c r="R942" s="140"/>
      <c r="S942" s="150"/>
      <c r="T942" s="150"/>
      <c r="U942" s="140"/>
      <c r="V942" s="140"/>
      <c r="W942" s="140"/>
      <c r="X942" s="140"/>
      <c r="Y942" s="140"/>
      <c r="Z942" s="140"/>
      <c r="AA942" s="140"/>
      <c r="AB942" s="140"/>
      <c r="AC942" s="140"/>
      <c r="AD942" s="140"/>
      <c r="AE942" s="140"/>
      <c r="AF942" s="140"/>
      <c r="AG942" s="140"/>
      <c r="AH942" s="140"/>
      <c r="AI942" s="140"/>
      <c r="AJ942" s="140"/>
      <c r="AK942" s="140"/>
      <c r="AL942" s="140"/>
      <c r="AM942" s="140"/>
      <c r="AN942" s="140"/>
      <c r="AO942" s="140"/>
      <c r="AP942" s="140"/>
      <c r="AQ942" s="140"/>
      <c r="AR942" s="140"/>
      <c r="AS942" s="140"/>
    </row>
    <row r="943">
      <c r="A943" s="149"/>
      <c r="B943" s="140"/>
      <c r="C943" s="140"/>
      <c r="D943" s="140"/>
      <c r="E943" s="140"/>
      <c r="F943" s="140"/>
      <c r="G943" s="140"/>
      <c r="H943" s="140"/>
      <c r="I943" s="140"/>
      <c r="J943" s="140"/>
      <c r="K943" s="140"/>
      <c r="L943" s="140"/>
      <c r="M943" s="140"/>
      <c r="N943" s="140"/>
      <c r="O943" s="140"/>
      <c r="P943" s="140"/>
      <c r="Q943" s="140"/>
      <c r="R943" s="140"/>
      <c r="S943" s="150"/>
      <c r="T943" s="150"/>
      <c r="U943" s="140"/>
      <c r="V943" s="140"/>
      <c r="W943" s="140"/>
      <c r="X943" s="140"/>
      <c r="Y943" s="140"/>
      <c r="Z943" s="140"/>
      <c r="AA943" s="140"/>
      <c r="AB943" s="140"/>
      <c r="AC943" s="140"/>
      <c r="AD943" s="140"/>
      <c r="AE943" s="140"/>
      <c r="AF943" s="140"/>
      <c r="AG943" s="140"/>
      <c r="AH943" s="140"/>
      <c r="AI943" s="140"/>
      <c r="AJ943" s="140"/>
      <c r="AK943" s="140"/>
      <c r="AL943" s="140"/>
      <c r="AM943" s="140"/>
      <c r="AN943" s="140"/>
      <c r="AO943" s="140"/>
      <c r="AP943" s="140"/>
      <c r="AQ943" s="140"/>
      <c r="AR943" s="140"/>
      <c r="AS943" s="140"/>
    </row>
    <row r="944">
      <c r="A944" s="149"/>
      <c r="B944" s="140"/>
      <c r="C944" s="140"/>
      <c r="D944" s="140"/>
      <c r="E944" s="140"/>
      <c r="F944" s="140"/>
      <c r="G944" s="140"/>
      <c r="H944" s="140"/>
      <c r="I944" s="140"/>
      <c r="J944" s="140"/>
      <c r="K944" s="140"/>
      <c r="L944" s="140"/>
      <c r="M944" s="140"/>
      <c r="N944" s="140"/>
      <c r="O944" s="140"/>
      <c r="P944" s="140"/>
      <c r="Q944" s="140"/>
      <c r="R944" s="140"/>
      <c r="S944" s="150"/>
      <c r="T944" s="150"/>
      <c r="U944" s="140"/>
      <c r="V944" s="140"/>
      <c r="W944" s="140"/>
      <c r="X944" s="140"/>
      <c r="Y944" s="140"/>
      <c r="Z944" s="140"/>
      <c r="AA944" s="140"/>
      <c r="AB944" s="140"/>
      <c r="AC944" s="140"/>
      <c r="AD944" s="140"/>
      <c r="AE944" s="140"/>
      <c r="AF944" s="140"/>
      <c r="AG944" s="140"/>
      <c r="AH944" s="140"/>
      <c r="AI944" s="140"/>
      <c r="AJ944" s="140"/>
      <c r="AK944" s="140"/>
      <c r="AL944" s="140"/>
      <c r="AM944" s="140"/>
      <c r="AN944" s="140"/>
      <c r="AO944" s="140"/>
      <c r="AP944" s="140"/>
      <c r="AQ944" s="140"/>
      <c r="AR944" s="140"/>
      <c r="AS944" s="140"/>
    </row>
    <row r="945">
      <c r="A945" s="149"/>
      <c r="B945" s="140"/>
      <c r="C945" s="140"/>
      <c r="D945" s="140"/>
      <c r="E945" s="140"/>
      <c r="F945" s="140"/>
      <c r="G945" s="140"/>
      <c r="H945" s="140"/>
      <c r="I945" s="140"/>
      <c r="J945" s="140"/>
      <c r="K945" s="140"/>
      <c r="L945" s="140"/>
      <c r="M945" s="140"/>
      <c r="N945" s="140"/>
      <c r="O945" s="140"/>
      <c r="P945" s="140"/>
      <c r="Q945" s="140"/>
      <c r="R945" s="140"/>
      <c r="S945" s="150"/>
      <c r="T945" s="150"/>
      <c r="U945" s="140"/>
      <c r="V945" s="140"/>
      <c r="W945" s="140"/>
      <c r="X945" s="140"/>
      <c r="Y945" s="140"/>
      <c r="Z945" s="140"/>
      <c r="AA945" s="140"/>
      <c r="AB945" s="140"/>
      <c r="AC945" s="140"/>
      <c r="AD945" s="140"/>
      <c r="AE945" s="140"/>
      <c r="AF945" s="140"/>
      <c r="AG945" s="140"/>
      <c r="AH945" s="140"/>
      <c r="AI945" s="140"/>
      <c r="AJ945" s="140"/>
      <c r="AK945" s="140"/>
      <c r="AL945" s="140"/>
      <c r="AM945" s="140"/>
      <c r="AN945" s="140"/>
      <c r="AO945" s="140"/>
      <c r="AP945" s="140"/>
      <c r="AQ945" s="140"/>
      <c r="AR945" s="140"/>
      <c r="AS945" s="140"/>
    </row>
    <row r="946">
      <c r="A946" s="149"/>
      <c r="B946" s="140"/>
      <c r="C946" s="140"/>
      <c r="D946" s="140"/>
      <c r="E946" s="140"/>
      <c r="F946" s="140"/>
      <c r="G946" s="140"/>
      <c r="H946" s="140"/>
      <c r="I946" s="140"/>
      <c r="J946" s="140"/>
      <c r="K946" s="140"/>
      <c r="L946" s="140"/>
      <c r="M946" s="140"/>
      <c r="N946" s="140"/>
      <c r="O946" s="140"/>
      <c r="P946" s="140"/>
      <c r="Q946" s="140"/>
      <c r="R946" s="140"/>
      <c r="S946" s="150"/>
      <c r="T946" s="150"/>
      <c r="U946" s="140"/>
      <c r="V946" s="140"/>
      <c r="W946" s="140"/>
      <c r="X946" s="140"/>
      <c r="Y946" s="140"/>
      <c r="Z946" s="140"/>
      <c r="AA946" s="140"/>
      <c r="AB946" s="140"/>
      <c r="AC946" s="140"/>
      <c r="AD946" s="140"/>
      <c r="AE946" s="140"/>
      <c r="AF946" s="140"/>
      <c r="AG946" s="140"/>
      <c r="AH946" s="140"/>
      <c r="AI946" s="140"/>
      <c r="AJ946" s="140"/>
      <c r="AK946" s="140"/>
      <c r="AL946" s="140"/>
      <c r="AM946" s="140"/>
      <c r="AN946" s="140"/>
      <c r="AO946" s="140"/>
      <c r="AP946" s="140"/>
      <c r="AQ946" s="140"/>
      <c r="AR946" s="140"/>
      <c r="AS946" s="140"/>
    </row>
    <row r="947">
      <c r="A947" s="149"/>
      <c r="B947" s="140"/>
      <c r="C947" s="140"/>
      <c r="D947" s="140"/>
      <c r="E947" s="140"/>
      <c r="F947" s="140"/>
      <c r="G947" s="140"/>
      <c r="H947" s="140"/>
      <c r="I947" s="140"/>
      <c r="J947" s="140"/>
      <c r="K947" s="140"/>
      <c r="L947" s="140"/>
      <c r="M947" s="140"/>
      <c r="N947" s="140"/>
      <c r="O947" s="140"/>
      <c r="P947" s="140"/>
      <c r="Q947" s="140"/>
      <c r="R947" s="140"/>
      <c r="S947" s="150"/>
      <c r="T947" s="150"/>
      <c r="U947" s="140"/>
      <c r="V947" s="140"/>
      <c r="W947" s="140"/>
      <c r="X947" s="140"/>
      <c r="Y947" s="140"/>
      <c r="Z947" s="140"/>
      <c r="AA947" s="140"/>
      <c r="AB947" s="140"/>
      <c r="AC947" s="140"/>
      <c r="AD947" s="140"/>
      <c r="AE947" s="140"/>
      <c r="AF947" s="140"/>
      <c r="AG947" s="140"/>
      <c r="AH947" s="140"/>
      <c r="AI947" s="140"/>
      <c r="AJ947" s="140"/>
      <c r="AK947" s="140"/>
      <c r="AL947" s="140"/>
      <c r="AM947" s="140"/>
      <c r="AN947" s="140"/>
      <c r="AO947" s="140"/>
      <c r="AP947" s="140"/>
      <c r="AQ947" s="140"/>
      <c r="AR947" s="140"/>
      <c r="AS947" s="140"/>
    </row>
    <row r="948">
      <c r="A948" s="149"/>
      <c r="B948" s="140"/>
      <c r="C948" s="140"/>
      <c r="D948" s="140"/>
      <c r="E948" s="140"/>
      <c r="F948" s="140"/>
      <c r="G948" s="140"/>
      <c r="H948" s="140"/>
      <c r="I948" s="140"/>
      <c r="J948" s="140"/>
      <c r="K948" s="140"/>
      <c r="L948" s="140"/>
      <c r="M948" s="140"/>
      <c r="N948" s="140"/>
      <c r="O948" s="140"/>
      <c r="P948" s="140"/>
      <c r="Q948" s="140"/>
      <c r="R948" s="140"/>
      <c r="S948" s="150"/>
      <c r="T948" s="150"/>
      <c r="U948" s="140"/>
      <c r="V948" s="140"/>
      <c r="W948" s="140"/>
      <c r="X948" s="140"/>
      <c r="Y948" s="140"/>
      <c r="Z948" s="140"/>
      <c r="AA948" s="140"/>
      <c r="AB948" s="140"/>
      <c r="AC948" s="140"/>
      <c r="AD948" s="140"/>
      <c r="AE948" s="140"/>
      <c r="AF948" s="140"/>
      <c r="AG948" s="140"/>
      <c r="AH948" s="140"/>
      <c r="AI948" s="140"/>
      <c r="AJ948" s="140"/>
      <c r="AK948" s="140"/>
      <c r="AL948" s="140"/>
      <c r="AM948" s="140"/>
      <c r="AN948" s="140"/>
      <c r="AO948" s="140"/>
      <c r="AP948" s="140"/>
      <c r="AQ948" s="140"/>
      <c r="AR948" s="140"/>
      <c r="AS948" s="140"/>
    </row>
    <row r="949">
      <c r="A949" s="149"/>
      <c r="B949" s="140"/>
      <c r="C949" s="140"/>
      <c r="D949" s="140"/>
      <c r="E949" s="140"/>
      <c r="F949" s="140"/>
      <c r="G949" s="140"/>
      <c r="H949" s="140"/>
      <c r="I949" s="140"/>
      <c r="J949" s="140"/>
      <c r="K949" s="140"/>
      <c r="L949" s="140"/>
      <c r="M949" s="140"/>
      <c r="N949" s="140"/>
      <c r="O949" s="140"/>
      <c r="P949" s="140"/>
      <c r="Q949" s="140"/>
      <c r="R949" s="140"/>
      <c r="S949" s="150"/>
      <c r="T949" s="150"/>
      <c r="U949" s="140"/>
      <c r="V949" s="140"/>
      <c r="W949" s="140"/>
      <c r="X949" s="140"/>
      <c r="Y949" s="140"/>
      <c r="Z949" s="140"/>
      <c r="AA949" s="140"/>
      <c r="AB949" s="140"/>
      <c r="AC949" s="140"/>
      <c r="AD949" s="140"/>
      <c r="AE949" s="140"/>
      <c r="AF949" s="140"/>
      <c r="AG949" s="140"/>
      <c r="AH949" s="140"/>
      <c r="AI949" s="140"/>
      <c r="AJ949" s="140"/>
      <c r="AK949" s="140"/>
      <c r="AL949" s="140"/>
      <c r="AM949" s="140"/>
      <c r="AN949" s="140"/>
      <c r="AO949" s="140"/>
      <c r="AP949" s="140"/>
      <c r="AQ949" s="140"/>
      <c r="AR949" s="140"/>
      <c r="AS949" s="140"/>
    </row>
    <row r="950">
      <c r="A950" s="149"/>
      <c r="B950" s="140"/>
      <c r="C950" s="140"/>
      <c r="D950" s="140"/>
      <c r="E950" s="140"/>
      <c r="F950" s="140"/>
      <c r="G950" s="140"/>
      <c r="H950" s="140"/>
      <c r="I950" s="140"/>
      <c r="J950" s="140"/>
      <c r="K950" s="140"/>
      <c r="L950" s="140"/>
      <c r="M950" s="140"/>
      <c r="N950" s="140"/>
      <c r="O950" s="140"/>
      <c r="P950" s="140"/>
      <c r="Q950" s="140"/>
      <c r="R950" s="140"/>
      <c r="S950" s="150"/>
      <c r="T950" s="150"/>
      <c r="U950" s="140"/>
      <c r="V950" s="140"/>
      <c r="W950" s="140"/>
      <c r="X950" s="140"/>
      <c r="Y950" s="140"/>
      <c r="Z950" s="140"/>
      <c r="AA950" s="140"/>
      <c r="AB950" s="140"/>
      <c r="AC950" s="140"/>
      <c r="AD950" s="140"/>
      <c r="AE950" s="140"/>
      <c r="AF950" s="140"/>
      <c r="AG950" s="140"/>
      <c r="AH950" s="140"/>
      <c r="AI950" s="140"/>
      <c r="AJ950" s="140"/>
      <c r="AK950" s="140"/>
      <c r="AL950" s="140"/>
      <c r="AM950" s="140"/>
      <c r="AN950" s="140"/>
      <c r="AO950" s="140"/>
      <c r="AP950" s="140"/>
      <c r="AQ950" s="140"/>
      <c r="AR950" s="140"/>
      <c r="AS950" s="140"/>
    </row>
    <row r="951">
      <c r="A951" s="149"/>
      <c r="B951" s="140"/>
      <c r="C951" s="140"/>
      <c r="D951" s="140"/>
      <c r="E951" s="140"/>
      <c r="F951" s="140"/>
      <c r="G951" s="140"/>
      <c r="H951" s="140"/>
      <c r="I951" s="140"/>
      <c r="J951" s="140"/>
      <c r="K951" s="140"/>
      <c r="L951" s="140"/>
      <c r="M951" s="140"/>
      <c r="N951" s="140"/>
      <c r="O951" s="140"/>
      <c r="P951" s="140"/>
      <c r="Q951" s="140"/>
      <c r="R951" s="140"/>
      <c r="S951" s="150"/>
      <c r="T951" s="150"/>
      <c r="U951" s="140"/>
      <c r="V951" s="140"/>
      <c r="W951" s="140"/>
      <c r="X951" s="140"/>
      <c r="Y951" s="140"/>
      <c r="Z951" s="140"/>
      <c r="AA951" s="140"/>
      <c r="AB951" s="140"/>
      <c r="AC951" s="140"/>
      <c r="AD951" s="140"/>
      <c r="AE951" s="140"/>
      <c r="AF951" s="140"/>
      <c r="AG951" s="140"/>
      <c r="AH951" s="140"/>
      <c r="AI951" s="140"/>
      <c r="AJ951" s="140"/>
      <c r="AK951" s="140"/>
      <c r="AL951" s="140"/>
      <c r="AM951" s="140"/>
      <c r="AN951" s="140"/>
      <c r="AO951" s="140"/>
      <c r="AP951" s="140"/>
      <c r="AQ951" s="140"/>
      <c r="AR951" s="140"/>
      <c r="AS951" s="140"/>
    </row>
    <row r="952">
      <c r="A952" s="149"/>
      <c r="B952" s="140"/>
      <c r="C952" s="140"/>
      <c r="D952" s="140"/>
      <c r="E952" s="140"/>
      <c r="F952" s="140"/>
      <c r="G952" s="140"/>
      <c r="H952" s="140"/>
      <c r="I952" s="140"/>
      <c r="J952" s="140"/>
      <c r="K952" s="140"/>
      <c r="L952" s="140"/>
      <c r="M952" s="140"/>
      <c r="N952" s="140"/>
      <c r="O952" s="140"/>
      <c r="P952" s="140"/>
      <c r="Q952" s="140"/>
      <c r="R952" s="140"/>
      <c r="S952" s="150"/>
      <c r="T952" s="150"/>
      <c r="U952" s="140"/>
      <c r="V952" s="140"/>
      <c r="W952" s="140"/>
      <c r="X952" s="140"/>
      <c r="Y952" s="140"/>
      <c r="Z952" s="140"/>
      <c r="AA952" s="140"/>
      <c r="AB952" s="140"/>
      <c r="AC952" s="140"/>
      <c r="AD952" s="140"/>
      <c r="AE952" s="140"/>
      <c r="AF952" s="140"/>
      <c r="AG952" s="140"/>
      <c r="AH952" s="140"/>
      <c r="AI952" s="140"/>
      <c r="AJ952" s="140"/>
      <c r="AK952" s="140"/>
      <c r="AL952" s="140"/>
      <c r="AM952" s="140"/>
      <c r="AN952" s="140"/>
      <c r="AO952" s="140"/>
      <c r="AP952" s="140"/>
      <c r="AQ952" s="140"/>
      <c r="AR952" s="140"/>
      <c r="AS952" s="140"/>
    </row>
    <row r="953">
      <c r="A953" s="149"/>
      <c r="B953" s="140"/>
      <c r="C953" s="140"/>
      <c r="D953" s="140"/>
      <c r="E953" s="140"/>
      <c r="F953" s="140"/>
      <c r="G953" s="140"/>
      <c r="H953" s="140"/>
      <c r="I953" s="140"/>
      <c r="J953" s="140"/>
      <c r="K953" s="140"/>
      <c r="L953" s="140"/>
      <c r="M953" s="140"/>
      <c r="N953" s="140"/>
      <c r="O953" s="140"/>
      <c r="P953" s="140"/>
      <c r="Q953" s="140"/>
      <c r="R953" s="140"/>
      <c r="S953" s="150"/>
      <c r="T953" s="150"/>
      <c r="U953" s="140"/>
      <c r="V953" s="140"/>
      <c r="W953" s="140"/>
      <c r="X953" s="140"/>
      <c r="Y953" s="140"/>
      <c r="Z953" s="140"/>
      <c r="AA953" s="140"/>
      <c r="AB953" s="140"/>
      <c r="AC953" s="140"/>
      <c r="AD953" s="140"/>
      <c r="AE953" s="140"/>
      <c r="AF953" s="140"/>
      <c r="AG953" s="140"/>
      <c r="AH953" s="140"/>
      <c r="AI953" s="140"/>
      <c r="AJ953" s="140"/>
      <c r="AK953" s="140"/>
      <c r="AL953" s="140"/>
      <c r="AM953" s="140"/>
      <c r="AN953" s="140"/>
      <c r="AO953" s="140"/>
      <c r="AP953" s="140"/>
      <c r="AQ953" s="140"/>
      <c r="AR953" s="140"/>
      <c r="AS953" s="140"/>
    </row>
    <row r="954">
      <c r="A954" s="149"/>
      <c r="B954" s="140"/>
      <c r="C954" s="140"/>
      <c r="D954" s="140"/>
      <c r="E954" s="140"/>
      <c r="F954" s="140"/>
      <c r="G954" s="140"/>
      <c r="H954" s="140"/>
      <c r="I954" s="140"/>
      <c r="J954" s="140"/>
      <c r="K954" s="140"/>
      <c r="L954" s="140"/>
      <c r="M954" s="140"/>
      <c r="N954" s="140"/>
      <c r="O954" s="140"/>
      <c r="P954" s="140"/>
      <c r="Q954" s="140"/>
      <c r="R954" s="140"/>
      <c r="S954" s="150"/>
      <c r="T954" s="150"/>
      <c r="U954" s="140"/>
      <c r="V954" s="140"/>
      <c r="W954" s="140"/>
      <c r="X954" s="140"/>
      <c r="Y954" s="140"/>
      <c r="Z954" s="140"/>
      <c r="AA954" s="140"/>
      <c r="AB954" s="140"/>
      <c r="AC954" s="140"/>
      <c r="AD954" s="140"/>
      <c r="AE954" s="140"/>
      <c r="AF954" s="140"/>
      <c r="AG954" s="140"/>
      <c r="AH954" s="140"/>
      <c r="AI954" s="140"/>
      <c r="AJ954" s="140"/>
      <c r="AK954" s="140"/>
      <c r="AL954" s="140"/>
      <c r="AM954" s="140"/>
      <c r="AN954" s="140"/>
      <c r="AO954" s="140"/>
      <c r="AP954" s="140"/>
      <c r="AQ954" s="140"/>
      <c r="AR954" s="140"/>
      <c r="AS954" s="140"/>
    </row>
    <row r="955">
      <c r="A955" s="149"/>
      <c r="B955" s="140"/>
      <c r="C955" s="140"/>
      <c r="D955" s="140"/>
      <c r="E955" s="140"/>
      <c r="F955" s="140"/>
      <c r="G955" s="140"/>
      <c r="H955" s="140"/>
      <c r="I955" s="140"/>
      <c r="J955" s="140"/>
      <c r="K955" s="140"/>
      <c r="L955" s="140"/>
      <c r="M955" s="140"/>
      <c r="N955" s="140"/>
      <c r="O955" s="140"/>
      <c r="P955" s="140"/>
      <c r="Q955" s="140"/>
      <c r="R955" s="140"/>
      <c r="S955" s="150"/>
      <c r="T955" s="150"/>
      <c r="U955" s="140"/>
      <c r="V955" s="140"/>
      <c r="W955" s="140"/>
      <c r="X955" s="140"/>
      <c r="Y955" s="140"/>
      <c r="Z955" s="140"/>
      <c r="AA955" s="140"/>
      <c r="AB955" s="140"/>
      <c r="AC955" s="140"/>
      <c r="AD955" s="140"/>
      <c r="AE955" s="140"/>
      <c r="AF955" s="140"/>
      <c r="AG955" s="140"/>
      <c r="AH955" s="140"/>
      <c r="AI955" s="140"/>
      <c r="AJ955" s="140"/>
      <c r="AK955" s="140"/>
      <c r="AL955" s="140"/>
      <c r="AM955" s="140"/>
      <c r="AN955" s="140"/>
      <c r="AO955" s="140"/>
      <c r="AP955" s="140"/>
      <c r="AQ955" s="140"/>
      <c r="AR955" s="140"/>
      <c r="AS955" s="140"/>
    </row>
    <row r="956">
      <c r="A956" s="149"/>
      <c r="B956" s="140"/>
      <c r="C956" s="140"/>
      <c r="D956" s="140"/>
      <c r="E956" s="140"/>
      <c r="F956" s="140"/>
      <c r="G956" s="140"/>
      <c r="H956" s="140"/>
      <c r="I956" s="140"/>
      <c r="J956" s="140"/>
      <c r="K956" s="140"/>
      <c r="L956" s="140"/>
      <c r="M956" s="140"/>
      <c r="N956" s="140"/>
      <c r="O956" s="140"/>
      <c r="P956" s="140"/>
      <c r="Q956" s="140"/>
      <c r="R956" s="140"/>
      <c r="S956" s="150"/>
      <c r="T956" s="150"/>
      <c r="U956" s="140"/>
      <c r="V956" s="140"/>
      <c r="W956" s="140"/>
      <c r="X956" s="140"/>
      <c r="Y956" s="140"/>
      <c r="Z956" s="140"/>
      <c r="AA956" s="140"/>
      <c r="AB956" s="140"/>
      <c r="AC956" s="140"/>
      <c r="AD956" s="140"/>
      <c r="AE956" s="140"/>
      <c r="AF956" s="140"/>
      <c r="AG956" s="140"/>
      <c r="AH956" s="140"/>
      <c r="AI956" s="140"/>
      <c r="AJ956" s="140"/>
      <c r="AK956" s="140"/>
      <c r="AL956" s="140"/>
      <c r="AM956" s="140"/>
      <c r="AN956" s="140"/>
      <c r="AO956" s="140"/>
      <c r="AP956" s="140"/>
      <c r="AQ956" s="140"/>
      <c r="AR956" s="140"/>
      <c r="AS956" s="140"/>
    </row>
    <row r="957">
      <c r="A957" s="149"/>
      <c r="B957" s="140"/>
      <c r="C957" s="140"/>
      <c r="D957" s="140"/>
      <c r="E957" s="140"/>
      <c r="F957" s="140"/>
      <c r="G957" s="140"/>
      <c r="H957" s="140"/>
      <c r="I957" s="140"/>
      <c r="J957" s="140"/>
      <c r="K957" s="140"/>
      <c r="L957" s="140"/>
      <c r="M957" s="140"/>
      <c r="N957" s="140"/>
      <c r="O957" s="140"/>
      <c r="P957" s="140"/>
      <c r="Q957" s="140"/>
      <c r="R957" s="140"/>
      <c r="S957" s="150"/>
      <c r="T957" s="150"/>
      <c r="U957" s="140"/>
      <c r="V957" s="140"/>
      <c r="W957" s="140"/>
      <c r="X957" s="140"/>
      <c r="Y957" s="140"/>
      <c r="Z957" s="140"/>
      <c r="AA957" s="140"/>
      <c r="AB957" s="140"/>
      <c r="AC957" s="140"/>
      <c r="AD957" s="140"/>
      <c r="AE957" s="140"/>
      <c r="AF957" s="140"/>
      <c r="AG957" s="140"/>
      <c r="AH957" s="140"/>
      <c r="AI957" s="140"/>
      <c r="AJ957" s="140"/>
      <c r="AK957" s="140"/>
      <c r="AL957" s="140"/>
      <c r="AM957" s="140"/>
      <c r="AN957" s="140"/>
      <c r="AO957" s="140"/>
      <c r="AP957" s="140"/>
      <c r="AQ957" s="140"/>
      <c r="AR957" s="140"/>
      <c r="AS957" s="140"/>
    </row>
    <row r="958">
      <c r="A958" s="149"/>
      <c r="B958" s="140"/>
      <c r="C958" s="140"/>
      <c r="D958" s="140"/>
      <c r="E958" s="140"/>
      <c r="F958" s="140"/>
      <c r="G958" s="140"/>
      <c r="H958" s="140"/>
      <c r="I958" s="140"/>
      <c r="J958" s="140"/>
      <c r="K958" s="140"/>
      <c r="L958" s="140"/>
      <c r="M958" s="140"/>
      <c r="N958" s="140"/>
      <c r="O958" s="140"/>
      <c r="P958" s="140"/>
      <c r="Q958" s="140"/>
      <c r="R958" s="140"/>
      <c r="S958" s="150"/>
      <c r="T958" s="150"/>
      <c r="U958" s="140"/>
      <c r="V958" s="140"/>
      <c r="W958" s="140"/>
      <c r="X958" s="140"/>
      <c r="Y958" s="140"/>
      <c r="Z958" s="140"/>
      <c r="AA958" s="140"/>
      <c r="AB958" s="140"/>
      <c r="AC958" s="140"/>
      <c r="AD958" s="140"/>
      <c r="AE958" s="140"/>
      <c r="AF958" s="140"/>
      <c r="AG958" s="140"/>
      <c r="AH958" s="140"/>
      <c r="AI958" s="140"/>
      <c r="AJ958" s="140"/>
      <c r="AK958" s="140"/>
      <c r="AL958" s="140"/>
      <c r="AM958" s="140"/>
      <c r="AN958" s="140"/>
      <c r="AO958" s="140"/>
      <c r="AP958" s="140"/>
      <c r="AQ958" s="140"/>
      <c r="AR958" s="140"/>
      <c r="AS958" s="140"/>
    </row>
    <row r="959">
      <c r="A959" s="149"/>
      <c r="B959" s="140"/>
      <c r="C959" s="140"/>
      <c r="D959" s="140"/>
      <c r="E959" s="140"/>
      <c r="F959" s="140"/>
      <c r="G959" s="140"/>
      <c r="H959" s="140"/>
      <c r="I959" s="140"/>
      <c r="J959" s="140"/>
      <c r="K959" s="140"/>
      <c r="L959" s="140"/>
      <c r="M959" s="140"/>
      <c r="N959" s="140"/>
      <c r="O959" s="140"/>
      <c r="P959" s="140"/>
      <c r="Q959" s="140"/>
      <c r="R959" s="140"/>
      <c r="S959" s="150"/>
      <c r="T959" s="150"/>
      <c r="U959" s="140"/>
      <c r="V959" s="140"/>
      <c r="W959" s="140"/>
      <c r="X959" s="140"/>
      <c r="Y959" s="140"/>
      <c r="Z959" s="140"/>
      <c r="AA959" s="140"/>
      <c r="AB959" s="140"/>
      <c r="AC959" s="140"/>
      <c r="AD959" s="140"/>
      <c r="AE959" s="140"/>
      <c r="AF959" s="140"/>
      <c r="AG959" s="140"/>
      <c r="AH959" s="140"/>
      <c r="AI959" s="140"/>
      <c r="AJ959" s="140"/>
      <c r="AK959" s="140"/>
      <c r="AL959" s="140"/>
      <c r="AM959" s="140"/>
      <c r="AN959" s="140"/>
      <c r="AO959" s="140"/>
      <c r="AP959" s="140"/>
      <c r="AQ959" s="140"/>
      <c r="AR959" s="140"/>
      <c r="AS959" s="140"/>
    </row>
    <row r="960">
      <c r="A960" s="149"/>
      <c r="B960" s="140"/>
      <c r="C960" s="140"/>
      <c r="D960" s="140"/>
      <c r="E960" s="140"/>
      <c r="F960" s="140"/>
      <c r="G960" s="140"/>
      <c r="H960" s="140"/>
      <c r="I960" s="140"/>
      <c r="J960" s="140"/>
      <c r="K960" s="140"/>
      <c r="L960" s="140"/>
      <c r="M960" s="140"/>
      <c r="N960" s="140"/>
      <c r="O960" s="140"/>
      <c r="P960" s="140"/>
      <c r="Q960" s="140"/>
      <c r="R960" s="140"/>
      <c r="S960" s="150"/>
      <c r="T960" s="150"/>
      <c r="U960" s="140"/>
      <c r="V960" s="140"/>
      <c r="W960" s="140"/>
      <c r="X960" s="140"/>
      <c r="Y960" s="140"/>
      <c r="Z960" s="140"/>
      <c r="AA960" s="140"/>
      <c r="AB960" s="140"/>
      <c r="AC960" s="140"/>
      <c r="AD960" s="140"/>
      <c r="AE960" s="140"/>
      <c r="AF960" s="140"/>
      <c r="AG960" s="140"/>
      <c r="AH960" s="140"/>
      <c r="AI960" s="140"/>
      <c r="AJ960" s="140"/>
      <c r="AK960" s="140"/>
      <c r="AL960" s="140"/>
      <c r="AM960" s="140"/>
      <c r="AN960" s="140"/>
      <c r="AO960" s="140"/>
      <c r="AP960" s="140"/>
      <c r="AQ960" s="140"/>
      <c r="AR960" s="140"/>
      <c r="AS960" s="140"/>
    </row>
    <row r="961">
      <c r="A961" s="149"/>
      <c r="B961" s="140"/>
      <c r="C961" s="140"/>
      <c r="D961" s="140"/>
      <c r="E961" s="140"/>
      <c r="F961" s="140"/>
      <c r="G961" s="140"/>
      <c r="H961" s="140"/>
      <c r="I961" s="140"/>
      <c r="J961" s="140"/>
      <c r="K961" s="140"/>
      <c r="L961" s="140"/>
      <c r="M961" s="140"/>
      <c r="N961" s="140"/>
      <c r="O961" s="140"/>
      <c r="P961" s="140"/>
      <c r="Q961" s="140"/>
      <c r="R961" s="140"/>
      <c r="S961" s="150"/>
      <c r="T961" s="150"/>
      <c r="U961" s="140"/>
      <c r="V961" s="140"/>
      <c r="W961" s="140"/>
      <c r="X961" s="140"/>
      <c r="Y961" s="140"/>
      <c r="Z961" s="140"/>
      <c r="AA961" s="140"/>
      <c r="AB961" s="140"/>
      <c r="AC961" s="140"/>
      <c r="AD961" s="140"/>
      <c r="AE961" s="140"/>
      <c r="AF961" s="140"/>
      <c r="AG961" s="140"/>
      <c r="AH961" s="140"/>
      <c r="AI961" s="140"/>
      <c r="AJ961" s="140"/>
      <c r="AK961" s="140"/>
      <c r="AL961" s="140"/>
      <c r="AM961" s="140"/>
      <c r="AN961" s="140"/>
      <c r="AO961" s="140"/>
      <c r="AP961" s="140"/>
      <c r="AQ961" s="140"/>
      <c r="AR961" s="140"/>
      <c r="AS961" s="140"/>
    </row>
    <row r="962">
      <c r="A962" s="149"/>
      <c r="B962" s="140"/>
      <c r="C962" s="140"/>
      <c r="D962" s="140"/>
      <c r="E962" s="140"/>
      <c r="F962" s="140"/>
      <c r="G962" s="140"/>
      <c r="H962" s="140"/>
      <c r="I962" s="140"/>
      <c r="J962" s="140"/>
      <c r="K962" s="140"/>
      <c r="L962" s="140"/>
      <c r="M962" s="140"/>
      <c r="N962" s="140"/>
      <c r="O962" s="140"/>
      <c r="P962" s="140"/>
      <c r="Q962" s="140"/>
      <c r="R962" s="140"/>
      <c r="S962" s="150"/>
      <c r="T962" s="150"/>
      <c r="U962" s="140"/>
      <c r="V962" s="140"/>
      <c r="W962" s="140"/>
      <c r="X962" s="140"/>
      <c r="Y962" s="140"/>
      <c r="Z962" s="140"/>
      <c r="AA962" s="140"/>
      <c r="AB962" s="140"/>
      <c r="AC962" s="140"/>
      <c r="AD962" s="140"/>
      <c r="AE962" s="140"/>
      <c r="AF962" s="140"/>
      <c r="AG962" s="140"/>
      <c r="AH962" s="140"/>
      <c r="AI962" s="140"/>
      <c r="AJ962" s="140"/>
      <c r="AK962" s="140"/>
      <c r="AL962" s="140"/>
      <c r="AM962" s="140"/>
      <c r="AN962" s="140"/>
      <c r="AO962" s="140"/>
      <c r="AP962" s="140"/>
      <c r="AQ962" s="140"/>
      <c r="AR962" s="140"/>
      <c r="AS962" s="140"/>
    </row>
    <row r="963">
      <c r="A963" s="149"/>
      <c r="B963" s="140"/>
      <c r="C963" s="140"/>
      <c r="D963" s="140"/>
      <c r="E963" s="140"/>
      <c r="F963" s="140"/>
      <c r="G963" s="140"/>
      <c r="H963" s="140"/>
      <c r="I963" s="140"/>
      <c r="J963" s="140"/>
      <c r="K963" s="140"/>
      <c r="L963" s="140"/>
      <c r="M963" s="140"/>
      <c r="N963" s="140"/>
      <c r="O963" s="140"/>
      <c r="P963" s="140"/>
      <c r="Q963" s="140"/>
      <c r="R963" s="140"/>
      <c r="S963" s="150"/>
      <c r="T963" s="150"/>
      <c r="U963" s="140"/>
      <c r="V963" s="140"/>
      <c r="W963" s="140"/>
      <c r="X963" s="140"/>
      <c r="Y963" s="140"/>
      <c r="Z963" s="140"/>
      <c r="AA963" s="140"/>
      <c r="AB963" s="140"/>
      <c r="AC963" s="140"/>
      <c r="AD963" s="140"/>
      <c r="AE963" s="140"/>
      <c r="AF963" s="140"/>
      <c r="AG963" s="140"/>
      <c r="AH963" s="140"/>
      <c r="AI963" s="140"/>
      <c r="AJ963" s="140"/>
      <c r="AK963" s="140"/>
      <c r="AL963" s="140"/>
      <c r="AM963" s="140"/>
      <c r="AN963" s="140"/>
      <c r="AO963" s="140"/>
      <c r="AP963" s="140"/>
      <c r="AQ963" s="140"/>
      <c r="AR963" s="140"/>
      <c r="AS963" s="140"/>
    </row>
    <row r="964">
      <c r="A964" s="149"/>
      <c r="B964" s="140"/>
      <c r="C964" s="140"/>
      <c r="D964" s="140"/>
      <c r="E964" s="140"/>
      <c r="F964" s="140"/>
      <c r="G964" s="140"/>
      <c r="H964" s="140"/>
      <c r="I964" s="140"/>
      <c r="J964" s="140"/>
      <c r="K964" s="140"/>
      <c r="L964" s="140"/>
      <c r="M964" s="140"/>
      <c r="N964" s="140"/>
      <c r="O964" s="140"/>
      <c r="P964" s="140"/>
      <c r="Q964" s="140"/>
      <c r="R964" s="140"/>
      <c r="S964" s="150"/>
      <c r="T964" s="150"/>
      <c r="U964" s="140"/>
      <c r="V964" s="140"/>
      <c r="W964" s="140"/>
      <c r="X964" s="140"/>
      <c r="Y964" s="140"/>
      <c r="Z964" s="140"/>
      <c r="AA964" s="140"/>
      <c r="AB964" s="140"/>
      <c r="AC964" s="140"/>
      <c r="AD964" s="140"/>
      <c r="AE964" s="140"/>
      <c r="AF964" s="140"/>
      <c r="AG964" s="140"/>
      <c r="AH964" s="140"/>
      <c r="AI964" s="140"/>
      <c r="AJ964" s="140"/>
      <c r="AK964" s="140"/>
      <c r="AL964" s="140"/>
      <c r="AM964" s="140"/>
      <c r="AN964" s="140"/>
      <c r="AO964" s="140"/>
      <c r="AP964" s="140"/>
      <c r="AQ964" s="140"/>
      <c r="AR964" s="140"/>
      <c r="AS964" s="140"/>
    </row>
    <row r="965">
      <c r="A965" s="149"/>
      <c r="B965" s="140"/>
      <c r="C965" s="140"/>
      <c r="D965" s="140"/>
      <c r="E965" s="140"/>
      <c r="F965" s="140"/>
      <c r="G965" s="140"/>
      <c r="H965" s="140"/>
      <c r="I965" s="140"/>
      <c r="J965" s="140"/>
      <c r="K965" s="140"/>
      <c r="L965" s="140"/>
      <c r="M965" s="140"/>
      <c r="N965" s="140"/>
      <c r="O965" s="140"/>
      <c r="P965" s="140"/>
      <c r="Q965" s="140"/>
      <c r="R965" s="140"/>
      <c r="S965" s="150"/>
      <c r="T965" s="150"/>
      <c r="U965" s="140"/>
      <c r="V965" s="140"/>
      <c r="W965" s="140"/>
      <c r="X965" s="140"/>
      <c r="Y965" s="140"/>
      <c r="Z965" s="140"/>
      <c r="AA965" s="140"/>
      <c r="AB965" s="140"/>
      <c r="AC965" s="140"/>
      <c r="AD965" s="140"/>
      <c r="AE965" s="140"/>
      <c r="AF965" s="140"/>
      <c r="AG965" s="140"/>
      <c r="AH965" s="140"/>
      <c r="AI965" s="140"/>
      <c r="AJ965" s="140"/>
      <c r="AK965" s="140"/>
      <c r="AL965" s="140"/>
      <c r="AM965" s="140"/>
      <c r="AN965" s="140"/>
      <c r="AO965" s="140"/>
      <c r="AP965" s="140"/>
      <c r="AQ965" s="140"/>
      <c r="AR965" s="140"/>
      <c r="AS965" s="140"/>
    </row>
    <row r="966">
      <c r="A966" s="149"/>
      <c r="B966" s="140"/>
      <c r="C966" s="140"/>
      <c r="D966" s="140"/>
      <c r="E966" s="140"/>
      <c r="F966" s="140"/>
      <c r="G966" s="140"/>
      <c r="H966" s="140"/>
      <c r="I966" s="140"/>
      <c r="J966" s="140"/>
      <c r="K966" s="140"/>
      <c r="L966" s="140"/>
      <c r="M966" s="140"/>
      <c r="N966" s="140"/>
      <c r="O966" s="140"/>
      <c r="P966" s="140"/>
      <c r="Q966" s="140"/>
      <c r="R966" s="140"/>
      <c r="S966" s="150"/>
      <c r="T966" s="150"/>
      <c r="U966" s="140"/>
      <c r="V966" s="140"/>
      <c r="W966" s="140"/>
      <c r="X966" s="140"/>
      <c r="Y966" s="140"/>
      <c r="Z966" s="140"/>
      <c r="AA966" s="140"/>
      <c r="AB966" s="140"/>
      <c r="AC966" s="140"/>
      <c r="AD966" s="140"/>
      <c r="AE966" s="140"/>
      <c r="AF966" s="140"/>
      <c r="AG966" s="140"/>
      <c r="AH966" s="140"/>
      <c r="AI966" s="140"/>
      <c r="AJ966" s="140"/>
      <c r="AK966" s="140"/>
      <c r="AL966" s="140"/>
      <c r="AM966" s="140"/>
      <c r="AN966" s="140"/>
      <c r="AO966" s="140"/>
      <c r="AP966" s="140"/>
      <c r="AQ966" s="140"/>
      <c r="AR966" s="140"/>
      <c r="AS966" s="140"/>
    </row>
    <row r="967">
      <c r="A967" s="149"/>
      <c r="B967" s="140"/>
      <c r="C967" s="140"/>
      <c r="D967" s="140"/>
      <c r="E967" s="140"/>
      <c r="F967" s="140"/>
      <c r="G967" s="140"/>
      <c r="H967" s="140"/>
      <c r="I967" s="140"/>
      <c r="J967" s="140"/>
      <c r="K967" s="140"/>
      <c r="L967" s="140"/>
      <c r="M967" s="140"/>
      <c r="N967" s="140"/>
      <c r="O967" s="140"/>
      <c r="P967" s="140"/>
      <c r="Q967" s="140"/>
      <c r="R967" s="140"/>
      <c r="S967" s="150"/>
      <c r="T967" s="150"/>
      <c r="U967" s="140"/>
      <c r="V967" s="140"/>
      <c r="W967" s="140"/>
      <c r="X967" s="140"/>
      <c r="Y967" s="140"/>
      <c r="Z967" s="140"/>
      <c r="AA967" s="140"/>
      <c r="AB967" s="140"/>
      <c r="AC967" s="140"/>
      <c r="AD967" s="140"/>
      <c r="AE967" s="140"/>
      <c r="AF967" s="140"/>
      <c r="AG967" s="140"/>
      <c r="AH967" s="140"/>
      <c r="AI967" s="140"/>
      <c r="AJ967" s="140"/>
      <c r="AK967" s="140"/>
      <c r="AL967" s="140"/>
      <c r="AM967" s="140"/>
      <c r="AN967" s="140"/>
      <c r="AO967" s="140"/>
      <c r="AP967" s="140"/>
      <c r="AQ967" s="140"/>
      <c r="AR967" s="140"/>
      <c r="AS967" s="140"/>
    </row>
    <row r="968">
      <c r="A968" s="149"/>
      <c r="B968" s="140"/>
      <c r="C968" s="140"/>
      <c r="D968" s="140"/>
      <c r="E968" s="140"/>
      <c r="F968" s="140"/>
      <c r="G968" s="140"/>
      <c r="H968" s="140"/>
      <c r="I968" s="140"/>
      <c r="J968" s="140"/>
      <c r="K968" s="140"/>
      <c r="L968" s="140"/>
      <c r="M968" s="140"/>
      <c r="N968" s="140"/>
      <c r="O968" s="140"/>
      <c r="P968" s="140"/>
      <c r="Q968" s="140"/>
      <c r="R968" s="140"/>
      <c r="S968" s="150"/>
      <c r="T968" s="150"/>
      <c r="U968" s="140"/>
      <c r="V968" s="140"/>
      <c r="W968" s="140"/>
      <c r="X968" s="140"/>
      <c r="Y968" s="140"/>
      <c r="Z968" s="140"/>
      <c r="AA968" s="140"/>
      <c r="AB968" s="140"/>
      <c r="AC968" s="140"/>
      <c r="AD968" s="140"/>
      <c r="AE968" s="140"/>
      <c r="AF968" s="140"/>
      <c r="AG968" s="140"/>
      <c r="AH968" s="140"/>
      <c r="AI968" s="140"/>
      <c r="AJ968" s="140"/>
      <c r="AK968" s="140"/>
      <c r="AL968" s="140"/>
      <c r="AM968" s="140"/>
      <c r="AN968" s="140"/>
      <c r="AO968" s="140"/>
      <c r="AP968" s="140"/>
      <c r="AQ968" s="140"/>
      <c r="AR968" s="140"/>
      <c r="AS968" s="140"/>
    </row>
    <row r="969">
      <c r="A969" s="149"/>
      <c r="B969" s="140"/>
      <c r="C969" s="140"/>
      <c r="D969" s="140"/>
      <c r="E969" s="140"/>
      <c r="F969" s="140"/>
      <c r="G969" s="140"/>
      <c r="H969" s="140"/>
      <c r="I969" s="140"/>
      <c r="J969" s="140"/>
      <c r="K969" s="140"/>
      <c r="L969" s="140"/>
      <c r="M969" s="140"/>
      <c r="N969" s="140"/>
      <c r="O969" s="140"/>
      <c r="P969" s="140"/>
      <c r="Q969" s="140"/>
      <c r="R969" s="140"/>
      <c r="S969" s="150"/>
      <c r="T969" s="150"/>
      <c r="U969" s="140"/>
      <c r="V969" s="140"/>
      <c r="W969" s="140"/>
      <c r="X969" s="140"/>
      <c r="Y969" s="140"/>
      <c r="Z969" s="140"/>
      <c r="AA969" s="140"/>
      <c r="AB969" s="140"/>
      <c r="AC969" s="140"/>
      <c r="AD969" s="140"/>
      <c r="AE969" s="140"/>
      <c r="AF969" s="140"/>
      <c r="AG969" s="140"/>
      <c r="AH969" s="140"/>
      <c r="AI969" s="140"/>
      <c r="AJ969" s="140"/>
      <c r="AK969" s="140"/>
      <c r="AL969" s="140"/>
      <c r="AM969" s="140"/>
      <c r="AN969" s="140"/>
      <c r="AO969" s="140"/>
      <c r="AP969" s="140"/>
      <c r="AQ969" s="140"/>
      <c r="AR969" s="140"/>
      <c r="AS969" s="140"/>
    </row>
    <row r="970">
      <c r="A970" s="149"/>
      <c r="B970" s="140"/>
      <c r="C970" s="140"/>
      <c r="D970" s="140"/>
      <c r="E970" s="140"/>
      <c r="F970" s="140"/>
      <c r="G970" s="140"/>
      <c r="H970" s="140"/>
      <c r="I970" s="140"/>
      <c r="J970" s="140"/>
      <c r="K970" s="140"/>
      <c r="L970" s="140"/>
      <c r="M970" s="140"/>
      <c r="N970" s="140"/>
      <c r="O970" s="140"/>
      <c r="P970" s="140"/>
      <c r="Q970" s="140"/>
      <c r="R970" s="140"/>
      <c r="S970" s="150"/>
      <c r="T970" s="150"/>
      <c r="U970" s="140"/>
      <c r="V970" s="140"/>
      <c r="W970" s="140"/>
      <c r="X970" s="140"/>
      <c r="Y970" s="140"/>
      <c r="Z970" s="140"/>
      <c r="AA970" s="140"/>
      <c r="AB970" s="140"/>
      <c r="AC970" s="140"/>
      <c r="AD970" s="140"/>
      <c r="AE970" s="140"/>
      <c r="AF970" s="140"/>
      <c r="AG970" s="140"/>
      <c r="AH970" s="140"/>
      <c r="AI970" s="140"/>
      <c r="AJ970" s="140"/>
      <c r="AK970" s="140"/>
      <c r="AL970" s="140"/>
      <c r="AM970" s="140"/>
      <c r="AN970" s="140"/>
      <c r="AO970" s="140"/>
      <c r="AP970" s="140"/>
      <c r="AQ970" s="140"/>
      <c r="AR970" s="140"/>
      <c r="AS970" s="140"/>
    </row>
    <row r="971">
      <c r="A971" s="149"/>
      <c r="B971" s="140"/>
      <c r="C971" s="140"/>
      <c r="D971" s="140"/>
      <c r="E971" s="140"/>
      <c r="F971" s="140"/>
      <c r="G971" s="140"/>
      <c r="H971" s="140"/>
      <c r="I971" s="140"/>
      <c r="J971" s="140"/>
      <c r="K971" s="140"/>
      <c r="L971" s="140"/>
      <c r="M971" s="140"/>
      <c r="N971" s="140"/>
      <c r="O971" s="140"/>
      <c r="P971" s="140"/>
      <c r="Q971" s="140"/>
      <c r="R971" s="140"/>
      <c r="S971" s="150"/>
      <c r="T971" s="150"/>
      <c r="U971" s="140"/>
      <c r="V971" s="140"/>
      <c r="W971" s="140"/>
      <c r="X971" s="140"/>
      <c r="Y971" s="140"/>
      <c r="Z971" s="140"/>
      <c r="AA971" s="140"/>
      <c r="AB971" s="140"/>
      <c r="AC971" s="140"/>
      <c r="AD971" s="140"/>
      <c r="AE971" s="140"/>
      <c r="AF971" s="140"/>
      <c r="AG971" s="140"/>
      <c r="AH971" s="140"/>
      <c r="AI971" s="140"/>
      <c r="AJ971" s="140"/>
      <c r="AK971" s="140"/>
      <c r="AL971" s="140"/>
      <c r="AM971" s="140"/>
      <c r="AN971" s="140"/>
      <c r="AO971" s="140"/>
      <c r="AP971" s="140"/>
      <c r="AQ971" s="140"/>
      <c r="AR971" s="140"/>
      <c r="AS971" s="140"/>
    </row>
    <row r="972">
      <c r="A972" s="149"/>
      <c r="B972" s="140"/>
      <c r="C972" s="140"/>
      <c r="D972" s="140"/>
      <c r="E972" s="140"/>
      <c r="F972" s="140"/>
      <c r="G972" s="140"/>
      <c r="H972" s="140"/>
      <c r="I972" s="140"/>
      <c r="J972" s="140"/>
      <c r="K972" s="140"/>
      <c r="L972" s="140"/>
      <c r="M972" s="140"/>
      <c r="N972" s="140"/>
      <c r="O972" s="140"/>
      <c r="P972" s="140"/>
      <c r="Q972" s="140"/>
      <c r="R972" s="140"/>
      <c r="S972" s="150"/>
      <c r="T972" s="150"/>
      <c r="U972" s="140"/>
      <c r="V972" s="140"/>
      <c r="W972" s="140"/>
      <c r="X972" s="140"/>
      <c r="Y972" s="140"/>
      <c r="Z972" s="140"/>
      <c r="AA972" s="140"/>
      <c r="AB972" s="140"/>
      <c r="AC972" s="140"/>
      <c r="AD972" s="140"/>
      <c r="AE972" s="140"/>
      <c r="AF972" s="140"/>
      <c r="AG972" s="140"/>
      <c r="AH972" s="140"/>
      <c r="AI972" s="140"/>
      <c r="AJ972" s="140"/>
      <c r="AK972" s="140"/>
      <c r="AL972" s="140"/>
      <c r="AM972" s="140"/>
      <c r="AN972" s="140"/>
      <c r="AO972" s="140"/>
      <c r="AP972" s="140"/>
      <c r="AQ972" s="140"/>
      <c r="AR972" s="140"/>
      <c r="AS972" s="140"/>
    </row>
    <row r="973">
      <c r="A973" s="149"/>
      <c r="B973" s="140"/>
      <c r="C973" s="140"/>
      <c r="D973" s="140"/>
      <c r="E973" s="140"/>
      <c r="F973" s="140"/>
      <c r="G973" s="140"/>
      <c r="H973" s="140"/>
      <c r="I973" s="140"/>
      <c r="J973" s="140"/>
      <c r="K973" s="140"/>
      <c r="L973" s="140"/>
      <c r="M973" s="140"/>
      <c r="N973" s="140"/>
      <c r="O973" s="140"/>
      <c r="P973" s="140"/>
      <c r="Q973" s="140"/>
      <c r="R973" s="140"/>
      <c r="S973" s="150"/>
      <c r="T973" s="150"/>
      <c r="U973" s="140"/>
      <c r="V973" s="140"/>
      <c r="W973" s="140"/>
      <c r="X973" s="140"/>
      <c r="Y973" s="140"/>
      <c r="Z973" s="140"/>
      <c r="AA973" s="140"/>
      <c r="AB973" s="140"/>
      <c r="AC973" s="140"/>
      <c r="AD973" s="140"/>
      <c r="AE973" s="140"/>
      <c r="AF973" s="140"/>
      <c r="AG973" s="140"/>
      <c r="AH973" s="140"/>
      <c r="AI973" s="140"/>
      <c r="AJ973" s="140"/>
      <c r="AK973" s="140"/>
      <c r="AL973" s="140"/>
      <c r="AM973" s="140"/>
      <c r="AN973" s="140"/>
      <c r="AO973" s="140"/>
      <c r="AP973" s="140"/>
      <c r="AQ973" s="140"/>
      <c r="AR973" s="140"/>
      <c r="AS973" s="140"/>
    </row>
    <row r="974">
      <c r="A974" s="149"/>
      <c r="B974" s="140"/>
      <c r="C974" s="140"/>
      <c r="D974" s="140"/>
      <c r="E974" s="140"/>
      <c r="F974" s="140"/>
      <c r="G974" s="140"/>
      <c r="H974" s="140"/>
      <c r="I974" s="140"/>
      <c r="J974" s="140"/>
      <c r="K974" s="140"/>
      <c r="L974" s="140"/>
      <c r="M974" s="140"/>
      <c r="N974" s="140"/>
      <c r="O974" s="140"/>
      <c r="P974" s="140"/>
      <c r="Q974" s="140"/>
      <c r="R974" s="140"/>
      <c r="S974" s="150"/>
      <c r="T974" s="150"/>
      <c r="U974" s="140"/>
      <c r="V974" s="140"/>
      <c r="W974" s="140"/>
      <c r="X974" s="140"/>
      <c r="Y974" s="140"/>
      <c r="Z974" s="140"/>
      <c r="AA974" s="140"/>
      <c r="AB974" s="140"/>
      <c r="AC974" s="140"/>
      <c r="AD974" s="140"/>
      <c r="AE974" s="140"/>
      <c r="AF974" s="140"/>
      <c r="AG974" s="140"/>
      <c r="AH974" s="140"/>
      <c r="AI974" s="140"/>
      <c r="AJ974" s="140"/>
      <c r="AK974" s="140"/>
      <c r="AL974" s="140"/>
      <c r="AM974" s="140"/>
      <c r="AN974" s="140"/>
      <c r="AO974" s="140"/>
      <c r="AP974" s="140"/>
      <c r="AQ974" s="140"/>
      <c r="AR974" s="140"/>
      <c r="AS974" s="140"/>
    </row>
    <row r="975">
      <c r="A975" s="149"/>
      <c r="B975" s="140"/>
      <c r="C975" s="140"/>
      <c r="D975" s="140"/>
      <c r="E975" s="140"/>
      <c r="F975" s="140"/>
      <c r="G975" s="140"/>
      <c r="H975" s="140"/>
      <c r="I975" s="140"/>
      <c r="J975" s="140"/>
      <c r="K975" s="140"/>
      <c r="L975" s="140"/>
      <c r="M975" s="140"/>
      <c r="N975" s="140"/>
      <c r="O975" s="140"/>
      <c r="P975" s="140"/>
      <c r="Q975" s="140"/>
      <c r="R975" s="140"/>
      <c r="S975" s="150"/>
      <c r="T975" s="150"/>
      <c r="U975" s="140"/>
      <c r="V975" s="140"/>
      <c r="W975" s="140"/>
      <c r="X975" s="140"/>
      <c r="Y975" s="140"/>
      <c r="Z975" s="140"/>
      <c r="AA975" s="140"/>
      <c r="AB975" s="140"/>
      <c r="AC975" s="140"/>
      <c r="AD975" s="140"/>
      <c r="AE975" s="140"/>
      <c r="AF975" s="140"/>
      <c r="AG975" s="140"/>
      <c r="AH975" s="140"/>
      <c r="AI975" s="140"/>
      <c r="AJ975" s="140"/>
      <c r="AK975" s="140"/>
      <c r="AL975" s="140"/>
      <c r="AM975" s="140"/>
      <c r="AN975" s="140"/>
      <c r="AO975" s="140"/>
      <c r="AP975" s="140"/>
      <c r="AQ975" s="140"/>
      <c r="AR975" s="140"/>
      <c r="AS975" s="140"/>
    </row>
    <row r="976">
      <c r="A976" s="149"/>
      <c r="B976" s="140"/>
      <c r="C976" s="140"/>
      <c r="D976" s="140"/>
      <c r="E976" s="140"/>
      <c r="F976" s="140"/>
      <c r="G976" s="140"/>
      <c r="H976" s="140"/>
      <c r="I976" s="140"/>
      <c r="J976" s="140"/>
      <c r="K976" s="140"/>
      <c r="L976" s="140"/>
      <c r="M976" s="140"/>
      <c r="N976" s="140"/>
      <c r="O976" s="140"/>
      <c r="P976" s="140"/>
      <c r="Q976" s="140"/>
      <c r="R976" s="140"/>
      <c r="S976" s="150"/>
      <c r="T976" s="150"/>
      <c r="U976" s="140"/>
      <c r="V976" s="140"/>
      <c r="W976" s="140"/>
      <c r="X976" s="140"/>
      <c r="Y976" s="140"/>
      <c r="Z976" s="140"/>
      <c r="AA976" s="140"/>
      <c r="AB976" s="140"/>
      <c r="AC976" s="140"/>
      <c r="AD976" s="140"/>
      <c r="AE976" s="140"/>
      <c r="AF976" s="140"/>
      <c r="AG976" s="140"/>
      <c r="AH976" s="140"/>
      <c r="AI976" s="140"/>
      <c r="AJ976" s="140"/>
      <c r="AK976" s="140"/>
      <c r="AL976" s="140"/>
      <c r="AM976" s="140"/>
      <c r="AN976" s="140"/>
      <c r="AO976" s="140"/>
      <c r="AP976" s="140"/>
      <c r="AQ976" s="140"/>
      <c r="AR976" s="140"/>
      <c r="AS976" s="140"/>
    </row>
    <row r="977">
      <c r="A977" s="149"/>
      <c r="B977" s="140"/>
      <c r="C977" s="140"/>
      <c r="D977" s="140"/>
      <c r="E977" s="140"/>
      <c r="F977" s="140"/>
      <c r="G977" s="140"/>
      <c r="H977" s="140"/>
      <c r="I977" s="140"/>
      <c r="J977" s="140"/>
      <c r="K977" s="140"/>
      <c r="L977" s="140"/>
      <c r="M977" s="140"/>
      <c r="N977" s="140"/>
      <c r="O977" s="140"/>
      <c r="P977" s="140"/>
      <c r="Q977" s="140"/>
      <c r="R977" s="140"/>
      <c r="S977" s="150"/>
      <c r="T977" s="150"/>
      <c r="U977" s="140"/>
      <c r="V977" s="140"/>
      <c r="W977" s="140"/>
      <c r="X977" s="140"/>
      <c r="Y977" s="140"/>
      <c r="Z977" s="140"/>
      <c r="AA977" s="140"/>
      <c r="AB977" s="140"/>
      <c r="AC977" s="140"/>
      <c r="AD977" s="140"/>
      <c r="AE977" s="140"/>
      <c r="AF977" s="140"/>
      <c r="AG977" s="140"/>
      <c r="AH977" s="140"/>
      <c r="AI977" s="140"/>
      <c r="AJ977" s="140"/>
      <c r="AK977" s="140"/>
      <c r="AL977" s="140"/>
      <c r="AM977" s="140"/>
      <c r="AN977" s="140"/>
      <c r="AO977" s="140"/>
      <c r="AP977" s="140"/>
      <c r="AQ977" s="140"/>
      <c r="AR977" s="140"/>
      <c r="AS977" s="140"/>
    </row>
    <row r="978">
      <c r="A978" s="149"/>
      <c r="B978" s="140"/>
      <c r="C978" s="140"/>
      <c r="D978" s="140"/>
      <c r="E978" s="140"/>
      <c r="F978" s="140"/>
      <c r="G978" s="140"/>
      <c r="H978" s="140"/>
      <c r="I978" s="140"/>
      <c r="J978" s="140"/>
      <c r="K978" s="140"/>
      <c r="L978" s="140"/>
      <c r="M978" s="140"/>
      <c r="N978" s="140"/>
      <c r="O978" s="140"/>
      <c r="P978" s="140"/>
      <c r="Q978" s="140"/>
      <c r="R978" s="140"/>
      <c r="S978" s="150"/>
      <c r="T978" s="150"/>
      <c r="U978" s="140"/>
      <c r="V978" s="140"/>
      <c r="W978" s="140"/>
      <c r="X978" s="140"/>
      <c r="Y978" s="140"/>
      <c r="Z978" s="140"/>
      <c r="AA978" s="140"/>
      <c r="AB978" s="140"/>
      <c r="AC978" s="140"/>
      <c r="AD978" s="140"/>
      <c r="AE978" s="140"/>
      <c r="AF978" s="140"/>
      <c r="AG978" s="140"/>
      <c r="AH978" s="140"/>
      <c r="AI978" s="140"/>
      <c r="AJ978" s="140"/>
      <c r="AK978" s="140"/>
      <c r="AL978" s="140"/>
      <c r="AM978" s="140"/>
      <c r="AN978" s="140"/>
      <c r="AO978" s="140"/>
      <c r="AP978" s="140"/>
      <c r="AQ978" s="140"/>
      <c r="AR978" s="140"/>
      <c r="AS978" s="140"/>
    </row>
    <row r="979">
      <c r="A979" s="149"/>
      <c r="B979" s="140"/>
      <c r="C979" s="140"/>
      <c r="D979" s="140"/>
      <c r="E979" s="140"/>
      <c r="F979" s="140"/>
      <c r="G979" s="140"/>
      <c r="H979" s="140"/>
      <c r="I979" s="140"/>
      <c r="J979" s="140"/>
      <c r="K979" s="140"/>
      <c r="L979" s="140"/>
      <c r="M979" s="140"/>
      <c r="N979" s="140"/>
      <c r="O979" s="140"/>
      <c r="P979" s="140"/>
      <c r="Q979" s="140"/>
      <c r="R979" s="140"/>
      <c r="S979" s="150"/>
      <c r="T979" s="150"/>
      <c r="U979" s="140"/>
      <c r="V979" s="140"/>
      <c r="W979" s="140"/>
      <c r="X979" s="140"/>
      <c r="Y979" s="140"/>
      <c r="Z979" s="140"/>
      <c r="AA979" s="140"/>
      <c r="AB979" s="140"/>
      <c r="AC979" s="140"/>
      <c r="AD979" s="140"/>
      <c r="AE979" s="140"/>
      <c r="AF979" s="140"/>
      <c r="AG979" s="140"/>
      <c r="AH979" s="140"/>
      <c r="AI979" s="140"/>
      <c r="AJ979" s="140"/>
      <c r="AK979" s="140"/>
      <c r="AL979" s="140"/>
      <c r="AM979" s="140"/>
      <c r="AN979" s="140"/>
      <c r="AO979" s="140"/>
      <c r="AP979" s="140"/>
      <c r="AQ979" s="140"/>
      <c r="AR979" s="140"/>
      <c r="AS979" s="140"/>
    </row>
    <row r="980">
      <c r="A980" s="149"/>
      <c r="B980" s="140"/>
      <c r="C980" s="140"/>
      <c r="D980" s="140"/>
      <c r="E980" s="140"/>
      <c r="F980" s="140"/>
      <c r="G980" s="140"/>
      <c r="H980" s="140"/>
      <c r="I980" s="140"/>
      <c r="J980" s="140"/>
      <c r="K980" s="140"/>
      <c r="L980" s="140"/>
      <c r="M980" s="140"/>
      <c r="N980" s="140"/>
      <c r="O980" s="140"/>
      <c r="P980" s="140"/>
      <c r="Q980" s="140"/>
      <c r="R980" s="140"/>
      <c r="S980" s="150"/>
      <c r="T980" s="150"/>
      <c r="U980" s="140"/>
      <c r="V980" s="140"/>
      <c r="W980" s="140"/>
      <c r="X980" s="140"/>
      <c r="Y980" s="140"/>
      <c r="Z980" s="140"/>
      <c r="AA980" s="140"/>
      <c r="AB980" s="140"/>
      <c r="AC980" s="140"/>
      <c r="AD980" s="140"/>
      <c r="AE980" s="140"/>
      <c r="AF980" s="140"/>
      <c r="AG980" s="140"/>
      <c r="AH980" s="140"/>
      <c r="AI980" s="140"/>
      <c r="AJ980" s="140"/>
      <c r="AK980" s="140"/>
      <c r="AL980" s="140"/>
      <c r="AM980" s="140"/>
      <c r="AN980" s="140"/>
      <c r="AO980" s="140"/>
      <c r="AP980" s="140"/>
      <c r="AQ980" s="140"/>
      <c r="AR980" s="140"/>
      <c r="AS980" s="140"/>
    </row>
    <row r="981">
      <c r="A981" s="149"/>
      <c r="B981" s="140"/>
      <c r="C981" s="140"/>
      <c r="D981" s="140"/>
      <c r="E981" s="140"/>
      <c r="F981" s="140"/>
      <c r="G981" s="140"/>
      <c r="H981" s="140"/>
      <c r="I981" s="140"/>
      <c r="J981" s="140"/>
      <c r="K981" s="140"/>
      <c r="L981" s="140"/>
      <c r="M981" s="140"/>
      <c r="N981" s="140"/>
      <c r="O981" s="140"/>
      <c r="P981" s="140"/>
      <c r="Q981" s="140"/>
      <c r="R981" s="140"/>
      <c r="S981" s="150"/>
      <c r="T981" s="150"/>
      <c r="U981" s="140"/>
      <c r="V981" s="140"/>
      <c r="W981" s="140"/>
      <c r="X981" s="140"/>
      <c r="Y981" s="140"/>
      <c r="Z981" s="140"/>
      <c r="AA981" s="140"/>
      <c r="AB981" s="140"/>
      <c r="AC981" s="140"/>
      <c r="AD981" s="140"/>
      <c r="AE981" s="140"/>
      <c r="AF981" s="140"/>
      <c r="AG981" s="140"/>
      <c r="AH981" s="140"/>
      <c r="AI981" s="140"/>
      <c r="AJ981" s="140"/>
      <c r="AK981" s="140"/>
      <c r="AL981" s="140"/>
      <c r="AM981" s="140"/>
      <c r="AN981" s="140"/>
      <c r="AO981" s="140"/>
      <c r="AP981" s="140"/>
      <c r="AQ981" s="140"/>
      <c r="AR981" s="140"/>
      <c r="AS981" s="140"/>
    </row>
    <row r="982">
      <c r="A982" s="149"/>
      <c r="B982" s="140"/>
      <c r="C982" s="140"/>
      <c r="D982" s="140"/>
      <c r="E982" s="140"/>
      <c r="F982" s="140"/>
      <c r="G982" s="140"/>
      <c r="H982" s="140"/>
      <c r="I982" s="140"/>
      <c r="J982" s="140"/>
      <c r="K982" s="140"/>
      <c r="L982" s="140"/>
      <c r="M982" s="140"/>
      <c r="N982" s="140"/>
      <c r="O982" s="140"/>
      <c r="P982" s="140"/>
      <c r="Q982" s="140"/>
      <c r="R982" s="140"/>
      <c r="S982" s="150"/>
      <c r="T982" s="150"/>
      <c r="U982" s="140"/>
      <c r="V982" s="140"/>
      <c r="W982" s="140"/>
      <c r="X982" s="140"/>
      <c r="Y982" s="140"/>
      <c r="Z982" s="140"/>
      <c r="AA982" s="140"/>
      <c r="AB982" s="140"/>
      <c r="AC982" s="140"/>
      <c r="AD982" s="140"/>
      <c r="AE982" s="140"/>
      <c r="AF982" s="140"/>
      <c r="AG982" s="140"/>
      <c r="AH982" s="140"/>
      <c r="AI982" s="140"/>
      <c r="AJ982" s="140"/>
      <c r="AK982" s="140"/>
      <c r="AL982" s="140"/>
      <c r="AM982" s="140"/>
      <c r="AN982" s="140"/>
      <c r="AO982" s="140"/>
      <c r="AP982" s="140"/>
      <c r="AQ982" s="140"/>
      <c r="AR982" s="140"/>
      <c r="AS982" s="140"/>
    </row>
    <row r="983">
      <c r="A983" s="149"/>
      <c r="B983" s="140"/>
      <c r="C983" s="140"/>
      <c r="D983" s="140"/>
      <c r="E983" s="140"/>
      <c r="F983" s="140"/>
      <c r="G983" s="140"/>
      <c r="H983" s="140"/>
      <c r="I983" s="140"/>
      <c r="J983" s="140"/>
      <c r="K983" s="140"/>
      <c r="L983" s="140"/>
      <c r="M983" s="140"/>
      <c r="N983" s="140"/>
      <c r="O983" s="140"/>
      <c r="P983" s="140"/>
      <c r="Q983" s="140"/>
      <c r="R983" s="140"/>
      <c r="S983" s="150"/>
      <c r="T983" s="150"/>
      <c r="U983" s="140"/>
      <c r="V983" s="140"/>
      <c r="W983" s="140"/>
      <c r="X983" s="140"/>
      <c r="Y983" s="140"/>
      <c r="Z983" s="140"/>
      <c r="AA983" s="140"/>
      <c r="AB983" s="140"/>
      <c r="AC983" s="140"/>
      <c r="AD983" s="140"/>
      <c r="AE983" s="140"/>
      <c r="AF983" s="140"/>
      <c r="AG983" s="140"/>
      <c r="AH983" s="140"/>
      <c r="AI983" s="140"/>
      <c r="AJ983" s="140"/>
      <c r="AK983" s="140"/>
      <c r="AL983" s="140"/>
      <c r="AM983" s="140"/>
      <c r="AN983" s="140"/>
      <c r="AO983" s="140"/>
      <c r="AP983" s="140"/>
      <c r="AQ983" s="140"/>
      <c r="AR983" s="140"/>
      <c r="AS983" s="140"/>
    </row>
    <row r="984">
      <c r="A984" s="149"/>
      <c r="B984" s="140"/>
      <c r="C984" s="140"/>
      <c r="D984" s="140"/>
      <c r="E984" s="140"/>
      <c r="F984" s="140"/>
      <c r="G984" s="140"/>
      <c r="H984" s="140"/>
      <c r="I984" s="140"/>
      <c r="J984" s="140"/>
      <c r="K984" s="140"/>
      <c r="L984" s="140"/>
      <c r="M984" s="140"/>
      <c r="N984" s="140"/>
      <c r="O984" s="140"/>
      <c r="P984" s="140"/>
      <c r="Q984" s="140"/>
      <c r="R984" s="140"/>
      <c r="S984" s="150"/>
      <c r="T984" s="150"/>
      <c r="U984" s="140"/>
      <c r="V984" s="140"/>
      <c r="W984" s="140"/>
      <c r="X984" s="140"/>
      <c r="Y984" s="140"/>
      <c r="Z984" s="140"/>
      <c r="AA984" s="140"/>
      <c r="AB984" s="140"/>
      <c r="AC984" s="140"/>
      <c r="AD984" s="140"/>
      <c r="AE984" s="140"/>
      <c r="AF984" s="140"/>
      <c r="AG984" s="140"/>
      <c r="AH984" s="140"/>
      <c r="AI984" s="140"/>
      <c r="AJ984" s="140"/>
      <c r="AK984" s="140"/>
      <c r="AL984" s="140"/>
      <c r="AM984" s="140"/>
      <c r="AN984" s="140"/>
      <c r="AO984" s="140"/>
      <c r="AP984" s="140"/>
      <c r="AQ984" s="140"/>
      <c r="AR984" s="140"/>
      <c r="AS984" s="140"/>
    </row>
    <row r="985">
      <c r="A985" s="149"/>
      <c r="B985" s="140"/>
      <c r="C985" s="140"/>
      <c r="D985" s="140"/>
      <c r="E985" s="140"/>
      <c r="F985" s="140"/>
      <c r="G985" s="140"/>
      <c r="H985" s="140"/>
      <c r="I985" s="140"/>
      <c r="J985" s="140"/>
      <c r="K985" s="140"/>
      <c r="L985" s="140"/>
      <c r="M985" s="140"/>
      <c r="N985" s="140"/>
      <c r="O985" s="140"/>
      <c r="P985" s="140"/>
      <c r="Q985" s="140"/>
      <c r="R985" s="140"/>
      <c r="S985" s="150"/>
      <c r="T985" s="150"/>
      <c r="U985" s="140"/>
      <c r="V985" s="140"/>
      <c r="W985" s="140"/>
      <c r="X985" s="140"/>
      <c r="Y985" s="140"/>
      <c r="Z985" s="140"/>
      <c r="AA985" s="140"/>
      <c r="AB985" s="140"/>
      <c r="AC985" s="140"/>
      <c r="AD985" s="140"/>
      <c r="AE985" s="140"/>
      <c r="AF985" s="140"/>
      <c r="AG985" s="140"/>
      <c r="AH985" s="140"/>
      <c r="AI985" s="140"/>
      <c r="AJ985" s="140"/>
      <c r="AK985" s="140"/>
      <c r="AL985" s="140"/>
      <c r="AM985" s="140"/>
      <c r="AN985" s="140"/>
      <c r="AO985" s="140"/>
      <c r="AP985" s="140"/>
      <c r="AQ985" s="140"/>
      <c r="AR985" s="140"/>
      <c r="AS985" s="140"/>
    </row>
    <row r="986">
      <c r="A986" s="149"/>
      <c r="B986" s="140"/>
      <c r="C986" s="140"/>
      <c r="D986" s="140"/>
      <c r="E986" s="140"/>
      <c r="F986" s="140"/>
      <c r="G986" s="140"/>
      <c r="H986" s="140"/>
      <c r="I986" s="140"/>
      <c r="J986" s="140"/>
      <c r="K986" s="140"/>
      <c r="L986" s="140"/>
      <c r="M986" s="140"/>
      <c r="N986" s="140"/>
      <c r="O986" s="140"/>
      <c r="P986" s="140"/>
      <c r="Q986" s="140"/>
      <c r="R986" s="140"/>
      <c r="S986" s="150"/>
      <c r="T986" s="150"/>
      <c r="U986" s="140"/>
      <c r="V986" s="140"/>
      <c r="W986" s="140"/>
      <c r="X986" s="140"/>
      <c r="Y986" s="140"/>
      <c r="Z986" s="140"/>
      <c r="AA986" s="140"/>
      <c r="AB986" s="140"/>
      <c r="AC986" s="140"/>
      <c r="AD986" s="140"/>
      <c r="AE986" s="140"/>
      <c r="AF986" s="140"/>
      <c r="AG986" s="140"/>
      <c r="AH986" s="140"/>
      <c r="AI986" s="140"/>
      <c r="AJ986" s="140"/>
      <c r="AK986" s="140"/>
      <c r="AL986" s="140"/>
      <c r="AM986" s="140"/>
      <c r="AN986" s="140"/>
      <c r="AO986" s="140"/>
      <c r="AP986" s="140"/>
      <c r="AQ986" s="140"/>
      <c r="AR986" s="140"/>
      <c r="AS986" s="140"/>
    </row>
    <row r="987">
      <c r="A987" s="149"/>
      <c r="B987" s="140"/>
      <c r="C987" s="140"/>
      <c r="D987" s="140"/>
      <c r="E987" s="140"/>
      <c r="F987" s="140"/>
      <c r="G987" s="140"/>
      <c r="H987" s="140"/>
      <c r="I987" s="140"/>
      <c r="J987" s="140"/>
      <c r="K987" s="140"/>
      <c r="L987" s="140"/>
      <c r="M987" s="140"/>
      <c r="N987" s="140"/>
      <c r="O987" s="140"/>
      <c r="P987" s="140"/>
      <c r="Q987" s="140"/>
      <c r="R987" s="140"/>
      <c r="S987" s="150"/>
      <c r="T987" s="150"/>
      <c r="U987" s="140"/>
      <c r="V987" s="140"/>
      <c r="W987" s="140"/>
      <c r="X987" s="140"/>
      <c r="Y987" s="140"/>
      <c r="Z987" s="140"/>
      <c r="AA987" s="140"/>
      <c r="AB987" s="140"/>
      <c r="AC987" s="140"/>
      <c r="AD987" s="140"/>
      <c r="AE987" s="140"/>
      <c r="AF987" s="140"/>
      <c r="AG987" s="140"/>
      <c r="AH987" s="140"/>
      <c r="AI987" s="140"/>
      <c r="AJ987" s="140"/>
      <c r="AK987" s="140"/>
      <c r="AL987" s="140"/>
      <c r="AM987" s="140"/>
      <c r="AN987" s="140"/>
      <c r="AO987" s="140"/>
      <c r="AP987" s="140"/>
      <c r="AQ987" s="140"/>
      <c r="AR987" s="140"/>
      <c r="AS987" s="140"/>
    </row>
    <row r="988">
      <c r="A988" s="149"/>
      <c r="B988" s="140"/>
      <c r="C988" s="140"/>
      <c r="D988" s="140"/>
      <c r="E988" s="140"/>
      <c r="F988" s="140"/>
      <c r="G988" s="140"/>
      <c r="H988" s="140"/>
      <c r="I988" s="140"/>
      <c r="J988" s="140"/>
      <c r="K988" s="140"/>
      <c r="L988" s="140"/>
      <c r="M988" s="140"/>
      <c r="N988" s="140"/>
      <c r="O988" s="140"/>
      <c r="P988" s="140"/>
      <c r="Q988" s="140"/>
      <c r="R988" s="140"/>
      <c r="S988" s="150"/>
      <c r="T988" s="150"/>
      <c r="U988" s="140"/>
      <c r="V988" s="140"/>
      <c r="W988" s="140"/>
      <c r="X988" s="140"/>
      <c r="Y988" s="140"/>
      <c r="Z988" s="140"/>
      <c r="AA988" s="140"/>
      <c r="AB988" s="140"/>
      <c r="AC988" s="140"/>
      <c r="AD988" s="140"/>
      <c r="AE988" s="140"/>
      <c r="AF988" s="140"/>
      <c r="AG988" s="140"/>
      <c r="AH988" s="140"/>
      <c r="AI988" s="140"/>
      <c r="AJ988" s="140"/>
      <c r="AK988" s="140"/>
      <c r="AL988" s="140"/>
      <c r="AM988" s="140"/>
      <c r="AN988" s="140"/>
      <c r="AO988" s="140"/>
      <c r="AP988" s="140"/>
      <c r="AQ988" s="140"/>
      <c r="AR988" s="140"/>
      <c r="AS988" s="140"/>
    </row>
    <row r="989">
      <c r="A989" s="149"/>
      <c r="B989" s="140"/>
      <c r="C989" s="140"/>
      <c r="D989" s="140"/>
      <c r="E989" s="140"/>
      <c r="F989" s="140"/>
      <c r="G989" s="140"/>
      <c r="H989" s="140"/>
      <c r="I989" s="140"/>
      <c r="J989" s="140"/>
      <c r="K989" s="140"/>
      <c r="L989" s="140"/>
      <c r="M989" s="140"/>
      <c r="N989" s="140"/>
      <c r="O989" s="140"/>
      <c r="P989" s="140"/>
      <c r="Q989" s="140"/>
      <c r="R989" s="140"/>
      <c r="S989" s="150"/>
      <c r="T989" s="150"/>
      <c r="U989" s="140"/>
      <c r="V989" s="140"/>
      <c r="W989" s="140"/>
      <c r="X989" s="140"/>
      <c r="Y989" s="140"/>
      <c r="Z989" s="140"/>
      <c r="AA989" s="140"/>
      <c r="AB989" s="140"/>
      <c r="AC989" s="140"/>
      <c r="AD989" s="140"/>
      <c r="AE989" s="140"/>
      <c r="AF989" s="140"/>
      <c r="AG989" s="140"/>
      <c r="AH989" s="140"/>
      <c r="AI989" s="140"/>
      <c r="AJ989" s="140"/>
      <c r="AK989" s="140"/>
      <c r="AL989" s="140"/>
      <c r="AM989" s="140"/>
      <c r="AN989" s="140"/>
      <c r="AO989" s="140"/>
      <c r="AP989" s="140"/>
      <c r="AQ989" s="140"/>
      <c r="AR989" s="140"/>
      <c r="AS989" s="140"/>
    </row>
    <row r="990">
      <c r="A990" s="149"/>
      <c r="B990" s="140"/>
      <c r="C990" s="140"/>
      <c r="D990" s="140"/>
      <c r="E990" s="140"/>
      <c r="F990" s="140"/>
      <c r="G990" s="140"/>
      <c r="H990" s="140"/>
      <c r="I990" s="140"/>
      <c r="J990" s="140"/>
      <c r="K990" s="140"/>
      <c r="L990" s="140"/>
      <c r="M990" s="140"/>
      <c r="N990" s="140"/>
      <c r="O990" s="140"/>
      <c r="P990" s="140"/>
      <c r="Q990" s="140"/>
      <c r="R990" s="140"/>
      <c r="S990" s="150"/>
      <c r="T990" s="150"/>
      <c r="U990" s="140"/>
      <c r="V990" s="140"/>
      <c r="W990" s="140"/>
      <c r="X990" s="140"/>
      <c r="Y990" s="140"/>
      <c r="Z990" s="140"/>
      <c r="AA990" s="140"/>
      <c r="AB990" s="140"/>
      <c r="AC990" s="140"/>
      <c r="AD990" s="140"/>
      <c r="AE990" s="140"/>
      <c r="AF990" s="140"/>
      <c r="AG990" s="140"/>
      <c r="AH990" s="140"/>
      <c r="AI990" s="140"/>
      <c r="AJ990" s="140"/>
      <c r="AK990" s="140"/>
      <c r="AL990" s="140"/>
      <c r="AM990" s="140"/>
      <c r="AN990" s="140"/>
      <c r="AO990" s="140"/>
      <c r="AP990" s="140"/>
      <c r="AQ990" s="140"/>
      <c r="AR990" s="140"/>
      <c r="AS990" s="140"/>
    </row>
    <row r="991">
      <c r="A991" s="149"/>
      <c r="B991" s="140"/>
      <c r="C991" s="140"/>
      <c r="D991" s="140"/>
      <c r="E991" s="140"/>
      <c r="F991" s="140"/>
      <c r="G991" s="140"/>
      <c r="H991" s="140"/>
      <c r="I991" s="140"/>
      <c r="J991" s="140"/>
      <c r="K991" s="140"/>
      <c r="L991" s="140"/>
      <c r="M991" s="140"/>
      <c r="N991" s="140"/>
      <c r="O991" s="140"/>
      <c r="P991" s="140"/>
      <c r="Q991" s="140"/>
      <c r="R991" s="140"/>
      <c r="S991" s="150"/>
      <c r="T991" s="150"/>
      <c r="U991" s="140"/>
      <c r="V991" s="140"/>
      <c r="W991" s="140"/>
      <c r="X991" s="140"/>
      <c r="Y991" s="140"/>
      <c r="Z991" s="140"/>
      <c r="AA991" s="140"/>
      <c r="AB991" s="140"/>
      <c r="AC991" s="140"/>
      <c r="AD991" s="140"/>
      <c r="AE991" s="140"/>
      <c r="AF991" s="140"/>
      <c r="AG991" s="140"/>
      <c r="AH991" s="140"/>
      <c r="AI991" s="140"/>
      <c r="AJ991" s="140"/>
      <c r="AK991" s="140"/>
      <c r="AL991" s="140"/>
      <c r="AM991" s="140"/>
      <c r="AN991" s="140"/>
      <c r="AO991" s="140"/>
      <c r="AP991" s="140"/>
      <c r="AQ991" s="140"/>
      <c r="AR991" s="140"/>
      <c r="AS991" s="140"/>
    </row>
    <row r="992">
      <c r="A992" s="149"/>
      <c r="B992" s="140"/>
      <c r="C992" s="140"/>
      <c r="D992" s="140"/>
      <c r="E992" s="140"/>
      <c r="F992" s="140"/>
      <c r="G992" s="140"/>
      <c r="H992" s="140"/>
      <c r="I992" s="140"/>
      <c r="J992" s="140"/>
      <c r="K992" s="140"/>
      <c r="L992" s="140"/>
      <c r="M992" s="140"/>
      <c r="N992" s="140"/>
      <c r="O992" s="140"/>
      <c r="P992" s="140"/>
      <c r="Q992" s="140"/>
      <c r="R992" s="140"/>
      <c r="S992" s="150"/>
      <c r="T992" s="150"/>
      <c r="U992" s="140"/>
      <c r="V992" s="140"/>
      <c r="W992" s="140"/>
      <c r="X992" s="140"/>
      <c r="Y992" s="140"/>
      <c r="Z992" s="140"/>
      <c r="AA992" s="140"/>
      <c r="AB992" s="140"/>
      <c r="AC992" s="140"/>
      <c r="AD992" s="140"/>
      <c r="AE992" s="140"/>
      <c r="AF992" s="140"/>
      <c r="AG992" s="140"/>
      <c r="AH992" s="140"/>
      <c r="AI992" s="140"/>
      <c r="AJ992" s="140"/>
      <c r="AK992" s="140"/>
      <c r="AL992" s="140"/>
      <c r="AM992" s="140"/>
      <c r="AN992" s="140"/>
      <c r="AO992" s="140"/>
      <c r="AP992" s="140"/>
      <c r="AQ992" s="140"/>
      <c r="AR992" s="140"/>
      <c r="AS992" s="140"/>
    </row>
    <row r="993">
      <c r="A993" s="149"/>
      <c r="B993" s="140"/>
      <c r="C993" s="140"/>
      <c r="D993" s="140"/>
      <c r="E993" s="140"/>
      <c r="F993" s="140"/>
      <c r="G993" s="140"/>
      <c r="H993" s="140"/>
      <c r="I993" s="140"/>
      <c r="J993" s="140"/>
      <c r="K993" s="140"/>
      <c r="L993" s="140"/>
      <c r="M993" s="140"/>
      <c r="N993" s="140"/>
      <c r="O993" s="140"/>
      <c r="P993" s="140"/>
      <c r="Q993" s="140"/>
      <c r="R993" s="140"/>
      <c r="S993" s="150"/>
      <c r="T993" s="150"/>
      <c r="U993" s="140"/>
      <c r="V993" s="140"/>
      <c r="W993" s="140"/>
      <c r="X993" s="140"/>
      <c r="Y993" s="140"/>
      <c r="Z993" s="140"/>
      <c r="AA993" s="140"/>
      <c r="AB993" s="140"/>
      <c r="AC993" s="140"/>
      <c r="AD993" s="140"/>
      <c r="AE993" s="140"/>
      <c r="AF993" s="140"/>
      <c r="AG993" s="140"/>
      <c r="AH993" s="140"/>
      <c r="AI993" s="140"/>
      <c r="AJ993" s="140"/>
      <c r="AK993" s="140"/>
      <c r="AL993" s="140"/>
      <c r="AM993" s="140"/>
      <c r="AN993" s="140"/>
      <c r="AO993" s="140"/>
      <c r="AP993" s="140"/>
      <c r="AQ993" s="140"/>
      <c r="AR993" s="140"/>
      <c r="AS993" s="140"/>
    </row>
    <row r="994">
      <c r="A994" s="149"/>
      <c r="B994" s="140"/>
      <c r="C994" s="140"/>
      <c r="D994" s="140"/>
      <c r="E994" s="140"/>
      <c r="F994" s="140"/>
      <c r="G994" s="140"/>
      <c r="H994" s="140"/>
      <c r="I994" s="140"/>
      <c r="J994" s="140"/>
      <c r="K994" s="140"/>
      <c r="L994" s="140"/>
      <c r="M994" s="140"/>
      <c r="N994" s="140"/>
      <c r="O994" s="140"/>
      <c r="P994" s="140"/>
      <c r="Q994" s="140"/>
      <c r="R994" s="140"/>
      <c r="S994" s="150"/>
      <c r="T994" s="150"/>
      <c r="U994" s="140"/>
      <c r="V994" s="140"/>
      <c r="W994" s="140"/>
      <c r="X994" s="140"/>
      <c r="Y994" s="140"/>
      <c r="Z994" s="140"/>
      <c r="AA994" s="140"/>
      <c r="AB994" s="140"/>
      <c r="AC994" s="140"/>
      <c r="AD994" s="140"/>
      <c r="AE994" s="140"/>
      <c r="AF994" s="140"/>
      <c r="AG994" s="140"/>
      <c r="AH994" s="140"/>
      <c r="AI994" s="140"/>
      <c r="AJ994" s="140"/>
      <c r="AK994" s="140"/>
      <c r="AL994" s="140"/>
      <c r="AM994" s="140"/>
      <c r="AN994" s="140"/>
      <c r="AO994" s="140"/>
      <c r="AP994" s="140"/>
      <c r="AQ994" s="140"/>
      <c r="AR994" s="140"/>
      <c r="AS994" s="140"/>
    </row>
    <row r="995">
      <c r="A995" s="149"/>
      <c r="B995" s="140"/>
      <c r="C995" s="140"/>
      <c r="D995" s="140"/>
      <c r="E995" s="140"/>
      <c r="F995" s="140"/>
      <c r="G995" s="140"/>
      <c r="H995" s="140"/>
      <c r="I995" s="140"/>
      <c r="J995" s="140"/>
      <c r="K995" s="140"/>
      <c r="L995" s="140"/>
      <c r="M995" s="140"/>
      <c r="N995" s="140"/>
      <c r="O995" s="140"/>
      <c r="P995" s="140"/>
      <c r="Q995" s="140"/>
      <c r="R995" s="140"/>
      <c r="S995" s="150"/>
      <c r="T995" s="150"/>
      <c r="U995" s="140"/>
      <c r="V995" s="140"/>
      <c r="W995" s="140"/>
      <c r="X995" s="140"/>
      <c r="Y995" s="140"/>
      <c r="Z995" s="140"/>
      <c r="AA995" s="140"/>
      <c r="AB995" s="140"/>
      <c r="AC995" s="140"/>
      <c r="AD995" s="140"/>
      <c r="AE995" s="140"/>
      <c r="AF995" s="140"/>
      <c r="AG995" s="140"/>
      <c r="AH995" s="140"/>
      <c r="AI995" s="140"/>
      <c r="AJ995" s="140"/>
      <c r="AK995" s="140"/>
      <c r="AL995" s="140"/>
      <c r="AM995" s="140"/>
      <c r="AN995" s="140"/>
      <c r="AO995" s="140"/>
      <c r="AP995" s="140"/>
      <c r="AQ995" s="140"/>
      <c r="AR995" s="140"/>
      <c r="AS995" s="140"/>
    </row>
    <row r="996">
      <c r="A996" s="149"/>
      <c r="B996" s="140"/>
      <c r="C996" s="140"/>
      <c r="D996" s="140"/>
      <c r="E996" s="140"/>
      <c r="F996" s="140"/>
      <c r="G996" s="140"/>
      <c r="H996" s="140"/>
      <c r="I996" s="140"/>
      <c r="J996" s="140"/>
      <c r="K996" s="140"/>
      <c r="L996" s="140"/>
      <c r="M996" s="140"/>
      <c r="N996" s="140"/>
      <c r="O996" s="140"/>
      <c r="P996" s="140"/>
      <c r="Q996" s="140"/>
      <c r="R996" s="140"/>
      <c r="S996" s="150"/>
      <c r="T996" s="150"/>
      <c r="U996" s="140"/>
      <c r="V996" s="140"/>
      <c r="W996" s="140"/>
      <c r="X996" s="140"/>
      <c r="Y996" s="140"/>
      <c r="Z996" s="140"/>
      <c r="AA996" s="140"/>
      <c r="AB996" s="140"/>
      <c r="AC996" s="140"/>
      <c r="AD996" s="140"/>
      <c r="AE996" s="140"/>
      <c r="AF996" s="140"/>
      <c r="AG996" s="140"/>
      <c r="AH996" s="140"/>
      <c r="AI996" s="140"/>
      <c r="AJ996" s="140"/>
      <c r="AK996" s="140"/>
      <c r="AL996" s="140"/>
      <c r="AM996" s="140"/>
      <c r="AN996" s="140"/>
      <c r="AO996" s="140"/>
      <c r="AP996" s="140"/>
      <c r="AQ996" s="140"/>
      <c r="AR996" s="140"/>
      <c r="AS996" s="140"/>
    </row>
    <row r="997">
      <c r="A997" s="149"/>
      <c r="B997" s="140"/>
      <c r="C997" s="140"/>
      <c r="D997" s="140"/>
      <c r="E997" s="140"/>
      <c r="F997" s="140"/>
      <c r="G997" s="140"/>
      <c r="H997" s="140"/>
      <c r="I997" s="140"/>
      <c r="J997" s="140"/>
      <c r="K997" s="140"/>
      <c r="L997" s="140"/>
      <c r="M997" s="140"/>
      <c r="N997" s="140"/>
      <c r="O997" s="140"/>
      <c r="P997" s="140"/>
      <c r="Q997" s="140"/>
      <c r="R997" s="140"/>
      <c r="S997" s="150"/>
      <c r="T997" s="150"/>
      <c r="U997" s="140"/>
      <c r="V997" s="140"/>
      <c r="W997" s="140"/>
      <c r="X997" s="140"/>
      <c r="Y997" s="140"/>
      <c r="Z997" s="140"/>
      <c r="AA997" s="140"/>
      <c r="AB997" s="140"/>
      <c r="AC997" s="140"/>
      <c r="AD997" s="140"/>
      <c r="AE997" s="140"/>
      <c r="AF997" s="140"/>
      <c r="AG997" s="140"/>
      <c r="AH997" s="140"/>
      <c r="AI997" s="140"/>
      <c r="AJ997" s="140"/>
      <c r="AK997" s="140"/>
      <c r="AL997" s="140"/>
      <c r="AM997" s="140"/>
      <c r="AN997" s="140"/>
      <c r="AO997" s="140"/>
      <c r="AP997" s="140"/>
      <c r="AQ997" s="140"/>
      <c r="AR997" s="140"/>
      <c r="AS997" s="140"/>
    </row>
    <row r="998">
      <c r="A998" s="149"/>
      <c r="B998" s="140"/>
      <c r="C998" s="140"/>
      <c r="D998" s="140"/>
      <c r="E998" s="140"/>
      <c r="F998" s="140"/>
      <c r="G998" s="140"/>
      <c r="H998" s="140"/>
      <c r="I998" s="140"/>
      <c r="J998" s="140"/>
      <c r="K998" s="140"/>
      <c r="L998" s="140"/>
      <c r="M998" s="140"/>
      <c r="N998" s="140"/>
      <c r="O998" s="140"/>
      <c r="P998" s="140"/>
      <c r="Q998" s="140"/>
      <c r="R998" s="140"/>
      <c r="S998" s="150"/>
      <c r="T998" s="150"/>
      <c r="U998" s="140"/>
      <c r="V998" s="140"/>
      <c r="W998" s="140"/>
      <c r="X998" s="140"/>
      <c r="Y998" s="140"/>
      <c r="Z998" s="140"/>
      <c r="AA998" s="140"/>
      <c r="AB998" s="140"/>
      <c r="AC998" s="140"/>
      <c r="AD998" s="140"/>
      <c r="AE998" s="140"/>
      <c r="AF998" s="140"/>
      <c r="AG998" s="140"/>
      <c r="AH998" s="140"/>
      <c r="AI998" s="140"/>
      <c r="AJ998" s="140"/>
      <c r="AK998" s="140"/>
      <c r="AL998" s="140"/>
      <c r="AM998" s="140"/>
      <c r="AN998" s="140"/>
      <c r="AO998" s="140"/>
      <c r="AP998" s="140"/>
      <c r="AQ998" s="140"/>
      <c r="AR998" s="140"/>
      <c r="AS998" s="140"/>
    </row>
    <row r="999">
      <c r="A999" s="149"/>
      <c r="B999" s="140"/>
      <c r="C999" s="140"/>
      <c r="D999" s="140"/>
      <c r="E999" s="140"/>
      <c r="F999" s="140"/>
      <c r="G999" s="140"/>
      <c r="H999" s="140"/>
      <c r="I999" s="140"/>
      <c r="J999" s="140"/>
      <c r="K999" s="140"/>
      <c r="L999" s="140"/>
      <c r="M999" s="140"/>
      <c r="N999" s="140"/>
      <c r="O999" s="140"/>
      <c r="P999" s="140"/>
      <c r="Q999" s="140"/>
      <c r="R999" s="140"/>
      <c r="S999" s="150"/>
      <c r="T999" s="150"/>
      <c r="U999" s="140"/>
      <c r="V999" s="140"/>
      <c r="W999" s="140"/>
      <c r="X999" s="140"/>
      <c r="Y999" s="140"/>
      <c r="Z999" s="140"/>
      <c r="AA999" s="140"/>
      <c r="AB999" s="140"/>
      <c r="AC999" s="140"/>
      <c r="AD999" s="140"/>
      <c r="AE999" s="140"/>
      <c r="AF999" s="140"/>
      <c r="AG999" s="140"/>
      <c r="AH999" s="140"/>
      <c r="AI999" s="140"/>
      <c r="AJ999" s="140"/>
      <c r="AK999" s="140"/>
      <c r="AL999" s="140"/>
      <c r="AM999" s="140"/>
      <c r="AN999" s="140"/>
      <c r="AO999" s="140"/>
      <c r="AP999" s="140"/>
      <c r="AQ999" s="140"/>
      <c r="AR999" s="140"/>
      <c r="AS999" s="140"/>
    </row>
    <row r="1000">
      <c r="A1000" s="149"/>
      <c r="B1000" s="140"/>
      <c r="C1000" s="140"/>
      <c r="D1000" s="140"/>
      <c r="E1000" s="140"/>
      <c r="F1000" s="140"/>
      <c r="G1000" s="140"/>
      <c r="H1000" s="140"/>
      <c r="I1000" s="140"/>
      <c r="J1000" s="140"/>
      <c r="K1000" s="140"/>
      <c r="L1000" s="140"/>
      <c r="M1000" s="140"/>
      <c r="N1000" s="140"/>
      <c r="O1000" s="140"/>
      <c r="P1000" s="140"/>
      <c r="Q1000" s="140"/>
      <c r="R1000" s="140"/>
      <c r="S1000" s="150"/>
      <c r="T1000" s="150"/>
      <c r="U1000" s="140"/>
      <c r="V1000" s="140"/>
      <c r="W1000" s="140"/>
      <c r="X1000" s="140"/>
      <c r="Y1000" s="140"/>
      <c r="Z1000" s="140"/>
      <c r="AA1000" s="140"/>
      <c r="AB1000" s="140"/>
      <c r="AC1000" s="140"/>
      <c r="AD1000" s="140"/>
      <c r="AE1000" s="140"/>
      <c r="AF1000" s="140"/>
      <c r="AG1000" s="140"/>
      <c r="AH1000" s="140"/>
      <c r="AI1000" s="140"/>
      <c r="AJ1000" s="140"/>
      <c r="AK1000" s="140"/>
      <c r="AL1000" s="140"/>
      <c r="AM1000" s="140"/>
      <c r="AN1000" s="140"/>
      <c r="AO1000" s="140"/>
      <c r="AP1000" s="140"/>
      <c r="AQ1000" s="140"/>
      <c r="AR1000" s="140"/>
      <c r="AS1000" s="140"/>
    </row>
    <row r="1001">
      <c r="A1001" s="149"/>
      <c r="B1001" s="140"/>
      <c r="C1001" s="140"/>
      <c r="D1001" s="140"/>
      <c r="E1001" s="140"/>
      <c r="F1001" s="140"/>
      <c r="G1001" s="140"/>
      <c r="H1001" s="140"/>
      <c r="I1001" s="140"/>
      <c r="J1001" s="140"/>
      <c r="K1001" s="140"/>
      <c r="L1001" s="140"/>
      <c r="M1001" s="140"/>
      <c r="N1001" s="140"/>
      <c r="O1001" s="140"/>
      <c r="P1001" s="140"/>
      <c r="Q1001" s="140"/>
      <c r="R1001" s="140"/>
      <c r="S1001" s="150"/>
      <c r="T1001" s="150"/>
      <c r="U1001" s="140"/>
      <c r="V1001" s="140"/>
      <c r="W1001" s="140"/>
      <c r="X1001" s="140"/>
      <c r="Y1001" s="140"/>
      <c r="Z1001" s="140"/>
      <c r="AA1001" s="140"/>
      <c r="AB1001" s="140"/>
      <c r="AC1001" s="140"/>
      <c r="AD1001" s="140"/>
      <c r="AE1001" s="140"/>
      <c r="AF1001" s="140"/>
      <c r="AG1001" s="140"/>
      <c r="AH1001" s="140"/>
      <c r="AI1001" s="140"/>
      <c r="AJ1001" s="140"/>
      <c r="AK1001" s="140"/>
      <c r="AL1001" s="140"/>
      <c r="AM1001" s="140"/>
      <c r="AN1001" s="140"/>
      <c r="AO1001" s="140"/>
      <c r="AP1001" s="140"/>
      <c r="AQ1001" s="140"/>
      <c r="AR1001" s="140"/>
      <c r="AS1001" s="140"/>
    </row>
    <row r="1002">
      <c r="A1002" s="149"/>
      <c r="B1002" s="140"/>
      <c r="C1002" s="140"/>
      <c r="D1002" s="140"/>
      <c r="E1002" s="140"/>
      <c r="F1002" s="140"/>
      <c r="G1002" s="140"/>
      <c r="H1002" s="140"/>
      <c r="I1002" s="140"/>
      <c r="J1002" s="140"/>
      <c r="K1002" s="140"/>
      <c r="L1002" s="140"/>
      <c r="M1002" s="140"/>
      <c r="N1002" s="140"/>
      <c r="O1002" s="140"/>
      <c r="P1002" s="140"/>
      <c r="Q1002" s="140"/>
      <c r="R1002" s="140"/>
      <c r="S1002" s="150"/>
      <c r="T1002" s="150"/>
      <c r="U1002" s="140"/>
      <c r="V1002" s="140"/>
      <c r="W1002" s="140"/>
      <c r="X1002" s="140"/>
      <c r="Y1002" s="140"/>
      <c r="Z1002" s="140"/>
      <c r="AA1002" s="140"/>
      <c r="AB1002" s="140"/>
      <c r="AC1002" s="140"/>
      <c r="AD1002" s="140"/>
      <c r="AE1002" s="140"/>
      <c r="AF1002" s="140"/>
      <c r="AG1002" s="140"/>
      <c r="AH1002" s="140"/>
      <c r="AI1002" s="140"/>
      <c r="AJ1002" s="140"/>
      <c r="AK1002" s="140"/>
      <c r="AL1002" s="140"/>
      <c r="AM1002" s="140"/>
      <c r="AN1002" s="140"/>
      <c r="AO1002" s="140"/>
      <c r="AP1002" s="140"/>
      <c r="AQ1002" s="140"/>
      <c r="AR1002" s="140"/>
      <c r="AS1002" s="140"/>
    </row>
    <row r="1003">
      <c r="A1003" s="149"/>
      <c r="B1003" s="140"/>
      <c r="C1003" s="140"/>
      <c r="D1003" s="140"/>
      <c r="E1003" s="140"/>
      <c r="F1003" s="140"/>
      <c r="G1003" s="140"/>
      <c r="H1003" s="140"/>
      <c r="I1003" s="140"/>
      <c r="J1003" s="140"/>
      <c r="K1003" s="140"/>
      <c r="L1003" s="140"/>
      <c r="M1003" s="140"/>
      <c r="N1003" s="140"/>
      <c r="O1003" s="140"/>
      <c r="P1003" s="140"/>
      <c r="Q1003" s="140"/>
      <c r="R1003" s="140"/>
      <c r="S1003" s="150"/>
      <c r="T1003" s="150"/>
      <c r="U1003" s="140"/>
      <c r="V1003" s="140"/>
      <c r="W1003" s="140"/>
      <c r="X1003" s="140"/>
      <c r="Y1003" s="140"/>
      <c r="Z1003" s="140"/>
      <c r="AA1003" s="140"/>
      <c r="AB1003" s="140"/>
      <c r="AC1003" s="140"/>
      <c r="AD1003" s="140"/>
      <c r="AE1003" s="140"/>
      <c r="AF1003" s="140"/>
      <c r="AG1003" s="140"/>
      <c r="AH1003" s="140"/>
      <c r="AI1003" s="140"/>
      <c r="AJ1003" s="140"/>
      <c r="AK1003" s="140"/>
      <c r="AL1003" s="140"/>
      <c r="AM1003" s="140"/>
      <c r="AN1003" s="140"/>
      <c r="AO1003" s="140"/>
      <c r="AP1003" s="140"/>
      <c r="AQ1003" s="140"/>
      <c r="AR1003" s="140"/>
      <c r="AS1003" s="140"/>
    </row>
    <row r="1004">
      <c r="A1004" s="149"/>
      <c r="B1004" s="140"/>
      <c r="C1004" s="140"/>
      <c r="D1004" s="140"/>
      <c r="E1004" s="140"/>
      <c r="F1004" s="140"/>
      <c r="G1004" s="140"/>
      <c r="H1004" s="140"/>
      <c r="I1004" s="140"/>
      <c r="J1004" s="140"/>
      <c r="K1004" s="140"/>
      <c r="L1004" s="140"/>
      <c r="M1004" s="140"/>
      <c r="N1004" s="140"/>
      <c r="O1004" s="140"/>
      <c r="P1004" s="140"/>
      <c r="Q1004" s="140"/>
      <c r="R1004" s="140"/>
      <c r="S1004" s="150"/>
      <c r="T1004" s="150"/>
      <c r="U1004" s="140"/>
      <c r="V1004" s="140"/>
      <c r="W1004" s="140"/>
      <c r="X1004" s="140"/>
      <c r="Y1004" s="140"/>
      <c r="Z1004" s="140"/>
      <c r="AA1004" s="140"/>
      <c r="AB1004" s="140"/>
      <c r="AC1004" s="140"/>
      <c r="AD1004" s="140"/>
      <c r="AE1004" s="140"/>
      <c r="AF1004" s="140"/>
      <c r="AG1004" s="140"/>
      <c r="AH1004" s="140"/>
      <c r="AI1004" s="140"/>
      <c r="AJ1004" s="140"/>
      <c r="AK1004" s="140"/>
      <c r="AL1004" s="140"/>
      <c r="AM1004" s="140"/>
      <c r="AN1004" s="140"/>
      <c r="AO1004" s="140"/>
      <c r="AP1004" s="140"/>
      <c r="AQ1004" s="140"/>
      <c r="AR1004" s="140"/>
      <c r="AS1004" s="140"/>
    </row>
    <row r="1005">
      <c r="A1005" s="149"/>
      <c r="B1005" s="140"/>
      <c r="C1005" s="140"/>
      <c r="D1005" s="140"/>
      <c r="E1005" s="140"/>
      <c r="F1005" s="140"/>
      <c r="G1005" s="140"/>
      <c r="H1005" s="140"/>
      <c r="I1005" s="140"/>
      <c r="J1005" s="140"/>
      <c r="K1005" s="140"/>
      <c r="L1005" s="140"/>
      <c r="M1005" s="140"/>
      <c r="N1005" s="140"/>
      <c r="O1005" s="140"/>
      <c r="P1005" s="140"/>
      <c r="Q1005" s="140"/>
      <c r="R1005" s="140"/>
      <c r="S1005" s="150"/>
      <c r="T1005" s="150"/>
      <c r="U1005" s="140"/>
      <c r="V1005" s="140"/>
      <c r="W1005" s="140"/>
      <c r="X1005" s="140"/>
      <c r="Y1005" s="140"/>
      <c r="Z1005" s="140"/>
      <c r="AA1005" s="140"/>
      <c r="AB1005" s="140"/>
      <c r="AC1005" s="140"/>
      <c r="AD1005" s="140"/>
      <c r="AE1005" s="140"/>
      <c r="AF1005" s="140"/>
      <c r="AG1005" s="140"/>
      <c r="AH1005" s="140"/>
      <c r="AI1005" s="140"/>
      <c r="AJ1005" s="140"/>
      <c r="AK1005" s="140"/>
      <c r="AL1005" s="140"/>
      <c r="AM1005" s="140"/>
      <c r="AN1005" s="140"/>
      <c r="AO1005" s="140"/>
      <c r="AP1005" s="140"/>
      <c r="AQ1005" s="140"/>
      <c r="AR1005" s="140"/>
      <c r="AS1005" s="140"/>
    </row>
    <row r="1006">
      <c r="A1006" s="149"/>
      <c r="B1006" s="140"/>
      <c r="C1006" s="140"/>
      <c r="D1006" s="140"/>
      <c r="E1006" s="140"/>
      <c r="F1006" s="140"/>
      <c r="G1006" s="140"/>
      <c r="H1006" s="140"/>
      <c r="I1006" s="140"/>
      <c r="J1006" s="140"/>
      <c r="K1006" s="140"/>
      <c r="L1006" s="140"/>
      <c r="M1006" s="140"/>
      <c r="N1006" s="140"/>
      <c r="O1006" s="140"/>
      <c r="P1006" s="140"/>
      <c r="Q1006" s="140"/>
      <c r="R1006" s="140"/>
      <c r="S1006" s="150"/>
      <c r="T1006" s="150"/>
      <c r="U1006" s="140"/>
      <c r="V1006" s="140"/>
      <c r="W1006" s="140"/>
      <c r="X1006" s="140"/>
      <c r="Y1006" s="140"/>
      <c r="Z1006" s="140"/>
      <c r="AA1006" s="140"/>
      <c r="AB1006" s="140"/>
      <c r="AC1006" s="140"/>
      <c r="AD1006" s="140"/>
      <c r="AE1006" s="140"/>
      <c r="AF1006" s="140"/>
      <c r="AG1006" s="140"/>
      <c r="AH1006" s="140"/>
      <c r="AI1006" s="140"/>
      <c r="AJ1006" s="140"/>
      <c r="AK1006" s="140"/>
      <c r="AL1006" s="140"/>
      <c r="AM1006" s="140"/>
      <c r="AN1006" s="140"/>
      <c r="AO1006" s="140"/>
      <c r="AP1006" s="140"/>
      <c r="AQ1006" s="140"/>
      <c r="AR1006" s="140"/>
      <c r="AS1006" s="140"/>
    </row>
    <row r="1007">
      <c r="A1007" s="149"/>
      <c r="B1007" s="140"/>
      <c r="C1007" s="140"/>
      <c r="D1007" s="140"/>
      <c r="E1007" s="140"/>
      <c r="F1007" s="140"/>
      <c r="G1007" s="140"/>
      <c r="H1007" s="140"/>
      <c r="I1007" s="140"/>
      <c r="J1007" s="140"/>
      <c r="K1007" s="140"/>
      <c r="L1007" s="140"/>
      <c r="M1007" s="140"/>
      <c r="N1007" s="140"/>
      <c r="O1007" s="140"/>
      <c r="P1007" s="140"/>
      <c r="Q1007" s="140"/>
      <c r="R1007" s="140"/>
      <c r="S1007" s="150"/>
      <c r="T1007" s="150"/>
      <c r="U1007" s="140"/>
      <c r="V1007" s="140"/>
      <c r="W1007" s="140"/>
      <c r="X1007" s="140"/>
      <c r="Y1007" s="140"/>
      <c r="Z1007" s="140"/>
      <c r="AA1007" s="140"/>
      <c r="AB1007" s="140"/>
      <c r="AC1007" s="140"/>
      <c r="AD1007" s="140"/>
      <c r="AE1007" s="140"/>
      <c r="AF1007" s="140"/>
      <c r="AG1007" s="140"/>
      <c r="AH1007" s="140"/>
      <c r="AI1007" s="140"/>
      <c r="AJ1007" s="140"/>
      <c r="AK1007" s="140"/>
      <c r="AL1007" s="140"/>
      <c r="AM1007" s="140"/>
      <c r="AN1007" s="140"/>
      <c r="AO1007" s="140"/>
      <c r="AP1007" s="140"/>
      <c r="AQ1007" s="140"/>
      <c r="AR1007" s="140"/>
      <c r="AS1007" s="140"/>
    </row>
    <row r="1008">
      <c r="A1008" s="149"/>
      <c r="B1008" s="140"/>
      <c r="C1008" s="140"/>
      <c r="D1008" s="140"/>
      <c r="E1008" s="140"/>
      <c r="F1008" s="140"/>
      <c r="G1008" s="140"/>
      <c r="H1008" s="140"/>
      <c r="I1008" s="140"/>
      <c r="J1008" s="140"/>
      <c r="K1008" s="140"/>
      <c r="L1008" s="140"/>
      <c r="M1008" s="140"/>
      <c r="N1008" s="140"/>
      <c r="O1008" s="140"/>
      <c r="P1008" s="140"/>
      <c r="Q1008" s="140"/>
      <c r="R1008" s="140"/>
      <c r="S1008" s="150"/>
      <c r="T1008" s="150"/>
      <c r="U1008" s="140"/>
      <c r="V1008" s="140"/>
      <c r="W1008" s="140"/>
      <c r="X1008" s="140"/>
      <c r="Y1008" s="140"/>
      <c r="Z1008" s="140"/>
      <c r="AA1008" s="140"/>
      <c r="AB1008" s="140"/>
      <c r="AC1008" s="140"/>
      <c r="AD1008" s="140"/>
      <c r="AE1008" s="140"/>
      <c r="AF1008" s="140"/>
      <c r="AG1008" s="140"/>
      <c r="AH1008" s="140"/>
      <c r="AI1008" s="140"/>
      <c r="AJ1008" s="140"/>
      <c r="AK1008" s="140"/>
      <c r="AL1008" s="140"/>
      <c r="AM1008" s="140"/>
      <c r="AN1008" s="140"/>
      <c r="AO1008" s="140"/>
      <c r="AP1008" s="140"/>
      <c r="AQ1008" s="140"/>
      <c r="AR1008" s="140"/>
      <c r="AS1008" s="140"/>
    </row>
    <row r="1009">
      <c r="A1009" s="149"/>
      <c r="B1009" s="140"/>
      <c r="C1009" s="140"/>
      <c r="D1009" s="140"/>
      <c r="E1009" s="140"/>
      <c r="F1009" s="140"/>
      <c r="G1009" s="140"/>
      <c r="H1009" s="140"/>
      <c r="I1009" s="140"/>
      <c r="J1009" s="140"/>
      <c r="K1009" s="140"/>
      <c r="L1009" s="140"/>
      <c r="M1009" s="140"/>
      <c r="N1009" s="140"/>
      <c r="O1009" s="140"/>
      <c r="P1009" s="140"/>
      <c r="Q1009" s="140"/>
      <c r="R1009" s="140"/>
      <c r="S1009" s="150"/>
      <c r="T1009" s="150"/>
      <c r="U1009" s="140"/>
      <c r="V1009" s="140"/>
      <c r="W1009" s="140"/>
      <c r="X1009" s="140"/>
      <c r="Y1009" s="140"/>
      <c r="Z1009" s="140"/>
      <c r="AA1009" s="140"/>
      <c r="AB1009" s="140"/>
      <c r="AC1009" s="140"/>
      <c r="AD1009" s="140"/>
      <c r="AE1009" s="140"/>
      <c r="AF1009" s="140"/>
      <c r="AG1009" s="140"/>
      <c r="AH1009" s="140"/>
      <c r="AI1009" s="140"/>
      <c r="AJ1009" s="140"/>
      <c r="AK1009" s="140"/>
      <c r="AL1009" s="140"/>
      <c r="AM1009" s="140"/>
      <c r="AN1009" s="140"/>
      <c r="AO1009" s="140"/>
      <c r="AP1009" s="140"/>
      <c r="AQ1009" s="140"/>
      <c r="AR1009" s="140"/>
      <c r="AS1009" s="140"/>
    </row>
    <row r="1010">
      <c r="A1010" s="149"/>
      <c r="B1010" s="140"/>
      <c r="C1010" s="140"/>
      <c r="D1010" s="140"/>
      <c r="E1010" s="140"/>
      <c r="F1010" s="140"/>
      <c r="G1010" s="140"/>
      <c r="H1010" s="140"/>
      <c r="I1010" s="140"/>
      <c r="J1010" s="140"/>
      <c r="K1010" s="140"/>
      <c r="L1010" s="140"/>
      <c r="M1010" s="140"/>
      <c r="N1010" s="140"/>
      <c r="O1010" s="140"/>
      <c r="P1010" s="140"/>
      <c r="Q1010" s="140"/>
      <c r="R1010" s="140"/>
      <c r="S1010" s="150"/>
      <c r="T1010" s="150"/>
      <c r="U1010" s="140"/>
      <c r="V1010" s="140"/>
      <c r="W1010" s="140"/>
      <c r="X1010" s="140"/>
      <c r="Y1010" s="140"/>
      <c r="Z1010" s="140"/>
      <c r="AA1010" s="140"/>
      <c r="AB1010" s="140"/>
      <c r="AC1010" s="140"/>
      <c r="AD1010" s="140"/>
      <c r="AE1010" s="140"/>
      <c r="AF1010" s="140"/>
      <c r="AG1010" s="140"/>
      <c r="AH1010" s="140"/>
      <c r="AI1010" s="140"/>
      <c r="AJ1010" s="140"/>
      <c r="AK1010" s="140"/>
      <c r="AL1010" s="140"/>
      <c r="AM1010" s="140"/>
      <c r="AN1010" s="140"/>
      <c r="AO1010" s="140"/>
      <c r="AP1010" s="140"/>
      <c r="AQ1010" s="140"/>
      <c r="AR1010" s="140"/>
      <c r="AS1010" s="140"/>
    </row>
    <row r="1011">
      <c r="A1011" s="149"/>
      <c r="B1011" s="140"/>
      <c r="C1011" s="140"/>
      <c r="D1011" s="140"/>
      <c r="E1011" s="140"/>
      <c r="F1011" s="140"/>
      <c r="G1011" s="140"/>
      <c r="H1011" s="140"/>
      <c r="I1011" s="140"/>
      <c r="J1011" s="140"/>
      <c r="K1011" s="140"/>
      <c r="L1011" s="140"/>
      <c r="M1011" s="140"/>
      <c r="N1011" s="140"/>
      <c r="O1011" s="140"/>
      <c r="P1011" s="140"/>
      <c r="Q1011" s="140"/>
      <c r="R1011" s="140"/>
      <c r="S1011" s="150"/>
      <c r="T1011" s="150"/>
      <c r="U1011" s="140"/>
      <c r="V1011" s="140"/>
      <c r="W1011" s="140"/>
      <c r="X1011" s="140"/>
      <c r="Y1011" s="140"/>
      <c r="Z1011" s="140"/>
      <c r="AA1011" s="140"/>
      <c r="AB1011" s="140"/>
      <c r="AC1011" s="140"/>
      <c r="AD1011" s="140"/>
      <c r="AE1011" s="140"/>
      <c r="AF1011" s="140"/>
      <c r="AG1011" s="140"/>
      <c r="AH1011" s="140"/>
      <c r="AI1011" s="140"/>
      <c r="AJ1011" s="140"/>
      <c r="AK1011" s="140"/>
      <c r="AL1011" s="140"/>
      <c r="AM1011" s="140"/>
      <c r="AN1011" s="140"/>
      <c r="AO1011" s="140"/>
      <c r="AP1011" s="140"/>
      <c r="AQ1011" s="140"/>
      <c r="AR1011" s="140"/>
      <c r="AS1011" s="140"/>
    </row>
    <row r="1012">
      <c r="A1012" s="149"/>
      <c r="B1012" s="140"/>
      <c r="C1012" s="140"/>
      <c r="D1012" s="140"/>
      <c r="E1012" s="140"/>
      <c r="F1012" s="140"/>
      <c r="G1012" s="140"/>
      <c r="H1012" s="140"/>
      <c r="I1012" s="140"/>
      <c r="J1012" s="140"/>
      <c r="K1012" s="140"/>
      <c r="L1012" s="140"/>
      <c r="M1012" s="140"/>
      <c r="N1012" s="140"/>
      <c r="O1012" s="140"/>
      <c r="P1012" s="140"/>
      <c r="Q1012" s="140"/>
      <c r="R1012" s="140"/>
      <c r="S1012" s="150"/>
      <c r="T1012" s="150"/>
      <c r="U1012" s="140"/>
      <c r="V1012" s="140"/>
      <c r="W1012" s="140"/>
      <c r="X1012" s="140"/>
      <c r="Y1012" s="140"/>
      <c r="Z1012" s="140"/>
      <c r="AA1012" s="140"/>
      <c r="AB1012" s="140"/>
      <c r="AC1012" s="140"/>
      <c r="AD1012" s="140"/>
      <c r="AE1012" s="140"/>
      <c r="AF1012" s="140"/>
      <c r="AG1012" s="140"/>
      <c r="AH1012" s="140"/>
      <c r="AI1012" s="140"/>
      <c r="AJ1012" s="140"/>
      <c r="AK1012" s="140"/>
      <c r="AL1012" s="140"/>
      <c r="AM1012" s="140"/>
      <c r="AN1012" s="140"/>
      <c r="AO1012" s="140"/>
      <c r="AP1012" s="140"/>
      <c r="AQ1012" s="140"/>
      <c r="AR1012" s="140"/>
      <c r="AS1012" s="140"/>
    </row>
    <row r="1013">
      <c r="A1013" s="149"/>
      <c r="B1013" s="140"/>
      <c r="C1013" s="140"/>
      <c r="D1013" s="140"/>
      <c r="E1013" s="140"/>
      <c r="F1013" s="140"/>
      <c r="G1013" s="140"/>
      <c r="H1013" s="140"/>
      <c r="I1013" s="140"/>
      <c r="J1013" s="140"/>
      <c r="K1013" s="140"/>
      <c r="L1013" s="140"/>
      <c r="M1013" s="140"/>
      <c r="N1013" s="140"/>
      <c r="O1013" s="140"/>
      <c r="P1013" s="140"/>
      <c r="Q1013" s="140"/>
      <c r="R1013" s="140"/>
      <c r="S1013" s="150"/>
      <c r="T1013" s="150"/>
      <c r="U1013" s="140"/>
      <c r="V1013" s="140"/>
      <c r="W1013" s="140"/>
      <c r="X1013" s="140"/>
      <c r="Y1013" s="140"/>
      <c r="Z1013" s="140"/>
      <c r="AA1013" s="140"/>
      <c r="AB1013" s="140"/>
      <c r="AC1013" s="140"/>
      <c r="AD1013" s="140"/>
      <c r="AE1013" s="140"/>
      <c r="AF1013" s="140"/>
      <c r="AG1013" s="140"/>
      <c r="AH1013" s="140"/>
      <c r="AI1013" s="140"/>
      <c r="AJ1013" s="140"/>
      <c r="AK1013" s="140"/>
      <c r="AL1013" s="140"/>
      <c r="AM1013" s="140"/>
      <c r="AN1013" s="140"/>
      <c r="AO1013" s="140"/>
      <c r="AP1013" s="140"/>
      <c r="AQ1013" s="140"/>
      <c r="AR1013" s="140"/>
      <c r="AS1013" s="140"/>
    </row>
    <row r="1014">
      <c r="A1014" s="149"/>
      <c r="B1014" s="140"/>
      <c r="C1014" s="140"/>
      <c r="D1014" s="140"/>
      <c r="E1014" s="140"/>
      <c r="F1014" s="140"/>
      <c r="G1014" s="140"/>
      <c r="H1014" s="140"/>
      <c r="I1014" s="140"/>
      <c r="J1014" s="140"/>
      <c r="K1014" s="140"/>
      <c r="L1014" s="140"/>
      <c r="M1014" s="140"/>
      <c r="N1014" s="140"/>
      <c r="O1014" s="140"/>
      <c r="P1014" s="140"/>
      <c r="Q1014" s="140"/>
      <c r="R1014" s="140"/>
      <c r="S1014" s="150"/>
      <c r="T1014" s="150"/>
      <c r="U1014" s="140"/>
      <c r="V1014" s="140"/>
      <c r="W1014" s="140"/>
      <c r="X1014" s="140"/>
      <c r="Y1014" s="140"/>
      <c r="Z1014" s="140"/>
      <c r="AA1014" s="140"/>
      <c r="AB1014" s="140"/>
      <c r="AC1014" s="140"/>
      <c r="AD1014" s="140"/>
      <c r="AE1014" s="140"/>
      <c r="AF1014" s="140"/>
      <c r="AG1014" s="140"/>
      <c r="AH1014" s="140"/>
      <c r="AI1014" s="140"/>
      <c r="AJ1014" s="140"/>
      <c r="AK1014" s="140"/>
      <c r="AL1014" s="140"/>
      <c r="AM1014" s="140"/>
      <c r="AN1014" s="140"/>
      <c r="AO1014" s="140"/>
      <c r="AP1014" s="140"/>
      <c r="AQ1014" s="140"/>
      <c r="AR1014" s="140"/>
      <c r="AS1014" s="140"/>
    </row>
    <row r="1015">
      <c r="A1015" s="149"/>
      <c r="B1015" s="140"/>
      <c r="C1015" s="140"/>
      <c r="D1015" s="140"/>
      <c r="E1015" s="140"/>
      <c r="F1015" s="140"/>
      <c r="G1015" s="140"/>
      <c r="H1015" s="140"/>
      <c r="I1015" s="140"/>
      <c r="J1015" s="140"/>
      <c r="K1015" s="140"/>
      <c r="L1015" s="140"/>
      <c r="M1015" s="140"/>
      <c r="N1015" s="140"/>
      <c r="O1015" s="140"/>
      <c r="P1015" s="140"/>
      <c r="Q1015" s="140"/>
      <c r="R1015" s="140"/>
      <c r="S1015" s="150"/>
      <c r="T1015" s="150"/>
      <c r="U1015" s="140"/>
      <c r="V1015" s="140"/>
      <c r="W1015" s="140"/>
      <c r="X1015" s="140"/>
      <c r="Y1015" s="140"/>
      <c r="Z1015" s="140"/>
      <c r="AA1015" s="140"/>
      <c r="AB1015" s="140"/>
      <c r="AC1015" s="140"/>
      <c r="AD1015" s="140"/>
      <c r="AE1015" s="140"/>
      <c r="AF1015" s="140"/>
      <c r="AG1015" s="140"/>
      <c r="AH1015" s="140"/>
      <c r="AI1015" s="140"/>
      <c r="AJ1015" s="140"/>
      <c r="AK1015" s="140"/>
      <c r="AL1015" s="140"/>
      <c r="AM1015" s="140"/>
      <c r="AN1015" s="140"/>
      <c r="AO1015" s="140"/>
      <c r="AP1015" s="140"/>
      <c r="AQ1015" s="140"/>
      <c r="AR1015" s="140"/>
      <c r="AS1015" s="140"/>
    </row>
  </sheetData>
  <mergeCells count="7">
    <mergeCell ref="J21:J22"/>
    <mergeCell ref="L21:L22"/>
    <mergeCell ref="M21:M22"/>
    <mergeCell ref="T21:T22"/>
    <mergeCell ref="X21:X22"/>
    <mergeCell ref="AE21:AE22"/>
    <mergeCell ref="AF21:AF22"/>
  </mergeCells>
  <conditionalFormatting sqref="B2:B28 P2:P28 V2:W28 AA2:AI28 C3:O28 Q3:U28 X3:Z28">
    <cfRule type="containsBlanks" dxfId="0" priority="1">
      <formula>LEN(TRIM(B2))=0</formula>
    </cfRule>
  </conditionalFormatting>
  <conditionalFormatting sqref="A1:AI28">
    <cfRule type="cellIs" dxfId="2" priority="2" operator="equal">
      <formula>"To be hired"</formula>
    </cfRule>
  </conditionalFormatting>
  <hyperlinks>
    <hyperlink display="Refer &quot;All Campuses&quot;" location="'School Data'!B2" ref="C8"/>
    <hyperlink display="Refer &quot;All Campuses&quot;" location="'School Data'!B2" ref="D8"/>
    <hyperlink display="Refer &quot;All Campuses&quot;" location="'School Data'!B2" ref="E8"/>
    <hyperlink display="Refer &quot;All Campuses&quot;" location="'School Data'!B2" ref="F8"/>
    <hyperlink display="Refer &quot;All Campuses&quot;" location="'School Data'!B2" ref="G8"/>
    <hyperlink display="Refer &quot;All Campuses&quot;" location="'School Data'!B2" ref="I8"/>
    <hyperlink display="Refer &quot;All Campuses&quot;" location="'School Data'!B2" ref="J8"/>
    <hyperlink display="Refer &quot;All Campuses&quot;" location="'School Data'!B2" ref="K8"/>
    <hyperlink display="Refer &quot;All Campuses&quot;" location="'School Data'!B2" ref="L8"/>
    <hyperlink display="Refer &quot;All Campuses&quot;" location="'School Data'!B2" ref="M8"/>
    <hyperlink display="Refer &quot;All Campuses&quot;" location="'School Data'!B2" ref="N8"/>
    <hyperlink display="Refer &quot;All Campuses&quot;" location="'School Data'!B2" ref="O8"/>
    <hyperlink display="Refer &quot;All Campuses&quot;" location="'School Data'!B2" ref="P8"/>
    <hyperlink display="Refer &quot;All Campuses&quot;" location="'School Data'!B2" ref="Q8"/>
    <hyperlink display="Refer &quot;All Campuses&quot;" location="'School Data'!B2" ref="R8"/>
    <hyperlink display="Refer &quot;All Campuses&quot;" location="'School Data'!B2" ref="S8"/>
    <hyperlink display="Refer &quot;All Campuses&quot;" location="'School Data'!B2" ref="T8"/>
    <hyperlink display="Refer &quot;All Campuses&quot;" location="'School Data'!B2" ref="U8"/>
    <hyperlink display="Refer &quot;All Campuses&quot;" location="'School Data'!B2" ref="V8"/>
    <hyperlink display="Refer &quot;All Campuses&quot;" location="'School Data'!B2" ref="W8"/>
    <hyperlink display="Refer &quot;All Campuses&quot;" location="'School Data'!B2" ref="X8"/>
    <hyperlink display="Refer &quot;All Campuses&quot;" location="'School Data'!B2" ref="Y8"/>
    <hyperlink display="Refer &quot;All Campuses&quot;" location="'School Data'!B2" ref="Z8"/>
    <hyperlink display="Refer &quot;All Campuses&quot;" location="'School Data'!B2" ref="AA8"/>
    <hyperlink display="Refer &quot;All Campuses&quot;" location="'School Data'!B2" ref="AB8"/>
    <hyperlink display="Refer &quot;All Campuses&quot;" location="'School Data'!B2" ref="AC8"/>
    <hyperlink display="Refer &quot;All Campuses&quot;" location="'School Data'!B2" ref="AD8"/>
    <hyperlink display="Refer &quot;All Campuses&quot;" location="'School Data'!B2" ref="AE8"/>
    <hyperlink display="Refer &quot;All Campuses&quot;" location="'School Data'!B2" ref="AF8"/>
    <hyperlink display="Refer &quot;All Campuses&quot;" location="'School Data'!B2" ref="AG8"/>
    <hyperlink display="Refer &quot;All Campuses&quot;" location="'School Data'!B2" ref="C9"/>
    <hyperlink display="Refer &quot;All Campuses&quot;" location="'School Data'!B2" ref="D9"/>
    <hyperlink display="Refer &quot;All Campuses&quot;" location="'School Data'!B2" ref="E9"/>
    <hyperlink display="Refer &quot;All Campuses&quot;" location="'School Data'!B2" ref="F9"/>
    <hyperlink display="Refer &quot;All Campuses&quot;" location="'School Data'!B2" ref="G9"/>
    <hyperlink display="Refer &quot;All Campuses&quot;" location="'School Data'!B2" ref="I9"/>
    <hyperlink display="Refer &quot;All Campuses&quot;" location="'School Data'!B2" ref="J9"/>
    <hyperlink display="Refer &quot;All Campuses&quot;" location="'School Data'!B2" ref="K9"/>
    <hyperlink display="Refer &quot;All Campuses&quot;" location="'School Data'!B2" ref="L9"/>
    <hyperlink display="Refer &quot;All Campuses&quot;" location="'School Data'!B2" ref="M9"/>
    <hyperlink display="Refer &quot;All Campuses&quot;" location="'School Data'!B2" ref="N9"/>
    <hyperlink display="Refer &quot;All Campuses&quot;" location="'School Data'!B2" ref="O9"/>
    <hyperlink display="Refer &quot;All Campuses&quot;" location="'School Data'!B2" ref="P9"/>
    <hyperlink display="Refer &quot;All Campuses&quot;" location="'School Data'!B2" ref="Q9"/>
    <hyperlink display="Refer &quot;All Campuses&quot;" location="'School Data'!B2" ref="R9"/>
    <hyperlink display="Refer &quot;All Campuses&quot;" location="'School Data'!B2" ref="S9"/>
    <hyperlink display="Refer &quot;All Campuses&quot;" location="'School Data'!B2" ref="T9"/>
    <hyperlink display="Refer &quot;All Campuses&quot;" location="'School Data'!B2" ref="U9"/>
    <hyperlink display="Refer &quot;All Campuses&quot;" location="'School Data'!B2" ref="V9"/>
    <hyperlink display="Refer &quot;All Campuses&quot;" location="'School Data'!B2" ref="W9"/>
    <hyperlink display="Refer &quot;All Campuses&quot;" location="'School Data'!B2" ref="X9"/>
    <hyperlink display="Refer &quot;All Campuses&quot;" location="'School Data'!B2" ref="Y9"/>
    <hyperlink display="Refer &quot;All Campuses&quot;" location="'School Data'!B2" ref="Z9"/>
    <hyperlink display="Refer &quot;All Campuses&quot;" location="'School Data'!B2" ref="AA9"/>
    <hyperlink display="Refer &quot;All Campuses&quot;" location="'School Data'!B2" ref="AB9"/>
    <hyperlink display="Refer &quot;All Campuses&quot;" location="'School Data'!B2" ref="AC9"/>
    <hyperlink display="Refer &quot;All Campuses&quot;" location="'School Data'!B2" ref="AD9"/>
    <hyperlink display="Refer &quot;All Campuses&quot;" location="'School Data'!B2" ref="AE9"/>
    <hyperlink display="Refer &quot;All Campuses&quot;" location="'School Data'!B2" ref="AF9"/>
    <hyperlink display="Refer &quot;All Campuses&quot;" location="'School Data'!B2" ref="AG9"/>
    <hyperlink display="Refer &quot;All Campuses&quot;" location="'School Data'!B2" ref="C10"/>
    <hyperlink display="Refer &quot;All Campuses&quot;" location="'School Data'!B2" ref="D10"/>
    <hyperlink display="Refer &quot;All Campuses&quot;" location="'School Data'!B2" ref="E10"/>
    <hyperlink display="Refer &quot;All Campuses&quot;" location="'School Data'!B2" ref="F10"/>
    <hyperlink display="Refer &quot;All Campuses&quot;" location="'School Data'!B2" ref="G10"/>
    <hyperlink display="Refer &quot;All Campuses&quot;" location="'School Data'!B2" ref="I10"/>
    <hyperlink display="Refer &quot;All Campuses&quot;" location="'School Data'!B2" ref="J10"/>
    <hyperlink display="Refer &quot;All Campuses&quot;" location="'School Data'!B2" ref="K10"/>
    <hyperlink display="Refer &quot;All Campuses&quot;" location="'School Data'!B2" ref="L10"/>
    <hyperlink display="Refer &quot;All Campuses&quot;" location="'School Data'!B2" ref="M10"/>
    <hyperlink display="Refer &quot;All Campuses&quot;" location="'School Data'!B2" ref="N10"/>
    <hyperlink display="Refer &quot;All Campuses&quot;" location="'School Data'!B2" ref="O10"/>
    <hyperlink display="Refer &quot;All Campuses&quot;" location="'School Data'!B2" ref="P10"/>
    <hyperlink display="Refer &quot;All Campuses&quot;" location="'School Data'!B2" ref="Q10"/>
    <hyperlink display="Refer &quot;All Campuses&quot;" location="'School Data'!B2" ref="R10"/>
    <hyperlink display="Refer &quot;All Campuses&quot;" location="'School Data'!B2" ref="S10"/>
    <hyperlink display="Refer &quot;All Campuses&quot;" location="'School Data'!B2" ref="T10"/>
    <hyperlink display="Refer &quot;All Campuses&quot;" location="'School Data'!B2" ref="U10"/>
    <hyperlink display="Refer &quot;All Campuses&quot;" location="'School Data'!B2" ref="V10"/>
    <hyperlink display="Refer &quot;All Campuses&quot;" location="'School Data'!B2" ref="W10"/>
    <hyperlink display="Refer &quot;All Campuses&quot;" location="'School Data'!B2" ref="X10"/>
    <hyperlink display="Refer &quot;All Campuses&quot;" location="'School Data'!B2" ref="Y10"/>
    <hyperlink display="Refer &quot;All Campuses&quot;" location="'School Data'!B2" ref="Z10"/>
    <hyperlink display="Refer &quot;All Campuses&quot;" location="'School Data'!B2" ref="AA10"/>
    <hyperlink display="Refer &quot;All Campuses&quot;" location="'School Data'!B2" ref="AB10"/>
    <hyperlink display="Refer &quot;All Campuses&quot;" location="'School Data'!B2" ref="AC10"/>
    <hyperlink display="Refer &quot;All Campuses&quot;" location="'School Data'!B2" ref="AD10"/>
    <hyperlink display="Refer &quot;All Campuses&quot;" location="'School Data'!B2" ref="AE10"/>
    <hyperlink display="Refer &quot;All Campuses&quot;" location="'School Data'!B2" ref="AF10"/>
    <hyperlink display="Refer &quot;All Campuses&quot;" location="'School Data'!B2" ref="AG10"/>
    <hyperlink display="Refer &quot;All Campuses&quot;" location="'School Data'!B2" ref="C11"/>
    <hyperlink display="Refer &quot;All Campuses&quot;" location="'School Data'!B2" ref="D11"/>
    <hyperlink display="Refer &quot;All Campuses&quot;" location="'School Data'!B2" ref="E11"/>
    <hyperlink display="Refer &quot;All Campuses&quot;" location="'School Data'!B2" ref="F11"/>
    <hyperlink display="Refer &quot;All Campuses&quot;" location="'School Data'!B2" ref="G11"/>
    <hyperlink display="Refer &quot;All Campuses&quot;" location="'School Data'!B2" ref="I11"/>
    <hyperlink display="Refer &quot;All Campuses&quot;" location="'School Data'!B2" ref="J11"/>
    <hyperlink display="Refer &quot;All Campuses&quot;" location="'School Data'!B2" ref="K11"/>
    <hyperlink display="Refer &quot;All Campuses&quot;" location="'School Data'!B2" ref="L11"/>
    <hyperlink display="Refer &quot;All Campuses&quot;" location="'School Data'!B2" ref="M11"/>
    <hyperlink display="Refer &quot;All Campuses&quot;" location="'School Data'!B2" ref="N11"/>
    <hyperlink display="Refer &quot;All Campuses&quot;" location="'School Data'!B2" ref="O11"/>
    <hyperlink display="Refer &quot;All Campuses&quot;" location="'School Data'!B2" ref="P11"/>
    <hyperlink display="Refer &quot;All Campuses&quot;" location="'School Data'!B2" ref="Q11"/>
    <hyperlink display="Refer &quot;All Campuses&quot;" location="'School Data'!B2" ref="R11"/>
    <hyperlink display="Refer &quot;All Campuses&quot;" location="'School Data'!B2" ref="S11"/>
    <hyperlink display="Refer &quot;All Campuses&quot;" location="'School Data'!B2" ref="T11"/>
    <hyperlink display="Refer &quot;All Campuses&quot;" location="'School Data'!B2" ref="U11"/>
    <hyperlink display="Refer &quot;All Campuses&quot;" location="'School Data'!B2" ref="V11"/>
    <hyperlink display="Refer &quot;All Campuses&quot;" location="'School Data'!B2" ref="W11"/>
    <hyperlink display="Refer &quot;All Campuses&quot;" location="'School Data'!B2" ref="X11"/>
    <hyperlink display="Refer &quot;All Campuses&quot;" location="'School Data'!B2" ref="Y11"/>
    <hyperlink display="Refer &quot;All Campuses&quot;" location="'School Data'!B2" ref="Z11"/>
    <hyperlink display="Refer &quot;All Campuses&quot;" location="'School Data'!B2" ref="AA11"/>
    <hyperlink display="Refer &quot;All Campuses&quot;" location="'School Data'!B2" ref="AB11"/>
    <hyperlink display="Refer &quot;All Campuses&quot;" location="'School Data'!B2" ref="AC11"/>
    <hyperlink display="Refer &quot;All Campuses&quot;" location="'School Data'!B2" ref="AD11"/>
    <hyperlink display="Refer &quot;All Campuses&quot;" location="'School Data'!B2" ref="AE11"/>
    <hyperlink display="Refer &quot;All Campuses&quot;" location="'School Data'!B2" ref="AF11"/>
    <hyperlink display="Refer &quot;All Campuses&quot;" location="'School Data'!B2" ref="AG11"/>
    <hyperlink r:id="rId1" location="gid=32753868" ref="C15"/>
    <hyperlink r:id="rId2" location="gid=32753868" ref="D15"/>
    <hyperlink r:id="rId3" location="gid=32753868" ref="E15"/>
    <hyperlink r:id="rId4" location="gid=32753868" ref="F15"/>
    <hyperlink r:id="rId5" location="gid=32753868" ref="G15"/>
    <hyperlink r:id="rId6" location="gid=32753868" ref="J15"/>
    <hyperlink r:id="rId7" location="gid=32753868" ref="K15"/>
    <hyperlink r:id="rId8" location="gid=32753868" ref="L15"/>
    <hyperlink r:id="rId9" location="gid=32753868" ref="M15"/>
    <hyperlink r:id="rId10" location="gid=32753868" ref="T15"/>
    <hyperlink r:id="rId11" location="gid=32753868" ref="X15"/>
    <hyperlink r:id="rId12" location="gid=32753868" ref="AE15"/>
    <hyperlink r:id="rId13" location="gid=32753868" ref="AF15"/>
  </hyperlinks>
  <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63"/>
    <col customWidth="1" min="2" max="2" width="11.88"/>
    <col customWidth="1" min="3" max="3" width="15.38"/>
    <col customWidth="1" min="4" max="4" width="20.75"/>
    <col customWidth="1" min="5" max="5" width="14.25"/>
    <col customWidth="1" min="6" max="6" width="10.13"/>
    <col customWidth="1" min="7" max="7" width="8.13"/>
    <col customWidth="1" min="12" max="12" width="29.75"/>
    <col customWidth="1" min="13" max="13" width="25.13"/>
    <col customWidth="1" min="14" max="14" width="28.0"/>
    <col customWidth="1" min="15" max="15" width="37.63"/>
    <col customWidth="1" min="16" max="17" width="19.75"/>
  </cols>
  <sheetData>
    <row r="1">
      <c r="A1" s="151" t="s">
        <v>859</v>
      </c>
      <c r="B1" s="152" t="s">
        <v>860</v>
      </c>
      <c r="C1" s="151" t="s">
        <v>861</v>
      </c>
      <c r="D1" s="152" t="s">
        <v>862</v>
      </c>
      <c r="E1" s="152" t="s">
        <v>863</v>
      </c>
      <c r="F1" s="152" t="s">
        <v>864</v>
      </c>
      <c r="G1" s="152" t="s">
        <v>865</v>
      </c>
      <c r="H1" s="152" t="s">
        <v>866</v>
      </c>
      <c r="I1" s="152" t="s">
        <v>867</v>
      </c>
      <c r="J1" s="152" t="s">
        <v>868</v>
      </c>
      <c r="K1" s="152" t="s">
        <v>869</v>
      </c>
      <c r="L1" s="153" t="s">
        <v>870</v>
      </c>
      <c r="M1" s="153" t="s">
        <v>871</v>
      </c>
      <c r="N1" s="153" t="s">
        <v>872</v>
      </c>
      <c r="O1" s="152" t="s">
        <v>873</v>
      </c>
      <c r="P1" s="152" t="s">
        <v>874</v>
      </c>
      <c r="Q1" s="152" t="s">
        <v>875</v>
      </c>
      <c r="R1" s="154"/>
      <c r="S1" s="154"/>
      <c r="T1" s="154"/>
      <c r="U1" s="154"/>
      <c r="V1" s="154"/>
      <c r="W1" s="154"/>
      <c r="X1" s="154"/>
    </row>
    <row r="2" hidden="1">
      <c r="A2" s="155" t="s">
        <v>631</v>
      </c>
      <c r="B2" s="156" t="s">
        <v>876</v>
      </c>
      <c r="C2" s="157" t="s">
        <v>877</v>
      </c>
      <c r="D2" s="157" t="s">
        <v>878</v>
      </c>
      <c r="E2" s="157" t="s">
        <v>68</v>
      </c>
      <c r="F2" s="156" t="s">
        <v>879</v>
      </c>
      <c r="G2" s="158">
        <v>33155.0</v>
      </c>
      <c r="H2" s="158" t="b">
        <v>0</v>
      </c>
      <c r="I2" s="158" t="b">
        <v>0</v>
      </c>
      <c r="J2" s="158" t="b">
        <v>0</v>
      </c>
      <c r="K2" s="158">
        <v>0.0</v>
      </c>
      <c r="L2" s="159"/>
      <c r="M2" s="160"/>
      <c r="N2" s="160"/>
      <c r="O2" s="160"/>
      <c r="P2" s="160"/>
      <c r="Q2" s="160"/>
      <c r="R2" s="160"/>
      <c r="S2" s="160"/>
      <c r="T2" s="160"/>
      <c r="U2" s="160"/>
      <c r="V2" s="160"/>
      <c r="W2" s="160"/>
      <c r="X2" s="159"/>
    </row>
    <row r="3">
      <c r="A3" s="161" t="s">
        <v>880</v>
      </c>
      <c r="B3" s="162" t="s">
        <v>876</v>
      </c>
      <c r="C3" s="163" t="s">
        <v>877</v>
      </c>
      <c r="D3" s="164" t="s">
        <v>881</v>
      </c>
      <c r="E3" s="164" t="s">
        <v>71</v>
      </c>
      <c r="F3" s="165" t="s">
        <v>882</v>
      </c>
      <c r="G3" s="166">
        <v>78602.0</v>
      </c>
      <c r="H3" s="166" t="s">
        <v>428</v>
      </c>
      <c r="I3" s="166" t="b">
        <v>0</v>
      </c>
      <c r="J3" s="166" t="b">
        <v>0</v>
      </c>
      <c r="K3" s="166">
        <v>0.0</v>
      </c>
      <c r="L3" s="167"/>
      <c r="M3" s="168"/>
      <c r="N3" s="168"/>
      <c r="O3" s="168"/>
      <c r="P3" s="168"/>
      <c r="Q3" s="168"/>
      <c r="R3" s="168"/>
      <c r="S3" s="168"/>
      <c r="T3" s="168"/>
      <c r="U3" s="168"/>
      <c r="V3" s="168"/>
      <c r="W3" s="168"/>
      <c r="X3" s="167"/>
    </row>
    <row r="4">
      <c r="A4" s="169" t="s">
        <v>883</v>
      </c>
      <c r="B4" s="156" t="s">
        <v>876</v>
      </c>
      <c r="C4" s="157" t="s">
        <v>877</v>
      </c>
      <c r="D4" s="170" t="s">
        <v>884</v>
      </c>
      <c r="E4" s="170" t="s">
        <v>67</v>
      </c>
      <c r="F4" s="171" t="s">
        <v>882</v>
      </c>
      <c r="G4" s="172">
        <v>78717.0</v>
      </c>
      <c r="H4" s="172" t="s">
        <v>428</v>
      </c>
      <c r="I4" s="172" t="b">
        <v>0</v>
      </c>
      <c r="J4" s="172" t="b">
        <v>0</v>
      </c>
      <c r="K4" s="172">
        <v>0.0</v>
      </c>
      <c r="L4" s="159"/>
      <c r="M4" s="160"/>
      <c r="N4" s="160"/>
      <c r="O4" s="160"/>
      <c r="P4" s="160"/>
      <c r="Q4" s="160"/>
      <c r="R4" s="160"/>
      <c r="S4" s="160"/>
      <c r="T4" s="160"/>
      <c r="U4" s="160"/>
      <c r="V4" s="160"/>
      <c r="W4" s="160"/>
      <c r="X4" s="159"/>
    </row>
    <row r="5">
      <c r="A5" s="161" t="s">
        <v>10</v>
      </c>
      <c r="B5" s="162" t="s">
        <v>876</v>
      </c>
      <c r="C5" s="163" t="s">
        <v>877</v>
      </c>
      <c r="D5" s="164" t="s">
        <v>885</v>
      </c>
      <c r="E5" s="164" t="s">
        <v>70</v>
      </c>
      <c r="F5" s="165" t="s">
        <v>882</v>
      </c>
      <c r="G5" s="166">
        <v>78626.0</v>
      </c>
      <c r="H5" s="166" t="s">
        <v>428</v>
      </c>
      <c r="I5" s="166" t="b">
        <v>0</v>
      </c>
      <c r="J5" s="166" t="b">
        <v>0</v>
      </c>
      <c r="K5" s="166">
        <v>0.0</v>
      </c>
      <c r="L5" s="167"/>
      <c r="M5" s="168"/>
      <c r="N5" s="168"/>
      <c r="O5" s="168"/>
      <c r="P5" s="168"/>
      <c r="Q5" s="168"/>
      <c r="R5" s="168"/>
      <c r="S5" s="168"/>
      <c r="T5" s="168"/>
      <c r="U5" s="168"/>
      <c r="V5" s="168"/>
      <c r="W5" s="168"/>
      <c r="X5" s="167"/>
    </row>
    <row r="6">
      <c r="A6" s="169" t="s">
        <v>886</v>
      </c>
      <c r="B6" s="156" t="s">
        <v>887</v>
      </c>
      <c r="C6" s="157" t="s">
        <v>877</v>
      </c>
      <c r="D6" s="170" t="s">
        <v>888</v>
      </c>
      <c r="E6" s="170" t="s">
        <v>889</v>
      </c>
      <c r="F6" s="171" t="s">
        <v>890</v>
      </c>
      <c r="G6" s="172">
        <v>94538.0</v>
      </c>
      <c r="H6" s="172" t="s">
        <v>194</v>
      </c>
      <c r="I6" s="172" t="b">
        <v>0</v>
      </c>
      <c r="J6" s="172" t="b">
        <v>0</v>
      </c>
      <c r="K6" s="172">
        <v>0.0</v>
      </c>
      <c r="L6" s="159"/>
      <c r="M6" s="160"/>
      <c r="N6" s="160"/>
      <c r="O6" s="160"/>
      <c r="P6" s="160"/>
      <c r="Q6" s="160"/>
      <c r="R6" s="160"/>
      <c r="S6" s="160"/>
      <c r="T6" s="160"/>
      <c r="U6" s="160"/>
      <c r="V6" s="160"/>
      <c r="W6" s="160"/>
      <c r="X6" s="159"/>
    </row>
    <row r="7">
      <c r="A7" s="173" t="s">
        <v>891</v>
      </c>
      <c r="B7" s="174" t="s">
        <v>887</v>
      </c>
      <c r="C7" s="175" t="s">
        <v>877</v>
      </c>
      <c r="D7" s="176" t="s">
        <v>892</v>
      </c>
      <c r="E7" s="176" t="s">
        <v>72</v>
      </c>
      <c r="F7" s="177" t="s">
        <v>882</v>
      </c>
      <c r="G7" s="178">
        <v>78620.0</v>
      </c>
      <c r="H7" s="178" t="s">
        <v>893</v>
      </c>
      <c r="I7" s="178" t="b">
        <v>0</v>
      </c>
      <c r="J7" s="178" t="b">
        <v>0</v>
      </c>
      <c r="K7" s="178">
        <v>0.0</v>
      </c>
      <c r="L7" s="167"/>
      <c r="M7" s="168"/>
      <c r="N7" s="168"/>
      <c r="O7" s="168"/>
      <c r="P7" s="168"/>
      <c r="Q7" s="168"/>
      <c r="R7" s="168"/>
      <c r="S7" s="168"/>
      <c r="T7" s="168"/>
      <c r="U7" s="168"/>
      <c r="V7" s="168"/>
      <c r="W7" s="168"/>
      <c r="X7" s="167"/>
    </row>
    <row r="8">
      <c r="A8" s="179" t="s">
        <v>9</v>
      </c>
      <c r="B8" s="180" t="s">
        <v>876</v>
      </c>
      <c r="C8" s="181" t="s">
        <v>877</v>
      </c>
      <c r="D8" s="181" t="s">
        <v>894</v>
      </c>
      <c r="E8" s="181" t="s">
        <v>67</v>
      </c>
      <c r="F8" s="180" t="s">
        <v>882</v>
      </c>
      <c r="G8" s="180">
        <v>78734.0</v>
      </c>
      <c r="H8" s="180" t="s">
        <v>429</v>
      </c>
      <c r="I8" s="180" t="b">
        <v>1</v>
      </c>
      <c r="J8" s="180" t="b">
        <v>1</v>
      </c>
      <c r="K8" s="180">
        <v>2.0</v>
      </c>
      <c r="L8" s="181" t="s">
        <v>895</v>
      </c>
      <c r="M8" s="181" t="s">
        <v>896</v>
      </c>
      <c r="N8" s="181" t="s">
        <v>897</v>
      </c>
      <c r="O8" s="181" t="s">
        <v>898</v>
      </c>
      <c r="P8" s="181" t="s">
        <v>899</v>
      </c>
      <c r="Q8" s="182"/>
      <c r="R8" s="182"/>
      <c r="S8" s="182"/>
      <c r="T8" s="182"/>
      <c r="U8" s="182"/>
      <c r="V8" s="182"/>
      <c r="W8" s="182"/>
      <c r="X8" s="182"/>
    </row>
    <row r="9">
      <c r="A9" s="183" t="s">
        <v>900</v>
      </c>
      <c r="B9" s="184" t="s">
        <v>887</v>
      </c>
      <c r="C9" s="185" t="s">
        <v>877</v>
      </c>
      <c r="D9" s="185" t="s">
        <v>901</v>
      </c>
      <c r="E9" s="185" t="s">
        <v>67</v>
      </c>
      <c r="F9" s="184" t="s">
        <v>882</v>
      </c>
      <c r="G9" s="184">
        <v>78723.0</v>
      </c>
      <c r="H9" s="184" t="s">
        <v>428</v>
      </c>
      <c r="I9" s="184" t="b">
        <v>0</v>
      </c>
      <c r="J9" s="184" t="b">
        <v>0</v>
      </c>
      <c r="K9" s="184">
        <v>0.0</v>
      </c>
      <c r="L9" s="183"/>
      <c r="M9" s="183"/>
      <c r="N9" s="183"/>
      <c r="O9" s="183"/>
      <c r="P9" s="183"/>
      <c r="Q9" s="183"/>
      <c r="R9" s="183"/>
      <c r="S9" s="183"/>
      <c r="T9" s="183"/>
      <c r="U9" s="183"/>
      <c r="V9" s="183"/>
      <c r="W9" s="183"/>
      <c r="X9" s="183"/>
    </row>
    <row r="10">
      <c r="A10" s="186" t="s">
        <v>69</v>
      </c>
      <c r="B10" s="187" t="s">
        <v>876</v>
      </c>
      <c r="C10" s="188" t="s">
        <v>877</v>
      </c>
      <c r="D10" s="188" t="s">
        <v>902</v>
      </c>
      <c r="E10" s="188" t="s">
        <v>69</v>
      </c>
      <c r="F10" s="187" t="s">
        <v>882</v>
      </c>
      <c r="G10" s="187">
        <v>78521.0</v>
      </c>
      <c r="H10" s="180" t="s">
        <v>427</v>
      </c>
      <c r="I10" s="187" t="b">
        <v>0</v>
      </c>
      <c r="J10" s="187" t="b">
        <v>0</v>
      </c>
      <c r="K10" s="187">
        <v>0.0</v>
      </c>
      <c r="L10" s="189" t="s">
        <v>903</v>
      </c>
      <c r="M10" s="188" t="s">
        <v>904</v>
      </c>
      <c r="N10" s="188" t="s">
        <v>905</v>
      </c>
      <c r="O10" s="186"/>
      <c r="P10" s="186"/>
      <c r="Q10" s="186"/>
      <c r="R10" s="186"/>
      <c r="S10" s="186"/>
      <c r="T10" s="186"/>
      <c r="U10" s="186"/>
      <c r="V10" s="186"/>
      <c r="W10" s="186"/>
      <c r="X10" s="186"/>
    </row>
    <row r="11">
      <c r="A11" s="183" t="s">
        <v>906</v>
      </c>
      <c r="B11" s="184" t="s">
        <v>876</v>
      </c>
      <c r="C11" s="185" t="s">
        <v>877</v>
      </c>
      <c r="D11" s="185" t="s">
        <v>907</v>
      </c>
      <c r="E11" s="185" t="s">
        <v>69</v>
      </c>
      <c r="F11" s="184" t="s">
        <v>882</v>
      </c>
      <c r="G11" s="184">
        <v>78520.0</v>
      </c>
      <c r="H11" s="180" t="s">
        <v>427</v>
      </c>
      <c r="I11" s="184" t="b">
        <v>0</v>
      </c>
      <c r="J11" s="184" t="b">
        <v>0</v>
      </c>
      <c r="K11" s="184">
        <v>0.0</v>
      </c>
      <c r="L11" s="190" t="s">
        <v>903</v>
      </c>
      <c r="M11" s="185" t="s">
        <v>904</v>
      </c>
      <c r="N11" s="185" t="s">
        <v>905</v>
      </c>
      <c r="O11" s="183"/>
      <c r="P11" s="183"/>
      <c r="Q11" s="183"/>
      <c r="R11" s="183"/>
      <c r="S11" s="183"/>
      <c r="T11" s="183"/>
      <c r="U11" s="183"/>
      <c r="V11" s="183"/>
      <c r="W11" s="183"/>
      <c r="X11" s="183"/>
    </row>
    <row r="12">
      <c r="A12" s="179" t="s">
        <v>908</v>
      </c>
      <c r="B12" s="180" t="s">
        <v>876</v>
      </c>
      <c r="C12" s="181" t="s">
        <v>877</v>
      </c>
      <c r="D12" s="181" t="s">
        <v>909</v>
      </c>
      <c r="E12" s="181" t="s">
        <v>67</v>
      </c>
      <c r="F12" s="180" t="s">
        <v>882</v>
      </c>
      <c r="G12" s="180">
        <v>78746.0</v>
      </c>
      <c r="H12" s="180" t="s">
        <v>427</v>
      </c>
      <c r="I12" s="180" t="b">
        <v>1</v>
      </c>
      <c r="J12" s="180" t="b">
        <v>0</v>
      </c>
      <c r="K12" s="180">
        <v>1.0</v>
      </c>
      <c r="L12" s="181" t="s">
        <v>910</v>
      </c>
      <c r="M12" s="181" t="s">
        <v>896</v>
      </c>
      <c r="N12" s="181" t="s">
        <v>897</v>
      </c>
      <c r="O12" s="181" t="s">
        <v>911</v>
      </c>
      <c r="P12" s="191" t="s">
        <v>912</v>
      </c>
      <c r="Q12" s="182"/>
      <c r="R12" s="182"/>
      <c r="S12" s="182"/>
      <c r="T12" s="182"/>
      <c r="U12" s="182"/>
      <c r="V12" s="182"/>
      <c r="W12" s="182"/>
      <c r="X12" s="182"/>
    </row>
    <row r="13">
      <c r="A13" s="179" t="s">
        <v>913</v>
      </c>
      <c r="B13" s="180" t="s">
        <v>876</v>
      </c>
      <c r="C13" s="181" t="s">
        <v>877</v>
      </c>
      <c r="D13" s="181" t="s">
        <v>914</v>
      </c>
      <c r="E13" s="181" t="s">
        <v>67</v>
      </c>
      <c r="F13" s="180" t="s">
        <v>882</v>
      </c>
      <c r="G13" s="180">
        <v>78701.0</v>
      </c>
      <c r="H13" s="180" t="s">
        <v>427</v>
      </c>
      <c r="I13" s="180" t="b">
        <v>1</v>
      </c>
      <c r="J13" s="180" t="b">
        <v>0</v>
      </c>
      <c r="K13" s="180">
        <v>1.0</v>
      </c>
      <c r="L13" s="181"/>
      <c r="M13" s="181" t="s">
        <v>915</v>
      </c>
      <c r="N13" s="181" t="s">
        <v>916</v>
      </c>
      <c r="O13" s="181" t="s">
        <v>917</v>
      </c>
      <c r="P13" s="181" t="s">
        <v>918</v>
      </c>
      <c r="Q13" s="182"/>
      <c r="R13" s="182"/>
      <c r="S13" s="182"/>
      <c r="T13" s="182"/>
      <c r="U13" s="182"/>
      <c r="V13" s="182"/>
      <c r="W13" s="182"/>
      <c r="X13" s="182"/>
    </row>
    <row r="14">
      <c r="A14" s="188" t="s">
        <v>919</v>
      </c>
      <c r="B14" s="187" t="s">
        <v>887</v>
      </c>
      <c r="C14" s="188" t="s">
        <v>877</v>
      </c>
      <c r="D14" s="188" t="s">
        <v>920</v>
      </c>
      <c r="E14" s="188" t="s">
        <v>82</v>
      </c>
      <c r="F14" s="187" t="s">
        <v>921</v>
      </c>
      <c r="G14" s="187">
        <v>20151.0</v>
      </c>
      <c r="H14" s="187" t="s">
        <v>428</v>
      </c>
      <c r="I14" s="187" t="b">
        <v>1</v>
      </c>
      <c r="J14" s="187" t="b">
        <v>0</v>
      </c>
      <c r="K14" s="187">
        <v>0.0</v>
      </c>
      <c r="L14" s="181" t="s">
        <v>922</v>
      </c>
      <c r="M14" s="186"/>
      <c r="N14" s="186"/>
      <c r="O14" s="186"/>
      <c r="P14" s="186"/>
      <c r="Q14" s="186"/>
      <c r="R14" s="186"/>
      <c r="S14" s="186"/>
      <c r="T14" s="186"/>
      <c r="U14" s="186"/>
      <c r="V14" s="186"/>
      <c r="W14" s="186"/>
      <c r="X14" s="186"/>
    </row>
    <row r="15">
      <c r="A15" s="185" t="s">
        <v>923</v>
      </c>
      <c r="B15" s="184" t="s">
        <v>887</v>
      </c>
      <c r="C15" s="185" t="s">
        <v>877</v>
      </c>
      <c r="D15" s="185" t="s">
        <v>924</v>
      </c>
      <c r="E15" s="185" t="s">
        <v>925</v>
      </c>
      <c r="F15" s="184" t="s">
        <v>890</v>
      </c>
      <c r="G15" s="184">
        <v>92610.0</v>
      </c>
      <c r="H15" s="184" t="s">
        <v>428</v>
      </c>
      <c r="I15" s="184" t="b">
        <v>0</v>
      </c>
      <c r="J15" s="184" t="b">
        <v>0</v>
      </c>
      <c r="K15" s="184">
        <v>0.0</v>
      </c>
      <c r="L15" s="183"/>
      <c r="M15" s="183"/>
      <c r="N15" s="183"/>
      <c r="O15" s="183"/>
      <c r="P15" s="183"/>
      <c r="Q15" s="183"/>
      <c r="R15" s="183"/>
      <c r="S15" s="183"/>
      <c r="T15" s="183"/>
      <c r="U15" s="183"/>
      <c r="V15" s="183"/>
      <c r="W15" s="183"/>
      <c r="X15" s="183"/>
    </row>
    <row r="16">
      <c r="A16" s="188" t="s">
        <v>926</v>
      </c>
      <c r="B16" s="187" t="s">
        <v>887</v>
      </c>
      <c r="C16" s="188" t="s">
        <v>877</v>
      </c>
      <c r="D16" s="188" t="s">
        <v>927</v>
      </c>
      <c r="E16" s="188" t="s">
        <v>74</v>
      </c>
      <c r="F16" s="187" t="s">
        <v>928</v>
      </c>
      <c r="G16" s="187">
        <v>85255.0</v>
      </c>
      <c r="H16" s="187" t="s">
        <v>428</v>
      </c>
      <c r="I16" s="187" t="b">
        <v>0</v>
      </c>
      <c r="J16" s="187" t="b">
        <v>0</v>
      </c>
      <c r="K16" s="187">
        <v>0.0</v>
      </c>
      <c r="L16" s="186"/>
      <c r="M16" s="186"/>
      <c r="N16" s="186"/>
      <c r="O16" s="186"/>
      <c r="P16" s="186"/>
      <c r="Q16" s="186"/>
      <c r="R16" s="186"/>
      <c r="S16" s="186"/>
      <c r="T16" s="186"/>
      <c r="U16" s="186"/>
      <c r="V16" s="186"/>
      <c r="W16" s="186"/>
      <c r="X16" s="186"/>
    </row>
    <row r="17">
      <c r="A17" s="185" t="s">
        <v>929</v>
      </c>
      <c r="B17" s="184" t="s">
        <v>887</v>
      </c>
      <c r="C17" s="185" t="s">
        <v>877</v>
      </c>
      <c r="D17" s="185" t="s">
        <v>930</v>
      </c>
      <c r="E17" s="185" t="s">
        <v>83</v>
      </c>
      <c r="F17" s="184" t="s">
        <v>931</v>
      </c>
      <c r="G17" s="184">
        <v>28269.0</v>
      </c>
      <c r="H17" s="184" t="s">
        <v>428</v>
      </c>
      <c r="I17" s="184" t="b">
        <v>0</v>
      </c>
      <c r="J17" s="184" t="b">
        <v>0</v>
      </c>
      <c r="K17" s="184">
        <v>0.0</v>
      </c>
      <c r="L17" s="183"/>
      <c r="M17" s="183"/>
      <c r="N17" s="183"/>
      <c r="O17" s="183"/>
      <c r="P17" s="183"/>
      <c r="Q17" s="183"/>
      <c r="R17" s="183"/>
      <c r="S17" s="183"/>
      <c r="T17" s="183"/>
      <c r="U17" s="183"/>
      <c r="V17" s="183"/>
      <c r="W17" s="183"/>
      <c r="X17" s="183"/>
    </row>
    <row r="18">
      <c r="A18" s="188" t="s">
        <v>932</v>
      </c>
      <c r="B18" s="187" t="s">
        <v>887</v>
      </c>
      <c r="C18" s="188" t="s">
        <v>877</v>
      </c>
      <c r="D18" s="188" t="s">
        <v>933</v>
      </c>
      <c r="E18" s="188" t="s">
        <v>84</v>
      </c>
      <c r="F18" s="187" t="s">
        <v>931</v>
      </c>
      <c r="G18" s="187">
        <v>27614.0</v>
      </c>
      <c r="H18" s="187" t="s">
        <v>428</v>
      </c>
      <c r="I18" s="187" t="b">
        <v>0</v>
      </c>
      <c r="J18" s="187" t="b">
        <v>0</v>
      </c>
      <c r="K18" s="187">
        <v>0.0</v>
      </c>
      <c r="L18" s="186"/>
      <c r="M18" s="186"/>
      <c r="N18" s="186"/>
      <c r="O18" s="186"/>
      <c r="P18" s="186"/>
      <c r="Q18" s="186"/>
      <c r="R18" s="186"/>
      <c r="S18" s="186"/>
      <c r="T18" s="186"/>
      <c r="U18" s="186"/>
      <c r="V18" s="186"/>
      <c r="W18" s="186"/>
      <c r="X18" s="186"/>
    </row>
    <row r="19">
      <c r="A19" s="192" t="s">
        <v>934</v>
      </c>
      <c r="B19" s="180" t="s">
        <v>887</v>
      </c>
      <c r="C19" s="181" t="s">
        <v>877</v>
      </c>
      <c r="D19" s="181" t="s">
        <v>935</v>
      </c>
      <c r="E19" s="181" t="s">
        <v>936</v>
      </c>
      <c r="F19" s="180" t="s">
        <v>937</v>
      </c>
      <c r="G19" s="180">
        <v>10038.0</v>
      </c>
      <c r="H19" s="180" t="s">
        <v>427</v>
      </c>
      <c r="I19" s="180" t="b">
        <v>1</v>
      </c>
      <c r="J19" s="180" t="b">
        <v>0</v>
      </c>
      <c r="K19" s="180">
        <v>1.0</v>
      </c>
      <c r="L19" s="181"/>
      <c r="M19" s="181" t="s">
        <v>763</v>
      </c>
      <c r="N19" s="181" t="s">
        <v>938</v>
      </c>
      <c r="O19" s="181" t="s">
        <v>939</v>
      </c>
      <c r="P19" s="181" t="s">
        <v>940</v>
      </c>
      <c r="Q19" s="182"/>
      <c r="R19" s="182"/>
      <c r="S19" s="182"/>
      <c r="T19" s="182"/>
      <c r="U19" s="182"/>
      <c r="V19" s="182"/>
      <c r="W19" s="182"/>
      <c r="X19" s="182"/>
    </row>
    <row r="20">
      <c r="A20" s="192" t="s">
        <v>941</v>
      </c>
      <c r="B20" s="180" t="s">
        <v>887</v>
      </c>
      <c r="C20" s="181" t="s">
        <v>877</v>
      </c>
      <c r="D20" s="181" t="s">
        <v>942</v>
      </c>
      <c r="E20" s="181" t="s">
        <v>75</v>
      </c>
      <c r="F20" s="180" t="s">
        <v>882</v>
      </c>
      <c r="G20" s="180">
        <v>76109.0</v>
      </c>
      <c r="H20" s="180" t="s">
        <v>427</v>
      </c>
      <c r="I20" s="180" t="b">
        <v>0</v>
      </c>
      <c r="J20" s="180" t="b">
        <v>1</v>
      </c>
      <c r="K20" s="180">
        <v>1.0</v>
      </c>
      <c r="L20" s="181"/>
      <c r="M20" s="181" t="s">
        <v>943</v>
      </c>
      <c r="N20" s="181" t="s">
        <v>944</v>
      </c>
      <c r="O20" s="181" t="s">
        <v>945</v>
      </c>
      <c r="P20" s="181" t="s">
        <v>946</v>
      </c>
      <c r="Q20" s="182"/>
      <c r="R20" s="182"/>
      <c r="S20" s="182"/>
      <c r="T20" s="182"/>
      <c r="U20" s="182"/>
      <c r="V20" s="182"/>
      <c r="W20" s="182"/>
      <c r="X20" s="182"/>
    </row>
    <row r="21">
      <c r="A21" s="192" t="s">
        <v>947</v>
      </c>
      <c r="B21" s="180" t="s">
        <v>887</v>
      </c>
      <c r="C21" s="181" t="s">
        <v>877</v>
      </c>
      <c r="D21" s="181" t="s">
        <v>948</v>
      </c>
      <c r="E21" s="181" t="s">
        <v>80</v>
      </c>
      <c r="F21" s="180" t="s">
        <v>890</v>
      </c>
      <c r="G21" s="180">
        <v>93101.0</v>
      </c>
      <c r="H21" s="180" t="s">
        <v>427</v>
      </c>
      <c r="I21" s="180" t="b">
        <v>0</v>
      </c>
      <c r="J21" s="180" t="b">
        <v>1</v>
      </c>
      <c r="K21" s="180">
        <v>1.0</v>
      </c>
      <c r="L21" s="181" t="s">
        <v>895</v>
      </c>
      <c r="M21" s="181" t="s">
        <v>764</v>
      </c>
      <c r="N21" s="181" t="s">
        <v>949</v>
      </c>
      <c r="O21" s="181" t="s">
        <v>950</v>
      </c>
      <c r="P21" s="181" t="s">
        <v>951</v>
      </c>
      <c r="Q21" s="182"/>
      <c r="R21" s="182"/>
      <c r="S21" s="182"/>
      <c r="T21" s="182"/>
      <c r="U21" s="182"/>
      <c r="V21" s="182"/>
      <c r="W21" s="182"/>
      <c r="X21" s="182"/>
    </row>
    <row r="22">
      <c r="A22" s="188" t="s">
        <v>952</v>
      </c>
      <c r="B22" s="187" t="s">
        <v>887</v>
      </c>
      <c r="C22" s="188" t="s">
        <v>877</v>
      </c>
      <c r="D22" s="188" t="s">
        <v>953</v>
      </c>
      <c r="E22" s="188" t="s">
        <v>85</v>
      </c>
      <c r="F22" s="187" t="s">
        <v>879</v>
      </c>
      <c r="G22" s="187">
        <v>33624.0</v>
      </c>
      <c r="H22" s="187" t="s">
        <v>428</v>
      </c>
      <c r="I22" s="187" t="b">
        <v>0</v>
      </c>
      <c r="J22" s="187" t="b">
        <v>0</v>
      </c>
      <c r="K22" s="187">
        <v>0.0</v>
      </c>
      <c r="L22" s="186"/>
      <c r="M22" s="186"/>
      <c r="N22" s="186"/>
      <c r="O22" s="186"/>
      <c r="P22" s="186"/>
      <c r="Q22" s="186"/>
      <c r="R22" s="186"/>
      <c r="S22" s="186"/>
      <c r="T22" s="186"/>
      <c r="U22" s="186"/>
      <c r="V22" s="186"/>
      <c r="W22" s="186"/>
      <c r="X22" s="186"/>
    </row>
    <row r="23">
      <c r="A23" s="185" t="s">
        <v>954</v>
      </c>
      <c r="B23" s="184" t="s">
        <v>887</v>
      </c>
      <c r="C23" s="185" t="s">
        <v>877</v>
      </c>
      <c r="D23" s="185" t="s">
        <v>955</v>
      </c>
      <c r="E23" s="185" t="s">
        <v>78</v>
      </c>
      <c r="F23" s="184" t="s">
        <v>882</v>
      </c>
      <c r="G23" s="184">
        <v>75025.0</v>
      </c>
      <c r="H23" s="184" t="s">
        <v>428</v>
      </c>
      <c r="I23" s="184" t="b">
        <v>0</v>
      </c>
      <c r="J23" s="184" t="b">
        <v>0</v>
      </c>
      <c r="K23" s="184">
        <v>0.0</v>
      </c>
      <c r="L23" s="183"/>
      <c r="M23" s="183"/>
      <c r="N23" s="183"/>
      <c r="O23" s="183"/>
      <c r="P23" s="183"/>
      <c r="Q23" s="183"/>
      <c r="R23" s="183"/>
      <c r="S23" s="183"/>
      <c r="T23" s="183"/>
      <c r="U23" s="183"/>
      <c r="V23" s="183"/>
      <c r="W23" s="183"/>
      <c r="X23" s="183"/>
    </row>
    <row r="24">
      <c r="A24" s="188" t="s">
        <v>956</v>
      </c>
      <c r="B24" s="187" t="s">
        <v>887</v>
      </c>
      <c r="C24" s="188" t="s">
        <v>877</v>
      </c>
      <c r="D24" s="188" t="s">
        <v>957</v>
      </c>
      <c r="E24" s="188" t="s">
        <v>958</v>
      </c>
      <c r="F24" s="187" t="s">
        <v>879</v>
      </c>
      <c r="G24" s="187">
        <v>33409.0</v>
      </c>
      <c r="H24" s="187" t="s">
        <v>428</v>
      </c>
      <c r="I24" s="187" t="b">
        <v>0</v>
      </c>
      <c r="J24" s="187" t="b">
        <v>0</v>
      </c>
      <c r="K24" s="187">
        <v>0.0</v>
      </c>
      <c r="L24" s="186"/>
      <c r="M24" s="186"/>
      <c r="N24" s="186"/>
      <c r="O24" s="186"/>
      <c r="P24" s="186"/>
      <c r="Q24" s="186"/>
      <c r="R24" s="186"/>
      <c r="S24" s="186"/>
      <c r="T24" s="186"/>
      <c r="U24" s="186"/>
      <c r="V24" s="186"/>
      <c r="W24" s="186"/>
      <c r="X24" s="186"/>
    </row>
    <row r="25">
      <c r="A25" s="185" t="s">
        <v>959</v>
      </c>
      <c r="B25" s="184" t="s">
        <v>887</v>
      </c>
      <c r="C25" s="185" t="s">
        <v>877</v>
      </c>
      <c r="D25" s="185" t="s">
        <v>960</v>
      </c>
      <c r="E25" s="185" t="s">
        <v>571</v>
      </c>
      <c r="F25" s="184" t="s">
        <v>882</v>
      </c>
      <c r="G25" s="184">
        <v>77025.0</v>
      </c>
      <c r="H25" s="184" t="s">
        <v>194</v>
      </c>
      <c r="I25" s="184" t="b">
        <v>0</v>
      </c>
      <c r="J25" s="184" t="b">
        <v>0</v>
      </c>
      <c r="K25" s="184">
        <v>0.0</v>
      </c>
      <c r="L25" s="183"/>
      <c r="M25" s="183"/>
      <c r="N25" s="183"/>
      <c r="O25" s="183"/>
      <c r="P25" s="183"/>
      <c r="Q25" s="183"/>
      <c r="R25" s="183"/>
      <c r="S25" s="183"/>
      <c r="T25" s="183"/>
      <c r="U25" s="183"/>
      <c r="V25" s="183"/>
      <c r="W25" s="183"/>
      <c r="X25" s="183"/>
    </row>
    <row r="26">
      <c r="A26" s="193" t="s">
        <v>76</v>
      </c>
      <c r="B26" s="194" t="s">
        <v>887</v>
      </c>
      <c r="C26" s="193" t="s">
        <v>877</v>
      </c>
      <c r="D26" s="193"/>
      <c r="E26" s="193" t="s">
        <v>76</v>
      </c>
      <c r="F26" s="194" t="s">
        <v>890</v>
      </c>
      <c r="G26" s="187">
        <v>94123.0</v>
      </c>
      <c r="H26" s="187" t="s">
        <v>428</v>
      </c>
      <c r="I26" s="187" t="b">
        <v>1</v>
      </c>
      <c r="J26" s="194" t="b">
        <v>0</v>
      </c>
      <c r="K26" s="194">
        <v>0.0</v>
      </c>
      <c r="L26" s="181" t="s">
        <v>961</v>
      </c>
      <c r="M26" s="186"/>
      <c r="N26" s="186"/>
      <c r="O26" s="186"/>
      <c r="P26" s="186"/>
      <c r="Q26" s="186"/>
      <c r="R26" s="186"/>
      <c r="S26" s="186"/>
      <c r="T26" s="186"/>
      <c r="U26" s="186"/>
      <c r="V26" s="186"/>
      <c r="W26" s="186"/>
      <c r="X26" s="186"/>
    </row>
    <row r="27">
      <c r="A27" s="192" t="s">
        <v>631</v>
      </c>
      <c r="B27" s="180" t="s">
        <v>887</v>
      </c>
      <c r="C27" s="181" t="s">
        <v>877</v>
      </c>
      <c r="D27" s="181"/>
      <c r="E27" s="181"/>
      <c r="F27" s="180"/>
      <c r="G27" s="180"/>
      <c r="H27" s="180" t="s">
        <v>429</v>
      </c>
      <c r="I27" s="180" t="b">
        <v>1</v>
      </c>
      <c r="J27" s="180" t="b">
        <v>0</v>
      </c>
      <c r="K27" s="180">
        <v>3.0</v>
      </c>
      <c r="L27" s="181"/>
      <c r="M27" s="181" t="s">
        <v>962</v>
      </c>
      <c r="N27" s="181" t="s">
        <v>963</v>
      </c>
      <c r="O27" s="181" t="s">
        <v>964</v>
      </c>
      <c r="P27" s="181" t="s">
        <v>965</v>
      </c>
      <c r="Q27" s="182"/>
      <c r="R27" s="182"/>
      <c r="S27" s="182"/>
      <c r="T27" s="182"/>
      <c r="U27" s="182"/>
      <c r="V27" s="182"/>
      <c r="W27" s="182"/>
      <c r="X27" s="182"/>
    </row>
    <row r="28">
      <c r="A28" s="192" t="s">
        <v>966</v>
      </c>
      <c r="B28" s="195" t="s">
        <v>887</v>
      </c>
      <c r="C28" s="196" t="s">
        <v>877</v>
      </c>
      <c r="D28" s="181" t="s">
        <v>967</v>
      </c>
      <c r="E28" s="181" t="s">
        <v>49</v>
      </c>
      <c r="F28" s="180" t="s">
        <v>882</v>
      </c>
      <c r="G28" s="180">
        <v>75010.0</v>
      </c>
      <c r="H28" s="180" t="s">
        <v>427</v>
      </c>
      <c r="I28" s="180" t="b">
        <v>0</v>
      </c>
      <c r="J28" s="180" t="b">
        <v>1</v>
      </c>
      <c r="K28" s="180">
        <v>1.0</v>
      </c>
      <c r="L28" s="197" t="s">
        <v>968</v>
      </c>
      <c r="M28" s="181" t="s">
        <v>969</v>
      </c>
      <c r="N28" s="181" t="s">
        <v>970</v>
      </c>
      <c r="O28" s="181" t="s">
        <v>971</v>
      </c>
      <c r="P28" s="182"/>
      <c r="Q28" s="182"/>
      <c r="R28" s="182"/>
      <c r="S28" s="182"/>
      <c r="T28" s="182"/>
      <c r="U28" s="182"/>
      <c r="V28" s="182"/>
      <c r="W28" s="182"/>
      <c r="X28" s="182"/>
    </row>
    <row r="29">
      <c r="A29" s="198"/>
      <c r="B29" s="199"/>
      <c r="C29" s="198"/>
      <c r="D29" s="198"/>
      <c r="E29" s="198"/>
      <c r="F29" s="199"/>
      <c r="G29" s="199"/>
      <c r="H29" s="198"/>
      <c r="I29" s="198"/>
      <c r="J29" s="198"/>
      <c r="K29" s="198"/>
      <c r="L29" s="198"/>
      <c r="M29" s="198"/>
      <c r="N29" s="198"/>
      <c r="O29" s="198"/>
      <c r="P29" s="198"/>
      <c r="Q29" s="198"/>
      <c r="R29" s="198"/>
      <c r="S29" s="198"/>
      <c r="T29" s="198"/>
      <c r="U29" s="198"/>
      <c r="V29" s="198"/>
      <c r="W29" s="198"/>
      <c r="X29" s="198"/>
    </row>
    <row r="30">
      <c r="A30" s="198"/>
      <c r="B30" s="199"/>
      <c r="C30" s="198"/>
      <c r="D30" s="198"/>
      <c r="E30" s="198"/>
      <c r="F30" s="199"/>
      <c r="G30" s="199"/>
      <c r="H30" s="198"/>
      <c r="I30" s="198"/>
      <c r="J30" s="198"/>
      <c r="K30" s="198"/>
      <c r="L30" s="198"/>
      <c r="M30" s="198"/>
      <c r="N30" s="198"/>
      <c r="O30" s="198"/>
      <c r="P30" s="198"/>
      <c r="Q30" s="198"/>
      <c r="R30" s="198"/>
      <c r="S30" s="198"/>
      <c r="T30" s="198"/>
      <c r="U30" s="198"/>
      <c r="V30" s="198"/>
      <c r="W30" s="198"/>
      <c r="X30" s="198"/>
    </row>
    <row r="31">
      <c r="A31" s="198"/>
      <c r="B31" s="199"/>
      <c r="C31" s="198"/>
      <c r="D31" s="198"/>
      <c r="E31" s="198"/>
      <c r="F31" s="199"/>
      <c r="G31" s="199"/>
      <c r="H31" s="198"/>
      <c r="I31" s="198"/>
      <c r="J31" s="198"/>
      <c r="K31" s="198"/>
      <c r="L31" s="198"/>
      <c r="M31" s="198"/>
      <c r="N31" s="198"/>
      <c r="O31" s="198"/>
      <c r="P31" s="198"/>
      <c r="Q31" s="198"/>
      <c r="R31" s="198"/>
      <c r="S31" s="198"/>
      <c r="T31" s="198"/>
      <c r="U31" s="198"/>
      <c r="V31" s="198"/>
      <c r="W31" s="198"/>
      <c r="X31" s="198"/>
    </row>
    <row r="32">
      <c r="A32" s="198"/>
      <c r="B32" s="199"/>
      <c r="C32" s="198"/>
      <c r="D32" s="198"/>
      <c r="E32" s="198"/>
      <c r="F32" s="199"/>
      <c r="G32" s="199"/>
      <c r="H32" s="198"/>
      <c r="I32" s="198"/>
      <c r="J32" s="198"/>
      <c r="K32" s="198"/>
      <c r="L32" s="198"/>
      <c r="M32" s="198"/>
      <c r="N32" s="198"/>
      <c r="O32" s="198"/>
      <c r="P32" s="198"/>
      <c r="Q32" s="198"/>
      <c r="R32" s="198"/>
      <c r="S32" s="198"/>
      <c r="T32" s="198"/>
      <c r="U32" s="198"/>
      <c r="V32" s="198"/>
      <c r="W32" s="198"/>
      <c r="X32" s="198"/>
    </row>
    <row r="33">
      <c r="A33" s="198"/>
      <c r="B33" s="199"/>
      <c r="C33" s="198"/>
      <c r="D33" s="198"/>
      <c r="E33" s="198"/>
      <c r="F33" s="199"/>
      <c r="G33" s="199"/>
      <c r="H33" s="198"/>
      <c r="I33" s="198"/>
      <c r="J33" s="198"/>
      <c r="K33" s="198"/>
      <c r="L33" s="198"/>
      <c r="M33" s="198"/>
      <c r="N33" s="198"/>
      <c r="O33" s="198"/>
      <c r="P33" s="198"/>
      <c r="Q33" s="198"/>
      <c r="R33" s="198"/>
      <c r="S33" s="198"/>
      <c r="T33" s="198"/>
      <c r="U33" s="198"/>
      <c r="V33" s="198"/>
      <c r="W33" s="198"/>
      <c r="X33" s="198"/>
    </row>
    <row r="34">
      <c r="A34" s="198"/>
      <c r="B34" s="199"/>
      <c r="C34" s="198"/>
      <c r="D34" s="198"/>
      <c r="E34" s="198"/>
      <c r="F34" s="199"/>
      <c r="G34" s="199"/>
      <c r="H34" s="198"/>
      <c r="I34" s="198"/>
      <c r="J34" s="198"/>
      <c r="K34" s="198"/>
      <c r="L34" s="198"/>
      <c r="M34" s="198"/>
      <c r="N34" s="198"/>
      <c r="O34" s="198"/>
      <c r="P34" s="198"/>
      <c r="Q34" s="198"/>
      <c r="R34" s="198"/>
      <c r="S34" s="198"/>
      <c r="T34" s="198"/>
      <c r="U34" s="198"/>
      <c r="V34" s="198"/>
      <c r="W34" s="198"/>
      <c r="X34" s="198"/>
    </row>
    <row r="35">
      <c r="A35" s="198"/>
      <c r="B35" s="199"/>
      <c r="C35" s="198"/>
      <c r="D35" s="198"/>
      <c r="E35" s="198"/>
      <c r="F35" s="199"/>
      <c r="G35" s="199"/>
      <c r="H35" s="198"/>
      <c r="I35" s="198"/>
      <c r="J35" s="198"/>
      <c r="K35" s="198"/>
      <c r="L35" s="198"/>
      <c r="M35" s="198"/>
      <c r="N35" s="198"/>
      <c r="O35" s="198"/>
      <c r="P35" s="198"/>
      <c r="Q35" s="198"/>
      <c r="R35" s="198"/>
      <c r="S35" s="198"/>
      <c r="T35" s="198"/>
      <c r="U35" s="198"/>
      <c r="V35" s="198"/>
      <c r="W35" s="198"/>
      <c r="X35" s="198"/>
    </row>
    <row r="36">
      <c r="A36" s="198"/>
      <c r="B36" s="199"/>
      <c r="C36" s="198"/>
      <c r="D36" s="198"/>
      <c r="E36" s="198"/>
      <c r="F36" s="199"/>
      <c r="G36" s="199"/>
      <c r="H36" s="198"/>
      <c r="I36" s="198"/>
      <c r="J36" s="198"/>
      <c r="K36" s="198"/>
      <c r="L36" s="198"/>
      <c r="M36" s="198"/>
      <c r="N36" s="198"/>
      <c r="O36" s="198"/>
      <c r="P36" s="198"/>
      <c r="Q36" s="198"/>
      <c r="R36" s="198"/>
      <c r="S36" s="198"/>
      <c r="T36" s="198"/>
      <c r="U36" s="198"/>
      <c r="V36" s="198"/>
      <c r="W36" s="198"/>
      <c r="X36" s="198"/>
    </row>
    <row r="37">
      <c r="A37" s="198"/>
      <c r="B37" s="199"/>
      <c r="C37" s="198"/>
      <c r="D37" s="198"/>
      <c r="E37" s="198"/>
      <c r="F37" s="199"/>
      <c r="G37" s="199"/>
      <c r="H37" s="198"/>
      <c r="I37" s="198"/>
      <c r="J37" s="198"/>
      <c r="K37" s="198"/>
      <c r="L37" s="198"/>
      <c r="M37" s="198"/>
      <c r="N37" s="198"/>
      <c r="O37" s="198"/>
      <c r="P37" s="198"/>
      <c r="Q37" s="198"/>
      <c r="R37" s="198"/>
      <c r="S37" s="198"/>
      <c r="T37" s="198"/>
      <c r="U37" s="198"/>
      <c r="V37" s="198"/>
      <c r="W37" s="198"/>
      <c r="X37" s="198"/>
    </row>
    <row r="38">
      <c r="A38" s="198"/>
      <c r="B38" s="199"/>
      <c r="C38" s="198"/>
      <c r="D38" s="198"/>
      <c r="E38" s="198"/>
      <c r="F38" s="199"/>
      <c r="G38" s="199"/>
      <c r="H38" s="198"/>
      <c r="I38" s="198"/>
      <c r="J38" s="198"/>
      <c r="K38" s="198"/>
      <c r="L38" s="198"/>
      <c r="M38" s="198"/>
      <c r="N38" s="198"/>
      <c r="O38" s="198"/>
      <c r="P38" s="198"/>
      <c r="Q38" s="198"/>
      <c r="R38" s="198"/>
      <c r="S38" s="198"/>
      <c r="T38" s="198"/>
      <c r="U38" s="198"/>
      <c r="V38" s="198"/>
      <c r="W38" s="198"/>
      <c r="X38" s="198"/>
    </row>
    <row r="39">
      <c r="A39" s="198"/>
      <c r="B39" s="199"/>
      <c r="C39" s="198"/>
      <c r="D39" s="198"/>
      <c r="E39" s="198"/>
      <c r="F39" s="199"/>
      <c r="G39" s="199"/>
      <c r="H39" s="198"/>
      <c r="I39" s="198"/>
      <c r="J39" s="198"/>
      <c r="K39" s="198"/>
      <c r="L39" s="198"/>
      <c r="M39" s="198"/>
      <c r="N39" s="198"/>
      <c r="O39" s="198"/>
      <c r="P39" s="198"/>
      <c r="Q39" s="198"/>
      <c r="R39" s="198"/>
      <c r="S39" s="198"/>
      <c r="T39" s="198"/>
      <c r="U39" s="198"/>
      <c r="V39" s="198"/>
      <c r="W39" s="198"/>
      <c r="X39" s="198"/>
    </row>
    <row r="40">
      <c r="A40" s="198"/>
      <c r="B40" s="199"/>
      <c r="C40" s="198"/>
      <c r="D40" s="198"/>
      <c r="E40" s="198"/>
      <c r="F40" s="199"/>
      <c r="G40" s="199"/>
      <c r="H40" s="198"/>
      <c r="I40" s="198"/>
      <c r="J40" s="198"/>
      <c r="K40" s="198"/>
      <c r="L40" s="198"/>
      <c r="M40" s="198"/>
      <c r="N40" s="198"/>
      <c r="O40" s="198"/>
      <c r="P40" s="198"/>
      <c r="Q40" s="198"/>
      <c r="R40" s="198"/>
      <c r="S40" s="198"/>
      <c r="T40" s="198"/>
      <c r="U40" s="198"/>
      <c r="V40" s="198"/>
      <c r="W40" s="198"/>
      <c r="X40" s="198"/>
    </row>
    <row r="41">
      <c r="A41" s="198"/>
      <c r="B41" s="199"/>
      <c r="C41" s="198"/>
      <c r="D41" s="198"/>
      <c r="E41" s="198"/>
      <c r="F41" s="199"/>
      <c r="G41" s="199"/>
      <c r="H41" s="198"/>
      <c r="I41" s="198"/>
      <c r="J41" s="198"/>
      <c r="K41" s="198"/>
      <c r="L41" s="198"/>
      <c r="M41" s="198"/>
      <c r="N41" s="198"/>
      <c r="O41" s="198"/>
      <c r="P41" s="198"/>
      <c r="Q41" s="198"/>
      <c r="R41" s="198"/>
      <c r="S41" s="198"/>
      <c r="T41" s="198"/>
      <c r="U41" s="198"/>
      <c r="V41" s="198"/>
      <c r="W41" s="198"/>
      <c r="X41" s="198"/>
    </row>
    <row r="42">
      <c r="A42" s="198"/>
      <c r="B42" s="199"/>
      <c r="C42" s="198"/>
      <c r="D42" s="198"/>
      <c r="E42" s="198"/>
      <c r="F42" s="199"/>
      <c r="G42" s="199"/>
      <c r="H42" s="198"/>
      <c r="I42" s="198"/>
      <c r="J42" s="198"/>
      <c r="K42" s="198"/>
      <c r="L42" s="198"/>
      <c r="M42" s="198"/>
      <c r="N42" s="198"/>
      <c r="O42" s="198"/>
      <c r="P42" s="198"/>
      <c r="Q42" s="198"/>
      <c r="R42" s="198"/>
      <c r="S42" s="198"/>
      <c r="T42" s="198"/>
      <c r="U42" s="198"/>
      <c r="V42" s="198"/>
      <c r="W42" s="198"/>
      <c r="X42" s="198"/>
    </row>
    <row r="43">
      <c r="A43" s="198"/>
      <c r="B43" s="199"/>
      <c r="C43" s="198"/>
      <c r="D43" s="198"/>
      <c r="E43" s="198"/>
      <c r="F43" s="199"/>
      <c r="G43" s="199"/>
      <c r="H43" s="198"/>
      <c r="I43" s="198"/>
      <c r="J43" s="198"/>
      <c r="K43" s="198"/>
      <c r="L43" s="198"/>
      <c r="M43" s="198"/>
      <c r="N43" s="198"/>
      <c r="O43" s="198"/>
      <c r="P43" s="198"/>
      <c r="Q43" s="198"/>
      <c r="R43" s="198"/>
      <c r="S43" s="198"/>
      <c r="T43" s="198"/>
      <c r="U43" s="198"/>
      <c r="V43" s="198"/>
      <c r="W43" s="198"/>
      <c r="X43" s="198"/>
    </row>
    <row r="44">
      <c r="A44" s="198"/>
      <c r="B44" s="199"/>
      <c r="C44" s="198"/>
      <c r="D44" s="198"/>
      <c r="E44" s="198"/>
      <c r="F44" s="199"/>
      <c r="G44" s="199"/>
      <c r="H44" s="198"/>
      <c r="I44" s="198"/>
      <c r="J44" s="198"/>
      <c r="K44" s="198"/>
      <c r="L44" s="198"/>
      <c r="M44" s="198"/>
      <c r="N44" s="198"/>
      <c r="O44" s="198"/>
      <c r="P44" s="198"/>
      <c r="Q44" s="198"/>
      <c r="R44" s="198"/>
      <c r="S44" s="198"/>
      <c r="T44" s="198"/>
      <c r="U44" s="198"/>
      <c r="V44" s="198"/>
      <c r="W44" s="198"/>
      <c r="X44" s="198"/>
    </row>
    <row r="45">
      <c r="A45" s="198"/>
      <c r="B45" s="199"/>
      <c r="C45" s="198"/>
      <c r="D45" s="198"/>
      <c r="E45" s="198"/>
      <c r="F45" s="199"/>
      <c r="G45" s="199"/>
      <c r="H45" s="198"/>
      <c r="I45" s="198"/>
      <c r="J45" s="198"/>
      <c r="K45" s="198"/>
      <c r="L45" s="198"/>
      <c r="M45" s="198"/>
      <c r="N45" s="198"/>
      <c r="O45" s="198"/>
      <c r="P45" s="198"/>
      <c r="Q45" s="198"/>
      <c r="R45" s="198"/>
      <c r="S45" s="198"/>
      <c r="T45" s="198"/>
      <c r="U45" s="198"/>
      <c r="V45" s="198"/>
      <c r="W45" s="198"/>
      <c r="X45" s="198"/>
    </row>
    <row r="46">
      <c r="A46" s="198"/>
      <c r="B46" s="199"/>
      <c r="C46" s="198"/>
      <c r="D46" s="198"/>
      <c r="E46" s="198"/>
      <c r="F46" s="199"/>
      <c r="G46" s="199"/>
      <c r="H46" s="198"/>
      <c r="I46" s="198"/>
      <c r="J46" s="198"/>
      <c r="K46" s="198"/>
      <c r="L46" s="198"/>
      <c r="M46" s="198"/>
      <c r="N46" s="198"/>
      <c r="O46" s="198"/>
      <c r="P46" s="198"/>
      <c r="Q46" s="198"/>
      <c r="R46" s="198"/>
      <c r="S46" s="198"/>
      <c r="T46" s="198"/>
      <c r="U46" s="198"/>
      <c r="V46" s="198"/>
      <c r="W46" s="198"/>
      <c r="X46" s="198"/>
    </row>
    <row r="47">
      <c r="A47" s="198"/>
      <c r="B47" s="199"/>
      <c r="C47" s="198"/>
      <c r="D47" s="198"/>
      <c r="E47" s="198"/>
      <c r="F47" s="199"/>
      <c r="G47" s="199"/>
      <c r="H47" s="198"/>
      <c r="I47" s="198"/>
      <c r="J47" s="198"/>
      <c r="K47" s="198"/>
      <c r="L47" s="198"/>
      <c r="M47" s="198"/>
      <c r="N47" s="198"/>
      <c r="O47" s="198"/>
      <c r="P47" s="198"/>
      <c r="Q47" s="198"/>
      <c r="R47" s="198"/>
      <c r="S47" s="198"/>
      <c r="T47" s="198"/>
      <c r="U47" s="198"/>
      <c r="V47" s="198"/>
      <c r="W47" s="198"/>
      <c r="X47" s="198"/>
    </row>
    <row r="48">
      <c r="A48" s="198"/>
      <c r="B48" s="199"/>
      <c r="C48" s="198"/>
      <c r="D48" s="198"/>
      <c r="E48" s="198"/>
      <c r="F48" s="199"/>
      <c r="G48" s="199"/>
      <c r="H48" s="198"/>
      <c r="I48" s="198"/>
      <c r="J48" s="198"/>
      <c r="K48" s="198"/>
      <c r="L48" s="198"/>
      <c r="M48" s="198"/>
      <c r="N48" s="198"/>
      <c r="O48" s="198"/>
      <c r="P48" s="198"/>
      <c r="Q48" s="198"/>
      <c r="R48" s="198"/>
      <c r="S48" s="198"/>
      <c r="T48" s="198"/>
      <c r="U48" s="198"/>
      <c r="V48" s="198"/>
      <c r="W48" s="198"/>
      <c r="X48" s="198"/>
    </row>
    <row r="49">
      <c r="A49" s="198"/>
      <c r="B49" s="199"/>
      <c r="C49" s="198"/>
      <c r="D49" s="198"/>
      <c r="E49" s="198"/>
      <c r="F49" s="199"/>
      <c r="G49" s="199"/>
      <c r="H49" s="198"/>
      <c r="I49" s="198"/>
      <c r="J49" s="198"/>
      <c r="K49" s="198"/>
      <c r="L49" s="198"/>
      <c r="M49" s="198"/>
      <c r="N49" s="198"/>
      <c r="O49" s="198"/>
      <c r="P49" s="198"/>
      <c r="Q49" s="198"/>
      <c r="R49" s="198"/>
      <c r="S49" s="198"/>
      <c r="T49" s="198"/>
      <c r="U49" s="198"/>
      <c r="V49" s="198"/>
      <c r="W49" s="198"/>
      <c r="X49" s="198"/>
    </row>
    <row r="50">
      <c r="A50" s="198"/>
      <c r="B50" s="199"/>
      <c r="C50" s="198"/>
      <c r="D50" s="198"/>
      <c r="E50" s="198"/>
      <c r="F50" s="199"/>
      <c r="G50" s="199"/>
      <c r="H50" s="198"/>
      <c r="I50" s="198"/>
      <c r="J50" s="198"/>
      <c r="K50" s="198"/>
      <c r="L50" s="198"/>
      <c r="M50" s="198"/>
      <c r="N50" s="198"/>
      <c r="O50" s="198"/>
      <c r="P50" s="198"/>
      <c r="Q50" s="198"/>
      <c r="R50" s="198"/>
      <c r="S50" s="198"/>
      <c r="T50" s="198"/>
      <c r="U50" s="198"/>
      <c r="V50" s="198"/>
      <c r="W50" s="198"/>
      <c r="X50" s="198"/>
    </row>
    <row r="51">
      <c r="A51" s="198"/>
      <c r="B51" s="199"/>
      <c r="C51" s="198"/>
      <c r="D51" s="198"/>
      <c r="E51" s="198"/>
      <c r="F51" s="199"/>
      <c r="G51" s="199"/>
      <c r="H51" s="198"/>
      <c r="I51" s="198"/>
      <c r="J51" s="198"/>
      <c r="K51" s="198"/>
      <c r="L51" s="198"/>
      <c r="M51" s="198"/>
      <c r="N51" s="198"/>
      <c r="O51" s="198"/>
      <c r="P51" s="198"/>
      <c r="Q51" s="198"/>
      <c r="R51" s="198"/>
      <c r="S51" s="198"/>
      <c r="T51" s="198"/>
      <c r="U51" s="198"/>
      <c r="V51" s="198"/>
      <c r="W51" s="198"/>
      <c r="X51" s="198"/>
    </row>
    <row r="52">
      <c r="A52" s="198"/>
      <c r="B52" s="199"/>
      <c r="C52" s="198"/>
      <c r="D52" s="198"/>
      <c r="E52" s="198"/>
      <c r="F52" s="199"/>
      <c r="G52" s="199"/>
      <c r="H52" s="198"/>
      <c r="I52" s="198"/>
      <c r="J52" s="198"/>
      <c r="K52" s="198"/>
      <c r="L52" s="198"/>
      <c r="M52" s="198"/>
      <c r="N52" s="198"/>
      <c r="O52" s="198"/>
      <c r="P52" s="198"/>
      <c r="Q52" s="198"/>
      <c r="R52" s="198"/>
      <c r="S52" s="198"/>
      <c r="T52" s="198"/>
      <c r="U52" s="198"/>
      <c r="V52" s="198"/>
      <c r="W52" s="198"/>
      <c r="X52" s="198"/>
    </row>
    <row r="53">
      <c r="A53" s="198"/>
      <c r="B53" s="199"/>
      <c r="C53" s="198"/>
      <c r="D53" s="198"/>
      <c r="E53" s="198"/>
      <c r="F53" s="199"/>
      <c r="G53" s="199"/>
      <c r="H53" s="198"/>
      <c r="I53" s="198"/>
      <c r="J53" s="198"/>
      <c r="K53" s="198"/>
      <c r="L53" s="198"/>
      <c r="M53" s="198"/>
      <c r="N53" s="198"/>
      <c r="O53" s="198"/>
      <c r="P53" s="198"/>
      <c r="Q53" s="198"/>
      <c r="R53" s="198"/>
      <c r="S53" s="198"/>
      <c r="T53" s="198"/>
      <c r="U53" s="198"/>
      <c r="V53" s="198"/>
      <c r="W53" s="198"/>
      <c r="X53" s="198"/>
    </row>
    <row r="54">
      <c r="A54" s="198"/>
      <c r="B54" s="199"/>
      <c r="C54" s="198"/>
      <c r="D54" s="198"/>
      <c r="E54" s="198"/>
      <c r="F54" s="199"/>
      <c r="G54" s="199"/>
      <c r="H54" s="198"/>
      <c r="I54" s="198"/>
      <c r="J54" s="198"/>
      <c r="K54" s="198"/>
      <c r="L54" s="198"/>
      <c r="M54" s="198"/>
      <c r="N54" s="198"/>
      <c r="O54" s="198"/>
      <c r="P54" s="198"/>
      <c r="Q54" s="198"/>
      <c r="R54" s="198"/>
      <c r="S54" s="198"/>
      <c r="T54" s="198"/>
      <c r="U54" s="198"/>
      <c r="V54" s="198"/>
      <c r="W54" s="198"/>
      <c r="X54" s="198"/>
    </row>
    <row r="55">
      <c r="A55" s="198"/>
      <c r="B55" s="199"/>
      <c r="C55" s="198"/>
      <c r="D55" s="198"/>
      <c r="E55" s="198"/>
      <c r="F55" s="199"/>
      <c r="G55" s="199"/>
      <c r="H55" s="198"/>
      <c r="I55" s="198"/>
      <c r="J55" s="198"/>
      <c r="K55" s="198"/>
      <c r="L55" s="198"/>
      <c r="M55" s="198"/>
      <c r="N55" s="198"/>
      <c r="O55" s="198"/>
      <c r="P55" s="198"/>
      <c r="Q55" s="198"/>
      <c r="R55" s="198"/>
      <c r="S55" s="198"/>
      <c r="T55" s="198"/>
      <c r="U55" s="198"/>
      <c r="V55" s="198"/>
      <c r="W55" s="198"/>
      <c r="X55" s="198"/>
    </row>
    <row r="56">
      <c r="A56" s="198"/>
      <c r="B56" s="199"/>
      <c r="C56" s="198"/>
      <c r="D56" s="198"/>
      <c r="E56" s="198"/>
      <c r="F56" s="199"/>
      <c r="G56" s="199"/>
      <c r="H56" s="198"/>
      <c r="I56" s="198"/>
      <c r="J56" s="198"/>
      <c r="K56" s="198"/>
      <c r="L56" s="198"/>
      <c r="M56" s="198"/>
      <c r="N56" s="198"/>
      <c r="O56" s="198"/>
      <c r="P56" s="198"/>
      <c r="Q56" s="198"/>
      <c r="R56" s="198"/>
      <c r="S56" s="198"/>
      <c r="T56" s="198"/>
      <c r="U56" s="198"/>
      <c r="V56" s="198"/>
      <c r="W56" s="198"/>
      <c r="X56" s="198"/>
    </row>
    <row r="57">
      <c r="A57" s="198"/>
      <c r="B57" s="199"/>
      <c r="C57" s="198"/>
      <c r="D57" s="198"/>
      <c r="E57" s="198"/>
      <c r="F57" s="199"/>
      <c r="G57" s="199"/>
      <c r="H57" s="198"/>
      <c r="I57" s="198"/>
      <c r="J57" s="198"/>
      <c r="K57" s="198"/>
      <c r="L57" s="198"/>
      <c r="M57" s="198"/>
      <c r="N57" s="198"/>
      <c r="O57" s="198"/>
      <c r="P57" s="198"/>
      <c r="Q57" s="198"/>
      <c r="R57" s="198"/>
      <c r="S57" s="198"/>
      <c r="T57" s="198"/>
      <c r="U57" s="198"/>
      <c r="V57" s="198"/>
      <c r="W57" s="198"/>
      <c r="X57" s="198"/>
    </row>
    <row r="58">
      <c r="A58" s="198"/>
      <c r="B58" s="199"/>
      <c r="C58" s="198"/>
      <c r="D58" s="198"/>
      <c r="E58" s="198"/>
      <c r="F58" s="199"/>
      <c r="G58" s="199"/>
      <c r="H58" s="198"/>
      <c r="I58" s="198"/>
      <c r="J58" s="198"/>
      <c r="K58" s="198"/>
      <c r="L58" s="198"/>
      <c r="M58" s="198"/>
      <c r="N58" s="198"/>
      <c r="O58" s="198"/>
      <c r="P58" s="198"/>
      <c r="Q58" s="198"/>
      <c r="R58" s="198"/>
      <c r="S58" s="198"/>
      <c r="T58" s="198"/>
      <c r="U58" s="198"/>
      <c r="V58" s="198"/>
      <c r="W58" s="198"/>
      <c r="X58" s="198"/>
    </row>
    <row r="59">
      <c r="A59" s="198"/>
      <c r="B59" s="199"/>
      <c r="C59" s="198"/>
      <c r="D59" s="198"/>
      <c r="E59" s="198"/>
      <c r="F59" s="199"/>
      <c r="G59" s="199"/>
      <c r="H59" s="198"/>
      <c r="I59" s="198"/>
      <c r="J59" s="198"/>
      <c r="K59" s="198"/>
      <c r="L59" s="198"/>
      <c r="M59" s="198"/>
      <c r="N59" s="198"/>
      <c r="O59" s="198"/>
      <c r="P59" s="198"/>
      <c r="Q59" s="198"/>
      <c r="R59" s="198"/>
      <c r="S59" s="198"/>
      <c r="T59" s="198"/>
      <c r="U59" s="198"/>
      <c r="V59" s="198"/>
      <c r="W59" s="198"/>
      <c r="X59" s="198"/>
    </row>
    <row r="60">
      <c r="A60" s="198"/>
      <c r="B60" s="199"/>
      <c r="C60" s="198"/>
      <c r="D60" s="198"/>
      <c r="E60" s="198"/>
      <c r="F60" s="199"/>
      <c r="G60" s="199"/>
      <c r="H60" s="198"/>
      <c r="I60" s="198"/>
      <c r="J60" s="198"/>
      <c r="K60" s="198"/>
      <c r="L60" s="198"/>
      <c r="M60" s="198"/>
      <c r="N60" s="198"/>
      <c r="O60" s="198"/>
      <c r="P60" s="198"/>
      <c r="Q60" s="198"/>
      <c r="R60" s="198"/>
      <c r="S60" s="198"/>
      <c r="T60" s="198"/>
      <c r="U60" s="198"/>
      <c r="V60" s="198"/>
      <c r="W60" s="198"/>
      <c r="X60" s="198"/>
    </row>
    <row r="61">
      <c r="A61" s="198"/>
      <c r="B61" s="199"/>
      <c r="C61" s="198"/>
      <c r="D61" s="198"/>
      <c r="E61" s="198"/>
      <c r="F61" s="199"/>
      <c r="G61" s="199"/>
      <c r="H61" s="198"/>
      <c r="I61" s="198"/>
      <c r="J61" s="198"/>
      <c r="K61" s="198"/>
      <c r="L61" s="198"/>
      <c r="M61" s="198"/>
      <c r="N61" s="198"/>
      <c r="O61" s="198"/>
      <c r="P61" s="198"/>
      <c r="Q61" s="198"/>
      <c r="R61" s="198"/>
      <c r="S61" s="198"/>
      <c r="T61" s="198"/>
      <c r="U61" s="198"/>
      <c r="V61" s="198"/>
      <c r="W61" s="198"/>
      <c r="X61" s="198"/>
    </row>
    <row r="62">
      <c r="A62" s="198"/>
      <c r="B62" s="199"/>
      <c r="C62" s="198"/>
      <c r="D62" s="198"/>
      <c r="E62" s="198"/>
      <c r="F62" s="199"/>
      <c r="G62" s="199"/>
      <c r="H62" s="198"/>
      <c r="I62" s="198"/>
      <c r="J62" s="198"/>
      <c r="K62" s="198"/>
      <c r="L62" s="198"/>
      <c r="M62" s="198"/>
      <c r="N62" s="198"/>
      <c r="O62" s="198"/>
      <c r="P62" s="198"/>
      <c r="Q62" s="198"/>
      <c r="R62" s="198"/>
      <c r="S62" s="198"/>
      <c r="T62" s="198"/>
      <c r="U62" s="198"/>
      <c r="V62" s="198"/>
      <c r="W62" s="198"/>
      <c r="X62" s="198"/>
    </row>
    <row r="63">
      <c r="A63" s="198"/>
      <c r="B63" s="199"/>
      <c r="C63" s="198"/>
      <c r="D63" s="198"/>
      <c r="E63" s="198"/>
      <c r="F63" s="199"/>
      <c r="G63" s="199"/>
      <c r="H63" s="198"/>
      <c r="I63" s="198"/>
      <c r="J63" s="198"/>
      <c r="K63" s="198"/>
      <c r="L63" s="198"/>
      <c r="M63" s="198"/>
      <c r="N63" s="198"/>
      <c r="O63" s="198"/>
      <c r="P63" s="198"/>
      <c r="Q63" s="198"/>
      <c r="R63" s="198"/>
      <c r="S63" s="198"/>
      <c r="T63" s="198"/>
      <c r="U63" s="198"/>
      <c r="V63" s="198"/>
      <c r="W63" s="198"/>
      <c r="X63" s="198"/>
    </row>
    <row r="64">
      <c r="A64" s="198"/>
      <c r="B64" s="199"/>
      <c r="C64" s="198"/>
      <c r="D64" s="198"/>
      <c r="E64" s="198"/>
      <c r="F64" s="199"/>
      <c r="G64" s="199"/>
      <c r="H64" s="198"/>
      <c r="I64" s="198"/>
      <c r="J64" s="198"/>
      <c r="K64" s="198"/>
      <c r="L64" s="198"/>
      <c r="M64" s="198"/>
      <c r="N64" s="198"/>
      <c r="O64" s="198"/>
      <c r="P64" s="198"/>
      <c r="Q64" s="198"/>
      <c r="R64" s="198"/>
      <c r="S64" s="198"/>
      <c r="T64" s="198"/>
      <c r="U64" s="198"/>
      <c r="V64" s="198"/>
      <c r="W64" s="198"/>
      <c r="X64" s="198"/>
    </row>
    <row r="65">
      <c r="A65" s="198"/>
      <c r="B65" s="199"/>
      <c r="C65" s="198"/>
      <c r="D65" s="198"/>
      <c r="E65" s="198"/>
      <c r="F65" s="199"/>
      <c r="G65" s="199"/>
      <c r="H65" s="198"/>
      <c r="I65" s="198"/>
      <c r="J65" s="198"/>
      <c r="K65" s="198"/>
      <c r="L65" s="198"/>
      <c r="M65" s="198"/>
      <c r="N65" s="198"/>
      <c r="O65" s="198"/>
      <c r="P65" s="198"/>
      <c r="Q65" s="198"/>
      <c r="R65" s="198"/>
      <c r="S65" s="198"/>
      <c r="T65" s="198"/>
      <c r="U65" s="198"/>
      <c r="V65" s="198"/>
      <c r="W65" s="198"/>
      <c r="X65" s="198"/>
    </row>
    <row r="66">
      <c r="A66" s="198"/>
      <c r="B66" s="199"/>
      <c r="C66" s="198"/>
      <c r="D66" s="198"/>
      <c r="E66" s="198"/>
      <c r="F66" s="199"/>
      <c r="G66" s="199"/>
      <c r="H66" s="198"/>
      <c r="I66" s="198"/>
      <c r="J66" s="198"/>
      <c r="K66" s="198"/>
      <c r="L66" s="198"/>
      <c r="M66" s="198"/>
      <c r="N66" s="198"/>
      <c r="O66" s="198"/>
      <c r="P66" s="198"/>
      <c r="Q66" s="198"/>
      <c r="R66" s="198"/>
      <c r="S66" s="198"/>
      <c r="T66" s="198"/>
      <c r="U66" s="198"/>
      <c r="V66" s="198"/>
      <c r="W66" s="198"/>
      <c r="X66" s="198"/>
    </row>
    <row r="67">
      <c r="A67" s="198"/>
      <c r="B67" s="199"/>
      <c r="C67" s="198"/>
      <c r="D67" s="198"/>
      <c r="E67" s="198"/>
      <c r="F67" s="199"/>
      <c r="G67" s="199"/>
      <c r="H67" s="198"/>
      <c r="I67" s="198"/>
      <c r="J67" s="198"/>
      <c r="K67" s="198"/>
      <c r="L67" s="198"/>
      <c r="M67" s="198"/>
      <c r="N67" s="198"/>
      <c r="O67" s="198"/>
      <c r="P67" s="198"/>
      <c r="Q67" s="198"/>
      <c r="R67" s="198"/>
      <c r="S67" s="198"/>
      <c r="T67" s="198"/>
      <c r="U67" s="198"/>
      <c r="V67" s="198"/>
      <c r="W67" s="198"/>
      <c r="X67" s="198"/>
    </row>
    <row r="68">
      <c r="A68" s="198"/>
      <c r="B68" s="199"/>
      <c r="C68" s="198"/>
      <c r="D68" s="198"/>
      <c r="E68" s="198"/>
      <c r="F68" s="199"/>
      <c r="G68" s="199"/>
      <c r="H68" s="198"/>
      <c r="I68" s="198"/>
      <c r="J68" s="198"/>
      <c r="K68" s="198"/>
      <c r="L68" s="198"/>
      <c r="M68" s="198"/>
      <c r="N68" s="198"/>
      <c r="O68" s="198"/>
      <c r="P68" s="198"/>
      <c r="Q68" s="198"/>
      <c r="R68" s="198"/>
      <c r="S68" s="198"/>
      <c r="T68" s="198"/>
      <c r="U68" s="198"/>
      <c r="V68" s="198"/>
      <c r="W68" s="198"/>
      <c r="X68" s="198"/>
    </row>
    <row r="69">
      <c r="A69" s="198"/>
      <c r="B69" s="199"/>
      <c r="C69" s="198"/>
      <c r="D69" s="198"/>
      <c r="E69" s="198"/>
      <c r="F69" s="199"/>
      <c r="G69" s="199"/>
      <c r="H69" s="198"/>
      <c r="I69" s="198"/>
      <c r="J69" s="198"/>
      <c r="K69" s="198"/>
      <c r="L69" s="198"/>
      <c r="M69" s="198"/>
      <c r="N69" s="198"/>
      <c r="O69" s="198"/>
      <c r="P69" s="198"/>
      <c r="Q69" s="198"/>
      <c r="R69" s="198"/>
      <c r="S69" s="198"/>
      <c r="T69" s="198"/>
      <c r="U69" s="198"/>
      <c r="V69" s="198"/>
      <c r="W69" s="198"/>
      <c r="X69" s="198"/>
    </row>
    <row r="70">
      <c r="A70" s="198"/>
      <c r="B70" s="199"/>
      <c r="C70" s="198"/>
      <c r="D70" s="198"/>
      <c r="E70" s="198"/>
      <c r="F70" s="199"/>
      <c r="G70" s="199"/>
      <c r="H70" s="198"/>
      <c r="I70" s="198"/>
      <c r="J70" s="198"/>
      <c r="K70" s="198"/>
      <c r="L70" s="198"/>
      <c r="M70" s="198"/>
      <c r="N70" s="198"/>
      <c r="O70" s="198"/>
      <c r="P70" s="198"/>
      <c r="Q70" s="198"/>
      <c r="R70" s="198"/>
      <c r="S70" s="198"/>
      <c r="T70" s="198"/>
      <c r="U70" s="198"/>
      <c r="V70" s="198"/>
      <c r="W70" s="198"/>
      <c r="X70" s="198"/>
    </row>
    <row r="71">
      <c r="A71" s="198"/>
      <c r="B71" s="199"/>
      <c r="C71" s="198"/>
      <c r="D71" s="198"/>
      <c r="E71" s="198"/>
      <c r="F71" s="199"/>
      <c r="G71" s="199"/>
      <c r="H71" s="198"/>
      <c r="I71" s="198"/>
      <c r="J71" s="198"/>
      <c r="K71" s="198"/>
      <c r="L71" s="198"/>
      <c r="M71" s="198"/>
      <c r="N71" s="198"/>
      <c r="O71" s="198"/>
      <c r="P71" s="198"/>
      <c r="Q71" s="198"/>
      <c r="R71" s="198"/>
      <c r="S71" s="198"/>
      <c r="T71" s="198"/>
      <c r="U71" s="198"/>
      <c r="V71" s="198"/>
      <c r="W71" s="198"/>
      <c r="X71" s="198"/>
    </row>
    <row r="72">
      <c r="A72" s="198"/>
      <c r="B72" s="199"/>
      <c r="C72" s="198"/>
      <c r="D72" s="198"/>
      <c r="E72" s="198"/>
      <c r="F72" s="199"/>
      <c r="G72" s="199"/>
      <c r="H72" s="198"/>
      <c r="I72" s="198"/>
      <c r="J72" s="198"/>
      <c r="K72" s="198"/>
      <c r="L72" s="198"/>
      <c r="M72" s="198"/>
      <c r="N72" s="198"/>
      <c r="O72" s="198"/>
      <c r="P72" s="198"/>
      <c r="Q72" s="198"/>
      <c r="R72" s="198"/>
      <c r="S72" s="198"/>
      <c r="T72" s="198"/>
      <c r="U72" s="198"/>
      <c r="V72" s="198"/>
      <c r="W72" s="198"/>
      <c r="X72" s="198"/>
    </row>
    <row r="73">
      <c r="A73" s="198"/>
      <c r="B73" s="199"/>
      <c r="C73" s="198"/>
      <c r="D73" s="198"/>
      <c r="E73" s="198"/>
      <c r="F73" s="199"/>
      <c r="G73" s="199"/>
      <c r="H73" s="198"/>
      <c r="I73" s="198"/>
      <c r="J73" s="198"/>
      <c r="K73" s="198"/>
      <c r="L73" s="198"/>
      <c r="M73" s="198"/>
      <c r="N73" s="198"/>
      <c r="O73" s="198"/>
      <c r="P73" s="198"/>
      <c r="Q73" s="198"/>
      <c r="R73" s="198"/>
      <c r="S73" s="198"/>
      <c r="T73" s="198"/>
      <c r="U73" s="198"/>
      <c r="V73" s="198"/>
      <c r="W73" s="198"/>
      <c r="X73" s="198"/>
    </row>
    <row r="74">
      <c r="A74" s="198"/>
      <c r="B74" s="199"/>
      <c r="C74" s="198"/>
      <c r="D74" s="198"/>
      <c r="E74" s="198"/>
      <c r="F74" s="199"/>
      <c r="G74" s="199"/>
      <c r="H74" s="198"/>
      <c r="I74" s="198"/>
      <c r="J74" s="198"/>
      <c r="K74" s="198"/>
      <c r="L74" s="198"/>
      <c r="M74" s="198"/>
      <c r="N74" s="198"/>
      <c r="O74" s="198"/>
      <c r="P74" s="198"/>
      <c r="Q74" s="198"/>
      <c r="R74" s="198"/>
      <c r="S74" s="198"/>
      <c r="T74" s="198"/>
      <c r="U74" s="198"/>
      <c r="V74" s="198"/>
      <c r="W74" s="198"/>
      <c r="X74" s="198"/>
    </row>
    <row r="75">
      <c r="A75" s="198"/>
      <c r="B75" s="199"/>
      <c r="C75" s="198"/>
      <c r="D75" s="198"/>
      <c r="E75" s="198"/>
      <c r="F75" s="199"/>
      <c r="G75" s="199"/>
      <c r="H75" s="198"/>
      <c r="I75" s="198"/>
      <c r="J75" s="198"/>
      <c r="K75" s="198"/>
      <c r="L75" s="198"/>
      <c r="M75" s="198"/>
      <c r="N75" s="198"/>
      <c r="O75" s="198"/>
      <c r="P75" s="198"/>
      <c r="Q75" s="198"/>
      <c r="R75" s="198"/>
      <c r="S75" s="198"/>
      <c r="T75" s="198"/>
      <c r="U75" s="198"/>
      <c r="V75" s="198"/>
      <c r="W75" s="198"/>
      <c r="X75" s="198"/>
    </row>
    <row r="76">
      <c r="A76" s="198"/>
      <c r="B76" s="199"/>
      <c r="C76" s="198"/>
      <c r="D76" s="198"/>
      <c r="E76" s="198"/>
      <c r="F76" s="199"/>
      <c r="G76" s="199"/>
      <c r="H76" s="198"/>
      <c r="I76" s="198"/>
      <c r="J76" s="198"/>
      <c r="K76" s="198"/>
      <c r="L76" s="198"/>
      <c r="M76" s="198"/>
      <c r="N76" s="198"/>
      <c r="O76" s="198"/>
      <c r="P76" s="198"/>
      <c r="Q76" s="198"/>
      <c r="R76" s="198"/>
      <c r="S76" s="198"/>
      <c r="T76" s="198"/>
      <c r="U76" s="198"/>
      <c r="V76" s="198"/>
      <c r="W76" s="198"/>
      <c r="X76" s="198"/>
    </row>
    <row r="77">
      <c r="A77" s="198"/>
      <c r="B77" s="199"/>
      <c r="C77" s="198"/>
      <c r="D77" s="198"/>
      <c r="E77" s="198"/>
      <c r="F77" s="199"/>
      <c r="G77" s="199"/>
      <c r="H77" s="198"/>
      <c r="I77" s="198"/>
      <c r="J77" s="198"/>
      <c r="K77" s="198"/>
      <c r="L77" s="198"/>
      <c r="M77" s="198"/>
      <c r="N77" s="198"/>
      <c r="O77" s="198"/>
      <c r="P77" s="198"/>
      <c r="Q77" s="198"/>
      <c r="R77" s="198"/>
      <c r="S77" s="198"/>
      <c r="T77" s="198"/>
      <c r="U77" s="198"/>
      <c r="V77" s="198"/>
      <c r="W77" s="198"/>
      <c r="X77" s="198"/>
    </row>
    <row r="78">
      <c r="A78" s="198"/>
      <c r="B78" s="199"/>
      <c r="C78" s="198"/>
      <c r="D78" s="198"/>
      <c r="E78" s="198"/>
      <c r="F78" s="199"/>
      <c r="G78" s="199"/>
      <c r="H78" s="198"/>
      <c r="I78" s="198"/>
      <c r="J78" s="198"/>
      <c r="K78" s="198"/>
      <c r="L78" s="198"/>
      <c r="M78" s="198"/>
      <c r="N78" s="198"/>
      <c r="O78" s="198"/>
      <c r="P78" s="198"/>
      <c r="Q78" s="198"/>
      <c r="R78" s="198"/>
      <c r="S78" s="198"/>
      <c r="T78" s="198"/>
      <c r="U78" s="198"/>
      <c r="V78" s="198"/>
      <c r="W78" s="198"/>
      <c r="X78" s="198"/>
    </row>
    <row r="79">
      <c r="A79" s="198"/>
      <c r="B79" s="199"/>
      <c r="C79" s="198"/>
      <c r="D79" s="198"/>
      <c r="E79" s="198"/>
      <c r="F79" s="199"/>
      <c r="G79" s="199"/>
      <c r="H79" s="198"/>
      <c r="I79" s="198"/>
      <c r="J79" s="198"/>
      <c r="K79" s="198"/>
      <c r="L79" s="198"/>
      <c r="M79" s="198"/>
      <c r="N79" s="198"/>
      <c r="O79" s="198"/>
      <c r="P79" s="198"/>
      <c r="Q79" s="198"/>
      <c r="R79" s="198"/>
      <c r="S79" s="198"/>
      <c r="T79" s="198"/>
      <c r="U79" s="198"/>
      <c r="V79" s="198"/>
      <c r="W79" s="198"/>
      <c r="X79" s="198"/>
    </row>
    <row r="80">
      <c r="A80" s="198"/>
      <c r="B80" s="199"/>
      <c r="C80" s="198"/>
      <c r="D80" s="198"/>
      <c r="E80" s="198"/>
      <c r="F80" s="199"/>
      <c r="G80" s="199"/>
      <c r="H80" s="198"/>
      <c r="I80" s="198"/>
      <c r="J80" s="198"/>
      <c r="K80" s="198"/>
      <c r="L80" s="198"/>
      <c r="M80" s="198"/>
      <c r="N80" s="198"/>
      <c r="O80" s="198"/>
      <c r="P80" s="198"/>
      <c r="Q80" s="198"/>
      <c r="R80" s="198"/>
      <c r="S80" s="198"/>
      <c r="T80" s="198"/>
      <c r="U80" s="198"/>
      <c r="V80" s="198"/>
      <c r="W80" s="198"/>
      <c r="X80" s="198"/>
    </row>
    <row r="81">
      <c r="A81" s="198"/>
      <c r="B81" s="199"/>
      <c r="C81" s="198"/>
      <c r="D81" s="198"/>
      <c r="E81" s="198"/>
      <c r="F81" s="199"/>
      <c r="G81" s="199"/>
      <c r="H81" s="198"/>
      <c r="I81" s="198"/>
      <c r="J81" s="198"/>
      <c r="K81" s="198"/>
      <c r="L81" s="198"/>
      <c r="M81" s="198"/>
      <c r="N81" s="198"/>
      <c r="O81" s="198"/>
      <c r="P81" s="198"/>
      <c r="Q81" s="198"/>
      <c r="R81" s="198"/>
      <c r="S81" s="198"/>
      <c r="T81" s="198"/>
      <c r="U81" s="198"/>
      <c r="V81" s="198"/>
      <c r="W81" s="198"/>
      <c r="X81" s="198"/>
    </row>
    <row r="82">
      <c r="A82" s="198"/>
      <c r="B82" s="199"/>
      <c r="C82" s="198"/>
      <c r="D82" s="198"/>
      <c r="E82" s="198"/>
      <c r="F82" s="199"/>
      <c r="G82" s="199"/>
      <c r="H82" s="198"/>
      <c r="I82" s="198"/>
      <c r="J82" s="198"/>
      <c r="K82" s="198"/>
      <c r="L82" s="198"/>
      <c r="M82" s="198"/>
      <c r="N82" s="198"/>
      <c r="O82" s="198"/>
      <c r="P82" s="198"/>
      <c r="Q82" s="198"/>
      <c r="R82" s="198"/>
      <c r="S82" s="198"/>
      <c r="T82" s="198"/>
      <c r="U82" s="198"/>
      <c r="V82" s="198"/>
      <c r="W82" s="198"/>
      <c r="X82" s="198"/>
    </row>
    <row r="83">
      <c r="A83" s="198"/>
      <c r="B83" s="199"/>
      <c r="C83" s="198"/>
      <c r="D83" s="198"/>
      <c r="E83" s="198"/>
      <c r="F83" s="199"/>
      <c r="G83" s="199"/>
      <c r="H83" s="198"/>
      <c r="I83" s="198"/>
      <c r="J83" s="198"/>
      <c r="K83" s="198"/>
      <c r="L83" s="198"/>
      <c r="M83" s="198"/>
      <c r="N83" s="198"/>
      <c r="O83" s="198"/>
      <c r="P83" s="198"/>
      <c r="Q83" s="198"/>
      <c r="R83" s="198"/>
      <c r="S83" s="198"/>
      <c r="T83" s="198"/>
      <c r="U83" s="198"/>
      <c r="V83" s="198"/>
      <c r="W83" s="198"/>
      <c r="X83" s="198"/>
    </row>
    <row r="84">
      <c r="A84" s="198"/>
      <c r="B84" s="199"/>
      <c r="C84" s="198"/>
      <c r="D84" s="198"/>
      <c r="E84" s="198"/>
      <c r="F84" s="199"/>
      <c r="G84" s="199"/>
      <c r="H84" s="198"/>
      <c r="I84" s="198"/>
      <c r="J84" s="198"/>
      <c r="K84" s="198"/>
      <c r="L84" s="198"/>
      <c r="M84" s="198"/>
      <c r="N84" s="198"/>
      <c r="O84" s="198"/>
      <c r="P84" s="198"/>
      <c r="Q84" s="198"/>
      <c r="R84" s="198"/>
      <c r="S84" s="198"/>
      <c r="T84" s="198"/>
      <c r="U84" s="198"/>
      <c r="V84" s="198"/>
      <c r="W84" s="198"/>
      <c r="X84" s="198"/>
    </row>
    <row r="85">
      <c r="A85" s="198"/>
      <c r="B85" s="199"/>
      <c r="C85" s="198"/>
      <c r="D85" s="198"/>
      <c r="E85" s="198"/>
      <c r="F85" s="199"/>
      <c r="G85" s="199"/>
      <c r="H85" s="198"/>
      <c r="I85" s="198"/>
      <c r="J85" s="198"/>
      <c r="K85" s="198"/>
      <c r="L85" s="198"/>
      <c r="M85" s="198"/>
      <c r="N85" s="198"/>
      <c r="O85" s="198"/>
      <c r="P85" s="198"/>
      <c r="Q85" s="198"/>
      <c r="R85" s="198"/>
      <c r="S85" s="198"/>
      <c r="T85" s="198"/>
      <c r="U85" s="198"/>
      <c r="V85" s="198"/>
      <c r="W85" s="198"/>
      <c r="X85" s="198"/>
    </row>
    <row r="86">
      <c r="A86" s="198"/>
      <c r="B86" s="199"/>
      <c r="C86" s="198"/>
      <c r="D86" s="198"/>
      <c r="E86" s="198"/>
      <c r="F86" s="199"/>
      <c r="G86" s="199"/>
      <c r="H86" s="198"/>
      <c r="I86" s="198"/>
      <c r="J86" s="198"/>
      <c r="K86" s="198"/>
      <c r="L86" s="198"/>
      <c r="M86" s="198"/>
      <c r="N86" s="198"/>
      <c r="O86" s="198"/>
      <c r="P86" s="198"/>
      <c r="Q86" s="198"/>
      <c r="R86" s="198"/>
      <c r="S86" s="198"/>
      <c r="T86" s="198"/>
      <c r="U86" s="198"/>
      <c r="V86" s="198"/>
      <c r="W86" s="198"/>
      <c r="X86" s="198"/>
    </row>
    <row r="87">
      <c r="A87" s="198"/>
      <c r="B87" s="199"/>
      <c r="C87" s="198"/>
      <c r="D87" s="198"/>
      <c r="E87" s="198"/>
      <c r="F87" s="199"/>
      <c r="G87" s="199"/>
      <c r="H87" s="198"/>
      <c r="I87" s="198"/>
      <c r="J87" s="198"/>
      <c r="K87" s="198"/>
      <c r="L87" s="198"/>
      <c r="M87" s="198"/>
      <c r="N87" s="198"/>
      <c r="O87" s="198"/>
      <c r="P87" s="198"/>
      <c r="Q87" s="198"/>
      <c r="R87" s="198"/>
      <c r="S87" s="198"/>
      <c r="T87" s="198"/>
      <c r="U87" s="198"/>
      <c r="V87" s="198"/>
      <c r="W87" s="198"/>
      <c r="X87" s="198"/>
    </row>
    <row r="88">
      <c r="A88" s="198"/>
      <c r="B88" s="199"/>
      <c r="C88" s="198"/>
      <c r="D88" s="198"/>
      <c r="E88" s="198"/>
      <c r="F88" s="199"/>
      <c r="G88" s="199"/>
      <c r="H88" s="198"/>
      <c r="I88" s="198"/>
      <c r="J88" s="198"/>
      <c r="K88" s="198"/>
      <c r="L88" s="198"/>
      <c r="M88" s="198"/>
      <c r="N88" s="198"/>
      <c r="O88" s="198"/>
      <c r="P88" s="198"/>
      <c r="Q88" s="198"/>
      <c r="R88" s="198"/>
      <c r="S88" s="198"/>
      <c r="T88" s="198"/>
      <c r="U88" s="198"/>
      <c r="V88" s="198"/>
      <c r="W88" s="198"/>
      <c r="X88" s="198"/>
    </row>
    <row r="89">
      <c r="A89" s="198"/>
      <c r="B89" s="199"/>
      <c r="C89" s="198"/>
      <c r="D89" s="198"/>
      <c r="E89" s="198"/>
      <c r="F89" s="199"/>
      <c r="G89" s="199"/>
      <c r="H89" s="198"/>
      <c r="I89" s="198"/>
      <c r="J89" s="198"/>
      <c r="K89" s="198"/>
      <c r="L89" s="198"/>
      <c r="M89" s="198"/>
      <c r="N89" s="198"/>
      <c r="O89" s="198"/>
      <c r="P89" s="198"/>
      <c r="Q89" s="198"/>
      <c r="R89" s="198"/>
      <c r="S89" s="198"/>
      <c r="T89" s="198"/>
      <c r="U89" s="198"/>
      <c r="V89" s="198"/>
      <c r="W89" s="198"/>
      <c r="X89" s="198"/>
    </row>
    <row r="90">
      <c r="A90" s="198"/>
      <c r="B90" s="199"/>
      <c r="C90" s="198"/>
      <c r="D90" s="198"/>
      <c r="E90" s="198"/>
      <c r="F90" s="199"/>
      <c r="G90" s="199"/>
      <c r="H90" s="198"/>
      <c r="I90" s="198"/>
      <c r="J90" s="198"/>
      <c r="K90" s="198"/>
      <c r="L90" s="198"/>
      <c r="M90" s="198"/>
      <c r="N90" s="198"/>
      <c r="O90" s="198"/>
      <c r="P90" s="198"/>
      <c r="Q90" s="198"/>
      <c r="R90" s="198"/>
      <c r="S90" s="198"/>
      <c r="T90" s="198"/>
      <c r="U90" s="198"/>
      <c r="V90" s="198"/>
      <c r="W90" s="198"/>
      <c r="X90" s="198"/>
    </row>
    <row r="91">
      <c r="A91" s="198"/>
      <c r="B91" s="199"/>
      <c r="C91" s="198"/>
      <c r="D91" s="198"/>
      <c r="E91" s="198"/>
      <c r="F91" s="199"/>
      <c r="G91" s="199"/>
      <c r="H91" s="198"/>
      <c r="I91" s="198"/>
      <c r="J91" s="198"/>
      <c r="K91" s="198"/>
      <c r="L91" s="198"/>
      <c r="M91" s="198"/>
      <c r="N91" s="198"/>
      <c r="O91" s="198"/>
      <c r="P91" s="198"/>
      <c r="Q91" s="198"/>
      <c r="R91" s="198"/>
      <c r="S91" s="198"/>
      <c r="T91" s="198"/>
      <c r="U91" s="198"/>
      <c r="V91" s="198"/>
      <c r="W91" s="198"/>
      <c r="X91" s="198"/>
    </row>
    <row r="92">
      <c r="A92" s="198"/>
      <c r="B92" s="199"/>
      <c r="C92" s="198"/>
      <c r="D92" s="198"/>
      <c r="E92" s="198"/>
      <c r="F92" s="199"/>
      <c r="G92" s="199"/>
      <c r="H92" s="198"/>
      <c r="I92" s="198"/>
      <c r="J92" s="198"/>
      <c r="K92" s="198"/>
      <c r="L92" s="198"/>
      <c r="M92" s="198"/>
      <c r="N92" s="198"/>
      <c r="O92" s="198"/>
      <c r="P92" s="198"/>
      <c r="Q92" s="198"/>
      <c r="R92" s="198"/>
      <c r="S92" s="198"/>
      <c r="T92" s="198"/>
      <c r="U92" s="198"/>
      <c r="V92" s="198"/>
      <c r="W92" s="198"/>
      <c r="X92" s="198"/>
    </row>
    <row r="93">
      <c r="A93" s="198"/>
      <c r="B93" s="199"/>
      <c r="C93" s="198"/>
      <c r="D93" s="198"/>
      <c r="E93" s="198"/>
      <c r="F93" s="199"/>
      <c r="G93" s="199"/>
      <c r="H93" s="198"/>
      <c r="I93" s="198"/>
      <c r="J93" s="198"/>
      <c r="K93" s="198"/>
      <c r="L93" s="198"/>
      <c r="M93" s="198"/>
      <c r="N93" s="198"/>
      <c r="O93" s="198"/>
      <c r="P93" s="198"/>
      <c r="Q93" s="198"/>
      <c r="R93" s="198"/>
      <c r="S93" s="198"/>
      <c r="T93" s="198"/>
      <c r="U93" s="198"/>
      <c r="V93" s="198"/>
      <c r="W93" s="198"/>
      <c r="X93" s="198"/>
    </row>
    <row r="94">
      <c r="A94" s="198"/>
      <c r="B94" s="199"/>
      <c r="C94" s="198"/>
      <c r="D94" s="198"/>
      <c r="E94" s="198"/>
      <c r="F94" s="199"/>
      <c r="G94" s="199"/>
      <c r="H94" s="198"/>
      <c r="I94" s="198"/>
      <c r="J94" s="198"/>
      <c r="K94" s="198"/>
      <c r="L94" s="198"/>
      <c r="M94" s="198"/>
      <c r="N94" s="198"/>
      <c r="O94" s="198"/>
      <c r="P94" s="198"/>
      <c r="Q94" s="198"/>
      <c r="R94" s="198"/>
      <c r="S94" s="198"/>
      <c r="T94" s="198"/>
      <c r="U94" s="198"/>
      <c r="V94" s="198"/>
      <c r="W94" s="198"/>
      <c r="X94" s="198"/>
    </row>
    <row r="95">
      <c r="A95" s="198"/>
      <c r="B95" s="199"/>
      <c r="C95" s="198"/>
      <c r="D95" s="198"/>
      <c r="E95" s="198"/>
      <c r="F95" s="199"/>
      <c r="G95" s="199"/>
      <c r="H95" s="198"/>
      <c r="I95" s="198"/>
      <c r="J95" s="198"/>
      <c r="K95" s="198"/>
      <c r="L95" s="198"/>
      <c r="M95" s="198"/>
      <c r="N95" s="198"/>
      <c r="O95" s="198"/>
      <c r="P95" s="198"/>
      <c r="Q95" s="198"/>
      <c r="R95" s="198"/>
      <c r="S95" s="198"/>
      <c r="T95" s="198"/>
      <c r="U95" s="198"/>
      <c r="V95" s="198"/>
      <c r="W95" s="198"/>
      <c r="X95" s="198"/>
    </row>
    <row r="96">
      <c r="A96" s="198"/>
      <c r="B96" s="199"/>
      <c r="C96" s="198"/>
      <c r="D96" s="198"/>
      <c r="E96" s="198"/>
      <c r="F96" s="199"/>
      <c r="G96" s="199"/>
      <c r="H96" s="198"/>
      <c r="I96" s="198"/>
      <c r="J96" s="198"/>
      <c r="K96" s="198"/>
      <c r="L96" s="198"/>
      <c r="M96" s="198"/>
      <c r="N96" s="198"/>
      <c r="O96" s="198"/>
      <c r="P96" s="198"/>
      <c r="Q96" s="198"/>
      <c r="R96" s="198"/>
      <c r="S96" s="198"/>
      <c r="T96" s="198"/>
      <c r="U96" s="198"/>
      <c r="V96" s="198"/>
      <c r="W96" s="198"/>
      <c r="X96" s="198"/>
    </row>
    <row r="97">
      <c r="A97" s="198"/>
      <c r="B97" s="199"/>
      <c r="C97" s="198"/>
      <c r="D97" s="198"/>
      <c r="E97" s="198"/>
      <c r="F97" s="199"/>
      <c r="G97" s="199"/>
      <c r="H97" s="198"/>
      <c r="I97" s="198"/>
      <c r="J97" s="198"/>
      <c r="K97" s="198"/>
      <c r="L97" s="198"/>
      <c r="M97" s="198"/>
      <c r="N97" s="198"/>
      <c r="O97" s="198"/>
      <c r="P97" s="198"/>
      <c r="Q97" s="198"/>
      <c r="R97" s="198"/>
      <c r="S97" s="198"/>
      <c r="T97" s="198"/>
      <c r="U97" s="198"/>
      <c r="V97" s="198"/>
      <c r="W97" s="198"/>
      <c r="X97" s="198"/>
    </row>
    <row r="98">
      <c r="A98" s="198"/>
      <c r="B98" s="199"/>
      <c r="C98" s="198"/>
      <c r="D98" s="198"/>
      <c r="E98" s="198"/>
      <c r="F98" s="199"/>
      <c r="G98" s="199"/>
      <c r="H98" s="198"/>
      <c r="I98" s="198"/>
      <c r="J98" s="198"/>
      <c r="K98" s="198"/>
      <c r="L98" s="198"/>
      <c r="M98" s="198"/>
      <c r="N98" s="198"/>
      <c r="O98" s="198"/>
      <c r="P98" s="198"/>
      <c r="Q98" s="198"/>
      <c r="R98" s="198"/>
      <c r="S98" s="198"/>
      <c r="T98" s="198"/>
      <c r="U98" s="198"/>
      <c r="V98" s="198"/>
      <c r="W98" s="198"/>
      <c r="X98" s="198"/>
    </row>
    <row r="99">
      <c r="A99" s="198"/>
      <c r="B99" s="199"/>
      <c r="C99" s="198"/>
      <c r="D99" s="198"/>
      <c r="E99" s="198"/>
      <c r="F99" s="199"/>
      <c r="G99" s="199"/>
      <c r="H99" s="198"/>
      <c r="I99" s="198"/>
      <c r="J99" s="198"/>
      <c r="K99" s="198"/>
      <c r="L99" s="198"/>
      <c r="M99" s="198"/>
      <c r="N99" s="198"/>
      <c r="O99" s="198"/>
      <c r="P99" s="198"/>
      <c r="Q99" s="198"/>
      <c r="R99" s="198"/>
      <c r="S99" s="198"/>
      <c r="T99" s="198"/>
      <c r="U99" s="198"/>
      <c r="V99" s="198"/>
      <c r="W99" s="198"/>
      <c r="X99" s="198"/>
    </row>
    <row r="100">
      <c r="A100" s="198"/>
      <c r="B100" s="199"/>
      <c r="C100" s="198"/>
      <c r="D100" s="198"/>
      <c r="E100" s="198"/>
      <c r="F100" s="199"/>
      <c r="G100" s="199"/>
      <c r="H100" s="198"/>
      <c r="I100" s="198"/>
      <c r="J100" s="198"/>
      <c r="K100" s="198"/>
      <c r="L100" s="198"/>
      <c r="M100" s="198"/>
      <c r="N100" s="198"/>
      <c r="O100" s="198"/>
      <c r="P100" s="198"/>
      <c r="Q100" s="198"/>
      <c r="R100" s="198"/>
      <c r="S100" s="198"/>
      <c r="T100" s="198"/>
      <c r="U100" s="198"/>
      <c r="V100" s="198"/>
      <c r="W100" s="198"/>
      <c r="X100" s="198"/>
    </row>
    <row r="101">
      <c r="A101" s="198"/>
      <c r="B101" s="199"/>
      <c r="C101" s="198"/>
      <c r="D101" s="198"/>
      <c r="E101" s="198"/>
      <c r="F101" s="199"/>
      <c r="G101" s="199"/>
      <c r="H101" s="198"/>
      <c r="I101" s="198"/>
      <c r="J101" s="198"/>
      <c r="K101" s="198"/>
      <c r="L101" s="198"/>
      <c r="M101" s="198"/>
      <c r="N101" s="198"/>
      <c r="O101" s="198"/>
      <c r="P101" s="198"/>
      <c r="Q101" s="198"/>
      <c r="R101" s="198"/>
      <c r="S101" s="198"/>
      <c r="T101" s="198"/>
      <c r="U101" s="198"/>
      <c r="V101" s="198"/>
      <c r="W101" s="198"/>
      <c r="X101" s="198"/>
    </row>
    <row r="102">
      <c r="A102" s="198"/>
      <c r="B102" s="199"/>
      <c r="C102" s="198"/>
      <c r="D102" s="198"/>
      <c r="E102" s="198"/>
      <c r="F102" s="199"/>
      <c r="G102" s="199"/>
      <c r="H102" s="198"/>
      <c r="I102" s="198"/>
      <c r="J102" s="198"/>
      <c r="K102" s="198"/>
      <c r="L102" s="198"/>
      <c r="M102" s="198"/>
      <c r="N102" s="198"/>
      <c r="O102" s="198"/>
      <c r="P102" s="198"/>
      <c r="Q102" s="198"/>
      <c r="R102" s="198"/>
      <c r="S102" s="198"/>
      <c r="T102" s="198"/>
      <c r="U102" s="198"/>
      <c r="V102" s="198"/>
      <c r="W102" s="198"/>
      <c r="X102" s="198"/>
    </row>
    <row r="103">
      <c r="A103" s="198"/>
      <c r="B103" s="199"/>
      <c r="C103" s="198"/>
      <c r="D103" s="198"/>
      <c r="E103" s="198"/>
      <c r="F103" s="199"/>
      <c r="G103" s="199"/>
      <c r="H103" s="198"/>
      <c r="I103" s="198"/>
      <c r="J103" s="198"/>
      <c r="K103" s="198"/>
      <c r="L103" s="198"/>
      <c r="M103" s="198"/>
      <c r="N103" s="198"/>
      <c r="O103" s="198"/>
      <c r="P103" s="198"/>
      <c r="Q103" s="198"/>
      <c r="R103" s="198"/>
      <c r="S103" s="198"/>
      <c r="T103" s="198"/>
      <c r="U103" s="198"/>
      <c r="V103" s="198"/>
      <c r="W103" s="198"/>
      <c r="X103" s="198"/>
    </row>
    <row r="104">
      <c r="A104" s="198"/>
      <c r="B104" s="199"/>
      <c r="C104" s="198"/>
      <c r="D104" s="198"/>
      <c r="E104" s="198"/>
      <c r="F104" s="199"/>
      <c r="G104" s="199"/>
      <c r="H104" s="198"/>
      <c r="I104" s="198"/>
      <c r="J104" s="198"/>
      <c r="K104" s="198"/>
      <c r="L104" s="198"/>
      <c r="M104" s="198"/>
      <c r="N104" s="198"/>
      <c r="O104" s="198"/>
      <c r="P104" s="198"/>
      <c r="Q104" s="198"/>
      <c r="R104" s="198"/>
      <c r="S104" s="198"/>
      <c r="T104" s="198"/>
      <c r="U104" s="198"/>
      <c r="V104" s="198"/>
      <c r="W104" s="198"/>
      <c r="X104" s="198"/>
    </row>
    <row r="105">
      <c r="A105" s="198"/>
      <c r="B105" s="199"/>
      <c r="C105" s="198"/>
      <c r="D105" s="198"/>
      <c r="E105" s="198"/>
      <c r="F105" s="199"/>
      <c r="G105" s="199"/>
      <c r="H105" s="198"/>
      <c r="I105" s="198"/>
      <c r="J105" s="198"/>
      <c r="K105" s="198"/>
      <c r="L105" s="198"/>
      <c r="M105" s="198"/>
      <c r="N105" s="198"/>
      <c r="O105" s="198"/>
      <c r="P105" s="198"/>
      <c r="Q105" s="198"/>
      <c r="R105" s="198"/>
      <c r="S105" s="198"/>
      <c r="T105" s="198"/>
      <c r="U105" s="198"/>
      <c r="V105" s="198"/>
      <c r="W105" s="198"/>
      <c r="X105" s="198"/>
    </row>
    <row r="106">
      <c r="A106" s="198"/>
      <c r="B106" s="199"/>
      <c r="C106" s="198"/>
      <c r="D106" s="198"/>
      <c r="E106" s="198"/>
      <c r="F106" s="199"/>
      <c r="G106" s="199"/>
      <c r="H106" s="198"/>
      <c r="I106" s="198"/>
      <c r="J106" s="198"/>
      <c r="K106" s="198"/>
      <c r="L106" s="198"/>
      <c r="M106" s="198"/>
      <c r="N106" s="198"/>
      <c r="O106" s="198"/>
      <c r="P106" s="198"/>
      <c r="Q106" s="198"/>
      <c r="R106" s="198"/>
      <c r="S106" s="198"/>
      <c r="T106" s="198"/>
      <c r="U106" s="198"/>
      <c r="V106" s="198"/>
      <c r="W106" s="198"/>
      <c r="X106" s="198"/>
    </row>
    <row r="107">
      <c r="A107" s="198"/>
      <c r="B107" s="199"/>
      <c r="C107" s="198"/>
      <c r="D107" s="198"/>
      <c r="E107" s="198"/>
      <c r="F107" s="199"/>
      <c r="G107" s="199"/>
      <c r="H107" s="198"/>
      <c r="I107" s="198"/>
      <c r="J107" s="198"/>
      <c r="K107" s="198"/>
      <c r="L107" s="198"/>
      <c r="M107" s="198"/>
      <c r="N107" s="198"/>
      <c r="O107" s="198"/>
      <c r="P107" s="198"/>
      <c r="Q107" s="198"/>
      <c r="R107" s="198"/>
      <c r="S107" s="198"/>
      <c r="T107" s="198"/>
      <c r="U107" s="198"/>
      <c r="V107" s="198"/>
      <c r="W107" s="198"/>
      <c r="X107" s="198"/>
    </row>
    <row r="108">
      <c r="A108" s="198"/>
      <c r="B108" s="199"/>
      <c r="C108" s="198"/>
      <c r="D108" s="198"/>
      <c r="E108" s="198"/>
      <c r="F108" s="199"/>
      <c r="G108" s="199"/>
      <c r="H108" s="198"/>
      <c r="I108" s="198"/>
      <c r="J108" s="198"/>
      <c r="K108" s="198"/>
      <c r="L108" s="198"/>
      <c r="M108" s="198"/>
      <c r="N108" s="198"/>
      <c r="O108" s="198"/>
      <c r="P108" s="198"/>
      <c r="Q108" s="198"/>
      <c r="R108" s="198"/>
      <c r="S108" s="198"/>
      <c r="T108" s="198"/>
      <c r="U108" s="198"/>
      <c r="V108" s="198"/>
      <c r="W108" s="198"/>
      <c r="X108" s="198"/>
    </row>
    <row r="109">
      <c r="A109" s="198"/>
      <c r="B109" s="199"/>
      <c r="C109" s="198"/>
      <c r="D109" s="198"/>
      <c r="E109" s="198"/>
      <c r="F109" s="199"/>
      <c r="G109" s="199"/>
      <c r="H109" s="198"/>
      <c r="I109" s="198"/>
      <c r="J109" s="198"/>
      <c r="K109" s="198"/>
      <c r="L109" s="198"/>
      <c r="M109" s="198"/>
      <c r="N109" s="198"/>
      <c r="O109" s="198"/>
      <c r="P109" s="198"/>
      <c r="Q109" s="198"/>
      <c r="R109" s="198"/>
      <c r="S109" s="198"/>
      <c r="T109" s="198"/>
      <c r="U109" s="198"/>
      <c r="V109" s="198"/>
      <c r="W109" s="198"/>
      <c r="X109" s="198"/>
    </row>
    <row r="110">
      <c r="A110" s="198"/>
      <c r="B110" s="199"/>
      <c r="C110" s="198"/>
      <c r="D110" s="198"/>
      <c r="E110" s="198"/>
      <c r="F110" s="199"/>
      <c r="G110" s="199"/>
      <c r="H110" s="198"/>
      <c r="I110" s="198"/>
      <c r="J110" s="198"/>
      <c r="K110" s="198"/>
      <c r="L110" s="198"/>
      <c r="M110" s="198"/>
      <c r="N110" s="198"/>
      <c r="O110" s="198"/>
      <c r="P110" s="198"/>
      <c r="Q110" s="198"/>
      <c r="R110" s="198"/>
      <c r="S110" s="198"/>
      <c r="T110" s="198"/>
      <c r="U110" s="198"/>
      <c r="V110" s="198"/>
      <c r="W110" s="198"/>
      <c r="X110" s="198"/>
    </row>
    <row r="111">
      <c r="A111" s="198"/>
      <c r="B111" s="199"/>
      <c r="C111" s="198"/>
      <c r="D111" s="198"/>
      <c r="E111" s="198"/>
      <c r="F111" s="199"/>
      <c r="G111" s="199"/>
      <c r="H111" s="198"/>
      <c r="I111" s="198"/>
      <c r="J111" s="198"/>
      <c r="K111" s="198"/>
      <c r="L111" s="198"/>
      <c r="M111" s="198"/>
      <c r="N111" s="198"/>
      <c r="O111" s="198"/>
      <c r="P111" s="198"/>
      <c r="Q111" s="198"/>
      <c r="R111" s="198"/>
      <c r="S111" s="198"/>
      <c r="T111" s="198"/>
      <c r="U111" s="198"/>
      <c r="V111" s="198"/>
      <c r="W111" s="198"/>
      <c r="X111" s="198"/>
    </row>
    <row r="112">
      <c r="A112" s="198"/>
      <c r="B112" s="199"/>
      <c r="C112" s="198"/>
      <c r="D112" s="198"/>
      <c r="E112" s="198"/>
      <c r="F112" s="199"/>
      <c r="G112" s="199"/>
      <c r="H112" s="198"/>
      <c r="I112" s="198"/>
      <c r="J112" s="198"/>
      <c r="K112" s="198"/>
      <c r="L112" s="198"/>
      <c r="M112" s="198"/>
      <c r="N112" s="198"/>
      <c r="O112" s="198"/>
      <c r="P112" s="198"/>
      <c r="Q112" s="198"/>
      <c r="R112" s="198"/>
      <c r="S112" s="198"/>
      <c r="T112" s="198"/>
      <c r="U112" s="198"/>
      <c r="V112" s="198"/>
      <c r="W112" s="198"/>
      <c r="X112" s="198"/>
    </row>
    <row r="113">
      <c r="A113" s="198"/>
      <c r="B113" s="199"/>
      <c r="C113" s="198"/>
      <c r="D113" s="198"/>
      <c r="E113" s="198"/>
      <c r="F113" s="199"/>
      <c r="G113" s="199"/>
      <c r="H113" s="198"/>
      <c r="I113" s="198"/>
      <c r="J113" s="198"/>
      <c r="K113" s="198"/>
      <c r="L113" s="198"/>
      <c r="M113" s="198"/>
      <c r="N113" s="198"/>
      <c r="O113" s="198"/>
      <c r="P113" s="198"/>
      <c r="Q113" s="198"/>
      <c r="R113" s="198"/>
      <c r="S113" s="198"/>
      <c r="T113" s="198"/>
      <c r="U113" s="198"/>
      <c r="V113" s="198"/>
      <c r="W113" s="198"/>
      <c r="X113" s="198"/>
    </row>
    <row r="114">
      <c r="A114" s="198"/>
      <c r="B114" s="199"/>
      <c r="C114" s="198"/>
      <c r="D114" s="198"/>
      <c r="E114" s="198"/>
      <c r="F114" s="199"/>
      <c r="G114" s="199"/>
      <c r="H114" s="198"/>
      <c r="I114" s="198"/>
      <c r="J114" s="198"/>
      <c r="K114" s="198"/>
      <c r="L114" s="198"/>
      <c r="M114" s="198"/>
      <c r="N114" s="198"/>
      <c r="O114" s="198"/>
      <c r="P114" s="198"/>
      <c r="Q114" s="198"/>
      <c r="R114" s="198"/>
      <c r="S114" s="198"/>
      <c r="T114" s="198"/>
      <c r="U114" s="198"/>
      <c r="V114" s="198"/>
      <c r="W114" s="198"/>
      <c r="X114" s="198"/>
    </row>
    <row r="115">
      <c r="A115" s="198"/>
      <c r="B115" s="199"/>
      <c r="C115" s="198"/>
      <c r="D115" s="198"/>
      <c r="E115" s="198"/>
      <c r="F115" s="199"/>
      <c r="G115" s="199"/>
      <c r="H115" s="198"/>
      <c r="I115" s="198"/>
      <c r="J115" s="198"/>
      <c r="K115" s="198"/>
      <c r="L115" s="198"/>
      <c r="M115" s="198"/>
      <c r="N115" s="198"/>
      <c r="O115" s="198"/>
      <c r="P115" s="198"/>
      <c r="Q115" s="198"/>
      <c r="R115" s="198"/>
      <c r="S115" s="198"/>
      <c r="T115" s="198"/>
      <c r="U115" s="198"/>
      <c r="V115" s="198"/>
      <c r="W115" s="198"/>
      <c r="X115" s="198"/>
    </row>
    <row r="116">
      <c r="A116" s="198"/>
      <c r="B116" s="199"/>
      <c r="C116" s="198"/>
      <c r="D116" s="198"/>
      <c r="E116" s="198"/>
      <c r="F116" s="199"/>
      <c r="G116" s="199"/>
      <c r="H116" s="198"/>
      <c r="I116" s="198"/>
      <c r="J116" s="198"/>
      <c r="K116" s="198"/>
      <c r="L116" s="198"/>
      <c r="M116" s="198"/>
      <c r="N116" s="198"/>
      <c r="O116" s="198"/>
      <c r="P116" s="198"/>
      <c r="Q116" s="198"/>
      <c r="R116" s="198"/>
      <c r="S116" s="198"/>
      <c r="T116" s="198"/>
      <c r="U116" s="198"/>
      <c r="V116" s="198"/>
      <c r="W116" s="198"/>
      <c r="X116" s="198"/>
    </row>
    <row r="117">
      <c r="A117" s="198"/>
      <c r="B117" s="199"/>
      <c r="C117" s="198"/>
      <c r="D117" s="198"/>
      <c r="E117" s="198"/>
      <c r="F117" s="199"/>
      <c r="G117" s="199"/>
      <c r="H117" s="198"/>
      <c r="I117" s="198"/>
      <c r="J117" s="198"/>
      <c r="K117" s="198"/>
      <c r="L117" s="198"/>
      <c r="M117" s="198"/>
      <c r="N117" s="198"/>
      <c r="O117" s="198"/>
      <c r="P117" s="198"/>
      <c r="Q117" s="198"/>
      <c r="R117" s="198"/>
      <c r="S117" s="198"/>
      <c r="T117" s="198"/>
      <c r="U117" s="198"/>
      <c r="V117" s="198"/>
      <c r="W117" s="198"/>
      <c r="X117" s="198"/>
    </row>
    <row r="118">
      <c r="A118" s="198"/>
      <c r="B118" s="199"/>
      <c r="C118" s="198"/>
      <c r="D118" s="198"/>
      <c r="E118" s="198"/>
      <c r="F118" s="199"/>
      <c r="G118" s="199"/>
      <c r="H118" s="198"/>
      <c r="I118" s="198"/>
      <c r="J118" s="198"/>
      <c r="K118" s="198"/>
      <c r="L118" s="198"/>
      <c r="M118" s="198"/>
      <c r="N118" s="198"/>
      <c r="O118" s="198"/>
      <c r="P118" s="198"/>
      <c r="Q118" s="198"/>
      <c r="R118" s="198"/>
      <c r="S118" s="198"/>
      <c r="T118" s="198"/>
      <c r="U118" s="198"/>
      <c r="V118" s="198"/>
      <c r="W118" s="198"/>
      <c r="X118" s="198"/>
    </row>
    <row r="119">
      <c r="A119" s="198"/>
      <c r="B119" s="199"/>
      <c r="C119" s="198"/>
      <c r="D119" s="198"/>
      <c r="E119" s="198"/>
      <c r="F119" s="199"/>
      <c r="G119" s="199"/>
      <c r="H119" s="198"/>
      <c r="I119" s="198"/>
      <c r="J119" s="198"/>
      <c r="K119" s="198"/>
      <c r="L119" s="198"/>
      <c r="M119" s="198"/>
      <c r="N119" s="198"/>
      <c r="O119" s="198"/>
      <c r="P119" s="198"/>
      <c r="Q119" s="198"/>
      <c r="R119" s="198"/>
      <c r="S119" s="198"/>
      <c r="T119" s="198"/>
      <c r="U119" s="198"/>
      <c r="V119" s="198"/>
      <c r="W119" s="198"/>
      <c r="X119" s="198"/>
    </row>
    <row r="120">
      <c r="A120" s="198"/>
      <c r="B120" s="199"/>
      <c r="C120" s="198"/>
      <c r="D120" s="198"/>
      <c r="E120" s="198"/>
      <c r="F120" s="199"/>
      <c r="G120" s="199"/>
      <c r="H120" s="198"/>
      <c r="I120" s="198"/>
      <c r="J120" s="198"/>
      <c r="K120" s="198"/>
      <c r="L120" s="198"/>
      <c r="M120" s="198"/>
      <c r="N120" s="198"/>
      <c r="O120" s="198"/>
      <c r="P120" s="198"/>
      <c r="Q120" s="198"/>
      <c r="R120" s="198"/>
      <c r="S120" s="198"/>
      <c r="T120" s="198"/>
      <c r="U120" s="198"/>
      <c r="V120" s="198"/>
      <c r="W120" s="198"/>
      <c r="X120" s="198"/>
    </row>
    <row r="121">
      <c r="A121" s="198"/>
      <c r="B121" s="199"/>
      <c r="C121" s="198"/>
      <c r="D121" s="198"/>
      <c r="E121" s="198"/>
      <c r="F121" s="199"/>
      <c r="G121" s="199"/>
      <c r="H121" s="198"/>
      <c r="I121" s="198"/>
      <c r="J121" s="198"/>
      <c r="K121" s="198"/>
      <c r="L121" s="198"/>
      <c r="M121" s="198"/>
      <c r="N121" s="198"/>
      <c r="O121" s="198"/>
      <c r="P121" s="198"/>
      <c r="Q121" s="198"/>
      <c r="R121" s="198"/>
      <c r="S121" s="198"/>
      <c r="T121" s="198"/>
      <c r="U121" s="198"/>
      <c r="V121" s="198"/>
      <c r="W121" s="198"/>
      <c r="X121" s="198"/>
    </row>
    <row r="122">
      <c r="A122" s="198"/>
      <c r="B122" s="199"/>
      <c r="C122" s="198"/>
      <c r="D122" s="198"/>
      <c r="E122" s="198"/>
      <c r="F122" s="199"/>
      <c r="G122" s="199"/>
      <c r="H122" s="198"/>
      <c r="I122" s="198"/>
      <c r="J122" s="198"/>
      <c r="K122" s="198"/>
      <c r="L122" s="198"/>
      <c r="M122" s="198"/>
      <c r="N122" s="198"/>
      <c r="O122" s="198"/>
      <c r="P122" s="198"/>
      <c r="Q122" s="198"/>
      <c r="R122" s="198"/>
      <c r="S122" s="198"/>
      <c r="T122" s="198"/>
      <c r="U122" s="198"/>
      <c r="V122" s="198"/>
      <c r="W122" s="198"/>
      <c r="X122" s="198"/>
    </row>
    <row r="123">
      <c r="A123" s="198"/>
      <c r="B123" s="199"/>
      <c r="C123" s="198"/>
      <c r="D123" s="198"/>
      <c r="E123" s="198"/>
      <c r="F123" s="199"/>
      <c r="G123" s="199"/>
      <c r="H123" s="198"/>
      <c r="I123" s="198"/>
      <c r="J123" s="198"/>
      <c r="K123" s="198"/>
      <c r="L123" s="198"/>
      <c r="M123" s="198"/>
      <c r="N123" s="198"/>
      <c r="O123" s="198"/>
      <c r="P123" s="198"/>
      <c r="Q123" s="198"/>
      <c r="R123" s="198"/>
      <c r="S123" s="198"/>
      <c r="T123" s="198"/>
      <c r="U123" s="198"/>
      <c r="V123" s="198"/>
      <c r="W123" s="198"/>
      <c r="X123" s="198"/>
    </row>
    <row r="124">
      <c r="A124" s="198"/>
      <c r="B124" s="199"/>
      <c r="C124" s="198"/>
      <c r="D124" s="198"/>
      <c r="E124" s="198"/>
      <c r="F124" s="199"/>
      <c r="G124" s="199"/>
      <c r="H124" s="198"/>
      <c r="I124" s="198"/>
      <c r="J124" s="198"/>
      <c r="K124" s="198"/>
      <c r="L124" s="198"/>
      <c r="M124" s="198"/>
      <c r="N124" s="198"/>
      <c r="O124" s="198"/>
      <c r="P124" s="198"/>
      <c r="Q124" s="198"/>
      <c r="R124" s="198"/>
      <c r="S124" s="198"/>
      <c r="T124" s="198"/>
      <c r="U124" s="198"/>
      <c r="V124" s="198"/>
      <c r="W124" s="198"/>
      <c r="X124" s="198"/>
    </row>
    <row r="125">
      <c r="A125" s="198"/>
      <c r="B125" s="199"/>
      <c r="C125" s="198"/>
      <c r="D125" s="198"/>
      <c r="E125" s="198"/>
      <c r="F125" s="199"/>
      <c r="G125" s="199"/>
      <c r="H125" s="198"/>
      <c r="I125" s="198"/>
      <c r="J125" s="198"/>
      <c r="K125" s="198"/>
      <c r="L125" s="198"/>
      <c r="M125" s="198"/>
      <c r="N125" s="198"/>
      <c r="O125" s="198"/>
      <c r="P125" s="198"/>
      <c r="Q125" s="198"/>
      <c r="R125" s="198"/>
      <c r="S125" s="198"/>
      <c r="T125" s="198"/>
      <c r="U125" s="198"/>
      <c r="V125" s="198"/>
      <c r="W125" s="198"/>
      <c r="X125" s="198"/>
    </row>
    <row r="126">
      <c r="A126" s="198"/>
      <c r="B126" s="199"/>
      <c r="C126" s="198"/>
      <c r="D126" s="198"/>
      <c r="E126" s="198"/>
      <c r="F126" s="199"/>
      <c r="G126" s="199"/>
      <c r="H126" s="198"/>
      <c r="I126" s="198"/>
      <c r="J126" s="198"/>
      <c r="K126" s="198"/>
      <c r="L126" s="198"/>
      <c r="M126" s="198"/>
      <c r="N126" s="198"/>
      <c r="O126" s="198"/>
      <c r="P126" s="198"/>
      <c r="Q126" s="198"/>
      <c r="R126" s="198"/>
      <c r="S126" s="198"/>
      <c r="T126" s="198"/>
      <c r="U126" s="198"/>
      <c r="V126" s="198"/>
      <c r="W126" s="198"/>
      <c r="X126" s="198"/>
    </row>
    <row r="127">
      <c r="A127" s="198"/>
      <c r="B127" s="199"/>
      <c r="C127" s="198"/>
      <c r="D127" s="198"/>
      <c r="E127" s="198"/>
      <c r="F127" s="199"/>
      <c r="G127" s="199"/>
      <c r="H127" s="198"/>
      <c r="I127" s="198"/>
      <c r="J127" s="198"/>
      <c r="K127" s="198"/>
      <c r="L127" s="198"/>
      <c r="M127" s="198"/>
      <c r="N127" s="198"/>
      <c r="O127" s="198"/>
      <c r="P127" s="198"/>
      <c r="Q127" s="198"/>
      <c r="R127" s="198"/>
      <c r="S127" s="198"/>
      <c r="T127" s="198"/>
      <c r="U127" s="198"/>
      <c r="V127" s="198"/>
      <c r="W127" s="198"/>
      <c r="X127" s="198"/>
    </row>
    <row r="128">
      <c r="A128" s="198"/>
      <c r="B128" s="199"/>
      <c r="C128" s="198"/>
      <c r="D128" s="198"/>
      <c r="E128" s="198"/>
      <c r="F128" s="199"/>
      <c r="G128" s="199"/>
      <c r="H128" s="198"/>
      <c r="I128" s="198"/>
      <c r="J128" s="198"/>
      <c r="K128" s="198"/>
      <c r="L128" s="198"/>
      <c r="M128" s="198"/>
      <c r="N128" s="198"/>
      <c r="O128" s="198"/>
      <c r="P128" s="198"/>
      <c r="Q128" s="198"/>
      <c r="R128" s="198"/>
      <c r="S128" s="198"/>
      <c r="T128" s="198"/>
      <c r="U128" s="198"/>
      <c r="V128" s="198"/>
      <c r="W128" s="198"/>
      <c r="X128" s="198"/>
    </row>
    <row r="129">
      <c r="A129" s="198"/>
      <c r="B129" s="199"/>
      <c r="C129" s="198"/>
      <c r="D129" s="198"/>
      <c r="E129" s="198"/>
      <c r="F129" s="199"/>
      <c r="G129" s="199"/>
      <c r="H129" s="198"/>
      <c r="I129" s="198"/>
      <c r="J129" s="198"/>
      <c r="K129" s="198"/>
      <c r="L129" s="198"/>
      <c r="M129" s="198"/>
      <c r="N129" s="198"/>
      <c r="O129" s="198"/>
      <c r="P129" s="198"/>
      <c r="Q129" s="198"/>
      <c r="R129" s="198"/>
      <c r="S129" s="198"/>
      <c r="T129" s="198"/>
      <c r="U129" s="198"/>
      <c r="V129" s="198"/>
      <c r="W129" s="198"/>
      <c r="X129" s="198"/>
    </row>
    <row r="130">
      <c r="A130" s="198"/>
      <c r="B130" s="199"/>
      <c r="C130" s="198"/>
      <c r="D130" s="198"/>
      <c r="E130" s="198"/>
      <c r="F130" s="199"/>
      <c r="G130" s="199"/>
      <c r="H130" s="198"/>
      <c r="I130" s="198"/>
      <c r="J130" s="198"/>
      <c r="K130" s="198"/>
      <c r="L130" s="198"/>
      <c r="M130" s="198"/>
      <c r="N130" s="198"/>
      <c r="O130" s="198"/>
      <c r="P130" s="198"/>
      <c r="Q130" s="198"/>
      <c r="R130" s="198"/>
      <c r="S130" s="198"/>
      <c r="T130" s="198"/>
      <c r="U130" s="198"/>
      <c r="V130" s="198"/>
      <c r="W130" s="198"/>
      <c r="X130" s="198"/>
    </row>
    <row r="131">
      <c r="A131" s="198"/>
      <c r="B131" s="199"/>
      <c r="C131" s="198"/>
      <c r="D131" s="198"/>
      <c r="E131" s="198"/>
      <c r="F131" s="199"/>
      <c r="G131" s="199"/>
      <c r="H131" s="198"/>
      <c r="I131" s="198"/>
      <c r="J131" s="198"/>
      <c r="K131" s="198"/>
      <c r="L131" s="198"/>
      <c r="M131" s="198"/>
      <c r="N131" s="198"/>
      <c r="O131" s="198"/>
      <c r="P131" s="198"/>
      <c r="Q131" s="198"/>
      <c r="R131" s="198"/>
      <c r="S131" s="198"/>
      <c r="T131" s="198"/>
      <c r="U131" s="198"/>
      <c r="V131" s="198"/>
      <c r="W131" s="198"/>
      <c r="X131" s="198"/>
    </row>
    <row r="132">
      <c r="A132" s="198"/>
      <c r="B132" s="199"/>
      <c r="C132" s="198"/>
      <c r="D132" s="198"/>
      <c r="E132" s="198"/>
      <c r="F132" s="199"/>
      <c r="G132" s="199"/>
      <c r="H132" s="198"/>
      <c r="I132" s="198"/>
      <c r="J132" s="198"/>
      <c r="K132" s="198"/>
      <c r="L132" s="198"/>
      <c r="M132" s="198"/>
      <c r="N132" s="198"/>
      <c r="O132" s="198"/>
      <c r="P132" s="198"/>
      <c r="Q132" s="198"/>
      <c r="R132" s="198"/>
      <c r="S132" s="198"/>
      <c r="T132" s="198"/>
      <c r="U132" s="198"/>
      <c r="V132" s="198"/>
      <c r="W132" s="198"/>
      <c r="X132" s="198"/>
    </row>
    <row r="133">
      <c r="A133" s="198"/>
      <c r="B133" s="199"/>
      <c r="C133" s="198"/>
      <c r="D133" s="198"/>
      <c r="E133" s="198"/>
      <c r="F133" s="199"/>
      <c r="G133" s="199"/>
      <c r="H133" s="198"/>
      <c r="I133" s="198"/>
      <c r="J133" s="198"/>
      <c r="K133" s="198"/>
      <c r="L133" s="198"/>
      <c r="M133" s="198"/>
      <c r="N133" s="198"/>
      <c r="O133" s="198"/>
      <c r="P133" s="198"/>
      <c r="Q133" s="198"/>
      <c r="R133" s="198"/>
      <c r="S133" s="198"/>
      <c r="T133" s="198"/>
      <c r="U133" s="198"/>
      <c r="V133" s="198"/>
      <c r="W133" s="198"/>
      <c r="X133" s="198"/>
    </row>
    <row r="134">
      <c r="A134" s="198"/>
      <c r="B134" s="199"/>
      <c r="C134" s="198"/>
      <c r="D134" s="198"/>
      <c r="E134" s="198"/>
      <c r="F134" s="199"/>
      <c r="G134" s="199"/>
      <c r="H134" s="198"/>
      <c r="I134" s="198"/>
      <c r="J134" s="198"/>
      <c r="K134" s="198"/>
      <c r="L134" s="198"/>
      <c r="M134" s="198"/>
      <c r="N134" s="198"/>
      <c r="O134" s="198"/>
      <c r="P134" s="198"/>
      <c r="Q134" s="198"/>
      <c r="R134" s="198"/>
      <c r="S134" s="198"/>
      <c r="T134" s="198"/>
      <c r="U134" s="198"/>
      <c r="V134" s="198"/>
      <c r="W134" s="198"/>
      <c r="X134" s="198"/>
    </row>
    <row r="135">
      <c r="A135" s="198"/>
      <c r="B135" s="199"/>
      <c r="C135" s="198"/>
      <c r="D135" s="198"/>
      <c r="E135" s="198"/>
      <c r="F135" s="199"/>
      <c r="G135" s="199"/>
      <c r="H135" s="198"/>
      <c r="I135" s="198"/>
      <c r="J135" s="198"/>
      <c r="K135" s="198"/>
      <c r="L135" s="198"/>
      <c r="M135" s="198"/>
      <c r="N135" s="198"/>
      <c r="O135" s="198"/>
      <c r="P135" s="198"/>
      <c r="Q135" s="198"/>
      <c r="R135" s="198"/>
      <c r="S135" s="198"/>
      <c r="T135" s="198"/>
      <c r="U135" s="198"/>
      <c r="V135" s="198"/>
      <c r="W135" s="198"/>
      <c r="X135" s="198"/>
    </row>
    <row r="136">
      <c r="A136" s="198"/>
      <c r="B136" s="199"/>
      <c r="C136" s="198"/>
      <c r="D136" s="198"/>
      <c r="E136" s="198"/>
      <c r="F136" s="199"/>
      <c r="G136" s="199"/>
      <c r="H136" s="198"/>
      <c r="I136" s="198"/>
      <c r="J136" s="198"/>
      <c r="K136" s="198"/>
      <c r="L136" s="198"/>
      <c r="M136" s="198"/>
      <c r="N136" s="198"/>
      <c r="O136" s="198"/>
      <c r="P136" s="198"/>
      <c r="Q136" s="198"/>
      <c r="R136" s="198"/>
      <c r="S136" s="198"/>
      <c r="T136" s="198"/>
      <c r="U136" s="198"/>
      <c r="V136" s="198"/>
      <c r="W136" s="198"/>
      <c r="X136" s="198"/>
    </row>
    <row r="137">
      <c r="A137" s="198"/>
      <c r="B137" s="199"/>
      <c r="C137" s="198"/>
      <c r="D137" s="198"/>
      <c r="E137" s="198"/>
      <c r="F137" s="199"/>
      <c r="G137" s="199"/>
      <c r="H137" s="198"/>
      <c r="I137" s="198"/>
      <c r="J137" s="198"/>
      <c r="K137" s="198"/>
      <c r="L137" s="198"/>
      <c r="M137" s="198"/>
      <c r="N137" s="198"/>
      <c r="O137" s="198"/>
      <c r="P137" s="198"/>
      <c r="Q137" s="198"/>
      <c r="R137" s="198"/>
      <c r="S137" s="198"/>
      <c r="T137" s="198"/>
      <c r="U137" s="198"/>
      <c r="V137" s="198"/>
      <c r="W137" s="198"/>
      <c r="X137" s="198"/>
    </row>
    <row r="138">
      <c r="A138" s="198"/>
      <c r="B138" s="199"/>
      <c r="C138" s="198"/>
      <c r="D138" s="198"/>
      <c r="E138" s="198"/>
      <c r="F138" s="199"/>
      <c r="G138" s="199"/>
      <c r="H138" s="198"/>
      <c r="I138" s="198"/>
      <c r="J138" s="198"/>
      <c r="K138" s="198"/>
      <c r="L138" s="198"/>
      <c r="M138" s="198"/>
      <c r="N138" s="198"/>
      <c r="O138" s="198"/>
      <c r="P138" s="198"/>
      <c r="Q138" s="198"/>
      <c r="R138" s="198"/>
      <c r="S138" s="198"/>
      <c r="T138" s="198"/>
      <c r="U138" s="198"/>
      <c r="V138" s="198"/>
      <c r="W138" s="198"/>
      <c r="X138" s="198"/>
    </row>
    <row r="139">
      <c r="A139" s="198"/>
      <c r="B139" s="199"/>
      <c r="C139" s="198"/>
      <c r="D139" s="198"/>
      <c r="E139" s="198"/>
      <c r="F139" s="199"/>
      <c r="G139" s="199"/>
      <c r="H139" s="198"/>
      <c r="I139" s="198"/>
      <c r="J139" s="198"/>
      <c r="K139" s="198"/>
      <c r="L139" s="198"/>
      <c r="M139" s="198"/>
      <c r="N139" s="198"/>
      <c r="O139" s="198"/>
      <c r="P139" s="198"/>
      <c r="Q139" s="198"/>
      <c r="R139" s="198"/>
      <c r="S139" s="198"/>
      <c r="T139" s="198"/>
      <c r="U139" s="198"/>
      <c r="V139" s="198"/>
      <c r="W139" s="198"/>
      <c r="X139" s="198"/>
    </row>
    <row r="140">
      <c r="A140" s="198"/>
      <c r="B140" s="199"/>
      <c r="C140" s="198"/>
      <c r="D140" s="198"/>
      <c r="E140" s="198"/>
      <c r="F140" s="199"/>
      <c r="G140" s="199"/>
      <c r="H140" s="198"/>
      <c r="I140" s="198"/>
      <c r="J140" s="198"/>
      <c r="K140" s="198"/>
      <c r="L140" s="198"/>
      <c r="M140" s="198"/>
      <c r="N140" s="198"/>
      <c r="O140" s="198"/>
      <c r="P140" s="198"/>
      <c r="Q140" s="198"/>
      <c r="R140" s="198"/>
      <c r="S140" s="198"/>
      <c r="T140" s="198"/>
      <c r="U140" s="198"/>
      <c r="V140" s="198"/>
      <c r="W140" s="198"/>
      <c r="X140" s="198"/>
    </row>
    <row r="141">
      <c r="A141" s="198"/>
      <c r="B141" s="199"/>
      <c r="C141" s="198"/>
      <c r="D141" s="198"/>
      <c r="E141" s="198"/>
      <c r="F141" s="199"/>
      <c r="G141" s="199"/>
      <c r="H141" s="198"/>
      <c r="I141" s="198"/>
      <c r="J141" s="198"/>
      <c r="K141" s="198"/>
      <c r="L141" s="198"/>
      <c r="M141" s="198"/>
      <c r="N141" s="198"/>
      <c r="O141" s="198"/>
      <c r="P141" s="198"/>
      <c r="Q141" s="198"/>
      <c r="R141" s="198"/>
      <c r="S141" s="198"/>
      <c r="T141" s="198"/>
      <c r="U141" s="198"/>
      <c r="V141" s="198"/>
      <c r="W141" s="198"/>
      <c r="X141" s="198"/>
    </row>
    <row r="142">
      <c r="A142" s="198"/>
      <c r="B142" s="199"/>
      <c r="C142" s="198"/>
      <c r="D142" s="198"/>
      <c r="E142" s="198"/>
      <c r="F142" s="199"/>
      <c r="G142" s="199"/>
      <c r="H142" s="198"/>
      <c r="I142" s="198"/>
      <c r="J142" s="198"/>
      <c r="K142" s="198"/>
      <c r="L142" s="198"/>
      <c r="M142" s="198"/>
      <c r="N142" s="198"/>
      <c r="O142" s="198"/>
      <c r="P142" s="198"/>
      <c r="Q142" s="198"/>
      <c r="R142" s="198"/>
      <c r="S142" s="198"/>
      <c r="T142" s="198"/>
      <c r="U142" s="198"/>
      <c r="V142" s="198"/>
      <c r="W142" s="198"/>
      <c r="X142" s="198"/>
    </row>
    <row r="143">
      <c r="A143" s="198"/>
      <c r="B143" s="199"/>
      <c r="C143" s="198"/>
      <c r="D143" s="198"/>
      <c r="E143" s="198"/>
      <c r="F143" s="199"/>
      <c r="G143" s="199"/>
      <c r="H143" s="198"/>
      <c r="I143" s="198"/>
      <c r="J143" s="198"/>
      <c r="K143" s="198"/>
      <c r="L143" s="198"/>
      <c r="M143" s="198"/>
      <c r="N143" s="198"/>
      <c r="O143" s="198"/>
      <c r="P143" s="198"/>
      <c r="Q143" s="198"/>
      <c r="R143" s="198"/>
      <c r="S143" s="198"/>
      <c r="T143" s="198"/>
      <c r="U143" s="198"/>
      <c r="V143" s="198"/>
      <c r="W143" s="198"/>
      <c r="X143" s="198"/>
    </row>
    <row r="144">
      <c r="A144" s="198"/>
      <c r="B144" s="199"/>
      <c r="C144" s="198"/>
      <c r="D144" s="198"/>
      <c r="E144" s="198"/>
      <c r="F144" s="199"/>
      <c r="G144" s="199"/>
      <c r="H144" s="198"/>
      <c r="I144" s="198"/>
      <c r="J144" s="198"/>
      <c r="K144" s="198"/>
      <c r="L144" s="198"/>
      <c r="M144" s="198"/>
      <c r="N144" s="198"/>
      <c r="O144" s="198"/>
      <c r="P144" s="198"/>
      <c r="Q144" s="198"/>
      <c r="R144" s="198"/>
      <c r="S144" s="198"/>
      <c r="T144" s="198"/>
      <c r="U144" s="198"/>
      <c r="V144" s="198"/>
      <c r="W144" s="198"/>
      <c r="X144" s="198"/>
    </row>
    <row r="145">
      <c r="A145" s="198"/>
      <c r="B145" s="199"/>
      <c r="C145" s="198"/>
      <c r="D145" s="198"/>
      <c r="E145" s="198"/>
      <c r="F145" s="199"/>
      <c r="G145" s="199"/>
      <c r="H145" s="198"/>
      <c r="I145" s="198"/>
      <c r="J145" s="198"/>
      <c r="K145" s="198"/>
      <c r="L145" s="198"/>
      <c r="M145" s="198"/>
      <c r="N145" s="198"/>
      <c r="O145" s="198"/>
      <c r="P145" s="198"/>
      <c r="Q145" s="198"/>
      <c r="R145" s="198"/>
      <c r="S145" s="198"/>
      <c r="T145" s="198"/>
      <c r="U145" s="198"/>
      <c r="V145" s="198"/>
      <c r="W145" s="198"/>
      <c r="X145" s="198"/>
    </row>
    <row r="146">
      <c r="A146" s="198"/>
      <c r="B146" s="199"/>
      <c r="C146" s="198"/>
      <c r="D146" s="198"/>
      <c r="E146" s="198"/>
      <c r="F146" s="199"/>
      <c r="G146" s="199"/>
      <c r="H146" s="198"/>
      <c r="I146" s="198"/>
      <c r="J146" s="198"/>
      <c r="K146" s="198"/>
      <c r="L146" s="198"/>
      <c r="M146" s="198"/>
      <c r="N146" s="198"/>
      <c r="O146" s="198"/>
      <c r="P146" s="198"/>
      <c r="Q146" s="198"/>
      <c r="R146" s="198"/>
      <c r="S146" s="198"/>
      <c r="T146" s="198"/>
      <c r="U146" s="198"/>
      <c r="V146" s="198"/>
      <c r="W146" s="198"/>
      <c r="X146" s="198"/>
    </row>
    <row r="147">
      <c r="A147" s="198"/>
      <c r="B147" s="199"/>
      <c r="C147" s="198"/>
      <c r="D147" s="198"/>
      <c r="E147" s="198"/>
      <c r="F147" s="199"/>
      <c r="G147" s="199"/>
      <c r="H147" s="198"/>
      <c r="I147" s="198"/>
      <c r="J147" s="198"/>
      <c r="K147" s="198"/>
      <c r="L147" s="198"/>
      <c r="M147" s="198"/>
      <c r="N147" s="198"/>
      <c r="O147" s="198"/>
      <c r="P147" s="198"/>
      <c r="Q147" s="198"/>
      <c r="R147" s="198"/>
      <c r="S147" s="198"/>
      <c r="T147" s="198"/>
      <c r="U147" s="198"/>
      <c r="V147" s="198"/>
      <c r="W147" s="198"/>
      <c r="X147" s="198"/>
    </row>
    <row r="148">
      <c r="A148" s="198"/>
      <c r="B148" s="199"/>
      <c r="C148" s="198"/>
      <c r="D148" s="198"/>
      <c r="E148" s="198"/>
      <c r="F148" s="199"/>
      <c r="G148" s="199"/>
      <c r="H148" s="198"/>
      <c r="I148" s="198"/>
      <c r="J148" s="198"/>
      <c r="K148" s="198"/>
      <c r="L148" s="198"/>
      <c r="M148" s="198"/>
      <c r="N148" s="198"/>
      <c r="O148" s="198"/>
      <c r="P148" s="198"/>
      <c r="Q148" s="198"/>
      <c r="R148" s="198"/>
      <c r="S148" s="198"/>
      <c r="T148" s="198"/>
      <c r="U148" s="198"/>
      <c r="V148" s="198"/>
      <c r="W148" s="198"/>
      <c r="X148" s="198"/>
    </row>
    <row r="149">
      <c r="A149" s="198"/>
      <c r="B149" s="199"/>
      <c r="C149" s="198"/>
      <c r="D149" s="198"/>
      <c r="E149" s="198"/>
      <c r="F149" s="199"/>
      <c r="G149" s="199"/>
      <c r="H149" s="198"/>
      <c r="I149" s="198"/>
      <c r="J149" s="198"/>
      <c r="K149" s="198"/>
      <c r="L149" s="198"/>
      <c r="M149" s="198"/>
      <c r="N149" s="198"/>
      <c r="O149" s="198"/>
      <c r="P149" s="198"/>
      <c r="Q149" s="198"/>
      <c r="R149" s="198"/>
      <c r="S149" s="198"/>
      <c r="T149" s="198"/>
      <c r="U149" s="198"/>
      <c r="V149" s="198"/>
      <c r="W149" s="198"/>
      <c r="X149" s="198"/>
    </row>
    <row r="150">
      <c r="A150" s="198"/>
      <c r="B150" s="199"/>
      <c r="C150" s="198"/>
      <c r="D150" s="198"/>
      <c r="E150" s="198"/>
      <c r="F150" s="199"/>
      <c r="G150" s="199"/>
      <c r="H150" s="198"/>
      <c r="I150" s="198"/>
      <c r="J150" s="198"/>
      <c r="K150" s="198"/>
      <c r="L150" s="198"/>
      <c r="M150" s="198"/>
      <c r="N150" s="198"/>
      <c r="O150" s="198"/>
      <c r="P150" s="198"/>
      <c r="Q150" s="198"/>
      <c r="R150" s="198"/>
      <c r="S150" s="198"/>
      <c r="T150" s="198"/>
      <c r="U150" s="198"/>
      <c r="V150" s="198"/>
      <c r="W150" s="198"/>
      <c r="X150" s="198"/>
    </row>
    <row r="151">
      <c r="A151" s="198"/>
      <c r="B151" s="199"/>
      <c r="C151" s="198"/>
      <c r="D151" s="198"/>
      <c r="E151" s="198"/>
      <c r="F151" s="199"/>
      <c r="G151" s="199"/>
      <c r="H151" s="198"/>
      <c r="I151" s="198"/>
      <c r="J151" s="198"/>
      <c r="K151" s="198"/>
      <c r="L151" s="198"/>
      <c r="M151" s="198"/>
      <c r="N151" s="198"/>
      <c r="O151" s="198"/>
      <c r="P151" s="198"/>
      <c r="Q151" s="198"/>
      <c r="R151" s="198"/>
      <c r="S151" s="198"/>
      <c r="T151" s="198"/>
      <c r="U151" s="198"/>
      <c r="V151" s="198"/>
      <c r="W151" s="198"/>
      <c r="X151" s="198"/>
    </row>
    <row r="152">
      <c r="A152" s="198"/>
      <c r="B152" s="199"/>
      <c r="C152" s="198"/>
      <c r="D152" s="198"/>
      <c r="E152" s="198"/>
      <c r="F152" s="199"/>
      <c r="G152" s="199"/>
      <c r="H152" s="198"/>
      <c r="I152" s="198"/>
      <c r="J152" s="198"/>
      <c r="K152" s="198"/>
      <c r="L152" s="198"/>
      <c r="M152" s="198"/>
      <c r="N152" s="198"/>
      <c r="O152" s="198"/>
      <c r="P152" s="198"/>
      <c r="Q152" s="198"/>
      <c r="R152" s="198"/>
      <c r="S152" s="198"/>
      <c r="T152" s="198"/>
      <c r="U152" s="198"/>
      <c r="V152" s="198"/>
      <c r="W152" s="198"/>
      <c r="X152" s="198"/>
    </row>
    <row r="153">
      <c r="A153" s="198"/>
      <c r="B153" s="199"/>
      <c r="C153" s="198"/>
      <c r="D153" s="198"/>
      <c r="E153" s="198"/>
      <c r="F153" s="199"/>
      <c r="G153" s="199"/>
      <c r="H153" s="198"/>
      <c r="I153" s="198"/>
      <c r="J153" s="198"/>
      <c r="K153" s="198"/>
      <c r="L153" s="198"/>
      <c r="M153" s="198"/>
      <c r="N153" s="198"/>
      <c r="O153" s="198"/>
      <c r="P153" s="198"/>
      <c r="Q153" s="198"/>
      <c r="R153" s="198"/>
      <c r="S153" s="198"/>
      <c r="T153" s="198"/>
      <c r="U153" s="198"/>
      <c r="V153" s="198"/>
      <c r="W153" s="198"/>
      <c r="X153" s="198"/>
    </row>
    <row r="154">
      <c r="A154" s="198"/>
      <c r="B154" s="199"/>
      <c r="C154" s="198"/>
      <c r="D154" s="198"/>
      <c r="E154" s="198"/>
      <c r="F154" s="199"/>
      <c r="G154" s="199"/>
      <c r="H154" s="198"/>
      <c r="I154" s="198"/>
      <c r="J154" s="198"/>
      <c r="K154" s="198"/>
      <c r="L154" s="198"/>
      <c r="M154" s="198"/>
      <c r="N154" s="198"/>
      <c r="O154" s="198"/>
      <c r="P154" s="198"/>
      <c r="Q154" s="198"/>
      <c r="R154" s="198"/>
      <c r="S154" s="198"/>
      <c r="T154" s="198"/>
      <c r="U154" s="198"/>
      <c r="V154" s="198"/>
      <c r="W154" s="198"/>
      <c r="X154" s="198"/>
    </row>
    <row r="155">
      <c r="A155" s="198"/>
      <c r="B155" s="199"/>
      <c r="C155" s="198"/>
      <c r="D155" s="198"/>
      <c r="E155" s="198"/>
      <c r="F155" s="199"/>
      <c r="G155" s="199"/>
      <c r="H155" s="198"/>
      <c r="I155" s="198"/>
      <c r="J155" s="198"/>
      <c r="K155" s="198"/>
      <c r="L155" s="198"/>
      <c r="M155" s="198"/>
      <c r="N155" s="198"/>
      <c r="O155" s="198"/>
      <c r="P155" s="198"/>
      <c r="Q155" s="198"/>
      <c r="R155" s="198"/>
      <c r="S155" s="198"/>
      <c r="T155" s="198"/>
      <c r="U155" s="198"/>
      <c r="V155" s="198"/>
      <c r="W155" s="198"/>
      <c r="X155" s="198"/>
    </row>
    <row r="156">
      <c r="A156" s="198"/>
      <c r="B156" s="199"/>
      <c r="C156" s="198"/>
      <c r="D156" s="198"/>
      <c r="E156" s="198"/>
      <c r="F156" s="199"/>
      <c r="G156" s="199"/>
      <c r="H156" s="198"/>
      <c r="I156" s="198"/>
      <c r="J156" s="198"/>
      <c r="K156" s="198"/>
      <c r="L156" s="198"/>
      <c r="M156" s="198"/>
      <c r="N156" s="198"/>
      <c r="O156" s="198"/>
      <c r="P156" s="198"/>
      <c r="Q156" s="198"/>
      <c r="R156" s="198"/>
      <c r="S156" s="198"/>
      <c r="T156" s="198"/>
      <c r="U156" s="198"/>
      <c r="V156" s="198"/>
      <c r="W156" s="198"/>
      <c r="X156" s="198"/>
    </row>
    <row r="157">
      <c r="A157" s="198"/>
      <c r="B157" s="199"/>
      <c r="C157" s="198"/>
      <c r="D157" s="198"/>
      <c r="E157" s="198"/>
      <c r="F157" s="199"/>
      <c r="G157" s="199"/>
      <c r="H157" s="198"/>
      <c r="I157" s="198"/>
      <c r="J157" s="198"/>
      <c r="K157" s="198"/>
      <c r="L157" s="198"/>
      <c r="M157" s="198"/>
      <c r="N157" s="198"/>
      <c r="O157" s="198"/>
      <c r="P157" s="198"/>
      <c r="Q157" s="198"/>
      <c r="R157" s="198"/>
      <c r="S157" s="198"/>
      <c r="T157" s="198"/>
      <c r="U157" s="198"/>
      <c r="V157" s="198"/>
      <c r="W157" s="198"/>
      <c r="X157" s="198"/>
    </row>
    <row r="158">
      <c r="A158" s="198"/>
      <c r="B158" s="199"/>
      <c r="C158" s="198"/>
      <c r="D158" s="198"/>
      <c r="E158" s="198"/>
      <c r="F158" s="199"/>
      <c r="G158" s="199"/>
      <c r="H158" s="198"/>
      <c r="I158" s="198"/>
      <c r="J158" s="198"/>
      <c r="K158" s="198"/>
      <c r="L158" s="198"/>
      <c r="M158" s="198"/>
      <c r="N158" s="198"/>
      <c r="O158" s="198"/>
      <c r="P158" s="198"/>
      <c r="Q158" s="198"/>
      <c r="R158" s="198"/>
      <c r="S158" s="198"/>
      <c r="T158" s="198"/>
      <c r="U158" s="198"/>
      <c r="V158" s="198"/>
      <c r="W158" s="198"/>
      <c r="X158" s="198"/>
    </row>
    <row r="159">
      <c r="A159" s="198"/>
      <c r="B159" s="199"/>
      <c r="C159" s="198"/>
      <c r="D159" s="198"/>
      <c r="E159" s="198"/>
      <c r="F159" s="199"/>
      <c r="G159" s="199"/>
      <c r="H159" s="198"/>
      <c r="I159" s="198"/>
      <c r="J159" s="198"/>
      <c r="K159" s="198"/>
      <c r="L159" s="198"/>
      <c r="M159" s="198"/>
      <c r="N159" s="198"/>
      <c r="O159" s="198"/>
      <c r="P159" s="198"/>
      <c r="Q159" s="198"/>
      <c r="R159" s="198"/>
      <c r="S159" s="198"/>
      <c r="T159" s="198"/>
      <c r="U159" s="198"/>
      <c r="V159" s="198"/>
      <c r="W159" s="198"/>
      <c r="X159" s="198"/>
    </row>
    <row r="160">
      <c r="A160" s="198"/>
      <c r="B160" s="199"/>
      <c r="C160" s="198"/>
      <c r="D160" s="198"/>
      <c r="E160" s="198"/>
      <c r="F160" s="199"/>
      <c r="G160" s="199"/>
      <c r="H160" s="198"/>
      <c r="I160" s="198"/>
      <c r="J160" s="198"/>
      <c r="K160" s="198"/>
      <c r="L160" s="198"/>
      <c r="M160" s="198"/>
      <c r="N160" s="198"/>
      <c r="O160" s="198"/>
      <c r="P160" s="198"/>
      <c r="Q160" s="198"/>
      <c r="R160" s="198"/>
      <c r="S160" s="198"/>
      <c r="T160" s="198"/>
      <c r="U160" s="198"/>
      <c r="V160" s="198"/>
      <c r="W160" s="198"/>
      <c r="X160" s="198"/>
    </row>
    <row r="161">
      <c r="A161" s="198"/>
      <c r="B161" s="199"/>
      <c r="C161" s="198"/>
      <c r="D161" s="198"/>
      <c r="E161" s="198"/>
      <c r="F161" s="199"/>
      <c r="G161" s="199"/>
      <c r="H161" s="198"/>
      <c r="I161" s="198"/>
      <c r="J161" s="198"/>
      <c r="K161" s="198"/>
      <c r="L161" s="198"/>
      <c r="M161" s="198"/>
      <c r="N161" s="198"/>
      <c r="O161" s="198"/>
      <c r="P161" s="198"/>
      <c r="Q161" s="198"/>
      <c r="R161" s="198"/>
      <c r="S161" s="198"/>
      <c r="T161" s="198"/>
      <c r="U161" s="198"/>
      <c r="V161" s="198"/>
      <c r="W161" s="198"/>
      <c r="X161" s="198"/>
    </row>
    <row r="162">
      <c r="A162" s="198"/>
      <c r="B162" s="199"/>
      <c r="C162" s="198"/>
      <c r="D162" s="198"/>
      <c r="E162" s="198"/>
      <c r="F162" s="199"/>
      <c r="G162" s="199"/>
      <c r="H162" s="198"/>
      <c r="I162" s="198"/>
      <c r="J162" s="198"/>
      <c r="K162" s="198"/>
      <c r="L162" s="198"/>
      <c r="M162" s="198"/>
      <c r="N162" s="198"/>
      <c r="O162" s="198"/>
      <c r="P162" s="198"/>
      <c r="Q162" s="198"/>
      <c r="R162" s="198"/>
      <c r="S162" s="198"/>
      <c r="T162" s="198"/>
      <c r="U162" s="198"/>
      <c r="V162" s="198"/>
      <c r="W162" s="198"/>
      <c r="X162" s="198"/>
    </row>
    <row r="163">
      <c r="A163" s="198"/>
      <c r="B163" s="199"/>
      <c r="C163" s="198"/>
      <c r="D163" s="198"/>
      <c r="E163" s="198"/>
      <c r="F163" s="199"/>
      <c r="G163" s="199"/>
      <c r="H163" s="198"/>
      <c r="I163" s="198"/>
      <c r="J163" s="198"/>
      <c r="K163" s="198"/>
      <c r="L163" s="198"/>
      <c r="M163" s="198"/>
      <c r="N163" s="198"/>
      <c r="O163" s="198"/>
      <c r="P163" s="198"/>
      <c r="Q163" s="198"/>
      <c r="R163" s="198"/>
      <c r="S163" s="198"/>
      <c r="T163" s="198"/>
      <c r="U163" s="198"/>
      <c r="V163" s="198"/>
      <c r="W163" s="198"/>
      <c r="X163" s="198"/>
    </row>
    <row r="164">
      <c r="A164" s="198"/>
      <c r="B164" s="199"/>
      <c r="C164" s="198"/>
      <c r="D164" s="198"/>
      <c r="E164" s="198"/>
      <c r="F164" s="199"/>
      <c r="G164" s="199"/>
      <c r="H164" s="198"/>
      <c r="I164" s="198"/>
      <c r="J164" s="198"/>
      <c r="K164" s="198"/>
      <c r="L164" s="198"/>
      <c r="M164" s="198"/>
      <c r="N164" s="198"/>
      <c r="O164" s="198"/>
      <c r="P164" s="198"/>
      <c r="Q164" s="198"/>
      <c r="R164" s="198"/>
      <c r="S164" s="198"/>
      <c r="T164" s="198"/>
      <c r="U164" s="198"/>
      <c r="V164" s="198"/>
      <c r="W164" s="198"/>
      <c r="X164" s="198"/>
    </row>
    <row r="165">
      <c r="A165" s="198"/>
      <c r="B165" s="199"/>
      <c r="C165" s="198"/>
      <c r="D165" s="198"/>
      <c r="E165" s="198"/>
      <c r="F165" s="199"/>
      <c r="G165" s="199"/>
      <c r="H165" s="198"/>
      <c r="I165" s="198"/>
      <c r="J165" s="198"/>
      <c r="K165" s="198"/>
      <c r="L165" s="198"/>
      <c r="M165" s="198"/>
      <c r="N165" s="198"/>
      <c r="O165" s="198"/>
      <c r="P165" s="198"/>
      <c r="Q165" s="198"/>
      <c r="R165" s="198"/>
      <c r="S165" s="198"/>
      <c r="T165" s="198"/>
      <c r="U165" s="198"/>
      <c r="V165" s="198"/>
      <c r="W165" s="198"/>
      <c r="X165" s="198"/>
    </row>
    <row r="166">
      <c r="A166" s="198"/>
      <c r="B166" s="199"/>
      <c r="C166" s="198"/>
      <c r="D166" s="198"/>
      <c r="E166" s="198"/>
      <c r="F166" s="199"/>
      <c r="G166" s="199"/>
      <c r="H166" s="198"/>
      <c r="I166" s="198"/>
      <c r="J166" s="198"/>
      <c r="K166" s="198"/>
      <c r="L166" s="198"/>
      <c r="M166" s="198"/>
      <c r="N166" s="198"/>
      <c r="O166" s="198"/>
      <c r="P166" s="198"/>
      <c r="Q166" s="198"/>
      <c r="R166" s="198"/>
      <c r="S166" s="198"/>
      <c r="T166" s="198"/>
      <c r="U166" s="198"/>
      <c r="V166" s="198"/>
      <c r="W166" s="198"/>
      <c r="X166" s="198"/>
    </row>
    <row r="167">
      <c r="A167" s="198"/>
      <c r="B167" s="199"/>
      <c r="C167" s="198"/>
      <c r="D167" s="198"/>
      <c r="E167" s="198"/>
      <c r="F167" s="199"/>
      <c r="G167" s="199"/>
      <c r="H167" s="198"/>
      <c r="I167" s="198"/>
      <c r="J167" s="198"/>
      <c r="K167" s="198"/>
      <c r="L167" s="198"/>
      <c r="M167" s="198"/>
      <c r="N167" s="198"/>
      <c r="O167" s="198"/>
      <c r="P167" s="198"/>
      <c r="Q167" s="198"/>
      <c r="R167" s="198"/>
      <c r="S167" s="198"/>
      <c r="T167" s="198"/>
      <c r="U167" s="198"/>
      <c r="V167" s="198"/>
      <c r="W167" s="198"/>
      <c r="X167" s="198"/>
    </row>
    <row r="168">
      <c r="A168" s="198"/>
      <c r="B168" s="199"/>
      <c r="C168" s="198"/>
      <c r="D168" s="198"/>
      <c r="E168" s="198"/>
      <c r="F168" s="199"/>
      <c r="G168" s="199"/>
      <c r="H168" s="198"/>
      <c r="I168" s="198"/>
      <c r="J168" s="198"/>
      <c r="K168" s="198"/>
      <c r="L168" s="198"/>
      <c r="M168" s="198"/>
      <c r="N168" s="198"/>
      <c r="O168" s="198"/>
      <c r="P168" s="198"/>
      <c r="Q168" s="198"/>
      <c r="R168" s="198"/>
      <c r="S168" s="198"/>
      <c r="T168" s="198"/>
      <c r="U168" s="198"/>
      <c r="V168" s="198"/>
      <c r="W168" s="198"/>
      <c r="X168" s="198"/>
    </row>
    <row r="169">
      <c r="A169" s="198"/>
      <c r="B169" s="199"/>
      <c r="C169" s="198"/>
      <c r="D169" s="198"/>
      <c r="E169" s="198"/>
      <c r="F169" s="199"/>
      <c r="G169" s="199"/>
      <c r="H169" s="198"/>
      <c r="I169" s="198"/>
      <c r="J169" s="198"/>
      <c r="K169" s="198"/>
      <c r="L169" s="198"/>
      <c r="M169" s="198"/>
      <c r="N169" s="198"/>
      <c r="O169" s="198"/>
      <c r="P169" s="198"/>
      <c r="Q169" s="198"/>
      <c r="R169" s="198"/>
      <c r="S169" s="198"/>
      <c r="T169" s="198"/>
      <c r="U169" s="198"/>
      <c r="V169" s="198"/>
      <c r="W169" s="198"/>
      <c r="X169" s="198"/>
    </row>
    <row r="170">
      <c r="A170" s="198"/>
      <c r="B170" s="199"/>
      <c r="C170" s="198"/>
      <c r="D170" s="198"/>
      <c r="E170" s="198"/>
      <c r="F170" s="199"/>
      <c r="G170" s="199"/>
      <c r="H170" s="198"/>
      <c r="I170" s="198"/>
      <c r="J170" s="198"/>
      <c r="K170" s="198"/>
      <c r="L170" s="198"/>
      <c r="M170" s="198"/>
      <c r="N170" s="198"/>
      <c r="O170" s="198"/>
      <c r="P170" s="198"/>
      <c r="Q170" s="198"/>
      <c r="R170" s="198"/>
      <c r="S170" s="198"/>
      <c r="T170" s="198"/>
      <c r="U170" s="198"/>
      <c r="V170" s="198"/>
      <c r="W170" s="198"/>
      <c r="X170" s="198"/>
    </row>
    <row r="171">
      <c r="A171" s="198"/>
      <c r="B171" s="199"/>
      <c r="C171" s="198"/>
      <c r="D171" s="198"/>
      <c r="E171" s="198"/>
      <c r="F171" s="199"/>
      <c r="G171" s="199"/>
      <c r="H171" s="198"/>
      <c r="I171" s="198"/>
      <c r="J171" s="198"/>
      <c r="K171" s="198"/>
      <c r="L171" s="198"/>
      <c r="M171" s="198"/>
      <c r="N171" s="198"/>
      <c r="O171" s="198"/>
      <c r="P171" s="198"/>
      <c r="Q171" s="198"/>
      <c r="R171" s="198"/>
      <c r="S171" s="198"/>
      <c r="T171" s="198"/>
      <c r="U171" s="198"/>
      <c r="V171" s="198"/>
      <c r="W171" s="198"/>
      <c r="X171" s="198"/>
    </row>
    <row r="172">
      <c r="A172" s="198"/>
      <c r="B172" s="199"/>
      <c r="C172" s="198"/>
      <c r="D172" s="198"/>
      <c r="E172" s="198"/>
      <c r="F172" s="199"/>
      <c r="G172" s="199"/>
      <c r="H172" s="198"/>
      <c r="I172" s="198"/>
      <c r="J172" s="198"/>
      <c r="K172" s="198"/>
      <c r="L172" s="198"/>
      <c r="M172" s="198"/>
      <c r="N172" s="198"/>
      <c r="O172" s="198"/>
      <c r="P172" s="198"/>
      <c r="Q172" s="198"/>
      <c r="R172" s="198"/>
      <c r="S172" s="198"/>
      <c r="T172" s="198"/>
      <c r="U172" s="198"/>
      <c r="V172" s="198"/>
      <c r="W172" s="198"/>
      <c r="X172" s="198"/>
    </row>
    <row r="173">
      <c r="A173" s="198"/>
      <c r="B173" s="199"/>
      <c r="C173" s="198"/>
      <c r="D173" s="198"/>
      <c r="E173" s="198"/>
      <c r="F173" s="199"/>
      <c r="G173" s="199"/>
      <c r="H173" s="198"/>
      <c r="I173" s="198"/>
      <c r="J173" s="198"/>
      <c r="K173" s="198"/>
      <c r="L173" s="198"/>
      <c r="M173" s="198"/>
      <c r="N173" s="198"/>
      <c r="O173" s="198"/>
      <c r="P173" s="198"/>
      <c r="Q173" s="198"/>
      <c r="R173" s="198"/>
      <c r="S173" s="198"/>
      <c r="T173" s="198"/>
      <c r="U173" s="198"/>
      <c r="V173" s="198"/>
      <c r="W173" s="198"/>
      <c r="X173" s="198"/>
    </row>
    <row r="174">
      <c r="A174" s="198"/>
      <c r="B174" s="199"/>
      <c r="C174" s="198"/>
      <c r="D174" s="198"/>
      <c r="E174" s="198"/>
      <c r="F174" s="199"/>
      <c r="G174" s="199"/>
      <c r="H174" s="198"/>
      <c r="I174" s="198"/>
      <c r="J174" s="198"/>
      <c r="K174" s="198"/>
      <c r="L174" s="198"/>
      <c r="M174" s="198"/>
      <c r="N174" s="198"/>
      <c r="O174" s="198"/>
      <c r="P174" s="198"/>
      <c r="Q174" s="198"/>
      <c r="R174" s="198"/>
      <c r="S174" s="198"/>
      <c r="T174" s="198"/>
      <c r="U174" s="198"/>
      <c r="V174" s="198"/>
      <c r="W174" s="198"/>
      <c r="X174" s="198"/>
    </row>
    <row r="175">
      <c r="A175" s="198"/>
      <c r="B175" s="199"/>
      <c r="C175" s="198"/>
      <c r="D175" s="198"/>
      <c r="E175" s="198"/>
      <c r="F175" s="199"/>
      <c r="G175" s="199"/>
      <c r="H175" s="198"/>
      <c r="I175" s="198"/>
      <c r="J175" s="198"/>
      <c r="K175" s="198"/>
      <c r="L175" s="198"/>
      <c r="M175" s="198"/>
      <c r="N175" s="198"/>
      <c r="O175" s="198"/>
      <c r="P175" s="198"/>
      <c r="Q175" s="198"/>
      <c r="R175" s="198"/>
      <c r="S175" s="198"/>
      <c r="T175" s="198"/>
      <c r="U175" s="198"/>
      <c r="V175" s="198"/>
      <c r="W175" s="198"/>
      <c r="X175" s="198"/>
    </row>
    <row r="176">
      <c r="A176" s="198"/>
      <c r="B176" s="199"/>
      <c r="C176" s="198"/>
      <c r="D176" s="198"/>
      <c r="E176" s="198"/>
      <c r="F176" s="199"/>
      <c r="G176" s="199"/>
      <c r="H176" s="198"/>
      <c r="I176" s="198"/>
      <c r="J176" s="198"/>
      <c r="K176" s="198"/>
      <c r="L176" s="198"/>
      <c r="M176" s="198"/>
      <c r="N176" s="198"/>
      <c r="O176" s="198"/>
      <c r="P176" s="198"/>
      <c r="Q176" s="198"/>
      <c r="R176" s="198"/>
      <c r="S176" s="198"/>
      <c r="T176" s="198"/>
      <c r="U176" s="198"/>
      <c r="V176" s="198"/>
      <c r="W176" s="198"/>
      <c r="X176" s="198"/>
    </row>
    <row r="177">
      <c r="A177" s="198"/>
      <c r="B177" s="199"/>
      <c r="C177" s="198"/>
      <c r="D177" s="198"/>
      <c r="E177" s="198"/>
      <c r="F177" s="199"/>
      <c r="G177" s="199"/>
      <c r="H177" s="198"/>
      <c r="I177" s="198"/>
      <c r="J177" s="198"/>
      <c r="K177" s="198"/>
      <c r="L177" s="198"/>
      <c r="M177" s="198"/>
      <c r="N177" s="198"/>
      <c r="O177" s="198"/>
      <c r="P177" s="198"/>
      <c r="Q177" s="198"/>
      <c r="R177" s="198"/>
      <c r="S177" s="198"/>
      <c r="T177" s="198"/>
      <c r="U177" s="198"/>
      <c r="V177" s="198"/>
      <c r="W177" s="198"/>
      <c r="X177" s="198"/>
    </row>
    <row r="178">
      <c r="A178" s="198"/>
      <c r="B178" s="199"/>
      <c r="C178" s="198"/>
      <c r="D178" s="198"/>
      <c r="E178" s="198"/>
      <c r="F178" s="199"/>
      <c r="G178" s="199"/>
      <c r="H178" s="198"/>
      <c r="I178" s="198"/>
      <c r="J178" s="198"/>
      <c r="K178" s="198"/>
      <c r="L178" s="198"/>
      <c r="M178" s="198"/>
      <c r="N178" s="198"/>
      <c r="O178" s="198"/>
      <c r="P178" s="198"/>
      <c r="Q178" s="198"/>
      <c r="R178" s="198"/>
      <c r="S178" s="198"/>
      <c r="T178" s="198"/>
      <c r="U178" s="198"/>
      <c r="V178" s="198"/>
      <c r="W178" s="198"/>
      <c r="X178" s="198"/>
    </row>
    <row r="179">
      <c r="A179" s="198"/>
      <c r="B179" s="199"/>
      <c r="C179" s="198"/>
      <c r="D179" s="198"/>
      <c r="E179" s="198"/>
      <c r="F179" s="199"/>
      <c r="G179" s="199"/>
      <c r="H179" s="198"/>
      <c r="I179" s="198"/>
      <c r="J179" s="198"/>
      <c r="K179" s="198"/>
      <c r="L179" s="198"/>
      <c r="M179" s="198"/>
      <c r="N179" s="198"/>
      <c r="O179" s="198"/>
      <c r="P179" s="198"/>
      <c r="Q179" s="198"/>
      <c r="R179" s="198"/>
      <c r="S179" s="198"/>
      <c r="T179" s="198"/>
      <c r="U179" s="198"/>
      <c r="V179" s="198"/>
      <c r="W179" s="198"/>
      <c r="X179" s="198"/>
    </row>
    <row r="180">
      <c r="A180" s="198"/>
      <c r="B180" s="199"/>
      <c r="C180" s="198"/>
      <c r="D180" s="198"/>
      <c r="E180" s="198"/>
      <c r="F180" s="199"/>
      <c r="G180" s="199"/>
      <c r="H180" s="198"/>
      <c r="I180" s="198"/>
      <c r="J180" s="198"/>
      <c r="K180" s="198"/>
      <c r="L180" s="198"/>
      <c r="M180" s="198"/>
      <c r="N180" s="198"/>
      <c r="O180" s="198"/>
      <c r="P180" s="198"/>
      <c r="Q180" s="198"/>
      <c r="R180" s="198"/>
      <c r="S180" s="198"/>
      <c r="T180" s="198"/>
      <c r="U180" s="198"/>
      <c r="V180" s="198"/>
      <c r="W180" s="198"/>
      <c r="X180" s="198"/>
    </row>
    <row r="181">
      <c r="A181" s="198"/>
      <c r="B181" s="199"/>
      <c r="C181" s="198"/>
      <c r="D181" s="198"/>
      <c r="E181" s="198"/>
      <c r="F181" s="199"/>
      <c r="G181" s="199"/>
      <c r="H181" s="198"/>
      <c r="I181" s="198"/>
      <c r="J181" s="198"/>
      <c r="K181" s="198"/>
      <c r="L181" s="198"/>
      <c r="M181" s="198"/>
      <c r="N181" s="198"/>
      <c r="O181" s="198"/>
      <c r="P181" s="198"/>
      <c r="Q181" s="198"/>
      <c r="R181" s="198"/>
      <c r="S181" s="198"/>
      <c r="T181" s="198"/>
      <c r="U181" s="198"/>
      <c r="V181" s="198"/>
      <c r="W181" s="198"/>
      <c r="X181" s="198"/>
    </row>
    <row r="182">
      <c r="A182" s="198"/>
      <c r="B182" s="199"/>
      <c r="C182" s="198"/>
      <c r="D182" s="198"/>
      <c r="E182" s="198"/>
      <c r="F182" s="199"/>
      <c r="G182" s="199"/>
      <c r="H182" s="198"/>
      <c r="I182" s="198"/>
      <c r="J182" s="198"/>
      <c r="K182" s="198"/>
      <c r="L182" s="198"/>
      <c r="M182" s="198"/>
      <c r="N182" s="198"/>
      <c r="O182" s="198"/>
      <c r="P182" s="198"/>
      <c r="Q182" s="198"/>
      <c r="R182" s="198"/>
      <c r="S182" s="198"/>
      <c r="T182" s="198"/>
      <c r="U182" s="198"/>
      <c r="V182" s="198"/>
      <c r="W182" s="198"/>
      <c r="X182" s="198"/>
    </row>
    <row r="183">
      <c r="A183" s="198"/>
      <c r="B183" s="199"/>
      <c r="C183" s="198"/>
      <c r="D183" s="198"/>
      <c r="E183" s="198"/>
      <c r="F183" s="199"/>
      <c r="G183" s="199"/>
      <c r="H183" s="198"/>
      <c r="I183" s="198"/>
      <c r="J183" s="198"/>
      <c r="K183" s="198"/>
      <c r="L183" s="198"/>
      <c r="M183" s="198"/>
      <c r="N183" s="198"/>
      <c r="O183" s="198"/>
      <c r="P183" s="198"/>
      <c r="Q183" s="198"/>
      <c r="R183" s="198"/>
      <c r="S183" s="198"/>
      <c r="T183" s="198"/>
      <c r="U183" s="198"/>
      <c r="V183" s="198"/>
      <c r="W183" s="198"/>
      <c r="X183" s="198"/>
    </row>
    <row r="184">
      <c r="A184" s="198"/>
      <c r="B184" s="199"/>
      <c r="C184" s="198"/>
      <c r="D184" s="198"/>
      <c r="E184" s="198"/>
      <c r="F184" s="199"/>
      <c r="G184" s="199"/>
      <c r="H184" s="198"/>
      <c r="I184" s="198"/>
      <c r="J184" s="198"/>
      <c r="K184" s="198"/>
      <c r="L184" s="198"/>
      <c r="M184" s="198"/>
      <c r="N184" s="198"/>
      <c r="O184" s="198"/>
      <c r="P184" s="198"/>
      <c r="Q184" s="198"/>
      <c r="R184" s="198"/>
      <c r="S184" s="198"/>
      <c r="T184" s="198"/>
      <c r="U184" s="198"/>
      <c r="V184" s="198"/>
      <c r="W184" s="198"/>
      <c r="X184" s="198"/>
    </row>
    <row r="185">
      <c r="A185" s="198"/>
      <c r="B185" s="199"/>
      <c r="C185" s="198"/>
      <c r="D185" s="198"/>
      <c r="E185" s="198"/>
      <c r="F185" s="199"/>
      <c r="G185" s="199"/>
      <c r="H185" s="198"/>
      <c r="I185" s="198"/>
      <c r="J185" s="198"/>
      <c r="K185" s="198"/>
      <c r="L185" s="198"/>
      <c r="M185" s="198"/>
      <c r="N185" s="198"/>
      <c r="O185" s="198"/>
      <c r="P185" s="198"/>
      <c r="Q185" s="198"/>
      <c r="R185" s="198"/>
      <c r="S185" s="198"/>
      <c r="T185" s="198"/>
      <c r="U185" s="198"/>
      <c r="V185" s="198"/>
      <c r="W185" s="198"/>
      <c r="X185" s="198"/>
    </row>
    <row r="186">
      <c r="A186" s="198"/>
      <c r="B186" s="199"/>
      <c r="C186" s="198"/>
      <c r="D186" s="198"/>
      <c r="E186" s="198"/>
      <c r="F186" s="199"/>
      <c r="G186" s="199"/>
      <c r="H186" s="198"/>
      <c r="I186" s="198"/>
      <c r="J186" s="198"/>
      <c r="K186" s="198"/>
      <c r="L186" s="198"/>
      <c r="M186" s="198"/>
      <c r="N186" s="198"/>
      <c r="O186" s="198"/>
      <c r="P186" s="198"/>
      <c r="Q186" s="198"/>
      <c r="R186" s="198"/>
      <c r="S186" s="198"/>
      <c r="T186" s="198"/>
      <c r="U186" s="198"/>
      <c r="V186" s="198"/>
      <c r="W186" s="198"/>
      <c r="X186" s="198"/>
    </row>
    <row r="187">
      <c r="A187" s="198"/>
      <c r="B187" s="199"/>
      <c r="C187" s="198"/>
      <c r="D187" s="198"/>
      <c r="E187" s="198"/>
      <c r="F187" s="199"/>
      <c r="G187" s="199"/>
      <c r="H187" s="198"/>
      <c r="I187" s="198"/>
      <c r="J187" s="198"/>
      <c r="K187" s="198"/>
      <c r="L187" s="198"/>
      <c r="M187" s="198"/>
      <c r="N187" s="198"/>
      <c r="O187" s="198"/>
      <c r="P187" s="198"/>
      <c r="Q187" s="198"/>
      <c r="R187" s="198"/>
      <c r="S187" s="198"/>
      <c r="T187" s="198"/>
      <c r="U187" s="198"/>
      <c r="V187" s="198"/>
      <c r="W187" s="198"/>
      <c r="X187" s="198"/>
    </row>
    <row r="188">
      <c r="A188" s="198"/>
      <c r="B188" s="199"/>
      <c r="C188" s="198"/>
      <c r="D188" s="198"/>
      <c r="E188" s="198"/>
      <c r="F188" s="199"/>
      <c r="G188" s="199"/>
      <c r="H188" s="198"/>
      <c r="I188" s="198"/>
      <c r="J188" s="198"/>
      <c r="K188" s="198"/>
      <c r="L188" s="198"/>
      <c r="M188" s="198"/>
      <c r="N188" s="198"/>
      <c r="O188" s="198"/>
      <c r="P188" s="198"/>
      <c r="Q188" s="198"/>
      <c r="R188" s="198"/>
      <c r="S188" s="198"/>
      <c r="T188" s="198"/>
      <c r="U188" s="198"/>
      <c r="V188" s="198"/>
      <c r="W188" s="198"/>
      <c r="X188" s="198"/>
    </row>
    <row r="189">
      <c r="A189" s="198"/>
      <c r="B189" s="199"/>
      <c r="C189" s="198"/>
      <c r="D189" s="198"/>
      <c r="E189" s="198"/>
      <c r="F189" s="199"/>
      <c r="G189" s="199"/>
      <c r="H189" s="198"/>
      <c r="I189" s="198"/>
      <c r="J189" s="198"/>
      <c r="K189" s="198"/>
      <c r="L189" s="198"/>
      <c r="M189" s="198"/>
      <c r="N189" s="198"/>
      <c r="O189" s="198"/>
      <c r="P189" s="198"/>
      <c r="Q189" s="198"/>
      <c r="R189" s="198"/>
      <c r="S189" s="198"/>
      <c r="T189" s="198"/>
      <c r="U189" s="198"/>
      <c r="V189" s="198"/>
      <c r="W189" s="198"/>
      <c r="X189" s="198"/>
    </row>
    <row r="190">
      <c r="A190" s="198"/>
      <c r="B190" s="199"/>
      <c r="C190" s="198"/>
      <c r="D190" s="198"/>
      <c r="E190" s="198"/>
      <c r="F190" s="199"/>
      <c r="G190" s="199"/>
      <c r="H190" s="198"/>
      <c r="I190" s="198"/>
      <c r="J190" s="198"/>
      <c r="K190" s="198"/>
      <c r="L190" s="198"/>
      <c r="M190" s="198"/>
      <c r="N190" s="198"/>
      <c r="O190" s="198"/>
      <c r="P190" s="198"/>
      <c r="Q190" s="198"/>
      <c r="R190" s="198"/>
      <c r="S190" s="198"/>
      <c r="T190" s="198"/>
      <c r="U190" s="198"/>
      <c r="V190" s="198"/>
      <c r="W190" s="198"/>
      <c r="X190" s="198"/>
    </row>
    <row r="191">
      <c r="A191" s="198"/>
      <c r="B191" s="199"/>
      <c r="C191" s="198"/>
      <c r="D191" s="198"/>
      <c r="E191" s="198"/>
      <c r="F191" s="199"/>
      <c r="G191" s="199"/>
      <c r="H191" s="198"/>
      <c r="I191" s="198"/>
      <c r="J191" s="198"/>
      <c r="K191" s="198"/>
      <c r="L191" s="198"/>
      <c r="M191" s="198"/>
      <c r="N191" s="198"/>
      <c r="O191" s="198"/>
      <c r="P191" s="198"/>
      <c r="Q191" s="198"/>
      <c r="R191" s="198"/>
      <c r="S191" s="198"/>
      <c r="T191" s="198"/>
      <c r="U191" s="198"/>
      <c r="V191" s="198"/>
      <c r="W191" s="198"/>
      <c r="X191" s="198"/>
    </row>
    <row r="192">
      <c r="A192" s="198"/>
      <c r="B192" s="199"/>
      <c r="C192" s="198"/>
      <c r="D192" s="198"/>
      <c r="E192" s="198"/>
      <c r="F192" s="199"/>
      <c r="G192" s="199"/>
      <c r="H192" s="198"/>
      <c r="I192" s="198"/>
      <c r="J192" s="198"/>
      <c r="K192" s="198"/>
      <c r="L192" s="198"/>
      <c r="M192" s="198"/>
      <c r="N192" s="198"/>
      <c r="O192" s="198"/>
      <c r="P192" s="198"/>
      <c r="Q192" s="198"/>
      <c r="R192" s="198"/>
      <c r="S192" s="198"/>
      <c r="T192" s="198"/>
      <c r="U192" s="198"/>
      <c r="V192" s="198"/>
      <c r="W192" s="198"/>
      <c r="X192" s="198"/>
    </row>
    <row r="193">
      <c r="A193" s="198"/>
      <c r="B193" s="199"/>
      <c r="C193" s="198"/>
      <c r="D193" s="198"/>
      <c r="E193" s="198"/>
      <c r="F193" s="199"/>
      <c r="G193" s="199"/>
      <c r="H193" s="198"/>
      <c r="I193" s="198"/>
      <c r="J193" s="198"/>
      <c r="K193" s="198"/>
      <c r="L193" s="198"/>
      <c r="M193" s="198"/>
      <c r="N193" s="198"/>
      <c r="O193" s="198"/>
      <c r="P193" s="198"/>
      <c r="Q193" s="198"/>
      <c r="R193" s="198"/>
      <c r="S193" s="198"/>
      <c r="T193" s="198"/>
      <c r="U193" s="198"/>
      <c r="V193" s="198"/>
      <c r="W193" s="198"/>
      <c r="X193" s="198"/>
    </row>
    <row r="194">
      <c r="A194" s="198"/>
      <c r="B194" s="199"/>
      <c r="C194" s="198"/>
      <c r="D194" s="198"/>
      <c r="E194" s="198"/>
      <c r="F194" s="199"/>
      <c r="G194" s="199"/>
      <c r="H194" s="198"/>
      <c r="I194" s="198"/>
      <c r="J194" s="198"/>
      <c r="K194" s="198"/>
      <c r="L194" s="198"/>
      <c r="M194" s="198"/>
      <c r="N194" s="198"/>
      <c r="O194" s="198"/>
      <c r="P194" s="198"/>
      <c r="Q194" s="198"/>
      <c r="R194" s="198"/>
      <c r="S194" s="198"/>
      <c r="T194" s="198"/>
      <c r="U194" s="198"/>
      <c r="V194" s="198"/>
      <c r="W194" s="198"/>
      <c r="X194" s="198"/>
    </row>
    <row r="195">
      <c r="A195" s="198"/>
      <c r="B195" s="199"/>
      <c r="C195" s="198"/>
      <c r="D195" s="198"/>
      <c r="E195" s="198"/>
      <c r="F195" s="199"/>
      <c r="G195" s="199"/>
      <c r="H195" s="198"/>
      <c r="I195" s="198"/>
      <c r="J195" s="198"/>
      <c r="K195" s="198"/>
      <c r="L195" s="198"/>
      <c r="M195" s="198"/>
      <c r="N195" s="198"/>
      <c r="O195" s="198"/>
      <c r="P195" s="198"/>
      <c r="Q195" s="198"/>
      <c r="R195" s="198"/>
      <c r="S195" s="198"/>
      <c r="T195" s="198"/>
      <c r="U195" s="198"/>
      <c r="V195" s="198"/>
      <c r="W195" s="198"/>
      <c r="X195" s="198"/>
    </row>
    <row r="196">
      <c r="A196" s="198"/>
      <c r="B196" s="199"/>
      <c r="C196" s="198"/>
      <c r="D196" s="198"/>
      <c r="E196" s="198"/>
      <c r="F196" s="199"/>
      <c r="G196" s="199"/>
      <c r="H196" s="198"/>
      <c r="I196" s="198"/>
      <c r="J196" s="198"/>
      <c r="K196" s="198"/>
      <c r="L196" s="198"/>
      <c r="M196" s="198"/>
      <c r="N196" s="198"/>
      <c r="O196" s="198"/>
      <c r="P196" s="198"/>
      <c r="Q196" s="198"/>
      <c r="R196" s="198"/>
      <c r="S196" s="198"/>
      <c r="T196" s="198"/>
      <c r="U196" s="198"/>
      <c r="V196" s="198"/>
      <c r="W196" s="198"/>
      <c r="X196" s="198"/>
    </row>
    <row r="197">
      <c r="A197" s="198"/>
      <c r="B197" s="199"/>
      <c r="C197" s="198"/>
      <c r="D197" s="198"/>
      <c r="E197" s="198"/>
      <c r="F197" s="199"/>
      <c r="G197" s="199"/>
      <c r="H197" s="198"/>
      <c r="I197" s="198"/>
      <c r="J197" s="198"/>
      <c r="K197" s="198"/>
      <c r="L197" s="198"/>
      <c r="M197" s="198"/>
      <c r="N197" s="198"/>
      <c r="O197" s="198"/>
      <c r="P197" s="198"/>
      <c r="Q197" s="198"/>
      <c r="R197" s="198"/>
      <c r="S197" s="198"/>
      <c r="T197" s="198"/>
      <c r="U197" s="198"/>
      <c r="V197" s="198"/>
      <c r="W197" s="198"/>
      <c r="X197" s="198"/>
    </row>
    <row r="198">
      <c r="A198" s="198"/>
      <c r="B198" s="199"/>
      <c r="C198" s="198"/>
      <c r="D198" s="198"/>
      <c r="E198" s="198"/>
      <c r="F198" s="199"/>
      <c r="G198" s="199"/>
      <c r="H198" s="198"/>
      <c r="I198" s="198"/>
      <c r="J198" s="198"/>
      <c r="K198" s="198"/>
      <c r="L198" s="198"/>
      <c r="M198" s="198"/>
      <c r="N198" s="198"/>
      <c r="O198" s="198"/>
      <c r="P198" s="198"/>
      <c r="Q198" s="198"/>
      <c r="R198" s="198"/>
      <c r="S198" s="198"/>
      <c r="T198" s="198"/>
      <c r="U198" s="198"/>
      <c r="V198" s="198"/>
      <c r="W198" s="198"/>
      <c r="X198" s="198"/>
    </row>
    <row r="199">
      <c r="A199" s="198"/>
      <c r="B199" s="199"/>
      <c r="C199" s="198"/>
      <c r="D199" s="198"/>
      <c r="E199" s="198"/>
      <c r="F199" s="199"/>
      <c r="G199" s="199"/>
      <c r="H199" s="198"/>
      <c r="I199" s="198"/>
      <c r="J199" s="198"/>
      <c r="K199" s="198"/>
      <c r="L199" s="198"/>
      <c r="M199" s="198"/>
      <c r="N199" s="198"/>
      <c r="O199" s="198"/>
      <c r="P199" s="198"/>
      <c r="Q199" s="198"/>
      <c r="R199" s="198"/>
      <c r="S199" s="198"/>
      <c r="T199" s="198"/>
      <c r="U199" s="198"/>
      <c r="V199" s="198"/>
      <c r="W199" s="198"/>
      <c r="X199" s="198"/>
    </row>
    <row r="200">
      <c r="A200" s="198"/>
      <c r="B200" s="199"/>
      <c r="C200" s="198"/>
      <c r="D200" s="198"/>
      <c r="E200" s="198"/>
      <c r="F200" s="199"/>
      <c r="G200" s="199"/>
      <c r="H200" s="198"/>
      <c r="I200" s="198"/>
      <c r="J200" s="198"/>
      <c r="K200" s="198"/>
      <c r="L200" s="198"/>
      <c r="M200" s="198"/>
      <c r="N200" s="198"/>
      <c r="O200" s="198"/>
      <c r="P200" s="198"/>
      <c r="Q200" s="198"/>
      <c r="R200" s="198"/>
      <c r="S200" s="198"/>
      <c r="T200" s="198"/>
      <c r="U200" s="198"/>
      <c r="V200" s="198"/>
      <c r="W200" s="198"/>
      <c r="X200" s="198"/>
    </row>
    <row r="201">
      <c r="A201" s="198"/>
      <c r="B201" s="199"/>
      <c r="C201" s="198"/>
      <c r="D201" s="198"/>
      <c r="E201" s="198"/>
      <c r="F201" s="199"/>
      <c r="G201" s="199"/>
      <c r="H201" s="198"/>
      <c r="I201" s="198"/>
      <c r="J201" s="198"/>
      <c r="K201" s="198"/>
      <c r="L201" s="198"/>
      <c r="M201" s="198"/>
      <c r="N201" s="198"/>
      <c r="O201" s="198"/>
      <c r="P201" s="198"/>
      <c r="Q201" s="198"/>
      <c r="R201" s="198"/>
      <c r="S201" s="198"/>
      <c r="T201" s="198"/>
      <c r="U201" s="198"/>
      <c r="V201" s="198"/>
      <c r="W201" s="198"/>
      <c r="X201" s="198"/>
    </row>
    <row r="202">
      <c r="A202" s="198"/>
      <c r="B202" s="199"/>
      <c r="C202" s="198"/>
      <c r="D202" s="198"/>
      <c r="E202" s="198"/>
      <c r="F202" s="199"/>
      <c r="G202" s="199"/>
      <c r="H202" s="198"/>
      <c r="I202" s="198"/>
      <c r="J202" s="198"/>
      <c r="K202" s="198"/>
      <c r="L202" s="198"/>
      <c r="M202" s="198"/>
      <c r="N202" s="198"/>
      <c r="O202" s="198"/>
      <c r="P202" s="198"/>
      <c r="Q202" s="198"/>
      <c r="R202" s="198"/>
      <c r="S202" s="198"/>
      <c r="T202" s="198"/>
      <c r="U202" s="198"/>
      <c r="V202" s="198"/>
      <c r="W202" s="198"/>
      <c r="X202" s="198"/>
    </row>
    <row r="203">
      <c r="A203" s="198"/>
      <c r="B203" s="199"/>
      <c r="C203" s="198"/>
      <c r="D203" s="198"/>
      <c r="E203" s="198"/>
      <c r="F203" s="199"/>
      <c r="G203" s="199"/>
      <c r="H203" s="198"/>
      <c r="I203" s="198"/>
      <c r="J203" s="198"/>
      <c r="K203" s="198"/>
      <c r="L203" s="198"/>
      <c r="M203" s="198"/>
      <c r="N203" s="198"/>
      <c r="O203" s="198"/>
      <c r="P203" s="198"/>
      <c r="Q203" s="198"/>
      <c r="R203" s="198"/>
      <c r="S203" s="198"/>
      <c r="T203" s="198"/>
      <c r="U203" s="198"/>
      <c r="V203" s="198"/>
      <c r="W203" s="198"/>
      <c r="X203" s="198"/>
    </row>
    <row r="204">
      <c r="A204" s="198"/>
      <c r="B204" s="199"/>
      <c r="C204" s="198"/>
      <c r="D204" s="198"/>
      <c r="E204" s="198"/>
      <c r="F204" s="199"/>
      <c r="G204" s="199"/>
      <c r="H204" s="198"/>
      <c r="I204" s="198"/>
      <c r="J204" s="198"/>
      <c r="K204" s="198"/>
      <c r="L204" s="198"/>
      <c r="M204" s="198"/>
      <c r="N204" s="198"/>
      <c r="O204" s="198"/>
      <c r="P204" s="198"/>
      <c r="Q204" s="198"/>
      <c r="R204" s="198"/>
      <c r="S204" s="198"/>
      <c r="T204" s="198"/>
      <c r="U204" s="198"/>
      <c r="V204" s="198"/>
      <c r="W204" s="198"/>
      <c r="X204" s="198"/>
    </row>
    <row r="205">
      <c r="A205" s="198"/>
      <c r="B205" s="199"/>
      <c r="C205" s="198"/>
      <c r="D205" s="198"/>
      <c r="E205" s="198"/>
      <c r="F205" s="199"/>
      <c r="G205" s="199"/>
      <c r="H205" s="198"/>
      <c r="I205" s="198"/>
      <c r="J205" s="198"/>
      <c r="K205" s="198"/>
      <c r="L205" s="198"/>
      <c r="M205" s="198"/>
      <c r="N205" s="198"/>
      <c r="O205" s="198"/>
      <c r="P205" s="198"/>
      <c r="Q205" s="198"/>
      <c r="R205" s="198"/>
      <c r="S205" s="198"/>
      <c r="T205" s="198"/>
      <c r="U205" s="198"/>
      <c r="V205" s="198"/>
      <c r="W205" s="198"/>
      <c r="X205" s="198"/>
    </row>
    <row r="206">
      <c r="A206" s="198"/>
      <c r="B206" s="199"/>
      <c r="C206" s="198"/>
      <c r="D206" s="198"/>
      <c r="E206" s="198"/>
      <c r="F206" s="199"/>
      <c r="G206" s="199"/>
      <c r="H206" s="198"/>
      <c r="I206" s="198"/>
      <c r="J206" s="198"/>
      <c r="K206" s="198"/>
      <c r="L206" s="198"/>
      <c r="M206" s="198"/>
      <c r="N206" s="198"/>
      <c r="O206" s="198"/>
      <c r="P206" s="198"/>
      <c r="Q206" s="198"/>
      <c r="R206" s="198"/>
      <c r="S206" s="198"/>
      <c r="T206" s="198"/>
      <c r="U206" s="198"/>
      <c r="V206" s="198"/>
      <c r="W206" s="198"/>
      <c r="X206" s="198"/>
    </row>
    <row r="207">
      <c r="A207" s="198"/>
      <c r="B207" s="199"/>
      <c r="C207" s="198"/>
      <c r="D207" s="198"/>
      <c r="E207" s="198"/>
      <c r="F207" s="199"/>
      <c r="G207" s="199"/>
      <c r="H207" s="198"/>
      <c r="I207" s="198"/>
      <c r="J207" s="198"/>
      <c r="K207" s="198"/>
      <c r="L207" s="198"/>
      <c r="M207" s="198"/>
      <c r="N207" s="198"/>
      <c r="O207" s="198"/>
      <c r="P207" s="198"/>
      <c r="Q207" s="198"/>
      <c r="R207" s="198"/>
      <c r="S207" s="198"/>
      <c r="T207" s="198"/>
      <c r="U207" s="198"/>
      <c r="V207" s="198"/>
      <c r="W207" s="198"/>
      <c r="X207" s="198"/>
    </row>
    <row r="208">
      <c r="A208" s="198"/>
      <c r="B208" s="199"/>
      <c r="C208" s="198"/>
      <c r="D208" s="198"/>
      <c r="E208" s="198"/>
      <c r="F208" s="199"/>
      <c r="G208" s="199"/>
      <c r="H208" s="198"/>
      <c r="I208" s="198"/>
      <c r="J208" s="198"/>
      <c r="K208" s="198"/>
      <c r="L208" s="198"/>
      <c r="M208" s="198"/>
      <c r="N208" s="198"/>
      <c r="O208" s="198"/>
      <c r="P208" s="198"/>
      <c r="Q208" s="198"/>
      <c r="R208" s="198"/>
      <c r="S208" s="198"/>
      <c r="T208" s="198"/>
      <c r="U208" s="198"/>
      <c r="V208" s="198"/>
      <c r="W208" s="198"/>
      <c r="X208" s="198"/>
    </row>
    <row r="209">
      <c r="A209" s="198"/>
      <c r="B209" s="199"/>
      <c r="C209" s="198"/>
      <c r="D209" s="198"/>
      <c r="E209" s="198"/>
      <c r="F209" s="199"/>
      <c r="G209" s="199"/>
      <c r="H209" s="198"/>
      <c r="I209" s="198"/>
      <c r="J209" s="198"/>
      <c r="K209" s="198"/>
      <c r="L209" s="198"/>
      <c r="M209" s="198"/>
      <c r="N209" s="198"/>
      <c r="O209" s="198"/>
      <c r="P209" s="198"/>
      <c r="Q209" s="198"/>
      <c r="R209" s="198"/>
      <c r="S209" s="198"/>
      <c r="T209" s="198"/>
      <c r="U209" s="198"/>
      <c r="V209" s="198"/>
      <c r="W209" s="198"/>
      <c r="X209" s="198"/>
    </row>
    <row r="210">
      <c r="A210" s="198"/>
      <c r="B210" s="199"/>
      <c r="C210" s="198"/>
      <c r="D210" s="198"/>
      <c r="E210" s="198"/>
      <c r="F210" s="199"/>
      <c r="G210" s="199"/>
      <c r="H210" s="198"/>
      <c r="I210" s="198"/>
      <c r="J210" s="198"/>
      <c r="K210" s="198"/>
      <c r="L210" s="198"/>
      <c r="M210" s="198"/>
      <c r="N210" s="198"/>
      <c r="O210" s="198"/>
      <c r="P210" s="198"/>
      <c r="Q210" s="198"/>
      <c r="R210" s="198"/>
      <c r="S210" s="198"/>
      <c r="T210" s="198"/>
      <c r="U210" s="198"/>
      <c r="V210" s="198"/>
      <c r="W210" s="198"/>
      <c r="X210" s="198"/>
    </row>
    <row r="211">
      <c r="A211" s="198"/>
      <c r="B211" s="199"/>
      <c r="C211" s="198"/>
      <c r="D211" s="198"/>
      <c r="E211" s="198"/>
      <c r="F211" s="199"/>
      <c r="G211" s="199"/>
      <c r="H211" s="198"/>
      <c r="I211" s="198"/>
      <c r="J211" s="198"/>
      <c r="K211" s="198"/>
      <c r="L211" s="198"/>
      <c r="M211" s="198"/>
      <c r="N211" s="198"/>
      <c r="O211" s="198"/>
      <c r="P211" s="198"/>
      <c r="Q211" s="198"/>
      <c r="R211" s="198"/>
      <c r="S211" s="198"/>
      <c r="T211" s="198"/>
      <c r="U211" s="198"/>
      <c r="V211" s="198"/>
      <c r="W211" s="198"/>
      <c r="X211" s="198"/>
    </row>
    <row r="212">
      <c r="A212" s="198"/>
      <c r="B212" s="199"/>
      <c r="C212" s="198"/>
      <c r="D212" s="198"/>
      <c r="E212" s="198"/>
      <c r="F212" s="199"/>
      <c r="G212" s="199"/>
      <c r="H212" s="198"/>
      <c r="I212" s="198"/>
      <c r="J212" s="198"/>
      <c r="K212" s="198"/>
      <c r="L212" s="198"/>
      <c r="M212" s="198"/>
      <c r="N212" s="198"/>
      <c r="O212" s="198"/>
      <c r="P212" s="198"/>
      <c r="Q212" s="198"/>
      <c r="R212" s="198"/>
      <c r="S212" s="198"/>
      <c r="T212" s="198"/>
      <c r="U212" s="198"/>
      <c r="V212" s="198"/>
      <c r="W212" s="198"/>
      <c r="X212" s="198"/>
    </row>
    <row r="213">
      <c r="A213" s="198"/>
      <c r="B213" s="199"/>
      <c r="C213" s="198"/>
      <c r="D213" s="198"/>
      <c r="E213" s="198"/>
      <c r="F213" s="199"/>
      <c r="G213" s="199"/>
      <c r="H213" s="198"/>
      <c r="I213" s="198"/>
      <c r="J213" s="198"/>
      <c r="K213" s="198"/>
      <c r="L213" s="198"/>
      <c r="M213" s="198"/>
      <c r="N213" s="198"/>
      <c r="O213" s="198"/>
      <c r="P213" s="198"/>
      <c r="Q213" s="198"/>
      <c r="R213" s="198"/>
      <c r="S213" s="198"/>
      <c r="T213" s="198"/>
      <c r="U213" s="198"/>
      <c r="V213" s="198"/>
      <c r="W213" s="198"/>
      <c r="X213" s="198"/>
    </row>
    <row r="214">
      <c r="A214" s="198"/>
      <c r="B214" s="199"/>
      <c r="C214" s="198"/>
      <c r="D214" s="198"/>
      <c r="E214" s="198"/>
      <c r="F214" s="199"/>
      <c r="G214" s="199"/>
      <c r="H214" s="198"/>
      <c r="I214" s="198"/>
      <c r="J214" s="198"/>
      <c r="K214" s="198"/>
      <c r="L214" s="198"/>
      <c r="M214" s="198"/>
      <c r="N214" s="198"/>
      <c r="O214" s="198"/>
      <c r="P214" s="198"/>
      <c r="Q214" s="198"/>
      <c r="R214" s="198"/>
      <c r="S214" s="198"/>
      <c r="T214" s="198"/>
      <c r="U214" s="198"/>
      <c r="V214" s="198"/>
      <c r="W214" s="198"/>
      <c r="X214" s="198"/>
    </row>
    <row r="215">
      <c r="A215" s="198"/>
      <c r="B215" s="199"/>
      <c r="C215" s="198"/>
      <c r="D215" s="198"/>
      <c r="E215" s="198"/>
      <c r="F215" s="199"/>
      <c r="G215" s="199"/>
      <c r="H215" s="198"/>
      <c r="I215" s="198"/>
      <c r="J215" s="198"/>
      <c r="K215" s="198"/>
      <c r="L215" s="198"/>
      <c r="M215" s="198"/>
      <c r="N215" s="198"/>
      <c r="O215" s="198"/>
      <c r="P215" s="198"/>
      <c r="Q215" s="198"/>
      <c r="R215" s="198"/>
      <c r="S215" s="198"/>
      <c r="T215" s="198"/>
      <c r="U215" s="198"/>
      <c r="V215" s="198"/>
      <c r="W215" s="198"/>
      <c r="X215" s="198"/>
    </row>
    <row r="216">
      <c r="A216" s="198"/>
      <c r="B216" s="199"/>
      <c r="C216" s="198"/>
      <c r="D216" s="198"/>
      <c r="E216" s="198"/>
      <c r="F216" s="199"/>
      <c r="G216" s="199"/>
      <c r="H216" s="198"/>
      <c r="I216" s="198"/>
      <c r="J216" s="198"/>
      <c r="K216" s="198"/>
      <c r="L216" s="198"/>
      <c r="M216" s="198"/>
      <c r="N216" s="198"/>
      <c r="O216" s="198"/>
      <c r="P216" s="198"/>
      <c r="Q216" s="198"/>
      <c r="R216" s="198"/>
      <c r="S216" s="198"/>
      <c r="T216" s="198"/>
      <c r="U216" s="198"/>
      <c r="V216" s="198"/>
      <c r="W216" s="198"/>
      <c r="X216" s="198"/>
    </row>
    <row r="217">
      <c r="A217" s="198"/>
      <c r="B217" s="199"/>
      <c r="C217" s="198"/>
      <c r="D217" s="198"/>
      <c r="E217" s="198"/>
      <c r="F217" s="199"/>
      <c r="G217" s="199"/>
      <c r="H217" s="198"/>
      <c r="I217" s="198"/>
      <c r="J217" s="198"/>
      <c r="K217" s="198"/>
      <c r="L217" s="198"/>
      <c r="M217" s="198"/>
      <c r="N217" s="198"/>
      <c r="O217" s="198"/>
      <c r="P217" s="198"/>
      <c r="Q217" s="198"/>
      <c r="R217" s="198"/>
      <c r="S217" s="198"/>
      <c r="T217" s="198"/>
      <c r="U217" s="198"/>
      <c r="V217" s="198"/>
      <c r="W217" s="198"/>
      <c r="X217" s="198"/>
    </row>
    <row r="218">
      <c r="A218" s="198"/>
      <c r="B218" s="199"/>
      <c r="C218" s="198"/>
      <c r="D218" s="198"/>
      <c r="E218" s="198"/>
      <c r="F218" s="199"/>
      <c r="G218" s="199"/>
      <c r="H218" s="198"/>
      <c r="I218" s="198"/>
      <c r="J218" s="198"/>
      <c r="K218" s="198"/>
      <c r="L218" s="198"/>
      <c r="M218" s="198"/>
      <c r="N218" s="198"/>
      <c r="O218" s="198"/>
      <c r="P218" s="198"/>
      <c r="Q218" s="198"/>
      <c r="R218" s="198"/>
      <c r="S218" s="198"/>
      <c r="T218" s="198"/>
      <c r="U218" s="198"/>
      <c r="V218" s="198"/>
      <c r="W218" s="198"/>
      <c r="X218" s="198"/>
    </row>
    <row r="219">
      <c r="A219" s="198"/>
      <c r="B219" s="199"/>
      <c r="C219" s="198"/>
      <c r="D219" s="198"/>
      <c r="E219" s="198"/>
      <c r="F219" s="199"/>
      <c r="G219" s="199"/>
      <c r="H219" s="198"/>
      <c r="I219" s="198"/>
      <c r="J219" s="198"/>
      <c r="K219" s="198"/>
      <c r="L219" s="198"/>
      <c r="M219" s="198"/>
      <c r="N219" s="198"/>
      <c r="O219" s="198"/>
      <c r="P219" s="198"/>
      <c r="Q219" s="198"/>
      <c r="R219" s="198"/>
      <c r="S219" s="198"/>
      <c r="T219" s="198"/>
      <c r="U219" s="198"/>
      <c r="V219" s="198"/>
      <c r="W219" s="198"/>
      <c r="X219" s="198"/>
    </row>
    <row r="220">
      <c r="A220" s="198"/>
      <c r="B220" s="199"/>
      <c r="C220" s="198"/>
      <c r="D220" s="198"/>
      <c r="E220" s="198"/>
      <c r="F220" s="199"/>
      <c r="G220" s="199"/>
      <c r="H220" s="198"/>
      <c r="I220" s="198"/>
      <c r="J220" s="198"/>
      <c r="K220" s="198"/>
      <c r="L220" s="198"/>
      <c r="M220" s="198"/>
      <c r="N220" s="198"/>
      <c r="O220" s="198"/>
      <c r="P220" s="198"/>
      <c r="Q220" s="198"/>
      <c r="R220" s="198"/>
      <c r="S220" s="198"/>
      <c r="T220" s="198"/>
      <c r="U220" s="198"/>
      <c r="V220" s="198"/>
      <c r="W220" s="198"/>
      <c r="X220" s="198"/>
    </row>
    <row r="221">
      <c r="A221" s="198"/>
      <c r="B221" s="199"/>
      <c r="C221" s="198"/>
      <c r="D221" s="198"/>
      <c r="E221" s="198"/>
      <c r="F221" s="199"/>
      <c r="G221" s="199"/>
      <c r="H221" s="198"/>
      <c r="I221" s="198"/>
      <c r="J221" s="198"/>
      <c r="K221" s="198"/>
      <c r="L221" s="198"/>
      <c r="M221" s="198"/>
      <c r="N221" s="198"/>
      <c r="O221" s="198"/>
      <c r="P221" s="198"/>
      <c r="Q221" s="198"/>
      <c r="R221" s="198"/>
      <c r="S221" s="198"/>
      <c r="T221" s="198"/>
      <c r="U221" s="198"/>
      <c r="V221" s="198"/>
      <c r="W221" s="198"/>
      <c r="X221" s="198"/>
    </row>
    <row r="222">
      <c r="A222" s="198"/>
      <c r="B222" s="199"/>
      <c r="C222" s="198"/>
      <c r="D222" s="198"/>
      <c r="E222" s="198"/>
      <c r="F222" s="199"/>
      <c r="G222" s="199"/>
      <c r="H222" s="198"/>
      <c r="I222" s="198"/>
      <c r="J222" s="198"/>
      <c r="K222" s="198"/>
      <c r="L222" s="198"/>
      <c r="M222" s="198"/>
      <c r="N222" s="198"/>
      <c r="O222" s="198"/>
      <c r="P222" s="198"/>
      <c r="Q222" s="198"/>
      <c r="R222" s="198"/>
      <c r="S222" s="198"/>
      <c r="T222" s="198"/>
      <c r="U222" s="198"/>
      <c r="V222" s="198"/>
      <c r="W222" s="198"/>
      <c r="X222" s="198"/>
    </row>
    <row r="223">
      <c r="A223" s="198"/>
      <c r="B223" s="199"/>
      <c r="C223" s="198"/>
      <c r="D223" s="198"/>
      <c r="E223" s="198"/>
      <c r="F223" s="199"/>
      <c r="G223" s="199"/>
      <c r="H223" s="198"/>
      <c r="I223" s="198"/>
      <c r="J223" s="198"/>
      <c r="K223" s="198"/>
      <c r="L223" s="198"/>
      <c r="M223" s="198"/>
      <c r="N223" s="198"/>
      <c r="O223" s="198"/>
      <c r="P223" s="198"/>
      <c r="Q223" s="198"/>
      <c r="R223" s="198"/>
      <c r="S223" s="198"/>
      <c r="T223" s="198"/>
      <c r="U223" s="198"/>
      <c r="V223" s="198"/>
      <c r="W223" s="198"/>
      <c r="X223" s="198"/>
    </row>
    <row r="224">
      <c r="A224" s="198"/>
      <c r="B224" s="199"/>
      <c r="C224" s="198"/>
      <c r="D224" s="198"/>
      <c r="E224" s="198"/>
      <c r="F224" s="199"/>
      <c r="G224" s="199"/>
      <c r="H224" s="198"/>
      <c r="I224" s="198"/>
      <c r="J224" s="198"/>
      <c r="K224" s="198"/>
      <c r="L224" s="198"/>
      <c r="M224" s="198"/>
      <c r="N224" s="198"/>
      <c r="O224" s="198"/>
      <c r="P224" s="198"/>
      <c r="Q224" s="198"/>
      <c r="R224" s="198"/>
      <c r="S224" s="198"/>
      <c r="T224" s="198"/>
      <c r="U224" s="198"/>
      <c r="V224" s="198"/>
      <c r="W224" s="198"/>
      <c r="X224" s="198"/>
    </row>
    <row r="225">
      <c r="A225" s="198"/>
      <c r="B225" s="199"/>
      <c r="C225" s="198"/>
      <c r="D225" s="198"/>
      <c r="E225" s="198"/>
      <c r="F225" s="199"/>
      <c r="G225" s="199"/>
      <c r="H225" s="198"/>
      <c r="I225" s="198"/>
      <c r="J225" s="198"/>
      <c r="K225" s="198"/>
      <c r="L225" s="198"/>
      <c r="M225" s="198"/>
      <c r="N225" s="198"/>
      <c r="O225" s="198"/>
      <c r="P225" s="198"/>
      <c r="Q225" s="198"/>
      <c r="R225" s="198"/>
      <c r="S225" s="198"/>
      <c r="T225" s="198"/>
      <c r="U225" s="198"/>
      <c r="V225" s="198"/>
      <c r="W225" s="198"/>
      <c r="X225" s="198"/>
    </row>
    <row r="226">
      <c r="A226" s="198"/>
      <c r="B226" s="199"/>
      <c r="C226" s="198"/>
      <c r="D226" s="198"/>
      <c r="E226" s="198"/>
      <c r="F226" s="199"/>
      <c r="G226" s="199"/>
      <c r="H226" s="198"/>
      <c r="I226" s="198"/>
      <c r="J226" s="198"/>
      <c r="K226" s="198"/>
      <c r="L226" s="198"/>
      <c r="M226" s="198"/>
      <c r="N226" s="198"/>
      <c r="O226" s="198"/>
      <c r="P226" s="198"/>
      <c r="Q226" s="198"/>
      <c r="R226" s="198"/>
      <c r="S226" s="198"/>
      <c r="T226" s="198"/>
      <c r="U226" s="198"/>
      <c r="V226" s="198"/>
      <c r="W226" s="198"/>
      <c r="X226" s="198"/>
    </row>
    <row r="227">
      <c r="A227" s="198"/>
      <c r="B227" s="199"/>
      <c r="C227" s="198"/>
      <c r="D227" s="198"/>
      <c r="E227" s="198"/>
      <c r="F227" s="199"/>
      <c r="G227" s="199"/>
      <c r="H227" s="198"/>
      <c r="I227" s="198"/>
      <c r="J227" s="198"/>
      <c r="K227" s="198"/>
      <c r="L227" s="198"/>
      <c r="M227" s="198"/>
      <c r="N227" s="198"/>
      <c r="O227" s="198"/>
      <c r="P227" s="198"/>
      <c r="Q227" s="198"/>
      <c r="R227" s="198"/>
      <c r="S227" s="198"/>
      <c r="T227" s="198"/>
      <c r="U227" s="198"/>
      <c r="V227" s="198"/>
      <c r="W227" s="198"/>
      <c r="X227" s="198"/>
    </row>
    <row r="228">
      <c r="A228" s="198"/>
      <c r="B228" s="199"/>
      <c r="C228" s="198"/>
      <c r="D228" s="198"/>
      <c r="E228" s="198"/>
      <c r="F228" s="199"/>
      <c r="G228" s="199"/>
      <c r="H228" s="198"/>
      <c r="I228" s="198"/>
      <c r="J228" s="198"/>
      <c r="K228" s="198"/>
      <c r="L228" s="198"/>
      <c r="M228" s="198"/>
      <c r="N228" s="198"/>
      <c r="O228" s="198"/>
      <c r="P228" s="198"/>
      <c r="Q228" s="198"/>
      <c r="R228" s="198"/>
      <c r="S228" s="198"/>
      <c r="T228" s="198"/>
      <c r="U228" s="198"/>
      <c r="V228" s="198"/>
      <c r="W228" s="198"/>
      <c r="X228" s="198"/>
    </row>
    <row r="229">
      <c r="A229" s="198"/>
      <c r="B229" s="199"/>
      <c r="C229" s="198"/>
      <c r="D229" s="198"/>
      <c r="E229" s="198"/>
      <c r="F229" s="199"/>
      <c r="G229" s="199"/>
      <c r="H229" s="198"/>
      <c r="I229" s="198"/>
      <c r="J229" s="198"/>
      <c r="K229" s="198"/>
      <c r="L229" s="198"/>
      <c r="M229" s="198"/>
      <c r="N229" s="198"/>
      <c r="O229" s="198"/>
      <c r="P229" s="198"/>
      <c r="Q229" s="198"/>
      <c r="R229" s="198"/>
      <c r="S229" s="198"/>
      <c r="T229" s="198"/>
      <c r="U229" s="198"/>
      <c r="V229" s="198"/>
      <c r="W229" s="198"/>
      <c r="X229" s="198"/>
    </row>
    <row r="230">
      <c r="A230" s="198"/>
      <c r="B230" s="199"/>
      <c r="C230" s="198"/>
      <c r="D230" s="198"/>
      <c r="E230" s="198"/>
      <c r="F230" s="199"/>
      <c r="G230" s="199"/>
      <c r="H230" s="198"/>
      <c r="I230" s="198"/>
      <c r="J230" s="198"/>
      <c r="K230" s="198"/>
      <c r="L230" s="198"/>
      <c r="M230" s="198"/>
      <c r="N230" s="198"/>
      <c r="O230" s="198"/>
      <c r="P230" s="198"/>
      <c r="Q230" s="198"/>
      <c r="R230" s="198"/>
      <c r="S230" s="198"/>
      <c r="T230" s="198"/>
      <c r="U230" s="198"/>
      <c r="V230" s="198"/>
      <c r="W230" s="198"/>
      <c r="X230" s="198"/>
    </row>
    <row r="231">
      <c r="A231" s="198"/>
      <c r="B231" s="199"/>
      <c r="C231" s="198"/>
      <c r="D231" s="198"/>
      <c r="E231" s="198"/>
      <c r="F231" s="199"/>
      <c r="G231" s="199"/>
      <c r="H231" s="198"/>
      <c r="I231" s="198"/>
      <c r="J231" s="198"/>
      <c r="K231" s="198"/>
      <c r="L231" s="198"/>
      <c r="M231" s="198"/>
      <c r="N231" s="198"/>
      <c r="O231" s="198"/>
      <c r="P231" s="198"/>
      <c r="Q231" s="198"/>
      <c r="R231" s="198"/>
      <c r="S231" s="198"/>
      <c r="T231" s="198"/>
      <c r="U231" s="198"/>
      <c r="V231" s="198"/>
      <c r="W231" s="198"/>
      <c r="X231" s="198"/>
    </row>
    <row r="232">
      <c r="A232" s="198"/>
      <c r="B232" s="199"/>
      <c r="C232" s="198"/>
      <c r="D232" s="198"/>
      <c r="E232" s="198"/>
      <c r="F232" s="199"/>
      <c r="G232" s="199"/>
      <c r="H232" s="198"/>
      <c r="I232" s="198"/>
      <c r="J232" s="198"/>
      <c r="K232" s="198"/>
      <c r="L232" s="198"/>
      <c r="M232" s="198"/>
      <c r="N232" s="198"/>
      <c r="O232" s="198"/>
      <c r="P232" s="198"/>
      <c r="Q232" s="198"/>
      <c r="R232" s="198"/>
      <c r="S232" s="198"/>
      <c r="T232" s="198"/>
      <c r="U232" s="198"/>
      <c r="V232" s="198"/>
      <c r="W232" s="198"/>
      <c r="X232" s="198"/>
    </row>
    <row r="233">
      <c r="A233" s="198"/>
      <c r="B233" s="199"/>
      <c r="C233" s="198"/>
      <c r="D233" s="198"/>
      <c r="E233" s="198"/>
      <c r="F233" s="199"/>
      <c r="G233" s="199"/>
      <c r="H233" s="198"/>
      <c r="I233" s="198"/>
      <c r="J233" s="198"/>
      <c r="K233" s="198"/>
      <c r="L233" s="198"/>
      <c r="M233" s="198"/>
      <c r="N233" s="198"/>
      <c r="O233" s="198"/>
      <c r="P233" s="198"/>
      <c r="Q233" s="198"/>
      <c r="R233" s="198"/>
      <c r="S233" s="198"/>
      <c r="T233" s="198"/>
      <c r="U233" s="198"/>
      <c r="V233" s="198"/>
      <c r="W233" s="198"/>
      <c r="X233" s="198"/>
    </row>
    <row r="234">
      <c r="A234" s="198"/>
      <c r="B234" s="199"/>
      <c r="C234" s="198"/>
      <c r="D234" s="198"/>
      <c r="E234" s="198"/>
      <c r="F234" s="199"/>
      <c r="G234" s="199"/>
      <c r="H234" s="198"/>
      <c r="I234" s="198"/>
      <c r="J234" s="198"/>
      <c r="K234" s="198"/>
      <c r="L234" s="198"/>
      <c r="M234" s="198"/>
      <c r="N234" s="198"/>
      <c r="O234" s="198"/>
      <c r="P234" s="198"/>
      <c r="Q234" s="198"/>
      <c r="R234" s="198"/>
      <c r="S234" s="198"/>
      <c r="T234" s="198"/>
      <c r="U234" s="198"/>
      <c r="V234" s="198"/>
      <c r="W234" s="198"/>
      <c r="X234" s="198"/>
    </row>
    <row r="235">
      <c r="A235" s="198"/>
      <c r="B235" s="199"/>
      <c r="C235" s="198"/>
      <c r="D235" s="198"/>
      <c r="E235" s="198"/>
      <c r="F235" s="199"/>
      <c r="G235" s="199"/>
      <c r="H235" s="198"/>
      <c r="I235" s="198"/>
      <c r="J235" s="198"/>
      <c r="K235" s="198"/>
      <c r="L235" s="198"/>
      <c r="M235" s="198"/>
      <c r="N235" s="198"/>
      <c r="O235" s="198"/>
      <c r="P235" s="198"/>
      <c r="Q235" s="198"/>
      <c r="R235" s="198"/>
      <c r="S235" s="198"/>
      <c r="T235" s="198"/>
      <c r="U235" s="198"/>
      <c r="V235" s="198"/>
      <c r="W235" s="198"/>
      <c r="X235" s="198"/>
    </row>
    <row r="236">
      <c r="A236" s="198"/>
      <c r="B236" s="199"/>
      <c r="C236" s="198"/>
      <c r="D236" s="198"/>
      <c r="E236" s="198"/>
      <c r="F236" s="199"/>
      <c r="G236" s="199"/>
      <c r="H236" s="198"/>
      <c r="I236" s="198"/>
      <c r="J236" s="198"/>
      <c r="K236" s="198"/>
      <c r="L236" s="198"/>
      <c r="M236" s="198"/>
      <c r="N236" s="198"/>
      <c r="O236" s="198"/>
      <c r="P236" s="198"/>
      <c r="Q236" s="198"/>
      <c r="R236" s="198"/>
      <c r="S236" s="198"/>
      <c r="T236" s="198"/>
      <c r="U236" s="198"/>
      <c r="V236" s="198"/>
      <c r="W236" s="198"/>
      <c r="X236" s="198"/>
    </row>
    <row r="237">
      <c r="A237" s="198"/>
      <c r="B237" s="199"/>
      <c r="C237" s="198"/>
      <c r="D237" s="198"/>
      <c r="E237" s="198"/>
      <c r="F237" s="199"/>
      <c r="G237" s="199"/>
      <c r="H237" s="198"/>
      <c r="I237" s="198"/>
      <c r="J237" s="198"/>
      <c r="K237" s="198"/>
      <c r="L237" s="198"/>
      <c r="M237" s="198"/>
      <c r="N237" s="198"/>
      <c r="O237" s="198"/>
      <c r="P237" s="198"/>
      <c r="Q237" s="198"/>
      <c r="R237" s="198"/>
      <c r="S237" s="198"/>
      <c r="T237" s="198"/>
      <c r="U237" s="198"/>
      <c r="V237" s="198"/>
      <c r="W237" s="198"/>
      <c r="X237" s="198"/>
    </row>
    <row r="238">
      <c r="A238" s="198"/>
      <c r="B238" s="199"/>
      <c r="C238" s="198"/>
      <c r="D238" s="198"/>
      <c r="E238" s="198"/>
      <c r="F238" s="199"/>
      <c r="G238" s="199"/>
      <c r="H238" s="198"/>
      <c r="I238" s="198"/>
      <c r="J238" s="198"/>
      <c r="K238" s="198"/>
      <c r="L238" s="198"/>
      <c r="M238" s="198"/>
      <c r="N238" s="198"/>
      <c r="O238" s="198"/>
      <c r="P238" s="198"/>
      <c r="Q238" s="198"/>
      <c r="R238" s="198"/>
      <c r="S238" s="198"/>
      <c r="T238" s="198"/>
      <c r="U238" s="198"/>
      <c r="V238" s="198"/>
      <c r="W238" s="198"/>
      <c r="X238" s="198"/>
    </row>
    <row r="239">
      <c r="A239" s="198"/>
      <c r="B239" s="199"/>
      <c r="C239" s="198"/>
      <c r="D239" s="198"/>
      <c r="E239" s="198"/>
      <c r="F239" s="199"/>
      <c r="G239" s="199"/>
      <c r="H239" s="198"/>
      <c r="I239" s="198"/>
      <c r="J239" s="198"/>
      <c r="K239" s="198"/>
      <c r="L239" s="198"/>
      <c r="M239" s="198"/>
      <c r="N239" s="198"/>
      <c r="O239" s="198"/>
      <c r="P239" s="198"/>
      <c r="Q239" s="198"/>
      <c r="R239" s="198"/>
      <c r="S239" s="198"/>
      <c r="T239" s="198"/>
      <c r="U239" s="198"/>
      <c r="V239" s="198"/>
      <c r="W239" s="198"/>
      <c r="X239" s="198"/>
    </row>
    <row r="240">
      <c r="A240" s="198"/>
      <c r="B240" s="199"/>
      <c r="C240" s="198"/>
      <c r="D240" s="198"/>
      <c r="E240" s="198"/>
      <c r="F240" s="199"/>
      <c r="G240" s="199"/>
      <c r="H240" s="198"/>
      <c r="I240" s="198"/>
      <c r="J240" s="198"/>
      <c r="K240" s="198"/>
      <c r="L240" s="198"/>
      <c r="M240" s="198"/>
      <c r="N240" s="198"/>
      <c r="O240" s="198"/>
      <c r="P240" s="198"/>
      <c r="Q240" s="198"/>
      <c r="R240" s="198"/>
      <c r="S240" s="198"/>
      <c r="T240" s="198"/>
      <c r="U240" s="198"/>
      <c r="V240" s="198"/>
      <c r="W240" s="198"/>
      <c r="X240" s="198"/>
    </row>
    <row r="241">
      <c r="A241" s="198"/>
      <c r="B241" s="199"/>
      <c r="C241" s="198"/>
      <c r="D241" s="198"/>
      <c r="E241" s="198"/>
      <c r="F241" s="199"/>
      <c r="G241" s="199"/>
      <c r="H241" s="198"/>
      <c r="I241" s="198"/>
      <c r="J241" s="198"/>
      <c r="K241" s="198"/>
      <c r="L241" s="198"/>
      <c r="M241" s="198"/>
      <c r="N241" s="198"/>
      <c r="O241" s="198"/>
      <c r="P241" s="198"/>
      <c r="Q241" s="198"/>
      <c r="R241" s="198"/>
      <c r="S241" s="198"/>
      <c r="T241" s="198"/>
      <c r="U241" s="198"/>
      <c r="V241" s="198"/>
      <c r="W241" s="198"/>
      <c r="X241" s="198"/>
    </row>
    <row r="242">
      <c r="A242" s="198"/>
      <c r="B242" s="199"/>
      <c r="C242" s="198"/>
      <c r="D242" s="198"/>
      <c r="E242" s="198"/>
      <c r="F242" s="199"/>
      <c r="G242" s="199"/>
      <c r="H242" s="198"/>
      <c r="I242" s="198"/>
      <c r="J242" s="198"/>
      <c r="K242" s="198"/>
      <c r="L242" s="198"/>
      <c r="M242" s="198"/>
      <c r="N242" s="198"/>
      <c r="O242" s="198"/>
      <c r="P242" s="198"/>
      <c r="Q242" s="198"/>
      <c r="R242" s="198"/>
      <c r="S242" s="198"/>
      <c r="T242" s="198"/>
      <c r="U242" s="198"/>
      <c r="V242" s="198"/>
      <c r="W242" s="198"/>
      <c r="X242" s="198"/>
    </row>
    <row r="243">
      <c r="A243" s="198"/>
      <c r="B243" s="199"/>
      <c r="C243" s="198"/>
      <c r="D243" s="198"/>
      <c r="E243" s="198"/>
      <c r="F243" s="199"/>
      <c r="G243" s="199"/>
      <c r="H243" s="198"/>
      <c r="I243" s="198"/>
      <c r="J243" s="198"/>
      <c r="K243" s="198"/>
      <c r="L243" s="198"/>
      <c r="M243" s="198"/>
      <c r="N243" s="198"/>
      <c r="O243" s="198"/>
      <c r="P243" s="198"/>
      <c r="Q243" s="198"/>
      <c r="R243" s="198"/>
      <c r="S243" s="198"/>
      <c r="T243" s="198"/>
      <c r="U243" s="198"/>
      <c r="V243" s="198"/>
      <c r="W243" s="198"/>
      <c r="X243" s="198"/>
    </row>
    <row r="244">
      <c r="A244" s="198"/>
      <c r="B244" s="199"/>
      <c r="C244" s="198"/>
      <c r="D244" s="198"/>
      <c r="E244" s="198"/>
      <c r="F244" s="199"/>
      <c r="G244" s="199"/>
      <c r="H244" s="198"/>
      <c r="I244" s="198"/>
      <c r="J244" s="198"/>
      <c r="K244" s="198"/>
      <c r="L244" s="198"/>
      <c r="M244" s="198"/>
      <c r="N244" s="198"/>
      <c r="O244" s="198"/>
      <c r="P244" s="198"/>
      <c r="Q244" s="198"/>
      <c r="R244" s="198"/>
      <c r="S244" s="198"/>
      <c r="T244" s="198"/>
      <c r="U244" s="198"/>
      <c r="V244" s="198"/>
      <c r="W244" s="198"/>
      <c r="X244" s="198"/>
    </row>
    <row r="245">
      <c r="A245" s="198"/>
      <c r="B245" s="199"/>
      <c r="C245" s="198"/>
      <c r="D245" s="198"/>
      <c r="E245" s="198"/>
      <c r="F245" s="199"/>
      <c r="G245" s="199"/>
      <c r="H245" s="198"/>
      <c r="I245" s="198"/>
      <c r="J245" s="198"/>
      <c r="K245" s="198"/>
      <c r="L245" s="198"/>
      <c r="M245" s="198"/>
      <c r="N245" s="198"/>
      <c r="O245" s="198"/>
      <c r="P245" s="198"/>
      <c r="Q245" s="198"/>
      <c r="R245" s="198"/>
      <c r="S245" s="198"/>
      <c r="T245" s="198"/>
      <c r="U245" s="198"/>
      <c r="V245" s="198"/>
      <c r="W245" s="198"/>
      <c r="X245" s="198"/>
    </row>
    <row r="246">
      <c r="A246" s="198"/>
      <c r="B246" s="199"/>
      <c r="C246" s="198"/>
      <c r="D246" s="198"/>
      <c r="E246" s="198"/>
      <c r="F246" s="199"/>
      <c r="G246" s="199"/>
      <c r="H246" s="198"/>
      <c r="I246" s="198"/>
      <c r="J246" s="198"/>
      <c r="K246" s="198"/>
      <c r="L246" s="198"/>
      <c r="M246" s="198"/>
      <c r="N246" s="198"/>
      <c r="O246" s="198"/>
      <c r="P246" s="198"/>
      <c r="Q246" s="198"/>
      <c r="R246" s="198"/>
      <c r="S246" s="198"/>
      <c r="T246" s="198"/>
      <c r="U246" s="198"/>
      <c r="V246" s="198"/>
      <c r="W246" s="198"/>
      <c r="X246" s="198"/>
    </row>
    <row r="247">
      <c r="A247" s="198"/>
      <c r="B247" s="199"/>
      <c r="C247" s="198"/>
      <c r="D247" s="198"/>
      <c r="E247" s="198"/>
      <c r="F247" s="199"/>
      <c r="G247" s="199"/>
      <c r="H247" s="198"/>
      <c r="I247" s="198"/>
      <c r="J247" s="198"/>
      <c r="K247" s="198"/>
      <c r="L247" s="198"/>
      <c r="M247" s="198"/>
      <c r="N247" s="198"/>
      <c r="O247" s="198"/>
      <c r="P247" s="198"/>
      <c r="Q247" s="198"/>
      <c r="R247" s="198"/>
      <c r="S247" s="198"/>
      <c r="T247" s="198"/>
      <c r="U247" s="198"/>
      <c r="V247" s="198"/>
      <c r="W247" s="198"/>
      <c r="X247" s="198"/>
    </row>
    <row r="248">
      <c r="A248" s="198"/>
      <c r="B248" s="199"/>
      <c r="C248" s="198"/>
      <c r="D248" s="198"/>
      <c r="E248" s="198"/>
      <c r="F248" s="199"/>
      <c r="G248" s="199"/>
      <c r="H248" s="198"/>
      <c r="I248" s="198"/>
      <c r="J248" s="198"/>
      <c r="K248" s="198"/>
      <c r="L248" s="198"/>
      <c r="M248" s="198"/>
      <c r="N248" s="198"/>
      <c r="O248" s="198"/>
      <c r="P248" s="198"/>
      <c r="Q248" s="198"/>
      <c r="R248" s="198"/>
      <c r="S248" s="198"/>
      <c r="T248" s="198"/>
      <c r="U248" s="198"/>
      <c r="V248" s="198"/>
      <c r="W248" s="198"/>
      <c r="X248" s="198"/>
    </row>
    <row r="249">
      <c r="A249" s="198"/>
      <c r="B249" s="199"/>
      <c r="C249" s="198"/>
      <c r="D249" s="198"/>
      <c r="E249" s="198"/>
      <c r="F249" s="199"/>
      <c r="G249" s="199"/>
      <c r="H249" s="198"/>
      <c r="I249" s="198"/>
      <c r="J249" s="198"/>
      <c r="K249" s="198"/>
      <c r="L249" s="198"/>
      <c r="M249" s="198"/>
      <c r="N249" s="198"/>
      <c r="O249" s="198"/>
      <c r="P249" s="198"/>
      <c r="Q249" s="198"/>
      <c r="R249" s="198"/>
      <c r="S249" s="198"/>
      <c r="T249" s="198"/>
      <c r="U249" s="198"/>
      <c r="V249" s="198"/>
      <c r="W249" s="198"/>
      <c r="X249" s="198"/>
    </row>
    <row r="250">
      <c r="A250" s="198"/>
      <c r="B250" s="199"/>
      <c r="C250" s="198"/>
      <c r="D250" s="198"/>
      <c r="E250" s="198"/>
      <c r="F250" s="199"/>
      <c r="G250" s="199"/>
      <c r="H250" s="198"/>
      <c r="I250" s="198"/>
      <c r="J250" s="198"/>
      <c r="K250" s="198"/>
      <c r="L250" s="198"/>
      <c r="M250" s="198"/>
      <c r="N250" s="198"/>
      <c r="O250" s="198"/>
      <c r="P250" s="198"/>
      <c r="Q250" s="198"/>
      <c r="R250" s="198"/>
      <c r="S250" s="198"/>
      <c r="T250" s="198"/>
      <c r="U250" s="198"/>
      <c r="V250" s="198"/>
      <c r="W250" s="198"/>
      <c r="X250" s="198"/>
    </row>
    <row r="251">
      <c r="A251" s="198"/>
      <c r="B251" s="199"/>
      <c r="C251" s="198"/>
      <c r="D251" s="198"/>
      <c r="E251" s="198"/>
      <c r="F251" s="199"/>
      <c r="G251" s="199"/>
      <c r="H251" s="198"/>
      <c r="I251" s="198"/>
      <c r="J251" s="198"/>
      <c r="K251" s="198"/>
      <c r="L251" s="198"/>
      <c r="M251" s="198"/>
      <c r="N251" s="198"/>
      <c r="O251" s="198"/>
      <c r="P251" s="198"/>
      <c r="Q251" s="198"/>
      <c r="R251" s="198"/>
      <c r="S251" s="198"/>
      <c r="T251" s="198"/>
      <c r="U251" s="198"/>
      <c r="V251" s="198"/>
      <c r="W251" s="198"/>
      <c r="X251" s="198"/>
    </row>
    <row r="252">
      <c r="A252" s="198"/>
      <c r="B252" s="199"/>
      <c r="C252" s="198"/>
      <c r="D252" s="198"/>
      <c r="E252" s="198"/>
      <c r="F252" s="199"/>
      <c r="G252" s="199"/>
      <c r="H252" s="198"/>
      <c r="I252" s="198"/>
      <c r="J252" s="198"/>
      <c r="K252" s="198"/>
      <c r="L252" s="198"/>
      <c r="M252" s="198"/>
      <c r="N252" s="198"/>
      <c r="O252" s="198"/>
      <c r="P252" s="198"/>
      <c r="Q252" s="198"/>
      <c r="R252" s="198"/>
      <c r="S252" s="198"/>
      <c r="T252" s="198"/>
      <c r="U252" s="198"/>
      <c r="V252" s="198"/>
      <c r="W252" s="198"/>
      <c r="X252" s="198"/>
    </row>
    <row r="253">
      <c r="A253" s="198"/>
      <c r="B253" s="199"/>
      <c r="C253" s="198"/>
      <c r="D253" s="198"/>
      <c r="E253" s="198"/>
      <c r="F253" s="199"/>
      <c r="G253" s="199"/>
      <c r="H253" s="198"/>
      <c r="I253" s="198"/>
      <c r="J253" s="198"/>
      <c r="K253" s="198"/>
      <c r="L253" s="198"/>
      <c r="M253" s="198"/>
      <c r="N253" s="198"/>
      <c r="O253" s="198"/>
      <c r="P253" s="198"/>
      <c r="Q253" s="198"/>
      <c r="R253" s="198"/>
      <c r="S253" s="198"/>
      <c r="T253" s="198"/>
      <c r="U253" s="198"/>
      <c r="V253" s="198"/>
      <c r="W253" s="198"/>
      <c r="X253" s="198"/>
    </row>
    <row r="254">
      <c r="A254" s="198"/>
      <c r="B254" s="199"/>
      <c r="C254" s="198"/>
      <c r="D254" s="198"/>
      <c r="E254" s="198"/>
      <c r="F254" s="199"/>
      <c r="G254" s="199"/>
      <c r="H254" s="198"/>
      <c r="I254" s="198"/>
      <c r="J254" s="198"/>
      <c r="K254" s="198"/>
      <c r="L254" s="198"/>
      <c r="M254" s="198"/>
      <c r="N254" s="198"/>
      <c r="O254" s="198"/>
      <c r="P254" s="198"/>
      <c r="Q254" s="198"/>
      <c r="R254" s="198"/>
      <c r="S254" s="198"/>
      <c r="T254" s="198"/>
      <c r="U254" s="198"/>
      <c r="V254" s="198"/>
      <c r="W254" s="198"/>
      <c r="X254" s="198"/>
    </row>
    <row r="255">
      <c r="A255" s="198"/>
      <c r="B255" s="199"/>
      <c r="C255" s="198"/>
      <c r="D255" s="198"/>
      <c r="E255" s="198"/>
      <c r="F255" s="199"/>
      <c r="G255" s="199"/>
      <c r="H255" s="198"/>
      <c r="I255" s="198"/>
      <c r="J255" s="198"/>
      <c r="K255" s="198"/>
      <c r="L255" s="198"/>
      <c r="M255" s="198"/>
      <c r="N255" s="198"/>
      <c r="O255" s="198"/>
      <c r="P255" s="198"/>
      <c r="Q255" s="198"/>
      <c r="R255" s="198"/>
      <c r="S255" s="198"/>
      <c r="T255" s="198"/>
      <c r="U255" s="198"/>
      <c r="V255" s="198"/>
      <c r="W255" s="198"/>
      <c r="X255" s="198"/>
    </row>
    <row r="256">
      <c r="A256" s="198"/>
      <c r="B256" s="199"/>
      <c r="C256" s="198"/>
      <c r="D256" s="198"/>
      <c r="E256" s="198"/>
      <c r="F256" s="199"/>
      <c r="G256" s="199"/>
      <c r="H256" s="198"/>
      <c r="I256" s="198"/>
      <c r="J256" s="198"/>
      <c r="K256" s="198"/>
      <c r="L256" s="198"/>
      <c r="M256" s="198"/>
      <c r="N256" s="198"/>
      <c r="O256" s="198"/>
      <c r="P256" s="198"/>
      <c r="Q256" s="198"/>
      <c r="R256" s="198"/>
      <c r="S256" s="198"/>
      <c r="T256" s="198"/>
      <c r="U256" s="198"/>
      <c r="V256" s="198"/>
      <c r="W256" s="198"/>
      <c r="X256" s="198"/>
    </row>
    <row r="257">
      <c r="A257" s="198"/>
      <c r="B257" s="199"/>
      <c r="C257" s="198"/>
      <c r="D257" s="198"/>
      <c r="E257" s="198"/>
      <c r="F257" s="199"/>
      <c r="G257" s="199"/>
      <c r="H257" s="198"/>
      <c r="I257" s="198"/>
      <c r="J257" s="198"/>
      <c r="K257" s="198"/>
      <c r="L257" s="198"/>
      <c r="M257" s="198"/>
      <c r="N257" s="198"/>
      <c r="O257" s="198"/>
      <c r="P257" s="198"/>
      <c r="Q257" s="198"/>
      <c r="R257" s="198"/>
      <c r="S257" s="198"/>
      <c r="T257" s="198"/>
      <c r="U257" s="198"/>
      <c r="V257" s="198"/>
      <c r="W257" s="198"/>
      <c r="X257" s="198"/>
    </row>
    <row r="258">
      <c r="A258" s="198"/>
      <c r="B258" s="199"/>
      <c r="C258" s="198"/>
      <c r="D258" s="198"/>
      <c r="E258" s="198"/>
      <c r="F258" s="199"/>
      <c r="G258" s="199"/>
      <c r="H258" s="198"/>
      <c r="I258" s="198"/>
      <c r="J258" s="198"/>
      <c r="K258" s="198"/>
      <c r="L258" s="198"/>
      <c r="M258" s="198"/>
      <c r="N258" s="198"/>
      <c r="O258" s="198"/>
      <c r="P258" s="198"/>
      <c r="Q258" s="198"/>
      <c r="R258" s="198"/>
      <c r="S258" s="198"/>
      <c r="T258" s="198"/>
      <c r="U258" s="198"/>
      <c r="V258" s="198"/>
      <c r="W258" s="198"/>
      <c r="X258" s="198"/>
    </row>
    <row r="259">
      <c r="A259" s="198"/>
      <c r="B259" s="199"/>
      <c r="C259" s="198"/>
      <c r="D259" s="198"/>
      <c r="E259" s="198"/>
      <c r="F259" s="199"/>
      <c r="G259" s="199"/>
      <c r="H259" s="198"/>
      <c r="I259" s="198"/>
      <c r="J259" s="198"/>
      <c r="K259" s="198"/>
      <c r="L259" s="198"/>
      <c r="M259" s="198"/>
      <c r="N259" s="198"/>
      <c r="O259" s="198"/>
      <c r="P259" s="198"/>
      <c r="Q259" s="198"/>
      <c r="R259" s="198"/>
      <c r="S259" s="198"/>
      <c r="T259" s="198"/>
      <c r="U259" s="198"/>
      <c r="V259" s="198"/>
      <c r="W259" s="198"/>
      <c r="X259" s="198"/>
    </row>
    <row r="260">
      <c r="A260" s="198"/>
      <c r="B260" s="199"/>
      <c r="C260" s="198"/>
      <c r="D260" s="198"/>
      <c r="E260" s="198"/>
      <c r="F260" s="199"/>
      <c r="G260" s="199"/>
      <c r="H260" s="198"/>
      <c r="I260" s="198"/>
      <c r="J260" s="198"/>
      <c r="K260" s="198"/>
      <c r="L260" s="198"/>
      <c r="M260" s="198"/>
      <c r="N260" s="198"/>
      <c r="O260" s="198"/>
      <c r="P260" s="198"/>
      <c r="Q260" s="198"/>
      <c r="R260" s="198"/>
      <c r="S260" s="198"/>
      <c r="T260" s="198"/>
      <c r="U260" s="198"/>
      <c r="V260" s="198"/>
      <c r="W260" s="198"/>
      <c r="X260" s="198"/>
    </row>
    <row r="261">
      <c r="A261" s="198"/>
      <c r="B261" s="199"/>
      <c r="C261" s="198"/>
      <c r="D261" s="198"/>
      <c r="E261" s="198"/>
      <c r="F261" s="199"/>
      <c r="G261" s="199"/>
      <c r="H261" s="198"/>
      <c r="I261" s="198"/>
      <c r="J261" s="198"/>
      <c r="K261" s="198"/>
      <c r="L261" s="198"/>
      <c r="M261" s="198"/>
      <c r="N261" s="198"/>
      <c r="O261" s="198"/>
      <c r="P261" s="198"/>
      <c r="Q261" s="198"/>
      <c r="R261" s="198"/>
      <c r="S261" s="198"/>
      <c r="T261" s="198"/>
      <c r="U261" s="198"/>
      <c r="V261" s="198"/>
      <c r="W261" s="198"/>
      <c r="X261" s="198"/>
    </row>
    <row r="262">
      <c r="A262" s="198"/>
      <c r="B262" s="199"/>
      <c r="C262" s="198"/>
      <c r="D262" s="198"/>
      <c r="E262" s="198"/>
      <c r="F262" s="199"/>
      <c r="G262" s="199"/>
      <c r="H262" s="198"/>
      <c r="I262" s="198"/>
      <c r="J262" s="198"/>
      <c r="K262" s="198"/>
      <c r="L262" s="198"/>
      <c r="M262" s="198"/>
      <c r="N262" s="198"/>
      <c r="O262" s="198"/>
      <c r="P262" s="198"/>
      <c r="Q262" s="198"/>
      <c r="R262" s="198"/>
      <c r="S262" s="198"/>
      <c r="T262" s="198"/>
      <c r="U262" s="198"/>
      <c r="V262" s="198"/>
      <c r="W262" s="198"/>
      <c r="X262" s="198"/>
    </row>
    <row r="263">
      <c r="A263" s="198"/>
      <c r="B263" s="199"/>
      <c r="C263" s="198"/>
      <c r="D263" s="198"/>
      <c r="E263" s="198"/>
      <c r="F263" s="199"/>
      <c r="G263" s="199"/>
      <c r="H263" s="198"/>
      <c r="I263" s="198"/>
      <c r="J263" s="198"/>
      <c r="K263" s="198"/>
      <c r="L263" s="198"/>
      <c r="M263" s="198"/>
      <c r="N263" s="198"/>
      <c r="O263" s="198"/>
      <c r="P263" s="198"/>
      <c r="Q263" s="198"/>
      <c r="R263" s="198"/>
      <c r="S263" s="198"/>
      <c r="T263" s="198"/>
      <c r="U263" s="198"/>
      <c r="V263" s="198"/>
      <c r="W263" s="198"/>
      <c r="X263" s="198"/>
    </row>
    <row r="264">
      <c r="A264" s="198"/>
      <c r="B264" s="199"/>
      <c r="C264" s="198"/>
      <c r="D264" s="198"/>
      <c r="E264" s="198"/>
      <c r="F264" s="199"/>
      <c r="G264" s="199"/>
      <c r="H264" s="198"/>
      <c r="I264" s="198"/>
      <c r="J264" s="198"/>
      <c r="K264" s="198"/>
      <c r="L264" s="198"/>
      <c r="M264" s="198"/>
      <c r="N264" s="198"/>
      <c r="O264" s="198"/>
      <c r="P264" s="198"/>
      <c r="Q264" s="198"/>
      <c r="R264" s="198"/>
      <c r="S264" s="198"/>
      <c r="T264" s="198"/>
      <c r="U264" s="198"/>
      <c r="V264" s="198"/>
      <c r="W264" s="198"/>
      <c r="X264" s="198"/>
    </row>
    <row r="265">
      <c r="A265" s="198"/>
      <c r="B265" s="199"/>
      <c r="C265" s="198"/>
      <c r="D265" s="198"/>
      <c r="E265" s="198"/>
      <c r="F265" s="199"/>
      <c r="G265" s="199"/>
      <c r="H265" s="198"/>
      <c r="I265" s="198"/>
      <c r="J265" s="198"/>
      <c r="K265" s="198"/>
      <c r="L265" s="198"/>
      <c r="M265" s="198"/>
      <c r="N265" s="198"/>
      <c r="O265" s="198"/>
      <c r="P265" s="198"/>
      <c r="Q265" s="198"/>
      <c r="R265" s="198"/>
      <c r="S265" s="198"/>
      <c r="T265" s="198"/>
      <c r="U265" s="198"/>
      <c r="V265" s="198"/>
      <c r="W265" s="198"/>
      <c r="X265" s="198"/>
    </row>
    <row r="266">
      <c r="A266" s="198"/>
      <c r="B266" s="199"/>
      <c r="C266" s="198"/>
      <c r="D266" s="198"/>
      <c r="E266" s="198"/>
      <c r="F266" s="199"/>
      <c r="G266" s="199"/>
      <c r="H266" s="198"/>
      <c r="I266" s="198"/>
      <c r="J266" s="198"/>
      <c r="K266" s="198"/>
      <c r="L266" s="198"/>
      <c r="M266" s="198"/>
      <c r="N266" s="198"/>
      <c r="O266" s="198"/>
      <c r="P266" s="198"/>
      <c r="Q266" s="198"/>
      <c r="R266" s="198"/>
      <c r="S266" s="198"/>
      <c r="T266" s="198"/>
      <c r="U266" s="198"/>
      <c r="V266" s="198"/>
      <c r="W266" s="198"/>
      <c r="X266" s="198"/>
    </row>
    <row r="267">
      <c r="A267" s="198"/>
      <c r="B267" s="199"/>
      <c r="C267" s="198"/>
      <c r="D267" s="198"/>
      <c r="E267" s="198"/>
      <c r="F267" s="199"/>
      <c r="G267" s="199"/>
      <c r="H267" s="198"/>
      <c r="I267" s="198"/>
      <c r="J267" s="198"/>
      <c r="K267" s="198"/>
      <c r="L267" s="198"/>
      <c r="M267" s="198"/>
      <c r="N267" s="198"/>
      <c r="O267" s="198"/>
      <c r="P267" s="198"/>
      <c r="Q267" s="198"/>
      <c r="R267" s="198"/>
      <c r="S267" s="198"/>
      <c r="T267" s="198"/>
      <c r="U267" s="198"/>
      <c r="V267" s="198"/>
      <c r="W267" s="198"/>
      <c r="X267" s="198"/>
    </row>
    <row r="268">
      <c r="A268" s="198"/>
      <c r="B268" s="199"/>
      <c r="C268" s="198"/>
      <c r="D268" s="198"/>
      <c r="E268" s="198"/>
      <c r="F268" s="199"/>
      <c r="G268" s="199"/>
      <c r="H268" s="198"/>
      <c r="I268" s="198"/>
      <c r="J268" s="198"/>
      <c r="K268" s="198"/>
      <c r="L268" s="198"/>
      <c r="M268" s="198"/>
      <c r="N268" s="198"/>
      <c r="O268" s="198"/>
      <c r="P268" s="198"/>
      <c r="Q268" s="198"/>
      <c r="R268" s="198"/>
      <c r="S268" s="198"/>
      <c r="T268" s="198"/>
      <c r="U268" s="198"/>
      <c r="V268" s="198"/>
      <c r="W268" s="198"/>
      <c r="X268" s="198"/>
    </row>
    <row r="269">
      <c r="A269" s="198"/>
      <c r="B269" s="199"/>
      <c r="C269" s="198"/>
      <c r="D269" s="198"/>
      <c r="E269" s="198"/>
      <c r="F269" s="199"/>
      <c r="G269" s="199"/>
      <c r="H269" s="198"/>
      <c r="I269" s="198"/>
      <c r="J269" s="198"/>
      <c r="K269" s="198"/>
      <c r="L269" s="198"/>
      <c r="M269" s="198"/>
      <c r="N269" s="198"/>
      <c r="O269" s="198"/>
      <c r="P269" s="198"/>
      <c r="Q269" s="198"/>
      <c r="R269" s="198"/>
      <c r="S269" s="198"/>
      <c r="T269" s="198"/>
      <c r="U269" s="198"/>
      <c r="V269" s="198"/>
      <c r="W269" s="198"/>
      <c r="X269" s="198"/>
    </row>
    <row r="270">
      <c r="A270" s="198"/>
      <c r="B270" s="199"/>
      <c r="C270" s="198"/>
      <c r="D270" s="198"/>
      <c r="E270" s="198"/>
      <c r="F270" s="199"/>
      <c r="G270" s="199"/>
      <c r="H270" s="198"/>
      <c r="I270" s="198"/>
      <c r="J270" s="198"/>
      <c r="K270" s="198"/>
      <c r="L270" s="198"/>
      <c r="M270" s="198"/>
      <c r="N270" s="198"/>
      <c r="O270" s="198"/>
      <c r="P270" s="198"/>
      <c r="Q270" s="198"/>
      <c r="R270" s="198"/>
      <c r="S270" s="198"/>
      <c r="T270" s="198"/>
      <c r="U270" s="198"/>
      <c r="V270" s="198"/>
      <c r="W270" s="198"/>
      <c r="X270" s="198"/>
    </row>
    <row r="271">
      <c r="A271" s="198"/>
      <c r="B271" s="199"/>
      <c r="C271" s="198"/>
      <c r="D271" s="198"/>
      <c r="E271" s="198"/>
      <c r="F271" s="199"/>
      <c r="G271" s="199"/>
      <c r="H271" s="198"/>
      <c r="I271" s="198"/>
      <c r="J271" s="198"/>
      <c r="K271" s="198"/>
      <c r="L271" s="198"/>
      <c r="M271" s="198"/>
      <c r="N271" s="198"/>
      <c r="O271" s="198"/>
      <c r="P271" s="198"/>
      <c r="Q271" s="198"/>
      <c r="R271" s="198"/>
      <c r="S271" s="198"/>
      <c r="T271" s="198"/>
      <c r="U271" s="198"/>
      <c r="V271" s="198"/>
      <c r="W271" s="198"/>
      <c r="X271" s="198"/>
    </row>
    <row r="272">
      <c r="A272" s="198"/>
      <c r="B272" s="199"/>
      <c r="C272" s="198"/>
      <c r="D272" s="198"/>
      <c r="E272" s="198"/>
      <c r="F272" s="199"/>
      <c r="G272" s="199"/>
      <c r="H272" s="198"/>
      <c r="I272" s="198"/>
      <c r="J272" s="198"/>
      <c r="K272" s="198"/>
      <c r="L272" s="198"/>
      <c r="M272" s="198"/>
      <c r="N272" s="198"/>
      <c r="O272" s="198"/>
      <c r="P272" s="198"/>
      <c r="Q272" s="198"/>
      <c r="R272" s="198"/>
      <c r="S272" s="198"/>
      <c r="T272" s="198"/>
      <c r="U272" s="198"/>
      <c r="V272" s="198"/>
      <c r="W272" s="198"/>
      <c r="X272" s="198"/>
    </row>
    <row r="273">
      <c r="A273" s="198"/>
      <c r="B273" s="199"/>
      <c r="C273" s="198"/>
      <c r="D273" s="198"/>
      <c r="E273" s="198"/>
      <c r="F273" s="199"/>
      <c r="G273" s="199"/>
      <c r="H273" s="198"/>
      <c r="I273" s="198"/>
      <c r="J273" s="198"/>
      <c r="K273" s="198"/>
      <c r="L273" s="198"/>
      <c r="M273" s="198"/>
      <c r="N273" s="198"/>
      <c r="O273" s="198"/>
      <c r="P273" s="198"/>
      <c r="Q273" s="198"/>
      <c r="R273" s="198"/>
      <c r="S273" s="198"/>
      <c r="T273" s="198"/>
      <c r="U273" s="198"/>
      <c r="V273" s="198"/>
      <c r="W273" s="198"/>
      <c r="X273" s="198"/>
    </row>
    <row r="274">
      <c r="A274" s="198"/>
      <c r="B274" s="199"/>
      <c r="C274" s="198"/>
      <c r="D274" s="198"/>
      <c r="E274" s="198"/>
      <c r="F274" s="199"/>
      <c r="G274" s="199"/>
      <c r="H274" s="198"/>
      <c r="I274" s="198"/>
      <c r="J274" s="198"/>
      <c r="K274" s="198"/>
      <c r="L274" s="198"/>
      <c r="M274" s="198"/>
      <c r="N274" s="198"/>
      <c r="O274" s="198"/>
      <c r="P274" s="198"/>
      <c r="Q274" s="198"/>
      <c r="R274" s="198"/>
      <c r="S274" s="198"/>
      <c r="T274" s="198"/>
      <c r="U274" s="198"/>
      <c r="V274" s="198"/>
      <c r="W274" s="198"/>
      <c r="X274" s="198"/>
    </row>
    <row r="275">
      <c r="A275" s="198"/>
      <c r="B275" s="199"/>
      <c r="C275" s="198"/>
      <c r="D275" s="198"/>
      <c r="E275" s="198"/>
      <c r="F275" s="199"/>
      <c r="G275" s="199"/>
      <c r="H275" s="198"/>
      <c r="I275" s="198"/>
      <c r="J275" s="198"/>
      <c r="K275" s="198"/>
      <c r="L275" s="198"/>
      <c r="M275" s="198"/>
      <c r="N275" s="198"/>
      <c r="O275" s="198"/>
      <c r="P275" s="198"/>
      <c r="Q275" s="198"/>
      <c r="R275" s="198"/>
      <c r="S275" s="198"/>
      <c r="T275" s="198"/>
      <c r="U275" s="198"/>
      <c r="V275" s="198"/>
      <c r="W275" s="198"/>
      <c r="X275" s="198"/>
    </row>
    <row r="276">
      <c r="A276" s="198"/>
      <c r="B276" s="199"/>
      <c r="C276" s="198"/>
      <c r="D276" s="198"/>
      <c r="E276" s="198"/>
      <c r="F276" s="199"/>
      <c r="G276" s="199"/>
      <c r="H276" s="198"/>
      <c r="I276" s="198"/>
      <c r="J276" s="198"/>
      <c r="K276" s="198"/>
      <c r="L276" s="198"/>
      <c r="M276" s="198"/>
      <c r="N276" s="198"/>
      <c r="O276" s="198"/>
      <c r="P276" s="198"/>
      <c r="Q276" s="198"/>
      <c r="R276" s="198"/>
      <c r="S276" s="198"/>
      <c r="T276" s="198"/>
      <c r="U276" s="198"/>
      <c r="V276" s="198"/>
      <c r="W276" s="198"/>
      <c r="X276" s="198"/>
    </row>
    <row r="277">
      <c r="A277" s="198"/>
      <c r="B277" s="199"/>
      <c r="C277" s="198"/>
      <c r="D277" s="198"/>
      <c r="E277" s="198"/>
      <c r="F277" s="199"/>
      <c r="G277" s="199"/>
      <c r="H277" s="198"/>
      <c r="I277" s="198"/>
      <c r="J277" s="198"/>
      <c r="K277" s="198"/>
      <c r="L277" s="198"/>
      <c r="M277" s="198"/>
      <c r="N277" s="198"/>
      <c r="O277" s="198"/>
      <c r="P277" s="198"/>
      <c r="Q277" s="198"/>
      <c r="R277" s="198"/>
      <c r="S277" s="198"/>
      <c r="T277" s="198"/>
      <c r="U277" s="198"/>
      <c r="V277" s="198"/>
      <c r="W277" s="198"/>
      <c r="X277" s="198"/>
    </row>
    <row r="278">
      <c r="A278" s="198"/>
      <c r="B278" s="199"/>
      <c r="C278" s="198"/>
      <c r="D278" s="198"/>
      <c r="E278" s="198"/>
      <c r="F278" s="199"/>
      <c r="G278" s="199"/>
      <c r="H278" s="198"/>
      <c r="I278" s="198"/>
      <c r="J278" s="198"/>
      <c r="K278" s="198"/>
      <c r="L278" s="198"/>
      <c r="M278" s="198"/>
      <c r="N278" s="198"/>
      <c r="O278" s="198"/>
      <c r="P278" s="198"/>
      <c r="Q278" s="198"/>
      <c r="R278" s="198"/>
      <c r="S278" s="198"/>
      <c r="T278" s="198"/>
      <c r="U278" s="198"/>
      <c r="V278" s="198"/>
      <c r="W278" s="198"/>
      <c r="X278" s="198"/>
    </row>
    <row r="279">
      <c r="A279" s="198"/>
      <c r="B279" s="199"/>
      <c r="C279" s="198"/>
      <c r="D279" s="198"/>
      <c r="E279" s="198"/>
      <c r="F279" s="199"/>
      <c r="G279" s="199"/>
      <c r="H279" s="198"/>
      <c r="I279" s="198"/>
      <c r="J279" s="198"/>
      <c r="K279" s="198"/>
      <c r="L279" s="198"/>
      <c r="M279" s="198"/>
      <c r="N279" s="198"/>
      <c r="O279" s="198"/>
      <c r="P279" s="198"/>
      <c r="Q279" s="198"/>
      <c r="R279" s="198"/>
      <c r="S279" s="198"/>
      <c r="T279" s="198"/>
      <c r="U279" s="198"/>
      <c r="V279" s="198"/>
      <c r="W279" s="198"/>
      <c r="X279" s="198"/>
    </row>
    <row r="280">
      <c r="A280" s="198"/>
      <c r="B280" s="199"/>
      <c r="C280" s="198"/>
      <c r="D280" s="198"/>
      <c r="E280" s="198"/>
      <c r="F280" s="199"/>
      <c r="G280" s="199"/>
      <c r="H280" s="198"/>
      <c r="I280" s="198"/>
      <c r="J280" s="198"/>
      <c r="K280" s="198"/>
      <c r="L280" s="198"/>
      <c r="M280" s="198"/>
      <c r="N280" s="198"/>
      <c r="O280" s="198"/>
      <c r="P280" s="198"/>
      <c r="Q280" s="198"/>
      <c r="R280" s="198"/>
      <c r="S280" s="198"/>
      <c r="T280" s="198"/>
      <c r="U280" s="198"/>
      <c r="V280" s="198"/>
      <c r="W280" s="198"/>
      <c r="X280" s="198"/>
    </row>
    <row r="281">
      <c r="A281" s="198"/>
      <c r="B281" s="199"/>
      <c r="C281" s="198"/>
      <c r="D281" s="198"/>
      <c r="E281" s="198"/>
      <c r="F281" s="199"/>
      <c r="G281" s="199"/>
      <c r="H281" s="198"/>
      <c r="I281" s="198"/>
      <c r="J281" s="198"/>
      <c r="K281" s="198"/>
      <c r="L281" s="198"/>
      <c r="M281" s="198"/>
      <c r="N281" s="198"/>
      <c r="O281" s="198"/>
      <c r="P281" s="198"/>
      <c r="Q281" s="198"/>
      <c r="R281" s="198"/>
      <c r="S281" s="198"/>
      <c r="T281" s="198"/>
      <c r="U281" s="198"/>
      <c r="V281" s="198"/>
      <c r="W281" s="198"/>
      <c r="X281" s="198"/>
    </row>
    <row r="282">
      <c r="A282" s="198"/>
      <c r="B282" s="199"/>
      <c r="C282" s="198"/>
      <c r="D282" s="198"/>
      <c r="E282" s="198"/>
      <c r="F282" s="199"/>
      <c r="G282" s="199"/>
      <c r="H282" s="198"/>
      <c r="I282" s="198"/>
      <c r="J282" s="198"/>
      <c r="K282" s="198"/>
      <c r="L282" s="198"/>
      <c r="M282" s="198"/>
      <c r="N282" s="198"/>
      <c r="O282" s="198"/>
      <c r="P282" s="198"/>
      <c r="Q282" s="198"/>
      <c r="R282" s="198"/>
      <c r="S282" s="198"/>
      <c r="T282" s="198"/>
      <c r="U282" s="198"/>
      <c r="V282" s="198"/>
      <c r="W282" s="198"/>
      <c r="X282" s="198"/>
    </row>
    <row r="283">
      <c r="A283" s="198"/>
      <c r="B283" s="199"/>
      <c r="C283" s="198"/>
      <c r="D283" s="198"/>
      <c r="E283" s="198"/>
      <c r="F283" s="199"/>
      <c r="G283" s="199"/>
      <c r="H283" s="198"/>
      <c r="I283" s="198"/>
      <c r="J283" s="198"/>
      <c r="K283" s="198"/>
      <c r="L283" s="198"/>
      <c r="M283" s="198"/>
      <c r="N283" s="198"/>
      <c r="O283" s="198"/>
      <c r="P283" s="198"/>
      <c r="Q283" s="198"/>
      <c r="R283" s="198"/>
      <c r="S283" s="198"/>
      <c r="T283" s="198"/>
      <c r="U283" s="198"/>
      <c r="V283" s="198"/>
      <c r="W283" s="198"/>
      <c r="X283" s="198"/>
    </row>
    <row r="284">
      <c r="A284" s="198"/>
      <c r="B284" s="199"/>
      <c r="C284" s="198"/>
      <c r="D284" s="198"/>
      <c r="E284" s="198"/>
      <c r="F284" s="199"/>
      <c r="G284" s="199"/>
      <c r="H284" s="198"/>
      <c r="I284" s="198"/>
      <c r="J284" s="198"/>
      <c r="K284" s="198"/>
      <c r="L284" s="198"/>
      <c r="M284" s="198"/>
      <c r="N284" s="198"/>
      <c r="O284" s="198"/>
      <c r="P284" s="198"/>
      <c r="Q284" s="198"/>
      <c r="R284" s="198"/>
      <c r="S284" s="198"/>
      <c r="T284" s="198"/>
      <c r="U284" s="198"/>
      <c r="V284" s="198"/>
      <c r="W284" s="198"/>
      <c r="X284" s="198"/>
    </row>
    <row r="285">
      <c r="A285" s="198"/>
      <c r="B285" s="199"/>
      <c r="C285" s="198"/>
      <c r="D285" s="198"/>
      <c r="E285" s="198"/>
      <c r="F285" s="199"/>
      <c r="G285" s="199"/>
      <c r="H285" s="198"/>
      <c r="I285" s="198"/>
      <c r="J285" s="198"/>
      <c r="K285" s="198"/>
      <c r="L285" s="198"/>
      <c r="M285" s="198"/>
      <c r="N285" s="198"/>
      <c r="O285" s="198"/>
      <c r="P285" s="198"/>
      <c r="Q285" s="198"/>
      <c r="R285" s="198"/>
      <c r="S285" s="198"/>
      <c r="T285" s="198"/>
      <c r="U285" s="198"/>
      <c r="V285" s="198"/>
      <c r="W285" s="198"/>
      <c r="X285" s="198"/>
    </row>
    <row r="286">
      <c r="A286" s="198"/>
      <c r="B286" s="199"/>
      <c r="C286" s="198"/>
      <c r="D286" s="198"/>
      <c r="E286" s="198"/>
      <c r="F286" s="199"/>
      <c r="G286" s="199"/>
      <c r="H286" s="198"/>
      <c r="I286" s="198"/>
      <c r="J286" s="198"/>
      <c r="K286" s="198"/>
      <c r="L286" s="198"/>
      <c r="M286" s="198"/>
      <c r="N286" s="198"/>
      <c r="O286" s="198"/>
      <c r="P286" s="198"/>
      <c r="Q286" s="198"/>
      <c r="R286" s="198"/>
      <c r="S286" s="198"/>
      <c r="T286" s="198"/>
      <c r="U286" s="198"/>
      <c r="V286" s="198"/>
      <c r="W286" s="198"/>
      <c r="X286" s="198"/>
    </row>
    <row r="287">
      <c r="A287" s="198"/>
      <c r="B287" s="199"/>
      <c r="C287" s="198"/>
      <c r="D287" s="198"/>
      <c r="E287" s="198"/>
      <c r="F287" s="199"/>
      <c r="G287" s="199"/>
      <c r="H287" s="198"/>
      <c r="I287" s="198"/>
      <c r="J287" s="198"/>
      <c r="K287" s="198"/>
      <c r="L287" s="198"/>
      <c r="M287" s="198"/>
      <c r="N287" s="198"/>
      <c r="O287" s="198"/>
      <c r="P287" s="198"/>
      <c r="Q287" s="198"/>
      <c r="R287" s="198"/>
      <c r="S287" s="198"/>
      <c r="T287" s="198"/>
      <c r="U287" s="198"/>
      <c r="V287" s="198"/>
      <c r="W287" s="198"/>
      <c r="X287" s="198"/>
    </row>
    <row r="288">
      <c r="A288" s="198"/>
      <c r="B288" s="199"/>
      <c r="C288" s="198"/>
      <c r="D288" s="198"/>
      <c r="E288" s="198"/>
      <c r="F288" s="199"/>
      <c r="G288" s="199"/>
      <c r="H288" s="198"/>
      <c r="I288" s="198"/>
      <c r="J288" s="198"/>
      <c r="K288" s="198"/>
      <c r="L288" s="198"/>
      <c r="M288" s="198"/>
      <c r="N288" s="198"/>
      <c r="O288" s="198"/>
      <c r="P288" s="198"/>
      <c r="Q288" s="198"/>
      <c r="R288" s="198"/>
      <c r="S288" s="198"/>
      <c r="T288" s="198"/>
      <c r="U288" s="198"/>
      <c r="V288" s="198"/>
      <c r="W288" s="198"/>
      <c r="X288" s="198"/>
    </row>
    <row r="289">
      <c r="A289" s="198"/>
      <c r="B289" s="199"/>
      <c r="C289" s="198"/>
      <c r="D289" s="198"/>
      <c r="E289" s="198"/>
      <c r="F289" s="199"/>
      <c r="G289" s="199"/>
      <c r="H289" s="198"/>
      <c r="I289" s="198"/>
      <c r="J289" s="198"/>
      <c r="K289" s="198"/>
      <c r="L289" s="198"/>
      <c r="M289" s="198"/>
      <c r="N289" s="198"/>
      <c r="O289" s="198"/>
      <c r="P289" s="198"/>
      <c r="Q289" s="198"/>
      <c r="R289" s="198"/>
      <c r="S289" s="198"/>
      <c r="T289" s="198"/>
      <c r="U289" s="198"/>
      <c r="V289" s="198"/>
      <c r="W289" s="198"/>
      <c r="X289" s="198"/>
    </row>
    <row r="290">
      <c r="A290" s="198"/>
      <c r="B290" s="199"/>
      <c r="C290" s="198"/>
      <c r="D290" s="198"/>
      <c r="E290" s="198"/>
      <c r="F290" s="199"/>
      <c r="G290" s="199"/>
      <c r="H290" s="198"/>
      <c r="I290" s="198"/>
      <c r="J290" s="198"/>
      <c r="K290" s="198"/>
      <c r="L290" s="198"/>
      <c r="M290" s="198"/>
      <c r="N290" s="198"/>
      <c r="O290" s="198"/>
      <c r="P290" s="198"/>
      <c r="Q290" s="198"/>
      <c r="R290" s="198"/>
      <c r="S290" s="198"/>
      <c r="T290" s="198"/>
      <c r="U290" s="198"/>
      <c r="V290" s="198"/>
      <c r="W290" s="198"/>
      <c r="X290" s="198"/>
    </row>
    <row r="291">
      <c r="A291" s="198"/>
      <c r="B291" s="199"/>
      <c r="C291" s="198"/>
      <c r="D291" s="198"/>
      <c r="E291" s="198"/>
      <c r="F291" s="199"/>
      <c r="G291" s="199"/>
      <c r="H291" s="198"/>
      <c r="I291" s="198"/>
      <c r="J291" s="198"/>
      <c r="K291" s="198"/>
      <c r="L291" s="198"/>
      <c r="M291" s="198"/>
      <c r="N291" s="198"/>
      <c r="O291" s="198"/>
      <c r="P291" s="198"/>
      <c r="Q291" s="198"/>
      <c r="R291" s="198"/>
      <c r="S291" s="198"/>
      <c r="T291" s="198"/>
      <c r="U291" s="198"/>
      <c r="V291" s="198"/>
      <c r="W291" s="198"/>
      <c r="X291" s="198"/>
    </row>
    <row r="292">
      <c r="A292" s="198"/>
      <c r="B292" s="199"/>
      <c r="C292" s="198"/>
      <c r="D292" s="198"/>
      <c r="E292" s="198"/>
      <c r="F292" s="199"/>
      <c r="G292" s="199"/>
      <c r="H292" s="198"/>
      <c r="I292" s="198"/>
      <c r="J292" s="198"/>
      <c r="K292" s="198"/>
      <c r="L292" s="198"/>
      <c r="M292" s="198"/>
      <c r="N292" s="198"/>
      <c r="O292" s="198"/>
      <c r="P292" s="198"/>
      <c r="Q292" s="198"/>
      <c r="R292" s="198"/>
      <c r="S292" s="198"/>
      <c r="T292" s="198"/>
      <c r="U292" s="198"/>
      <c r="V292" s="198"/>
      <c r="W292" s="198"/>
      <c r="X292" s="198"/>
    </row>
    <row r="293">
      <c r="A293" s="198"/>
      <c r="B293" s="199"/>
      <c r="C293" s="198"/>
      <c r="D293" s="198"/>
      <c r="E293" s="198"/>
      <c r="F293" s="199"/>
      <c r="G293" s="199"/>
      <c r="H293" s="198"/>
      <c r="I293" s="198"/>
      <c r="J293" s="198"/>
      <c r="K293" s="198"/>
      <c r="L293" s="198"/>
      <c r="M293" s="198"/>
      <c r="N293" s="198"/>
      <c r="O293" s="198"/>
      <c r="P293" s="198"/>
      <c r="Q293" s="198"/>
      <c r="R293" s="198"/>
      <c r="S293" s="198"/>
      <c r="T293" s="198"/>
      <c r="U293" s="198"/>
      <c r="V293" s="198"/>
      <c r="W293" s="198"/>
      <c r="X293" s="198"/>
    </row>
    <row r="294">
      <c r="A294" s="198"/>
      <c r="B294" s="199"/>
      <c r="C294" s="198"/>
      <c r="D294" s="198"/>
      <c r="E294" s="198"/>
      <c r="F294" s="199"/>
      <c r="G294" s="199"/>
      <c r="H294" s="198"/>
      <c r="I294" s="198"/>
      <c r="J294" s="198"/>
      <c r="K294" s="198"/>
      <c r="L294" s="198"/>
      <c r="M294" s="198"/>
      <c r="N294" s="198"/>
      <c r="O294" s="198"/>
      <c r="P294" s="198"/>
      <c r="Q294" s="198"/>
      <c r="R294" s="198"/>
      <c r="S294" s="198"/>
      <c r="T294" s="198"/>
      <c r="U294" s="198"/>
      <c r="V294" s="198"/>
      <c r="W294" s="198"/>
      <c r="X294" s="198"/>
    </row>
    <row r="295">
      <c r="A295" s="198"/>
      <c r="B295" s="199"/>
      <c r="C295" s="198"/>
      <c r="D295" s="198"/>
      <c r="E295" s="198"/>
      <c r="F295" s="199"/>
      <c r="G295" s="199"/>
      <c r="H295" s="198"/>
      <c r="I295" s="198"/>
      <c r="J295" s="198"/>
      <c r="K295" s="198"/>
      <c r="L295" s="198"/>
      <c r="M295" s="198"/>
      <c r="N295" s="198"/>
      <c r="O295" s="198"/>
      <c r="P295" s="198"/>
      <c r="Q295" s="198"/>
      <c r="R295" s="198"/>
      <c r="S295" s="198"/>
      <c r="T295" s="198"/>
      <c r="U295" s="198"/>
      <c r="V295" s="198"/>
      <c r="W295" s="198"/>
      <c r="X295" s="198"/>
    </row>
    <row r="296">
      <c r="A296" s="198"/>
      <c r="B296" s="199"/>
      <c r="C296" s="198"/>
      <c r="D296" s="198"/>
      <c r="E296" s="198"/>
      <c r="F296" s="199"/>
      <c r="G296" s="199"/>
      <c r="H296" s="198"/>
      <c r="I296" s="198"/>
      <c r="J296" s="198"/>
      <c r="K296" s="198"/>
      <c r="L296" s="198"/>
      <c r="M296" s="198"/>
      <c r="N296" s="198"/>
      <c r="O296" s="198"/>
      <c r="P296" s="198"/>
      <c r="Q296" s="198"/>
      <c r="R296" s="198"/>
      <c r="S296" s="198"/>
      <c r="T296" s="198"/>
      <c r="U296" s="198"/>
      <c r="V296" s="198"/>
      <c r="W296" s="198"/>
      <c r="X296" s="198"/>
    </row>
    <row r="297">
      <c r="A297" s="198"/>
      <c r="B297" s="199"/>
      <c r="C297" s="198"/>
      <c r="D297" s="198"/>
      <c r="E297" s="198"/>
      <c r="F297" s="199"/>
      <c r="G297" s="199"/>
      <c r="H297" s="198"/>
      <c r="I297" s="198"/>
      <c r="J297" s="198"/>
      <c r="K297" s="198"/>
      <c r="L297" s="198"/>
      <c r="M297" s="198"/>
      <c r="N297" s="198"/>
      <c r="O297" s="198"/>
      <c r="P297" s="198"/>
      <c r="Q297" s="198"/>
      <c r="R297" s="198"/>
      <c r="S297" s="198"/>
      <c r="T297" s="198"/>
      <c r="U297" s="198"/>
      <c r="V297" s="198"/>
      <c r="W297" s="198"/>
      <c r="X297" s="198"/>
    </row>
    <row r="298">
      <c r="A298" s="198"/>
      <c r="B298" s="199"/>
      <c r="C298" s="198"/>
      <c r="D298" s="198"/>
      <c r="E298" s="198"/>
      <c r="F298" s="199"/>
      <c r="G298" s="199"/>
      <c r="H298" s="198"/>
      <c r="I298" s="198"/>
      <c r="J298" s="198"/>
      <c r="K298" s="198"/>
      <c r="L298" s="198"/>
      <c r="M298" s="198"/>
      <c r="N298" s="198"/>
      <c r="O298" s="198"/>
      <c r="P298" s="198"/>
      <c r="Q298" s="198"/>
      <c r="R298" s="198"/>
      <c r="S298" s="198"/>
      <c r="T298" s="198"/>
      <c r="U298" s="198"/>
      <c r="V298" s="198"/>
      <c r="W298" s="198"/>
      <c r="X298" s="198"/>
    </row>
    <row r="299">
      <c r="A299" s="198"/>
      <c r="B299" s="199"/>
      <c r="C299" s="198"/>
      <c r="D299" s="198"/>
      <c r="E299" s="198"/>
      <c r="F299" s="199"/>
      <c r="G299" s="199"/>
      <c r="H299" s="198"/>
      <c r="I299" s="198"/>
      <c r="J299" s="198"/>
      <c r="K299" s="198"/>
      <c r="L299" s="198"/>
      <c r="M299" s="198"/>
      <c r="N299" s="198"/>
      <c r="O299" s="198"/>
      <c r="P299" s="198"/>
      <c r="Q299" s="198"/>
      <c r="R299" s="198"/>
      <c r="S299" s="198"/>
      <c r="T299" s="198"/>
      <c r="U299" s="198"/>
      <c r="V299" s="198"/>
      <c r="W299" s="198"/>
      <c r="X299" s="198"/>
    </row>
    <row r="300">
      <c r="A300" s="198"/>
      <c r="B300" s="199"/>
      <c r="C300" s="198"/>
      <c r="D300" s="198"/>
      <c r="E300" s="198"/>
      <c r="F300" s="199"/>
      <c r="G300" s="199"/>
      <c r="H300" s="198"/>
      <c r="I300" s="198"/>
      <c r="J300" s="198"/>
      <c r="K300" s="198"/>
      <c r="L300" s="198"/>
      <c r="M300" s="198"/>
      <c r="N300" s="198"/>
      <c r="O300" s="198"/>
      <c r="P300" s="198"/>
      <c r="Q300" s="198"/>
      <c r="R300" s="198"/>
      <c r="S300" s="198"/>
      <c r="T300" s="198"/>
      <c r="U300" s="198"/>
      <c r="V300" s="198"/>
      <c r="W300" s="198"/>
      <c r="X300" s="198"/>
    </row>
    <row r="301">
      <c r="A301" s="198"/>
      <c r="B301" s="199"/>
      <c r="C301" s="198"/>
      <c r="D301" s="198"/>
      <c r="E301" s="198"/>
      <c r="F301" s="199"/>
      <c r="G301" s="199"/>
      <c r="H301" s="198"/>
      <c r="I301" s="198"/>
      <c r="J301" s="198"/>
      <c r="K301" s="198"/>
      <c r="L301" s="198"/>
      <c r="M301" s="198"/>
      <c r="N301" s="198"/>
      <c r="O301" s="198"/>
      <c r="P301" s="198"/>
      <c r="Q301" s="198"/>
      <c r="R301" s="198"/>
      <c r="S301" s="198"/>
      <c r="T301" s="198"/>
      <c r="U301" s="198"/>
      <c r="V301" s="198"/>
      <c r="W301" s="198"/>
      <c r="X301" s="198"/>
    </row>
    <row r="302">
      <c r="A302" s="198"/>
      <c r="B302" s="199"/>
      <c r="C302" s="198"/>
      <c r="D302" s="198"/>
      <c r="E302" s="198"/>
      <c r="F302" s="199"/>
      <c r="G302" s="199"/>
      <c r="H302" s="198"/>
      <c r="I302" s="198"/>
      <c r="J302" s="198"/>
      <c r="K302" s="198"/>
      <c r="L302" s="198"/>
      <c r="M302" s="198"/>
      <c r="N302" s="198"/>
      <c r="O302" s="198"/>
      <c r="P302" s="198"/>
      <c r="Q302" s="198"/>
      <c r="R302" s="198"/>
      <c r="S302" s="198"/>
      <c r="T302" s="198"/>
      <c r="U302" s="198"/>
      <c r="V302" s="198"/>
      <c r="W302" s="198"/>
      <c r="X302" s="198"/>
    </row>
    <row r="303">
      <c r="A303" s="198"/>
      <c r="B303" s="199"/>
      <c r="C303" s="198"/>
      <c r="D303" s="198"/>
      <c r="E303" s="198"/>
      <c r="F303" s="199"/>
      <c r="G303" s="199"/>
      <c r="H303" s="198"/>
      <c r="I303" s="198"/>
      <c r="J303" s="198"/>
      <c r="K303" s="198"/>
      <c r="L303" s="198"/>
      <c r="M303" s="198"/>
      <c r="N303" s="198"/>
      <c r="O303" s="198"/>
      <c r="P303" s="198"/>
      <c r="Q303" s="198"/>
      <c r="R303" s="198"/>
      <c r="S303" s="198"/>
      <c r="T303" s="198"/>
      <c r="U303" s="198"/>
      <c r="V303" s="198"/>
      <c r="W303" s="198"/>
      <c r="X303" s="198"/>
    </row>
    <row r="304">
      <c r="A304" s="198"/>
      <c r="B304" s="199"/>
      <c r="C304" s="198"/>
      <c r="D304" s="198"/>
      <c r="E304" s="198"/>
      <c r="F304" s="199"/>
      <c r="G304" s="199"/>
      <c r="H304" s="198"/>
      <c r="I304" s="198"/>
      <c r="J304" s="198"/>
      <c r="K304" s="198"/>
      <c r="L304" s="198"/>
      <c r="M304" s="198"/>
      <c r="N304" s="198"/>
      <c r="O304" s="198"/>
      <c r="P304" s="198"/>
      <c r="Q304" s="198"/>
      <c r="R304" s="198"/>
      <c r="S304" s="198"/>
      <c r="T304" s="198"/>
      <c r="U304" s="198"/>
      <c r="V304" s="198"/>
      <c r="W304" s="198"/>
      <c r="X304" s="198"/>
    </row>
    <row r="305">
      <c r="A305" s="198"/>
      <c r="B305" s="199"/>
      <c r="C305" s="198"/>
      <c r="D305" s="198"/>
      <c r="E305" s="198"/>
      <c r="F305" s="199"/>
      <c r="G305" s="199"/>
      <c r="H305" s="198"/>
      <c r="I305" s="198"/>
      <c r="J305" s="198"/>
      <c r="K305" s="198"/>
      <c r="L305" s="198"/>
      <c r="M305" s="198"/>
      <c r="N305" s="198"/>
      <c r="O305" s="198"/>
      <c r="P305" s="198"/>
      <c r="Q305" s="198"/>
      <c r="R305" s="198"/>
      <c r="S305" s="198"/>
      <c r="T305" s="198"/>
      <c r="U305" s="198"/>
      <c r="V305" s="198"/>
      <c r="W305" s="198"/>
      <c r="X305" s="198"/>
    </row>
    <row r="306">
      <c r="A306" s="198"/>
      <c r="B306" s="199"/>
      <c r="C306" s="198"/>
      <c r="D306" s="198"/>
      <c r="E306" s="198"/>
      <c r="F306" s="199"/>
      <c r="G306" s="199"/>
      <c r="H306" s="198"/>
      <c r="I306" s="198"/>
      <c r="J306" s="198"/>
      <c r="K306" s="198"/>
      <c r="L306" s="198"/>
      <c r="M306" s="198"/>
      <c r="N306" s="198"/>
      <c r="O306" s="198"/>
      <c r="P306" s="198"/>
      <c r="Q306" s="198"/>
      <c r="R306" s="198"/>
      <c r="S306" s="198"/>
      <c r="T306" s="198"/>
      <c r="U306" s="198"/>
      <c r="V306" s="198"/>
      <c r="W306" s="198"/>
      <c r="X306" s="198"/>
    </row>
    <row r="307">
      <c r="A307" s="198"/>
      <c r="B307" s="199"/>
      <c r="C307" s="198"/>
      <c r="D307" s="198"/>
      <c r="E307" s="198"/>
      <c r="F307" s="199"/>
      <c r="G307" s="199"/>
      <c r="H307" s="198"/>
      <c r="I307" s="198"/>
      <c r="J307" s="198"/>
      <c r="K307" s="198"/>
      <c r="L307" s="198"/>
      <c r="M307" s="198"/>
      <c r="N307" s="198"/>
      <c r="O307" s="198"/>
      <c r="P307" s="198"/>
      <c r="Q307" s="198"/>
      <c r="R307" s="198"/>
      <c r="S307" s="198"/>
      <c r="T307" s="198"/>
      <c r="U307" s="198"/>
      <c r="V307" s="198"/>
      <c r="W307" s="198"/>
      <c r="X307" s="198"/>
    </row>
    <row r="308">
      <c r="A308" s="198"/>
      <c r="B308" s="199"/>
      <c r="C308" s="198"/>
      <c r="D308" s="198"/>
      <c r="E308" s="198"/>
      <c r="F308" s="199"/>
      <c r="G308" s="199"/>
      <c r="H308" s="198"/>
      <c r="I308" s="198"/>
      <c r="J308" s="198"/>
      <c r="K308" s="198"/>
      <c r="L308" s="198"/>
      <c r="M308" s="198"/>
      <c r="N308" s="198"/>
      <c r="O308" s="198"/>
      <c r="P308" s="198"/>
      <c r="Q308" s="198"/>
      <c r="R308" s="198"/>
      <c r="S308" s="198"/>
      <c r="T308" s="198"/>
      <c r="U308" s="198"/>
      <c r="V308" s="198"/>
      <c r="W308" s="198"/>
      <c r="X308" s="198"/>
    </row>
    <row r="309">
      <c r="A309" s="198"/>
      <c r="B309" s="199"/>
      <c r="C309" s="198"/>
      <c r="D309" s="198"/>
      <c r="E309" s="198"/>
      <c r="F309" s="199"/>
      <c r="G309" s="199"/>
      <c r="H309" s="198"/>
      <c r="I309" s="198"/>
      <c r="J309" s="198"/>
      <c r="K309" s="198"/>
      <c r="L309" s="198"/>
      <c r="M309" s="198"/>
      <c r="N309" s="198"/>
      <c r="O309" s="198"/>
      <c r="P309" s="198"/>
      <c r="Q309" s="198"/>
      <c r="R309" s="198"/>
      <c r="S309" s="198"/>
      <c r="T309" s="198"/>
      <c r="U309" s="198"/>
      <c r="V309" s="198"/>
      <c r="W309" s="198"/>
      <c r="X309" s="198"/>
    </row>
    <row r="310">
      <c r="A310" s="198"/>
      <c r="B310" s="199"/>
      <c r="C310" s="198"/>
      <c r="D310" s="198"/>
      <c r="E310" s="198"/>
      <c r="F310" s="199"/>
      <c r="G310" s="199"/>
      <c r="H310" s="198"/>
      <c r="I310" s="198"/>
      <c r="J310" s="198"/>
      <c r="K310" s="198"/>
      <c r="L310" s="198"/>
      <c r="M310" s="198"/>
      <c r="N310" s="198"/>
      <c r="O310" s="198"/>
      <c r="P310" s="198"/>
      <c r="Q310" s="198"/>
      <c r="R310" s="198"/>
      <c r="S310" s="198"/>
      <c r="T310" s="198"/>
      <c r="U310" s="198"/>
      <c r="V310" s="198"/>
      <c r="W310" s="198"/>
      <c r="X310" s="198"/>
    </row>
    <row r="311">
      <c r="A311" s="198"/>
      <c r="B311" s="199"/>
      <c r="C311" s="198"/>
      <c r="D311" s="198"/>
      <c r="E311" s="198"/>
      <c r="F311" s="199"/>
      <c r="G311" s="199"/>
      <c r="H311" s="198"/>
      <c r="I311" s="198"/>
      <c r="J311" s="198"/>
      <c r="K311" s="198"/>
      <c r="L311" s="198"/>
      <c r="M311" s="198"/>
      <c r="N311" s="198"/>
      <c r="O311" s="198"/>
      <c r="P311" s="198"/>
      <c r="Q311" s="198"/>
      <c r="R311" s="198"/>
      <c r="S311" s="198"/>
      <c r="T311" s="198"/>
      <c r="U311" s="198"/>
      <c r="V311" s="198"/>
      <c r="W311" s="198"/>
      <c r="X311" s="198"/>
    </row>
    <row r="312">
      <c r="A312" s="198"/>
      <c r="B312" s="199"/>
      <c r="C312" s="198"/>
      <c r="D312" s="198"/>
      <c r="E312" s="198"/>
      <c r="F312" s="199"/>
      <c r="G312" s="199"/>
      <c r="H312" s="198"/>
      <c r="I312" s="198"/>
      <c r="J312" s="198"/>
      <c r="K312" s="198"/>
      <c r="L312" s="198"/>
      <c r="M312" s="198"/>
      <c r="N312" s="198"/>
      <c r="O312" s="198"/>
      <c r="P312" s="198"/>
      <c r="Q312" s="198"/>
      <c r="R312" s="198"/>
      <c r="S312" s="198"/>
      <c r="T312" s="198"/>
      <c r="U312" s="198"/>
      <c r="V312" s="198"/>
      <c r="W312" s="198"/>
      <c r="X312" s="198"/>
    </row>
    <row r="313">
      <c r="A313" s="198"/>
      <c r="B313" s="199"/>
      <c r="C313" s="198"/>
      <c r="D313" s="198"/>
      <c r="E313" s="198"/>
      <c r="F313" s="199"/>
      <c r="G313" s="199"/>
      <c r="H313" s="198"/>
      <c r="I313" s="198"/>
      <c r="J313" s="198"/>
      <c r="K313" s="198"/>
      <c r="L313" s="198"/>
      <c r="M313" s="198"/>
      <c r="N313" s="198"/>
      <c r="O313" s="198"/>
      <c r="P313" s="198"/>
      <c r="Q313" s="198"/>
      <c r="R313" s="198"/>
      <c r="S313" s="198"/>
      <c r="T313" s="198"/>
      <c r="U313" s="198"/>
      <c r="V313" s="198"/>
      <c r="W313" s="198"/>
      <c r="X313" s="198"/>
    </row>
    <row r="314">
      <c r="A314" s="198"/>
      <c r="B314" s="199"/>
      <c r="C314" s="198"/>
      <c r="D314" s="198"/>
      <c r="E314" s="198"/>
      <c r="F314" s="199"/>
      <c r="G314" s="199"/>
      <c r="H314" s="198"/>
      <c r="I314" s="198"/>
      <c r="J314" s="198"/>
      <c r="K314" s="198"/>
      <c r="L314" s="198"/>
      <c r="M314" s="198"/>
      <c r="N314" s="198"/>
      <c r="O314" s="198"/>
      <c r="P314" s="198"/>
      <c r="Q314" s="198"/>
      <c r="R314" s="198"/>
      <c r="S314" s="198"/>
      <c r="T314" s="198"/>
      <c r="U314" s="198"/>
      <c r="V314" s="198"/>
      <c r="W314" s="198"/>
      <c r="X314" s="198"/>
    </row>
    <row r="315">
      <c r="A315" s="198"/>
      <c r="B315" s="199"/>
      <c r="C315" s="198"/>
      <c r="D315" s="198"/>
      <c r="E315" s="198"/>
      <c r="F315" s="199"/>
      <c r="G315" s="199"/>
      <c r="H315" s="198"/>
      <c r="I315" s="198"/>
      <c r="J315" s="198"/>
      <c r="K315" s="198"/>
      <c r="L315" s="198"/>
      <c r="M315" s="198"/>
      <c r="N315" s="198"/>
      <c r="O315" s="198"/>
      <c r="P315" s="198"/>
      <c r="Q315" s="198"/>
      <c r="R315" s="198"/>
      <c r="S315" s="198"/>
      <c r="T315" s="198"/>
      <c r="U315" s="198"/>
      <c r="V315" s="198"/>
      <c r="W315" s="198"/>
      <c r="X315" s="198"/>
    </row>
    <row r="316">
      <c r="A316" s="198"/>
      <c r="B316" s="199"/>
      <c r="C316" s="198"/>
      <c r="D316" s="198"/>
      <c r="E316" s="198"/>
      <c r="F316" s="199"/>
      <c r="G316" s="199"/>
      <c r="H316" s="198"/>
      <c r="I316" s="198"/>
      <c r="J316" s="198"/>
      <c r="K316" s="198"/>
      <c r="L316" s="198"/>
      <c r="M316" s="198"/>
      <c r="N316" s="198"/>
      <c r="O316" s="198"/>
      <c r="P316" s="198"/>
      <c r="Q316" s="198"/>
      <c r="R316" s="198"/>
      <c r="S316" s="198"/>
      <c r="T316" s="198"/>
      <c r="U316" s="198"/>
      <c r="V316" s="198"/>
      <c r="W316" s="198"/>
      <c r="X316" s="198"/>
    </row>
    <row r="317">
      <c r="A317" s="198"/>
      <c r="B317" s="199"/>
      <c r="C317" s="198"/>
      <c r="D317" s="198"/>
      <c r="E317" s="198"/>
      <c r="F317" s="199"/>
      <c r="G317" s="199"/>
      <c r="H317" s="198"/>
      <c r="I317" s="198"/>
      <c r="J317" s="198"/>
      <c r="K317" s="198"/>
      <c r="L317" s="198"/>
      <c r="M317" s="198"/>
      <c r="N317" s="198"/>
      <c r="O317" s="198"/>
      <c r="P317" s="198"/>
      <c r="Q317" s="198"/>
      <c r="R317" s="198"/>
      <c r="S317" s="198"/>
      <c r="T317" s="198"/>
      <c r="U317" s="198"/>
      <c r="V317" s="198"/>
      <c r="W317" s="198"/>
      <c r="X317" s="198"/>
    </row>
    <row r="318">
      <c r="A318" s="198"/>
      <c r="B318" s="199"/>
      <c r="C318" s="198"/>
      <c r="D318" s="198"/>
      <c r="E318" s="198"/>
      <c r="F318" s="199"/>
      <c r="G318" s="199"/>
      <c r="H318" s="198"/>
      <c r="I318" s="198"/>
      <c r="J318" s="198"/>
      <c r="K318" s="198"/>
      <c r="L318" s="198"/>
      <c r="M318" s="198"/>
      <c r="N318" s="198"/>
      <c r="O318" s="198"/>
      <c r="P318" s="198"/>
      <c r="Q318" s="198"/>
      <c r="R318" s="198"/>
      <c r="S318" s="198"/>
      <c r="T318" s="198"/>
      <c r="U318" s="198"/>
      <c r="V318" s="198"/>
      <c r="W318" s="198"/>
      <c r="X318" s="198"/>
    </row>
    <row r="319">
      <c r="A319" s="198"/>
      <c r="B319" s="199"/>
      <c r="C319" s="198"/>
      <c r="D319" s="198"/>
      <c r="E319" s="198"/>
      <c r="F319" s="199"/>
      <c r="G319" s="199"/>
      <c r="H319" s="198"/>
      <c r="I319" s="198"/>
      <c r="J319" s="198"/>
      <c r="K319" s="198"/>
      <c r="L319" s="198"/>
      <c r="M319" s="198"/>
      <c r="N319" s="198"/>
      <c r="O319" s="198"/>
      <c r="P319" s="198"/>
      <c r="Q319" s="198"/>
      <c r="R319" s="198"/>
      <c r="S319" s="198"/>
      <c r="T319" s="198"/>
      <c r="U319" s="198"/>
      <c r="V319" s="198"/>
      <c r="W319" s="198"/>
      <c r="X319" s="198"/>
    </row>
    <row r="320">
      <c r="A320" s="198"/>
      <c r="B320" s="199"/>
      <c r="C320" s="198"/>
      <c r="D320" s="198"/>
      <c r="E320" s="198"/>
      <c r="F320" s="199"/>
      <c r="G320" s="199"/>
      <c r="H320" s="198"/>
      <c r="I320" s="198"/>
      <c r="J320" s="198"/>
      <c r="K320" s="198"/>
      <c r="L320" s="198"/>
      <c r="M320" s="198"/>
      <c r="N320" s="198"/>
      <c r="O320" s="198"/>
      <c r="P320" s="198"/>
      <c r="Q320" s="198"/>
      <c r="R320" s="198"/>
      <c r="S320" s="198"/>
      <c r="T320" s="198"/>
      <c r="U320" s="198"/>
      <c r="V320" s="198"/>
      <c r="W320" s="198"/>
      <c r="X320" s="198"/>
    </row>
    <row r="321">
      <c r="A321" s="198"/>
      <c r="B321" s="199"/>
      <c r="C321" s="198"/>
      <c r="D321" s="198"/>
      <c r="E321" s="198"/>
      <c r="F321" s="199"/>
      <c r="G321" s="199"/>
      <c r="H321" s="198"/>
      <c r="I321" s="198"/>
      <c r="J321" s="198"/>
      <c r="K321" s="198"/>
      <c r="L321" s="198"/>
      <c r="M321" s="198"/>
      <c r="N321" s="198"/>
      <c r="O321" s="198"/>
      <c r="P321" s="198"/>
      <c r="Q321" s="198"/>
      <c r="R321" s="198"/>
      <c r="S321" s="198"/>
      <c r="T321" s="198"/>
      <c r="U321" s="198"/>
      <c r="V321" s="198"/>
      <c r="W321" s="198"/>
      <c r="X321" s="198"/>
    </row>
    <row r="322">
      <c r="A322" s="198"/>
      <c r="B322" s="199"/>
      <c r="C322" s="198"/>
      <c r="D322" s="198"/>
      <c r="E322" s="198"/>
      <c r="F322" s="199"/>
      <c r="G322" s="199"/>
      <c r="H322" s="198"/>
      <c r="I322" s="198"/>
      <c r="J322" s="198"/>
      <c r="K322" s="198"/>
      <c r="L322" s="198"/>
      <c r="M322" s="198"/>
      <c r="N322" s="198"/>
      <c r="O322" s="198"/>
      <c r="P322" s="198"/>
      <c r="Q322" s="198"/>
      <c r="R322" s="198"/>
      <c r="S322" s="198"/>
      <c r="T322" s="198"/>
      <c r="U322" s="198"/>
      <c r="V322" s="198"/>
      <c r="W322" s="198"/>
      <c r="X322" s="198"/>
    </row>
    <row r="323">
      <c r="A323" s="198"/>
      <c r="B323" s="199"/>
      <c r="C323" s="198"/>
      <c r="D323" s="198"/>
      <c r="E323" s="198"/>
      <c r="F323" s="199"/>
      <c r="G323" s="199"/>
      <c r="H323" s="198"/>
      <c r="I323" s="198"/>
      <c r="J323" s="198"/>
      <c r="K323" s="198"/>
      <c r="L323" s="198"/>
      <c r="M323" s="198"/>
      <c r="N323" s="198"/>
      <c r="O323" s="198"/>
      <c r="P323" s="198"/>
      <c r="Q323" s="198"/>
      <c r="R323" s="198"/>
      <c r="S323" s="198"/>
      <c r="T323" s="198"/>
      <c r="U323" s="198"/>
      <c r="V323" s="198"/>
      <c r="W323" s="198"/>
      <c r="X323" s="198"/>
    </row>
    <row r="324">
      <c r="A324" s="198"/>
      <c r="B324" s="199"/>
      <c r="C324" s="198"/>
      <c r="D324" s="198"/>
      <c r="E324" s="198"/>
      <c r="F324" s="199"/>
      <c r="G324" s="199"/>
      <c r="H324" s="198"/>
      <c r="I324" s="198"/>
      <c r="J324" s="198"/>
      <c r="K324" s="198"/>
      <c r="L324" s="198"/>
      <c r="M324" s="198"/>
      <c r="N324" s="198"/>
      <c r="O324" s="198"/>
      <c r="P324" s="198"/>
      <c r="Q324" s="198"/>
      <c r="R324" s="198"/>
      <c r="S324" s="198"/>
      <c r="T324" s="198"/>
      <c r="U324" s="198"/>
      <c r="V324" s="198"/>
      <c r="W324" s="198"/>
      <c r="X324" s="198"/>
    </row>
    <row r="325">
      <c r="A325" s="198"/>
      <c r="B325" s="199"/>
      <c r="C325" s="198"/>
      <c r="D325" s="198"/>
      <c r="E325" s="198"/>
      <c r="F325" s="199"/>
      <c r="G325" s="199"/>
      <c r="H325" s="198"/>
      <c r="I325" s="198"/>
      <c r="J325" s="198"/>
      <c r="K325" s="198"/>
      <c r="L325" s="198"/>
      <c r="M325" s="198"/>
      <c r="N325" s="198"/>
      <c r="O325" s="198"/>
      <c r="P325" s="198"/>
      <c r="Q325" s="198"/>
      <c r="R325" s="198"/>
      <c r="S325" s="198"/>
      <c r="T325" s="198"/>
      <c r="U325" s="198"/>
      <c r="V325" s="198"/>
      <c r="W325" s="198"/>
      <c r="X325" s="198"/>
    </row>
    <row r="326">
      <c r="A326" s="198"/>
      <c r="B326" s="199"/>
      <c r="C326" s="198"/>
      <c r="D326" s="198"/>
      <c r="E326" s="198"/>
      <c r="F326" s="199"/>
      <c r="G326" s="199"/>
      <c r="H326" s="198"/>
      <c r="I326" s="198"/>
      <c r="J326" s="198"/>
      <c r="K326" s="198"/>
      <c r="L326" s="198"/>
      <c r="M326" s="198"/>
      <c r="N326" s="198"/>
      <c r="O326" s="198"/>
      <c r="P326" s="198"/>
      <c r="Q326" s="198"/>
      <c r="R326" s="198"/>
      <c r="S326" s="198"/>
      <c r="T326" s="198"/>
      <c r="U326" s="198"/>
      <c r="V326" s="198"/>
      <c r="W326" s="198"/>
      <c r="X326" s="198"/>
    </row>
    <row r="327">
      <c r="A327" s="198"/>
      <c r="B327" s="199"/>
      <c r="C327" s="198"/>
      <c r="D327" s="198"/>
      <c r="E327" s="198"/>
      <c r="F327" s="199"/>
      <c r="G327" s="199"/>
      <c r="H327" s="198"/>
      <c r="I327" s="198"/>
      <c r="J327" s="198"/>
      <c r="K327" s="198"/>
      <c r="L327" s="198"/>
      <c r="M327" s="198"/>
      <c r="N327" s="198"/>
      <c r="O327" s="198"/>
      <c r="P327" s="198"/>
      <c r="Q327" s="198"/>
      <c r="R327" s="198"/>
      <c r="S327" s="198"/>
      <c r="T327" s="198"/>
      <c r="U327" s="198"/>
      <c r="V327" s="198"/>
      <c r="W327" s="198"/>
      <c r="X327" s="198"/>
    </row>
    <row r="328">
      <c r="A328" s="198"/>
      <c r="B328" s="199"/>
      <c r="C328" s="198"/>
      <c r="D328" s="198"/>
      <c r="E328" s="198"/>
      <c r="F328" s="199"/>
      <c r="G328" s="199"/>
      <c r="H328" s="198"/>
      <c r="I328" s="198"/>
      <c r="J328" s="198"/>
      <c r="K328" s="198"/>
      <c r="L328" s="198"/>
      <c r="M328" s="198"/>
      <c r="N328" s="198"/>
      <c r="O328" s="198"/>
      <c r="P328" s="198"/>
      <c r="Q328" s="198"/>
      <c r="R328" s="198"/>
      <c r="S328" s="198"/>
      <c r="T328" s="198"/>
      <c r="U328" s="198"/>
      <c r="V328" s="198"/>
      <c r="W328" s="198"/>
      <c r="X328" s="198"/>
    </row>
    <row r="329">
      <c r="A329" s="198"/>
      <c r="B329" s="199"/>
      <c r="C329" s="198"/>
      <c r="D329" s="198"/>
      <c r="E329" s="198"/>
      <c r="F329" s="199"/>
      <c r="G329" s="199"/>
      <c r="H329" s="198"/>
      <c r="I329" s="198"/>
      <c r="J329" s="198"/>
      <c r="K329" s="198"/>
      <c r="L329" s="198"/>
      <c r="M329" s="198"/>
      <c r="N329" s="198"/>
      <c r="O329" s="198"/>
      <c r="P329" s="198"/>
      <c r="Q329" s="198"/>
      <c r="R329" s="198"/>
      <c r="S329" s="198"/>
      <c r="T329" s="198"/>
      <c r="U329" s="198"/>
      <c r="V329" s="198"/>
      <c r="W329" s="198"/>
      <c r="X329" s="198"/>
    </row>
    <row r="330">
      <c r="A330" s="198"/>
      <c r="B330" s="199"/>
      <c r="C330" s="198"/>
      <c r="D330" s="198"/>
      <c r="E330" s="198"/>
      <c r="F330" s="199"/>
      <c r="G330" s="199"/>
      <c r="H330" s="198"/>
      <c r="I330" s="198"/>
      <c r="J330" s="198"/>
      <c r="K330" s="198"/>
      <c r="L330" s="198"/>
      <c r="M330" s="198"/>
      <c r="N330" s="198"/>
      <c r="O330" s="198"/>
      <c r="P330" s="198"/>
      <c r="Q330" s="198"/>
      <c r="R330" s="198"/>
      <c r="S330" s="198"/>
      <c r="T330" s="198"/>
      <c r="U330" s="198"/>
      <c r="V330" s="198"/>
      <c r="W330" s="198"/>
      <c r="X330" s="198"/>
    </row>
    <row r="331">
      <c r="A331" s="198"/>
      <c r="B331" s="199"/>
      <c r="C331" s="198"/>
      <c r="D331" s="198"/>
      <c r="E331" s="198"/>
      <c r="F331" s="199"/>
      <c r="G331" s="199"/>
      <c r="H331" s="198"/>
      <c r="I331" s="198"/>
      <c r="J331" s="198"/>
      <c r="K331" s="198"/>
      <c r="L331" s="198"/>
      <c r="M331" s="198"/>
      <c r="N331" s="198"/>
      <c r="O331" s="198"/>
      <c r="P331" s="198"/>
      <c r="Q331" s="198"/>
      <c r="R331" s="198"/>
      <c r="S331" s="198"/>
      <c r="T331" s="198"/>
      <c r="U331" s="198"/>
      <c r="V331" s="198"/>
      <c r="W331" s="198"/>
      <c r="X331" s="198"/>
    </row>
    <row r="332">
      <c r="A332" s="198"/>
      <c r="B332" s="199"/>
      <c r="C332" s="198"/>
      <c r="D332" s="198"/>
      <c r="E332" s="198"/>
      <c r="F332" s="199"/>
      <c r="G332" s="199"/>
      <c r="H332" s="198"/>
      <c r="I332" s="198"/>
      <c r="J332" s="198"/>
      <c r="K332" s="198"/>
      <c r="L332" s="198"/>
      <c r="M332" s="198"/>
      <c r="N332" s="198"/>
      <c r="O332" s="198"/>
      <c r="P332" s="198"/>
      <c r="Q332" s="198"/>
      <c r="R332" s="198"/>
      <c r="S332" s="198"/>
      <c r="T332" s="198"/>
      <c r="U332" s="198"/>
      <c r="V332" s="198"/>
      <c r="W332" s="198"/>
      <c r="X332" s="198"/>
    </row>
    <row r="333">
      <c r="A333" s="198"/>
      <c r="B333" s="199"/>
      <c r="C333" s="198"/>
      <c r="D333" s="198"/>
      <c r="E333" s="198"/>
      <c r="F333" s="199"/>
      <c r="G333" s="199"/>
      <c r="H333" s="198"/>
      <c r="I333" s="198"/>
      <c r="J333" s="198"/>
      <c r="K333" s="198"/>
      <c r="L333" s="198"/>
      <c r="M333" s="198"/>
      <c r="N333" s="198"/>
      <c r="O333" s="198"/>
      <c r="P333" s="198"/>
      <c r="Q333" s="198"/>
      <c r="R333" s="198"/>
      <c r="S333" s="198"/>
      <c r="T333" s="198"/>
      <c r="U333" s="198"/>
      <c r="V333" s="198"/>
      <c r="W333" s="198"/>
      <c r="X333" s="198"/>
    </row>
    <row r="334">
      <c r="A334" s="198"/>
      <c r="B334" s="199"/>
      <c r="C334" s="198"/>
      <c r="D334" s="198"/>
      <c r="E334" s="198"/>
      <c r="F334" s="199"/>
      <c r="G334" s="199"/>
      <c r="H334" s="198"/>
      <c r="I334" s="198"/>
      <c r="J334" s="198"/>
      <c r="K334" s="198"/>
      <c r="L334" s="198"/>
      <c r="M334" s="198"/>
      <c r="N334" s="198"/>
      <c r="O334" s="198"/>
      <c r="P334" s="198"/>
      <c r="Q334" s="198"/>
      <c r="R334" s="198"/>
      <c r="S334" s="198"/>
      <c r="T334" s="198"/>
      <c r="U334" s="198"/>
      <c r="V334" s="198"/>
      <c r="W334" s="198"/>
      <c r="X334" s="198"/>
    </row>
    <row r="335">
      <c r="A335" s="198"/>
      <c r="B335" s="199"/>
      <c r="C335" s="198"/>
      <c r="D335" s="198"/>
      <c r="E335" s="198"/>
      <c r="F335" s="199"/>
      <c r="G335" s="199"/>
      <c r="H335" s="198"/>
      <c r="I335" s="198"/>
      <c r="J335" s="198"/>
      <c r="K335" s="198"/>
      <c r="L335" s="198"/>
      <c r="M335" s="198"/>
      <c r="N335" s="198"/>
      <c r="O335" s="198"/>
      <c r="P335" s="198"/>
      <c r="Q335" s="198"/>
      <c r="R335" s="198"/>
      <c r="S335" s="198"/>
      <c r="T335" s="198"/>
      <c r="U335" s="198"/>
      <c r="V335" s="198"/>
      <c r="W335" s="198"/>
      <c r="X335" s="198"/>
    </row>
    <row r="336">
      <c r="A336" s="198"/>
      <c r="B336" s="199"/>
      <c r="C336" s="198"/>
      <c r="D336" s="198"/>
      <c r="E336" s="198"/>
      <c r="F336" s="199"/>
      <c r="G336" s="199"/>
      <c r="H336" s="198"/>
      <c r="I336" s="198"/>
      <c r="J336" s="198"/>
      <c r="K336" s="198"/>
      <c r="L336" s="198"/>
      <c r="M336" s="198"/>
      <c r="N336" s="198"/>
      <c r="O336" s="198"/>
      <c r="P336" s="198"/>
      <c r="Q336" s="198"/>
      <c r="R336" s="198"/>
      <c r="S336" s="198"/>
      <c r="T336" s="198"/>
      <c r="U336" s="198"/>
      <c r="V336" s="198"/>
      <c r="W336" s="198"/>
      <c r="X336" s="198"/>
    </row>
    <row r="337">
      <c r="A337" s="198"/>
      <c r="B337" s="199"/>
      <c r="C337" s="198"/>
      <c r="D337" s="198"/>
      <c r="E337" s="198"/>
      <c r="F337" s="199"/>
      <c r="G337" s="199"/>
      <c r="H337" s="198"/>
      <c r="I337" s="198"/>
      <c r="J337" s="198"/>
      <c r="K337" s="198"/>
      <c r="L337" s="198"/>
      <c r="M337" s="198"/>
      <c r="N337" s="198"/>
      <c r="O337" s="198"/>
      <c r="P337" s="198"/>
      <c r="Q337" s="198"/>
      <c r="R337" s="198"/>
      <c r="S337" s="198"/>
      <c r="T337" s="198"/>
      <c r="U337" s="198"/>
      <c r="V337" s="198"/>
      <c r="W337" s="198"/>
      <c r="X337" s="198"/>
    </row>
    <row r="338">
      <c r="A338" s="198"/>
      <c r="B338" s="199"/>
      <c r="C338" s="198"/>
      <c r="D338" s="198"/>
      <c r="E338" s="198"/>
      <c r="F338" s="199"/>
      <c r="G338" s="199"/>
      <c r="H338" s="198"/>
      <c r="I338" s="198"/>
      <c r="J338" s="198"/>
      <c r="K338" s="198"/>
      <c r="L338" s="198"/>
      <c r="M338" s="198"/>
      <c r="N338" s="198"/>
      <c r="O338" s="198"/>
      <c r="P338" s="198"/>
      <c r="Q338" s="198"/>
      <c r="R338" s="198"/>
      <c r="S338" s="198"/>
      <c r="T338" s="198"/>
      <c r="U338" s="198"/>
      <c r="V338" s="198"/>
      <c r="W338" s="198"/>
      <c r="X338" s="198"/>
    </row>
    <row r="339">
      <c r="A339" s="198"/>
      <c r="B339" s="199"/>
      <c r="C339" s="198"/>
      <c r="D339" s="198"/>
      <c r="E339" s="198"/>
      <c r="F339" s="199"/>
      <c r="G339" s="199"/>
      <c r="H339" s="198"/>
      <c r="I339" s="198"/>
      <c r="J339" s="198"/>
      <c r="K339" s="198"/>
      <c r="L339" s="198"/>
      <c r="M339" s="198"/>
      <c r="N339" s="198"/>
      <c r="O339" s="198"/>
      <c r="P339" s="198"/>
      <c r="Q339" s="198"/>
      <c r="R339" s="198"/>
      <c r="S339" s="198"/>
      <c r="T339" s="198"/>
      <c r="U339" s="198"/>
      <c r="V339" s="198"/>
      <c r="W339" s="198"/>
      <c r="X339" s="198"/>
    </row>
    <row r="340">
      <c r="A340" s="198"/>
      <c r="B340" s="199"/>
      <c r="C340" s="198"/>
      <c r="D340" s="198"/>
      <c r="E340" s="198"/>
      <c r="F340" s="199"/>
      <c r="G340" s="199"/>
      <c r="H340" s="198"/>
      <c r="I340" s="198"/>
      <c r="J340" s="198"/>
      <c r="K340" s="198"/>
      <c r="L340" s="198"/>
      <c r="M340" s="198"/>
      <c r="N340" s="198"/>
      <c r="O340" s="198"/>
      <c r="P340" s="198"/>
      <c r="Q340" s="198"/>
      <c r="R340" s="198"/>
      <c r="S340" s="198"/>
      <c r="T340" s="198"/>
      <c r="U340" s="198"/>
      <c r="V340" s="198"/>
      <c r="W340" s="198"/>
      <c r="X340" s="198"/>
    </row>
    <row r="341">
      <c r="A341" s="198"/>
      <c r="B341" s="199"/>
      <c r="C341" s="198"/>
      <c r="D341" s="198"/>
      <c r="E341" s="198"/>
      <c r="F341" s="199"/>
      <c r="G341" s="199"/>
      <c r="H341" s="198"/>
      <c r="I341" s="198"/>
      <c r="J341" s="198"/>
      <c r="K341" s="198"/>
      <c r="L341" s="198"/>
      <c r="M341" s="198"/>
      <c r="N341" s="198"/>
      <c r="O341" s="198"/>
      <c r="P341" s="198"/>
      <c r="Q341" s="198"/>
      <c r="R341" s="198"/>
      <c r="S341" s="198"/>
      <c r="T341" s="198"/>
      <c r="U341" s="198"/>
      <c r="V341" s="198"/>
      <c r="W341" s="198"/>
      <c r="X341" s="198"/>
    </row>
    <row r="342">
      <c r="A342" s="198"/>
      <c r="B342" s="199"/>
      <c r="C342" s="198"/>
      <c r="D342" s="198"/>
      <c r="E342" s="198"/>
      <c r="F342" s="199"/>
      <c r="G342" s="199"/>
      <c r="H342" s="198"/>
      <c r="I342" s="198"/>
      <c r="J342" s="198"/>
      <c r="K342" s="198"/>
      <c r="L342" s="198"/>
      <c r="M342" s="198"/>
      <c r="N342" s="198"/>
      <c r="O342" s="198"/>
      <c r="P342" s="198"/>
      <c r="Q342" s="198"/>
      <c r="R342" s="198"/>
      <c r="S342" s="198"/>
      <c r="T342" s="198"/>
      <c r="U342" s="198"/>
      <c r="V342" s="198"/>
      <c r="W342" s="198"/>
      <c r="X342" s="198"/>
    </row>
    <row r="343">
      <c r="A343" s="198"/>
      <c r="B343" s="199"/>
      <c r="C343" s="198"/>
      <c r="D343" s="198"/>
      <c r="E343" s="198"/>
      <c r="F343" s="199"/>
      <c r="G343" s="199"/>
      <c r="H343" s="198"/>
      <c r="I343" s="198"/>
      <c r="J343" s="198"/>
      <c r="K343" s="198"/>
      <c r="L343" s="198"/>
      <c r="M343" s="198"/>
      <c r="N343" s="198"/>
      <c r="O343" s="198"/>
      <c r="P343" s="198"/>
      <c r="Q343" s="198"/>
      <c r="R343" s="198"/>
      <c r="S343" s="198"/>
      <c r="T343" s="198"/>
      <c r="U343" s="198"/>
      <c r="V343" s="198"/>
      <c r="W343" s="198"/>
      <c r="X343" s="198"/>
    </row>
    <row r="344">
      <c r="A344" s="198"/>
      <c r="B344" s="199"/>
      <c r="C344" s="198"/>
      <c r="D344" s="198"/>
      <c r="E344" s="198"/>
      <c r="F344" s="199"/>
      <c r="G344" s="199"/>
      <c r="H344" s="198"/>
      <c r="I344" s="198"/>
      <c r="J344" s="198"/>
      <c r="K344" s="198"/>
      <c r="L344" s="198"/>
      <c r="M344" s="198"/>
      <c r="N344" s="198"/>
      <c r="O344" s="198"/>
      <c r="P344" s="198"/>
      <c r="Q344" s="198"/>
      <c r="R344" s="198"/>
      <c r="S344" s="198"/>
      <c r="T344" s="198"/>
      <c r="U344" s="198"/>
      <c r="V344" s="198"/>
      <c r="W344" s="198"/>
      <c r="X344" s="198"/>
    </row>
    <row r="345">
      <c r="A345" s="198"/>
      <c r="B345" s="199"/>
      <c r="C345" s="198"/>
      <c r="D345" s="198"/>
      <c r="E345" s="198"/>
      <c r="F345" s="199"/>
      <c r="G345" s="199"/>
      <c r="H345" s="198"/>
      <c r="I345" s="198"/>
      <c r="J345" s="198"/>
      <c r="K345" s="198"/>
      <c r="L345" s="198"/>
      <c r="M345" s="198"/>
      <c r="N345" s="198"/>
      <c r="O345" s="198"/>
      <c r="P345" s="198"/>
      <c r="Q345" s="198"/>
      <c r="R345" s="198"/>
      <c r="S345" s="198"/>
      <c r="T345" s="198"/>
      <c r="U345" s="198"/>
      <c r="V345" s="198"/>
      <c r="W345" s="198"/>
      <c r="X345" s="198"/>
    </row>
    <row r="346">
      <c r="A346" s="198"/>
      <c r="B346" s="199"/>
      <c r="C346" s="198"/>
      <c r="D346" s="198"/>
      <c r="E346" s="198"/>
      <c r="F346" s="199"/>
      <c r="G346" s="199"/>
      <c r="H346" s="198"/>
      <c r="I346" s="198"/>
      <c r="J346" s="198"/>
      <c r="K346" s="198"/>
      <c r="L346" s="198"/>
      <c r="M346" s="198"/>
      <c r="N346" s="198"/>
      <c r="O346" s="198"/>
      <c r="P346" s="198"/>
      <c r="Q346" s="198"/>
      <c r="R346" s="198"/>
      <c r="S346" s="198"/>
      <c r="T346" s="198"/>
      <c r="U346" s="198"/>
      <c r="V346" s="198"/>
      <c r="W346" s="198"/>
      <c r="X346" s="198"/>
    </row>
    <row r="347">
      <c r="A347" s="198"/>
      <c r="B347" s="199"/>
      <c r="C347" s="198"/>
      <c r="D347" s="198"/>
      <c r="E347" s="198"/>
      <c r="F347" s="199"/>
      <c r="G347" s="199"/>
      <c r="H347" s="198"/>
      <c r="I347" s="198"/>
      <c r="J347" s="198"/>
      <c r="K347" s="198"/>
      <c r="L347" s="198"/>
      <c r="M347" s="198"/>
      <c r="N347" s="198"/>
      <c r="O347" s="198"/>
      <c r="P347" s="198"/>
      <c r="Q347" s="198"/>
      <c r="R347" s="198"/>
      <c r="S347" s="198"/>
      <c r="T347" s="198"/>
      <c r="U347" s="198"/>
      <c r="V347" s="198"/>
      <c r="W347" s="198"/>
      <c r="X347" s="198"/>
    </row>
    <row r="348">
      <c r="A348" s="198"/>
      <c r="B348" s="199"/>
      <c r="C348" s="198"/>
      <c r="D348" s="198"/>
      <c r="E348" s="198"/>
      <c r="F348" s="199"/>
      <c r="G348" s="199"/>
      <c r="H348" s="198"/>
      <c r="I348" s="198"/>
      <c r="J348" s="198"/>
      <c r="K348" s="198"/>
      <c r="L348" s="198"/>
      <c r="M348" s="198"/>
      <c r="N348" s="198"/>
      <c r="O348" s="198"/>
      <c r="P348" s="198"/>
      <c r="Q348" s="198"/>
      <c r="R348" s="198"/>
      <c r="S348" s="198"/>
      <c r="T348" s="198"/>
      <c r="U348" s="198"/>
      <c r="V348" s="198"/>
      <c r="W348" s="198"/>
      <c r="X348" s="198"/>
    </row>
    <row r="349">
      <c r="A349" s="198"/>
      <c r="B349" s="199"/>
      <c r="C349" s="198"/>
      <c r="D349" s="198"/>
      <c r="E349" s="198"/>
      <c r="F349" s="199"/>
      <c r="G349" s="199"/>
      <c r="H349" s="198"/>
      <c r="I349" s="198"/>
      <c r="J349" s="198"/>
      <c r="K349" s="198"/>
      <c r="L349" s="198"/>
      <c r="M349" s="198"/>
      <c r="N349" s="198"/>
      <c r="O349" s="198"/>
      <c r="P349" s="198"/>
      <c r="Q349" s="198"/>
      <c r="R349" s="198"/>
      <c r="S349" s="198"/>
      <c r="T349" s="198"/>
      <c r="U349" s="198"/>
      <c r="V349" s="198"/>
      <c r="W349" s="198"/>
      <c r="X349" s="198"/>
    </row>
    <row r="350">
      <c r="A350" s="198"/>
      <c r="B350" s="199"/>
      <c r="C350" s="198"/>
      <c r="D350" s="198"/>
      <c r="E350" s="198"/>
      <c r="F350" s="199"/>
      <c r="G350" s="199"/>
      <c r="H350" s="198"/>
      <c r="I350" s="198"/>
      <c r="J350" s="198"/>
      <c r="K350" s="198"/>
      <c r="L350" s="198"/>
      <c r="M350" s="198"/>
      <c r="N350" s="198"/>
      <c r="O350" s="198"/>
      <c r="P350" s="198"/>
      <c r="Q350" s="198"/>
      <c r="R350" s="198"/>
      <c r="S350" s="198"/>
      <c r="T350" s="198"/>
      <c r="U350" s="198"/>
      <c r="V350" s="198"/>
      <c r="W350" s="198"/>
      <c r="X350" s="198"/>
    </row>
    <row r="351">
      <c r="A351" s="198"/>
      <c r="B351" s="199"/>
      <c r="C351" s="198"/>
      <c r="D351" s="198"/>
      <c r="E351" s="198"/>
      <c r="F351" s="199"/>
      <c r="G351" s="199"/>
      <c r="H351" s="198"/>
      <c r="I351" s="198"/>
      <c r="J351" s="198"/>
      <c r="K351" s="198"/>
      <c r="L351" s="198"/>
      <c r="M351" s="198"/>
      <c r="N351" s="198"/>
      <c r="O351" s="198"/>
      <c r="P351" s="198"/>
      <c r="Q351" s="198"/>
      <c r="R351" s="198"/>
      <c r="S351" s="198"/>
      <c r="T351" s="198"/>
      <c r="U351" s="198"/>
      <c r="V351" s="198"/>
      <c r="W351" s="198"/>
      <c r="X351" s="198"/>
    </row>
    <row r="352">
      <c r="A352" s="198"/>
      <c r="B352" s="199"/>
      <c r="C352" s="198"/>
      <c r="D352" s="198"/>
      <c r="E352" s="198"/>
      <c r="F352" s="199"/>
      <c r="G352" s="199"/>
      <c r="H352" s="198"/>
      <c r="I352" s="198"/>
      <c r="J352" s="198"/>
      <c r="K352" s="198"/>
      <c r="L352" s="198"/>
      <c r="M352" s="198"/>
      <c r="N352" s="198"/>
      <c r="O352" s="198"/>
      <c r="P352" s="198"/>
      <c r="Q352" s="198"/>
      <c r="R352" s="198"/>
      <c r="S352" s="198"/>
      <c r="T352" s="198"/>
      <c r="U352" s="198"/>
      <c r="V352" s="198"/>
      <c r="W352" s="198"/>
      <c r="X352" s="198"/>
    </row>
    <row r="353">
      <c r="A353" s="198"/>
      <c r="B353" s="199"/>
      <c r="C353" s="198"/>
      <c r="D353" s="198"/>
      <c r="E353" s="198"/>
      <c r="F353" s="199"/>
      <c r="G353" s="199"/>
      <c r="H353" s="198"/>
      <c r="I353" s="198"/>
      <c r="J353" s="198"/>
      <c r="K353" s="198"/>
      <c r="L353" s="198"/>
      <c r="M353" s="198"/>
      <c r="N353" s="198"/>
      <c r="O353" s="198"/>
      <c r="P353" s="198"/>
      <c r="Q353" s="198"/>
      <c r="R353" s="198"/>
      <c r="S353" s="198"/>
      <c r="T353" s="198"/>
      <c r="U353" s="198"/>
      <c r="V353" s="198"/>
      <c r="W353" s="198"/>
      <c r="X353" s="198"/>
    </row>
    <row r="354">
      <c r="A354" s="198"/>
      <c r="B354" s="199"/>
      <c r="C354" s="198"/>
      <c r="D354" s="198"/>
      <c r="E354" s="198"/>
      <c r="F354" s="199"/>
      <c r="G354" s="199"/>
      <c r="H354" s="198"/>
      <c r="I354" s="198"/>
      <c r="J354" s="198"/>
      <c r="K354" s="198"/>
      <c r="L354" s="198"/>
      <c r="M354" s="198"/>
      <c r="N354" s="198"/>
      <c r="O354" s="198"/>
      <c r="P354" s="198"/>
      <c r="Q354" s="198"/>
      <c r="R354" s="198"/>
      <c r="S354" s="198"/>
      <c r="T354" s="198"/>
      <c r="U354" s="198"/>
      <c r="V354" s="198"/>
      <c r="W354" s="198"/>
      <c r="X354" s="198"/>
    </row>
    <row r="355">
      <c r="A355" s="198"/>
      <c r="B355" s="199"/>
      <c r="C355" s="198"/>
      <c r="D355" s="198"/>
      <c r="E355" s="198"/>
      <c r="F355" s="199"/>
      <c r="G355" s="199"/>
      <c r="H355" s="198"/>
      <c r="I355" s="198"/>
      <c r="J355" s="198"/>
      <c r="K355" s="198"/>
      <c r="L355" s="198"/>
      <c r="M355" s="198"/>
      <c r="N355" s="198"/>
      <c r="O355" s="198"/>
      <c r="P355" s="198"/>
      <c r="Q355" s="198"/>
      <c r="R355" s="198"/>
      <c r="S355" s="198"/>
      <c r="T355" s="198"/>
      <c r="U355" s="198"/>
      <c r="V355" s="198"/>
      <c r="W355" s="198"/>
      <c r="X355" s="198"/>
    </row>
    <row r="356">
      <c r="A356" s="198"/>
      <c r="B356" s="199"/>
      <c r="C356" s="198"/>
      <c r="D356" s="198"/>
      <c r="E356" s="198"/>
      <c r="F356" s="199"/>
      <c r="G356" s="199"/>
      <c r="H356" s="198"/>
      <c r="I356" s="198"/>
      <c r="J356" s="198"/>
      <c r="K356" s="198"/>
      <c r="L356" s="198"/>
      <c r="M356" s="198"/>
      <c r="N356" s="198"/>
      <c r="O356" s="198"/>
      <c r="P356" s="198"/>
      <c r="Q356" s="198"/>
      <c r="R356" s="198"/>
      <c r="S356" s="198"/>
      <c r="T356" s="198"/>
      <c r="U356" s="198"/>
      <c r="V356" s="198"/>
      <c r="W356" s="198"/>
      <c r="X356" s="198"/>
    </row>
    <row r="357">
      <c r="A357" s="198"/>
      <c r="B357" s="199"/>
      <c r="C357" s="198"/>
      <c r="D357" s="198"/>
      <c r="E357" s="198"/>
      <c r="F357" s="199"/>
      <c r="G357" s="199"/>
      <c r="H357" s="198"/>
      <c r="I357" s="198"/>
      <c r="J357" s="198"/>
      <c r="K357" s="198"/>
      <c r="L357" s="198"/>
      <c r="M357" s="198"/>
      <c r="N357" s="198"/>
      <c r="O357" s="198"/>
      <c r="P357" s="198"/>
      <c r="Q357" s="198"/>
      <c r="R357" s="198"/>
      <c r="S357" s="198"/>
      <c r="T357" s="198"/>
      <c r="U357" s="198"/>
      <c r="V357" s="198"/>
      <c r="W357" s="198"/>
      <c r="X357" s="198"/>
    </row>
    <row r="358">
      <c r="A358" s="198"/>
      <c r="B358" s="199"/>
      <c r="C358" s="198"/>
      <c r="D358" s="198"/>
      <c r="E358" s="198"/>
      <c r="F358" s="199"/>
      <c r="G358" s="199"/>
      <c r="H358" s="198"/>
      <c r="I358" s="198"/>
      <c r="J358" s="198"/>
      <c r="K358" s="198"/>
      <c r="L358" s="198"/>
      <c r="M358" s="198"/>
      <c r="N358" s="198"/>
      <c r="O358" s="198"/>
      <c r="P358" s="198"/>
      <c r="Q358" s="198"/>
      <c r="R358" s="198"/>
      <c r="S358" s="198"/>
      <c r="T358" s="198"/>
      <c r="U358" s="198"/>
      <c r="V358" s="198"/>
      <c r="W358" s="198"/>
      <c r="X358" s="198"/>
    </row>
    <row r="359">
      <c r="A359" s="198"/>
      <c r="B359" s="199"/>
      <c r="C359" s="198"/>
      <c r="D359" s="198"/>
      <c r="E359" s="198"/>
      <c r="F359" s="199"/>
      <c r="G359" s="199"/>
      <c r="H359" s="198"/>
      <c r="I359" s="198"/>
      <c r="J359" s="198"/>
      <c r="K359" s="198"/>
      <c r="L359" s="198"/>
      <c r="M359" s="198"/>
      <c r="N359" s="198"/>
      <c r="O359" s="198"/>
      <c r="P359" s="198"/>
      <c r="Q359" s="198"/>
      <c r="R359" s="198"/>
      <c r="S359" s="198"/>
      <c r="T359" s="198"/>
      <c r="U359" s="198"/>
      <c r="V359" s="198"/>
      <c r="W359" s="198"/>
      <c r="X359" s="198"/>
    </row>
    <row r="360">
      <c r="A360" s="198"/>
      <c r="B360" s="199"/>
      <c r="C360" s="198"/>
      <c r="D360" s="198"/>
      <c r="E360" s="198"/>
      <c r="F360" s="199"/>
      <c r="G360" s="199"/>
      <c r="H360" s="198"/>
      <c r="I360" s="198"/>
      <c r="J360" s="198"/>
      <c r="K360" s="198"/>
      <c r="L360" s="198"/>
      <c r="M360" s="198"/>
      <c r="N360" s="198"/>
      <c r="O360" s="198"/>
      <c r="P360" s="198"/>
      <c r="Q360" s="198"/>
      <c r="R360" s="198"/>
      <c r="S360" s="198"/>
      <c r="T360" s="198"/>
      <c r="U360" s="198"/>
      <c r="V360" s="198"/>
      <c r="W360" s="198"/>
      <c r="X360" s="198"/>
    </row>
    <row r="361">
      <c r="A361" s="198"/>
      <c r="B361" s="199"/>
      <c r="C361" s="198"/>
      <c r="D361" s="198"/>
      <c r="E361" s="198"/>
      <c r="F361" s="199"/>
      <c r="G361" s="199"/>
      <c r="H361" s="198"/>
      <c r="I361" s="198"/>
      <c r="J361" s="198"/>
      <c r="K361" s="198"/>
      <c r="L361" s="198"/>
      <c r="M361" s="198"/>
      <c r="N361" s="198"/>
      <c r="O361" s="198"/>
      <c r="P361" s="198"/>
      <c r="Q361" s="198"/>
      <c r="R361" s="198"/>
      <c r="S361" s="198"/>
      <c r="T361" s="198"/>
      <c r="U361" s="198"/>
      <c r="V361" s="198"/>
      <c r="W361" s="198"/>
      <c r="X361" s="198"/>
    </row>
    <row r="362">
      <c r="A362" s="198"/>
      <c r="B362" s="199"/>
      <c r="C362" s="198"/>
      <c r="D362" s="198"/>
      <c r="E362" s="198"/>
      <c r="F362" s="199"/>
      <c r="G362" s="199"/>
      <c r="H362" s="198"/>
      <c r="I362" s="198"/>
      <c r="J362" s="198"/>
      <c r="K362" s="198"/>
      <c r="L362" s="198"/>
      <c r="M362" s="198"/>
      <c r="N362" s="198"/>
      <c r="O362" s="198"/>
      <c r="P362" s="198"/>
      <c r="Q362" s="198"/>
      <c r="R362" s="198"/>
      <c r="S362" s="198"/>
      <c r="T362" s="198"/>
      <c r="U362" s="198"/>
      <c r="V362" s="198"/>
      <c r="W362" s="198"/>
      <c r="X362" s="198"/>
    </row>
    <row r="363">
      <c r="A363" s="198"/>
      <c r="B363" s="199"/>
      <c r="C363" s="198"/>
      <c r="D363" s="198"/>
      <c r="E363" s="198"/>
      <c r="F363" s="199"/>
      <c r="G363" s="199"/>
      <c r="H363" s="198"/>
      <c r="I363" s="198"/>
      <c r="J363" s="198"/>
      <c r="K363" s="198"/>
      <c r="L363" s="198"/>
      <c r="M363" s="198"/>
      <c r="N363" s="198"/>
      <c r="O363" s="198"/>
      <c r="P363" s="198"/>
      <c r="Q363" s="198"/>
      <c r="R363" s="198"/>
      <c r="S363" s="198"/>
      <c r="T363" s="198"/>
      <c r="U363" s="198"/>
      <c r="V363" s="198"/>
      <c r="W363" s="198"/>
      <c r="X363" s="198"/>
    </row>
    <row r="364">
      <c r="A364" s="198"/>
      <c r="B364" s="199"/>
      <c r="C364" s="198"/>
      <c r="D364" s="198"/>
      <c r="E364" s="198"/>
      <c r="F364" s="199"/>
      <c r="G364" s="199"/>
      <c r="H364" s="198"/>
      <c r="I364" s="198"/>
      <c r="J364" s="198"/>
      <c r="K364" s="198"/>
      <c r="L364" s="198"/>
      <c r="M364" s="198"/>
      <c r="N364" s="198"/>
      <c r="O364" s="198"/>
      <c r="P364" s="198"/>
      <c r="Q364" s="198"/>
      <c r="R364" s="198"/>
      <c r="S364" s="198"/>
      <c r="T364" s="198"/>
      <c r="U364" s="198"/>
      <c r="V364" s="198"/>
      <c r="W364" s="198"/>
      <c r="X364" s="198"/>
    </row>
    <row r="365">
      <c r="A365" s="198"/>
      <c r="B365" s="199"/>
      <c r="C365" s="198"/>
      <c r="D365" s="198"/>
      <c r="E365" s="198"/>
      <c r="F365" s="199"/>
      <c r="G365" s="199"/>
      <c r="H365" s="198"/>
      <c r="I365" s="198"/>
      <c r="J365" s="198"/>
      <c r="K365" s="198"/>
      <c r="L365" s="198"/>
      <c r="M365" s="198"/>
      <c r="N365" s="198"/>
      <c r="O365" s="198"/>
      <c r="P365" s="198"/>
      <c r="Q365" s="198"/>
      <c r="R365" s="198"/>
      <c r="S365" s="198"/>
      <c r="T365" s="198"/>
      <c r="U365" s="198"/>
      <c r="V365" s="198"/>
      <c r="W365" s="198"/>
      <c r="X365" s="198"/>
    </row>
    <row r="366">
      <c r="A366" s="198"/>
      <c r="B366" s="199"/>
      <c r="C366" s="198"/>
      <c r="D366" s="198"/>
      <c r="E366" s="198"/>
      <c r="F366" s="199"/>
      <c r="G366" s="199"/>
      <c r="H366" s="198"/>
      <c r="I366" s="198"/>
      <c r="J366" s="198"/>
      <c r="K366" s="198"/>
      <c r="L366" s="198"/>
      <c r="M366" s="198"/>
      <c r="N366" s="198"/>
      <c r="O366" s="198"/>
      <c r="P366" s="198"/>
      <c r="Q366" s="198"/>
      <c r="R366" s="198"/>
      <c r="S366" s="198"/>
      <c r="T366" s="198"/>
      <c r="U366" s="198"/>
      <c r="V366" s="198"/>
      <c r="W366" s="198"/>
      <c r="X366" s="198"/>
    </row>
    <row r="367">
      <c r="A367" s="198"/>
      <c r="B367" s="199"/>
      <c r="C367" s="198"/>
      <c r="D367" s="198"/>
      <c r="E367" s="198"/>
      <c r="F367" s="199"/>
      <c r="G367" s="199"/>
      <c r="H367" s="198"/>
      <c r="I367" s="198"/>
      <c r="J367" s="198"/>
      <c r="K367" s="198"/>
      <c r="L367" s="198"/>
      <c r="M367" s="198"/>
      <c r="N367" s="198"/>
      <c r="O367" s="198"/>
      <c r="P367" s="198"/>
      <c r="Q367" s="198"/>
      <c r="R367" s="198"/>
      <c r="S367" s="198"/>
      <c r="T367" s="198"/>
      <c r="U367" s="198"/>
      <c r="V367" s="198"/>
      <c r="W367" s="198"/>
      <c r="X367" s="198"/>
    </row>
    <row r="368">
      <c r="A368" s="198"/>
      <c r="B368" s="199"/>
      <c r="C368" s="198"/>
      <c r="D368" s="198"/>
      <c r="E368" s="198"/>
      <c r="F368" s="199"/>
      <c r="G368" s="199"/>
      <c r="H368" s="198"/>
      <c r="I368" s="198"/>
      <c r="J368" s="198"/>
      <c r="K368" s="198"/>
      <c r="L368" s="198"/>
      <c r="M368" s="198"/>
      <c r="N368" s="198"/>
      <c r="O368" s="198"/>
      <c r="P368" s="198"/>
      <c r="Q368" s="198"/>
      <c r="R368" s="198"/>
      <c r="S368" s="198"/>
      <c r="T368" s="198"/>
      <c r="U368" s="198"/>
      <c r="V368" s="198"/>
      <c r="W368" s="198"/>
      <c r="X368" s="198"/>
    </row>
    <row r="369">
      <c r="A369" s="198"/>
      <c r="B369" s="199"/>
      <c r="C369" s="198"/>
      <c r="D369" s="198"/>
      <c r="E369" s="198"/>
      <c r="F369" s="199"/>
      <c r="G369" s="199"/>
      <c r="H369" s="198"/>
      <c r="I369" s="198"/>
      <c r="J369" s="198"/>
      <c r="K369" s="198"/>
      <c r="L369" s="198"/>
      <c r="M369" s="198"/>
      <c r="N369" s="198"/>
      <c r="O369" s="198"/>
      <c r="P369" s="198"/>
      <c r="Q369" s="198"/>
      <c r="R369" s="198"/>
      <c r="S369" s="198"/>
      <c r="T369" s="198"/>
      <c r="U369" s="198"/>
      <c r="V369" s="198"/>
      <c r="W369" s="198"/>
      <c r="X369" s="198"/>
    </row>
    <row r="370">
      <c r="A370" s="198"/>
      <c r="B370" s="199"/>
      <c r="C370" s="198"/>
      <c r="D370" s="198"/>
      <c r="E370" s="198"/>
      <c r="F370" s="199"/>
      <c r="G370" s="199"/>
      <c r="H370" s="198"/>
      <c r="I370" s="198"/>
      <c r="J370" s="198"/>
      <c r="K370" s="198"/>
      <c r="L370" s="198"/>
      <c r="M370" s="198"/>
      <c r="N370" s="198"/>
      <c r="O370" s="198"/>
      <c r="P370" s="198"/>
      <c r="Q370" s="198"/>
      <c r="R370" s="198"/>
      <c r="S370" s="198"/>
      <c r="T370" s="198"/>
      <c r="U370" s="198"/>
      <c r="V370" s="198"/>
      <c r="W370" s="198"/>
      <c r="X370" s="198"/>
    </row>
    <row r="371">
      <c r="A371" s="198"/>
      <c r="B371" s="199"/>
      <c r="C371" s="198"/>
      <c r="D371" s="198"/>
      <c r="E371" s="198"/>
      <c r="F371" s="199"/>
      <c r="G371" s="199"/>
      <c r="H371" s="198"/>
      <c r="I371" s="198"/>
      <c r="J371" s="198"/>
      <c r="K371" s="198"/>
      <c r="L371" s="198"/>
      <c r="M371" s="198"/>
      <c r="N371" s="198"/>
      <c r="O371" s="198"/>
      <c r="P371" s="198"/>
      <c r="Q371" s="198"/>
      <c r="R371" s="198"/>
      <c r="S371" s="198"/>
      <c r="T371" s="198"/>
      <c r="U371" s="198"/>
      <c r="V371" s="198"/>
      <c r="W371" s="198"/>
      <c r="X371" s="198"/>
    </row>
    <row r="372">
      <c r="A372" s="198"/>
      <c r="B372" s="199"/>
      <c r="C372" s="198"/>
      <c r="D372" s="198"/>
      <c r="E372" s="198"/>
      <c r="F372" s="199"/>
      <c r="G372" s="199"/>
      <c r="H372" s="198"/>
      <c r="I372" s="198"/>
      <c r="J372" s="198"/>
      <c r="K372" s="198"/>
      <c r="L372" s="198"/>
      <c r="M372" s="198"/>
      <c r="N372" s="198"/>
      <c r="O372" s="198"/>
      <c r="P372" s="198"/>
      <c r="Q372" s="198"/>
      <c r="R372" s="198"/>
      <c r="S372" s="198"/>
      <c r="T372" s="198"/>
      <c r="U372" s="198"/>
      <c r="V372" s="198"/>
      <c r="W372" s="198"/>
      <c r="X372" s="198"/>
    </row>
    <row r="373">
      <c r="A373" s="198"/>
      <c r="B373" s="199"/>
      <c r="C373" s="198"/>
      <c r="D373" s="198"/>
      <c r="E373" s="198"/>
      <c r="F373" s="199"/>
      <c r="G373" s="199"/>
      <c r="H373" s="198"/>
      <c r="I373" s="198"/>
      <c r="J373" s="198"/>
      <c r="K373" s="198"/>
      <c r="L373" s="198"/>
      <c r="M373" s="198"/>
      <c r="N373" s="198"/>
      <c r="O373" s="198"/>
      <c r="P373" s="198"/>
      <c r="Q373" s="198"/>
      <c r="R373" s="198"/>
      <c r="S373" s="198"/>
      <c r="T373" s="198"/>
      <c r="U373" s="198"/>
      <c r="V373" s="198"/>
      <c r="W373" s="198"/>
      <c r="X373" s="198"/>
    </row>
    <row r="374">
      <c r="A374" s="198"/>
      <c r="B374" s="199"/>
      <c r="C374" s="198"/>
      <c r="D374" s="198"/>
      <c r="E374" s="198"/>
      <c r="F374" s="199"/>
      <c r="G374" s="199"/>
      <c r="H374" s="198"/>
      <c r="I374" s="198"/>
      <c r="J374" s="198"/>
      <c r="K374" s="198"/>
      <c r="L374" s="198"/>
      <c r="M374" s="198"/>
      <c r="N374" s="198"/>
      <c r="O374" s="198"/>
      <c r="P374" s="198"/>
      <c r="Q374" s="198"/>
      <c r="R374" s="198"/>
      <c r="S374" s="198"/>
      <c r="T374" s="198"/>
      <c r="U374" s="198"/>
      <c r="V374" s="198"/>
      <c r="W374" s="198"/>
      <c r="X374" s="198"/>
    </row>
    <row r="375">
      <c r="A375" s="198"/>
      <c r="B375" s="199"/>
      <c r="C375" s="198"/>
      <c r="D375" s="198"/>
      <c r="E375" s="198"/>
      <c r="F375" s="199"/>
      <c r="G375" s="199"/>
      <c r="H375" s="198"/>
      <c r="I375" s="198"/>
      <c r="J375" s="198"/>
      <c r="K375" s="198"/>
      <c r="L375" s="198"/>
      <c r="M375" s="198"/>
      <c r="N375" s="198"/>
      <c r="O375" s="198"/>
      <c r="P375" s="198"/>
      <c r="Q375" s="198"/>
      <c r="R375" s="198"/>
      <c r="S375" s="198"/>
      <c r="T375" s="198"/>
      <c r="U375" s="198"/>
      <c r="V375" s="198"/>
      <c r="W375" s="198"/>
      <c r="X375" s="198"/>
    </row>
    <row r="376">
      <c r="A376" s="198"/>
      <c r="B376" s="199"/>
      <c r="C376" s="198"/>
      <c r="D376" s="198"/>
      <c r="E376" s="198"/>
      <c r="F376" s="199"/>
      <c r="G376" s="199"/>
      <c r="H376" s="198"/>
      <c r="I376" s="198"/>
      <c r="J376" s="198"/>
      <c r="K376" s="198"/>
      <c r="L376" s="198"/>
      <c r="M376" s="198"/>
      <c r="N376" s="198"/>
      <c r="O376" s="198"/>
      <c r="P376" s="198"/>
      <c r="Q376" s="198"/>
      <c r="R376" s="198"/>
      <c r="S376" s="198"/>
      <c r="T376" s="198"/>
      <c r="U376" s="198"/>
      <c r="V376" s="198"/>
      <c r="W376" s="198"/>
      <c r="X376" s="198"/>
    </row>
    <row r="377">
      <c r="A377" s="198"/>
      <c r="B377" s="199"/>
      <c r="C377" s="198"/>
      <c r="D377" s="198"/>
      <c r="E377" s="198"/>
      <c r="F377" s="199"/>
      <c r="G377" s="199"/>
      <c r="H377" s="198"/>
      <c r="I377" s="198"/>
      <c r="J377" s="198"/>
      <c r="K377" s="198"/>
      <c r="L377" s="198"/>
      <c r="M377" s="198"/>
      <c r="N377" s="198"/>
      <c r="O377" s="198"/>
      <c r="P377" s="198"/>
      <c r="Q377" s="198"/>
      <c r="R377" s="198"/>
      <c r="S377" s="198"/>
      <c r="T377" s="198"/>
      <c r="U377" s="198"/>
      <c r="V377" s="198"/>
      <c r="W377" s="198"/>
      <c r="X377" s="198"/>
    </row>
    <row r="378">
      <c r="A378" s="198"/>
      <c r="B378" s="199"/>
      <c r="C378" s="198"/>
      <c r="D378" s="198"/>
      <c r="E378" s="198"/>
      <c r="F378" s="199"/>
      <c r="G378" s="199"/>
      <c r="H378" s="198"/>
      <c r="I378" s="198"/>
      <c r="J378" s="198"/>
      <c r="K378" s="198"/>
      <c r="L378" s="198"/>
      <c r="M378" s="198"/>
      <c r="N378" s="198"/>
      <c r="O378" s="198"/>
      <c r="P378" s="198"/>
      <c r="Q378" s="198"/>
      <c r="R378" s="198"/>
      <c r="S378" s="198"/>
      <c r="T378" s="198"/>
      <c r="U378" s="198"/>
      <c r="V378" s="198"/>
      <c r="W378" s="198"/>
      <c r="X378" s="198"/>
    </row>
    <row r="379">
      <c r="A379" s="198"/>
      <c r="B379" s="199"/>
      <c r="C379" s="198"/>
      <c r="D379" s="198"/>
      <c r="E379" s="198"/>
      <c r="F379" s="199"/>
      <c r="G379" s="199"/>
      <c r="H379" s="198"/>
      <c r="I379" s="198"/>
      <c r="J379" s="198"/>
      <c r="K379" s="198"/>
      <c r="L379" s="198"/>
      <c r="M379" s="198"/>
      <c r="N379" s="198"/>
      <c r="O379" s="198"/>
      <c r="P379" s="198"/>
      <c r="Q379" s="198"/>
      <c r="R379" s="198"/>
      <c r="S379" s="198"/>
      <c r="T379" s="198"/>
      <c r="U379" s="198"/>
      <c r="V379" s="198"/>
      <c r="W379" s="198"/>
      <c r="X379" s="198"/>
    </row>
    <row r="380">
      <c r="A380" s="198"/>
      <c r="B380" s="199"/>
      <c r="C380" s="198"/>
      <c r="D380" s="198"/>
      <c r="E380" s="198"/>
      <c r="F380" s="199"/>
      <c r="G380" s="199"/>
      <c r="H380" s="198"/>
      <c r="I380" s="198"/>
      <c r="J380" s="198"/>
      <c r="K380" s="198"/>
      <c r="L380" s="198"/>
      <c r="M380" s="198"/>
      <c r="N380" s="198"/>
      <c r="O380" s="198"/>
      <c r="P380" s="198"/>
      <c r="Q380" s="198"/>
      <c r="R380" s="198"/>
      <c r="S380" s="198"/>
      <c r="T380" s="198"/>
      <c r="U380" s="198"/>
      <c r="V380" s="198"/>
      <c r="W380" s="198"/>
      <c r="X380" s="198"/>
    </row>
    <row r="381">
      <c r="A381" s="198"/>
      <c r="B381" s="199"/>
      <c r="C381" s="198"/>
      <c r="D381" s="198"/>
      <c r="E381" s="198"/>
      <c r="F381" s="199"/>
      <c r="G381" s="199"/>
      <c r="H381" s="198"/>
      <c r="I381" s="198"/>
      <c r="J381" s="198"/>
      <c r="K381" s="198"/>
      <c r="L381" s="198"/>
      <c r="M381" s="198"/>
      <c r="N381" s="198"/>
      <c r="O381" s="198"/>
      <c r="P381" s="198"/>
      <c r="Q381" s="198"/>
      <c r="R381" s="198"/>
      <c r="S381" s="198"/>
      <c r="T381" s="198"/>
      <c r="U381" s="198"/>
      <c r="V381" s="198"/>
      <c r="W381" s="198"/>
      <c r="X381" s="198"/>
    </row>
    <row r="382">
      <c r="A382" s="198"/>
      <c r="B382" s="199"/>
      <c r="C382" s="198"/>
      <c r="D382" s="198"/>
      <c r="E382" s="198"/>
      <c r="F382" s="199"/>
      <c r="G382" s="199"/>
      <c r="H382" s="198"/>
      <c r="I382" s="198"/>
      <c r="J382" s="198"/>
      <c r="K382" s="198"/>
      <c r="L382" s="198"/>
      <c r="M382" s="198"/>
      <c r="N382" s="198"/>
      <c r="O382" s="198"/>
      <c r="P382" s="198"/>
      <c r="Q382" s="198"/>
      <c r="R382" s="198"/>
      <c r="S382" s="198"/>
      <c r="T382" s="198"/>
      <c r="U382" s="198"/>
      <c r="V382" s="198"/>
      <c r="W382" s="198"/>
      <c r="X382" s="198"/>
    </row>
    <row r="383">
      <c r="A383" s="198"/>
      <c r="B383" s="199"/>
      <c r="C383" s="198"/>
      <c r="D383" s="198"/>
      <c r="E383" s="198"/>
      <c r="F383" s="199"/>
      <c r="G383" s="199"/>
      <c r="H383" s="198"/>
      <c r="I383" s="198"/>
      <c r="J383" s="198"/>
      <c r="K383" s="198"/>
      <c r="L383" s="198"/>
      <c r="M383" s="198"/>
      <c r="N383" s="198"/>
      <c r="O383" s="198"/>
      <c r="P383" s="198"/>
      <c r="Q383" s="198"/>
      <c r="R383" s="198"/>
      <c r="S383" s="198"/>
      <c r="T383" s="198"/>
      <c r="U383" s="198"/>
      <c r="V383" s="198"/>
      <c r="W383" s="198"/>
      <c r="X383" s="198"/>
    </row>
    <row r="384">
      <c r="A384" s="198"/>
      <c r="B384" s="199"/>
      <c r="C384" s="198"/>
      <c r="D384" s="198"/>
      <c r="E384" s="198"/>
      <c r="F384" s="199"/>
      <c r="G384" s="199"/>
      <c r="H384" s="198"/>
      <c r="I384" s="198"/>
      <c r="J384" s="198"/>
      <c r="K384" s="198"/>
      <c r="L384" s="198"/>
      <c r="M384" s="198"/>
      <c r="N384" s="198"/>
      <c r="O384" s="198"/>
      <c r="P384" s="198"/>
      <c r="Q384" s="198"/>
      <c r="R384" s="198"/>
      <c r="S384" s="198"/>
      <c r="T384" s="198"/>
      <c r="U384" s="198"/>
      <c r="V384" s="198"/>
      <c r="W384" s="198"/>
      <c r="X384" s="198"/>
    </row>
    <row r="385">
      <c r="A385" s="198"/>
      <c r="B385" s="199"/>
      <c r="C385" s="198"/>
      <c r="D385" s="198"/>
      <c r="E385" s="198"/>
      <c r="F385" s="199"/>
      <c r="G385" s="199"/>
      <c r="H385" s="198"/>
      <c r="I385" s="198"/>
      <c r="J385" s="198"/>
      <c r="K385" s="198"/>
      <c r="L385" s="198"/>
      <c r="M385" s="198"/>
      <c r="N385" s="198"/>
      <c r="O385" s="198"/>
      <c r="P385" s="198"/>
      <c r="Q385" s="198"/>
      <c r="R385" s="198"/>
      <c r="S385" s="198"/>
      <c r="T385" s="198"/>
      <c r="U385" s="198"/>
      <c r="V385" s="198"/>
      <c r="W385" s="198"/>
      <c r="X385" s="198"/>
    </row>
    <row r="386">
      <c r="A386" s="198"/>
      <c r="B386" s="199"/>
      <c r="C386" s="198"/>
      <c r="D386" s="198"/>
      <c r="E386" s="198"/>
      <c r="F386" s="199"/>
      <c r="G386" s="199"/>
      <c r="H386" s="198"/>
      <c r="I386" s="198"/>
      <c r="J386" s="198"/>
      <c r="K386" s="198"/>
      <c r="L386" s="198"/>
      <c r="M386" s="198"/>
      <c r="N386" s="198"/>
      <c r="O386" s="198"/>
      <c r="P386" s="198"/>
      <c r="Q386" s="198"/>
      <c r="R386" s="198"/>
      <c r="S386" s="198"/>
      <c r="T386" s="198"/>
      <c r="U386" s="198"/>
      <c r="V386" s="198"/>
      <c r="W386" s="198"/>
      <c r="X386" s="198"/>
    </row>
    <row r="387">
      <c r="A387" s="198"/>
      <c r="B387" s="199"/>
      <c r="C387" s="198"/>
      <c r="D387" s="198"/>
      <c r="E387" s="198"/>
      <c r="F387" s="199"/>
      <c r="G387" s="199"/>
      <c r="H387" s="198"/>
      <c r="I387" s="198"/>
      <c r="J387" s="198"/>
      <c r="K387" s="198"/>
      <c r="L387" s="198"/>
      <c r="M387" s="198"/>
      <c r="N387" s="198"/>
      <c r="O387" s="198"/>
      <c r="P387" s="198"/>
      <c r="Q387" s="198"/>
      <c r="R387" s="198"/>
      <c r="S387" s="198"/>
      <c r="T387" s="198"/>
      <c r="U387" s="198"/>
      <c r="V387" s="198"/>
      <c r="W387" s="198"/>
      <c r="X387" s="198"/>
    </row>
    <row r="388">
      <c r="A388" s="198"/>
      <c r="B388" s="199"/>
      <c r="C388" s="198"/>
      <c r="D388" s="198"/>
      <c r="E388" s="198"/>
      <c r="F388" s="199"/>
      <c r="G388" s="199"/>
      <c r="H388" s="198"/>
      <c r="I388" s="198"/>
      <c r="J388" s="198"/>
      <c r="K388" s="198"/>
      <c r="L388" s="198"/>
      <c r="M388" s="198"/>
      <c r="N388" s="198"/>
      <c r="O388" s="198"/>
      <c r="P388" s="198"/>
      <c r="Q388" s="198"/>
      <c r="R388" s="198"/>
      <c r="S388" s="198"/>
      <c r="T388" s="198"/>
      <c r="U388" s="198"/>
      <c r="V388" s="198"/>
      <c r="W388" s="198"/>
      <c r="X388" s="198"/>
    </row>
    <row r="389">
      <c r="A389" s="198"/>
      <c r="B389" s="199"/>
      <c r="C389" s="198"/>
      <c r="D389" s="198"/>
      <c r="E389" s="198"/>
      <c r="F389" s="199"/>
      <c r="G389" s="199"/>
      <c r="H389" s="198"/>
      <c r="I389" s="198"/>
      <c r="J389" s="198"/>
      <c r="K389" s="198"/>
      <c r="L389" s="198"/>
      <c r="M389" s="198"/>
      <c r="N389" s="198"/>
      <c r="O389" s="198"/>
      <c r="P389" s="198"/>
      <c r="Q389" s="198"/>
      <c r="R389" s="198"/>
      <c r="S389" s="198"/>
      <c r="T389" s="198"/>
      <c r="U389" s="198"/>
      <c r="V389" s="198"/>
      <c r="W389" s="198"/>
      <c r="X389" s="198"/>
    </row>
    <row r="390">
      <c r="A390" s="198"/>
      <c r="B390" s="199"/>
      <c r="C390" s="198"/>
      <c r="D390" s="198"/>
      <c r="E390" s="198"/>
      <c r="F390" s="199"/>
      <c r="G390" s="199"/>
      <c r="H390" s="198"/>
      <c r="I390" s="198"/>
      <c r="J390" s="198"/>
      <c r="K390" s="198"/>
      <c r="L390" s="198"/>
      <c r="M390" s="198"/>
      <c r="N390" s="198"/>
      <c r="O390" s="198"/>
      <c r="P390" s="198"/>
      <c r="Q390" s="198"/>
      <c r="R390" s="198"/>
      <c r="S390" s="198"/>
      <c r="T390" s="198"/>
      <c r="U390" s="198"/>
      <c r="V390" s="198"/>
      <c r="W390" s="198"/>
      <c r="X390" s="198"/>
    </row>
    <row r="391">
      <c r="A391" s="198"/>
      <c r="B391" s="199"/>
      <c r="C391" s="198"/>
      <c r="D391" s="198"/>
      <c r="E391" s="198"/>
      <c r="F391" s="199"/>
      <c r="G391" s="199"/>
      <c r="H391" s="198"/>
      <c r="I391" s="198"/>
      <c r="J391" s="198"/>
      <c r="K391" s="198"/>
      <c r="L391" s="198"/>
      <c r="M391" s="198"/>
      <c r="N391" s="198"/>
      <c r="O391" s="198"/>
      <c r="P391" s="198"/>
      <c r="Q391" s="198"/>
      <c r="R391" s="198"/>
      <c r="S391" s="198"/>
      <c r="T391" s="198"/>
      <c r="U391" s="198"/>
      <c r="V391" s="198"/>
      <c r="W391" s="198"/>
      <c r="X391" s="198"/>
    </row>
    <row r="392">
      <c r="A392" s="198"/>
      <c r="B392" s="199"/>
      <c r="C392" s="198"/>
      <c r="D392" s="198"/>
      <c r="E392" s="198"/>
      <c r="F392" s="199"/>
      <c r="G392" s="199"/>
      <c r="H392" s="198"/>
      <c r="I392" s="198"/>
      <c r="J392" s="198"/>
      <c r="K392" s="198"/>
      <c r="L392" s="198"/>
      <c r="M392" s="198"/>
      <c r="N392" s="198"/>
      <c r="O392" s="198"/>
      <c r="P392" s="198"/>
      <c r="Q392" s="198"/>
      <c r="R392" s="198"/>
      <c r="S392" s="198"/>
      <c r="T392" s="198"/>
      <c r="U392" s="198"/>
      <c r="V392" s="198"/>
      <c r="W392" s="198"/>
      <c r="X392" s="198"/>
    </row>
    <row r="393">
      <c r="A393" s="198"/>
      <c r="B393" s="199"/>
      <c r="C393" s="198"/>
      <c r="D393" s="198"/>
      <c r="E393" s="198"/>
      <c r="F393" s="199"/>
      <c r="G393" s="199"/>
      <c r="H393" s="198"/>
      <c r="I393" s="198"/>
      <c r="J393" s="198"/>
      <c r="K393" s="198"/>
      <c r="L393" s="198"/>
      <c r="M393" s="198"/>
      <c r="N393" s="198"/>
      <c r="O393" s="198"/>
      <c r="P393" s="198"/>
      <c r="Q393" s="198"/>
      <c r="R393" s="198"/>
      <c r="S393" s="198"/>
      <c r="T393" s="198"/>
      <c r="U393" s="198"/>
      <c r="V393" s="198"/>
      <c r="W393" s="198"/>
      <c r="X393" s="198"/>
    </row>
    <row r="394">
      <c r="A394" s="198"/>
      <c r="B394" s="199"/>
      <c r="C394" s="198"/>
      <c r="D394" s="198"/>
      <c r="E394" s="198"/>
      <c r="F394" s="199"/>
      <c r="G394" s="199"/>
      <c r="H394" s="198"/>
      <c r="I394" s="198"/>
      <c r="J394" s="198"/>
      <c r="K394" s="198"/>
      <c r="L394" s="198"/>
      <c r="M394" s="198"/>
      <c r="N394" s="198"/>
      <c r="O394" s="198"/>
      <c r="P394" s="198"/>
      <c r="Q394" s="198"/>
      <c r="R394" s="198"/>
      <c r="S394" s="198"/>
      <c r="T394" s="198"/>
      <c r="U394" s="198"/>
      <c r="V394" s="198"/>
      <c r="W394" s="198"/>
      <c r="X394" s="198"/>
    </row>
    <row r="395">
      <c r="A395" s="198"/>
      <c r="B395" s="199"/>
      <c r="C395" s="198"/>
      <c r="D395" s="198"/>
      <c r="E395" s="198"/>
      <c r="F395" s="199"/>
      <c r="G395" s="199"/>
      <c r="H395" s="198"/>
      <c r="I395" s="198"/>
      <c r="J395" s="198"/>
      <c r="K395" s="198"/>
      <c r="L395" s="198"/>
      <c r="M395" s="198"/>
      <c r="N395" s="198"/>
      <c r="O395" s="198"/>
      <c r="P395" s="198"/>
      <c r="Q395" s="198"/>
      <c r="R395" s="198"/>
      <c r="S395" s="198"/>
      <c r="T395" s="198"/>
      <c r="U395" s="198"/>
      <c r="V395" s="198"/>
      <c r="W395" s="198"/>
      <c r="X395" s="198"/>
    </row>
    <row r="396">
      <c r="A396" s="198"/>
      <c r="B396" s="199"/>
      <c r="C396" s="198"/>
      <c r="D396" s="198"/>
      <c r="E396" s="198"/>
      <c r="F396" s="199"/>
      <c r="G396" s="199"/>
      <c r="H396" s="198"/>
      <c r="I396" s="198"/>
      <c r="J396" s="198"/>
      <c r="K396" s="198"/>
      <c r="L396" s="198"/>
      <c r="M396" s="198"/>
      <c r="N396" s="198"/>
      <c r="O396" s="198"/>
      <c r="P396" s="198"/>
      <c r="Q396" s="198"/>
      <c r="R396" s="198"/>
      <c r="S396" s="198"/>
      <c r="T396" s="198"/>
      <c r="U396" s="198"/>
      <c r="V396" s="198"/>
      <c r="W396" s="198"/>
      <c r="X396" s="198"/>
    </row>
    <row r="397">
      <c r="A397" s="198"/>
      <c r="B397" s="199"/>
      <c r="C397" s="198"/>
      <c r="D397" s="198"/>
      <c r="E397" s="198"/>
      <c r="F397" s="199"/>
      <c r="G397" s="199"/>
      <c r="H397" s="198"/>
      <c r="I397" s="198"/>
      <c r="J397" s="198"/>
      <c r="K397" s="198"/>
      <c r="L397" s="198"/>
      <c r="M397" s="198"/>
      <c r="N397" s="198"/>
      <c r="O397" s="198"/>
      <c r="P397" s="198"/>
      <c r="Q397" s="198"/>
      <c r="R397" s="198"/>
      <c r="S397" s="198"/>
      <c r="T397" s="198"/>
      <c r="U397" s="198"/>
      <c r="V397" s="198"/>
      <c r="W397" s="198"/>
      <c r="X397" s="198"/>
    </row>
    <row r="398">
      <c r="A398" s="198"/>
      <c r="B398" s="199"/>
      <c r="C398" s="198"/>
      <c r="D398" s="198"/>
      <c r="E398" s="198"/>
      <c r="F398" s="199"/>
      <c r="G398" s="199"/>
      <c r="H398" s="198"/>
      <c r="I398" s="198"/>
      <c r="J398" s="198"/>
      <c r="K398" s="198"/>
      <c r="L398" s="198"/>
      <c r="M398" s="198"/>
      <c r="N398" s="198"/>
      <c r="O398" s="198"/>
      <c r="P398" s="198"/>
      <c r="Q398" s="198"/>
      <c r="R398" s="198"/>
      <c r="S398" s="198"/>
      <c r="T398" s="198"/>
      <c r="U398" s="198"/>
      <c r="V398" s="198"/>
      <c r="W398" s="198"/>
      <c r="X398" s="198"/>
    </row>
    <row r="399">
      <c r="A399" s="198"/>
      <c r="B399" s="199"/>
      <c r="C399" s="198"/>
      <c r="D399" s="198"/>
      <c r="E399" s="198"/>
      <c r="F399" s="199"/>
      <c r="G399" s="199"/>
      <c r="H399" s="198"/>
      <c r="I399" s="198"/>
      <c r="J399" s="198"/>
      <c r="K399" s="198"/>
      <c r="L399" s="198"/>
      <c r="M399" s="198"/>
      <c r="N399" s="198"/>
      <c r="O399" s="198"/>
      <c r="P399" s="198"/>
      <c r="Q399" s="198"/>
      <c r="R399" s="198"/>
      <c r="S399" s="198"/>
      <c r="T399" s="198"/>
      <c r="U399" s="198"/>
      <c r="V399" s="198"/>
      <c r="W399" s="198"/>
      <c r="X399" s="198"/>
    </row>
    <row r="400">
      <c r="A400" s="198"/>
      <c r="B400" s="199"/>
      <c r="C400" s="198"/>
      <c r="D400" s="198"/>
      <c r="E400" s="198"/>
      <c r="F400" s="199"/>
      <c r="G400" s="199"/>
      <c r="H400" s="198"/>
      <c r="I400" s="198"/>
      <c r="J400" s="198"/>
      <c r="K400" s="198"/>
      <c r="L400" s="198"/>
      <c r="M400" s="198"/>
      <c r="N400" s="198"/>
      <c r="O400" s="198"/>
      <c r="P400" s="198"/>
      <c r="Q400" s="198"/>
      <c r="R400" s="198"/>
      <c r="S400" s="198"/>
      <c r="T400" s="198"/>
      <c r="U400" s="198"/>
      <c r="V400" s="198"/>
      <c r="W400" s="198"/>
      <c r="X400" s="198"/>
    </row>
    <row r="401">
      <c r="A401" s="198"/>
      <c r="B401" s="199"/>
      <c r="C401" s="198"/>
      <c r="D401" s="198"/>
      <c r="E401" s="198"/>
      <c r="F401" s="199"/>
      <c r="G401" s="199"/>
      <c r="H401" s="198"/>
      <c r="I401" s="198"/>
      <c r="J401" s="198"/>
      <c r="K401" s="198"/>
      <c r="L401" s="198"/>
      <c r="M401" s="198"/>
      <c r="N401" s="198"/>
      <c r="O401" s="198"/>
      <c r="P401" s="198"/>
      <c r="Q401" s="198"/>
      <c r="R401" s="198"/>
      <c r="S401" s="198"/>
      <c r="T401" s="198"/>
      <c r="U401" s="198"/>
      <c r="V401" s="198"/>
      <c r="W401" s="198"/>
      <c r="X401" s="198"/>
    </row>
    <row r="402">
      <c r="A402" s="198"/>
      <c r="B402" s="199"/>
      <c r="C402" s="198"/>
      <c r="D402" s="198"/>
      <c r="E402" s="198"/>
      <c r="F402" s="199"/>
      <c r="G402" s="199"/>
      <c r="H402" s="198"/>
      <c r="I402" s="198"/>
      <c r="J402" s="198"/>
      <c r="K402" s="198"/>
      <c r="L402" s="198"/>
      <c r="M402" s="198"/>
      <c r="N402" s="198"/>
      <c r="O402" s="198"/>
      <c r="P402" s="198"/>
      <c r="Q402" s="198"/>
      <c r="R402" s="198"/>
      <c r="S402" s="198"/>
      <c r="T402" s="198"/>
      <c r="U402" s="198"/>
      <c r="V402" s="198"/>
      <c r="W402" s="198"/>
      <c r="X402" s="198"/>
    </row>
    <row r="403">
      <c r="A403" s="198"/>
      <c r="B403" s="199"/>
      <c r="C403" s="198"/>
      <c r="D403" s="198"/>
      <c r="E403" s="198"/>
      <c r="F403" s="199"/>
      <c r="G403" s="199"/>
      <c r="H403" s="198"/>
      <c r="I403" s="198"/>
      <c r="J403" s="198"/>
      <c r="K403" s="198"/>
      <c r="L403" s="198"/>
      <c r="M403" s="198"/>
      <c r="N403" s="198"/>
      <c r="O403" s="198"/>
      <c r="P403" s="198"/>
      <c r="Q403" s="198"/>
      <c r="R403" s="198"/>
      <c r="S403" s="198"/>
      <c r="T403" s="198"/>
      <c r="U403" s="198"/>
      <c r="V403" s="198"/>
      <c r="W403" s="198"/>
      <c r="X403" s="198"/>
    </row>
    <row r="404">
      <c r="A404" s="198"/>
      <c r="B404" s="199"/>
      <c r="C404" s="198"/>
      <c r="D404" s="198"/>
      <c r="E404" s="198"/>
      <c r="F404" s="199"/>
      <c r="G404" s="199"/>
      <c r="H404" s="198"/>
      <c r="I404" s="198"/>
      <c r="J404" s="198"/>
      <c r="K404" s="198"/>
      <c r="L404" s="198"/>
      <c r="M404" s="198"/>
      <c r="N404" s="198"/>
      <c r="O404" s="198"/>
      <c r="P404" s="198"/>
      <c r="Q404" s="198"/>
      <c r="R404" s="198"/>
      <c r="S404" s="198"/>
      <c r="T404" s="198"/>
      <c r="U404" s="198"/>
      <c r="V404" s="198"/>
      <c r="W404" s="198"/>
      <c r="X404" s="198"/>
    </row>
    <row r="405">
      <c r="A405" s="198"/>
      <c r="B405" s="199"/>
      <c r="C405" s="198"/>
      <c r="D405" s="198"/>
      <c r="E405" s="198"/>
      <c r="F405" s="199"/>
      <c r="G405" s="199"/>
      <c r="H405" s="198"/>
      <c r="I405" s="198"/>
      <c r="J405" s="198"/>
      <c r="K405" s="198"/>
      <c r="L405" s="198"/>
      <c r="M405" s="198"/>
      <c r="N405" s="198"/>
      <c r="O405" s="198"/>
      <c r="P405" s="198"/>
      <c r="Q405" s="198"/>
      <c r="R405" s="198"/>
      <c r="S405" s="198"/>
      <c r="T405" s="198"/>
      <c r="U405" s="198"/>
      <c r="V405" s="198"/>
      <c r="W405" s="198"/>
      <c r="X405" s="198"/>
    </row>
    <row r="406">
      <c r="A406" s="198"/>
      <c r="B406" s="199"/>
      <c r="C406" s="198"/>
      <c r="D406" s="198"/>
      <c r="E406" s="198"/>
      <c r="F406" s="199"/>
      <c r="G406" s="199"/>
      <c r="H406" s="198"/>
      <c r="I406" s="198"/>
      <c r="J406" s="198"/>
      <c r="K406" s="198"/>
      <c r="L406" s="198"/>
      <c r="M406" s="198"/>
      <c r="N406" s="198"/>
      <c r="O406" s="198"/>
      <c r="P406" s="198"/>
      <c r="Q406" s="198"/>
      <c r="R406" s="198"/>
      <c r="S406" s="198"/>
      <c r="T406" s="198"/>
      <c r="U406" s="198"/>
      <c r="V406" s="198"/>
      <c r="W406" s="198"/>
      <c r="X406" s="198"/>
    </row>
    <row r="407">
      <c r="A407" s="198"/>
      <c r="B407" s="199"/>
      <c r="C407" s="198"/>
      <c r="D407" s="198"/>
      <c r="E407" s="198"/>
      <c r="F407" s="199"/>
      <c r="G407" s="199"/>
      <c r="H407" s="198"/>
      <c r="I407" s="198"/>
      <c r="J407" s="198"/>
      <c r="K407" s="198"/>
      <c r="L407" s="198"/>
      <c r="M407" s="198"/>
      <c r="N407" s="198"/>
      <c r="O407" s="198"/>
      <c r="P407" s="198"/>
      <c r="Q407" s="198"/>
      <c r="R407" s="198"/>
      <c r="S407" s="198"/>
      <c r="T407" s="198"/>
      <c r="U407" s="198"/>
      <c r="V407" s="198"/>
      <c r="W407" s="198"/>
      <c r="X407" s="198"/>
    </row>
    <row r="408">
      <c r="A408" s="198"/>
      <c r="B408" s="199"/>
      <c r="C408" s="198"/>
      <c r="D408" s="198"/>
      <c r="E408" s="198"/>
      <c r="F408" s="199"/>
      <c r="G408" s="199"/>
      <c r="H408" s="198"/>
      <c r="I408" s="198"/>
      <c r="J408" s="198"/>
      <c r="K408" s="198"/>
      <c r="L408" s="198"/>
      <c r="M408" s="198"/>
      <c r="N408" s="198"/>
      <c r="O408" s="198"/>
      <c r="P408" s="198"/>
      <c r="Q408" s="198"/>
      <c r="R408" s="198"/>
      <c r="S408" s="198"/>
      <c r="T408" s="198"/>
      <c r="U408" s="198"/>
      <c r="V408" s="198"/>
      <c r="W408" s="198"/>
      <c r="X408" s="198"/>
    </row>
    <row r="409">
      <c r="A409" s="198"/>
      <c r="B409" s="199"/>
      <c r="C409" s="198"/>
      <c r="D409" s="198"/>
      <c r="E409" s="198"/>
      <c r="F409" s="199"/>
      <c r="G409" s="199"/>
      <c r="H409" s="198"/>
      <c r="I409" s="198"/>
      <c r="J409" s="198"/>
      <c r="K409" s="198"/>
      <c r="L409" s="198"/>
      <c r="M409" s="198"/>
      <c r="N409" s="198"/>
      <c r="O409" s="198"/>
      <c r="P409" s="198"/>
      <c r="Q409" s="198"/>
      <c r="R409" s="198"/>
      <c r="S409" s="198"/>
      <c r="T409" s="198"/>
      <c r="U409" s="198"/>
      <c r="V409" s="198"/>
      <c r="W409" s="198"/>
      <c r="X409" s="198"/>
    </row>
    <row r="410">
      <c r="A410" s="198"/>
      <c r="B410" s="199"/>
      <c r="C410" s="198"/>
      <c r="D410" s="198"/>
      <c r="E410" s="198"/>
      <c r="F410" s="199"/>
      <c r="G410" s="199"/>
      <c r="H410" s="198"/>
      <c r="I410" s="198"/>
      <c r="J410" s="198"/>
      <c r="K410" s="198"/>
      <c r="L410" s="198"/>
      <c r="M410" s="198"/>
      <c r="N410" s="198"/>
      <c r="O410" s="198"/>
      <c r="P410" s="198"/>
      <c r="Q410" s="198"/>
      <c r="R410" s="198"/>
      <c r="S410" s="198"/>
      <c r="T410" s="198"/>
      <c r="U410" s="198"/>
      <c r="V410" s="198"/>
      <c r="W410" s="198"/>
      <c r="X410" s="198"/>
    </row>
    <row r="411">
      <c r="A411" s="198"/>
      <c r="B411" s="199"/>
      <c r="C411" s="198"/>
      <c r="D411" s="198"/>
      <c r="E411" s="198"/>
      <c r="F411" s="199"/>
      <c r="G411" s="199"/>
      <c r="H411" s="198"/>
      <c r="I411" s="198"/>
      <c r="J411" s="198"/>
      <c r="K411" s="198"/>
      <c r="L411" s="198"/>
      <c r="M411" s="198"/>
      <c r="N411" s="198"/>
      <c r="O411" s="198"/>
      <c r="P411" s="198"/>
      <c r="Q411" s="198"/>
      <c r="R411" s="198"/>
      <c r="S411" s="198"/>
      <c r="T411" s="198"/>
      <c r="U411" s="198"/>
      <c r="V411" s="198"/>
      <c r="W411" s="198"/>
      <c r="X411" s="198"/>
    </row>
    <row r="412">
      <c r="A412" s="198"/>
      <c r="B412" s="199"/>
      <c r="C412" s="198"/>
      <c r="D412" s="198"/>
      <c r="E412" s="198"/>
      <c r="F412" s="199"/>
      <c r="G412" s="199"/>
      <c r="H412" s="198"/>
      <c r="I412" s="198"/>
      <c r="J412" s="198"/>
      <c r="K412" s="198"/>
      <c r="L412" s="198"/>
      <c r="M412" s="198"/>
      <c r="N412" s="198"/>
      <c r="O412" s="198"/>
      <c r="P412" s="198"/>
      <c r="Q412" s="198"/>
      <c r="R412" s="198"/>
      <c r="S412" s="198"/>
      <c r="T412" s="198"/>
      <c r="U412" s="198"/>
      <c r="V412" s="198"/>
      <c r="W412" s="198"/>
      <c r="X412" s="198"/>
    </row>
    <row r="413">
      <c r="A413" s="198"/>
      <c r="B413" s="199"/>
      <c r="C413" s="198"/>
      <c r="D413" s="198"/>
      <c r="E413" s="198"/>
      <c r="F413" s="199"/>
      <c r="G413" s="199"/>
      <c r="H413" s="198"/>
      <c r="I413" s="198"/>
      <c r="J413" s="198"/>
      <c r="K413" s="198"/>
      <c r="L413" s="198"/>
      <c r="M413" s="198"/>
      <c r="N413" s="198"/>
      <c r="O413" s="198"/>
      <c r="P413" s="198"/>
      <c r="Q413" s="198"/>
      <c r="R413" s="198"/>
      <c r="S413" s="198"/>
      <c r="T413" s="198"/>
      <c r="U413" s="198"/>
      <c r="V413" s="198"/>
      <c r="W413" s="198"/>
      <c r="X413" s="198"/>
    </row>
    <row r="414">
      <c r="A414" s="198"/>
      <c r="B414" s="199"/>
      <c r="C414" s="198"/>
      <c r="D414" s="198"/>
      <c r="E414" s="198"/>
      <c r="F414" s="199"/>
      <c r="G414" s="199"/>
      <c r="H414" s="198"/>
      <c r="I414" s="198"/>
      <c r="J414" s="198"/>
      <c r="K414" s="198"/>
      <c r="L414" s="198"/>
      <c r="M414" s="198"/>
      <c r="N414" s="198"/>
      <c r="O414" s="198"/>
      <c r="P414" s="198"/>
      <c r="Q414" s="198"/>
      <c r="R414" s="198"/>
      <c r="S414" s="198"/>
      <c r="T414" s="198"/>
      <c r="U414" s="198"/>
      <c r="V414" s="198"/>
      <c r="W414" s="198"/>
      <c r="X414" s="198"/>
    </row>
    <row r="415">
      <c r="A415" s="198"/>
      <c r="B415" s="199"/>
      <c r="C415" s="198"/>
      <c r="D415" s="198"/>
      <c r="E415" s="198"/>
      <c r="F415" s="199"/>
      <c r="G415" s="199"/>
      <c r="H415" s="198"/>
      <c r="I415" s="198"/>
      <c r="J415" s="198"/>
      <c r="K415" s="198"/>
      <c r="L415" s="198"/>
      <c r="M415" s="198"/>
      <c r="N415" s="198"/>
      <c r="O415" s="198"/>
      <c r="P415" s="198"/>
      <c r="Q415" s="198"/>
      <c r="R415" s="198"/>
      <c r="S415" s="198"/>
      <c r="T415" s="198"/>
      <c r="U415" s="198"/>
      <c r="V415" s="198"/>
      <c r="W415" s="198"/>
      <c r="X415" s="198"/>
    </row>
    <row r="416">
      <c r="A416" s="198"/>
      <c r="B416" s="199"/>
      <c r="C416" s="198"/>
      <c r="D416" s="198"/>
      <c r="E416" s="198"/>
      <c r="F416" s="199"/>
      <c r="G416" s="199"/>
      <c r="H416" s="198"/>
      <c r="I416" s="198"/>
      <c r="J416" s="198"/>
      <c r="K416" s="198"/>
      <c r="L416" s="198"/>
      <c r="M416" s="198"/>
      <c r="N416" s="198"/>
      <c r="O416" s="198"/>
      <c r="P416" s="198"/>
      <c r="Q416" s="198"/>
      <c r="R416" s="198"/>
      <c r="S416" s="198"/>
      <c r="T416" s="198"/>
      <c r="U416" s="198"/>
      <c r="V416" s="198"/>
      <c r="W416" s="198"/>
      <c r="X416" s="198"/>
    </row>
    <row r="417">
      <c r="A417" s="198"/>
      <c r="B417" s="199"/>
      <c r="C417" s="198"/>
      <c r="D417" s="198"/>
      <c r="E417" s="198"/>
      <c r="F417" s="199"/>
      <c r="G417" s="199"/>
      <c r="H417" s="198"/>
      <c r="I417" s="198"/>
      <c r="J417" s="198"/>
      <c r="K417" s="198"/>
      <c r="L417" s="198"/>
      <c r="M417" s="198"/>
      <c r="N417" s="198"/>
      <c r="O417" s="198"/>
      <c r="P417" s="198"/>
      <c r="Q417" s="198"/>
      <c r="R417" s="198"/>
      <c r="S417" s="198"/>
      <c r="T417" s="198"/>
      <c r="U417" s="198"/>
      <c r="V417" s="198"/>
      <c r="W417" s="198"/>
      <c r="X417" s="198"/>
    </row>
    <row r="418">
      <c r="A418" s="198"/>
      <c r="B418" s="199"/>
      <c r="C418" s="198"/>
      <c r="D418" s="198"/>
      <c r="E418" s="198"/>
      <c r="F418" s="199"/>
      <c r="G418" s="199"/>
      <c r="H418" s="198"/>
      <c r="I418" s="198"/>
      <c r="J418" s="198"/>
      <c r="K418" s="198"/>
      <c r="L418" s="198"/>
      <c r="M418" s="198"/>
      <c r="N418" s="198"/>
      <c r="O418" s="198"/>
      <c r="P418" s="198"/>
      <c r="Q418" s="198"/>
      <c r="R418" s="198"/>
      <c r="S418" s="198"/>
      <c r="T418" s="198"/>
      <c r="U418" s="198"/>
      <c r="V418" s="198"/>
      <c r="W418" s="198"/>
      <c r="X418" s="198"/>
    </row>
    <row r="419">
      <c r="A419" s="198"/>
      <c r="B419" s="199"/>
      <c r="C419" s="198"/>
      <c r="D419" s="198"/>
      <c r="E419" s="198"/>
      <c r="F419" s="199"/>
      <c r="G419" s="199"/>
      <c r="H419" s="198"/>
      <c r="I419" s="198"/>
      <c r="J419" s="198"/>
      <c r="K419" s="198"/>
      <c r="L419" s="198"/>
      <c r="M419" s="198"/>
      <c r="N419" s="198"/>
      <c r="O419" s="198"/>
      <c r="P419" s="198"/>
      <c r="Q419" s="198"/>
      <c r="R419" s="198"/>
      <c r="S419" s="198"/>
      <c r="T419" s="198"/>
      <c r="U419" s="198"/>
      <c r="V419" s="198"/>
      <c r="W419" s="198"/>
      <c r="X419" s="198"/>
    </row>
    <row r="420">
      <c r="A420" s="198"/>
      <c r="B420" s="199"/>
      <c r="C420" s="198"/>
      <c r="D420" s="198"/>
      <c r="E420" s="198"/>
      <c r="F420" s="199"/>
      <c r="G420" s="199"/>
      <c r="H420" s="198"/>
      <c r="I420" s="198"/>
      <c r="J420" s="198"/>
      <c r="K420" s="198"/>
      <c r="L420" s="198"/>
      <c r="M420" s="198"/>
      <c r="N420" s="198"/>
      <c r="O420" s="198"/>
      <c r="P420" s="198"/>
      <c r="Q420" s="198"/>
      <c r="R420" s="198"/>
      <c r="S420" s="198"/>
      <c r="T420" s="198"/>
      <c r="U420" s="198"/>
      <c r="V420" s="198"/>
      <c r="W420" s="198"/>
      <c r="X420" s="198"/>
    </row>
    <row r="421">
      <c r="A421" s="198"/>
      <c r="B421" s="199"/>
      <c r="C421" s="198"/>
      <c r="D421" s="198"/>
      <c r="E421" s="198"/>
      <c r="F421" s="199"/>
      <c r="G421" s="199"/>
      <c r="H421" s="198"/>
      <c r="I421" s="198"/>
      <c r="J421" s="198"/>
      <c r="K421" s="198"/>
      <c r="L421" s="198"/>
      <c r="M421" s="198"/>
      <c r="N421" s="198"/>
      <c r="O421" s="198"/>
      <c r="P421" s="198"/>
      <c r="Q421" s="198"/>
      <c r="R421" s="198"/>
      <c r="S421" s="198"/>
      <c r="T421" s="198"/>
      <c r="U421" s="198"/>
      <c r="V421" s="198"/>
      <c r="W421" s="198"/>
      <c r="X421" s="198"/>
    </row>
    <row r="422">
      <c r="A422" s="198"/>
      <c r="B422" s="199"/>
      <c r="C422" s="198"/>
      <c r="D422" s="198"/>
      <c r="E422" s="198"/>
      <c r="F422" s="199"/>
      <c r="G422" s="199"/>
      <c r="H422" s="198"/>
      <c r="I422" s="198"/>
      <c r="J422" s="198"/>
      <c r="K422" s="198"/>
      <c r="L422" s="198"/>
      <c r="M422" s="198"/>
      <c r="N422" s="198"/>
      <c r="O422" s="198"/>
      <c r="P422" s="198"/>
      <c r="Q422" s="198"/>
      <c r="R422" s="198"/>
      <c r="S422" s="198"/>
      <c r="T422" s="198"/>
      <c r="U422" s="198"/>
      <c r="V422" s="198"/>
      <c r="W422" s="198"/>
      <c r="X422" s="198"/>
    </row>
    <row r="423">
      <c r="A423" s="198"/>
      <c r="B423" s="199"/>
      <c r="C423" s="198"/>
      <c r="D423" s="198"/>
      <c r="E423" s="198"/>
      <c r="F423" s="199"/>
      <c r="G423" s="199"/>
      <c r="H423" s="198"/>
      <c r="I423" s="198"/>
      <c r="J423" s="198"/>
      <c r="K423" s="198"/>
      <c r="L423" s="198"/>
      <c r="M423" s="198"/>
      <c r="N423" s="198"/>
      <c r="O423" s="198"/>
      <c r="P423" s="198"/>
      <c r="Q423" s="198"/>
      <c r="R423" s="198"/>
      <c r="S423" s="198"/>
      <c r="T423" s="198"/>
      <c r="U423" s="198"/>
      <c r="V423" s="198"/>
      <c r="W423" s="198"/>
      <c r="X423" s="198"/>
    </row>
    <row r="424">
      <c r="A424" s="198"/>
      <c r="B424" s="199"/>
      <c r="C424" s="198"/>
      <c r="D424" s="198"/>
      <c r="E424" s="198"/>
      <c r="F424" s="199"/>
      <c r="G424" s="199"/>
      <c r="H424" s="198"/>
      <c r="I424" s="198"/>
      <c r="J424" s="198"/>
      <c r="K424" s="198"/>
      <c r="L424" s="198"/>
      <c r="M424" s="198"/>
      <c r="N424" s="198"/>
      <c r="O424" s="198"/>
      <c r="P424" s="198"/>
      <c r="Q424" s="198"/>
      <c r="R424" s="198"/>
      <c r="S424" s="198"/>
      <c r="T424" s="198"/>
      <c r="U424" s="198"/>
      <c r="V424" s="198"/>
      <c r="W424" s="198"/>
      <c r="X424" s="198"/>
    </row>
    <row r="425">
      <c r="A425" s="198"/>
      <c r="B425" s="199"/>
      <c r="C425" s="198"/>
      <c r="D425" s="198"/>
      <c r="E425" s="198"/>
      <c r="F425" s="199"/>
      <c r="G425" s="199"/>
      <c r="H425" s="198"/>
      <c r="I425" s="198"/>
      <c r="J425" s="198"/>
      <c r="K425" s="198"/>
      <c r="L425" s="198"/>
      <c r="M425" s="198"/>
      <c r="N425" s="198"/>
      <c r="O425" s="198"/>
      <c r="P425" s="198"/>
      <c r="Q425" s="198"/>
      <c r="R425" s="198"/>
      <c r="S425" s="198"/>
      <c r="T425" s="198"/>
      <c r="U425" s="198"/>
      <c r="V425" s="198"/>
      <c r="W425" s="198"/>
      <c r="X425" s="198"/>
    </row>
    <row r="426">
      <c r="A426" s="198"/>
      <c r="B426" s="199"/>
      <c r="C426" s="198"/>
      <c r="D426" s="198"/>
      <c r="E426" s="198"/>
      <c r="F426" s="199"/>
      <c r="G426" s="199"/>
      <c r="H426" s="198"/>
      <c r="I426" s="198"/>
      <c r="J426" s="198"/>
      <c r="K426" s="198"/>
      <c r="L426" s="198"/>
      <c r="M426" s="198"/>
      <c r="N426" s="198"/>
      <c r="O426" s="198"/>
      <c r="P426" s="198"/>
      <c r="Q426" s="198"/>
      <c r="R426" s="198"/>
      <c r="S426" s="198"/>
      <c r="T426" s="198"/>
      <c r="U426" s="198"/>
      <c r="V426" s="198"/>
      <c r="W426" s="198"/>
      <c r="X426" s="198"/>
    </row>
    <row r="427">
      <c r="A427" s="198"/>
      <c r="B427" s="199"/>
      <c r="C427" s="198"/>
      <c r="D427" s="198"/>
      <c r="E427" s="198"/>
      <c r="F427" s="199"/>
      <c r="G427" s="199"/>
      <c r="H427" s="198"/>
      <c r="I427" s="198"/>
      <c r="J427" s="198"/>
      <c r="K427" s="198"/>
      <c r="L427" s="198"/>
      <c r="M427" s="198"/>
      <c r="N427" s="198"/>
      <c r="O427" s="198"/>
      <c r="P427" s="198"/>
      <c r="Q427" s="198"/>
      <c r="R427" s="198"/>
      <c r="S427" s="198"/>
      <c r="T427" s="198"/>
      <c r="U427" s="198"/>
      <c r="V427" s="198"/>
      <c r="W427" s="198"/>
      <c r="X427" s="198"/>
    </row>
    <row r="428">
      <c r="A428" s="198"/>
      <c r="B428" s="199"/>
      <c r="C428" s="198"/>
      <c r="D428" s="198"/>
      <c r="E428" s="198"/>
      <c r="F428" s="199"/>
      <c r="G428" s="199"/>
      <c r="H428" s="198"/>
      <c r="I428" s="198"/>
      <c r="J428" s="198"/>
      <c r="K428" s="198"/>
      <c r="L428" s="198"/>
      <c r="M428" s="198"/>
      <c r="N428" s="198"/>
      <c r="O428" s="198"/>
      <c r="P428" s="198"/>
      <c r="Q428" s="198"/>
      <c r="R428" s="198"/>
      <c r="S428" s="198"/>
      <c r="T428" s="198"/>
      <c r="U428" s="198"/>
      <c r="V428" s="198"/>
      <c r="W428" s="198"/>
      <c r="X428" s="198"/>
    </row>
    <row r="429">
      <c r="A429" s="198"/>
      <c r="B429" s="199"/>
      <c r="C429" s="198"/>
      <c r="D429" s="198"/>
      <c r="E429" s="198"/>
      <c r="F429" s="199"/>
      <c r="G429" s="199"/>
      <c r="H429" s="198"/>
      <c r="I429" s="198"/>
      <c r="J429" s="198"/>
      <c r="K429" s="198"/>
      <c r="L429" s="198"/>
      <c r="M429" s="198"/>
      <c r="N429" s="198"/>
      <c r="O429" s="198"/>
      <c r="P429" s="198"/>
      <c r="Q429" s="198"/>
      <c r="R429" s="198"/>
      <c r="S429" s="198"/>
      <c r="T429" s="198"/>
      <c r="U429" s="198"/>
      <c r="V429" s="198"/>
      <c r="W429" s="198"/>
      <c r="X429" s="198"/>
    </row>
    <row r="430">
      <c r="A430" s="198"/>
      <c r="B430" s="199"/>
      <c r="C430" s="198"/>
      <c r="D430" s="198"/>
      <c r="E430" s="198"/>
      <c r="F430" s="199"/>
      <c r="G430" s="199"/>
      <c r="H430" s="198"/>
      <c r="I430" s="198"/>
      <c r="J430" s="198"/>
      <c r="K430" s="198"/>
      <c r="L430" s="198"/>
      <c r="M430" s="198"/>
      <c r="N430" s="198"/>
      <c r="O430" s="198"/>
      <c r="P430" s="198"/>
      <c r="Q430" s="198"/>
      <c r="R430" s="198"/>
      <c r="S430" s="198"/>
      <c r="T430" s="198"/>
      <c r="U430" s="198"/>
      <c r="V430" s="198"/>
      <c r="W430" s="198"/>
      <c r="X430" s="198"/>
    </row>
    <row r="431">
      <c r="A431" s="198"/>
      <c r="B431" s="199"/>
      <c r="C431" s="198"/>
      <c r="D431" s="198"/>
      <c r="E431" s="198"/>
      <c r="F431" s="199"/>
      <c r="G431" s="199"/>
      <c r="H431" s="198"/>
      <c r="I431" s="198"/>
      <c r="J431" s="198"/>
      <c r="K431" s="198"/>
      <c r="L431" s="198"/>
      <c r="M431" s="198"/>
      <c r="N431" s="198"/>
      <c r="O431" s="198"/>
      <c r="P431" s="198"/>
      <c r="Q431" s="198"/>
      <c r="R431" s="198"/>
      <c r="S431" s="198"/>
      <c r="T431" s="198"/>
      <c r="U431" s="198"/>
      <c r="V431" s="198"/>
      <c r="W431" s="198"/>
      <c r="X431" s="198"/>
    </row>
    <row r="432">
      <c r="A432" s="198"/>
      <c r="B432" s="199"/>
      <c r="C432" s="198"/>
      <c r="D432" s="198"/>
      <c r="E432" s="198"/>
      <c r="F432" s="199"/>
      <c r="G432" s="199"/>
      <c r="H432" s="198"/>
      <c r="I432" s="198"/>
      <c r="J432" s="198"/>
      <c r="K432" s="198"/>
      <c r="L432" s="198"/>
      <c r="M432" s="198"/>
      <c r="N432" s="198"/>
      <c r="O432" s="198"/>
      <c r="P432" s="198"/>
      <c r="Q432" s="198"/>
      <c r="R432" s="198"/>
      <c r="S432" s="198"/>
      <c r="T432" s="198"/>
      <c r="U432" s="198"/>
      <c r="V432" s="198"/>
      <c r="W432" s="198"/>
      <c r="X432" s="198"/>
    </row>
    <row r="433">
      <c r="A433" s="198"/>
      <c r="B433" s="199"/>
      <c r="C433" s="198"/>
      <c r="D433" s="198"/>
      <c r="E433" s="198"/>
      <c r="F433" s="199"/>
      <c r="G433" s="199"/>
      <c r="H433" s="198"/>
      <c r="I433" s="198"/>
      <c r="J433" s="198"/>
      <c r="K433" s="198"/>
      <c r="L433" s="198"/>
      <c r="M433" s="198"/>
      <c r="N433" s="198"/>
      <c r="O433" s="198"/>
      <c r="P433" s="198"/>
      <c r="Q433" s="198"/>
      <c r="R433" s="198"/>
      <c r="S433" s="198"/>
      <c r="T433" s="198"/>
      <c r="U433" s="198"/>
      <c r="V433" s="198"/>
      <c r="W433" s="198"/>
      <c r="X433" s="198"/>
    </row>
    <row r="434">
      <c r="A434" s="198"/>
      <c r="B434" s="199"/>
      <c r="C434" s="198"/>
      <c r="D434" s="198"/>
      <c r="E434" s="198"/>
      <c r="F434" s="199"/>
      <c r="G434" s="199"/>
      <c r="H434" s="198"/>
      <c r="I434" s="198"/>
      <c r="J434" s="198"/>
      <c r="K434" s="198"/>
      <c r="L434" s="198"/>
      <c r="M434" s="198"/>
      <c r="N434" s="198"/>
      <c r="O434" s="198"/>
      <c r="P434" s="198"/>
      <c r="Q434" s="198"/>
      <c r="R434" s="198"/>
      <c r="S434" s="198"/>
      <c r="T434" s="198"/>
      <c r="U434" s="198"/>
      <c r="V434" s="198"/>
      <c r="W434" s="198"/>
      <c r="X434" s="198"/>
    </row>
    <row r="435">
      <c r="A435" s="198"/>
      <c r="B435" s="199"/>
      <c r="C435" s="198"/>
      <c r="D435" s="198"/>
      <c r="E435" s="198"/>
      <c r="F435" s="199"/>
      <c r="G435" s="199"/>
      <c r="H435" s="198"/>
      <c r="I435" s="198"/>
      <c r="J435" s="198"/>
      <c r="K435" s="198"/>
      <c r="L435" s="198"/>
      <c r="M435" s="198"/>
      <c r="N435" s="198"/>
      <c r="O435" s="198"/>
      <c r="P435" s="198"/>
      <c r="Q435" s="198"/>
      <c r="R435" s="198"/>
      <c r="S435" s="198"/>
      <c r="T435" s="198"/>
      <c r="U435" s="198"/>
      <c r="V435" s="198"/>
      <c r="W435" s="198"/>
      <c r="X435" s="198"/>
    </row>
    <row r="436">
      <c r="A436" s="198"/>
      <c r="B436" s="199"/>
      <c r="C436" s="198"/>
      <c r="D436" s="198"/>
      <c r="E436" s="198"/>
      <c r="F436" s="199"/>
      <c r="G436" s="199"/>
      <c r="H436" s="198"/>
      <c r="I436" s="198"/>
      <c r="J436" s="198"/>
      <c r="K436" s="198"/>
      <c r="L436" s="198"/>
      <c r="M436" s="198"/>
      <c r="N436" s="198"/>
      <c r="O436" s="198"/>
      <c r="P436" s="198"/>
      <c r="Q436" s="198"/>
      <c r="R436" s="198"/>
      <c r="S436" s="198"/>
      <c r="T436" s="198"/>
      <c r="U436" s="198"/>
      <c r="V436" s="198"/>
      <c r="W436" s="198"/>
      <c r="X436" s="198"/>
    </row>
    <row r="437">
      <c r="A437" s="198"/>
      <c r="B437" s="199"/>
      <c r="C437" s="198"/>
      <c r="D437" s="198"/>
      <c r="E437" s="198"/>
      <c r="F437" s="199"/>
      <c r="G437" s="199"/>
      <c r="H437" s="198"/>
      <c r="I437" s="198"/>
      <c r="J437" s="198"/>
      <c r="K437" s="198"/>
      <c r="L437" s="198"/>
      <c r="M437" s="198"/>
      <c r="N437" s="198"/>
      <c r="O437" s="198"/>
      <c r="P437" s="198"/>
      <c r="Q437" s="198"/>
      <c r="R437" s="198"/>
      <c r="S437" s="198"/>
      <c r="T437" s="198"/>
      <c r="U437" s="198"/>
      <c r="V437" s="198"/>
      <c r="W437" s="198"/>
      <c r="X437" s="198"/>
    </row>
    <row r="438">
      <c r="A438" s="198"/>
      <c r="B438" s="199"/>
      <c r="C438" s="198"/>
      <c r="D438" s="198"/>
      <c r="E438" s="198"/>
      <c r="F438" s="199"/>
      <c r="G438" s="199"/>
      <c r="H438" s="198"/>
      <c r="I438" s="198"/>
      <c r="J438" s="198"/>
      <c r="K438" s="198"/>
      <c r="L438" s="198"/>
      <c r="M438" s="198"/>
      <c r="N438" s="198"/>
      <c r="O438" s="198"/>
      <c r="P438" s="198"/>
      <c r="Q438" s="198"/>
      <c r="R438" s="198"/>
      <c r="S438" s="198"/>
      <c r="T438" s="198"/>
      <c r="U438" s="198"/>
      <c r="V438" s="198"/>
      <c r="W438" s="198"/>
      <c r="X438" s="198"/>
    </row>
    <row r="439">
      <c r="A439" s="198"/>
      <c r="B439" s="199"/>
      <c r="C439" s="198"/>
      <c r="D439" s="198"/>
      <c r="E439" s="198"/>
      <c r="F439" s="199"/>
      <c r="G439" s="199"/>
      <c r="H439" s="198"/>
      <c r="I439" s="198"/>
      <c r="J439" s="198"/>
      <c r="K439" s="198"/>
      <c r="L439" s="198"/>
      <c r="M439" s="198"/>
      <c r="N439" s="198"/>
      <c r="O439" s="198"/>
      <c r="P439" s="198"/>
      <c r="Q439" s="198"/>
      <c r="R439" s="198"/>
      <c r="S439" s="198"/>
      <c r="T439" s="198"/>
      <c r="U439" s="198"/>
      <c r="V439" s="198"/>
      <c r="W439" s="198"/>
      <c r="X439" s="198"/>
    </row>
    <row r="440">
      <c r="A440" s="198"/>
      <c r="B440" s="199"/>
      <c r="C440" s="198"/>
      <c r="D440" s="198"/>
      <c r="E440" s="198"/>
      <c r="F440" s="199"/>
      <c r="G440" s="199"/>
      <c r="H440" s="198"/>
      <c r="I440" s="198"/>
      <c r="J440" s="198"/>
      <c r="K440" s="198"/>
      <c r="L440" s="198"/>
      <c r="M440" s="198"/>
      <c r="N440" s="198"/>
      <c r="O440" s="198"/>
      <c r="P440" s="198"/>
      <c r="Q440" s="198"/>
      <c r="R440" s="198"/>
      <c r="S440" s="198"/>
      <c r="T440" s="198"/>
      <c r="U440" s="198"/>
      <c r="V440" s="198"/>
      <c r="W440" s="198"/>
      <c r="X440" s="198"/>
    </row>
    <row r="441">
      <c r="A441" s="198"/>
      <c r="B441" s="199"/>
      <c r="C441" s="198"/>
      <c r="D441" s="198"/>
      <c r="E441" s="198"/>
      <c r="F441" s="199"/>
      <c r="G441" s="199"/>
      <c r="H441" s="198"/>
      <c r="I441" s="198"/>
      <c r="J441" s="198"/>
      <c r="K441" s="198"/>
      <c r="L441" s="198"/>
      <c r="M441" s="198"/>
      <c r="N441" s="198"/>
      <c r="O441" s="198"/>
      <c r="P441" s="198"/>
      <c r="Q441" s="198"/>
      <c r="R441" s="198"/>
      <c r="S441" s="198"/>
      <c r="T441" s="198"/>
      <c r="U441" s="198"/>
      <c r="V441" s="198"/>
      <c r="W441" s="198"/>
      <c r="X441" s="198"/>
    </row>
    <row r="442">
      <c r="A442" s="198"/>
      <c r="B442" s="199"/>
      <c r="C442" s="198"/>
      <c r="D442" s="198"/>
      <c r="E442" s="198"/>
      <c r="F442" s="199"/>
      <c r="G442" s="199"/>
      <c r="H442" s="198"/>
      <c r="I442" s="198"/>
      <c r="J442" s="198"/>
      <c r="K442" s="198"/>
      <c r="L442" s="198"/>
      <c r="M442" s="198"/>
      <c r="N442" s="198"/>
      <c r="O442" s="198"/>
      <c r="P442" s="198"/>
      <c r="Q442" s="198"/>
      <c r="R442" s="198"/>
      <c r="S442" s="198"/>
      <c r="T442" s="198"/>
      <c r="U442" s="198"/>
      <c r="V442" s="198"/>
      <c r="W442" s="198"/>
      <c r="X442" s="198"/>
    </row>
    <row r="443">
      <c r="A443" s="198"/>
      <c r="B443" s="199"/>
      <c r="C443" s="198"/>
      <c r="D443" s="198"/>
      <c r="E443" s="198"/>
      <c r="F443" s="199"/>
      <c r="G443" s="199"/>
      <c r="H443" s="198"/>
      <c r="I443" s="198"/>
      <c r="J443" s="198"/>
      <c r="K443" s="198"/>
      <c r="L443" s="198"/>
      <c r="M443" s="198"/>
      <c r="N443" s="198"/>
      <c r="O443" s="198"/>
      <c r="P443" s="198"/>
      <c r="Q443" s="198"/>
      <c r="R443" s="198"/>
      <c r="S443" s="198"/>
      <c r="T443" s="198"/>
      <c r="U443" s="198"/>
      <c r="V443" s="198"/>
      <c r="W443" s="198"/>
      <c r="X443" s="198"/>
    </row>
    <row r="444">
      <c r="A444" s="198"/>
      <c r="B444" s="199"/>
      <c r="C444" s="198"/>
      <c r="D444" s="198"/>
      <c r="E444" s="198"/>
      <c r="F444" s="199"/>
      <c r="G444" s="199"/>
      <c r="H444" s="198"/>
      <c r="I444" s="198"/>
      <c r="J444" s="198"/>
      <c r="K444" s="198"/>
      <c r="L444" s="198"/>
      <c r="M444" s="198"/>
      <c r="N444" s="198"/>
      <c r="O444" s="198"/>
      <c r="P444" s="198"/>
      <c r="Q444" s="198"/>
      <c r="R444" s="198"/>
      <c r="S444" s="198"/>
      <c r="T444" s="198"/>
      <c r="U444" s="198"/>
      <c r="V444" s="198"/>
      <c r="W444" s="198"/>
      <c r="X444" s="198"/>
    </row>
    <row r="445">
      <c r="A445" s="198"/>
      <c r="B445" s="199"/>
      <c r="C445" s="198"/>
      <c r="D445" s="198"/>
      <c r="E445" s="198"/>
      <c r="F445" s="199"/>
      <c r="G445" s="199"/>
      <c r="H445" s="198"/>
      <c r="I445" s="198"/>
      <c r="J445" s="198"/>
      <c r="K445" s="198"/>
      <c r="L445" s="198"/>
      <c r="M445" s="198"/>
      <c r="N445" s="198"/>
      <c r="O445" s="198"/>
      <c r="P445" s="198"/>
      <c r="Q445" s="198"/>
      <c r="R445" s="198"/>
      <c r="S445" s="198"/>
      <c r="T445" s="198"/>
      <c r="U445" s="198"/>
      <c r="V445" s="198"/>
      <c r="W445" s="198"/>
      <c r="X445" s="198"/>
    </row>
    <row r="446">
      <c r="A446" s="198"/>
      <c r="B446" s="199"/>
      <c r="C446" s="198"/>
      <c r="D446" s="198"/>
      <c r="E446" s="198"/>
      <c r="F446" s="199"/>
      <c r="G446" s="199"/>
      <c r="H446" s="198"/>
      <c r="I446" s="198"/>
      <c r="J446" s="198"/>
      <c r="K446" s="198"/>
      <c r="L446" s="198"/>
      <c r="M446" s="198"/>
      <c r="N446" s="198"/>
      <c r="O446" s="198"/>
      <c r="P446" s="198"/>
      <c r="Q446" s="198"/>
      <c r="R446" s="198"/>
      <c r="S446" s="198"/>
      <c r="T446" s="198"/>
      <c r="U446" s="198"/>
      <c r="V446" s="198"/>
      <c r="W446" s="198"/>
      <c r="X446" s="198"/>
    </row>
    <row r="447">
      <c r="A447" s="198"/>
      <c r="B447" s="199"/>
      <c r="C447" s="198"/>
      <c r="D447" s="198"/>
      <c r="E447" s="198"/>
      <c r="F447" s="199"/>
      <c r="G447" s="199"/>
      <c r="H447" s="198"/>
      <c r="I447" s="198"/>
      <c r="J447" s="198"/>
      <c r="K447" s="198"/>
      <c r="L447" s="198"/>
      <c r="M447" s="198"/>
      <c r="N447" s="198"/>
      <c r="O447" s="198"/>
      <c r="P447" s="198"/>
      <c r="Q447" s="198"/>
      <c r="R447" s="198"/>
      <c r="S447" s="198"/>
      <c r="T447" s="198"/>
      <c r="U447" s="198"/>
      <c r="V447" s="198"/>
      <c r="W447" s="198"/>
      <c r="X447" s="198"/>
    </row>
    <row r="448">
      <c r="A448" s="198"/>
      <c r="B448" s="199"/>
      <c r="C448" s="198"/>
      <c r="D448" s="198"/>
      <c r="E448" s="198"/>
      <c r="F448" s="199"/>
      <c r="G448" s="199"/>
      <c r="H448" s="198"/>
      <c r="I448" s="198"/>
      <c r="J448" s="198"/>
      <c r="K448" s="198"/>
      <c r="L448" s="198"/>
      <c r="M448" s="198"/>
      <c r="N448" s="198"/>
      <c r="O448" s="198"/>
      <c r="P448" s="198"/>
      <c r="Q448" s="198"/>
      <c r="R448" s="198"/>
      <c r="S448" s="198"/>
      <c r="T448" s="198"/>
      <c r="U448" s="198"/>
      <c r="V448" s="198"/>
      <c r="W448" s="198"/>
      <c r="X448" s="198"/>
    </row>
    <row r="449">
      <c r="A449" s="198"/>
      <c r="B449" s="199"/>
      <c r="C449" s="198"/>
      <c r="D449" s="198"/>
      <c r="E449" s="198"/>
      <c r="F449" s="199"/>
      <c r="G449" s="199"/>
      <c r="H449" s="198"/>
      <c r="I449" s="198"/>
      <c r="J449" s="198"/>
      <c r="K449" s="198"/>
      <c r="L449" s="198"/>
      <c r="M449" s="198"/>
      <c r="N449" s="198"/>
      <c r="O449" s="198"/>
      <c r="P449" s="198"/>
      <c r="Q449" s="198"/>
      <c r="R449" s="198"/>
      <c r="S449" s="198"/>
      <c r="T449" s="198"/>
      <c r="U449" s="198"/>
      <c r="V449" s="198"/>
      <c r="W449" s="198"/>
      <c r="X449" s="198"/>
    </row>
    <row r="450">
      <c r="A450" s="198"/>
      <c r="B450" s="199"/>
      <c r="C450" s="198"/>
      <c r="D450" s="198"/>
      <c r="E450" s="198"/>
      <c r="F450" s="199"/>
      <c r="G450" s="199"/>
      <c r="H450" s="198"/>
      <c r="I450" s="198"/>
      <c r="J450" s="198"/>
      <c r="K450" s="198"/>
      <c r="L450" s="198"/>
      <c r="M450" s="198"/>
      <c r="N450" s="198"/>
      <c r="O450" s="198"/>
      <c r="P450" s="198"/>
      <c r="Q450" s="198"/>
      <c r="R450" s="198"/>
      <c r="S450" s="198"/>
      <c r="T450" s="198"/>
      <c r="U450" s="198"/>
      <c r="V450" s="198"/>
      <c r="W450" s="198"/>
      <c r="X450" s="198"/>
    </row>
    <row r="451">
      <c r="A451" s="198"/>
      <c r="B451" s="199"/>
      <c r="C451" s="198"/>
      <c r="D451" s="198"/>
      <c r="E451" s="198"/>
      <c r="F451" s="199"/>
      <c r="G451" s="199"/>
      <c r="H451" s="198"/>
      <c r="I451" s="198"/>
      <c r="J451" s="198"/>
      <c r="K451" s="198"/>
      <c r="L451" s="198"/>
      <c r="M451" s="198"/>
      <c r="N451" s="198"/>
      <c r="O451" s="198"/>
      <c r="P451" s="198"/>
      <c r="Q451" s="198"/>
      <c r="R451" s="198"/>
      <c r="S451" s="198"/>
      <c r="T451" s="198"/>
      <c r="U451" s="198"/>
      <c r="V451" s="198"/>
      <c r="W451" s="198"/>
      <c r="X451" s="198"/>
    </row>
    <row r="452">
      <c r="A452" s="198"/>
      <c r="B452" s="199"/>
      <c r="C452" s="198"/>
      <c r="D452" s="198"/>
      <c r="E452" s="198"/>
      <c r="F452" s="199"/>
      <c r="G452" s="199"/>
      <c r="H452" s="198"/>
      <c r="I452" s="198"/>
      <c r="J452" s="198"/>
      <c r="K452" s="198"/>
      <c r="L452" s="198"/>
      <c r="M452" s="198"/>
      <c r="N452" s="198"/>
      <c r="O452" s="198"/>
      <c r="P452" s="198"/>
      <c r="Q452" s="198"/>
      <c r="R452" s="198"/>
      <c r="S452" s="198"/>
      <c r="T452" s="198"/>
      <c r="U452" s="198"/>
      <c r="V452" s="198"/>
      <c r="W452" s="198"/>
      <c r="X452" s="198"/>
    </row>
    <row r="453">
      <c r="A453" s="198"/>
      <c r="B453" s="199"/>
      <c r="C453" s="198"/>
      <c r="D453" s="198"/>
      <c r="E453" s="198"/>
      <c r="F453" s="199"/>
      <c r="G453" s="199"/>
      <c r="H453" s="198"/>
      <c r="I453" s="198"/>
      <c r="J453" s="198"/>
      <c r="K453" s="198"/>
      <c r="L453" s="198"/>
      <c r="M453" s="198"/>
      <c r="N453" s="198"/>
      <c r="O453" s="198"/>
      <c r="P453" s="198"/>
      <c r="Q453" s="198"/>
      <c r="R453" s="198"/>
      <c r="S453" s="198"/>
      <c r="T453" s="198"/>
      <c r="U453" s="198"/>
      <c r="V453" s="198"/>
      <c r="W453" s="198"/>
      <c r="X453" s="198"/>
    </row>
    <row r="454">
      <c r="A454" s="198"/>
      <c r="B454" s="199"/>
      <c r="C454" s="198"/>
      <c r="D454" s="198"/>
      <c r="E454" s="198"/>
      <c r="F454" s="199"/>
      <c r="G454" s="199"/>
      <c r="H454" s="198"/>
      <c r="I454" s="198"/>
      <c r="J454" s="198"/>
      <c r="K454" s="198"/>
      <c r="L454" s="198"/>
      <c r="M454" s="198"/>
      <c r="N454" s="198"/>
      <c r="O454" s="198"/>
      <c r="P454" s="198"/>
      <c r="Q454" s="198"/>
      <c r="R454" s="198"/>
      <c r="S454" s="198"/>
      <c r="T454" s="198"/>
      <c r="U454" s="198"/>
      <c r="V454" s="198"/>
      <c r="W454" s="198"/>
      <c r="X454" s="198"/>
    </row>
    <row r="455">
      <c r="A455" s="198"/>
      <c r="B455" s="199"/>
      <c r="C455" s="198"/>
      <c r="D455" s="198"/>
      <c r="E455" s="198"/>
      <c r="F455" s="199"/>
      <c r="G455" s="199"/>
      <c r="H455" s="198"/>
      <c r="I455" s="198"/>
      <c r="J455" s="198"/>
      <c r="K455" s="198"/>
      <c r="L455" s="198"/>
      <c r="M455" s="198"/>
      <c r="N455" s="198"/>
      <c r="O455" s="198"/>
      <c r="P455" s="198"/>
      <c r="Q455" s="198"/>
      <c r="R455" s="198"/>
      <c r="S455" s="198"/>
      <c r="T455" s="198"/>
      <c r="U455" s="198"/>
      <c r="V455" s="198"/>
      <c r="W455" s="198"/>
      <c r="X455" s="198"/>
    </row>
    <row r="456">
      <c r="A456" s="198"/>
      <c r="B456" s="199"/>
      <c r="C456" s="198"/>
      <c r="D456" s="198"/>
      <c r="E456" s="198"/>
      <c r="F456" s="199"/>
      <c r="G456" s="199"/>
      <c r="H456" s="198"/>
      <c r="I456" s="198"/>
      <c r="J456" s="198"/>
      <c r="K456" s="198"/>
      <c r="L456" s="198"/>
      <c r="M456" s="198"/>
      <c r="N456" s="198"/>
      <c r="O456" s="198"/>
      <c r="P456" s="198"/>
      <c r="Q456" s="198"/>
      <c r="R456" s="198"/>
      <c r="S456" s="198"/>
      <c r="T456" s="198"/>
      <c r="U456" s="198"/>
      <c r="V456" s="198"/>
      <c r="W456" s="198"/>
      <c r="X456" s="198"/>
    </row>
    <row r="457">
      <c r="A457" s="198"/>
      <c r="B457" s="199"/>
      <c r="C457" s="198"/>
      <c r="D457" s="198"/>
      <c r="E457" s="198"/>
      <c r="F457" s="199"/>
      <c r="G457" s="199"/>
      <c r="H457" s="198"/>
      <c r="I457" s="198"/>
      <c r="J457" s="198"/>
      <c r="K457" s="198"/>
      <c r="L457" s="198"/>
      <c r="M457" s="198"/>
      <c r="N457" s="198"/>
      <c r="O457" s="198"/>
      <c r="P457" s="198"/>
      <c r="Q457" s="198"/>
      <c r="R457" s="198"/>
      <c r="S457" s="198"/>
      <c r="T457" s="198"/>
      <c r="U457" s="198"/>
      <c r="V457" s="198"/>
      <c r="W457" s="198"/>
      <c r="X457" s="198"/>
    </row>
    <row r="458">
      <c r="A458" s="198"/>
      <c r="B458" s="199"/>
      <c r="C458" s="198"/>
      <c r="D458" s="198"/>
      <c r="E458" s="198"/>
      <c r="F458" s="199"/>
      <c r="G458" s="199"/>
      <c r="H458" s="198"/>
      <c r="I458" s="198"/>
      <c r="J458" s="198"/>
      <c r="K458" s="198"/>
      <c r="L458" s="198"/>
      <c r="M458" s="198"/>
      <c r="N458" s="198"/>
      <c r="O458" s="198"/>
      <c r="P458" s="198"/>
      <c r="Q458" s="198"/>
      <c r="R458" s="198"/>
      <c r="S458" s="198"/>
      <c r="T458" s="198"/>
      <c r="U458" s="198"/>
      <c r="V458" s="198"/>
      <c r="W458" s="198"/>
      <c r="X458" s="198"/>
    </row>
    <row r="459">
      <c r="A459" s="198"/>
      <c r="B459" s="199"/>
      <c r="C459" s="198"/>
      <c r="D459" s="198"/>
      <c r="E459" s="198"/>
      <c r="F459" s="199"/>
      <c r="G459" s="199"/>
      <c r="H459" s="198"/>
      <c r="I459" s="198"/>
      <c r="J459" s="198"/>
      <c r="K459" s="198"/>
      <c r="L459" s="198"/>
      <c r="M459" s="198"/>
      <c r="N459" s="198"/>
      <c r="O459" s="198"/>
      <c r="P459" s="198"/>
      <c r="Q459" s="198"/>
      <c r="R459" s="198"/>
      <c r="S459" s="198"/>
      <c r="T459" s="198"/>
      <c r="U459" s="198"/>
      <c r="V459" s="198"/>
      <c r="W459" s="198"/>
      <c r="X459" s="198"/>
    </row>
    <row r="460">
      <c r="A460" s="198"/>
      <c r="B460" s="199"/>
      <c r="C460" s="198"/>
      <c r="D460" s="198"/>
      <c r="E460" s="198"/>
      <c r="F460" s="199"/>
      <c r="G460" s="199"/>
      <c r="H460" s="198"/>
      <c r="I460" s="198"/>
      <c r="J460" s="198"/>
      <c r="K460" s="198"/>
      <c r="L460" s="198"/>
      <c r="M460" s="198"/>
      <c r="N460" s="198"/>
      <c r="O460" s="198"/>
      <c r="P460" s="198"/>
      <c r="Q460" s="198"/>
      <c r="R460" s="198"/>
      <c r="S460" s="198"/>
      <c r="T460" s="198"/>
      <c r="U460" s="198"/>
      <c r="V460" s="198"/>
      <c r="W460" s="198"/>
      <c r="X460" s="198"/>
    </row>
    <row r="461">
      <c r="A461" s="198"/>
      <c r="B461" s="199"/>
      <c r="C461" s="198"/>
      <c r="D461" s="198"/>
      <c r="E461" s="198"/>
      <c r="F461" s="199"/>
      <c r="G461" s="199"/>
      <c r="H461" s="198"/>
      <c r="I461" s="198"/>
      <c r="J461" s="198"/>
      <c r="K461" s="198"/>
      <c r="L461" s="198"/>
      <c r="M461" s="198"/>
      <c r="N461" s="198"/>
      <c r="O461" s="198"/>
      <c r="P461" s="198"/>
      <c r="Q461" s="198"/>
      <c r="R461" s="198"/>
      <c r="S461" s="198"/>
      <c r="T461" s="198"/>
      <c r="U461" s="198"/>
      <c r="V461" s="198"/>
      <c r="W461" s="198"/>
      <c r="X461" s="198"/>
    </row>
    <row r="462">
      <c r="A462" s="198"/>
      <c r="B462" s="199"/>
      <c r="C462" s="198"/>
      <c r="D462" s="198"/>
      <c r="E462" s="198"/>
      <c r="F462" s="199"/>
      <c r="G462" s="199"/>
      <c r="H462" s="198"/>
      <c r="I462" s="198"/>
      <c r="J462" s="198"/>
      <c r="K462" s="198"/>
      <c r="L462" s="198"/>
      <c r="M462" s="198"/>
      <c r="N462" s="198"/>
      <c r="O462" s="198"/>
      <c r="P462" s="198"/>
      <c r="Q462" s="198"/>
      <c r="R462" s="198"/>
      <c r="S462" s="198"/>
      <c r="T462" s="198"/>
      <c r="U462" s="198"/>
      <c r="V462" s="198"/>
      <c r="W462" s="198"/>
      <c r="X462" s="198"/>
    </row>
    <row r="463">
      <c r="A463" s="198"/>
      <c r="B463" s="199"/>
      <c r="C463" s="198"/>
      <c r="D463" s="198"/>
      <c r="E463" s="198"/>
      <c r="F463" s="199"/>
      <c r="G463" s="199"/>
      <c r="H463" s="198"/>
      <c r="I463" s="198"/>
      <c r="J463" s="198"/>
      <c r="K463" s="198"/>
      <c r="L463" s="198"/>
      <c r="M463" s="198"/>
      <c r="N463" s="198"/>
      <c r="O463" s="198"/>
      <c r="P463" s="198"/>
      <c r="Q463" s="198"/>
      <c r="R463" s="198"/>
      <c r="S463" s="198"/>
      <c r="T463" s="198"/>
      <c r="U463" s="198"/>
      <c r="V463" s="198"/>
      <c r="W463" s="198"/>
      <c r="X463" s="198"/>
    </row>
    <row r="464">
      <c r="A464" s="198"/>
      <c r="B464" s="199"/>
      <c r="C464" s="198"/>
      <c r="D464" s="198"/>
      <c r="E464" s="198"/>
      <c r="F464" s="199"/>
      <c r="G464" s="199"/>
      <c r="H464" s="198"/>
      <c r="I464" s="198"/>
      <c r="J464" s="198"/>
      <c r="K464" s="198"/>
      <c r="L464" s="198"/>
      <c r="M464" s="198"/>
      <c r="N464" s="198"/>
      <c r="O464" s="198"/>
      <c r="P464" s="198"/>
      <c r="Q464" s="198"/>
      <c r="R464" s="198"/>
      <c r="S464" s="198"/>
      <c r="T464" s="198"/>
      <c r="U464" s="198"/>
      <c r="V464" s="198"/>
      <c r="W464" s="198"/>
      <c r="X464" s="198"/>
    </row>
    <row r="465">
      <c r="A465" s="198"/>
      <c r="B465" s="199"/>
      <c r="C465" s="198"/>
      <c r="D465" s="198"/>
      <c r="E465" s="198"/>
      <c r="F465" s="199"/>
      <c r="G465" s="199"/>
      <c r="H465" s="198"/>
      <c r="I465" s="198"/>
      <c r="J465" s="198"/>
      <c r="K465" s="198"/>
      <c r="L465" s="198"/>
      <c r="M465" s="198"/>
      <c r="N465" s="198"/>
      <c r="O465" s="198"/>
      <c r="P465" s="198"/>
      <c r="Q465" s="198"/>
      <c r="R465" s="198"/>
      <c r="S465" s="198"/>
      <c r="T465" s="198"/>
      <c r="U465" s="198"/>
      <c r="V465" s="198"/>
      <c r="W465" s="198"/>
      <c r="X465" s="198"/>
    </row>
    <row r="466">
      <c r="A466" s="198"/>
      <c r="B466" s="199"/>
      <c r="C466" s="198"/>
      <c r="D466" s="198"/>
      <c r="E466" s="198"/>
      <c r="F466" s="199"/>
      <c r="G466" s="199"/>
      <c r="H466" s="198"/>
      <c r="I466" s="198"/>
      <c r="J466" s="198"/>
      <c r="K466" s="198"/>
      <c r="L466" s="198"/>
      <c r="M466" s="198"/>
      <c r="N466" s="198"/>
      <c r="O466" s="198"/>
      <c r="P466" s="198"/>
      <c r="Q466" s="198"/>
      <c r="R466" s="198"/>
      <c r="S466" s="198"/>
      <c r="T466" s="198"/>
      <c r="U466" s="198"/>
      <c r="V466" s="198"/>
      <c r="W466" s="198"/>
      <c r="X466" s="198"/>
    </row>
    <row r="467">
      <c r="A467" s="198"/>
      <c r="B467" s="199"/>
      <c r="C467" s="198"/>
      <c r="D467" s="198"/>
      <c r="E467" s="198"/>
      <c r="F467" s="199"/>
      <c r="G467" s="199"/>
      <c r="H467" s="198"/>
      <c r="I467" s="198"/>
      <c r="J467" s="198"/>
      <c r="K467" s="198"/>
      <c r="L467" s="198"/>
      <c r="M467" s="198"/>
      <c r="N467" s="198"/>
      <c r="O467" s="198"/>
      <c r="P467" s="198"/>
      <c r="Q467" s="198"/>
      <c r="R467" s="198"/>
      <c r="S467" s="198"/>
      <c r="T467" s="198"/>
      <c r="U467" s="198"/>
      <c r="V467" s="198"/>
      <c r="W467" s="198"/>
      <c r="X467" s="198"/>
    </row>
    <row r="468">
      <c r="A468" s="198"/>
      <c r="B468" s="199"/>
      <c r="C468" s="198"/>
      <c r="D468" s="198"/>
      <c r="E468" s="198"/>
      <c r="F468" s="199"/>
      <c r="G468" s="199"/>
      <c r="H468" s="198"/>
      <c r="I468" s="198"/>
      <c r="J468" s="198"/>
      <c r="K468" s="198"/>
      <c r="L468" s="198"/>
      <c r="M468" s="198"/>
      <c r="N468" s="198"/>
      <c r="O468" s="198"/>
      <c r="P468" s="198"/>
      <c r="Q468" s="198"/>
      <c r="R468" s="198"/>
      <c r="S468" s="198"/>
      <c r="T468" s="198"/>
      <c r="U468" s="198"/>
      <c r="V468" s="198"/>
      <c r="W468" s="198"/>
      <c r="X468" s="198"/>
    </row>
    <row r="469">
      <c r="A469" s="198"/>
      <c r="B469" s="199"/>
      <c r="C469" s="198"/>
      <c r="D469" s="198"/>
      <c r="E469" s="198"/>
      <c r="F469" s="199"/>
      <c r="G469" s="199"/>
      <c r="H469" s="198"/>
      <c r="I469" s="198"/>
      <c r="J469" s="198"/>
      <c r="K469" s="198"/>
      <c r="L469" s="198"/>
      <c r="M469" s="198"/>
      <c r="N469" s="198"/>
      <c r="O469" s="198"/>
      <c r="P469" s="198"/>
      <c r="Q469" s="198"/>
      <c r="R469" s="198"/>
      <c r="S469" s="198"/>
      <c r="T469" s="198"/>
      <c r="U469" s="198"/>
      <c r="V469" s="198"/>
      <c r="W469" s="198"/>
      <c r="X469" s="198"/>
    </row>
    <row r="470">
      <c r="A470" s="198"/>
      <c r="B470" s="199"/>
      <c r="C470" s="198"/>
      <c r="D470" s="198"/>
      <c r="E470" s="198"/>
      <c r="F470" s="199"/>
      <c r="G470" s="199"/>
      <c r="H470" s="198"/>
      <c r="I470" s="198"/>
      <c r="J470" s="198"/>
      <c r="K470" s="198"/>
      <c r="L470" s="198"/>
      <c r="M470" s="198"/>
      <c r="N470" s="198"/>
      <c r="O470" s="198"/>
      <c r="P470" s="198"/>
      <c r="Q470" s="198"/>
      <c r="R470" s="198"/>
      <c r="S470" s="198"/>
      <c r="T470" s="198"/>
      <c r="U470" s="198"/>
      <c r="V470" s="198"/>
      <c r="W470" s="198"/>
      <c r="X470" s="198"/>
    </row>
    <row r="471">
      <c r="A471" s="198"/>
      <c r="B471" s="199"/>
      <c r="C471" s="198"/>
      <c r="D471" s="198"/>
      <c r="E471" s="198"/>
      <c r="F471" s="199"/>
      <c r="G471" s="199"/>
      <c r="H471" s="198"/>
      <c r="I471" s="198"/>
      <c r="J471" s="198"/>
      <c r="K471" s="198"/>
      <c r="L471" s="198"/>
      <c r="M471" s="198"/>
      <c r="N471" s="198"/>
      <c r="O471" s="198"/>
      <c r="P471" s="198"/>
      <c r="Q471" s="198"/>
      <c r="R471" s="198"/>
      <c r="S471" s="198"/>
      <c r="T471" s="198"/>
      <c r="U471" s="198"/>
      <c r="V471" s="198"/>
      <c r="W471" s="198"/>
      <c r="X471" s="198"/>
    </row>
    <row r="472">
      <c r="A472" s="198"/>
      <c r="B472" s="199"/>
      <c r="C472" s="198"/>
      <c r="D472" s="198"/>
      <c r="E472" s="198"/>
      <c r="F472" s="199"/>
      <c r="G472" s="199"/>
      <c r="H472" s="198"/>
      <c r="I472" s="198"/>
      <c r="J472" s="198"/>
      <c r="K472" s="198"/>
      <c r="L472" s="198"/>
      <c r="M472" s="198"/>
      <c r="N472" s="198"/>
      <c r="O472" s="198"/>
      <c r="P472" s="198"/>
      <c r="Q472" s="198"/>
      <c r="R472" s="198"/>
      <c r="S472" s="198"/>
      <c r="T472" s="198"/>
      <c r="U472" s="198"/>
      <c r="V472" s="198"/>
      <c r="W472" s="198"/>
      <c r="X472" s="198"/>
    </row>
    <row r="473">
      <c r="A473" s="198"/>
      <c r="B473" s="199"/>
      <c r="C473" s="198"/>
      <c r="D473" s="198"/>
      <c r="E473" s="198"/>
      <c r="F473" s="199"/>
      <c r="G473" s="199"/>
      <c r="H473" s="198"/>
      <c r="I473" s="198"/>
      <c r="J473" s="198"/>
      <c r="K473" s="198"/>
      <c r="L473" s="198"/>
      <c r="M473" s="198"/>
      <c r="N473" s="198"/>
      <c r="O473" s="198"/>
      <c r="P473" s="198"/>
      <c r="Q473" s="198"/>
      <c r="R473" s="198"/>
      <c r="S473" s="198"/>
      <c r="T473" s="198"/>
      <c r="U473" s="198"/>
      <c r="V473" s="198"/>
      <c r="W473" s="198"/>
      <c r="X473" s="198"/>
    </row>
    <row r="474">
      <c r="A474" s="198"/>
      <c r="B474" s="199"/>
      <c r="C474" s="198"/>
      <c r="D474" s="198"/>
      <c r="E474" s="198"/>
      <c r="F474" s="199"/>
      <c r="G474" s="199"/>
      <c r="H474" s="198"/>
      <c r="I474" s="198"/>
      <c r="J474" s="198"/>
      <c r="K474" s="198"/>
      <c r="L474" s="198"/>
      <c r="M474" s="198"/>
      <c r="N474" s="198"/>
      <c r="O474" s="198"/>
      <c r="P474" s="198"/>
      <c r="Q474" s="198"/>
      <c r="R474" s="198"/>
      <c r="S474" s="198"/>
      <c r="T474" s="198"/>
      <c r="U474" s="198"/>
      <c r="V474" s="198"/>
      <c r="W474" s="198"/>
      <c r="X474" s="198"/>
    </row>
    <row r="475">
      <c r="A475" s="198"/>
      <c r="B475" s="199"/>
      <c r="C475" s="198"/>
      <c r="D475" s="198"/>
      <c r="E475" s="198"/>
      <c r="F475" s="199"/>
      <c r="G475" s="199"/>
      <c r="H475" s="198"/>
      <c r="I475" s="198"/>
      <c r="J475" s="198"/>
      <c r="K475" s="198"/>
      <c r="L475" s="198"/>
      <c r="M475" s="198"/>
      <c r="N475" s="198"/>
      <c r="O475" s="198"/>
      <c r="P475" s="198"/>
      <c r="Q475" s="198"/>
      <c r="R475" s="198"/>
      <c r="S475" s="198"/>
      <c r="T475" s="198"/>
      <c r="U475" s="198"/>
      <c r="V475" s="198"/>
      <c r="W475" s="198"/>
      <c r="X475" s="198"/>
    </row>
    <row r="476">
      <c r="A476" s="198"/>
      <c r="B476" s="199"/>
      <c r="C476" s="198"/>
      <c r="D476" s="198"/>
      <c r="E476" s="198"/>
      <c r="F476" s="199"/>
      <c r="G476" s="199"/>
      <c r="H476" s="198"/>
      <c r="I476" s="198"/>
      <c r="J476" s="198"/>
      <c r="K476" s="198"/>
      <c r="L476" s="198"/>
      <c r="M476" s="198"/>
      <c r="N476" s="198"/>
      <c r="O476" s="198"/>
      <c r="P476" s="198"/>
      <c r="Q476" s="198"/>
      <c r="R476" s="198"/>
      <c r="S476" s="198"/>
      <c r="T476" s="198"/>
      <c r="U476" s="198"/>
      <c r="V476" s="198"/>
      <c r="W476" s="198"/>
      <c r="X476" s="198"/>
    </row>
    <row r="477">
      <c r="A477" s="198"/>
      <c r="B477" s="199"/>
      <c r="C477" s="198"/>
      <c r="D477" s="198"/>
      <c r="E477" s="198"/>
      <c r="F477" s="199"/>
      <c r="G477" s="199"/>
      <c r="H477" s="198"/>
      <c r="I477" s="198"/>
      <c r="J477" s="198"/>
      <c r="K477" s="198"/>
      <c r="L477" s="198"/>
      <c r="M477" s="198"/>
      <c r="N477" s="198"/>
      <c r="O477" s="198"/>
      <c r="P477" s="198"/>
      <c r="Q477" s="198"/>
      <c r="R477" s="198"/>
      <c r="S477" s="198"/>
      <c r="T477" s="198"/>
      <c r="U477" s="198"/>
      <c r="V477" s="198"/>
      <c r="W477" s="198"/>
      <c r="X477" s="198"/>
    </row>
    <row r="478">
      <c r="A478" s="198"/>
      <c r="B478" s="199"/>
      <c r="C478" s="198"/>
      <c r="D478" s="198"/>
      <c r="E478" s="198"/>
      <c r="F478" s="199"/>
      <c r="G478" s="199"/>
      <c r="H478" s="198"/>
      <c r="I478" s="198"/>
      <c r="J478" s="198"/>
      <c r="K478" s="198"/>
      <c r="L478" s="198"/>
      <c r="M478" s="198"/>
      <c r="N478" s="198"/>
      <c r="O478" s="198"/>
      <c r="P478" s="198"/>
      <c r="Q478" s="198"/>
      <c r="R478" s="198"/>
      <c r="S478" s="198"/>
      <c r="T478" s="198"/>
      <c r="U478" s="198"/>
      <c r="V478" s="198"/>
      <c r="W478" s="198"/>
      <c r="X478" s="198"/>
    </row>
    <row r="479">
      <c r="A479" s="198"/>
      <c r="B479" s="199"/>
      <c r="C479" s="198"/>
      <c r="D479" s="198"/>
      <c r="E479" s="198"/>
      <c r="F479" s="199"/>
      <c r="G479" s="199"/>
      <c r="H479" s="198"/>
      <c r="I479" s="198"/>
      <c r="J479" s="198"/>
      <c r="K479" s="198"/>
      <c r="L479" s="198"/>
      <c r="M479" s="198"/>
      <c r="N479" s="198"/>
      <c r="O479" s="198"/>
      <c r="P479" s="198"/>
      <c r="Q479" s="198"/>
      <c r="R479" s="198"/>
      <c r="S479" s="198"/>
      <c r="T479" s="198"/>
      <c r="U479" s="198"/>
      <c r="V479" s="198"/>
      <c r="W479" s="198"/>
      <c r="X479" s="198"/>
    </row>
    <row r="480">
      <c r="A480" s="198"/>
      <c r="B480" s="199"/>
      <c r="C480" s="198"/>
      <c r="D480" s="198"/>
      <c r="E480" s="198"/>
      <c r="F480" s="199"/>
      <c r="G480" s="199"/>
      <c r="H480" s="198"/>
      <c r="I480" s="198"/>
      <c r="J480" s="198"/>
      <c r="K480" s="198"/>
      <c r="L480" s="198"/>
      <c r="M480" s="198"/>
      <c r="N480" s="198"/>
      <c r="O480" s="198"/>
      <c r="P480" s="198"/>
      <c r="Q480" s="198"/>
      <c r="R480" s="198"/>
      <c r="S480" s="198"/>
      <c r="T480" s="198"/>
      <c r="U480" s="198"/>
      <c r="V480" s="198"/>
      <c r="W480" s="198"/>
      <c r="X480" s="198"/>
    </row>
    <row r="481">
      <c r="A481" s="198"/>
      <c r="B481" s="199"/>
      <c r="C481" s="198"/>
      <c r="D481" s="198"/>
      <c r="E481" s="198"/>
      <c r="F481" s="199"/>
      <c r="G481" s="199"/>
      <c r="H481" s="198"/>
      <c r="I481" s="198"/>
      <c r="J481" s="198"/>
      <c r="K481" s="198"/>
      <c r="L481" s="198"/>
      <c r="M481" s="198"/>
      <c r="N481" s="198"/>
      <c r="O481" s="198"/>
      <c r="P481" s="198"/>
      <c r="Q481" s="198"/>
      <c r="R481" s="198"/>
      <c r="S481" s="198"/>
      <c r="T481" s="198"/>
      <c r="U481" s="198"/>
      <c r="V481" s="198"/>
      <c r="W481" s="198"/>
      <c r="X481" s="198"/>
    </row>
    <row r="482">
      <c r="A482" s="198"/>
      <c r="B482" s="199"/>
      <c r="C482" s="198"/>
      <c r="D482" s="198"/>
      <c r="E482" s="198"/>
      <c r="F482" s="199"/>
      <c r="G482" s="199"/>
      <c r="H482" s="198"/>
      <c r="I482" s="198"/>
      <c r="J482" s="198"/>
      <c r="K482" s="198"/>
      <c r="L482" s="198"/>
      <c r="M482" s="198"/>
      <c r="N482" s="198"/>
      <c r="O482" s="198"/>
      <c r="P482" s="198"/>
      <c r="Q482" s="198"/>
      <c r="R482" s="198"/>
      <c r="S482" s="198"/>
      <c r="T482" s="198"/>
      <c r="U482" s="198"/>
      <c r="V482" s="198"/>
      <c r="W482" s="198"/>
      <c r="X482" s="198"/>
    </row>
    <row r="483">
      <c r="A483" s="198"/>
      <c r="B483" s="199"/>
      <c r="C483" s="198"/>
      <c r="D483" s="198"/>
      <c r="E483" s="198"/>
      <c r="F483" s="199"/>
      <c r="G483" s="199"/>
      <c r="H483" s="198"/>
      <c r="I483" s="198"/>
      <c r="J483" s="198"/>
      <c r="K483" s="198"/>
      <c r="L483" s="198"/>
      <c r="M483" s="198"/>
      <c r="N483" s="198"/>
      <c r="O483" s="198"/>
      <c r="P483" s="198"/>
      <c r="Q483" s="198"/>
      <c r="R483" s="198"/>
      <c r="S483" s="198"/>
      <c r="T483" s="198"/>
      <c r="U483" s="198"/>
      <c r="V483" s="198"/>
      <c r="W483" s="198"/>
      <c r="X483" s="198"/>
    </row>
    <row r="484">
      <c r="A484" s="198"/>
      <c r="B484" s="199"/>
      <c r="C484" s="198"/>
      <c r="D484" s="198"/>
      <c r="E484" s="198"/>
      <c r="F484" s="199"/>
      <c r="G484" s="199"/>
      <c r="H484" s="198"/>
      <c r="I484" s="198"/>
      <c r="J484" s="198"/>
      <c r="K484" s="198"/>
      <c r="L484" s="198"/>
      <c r="M484" s="198"/>
      <c r="N484" s="198"/>
      <c r="O484" s="198"/>
      <c r="P484" s="198"/>
      <c r="Q484" s="198"/>
      <c r="R484" s="198"/>
      <c r="S484" s="198"/>
      <c r="T484" s="198"/>
      <c r="U484" s="198"/>
      <c r="V484" s="198"/>
      <c r="W484" s="198"/>
      <c r="X484" s="198"/>
    </row>
    <row r="485">
      <c r="A485" s="198"/>
      <c r="B485" s="199"/>
      <c r="C485" s="198"/>
      <c r="D485" s="198"/>
      <c r="E485" s="198"/>
      <c r="F485" s="199"/>
      <c r="G485" s="199"/>
      <c r="H485" s="198"/>
      <c r="I485" s="198"/>
      <c r="J485" s="198"/>
      <c r="K485" s="198"/>
      <c r="L485" s="198"/>
      <c r="M485" s="198"/>
      <c r="N485" s="198"/>
      <c r="O485" s="198"/>
      <c r="P485" s="198"/>
      <c r="Q485" s="198"/>
      <c r="R485" s="198"/>
      <c r="S485" s="198"/>
      <c r="T485" s="198"/>
      <c r="U485" s="198"/>
      <c r="V485" s="198"/>
      <c r="W485" s="198"/>
      <c r="X485" s="198"/>
    </row>
    <row r="486">
      <c r="A486" s="198"/>
      <c r="B486" s="199"/>
      <c r="C486" s="198"/>
      <c r="D486" s="198"/>
      <c r="E486" s="198"/>
      <c r="F486" s="199"/>
      <c r="G486" s="199"/>
      <c r="H486" s="198"/>
      <c r="I486" s="198"/>
      <c r="J486" s="198"/>
      <c r="K486" s="198"/>
      <c r="L486" s="198"/>
      <c r="M486" s="198"/>
      <c r="N486" s="198"/>
      <c r="O486" s="198"/>
      <c r="P486" s="198"/>
      <c r="Q486" s="198"/>
      <c r="R486" s="198"/>
      <c r="S486" s="198"/>
      <c r="T486" s="198"/>
      <c r="U486" s="198"/>
      <c r="V486" s="198"/>
      <c r="W486" s="198"/>
      <c r="X486" s="198"/>
    </row>
    <row r="487">
      <c r="A487" s="198"/>
      <c r="B487" s="199"/>
      <c r="C487" s="198"/>
      <c r="D487" s="198"/>
      <c r="E487" s="198"/>
      <c r="F487" s="199"/>
      <c r="G487" s="199"/>
      <c r="H487" s="198"/>
      <c r="I487" s="198"/>
      <c r="J487" s="198"/>
      <c r="K487" s="198"/>
      <c r="L487" s="198"/>
      <c r="M487" s="198"/>
      <c r="N487" s="198"/>
      <c r="O487" s="198"/>
      <c r="P487" s="198"/>
      <c r="Q487" s="198"/>
      <c r="R487" s="198"/>
      <c r="S487" s="198"/>
      <c r="T487" s="198"/>
      <c r="U487" s="198"/>
      <c r="V487" s="198"/>
      <c r="W487" s="198"/>
      <c r="X487" s="198"/>
    </row>
    <row r="488">
      <c r="A488" s="198"/>
      <c r="B488" s="199"/>
      <c r="C488" s="198"/>
      <c r="D488" s="198"/>
      <c r="E488" s="198"/>
      <c r="F488" s="199"/>
      <c r="G488" s="199"/>
      <c r="H488" s="198"/>
      <c r="I488" s="198"/>
      <c r="J488" s="198"/>
      <c r="K488" s="198"/>
      <c r="L488" s="198"/>
      <c r="M488" s="198"/>
      <c r="N488" s="198"/>
      <c r="O488" s="198"/>
      <c r="P488" s="198"/>
      <c r="Q488" s="198"/>
      <c r="R488" s="198"/>
      <c r="S488" s="198"/>
      <c r="T488" s="198"/>
      <c r="U488" s="198"/>
      <c r="V488" s="198"/>
      <c r="W488" s="198"/>
      <c r="X488" s="198"/>
    </row>
    <row r="489">
      <c r="A489" s="198"/>
      <c r="B489" s="199"/>
      <c r="C489" s="198"/>
      <c r="D489" s="198"/>
      <c r="E489" s="198"/>
      <c r="F489" s="199"/>
      <c r="G489" s="199"/>
      <c r="H489" s="198"/>
      <c r="I489" s="198"/>
      <c r="J489" s="198"/>
      <c r="K489" s="198"/>
      <c r="L489" s="198"/>
      <c r="M489" s="198"/>
      <c r="N489" s="198"/>
      <c r="O489" s="198"/>
      <c r="P489" s="198"/>
      <c r="Q489" s="198"/>
      <c r="R489" s="198"/>
      <c r="S489" s="198"/>
      <c r="T489" s="198"/>
      <c r="U489" s="198"/>
      <c r="V489" s="198"/>
      <c r="W489" s="198"/>
      <c r="X489" s="198"/>
    </row>
    <row r="490">
      <c r="A490" s="198"/>
      <c r="B490" s="199"/>
      <c r="C490" s="198"/>
      <c r="D490" s="198"/>
      <c r="E490" s="198"/>
      <c r="F490" s="199"/>
      <c r="G490" s="199"/>
      <c r="H490" s="198"/>
      <c r="I490" s="198"/>
      <c r="J490" s="198"/>
      <c r="K490" s="198"/>
      <c r="L490" s="198"/>
      <c r="M490" s="198"/>
      <c r="N490" s="198"/>
      <c r="O490" s="198"/>
      <c r="P490" s="198"/>
      <c r="Q490" s="198"/>
      <c r="R490" s="198"/>
      <c r="S490" s="198"/>
      <c r="T490" s="198"/>
      <c r="U490" s="198"/>
      <c r="V490" s="198"/>
      <c r="W490" s="198"/>
      <c r="X490" s="198"/>
    </row>
    <row r="491">
      <c r="A491" s="198"/>
      <c r="B491" s="199"/>
      <c r="C491" s="198"/>
      <c r="D491" s="198"/>
      <c r="E491" s="198"/>
      <c r="F491" s="199"/>
      <c r="G491" s="199"/>
      <c r="H491" s="198"/>
      <c r="I491" s="198"/>
      <c r="J491" s="198"/>
      <c r="K491" s="198"/>
      <c r="L491" s="198"/>
      <c r="M491" s="198"/>
      <c r="N491" s="198"/>
      <c r="O491" s="198"/>
      <c r="P491" s="198"/>
      <c r="Q491" s="198"/>
      <c r="R491" s="198"/>
      <c r="S491" s="198"/>
      <c r="T491" s="198"/>
      <c r="U491" s="198"/>
      <c r="V491" s="198"/>
      <c r="W491" s="198"/>
      <c r="X491" s="198"/>
    </row>
    <row r="492">
      <c r="A492" s="198"/>
      <c r="B492" s="199"/>
      <c r="C492" s="198"/>
      <c r="D492" s="198"/>
      <c r="E492" s="198"/>
      <c r="F492" s="199"/>
      <c r="G492" s="199"/>
      <c r="H492" s="198"/>
      <c r="I492" s="198"/>
      <c r="J492" s="198"/>
      <c r="K492" s="198"/>
      <c r="L492" s="198"/>
      <c r="M492" s="198"/>
      <c r="N492" s="198"/>
      <c r="O492" s="198"/>
      <c r="P492" s="198"/>
      <c r="Q492" s="198"/>
      <c r="R492" s="198"/>
      <c r="S492" s="198"/>
      <c r="T492" s="198"/>
      <c r="U492" s="198"/>
      <c r="V492" s="198"/>
      <c r="W492" s="198"/>
      <c r="X492" s="198"/>
    </row>
    <row r="493">
      <c r="A493" s="198"/>
      <c r="B493" s="199"/>
      <c r="C493" s="198"/>
      <c r="D493" s="198"/>
      <c r="E493" s="198"/>
      <c r="F493" s="199"/>
      <c r="G493" s="199"/>
      <c r="H493" s="198"/>
      <c r="I493" s="198"/>
      <c r="J493" s="198"/>
      <c r="K493" s="198"/>
      <c r="L493" s="198"/>
      <c r="M493" s="198"/>
      <c r="N493" s="198"/>
      <c r="O493" s="198"/>
      <c r="P493" s="198"/>
      <c r="Q493" s="198"/>
      <c r="R493" s="198"/>
      <c r="S493" s="198"/>
      <c r="T493" s="198"/>
      <c r="U493" s="198"/>
      <c r="V493" s="198"/>
      <c r="W493" s="198"/>
      <c r="X493" s="198"/>
    </row>
    <row r="494">
      <c r="A494" s="198"/>
      <c r="B494" s="199"/>
      <c r="C494" s="198"/>
      <c r="D494" s="198"/>
      <c r="E494" s="198"/>
      <c r="F494" s="199"/>
      <c r="G494" s="199"/>
      <c r="H494" s="198"/>
      <c r="I494" s="198"/>
      <c r="J494" s="198"/>
      <c r="K494" s="198"/>
      <c r="L494" s="198"/>
      <c r="M494" s="198"/>
      <c r="N494" s="198"/>
      <c r="O494" s="198"/>
      <c r="P494" s="198"/>
      <c r="Q494" s="198"/>
      <c r="R494" s="198"/>
      <c r="S494" s="198"/>
      <c r="T494" s="198"/>
      <c r="U494" s="198"/>
      <c r="V494" s="198"/>
      <c r="W494" s="198"/>
      <c r="X494" s="198"/>
    </row>
    <row r="495">
      <c r="A495" s="198"/>
      <c r="B495" s="199"/>
      <c r="C495" s="198"/>
      <c r="D495" s="198"/>
      <c r="E495" s="198"/>
      <c r="F495" s="199"/>
      <c r="G495" s="199"/>
      <c r="H495" s="198"/>
      <c r="I495" s="198"/>
      <c r="J495" s="198"/>
      <c r="K495" s="198"/>
      <c r="L495" s="198"/>
      <c r="M495" s="198"/>
      <c r="N495" s="198"/>
      <c r="O495" s="198"/>
      <c r="P495" s="198"/>
      <c r="Q495" s="198"/>
      <c r="R495" s="198"/>
      <c r="S495" s="198"/>
      <c r="T495" s="198"/>
      <c r="U495" s="198"/>
      <c r="V495" s="198"/>
      <c r="W495" s="198"/>
      <c r="X495" s="198"/>
    </row>
    <row r="496">
      <c r="A496" s="198"/>
      <c r="B496" s="199"/>
      <c r="C496" s="198"/>
      <c r="D496" s="198"/>
      <c r="E496" s="198"/>
      <c r="F496" s="199"/>
      <c r="G496" s="199"/>
      <c r="H496" s="198"/>
      <c r="I496" s="198"/>
      <c r="J496" s="198"/>
      <c r="K496" s="198"/>
      <c r="L496" s="198"/>
      <c r="M496" s="198"/>
      <c r="N496" s="198"/>
      <c r="O496" s="198"/>
      <c r="P496" s="198"/>
      <c r="Q496" s="198"/>
      <c r="R496" s="198"/>
      <c r="S496" s="198"/>
      <c r="T496" s="198"/>
      <c r="U496" s="198"/>
      <c r="V496" s="198"/>
      <c r="W496" s="198"/>
      <c r="X496" s="198"/>
    </row>
    <row r="497">
      <c r="A497" s="198"/>
      <c r="B497" s="199"/>
      <c r="C497" s="198"/>
      <c r="D497" s="198"/>
      <c r="E497" s="198"/>
      <c r="F497" s="199"/>
      <c r="G497" s="199"/>
      <c r="H497" s="198"/>
      <c r="I497" s="198"/>
      <c r="J497" s="198"/>
      <c r="K497" s="198"/>
      <c r="L497" s="198"/>
      <c r="M497" s="198"/>
      <c r="N497" s="198"/>
      <c r="O497" s="198"/>
      <c r="P497" s="198"/>
      <c r="Q497" s="198"/>
      <c r="R497" s="198"/>
      <c r="S497" s="198"/>
      <c r="T497" s="198"/>
      <c r="U497" s="198"/>
      <c r="V497" s="198"/>
      <c r="W497" s="198"/>
      <c r="X497" s="198"/>
    </row>
    <row r="498">
      <c r="A498" s="198"/>
      <c r="B498" s="199"/>
      <c r="C498" s="198"/>
      <c r="D498" s="198"/>
      <c r="E498" s="198"/>
      <c r="F498" s="199"/>
      <c r="G498" s="199"/>
      <c r="H498" s="198"/>
      <c r="I498" s="198"/>
      <c r="J498" s="198"/>
      <c r="K498" s="198"/>
      <c r="L498" s="198"/>
      <c r="M498" s="198"/>
      <c r="N498" s="198"/>
      <c r="O498" s="198"/>
      <c r="P498" s="198"/>
      <c r="Q498" s="198"/>
      <c r="R498" s="198"/>
      <c r="S498" s="198"/>
      <c r="T498" s="198"/>
      <c r="U498" s="198"/>
      <c r="V498" s="198"/>
      <c r="W498" s="198"/>
      <c r="X498" s="198"/>
    </row>
    <row r="499">
      <c r="A499" s="198"/>
      <c r="B499" s="199"/>
      <c r="C499" s="198"/>
      <c r="D499" s="198"/>
      <c r="E499" s="198"/>
      <c r="F499" s="199"/>
      <c r="G499" s="199"/>
      <c r="H499" s="198"/>
      <c r="I499" s="198"/>
      <c r="J499" s="198"/>
      <c r="K499" s="198"/>
      <c r="L499" s="198"/>
      <c r="M499" s="198"/>
      <c r="N499" s="198"/>
      <c r="O499" s="198"/>
      <c r="P499" s="198"/>
      <c r="Q499" s="198"/>
      <c r="R499" s="198"/>
      <c r="S499" s="198"/>
      <c r="T499" s="198"/>
      <c r="U499" s="198"/>
      <c r="V499" s="198"/>
      <c r="W499" s="198"/>
      <c r="X499" s="198"/>
    </row>
    <row r="500">
      <c r="A500" s="198"/>
      <c r="B500" s="199"/>
      <c r="C500" s="198"/>
      <c r="D500" s="198"/>
      <c r="E500" s="198"/>
      <c r="F500" s="199"/>
      <c r="G500" s="199"/>
      <c r="H500" s="198"/>
      <c r="I500" s="198"/>
      <c r="J500" s="198"/>
      <c r="K500" s="198"/>
      <c r="L500" s="198"/>
      <c r="M500" s="198"/>
      <c r="N500" s="198"/>
      <c r="O500" s="198"/>
      <c r="P500" s="198"/>
      <c r="Q500" s="198"/>
      <c r="R500" s="198"/>
      <c r="S500" s="198"/>
      <c r="T500" s="198"/>
      <c r="U500" s="198"/>
      <c r="V500" s="198"/>
      <c r="W500" s="198"/>
      <c r="X500" s="198"/>
    </row>
    <row r="501">
      <c r="A501" s="198"/>
      <c r="B501" s="199"/>
      <c r="C501" s="198"/>
      <c r="D501" s="198"/>
      <c r="E501" s="198"/>
      <c r="F501" s="199"/>
      <c r="G501" s="199"/>
      <c r="H501" s="198"/>
      <c r="I501" s="198"/>
      <c r="J501" s="198"/>
      <c r="K501" s="198"/>
      <c r="L501" s="198"/>
      <c r="M501" s="198"/>
      <c r="N501" s="198"/>
      <c r="O501" s="198"/>
      <c r="P501" s="198"/>
      <c r="Q501" s="198"/>
      <c r="R501" s="198"/>
      <c r="S501" s="198"/>
      <c r="T501" s="198"/>
      <c r="U501" s="198"/>
      <c r="V501" s="198"/>
      <c r="W501" s="198"/>
      <c r="X501" s="198"/>
    </row>
    <row r="502">
      <c r="A502" s="198"/>
      <c r="B502" s="199"/>
      <c r="C502" s="198"/>
      <c r="D502" s="198"/>
      <c r="E502" s="198"/>
      <c r="F502" s="199"/>
      <c r="G502" s="199"/>
      <c r="H502" s="198"/>
      <c r="I502" s="198"/>
      <c r="J502" s="198"/>
      <c r="K502" s="198"/>
      <c r="L502" s="198"/>
      <c r="M502" s="198"/>
      <c r="N502" s="198"/>
      <c r="O502" s="198"/>
      <c r="P502" s="198"/>
      <c r="Q502" s="198"/>
      <c r="R502" s="198"/>
      <c r="S502" s="198"/>
      <c r="T502" s="198"/>
      <c r="U502" s="198"/>
      <c r="V502" s="198"/>
      <c r="W502" s="198"/>
      <c r="X502" s="198"/>
    </row>
    <row r="503">
      <c r="A503" s="198"/>
      <c r="B503" s="199"/>
      <c r="C503" s="198"/>
      <c r="D503" s="198"/>
      <c r="E503" s="198"/>
      <c r="F503" s="199"/>
      <c r="G503" s="199"/>
      <c r="H503" s="198"/>
      <c r="I503" s="198"/>
      <c r="J503" s="198"/>
      <c r="K503" s="198"/>
      <c r="L503" s="198"/>
      <c r="M503" s="198"/>
      <c r="N503" s="198"/>
      <c r="O503" s="198"/>
      <c r="P503" s="198"/>
      <c r="Q503" s="198"/>
      <c r="R503" s="198"/>
      <c r="S503" s="198"/>
      <c r="T503" s="198"/>
      <c r="U503" s="198"/>
      <c r="V503" s="198"/>
      <c r="W503" s="198"/>
      <c r="X503" s="198"/>
    </row>
    <row r="504">
      <c r="A504" s="198"/>
      <c r="B504" s="199"/>
      <c r="C504" s="198"/>
      <c r="D504" s="198"/>
      <c r="E504" s="198"/>
      <c r="F504" s="199"/>
      <c r="G504" s="199"/>
      <c r="H504" s="198"/>
      <c r="I504" s="198"/>
      <c r="J504" s="198"/>
      <c r="K504" s="198"/>
      <c r="L504" s="198"/>
      <c r="M504" s="198"/>
      <c r="N504" s="198"/>
      <c r="O504" s="198"/>
      <c r="P504" s="198"/>
      <c r="Q504" s="198"/>
      <c r="R504" s="198"/>
      <c r="S504" s="198"/>
      <c r="T504" s="198"/>
      <c r="U504" s="198"/>
      <c r="V504" s="198"/>
      <c r="W504" s="198"/>
      <c r="X504" s="198"/>
    </row>
    <row r="505">
      <c r="A505" s="198"/>
      <c r="B505" s="199"/>
      <c r="C505" s="198"/>
      <c r="D505" s="198"/>
      <c r="E505" s="198"/>
      <c r="F505" s="199"/>
      <c r="G505" s="199"/>
      <c r="H505" s="198"/>
      <c r="I505" s="198"/>
      <c r="J505" s="198"/>
      <c r="K505" s="198"/>
      <c r="L505" s="198"/>
      <c r="M505" s="198"/>
      <c r="N505" s="198"/>
      <c r="O505" s="198"/>
      <c r="P505" s="198"/>
      <c r="Q505" s="198"/>
      <c r="R505" s="198"/>
      <c r="S505" s="198"/>
      <c r="T505" s="198"/>
      <c r="U505" s="198"/>
      <c r="V505" s="198"/>
      <c r="W505" s="198"/>
      <c r="X505" s="198"/>
    </row>
    <row r="506">
      <c r="A506" s="198"/>
      <c r="B506" s="199"/>
      <c r="C506" s="198"/>
      <c r="D506" s="198"/>
      <c r="E506" s="198"/>
      <c r="F506" s="199"/>
      <c r="G506" s="199"/>
      <c r="H506" s="198"/>
      <c r="I506" s="198"/>
      <c r="J506" s="198"/>
      <c r="K506" s="198"/>
      <c r="L506" s="198"/>
      <c r="M506" s="198"/>
      <c r="N506" s="198"/>
      <c r="O506" s="198"/>
      <c r="P506" s="198"/>
      <c r="Q506" s="198"/>
      <c r="R506" s="198"/>
      <c r="S506" s="198"/>
      <c r="T506" s="198"/>
      <c r="U506" s="198"/>
      <c r="V506" s="198"/>
      <c r="W506" s="198"/>
      <c r="X506" s="198"/>
    </row>
    <row r="507">
      <c r="A507" s="198"/>
      <c r="B507" s="199"/>
      <c r="C507" s="198"/>
      <c r="D507" s="198"/>
      <c r="E507" s="198"/>
      <c r="F507" s="199"/>
      <c r="G507" s="199"/>
      <c r="H507" s="198"/>
      <c r="I507" s="198"/>
      <c r="J507" s="198"/>
      <c r="K507" s="198"/>
      <c r="L507" s="198"/>
      <c r="M507" s="198"/>
      <c r="N507" s="198"/>
      <c r="O507" s="198"/>
      <c r="P507" s="198"/>
      <c r="Q507" s="198"/>
      <c r="R507" s="198"/>
      <c r="S507" s="198"/>
      <c r="T507" s="198"/>
      <c r="U507" s="198"/>
      <c r="V507" s="198"/>
      <c r="W507" s="198"/>
      <c r="X507" s="198"/>
    </row>
    <row r="508">
      <c r="A508" s="198"/>
      <c r="B508" s="199"/>
      <c r="C508" s="198"/>
      <c r="D508" s="198"/>
      <c r="E508" s="198"/>
      <c r="F508" s="199"/>
      <c r="G508" s="199"/>
      <c r="H508" s="198"/>
      <c r="I508" s="198"/>
      <c r="J508" s="198"/>
      <c r="K508" s="198"/>
      <c r="L508" s="198"/>
      <c r="M508" s="198"/>
      <c r="N508" s="198"/>
      <c r="O508" s="198"/>
      <c r="P508" s="198"/>
      <c r="Q508" s="198"/>
      <c r="R508" s="198"/>
      <c r="S508" s="198"/>
      <c r="T508" s="198"/>
      <c r="U508" s="198"/>
      <c r="V508" s="198"/>
      <c r="W508" s="198"/>
      <c r="X508" s="198"/>
    </row>
    <row r="509">
      <c r="A509" s="198"/>
      <c r="B509" s="199"/>
      <c r="C509" s="198"/>
      <c r="D509" s="198"/>
      <c r="E509" s="198"/>
      <c r="F509" s="199"/>
      <c r="G509" s="199"/>
      <c r="H509" s="198"/>
      <c r="I509" s="198"/>
      <c r="J509" s="198"/>
      <c r="K509" s="198"/>
      <c r="L509" s="198"/>
      <c r="M509" s="198"/>
      <c r="N509" s="198"/>
      <c r="O509" s="198"/>
      <c r="P509" s="198"/>
      <c r="Q509" s="198"/>
      <c r="R509" s="198"/>
      <c r="S509" s="198"/>
      <c r="T509" s="198"/>
      <c r="U509" s="198"/>
      <c r="V509" s="198"/>
      <c r="W509" s="198"/>
      <c r="X509" s="198"/>
    </row>
    <row r="510">
      <c r="A510" s="198"/>
      <c r="B510" s="199"/>
      <c r="C510" s="198"/>
      <c r="D510" s="198"/>
      <c r="E510" s="198"/>
      <c r="F510" s="199"/>
      <c r="G510" s="199"/>
      <c r="H510" s="198"/>
      <c r="I510" s="198"/>
      <c r="J510" s="198"/>
      <c r="K510" s="198"/>
      <c r="L510" s="198"/>
      <c r="M510" s="198"/>
      <c r="N510" s="198"/>
      <c r="O510" s="198"/>
      <c r="P510" s="198"/>
      <c r="Q510" s="198"/>
      <c r="R510" s="198"/>
      <c r="S510" s="198"/>
      <c r="T510" s="198"/>
      <c r="U510" s="198"/>
      <c r="V510" s="198"/>
      <c r="W510" s="198"/>
      <c r="X510" s="198"/>
    </row>
    <row r="511">
      <c r="A511" s="198"/>
      <c r="B511" s="199"/>
      <c r="C511" s="198"/>
      <c r="D511" s="198"/>
      <c r="E511" s="198"/>
      <c r="F511" s="199"/>
      <c r="G511" s="199"/>
      <c r="H511" s="198"/>
      <c r="I511" s="198"/>
      <c r="J511" s="198"/>
      <c r="K511" s="198"/>
      <c r="L511" s="198"/>
      <c r="M511" s="198"/>
      <c r="N511" s="198"/>
      <c r="O511" s="198"/>
      <c r="P511" s="198"/>
      <c r="Q511" s="198"/>
      <c r="R511" s="198"/>
      <c r="S511" s="198"/>
      <c r="T511" s="198"/>
      <c r="U511" s="198"/>
      <c r="V511" s="198"/>
      <c r="W511" s="198"/>
      <c r="X511" s="198"/>
    </row>
    <row r="512">
      <c r="A512" s="198"/>
      <c r="B512" s="199"/>
      <c r="C512" s="198"/>
      <c r="D512" s="198"/>
      <c r="E512" s="198"/>
      <c r="F512" s="199"/>
      <c r="G512" s="199"/>
      <c r="H512" s="198"/>
      <c r="I512" s="198"/>
      <c r="J512" s="198"/>
      <c r="K512" s="198"/>
      <c r="L512" s="198"/>
      <c r="M512" s="198"/>
      <c r="N512" s="198"/>
      <c r="O512" s="198"/>
      <c r="P512" s="198"/>
      <c r="Q512" s="198"/>
      <c r="R512" s="198"/>
      <c r="S512" s="198"/>
      <c r="T512" s="198"/>
      <c r="U512" s="198"/>
      <c r="V512" s="198"/>
      <c r="W512" s="198"/>
      <c r="X512" s="198"/>
    </row>
    <row r="513">
      <c r="A513" s="198"/>
      <c r="B513" s="199"/>
      <c r="C513" s="198"/>
      <c r="D513" s="198"/>
      <c r="E513" s="198"/>
      <c r="F513" s="199"/>
      <c r="G513" s="199"/>
      <c r="H513" s="198"/>
      <c r="I513" s="198"/>
      <c r="J513" s="198"/>
      <c r="K513" s="198"/>
      <c r="L513" s="198"/>
      <c r="M513" s="198"/>
      <c r="N513" s="198"/>
      <c r="O513" s="198"/>
      <c r="P513" s="198"/>
      <c r="Q513" s="198"/>
      <c r="R513" s="198"/>
      <c r="S513" s="198"/>
      <c r="T513" s="198"/>
      <c r="U513" s="198"/>
      <c r="V513" s="198"/>
      <c r="W513" s="198"/>
      <c r="X513" s="198"/>
    </row>
    <row r="514">
      <c r="A514" s="198"/>
      <c r="B514" s="199"/>
      <c r="C514" s="198"/>
      <c r="D514" s="198"/>
      <c r="E514" s="198"/>
      <c r="F514" s="199"/>
      <c r="G514" s="199"/>
      <c r="H514" s="198"/>
      <c r="I514" s="198"/>
      <c r="J514" s="198"/>
      <c r="K514" s="198"/>
      <c r="L514" s="198"/>
      <c r="M514" s="198"/>
      <c r="N514" s="198"/>
      <c r="O514" s="198"/>
      <c r="P514" s="198"/>
      <c r="Q514" s="198"/>
      <c r="R514" s="198"/>
      <c r="S514" s="198"/>
      <c r="T514" s="198"/>
      <c r="U514" s="198"/>
      <c r="V514" s="198"/>
      <c r="W514" s="198"/>
      <c r="X514" s="198"/>
    </row>
    <row r="515">
      <c r="A515" s="198"/>
      <c r="B515" s="199"/>
      <c r="C515" s="198"/>
      <c r="D515" s="198"/>
      <c r="E515" s="198"/>
      <c r="F515" s="199"/>
      <c r="G515" s="199"/>
      <c r="H515" s="198"/>
      <c r="I515" s="198"/>
      <c r="J515" s="198"/>
      <c r="K515" s="198"/>
      <c r="L515" s="198"/>
      <c r="M515" s="198"/>
      <c r="N515" s="198"/>
      <c r="O515" s="198"/>
      <c r="P515" s="198"/>
      <c r="Q515" s="198"/>
      <c r="R515" s="198"/>
      <c r="S515" s="198"/>
      <c r="T515" s="198"/>
      <c r="U515" s="198"/>
      <c r="V515" s="198"/>
      <c r="W515" s="198"/>
      <c r="X515" s="198"/>
    </row>
    <row r="516">
      <c r="A516" s="198"/>
      <c r="B516" s="199"/>
      <c r="C516" s="198"/>
      <c r="D516" s="198"/>
      <c r="E516" s="198"/>
      <c r="F516" s="199"/>
      <c r="G516" s="199"/>
      <c r="H516" s="198"/>
      <c r="I516" s="198"/>
      <c r="J516" s="198"/>
      <c r="K516" s="198"/>
      <c r="L516" s="198"/>
      <c r="M516" s="198"/>
      <c r="N516" s="198"/>
      <c r="O516" s="198"/>
      <c r="P516" s="198"/>
      <c r="Q516" s="198"/>
      <c r="R516" s="198"/>
      <c r="S516" s="198"/>
      <c r="T516" s="198"/>
      <c r="U516" s="198"/>
      <c r="V516" s="198"/>
      <c r="W516" s="198"/>
      <c r="X516" s="198"/>
    </row>
    <row r="517">
      <c r="A517" s="198"/>
      <c r="B517" s="199"/>
      <c r="C517" s="198"/>
      <c r="D517" s="198"/>
      <c r="E517" s="198"/>
      <c r="F517" s="199"/>
      <c r="G517" s="199"/>
      <c r="H517" s="198"/>
      <c r="I517" s="198"/>
      <c r="J517" s="198"/>
      <c r="K517" s="198"/>
      <c r="L517" s="198"/>
      <c r="M517" s="198"/>
      <c r="N517" s="198"/>
      <c r="O517" s="198"/>
      <c r="P517" s="198"/>
      <c r="Q517" s="198"/>
      <c r="R517" s="198"/>
      <c r="S517" s="198"/>
      <c r="T517" s="198"/>
      <c r="U517" s="198"/>
      <c r="V517" s="198"/>
      <c r="W517" s="198"/>
      <c r="X517" s="198"/>
    </row>
    <row r="518">
      <c r="A518" s="198"/>
      <c r="B518" s="199"/>
      <c r="C518" s="198"/>
      <c r="D518" s="198"/>
      <c r="E518" s="198"/>
      <c r="F518" s="199"/>
      <c r="G518" s="199"/>
      <c r="H518" s="198"/>
      <c r="I518" s="198"/>
      <c r="J518" s="198"/>
      <c r="K518" s="198"/>
      <c r="L518" s="198"/>
      <c r="M518" s="198"/>
      <c r="N518" s="198"/>
      <c r="O518" s="198"/>
      <c r="P518" s="198"/>
      <c r="Q518" s="198"/>
      <c r="R518" s="198"/>
      <c r="S518" s="198"/>
      <c r="T518" s="198"/>
      <c r="U518" s="198"/>
      <c r="V518" s="198"/>
      <c r="W518" s="198"/>
      <c r="X518" s="198"/>
    </row>
    <row r="519">
      <c r="A519" s="198"/>
      <c r="B519" s="199"/>
      <c r="C519" s="198"/>
      <c r="D519" s="198"/>
      <c r="E519" s="198"/>
      <c r="F519" s="199"/>
      <c r="G519" s="199"/>
      <c r="H519" s="198"/>
      <c r="I519" s="198"/>
      <c r="J519" s="198"/>
      <c r="K519" s="198"/>
      <c r="L519" s="198"/>
      <c r="M519" s="198"/>
      <c r="N519" s="198"/>
      <c r="O519" s="198"/>
      <c r="P519" s="198"/>
      <c r="Q519" s="198"/>
      <c r="R519" s="198"/>
      <c r="S519" s="198"/>
      <c r="T519" s="198"/>
      <c r="U519" s="198"/>
      <c r="V519" s="198"/>
      <c r="W519" s="198"/>
      <c r="X519" s="198"/>
    </row>
    <row r="520">
      <c r="A520" s="198"/>
      <c r="B520" s="199"/>
      <c r="C520" s="198"/>
      <c r="D520" s="198"/>
      <c r="E520" s="198"/>
      <c r="F520" s="199"/>
      <c r="G520" s="199"/>
      <c r="H520" s="198"/>
      <c r="I520" s="198"/>
      <c r="J520" s="198"/>
      <c r="K520" s="198"/>
      <c r="L520" s="198"/>
      <c r="M520" s="198"/>
      <c r="N520" s="198"/>
      <c r="O520" s="198"/>
      <c r="P520" s="198"/>
      <c r="Q520" s="198"/>
      <c r="R520" s="198"/>
      <c r="S520" s="198"/>
      <c r="T520" s="198"/>
      <c r="U520" s="198"/>
      <c r="V520" s="198"/>
      <c r="W520" s="198"/>
      <c r="X520" s="198"/>
    </row>
    <row r="521">
      <c r="A521" s="198"/>
      <c r="B521" s="199"/>
      <c r="C521" s="198"/>
      <c r="D521" s="198"/>
      <c r="E521" s="198"/>
      <c r="F521" s="199"/>
      <c r="G521" s="199"/>
      <c r="H521" s="198"/>
      <c r="I521" s="198"/>
      <c r="J521" s="198"/>
      <c r="K521" s="198"/>
      <c r="L521" s="198"/>
      <c r="M521" s="198"/>
      <c r="N521" s="198"/>
      <c r="O521" s="198"/>
      <c r="P521" s="198"/>
      <c r="Q521" s="198"/>
      <c r="R521" s="198"/>
      <c r="S521" s="198"/>
      <c r="T521" s="198"/>
      <c r="U521" s="198"/>
      <c r="V521" s="198"/>
      <c r="W521" s="198"/>
      <c r="X521" s="198"/>
    </row>
    <row r="522">
      <c r="A522" s="198"/>
      <c r="B522" s="199"/>
      <c r="C522" s="198"/>
      <c r="D522" s="198"/>
      <c r="E522" s="198"/>
      <c r="F522" s="199"/>
      <c r="G522" s="199"/>
      <c r="H522" s="198"/>
      <c r="I522" s="198"/>
      <c r="J522" s="198"/>
      <c r="K522" s="198"/>
      <c r="L522" s="198"/>
      <c r="M522" s="198"/>
      <c r="N522" s="198"/>
      <c r="O522" s="198"/>
      <c r="P522" s="198"/>
      <c r="Q522" s="198"/>
      <c r="R522" s="198"/>
      <c r="S522" s="198"/>
      <c r="T522" s="198"/>
      <c r="U522" s="198"/>
      <c r="V522" s="198"/>
      <c r="W522" s="198"/>
      <c r="X522" s="198"/>
    </row>
    <row r="523">
      <c r="A523" s="198"/>
      <c r="B523" s="199"/>
      <c r="C523" s="198"/>
      <c r="D523" s="198"/>
      <c r="E523" s="198"/>
      <c r="F523" s="199"/>
      <c r="G523" s="199"/>
      <c r="H523" s="198"/>
      <c r="I523" s="198"/>
      <c r="J523" s="198"/>
      <c r="K523" s="198"/>
      <c r="L523" s="198"/>
      <c r="M523" s="198"/>
      <c r="N523" s="198"/>
      <c r="O523" s="198"/>
      <c r="P523" s="198"/>
      <c r="Q523" s="198"/>
      <c r="R523" s="198"/>
      <c r="S523" s="198"/>
      <c r="T523" s="198"/>
      <c r="U523" s="198"/>
      <c r="V523" s="198"/>
      <c r="W523" s="198"/>
      <c r="X523" s="198"/>
    </row>
    <row r="524">
      <c r="A524" s="198"/>
      <c r="B524" s="199"/>
      <c r="C524" s="198"/>
      <c r="D524" s="198"/>
      <c r="E524" s="198"/>
      <c r="F524" s="199"/>
      <c r="G524" s="199"/>
      <c r="H524" s="198"/>
      <c r="I524" s="198"/>
      <c r="J524" s="198"/>
      <c r="K524" s="198"/>
      <c r="L524" s="198"/>
      <c r="M524" s="198"/>
      <c r="N524" s="198"/>
      <c r="O524" s="198"/>
      <c r="P524" s="198"/>
      <c r="Q524" s="198"/>
      <c r="R524" s="198"/>
      <c r="S524" s="198"/>
      <c r="T524" s="198"/>
      <c r="U524" s="198"/>
      <c r="V524" s="198"/>
      <c r="W524" s="198"/>
      <c r="X524" s="198"/>
    </row>
    <row r="525">
      <c r="A525" s="198"/>
      <c r="B525" s="199"/>
      <c r="C525" s="198"/>
      <c r="D525" s="198"/>
      <c r="E525" s="198"/>
      <c r="F525" s="199"/>
      <c r="G525" s="199"/>
      <c r="H525" s="198"/>
      <c r="I525" s="198"/>
      <c r="J525" s="198"/>
      <c r="K525" s="198"/>
      <c r="L525" s="198"/>
      <c r="M525" s="198"/>
      <c r="N525" s="198"/>
      <c r="O525" s="198"/>
      <c r="P525" s="198"/>
      <c r="Q525" s="198"/>
      <c r="R525" s="198"/>
      <c r="S525" s="198"/>
      <c r="T525" s="198"/>
      <c r="U525" s="198"/>
      <c r="V525" s="198"/>
      <c r="W525" s="198"/>
      <c r="X525" s="198"/>
    </row>
    <row r="526">
      <c r="A526" s="198"/>
      <c r="B526" s="199"/>
      <c r="C526" s="198"/>
      <c r="D526" s="198"/>
      <c r="E526" s="198"/>
      <c r="F526" s="199"/>
      <c r="G526" s="199"/>
      <c r="H526" s="198"/>
      <c r="I526" s="198"/>
      <c r="J526" s="198"/>
      <c r="K526" s="198"/>
      <c r="L526" s="198"/>
      <c r="M526" s="198"/>
      <c r="N526" s="198"/>
      <c r="O526" s="198"/>
      <c r="P526" s="198"/>
      <c r="Q526" s="198"/>
      <c r="R526" s="198"/>
      <c r="S526" s="198"/>
      <c r="T526" s="198"/>
      <c r="U526" s="198"/>
      <c r="V526" s="198"/>
      <c r="W526" s="198"/>
      <c r="X526" s="198"/>
    </row>
    <row r="527">
      <c r="A527" s="198"/>
      <c r="B527" s="199"/>
      <c r="C527" s="198"/>
      <c r="D527" s="198"/>
      <c r="E527" s="198"/>
      <c r="F527" s="199"/>
      <c r="G527" s="199"/>
      <c r="H527" s="198"/>
      <c r="I527" s="198"/>
      <c r="J527" s="198"/>
      <c r="K527" s="198"/>
      <c r="L527" s="198"/>
      <c r="M527" s="198"/>
      <c r="N527" s="198"/>
      <c r="O527" s="198"/>
      <c r="P527" s="198"/>
      <c r="Q527" s="198"/>
      <c r="R527" s="198"/>
      <c r="S527" s="198"/>
      <c r="T527" s="198"/>
      <c r="U527" s="198"/>
      <c r="V527" s="198"/>
      <c r="W527" s="198"/>
      <c r="X527" s="198"/>
    </row>
    <row r="528">
      <c r="A528" s="198"/>
      <c r="B528" s="199"/>
      <c r="C528" s="198"/>
      <c r="D528" s="198"/>
      <c r="E528" s="198"/>
      <c r="F528" s="199"/>
      <c r="G528" s="199"/>
      <c r="H528" s="198"/>
      <c r="I528" s="198"/>
      <c r="J528" s="198"/>
      <c r="K528" s="198"/>
      <c r="L528" s="198"/>
      <c r="M528" s="198"/>
      <c r="N528" s="198"/>
      <c r="O528" s="198"/>
      <c r="P528" s="198"/>
      <c r="Q528" s="198"/>
      <c r="R528" s="198"/>
      <c r="S528" s="198"/>
      <c r="T528" s="198"/>
      <c r="U528" s="198"/>
      <c r="V528" s="198"/>
      <c r="W528" s="198"/>
      <c r="X528" s="198"/>
    </row>
    <row r="529">
      <c r="A529" s="198"/>
      <c r="B529" s="199"/>
      <c r="C529" s="198"/>
      <c r="D529" s="198"/>
      <c r="E529" s="198"/>
      <c r="F529" s="199"/>
      <c r="G529" s="199"/>
      <c r="H529" s="198"/>
      <c r="I529" s="198"/>
      <c r="J529" s="198"/>
      <c r="K529" s="198"/>
      <c r="L529" s="198"/>
      <c r="M529" s="198"/>
      <c r="N529" s="198"/>
      <c r="O529" s="198"/>
      <c r="P529" s="198"/>
      <c r="Q529" s="198"/>
      <c r="R529" s="198"/>
      <c r="S529" s="198"/>
      <c r="T529" s="198"/>
      <c r="U529" s="198"/>
      <c r="V529" s="198"/>
      <c r="W529" s="198"/>
      <c r="X529" s="198"/>
    </row>
    <row r="530">
      <c r="A530" s="198"/>
      <c r="B530" s="199"/>
      <c r="C530" s="198"/>
      <c r="D530" s="198"/>
      <c r="E530" s="198"/>
      <c r="F530" s="199"/>
      <c r="G530" s="199"/>
      <c r="H530" s="198"/>
      <c r="I530" s="198"/>
      <c r="J530" s="198"/>
      <c r="K530" s="198"/>
      <c r="L530" s="198"/>
      <c r="M530" s="198"/>
      <c r="N530" s="198"/>
      <c r="O530" s="198"/>
      <c r="P530" s="198"/>
      <c r="Q530" s="198"/>
      <c r="R530" s="198"/>
      <c r="S530" s="198"/>
      <c r="T530" s="198"/>
      <c r="U530" s="198"/>
      <c r="V530" s="198"/>
      <c r="W530" s="198"/>
      <c r="X530" s="198"/>
    </row>
    <row r="531">
      <c r="A531" s="198"/>
      <c r="B531" s="199"/>
      <c r="C531" s="198"/>
      <c r="D531" s="198"/>
      <c r="E531" s="198"/>
      <c r="F531" s="199"/>
      <c r="G531" s="199"/>
      <c r="H531" s="198"/>
      <c r="I531" s="198"/>
      <c r="J531" s="198"/>
      <c r="K531" s="198"/>
      <c r="L531" s="198"/>
      <c r="M531" s="198"/>
      <c r="N531" s="198"/>
      <c r="O531" s="198"/>
      <c r="P531" s="198"/>
      <c r="Q531" s="198"/>
      <c r="R531" s="198"/>
      <c r="S531" s="198"/>
      <c r="T531" s="198"/>
      <c r="U531" s="198"/>
      <c r="V531" s="198"/>
      <c r="W531" s="198"/>
      <c r="X531" s="198"/>
    </row>
    <row r="532">
      <c r="A532" s="198"/>
      <c r="B532" s="199"/>
      <c r="C532" s="198"/>
      <c r="D532" s="198"/>
      <c r="E532" s="198"/>
      <c r="F532" s="199"/>
      <c r="G532" s="199"/>
      <c r="H532" s="198"/>
      <c r="I532" s="198"/>
      <c r="J532" s="198"/>
      <c r="K532" s="198"/>
      <c r="L532" s="198"/>
      <c r="M532" s="198"/>
      <c r="N532" s="198"/>
      <c r="O532" s="198"/>
      <c r="P532" s="198"/>
      <c r="Q532" s="198"/>
      <c r="R532" s="198"/>
      <c r="S532" s="198"/>
      <c r="T532" s="198"/>
      <c r="U532" s="198"/>
      <c r="V532" s="198"/>
      <c r="W532" s="198"/>
      <c r="X532" s="198"/>
    </row>
    <row r="533">
      <c r="A533" s="198"/>
      <c r="B533" s="199"/>
      <c r="C533" s="198"/>
      <c r="D533" s="198"/>
      <c r="E533" s="198"/>
      <c r="F533" s="199"/>
      <c r="G533" s="199"/>
      <c r="H533" s="198"/>
      <c r="I533" s="198"/>
      <c r="J533" s="198"/>
      <c r="K533" s="198"/>
      <c r="L533" s="198"/>
      <c r="M533" s="198"/>
      <c r="N533" s="198"/>
      <c r="O533" s="198"/>
      <c r="P533" s="198"/>
      <c r="Q533" s="198"/>
      <c r="R533" s="198"/>
      <c r="S533" s="198"/>
      <c r="T533" s="198"/>
      <c r="U533" s="198"/>
      <c r="V533" s="198"/>
      <c r="W533" s="198"/>
      <c r="X533" s="198"/>
    </row>
    <row r="534">
      <c r="A534" s="198"/>
      <c r="B534" s="199"/>
      <c r="C534" s="198"/>
      <c r="D534" s="198"/>
      <c r="E534" s="198"/>
      <c r="F534" s="199"/>
      <c r="G534" s="199"/>
      <c r="H534" s="198"/>
      <c r="I534" s="198"/>
      <c r="J534" s="198"/>
      <c r="K534" s="198"/>
      <c r="L534" s="198"/>
      <c r="M534" s="198"/>
      <c r="N534" s="198"/>
      <c r="O534" s="198"/>
      <c r="P534" s="198"/>
      <c r="Q534" s="198"/>
      <c r="R534" s="198"/>
      <c r="S534" s="198"/>
      <c r="T534" s="198"/>
      <c r="U534" s="198"/>
      <c r="V534" s="198"/>
      <c r="W534" s="198"/>
      <c r="X534" s="198"/>
    </row>
    <row r="535">
      <c r="A535" s="198"/>
      <c r="B535" s="199"/>
      <c r="C535" s="198"/>
      <c r="D535" s="198"/>
      <c r="E535" s="198"/>
      <c r="F535" s="199"/>
      <c r="G535" s="199"/>
      <c r="H535" s="198"/>
      <c r="I535" s="198"/>
      <c r="J535" s="198"/>
      <c r="K535" s="198"/>
      <c r="L535" s="198"/>
      <c r="M535" s="198"/>
      <c r="N535" s="198"/>
      <c r="O535" s="198"/>
      <c r="P535" s="198"/>
      <c r="Q535" s="198"/>
      <c r="R535" s="198"/>
      <c r="S535" s="198"/>
      <c r="T535" s="198"/>
      <c r="U535" s="198"/>
      <c r="V535" s="198"/>
      <c r="W535" s="198"/>
      <c r="X535" s="198"/>
    </row>
    <row r="536">
      <c r="A536" s="198"/>
      <c r="B536" s="199"/>
      <c r="C536" s="198"/>
      <c r="D536" s="198"/>
      <c r="E536" s="198"/>
      <c r="F536" s="199"/>
      <c r="G536" s="199"/>
      <c r="H536" s="198"/>
      <c r="I536" s="198"/>
      <c r="J536" s="198"/>
      <c r="K536" s="198"/>
      <c r="L536" s="198"/>
      <c r="M536" s="198"/>
      <c r="N536" s="198"/>
      <c r="O536" s="198"/>
      <c r="P536" s="198"/>
      <c r="Q536" s="198"/>
      <c r="R536" s="198"/>
      <c r="S536" s="198"/>
      <c r="T536" s="198"/>
      <c r="U536" s="198"/>
      <c r="V536" s="198"/>
      <c r="W536" s="198"/>
      <c r="X536" s="198"/>
    </row>
    <row r="537">
      <c r="A537" s="198"/>
      <c r="B537" s="199"/>
      <c r="C537" s="198"/>
      <c r="D537" s="198"/>
      <c r="E537" s="198"/>
      <c r="F537" s="199"/>
      <c r="G537" s="199"/>
      <c r="H537" s="198"/>
      <c r="I537" s="198"/>
      <c r="J537" s="198"/>
      <c r="K537" s="198"/>
      <c r="L537" s="198"/>
      <c r="M537" s="198"/>
      <c r="N537" s="198"/>
      <c r="O537" s="198"/>
      <c r="P537" s="198"/>
      <c r="Q537" s="198"/>
      <c r="R537" s="198"/>
      <c r="S537" s="198"/>
      <c r="T537" s="198"/>
      <c r="U537" s="198"/>
      <c r="V537" s="198"/>
      <c r="W537" s="198"/>
      <c r="X537" s="198"/>
    </row>
    <row r="538">
      <c r="A538" s="198"/>
      <c r="B538" s="199"/>
      <c r="C538" s="198"/>
      <c r="D538" s="198"/>
      <c r="E538" s="198"/>
      <c r="F538" s="199"/>
      <c r="G538" s="199"/>
      <c r="H538" s="198"/>
      <c r="I538" s="198"/>
      <c r="J538" s="198"/>
      <c r="K538" s="198"/>
      <c r="L538" s="198"/>
      <c r="M538" s="198"/>
      <c r="N538" s="198"/>
      <c r="O538" s="198"/>
      <c r="P538" s="198"/>
      <c r="Q538" s="198"/>
      <c r="R538" s="198"/>
      <c r="S538" s="198"/>
      <c r="T538" s="198"/>
      <c r="U538" s="198"/>
      <c r="V538" s="198"/>
      <c r="W538" s="198"/>
      <c r="X538" s="198"/>
    </row>
    <row r="539">
      <c r="A539" s="198"/>
      <c r="B539" s="199"/>
      <c r="C539" s="198"/>
      <c r="D539" s="198"/>
      <c r="E539" s="198"/>
      <c r="F539" s="199"/>
      <c r="G539" s="199"/>
      <c r="H539" s="198"/>
      <c r="I539" s="198"/>
      <c r="J539" s="198"/>
      <c r="K539" s="198"/>
      <c r="L539" s="198"/>
      <c r="M539" s="198"/>
      <c r="N539" s="198"/>
      <c r="O539" s="198"/>
      <c r="P539" s="198"/>
      <c r="Q539" s="198"/>
      <c r="R539" s="198"/>
      <c r="S539" s="198"/>
      <c r="T539" s="198"/>
      <c r="U539" s="198"/>
      <c r="V539" s="198"/>
      <c r="W539" s="198"/>
      <c r="X539" s="198"/>
    </row>
    <row r="540">
      <c r="A540" s="198"/>
      <c r="B540" s="199"/>
      <c r="C540" s="198"/>
      <c r="D540" s="198"/>
      <c r="E540" s="198"/>
      <c r="F540" s="199"/>
      <c r="G540" s="199"/>
      <c r="H540" s="198"/>
      <c r="I540" s="198"/>
      <c r="J540" s="198"/>
      <c r="K540" s="198"/>
      <c r="L540" s="198"/>
      <c r="M540" s="198"/>
      <c r="N540" s="198"/>
      <c r="O540" s="198"/>
      <c r="P540" s="198"/>
      <c r="Q540" s="198"/>
      <c r="R540" s="198"/>
      <c r="S540" s="198"/>
      <c r="T540" s="198"/>
      <c r="U540" s="198"/>
      <c r="V540" s="198"/>
      <c r="W540" s="198"/>
      <c r="X540" s="198"/>
    </row>
    <row r="541">
      <c r="A541" s="198"/>
      <c r="B541" s="199"/>
      <c r="C541" s="198"/>
      <c r="D541" s="198"/>
      <c r="E541" s="198"/>
      <c r="F541" s="199"/>
      <c r="G541" s="199"/>
      <c r="H541" s="198"/>
      <c r="I541" s="198"/>
      <c r="J541" s="198"/>
      <c r="K541" s="198"/>
      <c r="L541" s="198"/>
      <c r="M541" s="198"/>
      <c r="N541" s="198"/>
      <c r="O541" s="198"/>
      <c r="P541" s="198"/>
      <c r="Q541" s="198"/>
      <c r="R541" s="198"/>
      <c r="S541" s="198"/>
      <c r="T541" s="198"/>
      <c r="U541" s="198"/>
      <c r="V541" s="198"/>
      <c r="W541" s="198"/>
      <c r="X541" s="198"/>
    </row>
    <row r="542">
      <c r="A542" s="198"/>
      <c r="B542" s="199"/>
      <c r="C542" s="198"/>
      <c r="D542" s="198"/>
      <c r="E542" s="198"/>
      <c r="F542" s="199"/>
      <c r="G542" s="199"/>
      <c r="H542" s="198"/>
      <c r="I542" s="198"/>
      <c r="J542" s="198"/>
      <c r="K542" s="198"/>
      <c r="L542" s="198"/>
      <c r="M542" s="198"/>
      <c r="N542" s="198"/>
      <c r="O542" s="198"/>
      <c r="P542" s="198"/>
      <c r="Q542" s="198"/>
      <c r="R542" s="198"/>
      <c r="S542" s="198"/>
      <c r="T542" s="198"/>
      <c r="U542" s="198"/>
      <c r="V542" s="198"/>
      <c r="W542" s="198"/>
      <c r="X542" s="198"/>
    </row>
    <row r="543">
      <c r="A543" s="198"/>
      <c r="B543" s="199"/>
      <c r="C543" s="198"/>
      <c r="D543" s="198"/>
      <c r="E543" s="198"/>
      <c r="F543" s="199"/>
      <c r="G543" s="199"/>
      <c r="H543" s="198"/>
      <c r="I543" s="198"/>
      <c r="J543" s="198"/>
      <c r="K543" s="198"/>
      <c r="L543" s="198"/>
      <c r="M543" s="198"/>
      <c r="N543" s="198"/>
      <c r="O543" s="198"/>
      <c r="P543" s="198"/>
      <c r="Q543" s="198"/>
      <c r="R543" s="198"/>
      <c r="S543" s="198"/>
      <c r="T543" s="198"/>
      <c r="U543" s="198"/>
      <c r="V543" s="198"/>
      <c r="W543" s="198"/>
      <c r="X543" s="198"/>
    </row>
    <row r="544">
      <c r="A544" s="198"/>
      <c r="B544" s="199"/>
      <c r="C544" s="198"/>
      <c r="D544" s="198"/>
      <c r="E544" s="198"/>
      <c r="F544" s="199"/>
      <c r="G544" s="199"/>
      <c r="H544" s="198"/>
      <c r="I544" s="198"/>
      <c r="J544" s="198"/>
      <c r="K544" s="198"/>
      <c r="L544" s="198"/>
      <c r="M544" s="198"/>
      <c r="N544" s="198"/>
      <c r="O544" s="198"/>
      <c r="P544" s="198"/>
      <c r="Q544" s="198"/>
      <c r="R544" s="198"/>
      <c r="S544" s="198"/>
      <c r="T544" s="198"/>
      <c r="U544" s="198"/>
      <c r="V544" s="198"/>
      <c r="W544" s="198"/>
      <c r="X544" s="198"/>
    </row>
    <row r="545">
      <c r="A545" s="198"/>
      <c r="B545" s="199"/>
      <c r="C545" s="198"/>
      <c r="D545" s="198"/>
      <c r="E545" s="198"/>
      <c r="F545" s="199"/>
      <c r="G545" s="199"/>
      <c r="H545" s="198"/>
      <c r="I545" s="198"/>
      <c r="J545" s="198"/>
      <c r="K545" s="198"/>
      <c r="L545" s="198"/>
      <c r="M545" s="198"/>
      <c r="N545" s="198"/>
      <c r="O545" s="198"/>
      <c r="P545" s="198"/>
      <c r="Q545" s="198"/>
      <c r="R545" s="198"/>
      <c r="S545" s="198"/>
      <c r="T545" s="198"/>
      <c r="U545" s="198"/>
      <c r="V545" s="198"/>
      <c r="W545" s="198"/>
      <c r="X545" s="198"/>
    </row>
    <row r="546">
      <c r="A546" s="198"/>
      <c r="B546" s="199"/>
      <c r="C546" s="198"/>
      <c r="D546" s="198"/>
      <c r="E546" s="198"/>
      <c r="F546" s="199"/>
      <c r="G546" s="199"/>
      <c r="H546" s="198"/>
      <c r="I546" s="198"/>
      <c r="J546" s="198"/>
      <c r="K546" s="198"/>
      <c r="L546" s="198"/>
      <c r="M546" s="198"/>
      <c r="N546" s="198"/>
      <c r="O546" s="198"/>
      <c r="P546" s="198"/>
      <c r="Q546" s="198"/>
      <c r="R546" s="198"/>
      <c r="S546" s="198"/>
      <c r="T546" s="198"/>
      <c r="U546" s="198"/>
      <c r="V546" s="198"/>
      <c r="W546" s="198"/>
      <c r="X546" s="198"/>
    </row>
    <row r="547">
      <c r="A547" s="198"/>
      <c r="B547" s="199"/>
      <c r="C547" s="198"/>
      <c r="D547" s="198"/>
      <c r="E547" s="198"/>
      <c r="F547" s="199"/>
      <c r="G547" s="199"/>
      <c r="H547" s="198"/>
      <c r="I547" s="198"/>
      <c r="J547" s="198"/>
      <c r="K547" s="198"/>
      <c r="L547" s="198"/>
      <c r="M547" s="198"/>
      <c r="N547" s="198"/>
      <c r="O547" s="198"/>
      <c r="P547" s="198"/>
      <c r="Q547" s="198"/>
      <c r="R547" s="198"/>
      <c r="S547" s="198"/>
      <c r="T547" s="198"/>
      <c r="U547" s="198"/>
      <c r="V547" s="198"/>
      <c r="W547" s="198"/>
      <c r="X547" s="198"/>
    </row>
    <row r="548">
      <c r="A548" s="198"/>
      <c r="B548" s="199"/>
      <c r="C548" s="198"/>
      <c r="D548" s="198"/>
      <c r="E548" s="198"/>
      <c r="F548" s="199"/>
      <c r="G548" s="199"/>
      <c r="H548" s="198"/>
      <c r="I548" s="198"/>
      <c r="J548" s="198"/>
      <c r="K548" s="198"/>
      <c r="L548" s="198"/>
      <c r="M548" s="198"/>
      <c r="N548" s="198"/>
      <c r="O548" s="198"/>
      <c r="P548" s="198"/>
      <c r="Q548" s="198"/>
      <c r="R548" s="198"/>
      <c r="S548" s="198"/>
      <c r="T548" s="198"/>
      <c r="U548" s="198"/>
      <c r="V548" s="198"/>
      <c r="W548" s="198"/>
      <c r="X548" s="198"/>
    </row>
    <row r="549">
      <c r="A549" s="198"/>
      <c r="B549" s="199"/>
      <c r="C549" s="198"/>
      <c r="D549" s="198"/>
      <c r="E549" s="198"/>
      <c r="F549" s="199"/>
      <c r="G549" s="199"/>
      <c r="H549" s="198"/>
      <c r="I549" s="198"/>
      <c r="J549" s="198"/>
      <c r="K549" s="198"/>
      <c r="L549" s="198"/>
      <c r="M549" s="198"/>
      <c r="N549" s="198"/>
      <c r="O549" s="198"/>
      <c r="P549" s="198"/>
      <c r="Q549" s="198"/>
      <c r="R549" s="198"/>
      <c r="S549" s="198"/>
      <c r="T549" s="198"/>
      <c r="U549" s="198"/>
      <c r="V549" s="198"/>
      <c r="W549" s="198"/>
      <c r="X549" s="198"/>
    </row>
    <row r="550">
      <c r="A550" s="198"/>
      <c r="B550" s="199"/>
      <c r="C550" s="198"/>
      <c r="D550" s="198"/>
      <c r="E550" s="198"/>
      <c r="F550" s="199"/>
      <c r="G550" s="199"/>
      <c r="H550" s="198"/>
      <c r="I550" s="198"/>
      <c r="J550" s="198"/>
      <c r="K550" s="198"/>
      <c r="L550" s="198"/>
      <c r="M550" s="198"/>
      <c r="N550" s="198"/>
      <c r="O550" s="198"/>
      <c r="P550" s="198"/>
      <c r="Q550" s="198"/>
      <c r="R550" s="198"/>
      <c r="S550" s="198"/>
      <c r="T550" s="198"/>
      <c r="U550" s="198"/>
      <c r="V550" s="198"/>
      <c r="W550" s="198"/>
      <c r="X550" s="198"/>
    </row>
    <row r="551">
      <c r="A551" s="198"/>
      <c r="B551" s="199"/>
      <c r="C551" s="198"/>
      <c r="D551" s="198"/>
      <c r="E551" s="198"/>
      <c r="F551" s="199"/>
      <c r="G551" s="199"/>
      <c r="H551" s="198"/>
      <c r="I551" s="198"/>
      <c r="J551" s="198"/>
      <c r="K551" s="198"/>
      <c r="L551" s="198"/>
      <c r="M551" s="198"/>
      <c r="N551" s="198"/>
      <c r="O551" s="198"/>
      <c r="P551" s="198"/>
      <c r="Q551" s="198"/>
      <c r="R551" s="198"/>
      <c r="S551" s="198"/>
      <c r="T551" s="198"/>
      <c r="U551" s="198"/>
      <c r="V551" s="198"/>
      <c r="W551" s="198"/>
      <c r="X551" s="198"/>
    </row>
    <row r="552">
      <c r="A552" s="198"/>
      <c r="B552" s="199"/>
      <c r="C552" s="198"/>
      <c r="D552" s="198"/>
      <c r="E552" s="198"/>
      <c r="F552" s="199"/>
      <c r="G552" s="199"/>
      <c r="H552" s="198"/>
      <c r="I552" s="198"/>
      <c r="J552" s="198"/>
      <c r="K552" s="198"/>
      <c r="L552" s="198"/>
      <c r="M552" s="198"/>
      <c r="N552" s="198"/>
      <c r="O552" s="198"/>
      <c r="P552" s="198"/>
      <c r="Q552" s="198"/>
      <c r="R552" s="198"/>
      <c r="S552" s="198"/>
      <c r="T552" s="198"/>
      <c r="U552" s="198"/>
      <c r="V552" s="198"/>
      <c r="W552" s="198"/>
      <c r="X552" s="198"/>
    </row>
    <row r="553">
      <c r="A553" s="198"/>
      <c r="B553" s="199"/>
      <c r="C553" s="198"/>
      <c r="D553" s="198"/>
      <c r="E553" s="198"/>
      <c r="F553" s="199"/>
      <c r="G553" s="199"/>
      <c r="H553" s="198"/>
      <c r="I553" s="198"/>
      <c r="J553" s="198"/>
      <c r="K553" s="198"/>
      <c r="L553" s="198"/>
      <c r="M553" s="198"/>
      <c r="N553" s="198"/>
      <c r="O553" s="198"/>
      <c r="P553" s="198"/>
      <c r="Q553" s="198"/>
      <c r="R553" s="198"/>
      <c r="S553" s="198"/>
      <c r="T553" s="198"/>
      <c r="U553" s="198"/>
      <c r="V553" s="198"/>
      <c r="W553" s="198"/>
      <c r="X553" s="198"/>
    </row>
    <row r="554">
      <c r="A554" s="198"/>
      <c r="B554" s="199"/>
      <c r="C554" s="198"/>
      <c r="D554" s="198"/>
      <c r="E554" s="198"/>
      <c r="F554" s="199"/>
      <c r="G554" s="199"/>
      <c r="H554" s="198"/>
      <c r="I554" s="198"/>
      <c r="J554" s="198"/>
      <c r="K554" s="198"/>
      <c r="L554" s="198"/>
      <c r="M554" s="198"/>
      <c r="N554" s="198"/>
      <c r="O554" s="198"/>
      <c r="P554" s="198"/>
      <c r="Q554" s="198"/>
      <c r="R554" s="198"/>
      <c r="S554" s="198"/>
      <c r="T554" s="198"/>
      <c r="U554" s="198"/>
      <c r="V554" s="198"/>
      <c r="W554" s="198"/>
      <c r="X554" s="198"/>
    </row>
    <row r="555">
      <c r="A555" s="198"/>
      <c r="B555" s="199"/>
      <c r="C555" s="198"/>
      <c r="D555" s="198"/>
      <c r="E555" s="198"/>
      <c r="F555" s="199"/>
      <c r="G555" s="199"/>
      <c r="H555" s="198"/>
      <c r="I555" s="198"/>
      <c r="J555" s="198"/>
      <c r="K555" s="198"/>
      <c r="L555" s="198"/>
      <c r="M555" s="198"/>
      <c r="N555" s="198"/>
      <c r="O555" s="198"/>
      <c r="P555" s="198"/>
      <c r="Q555" s="198"/>
      <c r="R555" s="198"/>
      <c r="S555" s="198"/>
      <c r="T555" s="198"/>
      <c r="U555" s="198"/>
      <c r="V555" s="198"/>
      <c r="W555" s="198"/>
      <c r="X555" s="198"/>
    </row>
    <row r="556">
      <c r="A556" s="198"/>
      <c r="B556" s="199"/>
      <c r="C556" s="198"/>
      <c r="D556" s="198"/>
      <c r="E556" s="198"/>
      <c r="F556" s="199"/>
      <c r="G556" s="199"/>
      <c r="H556" s="198"/>
      <c r="I556" s="198"/>
      <c r="J556" s="198"/>
      <c r="K556" s="198"/>
      <c r="L556" s="198"/>
      <c r="M556" s="198"/>
      <c r="N556" s="198"/>
      <c r="O556" s="198"/>
      <c r="P556" s="198"/>
      <c r="Q556" s="198"/>
      <c r="R556" s="198"/>
      <c r="S556" s="198"/>
      <c r="T556" s="198"/>
      <c r="U556" s="198"/>
      <c r="V556" s="198"/>
      <c r="W556" s="198"/>
      <c r="X556" s="198"/>
    </row>
    <row r="557">
      <c r="A557" s="198"/>
      <c r="B557" s="199"/>
      <c r="C557" s="198"/>
      <c r="D557" s="198"/>
      <c r="E557" s="198"/>
      <c r="F557" s="199"/>
      <c r="G557" s="199"/>
      <c r="H557" s="198"/>
      <c r="I557" s="198"/>
      <c r="J557" s="198"/>
      <c r="K557" s="198"/>
      <c r="L557" s="198"/>
      <c r="M557" s="198"/>
      <c r="N557" s="198"/>
      <c r="O557" s="198"/>
      <c r="P557" s="198"/>
      <c r="Q557" s="198"/>
      <c r="R557" s="198"/>
      <c r="S557" s="198"/>
      <c r="T557" s="198"/>
      <c r="U557" s="198"/>
      <c r="V557" s="198"/>
      <c r="W557" s="198"/>
      <c r="X557" s="198"/>
    </row>
    <row r="558">
      <c r="A558" s="198"/>
      <c r="B558" s="199"/>
      <c r="C558" s="198"/>
      <c r="D558" s="198"/>
      <c r="E558" s="198"/>
      <c r="F558" s="199"/>
      <c r="G558" s="199"/>
      <c r="H558" s="198"/>
      <c r="I558" s="198"/>
      <c r="J558" s="198"/>
      <c r="K558" s="198"/>
      <c r="L558" s="198"/>
      <c r="M558" s="198"/>
      <c r="N558" s="198"/>
      <c r="O558" s="198"/>
      <c r="P558" s="198"/>
      <c r="Q558" s="198"/>
      <c r="R558" s="198"/>
      <c r="S558" s="198"/>
      <c r="T558" s="198"/>
      <c r="U558" s="198"/>
      <c r="V558" s="198"/>
      <c r="W558" s="198"/>
      <c r="X558" s="198"/>
    </row>
    <row r="559">
      <c r="A559" s="198"/>
      <c r="B559" s="199"/>
      <c r="C559" s="198"/>
      <c r="D559" s="198"/>
      <c r="E559" s="198"/>
      <c r="F559" s="199"/>
      <c r="G559" s="199"/>
      <c r="H559" s="198"/>
      <c r="I559" s="198"/>
      <c r="J559" s="198"/>
      <c r="K559" s="198"/>
      <c r="L559" s="198"/>
      <c r="M559" s="198"/>
      <c r="N559" s="198"/>
      <c r="O559" s="198"/>
      <c r="P559" s="198"/>
      <c r="Q559" s="198"/>
      <c r="R559" s="198"/>
      <c r="S559" s="198"/>
      <c r="T559" s="198"/>
      <c r="U559" s="198"/>
      <c r="V559" s="198"/>
      <c r="W559" s="198"/>
      <c r="X559" s="198"/>
    </row>
    <row r="560">
      <c r="A560" s="198"/>
      <c r="B560" s="199"/>
      <c r="C560" s="198"/>
      <c r="D560" s="198"/>
      <c r="E560" s="198"/>
      <c r="F560" s="199"/>
      <c r="G560" s="199"/>
      <c r="H560" s="198"/>
      <c r="I560" s="198"/>
      <c r="J560" s="198"/>
      <c r="K560" s="198"/>
      <c r="L560" s="198"/>
      <c r="M560" s="198"/>
      <c r="N560" s="198"/>
      <c r="O560" s="198"/>
      <c r="P560" s="198"/>
      <c r="Q560" s="198"/>
      <c r="R560" s="198"/>
      <c r="S560" s="198"/>
      <c r="T560" s="198"/>
      <c r="U560" s="198"/>
      <c r="V560" s="198"/>
      <c r="W560" s="198"/>
      <c r="X560" s="198"/>
    </row>
    <row r="561">
      <c r="A561" s="198"/>
      <c r="B561" s="199"/>
      <c r="C561" s="198"/>
      <c r="D561" s="198"/>
      <c r="E561" s="198"/>
      <c r="F561" s="199"/>
      <c r="G561" s="199"/>
      <c r="H561" s="198"/>
      <c r="I561" s="198"/>
      <c r="J561" s="198"/>
      <c r="K561" s="198"/>
      <c r="L561" s="198"/>
      <c r="M561" s="198"/>
      <c r="N561" s="198"/>
      <c r="O561" s="198"/>
      <c r="P561" s="198"/>
      <c r="Q561" s="198"/>
      <c r="R561" s="198"/>
      <c r="S561" s="198"/>
      <c r="T561" s="198"/>
      <c r="U561" s="198"/>
      <c r="V561" s="198"/>
      <c r="W561" s="198"/>
      <c r="X561" s="198"/>
    </row>
    <row r="562">
      <c r="A562" s="198"/>
      <c r="B562" s="199"/>
      <c r="C562" s="198"/>
      <c r="D562" s="198"/>
      <c r="E562" s="198"/>
      <c r="F562" s="199"/>
      <c r="G562" s="199"/>
      <c r="H562" s="198"/>
      <c r="I562" s="198"/>
      <c r="J562" s="198"/>
      <c r="K562" s="198"/>
      <c r="L562" s="198"/>
      <c r="M562" s="198"/>
      <c r="N562" s="198"/>
      <c r="O562" s="198"/>
      <c r="P562" s="198"/>
      <c r="Q562" s="198"/>
      <c r="R562" s="198"/>
      <c r="S562" s="198"/>
      <c r="T562" s="198"/>
      <c r="U562" s="198"/>
      <c r="V562" s="198"/>
      <c r="W562" s="198"/>
      <c r="X562" s="198"/>
    </row>
    <row r="563">
      <c r="A563" s="198"/>
      <c r="B563" s="199"/>
      <c r="C563" s="198"/>
      <c r="D563" s="198"/>
      <c r="E563" s="198"/>
      <c r="F563" s="199"/>
      <c r="G563" s="199"/>
      <c r="H563" s="198"/>
      <c r="I563" s="198"/>
      <c r="J563" s="198"/>
      <c r="K563" s="198"/>
      <c r="L563" s="198"/>
      <c r="M563" s="198"/>
      <c r="N563" s="198"/>
      <c r="O563" s="198"/>
      <c r="P563" s="198"/>
      <c r="Q563" s="198"/>
      <c r="R563" s="198"/>
      <c r="S563" s="198"/>
      <c r="T563" s="198"/>
      <c r="U563" s="198"/>
      <c r="V563" s="198"/>
      <c r="W563" s="198"/>
      <c r="X563" s="198"/>
    </row>
    <row r="564">
      <c r="A564" s="198"/>
      <c r="B564" s="199"/>
      <c r="C564" s="198"/>
      <c r="D564" s="198"/>
      <c r="E564" s="198"/>
      <c r="F564" s="199"/>
      <c r="G564" s="199"/>
      <c r="H564" s="198"/>
      <c r="I564" s="198"/>
      <c r="J564" s="198"/>
      <c r="K564" s="198"/>
      <c r="L564" s="198"/>
      <c r="M564" s="198"/>
      <c r="N564" s="198"/>
      <c r="O564" s="198"/>
      <c r="P564" s="198"/>
      <c r="Q564" s="198"/>
      <c r="R564" s="198"/>
      <c r="S564" s="198"/>
      <c r="T564" s="198"/>
      <c r="U564" s="198"/>
      <c r="V564" s="198"/>
      <c r="W564" s="198"/>
      <c r="X564" s="198"/>
    </row>
    <row r="565">
      <c r="A565" s="198"/>
      <c r="B565" s="199"/>
      <c r="C565" s="198"/>
      <c r="D565" s="198"/>
      <c r="E565" s="198"/>
      <c r="F565" s="199"/>
      <c r="G565" s="199"/>
      <c r="H565" s="198"/>
      <c r="I565" s="198"/>
      <c r="J565" s="198"/>
      <c r="K565" s="198"/>
      <c r="L565" s="198"/>
      <c r="M565" s="198"/>
      <c r="N565" s="198"/>
      <c r="O565" s="198"/>
      <c r="P565" s="198"/>
      <c r="Q565" s="198"/>
      <c r="R565" s="198"/>
      <c r="S565" s="198"/>
      <c r="T565" s="198"/>
      <c r="U565" s="198"/>
      <c r="V565" s="198"/>
      <c r="W565" s="198"/>
      <c r="X565" s="198"/>
    </row>
    <row r="566">
      <c r="A566" s="198"/>
      <c r="B566" s="199"/>
      <c r="C566" s="198"/>
      <c r="D566" s="198"/>
      <c r="E566" s="198"/>
      <c r="F566" s="199"/>
      <c r="G566" s="199"/>
      <c r="H566" s="198"/>
      <c r="I566" s="198"/>
      <c r="J566" s="198"/>
      <c r="K566" s="198"/>
      <c r="L566" s="198"/>
      <c r="M566" s="198"/>
      <c r="N566" s="198"/>
      <c r="O566" s="198"/>
      <c r="P566" s="198"/>
      <c r="Q566" s="198"/>
      <c r="R566" s="198"/>
      <c r="S566" s="198"/>
      <c r="T566" s="198"/>
      <c r="U566" s="198"/>
      <c r="V566" s="198"/>
      <c r="W566" s="198"/>
      <c r="X566" s="198"/>
    </row>
    <row r="567">
      <c r="A567" s="198"/>
      <c r="B567" s="199"/>
      <c r="C567" s="198"/>
      <c r="D567" s="198"/>
      <c r="E567" s="198"/>
      <c r="F567" s="199"/>
      <c r="G567" s="199"/>
      <c r="H567" s="198"/>
      <c r="I567" s="198"/>
      <c r="J567" s="198"/>
      <c r="K567" s="198"/>
      <c r="L567" s="198"/>
      <c r="M567" s="198"/>
      <c r="N567" s="198"/>
      <c r="O567" s="198"/>
      <c r="P567" s="198"/>
      <c r="Q567" s="198"/>
      <c r="R567" s="198"/>
      <c r="S567" s="198"/>
      <c r="T567" s="198"/>
      <c r="U567" s="198"/>
      <c r="V567" s="198"/>
      <c r="W567" s="198"/>
      <c r="X567" s="198"/>
    </row>
    <row r="568">
      <c r="A568" s="198"/>
      <c r="B568" s="199"/>
      <c r="C568" s="198"/>
      <c r="D568" s="198"/>
      <c r="E568" s="198"/>
      <c r="F568" s="199"/>
      <c r="G568" s="199"/>
      <c r="H568" s="198"/>
      <c r="I568" s="198"/>
      <c r="J568" s="198"/>
      <c r="K568" s="198"/>
      <c r="L568" s="198"/>
      <c r="M568" s="198"/>
      <c r="N568" s="198"/>
      <c r="O568" s="198"/>
      <c r="P568" s="198"/>
      <c r="Q568" s="198"/>
      <c r="R568" s="198"/>
      <c r="S568" s="198"/>
      <c r="T568" s="198"/>
      <c r="U568" s="198"/>
      <c r="V568" s="198"/>
      <c r="W568" s="198"/>
      <c r="X568" s="198"/>
    </row>
    <row r="569">
      <c r="A569" s="198"/>
      <c r="B569" s="199"/>
      <c r="C569" s="198"/>
      <c r="D569" s="198"/>
      <c r="E569" s="198"/>
      <c r="F569" s="199"/>
      <c r="G569" s="199"/>
      <c r="H569" s="198"/>
      <c r="I569" s="198"/>
      <c r="J569" s="198"/>
      <c r="K569" s="198"/>
      <c r="L569" s="198"/>
      <c r="M569" s="198"/>
      <c r="N569" s="198"/>
      <c r="O569" s="198"/>
      <c r="P569" s="198"/>
      <c r="Q569" s="198"/>
      <c r="R569" s="198"/>
      <c r="S569" s="198"/>
      <c r="T569" s="198"/>
      <c r="U569" s="198"/>
      <c r="V569" s="198"/>
      <c r="W569" s="198"/>
      <c r="X569" s="198"/>
    </row>
    <row r="570">
      <c r="A570" s="198"/>
      <c r="B570" s="199"/>
      <c r="C570" s="198"/>
      <c r="D570" s="198"/>
      <c r="E570" s="198"/>
      <c r="F570" s="199"/>
      <c r="G570" s="199"/>
      <c r="H570" s="198"/>
      <c r="I570" s="198"/>
      <c r="J570" s="198"/>
      <c r="K570" s="198"/>
      <c r="L570" s="198"/>
      <c r="M570" s="198"/>
      <c r="N570" s="198"/>
      <c r="O570" s="198"/>
      <c r="P570" s="198"/>
      <c r="Q570" s="198"/>
      <c r="R570" s="198"/>
      <c r="S570" s="198"/>
      <c r="T570" s="198"/>
      <c r="U570" s="198"/>
      <c r="V570" s="198"/>
      <c r="W570" s="198"/>
      <c r="X570" s="198"/>
    </row>
    <row r="571">
      <c r="A571" s="198"/>
      <c r="B571" s="199"/>
      <c r="C571" s="198"/>
      <c r="D571" s="198"/>
      <c r="E571" s="198"/>
      <c r="F571" s="199"/>
      <c r="G571" s="199"/>
      <c r="H571" s="198"/>
      <c r="I571" s="198"/>
      <c r="J571" s="198"/>
      <c r="K571" s="198"/>
      <c r="L571" s="198"/>
      <c r="M571" s="198"/>
      <c r="N571" s="198"/>
      <c r="O571" s="198"/>
      <c r="P571" s="198"/>
      <c r="Q571" s="198"/>
      <c r="R571" s="198"/>
      <c r="S571" s="198"/>
      <c r="T571" s="198"/>
      <c r="U571" s="198"/>
      <c r="V571" s="198"/>
      <c r="W571" s="198"/>
      <c r="X571" s="198"/>
    </row>
    <row r="572">
      <c r="A572" s="198"/>
      <c r="B572" s="199"/>
      <c r="C572" s="198"/>
      <c r="D572" s="198"/>
      <c r="E572" s="198"/>
      <c r="F572" s="199"/>
      <c r="G572" s="199"/>
      <c r="H572" s="198"/>
      <c r="I572" s="198"/>
      <c r="J572" s="198"/>
      <c r="K572" s="198"/>
      <c r="L572" s="198"/>
      <c r="M572" s="198"/>
      <c r="N572" s="198"/>
      <c r="O572" s="198"/>
      <c r="P572" s="198"/>
      <c r="Q572" s="198"/>
      <c r="R572" s="198"/>
      <c r="S572" s="198"/>
      <c r="T572" s="198"/>
      <c r="U572" s="198"/>
      <c r="V572" s="198"/>
      <c r="W572" s="198"/>
      <c r="X572" s="198"/>
    </row>
    <row r="573">
      <c r="A573" s="198"/>
      <c r="B573" s="199"/>
      <c r="C573" s="198"/>
      <c r="D573" s="198"/>
      <c r="E573" s="198"/>
      <c r="F573" s="199"/>
      <c r="G573" s="199"/>
      <c r="H573" s="198"/>
      <c r="I573" s="198"/>
      <c r="J573" s="198"/>
      <c r="K573" s="198"/>
      <c r="L573" s="198"/>
      <c r="M573" s="198"/>
      <c r="N573" s="198"/>
      <c r="O573" s="198"/>
      <c r="P573" s="198"/>
      <c r="Q573" s="198"/>
      <c r="R573" s="198"/>
      <c r="S573" s="198"/>
      <c r="T573" s="198"/>
      <c r="U573" s="198"/>
      <c r="V573" s="198"/>
      <c r="W573" s="198"/>
      <c r="X573" s="198"/>
    </row>
    <row r="574">
      <c r="A574" s="198"/>
      <c r="B574" s="199"/>
      <c r="C574" s="198"/>
      <c r="D574" s="198"/>
      <c r="E574" s="198"/>
      <c r="F574" s="199"/>
      <c r="G574" s="199"/>
      <c r="H574" s="198"/>
      <c r="I574" s="198"/>
      <c r="J574" s="198"/>
      <c r="K574" s="198"/>
      <c r="L574" s="198"/>
      <c r="M574" s="198"/>
      <c r="N574" s="198"/>
      <c r="O574" s="198"/>
      <c r="P574" s="198"/>
      <c r="Q574" s="198"/>
      <c r="R574" s="198"/>
      <c r="S574" s="198"/>
      <c r="T574" s="198"/>
      <c r="U574" s="198"/>
      <c r="V574" s="198"/>
      <c r="W574" s="198"/>
      <c r="X574" s="198"/>
    </row>
    <row r="575">
      <c r="A575" s="198"/>
      <c r="B575" s="199"/>
      <c r="C575" s="198"/>
      <c r="D575" s="198"/>
      <c r="E575" s="198"/>
      <c r="F575" s="199"/>
      <c r="G575" s="199"/>
      <c r="H575" s="198"/>
      <c r="I575" s="198"/>
      <c r="J575" s="198"/>
      <c r="K575" s="198"/>
      <c r="L575" s="198"/>
      <c r="M575" s="198"/>
      <c r="N575" s="198"/>
      <c r="O575" s="198"/>
      <c r="P575" s="198"/>
      <c r="Q575" s="198"/>
      <c r="R575" s="198"/>
      <c r="S575" s="198"/>
      <c r="T575" s="198"/>
      <c r="U575" s="198"/>
      <c r="V575" s="198"/>
      <c r="W575" s="198"/>
      <c r="X575" s="198"/>
    </row>
    <row r="576">
      <c r="A576" s="198"/>
      <c r="B576" s="199"/>
      <c r="C576" s="198"/>
      <c r="D576" s="198"/>
      <c r="E576" s="198"/>
      <c r="F576" s="199"/>
      <c r="G576" s="199"/>
      <c r="H576" s="198"/>
      <c r="I576" s="198"/>
      <c r="J576" s="198"/>
      <c r="K576" s="198"/>
      <c r="L576" s="198"/>
      <c r="M576" s="198"/>
      <c r="N576" s="198"/>
      <c r="O576" s="198"/>
      <c r="P576" s="198"/>
      <c r="Q576" s="198"/>
      <c r="R576" s="198"/>
      <c r="S576" s="198"/>
      <c r="T576" s="198"/>
      <c r="U576" s="198"/>
      <c r="V576" s="198"/>
      <c r="W576" s="198"/>
      <c r="X576" s="198"/>
    </row>
    <row r="577">
      <c r="A577" s="198"/>
      <c r="B577" s="199"/>
      <c r="C577" s="198"/>
      <c r="D577" s="198"/>
      <c r="E577" s="198"/>
      <c r="F577" s="199"/>
      <c r="G577" s="199"/>
      <c r="H577" s="198"/>
      <c r="I577" s="198"/>
      <c r="J577" s="198"/>
      <c r="K577" s="198"/>
      <c r="L577" s="198"/>
      <c r="M577" s="198"/>
      <c r="N577" s="198"/>
      <c r="O577" s="198"/>
      <c r="P577" s="198"/>
      <c r="Q577" s="198"/>
      <c r="R577" s="198"/>
      <c r="S577" s="198"/>
      <c r="T577" s="198"/>
      <c r="U577" s="198"/>
      <c r="V577" s="198"/>
      <c r="W577" s="198"/>
      <c r="X577" s="198"/>
    </row>
    <row r="578">
      <c r="A578" s="198"/>
      <c r="B578" s="199"/>
      <c r="C578" s="198"/>
      <c r="D578" s="198"/>
      <c r="E578" s="198"/>
      <c r="F578" s="199"/>
      <c r="G578" s="199"/>
      <c r="H578" s="198"/>
      <c r="I578" s="198"/>
      <c r="J578" s="198"/>
      <c r="K578" s="198"/>
      <c r="L578" s="198"/>
      <c r="M578" s="198"/>
      <c r="N578" s="198"/>
      <c r="O578" s="198"/>
      <c r="P578" s="198"/>
      <c r="Q578" s="198"/>
      <c r="R578" s="198"/>
      <c r="S578" s="198"/>
      <c r="T578" s="198"/>
      <c r="U578" s="198"/>
      <c r="V578" s="198"/>
      <c r="W578" s="198"/>
      <c r="X578" s="198"/>
    </row>
    <row r="579">
      <c r="A579" s="198"/>
      <c r="B579" s="199"/>
      <c r="C579" s="198"/>
      <c r="D579" s="198"/>
      <c r="E579" s="198"/>
      <c r="F579" s="199"/>
      <c r="G579" s="199"/>
      <c r="H579" s="198"/>
      <c r="I579" s="198"/>
      <c r="J579" s="198"/>
      <c r="K579" s="198"/>
      <c r="L579" s="198"/>
      <c r="M579" s="198"/>
      <c r="N579" s="198"/>
      <c r="O579" s="198"/>
      <c r="P579" s="198"/>
      <c r="Q579" s="198"/>
      <c r="R579" s="198"/>
      <c r="S579" s="198"/>
      <c r="T579" s="198"/>
      <c r="U579" s="198"/>
      <c r="V579" s="198"/>
      <c r="W579" s="198"/>
      <c r="X579" s="198"/>
    </row>
    <row r="580">
      <c r="A580" s="198"/>
      <c r="B580" s="199"/>
      <c r="C580" s="198"/>
      <c r="D580" s="198"/>
      <c r="E580" s="198"/>
      <c r="F580" s="199"/>
      <c r="G580" s="199"/>
      <c r="H580" s="198"/>
      <c r="I580" s="198"/>
      <c r="J580" s="198"/>
      <c r="K580" s="198"/>
      <c r="L580" s="198"/>
      <c r="M580" s="198"/>
      <c r="N580" s="198"/>
      <c r="O580" s="198"/>
      <c r="P580" s="198"/>
      <c r="Q580" s="198"/>
      <c r="R580" s="198"/>
      <c r="S580" s="198"/>
      <c r="T580" s="198"/>
      <c r="U580" s="198"/>
      <c r="V580" s="198"/>
      <c r="W580" s="198"/>
      <c r="X580" s="198"/>
    </row>
    <row r="581">
      <c r="A581" s="198"/>
      <c r="B581" s="199"/>
      <c r="C581" s="198"/>
      <c r="D581" s="198"/>
      <c r="E581" s="198"/>
      <c r="F581" s="199"/>
      <c r="G581" s="199"/>
      <c r="H581" s="198"/>
      <c r="I581" s="198"/>
      <c r="J581" s="198"/>
      <c r="K581" s="198"/>
      <c r="L581" s="198"/>
      <c r="M581" s="198"/>
      <c r="N581" s="198"/>
      <c r="O581" s="198"/>
      <c r="P581" s="198"/>
      <c r="Q581" s="198"/>
      <c r="R581" s="198"/>
      <c r="S581" s="198"/>
      <c r="T581" s="198"/>
      <c r="U581" s="198"/>
      <c r="V581" s="198"/>
      <c r="W581" s="198"/>
      <c r="X581" s="198"/>
    </row>
    <row r="582">
      <c r="A582" s="198"/>
      <c r="B582" s="199"/>
      <c r="C582" s="198"/>
      <c r="D582" s="198"/>
      <c r="E582" s="198"/>
      <c r="F582" s="199"/>
      <c r="G582" s="199"/>
      <c r="H582" s="198"/>
      <c r="I582" s="198"/>
      <c r="J582" s="198"/>
      <c r="K582" s="198"/>
      <c r="L582" s="198"/>
      <c r="M582" s="198"/>
      <c r="N582" s="198"/>
      <c r="O582" s="198"/>
      <c r="P582" s="198"/>
      <c r="Q582" s="198"/>
      <c r="R582" s="198"/>
      <c r="S582" s="198"/>
      <c r="T582" s="198"/>
      <c r="U582" s="198"/>
      <c r="V582" s="198"/>
      <c r="W582" s="198"/>
      <c r="X582" s="198"/>
    </row>
    <row r="583">
      <c r="A583" s="198"/>
      <c r="B583" s="199"/>
      <c r="C583" s="198"/>
      <c r="D583" s="198"/>
      <c r="E583" s="198"/>
      <c r="F583" s="199"/>
      <c r="G583" s="199"/>
      <c r="H583" s="198"/>
      <c r="I583" s="198"/>
      <c r="J583" s="198"/>
      <c r="K583" s="198"/>
      <c r="L583" s="198"/>
      <c r="M583" s="198"/>
      <c r="N583" s="198"/>
      <c r="O583" s="198"/>
      <c r="P583" s="198"/>
      <c r="Q583" s="198"/>
      <c r="R583" s="198"/>
      <c r="S583" s="198"/>
      <c r="T583" s="198"/>
      <c r="U583" s="198"/>
      <c r="V583" s="198"/>
      <c r="W583" s="198"/>
      <c r="X583" s="198"/>
    </row>
    <row r="584">
      <c r="A584" s="198"/>
      <c r="B584" s="199"/>
      <c r="C584" s="198"/>
      <c r="D584" s="198"/>
      <c r="E584" s="198"/>
      <c r="F584" s="199"/>
      <c r="G584" s="199"/>
      <c r="H584" s="198"/>
      <c r="I584" s="198"/>
      <c r="J584" s="198"/>
      <c r="K584" s="198"/>
      <c r="L584" s="198"/>
      <c r="M584" s="198"/>
      <c r="N584" s="198"/>
      <c r="O584" s="198"/>
      <c r="P584" s="198"/>
      <c r="Q584" s="198"/>
      <c r="R584" s="198"/>
      <c r="S584" s="198"/>
      <c r="T584" s="198"/>
      <c r="U584" s="198"/>
      <c r="V584" s="198"/>
      <c r="W584" s="198"/>
      <c r="X584" s="198"/>
    </row>
    <row r="585">
      <c r="A585" s="198"/>
      <c r="B585" s="199"/>
      <c r="C585" s="198"/>
      <c r="D585" s="198"/>
      <c r="E585" s="198"/>
      <c r="F585" s="199"/>
      <c r="G585" s="199"/>
      <c r="H585" s="198"/>
      <c r="I585" s="198"/>
      <c r="J585" s="198"/>
      <c r="K585" s="198"/>
      <c r="L585" s="198"/>
      <c r="M585" s="198"/>
      <c r="N585" s="198"/>
      <c r="O585" s="198"/>
      <c r="P585" s="198"/>
      <c r="Q585" s="198"/>
      <c r="R585" s="198"/>
      <c r="S585" s="198"/>
      <c r="T585" s="198"/>
      <c r="U585" s="198"/>
      <c r="V585" s="198"/>
      <c r="W585" s="198"/>
      <c r="X585" s="198"/>
    </row>
    <row r="586">
      <c r="A586" s="198"/>
      <c r="B586" s="199"/>
      <c r="C586" s="198"/>
      <c r="D586" s="198"/>
      <c r="E586" s="198"/>
      <c r="F586" s="199"/>
      <c r="G586" s="199"/>
      <c r="H586" s="198"/>
      <c r="I586" s="198"/>
      <c r="J586" s="198"/>
      <c r="K586" s="198"/>
      <c r="L586" s="198"/>
      <c r="M586" s="198"/>
      <c r="N586" s="198"/>
      <c r="O586" s="198"/>
      <c r="P586" s="198"/>
      <c r="Q586" s="198"/>
      <c r="R586" s="198"/>
      <c r="S586" s="198"/>
      <c r="T586" s="198"/>
      <c r="U586" s="198"/>
      <c r="V586" s="198"/>
      <c r="W586" s="198"/>
      <c r="X586" s="198"/>
    </row>
    <row r="587">
      <c r="A587" s="198"/>
      <c r="B587" s="199"/>
      <c r="C587" s="198"/>
      <c r="D587" s="198"/>
      <c r="E587" s="198"/>
      <c r="F587" s="199"/>
      <c r="G587" s="199"/>
      <c r="H587" s="198"/>
      <c r="I587" s="198"/>
      <c r="J587" s="198"/>
      <c r="K587" s="198"/>
      <c r="L587" s="198"/>
      <c r="M587" s="198"/>
      <c r="N587" s="198"/>
      <c r="O587" s="198"/>
      <c r="P587" s="198"/>
      <c r="Q587" s="198"/>
      <c r="R587" s="198"/>
      <c r="S587" s="198"/>
      <c r="T587" s="198"/>
      <c r="U587" s="198"/>
      <c r="V587" s="198"/>
      <c r="W587" s="198"/>
      <c r="X587" s="198"/>
    </row>
    <row r="588">
      <c r="A588" s="198"/>
      <c r="B588" s="199"/>
      <c r="C588" s="198"/>
      <c r="D588" s="198"/>
      <c r="E588" s="198"/>
      <c r="F588" s="199"/>
      <c r="G588" s="199"/>
      <c r="H588" s="198"/>
      <c r="I588" s="198"/>
      <c r="J588" s="198"/>
      <c r="K588" s="198"/>
      <c r="L588" s="198"/>
      <c r="M588" s="198"/>
      <c r="N588" s="198"/>
      <c r="O588" s="198"/>
      <c r="P588" s="198"/>
      <c r="Q588" s="198"/>
      <c r="R588" s="198"/>
      <c r="S588" s="198"/>
      <c r="T588" s="198"/>
      <c r="U588" s="198"/>
      <c r="V588" s="198"/>
      <c r="W588" s="198"/>
      <c r="X588" s="198"/>
    </row>
    <row r="589">
      <c r="A589" s="198"/>
      <c r="B589" s="199"/>
      <c r="C589" s="198"/>
      <c r="D589" s="198"/>
      <c r="E589" s="198"/>
      <c r="F589" s="199"/>
      <c r="G589" s="199"/>
      <c r="H589" s="198"/>
      <c r="I589" s="198"/>
      <c r="J589" s="198"/>
      <c r="K589" s="198"/>
      <c r="L589" s="198"/>
      <c r="M589" s="198"/>
      <c r="N589" s="198"/>
      <c r="O589" s="198"/>
      <c r="P589" s="198"/>
      <c r="Q589" s="198"/>
      <c r="R589" s="198"/>
      <c r="S589" s="198"/>
      <c r="T589" s="198"/>
      <c r="U589" s="198"/>
      <c r="V589" s="198"/>
      <c r="W589" s="198"/>
      <c r="X589" s="198"/>
    </row>
    <row r="590">
      <c r="A590" s="198"/>
      <c r="B590" s="199"/>
      <c r="C590" s="198"/>
      <c r="D590" s="198"/>
      <c r="E590" s="198"/>
      <c r="F590" s="199"/>
      <c r="G590" s="199"/>
      <c r="H590" s="198"/>
      <c r="I590" s="198"/>
      <c r="J590" s="198"/>
      <c r="K590" s="198"/>
      <c r="L590" s="198"/>
      <c r="M590" s="198"/>
      <c r="N590" s="198"/>
      <c r="O590" s="198"/>
      <c r="P590" s="198"/>
      <c r="Q590" s="198"/>
      <c r="R590" s="198"/>
      <c r="S590" s="198"/>
      <c r="T590" s="198"/>
      <c r="U590" s="198"/>
      <c r="V590" s="198"/>
      <c r="W590" s="198"/>
      <c r="X590" s="198"/>
    </row>
    <row r="591">
      <c r="A591" s="198"/>
      <c r="B591" s="199"/>
      <c r="C591" s="198"/>
      <c r="D591" s="198"/>
      <c r="E591" s="198"/>
      <c r="F591" s="199"/>
      <c r="G591" s="199"/>
      <c r="H591" s="198"/>
      <c r="I591" s="198"/>
      <c r="J591" s="198"/>
      <c r="K591" s="198"/>
      <c r="L591" s="198"/>
      <c r="M591" s="198"/>
      <c r="N591" s="198"/>
      <c r="O591" s="198"/>
      <c r="P591" s="198"/>
      <c r="Q591" s="198"/>
      <c r="R591" s="198"/>
      <c r="S591" s="198"/>
      <c r="T591" s="198"/>
      <c r="U591" s="198"/>
      <c r="V591" s="198"/>
      <c r="W591" s="198"/>
      <c r="X591" s="198"/>
    </row>
    <row r="592">
      <c r="A592" s="198"/>
      <c r="B592" s="199"/>
      <c r="C592" s="198"/>
      <c r="D592" s="198"/>
      <c r="E592" s="198"/>
      <c r="F592" s="199"/>
      <c r="G592" s="199"/>
      <c r="H592" s="198"/>
      <c r="I592" s="198"/>
      <c r="J592" s="198"/>
      <c r="K592" s="198"/>
      <c r="L592" s="198"/>
      <c r="M592" s="198"/>
      <c r="N592" s="198"/>
      <c r="O592" s="198"/>
      <c r="P592" s="198"/>
      <c r="Q592" s="198"/>
      <c r="R592" s="198"/>
      <c r="S592" s="198"/>
      <c r="T592" s="198"/>
      <c r="U592" s="198"/>
      <c r="V592" s="198"/>
      <c r="W592" s="198"/>
      <c r="X592" s="198"/>
    </row>
    <row r="593">
      <c r="A593" s="198"/>
      <c r="B593" s="199"/>
      <c r="C593" s="198"/>
      <c r="D593" s="198"/>
      <c r="E593" s="198"/>
      <c r="F593" s="199"/>
      <c r="G593" s="199"/>
      <c r="H593" s="198"/>
      <c r="I593" s="198"/>
      <c r="J593" s="198"/>
      <c r="K593" s="198"/>
      <c r="L593" s="198"/>
      <c r="M593" s="198"/>
      <c r="N593" s="198"/>
      <c r="O593" s="198"/>
      <c r="P593" s="198"/>
      <c r="Q593" s="198"/>
      <c r="R593" s="198"/>
      <c r="S593" s="198"/>
      <c r="T593" s="198"/>
      <c r="U593" s="198"/>
      <c r="V593" s="198"/>
      <c r="W593" s="198"/>
      <c r="X593" s="198"/>
    </row>
    <row r="594">
      <c r="A594" s="198"/>
      <c r="B594" s="199"/>
      <c r="C594" s="198"/>
      <c r="D594" s="198"/>
      <c r="E594" s="198"/>
      <c r="F594" s="199"/>
      <c r="G594" s="199"/>
      <c r="H594" s="198"/>
      <c r="I594" s="198"/>
      <c r="J594" s="198"/>
      <c r="K594" s="198"/>
      <c r="L594" s="198"/>
      <c r="M594" s="198"/>
      <c r="N594" s="198"/>
      <c r="O594" s="198"/>
      <c r="P594" s="198"/>
      <c r="Q594" s="198"/>
      <c r="R594" s="198"/>
      <c r="S594" s="198"/>
      <c r="T594" s="198"/>
      <c r="U594" s="198"/>
      <c r="V594" s="198"/>
      <c r="W594" s="198"/>
      <c r="X594" s="198"/>
    </row>
    <row r="595">
      <c r="A595" s="198"/>
      <c r="B595" s="199"/>
      <c r="C595" s="198"/>
      <c r="D595" s="198"/>
      <c r="E595" s="198"/>
      <c r="F595" s="199"/>
      <c r="G595" s="199"/>
      <c r="H595" s="198"/>
      <c r="I595" s="198"/>
      <c r="J595" s="198"/>
      <c r="K595" s="198"/>
      <c r="L595" s="198"/>
      <c r="M595" s="198"/>
      <c r="N595" s="198"/>
      <c r="O595" s="198"/>
      <c r="P595" s="198"/>
      <c r="Q595" s="198"/>
      <c r="R595" s="198"/>
      <c r="S595" s="198"/>
      <c r="T595" s="198"/>
      <c r="U595" s="198"/>
      <c r="V595" s="198"/>
      <c r="W595" s="198"/>
      <c r="X595" s="198"/>
    </row>
    <row r="596">
      <c r="A596" s="198"/>
      <c r="B596" s="199"/>
      <c r="C596" s="198"/>
      <c r="D596" s="198"/>
      <c r="E596" s="198"/>
      <c r="F596" s="199"/>
      <c r="G596" s="199"/>
      <c r="H596" s="198"/>
      <c r="I596" s="198"/>
      <c r="J596" s="198"/>
      <c r="K596" s="198"/>
      <c r="L596" s="198"/>
      <c r="M596" s="198"/>
      <c r="N596" s="198"/>
      <c r="O596" s="198"/>
      <c r="P596" s="198"/>
      <c r="Q596" s="198"/>
      <c r="R596" s="198"/>
      <c r="S596" s="198"/>
      <c r="T596" s="198"/>
      <c r="U596" s="198"/>
      <c r="V596" s="198"/>
      <c r="W596" s="198"/>
      <c r="X596" s="198"/>
    </row>
    <row r="597">
      <c r="A597" s="198"/>
      <c r="B597" s="199"/>
      <c r="C597" s="198"/>
      <c r="D597" s="198"/>
      <c r="E597" s="198"/>
      <c r="F597" s="199"/>
      <c r="G597" s="199"/>
      <c r="H597" s="198"/>
      <c r="I597" s="198"/>
      <c r="J597" s="198"/>
      <c r="K597" s="198"/>
      <c r="L597" s="198"/>
      <c r="M597" s="198"/>
      <c r="N597" s="198"/>
      <c r="O597" s="198"/>
      <c r="P597" s="198"/>
      <c r="Q597" s="198"/>
      <c r="R597" s="198"/>
      <c r="S597" s="198"/>
      <c r="T597" s="198"/>
      <c r="U597" s="198"/>
      <c r="V597" s="198"/>
      <c r="W597" s="198"/>
      <c r="X597" s="198"/>
    </row>
    <row r="598">
      <c r="A598" s="198"/>
      <c r="B598" s="199"/>
      <c r="C598" s="198"/>
      <c r="D598" s="198"/>
      <c r="E598" s="198"/>
      <c r="F598" s="199"/>
      <c r="G598" s="199"/>
      <c r="H598" s="198"/>
      <c r="I598" s="198"/>
      <c r="J598" s="198"/>
      <c r="K598" s="198"/>
      <c r="L598" s="198"/>
      <c r="M598" s="198"/>
      <c r="N598" s="198"/>
      <c r="O598" s="198"/>
      <c r="P598" s="198"/>
      <c r="Q598" s="198"/>
      <c r="R598" s="198"/>
      <c r="S598" s="198"/>
      <c r="T598" s="198"/>
      <c r="U598" s="198"/>
      <c r="V598" s="198"/>
      <c r="W598" s="198"/>
      <c r="X598" s="198"/>
    </row>
    <row r="599">
      <c r="A599" s="198"/>
      <c r="B599" s="199"/>
      <c r="C599" s="198"/>
      <c r="D599" s="198"/>
      <c r="E599" s="198"/>
      <c r="F599" s="199"/>
      <c r="G599" s="199"/>
      <c r="H599" s="198"/>
      <c r="I599" s="198"/>
      <c r="J599" s="198"/>
      <c r="K599" s="198"/>
      <c r="L599" s="198"/>
      <c r="M599" s="198"/>
      <c r="N599" s="198"/>
      <c r="O599" s="198"/>
      <c r="P599" s="198"/>
      <c r="Q599" s="198"/>
      <c r="R599" s="198"/>
      <c r="S599" s="198"/>
      <c r="T599" s="198"/>
      <c r="U599" s="198"/>
      <c r="V599" s="198"/>
      <c r="W599" s="198"/>
      <c r="X599" s="198"/>
    </row>
    <row r="600">
      <c r="A600" s="198"/>
      <c r="B600" s="199"/>
      <c r="C600" s="198"/>
      <c r="D600" s="198"/>
      <c r="E600" s="198"/>
      <c r="F600" s="199"/>
      <c r="G600" s="199"/>
      <c r="H600" s="198"/>
      <c r="I600" s="198"/>
      <c r="J600" s="198"/>
      <c r="K600" s="198"/>
      <c r="L600" s="198"/>
      <c r="M600" s="198"/>
      <c r="N600" s="198"/>
      <c r="O600" s="198"/>
      <c r="P600" s="198"/>
      <c r="Q600" s="198"/>
      <c r="R600" s="198"/>
      <c r="S600" s="198"/>
      <c r="T600" s="198"/>
      <c r="U600" s="198"/>
      <c r="V600" s="198"/>
      <c r="W600" s="198"/>
      <c r="X600" s="198"/>
    </row>
    <row r="601">
      <c r="A601" s="198"/>
      <c r="B601" s="199"/>
      <c r="C601" s="198"/>
      <c r="D601" s="198"/>
      <c r="E601" s="198"/>
      <c r="F601" s="199"/>
      <c r="G601" s="199"/>
      <c r="H601" s="198"/>
      <c r="I601" s="198"/>
      <c r="J601" s="198"/>
      <c r="K601" s="198"/>
      <c r="L601" s="198"/>
      <c r="M601" s="198"/>
      <c r="N601" s="198"/>
      <c r="O601" s="198"/>
      <c r="P601" s="198"/>
      <c r="Q601" s="198"/>
      <c r="R601" s="198"/>
      <c r="S601" s="198"/>
      <c r="T601" s="198"/>
      <c r="U601" s="198"/>
      <c r="V601" s="198"/>
      <c r="W601" s="198"/>
      <c r="X601" s="198"/>
    </row>
    <row r="602">
      <c r="A602" s="198"/>
      <c r="B602" s="199"/>
      <c r="C602" s="198"/>
      <c r="D602" s="198"/>
      <c r="E602" s="198"/>
      <c r="F602" s="199"/>
      <c r="G602" s="199"/>
      <c r="H602" s="198"/>
      <c r="I602" s="198"/>
      <c r="J602" s="198"/>
      <c r="K602" s="198"/>
      <c r="L602" s="198"/>
      <c r="M602" s="198"/>
      <c r="N602" s="198"/>
      <c r="O602" s="198"/>
      <c r="P602" s="198"/>
      <c r="Q602" s="198"/>
      <c r="R602" s="198"/>
      <c r="S602" s="198"/>
      <c r="T602" s="198"/>
      <c r="U602" s="198"/>
      <c r="V602" s="198"/>
      <c r="W602" s="198"/>
      <c r="X602" s="198"/>
    </row>
    <row r="603">
      <c r="A603" s="198"/>
      <c r="B603" s="199"/>
      <c r="C603" s="198"/>
      <c r="D603" s="198"/>
      <c r="E603" s="198"/>
      <c r="F603" s="199"/>
      <c r="G603" s="199"/>
      <c r="H603" s="198"/>
      <c r="I603" s="198"/>
      <c r="J603" s="198"/>
      <c r="K603" s="198"/>
      <c r="L603" s="198"/>
      <c r="M603" s="198"/>
      <c r="N603" s="198"/>
      <c r="O603" s="198"/>
      <c r="P603" s="198"/>
      <c r="Q603" s="198"/>
      <c r="R603" s="198"/>
      <c r="S603" s="198"/>
      <c r="T603" s="198"/>
      <c r="U603" s="198"/>
      <c r="V603" s="198"/>
      <c r="W603" s="198"/>
      <c r="X603" s="198"/>
    </row>
    <row r="604">
      <c r="A604" s="198"/>
      <c r="B604" s="199"/>
      <c r="C604" s="198"/>
      <c r="D604" s="198"/>
      <c r="E604" s="198"/>
      <c r="F604" s="199"/>
      <c r="G604" s="199"/>
      <c r="H604" s="198"/>
      <c r="I604" s="198"/>
      <c r="J604" s="198"/>
      <c r="K604" s="198"/>
      <c r="L604" s="198"/>
      <c r="M604" s="198"/>
      <c r="N604" s="198"/>
      <c r="O604" s="198"/>
      <c r="P604" s="198"/>
      <c r="Q604" s="198"/>
      <c r="R604" s="198"/>
      <c r="S604" s="198"/>
      <c r="T604" s="198"/>
      <c r="U604" s="198"/>
      <c r="V604" s="198"/>
      <c r="W604" s="198"/>
      <c r="X604" s="198"/>
    </row>
    <row r="605">
      <c r="A605" s="198"/>
      <c r="B605" s="199"/>
      <c r="C605" s="198"/>
      <c r="D605" s="198"/>
      <c r="E605" s="198"/>
      <c r="F605" s="199"/>
      <c r="G605" s="199"/>
      <c r="H605" s="198"/>
      <c r="I605" s="198"/>
      <c r="J605" s="198"/>
      <c r="K605" s="198"/>
      <c r="L605" s="198"/>
      <c r="M605" s="198"/>
      <c r="N605" s="198"/>
      <c r="O605" s="198"/>
      <c r="P605" s="198"/>
      <c r="Q605" s="198"/>
      <c r="R605" s="198"/>
      <c r="S605" s="198"/>
      <c r="T605" s="198"/>
      <c r="U605" s="198"/>
      <c r="V605" s="198"/>
      <c r="W605" s="198"/>
      <c r="X605" s="198"/>
    </row>
    <row r="606">
      <c r="A606" s="198"/>
      <c r="B606" s="199"/>
      <c r="C606" s="198"/>
      <c r="D606" s="198"/>
      <c r="E606" s="198"/>
      <c r="F606" s="199"/>
      <c r="G606" s="199"/>
      <c r="H606" s="198"/>
      <c r="I606" s="198"/>
      <c r="J606" s="198"/>
      <c r="K606" s="198"/>
      <c r="L606" s="198"/>
      <c r="M606" s="198"/>
      <c r="N606" s="198"/>
      <c r="O606" s="198"/>
      <c r="P606" s="198"/>
      <c r="Q606" s="198"/>
      <c r="R606" s="198"/>
      <c r="S606" s="198"/>
      <c r="T606" s="198"/>
      <c r="U606" s="198"/>
      <c r="V606" s="198"/>
      <c r="W606" s="198"/>
      <c r="X606" s="198"/>
    </row>
    <row r="607">
      <c r="A607" s="198"/>
      <c r="B607" s="199"/>
      <c r="C607" s="198"/>
      <c r="D607" s="198"/>
      <c r="E607" s="198"/>
      <c r="F607" s="199"/>
      <c r="G607" s="199"/>
      <c r="H607" s="198"/>
      <c r="I607" s="198"/>
      <c r="J607" s="198"/>
      <c r="K607" s="198"/>
      <c r="L607" s="198"/>
      <c r="M607" s="198"/>
      <c r="N607" s="198"/>
      <c r="O607" s="198"/>
      <c r="P607" s="198"/>
      <c r="Q607" s="198"/>
      <c r="R607" s="198"/>
      <c r="S607" s="198"/>
      <c r="T607" s="198"/>
      <c r="U607" s="198"/>
      <c r="V607" s="198"/>
      <c r="W607" s="198"/>
      <c r="X607" s="198"/>
    </row>
    <row r="608">
      <c r="A608" s="198"/>
      <c r="B608" s="199"/>
      <c r="C608" s="198"/>
      <c r="D608" s="198"/>
      <c r="E608" s="198"/>
      <c r="F608" s="199"/>
      <c r="G608" s="199"/>
      <c r="H608" s="198"/>
      <c r="I608" s="198"/>
      <c r="J608" s="198"/>
      <c r="K608" s="198"/>
      <c r="L608" s="198"/>
      <c r="M608" s="198"/>
      <c r="N608" s="198"/>
      <c r="O608" s="198"/>
      <c r="P608" s="198"/>
      <c r="Q608" s="198"/>
      <c r="R608" s="198"/>
      <c r="S608" s="198"/>
      <c r="T608" s="198"/>
      <c r="U608" s="198"/>
      <c r="V608" s="198"/>
      <c r="W608" s="198"/>
      <c r="X608" s="198"/>
    </row>
    <row r="609">
      <c r="A609" s="198"/>
      <c r="B609" s="199"/>
      <c r="C609" s="198"/>
      <c r="D609" s="198"/>
      <c r="E609" s="198"/>
      <c r="F609" s="199"/>
      <c r="G609" s="199"/>
      <c r="H609" s="198"/>
      <c r="I609" s="198"/>
      <c r="J609" s="198"/>
      <c r="K609" s="198"/>
      <c r="L609" s="198"/>
      <c r="M609" s="198"/>
      <c r="N609" s="198"/>
      <c r="O609" s="198"/>
      <c r="P609" s="198"/>
      <c r="Q609" s="198"/>
      <c r="R609" s="198"/>
      <c r="S609" s="198"/>
      <c r="T609" s="198"/>
      <c r="U609" s="198"/>
      <c r="V609" s="198"/>
      <c r="W609" s="198"/>
      <c r="X609" s="198"/>
    </row>
    <row r="610">
      <c r="A610" s="198"/>
      <c r="B610" s="199"/>
      <c r="C610" s="198"/>
      <c r="D610" s="198"/>
      <c r="E610" s="198"/>
      <c r="F610" s="199"/>
      <c r="G610" s="199"/>
      <c r="H610" s="198"/>
      <c r="I610" s="198"/>
      <c r="J610" s="198"/>
      <c r="K610" s="198"/>
      <c r="L610" s="198"/>
      <c r="M610" s="198"/>
      <c r="N610" s="198"/>
      <c r="O610" s="198"/>
      <c r="P610" s="198"/>
      <c r="Q610" s="198"/>
      <c r="R610" s="198"/>
      <c r="S610" s="198"/>
      <c r="T610" s="198"/>
      <c r="U610" s="198"/>
      <c r="V610" s="198"/>
      <c r="W610" s="198"/>
      <c r="X610" s="198"/>
    </row>
    <row r="611">
      <c r="A611" s="198"/>
      <c r="B611" s="199"/>
      <c r="C611" s="198"/>
      <c r="D611" s="198"/>
      <c r="E611" s="198"/>
      <c r="F611" s="199"/>
      <c r="G611" s="199"/>
      <c r="H611" s="198"/>
      <c r="I611" s="198"/>
      <c r="J611" s="198"/>
      <c r="K611" s="198"/>
      <c r="L611" s="198"/>
      <c r="M611" s="198"/>
      <c r="N611" s="198"/>
      <c r="O611" s="198"/>
      <c r="P611" s="198"/>
      <c r="Q611" s="198"/>
      <c r="R611" s="198"/>
      <c r="S611" s="198"/>
      <c r="T611" s="198"/>
      <c r="U611" s="198"/>
      <c r="V611" s="198"/>
      <c r="W611" s="198"/>
      <c r="X611" s="198"/>
    </row>
    <row r="612">
      <c r="A612" s="198"/>
      <c r="B612" s="199"/>
      <c r="C612" s="198"/>
      <c r="D612" s="198"/>
      <c r="E612" s="198"/>
      <c r="F612" s="199"/>
      <c r="G612" s="199"/>
      <c r="H612" s="198"/>
      <c r="I612" s="198"/>
      <c r="J612" s="198"/>
      <c r="K612" s="198"/>
      <c r="L612" s="198"/>
      <c r="M612" s="198"/>
      <c r="N612" s="198"/>
      <c r="O612" s="198"/>
      <c r="P612" s="198"/>
      <c r="Q612" s="198"/>
      <c r="R612" s="198"/>
      <c r="S612" s="198"/>
      <c r="T612" s="198"/>
      <c r="U612" s="198"/>
      <c r="V612" s="198"/>
      <c r="W612" s="198"/>
      <c r="X612" s="198"/>
    </row>
    <row r="613">
      <c r="A613" s="198"/>
      <c r="B613" s="199"/>
      <c r="C613" s="198"/>
      <c r="D613" s="198"/>
      <c r="E613" s="198"/>
      <c r="F613" s="199"/>
      <c r="G613" s="199"/>
      <c r="H613" s="198"/>
      <c r="I613" s="198"/>
      <c r="J613" s="198"/>
      <c r="K613" s="198"/>
      <c r="L613" s="198"/>
      <c r="M613" s="198"/>
      <c r="N613" s="198"/>
      <c r="O613" s="198"/>
      <c r="P613" s="198"/>
      <c r="Q613" s="198"/>
      <c r="R613" s="198"/>
      <c r="S613" s="198"/>
      <c r="T613" s="198"/>
      <c r="U613" s="198"/>
      <c r="V613" s="198"/>
      <c r="W613" s="198"/>
      <c r="X613" s="198"/>
    </row>
    <row r="614">
      <c r="A614" s="198"/>
      <c r="B614" s="199"/>
      <c r="C614" s="198"/>
      <c r="D614" s="198"/>
      <c r="E614" s="198"/>
      <c r="F614" s="199"/>
      <c r="G614" s="199"/>
      <c r="H614" s="198"/>
      <c r="I614" s="198"/>
      <c r="J614" s="198"/>
      <c r="K614" s="198"/>
      <c r="L614" s="198"/>
      <c r="M614" s="198"/>
      <c r="N614" s="198"/>
      <c r="O614" s="198"/>
      <c r="P614" s="198"/>
      <c r="Q614" s="198"/>
      <c r="R614" s="198"/>
      <c r="S614" s="198"/>
      <c r="T614" s="198"/>
      <c r="U614" s="198"/>
      <c r="V614" s="198"/>
      <c r="W614" s="198"/>
      <c r="X614" s="198"/>
    </row>
    <row r="615">
      <c r="A615" s="198"/>
      <c r="B615" s="199"/>
      <c r="C615" s="198"/>
      <c r="D615" s="198"/>
      <c r="E615" s="198"/>
      <c r="F615" s="199"/>
      <c r="G615" s="199"/>
      <c r="H615" s="198"/>
      <c r="I615" s="198"/>
      <c r="J615" s="198"/>
      <c r="K615" s="198"/>
      <c r="L615" s="198"/>
      <c r="M615" s="198"/>
      <c r="N615" s="198"/>
      <c r="O615" s="198"/>
      <c r="P615" s="198"/>
      <c r="Q615" s="198"/>
      <c r="R615" s="198"/>
      <c r="S615" s="198"/>
      <c r="T615" s="198"/>
      <c r="U615" s="198"/>
      <c r="V615" s="198"/>
      <c r="W615" s="198"/>
      <c r="X615" s="198"/>
    </row>
    <row r="616">
      <c r="A616" s="198"/>
      <c r="B616" s="199"/>
      <c r="C616" s="198"/>
      <c r="D616" s="198"/>
      <c r="E616" s="198"/>
      <c r="F616" s="199"/>
      <c r="G616" s="199"/>
      <c r="H616" s="198"/>
      <c r="I616" s="198"/>
      <c r="J616" s="198"/>
      <c r="K616" s="198"/>
      <c r="L616" s="198"/>
      <c r="M616" s="198"/>
      <c r="N616" s="198"/>
      <c r="O616" s="198"/>
      <c r="P616" s="198"/>
      <c r="Q616" s="198"/>
      <c r="R616" s="198"/>
      <c r="S616" s="198"/>
      <c r="T616" s="198"/>
      <c r="U616" s="198"/>
      <c r="V616" s="198"/>
      <c r="W616" s="198"/>
      <c r="X616" s="198"/>
    </row>
    <row r="617">
      <c r="A617" s="198"/>
      <c r="B617" s="199"/>
      <c r="C617" s="198"/>
      <c r="D617" s="198"/>
      <c r="E617" s="198"/>
      <c r="F617" s="199"/>
      <c r="G617" s="199"/>
      <c r="H617" s="198"/>
      <c r="I617" s="198"/>
      <c r="J617" s="198"/>
      <c r="K617" s="198"/>
      <c r="L617" s="198"/>
      <c r="M617" s="198"/>
      <c r="N617" s="198"/>
      <c r="O617" s="198"/>
      <c r="P617" s="198"/>
      <c r="Q617" s="198"/>
      <c r="R617" s="198"/>
      <c r="S617" s="198"/>
      <c r="T617" s="198"/>
      <c r="U617" s="198"/>
      <c r="V617" s="198"/>
      <c r="W617" s="198"/>
      <c r="X617" s="198"/>
    </row>
    <row r="618">
      <c r="A618" s="198"/>
      <c r="B618" s="199"/>
      <c r="C618" s="198"/>
      <c r="D618" s="198"/>
      <c r="E618" s="198"/>
      <c r="F618" s="199"/>
      <c r="G618" s="199"/>
      <c r="H618" s="198"/>
      <c r="I618" s="198"/>
      <c r="J618" s="198"/>
      <c r="K618" s="198"/>
      <c r="L618" s="198"/>
      <c r="M618" s="198"/>
      <c r="N618" s="198"/>
      <c r="O618" s="198"/>
      <c r="P618" s="198"/>
      <c r="Q618" s="198"/>
      <c r="R618" s="198"/>
      <c r="S618" s="198"/>
      <c r="T618" s="198"/>
      <c r="U618" s="198"/>
      <c r="V618" s="198"/>
      <c r="W618" s="198"/>
      <c r="X618" s="198"/>
    </row>
    <row r="619">
      <c r="A619" s="198"/>
      <c r="B619" s="199"/>
      <c r="C619" s="198"/>
      <c r="D619" s="198"/>
      <c r="E619" s="198"/>
      <c r="F619" s="199"/>
      <c r="G619" s="199"/>
      <c r="H619" s="198"/>
      <c r="I619" s="198"/>
      <c r="J619" s="198"/>
      <c r="K619" s="198"/>
      <c r="L619" s="198"/>
      <c r="M619" s="198"/>
      <c r="N619" s="198"/>
      <c r="O619" s="198"/>
      <c r="P619" s="198"/>
      <c r="Q619" s="198"/>
      <c r="R619" s="198"/>
      <c r="S619" s="198"/>
      <c r="T619" s="198"/>
      <c r="U619" s="198"/>
      <c r="V619" s="198"/>
      <c r="W619" s="198"/>
      <c r="X619" s="198"/>
    </row>
    <row r="620">
      <c r="A620" s="198"/>
      <c r="B620" s="199"/>
      <c r="C620" s="198"/>
      <c r="D620" s="198"/>
      <c r="E620" s="198"/>
      <c r="F620" s="199"/>
      <c r="G620" s="199"/>
      <c r="H620" s="198"/>
      <c r="I620" s="198"/>
      <c r="J620" s="198"/>
      <c r="K620" s="198"/>
      <c r="L620" s="198"/>
      <c r="M620" s="198"/>
      <c r="N620" s="198"/>
      <c r="O620" s="198"/>
      <c r="P620" s="198"/>
      <c r="Q620" s="198"/>
      <c r="R620" s="198"/>
      <c r="S620" s="198"/>
      <c r="T620" s="198"/>
      <c r="U620" s="198"/>
      <c r="V620" s="198"/>
      <c r="W620" s="198"/>
      <c r="X620" s="198"/>
    </row>
    <row r="621">
      <c r="A621" s="198"/>
      <c r="B621" s="199"/>
      <c r="C621" s="198"/>
      <c r="D621" s="198"/>
      <c r="E621" s="198"/>
      <c r="F621" s="199"/>
      <c r="G621" s="199"/>
      <c r="H621" s="198"/>
      <c r="I621" s="198"/>
      <c r="J621" s="198"/>
      <c r="K621" s="198"/>
      <c r="L621" s="198"/>
      <c r="M621" s="198"/>
      <c r="N621" s="198"/>
      <c r="O621" s="198"/>
      <c r="P621" s="198"/>
      <c r="Q621" s="198"/>
      <c r="R621" s="198"/>
      <c r="S621" s="198"/>
      <c r="T621" s="198"/>
      <c r="U621" s="198"/>
      <c r="V621" s="198"/>
      <c r="W621" s="198"/>
      <c r="X621" s="198"/>
    </row>
    <row r="622">
      <c r="A622" s="198"/>
      <c r="B622" s="199"/>
      <c r="C622" s="198"/>
      <c r="D622" s="198"/>
      <c r="E622" s="198"/>
      <c r="F622" s="199"/>
      <c r="G622" s="199"/>
      <c r="H622" s="198"/>
      <c r="I622" s="198"/>
      <c r="J622" s="198"/>
      <c r="K622" s="198"/>
      <c r="L622" s="198"/>
      <c r="M622" s="198"/>
      <c r="N622" s="198"/>
      <c r="O622" s="198"/>
      <c r="P622" s="198"/>
      <c r="Q622" s="198"/>
      <c r="R622" s="198"/>
      <c r="S622" s="198"/>
      <c r="T622" s="198"/>
      <c r="U622" s="198"/>
      <c r="V622" s="198"/>
      <c r="W622" s="198"/>
      <c r="X622" s="198"/>
    </row>
    <row r="623">
      <c r="A623" s="198"/>
      <c r="B623" s="199"/>
      <c r="C623" s="198"/>
      <c r="D623" s="198"/>
      <c r="E623" s="198"/>
      <c r="F623" s="199"/>
      <c r="G623" s="199"/>
      <c r="H623" s="198"/>
      <c r="I623" s="198"/>
      <c r="J623" s="198"/>
      <c r="K623" s="198"/>
      <c r="L623" s="198"/>
      <c r="M623" s="198"/>
      <c r="N623" s="198"/>
      <c r="O623" s="198"/>
      <c r="P623" s="198"/>
      <c r="Q623" s="198"/>
      <c r="R623" s="198"/>
      <c r="S623" s="198"/>
      <c r="T623" s="198"/>
      <c r="U623" s="198"/>
      <c r="V623" s="198"/>
      <c r="W623" s="198"/>
      <c r="X623" s="198"/>
    </row>
    <row r="624">
      <c r="A624" s="198"/>
      <c r="B624" s="199"/>
      <c r="C624" s="198"/>
      <c r="D624" s="198"/>
      <c r="E624" s="198"/>
      <c r="F624" s="199"/>
      <c r="G624" s="199"/>
      <c r="H624" s="198"/>
      <c r="I624" s="198"/>
      <c r="J624" s="198"/>
      <c r="K624" s="198"/>
      <c r="L624" s="198"/>
      <c r="M624" s="198"/>
      <c r="N624" s="198"/>
      <c r="O624" s="198"/>
      <c r="P624" s="198"/>
      <c r="Q624" s="198"/>
      <c r="R624" s="198"/>
      <c r="S624" s="198"/>
      <c r="T624" s="198"/>
      <c r="U624" s="198"/>
      <c r="V624" s="198"/>
      <c r="W624" s="198"/>
      <c r="X624" s="198"/>
    </row>
    <row r="625">
      <c r="A625" s="198"/>
      <c r="B625" s="199"/>
      <c r="C625" s="198"/>
      <c r="D625" s="198"/>
      <c r="E625" s="198"/>
      <c r="F625" s="199"/>
      <c r="G625" s="199"/>
      <c r="H625" s="198"/>
      <c r="I625" s="198"/>
      <c r="J625" s="198"/>
      <c r="K625" s="198"/>
      <c r="L625" s="198"/>
      <c r="M625" s="198"/>
      <c r="N625" s="198"/>
      <c r="O625" s="198"/>
      <c r="P625" s="198"/>
      <c r="Q625" s="198"/>
      <c r="R625" s="198"/>
      <c r="S625" s="198"/>
      <c r="T625" s="198"/>
      <c r="U625" s="198"/>
      <c r="V625" s="198"/>
      <c r="W625" s="198"/>
      <c r="X625" s="198"/>
    </row>
    <row r="626">
      <c r="A626" s="198"/>
      <c r="B626" s="199"/>
      <c r="C626" s="198"/>
      <c r="D626" s="198"/>
      <c r="E626" s="198"/>
      <c r="F626" s="199"/>
      <c r="G626" s="199"/>
      <c r="H626" s="198"/>
      <c r="I626" s="198"/>
      <c r="J626" s="198"/>
      <c r="K626" s="198"/>
      <c r="L626" s="198"/>
      <c r="M626" s="198"/>
      <c r="N626" s="198"/>
      <c r="O626" s="198"/>
      <c r="P626" s="198"/>
      <c r="Q626" s="198"/>
      <c r="R626" s="198"/>
      <c r="S626" s="198"/>
      <c r="T626" s="198"/>
      <c r="U626" s="198"/>
      <c r="V626" s="198"/>
      <c r="W626" s="198"/>
      <c r="X626" s="198"/>
    </row>
    <row r="627">
      <c r="A627" s="198"/>
      <c r="B627" s="199"/>
      <c r="C627" s="198"/>
      <c r="D627" s="198"/>
      <c r="E627" s="198"/>
      <c r="F627" s="199"/>
      <c r="G627" s="199"/>
      <c r="H627" s="198"/>
      <c r="I627" s="198"/>
      <c r="J627" s="198"/>
      <c r="K627" s="198"/>
      <c r="L627" s="198"/>
      <c r="M627" s="198"/>
      <c r="N627" s="198"/>
      <c r="O627" s="198"/>
      <c r="P627" s="198"/>
      <c r="Q627" s="198"/>
      <c r="R627" s="198"/>
      <c r="S627" s="198"/>
      <c r="T627" s="198"/>
      <c r="U627" s="198"/>
      <c r="V627" s="198"/>
      <c r="W627" s="198"/>
      <c r="X627" s="198"/>
    </row>
    <row r="628">
      <c r="A628" s="198"/>
      <c r="B628" s="199"/>
      <c r="C628" s="198"/>
      <c r="D628" s="198"/>
      <c r="E628" s="198"/>
      <c r="F628" s="199"/>
      <c r="G628" s="199"/>
      <c r="H628" s="198"/>
      <c r="I628" s="198"/>
      <c r="J628" s="198"/>
      <c r="K628" s="198"/>
      <c r="L628" s="198"/>
      <c r="M628" s="198"/>
      <c r="N628" s="198"/>
      <c r="O628" s="198"/>
      <c r="P628" s="198"/>
      <c r="Q628" s="198"/>
      <c r="R628" s="198"/>
      <c r="S628" s="198"/>
      <c r="T628" s="198"/>
      <c r="U628" s="198"/>
      <c r="V628" s="198"/>
      <c r="W628" s="198"/>
      <c r="X628" s="198"/>
    </row>
    <row r="629">
      <c r="A629" s="198"/>
      <c r="B629" s="199"/>
      <c r="C629" s="198"/>
      <c r="D629" s="198"/>
      <c r="E629" s="198"/>
      <c r="F629" s="199"/>
      <c r="G629" s="199"/>
      <c r="H629" s="198"/>
      <c r="I629" s="198"/>
      <c r="J629" s="198"/>
      <c r="K629" s="198"/>
      <c r="L629" s="198"/>
      <c r="M629" s="198"/>
      <c r="N629" s="198"/>
      <c r="O629" s="198"/>
      <c r="P629" s="198"/>
      <c r="Q629" s="198"/>
      <c r="R629" s="198"/>
      <c r="S629" s="198"/>
      <c r="T629" s="198"/>
      <c r="U629" s="198"/>
      <c r="V629" s="198"/>
      <c r="W629" s="198"/>
      <c r="X629" s="198"/>
    </row>
    <row r="630">
      <c r="A630" s="198"/>
      <c r="B630" s="199"/>
      <c r="C630" s="198"/>
      <c r="D630" s="198"/>
      <c r="E630" s="198"/>
      <c r="F630" s="199"/>
      <c r="G630" s="199"/>
      <c r="H630" s="198"/>
      <c r="I630" s="198"/>
      <c r="J630" s="198"/>
      <c r="K630" s="198"/>
      <c r="L630" s="198"/>
      <c r="M630" s="198"/>
      <c r="N630" s="198"/>
      <c r="O630" s="198"/>
      <c r="P630" s="198"/>
      <c r="Q630" s="198"/>
      <c r="R630" s="198"/>
      <c r="S630" s="198"/>
      <c r="T630" s="198"/>
      <c r="U630" s="198"/>
      <c r="V630" s="198"/>
      <c r="W630" s="198"/>
      <c r="X630" s="198"/>
    </row>
    <row r="631">
      <c r="A631" s="198"/>
      <c r="B631" s="199"/>
      <c r="C631" s="198"/>
      <c r="D631" s="198"/>
      <c r="E631" s="198"/>
      <c r="F631" s="199"/>
      <c r="G631" s="199"/>
      <c r="H631" s="198"/>
      <c r="I631" s="198"/>
      <c r="J631" s="198"/>
      <c r="K631" s="198"/>
      <c r="L631" s="198"/>
      <c r="M631" s="198"/>
      <c r="N631" s="198"/>
      <c r="O631" s="198"/>
      <c r="P631" s="198"/>
      <c r="Q631" s="198"/>
      <c r="R631" s="198"/>
      <c r="S631" s="198"/>
      <c r="T631" s="198"/>
      <c r="U631" s="198"/>
      <c r="V631" s="198"/>
      <c r="W631" s="198"/>
      <c r="X631" s="198"/>
    </row>
    <row r="632">
      <c r="A632" s="198"/>
      <c r="B632" s="199"/>
      <c r="C632" s="198"/>
      <c r="D632" s="198"/>
      <c r="E632" s="198"/>
      <c r="F632" s="199"/>
      <c r="G632" s="199"/>
      <c r="H632" s="198"/>
      <c r="I632" s="198"/>
      <c r="J632" s="198"/>
      <c r="K632" s="198"/>
      <c r="L632" s="198"/>
      <c r="M632" s="198"/>
      <c r="N632" s="198"/>
      <c r="O632" s="198"/>
      <c r="P632" s="198"/>
      <c r="Q632" s="198"/>
      <c r="R632" s="198"/>
      <c r="S632" s="198"/>
      <c r="T632" s="198"/>
      <c r="U632" s="198"/>
      <c r="V632" s="198"/>
      <c r="W632" s="198"/>
      <c r="X632" s="198"/>
    </row>
    <row r="633">
      <c r="A633" s="198"/>
      <c r="B633" s="199"/>
      <c r="C633" s="198"/>
      <c r="D633" s="198"/>
      <c r="E633" s="198"/>
      <c r="F633" s="199"/>
      <c r="G633" s="199"/>
      <c r="H633" s="198"/>
      <c r="I633" s="198"/>
      <c r="J633" s="198"/>
      <c r="K633" s="198"/>
      <c r="L633" s="198"/>
      <c r="M633" s="198"/>
      <c r="N633" s="198"/>
      <c r="O633" s="198"/>
      <c r="P633" s="198"/>
      <c r="Q633" s="198"/>
      <c r="R633" s="198"/>
      <c r="S633" s="198"/>
      <c r="T633" s="198"/>
      <c r="U633" s="198"/>
      <c r="V633" s="198"/>
      <c r="W633" s="198"/>
      <c r="X633" s="198"/>
    </row>
    <row r="634">
      <c r="A634" s="198"/>
      <c r="B634" s="199"/>
      <c r="C634" s="198"/>
      <c r="D634" s="198"/>
      <c r="E634" s="198"/>
      <c r="F634" s="199"/>
      <c r="G634" s="199"/>
      <c r="H634" s="198"/>
      <c r="I634" s="198"/>
      <c r="J634" s="198"/>
      <c r="K634" s="198"/>
      <c r="L634" s="198"/>
      <c r="M634" s="198"/>
      <c r="N634" s="198"/>
      <c r="O634" s="198"/>
      <c r="P634" s="198"/>
      <c r="Q634" s="198"/>
      <c r="R634" s="198"/>
      <c r="S634" s="198"/>
      <c r="T634" s="198"/>
      <c r="U634" s="198"/>
      <c r="V634" s="198"/>
      <c r="W634" s="198"/>
      <c r="X634" s="198"/>
    </row>
    <row r="635">
      <c r="A635" s="198"/>
      <c r="B635" s="199"/>
      <c r="C635" s="198"/>
      <c r="D635" s="198"/>
      <c r="E635" s="198"/>
      <c r="F635" s="199"/>
      <c r="G635" s="199"/>
      <c r="H635" s="198"/>
      <c r="I635" s="198"/>
      <c r="J635" s="198"/>
      <c r="K635" s="198"/>
      <c r="L635" s="198"/>
      <c r="M635" s="198"/>
      <c r="N635" s="198"/>
      <c r="O635" s="198"/>
      <c r="P635" s="198"/>
      <c r="Q635" s="198"/>
      <c r="R635" s="198"/>
      <c r="S635" s="198"/>
      <c r="T635" s="198"/>
      <c r="U635" s="198"/>
      <c r="V635" s="198"/>
      <c r="W635" s="198"/>
      <c r="X635" s="198"/>
    </row>
    <row r="636">
      <c r="A636" s="198"/>
      <c r="B636" s="199"/>
      <c r="C636" s="198"/>
      <c r="D636" s="198"/>
      <c r="E636" s="198"/>
      <c r="F636" s="199"/>
      <c r="G636" s="199"/>
      <c r="H636" s="198"/>
      <c r="I636" s="198"/>
      <c r="J636" s="198"/>
      <c r="K636" s="198"/>
      <c r="L636" s="198"/>
      <c r="M636" s="198"/>
      <c r="N636" s="198"/>
      <c r="O636" s="198"/>
      <c r="P636" s="198"/>
      <c r="Q636" s="198"/>
      <c r="R636" s="198"/>
      <c r="S636" s="198"/>
      <c r="T636" s="198"/>
      <c r="U636" s="198"/>
      <c r="V636" s="198"/>
      <c r="W636" s="198"/>
      <c r="X636" s="198"/>
    </row>
    <row r="637">
      <c r="A637" s="198"/>
      <c r="B637" s="199"/>
      <c r="C637" s="198"/>
      <c r="D637" s="198"/>
      <c r="E637" s="198"/>
      <c r="F637" s="199"/>
      <c r="G637" s="199"/>
      <c r="H637" s="198"/>
      <c r="I637" s="198"/>
      <c r="J637" s="198"/>
      <c r="K637" s="198"/>
      <c r="L637" s="198"/>
      <c r="M637" s="198"/>
      <c r="N637" s="198"/>
      <c r="O637" s="198"/>
      <c r="P637" s="198"/>
      <c r="Q637" s="198"/>
      <c r="R637" s="198"/>
      <c r="S637" s="198"/>
      <c r="T637" s="198"/>
      <c r="U637" s="198"/>
      <c r="V637" s="198"/>
      <c r="W637" s="198"/>
      <c r="X637" s="198"/>
    </row>
    <row r="638">
      <c r="A638" s="198"/>
      <c r="B638" s="199"/>
      <c r="C638" s="198"/>
      <c r="D638" s="198"/>
      <c r="E638" s="198"/>
      <c r="F638" s="199"/>
      <c r="G638" s="199"/>
      <c r="H638" s="198"/>
      <c r="I638" s="198"/>
      <c r="J638" s="198"/>
      <c r="K638" s="198"/>
      <c r="L638" s="198"/>
      <c r="M638" s="198"/>
      <c r="N638" s="198"/>
      <c r="O638" s="198"/>
      <c r="P638" s="198"/>
      <c r="Q638" s="198"/>
      <c r="R638" s="198"/>
      <c r="S638" s="198"/>
      <c r="T638" s="198"/>
      <c r="U638" s="198"/>
      <c r="V638" s="198"/>
      <c r="W638" s="198"/>
      <c r="X638" s="198"/>
    </row>
    <row r="639">
      <c r="A639" s="198"/>
      <c r="B639" s="199"/>
      <c r="C639" s="198"/>
      <c r="D639" s="198"/>
      <c r="E639" s="198"/>
      <c r="F639" s="199"/>
      <c r="G639" s="199"/>
      <c r="H639" s="198"/>
      <c r="I639" s="198"/>
      <c r="J639" s="198"/>
      <c r="K639" s="198"/>
      <c r="L639" s="198"/>
      <c r="M639" s="198"/>
      <c r="N639" s="198"/>
      <c r="O639" s="198"/>
      <c r="P639" s="198"/>
      <c r="Q639" s="198"/>
      <c r="R639" s="198"/>
      <c r="S639" s="198"/>
      <c r="T639" s="198"/>
      <c r="U639" s="198"/>
      <c r="V639" s="198"/>
      <c r="W639" s="198"/>
      <c r="X639" s="198"/>
    </row>
    <row r="640">
      <c r="A640" s="198"/>
      <c r="B640" s="199"/>
      <c r="C640" s="198"/>
      <c r="D640" s="198"/>
      <c r="E640" s="198"/>
      <c r="F640" s="199"/>
      <c r="G640" s="199"/>
      <c r="H640" s="198"/>
      <c r="I640" s="198"/>
      <c r="J640" s="198"/>
      <c r="K640" s="198"/>
      <c r="L640" s="198"/>
      <c r="M640" s="198"/>
      <c r="N640" s="198"/>
      <c r="O640" s="198"/>
      <c r="P640" s="198"/>
      <c r="Q640" s="198"/>
      <c r="R640" s="198"/>
      <c r="S640" s="198"/>
      <c r="T640" s="198"/>
      <c r="U640" s="198"/>
      <c r="V640" s="198"/>
      <c r="W640" s="198"/>
      <c r="X640" s="198"/>
    </row>
    <row r="641">
      <c r="A641" s="198"/>
      <c r="B641" s="199"/>
      <c r="C641" s="198"/>
      <c r="D641" s="198"/>
      <c r="E641" s="198"/>
      <c r="F641" s="199"/>
      <c r="G641" s="199"/>
      <c r="H641" s="198"/>
      <c r="I641" s="198"/>
      <c r="J641" s="198"/>
      <c r="K641" s="198"/>
      <c r="L641" s="198"/>
      <c r="M641" s="198"/>
      <c r="N641" s="198"/>
      <c r="O641" s="198"/>
      <c r="P641" s="198"/>
      <c r="Q641" s="198"/>
      <c r="R641" s="198"/>
      <c r="S641" s="198"/>
      <c r="T641" s="198"/>
      <c r="U641" s="198"/>
      <c r="V641" s="198"/>
      <c r="W641" s="198"/>
      <c r="X641" s="198"/>
    </row>
    <row r="642">
      <c r="A642" s="198"/>
      <c r="B642" s="199"/>
      <c r="C642" s="198"/>
      <c r="D642" s="198"/>
      <c r="E642" s="198"/>
      <c r="F642" s="199"/>
      <c r="G642" s="199"/>
      <c r="H642" s="198"/>
      <c r="I642" s="198"/>
      <c r="J642" s="198"/>
      <c r="K642" s="198"/>
      <c r="L642" s="198"/>
      <c r="M642" s="198"/>
      <c r="N642" s="198"/>
      <c r="O642" s="198"/>
      <c r="P642" s="198"/>
      <c r="Q642" s="198"/>
      <c r="R642" s="198"/>
      <c r="S642" s="198"/>
      <c r="T642" s="198"/>
      <c r="U642" s="198"/>
      <c r="V642" s="198"/>
      <c r="W642" s="198"/>
      <c r="X642" s="198"/>
    </row>
    <row r="643">
      <c r="A643" s="198"/>
      <c r="B643" s="199"/>
      <c r="C643" s="198"/>
      <c r="D643" s="198"/>
      <c r="E643" s="198"/>
      <c r="F643" s="199"/>
      <c r="G643" s="199"/>
      <c r="H643" s="198"/>
      <c r="I643" s="198"/>
      <c r="J643" s="198"/>
      <c r="K643" s="198"/>
      <c r="L643" s="198"/>
      <c r="M643" s="198"/>
      <c r="N643" s="198"/>
      <c r="O643" s="198"/>
      <c r="P643" s="198"/>
      <c r="Q643" s="198"/>
      <c r="R643" s="198"/>
      <c r="S643" s="198"/>
      <c r="T643" s="198"/>
      <c r="U643" s="198"/>
      <c r="V643" s="198"/>
      <c r="W643" s="198"/>
      <c r="X643" s="198"/>
    </row>
    <row r="644">
      <c r="A644" s="198"/>
      <c r="B644" s="199"/>
      <c r="C644" s="198"/>
      <c r="D644" s="198"/>
      <c r="E644" s="198"/>
      <c r="F644" s="199"/>
      <c r="G644" s="199"/>
      <c r="H644" s="198"/>
      <c r="I644" s="198"/>
      <c r="J644" s="198"/>
      <c r="K644" s="198"/>
      <c r="L644" s="198"/>
      <c r="M644" s="198"/>
      <c r="N644" s="198"/>
      <c r="O644" s="198"/>
      <c r="P644" s="198"/>
      <c r="Q644" s="198"/>
      <c r="R644" s="198"/>
      <c r="S644" s="198"/>
      <c r="T644" s="198"/>
      <c r="U644" s="198"/>
      <c r="V644" s="198"/>
      <c r="W644" s="198"/>
      <c r="X644" s="198"/>
    </row>
    <row r="645">
      <c r="A645" s="198"/>
      <c r="B645" s="199"/>
      <c r="C645" s="198"/>
      <c r="D645" s="198"/>
      <c r="E645" s="198"/>
      <c r="F645" s="199"/>
      <c r="G645" s="199"/>
      <c r="H645" s="198"/>
      <c r="I645" s="198"/>
      <c r="J645" s="198"/>
      <c r="K645" s="198"/>
      <c r="L645" s="198"/>
      <c r="M645" s="198"/>
      <c r="N645" s="198"/>
      <c r="O645" s="198"/>
      <c r="P645" s="198"/>
      <c r="Q645" s="198"/>
      <c r="R645" s="198"/>
      <c r="S645" s="198"/>
      <c r="T645" s="198"/>
      <c r="U645" s="198"/>
      <c r="V645" s="198"/>
      <c r="W645" s="198"/>
      <c r="X645" s="198"/>
    </row>
    <row r="646">
      <c r="A646" s="198"/>
      <c r="B646" s="199"/>
      <c r="C646" s="198"/>
      <c r="D646" s="198"/>
      <c r="E646" s="198"/>
      <c r="F646" s="199"/>
      <c r="G646" s="199"/>
      <c r="H646" s="198"/>
      <c r="I646" s="198"/>
      <c r="J646" s="198"/>
      <c r="K646" s="198"/>
      <c r="L646" s="198"/>
      <c r="M646" s="198"/>
      <c r="N646" s="198"/>
      <c r="O646" s="198"/>
      <c r="P646" s="198"/>
      <c r="Q646" s="198"/>
      <c r="R646" s="198"/>
      <c r="S646" s="198"/>
      <c r="T646" s="198"/>
      <c r="U646" s="198"/>
      <c r="V646" s="198"/>
      <c r="W646" s="198"/>
      <c r="X646" s="198"/>
    </row>
    <row r="647">
      <c r="A647" s="198"/>
      <c r="B647" s="199"/>
      <c r="C647" s="198"/>
      <c r="D647" s="198"/>
      <c r="E647" s="198"/>
      <c r="F647" s="199"/>
      <c r="G647" s="199"/>
      <c r="H647" s="198"/>
      <c r="I647" s="198"/>
      <c r="J647" s="198"/>
      <c r="K647" s="198"/>
      <c r="L647" s="198"/>
      <c r="M647" s="198"/>
      <c r="N647" s="198"/>
      <c r="O647" s="198"/>
      <c r="P647" s="198"/>
      <c r="Q647" s="198"/>
      <c r="R647" s="198"/>
      <c r="S647" s="198"/>
      <c r="T647" s="198"/>
      <c r="U647" s="198"/>
      <c r="V647" s="198"/>
      <c r="W647" s="198"/>
      <c r="X647" s="198"/>
    </row>
    <row r="648">
      <c r="A648" s="198"/>
      <c r="B648" s="199"/>
      <c r="C648" s="198"/>
      <c r="D648" s="198"/>
      <c r="E648" s="198"/>
      <c r="F648" s="199"/>
      <c r="G648" s="199"/>
      <c r="H648" s="198"/>
      <c r="I648" s="198"/>
      <c r="J648" s="198"/>
      <c r="K648" s="198"/>
      <c r="L648" s="198"/>
      <c r="M648" s="198"/>
      <c r="N648" s="198"/>
      <c r="O648" s="198"/>
      <c r="P648" s="198"/>
      <c r="Q648" s="198"/>
      <c r="R648" s="198"/>
      <c r="S648" s="198"/>
      <c r="T648" s="198"/>
      <c r="U648" s="198"/>
      <c r="V648" s="198"/>
      <c r="W648" s="198"/>
      <c r="X648" s="198"/>
    </row>
    <row r="649">
      <c r="A649" s="198"/>
      <c r="B649" s="199"/>
      <c r="C649" s="198"/>
      <c r="D649" s="198"/>
      <c r="E649" s="198"/>
      <c r="F649" s="199"/>
      <c r="G649" s="199"/>
      <c r="H649" s="198"/>
      <c r="I649" s="198"/>
      <c r="J649" s="198"/>
      <c r="K649" s="198"/>
      <c r="L649" s="198"/>
      <c r="M649" s="198"/>
      <c r="N649" s="198"/>
      <c r="O649" s="198"/>
      <c r="P649" s="198"/>
      <c r="Q649" s="198"/>
      <c r="R649" s="198"/>
      <c r="S649" s="198"/>
      <c r="T649" s="198"/>
      <c r="U649" s="198"/>
      <c r="V649" s="198"/>
      <c r="W649" s="198"/>
      <c r="X649" s="198"/>
    </row>
    <row r="650">
      <c r="A650" s="198"/>
      <c r="B650" s="199"/>
      <c r="C650" s="198"/>
      <c r="D650" s="198"/>
      <c r="E650" s="198"/>
      <c r="F650" s="199"/>
      <c r="G650" s="199"/>
      <c r="H650" s="198"/>
      <c r="I650" s="198"/>
      <c r="J650" s="198"/>
      <c r="K650" s="198"/>
      <c r="L650" s="198"/>
      <c r="M650" s="198"/>
      <c r="N650" s="198"/>
      <c r="O650" s="198"/>
      <c r="P650" s="198"/>
      <c r="Q650" s="198"/>
      <c r="R650" s="198"/>
      <c r="S650" s="198"/>
      <c r="T650" s="198"/>
      <c r="U650" s="198"/>
      <c r="V650" s="198"/>
      <c r="W650" s="198"/>
      <c r="X650" s="198"/>
    </row>
    <row r="651">
      <c r="A651" s="198"/>
      <c r="B651" s="199"/>
      <c r="C651" s="198"/>
      <c r="D651" s="198"/>
      <c r="E651" s="198"/>
      <c r="F651" s="199"/>
      <c r="G651" s="199"/>
      <c r="H651" s="198"/>
      <c r="I651" s="198"/>
      <c r="J651" s="198"/>
      <c r="K651" s="198"/>
      <c r="L651" s="198"/>
      <c r="M651" s="198"/>
      <c r="N651" s="198"/>
      <c r="O651" s="198"/>
      <c r="P651" s="198"/>
      <c r="Q651" s="198"/>
      <c r="R651" s="198"/>
      <c r="S651" s="198"/>
      <c r="T651" s="198"/>
      <c r="U651" s="198"/>
      <c r="V651" s="198"/>
      <c r="W651" s="198"/>
      <c r="X651" s="198"/>
    </row>
    <row r="652">
      <c r="A652" s="198"/>
      <c r="B652" s="199"/>
      <c r="C652" s="198"/>
      <c r="D652" s="198"/>
      <c r="E652" s="198"/>
      <c r="F652" s="199"/>
      <c r="G652" s="199"/>
      <c r="H652" s="198"/>
      <c r="I652" s="198"/>
      <c r="J652" s="198"/>
      <c r="K652" s="198"/>
      <c r="L652" s="198"/>
      <c r="M652" s="198"/>
      <c r="N652" s="198"/>
      <c r="O652" s="198"/>
      <c r="P652" s="198"/>
      <c r="Q652" s="198"/>
      <c r="R652" s="198"/>
      <c r="S652" s="198"/>
      <c r="T652" s="198"/>
      <c r="U652" s="198"/>
      <c r="V652" s="198"/>
      <c r="W652" s="198"/>
      <c r="X652" s="198"/>
    </row>
    <row r="653">
      <c r="A653" s="198"/>
      <c r="B653" s="199"/>
      <c r="C653" s="198"/>
      <c r="D653" s="198"/>
      <c r="E653" s="198"/>
      <c r="F653" s="199"/>
      <c r="G653" s="199"/>
      <c r="H653" s="198"/>
      <c r="I653" s="198"/>
      <c r="J653" s="198"/>
      <c r="K653" s="198"/>
      <c r="L653" s="198"/>
      <c r="M653" s="198"/>
      <c r="N653" s="198"/>
      <c r="O653" s="198"/>
      <c r="P653" s="198"/>
      <c r="Q653" s="198"/>
      <c r="R653" s="198"/>
      <c r="S653" s="198"/>
      <c r="T653" s="198"/>
      <c r="U653" s="198"/>
      <c r="V653" s="198"/>
      <c r="W653" s="198"/>
      <c r="X653" s="198"/>
    </row>
    <row r="654">
      <c r="A654" s="198"/>
      <c r="B654" s="199"/>
      <c r="C654" s="198"/>
      <c r="D654" s="198"/>
      <c r="E654" s="198"/>
      <c r="F654" s="199"/>
      <c r="G654" s="199"/>
      <c r="H654" s="198"/>
      <c r="I654" s="198"/>
      <c r="J654" s="198"/>
      <c r="K654" s="198"/>
      <c r="L654" s="198"/>
      <c r="M654" s="198"/>
      <c r="N654" s="198"/>
      <c r="O654" s="198"/>
      <c r="P654" s="198"/>
      <c r="Q654" s="198"/>
      <c r="R654" s="198"/>
      <c r="S654" s="198"/>
      <c r="T654" s="198"/>
      <c r="U654" s="198"/>
      <c r="V654" s="198"/>
      <c r="W654" s="198"/>
      <c r="X654" s="198"/>
    </row>
    <row r="655">
      <c r="A655" s="198"/>
      <c r="B655" s="199"/>
      <c r="C655" s="198"/>
      <c r="D655" s="198"/>
      <c r="E655" s="198"/>
      <c r="F655" s="199"/>
      <c r="G655" s="199"/>
      <c r="H655" s="198"/>
      <c r="I655" s="198"/>
      <c r="J655" s="198"/>
      <c r="K655" s="198"/>
      <c r="L655" s="198"/>
      <c r="M655" s="198"/>
      <c r="N655" s="198"/>
      <c r="O655" s="198"/>
      <c r="P655" s="198"/>
      <c r="Q655" s="198"/>
      <c r="R655" s="198"/>
      <c r="S655" s="198"/>
      <c r="T655" s="198"/>
      <c r="U655" s="198"/>
      <c r="V655" s="198"/>
      <c r="W655" s="198"/>
      <c r="X655" s="198"/>
    </row>
    <row r="656">
      <c r="A656" s="198"/>
      <c r="B656" s="199"/>
      <c r="C656" s="198"/>
      <c r="D656" s="198"/>
      <c r="E656" s="198"/>
      <c r="F656" s="199"/>
      <c r="G656" s="199"/>
      <c r="H656" s="198"/>
      <c r="I656" s="198"/>
      <c r="J656" s="198"/>
      <c r="K656" s="198"/>
      <c r="L656" s="198"/>
      <c r="M656" s="198"/>
      <c r="N656" s="198"/>
      <c r="O656" s="198"/>
      <c r="P656" s="198"/>
      <c r="Q656" s="198"/>
      <c r="R656" s="198"/>
      <c r="S656" s="198"/>
      <c r="T656" s="198"/>
      <c r="U656" s="198"/>
      <c r="V656" s="198"/>
      <c r="W656" s="198"/>
      <c r="X656" s="198"/>
    </row>
    <row r="657">
      <c r="A657" s="198"/>
      <c r="B657" s="199"/>
      <c r="C657" s="198"/>
      <c r="D657" s="198"/>
      <c r="E657" s="198"/>
      <c r="F657" s="199"/>
      <c r="G657" s="199"/>
      <c r="H657" s="198"/>
      <c r="I657" s="198"/>
      <c r="J657" s="198"/>
      <c r="K657" s="198"/>
      <c r="L657" s="198"/>
      <c r="M657" s="198"/>
      <c r="N657" s="198"/>
      <c r="O657" s="198"/>
      <c r="P657" s="198"/>
      <c r="Q657" s="198"/>
      <c r="R657" s="198"/>
      <c r="S657" s="198"/>
      <c r="T657" s="198"/>
      <c r="U657" s="198"/>
      <c r="V657" s="198"/>
      <c r="W657" s="198"/>
      <c r="X657" s="198"/>
    </row>
    <row r="658">
      <c r="A658" s="198"/>
      <c r="B658" s="199"/>
      <c r="C658" s="198"/>
      <c r="D658" s="198"/>
      <c r="E658" s="198"/>
      <c r="F658" s="199"/>
      <c r="G658" s="199"/>
      <c r="H658" s="198"/>
      <c r="I658" s="198"/>
      <c r="J658" s="198"/>
      <c r="K658" s="198"/>
      <c r="L658" s="198"/>
      <c r="M658" s="198"/>
      <c r="N658" s="198"/>
      <c r="O658" s="198"/>
      <c r="P658" s="198"/>
      <c r="Q658" s="198"/>
      <c r="R658" s="198"/>
      <c r="S658" s="198"/>
      <c r="T658" s="198"/>
      <c r="U658" s="198"/>
      <c r="V658" s="198"/>
      <c r="W658" s="198"/>
      <c r="X658" s="198"/>
    </row>
    <row r="659">
      <c r="A659" s="198"/>
      <c r="B659" s="199"/>
      <c r="C659" s="198"/>
      <c r="D659" s="198"/>
      <c r="E659" s="198"/>
      <c r="F659" s="199"/>
      <c r="G659" s="199"/>
      <c r="H659" s="198"/>
      <c r="I659" s="198"/>
      <c r="J659" s="198"/>
      <c r="K659" s="198"/>
      <c r="L659" s="198"/>
      <c r="M659" s="198"/>
      <c r="N659" s="198"/>
      <c r="O659" s="198"/>
      <c r="P659" s="198"/>
      <c r="Q659" s="198"/>
      <c r="R659" s="198"/>
      <c r="S659" s="198"/>
      <c r="T659" s="198"/>
      <c r="U659" s="198"/>
      <c r="V659" s="198"/>
      <c r="W659" s="198"/>
      <c r="X659" s="198"/>
    </row>
    <row r="660">
      <c r="A660" s="198"/>
      <c r="B660" s="199"/>
      <c r="C660" s="198"/>
      <c r="D660" s="198"/>
      <c r="E660" s="198"/>
      <c r="F660" s="199"/>
      <c r="G660" s="199"/>
      <c r="H660" s="198"/>
      <c r="I660" s="198"/>
      <c r="J660" s="198"/>
      <c r="K660" s="198"/>
      <c r="L660" s="198"/>
      <c r="M660" s="198"/>
      <c r="N660" s="198"/>
      <c r="O660" s="198"/>
      <c r="P660" s="198"/>
      <c r="Q660" s="198"/>
      <c r="R660" s="198"/>
      <c r="S660" s="198"/>
      <c r="T660" s="198"/>
      <c r="U660" s="198"/>
      <c r="V660" s="198"/>
      <c r="W660" s="198"/>
      <c r="X660" s="198"/>
    </row>
    <row r="661">
      <c r="A661" s="198"/>
      <c r="B661" s="199"/>
      <c r="C661" s="198"/>
      <c r="D661" s="198"/>
      <c r="E661" s="198"/>
      <c r="F661" s="199"/>
      <c r="G661" s="199"/>
      <c r="H661" s="198"/>
      <c r="I661" s="198"/>
      <c r="J661" s="198"/>
      <c r="K661" s="198"/>
      <c r="L661" s="198"/>
      <c r="M661" s="198"/>
      <c r="N661" s="198"/>
      <c r="O661" s="198"/>
      <c r="P661" s="198"/>
      <c r="Q661" s="198"/>
      <c r="R661" s="198"/>
      <c r="S661" s="198"/>
      <c r="T661" s="198"/>
      <c r="U661" s="198"/>
      <c r="V661" s="198"/>
      <c r="W661" s="198"/>
      <c r="X661" s="198"/>
    </row>
    <row r="662">
      <c r="A662" s="198"/>
      <c r="B662" s="199"/>
      <c r="C662" s="198"/>
      <c r="D662" s="198"/>
      <c r="E662" s="198"/>
      <c r="F662" s="199"/>
      <c r="G662" s="199"/>
      <c r="H662" s="198"/>
      <c r="I662" s="198"/>
      <c r="J662" s="198"/>
      <c r="K662" s="198"/>
      <c r="L662" s="198"/>
      <c r="M662" s="198"/>
      <c r="N662" s="198"/>
      <c r="O662" s="198"/>
      <c r="P662" s="198"/>
      <c r="Q662" s="198"/>
      <c r="R662" s="198"/>
      <c r="S662" s="198"/>
      <c r="T662" s="198"/>
      <c r="U662" s="198"/>
      <c r="V662" s="198"/>
      <c r="W662" s="198"/>
      <c r="X662" s="198"/>
    </row>
    <row r="663">
      <c r="A663" s="198"/>
      <c r="B663" s="199"/>
      <c r="C663" s="198"/>
      <c r="D663" s="198"/>
      <c r="E663" s="198"/>
      <c r="F663" s="199"/>
      <c r="G663" s="199"/>
      <c r="H663" s="198"/>
      <c r="I663" s="198"/>
      <c r="J663" s="198"/>
      <c r="K663" s="198"/>
      <c r="L663" s="198"/>
      <c r="M663" s="198"/>
      <c r="N663" s="198"/>
      <c r="O663" s="198"/>
      <c r="P663" s="198"/>
      <c r="Q663" s="198"/>
      <c r="R663" s="198"/>
      <c r="S663" s="198"/>
      <c r="T663" s="198"/>
      <c r="U663" s="198"/>
      <c r="V663" s="198"/>
      <c r="W663" s="198"/>
      <c r="X663" s="198"/>
    </row>
    <row r="664">
      <c r="A664" s="198"/>
      <c r="B664" s="199"/>
      <c r="C664" s="198"/>
      <c r="D664" s="198"/>
      <c r="E664" s="198"/>
      <c r="F664" s="199"/>
      <c r="G664" s="199"/>
      <c r="H664" s="198"/>
      <c r="I664" s="198"/>
      <c r="J664" s="198"/>
      <c r="K664" s="198"/>
      <c r="L664" s="198"/>
      <c r="M664" s="198"/>
      <c r="N664" s="198"/>
      <c r="O664" s="198"/>
      <c r="P664" s="198"/>
      <c r="Q664" s="198"/>
      <c r="R664" s="198"/>
      <c r="S664" s="198"/>
      <c r="T664" s="198"/>
      <c r="U664" s="198"/>
      <c r="V664" s="198"/>
      <c r="W664" s="198"/>
      <c r="X664" s="198"/>
    </row>
    <row r="665">
      <c r="A665" s="198"/>
      <c r="B665" s="199"/>
      <c r="C665" s="198"/>
      <c r="D665" s="198"/>
      <c r="E665" s="198"/>
      <c r="F665" s="199"/>
      <c r="G665" s="199"/>
      <c r="H665" s="198"/>
      <c r="I665" s="198"/>
      <c r="J665" s="198"/>
      <c r="K665" s="198"/>
      <c r="L665" s="198"/>
      <c r="M665" s="198"/>
      <c r="N665" s="198"/>
      <c r="O665" s="198"/>
      <c r="P665" s="198"/>
      <c r="Q665" s="198"/>
      <c r="R665" s="198"/>
      <c r="S665" s="198"/>
      <c r="T665" s="198"/>
      <c r="U665" s="198"/>
      <c r="V665" s="198"/>
      <c r="W665" s="198"/>
      <c r="X665" s="198"/>
    </row>
    <row r="666">
      <c r="A666" s="198"/>
      <c r="B666" s="199"/>
      <c r="C666" s="198"/>
      <c r="D666" s="198"/>
      <c r="E666" s="198"/>
      <c r="F666" s="199"/>
      <c r="G666" s="199"/>
      <c r="H666" s="198"/>
      <c r="I666" s="198"/>
      <c r="J666" s="198"/>
      <c r="K666" s="198"/>
      <c r="L666" s="198"/>
      <c r="M666" s="198"/>
      <c r="N666" s="198"/>
      <c r="O666" s="198"/>
      <c r="P666" s="198"/>
      <c r="Q666" s="198"/>
      <c r="R666" s="198"/>
      <c r="S666" s="198"/>
      <c r="T666" s="198"/>
      <c r="U666" s="198"/>
      <c r="V666" s="198"/>
      <c r="W666" s="198"/>
      <c r="X666" s="198"/>
    </row>
    <row r="667">
      <c r="A667" s="198"/>
      <c r="B667" s="199"/>
      <c r="C667" s="198"/>
      <c r="D667" s="198"/>
      <c r="E667" s="198"/>
      <c r="F667" s="199"/>
      <c r="G667" s="199"/>
      <c r="H667" s="198"/>
      <c r="I667" s="198"/>
      <c r="J667" s="198"/>
      <c r="K667" s="198"/>
      <c r="L667" s="198"/>
      <c r="M667" s="198"/>
      <c r="N667" s="198"/>
      <c r="O667" s="198"/>
      <c r="P667" s="198"/>
      <c r="Q667" s="198"/>
      <c r="R667" s="198"/>
      <c r="S667" s="198"/>
      <c r="T667" s="198"/>
      <c r="U667" s="198"/>
      <c r="V667" s="198"/>
      <c r="W667" s="198"/>
      <c r="X667" s="198"/>
    </row>
    <row r="668">
      <c r="A668" s="198"/>
      <c r="B668" s="199"/>
      <c r="C668" s="198"/>
      <c r="D668" s="198"/>
      <c r="E668" s="198"/>
      <c r="F668" s="199"/>
      <c r="G668" s="199"/>
      <c r="H668" s="198"/>
      <c r="I668" s="198"/>
      <c r="J668" s="198"/>
      <c r="K668" s="198"/>
      <c r="L668" s="198"/>
      <c r="M668" s="198"/>
      <c r="N668" s="198"/>
      <c r="O668" s="198"/>
      <c r="P668" s="198"/>
      <c r="Q668" s="198"/>
      <c r="R668" s="198"/>
      <c r="S668" s="198"/>
      <c r="T668" s="198"/>
      <c r="U668" s="198"/>
      <c r="V668" s="198"/>
      <c r="W668" s="198"/>
      <c r="X668" s="198"/>
    </row>
    <row r="669">
      <c r="A669" s="198"/>
      <c r="B669" s="199"/>
      <c r="C669" s="198"/>
      <c r="D669" s="198"/>
      <c r="E669" s="198"/>
      <c r="F669" s="199"/>
      <c r="G669" s="199"/>
      <c r="H669" s="198"/>
      <c r="I669" s="198"/>
      <c r="J669" s="198"/>
      <c r="K669" s="198"/>
      <c r="L669" s="198"/>
      <c r="M669" s="198"/>
      <c r="N669" s="198"/>
      <c r="O669" s="198"/>
      <c r="P669" s="198"/>
      <c r="Q669" s="198"/>
      <c r="R669" s="198"/>
      <c r="S669" s="198"/>
      <c r="T669" s="198"/>
      <c r="U669" s="198"/>
      <c r="V669" s="198"/>
      <c r="W669" s="198"/>
      <c r="X669" s="198"/>
    </row>
    <row r="670">
      <c r="A670" s="198"/>
      <c r="B670" s="199"/>
      <c r="C670" s="198"/>
      <c r="D670" s="198"/>
      <c r="E670" s="198"/>
      <c r="F670" s="199"/>
      <c r="G670" s="199"/>
      <c r="H670" s="198"/>
      <c r="I670" s="198"/>
      <c r="J670" s="198"/>
      <c r="K670" s="198"/>
      <c r="L670" s="198"/>
      <c r="M670" s="198"/>
      <c r="N670" s="198"/>
      <c r="O670" s="198"/>
      <c r="P670" s="198"/>
      <c r="Q670" s="198"/>
      <c r="R670" s="198"/>
      <c r="S670" s="198"/>
      <c r="T670" s="198"/>
      <c r="U670" s="198"/>
      <c r="V670" s="198"/>
      <c r="W670" s="198"/>
      <c r="X670" s="198"/>
    </row>
    <row r="671">
      <c r="A671" s="198"/>
      <c r="B671" s="199"/>
      <c r="C671" s="198"/>
      <c r="D671" s="198"/>
      <c r="E671" s="198"/>
      <c r="F671" s="199"/>
      <c r="G671" s="199"/>
      <c r="H671" s="198"/>
      <c r="I671" s="198"/>
      <c r="J671" s="198"/>
      <c r="K671" s="198"/>
      <c r="L671" s="198"/>
      <c r="M671" s="198"/>
      <c r="N671" s="198"/>
      <c r="O671" s="198"/>
      <c r="P671" s="198"/>
      <c r="Q671" s="198"/>
      <c r="R671" s="198"/>
      <c r="S671" s="198"/>
      <c r="T671" s="198"/>
      <c r="U671" s="198"/>
      <c r="V671" s="198"/>
      <c r="W671" s="198"/>
      <c r="X671" s="198"/>
    </row>
    <row r="672">
      <c r="A672" s="198"/>
      <c r="B672" s="199"/>
      <c r="C672" s="198"/>
      <c r="D672" s="198"/>
      <c r="E672" s="198"/>
      <c r="F672" s="199"/>
      <c r="G672" s="199"/>
      <c r="H672" s="198"/>
      <c r="I672" s="198"/>
      <c r="J672" s="198"/>
      <c r="K672" s="198"/>
      <c r="L672" s="198"/>
      <c r="M672" s="198"/>
      <c r="N672" s="198"/>
      <c r="O672" s="198"/>
      <c r="P672" s="198"/>
      <c r="Q672" s="198"/>
      <c r="R672" s="198"/>
      <c r="S672" s="198"/>
      <c r="T672" s="198"/>
      <c r="U672" s="198"/>
      <c r="V672" s="198"/>
      <c r="W672" s="198"/>
      <c r="X672" s="198"/>
    </row>
    <row r="673">
      <c r="A673" s="198"/>
      <c r="B673" s="199"/>
      <c r="C673" s="198"/>
      <c r="D673" s="198"/>
      <c r="E673" s="198"/>
      <c r="F673" s="199"/>
      <c r="G673" s="199"/>
      <c r="H673" s="198"/>
      <c r="I673" s="198"/>
      <c r="J673" s="198"/>
      <c r="K673" s="198"/>
      <c r="L673" s="198"/>
      <c r="M673" s="198"/>
      <c r="N673" s="198"/>
      <c r="O673" s="198"/>
      <c r="P673" s="198"/>
      <c r="Q673" s="198"/>
      <c r="R673" s="198"/>
      <c r="S673" s="198"/>
      <c r="T673" s="198"/>
      <c r="U673" s="198"/>
      <c r="V673" s="198"/>
      <c r="W673" s="198"/>
      <c r="X673" s="198"/>
    </row>
    <row r="674">
      <c r="A674" s="198"/>
      <c r="B674" s="199"/>
      <c r="C674" s="198"/>
      <c r="D674" s="198"/>
      <c r="E674" s="198"/>
      <c r="F674" s="199"/>
      <c r="G674" s="199"/>
      <c r="H674" s="198"/>
      <c r="I674" s="198"/>
      <c r="J674" s="198"/>
      <c r="K674" s="198"/>
      <c r="L674" s="198"/>
      <c r="M674" s="198"/>
      <c r="N674" s="198"/>
      <c r="O674" s="198"/>
      <c r="P674" s="198"/>
      <c r="Q674" s="198"/>
      <c r="R674" s="198"/>
      <c r="S674" s="198"/>
      <c r="T674" s="198"/>
      <c r="U674" s="198"/>
      <c r="V674" s="198"/>
      <c r="W674" s="198"/>
      <c r="X674" s="198"/>
    </row>
    <row r="675">
      <c r="A675" s="198"/>
      <c r="B675" s="199"/>
      <c r="C675" s="198"/>
      <c r="D675" s="198"/>
      <c r="E675" s="198"/>
      <c r="F675" s="199"/>
      <c r="G675" s="199"/>
      <c r="H675" s="198"/>
      <c r="I675" s="198"/>
      <c r="J675" s="198"/>
      <c r="K675" s="198"/>
      <c r="L675" s="198"/>
      <c r="M675" s="198"/>
      <c r="N675" s="198"/>
      <c r="O675" s="198"/>
      <c r="P675" s="198"/>
      <c r="Q675" s="198"/>
      <c r="R675" s="198"/>
      <c r="S675" s="198"/>
      <c r="T675" s="198"/>
      <c r="U675" s="198"/>
      <c r="V675" s="198"/>
      <c r="W675" s="198"/>
      <c r="X675" s="198"/>
    </row>
    <row r="676">
      <c r="A676" s="198"/>
      <c r="B676" s="199"/>
      <c r="C676" s="198"/>
      <c r="D676" s="198"/>
      <c r="E676" s="198"/>
      <c r="F676" s="199"/>
      <c r="G676" s="199"/>
      <c r="H676" s="198"/>
      <c r="I676" s="198"/>
      <c r="J676" s="198"/>
      <c r="K676" s="198"/>
      <c r="L676" s="198"/>
      <c r="M676" s="198"/>
      <c r="N676" s="198"/>
      <c r="O676" s="198"/>
      <c r="P676" s="198"/>
      <c r="Q676" s="198"/>
      <c r="R676" s="198"/>
      <c r="S676" s="198"/>
      <c r="T676" s="198"/>
      <c r="U676" s="198"/>
      <c r="V676" s="198"/>
      <c r="W676" s="198"/>
      <c r="X676" s="198"/>
    </row>
    <row r="677">
      <c r="A677" s="198"/>
      <c r="B677" s="199"/>
      <c r="C677" s="198"/>
      <c r="D677" s="198"/>
      <c r="E677" s="198"/>
      <c r="F677" s="199"/>
      <c r="G677" s="199"/>
      <c r="H677" s="198"/>
      <c r="I677" s="198"/>
      <c r="J677" s="198"/>
      <c r="K677" s="198"/>
      <c r="L677" s="198"/>
      <c r="M677" s="198"/>
      <c r="N677" s="198"/>
      <c r="O677" s="198"/>
      <c r="P677" s="198"/>
      <c r="Q677" s="198"/>
      <c r="R677" s="198"/>
      <c r="S677" s="198"/>
      <c r="T677" s="198"/>
      <c r="U677" s="198"/>
      <c r="V677" s="198"/>
      <c r="W677" s="198"/>
      <c r="X677" s="198"/>
    </row>
    <row r="678">
      <c r="A678" s="198"/>
      <c r="B678" s="199"/>
      <c r="C678" s="198"/>
      <c r="D678" s="198"/>
      <c r="E678" s="198"/>
      <c r="F678" s="199"/>
      <c r="G678" s="199"/>
      <c r="H678" s="198"/>
      <c r="I678" s="198"/>
      <c r="J678" s="198"/>
      <c r="K678" s="198"/>
      <c r="L678" s="198"/>
      <c r="M678" s="198"/>
      <c r="N678" s="198"/>
      <c r="O678" s="198"/>
      <c r="P678" s="198"/>
      <c r="Q678" s="198"/>
      <c r="R678" s="198"/>
      <c r="S678" s="198"/>
      <c r="T678" s="198"/>
      <c r="U678" s="198"/>
      <c r="V678" s="198"/>
      <c r="W678" s="198"/>
      <c r="X678" s="198"/>
    </row>
    <row r="679">
      <c r="A679" s="198"/>
      <c r="B679" s="199"/>
      <c r="C679" s="198"/>
      <c r="D679" s="198"/>
      <c r="E679" s="198"/>
      <c r="F679" s="199"/>
      <c r="G679" s="199"/>
      <c r="H679" s="198"/>
      <c r="I679" s="198"/>
      <c r="J679" s="198"/>
      <c r="K679" s="198"/>
      <c r="L679" s="198"/>
      <c r="M679" s="198"/>
      <c r="N679" s="198"/>
      <c r="O679" s="198"/>
      <c r="P679" s="198"/>
      <c r="Q679" s="198"/>
      <c r="R679" s="198"/>
      <c r="S679" s="198"/>
      <c r="T679" s="198"/>
      <c r="U679" s="198"/>
      <c r="V679" s="198"/>
      <c r="W679" s="198"/>
      <c r="X679" s="198"/>
    </row>
    <row r="680">
      <c r="A680" s="198"/>
      <c r="B680" s="199"/>
      <c r="C680" s="198"/>
      <c r="D680" s="198"/>
      <c r="E680" s="198"/>
      <c r="F680" s="199"/>
      <c r="G680" s="199"/>
      <c r="H680" s="198"/>
      <c r="I680" s="198"/>
      <c r="J680" s="198"/>
      <c r="K680" s="198"/>
      <c r="L680" s="198"/>
      <c r="M680" s="198"/>
      <c r="N680" s="198"/>
      <c r="O680" s="198"/>
      <c r="P680" s="198"/>
      <c r="Q680" s="198"/>
      <c r="R680" s="198"/>
      <c r="S680" s="198"/>
      <c r="T680" s="198"/>
      <c r="U680" s="198"/>
      <c r="V680" s="198"/>
      <c r="W680" s="198"/>
      <c r="X680" s="198"/>
    </row>
    <row r="681">
      <c r="A681" s="198"/>
      <c r="B681" s="199"/>
      <c r="C681" s="198"/>
      <c r="D681" s="198"/>
      <c r="E681" s="198"/>
      <c r="F681" s="199"/>
      <c r="G681" s="199"/>
      <c r="H681" s="198"/>
      <c r="I681" s="198"/>
      <c r="J681" s="198"/>
      <c r="K681" s="198"/>
      <c r="L681" s="198"/>
      <c r="M681" s="198"/>
      <c r="N681" s="198"/>
      <c r="O681" s="198"/>
      <c r="P681" s="198"/>
      <c r="Q681" s="198"/>
      <c r="R681" s="198"/>
      <c r="S681" s="198"/>
      <c r="T681" s="198"/>
      <c r="U681" s="198"/>
      <c r="V681" s="198"/>
      <c r="W681" s="198"/>
      <c r="X681" s="198"/>
    </row>
    <row r="682">
      <c r="A682" s="198"/>
      <c r="B682" s="199"/>
      <c r="C682" s="198"/>
      <c r="D682" s="198"/>
      <c r="E682" s="198"/>
      <c r="F682" s="199"/>
      <c r="G682" s="199"/>
      <c r="H682" s="198"/>
      <c r="I682" s="198"/>
      <c r="J682" s="198"/>
      <c r="K682" s="198"/>
      <c r="L682" s="198"/>
      <c r="M682" s="198"/>
      <c r="N682" s="198"/>
      <c r="O682" s="198"/>
      <c r="P682" s="198"/>
      <c r="Q682" s="198"/>
      <c r="R682" s="198"/>
      <c r="S682" s="198"/>
      <c r="T682" s="198"/>
      <c r="U682" s="198"/>
      <c r="V682" s="198"/>
      <c r="W682" s="198"/>
      <c r="X682" s="198"/>
    </row>
    <row r="683">
      <c r="A683" s="198"/>
      <c r="B683" s="199"/>
      <c r="C683" s="198"/>
      <c r="D683" s="198"/>
      <c r="E683" s="198"/>
      <c r="F683" s="199"/>
      <c r="G683" s="199"/>
      <c r="H683" s="198"/>
      <c r="I683" s="198"/>
      <c r="J683" s="198"/>
      <c r="K683" s="198"/>
      <c r="L683" s="198"/>
      <c r="M683" s="198"/>
      <c r="N683" s="198"/>
      <c r="O683" s="198"/>
      <c r="P683" s="198"/>
      <c r="Q683" s="198"/>
      <c r="R683" s="198"/>
      <c r="S683" s="198"/>
      <c r="T683" s="198"/>
      <c r="U683" s="198"/>
      <c r="V683" s="198"/>
      <c r="W683" s="198"/>
      <c r="X683" s="198"/>
    </row>
    <row r="684">
      <c r="A684" s="198"/>
      <c r="B684" s="199"/>
      <c r="C684" s="198"/>
      <c r="D684" s="198"/>
      <c r="E684" s="198"/>
      <c r="F684" s="199"/>
      <c r="G684" s="199"/>
      <c r="H684" s="198"/>
      <c r="I684" s="198"/>
      <c r="J684" s="198"/>
      <c r="K684" s="198"/>
      <c r="L684" s="198"/>
      <c r="M684" s="198"/>
      <c r="N684" s="198"/>
      <c r="O684" s="198"/>
      <c r="P684" s="198"/>
      <c r="Q684" s="198"/>
      <c r="R684" s="198"/>
      <c r="S684" s="198"/>
      <c r="T684" s="198"/>
      <c r="U684" s="198"/>
      <c r="V684" s="198"/>
      <c r="W684" s="198"/>
      <c r="X684" s="198"/>
    </row>
    <row r="685">
      <c r="A685" s="198"/>
      <c r="B685" s="199"/>
      <c r="C685" s="198"/>
      <c r="D685" s="198"/>
      <c r="E685" s="198"/>
      <c r="F685" s="199"/>
      <c r="G685" s="199"/>
      <c r="H685" s="198"/>
      <c r="I685" s="198"/>
      <c r="J685" s="198"/>
      <c r="K685" s="198"/>
      <c r="L685" s="198"/>
      <c r="M685" s="198"/>
      <c r="N685" s="198"/>
      <c r="O685" s="198"/>
      <c r="P685" s="198"/>
      <c r="Q685" s="198"/>
      <c r="R685" s="198"/>
      <c r="S685" s="198"/>
      <c r="T685" s="198"/>
      <c r="U685" s="198"/>
      <c r="V685" s="198"/>
      <c r="W685" s="198"/>
      <c r="X685" s="198"/>
    </row>
    <row r="686">
      <c r="A686" s="198"/>
      <c r="B686" s="199"/>
      <c r="C686" s="198"/>
      <c r="D686" s="198"/>
      <c r="E686" s="198"/>
      <c r="F686" s="199"/>
      <c r="G686" s="199"/>
      <c r="H686" s="198"/>
      <c r="I686" s="198"/>
      <c r="J686" s="198"/>
      <c r="K686" s="198"/>
      <c r="L686" s="198"/>
      <c r="M686" s="198"/>
      <c r="N686" s="198"/>
      <c r="O686" s="198"/>
      <c r="P686" s="198"/>
      <c r="Q686" s="198"/>
      <c r="R686" s="198"/>
      <c r="S686" s="198"/>
      <c r="T686" s="198"/>
      <c r="U686" s="198"/>
      <c r="V686" s="198"/>
      <c r="W686" s="198"/>
      <c r="X686" s="198"/>
    </row>
    <row r="687">
      <c r="A687" s="198"/>
      <c r="B687" s="199"/>
      <c r="C687" s="198"/>
      <c r="D687" s="198"/>
      <c r="E687" s="198"/>
      <c r="F687" s="199"/>
      <c r="G687" s="199"/>
      <c r="H687" s="198"/>
      <c r="I687" s="198"/>
      <c r="J687" s="198"/>
      <c r="K687" s="198"/>
      <c r="L687" s="198"/>
      <c r="M687" s="198"/>
      <c r="N687" s="198"/>
      <c r="O687" s="198"/>
      <c r="P687" s="198"/>
      <c r="Q687" s="198"/>
      <c r="R687" s="198"/>
      <c r="S687" s="198"/>
      <c r="T687" s="198"/>
      <c r="U687" s="198"/>
      <c r="V687" s="198"/>
      <c r="W687" s="198"/>
      <c r="X687" s="198"/>
    </row>
    <row r="688">
      <c r="A688" s="198"/>
      <c r="B688" s="199"/>
      <c r="C688" s="198"/>
      <c r="D688" s="198"/>
      <c r="E688" s="198"/>
      <c r="F688" s="199"/>
      <c r="G688" s="199"/>
      <c r="H688" s="198"/>
      <c r="I688" s="198"/>
      <c r="J688" s="198"/>
      <c r="K688" s="198"/>
      <c r="L688" s="198"/>
      <c r="M688" s="198"/>
      <c r="N688" s="198"/>
      <c r="O688" s="198"/>
      <c r="P688" s="198"/>
      <c r="Q688" s="198"/>
      <c r="R688" s="198"/>
      <c r="S688" s="198"/>
      <c r="T688" s="198"/>
      <c r="U688" s="198"/>
      <c r="V688" s="198"/>
      <c r="W688" s="198"/>
      <c r="X688" s="198"/>
    </row>
    <row r="689">
      <c r="A689" s="198"/>
      <c r="B689" s="199"/>
      <c r="C689" s="198"/>
      <c r="D689" s="198"/>
      <c r="E689" s="198"/>
      <c r="F689" s="199"/>
      <c r="G689" s="199"/>
      <c r="H689" s="198"/>
      <c r="I689" s="198"/>
      <c r="J689" s="198"/>
      <c r="K689" s="198"/>
      <c r="L689" s="198"/>
      <c r="M689" s="198"/>
      <c r="N689" s="198"/>
      <c r="O689" s="198"/>
      <c r="P689" s="198"/>
      <c r="Q689" s="198"/>
      <c r="R689" s="198"/>
      <c r="S689" s="198"/>
      <c r="T689" s="198"/>
      <c r="U689" s="198"/>
      <c r="V689" s="198"/>
      <c r="W689" s="198"/>
      <c r="X689" s="198"/>
    </row>
    <row r="690">
      <c r="A690" s="198"/>
      <c r="B690" s="199"/>
      <c r="C690" s="198"/>
      <c r="D690" s="198"/>
      <c r="E690" s="198"/>
      <c r="F690" s="199"/>
      <c r="G690" s="199"/>
      <c r="H690" s="198"/>
      <c r="I690" s="198"/>
      <c r="J690" s="198"/>
      <c r="K690" s="198"/>
      <c r="L690" s="198"/>
      <c r="M690" s="198"/>
      <c r="N690" s="198"/>
      <c r="O690" s="198"/>
      <c r="P690" s="198"/>
      <c r="Q690" s="198"/>
      <c r="R690" s="198"/>
      <c r="S690" s="198"/>
      <c r="T690" s="198"/>
      <c r="U690" s="198"/>
      <c r="V690" s="198"/>
      <c r="W690" s="198"/>
      <c r="X690" s="198"/>
    </row>
    <row r="691">
      <c r="A691" s="198"/>
      <c r="B691" s="199"/>
      <c r="C691" s="198"/>
      <c r="D691" s="198"/>
      <c r="E691" s="198"/>
      <c r="F691" s="199"/>
      <c r="G691" s="199"/>
      <c r="H691" s="198"/>
      <c r="I691" s="198"/>
      <c r="J691" s="198"/>
      <c r="K691" s="198"/>
      <c r="L691" s="198"/>
      <c r="M691" s="198"/>
      <c r="N691" s="198"/>
      <c r="O691" s="198"/>
      <c r="P691" s="198"/>
      <c r="Q691" s="198"/>
      <c r="R691" s="198"/>
      <c r="S691" s="198"/>
      <c r="T691" s="198"/>
      <c r="U691" s="198"/>
      <c r="V691" s="198"/>
      <c r="W691" s="198"/>
      <c r="X691" s="198"/>
    </row>
    <row r="692">
      <c r="A692" s="198"/>
      <c r="B692" s="199"/>
      <c r="C692" s="198"/>
      <c r="D692" s="198"/>
      <c r="E692" s="198"/>
      <c r="F692" s="199"/>
      <c r="G692" s="199"/>
      <c r="H692" s="198"/>
      <c r="I692" s="198"/>
      <c r="J692" s="198"/>
      <c r="K692" s="198"/>
      <c r="L692" s="198"/>
      <c r="M692" s="198"/>
      <c r="N692" s="198"/>
      <c r="O692" s="198"/>
      <c r="P692" s="198"/>
      <c r="Q692" s="198"/>
      <c r="R692" s="198"/>
      <c r="S692" s="198"/>
      <c r="T692" s="198"/>
      <c r="U692" s="198"/>
      <c r="V692" s="198"/>
      <c r="W692" s="198"/>
      <c r="X692" s="198"/>
    </row>
    <row r="693">
      <c r="A693" s="198"/>
      <c r="B693" s="199"/>
      <c r="C693" s="198"/>
      <c r="D693" s="198"/>
      <c r="E693" s="198"/>
      <c r="F693" s="199"/>
      <c r="G693" s="199"/>
      <c r="H693" s="198"/>
      <c r="I693" s="198"/>
      <c r="J693" s="198"/>
      <c r="K693" s="198"/>
      <c r="L693" s="198"/>
      <c r="M693" s="198"/>
      <c r="N693" s="198"/>
      <c r="O693" s="198"/>
      <c r="P693" s="198"/>
      <c r="Q693" s="198"/>
      <c r="R693" s="198"/>
      <c r="S693" s="198"/>
      <c r="T693" s="198"/>
      <c r="U693" s="198"/>
      <c r="V693" s="198"/>
      <c r="W693" s="198"/>
      <c r="X693" s="198"/>
    </row>
    <row r="694">
      <c r="A694" s="198"/>
      <c r="B694" s="199"/>
      <c r="C694" s="198"/>
      <c r="D694" s="198"/>
      <c r="E694" s="198"/>
      <c r="F694" s="199"/>
      <c r="G694" s="199"/>
      <c r="H694" s="198"/>
      <c r="I694" s="198"/>
      <c r="J694" s="198"/>
      <c r="K694" s="198"/>
      <c r="L694" s="198"/>
      <c r="M694" s="198"/>
      <c r="N694" s="198"/>
      <c r="O694" s="198"/>
      <c r="P694" s="198"/>
      <c r="Q694" s="198"/>
      <c r="R694" s="198"/>
      <c r="S694" s="198"/>
      <c r="T694" s="198"/>
      <c r="U694" s="198"/>
      <c r="V694" s="198"/>
      <c r="W694" s="198"/>
      <c r="X694" s="198"/>
    </row>
    <row r="695">
      <c r="A695" s="198"/>
      <c r="B695" s="199"/>
      <c r="C695" s="198"/>
      <c r="D695" s="198"/>
      <c r="E695" s="198"/>
      <c r="F695" s="199"/>
      <c r="G695" s="199"/>
      <c r="H695" s="198"/>
      <c r="I695" s="198"/>
      <c r="J695" s="198"/>
      <c r="K695" s="198"/>
      <c r="L695" s="198"/>
      <c r="M695" s="198"/>
      <c r="N695" s="198"/>
      <c r="O695" s="198"/>
      <c r="P695" s="198"/>
      <c r="Q695" s="198"/>
      <c r="R695" s="198"/>
      <c r="S695" s="198"/>
      <c r="T695" s="198"/>
      <c r="U695" s="198"/>
      <c r="V695" s="198"/>
      <c r="W695" s="198"/>
      <c r="X695" s="198"/>
    </row>
    <row r="696">
      <c r="A696" s="198"/>
      <c r="B696" s="199"/>
      <c r="C696" s="198"/>
      <c r="D696" s="198"/>
      <c r="E696" s="198"/>
      <c r="F696" s="199"/>
      <c r="G696" s="199"/>
      <c r="H696" s="198"/>
      <c r="I696" s="198"/>
      <c r="J696" s="198"/>
      <c r="K696" s="198"/>
      <c r="L696" s="198"/>
      <c r="M696" s="198"/>
      <c r="N696" s="198"/>
      <c r="O696" s="198"/>
      <c r="P696" s="198"/>
      <c r="Q696" s="198"/>
      <c r="R696" s="198"/>
      <c r="S696" s="198"/>
      <c r="T696" s="198"/>
      <c r="U696" s="198"/>
      <c r="V696" s="198"/>
      <c r="W696" s="198"/>
      <c r="X696" s="198"/>
    </row>
    <row r="697">
      <c r="A697" s="198"/>
      <c r="B697" s="199"/>
      <c r="C697" s="198"/>
      <c r="D697" s="198"/>
      <c r="E697" s="198"/>
      <c r="F697" s="199"/>
      <c r="G697" s="199"/>
      <c r="H697" s="198"/>
      <c r="I697" s="198"/>
      <c r="J697" s="198"/>
      <c r="K697" s="198"/>
      <c r="L697" s="198"/>
      <c r="M697" s="198"/>
      <c r="N697" s="198"/>
      <c r="O697" s="198"/>
      <c r="P697" s="198"/>
      <c r="Q697" s="198"/>
      <c r="R697" s="198"/>
      <c r="S697" s="198"/>
      <c r="T697" s="198"/>
      <c r="U697" s="198"/>
      <c r="V697" s="198"/>
      <c r="W697" s="198"/>
      <c r="X697" s="198"/>
    </row>
    <row r="698">
      <c r="A698" s="198"/>
      <c r="B698" s="199"/>
      <c r="C698" s="198"/>
      <c r="D698" s="198"/>
      <c r="E698" s="198"/>
      <c r="F698" s="199"/>
      <c r="G698" s="199"/>
      <c r="H698" s="198"/>
      <c r="I698" s="198"/>
      <c r="J698" s="198"/>
      <c r="K698" s="198"/>
      <c r="L698" s="198"/>
      <c r="M698" s="198"/>
      <c r="N698" s="198"/>
      <c r="O698" s="198"/>
      <c r="P698" s="198"/>
      <c r="Q698" s="198"/>
      <c r="R698" s="198"/>
      <c r="S698" s="198"/>
      <c r="T698" s="198"/>
      <c r="U698" s="198"/>
      <c r="V698" s="198"/>
      <c r="W698" s="198"/>
      <c r="X698" s="198"/>
    </row>
    <row r="699">
      <c r="A699" s="198"/>
      <c r="B699" s="199"/>
      <c r="C699" s="198"/>
      <c r="D699" s="198"/>
      <c r="E699" s="198"/>
      <c r="F699" s="199"/>
      <c r="G699" s="199"/>
      <c r="H699" s="198"/>
      <c r="I699" s="198"/>
      <c r="J699" s="198"/>
      <c r="K699" s="198"/>
      <c r="L699" s="198"/>
      <c r="M699" s="198"/>
      <c r="N699" s="198"/>
      <c r="O699" s="198"/>
      <c r="P699" s="198"/>
      <c r="Q699" s="198"/>
      <c r="R699" s="198"/>
      <c r="S699" s="198"/>
      <c r="T699" s="198"/>
      <c r="U699" s="198"/>
      <c r="V699" s="198"/>
      <c r="W699" s="198"/>
      <c r="X699" s="198"/>
    </row>
    <row r="700">
      <c r="A700" s="198"/>
      <c r="B700" s="199"/>
      <c r="C700" s="198"/>
      <c r="D700" s="198"/>
      <c r="E700" s="198"/>
      <c r="F700" s="199"/>
      <c r="G700" s="199"/>
      <c r="H700" s="198"/>
      <c r="I700" s="198"/>
      <c r="J700" s="198"/>
      <c r="K700" s="198"/>
      <c r="L700" s="198"/>
      <c r="M700" s="198"/>
      <c r="N700" s="198"/>
      <c r="O700" s="198"/>
      <c r="P700" s="198"/>
      <c r="Q700" s="198"/>
      <c r="R700" s="198"/>
      <c r="S700" s="198"/>
      <c r="T700" s="198"/>
      <c r="U700" s="198"/>
      <c r="V700" s="198"/>
      <c r="W700" s="198"/>
      <c r="X700" s="198"/>
    </row>
    <row r="701">
      <c r="A701" s="198"/>
      <c r="B701" s="199"/>
      <c r="C701" s="198"/>
      <c r="D701" s="198"/>
      <c r="E701" s="198"/>
      <c r="F701" s="199"/>
      <c r="G701" s="199"/>
      <c r="H701" s="198"/>
      <c r="I701" s="198"/>
      <c r="J701" s="198"/>
      <c r="K701" s="198"/>
      <c r="L701" s="198"/>
      <c r="M701" s="198"/>
      <c r="N701" s="198"/>
      <c r="O701" s="198"/>
      <c r="P701" s="198"/>
      <c r="Q701" s="198"/>
      <c r="R701" s="198"/>
      <c r="S701" s="198"/>
      <c r="T701" s="198"/>
      <c r="U701" s="198"/>
      <c r="V701" s="198"/>
      <c r="W701" s="198"/>
      <c r="X701" s="198"/>
    </row>
    <row r="702">
      <c r="A702" s="198"/>
      <c r="B702" s="199"/>
      <c r="C702" s="198"/>
      <c r="D702" s="198"/>
      <c r="E702" s="198"/>
      <c r="F702" s="199"/>
      <c r="G702" s="199"/>
      <c r="H702" s="198"/>
      <c r="I702" s="198"/>
      <c r="J702" s="198"/>
      <c r="K702" s="198"/>
      <c r="L702" s="198"/>
      <c r="M702" s="198"/>
      <c r="N702" s="198"/>
      <c r="O702" s="198"/>
      <c r="P702" s="198"/>
      <c r="Q702" s="198"/>
      <c r="R702" s="198"/>
      <c r="S702" s="198"/>
      <c r="T702" s="198"/>
      <c r="U702" s="198"/>
      <c r="V702" s="198"/>
      <c r="W702" s="198"/>
      <c r="X702" s="198"/>
    </row>
    <row r="703">
      <c r="A703" s="198"/>
      <c r="B703" s="199"/>
      <c r="C703" s="198"/>
      <c r="D703" s="198"/>
      <c r="E703" s="198"/>
      <c r="F703" s="199"/>
      <c r="G703" s="199"/>
      <c r="H703" s="198"/>
      <c r="I703" s="198"/>
      <c r="J703" s="198"/>
      <c r="K703" s="198"/>
      <c r="L703" s="198"/>
      <c r="M703" s="198"/>
      <c r="N703" s="198"/>
      <c r="O703" s="198"/>
      <c r="P703" s="198"/>
      <c r="Q703" s="198"/>
      <c r="R703" s="198"/>
      <c r="S703" s="198"/>
      <c r="T703" s="198"/>
      <c r="U703" s="198"/>
      <c r="V703" s="198"/>
      <c r="W703" s="198"/>
      <c r="X703" s="198"/>
    </row>
    <row r="704">
      <c r="A704" s="198"/>
      <c r="B704" s="199"/>
      <c r="C704" s="198"/>
      <c r="D704" s="198"/>
      <c r="E704" s="198"/>
      <c r="F704" s="199"/>
      <c r="G704" s="199"/>
      <c r="H704" s="198"/>
      <c r="I704" s="198"/>
      <c r="J704" s="198"/>
      <c r="K704" s="198"/>
      <c r="L704" s="198"/>
      <c r="M704" s="198"/>
      <c r="N704" s="198"/>
      <c r="O704" s="198"/>
      <c r="P704" s="198"/>
      <c r="Q704" s="198"/>
      <c r="R704" s="198"/>
      <c r="S704" s="198"/>
      <c r="T704" s="198"/>
      <c r="U704" s="198"/>
      <c r="V704" s="198"/>
      <c r="W704" s="198"/>
      <c r="X704" s="198"/>
    </row>
    <row r="705">
      <c r="A705" s="198"/>
      <c r="B705" s="199"/>
      <c r="C705" s="198"/>
      <c r="D705" s="198"/>
      <c r="E705" s="198"/>
      <c r="F705" s="199"/>
      <c r="G705" s="199"/>
      <c r="H705" s="198"/>
      <c r="I705" s="198"/>
      <c r="J705" s="198"/>
      <c r="K705" s="198"/>
      <c r="L705" s="198"/>
      <c r="M705" s="198"/>
      <c r="N705" s="198"/>
      <c r="O705" s="198"/>
      <c r="P705" s="198"/>
      <c r="Q705" s="198"/>
      <c r="R705" s="198"/>
      <c r="S705" s="198"/>
      <c r="T705" s="198"/>
      <c r="U705" s="198"/>
      <c r="V705" s="198"/>
      <c r="W705" s="198"/>
      <c r="X705" s="198"/>
    </row>
    <row r="706">
      <c r="A706" s="198"/>
      <c r="B706" s="199"/>
      <c r="C706" s="198"/>
      <c r="D706" s="198"/>
      <c r="E706" s="198"/>
      <c r="F706" s="199"/>
      <c r="G706" s="199"/>
      <c r="H706" s="198"/>
      <c r="I706" s="198"/>
      <c r="J706" s="198"/>
      <c r="K706" s="198"/>
      <c r="L706" s="198"/>
      <c r="M706" s="198"/>
      <c r="N706" s="198"/>
      <c r="O706" s="198"/>
      <c r="P706" s="198"/>
      <c r="Q706" s="198"/>
      <c r="R706" s="198"/>
      <c r="S706" s="198"/>
      <c r="T706" s="198"/>
      <c r="U706" s="198"/>
      <c r="V706" s="198"/>
      <c r="W706" s="198"/>
      <c r="X706" s="198"/>
    </row>
    <row r="707">
      <c r="A707" s="198"/>
      <c r="B707" s="199"/>
      <c r="C707" s="198"/>
      <c r="D707" s="198"/>
      <c r="E707" s="198"/>
      <c r="F707" s="199"/>
      <c r="G707" s="199"/>
      <c r="H707" s="198"/>
      <c r="I707" s="198"/>
      <c r="J707" s="198"/>
      <c r="K707" s="198"/>
      <c r="L707" s="198"/>
      <c r="M707" s="198"/>
      <c r="N707" s="198"/>
      <c r="O707" s="198"/>
      <c r="P707" s="198"/>
      <c r="Q707" s="198"/>
      <c r="R707" s="198"/>
      <c r="S707" s="198"/>
      <c r="T707" s="198"/>
      <c r="U707" s="198"/>
      <c r="V707" s="198"/>
      <c r="W707" s="198"/>
      <c r="X707" s="198"/>
    </row>
    <row r="708">
      <c r="A708" s="198"/>
      <c r="B708" s="199"/>
      <c r="C708" s="198"/>
      <c r="D708" s="198"/>
      <c r="E708" s="198"/>
      <c r="F708" s="199"/>
      <c r="G708" s="199"/>
      <c r="H708" s="198"/>
      <c r="I708" s="198"/>
      <c r="J708" s="198"/>
      <c r="K708" s="198"/>
      <c r="L708" s="198"/>
      <c r="M708" s="198"/>
      <c r="N708" s="198"/>
      <c r="O708" s="198"/>
      <c r="P708" s="198"/>
      <c r="Q708" s="198"/>
      <c r="R708" s="198"/>
      <c r="S708" s="198"/>
      <c r="T708" s="198"/>
      <c r="U708" s="198"/>
      <c r="V708" s="198"/>
      <c r="W708" s="198"/>
      <c r="X708" s="198"/>
    </row>
    <row r="709">
      <c r="A709" s="198"/>
      <c r="B709" s="199"/>
      <c r="C709" s="198"/>
      <c r="D709" s="198"/>
      <c r="E709" s="198"/>
      <c r="F709" s="199"/>
      <c r="G709" s="199"/>
      <c r="H709" s="198"/>
      <c r="I709" s="198"/>
      <c r="J709" s="198"/>
      <c r="K709" s="198"/>
      <c r="L709" s="198"/>
      <c r="M709" s="198"/>
      <c r="N709" s="198"/>
      <c r="O709" s="198"/>
      <c r="P709" s="198"/>
      <c r="Q709" s="198"/>
      <c r="R709" s="198"/>
      <c r="S709" s="198"/>
      <c r="T709" s="198"/>
      <c r="U709" s="198"/>
      <c r="V709" s="198"/>
      <c r="W709" s="198"/>
      <c r="X709" s="198"/>
    </row>
    <row r="710">
      <c r="A710" s="198"/>
      <c r="B710" s="199"/>
      <c r="C710" s="198"/>
      <c r="D710" s="198"/>
      <c r="E710" s="198"/>
      <c r="F710" s="199"/>
      <c r="G710" s="199"/>
      <c r="H710" s="198"/>
      <c r="I710" s="198"/>
      <c r="J710" s="198"/>
      <c r="K710" s="198"/>
      <c r="L710" s="198"/>
      <c r="M710" s="198"/>
      <c r="N710" s="198"/>
      <c r="O710" s="198"/>
      <c r="P710" s="198"/>
      <c r="Q710" s="198"/>
      <c r="R710" s="198"/>
      <c r="S710" s="198"/>
      <c r="T710" s="198"/>
      <c r="U710" s="198"/>
      <c r="V710" s="198"/>
      <c r="W710" s="198"/>
      <c r="X710" s="198"/>
    </row>
    <row r="711">
      <c r="A711" s="198"/>
      <c r="B711" s="199"/>
      <c r="C711" s="198"/>
      <c r="D711" s="198"/>
      <c r="E711" s="198"/>
      <c r="F711" s="199"/>
      <c r="G711" s="199"/>
      <c r="H711" s="198"/>
      <c r="I711" s="198"/>
      <c r="J711" s="198"/>
      <c r="K711" s="198"/>
      <c r="L711" s="198"/>
      <c r="M711" s="198"/>
      <c r="N711" s="198"/>
      <c r="O711" s="198"/>
      <c r="P711" s="198"/>
      <c r="Q711" s="198"/>
      <c r="R711" s="198"/>
      <c r="S711" s="198"/>
      <c r="T711" s="198"/>
      <c r="U711" s="198"/>
      <c r="V711" s="198"/>
      <c r="W711" s="198"/>
      <c r="X711" s="198"/>
    </row>
    <row r="712">
      <c r="A712" s="198"/>
      <c r="B712" s="199"/>
      <c r="C712" s="198"/>
      <c r="D712" s="198"/>
      <c r="E712" s="198"/>
      <c r="F712" s="199"/>
      <c r="G712" s="199"/>
      <c r="H712" s="198"/>
      <c r="I712" s="198"/>
      <c r="J712" s="198"/>
      <c r="K712" s="198"/>
      <c r="L712" s="198"/>
      <c r="M712" s="198"/>
      <c r="N712" s="198"/>
      <c r="O712" s="198"/>
      <c r="P712" s="198"/>
      <c r="Q712" s="198"/>
      <c r="R712" s="198"/>
      <c r="S712" s="198"/>
      <c r="T712" s="198"/>
      <c r="U712" s="198"/>
      <c r="V712" s="198"/>
      <c r="W712" s="198"/>
      <c r="X712" s="198"/>
    </row>
    <row r="713">
      <c r="A713" s="198"/>
      <c r="B713" s="199"/>
      <c r="C713" s="198"/>
      <c r="D713" s="198"/>
      <c r="E713" s="198"/>
      <c r="F713" s="199"/>
      <c r="G713" s="199"/>
      <c r="H713" s="198"/>
      <c r="I713" s="198"/>
      <c r="J713" s="198"/>
      <c r="K713" s="198"/>
      <c r="L713" s="198"/>
      <c r="M713" s="198"/>
      <c r="N713" s="198"/>
      <c r="O713" s="198"/>
      <c r="P713" s="198"/>
      <c r="Q713" s="198"/>
      <c r="R713" s="198"/>
      <c r="S713" s="198"/>
      <c r="T713" s="198"/>
      <c r="U713" s="198"/>
      <c r="V713" s="198"/>
      <c r="W713" s="198"/>
      <c r="X713" s="198"/>
    </row>
    <row r="714">
      <c r="A714" s="198"/>
      <c r="B714" s="199"/>
      <c r="C714" s="198"/>
      <c r="D714" s="198"/>
      <c r="E714" s="198"/>
      <c r="F714" s="199"/>
      <c r="G714" s="199"/>
      <c r="H714" s="198"/>
      <c r="I714" s="198"/>
      <c r="J714" s="198"/>
      <c r="K714" s="198"/>
      <c r="L714" s="198"/>
      <c r="M714" s="198"/>
      <c r="N714" s="198"/>
      <c r="O714" s="198"/>
      <c r="P714" s="198"/>
      <c r="Q714" s="198"/>
      <c r="R714" s="198"/>
      <c r="S714" s="198"/>
      <c r="T714" s="198"/>
      <c r="U714" s="198"/>
      <c r="V714" s="198"/>
      <c r="W714" s="198"/>
      <c r="X714" s="198"/>
    </row>
    <row r="715">
      <c r="A715" s="198"/>
      <c r="B715" s="199"/>
      <c r="C715" s="198"/>
      <c r="D715" s="198"/>
      <c r="E715" s="198"/>
      <c r="F715" s="199"/>
      <c r="G715" s="199"/>
      <c r="H715" s="198"/>
      <c r="I715" s="198"/>
      <c r="J715" s="198"/>
      <c r="K715" s="198"/>
      <c r="L715" s="198"/>
      <c r="M715" s="198"/>
      <c r="N715" s="198"/>
      <c r="O715" s="198"/>
      <c r="P715" s="198"/>
      <c r="Q715" s="198"/>
      <c r="R715" s="198"/>
      <c r="S715" s="198"/>
      <c r="T715" s="198"/>
      <c r="U715" s="198"/>
      <c r="V715" s="198"/>
      <c r="W715" s="198"/>
      <c r="X715" s="198"/>
    </row>
    <row r="716">
      <c r="A716" s="198"/>
      <c r="B716" s="199"/>
      <c r="C716" s="198"/>
      <c r="D716" s="198"/>
      <c r="E716" s="198"/>
      <c r="F716" s="199"/>
      <c r="G716" s="199"/>
      <c r="H716" s="198"/>
      <c r="I716" s="198"/>
      <c r="J716" s="198"/>
      <c r="K716" s="198"/>
      <c r="L716" s="198"/>
      <c r="M716" s="198"/>
      <c r="N716" s="198"/>
      <c r="O716" s="198"/>
      <c r="P716" s="198"/>
      <c r="Q716" s="198"/>
      <c r="R716" s="198"/>
      <c r="S716" s="198"/>
      <c r="T716" s="198"/>
      <c r="U716" s="198"/>
      <c r="V716" s="198"/>
      <c r="W716" s="198"/>
      <c r="X716" s="198"/>
    </row>
    <row r="717">
      <c r="A717" s="198"/>
      <c r="B717" s="199"/>
      <c r="C717" s="198"/>
      <c r="D717" s="198"/>
      <c r="E717" s="198"/>
      <c r="F717" s="199"/>
      <c r="G717" s="199"/>
      <c r="H717" s="198"/>
      <c r="I717" s="198"/>
      <c r="J717" s="198"/>
      <c r="K717" s="198"/>
      <c r="L717" s="198"/>
      <c r="M717" s="198"/>
      <c r="N717" s="198"/>
      <c r="O717" s="198"/>
      <c r="P717" s="198"/>
      <c r="Q717" s="198"/>
      <c r="R717" s="198"/>
      <c r="S717" s="198"/>
      <c r="T717" s="198"/>
      <c r="U717" s="198"/>
      <c r="V717" s="198"/>
      <c r="W717" s="198"/>
      <c r="X717" s="198"/>
    </row>
    <row r="718">
      <c r="A718" s="198"/>
      <c r="B718" s="199"/>
      <c r="C718" s="198"/>
      <c r="D718" s="198"/>
      <c r="E718" s="198"/>
      <c r="F718" s="199"/>
      <c r="G718" s="199"/>
      <c r="H718" s="198"/>
      <c r="I718" s="198"/>
      <c r="J718" s="198"/>
      <c r="K718" s="198"/>
      <c r="L718" s="198"/>
      <c r="M718" s="198"/>
      <c r="N718" s="198"/>
      <c r="O718" s="198"/>
      <c r="P718" s="198"/>
      <c r="Q718" s="198"/>
      <c r="R718" s="198"/>
      <c r="S718" s="198"/>
      <c r="T718" s="198"/>
      <c r="U718" s="198"/>
      <c r="V718" s="198"/>
      <c r="W718" s="198"/>
      <c r="X718" s="198"/>
    </row>
    <row r="719">
      <c r="A719" s="198"/>
      <c r="B719" s="199"/>
      <c r="C719" s="198"/>
      <c r="D719" s="198"/>
      <c r="E719" s="198"/>
      <c r="F719" s="199"/>
      <c r="G719" s="199"/>
      <c r="H719" s="198"/>
      <c r="I719" s="198"/>
      <c r="J719" s="198"/>
      <c r="K719" s="198"/>
      <c r="L719" s="198"/>
      <c r="M719" s="198"/>
      <c r="N719" s="198"/>
      <c r="O719" s="198"/>
      <c r="P719" s="198"/>
      <c r="Q719" s="198"/>
      <c r="R719" s="198"/>
      <c r="S719" s="198"/>
      <c r="T719" s="198"/>
      <c r="U719" s="198"/>
      <c r="V719" s="198"/>
      <c r="W719" s="198"/>
      <c r="X719" s="198"/>
    </row>
    <row r="720">
      <c r="A720" s="198"/>
      <c r="B720" s="199"/>
      <c r="C720" s="198"/>
      <c r="D720" s="198"/>
      <c r="E720" s="198"/>
      <c r="F720" s="199"/>
      <c r="G720" s="199"/>
      <c r="H720" s="198"/>
      <c r="I720" s="198"/>
      <c r="J720" s="198"/>
      <c r="K720" s="198"/>
      <c r="L720" s="198"/>
      <c r="M720" s="198"/>
      <c r="N720" s="198"/>
      <c r="O720" s="198"/>
      <c r="P720" s="198"/>
      <c r="Q720" s="198"/>
      <c r="R720" s="198"/>
      <c r="S720" s="198"/>
      <c r="T720" s="198"/>
      <c r="U720" s="198"/>
      <c r="V720" s="198"/>
      <c r="W720" s="198"/>
      <c r="X720" s="198"/>
    </row>
    <row r="721">
      <c r="A721" s="198"/>
      <c r="B721" s="199"/>
      <c r="C721" s="198"/>
      <c r="D721" s="198"/>
      <c r="E721" s="198"/>
      <c r="F721" s="199"/>
      <c r="G721" s="199"/>
      <c r="H721" s="198"/>
      <c r="I721" s="198"/>
      <c r="J721" s="198"/>
      <c r="K721" s="198"/>
      <c r="L721" s="198"/>
      <c r="M721" s="198"/>
      <c r="N721" s="198"/>
      <c r="O721" s="198"/>
      <c r="P721" s="198"/>
      <c r="Q721" s="198"/>
      <c r="R721" s="198"/>
      <c r="S721" s="198"/>
      <c r="T721" s="198"/>
      <c r="U721" s="198"/>
      <c r="V721" s="198"/>
      <c r="W721" s="198"/>
      <c r="X721" s="198"/>
    </row>
    <row r="722">
      <c r="A722" s="198"/>
      <c r="B722" s="199"/>
      <c r="C722" s="198"/>
      <c r="D722" s="198"/>
      <c r="E722" s="198"/>
      <c r="F722" s="199"/>
      <c r="G722" s="199"/>
      <c r="H722" s="198"/>
      <c r="I722" s="198"/>
      <c r="J722" s="198"/>
      <c r="K722" s="198"/>
      <c r="L722" s="198"/>
      <c r="M722" s="198"/>
      <c r="N722" s="198"/>
      <c r="O722" s="198"/>
      <c r="P722" s="198"/>
      <c r="Q722" s="198"/>
      <c r="R722" s="198"/>
      <c r="S722" s="198"/>
      <c r="T722" s="198"/>
      <c r="U722" s="198"/>
      <c r="V722" s="198"/>
      <c r="W722" s="198"/>
      <c r="X722" s="198"/>
    </row>
    <row r="723">
      <c r="A723" s="198"/>
      <c r="B723" s="199"/>
      <c r="C723" s="198"/>
      <c r="D723" s="198"/>
      <c r="E723" s="198"/>
      <c r="F723" s="199"/>
      <c r="G723" s="199"/>
      <c r="H723" s="198"/>
      <c r="I723" s="198"/>
      <c r="J723" s="198"/>
      <c r="K723" s="198"/>
      <c r="L723" s="198"/>
      <c r="M723" s="198"/>
      <c r="N723" s="198"/>
      <c r="O723" s="198"/>
      <c r="P723" s="198"/>
      <c r="Q723" s="198"/>
      <c r="R723" s="198"/>
      <c r="S723" s="198"/>
      <c r="T723" s="198"/>
      <c r="U723" s="198"/>
      <c r="V723" s="198"/>
      <c r="W723" s="198"/>
      <c r="X723" s="198"/>
    </row>
    <row r="724">
      <c r="A724" s="198"/>
      <c r="B724" s="199"/>
      <c r="C724" s="198"/>
      <c r="D724" s="198"/>
      <c r="E724" s="198"/>
      <c r="F724" s="199"/>
      <c r="G724" s="199"/>
      <c r="H724" s="198"/>
      <c r="I724" s="198"/>
      <c r="J724" s="198"/>
      <c r="K724" s="198"/>
      <c r="L724" s="198"/>
      <c r="M724" s="198"/>
      <c r="N724" s="198"/>
      <c r="O724" s="198"/>
      <c r="P724" s="198"/>
      <c r="Q724" s="198"/>
      <c r="R724" s="198"/>
      <c r="S724" s="198"/>
      <c r="T724" s="198"/>
      <c r="U724" s="198"/>
      <c r="V724" s="198"/>
      <c r="W724" s="198"/>
      <c r="X724" s="198"/>
    </row>
    <row r="725">
      <c r="A725" s="198"/>
      <c r="B725" s="199"/>
      <c r="C725" s="198"/>
      <c r="D725" s="198"/>
      <c r="E725" s="198"/>
      <c r="F725" s="199"/>
      <c r="G725" s="199"/>
      <c r="H725" s="198"/>
      <c r="I725" s="198"/>
      <c r="J725" s="198"/>
      <c r="K725" s="198"/>
      <c r="L725" s="198"/>
      <c r="M725" s="198"/>
      <c r="N725" s="198"/>
      <c r="O725" s="198"/>
      <c r="P725" s="198"/>
      <c r="Q725" s="198"/>
      <c r="R725" s="198"/>
      <c r="S725" s="198"/>
      <c r="T725" s="198"/>
      <c r="U725" s="198"/>
      <c r="V725" s="198"/>
      <c r="W725" s="198"/>
      <c r="X725" s="198"/>
    </row>
    <row r="726">
      <c r="A726" s="198"/>
      <c r="B726" s="199"/>
      <c r="C726" s="198"/>
      <c r="D726" s="198"/>
      <c r="E726" s="198"/>
      <c r="F726" s="199"/>
      <c r="G726" s="199"/>
      <c r="H726" s="198"/>
      <c r="I726" s="198"/>
      <c r="J726" s="198"/>
      <c r="K726" s="198"/>
      <c r="L726" s="198"/>
      <c r="M726" s="198"/>
      <c r="N726" s="198"/>
      <c r="O726" s="198"/>
      <c r="P726" s="198"/>
      <c r="Q726" s="198"/>
      <c r="R726" s="198"/>
      <c r="S726" s="198"/>
      <c r="T726" s="198"/>
      <c r="U726" s="198"/>
      <c r="V726" s="198"/>
      <c r="W726" s="198"/>
      <c r="X726" s="198"/>
    </row>
    <row r="727">
      <c r="A727" s="198"/>
      <c r="B727" s="199"/>
      <c r="C727" s="198"/>
      <c r="D727" s="198"/>
      <c r="E727" s="198"/>
      <c r="F727" s="199"/>
      <c r="G727" s="199"/>
      <c r="H727" s="198"/>
      <c r="I727" s="198"/>
      <c r="J727" s="198"/>
      <c r="K727" s="198"/>
      <c r="L727" s="198"/>
      <c r="M727" s="198"/>
      <c r="N727" s="198"/>
      <c r="O727" s="198"/>
      <c r="P727" s="198"/>
      <c r="Q727" s="198"/>
      <c r="R727" s="198"/>
      <c r="S727" s="198"/>
      <c r="T727" s="198"/>
      <c r="U727" s="198"/>
      <c r="V727" s="198"/>
      <c r="W727" s="198"/>
      <c r="X727" s="198"/>
    </row>
    <row r="728">
      <c r="A728" s="198"/>
      <c r="B728" s="199"/>
      <c r="C728" s="198"/>
      <c r="D728" s="198"/>
      <c r="E728" s="198"/>
      <c r="F728" s="199"/>
      <c r="G728" s="199"/>
      <c r="H728" s="198"/>
      <c r="I728" s="198"/>
      <c r="J728" s="198"/>
      <c r="K728" s="198"/>
      <c r="L728" s="198"/>
      <c r="M728" s="198"/>
      <c r="N728" s="198"/>
      <c r="O728" s="198"/>
      <c r="P728" s="198"/>
      <c r="Q728" s="198"/>
      <c r="R728" s="198"/>
      <c r="S728" s="198"/>
      <c r="T728" s="198"/>
      <c r="U728" s="198"/>
      <c r="V728" s="198"/>
      <c r="W728" s="198"/>
      <c r="X728" s="198"/>
    </row>
    <row r="729">
      <c r="A729" s="198"/>
      <c r="B729" s="199"/>
      <c r="C729" s="198"/>
      <c r="D729" s="198"/>
      <c r="E729" s="198"/>
      <c r="F729" s="199"/>
      <c r="G729" s="199"/>
      <c r="H729" s="198"/>
      <c r="I729" s="198"/>
      <c r="J729" s="198"/>
      <c r="K729" s="198"/>
      <c r="L729" s="198"/>
      <c r="M729" s="198"/>
      <c r="N729" s="198"/>
      <c r="O729" s="198"/>
      <c r="P729" s="198"/>
      <c r="Q729" s="198"/>
      <c r="R729" s="198"/>
      <c r="S729" s="198"/>
      <c r="T729" s="198"/>
      <c r="U729" s="198"/>
      <c r="V729" s="198"/>
      <c r="W729" s="198"/>
      <c r="X729" s="198"/>
    </row>
    <row r="730">
      <c r="A730" s="198"/>
      <c r="B730" s="199"/>
      <c r="C730" s="198"/>
      <c r="D730" s="198"/>
      <c r="E730" s="198"/>
      <c r="F730" s="199"/>
      <c r="G730" s="199"/>
      <c r="H730" s="198"/>
      <c r="I730" s="198"/>
      <c r="J730" s="198"/>
      <c r="K730" s="198"/>
      <c r="L730" s="198"/>
      <c r="M730" s="198"/>
      <c r="N730" s="198"/>
      <c r="O730" s="198"/>
      <c r="P730" s="198"/>
      <c r="Q730" s="198"/>
      <c r="R730" s="198"/>
      <c r="S730" s="198"/>
      <c r="T730" s="198"/>
      <c r="U730" s="198"/>
      <c r="V730" s="198"/>
      <c r="W730" s="198"/>
      <c r="X730" s="198"/>
    </row>
    <row r="731">
      <c r="A731" s="198"/>
      <c r="B731" s="199"/>
      <c r="C731" s="198"/>
      <c r="D731" s="198"/>
      <c r="E731" s="198"/>
      <c r="F731" s="199"/>
      <c r="G731" s="199"/>
      <c r="H731" s="198"/>
      <c r="I731" s="198"/>
      <c r="J731" s="198"/>
      <c r="K731" s="198"/>
      <c r="L731" s="198"/>
      <c r="M731" s="198"/>
      <c r="N731" s="198"/>
      <c r="O731" s="198"/>
      <c r="P731" s="198"/>
      <c r="Q731" s="198"/>
      <c r="R731" s="198"/>
      <c r="S731" s="198"/>
      <c r="T731" s="198"/>
      <c r="U731" s="198"/>
      <c r="V731" s="198"/>
      <c r="W731" s="198"/>
      <c r="X731" s="198"/>
    </row>
    <row r="732">
      <c r="A732" s="198"/>
      <c r="B732" s="199"/>
      <c r="C732" s="198"/>
      <c r="D732" s="198"/>
      <c r="E732" s="198"/>
      <c r="F732" s="199"/>
      <c r="G732" s="199"/>
      <c r="H732" s="198"/>
      <c r="I732" s="198"/>
      <c r="J732" s="198"/>
      <c r="K732" s="198"/>
      <c r="L732" s="198"/>
      <c r="M732" s="198"/>
      <c r="N732" s="198"/>
      <c r="O732" s="198"/>
      <c r="P732" s="198"/>
      <c r="Q732" s="198"/>
      <c r="R732" s="198"/>
      <c r="S732" s="198"/>
      <c r="T732" s="198"/>
      <c r="U732" s="198"/>
      <c r="V732" s="198"/>
      <c r="W732" s="198"/>
      <c r="X732" s="198"/>
    </row>
    <row r="733">
      <c r="A733" s="198"/>
      <c r="B733" s="199"/>
      <c r="C733" s="198"/>
      <c r="D733" s="198"/>
      <c r="E733" s="198"/>
      <c r="F733" s="199"/>
      <c r="G733" s="199"/>
      <c r="H733" s="198"/>
      <c r="I733" s="198"/>
      <c r="J733" s="198"/>
      <c r="K733" s="198"/>
      <c r="L733" s="198"/>
      <c r="M733" s="198"/>
      <c r="N733" s="198"/>
      <c r="O733" s="198"/>
      <c r="P733" s="198"/>
      <c r="Q733" s="198"/>
      <c r="R733" s="198"/>
      <c r="S733" s="198"/>
      <c r="T733" s="198"/>
      <c r="U733" s="198"/>
      <c r="V733" s="198"/>
      <c r="W733" s="198"/>
      <c r="X733" s="198"/>
    </row>
    <row r="734">
      <c r="A734" s="198"/>
      <c r="B734" s="199"/>
      <c r="C734" s="198"/>
      <c r="D734" s="198"/>
      <c r="E734" s="198"/>
      <c r="F734" s="199"/>
      <c r="G734" s="199"/>
      <c r="H734" s="198"/>
      <c r="I734" s="198"/>
      <c r="J734" s="198"/>
      <c r="K734" s="198"/>
      <c r="L734" s="198"/>
      <c r="M734" s="198"/>
      <c r="N734" s="198"/>
      <c r="O734" s="198"/>
      <c r="P734" s="198"/>
      <c r="Q734" s="198"/>
      <c r="R734" s="198"/>
      <c r="S734" s="198"/>
      <c r="T734" s="198"/>
      <c r="U734" s="198"/>
      <c r="V734" s="198"/>
      <c r="W734" s="198"/>
      <c r="X734" s="198"/>
    </row>
    <row r="735">
      <c r="A735" s="198"/>
      <c r="B735" s="199"/>
      <c r="C735" s="198"/>
      <c r="D735" s="198"/>
      <c r="E735" s="198"/>
      <c r="F735" s="199"/>
      <c r="G735" s="199"/>
      <c r="H735" s="198"/>
      <c r="I735" s="198"/>
      <c r="J735" s="198"/>
      <c r="K735" s="198"/>
      <c r="L735" s="198"/>
      <c r="M735" s="198"/>
      <c r="N735" s="198"/>
      <c r="O735" s="198"/>
      <c r="P735" s="198"/>
      <c r="Q735" s="198"/>
      <c r="R735" s="198"/>
      <c r="S735" s="198"/>
      <c r="T735" s="198"/>
      <c r="U735" s="198"/>
      <c r="V735" s="198"/>
      <c r="W735" s="198"/>
      <c r="X735" s="198"/>
    </row>
    <row r="736">
      <c r="A736" s="198"/>
      <c r="B736" s="199"/>
      <c r="C736" s="198"/>
      <c r="D736" s="198"/>
      <c r="E736" s="198"/>
      <c r="F736" s="199"/>
      <c r="G736" s="199"/>
      <c r="H736" s="198"/>
      <c r="I736" s="198"/>
      <c r="J736" s="198"/>
      <c r="K736" s="198"/>
      <c r="L736" s="198"/>
      <c r="M736" s="198"/>
      <c r="N736" s="198"/>
      <c r="O736" s="198"/>
      <c r="P736" s="198"/>
      <c r="Q736" s="198"/>
      <c r="R736" s="198"/>
      <c r="S736" s="198"/>
      <c r="T736" s="198"/>
      <c r="U736" s="198"/>
      <c r="V736" s="198"/>
      <c r="W736" s="198"/>
      <c r="X736" s="198"/>
    </row>
    <row r="737">
      <c r="A737" s="198"/>
      <c r="B737" s="199"/>
      <c r="C737" s="198"/>
      <c r="D737" s="198"/>
      <c r="E737" s="198"/>
      <c r="F737" s="199"/>
      <c r="G737" s="199"/>
      <c r="H737" s="198"/>
      <c r="I737" s="198"/>
      <c r="J737" s="198"/>
      <c r="K737" s="198"/>
      <c r="L737" s="198"/>
      <c r="M737" s="198"/>
      <c r="N737" s="198"/>
      <c r="O737" s="198"/>
      <c r="P737" s="198"/>
      <c r="Q737" s="198"/>
      <c r="R737" s="198"/>
      <c r="S737" s="198"/>
      <c r="T737" s="198"/>
      <c r="U737" s="198"/>
      <c r="V737" s="198"/>
      <c r="W737" s="198"/>
      <c r="X737" s="198"/>
    </row>
    <row r="738">
      <c r="A738" s="198"/>
      <c r="B738" s="199"/>
      <c r="C738" s="198"/>
      <c r="D738" s="198"/>
      <c r="E738" s="198"/>
      <c r="F738" s="199"/>
      <c r="G738" s="199"/>
      <c r="H738" s="198"/>
      <c r="I738" s="198"/>
      <c r="J738" s="198"/>
      <c r="K738" s="198"/>
      <c r="L738" s="198"/>
      <c r="M738" s="198"/>
      <c r="N738" s="198"/>
      <c r="O738" s="198"/>
      <c r="P738" s="198"/>
      <c r="Q738" s="198"/>
      <c r="R738" s="198"/>
      <c r="S738" s="198"/>
      <c r="T738" s="198"/>
      <c r="U738" s="198"/>
      <c r="V738" s="198"/>
      <c r="W738" s="198"/>
      <c r="X738" s="198"/>
    </row>
    <row r="739">
      <c r="A739" s="198"/>
      <c r="B739" s="199"/>
      <c r="C739" s="198"/>
      <c r="D739" s="198"/>
      <c r="E739" s="198"/>
      <c r="F739" s="199"/>
      <c r="G739" s="199"/>
      <c r="H739" s="198"/>
      <c r="I739" s="198"/>
      <c r="J739" s="198"/>
      <c r="K739" s="198"/>
      <c r="L739" s="198"/>
      <c r="M739" s="198"/>
      <c r="N739" s="198"/>
      <c r="O739" s="198"/>
      <c r="P739" s="198"/>
      <c r="Q739" s="198"/>
      <c r="R739" s="198"/>
      <c r="S739" s="198"/>
      <c r="T739" s="198"/>
      <c r="U739" s="198"/>
      <c r="V739" s="198"/>
      <c r="W739" s="198"/>
      <c r="X739" s="198"/>
    </row>
    <row r="740">
      <c r="A740" s="198"/>
      <c r="B740" s="199"/>
      <c r="C740" s="198"/>
      <c r="D740" s="198"/>
      <c r="E740" s="198"/>
      <c r="F740" s="199"/>
      <c r="G740" s="199"/>
      <c r="H740" s="198"/>
      <c r="I740" s="198"/>
      <c r="J740" s="198"/>
      <c r="K740" s="198"/>
      <c r="L740" s="198"/>
      <c r="M740" s="198"/>
      <c r="N740" s="198"/>
      <c r="O740" s="198"/>
      <c r="P740" s="198"/>
      <c r="Q740" s="198"/>
      <c r="R740" s="198"/>
      <c r="S740" s="198"/>
      <c r="T740" s="198"/>
      <c r="U740" s="198"/>
      <c r="V740" s="198"/>
      <c r="W740" s="198"/>
      <c r="X740" s="198"/>
    </row>
    <row r="741">
      <c r="A741" s="198"/>
      <c r="B741" s="199"/>
      <c r="C741" s="198"/>
      <c r="D741" s="198"/>
      <c r="E741" s="198"/>
      <c r="F741" s="199"/>
      <c r="G741" s="199"/>
      <c r="H741" s="198"/>
      <c r="I741" s="198"/>
      <c r="J741" s="198"/>
      <c r="K741" s="198"/>
      <c r="L741" s="198"/>
      <c r="M741" s="198"/>
      <c r="N741" s="198"/>
      <c r="O741" s="198"/>
      <c r="P741" s="198"/>
      <c r="Q741" s="198"/>
      <c r="R741" s="198"/>
      <c r="S741" s="198"/>
      <c r="T741" s="198"/>
      <c r="U741" s="198"/>
      <c r="V741" s="198"/>
      <c r="W741" s="198"/>
      <c r="X741" s="198"/>
    </row>
    <row r="742">
      <c r="A742" s="198"/>
      <c r="B742" s="199"/>
      <c r="C742" s="198"/>
      <c r="D742" s="198"/>
      <c r="E742" s="198"/>
      <c r="F742" s="199"/>
      <c r="G742" s="199"/>
      <c r="H742" s="198"/>
      <c r="I742" s="198"/>
      <c r="J742" s="198"/>
      <c r="K742" s="198"/>
      <c r="L742" s="198"/>
      <c r="M742" s="198"/>
      <c r="N742" s="198"/>
      <c r="O742" s="198"/>
      <c r="P742" s="198"/>
      <c r="Q742" s="198"/>
      <c r="R742" s="198"/>
      <c r="S742" s="198"/>
      <c r="T742" s="198"/>
      <c r="U742" s="198"/>
      <c r="V742" s="198"/>
      <c r="W742" s="198"/>
      <c r="X742" s="198"/>
    </row>
    <row r="743">
      <c r="A743" s="198"/>
      <c r="B743" s="199"/>
      <c r="C743" s="198"/>
      <c r="D743" s="198"/>
      <c r="E743" s="198"/>
      <c r="F743" s="199"/>
      <c r="G743" s="199"/>
      <c r="H743" s="198"/>
      <c r="I743" s="198"/>
      <c r="J743" s="198"/>
      <c r="K743" s="198"/>
      <c r="L743" s="198"/>
      <c r="M743" s="198"/>
      <c r="N743" s="198"/>
      <c r="O743" s="198"/>
      <c r="P743" s="198"/>
      <c r="Q743" s="198"/>
      <c r="R743" s="198"/>
      <c r="S743" s="198"/>
      <c r="T743" s="198"/>
      <c r="U743" s="198"/>
      <c r="V743" s="198"/>
      <c r="W743" s="198"/>
      <c r="X743" s="198"/>
    </row>
    <row r="744">
      <c r="A744" s="198"/>
      <c r="B744" s="199"/>
      <c r="C744" s="198"/>
      <c r="D744" s="198"/>
      <c r="E744" s="198"/>
      <c r="F744" s="199"/>
      <c r="G744" s="199"/>
      <c r="H744" s="198"/>
      <c r="I744" s="198"/>
      <c r="J744" s="198"/>
      <c r="K744" s="198"/>
      <c r="L744" s="198"/>
      <c r="M744" s="198"/>
      <c r="N744" s="198"/>
      <c r="O744" s="198"/>
      <c r="P744" s="198"/>
      <c r="Q744" s="198"/>
      <c r="R744" s="198"/>
      <c r="S744" s="198"/>
      <c r="T744" s="198"/>
      <c r="U744" s="198"/>
      <c r="V744" s="198"/>
      <c r="W744" s="198"/>
      <c r="X744" s="198"/>
    </row>
    <row r="745">
      <c r="A745" s="198"/>
      <c r="B745" s="199"/>
      <c r="C745" s="198"/>
      <c r="D745" s="198"/>
      <c r="E745" s="198"/>
      <c r="F745" s="199"/>
      <c r="G745" s="199"/>
      <c r="H745" s="198"/>
      <c r="I745" s="198"/>
      <c r="J745" s="198"/>
      <c r="K745" s="198"/>
      <c r="L745" s="198"/>
      <c r="M745" s="198"/>
      <c r="N745" s="198"/>
      <c r="O745" s="198"/>
      <c r="P745" s="198"/>
      <c r="Q745" s="198"/>
      <c r="R745" s="198"/>
      <c r="S745" s="198"/>
      <c r="T745" s="198"/>
      <c r="U745" s="198"/>
      <c r="V745" s="198"/>
      <c r="W745" s="198"/>
      <c r="X745" s="198"/>
    </row>
    <row r="746">
      <c r="A746" s="198"/>
      <c r="B746" s="199"/>
      <c r="C746" s="198"/>
      <c r="D746" s="198"/>
      <c r="E746" s="198"/>
      <c r="F746" s="199"/>
      <c r="G746" s="199"/>
      <c r="H746" s="198"/>
      <c r="I746" s="198"/>
      <c r="J746" s="198"/>
      <c r="K746" s="198"/>
      <c r="L746" s="198"/>
      <c r="M746" s="198"/>
      <c r="N746" s="198"/>
      <c r="O746" s="198"/>
      <c r="P746" s="198"/>
      <c r="Q746" s="198"/>
      <c r="R746" s="198"/>
      <c r="S746" s="198"/>
      <c r="T746" s="198"/>
      <c r="U746" s="198"/>
      <c r="V746" s="198"/>
      <c r="W746" s="198"/>
      <c r="X746" s="198"/>
    </row>
    <row r="747">
      <c r="A747" s="198"/>
      <c r="B747" s="199"/>
      <c r="C747" s="198"/>
      <c r="D747" s="198"/>
      <c r="E747" s="198"/>
      <c r="F747" s="199"/>
      <c r="G747" s="199"/>
      <c r="H747" s="198"/>
      <c r="I747" s="198"/>
      <c r="J747" s="198"/>
      <c r="K747" s="198"/>
      <c r="L747" s="198"/>
      <c r="M747" s="198"/>
      <c r="N747" s="198"/>
      <c r="O747" s="198"/>
      <c r="P747" s="198"/>
      <c r="Q747" s="198"/>
      <c r="R747" s="198"/>
      <c r="S747" s="198"/>
      <c r="T747" s="198"/>
      <c r="U747" s="198"/>
      <c r="V747" s="198"/>
      <c r="W747" s="198"/>
      <c r="X747" s="198"/>
    </row>
    <row r="748">
      <c r="A748" s="198"/>
      <c r="B748" s="199"/>
      <c r="C748" s="198"/>
      <c r="D748" s="198"/>
      <c r="E748" s="198"/>
      <c r="F748" s="199"/>
      <c r="G748" s="199"/>
      <c r="H748" s="198"/>
      <c r="I748" s="198"/>
      <c r="J748" s="198"/>
      <c r="K748" s="198"/>
      <c r="L748" s="198"/>
      <c r="M748" s="198"/>
      <c r="N748" s="198"/>
      <c r="O748" s="198"/>
      <c r="P748" s="198"/>
      <c r="Q748" s="198"/>
      <c r="R748" s="198"/>
      <c r="S748" s="198"/>
      <c r="T748" s="198"/>
      <c r="U748" s="198"/>
      <c r="V748" s="198"/>
      <c r="W748" s="198"/>
      <c r="X748" s="198"/>
    </row>
    <row r="749">
      <c r="A749" s="198"/>
      <c r="B749" s="199"/>
      <c r="C749" s="198"/>
      <c r="D749" s="198"/>
      <c r="E749" s="198"/>
      <c r="F749" s="199"/>
      <c r="G749" s="199"/>
      <c r="H749" s="198"/>
      <c r="I749" s="198"/>
      <c r="J749" s="198"/>
      <c r="K749" s="198"/>
      <c r="L749" s="198"/>
      <c r="M749" s="198"/>
      <c r="N749" s="198"/>
      <c r="O749" s="198"/>
      <c r="P749" s="198"/>
      <c r="Q749" s="198"/>
      <c r="R749" s="198"/>
      <c r="S749" s="198"/>
      <c r="T749" s="198"/>
      <c r="U749" s="198"/>
      <c r="V749" s="198"/>
      <c r="W749" s="198"/>
      <c r="X749" s="198"/>
    </row>
    <row r="750">
      <c r="A750" s="198"/>
      <c r="B750" s="199"/>
      <c r="C750" s="198"/>
      <c r="D750" s="198"/>
      <c r="E750" s="198"/>
      <c r="F750" s="199"/>
      <c r="G750" s="199"/>
      <c r="H750" s="198"/>
      <c r="I750" s="198"/>
      <c r="J750" s="198"/>
      <c r="K750" s="198"/>
      <c r="L750" s="198"/>
      <c r="M750" s="198"/>
      <c r="N750" s="198"/>
      <c r="O750" s="198"/>
      <c r="P750" s="198"/>
      <c r="Q750" s="198"/>
      <c r="R750" s="198"/>
      <c r="S750" s="198"/>
      <c r="T750" s="198"/>
      <c r="U750" s="198"/>
      <c r="V750" s="198"/>
      <c r="W750" s="198"/>
      <c r="X750" s="198"/>
    </row>
    <row r="751">
      <c r="A751" s="198"/>
      <c r="B751" s="199"/>
      <c r="C751" s="198"/>
      <c r="D751" s="198"/>
      <c r="E751" s="198"/>
      <c r="F751" s="199"/>
      <c r="G751" s="199"/>
      <c r="H751" s="198"/>
      <c r="I751" s="198"/>
      <c r="J751" s="198"/>
      <c r="K751" s="198"/>
      <c r="L751" s="198"/>
      <c r="M751" s="198"/>
      <c r="N751" s="198"/>
      <c r="O751" s="198"/>
      <c r="P751" s="198"/>
      <c r="Q751" s="198"/>
      <c r="R751" s="198"/>
      <c r="S751" s="198"/>
      <c r="T751" s="198"/>
      <c r="U751" s="198"/>
      <c r="V751" s="198"/>
      <c r="W751" s="198"/>
      <c r="X751" s="198"/>
    </row>
    <row r="752">
      <c r="A752" s="198"/>
      <c r="B752" s="199"/>
      <c r="C752" s="198"/>
      <c r="D752" s="198"/>
      <c r="E752" s="198"/>
      <c r="F752" s="199"/>
      <c r="G752" s="199"/>
      <c r="H752" s="198"/>
      <c r="I752" s="198"/>
      <c r="J752" s="198"/>
      <c r="K752" s="198"/>
      <c r="L752" s="198"/>
      <c r="M752" s="198"/>
      <c r="N752" s="198"/>
      <c r="O752" s="198"/>
      <c r="P752" s="198"/>
      <c r="Q752" s="198"/>
      <c r="R752" s="198"/>
      <c r="S752" s="198"/>
      <c r="T752" s="198"/>
      <c r="U752" s="198"/>
      <c r="V752" s="198"/>
      <c r="W752" s="198"/>
      <c r="X752" s="198"/>
    </row>
    <row r="753">
      <c r="A753" s="198"/>
      <c r="B753" s="199"/>
      <c r="C753" s="198"/>
      <c r="D753" s="198"/>
      <c r="E753" s="198"/>
      <c r="F753" s="199"/>
      <c r="G753" s="199"/>
      <c r="H753" s="198"/>
      <c r="I753" s="198"/>
      <c r="J753" s="198"/>
      <c r="K753" s="198"/>
      <c r="L753" s="198"/>
      <c r="M753" s="198"/>
      <c r="N753" s="198"/>
      <c r="O753" s="198"/>
      <c r="P753" s="198"/>
      <c r="Q753" s="198"/>
      <c r="R753" s="198"/>
      <c r="S753" s="198"/>
      <c r="T753" s="198"/>
      <c r="U753" s="198"/>
      <c r="V753" s="198"/>
      <c r="W753" s="198"/>
      <c r="X753" s="198"/>
    </row>
    <row r="754">
      <c r="A754" s="198"/>
      <c r="B754" s="199"/>
      <c r="C754" s="198"/>
      <c r="D754" s="198"/>
      <c r="E754" s="198"/>
      <c r="F754" s="199"/>
      <c r="G754" s="199"/>
      <c r="H754" s="198"/>
      <c r="I754" s="198"/>
      <c r="J754" s="198"/>
      <c r="K754" s="198"/>
      <c r="L754" s="198"/>
      <c r="M754" s="198"/>
      <c r="N754" s="198"/>
      <c r="O754" s="198"/>
      <c r="P754" s="198"/>
      <c r="Q754" s="198"/>
      <c r="R754" s="198"/>
      <c r="S754" s="198"/>
      <c r="T754" s="198"/>
      <c r="U754" s="198"/>
      <c r="V754" s="198"/>
      <c r="W754" s="198"/>
      <c r="X754" s="198"/>
    </row>
    <row r="755">
      <c r="A755" s="198"/>
      <c r="B755" s="199"/>
      <c r="C755" s="198"/>
      <c r="D755" s="198"/>
      <c r="E755" s="198"/>
      <c r="F755" s="199"/>
      <c r="G755" s="199"/>
      <c r="H755" s="198"/>
      <c r="I755" s="198"/>
      <c r="J755" s="198"/>
      <c r="K755" s="198"/>
      <c r="L755" s="198"/>
      <c r="M755" s="198"/>
      <c r="N755" s="198"/>
      <c r="O755" s="198"/>
      <c r="P755" s="198"/>
      <c r="Q755" s="198"/>
      <c r="R755" s="198"/>
      <c r="S755" s="198"/>
      <c r="T755" s="198"/>
      <c r="U755" s="198"/>
      <c r="V755" s="198"/>
      <c r="W755" s="198"/>
      <c r="X755" s="198"/>
    </row>
    <row r="756">
      <c r="A756" s="198"/>
      <c r="B756" s="199"/>
      <c r="C756" s="198"/>
      <c r="D756" s="198"/>
      <c r="E756" s="198"/>
      <c r="F756" s="199"/>
      <c r="G756" s="199"/>
      <c r="H756" s="198"/>
      <c r="I756" s="198"/>
      <c r="J756" s="198"/>
      <c r="K756" s="198"/>
      <c r="L756" s="198"/>
      <c r="M756" s="198"/>
      <c r="N756" s="198"/>
      <c r="O756" s="198"/>
      <c r="P756" s="198"/>
      <c r="Q756" s="198"/>
      <c r="R756" s="198"/>
      <c r="S756" s="198"/>
      <c r="T756" s="198"/>
      <c r="U756" s="198"/>
      <c r="V756" s="198"/>
      <c r="W756" s="198"/>
      <c r="X756" s="198"/>
    </row>
    <row r="757">
      <c r="A757" s="198"/>
      <c r="B757" s="199"/>
      <c r="C757" s="198"/>
      <c r="D757" s="198"/>
      <c r="E757" s="198"/>
      <c r="F757" s="199"/>
      <c r="G757" s="199"/>
      <c r="H757" s="198"/>
      <c r="I757" s="198"/>
      <c r="J757" s="198"/>
      <c r="K757" s="198"/>
      <c r="L757" s="198"/>
      <c r="M757" s="198"/>
      <c r="N757" s="198"/>
      <c r="O757" s="198"/>
      <c r="P757" s="198"/>
      <c r="Q757" s="198"/>
      <c r="R757" s="198"/>
      <c r="S757" s="198"/>
      <c r="T757" s="198"/>
      <c r="U757" s="198"/>
      <c r="V757" s="198"/>
      <c r="W757" s="198"/>
      <c r="X757" s="198"/>
    </row>
    <row r="758">
      <c r="A758" s="198"/>
      <c r="B758" s="199"/>
      <c r="C758" s="198"/>
      <c r="D758" s="198"/>
      <c r="E758" s="198"/>
      <c r="F758" s="199"/>
      <c r="G758" s="199"/>
      <c r="H758" s="198"/>
      <c r="I758" s="198"/>
      <c r="J758" s="198"/>
      <c r="K758" s="198"/>
      <c r="L758" s="198"/>
      <c r="M758" s="198"/>
      <c r="N758" s="198"/>
      <c r="O758" s="198"/>
      <c r="P758" s="198"/>
      <c r="Q758" s="198"/>
      <c r="R758" s="198"/>
      <c r="S758" s="198"/>
      <c r="T758" s="198"/>
      <c r="U758" s="198"/>
      <c r="V758" s="198"/>
      <c r="W758" s="198"/>
      <c r="X758" s="198"/>
    </row>
    <row r="759">
      <c r="A759" s="198"/>
      <c r="B759" s="199"/>
      <c r="C759" s="198"/>
      <c r="D759" s="198"/>
      <c r="E759" s="198"/>
      <c r="F759" s="199"/>
      <c r="G759" s="199"/>
      <c r="H759" s="198"/>
      <c r="I759" s="198"/>
      <c r="J759" s="198"/>
      <c r="K759" s="198"/>
      <c r="L759" s="198"/>
      <c r="M759" s="198"/>
      <c r="N759" s="198"/>
      <c r="O759" s="198"/>
      <c r="P759" s="198"/>
      <c r="Q759" s="198"/>
      <c r="R759" s="198"/>
      <c r="S759" s="198"/>
      <c r="T759" s="198"/>
      <c r="U759" s="198"/>
      <c r="V759" s="198"/>
      <c r="W759" s="198"/>
      <c r="X759" s="198"/>
    </row>
    <row r="760">
      <c r="A760" s="198"/>
      <c r="B760" s="199"/>
      <c r="C760" s="198"/>
      <c r="D760" s="198"/>
      <c r="E760" s="198"/>
      <c r="F760" s="199"/>
      <c r="G760" s="199"/>
      <c r="H760" s="198"/>
      <c r="I760" s="198"/>
      <c r="J760" s="198"/>
      <c r="K760" s="198"/>
      <c r="L760" s="198"/>
      <c r="M760" s="198"/>
      <c r="N760" s="198"/>
      <c r="O760" s="198"/>
      <c r="P760" s="198"/>
      <c r="Q760" s="198"/>
      <c r="R760" s="198"/>
      <c r="S760" s="198"/>
      <c r="T760" s="198"/>
      <c r="U760" s="198"/>
      <c r="V760" s="198"/>
      <c r="W760" s="198"/>
      <c r="X760" s="198"/>
    </row>
    <row r="761">
      <c r="A761" s="198"/>
      <c r="B761" s="199"/>
      <c r="C761" s="198"/>
      <c r="D761" s="198"/>
      <c r="E761" s="198"/>
      <c r="F761" s="199"/>
      <c r="G761" s="199"/>
      <c r="H761" s="198"/>
      <c r="I761" s="198"/>
      <c r="J761" s="198"/>
      <c r="K761" s="198"/>
      <c r="L761" s="198"/>
      <c r="M761" s="198"/>
      <c r="N761" s="198"/>
      <c r="O761" s="198"/>
      <c r="P761" s="198"/>
      <c r="Q761" s="198"/>
      <c r="R761" s="198"/>
      <c r="S761" s="198"/>
      <c r="T761" s="198"/>
      <c r="U761" s="198"/>
      <c r="V761" s="198"/>
      <c r="W761" s="198"/>
      <c r="X761" s="198"/>
    </row>
    <row r="762">
      <c r="A762" s="198"/>
      <c r="B762" s="199"/>
      <c r="C762" s="198"/>
      <c r="D762" s="198"/>
      <c r="E762" s="198"/>
      <c r="F762" s="199"/>
      <c r="G762" s="199"/>
      <c r="H762" s="198"/>
      <c r="I762" s="198"/>
      <c r="J762" s="198"/>
      <c r="K762" s="198"/>
      <c r="L762" s="198"/>
      <c r="M762" s="198"/>
      <c r="N762" s="198"/>
      <c r="O762" s="198"/>
      <c r="P762" s="198"/>
      <c r="Q762" s="198"/>
      <c r="R762" s="198"/>
      <c r="S762" s="198"/>
      <c r="T762" s="198"/>
      <c r="U762" s="198"/>
      <c r="V762" s="198"/>
      <c r="W762" s="198"/>
      <c r="X762" s="198"/>
    </row>
    <row r="763">
      <c r="A763" s="198"/>
      <c r="B763" s="199"/>
      <c r="C763" s="198"/>
      <c r="D763" s="198"/>
      <c r="E763" s="198"/>
      <c r="F763" s="199"/>
      <c r="G763" s="199"/>
      <c r="H763" s="198"/>
      <c r="I763" s="198"/>
      <c r="J763" s="198"/>
      <c r="K763" s="198"/>
      <c r="L763" s="198"/>
      <c r="M763" s="198"/>
      <c r="N763" s="198"/>
      <c r="O763" s="198"/>
      <c r="P763" s="198"/>
      <c r="Q763" s="198"/>
      <c r="R763" s="198"/>
      <c r="S763" s="198"/>
      <c r="T763" s="198"/>
      <c r="U763" s="198"/>
      <c r="V763" s="198"/>
      <c r="W763" s="198"/>
      <c r="X763" s="198"/>
    </row>
    <row r="764">
      <c r="A764" s="198"/>
      <c r="B764" s="199"/>
      <c r="C764" s="198"/>
      <c r="D764" s="198"/>
      <c r="E764" s="198"/>
      <c r="F764" s="199"/>
      <c r="G764" s="199"/>
      <c r="H764" s="198"/>
      <c r="I764" s="198"/>
      <c r="J764" s="198"/>
      <c r="K764" s="198"/>
      <c r="L764" s="198"/>
      <c r="M764" s="198"/>
      <c r="N764" s="198"/>
      <c r="O764" s="198"/>
      <c r="P764" s="198"/>
      <c r="Q764" s="198"/>
      <c r="R764" s="198"/>
      <c r="S764" s="198"/>
      <c r="T764" s="198"/>
      <c r="U764" s="198"/>
      <c r="V764" s="198"/>
      <c r="W764" s="198"/>
      <c r="X764" s="198"/>
    </row>
    <row r="765">
      <c r="A765" s="198"/>
      <c r="B765" s="199"/>
      <c r="C765" s="198"/>
      <c r="D765" s="198"/>
      <c r="E765" s="198"/>
      <c r="F765" s="199"/>
      <c r="G765" s="199"/>
      <c r="H765" s="198"/>
      <c r="I765" s="198"/>
      <c r="J765" s="198"/>
      <c r="K765" s="198"/>
      <c r="L765" s="198"/>
      <c r="M765" s="198"/>
      <c r="N765" s="198"/>
      <c r="O765" s="198"/>
      <c r="P765" s="198"/>
      <c r="Q765" s="198"/>
      <c r="R765" s="198"/>
      <c r="S765" s="198"/>
      <c r="T765" s="198"/>
      <c r="U765" s="198"/>
      <c r="V765" s="198"/>
      <c r="W765" s="198"/>
      <c r="X765" s="198"/>
    </row>
    <row r="766">
      <c r="A766" s="198"/>
      <c r="B766" s="199"/>
      <c r="C766" s="198"/>
      <c r="D766" s="198"/>
      <c r="E766" s="198"/>
      <c r="F766" s="199"/>
      <c r="G766" s="199"/>
      <c r="H766" s="198"/>
      <c r="I766" s="198"/>
      <c r="J766" s="198"/>
      <c r="K766" s="198"/>
      <c r="L766" s="198"/>
      <c r="M766" s="198"/>
      <c r="N766" s="198"/>
      <c r="O766" s="198"/>
      <c r="P766" s="198"/>
      <c r="Q766" s="198"/>
      <c r="R766" s="198"/>
      <c r="S766" s="198"/>
      <c r="T766" s="198"/>
      <c r="U766" s="198"/>
      <c r="V766" s="198"/>
      <c r="W766" s="198"/>
      <c r="X766" s="198"/>
    </row>
    <row r="767">
      <c r="A767" s="198"/>
      <c r="B767" s="199"/>
      <c r="C767" s="198"/>
      <c r="D767" s="198"/>
      <c r="E767" s="198"/>
      <c r="F767" s="199"/>
      <c r="G767" s="199"/>
      <c r="H767" s="198"/>
      <c r="I767" s="198"/>
      <c r="J767" s="198"/>
      <c r="K767" s="198"/>
      <c r="L767" s="198"/>
      <c r="M767" s="198"/>
      <c r="N767" s="198"/>
      <c r="O767" s="198"/>
      <c r="P767" s="198"/>
      <c r="Q767" s="198"/>
      <c r="R767" s="198"/>
      <c r="S767" s="198"/>
      <c r="T767" s="198"/>
      <c r="U767" s="198"/>
      <c r="V767" s="198"/>
      <c r="W767" s="198"/>
      <c r="X767" s="198"/>
    </row>
    <row r="768">
      <c r="A768" s="198"/>
      <c r="B768" s="199"/>
      <c r="C768" s="198"/>
      <c r="D768" s="198"/>
      <c r="E768" s="198"/>
      <c r="F768" s="199"/>
      <c r="G768" s="199"/>
      <c r="H768" s="198"/>
      <c r="I768" s="198"/>
      <c r="J768" s="198"/>
      <c r="K768" s="198"/>
      <c r="L768" s="198"/>
      <c r="M768" s="198"/>
      <c r="N768" s="198"/>
      <c r="O768" s="198"/>
      <c r="P768" s="198"/>
      <c r="Q768" s="198"/>
      <c r="R768" s="198"/>
      <c r="S768" s="198"/>
      <c r="T768" s="198"/>
      <c r="U768" s="198"/>
      <c r="V768" s="198"/>
      <c r="W768" s="198"/>
      <c r="X768" s="198"/>
    </row>
    <row r="769">
      <c r="A769" s="198"/>
      <c r="B769" s="199"/>
      <c r="C769" s="198"/>
      <c r="D769" s="198"/>
      <c r="E769" s="198"/>
      <c r="F769" s="199"/>
      <c r="G769" s="199"/>
      <c r="H769" s="198"/>
      <c r="I769" s="198"/>
      <c r="J769" s="198"/>
      <c r="K769" s="198"/>
      <c r="L769" s="198"/>
      <c r="M769" s="198"/>
      <c r="N769" s="198"/>
      <c r="O769" s="198"/>
      <c r="P769" s="198"/>
      <c r="Q769" s="198"/>
      <c r="R769" s="198"/>
      <c r="S769" s="198"/>
      <c r="T769" s="198"/>
      <c r="U769" s="198"/>
      <c r="V769" s="198"/>
      <c r="W769" s="198"/>
      <c r="X769" s="198"/>
    </row>
    <row r="770">
      <c r="A770" s="198"/>
      <c r="B770" s="199"/>
      <c r="C770" s="198"/>
      <c r="D770" s="198"/>
      <c r="E770" s="198"/>
      <c r="F770" s="199"/>
      <c r="G770" s="199"/>
      <c r="H770" s="198"/>
      <c r="I770" s="198"/>
      <c r="J770" s="198"/>
      <c r="K770" s="198"/>
      <c r="L770" s="198"/>
      <c r="M770" s="198"/>
      <c r="N770" s="198"/>
      <c r="O770" s="198"/>
      <c r="P770" s="198"/>
      <c r="Q770" s="198"/>
      <c r="R770" s="198"/>
      <c r="S770" s="198"/>
      <c r="T770" s="198"/>
      <c r="U770" s="198"/>
      <c r="V770" s="198"/>
      <c r="W770" s="198"/>
      <c r="X770" s="198"/>
    </row>
    <row r="771">
      <c r="A771" s="198"/>
      <c r="B771" s="199"/>
      <c r="C771" s="198"/>
      <c r="D771" s="198"/>
      <c r="E771" s="198"/>
      <c r="F771" s="199"/>
      <c r="G771" s="199"/>
      <c r="H771" s="198"/>
      <c r="I771" s="198"/>
      <c r="J771" s="198"/>
      <c r="K771" s="198"/>
      <c r="L771" s="198"/>
      <c r="M771" s="198"/>
      <c r="N771" s="198"/>
      <c r="O771" s="198"/>
      <c r="P771" s="198"/>
      <c r="Q771" s="198"/>
      <c r="R771" s="198"/>
      <c r="S771" s="198"/>
      <c r="T771" s="198"/>
      <c r="U771" s="198"/>
      <c r="V771" s="198"/>
      <c r="W771" s="198"/>
      <c r="X771" s="198"/>
    </row>
    <row r="772">
      <c r="A772" s="198"/>
      <c r="B772" s="199"/>
      <c r="C772" s="198"/>
      <c r="D772" s="198"/>
      <c r="E772" s="198"/>
      <c r="F772" s="199"/>
      <c r="G772" s="199"/>
      <c r="H772" s="198"/>
      <c r="I772" s="198"/>
      <c r="J772" s="198"/>
      <c r="K772" s="198"/>
      <c r="L772" s="198"/>
      <c r="M772" s="198"/>
      <c r="N772" s="198"/>
      <c r="O772" s="198"/>
      <c r="P772" s="198"/>
      <c r="Q772" s="198"/>
      <c r="R772" s="198"/>
      <c r="S772" s="198"/>
      <c r="T772" s="198"/>
      <c r="U772" s="198"/>
      <c r="V772" s="198"/>
      <c r="W772" s="198"/>
      <c r="X772" s="198"/>
    </row>
    <row r="773">
      <c r="A773" s="198"/>
      <c r="B773" s="199"/>
      <c r="C773" s="198"/>
      <c r="D773" s="198"/>
      <c r="E773" s="198"/>
      <c r="F773" s="199"/>
      <c r="G773" s="199"/>
      <c r="H773" s="198"/>
      <c r="I773" s="198"/>
      <c r="J773" s="198"/>
      <c r="K773" s="198"/>
      <c r="L773" s="198"/>
      <c r="M773" s="198"/>
      <c r="N773" s="198"/>
      <c r="O773" s="198"/>
      <c r="P773" s="198"/>
      <c r="Q773" s="198"/>
      <c r="R773" s="198"/>
      <c r="S773" s="198"/>
      <c r="T773" s="198"/>
      <c r="U773" s="198"/>
      <c r="V773" s="198"/>
      <c r="W773" s="198"/>
      <c r="X773" s="198"/>
    </row>
    <row r="774">
      <c r="A774" s="198"/>
      <c r="B774" s="199"/>
      <c r="C774" s="198"/>
      <c r="D774" s="198"/>
      <c r="E774" s="198"/>
      <c r="F774" s="199"/>
      <c r="G774" s="199"/>
      <c r="H774" s="198"/>
      <c r="I774" s="198"/>
      <c r="J774" s="198"/>
      <c r="K774" s="198"/>
      <c r="L774" s="198"/>
      <c r="M774" s="198"/>
      <c r="N774" s="198"/>
      <c r="O774" s="198"/>
      <c r="P774" s="198"/>
      <c r="Q774" s="198"/>
      <c r="R774" s="198"/>
      <c r="S774" s="198"/>
      <c r="T774" s="198"/>
      <c r="U774" s="198"/>
      <c r="V774" s="198"/>
      <c r="W774" s="198"/>
      <c r="X774" s="198"/>
    </row>
    <row r="775">
      <c r="A775" s="198"/>
      <c r="B775" s="199"/>
      <c r="C775" s="198"/>
      <c r="D775" s="198"/>
      <c r="E775" s="198"/>
      <c r="F775" s="199"/>
      <c r="G775" s="199"/>
      <c r="H775" s="198"/>
      <c r="I775" s="198"/>
      <c r="J775" s="198"/>
      <c r="K775" s="198"/>
      <c r="L775" s="198"/>
      <c r="M775" s="198"/>
      <c r="N775" s="198"/>
      <c r="O775" s="198"/>
      <c r="P775" s="198"/>
      <c r="Q775" s="198"/>
      <c r="R775" s="198"/>
      <c r="S775" s="198"/>
      <c r="T775" s="198"/>
      <c r="U775" s="198"/>
      <c r="V775" s="198"/>
      <c r="W775" s="198"/>
      <c r="X775" s="198"/>
    </row>
    <row r="776">
      <c r="A776" s="198"/>
      <c r="B776" s="199"/>
      <c r="C776" s="198"/>
      <c r="D776" s="198"/>
      <c r="E776" s="198"/>
      <c r="F776" s="199"/>
      <c r="G776" s="199"/>
      <c r="H776" s="198"/>
      <c r="I776" s="198"/>
      <c r="J776" s="198"/>
      <c r="K776" s="198"/>
      <c r="L776" s="198"/>
      <c r="M776" s="198"/>
      <c r="N776" s="198"/>
      <c r="O776" s="198"/>
      <c r="P776" s="198"/>
      <c r="Q776" s="198"/>
      <c r="R776" s="198"/>
      <c r="S776" s="198"/>
      <c r="T776" s="198"/>
      <c r="U776" s="198"/>
      <c r="V776" s="198"/>
      <c r="W776" s="198"/>
      <c r="X776" s="198"/>
    </row>
    <row r="777">
      <c r="A777" s="198"/>
      <c r="B777" s="199"/>
      <c r="C777" s="198"/>
      <c r="D777" s="198"/>
      <c r="E777" s="198"/>
      <c r="F777" s="199"/>
      <c r="G777" s="199"/>
      <c r="H777" s="198"/>
      <c r="I777" s="198"/>
      <c r="J777" s="198"/>
      <c r="K777" s="198"/>
      <c r="L777" s="198"/>
      <c r="M777" s="198"/>
      <c r="N777" s="198"/>
      <c r="O777" s="198"/>
      <c r="P777" s="198"/>
      <c r="Q777" s="198"/>
      <c r="R777" s="198"/>
      <c r="S777" s="198"/>
      <c r="T777" s="198"/>
      <c r="U777" s="198"/>
      <c r="V777" s="198"/>
      <c r="W777" s="198"/>
      <c r="X777" s="198"/>
    </row>
    <row r="778">
      <c r="A778" s="198"/>
      <c r="B778" s="199"/>
      <c r="C778" s="198"/>
      <c r="D778" s="198"/>
      <c r="E778" s="198"/>
      <c r="F778" s="199"/>
      <c r="G778" s="199"/>
      <c r="H778" s="198"/>
      <c r="I778" s="198"/>
      <c r="J778" s="198"/>
      <c r="K778" s="198"/>
      <c r="L778" s="198"/>
      <c r="M778" s="198"/>
      <c r="N778" s="198"/>
      <c r="O778" s="198"/>
      <c r="P778" s="198"/>
      <c r="Q778" s="198"/>
      <c r="R778" s="198"/>
      <c r="S778" s="198"/>
      <c r="T778" s="198"/>
      <c r="U778" s="198"/>
      <c r="V778" s="198"/>
      <c r="W778" s="198"/>
      <c r="X778" s="198"/>
    </row>
    <row r="779">
      <c r="A779" s="198"/>
      <c r="B779" s="199"/>
      <c r="C779" s="198"/>
      <c r="D779" s="198"/>
      <c r="E779" s="198"/>
      <c r="F779" s="199"/>
      <c r="G779" s="199"/>
      <c r="H779" s="198"/>
      <c r="I779" s="198"/>
      <c r="J779" s="198"/>
      <c r="K779" s="198"/>
      <c r="L779" s="198"/>
      <c r="M779" s="198"/>
      <c r="N779" s="198"/>
      <c r="O779" s="198"/>
      <c r="P779" s="198"/>
      <c r="Q779" s="198"/>
      <c r="R779" s="198"/>
      <c r="S779" s="198"/>
      <c r="T779" s="198"/>
      <c r="U779" s="198"/>
      <c r="V779" s="198"/>
      <c r="W779" s="198"/>
      <c r="X779" s="198"/>
    </row>
    <row r="780">
      <c r="A780" s="198"/>
      <c r="B780" s="199"/>
      <c r="C780" s="198"/>
      <c r="D780" s="198"/>
      <c r="E780" s="198"/>
      <c r="F780" s="199"/>
      <c r="G780" s="199"/>
      <c r="H780" s="198"/>
      <c r="I780" s="198"/>
      <c r="J780" s="198"/>
      <c r="K780" s="198"/>
      <c r="L780" s="198"/>
      <c r="M780" s="198"/>
      <c r="N780" s="198"/>
      <c r="O780" s="198"/>
      <c r="P780" s="198"/>
      <c r="Q780" s="198"/>
      <c r="R780" s="198"/>
      <c r="S780" s="198"/>
      <c r="T780" s="198"/>
      <c r="U780" s="198"/>
      <c r="V780" s="198"/>
      <c r="W780" s="198"/>
      <c r="X780" s="198"/>
    </row>
    <row r="781">
      <c r="A781" s="198"/>
      <c r="B781" s="199"/>
      <c r="C781" s="198"/>
      <c r="D781" s="198"/>
      <c r="E781" s="198"/>
      <c r="F781" s="199"/>
      <c r="G781" s="199"/>
      <c r="H781" s="198"/>
      <c r="I781" s="198"/>
      <c r="J781" s="198"/>
      <c r="K781" s="198"/>
      <c r="L781" s="198"/>
      <c r="M781" s="198"/>
      <c r="N781" s="198"/>
      <c r="O781" s="198"/>
      <c r="P781" s="198"/>
      <c r="Q781" s="198"/>
      <c r="R781" s="198"/>
      <c r="S781" s="198"/>
      <c r="T781" s="198"/>
      <c r="U781" s="198"/>
      <c r="V781" s="198"/>
      <c r="W781" s="198"/>
      <c r="X781" s="198"/>
    </row>
    <row r="782">
      <c r="A782" s="198"/>
      <c r="B782" s="199"/>
      <c r="C782" s="198"/>
      <c r="D782" s="198"/>
      <c r="E782" s="198"/>
      <c r="F782" s="199"/>
      <c r="G782" s="199"/>
      <c r="H782" s="198"/>
      <c r="I782" s="198"/>
      <c r="J782" s="198"/>
      <c r="K782" s="198"/>
      <c r="L782" s="198"/>
      <c r="M782" s="198"/>
      <c r="N782" s="198"/>
      <c r="O782" s="198"/>
      <c r="P782" s="198"/>
      <c r="Q782" s="198"/>
      <c r="R782" s="198"/>
      <c r="S782" s="198"/>
      <c r="T782" s="198"/>
      <c r="U782" s="198"/>
      <c r="V782" s="198"/>
      <c r="W782" s="198"/>
      <c r="X782" s="198"/>
    </row>
    <row r="783">
      <c r="A783" s="198"/>
      <c r="B783" s="199"/>
      <c r="C783" s="198"/>
      <c r="D783" s="198"/>
      <c r="E783" s="198"/>
      <c r="F783" s="199"/>
      <c r="G783" s="199"/>
      <c r="H783" s="198"/>
      <c r="I783" s="198"/>
      <c r="J783" s="198"/>
      <c r="K783" s="198"/>
      <c r="L783" s="198"/>
      <c r="M783" s="198"/>
      <c r="N783" s="198"/>
      <c r="O783" s="198"/>
      <c r="P783" s="198"/>
      <c r="Q783" s="198"/>
      <c r="R783" s="198"/>
      <c r="S783" s="198"/>
      <c r="T783" s="198"/>
      <c r="U783" s="198"/>
      <c r="V783" s="198"/>
      <c r="W783" s="198"/>
      <c r="X783" s="198"/>
    </row>
    <row r="784">
      <c r="A784" s="198"/>
      <c r="B784" s="199"/>
      <c r="C784" s="198"/>
      <c r="D784" s="198"/>
      <c r="E784" s="198"/>
      <c r="F784" s="199"/>
      <c r="G784" s="199"/>
      <c r="H784" s="198"/>
      <c r="I784" s="198"/>
      <c r="J784" s="198"/>
      <c r="K784" s="198"/>
      <c r="L784" s="198"/>
      <c r="M784" s="198"/>
      <c r="N784" s="198"/>
      <c r="O784" s="198"/>
      <c r="P784" s="198"/>
      <c r="Q784" s="198"/>
      <c r="R784" s="198"/>
      <c r="S784" s="198"/>
      <c r="T784" s="198"/>
      <c r="U784" s="198"/>
      <c r="V784" s="198"/>
      <c r="W784" s="198"/>
      <c r="X784" s="198"/>
    </row>
    <row r="785">
      <c r="A785" s="198"/>
      <c r="B785" s="199"/>
      <c r="C785" s="198"/>
      <c r="D785" s="198"/>
      <c r="E785" s="198"/>
      <c r="F785" s="199"/>
      <c r="G785" s="199"/>
      <c r="H785" s="198"/>
      <c r="I785" s="198"/>
      <c r="J785" s="198"/>
      <c r="K785" s="198"/>
      <c r="L785" s="198"/>
      <c r="M785" s="198"/>
      <c r="N785" s="198"/>
      <c r="O785" s="198"/>
      <c r="P785" s="198"/>
      <c r="Q785" s="198"/>
      <c r="R785" s="198"/>
      <c r="S785" s="198"/>
      <c r="T785" s="198"/>
      <c r="U785" s="198"/>
      <c r="V785" s="198"/>
      <c r="W785" s="198"/>
      <c r="X785" s="198"/>
    </row>
    <row r="786">
      <c r="A786" s="198"/>
      <c r="B786" s="199"/>
      <c r="C786" s="198"/>
      <c r="D786" s="198"/>
      <c r="E786" s="198"/>
      <c r="F786" s="199"/>
      <c r="G786" s="199"/>
      <c r="H786" s="198"/>
      <c r="I786" s="198"/>
      <c r="J786" s="198"/>
      <c r="K786" s="198"/>
      <c r="L786" s="198"/>
      <c r="M786" s="198"/>
      <c r="N786" s="198"/>
      <c r="O786" s="198"/>
      <c r="P786" s="198"/>
      <c r="Q786" s="198"/>
      <c r="R786" s="198"/>
      <c r="S786" s="198"/>
      <c r="T786" s="198"/>
      <c r="U786" s="198"/>
      <c r="V786" s="198"/>
      <c r="W786" s="198"/>
      <c r="X786" s="198"/>
    </row>
    <row r="787">
      <c r="A787" s="198"/>
      <c r="B787" s="199"/>
      <c r="C787" s="198"/>
      <c r="D787" s="198"/>
      <c r="E787" s="198"/>
      <c r="F787" s="199"/>
      <c r="G787" s="199"/>
      <c r="H787" s="198"/>
      <c r="I787" s="198"/>
      <c r="J787" s="198"/>
      <c r="K787" s="198"/>
      <c r="L787" s="198"/>
      <c r="M787" s="198"/>
      <c r="N787" s="198"/>
      <c r="O787" s="198"/>
      <c r="P787" s="198"/>
      <c r="Q787" s="198"/>
      <c r="R787" s="198"/>
      <c r="S787" s="198"/>
      <c r="T787" s="198"/>
      <c r="U787" s="198"/>
      <c r="V787" s="198"/>
      <c r="W787" s="198"/>
      <c r="X787" s="198"/>
    </row>
    <row r="788">
      <c r="A788" s="198"/>
      <c r="B788" s="199"/>
      <c r="C788" s="198"/>
      <c r="D788" s="198"/>
      <c r="E788" s="198"/>
      <c r="F788" s="199"/>
      <c r="G788" s="199"/>
      <c r="H788" s="198"/>
      <c r="I788" s="198"/>
      <c r="J788" s="198"/>
      <c r="K788" s="198"/>
      <c r="L788" s="198"/>
      <c r="M788" s="198"/>
      <c r="N788" s="198"/>
      <c r="O788" s="198"/>
      <c r="P788" s="198"/>
      <c r="Q788" s="198"/>
      <c r="R788" s="198"/>
      <c r="S788" s="198"/>
      <c r="T788" s="198"/>
      <c r="U788" s="198"/>
      <c r="V788" s="198"/>
      <c r="W788" s="198"/>
      <c r="X788" s="198"/>
    </row>
    <row r="789">
      <c r="A789" s="198"/>
      <c r="B789" s="199"/>
      <c r="C789" s="198"/>
      <c r="D789" s="198"/>
      <c r="E789" s="198"/>
      <c r="F789" s="199"/>
      <c r="G789" s="199"/>
      <c r="H789" s="198"/>
      <c r="I789" s="198"/>
      <c r="J789" s="198"/>
      <c r="K789" s="198"/>
      <c r="L789" s="198"/>
      <c r="M789" s="198"/>
      <c r="N789" s="198"/>
      <c r="O789" s="198"/>
      <c r="P789" s="198"/>
      <c r="Q789" s="198"/>
      <c r="R789" s="198"/>
      <c r="S789" s="198"/>
      <c r="T789" s="198"/>
      <c r="U789" s="198"/>
      <c r="V789" s="198"/>
      <c r="W789" s="198"/>
      <c r="X789" s="198"/>
    </row>
    <row r="790">
      <c r="A790" s="198"/>
      <c r="B790" s="199"/>
      <c r="C790" s="198"/>
      <c r="D790" s="198"/>
      <c r="E790" s="198"/>
      <c r="F790" s="199"/>
      <c r="G790" s="199"/>
      <c r="H790" s="198"/>
      <c r="I790" s="198"/>
      <c r="J790" s="198"/>
      <c r="K790" s="198"/>
      <c r="L790" s="198"/>
      <c r="M790" s="198"/>
      <c r="N790" s="198"/>
      <c r="O790" s="198"/>
      <c r="P790" s="198"/>
      <c r="Q790" s="198"/>
      <c r="R790" s="198"/>
      <c r="S790" s="198"/>
      <c r="T790" s="198"/>
      <c r="U790" s="198"/>
      <c r="V790" s="198"/>
      <c r="W790" s="198"/>
      <c r="X790" s="198"/>
    </row>
    <row r="791">
      <c r="A791" s="198"/>
      <c r="B791" s="199"/>
      <c r="C791" s="198"/>
      <c r="D791" s="198"/>
      <c r="E791" s="198"/>
      <c r="F791" s="199"/>
      <c r="G791" s="199"/>
      <c r="H791" s="198"/>
      <c r="I791" s="198"/>
      <c r="J791" s="198"/>
      <c r="K791" s="198"/>
      <c r="L791" s="198"/>
      <c r="M791" s="198"/>
      <c r="N791" s="198"/>
      <c r="O791" s="198"/>
      <c r="P791" s="198"/>
      <c r="Q791" s="198"/>
      <c r="R791" s="198"/>
      <c r="S791" s="198"/>
      <c r="T791" s="198"/>
      <c r="U791" s="198"/>
      <c r="V791" s="198"/>
      <c r="W791" s="198"/>
      <c r="X791" s="198"/>
    </row>
    <row r="792">
      <c r="A792" s="198"/>
      <c r="B792" s="199"/>
      <c r="C792" s="198"/>
      <c r="D792" s="198"/>
      <c r="E792" s="198"/>
      <c r="F792" s="199"/>
      <c r="G792" s="199"/>
      <c r="H792" s="198"/>
      <c r="I792" s="198"/>
      <c r="J792" s="198"/>
      <c r="K792" s="198"/>
      <c r="L792" s="198"/>
      <c r="M792" s="198"/>
      <c r="N792" s="198"/>
      <c r="O792" s="198"/>
      <c r="P792" s="198"/>
      <c r="Q792" s="198"/>
      <c r="R792" s="198"/>
      <c r="S792" s="198"/>
      <c r="T792" s="198"/>
      <c r="U792" s="198"/>
      <c r="V792" s="198"/>
      <c r="W792" s="198"/>
      <c r="X792" s="198"/>
    </row>
    <row r="793">
      <c r="A793" s="198"/>
      <c r="B793" s="199"/>
      <c r="C793" s="198"/>
      <c r="D793" s="198"/>
      <c r="E793" s="198"/>
      <c r="F793" s="199"/>
      <c r="G793" s="199"/>
      <c r="H793" s="198"/>
      <c r="I793" s="198"/>
      <c r="J793" s="198"/>
      <c r="K793" s="198"/>
      <c r="L793" s="198"/>
      <c r="M793" s="198"/>
      <c r="N793" s="198"/>
      <c r="O793" s="198"/>
      <c r="P793" s="198"/>
      <c r="Q793" s="198"/>
      <c r="R793" s="198"/>
      <c r="S793" s="198"/>
      <c r="T793" s="198"/>
      <c r="U793" s="198"/>
      <c r="V793" s="198"/>
      <c r="W793" s="198"/>
      <c r="X793" s="198"/>
    </row>
    <row r="794">
      <c r="A794" s="198"/>
      <c r="B794" s="199"/>
      <c r="C794" s="198"/>
      <c r="D794" s="198"/>
      <c r="E794" s="198"/>
      <c r="F794" s="199"/>
      <c r="G794" s="199"/>
      <c r="H794" s="198"/>
      <c r="I794" s="198"/>
      <c r="J794" s="198"/>
      <c r="K794" s="198"/>
      <c r="L794" s="198"/>
      <c r="M794" s="198"/>
      <c r="N794" s="198"/>
      <c r="O794" s="198"/>
      <c r="P794" s="198"/>
      <c r="Q794" s="198"/>
      <c r="R794" s="198"/>
      <c r="S794" s="198"/>
      <c r="T794" s="198"/>
      <c r="U794" s="198"/>
      <c r="V794" s="198"/>
      <c r="W794" s="198"/>
      <c r="X794" s="198"/>
    </row>
    <row r="795">
      <c r="A795" s="198"/>
      <c r="B795" s="199"/>
      <c r="C795" s="198"/>
      <c r="D795" s="198"/>
      <c r="E795" s="198"/>
      <c r="F795" s="199"/>
      <c r="G795" s="199"/>
      <c r="H795" s="198"/>
      <c r="I795" s="198"/>
      <c r="J795" s="198"/>
      <c r="K795" s="198"/>
      <c r="L795" s="198"/>
      <c r="M795" s="198"/>
      <c r="N795" s="198"/>
      <c r="O795" s="198"/>
      <c r="P795" s="198"/>
      <c r="Q795" s="198"/>
      <c r="R795" s="198"/>
      <c r="S795" s="198"/>
      <c r="T795" s="198"/>
      <c r="U795" s="198"/>
      <c r="V795" s="198"/>
      <c r="W795" s="198"/>
      <c r="X795" s="198"/>
    </row>
    <row r="796">
      <c r="A796" s="198"/>
      <c r="B796" s="199"/>
      <c r="C796" s="198"/>
      <c r="D796" s="198"/>
      <c r="E796" s="198"/>
      <c r="F796" s="199"/>
      <c r="G796" s="199"/>
      <c r="H796" s="198"/>
      <c r="I796" s="198"/>
      <c r="J796" s="198"/>
      <c r="K796" s="198"/>
      <c r="L796" s="198"/>
      <c r="M796" s="198"/>
      <c r="N796" s="198"/>
      <c r="O796" s="198"/>
      <c r="P796" s="198"/>
      <c r="Q796" s="198"/>
      <c r="R796" s="198"/>
      <c r="S796" s="198"/>
      <c r="T796" s="198"/>
      <c r="U796" s="198"/>
      <c r="V796" s="198"/>
      <c r="W796" s="198"/>
      <c r="X796" s="198"/>
    </row>
    <row r="797">
      <c r="A797" s="198"/>
      <c r="B797" s="199"/>
      <c r="C797" s="198"/>
      <c r="D797" s="198"/>
      <c r="E797" s="198"/>
      <c r="F797" s="199"/>
      <c r="G797" s="199"/>
      <c r="H797" s="198"/>
      <c r="I797" s="198"/>
      <c r="J797" s="198"/>
      <c r="K797" s="198"/>
      <c r="L797" s="198"/>
      <c r="M797" s="198"/>
      <c r="N797" s="198"/>
      <c r="O797" s="198"/>
      <c r="P797" s="198"/>
      <c r="Q797" s="198"/>
      <c r="R797" s="198"/>
      <c r="S797" s="198"/>
      <c r="T797" s="198"/>
      <c r="U797" s="198"/>
      <c r="V797" s="198"/>
      <c r="W797" s="198"/>
      <c r="X797" s="198"/>
    </row>
    <row r="798">
      <c r="A798" s="198"/>
      <c r="B798" s="199"/>
      <c r="C798" s="198"/>
      <c r="D798" s="198"/>
      <c r="E798" s="198"/>
      <c r="F798" s="199"/>
      <c r="G798" s="199"/>
      <c r="H798" s="198"/>
      <c r="I798" s="198"/>
      <c r="J798" s="198"/>
      <c r="K798" s="198"/>
      <c r="L798" s="198"/>
      <c r="M798" s="198"/>
      <c r="N798" s="198"/>
      <c r="O798" s="198"/>
      <c r="P798" s="198"/>
      <c r="Q798" s="198"/>
      <c r="R798" s="198"/>
      <c r="S798" s="198"/>
      <c r="T798" s="198"/>
      <c r="U798" s="198"/>
      <c r="V798" s="198"/>
      <c r="W798" s="198"/>
      <c r="X798" s="198"/>
    </row>
    <row r="799">
      <c r="A799" s="198"/>
      <c r="B799" s="199"/>
      <c r="C799" s="198"/>
      <c r="D799" s="198"/>
      <c r="E799" s="198"/>
      <c r="F799" s="199"/>
      <c r="G799" s="199"/>
      <c r="H799" s="198"/>
      <c r="I799" s="198"/>
      <c r="J799" s="198"/>
      <c r="K799" s="198"/>
      <c r="L799" s="198"/>
      <c r="M799" s="198"/>
      <c r="N799" s="198"/>
      <c r="O799" s="198"/>
      <c r="P799" s="198"/>
      <c r="Q799" s="198"/>
      <c r="R799" s="198"/>
      <c r="S799" s="198"/>
      <c r="T799" s="198"/>
      <c r="U799" s="198"/>
      <c r="V799" s="198"/>
      <c r="W799" s="198"/>
      <c r="X799" s="198"/>
    </row>
    <row r="800">
      <c r="A800" s="198"/>
      <c r="B800" s="199"/>
      <c r="C800" s="198"/>
      <c r="D800" s="198"/>
      <c r="E800" s="198"/>
      <c r="F800" s="199"/>
      <c r="G800" s="199"/>
      <c r="H800" s="198"/>
      <c r="I800" s="198"/>
      <c r="J800" s="198"/>
      <c r="K800" s="198"/>
      <c r="L800" s="198"/>
      <c r="M800" s="198"/>
      <c r="N800" s="198"/>
      <c r="O800" s="198"/>
      <c r="P800" s="198"/>
      <c r="Q800" s="198"/>
      <c r="R800" s="198"/>
      <c r="S800" s="198"/>
      <c r="T800" s="198"/>
      <c r="U800" s="198"/>
      <c r="V800" s="198"/>
      <c r="W800" s="198"/>
      <c r="X800" s="198"/>
    </row>
    <row r="801">
      <c r="A801" s="198"/>
      <c r="B801" s="199"/>
      <c r="C801" s="198"/>
      <c r="D801" s="198"/>
      <c r="E801" s="198"/>
      <c r="F801" s="199"/>
      <c r="G801" s="199"/>
      <c r="H801" s="198"/>
      <c r="I801" s="198"/>
      <c r="J801" s="198"/>
      <c r="K801" s="198"/>
      <c r="L801" s="198"/>
      <c r="M801" s="198"/>
      <c r="N801" s="198"/>
      <c r="O801" s="198"/>
      <c r="P801" s="198"/>
      <c r="Q801" s="198"/>
      <c r="R801" s="198"/>
      <c r="S801" s="198"/>
      <c r="T801" s="198"/>
      <c r="U801" s="198"/>
      <c r="V801" s="198"/>
      <c r="W801" s="198"/>
      <c r="X801" s="198"/>
    </row>
    <row r="802">
      <c r="A802" s="198"/>
      <c r="B802" s="199"/>
      <c r="C802" s="198"/>
      <c r="D802" s="198"/>
      <c r="E802" s="198"/>
      <c r="F802" s="199"/>
      <c r="G802" s="199"/>
      <c r="H802" s="198"/>
      <c r="I802" s="198"/>
      <c r="J802" s="198"/>
      <c r="K802" s="198"/>
      <c r="L802" s="198"/>
      <c r="M802" s="198"/>
      <c r="N802" s="198"/>
      <c r="O802" s="198"/>
      <c r="P802" s="198"/>
      <c r="Q802" s="198"/>
      <c r="R802" s="198"/>
      <c r="S802" s="198"/>
      <c r="T802" s="198"/>
      <c r="U802" s="198"/>
      <c r="V802" s="198"/>
      <c r="W802" s="198"/>
      <c r="X802" s="198"/>
    </row>
    <row r="803">
      <c r="A803" s="198"/>
      <c r="B803" s="199"/>
      <c r="C803" s="198"/>
      <c r="D803" s="198"/>
      <c r="E803" s="198"/>
      <c r="F803" s="199"/>
      <c r="G803" s="199"/>
      <c r="H803" s="198"/>
      <c r="I803" s="198"/>
      <c r="J803" s="198"/>
      <c r="K803" s="198"/>
      <c r="L803" s="198"/>
      <c r="M803" s="198"/>
      <c r="N803" s="198"/>
      <c r="O803" s="198"/>
      <c r="P803" s="198"/>
      <c r="Q803" s="198"/>
      <c r="R803" s="198"/>
      <c r="S803" s="198"/>
      <c r="T803" s="198"/>
      <c r="U803" s="198"/>
      <c r="V803" s="198"/>
      <c r="W803" s="198"/>
      <c r="X803" s="198"/>
    </row>
    <row r="804">
      <c r="A804" s="198"/>
      <c r="B804" s="199"/>
      <c r="C804" s="198"/>
      <c r="D804" s="198"/>
      <c r="E804" s="198"/>
      <c r="F804" s="199"/>
      <c r="G804" s="199"/>
      <c r="H804" s="198"/>
      <c r="I804" s="198"/>
      <c r="J804" s="198"/>
      <c r="K804" s="198"/>
      <c r="L804" s="198"/>
      <c r="M804" s="198"/>
      <c r="N804" s="198"/>
      <c r="O804" s="198"/>
      <c r="P804" s="198"/>
      <c r="Q804" s="198"/>
      <c r="R804" s="198"/>
      <c r="S804" s="198"/>
      <c r="T804" s="198"/>
      <c r="U804" s="198"/>
      <c r="V804" s="198"/>
      <c r="W804" s="198"/>
      <c r="X804" s="198"/>
    </row>
    <row r="805">
      <c r="A805" s="198"/>
      <c r="B805" s="199"/>
      <c r="C805" s="198"/>
      <c r="D805" s="198"/>
      <c r="E805" s="198"/>
      <c r="F805" s="199"/>
      <c r="G805" s="199"/>
      <c r="H805" s="198"/>
      <c r="I805" s="198"/>
      <c r="J805" s="198"/>
      <c r="K805" s="198"/>
      <c r="L805" s="198"/>
      <c r="M805" s="198"/>
      <c r="N805" s="198"/>
      <c r="O805" s="198"/>
      <c r="P805" s="198"/>
      <c r="Q805" s="198"/>
      <c r="R805" s="198"/>
      <c r="S805" s="198"/>
      <c r="T805" s="198"/>
      <c r="U805" s="198"/>
      <c r="V805" s="198"/>
      <c r="W805" s="198"/>
      <c r="X805" s="198"/>
    </row>
    <row r="806">
      <c r="A806" s="198"/>
      <c r="B806" s="199"/>
      <c r="C806" s="198"/>
      <c r="D806" s="198"/>
      <c r="E806" s="198"/>
      <c r="F806" s="199"/>
      <c r="G806" s="199"/>
      <c r="H806" s="198"/>
      <c r="I806" s="198"/>
      <c r="J806" s="198"/>
      <c r="K806" s="198"/>
      <c r="L806" s="198"/>
      <c r="M806" s="198"/>
      <c r="N806" s="198"/>
      <c r="O806" s="198"/>
      <c r="P806" s="198"/>
      <c r="Q806" s="198"/>
      <c r="R806" s="198"/>
      <c r="S806" s="198"/>
      <c r="T806" s="198"/>
      <c r="U806" s="198"/>
      <c r="V806" s="198"/>
      <c r="W806" s="198"/>
      <c r="X806" s="198"/>
    </row>
    <row r="807">
      <c r="A807" s="198"/>
      <c r="B807" s="199"/>
      <c r="C807" s="198"/>
      <c r="D807" s="198"/>
      <c r="E807" s="198"/>
      <c r="F807" s="199"/>
      <c r="G807" s="199"/>
      <c r="H807" s="198"/>
      <c r="I807" s="198"/>
      <c r="J807" s="198"/>
      <c r="K807" s="198"/>
      <c r="L807" s="198"/>
      <c r="M807" s="198"/>
      <c r="N807" s="198"/>
      <c r="O807" s="198"/>
      <c r="P807" s="198"/>
      <c r="Q807" s="198"/>
      <c r="R807" s="198"/>
      <c r="S807" s="198"/>
      <c r="T807" s="198"/>
      <c r="U807" s="198"/>
      <c r="V807" s="198"/>
      <c r="W807" s="198"/>
      <c r="X807" s="198"/>
    </row>
    <row r="808">
      <c r="A808" s="198"/>
      <c r="B808" s="199"/>
      <c r="C808" s="198"/>
      <c r="D808" s="198"/>
      <c r="E808" s="198"/>
      <c r="F808" s="199"/>
      <c r="G808" s="199"/>
      <c r="H808" s="198"/>
      <c r="I808" s="198"/>
      <c r="J808" s="198"/>
      <c r="K808" s="198"/>
      <c r="L808" s="198"/>
      <c r="M808" s="198"/>
      <c r="N808" s="198"/>
      <c r="O808" s="198"/>
      <c r="P808" s="198"/>
      <c r="Q808" s="198"/>
      <c r="R808" s="198"/>
      <c r="S808" s="198"/>
      <c r="T808" s="198"/>
      <c r="U808" s="198"/>
      <c r="V808" s="198"/>
      <c r="W808" s="198"/>
      <c r="X808" s="198"/>
    </row>
    <row r="809">
      <c r="A809" s="198"/>
      <c r="B809" s="199"/>
      <c r="C809" s="198"/>
      <c r="D809" s="198"/>
      <c r="E809" s="198"/>
      <c r="F809" s="199"/>
      <c r="G809" s="199"/>
      <c r="H809" s="198"/>
      <c r="I809" s="198"/>
      <c r="J809" s="198"/>
      <c r="K809" s="198"/>
      <c r="L809" s="198"/>
      <c r="M809" s="198"/>
      <c r="N809" s="198"/>
      <c r="O809" s="198"/>
      <c r="P809" s="198"/>
      <c r="Q809" s="198"/>
      <c r="R809" s="198"/>
      <c r="S809" s="198"/>
      <c r="T809" s="198"/>
      <c r="U809" s="198"/>
      <c r="V809" s="198"/>
      <c r="W809" s="198"/>
      <c r="X809" s="198"/>
    </row>
    <row r="810">
      <c r="A810" s="198"/>
      <c r="B810" s="199"/>
      <c r="C810" s="198"/>
      <c r="D810" s="198"/>
      <c r="E810" s="198"/>
      <c r="F810" s="199"/>
      <c r="G810" s="199"/>
      <c r="H810" s="198"/>
      <c r="I810" s="198"/>
      <c r="J810" s="198"/>
      <c r="K810" s="198"/>
      <c r="L810" s="198"/>
      <c r="M810" s="198"/>
      <c r="N810" s="198"/>
      <c r="O810" s="198"/>
      <c r="P810" s="198"/>
      <c r="Q810" s="198"/>
      <c r="R810" s="198"/>
      <c r="S810" s="198"/>
      <c r="T810" s="198"/>
      <c r="U810" s="198"/>
      <c r="V810" s="198"/>
      <c r="W810" s="198"/>
      <c r="X810" s="198"/>
    </row>
    <row r="811">
      <c r="A811" s="198"/>
      <c r="B811" s="199"/>
      <c r="C811" s="198"/>
      <c r="D811" s="198"/>
      <c r="E811" s="198"/>
      <c r="F811" s="199"/>
      <c r="G811" s="199"/>
      <c r="H811" s="198"/>
      <c r="I811" s="198"/>
      <c r="J811" s="198"/>
      <c r="K811" s="198"/>
      <c r="L811" s="198"/>
      <c r="M811" s="198"/>
      <c r="N811" s="198"/>
      <c r="O811" s="198"/>
      <c r="P811" s="198"/>
      <c r="Q811" s="198"/>
      <c r="R811" s="198"/>
      <c r="S811" s="198"/>
      <c r="T811" s="198"/>
      <c r="U811" s="198"/>
      <c r="V811" s="198"/>
      <c r="W811" s="198"/>
      <c r="X811" s="198"/>
    </row>
    <row r="812">
      <c r="A812" s="198"/>
      <c r="B812" s="199"/>
      <c r="C812" s="198"/>
      <c r="D812" s="198"/>
      <c r="E812" s="198"/>
      <c r="F812" s="199"/>
      <c r="G812" s="199"/>
      <c r="H812" s="198"/>
      <c r="I812" s="198"/>
      <c r="J812" s="198"/>
      <c r="K812" s="198"/>
      <c r="L812" s="198"/>
      <c r="M812" s="198"/>
      <c r="N812" s="198"/>
      <c r="O812" s="198"/>
      <c r="P812" s="198"/>
      <c r="Q812" s="198"/>
      <c r="R812" s="198"/>
      <c r="S812" s="198"/>
      <c r="T812" s="198"/>
      <c r="U812" s="198"/>
      <c r="V812" s="198"/>
      <c r="W812" s="198"/>
      <c r="X812" s="198"/>
    </row>
    <row r="813">
      <c r="A813" s="198"/>
      <c r="B813" s="199"/>
      <c r="C813" s="198"/>
      <c r="D813" s="198"/>
      <c r="E813" s="198"/>
      <c r="F813" s="199"/>
      <c r="G813" s="199"/>
      <c r="H813" s="198"/>
      <c r="I813" s="198"/>
      <c r="J813" s="198"/>
      <c r="K813" s="198"/>
      <c r="L813" s="198"/>
      <c r="M813" s="198"/>
      <c r="N813" s="198"/>
      <c r="O813" s="198"/>
      <c r="P813" s="198"/>
      <c r="Q813" s="198"/>
      <c r="R813" s="198"/>
      <c r="S813" s="198"/>
      <c r="T813" s="198"/>
      <c r="U813" s="198"/>
      <c r="V813" s="198"/>
      <c r="W813" s="198"/>
      <c r="X813" s="198"/>
    </row>
    <row r="814">
      <c r="A814" s="198"/>
      <c r="B814" s="199"/>
      <c r="C814" s="198"/>
      <c r="D814" s="198"/>
      <c r="E814" s="198"/>
      <c r="F814" s="199"/>
      <c r="G814" s="199"/>
      <c r="H814" s="198"/>
      <c r="I814" s="198"/>
      <c r="J814" s="198"/>
      <c r="K814" s="198"/>
      <c r="L814" s="198"/>
      <c r="M814" s="198"/>
      <c r="N814" s="198"/>
      <c r="O814" s="198"/>
      <c r="P814" s="198"/>
      <c r="Q814" s="198"/>
      <c r="R814" s="198"/>
      <c r="S814" s="198"/>
      <c r="T814" s="198"/>
      <c r="U814" s="198"/>
      <c r="V814" s="198"/>
      <c r="W814" s="198"/>
      <c r="X814" s="198"/>
    </row>
    <row r="815">
      <c r="A815" s="198"/>
      <c r="B815" s="199"/>
      <c r="C815" s="198"/>
      <c r="D815" s="198"/>
      <c r="E815" s="198"/>
      <c r="F815" s="199"/>
      <c r="G815" s="199"/>
      <c r="H815" s="198"/>
      <c r="I815" s="198"/>
      <c r="J815" s="198"/>
      <c r="K815" s="198"/>
      <c r="L815" s="198"/>
      <c r="M815" s="198"/>
      <c r="N815" s="198"/>
      <c r="O815" s="198"/>
      <c r="P815" s="198"/>
      <c r="Q815" s="198"/>
      <c r="R815" s="198"/>
      <c r="S815" s="198"/>
      <c r="T815" s="198"/>
      <c r="U815" s="198"/>
      <c r="V815" s="198"/>
      <c r="W815" s="198"/>
      <c r="X815" s="198"/>
    </row>
    <row r="816">
      <c r="A816" s="198"/>
      <c r="B816" s="199"/>
      <c r="C816" s="198"/>
      <c r="D816" s="198"/>
      <c r="E816" s="198"/>
      <c r="F816" s="199"/>
      <c r="G816" s="199"/>
      <c r="H816" s="198"/>
      <c r="I816" s="198"/>
      <c r="J816" s="198"/>
      <c r="K816" s="198"/>
      <c r="L816" s="198"/>
      <c r="M816" s="198"/>
      <c r="N816" s="198"/>
      <c r="O816" s="198"/>
      <c r="P816" s="198"/>
      <c r="Q816" s="198"/>
      <c r="R816" s="198"/>
      <c r="S816" s="198"/>
      <c r="T816" s="198"/>
      <c r="U816" s="198"/>
      <c r="V816" s="198"/>
      <c r="W816" s="198"/>
      <c r="X816" s="198"/>
    </row>
    <row r="817">
      <c r="A817" s="198"/>
      <c r="B817" s="199"/>
      <c r="C817" s="198"/>
      <c r="D817" s="198"/>
      <c r="E817" s="198"/>
      <c r="F817" s="199"/>
      <c r="G817" s="199"/>
      <c r="H817" s="198"/>
      <c r="I817" s="198"/>
      <c r="J817" s="198"/>
      <c r="K817" s="198"/>
      <c r="L817" s="198"/>
      <c r="M817" s="198"/>
      <c r="N817" s="198"/>
      <c r="O817" s="198"/>
      <c r="P817" s="198"/>
      <c r="Q817" s="198"/>
      <c r="R817" s="198"/>
      <c r="S817" s="198"/>
      <c r="T817" s="198"/>
      <c r="U817" s="198"/>
      <c r="V817" s="198"/>
      <c r="W817" s="198"/>
      <c r="X817" s="198"/>
    </row>
    <row r="818">
      <c r="A818" s="198"/>
      <c r="B818" s="199"/>
      <c r="C818" s="198"/>
      <c r="D818" s="198"/>
      <c r="E818" s="198"/>
      <c r="F818" s="199"/>
      <c r="G818" s="199"/>
      <c r="H818" s="198"/>
      <c r="I818" s="198"/>
      <c r="J818" s="198"/>
      <c r="K818" s="198"/>
      <c r="L818" s="198"/>
      <c r="M818" s="198"/>
      <c r="N818" s="198"/>
      <c r="O818" s="198"/>
      <c r="P818" s="198"/>
      <c r="Q818" s="198"/>
      <c r="R818" s="198"/>
      <c r="S818" s="198"/>
      <c r="T818" s="198"/>
      <c r="U818" s="198"/>
      <c r="V818" s="198"/>
      <c r="W818" s="198"/>
      <c r="X818" s="198"/>
    </row>
    <row r="819">
      <c r="A819" s="198"/>
      <c r="B819" s="199"/>
      <c r="C819" s="198"/>
      <c r="D819" s="198"/>
      <c r="E819" s="198"/>
      <c r="F819" s="199"/>
      <c r="G819" s="199"/>
      <c r="H819" s="198"/>
      <c r="I819" s="198"/>
      <c r="J819" s="198"/>
      <c r="K819" s="198"/>
      <c r="L819" s="198"/>
      <c r="M819" s="198"/>
      <c r="N819" s="198"/>
      <c r="O819" s="198"/>
      <c r="P819" s="198"/>
      <c r="Q819" s="198"/>
      <c r="R819" s="198"/>
      <c r="S819" s="198"/>
      <c r="T819" s="198"/>
      <c r="U819" s="198"/>
      <c r="V819" s="198"/>
      <c r="W819" s="198"/>
      <c r="X819" s="198"/>
    </row>
    <row r="820">
      <c r="A820" s="198"/>
      <c r="B820" s="199"/>
      <c r="C820" s="198"/>
      <c r="D820" s="198"/>
      <c r="E820" s="198"/>
      <c r="F820" s="199"/>
      <c r="G820" s="199"/>
      <c r="H820" s="198"/>
      <c r="I820" s="198"/>
      <c r="J820" s="198"/>
      <c r="K820" s="198"/>
      <c r="L820" s="198"/>
      <c r="M820" s="198"/>
      <c r="N820" s="198"/>
      <c r="O820" s="198"/>
      <c r="P820" s="198"/>
      <c r="Q820" s="198"/>
      <c r="R820" s="198"/>
      <c r="S820" s="198"/>
      <c r="T820" s="198"/>
      <c r="U820" s="198"/>
      <c r="V820" s="198"/>
      <c r="W820" s="198"/>
      <c r="X820" s="198"/>
    </row>
    <row r="821">
      <c r="A821" s="198"/>
      <c r="B821" s="199"/>
      <c r="C821" s="198"/>
      <c r="D821" s="198"/>
      <c r="E821" s="198"/>
      <c r="F821" s="199"/>
      <c r="G821" s="199"/>
      <c r="H821" s="198"/>
      <c r="I821" s="198"/>
      <c r="J821" s="198"/>
      <c r="K821" s="198"/>
      <c r="L821" s="198"/>
      <c r="M821" s="198"/>
      <c r="N821" s="198"/>
      <c r="O821" s="198"/>
      <c r="P821" s="198"/>
      <c r="Q821" s="198"/>
      <c r="R821" s="198"/>
      <c r="S821" s="198"/>
      <c r="T821" s="198"/>
      <c r="U821" s="198"/>
      <c r="V821" s="198"/>
      <c r="W821" s="198"/>
      <c r="X821" s="198"/>
    </row>
    <row r="822">
      <c r="A822" s="198"/>
      <c r="B822" s="199"/>
      <c r="C822" s="198"/>
      <c r="D822" s="198"/>
      <c r="E822" s="198"/>
      <c r="F822" s="199"/>
      <c r="G822" s="199"/>
      <c r="H822" s="198"/>
      <c r="I822" s="198"/>
      <c r="J822" s="198"/>
      <c r="K822" s="198"/>
      <c r="L822" s="198"/>
      <c r="M822" s="198"/>
      <c r="N822" s="198"/>
      <c r="O822" s="198"/>
      <c r="P822" s="198"/>
      <c r="Q822" s="198"/>
      <c r="R822" s="198"/>
      <c r="S822" s="198"/>
      <c r="T822" s="198"/>
      <c r="U822" s="198"/>
      <c r="V822" s="198"/>
      <c r="W822" s="198"/>
      <c r="X822" s="198"/>
    </row>
    <row r="823">
      <c r="A823" s="198"/>
      <c r="B823" s="199"/>
      <c r="C823" s="198"/>
      <c r="D823" s="198"/>
      <c r="E823" s="198"/>
      <c r="F823" s="199"/>
      <c r="G823" s="199"/>
      <c r="H823" s="198"/>
      <c r="I823" s="198"/>
      <c r="J823" s="198"/>
      <c r="K823" s="198"/>
      <c r="L823" s="198"/>
      <c r="M823" s="198"/>
      <c r="N823" s="198"/>
      <c r="O823" s="198"/>
      <c r="P823" s="198"/>
      <c r="Q823" s="198"/>
      <c r="R823" s="198"/>
      <c r="S823" s="198"/>
      <c r="T823" s="198"/>
      <c r="U823" s="198"/>
      <c r="V823" s="198"/>
      <c r="W823" s="198"/>
      <c r="X823" s="198"/>
    </row>
    <row r="824">
      <c r="A824" s="198"/>
      <c r="B824" s="199"/>
      <c r="C824" s="198"/>
      <c r="D824" s="198"/>
      <c r="E824" s="198"/>
      <c r="F824" s="199"/>
      <c r="G824" s="199"/>
      <c r="H824" s="198"/>
      <c r="I824" s="198"/>
      <c r="J824" s="198"/>
      <c r="K824" s="198"/>
      <c r="L824" s="198"/>
      <c r="M824" s="198"/>
      <c r="N824" s="198"/>
      <c r="O824" s="198"/>
      <c r="P824" s="198"/>
      <c r="Q824" s="198"/>
      <c r="R824" s="198"/>
      <c r="S824" s="198"/>
      <c r="T824" s="198"/>
      <c r="U824" s="198"/>
      <c r="V824" s="198"/>
      <c r="W824" s="198"/>
      <c r="X824" s="198"/>
    </row>
    <row r="825">
      <c r="A825" s="198"/>
      <c r="B825" s="199"/>
      <c r="C825" s="198"/>
      <c r="D825" s="198"/>
      <c r="E825" s="198"/>
      <c r="F825" s="199"/>
      <c r="G825" s="199"/>
      <c r="H825" s="198"/>
      <c r="I825" s="198"/>
      <c r="J825" s="198"/>
      <c r="K825" s="198"/>
      <c r="L825" s="198"/>
      <c r="M825" s="198"/>
      <c r="N825" s="198"/>
      <c r="O825" s="198"/>
      <c r="P825" s="198"/>
      <c r="Q825" s="198"/>
      <c r="R825" s="198"/>
      <c r="S825" s="198"/>
      <c r="T825" s="198"/>
      <c r="U825" s="198"/>
      <c r="V825" s="198"/>
      <c r="W825" s="198"/>
      <c r="X825" s="198"/>
    </row>
    <row r="826">
      <c r="A826" s="198"/>
      <c r="B826" s="199"/>
      <c r="C826" s="198"/>
      <c r="D826" s="198"/>
      <c r="E826" s="198"/>
      <c r="F826" s="199"/>
      <c r="G826" s="199"/>
      <c r="H826" s="198"/>
      <c r="I826" s="198"/>
      <c r="J826" s="198"/>
      <c r="K826" s="198"/>
      <c r="L826" s="198"/>
      <c r="M826" s="198"/>
      <c r="N826" s="198"/>
      <c r="O826" s="198"/>
      <c r="P826" s="198"/>
      <c r="Q826" s="198"/>
      <c r="R826" s="198"/>
      <c r="S826" s="198"/>
      <c r="T826" s="198"/>
      <c r="U826" s="198"/>
      <c r="V826" s="198"/>
      <c r="W826" s="198"/>
      <c r="X826" s="198"/>
    </row>
    <row r="827">
      <c r="A827" s="198"/>
      <c r="B827" s="199"/>
      <c r="C827" s="198"/>
      <c r="D827" s="198"/>
      <c r="E827" s="198"/>
      <c r="F827" s="199"/>
      <c r="G827" s="199"/>
      <c r="H827" s="198"/>
      <c r="I827" s="198"/>
      <c r="J827" s="198"/>
      <c r="K827" s="198"/>
      <c r="L827" s="198"/>
      <c r="M827" s="198"/>
      <c r="N827" s="198"/>
      <c r="O827" s="198"/>
      <c r="P827" s="198"/>
      <c r="Q827" s="198"/>
      <c r="R827" s="198"/>
      <c r="S827" s="198"/>
      <c r="T827" s="198"/>
      <c r="U827" s="198"/>
      <c r="V827" s="198"/>
      <c r="W827" s="198"/>
      <c r="X827" s="198"/>
    </row>
    <row r="828">
      <c r="A828" s="198"/>
      <c r="B828" s="199"/>
      <c r="C828" s="198"/>
      <c r="D828" s="198"/>
      <c r="E828" s="198"/>
      <c r="F828" s="199"/>
      <c r="G828" s="199"/>
      <c r="H828" s="198"/>
      <c r="I828" s="198"/>
      <c r="J828" s="198"/>
      <c r="K828" s="198"/>
      <c r="L828" s="198"/>
      <c r="M828" s="198"/>
      <c r="N828" s="198"/>
      <c r="O828" s="198"/>
      <c r="P828" s="198"/>
      <c r="Q828" s="198"/>
      <c r="R828" s="198"/>
      <c r="S828" s="198"/>
      <c r="T828" s="198"/>
      <c r="U828" s="198"/>
      <c r="V828" s="198"/>
      <c r="W828" s="198"/>
      <c r="X828" s="198"/>
    </row>
    <row r="829">
      <c r="A829" s="198"/>
      <c r="B829" s="199"/>
      <c r="C829" s="198"/>
      <c r="D829" s="198"/>
      <c r="E829" s="198"/>
      <c r="F829" s="199"/>
      <c r="G829" s="199"/>
      <c r="H829" s="198"/>
      <c r="I829" s="198"/>
      <c r="J829" s="198"/>
      <c r="K829" s="198"/>
      <c r="L829" s="198"/>
      <c r="M829" s="198"/>
      <c r="N829" s="198"/>
      <c r="O829" s="198"/>
      <c r="P829" s="198"/>
      <c r="Q829" s="198"/>
      <c r="R829" s="198"/>
      <c r="S829" s="198"/>
      <c r="T829" s="198"/>
      <c r="U829" s="198"/>
      <c r="V829" s="198"/>
      <c r="W829" s="198"/>
      <c r="X829" s="198"/>
    </row>
    <row r="830">
      <c r="A830" s="198"/>
      <c r="B830" s="199"/>
      <c r="C830" s="198"/>
      <c r="D830" s="198"/>
      <c r="E830" s="198"/>
      <c r="F830" s="199"/>
      <c r="G830" s="199"/>
      <c r="H830" s="198"/>
      <c r="I830" s="198"/>
      <c r="J830" s="198"/>
      <c r="K830" s="198"/>
      <c r="L830" s="198"/>
      <c r="M830" s="198"/>
      <c r="N830" s="198"/>
      <c r="O830" s="198"/>
      <c r="P830" s="198"/>
      <c r="Q830" s="198"/>
      <c r="R830" s="198"/>
      <c r="S830" s="198"/>
      <c r="T830" s="198"/>
      <c r="U830" s="198"/>
      <c r="V830" s="198"/>
      <c r="W830" s="198"/>
      <c r="X830" s="198"/>
    </row>
    <row r="831">
      <c r="A831" s="198"/>
      <c r="B831" s="199"/>
      <c r="C831" s="198"/>
      <c r="D831" s="198"/>
      <c r="E831" s="198"/>
      <c r="F831" s="199"/>
      <c r="G831" s="199"/>
      <c r="H831" s="198"/>
      <c r="I831" s="198"/>
      <c r="J831" s="198"/>
      <c r="K831" s="198"/>
      <c r="L831" s="198"/>
      <c r="M831" s="198"/>
      <c r="N831" s="198"/>
      <c r="O831" s="198"/>
      <c r="P831" s="198"/>
      <c r="Q831" s="198"/>
      <c r="R831" s="198"/>
      <c r="S831" s="198"/>
      <c r="T831" s="198"/>
      <c r="U831" s="198"/>
      <c r="V831" s="198"/>
      <c r="W831" s="198"/>
      <c r="X831" s="198"/>
    </row>
    <row r="832">
      <c r="A832" s="198"/>
      <c r="B832" s="199"/>
      <c r="C832" s="198"/>
      <c r="D832" s="198"/>
      <c r="E832" s="198"/>
      <c r="F832" s="199"/>
      <c r="G832" s="199"/>
      <c r="H832" s="198"/>
      <c r="I832" s="198"/>
      <c r="J832" s="198"/>
      <c r="K832" s="198"/>
      <c r="L832" s="198"/>
      <c r="M832" s="198"/>
      <c r="N832" s="198"/>
      <c r="O832" s="198"/>
      <c r="P832" s="198"/>
      <c r="Q832" s="198"/>
      <c r="R832" s="198"/>
      <c r="S832" s="198"/>
      <c r="T832" s="198"/>
      <c r="U832" s="198"/>
      <c r="V832" s="198"/>
      <c r="W832" s="198"/>
      <c r="X832" s="198"/>
    </row>
    <row r="833">
      <c r="A833" s="198"/>
      <c r="B833" s="199"/>
      <c r="C833" s="198"/>
      <c r="D833" s="198"/>
      <c r="E833" s="198"/>
      <c r="F833" s="199"/>
      <c r="G833" s="199"/>
      <c r="H833" s="198"/>
      <c r="I833" s="198"/>
      <c r="J833" s="198"/>
      <c r="K833" s="198"/>
      <c r="L833" s="198"/>
      <c r="M833" s="198"/>
      <c r="N833" s="198"/>
      <c r="O833" s="198"/>
      <c r="P833" s="198"/>
      <c r="Q833" s="198"/>
      <c r="R833" s="198"/>
      <c r="S833" s="198"/>
      <c r="T833" s="198"/>
      <c r="U833" s="198"/>
      <c r="V833" s="198"/>
      <c r="W833" s="198"/>
      <c r="X833" s="198"/>
    </row>
    <row r="834">
      <c r="A834" s="198"/>
      <c r="B834" s="199"/>
      <c r="C834" s="198"/>
      <c r="D834" s="198"/>
      <c r="E834" s="198"/>
      <c r="F834" s="199"/>
      <c r="G834" s="199"/>
      <c r="H834" s="198"/>
      <c r="I834" s="198"/>
      <c r="J834" s="198"/>
      <c r="K834" s="198"/>
      <c r="L834" s="198"/>
      <c r="M834" s="198"/>
      <c r="N834" s="198"/>
      <c r="O834" s="198"/>
      <c r="P834" s="198"/>
      <c r="Q834" s="198"/>
      <c r="R834" s="198"/>
      <c r="S834" s="198"/>
      <c r="T834" s="198"/>
      <c r="U834" s="198"/>
      <c r="V834" s="198"/>
      <c r="W834" s="198"/>
      <c r="X834" s="198"/>
    </row>
    <row r="835">
      <c r="A835" s="198"/>
      <c r="B835" s="199"/>
      <c r="C835" s="198"/>
      <c r="D835" s="198"/>
      <c r="E835" s="198"/>
      <c r="F835" s="199"/>
      <c r="G835" s="199"/>
      <c r="H835" s="198"/>
      <c r="I835" s="198"/>
      <c r="J835" s="198"/>
      <c r="K835" s="198"/>
      <c r="L835" s="198"/>
      <c r="M835" s="198"/>
      <c r="N835" s="198"/>
      <c r="O835" s="198"/>
      <c r="P835" s="198"/>
      <c r="Q835" s="198"/>
      <c r="R835" s="198"/>
      <c r="S835" s="198"/>
      <c r="T835" s="198"/>
      <c r="U835" s="198"/>
      <c r="V835" s="198"/>
      <c r="W835" s="198"/>
      <c r="X835" s="198"/>
    </row>
    <row r="836">
      <c r="A836" s="198"/>
      <c r="B836" s="199"/>
      <c r="C836" s="198"/>
      <c r="D836" s="198"/>
      <c r="E836" s="198"/>
      <c r="F836" s="199"/>
      <c r="G836" s="199"/>
      <c r="H836" s="198"/>
      <c r="I836" s="198"/>
      <c r="J836" s="198"/>
      <c r="K836" s="198"/>
      <c r="L836" s="198"/>
      <c r="M836" s="198"/>
      <c r="N836" s="198"/>
      <c r="O836" s="198"/>
      <c r="P836" s="198"/>
      <c r="Q836" s="198"/>
      <c r="R836" s="198"/>
      <c r="S836" s="198"/>
      <c r="T836" s="198"/>
      <c r="U836" s="198"/>
      <c r="V836" s="198"/>
      <c r="W836" s="198"/>
      <c r="X836" s="198"/>
    </row>
    <row r="837">
      <c r="A837" s="198"/>
      <c r="B837" s="199"/>
      <c r="C837" s="198"/>
      <c r="D837" s="198"/>
      <c r="E837" s="198"/>
      <c r="F837" s="199"/>
      <c r="G837" s="199"/>
      <c r="H837" s="198"/>
      <c r="I837" s="198"/>
      <c r="J837" s="198"/>
      <c r="K837" s="198"/>
      <c r="L837" s="198"/>
      <c r="M837" s="198"/>
      <c r="N837" s="198"/>
      <c r="O837" s="198"/>
      <c r="P837" s="198"/>
      <c r="Q837" s="198"/>
      <c r="R837" s="198"/>
      <c r="S837" s="198"/>
      <c r="T837" s="198"/>
      <c r="U837" s="198"/>
      <c r="V837" s="198"/>
      <c r="W837" s="198"/>
      <c r="X837" s="198"/>
    </row>
    <row r="838">
      <c r="A838" s="198"/>
      <c r="B838" s="199"/>
      <c r="C838" s="198"/>
      <c r="D838" s="198"/>
      <c r="E838" s="198"/>
      <c r="F838" s="199"/>
      <c r="G838" s="199"/>
      <c r="H838" s="198"/>
      <c r="I838" s="198"/>
      <c r="J838" s="198"/>
      <c r="K838" s="198"/>
      <c r="L838" s="198"/>
      <c r="M838" s="198"/>
      <c r="N838" s="198"/>
      <c r="O838" s="198"/>
      <c r="P838" s="198"/>
      <c r="Q838" s="198"/>
      <c r="R838" s="198"/>
      <c r="S838" s="198"/>
      <c r="T838" s="198"/>
      <c r="U838" s="198"/>
      <c r="V838" s="198"/>
      <c r="W838" s="198"/>
      <c r="X838" s="198"/>
    </row>
    <row r="839">
      <c r="A839" s="198"/>
      <c r="B839" s="199"/>
      <c r="C839" s="198"/>
      <c r="D839" s="198"/>
      <c r="E839" s="198"/>
      <c r="F839" s="199"/>
      <c r="G839" s="199"/>
      <c r="H839" s="198"/>
      <c r="I839" s="198"/>
      <c r="J839" s="198"/>
      <c r="K839" s="198"/>
      <c r="L839" s="198"/>
      <c r="M839" s="198"/>
      <c r="N839" s="198"/>
      <c r="O839" s="198"/>
      <c r="P839" s="198"/>
      <c r="Q839" s="198"/>
      <c r="R839" s="198"/>
      <c r="S839" s="198"/>
      <c r="T839" s="198"/>
      <c r="U839" s="198"/>
      <c r="V839" s="198"/>
      <c r="W839" s="198"/>
      <c r="X839" s="198"/>
    </row>
    <row r="840">
      <c r="A840" s="198"/>
      <c r="B840" s="199"/>
      <c r="C840" s="198"/>
      <c r="D840" s="198"/>
      <c r="E840" s="198"/>
      <c r="F840" s="199"/>
      <c r="G840" s="199"/>
      <c r="H840" s="198"/>
      <c r="I840" s="198"/>
      <c r="J840" s="198"/>
      <c r="K840" s="198"/>
      <c r="L840" s="198"/>
      <c r="M840" s="198"/>
      <c r="N840" s="198"/>
      <c r="O840" s="198"/>
      <c r="P840" s="198"/>
      <c r="Q840" s="198"/>
      <c r="R840" s="198"/>
      <c r="S840" s="198"/>
      <c r="T840" s="198"/>
      <c r="U840" s="198"/>
      <c r="V840" s="198"/>
      <c r="W840" s="198"/>
      <c r="X840" s="198"/>
    </row>
    <row r="841">
      <c r="A841" s="198"/>
      <c r="B841" s="199"/>
      <c r="C841" s="198"/>
      <c r="D841" s="198"/>
      <c r="E841" s="198"/>
      <c r="F841" s="199"/>
      <c r="G841" s="199"/>
      <c r="H841" s="198"/>
      <c r="I841" s="198"/>
      <c r="J841" s="198"/>
      <c r="K841" s="198"/>
      <c r="L841" s="198"/>
      <c r="M841" s="198"/>
      <c r="N841" s="198"/>
      <c r="O841" s="198"/>
      <c r="P841" s="198"/>
      <c r="Q841" s="198"/>
      <c r="R841" s="198"/>
      <c r="S841" s="198"/>
      <c r="T841" s="198"/>
      <c r="U841" s="198"/>
      <c r="V841" s="198"/>
      <c r="W841" s="198"/>
      <c r="X841" s="198"/>
    </row>
    <row r="842">
      <c r="A842" s="198"/>
      <c r="B842" s="199"/>
      <c r="C842" s="198"/>
      <c r="D842" s="198"/>
      <c r="E842" s="198"/>
      <c r="F842" s="199"/>
      <c r="G842" s="199"/>
      <c r="H842" s="198"/>
      <c r="I842" s="198"/>
      <c r="J842" s="198"/>
      <c r="K842" s="198"/>
      <c r="L842" s="198"/>
      <c r="M842" s="198"/>
      <c r="N842" s="198"/>
      <c r="O842" s="198"/>
      <c r="P842" s="198"/>
      <c r="Q842" s="198"/>
      <c r="R842" s="198"/>
      <c r="S842" s="198"/>
      <c r="T842" s="198"/>
      <c r="U842" s="198"/>
      <c r="V842" s="198"/>
      <c r="W842" s="198"/>
      <c r="X842" s="198"/>
    </row>
    <row r="843">
      <c r="A843" s="198"/>
      <c r="B843" s="199"/>
      <c r="C843" s="198"/>
      <c r="D843" s="198"/>
      <c r="E843" s="198"/>
      <c r="F843" s="199"/>
      <c r="G843" s="199"/>
      <c r="H843" s="198"/>
      <c r="I843" s="198"/>
      <c r="J843" s="198"/>
      <c r="K843" s="198"/>
      <c r="L843" s="198"/>
      <c r="M843" s="198"/>
      <c r="N843" s="198"/>
      <c r="O843" s="198"/>
      <c r="P843" s="198"/>
      <c r="Q843" s="198"/>
      <c r="R843" s="198"/>
      <c r="S843" s="198"/>
      <c r="T843" s="198"/>
      <c r="U843" s="198"/>
      <c r="V843" s="198"/>
      <c r="W843" s="198"/>
      <c r="X843" s="198"/>
    </row>
    <row r="844">
      <c r="A844" s="198"/>
      <c r="B844" s="199"/>
      <c r="C844" s="198"/>
      <c r="D844" s="198"/>
      <c r="E844" s="198"/>
      <c r="F844" s="199"/>
      <c r="G844" s="199"/>
      <c r="H844" s="198"/>
      <c r="I844" s="198"/>
      <c r="J844" s="198"/>
      <c r="K844" s="198"/>
      <c r="L844" s="198"/>
      <c r="M844" s="198"/>
      <c r="N844" s="198"/>
      <c r="O844" s="198"/>
      <c r="P844" s="198"/>
      <c r="Q844" s="198"/>
      <c r="R844" s="198"/>
      <c r="S844" s="198"/>
      <c r="T844" s="198"/>
      <c r="U844" s="198"/>
      <c r="V844" s="198"/>
      <c r="W844" s="198"/>
      <c r="X844" s="198"/>
    </row>
    <row r="845">
      <c r="A845" s="198"/>
      <c r="B845" s="199"/>
      <c r="C845" s="198"/>
      <c r="D845" s="198"/>
      <c r="E845" s="198"/>
      <c r="F845" s="199"/>
      <c r="G845" s="199"/>
      <c r="H845" s="198"/>
      <c r="I845" s="198"/>
      <c r="J845" s="198"/>
      <c r="K845" s="198"/>
      <c r="L845" s="198"/>
      <c r="M845" s="198"/>
      <c r="N845" s="198"/>
      <c r="O845" s="198"/>
      <c r="P845" s="198"/>
      <c r="Q845" s="198"/>
      <c r="R845" s="198"/>
      <c r="S845" s="198"/>
      <c r="T845" s="198"/>
      <c r="U845" s="198"/>
      <c r="V845" s="198"/>
      <c r="W845" s="198"/>
      <c r="X845" s="198"/>
    </row>
    <row r="846">
      <c r="A846" s="198"/>
      <c r="B846" s="199"/>
      <c r="C846" s="198"/>
      <c r="D846" s="198"/>
      <c r="E846" s="198"/>
      <c r="F846" s="199"/>
      <c r="G846" s="199"/>
      <c r="H846" s="198"/>
      <c r="I846" s="198"/>
      <c r="J846" s="198"/>
      <c r="K846" s="198"/>
      <c r="L846" s="198"/>
      <c r="M846" s="198"/>
      <c r="N846" s="198"/>
      <c r="O846" s="198"/>
      <c r="P846" s="198"/>
      <c r="Q846" s="198"/>
      <c r="R846" s="198"/>
      <c r="S846" s="198"/>
      <c r="T846" s="198"/>
      <c r="U846" s="198"/>
      <c r="V846" s="198"/>
      <c r="W846" s="198"/>
      <c r="X846" s="198"/>
    </row>
    <row r="847">
      <c r="A847" s="198"/>
      <c r="B847" s="199"/>
      <c r="C847" s="198"/>
      <c r="D847" s="198"/>
      <c r="E847" s="198"/>
      <c r="F847" s="199"/>
      <c r="G847" s="199"/>
      <c r="H847" s="198"/>
      <c r="I847" s="198"/>
      <c r="J847" s="198"/>
      <c r="K847" s="198"/>
      <c r="L847" s="198"/>
      <c r="M847" s="198"/>
      <c r="N847" s="198"/>
      <c r="O847" s="198"/>
      <c r="P847" s="198"/>
      <c r="Q847" s="198"/>
      <c r="R847" s="198"/>
      <c r="S847" s="198"/>
      <c r="T847" s="198"/>
      <c r="U847" s="198"/>
      <c r="V847" s="198"/>
      <c r="W847" s="198"/>
      <c r="X847" s="198"/>
    </row>
    <row r="848">
      <c r="A848" s="198"/>
      <c r="B848" s="199"/>
      <c r="C848" s="198"/>
      <c r="D848" s="198"/>
      <c r="E848" s="198"/>
      <c r="F848" s="199"/>
      <c r="G848" s="199"/>
      <c r="H848" s="198"/>
      <c r="I848" s="198"/>
      <c r="J848" s="198"/>
      <c r="K848" s="198"/>
      <c r="L848" s="198"/>
      <c r="M848" s="198"/>
      <c r="N848" s="198"/>
      <c r="O848" s="198"/>
      <c r="P848" s="198"/>
      <c r="Q848" s="198"/>
      <c r="R848" s="198"/>
      <c r="S848" s="198"/>
      <c r="T848" s="198"/>
      <c r="U848" s="198"/>
      <c r="V848" s="198"/>
      <c r="W848" s="198"/>
      <c r="X848" s="198"/>
    </row>
    <row r="849">
      <c r="A849" s="198"/>
      <c r="B849" s="199"/>
      <c r="C849" s="198"/>
      <c r="D849" s="198"/>
      <c r="E849" s="198"/>
      <c r="F849" s="199"/>
      <c r="G849" s="199"/>
      <c r="H849" s="198"/>
      <c r="I849" s="198"/>
      <c r="J849" s="198"/>
      <c r="K849" s="198"/>
      <c r="L849" s="198"/>
      <c r="M849" s="198"/>
      <c r="N849" s="198"/>
      <c r="O849" s="198"/>
      <c r="P849" s="198"/>
      <c r="Q849" s="198"/>
      <c r="R849" s="198"/>
      <c r="S849" s="198"/>
      <c r="T849" s="198"/>
      <c r="U849" s="198"/>
      <c r="V849" s="198"/>
      <c r="W849" s="198"/>
      <c r="X849" s="198"/>
    </row>
    <row r="850">
      <c r="A850" s="198"/>
      <c r="B850" s="199"/>
      <c r="C850" s="198"/>
      <c r="D850" s="198"/>
      <c r="E850" s="198"/>
      <c r="F850" s="199"/>
      <c r="G850" s="199"/>
      <c r="H850" s="198"/>
      <c r="I850" s="198"/>
      <c r="J850" s="198"/>
      <c r="K850" s="198"/>
      <c r="L850" s="198"/>
      <c r="M850" s="198"/>
      <c r="N850" s="198"/>
      <c r="O850" s="198"/>
      <c r="P850" s="198"/>
      <c r="Q850" s="198"/>
      <c r="R850" s="198"/>
      <c r="S850" s="198"/>
      <c r="T850" s="198"/>
      <c r="U850" s="198"/>
      <c r="V850" s="198"/>
      <c r="W850" s="198"/>
      <c r="X850" s="198"/>
    </row>
    <row r="851">
      <c r="A851" s="198"/>
      <c r="B851" s="199"/>
      <c r="C851" s="198"/>
      <c r="D851" s="198"/>
      <c r="E851" s="198"/>
      <c r="F851" s="199"/>
      <c r="G851" s="199"/>
      <c r="H851" s="198"/>
      <c r="I851" s="198"/>
      <c r="J851" s="198"/>
      <c r="K851" s="198"/>
      <c r="L851" s="198"/>
      <c r="M851" s="198"/>
      <c r="N851" s="198"/>
      <c r="O851" s="198"/>
      <c r="P851" s="198"/>
      <c r="Q851" s="198"/>
      <c r="R851" s="198"/>
      <c r="S851" s="198"/>
      <c r="T851" s="198"/>
      <c r="U851" s="198"/>
      <c r="V851" s="198"/>
      <c r="W851" s="198"/>
      <c r="X851" s="198"/>
    </row>
    <row r="852">
      <c r="A852" s="198"/>
      <c r="B852" s="199"/>
      <c r="C852" s="198"/>
      <c r="D852" s="198"/>
      <c r="E852" s="198"/>
      <c r="F852" s="199"/>
      <c r="G852" s="199"/>
      <c r="H852" s="198"/>
      <c r="I852" s="198"/>
      <c r="J852" s="198"/>
      <c r="K852" s="198"/>
      <c r="L852" s="198"/>
      <c r="M852" s="198"/>
      <c r="N852" s="198"/>
      <c r="O852" s="198"/>
      <c r="P852" s="198"/>
      <c r="Q852" s="198"/>
      <c r="R852" s="198"/>
      <c r="S852" s="198"/>
      <c r="T852" s="198"/>
      <c r="U852" s="198"/>
      <c r="V852" s="198"/>
      <c r="W852" s="198"/>
      <c r="X852" s="198"/>
    </row>
    <row r="853">
      <c r="A853" s="198"/>
      <c r="B853" s="199"/>
      <c r="C853" s="198"/>
      <c r="D853" s="198"/>
      <c r="E853" s="198"/>
      <c r="F853" s="199"/>
      <c r="G853" s="199"/>
      <c r="H853" s="198"/>
      <c r="I853" s="198"/>
      <c r="J853" s="198"/>
      <c r="K853" s="198"/>
      <c r="L853" s="198"/>
      <c r="M853" s="198"/>
      <c r="N853" s="198"/>
      <c r="O853" s="198"/>
      <c r="P853" s="198"/>
      <c r="Q853" s="198"/>
      <c r="R853" s="198"/>
      <c r="S853" s="198"/>
      <c r="T853" s="198"/>
      <c r="U853" s="198"/>
      <c r="V853" s="198"/>
      <c r="W853" s="198"/>
      <c r="X853" s="198"/>
    </row>
    <row r="854">
      <c r="A854" s="198"/>
      <c r="B854" s="199"/>
      <c r="C854" s="198"/>
      <c r="D854" s="198"/>
      <c r="E854" s="198"/>
      <c r="F854" s="199"/>
      <c r="G854" s="199"/>
      <c r="H854" s="198"/>
      <c r="I854" s="198"/>
      <c r="J854" s="198"/>
      <c r="K854" s="198"/>
      <c r="L854" s="198"/>
      <c r="M854" s="198"/>
      <c r="N854" s="198"/>
      <c r="O854" s="198"/>
      <c r="P854" s="198"/>
      <c r="Q854" s="198"/>
      <c r="R854" s="198"/>
      <c r="S854" s="198"/>
      <c r="T854" s="198"/>
      <c r="U854" s="198"/>
      <c r="V854" s="198"/>
      <c r="W854" s="198"/>
      <c r="X854" s="198"/>
    </row>
    <row r="855">
      <c r="A855" s="198"/>
      <c r="B855" s="199"/>
      <c r="C855" s="198"/>
      <c r="D855" s="198"/>
      <c r="E855" s="198"/>
      <c r="F855" s="199"/>
      <c r="G855" s="199"/>
      <c r="H855" s="198"/>
      <c r="I855" s="198"/>
      <c r="J855" s="198"/>
      <c r="K855" s="198"/>
      <c r="L855" s="198"/>
      <c r="M855" s="198"/>
      <c r="N855" s="198"/>
      <c r="O855" s="198"/>
      <c r="P855" s="198"/>
      <c r="Q855" s="198"/>
      <c r="R855" s="198"/>
      <c r="S855" s="198"/>
      <c r="T855" s="198"/>
      <c r="U855" s="198"/>
      <c r="V855" s="198"/>
      <c r="W855" s="198"/>
      <c r="X855" s="198"/>
    </row>
    <row r="856">
      <c r="A856" s="198"/>
      <c r="B856" s="199"/>
      <c r="C856" s="198"/>
      <c r="D856" s="198"/>
      <c r="E856" s="198"/>
      <c r="F856" s="199"/>
      <c r="G856" s="199"/>
      <c r="H856" s="198"/>
      <c r="I856" s="198"/>
      <c r="J856" s="198"/>
      <c r="K856" s="198"/>
      <c r="L856" s="198"/>
      <c r="M856" s="198"/>
      <c r="N856" s="198"/>
      <c r="O856" s="198"/>
      <c r="P856" s="198"/>
      <c r="Q856" s="198"/>
      <c r="R856" s="198"/>
      <c r="S856" s="198"/>
      <c r="T856" s="198"/>
      <c r="U856" s="198"/>
      <c r="V856" s="198"/>
      <c r="W856" s="198"/>
      <c r="X856" s="198"/>
    </row>
    <row r="857">
      <c r="A857" s="198"/>
      <c r="B857" s="199"/>
      <c r="C857" s="198"/>
      <c r="D857" s="198"/>
      <c r="E857" s="198"/>
      <c r="F857" s="199"/>
      <c r="G857" s="199"/>
      <c r="H857" s="198"/>
      <c r="I857" s="198"/>
      <c r="J857" s="198"/>
      <c r="K857" s="198"/>
      <c r="L857" s="198"/>
      <c r="M857" s="198"/>
      <c r="N857" s="198"/>
      <c r="O857" s="198"/>
      <c r="P857" s="198"/>
      <c r="Q857" s="198"/>
      <c r="R857" s="198"/>
      <c r="S857" s="198"/>
      <c r="T857" s="198"/>
      <c r="U857" s="198"/>
      <c r="V857" s="198"/>
      <c r="W857" s="198"/>
      <c r="X857" s="198"/>
    </row>
    <row r="858">
      <c r="A858" s="198"/>
      <c r="B858" s="199"/>
      <c r="C858" s="198"/>
      <c r="D858" s="198"/>
      <c r="E858" s="198"/>
      <c r="F858" s="199"/>
      <c r="G858" s="199"/>
      <c r="H858" s="198"/>
      <c r="I858" s="198"/>
      <c r="J858" s="198"/>
      <c r="K858" s="198"/>
      <c r="L858" s="198"/>
      <c r="M858" s="198"/>
      <c r="N858" s="198"/>
      <c r="O858" s="198"/>
      <c r="P858" s="198"/>
      <c r="Q858" s="198"/>
      <c r="R858" s="198"/>
      <c r="S858" s="198"/>
      <c r="T858" s="198"/>
      <c r="U858" s="198"/>
      <c r="V858" s="198"/>
      <c r="W858" s="198"/>
      <c r="X858" s="198"/>
    </row>
    <row r="859">
      <c r="A859" s="198"/>
      <c r="B859" s="199"/>
      <c r="C859" s="198"/>
      <c r="D859" s="198"/>
      <c r="E859" s="198"/>
      <c r="F859" s="199"/>
      <c r="G859" s="199"/>
      <c r="H859" s="198"/>
      <c r="I859" s="198"/>
      <c r="J859" s="198"/>
      <c r="K859" s="198"/>
      <c r="L859" s="198"/>
      <c r="M859" s="198"/>
      <c r="N859" s="198"/>
      <c r="O859" s="198"/>
      <c r="P859" s="198"/>
      <c r="Q859" s="198"/>
      <c r="R859" s="198"/>
      <c r="S859" s="198"/>
      <c r="T859" s="198"/>
      <c r="U859" s="198"/>
      <c r="V859" s="198"/>
      <c r="W859" s="198"/>
      <c r="X859" s="198"/>
    </row>
    <row r="860">
      <c r="A860" s="198"/>
      <c r="B860" s="199"/>
      <c r="C860" s="198"/>
      <c r="D860" s="198"/>
      <c r="E860" s="198"/>
      <c r="F860" s="199"/>
      <c r="G860" s="199"/>
      <c r="H860" s="198"/>
      <c r="I860" s="198"/>
      <c r="J860" s="198"/>
      <c r="K860" s="198"/>
      <c r="L860" s="198"/>
      <c r="M860" s="198"/>
      <c r="N860" s="198"/>
      <c r="O860" s="198"/>
      <c r="P860" s="198"/>
      <c r="Q860" s="198"/>
      <c r="R860" s="198"/>
      <c r="S860" s="198"/>
      <c r="T860" s="198"/>
      <c r="U860" s="198"/>
      <c r="V860" s="198"/>
      <c r="W860" s="198"/>
      <c r="X860" s="198"/>
    </row>
    <row r="861">
      <c r="A861" s="198"/>
      <c r="B861" s="199"/>
      <c r="C861" s="198"/>
      <c r="D861" s="198"/>
      <c r="E861" s="198"/>
      <c r="F861" s="199"/>
      <c r="G861" s="199"/>
      <c r="H861" s="198"/>
      <c r="I861" s="198"/>
      <c r="J861" s="198"/>
      <c r="K861" s="198"/>
      <c r="L861" s="198"/>
      <c r="M861" s="198"/>
      <c r="N861" s="198"/>
      <c r="O861" s="198"/>
      <c r="P861" s="198"/>
      <c r="Q861" s="198"/>
      <c r="R861" s="198"/>
      <c r="S861" s="198"/>
      <c r="T861" s="198"/>
      <c r="U861" s="198"/>
      <c r="V861" s="198"/>
      <c r="W861" s="198"/>
      <c r="X861" s="198"/>
    </row>
    <row r="862">
      <c r="A862" s="198"/>
      <c r="B862" s="199"/>
      <c r="C862" s="198"/>
      <c r="D862" s="198"/>
      <c r="E862" s="198"/>
      <c r="F862" s="199"/>
      <c r="G862" s="199"/>
      <c r="H862" s="198"/>
      <c r="I862" s="198"/>
      <c r="J862" s="198"/>
      <c r="K862" s="198"/>
      <c r="L862" s="198"/>
      <c r="M862" s="198"/>
      <c r="N862" s="198"/>
      <c r="O862" s="198"/>
      <c r="P862" s="198"/>
      <c r="Q862" s="198"/>
      <c r="R862" s="198"/>
      <c r="S862" s="198"/>
      <c r="T862" s="198"/>
      <c r="U862" s="198"/>
      <c r="V862" s="198"/>
      <c r="W862" s="198"/>
      <c r="X862" s="198"/>
    </row>
    <row r="863">
      <c r="A863" s="198"/>
      <c r="B863" s="199"/>
      <c r="C863" s="198"/>
      <c r="D863" s="198"/>
      <c r="E863" s="198"/>
      <c r="F863" s="199"/>
      <c r="G863" s="199"/>
      <c r="H863" s="198"/>
      <c r="I863" s="198"/>
      <c r="J863" s="198"/>
      <c r="K863" s="198"/>
      <c r="L863" s="198"/>
      <c r="M863" s="198"/>
      <c r="N863" s="198"/>
      <c r="O863" s="198"/>
      <c r="P863" s="198"/>
      <c r="Q863" s="198"/>
      <c r="R863" s="198"/>
      <c r="S863" s="198"/>
      <c r="T863" s="198"/>
      <c r="U863" s="198"/>
      <c r="V863" s="198"/>
      <c r="W863" s="198"/>
      <c r="X863" s="198"/>
    </row>
    <row r="864">
      <c r="A864" s="198"/>
      <c r="B864" s="199"/>
      <c r="C864" s="198"/>
      <c r="D864" s="198"/>
      <c r="E864" s="198"/>
      <c r="F864" s="199"/>
      <c r="G864" s="199"/>
      <c r="H864" s="198"/>
      <c r="I864" s="198"/>
      <c r="J864" s="198"/>
      <c r="K864" s="198"/>
      <c r="L864" s="198"/>
      <c r="M864" s="198"/>
      <c r="N864" s="198"/>
      <c r="O864" s="198"/>
      <c r="P864" s="198"/>
      <c r="Q864" s="198"/>
      <c r="R864" s="198"/>
      <c r="S864" s="198"/>
      <c r="T864" s="198"/>
      <c r="U864" s="198"/>
      <c r="V864" s="198"/>
      <c r="W864" s="198"/>
      <c r="X864" s="198"/>
    </row>
    <row r="865">
      <c r="A865" s="198"/>
      <c r="B865" s="199"/>
      <c r="C865" s="198"/>
      <c r="D865" s="198"/>
      <c r="E865" s="198"/>
      <c r="F865" s="199"/>
      <c r="G865" s="199"/>
      <c r="H865" s="198"/>
      <c r="I865" s="198"/>
      <c r="J865" s="198"/>
      <c r="K865" s="198"/>
      <c r="L865" s="198"/>
      <c r="M865" s="198"/>
      <c r="N865" s="198"/>
      <c r="O865" s="198"/>
      <c r="P865" s="198"/>
      <c r="Q865" s="198"/>
      <c r="R865" s="198"/>
      <c r="S865" s="198"/>
      <c r="T865" s="198"/>
      <c r="U865" s="198"/>
      <c r="V865" s="198"/>
      <c r="W865" s="198"/>
      <c r="X865" s="198"/>
    </row>
    <row r="866">
      <c r="A866" s="198"/>
      <c r="B866" s="199"/>
      <c r="C866" s="198"/>
      <c r="D866" s="198"/>
      <c r="E866" s="198"/>
      <c r="F866" s="199"/>
      <c r="G866" s="199"/>
      <c r="H866" s="198"/>
      <c r="I866" s="198"/>
      <c r="J866" s="198"/>
      <c r="K866" s="198"/>
      <c r="L866" s="198"/>
      <c r="M866" s="198"/>
      <c r="N866" s="198"/>
      <c r="O866" s="198"/>
      <c r="P866" s="198"/>
      <c r="Q866" s="198"/>
      <c r="R866" s="198"/>
      <c r="S866" s="198"/>
      <c r="T866" s="198"/>
      <c r="U866" s="198"/>
      <c r="V866" s="198"/>
      <c r="W866" s="198"/>
      <c r="X866" s="198"/>
    </row>
    <row r="867">
      <c r="A867" s="198"/>
      <c r="B867" s="199"/>
      <c r="C867" s="198"/>
      <c r="D867" s="198"/>
      <c r="E867" s="198"/>
      <c r="F867" s="199"/>
      <c r="G867" s="199"/>
      <c r="H867" s="198"/>
      <c r="I867" s="198"/>
      <c r="J867" s="198"/>
      <c r="K867" s="198"/>
      <c r="L867" s="198"/>
      <c r="M867" s="198"/>
      <c r="N867" s="198"/>
      <c r="O867" s="198"/>
      <c r="P867" s="198"/>
      <c r="Q867" s="198"/>
      <c r="R867" s="198"/>
      <c r="S867" s="198"/>
      <c r="T867" s="198"/>
      <c r="U867" s="198"/>
      <c r="V867" s="198"/>
      <c r="W867" s="198"/>
      <c r="X867" s="198"/>
    </row>
    <row r="868">
      <c r="A868" s="198"/>
      <c r="B868" s="199"/>
      <c r="C868" s="198"/>
      <c r="D868" s="198"/>
      <c r="E868" s="198"/>
      <c r="F868" s="199"/>
      <c r="G868" s="199"/>
      <c r="H868" s="198"/>
      <c r="I868" s="198"/>
      <c r="J868" s="198"/>
      <c r="K868" s="198"/>
      <c r="L868" s="198"/>
      <c r="M868" s="198"/>
      <c r="N868" s="198"/>
      <c r="O868" s="198"/>
      <c r="P868" s="198"/>
      <c r="Q868" s="198"/>
      <c r="R868" s="198"/>
      <c r="S868" s="198"/>
      <c r="T868" s="198"/>
      <c r="U868" s="198"/>
      <c r="V868" s="198"/>
      <c r="W868" s="198"/>
      <c r="X868" s="198"/>
    </row>
    <row r="869">
      <c r="A869" s="198"/>
      <c r="B869" s="199"/>
      <c r="C869" s="198"/>
      <c r="D869" s="198"/>
      <c r="E869" s="198"/>
      <c r="F869" s="199"/>
      <c r="G869" s="199"/>
      <c r="H869" s="198"/>
      <c r="I869" s="198"/>
      <c r="J869" s="198"/>
      <c r="K869" s="198"/>
      <c r="L869" s="198"/>
      <c r="M869" s="198"/>
      <c r="N869" s="198"/>
      <c r="O869" s="198"/>
      <c r="P869" s="198"/>
      <c r="Q869" s="198"/>
      <c r="R869" s="198"/>
      <c r="S869" s="198"/>
      <c r="T869" s="198"/>
      <c r="U869" s="198"/>
      <c r="V869" s="198"/>
      <c r="W869" s="198"/>
      <c r="X869" s="198"/>
    </row>
    <row r="870">
      <c r="A870" s="198"/>
      <c r="B870" s="199"/>
      <c r="C870" s="198"/>
      <c r="D870" s="198"/>
      <c r="E870" s="198"/>
      <c r="F870" s="199"/>
      <c r="G870" s="199"/>
      <c r="H870" s="198"/>
      <c r="I870" s="198"/>
      <c r="J870" s="198"/>
      <c r="K870" s="198"/>
      <c r="L870" s="198"/>
      <c r="M870" s="198"/>
      <c r="N870" s="198"/>
      <c r="O870" s="198"/>
      <c r="P870" s="198"/>
      <c r="Q870" s="198"/>
      <c r="R870" s="198"/>
      <c r="S870" s="198"/>
      <c r="T870" s="198"/>
      <c r="U870" s="198"/>
      <c r="V870" s="198"/>
      <c r="W870" s="198"/>
      <c r="X870" s="198"/>
    </row>
    <row r="871">
      <c r="A871" s="198"/>
      <c r="B871" s="199"/>
      <c r="C871" s="198"/>
      <c r="D871" s="198"/>
      <c r="E871" s="198"/>
      <c r="F871" s="199"/>
      <c r="G871" s="199"/>
      <c r="H871" s="198"/>
      <c r="I871" s="198"/>
      <c r="J871" s="198"/>
      <c r="K871" s="198"/>
      <c r="L871" s="198"/>
      <c r="M871" s="198"/>
      <c r="N871" s="198"/>
      <c r="O871" s="198"/>
      <c r="P871" s="198"/>
      <c r="Q871" s="198"/>
      <c r="R871" s="198"/>
      <c r="S871" s="198"/>
      <c r="T871" s="198"/>
      <c r="U871" s="198"/>
      <c r="V871" s="198"/>
      <c r="W871" s="198"/>
      <c r="X871" s="198"/>
    </row>
    <row r="872">
      <c r="A872" s="198"/>
      <c r="B872" s="199"/>
      <c r="C872" s="198"/>
      <c r="D872" s="198"/>
      <c r="E872" s="198"/>
      <c r="F872" s="199"/>
      <c r="G872" s="199"/>
      <c r="H872" s="198"/>
      <c r="I872" s="198"/>
      <c r="J872" s="198"/>
      <c r="K872" s="198"/>
      <c r="L872" s="198"/>
      <c r="M872" s="198"/>
      <c r="N872" s="198"/>
      <c r="O872" s="198"/>
      <c r="P872" s="198"/>
      <c r="Q872" s="198"/>
      <c r="R872" s="198"/>
      <c r="S872" s="198"/>
      <c r="T872" s="198"/>
      <c r="U872" s="198"/>
      <c r="V872" s="198"/>
      <c r="W872" s="198"/>
      <c r="X872" s="198"/>
    </row>
    <row r="873">
      <c r="A873" s="198"/>
      <c r="B873" s="199"/>
      <c r="C873" s="198"/>
      <c r="D873" s="198"/>
      <c r="E873" s="198"/>
      <c r="F873" s="199"/>
      <c r="G873" s="199"/>
      <c r="H873" s="198"/>
      <c r="I873" s="198"/>
      <c r="J873" s="198"/>
      <c r="K873" s="198"/>
      <c r="L873" s="198"/>
      <c r="M873" s="198"/>
      <c r="N873" s="198"/>
      <c r="O873" s="198"/>
      <c r="P873" s="198"/>
      <c r="Q873" s="198"/>
      <c r="R873" s="198"/>
      <c r="S873" s="198"/>
      <c r="T873" s="198"/>
      <c r="U873" s="198"/>
      <c r="V873" s="198"/>
      <c r="W873" s="198"/>
      <c r="X873" s="198"/>
    </row>
    <row r="874">
      <c r="A874" s="198"/>
      <c r="B874" s="199"/>
      <c r="C874" s="198"/>
      <c r="D874" s="198"/>
      <c r="E874" s="198"/>
      <c r="F874" s="199"/>
      <c r="G874" s="199"/>
      <c r="H874" s="198"/>
      <c r="I874" s="198"/>
      <c r="J874" s="198"/>
      <c r="K874" s="198"/>
      <c r="L874" s="198"/>
      <c r="M874" s="198"/>
      <c r="N874" s="198"/>
      <c r="O874" s="198"/>
      <c r="P874" s="198"/>
      <c r="Q874" s="198"/>
      <c r="R874" s="198"/>
      <c r="S874" s="198"/>
      <c r="T874" s="198"/>
      <c r="U874" s="198"/>
      <c r="V874" s="198"/>
      <c r="W874" s="198"/>
      <c r="X874" s="198"/>
    </row>
    <row r="875">
      <c r="A875" s="198"/>
      <c r="B875" s="199"/>
      <c r="C875" s="198"/>
      <c r="D875" s="198"/>
      <c r="E875" s="198"/>
      <c r="F875" s="199"/>
      <c r="G875" s="199"/>
      <c r="H875" s="198"/>
      <c r="I875" s="198"/>
      <c r="J875" s="198"/>
      <c r="K875" s="198"/>
      <c r="L875" s="198"/>
      <c r="M875" s="198"/>
      <c r="N875" s="198"/>
      <c r="O875" s="198"/>
      <c r="P875" s="198"/>
      <c r="Q875" s="198"/>
      <c r="R875" s="198"/>
      <c r="S875" s="198"/>
      <c r="T875" s="198"/>
      <c r="U875" s="198"/>
      <c r="V875" s="198"/>
      <c r="W875" s="198"/>
      <c r="X875" s="198"/>
    </row>
    <row r="876">
      <c r="A876" s="198"/>
      <c r="B876" s="199"/>
      <c r="C876" s="198"/>
      <c r="D876" s="198"/>
      <c r="E876" s="198"/>
      <c r="F876" s="199"/>
      <c r="G876" s="199"/>
      <c r="H876" s="198"/>
      <c r="I876" s="198"/>
      <c r="J876" s="198"/>
      <c r="K876" s="198"/>
      <c r="L876" s="198"/>
      <c r="M876" s="198"/>
      <c r="N876" s="198"/>
      <c r="O876" s="198"/>
      <c r="P876" s="198"/>
      <c r="Q876" s="198"/>
      <c r="R876" s="198"/>
      <c r="S876" s="198"/>
      <c r="T876" s="198"/>
      <c r="U876" s="198"/>
      <c r="V876" s="198"/>
      <c r="W876" s="198"/>
      <c r="X876" s="198"/>
    </row>
    <row r="877">
      <c r="A877" s="198"/>
      <c r="B877" s="199"/>
      <c r="C877" s="198"/>
      <c r="D877" s="198"/>
      <c r="E877" s="198"/>
      <c r="F877" s="199"/>
      <c r="G877" s="199"/>
      <c r="H877" s="198"/>
      <c r="I877" s="198"/>
      <c r="J877" s="198"/>
      <c r="K877" s="198"/>
      <c r="L877" s="198"/>
      <c r="M877" s="198"/>
      <c r="N877" s="198"/>
      <c r="O877" s="198"/>
      <c r="P877" s="198"/>
      <c r="Q877" s="198"/>
      <c r="R877" s="198"/>
      <c r="S877" s="198"/>
      <c r="T877" s="198"/>
      <c r="U877" s="198"/>
      <c r="V877" s="198"/>
      <c r="W877" s="198"/>
      <c r="X877" s="198"/>
    </row>
    <row r="878">
      <c r="A878" s="198"/>
      <c r="B878" s="199"/>
      <c r="C878" s="198"/>
      <c r="D878" s="198"/>
      <c r="E878" s="198"/>
      <c r="F878" s="199"/>
      <c r="G878" s="199"/>
      <c r="H878" s="198"/>
      <c r="I878" s="198"/>
      <c r="J878" s="198"/>
      <c r="K878" s="198"/>
      <c r="L878" s="198"/>
      <c r="M878" s="198"/>
      <c r="N878" s="198"/>
      <c r="O878" s="198"/>
      <c r="P878" s="198"/>
      <c r="Q878" s="198"/>
      <c r="R878" s="198"/>
      <c r="S878" s="198"/>
      <c r="T878" s="198"/>
      <c r="U878" s="198"/>
      <c r="V878" s="198"/>
      <c r="W878" s="198"/>
      <c r="X878" s="198"/>
    </row>
    <row r="879">
      <c r="A879" s="198"/>
      <c r="B879" s="199"/>
      <c r="C879" s="198"/>
      <c r="D879" s="198"/>
      <c r="E879" s="198"/>
      <c r="F879" s="199"/>
      <c r="G879" s="199"/>
      <c r="H879" s="198"/>
      <c r="I879" s="198"/>
      <c r="J879" s="198"/>
      <c r="K879" s="198"/>
      <c r="L879" s="198"/>
      <c r="M879" s="198"/>
      <c r="N879" s="198"/>
      <c r="O879" s="198"/>
      <c r="P879" s="198"/>
      <c r="Q879" s="198"/>
      <c r="R879" s="198"/>
      <c r="S879" s="198"/>
      <c r="T879" s="198"/>
      <c r="U879" s="198"/>
      <c r="V879" s="198"/>
      <c r="W879" s="198"/>
      <c r="X879" s="198"/>
    </row>
    <row r="880">
      <c r="A880" s="198"/>
      <c r="B880" s="199"/>
      <c r="C880" s="198"/>
      <c r="D880" s="198"/>
      <c r="E880" s="198"/>
      <c r="F880" s="199"/>
      <c r="G880" s="199"/>
      <c r="H880" s="198"/>
      <c r="I880" s="198"/>
      <c r="J880" s="198"/>
      <c r="K880" s="198"/>
      <c r="L880" s="198"/>
      <c r="M880" s="198"/>
      <c r="N880" s="198"/>
      <c r="O880" s="198"/>
      <c r="P880" s="198"/>
      <c r="Q880" s="198"/>
      <c r="R880" s="198"/>
      <c r="S880" s="198"/>
      <c r="T880" s="198"/>
      <c r="U880" s="198"/>
      <c r="V880" s="198"/>
      <c r="W880" s="198"/>
      <c r="X880" s="198"/>
    </row>
    <row r="881">
      <c r="A881" s="198"/>
      <c r="B881" s="199"/>
      <c r="C881" s="198"/>
      <c r="D881" s="198"/>
      <c r="E881" s="198"/>
      <c r="F881" s="199"/>
      <c r="G881" s="199"/>
      <c r="H881" s="198"/>
      <c r="I881" s="198"/>
      <c r="J881" s="198"/>
      <c r="K881" s="198"/>
      <c r="L881" s="198"/>
      <c r="M881" s="198"/>
      <c r="N881" s="198"/>
      <c r="O881" s="198"/>
      <c r="P881" s="198"/>
      <c r="Q881" s="198"/>
      <c r="R881" s="198"/>
      <c r="S881" s="198"/>
      <c r="T881" s="198"/>
      <c r="U881" s="198"/>
      <c r="V881" s="198"/>
      <c r="W881" s="198"/>
      <c r="X881" s="198"/>
    </row>
    <row r="882">
      <c r="A882" s="198"/>
      <c r="B882" s="199"/>
      <c r="C882" s="198"/>
      <c r="D882" s="198"/>
      <c r="E882" s="198"/>
      <c r="F882" s="199"/>
      <c r="G882" s="199"/>
      <c r="H882" s="198"/>
      <c r="I882" s="198"/>
      <c r="J882" s="198"/>
      <c r="K882" s="198"/>
      <c r="L882" s="198"/>
      <c r="M882" s="198"/>
      <c r="N882" s="198"/>
      <c r="O882" s="198"/>
      <c r="P882" s="198"/>
      <c r="Q882" s="198"/>
      <c r="R882" s="198"/>
      <c r="S882" s="198"/>
      <c r="T882" s="198"/>
      <c r="U882" s="198"/>
      <c r="V882" s="198"/>
      <c r="W882" s="198"/>
      <c r="X882" s="198"/>
    </row>
    <row r="883">
      <c r="A883" s="198"/>
      <c r="B883" s="199"/>
      <c r="C883" s="198"/>
      <c r="D883" s="198"/>
      <c r="E883" s="198"/>
      <c r="F883" s="199"/>
      <c r="G883" s="199"/>
      <c r="H883" s="198"/>
      <c r="I883" s="198"/>
      <c r="J883" s="198"/>
      <c r="K883" s="198"/>
      <c r="L883" s="198"/>
      <c r="M883" s="198"/>
      <c r="N883" s="198"/>
      <c r="O883" s="198"/>
      <c r="P883" s="198"/>
      <c r="Q883" s="198"/>
      <c r="R883" s="198"/>
      <c r="S883" s="198"/>
      <c r="T883" s="198"/>
      <c r="U883" s="198"/>
      <c r="V883" s="198"/>
      <c r="W883" s="198"/>
      <c r="X883" s="198"/>
    </row>
    <row r="884">
      <c r="A884" s="198"/>
      <c r="B884" s="199"/>
      <c r="C884" s="198"/>
      <c r="D884" s="198"/>
      <c r="E884" s="198"/>
      <c r="F884" s="199"/>
      <c r="G884" s="199"/>
      <c r="H884" s="198"/>
      <c r="I884" s="198"/>
      <c r="J884" s="198"/>
      <c r="K884" s="198"/>
      <c r="L884" s="198"/>
      <c r="M884" s="198"/>
      <c r="N884" s="198"/>
      <c r="O884" s="198"/>
      <c r="P884" s="198"/>
      <c r="Q884" s="198"/>
      <c r="R884" s="198"/>
      <c r="S884" s="198"/>
      <c r="T884" s="198"/>
      <c r="U884" s="198"/>
      <c r="V884" s="198"/>
      <c r="W884" s="198"/>
      <c r="X884" s="198"/>
    </row>
    <row r="885">
      <c r="A885" s="198"/>
      <c r="B885" s="199"/>
      <c r="C885" s="198"/>
      <c r="D885" s="198"/>
      <c r="E885" s="198"/>
      <c r="F885" s="199"/>
      <c r="G885" s="199"/>
      <c r="H885" s="198"/>
      <c r="I885" s="198"/>
      <c r="J885" s="198"/>
      <c r="K885" s="198"/>
      <c r="L885" s="198"/>
      <c r="M885" s="198"/>
      <c r="N885" s="198"/>
      <c r="O885" s="198"/>
      <c r="P885" s="198"/>
      <c r="Q885" s="198"/>
      <c r="R885" s="198"/>
      <c r="S885" s="198"/>
      <c r="T885" s="198"/>
      <c r="U885" s="198"/>
      <c r="V885" s="198"/>
      <c r="W885" s="198"/>
      <c r="X885" s="198"/>
    </row>
    <row r="886">
      <c r="A886" s="198"/>
      <c r="B886" s="199"/>
      <c r="C886" s="198"/>
      <c r="D886" s="198"/>
      <c r="E886" s="198"/>
      <c r="F886" s="199"/>
      <c r="G886" s="199"/>
      <c r="H886" s="198"/>
      <c r="I886" s="198"/>
      <c r="J886" s="198"/>
      <c r="K886" s="198"/>
      <c r="L886" s="198"/>
      <c r="M886" s="198"/>
      <c r="N886" s="198"/>
      <c r="O886" s="198"/>
      <c r="P886" s="198"/>
      <c r="Q886" s="198"/>
      <c r="R886" s="198"/>
      <c r="S886" s="198"/>
      <c r="T886" s="198"/>
      <c r="U886" s="198"/>
      <c r="V886" s="198"/>
      <c r="W886" s="198"/>
      <c r="X886" s="198"/>
    </row>
    <row r="887">
      <c r="A887" s="198"/>
      <c r="B887" s="199"/>
      <c r="C887" s="198"/>
      <c r="D887" s="198"/>
      <c r="E887" s="198"/>
      <c r="F887" s="199"/>
      <c r="G887" s="199"/>
      <c r="H887" s="198"/>
      <c r="I887" s="198"/>
      <c r="J887" s="198"/>
      <c r="K887" s="198"/>
      <c r="L887" s="198"/>
      <c r="M887" s="198"/>
      <c r="N887" s="198"/>
      <c r="O887" s="198"/>
      <c r="P887" s="198"/>
      <c r="Q887" s="198"/>
      <c r="R887" s="198"/>
      <c r="S887" s="198"/>
      <c r="T887" s="198"/>
      <c r="U887" s="198"/>
      <c r="V887" s="198"/>
      <c r="W887" s="198"/>
      <c r="X887" s="198"/>
    </row>
    <row r="888">
      <c r="A888" s="198"/>
      <c r="B888" s="199"/>
      <c r="C888" s="198"/>
      <c r="D888" s="198"/>
      <c r="E888" s="198"/>
      <c r="F888" s="199"/>
      <c r="G888" s="199"/>
      <c r="H888" s="198"/>
      <c r="I888" s="198"/>
      <c r="J888" s="198"/>
      <c r="K888" s="198"/>
      <c r="L888" s="198"/>
      <c r="M888" s="198"/>
      <c r="N888" s="198"/>
      <c r="O888" s="198"/>
      <c r="P888" s="198"/>
      <c r="Q888" s="198"/>
      <c r="R888" s="198"/>
      <c r="S888" s="198"/>
      <c r="T888" s="198"/>
      <c r="U888" s="198"/>
      <c r="V888" s="198"/>
      <c r="W888" s="198"/>
      <c r="X888" s="198"/>
    </row>
    <row r="889">
      <c r="A889" s="198"/>
      <c r="B889" s="199"/>
      <c r="C889" s="198"/>
      <c r="D889" s="198"/>
      <c r="E889" s="198"/>
      <c r="F889" s="199"/>
      <c r="G889" s="199"/>
      <c r="H889" s="198"/>
      <c r="I889" s="198"/>
      <c r="J889" s="198"/>
      <c r="K889" s="198"/>
      <c r="L889" s="198"/>
      <c r="M889" s="198"/>
      <c r="N889" s="198"/>
      <c r="O889" s="198"/>
      <c r="P889" s="198"/>
      <c r="Q889" s="198"/>
      <c r="R889" s="198"/>
      <c r="S889" s="198"/>
      <c r="T889" s="198"/>
      <c r="U889" s="198"/>
      <c r="V889" s="198"/>
      <c r="W889" s="198"/>
      <c r="X889" s="198"/>
    </row>
    <row r="890">
      <c r="A890" s="198"/>
      <c r="B890" s="199"/>
      <c r="C890" s="198"/>
      <c r="D890" s="198"/>
      <c r="E890" s="198"/>
      <c r="F890" s="199"/>
      <c r="G890" s="199"/>
      <c r="H890" s="198"/>
      <c r="I890" s="198"/>
      <c r="J890" s="198"/>
      <c r="K890" s="198"/>
      <c r="L890" s="198"/>
      <c r="M890" s="198"/>
      <c r="N890" s="198"/>
      <c r="O890" s="198"/>
      <c r="P890" s="198"/>
      <c r="Q890" s="198"/>
      <c r="R890" s="198"/>
      <c r="S890" s="198"/>
      <c r="T890" s="198"/>
      <c r="U890" s="198"/>
      <c r="V890" s="198"/>
      <c r="W890" s="198"/>
      <c r="X890" s="198"/>
    </row>
    <row r="891">
      <c r="A891" s="198"/>
      <c r="B891" s="199"/>
      <c r="C891" s="198"/>
      <c r="D891" s="198"/>
      <c r="E891" s="198"/>
      <c r="F891" s="199"/>
      <c r="G891" s="199"/>
      <c r="H891" s="198"/>
      <c r="I891" s="198"/>
      <c r="J891" s="198"/>
      <c r="K891" s="198"/>
      <c r="L891" s="198"/>
      <c r="M891" s="198"/>
      <c r="N891" s="198"/>
      <c r="O891" s="198"/>
      <c r="P891" s="198"/>
      <c r="Q891" s="198"/>
      <c r="R891" s="198"/>
      <c r="S891" s="198"/>
      <c r="T891" s="198"/>
      <c r="U891" s="198"/>
      <c r="V891" s="198"/>
      <c r="W891" s="198"/>
      <c r="X891" s="198"/>
    </row>
    <row r="892">
      <c r="A892" s="198"/>
      <c r="B892" s="199"/>
      <c r="C892" s="198"/>
      <c r="D892" s="198"/>
      <c r="E892" s="198"/>
      <c r="F892" s="199"/>
      <c r="G892" s="199"/>
      <c r="H892" s="198"/>
      <c r="I892" s="198"/>
      <c r="J892" s="198"/>
      <c r="K892" s="198"/>
      <c r="L892" s="198"/>
      <c r="M892" s="198"/>
      <c r="N892" s="198"/>
      <c r="O892" s="198"/>
      <c r="P892" s="198"/>
      <c r="Q892" s="198"/>
      <c r="R892" s="198"/>
      <c r="S892" s="198"/>
      <c r="T892" s="198"/>
      <c r="U892" s="198"/>
      <c r="V892" s="198"/>
      <c r="W892" s="198"/>
      <c r="X892" s="198"/>
    </row>
    <row r="893">
      <c r="A893" s="198"/>
      <c r="B893" s="199"/>
      <c r="C893" s="198"/>
      <c r="D893" s="198"/>
      <c r="E893" s="198"/>
      <c r="F893" s="199"/>
      <c r="G893" s="199"/>
      <c r="H893" s="198"/>
      <c r="I893" s="198"/>
      <c r="J893" s="198"/>
      <c r="K893" s="198"/>
      <c r="L893" s="198"/>
      <c r="M893" s="198"/>
      <c r="N893" s="198"/>
      <c r="O893" s="198"/>
      <c r="P893" s="198"/>
      <c r="Q893" s="198"/>
      <c r="R893" s="198"/>
      <c r="S893" s="198"/>
      <c r="T893" s="198"/>
      <c r="U893" s="198"/>
      <c r="V893" s="198"/>
      <c r="W893" s="198"/>
      <c r="X893" s="198"/>
    </row>
    <row r="894">
      <c r="A894" s="198"/>
      <c r="B894" s="199"/>
      <c r="C894" s="198"/>
      <c r="D894" s="198"/>
      <c r="E894" s="198"/>
      <c r="F894" s="199"/>
      <c r="G894" s="199"/>
      <c r="H894" s="198"/>
      <c r="I894" s="198"/>
      <c r="J894" s="198"/>
      <c r="K894" s="198"/>
      <c r="L894" s="198"/>
      <c r="M894" s="198"/>
      <c r="N894" s="198"/>
      <c r="O894" s="198"/>
      <c r="P894" s="198"/>
      <c r="Q894" s="198"/>
      <c r="R894" s="198"/>
      <c r="S894" s="198"/>
      <c r="T894" s="198"/>
      <c r="U894" s="198"/>
      <c r="V894" s="198"/>
      <c r="W894" s="198"/>
      <c r="X894" s="198"/>
    </row>
    <row r="895">
      <c r="A895" s="198"/>
      <c r="B895" s="199"/>
      <c r="C895" s="198"/>
      <c r="D895" s="198"/>
      <c r="E895" s="198"/>
      <c r="F895" s="199"/>
      <c r="G895" s="199"/>
      <c r="H895" s="198"/>
      <c r="I895" s="198"/>
      <c r="J895" s="198"/>
      <c r="K895" s="198"/>
      <c r="L895" s="198"/>
      <c r="M895" s="198"/>
      <c r="N895" s="198"/>
      <c r="O895" s="198"/>
      <c r="P895" s="198"/>
      <c r="Q895" s="198"/>
      <c r="R895" s="198"/>
      <c r="S895" s="198"/>
      <c r="T895" s="198"/>
      <c r="U895" s="198"/>
      <c r="V895" s="198"/>
      <c r="W895" s="198"/>
      <c r="X895" s="198"/>
    </row>
    <row r="896">
      <c r="A896" s="198"/>
      <c r="B896" s="199"/>
      <c r="C896" s="198"/>
      <c r="D896" s="198"/>
      <c r="E896" s="198"/>
      <c r="F896" s="199"/>
      <c r="G896" s="199"/>
      <c r="H896" s="198"/>
      <c r="I896" s="198"/>
      <c r="J896" s="198"/>
      <c r="K896" s="198"/>
      <c r="L896" s="198"/>
      <c r="M896" s="198"/>
      <c r="N896" s="198"/>
      <c r="O896" s="198"/>
      <c r="P896" s="198"/>
      <c r="Q896" s="198"/>
      <c r="R896" s="198"/>
      <c r="S896" s="198"/>
      <c r="T896" s="198"/>
      <c r="U896" s="198"/>
      <c r="V896" s="198"/>
      <c r="W896" s="198"/>
      <c r="X896" s="198"/>
    </row>
    <row r="897">
      <c r="A897" s="198"/>
      <c r="B897" s="199"/>
      <c r="C897" s="198"/>
      <c r="D897" s="198"/>
      <c r="E897" s="198"/>
      <c r="F897" s="199"/>
      <c r="G897" s="199"/>
      <c r="H897" s="198"/>
      <c r="I897" s="198"/>
      <c r="J897" s="198"/>
      <c r="K897" s="198"/>
      <c r="L897" s="198"/>
      <c r="M897" s="198"/>
      <c r="N897" s="198"/>
      <c r="O897" s="198"/>
      <c r="P897" s="198"/>
      <c r="Q897" s="198"/>
      <c r="R897" s="198"/>
      <c r="S897" s="198"/>
      <c r="T897" s="198"/>
      <c r="U897" s="198"/>
      <c r="V897" s="198"/>
      <c r="W897" s="198"/>
      <c r="X897" s="198"/>
    </row>
    <row r="898">
      <c r="A898" s="198"/>
      <c r="B898" s="199"/>
      <c r="C898" s="198"/>
      <c r="D898" s="198"/>
      <c r="E898" s="198"/>
      <c r="F898" s="199"/>
      <c r="G898" s="199"/>
      <c r="H898" s="198"/>
      <c r="I898" s="198"/>
      <c r="J898" s="198"/>
      <c r="K898" s="198"/>
      <c r="L898" s="198"/>
      <c r="M898" s="198"/>
      <c r="N898" s="198"/>
      <c r="O898" s="198"/>
      <c r="P898" s="198"/>
      <c r="Q898" s="198"/>
      <c r="R898" s="198"/>
      <c r="S898" s="198"/>
      <c r="T898" s="198"/>
      <c r="U898" s="198"/>
      <c r="V898" s="198"/>
      <c r="W898" s="198"/>
      <c r="X898" s="198"/>
    </row>
    <row r="899">
      <c r="A899" s="198"/>
      <c r="B899" s="199"/>
      <c r="C899" s="198"/>
      <c r="D899" s="198"/>
      <c r="E899" s="198"/>
      <c r="F899" s="199"/>
      <c r="G899" s="199"/>
      <c r="H899" s="198"/>
      <c r="I899" s="198"/>
      <c r="J899" s="198"/>
      <c r="K899" s="198"/>
      <c r="L899" s="198"/>
      <c r="M899" s="198"/>
      <c r="N899" s="198"/>
      <c r="O899" s="198"/>
      <c r="P899" s="198"/>
      <c r="Q899" s="198"/>
      <c r="R899" s="198"/>
      <c r="S899" s="198"/>
      <c r="T899" s="198"/>
      <c r="U899" s="198"/>
      <c r="V899" s="198"/>
      <c r="W899" s="198"/>
      <c r="X899" s="198"/>
    </row>
    <row r="900">
      <c r="A900" s="198"/>
      <c r="B900" s="199"/>
      <c r="C900" s="198"/>
      <c r="D900" s="198"/>
      <c r="E900" s="198"/>
      <c r="F900" s="199"/>
      <c r="G900" s="199"/>
      <c r="H900" s="198"/>
      <c r="I900" s="198"/>
      <c r="J900" s="198"/>
      <c r="K900" s="198"/>
      <c r="L900" s="198"/>
      <c r="M900" s="198"/>
      <c r="N900" s="198"/>
      <c r="O900" s="198"/>
      <c r="P900" s="198"/>
      <c r="Q900" s="198"/>
      <c r="R900" s="198"/>
      <c r="S900" s="198"/>
      <c r="T900" s="198"/>
      <c r="U900" s="198"/>
      <c r="V900" s="198"/>
      <c r="W900" s="198"/>
      <c r="X900" s="198"/>
    </row>
    <row r="901">
      <c r="A901" s="198"/>
      <c r="B901" s="199"/>
      <c r="C901" s="198"/>
      <c r="D901" s="198"/>
      <c r="E901" s="198"/>
      <c r="F901" s="199"/>
      <c r="G901" s="199"/>
      <c r="H901" s="198"/>
      <c r="I901" s="198"/>
      <c r="J901" s="198"/>
      <c r="K901" s="198"/>
      <c r="L901" s="198"/>
      <c r="M901" s="198"/>
      <c r="N901" s="198"/>
      <c r="O901" s="198"/>
      <c r="P901" s="198"/>
      <c r="Q901" s="198"/>
      <c r="R901" s="198"/>
      <c r="S901" s="198"/>
      <c r="T901" s="198"/>
      <c r="U901" s="198"/>
      <c r="V901" s="198"/>
      <c r="W901" s="198"/>
      <c r="X901" s="198"/>
    </row>
    <row r="902">
      <c r="A902" s="198"/>
      <c r="B902" s="199"/>
      <c r="C902" s="198"/>
      <c r="D902" s="198"/>
      <c r="E902" s="198"/>
      <c r="F902" s="199"/>
      <c r="G902" s="199"/>
      <c r="H902" s="198"/>
      <c r="I902" s="198"/>
      <c r="J902" s="198"/>
      <c r="K902" s="198"/>
      <c r="L902" s="198"/>
      <c r="M902" s="198"/>
      <c r="N902" s="198"/>
      <c r="O902" s="198"/>
      <c r="P902" s="198"/>
      <c r="Q902" s="198"/>
      <c r="R902" s="198"/>
      <c r="S902" s="198"/>
      <c r="T902" s="198"/>
      <c r="U902" s="198"/>
      <c r="V902" s="198"/>
      <c r="W902" s="198"/>
      <c r="X902" s="198"/>
    </row>
    <row r="903">
      <c r="A903" s="198"/>
      <c r="B903" s="199"/>
      <c r="C903" s="198"/>
      <c r="D903" s="198"/>
      <c r="E903" s="198"/>
      <c r="F903" s="199"/>
      <c r="G903" s="199"/>
      <c r="H903" s="198"/>
      <c r="I903" s="198"/>
      <c r="J903" s="198"/>
      <c r="K903" s="198"/>
      <c r="L903" s="198"/>
      <c r="M903" s="198"/>
      <c r="N903" s="198"/>
      <c r="O903" s="198"/>
      <c r="P903" s="198"/>
      <c r="Q903" s="198"/>
      <c r="R903" s="198"/>
      <c r="S903" s="198"/>
      <c r="T903" s="198"/>
      <c r="U903" s="198"/>
      <c r="V903" s="198"/>
      <c r="W903" s="198"/>
      <c r="X903" s="198"/>
    </row>
    <row r="904">
      <c r="A904" s="198"/>
      <c r="B904" s="199"/>
      <c r="C904" s="198"/>
      <c r="D904" s="198"/>
      <c r="E904" s="198"/>
      <c r="F904" s="199"/>
      <c r="G904" s="199"/>
      <c r="H904" s="198"/>
      <c r="I904" s="198"/>
      <c r="J904" s="198"/>
      <c r="K904" s="198"/>
      <c r="L904" s="198"/>
      <c r="M904" s="198"/>
      <c r="N904" s="198"/>
      <c r="O904" s="198"/>
      <c r="P904" s="198"/>
      <c r="Q904" s="198"/>
      <c r="R904" s="198"/>
      <c r="S904" s="198"/>
      <c r="T904" s="198"/>
      <c r="U904" s="198"/>
      <c r="V904" s="198"/>
      <c r="W904" s="198"/>
      <c r="X904" s="198"/>
    </row>
    <row r="905">
      <c r="A905" s="198"/>
      <c r="B905" s="199"/>
      <c r="C905" s="198"/>
      <c r="D905" s="198"/>
      <c r="E905" s="198"/>
      <c r="F905" s="199"/>
      <c r="G905" s="199"/>
      <c r="H905" s="198"/>
      <c r="I905" s="198"/>
      <c r="J905" s="198"/>
      <c r="K905" s="198"/>
      <c r="L905" s="198"/>
      <c r="M905" s="198"/>
      <c r="N905" s="198"/>
      <c r="O905" s="198"/>
      <c r="P905" s="198"/>
      <c r="Q905" s="198"/>
      <c r="R905" s="198"/>
      <c r="S905" s="198"/>
      <c r="T905" s="198"/>
      <c r="U905" s="198"/>
      <c r="V905" s="198"/>
      <c r="W905" s="198"/>
      <c r="X905" s="198"/>
    </row>
    <row r="906">
      <c r="A906" s="198"/>
      <c r="B906" s="199"/>
      <c r="C906" s="198"/>
      <c r="D906" s="198"/>
      <c r="E906" s="198"/>
      <c r="F906" s="199"/>
      <c r="G906" s="199"/>
      <c r="H906" s="198"/>
      <c r="I906" s="198"/>
      <c r="J906" s="198"/>
      <c r="K906" s="198"/>
      <c r="L906" s="198"/>
      <c r="M906" s="198"/>
      <c r="N906" s="198"/>
      <c r="O906" s="198"/>
      <c r="P906" s="198"/>
      <c r="Q906" s="198"/>
      <c r="R906" s="198"/>
      <c r="S906" s="198"/>
      <c r="T906" s="198"/>
      <c r="U906" s="198"/>
      <c r="V906" s="198"/>
      <c r="W906" s="198"/>
      <c r="X906" s="198"/>
    </row>
    <row r="907">
      <c r="A907" s="198"/>
      <c r="B907" s="199"/>
      <c r="C907" s="198"/>
      <c r="D907" s="198"/>
      <c r="E907" s="198"/>
      <c r="F907" s="199"/>
      <c r="G907" s="199"/>
      <c r="H907" s="198"/>
      <c r="I907" s="198"/>
      <c r="J907" s="198"/>
      <c r="K907" s="198"/>
      <c r="L907" s="198"/>
      <c r="M907" s="198"/>
      <c r="N907" s="198"/>
      <c r="O907" s="198"/>
      <c r="P907" s="198"/>
      <c r="Q907" s="198"/>
      <c r="R907" s="198"/>
      <c r="S907" s="198"/>
      <c r="T907" s="198"/>
      <c r="U907" s="198"/>
      <c r="V907" s="198"/>
      <c r="W907" s="198"/>
      <c r="X907" s="198"/>
    </row>
    <row r="908">
      <c r="A908" s="198"/>
      <c r="B908" s="199"/>
      <c r="C908" s="198"/>
      <c r="D908" s="198"/>
      <c r="E908" s="198"/>
      <c r="F908" s="199"/>
      <c r="G908" s="199"/>
      <c r="H908" s="198"/>
      <c r="I908" s="198"/>
      <c r="J908" s="198"/>
      <c r="K908" s="198"/>
      <c r="L908" s="198"/>
      <c r="M908" s="198"/>
      <c r="N908" s="198"/>
      <c r="O908" s="198"/>
      <c r="P908" s="198"/>
      <c r="Q908" s="198"/>
      <c r="R908" s="198"/>
      <c r="S908" s="198"/>
      <c r="T908" s="198"/>
      <c r="U908" s="198"/>
      <c r="V908" s="198"/>
      <c r="W908" s="198"/>
      <c r="X908" s="198"/>
    </row>
    <row r="909">
      <c r="A909" s="198"/>
      <c r="B909" s="199"/>
      <c r="C909" s="198"/>
      <c r="D909" s="198"/>
      <c r="E909" s="198"/>
      <c r="F909" s="199"/>
      <c r="G909" s="199"/>
      <c r="H909" s="198"/>
      <c r="I909" s="198"/>
      <c r="J909" s="198"/>
      <c r="K909" s="198"/>
      <c r="L909" s="198"/>
      <c r="M909" s="198"/>
      <c r="N909" s="198"/>
      <c r="O909" s="198"/>
      <c r="P909" s="198"/>
      <c r="Q909" s="198"/>
      <c r="R909" s="198"/>
      <c r="S909" s="198"/>
      <c r="T909" s="198"/>
      <c r="U909" s="198"/>
      <c r="V909" s="198"/>
      <c r="W909" s="198"/>
      <c r="X909" s="198"/>
    </row>
    <row r="910">
      <c r="A910" s="198"/>
      <c r="B910" s="199"/>
      <c r="C910" s="198"/>
      <c r="D910" s="198"/>
      <c r="E910" s="198"/>
      <c r="F910" s="199"/>
      <c r="G910" s="199"/>
      <c r="H910" s="198"/>
      <c r="I910" s="198"/>
      <c r="J910" s="198"/>
      <c r="K910" s="198"/>
      <c r="L910" s="198"/>
      <c r="M910" s="198"/>
      <c r="N910" s="198"/>
      <c r="O910" s="198"/>
      <c r="P910" s="198"/>
      <c r="Q910" s="198"/>
      <c r="R910" s="198"/>
      <c r="S910" s="198"/>
      <c r="T910" s="198"/>
      <c r="U910" s="198"/>
      <c r="V910" s="198"/>
      <c r="W910" s="198"/>
      <c r="X910" s="198"/>
    </row>
    <row r="911">
      <c r="A911" s="198"/>
      <c r="B911" s="199"/>
      <c r="C911" s="198"/>
      <c r="D911" s="198"/>
      <c r="E911" s="198"/>
      <c r="F911" s="199"/>
      <c r="G911" s="199"/>
      <c r="H911" s="198"/>
      <c r="I911" s="198"/>
      <c r="J911" s="198"/>
      <c r="K911" s="198"/>
      <c r="L911" s="198"/>
      <c r="M911" s="198"/>
      <c r="N911" s="198"/>
      <c r="O911" s="198"/>
      <c r="P911" s="198"/>
      <c r="Q911" s="198"/>
      <c r="R911" s="198"/>
      <c r="S911" s="198"/>
      <c r="T911" s="198"/>
      <c r="U911" s="198"/>
      <c r="V911" s="198"/>
      <c r="W911" s="198"/>
      <c r="X911" s="198"/>
    </row>
    <row r="912">
      <c r="A912" s="198"/>
      <c r="B912" s="199"/>
      <c r="C912" s="198"/>
      <c r="D912" s="198"/>
      <c r="E912" s="198"/>
      <c r="F912" s="199"/>
      <c r="G912" s="199"/>
      <c r="H912" s="198"/>
      <c r="I912" s="198"/>
      <c r="J912" s="198"/>
      <c r="K912" s="198"/>
      <c r="L912" s="198"/>
      <c r="M912" s="198"/>
      <c r="N912" s="198"/>
      <c r="O912" s="198"/>
      <c r="P912" s="198"/>
      <c r="Q912" s="198"/>
      <c r="R912" s="198"/>
      <c r="S912" s="198"/>
      <c r="T912" s="198"/>
      <c r="U912" s="198"/>
      <c r="V912" s="198"/>
      <c r="W912" s="198"/>
      <c r="X912" s="198"/>
    </row>
    <row r="913">
      <c r="A913" s="198"/>
      <c r="B913" s="199"/>
      <c r="C913" s="198"/>
      <c r="D913" s="198"/>
      <c r="E913" s="198"/>
      <c r="F913" s="199"/>
      <c r="G913" s="199"/>
      <c r="H913" s="198"/>
      <c r="I913" s="198"/>
      <c r="J913" s="198"/>
      <c r="K913" s="198"/>
      <c r="L913" s="198"/>
      <c r="M913" s="198"/>
      <c r="N913" s="198"/>
      <c r="O913" s="198"/>
      <c r="P913" s="198"/>
      <c r="Q913" s="198"/>
      <c r="R913" s="198"/>
      <c r="S913" s="198"/>
      <c r="T913" s="198"/>
      <c r="U913" s="198"/>
      <c r="V913" s="198"/>
      <c r="W913" s="198"/>
      <c r="X913" s="198"/>
    </row>
    <row r="914">
      <c r="A914" s="198"/>
      <c r="B914" s="199"/>
      <c r="C914" s="198"/>
      <c r="D914" s="198"/>
      <c r="E914" s="198"/>
      <c r="F914" s="199"/>
      <c r="G914" s="199"/>
      <c r="H914" s="198"/>
      <c r="I914" s="198"/>
      <c r="J914" s="198"/>
      <c r="K914" s="198"/>
      <c r="L914" s="198"/>
      <c r="M914" s="198"/>
      <c r="N914" s="198"/>
      <c r="O914" s="198"/>
      <c r="P914" s="198"/>
      <c r="Q914" s="198"/>
      <c r="R914" s="198"/>
      <c r="S914" s="198"/>
      <c r="T914" s="198"/>
      <c r="U914" s="198"/>
      <c r="V914" s="198"/>
      <c r="W914" s="198"/>
      <c r="X914" s="198"/>
    </row>
    <row r="915">
      <c r="A915" s="198"/>
      <c r="B915" s="199"/>
      <c r="C915" s="198"/>
      <c r="D915" s="198"/>
      <c r="E915" s="198"/>
      <c r="F915" s="199"/>
      <c r="G915" s="199"/>
      <c r="H915" s="198"/>
      <c r="I915" s="198"/>
      <c r="J915" s="198"/>
      <c r="K915" s="198"/>
      <c r="L915" s="198"/>
      <c r="M915" s="198"/>
      <c r="N915" s="198"/>
      <c r="O915" s="198"/>
      <c r="P915" s="198"/>
      <c r="Q915" s="198"/>
      <c r="R915" s="198"/>
      <c r="S915" s="198"/>
      <c r="T915" s="198"/>
      <c r="U915" s="198"/>
      <c r="V915" s="198"/>
      <c r="W915" s="198"/>
      <c r="X915" s="198"/>
    </row>
    <row r="916">
      <c r="A916" s="198"/>
      <c r="B916" s="199"/>
      <c r="C916" s="198"/>
      <c r="D916" s="198"/>
      <c r="E916" s="198"/>
      <c r="F916" s="199"/>
      <c r="G916" s="199"/>
      <c r="H916" s="198"/>
      <c r="I916" s="198"/>
      <c r="J916" s="198"/>
      <c r="K916" s="198"/>
      <c r="L916" s="198"/>
      <c r="M916" s="198"/>
      <c r="N916" s="198"/>
      <c r="O916" s="198"/>
      <c r="P916" s="198"/>
      <c r="Q916" s="198"/>
      <c r="R916" s="198"/>
      <c r="S916" s="198"/>
      <c r="T916" s="198"/>
      <c r="U916" s="198"/>
      <c r="V916" s="198"/>
      <c r="W916" s="198"/>
      <c r="X916" s="198"/>
    </row>
    <row r="917">
      <c r="A917" s="198"/>
      <c r="B917" s="199"/>
      <c r="C917" s="198"/>
      <c r="D917" s="198"/>
      <c r="E917" s="198"/>
      <c r="F917" s="199"/>
      <c r="G917" s="199"/>
      <c r="H917" s="198"/>
      <c r="I917" s="198"/>
      <c r="J917" s="198"/>
      <c r="K917" s="198"/>
      <c r="L917" s="198"/>
      <c r="M917" s="198"/>
      <c r="N917" s="198"/>
      <c r="O917" s="198"/>
      <c r="P917" s="198"/>
      <c r="Q917" s="198"/>
      <c r="R917" s="198"/>
      <c r="S917" s="198"/>
      <c r="T917" s="198"/>
      <c r="U917" s="198"/>
      <c r="V917" s="198"/>
      <c r="W917" s="198"/>
      <c r="X917" s="198"/>
    </row>
    <row r="918">
      <c r="A918" s="198"/>
      <c r="B918" s="199"/>
      <c r="C918" s="198"/>
      <c r="D918" s="198"/>
      <c r="E918" s="198"/>
      <c r="F918" s="199"/>
      <c r="G918" s="199"/>
      <c r="H918" s="198"/>
      <c r="I918" s="198"/>
      <c r="J918" s="198"/>
      <c r="K918" s="198"/>
      <c r="L918" s="198"/>
      <c r="M918" s="198"/>
      <c r="N918" s="198"/>
      <c r="O918" s="198"/>
      <c r="P918" s="198"/>
      <c r="Q918" s="198"/>
      <c r="R918" s="198"/>
      <c r="S918" s="198"/>
      <c r="T918" s="198"/>
      <c r="U918" s="198"/>
      <c r="V918" s="198"/>
      <c r="W918" s="198"/>
      <c r="X918" s="198"/>
    </row>
    <row r="919">
      <c r="A919" s="198"/>
      <c r="B919" s="199"/>
      <c r="C919" s="198"/>
      <c r="D919" s="198"/>
      <c r="E919" s="198"/>
      <c r="F919" s="199"/>
      <c r="G919" s="199"/>
      <c r="H919" s="198"/>
      <c r="I919" s="198"/>
      <c r="J919" s="198"/>
      <c r="K919" s="198"/>
      <c r="L919" s="198"/>
      <c r="M919" s="198"/>
      <c r="N919" s="198"/>
      <c r="O919" s="198"/>
      <c r="P919" s="198"/>
      <c r="Q919" s="198"/>
      <c r="R919" s="198"/>
      <c r="S919" s="198"/>
      <c r="T919" s="198"/>
      <c r="U919" s="198"/>
      <c r="V919" s="198"/>
      <c r="W919" s="198"/>
      <c r="X919" s="198"/>
    </row>
    <row r="920">
      <c r="A920" s="198"/>
      <c r="B920" s="199"/>
      <c r="C920" s="198"/>
      <c r="D920" s="198"/>
      <c r="E920" s="198"/>
      <c r="F920" s="199"/>
      <c r="G920" s="199"/>
      <c r="H920" s="198"/>
      <c r="I920" s="198"/>
      <c r="J920" s="198"/>
      <c r="K920" s="198"/>
      <c r="L920" s="198"/>
      <c r="M920" s="198"/>
      <c r="N920" s="198"/>
      <c r="O920" s="198"/>
      <c r="P920" s="198"/>
      <c r="Q920" s="198"/>
      <c r="R920" s="198"/>
      <c r="S920" s="198"/>
      <c r="T920" s="198"/>
      <c r="U920" s="198"/>
      <c r="V920" s="198"/>
      <c r="W920" s="198"/>
      <c r="X920" s="198"/>
    </row>
    <row r="921">
      <c r="A921" s="198"/>
      <c r="B921" s="199"/>
      <c r="C921" s="198"/>
      <c r="D921" s="198"/>
      <c r="E921" s="198"/>
      <c r="F921" s="199"/>
      <c r="G921" s="199"/>
      <c r="H921" s="198"/>
      <c r="I921" s="198"/>
      <c r="J921" s="198"/>
      <c r="K921" s="198"/>
      <c r="L921" s="198"/>
      <c r="M921" s="198"/>
      <c r="N921" s="198"/>
      <c r="O921" s="198"/>
      <c r="P921" s="198"/>
      <c r="Q921" s="198"/>
      <c r="R921" s="198"/>
      <c r="S921" s="198"/>
      <c r="T921" s="198"/>
      <c r="U921" s="198"/>
      <c r="V921" s="198"/>
      <c r="W921" s="198"/>
      <c r="X921" s="198"/>
    </row>
    <row r="922">
      <c r="A922" s="198"/>
      <c r="B922" s="199"/>
      <c r="C922" s="198"/>
      <c r="D922" s="198"/>
      <c r="E922" s="198"/>
      <c r="F922" s="199"/>
      <c r="G922" s="199"/>
      <c r="H922" s="198"/>
      <c r="I922" s="198"/>
      <c r="J922" s="198"/>
      <c r="K922" s="198"/>
      <c r="L922" s="198"/>
      <c r="M922" s="198"/>
      <c r="N922" s="198"/>
      <c r="O922" s="198"/>
      <c r="P922" s="198"/>
      <c r="Q922" s="198"/>
      <c r="R922" s="198"/>
      <c r="S922" s="198"/>
      <c r="T922" s="198"/>
      <c r="U922" s="198"/>
      <c r="V922" s="198"/>
      <c r="W922" s="198"/>
      <c r="X922" s="198"/>
    </row>
    <row r="923">
      <c r="A923" s="198"/>
      <c r="B923" s="199"/>
      <c r="C923" s="198"/>
      <c r="D923" s="198"/>
      <c r="E923" s="198"/>
      <c r="F923" s="199"/>
      <c r="G923" s="199"/>
      <c r="H923" s="198"/>
      <c r="I923" s="198"/>
      <c r="J923" s="198"/>
      <c r="K923" s="198"/>
      <c r="L923" s="198"/>
      <c r="M923" s="198"/>
      <c r="N923" s="198"/>
      <c r="O923" s="198"/>
      <c r="P923" s="198"/>
      <c r="Q923" s="198"/>
      <c r="R923" s="198"/>
      <c r="S923" s="198"/>
      <c r="T923" s="198"/>
      <c r="U923" s="198"/>
      <c r="V923" s="198"/>
      <c r="W923" s="198"/>
      <c r="X923" s="198"/>
    </row>
    <row r="924">
      <c r="A924" s="198"/>
      <c r="B924" s="199"/>
      <c r="C924" s="198"/>
      <c r="D924" s="198"/>
      <c r="E924" s="198"/>
      <c r="F924" s="199"/>
      <c r="G924" s="199"/>
      <c r="H924" s="198"/>
      <c r="I924" s="198"/>
      <c r="J924" s="198"/>
      <c r="K924" s="198"/>
      <c r="L924" s="198"/>
      <c r="M924" s="198"/>
      <c r="N924" s="198"/>
      <c r="O924" s="198"/>
      <c r="P924" s="198"/>
      <c r="Q924" s="198"/>
      <c r="R924" s="198"/>
      <c r="S924" s="198"/>
      <c r="T924" s="198"/>
      <c r="U924" s="198"/>
      <c r="V924" s="198"/>
      <c r="W924" s="198"/>
      <c r="X924" s="198"/>
    </row>
    <row r="925">
      <c r="A925" s="198"/>
      <c r="B925" s="199"/>
      <c r="C925" s="198"/>
      <c r="D925" s="198"/>
      <c r="E925" s="198"/>
      <c r="F925" s="199"/>
      <c r="G925" s="199"/>
      <c r="H925" s="198"/>
      <c r="I925" s="198"/>
      <c r="J925" s="198"/>
      <c r="K925" s="198"/>
      <c r="L925" s="198"/>
      <c r="M925" s="198"/>
      <c r="N925" s="198"/>
      <c r="O925" s="198"/>
      <c r="P925" s="198"/>
      <c r="Q925" s="198"/>
      <c r="R925" s="198"/>
      <c r="S925" s="198"/>
      <c r="T925" s="198"/>
      <c r="U925" s="198"/>
      <c r="V925" s="198"/>
      <c r="W925" s="198"/>
      <c r="X925" s="198"/>
    </row>
    <row r="926">
      <c r="A926" s="198"/>
      <c r="B926" s="199"/>
      <c r="C926" s="198"/>
      <c r="D926" s="198"/>
      <c r="E926" s="198"/>
      <c r="F926" s="199"/>
      <c r="G926" s="199"/>
      <c r="H926" s="198"/>
      <c r="I926" s="198"/>
      <c r="J926" s="198"/>
      <c r="K926" s="198"/>
      <c r="L926" s="198"/>
      <c r="M926" s="198"/>
      <c r="N926" s="198"/>
      <c r="O926" s="198"/>
      <c r="P926" s="198"/>
      <c r="Q926" s="198"/>
      <c r="R926" s="198"/>
      <c r="S926" s="198"/>
      <c r="T926" s="198"/>
      <c r="U926" s="198"/>
      <c r="V926" s="198"/>
      <c r="W926" s="198"/>
      <c r="X926" s="198"/>
    </row>
    <row r="927">
      <c r="A927" s="198"/>
      <c r="B927" s="199"/>
      <c r="C927" s="198"/>
      <c r="D927" s="198"/>
      <c r="E927" s="198"/>
      <c r="F927" s="199"/>
      <c r="G927" s="199"/>
      <c r="H927" s="198"/>
      <c r="I927" s="198"/>
      <c r="J927" s="198"/>
      <c r="K927" s="198"/>
      <c r="L927" s="198"/>
      <c r="M927" s="198"/>
      <c r="N927" s="198"/>
      <c r="O927" s="198"/>
      <c r="P927" s="198"/>
      <c r="Q927" s="198"/>
      <c r="R927" s="198"/>
      <c r="S927" s="198"/>
      <c r="T927" s="198"/>
      <c r="U927" s="198"/>
      <c r="V927" s="198"/>
      <c r="W927" s="198"/>
      <c r="X927" s="198"/>
    </row>
    <row r="928">
      <c r="A928" s="198"/>
      <c r="B928" s="199"/>
      <c r="C928" s="198"/>
      <c r="D928" s="198"/>
      <c r="E928" s="198"/>
      <c r="F928" s="199"/>
      <c r="G928" s="199"/>
      <c r="H928" s="198"/>
      <c r="I928" s="198"/>
      <c r="J928" s="198"/>
      <c r="K928" s="198"/>
      <c r="L928" s="198"/>
      <c r="M928" s="198"/>
      <c r="N928" s="198"/>
      <c r="O928" s="198"/>
      <c r="P928" s="198"/>
      <c r="Q928" s="198"/>
      <c r="R928" s="198"/>
      <c r="S928" s="198"/>
      <c r="T928" s="198"/>
      <c r="U928" s="198"/>
      <c r="V928" s="198"/>
      <c r="W928" s="198"/>
      <c r="X928" s="198"/>
    </row>
    <row r="929">
      <c r="A929" s="198"/>
      <c r="B929" s="199"/>
      <c r="C929" s="198"/>
      <c r="D929" s="198"/>
      <c r="E929" s="198"/>
      <c r="F929" s="199"/>
      <c r="G929" s="199"/>
      <c r="H929" s="198"/>
      <c r="I929" s="198"/>
      <c r="J929" s="198"/>
      <c r="K929" s="198"/>
      <c r="L929" s="198"/>
      <c r="M929" s="198"/>
      <c r="N929" s="198"/>
      <c r="O929" s="198"/>
      <c r="P929" s="198"/>
      <c r="Q929" s="198"/>
      <c r="R929" s="198"/>
      <c r="S929" s="198"/>
      <c r="T929" s="198"/>
      <c r="U929" s="198"/>
      <c r="V929" s="198"/>
      <c r="W929" s="198"/>
      <c r="X929" s="198"/>
    </row>
    <row r="930">
      <c r="A930" s="198"/>
      <c r="B930" s="199"/>
      <c r="C930" s="198"/>
      <c r="D930" s="198"/>
      <c r="E930" s="198"/>
      <c r="F930" s="199"/>
      <c r="G930" s="199"/>
      <c r="H930" s="198"/>
      <c r="I930" s="198"/>
      <c r="J930" s="198"/>
      <c r="K930" s="198"/>
      <c r="L930" s="198"/>
      <c r="M930" s="198"/>
      <c r="N930" s="198"/>
      <c r="O930" s="198"/>
      <c r="P930" s="198"/>
      <c r="Q930" s="198"/>
      <c r="R930" s="198"/>
      <c r="S930" s="198"/>
      <c r="T930" s="198"/>
      <c r="U930" s="198"/>
      <c r="V930" s="198"/>
      <c r="W930" s="198"/>
      <c r="X930" s="198"/>
    </row>
    <row r="931">
      <c r="A931" s="198"/>
      <c r="B931" s="199"/>
      <c r="C931" s="198"/>
      <c r="D931" s="198"/>
      <c r="E931" s="198"/>
      <c r="F931" s="199"/>
      <c r="G931" s="199"/>
      <c r="H931" s="198"/>
      <c r="I931" s="198"/>
      <c r="J931" s="198"/>
      <c r="K931" s="198"/>
      <c r="L931" s="198"/>
      <c r="M931" s="198"/>
      <c r="N931" s="198"/>
      <c r="O931" s="198"/>
      <c r="P931" s="198"/>
      <c r="Q931" s="198"/>
      <c r="R931" s="198"/>
      <c r="S931" s="198"/>
      <c r="T931" s="198"/>
      <c r="U931" s="198"/>
      <c r="V931" s="198"/>
      <c r="W931" s="198"/>
      <c r="X931" s="198"/>
    </row>
    <row r="932">
      <c r="A932" s="198"/>
      <c r="B932" s="199"/>
      <c r="C932" s="198"/>
      <c r="D932" s="198"/>
      <c r="E932" s="198"/>
      <c r="F932" s="199"/>
      <c r="G932" s="199"/>
      <c r="H932" s="198"/>
      <c r="I932" s="198"/>
      <c r="J932" s="198"/>
      <c r="K932" s="198"/>
      <c r="L932" s="198"/>
      <c r="M932" s="198"/>
      <c r="N932" s="198"/>
      <c r="O932" s="198"/>
      <c r="P932" s="198"/>
      <c r="Q932" s="198"/>
      <c r="R932" s="198"/>
      <c r="S932" s="198"/>
      <c r="T932" s="198"/>
      <c r="U932" s="198"/>
      <c r="V932" s="198"/>
      <c r="W932" s="198"/>
      <c r="X932" s="198"/>
    </row>
    <row r="933">
      <c r="A933" s="198"/>
      <c r="B933" s="199"/>
      <c r="C933" s="198"/>
      <c r="D933" s="198"/>
      <c r="E933" s="198"/>
      <c r="F933" s="199"/>
      <c r="G933" s="199"/>
      <c r="H933" s="198"/>
      <c r="I933" s="198"/>
      <c r="J933" s="198"/>
      <c r="K933" s="198"/>
      <c r="L933" s="198"/>
      <c r="M933" s="198"/>
      <c r="N933" s="198"/>
      <c r="O933" s="198"/>
      <c r="P933" s="198"/>
      <c r="Q933" s="198"/>
      <c r="R933" s="198"/>
      <c r="S933" s="198"/>
      <c r="T933" s="198"/>
      <c r="U933" s="198"/>
      <c r="V933" s="198"/>
      <c r="W933" s="198"/>
      <c r="X933" s="198"/>
    </row>
    <row r="934">
      <c r="A934" s="198"/>
      <c r="B934" s="199"/>
      <c r="C934" s="198"/>
      <c r="D934" s="198"/>
      <c r="E934" s="198"/>
      <c r="F934" s="199"/>
      <c r="G934" s="199"/>
      <c r="H934" s="198"/>
      <c r="I934" s="198"/>
      <c r="J934" s="198"/>
      <c r="K934" s="198"/>
      <c r="L934" s="198"/>
      <c r="M934" s="198"/>
      <c r="N934" s="198"/>
      <c r="O934" s="198"/>
      <c r="P934" s="198"/>
      <c r="Q934" s="198"/>
      <c r="R934" s="198"/>
      <c r="S934" s="198"/>
      <c r="T934" s="198"/>
      <c r="U934" s="198"/>
      <c r="V934" s="198"/>
      <c r="W934" s="198"/>
      <c r="X934" s="198"/>
    </row>
    <row r="935">
      <c r="A935" s="198"/>
      <c r="B935" s="199"/>
      <c r="C935" s="198"/>
      <c r="D935" s="198"/>
      <c r="E935" s="198"/>
      <c r="F935" s="199"/>
      <c r="G935" s="199"/>
      <c r="H935" s="198"/>
      <c r="I935" s="198"/>
      <c r="J935" s="198"/>
      <c r="K935" s="198"/>
      <c r="L935" s="198"/>
      <c r="M935" s="198"/>
      <c r="N935" s="198"/>
      <c r="O935" s="198"/>
      <c r="P935" s="198"/>
      <c r="Q935" s="198"/>
      <c r="R935" s="198"/>
      <c r="S935" s="198"/>
      <c r="T935" s="198"/>
      <c r="U935" s="198"/>
      <c r="V935" s="198"/>
      <c r="W935" s="198"/>
      <c r="X935" s="198"/>
    </row>
    <row r="936">
      <c r="A936" s="198"/>
      <c r="B936" s="199"/>
      <c r="C936" s="198"/>
      <c r="D936" s="198"/>
      <c r="E936" s="198"/>
      <c r="F936" s="199"/>
      <c r="G936" s="199"/>
      <c r="H936" s="198"/>
      <c r="I936" s="198"/>
      <c r="J936" s="198"/>
      <c r="K936" s="198"/>
      <c r="L936" s="198"/>
      <c r="M936" s="198"/>
      <c r="N936" s="198"/>
      <c r="O936" s="198"/>
      <c r="P936" s="198"/>
      <c r="Q936" s="198"/>
      <c r="R936" s="198"/>
      <c r="S936" s="198"/>
      <c r="T936" s="198"/>
      <c r="U936" s="198"/>
      <c r="V936" s="198"/>
      <c r="W936" s="198"/>
      <c r="X936" s="198"/>
    </row>
    <row r="937">
      <c r="A937" s="198"/>
      <c r="B937" s="199"/>
      <c r="C937" s="198"/>
      <c r="D937" s="198"/>
      <c r="E937" s="198"/>
      <c r="F937" s="199"/>
      <c r="G937" s="199"/>
      <c r="H937" s="198"/>
      <c r="I937" s="198"/>
      <c r="J937" s="198"/>
      <c r="K937" s="198"/>
      <c r="L937" s="198"/>
      <c r="M937" s="198"/>
      <c r="N937" s="198"/>
      <c r="O937" s="198"/>
      <c r="P937" s="198"/>
      <c r="Q937" s="198"/>
      <c r="R937" s="198"/>
      <c r="S937" s="198"/>
      <c r="T937" s="198"/>
      <c r="U937" s="198"/>
      <c r="V937" s="198"/>
      <c r="W937" s="198"/>
      <c r="X937" s="198"/>
    </row>
    <row r="938">
      <c r="A938" s="198"/>
      <c r="B938" s="199"/>
      <c r="C938" s="198"/>
      <c r="D938" s="198"/>
      <c r="E938" s="198"/>
      <c r="F938" s="199"/>
      <c r="G938" s="199"/>
      <c r="H938" s="198"/>
      <c r="I938" s="198"/>
      <c r="J938" s="198"/>
      <c r="K938" s="198"/>
      <c r="L938" s="198"/>
      <c r="M938" s="198"/>
      <c r="N938" s="198"/>
      <c r="O938" s="198"/>
      <c r="P938" s="198"/>
      <c r="Q938" s="198"/>
      <c r="R938" s="198"/>
      <c r="S938" s="198"/>
      <c r="T938" s="198"/>
      <c r="U938" s="198"/>
      <c r="V938" s="198"/>
      <c r="W938" s="198"/>
      <c r="X938" s="198"/>
    </row>
    <row r="939">
      <c r="A939" s="198"/>
      <c r="B939" s="199"/>
      <c r="C939" s="198"/>
      <c r="D939" s="198"/>
      <c r="E939" s="198"/>
      <c r="F939" s="199"/>
      <c r="G939" s="199"/>
      <c r="H939" s="198"/>
      <c r="I939" s="198"/>
      <c r="J939" s="198"/>
      <c r="K939" s="198"/>
      <c r="L939" s="198"/>
      <c r="M939" s="198"/>
      <c r="N939" s="198"/>
      <c r="O939" s="198"/>
      <c r="P939" s="198"/>
      <c r="Q939" s="198"/>
      <c r="R939" s="198"/>
      <c r="S939" s="198"/>
      <c r="T939" s="198"/>
      <c r="U939" s="198"/>
      <c r="V939" s="198"/>
      <c r="W939" s="198"/>
      <c r="X939" s="198"/>
    </row>
    <row r="940">
      <c r="A940" s="198"/>
      <c r="B940" s="199"/>
      <c r="C940" s="198"/>
      <c r="D940" s="198"/>
      <c r="E940" s="198"/>
      <c r="F940" s="199"/>
      <c r="G940" s="199"/>
      <c r="H940" s="198"/>
      <c r="I940" s="198"/>
      <c r="J940" s="198"/>
      <c r="K940" s="198"/>
      <c r="L940" s="198"/>
      <c r="M940" s="198"/>
      <c r="N940" s="198"/>
      <c r="O940" s="198"/>
      <c r="P940" s="198"/>
      <c r="Q940" s="198"/>
      <c r="R940" s="198"/>
      <c r="S940" s="198"/>
      <c r="T940" s="198"/>
      <c r="U940" s="198"/>
      <c r="V940" s="198"/>
      <c r="W940" s="198"/>
      <c r="X940" s="198"/>
    </row>
    <row r="941">
      <c r="A941" s="198"/>
      <c r="B941" s="199"/>
      <c r="C941" s="198"/>
      <c r="D941" s="198"/>
      <c r="E941" s="198"/>
      <c r="F941" s="199"/>
      <c r="G941" s="199"/>
      <c r="H941" s="198"/>
      <c r="I941" s="198"/>
      <c r="J941" s="198"/>
      <c r="K941" s="198"/>
      <c r="L941" s="198"/>
      <c r="M941" s="198"/>
      <c r="N941" s="198"/>
      <c r="O941" s="198"/>
      <c r="P941" s="198"/>
      <c r="Q941" s="198"/>
      <c r="R941" s="198"/>
      <c r="S941" s="198"/>
      <c r="T941" s="198"/>
      <c r="U941" s="198"/>
      <c r="V941" s="198"/>
      <c r="W941" s="198"/>
      <c r="X941" s="198"/>
    </row>
    <row r="942">
      <c r="A942" s="198"/>
      <c r="B942" s="199"/>
      <c r="C942" s="198"/>
      <c r="D942" s="198"/>
      <c r="E942" s="198"/>
      <c r="F942" s="199"/>
      <c r="G942" s="199"/>
      <c r="H942" s="198"/>
      <c r="I942" s="198"/>
      <c r="J942" s="198"/>
      <c r="K942" s="198"/>
      <c r="L942" s="198"/>
      <c r="M942" s="198"/>
      <c r="N942" s="198"/>
      <c r="O942" s="198"/>
      <c r="P942" s="198"/>
      <c r="Q942" s="198"/>
      <c r="R942" s="198"/>
      <c r="S942" s="198"/>
      <c r="T942" s="198"/>
      <c r="U942" s="198"/>
      <c r="V942" s="198"/>
      <c r="W942" s="198"/>
      <c r="X942" s="198"/>
    </row>
    <row r="943">
      <c r="A943" s="198"/>
      <c r="B943" s="199"/>
      <c r="C943" s="198"/>
      <c r="D943" s="198"/>
      <c r="E943" s="198"/>
      <c r="F943" s="199"/>
      <c r="G943" s="199"/>
      <c r="H943" s="198"/>
      <c r="I943" s="198"/>
      <c r="J943" s="198"/>
      <c r="K943" s="198"/>
      <c r="L943" s="198"/>
      <c r="M943" s="198"/>
      <c r="N943" s="198"/>
      <c r="O943" s="198"/>
      <c r="P943" s="198"/>
      <c r="Q943" s="198"/>
      <c r="R943" s="198"/>
      <c r="S943" s="198"/>
      <c r="T943" s="198"/>
      <c r="U943" s="198"/>
      <c r="V943" s="198"/>
      <c r="W943" s="198"/>
      <c r="X943" s="198"/>
    </row>
    <row r="944">
      <c r="A944" s="198"/>
      <c r="B944" s="199"/>
      <c r="C944" s="198"/>
      <c r="D944" s="198"/>
      <c r="E944" s="198"/>
      <c r="F944" s="199"/>
      <c r="G944" s="199"/>
      <c r="H944" s="198"/>
      <c r="I944" s="198"/>
      <c r="J944" s="198"/>
      <c r="K944" s="198"/>
      <c r="L944" s="198"/>
      <c r="M944" s="198"/>
      <c r="N944" s="198"/>
      <c r="O944" s="198"/>
      <c r="P944" s="198"/>
      <c r="Q944" s="198"/>
      <c r="R944" s="198"/>
      <c r="S944" s="198"/>
      <c r="T944" s="198"/>
      <c r="U944" s="198"/>
      <c r="V944" s="198"/>
      <c r="W944" s="198"/>
      <c r="X944" s="198"/>
    </row>
    <row r="945">
      <c r="A945" s="198"/>
      <c r="B945" s="199"/>
      <c r="C945" s="198"/>
      <c r="D945" s="198"/>
      <c r="E945" s="198"/>
      <c r="F945" s="199"/>
      <c r="G945" s="199"/>
      <c r="H945" s="198"/>
      <c r="I945" s="198"/>
      <c r="J945" s="198"/>
      <c r="K945" s="198"/>
      <c r="L945" s="198"/>
      <c r="M945" s="198"/>
      <c r="N945" s="198"/>
      <c r="O945" s="198"/>
      <c r="P945" s="198"/>
      <c r="Q945" s="198"/>
      <c r="R945" s="198"/>
      <c r="S945" s="198"/>
      <c r="T945" s="198"/>
      <c r="U945" s="198"/>
      <c r="V945" s="198"/>
      <c r="W945" s="198"/>
      <c r="X945" s="198"/>
    </row>
    <row r="946">
      <c r="A946" s="198"/>
      <c r="B946" s="199"/>
      <c r="C946" s="198"/>
      <c r="D946" s="198"/>
      <c r="E946" s="198"/>
      <c r="F946" s="199"/>
      <c r="G946" s="199"/>
      <c r="H946" s="198"/>
      <c r="I946" s="198"/>
      <c r="J946" s="198"/>
      <c r="K946" s="198"/>
      <c r="L946" s="198"/>
      <c r="M946" s="198"/>
      <c r="N946" s="198"/>
      <c r="O946" s="198"/>
      <c r="P946" s="198"/>
      <c r="Q946" s="198"/>
      <c r="R946" s="198"/>
      <c r="S946" s="198"/>
      <c r="T946" s="198"/>
      <c r="U946" s="198"/>
      <c r="V946" s="198"/>
      <c r="W946" s="198"/>
      <c r="X946" s="198"/>
    </row>
    <row r="947">
      <c r="A947" s="198"/>
      <c r="B947" s="199"/>
      <c r="C947" s="198"/>
      <c r="D947" s="198"/>
      <c r="E947" s="198"/>
      <c r="F947" s="199"/>
      <c r="G947" s="199"/>
      <c r="H947" s="198"/>
      <c r="I947" s="198"/>
      <c r="J947" s="198"/>
      <c r="K947" s="198"/>
      <c r="L947" s="198"/>
      <c r="M947" s="198"/>
      <c r="N947" s="198"/>
      <c r="O947" s="198"/>
      <c r="P947" s="198"/>
      <c r="Q947" s="198"/>
      <c r="R947" s="198"/>
      <c r="S947" s="198"/>
      <c r="T947" s="198"/>
      <c r="U947" s="198"/>
      <c r="V947" s="198"/>
      <c r="W947" s="198"/>
      <c r="X947" s="198"/>
    </row>
    <row r="948">
      <c r="A948" s="198"/>
      <c r="B948" s="199"/>
      <c r="C948" s="198"/>
      <c r="D948" s="198"/>
      <c r="E948" s="198"/>
      <c r="F948" s="199"/>
      <c r="G948" s="199"/>
      <c r="H948" s="198"/>
      <c r="I948" s="198"/>
      <c r="J948" s="198"/>
      <c r="K948" s="198"/>
      <c r="L948" s="198"/>
      <c r="M948" s="198"/>
      <c r="N948" s="198"/>
      <c r="O948" s="198"/>
      <c r="P948" s="198"/>
      <c r="Q948" s="198"/>
      <c r="R948" s="198"/>
      <c r="S948" s="198"/>
      <c r="T948" s="198"/>
      <c r="U948" s="198"/>
      <c r="V948" s="198"/>
      <c r="W948" s="198"/>
      <c r="X948" s="198"/>
    </row>
    <row r="949">
      <c r="A949" s="198"/>
      <c r="B949" s="199"/>
      <c r="C949" s="198"/>
      <c r="D949" s="198"/>
      <c r="E949" s="198"/>
      <c r="F949" s="199"/>
      <c r="G949" s="199"/>
      <c r="H949" s="198"/>
      <c r="I949" s="198"/>
      <c r="J949" s="198"/>
      <c r="K949" s="198"/>
      <c r="L949" s="198"/>
      <c r="M949" s="198"/>
      <c r="N949" s="198"/>
      <c r="O949" s="198"/>
      <c r="P949" s="198"/>
      <c r="Q949" s="198"/>
      <c r="R949" s="198"/>
      <c r="S949" s="198"/>
      <c r="T949" s="198"/>
      <c r="U949" s="198"/>
      <c r="V949" s="198"/>
      <c r="W949" s="198"/>
      <c r="X949" s="198"/>
    </row>
    <row r="950">
      <c r="A950" s="198"/>
      <c r="B950" s="199"/>
      <c r="C950" s="198"/>
      <c r="D950" s="198"/>
      <c r="E950" s="198"/>
      <c r="F950" s="199"/>
      <c r="G950" s="199"/>
      <c r="H950" s="198"/>
      <c r="I950" s="198"/>
      <c r="J950" s="198"/>
      <c r="K950" s="198"/>
      <c r="L950" s="198"/>
      <c r="M950" s="198"/>
      <c r="N950" s="198"/>
      <c r="O950" s="198"/>
      <c r="P950" s="198"/>
      <c r="Q950" s="198"/>
      <c r="R950" s="198"/>
      <c r="S950" s="198"/>
      <c r="T950" s="198"/>
      <c r="U950" s="198"/>
      <c r="V950" s="198"/>
      <c r="W950" s="198"/>
      <c r="X950" s="198"/>
    </row>
    <row r="951">
      <c r="A951" s="198"/>
      <c r="B951" s="199"/>
      <c r="C951" s="198"/>
      <c r="D951" s="198"/>
      <c r="E951" s="198"/>
      <c r="F951" s="199"/>
      <c r="G951" s="199"/>
      <c r="H951" s="198"/>
      <c r="I951" s="198"/>
      <c r="J951" s="198"/>
      <c r="K951" s="198"/>
      <c r="L951" s="198"/>
      <c r="M951" s="198"/>
      <c r="N951" s="198"/>
      <c r="O951" s="198"/>
      <c r="P951" s="198"/>
      <c r="Q951" s="198"/>
      <c r="R951" s="198"/>
      <c r="S951" s="198"/>
      <c r="T951" s="198"/>
      <c r="U951" s="198"/>
      <c r="V951" s="198"/>
      <c r="W951" s="198"/>
      <c r="X951" s="198"/>
    </row>
    <row r="952">
      <c r="A952" s="198"/>
      <c r="B952" s="199"/>
      <c r="C952" s="198"/>
      <c r="D952" s="198"/>
      <c r="E952" s="198"/>
      <c r="F952" s="199"/>
      <c r="G952" s="199"/>
      <c r="H952" s="198"/>
      <c r="I952" s="198"/>
      <c r="J952" s="198"/>
      <c r="K952" s="198"/>
      <c r="L952" s="198"/>
      <c r="M952" s="198"/>
      <c r="N952" s="198"/>
      <c r="O952" s="198"/>
      <c r="P952" s="198"/>
      <c r="Q952" s="198"/>
      <c r="R952" s="198"/>
      <c r="S952" s="198"/>
      <c r="T952" s="198"/>
      <c r="U952" s="198"/>
      <c r="V952" s="198"/>
      <c r="W952" s="198"/>
      <c r="X952" s="198"/>
    </row>
    <row r="953">
      <c r="A953" s="198"/>
      <c r="B953" s="199"/>
      <c r="C953" s="198"/>
      <c r="D953" s="198"/>
      <c r="E953" s="198"/>
      <c r="F953" s="199"/>
      <c r="G953" s="199"/>
      <c r="H953" s="198"/>
      <c r="I953" s="198"/>
      <c r="J953" s="198"/>
      <c r="K953" s="198"/>
      <c r="L953" s="198"/>
      <c r="M953" s="198"/>
      <c r="N953" s="198"/>
      <c r="O953" s="198"/>
      <c r="P953" s="198"/>
      <c r="Q953" s="198"/>
      <c r="R953" s="198"/>
      <c r="S953" s="198"/>
      <c r="T953" s="198"/>
      <c r="U953" s="198"/>
      <c r="V953" s="198"/>
      <c r="W953" s="198"/>
      <c r="X953" s="198"/>
    </row>
    <row r="954">
      <c r="A954" s="198"/>
      <c r="B954" s="199"/>
      <c r="C954" s="198"/>
      <c r="D954" s="198"/>
      <c r="E954" s="198"/>
      <c r="F954" s="199"/>
      <c r="G954" s="199"/>
      <c r="H954" s="198"/>
      <c r="I954" s="198"/>
      <c r="J954" s="198"/>
      <c r="K954" s="198"/>
      <c r="L954" s="198"/>
      <c r="M954" s="198"/>
      <c r="N954" s="198"/>
      <c r="O954" s="198"/>
      <c r="P954" s="198"/>
      <c r="Q954" s="198"/>
      <c r="R954" s="198"/>
      <c r="S954" s="198"/>
      <c r="T954" s="198"/>
      <c r="U954" s="198"/>
      <c r="V954" s="198"/>
      <c r="W954" s="198"/>
      <c r="X954" s="198"/>
    </row>
    <row r="955">
      <c r="A955" s="198"/>
      <c r="B955" s="199"/>
      <c r="C955" s="198"/>
      <c r="D955" s="198"/>
      <c r="E955" s="198"/>
      <c r="F955" s="199"/>
      <c r="G955" s="199"/>
      <c r="H955" s="198"/>
      <c r="I955" s="198"/>
      <c r="J955" s="198"/>
      <c r="K955" s="198"/>
      <c r="L955" s="198"/>
      <c r="M955" s="198"/>
      <c r="N955" s="198"/>
      <c r="O955" s="198"/>
      <c r="P955" s="198"/>
      <c r="Q955" s="198"/>
      <c r="R955" s="198"/>
      <c r="S955" s="198"/>
      <c r="T955" s="198"/>
      <c r="U955" s="198"/>
      <c r="V955" s="198"/>
      <c r="W955" s="198"/>
      <c r="X955" s="198"/>
    </row>
    <row r="956">
      <c r="A956" s="198"/>
      <c r="B956" s="199"/>
      <c r="C956" s="198"/>
      <c r="D956" s="198"/>
      <c r="E956" s="198"/>
      <c r="F956" s="199"/>
      <c r="G956" s="199"/>
      <c r="H956" s="198"/>
      <c r="I956" s="198"/>
      <c r="J956" s="198"/>
      <c r="K956" s="198"/>
      <c r="L956" s="198"/>
      <c r="M956" s="198"/>
      <c r="N956" s="198"/>
      <c r="O956" s="198"/>
      <c r="P956" s="198"/>
      <c r="Q956" s="198"/>
      <c r="R956" s="198"/>
      <c r="S956" s="198"/>
      <c r="T956" s="198"/>
      <c r="U956" s="198"/>
      <c r="V956" s="198"/>
      <c r="W956" s="198"/>
      <c r="X956" s="198"/>
    </row>
    <row r="957">
      <c r="A957" s="198"/>
      <c r="B957" s="199"/>
      <c r="C957" s="198"/>
      <c r="D957" s="198"/>
      <c r="E957" s="198"/>
      <c r="F957" s="199"/>
      <c r="G957" s="199"/>
      <c r="H957" s="198"/>
      <c r="I957" s="198"/>
      <c r="J957" s="198"/>
      <c r="K957" s="198"/>
      <c r="L957" s="198"/>
      <c r="M957" s="198"/>
      <c r="N957" s="198"/>
      <c r="O957" s="198"/>
      <c r="P957" s="198"/>
      <c r="Q957" s="198"/>
      <c r="R957" s="198"/>
      <c r="S957" s="198"/>
      <c r="T957" s="198"/>
      <c r="U957" s="198"/>
      <c r="V957" s="198"/>
      <c r="W957" s="198"/>
      <c r="X957" s="198"/>
    </row>
    <row r="958">
      <c r="A958" s="198"/>
      <c r="B958" s="199"/>
      <c r="C958" s="198"/>
      <c r="D958" s="198"/>
      <c r="E958" s="198"/>
      <c r="F958" s="199"/>
      <c r="G958" s="199"/>
      <c r="H958" s="198"/>
      <c r="I958" s="198"/>
      <c r="J958" s="198"/>
      <c r="K958" s="198"/>
      <c r="L958" s="198"/>
      <c r="M958" s="198"/>
      <c r="N958" s="198"/>
      <c r="O958" s="198"/>
      <c r="P958" s="198"/>
      <c r="Q958" s="198"/>
      <c r="R958" s="198"/>
      <c r="S958" s="198"/>
      <c r="T958" s="198"/>
      <c r="U958" s="198"/>
      <c r="V958" s="198"/>
      <c r="W958" s="198"/>
      <c r="X958" s="198"/>
    </row>
    <row r="959">
      <c r="A959" s="198"/>
      <c r="B959" s="199"/>
      <c r="C959" s="198"/>
      <c r="D959" s="198"/>
      <c r="E959" s="198"/>
      <c r="F959" s="199"/>
      <c r="G959" s="199"/>
      <c r="H959" s="198"/>
      <c r="I959" s="198"/>
      <c r="J959" s="198"/>
      <c r="K959" s="198"/>
      <c r="L959" s="198"/>
      <c r="M959" s="198"/>
      <c r="N959" s="198"/>
      <c r="O959" s="198"/>
      <c r="P959" s="198"/>
      <c r="Q959" s="198"/>
      <c r="R959" s="198"/>
      <c r="S959" s="198"/>
      <c r="T959" s="198"/>
      <c r="U959" s="198"/>
      <c r="V959" s="198"/>
      <c r="W959" s="198"/>
      <c r="X959" s="198"/>
    </row>
    <row r="960">
      <c r="A960" s="198"/>
      <c r="B960" s="199"/>
      <c r="C960" s="198"/>
      <c r="D960" s="198"/>
      <c r="E960" s="198"/>
      <c r="F960" s="199"/>
      <c r="G960" s="199"/>
      <c r="H960" s="198"/>
      <c r="I960" s="198"/>
      <c r="J960" s="198"/>
      <c r="K960" s="198"/>
      <c r="L960" s="198"/>
      <c r="M960" s="198"/>
      <c r="N960" s="198"/>
      <c r="O960" s="198"/>
      <c r="P960" s="198"/>
      <c r="Q960" s="198"/>
      <c r="R960" s="198"/>
      <c r="S960" s="198"/>
      <c r="T960" s="198"/>
      <c r="U960" s="198"/>
      <c r="V960" s="198"/>
      <c r="W960" s="198"/>
      <c r="X960" s="198"/>
    </row>
    <row r="961">
      <c r="A961" s="198"/>
      <c r="B961" s="199"/>
      <c r="C961" s="198"/>
      <c r="D961" s="198"/>
      <c r="E961" s="198"/>
      <c r="F961" s="199"/>
      <c r="G961" s="199"/>
      <c r="H961" s="198"/>
      <c r="I961" s="198"/>
      <c r="J961" s="198"/>
      <c r="K961" s="198"/>
      <c r="L961" s="198"/>
      <c r="M961" s="198"/>
      <c r="N961" s="198"/>
      <c r="O961" s="198"/>
      <c r="P961" s="198"/>
      <c r="Q961" s="198"/>
      <c r="R961" s="198"/>
      <c r="S961" s="198"/>
      <c r="T961" s="198"/>
      <c r="U961" s="198"/>
      <c r="V961" s="198"/>
      <c r="W961" s="198"/>
      <c r="X961" s="198"/>
    </row>
    <row r="962">
      <c r="A962" s="198"/>
      <c r="B962" s="199"/>
      <c r="C962" s="198"/>
      <c r="D962" s="198"/>
      <c r="E962" s="198"/>
      <c r="F962" s="199"/>
      <c r="G962" s="199"/>
      <c r="H962" s="198"/>
      <c r="I962" s="198"/>
      <c r="J962" s="198"/>
      <c r="K962" s="198"/>
      <c r="L962" s="198"/>
      <c r="M962" s="198"/>
      <c r="N962" s="198"/>
      <c r="O962" s="198"/>
      <c r="P962" s="198"/>
      <c r="Q962" s="198"/>
      <c r="R962" s="198"/>
      <c r="S962" s="198"/>
      <c r="T962" s="198"/>
      <c r="U962" s="198"/>
      <c r="V962" s="198"/>
      <c r="W962" s="198"/>
      <c r="X962" s="198"/>
    </row>
    <row r="963">
      <c r="A963" s="198"/>
      <c r="B963" s="199"/>
      <c r="C963" s="198"/>
      <c r="D963" s="198"/>
      <c r="E963" s="198"/>
      <c r="F963" s="199"/>
      <c r="G963" s="199"/>
      <c r="H963" s="198"/>
      <c r="I963" s="198"/>
      <c r="J963" s="198"/>
      <c r="K963" s="198"/>
      <c r="L963" s="198"/>
      <c r="M963" s="198"/>
      <c r="N963" s="198"/>
      <c r="O963" s="198"/>
      <c r="P963" s="198"/>
      <c r="Q963" s="198"/>
      <c r="R963" s="198"/>
      <c r="S963" s="198"/>
      <c r="T963" s="198"/>
      <c r="U963" s="198"/>
      <c r="V963" s="198"/>
      <c r="W963" s="198"/>
      <c r="X963" s="198"/>
    </row>
    <row r="964">
      <c r="A964" s="198"/>
      <c r="B964" s="199"/>
      <c r="C964" s="198"/>
      <c r="D964" s="198"/>
      <c r="E964" s="198"/>
      <c r="F964" s="199"/>
      <c r="G964" s="199"/>
      <c r="H964" s="198"/>
      <c r="I964" s="198"/>
      <c r="J964" s="198"/>
      <c r="K964" s="198"/>
      <c r="L964" s="198"/>
      <c r="M964" s="198"/>
      <c r="N964" s="198"/>
      <c r="O964" s="198"/>
      <c r="P964" s="198"/>
      <c r="Q964" s="198"/>
      <c r="R964" s="198"/>
      <c r="S964" s="198"/>
      <c r="T964" s="198"/>
      <c r="U964" s="198"/>
      <c r="V964" s="198"/>
      <c r="W964" s="198"/>
      <c r="X964" s="198"/>
    </row>
    <row r="965">
      <c r="A965" s="198"/>
      <c r="B965" s="199"/>
      <c r="C965" s="198"/>
      <c r="D965" s="198"/>
      <c r="E965" s="198"/>
      <c r="F965" s="199"/>
      <c r="G965" s="199"/>
      <c r="H965" s="198"/>
      <c r="I965" s="198"/>
      <c r="J965" s="198"/>
      <c r="K965" s="198"/>
      <c r="L965" s="198"/>
      <c r="M965" s="198"/>
      <c r="N965" s="198"/>
      <c r="O965" s="198"/>
      <c r="P965" s="198"/>
      <c r="Q965" s="198"/>
      <c r="R965" s="198"/>
      <c r="S965" s="198"/>
      <c r="T965" s="198"/>
      <c r="U965" s="198"/>
      <c r="V965" s="198"/>
      <c r="W965" s="198"/>
      <c r="X965" s="198"/>
    </row>
    <row r="966">
      <c r="A966" s="198"/>
      <c r="B966" s="199"/>
      <c r="C966" s="198"/>
      <c r="D966" s="198"/>
      <c r="E966" s="198"/>
      <c r="F966" s="199"/>
      <c r="G966" s="199"/>
      <c r="H966" s="198"/>
      <c r="I966" s="198"/>
      <c r="J966" s="198"/>
      <c r="K966" s="198"/>
      <c r="L966" s="198"/>
      <c r="M966" s="198"/>
      <c r="N966" s="198"/>
      <c r="O966" s="198"/>
      <c r="P966" s="198"/>
      <c r="Q966" s="198"/>
      <c r="R966" s="198"/>
      <c r="S966" s="198"/>
      <c r="T966" s="198"/>
      <c r="U966" s="198"/>
      <c r="V966" s="198"/>
      <c r="W966" s="198"/>
      <c r="X966" s="198"/>
    </row>
    <row r="967">
      <c r="A967" s="198"/>
      <c r="B967" s="199"/>
      <c r="C967" s="198"/>
      <c r="D967" s="198"/>
      <c r="E967" s="198"/>
      <c r="F967" s="199"/>
      <c r="G967" s="199"/>
      <c r="H967" s="198"/>
      <c r="I967" s="198"/>
      <c r="J967" s="198"/>
      <c r="K967" s="198"/>
      <c r="L967" s="198"/>
      <c r="M967" s="198"/>
      <c r="N967" s="198"/>
      <c r="O967" s="198"/>
      <c r="P967" s="198"/>
      <c r="Q967" s="198"/>
      <c r="R967" s="198"/>
      <c r="S967" s="198"/>
      <c r="T967" s="198"/>
      <c r="U967" s="198"/>
      <c r="V967" s="198"/>
      <c r="W967" s="198"/>
      <c r="X967" s="198"/>
    </row>
    <row r="968">
      <c r="A968" s="198"/>
      <c r="B968" s="199"/>
      <c r="C968" s="198"/>
      <c r="D968" s="198"/>
      <c r="E968" s="198"/>
      <c r="F968" s="199"/>
      <c r="G968" s="199"/>
      <c r="H968" s="198"/>
      <c r="I968" s="198"/>
      <c r="J968" s="198"/>
      <c r="K968" s="198"/>
      <c r="L968" s="198"/>
      <c r="M968" s="198"/>
      <c r="N968" s="198"/>
      <c r="O968" s="198"/>
      <c r="P968" s="198"/>
      <c r="Q968" s="198"/>
      <c r="R968" s="198"/>
      <c r="S968" s="198"/>
      <c r="T968" s="198"/>
      <c r="U968" s="198"/>
      <c r="V968" s="198"/>
      <c r="W968" s="198"/>
      <c r="X968" s="198"/>
    </row>
    <row r="969">
      <c r="A969" s="198"/>
      <c r="B969" s="199"/>
      <c r="C969" s="198"/>
      <c r="D969" s="198"/>
      <c r="E969" s="198"/>
      <c r="F969" s="199"/>
      <c r="G969" s="199"/>
      <c r="H969" s="198"/>
      <c r="I969" s="198"/>
      <c r="J969" s="198"/>
      <c r="K969" s="198"/>
      <c r="L969" s="198"/>
      <c r="M969" s="198"/>
      <c r="N969" s="198"/>
      <c r="O969" s="198"/>
      <c r="P969" s="198"/>
      <c r="Q969" s="198"/>
      <c r="R969" s="198"/>
      <c r="S969" s="198"/>
      <c r="T969" s="198"/>
      <c r="U969" s="198"/>
      <c r="V969" s="198"/>
      <c r="W969" s="198"/>
      <c r="X969" s="198"/>
    </row>
    <row r="970">
      <c r="A970" s="198"/>
      <c r="B970" s="199"/>
      <c r="C970" s="198"/>
      <c r="D970" s="198"/>
      <c r="E970" s="198"/>
      <c r="F970" s="199"/>
      <c r="G970" s="199"/>
      <c r="H970" s="198"/>
      <c r="I970" s="198"/>
      <c r="J970" s="198"/>
      <c r="K970" s="198"/>
      <c r="L970" s="198"/>
      <c r="M970" s="198"/>
      <c r="N970" s="198"/>
      <c r="O970" s="198"/>
      <c r="P970" s="198"/>
      <c r="Q970" s="198"/>
      <c r="R970" s="198"/>
      <c r="S970" s="198"/>
      <c r="T970" s="198"/>
      <c r="U970" s="198"/>
      <c r="V970" s="198"/>
      <c r="W970" s="198"/>
      <c r="X970" s="198"/>
    </row>
    <row r="971">
      <c r="A971" s="198"/>
      <c r="B971" s="199"/>
      <c r="C971" s="198"/>
      <c r="D971" s="198"/>
      <c r="E971" s="198"/>
      <c r="F971" s="199"/>
      <c r="G971" s="199"/>
      <c r="H971" s="198"/>
      <c r="I971" s="198"/>
      <c r="J971" s="198"/>
      <c r="K971" s="198"/>
      <c r="L971" s="198"/>
      <c r="M971" s="198"/>
      <c r="N971" s="198"/>
      <c r="O971" s="198"/>
      <c r="P971" s="198"/>
      <c r="Q971" s="198"/>
      <c r="R971" s="198"/>
      <c r="S971" s="198"/>
      <c r="T971" s="198"/>
      <c r="U971" s="198"/>
      <c r="V971" s="198"/>
      <c r="W971" s="198"/>
      <c r="X971" s="198"/>
    </row>
    <row r="972">
      <c r="A972" s="198"/>
      <c r="B972" s="199"/>
      <c r="C972" s="198"/>
      <c r="D972" s="198"/>
      <c r="E972" s="198"/>
      <c r="F972" s="199"/>
      <c r="G972" s="199"/>
      <c r="H972" s="198"/>
      <c r="I972" s="198"/>
      <c r="J972" s="198"/>
      <c r="K972" s="198"/>
      <c r="L972" s="198"/>
      <c r="M972" s="198"/>
      <c r="N972" s="198"/>
      <c r="O972" s="198"/>
      <c r="P972" s="198"/>
      <c r="Q972" s="198"/>
      <c r="R972" s="198"/>
      <c r="S972" s="198"/>
      <c r="T972" s="198"/>
      <c r="U972" s="198"/>
      <c r="V972" s="198"/>
      <c r="W972" s="198"/>
      <c r="X972" s="198"/>
    </row>
    <row r="973">
      <c r="A973" s="198"/>
      <c r="B973" s="199"/>
      <c r="C973" s="198"/>
      <c r="D973" s="198"/>
      <c r="E973" s="198"/>
      <c r="F973" s="199"/>
      <c r="G973" s="199"/>
      <c r="H973" s="198"/>
      <c r="I973" s="198"/>
      <c r="J973" s="198"/>
      <c r="K973" s="198"/>
      <c r="L973" s="198"/>
      <c r="M973" s="198"/>
      <c r="N973" s="198"/>
      <c r="O973" s="198"/>
      <c r="P973" s="198"/>
      <c r="Q973" s="198"/>
      <c r="R973" s="198"/>
      <c r="S973" s="198"/>
      <c r="T973" s="198"/>
      <c r="U973" s="198"/>
      <c r="V973" s="198"/>
      <c r="W973" s="198"/>
      <c r="X973" s="198"/>
    </row>
    <row r="974">
      <c r="A974" s="198"/>
      <c r="B974" s="199"/>
      <c r="C974" s="198"/>
      <c r="D974" s="198"/>
      <c r="E974" s="198"/>
      <c r="F974" s="199"/>
      <c r="G974" s="199"/>
      <c r="H974" s="198"/>
      <c r="I974" s="198"/>
      <c r="J974" s="198"/>
      <c r="K974" s="198"/>
      <c r="L974" s="198"/>
      <c r="M974" s="198"/>
      <c r="N974" s="198"/>
      <c r="O974" s="198"/>
      <c r="P974" s="198"/>
      <c r="Q974" s="198"/>
      <c r="R974" s="198"/>
      <c r="S974" s="198"/>
      <c r="T974" s="198"/>
      <c r="U974" s="198"/>
      <c r="V974" s="198"/>
      <c r="W974" s="198"/>
      <c r="X974" s="198"/>
    </row>
    <row r="975">
      <c r="A975" s="198"/>
      <c r="B975" s="199"/>
      <c r="C975" s="198"/>
      <c r="D975" s="198"/>
      <c r="E975" s="198"/>
      <c r="F975" s="199"/>
      <c r="G975" s="199"/>
      <c r="H975" s="198"/>
      <c r="I975" s="198"/>
      <c r="J975" s="198"/>
      <c r="K975" s="198"/>
      <c r="L975" s="198"/>
      <c r="M975" s="198"/>
      <c r="N975" s="198"/>
      <c r="O975" s="198"/>
      <c r="P975" s="198"/>
      <c r="Q975" s="198"/>
      <c r="R975" s="198"/>
      <c r="S975" s="198"/>
      <c r="T975" s="198"/>
      <c r="U975" s="198"/>
      <c r="V975" s="198"/>
      <c r="W975" s="198"/>
      <c r="X975" s="198"/>
    </row>
    <row r="976">
      <c r="A976" s="198"/>
      <c r="B976" s="199"/>
      <c r="C976" s="198"/>
      <c r="D976" s="198"/>
      <c r="E976" s="198"/>
      <c r="F976" s="199"/>
      <c r="G976" s="199"/>
      <c r="H976" s="198"/>
      <c r="I976" s="198"/>
      <c r="J976" s="198"/>
      <c r="K976" s="198"/>
      <c r="L976" s="198"/>
      <c r="M976" s="198"/>
      <c r="N976" s="198"/>
      <c r="O976" s="198"/>
      <c r="P976" s="198"/>
      <c r="Q976" s="198"/>
      <c r="R976" s="198"/>
      <c r="S976" s="198"/>
      <c r="T976" s="198"/>
      <c r="U976" s="198"/>
      <c r="V976" s="198"/>
      <c r="W976" s="198"/>
      <c r="X976" s="198"/>
    </row>
    <row r="977">
      <c r="A977" s="198"/>
      <c r="B977" s="199"/>
      <c r="C977" s="198"/>
      <c r="D977" s="198"/>
      <c r="E977" s="198"/>
      <c r="F977" s="199"/>
      <c r="G977" s="199"/>
      <c r="H977" s="198"/>
      <c r="I977" s="198"/>
      <c r="J977" s="198"/>
      <c r="K977" s="198"/>
      <c r="L977" s="198"/>
      <c r="M977" s="198"/>
      <c r="N977" s="198"/>
      <c r="O977" s="198"/>
      <c r="P977" s="198"/>
      <c r="Q977" s="198"/>
      <c r="R977" s="198"/>
      <c r="S977" s="198"/>
      <c r="T977" s="198"/>
      <c r="U977" s="198"/>
      <c r="V977" s="198"/>
      <c r="W977" s="198"/>
      <c r="X977" s="198"/>
    </row>
    <row r="978">
      <c r="A978" s="198"/>
      <c r="B978" s="199"/>
      <c r="C978" s="198"/>
      <c r="D978" s="198"/>
      <c r="E978" s="198"/>
      <c r="F978" s="199"/>
      <c r="G978" s="199"/>
      <c r="H978" s="198"/>
      <c r="I978" s="198"/>
      <c r="J978" s="198"/>
      <c r="K978" s="198"/>
      <c r="L978" s="198"/>
      <c r="M978" s="198"/>
      <c r="N978" s="198"/>
      <c r="O978" s="198"/>
      <c r="P978" s="198"/>
      <c r="Q978" s="198"/>
      <c r="R978" s="198"/>
      <c r="S978" s="198"/>
      <c r="T978" s="198"/>
      <c r="U978" s="198"/>
      <c r="V978" s="198"/>
      <c r="W978" s="198"/>
      <c r="X978" s="198"/>
    </row>
    <row r="979">
      <c r="A979" s="198"/>
      <c r="B979" s="199"/>
      <c r="C979" s="198"/>
      <c r="D979" s="198"/>
      <c r="E979" s="198"/>
      <c r="F979" s="199"/>
      <c r="G979" s="199"/>
      <c r="H979" s="198"/>
      <c r="I979" s="198"/>
      <c r="J979" s="198"/>
      <c r="K979" s="198"/>
      <c r="L979" s="198"/>
      <c r="M979" s="198"/>
      <c r="N979" s="198"/>
      <c r="O979" s="198"/>
      <c r="P979" s="198"/>
      <c r="Q979" s="198"/>
      <c r="R979" s="198"/>
      <c r="S979" s="198"/>
      <c r="T979" s="198"/>
      <c r="U979" s="198"/>
      <c r="V979" s="198"/>
      <c r="W979" s="198"/>
      <c r="X979" s="198"/>
    </row>
    <row r="980">
      <c r="A980" s="198"/>
      <c r="B980" s="199"/>
      <c r="C980" s="198"/>
      <c r="D980" s="198"/>
      <c r="E980" s="198"/>
      <c r="F980" s="199"/>
      <c r="G980" s="199"/>
      <c r="H980" s="198"/>
      <c r="I980" s="198"/>
      <c r="J980" s="198"/>
      <c r="K980" s="198"/>
      <c r="L980" s="198"/>
      <c r="M980" s="198"/>
      <c r="N980" s="198"/>
      <c r="O980" s="198"/>
      <c r="P980" s="198"/>
      <c r="Q980" s="198"/>
      <c r="R980" s="198"/>
      <c r="S980" s="198"/>
      <c r="T980" s="198"/>
      <c r="U980" s="198"/>
      <c r="V980" s="198"/>
      <c r="W980" s="198"/>
      <c r="X980" s="198"/>
    </row>
    <row r="981">
      <c r="A981" s="198"/>
      <c r="B981" s="199"/>
      <c r="C981" s="198"/>
      <c r="D981" s="198"/>
      <c r="E981" s="198"/>
      <c r="F981" s="199"/>
      <c r="G981" s="199"/>
      <c r="H981" s="198"/>
      <c r="I981" s="198"/>
      <c r="J981" s="198"/>
      <c r="K981" s="198"/>
      <c r="L981" s="198"/>
      <c r="M981" s="198"/>
      <c r="N981" s="198"/>
      <c r="O981" s="198"/>
      <c r="P981" s="198"/>
      <c r="Q981" s="198"/>
      <c r="R981" s="198"/>
      <c r="S981" s="198"/>
      <c r="T981" s="198"/>
      <c r="U981" s="198"/>
      <c r="V981" s="198"/>
      <c r="W981" s="198"/>
      <c r="X981" s="198"/>
    </row>
    <row r="982">
      <c r="A982" s="198"/>
      <c r="B982" s="199"/>
      <c r="C982" s="198"/>
      <c r="D982" s="198"/>
      <c r="E982" s="198"/>
      <c r="F982" s="199"/>
      <c r="G982" s="199"/>
      <c r="H982" s="198"/>
      <c r="I982" s="198"/>
      <c r="J982" s="198"/>
      <c r="K982" s="198"/>
      <c r="L982" s="198"/>
      <c r="M982" s="198"/>
      <c r="N982" s="198"/>
      <c r="O982" s="198"/>
      <c r="P982" s="198"/>
      <c r="Q982" s="198"/>
      <c r="R982" s="198"/>
      <c r="S982" s="198"/>
      <c r="T982" s="198"/>
      <c r="U982" s="198"/>
      <c r="V982" s="198"/>
      <c r="W982" s="198"/>
      <c r="X982" s="198"/>
    </row>
    <row r="983">
      <c r="A983" s="198"/>
      <c r="B983" s="199"/>
      <c r="C983" s="198"/>
      <c r="D983" s="198"/>
      <c r="E983" s="198"/>
      <c r="F983" s="199"/>
      <c r="G983" s="199"/>
      <c r="H983" s="198"/>
      <c r="I983" s="198"/>
      <c r="J983" s="198"/>
      <c r="K983" s="198"/>
      <c r="L983" s="198"/>
      <c r="M983" s="198"/>
      <c r="N983" s="198"/>
      <c r="O983" s="198"/>
      <c r="P983" s="198"/>
      <c r="Q983" s="198"/>
      <c r="R983" s="198"/>
      <c r="S983" s="198"/>
      <c r="T983" s="198"/>
      <c r="U983" s="198"/>
      <c r="V983" s="198"/>
      <c r="W983" s="198"/>
      <c r="X983" s="198"/>
    </row>
    <row r="984">
      <c r="A984" s="198"/>
      <c r="B984" s="199"/>
      <c r="C984" s="198"/>
      <c r="D984" s="198"/>
      <c r="E984" s="198"/>
      <c r="F984" s="199"/>
      <c r="G984" s="199"/>
      <c r="H984" s="198"/>
      <c r="I984" s="198"/>
      <c r="J984" s="198"/>
      <c r="K984" s="198"/>
      <c r="L984" s="198"/>
      <c r="M984" s="198"/>
      <c r="N984" s="198"/>
      <c r="O984" s="198"/>
      <c r="P984" s="198"/>
      <c r="Q984" s="198"/>
      <c r="R984" s="198"/>
      <c r="S984" s="198"/>
      <c r="T984" s="198"/>
      <c r="U984" s="198"/>
      <c r="V984" s="198"/>
      <c r="W984" s="198"/>
      <c r="X984" s="198"/>
    </row>
    <row r="985">
      <c r="A985" s="198"/>
      <c r="B985" s="199"/>
      <c r="C985" s="198"/>
      <c r="D985" s="198"/>
      <c r="E985" s="198"/>
      <c r="F985" s="199"/>
      <c r="G985" s="199"/>
      <c r="H985" s="198"/>
      <c r="I985" s="198"/>
      <c r="J985" s="198"/>
      <c r="K985" s="198"/>
      <c r="L985" s="198"/>
      <c r="M985" s="198"/>
      <c r="N985" s="198"/>
      <c r="O985" s="198"/>
      <c r="P985" s="198"/>
      <c r="Q985" s="198"/>
      <c r="R985" s="198"/>
      <c r="S985" s="198"/>
      <c r="T985" s="198"/>
      <c r="U985" s="198"/>
      <c r="V985" s="198"/>
      <c r="W985" s="198"/>
      <c r="X985" s="198"/>
    </row>
    <row r="986">
      <c r="A986" s="198"/>
      <c r="B986" s="199"/>
      <c r="C986" s="198"/>
      <c r="D986" s="198"/>
      <c r="E986" s="198"/>
      <c r="F986" s="199"/>
      <c r="G986" s="199"/>
      <c r="H986" s="198"/>
      <c r="I986" s="198"/>
      <c r="J986" s="198"/>
      <c r="K986" s="198"/>
      <c r="L986" s="198"/>
      <c r="M986" s="198"/>
      <c r="N986" s="198"/>
      <c r="O986" s="198"/>
      <c r="P986" s="198"/>
      <c r="Q986" s="198"/>
      <c r="R986" s="198"/>
      <c r="S986" s="198"/>
      <c r="T986" s="198"/>
      <c r="U986" s="198"/>
      <c r="V986" s="198"/>
      <c r="W986" s="198"/>
      <c r="X986" s="198"/>
    </row>
    <row r="987">
      <c r="A987" s="198"/>
      <c r="B987" s="199"/>
      <c r="C987" s="198"/>
      <c r="D987" s="198"/>
      <c r="E987" s="198"/>
      <c r="F987" s="199"/>
      <c r="G987" s="199"/>
      <c r="H987" s="198"/>
      <c r="I987" s="198"/>
      <c r="J987" s="198"/>
      <c r="K987" s="198"/>
      <c r="L987" s="198"/>
      <c r="M987" s="198"/>
      <c r="N987" s="198"/>
      <c r="O987" s="198"/>
      <c r="P987" s="198"/>
      <c r="Q987" s="198"/>
      <c r="R987" s="198"/>
      <c r="S987" s="198"/>
      <c r="T987" s="198"/>
      <c r="U987" s="198"/>
      <c r="V987" s="198"/>
      <c r="W987" s="198"/>
      <c r="X987" s="198"/>
    </row>
    <row r="988">
      <c r="A988" s="198"/>
      <c r="B988" s="199"/>
      <c r="C988" s="198"/>
      <c r="D988" s="198"/>
      <c r="E988" s="198"/>
      <c r="F988" s="199"/>
      <c r="G988" s="199"/>
      <c r="H988" s="198"/>
      <c r="I988" s="198"/>
      <c r="J988" s="198"/>
      <c r="K988" s="198"/>
      <c r="L988" s="198"/>
      <c r="M988" s="198"/>
      <c r="N988" s="198"/>
      <c r="O988" s="198"/>
      <c r="P988" s="198"/>
      <c r="Q988" s="198"/>
      <c r="R988" s="198"/>
      <c r="S988" s="198"/>
      <c r="T988" s="198"/>
      <c r="U988" s="198"/>
      <c r="V988" s="198"/>
      <c r="W988" s="198"/>
      <c r="X988" s="198"/>
    </row>
    <row r="989">
      <c r="A989" s="198"/>
      <c r="B989" s="199"/>
      <c r="C989" s="198"/>
      <c r="D989" s="198"/>
      <c r="E989" s="198"/>
      <c r="F989" s="199"/>
      <c r="G989" s="199"/>
      <c r="H989" s="198"/>
      <c r="I989" s="198"/>
      <c r="J989" s="198"/>
      <c r="K989" s="198"/>
      <c r="L989" s="198"/>
      <c r="M989" s="198"/>
      <c r="N989" s="198"/>
      <c r="O989" s="198"/>
      <c r="P989" s="198"/>
      <c r="Q989" s="198"/>
      <c r="R989" s="198"/>
      <c r="S989" s="198"/>
      <c r="T989" s="198"/>
      <c r="U989" s="198"/>
      <c r="V989" s="198"/>
      <c r="W989" s="198"/>
      <c r="X989" s="198"/>
    </row>
    <row r="990">
      <c r="A990" s="198"/>
      <c r="B990" s="199"/>
      <c r="C990" s="198"/>
      <c r="D990" s="198"/>
      <c r="E990" s="198"/>
      <c r="F990" s="199"/>
      <c r="G990" s="199"/>
      <c r="H990" s="198"/>
      <c r="I990" s="198"/>
      <c r="J990" s="198"/>
      <c r="K990" s="198"/>
      <c r="L990" s="198"/>
      <c r="M990" s="198"/>
      <c r="N990" s="198"/>
      <c r="O990" s="198"/>
      <c r="P990" s="198"/>
      <c r="Q990" s="198"/>
      <c r="R990" s="198"/>
      <c r="S990" s="198"/>
      <c r="T990" s="198"/>
      <c r="U990" s="198"/>
      <c r="V990" s="198"/>
      <c r="W990" s="198"/>
      <c r="X990" s="198"/>
    </row>
    <row r="991">
      <c r="A991" s="198"/>
      <c r="B991" s="199"/>
      <c r="C991" s="198"/>
      <c r="D991" s="198"/>
      <c r="E991" s="198"/>
      <c r="F991" s="199"/>
      <c r="G991" s="199"/>
      <c r="H991" s="198"/>
      <c r="I991" s="198"/>
      <c r="J991" s="198"/>
      <c r="K991" s="198"/>
      <c r="L991" s="198"/>
      <c r="M991" s="198"/>
      <c r="N991" s="198"/>
      <c r="O991" s="198"/>
      <c r="P991" s="198"/>
      <c r="Q991" s="198"/>
      <c r="R991" s="198"/>
      <c r="S991" s="198"/>
      <c r="T991" s="198"/>
      <c r="U991" s="198"/>
      <c r="V991" s="198"/>
      <c r="W991" s="198"/>
      <c r="X991" s="198"/>
    </row>
    <row r="992">
      <c r="A992" s="198"/>
      <c r="B992" s="199"/>
      <c r="C992" s="198"/>
      <c r="D992" s="198"/>
      <c r="E992" s="198"/>
      <c r="F992" s="199"/>
      <c r="G992" s="199"/>
      <c r="H992" s="198"/>
      <c r="I992" s="198"/>
      <c r="J992" s="198"/>
      <c r="K992" s="198"/>
      <c r="L992" s="198"/>
      <c r="M992" s="198"/>
      <c r="N992" s="198"/>
      <c r="O992" s="198"/>
      <c r="P992" s="198"/>
      <c r="Q992" s="198"/>
      <c r="R992" s="198"/>
      <c r="S992" s="198"/>
      <c r="T992" s="198"/>
      <c r="U992" s="198"/>
      <c r="V992" s="198"/>
      <c r="W992" s="198"/>
      <c r="X992" s="198"/>
    </row>
    <row r="993">
      <c r="A993" s="198"/>
      <c r="B993" s="199"/>
      <c r="C993" s="198"/>
      <c r="D993" s="198"/>
      <c r="E993" s="198"/>
      <c r="F993" s="199"/>
      <c r="G993" s="199"/>
      <c r="H993" s="198"/>
      <c r="I993" s="198"/>
      <c r="J993" s="198"/>
      <c r="K993" s="198"/>
      <c r="L993" s="198"/>
      <c r="M993" s="198"/>
      <c r="N993" s="198"/>
      <c r="O993" s="198"/>
      <c r="P993" s="198"/>
      <c r="Q993" s="198"/>
      <c r="R993" s="198"/>
      <c r="S993" s="198"/>
      <c r="T993" s="198"/>
      <c r="U993" s="198"/>
      <c r="V993" s="198"/>
      <c r="W993" s="198"/>
      <c r="X993" s="198"/>
    </row>
    <row r="994">
      <c r="A994" s="198"/>
      <c r="B994" s="199"/>
      <c r="C994" s="198"/>
      <c r="D994" s="198"/>
      <c r="E994" s="198"/>
      <c r="F994" s="199"/>
      <c r="G994" s="199"/>
      <c r="H994" s="198"/>
      <c r="I994" s="198"/>
      <c r="J994" s="198"/>
      <c r="K994" s="198"/>
      <c r="L994" s="198"/>
      <c r="M994" s="198"/>
      <c r="N994" s="198"/>
      <c r="O994" s="198"/>
      <c r="P994" s="198"/>
      <c r="Q994" s="198"/>
      <c r="R994" s="198"/>
      <c r="S994" s="198"/>
      <c r="T994" s="198"/>
      <c r="U994" s="198"/>
      <c r="V994" s="198"/>
      <c r="W994" s="198"/>
      <c r="X994" s="198"/>
    </row>
    <row r="995">
      <c r="A995" s="198"/>
      <c r="B995" s="199"/>
      <c r="C995" s="198"/>
      <c r="D995" s="198"/>
      <c r="E995" s="198"/>
      <c r="F995" s="199"/>
      <c r="G995" s="199"/>
      <c r="H995" s="198"/>
      <c r="I995" s="198"/>
      <c r="J995" s="198"/>
      <c r="K995" s="198"/>
      <c r="L995" s="198"/>
      <c r="M995" s="198"/>
      <c r="N995" s="198"/>
      <c r="O995" s="198"/>
      <c r="P995" s="198"/>
      <c r="Q995" s="198"/>
      <c r="R995" s="198"/>
      <c r="S995" s="198"/>
      <c r="T995" s="198"/>
      <c r="U995" s="198"/>
      <c r="V995" s="198"/>
      <c r="W995" s="198"/>
      <c r="X995" s="198"/>
    </row>
    <row r="996">
      <c r="A996" s="198"/>
      <c r="B996" s="199"/>
      <c r="C996" s="198"/>
      <c r="D996" s="198"/>
      <c r="E996" s="198"/>
      <c r="F996" s="199"/>
      <c r="G996" s="199"/>
      <c r="H996" s="198"/>
      <c r="I996" s="198"/>
      <c r="J996" s="198"/>
      <c r="K996" s="198"/>
      <c r="L996" s="198"/>
      <c r="M996" s="198"/>
      <c r="N996" s="198"/>
      <c r="O996" s="198"/>
      <c r="P996" s="198"/>
      <c r="Q996" s="198"/>
      <c r="R996" s="198"/>
      <c r="S996" s="198"/>
      <c r="T996" s="198"/>
      <c r="U996" s="198"/>
      <c r="V996" s="198"/>
      <c r="W996" s="198"/>
      <c r="X996" s="198"/>
    </row>
    <row r="997">
      <c r="A997" s="198"/>
      <c r="B997" s="199"/>
      <c r="C997" s="198"/>
      <c r="D997" s="198"/>
      <c r="E997" s="198"/>
      <c r="F997" s="199"/>
      <c r="G997" s="199"/>
      <c r="H997" s="198"/>
      <c r="I997" s="198"/>
      <c r="J997" s="198"/>
      <c r="K997" s="198"/>
      <c r="L997" s="198"/>
      <c r="M997" s="198"/>
      <c r="N997" s="198"/>
      <c r="O997" s="198"/>
      <c r="P997" s="198"/>
      <c r="Q997" s="198"/>
      <c r="R997" s="198"/>
      <c r="S997" s="198"/>
      <c r="T997" s="198"/>
      <c r="U997" s="198"/>
      <c r="V997" s="198"/>
      <c r="W997" s="198"/>
      <c r="X997" s="198"/>
    </row>
    <row r="998">
      <c r="A998" s="198"/>
      <c r="B998" s="199"/>
      <c r="C998" s="198"/>
      <c r="D998" s="198"/>
      <c r="E998" s="198"/>
      <c r="F998" s="199"/>
      <c r="G998" s="199"/>
      <c r="H998" s="198"/>
      <c r="I998" s="198"/>
      <c r="J998" s="198"/>
      <c r="K998" s="198"/>
      <c r="L998" s="198"/>
      <c r="M998" s="198"/>
      <c r="N998" s="198"/>
      <c r="O998" s="198"/>
      <c r="P998" s="198"/>
      <c r="Q998" s="198"/>
      <c r="R998" s="198"/>
      <c r="S998" s="198"/>
      <c r="T998" s="198"/>
      <c r="U998" s="198"/>
      <c r="V998" s="198"/>
      <c r="W998" s="198"/>
      <c r="X998" s="198"/>
    </row>
    <row r="999">
      <c r="A999" s="198"/>
      <c r="B999" s="199"/>
      <c r="C999" s="198"/>
      <c r="D999" s="198"/>
      <c r="E999" s="198"/>
      <c r="F999" s="199"/>
      <c r="G999" s="199"/>
      <c r="H999" s="198"/>
      <c r="I999" s="198"/>
      <c r="J999" s="198"/>
      <c r="K999" s="198"/>
      <c r="L999" s="198"/>
      <c r="M999" s="198"/>
      <c r="N999" s="198"/>
      <c r="O999" s="198"/>
      <c r="P999" s="198"/>
      <c r="Q999" s="198"/>
      <c r="R999" s="198"/>
      <c r="S999" s="198"/>
      <c r="T999" s="198"/>
      <c r="U999" s="198"/>
      <c r="V999" s="198"/>
      <c r="W999" s="198"/>
      <c r="X999" s="198"/>
    </row>
    <row r="1000">
      <c r="A1000" s="198"/>
      <c r="B1000" s="199"/>
      <c r="C1000" s="198"/>
      <c r="D1000" s="198"/>
      <c r="E1000" s="198"/>
      <c r="F1000" s="199"/>
      <c r="G1000" s="199"/>
      <c r="H1000" s="198"/>
      <c r="I1000" s="198"/>
      <c r="J1000" s="198"/>
      <c r="K1000" s="198"/>
      <c r="L1000" s="198"/>
      <c r="M1000" s="198"/>
      <c r="N1000" s="198"/>
      <c r="O1000" s="198"/>
      <c r="P1000" s="198"/>
      <c r="Q1000" s="198"/>
      <c r="R1000" s="198"/>
      <c r="S1000" s="198"/>
      <c r="T1000" s="198"/>
      <c r="U1000" s="198"/>
      <c r="V1000" s="198"/>
      <c r="W1000" s="198"/>
      <c r="X1000" s="198"/>
    </row>
    <row r="1001">
      <c r="A1001" s="198"/>
      <c r="B1001" s="199"/>
      <c r="C1001" s="198"/>
      <c r="D1001" s="198"/>
      <c r="E1001" s="198"/>
      <c r="F1001" s="199"/>
      <c r="G1001" s="199"/>
      <c r="H1001" s="198"/>
      <c r="I1001" s="198"/>
      <c r="J1001" s="198"/>
      <c r="K1001" s="198"/>
      <c r="L1001" s="198"/>
      <c r="M1001" s="198"/>
      <c r="N1001" s="198"/>
      <c r="O1001" s="198"/>
      <c r="P1001" s="198"/>
      <c r="Q1001" s="198"/>
      <c r="R1001" s="198"/>
      <c r="S1001" s="198"/>
      <c r="T1001" s="198"/>
      <c r="U1001" s="198"/>
      <c r="V1001" s="198"/>
      <c r="W1001" s="198"/>
      <c r="X1001" s="198"/>
    </row>
    <row r="1002">
      <c r="A1002" s="198"/>
      <c r="B1002" s="199"/>
      <c r="C1002" s="198"/>
      <c r="D1002" s="198"/>
      <c r="E1002" s="198"/>
      <c r="F1002" s="199"/>
      <c r="G1002" s="199"/>
      <c r="H1002" s="198"/>
      <c r="I1002" s="198"/>
      <c r="J1002" s="198"/>
      <c r="K1002" s="198"/>
      <c r="L1002" s="198"/>
      <c r="M1002" s="198"/>
      <c r="N1002" s="198"/>
      <c r="O1002" s="198"/>
      <c r="P1002" s="198"/>
      <c r="Q1002" s="198"/>
      <c r="R1002" s="198"/>
      <c r="S1002" s="198"/>
      <c r="T1002" s="198"/>
      <c r="U1002" s="198"/>
      <c r="V1002" s="198"/>
      <c r="W1002" s="198"/>
      <c r="X1002" s="198"/>
    </row>
    <row r="1003">
      <c r="A1003" s="198"/>
      <c r="B1003" s="199"/>
      <c r="C1003" s="198"/>
      <c r="D1003" s="198"/>
      <c r="E1003" s="198"/>
      <c r="F1003" s="199"/>
      <c r="G1003" s="199"/>
      <c r="H1003" s="198"/>
      <c r="I1003" s="198"/>
      <c r="J1003" s="198"/>
      <c r="K1003" s="198"/>
      <c r="L1003" s="198"/>
      <c r="M1003" s="198"/>
      <c r="N1003" s="198"/>
      <c r="O1003" s="198"/>
      <c r="P1003" s="198"/>
      <c r="Q1003" s="198"/>
      <c r="R1003" s="198"/>
      <c r="S1003" s="198"/>
      <c r="T1003" s="198"/>
      <c r="U1003" s="198"/>
      <c r="V1003" s="198"/>
      <c r="W1003" s="198"/>
      <c r="X1003" s="198"/>
    </row>
    <row r="1004">
      <c r="A1004" s="198"/>
      <c r="B1004" s="199"/>
      <c r="C1004" s="198"/>
      <c r="D1004" s="198"/>
      <c r="E1004" s="198"/>
      <c r="F1004" s="199"/>
      <c r="G1004" s="199"/>
      <c r="H1004" s="198"/>
      <c r="I1004" s="198"/>
      <c r="J1004" s="198"/>
      <c r="K1004" s="198"/>
      <c r="L1004" s="198"/>
      <c r="M1004" s="198"/>
      <c r="N1004" s="198"/>
      <c r="O1004" s="198"/>
      <c r="P1004" s="198"/>
      <c r="Q1004" s="198"/>
      <c r="R1004" s="198"/>
      <c r="S1004" s="198"/>
      <c r="T1004" s="198"/>
      <c r="U1004" s="198"/>
      <c r="V1004" s="198"/>
      <c r="W1004" s="198"/>
      <c r="X1004" s="198"/>
    </row>
    <row r="1005">
      <c r="A1005" s="198"/>
      <c r="B1005" s="199"/>
      <c r="C1005" s="198"/>
      <c r="D1005" s="198"/>
      <c r="E1005" s="198"/>
      <c r="F1005" s="199"/>
      <c r="G1005" s="199"/>
      <c r="H1005" s="198"/>
      <c r="I1005" s="198"/>
      <c r="J1005" s="198"/>
      <c r="K1005" s="198"/>
      <c r="L1005" s="198"/>
      <c r="M1005" s="198"/>
      <c r="N1005" s="198"/>
      <c r="O1005" s="198"/>
      <c r="P1005" s="198"/>
      <c r="Q1005" s="198"/>
      <c r="R1005" s="198"/>
      <c r="S1005" s="198"/>
      <c r="T1005" s="198"/>
      <c r="U1005" s="198"/>
      <c r="V1005" s="198"/>
      <c r="W1005" s="198"/>
      <c r="X1005" s="198"/>
    </row>
    <row r="1006">
      <c r="A1006" s="198"/>
      <c r="B1006" s="199"/>
      <c r="C1006" s="198"/>
      <c r="D1006" s="198"/>
      <c r="E1006" s="198"/>
      <c r="F1006" s="199"/>
      <c r="G1006" s="199"/>
      <c r="H1006" s="198"/>
      <c r="I1006" s="198"/>
      <c r="J1006" s="198"/>
      <c r="K1006" s="198"/>
      <c r="L1006" s="198"/>
      <c r="M1006" s="198"/>
      <c r="N1006" s="198"/>
      <c r="O1006" s="198"/>
      <c r="P1006" s="198"/>
      <c r="Q1006" s="198"/>
      <c r="R1006" s="198"/>
      <c r="S1006" s="198"/>
      <c r="T1006" s="198"/>
      <c r="U1006" s="198"/>
      <c r="V1006" s="198"/>
      <c r="W1006" s="198"/>
      <c r="X1006" s="198"/>
    </row>
    <row r="1007">
      <c r="A1007" s="198"/>
      <c r="B1007" s="199"/>
      <c r="C1007" s="198"/>
      <c r="D1007" s="198"/>
      <c r="E1007" s="198"/>
      <c r="F1007" s="199"/>
      <c r="G1007" s="199"/>
      <c r="H1007" s="198"/>
      <c r="I1007" s="198"/>
      <c r="J1007" s="198"/>
      <c r="K1007" s="198"/>
      <c r="L1007" s="198"/>
      <c r="M1007" s="198"/>
      <c r="N1007" s="198"/>
      <c r="O1007" s="198"/>
      <c r="P1007" s="198"/>
      <c r="Q1007" s="198"/>
      <c r="R1007" s="198"/>
      <c r="S1007" s="198"/>
      <c r="T1007" s="198"/>
      <c r="U1007" s="198"/>
      <c r="V1007" s="198"/>
      <c r="W1007" s="198"/>
      <c r="X1007" s="198"/>
    </row>
    <row r="1008">
      <c r="A1008" s="198"/>
      <c r="B1008" s="199"/>
      <c r="C1008" s="198"/>
      <c r="D1008" s="198"/>
      <c r="E1008" s="198"/>
      <c r="F1008" s="199"/>
      <c r="G1008" s="199"/>
      <c r="H1008" s="198"/>
      <c r="I1008" s="198"/>
      <c r="J1008" s="198"/>
      <c r="K1008" s="198"/>
      <c r="L1008" s="198"/>
      <c r="M1008" s="198"/>
      <c r="N1008" s="198"/>
      <c r="O1008" s="198"/>
      <c r="P1008" s="198"/>
      <c r="Q1008" s="198"/>
      <c r="R1008" s="198"/>
      <c r="S1008" s="198"/>
      <c r="T1008" s="198"/>
      <c r="U1008" s="198"/>
      <c r="V1008" s="198"/>
      <c r="W1008" s="198"/>
      <c r="X1008" s="198"/>
    </row>
    <row r="1009">
      <c r="A1009" s="198"/>
      <c r="B1009" s="199"/>
      <c r="C1009" s="198"/>
      <c r="D1009" s="198"/>
      <c r="E1009" s="198"/>
      <c r="F1009" s="199"/>
      <c r="G1009" s="199"/>
      <c r="H1009" s="198"/>
      <c r="I1009" s="198"/>
      <c r="J1009" s="198"/>
      <c r="K1009" s="198"/>
      <c r="L1009" s="198"/>
      <c r="M1009" s="198"/>
      <c r="N1009" s="198"/>
      <c r="O1009" s="198"/>
      <c r="P1009" s="198"/>
      <c r="Q1009" s="198"/>
      <c r="R1009" s="198"/>
      <c r="S1009" s="198"/>
      <c r="T1009" s="198"/>
      <c r="U1009" s="198"/>
      <c r="V1009" s="198"/>
      <c r="W1009" s="198"/>
      <c r="X1009" s="198"/>
    </row>
    <row r="1010">
      <c r="A1010" s="198"/>
      <c r="B1010" s="199"/>
      <c r="C1010" s="198"/>
      <c r="D1010" s="198"/>
      <c r="E1010" s="198"/>
      <c r="F1010" s="199"/>
      <c r="G1010" s="199"/>
      <c r="H1010" s="198"/>
      <c r="I1010" s="198"/>
      <c r="J1010" s="198"/>
      <c r="K1010" s="198"/>
      <c r="L1010" s="198"/>
      <c r="M1010" s="198"/>
      <c r="N1010" s="198"/>
      <c r="O1010" s="198"/>
      <c r="P1010" s="198"/>
      <c r="Q1010" s="198"/>
      <c r="R1010" s="198"/>
      <c r="S1010" s="198"/>
      <c r="T1010" s="198"/>
      <c r="U1010" s="198"/>
      <c r="V1010" s="198"/>
      <c r="W1010" s="198"/>
      <c r="X1010" s="198"/>
    </row>
    <row r="1011">
      <c r="A1011" s="198"/>
      <c r="B1011" s="199"/>
      <c r="C1011" s="198"/>
      <c r="D1011" s="198"/>
      <c r="E1011" s="198"/>
      <c r="F1011" s="199"/>
      <c r="G1011" s="199"/>
      <c r="H1011" s="198"/>
      <c r="I1011" s="198"/>
      <c r="J1011" s="198"/>
      <c r="K1011" s="198"/>
      <c r="L1011" s="198"/>
      <c r="M1011" s="198"/>
      <c r="N1011" s="198"/>
      <c r="O1011" s="198"/>
      <c r="P1011" s="198"/>
      <c r="Q1011" s="198"/>
      <c r="R1011" s="198"/>
      <c r="S1011" s="198"/>
      <c r="T1011" s="198"/>
      <c r="U1011" s="198"/>
      <c r="V1011" s="198"/>
      <c r="W1011" s="198"/>
      <c r="X1011" s="198"/>
    </row>
    <row r="1012">
      <c r="A1012" s="198"/>
      <c r="B1012" s="199"/>
      <c r="C1012" s="198"/>
      <c r="D1012" s="198"/>
      <c r="E1012" s="198"/>
      <c r="F1012" s="199"/>
      <c r="G1012" s="199"/>
      <c r="H1012" s="198"/>
      <c r="I1012" s="198"/>
      <c r="J1012" s="198"/>
      <c r="K1012" s="198"/>
      <c r="L1012" s="198"/>
      <c r="M1012" s="198"/>
      <c r="N1012" s="198"/>
      <c r="O1012" s="198"/>
      <c r="P1012" s="198"/>
      <c r="Q1012" s="198"/>
      <c r="R1012" s="198"/>
      <c r="S1012" s="198"/>
      <c r="T1012" s="198"/>
      <c r="U1012" s="198"/>
      <c r="V1012" s="198"/>
      <c r="W1012" s="198"/>
      <c r="X1012" s="198"/>
    </row>
  </sheetData>
  <autoFilter ref="$A$1:$N$28"/>
  <dataValidations>
    <dataValidation type="list" allowBlank="1" showErrorMessage="1" sqref="H3:H28">
      <formula1>"Outdoor,Tier 1,Tier 2,Tier 3,NA"</formula1>
    </dataValidation>
  </dataValidations>
  <drawing r:id="rId4"/>
  <legacyDrawing r:id="rId5"/>
</worksheet>
</file>